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namedSheetViews/namedSheetView1.xml" ContentType="application/vnd.ms-excel.namedsheetviews+xml"/>
  <Override PartName="/xl/tables/table6.xml" ContentType="application/vnd.openxmlformats-officedocument.spreadsheetml.table+xml"/>
  <Override PartName="/xl/namedSheetViews/namedSheetView2.xml" ContentType="application/vnd.ms-excel.namedsheetview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mac/Downloads/"/>
    </mc:Choice>
  </mc:AlternateContent>
  <xr:revisionPtr revIDLastSave="0" documentId="13_ncr:1_{A5EC6552-A3AE-0B4A-8F12-0AF38DD9E95D}" xr6:coauthVersionLast="47" xr6:coauthVersionMax="47" xr10:uidLastSave="{00000000-0000-0000-0000-000000000000}"/>
  <bookViews>
    <workbookView xWindow="0" yWindow="460" windowWidth="27320" windowHeight="13560" activeTab="5" xr2:uid="{00000000-000D-0000-FFFF-FFFF00000000}"/>
  </bookViews>
  <sheets>
    <sheet name="1.CONSTRUCCION" sheetId="2" r:id="rId1"/>
    <sheet name="2. AMBIENTAL" sheetId="3" r:id="rId2"/>
    <sheet name="3.TICS" sheetId="7" r:id="rId3"/>
    <sheet name="4. COCINA" sheetId="4" r:id="rId4"/>
    <sheet name="5.AGROPECUARIA" sheetId="5" r:id="rId5"/>
    <sheet name="6.DEPORTES" sheetId="6" r:id="rId6"/>
    <sheet name="ACUMULADO" sheetId="8" r:id="rId7"/>
    <sheet name="Pendientes de evidencias" sheetId="16" r:id="rId8"/>
  </sheets>
  <definedNames>
    <definedName name="_xlnm._FilterDatabase" localSheetId="0" hidden="1">'1.CONSTRUCCION'!$A$2:$AV$2</definedName>
    <definedName name="_xlnm._FilterDatabase" localSheetId="1" hidden="1">'2. AMBIENTAL'!$A$2:$V$2</definedName>
    <definedName name="_xlnm._FilterDatabase" localSheetId="2" hidden="1">'3.TICS'!$B$2:$BM$636</definedName>
    <definedName name="_xlnm._FilterDatabase" localSheetId="3" hidden="1">'4. COCINA'!$A$2:$AQ$2</definedName>
    <definedName name="_xlnm._FilterDatabase" localSheetId="4" hidden="1">'5.AGROPECUARIA'!$A$2:$BL$2</definedName>
    <definedName name="_xlnm._FilterDatabase" localSheetId="5" hidden="1">'6.DEPORTES'!$A$2:$BL$2</definedName>
    <definedName name="_xlnm._FilterDatabase" localSheetId="6" hidden="1">ACUMULADO!$A$2:$BI$1079</definedName>
    <definedName name="_xlnm._FilterDatabase" localSheetId="7" hidden="1">'Pendientes de evidencias'!$A$2:$H$2</definedName>
    <definedName name="Z_1595741D_5B83_4B67_A5B8_38E51C4A1B31_.wvu.FilterData" localSheetId="0" hidden="1">'1.CONSTRUCCION'!$A$2:$AV$544</definedName>
    <definedName name="Z_1595741D_5B83_4B67_A5B8_38E51C4A1B31_.wvu.FilterData" localSheetId="2" hidden="1">'3.TICS'!$B$2:$BJ$636</definedName>
    <definedName name="Z_1595741D_5B83_4B67_A5B8_38E51C4A1B31_.wvu.FilterData" localSheetId="3" hidden="1">'4. COCINA'!$A$2:$U$941</definedName>
    <definedName name="Z_1595741D_5B83_4B67_A5B8_38E51C4A1B31_.wvu.FilterData" localSheetId="4" hidden="1">'5.AGROPECUARIA'!$A$2:$BA$881</definedName>
    <definedName name="Z_58B89FF3_C647_47FD_9CC2_FAEF34225D14_.wvu.FilterData" localSheetId="0" hidden="1">'1.CONSTRUCCION'!$A$2:$AV$544</definedName>
    <definedName name="Z_58B89FF3_C647_47FD_9CC2_FAEF34225D14_.wvu.FilterData" localSheetId="1" hidden="1">'2. AMBIENTAL'!$A$2:$V$892</definedName>
    <definedName name="Z_58B89FF3_C647_47FD_9CC2_FAEF34225D14_.wvu.FilterData" localSheetId="2" hidden="1">'3.TICS'!$B$2:$AM$636</definedName>
    <definedName name="Z_58B89FF3_C647_47FD_9CC2_FAEF34225D14_.wvu.FilterData" localSheetId="3" hidden="1">'4. COCINA'!$A$2:$U$941</definedName>
    <definedName name="Z_58B89FF3_C647_47FD_9CC2_FAEF34225D14_.wvu.FilterData" localSheetId="4" hidden="1">'5.AGROPECUARIA'!$A$2:$BA$881</definedName>
    <definedName name="Z_58B89FF3_C647_47FD_9CC2_FAEF34225D14_.wvu.FilterData" localSheetId="5" hidden="1">'6.DEPORTES'!$A$2:$AK$931</definedName>
    <definedName name="Z_84E55A85_4999_488C_B8FB_CF76BA148A0B_.wvu.FilterData" localSheetId="0" hidden="1">'1.CONSTRUCCION'!$A$2:$AV$544</definedName>
    <definedName name="Z_84E55A85_4999_488C_B8FB_CF76BA148A0B_.wvu.FilterData" localSheetId="1" hidden="1">'2. AMBIENTAL'!$A$2:$V$892</definedName>
    <definedName name="Z_84E55A85_4999_488C_B8FB_CF76BA148A0B_.wvu.FilterData" localSheetId="2" hidden="1">'3.TICS'!$B$2:$BJ$636</definedName>
    <definedName name="Z_84E55A85_4999_488C_B8FB_CF76BA148A0B_.wvu.FilterData" localSheetId="3" hidden="1">'4. COCINA'!$A$2:$U$941</definedName>
    <definedName name="Z_84E55A85_4999_488C_B8FB_CF76BA148A0B_.wvu.FilterData" localSheetId="4" hidden="1">'5.AGROPECUARIA'!$A$2:$BA$881</definedName>
    <definedName name="Z_84E55A85_4999_488C_B8FB_CF76BA148A0B_.wvu.FilterData" localSheetId="5" hidden="1">'6.DEPORTES'!$A$2:$AK$931</definedName>
    <definedName name="Z_8F08FB73_6374_4F55_A96D_C098EEA51CA4_.wvu.FilterData" localSheetId="2" hidden="1">'3.TICS'!$B$2:$BJ$636</definedName>
    <definedName name="Z_942B7108_0506_4047_9340_9E431C336232_.wvu.FilterData" localSheetId="2" hidden="1">'3.TICS'!$B$2:$BJ$636</definedName>
    <definedName name="Z_BBB32CBF_1206_49CF_9564_FFF3E5D3FB23_.wvu.FilterData" localSheetId="2" hidden="1">'3.TICS'!$B$2:$BM$108</definedName>
    <definedName name="Z_E88A738E_D6BC_407B_95EB_EA4EB8AE1667_.wvu.FilterData" localSheetId="2" hidden="1">'3.TICS'!$B$2:$BJ$636</definedName>
    <definedName name="Z_EAC82E0D_75FA_41B7_8B62_97FB6A6849EA_.wvu.FilterData" localSheetId="0" hidden="1">'1.CONSTRUCCION'!$A$2:$AV$544</definedName>
    <definedName name="Z_EAC82E0D_75FA_41B7_8B62_97FB6A6849EA_.wvu.FilterData" localSheetId="1" hidden="1">'2. AMBIENTAL'!$A$2:$V$892</definedName>
    <definedName name="Z_EAC82E0D_75FA_41B7_8B62_97FB6A6849EA_.wvu.FilterData" localSheetId="2" hidden="1">'3.TICS'!$B$2:$AM$636</definedName>
    <definedName name="Z_EAC82E0D_75FA_41B7_8B62_97FB6A6849EA_.wvu.FilterData" localSheetId="3" hidden="1">'4. COCINA'!$A$2:$U$941</definedName>
    <definedName name="Z_EAC82E0D_75FA_41B7_8B62_97FB6A6849EA_.wvu.FilterData" localSheetId="4" hidden="1">'5.AGROPECUARIA'!$A$2:$AH$881</definedName>
    <definedName name="Z_EAC82E0D_75FA_41B7_8B62_97FB6A6849EA_.wvu.FilterData" localSheetId="5" hidden="1">'6.DEPORTES'!$A$2:$AK$931</definedName>
    <definedName name="Z_F538DE6E_16F6_4729_8AE2_7E15099C785E_.wvu.FilterData" localSheetId="0" hidden="1">'1.CONSTRUCCION'!$A$2:$AV$544</definedName>
    <definedName name="Z_F538DE6E_16F6_4729_8AE2_7E15099C785E_.wvu.FilterData" localSheetId="1" hidden="1">'2. AMBIENTAL'!$A$2:$V$892</definedName>
    <definedName name="Z_F538DE6E_16F6_4729_8AE2_7E15099C785E_.wvu.FilterData" localSheetId="2" hidden="1">'3.TICS'!$B$2:$BJ$636</definedName>
    <definedName name="Z_F538DE6E_16F6_4729_8AE2_7E15099C785E_.wvu.FilterData" localSheetId="3" hidden="1">'4. COCINA'!$A$2:$U$941</definedName>
    <definedName name="Z_F538DE6E_16F6_4729_8AE2_7E15099C785E_.wvu.FilterData" localSheetId="4" hidden="1">'5.AGROPECUARIA'!$A$2:$BA$881</definedName>
    <definedName name="Z_F538DE6E_16F6_4729_8AE2_7E15099C785E_.wvu.FilterData" localSheetId="5" hidden="1">'6.DEPORTES'!$A$2:$AK$931</definedName>
  </definedNames>
  <calcPr calcId="191029"/>
  <customWorkbookViews>
    <customWorkbookView name="Buscar contratos de aprendizaje" guid="{84E55A85-4999-488C-B8FB-CF76BA148A0B}" maximized="1" windowWidth="0" windowHeight="0" activeSheetId="0"/>
    <customWorkbookView name="Filtro 4" guid="{E88A738E-D6BC-407B-95EB-EA4EB8AE1667}" maximized="1" windowWidth="0" windowHeight="0" activeSheetId="0"/>
    <customWorkbookView name="Filtro 5" guid="{8F08FB73-6374-4F55-A96D-C098EEA51CA4}" maximized="1" windowWidth="0" windowHeight="0" activeSheetId="0"/>
    <customWorkbookView name="Filtro 6" guid="{942B7108-0506-4047-9340-9E431C336232}" maximized="1" windowWidth="0" windowHeight="0" activeSheetId="0"/>
    <customWorkbookView name="Filtro 7" guid="{BBB32CBF-1206-49CF-9564-FFF3E5D3FB23}" maximized="1" windowWidth="0" windowHeight="0" activeSheetId="0"/>
    <customWorkbookView name="Filtro 1" guid="{EAC82E0D-75FA-41B7-8B62-97FB6A6849EA}" maximized="1" windowWidth="0" windowHeight="0" activeSheetId="0"/>
    <customWorkbookView name="CAPRENDIZAJE" guid="{F538DE6E-16F6-4729-8AE2-7E15099C785E}" maximized="1" windowWidth="0" windowHeight="0" activeSheetId="0"/>
    <customWorkbookView name="Filtro 2" guid="{58B89FF3-C647-47FD-9CC2-FAEF34225D14}" maximized="1" windowWidth="0" windowHeight="0" activeSheetId="0"/>
    <customWorkbookView name="Filtro 3" guid="{1595741D-5B83-4B67-A5B8-38E51C4A1B31}"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64" i="4" l="1"/>
  <c r="G63" i="4"/>
  <c r="G62" i="4"/>
  <c r="G61" i="4"/>
  <c r="G60" i="4"/>
  <c r="G59" i="4"/>
  <c r="G58" i="4"/>
  <c r="G57" i="4"/>
  <c r="G56" i="4"/>
  <c r="G55" i="4"/>
  <c r="G54" i="4"/>
  <c r="G53" i="4"/>
  <c r="G52" i="4"/>
  <c r="G51" i="4"/>
  <c r="G50" i="4"/>
  <c r="G49" i="4"/>
  <c r="H7" i="6"/>
  <c r="G7" i="6"/>
  <c r="AU7" i="6"/>
  <c r="BG7" i="6"/>
  <c r="BJ7" i="6"/>
  <c r="G6" i="2"/>
  <c r="G3" i="2"/>
  <c r="AV173" i="2"/>
  <c r="AV174" i="2"/>
  <c r="AV175" i="2"/>
  <c r="AV176" i="2"/>
  <c r="AV177" i="2"/>
  <c r="AV178" i="2"/>
  <c r="F77" i="16"/>
  <c r="F78" i="16"/>
  <c r="F76" i="16"/>
  <c r="F75" i="16"/>
  <c r="F74" i="16"/>
  <c r="F73" i="16"/>
  <c r="F72" i="16"/>
  <c r="F71" i="16"/>
  <c r="F70" i="16"/>
  <c r="F69" i="16"/>
  <c r="F68" i="16"/>
  <c r="F67" i="16"/>
  <c r="F66" i="16"/>
  <c r="F65" i="16"/>
  <c r="F64" i="16"/>
  <c r="F63" i="16"/>
  <c r="F62" i="16"/>
  <c r="F61" i="16"/>
  <c r="G91" i="2"/>
  <c r="H3" i="3"/>
  <c r="AN7" i="4"/>
  <c r="G3" i="3"/>
  <c r="F92" i="2"/>
  <c r="G92" i="2"/>
  <c r="U811" i="8"/>
  <c r="U848" i="8"/>
  <c r="U836" i="8"/>
  <c r="V792" i="8"/>
  <c r="V788" i="8"/>
  <c r="V765" i="8"/>
  <c r="BK119" i="7"/>
  <c r="BJ119" i="7"/>
  <c r="BG119" i="7"/>
  <c r="BH119" i="7" s="1"/>
  <c r="BF119" i="7"/>
  <c r="BE119" i="7"/>
  <c r="BD119" i="7"/>
  <c r="BC119" i="7"/>
  <c r="BB119" i="7"/>
  <c r="BA119" i="7"/>
  <c r="AZ119" i="7"/>
  <c r="AY119" i="7"/>
  <c r="AX119" i="7"/>
  <c r="AW119" i="7"/>
  <c r="I119" i="7"/>
  <c r="H119" i="7"/>
  <c r="BK118" i="7"/>
  <c r="BJ118" i="7"/>
  <c r="BG118" i="7"/>
  <c r="BH118" i="7" s="1"/>
  <c r="BF118" i="7"/>
  <c r="BE118" i="7"/>
  <c r="BD118" i="7"/>
  <c r="BC118" i="7"/>
  <c r="BB118" i="7"/>
  <c r="BA118" i="7"/>
  <c r="AZ118" i="7"/>
  <c r="AY118" i="7"/>
  <c r="AX118" i="7"/>
  <c r="AW118" i="7"/>
  <c r="I118" i="7"/>
  <c r="H118" i="7"/>
  <c r="BK117" i="7"/>
  <c r="BJ117" i="7"/>
  <c r="BG117" i="7"/>
  <c r="BH117" i="7" s="1"/>
  <c r="BF117" i="7"/>
  <c r="BE117" i="7"/>
  <c r="BD117" i="7"/>
  <c r="BC117" i="7"/>
  <c r="BB117" i="7"/>
  <c r="BA117" i="7"/>
  <c r="AZ117" i="7"/>
  <c r="AY117" i="7"/>
  <c r="AX117" i="7"/>
  <c r="AW117" i="7"/>
  <c r="I117" i="7"/>
  <c r="H117" i="7"/>
  <c r="BK116" i="7"/>
  <c r="BJ116" i="7"/>
  <c r="BG116" i="7"/>
  <c r="BH116" i="7" s="1"/>
  <c r="BF116" i="7"/>
  <c r="BE116" i="7"/>
  <c r="BD116" i="7"/>
  <c r="BC116" i="7"/>
  <c r="BB116" i="7"/>
  <c r="BA116" i="7"/>
  <c r="AZ116" i="7"/>
  <c r="AY116" i="7"/>
  <c r="AX116" i="7"/>
  <c r="AW116" i="7"/>
  <c r="I116" i="7"/>
  <c r="H116" i="7"/>
  <c r="BK115" i="7"/>
  <c r="BJ115" i="7"/>
  <c r="BG115" i="7"/>
  <c r="BH115" i="7" s="1"/>
  <c r="BF115" i="7"/>
  <c r="BE115" i="7"/>
  <c r="BD115" i="7"/>
  <c r="BC115" i="7"/>
  <c r="BB115" i="7"/>
  <c r="BA115" i="7"/>
  <c r="AZ115" i="7"/>
  <c r="AY115" i="7"/>
  <c r="AX115" i="7"/>
  <c r="AW115" i="7"/>
  <c r="I115" i="7"/>
  <c r="H115" i="7"/>
  <c r="BK114" i="7"/>
  <c r="BJ114" i="7"/>
  <c r="BG114" i="7"/>
  <c r="BH114" i="7" s="1"/>
  <c r="BF114" i="7"/>
  <c r="BE114" i="7"/>
  <c r="BD114" i="7"/>
  <c r="BC114" i="7"/>
  <c r="BB114" i="7"/>
  <c r="BA114" i="7"/>
  <c r="AZ114" i="7"/>
  <c r="AY114" i="7"/>
  <c r="AX114" i="7"/>
  <c r="AW114" i="7"/>
  <c r="I114" i="7"/>
  <c r="H114" i="7"/>
  <c r="BK113" i="7"/>
  <c r="BJ113" i="7"/>
  <c r="BG113" i="7"/>
  <c r="BH113" i="7" s="1"/>
  <c r="BF113" i="7"/>
  <c r="BE113" i="7"/>
  <c r="BD113" i="7"/>
  <c r="BC113" i="7"/>
  <c r="BB113" i="7"/>
  <c r="BA113" i="7"/>
  <c r="AZ113" i="7"/>
  <c r="AY113" i="7"/>
  <c r="AX113" i="7"/>
  <c r="AW113" i="7"/>
  <c r="I113" i="7"/>
  <c r="H113" i="7"/>
  <c r="BK112" i="7"/>
  <c r="BJ112" i="7"/>
  <c r="BG112" i="7"/>
  <c r="BH112" i="7" s="1"/>
  <c r="BF112" i="7"/>
  <c r="BE112" i="7"/>
  <c r="BD112" i="7"/>
  <c r="BC112" i="7"/>
  <c r="BB112" i="7"/>
  <c r="BA112" i="7"/>
  <c r="AZ112" i="7"/>
  <c r="AY112" i="7"/>
  <c r="AX112" i="7"/>
  <c r="AW112" i="7"/>
  <c r="I112" i="7"/>
  <c r="H112" i="7"/>
  <c r="BK111" i="7"/>
  <c r="BJ111" i="7"/>
  <c r="BG111" i="7"/>
  <c r="BH111" i="7" s="1"/>
  <c r="BF111" i="7"/>
  <c r="BE111" i="7"/>
  <c r="BD111" i="7"/>
  <c r="BC111" i="7"/>
  <c r="BB111" i="7"/>
  <c r="BA111" i="7"/>
  <c r="AZ111" i="7"/>
  <c r="AY111" i="7"/>
  <c r="AX111" i="7"/>
  <c r="AW111" i="7"/>
  <c r="I111" i="7"/>
  <c r="H111" i="7"/>
  <c r="BK110" i="7"/>
  <c r="BJ110" i="7"/>
  <c r="BG110" i="7"/>
  <c r="BH110" i="7" s="1"/>
  <c r="BF110" i="7"/>
  <c r="BE110" i="7"/>
  <c r="BD110" i="7"/>
  <c r="BC110" i="7"/>
  <c r="BB110" i="7"/>
  <c r="BA110" i="7"/>
  <c r="AZ110" i="7"/>
  <c r="AY110" i="7"/>
  <c r="AX110" i="7"/>
  <c r="AW110" i="7"/>
  <c r="I110" i="7"/>
  <c r="H110" i="7"/>
  <c r="BK109" i="7"/>
  <c r="BJ109" i="7"/>
  <c r="BG109" i="7"/>
  <c r="BH109" i="7" s="1"/>
  <c r="BF109" i="7"/>
  <c r="BE109" i="7"/>
  <c r="BD109" i="7"/>
  <c r="BC109" i="7"/>
  <c r="BB109" i="7"/>
  <c r="BA109" i="7"/>
  <c r="AZ109" i="7"/>
  <c r="AY109" i="7"/>
  <c r="AX109" i="7"/>
  <c r="AW109" i="7"/>
  <c r="I109" i="7"/>
  <c r="H109" i="7"/>
  <c r="H21" i="7"/>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H152" i="5"/>
  <c r="G153" i="5"/>
  <c r="I17" i="7"/>
  <c r="I25" i="7"/>
  <c r="I27" i="7"/>
  <c r="H27" i="7"/>
  <c r="H52" i="5"/>
  <c r="G52" i="5"/>
  <c r="H38" i="5"/>
  <c r="G38" i="5"/>
  <c r="G9" i="2"/>
  <c r="F9" i="2"/>
  <c r="G27" i="2"/>
  <c r="F27" i="2"/>
  <c r="G28" i="2"/>
  <c r="F28" i="2"/>
  <c r="H204" i="5"/>
  <c r="G204" i="5"/>
  <c r="H203" i="5"/>
  <c r="G203" i="5"/>
  <c r="H202" i="5"/>
  <c r="G202" i="5"/>
  <c r="H201" i="5"/>
  <c r="G201" i="5"/>
  <c r="H200" i="5"/>
  <c r="G200" i="5"/>
  <c r="H199" i="5"/>
  <c r="G199" i="5"/>
  <c r="H198" i="5"/>
  <c r="G198" i="5"/>
  <c r="H197" i="5"/>
  <c r="G197" i="5"/>
  <c r="H196" i="5"/>
  <c r="G196" i="5"/>
  <c r="H195" i="5"/>
  <c r="G195" i="5"/>
  <c r="H194" i="5"/>
  <c r="G194" i="5"/>
  <c r="H193" i="5"/>
  <c r="G193" i="5"/>
  <c r="H192" i="5"/>
  <c r="G192" i="5"/>
  <c r="H191" i="5"/>
  <c r="G191" i="5"/>
  <c r="H190" i="5"/>
  <c r="G190" i="5"/>
  <c r="H189" i="5"/>
  <c r="G189" i="5"/>
  <c r="H188" i="5"/>
  <c r="G188" i="5"/>
  <c r="H187" i="5"/>
  <c r="G187" i="5"/>
  <c r="H186" i="5"/>
  <c r="G186" i="5"/>
  <c r="H185" i="5"/>
  <c r="G185" i="5"/>
  <c r="H184" i="5"/>
  <c r="G184" i="5"/>
  <c r="H183" i="5"/>
  <c r="G183" i="5"/>
  <c r="H182" i="5"/>
  <c r="G182" i="5"/>
  <c r="H181" i="5"/>
  <c r="G181" i="5"/>
  <c r="H180" i="5"/>
  <c r="G180" i="5"/>
  <c r="H179" i="5"/>
  <c r="G179" i="5"/>
  <c r="H178" i="5"/>
  <c r="G178" i="5"/>
  <c r="H177" i="5"/>
  <c r="G177" i="5"/>
  <c r="H176" i="5"/>
  <c r="G176" i="5"/>
  <c r="H48" i="4"/>
  <c r="G48" i="4"/>
  <c r="H47" i="4"/>
  <c r="G47" i="4"/>
  <c r="H46" i="4"/>
  <c r="G46" i="4"/>
  <c r="H45" i="4"/>
  <c r="G45" i="4"/>
  <c r="H44" i="4"/>
  <c r="G44" i="4"/>
  <c r="H43" i="4"/>
  <c r="G43" i="4"/>
  <c r="H42" i="4"/>
  <c r="G42" i="4"/>
  <c r="H41" i="4"/>
  <c r="G41" i="4"/>
  <c r="H40" i="4"/>
  <c r="G40" i="4"/>
  <c r="H39" i="4"/>
  <c r="G39" i="4"/>
  <c r="H38" i="4"/>
  <c r="G38" i="4"/>
  <c r="H37" i="4"/>
  <c r="G37" i="4"/>
  <c r="H36" i="4"/>
  <c r="G36" i="4"/>
  <c r="H35" i="4"/>
  <c r="G35" i="4"/>
  <c r="H34" i="4"/>
  <c r="G34" i="4"/>
  <c r="H33" i="4"/>
  <c r="G33" i="4"/>
  <c r="H32" i="4"/>
  <c r="G32" i="4"/>
  <c r="H31" i="4"/>
  <c r="G31" i="4"/>
  <c r="H30" i="4"/>
  <c r="G30" i="4"/>
  <c r="G29" i="4"/>
  <c r="BJ1050" i="8"/>
  <c r="BI1050" i="8"/>
  <c r="BH1050" i="8"/>
  <c r="BG1050" i="8"/>
  <c r="BF1050" i="8"/>
  <c r="BE1050" i="8"/>
  <c r="BD1050" i="8"/>
  <c r="BC1050" i="8"/>
  <c r="BB1050" i="8"/>
  <c r="BA1050" i="8"/>
  <c r="AZ1050" i="8"/>
  <c r="AY1050" i="8"/>
  <c r="AX1050" i="8"/>
  <c r="AW1050" i="8"/>
  <c r="AV1050" i="8"/>
  <c r="AU1050" i="8"/>
  <c r="T1050" i="8"/>
  <c r="L1050" i="8"/>
  <c r="H1050" i="8"/>
  <c r="G1050" i="8"/>
  <c r="F1050" i="8"/>
  <c r="E1050" i="8"/>
  <c r="D1050" i="8"/>
  <c r="C1050" i="8"/>
  <c r="B1050" i="8"/>
  <c r="BJ1049" i="8"/>
  <c r="BI1049" i="8"/>
  <c r="BH1049" i="8"/>
  <c r="BG1049" i="8"/>
  <c r="BF1049" i="8"/>
  <c r="BE1049" i="8"/>
  <c r="BD1049" i="8"/>
  <c r="BC1049" i="8"/>
  <c r="BB1049" i="8"/>
  <c r="BA1049" i="8"/>
  <c r="AZ1049" i="8"/>
  <c r="AY1049" i="8"/>
  <c r="AX1049" i="8"/>
  <c r="AW1049" i="8"/>
  <c r="AV1049" i="8"/>
  <c r="AU1049" i="8"/>
  <c r="T1049" i="8"/>
  <c r="L1049" i="8"/>
  <c r="H1049" i="8"/>
  <c r="G1049" i="8"/>
  <c r="F1049" i="8"/>
  <c r="E1049" i="8"/>
  <c r="D1049" i="8"/>
  <c r="C1049" i="8"/>
  <c r="B1049" i="8"/>
  <c r="BJ1048" i="8"/>
  <c r="BI1048" i="8"/>
  <c r="BH1048" i="8"/>
  <c r="BG1048" i="8"/>
  <c r="BF1048" i="8"/>
  <c r="BE1048" i="8"/>
  <c r="BD1048" i="8"/>
  <c r="BC1048" i="8"/>
  <c r="BB1048" i="8"/>
  <c r="BA1048" i="8"/>
  <c r="AZ1048" i="8"/>
  <c r="AY1048" i="8"/>
  <c r="AX1048" i="8"/>
  <c r="AW1048" i="8"/>
  <c r="AV1048" i="8"/>
  <c r="AU1048" i="8"/>
  <c r="T1048" i="8"/>
  <c r="L1048" i="8"/>
  <c r="H1048" i="8"/>
  <c r="G1048" i="8"/>
  <c r="F1048" i="8"/>
  <c r="E1048" i="8"/>
  <c r="D1048" i="8"/>
  <c r="C1048" i="8"/>
  <c r="B1048" i="8"/>
  <c r="BJ1047" i="8"/>
  <c r="BI1047" i="8"/>
  <c r="BH1047" i="8"/>
  <c r="BG1047" i="8"/>
  <c r="BF1047" i="8"/>
  <c r="BE1047" i="8"/>
  <c r="BD1047" i="8"/>
  <c r="BC1047" i="8"/>
  <c r="BB1047" i="8"/>
  <c r="BA1047" i="8"/>
  <c r="AZ1047" i="8"/>
  <c r="AY1047" i="8"/>
  <c r="AX1047" i="8"/>
  <c r="AW1047" i="8"/>
  <c r="AV1047" i="8"/>
  <c r="AU1047" i="8"/>
  <c r="T1047" i="8"/>
  <c r="L1047" i="8"/>
  <c r="H1047" i="8"/>
  <c r="G1047" i="8"/>
  <c r="F1047" i="8"/>
  <c r="E1047" i="8"/>
  <c r="D1047" i="8"/>
  <c r="C1047" i="8"/>
  <c r="B1047" i="8"/>
  <c r="BJ1046" i="8"/>
  <c r="BI1046" i="8"/>
  <c r="BH1046" i="8"/>
  <c r="BG1046" i="8"/>
  <c r="BF1046" i="8"/>
  <c r="BE1046" i="8"/>
  <c r="BD1046" i="8"/>
  <c r="BC1046" i="8"/>
  <c r="BB1046" i="8"/>
  <c r="BA1046" i="8"/>
  <c r="AZ1046" i="8"/>
  <c r="AY1046" i="8"/>
  <c r="AX1046" i="8"/>
  <c r="AW1046" i="8"/>
  <c r="AV1046" i="8"/>
  <c r="AU1046" i="8"/>
  <c r="T1046" i="8"/>
  <c r="L1046" i="8"/>
  <c r="H1046" i="8"/>
  <c r="G1046" i="8"/>
  <c r="F1046" i="8"/>
  <c r="E1046" i="8"/>
  <c r="D1046" i="8"/>
  <c r="C1046" i="8"/>
  <c r="B1046" i="8"/>
  <c r="BJ1045" i="8"/>
  <c r="BI1045" i="8"/>
  <c r="BH1045" i="8"/>
  <c r="BG1045" i="8"/>
  <c r="BF1045" i="8"/>
  <c r="BE1045" i="8"/>
  <c r="BD1045" i="8"/>
  <c r="BC1045" i="8"/>
  <c r="BB1045" i="8"/>
  <c r="BA1045" i="8"/>
  <c r="AZ1045" i="8"/>
  <c r="AY1045" i="8"/>
  <c r="AX1045" i="8"/>
  <c r="AW1045" i="8"/>
  <c r="AV1045" i="8"/>
  <c r="AU1045" i="8"/>
  <c r="T1045" i="8"/>
  <c r="L1045" i="8"/>
  <c r="H1045" i="8"/>
  <c r="G1045" i="8"/>
  <c r="F1045" i="8"/>
  <c r="E1045" i="8"/>
  <c r="D1045" i="8"/>
  <c r="C1045" i="8"/>
  <c r="B1045" i="8"/>
  <c r="BJ1044" i="8"/>
  <c r="BI1044" i="8"/>
  <c r="BH1044" i="8"/>
  <c r="BG1044" i="8"/>
  <c r="BF1044" i="8"/>
  <c r="BE1044" i="8"/>
  <c r="BD1044" i="8"/>
  <c r="BC1044" i="8"/>
  <c r="BB1044" i="8"/>
  <c r="BA1044" i="8"/>
  <c r="AZ1044" i="8"/>
  <c r="AY1044" i="8"/>
  <c r="AX1044" i="8"/>
  <c r="AW1044" i="8"/>
  <c r="AV1044" i="8"/>
  <c r="AU1044" i="8"/>
  <c r="T1044" i="8"/>
  <c r="L1044" i="8"/>
  <c r="H1044" i="8"/>
  <c r="G1044" i="8"/>
  <c r="F1044" i="8"/>
  <c r="E1044" i="8"/>
  <c r="D1044" i="8"/>
  <c r="C1044" i="8"/>
  <c r="B1044" i="8"/>
  <c r="BJ1043" i="8"/>
  <c r="BI1043" i="8"/>
  <c r="BH1043" i="8"/>
  <c r="BG1043" i="8"/>
  <c r="BF1043" i="8"/>
  <c r="BE1043" i="8"/>
  <c r="BD1043" i="8"/>
  <c r="BC1043" i="8"/>
  <c r="BB1043" i="8"/>
  <c r="BA1043" i="8"/>
  <c r="AZ1043" i="8"/>
  <c r="AY1043" i="8"/>
  <c r="AX1043" i="8"/>
  <c r="AW1043" i="8"/>
  <c r="AV1043" i="8"/>
  <c r="AU1043" i="8"/>
  <c r="T1043" i="8"/>
  <c r="L1043" i="8"/>
  <c r="H1043" i="8"/>
  <c r="G1043" i="8"/>
  <c r="F1043" i="8"/>
  <c r="E1043" i="8"/>
  <c r="D1043" i="8"/>
  <c r="C1043" i="8"/>
  <c r="B1043" i="8"/>
  <c r="BJ1042" i="8"/>
  <c r="BI1042" i="8"/>
  <c r="BH1042" i="8"/>
  <c r="BG1042" i="8"/>
  <c r="BF1042" i="8"/>
  <c r="BE1042" i="8"/>
  <c r="BD1042" i="8"/>
  <c r="BC1042" i="8"/>
  <c r="BB1042" i="8"/>
  <c r="BA1042" i="8"/>
  <c r="AZ1042" i="8"/>
  <c r="AY1042" i="8"/>
  <c r="AX1042" i="8"/>
  <c r="AW1042" i="8"/>
  <c r="AV1042" i="8"/>
  <c r="AU1042" i="8"/>
  <c r="T1042" i="8"/>
  <c r="L1042" i="8"/>
  <c r="H1042" i="8"/>
  <c r="G1042" i="8"/>
  <c r="F1042" i="8"/>
  <c r="E1042" i="8"/>
  <c r="D1042" i="8"/>
  <c r="C1042" i="8"/>
  <c r="B1042" i="8"/>
  <c r="BJ1041" i="8"/>
  <c r="BI1041" i="8"/>
  <c r="BH1041" i="8"/>
  <c r="BG1041" i="8"/>
  <c r="BF1041" i="8"/>
  <c r="BE1041" i="8"/>
  <c r="BD1041" i="8"/>
  <c r="BC1041" i="8"/>
  <c r="BB1041" i="8"/>
  <c r="BA1041" i="8"/>
  <c r="AZ1041" i="8"/>
  <c r="AY1041" i="8"/>
  <c r="AX1041" i="8"/>
  <c r="AW1041" i="8"/>
  <c r="AV1041" i="8"/>
  <c r="AU1041" i="8"/>
  <c r="T1041" i="8"/>
  <c r="L1041" i="8"/>
  <c r="H1041" i="8"/>
  <c r="G1041" i="8"/>
  <c r="F1041" i="8"/>
  <c r="E1041" i="8"/>
  <c r="D1041" i="8"/>
  <c r="C1041" i="8"/>
  <c r="B1041" i="8"/>
  <c r="BJ1040" i="8"/>
  <c r="BI1040" i="8"/>
  <c r="BH1040" i="8"/>
  <c r="BG1040" i="8"/>
  <c r="BF1040" i="8"/>
  <c r="BE1040" i="8"/>
  <c r="BD1040" i="8"/>
  <c r="BC1040" i="8"/>
  <c r="BB1040" i="8"/>
  <c r="BA1040" i="8"/>
  <c r="AZ1040" i="8"/>
  <c r="AY1040" i="8"/>
  <c r="AX1040" i="8"/>
  <c r="AW1040" i="8"/>
  <c r="AV1040" i="8"/>
  <c r="AU1040" i="8"/>
  <c r="T1040" i="8"/>
  <c r="L1040" i="8"/>
  <c r="H1040" i="8"/>
  <c r="G1040" i="8"/>
  <c r="F1040" i="8"/>
  <c r="E1040" i="8"/>
  <c r="D1040" i="8"/>
  <c r="C1040" i="8"/>
  <c r="B1040" i="8"/>
  <c r="BJ1039" i="8"/>
  <c r="BI1039" i="8"/>
  <c r="BH1039" i="8"/>
  <c r="BG1039" i="8"/>
  <c r="BF1039" i="8"/>
  <c r="BE1039" i="8"/>
  <c r="BD1039" i="8"/>
  <c r="BC1039" i="8"/>
  <c r="BB1039" i="8"/>
  <c r="BA1039" i="8"/>
  <c r="AZ1039" i="8"/>
  <c r="AY1039" i="8"/>
  <c r="AX1039" i="8"/>
  <c r="AW1039" i="8"/>
  <c r="AV1039" i="8"/>
  <c r="AU1039" i="8"/>
  <c r="T1039" i="8"/>
  <c r="L1039" i="8"/>
  <c r="H1039" i="8"/>
  <c r="G1039" i="8"/>
  <c r="F1039" i="8"/>
  <c r="E1039" i="8"/>
  <c r="D1039" i="8"/>
  <c r="C1039" i="8"/>
  <c r="B1039" i="8"/>
  <c r="BJ1038" i="8"/>
  <c r="BI1038" i="8"/>
  <c r="BH1038" i="8"/>
  <c r="BG1038" i="8"/>
  <c r="BF1038" i="8"/>
  <c r="BE1038" i="8"/>
  <c r="BD1038" i="8"/>
  <c r="BC1038" i="8"/>
  <c r="BB1038" i="8"/>
  <c r="BA1038" i="8"/>
  <c r="AZ1038" i="8"/>
  <c r="AY1038" i="8"/>
  <c r="AX1038" i="8"/>
  <c r="AW1038" i="8"/>
  <c r="AV1038" i="8"/>
  <c r="AU1038" i="8"/>
  <c r="T1038" i="8"/>
  <c r="L1038" i="8"/>
  <c r="H1038" i="8"/>
  <c r="G1038" i="8"/>
  <c r="F1038" i="8"/>
  <c r="E1038" i="8"/>
  <c r="D1038" i="8"/>
  <c r="C1038" i="8"/>
  <c r="B1038" i="8"/>
  <c r="BJ1037" i="8"/>
  <c r="BI1037" i="8"/>
  <c r="BH1037" i="8"/>
  <c r="BG1037" i="8"/>
  <c r="BF1037" i="8"/>
  <c r="BE1037" i="8"/>
  <c r="BD1037" i="8"/>
  <c r="BC1037" i="8"/>
  <c r="BB1037" i="8"/>
  <c r="BA1037" i="8"/>
  <c r="AZ1037" i="8"/>
  <c r="AY1037" i="8"/>
  <c r="AX1037" i="8"/>
  <c r="AW1037" i="8"/>
  <c r="AV1037" i="8"/>
  <c r="AU1037" i="8"/>
  <c r="T1037" i="8"/>
  <c r="L1037" i="8"/>
  <c r="H1037" i="8"/>
  <c r="G1037" i="8"/>
  <c r="F1037" i="8"/>
  <c r="E1037" i="8"/>
  <c r="D1037" i="8"/>
  <c r="C1037" i="8"/>
  <c r="B1037" i="8"/>
  <c r="BJ1036" i="8"/>
  <c r="BI1036" i="8"/>
  <c r="BH1036" i="8"/>
  <c r="BG1036" i="8"/>
  <c r="BF1036" i="8"/>
  <c r="BE1036" i="8"/>
  <c r="BD1036" i="8"/>
  <c r="BC1036" i="8"/>
  <c r="BB1036" i="8"/>
  <c r="BA1036" i="8"/>
  <c r="AZ1036" i="8"/>
  <c r="AY1036" i="8"/>
  <c r="AX1036" i="8"/>
  <c r="AW1036" i="8"/>
  <c r="AV1036" i="8"/>
  <c r="AU1036" i="8"/>
  <c r="T1036" i="8"/>
  <c r="L1036" i="8"/>
  <c r="H1036" i="8"/>
  <c r="G1036" i="8"/>
  <c r="F1036" i="8"/>
  <c r="E1036" i="8"/>
  <c r="D1036" i="8"/>
  <c r="C1036" i="8"/>
  <c r="B1036" i="8"/>
  <c r="BJ1035" i="8"/>
  <c r="BI1035" i="8"/>
  <c r="BH1035" i="8"/>
  <c r="BG1035" i="8"/>
  <c r="BF1035" i="8"/>
  <c r="BE1035" i="8"/>
  <c r="BD1035" i="8"/>
  <c r="BC1035" i="8"/>
  <c r="BB1035" i="8"/>
  <c r="BA1035" i="8"/>
  <c r="AZ1035" i="8"/>
  <c r="AY1035" i="8"/>
  <c r="AX1035" i="8"/>
  <c r="AW1035" i="8"/>
  <c r="AV1035" i="8"/>
  <c r="AU1035" i="8"/>
  <c r="T1035" i="8"/>
  <c r="L1035" i="8"/>
  <c r="H1035" i="8"/>
  <c r="G1035" i="8"/>
  <c r="F1035" i="8"/>
  <c r="E1035" i="8"/>
  <c r="D1035" i="8"/>
  <c r="C1035" i="8"/>
  <c r="B1035" i="8"/>
  <c r="BJ1034" i="8"/>
  <c r="BI1034" i="8"/>
  <c r="BH1034" i="8"/>
  <c r="BG1034" i="8"/>
  <c r="BF1034" i="8"/>
  <c r="BE1034" i="8"/>
  <c r="BD1034" i="8"/>
  <c r="BC1034" i="8"/>
  <c r="BB1034" i="8"/>
  <c r="BA1034" i="8"/>
  <c r="AZ1034" i="8"/>
  <c r="AY1034" i="8"/>
  <c r="AX1034" i="8"/>
  <c r="AW1034" i="8"/>
  <c r="AV1034" i="8"/>
  <c r="AU1034" i="8"/>
  <c r="T1034" i="8"/>
  <c r="L1034" i="8"/>
  <c r="H1034" i="8"/>
  <c r="G1034" i="8"/>
  <c r="F1034" i="8"/>
  <c r="E1034" i="8"/>
  <c r="D1034" i="8"/>
  <c r="C1034" i="8"/>
  <c r="B1034" i="8"/>
  <c r="BJ1033" i="8"/>
  <c r="BI1033" i="8"/>
  <c r="BH1033" i="8"/>
  <c r="BG1033" i="8"/>
  <c r="BF1033" i="8"/>
  <c r="BE1033" i="8"/>
  <c r="BD1033" i="8"/>
  <c r="BC1033" i="8"/>
  <c r="BB1033" i="8"/>
  <c r="BA1033" i="8"/>
  <c r="AZ1033" i="8"/>
  <c r="AY1033" i="8"/>
  <c r="AX1033" i="8"/>
  <c r="AW1033" i="8"/>
  <c r="AV1033" i="8"/>
  <c r="AU1033" i="8"/>
  <c r="T1033" i="8"/>
  <c r="L1033" i="8"/>
  <c r="H1033" i="8"/>
  <c r="G1033" i="8"/>
  <c r="F1033" i="8"/>
  <c r="E1033" i="8"/>
  <c r="D1033" i="8"/>
  <c r="C1033" i="8"/>
  <c r="B1033" i="8"/>
  <c r="BJ1032" i="8"/>
  <c r="BI1032" i="8"/>
  <c r="BH1032" i="8"/>
  <c r="BG1032" i="8"/>
  <c r="BF1032" i="8"/>
  <c r="BE1032" i="8"/>
  <c r="BD1032" i="8"/>
  <c r="BC1032" i="8"/>
  <c r="BB1032" i="8"/>
  <c r="BA1032" i="8"/>
  <c r="AZ1032" i="8"/>
  <c r="AY1032" i="8"/>
  <c r="AX1032" i="8"/>
  <c r="AW1032" i="8"/>
  <c r="AV1032" i="8"/>
  <c r="AU1032" i="8"/>
  <c r="T1032" i="8"/>
  <c r="L1032" i="8"/>
  <c r="H1032" i="8"/>
  <c r="G1032" i="8"/>
  <c r="F1032" i="8"/>
  <c r="E1032" i="8"/>
  <c r="D1032" i="8"/>
  <c r="C1032" i="8"/>
  <c r="B1032" i="8"/>
  <c r="BJ1031" i="8"/>
  <c r="BI1031" i="8"/>
  <c r="BH1031" i="8"/>
  <c r="BG1031" i="8"/>
  <c r="BF1031" i="8"/>
  <c r="BE1031" i="8"/>
  <c r="BD1031" i="8"/>
  <c r="BC1031" i="8"/>
  <c r="BB1031" i="8"/>
  <c r="BA1031" i="8"/>
  <c r="AZ1031" i="8"/>
  <c r="AY1031" i="8"/>
  <c r="AX1031" i="8"/>
  <c r="AW1031" i="8"/>
  <c r="AV1031" i="8"/>
  <c r="AU1031" i="8"/>
  <c r="T1031" i="8"/>
  <c r="L1031" i="8"/>
  <c r="H1031" i="8"/>
  <c r="G1031" i="8"/>
  <c r="F1031" i="8"/>
  <c r="E1031" i="8"/>
  <c r="D1031" i="8"/>
  <c r="C1031" i="8"/>
  <c r="B1031" i="8"/>
  <c r="BJ1030" i="8"/>
  <c r="BI1030" i="8"/>
  <c r="BH1030" i="8"/>
  <c r="BG1030" i="8"/>
  <c r="BF1030" i="8"/>
  <c r="BE1030" i="8"/>
  <c r="BD1030" i="8"/>
  <c r="BC1030" i="8"/>
  <c r="BB1030" i="8"/>
  <c r="BA1030" i="8"/>
  <c r="AZ1030" i="8"/>
  <c r="AY1030" i="8"/>
  <c r="AX1030" i="8"/>
  <c r="AW1030" i="8"/>
  <c r="AV1030" i="8"/>
  <c r="AU1030" i="8"/>
  <c r="T1030" i="8"/>
  <c r="L1030" i="8"/>
  <c r="H1030" i="8"/>
  <c r="G1030" i="8"/>
  <c r="F1030" i="8"/>
  <c r="E1030" i="8"/>
  <c r="D1030" i="8"/>
  <c r="C1030" i="8"/>
  <c r="B1030" i="8"/>
  <c r="BJ1029" i="8"/>
  <c r="BI1029" i="8"/>
  <c r="BH1029" i="8"/>
  <c r="BG1029" i="8"/>
  <c r="BF1029" i="8"/>
  <c r="BE1029" i="8"/>
  <c r="BD1029" i="8"/>
  <c r="BC1029" i="8"/>
  <c r="BB1029" i="8"/>
  <c r="BA1029" i="8"/>
  <c r="AZ1029" i="8"/>
  <c r="AY1029" i="8"/>
  <c r="AX1029" i="8"/>
  <c r="AW1029" i="8"/>
  <c r="AV1029" i="8"/>
  <c r="AU1029" i="8"/>
  <c r="T1029" i="8"/>
  <c r="L1029" i="8"/>
  <c r="H1029" i="8"/>
  <c r="G1029" i="8"/>
  <c r="F1029" i="8"/>
  <c r="E1029" i="8"/>
  <c r="D1029" i="8"/>
  <c r="C1029" i="8"/>
  <c r="B1029" i="8"/>
  <c r="BJ1028" i="8"/>
  <c r="BI1028" i="8"/>
  <c r="BH1028" i="8"/>
  <c r="BG1028" i="8"/>
  <c r="BF1028" i="8"/>
  <c r="BE1028" i="8"/>
  <c r="BD1028" i="8"/>
  <c r="BC1028" i="8"/>
  <c r="BB1028" i="8"/>
  <c r="BA1028" i="8"/>
  <c r="AZ1028" i="8"/>
  <c r="AY1028" i="8"/>
  <c r="AX1028" i="8"/>
  <c r="AW1028" i="8"/>
  <c r="AV1028" i="8"/>
  <c r="AU1028" i="8"/>
  <c r="T1028" i="8"/>
  <c r="L1028" i="8"/>
  <c r="H1028" i="8"/>
  <c r="G1028" i="8"/>
  <c r="F1028" i="8"/>
  <c r="E1028" i="8"/>
  <c r="D1028" i="8"/>
  <c r="C1028" i="8"/>
  <c r="B1028" i="8"/>
  <c r="BJ1027" i="8"/>
  <c r="BI1027" i="8"/>
  <c r="BH1027" i="8"/>
  <c r="BG1027" i="8"/>
  <c r="BF1027" i="8"/>
  <c r="BE1027" i="8"/>
  <c r="BD1027" i="8"/>
  <c r="BC1027" i="8"/>
  <c r="BB1027" i="8"/>
  <c r="BA1027" i="8"/>
  <c r="AZ1027" i="8"/>
  <c r="AY1027" i="8"/>
  <c r="AX1027" i="8"/>
  <c r="AW1027" i="8"/>
  <c r="AV1027" i="8"/>
  <c r="AU1027" i="8"/>
  <c r="T1027" i="8"/>
  <c r="L1027" i="8"/>
  <c r="H1027" i="8"/>
  <c r="G1027" i="8"/>
  <c r="F1027" i="8"/>
  <c r="E1027" i="8"/>
  <c r="D1027" i="8"/>
  <c r="C1027" i="8"/>
  <c r="B1027" i="8"/>
  <c r="BJ1026" i="8"/>
  <c r="BI1026" i="8"/>
  <c r="BH1026" i="8"/>
  <c r="BG1026" i="8"/>
  <c r="BF1026" i="8"/>
  <c r="BE1026" i="8"/>
  <c r="BD1026" i="8"/>
  <c r="BC1026" i="8"/>
  <c r="BB1026" i="8"/>
  <c r="BA1026" i="8"/>
  <c r="AZ1026" i="8"/>
  <c r="AY1026" i="8"/>
  <c r="AX1026" i="8"/>
  <c r="AW1026" i="8"/>
  <c r="AV1026" i="8"/>
  <c r="AU1026" i="8"/>
  <c r="T1026" i="8"/>
  <c r="L1026" i="8"/>
  <c r="H1026" i="8"/>
  <c r="G1026" i="8"/>
  <c r="F1026" i="8"/>
  <c r="E1026" i="8"/>
  <c r="D1026" i="8"/>
  <c r="C1026" i="8"/>
  <c r="B1026" i="8"/>
  <c r="BJ1025" i="8"/>
  <c r="BI1025" i="8"/>
  <c r="BH1025" i="8"/>
  <c r="BG1025" i="8"/>
  <c r="BF1025" i="8"/>
  <c r="BE1025" i="8"/>
  <c r="BD1025" i="8"/>
  <c r="BC1025" i="8"/>
  <c r="BB1025" i="8"/>
  <c r="BA1025" i="8"/>
  <c r="AZ1025" i="8"/>
  <c r="AY1025" i="8"/>
  <c r="AX1025" i="8"/>
  <c r="AW1025" i="8"/>
  <c r="AV1025" i="8"/>
  <c r="AU1025" i="8"/>
  <c r="T1025" i="8"/>
  <c r="L1025" i="8"/>
  <c r="H1025" i="8"/>
  <c r="G1025" i="8"/>
  <c r="F1025" i="8"/>
  <c r="E1025" i="8"/>
  <c r="D1025" i="8"/>
  <c r="C1025" i="8"/>
  <c r="B1025" i="8"/>
  <c r="BJ1024" i="8"/>
  <c r="BI1024" i="8"/>
  <c r="BH1024" i="8"/>
  <c r="BG1024" i="8"/>
  <c r="BF1024" i="8"/>
  <c r="BE1024" i="8"/>
  <c r="BD1024" i="8"/>
  <c r="BC1024" i="8"/>
  <c r="BB1024" i="8"/>
  <c r="BA1024" i="8"/>
  <c r="AZ1024" i="8"/>
  <c r="AY1024" i="8"/>
  <c r="AX1024" i="8"/>
  <c r="AW1024" i="8"/>
  <c r="AV1024" i="8"/>
  <c r="AU1024" i="8"/>
  <c r="T1024" i="8"/>
  <c r="L1024" i="8"/>
  <c r="H1024" i="8"/>
  <c r="G1024" i="8"/>
  <c r="F1024" i="8"/>
  <c r="E1024" i="8"/>
  <c r="D1024" i="8"/>
  <c r="C1024" i="8"/>
  <c r="B1024" i="8"/>
  <c r="BJ1023" i="8"/>
  <c r="BI1023" i="8"/>
  <c r="BH1023" i="8"/>
  <c r="BG1023" i="8"/>
  <c r="BF1023" i="8"/>
  <c r="BE1023" i="8"/>
  <c r="BD1023" i="8"/>
  <c r="BC1023" i="8"/>
  <c r="BB1023" i="8"/>
  <c r="BA1023" i="8"/>
  <c r="AZ1023" i="8"/>
  <c r="AY1023" i="8"/>
  <c r="AX1023" i="8"/>
  <c r="AW1023" i="8"/>
  <c r="AV1023" i="8"/>
  <c r="AU1023" i="8"/>
  <c r="T1023" i="8"/>
  <c r="L1023" i="8"/>
  <c r="H1023" i="8"/>
  <c r="G1023" i="8"/>
  <c r="F1023" i="8"/>
  <c r="E1023" i="8"/>
  <c r="D1023" i="8"/>
  <c r="C1023" i="8"/>
  <c r="B1023" i="8"/>
  <c r="BJ1022" i="8"/>
  <c r="BI1022" i="8"/>
  <c r="BH1022" i="8"/>
  <c r="BG1022" i="8"/>
  <c r="BF1022" i="8"/>
  <c r="BE1022" i="8"/>
  <c r="BD1022" i="8"/>
  <c r="BC1022" i="8"/>
  <c r="BB1022" i="8"/>
  <c r="BA1022" i="8"/>
  <c r="AZ1022" i="8"/>
  <c r="AY1022" i="8"/>
  <c r="AX1022" i="8"/>
  <c r="AW1022" i="8"/>
  <c r="AV1022" i="8"/>
  <c r="AU1022" i="8"/>
  <c r="T1022" i="8"/>
  <c r="L1022" i="8"/>
  <c r="H1022" i="8"/>
  <c r="G1022" i="8"/>
  <c r="F1022" i="8"/>
  <c r="E1022" i="8"/>
  <c r="D1022" i="8"/>
  <c r="C1022" i="8"/>
  <c r="B1022" i="8"/>
  <c r="BJ1021" i="8"/>
  <c r="BI1021" i="8"/>
  <c r="BH1021" i="8"/>
  <c r="BG1021" i="8"/>
  <c r="BF1021" i="8"/>
  <c r="BE1021" i="8"/>
  <c r="BD1021" i="8"/>
  <c r="BC1021" i="8"/>
  <c r="BB1021" i="8"/>
  <c r="BA1021" i="8"/>
  <c r="AZ1021" i="8"/>
  <c r="AY1021" i="8"/>
  <c r="AX1021" i="8"/>
  <c r="AW1021" i="8"/>
  <c r="AV1021" i="8"/>
  <c r="AU1021" i="8"/>
  <c r="T1021" i="8"/>
  <c r="L1021" i="8"/>
  <c r="H1021" i="8"/>
  <c r="G1021" i="8"/>
  <c r="F1021" i="8"/>
  <c r="E1021" i="8"/>
  <c r="D1021" i="8"/>
  <c r="C1021" i="8"/>
  <c r="B1021" i="8"/>
  <c r="BJ1020" i="8"/>
  <c r="BI1020" i="8"/>
  <c r="BH1020" i="8"/>
  <c r="BG1020" i="8"/>
  <c r="BF1020" i="8"/>
  <c r="BE1020" i="8"/>
  <c r="BD1020" i="8"/>
  <c r="BC1020" i="8"/>
  <c r="BB1020" i="8"/>
  <c r="BA1020" i="8"/>
  <c r="AZ1020" i="8"/>
  <c r="AY1020" i="8"/>
  <c r="AX1020" i="8"/>
  <c r="AW1020" i="8"/>
  <c r="AV1020" i="8"/>
  <c r="AU1020" i="8"/>
  <c r="T1020" i="8"/>
  <c r="L1020" i="8"/>
  <c r="H1020" i="8"/>
  <c r="G1020" i="8"/>
  <c r="F1020" i="8"/>
  <c r="E1020" i="8"/>
  <c r="D1020" i="8"/>
  <c r="C1020" i="8"/>
  <c r="B1020" i="8"/>
  <c r="BJ1019" i="8"/>
  <c r="BI1019" i="8"/>
  <c r="BH1019" i="8"/>
  <c r="BG1019" i="8"/>
  <c r="BF1019" i="8"/>
  <c r="BE1019" i="8"/>
  <c r="BD1019" i="8"/>
  <c r="BC1019" i="8"/>
  <c r="BB1019" i="8"/>
  <c r="BA1019" i="8"/>
  <c r="AZ1019" i="8"/>
  <c r="AY1019" i="8"/>
  <c r="AX1019" i="8"/>
  <c r="AW1019" i="8"/>
  <c r="AV1019" i="8"/>
  <c r="AU1019" i="8"/>
  <c r="T1019" i="8"/>
  <c r="L1019" i="8"/>
  <c r="H1019" i="8"/>
  <c r="G1019" i="8"/>
  <c r="F1019" i="8"/>
  <c r="E1019" i="8"/>
  <c r="D1019" i="8"/>
  <c r="C1019" i="8"/>
  <c r="B1019" i="8"/>
  <c r="BJ1018" i="8"/>
  <c r="BI1018" i="8"/>
  <c r="BH1018" i="8"/>
  <c r="BG1018" i="8"/>
  <c r="BF1018" i="8"/>
  <c r="BE1018" i="8"/>
  <c r="BD1018" i="8"/>
  <c r="BC1018" i="8"/>
  <c r="BB1018" i="8"/>
  <c r="BA1018" i="8"/>
  <c r="AZ1018" i="8"/>
  <c r="AY1018" i="8"/>
  <c r="AX1018" i="8"/>
  <c r="AW1018" i="8"/>
  <c r="AV1018" i="8"/>
  <c r="AU1018" i="8"/>
  <c r="T1018" i="8"/>
  <c r="L1018" i="8"/>
  <c r="H1018" i="8"/>
  <c r="G1018" i="8"/>
  <c r="F1018" i="8"/>
  <c r="E1018" i="8"/>
  <c r="D1018" i="8"/>
  <c r="C1018" i="8"/>
  <c r="B1018" i="8"/>
  <c r="BJ1017" i="8"/>
  <c r="BI1017" i="8"/>
  <c r="BH1017" i="8"/>
  <c r="BG1017" i="8"/>
  <c r="BF1017" i="8"/>
  <c r="BE1017" i="8"/>
  <c r="BD1017" i="8"/>
  <c r="BC1017" i="8"/>
  <c r="BB1017" i="8"/>
  <c r="BA1017" i="8"/>
  <c r="AZ1017" i="8"/>
  <c r="AY1017" i="8"/>
  <c r="AX1017" i="8"/>
  <c r="AW1017" i="8"/>
  <c r="AV1017" i="8"/>
  <c r="AU1017" i="8"/>
  <c r="T1017" i="8"/>
  <c r="L1017" i="8"/>
  <c r="H1017" i="8"/>
  <c r="G1017" i="8"/>
  <c r="F1017" i="8"/>
  <c r="E1017" i="8"/>
  <c r="D1017" i="8"/>
  <c r="C1017" i="8"/>
  <c r="B1017" i="8"/>
  <c r="BJ1016" i="8"/>
  <c r="BI1016" i="8"/>
  <c r="BH1016" i="8"/>
  <c r="BG1016" i="8"/>
  <c r="BF1016" i="8"/>
  <c r="BE1016" i="8"/>
  <c r="BD1016" i="8"/>
  <c r="BC1016" i="8"/>
  <c r="BB1016" i="8"/>
  <c r="BA1016" i="8"/>
  <c r="AZ1016" i="8"/>
  <c r="AY1016" i="8"/>
  <c r="AX1016" i="8"/>
  <c r="AW1016" i="8"/>
  <c r="AV1016" i="8"/>
  <c r="AU1016" i="8"/>
  <c r="T1016" i="8"/>
  <c r="L1016" i="8"/>
  <c r="H1016" i="8"/>
  <c r="G1016" i="8"/>
  <c r="F1016" i="8"/>
  <c r="E1016" i="8"/>
  <c r="D1016" i="8"/>
  <c r="C1016" i="8"/>
  <c r="B1016" i="8"/>
  <c r="BJ1015" i="8"/>
  <c r="BI1015" i="8"/>
  <c r="BH1015" i="8"/>
  <c r="BG1015" i="8"/>
  <c r="BF1015" i="8"/>
  <c r="BE1015" i="8"/>
  <c r="BD1015" i="8"/>
  <c r="BC1015" i="8"/>
  <c r="BB1015" i="8"/>
  <c r="BA1015" i="8"/>
  <c r="AZ1015" i="8"/>
  <c r="AY1015" i="8"/>
  <c r="AX1015" i="8"/>
  <c r="AW1015" i="8"/>
  <c r="AV1015" i="8"/>
  <c r="AU1015" i="8"/>
  <c r="T1015" i="8"/>
  <c r="L1015" i="8"/>
  <c r="H1015" i="8"/>
  <c r="G1015" i="8"/>
  <c r="F1015" i="8"/>
  <c r="E1015" i="8"/>
  <c r="D1015" i="8"/>
  <c r="C1015" i="8"/>
  <c r="B1015" i="8"/>
  <c r="BJ1014" i="8"/>
  <c r="BI1014" i="8"/>
  <c r="BH1014" i="8"/>
  <c r="BG1014" i="8"/>
  <c r="BF1014" i="8"/>
  <c r="BE1014" i="8"/>
  <c r="BD1014" i="8"/>
  <c r="BC1014" i="8"/>
  <c r="BB1014" i="8"/>
  <c r="BA1014" i="8"/>
  <c r="AZ1014" i="8"/>
  <c r="AY1014" i="8"/>
  <c r="AX1014" i="8"/>
  <c r="AW1014" i="8"/>
  <c r="AV1014" i="8"/>
  <c r="AU1014" i="8"/>
  <c r="T1014" i="8"/>
  <c r="L1014" i="8"/>
  <c r="H1014" i="8"/>
  <c r="G1014" i="8"/>
  <c r="F1014" i="8"/>
  <c r="E1014" i="8"/>
  <c r="D1014" i="8"/>
  <c r="C1014" i="8"/>
  <c r="B1014" i="8"/>
  <c r="BJ1013" i="8"/>
  <c r="BI1013" i="8"/>
  <c r="BH1013" i="8"/>
  <c r="BG1013" i="8"/>
  <c r="BF1013" i="8"/>
  <c r="BE1013" i="8"/>
  <c r="BD1013" i="8"/>
  <c r="BC1013" i="8"/>
  <c r="BB1013" i="8"/>
  <c r="BA1013" i="8"/>
  <c r="AZ1013" i="8"/>
  <c r="AY1013" i="8"/>
  <c r="AX1013" i="8"/>
  <c r="AW1013" i="8"/>
  <c r="AV1013" i="8"/>
  <c r="AU1013" i="8"/>
  <c r="T1013" i="8"/>
  <c r="L1013" i="8"/>
  <c r="H1013" i="8"/>
  <c r="G1013" i="8"/>
  <c r="F1013" i="8"/>
  <c r="E1013" i="8"/>
  <c r="D1013" i="8"/>
  <c r="C1013" i="8"/>
  <c r="B1013" i="8"/>
  <c r="BJ1012" i="8"/>
  <c r="BI1012" i="8"/>
  <c r="BH1012" i="8"/>
  <c r="BG1012" i="8"/>
  <c r="BF1012" i="8"/>
  <c r="BE1012" i="8"/>
  <c r="BD1012" i="8"/>
  <c r="BC1012" i="8"/>
  <c r="BB1012" i="8"/>
  <c r="BA1012" i="8"/>
  <c r="AZ1012" i="8"/>
  <c r="AY1012" i="8"/>
  <c r="AX1012" i="8"/>
  <c r="AW1012" i="8"/>
  <c r="AV1012" i="8"/>
  <c r="AU1012" i="8"/>
  <c r="T1012" i="8"/>
  <c r="L1012" i="8"/>
  <c r="H1012" i="8"/>
  <c r="G1012" i="8"/>
  <c r="F1012" i="8"/>
  <c r="E1012" i="8"/>
  <c r="D1012" i="8"/>
  <c r="C1012" i="8"/>
  <c r="B1012" i="8"/>
  <c r="BJ1011" i="8"/>
  <c r="BI1011" i="8"/>
  <c r="BH1011" i="8"/>
  <c r="BG1011" i="8"/>
  <c r="BF1011" i="8"/>
  <c r="BE1011" i="8"/>
  <c r="BD1011" i="8"/>
  <c r="BC1011" i="8"/>
  <c r="BB1011" i="8"/>
  <c r="BA1011" i="8"/>
  <c r="AZ1011" i="8"/>
  <c r="AY1011" i="8"/>
  <c r="AX1011" i="8"/>
  <c r="AW1011" i="8"/>
  <c r="AV1011" i="8"/>
  <c r="AU1011" i="8"/>
  <c r="T1011" i="8"/>
  <c r="L1011" i="8"/>
  <c r="H1011" i="8"/>
  <c r="G1011" i="8"/>
  <c r="F1011" i="8"/>
  <c r="E1011" i="8"/>
  <c r="D1011" i="8"/>
  <c r="C1011" i="8"/>
  <c r="B1011" i="8"/>
  <c r="BJ1010" i="8"/>
  <c r="BI1010" i="8"/>
  <c r="BH1010" i="8"/>
  <c r="BG1010" i="8"/>
  <c r="BF1010" i="8"/>
  <c r="BE1010" i="8"/>
  <c r="BD1010" i="8"/>
  <c r="BC1010" i="8"/>
  <c r="BB1010" i="8"/>
  <c r="BA1010" i="8"/>
  <c r="AZ1010" i="8"/>
  <c r="AY1010" i="8"/>
  <c r="AX1010" i="8"/>
  <c r="AW1010" i="8"/>
  <c r="AV1010" i="8"/>
  <c r="AU1010" i="8"/>
  <c r="T1010" i="8"/>
  <c r="L1010" i="8"/>
  <c r="H1010" i="8"/>
  <c r="G1010" i="8"/>
  <c r="F1010" i="8"/>
  <c r="E1010" i="8"/>
  <c r="D1010" i="8"/>
  <c r="C1010" i="8"/>
  <c r="B1010" i="8"/>
  <c r="BJ1009" i="8"/>
  <c r="BI1009" i="8"/>
  <c r="BH1009" i="8"/>
  <c r="BG1009" i="8"/>
  <c r="BF1009" i="8"/>
  <c r="BE1009" i="8"/>
  <c r="BD1009" i="8"/>
  <c r="BC1009" i="8"/>
  <c r="BB1009" i="8"/>
  <c r="BA1009" i="8"/>
  <c r="AZ1009" i="8"/>
  <c r="AY1009" i="8"/>
  <c r="AX1009" i="8"/>
  <c r="AW1009" i="8"/>
  <c r="AV1009" i="8"/>
  <c r="AU1009" i="8"/>
  <c r="T1009" i="8"/>
  <c r="L1009" i="8"/>
  <c r="H1009" i="8"/>
  <c r="G1009" i="8"/>
  <c r="F1009" i="8"/>
  <c r="E1009" i="8"/>
  <c r="D1009" i="8"/>
  <c r="C1009" i="8"/>
  <c r="B1009" i="8"/>
  <c r="BJ1008" i="8"/>
  <c r="BI1008" i="8"/>
  <c r="BH1008" i="8"/>
  <c r="BG1008" i="8"/>
  <c r="BF1008" i="8"/>
  <c r="BE1008" i="8"/>
  <c r="BD1008" i="8"/>
  <c r="BC1008" i="8"/>
  <c r="BB1008" i="8"/>
  <c r="BA1008" i="8"/>
  <c r="AZ1008" i="8"/>
  <c r="AY1008" i="8"/>
  <c r="AX1008" i="8"/>
  <c r="AW1008" i="8"/>
  <c r="AV1008" i="8"/>
  <c r="AU1008" i="8"/>
  <c r="T1008" i="8"/>
  <c r="L1008" i="8"/>
  <c r="H1008" i="8"/>
  <c r="G1008" i="8"/>
  <c r="F1008" i="8"/>
  <c r="E1008" i="8"/>
  <c r="D1008" i="8"/>
  <c r="C1008" i="8"/>
  <c r="B1008" i="8"/>
  <c r="BJ1007" i="8"/>
  <c r="BI1007" i="8"/>
  <c r="BH1007" i="8"/>
  <c r="BG1007" i="8"/>
  <c r="BF1007" i="8"/>
  <c r="BE1007" i="8"/>
  <c r="BD1007" i="8"/>
  <c r="BC1007" i="8"/>
  <c r="BB1007" i="8"/>
  <c r="BA1007" i="8"/>
  <c r="AZ1007" i="8"/>
  <c r="AY1007" i="8"/>
  <c r="AX1007" i="8"/>
  <c r="AW1007" i="8"/>
  <c r="AV1007" i="8"/>
  <c r="AU1007" i="8"/>
  <c r="T1007" i="8"/>
  <c r="L1007" i="8"/>
  <c r="H1007" i="8"/>
  <c r="G1007" i="8"/>
  <c r="F1007" i="8"/>
  <c r="E1007" i="8"/>
  <c r="D1007" i="8"/>
  <c r="C1007" i="8"/>
  <c r="B1007" i="8"/>
  <c r="BJ1006" i="8"/>
  <c r="BI1006" i="8"/>
  <c r="BH1006" i="8"/>
  <c r="BG1006" i="8"/>
  <c r="BF1006" i="8"/>
  <c r="BE1006" i="8"/>
  <c r="BD1006" i="8"/>
  <c r="BC1006" i="8"/>
  <c r="BB1006" i="8"/>
  <c r="BA1006" i="8"/>
  <c r="AZ1006" i="8"/>
  <c r="AY1006" i="8"/>
  <c r="AX1006" i="8"/>
  <c r="AW1006" i="8"/>
  <c r="AV1006" i="8"/>
  <c r="AU1006" i="8"/>
  <c r="T1006" i="8"/>
  <c r="L1006" i="8"/>
  <c r="H1006" i="8"/>
  <c r="G1006" i="8"/>
  <c r="F1006" i="8"/>
  <c r="E1006" i="8"/>
  <c r="D1006" i="8"/>
  <c r="C1006" i="8"/>
  <c r="B1006" i="8"/>
  <c r="BJ1005" i="8"/>
  <c r="BI1005" i="8"/>
  <c r="BH1005" i="8"/>
  <c r="BG1005" i="8"/>
  <c r="BF1005" i="8"/>
  <c r="BE1005" i="8"/>
  <c r="BD1005" i="8"/>
  <c r="BC1005" i="8"/>
  <c r="BB1005" i="8"/>
  <c r="BA1005" i="8"/>
  <c r="AZ1005" i="8"/>
  <c r="AY1005" i="8"/>
  <c r="AX1005" i="8"/>
  <c r="AW1005" i="8"/>
  <c r="AV1005" i="8"/>
  <c r="AU1005" i="8"/>
  <c r="T1005" i="8"/>
  <c r="L1005" i="8"/>
  <c r="H1005" i="8"/>
  <c r="G1005" i="8"/>
  <c r="F1005" i="8"/>
  <c r="E1005" i="8"/>
  <c r="D1005" i="8"/>
  <c r="C1005" i="8"/>
  <c r="B1005" i="8"/>
  <c r="BJ1004" i="8"/>
  <c r="BI1004" i="8"/>
  <c r="BH1004" i="8"/>
  <c r="BG1004" i="8"/>
  <c r="BF1004" i="8"/>
  <c r="BE1004" i="8"/>
  <c r="BD1004" i="8"/>
  <c r="BC1004" i="8"/>
  <c r="BB1004" i="8"/>
  <c r="BA1004" i="8"/>
  <c r="AZ1004" i="8"/>
  <c r="AY1004" i="8"/>
  <c r="AX1004" i="8"/>
  <c r="AW1004" i="8"/>
  <c r="AV1004" i="8"/>
  <c r="AU1004" i="8"/>
  <c r="T1004" i="8"/>
  <c r="L1004" i="8"/>
  <c r="H1004" i="8"/>
  <c r="G1004" i="8"/>
  <c r="F1004" i="8"/>
  <c r="E1004" i="8"/>
  <c r="D1004" i="8"/>
  <c r="C1004" i="8"/>
  <c r="B1004" i="8"/>
  <c r="BJ1003" i="8"/>
  <c r="BI1003" i="8"/>
  <c r="BH1003" i="8"/>
  <c r="BG1003" i="8"/>
  <c r="BF1003" i="8"/>
  <c r="BE1003" i="8"/>
  <c r="BD1003" i="8"/>
  <c r="BC1003" i="8"/>
  <c r="BB1003" i="8"/>
  <c r="BA1003" i="8"/>
  <c r="AZ1003" i="8"/>
  <c r="AY1003" i="8"/>
  <c r="AX1003" i="8"/>
  <c r="AW1003" i="8"/>
  <c r="AV1003" i="8"/>
  <c r="AU1003" i="8"/>
  <c r="T1003" i="8"/>
  <c r="L1003" i="8"/>
  <c r="H1003" i="8"/>
  <c r="G1003" i="8"/>
  <c r="F1003" i="8"/>
  <c r="E1003" i="8"/>
  <c r="D1003" i="8"/>
  <c r="C1003" i="8"/>
  <c r="B1003" i="8"/>
  <c r="BJ1002" i="8"/>
  <c r="BI1002" i="8"/>
  <c r="BH1002" i="8"/>
  <c r="BG1002" i="8"/>
  <c r="BF1002" i="8"/>
  <c r="BE1002" i="8"/>
  <c r="BD1002" i="8"/>
  <c r="BC1002" i="8"/>
  <c r="BB1002" i="8"/>
  <c r="BA1002" i="8"/>
  <c r="AZ1002" i="8"/>
  <c r="AY1002" i="8"/>
  <c r="AX1002" i="8"/>
  <c r="AW1002" i="8"/>
  <c r="AV1002" i="8"/>
  <c r="AU1002" i="8"/>
  <c r="T1002" i="8"/>
  <c r="L1002" i="8"/>
  <c r="H1002" i="8"/>
  <c r="G1002" i="8"/>
  <c r="F1002" i="8"/>
  <c r="E1002" i="8"/>
  <c r="D1002" i="8"/>
  <c r="C1002" i="8"/>
  <c r="B1002" i="8"/>
  <c r="BJ1001" i="8"/>
  <c r="BI1001" i="8"/>
  <c r="BH1001" i="8"/>
  <c r="BG1001" i="8"/>
  <c r="BF1001" i="8"/>
  <c r="BE1001" i="8"/>
  <c r="BD1001" i="8"/>
  <c r="BC1001" i="8"/>
  <c r="BB1001" i="8"/>
  <c r="BA1001" i="8"/>
  <c r="AZ1001" i="8"/>
  <c r="AY1001" i="8"/>
  <c r="AX1001" i="8"/>
  <c r="AW1001" i="8"/>
  <c r="AV1001" i="8"/>
  <c r="AU1001" i="8"/>
  <c r="T1001" i="8"/>
  <c r="L1001" i="8"/>
  <c r="H1001" i="8"/>
  <c r="G1001" i="8"/>
  <c r="F1001" i="8"/>
  <c r="E1001" i="8"/>
  <c r="D1001" i="8"/>
  <c r="C1001" i="8"/>
  <c r="B1001" i="8"/>
  <c r="BJ1000" i="8"/>
  <c r="BI1000" i="8"/>
  <c r="BH1000" i="8"/>
  <c r="BG1000" i="8"/>
  <c r="BF1000" i="8"/>
  <c r="BE1000" i="8"/>
  <c r="BD1000" i="8"/>
  <c r="BC1000" i="8"/>
  <c r="BB1000" i="8"/>
  <c r="BA1000" i="8"/>
  <c r="AZ1000" i="8"/>
  <c r="AY1000" i="8"/>
  <c r="AX1000" i="8"/>
  <c r="AW1000" i="8"/>
  <c r="AV1000" i="8"/>
  <c r="AU1000" i="8"/>
  <c r="T1000" i="8"/>
  <c r="L1000" i="8"/>
  <c r="H1000" i="8"/>
  <c r="G1000" i="8"/>
  <c r="F1000" i="8"/>
  <c r="E1000" i="8"/>
  <c r="D1000" i="8"/>
  <c r="C1000" i="8"/>
  <c r="B1000" i="8"/>
  <c r="BJ999" i="8"/>
  <c r="BI999" i="8"/>
  <c r="BH999" i="8"/>
  <c r="BG999" i="8"/>
  <c r="BF999" i="8"/>
  <c r="BE999" i="8"/>
  <c r="BD999" i="8"/>
  <c r="BC999" i="8"/>
  <c r="BB999" i="8"/>
  <c r="BA999" i="8"/>
  <c r="AZ999" i="8"/>
  <c r="AY999" i="8"/>
  <c r="AX999" i="8"/>
  <c r="AW999" i="8"/>
  <c r="AV999" i="8"/>
  <c r="AU999" i="8"/>
  <c r="T999" i="8"/>
  <c r="L999" i="8"/>
  <c r="H999" i="8"/>
  <c r="G999" i="8"/>
  <c r="F999" i="8"/>
  <c r="E999" i="8"/>
  <c r="D999" i="8"/>
  <c r="C999" i="8"/>
  <c r="B999" i="8"/>
  <c r="BJ998" i="8"/>
  <c r="BI998" i="8"/>
  <c r="BH998" i="8"/>
  <c r="BG998" i="8"/>
  <c r="BF998" i="8"/>
  <c r="BE998" i="8"/>
  <c r="BD998" i="8"/>
  <c r="BC998" i="8"/>
  <c r="BB998" i="8"/>
  <c r="BA998" i="8"/>
  <c r="AZ998" i="8"/>
  <c r="AY998" i="8"/>
  <c r="AX998" i="8"/>
  <c r="AW998" i="8"/>
  <c r="AV998" i="8"/>
  <c r="AU998" i="8"/>
  <c r="T998" i="8"/>
  <c r="L998" i="8"/>
  <c r="H998" i="8"/>
  <c r="G998" i="8"/>
  <c r="F998" i="8"/>
  <c r="E998" i="8"/>
  <c r="D998" i="8"/>
  <c r="C998" i="8"/>
  <c r="B998" i="8"/>
  <c r="BJ997" i="8"/>
  <c r="BI997" i="8"/>
  <c r="BH997" i="8"/>
  <c r="BG997" i="8"/>
  <c r="BF997" i="8"/>
  <c r="BE997" i="8"/>
  <c r="BD997" i="8"/>
  <c r="BC997" i="8"/>
  <c r="BB997" i="8"/>
  <c r="BA997" i="8"/>
  <c r="AZ997" i="8"/>
  <c r="AY997" i="8"/>
  <c r="AX997" i="8"/>
  <c r="AW997" i="8"/>
  <c r="AV997" i="8"/>
  <c r="AU997" i="8"/>
  <c r="T997" i="8"/>
  <c r="L997" i="8"/>
  <c r="H997" i="8"/>
  <c r="G997" i="8"/>
  <c r="F997" i="8"/>
  <c r="E997" i="8"/>
  <c r="D997" i="8"/>
  <c r="C997" i="8"/>
  <c r="B997" i="8"/>
  <c r="BJ996" i="8"/>
  <c r="BI996" i="8"/>
  <c r="BH996" i="8"/>
  <c r="BG996" i="8"/>
  <c r="BF996" i="8"/>
  <c r="BE996" i="8"/>
  <c r="BD996" i="8"/>
  <c r="BC996" i="8"/>
  <c r="BB996" i="8"/>
  <c r="BA996" i="8"/>
  <c r="AZ996" i="8"/>
  <c r="AY996" i="8"/>
  <c r="AX996" i="8"/>
  <c r="AW996" i="8"/>
  <c r="AV996" i="8"/>
  <c r="AU996" i="8"/>
  <c r="T996" i="8"/>
  <c r="L996" i="8"/>
  <c r="H996" i="8"/>
  <c r="G996" i="8"/>
  <c r="F996" i="8"/>
  <c r="E996" i="8"/>
  <c r="D996" i="8"/>
  <c r="C996" i="8"/>
  <c r="B996" i="8"/>
  <c r="BJ995" i="8"/>
  <c r="BI995" i="8"/>
  <c r="BH995" i="8"/>
  <c r="BG995" i="8"/>
  <c r="BF995" i="8"/>
  <c r="BE995" i="8"/>
  <c r="BD995" i="8"/>
  <c r="BC995" i="8"/>
  <c r="BB995" i="8"/>
  <c r="BA995" i="8"/>
  <c r="AZ995" i="8"/>
  <c r="AY995" i="8"/>
  <c r="AX995" i="8"/>
  <c r="AW995" i="8"/>
  <c r="AV995" i="8"/>
  <c r="AU995" i="8"/>
  <c r="T995" i="8"/>
  <c r="L995" i="8"/>
  <c r="H995" i="8"/>
  <c r="G995" i="8"/>
  <c r="F995" i="8"/>
  <c r="E995" i="8"/>
  <c r="D995" i="8"/>
  <c r="C995" i="8"/>
  <c r="B995" i="8"/>
  <c r="BJ994" i="8"/>
  <c r="BI994" i="8"/>
  <c r="BH994" i="8"/>
  <c r="BG994" i="8"/>
  <c r="BF994" i="8"/>
  <c r="BE994" i="8"/>
  <c r="BD994" i="8"/>
  <c r="BC994" i="8"/>
  <c r="BB994" i="8"/>
  <c r="BA994" i="8"/>
  <c r="AZ994" i="8"/>
  <c r="AY994" i="8"/>
  <c r="AX994" i="8"/>
  <c r="AW994" i="8"/>
  <c r="AV994" i="8"/>
  <c r="AU994" i="8"/>
  <c r="T994" i="8"/>
  <c r="L994" i="8"/>
  <c r="H994" i="8"/>
  <c r="G994" i="8"/>
  <c r="F994" i="8"/>
  <c r="E994" i="8"/>
  <c r="D994" i="8"/>
  <c r="C994" i="8"/>
  <c r="B994" i="8"/>
  <c r="BJ993" i="8"/>
  <c r="BI993" i="8"/>
  <c r="BH993" i="8"/>
  <c r="BG993" i="8"/>
  <c r="BF993" i="8"/>
  <c r="BE993" i="8"/>
  <c r="BD993" i="8"/>
  <c r="BC993" i="8"/>
  <c r="BB993" i="8"/>
  <c r="BA993" i="8"/>
  <c r="AZ993" i="8"/>
  <c r="AY993" i="8"/>
  <c r="AX993" i="8"/>
  <c r="AW993" i="8"/>
  <c r="AV993" i="8"/>
  <c r="AU993" i="8"/>
  <c r="T993" i="8"/>
  <c r="L993" i="8"/>
  <c r="H993" i="8"/>
  <c r="G993" i="8"/>
  <c r="F993" i="8"/>
  <c r="E993" i="8"/>
  <c r="D993" i="8"/>
  <c r="C993" i="8"/>
  <c r="B993" i="8"/>
  <c r="BJ992" i="8"/>
  <c r="BI992" i="8"/>
  <c r="BH992" i="8"/>
  <c r="BG992" i="8"/>
  <c r="BF992" i="8"/>
  <c r="BE992" i="8"/>
  <c r="BD992" i="8"/>
  <c r="BC992" i="8"/>
  <c r="BB992" i="8"/>
  <c r="BA992" i="8"/>
  <c r="AZ992" i="8"/>
  <c r="AY992" i="8"/>
  <c r="AX992" i="8"/>
  <c r="AW992" i="8"/>
  <c r="AV992" i="8"/>
  <c r="AU992" i="8"/>
  <c r="T992" i="8"/>
  <c r="L992" i="8"/>
  <c r="H992" i="8"/>
  <c r="G992" i="8"/>
  <c r="F992" i="8"/>
  <c r="E992" i="8"/>
  <c r="D992" i="8"/>
  <c r="C992" i="8"/>
  <c r="B992" i="8"/>
  <c r="BJ991" i="8"/>
  <c r="BI991" i="8"/>
  <c r="BH991" i="8"/>
  <c r="BG991" i="8"/>
  <c r="BF991" i="8"/>
  <c r="BE991" i="8"/>
  <c r="BD991" i="8"/>
  <c r="BC991" i="8"/>
  <c r="BB991" i="8"/>
  <c r="BA991" i="8"/>
  <c r="AZ991" i="8"/>
  <c r="AY991" i="8"/>
  <c r="AX991" i="8"/>
  <c r="AW991" i="8"/>
  <c r="AV991" i="8"/>
  <c r="AU991" i="8"/>
  <c r="T991" i="8"/>
  <c r="L991" i="8"/>
  <c r="H991" i="8"/>
  <c r="G991" i="8"/>
  <c r="F991" i="8"/>
  <c r="E991" i="8"/>
  <c r="D991" i="8"/>
  <c r="C991" i="8"/>
  <c r="B991" i="8"/>
  <c r="BJ990" i="8"/>
  <c r="BI990" i="8"/>
  <c r="BH990" i="8"/>
  <c r="BG990" i="8"/>
  <c r="BF990" i="8"/>
  <c r="BE990" i="8"/>
  <c r="BD990" i="8"/>
  <c r="BC990" i="8"/>
  <c r="BB990" i="8"/>
  <c r="BA990" i="8"/>
  <c r="AZ990" i="8"/>
  <c r="AY990" i="8"/>
  <c r="AX990" i="8"/>
  <c r="AW990" i="8"/>
  <c r="AV990" i="8"/>
  <c r="AU990" i="8"/>
  <c r="T990" i="8"/>
  <c r="L990" i="8"/>
  <c r="H990" i="8"/>
  <c r="G990" i="8"/>
  <c r="F990" i="8"/>
  <c r="E990" i="8"/>
  <c r="D990" i="8"/>
  <c r="C990" i="8"/>
  <c r="B990" i="8"/>
  <c r="BJ989" i="8"/>
  <c r="BI989" i="8"/>
  <c r="BH989" i="8"/>
  <c r="BG989" i="8"/>
  <c r="BF989" i="8"/>
  <c r="BE989" i="8"/>
  <c r="BD989" i="8"/>
  <c r="BC989" i="8"/>
  <c r="BB989" i="8"/>
  <c r="BA989" i="8"/>
  <c r="AZ989" i="8"/>
  <c r="AY989" i="8"/>
  <c r="AX989" i="8"/>
  <c r="AW989" i="8"/>
  <c r="AV989" i="8"/>
  <c r="AU989" i="8"/>
  <c r="T989" i="8"/>
  <c r="L989" i="8"/>
  <c r="H989" i="8"/>
  <c r="G989" i="8"/>
  <c r="F989" i="8"/>
  <c r="E989" i="8"/>
  <c r="D989" i="8"/>
  <c r="C989" i="8"/>
  <c r="B989" i="8"/>
  <c r="BJ988" i="8"/>
  <c r="BI988" i="8"/>
  <c r="BH988" i="8"/>
  <c r="BG988" i="8"/>
  <c r="BF988" i="8"/>
  <c r="BE988" i="8"/>
  <c r="BD988" i="8"/>
  <c r="BC988" i="8"/>
  <c r="BB988" i="8"/>
  <c r="BA988" i="8"/>
  <c r="AZ988" i="8"/>
  <c r="AY988" i="8"/>
  <c r="AX988" i="8"/>
  <c r="AW988" i="8"/>
  <c r="AV988" i="8"/>
  <c r="AU988" i="8"/>
  <c r="T988" i="8"/>
  <c r="L988" i="8"/>
  <c r="H988" i="8"/>
  <c r="G988" i="8"/>
  <c r="F988" i="8"/>
  <c r="E988" i="8"/>
  <c r="D988" i="8"/>
  <c r="C988" i="8"/>
  <c r="B988" i="8"/>
  <c r="BJ987" i="8"/>
  <c r="BI987" i="8"/>
  <c r="BH987" i="8"/>
  <c r="BG987" i="8"/>
  <c r="BF987" i="8"/>
  <c r="BE987" i="8"/>
  <c r="BD987" i="8"/>
  <c r="BC987" i="8"/>
  <c r="BB987" i="8"/>
  <c r="BA987" i="8"/>
  <c r="AZ987" i="8"/>
  <c r="AY987" i="8"/>
  <c r="AX987" i="8"/>
  <c r="AW987" i="8"/>
  <c r="AV987" i="8"/>
  <c r="AU987" i="8"/>
  <c r="T987" i="8"/>
  <c r="L987" i="8"/>
  <c r="H987" i="8"/>
  <c r="G987" i="8"/>
  <c r="F987" i="8"/>
  <c r="E987" i="8"/>
  <c r="D987" i="8"/>
  <c r="C987" i="8"/>
  <c r="B987" i="8"/>
  <c r="BJ986" i="8"/>
  <c r="BI986" i="8"/>
  <c r="BH986" i="8"/>
  <c r="BG986" i="8"/>
  <c r="BF986" i="8"/>
  <c r="BE986" i="8"/>
  <c r="BD986" i="8"/>
  <c r="BC986" i="8"/>
  <c r="BB986" i="8"/>
  <c r="BA986" i="8"/>
  <c r="AZ986" i="8"/>
  <c r="AY986" i="8"/>
  <c r="AX986" i="8"/>
  <c r="AW986" i="8"/>
  <c r="AV986" i="8"/>
  <c r="AU986" i="8"/>
  <c r="T986" i="8"/>
  <c r="L986" i="8"/>
  <c r="H986" i="8"/>
  <c r="G986" i="8"/>
  <c r="F986" i="8"/>
  <c r="E986" i="8"/>
  <c r="D986" i="8"/>
  <c r="C986" i="8"/>
  <c r="B986" i="8"/>
  <c r="BJ985" i="8"/>
  <c r="BI985" i="8"/>
  <c r="BH985" i="8"/>
  <c r="BG985" i="8"/>
  <c r="BF985" i="8"/>
  <c r="BE985" i="8"/>
  <c r="BD985" i="8"/>
  <c r="BC985" i="8"/>
  <c r="BB985" i="8"/>
  <c r="BA985" i="8"/>
  <c r="AZ985" i="8"/>
  <c r="AY985" i="8"/>
  <c r="AX985" i="8"/>
  <c r="AW985" i="8"/>
  <c r="AV985" i="8"/>
  <c r="AU985" i="8"/>
  <c r="T985" i="8"/>
  <c r="L985" i="8"/>
  <c r="H985" i="8"/>
  <c r="G985" i="8"/>
  <c r="F985" i="8"/>
  <c r="E985" i="8"/>
  <c r="D985" i="8"/>
  <c r="C985" i="8"/>
  <c r="B985" i="8"/>
  <c r="BJ984" i="8"/>
  <c r="BI984" i="8"/>
  <c r="BH984" i="8"/>
  <c r="BG984" i="8"/>
  <c r="BF984" i="8"/>
  <c r="BE984" i="8"/>
  <c r="BD984" i="8"/>
  <c r="BC984" i="8"/>
  <c r="BB984" i="8"/>
  <c r="BA984" i="8"/>
  <c r="AZ984" i="8"/>
  <c r="AY984" i="8"/>
  <c r="AX984" i="8"/>
  <c r="AW984" i="8"/>
  <c r="AV984" i="8"/>
  <c r="AU984" i="8"/>
  <c r="T984" i="8"/>
  <c r="L984" i="8"/>
  <c r="H984" i="8"/>
  <c r="G984" i="8"/>
  <c r="F984" i="8"/>
  <c r="E984" i="8"/>
  <c r="D984" i="8"/>
  <c r="C984" i="8"/>
  <c r="B984" i="8"/>
  <c r="BJ983" i="8"/>
  <c r="BI983" i="8"/>
  <c r="BH983" i="8"/>
  <c r="BG983" i="8"/>
  <c r="BF983" i="8"/>
  <c r="BE983" i="8"/>
  <c r="BD983" i="8"/>
  <c r="BC983" i="8"/>
  <c r="BB983" i="8"/>
  <c r="BA983" i="8"/>
  <c r="AZ983" i="8"/>
  <c r="AY983" i="8"/>
  <c r="AX983" i="8"/>
  <c r="AW983" i="8"/>
  <c r="AV983" i="8"/>
  <c r="AU983" i="8"/>
  <c r="T983" i="8"/>
  <c r="L983" i="8"/>
  <c r="H983" i="8"/>
  <c r="G983" i="8"/>
  <c r="F983" i="8"/>
  <c r="E983" i="8"/>
  <c r="D983" i="8"/>
  <c r="C983" i="8"/>
  <c r="B983" i="8"/>
  <c r="BJ982" i="8"/>
  <c r="BI982" i="8"/>
  <c r="BH982" i="8"/>
  <c r="BG982" i="8"/>
  <c r="BF982" i="8"/>
  <c r="BE982" i="8"/>
  <c r="BD982" i="8"/>
  <c r="BC982" i="8"/>
  <c r="BB982" i="8"/>
  <c r="BA982" i="8"/>
  <c r="AZ982" i="8"/>
  <c r="AY982" i="8"/>
  <c r="AX982" i="8"/>
  <c r="AW982" i="8"/>
  <c r="AV982" i="8"/>
  <c r="AU982" i="8"/>
  <c r="T982" i="8"/>
  <c r="L982" i="8"/>
  <c r="H982" i="8"/>
  <c r="G982" i="8"/>
  <c r="F982" i="8"/>
  <c r="E982" i="8"/>
  <c r="D982" i="8"/>
  <c r="C982" i="8"/>
  <c r="B982" i="8"/>
  <c r="BJ981" i="8"/>
  <c r="BI981" i="8"/>
  <c r="BH981" i="8"/>
  <c r="BG981" i="8"/>
  <c r="BF981" i="8"/>
  <c r="BE981" i="8"/>
  <c r="BD981" i="8"/>
  <c r="BC981" i="8"/>
  <c r="BB981" i="8"/>
  <c r="BA981" i="8"/>
  <c r="AZ981" i="8"/>
  <c r="AY981" i="8"/>
  <c r="AX981" i="8"/>
  <c r="AW981" i="8"/>
  <c r="AV981" i="8"/>
  <c r="AU981" i="8"/>
  <c r="T981" i="8"/>
  <c r="L981" i="8"/>
  <c r="H981" i="8"/>
  <c r="G981" i="8"/>
  <c r="F981" i="8"/>
  <c r="E981" i="8"/>
  <c r="D981" i="8"/>
  <c r="C981" i="8"/>
  <c r="B981" i="8"/>
  <c r="BJ980" i="8"/>
  <c r="BI980" i="8"/>
  <c r="BH980" i="8"/>
  <c r="BG980" i="8"/>
  <c r="BF980" i="8"/>
  <c r="BE980" i="8"/>
  <c r="BD980" i="8"/>
  <c r="BC980" i="8"/>
  <c r="BB980" i="8"/>
  <c r="BA980" i="8"/>
  <c r="AZ980" i="8"/>
  <c r="AY980" i="8"/>
  <c r="AX980" i="8"/>
  <c r="AW980" i="8"/>
  <c r="AV980" i="8"/>
  <c r="AU980" i="8"/>
  <c r="T980" i="8"/>
  <c r="L980" i="8"/>
  <c r="H980" i="8"/>
  <c r="G980" i="8"/>
  <c r="F980" i="8"/>
  <c r="E980" i="8"/>
  <c r="D980" i="8"/>
  <c r="C980" i="8"/>
  <c r="B980" i="8"/>
  <c r="BJ979" i="8"/>
  <c r="BI979" i="8"/>
  <c r="BH979" i="8"/>
  <c r="BG979" i="8"/>
  <c r="BF979" i="8"/>
  <c r="BE979" i="8"/>
  <c r="BD979" i="8"/>
  <c r="BC979" i="8"/>
  <c r="BB979" i="8"/>
  <c r="BA979" i="8"/>
  <c r="AZ979" i="8"/>
  <c r="AY979" i="8"/>
  <c r="AX979" i="8"/>
  <c r="AW979" i="8"/>
  <c r="AV979" i="8"/>
  <c r="AU979" i="8"/>
  <c r="T979" i="8"/>
  <c r="L979" i="8"/>
  <c r="H979" i="8"/>
  <c r="G979" i="8"/>
  <c r="F979" i="8"/>
  <c r="E979" i="8"/>
  <c r="D979" i="8"/>
  <c r="C979" i="8"/>
  <c r="B979" i="8"/>
  <c r="BJ978" i="8"/>
  <c r="BI978" i="8"/>
  <c r="BH978" i="8"/>
  <c r="BG978" i="8"/>
  <c r="BF978" i="8"/>
  <c r="BE978" i="8"/>
  <c r="BD978" i="8"/>
  <c r="BC978" i="8"/>
  <c r="BB978" i="8"/>
  <c r="BA978" i="8"/>
  <c r="AZ978" i="8"/>
  <c r="AY978" i="8"/>
  <c r="AX978" i="8"/>
  <c r="AW978" i="8"/>
  <c r="AV978" i="8"/>
  <c r="AU978" i="8"/>
  <c r="T978" i="8"/>
  <c r="L978" i="8"/>
  <c r="H978" i="8"/>
  <c r="G978" i="8"/>
  <c r="F978" i="8"/>
  <c r="E978" i="8"/>
  <c r="D978" i="8"/>
  <c r="C978" i="8"/>
  <c r="B978" i="8"/>
  <c r="BJ977" i="8"/>
  <c r="BI977" i="8"/>
  <c r="BH977" i="8"/>
  <c r="BG977" i="8"/>
  <c r="BF977" i="8"/>
  <c r="BE977" i="8"/>
  <c r="BD977" i="8"/>
  <c r="BC977" i="8"/>
  <c r="BB977" i="8"/>
  <c r="BA977" i="8"/>
  <c r="AZ977" i="8"/>
  <c r="AY977" i="8"/>
  <c r="AX977" i="8"/>
  <c r="AW977" i="8"/>
  <c r="AV977" i="8"/>
  <c r="AU977" i="8"/>
  <c r="T977" i="8"/>
  <c r="L977" i="8"/>
  <c r="H977" i="8"/>
  <c r="G977" i="8"/>
  <c r="F977" i="8"/>
  <c r="E977" i="8"/>
  <c r="D977" i="8"/>
  <c r="C977" i="8"/>
  <c r="B977" i="8"/>
  <c r="BJ976" i="8"/>
  <c r="BI976" i="8"/>
  <c r="BH976" i="8"/>
  <c r="BG976" i="8"/>
  <c r="BF976" i="8"/>
  <c r="BE976" i="8"/>
  <c r="BD976" i="8"/>
  <c r="BC976" i="8"/>
  <c r="BB976" i="8"/>
  <c r="BA976" i="8"/>
  <c r="AZ976" i="8"/>
  <c r="AY976" i="8"/>
  <c r="AX976" i="8"/>
  <c r="AW976" i="8"/>
  <c r="AV976" i="8"/>
  <c r="AU976" i="8"/>
  <c r="T976" i="8"/>
  <c r="L976" i="8"/>
  <c r="H976" i="8"/>
  <c r="G976" i="8"/>
  <c r="F976" i="8"/>
  <c r="E976" i="8"/>
  <c r="D976" i="8"/>
  <c r="C976" i="8"/>
  <c r="B976" i="8"/>
  <c r="BJ975" i="8"/>
  <c r="BI975" i="8"/>
  <c r="BH975" i="8"/>
  <c r="BG975" i="8"/>
  <c r="BF975" i="8"/>
  <c r="BE975" i="8"/>
  <c r="BD975" i="8"/>
  <c r="BC975" i="8"/>
  <c r="BB975" i="8"/>
  <c r="BA975" i="8"/>
  <c r="AZ975" i="8"/>
  <c r="AY975" i="8"/>
  <c r="AX975" i="8"/>
  <c r="AW975" i="8"/>
  <c r="AV975" i="8"/>
  <c r="AU975" i="8"/>
  <c r="T975" i="8"/>
  <c r="L975" i="8"/>
  <c r="H975" i="8"/>
  <c r="G975" i="8"/>
  <c r="F975" i="8"/>
  <c r="E975" i="8"/>
  <c r="D975" i="8"/>
  <c r="C975" i="8"/>
  <c r="B975" i="8"/>
  <c r="BJ974" i="8"/>
  <c r="BI974" i="8"/>
  <c r="BH974" i="8"/>
  <c r="BG974" i="8"/>
  <c r="BF974" i="8"/>
  <c r="BE974" i="8"/>
  <c r="BD974" i="8"/>
  <c r="BC974" i="8"/>
  <c r="BB974" i="8"/>
  <c r="BA974" i="8"/>
  <c r="AZ974" i="8"/>
  <c r="AY974" i="8"/>
  <c r="AX974" i="8"/>
  <c r="AW974" i="8"/>
  <c r="AV974" i="8"/>
  <c r="AU974" i="8"/>
  <c r="T974" i="8"/>
  <c r="L974" i="8"/>
  <c r="H974" i="8"/>
  <c r="G974" i="8"/>
  <c r="F974" i="8"/>
  <c r="E974" i="8"/>
  <c r="D974" i="8"/>
  <c r="C974" i="8"/>
  <c r="B974" i="8"/>
  <c r="BJ973" i="8"/>
  <c r="BI973" i="8"/>
  <c r="BH973" i="8"/>
  <c r="BG973" i="8"/>
  <c r="BF973" i="8"/>
  <c r="BE973" i="8"/>
  <c r="BD973" i="8"/>
  <c r="BC973" i="8"/>
  <c r="BB973" i="8"/>
  <c r="BA973" i="8"/>
  <c r="AZ973" i="8"/>
  <c r="AY973" i="8"/>
  <c r="AX973" i="8"/>
  <c r="AW973" i="8"/>
  <c r="AV973" i="8"/>
  <c r="AU973" i="8"/>
  <c r="T973" i="8"/>
  <c r="L973" i="8"/>
  <c r="H973" i="8"/>
  <c r="G973" i="8"/>
  <c r="F973" i="8"/>
  <c r="E973" i="8"/>
  <c r="D973" i="8"/>
  <c r="C973" i="8"/>
  <c r="B973" i="8"/>
  <c r="BJ972" i="8"/>
  <c r="BI972" i="8"/>
  <c r="BH972" i="8"/>
  <c r="BG972" i="8"/>
  <c r="BF972" i="8"/>
  <c r="BE972" i="8"/>
  <c r="BD972" i="8"/>
  <c r="BC972" i="8"/>
  <c r="BB972" i="8"/>
  <c r="BA972" i="8"/>
  <c r="AZ972" i="8"/>
  <c r="AY972" i="8"/>
  <c r="AX972" i="8"/>
  <c r="AW972" i="8"/>
  <c r="AV972" i="8"/>
  <c r="AU972" i="8"/>
  <c r="T972" i="8"/>
  <c r="L972" i="8"/>
  <c r="H972" i="8"/>
  <c r="G972" i="8"/>
  <c r="F972" i="8"/>
  <c r="E972" i="8"/>
  <c r="D972" i="8"/>
  <c r="C972" i="8"/>
  <c r="B972" i="8"/>
  <c r="BJ971" i="8"/>
  <c r="BI971" i="8"/>
  <c r="BH971" i="8"/>
  <c r="BG971" i="8"/>
  <c r="BF971" i="8"/>
  <c r="BE971" i="8"/>
  <c r="BD971" i="8"/>
  <c r="BC971" i="8"/>
  <c r="BB971" i="8"/>
  <c r="BA971" i="8"/>
  <c r="AZ971" i="8"/>
  <c r="AY971" i="8"/>
  <c r="AX971" i="8"/>
  <c r="AW971" i="8"/>
  <c r="AV971" i="8"/>
  <c r="AU971" i="8"/>
  <c r="T971" i="8"/>
  <c r="L971" i="8"/>
  <c r="H971" i="8"/>
  <c r="G971" i="8"/>
  <c r="F971" i="8"/>
  <c r="E971" i="8"/>
  <c r="D971" i="8"/>
  <c r="C971" i="8"/>
  <c r="B971" i="8"/>
  <c r="BJ970" i="8"/>
  <c r="BI970" i="8"/>
  <c r="BH970" i="8"/>
  <c r="BG970" i="8"/>
  <c r="BF970" i="8"/>
  <c r="BE970" i="8"/>
  <c r="BD970" i="8"/>
  <c r="BC970" i="8"/>
  <c r="BB970" i="8"/>
  <c r="BA970" i="8"/>
  <c r="AZ970" i="8"/>
  <c r="AY970" i="8"/>
  <c r="AX970" i="8"/>
  <c r="AW970" i="8"/>
  <c r="AV970" i="8"/>
  <c r="AU970" i="8"/>
  <c r="T970" i="8"/>
  <c r="L970" i="8"/>
  <c r="H970" i="8"/>
  <c r="G970" i="8"/>
  <c r="F970" i="8"/>
  <c r="E970" i="8"/>
  <c r="D970" i="8"/>
  <c r="C970" i="8"/>
  <c r="B970" i="8"/>
  <c r="BJ969" i="8"/>
  <c r="BI969" i="8"/>
  <c r="BH969" i="8"/>
  <c r="BG969" i="8"/>
  <c r="BF969" i="8"/>
  <c r="BE969" i="8"/>
  <c r="BD969" i="8"/>
  <c r="BC969" i="8"/>
  <c r="BB969" i="8"/>
  <c r="BA969" i="8"/>
  <c r="AZ969" i="8"/>
  <c r="AY969" i="8"/>
  <c r="AX969" i="8"/>
  <c r="AW969" i="8"/>
  <c r="AV969" i="8"/>
  <c r="AU969" i="8"/>
  <c r="T969" i="8"/>
  <c r="L969" i="8"/>
  <c r="H969" i="8"/>
  <c r="G969" i="8"/>
  <c r="F969" i="8"/>
  <c r="E969" i="8"/>
  <c r="D969" i="8"/>
  <c r="C969" i="8"/>
  <c r="B969" i="8"/>
  <c r="BJ968" i="8"/>
  <c r="BI968" i="8"/>
  <c r="BH968" i="8"/>
  <c r="BG968" i="8"/>
  <c r="BF968" i="8"/>
  <c r="BE968" i="8"/>
  <c r="BD968" i="8"/>
  <c r="BC968" i="8"/>
  <c r="BB968" i="8"/>
  <c r="BA968" i="8"/>
  <c r="AZ968" i="8"/>
  <c r="AY968" i="8"/>
  <c r="AX968" i="8"/>
  <c r="AW968" i="8"/>
  <c r="AV968" i="8"/>
  <c r="AU968" i="8"/>
  <c r="T968" i="8"/>
  <c r="L968" i="8"/>
  <c r="H968" i="8"/>
  <c r="G968" i="8"/>
  <c r="F968" i="8"/>
  <c r="E968" i="8"/>
  <c r="D968" i="8"/>
  <c r="C968" i="8"/>
  <c r="B968" i="8"/>
  <c r="BJ967" i="8"/>
  <c r="BI967" i="8"/>
  <c r="BH967" i="8"/>
  <c r="BG967" i="8"/>
  <c r="BF967" i="8"/>
  <c r="BE967" i="8"/>
  <c r="BD967" i="8"/>
  <c r="BC967" i="8"/>
  <c r="BB967" i="8"/>
  <c r="BA967" i="8"/>
  <c r="AZ967" i="8"/>
  <c r="AY967" i="8"/>
  <c r="AX967" i="8"/>
  <c r="AW967" i="8"/>
  <c r="AV967" i="8"/>
  <c r="AU967" i="8"/>
  <c r="T967" i="8"/>
  <c r="L967" i="8"/>
  <c r="H967" i="8"/>
  <c r="G967" i="8"/>
  <c r="F967" i="8"/>
  <c r="E967" i="8"/>
  <c r="D967" i="8"/>
  <c r="C967" i="8"/>
  <c r="B967" i="8"/>
  <c r="BJ966" i="8"/>
  <c r="BI966" i="8"/>
  <c r="BH966" i="8"/>
  <c r="BG966" i="8"/>
  <c r="BF966" i="8"/>
  <c r="BE966" i="8"/>
  <c r="BD966" i="8"/>
  <c r="BC966" i="8"/>
  <c r="BB966" i="8"/>
  <c r="BA966" i="8"/>
  <c r="AZ966" i="8"/>
  <c r="AY966" i="8"/>
  <c r="AX966" i="8"/>
  <c r="AW966" i="8"/>
  <c r="AV966" i="8"/>
  <c r="AU966" i="8"/>
  <c r="T966" i="8"/>
  <c r="L966" i="8"/>
  <c r="H966" i="8"/>
  <c r="G966" i="8"/>
  <c r="F966" i="8"/>
  <c r="E966" i="8"/>
  <c r="D966" i="8"/>
  <c r="C966" i="8"/>
  <c r="B966" i="8"/>
  <c r="BJ965" i="8"/>
  <c r="BI965" i="8"/>
  <c r="BH965" i="8"/>
  <c r="BG965" i="8"/>
  <c r="BF965" i="8"/>
  <c r="BE965" i="8"/>
  <c r="BD965" i="8"/>
  <c r="BC965" i="8"/>
  <c r="BB965" i="8"/>
  <c r="BA965" i="8"/>
  <c r="AZ965" i="8"/>
  <c r="AY965" i="8"/>
  <c r="AX965" i="8"/>
  <c r="AW965" i="8"/>
  <c r="AV965" i="8"/>
  <c r="AU965" i="8"/>
  <c r="T965" i="8"/>
  <c r="L965" i="8"/>
  <c r="H965" i="8"/>
  <c r="G965" i="8"/>
  <c r="F965" i="8"/>
  <c r="E965" i="8"/>
  <c r="D965" i="8"/>
  <c r="C965" i="8"/>
  <c r="B965" i="8"/>
  <c r="BJ964" i="8"/>
  <c r="BI964" i="8"/>
  <c r="BH964" i="8"/>
  <c r="BG964" i="8"/>
  <c r="BF964" i="8"/>
  <c r="BE964" i="8"/>
  <c r="BD964" i="8"/>
  <c r="BC964" i="8"/>
  <c r="BB964" i="8"/>
  <c r="BA964" i="8"/>
  <c r="AZ964" i="8"/>
  <c r="AY964" i="8"/>
  <c r="AX964" i="8"/>
  <c r="AW964" i="8"/>
  <c r="AV964" i="8"/>
  <c r="AU964" i="8"/>
  <c r="T964" i="8"/>
  <c r="L964" i="8"/>
  <c r="H964" i="8"/>
  <c r="G964" i="8"/>
  <c r="F964" i="8"/>
  <c r="E964" i="8"/>
  <c r="D964" i="8"/>
  <c r="C964" i="8"/>
  <c r="B964" i="8"/>
  <c r="BJ963" i="8"/>
  <c r="BI963" i="8"/>
  <c r="BH963" i="8"/>
  <c r="BG963" i="8"/>
  <c r="BF963" i="8"/>
  <c r="BE963" i="8"/>
  <c r="BD963" i="8"/>
  <c r="BC963" i="8"/>
  <c r="BB963" i="8"/>
  <c r="BA963" i="8"/>
  <c r="AZ963" i="8"/>
  <c r="AY963" i="8"/>
  <c r="AX963" i="8"/>
  <c r="AW963" i="8"/>
  <c r="AV963" i="8"/>
  <c r="AU963" i="8"/>
  <c r="T963" i="8"/>
  <c r="L963" i="8"/>
  <c r="H963" i="8"/>
  <c r="G963" i="8"/>
  <c r="F963" i="8"/>
  <c r="E963" i="8"/>
  <c r="D963" i="8"/>
  <c r="C963" i="8"/>
  <c r="B963" i="8"/>
  <c r="BJ962" i="8"/>
  <c r="BI962" i="8"/>
  <c r="BH962" i="8"/>
  <c r="BG962" i="8"/>
  <c r="BF962" i="8"/>
  <c r="BE962" i="8"/>
  <c r="BD962" i="8"/>
  <c r="BC962" i="8"/>
  <c r="BB962" i="8"/>
  <c r="BA962" i="8"/>
  <c r="AZ962" i="8"/>
  <c r="AY962" i="8"/>
  <c r="AX962" i="8"/>
  <c r="AW962" i="8"/>
  <c r="AV962" i="8"/>
  <c r="AU962" i="8"/>
  <c r="T962" i="8"/>
  <c r="L962" i="8"/>
  <c r="H962" i="8"/>
  <c r="G962" i="8"/>
  <c r="F962" i="8"/>
  <c r="E962" i="8"/>
  <c r="D962" i="8"/>
  <c r="C962" i="8"/>
  <c r="B962" i="8"/>
  <c r="BJ961" i="8"/>
  <c r="BI961" i="8"/>
  <c r="BH961" i="8"/>
  <c r="BG961" i="8"/>
  <c r="BF961" i="8"/>
  <c r="BE961" i="8"/>
  <c r="BD961" i="8"/>
  <c r="BC961" i="8"/>
  <c r="BB961" i="8"/>
  <c r="BA961" i="8"/>
  <c r="AZ961" i="8"/>
  <c r="AY961" i="8"/>
  <c r="AX961" i="8"/>
  <c r="AW961" i="8"/>
  <c r="AV961" i="8"/>
  <c r="AU961" i="8"/>
  <c r="T961" i="8"/>
  <c r="L961" i="8"/>
  <c r="H961" i="8"/>
  <c r="G961" i="8"/>
  <c r="F961" i="8"/>
  <c r="E961" i="8"/>
  <c r="D961" i="8"/>
  <c r="C961" i="8"/>
  <c r="B961" i="8"/>
  <c r="BJ960" i="8"/>
  <c r="BI960" i="8"/>
  <c r="BH960" i="8"/>
  <c r="BG960" i="8"/>
  <c r="BF960" i="8"/>
  <c r="BE960" i="8"/>
  <c r="BD960" i="8"/>
  <c r="BC960" i="8"/>
  <c r="BB960" i="8"/>
  <c r="BA960" i="8"/>
  <c r="AZ960" i="8"/>
  <c r="AY960" i="8"/>
  <c r="AX960" i="8"/>
  <c r="AW960" i="8"/>
  <c r="AV960" i="8"/>
  <c r="AU960" i="8"/>
  <c r="T960" i="8"/>
  <c r="L960" i="8"/>
  <c r="H960" i="8"/>
  <c r="G960" i="8"/>
  <c r="F960" i="8"/>
  <c r="E960" i="8"/>
  <c r="D960" i="8"/>
  <c r="C960" i="8"/>
  <c r="B960" i="8"/>
  <c r="BJ959" i="8"/>
  <c r="BI959" i="8"/>
  <c r="BH959" i="8"/>
  <c r="BG959" i="8"/>
  <c r="BF959" i="8"/>
  <c r="BE959" i="8"/>
  <c r="BD959" i="8"/>
  <c r="BC959" i="8"/>
  <c r="BB959" i="8"/>
  <c r="BA959" i="8"/>
  <c r="AZ959" i="8"/>
  <c r="AY959" i="8"/>
  <c r="AX959" i="8"/>
  <c r="AW959" i="8"/>
  <c r="AV959" i="8"/>
  <c r="AU959" i="8"/>
  <c r="T959" i="8"/>
  <c r="L959" i="8"/>
  <c r="H959" i="8"/>
  <c r="G959" i="8"/>
  <c r="F959" i="8"/>
  <c r="E959" i="8"/>
  <c r="D959" i="8"/>
  <c r="C959" i="8"/>
  <c r="B959" i="8"/>
  <c r="BJ958" i="8"/>
  <c r="BI958" i="8"/>
  <c r="BH958" i="8"/>
  <c r="BG958" i="8"/>
  <c r="BF958" i="8"/>
  <c r="BE958" i="8"/>
  <c r="BD958" i="8"/>
  <c r="BC958" i="8"/>
  <c r="BB958" i="8"/>
  <c r="BA958" i="8"/>
  <c r="AZ958" i="8"/>
  <c r="AY958" i="8"/>
  <c r="AX958" i="8"/>
  <c r="AW958" i="8"/>
  <c r="AV958" i="8"/>
  <c r="AU958" i="8"/>
  <c r="T958" i="8"/>
  <c r="L958" i="8"/>
  <c r="H958" i="8"/>
  <c r="G958" i="8"/>
  <c r="F958" i="8"/>
  <c r="E958" i="8"/>
  <c r="D958" i="8"/>
  <c r="C958" i="8"/>
  <c r="B958" i="8"/>
  <c r="BJ957" i="8"/>
  <c r="BI957" i="8"/>
  <c r="BH957" i="8"/>
  <c r="BG957" i="8"/>
  <c r="BF957" i="8"/>
  <c r="BE957" i="8"/>
  <c r="BD957" i="8"/>
  <c r="BC957" i="8"/>
  <c r="BB957" i="8"/>
  <c r="BA957" i="8"/>
  <c r="AZ957" i="8"/>
  <c r="AY957" i="8"/>
  <c r="AX957" i="8"/>
  <c r="AW957" i="8"/>
  <c r="AV957" i="8"/>
  <c r="AU957" i="8"/>
  <c r="T957" i="8"/>
  <c r="L957" i="8"/>
  <c r="H957" i="8"/>
  <c r="G957" i="8"/>
  <c r="F957" i="8"/>
  <c r="E957" i="8"/>
  <c r="D957" i="8"/>
  <c r="C957" i="8"/>
  <c r="B957" i="8"/>
  <c r="BJ956" i="8"/>
  <c r="BI956" i="8"/>
  <c r="BH956" i="8"/>
  <c r="BG956" i="8"/>
  <c r="BF956" i="8"/>
  <c r="BE956" i="8"/>
  <c r="BD956" i="8"/>
  <c r="BC956" i="8"/>
  <c r="BB956" i="8"/>
  <c r="BA956" i="8"/>
  <c r="AZ956" i="8"/>
  <c r="AY956" i="8"/>
  <c r="AX956" i="8"/>
  <c r="AW956" i="8"/>
  <c r="AV956" i="8"/>
  <c r="AU956" i="8"/>
  <c r="T956" i="8"/>
  <c r="L956" i="8"/>
  <c r="H956" i="8"/>
  <c r="G956" i="8"/>
  <c r="F956" i="8"/>
  <c r="E956" i="8"/>
  <c r="D956" i="8"/>
  <c r="C956" i="8"/>
  <c r="B956" i="8"/>
  <c r="BJ955" i="8"/>
  <c r="BI955" i="8"/>
  <c r="BH955" i="8"/>
  <c r="BG955" i="8"/>
  <c r="BF955" i="8"/>
  <c r="BE955" i="8"/>
  <c r="BD955" i="8"/>
  <c r="BC955" i="8"/>
  <c r="BB955" i="8"/>
  <c r="BA955" i="8"/>
  <c r="AZ955" i="8"/>
  <c r="AY955" i="8"/>
  <c r="AX955" i="8"/>
  <c r="AW955" i="8"/>
  <c r="AV955" i="8"/>
  <c r="AU955" i="8"/>
  <c r="T955" i="8"/>
  <c r="L955" i="8"/>
  <c r="H955" i="8"/>
  <c r="G955" i="8"/>
  <c r="F955" i="8"/>
  <c r="E955" i="8"/>
  <c r="D955" i="8"/>
  <c r="C955" i="8"/>
  <c r="B955" i="8"/>
  <c r="BJ954" i="8"/>
  <c r="BI954" i="8"/>
  <c r="BH954" i="8"/>
  <c r="BG954" i="8"/>
  <c r="BF954" i="8"/>
  <c r="BE954" i="8"/>
  <c r="BD954" i="8"/>
  <c r="BC954" i="8"/>
  <c r="BB954" i="8"/>
  <c r="BA954" i="8"/>
  <c r="AZ954" i="8"/>
  <c r="AY954" i="8"/>
  <c r="AX954" i="8"/>
  <c r="AW954" i="8"/>
  <c r="AV954" i="8"/>
  <c r="AU954" i="8"/>
  <c r="T954" i="8"/>
  <c r="L954" i="8"/>
  <c r="H954" i="8"/>
  <c r="G954" i="8"/>
  <c r="F954" i="8"/>
  <c r="E954" i="8"/>
  <c r="D954" i="8"/>
  <c r="C954" i="8"/>
  <c r="B954" i="8"/>
  <c r="BJ953" i="8"/>
  <c r="BI953" i="8"/>
  <c r="BH953" i="8"/>
  <c r="BG953" i="8"/>
  <c r="BF953" i="8"/>
  <c r="BE953" i="8"/>
  <c r="BD953" i="8"/>
  <c r="BC953" i="8"/>
  <c r="BB953" i="8"/>
  <c r="BA953" i="8"/>
  <c r="AZ953" i="8"/>
  <c r="AY953" i="8"/>
  <c r="AX953" i="8"/>
  <c r="AW953" i="8"/>
  <c r="AV953" i="8"/>
  <c r="AU953" i="8"/>
  <c r="T953" i="8"/>
  <c r="L953" i="8"/>
  <c r="H953" i="8"/>
  <c r="G953" i="8"/>
  <c r="F953" i="8"/>
  <c r="E953" i="8"/>
  <c r="D953" i="8"/>
  <c r="C953" i="8"/>
  <c r="B953" i="8"/>
  <c r="BJ952" i="8"/>
  <c r="BI952" i="8"/>
  <c r="BH952" i="8"/>
  <c r="BG952" i="8"/>
  <c r="BF952" i="8"/>
  <c r="BE952" i="8"/>
  <c r="BD952" i="8"/>
  <c r="BC952" i="8"/>
  <c r="BB952" i="8"/>
  <c r="BA952" i="8"/>
  <c r="AZ952" i="8"/>
  <c r="AY952" i="8"/>
  <c r="AX952" i="8"/>
  <c r="AW952" i="8"/>
  <c r="AV952" i="8"/>
  <c r="AU952" i="8"/>
  <c r="T952" i="8"/>
  <c r="L952" i="8"/>
  <c r="H952" i="8"/>
  <c r="G952" i="8"/>
  <c r="F952" i="8"/>
  <c r="E952" i="8"/>
  <c r="D952" i="8"/>
  <c r="C952" i="8"/>
  <c r="B952" i="8"/>
  <c r="BJ951" i="8"/>
  <c r="BI951" i="8"/>
  <c r="BH951" i="8"/>
  <c r="BG951" i="8"/>
  <c r="BF951" i="8"/>
  <c r="BE951" i="8"/>
  <c r="BD951" i="8"/>
  <c r="BC951" i="8"/>
  <c r="BB951" i="8"/>
  <c r="BA951" i="8"/>
  <c r="AZ951" i="8"/>
  <c r="AY951" i="8"/>
  <c r="AX951" i="8"/>
  <c r="AW951" i="8"/>
  <c r="AV951" i="8"/>
  <c r="AU951" i="8"/>
  <c r="T951" i="8"/>
  <c r="L951" i="8"/>
  <c r="H951" i="8"/>
  <c r="G951" i="8"/>
  <c r="F951" i="8"/>
  <c r="E951" i="8"/>
  <c r="D951" i="8"/>
  <c r="C951" i="8"/>
  <c r="B951" i="8"/>
  <c r="BJ950" i="8"/>
  <c r="BI950" i="8"/>
  <c r="BH950" i="8"/>
  <c r="BG950" i="8"/>
  <c r="BF950" i="8"/>
  <c r="BE950" i="8"/>
  <c r="BD950" i="8"/>
  <c r="BC950" i="8"/>
  <c r="BB950" i="8"/>
  <c r="BA950" i="8"/>
  <c r="AZ950" i="8"/>
  <c r="AY950" i="8"/>
  <c r="AX950" i="8"/>
  <c r="AW950" i="8"/>
  <c r="AV950" i="8"/>
  <c r="AU950" i="8"/>
  <c r="T950" i="8"/>
  <c r="L950" i="8"/>
  <c r="H950" i="8"/>
  <c r="G950" i="8"/>
  <c r="F950" i="8"/>
  <c r="E950" i="8"/>
  <c r="D950" i="8"/>
  <c r="C950" i="8"/>
  <c r="B950" i="8"/>
  <c r="BJ949" i="8"/>
  <c r="BI949" i="8"/>
  <c r="BH949" i="8"/>
  <c r="BG949" i="8"/>
  <c r="BF949" i="8"/>
  <c r="BE949" i="8"/>
  <c r="BD949" i="8"/>
  <c r="BC949" i="8"/>
  <c r="BB949" i="8"/>
  <c r="BA949" i="8"/>
  <c r="AZ949" i="8"/>
  <c r="AY949" i="8"/>
  <c r="AX949" i="8"/>
  <c r="AW949" i="8"/>
  <c r="AV949" i="8"/>
  <c r="AU949" i="8"/>
  <c r="T949" i="8"/>
  <c r="L949" i="8"/>
  <c r="K949" i="8"/>
  <c r="J949" i="8"/>
  <c r="I949" i="8"/>
  <c r="H949" i="8"/>
  <c r="G949" i="8"/>
  <c r="F949" i="8"/>
  <c r="E949" i="8"/>
  <c r="D949" i="8"/>
  <c r="C949" i="8"/>
  <c r="B949" i="8"/>
  <c r="BJ948" i="8"/>
  <c r="BI948" i="8"/>
  <c r="BH948" i="8"/>
  <c r="BG948" i="8"/>
  <c r="BF948" i="8"/>
  <c r="BE948" i="8"/>
  <c r="BD948" i="8"/>
  <c r="BC948" i="8"/>
  <c r="BB948" i="8"/>
  <c r="BA948" i="8"/>
  <c r="AZ948" i="8"/>
  <c r="AY948" i="8"/>
  <c r="AX948" i="8"/>
  <c r="AW948" i="8"/>
  <c r="AV948" i="8"/>
  <c r="AU948" i="8"/>
  <c r="T948" i="8"/>
  <c r="L948" i="8"/>
  <c r="H948" i="8"/>
  <c r="G948" i="8"/>
  <c r="F948" i="8"/>
  <c r="E948" i="8"/>
  <c r="D948" i="8"/>
  <c r="C948" i="8"/>
  <c r="B948" i="8"/>
  <c r="BJ947" i="8"/>
  <c r="BI947" i="8"/>
  <c r="BH947" i="8"/>
  <c r="BG947" i="8"/>
  <c r="BF947" i="8"/>
  <c r="BE947" i="8"/>
  <c r="BD947" i="8"/>
  <c r="BC947" i="8"/>
  <c r="BB947" i="8"/>
  <c r="BA947" i="8"/>
  <c r="AZ947" i="8"/>
  <c r="AY947" i="8"/>
  <c r="AX947" i="8"/>
  <c r="AW947" i="8"/>
  <c r="AV947" i="8"/>
  <c r="AU947" i="8"/>
  <c r="T947" i="8"/>
  <c r="L947" i="8"/>
  <c r="H947" i="8"/>
  <c r="G947" i="8"/>
  <c r="F947" i="8"/>
  <c r="E947" i="8"/>
  <c r="D947" i="8"/>
  <c r="C947" i="8"/>
  <c r="B947" i="8"/>
  <c r="BJ946" i="8"/>
  <c r="BI946" i="8"/>
  <c r="BH946" i="8"/>
  <c r="BG946" i="8"/>
  <c r="BF946" i="8"/>
  <c r="BE946" i="8"/>
  <c r="BD946" i="8"/>
  <c r="BC946" i="8"/>
  <c r="BB946" i="8"/>
  <c r="BA946" i="8"/>
  <c r="AZ946" i="8"/>
  <c r="AY946" i="8"/>
  <c r="AX946" i="8"/>
  <c r="AW946" i="8"/>
  <c r="AV946" i="8"/>
  <c r="AU946" i="8"/>
  <c r="T946" i="8"/>
  <c r="L946" i="8"/>
  <c r="H946" i="8"/>
  <c r="G946" i="8"/>
  <c r="F946" i="8"/>
  <c r="E946" i="8"/>
  <c r="D946" i="8"/>
  <c r="C946" i="8"/>
  <c r="B946" i="8"/>
  <c r="BJ945" i="8"/>
  <c r="BI945" i="8"/>
  <c r="BH945" i="8"/>
  <c r="BG945" i="8"/>
  <c r="BF945" i="8"/>
  <c r="BE945" i="8"/>
  <c r="BD945" i="8"/>
  <c r="BC945" i="8"/>
  <c r="BB945" i="8"/>
  <c r="BA945" i="8"/>
  <c r="AZ945" i="8"/>
  <c r="AY945" i="8"/>
  <c r="AX945" i="8"/>
  <c r="AW945" i="8"/>
  <c r="AV945" i="8"/>
  <c r="AU945" i="8"/>
  <c r="T945" i="8"/>
  <c r="L945" i="8"/>
  <c r="H945" i="8"/>
  <c r="G945" i="8"/>
  <c r="F945" i="8"/>
  <c r="E945" i="8"/>
  <c r="D945" i="8"/>
  <c r="C945" i="8"/>
  <c r="B945" i="8"/>
  <c r="BJ944" i="8"/>
  <c r="BI944" i="8"/>
  <c r="BH944" i="8"/>
  <c r="BG944" i="8"/>
  <c r="BF944" i="8"/>
  <c r="BE944" i="8"/>
  <c r="BD944" i="8"/>
  <c r="BC944" i="8"/>
  <c r="BB944" i="8"/>
  <c r="BA944" i="8"/>
  <c r="AZ944" i="8"/>
  <c r="AY944" i="8"/>
  <c r="AX944" i="8"/>
  <c r="AW944" i="8"/>
  <c r="AV944" i="8"/>
  <c r="AU944" i="8"/>
  <c r="T944" i="8"/>
  <c r="L944" i="8"/>
  <c r="H944" i="8"/>
  <c r="G944" i="8"/>
  <c r="F944" i="8"/>
  <c r="E944" i="8"/>
  <c r="D944" i="8"/>
  <c r="C944" i="8"/>
  <c r="B944" i="8"/>
  <c r="BJ943" i="8"/>
  <c r="BI943" i="8"/>
  <c r="BH943" i="8"/>
  <c r="BG943" i="8"/>
  <c r="BF943" i="8"/>
  <c r="BE943" i="8"/>
  <c r="BD943" i="8"/>
  <c r="BC943" i="8"/>
  <c r="BB943" i="8"/>
  <c r="BA943" i="8"/>
  <c r="AZ943" i="8"/>
  <c r="AY943" i="8"/>
  <c r="AX943" i="8"/>
  <c r="AW943" i="8"/>
  <c r="AV943" i="8"/>
  <c r="AU943" i="8"/>
  <c r="T943" i="8"/>
  <c r="L943" i="8"/>
  <c r="H943" i="8"/>
  <c r="G943" i="8"/>
  <c r="F943" i="8"/>
  <c r="E943" i="8"/>
  <c r="D943" i="8"/>
  <c r="C943" i="8"/>
  <c r="B943" i="8"/>
  <c r="BJ942" i="8"/>
  <c r="BI942" i="8"/>
  <c r="BH942" i="8"/>
  <c r="BG942" i="8"/>
  <c r="BF942" i="8"/>
  <c r="BE942" i="8"/>
  <c r="BD942" i="8"/>
  <c r="BC942" i="8"/>
  <c r="BB942" i="8"/>
  <c r="BA942" i="8"/>
  <c r="AZ942" i="8"/>
  <c r="AY942" i="8"/>
  <c r="AX942" i="8"/>
  <c r="AW942" i="8"/>
  <c r="AV942" i="8"/>
  <c r="AU942" i="8"/>
  <c r="T942" i="8"/>
  <c r="L942" i="8"/>
  <c r="H942" i="8"/>
  <c r="G942" i="8"/>
  <c r="F942" i="8"/>
  <c r="E942" i="8"/>
  <c r="D942" i="8"/>
  <c r="C942" i="8"/>
  <c r="B942" i="8"/>
  <c r="BJ941" i="8"/>
  <c r="BI941" i="8"/>
  <c r="BH941" i="8"/>
  <c r="BG941" i="8"/>
  <c r="BF941" i="8"/>
  <c r="BE941" i="8"/>
  <c r="BD941" i="8"/>
  <c r="BC941" i="8"/>
  <c r="BB941" i="8"/>
  <c r="BA941" i="8"/>
  <c r="AZ941" i="8"/>
  <c r="AY941" i="8"/>
  <c r="AX941" i="8"/>
  <c r="AW941" i="8"/>
  <c r="AV941" i="8"/>
  <c r="AU941" i="8"/>
  <c r="L941" i="8"/>
  <c r="K941" i="8"/>
  <c r="J941" i="8"/>
  <c r="I941" i="8"/>
  <c r="H941" i="8"/>
  <c r="G941" i="8"/>
  <c r="F941" i="8"/>
  <c r="E941" i="8"/>
  <c r="D941" i="8"/>
  <c r="C941" i="8"/>
  <c r="B941" i="8"/>
  <c r="BJ940" i="8"/>
  <c r="BI940" i="8"/>
  <c r="BH940" i="8"/>
  <c r="BG940" i="8"/>
  <c r="BF940" i="8"/>
  <c r="BE940" i="8"/>
  <c r="BD940" i="8"/>
  <c r="BC940" i="8"/>
  <c r="BB940" i="8"/>
  <c r="BA940" i="8"/>
  <c r="AZ940" i="8"/>
  <c r="AY940" i="8"/>
  <c r="AX940" i="8"/>
  <c r="AW940" i="8"/>
  <c r="AV940" i="8"/>
  <c r="AU940" i="8"/>
  <c r="U940" i="8"/>
  <c r="S940" i="8"/>
  <c r="R940" i="8"/>
  <c r="O940" i="8"/>
  <c r="N940" i="8"/>
  <c r="M940" i="8"/>
  <c r="L940" i="8"/>
  <c r="K940" i="8"/>
  <c r="J940" i="8"/>
  <c r="I940" i="8"/>
  <c r="H940" i="8"/>
  <c r="G940" i="8"/>
  <c r="F940" i="8"/>
  <c r="E940" i="8"/>
  <c r="D940" i="8"/>
  <c r="C940" i="8"/>
  <c r="B940" i="8"/>
  <c r="BJ939" i="8"/>
  <c r="BI939" i="8"/>
  <c r="BH939" i="8"/>
  <c r="BG939" i="8"/>
  <c r="BF939" i="8"/>
  <c r="BE939" i="8"/>
  <c r="BD939" i="8"/>
  <c r="BC939" i="8"/>
  <c r="BB939" i="8"/>
  <c r="BA939" i="8"/>
  <c r="AZ939" i="8"/>
  <c r="AY939" i="8"/>
  <c r="AX939" i="8"/>
  <c r="AW939" i="8"/>
  <c r="AV939" i="8"/>
  <c r="AU939" i="8"/>
  <c r="U939" i="8"/>
  <c r="S939" i="8"/>
  <c r="R939" i="8"/>
  <c r="Q939" i="8"/>
  <c r="P939" i="8"/>
  <c r="O939" i="8"/>
  <c r="N939" i="8"/>
  <c r="M939" i="8"/>
  <c r="L939" i="8"/>
  <c r="K939" i="8"/>
  <c r="J939" i="8"/>
  <c r="I939" i="8"/>
  <c r="H939" i="8"/>
  <c r="G939" i="8"/>
  <c r="F939" i="8"/>
  <c r="E939" i="8"/>
  <c r="D939" i="8"/>
  <c r="C939" i="8"/>
  <c r="B939" i="8"/>
  <c r="BJ938" i="8"/>
  <c r="BI938" i="8"/>
  <c r="BH938" i="8"/>
  <c r="BG938" i="8"/>
  <c r="BF938" i="8"/>
  <c r="BE938" i="8"/>
  <c r="BD938" i="8"/>
  <c r="BC938" i="8"/>
  <c r="BB938" i="8"/>
  <c r="BA938" i="8"/>
  <c r="AZ938" i="8"/>
  <c r="AY938" i="8"/>
  <c r="AX938" i="8"/>
  <c r="AW938" i="8"/>
  <c r="AV938" i="8"/>
  <c r="AU938" i="8"/>
  <c r="U938" i="8"/>
  <c r="S938" i="8"/>
  <c r="R938" i="8"/>
  <c r="Q938" i="8"/>
  <c r="P938" i="8"/>
  <c r="O938" i="8"/>
  <c r="N938" i="8"/>
  <c r="M938" i="8"/>
  <c r="L938" i="8"/>
  <c r="K938" i="8"/>
  <c r="J938" i="8"/>
  <c r="I938" i="8"/>
  <c r="H938" i="8"/>
  <c r="G938" i="8"/>
  <c r="F938" i="8"/>
  <c r="E938" i="8"/>
  <c r="D938" i="8"/>
  <c r="C938" i="8"/>
  <c r="B938" i="8"/>
  <c r="BJ937" i="8"/>
  <c r="BI937" i="8"/>
  <c r="BH937" i="8"/>
  <c r="BG937" i="8"/>
  <c r="BF937" i="8"/>
  <c r="BE937" i="8"/>
  <c r="BD937" i="8"/>
  <c r="BC937" i="8"/>
  <c r="BB937" i="8"/>
  <c r="BA937" i="8"/>
  <c r="AZ937" i="8"/>
  <c r="AY937" i="8"/>
  <c r="AX937" i="8"/>
  <c r="AW937" i="8"/>
  <c r="AV937" i="8"/>
  <c r="AU937" i="8"/>
  <c r="S937" i="8"/>
  <c r="R937" i="8"/>
  <c r="Q937" i="8"/>
  <c r="P937" i="8"/>
  <c r="O937" i="8"/>
  <c r="N937" i="8"/>
  <c r="M937" i="8"/>
  <c r="L937" i="8"/>
  <c r="K937" i="8"/>
  <c r="J937" i="8"/>
  <c r="I937" i="8"/>
  <c r="H937" i="8"/>
  <c r="G937" i="8"/>
  <c r="F937" i="8"/>
  <c r="E937" i="8"/>
  <c r="D937" i="8"/>
  <c r="C937" i="8"/>
  <c r="B937" i="8"/>
  <c r="BJ936" i="8"/>
  <c r="BI936" i="8"/>
  <c r="BH936" i="8"/>
  <c r="BG936" i="8"/>
  <c r="BF936" i="8"/>
  <c r="BE936" i="8"/>
  <c r="BD936" i="8"/>
  <c r="BC936" i="8"/>
  <c r="BB936" i="8"/>
  <c r="BA936" i="8"/>
  <c r="AZ936" i="8"/>
  <c r="AY936" i="8"/>
  <c r="AX936" i="8"/>
  <c r="AW936" i="8"/>
  <c r="AV936" i="8"/>
  <c r="AU936" i="8"/>
  <c r="L936" i="8"/>
  <c r="K936" i="8"/>
  <c r="J936" i="8"/>
  <c r="I936" i="8"/>
  <c r="H936" i="8"/>
  <c r="G936" i="8"/>
  <c r="F936" i="8"/>
  <c r="E936" i="8"/>
  <c r="D936" i="8"/>
  <c r="C936" i="8"/>
  <c r="B936" i="8"/>
  <c r="BJ935" i="8"/>
  <c r="BI935" i="8"/>
  <c r="BH935" i="8"/>
  <c r="BG935" i="8"/>
  <c r="BF935" i="8"/>
  <c r="BE935" i="8"/>
  <c r="BD935" i="8"/>
  <c r="BC935" i="8"/>
  <c r="BB935" i="8"/>
  <c r="BA935" i="8"/>
  <c r="AZ935" i="8"/>
  <c r="AY935" i="8"/>
  <c r="AX935" i="8"/>
  <c r="AW935" i="8"/>
  <c r="AV935" i="8"/>
  <c r="AU935" i="8"/>
  <c r="L935" i="8"/>
  <c r="K935" i="8"/>
  <c r="J935" i="8"/>
  <c r="I935" i="8"/>
  <c r="H935" i="8"/>
  <c r="G935" i="8"/>
  <c r="F935" i="8"/>
  <c r="E935" i="8"/>
  <c r="D935" i="8"/>
  <c r="C935" i="8"/>
  <c r="B935" i="8"/>
  <c r="BJ934" i="8"/>
  <c r="BI934" i="8"/>
  <c r="BH934" i="8"/>
  <c r="BG934" i="8"/>
  <c r="BF934" i="8"/>
  <c r="BE934" i="8"/>
  <c r="BD934" i="8"/>
  <c r="BC934" i="8"/>
  <c r="BB934" i="8"/>
  <c r="BA934" i="8"/>
  <c r="AZ934" i="8"/>
  <c r="AY934" i="8"/>
  <c r="AX934" i="8"/>
  <c r="AW934" i="8"/>
  <c r="AV934" i="8"/>
  <c r="AU934" i="8"/>
  <c r="L934" i="8"/>
  <c r="K934" i="8"/>
  <c r="J934" i="8"/>
  <c r="I934" i="8"/>
  <c r="H934" i="8"/>
  <c r="G934" i="8"/>
  <c r="F934" i="8"/>
  <c r="E934" i="8"/>
  <c r="D934" i="8"/>
  <c r="C934" i="8"/>
  <c r="B934" i="8"/>
  <c r="BJ933" i="8"/>
  <c r="BI933" i="8"/>
  <c r="BH933" i="8"/>
  <c r="BG933" i="8"/>
  <c r="BF933" i="8"/>
  <c r="BE933" i="8"/>
  <c r="BD933" i="8"/>
  <c r="BC933" i="8"/>
  <c r="BB933" i="8"/>
  <c r="BA933" i="8"/>
  <c r="AZ933" i="8"/>
  <c r="AY933" i="8"/>
  <c r="AX933" i="8"/>
  <c r="AW933" i="8"/>
  <c r="AV933" i="8"/>
  <c r="AU933" i="8"/>
  <c r="U933" i="8"/>
  <c r="S933" i="8"/>
  <c r="R933" i="8"/>
  <c r="Q933" i="8"/>
  <c r="P933" i="8"/>
  <c r="O933" i="8"/>
  <c r="N933" i="8"/>
  <c r="M933" i="8"/>
  <c r="L933" i="8"/>
  <c r="K933" i="8"/>
  <c r="J933" i="8"/>
  <c r="I933" i="8"/>
  <c r="H933" i="8"/>
  <c r="G933" i="8"/>
  <c r="F933" i="8"/>
  <c r="E933" i="8"/>
  <c r="D933" i="8"/>
  <c r="C933" i="8"/>
  <c r="B933" i="8"/>
  <c r="BJ932" i="8"/>
  <c r="BI932" i="8"/>
  <c r="BH932" i="8"/>
  <c r="BG932" i="8"/>
  <c r="BF932" i="8"/>
  <c r="AW932" i="8"/>
  <c r="AU932" i="8"/>
  <c r="L932" i="8"/>
  <c r="H932" i="8"/>
  <c r="G932" i="8"/>
  <c r="F932" i="8"/>
  <c r="E932" i="8"/>
  <c r="D932" i="8"/>
  <c r="C932" i="8"/>
  <c r="B932" i="8"/>
  <c r="BJ931" i="8"/>
  <c r="BI931" i="8"/>
  <c r="BH931" i="8"/>
  <c r="BG931" i="8"/>
  <c r="BF931" i="8"/>
  <c r="BE931" i="8"/>
  <c r="BD931" i="8"/>
  <c r="BC931" i="8"/>
  <c r="BB931" i="8"/>
  <c r="BA931" i="8"/>
  <c r="AZ931" i="8"/>
  <c r="AY931" i="8"/>
  <c r="AX931" i="8"/>
  <c r="AW931" i="8"/>
  <c r="AV931" i="8"/>
  <c r="AU931" i="8"/>
  <c r="U931" i="8"/>
  <c r="S931" i="8"/>
  <c r="R931" i="8"/>
  <c r="Q931" i="8"/>
  <c r="O931" i="8"/>
  <c r="N931" i="8"/>
  <c r="M931" i="8"/>
  <c r="L931" i="8"/>
  <c r="K931" i="8"/>
  <c r="J931" i="8"/>
  <c r="I931" i="8"/>
  <c r="H931" i="8"/>
  <c r="G931" i="8"/>
  <c r="F931" i="8"/>
  <c r="E931" i="8"/>
  <c r="D931" i="8"/>
  <c r="C931" i="8"/>
  <c r="B931" i="8"/>
  <c r="BJ930" i="8"/>
  <c r="BI930" i="8"/>
  <c r="BH930" i="8"/>
  <c r="BG930" i="8"/>
  <c r="BF930" i="8"/>
  <c r="BE930" i="8"/>
  <c r="BD930" i="8"/>
  <c r="BC930" i="8"/>
  <c r="BB930" i="8"/>
  <c r="BA930" i="8"/>
  <c r="AZ930" i="8"/>
  <c r="AY930" i="8"/>
  <c r="AX930" i="8"/>
  <c r="AW930" i="8"/>
  <c r="AV930" i="8"/>
  <c r="AU930" i="8"/>
  <c r="S930" i="8"/>
  <c r="R930" i="8"/>
  <c r="Q930" i="8"/>
  <c r="P930" i="8"/>
  <c r="N930" i="8"/>
  <c r="M930" i="8"/>
  <c r="L930" i="8"/>
  <c r="K930" i="8"/>
  <c r="J930" i="8"/>
  <c r="I930" i="8"/>
  <c r="H930" i="8"/>
  <c r="G930" i="8"/>
  <c r="F930" i="8"/>
  <c r="E930" i="8"/>
  <c r="D930" i="8"/>
  <c r="C930" i="8"/>
  <c r="B930" i="8"/>
  <c r="BJ929" i="8"/>
  <c r="BI929" i="8"/>
  <c r="BH929" i="8"/>
  <c r="BG929" i="8"/>
  <c r="BF929" i="8"/>
  <c r="BE929" i="8"/>
  <c r="BD929" i="8"/>
  <c r="BC929" i="8"/>
  <c r="BB929" i="8"/>
  <c r="BA929" i="8"/>
  <c r="AZ929" i="8"/>
  <c r="AY929" i="8"/>
  <c r="AX929" i="8"/>
  <c r="AW929" i="8"/>
  <c r="AV929" i="8"/>
  <c r="AU929" i="8"/>
  <c r="L929" i="8"/>
  <c r="H929" i="8"/>
  <c r="G929" i="8"/>
  <c r="F929" i="8"/>
  <c r="E929" i="8"/>
  <c r="D929" i="8"/>
  <c r="C929" i="8"/>
  <c r="B929" i="8"/>
  <c r="BJ928" i="8"/>
  <c r="BI928" i="8"/>
  <c r="BH928" i="8"/>
  <c r="BG928" i="8"/>
  <c r="BF928" i="8"/>
  <c r="BE928" i="8"/>
  <c r="BD928" i="8"/>
  <c r="BC928" i="8"/>
  <c r="BB928" i="8"/>
  <c r="BA928" i="8"/>
  <c r="AZ928" i="8"/>
  <c r="AY928" i="8"/>
  <c r="AX928" i="8"/>
  <c r="AW928" i="8"/>
  <c r="AV928" i="8"/>
  <c r="AU928" i="8"/>
  <c r="U928" i="8"/>
  <c r="S928" i="8"/>
  <c r="R928" i="8"/>
  <c r="Q928" i="8"/>
  <c r="P928" i="8"/>
  <c r="N928" i="8"/>
  <c r="M928" i="8"/>
  <c r="L928" i="8"/>
  <c r="K928" i="8"/>
  <c r="J928" i="8"/>
  <c r="I928" i="8"/>
  <c r="H928" i="8"/>
  <c r="G928" i="8"/>
  <c r="F928" i="8"/>
  <c r="E928" i="8"/>
  <c r="D928" i="8"/>
  <c r="C928" i="8"/>
  <c r="B928" i="8"/>
  <c r="BJ927" i="8"/>
  <c r="BI927" i="8"/>
  <c r="BH927" i="8"/>
  <c r="BG927" i="8"/>
  <c r="BF927" i="8"/>
  <c r="BE927" i="8"/>
  <c r="BD927" i="8"/>
  <c r="BC927" i="8"/>
  <c r="BB927" i="8"/>
  <c r="BA927" i="8"/>
  <c r="AZ927" i="8"/>
  <c r="AY927" i="8"/>
  <c r="AX927" i="8"/>
  <c r="AW927" i="8"/>
  <c r="AV927" i="8"/>
  <c r="AU927" i="8"/>
  <c r="U927" i="8"/>
  <c r="S927" i="8"/>
  <c r="R927" i="8"/>
  <c r="Q927" i="8"/>
  <c r="P927" i="8"/>
  <c r="O927" i="8"/>
  <c r="N927" i="8"/>
  <c r="M927" i="8"/>
  <c r="L927" i="8"/>
  <c r="K927" i="8"/>
  <c r="J927" i="8"/>
  <c r="I927" i="8"/>
  <c r="H927" i="8"/>
  <c r="G927" i="8"/>
  <c r="F927" i="8"/>
  <c r="E927" i="8"/>
  <c r="D927" i="8"/>
  <c r="C927" i="8"/>
  <c r="B927" i="8"/>
  <c r="BJ926" i="8"/>
  <c r="BI926" i="8"/>
  <c r="BH926" i="8"/>
  <c r="BG926" i="8"/>
  <c r="BF926" i="8"/>
  <c r="BE926" i="8"/>
  <c r="BD926" i="8"/>
  <c r="BC926" i="8"/>
  <c r="BB926" i="8"/>
  <c r="BA926" i="8"/>
  <c r="AZ926" i="8"/>
  <c r="AY926" i="8"/>
  <c r="AX926" i="8"/>
  <c r="AW926" i="8"/>
  <c r="AV926" i="8"/>
  <c r="AU926" i="8"/>
  <c r="S926" i="8"/>
  <c r="R926" i="8"/>
  <c r="Q926" i="8"/>
  <c r="P926" i="8"/>
  <c r="N926" i="8"/>
  <c r="M926" i="8"/>
  <c r="L926" i="8"/>
  <c r="K926" i="8"/>
  <c r="J926" i="8"/>
  <c r="I926" i="8"/>
  <c r="H926" i="8"/>
  <c r="G926" i="8"/>
  <c r="F926" i="8"/>
  <c r="E926" i="8"/>
  <c r="D926" i="8"/>
  <c r="C926" i="8"/>
  <c r="B926" i="8"/>
  <c r="BJ925" i="8"/>
  <c r="BI925" i="8"/>
  <c r="BH925" i="8"/>
  <c r="BG925" i="8"/>
  <c r="BF925" i="8"/>
  <c r="BE925" i="8"/>
  <c r="BD925" i="8"/>
  <c r="BC925" i="8"/>
  <c r="BB925" i="8"/>
  <c r="BA925" i="8"/>
  <c r="AZ925" i="8"/>
  <c r="AY925" i="8"/>
  <c r="AX925" i="8"/>
  <c r="AW925" i="8"/>
  <c r="AV925" i="8"/>
  <c r="AU925" i="8"/>
  <c r="L925" i="8"/>
  <c r="K925" i="8"/>
  <c r="J925" i="8"/>
  <c r="I925" i="8"/>
  <c r="H925" i="8"/>
  <c r="G925" i="8"/>
  <c r="F925" i="8"/>
  <c r="E925" i="8"/>
  <c r="D925" i="8"/>
  <c r="C925" i="8"/>
  <c r="B925" i="8"/>
  <c r="BJ924" i="8"/>
  <c r="BI924" i="8"/>
  <c r="BH924" i="8"/>
  <c r="BG924" i="8"/>
  <c r="BF924" i="8"/>
  <c r="BE924" i="8"/>
  <c r="BD924" i="8"/>
  <c r="BC924" i="8"/>
  <c r="BB924" i="8"/>
  <c r="BA924" i="8"/>
  <c r="AZ924" i="8"/>
  <c r="AY924" i="8"/>
  <c r="AX924" i="8"/>
  <c r="AW924" i="8"/>
  <c r="AV924" i="8"/>
  <c r="AU924" i="8"/>
  <c r="L924" i="8"/>
  <c r="K924" i="8"/>
  <c r="J924" i="8"/>
  <c r="I924" i="8"/>
  <c r="H924" i="8"/>
  <c r="G924" i="8"/>
  <c r="F924" i="8"/>
  <c r="E924" i="8"/>
  <c r="D924" i="8"/>
  <c r="C924" i="8"/>
  <c r="B924" i="8"/>
  <c r="BJ923" i="8"/>
  <c r="BI923" i="8"/>
  <c r="BH923" i="8"/>
  <c r="BG923" i="8"/>
  <c r="BF923" i="8"/>
  <c r="BE923" i="8"/>
  <c r="BD923" i="8"/>
  <c r="BC923" i="8"/>
  <c r="BB923" i="8"/>
  <c r="BA923" i="8"/>
  <c r="AZ923" i="8"/>
  <c r="AY923" i="8"/>
  <c r="AX923" i="8"/>
  <c r="AW923" i="8"/>
  <c r="AV923" i="8"/>
  <c r="AU923" i="8"/>
  <c r="L923" i="8"/>
  <c r="K923" i="8"/>
  <c r="J923" i="8"/>
  <c r="I923" i="8"/>
  <c r="H923" i="8"/>
  <c r="G923" i="8"/>
  <c r="F923" i="8"/>
  <c r="E923" i="8"/>
  <c r="D923" i="8"/>
  <c r="C923" i="8"/>
  <c r="B923" i="8"/>
  <c r="BJ922" i="8"/>
  <c r="BI922" i="8"/>
  <c r="BH922" i="8"/>
  <c r="BG922" i="8"/>
  <c r="BF922" i="8"/>
  <c r="BE922" i="8"/>
  <c r="BD922" i="8"/>
  <c r="BC922" i="8"/>
  <c r="BB922" i="8"/>
  <c r="BA922" i="8"/>
  <c r="AZ922" i="8"/>
  <c r="AY922" i="8"/>
  <c r="AX922" i="8"/>
  <c r="AW922" i="8"/>
  <c r="AV922" i="8"/>
  <c r="AU922" i="8"/>
  <c r="AO922" i="8"/>
  <c r="S922" i="8"/>
  <c r="R922" i="8"/>
  <c r="Q922" i="8"/>
  <c r="P922" i="8"/>
  <c r="O922" i="8"/>
  <c r="N922" i="8"/>
  <c r="M922" i="8"/>
  <c r="L922" i="8"/>
  <c r="K922" i="8"/>
  <c r="J922" i="8"/>
  <c r="I922" i="8"/>
  <c r="H922" i="8"/>
  <c r="G922" i="8"/>
  <c r="F922" i="8"/>
  <c r="E922" i="8"/>
  <c r="D922" i="8"/>
  <c r="C922" i="8"/>
  <c r="B922" i="8"/>
  <c r="BJ921" i="8"/>
  <c r="BI921" i="8"/>
  <c r="BH921" i="8"/>
  <c r="BG921" i="8"/>
  <c r="BF921" i="8"/>
  <c r="BE921" i="8"/>
  <c r="BD921" i="8"/>
  <c r="BC921" i="8"/>
  <c r="BB921" i="8"/>
  <c r="BA921" i="8"/>
  <c r="AZ921" i="8"/>
  <c r="AY921" i="8"/>
  <c r="AX921" i="8"/>
  <c r="AW921" i="8"/>
  <c r="AV921" i="8"/>
  <c r="AU921" i="8"/>
  <c r="L921" i="8"/>
  <c r="K921" i="8"/>
  <c r="J921" i="8"/>
  <c r="H921" i="8"/>
  <c r="G921" i="8"/>
  <c r="F921" i="8"/>
  <c r="E921" i="8"/>
  <c r="D921" i="8"/>
  <c r="C921" i="8"/>
  <c r="B921" i="8"/>
  <c r="BJ920" i="8"/>
  <c r="BI920" i="8"/>
  <c r="BH920" i="8"/>
  <c r="BG920" i="8"/>
  <c r="BF920" i="8"/>
  <c r="BE920" i="8"/>
  <c r="BD920" i="8"/>
  <c r="BC920" i="8"/>
  <c r="BB920" i="8"/>
  <c r="BA920" i="8"/>
  <c r="AZ920" i="8"/>
  <c r="AY920" i="8"/>
  <c r="AX920" i="8"/>
  <c r="AW920" i="8"/>
  <c r="AV920" i="8"/>
  <c r="AU920" i="8"/>
  <c r="L920" i="8"/>
  <c r="K920" i="8"/>
  <c r="J920" i="8"/>
  <c r="I920" i="8"/>
  <c r="H920" i="8"/>
  <c r="G920" i="8"/>
  <c r="F920" i="8"/>
  <c r="E920" i="8"/>
  <c r="D920" i="8"/>
  <c r="C920" i="8"/>
  <c r="B920" i="8"/>
  <c r="BJ919" i="8"/>
  <c r="BI919" i="8"/>
  <c r="BH919" i="8"/>
  <c r="BG919" i="8"/>
  <c r="BF919" i="8"/>
  <c r="BE919" i="8"/>
  <c r="BD919" i="8"/>
  <c r="BC919" i="8"/>
  <c r="BB919" i="8"/>
  <c r="BA919" i="8"/>
  <c r="AZ919" i="8"/>
  <c r="AY919" i="8"/>
  <c r="AX919" i="8"/>
  <c r="AW919" i="8"/>
  <c r="AV919" i="8"/>
  <c r="AU919" i="8"/>
  <c r="L919" i="8"/>
  <c r="K919" i="8"/>
  <c r="J919" i="8"/>
  <c r="I919" i="8"/>
  <c r="H919" i="8"/>
  <c r="G919" i="8"/>
  <c r="F919" i="8"/>
  <c r="E919" i="8"/>
  <c r="D919" i="8"/>
  <c r="C919" i="8"/>
  <c r="B919" i="8"/>
  <c r="BJ918" i="8"/>
  <c r="BI918" i="8"/>
  <c r="BH918" i="8"/>
  <c r="BG918" i="8"/>
  <c r="BF918" i="8"/>
  <c r="BE918" i="8"/>
  <c r="BD918" i="8"/>
  <c r="BC918" i="8"/>
  <c r="BB918" i="8"/>
  <c r="BA918" i="8"/>
  <c r="AZ918" i="8"/>
  <c r="AY918" i="8"/>
  <c r="AX918" i="8"/>
  <c r="AW918" i="8"/>
  <c r="AV918" i="8"/>
  <c r="AU918" i="8"/>
  <c r="S918" i="8"/>
  <c r="R918" i="8"/>
  <c r="Q918" i="8"/>
  <c r="P918" i="8"/>
  <c r="O918" i="8"/>
  <c r="N918" i="8"/>
  <c r="M918" i="8"/>
  <c r="L918" i="8"/>
  <c r="K918" i="8"/>
  <c r="J918" i="8"/>
  <c r="I918" i="8"/>
  <c r="H918" i="8"/>
  <c r="G918" i="8"/>
  <c r="F918" i="8"/>
  <c r="E918" i="8"/>
  <c r="D918" i="8"/>
  <c r="C918" i="8"/>
  <c r="B918" i="8"/>
  <c r="BJ917" i="8"/>
  <c r="BI917" i="8"/>
  <c r="BH917" i="8"/>
  <c r="BG917" i="8"/>
  <c r="BF917" i="8"/>
  <c r="BE917" i="8"/>
  <c r="BD917" i="8"/>
  <c r="BC917" i="8"/>
  <c r="BB917" i="8"/>
  <c r="BA917" i="8"/>
  <c r="AZ917" i="8"/>
  <c r="AY917" i="8"/>
  <c r="AX917" i="8"/>
  <c r="AW917" i="8"/>
  <c r="AV917" i="8"/>
  <c r="AU917" i="8"/>
  <c r="L917" i="8"/>
  <c r="K917" i="8"/>
  <c r="J917" i="8"/>
  <c r="I917" i="8"/>
  <c r="H917" i="8"/>
  <c r="G917" i="8"/>
  <c r="F917" i="8"/>
  <c r="E917" i="8"/>
  <c r="D917" i="8"/>
  <c r="C917" i="8"/>
  <c r="B917" i="8"/>
  <c r="BJ916" i="8"/>
  <c r="BI916" i="8"/>
  <c r="BH916" i="8"/>
  <c r="BG916" i="8"/>
  <c r="BF916" i="8"/>
  <c r="BE916" i="8"/>
  <c r="BD916" i="8"/>
  <c r="BC916" i="8"/>
  <c r="BB916" i="8"/>
  <c r="BA916" i="8"/>
  <c r="AZ916" i="8"/>
  <c r="AY916" i="8"/>
  <c r="AX916" i="8"/>
  <c r="AW916" i="8"/>
  <c r="AV916" i="8"/>
  <c r="AU916" i="8"/>
  <c r="U916" i="8"/>
  <c r="S916" i="8"/>
  <c r="R916" i="8"/>
  <c r="Q916" i="8"/>
  <c r="P916" i="8"/>
  <c r="O916" i="8"/>
  <c r="N916" i="8"/>
  <c r="M916" i="8"/>
  <c r="L916" i="8"/>
  <c r="K916" i="8"/>
  <c r="J916" i="8"/>
  <c r="I916" i="8"/>
  <c r="H916" i="8"/>
  <c r="G916" i="8"/>
  <c r="F916" i="8"/>
  <c r="E916" i="8"/>
  <c r="D916" i="8"/>
  <c r="C916" i="8"/>
  <c r="B916" i="8"/>
  <c r="BJ915" i="8"/>
  <c r="BI915" i="8"/>
  <c r="BH915" i="8"/>
  <c r="BG915" i="8"/>
  <c r="BF915" i="8"/>
  <c r="BE915" i="8"/>
  <c r="BD915" i="8"/>
  <c r="BC915" i="8"/>
  <c r="BB915" i="8"/>
  <c r="BA915" i="8"/>
  <c r="AZ915" i="8"/>
  <c r="AY915" i="8"/>
  <c r="AX915" i="8"/>
  <c r="AW915" i="8"/>
  <c r="AV915" i="8"/>
  <c r="AU915" i="8"/>
  <c r="U915" i="8"/>
  <c r="S915" i="8"/>
  <c r="R915" i="8"/>
  <c r="Q915" i="8"/>
  <c r="P915" i="8"/>
  <c r="O915" i="8"/>
  <c r="N915" i="8"/>
  <c r="M915" i="8"/>
  <c r="L915" i="8"/>
  <c r="K915" i="8"/>
  <c r="J915" i="8"/>
  <c r="I915" i="8"/>
  <c r="H915" i="8"/>
  <c r="G915" i="8"/>
  <c r="F915" i="8"/>
  <c r="E915" i="8"/>
  <c r="D915" i="8"/>
  <c r="C915" i="8"/>
  <c r="B915" i="8"/>
  <c r="BJ914" i="8"/>
  <c r="BI914" i="8"/>
  <c r="BH914" i="8"/>
  <c r="BG914" i="8"/>
  <c r="BF914" i="8"/>
  <c r="BE914" i="8"/>
  <c r="BD914" i="8"/>
  <c r="BC914" i="8"/>
  <c r="BB914" i="8"/>
  <c r="BA914" i="8"/>
  <c r="AZ914" i="8"/>
  <c r="AY914" i="8"/>
  <c r="AX914" i="8"/>
  <c r="AW914" i="8"/>
  <c r="AV914" i="8"/>
  <c r="AU914" i="8"/>
  <c r="L914" i="8"/>
  <c r="K914" i="8"/>
  <c r="J914" i="8"/>
  <c r="I914" i="8"/>
  <c r="H914" i="8"/>
  <c r="G914" i="8"/>
  <c r="F914" i="8"/>
  <c r="E914" i="8"/>
  <c r="D914" i="8"/>
  <c r="C914" i="8"/>
  <c r="B914" i="8"/>
  <c r="BJ913" i="8"/>
  <c r="BI913" i="8"/>
  <c r="BH913" i="8"/>
  <c r="BG913" i="8"/>
  <c r="BF913" i="8"/>
  <c r="BE913" i="8"/>
  <c r="BD913" i="8"/>
  <c r="BC913" i="8"/>
  <c r="BB913" i="8"/>
  <c r="BA913" i="8"/>
  <c r="AZ913" i="8"/>
  <c r="AY913" i="8"/>
  <c r="AX913" i="8"/>
  <c r="AW913" i="8"/>
  <c r="AV913" i="8"/>
  <c r="AU913" i="8"/>
  <c r="L913" i="8"/>
  <c r="H913" i="8"/>
  <c r="G913" i="8"/>
  <c r="F913" i="8"/>
  <c r="E913" i="8"/>
  <c r="D913" i="8"/>
  <c r="C913" i="8"/>
  <c r="B913" i="8"/>
  <c r="BJ912" i="8"/>
  <c r="BI912" i="8"/>
  <c r="BH912" i="8"/>
  <c r="BG912" i="8"/>
  <c r="BF912" i="8"/>
  <c r="BE912" i="8"/>
  <c r="BD912" i="8"/>
  <c r="BC912" i="8"/>
  <c r="BB912" i="8"/>
  <c r="BA912" i="8"/>
  <c r="AZ912" i="8"/>
  <c r="AY912" i="8"/>
  <c r="AX912" i="8"/>
  <c r="AW912" i="8"/>
  <c r="AV912" i="8"/>
  <c r="AU912" i="8"/>
  <c r="L912" i="8"/>
  <c r="H912" i="8"/>
  <c r="G912" i="8"/>
  <c r="F912" i="8"/>
  <c r="E912" i="8"/>
  <c r="D912" i="8"/>
  <c r="C912" i="8"/>
  <c r="B912" i="8"/>
  <c r="BJ911" i="8"/>
  <c r="BI911" i="8"/>
  <c r="BH911" i="8"/>
  <c r="BG911" i="8"/>
  <c r="BF911" i="8"/>
  <c r="BE911" i="8"/>
  <c r="BD911" i="8"/>
  <c r="BC911" i="8"/>
  <c r="BB911" i="8"/>
  <c r="BA911" i="8"/>
  <c r="AZ911" i="8"/>
  <c r="AY911" i="8"/>
  <c r="AX911" i="8"/>
  <c r="AW911" i="8"/>
  <c r="AV911" i="8"/>
  <c r="AU911" i="8"/>
  <c r="U911" i="8"/>
  <c r="S911" i="8"/>
  <c r="R911" i="8"/>
  <c r="Q911" i="8"/>
  <c r="P911" i="8"/>
  <c r="O911" i="8"/>
  <c r="N911" i="8"/>
  <c r="M911" i="8"/>
  <c r="L911" i="8"/>
  <c r="H911" i="8"/>
  <c r="G911" i="8"/>
  <c r="F911" i="8"/>
  <c r="E911" i="8"/>
  <c r="D911" i="8"/>
  <c r="C911" i="8"/>
  <c r="B911" i="8"/>
  <c r="BJ910" i="8"/>
  <c r="BI910" i="8"/>
  <c r="BH910" i="8"/>
  <c r="BG910" i="8"/>
  <c r="BF910" i="8"/>
  <c r="BE910" i="8"/>
  <c r="BD910" i="8"/>
  <c r="BC910" i="8"/>
  <c r="BB910" i="8"/>
  <c r="BA910" i="8"/>
  <c r="AZ910" i="8"/>
  <c r="AY910" i="8"/>
  <c r="AX910" i="8"/>
  <c r="AW910" i="8"/>
  <c r="AV910" i="8"/>
  <c r="AU910" i="8"/>
  <c r="L910" i="8"/>
  <c r="H910" i="8"/>
  <c r="G910" i="8"/>
  <c r="F910" i="8"/>
  <c r="E910" i="8"/>
  <c r="D910" i="8"/>
  <c r="C910" i="8"/>
  <c r="B910" i="8"/>
  <c r="BJ909" i="8"/>
  <c r="BI909" i="8"/>
  <c r="BH909" i="8"/>
  <c r="BG909" i="8"/>
  <c r="BF909" i="8"/>
  <c r="BE909" i="8"/>
  <c r="BD909" i="8"/>
  <c r="BC909" i="8"/>
  <c r="BB909" i="8"/>
  <c r="BA909" i="8"/>
  <c r="AZ909" i="8"/>
  <c r="AY909" i="8"/>
  <c r="AX909" i="8"/>
  <c r="AW909" i="8"/>
  <c r="AV909" i="8"/>
  <c r="AU909" i="8"/>
  <c r="L909" i="8"/>
  <c r="H909" i="8"/>
  <c r="G909" i="8"/>
  <c r="F909" i="8"/>
  <c r="E909" i="8"/>
  <c r="D909" i="8"/>
  <c r="C909" i="8"/>
  <c r="B909" i="8"/>
  <c r="BJ908" i="8"/>
  <c r="BI908" i="8"/>
  <c r="BH908" i="8"/>
  <c r="BG908" i="8"/>
  <c r="BF908" i="8"/>
  <c r="BE908" i="8"/>
  <c r="BD908" i="8"/>
  <c r="BC908" i="8"/>
  <c r="BB908" i="8"/>
  <c r="BA908" i="8"/>
  <c r="AZ908" i="8"/>
  <c r="AY908" i="8"/>
  <c r="AX908" i="8"/>
  <c r="AW908" i="8"/>
  <c r="AV908" i="8"/>
  <c r="AU908" i="8"/>
  <c r="L908" i="8"/>
  <c r="H908" i="8"/>
  <c r="G908" i="8"/>
  <c r="F908" i="8"/>
  <c r="E908" i="8"/>
  <c r="D908" i="8"/>
  <c r="C908" i="8"/>
  <c r="B908" i="8"/>
  <c r="BJ907" i="8"/>
  <c r="BI907" i="8"/>
  <c r="BH907" i="8"/>
  <c r="BG907" i="8"/>
  <c r="BF907" i="8"/>
  <c r="BE907" i="8"/>
  <c r="BD907" i="8"/>
  <c r="BC907" i="8"/>
  <c r="BB907" i="8"/>
  <c r="BA907" i="8"/>
  <c r="AZ907" i="8"/>
  <c r="AY907" i="8"/>
  <c r="AX907" i="8"/>
  <c r="AW907" i="8"/>
  <c r="AV907" i="8"/>
  <c r="AU907" i="8"/>
  <c r="S907" i="8"/>
  <c r="R907" i="8"/>
  <c r="Q907" i="8"/>
  <c r="P907" i="8"/>
  <c r="O907" i="8"/>
  <c r="N907" i="8"/>
  <c r="M907" i="8"/>
  <c r="L907" i="8"/>
  <c r="K907" i="8"/>
  <c r="J907" i="8"/>
  <c r="I907" i="8"/>
  <c r="H907" i="8"/>
  <c r="G907" i="8"/>
  <c r="F907" i="8"/>
  <c r="E907" i="8"/>
  <c r="D907" i="8"/>
  <c r="C907" i="8"/>
  <c r="B907" i="8"/>
  <c r="BJ906" i="8"/>
  <c r="BI906" i="8"/>
  <c r="BH906" i="8"/>
  <c r="BG906" i="8"/>
  <c r="BF906" i="8"/>
  <c r="BE906" i="8"/>
  <c r="BD906" i="8"/>
  <c r="BC906" i="8"/>
  <c r="BB906" i="8"/>
  <c r="BA906" i="8"/>
  <c r="AZ906" i="8"/>
  <c r="AY906" i="8"/>
  <c r="AX906" i="8"/>
  <c r="AW906" i="8"/>
  <c r="AV906" i="8"/>
  <c r="AU906" i="8"/>
  <c r="S906" i="8"/>
  <c r="R906" i="8"/>
  <c r="Q906" i="8"/>
  <c r="P906" i="8"/>
  <c r="O906" i="8"/>
  <c r="N906" i="8"/>
  <c r="M906" i="8"/>
  <c r="L906" i="8"/>
  <c r="K906" i="8"/>
  <c r="J906" i="8"/>
  <c r="I906" i="8"/>
  <c r="H906" i="8"/>
  <c r="G906" i="8"/>
  <c r="F906" i="8"/>
  <c r="E906" i="8"/>
  <c r="D906" i="8"/>
  <c r="C906" i="8"/>
  <c r="B906" i="8"/>
  <c r="BJ905" i="8"/>
  <c r="BI905" i="8"/>
  <c r="BH905" i="8"/>
  <c r="BG905" i="8"/>
  <c r="BF905" i="8"/>
  <c r="BE905" i="8"/>
  <c r="BD905" i="8"/>
  <c r="BC905" i="8"/>
  <c r="BB905" i="8"/>
  <c r="BA905" i="8"/>
  <c r="AZ905" i="8"/>
  <c r="AY905" i="8"/>
  <c r="AX905" i="8"/>
  <c r="AW905" i="8"/>
  <c r="AV905" i="8"/>
  <c r="AU905" i="8"/>
  <c r="L905" i="8"/>
  <c r="H905" i="8"/>
  <c r="G905" i="8"/>
  <c r="F905" i="8"/>
  <c r="E905" i="8"/>
  <c r="D905" i="8"/>
  <c r="C905" i="8"/>
  <c r="B905" i="8"/>
  <c r="BJ904" i="8"/>
  <c r="BI904" i="8"/>
  <c r="BH904" i="8"/>
  <c r="BG904" i="8"/>
  <c r="BF904" i="8"/>
  <c r="BE904" i="8"/>
  <c r="BD904" i="8"/>
  <c r="BC904" i="8"/>
  <c r="BB904" i="8"/>
  <c r="BA904" i="8"/>
  <c r="AZ904" i="8"/>
  <c r="AY904" i="8"/>
  <c r="AX904" i="8"/>
  <c r="AW904" i="8"/>
  <c r="AV904" i="8"/>
  <c r="AU904" i="8"/>
  <c r="T904" i="8"/>
  <c r="L904" i="8"/>
  <c r="H904" i="8"/>
  <c r="G904" i="8"/>
  <c r="F904" i="8"/>
  <c r="E904" i="8"/>
  <c r="D904" i="8"/>
  <c r="C904" i="8"/>
  <c r="B904" i="8"/>
  <c r="BJ903" i="8"/>
  <c r="BI903" i="8"/>
  <c r="BH903" i="8"/>
  <c r="BG903" i="8"/>
  <c r="BF903" i="8"/>
  <c r="BE903" i="8"/>
  <c r="BD903" i="8"/>
  <c r="BC903" i="8"/>
  <c r="BB903" i="8"/>
  <c r="BA903" i="8"/>
  <c r="AZ903" i="8"/>
  <c r="AY903" i="8"/>
  <c r="AX903" i="8"/>
  <c r="AW903" i="8"/>
  <c r="AV903" i="8"/>
  <c r="AU903" i="8"/>
  <c r="U903" i="8"/>
  <c r="S903" i="8"/>
  <c r="R903" i="8"/>
  <c r="Q903" i="8"/>
  <c r="P903" i="8"/>
  <c r="O903" i="8"/>
  <c r="N903" i="8"/>
  <c r="M903" i="8"/>
  <c r="L903" i="8"/>
  <c r="K903" i="8"/>
  <c r="J903" i="8"/>
  <c r="I903" i="8"/>
  <c r="H903" i="8"/>
  <c r="G903" i="8"/>
  <c r="F903" i="8"/>
  <c r="E903" i="8"/>
  <c r="D903" i="8"/>
  <c r="C903" i="8"/>
  <c r="B903" i="8"/>
  <c r="BJ902" i="8"/>
  <c r="BI902" i="8"/>
  <c r="BH902" i="8"/>
  <c r="BG902" i="8"/>
  <c r="BF902" i="8"/>
  <c r="BE902" i="8"/>
  <c r="BD902" i="8"/>
  <c r="BC902" i="8"/>
  <c r="BB902" i="8"/>
  <c r="BA902" i="8"/>
  <c r="AZ902" i="8"/>
  <c r="AY902" i="8"/>
  <c r="AX902" i="8"/>
  <c r="AW902" i="8"/>
  <c r="AV902" i="8"/>
  <c r="AU902" i="8"/>
  <c r="T902" i="8"/>
  <c r="L902" i="8"/>
  <c r="H902" i="8"/>
  <c r="G902" i="8"/>
  <c r="F902" i="8"/>
  <c r="E902" i="8"/>
  <c r="D902" i="8"/>
  <c r="C902" i="8"/>
  <c r="B902" i="8"/>
  <c r="BJ901" i="8"/>
  <c r="BI901" i="8"/>
  <c r="BH901" i="8"/>
  <c r="BG901" i="8"/>
  <c r="BF901" i="8"/>
  <c r="BE901" i="8"/>
  <c r="BD901" i="8"/>
  <c r="BC901" i="8"/>
  <c r="BB901" i="8"/>
  <c r="BA901" i="8"/>
  <c r="AZ901" i="8"/>
  <c r="AY901" i="8"/>
  <c r="AX901" i="8"/>
  <c r="AW901" i="8"/>
  <c r="AV901" i="8"/>
  <c r="AU901" i="8"/>
  <c r="T901" i="8"/>
  <c r="L901" i="8"/>
  <c r="H901" i="8"/>
  <c r="G901" i="8"/>
  <c r="F901" i="8"/>
  <c r="E901" i="8"/>
  <c r="D901" i="8"/>
  <c r="C901" i="8"/>
  <c r="B901" i="8"/>
  <c r="BJ900" i="8"/>
  <c r="BI900" i="8"/>
  <c r="BH900" i="8"/>
  <c r="BG900" i="8"/>
  <c r="BF900" i="8"/>
  <c r="BE900" i="8"/>
  <c r="BD900" i="8"/>
  <c r="BC900" i="8"/>
  <c r="BB900" i="8"/>
  <c r="BA900" i="8"/>
  <c r="AZ900" i="8"/>
  <c r="AY900" i="8"/>
  <c r="AX900" i="8"/>
  <c r="AW900" i="8"/>
  <c r="AV900" i="8"/>
  <c r="AU900" i="8"/>
  <c r="L900" i="8"/>
  <c r="H900" i="8"/>
  <c r="G900" i="8"/>
  <c r="F900" i="8"/>
  <c r="E900" i="8"/>
  <c r="D900" i="8"/>
  <c r="C900" i="8"/>
  <c r="B900" i="8"/>
  <c r="BJ899" i="8"/>
  <c r="BI899" i="8"/>
  <c r="BH899" i="8"/>
  <c r="BG899" i="8"/>
  <c r="BF899" i="8"/>
  <c r="BE899" i="8"/>
  <c r="BD899" i="8"/>
  <c r="BC899" i="8"/>
  <c r="BB899" i="8"/>
  <c r="BA899" i="8"/>
  <c r="AZ899" i="8"/>
  <c r="AY899" i="8"/>
  <c r="AX899" i="8"/>
  <c r="AW899" i="8"/>
  <c r="AV899" i="8"/>
  <c r="AU899" i="8"/>
  <c r="L899" i="8"/>
  <c r="H899" i="8"/>
  <c r="G899" i="8"/>
  <c r="F899" i="8"/>
  <c r="E899" i="8"/>
  <c r="D899" i="8"/>
  <c r="C899" i="8"/>
  <c r="B899" i="8"/>
  <c r="BJ898" i="8"/>
  <c r="BI898" i="8"/>
  <c r="BH898" i="8"/>
  <c r="BG898" i="8"/>
  <c r="BF898" i="8"/>
  <c r="BE898" i="8"/>
  <c r="BD898" i="8"/>
  <c r="BC898" i="8"/>
  <c r="BB898" i="8"/>
  <c r="BA898" i="8"/>
  <c r="AZ898" i="8"/>
  <c r="AY898" i="8"/>
  <c r="AX898" i="8"/>
  <c r="AW898" i="8"/>
  <c r="AV898" i="8"/>
  <c r="AU898" i="8"/>
  <c r="L898" i="8"/>
  <c r="H898" i="8"/>
  <c r="G898" i="8"/>
  <c r="F898" i="8"/>
  <c r="E898" i="8"/>
  <c r="D898" i="8"/>
  <c r="C898" i="8"/>
  <c r="B898" i="8"/>
  <c r="BJ897" i="8"/>
  <c r="BI897" i="8"/>
  <c r="BH897" i="8"/>
  <c r="BG897" i="8"/>
  <c r="BF897" i="8"/>
  <c r="BE897" i="8"/>
  <c r="BD897" i="8"/>
  <c r="BC897" i="8"/>
  <c r="BB897" i="8"/>
  <c r="BA897" i="8"/>
  <c r="AZ897" i="8"/>
  <c r="AY897" i="8"/>
  <c r="AX897" i="8"/>
  <c r="AW897" i="8"/>
  <c r="AV897" i="8"/>
  <c r="AU897" i="8"/>
  <c r="L897" i="8"/>
  <c r="H897" i="8"/>
  <c r="G897" i="8"/>
  <c r="F897" i="8"/>
  <c r="E897" i="8"/>
  <c r="D897" i="8"/>
  <c r="C897" i="8"/>
  <c r="B897" i="8"/>
  <c r="BJ896" i="8"/>
  <c r="BI896" i="8"/>
  <c r="BH896" i="8"/>
  <c r="BG896" i="8"/>
  <c r="BF896" i="8"/>
  <c r="BE896" i="8"/>
  <c r="BD896" i="8"/>
  <c r="BC896" i="8"/>
  <c r="BB896" i="8"/>
  <c r="BA896" i="8"/>
  <c r="AZ896" i="8"/>
  <c r="AY896" i="8"/>
  <c r="AX896" i="8"/>
  <c r="AW896" i="8"/>
  <c r="AV896" i="8"/>
  <c r="AU896" i="8"/>
  <c r="T896" i="8"/>
  <c r="L896" i="8"/>
  <c r="H896" i="8"/>
  <c r="G896" i="8"/>
  <c r="F896" i="8"/>
  <c r="E896" i="8"/>
  <c r="D896" i="8"/>
  <c r="C896" i="8"/>
  <c r="B896" i="8"/>
  <c r="BJ895" i="8"/>
  <c r="BI895" i="8"/>
  <c r="BH895" i="8"/>
  <c r="BG895" i="8"/>
  <c r="BF895" i="8"/>
  <c r="BE895" i="8"/>
  <c r="BD895" i="8"/>
  <c r="BC895" i="8"/>
  <c r="BB895" i="8"/>
  <c r="BA895" i="8"/>
  <c r="AZ895" i="8"/>
  <c r="AY895" i="8"/>
  <c r="AX895" i="8"/>
  <c r="AW895" i="8"/>
  <c r="AV895" i="8"/>
  <c r="AU895" i="8"/>
  <c r="L895" i="8"/>
  <c r="H895" i="8"/>
  <c r="G895" i="8"/>
  <c r="F895" i="8"/>
  <c r="E895" i="8"/>
  <c r="D895" i="8"/>
  <c r="C895" i="8"/>
  <c r="B895" i="8"/>
  <c r="BJ894" i="8"/>
  <c r="BI894" i="8"/>
  <c r="BH894" i="8"/>
  <c r="BG894" i="8"/>
  <c r="BF894" i="8"/>
  <c r="BE894" i="8"/>
  <c r="BD894" i="8"/>
  <c r="BC894" i="8"/>
  <c r="BB894" i="8"/>
  <c r="BA894" i="8"/>
  <c r="AZ894" i="8"/>
  <c r="AY894" i="8"/>
  <c r="AX894" i="8"/>
  <c r="AW894" i="8"/>
  <c r="AV894" i="8"/>
  <c r="AU894" i="8"/>
  <c r="T894" i="8"/>
  <c r="L894" i="8"/>
  <c r="H894" i="8"/>
  <c r="G894" i="8"/>
  <c r="F894" i="8"/>
  <c r="E894" i="8"/>
  <c r="D894" i="8"/>
  <c r="C894" i="8"/>
  <c r="B894" i="8"/>
  <c r="BJ893" i="8"/>
  <c r="BI893" i="8"/>
  <c r="BH893" i="8"/>
  <c r="BG893" i="8"/>
  <c r="BF893" i="8"/>
  <c r="BE893" i="8"/>
  <c r="BD893" i="8"/>
  <c r="BC893" i="8"/>
  <c r="BB893" i="8"/>
  <c r="BA893" i="8"/>
  <c r="AZ893" i="8"/>
  <c r="AY893" i="8"/>
  <c r="AX893" i="8"/>
  <c r="AW893" i="8"/>
  <c r="AV893" i="8"/>
  <c r="AU893" i="8"/>
  <c r="T893" i="8"/>
  <c r="L893" i="8"/>
  <c r="H893" i="8"/>
  <c r="G893" i="8"/>
  <c r="F893" i="8"/>
  <c r="E893" i="8"/>
  <c r="D893" i="8"/>
  <c r="C893" i="8"/>
  <c r="B893" i="8"/>
  <c r="BJ892" i="8"/>
  <c r="BI892" i="8"/>
  <c r="BH892" i="8"/>
  <c r="BG892" i="8"/>
  <c r="BF892" i="8"/>
  <c r="BE892" i="8"/>
  <c r="BD892" i="8"/>
  <c r="BC892" i="8"/>
  <c r="BB892" i="8"/>
  <c r="BA892" i="8"/>
  <c r="AZ892" i="8"/>
  <c r="AY892" i="8"/>
  <c r="AX892" i="8"/>
  <c r="AW892" i="8"/>
  <c r="AV892" i="8"/>
  <c r="AU892" i="8"/>
  <c r="L892" i="8"/>
  <c r="H892" i="8"/>
  <c r="G892" i="8"/>
  <c r="F892" i="8"/>
  <c r="E892" i="8"/>
  <c r="D892" i="8"/>
  <c r="C892" i="8"/>
  <c r="B892" i="8"/>
  <c r="BJ891" i="8"/>
  <c r="BI891" i="8"/>
  <c r="BH891" i="8"/>
  <c r="BG891" i="8"/>
  <c r="BF891" i="8"/>
  <c r="BE891" i="8"/>
  <c r="BD891" i="8"/>
  <c r="BC891" i="8"/>
  <c r="BB891" i="8"/>
  <c r="BA891" i="8"/>
  <c r="AZ891" i="8"/>
  <c r="AY891" i="8"/>
  <c r="AX891" i="8"/>
  <c r="AW891" i="8"/>
  <c r="AV891" i="8"/>
  <c r="AU891" i="8"/>
  <c r="T891" i="8"/>
  <c r="L891" i="8"/>
  <c r="H891" i="8"/>
  <c r="G891" i="8"/>
  <c r="F891" i="8"/>
  <c r="E891" i="8"/>
  <c r="D891" i="8"/>
  <c r="C891" i="8"/>
  <c r="B891" i="8"/>
  <c r="BJ890" i="8"/>
  <c r="BI890" i="8"/>
  <c r="BH890" i="8"/>
  <c r="BG890" i="8"/>
  <c r="BF890" i="8"/>
  <c r="BE890" i="8"/>
  <c r="BD890" i="8"/>
  <c r="BC890" i="8"/>
  <c r="BB890" i="8"/>
  <c r="BA890" i="8"/>
  <c r="AZ890" i="8"/>
  <c r="AY890" i="8"/>
  <c r="AX890" i="8"/>
  <c r="AW890" i="8"/>
  <c r="AV890" i="8"/>
  <c r="AU890" i="8"/>
  <c r="T890" i="8"/>
  <c r="S890" i="8"/>
  <c r="R890" i="8"/>
  <c r="Q890" i="8"/>
  <c r="P890" i="8"/>
  <c r="O890" i="8"/>
  <c r="N890" i="8"/>
  <c r="M890" i="8"/>
  <c r="L890" i="8"/>
  <c r="K890" i="8"/>
  <c r="J890" i="8"/>
  <c r="I890" i="8"/>
  <c r="H890" i="8"/>
  <c r="G890" i="8"/>
  <c r="F890" i="8"/>
  <c r="E890" i="8"/>
  <c r="D890" i="8"/>
  <c r="C890" i="8"/>
  <c r="B890" i="8"/>
  <c r="BJ889" i="8"/>
  <c r="BI889" i="8"/>
  <c r="BH889" i="8"/>
  <c r="BG889" i="8"/>
  <c r="BF889" i="8"/>
  <c r="BE889" i="8"/>
  <c r="BD889" i="8"/>
  <c r="BC889" i="8"/>
  <c r="BB889" i="8"/>
  <c r="BA889" i="8"/>
  <c r="AZ889" i="8"/>
  <c r="AY889" i="8"/>
  <c r="AX889" i="8"/>
  <c r="AW889" i="8"/>
  <c r="AV889" i="8"/>
  <c r="AU889" i="8"/>
  <c r="T889" i="8"/>
  <c r="L889" i="8"/>
  <c r="H889" i="8"/>
  <c r="G889" i="8"/>
  <c r="F889" i="8"/>
  <c r="E889" i="8"/>
  <c r="D889" i="8"/>
  <c r="C889" i="8"/>
  <c r="B889" i="8"/>
  <c r="BJ888" i="8"/>
  <c r="BI888" i="8"/>
  <c r="BH888" i="8"/>
  <c r="BG888" i="8"/>
  <c r="BF888" i="8"/>
  <c r="BE888" i="8"/>
  <c r="BD888" i="8"/>
  <c r="BC888" i="8"/>
  <c r="BB888" i="8"/>
  <c r="BA888" i="8"/>
  <c r="AZ888" i="8"/>
  <c r="AY888" i="8"/>
  <c r="AX888" i="8"/>
  <c r="AW888" i="8"/>
  <c r="AV888" i="8"/>
  <c r="AU888" i="8"/>
  <c r="T888" i="8"/>
  <c r="L888" i="8"/>
  <c r="H888" i="8"/>
  <c r="G888" i="8"/>
  <c r="F888" i="8"/>
  <c r="E888" i="8"/>
  <c r="D888" i="8"/>
  <c r="C888" i="8"/>
  <c r="B888" i="8"/>
  <c r="BJ887" i="8"/>
  <c r="BI887" i="8"/>
  <c r="BH887" i="8"/>
  <c r="BG887" i="8"/>
  <c r="BF887" i="8"/>
  <c r="BE887" i="8"/>
  <c r="BD887" i="8"/>
  <c r="BC887" i="8"/>
  <c r="BB887" i="8"/>
  <c r="BA887" i="8"/>
  <c r="AZ887" i="8"/>
  <c r="AY887" i="8"/>
  <c r="AX887" i="8"/>
  <c r="AW887" i="8"/>
  <c r="AV887" i="8"/>
  <c r="AU887" i="8"/>
  <c r="T887" i="8"/>
  <c r="L887" i="8"/>
  <c r="H887" i="8"/>
  <c r="G887" i="8"/>
  <c r="F887" i="8"/>
  <c r="E887" i="8"/>
  <c r="D887" i="8"/>
  <c r="C887" i="8"/>
  <c r="B887" i="8"/>
  <c r="BJ886" i="8"/>
  <c r="BI886" i="8"/>
  <c r="BH886" i="8"/>
  <c r="BG886" i="8"/>
  <c r="BF886" i="8"/>
  <c r="BE886" i="8"/>
  <c r="BD886" i="8"/>
  <c r="BC886" i="8"/>
  <c r="BB886" i="8"/>
  <c r="BA886" i="8"/>
  <c r="AZ886" i="8"/>
  <c r="AY886" i="8"/>
  <c r="AX886" i="8"/>
  <c r="AW886" i="8"/>
  <c r="AV886" i="8"/>
  <c r="AU886" i="8"/>
  <c r="T886" i="8"/>
  <c r="L886" i="8"/>
  <c r="H886" i="8"/>
  <c r="G886" i="8"/>
  <c r="F886" i="8"/>
  <c r="E886" i="8"/>
  <c r="D886" i="8"/>
  <c r="C886" i="8"/>
  <c r="B886" i="8"/>
  <c r="BJ885" i="8"/>
  <c r="BI885" i="8"/>
  <c r="BH885" i="8"/>
  <c r="BG885" i="8"/>
  <c r="BF885" i="8"/>
  <c r="BE885" i="8"/>
  <c r="BD885" i="8"/>
  <c r="BC885" i="8"/>
  <c r="BB885" i="8"/>
  <c r="BA885" i="8"/>
  <c r="AZ885" i="8"/>
  <c r="AY885" i="8"/>
  <c r="AX885" i="8"/>
  <c r="AW885" i="8"/>
  <c r="AV885" i="8"/>
  <c r="AU885" i="8"/>
  <c r="T885" i="8"/>
  <c r="L885" i="8"/>
  <c r="H885" i="8"/>
  <c r="G885" i="8"/>
  <c r="F885" i="8"/>
  <c r="E885" i="8"/>
  <c r="D885" i="8"/>
  <c r="C885" i="8"/>
  <c r="B885" i="8"/>
  <c r="BJ884" i="8"/>
  <c r="BI884" i="8"/>
  <c r="BH884" i="8"/>
  <c r="BG884" i="8"/>
  <c r="BF884" i="8"/>
  <c r="BE884" i="8"/>
  <c r="BD884" i="8"/>
  <c r="BC884" i="8"/>
  <c r="BB884" i="8"/>
  <c r="BA884" i="8"/>
  <c r="AZ884" i="8"/>
  <c r="AY884" i="8"/>
  <c r="AX884" i="8"/>
  <c r="AW884" i="8"/>
  <c r="AV884" i="8"/>
  <c r="AU884" i="8"/>
  <c r="T884" i="8"/>
  <c r="L884" i="8"/>
  <c r="H884" i="8"/>
  <c r="G884" i="8"/>
  <c r="F884" i="8"/>
  <c r="E884" i="8"/>
  <c r="D884" i="8"/>
  <c r="C884" i="8"/>
  <c r="B884" i="8"/>
  <c r="BJ883" i="8"/>
  <c r="BI883" i="8"/>
  <c r="BH883" i="8"/>
  <c r="BG883" i="8"/>
  <c r="BF883" i="8"/>
  <c r="BE883" i="8"/>
  <c r="BD883" i="8"/>
  <c r="BC883" i="8"/>
  <c r="BB883" i="8"/>
  <c r="BA883" i="8"/>
  <c r="AZ883" i="8"/>
  <c r="AY883" i="8"/>
  <c r="AX883" i="8"/>
  <c r="AW883" i="8"/>
  <c r="AV883" i="8"/>
  <c r="AU883" i="8"/>
  <c r="T883" i="8"/>
  <c r="L883" i="8"/>
  <c r="H883" i="8"/>
  <c r="G883" i="8"/>
  <c r="F883" i="8"/>
  <c r="E883" i="8"/>
  <c r="D883" i="8"/>
  <c r="C883" i="8"/>
  <c r="B883" i="8"/>
  <c r="BJ882" i="8"/>
  <c r="BI882" i="8"/>
  <c r="BH882" i="8"/>
  <c r="BG882" i="8"/>
  <c r="BF882" i="8"/>
  <c r="BE882" i="8"/>
  <c r="BD882" i="8"/>
  <c r="BC882" i="8"/>
  <c r="BB882" i="8"/>
  <c r="BA882" i="8"/>
  <c r="AZ882" i="8"/>
  <c r="AY882" i="8"/>
  <c r="AX882" i="8"/>
  <c r="AW882" i="8"/>
  <c r="AV882" i="8"/>
  <c r="AU882" i="8"/>
  <c r="T882" i="8"/>
  <c r="L882" i="8"/>
  <c r="H882" i="8"/>
  <c r="G882" i="8"/>
  <c r="F882" i="8"/>
  <c r="E882" i="8"/>
  <c r="D882" i="8"/>
  <c r="C882" i="8"/>
  <c r="B882" i="8"/>
  <c r="BJ881" i="8"/>
  <c r="BI881" i="8"/>
  <c r="BH881" i="8"/>
  <c r="BG881" i="8"/>
  <c r="BF881" i="8"/>
  <c r="BE881" i="8"/>
  <c r="BD881" i="8"/>
  <c r="BC881" i="8"/>
  <c r="BB881" i="8"/>
  <c r="BA881" i="8"/>
  <c r="AZ881" i="8"/>
  <c r="AY881" i="8"/>
  <c r="AX881" i="8"/>
  <c r="AW881" i="8"/>
  <c r="AV881" i="8"/>
  <c r="AU881" i="8"/>
  <c r="U881" i="8"/>
  <c r="S881" i="8"/>
  <c r="R881" i="8"/>
  <c r="Q881" i="8"/>
  <c r="M881" i="8"/>
  <c r="L881" i="8"/>
  <c r="H881" i="8"/>
  <c r="G881" i="8"/>
  <c r="F881" i="8"/>
  <c r="E881" i="8"/>
  <c r="D881" i="8"/>
  <c r="C881" i="8"/>
  <c r="B881" i="8"/>
  <c r="BJ880" i="8"/>
  <c r="BI880" i="8"/>
  <c r="BH880" i="8"/>
  <c r="BG880" i="8"/>
  <c r="BF880" i="8"/>
  <c r="BE880" i="8"/>
  <c r="BD880" i="8"/>
  <c r="BC880" i="8"/>
  <c r="BB880" i="8"/>
  <c r="BA880" i="8"/>
  <c r="AZ880" i="8"/>
  <c r="AY880" i="8"/>
  <c r="AX880" i="8"/>
  <c r="AW880" i="8"/>
  <c r="AV880" i="8"/>
  <c r="AU880" i="8"/>
  <c r="U880" i="8"/>
  <c r="T880" i="8"/>
  <c r="S880" i="8"/>
  <c r="R880" i="8"/>
  <c r="Q880" i="8"/>
  <c r="P880" i="8"/>
  <c r="O880" i="8"/>
  <c r="N880" i="8"/>
  <c r="M880" i="8"/>
  <c r="L880" i="8"/>
  <c r="H880" i="8"/>
  <c r="G880" i="8"/>
  <c r="F880" i="8"/>
  <c r="E880" i="8"/>
  <c r="D880" i="8"/>
  <c r="C880" i="8"/>
  <c r="B880" i="8"/>
  <c r="BJ879" i="8"/>
  <c r="BI879" i="8"/>
  <c r="BH879" i="8"/>
  <c r="BG879" i="8"/>
  <c r="BF879" i="8"/>
  <c r="BE879" i="8"/>
  <c r="BD879" i="8"/>
  <c r="BC879" i="8"/>
  <c r="BB879" i="8"/>
  <c r="BA879" i="8"/>
  <c r="AZ879" i="8"/>
  <c r="AY879" i="8"/>
  <c r="AX879" i="8"/>
  <c r="AW879" i="8"/>
  <c r="AV879" i="8"/>
  <c r="AU879" i="8"/>
  <c r="T879" i="8"/>
  <c r="L879" i="8"/>
  <c r="H879" i="8"/>
  <c r="G879" i="8"/>
  <c r="F879" i="8"/>
  <c r="E879" i="8"/>
  <c r="D879" i="8"/>
  <c r="C879" i="8"/>
  <c r="B879" i="8"/>
  <c r="BJ878" i="8"/>
  <c r="BI878" i="8"/>
  <c r="BH878" i="8"/>
  <c r="BG878" i="8"/>
  <c r="BF878" i="8"/>
  <c r="BE878" i="8"/>
  <c r="BD878" i="8"/>
  <c r="BC878" i="8"/>
  <c r="BB878" i="8"/>
  <c r="BA878" i="8"/>
  <c r="AZ878" i="8"/>
  <c r="AY878" i="8"/>
  <c r="AX878" i="8"/>
  <c r="AW878" i="8"/>
  <c r="AV878" i="8"/>
  <c r="AU878" i="8"/>
  <c r="L878" i="8"/>
  <c r="H878" i="8"/>
  <c r="G878" i="8"/>
  <c r="F878" i="8"/>
  <c r="E878" i="8"/>
  <c r="D878" i="8"/>
  <c r="C878" i="8"/>
  <c r="B878" i="8"/>
  <c r="BJ877" i="8"/>
  <c r="BI877" i="8"/>
  <c r="BH877" i="8"/>
  <c r="BG877" i="8"/>
  <c r="BF877" i="8"/>
  <c r="BE877" i="8"/>
  <c r="BD877" i="8"/>
  <c r="BC877" i="8"/>
  <c r="BB877" i="8"/>
  <c r="BA877" i="8"/>
  <c r="AZ877" i="8"/>
  <c r="AY877" i="8"/>
  <c r="AX877" i="8"/>
  <c r="AW877" i="8"/>
  <c r="AV877" i="8"/>
  <c r="AU877" i="8"/>
  <c r="L877" i="8"/>
  <c r="H877" i="8"/>
  <c r="G877" i="8"/>
  <c r="F877" i="8"/>
  <c r="E877" i="8"/>
  <c r="D877" i="8"/>
  <c r="C877" i="8"/>
  <c r="B877" i="8"/>
  <c r="BJ876" i="8"/>
  <c r="BI876" i="8"/>
  <c r="BH876" i="8"/>
  <c r="BG876" i="8"/>
  <c r="BF876" i="8"/>
  <c r="BE876" i="8"/>
  <c r="BD876" i="8"/>
  <c r="BC876" i="8"/>
  <c r="BB876" i="8"/>
  <c r="BA876" i="8"/>
  <c r="AZ876" i="8"/>
  <c r="AY876" i="8"/>
  <c r="AX876" i="8"/>
  <c r="AW876" i="8"/>
  <c r="AV876" i="8"/>
  <c r="AU876" i="8"/>
  <c r="T876" i="8"/>
  <c r="L876" i="8"/>
  <c r="H876" i="8"/>
  <c r="G876" i="8"/>
  <c r="F876" i="8"/>
  <c r="E876" i="8"/>
  <c r="D876" i="8"/>
  <c r="C876" i="8"/>
  <c r="B876" i="8"/>
  <c r="BJ875" i="8"/>
  <c r="BI875" i="8"/>
  <c r="BH875" i="8"/>
  <c r="BG875" i="8"/>
  <c r="BF875" i="8"/>
  <c r="BE875" i="8"/>
  <c r="BD875" i="8"/>
  <c r="BC875" i="8"/>
  <c r="BB875" i="8"/>
  <c r="BA875" i="8"/>
  <c r="AZ875" i="8"/>
  <c r="AY875" i="8"/>
  <c r="AX875" i="8"/>
  <c r="AW875" i="8"/>
  <c r="AV875" i="8"/>
  <c r="AU875" i="8"/>
  <c r="L875" i="8"/>
  <c r="H875" i="8"/>
  <c r="G875" i="8"/>
  <c r="F875" i="8"/>
  <c r="E875" i="8"/>
  <c r="D875" i="8"/>
  <c r="C875" i="8"/>
  <c r="B875" i="8"/>
  <c r="BJ874" i="8"/>
  <c r="BI874" i="8"/>
  <c r="BH874" i="8"/>
  <c r="BG874" i="8"/>
  <c r="BF874" i="8"/>
  <c r="BE874" i="8"/>
  <c r="BD874" i="8"/>
  <c r="BC874" i="8"/>
  <c r="BB874" i="8"/>
  <c r="BA874" i="8"/>
  <c r="AZ874" i="8"/>
  <c r="AY874" i="8"/>
  <c r="AX874" i="8"/>
  <c r="AW874" i="8"/>
  <c r="AV874" i="8"/>
  <c r="AU874" i="8"/>
  <c r="T874" i="8"/>
  <c r="L874" i="8"/>
  <c r="H874" i="8"/>
  <c r="G874" i="8"/>
  <c r="F874" i="8"/>
  <c r="E874" i="8"/>
  <c r="D874" i="8"/>
  <c r="C874" i="8"/>
  <c r="B874" i="8"/>
  <c r="BJ873" i="8"/>
  <c r="BI873" i="8"/>
  <c r="BH873" i="8"/>
  <c r="BG873" i="8"/>
  <c r="BF873" i="8"/>
  <c r="BE873" i="8"/>
  <c r="BD873" i="8"/>
  <c r="BC873" i="8"/>
  <c r="BB873" i="8"/>
  <c r="BA873" i="8"/>
  <c r="AZ873" i="8"/>
  <c r="AY873" i="8"/>
  <c r="AX873" i="8"/>
  <c r="AW873" i="8"/>
  <c r="AV873" i="8"/>
  <c r="AU873" i="8"/>
  <c r="L873" i="8"/>
  <c r="H873" i="8"/>
  <c r="G873" i="8"/>
  <c r="F873" i="8"/>
  <c r="E873" i="8"/>
  <c r="D873" i="8"/>
  <c r="C873" i="8"/>
  <c r="B873" i="8"/>
  <c r="BJ872" i="8"/>
  <c r="BI872" i="8"/>
  <c r="BH872" i="8"/>
  <c r="BG872" i="8"/>
  <c r="BF872" i="8"/>
  <c r="BE872" i="8"/>
  <c r="BD872" i="8"/>
  <c r="BC872" i="8"/>
  <c r="BB872" i="8"/>
  <c r="BA872" i="8"/>
  <c r="AZ872" i="8"/>
  <c r="AY872" i="8"/>
  <c r="AX872" i="8"/>
  <c r="AW872" i="8"/>
  <c r="AV872" i="8"/>
  <c r="AU872" i="8"/>
  <c r="L872" i="8"/>
  <c r="H872" i="8"/>
  <c r="G872" i="8"/>
  <c r="F872" i="8"/>
  <c r="E872" i="8"/>
  <c r="D872" i="8"/>
  <c r="C872" i="8"/>
  <c r="B872" i="8"/>
  <c r="BJ871" i="8"/>
  <c r="BI871" i="8"/>
  <c r="BH871" i="8"/>
  <c r="BG871" i="8"/>
  <c r="BF871" i="8"/>
  <c r="BE871" i="8"/>
  <c r="BD871" i="8"/>
  <c r="BC871" i="8"/>
  <c r="BB871" i="8"/>
  <c r="BA871" i="8"/>
  <c r="AZ871" i="8"/>
  <c r="AY871" i="8"/>
  <c r="AX871" i="8"/>
  <c r="AW871" i="8"/>
  <c r="AV871" i="8"/>
  <c r="AU871" i="8"/>
  <c r="L871" i="8"/>
  <c r="H871" i="8"/>
  <c r="G871" i="8"/>
  <c r="F871" i="8"/>
  <c r="E871" i="8"/>
  <c r="D871" i="8"/>
  <c r="C871" i="8"/>
  <c r="B871" i="8"/>
  <c r="BJ870" i="8"/>
  <c r="BI870" i="8"/>
  <c r="BH870" i="8"/>
  <c r="BG870" i="8"/>
  <c r="BF870" i="8"/>
  <c r="BE870" i="8"/>
  <c r="BD870" i="8"/>
  <c r="BC870" i="8"/>
  <c r="BB870" i="8"/>
  <c r="BA870" i="8"/>
  <c r="AZ870" i="8"/>
  <c r="AY870" i="8"/>
  <c r="AX870" i="8"/>
  <c r="AW870" i="8"/>
  <c r="AV870" i="8"/>
  <c r="AU870" i="8"/>
  <c r="L870" i="8"/>
  <c r="H870" i="8"/>
  <c r="G870" i="8"/>
  <c r="F870" i="8"/>
  <c r="E870" i="8"/>
  <c r="D870" i="8"/>
  <c r="C870" i="8"/>
  <c r="B870" i="8"/>
  <c r="BJ869" i="8"/>
  <c r="BI869" i="8"/>
  <c r="BH869" i="8"/>
  <c r="BG869" i="8"/>
  <c r="BF869" i="8"/>
  <c r="BE869" i="8"/>
  <c r="BD869" i="8"/>
  <c r="BC869" i="8"/>
  <c r="BB869" i="8"/>
  <c r="BA869" i="8"/>
  <c r="AZ869" i="8"/>
  <c r="AY869" i="8"/>
  <c r="AX869" i="8"/>
  <c r="AW869" i="8"/>
  <c r="AV869" i="8"/>
  <c r="AU869" i="8"/>
  <c r="L869" i="8"/>
  <c r="H869" i="8"/>
  <c r="G869" i="8"/>
  <c r="F869" i="8"/>
  <c r="E869" i="8"/>
  <c r="D869" i="8"/>
  <c r="C869" i="8"/>
  <c r="B869" i="8"/>
  <c r="BJ868" i="8"/>
  <c r="BI868" i="8"/>
  <c r="BH868" i="8"/>
  <c r="BG868" i="8"/>
  <c r="BF868" i="8"/>
  <c r="BE868" i="8"/>
  <c r="BD868" i="8"/>
  <c r="BC868" i="8"/>
  <c r="BB868" i="8"/>
  <c r="BA868" i="8"/>
  <c r="AZ868" i="8"/>
  <c r="AY868" i="8"/>
  <c r="AX868" i="8"/>
  <c r="AW868" i="8"/>
  <c r="AV868" i="8"/>
  <c r="AU868" i="8"/>
  <c r="L868" i="8"/>
  <c r="H868" i="8"/>
  <c r="G868" i="8"/>
  <c r="F868" i="8"/>
  <c r="E868" i="8"/>
  <c r="D868" i="8"/>
  <c r="C868" i="8"/>
  <c r="B868" i="8"/>
  <c r="BJ867" i="8"/>
  <c r="BI867" i="8"/>
  <c r="BH867" i="8"/>
  <c r="BG867" i="8"/>
  <c r="BF867" i="8"/>
  <c r="BE867" i="8"/>
  <c r="BD867" i="8"/>
  <c r="BC867" i="8"/>
  <c r="BB867" i="8"/>
  <c r="BA867" i="8"/>
  <c r="AZ867" i="8"/>
  <c r="AY867" i="8"/>
  <c r="AX867" i="8"/>
  <c r="AW867" i="8"/>
  <c r="AV867" i="8"/>
  <c r="AU867" i="8"/>
  <c r="T867" i="8"/>
  <c r="L867" i="8"/>
  <c r="H867" i="8"/>
  <c r="G867" i="8"/>
  <c r="F867" i="8"/>
  <c r="E867" i="8"/>
  <c r="D867" i="8"/>
  <c r="C867" i="8"/>
  <c r="B867" i="8"/>
  <c r="BJ866" i="8"/>
  <c r="BI866" i="8"/>
  <c r="BH866" i="8"/>
  <c r="BG866" i="8"/>
  <c r="BF866" i="8"/>
  <c r="BE866" i="8"/>
  <c r="BD866" i="8"/>
  <c r="BC866" i="8"/>
  <c r="BB866" i="8"/>
  <c r="BA866" i="8"/>
  <c r="AZ866" i="8"/>
  <c r="AY866" i="8"/>
  <c r="AX866" i="8"/>
  <c r="AW866" i="8"/>
  <c r="AV866" i="8"/>
  <c r="AU866" i="8"/>
  <c r="U866" i="8"/>
  <c r="S866" i="8"/>
  <c r="R866" i="8"/>
  <c r="Q866" i="8"/>
  <c r="O866" i="8"/>
  <c r="N866" i="8"/>
  <c r="M866" i="8"/>
  <c r="L866" i="8"/>
  <c r="H866" i="8"/>
  <c r="G866" i="8"/>
  <c r="F866" i="8"/>
  <c r="E866" i="8"/>
  <c r="D866" i="8"/>
  <c r="C866" i="8"/>
  <c r="B866" i="8"/>
  <c r="BJ865" i="8"/>
  <c r="BI865" i="8"/>
  <c r="BH865" i="8"/>
  <c r="BG865" i="8"/>
  <c r="BF865" i="8"/>
  <c r="BE865" i="8"/>
  <c r="BD865" i="8"/>
  <c r="BC865" i="8"/>
  <c r="BB865" i="8"/>
  <c r="BA865" i="8"/>
  <c r="AZ865" i="8"/>
  <c r="AY865" i="8"/>
  <c r="AX865" i="8"/>
  <c r="AW865" i="8"/>
  <c r="AV865" i="8"/>
  <c r="AU865" i="8"/>
  <c r="U865" i="8"/>
  <c r="S865" i="8"/>
  <c r="R865" i="8"/>
  <c r="Q865" i="8"/>
  <c r="P865" i="8"/>
  <c r="O865" i="8"/>
  <c r="N865" i="8"/>
  <c r="M865" i="8"/>
  <c r="L865" i="8"/>
  <c r="K865" i="8"/>
  <c r="J865" i="8"/>
  <c r="I865" i="8"/>
  <c r="H865" i="8"/>
  <c r="G865" i="8"/>
  <c r="F865" i="8"/>
  <c r="E865" i="8"/>
  <c r="D865" i="8"/>
  <c r="C865" i="8"/>
  <c r="B865" i="8"/>
  <c r="BJ864" i="8"/>
  <c r="BI864" i="8"/>
  <c r="BH864" i="8"/>
  <c r="BG864" i="8"/>
  <c r="BF864" i="8"/>
  <c r="BE864" i="8"/>
  <c r="BD864" i="8"/>
  <c r="BC864" i="8"/>
  <c r="BB864" i="8"/>
  <c r="BA864" i="8"/>
  <c r="AZ864" i="8"/>
  <c r="AY864" i="8"/>
  <c r="AX864" i="8"/>
  <c r="AW864" i="8"/>
  <c r="AV864" i="8"/>
  <c r="AU864" i="8"/>
  <c r="AO864" i="8"/>
  <c r="S864" i="8"/>
  <c r="R864" i="8"/>
  <c r="Q864" i="8"/>
  <c r="P864" i="8"/>
  <c r="O864" i="8"/>
  <c r="N864" i="8"/>
  <c r="M864" i="8"/>
  <c r="L864" i="8"/>
  <c r="K864" i="8"/>
  <c r="J864" i="8"/>
  <c r="I864" i="8"/>
  <c r="H864" i="8"/>
  <c r="G864" i="8"/>
  <c r="F864" i="8"/>
  <c r="E864" i="8"/>
  <c r="D864" i="8"/>
  <c r="C864" i="8"/>
  <c r="B864" i="8"/>
  <c r="BJ863" i="8"/>
  <c r="BI863" i="8"/>
  <c r="BH863" i="8"/>
  <c r="BG863" i="8"/>
  <c r="BF863" i="8"/>
  <c r="BE863" i="8"/>
  <c r="BD863" i="8"/>
  <c r="BC863" i="8"/>
  <c r="BB863" i="8"/>
  <c r="BA863" i="8"/>
  <c r="AZ863" i="8"/>
  <c r="AY863" i="8"/>
  <c r="AX863" i="8"/>
  <c r="AW863" i="8"/>
  <c r="AV863" i="8"/>
  <c r="AU863" i="8"/>
  <c r="L863" i="8"/>
  <c r="H863" i="8"/>
  <c r="G863" i="8"/>
  <c r="F863" i="8"/>
  <c r="E863" i="8"/>
  <c r="D863" i="8"/>
  <c r="C863" i="8"/>
  <c r="B863" i="8"/>
  <c r="BJ862" i="8"/>
  <c r="BI862" i="8"/>
  <c r="BH862" i="8"/>
  <c r="BG862" i="8"/>
  <c r="BF862" i="8"/>
  <c r="BE862" i="8"/>
  <c r="BD862" i="8"/>
  <c r="BC862" i="8"/>
  <c r="BB862" i="8"/>
  <c r="BA862" i="8"/>
  <c r="AZ862" i="8"/>
  <c r="AY862" i="8"/>
  <c r="AX862" i="8"/>
  <c r="AW862" i="8"/>
  <c r="AV862" i="8"/>
  <c r="AU862" i="8"/>
  <c r="L862" i="8"/>
  <c r="H862" i="8"/>
  <c r="G862" i="8"/>
  <c r="F862" i="8"/>
  <c r="E862" i="8"/>
  <c r="D862" i="8"/>
  <c r="C862" i="8"/>
  <c r="B862" i="8"/>
  <c r="BJ861" i="8"/>
  <c r="BI861" i="8"/>
  <c r="BH861" i="8"/>
  <c r="BG861" i="8"/>
  <c r="BF861" i="8"/>
  <c r="BE861" i="8"/>
  <c r="BD861" i="8"/>
  <c r="BC861" i="8"/>
  <c r="BB861" i="8"/>
  <c r="BA861" i="8"/>
  <c r="AZ861" i="8"/>
  <c r="AY861" i="8"/>
  <c r="AX861" i="8"/>
  <c r="AW861" i="8"/>
  <c r="AV861" i="8"/>
  <c r="AU861" i="8"/>
  <c r="L861" i="8"/>
  <c r="H861" i="8"/>
  <c r="G861" i="8"/>
  <c r="F861" i="8"/>
  <c r="E861" i="8"/>
  <c r="D861" i="8"/>
  <c r="C861" i="8"/>
  <c r="B861" i="8"/>
  <c r="BJ860" i="8"/>
  <c r="BI860" i="8"/>
  <c r="BH860" i="8"/>
  <c r="BG860" i="8"/>
  <c r="BF860" i="8"/>
  <c r="BE860" i="8"/>
  <c r="BD860" i="8"/>
  <c r="BC860" i="8"/>
  <c r="BB860" i="8"/>
  <c r="BA860" i="8"/>
  <c r="AZ860" i="8"/>
  <c r="AY860" i="8"/>
  <c r="AX860" i="8"/>
  <c r="AW860" i="8"/>
  <c r="AV860" i="8"/>
  <c r="AU860" i="8"/>
  <c r="AO860" i="8"/>
  <c r="S860" i="8"/>
  <c r="R860" i="8"/>
  <c r="Q860" i="8"/>
  <c r="P860" i="8"/>
  <c r="N860" i="8"/>
  <c r="M860" i="8"/>
  <c r="L860" i="8"/>
  <c r="K860" i="8"/>
  <c r="J860" i="8"/>
  <c r="I860" i="8"/>
  <c r="H860" i="8"/>
  <c r="G860" i="8"/>
  <c r="F860" i="8"/>
  <c r="E860" i="8"/>
  <c r="D860" i="8"/>
  <c r="C860" i="8"/>
  <c r="B860" i="8"/>
  <c r="BJ859" i="8"/>
  <c r="BI859" i="8"/>
  <c r="BH859" i="8"/>
  <c r="BG859" i="8"/>
  <c r="BF859" i="8"/>
  <c r="BE859" i="8"/>
  <c r="BD859" i="8"/>
  <c r="BC859" i="8"/>
  <c r="BB859" i="8"/>
  <c r="BA859" i="8"/>
  <c r="AZ859" i="8"/>
  <c r="AY859" i="8"/>
  <c r="AX859" i="8"/>
  <c r="AW859" i="8"/>
  <c r="AV859" i="8"/>
  <c r="AU859" i="8"/>
  <c r="L859" i="8"/>
  <c r="H859" i="8"/>
  <c r="G859" i="8"/>
  <c r="F859" i="8"/>
  <c r="E859" i="8"/>
  <c r="D859" i="8"/>
  <c r="C859" i="8"/>
  <c r="B859" i="8"/>
  <c r="BJ858" i="8"/>
  <c r="BI858" i="8"/>
  <c r="BH858" i="8"/>
  <c r="BG858" i="8"/>
  <c r="BF858" i="8"/>
  <c r="BE858" i="8"/>
  <c r="BD858" i="8"/>
  <c r="BC858" i="8"/>
  <c r="BB858" i="8"/>
  <c r="BA858" i="8"/>
  <c r="AZ858" i="8"/>
  <c r="AY858" i="8"/>
  <c r="AX858" i="8"/>
  <c r="AW858" i="8"/>
  <c r="AV858" i="8"/>
  <c r="AU858" i="8"/>
  <c r="L858" i="8"/>
  <c r="H858" i="8"/>
  <c r="G858" i="8"/>
  <c r="F858" i="8"/>
  <c r="E858" i="8"/>
  <c r="D858" i="8"/>
  <c r="C858" i="8"/>
  <c r="B858" i="8"/>
  <c r="BJ857" i="8"/>
  <c r="BI857" i="8"/>
  <c r="BH857" i="8"/>
  <c r="BG857" i="8"/>
  <c r="BF857" i="8"/>
  <c r="BE857" i="8"/>
  <c r="BD857" i="8"/>
  <c r="BC857" i="8"/>
  <c r="BB857" i="8"/>
  <c r="BA857" i="8"/>
  <c r="AZ857" i="8"/>
  <c r="AY857" i="8"/>
  <c r="AX857" i="8"/>
  <c r="AW857" i="8"/>
  <c r="AV857" i="8"/>
  <c r="AU857" i="8"/>
  <c r="AO857" i="8"/>
  <c r="S857" i="8"/>
  <c r="R857" i="8"/>
  <c r="Q857" i="8"/>
  <c r="P857" i="8"/>
  <c r="O857" i="8"/>
  <c r="N857" i="8"/>
  <c r="M857" i="8"/>
  <c r="L857" i="8"/>
  <c r="K857" i="8"/>
  <c r="J857" i="8"/>
  <c r="I857" i="8"/>
  <c r="H857" i="8"/>
  <c r="G857" i="8"/>
  <c r="F857" i="8"/>
  <c r="E857" i="8"/>
  <c r="D857" i="8"/>
  <c r="C857" i="8"/>
  <c r="B857" i="8"/>
  <c r="BJ856" i="8"/>
  <c r="BI856" i="8"/>
  <c r="BH856" i="8"/>
  <c r="BG856" i="8"/>
  <c r="BF856" i="8"/>
  <c r="BE856" i="8"/>
  <c r="BD856" i="8"/>
  <c r="BC856" i="8"/>
  <c r="BB856" i="8"/>
  <c r="BA856" i="8"/>
  <c r="AZ856" i="8"/>
  <c r="AY856" i="8"/>
  <c r="AX856" i="8"/>
  <c r="AW856" i="8"/>
  <c r="AV856" i="8"/>
  <c r="AU856" i="8"/>
  <c r="L856" i="8"/>
  <c r="H856" i="8"/>
  <c r="G856" i="8"/>
  <c r="F856" i="8"/>
  <c r="E856" i="8"/>
  <c r="D856" i="8"/>
  <c r="C856" i="8"/>
  <c r="B856" i="8"/>
  <c r="BJ855" i="8"/>
  <c r="BI855" i="8"/>
  <c r="BH855" i="8"/>
  <c r="BG855" i="8"/>
  <c r="BF855" i="8"/>
  <c r="BE855" i="8"/>
  <c r="BD855" i="8"/>
  <c r="BC855" i="8"/>
  <c r="BB855" i="8"/>
  <c r="BA855" i="8"/>
  <c r="AZ855" i="8"/>
  <c r="AY855" i="8"/>
  <c r="AX855" i="8"/>
  <c r="AW855" i="8"/>
  <c r="AV855" i="8"/>
  <c r="AU855" i="8"/>
  <c r="AO855" i="8"/>
  <c r="S855" i="8"/>
  <c r="R855" i="8"/>
  <c r="Q855" i="8"/>
  <c r="P855" i="8"/>
  <c r="O855" i="8"/>
  <c r="N855" i="8"/>
  <c r="M855" i="8"/>
  <c r="L855" i="8"/>
  <c r="K855" i="8"/>
  <c r="J855" i="8"/>
  <c r="H855" i="8"/>
  <c r="G855" i="8"/>
  <c r="F855" i="8"/>
  <c r="E855" i="8"/>
  <c r="D855" i="8"/>
  <c r="C855" i="8"/>
  <c r="B855" i="8"/>
  <c r="BJ854" i="8"/>
  <c r="BI854" i="8"/>
  <c r="BH854" i="8"/>
  <c r="BG854" i="8"/>
  <c r="BF854" i="8"/>
  <c r="BE854" i="8"/>
  <c r="BD854" i="8"/>
  <c r="BC854" i="8"/>
  <c r="BB854" i="8"/>
  <c r="BA854" i="8"/>
  <c r="AZ854" i="8"/>
  <c r="AY854" i="8"/>
  <c r="AX854" i="8"/>
  <c r="AW854" i="8"/>
  <c r="AV854" i="8"/>
  <c r="AU854" i="8"/>
  <c r="L854" i="8"/>
  <c r="H854" i="8"/>
  <c r="G854" i="8"/>
  <c r="F854" i="8"/>
  <c r="E854" i="8"/>
  <c r="D854" i="8"/>
  <c r="C854" i="8"/>
  <c r="B854" i="8"/>
  <c r="BJ853" i="8"/>
  <c r="BI853" i="8"/>
  <c r="BH853" i="8"/>
  <c r="BG853" i="8"/>
  <c r="BF853" i="8"/>
  <c r="BE853" i="8"/>
  <c r="BD853" i="8"/>
  <c r="BC853" i="8"/>
  <c r="BB853" i="8"/>
  <c r="BA853" i="8"/>
  <c r="AZ853" i="8"/>
  <c r="AY853" i="8"/>
  <c r="AX853" i="8"/>
  <c r="AW853" i="8"/>
  <c r="AV853" i="8"/>
  <c r="AU853" i="8"/>
  <c r="L853" i="8"/>
  <c r="H853" i="8"/>
  <c r="G853" i="8"/>
  <c r="F853" i="8"/>
  <c r="E853" i="8"/>
  <c r="D853" i="8"/>
  <c r="C853" i="8"/>
  <c r="B853" i="8"/>
  <c r="BJ852" i="8"/>
  <c r="BI852" i="8"/>
  <c r="BH852" i="8"/>
  <c r="BG852" i="8"/>
  <c r="BF852" i="8"/>
  <c r="BE852" i="8"/>
  <c r="BD852" i="8"/>
  <c r="BC852" i="8"/>
  <c r="BB852" i="8"/>
  <c r="BA852" i="8"/>
  <c r="AZ852" i="8"/>
  <c r="AY852" i="8"/>
  <c r="AX852" i="8"/>
  <c r="AW852" i="8"/>
  <c r="AV852" i="8"/>
  <c r="AU852" i="8"/>
  <c r="L852" i="8"/>
  <c r="H852" i="8"/>
  <c r="G852" i="8"/>
  <c r="F852" i="8"/>
  <c r="E852" i="8"/>
  <c r="D852" i="8"/>
  <c r="C852" i="8"/>
  <c r="B852" i="8"/>
  <c r="BJ851" i="8"/>
  <c r="BI851" i="8"/>
  <c r="BH851" i="8"/>
  <c r="BG851" i="8"/>
  <c r="BF851" i="8"/>
  <c r="BE851" i="8"/>
  <c r="BD851" i="8"/>
  <c r="BC851" i="8"/>
  <c r="BB851" i="8"/>
  <c r="BA851" i="8"/>
  <c r="AZ851" i="8"/>
  <c r="AY851" i="8"/>
  <c r="AX851" i="8"/>
  <c r="AW851" i="8"/>
  <c r="AV851" i="8"/>
  <c r="AU851" i="8"/>
  <c r="L851" i="8"/>
  <c r="H851" i="8"/>
  <c r="G851" i="8"/>
  <c r="F851" i="8"/>
  <c r="E851" i="8"/>
  <c r="D851" i="8"/>
  <c r="C851" i="8"/>
  <c r="B851" i="8"/>
  <c r="BJ850" i="8"/>
  <c r="BI850" i="8"/>
  <c r="BH850" i="8"/>
  <c r="BG850" i="8"/>
  <c r="BF850" i="8"/>
  <c r="BE850" i="8"/>
  <c r="BD850" i="8"/>
  <c r="BC850" i="8"/>
  <c r="BB850" i="8"/>
  <c r="BA850" i="8"/>
  <c r="AZ850" i="8"/>
  <c r="AY850" i="8"/>
  <c r="AX850" i="8"/>
  <c r="AW850" i="8"/>
  <c r="AV850" i="8"/>
  <c r="AU850" i="8"/>
  <c r="L850" i="8"/>
  <c r="H850" i="8"/>
  <c r="G850" i="8"/>
  <c r="F850" i="8"/>
  <c r="E850" i="8"/>
  <c r="D850" i="8"/>
  <c r="C850" i="8"/>
  <c r="B850" i="8"/>
  <c r="BJ849" i="8"/>
  <c r="BI849" i="8"/>
  <c r="BH849" i="8"/>
  <c r="BG849" i="8"/>
  <c r="BF849" i="8"/>
  <c r="BE849" i="8"/>
  <c r="BD849" i="8"/>
  <c r="BC849" i="8"/>
  <c r="BB849" i="8"/>
  <c r="BA849" i="8"/>
  <c r="AZ849" i="8"/>
  <c r="AY849" i="8"/>
  <c r="AX849" i="8"/>
  <c r="AW849" i="8"/>
  <c r="AV849" i="8"/>
  <c r="AU849" i="8"/>
  <c r="L849" i="8"/>
  <c r="H849" i="8"/>
  <c r="G849" i="8"/>
  <c r="F849" i="8"/>
  <c r="E849" i="8"/>
  <c r="D849" i="8"/>
  <c r="C849" i="8"/>
  <c r="B849" i="8"/>
  <c r="BJ848" i="8"/>
  <c r="BI848" i="8"/>
  <c r="BH848" i="8"/>
  <c r="BG848" i="8"/>
  <c r="BF848" i="8"/>
  <c r="BE848" i="8"/>
  <c r="BD848" i="8"/>
  <c r="BC848" i="8"/>
  <c r="BB848" i="8"/>
  <c r="BA848" i="8"/>
  <c r="AZ848" i="8"/>
  <c r="AY848" i="8"/>
  <c r="AX848" i="8"/>
  <c r="AW848" i="8"/>
  <c r="AV848" i="8"/>
  <c r="AU848" i="8"/>
  <c r="S848" i="8"/>
  <c r="R848" i="8"/>
  <c r="Q848" i="8"/>
  <c r="P848" i="8"/>
  <c r="O848" i="8"/>
  <c r="N848" i="8"/>
  <c r="M848" i="8"/>
  <c r="L848" i="8"/>
  <c r="K848" i="8"/>
  <c r="J848" i="8"/>
  <c r="I848" i="8"/>
  <c r="H848" i="8"/>
  <c r="G848" i="8"/>
  <c r="F848" i="8"/>
  <c r="E848" i="8"/>
  <c r="D848" i="8"/>
  <c r="C848" i="8"/>
  <c r="B848" i="8"/>
  <c r="BJ847" i="8"/>
  <c r="BI847" i="8"/>
  <c r="BH847" i="8"/>
  <c r="BG847" i="8"/>
  <c r="BF847" i="8"/>
  <c r="BE847" i="8"/>
  <c r="BD847" i="8"/>
  <c r="BC847" i="8"/>
  <c r="BB847" i="8"/>
  <c r="BA847" i="8"/>
  <c r="AZ847" i="8"/>
  <c r="AY847" i="8"/>
  <c r="AX847" i="8"/>
  <c r="AW847" i="8"/>
  <c r="AV847" i="8"/>
  <c r="AU847" i="8"/>
  <c r="L847" i="8"/>
  <c r="H847" i="8"/>
  <c r="G847" i="8"/>
  <c r="F847" i="8"/>
  <c r="E847" i="8"/>
  <c r="D847" i="8"/>
  <c r="C847" i="8"/>
  <c r="B847" i="8"/>
  <c r="BJ846" i="8"/>
  <c r="BI846" i="8"/>
  <c r="BH846" i="8"/>
  <c r="BG846" i="8"/>
  <c r="BF846" i="8"/>
  <c r="BE846" i="8"/>
  <c r="BD846" i="8"/>
  <c r="BC846" i="8"/>
  <c r="BB846" i="8"/>
  <c r="BA846" i="8"/>
  <c r="AZ846" i="8"/>
  <c r="AY846" i="8"/>
  <c r="AX846" i="8"/>
  <c r="AW846" i="8"/>
  <c r="AV846" i="8"/>
  <c r="AU846" i="8"/>
  <c r="L846" i="8"/>
  <c r="H846" i="8"/>
  <c r="G846" i="8"/>
  <c r="F846" i="8"/>
  <c r="E846" i="8"/>
  <c r="D846" i="8"/>
  <c r="C846" i="8"/>
  <c r="B846" i="8"/>
  <c r="BJ845" i="8"/>
  <c r="BI845" i="8"/>
  <c r="BH845" i="8"/>
  <c r="BG845" i="8"/>
  <c r="BF845" i="8"/>
  <c r="BE845" i="8"/>
  <c r="BD845" i="8"/>
  <c r="BC845" i="8"/>
  <c r="BB845" i="8"/>
  <c r="BA845" i="8"/>
  <c r="AZ845" i="8"/>
  <c r="AY845" i="8"/>
  <c r="AX845" i="8"/>
  <c r="AW845" i="8"/>
  <c r="AV845" i="8"/>
  <c r="AU845" i="8"/>
  <c r="L845" i="8"/>
  <c r="H845" i="8"/>
  <c r="G845" i="8"/>
  <c r="F845" i="8"/>
  <c r="E845" i="8"/>
  <c r="D845" i="8"/>
  <c r="C845" i="8"/>
  <c r="B845" i="8"/>
  <c r="BJ844" i="8"/>
  <c r="BI844" i="8"/>
  <c r="BH844" i="8"/>
  <c r="BG844" i="8"/>
  <c r="BF844" i="8"/>
  <c r="BE844" i="8"/>
  <c r="BD844" i="8"/>
  <c r="BC844" i="8"/>
  <c r="BB844" i="8"/>
  <c r="BA844" i="8"/>
  <c r="AZ844" i="8"/>
  <c r="AY844" i="8"/>
  <c r="AX844" i="8"/>
  <c r="AW844" i="8"/>
  <c r="AV844" i="8"/>
  <c r="AU844" i="8"/>
  <c r="L844" i="8"/>
  <c r="H844" i="8"/>
  <c r="G844" i="8"/>
  <c r="F844" i="8"/>
  <c r="E844" i="8"/>
  <c r="D844" i="8"/>
  <c r="C844" i="8"/>
  <c r="B844" i="8"/>
  <c r="BJ843" i="8"/>
  <c r="BI843" i="8"/>
  <c r="BH843" i="8"/>
  <c r="BG843" i="8"/>
  <c r="BF843" i="8"/>
  <c r="BE843" i="8"/>
  <c r="BD843" i="8"/>
  <c r="BC843" i="8"/>
  <c r="BB843" i="8"/>
  <c r="BA843" i="8"/>
  <c r="AZ843" i="8"/>
  <c r="AY843" i="8"/>
  <c r="AX843" i="8"/>
  <c r="AW843" i="8"/>
  <c r="AV843" i="8"/>
  <c r="AU843" i="8"/>
  <c r="L843" i="8"/>
  <c r="H843" i="8"/>
  <c r="G843" i="8"/>
  <c r="F843" i="8"/>
  <c r="E843" i="8"/>
  <c r="D843" i="8"/>
  <c r="C843" i="8"/>
  <c r="B843" i="8"/>
  <c r="BJ842" i="8"/>
  <c r="BI842" i="8"/>
  <c r="BH842" i="8"/>
  <c r="BG842" i="8"/>
  <c r="BF842" i="8"/>
  <c r="BE842" i="8"/>
  <c r="BD842" i="8"/>
  <c r="BC842" i="8"/>
  <c r="BB842" i="8"/>
  <c r="BA842" i="8"/>
  <c r="AZ842" i="8"/>
  <c r="AY842" i="8"/>
  <c r="AX842" i="8"/>
  <c r="AW842" i="8"/>
  <c r="AV842" i="8"/>
  <c r="AU842" i="8"/>
  <c r="L842" i="8"/>
  <c r="H842" i="8"/>
  <c r="G842" i="8"/>
  <c r="F842" i="8"/>
  <c r="E842" i="8"/>
  <c r="D842" i="8"/>
  <c r="C842" i="8"/>
  <c r="B842" i="8"/>
  <c r="BJ841" i="8"/>
  <c r="BI841" i="8"/>
  <c r="BH841" i="8"/>
  <c r="BG841" i="8"/>
  <c r="BF841" i="8"/>
  <c r="BE841" i="8"/>
  <c r="BD841" i="8"/>
  <c r="BC841" i="8"/>
  <c r="BB841" i="8"/>
  <c r="BA841" i="8"/>
  <c r="AZ841" i="8"/>
  <c r="AY841" i="8"/>
  <c r="AX841" i="8"/>
  <c r="AW841" i="8"/>
  <c r="AV841" i="8"/>
  <c r="AU841" i="8"/>
  <c r="L841" i="8"/>
  <c r="H841" i="8"/>
  <c r="G841" i="8"/>
  <c r="F841" i="8"/>
  <c r="E841" i="8"/>
  <c r="D841" i="8"/>
  <c r="C841" i="8"/>
  <c r="B841" i="8"/>
  <c r="BJ840" i="8"/>
  <c r="BI840" i="8"/>
  <c r="BH840" i="8"/>
  <c r="BG840" i="8"/>
  <c r="BF840" i="8"/>
  <c r="BE840" i="8"/>
  <c r="BD840" i="8"/>
  <c r="BC840" i="8"/>
  <c r="BB840" i="8"/>
  <c r="BA840" i="8"/>
  <c r="AZ840" i="8"/>
  <c r="AY840" i="8"/>
  <c r="AX840" i="8"/>
  <c r="AW840" i="8"/>
  <c r="AV840" i="8"/>
  <c r="AU840" i="8"/>
  <c r="L840" i="8"/>
  <c r="H840" i="8"/>
  <c r="G840" i="8"/>
  <c r="F840" i="8"/>
  <c r="E840" i="8"/>
  <c r="D840" i="8"/>
  <c r="C840" i="8"/>
  <c r="B840" i="8"/>
  <c r="BJ839" i="8"/>
  <c r="BI839" i="8"/>
  <c r="BH839" i="8"/>
  <c r="BG839" i="8"/>
  <c r="BF839" i="8"/>
  <c r="BE839" i="8"/>
  <c r="BD839" i="8"/>
  <c r="BC839" i="8"/>
  <c r="BB839" i="8"/>
  <c r="BA839" i="8"/>
  <c r="AZ839" i="8"/>
  <c r="AY839" i="8"/>
  <c r="AX839" i="8"/>
  <c r="AW839" i="8"/>
  <c r="AV839" i="8"/>
  <c r="AU839" i="8"/>
  <c r="L839" i="8"/>
  <c r="H839" i="8"/>
  <c r="G839" i="8"/>
  <c r="F839" i="8"/>
  <c r="E839" i="8"/>
  <c r="D839" i="8"/>
  <c r="C839" i="8"/>
  <c r="B839" i="8"/>
  <c r="BJ838" i="8"/>
  <c r="BI838" i="8"/>
  <c r="BH838" i="8"/>
  <c r="BG838" i="8"/>
  <c r="BF838" i="8"/>
  <c r="BE838" i="8"/>
  <c r="BD838" i="8"/>
  <c r="BC838" i="8"/>
  <c r="BB838" i="8"/>
  <c r="BA838" i="8"/>
  <c r="AZ838" i="8"/>
  <c r="AY838" i="8"/>
  <c r="AX838" i="8"/>
  <c r="AW838" i="8"/>
  <c r="AV838" i="8"/>
  <c r="AU838" i="8"/>
  <c r="U838" i="8"/>
  <c r="S838" i="8"/>
  <c r="R838" i="8"/>
  <c r="Q838" i="8"/>
  <c r="P838" i="8"/>
  <c r="O838" i="8"/>
  <c r="N838" i="8"/>
  <c r="M838" i="8"/>
  <c r="L838" i="8"/>
  <c r="K838" i="8"/>
  <c r="J838" i="8"/>
  <c r="I838" i="8"/>
  <c r="H838" i="8"/>
  <c r="G838" i="8"/>
  <c r="F838" i="8"/>
  <c r="E838" i="8"/>
  <c r="D838" i="8"/>
  <c r="C838" i="8"/>
  <c r="B838" i="8"/>
  <c r="BJ837" i="8"/>
  <c r="BI837" i="8"/>
  <c r="BH837" i="8"/>
  <c r="BG837" i="8"/>
  <c r="BF837" i="8"/>
  <c r="BE837" i="8"/>
  <c r="BD837" i="8"/>
  <c r="BC837" i="8"/>
  <c r="BB837" i="8"/>
  <c r="BA837" i="8"/>
  <c r="AZ837" i="8"/>
  <c r="AY837" i="8"/>
  <c r="AX837" i="8"/>
  <c r="AW837" i="8"/>
  <c r="AV837" i="8"/>
  <c r="AU837" i="8"/>
  <c r="L837" i="8"/>
  <c r="H837" i="8"/>
  <c r="G837" i="8"/>
  <c r="F837" i="8"/>
  <c r="E837" i="8"/>
  <c r="D837" i="8"/>
  <c r="C837" i="8"/>
  <c r="B837" i="8"/>
  <c r="BJ836" i="8"/>
  <c r="BI836" i="8"/>
  <c r="BH836" i="8"/>
  <c r="BG836" i="8"/>
  <c r="BF836" i="8"/>
  <c r="BE836" i="8"/>
  <c r="BD836" i="8"/>
  <c r="BC836" i="8"/>
  <c r="BB836" i="8"/>
  <c r="BA836" i="8"/>
  <c r="AZ836" i="8"/>
  <c r="AY836" i="8"/>
  <c r="AX836" i="8"/>
  <c r="AW836" i="8"/>
  <c r="AV836" i="8"/>
  <c r="AU836" i="8"/>
  <c r="S836" i="8"/>
  <c r="R836" i="8"/>
  <c r="Q836" i="8"/>
  <c r="P836" i="8"/>
  <c r="O836" i="8"/>
  <c r="N836" i="8"/>
  <c r="M836" i="8"/>
  <c r="L836" i="8"/>
  <c r="K836" i="8"/>
  <c r="J836" i="8"/>
  <c r="I836" i="8"/>
  <c r="H836" i="8"/>
  <c r="G836" i="8"/>
  <c r="F836" i="8"/>
  <c r="E836" i="8"/>
  <c r="D836" i="8"/>
  <c r="C836" i="8"/>
  <c r="B836" i="8"/>
  <c r="BJ835" i="8"/>
  <c r="BI835" i="8"/>
  <c r="BH835" i="8"/>
  <c r="BG835" i="8"/>
  <c r="BF835" i="8"/>
  <c r="BE835" i="8"/>
  <c r="BD835" i="8"/>
  <c r="BC835" i="8"/>
  <c r="BB835" i="8"/>
  <c r="BA835" i="8"/>
  <c r="AZ835" i="8"/>
  <c r="AY835" i="8"/>
  <c r="AX835" i="8"/>
  <c r="AW835" i="8"/>
  <c r="AV835" i="8"/>
  <c r="AU835" i="8"/>
  <c r="L835" i="8"/>
  <c r="H835" i="8"/>
  <c r="G835" i="8"/>
  <c r="F835" i="8"/>
  <c r="E835" i="8"/>
  <c r="D835" i="8"/>
  <c r="C835" i="8"/>
  <c r="B835" i="8"/>
  <c r="BJ834" i="8"/>
  <c r="BI834" i="8"/>
  <c r="BH834" i="8"/>
  <c r="BG834" i="8"/>
  <c r="BF834" i="8"/>
  <c r="BE834" i="8"/>
  <c r="BD834" i="8"/>
  <c r="BC834" i="8"/>
  <c r="BB834" i="8"/>
  <c r="BA834" i="8"/>
  <c r="AZ834" i="8"/>
  <c r="AY834" i="8"/>
  <c r="AX834" i="8"/>
  <c r="AW834" i="8"/>
  <c r="AV834" i="8"/>
  <c r="AU834" i="8"/>
  <c r="L834" i="8"/>
  <c r="H834" i="8"/>
  <c r="G834" i="8"/>
  <c r="F834" i="8"/>
  <c r="E834" i="8"/>
  <c r="D834" i="8"/>
  <c r="C834" i="8"/>
  <c r="B834" i="8"/>
  <c r="BJ833" i="8"/>
  <c r="BI833" i="8"/>
  <c r="BH833" i="8"/>
  <c r="BG833" i="8"/>
  <c r="BF833" i="8"/>
  <c r="BE833" i="8"/>
  <c r="BD833" i="8"/>
  <c r="BC833" i="8"/>
  <c r="BB833" i="8"/>
  <c r="BA833" i="8"/>
  <c r="AZ833" i="8"/>
  <c r="AY833" i="8"/>
  <c r="AX833" i="8"/>
  <c r="AW833" i="8"/>
  <c r="AV833" i="8"/>
  <c r="AU833" i="8"/>
  <c r="L833" i="8"/>
  <c r="H833" i="8"/>
  <c r="G833" i="8"/>
  <c r="F833" i="8"/>
  <c r="E833" i="8"/>
  <c r="D833" i="8"/>
  <c r="C833" i="8"/>
  <c r="B833" i="8"/>
  <c r="BJ832" i="8"/>
  <c r="BI832" i="8"/>
  <c r="BH832" i="8"/>
  <c r="BG832" i="8"/>
  <c r="BF832" i="8"/>
  <c r="BE832" i="8"/>
  <c r="BD832" i="8"/>
  <c r="BC832" i="8"/>
  <c r="BB832" i="8"/>
  <c r="BA832" i="8"/>
  <c r="AZ832" i="8"/>
  <c r="AY832" i="8"/>
  <c r="AX832" i="8"/>
  <c r="AW832" i="8"/>
  <c r="AV832" i="8"/>
  <c r="AU832" i="8"/>
  <c r="L832" i="8"/>
  <c r="H832" i="8"/>
  <c r="G832" i="8"/>
  <c r="F832" i="8"/>
  <c r="E832" i="8"/>
  <c r="D832" i="8"/>
  <c r="C832" i="8"/>
  <c r="B832" i="8"/>
  <c r="BJ831" i="8"/>
  <c r="BI831" i="8"/>
  <c r="BH831" i="8"/>
  <c r="BG831" i="8"/>
  <c r="BF831" i="8"/>
  <c r="BE831" i="8"/>
  <c r="BD831" i="8"/>
  <c r="BC831" i="8"/>
  <c r="BB831" i="8"/>
  <c r="BA831" i="8"/>
  <c r="AZ831" i="8"/>
  <c r="AY831" i="8"/>
  <c r="AX831" i="8"/>
  <c r="AW831" i="8"/>
  <c r="AV831" i="8"/>
  <c r="AU831" i="8"/>
  <c r="L831" i="8"/>
  <c r="H831" i="8"/>
  <c r="G831" i="8"/>
  <c r="F831" i="8"/>
  <c r="E831" i="8"/>
  <c r="D831" i="8"/>
  <c r="C831" i="8"/>
  <c r="B831" i="8"/>
  <c r="BJ830" i="8"/>
  <c r="BI830" i="8"/>
  <c r="BH830" i="8"/>
  <c r="BG830" i="8"/>
  <c r="BF830" i="8"/>
  <c r="BE830" i="8"/>
  <c r="BD830" i="8"/>
  <c r="BC830" i="8"/>
  <c r="BB830" i="8"/>
  <c r="BA830" i="8"/>
  <c r="AZ830" i="8"/>
  <c r="AY830" i="8"/>
  <c r="AX830" i="8"/>
  <c r="AW830" i="8"/>
  <c r="AV830" i="8"/>
  <c r="AU830" i="8"/>
  <c r="L830" i="8"/>
  <c r="H830" i="8"/>
  <c r="G830" i="8"/>
  <c r="F830" i="8"/>
  <c r="E830" i="8"/>
  <c r="D830" i="8"/>
  <c r="C830" i="8"/>
  <c r="B830" i="8"/>
  <c r="BJ829" i="8"/>
  <c r="BI829" i="8"/>
  <c r="BH829" i="8"/>
  <c r="BG829" i="8"/>
  <c r="BF829" i="8"/>
  <c r="BE829" i="8"/>
  <c r="BD829" i="8"/>
  <c r="BC829" i="8"/>
  <c r="BB829" i="8"/>
  <c r="BA829" i="8"/>
  <c r="AZ829" i="8"/>
  <c r="AY829" i="8"/>
  <c r="AX829" i="8"/>
  <c r="AW829" i="8"/>
  <c r="AV829" i="8"/>
  <c r="AU829" i="8"/>
  <c r="L829" i="8"/>
  <c r="H829" i="8"/>
  <c r="G829" i="8"/>
  <c r="F829" i="8"/>
  <c r="E829" i="8"/>
  <c r="D829" i="8"/>
  <c r="C829" i="8"/>
  <c r="B829" i="8"/>
  <c r="BJ828" i="8"/>
  <c r="BI828" i="8"/>
  <c r="BH828" i="8"/>
  <c r="BG828" i="8"/>
  <c r="BF828" i="8"/>
  <c r="BE828" i="8"/>
  <c r="BD828" i="8"/>
  <c r="BC828" i="8"/>
  <c r="BB828" i="8"/>
  <c r="BA828" i="8"/>
  <c r="AZ828" i="8"/>
  <c r="AY828" i="8"/>
  <c r="AX828" i="8"/>
  <c r="AW828" i="8"/>
  <c r="AV828" i="8"/>
  <c r="AU828" i="8"/>
  <c r="S828" i="8"/>
  <c r="R828" i="8"/>
  <c r="Q828" i="8"/>
  <c r="P828" i="8"/>
  <c r="O828" i="8"/>
  <c r="N828" i="8"/>
  <c r="M828" i="8"/>
  <c r="L828" i="8"/>
  <c r="K828" i="8"/>
  <c r="J828" i="8"/>
  <c r="I828" i="8"/>
  <c r="H828" i="8"/>
  <c r="G828" i="8"/>
  <c r="F828" i="8"/>
  <c r="E828" i="8"/>
  <c r="D828" i="8"/>
  <c r="C828" i="8"/>
  <c r="B828" i="8"/>
  <c r="BJ827" i="8"/>
  <c r="BI827" i="8"/>
  <c r="BH827" i="8"/>
  <c r="BG827" i="8"/>
  <c r="BF827" i="8"/>
  <c r="BE827" i="8"/>
  <c r="BD827" i="8"/>
  <c r="BC827" i="8"/>
  <c r="BB827" i="8"/>
  <c r="BA827" i="8"/>
  <c r="AZ827" i="8"/>
  <c r="AY827" i="8"/>
  <c r="AX827" i="8"/>
  <c r="AW827" i="8"/>
  <c r="AV827" i="8"/>
  <c r="AU827" i="8"/>
  <c r="L827" i="8"/>
  <c r="H827" i="8"/>
  <c r="G827" i="8"/>
  <c r="F827" i="8"/>
  <c r="E827" i="8"/>
  <c r="D827" i="8"/>
  <c r="C827" i="8"/>
  <c r="B827" i="8"/>
  <c r="BJ826" i="8"/>
  <c r="BI826" i="8"/>
  <c r="BH826" i="8"/>
  <c r="BG826" i="8"/>
  <c r="BF826" i="8"/>
  <c r="BE826" i="8"/>
  <c r="BD826" i="8"/>
  <c r="BC826" i="8"/>
  <c r="BB826" i="8"/>
  <c r="BA826" i="8"/>
  <c r="AZ826" i="8"/>
  <c r="AY826" i="8"/>
  <c r="AX826" i="8"/>
  <c r="AW826" i="8"/>
  <c r="AV826" i="8"/>
  <c r="AU826" i="8"/>
  <c r="L826" i="8"/>
  <c r="K826" i="8"/>
  <c r="J826" i="8"/>
  <c r="H826" i="8"/>
  <c r="G826" i="8"/>
  <c r="F826" i="8"/>
  <c r="E826" i="8"/>
  <c r="D826" i="8"/>
  <c r="C826" i="8"/>
  <c r="B826" i="8"/>
  <c r="BJ825" i="8"/>
  <c r="BI825" i="8"/>
  <c r="BH825" i="8"/>
  <c r="BG825" i="8"/>
  <c r="BF825" i="8"/>
  <c r="BE825" i="8"/>
  <c r="BD825" i="8"/>
  <c r="BC825" i="8"/>
  <c r="BB825" i="8"/>
  <c r="BA825" i="8"/>
  <c r="AZ825" i="8"/>
  <c r="AY825" i="8"/>
  <c r="AX825" i="8"/>
  <c r="AW825" i="8"/>
  <c r="AV825" i="8"/>
  <c r="AU825" i="8"/>
  <c r="L825" i="8"/>
  <c r="K825" i="8"/>
  <c r="J825" i="8"/>
  <c r="H825" i="8"/>
  <c r="G825" i="8"/>
  <c r="F825" i="8"/>
  <c r="E825" i="8"/>
  <c r="D825" i="8"/>
  <c r="C825" i="8"/>
  <c r="B825" i="8"/>
  <c r="BJ824" i="8"/>
  <c r="BI824" i="8"/>
  <c r="BH824" i="8"/>
  <c r="BG824" i="8"/>
  <c r="BF824" i="8"/>
  <c r="BE824" i="8"/>
  <c r="BD824" i="8"/>
  <c r="BC824" i="8"/>
  <c r="BB824" i="8"/>
  <c r="BA824" i="8"/>
  <c r="AZ824" i="8"/>
  <c r="AY824" i="8"/>
  <c r="AX824" i="8"/>
  <c r="AW824" i="8"/>
  <c r="AV824" i="8"/>
  <c r="AU824" i="8"/>
  <c r="L824" i="8"/>
  <c r="K824" i="8"/>
  <c r="J824" i="8"/>
  <c r="H824" i="8"/>
  <c r="G824" i="8"/>
  <c r="F824" i="8"/>
  <c r="E824" i="8"/>
  <c r="D824" i="8"/>
  <c r="C824" i="8"/>
  <c r="B824" i="8"/>
  <c r="BJ823" i="8"/>
  <c r="BI823" i="8"/>
  <c r="BH823" i="8"/>
  <c r="BG823" i="8"/>
  <c r="BF823" i="8"/>
  <c r="BE823" i="8"/>
  <c r="BD823" i="8"/>
  <c r="BC823" i="8"/>
  <c r="BB823" i="8"/>
  <c r="BA823" i="8"/>
  <c r="AZ823" i="8"/>
  <c r="AY823" i="8"/>
  <c r="AX823" i="8"/>
  <c r="AW823" i="8"/>
  <c r="AV823" i="8"/>
  <c r="AU823" i="8"/>
  <c r="L823" i="8"/>
  <c r="K823" i="8"/>
  <c r="J823" i="8"/>
  <c r="H823" i="8"/>
  <c r="G823" i="8"/>
  <c r="F823" i="8"/>
  <c r="E823" i="8"/>
  <c r="D823" i="8"/>
  <c r="C823" i="8"/>
  <c r="B823" i="8"/>
  <c r="BJ822" i="8"/>
  <c r="BI822" i="8"/>
  <c r="BH822" i="8"/>
  <c r="BG822" i="8"/>
  <c r="BF822" i="8"/>
  <c r="BE822" i="8"/>
  <c r="BD822" i="8"/>
  <c r="BC822" i="8"/>
  <c r="BB822" i="8"/>
  <c r="BA822" i="8"/>
  <c r="AZ822" i="8"/>
  <c r="AY822" i="8"/>
  <c r="AX822" i="8"/>
  <c r="AW822" i="8"/>
  <c r="AV822" i="8"/>
  <c r="AU822" i="8"/>
  <c r="L822" i="8"/>
  <c r="K822" i="8"/>
  <c r="J822" i="8"/>
  <c r="H822" i="8"/>
  <c r="G822" i="8"/>
  <c r="F822" i="8"/>
  <c r="E822" i="8"/>
  <c r="D822" i="8"/>
  <c r="C822" i="8"/>
  <c r="B822" i="8"/>
  <c r="BJ821" i="8"/>
  <c r="BI821" i="8"/>
  <c r="BH821" i="8"/>
  <c r="BG821" i="8"/>
  <c r="BF821" i="8"/>
  <c r="BE821" i="8"/>
  <c r="BD821" i="8"/>
  <c r="BC821" i="8"/>
  <c r="BB821" i="8"/>
  <c r="BA821" i="8"/>
  <c r="AZ821" i="8"/>
  <c r="AY821" i="8"/>
  <c r="AX821" i="8"/>
  <c r="AW821" i="8"/>
  <c r="AV821" i="8"/>
  <c r="AU821" i="8"/>
  <c r="L821" i="8"/>
  <c r="K821" i="8"/>
  <c r="J821" i="8"/>
  <c r="H821" i="8"/>
  <c r="G821" i="8"/>
  <c r="F821" i="8"/>
  <c r="E821" i="8"/>
  <c r="D821" i="8"/>
  <c r="C821" i="8"/>
  <c r="B821" i="8"/>
  <c r="BJ820" i="8"/>
  <c r="BI820" i="8"/>
  <c r="BH820" i="8"/>
  <c r="BG820" i="8"/>
  <c r="BF820" i="8"/>
  <c r="BE820" i="8"/>
  <c r="BD820" i="8"/>
  <c r="BC820" i="8"/>
  <c r="BB820" i="8"/>
  <c r="BA820" i="8"/>
  <c r="AZ820" i="8"/>
  <c r="AY820" i="8"/>
  <c r="AX820" i="8"/>
  <c r="AW820" i="8"/>
  <c r="AV820" i="8"/>
  <c r="AU820" i="8"/>
  <c r="L820" i="8"/>
  <c r="K820" i="8"/>
  <c r="J820" i="8"/>
  <c r="H820" i="8"/>
  <c r="G820" i="8"/>
  <c r="F820" i="8"/>
  <c r="E820" i="8"/>
  <c r="D820" i="8"/>
  <c r="C820" i="8"/>
  <c r="B820" i="8"/>
  <c r="BJ819" i="8"/>
  <c r="BI819" i="8"/>
  <c r="BH819" i="8"/>
  <c r="BG819" i="8"/>
  <c r="BF819" i="8"/>
  <c r="BE819" i="8"/>
  <c r="BD819" i="8"/>
  <c r="BC819" i="8"/>
  <c r="BB819" i="8"/>
  <c r="BA819" i="8"/>
  <c r="AZ819" i="8"/>
  <c r="AY819" i="8"/>
  <c r="AX819" i="8"/>
  <c r="AW819" i="8"/>
  <c r="AV819" i="8"/>
  <c r="AU819" i="8"/>
  <c r="L819" i="8"/>
  <c r="K819" i="8"/>
  <c r="J819" i="8"/>
  <c r="H819" i="8"/>
  <c r="G819" i="8"/>
  <c r="F819" i="8"/>
  <c r="E819" i="8"/>
  <c r="D819" i="8"/>
  <c r="C819" i="8"/>
  <c r="B819" i="8"/>
  <c r="BJ818" i="8"/>
  <c r="BI818" i="8"/>
  <c r="BH818" i="8"/>
  <c r="BG818" i="8"/>
  <c r="BF818" i="8"/>
  <c r="BE818" i="8"/>
  <c r="BD818" i="8"/>
  <c r="BC818" i="8"/>
  <c r="BB818" i="8"/>
  <c r="BA818" i="8"/>
  <c r="AZ818" i="8"/>
  <c r="AY818" i="8"/>
  <c r="AX818" i="8"/>
  <c r="AW818" i="8"/>
  <c r="AV818" i="8"/>
  <c r="AU818" i="8"/>
  <c r="L818" i="8"/>
  <c r="K818" i="8"/>
  <c r="J818" i="8"/>
  <c r="H818" i="8"/>
  <c r="G818" i="8"/>
  <c r="F818" i="8"/>
  <c r="E818" i="8"/>
  <c r="D818" i="8"/>
  <c r="C818" i="8"/>
  <c r="B818" i="8"/>
  <c r="BJ817" i="8"/>
  <c r="BI817" i="8"/>
  <c r="BH817" i="8"/>
  <c r="BG817" i="8"/>
  <c r="BF817" i="8"/>
  <c r="BE817" i="8"/>
  <c r="BD817" i="8"/>
  <c r="BC817" i="8"/>
  <c r="BB817" i="8"/>
  <c r="BA817" i="8"/>
  <c r="AZ817" i="8"/>
  <c r="AY817" i="8"/>
  <c r="AX817" i="8"/>
  <c r="AW817" i="8"/>
  <c r="AV817" i="8"/>
  <c r="AU817" i="8"/>
  <c r="L817" i="8"/>
  <c r="K817" i="8"/>
  <c r="J817" i="8"/>
  <c r="H817" i="8"/>
  <c r="G817" i="8"/>
  <c r="F817" i="8"/>
  <c r="E817" i="8"/>
  <c r="D817" i="8"/>
  <c r="C817" i="8"/>
  <c r="B817" i="8"/>
  <c r="BJ816" i="8"/>
  <c r="BI816" i="8"/>
  <c r="BH816" i="8"/>
  <c r="BG816" i="8"/>
  <c r="BF816" i="8"/>
  <c r="BE816" i="8"/>
  <c r="BD816" i="8"/>
  <c r="BC816" i="8"/>
  <c r="BB816" i="8"/>
  <c r="BA816" i="8"/>
  <c r="AZ816" i="8"/>
  <c r="AY816" i="8"/>
  <c r="AX816" i="8"/>
  <c r="AW816" i="8"/>
  <c r="AV816" i="8"/>
  <c r="AU816" i="8"/>
  <c r="L816" i="8"/>
  <c r="K816" i="8"/>
  <c r="J816" i="8"/>
  <c r="H816" i="8"/>
  <c r="G816" i="8"/>
  <c r="F816" i="8"/>
  <c r="E816" i="8"/>
  <c r="D816" i="8"/>
  <c r="C816" i="8"/>
  <c r="B816" i="8"/>
  <c r="BJ815" i="8"/>
  <c r="BI815" i="8"/>
  <c r="BH815" i="8"/>
  <c r="BG815" i="8"/>
  <c r="BF815" i="8"/>
  <c r="BE815" i="8"/>
  <c r="BD815" i="8"/>
  <c r="BC815" i="8"/>
  <c r="BB815" i="8"/>
  <c r="BA815" i="8"/>
  <c r="AZ815" i="8"/>
  <c r="AY815" i="8"/>
  <c r="AX815" i="8"/>
  <c r="AW815" i="8"/>
  <c r="AV815" i="8"/>
  <c r="AU815" i="8"/>
  <c r="L815" i="8"/>
  <c r="K815" i="8"/>
  <c r="J815" i="8"/>
  <c r="H815" i="8"/>
  <c r="G815" i="8"/>
  <c r="F815" i="8"/>
  <c r="E815" i="8"/>
  <c r="D815" i="8"/>
  <c r="C815" i="8"/>
  <c r="B815" i="8"/>
  <c r="BJ814" i="8"/>
  <c r="BI814" i="8"/>
  <c r="BH814" i="8"/>
  <c r="BG814" i="8"/>
  <c r="BF814" i="8"/>
  <c r="BE814" i="8"/>
  <c r="BD814" i="8"/>
  <c r="BC814" i="8"/>
  <c r="BB814" i="8"/>
  <c r="BA814" i="8"/>
  <c r="AZ814" i="8"/>
  <c r="AY814" i="8"/>
  <c r="AX814" i="8"/>
  <c r="AW814" i="8"/>
  <c r="AV814" i="8"/>
  <c r="AU814" i="8"/>
  <c r="L814" i="8"/>
  <c r="K814" i="8"/>
  <c r="J814" i="8"/>
  <c r="H814" i="8"/>
  <c r="G814" i="8"/>
  <c r="F814" i="8"/>
  <c r="E814" i="8"/>
  <c r="D814" i="8"/>
  <c r="C814" i="8"/>
  <c r="B814" i="8"/>
  <c r="BJ813" i="8"/>
  <c r="BI813" i="8"/>
  <c r="BH813" i="8"/>
  <c r="BG813" i="8"/>
  <c r="BF813" i="8"/>
  <c r="BE813" i="8"/>
  <c r="BD813" i="8"/>
  <c r="BC813" i="8"/>
  <c r="BB813" i="8"/>
  <c r="BA813" i="8"/>
  <c r="AZ813" i="8"/>
  <c r="AY813" i="8"/>
  <c r="AX813" i="8"/>
  <c r="AW813" i="8"/>
  <c r="AV813" i="8"/>
  <c r="AU813" i="8"/>
  <c r="L813" i="8"/>
  <c r="K813" i="8"/>
  <c r="J813" i="8"/>
  <c r="H813" i="8"/>
  <c r="G813" i="8"/>
  <c r="F813" i="8"/>
  <c r="E813" i="8"/>
  <c r="D813" i="8"/>
  <c r="C813" i="8"/>
  <c r="B813" i="8"/>
  <c r="BJ812" i="8"/>
  <c r="BI812" i="8"/>
  <c r="BH812" i="8"/>
  <c r="BG812" i="8"/>
  <c r="BF812" i="8"/>
  <c r="BE812" i="8"/>
  <c r="BD812" i="8"/>
  <c r="BC812" i="8"/>
  <c r="BB812" i="8"/>
  <c r="BA812" i="8"/>
  <c r="AZ812" i="8"/>
  <c r="AY812" i="8"/>
  <c r="AX812" i="8"/>
  <c r="AW812" i="8"/>
  <c r="AV812" i="8"/>
  <c r="AU812" i="8"/>
  <c r="L812" i="8"/>
  <c r="K812" i="8"/>
  <c r="J812" i="8"/>
  <c r="H812" i="8"/>
  <c r="G812" i="8"/>
  <c r="F812" i="8"/>
  <c r="E812" i="8"/>
  <c r="D812" i="8"/>
  <c r="C812" i="8"/>
  <c r="B812" i="8"/>
  <c r="BJ811" i="8"/>
  <c r="BI811" i="8"/>
  <c r="BH811" i="8"/>
  <c r="BG811" i="8"/>
  <c r="BF811" i="8"/>
  <c r="BE811" i="8"/>
  <c r="BD811" i="8"/>
  <c r="BC811" i="8"/>
  <c r="BB811" i="8"/>
  <c r="BA811" i="8"/>
  <c r="AZ811" i="8"/>
  <c r="AY811" i="8"/>
  <c r="AX811" i="8"/>
  <c r="AW811" i="8"/>
  <c r="AV811" i="8"/>
  <c r="AU811" i="8"/>
  <c r="S811" i="8"/>
  <c r="R811" i="8"/>
  <c r="Q811" i="8"/>
  <c r="P811" i="8"/>
  <c r="O811" i="8"/>
  <c r="N811" i="8"/>
  <c r="M811" i="8"/>
  <c r="L811" i="8"/>
  <c r="K811" i="8"/>
  <c r="J811" i="8"/>
  <c r="H811" i="8"/>
  <c r="G811" i="8"/>
  <c r="F811" i="8"/>
  <c r="E811" i="8"/>
  <c r="D811" i="8"/>
  <c r="C811" i="8"/>
  <c r="B811" i="8"/>
  <c r="BJ810" i="8"/>
  <c r="BI810" i="8"/>
  <c r="BH810" i="8"/>
  <c r="BG810" i="8"/>
  <c r="BF810" i="8"/>
  <c r="BE810" i="8"/>
  <c r="BD810" i="8"/>
  <c r="BC810" i="8"/>
  <c r="BB810" i="8"/>
  <c r="BA810" i="8"/>
  <c r="AZ810" i="8"/>
  <c r="AY810" i="8"/>
  <c r="AX810" i="8"/>
  <c r="AW810" i="8"/>
  <c r="AV810" i="8"/>
  <c r="AU810" i="8"/>
  <c r="L810" i="8"/>
  <c r="K810" i="8"/>
  <c r="J810" i="8"/>
  <c r="H810" i="8"/>
  <c r="G810" i="8"/>
  <c r="F810" i="8"/>
  <c r="E810" i="8"/>
  <c r="D810" i="8"/>
  <c r="C810" i="8"/>
  <c r="B810" i="8"/>
  <c r="BJ809" i="8"/>
  <c r="BI809" i="8"/>
  <c r="BH809" i="8"/>
  <c r="BG809" i="8"/>
  <c r="BF809" i="8"/>
  <c r="BE809" i="8"/>
  <c r="BD809" i="8"/>
  <c r="BC809" i="8"/>
  <c r="BB809" i="8"/>
  <c r="BA809" i="8"/>
  <c r="AZ809" i="8"/>
  <c r="AY809" i="8"/>
  <c r="AX809" i="8"/>
  <c r="AW809" i="8"/>
  <c r="AV809" i="8"/>
  <c r="AU809" i="8"/>
  <c r="L809" i="8"/>
  <c r="K809" i="8"/>
  <c r="J809" i="8"/>
  <c r="H809" i="8"/>
  <c r="G809" i="8"/>
  <c r="F809" i="8"/>
  <c r="E809" i="8"/>
  <c r="D809" i="8"/>
  <c r="C809" i="8"/>
  <c r="B809" i="8"/>
  <c r="BJ808" i="8"/>
  <c r="BI808" i="8"/>
  <c r="BH808" i="8"/>
  <c r="BG808" i="8"/>
  <c r="BF808" i="8"/>
  <c r="BE808" i="8"/>
  <c r="BD808" i="8"/>
  <c r="BC808" i="8"/>
  <c r="BB808" i="8"/>
  <c r="BA808" i="8"/>
  <c r="AZ808" i="8"/>
  <c r="AY808" i="8"/>
  <c r="AX808" i="8"/>
  <c r="AW808" i="8"/>
  <c r="AV808" i="8"/>
  <c r="AU808" i="8"/>
  <c r="L808" i="8"/>
  <c r="K808" i="8"/>
  <c r="J808" i="8"/>
  <c r="H808" i="8"/>
  <c r="G808" i="8"/>
  <c r="F808" i="8"/>
  <c r="E808" i="8"/>
  <c r="D808" i="8"/>
  <c r="C808" i="8"/>
  <c r="B808" i="8"/>
  <c r="BJ807" i="8"/>
  <c r="BI807" i="8"/>
  <c r="BH807" i="8"/>
  <c r="BG807" i="8"/>
  <c r="BF807" i="8"/>
  <c r="BE807" i="8"/>
  <c r="BD807" i="8"/>
  <c r="BC807" i="8"/>
  <c r="BB807" i="8"/>
  <c r="BA807" i="8"/>
  <c r="AZ807" i="8"/>
  <c r="AY807" i="8"/>
  <c r="AX807" i="8"/>
  <c r="AW807" i="8"/>
  <c r="AV807" i="8"/>
  <c r="AU807" i="8"/>
  <c r="U807" i="8"/>
  <c r="T807" i="8"/>
  <c r="S807" i="8"/>
  <c r="R807" i="8"/>
  <c r="Q807" i="8"/>
  <c r="P807" i="8"/>
  <c r="O807" i="8"/>
  <c r="N807" i="8"/>
  <c r="M807" i="8"/>
  <c r="L807" i="8"/>
  <c r="K807" i="8"/>
  <c r="J807" i="8"/>
  <c r="H807" i="8"/>
  <c r="G807" i="8"/>
  <c r="F807" i="8"/>
  <c r="E807" i="8"/>
  <c r="D807" i="8"/>
  <c r="C807" i="8"/>
  <c r="B807" i="8"/>
  <c r="BJ806" i="8"/>
  <c r="BI806" i="8"/>
  <c r="BH806" i="8"/>
  <c r="BG806" i="8"/>
  <c r="BF806" i="8"/>
  <c r="BE806" i="8"/>
  <c r="BD806" i="8"/>
  <c r="BC806" i="8"/>
  <c r="BB806" i="8"/>
  <c r="BA806" i="8"/>
  <c r="AZ806" i="8"/>
  <c r="AY806" i="8"/>
  <c r="AX806" i="8"/>
  <c r="AW806" i="8"/>
  <c r="AV806" i="8"/>
  <c r="AU806" i="8"/>
  <c r="L806" i="8"/>
  <c r="K806" i="8"/>
  <c r="J806" i="8"/>
  <c r="H806" i="8"/>
  <c r="G806" i="8"/>
  <c r="F806" i="8"/>
  <c r="E806" i="8"/>
  <c r="D806" i="8"/>
  <c r="C806" i="8"/>
  <c r="B806" i="8"/>
  <c r="BJ805" i="8"/>
  <c r="BI805" i="8"/>
  <c r="BH805" i="8"/>
  <c r="BG805" i="8"/>
  <c r="BF805" i="8"/>
  <c r="BE805" i="8"/>
  <c r="BD805" i="8"/>
  <c r="BC805" i="8"/>
  <c r="BB805" i="8"/>
  <c r="BA805" i="8"/>
  <c r="AZ805" i="8"/>
  <c r="AY805" i="8"/>
  <c r="AX805" i="8"/>
  <c r="AW805" i="8"/>
  <c r="AV805" i="8"/>
  <c r="AU805" i="8"/>
  <c r="U805" i="8"/>
  <c r="S805" i="8"/>
  <c r="R805" i="8"/>
  <c r="Q805" i="8"/>
  <c r="P805" i="8"/>
  <c r="O805" i="8"/>
  <c r="N805" i="8"/>
  <c r="M805" i="8"/>
  <c r="L805" i="8"/>
  <c r="K805" i="8"/>
  <c r="J805" i="8"/>
  <c r="I805" i="8"/>
  <c r="H805" i="8"/>
  <c r="G805" i="8"/>
  <c r="F805" i="8"/>
  <c r="E805" i="8"/>
  <c r="D805" i="8"/>
  <c r="C805" i="8"/>
  <c r="B805" i="8"/>
  <c r="BJ804" i="8"/>
  <c r="BI804" i="8"/>
  <c r="BH804" i="8"/>
  <c r="BG804" i="8"/>
  <c r="BF804" i="8"/>
  <c r="BE804" i="8"/>
  <c r="BD804" i="8"/>
  <c r="BC804" i="8"/>
  <c r="BB804" i="8"/>
  <c r="BA804" i="8"/>
  <c r="AZ804" i="8"/>
  <c r="AY804" i="8"/>
  <c r="AX804" i="8"/>
  <c r="AW804" i="8"/>
  <c r="AV804" i="8"/>
  <c r="AU804" i="8"/>
  <c r="U804" i="8"/>
  <c r="L804" i="8"/>
  <c r="K804" i="8"/>
  <c r="J804" i="8"/>
  <c r="H804" i="8"/>
  <c r="G804" i="8"/>
  <c r="F804" i="8"/>
  <c r="E804" i="8"/>
  <c r="D804" i="8"/>
  <c r="C804" i="8"/>
  <c r="B804" i="8"/>
  <c r="BJ803" i="8"/>
  <c r="BI803" i="8"/>
  <c r="BH803" i="8"/>
  <c r="BG803" i="8"/>
  <c r="BF803" i="8"/>
  <c r="BE803" i="8"/>
  <c r="BD803" i="8"/>
  <c r="BC803" i="8"/>
  <c r="BB803" i="8"/>
  <c r="BA803" i="8"/>
  <c r="AZ803" i="8"/>
  <c r="AY803" i="8"/>
  <c r="AX803" i="8"/>
  <c r="AW803" i="8"/>
  <c r="AV803" i="8"/>
  <c r="AU803" i="8"/>
  <c r="U803" i="8"/>
  <c r="L803" i="8"/>
  <c r="K803" i="8"/>
  <c r="J803" i="8"/>
  <c r="I803" i="8"/>
  <c r="H803" i="8"/>
  <c r="G803" i="8"/>
  <c r="F803" i="8"/>
  <c r="E803" i="8"/>
  <c r="D803" i="8"/>
  <c r="C803" i="8"/>
  <c r="B803" i="8"/>
  <c r="BJ802" i="8"/>
  <c r="BI802" i="8"/>
  <c r="BH802" i="8"/>
  <c r="BG802" i="8"/>
  <c r="BF802" i="8"/>
  <c r="BE802" i="8"/>
  <c r="BD802" i="8"/>
  <c r="BC802" i="8"/>
  <c r="BB802" i="8"/>
  <c r="BA802" i="8"/>
  <c r="AZ802" i="8"/>
  <c r="AY802" i="8"/>
  <c r="AX802" i="8"/>
  <c r="AW802" i="8"/>
  <c r="AV802" i="8"/>
  <c r="AU802" i="8"/>
  <c r="U802" i="8"/>
  <c r="S802" i="8"/>
  <c r="R802" i="8"/>
  <c r="Q802" i="8"/>
  <c r="P802" i="8"/>
  <c r="O802" i="8"/>
  <c r="N802" i="8"/>
  <c r="M802" i="8"/>
  <c r="L802" i="8"/>
  <c r="K802" i="8"/>
  <c r="J802" i="8"/>
  <c r="I802" i="8"/>
  <c r="H802" i="8"/>
  <c r="G802" i="8"/>
  <c r="F802" i="8"/>
  <c r="E802" i="8"/>
  <c r="D802" i="8"/>
  <c r="C802" i="8"/>
  <c r="B802" i="8"/>
  <c r="BJ801" i="8"/>
  <c r="BI801" i="8"/>
  <c r="BH801" i="8"/>
  <c r="BG801" i="8"/>
  <c r="BF801" i="8"/>
  <c r="BE801" i="8"/>
  <c r="BD801" i="8"/>
  <c r="BC801" i="8"/>
  <c r="BB801" i="8"/>
  <c r="BA801" i="8"/>
  <c r="AZ801" i="8"/>
  <c r="AY801" i="8"/>
  <c r="AX801" i="8"/>
  <c r="AW801" i="8"/>
  <c r="AV801" i="8"/>
  <c r="AU801" i="8"/>
  <c r="U801" i="8"/>
  <c r="S801" i="8"/>
  <c r="R801" i="8"/>
  <c r="Q801" i="8"/>
  <c r="P801" i="8"/>
  <c r="O801" i="8"/>
  <c r="N801" i="8"/>
  <c r="M801" i="8"/>
  <c r="L801" i="8"/>
  <c r="K801" i="8"/>
  <c r="J801" i="8"/>
  <c r="I801" i="8"/>
  <c r="H801" i="8"/>
  <c r="G801" i="8"/>
  <c r="F801" i="8"/>
  <c r="E801" i="8"/>
  <c r="D801" i="8"/>
  <c r="C801" i="8"/>
  <c r="B801" i="8"/>
  <c r="BJ800" i="8"/>
  <c r="BI800" i="8"/>
  <c r="BH800" i="8"/>
  <c r="BG800" i="8"/>
  <c r="BF800" i="8"/>
  <c r="BE800" i="8"/>
  <c r="BD800" i="8"/>
  <c r="BC800" i="8"/>
  <c r="BB800" i="8"/>
  <c r="BA800" i="8"/>
  <c r="AZ800" i="8"/>
  <c r="AY800" i="8"/>
  <c r="AX800" i="8"/>
  <c r="AW800" i="8"/>
  <c r="AV800" i="8"/>
  <c r="AU800" i="8"/>
  <c r="V800" i="8"/>
  <c r="T800" i="8"/>
  <c r="S800" i="8"/>
  <c r="R800" i="8"/>
  <c r="M800" i="8"/>
  <c r="L800" i="8"/>
  <c r="K800" i="8"/>
  <c r="J800" i="8"/>
  <c r="I800" i="8"/>
  <c r="H800" i="8"/>
  <c r="G800" i="8"/>
  <c r="F800" i="8"/>
  <c r="E800" i="8"/>
  <c r="D800" i="8"/>
  <c r="C800" i="8"/>
  <c r="B800" i="8"/>
  <c r="BJ799" i="8"/>
  <c r="BI799" i="8"/>
  <c r="BH799" i="8"/>
  <c r="BG799" i="8"/>
  <c r="BF799" i="8"/>
  <c r="BE799" i="8"/>
  <c r="BD799" i="8"/>
  <c r="BC799" i="8"/>
  <c r="BB799" i="8"/>
  <c r="BA799" i="8"/>
  <c r="AZ799" i="8"/>
  <c r="AY799" i="8"/>
  <c r="AX799" i="8"/>
  <c r="AW799" i="8"/>
  <c r="AV799" i="8"/>
  <c r="AU799" i="8"/>
  <c r="U799" i="8"/>
  <c r="L799" i="8"/>
  <c r="K799" i="8"/>
  <c r="J799" i="8"/>
  <c r="I799" i="8"/>
  <c r="H799" i="8"/>
  <c r="G799" i="8"/>
  <c r="F799" i="8"/>
  <c r="E799" i="8"/>
  <c r="D799" i="8"/>
  <c r="C799" i="8"/>
  <c r="B799" i="8"/>
  <c r="BJ798" i="8"/>
  <c r="BI798" i="8"/>
  <c r="BH798" i="8"/>
  <c r="BG798" i="8"/>
  <c r="BF798" i="8"/>
  <c r="BE798" i="8"/>
  <c r="BD798" i="8"/>
  <c r="BC798" i="8"/>
  <c r="BB798" i="8"/>
  <c r="BA798" i="8"/>
  <c r="AZ798" i="8"/>
  <c r="AY798" i="8"/>
  <c r="AX798" i="8"/>
  <c r="AW798" i="8"/>
  <c r="AV798" i="8"/>
  <c r="AU798" i="8"/>
  <c r="V798" i="8"/>
  <c r="U798" i="8"/>
  <c r="T798" i="8"/>
  <c r="S798" i="8"/>
  <c r="R798" i="8"/>
  <c r="M798" i="8"/>
  <c r="L798" i="8"/>
  <c r="K798" i="8"/>
  <c r="J798" i="8"/>
  <c r="I798" i="8"/>
  <c r="H798" i="8"/>
  <c r="G798" i="8"/>
  <c r="F798" i="8"/>
  <c r="E798" i="8"/>
  <c r="D798" i="8"/>
  <c r="C798" i="8"/>
  <c r="B798" i="8"/>
  <c r="BJ797" i="8"/>
  <c r="BI797" i="8"/>
  <c r="BH797" i="8"/>
  <c r="BG797" i="8"/>
  <c r="BF797" i="8"/>
  <c r="BE797" i="8"/>
  <c r="BD797" i="8"/>
  <c r="BC797" i="8"/>
  <c r="BB797" i="8"/>
  <c r="BA797" i="8"/>
  <c r="AZ797" i="8"/>
  <c r="AY797" i="8"/>
  <c r="AX797" i="8"/>
  <c r="AW797" i="8"/>
  <c r="AV797" i="8"/>
  <c r="AU797" i="8"/>
  <c r="V797" i="8"/>
  <c r="U797" i="8"/>
  <c r="T797" i="8"/>
  <c r="S797" i="8"/>
  <c r="R797" i="8"/>
  <c r="Q797" i="8"/>
  <c r="P797" i="8"/>
  <c r="O797" i="8"/>
  <c r="N797" i="8"/>
  <c r="M797" i="8"/>
  <c r="L797" i="8"/>
  <c r="H797" i="8"/>
  <c r="G797" i="8"/>
  <c r="F797" i="8"/>
  <c r="E797" i="8"/>
  <c r="D797" i="8"/>
  <c r="C797" i="8"/>
  <c r="B797" i="8"/>
  <c r="BJ796" i="8"/>
  <c r="BI796" i="8"/>
  <c r="BH796" i="8"/>
  <c r="BG796" i="8"/>
  <c r="BF796" i="8"/>
  <c r="BE796" i="8"/>
  <c r="BD796" i="8"/>
  <c r="BC796" i="8"/>
  <c r="BB796" i="8"/>
  <c r="BA796" i="8"/>
  <c r="AZ796" i="8"/>
  <c r="AY796" i="8"/>
  <c r="AX796" i="8"/>
  <c r="AW796" i="8"/>
  <c r="AV796" i="8"/>
  <c r="AU796" i="8"/>
  <c r="U796" i="8"/>
  <c r="M796" i="8"/>
  <c r="L796" i="8"/>
  <c r="K796" i="8"/>
  <c r="J796" i="8"/>
  <c r="I796" i="8"/>
  <c r="H796" i="8"/>
  <c r="G796" i="8"/>
  <c r="F796" i="8"/>
  <c r="E796" i="8"/>
  <c r="D796" i="8"/>
  <c r="C796" i="8"/>
  <c r="B796" i="8"/>
  <c r="BJ795" i="8"/>
  <c r="BI795" i="8"/>
  <c r="BH795" i="8"/>
  <c r="BG795" i="8"/>
  <c r="BF795" i="8"/>
  <c r="BE795" i="8"/>
  <c r="BD795" i="8"/>
  <c r="BC795" i="8"/>
  <c r="BB795" i="8"/>
  <c r="BA795" i="8"/>
  <c r="AZ795" i="8"/>
  <c r="AY795" i="8"/>
  <c r="AX795" i="8"/>
  <c r="AW795" i="8"/>
  <c r="AV795" i="8"/>
  <c r="AU795" i="8"/>
  <c r="V795" i="8"/>
  <c r="U795" i="8"/>
  <c r="S795" i="8"/>
  <c r="R795" i="8"/>
  <c r="M795" i="8"/>
  <c r="L795" i="8"/>
  <c r="K795" i="8"/>
  <c r="J795" i="8"/>
  <c r="H795" i="8"/>
  <c r="G795" i="8"/>
  <c r="F795" i="8"/>
  <c r="E795" i="8"/>
  <c r="D795" i="8"/>
  <c r="C795" i="8"/>
  <c r="B795" i="8"/>
  <c r="BJ794" i="8"/>
  <c r="BI794" i="8"/>
  <c r="BH794" i="8"/>
  <c r="BG794" i="8"/>
  <c r="BF794" i="8"/>
  <c r="BE794" i="8"/>
  <c r="BD794" i="8"/>
  <c r="BC794" i="8"/>
  <c r="BB794" i="8"/>
  <c r="BA794" i="8"/>
  <c r="AZ794" i="8"/>
  <c r="AY794" i="8"/>
  <c r="AX794" i="8"/>
  <c r="AW794" i="8"/>
  <c r="AV794" i="8"/>
  <c r="AU794" i="8"/>
  <c r="V794" i="8"/>
  <c r="U794" i="8"/>
  <c r="S794" i="8"/>
  <c r="R794" i="8"/>
  <c r="M794" i="8"/>
  <c r="L794" i="8"/>
  <c r="K794" i="8"/>
  <c r="J794" i="8"/>
  <c r="H794" i="8"/>
  <c r="G794" i="8"/>
  <c r="F794" i="8"/>
  <c r="E794" i="8"/>
  <c r="D794" i="8"/>
  <c r="C794" i="8"/>
  <c r="B794" i="8"/>
  <c r="BJ793" i="8"/>
  <c r="BI793" i="8"/>
  <c r="BH793" i="8"/>
  <c r="BG793" i="8"/>
  <c r="BF793" i="8"/>
  <c r="BE793" i="8"/>
  <c r="BD793" i="8"/>
  <c r="BC793" i="8"/>
  <c r="BB793" i="8"/>
  <c r="BA793" i="8"/>
  <c r="AZ793" i="8"/>
  <c r="AY793" i="8"/>
  <c r="AX793" i="8"/>
  <c r="AW793" i="8"/>
  <c r="AV793" i="8"/>
  <c r="AU793" i="8"/>
  <c r="U793" i="8"/>
  <c r="L793" i="8"/>
  <c r="H793" i="8"/>
  <c r="G793" i="8"/>
  <c r="F793" i="8"/>
  <c r="E793" i="8"/>
  <c r="D793" i="8"/>
  <c r="C793" i="8"/>
  <c r="B793" i="8"/>
  <c r="BJ792" i="8"/>
  <c r="BI792" i="8"/>
  <c r="BH792" i="8"/>
  <c r="BG792" i="8"/>
  <c r="BF792" i="8"/>
  <c r="BE792" i="8"/>
  <c r="BD792" i="8"/>
  <c r="BC792" i="8"/>
  <c r="BB792" i="8"/>
  <c r="BA792" i="8"/>
  <c r="AZ792" i="8"/>
  <c r="AY792" i="8"/>
  <c r="AX792" i="8"/>
  <c r="AW792" i="8"/>
  <c r="AV792" i="8"/>
  <c r="AU792" i="8"/>
  <c r="U792" i="8"/>
  <c r="S792" i="8"/>
  <c r="R792" i="8"/>
  <c r="M792" i="8"/>
  <c r="L792" i="8"/>
  <c r="K792" i="8"/>
  <c r="J792" i="8"/>
  <c r="H792" i="8"/>
  <c r="G792" i="8"/>
  <c r="F792" i="8"/>
  <c r="E792" i="8"/>
  <c r="D792" i="8"/>
  <c r="C792" i="8"/>
  <c r="B792" i="8"/>
  <c r="BJ791" i="8"/>
  <c r="BI791" i="8"/>
  <c r="BH791" i="8"/>
  <c r="BG791" i="8"/>
  <c r="BF791" i="8"/>
  <c r="BE791" i="8"/>
  <c r="BD791" i="8"/>
  <c r="BC791" i="8"/>
  <c r="BB791" i="8"/>
  <c r="BA791" i="8"/>
  <c r="AZ791" i="8"/>
  <c r="AY791" i="8"/>
  <c r="AX791" i="8"/>
  <c r="AW791" i="8"/>
  <c r="AV791" i="8"/>
  <c r="AU791" i="8"/>
  <c r="U791" i="8"/>
  <c r="L791" i="8"/>
  <c r="H791" i="8"/>
  <c r="G791" i="8"/>
  <c r="F791" i="8"/>
  <c r="E791" i="8"/>
  <c r="D791" i="8"/>
  <c r="C791" i="8"/>
  <c r="B791" i="8"/>
  <c r="BJ790" i="8"/>
  <c r="BI790" i="8"/>
  <c r="BH790" i="8"/>
  <c r="BG790" i="8"/>
  <c r="BF790" i="8"/>
  <c r="BE790" i="8"/>
  <c r="BD790" i="8"/>
  <c r="BC790" i="8"/>
  <c r="BB790" i="8"/>
  <c r="BA790" i="8"/>
  <c r="AZ790" i="8"/>
  <c r="AY790" i="8"/>
  <c r="AX790" i="8"/>
  <c r="AW790" i="8"/>
  <c r="AV790" i="8"/>
  <c r="AU790" i="8"/>
  <c r="U790" i="8"/>
  <c r="L790" i="8"/>
  <c r="H790" i="8"/>
  <c r="G790" i="8"/>
  <c r="F790" i="8"/>
  <c r="E790" i="8"/>
  <c r="D790" i="8"/>
  <c r="C790" i="8"/>
  <c r="B790" i="8"/>
  <c r="BJ789" i="8"/>
  <c r="BI789" i="8"/>
  <c r="BH789" i="8"/>
  <c r="BG789" i="8"/>
  <c r="BF789" i="8"/>
  <c r="BE789" i="8"/>
  <c r="BD789" i="8"/>
  <c r="BC789" i="8"/>
  <c r="BB789" i="8"/>
  <c r="BA789" i="8"/>
  <c r="AZ789" i="8"/>
  <c r="AY789" i="8"/>
  <c r="AX789" i="8"/>
  <c r="AW789" i="8"/>
  <c r="AV789" i="8"/>
  <c r="AU789" i="8"/>
  <c r="U789" i="8"/>
  <c r="L789" i="8"/>
  <c r="H789" i="8"/>
  <c r="G789" i="8"/>
  <c r="F789" i="8"/>
  <c r="E789" i="8"/>
  <c r="D789" i="8"/>
  <c r="C789" i="8"/>
  <c r="B789" i="8"/>
  <c r="BJ788" i="8"/>
  <c r="BI788" i="8"/>
  <c r="BH788" i="8"/>
  <c r="BG788" i="8"/>
  <c r="BF788" i="8"/>
  <c r="BE788" i="8"/>
  <c r="BD788" i="8"/>
  <c r="BC788" i="8"/>
  <c r="BB788" i="8"/>
  <c r="BA788" i="8"/>
  <c r="AZ788" i="8"/>
  <c r="AY788" i="8"/>
  <c r="AX788" i="8"/>
  <c r="AW788" i="8"/>
  <c r="AV788" i="8"/>
  <c r="AU788" i="8"/>
  <c r="U788" i="8"/>
  <c r="T788" i="8"/>
  <c r="S788" i="8"/>
  <c r="R788" i="8"/>
  <c r="Q788" i="8"/>
  <c r="P788" i="8"/>
  <c r="N788" i="8"/>
  <c r="M788" i="8"/>
  <c r="L788" i="8"/>
  <c r="J788" i="8"/>
  <c r="H788" i="8"/>
  <c r="G788" i="8"/>
  <c r="F788" i="8"/>
  <c r="E788" i="8"/>
  <c r="D788" i="8"/>
  <c r="C788" i="8"/>
  <c r="B788" i="8"/>
  <c r="BJ787" i="8"/>
  <c r="BI787" i="8"/>
  <c r="BH787" i="8"/>
  <c r="BG787" i="8"/>
  <c r="BF787" i="8"/>
  <c r="BE787" i="8"/>
  <c r="BD787" i="8"/>
  <c r="BC787" i="8"/>
  <c r="BB787" i="8"/>
  <c r="BA787" i="8"/>
  <c r="AZ787" i="8"/>
  <c r="AY787" i="8"/>
  <c r="AX787" i="8"/>
  <c r="AW787" i="8"/>
  <c r="AV787" i="8"/>
  <c r="AU787" i="8"/>
  <c r="V787" i="8"/>
  <c r="U787" i="8"/>
  <c r="S787" i="8"/>
  <c r="R787" i="8"/>
  <c r="M787" i="8"/>
  <c r="L787" i="8"/>
  <c r="K787" i="8"/>
  <c r="J787" i="8"/>
  <c r="I787" i="8"/>
  <c r="H787" i="8"/>
  <c r="G787" i="8"/>
  <c r="F787" i="8"/>
  <c r="E787" i="8"/>
  <c r="D787" i="8"/>
  <c r="C787" i="8"/>
  <c r="B787" i="8"/>
  <c r="BJ786" i="8"/>
  <c r="BI786" i="8"/>
  <c r="BH786" i="8"/>
  <c r="BG786" i="8"/>
  <c r="BF786" i="8"/>
  <c r="BE786" i="8"/>
  <c r="BD786" i="8"/>
  <c r="BC786" i="8"/>
  <c r="BB786" i="8"/>
  <c r="BA786" i="8"/>
  <c r="AZ786" i="8"/>
  <c r="AY786" i="8"/>
  <c r="AX786" i="8"/>
  <c r="AW786" i="8"/>
  <c r="AV786" i="8"/>
  <c r="AU786" i="8"/>
  <c r="V786" i="8"/>
  <c r="U786" i="8"/>
  <c r="T786" i="8"/>
  <c r="S786" i="8"/>
  <c r="R786" i="8"/>
  <c r="Q786" i="8"/>
  <c r="P786" i="8"/>
  <c r="O786" i="8"/>
  <c r="N786" i="8"/>
  <c r="M786" i="8"/>
  <c r="L786" i="8"/>
  <c r="H786" i="8"/>
  <c r="G786" i="8"/>
  <c r="F786" i="8"/>
  <c r="E786" i="8"/>
  <c r="D786" i="8"/>
  <c r="C786" i="8"/>
  <c r="B786" i="8"/>
  <c r="BJ785" i="8"/>
  <c r="BI785" i="8"/>
  <c r="BH785" i="8"/>
  <c r="BG785" i="8"/>
  <c r="BF785" i="8"/>
  <c r="BE785" i="8"/>
  <c r="BD785" i="8"/>
  <c r="BC785" i="8"/>
  <c r="BB785" i="8"/>
  <c r="BA785" i="8"/>
  <c r="AZ785" i="8"/>
  <c r="AY785" i="8"/>
  <c r="AX785" i="8"/>
  <c r="AW785" i="8"/>
  <c r="AV785" i="8"/>
  <c r="AU785" i="8"/>
  <c r="U785" i="8"/>
  <c r="S785" i="8"/>
  <c r="R785" i="8"/>
  <c r="M785" i="8"/>
  <c r="L785" i="8"/>
  <c r="K785" i="8"/>
  <c r="J785" i="8"/>
  <c r="I785" i="8"/>
  <c r="H785" i="8"/>
  <c r="G785" i="8"/>
  <c r="F785" i="8"/>
  <c r="E785" i="8"/>
  <c r="D785" i="8"/>
  <c r="C785" i="8"/>
  <c r="B785" i="8"/>
  <c r="BJ784" i="8"/>
  <c r="BI784" i="8"/>
  <c r="BH784" i="8"/>
  <c r="BG784" i="8"/>
  <c r="BF784" i="8"/>
  <c r="BE784" i="8"/>
  <c r="BD784" i="8"/>
  <c r="BC784" i="8"/>
  <c r="BB784" i="8"/>
  <c r="BA784" i="8"/>
  <c r="AZ784" i="8"/>
  <c r="AY784" i="8"/>
  <c r="AX784" i="8"/>
  <c r="AW784" i="8"/>
  <c r="AV784" i="8"/>
  <c r="AU784" i="8"/>
  <c r="U784" i="8"/>
  <c r="L784" i="8"/>
  <c r="H784" i="8"/>
  <c r="G784" i="8"/>
  <c r="F784" i="8"/>
  <c r="E784" i="8"/>
  <c r="D784" i="8"/>
  <c r="C784" i="8"/>
  <c r="B784" i="8"/>
  <c r="BJ783" i="8"/>
  <c r="BI783" i="8"/>
  <c r="BH783" i="8"/>
  <c r="BG783" i="8"/>
  <c r="BF783" i="8"/>
  <c r="BE783" i="8"/>
  <c r="BD783" i="8"/>
  <c r="BC783" i="8"/>
  <c r="BB783" i="8"/>
  <c r="BA783" i="8"/>
  <c r="AZ783" i="8"/>
  <c r="AY783" i="8"/>
  <c r="AX783" i="8"/>
  <c r="AW783" i="8"/>
  <c r="AV783" i="8"/>
  <c r="AU783" i="8"/>
  <c r="V783" i="8"/>
  <c r="S783" i="8"/>
  <c r="R783" i="8"/>
  <c r="Q783" i="8"/>
  <c r="P783" i="8"/>
  <c r="O783" i="8"/>
  <c r="N783" i="8"/>
  <c r="M783" i="8"/>
  <c r="L783" i="8"/>
  <c r="J783" i="8"/>
  <c r="I783" i="8"/>
  <c r="H783" i="8"/>
  <c r="G783" i="8"/>
  <c r="F783" i="8"/>
  <c r="E783" i="8"/>
  <c r="D783" i="8"/>
  <c r="C783" i="8"/>
  <c r="B783" i="8"/>
  <c r="BJ782" i="8"/>
  <c r="BI782" i="8"/>
  <c r="BH782" i="8"/>
  <c r="BG782" i="8"/>
  <c r="BF782" i="8"/>
  <c r="BE782" i="8"/>
  <c r="BD782" i="8"/>
  <c r="BC782" i="8"/>
  <c r="BB782" i="8"/>
  <c r="BA782" i="8"/>
  <c r="AZ782" i="8"/>
  <c r="AY782" i="8"/>
  <c r="AX782" i="8"/>
  <c r="AW782" i="8"/>
  <c r="AV782" i="8"/>
  <c r="AU782" i="8"/>
  <c r="V782" i="8"/>
  <c r="S782" i="8"/>
  <c r="R782" i="8"/>
  <c r="Q782" i="8"/>
  <c r="P782" i="8"/>
  <c r="O782" i="8"/>
  <c r="N782" i="8"/>
  <c r="M782" i="8"/>
  <c r="L782" i="8"/>
  <c r="K782" i="8"/>
  <c r="J782" i="8"/>
  <c r="I782" i="8"/>
  <c r="H782" i="8"/>
  <c r="G782" i="8"/>
  <c r="F782" i="8"/>
  <c r="E782" i="8"/>
  <c r="D782" i="8"/>
  <c r="C782" i="8"/>
  <c r="B782" i="8"/>
  <c r="BJ781" i="8"/>
  <c r="BI781" i="8"/>
  <c r="BH781" i="8"/>
  <c r="BG781" i="8"/>
  <c r="BF781" i="8"/>
  <c r="BE781" i="8"/>
  <c r="BD781" i="8"/>
  <c r="BC781" i="8"/>
  <c r="BB781" i="8"/>
  <c r="BA781" i="8"/>
  <c r="AZ781" i="8"/>
  <c r="AY781" i="8"/>
  <c r="AX781" i="8"/>
  <c r="AW781" i="8"/>
  <c r="AV781" i="8"/>
  <c r="AU781" i="8"/>
  <c r="U781" i="8"/>
  <c r="L781" i="8"/>
  <c r="H781" i="8"/>
  <c r="G781" i="8"/>
  <c r="F781" i="8"/>
  <c r="E781" i="8"/>
  <c r="D781" i="8"/>
  <c r="C781" i="8"/>
  <c r="B781" i="8"/>
  <c r="BJ780" i="8"/>
  <c r="BI780" i="8"/>
  <c r="BH780" i="8"/>
  <c r="BG780" i="8"/>
  <c r="BF780" i="8"/>
  <c r="BE780" i="8"/>
  <c r="BD780" i="8"/>
  <c r="BC780" i="8"/>
  <c r="BB780" i="8"/>
  <c r="BA780" i="8"/>
  <c r="AZ780" i="8"/>
  <c r="AY780" i="8"/>
  <c r="AX780" i="8"/>
  <c r="AW780" i="8"/>
  <c r="AV780" i="8"/>
  <c r="AU780" i="8"/>
  <c r="V780" i="8"/>
  <c r="S780" i="8"/>
  <c r="R780" i="8"/>
  <c r="Q780" i="8"/>
  <c r="P780" i="8"/>
  <c r="O780" i="8"/>
  <c r="N780" i="8"/>
  <c r="M780" i="8"/>
  <c r="L780" i="8"/>
  <c r="K780" i="8"/>
  <c r="J780" i="8"/>
  <c r="I780" i="8"/>
  <c r="H780" i="8"/>
  <c r="G780" i="8"/>
  <c r="F780" i="8"/>
  <c r="E780" i="8"/>
  <c r="D780" i="8"/>
  <c r="C780" i="8"/>
  <c r="B780" i="8"/>
  <c r="BJ779" i="8"/>
  <c r="BI779" i="8"/>
  <c r="BH779" i="8"/>
  <c r="BG779" i="8"/>
  <c r="BF779" i="8"/>
  <c r="BE779" i="8"/>
  <c r="BD779" i="8"/>
  <c r="BC779" i="8"/>
  <c r="BB779" i="8"/>
  <c r="BA779" i="8"/>
  <c r="AZ779" i="8"/>
  <c r="AY779" i="8"/>
  <c r="AX779" i="8"/>
  <c r="AW779" i="8"/>
  <c r="AV779" i="8"/>
  <c r="AU779" i="8"/>
  <c r="U779" i="8"/>
  <c r="L779" i="8"/>
  <c r="H779" i="8"/>
  <c r="G779" i="8"/>
  <c r="F779" i="8"/>
  <c r="E779" i="8"/>
  <c r="D779" i="8"/>
  <c r="C779" i="8"/>
  <c r="B779" i="8"/>
  <c r="BJ778" i="8"/>
  <c r="BI778" i="8"/>
  <c r="BH778" i="8"/>
  <c r="BG778" i="8"/>
  <c r="BF778" i="8"/>
  <c r="BE778" i="8"/>
  <c r="BD778" i="8"/>
  <c r="BC778" i="8"/>
  <c r="BB778" i="8"/>
  <c r="BA778" i="8"/>
  <c r="AZ778" i="8"/>
  <c r="AY778" i="8"/>
  <c r="AX778" i="8"/>
  <c r="AW778" i="8"/>
  <c r="AV778" i="8"/>
  <c r="AU778" i="8"/>
  <c r="U778" i="8"/>
  <c r="L778" i="8"/>
  <c r="H778" i="8"/>
  <c r="G778" i="8"/>
  <c r="F778" i="8"/>
  <c r="E778" i="8"/>
  <c r="D778" i="8"/>
  <c r="C778" i="8"/>
  <c r="B778" i="8"/>
  <c r="BJ777" i="8"/>
  <c r="BI777" i="8"/>
  <c r="BH777" i="8"/>
  <c r="BG777" i="8"/>
  <c r="BF777" i="8"/>
  <c r="BE777" i="8"/>
  <c r="BD777" i="8"/>
  <c r="BC777" i="8"/>
  <c r="BB777" i="8"/>
  <c r="BA777" i="8"/>
  <c r="AZ777" i="8"/>
  <c r="AY777" i="8"/>
  <c r="AX777" i="8"/>
  <c r="AW777" i="8"/>
  <c r="AV777" i="8"/>
  <c r="AU777" i="8"/>
  <c r="U777" i="8"/>
  <c r="L777" i="8"/>
  <c r="H777" i="8"/>
  <c r="G777" i="8"/>
  <c r="F777" i="8"/>
  <c r="E777" i="8"/>
  <c r="D777" i="8"/>
  <c r="C777" i="8"/>
  <c r="B777" i="8"/>
  <c r="BJ776" i="8"/>
  <c r="BI776" i="8"/>
  <c r="BH776" i="8"/>
  <c r="BG776" i="8"/>
  <c r="BF776" i="8"/>
  <c r="BE776" i="8"/>
  <c r="BD776" i="8"/>
  <c r="BC776" i="8"/>
  <c r="BB776" i="8"/>
  <c r="BA776" i="8"/>
  <c r="AZ776" i="8"/>
  <c r="AY776" i="8"/>
  <c r="AX776" i="8"/>
  <c r="AW776" i="8"/>
  <c r="AV776" i="8"/>
  <c r="AU776" i="8"/>
  <c r="U776" i="8"/>
  <c r="L776" i="8"/>
  <c r="H776" i="8"/>
  <c r="G776" i="8"/>
  <c r="F776" i="8"/>
  <c r="E776" i="8"/>
  <c r="D776" i="8"/>
  <c r="C776" i="8"/>
  <c r="B776" i="8"/>
  <c r="BJ775" i="8"/>
  <c r="BI775" i="8"/>
  <c r="BH775" i="8"/>
  <c r="BG775" i="8"/>
  <c r="BF775" i="8"/>
  <c r="BE775" i="8"/>
  <c r="BD775" i="8"/>
  <c r="BC775" i="8"/>
  <c r="BB775" i="8"/>
  <c r="BA775" i="8"/>
  <c r="AZ775" i="8"/>
  <c r="AY775" i="8"/>
  <c r="AX775" i="8"/>
  <c r="AW775" i="8"/>
  <c r="AV775" i="8"/>
  <c r="AU775" i="8"/>
  <c r="S775" i="8"/>
  <c r="Q775" i="8"/>
  <c r="P775" i="8"/>
  <c r="O775" i="8"/>
  <c r="N775" i="8"/>
  <c r="M775" i="8"/>
  <c r="L775" i="8"/>
  <c r="J775" i="8"/>
  <c r="I775" i="8"/>
  <c r="H775" i="8"/>
  <c r="G775" i="8"/>
  <c r="F775" i="8"/>
  <c r="E775" i="8"/>
  <c r="D775" i="8"/>
  <c r="C775" i="8"/>
  <c r="B775" i="8"/>
  <c r="BJ774" i="8"/>
  <c r="BI774" i="8"/>
  <c r="BH774" i="8"/>
  <c r="BG774" i="8"/>
  <c r="BF774" i="8"/>
  <c r="BE774" i="8"/>
  <c r="BD774" i="8"/>
  <c r="BC774" i="8"/>
  <c r="BB774" i="8"/>
  <c r="BA774" i="8"/>
  <c r="AZ774" i="8"/>
  <c r="AY774" i="8"/>
  <c r="AX774" i="8"/>
  <c r="AW774" i="8"/>
  <c r="AV774" i="8"/>
  <c r="AU774" i="8"/>
  <c r="U774" i="8"/>
  <c r="L774" i="8"/>
  <c r="H774" i="8"/>
  <c r="G774" i="8"/>
  <c r="F774" i="8"/>
  <c r="E774" i="8"/>
  <c r="D774" i="8"/>
  <c r="C774" i="8"/>
  <c r="B774" i="8"/>
  <c r="BJ773" i="8"/>
  <c r="BI773" i="8"/>
  <c r="BH773" i="8"/>
  <c r="BG773" i="8"/>
  <c r="BF773" i="8"/>
  <c r="BE773" i="8"/>
  <c r="BD773" i="8"/>
  <c r="BC773" i="8"/>
  <c r="BB773" i="8"/>
  <c r="BA773" i="8"/>
  <c r="AZ773" i="8"/>
  <c r="AY773" i="8"/>
  <c r="AX773" i="8"/>
  <c r="AW773" i="8"/>
  <c r="AV773" i="8"/>
  <c r="AU773" i="8"/>
  <c r="U773" i="8"/>
  <c r="L773" i="8"/>
  <c r="H773" i="8"/>
  <c r="G773" i="8"/>
  <c r="F773" i="8"/>
  <c r="E773" i="8"/>
  <c r="D773" i="8"/>
  <c r="C773" i="8"/>
  <c r="B773" i="8"/>
  <c r="BJ772" i="8"/>
  <c r="BI772" i="8"/>
  <c r="BH772" i="8"/>
  <c r="BG772" i="8"/>
  <c r="BF772" i="8"/>
  <c r="BE772" i="8"/>
  <c r="BD772" i="8"/>
  <c r="BC772" i="8"/>
  <c r="BB772" i="8"/>
  <c r="BA772" i="8"/>
  <c r="AZ772" i="8"/>
  <c r="AY772" i="8"/>
  <c r="AX772" i="8"/>
  <c r="AW772" i="8"/>
  <c r="AV772" i="8"/>
  <c r="AU772" i="8"/>
  <c r="U772" i="8"/>
  <c r="S772" i="8"/>
  <c r="R772" i="8"/>
  <c r="Q772" i="8"/>
  <c r="P772" i="8"/>
  <c r="N772" i="8"/>
  <c r="M772" i="8"/>
  <c r="L772" i="8"/>
  <c r="H772" i="8"/>
  <c r="G772" i="8"/>
  <c r="F772" i="8"/>
  <c r="E772" i="8"/>
  <c r="D772" i="8"/>
  <c r="C772" i="8"/>
  <c r="B772" i="8"/>
  <c r="BJ771" i="8"/>
  <c r="BI771" i="8"/>
  <c r="BH771" i="8"/>
  <c r="BG771" i="8"/>
  <c r="BF771" i="8"/>
  <c r="BE771" i="8"/>
  <c r="BD771" i="8"/>
  <c r="BC771" i="8"/>
  <c r="BB771" i="8"/>
  <c r="BA771" i="8"/>
  <c r="AZ771" i="8"/>
  <c r="AY771" i="8"/>
  <c r="AX771" i="8"/>
  <c r="AW771" i="8"/>
  <c r="AV771" i="8"/>
  <c r="AU771" i="8"/>
  <c r="U771" i="8"/>
  <c r="S771" i="8"/>
  <c r="R771" i="8"/>
  <c r="O771" i="8"/>
  <c r="N771" i="8"/>
  <c r="M771" i="8"/>
  <c r="L771" i="8"/>
  <c r="K771" i="8"/>
  <c r="J771" i="8"/>
  <c r="I771" i="8"/>
  <c r="H771" i="8"/>
  <c r="G771" i="8"/>
  <c r="F771" i="8"/>
  <c r="E771" i="8"/>
  <c r="D771" i="8"/>
  <c r="C771" i="8"/>
  <c r="B771" i="8"/>
  <c r="BJ770" i="8"/>
  <c r="BI770" i="8"/>
  <c r="BH770" i="8"/>
  <c r="BG770" i="8"/>
  <c r="BF770" i="8"/>
  <c r="BE770" i="8"/>
  <c r="BD770" i="8"/>
  <c r="BC770" i="8"/>
  <c r="BB770" i="8"/>
  <c r="BA770" i="8"/>
  <c r="AZ770" i="8"/>
  <c r="AY770" i="8"/>
  <c r="AX770" i="8"/>
  <c r="AW770" i="8"/>
  <c r="AV770" i="8"/>
  <c r="AU770" i="8"/>
  <c r="U770" i="8"/>
  <c r="S770" i="8"/>
  <c r="R770" i="8"/>
  <c r="N770" i="8"/>
  <c r="M770" i="8"/>
  <c r="L770" i="8"/>
  <c r="H770" i="8"/>
  <c r="G770" i="8"/>
  <c r="F770" i="8"/>
  <c r="E770" i="8"/>
  <c r="D770" i="8"/>
  <c r="C770" i="8"/>
  <c r="B770" i="8"/>
  <c r="BJ769" i="8"/>
  <c r="BI769" i="8"/>
  <c r="BH769" i="8"/>
  <c r="BG769" i="8"/>
  <c r="BF769" i="8"/>
  <c r="BE769" i="8"/>
  <c r="BD769" i="8"/>
  <c r="BC769" i="8"/>
  <c r="BB769" i="8"/>
  <c r="BA769" i="8"/>
  <c r="AZ769" i="8"/>
  <c r="AY769" i="8"/>
  <c r="AX769" i="8"/>
  <c r="AW769" i="8"/>
  <c r="AV769" i="8"/>
  <c r="AU769" i="8"/>
  <c r="U769" i="8"/>
  <c r="S769" i="8"/>
  <c r="R769" i="8"/>
  <c r="Q769" i="8"/>
  <c r="P769" i="8"/>
  <c r="O769" i="8"/>
  <c r="N769" i="8"/>
  <c r="M769" i="8"/>
  <c r="L769" i="8"/>
  <c r="K769" i="8"/>
  <c r="J769" i="8"/>
  <c r="I769" i="8"/>
  <c r="H769" i="8"/>
  <c r="G769" i="8"/>
  <c r="F769" i="8"/>
  <c r="E769" i="8"/>
  <c r="D769" i="8"/>
  <c r="C769" i="8"/>
  <c r="B769" i="8"/>
  <c r="BJ768" i="8"/>
  <c r="BI768" i="8"/>
  <c r="BH768" i="8"/>
  <c r="BG768" i="8"/>
  <c r="BF768" i="8"/>
  <c r="BE768" i="8"/>
  <c r="BD768" i="8"/>
  <c r="BC768" i="8"/>
  <c r="BB768" i="8"/>
  <c r="BA768" i="8"/>
  <c r="AZ768" i="8"/>
  <c r="AY768" i="8"/>
  <c r="AX768" i="8"/>
  <c r="AW768" i="8"/>
  <c r="AV768" i="8"/>
  <c r="AU768" i="8"/>
  <c r="U768" i="8"/>
  <c r="L768" i="8"/>
  <c r="H768" i="8"/>
  <c r="G768" i="8"/>
  <c r="F768" i="8"/>
  <c r="E768" i="8"/>
  <c r="D768" i="8"/>
  <c r="C768" i="8"/>
  <c r="B768" i="8"/>
  <c r="BJ767" i="8"/>
  <c r="BI767" i="8"/>
  <c r="BH767" i="8"/>
  <c r="BG767" i="8"/>
  <c r="BF767" i="8"/>
  <c r="BE767" i="8"/>
  <c r="BD767" i="8"/>
  <c r="BC767" i="8"/>
  <c r="BB767" i="8"/>
  <c r="BA767" i="8"/>
  <c r="AZ767" i="8"/>
  <c r="AY767" i="8"/>
  <c r="AX767" i="8"/>
  <c r="AW767" i="8"/>
  <c r="AV767" i="8"/>
  <c r="AU767" i="8"/>
  <c r="U767" i="8"/>
  <c r="S767" i="8"/>
  <c r="R767" i="8"/>
  <c r="P767" i="8"/>
  <c r="O767" i="8"/>
  <c r="N767" i="8"/>
  <c r="M767" i="8"/>
  <c r="L767" i="8"/>
  <c r="K767" i="8"/>
  <c r="J767" i="8"/>
  <c r="I767" i="8"/>
  <c r="H767" i="8"/>
  <c r="G767" i="8"/>
  <c r="F767" i="8"/>
  <c r="E767" i="8"/>
  <c r="D767" i="8"/>
  <c r="C767" i="8"/>
  <c r="B767" i="8"/>
  <c r="BJ766" i="8"/>
  <c r="BI766" i="8"/>
  <c r="BH766" i="8"/>
  <c r="BG766" i="8"/>
  <c r="BF766" i="8"/>
  <c r="BE766" i="8"/>
  <c r="BD766" i="8"/>
  <c r="BC766" i="8"/>
  <c r="BB766" i="8"/>
  <c r="BA766" i="8"/>
  <c r="AZ766" i="8"/>
  <c r="AY766" i="8"/>
  <c r="AX766" i="8"/>
  <c r="AW766" i="8"/>
  <c r="AV766" i="8"/>
  <c r="AU766" i="8"/>
  <c r="U766" i="8"/>
  <c r="S766" i="8"/>
  <c r="R766" i="8"/>
  <c r="O766" i="8"/>
  <c r="N766" i="8"/>
  <c r="M766" i="8"/>
  <c r="L766" i="8"/>
  <c r="J766" i="8"/>
  <c r="I766" i="8"/>
  <c r="H766" i="8"/>
  <c r="G766" i="8"/>
  <c r="F766" i="8"/>
  <c r="E766" i="8"/>
  <c r="D766" i="8"/>
  <c r="C766" i="8"/>
  <c r="B766" i="8"/>
  <c r="BJ765" i="8"/>
  <c r="BI765" i="8"/>
  <c r="BH765" i="8"/>
  <c r="BG765" i="8"/>
  <c r="BF765" i="8"/>
  <c r="BE765" i="8"/>
  <c r="BD765" i="8"/>
  <c r="BC765" i="8"/>
  <c r="BB765" i="8"/>
  <c r="BA765" i="8"/>
  <c r="AZ765" i="8"/>
  <c r="AY765" i="8"/>
  <c r="AX765" i="8"/>
  <c r="AW765" i="8"/>
  <c r="AV765" i="8"/>
  <c r="AU765" i="8"/>
  <c r="U765" i="8"/>
  <c r="T765" i="8"/>
  <c r="S765" i="8"/>
  <c r="R765" i="8"/>
  <c r="O765" i="8"/>
  <c r="N765" i="8"/>
  <c r="M765" i="8"/>
  <c r="L765" i="8"/>
  <c r="K765" i="8"/>
  <c r="J765" i="8"/>
  <c r="I765" i="8"/>
  <c r="H765" i="8"/>
  <c r="G765" i="8"/>
  <c r="F765" i="8"/>
  <c r="E765" i="8"/>
  <c r="D765" i="8"/>
  <c r="C765" i="8"/>
  <c r="B765" i="8"/>
  <c r="BJ764" i="8"/>
  <c r="BI764" i="8"/>
  <c r="BH764" i="8"/>
  <c r="BG764" i="8"/>
  <c r="BF764" i="8"/>
  <c r="BE764" i="8"/>
  <c r="BD764" i="8"/>
  <c r="BC764" i="8"/>
  <c r="BB764" i="8"/>
  <c r="BA764" i="8"/>
  <c r="AZ764" i="8"/>
  <c r="AY764" i="8"/>
  <c r="AX764" i="8"/>
  <c r="AW764" i="8"/>
  <c r="AV764" i="8"/>
  <c r="AU764" i="8"/>
  <c r="U764" i="8"/>
  <c r="L764" i="8"/>
  <c r="H764" i="8"/>
  <c r="G764" i="8"/>
  <c r="F764" i="8"/>
  <c r="E764" i="8"/>
  <c r="D764" i="8"/>
  <c r="C764" i="8"/>
  <c r="B764" i="8"/>
  <c r="BJ763" i="8"/>
  <c r="BI763" i="8"/>
  <c r="BH763" i="8"/>
  <c r="BG763" i="8"/>
  <c r="BF763" i="8"/>
  <c r="BE763" i="8"/>
  <c r="BD763" i="8"/>
  <c r="BC763" i="8"/>
  <c r="BB763" i="8"/>
  <c r="BA763" i="8"/>
  <c r="AZ763" i="8"/>
  <c r="AY763" i="8"/>
  <c r="AX763" i="8"/>
  <c r="AW763" i="8"/>
  <c r="AV763" i="8"/>
  <c r="AU763" i="8"/>
  <c r="V763" i="8"/>
  <c r="U763" i="8"/>
  <c r="T763" i="8"/>
  <c r="S763" i="8"/>
  <c r="R763" i="8"/>
  <c r="Q763" i="8"/>
  <c r="P763" i="8"/>
  <c r="O763" i="8"/>
  <c r="N763" i="8"/>
  <c r="M763" i="8"/>
  <c r="L763" i="8"/>
  <c r="J763" i="8"/>
  <c r="I763" i="8"/>
  <c r="H763" i="8"/>
  <c r="G763" i="8"/>
  <c r="F763" i="8"/>
  <c r="E763" i="8"/>
  <c r="D763" i="8"/>
  <c r="C763" i="8"/>
  <c r="B763" i="8"/>
  <c r="BJ762" i="8"/>
  <c r="BI762" i="8"/>
  <c r="BH762" i="8"/>
  <c r="BG762" i="8"/>
  <c r="BF762" i="8"/>
  <c r="BE762" i="8"/>
  <c r="BD762" i="8"/>
  <c r="BC762" i="8"/>
  <c r="BB762" i="8"/>
  <c r="BA762" i="8"/>
  <c r="AZ762" i="8"/>
  <c r="AY762" i="8"/>
  <c r="AX762" i="8"/>
  <c r="AW762" i="8"/>
  <c r="AV762" i="8"/>
  <c r="AU762" i="8"/>
  <c r="L762" i="8"/>
  <c r="H762" i="8"/>
  <c r="G762" i="8"/>
  <c r="F762" i="8"/>
  <c r="E762" i="8"/>
  <c r="D762" i="8"/>
  <c r="C762" i="8"/>
  <c r="B762" i="8"/>
  <c r="BJ761" i="8"/>
  <c r="BI761" i="8"/>
  <c r="BH761" i="8"/>
  <c r="BG761" i="8"/>
  <c r="BF761" i="8"/>
  <c r="BE761" i="8"/>
  <c r="BD761" i="8"/>
  <c r="BC761" i="8"/>
  <c r="BB761" i="8"/>
  <c r="BA761" i="8"/>
  <c r="AZ761" i="8"/>
  <c r="AY761" i="8"/>
  <c r="AX761" i="8"/>
  <c r="AW761" i="8"/>
  <c r="AV761" i="8"/>
  <c r="AU761" i="8"/>
  <c r="V761" i="8"/>
  <c r="U761" i="8"/>
  <c r="T761" i="8"/>
  <c r="S761" i="8"/>
  <c r="R761" i="8"/>
  <c r="M761" i="8"/>
  <c r="L761" i="8"/>
  <c r="K761" i="8"/>
  <c r="J761" i="8"/>
  <c r="H761" i="8"/>
  <c r="G761" i="8"/>
  <c r="F761" i="8"/>
  <c r="E761" i="8"/>
  <c r="D761" i="8"/>
  <c r="C761" i="8"/>
  <c r="B761" i="8"/>
  <c r="BJ760" i="8"/>
  <c r="BI760" i="8"/>
  <c r="BH760" i="8"/>
  <c r="BG760" i="8"/>
  <c r="BF760" i="8"/>
  <c r="BE760" i="8"/>
  <c r="BD760" i="8"/>
  <c r="BC760" i="8"/>
  <c r="BB760" i="8"/>
  <c r="BA760" i="8"/>
  <c r="AZ760" i="8"/>
  <c r="AY760" i="8"/>
  <c r="AX760" i="8"/>
  <c r="AW760" i="8"/>
  <c r="AV760" i="8"/>
  <c r="AU760" i="8"/>
  <c r="V760" i="8"/>
  <c r="U760" i="8"/>
  <c r="T760" i="8"/>
  <c r="S760" i="8"/>
  <c r="R760" i="8"/>
  <c r="L760" i="8"/>
  <c r="K760" i="8"/>
  <c r="J760" i="8"/>
  <c r="I760" i="8"/>
  <c r="H760" i="8"/>
  <c r="G760" i="8"/>
  <c r="F760" i="8"/>
  <c r="E760" i="8"/>
  <c r="D760" i="8"/>
  <c r="C760" i="8"/>
  <c r="B760" i="8"/>
  <c r="BJ759" i="8"/>
  <c r="BI759" i="8"/>
  <c r="BH759" i="8"/>
  <c r="BG759" i="8"/>
  <c r="BF759" i="8"/>
  <c r="BE759" i="8"/>
  <c r="BD759" i="8"/>
  <c r="BC759" i="8"/>
  <c r="BB759" i="8"/>
  <c r="BA759" i="8"/>
  <c r="AZ759" i="8"/>
  <c r="AY759" i="8"/>
  <c r="AX759" i="8"/>
  <c r="AW759" i="8"/>
  <c r="AV759" i="8"/>
  <c r="AU759" i="8"/>
  <c r="L759" i="8"/>
  <c r="H759" i="8"/>
  <c r="G759" i="8"/>
  <c r="F759" i="8"/>
  <c r="E759" i="8"/>
  <c r="D759" i="8"/>
  <c r="C759" i="8"/>
  <c r="B759" i="8"/>
  <c r="BJ758" i="8"/>
  <c r="BI758" i="8"/>
  <c r="BH758" i="8"/>
  <c r="BG758" i="8"/>
  <c r="BF758" i="8"/>
  <c r="BE758" i="8"/>
  <c r="BD758" i="8"/>
  <c r="BC758" i="8"/>
  <c r="BB758" i="8"/>
  <c r="BA758" i="8"/>
  <c r="AZ758" i="8"/>
  <c r="AY758" i="8"/>
  <c r="AX758" i="8"/>
  <c r="AW758" i="8"/>
  <c r="AV758" i="8"/>
  <c r="AU758" i="8"/>
  <c r="V758" i="8"/>
  <c r="U758" i="8"/>
  <c r="T758" i="8"/>
  <c r="S758" i="8"/>
  <c r="R758" i="8"/>
  <c r="Q758" i="8"/>
  <c r="P758" i="8"/>
  <c r="O758" i="8"/>
  <c r="M758" i="8"/>
  <c r="L758" i="8"/>
  <c r="K758" i="8"/>
  <c r="J758" i="8"/>
  <c r="I758" i="8"/>
  <c r="H758" i="8"/>
  <c r="G758" i="8"/>
  <c r="F758" i="8"/>
  <c r="E758" i="8"/>
  <c r="D758" i="8"/>
  <c r="C758" i="8"/>
  <c r="B758" i="8"/>
  <c r="BJ757" i="8"/>
  <c r="BI757" i="8"/>
  <c r="BH757" i="8"/>
  <c r="BG757" i="8"/>
  <c r="BF757" i="8"/>
  <c r="BE757" i="8"/>
  <c r="BD757" i="8"/>
  <c r="BC757" i="8"/>
  <c r="BB757" i="8"/>
  <c r="BA757" i="8"/>
  <c r="AZ757" i="8"/>
  <c r="AY757" i="8"/>
  <c r="AX757" i="8"/>
  <c r="AW757" i="8"/>
  <c r="AV757" i="8"/>
  <c r="AU757" i="8"/>
  <c r="V757" i="8"/>
  <c r="U757" i="8"/>
  <c r="T757" i="8"/>
  <c r="S757" i="8"/>
  <c r="R757" i="8"/>
  <c r="Q757" i="8"/>
  <c r="P757" i="8"/>
  <c r="O757" i="8"/>
  <c r="N757" i="8"/>
  <c r="M757" i="8"/>
  <c r="L757" i="8"/>
  <c r="K757" i="8"/>
  <c r="J757" i="8"/>
  <c r="I757" i="8"/>
  <c r="H757" i="8"/>
  <c r="G757" i="8"/>
  <c r="F757" i="8"/>
  <c r="E757" i="8"/>
  <c r="D757" i="8"/>
  <c r="C757" i="8"/>
  <c r="B757" i="8"/>
  <c r="BJ756" i="8"/>
  <c r="BI756" i="8"/>
  <c r="BH756" i="8"/>
  <c r="BG756" i="8"/>
  <c r="BF756" i="8"/>
  <c r="BE756" i="8"/>
  <c r="BD756" i="8"/>
  <c r="BC756" i="8"/>
  <c r="BB756" i="8"/>
  <c r="BA756" i="8"/>
  <c r="AZ756" i="8"/>
  <c r="AY756" i="8"/>
  <c r="AX756" i="8"/>
  <c r="AW756" i="8"/>
  <c r="AV756" i="8"/>
  <c r="AU756" i="8"/>
  <c r="L756" i="8"/>
  <c r="H756" i="8"/>
  <c r="G756" i="8"/>
  <c r="F756" i="8"/>
  <c r="E756" i="8"/>
  <c r="D756" i="8"/>
  <c r="C756" i="8"/>
  <c r="B756" i="8"/>
  <c r="BJ755" i="8"/>
  <c r="BI755" i="8"/>
  <c r="BH755" i="8"/>
  <c r="BG755" i="8"/>
  <c r="BF755" i="8"/>
  <c r="BE755" i="8"/>
  <c r="BD755" i="8"/>
  <c r="BC755" i="8"/>
  <c r="BB755" i="8"/>
  <c r="BA755" i="8"/>
  <c r="AZ755" i="8"/>
  <c r="AY755" i="8"/>
  <c r="AX755" i="8"/>
  <c r="AW755" i="8"/>
  <c r="AV755" i="8"/>
  <c r="AU755" i="8"/>
  <c r="U755" i="8"/>
  <c r="S755" i="8"/>
  <c r="R755" i="8"/>
  <c r="Q755" i="8"/>
  <c r="P755" i="8"/>
  <c r="O755" i="8"/>
  <c r="N755" i="8"/>
  <c r="M755" i="8"/>
  <c r="L755" i="8"/>
  <c r="K755" i="8"/>
  <c r="J755" i="8"/>
  <c r="I755" i="8"/>
  <c r="H755" i="8"/>
  <c r="G755" i="8"/>
  <c r="F755" i="8"/>
  <c r="E755" i="8"/>
  <c r="D755" i="8"/>
  <c r="C755" i="8"/>
  <c r="B755" i="8"/>
  <c r="BJ754" i="8"/>
  <c r="BI754" i="8"/>
  <c r="BH754" i="8"/>
  <c r="BG754" i="8"/>
  <c r="BF754" i="8"/>
  <c r="BE754" i="8"/>
  <c r="BD754" i="8"/>
  <c r="BC754" i="8"/>
  <c r="BB754" i="8"/>
  <c r="BA754" i="8"/>
  <c r="AZ754" i="8"/>
  <c r="AY754" i="8"/>
  <c r="AX754" i="8"/>
  <c r="AW754" i="8"/>
  <c r="AV754" i="8"/>
  <c r="AU754" i="8"/>
  <c r="V754" i="8"/>
  <c r="U754" i="8"/>
  <c r="T754" i="8"/>
  <c r="S754" i="8"/>
  <c r="R754" i="8"/>
  <c r="Q754" i="8"/>
  <c r="P754" i="8"/>
  <c r="O754" i="8"/>
  <c r="N754" i="8"/>
  <c r="M754" i="8"/>
  <c r="L754" i="8"/>
  <c r="J754" i="8"/>
  <c r="I754" i="8"/>
  <c r="H754" i="8"/>
  <c r="G754" i="8"/>
  <c r="F754" i="8"/>
  <c r="E754" i="8"/>
  <c r="D754" i="8"/>
  <c r="C754" i="8"/>
  <c r="B754" i="8"/>
  <c r="BJ753" i="8"/>
  <c r="BI753" i="8"/>
  <c r="BH753" i="8"/>
  <c r="BG753" i="8"/>
  <c r="BF753" i="8"/>
  <c r="BE753" i="8"/>
  <c r="BD753" i="8"/>
  <c r="BC753" i="8"/>
  <c r="BB753" i="8"/>
  <c r="BA753" i="8"/>
  <c r="AZ753" i="8"/>
  <c r="AY753" i="8"/>
  <c r="AX753" i="8"/>
  <c r="AW753" i="8"/>
  <c r="AV753" i="8"/>
  <c r="AU753" i="8"/>
  <c r="V753" i="8"/>
  <c r="U753" i="8"/>
  <c r="T753" i="8"/>
  <c r="S753" i="8"/>
  <c r="R753" i="8"/>
  <c r="Q753" i="8"/>
  <c r="P753" i="8"/>
  <c r="O753" i="8"/>
  <c r="N753" i="8"/>
  <c r="M753" i="8"/>
  <c r="L753" i="8"/>
  <c r="J753" i="8"/>
  <c r="I753" i="8"/>
  <c r="H753" i="8"/>
  <c r="G753" i="8"/>
  <c r="F753" i="8"/>
  <c r="E753" i="8"/>
  <c r="D753" i="8"/>
  <c r="C753" i="8"/>
  <c r="B753" i="8"/>
  <c r="BJ752" i="8"/>
  <c r="BI752" i="8"/>
  <c r="BH752" i="8"/>
  <c r="BG752" i="8"/>
  <c r="BF752" i="8"/>
  <c r="BE752" i="8"/>
  <c r="BD752" i="8"/>
  <c r="BC752" i="8"/>
  <c r="BB752" i="8"/>
  <c r="BA752" i="8"/>
  <c r="AZ752" i="8"/>
  <c r="AY752" i="8"/>
  <c r="AX752" i="8"/>
  <c r="AW752" i="8"/>
  <c r="AV752" i="8"/>
  <c r="AU752" i="8"/>
  <c r="V752" i="8"/>
  <c r="U752" i="8"/>
  <c r="T752" i="8"/>
  <c r="S752" i="8"/>
  <c r="R752" i="8"/>
  <c r="Q752" i="8"/>
  <c r="P752" i="8"/>
  <c r="O752" i="8"/>
  <c r="M752" i="8"/>
  <c r="L752" i="8"/>
  <c r="K752" i="8"/>
  <c r="J752" i="8"/>
  <c r="I752" i="8"/>
  <c r="H752" i="8"/>
  <c r="G752" i="8"/>
  <c r="F752" i="8"/>
  <c r="E752" i="8"/>
  <c r="D752" i="8"/>
  <c r="C752" i="8"/>
  <c r="B752" i="8"/>
  <c r="BJ751" i="8"/>
  <c r="BI751" i="8"/>
  <c r="BH751" i="8"/>
  <c r="BG751" i="8"/>
  <c r="BF751" i="8"/>
  <c r="BE751" i="8"/>
  <c r="BD751" i="8"/>
  <c r="BC751" i="8"/>
  <c r="BB751" i="8"/>
  <c r="BA751" i="8"/>
  <c r="AZ751" i="8"/>
  <c r="AY751" i="8"/>
  <c r="AX751" i="8"/>
  <c r="AW751" i="8"/>
  <c r="AV751" i="8"/>
  <c r="AU751" i="8"/>
  <c r="V751" i="8"/>
  <c r="U751" i="8"/>
  <c r="T751" i="8"/>
  <c r="S751" i="8"/>
  <c r="R751" i="8"/>
  <c r="Q751" i="8"/>
  <c r="P751" i="8"/>
  <c r="O751" i="8"/>
  <c r="M751" i="8"/>
  <c r="L751" i="8"/>
  <c r="K751" i="8"/>
  <c r="J751" i="8"/>
  <c r="I751" i="8"/>
  <c r="H751" i="8"/>
  <c r="G751" i="8"/>
  <c r="F751" i="8"/>
  <c r="E751" i="8"/>
  <c r="D751" i="8"/>
  <c r="C751" i="8"/>
  <c r="B751" i="8"/>
  <c r="BJ750" i="8"/>
  <c r="BI750" i="8"/>
  <c r="BH750" i="8"/>
  <c r="BG750" i="8"/>
  <c r="BF750" i="8"/>
  <c r="BE750" i="8"/>
  <c r="BD750" i="8"/>
  <c r="BC750" i="8"/>
  <c r="BB750" i="8"/>
  <c r="BA750" i="8"/>
  <c r="AZ750" i="8"/>
  <c r="AY750" i="8"/>
  <c r="AX750" i="8"/>
  <c r="AW750" i="8"/>
  <c r="AV750" i="8"/>
  <c r="AU750" i="8"/>
  <c r="U750" i="8"/>
  <c r="L750" i="8"/>
  <c r="J750" i="8"/>
  <c r="I750" i="8"/>
  <c r="H750" i="8"/>
  <c r="G750" i="8"/>
  <c r="F750" i="8"/>
  <c r="E750" i="8"/>
  <c r="D750" i="8"/>
  <c r="C750" i="8"/>
  <c r="B750" i="8"/>
  <c r="BJ749" i="8"/>
  <c r="BI749" i="8"/>
  <c r="BH749" i="8"/>
  <c r="BG749" i="8"/>
  <c r="BF749" i="8"/>
  <c r="BE749" i="8"/>
  <c r="BD749" i="8"/>
  <c r="BC749" i="8"/>
  <c r="BB749" i="8"/>
  <c r="BA749" i="8"/>
  <c r="AZ749" i="8"/>
  <c r="AY749" i="8"/>
  <c r="AX749" i="8"/>
  <c r="AW749" i="8"/>
  <c r="AV749" i="8"/>
  <c r="AU749" i="8"/>
  <c r="U749" i="8"/>
  <c r="L749" i="8"/>
  <c r="K749" i="8"/>
  <c r="J749" i="8"/>
  <c r="I749" i="8"/>
  <c r="H749" i="8"/>
  <c r="G749" i="8"/>
  <c r="F749" i="8"/>
  <c r="E749" i="8"/>
  <c r="D749" i="8"/>
  <c r="C749" i="8"/>
  <c r="B749" i="8"/>
  <c r="BJ748" i="8"/>
  <c r="BI748" i="8"/>
  <c r="BH748" i="8"/>
  <c r="BG748" i="8"/>
  <c r="BF748" i="8"/>
  <c r="BE748" i="8"/>
  <c r="BD748" i="8"/>
  <c r="BC748" i="8"/>
  <c r="BB748" i="8"/>
  <c r="BA748" i="8"/>
  <c r="AZ748" i="8"/>
  <c r="AY748" i="8"/>
  <c r="AX748" i="8"/>
  <c r="AW748" i="8"/>
  <c r="AV748" i="8"/>
  <c r="AU748" i="8"/>
  <c r="U748" i="8"/>
  <c r="T748" i="8"/>
  <c r="S748" i="8"/>
  <c r="R748" i="8"/>
  <c r="Q748" i="8"/>
  <c r="P748" i="8"/>
  <c r="O748" i="8"/>
  <c r="N748" i="8"/>
  <c r="M748" i="8"/>
  <c r="L748" i="8"/>
  <c r="K748" i="8"/>
  <c r="J748" i="8"/>
  <c r="I748" i="8"/>
  <c r="H748" i="8"/>
  <c r="G748" i="8"/>
  <c r="F748" i="8"/>
  <c r="E748" i="8"/>
  <c r="D748" i="8"/>
  <c r="C748" i="8"/>
  <c r="B748" i="8"/>
  <c r="BJ747" i="8"/>
  <c r="BI747" i="8"/>
  <c r="BH747" i="8"/>
  <c r="BG747" i="8"/>
  <c r="BF747" i="8"/>
  <c r="BE747" i="8"/>
  <c r="BD747" i="8"/>
  <c r="BC747" i="8"/>
  <c r="BB747" i="8"/>
  <c r="BA747" i="8"/>
  <c r="AZ747" i="8"/>
  <c r="AY747" i="8"/>
  <c r="AX747" i="8"/>
  <c r="AW747" i="8"/>
  <c r="AV747" i="8"/>
  <c r="AU747" i="8"/>
  <c r="V747" i="8"/>
  <c r="U747" i="8"/>
  <c r="T747" i="8"/>
  <c r="S747" i="8"/>
  <c r="R747" i="8"/>
  <c r="M747" i="8"/>
  <c r="L747" i="8"/>
  <c r="K747" i="8"/>
  <c r="J747" i="8"/>
  <c r="I747" i="8"/>
  <c r="H747" i="8"/>
  <c r="G747" i="8"/>
  <c r="F747" i="8"/>
  <c r="E747" i="8"/>
  <c r="D747" i="8"/>
  <c r="C747" i="8"/>
  <c r="B747" i="8"/>
  <c r="BJ746" i="8"/>
  <c r="BI746" i="8"/>
  <c r="BH746" i="8"/>
  <c r="BG746" i="8"/>
  <c r="BF746" i="8"/>
  <c r="BE746" i="8"/>
  <c r="BD746" i="8"/>
  <c r="BC746" i="8"/>
  <c r="BB746" i="8"/>
  <c r="BA746" i="8"/>
  <c r="AZ746" i="8"/>
  <c r="AY746" i="8"/>
  <c r="AX746" i="8"/>
  <c r="AW746" i="8"/>
  <c r="AV746" i="8"/>
  <c r="AU746" i="8"/>
  <c r="U746" i="8"/>
  <c r="L746" i="8"/>
  <c r="K746" i="8"/>
  <c r="J746" i="8"/>
  <c r="I746" i="8"/>
  <c r="H746" i="8"/>
  <c r="G746" i="8"/>
  <c r="F746" i="8"/>
  <c r="E746" i="8"/>
  <c r="D746" i="8"/>
  <c r="C746" i="8"/>
  <c r="B746" i="8"/>
  <c r="BJ745" i="8"/>
  <c r="BI745" i="8"/>
  <c r="BH745" i="8"/>
  <c r="BG745" i="8"/>
  <c r="BF745" i="8"/>
  <c r="BE745" i="8"/>
  <c r="BD745" i="8"/>
  <c r="BC745" i="8"/>
  <c r="BB745" i="8"/>
  <c r="BA745" i="8"/>
  <c r="AZ745" i="8"/>
  <c r="AY745" i="8"/>
  <c r="AX745" i="8"/>
  <c r="AW745" i="8"/>
  <c r="AV745" i="8"/>
  <c r="AU745" i="8"/>
  <c r="V745" i="8"/>
  <c r="U745" i="8"/>
  <c r="T745" i="8"/>
  <c r="S745" i="8"/>
  <c r="R745" i="8"/>
  <c r="M745" i="8"/>
  <c r="L745" i="8"/>
  <c r="K745" i="8"/>
  <c r="J745" i="8"/>
  <c r="I745" i="8"/>
  <c r="H745" i="8"/>
  <c r="G745" i="8"/>
  <c r="F745" i="8"/>
  <c r="E745" i="8"/>
  <c r="D745" i="8"/>
  <c r="C745" i="8"/>
  <c r="B745" i="8"/>
  <c r="BJ744" i="8"/>
  <c r="BI744" i="8"/>
  <c r="BH744" i="8"/>
  <c r="BG744" i="8"/>
  <c r="BF744" i="8"/>
  <c r="BE744" i="8"/>
  <c r="BD744" i="8"/>
  <c r="BC744" i="8"/>
  <c r="BB744" i="8"/>
  <c r="BA744" i="8"/>
  <c r="AZ744" i="8"/>
  <c r="AY744" i="8"/>
  <c r="AX744" i="8"/>
  <c r="AW744" i="8"/>
  <c r="AV744" i="8"/>
  <c r="AU744" i="8"/>
  <c r="U744" i="8"/>
  <c r="L744" i="8"/>
  <c r="K744" i="8"/>
  <c r="J744" i="8"/>
  <c r="I744" i="8"/>
  <c r="H744" i="8"/>
  <c r="G744" i="8"/>
  <c r="F744" i="8"/>
  <c r="E744" i="8"/>
  <c r="D744" i="8"/>
  <c r="C744" i="8"/>
  <c r="B744" i="8"/>
  <c r="BJ743" i="8"/>
  <c r="BI743" i="8"/>
  <c r="BH743" i="8"/>
  <c r="BG743" i="8"/>
  <c r="BF743" i="8"/>
  <c r="BE743" i="8"/>
  <c r="BD743" i="8"/>
  <c r="BC743" i="8"/>
  <c r="BB743" i="8"/>
  <c r="BA743" i="8"/>
  <c r="AZ743" i="8"/>
  <c r="AY743" i="8"/>
  <c r="AX743" i="8"/>
  <c r="AW743" i="8"/>
  <c r="AV743" i="8"/>
  <c r="AU743" i="8"/>
  <c r="U743" i="8"/>
  <c r="S743" i="8"/>
  <c r="R743" i="8"/>
  <c r="Q743" i="8"/>
  <c r="P743" i="8"/>
  <c r="O743" i="8"/>
  <c r="N743" i="8"/>
  <c r="M743" i="8"/>
  <c r="L743" i="8"/>
  <c r="K743" i="8"/>
  <c r="J743" i="8"/>
  <c r="I743" i="8"/>
  <c r="H743" i="8"/>
  <c r="G743" i="8"/>
  <c r="F743" i="8"/>
  <c r="E743" i="8"/>
  <c r="D743" i="8"/>
  <c r="C743" i="8"/>
  <c r="B743" i="8"/>
  <c r="BJ742" i="8"/>
  <c r="BI742" i="8"/>
  <c r="BH742" i="8"/>
  <c r="BG742" i="8"/>
  <c r="BF742" i="8"/>
  <c r="BE742" i="8"/>
  <c r="BD742" i="8"/>
  <c r="BC742" i="8"/>
  <c r="BB742" i="8"/>
  <c r="BA742" i="8"/>
  <c r="AZ742" i="8"/>
  <c r="AY742" i="8"/>
  <c r="AX742" i="8"/>
  <c r="AW742" i="8"/>
  <c r="AV742" i="8"/>
  <c r="AU742" i="8"/>
  <c r="V742" i="8"/>
  <c r="U742" i="8"/>
  <c r="T742" i="8"/>
  <c r="S742" i="8"/>
  <c r="R742" i="8"/>
  <c r="M742" i="8"/>
  <c r="L742" i="8"/>
  <c r="K742" i="8"/>
  <c r="J742" i="8"/>
  <c r="I742" i="8"/>
  <c r="H742" i="8"/>
  <c r="G742" i="8"/>
  <c r="F742" i="8"/>
  <c r="E742" i="8"/>
  <c r="D742" i="8"/>
  <c r="C742" i="8"/>
  <c r="B742" i="8"/>
  <c r="BJ741" i="8"/>
  <c r="BI741" i="8"/>
  <c r="BH741" i="8"/>
  <c r="BG741" i="8"/>
  <c r="BF741" i="8"/>
  <c r="BE741" i="8"/>
  <c r="BD741" i="8"/>
  <c r="BC741" i="8"/>
  <c r="BB741" i="8"/>
  <c r="BA741" i="8"/>
  <c r="AZ741" i="8"/>
  <c r="AY741" i="8"/>
  <c r="AX741" i="8"/>
  <c r="AW741" i="8"/>
  <c r="AV741" i="8"/>
  <c r="AU741" i="8"/>
  <c r="U741" i="8"/>
  <c r="L741" i="8"/>
  <c r="K741" i="8"/>
  <c r="J741" i="8"/>
  <c r="I741" i="8"/>
  <c r="H741" i="8"/>
  <c r="G741" i="8"/>
  <c r="F741" i="8"/>
  <c r="E741" i="8"/>
  <c r="D741" i="8"/>
  <c r="C741" i="8"/>
  <c r="B741" i="8"/>
  <c r="BJ740" i="8"/>
  <c r="BI740" i="8"/>
  <c r="BH740" i="8"/>
  <c r="BG740" i="8"/>
  <c r="BF740" i="8"/>
  <c r="BE740" i="8"/>
  <c r="BD740" i="8"/>
  <c r="BC740" i="8"/>
  <c r="BB740" i="8"/>
  <c r="BA740" i="8"/>
  <c r="AZ740" i="8"/>
  <c r="AY740" i="8"/>
  <c r="AX740" i="8"/>
  <c r="AW740" i="8"/>
  <c r="AV740" i="8"/>
  <c r="AU740" i="8"/>
  <c r="V740" i="8"/>
  <c r="U740" i="8"/>
  <c r="T740" i="8"/>
  <c r="S740" i="8"/>
  <c r="R740" i="8"/>
  <c r="Q740" i="8"/>
  <c r="N740" i="8"/>
  <c r="M740" i="8"/>
  <c r="L740" i="8"/>
  <c r="K740" i="8"/>
  <c r="J740" i="8"/>
  <c r="I740" i="8"/>
  <c r="H740" i="8"/>
  <c r="G740" i="8"/>
  <c r="F740" i="8"/>
  <c r="E740" i="8"/>
  <c r="D740" i="8"/>
  <c r="C740" i="8"/>
  <c r="B740" i="8"/>
  <c r="A740" i="8"/>
  <c r="BJ739" i="8"/>
  <c r="BI739" i="8"/>
  <c r="BH739" i="8"/>
  <c r="BG739" i="8"/>
  <c r="BF739" i="8"/>
  <c r="BE739" i="8"/>
  <c r="BD739" i="8"/>
  <c r="BC739" i="8"/>
  <c r="BB739" i="8"/>
  <c r="BA739" i="8"/>
  <c r="AZ739" i="8"/>
  <c r="AY739" i="8"/>
  <c r="AX739" i="8"/>
  <c r="AW739" i="8"/>
  <c r="AV739" i="8"/>
  <c r="AU739" i="8"/>
  <c r="AM739" i="8"/>
  <c r="V739" i="8"/>
  <c r="U739" i="8"/>
  <c r="S739" i="8"/>
  <c r="R739" i="8"/>
  <c r="M739" i="8"/>
  <c r="L739" i="8"/>
  <c r="K739" i="8"/>
  <c r="J739" i="8"/>
  <c r="I739" i="8"/>
  <c r="H739" i="8"/>
  <c r="G739" i="8"/>
  <c r="F739" i="8"/>
  <c r="E739" i="8"/>
  <c r="D739" i="8"/>
  <c r="C739" i="8"/>
  <c r="B739" i="8"/>
  <c r="BJ738" i="8"/>
  <c r="BI738" i="8"/>
  <c r="BH738" i="8"/>
  <c r="BG738" i="8"/>
  <c r="BF738" i="8"/>
  <c r="BE738" i="8"/>
  <c r="BD738" i="8"/>
  <c r="BC738" i="8"/>
  <c r="BB738" i="8"/>
  <c r="BA738" i="8"/>
  <c r="AZ738" i="8"/>
  <c r="AY738" i="8"/>
  <c r="AX738" i="8"/>
  <c r="AW738" i="8"/>
  <c r="AV738" i="8"/>
  <c r="AU738" i="8"/>
  <c r="T738" i="8"/>
  <c r="L738" i="8"/>
  <c r="K738" i="8"/>
  <c r="J738" i="8"/>
  <c r="I738" i="8"/>
  <c r="H738" i="8"/>
  <c r="G738" i="8"/>
  <c r="F738" i="8"/>
  <c r="E738" i="8"/>
  <c r="D738" i="8"/>
  <c r="C738" i="8"/>
  <c r="B738" i="8"/>
  <c r="BJ737" i="8"/>
  <c r="BI737" i="8"/>
  <c r="BH737" i="8"/>
  <c r="BG737" i="8"/>
  <c r="BF737" i="8"/>
  <c r="BE737" i="8"/>
  <c r="BD737" i="8"/>
  <c r="BC737" i="8"/>
  <c r="BB737" i="8"/>
  <c r="BA737" i="8"/>
  <c r="AZ737" i="8"/>
  <c r="AY737" i="8"/>
  <c r="AX737" i="8"/>
  <c r="AW737" i="8"/>
  <c r="AV737" i="8"/>
  <c r="AU737" i="8"/>
  <c r="V737" i="8"/>
  <c r="U737" i="8"/>
  <c r="T737" i="8"/>
  <c r="S737" i="8"/>
  <c r="R737" i="8"/>
  <c r="M737" i="8"/>
  <c r="L737" i="8"/>
  <c r="K737" i="8"/>
  <c r="J737" i="8"/>
  <c r="I737" i="8"/>
  <c r="H737" i="8"/>
  <c r="G737" i="8"/>
  <c r="F737" i="8"/>
  <c r="E737" i="8"/>
  <c r="D737" i="8"/>
  <c r="C737" i="8"/>
  <c r="B737" i="8"/>
  <c r="BJ736" i="8"/>
  <c r="BI736" i="8"/>
  <c r="BH736" i="8"/>
  <c r="BG736" i="8"/>
  <c r="BF736" i="8"/>
  <c r="BE736" i="8"/>
  <c r="BD736" i="8"/>
  <c r="BC736" i="8"/>
  <c r="BB736" i="8"/>
  <c r="BA736" i="8"/>
  <c r="AZ736" i="8"/>
  <c r="AY736" i="8"/>
  <c r="AX736" i="8"/>
  <c r="AW736" i="8"/>
  <c r="AV736" i="8"/>
  <c r="AU736" i="8"/>
  <c r="V736" i="8"/>
  <c r="U736" i="8"/>
  <c r="T736" i="8"/>
  <c r="S736" i="8"/>
  <c r="R736" i="8"/>
  <c r="O736" i="8"/>
  <c r="N736" i="8"/>
  <c r="M736" i="8"/>
  <c r="L736" i="8"/>
  <c r="K736" i="8"/>
  <c r="J736" i="8"/>
  <c r="I736" i="8"/>
  <c r="H736" i="8"/>
  <c r="G736" i="8"/>
  <c r="F736" i="8"/>
  <c r="E736" i="8"/>
  <c r="D736" i="8"/>
  <c r="C736" i="8"/>
  <c r="B736" i="8"/>
  <c r="A736" i="8"/>
  <c r="BJ735" i="8"/>
  <c r="BI735" i="8"/>
  <c r="BH735" i="8"/>
  <c r="BG735" i="8"/>
  <c r="BF735" i="8"/>
  <c r="BE735" i="8"/>
  <c r="BD735" i="8"/>
  <c r="BC735" i="8"/>
  <c r="BB735" i="8"/>
  <c r="BA735" i="8"/>
  <c r="AZ735" i="8"/>
  <c r="AY735" i="8"/>
  <c r="AX735" i="8"/>
  <c r="AW735" i="8"/>
  <c r="AV735" i="8"/>
  <c r="AU735" i="8"/>
  <c r="U735" i="8"/>
  <c r="L735" i="8"/>
  <c r="K735" i="8"/>
  <c r="J735" i="8"/>
  <c r="I735" i="8"/>
  <c r="H735" i="8"/>
  <c r="G735" i="8"/>
  <c r="F735" i="8"/>
  <c r="E735" i="8"/>
  <c r="D735" i="8"/>
  <c r="C735" i="8"/>
  <c r="B735" i="8"/>
  <c r="BJ734" i="8"/>
  <c r="BI734" i="8"/>
  <c r="BH734" i="8"/>
  <c r="BG734" i="8"/>
  <c r="BF734" i="8"/>
  <c r="BE734" i="8"/>
  <c r="BD734" i="8"/>
  <c r="BC734" i="8"/>
  <c r="BB734" i="8"/>
  <c r="BA734" i="8"/>
  <c r="AZ734" i="8"/>
  <c r="AY734" i="8"/>
  <c r="AX734" i="8"/>
  <c r="AW734" i="8"/>
  <c r="AV734" i="8"/>
  <c r="AU734" i="8"/>
  <c r="U734" i="8"/>
  <c r="L734" i="8"/>
  <c r="K734" i="8"/>
  <c r="J734" i="8"/>
  <c r="I734" i="8"/>
  <c r="H734" i="8"/>
  <c r="G734" i="8"/>
  <c r="F734" i="8"/>
  <c r="E734" i="8"/>
  <c r="D734" i="8"/>
  <c r="C734" i="8"/>
  <c r="B734" i="8"/>
  <c r="BJ733" i="8"/>
  <c r="BI733" i="8"/>
  <c r="BH733" i="8"/>
  <c r="BG733" i="8"/>
  <c r="BF733" i="8"/>
  <c r="BE733" i="8"/>
  <c r="BD733" i="8"/>
  <c r="BC733" i="8"/>
  <c r="BB733" i="8"/>
  <c r="BA733" i="8"/>
  <c r="AZ733" i="8"/>
  <c r="AY733" i="8"/>
  <c r="AX733" i="8"/>
  <c r="AW733" i="8"/>
  <c r="AV733" i="8"/>
  <c r="AU733" i="8"/>
  <c r="U733" i="8"/>
  <c r="L733" i="8"/>
  <c r="K733" i="8"/>
  <c r="J733" i="8"/>
  <c r="I733" i="8"/>
  <c r="H733" i="8"/>
  <c r="G733" i="8"/>
  <c r="F733" i="8"/>
  <c r="E733" i="8"/>
  <c r="D733" i="8"/>
  <c r="C733" i="8"/>
  <c r="B733" i="8"/>
  <c r="BJ732" i="8"/>
  <c r="BI732" i="8"/>
  <c r="BH732" i="8"/>
  <c r="BG732" i="8"/>
  <c r="BF732" i="8"/>
  <c r="BE732" i="8"/>
  <c r="BD732" i="8"/>
  <c r="BC732" i="8"/>
  <c r="BB732" i="8"/>
  <c r="BA732" i="8"/>
  <c r="AZ732" i="8"/>
  <c r="AY732" i="8"/>
  <c r="AX732" i="8"/>
  <c r="AW732" i="8"/>
  <c r="AV732" i="8"/>
  <c r="AU732" i="8"/>
  <c r="U732" i="8"/>
  <c r="T732" i="8"/>
  <c r="S732" i="8"/>
  <c r="R732" i="8"/>
  <c r="P732" i="8"/>
  <c r="N732" i="8"/>
  <c r="M732" i="8"/>
  <c r="L732" i="8"/>
  <c r="K732" i="8"/>
  <c r="J732" i="8"/>
  <c r="I732" i="8"/>
  <c r="H732" i="8"/>
  <c r="G732" i="8"/>
  <c r="F732" i="8"/>
  <c r="E732" i="8"/>
  <c r="D732" i="8"/>
  <c r="C732" i="8"/>
  <c r="B732" i="8"/>
  <c r="BJ731" i="8"/>
  <c r="BI731" i="8"/>
  <c r="BH731" i="8"/>
  <c r="BG731" i="8"/>
  <c r="BF731" i="8"/>
  <c r="BE731" i="8"/>
  <c r="BD731" i="8"/>
  <c r="BC731" i="8"/>
  <c r="BB731" i="8"/>
  <c r="BA731" i="8"/>
  <c r="AZ731" i="8"/>
  <c r="AY731" i="8"/>
  <c r="AX731" i="8"/>
  <c r="AW731" i="8"/>
  <c r="AV731" i="8"/>
  <c r="AU731" i="8"/>
  <c r="U731" i="8"/>
  <c r="L731" i="8"/>
  <c r="K731" i="8"/>
  <c r="J731" i="8"/>
  <c r="I731" i="8"/>
  <c r="H731" i="8"/>
  <c r="G731" i="8"/>
  <c r="F731" i="8"/>
  <c r="E731" i="8"/>
  <c r="D731" i="8"/>
  <c r="C731" i="8"/>
  <c r="B731" i="8"/>
  <c r="BJ730" i="8"/>
  <c r="BI730" i="8"/>
  <c r="BH730" i="8"/>
  <c r="BG730" i="8"/>
  <c r="BF730" i="8"/>
  <c r="BE730" i="8"/>
  <c r="BD730" i="8"/>
  <c r="BC730" i="8"/>
  <c r="BB730" i="8"/>
  <c r="BA730" i="8"/>
  <c r="AZ730" i="8"/>
  <c r="AY730" i="8"/>
  <c r="AX730" i="8"/>
  <c r="AW730" i="8"/>
  <c r="AV730" i="8"/>
  <c r="AU730" i="8"/>
  <c r="U730" i="8"/>
  <c r="L730" i="8"/>
  <c r="K730" i="8"/>
  <c r="J730" i="8"/>
  <c r="H730" i="8"/>
  <c r="G730" i="8"/>
  <c r="F730" i="8"/>
  <c r="E730" i="8"/>
  <c r="D730" i="8"/>
  <c r="C730" i="8"/>
  <c r="B730" i="8"/>
  <c r="BJ729" i="8"/>
  <c r="BI729" i="8"/>
  <c r="BH729" i="8"/>
  <c r="BG729" i="8"/>
  <c r="BF729" i="8"/>
  <c r="BE729" i="8"/>
  <c r="BD729" i="8"/>
  <c r="BC729" i="8"/>
  <c r="BB729" i="8"/>
  <c r="BA729" i="8"/>
  <c r="AZ729" i="8"/>
  <c r="AY729" i="8"/>
  <c r="AX729" i="8"/>
  <c r="AW729" i="8"/>
  <c r="AV729" i="8"/>
  <c r="AU729" i="8"/>
  <c r="U729" i="8"/>
  <c r="L729" i="8"/>
  <c r="K729" i="8"/>
  <c r="J729" i="8"/>
  <c r="I729" i="8"/>
  <c r="H729" i="8"/>
  <c r="G729" i="8"/>
  <c r="F729" i="8"/>
  <c r="E729" i="8"/>
  <c r="D729" i="8"/>
  <c r="C729" i="8"/>
  <c r="B729" i="8"/>
  <c r="BJ728" i="8"/>
  <c r="BI728" i="8"/>
  <c r="BH728" i="8"/>
  <c r="BG728" i="8"/>
  <c r="BF728" i="8"/>
  <c r="BE728" i="8"/>
  <c r="BD728" i="8"/>
  <c r="BC728" i="8"/>
  <c r="BB728" i="8"/>
  <c r="BA728" i="8"/>
  <c r="AZ728" i="8"/>
  <c r="AY728" i="8"/>
  <c r="AX728" i="8"/>
  <c r="AW728" i="8"/>
  <c r="AV728" i="8"/>
  <c r="AU728" i="8"/>
  <c r="U728" i="8"/>
  <c r="L728" i="8"/>
  <c r="K728" i="8"/>
  <c r="J728" i="8"/>
  <c r="I728" i="8"/>
  <c r="H728" i="8"/>
  <c r="G728" i="8"/>
  <c r="F728" i="8"/>
  <c r="E728" i="8"/>
  <c r="D728" i="8"/>
  <c r="C728" i="8"/>
  <c r="B728" i="8"/>
  <c r="BJ727" i="8"/>
  <c r="BI727" i="8"/>
  <c r="BH727" i="8"/>
  <c r="BG727" i="8"/>
  <c r="BF727" i="8"/>
  <c r="BE727" i="8"/>
  <c r="BD727" i="8"/>
  <c r="BC727" i="8"/>
  <c r="BB727" i="8"/>
  <c r="BA727" i="8"/>
  <c r="AZ727" i="8"/>
  <c r="AY727" i="8"/>
  <c r="AX727" i="8"/>
  <c r="AW727" i="8"/>
  <c r="AV727" i="8"/>
  <c r="AU727" i="8"/>
  <c r="U727" i="8"/>
  <c r="L727" i="8"/>
  <c r="K727" i="8"/>
  <c r="J727" i="8"/>
  <c r="I727" i="8"/>
  <c r="H727" i="8"/>
  <c r="G727" i="8"/>
  <c r="F727" i="8"/>
  <c r="E727" i="8"/>
  <c r="D727" i="8"/>
  <c r="C727" i="8"/>
  <c r="B727" i="8"/>
  <c r="BJ726" i="8"/>
  <c r="BI726" i="8"/>
  <c r="BH726" i="8"/>
  <c r="BG726" i="8"/>
  <c r="BF726" i="8"/>
  <c r="BE726" i="8"/>
  <c r="BD726" i="8"/>
  <c r="BC726" i="8"/>
  <c r="BB726" i="8"/>
  <c r="BA726" i="8"/>
  <c r="AZ726" i="8"/>
  <c r="AY726" i="8"/>
  <c r="AX726" i="8"/>
  <c r="AW726" i="8"/>
  <c r="AV726" i="8"/>
  <c r="AU726" i="8"/>
  <c r="U726" i="8"/>
  <c r="S726" i="8"/>
  <c r="R726" i="8"/>
  <c r="M726" i="8"/>
  <c r="L726" i="8"/>
  <c r="K726" i="8"/>
  <c r="J726" i="8"/>
  <c r="I726" i="8"/>
  <c r="H726" i="8"/>
  <c r="G726" i="8"/>
  <c r="F726" i="8"/>
  <c r="E726" i="8"/>
  <c r="D726" i="8"/>
  <c r="C726" i="8"/>
  <c r="B726" i="8"/>
  <c r="BJ725" i="8"/>
  <c r="BI725" i="8"/>
  <c r="BH725" i="8"/>
  <c r="BG725" i="8"/>
  <c r="BF725" i="8"/>
  <c r="BE725" i="8"/>
  <c r="BD725" i="8"/>
  <c r="BC725" i="8"/>
  <c r="BB725" i="8"/>
  <c r="BA725" i="8"/>
  <c r="AZ725" i="8"/>
  <c r="AY725" i="8"/>
  <c r="AX725" i="8"/>
  <c r="AW725" i="8"/>
  <c r="AV725" i="8"/>
  <c r="AU725" i="8"/>
  <c r="U725" i="8"/>
  <c r="L725" i="8"/>
  <c r="H725" i="8"/>
  <c r="G725" i="8"/>
  <c r="F725" i="8"/>
  <c r="E725" i="8"/>
  <c r="D725" i="8"/>
  <c r="C725" i="8"/>
  <c r="B725" i="8"/>
  <c r="BJ724" i="8"/>
  <c r="BI724" i="8"/>
  <c r="BH724" i="8"/>
  <c r="BG724" i="8"/>
  <c r="BF724" i="8"/>
  <c r="BE724" i="8"/>
  <c r="BD724" i="8"/>
  <c r="BC724" i="8"/>
  <c r="BB724" i="8"/>
  <c r="BA724" i="8"/>
  <c r="AZ724" i="8"/>
  <c r="AY724" i="8"/>
  <c r="AX724" i="8"/>
  <c r="AW724" i="8"/>
  <c r="AV724" i="8"/>
  <c r="AU724" i="8"/>
  <c r="U724" i="8"/>
  <c r="L724" i="8"/>
  <c r="H724" i="8"/>
  <c r="G724" i="8"/>
  <c r="F724" i="8"/>
  <c r="E724" i="8"/>
  <c r="D724" i="8"/>
  <c r="C724" i="8"/>
  <c r="B724" i="8"/>
  <c r="BJ723" i="8"/>
  <c r="BI723" i="8"/>
  <c r="BH723" i="8"/>
  <c r="BG723" i="8"/>
  <c r="BF723" i="8"/>
  <c r="BE723" i="8"/>
  <c r="BD723" i="8"/>
  <c r="BC723" i="8"/>
  <c r="BB723" i="8"/>
  <c r="BA723" i="8"/>
  <c r="AZ723" i="8"/>
  <c r="AY723" i="8"/>
  <c r="AX723" i="8"/>
  <c r="AW723" i="8"/>
  <c r="AV723" i="8"/>
  <c r="AU723" i="8"/>
  <c r="U723" i="8"/>
  <c r="L723" i="8"/>
  <c r="H723" i="8"/>
  <c r="G723" i="8"/>
  <c r="F723" i="8"/>
  <c r="E723" i="8"/>
  <c r="D723" i="8"/>
  <c r="C723" i="8"/>
  <c r="B723" i="8"/>
  <c r="BJ722" i="8"/>
  <c r="BI722" i="8"/>
  <c r="BH722" i="8"/>
  <c r="BG722" i="8"/>
  <c r="BF722" i="8"/>
  <c r="BE722" i="8"/>
  <c r="BD722" i="8"/>
  <c r="BC722" i="8"/>
  <c r="BB722" i="8"/>
  <c r="BA722" i="8"/>
  <c r="AZ722" i="8"/>
  <c r="AY722" i="8"/>
  <c r="AX722" i="8"/>
  <c r="AW722" i="8"/>
  <c r="AV722" i="8"/>
  <c r="AU722" i="8"/>
  <c r="U722" i="8"/>
  <c r="T722" i="8"/>
  <c r="S722" i="8"/>
  <c r="R722" i="8"/>
  <c r="O722" i="8"/>
  <c r="N722" i="8"/>
  <c r="M722" i="8"/>
  <c r="L722" i="8"/>
  <c r="K722" i="8"/>
  <c r="J722" i="8"/>
  <c r="H722" i="8"/>
  <c r="G722" i="8"/>
  <c r="F722" i="8"/>
  <c r="E722" i="8"/>
  <c r="D722" i="8"/>
  <c r="C722" i="8"/>
  <c r="B722" i="8"/>
  <c r="BJ721" i="8"/>
  <c r="BI721" i="8"/>
  <c r="BH721" i="8"/>
  <c r="BG721" i="8"/>
  <c r="BF721" i="8"/>
  <c r="BE721" i="8"/>
  <c r="BD721" i="8"/>
  <c r="BC721" i="8"/>
  <c r="BB721" i="8"/>
  <c r="BA721" i="8"/>
  <c r="AZ721" i="8"/>
  <c r="AY721" i="8"/>
  <c r="AX721" i="8"/>
  <c r="AW721" i="8"/>
  <c r="AV721" i="8"/>
  <c r="AU721" i="8"/>
  <c r="L721" i="8"/>
  <c r="H721" i="8"/>
  <c r="G721" i="8"/>
  <c r="F721" i="8"/>
  <c r="E721" i="8"/>
  <c r="D721" i="8"/>
  <c r="C721" i="8"/>
  <c r="B721" i="8"/>
  <c r="BJ720" i="8"/>
  <c r="BI720" i="8"/>
  <c r="BH720" i="8"/>
  <c r="BG720" i="8"/>
  <c r="BF720" i="8"/>
  <c r="BE720" i="8"/>
  <c r="BD720" i="8"/>
  <c r="BC720" i="8"/>
  <c r="BB720" i="8"/>
  <c r="BA720" i="8"/>
  <c r="AZ720" i="8"/>
  <c r="AY720" i="8"/>
  <c r="AX720" i="8"/>
  <c r="AW720" i="8"/>
  <c r="AV720" i="8"/>
  <c r="AU720" i="8"/>
  <c r="U720" i="8"/>
  <c r="T720" i="8"/>
  <c r="S720" i="8"/>
  <c r="R720" i="8"/>
  <c r="N720" i="8"/>
  <c r="M720" i="8"/>
  <c r="L720" i="8"/>
  <c r="K720" i="8"/>
  <c r="J720" i="8"/>
  <c r="I720" i="8"/>
  <c r="H720" i="8"/>
  <c r="G720" i="8"/>
  <c r="F720" i="8"/>
  <c r="E720" i="8"/>
  <c r="D720" i="8"/>
  <c r="C720" i="8"/>
  <c r="B720" i="8"/>
  <c r="BJ719" i="8"/>
  <c r="BI719" i="8"/>
  <c r="BH719" i="8"/>
  <c r="BG719" i="8"/>
  <c r="BF719" i="8"/>
  <c r="BE719" i="8"/>
  <c r="BD719" i="8"/>
  <c r="BC719" i="8"/>
  <c r="BB719" i="8"/>
  <c r="BA719" i="8"/>
  <c r="AZ719" i="8"/>
  <c r="AY719" i="8"/>
  <c r="AX719" i="8"/>
  <c r="AW719" i="8"/>
  <c r="AV719" i="8"/>
  <c r="AU719" i="8"/>
  <c r="U719" i="8"/>
  <c r="T719" i="8"/>
  <c r="S719" i="8"/>
  <c r="R719" i="8"/>
  <c r="O719" i="8"/>
  <c r="N719" i="8"/>
  <c r="M719" i="8"/>
  <c r="L719" i="8"/>
  <c r="J719" i="8"/>
  <c r="I719" i="8"/>
  <c r="H719" i="8"/>
  <c r="G719" i="8"/>
  <c r="F719" i="8"/>
  <c r="E719" i="8"/>
  <c r="D719" i="8"/>
  <c r="C719" i="8"/>
  <c r="B719" i="8"/>
  <c r="BJ718" i="8"/>
  <c r="BI718" i="8"/>
  <c r="BH718" i="8"/>
  <c r="BG718" i="8"/>
  <c r="BF718" i="8"/>
  <c r="BE718" i="8"/>
  <c r="BD718" i="8"/>
  <c r="BC718" i="8"/>
  <c r="BB718" i="8"/>
  <c r="BA718" i="8"/>
  <c r="AZ718" i="8"/>
  <c r="AY718" i="8"/>
  <c r="AX718" i="8"/>
  <c r="AW718" i="8"/>
  <c r="AV718" i="8"/>
  <c r="AU718" i="8"/>
  <c r="U718" i="8"/>
  <c r="L718" i="8"/>
  <c r="J718" i="8"/>
  <c r="I718" i="8"/>
  <c r="H718" i="8"/>
  <c r="G718" i="8"/>
  <c r="F718" i="8"/>
  <c r="E718" i="8"/>
  <c r="D718" i="8"/>
  <c r="C718" i="8"/>
  <c r="B718" i="8"/>
  <c r="BJ717" i="8"/>
  <c r="BI717" i="8"/>
  <c r="BH717" i="8"/>
  <c r="BG717" i="8"/>
  <c r="BF717" i="8"/>
  <c r="BE717" i="8"/>
  <c r="BD717" i="8"/>
  <c r="BC717" i="8"/>
  <c r="BB717" i="8"/>
  <c r="BA717" i="8"/>
  <c r="AZ717" i="8"/>
  <c r="AY717" i="8"/>
  <c r="AX717" i="8"/>
  <c r="AW717" i="8"/>
  <c r="AV717" i="8"/>
  <c r="AU717" i="8"/>
  <c r="U717" i="8"/>
  <c r="L717" i="8"/>
  <c r="J717" i="8"/>
  <c r="H717" i="8"/>
  <c r="G717" i="8"/>
  <c r="F717" i="8"/>
  <c r="E717" i="8"/>
  <c r="D717" i="8"/>
  <c r="C717" i="8"/>
  <c r="B717" i="8"/>
  <c r="BJ716" i="8"/>
  <c r="BI716" i="8"/>
  <c r="BH716" i="8"/>
  <c r="BG716" i="8"/>
  <c r="BF716" i="8"/>
  <c r="BE716" i="8"/>
  <c r="BD716" i="8"/>
  <c r="BC716" i="8"/>
  <c r="BB716" i="8"/>
  <c r="BA716" i="8"/>
  <c r="AZ716" i="8"/>
  <c r="AY716" i="8"/>
  <c r="AX716" i="8"/>
  <c r="AW716" i="8"/>
  <c r="AV716" i="8"/>
  <c r="AU716" i="8"/>
  <c r="V716" i="8"/>
  <c r="U716" i="8"/>
  <c r="T716" i="8"/>
  <c r="S716" i="8"/>
  <c r="R716" i="8"/>
  <c r="Q716" i="8"/>
  <c r="P716" i="8"/>
  <c r="O716" i="8"/>
  <c r="N716" i="8"/>
  <c r="M716" i="8"/>
  <c r="L716" i="8"/>
  <c r="J716" i="8"/>
  <c r="I716" i="8"/>
  <c r="H716" i="8"/>
  <c r="G716" i="8"/>
  <c r="F716" i="8"/>
  <c r="E716" i="8"/>
  <c r="D716" i="8"/>
  <c r="C716" i="8"/>
  <c r="B716" i="8"/>
  <c r="BJ715" i="8"/>
  <c r="BI715" i="8"/>
  <c r="BH715" i="8"/>
  <c r="BG715" i="8"/>
  <c r="BF715" i="8"/>
  <c r="BE715" i="8"/>
  <c r="BD715" i="8"/>
  <c r="BC715" i="8"/>
  <c r="BB715" i="8"/>
  <c r="BA715" i="8"/>
  <c r="AZ715" i="8"/>
  <c r="AY715" i="8"/>
  <c r="AX715" i="8"/>
  <c r="AW715" i="8"/>
  <c r="AV715" i="8"/>
  <c r="AU715" i="8"/>
  <c r="U715" i="8"/>
  <c r="L715" i="8"/>
  <c r="J715" i="8"/>
  <c r="H715" i="8"/>
  <c r="G715" i="8"/>
  <c r="F715" i="8"/>
  <c r="E715" i="8"/>
  <c r="D715" i="8"/>
  <c r="C715" i="8"/>
  <c r="B715" i="8"/>
  <c r="BJ714" i="8"/>
  <c r="BI714" i="8"/>
  <c r="BH714" i="8"/>
  <c r="BG714" i="8"/>
  <c r="BF714" i="8"/>
  <c r="BE714" i="8"/>
  <c r="BD714" i="8"/>
  <c r="BC714" i="8"/>
  <c r="BB714" i="8"/>
  <c r="BA714" i="8"/>
  <c r="AZ714" i="8"/>
  <c r="AY714" i="8"/>
  <c r="AX714" i="8"/>
  <c r="AW714" i="8"/>
  <c r="AV714" i="8"/>
  <c r="AU714" i="8"/>
  <c r="U714" i="8"/>
  <c r="L714" i="8"/>
  <c r="H714" i="8"/>
  <c r="G714" i="8"/>
  <c r="F714" i="8"/>
  <c r="E714" i="8"/>
  <c r="D714" i="8"/>
  <c r="C714" i="8"/>
  <c r="B714" i="8"/>
  <c r="BJ713" i="8"/>
  <c r="BI713" i="8"/>
  <c r="BH713" i="8"/>
  <c r="BG713" i="8"/>
  <c r="BF713" i="8"/>
  <c r="BE713" i="8"/>
  <c r="BD713" i="8"/>
  <c r="BC713" i="8"/>
  <c r="BB713" i="8"/>
  <c r="BA713" i="8"/>
  <c r="AZ713" i="8"/>
  <c r="AY713" i="8"/>
  <c r="AX713" i="8"/>
  <c r="AW713" i="8"/>
  <c r="AV713" i="8"/>
  <c r="AU713" i="8"/>
  <c r="U713" i="8"/>
  <c r="L713" i="8"/>
  <c r="H713" i="8"/>
  <c r="G713" i="8"/>
  <c r="F713" i="8"/>
  <c r="E713" i="8"/>
  <c r="D713" i="8"/>
  <c r="C713" i="8"/>
  <c r="B713" i="8"/>
  <c r="BJ712" i="8"/>
  <c r="BI712" i="8"/>
  <c r="BH712" i="8"/>
  <c r="BG712" i="8"/>
  <c r="BF712" i="8"/>
  <c r="BE712" i="8"/>
  <c r="BD712" i="8"/>
  <c r="BC712" i="8"/>
  <c r="BB712" i="8"/>
  <c r="BA712" i="8"/>
  <c r="AZ712" i="8"/>
  <c r="AY712" i="8"/>
  <c r="AX712" i="8"/>
  <c r="AW712" i="8"/>
  <c r="AV712" i="8"/>
  <c r="AU712" i="8"/>
  <c r="U712" i="8"/>
  <c r="S712" i="8"/>
  <c r="R712" i="8"/>
  <c r="Q712" i="8"/>
  <c r="P712" i="8"/>
  <c r="O712" i="8"/>
  <c r="N712" i="8"/>
  <c r="M712" i="8"/>
  <c r="L712" i="8"/>
  <c r="K712" i="8"/>
  <c r="J712" i="8"/>
  <c r="I712" i="8"/>
  <c r="H712" i="8"/>
  <c r="G712" i="8"/>
  <c r="F712" i="8"/>
  <c r="E712" i="8"/>
  <c r="D712" i="8"/>
  <c r="C712" i="8"/>
  <c r="B712" i="8"/>
  <c r="BJ711" i="8"/>
  <c r="BI711" i="8"/>
  <c r="BH711" i="8"/>
  <c r="BG711" i="8"/>
  <c r="BF711" i="8"/>
  <c r="BE711" i="8"/>
  <c r="BD711" i="8"/>
  <c r="BC711" i="8"/>
  <c r="BB711" i="8"/>
  <c r="BA711" i="8"/>
  <c r="AZ711" i="8"/>
  <c r="AY711" i="8"/>
  <c r="AX711" i="8"/>
  <c r="AW711" i="8"/>
  <c r="AV711" i="8"/>
  <c r="AU711" i="8"/>
  <c r="L711" i="8"/>
  <c r="H711" i="8"/>
  <c r="G711" i="8"/>
  <c r="F711" i="8"/>
  <c r="E711" i="8"/>
  <c r="D711" i="8"/>
  <c r="C711" i="8"/>
  <c r="B711" i="8"/>
  <c r="BJ710" i="8"/>
  <c r="BI710" i="8"/>
  <c r="BH710" i="8"/>
  <c r="BG710" i="8"/>
  <c r="BF710" i="8"/>
  <c r="BE710" i="8"/>
  <c r="BD710" i="8"/>
  <c r="BC710" i="8"/>
  <c r="BB710" i="8"/>
  <c r="BA710" i="8"/>
  <c r="AZ710" i="8"/>
  <c r="AY710" i="8"/>
  <c r="AX710" i="8"/>
  <c r="AW710" i="8"/>
  <c r="AV710" i="8"/>
  <c r="AU710" i="8"/>
  <c r="L710" i="8"/>
  <c r="H710" i="8"/>
  <c r="G710" i="8"/>
  <c r="F710" i="8"/>
  <c r="E710" i="8"/>
  <c r="D710" i="8"/>
  <c r="C710" i="8"/>
  <c r="B710" i="8"/>
  <c r="BJ709" i="8"/>
  <c r="BI709" i="8"/>
  <c r="BH709" i="8"/>
  <c r="BG709" i="8"/>
  <c r="BF709" i="8"/>
  <c r="BE709" i="8"/>
  <c r="BD709" i="8"/>
  <c r="BC709" i="8"/>
  <c r="BB709" i="8"/>
  <c r="BA709" i="8"/>
  <c r="AZ709" i="8"/>
  <c r="AY709" i="8"/>
  <c r="AX709" i="8"/>
  <c r="AW709" i="8"/>
  <c r="AV709" i="8"/>
  <c r="AU709" i="8"/>
  <c r="L709" i="8"/>
  <c r="H709" i="8"/>
  <c r="G709" i="8"/>
  <c r="F709" i="8"/>
  <c r="E709" i="8"/>
  <c r="D709" i="8"/>
  <c r="C709" i="8"/>
  <c r="B709" i="8"/>
  <c r="BJ708" i="8"/>
  <c r="BI708" i="8"/>
  <c r="BH708" i="8"/>
  <c r="BG708" i="8"/>
  <c r="BF708" i="8"/>
  <c r="BE708" i="8"/>
  <c r="BD708" i="8"/>
  <c r="BC708" i="8"/>
  <c r="BB708" i="8"/>
  <c r="BA708" i="8"/>
  <c r="AZ708" i="8"/>
  <c r="AY708" i="8"/>
  <c r="AX708" i="8"/>
  <c r="AW708" i="8"/>
  <c r="AV708" i="8"/>
  <c r="AU708" i="8"/>
  <c r="U708" i="8"/>
  <c r="S708" i="8"/>
  <c r="R708" i="8"/>
  <c r="Q708" i="8"/>
  <c r="P708" i="8"/>
  <c r="O708" i="8"/>
  <c r="N708" i="8"/>
  <c r="M708" i="8"/>
  <c r="L708" i="8"/>
  <c r="H708" i="8"/>
  <c r="G708" i="8"/>
  <c r="F708" i="8"/>
  <c r="E708" i="8"/>
  <c r="D708" i="8"/>
  <c r="C708" i="8"/>
  <c r="B708" i="8"/>
  <c r="BJ707" i="8"/>
  <c r="BI707" i="8"/>
  <c r="BH707" i="8"/>
  <c r="BG707" i="8"/>
  <c r="BF707" i="8"/>
  <c r="BE707" i="8"/>
  <c r="BD707" i="8"/>
  <c r="BC707" i="8"/>
  <c r="BB707" i="8"/>
  <c r="BA707" i="8"/>
  <c r="AZ707" i="8"/>
  <c r="AY707" i="8"/>
  <c r="AX707" i="8"/>
  <c r="AW707" i="8"/>
  <c r="AV707" i="8"/>
  <c r="AU707" i="8"/>
  <c r="W707" i="8"/>
  <c r="S707" i="8"/>
  <c r="R707" i="8"/>
  <c r="Q707" i="8"/>
  <c r="P707" i="8"/>
  <c r="O707" i="8"/>
  <c r="N707" i="8"/>
  <c r="M707" i="8"/>
  <c r="L707" i="8"/>
  <c r="H707" i="8"/>
  <c r="G707" i="8"/>
  <c r="F707" i="8"/>
  <c r="E707" i="8"/>
  <c r="D707" i="8"/>
  <c r="C707" i="8"/>
  <c r="B707" i="8"/>
  <c r="BJ706" i="8"/>
  <c r="BI706" i="8"/>
  <c r="BH706" i="8"/>
  <c r="BG706" i="8"/>
  <c r="BF706" i="8"/>
  <c r="BE706" i="8"/>
  <c r="BD706" i="8"/>
  <c r="BC706" i="8"/>
  <c r="BB706" i="8"/>
  <c r="BA706" i="8"/>
  <c r="AZ706" i="8"/>
  <c r="AY706" i="8"/>
  <c r="AX706" i="8"/>
  <c r="AW706" i="8"/>
  <c r="AV706" i="8"/>
  <c r="AU706" i="8"/>
  <c r="L706" i="8"/>
  <c r="H706" i="8"/>
  <c r="G706" i="8"/>
  <c r="F706" i="8"/>
  <c r="E706" i="8"/>
  <c r="D706" i="8"/>
  <c r="C706" i="8"/>
  <c r="B706" i="8"/>
  <c r="BJ705" i="8"/>
  <c r="BI705" i="8"/>
  <c r="BH705" i="8"/>
  <c r="BG705" i="8"/>
  <c r="BF705" i="8"/>
  <c r="BE705" i="8"/>
  <c r="BD705" i="8"/>
  <c r="BC705" i="8"/>
  <c r="BB705" i="8"/>
  <c r="BA705" i="8"/>
  <c r="AZ705" i="8"/>
  <c r="AY705" i="8"/>
  <c r="AX705" i="8"/>
  <c r="AW705" i="8"/>
  <c r="AV705" i="8"/>
  <c r="AU705" i="8"/>
  <c r="L705" i="8"/>
  <c r="H705" i="8"/>
  <c r="G705" i="8"/>
  <c r="F705" i="8"/>
  <c r="E705" i="8"/>
  <c r="D705" i="8"/>
  <c r="C705" i="8"/>
  <c r="B705" i="8"/>
  <c r="BJ704" i="8"/>
  <c r="BI704" i="8"/>
  <c r="BH704" i="8"/>
  <c r="BG704" i="8"/>
  <c r="BF704" i="8"/>
  <c r="BE704" i="8"/>
  <c r="BD704" i="8"/>
  <c r="BC704" i="8"/>
  <c r="BB704" i="8"/>
  <c r="BA704" i="8"/>
  <c r="AZ704" i="8"/>
  <c r="AY704" i="8"/>
  <c r="AX704" i="8"/>
  <c r="AW704" i="8"/>
  <c r="AV704" i="8"/>
  <c r="AU704" i="8"/>
  <c r="L704" i="8"/>
  <c r="H704" i="8"/>
  <c r="G704" i="8"/>
  <c r="F704" i="8"/>
  <c r="E704" i="8"/>
  <c r="D704" i="8"/>
  <c r="C704" i="8"/>
  <c r="B704" i="8"/>
  <c r="BJ703" i="8"/>
  <c r="BI703" i="8"/>
  <c r="BH703" i="8"/>
  <c r="BG703" i="8"/>
  <c r="BF703" i="8"/>
  <c r="BE703" i="8"/>
  <c r="BD703" i="8"/>
  <c r="BC703" i="8"/>
  <c r="BB703" i="8"/>
  <c r="BA703" i="8"/>
  <c r="AZ703" i="8"/>
  <c r="AY703" i="8"/>
  <c r="AX703" i="8"/>
  <c r="AW703" i="8"/>
  <c r="AV703" i="8"/>
  <c r="AU703" i="8"/>
  <c r="L703" i="8"/>
  <c r="H703" i="8"/>
  <c r="G703" i="8"/>
  <c r="F703" i="8"/>
  <c r="E703" i="8"/>
  <c r="D703" i="8"/>
  <c r="C703" i="8"/>
  <c r="B703" i="8"/>
  <c r="BJ702" i="8"/>
  <c r="BI702" i="8"/>
  <c r="BH702" i="8"/>
  <c r="BG702" i="8"/>
  <c r="BF702" i="8"/>
  <c r="BE702" i="8"/>
  <c r="BD702" i="8"/>
  <c r="BC702" i="8"/>
  <c r="BB702" i="8"/>
  <c r="BA702" i="8"/>
  <c r="AZ702" i="8"/>
  <c r="AY702" i="8"/>
  <c r="AX702" i="8"/>
  <c r="AW702" i="8"/>
  <c r="AV702" i="8"/>
  <c r="AU702" i="8"/>
  <c r="L702" i="8"/>
  <c r="H702" i="8"/>
  <c r="G702" i="8"/>
  <c r="F702" i="8"/>
  <c r="E702" i="8"/>
  <c r="D702" i="8"/>
  <c r="C702" i="8"/>
  <c r="B702" i="8"/>
  <c r="BJ701" i="8"/>
  <c r="BI701" i="8"/>
  <c r="BH701" i="8"/>
  <c r="BG701" i="8"/>
  <c r="BF701" i="8"/>
  <c r="BE701" i="8"/>
  <c r="BD701" i="8"/>
  <c r="BC701" i="8"/>
  <c r="BB701" i="8"/>
  <c r="BA701" i="8"/>
  <c r="AZ701" i="8"/>
  <c r="AY701" i="8"/>
  <c r="AX701" i="8"/>
  <c r="AW701" i="8"/>
  <c r="AV701" i="8"/>
  <c r="AU701" i="8"/>
  <c r="V701" i="8"/>
  <c r="U701" i="8"/>
  <c r="S701" i="8"/>
  <c r="R701" i="8"/>
  <c r="L701" i="8"/>
  <c r="H701" i="8"/>
  <c r="G701" i="8"/>
  <c r="F701" i="8"/>
  <c r="E701" i="8"/>
  <c r="D701" i="8"/>
  <c r="C701" i="8"/>
  <c r="B701" i="8"/>
  <c r="BJ700" i="8"/>
  <c r="BI700" i="8"/>
  <c r="BH700" i="8"/>
  <c r="BG700" i="8"/>
  <c r="BF700" i="8"/>
  <c r="BE700" i="8"/>
  <c r="BD700" i="8"/>
  <c r="BC700" i="8"/>
  <c r="BB700" i="8"/>
  <c r="BA700" i="8"/>
  <c r="AZ700" i="8"/>
  <c r="AY700" i="8"/>
  <c r="AX700" i="8"/>
  <c r="AW700" i="8"/>
  <c r="AV700" i="8"/>
  <c r="AU700" i="8"/>
  <c r="L700" i="8"/>
  <c r="H700" i="8"/>
  <c r="G700" i="8"/>
  <c r="F700" i="8"/>
  <c r="E700" i="8"/>
  <c r="D700" i="8"/>
  <c r="C700" i="8"/>
  <c r="B700" i="8"/>
  <c r="BJ699" i="8"/>
  <c r="BI699" i="8"/>
  <c r="BH699" i="8"/>
  <c r="BG699" i="8"/>
  <c r="BF699" i="8"/>
  <c r="BE699" i="8"/>
  <c r="BD699" i="8"/>
  <c r="BC699" i="8"/>
  <c r="BB699" i="8"/>
  <c r="BA699" i="8"/>
  <c r="AZ699" i="8"/>
  <c r="AY699" i="8"/>
  <c r="AX699" i="8"/>
  <c r="AW699" i="8"/>
  <c r="AV699" i="8"/>
  <c r="AU699" i="8"/>
  <c r="L699" i="8"/>
  <c r="H699" i="8"/>
  <c r="G699" i="8"/>
  <c r="F699" i="8"/>
  <c r="E699" i="8"/>
  <c r="D699" i="8"/>
  <c r="C699" i="8"/>
  <c r="B699" i="8"/>
  <c r="BJ698" i="8"/>
  <c r="BI698" i="8"/>
  <c r="BH698" i="8"/>
  <c r="BG698" i="8"/>
  <c r="BF698" i="8"/>
  <c r="BE698" i="8"/>
  <c r="BD698" i="8"/>
  <c r="BC698" i="8"/>
  <c r="BB698" i="8"/>
  <c r="BA698" i="8"/>
  <c r="AZ698" i="8"/>
  <c r="AY698" i="8"/>
  <c r="AX698" i="8"/>
  <c r="AW698" i="8"/>
  <c r="AV698" i="8"/>
  <c r="AU698" i="8"/>
  <c r="L698" i="8"/>
  <c r="H698" i="8"/>
  <c r="G698" i="8"/>
  <c r="F698" i="8"/>
  <c r="E698" i="8"/>
  <c r="D698" i="8"/>
  <c r="C698" i="8"/>
  <c r="B698" i="8"/>
  <c r="BJ697" i="8"/>
  <c r="BI697" i="8"/>
  <c r="BH697" i="8"/>
  <c r="BG697" i="8"/>
  <c r="BF697" i="8"/>
  <c r="BE697" i="8"/>
  <c r="BD697" i="8"/>
  <c r="BC697" i="8"/>
  <c r="BB697" i="8"/>
  <c r="BA697" i="8"/>
  <c r="AZ697" i="8"/>
  <c r="AY697" i="8"/>
  <c r="AX697" i="8"/>
  <c r="AW697" i="8"/>
  <c r="AV697" i="8"/>
  <c r="AU697" i="8"/>
  <c r="L697" i="8"/>
  <c r="H697" i="8"/>
  <c r="G697" i="8"/>
  <c r="F697" i="8"/>
  <c r="E697" i="8"/>
  <c r="D697" i="8"/>
  <c r="C697" i="8"/>
  <c r="B697" i="8"/>
  <c r="BJ696" i="8"/>
  <c r="BI696" i="8"/>
  <c r="BH696" i="8"/>
  <c r="BG696" i="8"/>
  <c r="BF696" i="8"/>
  <c r="BE696" i="8"/>
  <c r="BD696" i="8"/>
  <c r="BC696" i="8"/>
  <c r="BB696" i="8"/>
  <c r="BA696" i="8"/>
  <c r="AZ696" i="8"/>
  <c r="AY696" i="8"/>
  <c r="AX696" i="8"/>
  <c r="AW696" i="8"/>
  <c r="AV696" i="8"/>
  <c r="AU696" i="8"/>
  <c r="L696" i="8"/>
  <c r="H696" i="8"/>
  <c r="G696" i="8"/>
  <c r="F696" i="8"/>
  <c r="E696" i="8"/>
  <c r="D696" i="8"/>
  <c r="C696" i="8"/>
  <c r="B696" i="8"/>
  <c r="BJ695" i="8"/>
  <c r="BI695" i="8"/>
  <c r="BH695" i="8"/>
  <c r="BG695" i="8"/>
  <c r="BF695" i="8"/>
  <c r="BE695" i="8"/>
  <c r="BD695" i="8"/>
  <c r="BC695" i="8"/>
  <c r="BB695" i="8"/>
  <c r="BA695" i="8"/>
  <c r="AZ695" i="8"/>
  <c r="AY695" i="8"/>
  <c r="AX695" i="8"/>
  <c r="AW695" i="8"/>
  <c r="AV695" i="8"/>
  <c r="AU695" i="8"/>
  <c r="L695" i="8"/>
  <c r="H695" i="8"/>
  <c r="G695" i="8"/>
  <c r="F695" i="8"/>
  <c r="E695" i="8"/>
  <c r="D695" i="8"/>
  <c r="C695" i="8"/>
  <c r="B695" i="8"/>
  <c r="BJ694" i="8"/>
  <c r="BI694" i="8"/>
  <c r="BH694" i="8"/>
  <c r="BG694" i="8"/>
  <c r="BF694" i="8"/>
  <c r="BE694" i="8"/>
  <c r="BD694" i="8"/>
  <c r="BC694" i="8"/>
  <c r="BB694" i="8"/>
  <c r="BA694" i="8"/>
  <c r="AZ694" i="8"/>
  <c r="AY694" i="8"/>
  <c r="AX694" i="8"/>
  <c r="AW694" i="8"/>
  <c r="AV694" i="8"/>
  <c r="AU694" i="8"/>
  <c r="L694" i="8"/>
  <c r="H694" i="8"/>
  <c r="G694" i="8"/>
  <c r="F694" i="8"/>
  <c r="E694" i="8"/>
  <c r="D694" i="8"/>
  <c r="C694" i="8"/>
  <c r="B694" i="8"/>
  <c r="BJ693" i="8"/>
  <c r="BI693" i="8"/>
  <c r="BH693" i="8"/>
  <c r="BG693" i="8"/>
  <c r="BF693" i="8"/>
  <c r="BE693" i="8"/>
  <c r="BD693" i="8"/>
  <c r="BC693" i="8"/>
  <c r="BB693" i="8"/>
  <c r="BA693" i="8"/>
  <c r="AZ693" i="8"/>
  <c r="AY693" i="8"/>
  <c r="AX693" i="8"/>
  <c r="AW693" i="8"/>
  <c r="AV693" i="8"/>
  <c r="AU693" i="8"/>
  <c r="L693" i="8"/>
  <c r="H693" i="8"/>
  <c r="G693" i="8"/>
  <c r="F693" i="8"/>
  <c r="E693" i="8"/>
  <c r="D693" i="8"/>
  <c r="C693" i="8"/>
  <c r="B693" i="8"/>
  <c r="BJ692" i="8"/>
  <c r="BI692" i="8"/>
  <c r="BH692" i="8"/>
  <c r="BG692" i="8"/>
  <c r="BF692" i="8"/>
  <c r="BE692" i="8"/>
  <c r="BD692" i="8"/>
  <c r="BC692" i="8"/>
  <c r="BB692" i="8"/>
  <c r="BA692" i="8"/>
  <c r="AZ692" i="8"/>
  <c r="AY692" i="8"/>
  <c r="AX692" i="8"/>
  <c r="AW692" i="8"/>
  <c r="AV692" i="8"/>
  <c r="AU692" i="8"/>
  <c r="S692" i="8"/>
  <c r="R692" i="8"/>
  <c r="Q692" i="8"/>
  <c r="P692" i="8"/>
  <c r="O692" i="8"/>
  <c r="N692" i="8"/>
  <c r="M692" i="8"/>
  <c r="L692" i="8"/>
  <c r="H692" i="8"/>
  <c r="G692" i="8"/>
  <c r="F692" i="8"/>
  <c r="E692" i="8"/>
  <c r="D692" i="8"/>
  <c r="C692" i="8"/>
  <c r="B692" i="8"/>
  <c r="BJ691" i="8"/>
  <c r="BI691" i="8"/>
  <c r="BH691" i="8"/>
  <c r="BG691" i="8"/>
  <c r="BF691" i="8"/>
  <c r="BE691" i="8"/>
  <c r="BD691" i="8"/>
  <c r="BC691" i="8"/>
  <c r="BB691" i="8"/>
  <c r="BA691" i="8"/>
  <c r="AZ691" i="8"/>
  <c r="AY691" i="8"/>
  <c r="AX691" i="8"/>
  <c r="AW691" i="8"/>
  <c r="AV691" i="8"/>
  <c r="AU691" i="8"/>
  <c r="V691" i="8"/>
  <c r="U691" i="8"/>
  <c r="S691" i="8"/>
  <c r="R691" i="8"/>
  <c r="Q691" i="8"/>
  <c r="P691" i="8"/>
  <c r="O691" i="8"/>
  <c r="N691" i="8"/>
  <c r="M691" i="8"/>
  <c r="L691" i="8"/>
  <c r="H691" i="8"/>
  <c r="G691" i="8"/>
  <c r="F691" i="8"/>
  <c r="E691" i="8"/>
  <c r="D691" i="8"/>
  <c r="C691" i="8"/>
  <c r="B691" i="8"/>
  <c r="BJ690" i="8"/>
  <c r="BI690" i="8"/>
  <c r="BH690" i="8"/>
  <c r="BG690" i="8"/>
  <c r="BF690" i="8"/>
  <c r="BE690" i="8"/>
  <c r="BD690" i="8"/>
  <c r="BC690" i="8"/>
  <c r="BB690" i="8"/>
  <c r="BA690" i="8"/>
  <c r="AZ690" i="8"/>
  <c r="AY690" i="8"/>
  <c r="AX690" i="8"/>
  <c r="AW690" i="8"/>
  <c r="AV690" i="8"/>
  <c r="AU690" i="8"/>
  <c r="L690" i="8"/>
  <c r="H690" i="8"/>
  <c r="G690" i="8"/>
  <c r="F690" i="8"/>
  <c r="E690" i="8"/>
  <c r="D690" i="8"/>
  <c r="C690" i="8"/>
  <c r="B690" i="8"/>
  <c r="BJ689" i="8"/>
  <c r="BI689" i="8"/>
  <c r="BH689" i="8"/>
  <c r="BG689" i="8"/>
  <c r="BF689" i="8"/>
  <c r="BE689" i="8"/>
  <c r="BD689" i="8"/>
  <c r="BC689" i="8"/>
  <c r="BB689" i="8"/>
  <c r="BA689" i="8"/>
  <c r="AZ689" i="8"/>
  <c r="AY689" i="8"/>
  <c r="AX689" i="8"/>
  <c r="AW689" i="8"/>
  <c r="AV689" i="8"/>
  <c r="AU689" i="8"/>
  <c r="U689" i="8"/>
  <c r="S689" i="8"/>
  <c r="R689" i="8"/>
  <c r="Q689" i="8"/>
  <c r="P689" i="8"/>
  <c r="O689" i="8"/>
  <c r="N689" i="8"/>
  <c r="M689" i="8"/>
  <c r="L689" i="8"/>
  <c r="H689" i="8"/>
  <c r="G689" i="8"/>
  <c r="F689" i="8"/>
  <c r="E689" i="8"/>
  <c r="D689" i="8"/>
  <c r="C689" i="8"/>
  <c r="B689" i="8"/>
  <c r="BJ688" i="8"/>
  <c r="BI688" i="8"/>
  <c r="BH688" i="8"/>
  <c r="BG688" i="8"/>
  <c r="BF688" i="8"/>
  <c r="BE688" i="8"/>
  <c r="BD688" i="8"/>
  <c r="BC688" i="8"/>
  <c r="BB688" i="8"/>
  <c r="BA688" i="8"/>
  <c r="AZ688" i="8"/>
  <c r="AY688" i="8"/>
  <c r="AX688" i="8"/>
  <c r="AW688" i="8"/>
  <c r="AV688" i="8"/>
  <c r="AU688" i="8"/>
  <c r="L688" i="8"/>
  <c r="H688" i="8"/>
  <c r="G688" i="8"/>
  <c r="F688" i="8"/>
  <c r="E688" i="8"/>
  <c r="D688" i="8"/>
  <c r="C688" i="8"/>
  <c r="B688" i="8"/>
  <c r="BJ687" i="8"/>
  <c r="BI687" i="8"/>
  <c r="BH687" i="8"/>
  <c r="BG687" i="8"/>
  <c r="BF687" i="8"/>
  <c r="BE687" i="8"/>
  <c r="BD687" i="8"/>
  <c r="BC687" i="8"/>
  <c r="BB687" i="8"/>
  <c r="BA687" i="8"/>
  <c r="AZ687" i="8"/>
  <c r="AY687" i="8"/>
  <c r="AX687" i="8"/>
  <c r="AW687" i="8"/>
  <c r="AV687" i="8"/>
  <c r="AU687" i="8"/>
  <c r="L687" i="8"/>
  <c r="H687" i="8"/>
  <c r="G687" i="8"/>
  <c r="F687" i="8"/>
  <c r="E687" i="8"/>
  <c r="D687" i="8"/>
  <c r="C687" i="8"/>
  <c r="B687" i="8"/>
  <c r="BJ686" i="8"/>
  <c r="BI686" i="8"/>
  <c r="BH686" i="8"/>
  <c r="BG686" i="8"/>
  <c r="BF686" i="8"/>
  <c r="BE686" i="8"/>
  <c r="BD686" i="8"/>
  <c r="BC686" i="8"/>
  <c r="BB686" i="8"/>
  <c r="BA686" i="8"/>
  <c r="AZ686" i="8"/>
  <c r="AY686" i="8"/>
  <c r="AX686" i="8"/>
  <c r="AW686" i="8"/>
  <c r="AV686" i="8"/>
  <c r="AU686" i="8"/>
  <c r="L686" i="8"/>
  <c r="H686" i="8"/>
  <c r="G686" i="8"/>
  <c r="F686" i="8"/>
  <c r="E686" i="8"/>
  <c r="D686" i="8"/>
  <c r="C686" i="8"/>
  <c r="B686" i="8"/>
  <c r="BJ685" i="8"/>
  <c r="BI685" i="8"/>
  <c r="BH685" i="8"/>
  <c r="BG685" i="8"/>
  <c r="BF685" i="8"/>
  <c r="BE685" i="8"/>
  <c r="BD685" i="8"/>
  <c r="BC685" i="8"/>
  <c r="BB685" i="8"/>
  <c r="BA685" i="8"/>
  <c r="AZ685" i="8"/>
  <c r="AY685" i="8"/>
  <c r="AX685" i="8"/>
  <c r="AW685" i="8"/>
  <c r="AV685" i="8"/>
  <c r="AU685" i="8"/>
  <c r="S685" i="8"/>
  <c r="R685" i="8"/>
  <c r="Q685" i="8"/>
  <c r="P685" i="8"/>
  <c r="O685" i="8"/>
  <c r="N685" i="8"/>
  <c r="M685" i="8"/>
  <c r="L685" i="8"/>
  <c r="H685" i="8"/>
  <c r="G685" i="8"/>
  <c r="F685" i="8"/>
  <c r="E685" i="8"/>
  <c r="D685" i="8"/>
  <c r="C685" i="8"/>
  <c r="B685" i="8"/>
  <c r="BJ684" i="8"/>
  <c r="BI684" i="8"/>
  <c r="BH684" i="8"/>
  <c r="BG684" i="8"/>
  <c r="BF684" i="8"/>
  <c r="BE684" i="8"/>
  <c r="BD684" i="8"/>
  <c r="BC684" i="8"/>
  <c r="BB684" i="8"/>
  <c r="BA684" i="8"/>
  <c r="AZ684" i="8"/>
  <c r="AY684" i="8"/>
  <c r="AX684" i="8"/>
  <c r="AW684" i="8"/>
  <c r="AV684" i="8"/>
  <c r="AU684" i="8"/>
  <c r="L684" i="8"/>
  <c r="H684" i="8"/>
  <c r="G684" i="8"/>
  <c r="F684" i="8"/>
  <c r="E684" i="8"/>
  <c r="D684" i="8"/>
  <c r="C684" i="8"/>
  <c r="B684" i="8"/>
  <c r="BJ683" i="8"/>
  <c r="BI683" i="8"/>
  <c r="BH683" i="8"/>
  <c r="BG683" i="8"/>
  <c r="BF683" i="8"/>
  <c r="BE683" i="8"/>
  <c r="BD683" i="8"/>
  <c r="BC683" i="8"/>
  <c r="BB683" i="8"/>
  <c r="BA683" i="8"/>
  <c r="AZ683" i="8"/>
  <c r="AY683" i="8"/>
  <c r="AX683" i="8"/>
  <c r="AW683" i="8"/>
  <c r="AV683" i="8"/>
  <c r="AU683" i="8"/>
  <c r="L683" i="8"/>
  <c r="H683" i="8"/>
  <c r="G683" i="8"/>
  <c r="F683" i="8"/>
  <c r="E683" i="8"/>
  <c r="D683" i="8"/>
  <c r="C683" i="8"/>
  <c r="B683" i="8"/>
  <c r="BJ682" i="8"/>
  <c r="BI682" i="8"/>
  <c r="BH682" i="8"/>
  <c r="BG682" i="8"/>
  <c r="BF682" i="8"/>
  <c r="BE682" i="8"/>
  <c r="BD682" i="8"/>
  <c r="BC682" i="8"/>
  <c r="BB682" i="8"/>
  <c r="BA682" i="8"/>
  <c r="AZ682" i="8"/>
  <c r="AY682" i="8"/>
  <c r="AX682" i="8"/>
  <c r="AW682" i="8"/>
  <c r="AV682" i="8"/>
  <c r="AU682" i="8"/>
  <c r="V682" i="8"/>
  <c r="U682" i="8"/>
  <c r="S682" i="8"/>
  <c r="R682" i="8"/>
  <c r="M682" i="8"/>
  <c r="L682" i="8"/>
  <c r="K682" i="8"/>
  <c r="J682" i="8"/>
  <c r="I682" i="8"/>
  <c r="H682" i="8"/>
  <c r="G682" i="8"/>
  <c r="F682" i="8"/>
  <c r="E682" i="8"/>
  <c r="D682" i="8"/>
  <c r="C682" i="8"/>
  <c r="B682" i="8"/>
  <c r="A682" i="8"/>
  <c r="BJ681" i="8"/>
  <c r="BI681" i="8"/>
  <c r="BH681" i="8"/>
  <c r="BG681" i="8"/>
  <c r="BF681" i="8"/>
  <c r="BE681" i="8"/>
  <c r="BD681" i="8"/>
  <c r="BC681" i="8"/>
  <c r="BB681" i="8"/>
  <c r="BA681" i="8"/>
  <c r="AZ681" i="8"/>
  <c r="AY681" i="8"/>
  <c r="AX681" i="8"/>
  <c r="AW681" i="8"/>
  <c r="AV681" i="8"/>
  <c r="AU681" i="8"/>
  <c r="L681" i="8"/>
  <c r="K681" i="8"/>
  <c r="J681" i="8"/>
  <c r="I681" i="8"/>
  <c r="H681" i="8"/>
  <c r="G681" i="8"/>
  <c r="F681" i="8"/>
  <c r="E681" i="8"/>
  <c r="D681" i="8"/>
  <c r="C681" i="8"/>
  <c r="B681" i="8"/>
  <c r="BJ680" i="8"/>
  <c r="BI680" i="8"/>
  <c r="BH680" i="8"/>
  <c r="BG680" i="8"/>
  <c r="BF680" i="8"/>
  <c r="BE680" i="8"/>
  <c r="BD680" i="8"/>
  <c r="BC680" i="8"/>
  <c r="BB680" i="8"/>
  <c r="BA680" i="8"/>
  <c r="AZ680" i="8"/>
  <c r="AY680" i="8"/>
  <c r="AX680" i="8"/>
  <c r="AW680" i="8"/>
  <c r="AV680" i="8"/>
  <c r="AU680" i="8"/>
  <c r="V680" i="8"/>
  <c r="U680" i="8"/>
  <c r="S680" i="8"/>
  <c r="R680" i="8"/>
  <c r="P680" i="8"/>
  <c r="O680" i="8"/>
  <c r="M680" i="8"/>
  <c r="L680" i="8"/>
  <c r="K680" i="8"/>
  <c r="J680" i="8"/>
  <c r="I680" i="8"/>
  <c r="H680" i="8"/>
  <c r="G680" i="8"/>
  <c r="F680" i="8"/>
  <c r="E680" i="8"/>
  <c r="D680" i="8"/>
  <c r="C680" i="8"/>
  <c r="B680" i="8"/>
  <c r="A680" i="8"/>
  <c r="BJ679" i="8"/>
  <c r="BI679" i="8"/>
  <c r="BH679" i="8"/>
  <c r="BG679" i="8"/>
  <c r="BF679" i="8"/>
  <c r="BE679" i="8"/>
  <c r="BD679" i="8"/>
  <c r="BC679" i="8"/>
  <c r="BB679" i="8"/>
  <c r="BA679" i="8"/>
  <c r="AZ679" i="8"/>
  <c r="AY679" i="8"/>
  <c r="AX679" i="8"/>
  <c r="AW679" i="8"/>
  <c r="AV679" i="8"/>
  <c r="AU679" i="8"/>
  <c r="L679" i="8"/>
  <c r="K679" i="8"/>
  <c r="J679" i="8"/>
  <c r="I679" i="8"/>
  <c r="H679" i="8"/>
  <c r="G679" i="8"/>
  <c r="F679" i="8"/>
  <c r="E679" i="8"/>
  <c r="D679" i="8"/>
  <c r="C679" i="8"/>
  <c r="B679" i="8"/>
  <c r="BJ678" i="8"/>
  <c r="BI678" i="8"/>
  <c r="BH678" i="8"/>
  <c r="BG678" i="8"/>
  <c r="BF678" i="8"/>
  <c r="BE678" i="8"/>
  <c r="BD678" i="8"/>
  <c r="BC678" i="8"/>
  <c r="BB678" i="8"/>
  <c r="BA678" i="8"/>
  <c r="AZ678" i="8"/>
  <c r="AY678" i="8"/>
  <c r="AX678" i="8"/>
  <c r="AW678" i="8"/>
  <c r="AV678" i="8"/>
  <c r="AU678" i="8"/>
  <c r="V678" i="8"/>
  <c r="U678" i="8"/>
  <c r="S678" i="8"/>
  <c r="R678" i="8"/>
  <c r="O678" i="8"/>
  <c r="M678" i="8"/>
  <c r="L678" i="8"/>
  <c r="K678" i="8"/>
  <c r="J678" i="8"/>
  <c r="I678" i="8"/>
  <c r="H678" i="8"/>
  <c r="G678" i="8"/>
  <c r="F678" i="8"/>
  <c r="E678" i="8"/>
  <c r="D678" i="8"/>
  <c r="C678" i="8"/>
  <c r="B678" i="8"/>
  <c r="BJ677" i="8"/>
  <c r="BI677" i="8"/>
  <c r="BH677" i="8"/>
  <c r="BG677" i="8"/>
  <c r="BF677" i="8"/>
  <c r="BE677" i="8"/>
  <c r="BD677" i="8"/>
  <c r="BC677" i="8"/>
  <c r="BB677" i="8"/>
  <c r="BA677" i="8"/>
  <c r="AZ677" i="8"/>
  <c r="AY677" i="8"/>
  <c r="AX677" i="8"/>
  <c r="AW677" i="8"/>
  <c r="AV677" i="8"/>
  <c r="AU677" i="8"/>
  <c r="L677" i="8"/>
  <c r="H677" i="8"/>
  <c r="G677" i="8"/>
  <c r="F677" i="8"/>
  <c r="E677" i="8"/>
  <c r="D677" i="8"/>
  <c r="C677" i="8"/>
  <c r="B677" i="8"/>
  <c r="BJ676" i="8"/>
  <c r="BI676" i="8"/>
  <c r="BH676" i="8"/>
  <c r="BG676" i="8"/>
  <c r="BF676" i="8"/>
  <c r="BE676" i="8"/>
  <c r="BD676" i="8"/>
  <c r="BC676" i="8"/>
  <c r="BB676" i="8"/>
  <c r="BA676" i="8"/>
  <c r="AZ676" i="8"/>
  <c r="AY676" i="8"/>
  <c r="AX676" i="8"/>
  <c r="AW676" i="8"/>
  <c r="AV676" i="8"/>
  <c r="AU676" i="8"/>
  <c r="S676" i="8"/>
  <c r="R676" i="8"/>
  <c r="Q676" i="8"/>
  <c r="P676" i="8"/>
  <c r="O676" i="8"/>
  <c r="N676" i="8"/>
  <c r="M676" i="8"/>
  <c r="L676" i="8"/>
  <c r="K676" i="8"/>
  <c r="J676" i="8"/>
  <c r="H676" i="8"/>
  <c r="G676" i="8"/>
  <c r="F676" i="8"/>
  <c r="E676" i="8"/>
  <c r="D676" i="8"/>
  <c r="C676" i="8"/>
  <c r="B676" i="8"/>
  <c r="BJ675" i="8"/>
  <c r="BI675" i="8"/>
  <c r="BH675" i="8"/>
  <c r="BG675" i="8"/>
  <c r="BF675" i="8"/>
  <c r="BE675" i="8"/>
  <c r="BD675" i="8"/>
  <c r="BC675" i="8"/>
  <c r="BB675" i="8"/>
  <c r="BA675" i="8"/>
  <c r="AZ675" i="8"/>
  <c r="AY675" i="8"/>
  <c r="AX675" i="8"/>
  <c r="AW675" i="8"/>
  <c r="AV675" i="8"/>
  <c r="AU675" i="8"/>
  <c r="L675" i="8"/>
  <c r="K675" i="8"/>
  <c r="J675" i="8"/>
  <c r="I675" i="8"/>
  <c r="H675" i="8"/>
  <c r="G675" i="8"/>
  <c r="F675" i="8"/>
  <c r="E675" i="8"/>
  <c r="D675" i="8"/>
  <c r="C675" i="8"/>
  <c r="B675" i="8"/>
  <c r="BJ674" i="8"/>
  <c r="BI674" i="8"/>
  <c r="BH674" i="8"/>
  <c r="BG674" i="8"/>
  <c r="BF674" i="8"/>
  <c r="BE674" i="8"/>
  <c r="BD674" i="8"/>
  <c r="BC674" i="8"/>
  <c r="BB674" i="8"/>
  <c r="BA674" i="8"/>
  <c r="AZ674" i="8"/>
  <c r="AY674" i="8"/>
  <c r="AX674" i="8"/>
  <c r="AW674" i="8"/>
  <c r="AV674" i="8"/>
  <c r="AU674" i="8"/>
  <c r="L674" i="8"/>
  <c r="K674" i="8"/>
  <c r="J674" i="8"/>
  <c r="I674" i="8"/>
  <c r="H674" i="8"/>
  <c r="G674" i="8"/>
  <c r="F674" i="8"/>
  <c r="E674" i="8"/>
  <c r="D674" i="8"/>
  <c r="C674" i="8"/>
  <c r="B674" i="8"/>
  <c r="BJ673" i="8"/>
  <c r="BI673" i="8"/>
  <c r="BH673" i="8"/>
  <c r="BG673" i="8"/>
  <c r="BF673" i="8"/>
  <c r="BE673" i="8"/>
  <c r="BD673" i="8"/>
  <c r="BC673" i="8"/>
  <c r="BB673" i="8"/>
  <c r="BA673" i="8"/>
  <c r="AZ673" i="8"/>
  <c r="AY673" i="8"/>
  <c r="AX673" i="8"/>
  <c r="AW673" i="8"/>
  <c r="AV673" i="8"/>
  <c r="AU673" i="8"/>
  <c r="T673" i="8"/>
  <c r="L673" i="8"/>
  <c r="K673" i="8"/>
  <c r="J673" i="8"/>
  <c r="I673" i="8"/>
  <c r="H673" i="8"/>
  <c r="G673" i="8"/>
  <c r="F673" i="8"/>
  <c r="E673" i="8"/>
  <c r="D673" i="8"/>
  <c r="C673" i="8"/>
  <c r="B673" i="8"/>
  <c r="BJ672" i="8"/>
  <c r="BI672" i="8"/>
  <c r="BH672" i="8"/>
  <c r="BG672" i="8"/>
  <c r="BF672" i="8"/>
  <c r="BE672" i="8"/>
  <c r="BD672" i="8"/>
  <c r="BC672" i="8"/>
  <c r="BB672" i="8"/>
  <c r="BA672" i="8"/>
  <c r="AZ672" i="8"/>
  <c r="AY672" i="8"/>
  <c r="AX672" i="8"/>
  <c r="AW672" i="8"/>
  <c r="AV672" i="8"/>
  <c r="AU672" i="8"/>
  <c r="L672" i="8"/>
  <c r="J672" i="8"/>
  <c r="I672" i="8"/>
  <c r="H672" i="8"/>
  <c r="G672" i="8"/>
  <c r="F672" i="8"/>
  <c r="E672" i="8"/>
  <c r="D672" i="8"/>
  <c r="C672" i="8"/>
  <c r="B672" i="8"/>
  <c r="BJ671" i="8"/>
  <c r="BI671" i="8"/>
  <c r="BH671" i="8"/>
  <c r="BG671" i="8"/>
  <c r="BF671" i="8"/>
  <c r="BE671" i="8"/>
  <c r="BD671" i="8"/>
  <c r="BC671" i="8"/>
  <c r="BB671" i="8"/>
  <c r="BA671" i="8"/>
  <c r="AZ671" i="8"/>
  <c r="AY671" i="8"/>
  <c r="AX671" i="8"/>
  <c r="AW671" i="8"/>
  <c r="AV671" i="8"/>
  <c r="AU671" i="8"/>
  <c r="L671" i="8"/>
  <c r="H671" i="8"/>
  <c r="G671" i="8"/>
  <c r="F671" i="8"/>
  <c r="E671" i="8"/>
  <c r="D671" i="8"/>
  <c r="C671" i="8"/>
  <c r="B671" i="8"/>
  <c r="BJ670" i="8"/>
  <c r="BI670" i="8"/>
  <c r="BH670" i="8"/>
  <c r="BG670" i="8"/>
  <c r="BF670" i="8"/>
  <c r="BE670" i="8"/>
  <c r="BD670" i="8"/>
  <c r="BC670" i="8"/>
  <c r="BB670" i="8"/>
  <c r="BA670" i="8"/>
  <c r="AZ670" i="8"/>
  <c r="AY670" i="8"/>
  <c r="AX670" i="8"/>
  <c r="AW670" i="8"/>
  <c r="AV670" i="8"/>
  <c r="AU670" i="8"/>
  <c r="L670" i="8"/>
  <c r="H670" i="8"/>
  <c r="G670" i="8"/>
  <c r="F670" i="8"/>
  <c r="E670" i="8"/>
  <c r="D670" i="8"/>
  <c r="C670" i="8"/>
  <c r="B670" i="8"/>
  <c r="BJ669" i="8"/>
  <c r="BI669" i="8"/>
  <c r="BH669" i="8"/>
  <c r="BG669" i="8"/>
  <c r="BF669" i="8"/>
  <c r="BE669" i="8"/>
  <c r="BD669" i="8"/>
  <c r="BC669" i="8"/>
  <c r="BB669" i="8"/>
  <c r="BA669" i="8"/>
  <c r="AZ669" i="8"/>
  <c r="AY669" i="8"/>
  <c r="AX669" i="8"/>
  <c r="AW669" i="8"/>
  <c r="AV669" i="8"/>
  <c r="AU669" i="8"/>
  <c r="L669" i="8"/>
  <c r="H669" i="8"/>
  <c r="G669" i="8"/>
  <c r="F669" i="8"/>
  <c r="E669" i="8"/>
  <c r="D669" i="8"/>
  <c r="C669" i="8"/>
  <c r="B669" i="8"/>
  <c r="BJ668" i="8"/>
  <c r="BI668" i="8"/>
  <c r="BH668" i="8"/>
  <c r="BG668" i="8"/>
  <c r="BF668" i="8"/>
  <c r="BE668" i="8"/>
  <c r="BD668" i="8"/>
  <c r="BC668" i="8"/>
  <c r="BB668" i="8"/>
  <c r="BA668" i="8"/>
  <c r="AZ668" i="8"/>
  <c r="AY668" i="8"/>
  <c r="AX668" i="8"/>
  <c r="AW668" i="8"/>
  <c r="AV668" i="8"/>
  <c r="AU668" i="8"/>
  <c r="L668" i="8"/>
  <c r="H668" i="8"/>
  <c r="G668" i="8"/>
  <c r="F668" i="8"/>
  <c r="E668" i="8"/>
  <c r="D668" i="8"/>
  <c r="C668" i="8"/>
  <c r="B668" i="8"/>
  <c r="BJ667" i="8"/>
  <c r="BI667" i="8"/>
  <c r="BH667" i="8"/>
  <c r="BG667" i="8"/>
  <c r="BF667" i="8"/>
  <c r="BE667" i="8"/>
  <c r="BD667" i="8"/>
  <c r="BC667" i="8"/>
  <c r="BB667" i="8"/>
  <c r="BA667" i="8"/>
  <c r="AZ667" i="8"/>
  <c r="AY667" i="8"/>
  <c r="AX667" i="8"/>
  <c r="AW667" i="8"/>
  <c r="AV667" i="8"/>
  <c r="AU667" i="8"/>
  <c r="L667" i="8"/>
  <c r="H667" i="8"/>
  <c r="G667" i="8"/>
  <c r="F667" i="8"/>
  <c r="E667" i="8"/>
  <c r="D667" i="8"/>
  <c r="C667" i="8"/>
  <c r="B667" i="8"/>
  <c r="BJ666" i="8"/>
  <c r="BI666" i="8"/>
  <c r="BH666" i="8"/>
  <c r="BG666" i="8"/>
  <c r="BF666" i="8"/>
  <c r="BE666" i="8"/>
  <c r="BD666" i="8"/>
  <c r="BC666" i="8"/>
  <c r="BB666" i="8"/>
  <c r="BA666" i="8"/>
  <c r="AZ666" i="8"/>
  <c r="AY666" i="8"/>
  <c r="AX666" i="8"/>
  <c r="AW666" i="8"/>
  <c r="AV666" i="8"/>
  <c r="AU666" i="8"/>
  <c r="L666" i="8"/>
  <c r="H666" i="8"/>
  <c r="G666" i="8"/>
  <c r="F666" i="8"/>
  <c r="E666" i="8"/>
  <c r="D666" i="8"/>
  <c r="C666" i="8"/>
  <c r="B666" i="8"/>
  <c r="BJ665" i="8"/>
  <c r="BI665" i="8"/>
  <c r="BH665" i="8"/>
  <c r="BG665" i="8"/>
  <c r="BF665" i="8"/>
  <c r="BE665" i="8"/>
  <c r="BD665" i="8"/>
  <c r="BC665" i="8"/>
  <c r="BB665" i="8"/>
  <c r="BA665" i="8"/>
  <c r="AZ665" i="8"/>
  <c r="AY665" i="8"/>
  <c r="AX665" i="8"/>
  <c r="AW665" i="8"/>
  <c r="AV665" i="8"/>
  <c r="AU665" i="8"/>
  <c r="L665" i="8"/>
  <c r="H665" i="8"/>
  <c r="G665" i="8"/>
  <c r="F665" i="8"/>
  <c r="E665" i="8"/>
  <c r="D665" i="8"/>
  <c r="C665" i="8"/>
  <c r="B665" i="8"/>
  <c r="BJ664" i="8"/>
  <c r="BI664" i="8"/>
  <c r="BH664" i="8"/>
  <c r="BG664" i="8"/>
  <c r="BF664" i="8"/>
  <c r="BE664" i="8"/>
  <c r="BD664" i="8"/>
  <c r="BC664" i="8"/>
  <c r="BB664" i="8"/>
  <c r="BA664" i="8"/>
  <c r="AZ664" i="8"/>
  <c r="AY664" i="8"/>
  <c r="AX664" i="8"/>
  <c r="AW664" i="8"/>
  <c r="AV664" i="8"/>
  <c r="AU664" i="8"/>
  <c r="L664" i="8"/>
  <c r="H664" i="8"/>
  <c r="G664" i="8"/>
  <c r="F664" i="8"/>
  <c r="E664" i="8"/>
  <c r="D664" i="8"/>
  <c r="C664" i="8"/>
  <c r="B664" i="8"/>
  <c r="BJ663" i="8"/>
  <c r="BI663" i="8"/>
  <c r="BH663" i="8"/>
  <c r="BG663" i="8"/>
  <c r="BF663" i="8"/>
  <c r="BE663" i="8"/>
  <c r="BD663" i="8"/>
  <c r="BC663" i="8"/>
  <c r="BB663" i="8"/>
  <c r="BA663" i="8"/>
  <c r="AZ663" i="8"/>
  <c r="AY663" i="8"/>
  <c r="AX663" i="8"/>
  <c r="AW663" i="8"/>
  <c r="AV663" i="8"/>
  <c r="AU663" i="8"/>
  <c r="L663" i="8"/>
  <c r="H663" i="8"/>
  <c r="G663" i="8"/>
  <c r="F663" i="8"/>
  <c r="E663" i="8"/>
  <c r="D663" i="8"/>
  <c r="C663" i="8"/>
  <c r="B663" i="8"/>
  <c r="BJ662" i="8"/>
  <c r="BI662" i="8"/>
  <c r="BH662" i="8"/>
  <c r="BG662" i="8"/>
  <c r="BF662" i="8"/>
  <c r="BE662" i="8"/>
  <c r="BD662" i="8"/>
  <c r="BC662" i="8"/>
  <c r="BB662" i="8"/>
  <c r="BA662" i="8"/>
  <c r="AZ662" i="8"/>
  <c r="AY662" i="8"/>
  <c r="AX662" i="8"/>
  <c r="AW662" i="8"/>
  <c r="AV662" i="8"/>
  <c r="AU662" i="8"/>
  <c r="U662" i="8"/>
  <c r="S662" i="8"/>
  <c r="R662" i="8"/>
  <c r="Q662" i="8"/>
  <c r="P662" i="8"/>
  <c r="O662" i="8"/>
  <c r="N662" i="8"/>
  <c r="M662" i="8"/>
  <c r="L662" i="8"/>
  <c r="K662" i="8"/>
  <c r="J662" i="8"/>
  <c r="I662" i="8"/>
  <c r="H662" i="8"/>
  <c r="G662" i="8"/>
  <c r="F662" i="8"/>
  <c r="E662" i="8"/>
  <c r="D662" i="8"/>
  <c r="C662" i="8"/>
  <c r="B662" i="8"/>
  <c r="BJ661" i="8"/>
  <c r="BI661" i="8"/>
  <c r="BH661" i="8"/>
  <c r="BG661" i="8"/>
  <c r="BF661" i="8"/>
  <c r="BE661" i="8"/>
  <c r="BD661" i="8"/>
  <c r="BC661" i="8"/>
  <c r="BB661" i="8"/>
  <c r="BA661" i="8"/>
  <c r="AZ661" i="8"/>
  <c r="AY661" i="8"/>
  <c r="AX661" i="8"/>
  <c r="AW661" i="8"/>
  <c r="AV661" i="8"/>
  <c r="AU661" i="8"/>
  <c r="L661" i="8"/>
  <c r="H661" i="8"/>
  <c r="G661" i="8"/>
  <c r="F661" i="8"/>
  <c r="E661" i="8"/>
  <c r="D661" i="8"/>
  <c r="C661" i="8"/>
  <c r="B661" i="8"/>
  <c r="BJ660" i="8"/>
  <c r="BI660" i="8"/>
  <c r="BH660" i="8"/>
  <c r="BG660" i="8"/>
  <c r="BF660" i="8"/>
  <c r="BE660" i="8"/>
  <c r="BD660" i="8"/>
  <c r="BC660" i="8"/>
  <c r="BB660" i="8"/>
  <c r="BA660" i="8"/>
  <c r="AZ660" i="8"/>
  <c r="AY660" i="8"/>
  <c r="AX660" i="8"/>
  <c r="AW660" i="8"/>
  <c r="AV660" i="8"/>
  <c r="AU660" i="8"/>
  <c r="L660" i="8"/>
  <c r="H660" i="8"/>
  <c r="G660" i="8"/>
  <c r="F660" i="8"/>
  <c r="E660" i="8"/>
  <c r="D660" i="8"/>
  <c r="C660" i="8"/>
  <c r="B660" i="8"/>
  <c r="BJ659" i="8"/>
  <c r="BI659" i="8"/>
  <c r="BH659" i="8"/>
  <c r="BG659" i="8"/>
  <c r="BF659" i="8"/>
  <c r="BE659" i="8"/>
  <c r="BD659" i="8"/>
  <c r="BC659" i="8"/>
  <c r="BB659" i="8"/>
  <c r="BA659" i="8"/>
  <c r="AZ659" i="8"/>
  <c r="AY659" i="8"/>
  <c r="AX659" i="8"/>
  <c r="AW659" i="8"/>
  <c r="AV659" i="8"/>
  <c r="AU659" i="8"/>
  <c r="U659" i="8"/>
  <c r="S659" i="8"/>
  <c r="R659" i="8"/>
  <c r="Q659" i="8"/>
  <c r="P659" i="8"/>
  <c r="O659" i="8"/>
  <c r="N659" i="8"/>
  <c r="M659" i="8"/>
  <c r="L659" i="8"/>
  <c r="H659" i="8"/>
  <c r="G659" i="8"/>
  <c r="F659" i="8"/>
  <c r="E659" i="8"/>
  <c r="D659" i="8"/>
  <c r="C659" i="8"/>
  <c r="B659" i="8"/>
  <c r="BJ658" i="8"/>
  <c r="BI658" i="8"/>
  <c r="BH658" i="8"/>
  <c r="BG658" i="8"/>
  <c r="BF658" i="8"/>
  <c r="BE658" i="8"/>
  <c r="BD658" i="8"/>
  <c r="BC658" i="8"/>
  <c r="BB658" i="8"/>
  <c r="BA658" i="8"/>
  <c r="AZ658" i="8"/>
  <c r="AY658" i="8"/>
  <c r="AX658" i="8"/>
  <c r="AW658" i="8"/>
  <c r="AV658" i="8"/>
  <c r="AU658" i="8"/>
  <c r="S658" i="8"/>
  <c r="R658" i="8"/>
  <c r="Q658" i="8"/>
  <c r="P658" i="8"/>
  <c r="O658" i="8"/>
  <c r="N658" i="8"/>
  <c r="M658" i="8"/>
  <c r="L658" i="8"/>
  <c r="H658" i="8"/>
  <c r="G658" i="8"/>
  <c r="F658" i="8"/>
  <c r="E658" i="8"/>
  <c r="D658" i="8"/>
  <c r="C658" i="8"/>
  <c r="B658" i="8"/>
  <c r="BJ657" i="8"/>
  <c r="BI657" i="8"/>
  <c r="BH657" i="8"/>
  <c r="BG657" i="8"/>
  <c r="BF657" i="8"/>
  <c r="BE657" i="8"/>
  <c r="BD657" i="8"/>
  <c r="BC657" i="8"/>
  <c r="BB657" i="8"/>
  <c r="BA657" i="8"/>
  <c r="AZ657" i="8"/>
  <c r="AY657" i="8"/>
  <c r="AX657" i="8"/>
  <c r="AW657" i="8"/>
  <c r="AV657" i="8"/>
  <c r="AU657" i="8"/>
  <c r="L657" i="8"/>
  <c r="H657" i="8"/>
  <c r="G657" i="8"/>
  <c r="F657" i="8"/>
  <c r="E657" i="8"/>
  <c r="D657" i="8"/>
  <c r="C657" i="8"/>
  <c r="B657" i="8"/>
  <c r="BJ656" i="8"/>
  <c r="BI656" i="8"/>
  <c r="BH656" i="8"/>
  <c r="BG656" i="8"/>
  <c r="BF656" i="8"/>
  <c r="BE656" i="8"/>
  <c r="BD656" i="8"/>
  <c r="BC656" i="8"/>
  <c r="BB656" i="8"/>
  <c r="BA656" i="8"/>
  <c r="AZ656" i="8"/>
  <c r="AY656" i="8"/>
  <c r="AX656" i="8"/>
  <c r="AW656" i="8"/>
  <c r="AV656" i="8"/>
  <c r="AU656" i="8"/>
  <c r="U656" i="8"/>
  <c r="S656" i="8"/>
  <c r="R656" i="8"/>
  <c r="Q656" i="8"/>
  <c r="P656" i="8"/>
  <c r="O656" i="8"/>
  <c r="N656" i="8"/>
  <c r="M656" i="8"/>
  <c r="L656" i="8"/>
  <c r="K656" i="8"/>
  <c r="J656" i="8"/>
  <c r="I656" i="8"/>
  <c r="H656" i="8"/>
  <c r="G656" i="8"/>
  <c r="F656" i="8"/>
  <c r="E656" i="8"/>
  <c r="D656" i="8"/>
  <c r="C656" i="8"/>
  <c r="B656" i="8"/>
  <c r="BJ655" i="8"/>
  <c r="BI655" i="8"/>
  <c r="BH655" i="8"/>
  <c r="BG655" i="8"/>
  <c r="BF655" i="8"/>
  <c r="BE655" i="8"/>
  <c r="BD655" i="8"/>
  <c r="BC655" i="8"/>
  <c r="BB655" i="8"/>
  <c r="BA655" i="8"/>
  <c r="AZ655" i="8"/>
  <c r="AY655" i="8"/>
  <c r="AX655" i="8"/>
  <c r="AW655" i="8"/>
  <c r="AV655" i="8"/>
  <c r="AU655" i="8"/>
  <c r="U655" i="8"/>
  <c r="S655" i="8"/>
  <c r="R655" i="8"/>
  <c r="Q655" i="8"/>
  <c r="P655" i="8"/>
  <c r="O655" i="8"/>
  <c r="N655" i="8"/>
  <c r="M655" i="8"/>
  <c r="L655" i="8"/>
  <c r="H655" i="8"/>
  <c r="G655" i="8"/>
  <c r="F655" i="8"/>
  <c r="E655" i="8"/>
  <c r="D655" i="8"/>
  <c r="C655" i="8"/>
  <c r="B655" i="8"/>
  <c r="BJ654" i="8"/>
  <c r="BI654" i="8"/>
  <c r="BH654" i="8"/>
  <c r="BG654" i="8"/>
  <c r="BF654" i="8"/>
  <c r="BE654" i="8"/>
  <c r="BD654" i="8"/>
  <c r="BC654" i="8"/>
  <c r="BB654" i="8"/>
  <c r="BA654" i="8"/>
  <c r="AZ654" i="8"/>
  <c r="AY654" i="8"/>
  <c r="AX654" i="8"/>
  <c r="AW654" i="8"/>
  <c r="AV654" i="8"/>
  <c r="AU654" i="8"/>
  <c r="L654" i="8"/>
  <c r="H654" i="8"/>
  <c r="G654" i="8"/>
  <c r="F654" i="8"/>
  <c r="E654" i="8"/>
  <c r="D654" i="8"/>
  <c r="C654" i="8"/>
  <c r="B654" i="8"/>
  <c r="BJ653" i="8"/>
  <c r="BI653" i="8"/>
  <c r="BH653" i="8"/>
  <c r="BG653" i="8"/>
  <c r="BF653" i="8"/>
  <c r="BE653" i="8"/>
  <c r="BD653" i="8"/>
  <c r="BC653" i="8"/>
  <c r="BB653" i="8"/>
  <c r="BA653" i="8"/>
  <c r="AZ653" i="8"/>
  <c r="AY653" i="8"/>
  <c r="AX653" i="8"/>
  <c r="AW653" i="8"/>
  <c r="AV653" i="8"/>
  <c r="AU653" i="8"/>
  <c r="L653" i="8"/>
  <c r="H653" i="8"/>
  <c r="G653" i="8"/>
  <c r="F653" i="8"/>
  <c r="E653" i="8"/>
  <c r="D653" i="8"/>
  <c r="C653" i="8"/>
  <c r="B653" i="8"/>
  <c r="BJ652" i="8"/>
  <c r="BI652" i="8"/>
  <c r="BH652" i="8"/>
  <c r="BG652" i="8"/>
  <c r="BF652" i="8"/>
  <c r="BE652" i="8"/>
  <c r="BD652" i="8"/>
  <c r="BC652" i="8"/>
  <c r="BB652" i="8"/>
  <c r="BA652" i="8"/>
  <c r="AZ652" i="8"/>
  <c r="AY652" i="8"/>
  <c r="AX652" i="8"/>
  <c r="AW652" i="8"/>
  <c r="AV652" i="8"/>
  <c r="AU652" i="8"/>
  <c r="U652" i="8"/>
  <c r="S652" i="8"/>
  <c r="R652" i="8"/>
  <c r="Q652" i="8"/>
  <c r="P652" i="8"/>
  <c r="O652" i="8"/>
  <c r="N652" i="8"/>
  <c r="M652" i="8"/>
  <c r="L652" i="8"/>
  <c r="H652" i="8"/>
  <c r="G652" i="8"/>
  <c r="F652" i="8"/>
  <c r="E652" i="8"/>
  <c r="D652" i="8"/>
  <c r="C652" i="8"/>
  <c r="B652" i="8"/>
  <c r="BJ651" i="8"/>
  <c r="BI651" i="8"/>
  <c r="BH651" i="8"/>
  <c r="BG651" i="8"/>
  <c r="BF651" i="8"/>
  <c r="BE651" i="8"/>
  <c r="BD651" i="8"/>
  <c r="BC651" i="8"/>
  <c r="BB651" i="8"/>
  <c r="BA651" i="8"/>
  <c r="AZ651" i="8"/>
  <c r="AY651" i="8"/>
  <c r="AX651" i="8"/>
  <c r="AW651" i="8"/>
  <c r="AV651" i="8"/>
  <c r="AU651" i="8"/>
  <c r="U651" i="8"/>
  <c r="S651" i="8"/>
  <c r="R651" i="8"/>
  <c r="Q651" i="8"/>
  <c r="P651" i="8"/>
  <c r="O651" i="8"/>
  <c r="N651" i="8"/>
  <c r="M651" i="8"/>
  <c r="L651" i="8"/>
  <c r="K651" i="8"/>
  <c r="J651" i="8"/>
  <c r="H651" i="8"/>
  <c r="G651" i="8"/>
  <c r="F651" i="8"/>
  <c r="E651" i="8"/>
  <c r="D651" i="8"/>
  <c r="C651" i="8"/>
  <c r="B651" i="8"/>
  <c r="BJ650" i="8"/>
  <c r="BI650" i="8"/>
  <c r="BH650" i="8"/>
  <c r="BG650" i="8"/>
  <c r="BF650" i="8"/>
  <c r="BE650" i="8"/>
  <c r="BD650" i="8"/>
  <c r="BC650" i="8"/>
  <c r="BB650" i="8"/>
  <c r="BA650" i="8"/>
  <c r="AZ650" i="8"/>
  <c r="AY650" i="8"/>
  <c r="AX650" i="8"/>
  <c r="AW650" i="8"/>
  <c r="AV650" i="8"/>
  <c r="AU650" i="8"/>
  <c r="L650" i="8"/>
  <c r="H650" i="8"/>
  <c r="G650" i="8"/>
  <c r="F650" i="8"/>
  <c r="E650" i="8"/>
  <c r="D650" i="8"/>
  <c r="C650" i="8"/>
  <c r="B650" i="8"/>
  <c r="BJ649" i="8"/>
  <c r="BI649" i="8"/>
  <c r="BH649" i="8"/>
  <c r="BG649" i="8"/>
  <c r="BF649" i="8"/>
  <c r="BE649" i="8"/>
  <c r="BD649" i="8"/>
  <c r="BC649" i="8"/>
  <c r="BB649" i="8"/>
  <c r="BA649" i="8"/>
  <c r="AZ649" i="8"/>
  <c r="AY649" i="8"/>
  <c r="AX649" i="8"/>
  <c r="AW649" i="8"/>
  <c r="AV649" i="8"/>
  <c r="AU649" i="8"/>
  <c r="U649" i="8"/>
  <c r="S649" i="8"/>
  <c r="R649" i="8"/>
  <c r="Q649" i="8"/>
  <c r="P649" i="8"/>
  <c r="O649" i="8"/>
  <c r="N649" i="8"/>
  <c r="M649" i="8"/>
  <c r="L649" i="8"/>
  <c r="K649" i="8"/>
  <c r="J649" i="8"/>
  <c r="I649" i="8"/>
  <c r="H649" i="8"/>
  <c r="G649" i="8"/>
  <c r="F649" i="8"/>
  <c r="E649" i="8"/>
  <c r="D649" i="8"/>
  <c r="C649" i="8"/>
  <c r="B649" i="8"/>
  <c r="BJ648" i="8"/>
  <c r="BI648" i="8"/>
  <c r="BH648" i="8"/>
  <c r="BG648" i="8"/>
  <c r="BF648" i="8"/>
  <c r="BE648" i="8"/>
  <c r="BD648" i="8"/>
  <c r="BC648" i="8"/>
  <c r="BB648" i="8"/>
  <c r="BA648" i="8"/>
  <c r="AZ648" i="8"/>
  <c r="AY648" i="8"/>
  <c r="AX648" i="8"/>
  <c r="AW648" i="8"/>
  <c r="AV648" i="8"/>
  <c r="AU648" i="8"/>
  <c r="U648" i="8"/>
  <c r="S648" i="8"/>
  <c r="R648" i="8"/>
  <c r="Q648" i="8"/>
  <c r="P648" i="8"/>
  <c r="O648" i="8"/>
  <c r="N648" i="8"/>
  <c r="M648" i="8"/>
  <c r="L648" i="8"/>
  <c r="K648" i="8"/>
  <c r="J648" i="8"/>
  <c r="I648" i="8"/>
  <c r="H648" i="8"/>
  <c r="G648" i="8"/>
  <c r="F648" i="8"/>
  <c r="E648" i="8"/>
  <c r="D648" i="8"/>
  <c r="C648" i="8"/>
  <c r="B648" i="8"/>
  <c r="BJ647" i="8"/>
  <c r="BI647" i="8"/>
  <c r="BH647" i="8"/>
  <c r="BG647" i="8"/>
  <c r="BF647" i="8"/>
  <c r="BE647" i="8"/>
  <c r="BD647" i="8"/>
  <c r="BC647" i="8"/>
  <c r="BB647" i="8"/>
  <c r="BA647" i="8"/>
  <c r="AZ647" i="8"/>
  <c r="AY647" i="8"/>
  <c r="AX647" i="8"/>
  <c r="AW647" i="8"/>
  <c r="AV647" i="8"/>
  <c r="AU647" i="8"/>
  <c r="L647" i="8"/>
  <c r="H647" i="8"/>
  <c r="G647" i="8"/>
  <c r="F647" i="8"/>
  <c r="E647" i="8"/>
  <c r="D647" i="8"/>
  <c r="C647" i="8"/>
  <c r="B647" i="8"/>
  <c r="BJ646" i="8"/>
  <c r="BI646" i="8"/>
  <c r="BH646" i="8"/>
  <c r="BG646" i="8"/>
  <c r="BF646" i="8"/>
  <c r="BE646" i="8"/>
  <c r="BD646" i="8"/>
  <c r="BC646" i="8"/>
  <c r="BB646" i="8"/>
  <c r="BA646" i="8"/>
  <c r="AZ646" i="8"/>
  <c r="AY646" i="8"/>
  <c r="AX646" i="8"/>
  <c r="AW646" i="8"/>
  <c r="AV646" i="8"/>
  <c r="AU646" i="8"/>
  <c r="U646" i="8"/>
  <c r="S646" i="8"/>
  <c r="R646" i="8"/>
  <c r="Q646" i="8"/>
  <c r="P646" i="8"/>
  <c r="N646" i="8"/>
  <c r="M646" i="8"/>
  <c r="L646" i="8"/>
  <c r="J646" i="8"/>
  <c r="H646" i="8"/>
  <c r="G646" i="8"/>
  <c r="F646" i="8"/>
  <c r="E646" i="8"/>
  <c r="D646" i="8"/>
  <c r="C646" i="8"/>
  <c r="B646" i="8"/>
  <c r="BJ645" i="8"/>
  <c r="BI645" i="8"/>
  <c r="BH645" i="8"/>
  <c r="BG645" i="8"/>
  <c r="BF645" i="8"/>
  <c r="BE645" i="8"/>
  <c r="BD645" i="8"/>
  <c r="BC645" i="8"/>
  <c r="BB645" i="8"/>
  <c r="BA645" i="8"/>
  <c r="AZ645" i="8"/>
  <c r="AY645" i="8"/>
  <c r="AX645" i="8"/>
  <c r="AW645" i="8"/>
  <c r="AV645" i="8"/>
  <c r="AU645" i="8"/>
  <c r="U645" i="8"/>
  <c r="S645" i="8"/>
  <c r="R645" i="8"/>
  <c r="Q645" i="8"/>
  <c r="P645" i="8"/>
  <c r="O645" i="8"/>
  <c r="N645" i="8"/>
  <c r="M645" i="8"/>
  <c r="L645" i="8"/>
  <c r="K645" i="8"/>
  <c r="J645" i="8"/>
  <c r="I645" i="8"/>
  <c r="H645" i="8"/>
  <c r="G645" i="8"/>
  <c r="F645" i="8"/>
  <c r="E645" i="8"/>
  <c r="D645" i="8"/>
  <c r="C645" i="8"/>
  <c r="B645" i="8"/>
  <c r="BJ644" i="8"/>
  <c r="BI644" i="8"/>
  <c r="BH644" i="8"/>
  <c r="BG644" i="8"/>
  <c r="BF644" i="8"/>
  <c r="BE644" i="8"/>
  <c r="BD644" i="8"/>
  <c r="BC644" i="8"/>
  <c r="BB644" i="8"/>
  <c r="BA644" i="8"/>
  <c r="AZ644" i="8"/>
  <c r="AY644" i="8"/>
  <c r="AX644" i="8"/>
  <c r="AW644" i="8"/>
  <c r="AV644" i="8"/>
  <c r="AU644" i="8"/>
  <c r="U644" i="8"/>
  <c r="S644" i="8"/>
  <c r="R644" i="8"/>
  <c r="Q644" i="8"/>
  <c r="O644" i="8"/>
  <c r="N644" i="8"/>
  <c r="M644" i="8"/>
  <c r="L644" i="8"/>
  <c r="J644" i="8"/>
  <c r="I644" i="8"/>
  <c r="H644" i="8"/>
  <c r="G644" i="8"/>
  <c r="F644" i="8"/>
  <c r="E644" i="8"/>
  <c r="D644" i="8"/>
  <c r="C644" i="8"/>
  <c r="B644" i="8"/>
  <c r="BJ643" i="8"/>
  <c r="BI643" i="8"/>
  <c r="BH643" i="8"/>
  <c r="BG643" i="8"/>
  <c r="BF643" i="8"/>
  <c r="BE643" i="8"/>
  <c r="BD643" i="8"/>
  <c r="BC643" i="8"/>
  <c r="BB643" i="8"/>
  <c r="BA643" i="8"/>
  <c r="AZ643" i="8"/>
  <c r="AY643" i="8"/>
  <c r="AX643" i="8"/>
  <c r="AW643" i="8"/>
  <c r="AV643" i="8"/>
  <c r="AU643" i="8"/>
  <c r="U643" i="8"/>
  <c r="L643" i="8"/>
  <c r="H643" i="8"/>
  <c r="G643" i="8"/>
  <c r="F643" i="8"/>
  <c r="D643" i="8"/>
  <c r="C643" i="8"/>
  <c r="B643" i="8"/>
  <c r="BJ642" i="8"/>
  <c r="BI642" i="8"/>
  <c r="BH642" i="8"/>
  <c r="BG642" i="8"/>
  <c r="BF642" i="8"/>
  <c r="BE642" i="8"/>
  <c r="BD642" i="8"/>
  <c r="BC642" i="8"/>
  <c r="BB642" i="8"/>
  <c r="BA642" i="8"/>
  <c r="AZ642" i="8"/>
  <c r="AY642" i="8"/>
  <c r="AX642" i="8"/>
  <c r="AW642" i="8"/>
  <c r="AV642" i="8"/>
  <c r="AU642" i="8"/>
  <c r="U642" i="8"/>
  <c r="S642" i="8"/>
  <c r="R642" i="8"/>
  <c r="M642" i="8"/>
  <c r="L642" i="8"/>
  <c r="H642" i="8"/>
  <c r="G642" i="8"/>
  <c r="F642" i="8"/>
  <c r="D642" i="8"/>
  <c r="C642" i="8"/>
  <c r="B642" i="8"/>
  <c r="BJ641" i="8"/>
  <c r="BI641" i="8"/>
  <c r="BH641" i="8"/>
  <c r="BG641" i="8"/>
  <c r="BF641" i="8"/>
  <c r="BE641" i="8"/>
  <c r="BD641" i="8"/>
  <c r="BC641" i="8"/>
  <c r="BB641" i="8"/>
  <c r="BA641" i="8"/>
  <c r="AZ641" i="8"/>
  <c r="AY641" i="8"/>
  <c r="AX641" i="8"/>
  <c r="AW641" i="8"/>
  <c r="AV641" i="8"/>
  <c r="AU641" i="8"/>
  <c r="V641" i="8"/>
  <c r="U641" i="8"/>
  <c r="S641" i="8"/>
  <c r="R641" i="8"/>
  <c r="O641" i="8"/>
  <c r="N641" i="8"/>
  <c r="M641" i="8"/>
  <c r="L641" i="8"/>
  <c r="J641" i="8"/>
  <c r="I641" i="8"/>
  <c r="H641" i="8"/>
  <c r="G641" i="8"/>
  <c r="F641" i="8"/>
  <c r="D641" i="8"/>
  <c r="C641" i="8"/>
  <c r="B641" i="8"/>
  <c r="BJ640" i="8"/>
  <c r="BI640" i="8"/>
  <c r="BH640" i="8"/>
  <c r="BG640" i="8"/>
  <c r="BF640" i="8"/>
  <c r="BE640" i="8"/>
  <c r="BD640" i="8"/>
  <c r="BC640" i="8"/>
  <c r="BB640" i="8"/>
  <c r="BA640" i="8"/>
  <c r="AZ640" i="8"/>
  <c r="AY640" i="8"/>
  <c r="AX640" i="8"/>
  <c r="AW640" i="8"/>
  <c r="AV640" i="8"/>
  <c r="AU640" i="8"/>
  <c r="V640" i="8"/>
  <c r="U640" i="8"/>
  <c r="T640" i="8"/>
  <c r="S640" i="8"/>
  <c r="R640" i="8"/>
  <c r="Q640" i="8"/>
  <c r="O640" i="8"/>
  <c r="N640" i="8"/>
  <c r="M640" i="8"/>
  <c r="L640" i="8"/>
  <c r="J640" i="8"/>
  <c r="I640" i="8"/>
  <c r="H640" i="8"/>
  <c r="G640" i="8"/>
  <c r="F640" i="8"/>
  <c r="D640" i="8"/>
  <c r="C640" i="8"/>
  <c r="B640" i="8"/>
  <c r="BJ639" i="8"/>
  <c r="BI639" i="8"/>
  <c r="BH639" i="8"/>
  <c r="BG639" i="8"/>
  <c r="BF639" i="8"/>
  <c r="BE639" i="8"/>
  <c r="BD639" i="8"/>
  <c r="BC639" i="8"/>
  <c r="BB639" i="8"/>
  <c r="BA639" i="8"/>
  <c r="AZ639" i="8"/>
  <c r="AY639" i="8"/>
  <c r="AX639" i="8"/>
  <c r="AW639" i="8"/>
  <c r="AV639" i="8"/>
  <c r="AU639" i="8"/>
  <c r="U639" i="8"/>
  <c r="L639" i="8"/>
  <c r="H639" i="8"/>
  <c r="G639" i="8"/>
  <c r="F639" i="8"/>
  <c r="D639" i="8"/>
  <c r="C639" i="8"/>
  <c r="B639" i="8"/>
  <c r="BJ638" i="8"/>
  <c r="BI638" i="8"/>
  <c r="BH638" i="8"/>
  <c r="BG638" i="8"/>
  <c r="BF638" i="8"/>
  <c r="BE638" i="8"/>
  <c r="BD638" i="8"/>
  <c r="BC638" i="8"/>
  <c r="BB638" i="8"/>
  <c r="BA638" i="8"/>
  <c r="AZ638" i="8"/>
  <c r="AY638" i="8"/>
  <c r="AX638" i="8"/>
  <c r="AW638" i="8"/>
  <c r="AV638" i="8"/>
  <c r="AU638" i="8"/>
  <c r="U638" i="8"/>
  <c r="L638" i="8"/>
  <c r="H638" i="8"/>
  <c r="G638" i="8"/>
  <c r="F638" i="8"/>
  <c r="D638" i="8"/>
  <c r="C638" i="8"/>
  <c r="B638" i="8"/>
  <c r="BJ637" i="8"/>
  <c r="BI637" i="8"/>
  <c r="BH637" i="8"/>
  <c r="BG637" i="8"/>
  <c r="BF637" i="8"/>
  <c r="BE637" i="8"/>
  <c r="BD637" i="8"/>
  <c r="BC637" i="8"/>
  <c r="BB637" i="8"/>
  <c r="BA637" i="8"/>
  <c r="AZ637" i="8"/>
  <c r="AY637" i="8"/>
  <c r="AX637" i="8"/>
  <c r="AW637" i="8"/>
  <c r="AV637" i="8"/>
  <c r="AU637" i="8"/>
  <c r="V637" i="8"/>
  <c r="U637" i="8"/>
  <c r="T637" i="8"/>
  <c r="S637" i="8"/>
  <c r="R637" i="8"/>
  <c r="Q637" i="8"/>
  <c r="O637" i="8"/>
  <c r="N637" i="8"/>
  <c r="M637" i="8"/>
  <c r="L637" i="8"/>
  <c r="J637" i="8"/>
  <c r="I637" i="8"/>
  <c r="H637" i="8"/>
  <c r="G637" i="8"/>
  <c r="F637" i="8"/>
  <c r="D637" i="8"/>
  <c r="C637" i="8"/>
  <c r="B637" i="8"/>
  <c r="BJ636" i="8"/>
  <c r="BI636" i="8"/>
  <c r="BH636" i="8"/>
  <c r="BG636" i="8"/>
  <c r="BF636" i="8"/>
  <c r="BE636" i="8"/>
  <c r="BD636" i="8"/>
  <c r="BC636" i="8"/>
  <c r="BB636" i="8"/>
  <c r="BA636" i="8"/>
  <c r="AZ636" i="8"/>
  <c r="AY636" i="8"/>
  <c r="AX636" i="8"/>
  <c r="AW636" i="8"/>
  <c r="AV636" i="8"/>
  <c r="AU636" i="8"/>
  <c r="V636" i="8"/>
  <c r="U636" i="8"/>
  <c r="T636" i="8"/>
  <c r="S636" i="8"/>
  <c r="R636" i="8"/>
  <c r="Q636" i="8"/>
  <c r="O636" i="8"/>
  <c r="M636" i="8"/>
  <c r="L636" i="8"/>
  <c r="J636" i="8"/>
  <c r="I636" i="8"/>
  <c r="H636" i="8"/>
  <c r="G636" i="8"/>
  <c r="F636" i="8"/>
  <c r="D636" i="8"/>
  <c r="C636" i="8"/>
  <c r="B636" i="8"/>
  <c r="BJ635" i="8"/>
  <c r="BI635" i="8"/>
  <c r="BH635" i="8"/>
  <c r="BG635" i="8"/>
  <c r="BF635" i="8"/>
  <c r="BE635" i="8"/>
  <c r="BD635" i="8"/>
  <c r="BC635" i="8"/>
  <c r="BB635" i="8"/>
  <c r="BA635" i="8"/>
  <c r="AZ635" i="8"/>
  <c r="AY635" i="8"/>
  <c r="AX635" i="8"/>
  <c r="AW635" i="8"/>
  <c r="AV635" i="8"/>
  <c r="AU635" i="8"/>
  <c r="V635" i="8"/>
  <c r="U635" i="8"/>
  <c r="T635" i="8"/>
  <c r="S635" i="8"/>
  <c r="R635" i="8"/>
  <c r="O635" i="8"/>
  <c r="N635" i="8"/>
  <c r="M635" i="8"/>
  <c r="L635" i="8"/>
  <c r="J635" i="8"/>
  <c r="I635" i="8"/>
  <c r="H635" i="8"/>
  <c r="G635" i="8"/>
  <c r="F635" i="8"/>
  <c r="D635" i="8"/>
  <c r="C635" i="8"/>
  <c r="B635" i="8"/>
  <c r="BJ634" i="8"/>
  <c r="BI634" i="8"/>
  <c r="BH634" i="8"/>
  <c r="BG634" i="8"/>
  <c r="BF634" i="8"/>
  <c r="BE634" i="8"/>
  <c r="BD634" i="8"/>
  <c r="BC634" i="8"/>
  <c r="BB634" i="8"/>
  <c r="BA634" i="8"/>
  <c r="AZ634" i="8"/>
  <c r="AY634" i="8"/>
  <c r="AX634" i="8"/>
  <c r="AW634" i="8"/>
  <c r="AV634" i="8"/>
  <c r="AU634" i="8"/>
  <c r="V634" i="8"/>
  <c r="U634" i="8"/>
  <c r="T634" i="8"/>
  <c r="S634" i="8"/>
  <c r="R634" i="8"/>
  <c r="Q634" i="8"/>
  <c r="P634" i="8"/>
  <c r="O634" i="8"/>
  <c r="N634" i="8"/>
  <c r="M634" i="8"/>
  <c r="L634" i="8"/>
  <c r="H634" i="8"/>
  <c r="G634" i="8"/>
  <c r="F634" i="8"/>
  <c r="D634" i="8"/>
  <c r="C634" i="8"/>
  <c r="B634" i="8"/>
  <c r="BJ633" i="8"/>
  <c r="BI633" i="8"/>
  <c r="BH633" i="8"/>
  <c r="BG633" i="8"/>
  <c r="BF633" i="8"/>
  <c r="BE633" i="8"/>
  <c r="BD633" i="8"/>
  <c r="BC633" i="8"/>
  <c r="BB633" i="8"/>
  <c r="BA633" i="8"/>
  <c r="AZ633" i="8"/>
  <c r="AY633" i="8"/>
  <c r="AX633" i="8"/>
  <c r="AW633" i="8"/>
  <c r="AV633" i="8"/>
  <c r="AU633" i="8"/>
  <c r="V633" i="8"/>
  <c r="U633" i="8"/>
  <c r="T633" i="8"/>
  <c r="S633" i="8"/>
  <c r="R633" i="8"/>
  <c r="N633" i="8"/>
  <c r="M633" i="8"/>
  <c r="L633" i="8"/>
  <c r="H633" i="8"/>
  <c r="G633" i="8"/>
  <c r="F633" i="8"/>
  <c r="D633" i="8"/>
  <c r="C633" i="8"/>
  <c r="B633" i="8"/>
  <c r="BJ632" i="8"/>
  <c r="BI632" i="8"/>
  <c r="BH632" i="8"/>
  <c r="BG632" i="8"/>
  <c r="BF632" i="8"/>
  <c r="BE632" i="8"/>
  <c r="BD632" i="8"/>
  <c r="BC632" i="8"/>
  <c r="BB632" i="8"/>
  <c r="BA632" i="8"/>
  <c r="AZ632" i="8"/>
  <c r="AY632" i="8"/>
  <c r="AX632" i="8"/>
  <c r="AW632" i="8"/>
  <c r="AV632" i="8"/>
  <c r="AU632" i="8"/>
  <c r="V632" i="8"/>
  <c r="U632" i="8"/>
  <c r="S632" i="8"/>
  <c r="R632" i="8"/>
  <c r="N632" i="8"/>
  <c r="M632" i="8"/>
  <c r="L632" i="8"/>
  <c r="I632" i="8"/>
  <c r="H632" i="8"/>
  <c r="G632" i="8"/>
  <c r="F632" i="8"/>
  <c r="D632" i="8"/>
  <c r="C632" i="8"/>
  <c r="B632" i="8"/>
  <c r="BJ631" i="8"/>
  <c r="BI631" i="8"/>
  <c r="BH631" i="8"/>
  <c r="BG631" i="8"/>
  <c r="BF631" i="8"/>
  <c r="BE631" i="8"/>
  <c r="BD631" i="8"/>
  <c r="BC631" i="8"/>
  <c r="BB631" i="8"/>
  <c r="BA631" i="8"/>
  <c r="AZ631" i="8"/>
  <c r="AY631" i="8"/>
  <c r="AX631" i="8"/>
  <c r="AW631" i="8"/>
  <c r="AV631" i="8"/>
  <c r="AU631" i="8"/>
  <c r="L631" i="8"/>
  <c r="H631" i="8"/>
  <c r="G631" i="8"/>
  <c r="F631" i="8"/>
  <c r="D631" i="8"/>
  <c r="C631" i="8"/>
  <c r="B631" i="8"/>
  <c r="BJ630" i="8"/>
  <c r="BI630" i="8"/>
  <c r="BH630" i="8"/>
  <c r="BG630" i="8"/>
  <c r="BF630" i="8"/>
  <c r="BE630" i="8"/>
  <c r="BD630" i="8"/>
  <c r="BC630" i="8"/>
  <c r="BB630" i="8"/>
  <c r="BA630" i="8"/>
  <c r="AZ630" i="8"/>
  <c r="AY630" i="8"/>
  <c r="AX630" i="8"/>
  <c r="AW630" i="8"/>
  <c r="AV630" i="8"/>
  <c r="AU630" i="8"/>
  <c r="U630" i="8"/>
  <c r="L630" i="8"/>
  <c r="H630" i="8"/>
  <c r="G630" i="8"/>
  <c r="F630" i="8"/>
  <c r="D630" i="8"/>
  <c r="C630" i="8"/>
  <c r="B630" i="8"/>
  <c r="BJ629" i="8"/>
  <c r="BI629" i="8"/>
  <c r="BH629" i="8"/>
  <c r="BG629" i="8"/>
  <c r="BF629" i="8"/>
  <c r="BE629" i="8"/>
  <c r="BD629" i="8"/>
  <c r="BC629" i="8"/>
  <c r="BB629" i="8"/>
  <c r="BA629" i="8"/>
  <c r="AZ629" i="8"/>
  <c r="AY629" i="8"/>
  <c r="AX629" i="8"/>
  <c r="AW629" i="8"/>
  <c r="AV629" i="8"/>
  <c r="AU629" i="8"/>
  <c r="V629" i="8"/>
  <c r="U629" i="8"/>
  <c r="S629" i="8"/>
  <c r="R629" i="8"/>
  <c r="Q629" i="8"/>
  <c r="P629" i="8"/>
  <c r="O629" i="8"/>
  <c r="N629" i="8"/>
  <c r="M629" i="8"/>
  <c r="L629" i="8"/>
  <c r="H629" i="8"/>
  <c r="G629" i="8"/>
  <c r="F629" i="8"/>
  <c r="D629" i="8"/>
  <c r="C629" i="8"/>
  <c r="B629" i="8"/>
  <c r="BJ628" i="8"/>
  <c r="BI628" i="8"/>
  <c r="BH628" i="8"/>
  <c r="BG628" i="8"/>
  <c r="BF628" i="8"/>
  <c r="BE628" i="8"/>
  <c r="BD628" i="8"/>
  <c r="BC628" i="8"/>
  <c r="BB628" i="8"/>
  <c r="BA628" i="8"/>
  <c r="AZ628" i="8"/>
  <c r="AY628" i="8"/>
  <c r="AX628" i="8"/>
  <c r="AW628" i="8"/>
  <c r="AV628" i="8"/>
  <c r="AU628" i="8"/>
  <c r="V628" i="8"/>
  <c r="U628" i="8"/>
  <c r="L628" i="8"/>
  <c r="H628" i="8"/>
  <c r="G628" i="8"/>
  <c r="F628" i="8"/>
  <c r="D628" i="8"/>
  <c r="C628" i="8"/>
  <c r="B628" i="8"/>
  <c r="BJ627" i="8"/>
  <c r="BI627" i="8"/>
  <c r="BH627" i="8"/>
  <c r="BG627" i="8"/>
  <c r="BF627" i="8"/>
  <c r="BE627" i="8"/>
  <c r="BD627" i="8"/>
  <c r="BC627" i="8"/>
  <c r="BB627" i="8"/>
  <c r="BA627" i="8"/>
  <c r="AZ627" i="8"/>
  <c r="AY627" i="8"/>
  <c r="AX627" i="8"/>
  <c r="AW627" i="8"/>
  <c r="AV627" i="8"/>
  <c r="AU627" i="8"/>
  <c r="V627" i="8"/>
  <c r="U627" i="8"/>
  <c r="S627" i="8"/>
  <c r="R627" i="8"/>
  <c r="M627" i="8"/>
  <c r="L627" i="8"/>
  <c r="H627" i="8"/>
  <c r="G627" i="8"/>
  <c r="F627" i="8"/>
  <c r="D627" i="8"/>
  <c r="C627" i="8"/>
  <c r="B627" i="8"/>
  <c r="BJ626" i="8"/>
  <c r="BI626" i="8"/>
  <c r="BH626" i="8"/>
  <c r="BG626" i="8"/>
  <c r="BF626" i="8"/>
  <c r="BE626" i="8"/>
  <c r="BD626" i="8"/>
  <c r="BC626" i="8"/>
  <c r="BB626" i="8"/>
  <c r="BA626" i="8"/>
  <c r="AZ626" i="8"/>
  <c r="AY626" i="8"/>
  <c r="AX626" i="8"/>
  <c r="AW626" i="8"/>
  <c r="AV626" i="8"/>
  <c r="AU626" i="8"/>
  <c r="V626" i="8"/>
  <c r="U626" i="8"/>
  <c r="T626" i="8"/>
  <c r="S626" i="8"/>
  <c r="R626" i="8"/>
  <c r="Q626" i="8"/>
  <c r="P626" i="8"/>
  <c r="O626" i="8"/>
  <c r="N626" i="8"/>
  <c r="M626" i="8"/>
  <c r="L626" i="8"/>
  <c r="H626" i="8"/>
  <c r="G626" i="8"/>
  <c r="F626" i="8"/>
  <c r="D626" i="8"/>
  <c r="C626" i="8"/>
  <c r="B626" i="8"/>
  <c r="BJ625" i="8"/>
  <c r="BI625" i="8"/>
  <c r="BH625" i="8"/>
  <c r="BG625" i="8"/>
  <c r="BF625" i="8"/>
  <c r="BE625" i="8"/>
  <c r="BD625" i="8"/>
  <c r="BC625" i="8"/>
  <c r="BB625" i="8"/>
  <c r="BA625" i="8"/>
  <c r="AZ625" i="8"/>
  <c r="AY625" i="8"/>
  <c r="AX625" i="8"/>
  <c r="AW625" i="8"/>
  <c r="AV625" i="8"/>
  <c r="AU625" i="8"/>
  <c r="V625" i="8"/>
  <c r="U625" i="8"/>
  <c r="T625" i="8"/>
  <c r="S625" i="8"/>
  <c r="R625" i="8"/>
  <c r="Q625" i="8"/>
  <c r="P625" i="8"/>
  <c r="O625" i="8"/>
  <c r="N625" i="8"/>
  <c r="M625" i="8"/>
  <c r="L625" i="8"/>
  <c r="K625" i="8"/>
  <c r="J625" i="8"/>
  <c r="I625" i="8"/>
  <c r="H625" i="8"/>
  <c r="G625" i="8"/>
  <c r="F625" i="8"/>
  <c r="D625" i="8"/>
  <c r="C625" i="8"/>
  <c r="B625" i="8"/>
  <c r="BJ624" i="8"/>
  <c r="BI624" i="8"/>
  <c r="BH624" i="8"/>
  <c r="BG624" i="8"/>
  <c r="BF624" i="8"/>
  <c r="BE624" i="8"/>
  <c r="BD624" i="8"/>
  <c r="BC624" i="8"/>
  <c r="BB624" i="8"/>
  <c r="BA624" i="8"/>
  <c r="AZ624" i="8"/>
  <c r="AY624" i="8"/>
  <c r="AX624" i="8"/>
  <c r="AW624" i="8"/>
  <c r="AV624" i="8"/>
  <c r="AU624" i="8"/>
  <c r="V624" i="8"/>
  <c r="U624" i="8"/>
  <c r="T624" i="8"/>
  <c r="S624" i="8"/>
  <c r="R624" i="8"/>
  <c r="N624" i="8"/>
  <c r="M624" i="8"/>
  <c r="L624" i="8"/>
  <c r="H624" i="8"/>
  <c r="G624" i="8"/>
  <c r="F624" i="8"/>
  <c r="D624" i="8"/>
  <c r="C624" i="8"/>
  <c r="B624" i="8"/>
  <c r="BJ623" i="8"/>
  <c r="BI623" i="8"/>
  <c r="BH623" i="8"/>
  <c r="BG623" i="8"/>
  <c r="BF623" i="8"/>
  <c r="BE623" i="8"/>
  <c r="BD623" i="8"/>
  <c r="BC623" i="8"/>
  <c r="BB623" i="8"/>
  <c r="BA623" i="8"/>
  <c r="AZ623" i="8"/>
  <c r="AY623" i="8"/>
  <c r="AX623" i="8"/>
  <c r="AW623" i="8"/>
  <c r="AV623" i="8"/>
  <c r="AU623" i="8"/>
  <c r="V623" i="8"/>
  <c r="U623" i="8"/>
  <c r="T623" i="8"/>
  <c r="S623" i="8"/>
  <c r="R623" i="8"/>
  <c r="M623" i="8"/>
  <c r="L623" i="8"/>
  <c r="K623" i="8"/>
  <c r="J623" i="8"/>
  <c r="I623" i="8"/>
  <c r="H623" i="8"/>
  <c r="G623" i="8"/>
  <c r="F623" i="8"/>
  <c r="D623" i="8"/>
  <c r="C623" i="8"/>
  <c r="B623" i="8"/>
  <c r="BJ622" i="8"/>
  <c r="BI622" i="8"/>
  <c r="BH622" i="8"/>
  <c r="BG622" i="8"/>
  <c r="BF622" i="8"/>
  <c r="BE622" i="8"/>
  <c r="BD622" i="8"/>
  <c r="BC622" i="8"/>
  <c r="BB622" i="8"/>
  <c r="BA622" i="8"/>
  <c r="AZ622" i="8"/>
  <c r="AY622" i="8"/>
  <c r="AX622" i="8"/>
  <c r="AW622" i="8"/>
  <c r="AV622" i="8"/>
  <c r="AU622" i="8"/>
  <c r="V622" i="8"/>
  <c r="U622" i="8"/>
  <c r="T622" i="8"/>
  <c r="S622" i="8"/>
  <c r="R622" i="8"/>
  <c r="M622" i="8"/>
  <c r="L622" i="8"/>
  <c r="J622" i="8"/>
  <c r="I622" i="8"/>
  <c r="H622" i="8"/>
  <c r="G622" i="8"/>
  <c r="F622" i="8"/>
  <c r="D622" i="8"/>
  <c r="C622" i="8"/>
  <c r="B622" i="8"/>
  <c r="BJ621" i="8"/>
  <c r="BI621" i="8"/>
  <c r="BH621" i="8"/>
  <c r="BG621" i="8"/>
  <c r="BF621" i="8"/>
  <c r="BE621" i="8"/>
  <c r="BD621" i="8"/>
  <c r="BC621" i="8"/>
  <c r="BB621" i="8"/>
  <c r="BA621" i="8"/>
  <c r="AZ621" i="8"/>
  <c r="AY621" i="8"/>
  <c r="AX621" i="8"/>
  <c r="AW621" i="8"/>
  <c r="AV621" i="8"/>
  <c r="AU621" i="8"/>
  <c r="V621" i="8"/>
  <c r="U621" i="8"/>
  <c r="T621" i="8"/>
  <c r="S621" i="8"/>
  <c r="R621" i="8"/>
  <c r="N621" i="8"/>
  <c r="M621" i="8"/>
  <c r="L621" i="8"/>
  <c r="K621" i="8"/>
  <c r="J621" i="8"/>
  <c r="I621" i="8"/>
  <c r="H621" i="8"/>
  <c r="G621" i="8"/>
  <c r="F621" i="8"/>
  <c r="D621" i="8"/>
  <c r="C621" i="8"/>
  <c r="B621" i="8"/>
  <c r="BJ620" i="8"/>
  <c r="BI620" i="8"/>
  <c r="BH620" i="8"/>
  <c r="BG620" i="8"/>
  <c r="BF620" i="8"/>
  <c r="BE620" i="8"/>
  <c r="BD620" i="8"/>
  <c r="BC620" i="8"/>
  <c r="BB620" i="8"/>
  <c r="BA620" i="8"/>
  <c r="AZ620" i="8"/>
  <c r="AY620" i="8"/>
  <c r="AX620" i="8"/>
  <c r="AW620" i="8"/>
  <c r="AV620" i="8"/>
  <c r="AU620" i="8"/>
  <c r="V620" i="8"/>
  <c r="U620" i="8"/>
  <c r="S620" i="8"/>
  <c r="R620" i="8"/>
  <c r="M620" i="8"/>
  <c r="L620" i="8"/>
  <c r="K620" i="8"/>
  <c r="J620" i="8"/>
  <c r="I620" i="8"/>
  <c r="H620" i="8"/>
  <c r="G620" i="8"/>
  <c r="F620" i="8"/>
  <c r="D620" i="8"/>
  <c r="C620" i="8"/>
  <c r="B620" i="8"/>
  <c r="BJ619" i="8"/>
  <c r="BI619" i="8"/>
  <c r="BH619" i="8"/>
  <c r="BG619" i="8"/>
  <c r="BF619" i="8"/>
  <c r="BE619" i="8"/>
  <c r="BD619" i="8"/>
  <c r="BC619" i="8"/>
  <c r="BB619" i="8"/>
  <c r="BA619" i="8"/>
  <c r="AZ619" i="8"/>
  <c r="AY619" i="8"/>
  <c r="AX619" i="8"/>
  <c r="AW619" i="8"/>
  <c r="AV619" i="8"/>
  <c r="AU619" i="8"/>
  <c r="V619" i="8"/>
  <c r="U619" i="8"/>
  <c r="T619" i="8"/>
  <c r="S619" i="8"/>
  <c r="R619" i="8"/>
  <c r="P619" i="8"/>
  <c r="N619" i="8"/>
  <c r="M619" i="8"/>
  <c r="L619" i="8"/>
  <c r="K619" i="8"/>
  <c r="J619" i="8"/>
  <c r="I619" i="8"/>
  <c r="H619" i="8"/>
  <c r="G619" i="8"/>
  <c r="F619" i="8"/>
  <c r="D619" i="8"/>
  <c r="C619" i="8"/>
  <c r="B619" i="8"/>
  <c r="BJ618" i="8"/>
  <c r="BI618" i="8"/>
  <c r="BH618" i="8"/>
  <c r="BG618" i="8"/>
  <c r="BF618" i="8"/>
  <c r="BE618" i="8"/>
  <c r="BD618" i="8"/>
  <c r="BC618" i="8"/>
  <c r="BB618" i="8"/>
  <c r="BA618" i="8"/>
  <c r="AZ618" i="8"/>
  <c r="AY618" i="8"/>
  <c r="AX618" i="8"/>
  <c r="AW618" i="8"/>
  <c r="AV618" i="8"/>
  <c r="AU618" i="8"/>
  <c r="L618" i="8"/>
  <c r="H618" i="8"/>
  <c r="G618" i="8"/>
  <c r="F618" i="8"/>
  <c r="D618" i="8"/>
  <c r="C618" i="8"/>
  <c r="B618" i="8"/>
  <c r="BJ617" i="8"/>
  <c r="BI617" i="8"/>
  <c r="BH617" i="8"/>
  <c r="BG617" i="8"/>
  <c r="BF617" i="8"/>
  <c r="BE617" i="8"/>
  <c r="BD617" i="8"/>
  <c r="BC617" i="8"/>
  <c r="BB617" i="8"/>
  <c r="BA617" i="8"/>
  <c r="AZ617" i="8"/>
  <c r="AY617" i="8"/>
  <c r="AX617" i="8"/>
  <c r="AW617" i="8"/>
  <c r="AV617" i="8"/>
  <c r="AU617" i="8"/>
  <c r="V617" i="8"/>
  <c r="U617" i="8"/>
  <c r="T617" i="8"/>
  <c r="S617" i="8"/>
  <c r="R617" i="8"/>
  <c r="O617" i="8"/>
  <c r="N617" i="8"/>
  <c r="M617" i="8"/>
  <c r="L617" i="8"/>
  <c r="K617" i="8"/>
  <c r="J617" i="8"/>
  <c r="H617" i="8"/>
  <c r="G617" i="8"/>
  <c r="F617" i="8"/>
  <c r="D617" i="8"/>
  <c r="C617" i="8"/>
  <c r="B617" i="8"/>
  <c r="BJ616" i="8"/>
  <c r="BI616" i="8"/>
  <c r="BH616" i="8"/>
  <c r="BG616" i="8"/>
  <c r="BF616" i="8"/>
  <c r="BE616" i="8"/>
  <c r="BD616" i="8"/>
  <c r="BC616" i="8"/>
  <c r="BB616" i="8"/>
  <c r="BA616" i="8"/>
  <c r="AZ616" i="8"/>
  <c r="AY616" i="8"/>
  <c r="AX616" i="8"/>
  <c r="AW616" i="8"/>
  <c r="AV616" i="8"/>
  <c r="AU616" i="8"/>
  <c r="V616" i="8"/>
  <c r="U616" i="8"/>
  <c r="T616" i="8"/>
  <c r="L616" i="8"/>
  <c r="H616" i="8"/>
  <c r="G616" i="8"/>
  <c r="F616" i="8"/>
  <c r="D616" i="8"/>
  <c r="C616" i="8"/>
  <c r="B616" i="8"/>
  <c r="BJ615" i="8"/>
  <c r="BI615" i="8"/>
  <c r="BH615" i="8"/>
  <c r="BG615" i="8"/>
  <c r="BF615" i="8"/>
  <c r="BE615" i="8"/>
  <c r="BD615" i="8"/>
  <c r="BC615" i="8"/>
  <c r="BB615" i="8"/>
  <c r="BA615" i="8"/>
  <c r="AZ615" i="8"/>
  <c r="AY615" i="8"/>
  <c r="AX615" i="8"/>
  <c r="AW615" i="8"/>
  <c r="AV615" i="8"/>
  <c r="AU615" i="8"/>
  <c r="V615" i="8"/>
  <c r="U615" i="8"/>
  <c r="S615" i="8"/>
  <c r="R615" i="8"/>
  <c r="Q615" i="8"/>
  <c r="P615" i="8"/>
  <c r="O615" i="8"/>
  <c r="N615" i="8"/>
  <c r="M615" i="8"/>
  <c r="L615" i="8"/>
  <c r="J615" i="8"/>
  <c r="I615" i="8"/>
  <c r="H615" i="8"/>
  <c r="G615" i="8"/>
  <c r="F615" i="8"/>
  <c r="D615" i="8"/>
  <c r="C615" i="8"/>
  <c r="B615" i="8"/>
  <c r="BJ614" i="8"/>
  <c r="BI614" i="8"/>
  <c r="BH614" i="8"/>
  <c r="BG614" i="8"/>
  <c r="BF614" i="8"/>
  <c r="BE614" i="8"/>
  <c r="BD614" i="8"/>
  <c r="BC614" i="8"/>
  <c r="BB614" i="8"/>
  <c r="BA614" i="8"/>
  <c r="AZ614" i="8"/>
  <c r="AY614" i="8"/>
  <c r="AX614" i="8"/>
  <c r="AW614" i="8"/>
  <c r="AV614" i="8"/>
  <c r="AU614" i="8"/>
  <c r="V614" i="8"/>
  <c r="U614" i="8"/>
  <c r="T614" i="8"/>
  <c r="S614" i="8"/>
  <c r="R614" i="8"/>
  <c r="Q614" i="8"/>
  <c r="P614" i="8"/>
  <c r="O614" i="8"/>
  <c r="N614" i="8"/>
  <c r="M614" i="8"/>
  <c r="L614" i="8"/>
  <c r="J614" i="8"/>
  <c r="I614" i="8"/>
  <c r="H614" i="8"/>
  <c r="G614" i="8"/>
  <c r="F614" i="8"/>
  <c r="D614" i="8"/>
  <c r="C614" i="8"/>
  <c r="B614" i="8"/>
  <c r="BJ613" i="8"/>
  <c r="BI613" i="8"/>
  <c r="BH613" i="8"/>
  <c r="BG613" i="8"/>
  <c r="BF613" i="8"/>
  <c r="BE613" i="8"/>
  <c r="BD613" i="8"/>
  <c r="BC613" i="8"/>
  <c r="BB613" i="8"/>
  <c r="BA613" i="8"/>
  <c r="AZ613" i="8"/>
  <c r="AY613" i="8"/>
  <c r="AX613" i="8"/>
  <c r="AW613" i="8"/>
  <c r="AV613" i="8"/>
  <c r="AU613" i="8"/>
  <c r="V613" i="8"/>
  <c r="U613" i="8"/>
  <c r="R613" i="8"/>
  <c r="Q613" i="8"/>
  <c r="P613" i="8"/>
  <c r="O613" i="8"/>
  <c r="N613" i="8"/>
  <c r="M613" i="8"/>
  <c r="L613" i="8"/>
  <c r="H613" i="8"/>
  <c r="G613" i="8"/>
  <c r="F613" i="8"/>
  <c r="D613" i="8"/>
  <c r="C613" i="8"/>
  <c r="B613" i="8"/>
  <c r="BJ612" i="8"/>
  <c r="BI612" i="8"/>
  <c r="BH612" i="8"/>
  <c r="BG612" i="8"/>
  <c r="BF612" i="8"/>
  <c r="BE612" i="8"/>
  <c r="BD612" i="8"/>
  <c r="BC612" i="8"/>
  <c r="BB612" i="8"/>
  <c r="BA612" i="8"/>
  <c r="AZ612" i="8"/>
  <c r="AY612" i="8"/>
  <c r="AX612" i="8"/>
  <c r="AW612" i="8"/>
  <c r="AV612" i="8"/>
  <c r="AU612" i="8"/>
  <c r="V612" i="8"/>
  <c r="U612" i="8"/>
  <c r="S612" i="8"/>
  <c r="R612" i="8"/>
  <c r="Q612" i="8"/>
  <c r="P612" i="8"/>
  <c r="O612" i="8"/>
  <c r="N612" i="8"/>
  <c r="M612" i="8"/>
  <c r="L612" i="8"/>
  <c r="H612" i="8"/>
  <c r="G612" i="8"/>
  <c r="F612" i="8"/>
  <c r="D612" i="8"/>
  <c r="C612" i="8"/>
  <c r="B612" i="8"/>
  <c r="BJ611" i="8"/>
  <c r="BI611" i="8"/>
  <c r="BH611" i="8"/>
  <c r="BG611" i="8"/>
  <c r="BF611" i="8"/>
  <c r="BE611" i="8"/>
  <c r="BD611" i="8"/>
  <c r="BC611" i="8"/>
  <c r="BB611" i="8"/>
  <c r="BA611" i="8"/>
  <c r="AZ611" i="8"/>
  <c r="AY611" i="8"/>
  <c r="AX611" i="8"/>
  <c r="AW611" i="8"/>
  <c r="AV611" i="8"/>
  <c r="AU611" i="8"/>
  <c r="V611" i="8"/>
  <c r="U611" i="8"/>
  <c r="S611" i="8"/>
  <c r="R611" i="8"/>
  <c r="O611" i="8"/>
  <c r="N611" i="8"/>
  <c r="M611" i="8"/>
  <c r="L611" i="8"/>
  <c r="J611" i="8"/>
  <c r="I611" i="8"/>
  <c r="H611" i="8"/>
  <c r="G611" i="8"/>
  <c r="F611" i="8"/>
  <c r="D611" i="8"/>
  <c r="C611" i="8"/>
  <c r="B611" i="8"/>
  <c r="BJ610" i="8"/>
  <c r="BI610" i="8"/>
  <c r="BH610" i="8"/>
  <c r="BG610" i="8"/>
  <c r="BF610" i="8"/>
  <c r="BE610" i="8"/>
  <c r="BD610" i="8"/>
  <c r="BC610" i="8"/>
  <c r="BB610" i="8"/>
  <c r="BA610" i="8"/>
  <c r="AZ610" i="8"/>
  <c r="AY610" i="8"/>
  <c r="AX610" i="8"/>
  <c r="AW610" i="8"/>
  <c r="AV610" i="8"/>
  <c r="AU610" i="8"/>
  <c r="V610" i="8"/>
  <c r="U610" i="8"/>
  <c r="T610" i="8"/>
  <c r="S610" i="8"/>
  <c r="R610" i="8"/>
  <c r="Q610" i="8"/>
  <c r="P610" i="8"/>
  <c r="O610" i="8"/>
  <c r="N610" i="8"/>
  <c r="M610" i="8"/>
  <c r="L610" i="8"/>
  <c r="K610" i="8"/>
  <c r="J610" i="8"/>
  <c r="I610" i="8"/>
  <c r="H610" i="8"/>
  <c r="G610" i="8"/>
  <c r="F610" i="8"/>
  <c r="D610" i="8"/>
  <c r="C610" i="8"/>
  <c r="B610" i="8"/>
  <c r="BJ609" i="8"/>
  <c r="BI609" i="8"/>
  <c r="BH609" i="8"/>
  <c r="BG609" i="8"/>
  <c r="BF609" i="8"/>
  <c r="BE609" i="8"/>
  <c r="BD609" i="8"/>
  <c r="BC609" i="8"/>
  <c r="BB609" i="8"/>
  <c r="BA609" i="8"/>
  <c r="AZ609" i="8"/>
  <c r="AY609" i="8"/>
  <c r="AX609" i="8"/>
  <c r="AW609" i="8"/>
  <c r="AV609" i="8"/>
  <c r="AU609" i="8"/>
  <c r="V609" i="8"/>
  <c r="U609" i="8"/>
  <c r="T609" i="8"/>
  <c r="S609" i="8"/>
  <c r="R609" i="8"/>
  <c r="P609" i="8"/>
  <c r="O609" i="8"/>
  <c r="N609" i="8"/>
  <c r="M609" i="8"/>
  <c r="L609" i="8"/>
  <c r="K609" i="8"/>
  <c r="J609" i="8"/>
  <c r="I609" i="8"/>
  <c r="H609" i="8"/>
  <c r="G609" i="8"/>
  <c r="F609" i="8"/>
  <c r="D609" i="8"/>
  <c r="C609" i="8"/>
  <c r="B609" i="8"/>
  <c r="BJ608" i="8"/>
  <c r="BI608" i="8"/>
  <c r="BH608" i="8"/>
  <c r="BG608" i="8"/>
  <c r="BF608" i="8"/>
  <c r="BE608" i="8"/>
  <c r="BD608" i="8"/>
  <c r="BC608" i="8"/>
  <c r="BB608" i="8"/>
  <c r="BA608" i="8"/>
  <c r="AZ608" i="8"/>
  <c r="AY608" i="8"/>
  <c r="AX608" i="8"/>
  <c r="AW608" i="8"/>
  <c r="AV608" i="8"/>
  <c r="AU608" i="8"/>
  <c r="U608" i="8"/>
  <c r="S608" i="8"/>
  <c r="R608" i="8"/>
  <c r="O608" i="8"/>
  <c r="N608" i="8"/>
  <c r="M608" i="8"/>
  <c r="L608" i="8"/>
  <c r="K608" i="8"/>
  <c r="J608" i="8"/>
  <c r="I608" i="8"/>
  <c r="H608" i="8"/>
  <c r="G608" i="8"/>
  <c r="F608" i="8"/>
  <c r="D608" i="8"/>
  <c r="C608" i="8"/>
  <c r="B608" i="8"/>
  <c r="BJ607" i="8"/>
  <c r="BI607" i="8"/>
  <c r="BH607" i="8"/>
  <c r="BG607" i="8"/>
  <c r="BF607" i="8"/>
  <c r="BE607" i="8"/>
  <c r="BD607" i="8"/>
  <c r="BC607" i="8"/>
  <c r="BB607" i="8"/>
  <c r="BA607" i="8"/>
  <c r="AZ607" i="8"/>
  <c r="AY607" i="8"/>
  <c r="AX607" i="8"/>
  <c r="AW607" i="8"/>
  <c r="AV607" i="8"/>
  <c r="AU607" i="8"/>
  <c r="V607" i="8"/>
  <c r="U607" i="8"/>
  <c r="T607" i="8"/>
  <c r="S607" i="8"/>
  <c r="R607" i="8"/>
  <c r="Q607" i="8"/>
  <c r="P607" i="8"/>
  <c r="O607" i="8"/>
  <c r="N607" i="8"/>
  <c r="M607" i="8"/>
  <c r="L607" i="8"/>
  <c r="J607" i="8"/>
  <c r="I607" i="8"/>
  <c r="H607" i="8"/>
  <c r="G607" i="8"/>
  <c r="F607" i="8"/>
  <c r="D607" i="8"/>
  <c r="C607" i="8"/>
  <c r="B607" i="8"/>
  <c r="BJ606" i="8"/>
  <c r="BI606" i="8"/>
  <c r="BH606" i="8"/>
  <c r="BG606" i="8"/>
  <c r="BF606" i="8"/>
  <c r="BE606" i="8"/>
  <c r="BD606" i="8"/>
  <c r="BC606" i="8"/>
  <c r="BB606" i="8"/>
  <c r="BA606" i="8"/>
  <c r="AZ606" i="8"/>
  <c r="AY606" i="8"/>
  <c r="AX606" i="8"/>
  <c r="AW606" i="8"/>
  <c r="AV606" i="8"/>
  <c r="AU606" i="8"/>
  <c r="V606" i="8"/>
  <c r="U606" i="8"/>
  <c r="T606" i="8"/>
  <c r="S606" i="8"/>
  <c r="R606" i="8"/>
  <c r="P606" i="8"/>
  <c r="O606" i="8"/>
  <c r="N606" i="8"/>
  <c r="M606" i="8"/>
  <c r="L606" i="8"/>
  <c r="J606" i="8"/>
  <c r="I606" i="8"/>
  <c r="H606" i="8"/>
  <c r="G606" i="8"/>
  <c r="F606" i="8"/>
  <c r="D606" i="8"/>
  <c r="C606" i="8"/>
  <c r="B606" i="8"/>
  <c r="BJ605" i="8"/>
  <c r="BI605" i="8"/>
  <c r="BH605" i="8"/>
  <c r="BG605" i="8"/>
  <c r="BF605" i="8"/>
  <c r="BE605" i="8"/>
  <c r="BD605" i="8"/>
  <c r="BC605" i="8"/>
  <c r="BB605" i="8"/>
  <c r="BA605" i="8"/>
  <c r="AZ605" i="8"/>
  <c r="AY605" i="8"/>
  <c r="AX605" i="8"/>
  <c r="AW605" i="8"/>
  <c r="AV605" i="8"/>
  <c r="AU605" i="8"/>
  <c r="V605" i="8"/>
  <c r="U605" i="8"/>
  <c r="T605" i="8"/>
  <c r="S605" i="8"/>
  <c r="R605" i="8"/>
  <c r="O605" i="8"/>
  <c r="N605" i="8"/>
  <c r="M605" i="8"/>
  <c r="L605" i="8"/>
  <c r="K605" i="8"/>
  <c r="J605" i="8"/>
  <c r="I605" i="8"/>
  <c r="H605" i="8"/>
  <c r="G605" i="8"/>
  <c r="F605" i="8"/>
  <c r="D605" i="8"/>
  <c r="C605" i="8"/>
  <c r="B605" i="8"/>
  <c r="BJ604" i="8"/>
  <c r="BI604" i="8"/>
  <c r="BH604" i="8"/>
  <c r="BG604" i="8"/>
  <c r="BF604" i="8"/>
  <c r="BE604" i="8"/>
  <c r="BD604" i="8"/>
  <c r="BC604" i="8"/>
  <c r="BB604" i="8"/>
  <c r="BA604" i="8"/>
  <c r="AZ604" i="8"/>
  <c r="AY604" i="8"/>
  <c r="AX604" i="8"/>
  <c r="AW604" i="8"/>
  <c r="AV604" i="8"/>
  <c r="AU604" i="8"/>
  <c r="V604" i="8"/>
  <c r="U604" i="8"/>
  <c r="T604" i="8"/>
  <c r="S604" i="8"/>
  <c r="R604" i="8"/>
  <c r="O604" i="8"/>
  <c r="N604" i="8"/>
  <c r="M604" i="8"/>
  <c r="L604" i="8"/>
  <c r="K604" i="8"/>
  <c r="J604" i="8"/>
  <c r="I604" i="8"/>
  <c r="H604" i="8"/>
  <c r="G604" i="8"/>
  <c r="F604" i="8"/>
  <c r="D604" i="8"/>
  <c r="C604" i="8"/>
  <c r="B604" i="8"/>
  <c r="BJ603" i="8"/>
  <c r="BI603" i="8"/>
  <c r="BH603" i="8"/>
  <c r="BG603" i="8"/>
  <c r="BF603" i="8"/>
  <c r="BE603" i="8"/>
  <c r="BD603" i="8"/>
  <c r="BC603" i="8"/>
  <c r="BB603" i="8"/>
  <c r="BA603" i="8"/>
  <c r="AZ603" i="8"/>
  <c r="AY603" i="8"/>
  <c r="AX603" i="8"/>
  <c r="AW603" i="8"/>
  <c r="AV603" i="8"/>
  <c r="AU603" i="8"/>
  <c r="L603" i="8"/>
  <c r="H603" i="8"/>
  <c r="G603" i="8"/>
  <c r="F603" i="8"/>
  <c r="D603" i="8"/>
  <c r="C603" i="8"/>
  <c r="B603" i="8"/>
  <c r="BJ602" i="8"/>
  <c r="BI602" i="8"/>
  <c r="BH602" i="8"/>
  <c r="BG602" i="8"/>
  <c r="BF602" i="8"/>
  <c r="BE602" i="8"/>
  <c r="BD602" i="8"/>
  <c r="BC602" i="8"/>
  <c r="BB602" i="8"/>
  <c r="BA602" i="8"/>
  <c r="AZ602" i="8"/>
  <c r="AY602" i="8"/>
  <c r="AX602" i="8"/>
  <c r="AW602" i="8"/>
  <c r="AV602" i="8"/>
  <c r="AU602" i="8"/>
  <c r="L602" i="8"/>
  <c r="H602" i="8"/>
  <c r="G602" i="8"/>
  <c r="F602" i="8"/>
  <c r="D602" i="8"/>
  <c r="C602" i="8"/>
  <c r="B602" i="8"/>
  <c r="BJ601" i="8"/>
  <c r="BI601" i="8"/>
  <c r="BH601" i="8"/>
  <c r="BG601" i="8"/>
  <c r="BF601" i="8"/>
  <c r="BE601" i="8"/>
  <c r="BD601" i="8"/>
  <c r="BC601" i="8"/>
  <c r="BB601" i="8"/>
  <c r="BA601" i="8"/>
  <c r="AZ601" i="8"/>
  <c r="AY601" i="8"/>
  <c r="AX601" i="8"/>
  <c r="AW601" i="8"/>
  <c r="AV601" i="8"/>
  <c r="AU601" i="8"/>
  <c r="L601" i="8"/>
  <c r="H601" i="8"/>
  <c r="G601" i="8"/>
  <c r="F601" i="8"/>
  <c r="D601" i="8"/>
  <c r="C601" i="8"/>
  <c r="B601" i="8"/>
  <c r="BJ600" i="8"/>
  <c r="BI600" i="8"/>
  <c r="BH600" i="8"/>
  <c r="BG600" i="8"/>
  <c r="BF600" i="8"/>
  <c r="BE600" i="8"/>
  <c r="BD600" i="8"/>
  <c r="BC600" i="8"/>
  <c r="BB600" i="8"/>
  <c r="BA600" i="8"/>
  <c r="AZ600" i="8"/>
  <c r="AY600" i="8"/>
  <c r="AX600" i="8"/>
  <c r="AW600" i="8"/>
  <c r="AV600" i="8"/>
  <c r="AU600" i="8"/>
  <c r="L600" i="8"/>
  <c r="H600" i="8"/>
  <c r="G600" i="8"/>
  <c r="F600" i="8"/>
  <c r="D600" i="8"/>
  <c r="C600" i="8"/>
  <c r="B600" i="8"/>
  <c r="BJ599" i="8"/>
  <c r="BI599" i="8"/>
  <c r="BH599" i="8"/>
  <c r="BG599" i="8"/>
  <c r="BF599" i="8"/>
  <c r="BE599" i="8"/>
  <c r="BD599" i="8"/>
  <c r="BC599" i="8"/>
  <c r="BB599" i="8"/>
  <c r="BA599" i="8"/>
  <c r="AZ599" i="8"/>
  <c r="AY599" i="8"/>
  <c r="AX599" i="8"/>
  <c r="AW599" i="8"/>
  <c r="AV599" i="8"/>
  <c r="AU599" i="8"/>
  <c r="L599" i="8"/>
  <c r="H599" i="8"/>
  <c r="G599" i="8"/>
  <c r="F599" i="8"/>
  <c r="D599" i="8"/>
  <c r="C599" i="8"/>
  <c r="B599" i="8"/>
  <c r="BJ598" i="8"/>
  <c r="BI598" i="8"/>
  <c r="BH598" i="8"/>
  <c r="BG598" i="8"/>
  <c r="BF598" i="8"/>
  <c r="BE598" i="8"/>
  <c r="BD598" i="8"/>
  <c r="BC598" i="8"/>
  <c r="BB598" i="8"/>
  <c r="BA598" i="8"/>
  <c r="AZ598" i="8"/>
  <c r="AY598" i="8"/>
  <c r="AX598" i="8"/>
  <c r="AW598" i="8"/>
  <c r="AV598" i="8"/>
  <c r="AU598" i="8"/>
  <c r="L598" i="8"/>
  <c r="H598" i="8"/>
  <c r="G598" i="8"/>
  <c r="F598" i="8"/>
  <c r="D598" i="8"/>
  <c r="C598" i="8"/>
  <c r="B598" i="8"/>
  <c r="BJ597" i="8"/>
  <c r="BI597" i="8"/>
  <c r="BH597" i="8"/>
  <c r="BG597" i="8"/>
  <c r="BF597" i="8"/>
  <c r="BE597" i="8"/>
  <c r="BD597" i="8"/>
  <c r="BC597" i="8"/>
  <c r="BB597" i="8"/>
  <c r="BA597" i="8"/>
  <c r="AZ597" i="8"/>
  <c r="AY597" i="8"/>
  <c r="AX597" i="8"/>
  <c r="AW597" i="8"/>
  <c r="AV597" i="8"/>
  <c r="AU597" i="8"/>
  <c r="L597" i="8"/>
  <c r="H597" i="8"/>
  <c r="G597" i="8"/>
  <c r="F597" i="8"/>
  <c r="D597" i="8"/>
  <c r="C597" i="8"/>
  <c r="B597" i="8"/>
  <c r="BJ596" i="8"/>
  <c r="BI596" i="8"/>
  <c r="BH596" i="8"/>
  <c r="BG596" i="8"/>
  <c r="BF596" i="8"/>
  <c r="BE596" i="8"/>
  <c r="BD596" i="8"/>
  <c r="BC596" i="8"/>
  <c r="BB596" i="8"/>
  <c r="BA596" i="8"/>
  <c r="AZ596" i="8"/>
  <c r="AY596" i="8"/>
  <c r="AX596" i="8"/>
  <c r="AW596" i="8"/>
  <c r="AV596" i="8"/>
  <c r="AU596" i="8"/>
  <c r="L596" i="8"/>
  <c r="H596" i="8"/>
  <c r="G596" i="8"/>
  <c r="F596" i="8"/>
  <c r="D596" i="8"/>
  <c r="C596" i="8"/>
  <c r="B596" i="8"/>
  <c r="BJ595" i="8"/>
  <c r="BI595" i="8"/>
  <c r="BH595" i="8"/>
  <c r="BG595" i="8"/>
  <c r="BF595" i="8"/>
  <c r="BE595" i="8"/>
  <c r="BD595" i="8"/>
  <c r="BC595" i="8"/>
  <c r="BB595" i="8"/>
  <c r="BA595" i="8"/>
  <c r="AZ595" i="8"/>
  <c r="AY595" i="8"/>
  <c r="AX595" i="8"/>
  <c r="AW595" i="8"/>
  <c r="AV595" i="8"/>
  <c r="AU595" i="8"/>
  <c r="L595" i="8"/>
  <c r="H595" i="8"/>
  <c r="G595" i="8"/>
  <c r="F595" i="8"/>
  <c r="D595" i="8"/>
  <c r="C595" i="8"/>
  <c r="B595" i="8"/>
  <c r="BJ594" i="8"/>
  <c r="BI594" i="8"/>
  <c r="BH594" i="8"/>
  <c r="BG594" i="8"/>
  <c r="BF594" i="8"/>
  <c r="BE594" i="8"/>
  <c r="BD594" i="8"/>
  <c r="BC594" i="8"/>
  <c r="BB594" i="8"/>
  <c r="BA594" i="8"/>
  <c r="AZ594" i="8"/>
  <c r="AY594" i="8"/>
  <c r="AX594" i="8"/>
  <c r="AW594" i="8"/>
  <c r="AV594" i="8"/>
  <c r="AU594" i="8"/>
  <c r="L594" i="8"/>
  <c r="H594" i="8"/>
  <c r="G594" i="8"/>
  <c r="F594" i="8"/>
  <c r="D594" i="8"/>
  <c r="C594" i="8"/>
  <c r="B594" i="8"/>
  <c r="BJ593" i="8"/>
  <c r="BI593" i="8"/>
  <c r="BH593" i="8"/>
  <c r="BG593" i="8"/>
  <c r="BF593" i="8"/>
  <c r="BE593" i="8"/>
  <c r="BD593" i="8"/>
  <c r="BC593" i="8"/>
  <c r="BB593" i="8"/>
  <c r="BA593" i="8"/>
  <c r="AZ593" i="8"/>
  <c r="AY593" i="8"/>
  <c r="AX593" i="8"/>
  <c r="AW593" i="8"/>
  <c r="AV593" i="8"/>
  <c r="AU593" i="8"/>
  <c r="L593" i="8"/>
  <c r="H593" i="8"/>
  <c r="G593" i="8"/>
  <c r="F593" i="8"/>
  <c r="D593" i="8"/>
  <c r="C593" i="8"/>
  <c r="B593" i="8"/>
  <c r="BJ592" i="8"/>
  <c r="BI592" i="8"/>
  <c r="BH592" i="8"/>
  <c r="BG592" i="8"/>
  <c r="BF592" i="8"/>
  <c r="BE592" i="8"/>
  <c r="BD592" i="8"/>
  <c r="BC592" i="8"/>
  <c r="BB592" i="8"/>
  <c r="BA592" i="8"/>
  <c r="AZ592" i="8"/>
  <c r="AY592" i="8"/>
  <c r="AX592" i="8"/>
  <c r="AW592" i="8"/>
  <c r="AV592" i="8"/>
  <c r="AU592" i="8"/>
  <c r="L592" i="8"/>
  <c r="H592" i="8"/>
  <c r="G592" i="8"/>
  <c r="F592" i="8"/>
  <c r="D592" i="8"/>
  <c r="C592" i="8"/>
  <c r="B592" i="8"/>
  <c r="BJ591" i="8"/>
  <c r="BI591" i="8"/>
  <c r="BH591" i="8"/>
  <c r="BG591" i="8"/>
  <c r="BF591" i="8"/>
  <c r="BE591" i="8"/>
  <c r="BD591" i="8"/>
  <c r="BC591" i="8"/>
  <c r="BB591" i="8"/>
  <c r="BA591" i="8"/>
  <c r="AZ591" i="8"/>
  <c r="AY591" i="8"/>
  <c r="AX591" i="8"/>
  <c r="AW591" i="8"/>
  <c r="AV591" i="8"/>
  <c r="AU591" i="8"/>
  <c r="L591" i="8"/>
  <c r="H591" i="8"/>
  <c r="G591" i="8"/>
  <c r="F591" i="8"/>
  <c r="D591" i="8"/>
  <c r="C591" i="8"/>
  <c r="B591" i="8"/>
  <c r="BJ590" i="8"/>
  <c r="BI590" i="8"/>
  <c r="BH590" i="8"/>
  <c r="BG590" i="8"/>
  <c r="BF590" i="8"/>
  <c r="BE590" i="8"/>
  <c r="BD590" i="8"/>
  <c r="BC590" i="8"/>
  <c r="BB590" i="8"/>
  <c r="BA590" i="8"/>
  <c r="AZ590" i="8"/>
  <c r="AY590" i="8"/>
  <c r="AX590" i="8"/>
  <c r="AW590" i="8"/>
  <c r="AV590" i="8"/>
  <c r="AU590" i="8"/>
  <c r="L590" i="8"/>
  <c r="H590" i="8"/>
  <c r="G590" i="8"/>
  <c r="F590" i="8"/>
  <c r="D590" i="8"/>
  <c r="C590" i="8"/>
  <c r="B590" i="8"/>
  <c r="BJ589" i="8"/>
  <c r="BI589" i="8"/>
  <c r="BH589" i="8"/>
  <c r="BG589" i="8"/>
  <c r="BF589" i="8"/>
  <c r="BE589" i="8"/>
  <c r="BD589" i="8"/>
  <c r="BC589" i="8"/>
  <c r="BB589" i="8"/>
  <c r="BA589" i="8"/>
  <c r="AZ589" i="8"/>
  <c r="AY589" i="8"/>
  <c r="AX589" i="8"/>
  <c r="AW589" i="8"/>
  <c r="AV589" i="8"/>
  <c r="AU589" i="8"/>
  <c r="L589" i="8"/>
  <c r="H589" i="8"/>
  <c r="G589" i="8"/>
  <c r="F589" i="8"/>
  <c r="D589" i="8"/>
  <c r="C589" i="8"/>
  <c r="B589" i="8"/>
  <c r="BJ588" i="8"/>
  <c r="BI588" i="8"/>
  <c r="BH588" i="8"/>
  <c r="BG588" i="8"/>
  <c r="BF588" i="8"/>
  <c r="BE588" i="8"/>
  <c r="BD588" i="8"/>
  <c r="BC588" i="8"/>
  <c r="BB588" i="8"/>
  <c r="BA588" i="8"/>
  <c r="AZ588" i="8"/>
  <c r="AY588" i="8"/>
  <c r="AX588" i="8"/>
  <c r="AW588" i="8"/>
  <c r="AV588" i="8"/>
  <c r="AU588" i="8"/>
  <c r="L588" i="8"/>
  <c r="H588" i="8"/>
  <c r="G588" i="8"/>
  <c r="F588" i="8"/>
  <c r="D588" i="8"/>
  <c r="C588" i="8"/>
  <c r="B588" i="8"/>
  <c r="BJ587" i="8"/>
  <c r="BI587" i="8"/>
  <c r="BH587" i="8"/>
  <c r="BG587" i="8"/>
  <c r="BF587" i="8"/>
  <c r="BE587" i="8"/>
  <c r="BD587" i="8"/>
  <c r="BC587" i="8"/>
  <c r="BB587" i="8"/>
  <c r="BA587" i="8"/>
  <c r="AZ587" i="8"/>
  <c r="AY587" i="8"/>
  <c r="AX587" i="8"/>
  <c r="AW587" i="8"/>
  <c r="AV587" i="8"/>
  <c r="AU587" i="8"/>
  <c r="L587" i="8"/>
  <c r="H587" i="8"/>
  <c r="G587" i="8"/>
  <c r="F587" i="8"/>
  <c r="D587" i="8"/>
  <c r="C587" i="8"/>
  <c r="B587" i="8"/>
  <c r="BJ586" i="8"/>
  <c r="BI586" i="8"/>
  <c r="BH586" i="8"/>
  <c r="BG586" i="8"/>
  <c r="BF586" i="8"/>
  <c r="BE586" i="8"/>
  <c r="BD586" i="8"/>
  <c r="BC586" i="8"/>
  <c r="BB586" i="8"/>
  <c r="BA586" i="8"/>
  <c r="AZ586" i="8"/>
  <c r="AY586" i="8"/>
  <c r="AX586" i="8"/>
  <c r="AW586" i="8"/>
  <c r="AV586" i="8"/>
  <c r="AU586" i="8"/>
  <c r="L586" i="8"/>
  <c r="H586" i="8"/>
  <c r="G586" i="8"/>
  <c r="F586" i="8"/>
  <c r="D586" i="8"/>
  <c r="C586" i="8"/>
  <c r="B586" i="8"/>
  <c r="BJ585" i="8"/>
  <c r="BI585" i="8"/>
  <c r="BH585" i="8"/>
  <c r="BG585" i="8"/>
  <c r="BF585" i="8"/>
  <c r="BE585" i="8"/>
  <c r="BD585" i="8"/>
  <c r="BC585" i="8"/>
  <c r="BB585" i="8"/>
  <c r="BA585" i="8"/>
  <c r="AZ585" i="8"/>
  <c r="AY585" i="8"/>
  <c r="AX585" i="8"/>
  <c r="AW585" i="8"/>
  <c r="AV585" i="8"/>
  <c r="AU585" i="8"/>
  <c r="L585" i="8"/>
  <c r="H585" i="8"/>
  <c r="G585" i="8"/>
  <c r="F585" i="8"/>
  <c r="D585" i="8"/>
  <c r="C585" i="8"/>
  <c r="B585" i="8"/>
  <c r="BJ584" i="8"/>
  <c r="BI584" i="8"/>
  <c r="BH584" i="8"/>
  <c r="BG584" i="8"/>
  <c r="BF584" i="8"/>
  <c r="BE584" i="8"/>
  <c r="BD584" i="8"/>
  <c r="BC584" i="8"/>
  <c r="BB584" i="8"/>
  <c r="BA584" i="8"/>
  <c r="AZ584" i="8"/>
  <c r="AY584" i="8"/>
  <c r="AX584" i="8"/>
  <c r="AW584" i="8"/>
  <c r="AV584" i="8"/>
  <c r="AU584" i="8"/>
  <c r="L584" i="8"/>
  <c r="H584" i="8"/>
  <c r="G584" i="8"/>
  <c r="F584" i="8"/>
  <c r="D584" i="8"/>
  <c r="C584" i="8"/>
  <c r="B584" i="8"/>
  <c r="BJ583" i="8"/>
  <c r="BI583" i="8"/>
  <c r="BH583" i="8"/>
  <c r="BG583" i="8"/>
  <c r="BF583" i="8"/>
  <c r="BE583" i="8"/>
  <c r="BD583" i="8"/>
  <c r="BC583" i="8"/>
  <c r="BB583" i="8"/>
  <c r="BA583" i="8"/>
  <c r="AZ583" i="8"/>
  <c r="AY583" i="8"/>
  <c r="AX583" i="8"/>
  <c r="AW583" i="8"/>
  <c r="AV583" i="8"/>
  <c r="AU583" i="8"/>
  <c r="L583" i="8"/>
  <c r="H583" i="8"/>
  <c r="G583" i="8"/>
  <c r="F583" i="8"/>
  <c r="D583" i="8"/>
  <c r="C583" i="8"/>
  <c r="B583" i="8"/>
  <c r="BJ582" i="8"/>
  <c r="BI582" i="8"/>
  <c r="BH582" i="8"/>
  <c r="BG582" i="8"/>
  <c r="BF582" i="8"/>
  <c r="BE582" i="8"/>
  <c r="BD582" i="8"/>
  <c r="BC582" i="8"/>
  <c r="BB582" i="8"/>
  <c r="BA582" i="8"/>
  <c r="AZ582" i="8"/>
  <c r="AY582" i="8"/>
  <c r="AX582" i="8"/>
  <c r="AW582" i="8"/>
  <c r="AV582" i="8"/>
  <c r="AU582" i="8"/>
  <c r="L582" i="8"/>
  <c r="H582" i="8"/>
  <c r="G582" i="8"/>
  <c r="F582" i="8"/>
  <c r="D582" i="8"/>
  <c r="C582" i="8"/>
  <c r="B582" i="8"/>
  <c r="BJ581" i="8"/>
  <c r="BI581" i="8"/>
  <c r="BH581" i="8"/>
  <c r="BG581" i="8"/>
  <c r="BF581" i="8"/>
  <c r="BE581" i="8"/>
  <c r="BD581" i="8"/>
  <c r="BC581" i="8"/>
  <c r="BB581" i="8"/>
  <c r="BA581" i="8"/>
  <c r="AZ581" i="8"/>
  <c r="AY581" i="8"/>
  <c r="AX581" i="8"/>
  <c r="AW581" i="8"/>
  <c r="AV581" i="8"/>
  <c r="AU581" i="8"/>
  <c r="L581" i="8"/>
  <c r="H581" i="8"/>
  <c r="G581" i="8"/>
  <c r="F581" i="8"/>
  <c r="D581" i="8"/>
  <c r="C581" i="8"/>
  <c r="B581" i="8"/>
  <c r="BJ580" i="8"/>
  <c r="BI580" i="8"/>
  <c r="BH580" i="8"/>
  <c r="BG580" i="8"/>
  <c r="BF580" i="8"/>
  <c r="BE580" i="8"/>
  <c r="BD580" i="8"/>
  <c r="BC580" i="8"/>
  <c r="BB580" i="8"/>
  <c r="BA580" i="8"/>
  <c r="AZ580" i="8"/>
  <c r="AY580" i="8"/>
  <c r="AX580" i="8"/>
  <c r="AW580" i="8"/>
  <c r="AV580" i="8"/>
  <c r="AU580" i="8"/>
  <c r="L580" i="8"/>
  <c r="H580" i="8"/>
  <c r="G580" i="8"/>
  <c r="F580" i="8"/>
  <c r="D580" i="8"/>
  <c r="C580" i="8"/>
  <c r="B580" i="8"/>
  <c r="BJ579" i="8"/>
  <c r="BI579" i="8"/>
  <c r="BH579" i="8"/>
  <c r="BG579" i="8"/>
  <c r="BF579" i="8"/>
  <c r="BE579" i="8"/>
  <c r="BD579" i="8"/>
  <c r="BC579" i="8"/>
  <c r="BB579" i="8"/>
  <c r="BA579" i="8"/>
  <c r="AZ579" i="8"/>
  <c r="AY579" i="8"/>
  <c r="AX579" i="8"/>
  <c r="AW579" i="8"/>
  <c r="AV579" i="8"/>
  <c r="AU579" i="8"/>
  <c r="L579" i="8"/>
  <c r="H579" i="8"/>
  <c r="G579" i="8"/>
  <c r="F579" i="8"/>
  <c r="D579" i="8"/>
  <c r="C579" i="8"/>
  <c r="B579" i="8"/>
  <c r="BJ578" i="8"/>
  <c r="BI578" i="8"/>
  <c r="BH578" i="8"/>
  <c r="BG578" i="8"/>
  <c r="BF578" i="8"/>
  <c r="BE578" i="8"/>
  <c r="BD578" i="8"/>
  <c r="BC578" i="8"/>
  <c r="BB578" i="8"/>
  <c r="BA578" i="8"/>
  <c r="AZ578" i="8"/>
  <c r="AY578" i="8"/>
  <c r="AX578" i="8"/>
  <c r="AW578" i="8"/>
  <c r="AV578" i="8"/>
  <c r="AU578" i="8"/>
  <c r="L578" i="8"/>
  <c r="H578" i="8"/>
  <c r="G578" i="8"/>
  <c r="F578" i="8"/>
  <c r="D578" i="8"/>
  <c r="C578" i="8"/>
  <c r="B578" i="8"/>
  <c r="BJ577" i="8"/>
  <c r="BI577" i="8"/>
  <c r="BH577" i="8"/>
  <c r="BG577" i="8"/>
  <c r="BF577" i="8"/>
  <c r="BE577" i="8"/>
  <c r="BD577" i="8"/>
  <c r="BC577" i="8"/>
  <c r="BB577" i="8"/>
  <c r="BA577" i="8"/>
  <c r="AZ577" i="8"/>
  <c r="AY577" i="8"/>
  <c r="AX577" i="8"/>
  <c r="AW577" i="8"/>
  <c r="AV577" i="8"/>
  <c r="AU577" i="8"/>
  <c r="L577" i="8"/>
  <c r="H577" i="8"/>
  <c r="G577" i="8"/>
  <c r="F577" i="8"/>
  <c r="D577" i="8"/>
  <c r="C577" i="8"/>
  <c r="B577" i="8"/>
  <c r="BJ576" i="8"/>
  <c r="BI576" i="8"/>
  <c r="BH576" i="8"/>
  <c r="BG576" i="8"/>
  <c r="BF576" i="8"/>
  <c r="BE576" i="8"/>
  <c r="BD576" i="8"/>
  <c r="BC576" i="8"/>
  <c r="BB576" i="8"/>
  <c r="BA576" i="8"/>
  <c r="AZ576" i="8"/>
  <c r="AY576" i="8"/>
  <c r="AX576" i="8"/>
  <c r="AW576" i="8"/>
  <c r="AV576" i="8"/>
  <c r="AU576" i="8"/>
  <c r="L576" i="8"/>
  <c r="H576" i="8"/>
  <c r="G576" i="8"/>
  <c r="F576" i="8"/>
  <c r="D576" i="8"/>
  <c r="C576" i="8"/>
  <c r="B576" i="8"/>
  <c r="BJ575" i="8"/>
  <c r="BI575" i="8"/>
  <c r="BH575" i="8"/>
  <c r="BG575" i="8"/>
  <c r="BF575" i="8"/>
  <c r="BE575" i="8"/>
  <c r="BD575" i="8"/>
  <c r="BC575" i="8"/>
  <c r="BB575" i="8"/>
  <c r="BA575" i="8"/>
  <c r="AZ575" i="8"/>
  <c r="AY575" i="8"/>
  <c r="AX575" i="8"/>
  <c r="AW575" i="8"/>
  <c r="AV575" i="8"/>
  <c r="AU575" i="8"/>
  <c r="L575" i="8"/>
  <c r="H575" i="8"/>
  <c r="G575" i="8"/>
  <c r="F575" i="8"/>
  <c r="D575" i="8"/>
  <c r="C575" i="8"/>
  <c r="B575" i="8"/>
  <c r="BJ574" i="8"/>
  <c r="BI574" i="8"/>
  <c r="BH574" i="8"/>
  <c r="BG574" i="8"/>
  <c r="BF574" i="8"/>
  <c r="BE574" i="8"/>
  <c r="BD574" i="8"/>
  <c r="BC574" i="8"/>
  <c r="BB574" i="8"/>
  <c r="BA574" i="8"/>
  <c r="AZ574" i="8"/>
  <c r="AY574" i="8"/>
  <c r="AX574" i="8"/>
  <c r="AW574" i="8"/>
  <c r="AV574" i="8"/>
  <c r="AU574" i="8"/>
  <c r="L574" i="8"/>
  <c r="H574" i="8"/>
  <c r="G574" i="8"/>
  <c r="F574" i="8"/>
  <c r="D574" i="8"/>
  <c r="C574" i="8"/>
  <c r="B574" i="8"/>
  <c r="BJ573" i="8"/>
  <c r="BI573" i="8"/>
  <c r="BH573" i="8"/>
  <c r="BG573" i="8"/>
  <c r="BF573" i="8"/>
  <c r="BE573" i="8"/>
  <c r="BD573" i="8"/>
  <c r="BC573" i="8"/>
  <c r="BB573" i="8"/>
  <c r="BA573" i="8"/>
  <c r="AZ573" i="8"/>
  <c r="AY573" i="8"/>
  <c r="AX573" i="8"/>
  <c r="AW573" i="8"/>
  <c r="AV573" i="8"/>
  <c r="AU573" i="8"/>
  <c r="L573" i="8"/>
  <c r="H573" i="8"/>
  <c r="G573" i="8"/>
  <c r="F573" i="8"/>
  <c r="D573" i="8"/>
  <c r="C573" i="8"/>
  <c r="B573" i="8"/>
  <c r="BJ572" i="8"/>
  <c r="BI572" i="8"/>
  <c r="BH572" i="8"/>
  <c r="BG572" i="8"/>
  <c r="BF572" i="8"/>
  <c r="BE572" i="8"/>
  <c r="BD572" i="8"/>
  <c r="BC572" i="8"/>
  <c r="BB572" i="8"/>
  <c r="BA572" i="8"/>
  <c r="AZ572" i="8"/>
  <c r="AY572" i="8"/>
  <c r="AX572" i="8"/>
  <c r="AW572" i="8"/>
  <c r="AV572" i="8"/>
  <c r="AU572" i="8"/>
  <c r="L572" i="8"/>
  <c r="H572" i="8"/>
  <c r="G572" i="8"/>
  <c r="F572" i="8"/>
  <c r="D572" i="8"/>
  <c r="C572" i="8"/>
  <c r="B572" i="8"/>
  <c r="BJ571" i="8"/>
  <c r="BI571" i="8"/>
  <c r="BH571" i="8"/>
  <c r="BG571" i="8"/>
  <c r="BF571" i="8"/>
  <c r="BE571" i="8"/>
  <c r="BD571" i="8"/>
  <c r="BC571" i="8"/>
  <c r="BB571" i="8"/>
  <c r="BA571" i="8"/>
  <c r="AZ571" i="8"/>
  <c r="AY571" i="8"/>
  <c r="AX571" i="8"/>
  <c r="AW571" i="8"/>
  <c r="AV571" i="8"/>
  <c r="AU571" i="8"/>
  <c r="L571" i="8"/>
  <c r="H571" i="8"/>
  <c r="G571" i="8"/>
  <c r="F571" i="8"/>
  <c r="D571" i="8"/>
  <c r="C571" i="8"/>
  <c r="B571" i="8"/>
  <c r="BJ570" i="8"/>
  <c r="BI570" i="8"/>
  <c r="BH570" i="8"/>
  <c r="BG570" i="8"/>
  <c r="BF570" i="8"/>
  <c r="BE570" i="8"/>
  <c r="BD570" i="8"/>
  <c r="BC570" i="8"/>
  <c r="BB570" i="8"/>
  <c r="BA570" i="8"/>
  <c r="AZ570" i="8"/>
  <c r="AY570" i="8"/>
  <c r="AX570" i="8"/>
  <c r="AW570" i="8"/>
  <c r="AV570" i="8"/>
  <c r="AU570" i="8"/>
  <c r="L570" i="8"/>
  <c r="H570" i="8"/>
  <c r="G570" i="8"/>
  <c r="F570" i="8"/>
  <c r="D570" i="8"/>
  <c r="C570" i="8"/>
  <c r="B570" i="8"/>
  <c r="BJ569" i="8"/>
  <c r="BI569" i="8"/>
  <c r="BH569" i="8"/>
  <c r="BG569" i="8"/>
  <c r="BF569" i="8"/>
  <c r="BE569" i="8"/>
  <c r="BD569" i="8"/>
  <c r="BC569" i="8"/>
  <c r="BB569" i="8"/>
  <c r="BA569" i="8"/>
  <c r="AZ569" i="8"/>
  <c r="AY569" i="8"/>
  <c r="AX569" i="8"/>
  <c r="AW569" i="8"/>
  <c r="AV569" i="8"/>
  <c r="AU569" i="8"/>
  <c r="L569" i="8"/>
  <c r="H569" i="8"/>
  <c r="G569" i="8"/>
  <c r="F569" i="8"/>
  <c r="D569" i="8"/>
  <c r="C569" i="8"/>
  <c r="B569" i="8"/>
  <c r="BJ568" i="8"/>
  <c r="BI568" i="8"/>
  <c r="BH568" i="8"/>
  <c r="BG568" i="8"/>
  <c r="BF568" i="8"/>
  <c r="BE568" i="8"/>
  <c r="BD568" i="8"/>
  <c r="BC568" i="8"/>
  <c r="BB568" i="8"/>
  <c r="BA568" i="8"/>
  <c r="AZ568" i="8"/>
  <c r="AY568" i="8"/>
  <c r="AX568" i="8"/>
  <c r="AW568" i="8"/>
  <c r="AV568" i="8"/>
  <c r="AU568" i="8"/>
  <c r="L568" i="8"/>
  <c r="H568" i="8"/>
  <c r="G568" i="8"/>
  <c r="F568" i="8"/>
  <c r="D568" i="8"/>
  <c r="C568" i="8"/>
  <c r="B568" i="8"/>
  <c r="BJ567" i="8"/>
  <c r="BI567" i="8"/>
  <c r="BH567" i="8"/>
  <c r="BG567" i="8"/>
  <c r="BF567" i="8"/>
  <c r="BE567" i="8"/>
  <c r="BD567" i="8"/>
  <c r="BC567" i="8"/>
  <c r="BB567" i="8"/>
  <c r="BA567" i="8"/>
  <c r="AZ567" i="8"/>
  <c r="AY567" i="8"/>
  <c r="AX567" i="8"/>
  <c r="AW567" i="8"/>
  <c r="AV567" i="8"/>
  <c r="AU567" i="8"/>
  <c r="L567" i="8"/>
  <c r="H567" i="8"/>
  <c r="G567" i="8"/>
  <c r="F567" i="8"/>
  <c r="D567" i="8"/>
  <c r="C567" i="8"/>
  <c r="B567" i="8"/>
  <c r="BJ566" i="8"/>
  <c r="BI566" i="8"/>
  <c r="BH566" i="8"/>
  <c r="BG566" i="8"/>
  <c r="BF566" i="8"/>
  <c r="BE566" i="8"/>
  <c r="BD566" i="8"/>
  <c r="BC566" i="8"/>
  <c r="BB566" i="8"/>
  <c r="BA566" i="8"/>
  <c r="AZ566" i="8"/>
  <c r="AY566" i="8"/>
  <c r="AX566" i="8"/>
  <c r="AW566" i="8"/>
  <c r="AV566" i="8"/>
  <c r="AU566" i="8"/>
  <c r="AC566" i="8"/>
  <c r="AB566" i="8"/>
  <c r="S566" i="8"/>
  <c r="R566" i="8"/>
  <c r="Q566" i="8"/>
  <c r="O566" i="8"/>
  <c r="N566" i="8"/>
  <c r="M566" i="8"/>
  <c r="L566" i="8"/>
  <c r="H566" i="8"/>
  <c r="G566" i="8"/>
  <c r="F566" i="8"/>
  <c r="D566" i="8"/>
  <c r="C566" i="8"/>
  <c r="B566" i="8"/>
  <c r="BJ565" i="8"/>
  <c r="BI565" i="8"/>
  <c r="BH565" i="8"/>
  <c r="BG565" i="8"/>
  <c r="BF565" i="8"/>
  <c r="BE565" i="8"/>
  <c r="BD565" i="8"/>
  <c r="BC565" i="8"/>
  <c r="BB565" i="8"/>
  <c r="BA565" i="8"/>
  <c r="AZ565" i="8"/>
  <c r="AY565" i="8"/>
  <c r="AX565" i="8"/>
  <c r="AW565" i="8"/>
  <c r="AV565" i="8"/>
  <c r="AU565" i="8"/>
  <c r="L565" i="8"/>
  <c r="H565" i="8"/>
  <c r="G565" i="8"/>
  <c r="F565" i="8"/>
  <c r="D565" i="8"/>
  <c r="C565" i="8"/>
  <c r="B565" i="8"/>
  <c r="BJ564" i="8"/>
  <c r="BI564" i="8"/>
  <c r="BH564" i="8"/>
  <c r="BG564" i="8"/>
  <c r="BF564" i="8"/>
  <c r="BE564" i="8"/>
  <c r="BD564" i="8"/>
  <c r="BC564" i="8"/>
  <c r="BB564" i="8"/>
  <c r="BA564" i="8"/>
  <c r="AZ564" i="8"/>
  <c r="AY564" i="8"/>
  <c r="AX564" i="8"/>
  <c r="AW564" i="8"/>
  <c r="AV564" i="8"/>
  <c r="AU564" i="8"/>
  <c r="AC564" i="8"/>
  <c r="AB564" i="8"/>
  <c r="S564" i="8"/>
  <c r="R564" i="8"/>
  <c r="Q564" i="8"/>
  <c r="O564" i="8"/>
  <c r="N564" i="8"/>
  <c r="M564" i="8"/>
  <c r="L564" i="8"/>
  <c r="H564" i="8"/>
  <c r="G564" i="8"/>
  <c r="F564" i="8"/>
  <c r="D564" i="8"/>
  <c r="C564" i="8"/>
  <c r="B564" i="8"/>
  <c r="BJ563" i="8"/>
  <c r="BI563" i="8"/>
  <c r="BH563" i="8"/>
  <c r="BG563" i="8"/>
  <c r="BF563" i="8"/>
  <c r="BE563" i="8"/>
  <c r="BD563" i="8"/>
  <c r="BC563" i="8"/>
  <c r="BB563" i="8"/>
  <c r="BA563" i="8"/>
  <c r="AZ563" i="8"/>
  <c r="AY563" i="8"/>
  <c r="AX563" i="8"/>
  <c r="AW563" i="8"/>
  <c r="AV563" i="8"/>
  <c r="AU563" i="8"/>
  <c r="L563" i="8"/>
  <c r="H563" i="8"/>
  <c r="G563" i="8"/>
  <c r="F563" i="8"/>
  <c r="D563" i="8"/>
  <c r="C563" i="8"/>
  <c r="B563" i="8"/>
  <c r="BJ562" i="8"/>
  <c r="BI562" i="8"/>
  <c r="BH562" i="8"/>
  <c r="BG562" i="8"/>
  <c r="BF562" i="8"/>
  <c r="BE562" i="8"/>
  <c r="BD562" i="8"/>
  <c r="BC562" i="8"/>
  <c r="BB562" i="8"/>
  <c r="BA562" i="8"/>
  <c r="AZ562" i="8"/>
  <c r="AY562" i="8"/>
  <c r="AX562" i="8"/>
  <c r="AW562" i="8"/>
  <c r="AV562" i="8"/>
  <c r="AU562" i="8"/>
  <c r="L562" i="8"/>
  <c r="H562" i="8"/>
  <c r="G562" i="8"/>
  <c r="F562" i="8"/>
  <c r="D562" i="8"/>
  <c r="C562" i="8"/>
  <c r="B562" i="8"/>
  <c r="BJ561" i="8"/>
  <c r="BI561" i="8"/>
  <c r="BH561" i="8"/>
  <c r="BG561" i="8"/>
  <c r="BF561" i="8"/>
  <c r="BE561" i="8"/>
  <c r="BD561" i="8"/>
  <c r="BC561" i="8"/>
  <c r="BB561" i="8"/>
  <c r="BA561" i="8"/>
  <c r="AZ561" i="8"/>
  <c r="AY561" i="8"/>
  <c r="AX561" i="8"/>
  <c r="AW561" i="8"/>
  <c r="AV561" i="8"/>
  <c r="AU561" i="8"/>
  <c r="AC561" i="8"/>
  <c r="AB561" i="8"/>
  <c r="S561" i="8"/>
  <c r="R561" i="8"/>
  <c r="Q561" i="8"/>
  <c r="O561" i="8"/>
  <c r="N561" i="8"/>
  <c r="M561" i="8"/>
  <c r="L561" i="8"/>
  <c r="H561" i="8"/>
  <c r="G561" i="8"/>
  <c r="F561" i="8"/>
  <c r="D561" i="8"/>
  <c r="C561" i="8"/>
  <c r="B561" i="8"/>
  <c r="BJ560" i="8"/>
  <c r="BI560" i="8"/>
  <c r="BH560" i="8"/>
  <c r="BG560" i="8"/>
  <c r="BF560" i="8"/>
  <c r="BE560" i="8"/>
  <c r="BD560" i="8"/>
  <c r="BC560" i="8"/>
  <c r="BB560" i="8"/>
  <c r="BA560" i="8"/>
  <c r="AZ560" i="8"/>
  <c r="AY560" i="8"/>
  <c r="AX560" i="8"/>
  <c r="AW560" i="8"/>
  <c r="AV560" i="8"/>
  <c r="AU560" i="8"/>
  <c r="L560" i="8"/>
  <c r="H560" i="8"/>
  <c r="G560" i="8"/>
  <c r="F560" i="8"/>
  <c r="D560" i="8"/>
  <c r="C560" i="8"/>
  <c r="B560" i="8"/>
  <c r="BJ559" i="8"/>
  <c r="BI559" i="8"/>
  <c r="BH559" i="8"/>
  <c r="BG559" i="8"/>
  <c r="BF559" i="8"/>
  <c r="BE559" i="8"/>
  <c r="BD559" i="8"/>
  <c r="BC559" i="8"/>
  <c r="BB559" i="8"/>
  <c r="BA559" i="8"/>
  <c r="AZ559" i="8"/>
  <c r="AY559" i="8"/>
  <c r="AX559" i="8"/>
  <c r="AW559" i="8"/>
  <c r="AV559" i="8"/>
  <c r="AU559" i="8"/>
  <c r="L559" i="8"/>
  <c r="H559" i="8"/>
  <c r="G559" i="8"/>
  <c r="F559" i="8"/>
  <c r="D559" i="8"/>
  <c r="C559" i="8"/>
  <c r="B559" i="8"/>
  <c r="BJ558" i="8"/>
  <c r="BI558" i="8"/>
  <c r="BH558" i="8"/>
  <c r="BG558" i="8"/>
  <c r="BF558" i="8"/>
  <c r="BE558" i="8"/>
  <c r="BD558" i="8"/>
  <c r="BC558" i="8"/>
  <c r="BB558" i="8"/>
  <c r="BA558" i="8"/>
  <c r="AZ558" i="8"/>
  <c r="AY558" i="8"/>
  <c r="AX558" i="8"/>
  <c r="AW558" i="8"/>
  <c r="AV558" i="8"/>
  <c r="AU558" i="8"/>
  <c r="L558" i="8"/>
  <c r="H558" i="8"/>
  <c r="G558" i="8"/>
  <c r="F558" i="8"/>
  <c r="D558" i="8"/>
  <c r="C558" i="8"/>
  <c r="B558" i="8"/>
  <c r="BJ557" i="8"/>
  <c r="BI557" i="8"/>
  <c r="BH557" i="8"/>
  <c r="BG557" i="8"/>
  <c r="BF557" i="8"/>
  <c r="BE557" i="8"/>
  <c r="BD557" i="8"/>
  <c r="BC557" i="8"/>
  <c r="BB557" i="8"/>
  <c r="BA557" i="8"/>
  <c r="AZ557" i="8"/>
  <c r="AY557" i="8"/>
  <c r="AX557" i="8"/>
  <c r="AW557" i="8"/>
  <c r="AV557" i="8"/>
  <c r="AU557" i="8"/>
  <c r="L557" i="8"/>
  <c r="H557" i="8"/>
  <c r="G557" i="8"/>
  <c r="F557" i="8"/>
  <c r="D557" i="8"/>
  <c r="C557" i="8"/>
  <c r="B557" i="8"/>
  <c r="BJ556" i="8"/>
  <c r="BI556" i="8"/>
  <c r="BH556" i="8"/>
  <c r="BG556" i="8"/>
  <c r="BF556" i="8"/>
  <c r="BE556" i="8"/>
  <c r="BD556" i="8"/>
  <c r="BC556" i="8"/>
  <c r="BB556" i="8"/>
  <c r="BA556" i="8"/>
  <c r="AZ556" i="8"/>
  <c r="AY556" i="8"/>
  <c r="AX556" i="8"/>
  <c r="AW556" i="8"/>
  <c r="AV556" i="8"/>
  <c r="AU556" i="8"/>
  <c r="U556" i="8"/>
  <c r="S556" i="8"/>
  <c r="R556" i="8"/>
  <c r="Q556" i="8"/>
  <c r="P556" i="8"/>
  <c r="O556" i="8"/>
  <c r="N556" i="8"/>
  <c r="M556" i="8"/>
  <c r="L556" i="8"/>
  <c r="H556" i="8"/>
  <c r="G556" i="8"/>
  <c r="F556" i="8"/>
  <c r="D556" i="8"/>
  <c r="C556" i="8"/>
  <c r="B556" i="8"/>
  <c r="BJ555" i="8"/>
  <c r="BI555" i="8"/>
  <c r="BH555" i="8"/>
  <c r="BG555" i="8"/>
  <c r="BF555" i="8"/>
  <c r="BE555" i="8"/>
  <c r="BD555" i="8"/>
  <c r="BC555" i="8"/>
  <c r="BB555" i="8"/>
  <c r="BA555" i="8"/>
  <c r="AZ555" i="8"/>
  <c r="AY555" i="8"/>
  <c r="AX555" i="8"/>
  <c r="AW555" i="8"/>
  <c r="AV555" i="8"/>
  <c r="AU555" i="8"/>
  <c r="L555" i="8"/>
  <c r="H555" i="8"/>
  <c r="G555" i="8"/>
  <c r="F555" i="8"/>
  <c r="D555" i="8"/>
  <c r="C555" i="8"/>
  <c r="B555" i="8"/>
  <c r="BJ554" i="8"/>
  <c r="BI554" i="8"/>
  <c r="BH554" i="8"/>
  <c r="BG554" i="8"/>
  <c r="BF554" i="8"/>
  <c r="BE554" i="8"/>
  <c r="BD554" i="8"/>
  <c r="BC554" i="8"/>
  <c r="BB554" i="8"/>
  <c r="BA554" i="8"/>
  <c r="AZ554" i="8"/>
  <c r="AY554" i="8"/>
  <c r="AX554" i="8"/>
  <c r="AW554" i="8"/>
  <c r="AV554" i="8"/>
  <c r="AU554" i="8"/>
  <c r="AB554" i="8"/>
  <c r="S554" i="8"/>
  <c r="R554" i="8"/>
  <c r="Q554" i="8"/>
  <c r="O554" i="8"/>
  <c r="N554" i="8"/>
  <c r="M554" i="8"/>
  <c r="L554" i="8"/>
  <c r="H554" i="8"/>
  <c r="G554" i="8"/>
  <c r="F554" i="8"/>
  <c r="D554" i="8"/>
  <c r="C554" i="8"/>
  <c r="B554" i="8"/>
  <c r="BJ553" i="8"/>
  <c r="BI553" i="8"/>
  <c r="BH553" i="8"/>
  <c r="BG553" i="8"/>
  <c r="BF553" i="8"/>
  <c r="BE553" i="8"/>
  <c r="BD553" i="8"/>
  <c r="BC553" i="8"/>
  <c r="BB553" i="8"/>
  <c r="BA553" i="8"/>
  <c r="AZ553" i="8"/>
  <c r="AY553" i="8"/>
  <c r="AX553" i="8"/>
  <c r="AW553" i="8"/>
  <c r="AV553" i="8"/>
  <c r="AU553" i="8"/>
  <c r="L553" i="8"/>
  <c r="H553" i="8"/>
  <c r="G553" i="8"/>
  <c r="F553" i="8"/>
  <c r="D553" i="8"/>
  <c r="C553" i="8"/>
  <c r="B553" i="8"/>
  <c r="BJ552" i="8"/>
  <c r="BI552" i="8"/>
  <c r="BH552" i="8"/>
  <c r="BG552" i="8"/>
  <c r="BF552" i="8"/>
  <c r="BE552" i="8"/>
  <c r="BD552" i="8"/>
  <c r="BC552" i="8"/>
  <c r="BB552" i="8"/>
  <c r="BA552" i="8"/>
  <c r="AZ552" i="8"/>
  <c r="AY552" i="8"/>
  <c r="AX552" i="8"/>
  <c r="AW552" i="8"/>
  <c r="AV552" i="8"/>
  <c r="AU552" i="8"/>
  <c r="L552" i="8"/>
  <c r="H552" i="8"/>
  <c r="G552" i="8"/>
  <c r="F552" i="8"/>
  <c r="D552" i="8"/>
  <c r="C552" i="8"/>
  <c r="B552" i="8"/>
  <c r="BJ551" i="8"/>
  <c r="BI551" i="8"/>
  <c r="BH551" i="8"/>
  <c r="BG551" i="8"/>
  <c r="BF551" i="8"/>
  <c r="BE551" i="8"/>
  <c r="BD551" i="8"/>
  <c r="BC551" i="8"/>
  <c r="BB551" i="8"/>
  <c r="BA551" i="8"/>
  <c r="AZ551" i="8"/>
  <c r="AY551" i="8"/>
  <c r="AX551" i="8"/>
  <c r="AW551" i="8"/>
  <c r="AV551" i="8"/>
  <c r="AU551" i="8"/>
  <c r="L551" i="8"/>
  <c r="H551" i="8"/>
  <c r="G551" i="8"/>
  <c r="F551" i="8"/>
  <c r="D551" i="8"/>
  <c r="C551" i="8"/>
  <c r="B551" i="8"/>
  <c r="BJ550" i="8"/>
  <c r="BI550" i="8"/>
  <c r="BH550" i="8"/>
  <c r="BG550" i="8"/>
  <c r="BF550" i="8"/>
  <c r="BE550" i="8"/>
  <c r="BD550" i="8"/>
  <c r="BC550" i="8"/>
  <c r="BB550" i="8"/>
  <c r="BA550" i="8"/>
  <c r="AZ550" i="8"/>
  <c r="AY550" i="8"/>
  <c r="AX550" i="8"/>
  <c r="AW550" i="8"/>
  <c r="AV550" i="8"/>
  <c r="AU550" i="8"/>
  <c r="L550" i="8"/>
  <c r="H550" i="8"/>
  <c r="G550" i="8"/>
  <c r="F550" i="8"/>
  <c r="D550" i="8"/>
  <c r="C550" i="8"/>
  <c r="B550" i="8"/>
  <c r="BJ549" i="8"/>
  <c r="BI549" i="8"/>
  <c r="BH549" i="8"/>
  <c r="BG549" i="8"/>
  <c r="BF549" i="8"/>
  <c r="BE549" i="8"/>
  <c r="BD549" i="8"/>
  <c r="BC549" i="8"/>
  <c r="BB549" i="8"/>
  <c r="BA549" i="8"/>
  <c r="AZ549" i="8"/>
  <c r="AY549" i="8"/>
  <c r="AX549" i="8"/>
  <c r="AW549" i="8"/>
  <c r="AV549" i="8"/>
  <c r="AU549" i="8"/>
  <c r="L549" i="8"/>
  <c r="H549" i="8"/>
  <c r="G549" i="8"/>
  <c r="F549" i="8"/>
  <c r="D549" i="8"/>
  <c r="C549" i="8"/>
  <c r="B549" i="8"/>
  <c r="BJ548" i="8"/>
  <c r="BI548" i="8"/>
  <c r="BH548" i="8"/>
  <c r="BG548" i="8"/>
  <c r="BF548" i="8"/>
  <c r="BE548" i="8"/>
  <c r="BD548" i="8"/>
  <c r="BC548" i="8"/>
  <c r="BB548" i="8"/>
  <c r="BA548" i="8"/>
  <c r="AZ548" i="8"/>
  <c r="AY548" i="8"/>
  <c r="AX548" i="8"/>
  <c r="AW548" i="8"/>
  <c r="AV548" i="8"/>
  <c r="AU548" i="8"/>
  <c r="L548" i="8"/>
  <c r="H548" i="8"/>
  <c r="G548" i="8"/>
  <c r="F548" i="8"/>
  <c r="D548" i="8"/>
  <c r="C548" i="8"/>
  <c r="B548" i="8"/>
  <c r="BJ547" i="8"/>
  <c r="BI547" i="8"/>
  <c r="BH547" i="8"/>
  <c r="BG547" i="8"/>
  <c r="BF547" i="8"/>
  <c r="BE547" i="8"/>
  <c r="BD547" i="8"/>
  <c r="BC547" i="8"/>
  <c r="BB547" i="8"/>
  <c r="BA547" i="8"/>
  <c r="AZ547" i="8"/>
  <c r="AY547" i="8"/>
  <c r="AX547" i="8"/>
  <c r="AW547" i="8"/>
  <c r="AV547" i="8"/>
  <c r="AU547" i="8"/>
  <c r="L547" i="8"/>
  <c r="H547" i="8"/>
  <c r="G547" i="8"/>
  <c r="F547" i="8"/>
  <c r="D547" i="8"/>
  <c r="C547" i="8"/>
  <c r="B547" i="8"/>
  <c r="BJ546" i="8"/>
  <c r="BI546" i="8"/>
  <c r="BH546" i="8"/>
  <c r="BG546" i="8"/>
  <c r="BF546" i="8"/>
  <c r="BE546" i="8"/>
  <c r="BD546" i="8"/>
  <c r="BC546" i="8"/>
  <c r="BB546" i="8"/>
  <c r="BA546" i="8"/>
  <c r="AZ546" i="8"/>
  <c r="AY546" i="8"/>
  <c r="AX546" i="8"/>
  <c r="AW546" i="8"/>
  <c r="AV546" i="8"/>
  <c r="AU546" i="8"/>
  <c r="AN546" i="8"/>
  <c r="AC546" i="8"/>
  <c r="AB546" i="8"/>
  <c r="T546" i="8"/>
  <c r="S546" i="8"/>
  <c r="R546" i="8"/>
  <c r="P546" i="8"/>
  <c r="O546" i="8"/>
  <c r="N546" i="8"/>
  <c r="L546" i="8"/>
  <c r="J546" i="8"/>
  <c r="I546" i="8"/>
  <c r="H546" i="8"/>
  <c r="G546" i="8"/>
  <c r="F546" i="8"/>
  <c r="D546" i="8"/>
  <c r="C546" i="8"/>
  <c r="B546" i="8"/>
  <c r="BJ545" i="8"/>
  <c r="BI545" i="8"/>
  <c r="BH545" i="8"/>
  <c r="BG545" i="8"/>
  <c r="BF545" i="8"/>
  <c r="BE545" i="8"/>
  <c r="BD545" i="8"/>
  <c r="BC545" i="8"/>
  <c r="BB545" i="8"/>
  <c r="BA545" i="8"/>
  <c r="AZ545" i="8"/>
  <c r="AY545" i="8"/>
  <c r="AX545" i="8"/>
  <c r="AW545" i="8"/>
  <c r="AV545" i="8"/>
  <c r="AU545" i="8"/>
  <c r="L545" i="8"/>
  <c r="H545" i="8"/>
  <c r="G545" i="8"/>
  <c r="F545" i="8"/>
  <c r="D545" i="8"/>
  <c r="C545" i="8"/>
  <c r="B545" i="8"/>
  <c r="BJ544" i="8"/>
  <c r="BI544" i="8"/>
  <c r="BH544" i="8"/>
  <c r="BG544" i="8"/>
  <c r="BF544" i="8"/>
  <c r="BE544" i="8"/>
  <c r="BD544" i="8"/>
  <c r="BC544" i="8"/>
  <c r="BB544" i="8"/>
  <c r="BA544" i="8"/>
  <c r="AZ544" i="8"/>
  <c r="AY544" i="8"/>
  <c r="AX544" i="8"/>
  <c r="AW544" i="8"/>
  <c r="AV544" i="8"/>
  <c r="AU544" i="8"/>
  <c r="L544" i="8"/>
  <c r="H544" i="8"/>
  <c r="G544" i="8"/>
  <c r="F544" i="8"/>
  <c r="D544" i="8"/>
  <c r="C544" i="8"/>
  <c r="B544" i="8"/>
  <c r="BJ543" i="8"/>
  <c r="BI543" i="8"/>
  <c r="BH543" i="8"/>
  <c r="BG543" i="8"/>
  <c r="BF543" i="8"/>
  <c r="BE543" i="8"/>
  <c r="BD543" i="8"/>
  <c r="BC543" i="8"/>
  <c r="BB543" i="8"/>
  <c r="BA543" i="8"/>
  <c r="AZ543" i="8"/>
  <c r="AY543" i="8"/>
  <c r="AX543" i="8"/>
  <c r="AW543" i="8"/>
  <c r="AV543" i="8"/>
  <c r="AU543" i="8"/>
  <c r="L543" i="8"/>
  <c r="H543" i="8"/>
  <c r="G543" i="8"/>
  <c r="F543" i="8"/>
  <c r="D543" i="8"/>
  <c r="C543" i="8"/>
  <c r="B543" i="8"/>
  <c r="BJ542" i="8"/>
  <c r="BI542" i="8"/>
  <c r="BH542" i="8"/>
  <c r="BG542" i="8"/>
  <c r="BF542" i="8"/>
  <c r="BE542" i="8"/>
  <c r="BD542" i="8"/>
  <c r="BC542" i="8"/>
  <c r="BB542" i="8"/>
  <c r="BA542" i="8"/>
  <c r="AZ542" i="8"/>
  <c r="AY542" i="8"/>
  <c r="AX542" i="8"/>
  <c r="AW542" i="8"/>
  <c r="AV542" i="8"/>
  <c r="AU542" i="8"/>
  <c r="L542" i="8"/>
  <c r="H542" i="8"/>
  <c r="G542" i="8"/>
  <c r="F542" i="8"/>
  <c r="D542" i="8"/>
  <c r="C542" i="8"/>
  <c r="B542" i="8"/>
  <c r="BJ541" i="8"/>
  <c r="BI541" i="8"/>
  <c r="BH541" i="8"/>
  <c r="BG541" i="8"/>
  <c r="BF541" i="8"/>
  <c r="BE541" i="8"/>
  <c r="BD541" i="8"/>
  <c r="BC541" i="8"/>
  <c r="BB541" i="8"/>
  <c r="BA541" i="8"/>
  <c r="AZ541" i="8"/>
  <c r="AY541" i="8"/>
  <c r="AX541" i="8"/>
  <c r="AW541" i="8"/>
  <c r="AV541" i="8"/>
  <c r="AU541" i="8"/>
  <c r="L541" i="8"/>
  <c r="H541" i="8"/>
  <c r="G541" i="8"/>
  <c r="F541" i="8"/>
  <c r="D541" i="8"/>
  <c r="C541" i="8"/>
  <c r="B541" i="8"/>
  <c r="BJ540" i="8"/>
  <c r="BI540" i="8"/>
  <c r="BH540" i="8"/>
  <c r="BG540" i="8"/>
  <c r="BF540" i="8"/>
  <c r="BE540" i="8"/>
  <c r="BD540" i="8"/>
  <c r="BC540" i="8"/>
  <c r="BB540" i="8"/>
  <c r="BA540" i="8"/>
  <c r="AZ540" i="8"/>
  <c r="AY540" i="8"/>
  <c r="AX540" i="8"/>
  <c r="AW540" i="8"/>
  <c r="AV540" i="8"/>
  <c r="AU540" i="8"/>
  <c r="V540" i="8"/>
  <c r="U540" i="8"/>
  <c r="S540" i="8"/>
  <c r="R540" i="8"/>
  <c r="O540" i="8"/>
  <c r="N540" i="8"/>
  <c r="M540" i="8"/>
  <c r="L540" i="8"/>
  <c r="K540" i="8"/>
  <c r="J540" i="8"/>
  <c r="I540" i="8"/>
  <c r="H540" i="8"/>
  <c r="G540" i="8"/>
  <c r="F540" i="8"/>
  <c r="D540" i="8"/>
  <c r="C540" i="8"/>
  <c r="B540" i="8"/>
  <c r="BJ539" i="8"/>
  <c r="BI539" i="8"/>
  <c r="BH539" i="8"/>
  <c r="BG539" i="8"/>
  <c r="BF539" i="8"/>
  <c r="BE539" i="8"/>
  <c r="BD539" i="8"/>
  <c r="BC539" i="8"/>
  <c r="BB539" i="8"/>
  <c r="BA539" i="8"/>
  <c r="AZ539" i="8"/>
  <c r="AY539" i="8"/>
  <c r="AX539" i="8"/>
  <c r="AW539" i="8"/>
  <c r="AV539" i="8"/>
  <c r="AU539" i="8"/>
  <c r="L539" i="8"/>
  <c r="H539" i="8"/>
  <c r="G539" i="8"/>
  <c r="F539" i="8"/>
  <c r="D539" i="8"/>
  <c r="C539" i="8"/>
  <c r="B539" i="8"/>
  <c r="BJ538" i="8"/>
  <c r="BI538" i="8"/>
  <c r="BH538" i="8"/>
  <c r="BG538" i="8"/>
  <c r="BF538" i="8"/>
  <c r="BE538" i="8"/>
  <c r="BD538" i="8"/>
  <c r="BC538" i="8"/>
  <c r="BB538" i="8"/>
  <c r="BA538" i="8"/>
  <c r="AZ538" i="8"/>
  <c r="AY538" i="8"/>
  <c r="AX538" i="8"/>
  <c r="AW538" i="8"/>
  <c r="AV538" i="8"/>
  <c r="AU538" i="8"/>
  <c r="L538" i="8"/>
  <c r="H538" i="8"/>
  <c r="G538" i="8"/>
  <c r="F538" i="8"/>
  <c r="D538" i="8"/>
  <c r="C538" i="8"/>
  <c r="B538" i="8"/>
  <c r="BJ537" i="8"/>
  <c r="BI537" i="8"/>
  <c r="BH537" i="8"/>
  <c r="BG537" i="8"/>
  <c r="BF537" i="8"/>
  <c r="BE537" i="8"/>
  <c r="BD537" i="8"/>
  <c r="BC537" i="8"/>
  <c r="BB537" i="8"/>
  <c r="BA537" i="8"/>
  <c r="AZ537" i="8"/>
  <c r="AY537" i="8"/>
  <c r="AX537" i="8"/>
  <c r="AW537" i="8"/>
  <c r="AV537" i="8"/>
  <c r="AU537" i="8"/>
  <c r="U537" i="8"/>
  <c r="S537" i="8"/>
  <c r="R537" i="8"/>
  <c r="Q537" i="8"/>
  <c r="P537" i="8"/>
  <c r="O537" i="8"/>
  <c r="N537" i="8"/>
  <c r="M537" i="8"/>
  <c r="L537" i="8"/>
  <c r="K537" i="8"/>
  <c r="J537" i="8"/>
  <c r="I537" i="8"/>
  <c r="H537" i="8"/>
  <c r="G537" i="8"/>
  <c r="F537" i="8"/>
  <c r="D537" i="8"/>
  <c r="C537" i="8"/>
  <c r="B537" i="8"/>
  <c r="BJ536" i="8"/>
  <c r="BI536" i="8"/>
  <c r="BH536" i="8"/>
  <c r="BG536" i="8"/>
  <c r="BF536" i="8"/>
  <c r="BE536" i="8"/>
  <c r="BD536" i="8"/>
  <c r="BC536" i="8"/>
  <c r="BB536" i="8"/>
  <c r="BA536" i="8"/>
  <c r="AZ536" i="8"/>
  <c r="AY536" i="8"/>
  <c r="AX536" i="8"/>
  <c r="AW536" i="8"/>
  <c r="AV536" i="8"/>
  <c r="AU536" i="8"/>
  <c r="L536" i="8"/>
  <c r="H536" i="8"/>
  <c r="G536" i="8"/>
  <c r="F536" i="8"/>
  <c r="D536" i="8"/>
  <c r="C536" i="8"/>
  <c r="B536" i="8"/>
  <c r="BJ535" i="8"/>
  <c r="BI535" i="8"/>
  <c r="BH535" i="8"/>
  <c r="BG535" i="8"/>
  <c r="BF535" i="8"/>
  <c r="BE535" i="8"/>
  <c r="BD535" i="8"/>
  <c r="BC535" i="8"/>
  <c r="BB535" i="8"/>
  <c r="BA535" i="8"/>
  <c r="AZ535" i="8"/>
  <c r="AY535" i="8"/>
  <c r="AX535" i="8"/>
  <c r="AW535" i="8"/>
  <c r="AV535" i="8"/>
  <c r="AU535" i="8"/>
  <c r="L535" i="8"/>
  <c r="H535" i="8"/>
  <c r="G535" i="8"/>
  <c r="F535" i="8"/>
  <c r="D535" i="8"/>
  <c r="C535" i="8"/>
  <c r="B535" i="8"/>
  <c r="BJ534" i="8"/>
  <c r="BI534" i="8"/>
  <c r="BH534" i="8"/>
  <c r="BG534" i="8"/>
  <c r="BF534" i="8"/>
  <c r="BE534" i="8"/>
  <c r="BD534" i="8"/>
  <c r="BC534" i="8"/>
  <c r="BB534" i="8"/>
  <c r="BA534" i="8"/>
  <c r="AZ534" i="8"/>
  <c r="AY534" i="8"/>
  <c r="AX534" i="8"/>
  <c r="AW534" i="8"/>
  <c r="AV534" i="8"/>
  <c r="AU534" i="8"/>
  <c r="T534" i="8"/>
  <c r="S534" i="8"/>
  <c r="R534" i="8"/>
  <c r="Q534" i="8"/>
  <c r="P534" i="8"/>
  <c r="O534" i="8"/>
  <c r="N534" i="8"/>
  <c r="M534" i="8"/>
  <c r="L534" i="8"/>
  <c r="K534" i="8"/>
  <c r="J534" i="8"/>
  <c r="I534" i="8"/>
  <c r="H534" i="8"/>
  <c r="G534" i="8"/>
  <c r="F534" i="8"/>
  <c r="D534" i="8"/>
  <c r="C534" i="8"/>
  <c r="B534" i="8"/>
  <c r="A534" i="8"/>
  <c r="BJ533" i="8"/>
  <c r="BI533" i="8"/>
  <c r="BH533" i="8"/>
  <c r="BG533" i="8"/>
  <c r="BF533" i="8"/>
  <c r="BE533" i="8"/>
  <c r="BD533" i="8"/>
  <c r="BC533" i="8"/>
  <c r="BB533" i="8"/>
  <c r="BA533" i="8"/>
  <c r="AZ533" i="8"/>
  <c r="AY533" i="8"/>
  <c r="AX533" i="8"/>
  <c r="AW533" i="8"/>
  <c r="AV533" i="8"/>
  <c r="AU533" i="8"/>
  <c r="S533" i="8"/>
  <c r="R533" i="8"/>
  <c r="Q533" i="8"/>
  <c r="P533" i="8"/>
  <c r="O533" i="8"/>
  <c r="N533" i="8"/>
  <c r="M533" i="8"/>
  <c r="L533" i="8"/>
  <c r="H533" i="8"/>
  <c r="G533" i="8"/>
  <c r="F533" i="8"/>
  <c r="D533" i="8"/>
  <c r="C533" i="8"/>
  <c r="B533" i="8"/>
  <c r="BJ532" i="8"/>
  <c r="BI532" i="8"/>
  <c r="BH532" i="8"/>
  <c r="BG532" i="8"/>
  <c r="BF532" i="8"/>
  <c r="BE532" i="8"/>
  <c r="BD532" i="8"/>
  <c r="BC532" i="8"/>
  <c r="BB532" i="8"/>
  <c r="BA532" i="8"/>
  <c r="AZ532" i="8"/>
  <c r="AY532" i="8"/>
  <c r="AX532" i="8"/>
  <c r="AW532" i="8"/>
  <c r="AV532" i="8"/>
  <c r="AU532" i="8"/>
  <c r="L532" i="8"/>
  <c r="H532" i="8"/>
  <c r="G532" i="8"/>
  <c r="F532" i="8"/>
  <c r="D532" i="8"/>
  <c r="C532" i="8"/>
  <c r="B532" i="8"/>
  <c r="BJ531" i="8"/>
  <c r="BI531" i="8"/>
  <c r="BH531" i="8"/>
  <c r="BG531" i="8"/>
  <c r="BF531" i="8"/>
  <c r="BE531" i="8"/>
  <c r="BD531" i="8"/>
  <c r="BC531" i="8"/>
  <c r="BB531" i="8"/>
  <c r="BA531" i="8"/>
  <c r="AZ531" i="8"/>
  <c r="AY531" i="8"/>
  <c r="AX531" i="8"/>
  <c r="AW531" i="8"/>
  <c r="AV531" i="8"/>
  <c r="AU531" i="8"/>
  <c r="V531" i="8"/>
  <c r="U531" i="8"/>
  <c r="S531" i="8"/>
  <c r="R531" i="8"/>
  <c r="Q531" i="8"/>
  <c r="P531" i="8"/>
  <c r="O531" i="8"/>
  <c r="N531" i="8"/>
  <c r="M531" i="8"/>
  <c r="L531" i="8"/>
  <c r="K531" i="8"/>
  <c r="H531" i="8"/>
  <c r="G531" i="8"/>
  <c r="F531" i="8"/>
  <c r="D531" i="8"/>
  <c r="C531" i="8"/>
  <c r="B531" i="8"/>
  <c r="BJ530" i="8"/>
  <c r="BI530" i="8"/>
  <c r="BH530" i="8"/>
  <c r="BG530" i="8"/>
  <c r="BF530" i="8"/>
  <c r="BE530" i="8"/>
  <c r="BD530" i="8"/>
  <c r="BC530" i="8"/>
  <c r="BB530" i="8"/>
  <c r="BA530" i="8"/>
  <c r="AZ530" i="8"/>
  <c r="AY530" i="8"/>
  <c r="AX530" i="8"/>
  <c r="AW530" i="8"/>
  <c r="AV530" i="8"/>
  <c r="AU530" i="8"/>
  <c r="U530" i="8"/>
  <c r="S530" i="8"/>
  <c r="R530" i="8"/>
  <c r="Q530" i="8"/>
  <c r="P530" i="8"/>
  <c r="O530" i="8"/>
  <c r="N530" i="8"/>
  <c r="M530" i="8"/>
  <c r="L530" i="8"/>
  <c r="K530" i="8"/>
  <c r="J530" i="8"/>
  <c r="I530" i="8"/>
  <c r="H530" i="8"/>
  <c r="G530" i="8"/>
  <c r="F530" i="8"/>
  <c r="D530" i="8"/>
  <c r="C530" i="8"/>
  <c r="B530" i="8"/>
  <c r="BJ529" i="8"/>
  <c r="BI529" i="8"/>
  <c r="BH529" i="8"/>
  <c r="BG529" i="8"/>
  <c r="BF529" i="8"/>
  <c r="BE529" i="8"/>
  <c r="BD529" i="8"/>
  <c r="BC529" i="8"/>
  <c r="BB529" i="8"/>
  <c r="BA529" i="8"/>
  <c r="AZ529" i="8"/>
  <c r="AY529" i="8"/>
  <c r="AX529" i="8"/>
  <c r="AW529" i="8"/>
  <c r="AV529" i="8"/>
  <c r="AU529" i="8"/>
  <c r="L529" i="8"/>
  <c r="H529" i="8"/>
  <c r="G529" i="8"/>
  <c r="F529" i="8"/>
  <c r="D529" i="8"/>
  <c r="C529" i="8"/>
  <c r="B529" i="8"/>
  <c r="BJ528" i="8"/>
  <c r="BI528" i="8"/>
  <c r="BH528" i="8"/>
  <c r="BG528" i="8"/>
  <c r="BF528" i="8"/>
  <c r="BE528" i="8"/>
  <c r="BD528" i="8"/>
  <c r="BC528" i="8"/>
  <c r="BB528" i="8"/>
  <c r="BA528" i="8"/>
  <c r="AZ528" i="8"/>
  <c r="AY528" i="8"/>
  <c r="AX528" i="8"/>
  <c r="AW528" i="8"/>
  <c r="AV528" i="8"/>
  <c r="AU528" i="8"/>
  <c r="L528" i="8"/>
  <c r="H528" i="8"/>
  <c r="G528" i="8"/>
  <c r="F528" i="8"/>
  <c r="D528" i="8"/>
  <c r="C528" i="8"/>
  <c r="B528" i="8"/>
  <c r="BJ527" i="8"/>
  <c r="BI527" i="8"/>
  <c r="BH527" i="8"/>
  <c r="BG527" i="8"/>
  <c r="BF527" i="8"/>
  <c r="BE527" i="8"/>
  <c r="BD527" i="8"/>
  <c r="BC527" i="8"/>
  <c r="BB527" i="8"/>
  <c r="BA527" i="8"/>
  <c r="AZ527" i="8"/>
  <c r="AY527" i="8"/>
  <c r="AX527" i="8"/>
  <c r="AW527" i="8"/>
  <c r="AV527" i="8"/>
  <c r="AU527" i="8"/>
  <c r="V527" i="8"/>
  <c r="U527" i="8"/>
  <c r="T527" i="8"/>
  <c r="S527" i="8"/>
  <c r="R527" i="8"/>
  <c r="Q527" i="8"/>
  <c r="P527" i="8"/>
  <c r="O527" i="8"/>
  <c r="N527" i="8"/>
  <c r="M527" i="8"/>
  <c r="L527" i="8"/>
  <c r="K527" i="8"/>
  <c r="H527" i="8"/>
  <c r="G527" i="8"/>
  <c r="F527" i="8"/>
  <c r="D527" i="8"/>
  <c r="C527" i="8"/>
  <c r="B527" i="8"/>
  <c r="BJ526" i="8"/>
  <c r="BI526" i="8"/>
  <c r="BH526" i="8"/>
  <c r="BG526" i="8"/>
  <c r="BF526" i="8"/>
  <c r="BE526" i="8"/>
  <c r="BD526" i="8"/>
  <c r="BC526" i="8"/>
  <c r="BB526" i="8"/>
  <c r="BA526" i="8"/>
  <c r="AZ526" i="8"/>
  <c r="AY526" i="8"/>
  <c r="AX526" i="8"/>
  <c r="AW526" i="8"/>
  <c r="AV526" i="8"/>
  <c r="AU526" i="8"/>
  <c r="L526" i="8"/>
  <c r="H526" i="8"/>
  <c r="G526" i="8"/>
  <c r="F526" i="8"/>
  <c r="D526" i="8"/>
  <c r="C526" i="8"/>
  <c r="B526" i="8"/>
  <c r="BJ525" i="8"/>
  <c r="BI525" i="8"/>
  <c r="BH525" i="8"/>
  <c r="BG525" i="8"/>
  <c r="BF525" i="8"/>
  <c r="BE525" i="8"/>
  <c r="BD525" i="8"/>
  <c r="BC525" i="8"/>
  <c r="BB525" i="8"/>
  <c r="BA525" i="8"/>
  <c r="AZ525" i="8"/>
  <c r="AY525" i="8"/>
  <c r="AX525" i="8"/>
  <c r="AW525" i="8"/>
  <c r="AV525" i="8"/>
  <c r="AU525" i="8"/>
  <c r="L525" i="8"/>
  <c r="K525" i="8"/>
  <c r="J525" i="8"/>
  <c r="I525" i="8"/>
  <c r="H525" i="8"/>
  <c r="G525" i="8"/>
  <c r="F525" i="8"/>
  <c r="D525" i="8"/>
  <c r="C525" i="8"/>
  <c r="B525" i="8"/>
  <c r="BJ524" i="8"/>
  <c r="BI524" i="8"/>
  <c r="BH524" i="8"/>
  <c r="BG524" i="8"/>
  <c r="BF524" i="8"/>
  <c r="BE524" i="8"/>
  <c r="BD524" i="8"/>
  <c r="BC524" i="8"/>
  <c r="BB524" i="8"/>
  <c r="BA524" i="8"/>
  <c r="AZ524" i="8"/>
  <c r="AY524" i="8"/>
  <c r="AX524" i="8"/>
  <c r="AW524" i="8"/>
  <c r="AV524" i="8"/>
  <c r="AU524" i="8"/>
  <c r="L524" i="8"/>
  <c r="K524" i="8"/>
  <c r="J524" i="8"/>
  <c r="I524" i="8"/>
  <c r="H524" i="8"/>
  <c r="G524" i="8"/>
  <c r="F524" i="8"/>
  <c r="D524" i="8"/>
  <c r="C524" i="8"/>
  <c r="B524" i="8"/>
  <c r="BJ523" i="8"/>
  <c r="BI523" i="8"/>
  <c r="BH523" i="8"/>
  <c r="BG523" i="8"/>
  <c r="BF523" i="8"/>
  <c r="BE523" i="8"/>
  <c r="BD523" i="8"/>
  <c r="BC523" i="8"/>
  <c r="BB523" i="8"/>
  <c r="BA523" i="8"/>
  <c r="AZ523" i="8"/>
  <c r="AY523" i="8"/>
  <c r="AX523" i="8"/>
  <c r="AW523" i="8"/>
  <c r="AV523" i="8"/>
  <c r="AU523" i="8"/>
  <c r="U523" i="8"/>
  <c r="S523" i="8"/>
  <c r="R523" i="8"/>
  <c r="P523" i="8"/>
  <c r="N523" i="8"/>
  <c r="M523" i="8"/>
  <c r="L523" i="8"/>
  <c r="K523" i="8"/>
  <c r="J523" i="8"/>
  <c r="I523" i="8"/>
  <c r="H523" i="8"/>
  <c r="G523" i="8"/>
  <c r="F523" i="8"/>
  <c r="D523" i="8"/>
  <c r="C523" i="8"/>
  <c r="B523" i="8"/>
  <c r="BJ522" i="8"/>
  <c r="BI522" i="8"/>
  <c r="BH522" i="8"/>
  <c r="BG522" i="8"/>
  <c r="BF522" i="8"/>
  <c r="BE522" i="8"/>
  <c r="BD522" i="8"/>
  <c r="BC522" i="8"/>
  <c r="BB522" i="8"/>
  <c r="BA522" i="8"/>
  <c r="AZ522" i="8"/>
  <c r="AY522" i="8"/>
  <c r="AX522" i="8"/>
  <c r="AW522" i="8"/>
  <c r="AV522" i="8"/>
  <c r="AU522" i="8"/>
  <c r="L522" i="8"/>
  <c r="H522" i="8"/>
  <c r="G522" i="8"/>
  <c r="F522" i="8"/>
  <c r="D522" i="8"/>
  <c r="C522" i="8"/>
  <c r="B522" i="8"/>
  <c r="BJ521" i="8"/>
  <c r="BI521" i="8"/>
  <c r="BH521" i="8"/>
  <c r="BG521" i="8"/>
  <c r="BF521" i="8"/>
  <c r="BE521" i="8"/>
  <c r="BD521" i="8"/>
  <c r="BC521" i="8"/>
  <c r="BB521" i="8"/>
  <c r="BA521" i="8"/>
  <c r="AZ521" i="8"/>
  <c r="AY521" i="8"/>
  <c r="AX521" i="8"/>
  <c r="AW521" i="8"/>
  <c r="AV521" i="8"/>
  <c r="AU521" i="8"/>
  <c r="L521" i="8"/>
  <c r="J521" i="8"/>
  <c r="I521" i="8"/>
  <c r="H521" i="8"/>
  <c r="G521" i="8"/>
  <c r="F521" i="8"/>
  <c r="D521" i="8"/>
  <c r="C521" i="8"/>
  <c r="B521" i="8"/>
  <c r="BJ520" i="8"/>
  <c r="BI520" i="8"/>
  <c r="BH520" i="8"/>
  <c r="BG520" i="8"/>
  <c r="BF520" i="8"/>
  <c r="BE520" i="8"/>
  <c r="BD520" i="8"/>
  <c r="BC520" i="8"/>
  <c r="BB520" i="8"/>
  <c r="BA520" i="8"/>
  <c r="AZ520" i="8"/>
  <c r="AY520" i="8"/>
  <c r="AX520" i="8"/>
  <c r="AW520" i="8"/>
  <c r="AV520" i="8"/>
  <c r="AU520" i="8"/>
  <c r="L520" i="8"/>
  <c r="J520" i="8"/>
  <c r="H520" i="8"/>
  <c r="G520" i="8"/>
  <c r="F520" i="8"/>
  <c r="D520" i="8"/>
  <c r="C520" i="8"/>
  <c r="B520" i="8"/>
  <c r="BJ519" i="8"/>
  <c r="BI519" i="8"/>
  <c r="BH519" i="8"/>
  <c r="BG519" i="8"/>
  <c r="BF519" i="8"/>
  <c r="BE519" i="8"/>
  <c r="BD519" i="8"/>
  <c r="BC519" i="8"/>
  <c r="BB519" i="8"/>
  <c r="BA519" i="8"/>
  <c r="AZ519" i="8"/>
  <c r="AY519" i="8"/>
  <c r="AX519" i="8"/>
  <c r="AW519" i="8"/>
  <c r="AV519" i="8"/>
  <c r="AU519" i="8"/>
  <c r="L519" i="8"/>
  <c r="J519" i="8"/>
  <c r="I519" i="8"/>
  <c r="H519" i="8"/>
  <c r="G519" i="8"/>
  <c r="F519" i="8"/>
  <c r="D519" i="8"/>
  <c r="C519" i="8"/>
  <c r="B519" i="8"/>
  <c r="BJ518" i="8"/>
  <c r="BI518" i="8"/>
  <c r="BH518" i="8"/>
  <c r="BG518" i="8"/>
  <c r="BF518" i="8"/>
  <c r="BE518" i="8"/>
  <c r="BD518" i="8"/>
  <c r="BC518" i="8"/>
  <c r="BB518" i="8"/>
  <c r="BA518" i="8"/>
  <c r="AZ518" i="8"/>
  <c r="AY518" i="8"/>
  <c r="AX518" i="8"/>
  <c r="AW518" i="8"/>
  <c r="AV518" i="8"/>
  <c r="AU518" i="8"/>
  <c r="L518" i="8"/>
  <c r="J518" i="8"/>
  <c r="H518" i="8"/>
  <c r="G518" i="8"/>
  <c r="F518" i="8"/>
  <c r="D518" i="8"/>
  <c r="C518" i="8"/>
  <c r="B518" i="8"/>
  <c r="BJ517" i="8"/>
  <c r="BI517" i="8"/>
  <c r="BH517" i="8"/>
  <c r="BG517" i="8"/>
  <c r="BF517" i="8"/>
  <c r="BE517" i="8"/>
  <c r="BD517" i="8"/>
  <c r="BC517" i="8"/>
  <c r="BB517" i="8"/>
  <c r="BA517" i="8"/>
  <c r="AZ517" i="8"/>
  <c r="AY517" i="8"/>
  <c r="AX517" i="8"/>
  <c r="AW517" i="8"/>
  <c r="AV517" i="8"/>
  <c r="AU517" i="8"/>
  <c r="L517" i="8"/>
  <c r="J517" i="8"/>
  <c r="I517" i="8"/>
  <c r="H517" i="8"/>
  <c r="G517" i="8"/>
  <c r="F517" i="8"/>
  <c r="D517" i="8"/>
  <c r="C517" i="8"/>
  <c r="B517" i="8"/>
  <c r="BJ516" i="8"/>
  <c r="BI516" i="8"/>
  <c r="BH516" i="8"/>
  <c r="BG516" i="8"/>
  <c r="BF516" i="8"/>
  <c r="BE516" i="8"/>
  <c r="BD516" i="8"/>
  <c r="BC516" i="8"/>
  <c r="BB516" i="8"/>
  <c r="BA516" i="8"/>
  <c r="AZ516" i="8"/>
  <c r="AY516" i="8"/>
  <c r="AX516" i="8"/>
  <c r="AW516" i="8"/>
  <c r="AV516" i="8"/>
  <c r="AU516" i="8"/>
  <c r="L516" i="8"/>
  <c r="H516" i="8"/>
  <c r="G516" i="8"/>
  <c r="F516" i="8"/>
  <c r="D516" i="8"/>
  <c r="C516" i="8"/>
  <c r="B516" i="8"/>
  <c r="BJ515" i="8"/>
  <c r="BI515" i="8"/>
  <c r="BH515" i="8"/>
  <c r="BG515" i="8"/>
  <c r="BF515" i="8"/>
  <c r="BE515" i="8"/>
  <c r="BD515" i="8"/>
  <c r="BC515" i="8"/>
  <c r="BB515" i="8"/>
  <c r="BA515" i="8"/>
  <c r="AZ515" i="8"/>
  <c r="AY515" i="8"/>
  <c r="AX515" i="8"/>
  <c r="AW515" i="8"/>
  <c r="AV515" i="8"/>
  <c r="AU515" i="8"/>
  <c r="L515" i="8"/>
  <c r="K515" i="8"/>
  <c r="J515" i="8"/>
  <c r="I515" i="8"/>
  <c r="H515" i="8"/>
  <c r="G515" i="8"/>
  <c r="F515" i="8"/>
  <c r="D515" i="8"/>
  <c r="C515" i="8"/>
  <c r="B515" i="8"/>
  <c r="BJ514" i="8"/>
  <c r="BI514" i="8"/>
  <c r="BH514" i="8"/>
  <c r="BG514" i="8"/>
  <c r="BF514" i="8"/>
  <c r="BE514" i="8"/>
  <c r="BD514" i="8"/>
  <c r="BC514" i="8"/>
  <c r="BB514" i="8"/>
  <c r="BA514" i="8"/>
  <c r="AZ514" i="8"/>
  <c r="AY514" i="8"/>
  <c r="AX514" i="8"/>
  <c r="AW514" i="8"/>
  <c r="AV514" i="8"/>
  <c r="AU514" i="8"/>
  <c r="L514" i="8"/>
  <c r="J514" i="8"/>
  <c r="H514" i="8"/>
  <c r="G514" i="8"/>
  <c r="F514" i="8"/>
  <c r="D514" i="8"/>
  <c r="C514" i="8"/>
  <c r="B514" i="8"/>
  <c r="BJ513" i="8"/>
  <c r="BI513" i="8"/>
  <c r="BH513" i="8"/>
  <c r="BG513" i="8"/>
  <c r="BF513" i="8"/>
  <c r="BE513" i="8"/>
  <c r="BD513" i="8"/>
  <c r="BC513" i="8"/>
  <c r="BB513" i="8"/>
  <c r="BA513" i="8"/>
  <c r="AZ513" i="8"/>
  <c r="AY513" i="8"/>
  <c r="AX513" i="8"/>
  <c r="AW513" i="8"/>
  <c r="AV513" i="8"/>
  <c r="AU513" i="8"/>
  <c r="L513" i="8"/>
  <c r="K513" i="8"/>
  <c r="J513" i="8"/>
  <c r="I513" i="8"/>
  <c r="H513" i="8"/>
  <c r="G513" i="8"/>
  <c r="F513" i="8"/>
  <c r="D513" i="8"/>
  <c r="C513" i="8"/>
  <c r="B513" i="8"/>
  <c r="BJ512" i="8"/>
  <c r="BI512" i="8"/>
  <c r="BH512" i="8"/>
  <c r="BG512" i="8"/>
  <c r="BF512" i="8"/>
  <c r="BE512" i="8"/>
  <c r="BD512" i="8"/>
  <c r="BC512" i="8"/>
  <c r="BB512" i="8"/>
  <c r="BA512" i="8"/>
  <c r="AZ512" i="8"/>
  <c r="AY512" i="8"/>
  <c r="AX512" i="8"/>
  <c r="AW512" i="8"/>
  <c r="AV512" i="8"/>
  <c r="AU512" i="8"/>
  <c r="L512" i="8"/>
  <c r="K512" i="8"/>
  <c r="J512" i="8"/>
  <c r="I512" i="8"/>
  <c r="H512" i="8"/>
  <c r="G512" i="8"/>
  <c r="F512" i="8"/>
  <c r="D512" i="8"/>
  <c r="C512" i="8"/>
  <c r="B512" i="8"/>
  <c r="BJ511" i="8"/>
  <c r="BI511" i="8"/>
  <c r="BH511" i="8"/>
  <c r="BG511" i="8"/>
  <c r="BF511" i="8"/>
  <c r="BE511" i="8"/>
  <c r="BD511" i="8"/>
  <c r="BC511" i="8"/>
  <c r="BB511" i="8"/>
  <c r="BA511" i="8"/>
  <c r="AZ511" i="8"/>
  <c r="AY511" i="8"/>
  <c r="AX511" i="8"/>
  <c r="AW511" i="8"/>
  <c r="AV511" i="8"/>
  <c r="AU511" i="8"/>
  <c r="L511" i="8"/>
  <c r="H511" i="8"/>
  <c r="G511" i="8"/>
  <c r="F511" i="8"/>
  <c r="D511" i="8"/>
  <c r="C511" i="8"/>
  <c r="B511" i="8"/>
  <c r="BJ510" i="8"/>
  <c r="BI510" i="8"/>
  <c r="BH510" i="8"/>
  <c r="BG510" i="8"/>
  <c r="BF510" i="8"/>
  <c r="BE510" i="8"/>
  <c r="BD510" i="8"/>
  <c r="BC510" i="8"/>
  <c r="BB510" i="8"/>
  <c r="BA510" i="8"/>
  <c r="AZ510" i="8"/>
  <c r="AY510" i="8"/>
  <c r="AX510" i="8"/>
  <c r="AW510" i="8"/>
  <c r="AV510" i="8"/>
  <c r="AU510" i="8"/>
  <c r="L510" i="8"/>
  <c r="H510" i="8"/>
  <c r="G510" i="8"/>
  <c r="F510" i="8"/>
  <c r="D510" i="8"/>
  <c r="C510" i="8"/>
  <c r="B510" i="8"/>
  <c r="BJ509" i="8"/>
  <c r="BI509" i="8"/>
  <c r="BH509" i="8"/>
  <c r="BG509" i="8"/>
  <c r="BF509" i="8"/>
  <c r="BE509" i="8"/>
  <c r="BD509" i="8"/>
  <c r="BC509" i="8"/>
  <c r="BB509" i="8"/>
  <c r="BA509" i="8"/>
  <c r="AZ509" i="8"/>
  <c r="AY509" i="8"/>
  <c r="AX509" i="8"/>
  <c r="AW509" i="8"/>
  <c r="AV509" i="8"/>
  <c r="AU509" i="8"/>
  <c r="L509" i="8"/>
  <c r="H509" i="8"/>
  <c r="G509" i="8"/>
  <c r="F509" i="8"/>
  <c r="D509" i="8"/>
  <c r="C509" i="8"/>
  <c r="B509" i="8"/>
  <c r="BJ508" i="8"/>
  <c r="BI508" i="8"/>
  <c r="BH508" i="8"/>
  <c r="BG508" i="8"/>
  <c r="BF508" i="8"/>
  <c r="BE508" i="8"/>
  <c r="BD508" i="8"/>
  <c r="BC508" i="8"/>
  <c r="BB508" i="8"/>
  <c r="BA508" i="8"/>
  <c r="AZ508" i="8"/>
  <c r="AY508" i="8"/>
  <c r="AX508" i="8"/>
  <c r="AW508" i="8"/>
  <c r="AV508" i="8"/>
  <c r="AU508" i="8"/>
  <c r="L508" i="8"/>
  <c r="H508" i="8"/>
  <c r="G508" i="8"/>
  <c r="F508" i="8"/>
  <c r="D508" i="8"/>
  <c r="C508" i="8"/>
  <c r="B508" i="8"/>
  <c r="BJ507" i="8"/>
  <c r="BI507" i="8"/>
  <c r="BH507" i="8"/>
  <c r="BG507" i="8"/>
  <c r="BF507" i="8"/>
  <c r="BE507" i="8"/>
  <c r="BD507" i="8"/>
  <c r="BC507" i="8"/>
  <c r="BB507" i="8"/>
  <c r="BA507" i="8"/>
  <c r="AZ507" i="8"/>
  <c r="AY507" i="8"/>
  <c r="AX507" i="8"/>
  <c r="AW507" i="8"/>
  <c r="AV507" i="8"/>
  <c r="AU507" i="8"/>
  <c r="L507" i="8"/>
  <c r="H507" i="8"/>
  <c r="G507" i="8"/>
  <c r="F507" i="8"/>
  <c r="D507" i="8"/>
  <c r="C507" i="8"/>
  <c r="B507" i="8"/>
  <c r="BJ506" i="8"/>
  <c r="BI506" i="8"/>
  <c r="BH506" i="8"/>
  <c r="BG506" i="8"/>
  <c r="BF506" i="8"/>
  <c r="BE506" i="8"/>
  <c r="BD506" i="8"/>
  <c r="BC506" i="8"/>
  <c r="BB506" i="8"/>
  <c r="BA506" i="8"/>
  <c r="AZ506" i="8"/>
  <c r="AY506" i="8"/>
  <c r="AX506" i="8"/>
  <c r="AW506" i="8"/>
  <c r="AV506" i="8"/>
  <c r="AU506" i="8"/>
  <c r="S506" i="8"/>
  <c r="R506" i="8"/>
  <c r="P506" i="8"/>
  <c r="N506" i="8"/>
  <c r="M506" i="8"/>
  <c r="L506" i="8"/>
  <c r="J506" i="8"/>
  <c r="H506" i="8"/>
  <c r="G506" i="8"/>
  <c r="F506" i="8"/>
  <c r="D506" i="8"/>
  <c r="C506" i="8"/>
  <c r="B506" i="8"/>
  <c r="BJ505" i="8"/>
  <c r="BI505" i="8"/>
  <c r="BH505" i="8"/>
  <c r="BG505" i="8"/>
  <c r="BF505" i="8"/>
  <c r="BE505" i="8"/>
  <c r="BD505" i="8"/>
  <c r="BC505" i="8"/>
  <c r="BB505" i="8"/>
  <c r="BA505" i="8"/>
  <c r="AZ505" i="8"/>
  <c r="AY505" i="8"/>
  <c r="AX505" i="8"/>
  <c r="AW505" i="8"/>
  <c r="AV505" i="8"/>
  <c r="AU505" i="8"/>
  <c r="L505" i="8"/>
  <c r="H505" i="8"/>
  <c r="G505" i="8"/>
  <c r="F505" i="8"/>
  <c r="E505" i="8"/>
  <c r="D505" i="8"/>
  <c r="C505" i="8"/>
  <c r="B505" i="8"/>
  <c r="BJ504" i="8"/>
  <c r="BI504" i="8"/>
  <c r="BH504" i="8"/>
  <c r="BG504" i="8"/>
  <c r="BF504" i="8"/>
  <c r="BE504" i="8"/>
  <c r="BD504" i="8"/>
  <c r="BC504" i="8"/>
  <c r="BB504" i="8"/>
  <c r="BA504" i="8"/>
  <c r="AZ504" i="8"/>
  <c r="AY504" i="8"/>
  <c r="AX504" i="8"/>
  <c r="AW504" i="8"/>
  <c r="AV504" i="8"/>
  <c r="AU504" i="8"/>
  <c r="L504" i="8"/>
  <c r="H504" i="8"/>
  <c r="G504" i="8"/>
  <c r="F504" i="8"/>
  <c r="E504" i="8"/>
  <c r="D504" i="8"/>
  <c r="C504" i="8"/>
  <c r="B504" i="8"/>
  <c r="BJ503" i="8"/>
  <c r="BI503" i="8"/>
  <c r="BH503" i="8"/>
  <c r="BG503" i="8"/>
  <c r="BF503" i="8"/>
  <c r="BE503" i="8"/>
  <c r="BD503" i="8"/>
  <c r="BC503" i="8"/>
  <c r="BB503" i="8"/>
  <c r="BA503" i="8"/>
  <c r="AZ503" i="8"/>
  <c r="AY503" i="8"/>
  <c r="AX503" i="8"/>
  <c r="AW503" i="8"/>
  <c r="AV503" i="8"/>
  <c r="AU503" i="8"/>
  <c r="L503" i="8"/>
  <c r="H503" i="8"/>
  <c r="G503" i="8"/>
  <c r="F503" i="8"/>
  <c r="E503" i="8"/>
  <c r="D503" i="8"/>
  <c r="C503" i="8"/>
  <c r="B503" i="8"/>
  <c r="BJ502" i="8"/>
  <c r="BI502" i="8"/>
  <c r="BH502" i="8"/>
  <c r="BG502" i="8"/>
  <c r="BF502" i="8"/>
  <c r="BE502" i="8"/>
  <c r="BD502" i="8"/>
  <c r="BC502" i="8"/>
  <c r="BB502" i="8"/>
  <c r="BA502" i="8"/>
  <c r="AZ502" i="8"/>
  <c r="AY502" i="8"/>
  <c r="AX502" i="8"/>
  <c r="AW502" i="8"/>
  <c r="AV502" i="8"/>
  <c r="AU502" i="8"/>
  <c r="P502" i="8"/>
  <c r="N502" i="8"/>
  <c r="M502" i="8"/>
  <c r="L502" i="8"/>
  <c r="I502" i="8"/>
  <c r="H502" i="8"/>
  <c r="G502" i="8"/>
  <c r="F502" i="8"/>
  <c r="E502" i="8"/>
  <c r="D502" i="8"/>
  <c r="C502" i="8"/>
  <c r="B502" i="8"/>
  <c r="BJ501" i="8"/>
  <c r="BI501" i="8"/>
  <c r="BH501" i="8"/>
  <c r="BG501" i="8"/>
  <c r="BF501" i="8"/>
  <c r="BE501" i="8"/>
  <c r="BD501" i="8"/>
  <c r="BC501" i="8"/>
  <c r="BB501" i="8"/>
  <c r="BA501" i="8"/>
  <c r="AZ501" i="8"/>
  <c r="AY501" i="8"/>
  <c r="AX501" i="8"/>
  <c r="AW501" i="8"/>
  <c r="AV501" i="8"/>
  <c r="AU501" i="8"/>
  <c r="L501" i="8"/>
  <c r="H501" i="8"/>
  <c r="G501" i="8"/>
  <c r="F501" i="8"/>
  <c r="E501" i="8"/>
  <c r="D501" i="8"/>
  <c r="C501" i="8"/>
  <c r="B501" i="8"/>
  <c r="BJ500" i="8"/>
  <c r="BI500" i="8"/>
  <c r="BH500" i="8"/>
  <c r="BG500" i="8"/>
  <c r="BF500" i="8"/>
  <c r="BE500" i="8"/>
  <c r="BD500" i="8"/>
  <c r="BC500" i="8"/>
  <c r="BB500" i="8"/>
  <c r="BA500" i="8"/>
  <c r="AZ500" i="8"/>
  <c r="AY500" i="8"/>
  <c r="AX500" i="8"/>
  <c r="AW500" i="8"/>
  <c r="AV500" i="8"/>
  <c r="AU500" i="8"/>
  <c r="L500" i="8"/>
  <c r="H500" i="8"/>
  <c r="G500" i="8"/>
  <c r="F500" i="8"/>
  <c r="E500" i="8"/>
  <c r="D500" i="8"/>
  <c r="C500" i="8"/>
  <c r="B500" i="8"/>
  <c r="BJ499" i="8"/>
  <c r="BI499" i="8"/>
  <c r="BH499" i="8"/>
  <c r="BG499" i="8"/>
  <c r="BF499" i="8"/>
  <c r="BE499" i="8"/>
  <c r="BD499" i="8"/>
  <c r="BC499" i="8"/>
  <c r="BB499" i="8"/>
  <c r="BA499" i="8"/>
  <c r="AZ499" i="8"/>
  <c r="AY499" i="8"/>
  <c r="AX499" i="8"/>
  <c r="AW499" i="8"/>
  <c r="AV499" i="8"/>
  <c r="AU499" i="8"/>
  <c r="L499" i="8"/>
  <c r="H499" i="8"/>
  <c r="G499" i="8"/>
  <c r="F499" i="8"/>
  <c r="E499" i="8"/>
  <c r="D499" i="8"/>
  <c r="C499" i="8"/>
  <c r="B499" i="8"/>
  <c r="BJ498" i="8"/>
  <c r="BI498" i="8"/>
  <c r="BH498" i="8"/>
  <c r="BG498" i="8"/>
  <c r="BF498" i="8"/>
  <c r="BE498" i="8"/>
  <c r="BD498" i="8"/>
  <c r="BC498" i="8"/>
  <c r="BB498" i="8"/>
  <c r="BA498" i="8"/>
  <c r="AZ498" i="8"/>
  <c r="AY498" i="8"/>
  <c r="AX498" i="8"/>
  <c r="AW498" i="8"/>
  <c r="AV498" i="8"/>
  <c r="AU498" i="8"/>
  <c r="L498" i="8"/>
  <c r="H498" i="8"/>
  <c r="G498" i="8"/>
  <c r="F498" i="8"/>
  <c r="E498" i="8"/>
  <c r="D498" i="8"/>
  <c r="C498" i="8"/>
  <c r="B498" i="8"/>
  <c r="BJ497" i="8"/>
  <c r="BI497" i="8"/>
  <c r="BH497" i="8"/>
  <c r="BG497" i="8"/>
  <c r="BF497" i="8"/>
  <c r="BE497" i="8"/>
  <c r="BD497" i="8"/>
  <c r="BC497" i="8"/>
  <c r="BB497" i="8"/>
  <c r="BA497" i="8"/>
  <c r="AZ497" i="8"/>
  <c r="AY497" i="8"/>
  <c r="AX497" i="8"/>
  <c r="AW497" i="8"/>
  <c r="AV497" i="8"/>
  <c r="AU497" i="8"/>
  <c r="L497" i="8"/>
  <c r="H497" i="8"/>
  <c r="G497" i="8"/>
  <c r="F497" i="8"/>
  <c r="E497" i="8"/>
  <c r="D497" i="8"/>
  <c r="C497" i="8"/>
  <c r="B497" i="8"/>
  <c r="BJ496" i="8"/>
  <c r="BI496" i="8"/>
  <c r="BH496" i="8"/>
  <c r="BG496" i="8"/>
  <c r="BF496" i="8"/>
  <c r="BE496" i="8"/>
  <c r="BD496" i="8"/>
  <c r="BC496" i="8"/>
  <c r="BB496" i="8"/>
  <c r="BA496" i="8"/>
  <c r="AZ496" i="8"/>
  <c r="AY496" i="8"/>
  <c r="AX496" i="8"/>
  <c r="AW496" i="8"/>
  <c r="AV496" i="8"/>
  <c r="AU496" i="8"/>
  <c r="L496" i="8"/>
  <c r="H496" i="8"/>
  <c r="G496" i="8"/>
  <c r="F496" i="8"/>
  <c r="E496" i="8"/>
  <c r="D496" i="8"/>
  <c r="C496" i="8"/>
  <c r="B496" i="8"/>
  <c r="BJ495" i="8"/>
  <c r="BI495" i="8"/>
  <c r="BH495" i="8"/>
  <c r="BG495" i="8"/>
  <c r="BF495" i="8"/>
  <c r="BE495" i="8"/>
  <c r="BD495" i="8"/>
  <c r="BC495" i="8"/>
  <c r="BB495" i="8"/>
  <c r="BA495" i="8"/>
  <c r="AZ495" i="8"/>
  <c r="AY495" i="8"/>
  <c r="AX495" i="8"/>
  <c r="AW495" i="8"/>
  <c r="AV495" i="8"/>
  <c r="AU495" i="8"/>
  <c r="L495" i="8"/>
  <c r="H495" i="8"/>
  <c r="G495" i="8"/>
  <c r="F495" i="8"/>
  <c r="E495" i="8"/>
  <c r="D495" i="8"/>
  <c r="C495" i="8"/>
  <c r="B495" i="8"/>
  <c r="BJ494" i="8"/>
  <c r="BI494" i="8"/>
  <c r="BH494" i="8"/>
  <c r="BG494" i="8"/>
  <c r="BF494" i="8"/>
  <c r="BE494" i="8"/>
  <c r="BD494" i="8"/>
  <c r="BC494" i="8"/>
  <c r="BB494" i="8"/>
  <c r="BA494" i="8"/>
  <c r="AZ494" i="8"/>
  <c r="AY494" i="8"/>
  <c r="AX494" i="8"/>
  <c r="AW494" i="8"/>
  <c r="AV494" i="8"/>
  <c r="AU494" i="8"/>
  <c r="S494" i="8"/>
  <c r="R494" i="8"/>
  <c r="Q494" i="8"/>
  <c r="P494" i="8"/>
  <c r="O494" i="8"/>
  <c r="N494" i="8"/>
  <c r="M494" i="8"/>
  <c r="L494" i="8"/>
  <c r="K494" i="8"/>
  <c r="J494" i="8"/>
  <c r="I494" i="8"/>
  <c r="H494" i="8"/>
  <c r="G494" i="8"/>
  <c r="F494" i="8"/>
  <c r="E494" i="8"/>
  <c r="D494" i="8"/>
  <c r="C494" i="8"/>
  <c r="B494" i="8"/>
  <c r="BJ493" i="8"/>
  <c r="BI493" i="8"/>
  <c r="BH493" i="8"/>
  <c r="BG493" i="8"/>
  <c r="BF493" i="8"/>
  <c r="BE493" i="8"/>
  <c r="BD493" i="8"/>
  <c r="BC493" i="8"/>
  <c r="BB493" i="8"/>
  <c r="BA493" i="8"/>
  <c r="AZ493" i="8"/>
  <c r="AY493" i="8"/>
  <c r="AX493" i="8"/>
  <c r="AW493" i="8"/>
  <c r="AV493" i="8"/>
  <c r="AU493" i="8"/>
  <c r="T493" i="8"/>
  <c r="L493" i="8"/>
  <c r="H493" i="8"/>
  <c r="G493" i="8"/>
  <c r="F493" i="8"/>
  <c r="E493" i="8"/>
  <c r="D493" i="8"/>
  <c r="C493" i="8"/>
  <c r="B493" i="8"/>
  <c r="BJ492" i="8"/>
  <c r="BI492" i="8"/>
  <c r="BH492" i="8"/>
  <c r="BG492" i="8"/>
  <c r="BF492" i="8"/>
  <c r="BE492" i="8"/>
  <c r="BD492" i="8"/>
  <c r="BC492" i="8"/>
  <c r="BB492" i="8"/>
  <c r="BA492" i="8"/>
  <c r="AZ492" i="8"/>
  <c r="AY492" i="8"/>
  <c r="AX492" i="8"/>
  <c r="AW492" i="8"/>
  <c r="AV492" i="8"/>
  <c r="AU492" i="8"/>
  <c r="T492" i="8"/>
  <c r="L492" i="8"/>
  <c r="H492" i="8"/>
  <c r="G492" i="8"/>
  <c r="F492" i="8"/>
  <c r="E492" i="8"/>
  <c r="D492" i="8"/>
  <c r="C492" i="8"/>
  <c r="B492" i="8"/>
  <c r="BJ491" i="8"/>
  <c r="BI491" i="8"/>
  <c r="BH491" i="8"/>
  <c r="BG491" i="8"/>
  <c r="BF491" i="8"/>
  <c r="BE491" i="8"/>
  <c r="BD491" i="8"/>
  <c r="BC491" i="8"/>
  <c r="BB491" i="8"/>
  <c r="BA491" i="8"/>
  <c r="AZ491" i="8"/>
  <c r="AY491" i="8"/>
  <c r="AX491" i="8"/>
  <c r="AW491" i="8"/>
  <c r="AV491" i="8"/>
  <c r="AU491" i="8"/>
  <c r="T491" i="8"/>
  <c r="L491" i="8"/>
  <c r="H491" i="8"/>
  <c r="G491" i="8"/>
  <c r="F491" i="8"/>
  <c r="E491" i="8"/>
  <c r="D491" i="8"/>
  <c r="C491" i="8"/>
  <c r="B491" i="8"/>
  <c r="BJ490" i="8"/>
  <c r="BI490" i="8"/>
  <c r="BH490" i="8"/>
  <c r="BG490" i="8"/>
  <c r="BF490" i="8"/>
  <c r="BE490" i="8"/>
  <c r="BD490" i="8"/>
  <c r="BC490" i="8"/>
  <c r="BB490" i="8"/>
  <c r="BA490" i="8"/>
  <c r="AZ490" i="8"/>
  <c r="AY490" i="8"/>
  <c r="AX490" i="8"/>
  <c r="AW490" i="8"/>
  <c r="AV490" i="8"/>
  <c r="AU490" i="8"/>
  <c r="T490" i="8"/>
  <c r="L490" i="8"/>
  <c r="H490" i="8"/>
  <c r="G490" i="8"/>
  <c r="F490" i="8"/>
  <c r="E490" i="8"/>
  <c r="D490" i="8"/>
  <c r="C490" i="8"/>
  <c r="B490" i="8"/>
  <c r="BJ489" i="8"/>
  <c r="BI489" i="8"/>
  <c r="BH489" i="8"/>
  <c r="BG489" i="8"/>
  <c r="BF489" i="8"/>
  <c r="BE489" i="8"/>
  <c r="BD489" i="8"/>
  <c r="BC489" i="8"/>
  <c r="BB489" i="8"/>
  <c r="BA489" i="8"/>
  <c r="AZ489" i="8"/>
  <c r="AY489" i="8"/>
  <c r="AX489" i="8"/>
  <c r="AW489" i="8"/>
  <c r="AV489" i="8"/>
  <c r="AU489" i="8"/>
  <c r="T489" i="8"/>
  <c r="L489" i="8"/>
  <c r="H489" i="8"/>
  <c r="G489" i="8"/>
  <c r="F489" i="8"/>
  <c r="E489" i="8"/>
  <c r="D489" i="8"/>
  <c r="C489" i="8"/>
  <c r="B489" i="8"/>
  <c r="BJ488" i="8"/>
  <c r="BI488" i="8"/>
  <c r="BH488" i="8"/>
  <c r="BG488" i="8"/>
  <c r="BF488" i="8"/>
  <c r="BE488" i="8"/>
  <c r="BD488" i="8"/>
  <c r="BC488" i="8"/>
  <c r="BB488" i="8"/>
  <c r="BA488" i="8"/>
  <c r="AZ488" i="8"/>
  <c r="AY488" i="8"/>
  <c r="AX488" i="8"/>
  <c r="AW488" i="8"/>
  <c r="AV488" i="8"/>
  <c r="AU488" i="8"/>
  <c r="T488" i="8"/>
  <c r="L488" i="8"/>
  <c r="H488" i="8"/>
  <c r="G488" i="8"/>
  <c r="F488" i="8"/>
  <c r="E488" i="8"/>
  <c r="D488" i="8"/>
  <c r="C488" i="8"/>
  <c r="B488" i="8"/>
  <c r="BJ487" i="8"/>
  <c r="BI487" i="8"/>
  <c r="BH487" i="8"/>
  <c r="BG487" i="8"/>
  <c r="BF487" i="8"/>
  <c r="BE487" i="8"/>
  <c r="BD487" i="8"/>
  <c r="BC487" i="8"/>
  <c r="BB487" i="8"/>
  <c r="BA487" i="8"/>
  <c r="AZ487" i="8"/>
  <c r="AY487" i="8"/>
  <c r="AX487" i="8"/>
  <c r="AW487" i="8"/>
  <c r="AV487" i="8"/>
  <c r="AU487" i="8"/>
  <c r="T487" i="8"/>
  <c r="L487" i="8"/>
  <c r="H487" i="8"/>
  <c r="G487" i="8"/>
  <c r="F487" i="8"/>
  <c r="E487" i="8"/>
  <c r="D487" i="8"/>
  <c r="C487" i="8"/>
  <c r="B487" i="8"/>
  <c r="BJ486" i="8"/>
  <c r="BI486" i="8"/>
  <c r="BH486" i="8"/>
  <c r="BG486" i="8"/>
  <c r="BF486" i="8"/>
  <c r="BE486" i="8"/>
  <c r="BD486" i="8"/>
  <c r="BC486" i="8"/>
  <c r="BB486" i="8"/>
  <c r="BA486" i="8"/>
  <c r="AZ486" i="8"/>
  <c r="AY486" i="8"/>
  <c r="AX486" i="8"/>
  <c r="AW486" i="8"/>
  <c r="AV486" i="8"/>
  <c r="AU486" i="8"/>
  <c r="T486" i="8"/>
  <c r="L486" i="8"/>
  <c r="H486" i="8"/>
  <c r="G486" i="8"/>
  <c r="F486" i="8"/>
  <c r="E486" i="8"/>
  <c r="D486" i="8"/>
  <c r="C486" i="8"/>
  <c r="B486" i="8"/>
  <c r="BJ485" i="8"/>
  <c r="BI485" i="8"/>
  <c r="BH485" i="8"/>
  <c r="BG485" i="8"/>
  <c r="BF485" i="8"/>
  <c r="BE485" i="8"/>
  <c r="BD485" i="8"/>
  <c r="BC485" i="8"/>
  <c r="BB485" i="8"/>
  <c r="BA485" i="8"/>
  <c r="AZ485" i="8"/>
  <c r="AY485" i="8"/>
  <c r="AX485" i="8"/>
  <c r="AW485" i="8"/>
  <c r="AV485" i="8"/>
  <c r="AU485" i="8"/>
  <c r="T485" i="8"/>
  <c r="L485" i="8"/>
  <c r="H485" i="8"/>
  <c r="G485" i="8"/>
  <c r="F485" i="8"/>
  <c r="E485" i="8"/>
  <c r="D485" i="8"/>
  <c r="C485" i="8"/>
  <c r="B485" i="8"/>
  <c r="BJ484" i="8"/>
  <c r="BI484" i="8"/>
  <c r="BH484" i="8"/>
  <c r="BG484" i="8"/>
  <c r="BF484" i="8"/>
  <c r="BE484" i="8"/>
  <c r="BD484" i="8"/>
  <c r="BC484" i="8"/>
  <c r="BB484" i="8"/>
  <c r="BA484" i="8"/>
  <c r="AZ484" i="8"/>
  <c r="AY484" i="8"/>
  <c r="AX484" i="8"/>
  <c r="AW484" i="8"/>
  <c r="AV484" i="8"/>
  <c r="AU484" i="8"/>
  <c r="T484" i="8"/>
  <c r="L484" i="8"/>
  <c r="H484" i="8"/>
  <c r="G484" i="8"/>
  <c r="F484" i="8"/>
  <c r="E484" i="8"/>
  <c r="D484" i="8"/>
  <c r="C484" i="8"/>
  <c r="B484" i="8"/>
  <c r="BJ483" i="8"/>
  <c r="BI483" i="8"/>
  <c r="BH483" i="8"/>
  <c r="BG483" i="8"/>
  <c r="BF483" i="8"/>
  <c r="BE483" i="8"/>
  <c r="BD483" i="8"/>
  <c r="BC483" i="8"/>
  <c r="BB483" i="8"/>
  <c r="BA483" i="8"/>
  <c r="AZ483" i="8"/>
  <c r="AY483" i="8"/>
  <c r="AX483" i="8"/>
  <c r="AW483" i="8"/>
  <c r="AV483" i="8"/>
  <c r="AU483" i="8"/>
  <c r="T483" i="8"/>
  <c r="L483" i="8"/>
  <c r="H483" i="8"/>
  <c r="G483" i="8"/>
  <c r="F483" i="8"/>
  <c r="E483" i="8"/>
  <c r="D483" i="8"/>
  <c r="C483" i="8"/>
  <c r="B483" i="8"/>
  <c r="BJ482" i="8"/>
  <c r="BI482" i="8"/>
  <c r="BH482" i="8"/>
  <c r="BG482" i="8"/>
  <c r="BF482" i="8"/>
  <c r="BE482" i="8"/>
  <c r="BD482" i="8"/>
  <c r="BC482" i="8"/>
  <c r="BB482" i="8"/>
  <c r="BA482" i="8"/>
  <c r="AZ482" i="8"/>
  <c r="AY482" i="8"/>
  <c r="AX482" i="8"/>
  <c r="AW482" i="8"/>
  <c r="AV482" i="8"/>
  <c r="AU482" i="8"/>
  <c r="T482" i="8"/>
  <c r="L482" i="8"/>
  <c r="H482" i="8"/>
  <c r="G482" i="8"/>
  <c r="F482" i="8"/>
  <c r="E482" i="8"/>
  <c r="D482" i="8"/>
  <c r="C482" i="8"/>
  <c r="B482" i="8"/>
  <c r="BJ481" i="8"/>
  <c r="BI481" i="8"/>
  <c r="BH481" i="8"/>
  <c r="BG481" i="8"/>
  <c r="BF481" i="8"/>
  <c r="BE481" i="8"/>
  <c r="BD481" i="8"/>
  <c r="BC481" i="8"/>
  <c r="BB481" i="8"/>
  <c r="BA481" i="8"/>
  <c r="AZ481" i="8"/>
  <c r="AY481" i="8"/>
  <c r="AX481" i="8"/>
  <c r="AW481" i="8"/>
  <c r="AV481" i="8"/>
  <c r="AU481" i="8"/>
  <c r="T481" i="8"/>
  <c r="L481" i="8"/>
  <c r="H481" i="8"/>
  <c r="G481" i="8"/>
  <c r="F481" i="8"/>
  <c r="E481" i="8"/>
  <c r="D481" i="8"/>
  <c r="C481" i="8"/>
  <c r="B481" i="8"/>
  <c r="BJ480" i="8"/>
  <c r="BI480" i="8"/>
  <c r="BH480" i="8"/>
  <c r="BG480" i="8"/>
  <c r="BF480" i="8"/>
  <c r="BE480" i="8"/>
  <c r="BD480" i="8"/>
  <c r="BC480" i="8"/>
  <c r="BB480" i="8"/>
  <c r="BA480" i="8"/>
  <c r="AZ480" i="8"/>
  <c r="AY480" i="8"/>
  <c r="AX480" i="8"/>
  <c r="AW480" i="8"/>
  <c r="AV480" i="8"/>
  <c r="AU480" i="8"/>
  <c r="T480" i="8"/>
  <c r="L480" i="8"/>
  <c r="H480" i="8"/>
  <c r="G480" i="8"/>
  <c r="F480" i="8"/>
  <c r="E480" i="8"/>
  <c r="D480" i="8"/>
  <c r="C480" i="8"/>
  <c r="B480" i="8"/>
  <c r="BJ479" i="8"/>
  <c r="BI479" i="8"/>
  <c r="BH479" i="8"/>
  <c r="BG479" i="8"/>
  <c r="BF479" i="8"/>
  <c r="BE479" i="8"/>
  <c r="BD479" i="8"/>
  <c r="BC479" i="8"/>
  <c r="BB479" i="8"/>
  <c r="BA479" i="8"/>
  <c r="AZ479" i="8"/>
  <c r="AY479" i="8"/>
  <c r="AX479" i="8"/>
  <c r="AW479" i="8"/>
  <c r="AV479" i="8"/>
  <c r="AU479" i="8"/>
  <c r="S479" i="8"/>
  <c r="R479" i="8"/>
  <c r="Q479" i="8"/>
  <c r="P479" i="8"/>
  <c r="O479" i="8"/>
  <c r="N479" i="8"/>
  <c r="M479" i="8"/>
  <c r="L479" i="8"/>
  <c r="K479" i="8"/>
  <c r="J479" i="8"/>
  <c r="I479" i="8"/>
  <c r="H479" i="8"/>
  <c r="G479" i="8"/>
  <c r="F479" i="8"/>
  <c r="E479" i="8"/>
  <c r="D479" i="8"/>
  <c r="C479" i="8"/>
  <c r="B479" i="8"/>
  <c r="BJ478" i="8"/>
  <c r="BI478" i="8"/>
  <c r="BH478" i="8"/>
  <c r="BG478" i="8"/>
  <c r="BF478" i="8"/>
  <c r="BE478" i="8"/>
  <c r="BD478" i="8"/>
  <c r="BC478" i="8"/>
  <c r="BB478" i="8"/>
  <c r="BA478" i="8"/>
  <c r="AZ478" i="8"/>
  <c r="AY478" i="8"/>
  <c r="AX478" i="8"/>
  <c r="AW478" i="8"/>
  <c r="AV478" i="8"/>
  <c r="AU478" i="8"/>
  <c r="U478" i="8"/>
  <c r="S478" i="8"/>
  <c r="R478" i="8"/>
  <c r="Q478" i="8"/>
  <c r="P478" i="8"/>
  <c r="O478" i="8"/>
  <c r="N478" i="8"/>
  <c r="M478" i="8"/>
  <c r="L478" i="8"/>
  <c r="H478" i="8"/>
  <c r="G478" i="8"/>
  <c r="F478" i="8"/>
  <c r="E478" i="8"/>
  <c r="D478" i="8"/>
  <c r="C478" i="8"/>
  <c r="B478" i="8"/>
  <c r="BJ477" i="8"/>
  <c r="BI477" i="8"/>
  <c r="BH477" i="8"/>
  <c r="BG477" i="8"/>
  <c r="BF477" i="8"/>
  <c r="BE477" i="8"/>
  <c r="BD477" i="8"/>
  <c r="BC477" i="8"/>
  <c r="BB477" i="8"/>
  <c r="BA477" i="8"/>
  <c r="AZ477" i="8"/>
  <c r="AY477" i="8"/>
  <c r="AX477" i="8"/>
  <c r="AW477" i="8"/>
  <c r="AV477" i="8"/>
  <c r="AU477" i="8"/>
  <c r="L477" i="8"/>
  <c r="H477" i="8"/>
  <c r="G477" i="8"/>
  <c r="F477" i="8"/>
  <c r="E477" i="8"/>
  <c r="D477" i="8"/>
  <c r="C477" i="8"/>
  <c r="B477" i="8"/>
  <c r="BJ476" i="8"/>
  <c r="BI476" i="8"/>
  <c r="BH476" i="8"/>
  <c r="BG476" i="8"/>
  <c r="BF476" i="8"/>
  <c r="BE476" i="8"/>
  <c r="BD476" i="8"/>
  <c r="BC476" i="8"/>
  <c r="BB476" i="8"/>
  <c r="BA476" i="8"/>
  <c r="AZ476" i="8"/>
  <c r="AY476" i="8"/>
  <c r="AX476" i="8"/>
  <c r="AW476" i="8"/>
  <c r="AV476" i="8"/>
  <c r="AU476" i="8"/>
  <c r="S476" i="8"/>
  <c r="R476" i="8"/>
  <c r="Q476" i="8"/>
  <c r="P476" i="8"/>
  <c r="O476" i="8"/>
  <c r="N476" i="8"/>
  <c r="M476" i="8"/>
  <c r="L476" i="8"/>
  <c r="H476" i="8"/>
  <c r="G476" i="8"/>
  <c r="F476" i="8"/>
  <c r="E476" i="8"/>
  <c r="D476" i="8"/>
  <c r="C476" i="8"/>
  <c r="B476" i="8"/>
  <c r="BJ475" i="8"/>
  <c r="BI475" i="8"/>
  <c r="BH475" i="8"/>
  <c r="BG475" i="8"/>
  <c r="BF475" i="8"/>
  <c r="BE475" i="8"/>
  <c r="BD475" i="8"/>
  <c r="BC475" i="8"/>
  <c r="BB475" i="8"/>
  <c r="BA475" i="8"/>
  <c r="AZ475" i="8"/>
  <c r="AY475" i="8"/>
  <c r="AX475" i="8"/>
  <c r="AW475" i="8"/>
  <c r="AV475" i="8"/>
  <c r="AU475" i="8"/>
  <c r="U475" i="8"/>
  <c r="S475" i="8"/>
  <c r="R475" i="8"/>
  <c r="Q475" i="8"/>
  <c r="P475" i="8"/>
  <c r="O475" i="8"/>
  <c r="N475" i="8"/>
  <c r="M475" i="8"/>
  <c r="L475" i="8"/>
  <c r="H475" i="8"/>
  <c r="G475" i="8"/>
  <c r="F475" i="8"/>
  <c r="E475" i="8"/>
  <c r="D475" i="8"/>
  <c r="C475" i="8"/>
  <c r="B475" i="8"/>
  <c r="BJ474" i="8"/>
  <c r="BI474" i="8"/>
  <c r="BH474" i="8"/>
  <c r="BG474" i="8"/>
  <c r="BF474" i="8"/>
  <c r="BE474" i="8"/>
  <c r="BD474" i="8"/>
  <c r="BC474" i="8"/>
  <c r="BB474" i="8"/>
  <c r="BA474" i="8"/>
  <c r="AZ474" i="8"/>
  <c r="AY474" i="8"/>
  <c r="AX474" i="8"/>
  <c r="AW474" i="8"/>
  <c r="AV474" i="8"/>
  <c r="AU474" i="8"/>
  <c r="L474" i="8"/>
  <c r="H474" i="8"/>
  <c r="G474" i="8"/>
  <c r="F474" i="8"/>
  <c r="E474" i="8"/>
  <c r="D474" i="8"/>
  <c r="C474" i="8"/>
  <c r="B474" i="8"/>
  <c r="BJ473" i="8"/>
  <c r="BI473" i="8"/>
  <c r="BH473" i="8"/>
  <c r="BG473" i="8"/>
  <c r="BF473" i="8"/>
  <c r="BE473" i="8"/>
  <c r="BD473" i="8"/>
  <c r="BC473" i="8"/>
  <c r="BB473" i="8"/>
  <c r="BA473" i="8"/>
  <c r="AZ473" i="8"/>
  <c r="AY473" i="8"/>
  <c r="AX473" i="8"/>
  <c r="AW473" i="8"/>
  <c r="AV473" i="8"/>
  <c r="AU473" i="8"/>
  <c r="L473" i="8"/>
  <c r="H473" i="8"/>
  <c r="G473" i="8"/>
  <c r="F473" i="8"/>
  <c r="E473" i="8"/>
  <c r="D473" i="8"/>
  <c r="C473" i="8"/>
  <c r="B473" i="8"/>
  <c r="BJ472" i="8"/>
  <c r="BI472" i="8"/>
  <c r="BH472" i="8"/>
  <c r="BG472" i="8"/>
  <c r="BF472" i="8"/>
  <c r="BE472" i="8"/>
  <c r="BD472" i="8"/>
  <c r="BC472" i="8"/>
  <c r="BB472" i="8"/>
  <c r="BA472" i="8"/>
  <c r="AZ472" i="8"/>
  <c r="AY472" i="8"/>
  <c r="AX472" i="8"/>
  <c r="AW472" i="8"/>
  <c r="AV472" i="8"/>
  <c r="AU472" i="8"/>
  <c r="L472" i="8"/>
  <c r="H472" i="8"/>
  <c r="G472" i="8"/>
  <c r="F472" i="8"/>
  <c r="E472" i="8"/>
  <c r="D472" i="8"/>
  <c r="C472" i="8"/>
  <c r="B472" i="8"/>
  <c r="BJ471" i="8"/>
  <c r="BI471" i="8"/>
  <c r="BH471" i="8"/>
  <c r="BG471" i="8"/>
  <c r="BF471" i="8"/>
  <c r="BE471" i="8"/>
  <c r="BD471" i="8"/>
  <c r="BC471" i="8"/>
  <c r="BB471" i="8"/>
  <c r="BA471" i="8"/>
  <c r="AZ471" i="8"/>
  <c r="AY471" i="8"/>
  <c r="AX471" i="8"/>
  <c r="AW471" i="8"/>
  <c r="AV471" i="8"/>
  <c r="AU471" i="8"/>
  <c r="S471" i="8"/>
  <c r="R471" i="8"/>
  <c r="Q471" i="8"/>
  <c r="P471" i="8"/>
  <c r="O471" i="8"/>
  <c r="N471" i="8"/>
  <c r="M471" i="8"/>
  <c r="L471" i="8"/>
  <c r="K471" i="8"/>
  <c r="J471" i="8"/>
  <c r="I471" i="8"/>
  <c r="H471" i="8"/>
  <c r="G471" i="8"/>
  <c r="F471" i="8"/>
  <c r="E471" i="8"/>
  <c r="D471" i="8"/>
  <c r="C471" i="8"/>
  <c r="B471" i="8"/>
  <c r="BJ470" i="8"/>
  <c r="BI470" i="8"/>
  <c r="BH470" i="8"/>
  <c r="BG470" i="8"/>
  <c r="BF470" i="8"/>
  <c r="BE470" i="8"/>
  <c r="BD470" i="8"/>
  <c r="BC470" i="8"/>
  <c r="BB470" i="8"/>
  <c r="BA470" i="8"/>
  <c r="AZ470" i="8"/>
  <c r="AY470" i="8"/>
  <c r="AX470" i="8"/>
  <c r="AW470" i="8"/>
  <c r="AV470" i="8"/>
  <c r="AU470" i="8"/>
  <c r="L470" i="8"/>
  <c r="H470" i="8"/>
  <c r="G470" i="8"/>
  <c r="F470" i="8"/>
  <c r="E470" i="8"/>
  <c r="D470" i="8"/>
  <c r="C470" i="8"/>
  <c r="B470" i="8"/>
  <c r="BJ469" i="8"/>
  <c r="BI469" i="8"/>
  <c r="BH469" i="8"/>
  <c r="BG469" i="8"/>
  <c r="BF469" i="8"/>
  <c r="BE469" i="8"/>
  <c r="BD469" i="8"/>
  <c r="BC469" i="8"/>
  <c r="BB469" i="8"/>
  <c r="BA469" i="8"/>
  <c r="AZ469" i="8"/>
  <c r="AY469" i="8"/>
  <c r="AX469" i="8"/>
  <c r="AW469" i="8"/>
  <c r="AV469" i="8"/>
  <c r="AU469" i="8"/>
  <c r="U469" i="8"/>
  <c r="S469" i="8"/>
  <c r="R469" i="8"/>
  <c r="Q469" i="8"/>
  <c r="P469" i="8"/>
  <c r="O469" i="8"/>
  <c r="N469" i="8"/>
  <c r="M469" i="8"/>
  <c r="L469" i="8"/>
  <c r="H469" i="8"/>
  <c r="G469" i="8"/>
  <c r="F469" i="8"/>
  <c r="E469" i="8"/>
  <c r="D469" i="8"/>
  <c r="C469" i="8"/>
  <c r="B469" i="8"/>
  <c r="BJ468" i="8"/>
  <c r="BI468" i="8"/>
  <c r="BH468" i="8"/>
  <c r="BG468" i="8"/>
  <c r="BF468" i="8"/>
  <c r="BE468" i="8"/>
  <c r="BD468" i="8"/>
  <c r="BC468" i="8"/>
  <c r="BB468" i="8"/>
  <c r="BA468" i="8"/>
  <c r="AZ468" i="8"/>
  <c r="AY468" i="8"/>
  <c r="AX468" i="8"/>
  <c r="AW468" i="8"/>
  <c r="AV468" i="8"/>
  <c r="AU468" i="8"/>
  <c r="U468" i="8"/>
  <c r="S468" i="8"/>
  <c r="R468" i="8"/>
  <c r="Q468" i="8"/>
  <c r="P468" i="8"/>
  <c r="O468" i="8"/>
  <c r="N468" i="8"/>
  <c r="M468" i="8"/>
  <c r="L468" i="8"/>
  <c r="K468" i="8"/>
  <c r="J468" i="8"/>
  <c r="I468" i="8"/>
  <c r="H468" i="8"/>
  <c r="G468" i="8"/>
  <c r="F468" i="8"/>
  <c r="E468" i="8"/>
  <c r="D468" i="8"/>
  <c r="C468" i="8"/>
  <c r="B468" i="8"/>
  <c r="BJ467" i="8"/>
  <c r="BI467" i="8"/>
  <c r="BH467" i="8"/>
  <c r="BG467" i="8"/>
  <c r="BF467" i="8"/>
  <c r="BE467" i="8"/>
  <c r="BD467" i="8"/>
  <c r="BC467" i="8"/>
  <c r="BB467" i="8"/>
  <c r="BA467" i="8"/>
  <c r="AZ467" i="8"/>
  <c r="AY467" i="8"/>
  <c r="AX467" i="8"/>
  <c r="AW467" i="8"/>
  <c r="AV467" i="8"/>
  <c r="AU467" i="8"/>
  <c r="L467" i="8"/>
  <c r="H467" i="8"/>
  <c r="G467" i="8"/>
  <c r="F467" i="8"/>
  <c r="E467" i="8"/>
  <c r="D467" i="8"/>
  <c r="C467" i="8"/>
  <c r="B467" i="8"/>
  <c r="BJ466" i="8"/>
  <c r="BI466" i="8"/>
  <c r="BH466" i="8"/>
  <c r="BG466" i="8"/>
  <c r="BF466" i="8"/>
  <c r="BE466" i="8"/>
  <c r="BD466" i="8"/>
  <c r="BC466" i="8"/>
  <c r="BB466" i="8"/>
  <c r="BA466" i="8"/>
  <c r="AZ466" i="8"/>
  <c r="AY466" i="8"/>
  <c r="AX466" i="8"/>
  <c r="AW466" i="8"/>
  <c r="AV466" i="8"/>
  <c r="AU466" i="8"/>
  <c r="Z466" i="8"/>
  <c r="Y466" i="8"/>
  <c r="T466" i="8"/>
  <c r="S466" i="8"/>
  <c r="R466" i="8"/>
  <c r="P466" i="8"/>
  <c r="O466" i="8"/>
  <c r="N466" i="8"/>
  <c r="M466" i="8"/>
  <c r="L466" i="8"/>
  <c r="K466" i="8"/>
  <c r="J466" i="8"/>
  <c r="I466" i="8"/>
  <c r="H466" i="8"/>
  <c r="G466" i="8"/>
  <c r="F466" i="8"/>
  <c r="E466" i="8"/>
  <c r="D466" i="8"/>
  <c r="C466" i="8"/>
  <c r="B466" i="8"/>
  <c r="BJ465" i="8"/>
  <c r="BI465" i="8"/>
  <c r="BH465" i="8"/>
  <c r="BG465" i="8"/>
  <c r="BF465" i="8"/>
  <c r="BE465" i="8"/>
  <c r="BD465" i="8"/>
  <c r="BC465" i="8"/>
  <c r="BB465" i="8"/>
  <c r="BA465" i="8"/>
  <c r="AZ465" i="8"/>
  <c r="AY465" i="8"/>
  <c r="AX465" i="8"/>
  <c r="AW465" i="8"/>
  <c r="AV465" i="8"/>
  <c r="AU465" i="8"/>
  <c r="Z465" i="8"/>
  <c r="Y465" i="8"/>
  <c r="S465" i="8"/>
  <c r="R465" i="8"/>
  <c r="Q465" i="8"/>
  <c r="P465" i="8"/>
  <c r="O465" i="8"/>
  <c r="N465" i="8"/>
  <c r="M465" i="8"/>
  <c r="L465" i="8"/>
  <c r="K465" i="8"/>
  <c r="J465" i="8"/>
  <c r="I465" i="8"/>
  <c r="H465" i="8"/>
  <c r="G465" i="8"/>
  <c r="F465" i="8"/>
  <c r="E465" i="8"/>
  <c r="D465" i="8"/>
  <c r="C465" i="8"/>
  <c r="B465" i="8"/>
  <c r="BJ464" i="8"/>
  <c r="BI464" i="8"/>
  <c r="BH464" i="8"/>
  <c r="BG464" i="8"/>
  <c r="BF464" i="8"/>
  <c r="BE464" i="8"/>
  <c r="BD464" i="8"/>
  <c r="BC464" i="8"/>
  <c r="BB464" i="8"/>
  <c r="BA464" i="8"/>
  <c r="AZ464" i="8"/>
  <c r="AY464" i="8"/>
  <c r="AX464" i="8"/>
  <c r="AW464" i="8"/>
  <c r="AV464" i="8"/>
  <c r="AU464" i="8"/>
  <c r="L464" i="8"/>
  <c r="H464" i="8"/>
  <c r="G464" i="8"/>
  <c r="F464" i="8"/>
  <c r="E464" i="8"/>
  <c r="D464" i="8"/>
  <c r="C464" i="8"/>
  <c r="B464" i="8"/>
  <c r="BJ463" i="8"/>
  <c r="BI463" i="8"/>
  <c r="BH463" i="8"/>
  <c r="BG463" i="8"/>
  <c r="BF463" i="8"/>
  <c r="BE463" i="8"/>
  <c r="BD463" i="8"/>
  <c r="BC463" i="8"/>
  <c r="BB463" i="8"/>
  <c r="BA463" i="8"/>
  <c r="AZ463" i="8"/>
  <c r="AY463" i="8"/>
  <c r="AX463" i="8"/>
  <c r="AW463" i="8"/>
  <c r="AV463" i="8"/>
  <c r="AU463" i="8"/>
  <c r="L463" i="8"/>
  <c r="H463" i="8"/>
  <c r="G463" i="8"/>
  <c r="F463" i="8"/>
  <c r="E463" i="8"/>
  <c r="D463" i="8"/>
  <c r="C463" i="8"/>
  <c r="B463" i="8"/>
  <c r="BJ462" i="8"/>
  <c r="BI462" i="8"/>
  <c r="BH462" i="8"/>
  <c r="BG462" i="8"/>
  <c r="BF462" i="8"/>
  <c r="BE462" i="8"/>
  <c r="BD462" i="8"/>
  <c r="BC462" i="8"/>
  <c r="BB462" i="8"/>
  <c r="BA462" i="8"/>
  <c r="AZ462" i="8"/>
  <c r="AY462" i="8"/>
  <c r="AX462" i="8"/>
  <c r="AW462" i="8"/>
  <c r="AV462" i="8"/>
  <c r="AU462" i="8"/>
  <c r="V462" i="8"/>
  <c r="U462" i="8"/>
  <c r="T462" i="8"/>
  <c r="S462" i="8"/>
  <c r="R462" i="8"/>
  <c r="Q462" i="8"/>
  <c r="P462" i="8"/>
  <c r="O462" i="8"/>
  <c r="N462" i="8"/>
  <c r="M462" i="8"/>
  <c r="L462" i="8"/>
  <c r="K462" i="8"/>
  <c r="J462" i="8"/>
  <c r="I462" i="8"/>
  <c r="H462" i="8"/>
  <c r="G462" i="8"/>
  <c r="F462" i="8"/>
  <c r="E462" i="8"/>
  <c r="D462" i="8"/>
  <c r="C462" i="8"/>
  <c r="B462" i="8"/>
  <c r="BJ461" i="8"/>
  <c r="BI461" i="8"/>
  <c r="BH461" i="8"/>
  <c r="BG461" i="8"/>
  <c r="BF461" i="8"/>
  <c r="BE461" i="8"/>
  <c r="BD461" i="8"/>
  <c r="BC461" i="8"/>
  <c r="BB461" i="8"/>
  <c r="BA461" i="8"/>
  <c r="AZ461" i="8"/>
  <c r="AY461" i="8"/>
  <c r="AX461" i="8"/>
  <c r="AW461" i="8"/>
  <c r="AV461" i="8"/>
  <c r="AU461" i="8"/>
  <c r="L461" i="8"/>
  <c r="H461" i="8"/>
  <c r="G461" i="8"/>
  <c r="F461" i="8"/>
  <c r="E461" i="8"/>
  <c r="D461" i="8"/>
  <c r="C461" i="8"/>
  <c r="B461" i="8"/>
  <c r="BJ460" i="8"/>
  <c r="BI460" i="8"/>
  <c r="BH460" i="8"/>
  <c r="BG460" i="8"/>
  <c r="BF460" i="8"/>
  <c r="BE460" i="8"/>
  <c r="BD460" i="8"/>
  <c r="BC460" i="8"/>
  <c r="BB460" i="8"/>
  <c r="BA460" i="8"/>
  <c r="AZ460" i="8"/>
  <c r="AY460" i="8"/>
  <c r="AX460" i="8"/>
  <c r="AW460" i="8"/>
  <c r="AV460" i="8"/>
  <c r="AU460" i="8"/>
  <c r="L460" i="8"/>
  <c r="H460" i="8"/>
  <c r="G460" i="8"/>
  <c r="F460" i="8"/>
  <c r="E460" i="8"/>
  <c r="D460" i="8"/>
  <c r="C460" i="8"/>
  <c r="B460" i="8"/>
  <c r="BJ459" i="8"/>
  <c r="BI459" i="8"/>
  <c r="BH459" i="8"/>
  <c r="BG459" i="8"/>
  <c r="BF459" i="8"/>
  <c r="BE459" i="8"/>
  <c r="BD459" i="8"/>
  <c r="BC459" i="8"/>
  <c r="BB459" i="8"/>
  <c r="BA459" i="8"/>
  <c r="AZ459" i="8"/>
  <c r="AY459" i="8"/>
  <c r="AX459" i="8"/>
  <c r="AW459" i="8"/>
  <c r="AV459" i="8"/>
  <c r="AU459" i="8"/>
  <c r="L459" i="8"/>
  <c r="K459" i="8"/>
  <c r="J459" i="8"/>
  <c r="I459" i="8"/>
  <c r="H459" i="8"/>
  <c r="G459" i="8"/>
  <c r="F459" i="8"/>
  <c r="E459" i="8"/>
  <c r="D459" i="8"/>
  <c r="C459" i="8"/>
  <c r="B459" i="8"/>
  <c r="BJ458" i="8"/>
  <c r="BI458" i="8"/>
  <c r="BH458" i="8"/>
  <c r="BG458" i="8"/>
  <c r="BF458" i="8"/>
  <c r="BE458" i="8"/>
  <c r="BD458" i="8"/>
  <c r="BC458" i="8"/>
  <c r="BB458" i="8"/>
  <c r="BA458" i="8"/>
  <c r="AZ458" i="8"/>
  <c r="AY458" i="8"/>
  <c r="AX458" i="8"/>
  <c r="AW458" i="8"/>
  <c r="AV458" i="8"/>
  <c r="AU458" i="8"/>
  <c r="Z458" i="8"/>
  <c r="Y458" i="8"/>
  <c r="T458" i="8"/>
  <c r="S458" i="8"/>
  <c r="R458" i="8"/>
  <c r="P458" i="8"/>
  <c r="O458" i="8"/>
  <c r="N458" i="8"/>
  <c r="M458" i="8"/>
  <c r="L458" i="8"/>
  <c r="K458" i="8"/>
  <c r="J458" i="8"/>
  <c r="I458" i="8"/>
  <c r="H458" i="8"/>
  <c r="G458" i="8"/>
  <c r="F458" i="8"/>
  <c r="E458" i="8"/>
  <c r="D458" i="8"/>
  <c r="C458" i="8"/>
  <c r="B458" i="8"/>
  <c r="BJ457" i="8"/>
  <c r="BI457" i="8"/>
  <c r="BH457" i="8"/>
  <c r="BG457" i="8"/>
  <c r="BF457" i="8"/>
  <c r="BE457" i="8"/>
  <c r="BD457" i="8"/>
  <c r="BC457" i="8"/>
  <c r="BB457" i="8"/>
  <c r="BA457" i="8"/>
  <c r="AZ457" i="8"/>
  <c r="AY457" i="8"/>
  <c r="AX457" i="8"/>
  <c r="AW457" i="8"/>
  <c r="AV457" i="8"/>
  <c r="AU457" i="8"/>
  <c r="Z457" i="8"/>
  <c r="Y457" i="8"/>
  <c r="T457" i="8"/>
  <c r="S457" i="8"/>
  <c r="R457" i="8"/>
  <c r="N457" i="8"/>
  <c r="M457" i="8"/>
  <c r="L457" i="8"/>
  <c r="K457" i="8"/>
  <c r="J457" i="8"/>
  <c r="I457" i="8"/>
  <c r="H457" i="8"/>
  <c r="G457" i="8"/>
  <c r="F457" i="8"/>
  <c r="E457" i="8"/>
  <c r="D457" i="8"/>
  <c r="C457" i="8"/>
  <c r="B457" i="8"/>
  <c r="BJ456" i="8"/>
  <c r="BI456" i="8"/>
  <c r="BH456" i="8"/>
  <c r="BG456" i="8"/>
  <c r="BF456" i="8"/>
  <c r="BE456" i="8"/>
  <c r="BD456" i="8"/>
  <c r="BC456" i="8"/>
  <c r="BB456" i="8"/>
  <c r="BA456" i="8"/>
  <c r="AZ456" i="8"/>
  <c r="AY456" i="8"/>
  <c r="AX456" i="8"/>
  <c r="AW456" i="8"/>
  <c r="AV456" i="8"/>
  <c r="AU456" i="8"/>
  <c r="S456" i="8"/>
  <c r="R456" i="8"/>
  <c r="M456" i="8"/>
  <c r="L456" i="8"/>
  <c r="H456" i="8"/>
  <c r="G456" i="8"/>
  <c r="F456" i="8"/>
  <c r="E456" i="8"/>
  <c r="D456" i="8"/>
  <c r="C456" i="8"/>
  <c r="B456" i="8"/>
  <c r="BJ455" i="8"/>
  <c r="BI455" i="8"/>
  <c r="BH455" i="8"/>
  <c r="BG455" i="8"/>
  <c r="BF455" i="8"/>
  <c r="BE455" i="8"/>
  <c r="BD455" i="8"/>
  <c r="BC455" i="8"/>
  <c r="BB455" i="8"/>
  <c r="BA455" i="8"/>
  <c r="AZ455" i="8"/>
  <c r="AY455" i="8"/>
  <c r="AX455" i="8"/>
  <c r="AW455" i="8"/>
  <c r="AV455" i="8"/>
  <c r="AU455" i="8"/>
  <c r="L455" i="8"/>
  <c r="H455" i="8"/>
  <c r="G455" i="8"/>
  <c r="F455" i="8"/>
  <c r="E455" i="8"/>
  <c r="D455" i="8"/>
  <c r="C455" i="8"/>
  <c r="B455" i="8"/>
  <c r="BJ454" i="8"/>
  <c r="BI454" i="8"/>
  <c r="BH454" i="8"/>
  <c r="BG454" i="8"/>
  <c r="BF454" i="8"/>
  <c r="BE454" i="8"/>
  <c r="BD454" i="8"/>
  <c r="BC454" i="8"/>
  <c r="BB454" i="8"/>
  <c r="BA454" i="8"/>
  <c r="AZ454" i="8"/>
  <c r="AY454" i="8"/>
  <c r="AX454" i="8"/>
  <c r="AW454" i="8"/>
  <c r="AV454" i="8"/>
  <c r="AU454" i="8"/>
  <c r="L454" i="8"/>
  <c r="H454" i="8"/>
  <c r="G454" i="8"/>
  <c r="F454" i="8"/>
  <c r="E454" i="8"/>
  <c r="D454" i="8"/>
  <c r="C454" i="8"/>
  <c r="B454" i="8"/>
  <c r="BJ453" i="8"/>
  <c r="BI453" i="8"/>
  <c r="BH453" i="8"/>
  <c r="BG453" i="8"/>
  <c r="BF453" i="8"/>
  <c r="BE453" i="8"/>
  <c r="BD453" i="8"/>
  <c r="BC453" i="8"/>
  <c r="BB453" i="8"/>
  <c r="BA453" i="8"/>
  <c r="AZ453" i="8"/>
  <c r="AY453" i="8"/>
  <c r="AX453" i="8"/>
  <c r="AW453" i="8"/>
  <c r="AV453" i="8"/>
  <c r="AU453" i="8"/>
  <c r="Z453" i="8"/>
  <c r="Y453" i="8"/>
  <c r="T453" i="8"/>
  <c r="S453" i="8"/>
  <c r="R453" i="8"/>
  <c r="P453" i="8"/>
  <c r="O453" i="8"/>
  <c r="N453" i="8"/>
  <c r="M453" i="8"/>
  <c r="L453" i="8"/>
  <c r="K453" i="8"/>
  <c r="J453" i="8"/>
  <c r="H453" i="8"/>
  <c r="G453" i="8"/>
  <c r="F453" i="8"/>
  <c r="E453" i="8"/>
  <c r="D453" i="8"/>
  <c r="C453" i="8"/>
  <c r="B453" i="8"/>
  <c r="BJ452" i="8"/>
  <c r="BI452" i="8"/>
  <c r="BH452" i="8"/>
  <c r="BG452" i="8"/>
  <c r="BF452" i="8"/>
  <c r="BE452" i="8"/>
  <c r="BD452" i="8"/>
  <c r="BC452" i="8"/>
  <c r="BB452" i="8"/>
  <c r="BA452" i="8"/>
  <c r="AZ452" i="8"/>
  <c r="AY452" i="8"/>
  <c r="AX452" i="8"/>
  <c r="AW452" i="8"/>
  <c r="AV452" i="8"/>
  <c r="AU452" i="8"/>
  <c r="L452" i="8"/>
  <c r="H452" i="8"/>
  <c r="G452" i="8"/>
  <c r="F452" i="8"/>
  <c r="E452" i="8"/>
  <c r="D452" i="8"/>
  <c r="C452" i="8"/>
  <c r="B452" i="8"/>
  <c r="BJ451" i="8"/>
  <c r="BI451" i="8"/>
  <c r="BH451" i="8"/>
  <c r="BG451" i="8"/>
  <c r="BF451" i="8"/>
  <c r="BE451" i="8"/>
  <c r="BD451" i="8"/>
  <c r="BC451" i="8"/>
  <c r="BB451" i="8"/>
  <c r="BA451" i="8"/>
  <c r="AZ451" i="8"/>
  <c r="AY451" i="8"/>
  <c r="AX451" i="8"/>
  <c r="AW451" i="8"/>
  <c r="AV451" i="8"/>
  <c r="AU451" i="8"/>
  <c r="Z451" i="8"/>
  <c r="Y451" i="8"/>
  <c r="T451" i="8"/>
  <c r="L451" i="8"/>
  <c r="K451" i="8"/>
  <c r="J451" i="8"/>
  <c r="H451" i="8"/>
  <c r="G451" i="8"/>
  <c r="F451" i="8"/>
  <c r="E451" i="8"/>
  <c r="D451" i="8"/>
  <c r="C451" i="8"/>
  <c r="B451" i="8"/>
  <c r="BJ450" i="8"/>
  <c r="BI450" i="8"/>
  <c r="BH450" i="8"/>
  <c r="BG450" i="8"/>
  <c r="BF450" i="8"/>
  <c r="BE450" i="8"/>
  <c r="BD450" i="8"/>
  <c r="BC450" i="8"/>
  <c r="BB450" i="8"/>
  <c r="BA450" i="8"/>
  <c r="AZ450" i="8"/>
  <c r="AY450" i="8"/>
  <c r="AX450" i="8"/>
  <c r="AW450" i="8"/>
  <c r="AV450" i="8"/>
  <c r="AU450" i="8"/>
  <c r="Z450" i="8"/>
  <c r="Y450" i="8"/>
  <c r="T450" i="8"/>
  <c r="S450" i="8"/>
  <c r="R450" i="8"/>
  <c r="Q450" i="8"/>
  <c r="P450" i="8"/>
  <c r="O450" i="8"/>
  <c r="N450" i="8"/>
  <c r="M450" i="8"/>
  <c r="L450" i="8"/>
  <c r="K450" i="8"/>
  <c r="J450" i="8"/>
  <c r="H450" i="8"/>
  <c r="G450" i="8"/>
  <c r="F450" i="8"/>
  <c r="E450" i="8"/>
  <c r="D450" i="8"/>
  <c r="C450" i="8"/>
  <c r="B450" i="8"/>
  <c r="BJ449" i="8"/>
  <c r="BI449" i="8"/>
  <c r="BH449" i="8"/>
  <c r="BG449" i="8"/>
  <c r="BF449" i="8"/>
  <c r="BE449" i="8"/>
  <c r="BD449" i="8"/>
  <c r="BC449" i="8"/>
  <c r="BB449" i="8"/>
  <c r="BA449" i="8"/>
  <c r="AZ449" i="8"/>
  <c r="AY449" i="8"/>
  <c r="AX449" i="8"/>
  <c r="AW449" i="8"/>
  <c r="AV449" i="8"/>
  <c r="AU449" i="8"/>
  <c r="Z449" i="8"/>
  <c r="Y449" i="8"/>
  <c r="L449" i="8"/>
  <c r="K449" i="8"/>
  <c r="J449" i="8"/>
  <c r="H449" i="8"/>
  <c r="G449" i="8"/>
  <c r="F449" i="8"/>
  <c r="E449" i="8"/>
  <c r="D449" i="8"/>
  <c r="C449" i="8"/>
  <c r="B449" i="8"/>
  <c r="BJ448" i="8"/>
  <c r="BI448" i="8"/>
  <c r="BH448" i="8"/>
  <c r="BG448" i="8"/>
  <c r="BF448" i="8"/>
  <c r="BE448" i="8"/>
  <c r="BD448" i="8"/>
  <c r="BC448" i="8"/>
  <c r="BB448" i="8"/>
  <c r="BA448" i="8"/>
  <c r="AZ448" i="8"/>
  <c r="AY448" i="8"/>
  <c r="AX448" i="8"/>
  <c r="AW448" i="8"/>
  <c r="AV448" i="8"/>
  <c r="AU448" i="8"/>
  <c r="Y448" i="8"/>
  <c r="S448" i="8"/>
  <c r="R448" i="8"/>
  <c r="Q448" i="8"/>
  <c r="P448" i="8"/>
  <c r="O448" i="8"/>
  <c r="N448" i="8"/>
  <c r="M448" i="8"/>
  <c r="L448" i="8"/>
  <c r="H448" i="8"/>
  <c r="G448" i="8"/>
  <c r="F448" i="8"/>
  <c r="E448" i="8"/>
  <c r="D448" i="8"/>
  <c r="C448" i="8"/>
  <c r="B448" i="8"/>
  <c r="BJ447" i="8"/>
  <c r="BI447" i="8"/>
  <c r="BH447" i="8"/>
  <c r="BG447" i="8"/>
  <c r="BF447" i="8"/>
  <c r="BE447" i="8"/>
  <c r="BD447" i="8"/>
  <c r="BC447" i="8"/>
  <c r="BB447" i="8"/>
  <c r="BA447" i="8"/>
  <c r="AZ447" i="8"/>
  <c r="AY447" i="8"/>
  <c r="AX447" i="8"/>
  <c r="AW447" i="8"/>
  <c r="AV447" i="8"/>
  <c r="AU447" i="8"/>
  <c r="Z447" i="8"/>
  <c r="Y447" i="8"/>
  <c r="T447" i="8"/>
  <c r="S447" i="8"/>
  <c r="R447" i="8"/>
  <c r="M447" i="8"/>
  <c r="L447" i="8"/>
  <c r="K447" i="8"/>
  <c r="J447" i="8"/>
  <c r="H447" i="8"/>
  <c r="G447" i="8"/>
  <c r="F447" i="8"/>
  <c r="E447" i="8"/>
  <c r="D447" i="8"/>
  <c r="C447" i="8"/>
  <c r="B447" i="8"/>
  <c r="BJ446" i="8"/>
  <c r="BI446" i="8"/>
  <c r="BH446" i="8"/>
  <c r="BG446" i="8"/>
  <c r="BF446" i="8"/>
  <c r="BE446" i="8"/>
  <c r="BD446" i="8"/>
  <c r="BC446" i="8"/>
  <c r="BB446" i="8"/>
  <c r="BA446" i="8"/>
  <c r="AZ446" i="8"/>
  <c r="AY446" i="8"/>
  <c r="AX446" i="8"/>
  <c r="AW446" i="8"/>
  <c r="AV446" i="8"/>
  <c r="AU446" i="8"/>
  <c r="X446" i="8"/>
  <c r="L446" i="8"/>
  <c r="K446" i="8"/>
  <c r="J446" i="8"/>
  <c r="H446" i="8"/>
  <c r="G446" i="8"/>
  <c r="F446" i="8"/>
  <c r="E446" i="8"/>
  <c r="D446" i="8"/>
  <c r="C446" i="8"/>
  <c r="B446" i="8"/>
  <c r="BJ445" i="8"/>
  <c r="BI445" i="8"/>
  <c r="BH445" i="8"/>
  <c r="BG445" i="8"/>
  <c r="BF445" i="8"/>
  <c r="BE445" i="8"/>
  <c r="BD445" i="8"/>
  <c r="BC445" i="8"/>
  <c r="BB445" i="8"/>
  <c r="BA445" i="8"/>
  <c r="AZ445" i="8"/>
  <c r="AY445" i="8"/>
  <c r="AX445" i="8"/>
  <c r="AW445" i="8"/>
  <c r="AV445" i="8"/>
  <c r="AU445" i="8"/>
  <c r="L445" i="8"/>
  <c r="K445" i="8"/>
  <c r="J445" i="8"/>
  <c r="H445" i="8"/>
  <c r="G445" i="8"/>
  <c r="F445" i="8"/>
  <c r="E445" i="8"/>
  <c r="D445" i="8"/>
  <c r="C445" i="8"/>
  <c r="B445" i="8"/>
  <c r="BJ444" i="8"/>
  <c r="BI444" i="8"/>
  <c r="BH444" i="8"/>
  <c r="BG444" i="8"/>
  <c r="BF444" i="8"/>
  <c r="BE444" i="8"/>
  <c r="BD444" i="8"/>
  <c r="BC444" i="8"/>
  <c r="BB444" i="8"/>
  <c r="BA444" i="8"/>
  <c r="AZ444" i="8"/>
  <c r="AY444" i="8"/>
  <c r="AX444" i="8"/>
  <c r="AW444" i="8"/>
  <c r="AV444" i="8"/>
  <c r="AU444" i="8"/>
  <c r="Z444" i="8"/>
  <c r="Y444" i="8"/>
  <c r="L444" i="8"/>
  <c r="K444" i="8"/>
  <c r="J444" i="8"/>
  <c r="H444" i="8"/>
  <c r="G444" i="8"/>
  <c r="F444" i="8"/>
  <c r="E444" i="8"/>
  <c r="D444" i="8"/>
  <c r="C444" i="8"/>
  <c r="B444" i="8"/>
  <c r="BJ443" i="8"/>
  <c r="BI443" i="8"/>
  <c r="BH443" i="8"/>
  <c r="BG443" i="8"/>
  <c r="BF443" i="8"/>
  <c r="AW443" i="8"/>
  <c r="AU443" i="8"/>
  <c r="T443" i="8"/>
  <c r="L443" i="8"/>
  <c r="K443" i="8"/>
  <c r="J443" i="8"/>
  <c r="I443" i="8"/>
  <c r="H443" i="8"/>
  <c r="G443" i="8"/>
  <c r="F443" i="8"/>
  <c r="E443" i="8"/>
  <c r="D443" i="8"/>
  <c r="C443" i="8"/>
  <c r="B443" i="8"/>
  <c r="BJ442" i="8"/>
  <c r="BI442" i="8"/>
  <c r="BH442" i="8"/>
  <c r="BG442" i="8"/>
  <c r="BF442" i="8"/>
  <c r="BE442" i="8"/>
  <c r="BD442" i="8"/>
  <c r="BC442" i="8"/>
  <c r="BB442" i="8"/>
  <c r="BA442" i="8"/>
  <c r="AZ442" i="8"/>
  <c r="AY442" i="8"/>
  <c r="AX442" i="8"/>
  <c r="AW442" i="8"/>
  <c r="AV442" i="8"/>
  <c r="AU442" i="8"/>
  <c r="L442" i="8"/>
  <c r="K442" i="8"/>
  <c r="J442" i="8"/>
  <c r="I442" i="8"/>
  <c r="H442" i="8"/>
  <c r="G442" i="8"/>
  <c r="F442" i="8"/>
  <c r="E442" i="8"/>
  <c r="D442" i="8"/>
  <c r="C442" i="8"/>
  <c r="B442" i="8"/>
  <c r="BJ441" i="8"/>
  <c r="BI441" i="8"/>
  <c r="BH441" i="8"/>
  <c r="BG441" i="8"/>
  <c r="BF441" i="8"/>
  <c r="BE441" i="8"/>
  <c r="BD441" i="8"/>
  <c r="BC441" i="8"/>
  <c r="BB441" i="8"/>
  <c r="BA441" i="8"/>
  <c r="AZ441" i="8"/>
  <c r="AY441" i="8"/>
  <c r="AX441" i="8"/>
  <c r="AW441" i="8"/>
  <c r="AV441" i="8"/>
  <c r="AU441" i="8"/>
  <c r="L441" i="8"/>
  <c r="H441" i="8"/>
  <c r="G441" i="8"/>
  <c r="F441" i="8"/>
  <c r="E441" i="8"/>
  <c r="D441" i="8"/>
  <c r="C441" i="8"/>
  <c r="B441" i="8"/>
  <c r="BJ440" i="8"/>
  <c r="BI440" i="8"/>
  <c r="BH440" i="8"/>
  <c r="BG440" i="8"/>
  <c r="BF440" i="8"/>
  <c r="BE440" i="8"/>
  <c r="BD440" i="8"/>
  <c r="BC440" i="8"/>
  <c r="BB440" i="8"/>
  <c r="BA440" i="8"/>
  <c r="AZ440" i="8"/>
  <c r="AY440" i="8"/>
  <c r="AX440" i="8"/>
  <c r="AW440" i="8"/>
  <c r="AV440" i="8"/>
  <c r="AU440" i="8"/>
  <c r="L440" i="8"/>
  <c r="I440" i="8"/>
  <c r="H440" i="8"/>
  <c r="G440" i="8"/>
  <c r="F440" i="8"/>
  <c r="E440" i="8"/>
  <c r="D440" i="8"/>
  <c r="C440" i="8"/>
  <c r="B440" i="8"/>
  <c r="BJ439" i="8"/>
  <c r="BI439" i="8"/>
  <c r="BH439" i="8"/>
  <c r="BG439" i="8"/>
  <c r="BF439" i="8"/>
  <c r="BE439" i="8"/>
  <c r="BD439" i="8"/>
  <c r="BC439" i="8"/>
  <c r="BB439" i="8"/>
  <c r="BA439" i="8"/>
  <c r="AZ439" i="8"/>
  <c r="AY439" i="8"/>
  <c r="AX439" i="8"/>
  <c r="AW439" i="8"/>
  <c r="AV439" i="8"/>
  <c r="AU439" i="8"/>
  <c r="L439" i="8"/>
  <c r="K439" i="8"/>
  <c r="J439" i="8"/>
  <c r="I439" i="8"/>
  <c r="H439" i="8"/>
  <c r="G439" i="8"/>
  <c r="F439" i="8"/>
  <c r="E439" i="8"/>
  <c r="D439" i="8"/>
  <c r="C439" i="8"/>
  <c r="B439" i="8"/>
  <c r="BJ438" i="8"/>
  <c r="BI438" i="8"/>
  <c r="BH438" i="8"/>
  <c r="BG438" i="8"/>
  <c r="BF438" i="8"/>
  <c r="BE438" i="8"/>
  <c r="BD438" i="8"/>
  <c r="BC438" i="8"/>
  <c r="BB438" i="8"/>
  <c r="BA438" i="8"/>
  <c r="AZ438" i="8"/>
  <c r="AY438" i="8"/>
  <c r="AX438" i="8"/>
  <c r="AW438" i="8"/>
  <c r="AV438" i="8"/>
  <c r="AU438" i="8"/>
  <c r="L438" i="8"/>
  <c r="H438" i="8"/>
  <c r="G438" i="8"/>
  <c r="F438" i="8"/>
  <c r="E438" i="8"/>
  <c r="D438" i="8"/>
  <c r="C438" i="8"/>
  <c r="B438" i="8"/>
  <c r="BJ437" i="8"/>
  <c r="BI437" i="8"/>
  <c r="BH437" i="8"/>
  <c r="BG437" i="8"/>
  <c r="BF437" i="8"/>
  <c r="BE437" i="8"/>
  <c r="BD437" i="8"/>
  <c r="BC437" i="8"/>
  <c r="BB437" i="8"/>
  <c r="BA437" i="8"/>
  <c r="AZ437" i="8"/>
  <c r="AY437" i="8"/>
  <c r="AX437" i="8"/>
  <c r="AW437" i="8"/>
  <c r="AV437" i="8"/>
  <c r="AU437" i="8"/>
  <c r="L437" i="8"/>
  <c r="K437" i="8"/>
  <c r="J437" i="8"/>
  <c r="I437" i="8"/>
  <c r="H437" i="8"/>
  <c r="G437" i="8"/>
  <c r="F437" i="8"/>
  <c r="E437" i="8"/>
  <c r="D437" i="8"/>
  <c r="C437" i="8"/>
  <c r="B437" i="8"/>
  <c r="BJ436" i="8"/>
  <c r="BI436" i="8"/>
  <c r="BH436" i="8"/>
  <c r="BG436" i="8"/>
  <c r="BF436" i="8"/>
  <c r="BE436" i="8"/>
  <c r="BD436" i="8"/>
  <c r="BC436" i="8"/>
  <c r="BB436" i="8"/>
  <c r="BA436" i="8"/>
  <c r="AZ436" i="8"/>
  <c r="AY436" i="8"/>
  <c r="AX436" i="8"/>
  <c r="AW436" i="8"/>
  <c r="AV436" i="8"/>
  <c r="AU436" i="8"/>
  <c r="L436" i="8"/>
  <c r="K436" i="8"/>
  <c r="J436" i="8"/>
  <c r="I436" i="8"/>
  <c r="H436" i="8"/>
  <c r="G436" i="8"/>
  <c r="F436" i="8"/>
  <c r="E436" i="8"/>
  <c r="D436" i="8"/>
  <c r="C436" i="8"/>
  <c r="B436" i="8"/>
  <c r="BJ435" i="8"/>
  <c r="BI435" i="8"/>
  <c r="BH435" i="8"/>
  <c r="BG435" i="8"/>
  <c r="BF435" i="8"/>
  <c r="BE435" i="8"/>
  <c r="BD435" i="8"/>
  <c r="BC435" i="8"/>
  <c r="BB435" i="8"/>
  <c r="BA435" i="8"/>
  <c r="AZ435" i="8"/>
  <c r="AY435" i="8"/>
  <c r="AX435" i="8"/>
  <c r="AW435" i="8"/>
  <c r="AV435" i="8"/>
  <c r="AU435" i="8"/>
  <c r="X435" i="8"/>
  <c r="W435" i="8"/>
  <c r="T435" i="8"/>
  <c r="L435" i="8"/>
  <c r="K435" i="8"/>
  <c r="J435" i="8"/>
  <c r="I435" i="8"/>
  <c r="H435" i="8"/>
  <c r="G435" i="8"/>
  <c r="F435" i="8"/>
  <c r="E435" i="8"/>
  <c r="D435" i="8"/>
  <c r="C435" i="8"/>
  <c r="B435" i="8"/>
  <c r="BJ434" i="8"/>
  <c r="BI434" i="8"/>
  <c r="BH434" i="8"/>
  <c r="BG434" i="8"/>
  <c r="BF434" i="8"/>
  <c r="BE434" i="8"/>
  <c r="BD434" i="8"/>
  <c r="BC434" i="8"/>
  <c r="BB434" i="8"/>
  <c r="BA434" i="8"/>
  <c r="AZ434" i="8"/>
  <c r="AY434" i="8"/>
  <c r="AX434" i="8"/>
  <c r="AW434" i="8"/>
  <c r="AV434" i="8"/>
  <c r="AU434" i="8"/>
  <c r="L434" i="8"/>
  <c r="H434" i="8"/>
  <c r="G434" i="8"/>
  <c r="F434" i="8"/>
  <c r="E434" i="8"/>
  <c r="D434" i="8"/>
  <c r="C434" i="8"/>
  <c r="B434" i="8"/>
  <c r="BJ433" i="8"/>
  <c r="BI433" i="8"/>
  <c r="BH433" i="8"/>
  <c r="BG433" i="8"/>
  <c r="BF433" i="8"/>
  <c r="BE433" i="8"/>
  <c r="BD433" i="8"/>
  <c r="BC433" i="8"/>
  <c r="BB433" i="8"/>
  <c r="BA433" i="8"/>
  <c r="AZ433" i="8"/>
  <c r="AY433" i="8"/>
  <c r="AX433" i="8"/>
  <c r="AW433" i="8"/>
  <c r="AV433" i="8"/>
  <c r="AU433" i="8"/>
  <c r="L433" i="8"/>
  <c r="H433" i="8"/>
  <c r="G433" i="8"/>
  <c r="F433" i="8"/>
  <c r="E433" i="8"/>
  <c r="D433" i="8"/>
  <c r="C433" i="8"/>
  <c r="B433" i="8"/>
  <c r="BJ432" i="8"/>
  <c r="BI432" i="8"/>
  <c r="BH432" i="8"/>
  <c r="BG432" i="8"/>
  <c r="BF432" i="8"/>
  <c r="BE432" i="8"/>
  <c r="BD432" i="8"/>
  <c r="BC432" i="8"/>
  <c r="BB432" i="8"/>
  <c r="BA432" i="8"/>
  <c r="AZ432" i="8"/>
  <c r="AY432" i="8"/>
  <c r="AX432" i="8"/>
  <c r="AW432" i="8"/>
  <c r="AV432" i="8"/>
  <c r="AU432" i="8"/>
  <c r="L432" i="8"/>
  <c r="K432" i="8"/>
  <c r="J432" i="8"/>
  <c r="I432" i="8"/>
  <c r="H432" i="8"/>
  <c r="G432" i="8"/>
  <c r="F432" i="8"/>
  <c r="E432" i="8"/>
  <c r="D432" i="8"/>
  <c r="C432" i="8"/>
  <c r="B432" i="8"/>
  <c r="BJ431" i="8"/>
  <c r="BI431" i="8"/>
  <c r="BH431" i="8"/>
  <c r="BG431" i="8"/>
  <c r="BF431" i="8"/>
  <c r="BE431" i="8"/>
  <c r="BD431" i="8"/>
  <c r="BC431" i="8"/>
  <c r="BB431" i="8"/>
  <c r="BA431" i="8"/>
  <c r="AZ431" i="8"/>
  <c r="AY431" i="8"/>
  <c r="AX431" i="8"/>
  <c r="AW431" i="8"/>
  <c r="AV431" i="8"/>
  <c r="AU431" i="8"/>
  <c r="L431" i="8"/>
  <c r="K431" i="8"/>
  <c r="J431" i="8"/>
  <c r="I431" i="8"/>
  <c r="H431" i="8"/>
  <c r="G431" i="8"/>
  <c r="F431" i="8"/>
  <c r="E431" i="8"/>
  <c r="D431" i="8"/>
  <c r="C431" i="8"/>
  <c r="B431" i="8"/>
  <c r="BJ430" i="8"/>
  <c r="BI430" i="8"/>
  <c r="BH430" i="8"/>
  <c r="BG430" i="8"/>
  <c r="BF430" i="8"/>
  <c r="BE430" i="8"/>
  <c r="BD430" i="8"/>
  <c r="BC430" i="8"/>
  <c r="BB430" i="8"/>
  <c r="BA430" i="8"/>
  <c r="AZ430" i="8"/>
  <c r="AY430" i="8"/>
  <c r="AX430" i="8"/>
  <c r="AW430" i="8"/>
  <c r="AV430" i="8"/>
  <c r="AU430" i="8"/>
  <c r="L430" i="8"/>
  <c r="H430" i="8"/>
  <c r="G430" i="8"/>
  <c r="F430" i="8"/>
  <c r="E430" i="8"/>
  <c r="D430" i="8"/>
  <c r="C430" i="8"/>
  <c r="B430" i="8"/>
  <c r="BJ429" i="8"/>
  <c r="BI429" i="8"/>
  <c r="BH429" i="8"/>
  <c r="BG429" i="8"/>
  <c r="BF429" i="8"/>
  <c r="BE429" i="8"/>
  <c r="BD429" i="8"/>
  <c r="BC429" i="8"/>
  <c r="BB429" i="8"/>
  <c r="BA429" i="8"/>
  <c r="AZ429" i="8"/>
  <c r="AY429" i="8"/>
  <c r="AX429" i="8"/>
  <c r="AW429" i="8"/>
  <c r="AV429" i="8"/>
  <c r="AU429" i="8"/>
  <c r="S429" i="8"/>
  <c r="R429" i="8"/>
  <c r="Q429" i="8"/>
  <c r="P429" i="8"/>
  <c r="O429" i="8"/>
  <c r="N429" i="8"/>
  <c r="M429" i="8"/>
  <c r="L429" i="8"/>
  <c r="K429" i="8"/>
  <c r="J429" i="8"/>
  <c r="I429" i="8"/>
  <c r="H429" i="8"/>
  <c r="G429" i="8"/>
  <c r="F429" i="8"/>
  <c r="E429" i="8"/>
  <c r="D429" i="8"/>
  <c r="C429" i="8"/>
  <c r="B429" i="8"/>
  <c r="BJ428" i="8"/>
  <c r="BI428" i="8"/>
  <c r="BH428" i="8"/>
  <c r="BG428" i="8"/>
  <c r="BF428" i="8"/>
  <c r="BE428" i="8"/>
  <c r="BD428" i="8"/>
  <c r="BC428" i="8"/>
  <c r="BB428" i="8"/>
  <c r="BA428" i="8"/>
  <c r="AZ428" i="8"/>
  <c r="AY428" i="8"/>
  <c r="AX428" i="8"/>
  <c r="AW428" i="8"/>
  <c r="AV428" i="8"/>
  <c r="AU428" i="8"/>
  <c r="L428" i="8"/>
  <c r="H428" i="8"/>
  <c r="G428" i="8"/>
  <c r="F428" i="8"/>
  <c r="E428" i="8"/>
  <c r="D428" i="8"/>
  <c r="C428" i="8"/>
  <c r="B428" i="8"/>
  <c r="BJ427" i="8"/>
  <c r="BI427" i="8"/>
  <c r="BH427" i="8"/>
  <c r="BG427" i="8"/>
  <c r="BF427" i="8"/>
  <c r="BE427" i="8"/>
  <c r="BD427" i="8"/>
  <c r="BC427" i="8"/>
  <c r="BB427" i="8"/>
  <c r="BA427" i="8"/>
  <c r="AZ427" i="8"/>
  <c r="AY427" i="8"/>
  <c r="AX427" i="8"/>
  <c r="AW427" i="8"/>
  <c r="AV427" i="8"/>
  <c r="AU427" i="8"/>
  <c r="S427" i="8"/>
  <c r="R427" i="8"/>
  <c r="Q427" i="8"/>
  <c r="P427" i="8"/>
  <c r="O427" i="8"/>
  <c r="N427" i="8"/>
  <c r="M427" i="8"/>
  <c r="L427" i="8"/>
  <c r="K427" i="8"/>
  <c r="J427" i="8"/>
  <c r="I427" i="8"/>
  <c r="H427" i="8"/>
  <c r="G427" i="8"/>
  <c r="F427" i="8"/>
  <c r="E427" i="8"/>
  <c r="D427" i="8"/>
  <c r="C427" i="8"/>
  <c r="B427" i="8"/>
  <c r="BJ426" i="8"/>
  <c r="BI426" i="8"/>
  <c r="BH426" i="8"/>
  <c r="BG426" i="8"/>
  <c r="BF426" i="8"/>
  <c r="BE426" i="8"/>
  <c r="BD426" i="8"/>
  <c r="BC426" i="8"/>
  <c r="BB426" i="8"/>
  <c r="BA426" i="8"/>
  <c r="AZ426" i="8"/>
  <c r="AY426" i="8"/>
  <c r="AX426" i="8"/>
  <c r="AW426" i="8"/>
  <c r="AV426" i="8"/>
  <c r="AU426" i="8"/>
  <c r="L426" i="8"/>
  <c r="H426" i="8"/>
  <c r="G426" i="8"/>
  <c r="F426" i="8"/>
  <c r="E426" i="8"/>
  <c r="D426" i="8"/>
  <c r="C426" i="8"/>
  <c r="B426" i="8"/>
  <c r="BJ425" i="8"/>
  <c r="BI425" i="8"/>
  <c r="BH425" i="8"/>
  <c r="BG425" i="8"/>
  <c r="BF425" i="8"/>
  <c r="BE425" i="8"/>
  <c r="BD425" i="8"/>
  <c r="BC425" i="8"/>
  <c r="BB425" i="8"/>
  <c r="BA425" i="8"/>
  <c r="AZ425" i="8"/>
  <c r="AY425" i="8"/>
  <c r="AX425" i="8"/>
  <c r="AW425" i="8"/>
  <c r="AV425" i="8"/>
  <c r="AU425" i="8"/>
  <c r="V425" i="8"/>
  <c r="U425" i="8"/>
  <c r="S425" i="8"/>
  <c r="R425" i="8"/>
  <c r="Q425" i="8"/>
  <c r="P425" i="8"/>
  <c r="O425" i="8"/>
  <c r="N425" i="8"/>
  <c r="M425" i="8"/>
  <c r="L425" i="8"/>
  <c r="H425" i="8"/>
  <c r="G425" i="8"/>
  <c r="F425" i="8"/>
  <c r="E425" i="8"/>
  <c r="D425" i="8"/>
  <c r="C425" i="8"/>
  <c r="B425" i="8"/>
  <c r="BJ424" i="8"/>
  <c r="BI424" i="8"/>
  <c r="BH424" i="8"/>
  <c r="BG424" i="8"/>
  <c r="BF424" i="8"/>
  <c r="BE424" i="8"/>
  <c r="BD424" i="8"/>
  <c r="BC424" i="8"/>
  <c r="BB424" i="8"/>
  <c r="BA424" i="8"/>
  <c r="AZ424" i="8"/>
  <c r="AY424" i="8"/>
  <c r="AX424" i="8"/>
  <c r="AW424" i="8"/>
  <c r="AV424" i="8"/>
  <c r="AU424" i="8"/>
  <c r="V424" i="8"/>
  <c r="U424" i="8"/>
  <c r="S424" i="8"/>
  <c r="R424" i="8"/>
  <c r="P424" i="8"/>
  <c r="O424" i="8"/>
  <c r="N424" i="8"/>
  <c r="M424" i="8"/>
  <c r="L424" i="8"/>
  <c r="K424" i="8"/>
  <c r="J424" i="8"/>
  <c r="I424" i="8"/>
  <c r="H424" i="8"/>
  <c r="G424" i="8"/>
  <c r="F424" i="8"/>
  <c r="E424" i="8"/>
  <c r="D424" i="8"/>
  <c r="C424" i="8"/>
  <c r="B424" i="8"/>
  <c r="BJ423" i="8"/>
  <c r="BI423" i="8"/>
  <c r="BH423" i="8"/>
  <c r="BG423" i="8"/>
  <c r="BF423" i="8"/>
  <c r="BE423" i="8"/>
  <c r="BD423" i="8"/>
  <c r="BC423" i="8"/>
  <c r="BB423" i="8"/>
  <c r="BA423" i="8"/>
  <c r="AZ423" i="8"/>
  <c r="AY423" i="8"/>
  <c r="AX423" i="8"/>
  <c r="AW423" i="8"/>
  <c r="AV423" i="8"/>
  <c r="AU423" i="8"/>
  <c r="U423" i="8"/>
  <c r="S423" i="8"/>
  <c r="R423" i="8"/>
  <c r="Q423" i="8"/>
  <c r="P423" i="8"/>
  <c r="O423" i="8"/>
  <c r="N423" i="8"/>
  <c r="M423" i="8"/>
  <c r="L423" i="8"/>
  <c r="H423" i="8"/>
  <c r="G423" i="8"/>
  <c r="F423" i="8"/>
  <c r="E423" i="8"/>
  <c r="D423" i="8"/>
  <c r="C423" i="8"/>
  <c r="B423" i="8"/>
  <c r="BJ422" i="8"/>
  <c r="BI422" i="8"/>
  <c r="BH422" i="8"/>
  <c r="BG422" i="8"/>
  <c r="BF422" i="8"/>
  <c r="BE422" i="8"/>
  <c r="BD422" i="8"/>
  <c r="BC422" i="8"/>
  <c r="BB422" i="8"/>
  <c r="BA422" i="8"/>
  <c r="AZ422" i="8"/>
  <c r="AY422" i="8"/>
  <c r="AX422" i="8"/>
  <c r="AW422" i="8"/>
  <c r="AV422" i="8"/>
  <c r="AU422" i="8"/>
  <c r="L422" i="8"/>
  <c r="H422" i="8"/>
  <c r="G422" i="8"/>
  <c r="F422" i="8"/>
  <c r="E422" i="8"/>
  <c r="D422" i="8"/>
  <c r="C422" i="8"/>
  <c r="B422" i="8"/>
  <c r="BJ421" i="8"/>
  <c r="BI421" i="8"/>
  <c r="BH421" i="8"/>
  <c r="BG421" i="8"/>
  <c r="BF421" i="8"/>
  <c r="BE421" i="8"/>
  <c r="BD421" i="8"/>
  <c r="BC421" i="8"/>
  <c r="BB421" i="8"/>
  <c r="BA421" i="8"/>
  <c r="AZ421" i="8"/>
  <c r="AY421" i="8"/>
  <c r="AX421" i="8"/>
  <c r="AW421" i="8"/>
  <c r="AV421" i="8"/>
  <c r="AU421" i="8"/>
  <c r="U421" i="8"/>
  <c r="S421" i="8"/>
  <c r="R421" i="8"/>
  <c r="P421" i="8"/>
  <c r="N421" i="8"/>
  <c r="M421" i="8"/>
  <c r="L421" i="8"/>
  <c r="H421" i="8"/>
  <c r="G421" i="8"/>
  <c r="F421" i="8"/>
  <c r="E421" i="8"/>
  <c r="D421" i="8"/>
  <c r="C421" i="8"/>
  <c r="B421" i="8"/>
  <c r="BJ420" i="8"/>
  <c r="BI420" i="8"/>
  <c r="BH420" i="8"/>
  <c r="BG420" i="8"/>
  <c r="BF420" i="8"/>
  <c r="BE420" i="8"/>
  <c r="BD420" i="8"/>
  <c r="BC420" i="8"/>
  <c r="BB420" i="8"/>
  <c r="BA420" i="8"/>
  <c r="AZ420" i="8"/>
  <c r="AY420" i="8"/>
  <c r="AX420" i="8"/>
  <c r="AW420" i="8"/>
  <c r="AV420" i="8"/>
  <c r="AU420" i="8"/>
  <c r="L420" i="8"/>
  <c r="H420" i="8"/>
  <c r="G420" i="8"/>
  <c r="F420" i="8"/>
  <c r="E420" i="8"/>
  <c r="D420" i="8"/>
  <c r="C420" i="8"/>
  <c r="B420" i="8"/>
  <c r="BJ419" i="8"/>
  <c r="BI419" i="8"/>
  <c r="BH419" i="8"/>
  <c r="BG419" i="8"/>
  <c r="BF419" i="8"/>
  <c r="BE419" i="8"/>
  <c r="BD419" i="8"/>
  <c r="BC419" i="8"/>
  <c r="BB419" i="8"/>
  <c r="BA419" i="8"/>
  <c r="AZ419" i="8"/>
  <c r="AY419" i="8"/>
  <c r="AX419" i="8"/>
  <c r="AW419" i="8"/>
  <c r="AV419" i="8"/>
  <c r="AU419" i="8"/>
  <c r="L419" i="8"/>
  <c r="H419" i="8"/>
  <c r="G419" i="8"/>
  <c r="F419" i="8"/>
  <c r="E419" i="8"/>
  <c r="D419" i="8"/>
  <c r="C419" i="8"/>
  <c r="B419" i="8"/>
  <c r="BJ418" i="8"/>
  <c r="BI418" i="8"/>
  <c r="BH418" i="8"/>
  <c r="BG418" i="8"/>
  <c r="BF418" i="8"/>
  <c r="BE418" i="8"/>
  <c r="BD418" i="8"/>
  <c r="BC418" i="8"/>
  <c r="BB418" i="8"/>
  <c r="BA418" i="8"/>
  <c r="AZ418" i="8"/>
  <c r="AY418" i="8"/>
  <c r="AX418" i="8"/>
  <c r="AW418" i="8"/>
  <c r="AV418" i="8"/>
  <c r="AU418" i="8"/>
  <c r="L418" i="8"/>
  <c r="H418" i="8"/>
  <c r="G418" i="8"/>
  <c r="F418" i="8"/>
  <c r="E418" i="8"/>
  <c r="D418" i="8"/>
  <c r="C418" i="8"/>
  <c r="B418" i="8"/>
  <c r="BJ417" i="8"/>
  <c r="BI417" i="8"/>
  <c r="BH417" i="8"/>
  <c r="BG417" i="8"/>
  <c r="BF417" i="8"/>
  <c r="BE417" i="8"/>
  <c r="BD417" i="8"/>
  <c r="BC417" i="8"/>
  <c r="BB417" i="8"/>
  <c r="BA417" i="8"/>
  <c r="AZ417" i="8"/>
  <c r="AY417" i="8"/>
  <c r="AX417" i="8"/>
  <c r="AW417" i="8"/>
  <c r="AV417" i="8"/>
  <c r="AU417" i="8"/>
  <c r="U417" i="8"/>
  <c r="S417" i="8"/>
  <c r="R417" i="8"/>
  <c r="M417" i="8"/>
  <c r="L417" i="8"/>
  <c r="K417" i="8"/>
  <c r="J417" i="8"/>
  <c r="I417" i="8"/>
  <c r="H417" i="8"/>
  <c r="G417" i="8"/>
  <c r="F417" i="8"/>
  <c r="E417" i="8"/>
  <c r="D417" i="8"/>
  <c r="C417" i="8"/>
  <c r="B417" i="8"/>
  <c r="BJ416" i="8"/>
  <c r="BI416" i="8"/>
  <c r="BH416" i="8"/>
  <c r="BG416" i="8"/>
  <c r="BF416" i="8"/>
  <c r="BE416" i="8"/>
  <c r="BD416" i="8"/>
  <c r="BC416" i="8"/>
  <c r="BB416" i="8"/>
  <c r="BA416" i="8"/>
  <c r="AZ416" i="8"/>
  <c r="AY416" i="8"/>
  <c r="AX416" i="8"/>
  <c r="AW416" i="8"/>
  <c r="AV416" i="8"/>
  <c r="AU416" i="8"/>
  <c r="L416" i="8"/>
  <c r="H416" i="8"/>
  <c r="G416" i="8"/>
  <c r="F416" i="8"/>
  <c r="E416" i="8"/>
  <c r="D416" i="8"/>
  <c r="C416" i="8"/>
  <c r="B416" i="8"/>
  <c r="BJ415" i="8"/>
  <c r="BI415" i="8"/>
  <c r="BH415" i="8"/>
  <c r="BG415" i="8"/>
  <c r="BF415" i="8"/>
  <c r="BE415" i="8"/>
  <c r="BD415" i="8"/>
  <c r="BC415" i="8"/>
  <c r="BB415" i="8"/>
  <c r="BA415" i="8"/>
  <c r="AZ415" i="8"/>
  <c r="AY415" i="8"/>
  <c r="AX415" i="8"/>
  <c r="AW415" i="8"/>
  <c r="AV415" i="8"/>
  <c r="AU415" i="8"/>
  <c r="L415" i="8"/>
  <c r="K415" i="8"/>
  <c r="J415" i="8"/>
  <c r="I415" i="8"/>
  <c r="H415" i="8"/>
  <c r="G415" i="8"/>
  <c r="F415" i="8"/>
  <c r="E415" i="8"/>
  <c r="D415" i="8"/>
  <c r="C415" i="8"/>
  <c r="B415" i="8"/>
  <c r="BJ414" i="8"/>
  <c r="BI414" i="8"/>
  <c r="BH414" i="8"/>
  <c r="BG414" i="8"/>
  <c r="BF414" i="8"/>
  <c r="BE414" i="8"/>
  <c r="BD414" i="8"/>
  <c r="BC414" i="8"/>
  <c r="BB414" i="8"/>
  <c r="BA414" i="8"/>
  <c r="AZ414" i="8"/>
  <c r="AY414" i="8"/>
  <c r="AX414" i="8"/>
  <c r="AW414" i="8"/>
  <c r="AV414" i="8"/>
  <c r="AU414" i="8"/>
  <c r="L414" i="8"/>
  <c r="K414" i="8"/>
  <c r="J414" i="8"/>
  <c r="I414" i="8"/>
  <c r="H414" i="8"/>
  <c r="G414" i="8"/>
  <c r="F414" i="8"/>
  <c r="E414" i="8"/>
  <c r="D414" i="8"/>
  <c r="C414" i="8"/>
  <c r="B414" i="8"/>
  <c r="BJ413" i="8"/>
  <c r="BI413" i="8"/>
  <c r="BH413" i="8"/>
  <c r="BG413" i="8"/>
  <c r="BF413" i="8"/>
  <c r="BE413" i="8"/>
  <c r="BD413" i="8"/>
  <c r="BC413" i="8"/>
  <c r="BB413" i="8"/>
  <c r="BA413" i="8"/>
  <c r="AZ413" i="8"/>
  <c r="AY413" i="8"/>
  <c r="AX413" i="8"/>
  <c r="AW413" i="8"/>
  <c r="AV413" i="8"/>
  <c r="AU413" i="8"/>
  <c r="T413" i="8"/>
  <c r="M413" i="8"/>
  <c r="L413" i="8"/>
  <c r="J413" i="8"/>
  <c r="H413" i="8"/>
  <c r="G413" i="8"/>
  <c r="F413" i="8"/>
  <c r="E413" i="8"/>
  <c r="D413" i="8"/>
  <c r="C413" i="8"/>
  <c r="B413" i="8"/>
  <c r="BJ412" i="8"/>
  <c r="BI412" i="8"/>
  <c r="BH412" i="8"/>
  <c r="BG412" i="8"/>
  <c r="BF412" i="8"/>
  <c r="BE412" i="8"/>
  <c r="BD412" i="8"/>
  <c r="BC412" i="8"/>
  <c r="BB412" i="8"/>
  <c r="BA412" i="8"/>
  <c r="AZ412" i="8"/>
  <c r="AY412" i="8"/>
  <c r="AX412" i="8"/>
  <c r="AW412" i="8"/>
  <c r="AV412" i="8"/>
  <c r="AU412" i="8"/>
  <c r="L412" i="8"/>
  <c r="J412" i="8"/>
  <c r="I412" i="8"/>
  <c r="H412" i="8"/>
  <c r="G412" i="8"/>
  <c r="F412" i="8"/>
  <c r="E412" i="8"/>
  <c r="D412" i="8"/>
  <c r="C412" i="8"/>
  <c r="B412" i="8"/>
  <c r="BJ411" i="8"/>
  <c r="BI411" i="8"/>
  <c r="BH411" i="8"/>
  <c r="BG411" i="8"/>
  <c r="BF411" i="8"/>
  <c r="BE411" i="8"/>
  <c r="BD411" i="8"/>
  <c r="BC411" i="8"/>
  <c r="BB411" i="8"/>
  <c r="BA411" i="8"/>
  <c r="AZ411" i="8"/>
  <c r="AY411" i="8"/>
  <c r="AX411" i="8"/>
  <c r="AW411" i="8"/>
  <c r="AV411" i="8"/>
  <c r="AU411" i="8"/>
  <c r="L411" i="8"/>
  <c r="K411" i="8"/>
  <c r="J411" i="8"/>
  <c r="I411" i="8"/>
  <c r="H411" i="8"/>
  <c r="G411" i="8"/>
  <c r="F411" i="8"/>
  <c r="E411" i="8"/>
  <c r="D411" i="8"/>
  <c r="C411" i="8"/>
  <c r="B411" i="8"/>
  <c r="BJ410" i="8"/>
  <c r="BI410" i="8"/>
  <c r="BH410" i="8"/>
  <c r="BG410" i="8"/>
  <c r="BF410" i="8"/>
  <c r="BE410" i="8"/>
  <c r="BD410" i="8"/>
  <c r="BC410" i="8"/>
  <c r="BB410" i="8"/>
  <c r="BA410" i="8"/>
  <c r="AZ410" i="8"/>
  <c r="AY410" i="8"/>
  <c r="AX410" i="8"/>
  <c r="AW410" i="8"/>
  <c r="AV410" i="8"/>
  <c r="AU410" i="8"/>
  <c r="L410" i="8"/>
  <c r="K410" i="8"/>
  <c r="J410" i="8"/>
  <c r="I410" i="8"/>
  <c r="H410" i="8"/>
  <c r="G410" i="8"/>
  <c r="F410" i="8"/>
  <c r="E410" i="8"/>
  <c r="D410" i="8"/>
  <c r="C410" i="8"/>
  <c r="B410" i="8"/>
  <c r="BJ409" i="8"/>
  <c r="BI409" i="8"/>
  <c r="BH409" i="8"/>
  <c r="BG409" i="8"/>
  <c r="BF409" i="8"/>
  <c r="BE409" i="8"/>
  <c r="BD409" i="8"/>
  <c r="BC409" i="8"/>
  <c r="BB409" i="8"/>
  <c r="BA409" i="8"/>
  <c r="AZ409" i="8"/>
  <c r="AY409" i="8"/>
  <c r="AX409" i="8"/>
  <c r="AW409" i="8"/>
  <c r="AV409" i="8"/>
  <c r="AU409" i="8"/>
  <c r="L409" i="8"/>
  <c r="H409" i="8"/>
  <c r="G409" i="8"/>
  <c r="F409" i="8"/>
  <c r="E409" i="8"/>
  <c r="D409" i="8"/>
  <c r="C409" i="8"/>
  <c r="B409" i="8"/>
  <c r="BJ408" i="8"/>
  <c r="BI408" i="8"/>
  <c r="BH408" i="8"/>
  <c r="BG408" i="8"/>
  <c r="BF408" i="8"/>
  <c r="BE408" i="8"/>
  <c r="BD408" i="8"/>
  <c r="BC408" i="8"/>
  <c r="BB408" i="8"/>
  <c r="BA408" i="8"/>
  <c r="AZ408" i="8"/>
  <c r="AY408" i="8"/>
  <c r="AX408" i="8"/>
  <c r="AW408" i="8"/>
  <c r="AV408" i="8"/>
  <c r="AU408" i="8"/>
  <c r="L408" i="8"/>
  <c r="K408" i="8"/>
  <c r="J408" i="8"/>
  <c r="I408" i="8"/>
  <c r="H408" i="8"/>
  <c r="G408" i="8"/>
  <c r="F408" i="8"/>
  <c r="E408" i="8"/>
  <c r="D408" i="8"/>
  <c r="C408" i="8"/>
  <c r="B408" i="8"/>
  <c r="BJ407" i="8"/>
  <c r="BI407" i="8"/>
  <c r="BH407" i="8"/>
  <c r="BG407" i="8"/>
  <c r="BF407" i="8"/>
  <c r="BE407" i="8"/>
  <c r="BD407" i="8"/>
  <c r="BC407" i="8"/>
  <c r="BB407" i="8"/>
  <c r="BA407" i="8"/>
  <c r="AZ407" i="8"/>
  <c r="AY407" i="8"/>
  <c r="AX407" i="8"/>
  <c r="AW407" i="8"/>
  <c r="AV407" i="8"/>
  <c r="AU407" i="8"/>
  <c r="L407" i="8"/>
  <c r="J407" i="8"/>
  <c r="H407" i="8"/>
  <c r="G407" i="8"/>
  <c r="F407" i="8"/>
  <c r="E407" i="8"/>
  <c r="D407" i="8"/>
  <c r="C407" i="8"/>
  <c r="B407" i="8"/>
  <c r="BJ406" i="8"/>
  <c r="BI406" i="8"/>
  <c r="BH406" i="8"/>
  <c r="BG406" i="8"/>
  <c r="BF406" i="8"/>
  <c r="BE406" i="8"/>
  <c r="BD406" i="8"/>
  <c r="BC406" i="8"/>
  <c r="BB406" i="8"/>
  <c r="BA406" i="8"/>
  <c r="AZ406" i="8"/>
  <c r="AY406" i="8"/>
  <c r="AX406" i="8"/>
  <c r="AW406" i="8"/>
  <c r="AV406" i="8"/>
  <c r="AU406" i="8"/>
  <c r="L406" i="8"/>
  <c r="K406" i="8"/>
  <c r="J406" i="8"/>
  <c r="I406" i="8"/>
  <c r="H406" i="8"/>
  <c r="G406" i="8"/>
  <c r="F406" i="8"/>
  <c r="E406" i="8"/>
  <c r="D406" i="8"/>
  <c r="C406" i="8"/>
  <c r="B406" i="8"/>
  <c r="BJ405" i="8"/>
  <c r="BI405" i="8"/>
  <c r="BH405" i="8"/>
  <c r="BG405" i="8"/>
  <c r="BF405" i="8"/>
  <c r="BE405" i="8"/>
  <c r="BD405" i="8"/>
  <c r="BC405" i="8"/>
  <c r="BB405" i="8"/>
  <c r="BA405" i="8"/>
  <c r="AZ405" i="8"/>
  <c r="AY405" i="8"/>
  <c r="AX405" i="8"/>
  <c r="AW405" i="8"/>
  <c r="AV405" i="8"/>
  <c r="AU405" i="8"/>
  <c r="L405" i="8"/>
  <c r="J405" i="8"/>
  <c r="H405" i="8"/>
  <c r="G405" i="8"/>
  <c r="F405" i="8"/>
  <c r="E405" i="8"/>
  <c r="D405" i="8"/>
  <c r="C405" i="8"/>
  <c r="B405" i="8"/>
  <c r="BJ404" i="8"/>
  <c r="BI404" i="8"/>
  <c r="BH404" i="8"/>
  <c r="BG404" i="8"/>
  <c r="BF404" i="8"/>
  <c r="BE404" i="8"/>
  <c r="BD404" i="8"/>
  <c r="BC404" i="8"/>
  <c r="BB404" i="8"/>
  <c r="BA404" i="8"/>
  <c r="AZ404" i="8"/>
  <c r="AY404" i="8"/>
  <c r="AX404" i="8"/>
  <c r="AW404" i="8"/>
  <c r="AV404" i="8"/>
  <c r="AU404" i="8"/>
  <c r="L404" i="8"/>
  <c r="K404" i="8"/>
  <c r="J404" i="8"/>
  <c r="I404" i="8"/>
  <c r="H404" i="8"/>
  <c r="G404" i="8"/>
  <c r="F404" i="8"/>
  <c r="E404" i="8"/>
  <c r="D404" i="8"/>
  <c r="C404" i="8"/>
  <c r="B404" i="8"/>
  <c r="BJ403" i="8"/>
  <c r="BI403" i="8"/>
  <c r="BH403" i="8"/>
  <c r="BG403" i="8"/>
  <c r="BF403" i="8"/>
  <c r="BE403" i="8"/>
  <c r="BD403" i="8"/>
  <c r="BC403" i="8"/>
  <c r="BB403" i="8"/>
  <c r="BA403" i="8"/>
  <c r="AZ403" i="8"/>
  <c r="AY403" i="8"/>
  <c r="AX403" i="8"/>
  <c r="AW403" i="8"/>
  <c r="AV403" i="8"/>
  <c r="AU403" i="8"/>
  <c r="L403" i="8"/>
  <c r="K403" i="8"/>
  <c r="J403" i="8"/>
  <c r="I403" i="8"/>
  <c r="H403" i="8"/>
  <c r="G403" i="8"/>
  <c r="F403" i="8"/>
  <c r="E403" i="8"/>
  <c r="D403" i="8"/>
  <c r="C403" i="8"/>
  <c r="B403" i="8"/>
  <c r="BJ402" i="8"/>
  <c r="BI402" i="8"/>
  <c r="BH402" i="8"/>
  <c r="BG402" i="8"/>
  <c r="BF402" i="8"/>
  <c r="BE402" i="8"/>
  <c r="BD402" i="8"/>
  <c r="BC402" i="8"/>
  <c r="BB402" i="8"/>
  <c r="BA402" i="8"/>
  <c r="AZ402" i="8"/>
  <c r="AY402" i="8"/>
  <c r="AX402" i="8"/>
  <c r="AW402" i="8"/>
  <c r="AV402" i="8"/>
  <c r="AU402" i="8"/>
  <c r="U402" i="8"/>
  <c r="T402" i="8"/>
  <c r="S402" i="8"/>
  <c r="R402" i="8"/>
  <c r="Q402" i="8"/>
  <c r="P402" i="8"/>
  <c r="O402" i="8"/>
  <c r="N402" i="8"/>
  <c r="M402" i="8"/>
  <c r="L402" i="8"/>
  <c r="K402" i="8"/>
  <c r="J402" i="8"/>
  <c r="H402" i="8"/>
  <c r="G402" i="8"/>
  <c r="F402" i="8"/>
  <c r="E402" i="8"/>
  <c r="D402" i="8"/>
  <c r="C402" i="8"/>
  <c r="B402" i="8"/>
  <c r="BJ401" i="8"/>
  <c r="BI401" i="8"/>
  <c r="BH401" i="8"/>
  <c r="BG401" i="8"/>
  <c r="BF401" i="8"/>
  <c r="BE401" i="8"/>
  <c r="BD401" i="8"/>
  <c r="BC401" i="8"/>
  <c r="BB401" i="8"/>
  <c r="BA401" i="8"/>
  <c r="AZ401" i="8"/>
  <c r="AY401" i="8"/>
  <c r="AX401" i="8"/>
  <c r="AW401" i="8"/>
  <c r="AV401" i="8"/>
  <c r="AU401" i="8"/>
  <c r="L401" i="8"/>
  <c r="J401" i="8"/>
  <c r="I401" i="8"/>
  <c r="H401" i="8"/>
  <c r="G401" i="8"/>
  <c r="F401" i="8"/>
  <c r="E401" i="8"/>
  <c r="D401" i="8"/>
  <c r="C401" i="8"/>
  <c r="B401" i="8"/>
  <c r="BJ400" i="8"/>
  <c r="BI400" i="8"/>
  <c r="BH400" i="8"/>
  <c r="BG400" i="8"/>
  <c r="BF400" i="8"/>
  <c r="BE400" i="8"/>
  <c r="BD400" i="8"/>
  <c r="BC400" i="8"/>
  <c r="BB400" i="8"/>
  <c r="BA400" i="8"/>
  <c r="AZ400" i="8"/>
  <c r="AY400" i="8"/>
  <c r="AX400" i="8"/>
  <c r="AW400" i="8"/>
  <c r="AV400" i="8"/>
  <c r="AU400" i="8"/>
  <c r="L400" i="8"/>
  <c r="J400" i="8"/>
  <c r="I400" i="8"/>
  <c r="H400" i="8"/>
  <c r="G400" i="8"/>
  <c r="F400" i="8"/>
  <c r="E400" i="8"/>
  <c r="D400" i="8"/>
  <c r="C400" i="8"/>
  <c r="B400" i="8"/>
  <c r="BJ399" i="8"/>
  <c r="BI399" i="8"/>
  <c r="BH399" i="8"/>
  <c r="BG399" i="8"/>
  <c r="BF399" i="8"/>
  <c r="BE399" i="8"/>
  <c r="BD399" i="8"/>
  <c r="BC399" i="8"/>
  <c r="BB399" i="8"/>
  <c r="BA399" i="8"/>
  <c r="AZ399" i="8"/>
  <c r="AY399" i="8"/>
  <c r="AX399" i="8"/>
  <c r="AW399" i="8"/>
  <c r="AV399" i="8"/>
  <c r="AU399" i="8"/>
  <c r="L399" i="8"/>
  <c r="K399" i="8"/>
  <c r="J399" i="8"/>
  <c r="I399" i="8"/>
  <c r="H399" i="8"/>
  <c r="G399" i="8"/>
  <c r="F399" i="8"/>
  <c r="E399" i="8"/>
  <c r="D399" i="8"/>
  <c r="C399" i="8"/>
  <c r="B399" i="8"/>
  <c r="BJ398" i="8"/>
  <c r="BI398" i="8"/>
  <c r="BH398" i="8"/>
  <c r="BG398" i="8"/>
  <c r="BF398" i="8"/>
  <c r="BE398" i="8"/>
  <c r="BD398" i="8"/>
  <c r="BC398" i="8"/>
  <c r="BB398" i="8"/>
  <c r="BA398" i="8"/>
  <c r="AZ398" i="8"/>
  <c r="AY398" i="8"/>
  <c r="AX398" i="8"/>
  <c r="AW398" i="8"/>
  <c r="AV398" i="8"/>
  <c r="AU398" i="8"/>
  <c r="L398" i="8"/>
  <c r="K398" i="8"/>
  <c r="J398" i="8"/>
  <c r="I398" i="8"/>
  <c r="H398" i="8"/>
  <c r="G398" i="8"/>
  <c r="F398" i="8"/>
  <c r="E398" i="8"/>
  <c r="D398" i="8"/>
  <c r="C398" i="8"/>
  <c r="B398" i="8"/>
  <c r="BJ397" i="8"/>
  <c r="BI397" i="8"/>
  <c r="BH397" i="8"/>
  <c r="BG397" i="8"/>
  <c r="BF397" i="8"/>
  <c r="BE397" i="8"/>
  <c r="BD397" i="8"/>
  <c r="BC397" i="8"/>
  <c r="BB397" i="8"/>
  <c r="BA397" i="8"/>
  <c r="AZ397" i="8"/>
  <c r="AY397" i="8"/>
  <c r="AX397" i="8"/>
  <c r="AW397" i="8"/>
  <c r="AV397" i="8"/>
  <c r="AU397" i="8"/>
  <c r="L397" i="8"/>
  <c r="J397" i="8"/>
  <c r="I397" i="8"/>
  <c r="H397" i="8"/>
  <c r="G397" i="8"/>
  <c r="F397" i="8"/>
  <c r="E397" i="8"/>
  <c r="D397" i="8"/>
  <c r="C397" i="8"/>
  <c r="B397" i="8"/>
  <c r="BJ396" i="8"/>
  <c r="BI396" i="8"/>
  <c r="BH396" i="8"/>
  <c r="BG396" i="8"/>
  <c r="BF396" i="8"/>
  <c r="BE396" i="8"/>
  <c r="BD396" i="8"/>
  <c r="BC396" i="8"/>
  <c r="BB396" i="8"/>
  <c r="BA396" i="8"/>
  <c r="AZ396" i="8"/>
  <c r="AY396" i="8"/>
  <c r="AX396" i="8"/>
  <c r="AW396" i="8"/>
  <c r="AV396" i="8"/>
  <c r="AU396" i="8"/>
  <c r="L396" i="8"/>
  <c r="H396" i="8"/>
  <c r="G396" i="8"/>
  <c r="F396" i="8"/>
  <c r="E396" i="8"/>
  <c r="D396" i="8"/>
  <c r="C396" i="8"/>
  <c r="B396" i="8"/>
  <c r="BJ395" i="8"/>
  <c r="BI395" i="8"/>
  <c r="BH395" i="8"/>
  <c r="BG395" i="8"/>
  <c r="BF395" i="8"/>
  <c r="BE395" i="8"/>
  <c r="BD395" i="8"/>
  <c r="BC395" i="8"/>
  <c r="BB395" i="8"/>
  <c r="BA395" i="8"/>
  <c r="AZ395" i="8"/>
  <c r="AY395" i="8"/>
  <c r="AX395" i="8"/>
  <c r="AW395" i="8"/>
  <c r="AV395" i="8"/>
  <c r="AU395" i="8"/>
  <c r="L395" i="8"/>
  <c r="H395" i="8"/>
  <c r="G395" i="8"/>
  <c r="F395" i="8"/>
  <c r="E395" i="8"/>
  <c r="D395" i="8"/>
  <c r="C395" i="8"/>
  <c r="B395" i="8"/>
  <c r="BJ394" i="8"/>
  <c r="BI394" i="8"/>
  <c r="BH394" i="8"/>
  <c r="BG394" i="8"/>
  <c r="BF394" i="8"/>
  <c r="BE394" i="8"/>
  <c r="BD394" i="8"/>
  <c r="BC394" i="8"/>
  <c r="BB394" i="8"/>
  <c r="BA394" i="8"/>
  <c r="AZ394" i="8"/>
  <c r="AY394" i="8"/>
  <c r="AX394" i="8"/>
  <c r="AW394" i="8"/>
  <c r="AV394" i="8"/>
  <c r="AU394" i="8"/>
  <c r="L394" i="8"/>
  <c r="H394" i="8"/>
  <c r="G394" i="8"/>
  <c r="F394" i="8"/>
  <c r="E394" i="8"/>
  <c r="D394" i="8"/>
  <c r="C394" i="8"/>
  <c r="B394" i="8"/>
  <c r="BJ393" i="8"/>
  <c r="BI393" i="8"/>
  <c r="BH393" i="8"/>
  <c r="BG393" i="8"/>
  <c r="BF393" i="8"/>
  <c r="BE393" i="8"/>
  <c r="BD393" i="8"/>
  <c r="BC393" i="8"/>
  <c r="BB393" i="8"/>
  <c r="BA393" i="8"/>
  <c r="AZ393" i="8"/>
  <c r="AY393" i="8"/>
  <c r="AX393" i="8"/>
  <c r="AW393" i="8"/>
  <c r="AV393" i="8"/>
  <c r="AU393" i="8"/>
  <c r="T393" i="8"/>
  <c r="S393" i="8"/>
  <c r="R393" i="8"/>
  <c r="M393" i="8"/>
  <c r="L393" i="8"/>
  <c r="J393" i="8"/>
  <c r="H393" i="8"/>
  <c r="G393" i="8"/>
  <c r="F393" i="8"/>
  <c r="E393" i="8"/>
  <c r="D393" i="8"/>
  <c r="C393" i="8"/>
  <c r="B393" i="8"/>
  <c r="BJ392" i="8"/>
  <c r="BI392" i="8"/>
  <c r="BH392" i="8"/>
  <c r="BG392" i="8"/>
  <c r="BF392" i="8"/>
  <c r="BE392" i="8"/>
  <c r="BD392" i="8"/>
  <c r="BC392" i="8"/>
  <c r="BB392" i="8"/>
  <c r="BA392" i="8"/>
  <c r="AZ392" i="8"/>
  <c r="AY392" i="8"/>
  <c r="AX392" i="8"/>
  <c r="AW392" i="8"/>
  <c r="AV392" i="8"/>
  <c r="AU392" i="8"/>
  <c r="T392" i="8"/>
  <c r="S392" i="8"/>
  <c r="R392" i="8"/>
  <c r="Q392" i="8"/>
  <c r="P392" i="8"/>
  <c r="O392" i="8"/>
  <c r="N392" i="8"/>
  <c r="M392" i="8"/>
  <c r="L392" i="8"/>
  <c r="J392" i="8"/>
  <c r="I392" i="8"/>
  <c r="H392" i="8"/>
  <c r="G392" i="8"/>
  <c r="F392" i="8"/>
  <c r="E392" i="8"/>
  <c r="D392" i="8"/>
  <c r="C392" i="8"/>
  <c r="B392" i="8"/>
  <c r="BJ391" i="8"/>
  <c r="BI391" i="8"/>
  <c r="BH391" i="8"/>
  <c r="BG391" i="8"/>
  <c r="BF391" i="8"/>
  <c r="BE391" i="8"/>
  <c r="BD391" i="8"/>
  <c r="BC391" i="8"/>
  <c r="BB391" i="8"/>
  <c r="BA391" i="8"/>
  <c r="AZ391" i="8"/>
  <c r="AY391" i="8"/>
  <c r="AX391" i="8"/>
  <c r="AW391" i="8"/>
  <c r="AV391" i="8"/>
  <c r="AU391" i="8"/>
  <c r="L391" i="8"/>
  <c r="H391" i="8"/>
  <c r="G391" i="8"/>
  <c r="F391" i="8"/>
  <c r="E391" i="8"/>
  <c r="D391" i="8"/>
  <c r="C391" i="8"/>
  <c r="B391" i="8"/>
  <c r="BJ390" i="8"/>
  <c r="BI390" i="8"/>
  <c r="BH390" i="8"/>
  <c r="BG390" i="8"/>
  <c r="BF390" i="8"/>
  <c r="BE390" i="8"/>
  <c r="BD390" i="8"/>
  <c r="BC390" i="8"/>
  <c r="BB390" i="8"/>
  <c r="BA390" i="8"/>
  <c r="AZ390" i="8"/>
  <c r="AY390" i="8"/>
  <c r="AX390" i="8"/>
  <c r="AW390" i="8"/>
  <c r="AV390" i="8"/>
  <c r="AU390" i="8"/>
  <c r="L390" i="8"/>
  <c r="H390" i="8"/>
  <c r="G390" i="8"/>
  <c r="F390" i="8"/>
  <c r="E390" i="8"/>
  <c r="D390" i="8"/>
  <c r="C390" i="8"/>
  <c r="B390" i="8"/>
  <c r="BJ389" i="8"/>
  <c r="BI389" i="8"/>
  <c r="BH389" i="8"/>
  <c r="BG389" i="8"/>
  <c r="BF389" i="8"/>
  <c r="BE389" i="8"/>
  <c r="BD389" i="8"/>
  <c r="BC389" i="8"/>
  <c r="BB389" i="8"/>
  <c r="BA389" i="8"/>
  <c r="AZ389" i="8"/>
  <c r="AY389" i="8"/>
  <c r="AX389" i="8"/>
  <c r="AW389" i="8"/>
  <c r="AV389" i="8"/>
  <c r="AU389" i="8"/>
  <c r="L389" i="8"/>
  <c r="H389" i="8"/>
  <c r="G389" i="8"/>
  <c r="F389" i="8"/>
  <c r="E389" i="8"/>
  <c r="D389" i="8"/>
  <c r="C389" i="8"/>
  <c r="B389" i="8"/>
  <c r="BJ388" i="8"/>
  <c r="BI388" i="8"/>
  <c r="BH388" i="8"/>
  <c r="BG388" i="8"/>
  <c r="BF388" i="8"/>
  <c r="BE388" i="8"/>
  <c r="BD388" i="8"/>
  <c r="BC388" i="8"/>
  <c r="BB388" i="8"/>
  <c r="BA388" i="8"/>
  <c r="AZ388" i="8"/>
  <c r="AY388" i="8"/>
  <c r="AX388" i="8"/>
  <c r="AW388" i="8"/>
  <c r="AV388" i="8"/>
  <c r="AU388" i="8"/>
  <c r="L388" i="8"/>
  <c r="H388" i="8"/>
  <c r="G388" i="8"/>
  <c r="F388" i="8"/>
  <c r="E388" i="8"/>
  <c r="D388" i="8"/>
  <c r="C388" i="8"/>
  <c r="B388" i="8"/>
  <c r="BJ387" i="8"/>
  <c r="BI387" i="8"/>
  <c r="BH387" i="8"/>
  <c r="BG387" i="8"/>
  <c r="BF387" i="8"/>
  <c r="BE387" i="8"/>
  <c r="BD387" i="8"/>
  <c r="BC387" i="8"/>
  <c r="BB387" i="8"/>
  <c r="BA387" i="8"/>
  <c r="AZ387" i="8"/>
  <c r="AY387" i="8"/>
  <c r="AX387" i="8"/>
  <c r="AW387" i="8"/>
  <c r="AV387" i="8"/>
  <c r="AU387" i="8"/>
  <c r="L387" i="8"/>
  <c r="H387" i="8"/>
  <c r="G387" i="8"/>
  <c r="F387" i="8"/>
  <c r="E387" i="8"/>
  <c r="D387" i="8"/>
  <c r="C387" i="8"/>
  <c r="B387" i="8"/>
  <c r="BJ386" i="8"/>
  <c r="BI386" i="8"/>
  <c r="BH386" i="8"/>
  <c r="BG386" i="8"/>
  <c r="BF386" i="8"/>
  <c r="BE386" i="8"/>
  <c r="BD386" i="8"/>
  <c r="BC386" i="8"/>
  <c r="BB386" i="8"/>
  <c r="BA386" i="8"/>
  <c r="AZ386" i="8"/>
  <c r="AY386" i="8"/>
  <c r="AX386" i="8"/>
  <c r="AW386" i="8"/>
  <c r="AV386" i="8"/>
  <c r="AU386" i="8"/>
  <c r="L386" i="8"/>
  <c r="H386" i="8"/>
  <c r="G386" i="8"/>
  <c r="F386" i="8"/>
  <c r="E386" i="8"/>
  <c r="D386" i="8"/>
  <c r="C386" i="8"/>
  <c r="B386" i="8"/>
  <c r="BJ385" i="8"/>
  <c r="BI385" i="8"/>
  <c r="BH385" i="8"/>
  <c r="BG385" i="8"/>
  <c r="BF385" i="8"/>
  <c r="BE385" i="8"/>
  <c r="BD385" i="8"/>
  <c r="BC385" i="8"/>
  <c r="BB385" i="8"/>
  <c r="BA385" i="8"/>
  <c r="AZ385" i="8"/>
  <c r="AY385" i="8"/>
  <c r="AX385" i="8"/>
  <c r="AW385" i="8"/>
  <c r="AV385" i="8"/>
  <c r="AU385" i="8"/>
  <c r="L385" i="8"/>
  <c r="H385" i="8"/>
  <c r="G385" i="8"/>
  <c r="F385" i="8"/>
  <c r="E385" i="8"/>
  <c r="D385" i="8"/>
  <c r="C385" i="8"/>
  <c r="B385" i="8"/>
  <c r="BJ384" i="8"/>
  <c r="BI384" i="8"/>
  <c r="BH384" i="8"/>
  <c r="BG384" i="8"/>
  <c r="BF384" i="8"/>
  <c r="BE384" i="8"/>
  <c r="BD384" i="8"/>
  <c r="BC384" i="8"/>
  <c r="BB384" i="8"/>
  <c r="BA384" i="8"/>
  <c r="AZ384" i="8"/>
  <c r="AY384" i="8"/>
  <c r="AX384" i="8"/>
  <c r="AW384" i="8"/>
  <c r="AV384" i="8"/>
  <c r="AU384" i="8"/>
  <c r="L384" i="8"/>
  <c r="H384" i="8"/>
  <c r="G384" i="8"/>
  <c r="F384" i="8"/>
  <c r="E384" i="8"/>
  <c r="D384" i="8"/>
  <c r="C384" i="8"/>
  <c r="B384" i="8"/>
  <c r="BJ383" i="8"/>
  <c r="BI383" i="8"/>
  <c r="BH383" i="8"/>
  <c r="BG383" i="8"/>
  <c r="BF383" i="8"/>
  <c r="BE383" i="8"/>
  <c r="BD383" i="8"/>
  <c r="BC383" i="8"/>
  <c r="BB383" i="8"/>
  <c r="BA383" i="8"/>
  <c r="AZ383" i="8"/>
  <c r="AY383" i="8"/>
  <c r="AX383" i="8"/>
  <c r="AW383" i="8"/>
  <c r="AV383" i="8"/>
  <c r="AU383" i="8"/>
  <c r="L383" i="8"/>
  <c r="H383" i="8"/>
  <c r="G383" i="8"/>
  <c r="F383" i="8"/>
  <c r="E383" i="8"/>
  <c r="D383" i="8"/>
  <c r="C383" i="8"/>
  <c r="B383" i="8"/>
  <c r="BJ382" i="8"/>
  <c r="BI382" i="8"/>
  <c r="BH382" i="8"/>
  <c r="BG382" i="8"/>
  <c r="BF382" i="8"/>
  <c r="BE382" i="8"/>
  <c r="BD382" i="8"/>
  <c r="BC382" i="8"/>
  <c r="BB382" i="8"/>
  <c r="BA382" i="8"/>
  <c r="AZ382" i="8"/>
  <c r="AY382" i="8"/>
  <c r="AX382" i="8"/>
  <c r="AW382" i="8"/>
  <c r="AV382" i="8"/>
  <c r="AU382" i="8"/>
  <c r="T382" i="8"/>
  <c r="L382" i="8"/>
  <c r="H382" i="8"/>
  <c r="G382" i="8"/>
  <c r="F382" i="8"/>
  <c r="E382" i="8"/>
  <c r="D382" i="8"/>
  <c r="C382" i="8"/>
  <c r="B382" i="8"/>
  <c r="BJ381" i="8"/>
  <c r="BI381" i="8"/>
  <c r="BH381" i="8"/>
  <c r="BG381" i="8"/>
  <c r="BF381" i="8"/>
  <c r="BE381" i="8"/>
  <c r="BD381" i="8"/>
  <c r="BC381" i="8"/>
  <c r="BB381" i="8"/>
  <c r="BA381" i="8"/>
  <c r="AZ381" i="8"/>
  <c r="AY381" i="8"/>
  <c r="AX381" i="8"/>
  <c r="AW381" i="8"/>
  <c r="AV381" i="8"/>
  <c r="AU381" i="8"/>
  <c r="T381" i="8"/>
  <c r="L381" i="8"/>
  <c r="H381" i="8"/>
  <c r="G381" i="8"/>
  <c r="F381" i="8"/>
  <c r="E381" i="8"/>
  <c r="D381" i="8"/>
  <c r="C381" i="8"/>
  <c r="B381" i="8"/>
  <c r="BJ380" i="8"/>
  <c r="BI380" i="8"/>
  <c r="BH380" i="8"/>
  <c r="BG380" i="8"/>
  <c r="BF380" i="8"/>
  <c r="BE380" i="8"/>
  <c r="BD380" i="8"/>
  <c r="BC380" i="8"/>
  <c r="BB380" i="8"/>
  <c r="BA380" i="8"/>
  <c r="AZ380" i="8"/>
  <c r="AY380" i="8"/>
  <c r="AX380" i="8"/>
  <c r="AW380" i="8"/>
  <c r="AV380" i="8"/>
  <c r="AU380" i="8"/>
  <c r="T380" i="8"/>
  <c r="L380" i="8"/>
  <c r="H380" i="8"/>
  <c r="G380" i="8"/>
  <c r="F380" i="8"/>
  <c r="E380" i="8"/>
  <c r="D380" i="8"/>
  <c r="C380" i="8"/>
  <c r="B380" i="8"/>
  <c r="BJ379" i="8"/>
  <c r="BI379" i="8"/>
  <c r="BH379" i="8"/>
  <c r="BG379" i="8"/>
  <c r="BF379" i="8"/>
  <c r="BE379" i="8"/>
  <c r="BD379" i="8"/>
  <c r="BC379" i="8"/>
  <c r="BB379" i="8"/>
  <c r="BA379" i="8"/>
  <c r="AZ379" i="8"/>
  <c r="AY379" i="8"/>
  <c r="AX379" i="8"/>
  <c r="AW379" i="8"/>
  <c r="AV379" i="8"/>
  <c r="AU379" i="8"/>
  <c r="T379" i="8"/>
  <c r="L379" i="8"/>
  <c r="H379" i="8"/>
  <c r="G379" i="8"/>
  <c r="F379" i="8"/>
  <c r="E379" i="8"/>
  <c r="D379" i="8"/>
  <c r="C379" i="8"/>
  <c r="B379" i="8"/>
  <c r="BJ378" i="8"/>
  <c r="BI378" i="8"/>
  <c r="BH378" i="8"/>
  <c r="BG378" i="8"/>
  <c r="BF378" i="8"/>
  <c r="BE378" i="8"/>
  <c r="BD378" i="8"/>
  <c r="BC378" i="8"/>
  <c r="BB378" i="8"/>
  <c r="BA378" i="8"/>
  <c r="AZ378" i="8"/>
  <c r="AY378" i="8"/>
  <c r="AX378" i="8"/>
  <c r="AW378" i="8"/>
  <c r="AV378" i="8"/>
  <c r="AU378" i="8"/>
  <c r="T378" i="8"/>
  <c r="L378" i="8"/>
  <c r="H378" i="8"/>
  <c r="G378" i="8"/>
  <c r="F378" i="8"/>
  <c r="E378" i="8"/>
  <c r="D378" i="8"/>
  <c r="C378" i="8"/>
  <c r="B378" i="8"/>
  <c r="BJ377" i="8"/>
  <c r="BI377" i="8"/>
  <c r="BH377" i="8"/>
  <c r="BG377" i="8"/>
  <c r="BF377" i="8"/>
  <c r="BE377" i="8"/>
  <c r="BD377" i="8"/>
  <c r="BC377" i="8"/>
  <c r="BB377" i="8"/>
  <c r="BA377" i="8"/>
  <c r="AZ377" i="8"/>
  <c r="AY377" i="8"/>
  <c r="AX377" i="8"/>
  <c r="AW377" i="8"/>
  <c r="AV377" i="8"/>
  <c r="AU377" i="8"/>
  <c r="T377" i="8"/>
  <c r="L377" i="8"/>
  <c r="H377" i="8"/>
  <c r="G377" i="8"/>
  <c r="F377" i="8"/>
  <c r="E377" i="8"/>
  <c r="D377" i="8"/>
  <c r="C377" i="8"/>
  <c r="B377" i="8"/>
  <c r="BJ376" i="8"/>
  <c r="BI376" i="8"/>
  <c r="BH376" i="8"/>
  <c r="BG376" i="8"/>
  <c r="BF376" i="8"/>
  <c r="BE376" i="8"/>
  <c r="BD376" i="8"/>
  <c r="BC376" i="8"/>
  <c r="BB376" i="8"/>
  <c r="BA376" i="8"/>
  <c r="AZ376" i="8"/>
  <c r="AY376" i="8"/>
  <c r="AX376" i="8"/>
  <c r="AW376" i="8"/>
  <c r="AV376" i="8"/>
  <c r="AU376" i="8"/>
  <c r="T376" i="8"/>
  <c r="L376" i="8"/>
  <c r="H376" i="8"/>
  <c r="G376" i="8"/>
  <c r="F376" i="8"/>
  <c r="E376" i="8"/>
  <c r="D376" i="8"/>
  <c r="C376" i="8"/>
  <c r="B376" i="8"/>
  <c r="BJ375" i="8"/>
  <c r="BI375" i="8"/>
  <c r="BH375" i="8"/>
  <c r="BG375" i="8"/>
  <c r="BF375" i="8"/>
  <c r="BE375" i="8"/>
  <c r="BD375" i="8"/>
  <c r="BC375" i="8"/>
  <c r="BB375" i="8"/>
  <c r="BA375" i="8"/>
  <c r="AZ375" i="8"/>
  <c r="AY375" i="8"/>
  <c r="AX375" i="8"/>
  <c r="AW375" i="8"/>
  <c r="AV375" i="8"/>
  <c r="AU375" i="8"/>
  <c r="T375" i="8"/>
  <c r="L375" i="8"/>
  <c r="H375" i="8"/>
  <c r="G375" i="8"/>
  <c r="F375" i="8"/>
  <c r="E375" i="8"/>
  <c r="D375" i="8"/>
  <c r="C375" i="8"/>
  <c r="B375" i="8"/>
  <c r="BJ374" i="8"/>
  <c r="BI374" i="8"/>
  <c r="BH374" i="8"/>
  <c r="BG374" i="8"/>
  <c r="BF374" i="8"/>
  <c r="BE374" i="8"/>
  <c r="BD374" i="8"/>
  <c r="BC374" i="8"/>
  <c r="BB374" i="8"/>
  <c r="BA374" i="8"/>
  <c r="AZ374" i="8"/>
  <c r="AY374" i="8"/>
  <c r="AX374" i="8"/>
  <c r="AW374" i="8"/>
  <c r="AV374" i="8"/>
  <c r="AU374" i="8"/>
  <c r="T374" i="8"/>
  <c r="L374" i="8"/>
  <c r="H374" i="8"/>
  <c r="G374" i="8"/>
  <c r="F374" i="8"/>
  <c r="E374" i="8"/>
  <c r="D374" i="8"/>
  <c r="C374" i="8"/>
  <c r="B374" i="8"/>
  <c r="BJ373" i="8"/>
  <c r="BI373" i="8"/>
  <c r="BH373" i="8"/>
  <c r="BG373" i="8"/>
  <c r="BF373" i="8"/>
  <c r="BE373" i="8"/>
  <c r="BD373" i="8"/>
  <c r="BC373" i="8"/>
  <c r="BB373" i="8"/>
  <c r="BA373" i="8"/>
  <c r="AZ373" i="8"/>
  <c r="AY373" i="8"/>
  <c r="AX373" i="8"/>
  <c r="AW373" i="8"/>
  <c r="AV373" i="8"/>
  <c r="AU373" i="8"/>
  <c r="T373" i="8"/>
  <c r="L373" i="8"/>
  <c r="H373" i="8"/>
  <c r="G373" i="8"/>
  <c r="F373" i="8"/>
  <c r="E373" i="8"/>
  <c r="D373" i="8"/>
  <c r="C373" i="8"/>
  <c r="B373" i="8"/>
  <c r="BJ372" i="8"/>
  <c r="BI372" i="8"/>
  <c r="BH372" i="8"/>
  <c r="BG372" i="8"/>
  <c r="BF372" i="8"/>
  <c r="BE372" i="8"/>
  <c r="BD372" i="8"/>
  <c r="BC372" i="8"/>
  <c r="BB372" i="8"/>
  <c r="BA372" i="8"/>
  <c r="AZ372" i="8"/>
  <c r="AY372" i="8"/>
  <c r="AX372" i="8"/>
  <c r="AW372" i="8"/>
  <c r="AV372" i="8"/>
  <c r="AU372" i="8"/>
  <c r="U372" i="8"/>
  <c r="S372" i="8"/>
  <c r="R372" i="8"/>
  <c r="Q372" i="8"/>
  <c r="P372" i="8"/>
  <c r="O372" i="8"/>
  <c r="N372" i="8"/>
  <c r="M372" i="8"/>
  <c r="L372" i="8"/>
  <c r="K372" i="8"/>
  <c r="J372" i="8"/>
  <c r="I372" i="8"/>
  <c r="H372" i="8"/>
  <c r="G372" i="8"/>
  <c r="F372" i="8"/>
  <c r="E372" i="8"/>
  <c r="D372" i="8"/>
  <c r="C372" i="8"/>
  <c r="B372" i="8"/>
  <c r="BJ371" i="8"/>
  <c r="BI371" i="8"/>
  <c r="BH371" i="8"/>
  <c r="BG371" i="8"/>
  <c r="BF371" i="8"/>
  <c r="BE371" i="8"/>
  <c r="BD371" i="8"/>
  <c r="BC371" i="8"/>
  <c r="BB371" i="8"/>
  <c r="BA371" i="8"/>
  <c r="AZ371" i="8"/>
  <c r="AY371" i="8"/>
  <c r="AX371" i="8"/>
  <c r="AW371" i="8"/>
  <c r="AV371" i="8"/>
  <c r="AU371" i="8"/>
  <c r="T371" i="8"/>
  <c r="L371" i="8"/>
  <c r="H371" i="8"/>
  <c r="G371" i="8"/>
  <c r="F371" i="8"/>
  <c r="E371" i="8"/>
  <c r="D371" i="8"/>
  <c r="C371" i="8"/>
  <c r="B371" i="8"/>
  <c r="BJ370" i="8"/>
  <c r="BI370" i="8"/>
  <c r="BH370" i="8"/>
  <c r="BG370" i="8"/>
  <c r="BF370" i="8"/>
  <c r="BE370" i="8"/>
  <c r="BD370" i="8"/>
  <c r="BC370" i="8"/>
  <c r="BB370" i="8"/>
  <c r="BA370" i="8"/>
  <c r="AZ370" i="8"/>
  <c r="AY370" i="8"/>
  <c r="AX370" i="8"/>
  <c r="AW370" i="8"/>
  <c r="AV370" i="8"/>
  <c r="AU370" i="8"/>
  <c r="T370" i="8"/>
  <c r="L370" i="8"/>
  <c r="H370" i="8"/>
  <c r="G370" i="8"/>
  <c r="F370" i="8"/>
  <c r="E370" i="8"/>
  <c r="D370" i="8"/>
  <c r="C370" i="8"/>
  <c r="B370" i="8"/>
  <c r="BJ369" i="8"/>
  <c r="BI369" i="8"/>
  <c r="BH369" i="8"/>
  <c r="BG369" i="8"/>
  <c r="BF369" i="8"/>
  <c r="BE369" i="8"/>
  <c r="BD369" i="8"/>
  <c r="BC369" i="8"/>
  <c r="BB369" i="8"/>
  <c r="BA369" i="8"/>
  <c r="AZ369" i="8"/>
  <c r="AY369" i="8"/>
  <c r="AX369" i="8"/>
  <c r="AW369" i="8"/>
  <c r="AV369" i="8"/>
  <c r="AU369" i="8"/>
  <c r="T369" i="8"/>
  <c r="L369" i="8"/>
  <c r="H369" i="8"/>
  <c r="G369" i="8"/>
  <c r="F369" i="8"/>
  <c r="E369" i="8"/>
  <c r="D369" i="8"/>
  <c r="C369" i="8"/>
  <c r="B369" i="8"/>
  <c r="BJ368" i="8"/>
  <c r="BI368" i="8"/>
  <c r="BH368" i="8"/>
  <c r="BG368" i="8"/>
  <c r="BF368" i="8"/>
  <c r="BE368" i="8"/>
  <c r="BD368" i="8"/>
  <c r="BC368" i="8"/>
  <c r="BB368" i="8"/>
  <c r="BA368" i="8"/>
  <c r="AZ368" i="8"/>
  <c r="AY368" i="8"/>
  <c r="AX368" i="8"/>
  <c r="AW368" i="8"/>
  <c r="AV368" i="8"/>
  <c r="AU368" i="8"/>
  <c r="T368" i="8"/>
  <c r="L368" i="8"/>
  <c r="H368" i="8"/>
  <c r="G368" i="8"/>
  <c r="F368" i="8"/>
  <c r="E368" i="8"/>
  <c r="D368" i="8"/>
  <c r="C368" i="8"/>
  <c r="B368" i="8"/>
  <c r="BJ367" i="8"/>
  <c r="BI367" i="8"/>
  <c r="BH367" i="8"/>
  <c r="BG367" i="8"/>
  <c r="BF367" i="8"/>
  <c r="BE367" i="8"/>
  <c r="BD367" i="8"/>
  <c r="BC367" i="8"/>
  <c r="BB367" i="8"/>
  <c r="BA367" i="8"/>
  <c r="AZ367" i="8"/>
  <c r="AY367" i="8"/>
  <c r="AX367" i="8"/>
  <c r="AW367" i="8"/>
  <c r="AV367" i="8"/>
  <c r="AU367" i="8"/>
  <c r="T367" i="8"/>
  <c r="L367" i="8"/>
  <c r="H367" i="8"/>
  <c r="G367" i="8"/>
  <c r="F367" i="8"/>
  <c r="E367" i="8"/>
  <c r="D367" i="8"/>
  <c r="C367" i="8"/>
  <c r="B367" i="8"/>
  <c r="BJ366" i="8"/>
  <c r="BI366" i="8"/>
  <c r="BH366" i="8"/>
  <c r="BG366" i="8"/>
  <c r="BF366" i="8"/>
  <c r="BE366" i="8"/>
  <c r="BD366" i="8"/>
  <c r="BC366" i="8"/>
  <c r="BB366" i="8"/>
  <c r="BA366" i="8"/>
  <c r="AZ366" i="8"/>
  <c r="AY366" i="8"/>
  <c r="AX366" i="8"/>
  <c r="AW366" i="8"/>
  <c r="AV366" i="8"/>
  <c r="AU366" i="8"/>
  <c r="T366" i="8"/>
  <c r="L366" i="8"/>
  <c r="H366" i="8"/>
  <c r="G366" i="8"/>
  <c r="F366" i="8"/>
  <c r="E366" i="8"/>
  <c r="D366" i="8"/>
  <c r="C366" i="8"/>
  <c r="B366" i="8"/>
  <c r="BJ365" i="8"/>
  <c r="BI365" i="8"/>
  <c r="BH365" i="8"/>
  <c r="BG365" i="8"/>
  <c r="BF365" i="8"/>
  <c r="BE365" i="8"/>
  <c r="BD365" i="8"/>
  <c r="BC365" i="8"/>
  <c r="BB365" i="8"/>
  <c r="BA365" i="8"/>
  <c r="AZ365" i="8"/>
  <c r="AY365" i="8"/>
  <c r="AX365" i="8"/>
  <c r="AW365" i="8"/>
  <c r="AV365" i="8"/>
  <c r="AU365" i="8"/>
  <c r="T365" i="8"/>
  <c r="L365" i="8"/>
  <c r="H365" i="8"/>
  <c r="G365" i="8"/>
  <c r="F365" i="8"/>
  <c r="E365" i="8"/>
  <c r="D365" i="8"/>
  <c r="C365" i="8"/>
  <c r="B365" i="8"/>
  <c r="BJ364" i="8"/>
  <c r="BI364" i="8"/>
  <c r="BH364" i="8"/>
  <c r="BG364" i="8"/>
  <c r="BF364" i="8"/>
  <c r="BE364" i="8"/>
  <c r="BD364" i="8"/>
  <c r="BC364" i="8"/>
  <c r="BB364" i="8"/>
  <c r="BA364" i="8"/>
  <c r="AZ364" i="8"/>
  <c r="AY364" i="8"/>
  <c r="AX364" i="8"/>
  <c r="AW364" i="8"/>
  <c r="AV364" i="8"/>
  <c r="AU364" i="8"/>
  <c r="T364" i="8"/>
  <c r="L364" i="8"/>
  <c r="H364" i="8"/>
  <c r="G364" i="8"/>
  <c r="F364" i="8"/>
  <c r="E364" i="8"/>
  <c r="D364" i="8"/>
  <c r="C364" i="8"/>
  <c r="B364" i="8"/>
  <c r="BJ363" i="8"/>
  <c r="BI363" i="8"/>
  <c r="BH363" i="8"/>
  <c r="BG363" i="8"/>
  <c r="BF363" i="8"/>
  <c r="BE363" i="8"/>
  <c r="BD363" i="8"/>
  <c r="BC363" i="8"/>
  <c r="BB363" i="8"/>
  <c r="BA363" i="8"/>
  <c r="AZ363" i="8"/>
  <c r="AY363" i="8"/>
  <c r="AX363" i="8"/>
  <c r="AW363" i="8"/>
  <c r="AV363" i="8"/>
  <c r="AU363" i="8"/>
  <c r="T363" i="8"/>
  <c r="L363" i="8"/>
  <c r="H363" i="8"/>
  <c r="G363" i="8"/>
  <c r="F363" i="8"/>
  <c r="E363" i="8"/>
  <c r="D363" i="8"/>
  <c r="C363" i="8"/>
  <c r="B363" i="8"/>
  <c r="BJ362" i="8"/>
  <c r="BI362" i="8"/>
  <c r="BH362" i="8"/>
  <c r="BG362" i="8"/>
  <c r="BF362" i="8"/>
  <c r="BE362" i="8"/>
  <c r="BD362" i="8"/>
  <c r="BC362" i="8"/>
  <c r="BB362" i="8"/>
  <c r="BA362" i="8"/>
  <c r="AZ362" i="8"/>
  <c r="AY362" i="8"/>
  <c r="AX362" i="8"/>
  <c r="AW362" i="8"/>
  <c r="AV362" i="8"/>
  <c r="AU362" i="8"/>
  <c r="T362" i="8"/>
  <c r="L362" i="8"/>
  <c r="H362" i="8"/>
  <c r="G362" i="8"/>
  <c r="F362" i="8"/>
  <c r="E362" i="8"/>
  <c r="D362" i="8"/>
  <c r="C362" i="8"/>
  <c r="B362" i="8"/>
  <c r="BJ361" i="8"/>
  <c r="BI361" i="8"/>
  <c r="BH361" i="8"/>
  <c r="BG361" i="8"/>
  <c r="BF361" i="8"/>
  <c r="BE361" i="8"/>
  <c r="BD361" i="8"/>
  <c r="BC361" i="8"/>
  <c r="BB361" i="8"/>
  <c r="BA361" i="8"/>
  <c r="AZ361" i="8"/>
  <c r="AY361" i="8"/>
  <c r="AX361" i="8"/>
  <c r="AW361" i="8"/>
  <c r="AV361" i="8"/>
  <c r="AU361" i="8"/>
  <c r="T361" i="8"/>
  <c r="L361" i="8"/>
  <c r="H361" i="8"/>
  <c r="G361" i="8"/>
  <c r="F361" i="8"/>
  <c r="E361" i="8"/>
  <c r="D361" i="8"/>
  <c r="C361" i="8"/>
  <c r="B361" i="8"/>
  <c r="BJ360" i="8"/>
  <c r="BI360" i="8"/>
  <c r="BH360" i="8"/>
  <c r="BG360" i="8"/>
  <c r="BF360" i="8"/>
  <c r="BE360" i="8"/>
  <c r="BD360" i="8"/>
  <c r="BC360" i="8"/>
  <c r="BB360" i="8"/>
  <c r="BA360" i="8"/>
  <c r="AZ360" i="8"/>
  <c r="AY360" i="8"/>
  <c r="AX360" i="8"/>
  <c r="AW360" i="8"/>
  <c r="AV360" i="8"/>
  <c r="AU360" i="8"/>
  <c r="T360" i="8"/>
  <c r="L360" i="8"/>
  <c r="H360" i="8"/>
  <c r="G360" i="8"/>
  <c r="F360" i="8"/>
  <c r="E360" i="8"/>
  <c r="D360" i="8"/>
  <c r="C360" i="8"/>
  <c r="B360" i="8"/>
  <c r="BJ359" i="8"/>
  <c r="BI359" i="8"/>
  <c r="BH359" i="8"/>
  <c r="BG359" i="8"/>
  <c r="BF359" i="8"/>
  <c r="BE359" i="8"/>
  <c r="BD359" i="8"/>
  <c r="BC359" i="8"/>
  <c r="BB359" i="8"/>
  <c r="BA359" i="8"/>
  <c r="AZ359" i="8"/>
  <c r="AY359" i="8"/>
  <c r="AX359" i="8"/>
  <c r="AW359" i="8"/>
  <c r="AV359" i="8"/>
  <c r="AU359" i="8"/>
  <c r="S359" i="8"/>
  <c r="R359" i="8"/>
  <c r="P359" i="8"/>
  <c r="N359" i="8"/>
  <c r="M359" i="8"/>
  <c r="L359" i="8"/>
  <c r="J359" i="8"/>
  <c r="I359" i="8"/>
  <c r="H359" i="8"/>
  <c r="G359" i="8"/>
  <c r="F359" i="8"/>
  <c r="E359" i="8"/>
  <c r="D359" i="8"/>
  <c r="C359" i="8"/>
  <c r="B359" i="8"/>
  <c r="BJ358" i="8"/>
  <c r="BI358" i="8"/>
  <c r="BH358" i="8"/>
  <c r="BG358" i="8"/>
  <c r="BF358" i="8"/>
  <c r="BE358" i="8"/>
  <c r="BD358" i="8"/>
  <c r="BC358" i="8"/>
  <c r="BB358" i="8"/>
  <c r="BA358" i="8"/>
  <c r="AZ358" i="8"/>
  <c r="AY358" i="8"/>
  <c r="AX358" i="8"/>
  <c r="AW358" i="8"/>
  <c r="AV358" i="8"/>
  <c r="AU358" i="8"/>
  <c r="T358" i="8"/>
  <c r="L358" i="8"/>
  <c r="H358" i="8"/>
  <c r="G358" i="8"/>
  <c r="F358" i="8"/>
  <c r="E358" i="8"/>
  <c r="D358" i="8"/>
  <c r="C358" i="8"/>
  <c r="B358" i="8"/>
  <c r="BJ357" i="8"/>
  <c r="BI357" i="8"/>
  <c r="BH357" i="8"/>
  <c r="BG357" i="8"/>
  <c r="BF357" i="8"/>
  <c r="BE357" i="8"/>
  <c r="BD357" i="8"/>
  <c r="BC357" i="8"/>
  <c r="BB357" i="8"/>
  <c r="BA357" i="8"/>
  <c r="AZ357" i="8"/>
  <c r="AY357" i="8"/>
  <c r="AX357" i="8"/>
  <c r="AW357" i="8"/>
  <c r="AV357" i="8"/>
  <c r="AU357" i="8"/>
  <c r="S357" i="8"/>
  <c r="R357" i="8"/>
  <c r="P357" i="8"/>
  <c r="N357" i="8"/>
  <c r="M357" i="8"/>
  <c r="L357" i="8"/>
  <c r="J357" i="8"/>
  <c r="I357" i="8"/>
  <c r="H357" i="8"/>
  <c r="G357" i="8"/>
  <c r="F357" i="8"/>
  <c r="E357" i="8"/>
  <c r="D357" i="8"/>
  <c r="C357" i="8"/>
  <c r="B357" i="8"/>
  <c r="BJ356" i="8"/>
  <c r="BI356" i="8"/>
  <c r="BH356" i="8"/>
  <c r="BG356" i="8"/>
  <c r="BF356" i="8"/>
  <c r="BE356" i="8"/>
  <c r="BD356" i="8"/>
  <c r="BC356" i="8"/>
  <c r="BB356" i="8"/>
  <c r="BA356" i="8"/>
  <c r="AZ356" i="8"/>
  <c r="AY356" i="8"/>
  <c r="AX356" i="8"/>
  <c r="AW356" i="8"/>
  <c r="AV356" i="8"/>
  <c r="AU356" i="8"/>
  <c r="S356" i="8"/>
  <c r="R356" i="8"/>
  <c r="P356" i="8"/>
  <c r="N356" i="8"/>
  <c r="M356" i="8"/>
  <c r="L356" i="8"/>
  <c r="J356" i="8"/>
  <c r="I356" i="8"/>
  <c r="H356" i="8"/>
  <c r="G356" i="8"/>
  <c r="F356" i="8"/>
  <c r="E356" i="8"/>
  <c r="D356" i="8"/>
  <c r="C356" i="8"/>
  <c r="B356" i="8"/>
  <c r="BJ355" i="8"/>
  <c r="BI355" i="8"/>
  <c r="BH355" i="8"/>
  <c r="BG355" i="8"/>
  <c r="BF355" i="8"/>
  <c r="BE355" i="8"/>
  <c r="BD355" i="8"/>
  <c r="BC355" i="8"/>
  <c r="BB355" i="8"/>
  <c r="BA355" i="8"/>
  <c r="AZ355" i="8"/>
  <c r="AY355" i="8"/>
  <c r="AX355" i="8"/>
  <c r="AW355" i="8"/>
  <c r="AV355" i="8"/>
  <c r="AU355" i="8"/>
  <c r="S355" i="8"/>
  <c r="R355" i="8"/>
  <c r="P355" i="8"/>
  <c r="N355" i="8"/>
  <c r="M355" i="8"/>
  <c r="L355" i="8"/>
  <c r="J355" i="8"/>
  <c r="I355" i="8"/>
  <c r="H355" i="8"/>
  <c r="G355" i="8"/>
  <c r="F355" i="8"/>
  <c r="E355" i="8"/>
  <c r="D355" i="8"/>
  <c r="C355" i="8"/>
  <c r="B355" i="8"/>
  <c r="BJ354" i="8"/>
  <c r="BI354" i="8"/>
  <c r="BH354" i="8"/>
  <c r="BG354" i="8"/>
  <c r="BF354" i="8"/>
  <c r="BE354" i="8"/>
  <c r="BD354" i="8"/>
  <c r="BC354" i="8"/>
  <c r="BB354" i="8"/>
  <c r="BA354" i="8"/>
  <c r="AZ354" i="8"/>
  <c r="AY354" i="8"/>
  <c r="AX354" i="8"/>
  <c r="AW354" i="8"/>
  <c r="AV354" i="8"/>
  <c r="AU354" i="8"/>
  <c r="U354" i="8"/>
  <c r="S354" i="8"/>
  <c r="R354" i="8"/>
  <c r="Q354" i="8"/>
  <c r="P354" i="8"/>
  <c r="O354" i="8"/>
  <c r="N354" i="8"/>
  <c r="M354" i="8"/>
  <c r="L354" i="8"/>
  <c r="K354" i="8"/>
  <c r="J354" i="8"/>
  <c r="I354" i="8"/>
  <c r="H354" i="8"/>
  <c r="G354" i="8"/>
  <c r="F354" i="8"/>
  <c r="E354" i="8"/>
  <c r="D354" i="8"/>
  <c r="C354" i="8"/>
  <c r="B354" i="8"/>
  <c r="BJ353" i="8"/>
  <c r="BI353" i="8"/>
  <c r="BH353" i="8"/>
  <c r="BG353" i="8"/>
  <c r="BF353" i="8"/>
  <c r="BE353" i="8"/>
  <c r="BD353" i="8"/>
  <c r="BC353" i="8"/>
  <c r="BB353" i="8"/>
  <c r="BA353" i="8"/>
  <c r="AZ353" i="8"/>
  <c r="AY353" i="8"/>
  <c r="AX353" i="8"/>
  <c r="AW353" i="8"/>
  <c r="AV353" i="8"/>
  <c r="AU353" i="8"/>
  <c r="S353" i="8"/>
  <c r="R353" i="8"/>
  <c r="P353" i="8"/>
  <c r="N353" i="8"/>
  <c r="M353" i="8"/>
  <c r="L353" i="8"/>
  <c r="J353" i="8"/>
  <c r="I353" i="8"/>
  <c r="H353" i="8"/>
  <c r="G353" i="8"/>
  <c r="F353" i="8"/>
  <c r="E353" i="8"/>
  <c r="D353" i="8"/>
  <c r="C353" i="8"/>
  <c r="B353" i="8"/>
  <c r="BJ352" i="8"/>
  <c r="BI352" i="8"/>
  <c r="BH352" i="8"/>
  <c r="BG352" i="8"/>
  <c r="BF352" i="8"/>
  <c r="BE352" i="8"/>
  <c r="BD352" i="8"/>
  <c r="BC352" i="8"/>
  <c r="BB352" i="8"/>
  <c r="BA352" i="8"/>
  <c r="AZ352" i="8"/>
  <c r="AY352" i="8"/>
  <c r="AX352" i="8"/>
  <c r="AW352" i="8"/>
  <c r="AV352" i="8"/>
  <c r="AU352" i="8"/>
  <c r="S352" i="8"/>
  <c r="R352" i="8"/>
  <c r="P352" i="8"/>
  <c r="N352" i="8"/>
  <c r="M352" i="8"/>
  <c r="L352" i="8"/>
  <c r="J352" i="8"/>
  <c r="I352" i="8"/>
  <c r="H352" i="8"/>
  <c r="G352" i="8"/>
  <c r="F352" i="8"/>
  <c r="E352" i="8"/>
  <c r="D352" i="8"/>
  <c r="C352" i="8"/>
  <c r="B352" i="8"/>
  <c r="BJ351" i="8"/>
  <c r="BI351" i="8"/>
  <c r="BH351" i="8"/>
  <c r="BG351" i="8"/>
  <c r="BF351" i="8"/>
  <c r="BE351" i="8"/>
  <c r="BD351" i="8"/>
  <c r="BC351" i="8"/>
  <c r="BB351" i="8"/>
  <c r="BA351" i="8"/>
  <c r="AZ351" i="8"/>
  <c r="AY351" i="8"/>
  <c r="AX351" i="8"/>
  <c r="AW351" i="8"/>
  <c r="AV351" i="8"/>
  <c r="AU351" i="8"/>
  <c r="S351" i="8"/>
  <c r="R351" i="8"/>
  <c r="P351" i="8"/>
  <c r="N351" i="8"/>
  <c r="M351" i="8"/>
  <c r="L351" i="8"/>
  <c r="J351" i="8"/>
  <c r="I351" i="8"/>
  <c r="H351" i="8"/>
  <c r="G351" i="8"/>
  <c r="F351" i="8"/>
  <c r="E351" i="8"/>
  <c r="D351" i="8"/>
  <c r="C351" i="8"/>
  <c r="B351" i="8"/>
  <c r="BJ350" i="8"/>
  <c r="BI350" i="8"/>
  <c r="BH350" i="8"/>
  <c r="BG350" i="8"/>
  <c r="BF350" i="8"/>
  <c r="BE350" i="8"/>
  <c r="BD350" i="8"/>
  <c r="BC350" i="8"/>
  <c r="BB350" i="8"/>
  <c r="BA350" i="8"/>
  <c r="AZ350" i="8"/>
  <c r="AY350" i="8"/>
  <c r="AX350" i="8"/>
  <c r="AW350" i="8"/>
  <c r="AV350" i="8"/>
  <c r="AU350" i="8"/>
  <c r="S350" i="8"/>
  <c r="R350" i="8"/>
  <c r="P350" i="8"/>
  <c r="N350" i="8"/>
  <c r="M350" i="8"/>
  <c r="L350" i="8"/>
  <c r="J350" i="8"/>
  <c r="I350" i="8"/>
  <c r="H350" i="8"/>
  <c r="G350" i="8"/>
  <c r="F350" i="8"/>
  <c r="E350" i="8"/>
  <c r="D350" i="8"/>
  <c r="C350" i="8"/>
  <c r="B350" i="8"/>
  <c r="BJ349" i="8"/>
  <c r="BI349" i="8"/>
  <c r="BH349" i="8"/>
  <c r="BG349" i="8"/>
  <c r="BF349" i="8"/>
  <c r="BE349" i="8"/>
  <c r="BD349" i="8"/>
  <c r="BC349" i="8"/>
  <c r="BB349" i="8"/>
  <c r="BA349" i="8"/>
  <c r="AZ349" i="8"/>
  <c r="AY349" i="8"/>
  <c r="AX349" i="8"/>
  <c r="AW349" i="8"/>
  <c r="AV349" i="8"/>
  <c r="AU349" i="8"/>
  <c r="S349" i="8"/>
  <c r="R349" i="8"/>
  <c r="P349" i="8"/>
  <c r="N349" i="8"/>
  <c r="M349" i="8"/>
  <c r="L349" i="8"/>
  <c r="J349" i="8"/>
  <c r="I349" i="8"/>
  <c r="H349" i="8"/>
  <c r="G349" i="8"/>
  <c r="F349" i="8"/>
  <c r="E349" i="8"/>
  <c r="D349" i="8"/>
  <c r="C349" i="8"/>
  <c r="B349" i="8"/>
  <c r="BJ348" i="8"/>
  <c r="BI348" i="8"/>
  <c r="BH348" i="8"/>
  <c r="BG348" i="8"/>
  <c r="BF348" i="8"/>
  <c r="BE348" i="8"/>
  <c r="BD348" i="8"/>
  <c r="BC348" i="8"/>
  <c r="BB348" i="8"/>
  <c r="BA348" i="8"/>
  <c r="AZ348" i="8"/>
  <c r="AY348" i="8"/>
  <c r="AX348" i="8"/>
  <c r="AW348" i="8"/>
  <c r="AV348" i="8"/>
  <c r="AU348" i="8"/>
  <c r="L348" i="8"/>
  <c r="H348" i="8"/>
  <c r="G348" i="8"/>
  <c r="F348" i="8"/>
  <c r="E348" i="8"/>
  <c r="D348" i="8"/>
  <c r="C348" i="8"/>
  <c r="B348" i="8"/>
  <c r="BJ347" i="8"/>
  <c r="BI347" i="8"/>
  <c r="BH347" i="8"/>
  <c r="BG347" i="8"/>
  <c r="BF347" i="8"/>
  <c r="BE347" i="8"/>
  <c r="BD347" i="8"/>
  <c r="BC347" i="8"/>
  <c r="BB347" i="8"/>
  <c r="BA347" i="8"/>
  <c r="AZ347" i="8"/>
  <c r="AY347" i="8"/>
  <c r="AX347" i="8"/>
  <c r="AW347" i="8"/>
  <c r="AV347" i="8"/>
  <c r="AU347" i="8"/>
  <c r="S347" i="8"/>
  <c r="R347" i="8"/>
  <c r="P347" i="8"/>
  <c r="O347" i="8"/>
  <c r="N347" i="8"/>
  <c r="M347" i="8"/>
  <c r="L347" i="8"/>
  <c r="H347" i="8"/>
  <c r="G347" i="8"/>
  <c r="F347" i="8"/>
  <c r="E347" i="8"/>
  <c r="D347" i="8"/>
  <c r="C347" i="8"/>
  <c r="B347" i="8"/>
  <c r="BJ346" i="8"/>
  <c r="BI346" i="8"/>
  <c r="BH346" i="8"/>
  <c r="BG346" i="8"/>
  <c r="BF346" i="8"/>
  <c r="BE346" i="8"/>
  <c r="BD346" i="8"/>
  <c r="BC346" i="8"/>
  <c r="BB346" i="8"/>
  <c r="BA346" i="8"/>
  <c r="AZ346" i="8"/>
  <c r="AY346" i="8"/>
  <c r="AX346" i="8"/>
  <c r="AW346" i="8"/>
  <c r="AV346" i="8"/>
  <c r="AU346" i="8"/>
  <c r="S346" i="8"/>
  <c r="R346" i="8"/>
  <c r="P346" i="8"/>
  <c r="O346" i="8"/>
  <c r="N346" i="8"/>
  <c r="M346" i="8"/>
  <c r="L346" i="8"/>
  <c r="H346" i="8"/>
  <c r="G346" i="8"/>
  <c r="F346" i="8"/>
  <c r="E346" i="8"/>
  <c r="D346" i="8"/>
  <c r="C346" i="8"/>
  <c r="B346" i="8"/>
  <c r="BJ345" i="8"/>
  <c r="BI345" i="8"/>
  <c r="BH345" i="8"/>
  <c r="BG345" i="8"/>
  <c r="BF345" i="8"/>
  <c r="BE345" i="8"/>
  <c r="BD345" i="8"/>
  <c r="BC345" i="8"/>
  <c r="BB345" i="8"/>
  <c r="BA345" i="8"/>
  <c r="AZ345" i="8"/>
  <c r="AY345" i="8"/>
  <c r="AX345" i="8"/>
  <c r="AW345" i="8"/>
  <c r="AV345" i="8"/>
  <c r="AU345" i="8"/>
  <c r="S345" i="8"/>
  <c r="R345" i="8"/>
  <c r="P345" i="8"/>
  <c r="O345" i="8"/>
  <c r="N345" i="8"/>
  <c r="M345" i="8"/>
  <c r="L345" i="8"/>
  <c r="H345" i="8"/>
  <c r="G345" i="8"/>
  <c r="F345" i="8"/>
  <c r="E345" i="8"/>
  <c r="D345" i="8"/>
  <c r="C345" i="8"/>
  <c r="B345" i="8"/>
  <c r="BJ344" i="8"/>
  <c r="BI344" i="8"/>
  <c r="BH344" i="8"/>
  <c r="BG344" i="8"/>
  <c r="BF344" i="8"/>
  <c r="BE344" i="8"/>
  <c r="BD344" i="8"/>
  <c r="BC344" i="8"/>
  <c r="BB344" i="8"/>
  <c r="BA344" i="8"/>
  <c r="AZ344" i="8"/>
  <c r="AY344" i="8"/>
  <c r="AX344" i="8"/>
  <c r="AW344" i="8"/>
  <c r="AV344" i="8"/>
  <c r="AU344" i="8"/>
  <c r="T344" i="8"/>
  <c r="L344" i="8"/>
  <c r="H344" i="8"/>
  <c r="G344" i="8"/>
  <c r="F344" i="8"/>
  <c r="E344" i="8"/>
  <c r="D344" i="8"/>
  <c r="C344" i="8"/>
  <c r="B344" i="8"/>
  <c r="A344" i="8"/>
  <c r="BJ343" i="8"/>
  <c r="BI343" i="8"/>
  <c r="BH343" i="8"/>
  <c r="BG343" i="8"/>
  <c r="BF343" i="8"/>
  <c r="BE343" i="8"/>
  <c r="BD343" i="8"/>
  <c r="BC343" i="8"/>
  <c r="BB343" i="8"/>
  <c r="BA343" i="8"/>
  <c r="AZ343" i="8"/>
  <c r="AY343" i="8"/>
  <c r="AX343" i="8"/>
  <c r="AW343" i="8"/>
  <c r="AV343" i="8"/>
  <c r="AU343" i="8"/>
  <c r="T343" i="8"/>
  <c r="L343" i="8"/>
  <c r="H343" i="8"/>
  <c r="G343" i="8"/>
  <c r="F343" i="8"/>
  <c r="E343" i="8"/>
  <c r="D343" i="8"/>
  <c r="C343" i="8"/>
  <c r="B343" i="8"/>
  <c r="A343" i="8"/>
  <c r="BJ342" i="8"/>
  <c r="BI342" i="8"/>
  <c r="BH342" i="8"/>
  <c r="BG342" i="8"/>
  <c r="BF342" i="8"/>
  <c r="BE342" i="8"/>
  <c r="BD342" i="8"/>
  <c r="BC342" i="8"/>
  <c r="BB342" i="8"/>
  <c r="BA342" i="8"/>
  <c r="AZ342" i="8"/>
  <c r="AY342" i="8"/>
  <c r="AX342" i="8"/>
  <c r="AW342" i="8"/>
  <c r="AV342" i="8"/>
  <c r="AU342" i="8"/>
  <c r="T342" i="8"/>
  <c r="L342" i="8"/>
  <c r="H342" i="8"/>
  <c r="G342" i="8"/>
  <c r="F342" i="8"/>
  <c r="E342" i="8"/>
  <c r="D342" i="8"/>
  <c r="C342" i="8"/>
  <c r="B342" i="8"/>
  <c r="A342" i="8"/>
  <c r="BJ341" i="8"/>
  <c r="BI341" i="8"/>
  <c r="BH341" i="8"/>
  <c r="BG341" i="8"/>
  <c r="BF341" i="8"/>
  <c r="BE341" i="8"/>
  <c r="BD341" i="8"/>
  <c r="BC341" i="8"/>
  <c r="BB341" i="8"/>
  <c r="BA341" i="8"/>
  <c r="AZ341" i="8"/>
  <c r="AY341" i="8"/>
  <c r="AX341" i="8"/>
  <c r="AW341" i="8"/>
  <c r="AV341" i="8"/>
  <c r="AU341" i="8"/>
  <c r="T341" i="8"/>
  <c r="L341" i="8"/>
  <c r="H341" i="8"/>
  <c r="G341" i="8"/>
  <c r="F341" i="8"/>
  <c r="E341" i="8"/>
  <c r="D341" i="8"/>
  <c r="C341" i="8"/>
  <c r="B341" i="8"/>
  <c r="A341" i="8"/>
  <c r="BJ340" i="8"/>
  <c r="BI340" i="8"/>
  <c r="BH340" i="8"/>
  <c r="BG340" i="8"/>
  <c r="BF340" i="8"/>
  <c r="BE340" i="8"/>
  <c r="BD340" i="8"/>
  <c r="BC340" i="8"/>
  <c r="BB340" i="8"/>
  <c r="BA340" i="8"/>
  <c r="AZ340" i="8"/>
  <c r="AY340" i="8"/>
  <c r="AX340" i="8"/>
  <c r="AW340" i="8"/>
  <c r="AV340" i="8"/>
  <c r="AU340" i="8"/>
  <c r="T340" i="8"/>
  <c r="L340" i="8"/>
  <c r="H340" i="8"/>
  <c r="G340" i="8"/>
  <c r="F340" i="8"/>
  <c r="E340" i="8"/>
  <c r="D340" i="8"/>
  <c r="C340" i="8"/>
  <c r="B340" i="8"/>
  <c r="A340" i="8"/>
  <c r="BJ339" i="8"/>
  <c r="BI339" i="8"/>
  <c r="BH339" i="8"/>
  <c r="BG339" i="8"/>
  <c r="BF339" i="8"/>
  <c r="BE339" i="8"/>
  <c r="BD339" i="8"/>
  <c r="BC339" i="8"/>
  <c r="BB339" i="8"/>
  <c r="BA339" i="8"/>
  <c r="AZ339" i="8"/>
  <c r="AY339" i="8"/>
  <c r="AX339" i="8"/>
  <c r="AW339" i="8"/>
  <c r="AV339" i="8"/>
  <c r="AU339" i="8"/>
  <c r="T339" i="8"/>
  <c r="L339" i="8"/>
  <c r="H339" i="8"/>
  <c r="G339" i="8"/>
  <c r="F339" i="8"/>
  <c r="E339" i="8"/>
  <c r="D339" i="8"/>
  <c r="C339" i="8"/>
  <c r="B339" i="8"/>
  <c r="A339" i="8"/>
  <c r="BJ338" i="8"/>
  <c r="BI338" i="8"/>
  <c r="BH338" i="8"/>
  <c r="BG338" i="8"/>
  <c r="BF338" i="8"/>
  <c r="BE338" i="8"/>
  <c r="BD338" i="8"/>
  <c r="BC338" i="8"/>
  <c r="BB338" i="8"/>
  <c r="BA338" i="8"/>
  <c r="AZ338" i="8"/>
  <c r="AY338" i="8"/>
  <c r="AX338" i="8"/>
  <c r="AW338" i="8"/>
  <c r="AV338" i="8"/>
  <c r="AU338" i="8"/>
  <c r="T338" i="8"/>
  <c r="L338" i="8"/>
  <c r="H338" i="8"/>
  <c r="G338" i="8"/>
  <c r="F338" i="8"/>
  <c r="E338" i="8"/>
  <c r="D338" i="8"/>
  <c r="C338" i="8"/>
  <c r="B338" i="8"/>
  <c r="A338" i="8"/>
  <c r="BJ337" i="8"/>
  <c r="BI337" i="8"/>
  <c r="BH337" i="8"/>
  <c r="BG337" i="8"/>
  <c r="BF337" i="8"/>
  <c r="BE337" i="8"/>
  <c r="BD337" i="8"/>
  <c r="BC337" i="8"/>
  <c r="BB337" i="8"/>
  <c r="BA337" i="8"/>
  <c r="AZ337" i="8"/>
  <c r="AY337" i="8"/>
  <c r="AX337" i="8"/>
  <c r="AW337" i="8"/>
  <c r="AV337" i="8"/>
  <c r="AU337" i="8"/>
  <c r="T337" i="8"/>
  <c r="L337" i="8"/>
  <c r="H337" i="8"/>
  <c r="G337" i="8"/>
  <c r="F337" i="8"/>
  <c r="E337" i="8"/>
  <c r="D337" i="8"/>
  <c r="C337" i="8"/>
  <c r="B337" i="8"/>
  <c r="A337" i="8"/>
  <c r="BJ336" i="8"/>
  <c r="BI336" i="8"/>
  <c r="BH336" i="8"/>
  <c r="BG336" i="8"/>
  <c r="BF336" i="8"/>
  <c r="BE336" i="8"/>
  <c r="BD336" i="8"/>
  <c r="BC336" i="8"/>
  <c r="BB336" i="8"/>
  <c r="BA336" i="8"/>
  <c r="AZ336" i="8"/>
  <c r="AY336" i="8"/>
  <c r="AX336" i="8"/>
  <c r="AW336" i="8"/>
  <c r="AV336" i="8"/>
  <c r="AU336" i="8"/>
  <c r="T336" i="8"/>
  <c r="L336" i="8"/>
  <c r="H336" i="8"/>
  <c r="G336" i="8"/>
  <c r="F336" i="8"/>
  <c r="E336" i="8"/>
  <c r="D336" i="8"/>
  <c r="C336" i="8"/>
  <c r="B336" i="8"/>
  <c r="A336" i="8"/>
  <c r="BJ335" i="8"/>
  <c r="BI335" i="8"/>
  <c r="BH335" i="8"/>
  <c r="BG335" i="8"/>
  <c r="BF335" i="8"/>
  <c r="BE335" i="8"/>
  <c r="BD335" i="8"/>
  <c r="BC335" i="8"/>
  <c r="BB335" i="8"/>
  <c r="BA335" i="8"/>
  <c r="AZ335" i="8"/>
  <c r="AY335" i="8"/>
  <c r="AX335" i="8"/>
  <c r="AW335" i="8"/>
  <c r="AV335" i="8"/>
  <c r="AU335" i="8"/>
  <c r="T335" i="8"/>
  <c r="L335" i="8"/>
  <c r="H335" i="8"/>
  <c r="G335" i="8"/>
  <c r="F335" i="8"/>
  <c r="E335" i="8"/>
  <c r="D335" i="8"/>
  <c r="C335" i="8"/>
  <c r="B335" i="8"/>
  <c r="A335" i="8"/>
  <c r="BJ334" i="8"/>
  <c r="BI334" i="8"/>
  <c r="BH334" i="8"/>
  <c r="BG334" i="8"/>
  <c r="BF334" i="8"/>
  <c r="BE334" i="8"/>
  <c r="BD334" i="8"/>
  <c r="BC334" i="8"/>
  <c r="BB334" i="8"/>
  <c r="BA334" i="8"/>
  <c r="AZ334" i="8"/>
  <c r="AY334" i="8"/>
  <c r="AX334" i="8"/>
  <c r="AW334" i="8"/>
  <c r="AV334" i="8"/>
  <c r="AU334" i="8"/>
  <c r="S334" i="8"/>
  <c r="R334" i="8"/>
  <c r="Q334" i="8"/>
  <c r="P334" i="8"/>
  <c r="O334" i="8"/>
  <c r="N334" i="8"/>
  <c r="M334" i="8"/>
  <c r="L334" i="8"/>
  <c r="J334" i="8"/>
  <c r="I334" i="8"/>
  <c r="H334" i="8"/>
  <c r="G334" i="8"/>
  <c r="F334" i="8"/>
  <c r="E334" i="8"/>
  <c r="D334" i="8"/>
  <c r="C334" i="8"/>
  <c r="B334" i="8"/>
  <c r="BJ333" i="8"/>
  <c r="BI333" i="8"/>
  <c r="BH333" i="8"/>
  <c r="BG333" i="8"/>
  <c r="BF333" i="8"/>
  <c r="BE333" i="8"/>
  <c r="BD333" i="8"/>
  <c r="BC333" i="8"/>
  <c r="BB333" i="8"/>
  <c r="BA333" i="8"/>
  <c r="AZ333" i="8"/>
  <c r="AY333" i="8"/>
  <c r="AX333" i="8"/>
  <c r="AW333" i="8"/>
  <c r="AV333" i="8"/>
  <c r="AU333" i="8"/>
  <c r="S333" i="8"/>
  <c r="R333" i="8"/>
  <c r="Q333" i="8"/>
  <c r="P333" i="8"/>
  <c r="O333" i="8"/>
  <c r="N333" i="8"/>
  <c r="M333" i="8"/>
  <c r="L333" i="8"/>
  <c r="J333" i="8"/>
  <c r="I333" i="8"/>
  <c r="H333" i="8"/>
  <c r="G333" i="8"/>
  <c r="F333" i="8"/>
  <c r="E333" i="8"/>
  <c r="D333" i="8"/>
  <c r="C333" i="8"/>
  <c r="B333" i="8"/>
  <c r="BJ332" i="8"/>
  <c r="BI332" i="8"/>
  <c r="BH332" i="8"/>
  <c r="BG332" i="8"/>
  <c r="BF332" i="8"/>
  <c r="BE332" i="8"/>
  <c r="BD332" i="8"/>
  <c r="BC332" i="8"/>
  <c r="BB332" i="8"/>
  <c r="BA332" i="8"/>
  <c r="AZ332" i="8"/>
  <c r="AY332" i="8"/>
  <c r="AX332" i="8"/>
  <c r="AW332" i="8"/>
  <c r="AV332" i="8"/>
  <c r="AU332" i="8"/>
  <c r="S332" i="8"/>
  <c r="R332" i="8"/>
  <c r="Q332" i="8"/>
  <c r="P332" i="8"/>
  <c r="O332" i="8"/>
  <c r="N332" i="8"/>
  <c r="M332" i="8"/>
  <c r="L332" i="8"/>
  <c r="J332" i="8"/>
  <c r="I332" i="8"/>
  <c r="H332" i="8"/>
  <c r="G332" i="8"/>
  <c r="F332" i="8"/>
  <c r="E332" i="8"/>
  <c r="D332" i="8"/>
  <c r="C332" i="8"/>
  <c r="B332" i="8"/>
  <c r="BJ331" i="8"/>
  <c r="BI331" i="8"/>
  <c r="BH331" i="8"/>
  <c r="BG331" i="8"/>
  <c r="BF331" i="8"/>
  <c r="BE331" i="8"/>
  <c r="BD331" i="8"/>
  <c r="BC331" i="8"/>
  <c r="BB331" i="8"/>
  <c r="BA331" i="8"/>
  <c r="AZ331" i="8"/>
  <c r="AY331" i="8"/>
  <c r="AX331" i="8"/>
  <c r="AW331" i="8"/>
  <c r="AV331" i="8"/>
  <c r="AU331" i="8"/>
  <c r="S331" i="8"/>
  <c r="R331" i="8"/>
  <c r="Q331" i="8"/>
  <c r="P331" i="8"/>
  <c r="O331" i="8"/>
  <c r="N331" i="8"/>
  <c r="M331" i="8"/>
  <c r="L331" i="8"/>
  <c r="J331" i="8"/>
  <c r="I331" i="8"/>
  <c r="H331" i="8"/>
  <c r="G331" i="8"/>
  <c r="F331" i="8"/>
  <c r="E331" i="8"/>
  <c r="D331" i="8"/>
  <c r="C331" i="8"/>
  <c r="B331" i="8"/>
  <c r="BJ330" i="8"/>
  <c r="BI330" i="8"/>
  <c r="BH330" i="8"/>
  <c r="BG330" i="8"/>
  <c r="BF330" i="8"/>
  <c r="BE330" i="8"/>
  <c r="BD330" i="8"/>
  <c r="BC330" i="8"/>
  <c r="BB330" i="8"/>
  <c r="BA330" i="8"/>
  <c r="AZ330" i="8"/>
  <c r="AY330" i="8"/>
  <c r="AX330" i="8"/>
  <c r="AW330" i="8"/>
  <c r="AV330" i="8"/>
  <c r="AU330" i="8"/>
  <c r="S330" i="8"/>
  <c r="R330" i="8"/>
  <c r="Q330" i="8"/>
  <c r="P330" i="8"/>
  <c r="O330" i="8"/>
  <c r="N330" i="8"/>
  <c r="M330" i="8"/>
  <c r="L330" i="8"/>
  <c r="J330" i="8"/>
  <c r="I330" i="8"/>
  <c r="H330" i="8"/>
  <c r="G330" i="8"/>
  <c r="F330" i="8"/>
  <c r="E330" i="8"/>
  <c r="D330" i="8"/>
  <c r="C330" i="8"/>
  <c r="B330" i="8"/>
  <c r="BJ329" i="8"/>
  <c r="BI329" i="8"/>
  <c r="BH329" i="8"/>
  <c r="BG329" i="8"/>
  <c r="BF329" i="8"/>
  <c r="BE329" i="8"/>
  <c r="BD329" i="8"/>
  <c r="BC329" i="8"/>
  <c r="BB329" i="8"/>
  <c r="BA329" i="8"/>
  <c r="AZ329" i="8"/>
  <c r="AY329" i="8"/>
  <c r="AX329" i="8"/>
  <c r="AW329" i="8"/>
  <c r="AV329" i="8"/>
  <c r="AU329" i="8"/>
  <c r="S329" i="8"/>
  <c r="R329" i="8"/>
  <c r="Q329" i="8"/>
  <c r="P329" i="8"/>
  <c r="O329" i="8"/>
  <c r="N329" i="8"/>
  <c r="M329" i="8"/>
  <c r="L329" i="8"/>
  <c r="J329" i="8"/>
  <c r="I329" i="8"/>
  <c r="H329" i="8"/>
  <c r="G329" i="8"/>
  <c r="F329" i="8"/>
  <c r="E329" i="8"/>
  <c r="D329" i="8"/>
  <c r="C329" i="8"/>
  <c r="B329" i="8"/>
  <c r="BJ328" i="8"/>
  <c r="BI328" i="8"/>
  <c r="BH328" i="8"/>
  <c r="BG328" i="8"/>
  <c r="BF328" i="8"/>
  <c r="BE328" i="8"/>
  <c r="BD328" i="8"/>
  <c r="BC328" i="8"/>
  <c r="BB328" i="8"/>
  <c r="BA328" i="8"/>
  <c r="AZ328" i="8"/>
  <c r="AY328" i="8"/>
  <c r="AX328" i="8"/>
  <c r="AW328" i="8"/>
  <c r="AV328" i="8"/>
  <c r="AU328" i="8"/>
  <c r="S328" i="8"/>
  <c r="R328" i="8"/>
  <c r="Q328" i="8"/>
  <c r="P328" i="8"/>
  <c r="O328" i="8"/>
  <c r="N328" i="8"/>
  <c r="M328" i="8"/>
  <c r="L328" i="8"/>
  <c r="J328" i="8"/>
  <c r="I328" i="8"/>
  <c r="H328" i="8"/>
  <c r="G328" i="8"/>
  <c r="F328" i="8"/>
  <c r="E328" i="8"/>
  <c r="D328" i="8"/>
  <c r="C328" i="8"/>
  <c r="B328" i="8"/>
  <c r="BJ327" i="8"/>
  <c r="BI327" i="8"/>
  <c r="BH327" i="8"/>
  <c r="BG327" i="8"/>
  <c r="BF327" i="8"/>
  <c r="BE327" i="8"/>
  <c r="BD327" i="8"/>
  <c r="BC327" i="8"/>
  <c r="BB327" i="8"/>
  <c r="BA327" i="8"/>
  <c r="AZ327" i="8"/>
  <c r="AY327" i="8"/>
  <c r="AX327" i="8"/>
  <c r="AW327" i="8"/>
  <c r="AV327" i="8"/>
  <c r="AU327" i="8"/>
  <c r="U327" i="8"/>
  <c r="S327" i="8"/>
  <c r="R327" i="8"/>
  <c r="M327" i="8"/>
  <c r="L327" i="8"/>
  <c r="J327" i="8"/>
  <c r="I327" i="8"/>
  <c r="H327" i="8"/>
  <c r="G327" i="8"/>
  <c r="F327" i="8"/>
  <c r="E327" i="8"/>
  <c r="D327" i="8"/>
  <c r="C327" i="8"/>
  <c r="B327" i="8"/>
  <c r="BJ326" i="8"/>
  <c r="BI326" i="8"/>
  <c r="BH326" i="8"/>
  <c r="BG326" i="8"/>
  <c r="BF326" i="8"/>
  <c r="BE326" i="8"/>
  <c r="BD326" i="8"/>
  <c r="BC326" i="8"/>
  <c r="BB326" i="8"/>
  <c r="BA326" i="8"/>
  <c r="AZ326" i="8"/>
  <c r="AY326" i="8"/>
  <c r="AX326" i="8"/>
  <c r="AW326" i="8"/>
  <c r="AV326" i="8"/>
  <c r="AU326" i="8"/>
  <c r="U326" i="8"/>
  <c r="S326" i="8"/>
  <c r="R326" i="8"/>
  <c r="M326" i="8"/>
  <c r="L326" i="8"/>
  <c r="J326" i="8"/>
  <c r="I326" i="8"/>
  <c r="H326" i="8"/>
  <c r="G326" i="8"/>
  <c r="F326" i="8"/>
  <c r="E326" i="8"/>
  <c r="D326" i="8"/>
  <c r="C326" i="8"/>
  <c r="B326" i="8"/>
  <c r="BJ325" i="8"/>
  <c r="BI325" i="8"/>
  <c r="BH325" i="8"/>
  <c r="BG325" i="8"/>
  <c r="BF325" i="8"/>
  <c r="BE325" i="8"/>
  <c r="BD325" i="8"/>
  <c r="BC325" i="8"/>
  <c r="BB325" i="8"/>
  <c r="BA325" i="8"/>
  <c r="AZ325" i="8"/>
  <c r="AY325" i="8"/>
  <c r="AX325" i="8"/>
  <c r="AW325" i="8"/>
  <c r="AV325" i="8"/>
  <c r="AU325" i="8"/>
  <c r="U325" i="8"/>
  <c r="S325" i="8"/>
  <c r="R325" i="8"/>
  <c r="M325" i="8"/>
  <c r="L325" i="8"/>
  <c r="J325" i="8"/>
  <c r="I325" i="8"/>
  <c r="H325" i="8"/>
  <c r="G325" i="8"/>
  <c r="F325" i="8"/>
  <c r="E325" i="8"/>
  <c r="D325" i="8"/>
  <c r="C325" i="8"/>
  <c r="B325" i="8"/>
  <c r="BJ324" i="8"/>
  <c r="BI324" i="8"/>
  <c r="BH324" i="8"/>
  <c r="BG324" i="8"/>
  <c r="BF324" i="8"/>
  <c r="BE324" i="8"/>
  <c r="BD324" i="8"/>
  <c r="BC324" i="8"/>
  <c r="BB324" i="8"/>
  <c r="BA324" i="8"/>
  <c r="AZ324" i="8"/>
  <c r="AY324" i="8"/>
  <c r="AX324" i="8"/>
  <c r="AW324" i="8"/>
  <c r="AV324" i="8"/>
  <c r="AU324" i="8"/>
  <c r="U324" i="8"/>
  <c r="S324" i="8"/>
  <c r="R324" i="8"/>
  <c r="M324" i="8"/>
  <c r="L324" i="8"/>
  <c r="J324" i="8"/>
  <c r="I324" i="8"/>
  <c r="H324" i="8"/>
  <c r="G324" i="8"/>
  <c r="F324" i="8"/>
  <c r="E324" i="8"/>
  <c r="D324" i="8"/>
  <c r="C324" i="8"/>
  <c r="B324" i="8"/>
  <c r="BJ323" i="8"/>
  <c r="BI323" i="8"/>
  <c r="BH323" i="8"/>
  <c r="BG323" i="8"/>
  <c r="BF323" i="8"/>
  <c r="BE323" i="8"/>
  <c r="BD323" i="8"/>
  <c r="BC323" i="8"/>
  <c r="BB323" i="8"/>
  <c r="BA323" i="8"/>
  <c r="AZ323" i="8"/>
  <c r="AY323" i="8"/>
  <c r="AX323" i="8"/>
  <c r="AW323" i="8"/>
  <c r="AV323" i="8"/>
  <c r="AU323" i="8"/>
  <c r="U323" i="8"/>
  <c r="S323" i="8"/>
  <c r="R323" i="8"/>
  <c r="M323" i="8"/>
  <c r="L323" i="8"/>
  <c r="J323" i="8"/>
  <c r="I323" i="8"/>
  <c r="H323" i="8"/>
  <c r="G323" i="8"/>
  <c r="F323" i="8"/>
  <c r="E323" i="8"/>
  <c r="D323" i="8"/>
  <c r="C323" i="8"/>
  <c r="B323" i="8"/>
  <c r="BJ322" i="8"/>
  <c r="BI322" i="8"/>
  <c r="BH322" i="8"/>
  <c r="BG322" i="8"/>
  <c r="BF322" i="8"/>
  <c r="BE322" i="8"/>
  <c r="BD322" i="8"/>
  <c r="BC322" i="8"/>
  <c r="BB322" i="8"/>
  <c r="BA322" i="8"/>
  <c r="AZ322" i="8"/>
  <c r="AY322" i="8"/>
  <c r="AX322" i="8"/>
  <c r="AW322" i="8"/>
  <c r="AV322" i="8"/>
  <c r="AU322" i="8"/>
  <c r="U322" i="8"/>
  <c r="S322" i="8"/>
  <c r="R322" i="8"/>
  <c r="M322" i="8"/>
  <c r="L322" i="8"/>
  <c r="J322" i="8"/>
  <c r="I322" i="8"/>
  <c r="H322" i="8"/>
  <c r="G322" i="8"/>
  <c r="F322" i="8"/>
  <c r="E322" i="8"/>
  <c r="D322" i="8"/>
  <c r="C322" i="8"/>
  <c r="B322" i="8"/>
  <c r="BJ321" i="8"/>
  <c r="BI321" i="8"/>
  <c r="BH321" i="8"/>
  <c r="BG321" i="8"/>
  <c r="BF321" i="8"/>
  <c r="BE321" i="8"/>
  <c r="BD321" i="8"/>
  <c r="BC321" i="8"/>
  <c r="BB321" i="8"/>
  <c r="BA321" i="8"/>
  <c r="AZ321" i="8"/>
  <c r="AY321" i="8"/>
  <c r="AX321" i="8"/>
  <c r="AW321" i="8"/>
  <c r="AV321" i="8"/>
  <c r="AU321" i="8"/>
  <c r="U321" i="8"/>
  <c r="S321" i="8"/>
  <c r="R321" i="8"/>
  <c r="M321" i="8"/>
  <c r="L321" i="8"/>
  <c r="J321" i="8"/>
  <c r="I321" i="8"/>
  <c r="H321" i="8"/>
  <c r="G321" i="8"/>
  <c r="F321" i="8"/>
  <c r="E321" i="8"/>
  <c r="D321" i="8"/>
  <c r="C321" i="8"/>
  <c r="B321" i="8"/>
  <c r="BJ320" i="8"/>
  <c r="BI320" i="8"/>
  <c r="BH320" i="8"/>
  <c r="BG320" i="8"/>
  <c r="BF320" i="8"/>
  <c r="BE320" i="8"/>
  <c r="BD320" i="8"/>
  <c r="BC320" i="8"/>
  <c r="BB320" i="8"/>
  <c r="BA320" i="8"/>
  <c r="AZ320" i="8"/>
  <c r="AY320" i="8"/>
  <c r="AX320" i="8"/>
  <c r="AW320" i="8"/>
  <c r="AV320" i="8"/>
  <c r="AU320" i="8"/>
  <c r="U320" i="8"/>
  <c r="S320" i="8"/>
  <c r="R320" i="8"/>
  <c r="M320" i="8"/>
  <c r="L320" i="8"/>
  <c r="J320" i="8"/>
  <c r="I320" i="8"/>
  <c r="H320" i="8"/>
  <c r="G320" i="8"/>
  <c r="F320" i="8"/>
  <c r="E320" i="8"/>
  <c r="D320" i="8"/>
  <c r="C320" i="8"/>
  <c r="B320" i="8"/>
  <c r="BJ319" i="8"/>
  <c r="BI319" i="8"/>
  <c r="BH319" i="8"/>
  <c r="BG319" i="8"/>
  <c r="BF319" i="8"/>
  <c r="BE319" i="8"/>
  <c r="BD319" i="8"/>
  <c r="BC319" i="8"/>
  <c r="BB319" i="8"/>
  <c r="BA319" i="8"/>
  <c r="AZ319" i="8"/>
  <c r="AY319" i="8"/>
  <c r="AX319" i="8"/>
  <c r="AW319" i="8"/>
  <c r="AV319" i="8"/>
  <c r="AU319" i="8"/>
  <c r="U319" i="8"/>
  <c r="S319" i="8"/>
  <c r="R319" i="8"/>
  <c r="M319" i="8"/>
  <c r="L319" i="8"/>
  <c r="J319" i="8"/>
  <c r="I319" i="8"/>
  <c r="H319" i="8"/>
  <c r="G319" i="8"/>
  <c r="F319" i="8"/>
  <c r="E319" i="8"/>
  <c r="D319" i="8"/>
  <c r="C319" i="8"/>
  <c r="B319" i="8"/>
  <c r="BJ318" i="8"/>
  <c r="BI318" i="8"/>
  <c r="BH318" i="8"/>
  <c r="BG318" i="8"/>
  <c r="BF318" i="8"/>
  <c r="BE318" i="8"/>
  <c r="BD318" i="8"/>
  <c r="BC318" i="8"/>
  <c r="BB318" i="8"/>
  <c r="BA318" i="8"/>
  <c r="AZ318" i="8"/>
  <c r="AY318" i="8"/>
  <c r="AX318" i="8"/>
  <c r="AW318" i="8"/>
  <c r="AV318" i="8"/>
  <c r="AU318" i="8"/>
  <c r="U318" i="8"/>
  <c r="S318" i="8"/>
  <c r="R318" i="8"/>
  <c r="M318" i="8"/>
  <c r="L318" i="8"/>
  <c r="J318" i="8"/>
  <c r="I318" i="8"/>
  <c r="H318" i="8"/>
  <c r="G318" i="8"/>
  <c r="F318" i="8"/>
  <c r="E318" i="8"/>
  <c r="D318" i="8"/>
  <c r="C318" i="8"/>
  <c r="B318" i="8"/>
  <c r="BJ317" i="8"/>
  <c r="BI317" i="8"/>
  <c r="BH317" i="8"/>
  <c r="BG317" i="8"/>
  <c r="BF317" i="8"/>
  <c r="BE317" i="8"/>
  <c r="BD317" i="8"/>
  <c r="BC317" i="8"/>
  <c r="BB317" i="8"/>
  <c r="BA317" i="8"/>
  <c r="AZ317" i="8"/>
  <c r="AY317" i="8"/>
  <c r="AX317" i="8"/>
  <c r="AW317" i="8"/>
  <c r="AV317" i="8"/>
  <c r="AU317" i="8"/>
  <c r="U317" i="8"/>
  <c r="S317" i="8"/>
  <c r="R317" i="8"/>
  <c r="M317" i="8"/>
  <c r="L317" i="8"/>
  <c r="J317" i="8"/>
  <c r="I317" i="8"/>
  <c r="H317" i="8"/>
  <c r="G317" i="8"/>
  <c r="F317" i="8"/>
  <c r="E317" i="8"/>
  <c r="D317" i="8"/>
  <c r="C317" i="8"/>
  <c r="B317" i="8"/>
  <c r="BJ316" i="8"/>
  <c r="BI316" i="8"/>
  <c r="BH316" i="8"/>
  <c r="BG316" i="8"/>
  <c r="BF316" i="8"/>
  <c r="BE316" i="8"/>
  <c r="BD316" i="8"/>
  <c r="BC316" i="8"/>
  <c r="BB316" i="8"/>
  <c r="BA316" i="8"/>
  <c r="AZ316" i="8"/>
  <c r="AY316" i="8"/>
  <c r="AX316" i="8"/>
  <c r="AW316" i="8"/>
  <c r="AV316" i="8"/>
  <c r="AU316" i="8"/>
  <c r="U316" i="8"/>
  <c r="S316" i="8"/>
  <c r="R316" i="8"/>
  <c r="M316" i="8"/>
  <c r="L316" i="8"/>
  <c r="J316" i="8"/>
  <c r="I316" i="8"/>
  <c r="H316" i="8"/>
  <c r="G316" i="8"/>
  <c r="F316" i="8"/>
  <c r="E316" i="8"/>
  <c r="D316" i="8"/>
  <c r="C316" i="8"/>
  <c r="B316" i="8"/>
  <c r="BJ315" i="8"/>
  <c r="BI315" i="8"/>
  <c r="BH315" i="8"/>
  <c r="BG315" i="8"/>
  <c r="BF315" i="8"/>
  <c r="BE315" i="8"/>
  <c r="BD315" i="8"/>
  <c r="BC315" i="8"/>
  <c r="BB315" i="8"/>
  <c r="BA315" i="8"/>
  <c r="AZ315" i="8"/>
  <c r="AY315" i="8"/>
  <c r="AX315" i="8"/>
  <c r="AW315" i="8"/>
  <c r="AV315" i="8"/>
  <c r="AU315" i="8"/>
  <c r="U315" i="8"/>
  <c r="S315" i="8"/>
  <c r="R315" i="8"/>
  <c r="M315" i="8"/>
  <c r="L315" i="8"/>
  <c r="J315" i="8"/>
  <c r="I315" i="8"/>
  <c r="H315" i="8"/>
  <c r="G315" i="8"/>
  <c r="F315" i="8"/>
  <c r="E315" i="8"/>
  <c r="D315" i="8"/>
  <c r="C315" i="8"/>
  <c r="B315" i="8"/>
  <c r="BJ314" i="8"/>
  <c r="BI314" i="8"/>
  <c r="BH314" i="8"/>
  <c r="BG314" i="8"/>
  <c r="BF314" i="8"/>
  <c r="BE314" i="8"/>
  <c r="BD314" i="8"/>
  <c r="BC314" i="8"/>
  <c r="BB314" i="8"/>
  <c r="BA314" i="8"/>
  <c r="AZ314" i="8"/>
  <c r="AY314" i="8"/>
  <c r="AX314" i="8"/>
  <c r="AW314" i="8"/>
  <c r="AV314" i="8"/>
  <c r="AU314" i="8"/>
  <c r="U314" i="8"/>
  <c r="S314" i="8"/>
  <c r="R314" i="8"/>
  <c r="M314" i="8"/>
  <c r="L314" i="8"/>
  <c r="J314" i="8"/>
  <c r="I314" i="8"/>
  <c r="H314" i="8"/>
  <c r="G314" i="8"/>
  <c r="F314" i="8"/>
  <c r="E314" i="8"/>
  <c r="D314" i="8"/>
  <c r="C314" i="8"/>
  <c r="B314" i="8"/>
  <c r="BJ313" i="8"/>
  <c r="BI313" i="8"/>
  <c r="BH313" i="8"/>
  <c r="BG313" i="8"/>
  <c r="BF313" i="8"/>
  <c r="BE313" i="8"/>
  <c r="BD313" i="8"/>
  <c r="BC313" i="8"/>
  <c r="BB313" i="8"/>
  <c r="BA313" i="8"/>
  <c r="AZ313" i="8"/>
  <c r="AY313" i="8"/>
  <c r="AX313" i="8"/>
  <c r="AW313" i="8"/>
  <c r="AV313" i="8"/>
  <c r="AU313" i="8"/>
  <c r="U313" i="8"/>
  <c r="S313" i="8"/>
  <c r="R313" i="8"/>
  <c r="M313" i="8"/>
  <c r="L313" i="8"/>
  <c r="J313" i="8"/>
  <c r="I313" i="8"/>
  <c r="H313" i="8"/>
  <c r="G313" i="8"/>
  <c r="F313" i="8"/>
  <c r="E313" i="8"/>
  <c r="D313" i="8"/>
  <c r="C313" i="8"/>
  <c r="B313" i="8"/>
  <c r="BJ312" i="8"/>
  <c r="BI312" i="8"/>
  <c r="BH312" i="8"/>
  <c r="BG312" i="8"/>
  <c r="BF312" i="8"/>
  <c r="BE312" i="8"/>
  <c r="BD312" i="8"/>
  <c r="BC312" i="8"/>
  <c r="BB312" i="8"/>
  <c r="BA312" i="8"/>
  <c r="AZ312" i="8"/>
  <c r="AY312" i="8"/>
  <c r="AX312" i="8"/>
  <c r="AW312" i="8"/>
  <c r="AV312" i="8"/>
  <c r="AU312" i="8"/>
  <c r="U312" i="8"/>
  <c r="S312" i="8"/>
  <c r="R312" i="8"/>
  <c r="M312" i="8"/>
  <c r="L312" i="8"/>
  <c r="J312" i="8"/>
  <c r="I312" i="8"/>
  <c r="H312" i="8"/>
  <c r="G312" i="8"/>
  <c r="F312" i="8"/>
  <c r="E312" i="8"/>
  <c r="D312" i="8"/>
  <c r="C312" i="8"/>
  <c r="B312" i="8"/>
  <c r="BJ311" i="8"/>
  <c r="BI311" i="8"/>
  <c r="BH311" i="8"/>
  <c r="BG311" i="8"/>
  <c r="BF311" i="8"/>
  <c r="BE311" i="8"/>
  <c r="BD311" i="8"/>
  <c r="BC311" i="8"/>
  <c r="BB311" i="8"/>
  <c r="BA311" i="8"/>
  <c r="AZ311" i="8"/>
  <c r="AY311" i="8"/>
  <c r="AX311" i="8"/>
  <c r="AW311" i="8"/>
  <c r="AV311" i="8"/>
  <c r="AU311" i="8"/>
  <c r="U311" i="8"/>
  <c r="S311" i="8"/>
  <c r="R311" i="8"/>
  <c r="M311" i="8"/>
  <c r="L311" i="8"/>
  <c r="J311" i="8"/>
  <c r="I311" i="8"/>
  <c r="H311" i="8"/>
  <c r="G311" i="8"/>
  <c r="F311" i="8"/>
  <c r="E311" i="8"/>
  <c r="D311" i="8"/>
  <c r="C311" i="8"/>
  <c r="B311" i="8"/>
  <c r="BJ310" i="8"/>
  <c r="BI310" i="8"/>
  <c r="BH310" i="8"/>
  <c r="BG310" i="8"/>
  <c r="BF310" i="8"/>
  <c r="BE310" i="8"/>
  <c r="BD310" i="8"/>
  <c r="BC310" i="8"/>
  <c r="BB310" i="8"/>
  <c r="BA310" i="8"/>
  <c r="AZ310" i="8"/>
  <c r="AY310" i="8"/>
  <c r="AX310" i="8"/>
  <c r="AW310" i="8"/>
  <c r="AV310" i="8"/>
  <c r="AU310" i="8"/>
  <c r="L310" i="8"/>
  <c r="H310" i="8"/>
  <c r="G310" i="8"/>
  <c r="F310" i="8"/>
  <c r="E310" i="8"/>
  <c r="D310" i="8"/>
  <c r="C310" i="8"/>
  <c r="B310" i="8"/>
  <c r="BJ309" i="8"/>
  <c r="BI309" i="8"/>
  <c r="BH309" i="8"/>
  <c r="BG309" i="8"/>
  <c r="BF309" i="8"/>
  <c r="BE309" i="8"/>
  <c r="BD309" i="8"/>
  <c r="BC309" i="8"/>
  <c r="BB309" i="8"/>
  <c r="BA309" i="8"/>
  <c r="AZ309" i="8"/>
  <c r="AY309" i="8"/>
  <c r="AX309" i="8"/>
  <c r="AW309" i="8"/>
  <c r="AV309" i="8"/>
  <c r="AU309" i="8"/>
  <c r="L309" i="8"/>
  <c r="H309" i="8"/>
  <c r="G309" i="8"/>
  <c r="F309" i="8"/>
  <c r="E309" i="8"/>
  <c r="D309" i="8"/>
  <c r="C309" i="8"/>
  <c r="B309" i="8"/>
  <c r="BJ308" i="8"/>
  <c r="BI308" i="8"/>
  <c r="BH308" i="8"/>
  <c r="BG308" i="8"/>
  <c r="BF308" i="8"/>
  <c r="BE308" i="8"/>
  <c r="BD308" i="8"/>
  <c r="BC308" i="8"/>
  <c r="BB308" i="8"/>
  <c r="BA308" i="8"/>
  <c r="AZ308" i="8"/>
  <c r="AY308" i="8"/>
  <c r="AX308" i="8"/>
  <c r="AW308" i="8"/>
  <c r="AV308" i="8"/>
  <c r="AU308" i="8"/>
  <c r="V308" i="8"/>
  <c r="U308" i="8"/>
  <c r="T308" i="8"/>
  <c r="L308" i="8"/>
  <c r="H308" i="8"/>
  <c r="G308" i="8"/>
  <c r="F308" i="8"/>
  <c r="E308" i="8"/>
  <c r="D308" i="8"/>
  <c r="C308" i="8"/>
  <c r="B308" i="8"/>
  <c r="BJ307" i="8"/>
  <c r="BI307" i="8"/>
  <c r="BH307" i="8"/>
  <c r="BG307" i="8"/>
  <c r="BF307" i="8"/>
  <c r="BE307" i="8"/>
  <c r="BD307" i="8"/>
  <c r="BC307" i="8"/>
  <c r="BB307" i="8"/>
  <c r="BA307" i="8"/>
  <c r="AZ307" i="8"/>
  <c r="AY307" i="8"/>
  <c r="AX307" i="8"/>
  <c r="AW307" i="8"/>
  <c r="AV307" i="8"/>
  <c r="AU307" i="8"/>
  <c r="L307" i="8"/>
  <c r="H307" i="8"/>
  <c r="G307" i="8"/>
  <c r="F307" i="8"/>
  <c r="E307" i="8"/>
  <c r="D307" i="8"/>
  <c r="C307" i="8"/>
  <c r="B307" i="8"/>
  <c r="BJ306" i="8"/>
  <c r="BI306" i="8"/>
  <c r="BH306" i="8"/>
  <c r="BG306" i="8"/>
  <c r="BF306" i="8"/>
  <c r="BE306" i="8"/>
  <c r="BD306" i="8"/>
  <c r="BC306" i="8"/>
  <c r="BB306" i="8"/>
  <c r="BA306" i="8"/>
  <c r="AZ306" i="8"/>
  <c r="AY306" i="8"/>
  <c r="AX306" i="8"/>
  <c r="AW306" i="8"/>
  <c r="AV306" i="8"/>
  <c r="AU306" i="8"/>
  <c r="L306" i="8"/>
  <c r="H306" i="8"/>
  <c r="G306" i="8"/>
  <c r="F306" i="8"/>
  <c r="E306" i="8"/>
  <c r="D306" i="8"/>
  <c r="C306" i="8"/>
  <c r="B306" i="8"/>
  <c r="BJ305" i="8"/>
  <c r="BI305" i="8"/>
  <c r="BH305" i="8"/>
  <c r="BG305" i="8"/>
  <c r="BF305" i="8"/>
  <c r="BE305" i="8"/>
  <c r="BD305" i="8"/>
  <c r="BC305" i="8"/>
  <c r="BB305" i="8"/>
  <c r="BA305" i="8"/>
  <c r="AZ305" i="8"/>
  <c r="AY305" i="8"/>
  <c r="AX305" i="8"/>
  <c r="AW305" i="8"/>
  <c r="AV305" i="8"/>
  <c r="AU305" i="8"/>
  <c r="L305" i="8"/>
  <c r="H305" i="8"/>
  <c r="G305" i="8"/>
  <c r="F305" i="8"/>
  <c r="E305" i="8"/>
  <c r="D305" i="8"/>
  <c r="C305" i="8"/>
  <c r="B305" i="8"/>
  <c r="BJ304" i="8"/>
  <c r="BI304" i="8"/>
  <c r="BH304" i="8"/>
  <c r="BG304" i="8"/>
  <c r="BF304" i="8"/>
  <c r="BE304" i="8"/>
  <c r="BD304" i="8"/>
  <c r="BC304" i="8"/>
  <c r="BB304" i="8"/>
  <c r="BA304" i="8"/>
  <c r="AZ304" i="8"/>
  <c r="AY304" i="8"/>
  <c r="AX304" i="8"/>
  <c r="AW304" i="8"/>
  <c r="AV304" i="8"/>
  <c r="AU304" i="8"/>
  <c r="V304" i="8"/>
  <c r="U304" i="8"/>
  <c r="T304" i="8"/>
  <c r="L304" i="8"/>
  <c r="H304" i="8"/>
  <c r="G304" i="8"/>
  <c r="F304" i="8"/>
  <c r="E304" i="8"/>
  <c r="D304" i="8"/>
  <c r="C304" i="8"/>
  <c r="B304" i="8"/>
  <c r="BJ303" i="8"/>
  <c r="BI303" i="8"/>
  <c r="BH303" i="8"/>
  <c r="BG303" i="8"/>
  <c r="BF303" i="8"/>
  <c r="BE303" i="8"/>
  <c r="BD303" i="8"/>
  <c r="BC303" i="8"/>
  <c r="BB303" i="8"/>
  <c r="BA303" i="8"/>
  <c r="AZ303" i="8"/>
  <c r="AY303" i="8"/>
  <c r="AX303" i="8"/>
  <c r="AW303" i="8"/>
  <c r="AV303" i="8"/>
  <c r="AU303" i="8"/>
  <c r="L303" i="8"/>
  <c r="H303" i="8"/>
  <c r="G303" i="8"/>
  <c r="F303" i="8"/>
  <c r="E303" i="8"/>
  <c r="D303" i="8"/>
  <c r="C303" i="8"/>
  <c r="B303" i="8"/>
  <c r="BJ302" i="8"/>
  <c r="BI302" i="8"/>
  <c r="BH302" i="8"/>
  <c r="BG302" i="8"/>
  <c r="BF302" i="8"/>
  <c r="BE302" i="8"/>
  <c r="BD302" i="8"/>
  <c r="BC302" i="8"/>
  <c r="BB302" i="8"/>
  <c r="BA302" i="8"/>
  <c r="AZ302" i="8"/>
  <c r="AY302" i="8"/>
  <c r="AX302" i="8"/>
  <c r="AW302" i="8"/>
  <c r="AV302" i="8"/>
  <c r="AU302" i="8"/>
  <c r="L302" i="8"/>
  <c r="H302" i="8"/>
  <c r="G302" i="8"/>
  <c r="F302" i="8"/>
  <c r="E302" i="8"/>
  <c r="D302" i="8"/>
  <c r="C302" i="8"/>
  <c r="B302" i="8"/>
  <c r="BJ301" i="8"/>
  <c r="BI301" i="8"/>
  <c r="BH301" i="8"/>
  <c r="BG301" i="8"/>
  <c r="BF301" i="8"/>
  <c r="BE301" i="8"/>
  <c r="BD301" i="8"/>
  <c r="BC301" i="8"/>
  <c r="BB301" i="8"/>
  <c r="BA301" i="8"/>
  <c r="AZ301" i="8"/>
  <c r="AY301" i="8"/>
  <c r="AX301" i="8"/>
  <c r="AW301" i="8"/>
  <c r="AV301" i="8"/>
  <c r="AU301" i="8"/>
  <c r="L301" i="8"/>
  <c r="H301" i="8"/>
  <c r="G301" i="8"/>
  <c r="F301" i="8"/>
  <c r="E301" i="8"/>
  <c r="D301" i="8"/>
  <c r="C301" i="8"/>
  <c r="B301" i="8"/>
  <c r="BJ300" i="8"/>
  <c r="BI300" i="8"/>
  <c r="BH300" i="8"/>
  <c r="BG300" i="8"/>
  <c r="BF300" i="8"/>
  <c r="BE300" i="8"/>
  <c r="BD300" i="8"/>
  <c r="BC300" i="8"/>
  <c r="BB300" i="8"/>
  <c r="BA300" i="8"/>
  <c r="AZ300" i="8"/>
  <c r="AY300" i="8"/>
  <c r="AX300" i="8"/>
  <c r="AW300" i="8"/>
  <c r="AV300" i="8"/>
  <c r="AU300" i="8"/>
  <c r="L300" i="8"/>
  <c r="H300" i="8"/>
  <c r="G300" i="8"/>
  <c r="F300" i="8"/>
  <c r="E300" i="8"/>
  <c r="D300" i="8"/>
  <c r="C300" i="8"/>
  <c r="B300" i="8"/>
  <c r="BJ299" i="8"/>
  <c r="BI299" i="8"/>
  <c r="BH299" i="8"/>
  <c r="BG299" i="8"/>
  <c r="BF299" i="8"/>
  <c r="BE299" i="8"/>
  <c r="BD299" i="8"/>
  <c r="BC299" i="8"/>
  <c r="BB299" i="8"/>
  <c r="BA299" i="8"/>
  <c r="AZ299" i="8"/>
  <c r="AY299" i="8"/>
  <c r="AX299" i="8"/>
  <c r="AW299" i="8"/>
  <c r="AV299" i="8"/>
  <c r="AU299" i="8"/>
  <c r="L299" i="8"/>
  <c r="H299" i="8"/>
  <c r="G299" i="8"/>
  <c r="F299" i="8"/>
  <c r="E299" i="8"/>
  <c r="D299" i="8"/>
  <c r="C299" i="8"/>
  <c r="B299" i="8"/>
  <c r="BJ298" i="8"/>
  <c r="BI298" i="8"/>
  <c r="BH298" i="8"/>
  <c r="BG298" i="8"/>
  <c r="BF298" i="8"/>
  <c r="BE298" i="8"/>
  <c r="BD298" i="8"/>
  <c r="BC298" i="8"/>
  <c r="BB298" i="8"/>
  <c r="BA298" i="8"/>
  <c r="AZ298" i="8"/>
  <c r="AY298" i="8"/>
  <c r="AX298" i="8"/>
  <c r="AW298" i="8"/>
  <c r="AV298" i="8"/>
  <c r="AU298" i="8"/>
  <c r="L298" i="8"/>
  <c r="H298" i="8"/>
  <c r="G298" i="8"/>
  <c r="F298" i="8"/>
  <c r="E298" i="8"/>
  <c r="D298" i="8"/>
  <c r="C298" i="8"/>
  <c r="B298" i="8"/>
  <c r="BJ297" i="8"/>
  <c r="BI297" i="8"/>
  <c r="BH297" i="8"/>
  <c r="BG297" i="8"/>
  <c r="BF297" i="8"/>
  <c r="BE297" i="8"/>
  <c r="BD297" i="8"/>
  <c r="BC297" i="8"/>
  <c r="BB297" i="8"/>
  <c r="BA297" i="8"/>
  <c r="AZ297" i="8"/>
  <c r="AY297" i="8"/>
  <c r="AX297" i="8"/>
  <c r="AW297" i="8"/>
  <c r="AV297" i="8"/>
  <c r="AU297" i="8"/>
  <c r="V297" i="8"/>
  <c r="U297" i="8"/>
  <c r="T297" i="8"/>
  <c r="M297" i="8"/>
  <c r="L297" i="8"/>
  <c r="H297" i="8"/>
  <c r="G297" i="8"/>
  <c r="F297" i="8"/>
  <c r="E297" i="8"/>
  <c r="D297" i="8"/>
  <c r="C297" i="8"/>
  <c r="B297" i="8"/>
  <c r="BJ296" i="8"/>
  <c r="BI296" i="8"/>
  <c r="BH296" i="8"/>
  <c r="BG296" i="8"/>
  <c r="BF296" i="8"/>
  <c r="BE296" i="8"/>
  <c r="BD296" i="8"/>
  <c r="BC296" i="8"/>
  <c r="BB296" i="8"/>
  <c r="BA296" i="8"/>
  <c r="AZ296" i="8"/>
  <c r="AY296" i="8"/>
  <c r="AX296" i="8"/>
  <c r="AW296" i="8"/>
  <c r="AV296" i="8"/>
  <c r="AU296" i="8"/>
  <c r="L296" i="8"/>
  <c r="H296" i="8"/>
  <c r="G296" i="8"/>
  <c r="F296" i="8"/>
  <c r="E296" i="8"/>
  <c r="D296" i="8"/>
  <c r="C296" i="8"/>
  <c r="B296" i="8"/>
  <c r="BJ295" i="8"/>
  <c r="BI295" i="8"/>
  <c r="BH295" i="8"/>
  <c r="BG295" i="8"/>
  <c r="BF295" i="8"/>
  <c r="BE295" i="8"/>
  <c r="BD295" i="8"/>
  <c r="BC295" i="8"/>
  <c r="BB295" i="8"/>
  <c r="BA295" i="8"/>
  <c r="AZ295" i="8"/>
  <c r="AY295" i="8"/>
  <c r="AX295" i="8"/>
  <c r="AW295" i="8"/>
  <c r="AV295" i="8"/>
  <c r="AU295" i="8"/>
  <c r="V295" i="8"/>
  <c r="U295" i="8"/>
  <c r="T295" i="8"/>
  <c r="L295" i="8"/>
  <c r="H295" i="8"/>
  <c r="G295" i="8"/>
  <c r="F295" i="8"/>
  <c r="E295" i="8"/>
  <c r="D295" i="8"/>
  <c r="C295" i="8"/>
  <c r="B295" i="8"/>
  <c r="BJ294" i="8"/>
  <c r="BI294" i="8"/>
  <c r="BH294" i="8"/>
  <c r="BG294" i="8"/>
  <c r="BF294" i="8"/>
  <c r="BE294" i="8"/>
  <c r="BD294" i="8"/>
  <c r="BC294" i="8"/>
  <c r="BB294" i="8"/>
  <c r="BA294" i="8"/>
  <c r="AZ294" i="8"/>
  <c r="AY294" i="8"/>
  <c r="AX294" i="8"/>
  <c r="AW294" i="8"/>
  <c r="AV294" i="8"/>
  <c r="AU294" i="8"/>
  <c r="V294" i="8"/>
  <c r="U294" i="8"/>
  <c r="T294" i="8"/>
  <c r="L294" i="8"/>
  <c r="H294" i="8"/>
  <c r="G294" i="8"/>
  <c r="F294" i="8"/>
  <c r="E294" i="8"/>
  <c r="D294" i="8"/>
  <c r="C294" i="8"/>
  <c r="B294" i="8"/>
  <c r="BJ293" i="8"/>
  <c r="BI293" i="8"/>
  <c r="BH293" i="8"/>
  <c r="BG293" i="8"/>
  <c r="BF293" i="8"/>
  <c r="BE293" i="8"/>
  <c r="BD293" i="8"/>
  <c r="BC293" i="8"/>
  <c r="BB293" i="8"/>
  <c r="BA293" i="8"/>
  <c r="AZ293" i="8"/>
  <c r="AY293" i="8"/>
  <c r="AX293" i="8"/>
  <c r="AW293" i="8"/>
  <c r="AV293" i="8"/>
  <c r="AU293" i="8"/>
  <c r="L293" i="8"/>
  <c r="H293" i="8"/>
  <c r="G293" i="8"/>
  <c r="F293" i="8"/>
  <c r="E293" i="8"/>
  <c r="D293" i="8"/>
  <c r="C293" i="8"/>
  <c r="B293" i="8"/>
  <c r="BJ292" i="8"/>
  <c r="BI292" i="8"/>
  <c r="BH292" i="8"/>
  <c r="BG292" i="8"/>
  <c r="BF292" i="8"/>
  <c r="BE292" i="8"/>
  <c r="BD292" i="8"/>
  <c r="BC292" i="8"/>
  <c r="BB292" i="8"/>
  <c r="BA292" i="8"/>
  <c r="AZ292" i="8"/>
  <c r="AY292" i="8"/>
  <c r="AX292" i="8"/>
  <c r="AW292" i="8"/>
  <c r="AV292" i="8"/>
  <c r="AU292" i="8"/>
  <c r="L292" i="8"/>
  <c r="H292" i="8"/>
  <c r="G292" i="8"/>
  <c r="F292" i="8"/>
  <c r="E292" i="8"/>
  <c r="D292" i="8"/>
  <c r="C292" i="8"/>
  <c r="B292" i="8"/>
  <c r="BJ291" i="8"/>
  <c r="BI291" i="8"/>
  <c r="BH291" i="8"/>
  <c r="BG291" i="8"/>
  <c r="BF291" i="8"/>
  <c r="BE291" i="8"/>
  <c r="BD291" i="8"/>
  <c r="BC291" i="8"/>
  <c r="BB291" i="8"/>
  <c r="BA291" i="8"/>
  <c r="AZ291" i="8"/>
  <c r="AY291" i="8"/>
  <c r="AX291" i="8"/>
  <c r="AW291" i="8"/>
  <c r="AV291" i="8"/>
  <c r="AU291" i="8"/>
  <c r="L291" i="8"/>
  <c r="H291" i="8"/>
  <c r="G291" i="8"/>
  <c r="F291" i="8"/>
  <c r="E291" i="8"/>
  <c r="D291" i="8"/>
  <c r="C291" i="8"/>
  <c r="B291" i="8"/>
  <c r="BJ290" i="8"/>
  <c r="BI290" i="8"/>
  <c r="BH290" i="8"/>
  <c r="BG290" i="8"/>
  <c r="BF290" i="8"/>
  <c r="BE290" i="8"/>
  <c r="BD290" i="8"/>
  <c r="BC290" i="8"/>
  <c r="BB290" i="8"/>
  <c r="BA290" i="8"/>
  <c r="AZ290" i="8"/>
  <c r="AY290" i="8"/>
  <c r="AX290" i="8"/>
  <c r="AW290" i="8"/>
  <c r="AV290" i="8"/>
  <c r="AU290" i="8"/>
  <c r="L290" i="8"/>
  <c r="H290" i="8"/>
  <c r="G290" i="8"/>
  <c r="F290" i="8"/>
  <c r="E290" i="8"/>
  <c r="D290" i="8"/>
  <c r="C290" i="8"/>
  <c r="B290" i="8"/>
  <c r="BJ289" i="8"/>
  <c r="BI289" i="8"/>
  <c r="BH289" i="8"/>
  <c r="BG289" i="8"/>
  <c r="BF289" i="8"/>
  <c r="BE289" i="8"/>
  <c r="BD289" i="8"/>
  <c r="BC289" i="8"/>
  <c r="BB289" i="8"/>
  <c r="BA289" i="8"/>
  <c r="AZ289" i="8"/>
  <c r="AY289" i="8"/>
  <c r="AX289" i="8"/>
  <c r="AW289" i="8"/>
  <c r="AV289" i="8"/>
  <c r="AU289" i="8"/>
  <c r="U289" i="8"/>
  <c r="S289" i="8"/>
  <c r="R289" i="8"/>
  <c r="Q289" i="8"/>
  <c r="P289" i="8"/>
  <c r="O289" i="8"/>
  <c r="N289" i="8"/>
  <c r="M289" i="8"/>
  <c r="L289" i="8"/>
  <c r="H289" i="8"/>
  <c r="G289" i="8"/>
  <c r="F289" i="8"/>
  <c r="E289" i="8"/>
  <c r="D289" i="8"/>
  <c r="C289" i="8"/>
  <c r="B289" i="8"/>
  <c r="BJ288" i="8"/>
  <c r="BI288" i="8"/>
  <c r="BH288" i="8"/>
  <c r="BG288" i="8"/>
  <c r="BF288" i="8"/>
  <c r="BE288" i="8"/>
  <c r="BD288" i="8"/>
  <c r="BC288" i="8"/>
  <c r="BB288" i="8"/>
  <c r="BA288" i="8"/>
  <c r="AZ288" i="8"/>
  <c r="AY288" i="8"/>
  <c r="AX288" i="8"/>
  <c r="AW288" i="8"/>
  <c r="AV288" i="8"/>
  <c r="AU288" i="8"/>
  <c r="U288" i="8"/>
  <c r="S288" i="8"/>
  <c r="R288" i="8"/>
  <c r="Q288" i="8"/>
  <c r="P288" i="8"/>
  <c r="O288" i="8"/>
  <c r="N288" i="8"/>
  <c r="M288" i="8"/>
  <c r="L288" i="8"/>
  <c r="J288" i="8"/>
  <c r="I288" i="8"/>
  <c r="H288" i="8"/>
  <c r="G288" i="8"/>
  <c r="F288" i="8"/>
  <c r="E288" i="8"/>
  <c r="D288" i="8"/>
  <c r="C288" i="8"/>
  <c r="B288" i="8"/>
  <c r="BJ287" i="8"/>
  <c r="BI287" i="8"/>
  <c r="BH287" i="8"/>
  <c r="BG287" i="8"/>
  <c r="BF287" i="8"/>
  <c r="BE287" i="8"/>
  <c r="BD287" i="8"/>
  <c r="BC287" i="8"/>
  <c r="BB287" i="8"/>
  <c r="BA287" i="8"/>
  <c r="AZ287" i="8"/>
  <c r="AY287" i="8"/>
  <c r="AX287" i="8"/>
  <c r="AW287" i="8"/>
  <c r="AV287" i="8"/>
  <c r="AU287" i="8"/>
  <c r="U287" i="8"/>
  <c r="S287" i="8"/>
  <c r="R287" i="8"/>
  <c r="Q287" i="8"/>
  <c r="P287" i="8"/>
  <c r="O287" i="8"/>
  <c r="N287" i="8"/>
  <c r="M287" i="8"/>
  <c r="L287" i="8"/>
  <c r="J287" i="8"/>
  <c r="I287" i="8"/>
  <c r="H287" i="8"/>
  <c r="G287" i="8"/>
  <c r="F287" i="8"/>
  <c r="E287" i="8"/>
  <c r="D287" i="8"/>
  <c r="C287" i="8"/>
  <c r="B287" i="8"/>
  <c r="BJ286" i="8"/>
  <c r="BI286" i="8"/>
  <c r="BH286" i="8"/>
  <c r="BG286" i="8"/>
  <c r="BF286" i="8"/>
  <c r="BE286" i="8"/>
  <c r="BD286" i="8"/>
  <c r="BC286" i="8"/>
  <c r="BB286" i="8"/>
  <c r="BA286" i="8"/>
  <c r="AZ286" i="8"/>
  <c r="AY286" i="8"/>
  <c r="AX286" i="8"/>
  <c r="AW286" i="8"/>
  <c r="AV286" i="8"/>
  <c r="AU286" i="8"/>
  <c r="L286" i="8"/>
  <c r="H286" i="8"/>
  <c r="G286" i="8"/>
  <c r="F286" i="8"/>
  <c r="E286" i="8"/>
  <c r="D286" i="8"/>
  <c r="C286" i="8"/>
  <c r="B286" i="8"/>
  <c r="BJ285" i="8"/>
  <c r="BI285" i="8"/>
  <c r="BH285" i="8"/>
  <c r="BG285" i="8"/>
  <c r="BF285" i="8"/>
  <c r="BE285" i="8"/>
  <c r="BD285" i="8"/>
  <c r="BC285" i="8"/>
  <c r="BB285" i="8"/>
  <c r="BA285" i="8"/>
  <c r="AZ285" i="8"/>
  <c r="AY285" i="8"/>
  <c r="AX285" i="8"/>
  <c r="AW285" i="8"/>
  <c r="AV285" i="8"/>
  <c r="AU285" i="8"/>
  <c r="U285" i="8"/>
  <c r="S285" i="8"/>
  <c r="R285" i="8"/>
  <c r="Q285" i="8"/>
  <c r="P285" i="8"/>
  <c r="O285" i="8"/>
  <c r="N285" i="8"/>
  <c r="M285" i="8"/>
  <c r="L285" i="8"/>
  <c r="H285" i="8"/>
  <c r="G285" i="8"/>
  <c r="F285" i="8"/>
  <c r="E285" i="8"/>
  <c r="D285" i="8"/>
  <c r="C285" i="8"/>
  <c r="B285" i="8"/>
  <c r="BJ284" i="8"/>
  <c r="BI284" i="8"/>
  <c r="BH284" i="8"/>
  <c r="BG284" i="8"/>
  <c r="BF284" i="8"/>
  <c r="BE284" i="8"/>
  <c r="BD284" i="8"/>
  <c r="BC284" i="8"/>
  <c r="BB284" i="8"/>
  <c r="BA284" i="8"/>
  <c r="AZ284" i="8"/>
  <c r="AY284" i="8"/>
  <c r="AX284" i="8"/>
  <c r="AW284" i="8"/>
  <c r="AV284" i="8"/>
  <c r="AU284" i="8"/>
  <c r="L284" i="8"/>
  <c r="H284" i="8"/>
  <c r="G284" i="8"/>
  <c r="F284" i="8"/>
  <c r="E284" i="8"/>
  <c r="D284" i="8"/>
  <c r="C284" i="8"/>
  <c r="B284" i="8"/>
  <c r="BJ283" i="8"/>
  <c r="BI283" i="8"/>
  <c r="BH283" i="8"/>
  <c r="BG283" i="8"/>
  <c r="BF283" i="8"/>
  <c r="BE283" i="8"/>
  <c r="BD283" i="8"/>
  <c r="BC283" i="8"/>
  <c r="BB283" i="8"/>
  <c r="BA283" i="8"/>
  <c r="AZ283" i="8"/>
  <c r="AY283" i="8"/>
  <c r="AX283" i="8"/>
  <c r="AW283" i="8"/>
  <c r="AV283" i="8"/>
  <c r="AU283" i="8"/>
  <c r="U283" i="8"/>
  <c r="S283" i="8"/>
  <c r="R283" i="8"/>
  <c r="Q283" i="8"/>
  <c r="P283" i="8"/>
  <c r="O283" i="8"/>
  <c r="N283" i="8"/>
  <c r="M283" i="8"/>
  <c r="L283" i="8"/>
  <c r="H283" i="8"/>
  <c r="G283" i="8"/>
  <c r="F283" i="8"/>
  <c r="E283" i="8"/>
  <c r="D283" i="8"/>
  <c r="C283" i="8"/>
  <c r="B283" i="8"/>
  <c r="BJ282" i="8"/>
  <c r="BI282" i="8"/>
  <c r="BH282" i="8"/>
  <c r="BG282" i="8"/>
  <c r="BF282" i="8"/>
  <c r="BE282" i="8"/>
  <c r="BD282" i="8"/>
  <c r="BC282" i="8"/>
  <c r="BB282" i="8"/>
  <c r="BA282" i="8"/>
  <c r="AZ282" i="8"/>
  <c r="AY282" i="8"/>
  <c r="AX282" i="8"/>
  <c r="AW282" i="8"/>
  <c r="AV282" i="8"/>
  <c r="AU282" i="8"/>
  <c r="U282" i="8"/>
  <c r="S282" i="8"/>
  <c r="R282" i="8"/>
  <c r="Q282" i="8"/>
  <c r="P282" i="8"/>
  <c r="O282" i="8"/>
  <c r="N282" i="8"/>
  <c r="M282" i="8"/>
  <c r="L282" i="8"/>
  <c r="H282" i="8"/>
  <c r="G282" i="8"/>
  <c r="F282" i="8"/>
  <c r="E282" i="8"/>
  <c r="D282" i="8"/>
  <c r="C282" i="8"/>
  <c r="B282" i="8"/>
  <c r="BJ281" i="8"/>
  <c r="BI281" i="8"/>
  <c r="BH281" i="8"/>
  <c r="BG281" i="8"/>
  <c r="BF281" i="8"/>
  <c r="BE281" i="8"/>
  <c r="BD281" i="8"/>
  <c r="BC281" i="8"/>
  <c r="BB281" i="8"/>
  <c r="BA281" i="8"/>
  <c r="AZ281" i="8"/>
  <c r="AY281" i="8"/>
  <c r="AX281" i="8"/>
  <c r="AW281" i="8"/>
  <c r="AV281" i="8"/>
  <c r="AU281" i="8"/>
  <c r="V281" i="8"/>
  <c r="U281" i="8"/>
  <c r="S281" i="8"/>
  <c r="R281" i="8"/>
  <c r="P281" i="8"/>
  <c r="O281" i="8"/>
  <c r="N281" i="8"/>
  <c r="M281" i="8"/>
  <c r="L281" i="8"/>
  <c r="H281" i="8"/>
  <c r="G281" i="8"/>
  <c r="F281" i="8"/>
  <c r="E281" i="8"/>
  <c r="D281" i="8"/>
  <c r="C281" i="8"/>
  <c r="B281" i="8"/>
  <c r="BJ280" i="8"/>
  <c r="BI280" i="8"/>
  <c r="BH280" i="8"/>
  <c r="BG280" i="8"/>
  <c r="BF280" i="8"/>
  <c r="BE280" i="8"/>
  <c r="BD280" i="8"/>
  <c r="BC280" i="8"/>
  <c r="BB280" i="8"/>
  <c r="BA280" i="8"/>
  <c r="AZ280" i="8"/>
  <c r="AY280" i="8"/>
  <c r="AX280" i="8"/>
  <c r="AW280" i="8"/>
  <c r="AV280" i="8"/>
  <c r="AU280" i="8"/>
  <c r="U280" i="8"/>
  <c r="S280" i="8"/>
  <c r="R280" i="8"/>
  <c r="Q280" i="8"/>
  <c r="P280" i="8"/>
  <c r="O280" i="8"/>
  <c r="N280" i="8"/>
  <c r="M280" i="8"/>
  <c r="L280" i="8"/>
  <c r="H280" i="8"/>
  <c r="G280" i="8"/>
  <c r="F280" i="8"/>
  <c r="E280" i="8"/>
  <c r="D280" i="8"/>
  <c r="C280" i="8"/>
  <c r="B280" i="8"/>
  <c r="BJ279" i="8"/>
  <c r="BI279" i="8"/>
  <c r="BH279" i="8"/>
  <c r="BG279" i="8"/>
  <c r="BF279" i="8"/>
  <c r="BE279" i="8"/>
  <c r="BD279" i="8"/>
  <c r="BC279" i="8"/>
  <c r="BB279" i="8"/>
  <c r="BA279" i="8"/>
  <c r="AZ279" i="8"/>
  <c r="AY279" i="8"/>
  <c r="AX279" i="8"/>
  <c r="AW279" i="8"/>
  <c r="AV279" i="8"/>
  <c r="AU279" i="8"/>
  <c r="S279" i="8"/>
  <c r="R279" i="8"/>
  <c r="M279" i="8"/>
  <c r="L279" i="8"/>
  <c r="H279" i="8"/>
  <c r="G279" i="8"/>
  <c r="F279" i="8"/>
  <c r="E279" i="8"/>
  <c r="D279" i="8"/>
  <c r="C279" i="8"/>
  <c r="B279" i="8"/>
  <c r="BJ278" i="8"/>
  <c r="BI278" i="8"/>
  <c r="BH278" i="8"/>
  <c r="BG278" i="8"/>
  <c r="BF278" i="8"/>
  <c r="BE278" i="8"/>
  <c r="BD278" i="8"/>
  <c r="BC278" i="8"/>
  <c r="BB278" i="8"/>
  <c r="BA278" i="8"/>
  <c r="AZ278" i="8"/>
  <c r="AY278" i="8"/>
  <c r="AX278" i="8"/>
  <c r="AW278" i="8"/>
  <c r="AV278" i="8"/>
  <c r="AU278" i="8"/>
  <c r="L278" i="8"/>
  <c r="H278" i="8"/>
  <c r="G278" i="8"/>
  <c r="F278" i="8"/>
  <c r="E278" i="8"/>
  <c r="D278" i="8"/>
  <c r="C278" i="8"/>
  <c r="B278" i="8"/>
  <c r="BJ277" i="8"/>
  <c r="BI277" i="8"/>
  <c r="BH277" i="8"/>
  <c r="BG277" i="8"/>
  <c r="BF277" i="8"/>
  <c r="BE277" i="8"/>
  <c r="BD277" i="8"/>
  <c r="BC277" i="8"/>
  <c r="BB277" i="8"/>
  <c r="BA277" i="8"/>
  <c r="AZ277" i="8"/>
  <c r="AY277" i="8"/>
  <c r="AX277" i="8"/>
  <c r="AW277" i="8"/>
  <c r="AV277" i="8"/>
  <c r="AU277" i="8"/>
  <c r="L277" i="8"/>
  <c r="H277" i="8"/>
  <c r="G277" i="8"/>
  <c r="F277" i="8"/>
  <c r="E277" i="8"/>
  <c r="D277" i="8"/>
  <c r="C277" i="8"/>
  <c r="B277" i="8"/>
  <c r="BJ276" i="8"/>
  <c r="BI276" i="8"/>
  <c r="BH276" i="8"/>
  <c r="BG276" i="8"/>
  <c r="BF276" i="8"/>
  <c r="BE276" i="8"/>
  <c r="BD276" i="8"/>
  <c r="BC276" i="8"/>
  <c r="BB276" i="8"/>
  <c r="BA276" i="8"/>
  <c r="AZ276" i="8"/>
  <c r="AY276" i="8"/>
  <c r="AX276" i="8"/>
  <c r="AW276" i="8"/>
  <c r="AV276" i="8"/>
  <c r="AU276" i="8"/>
  <c r="L276" i="8"/>
  <c r="J276" i="8"/>
  <c r="H276" i="8"/>
  <c r="G276" i="8"/>
  <c r="F276" i="8"/>
  <c r="E276" i="8"/>
  <c r="D276" i="8"/>
  <c r="C276" i="8"/>
  <c r="B276" i="8"/>
  <c r="BJ275" i="8"/>
  <c r="BI275" i="8"/>
  <c r="BH275" i="8"/>
  <c r="BG275" i="8"/>
  <c r="BF275" i="8"/>
  <c r="BE275" i="8"/>
  <c r="BD275" i="8"/>
  <c r="BC275" i="8"/>
  <c r="BB275" i="8"/>
  <c r="BA275" i="8"/>
  <c r="AZ275" i="8"/>
  <c r="AY275" i="8"/>
  <c r="AX275" i="8"/>
  <c r="AW275" i="8"/>
  <c r="AV275" i="8"/>
  <c r="AU275" i="8"/>
  <c r="L275" i="8"/>
  <c r="H275" i="8"/>
  <c r="G275" i="8"/>
  <c r="F275" i="8"/>
  <c r="E275" i="8"/>
  <c r="D275" i="8"/>
  <c r="C275" i="8"/>
  <c r="B275" i="8"/>
  <c r="BJ274" i="8"/>
  <c r="BI274" i="8"/>
  <c r="BH274" i="8"/>
  <c r="BG274" i="8"/>
  <c r="BF274" i="8"/>
  <c r="BE274" i="8"/>
  <c r="BD274" i="8"/>
  <c r="BC274" i="8"/>
  <c r="BB274" i="8"/>
  <c r="BA274" i="8"/>
  <c r="AZ274" i="8"/>
  <c r="AY274" i="8"/>
  <c r="AX274" i="8"/>
  <c r="AW274" i="8"/>
  <c r="AV274" i="8"/>
  <c r="AU274" i="8"/>
  <c r="L274" i="8"/>
  <c r="H274" i="8"/>
  <c r="G274" i="8"/>
  <c r="F274" i="8"/>
  <c r="E274" i="8"/>
  <c r="D274" i="8"/>
  <c r="C274" i="8"/>
  <c r="B274" i="8"/>
  <c r="BJ273" i="8"/>
  <c r="BI273" i="8"/>
  <c r="BH273" i="8"/>
  <c r="BG273" i="8"/>
  <c r="BF273" i="8"/>
  <c r="BE273" i="8"/>
  <c r="BD273" i="8"/>
  <c r="BC273" i="8"/>
  <c r="BB273" i="8"/>
  <c r="BA273" i="8"/>
  <c r="AZ273" i="8"/>
  <c r="AY273" i="8"/>
  <c r="AX273" i="8"/>
  <c r="AW273" i="8"/>
  <c r="AV273" i="8"/>
  <c r="AU273" i="8"/>
  <c r="S273" i="8"/>
  <c r="R273" i="8"/>
  <c r="Q273" i="8"/>
  <c r="P273" i="8"/>
  <c r="O273" i="8"/>
  <c r="N273" i="8"/>
  <c r="M273" i="8"/>
  <c r="L273" i="8"/>
  <c r="H273" i="8"/>
  <c r="G273" i="8"/>
  <c r="F273" i="8"/>
  <c r="E273" i="8"/>
  <c r="D273" i="8"/>
  <c r="C273" i="8"/>
  <c r="B273" i="8"/>
  <c r="BJ272" i="8"/>
  <c r="BI272" i="8"/>
  <c r="BH272" i="8"/>
  <c r="BG272" i="8"/>
  <c r="BF272" i="8"/>
  <c r="BE272" i="8"/>
  <c r="BD272" i="8"/>
  <c r="BC272" i="8"/>
  <c r="BB272" i="8"/>
  <c r="BA272" i="8"/>
  <c r="AZ272" i="8"/>
  <c r="AY272" i="8"/>
  <c r="AX272" i="8"/>
  <c r="AW272" i="8"/>
  <c r="AV272" i="8"/>
  <c r="AU272" i="8"/>
  <c r="V272" i="8"/>
  <c r="U272" i="8"/>
  <c r="S272" i="8"/>
  <c r="R272" i="8"/>
  <c r="O272" i="8"/>
  <c r="N272" i="8"/>
  <c r="L272" i="8"/>
  <c r="H272" i="8"/>
  <c r="G272" i="8"/>
  <c r="F272" i="8"/>
  <c r="E272" i="8"/>
  <c r="D272" i="8"/>
  <c r="C272" i="8"/>
  <c r="B272" i="8"/>
  <c r="BJ271" i="8"/>
  <c r="BI271" i="8"/>
  <c r="BH271" i="8"/>
  <c r="BG271" i="8"/>
  <c r="BF271" i="8"/>
  <c r="BE271" i="8"/>
  <c r="BD271" i="8"/>
  <c r="BC271" i="8"/>
  <c r="BB271" i="8"/>
  <c r="BA271" i="8"/>
  <c r="AZ271" i="8"/>
  <c r="AY271" i="8"/>
  <c r="AX271" i="8"/>
  <c r="AW271" i="8"/>
  <c r="AV271" i="8"/>
  <c r="AU271" i="8"/>
  <c r="L271" i="8"/>
  <c r="H271" i="8"/>
  <c r="G271" i="8"/>
  <c r="F271" i="8"/>
  <c r="E271" i="8"/>
  <c r="D271" i="8"/>
  <c r="C271" i="8"/>
  <c r="B271" i="8"/>
  <c r="BJ270" i="8"/>
  <c r="BI270" i="8"/>
  <c r="BH270" i="8"/>
  <c r="BG270" i="8"/>
  <c r="BF270" i="8"/>
  <c r="BE270" i="8"/>
  <c r="BD270" i="8"/>
  <c r="BC270" i="8"/>
  <c r="BB270" i="8"/>
  <c r="BA270" i="8"/>
  <c r="AZ270" i="8"/>
  <c r="AY270" i="8"/>
  <c r="AX270" i="8"/>
  <c r="AW270" i="8"/>
  <c r="AV270" i="8"/>
  <c r="AU270" i="8"/>
  <c r="L270" i="8"/>
  <c r="H270" i="8"/>
  <c r="G270" i="8"/>
  <c r="F270" i="8"/>
  <c r="E270" i="8"/>
  <c r="D270" i="8"/>
  <c r="C270" i="8"/>
  <c r="B270" i="8"/>
  <c r="BJ269" i="8"/>
  <c r="BI269" i="8"/>
  <c r="BH269" i="8"/>
  <c r="BG269" i="8"/>
  <c r="BF269" i="8"/>
  <c r="BE269" i="8"/>
  <c r="BD269" i="8"/>
  <c r="BC269" i="8"/>
  <c r="BB269" i="8"/>
  <c r="BA269" i="8"/>
  <c r="AZ269" i="8"/>
  <c r="AY269" i="8"/>
  <c r="AX269" i="8"/>
  <c r="AW269" i="8"/>
  <c r="AV269" i="8"/>
  <c r="AU269" i="8"/>
  <c r="L269" i="8"/>
  <c r="H269" i="8"/>
  <c r="G269" i="8"/>
  <c r="F269" i="8"/>
  <c r="E269" i="8"/>
  <c r="D269" i="8"/>
  <c r="C269" i="8"/>
  <c r="B269" i="8"/>
  <c r="BJ268" i="8"/>
  <c r="BI268" i="8"/>
  <c r="BH268" i="8"/>
  <c r="BG268" i="8"/>
  <c r="BF268" i="8"/>
  <c r="BE268" i="8"/>
  <c r="BD268" i="8"/>
  <c r="BC268" i="8"/>
  <c r="BB268" i="8"/>
  <c r="BA268" i="8"/>
  <c r="AZ268" i="8"/>
  <c r="AY268" i="8"/>
  <c r="AX268" i="8"/>
  <c r="AW268" i="8"/>
  <c r="AV268" i="8"/>
  <c r="AU268" i="8"/>
  <c r="U268" i="8"/>
  <c r="S268" i="8"/>
  <c r="R268" i="8"/>
  <c r="Q268" i="8"/>
  <c r="P268" i="8"/>
  <c r="N268" i="8"/>
  <c r="M268" i="8"/>
  <c r="L268" i="8"/>
  <c r="K268" i="8"/>
  <c r="J268" i="8"/>
  <c r="I268" i="8"/>
  <c r="H268" i="8"/>
  <c r="G268" i="8"/>
  <c r="F268" i="8"/>
  <c r="E268" i="8"/>
  <c r="D268" i="8"/>
  <c r="C268" i="8"/>
  <c r="B268" i="8"/>
  <c r="BJ267" i="8"/>
  <c r="BI267" i="8"/>
  <c r="BH267" i="8"/>
  <c r="BG267" i="8"/>
  <c r="BF267" i="8"/>
  <c r="BE267" i="8"/>
  <c r="BD267" i="8"/>
  <c r="BC267" i="8"/>
  <c r="BB267" i="8"/>
  <c r="BA267" i="8"/>
  <c r="AZ267" i="8"/>
  <c r="AY267" i="8"/>
  <c r="AX267" i="8"/>
  <c r="AW267" i="8"/>
  <c r="AV267" i="8"/>
  <c r="AU267" i="8"/>
  <c r="L267" i="8"/>
  <c r="H267" i="8"/>
  <c r="G267" i="8"/>
  <c r="F267" i="8"/>
  <c r="E267" i="8"/>
  <c r="D267" i="8"/>
  <c r="C267" i="8"/>
  <c r="B267" i="8"/>
  <c r="BJ266" i="8"/>
  <c r="BI266" i="8"/>
  <c r="BH266" i="8"/>
  <c r="BG266" i="8"/>
  <c r="BF266" i="8"/>
  <c r="BE266" i="8"/>
  <c r="BD266" i="8"/>
  <c r="BC266" i="8"/>
  <c r="BB266" i="8"/>
  <c r="BA266" i="8"/>
  <c r="AZ266" i="8"/>
  <c r="AY266" i="8"/>
  <c r="AX266" i="8"/>
  <c r="AW266" i="8"/>
  <c r="AV266" i="8"/>
  <c r="AU266" i="8"/>
  <c r="L266" i="8"/>
  <c r="H266" i="8"/>
  <c r="G266" i="8"/>
  <c r="F266" i="8"/>
  <c r="E266" i="8"/>
  <c r="D266" i="8"/>
  <c r="C266" i="8"/>
  <c r="B266" i="8"/>
  <c r="BJ265" i="8"/>
  <c r="BI265" i="8"/>
  <c r="BH265" i="8"/>
  <c r="BG265" i="8"/>
  <c r="BF265" i="8"/>
  <c r="BE265" i="8"/>
  <c r="BD265" i="8"/>
  <c r="BC265" i="8"/>
  <c r="BB265" i="8"/>
  <c r="BA265" i="8"/>
  <c r="AZ265" i="8"/>
  <c r="AY265" i="8"/>
  <c r="AX265" i="8"/>
  <c r="AW265" i="8"/>
  <c r="AV265" i="8"/>
  <c r="AU265" i="8"/>
  <c r="L265" i="8"/>
  <c r="H265" i="8"/>
  <c r="G265" i="8"/>
  <c r="F265" i="8"/>
  <c r="E265" i="8"/>
  <c r="D265" i="8"/>
  <c r="C265" i="8"/>
  <c r="B265" i="8"/>
  <c r="BJ264" i="8"/>
  <c r="BI264" i="8"/>
  <c r="BH264" i="8"/>
  <c r="BG264" i="8"/>
  <c r="BF264" i="8"/>
  <c r="BE264" i="8"/>
  <c r="BD264" i="8"/>
  <c r="BC264" i="8"/>
  <c r="BB264" i="8"/>
  <c r="BA264" i="8"/>
  <c r="AZ264" i="8"/>
  <c r="AY264" i="8"/>
  <c r="AX264" i="8"/>
  <c r="AW264" i="8"/>
  <c r="AV264" i="8"/>
  <c r="AU264" i="8"/>
  <c r="L264" i="8"/>
  <c r="H264" i="8"/>
  <c r="G264" i="8"/>
  <c r="F264" i="8"/>
  <c r="E264" i="8"/>
  <c r="D264" i="8"/>
  <c r="C264" i="8"/>
  <c r="B264" i="8"/>
  <c r="BJ263" i="8"/>
  <c r="BI263" i="8"/>
  <c r="BH263" i="8"/>
  <c r="BG263" i="8"/>
  <c r="BF263" i="8"/>
  <c r="BE263" i="8"/>
  <c r="BD263" i="8"/>
  <c r="BC263" i="8"/>
  <c r="BB263" i="8"/>
  <c r="BA263" i="8"/>
  <c r="AZ263" i="8"/>
  <c r="AY263" i="8"/>
  <c r="AX263" i="8"/>
  <c r="AW263" i="8"/>
  <c r="AV263" i="8"/>
  <c r="AU263" i="8"/>
  <c r="L263" i="8"/>
  <c r="H263" i="8"/>
  <c r="G263" i="8"/>
  <c r="F263" i="8"/>
  <c r="E263" i="8"/>
  <c r="D263" i="8"/>
  <c r="C263" i="8"/>
  <c r="B263" i="8"/>
  <c r="BJ262" i="8"/>
  <c r="BI262" i="8"/>
  <c r="BH262" i="8"/>
  <c r="BG262" i="8"/>
  <c r="BF262" i="8"/>
  <c r="BE262" i="8"/>
  <c r="BD262" i="8"/>
  <c r="BC262" i="8"/>
  <c r="BB262" i="8"/>
  <c r="BA262" i="8"/>
  <c r="AZ262" i="8"/>
  <c r="AY262" i="8"/>
  <c r="AX262" i="8"/>
  <c r="AW262" i="8"/>
  <c r="AV262" i="8"/>
  <c r="AU262" i="8"/>
  <c r="V262" i="8"/>
  <c r="U262" i="8"/>
  <c r="T262" i="8"/>
  <c r="S262" i="8"/>
  <c r="R262" i="8"/>
  <c r="O262" i="8"/>
  <c r="N262" i="8"/>
  <c r="M262" i="8"/>
  <c r="L262" i="8"/>
  <c r="K262" i="8"/>
  <c r="J262" i="8"/>
  <c r="H262" i="8"/>
  <c r="G262" i="8"/>
  <c r="F262" i="8"/>
  <c r="E262" i="8"/>
  <c r="D262" i="8"/>
  <c r="C262" i="8"/>
  <c r="B262" i="8"/>
  <c r="BJ261" i="8"/>
  <c r="BI261" i="8"/>
  <c r="BH261" i="8"/>
  <c r="BG261" i="8"/>
  <c r="BF261" i="8"/>
  <c r="BE261" i="8"/>
  <c r="BD261" i="8"/>
  <c r="BC261" i="8"/>
  <c r="BB261" i="8"/>
  <c r="BA261" i="8"/>
  <c r="AZ261" i="8"/>
  <c r="AY261" i="8"/>
  <c r="AX261" i="8"/>
  <c r="AW261" i="8"/>
  <c r="AV261" i="8"/>
  <c r="AU261" i="8"/>
  <c r="L261" i="8"/>
  <c r="H261" i="8"/>
  <c r="G261" i="8"/>
  <c r="F261" i="8"/>
  <c r="E261" i="8"/>
  <c r="D261" i="8"/>
  <c r="C261" i="8"/>
  <c r="B261" i="8"/>
  <c r="BJ260" i="8"/>
  <c r="BI260" i="8"/>
  <c r="BH260" i="8"/>
  <c r="BG260" i="8"/>
  <c r="BF260" i="8"/>
  <c r="BE260" i="8"/>
  <c r="BD260" i="8"/>
  <c r="BC260" i="8"/>
  <c r="BB260" i="8"/>
  <c r="BA260" i="8"/>
  <c r="AZ260" i="8"/>
  <c r="AY260" i="8"/>
  <c r="AX260" i="8"/>
  <c r="AW260" i="8"/>
  <c r="AV260" i="8"/>
  <c r="AU260" i="8"/>
  <c r="L260" i="8"/>
  <c r="H260" i="8"/>
  <c r="G260" i="8"/>
  <c r="F260" i="8"/>
  <c r="E260" i="8"/>
  <c r="D260" i="8"/>
  <c r="C260" i="8"/>
  <c r="B260" i="8"/>
  <c r="BJ259" i="8"/>
  <c r="BI259" i="8"/>
  <c r="BH259" i="8"/>
  <c r="BG259" i="8"/>
  <c r="BF259" i="8"/>
  <c r="BE259" i="8"/>
  <c r="BD259" i="8"/>
  <c r="BC259" i="8"/>
  <c r="BB259" i="8"/>
  <c r="BA259" i="8"/>
  <c r="AZ259" i="8"/>
  <c r="AY259" i="8"/>
  <c r="AX259" i="8"/>
  <c r="AW259" i="8"/>
  <c r="AV259" i="8"/>
  <c r="AU259" i="8"/>
  <c r="L259" i="8"/>
  <c r="H259" i="8"/>
  <c r="G259" i="8"/>
  <c r="F259" i="8"/>
  <c r="E259" i="8"/>
  <c r="D259" i="8"/>
  <c r="C259" i="8"/>
  <c r="B259" i="8"/>
  <c r="BJ258" i="8"/>
  <c r="BI258" i="8"/>
  <c r="BH258" i="8"/>
  <c r="BG258" i="8"/>
  <c r="BF258" i="8"/>
  <c r="BE258" i="8"/>
  <c r="BD258" i="8"/>
  <c r="BC258" i="8"/>
  <c r="BB258" i="8"/>
  <c r="BA258" i="8"/>
  <c r="AZ258" i="8"/>
  <c r="AY258" i="8"/>
  <c r="AX258" i="8"/>
  <c r="AW258" i="8"/>
  <c r="AV258" i="8"/>
  <c r="AU258" i="8"/>
  <c r="T258" i="8"/>
  <c r="S258" i="8"/>
  <c r="R258" i="8"/>
  <c r="Q258" i="8"/>
  <c r="P258" i="8"/>
  <c r="N258" i="8"/>
  <c r="M258" i="8"/>
  <c r="L258" i="8"/>
  <c r="J258" i="8"/>
  <c r="I258" i="8"/>
  <c r="H258" i="8"/>
  <c r="G258" i="8"/>
  <c r="F258" i="8"/>
  <c r="E258" i="8"/>
  <c r="D258" i="8"/>
  <c r="C258" i="8"/>
  <c r="B258" i="8"/>
  <c r="BJ257" i="8"/>
  <c r="BI257" i="8"/>
  <c r="BH257" i="8"/>
  <c r="BG257" i="8"/>
  <c r="BF257" i="8"/>
  <c r="BE257" i="8"/>
  <c r="BD257" i="8"/>
  <c r="BC257" i="8"/>
  <c r="BB257" i="8"/>
  <c r="BA257" i="8"/>
  <c r="AZ257" i="8"/>
  <c r="AY257" i="8"/>
  <c r="AX257" i="8"/>
  <c r="AW257" i="8"/>
  <c r="AV257" i="8"/>
  <c r="AU257" i="8"/>
  <c r="L257" i="8"/>
  <c r="H257" i="8"/>
  <c r="G257" i="8"/>
  <c r="F257" i="8"/>
  <c r="E257" i="8"/>
  <c r="D257" i="8"/>
  <c r="C257" i="8"/>
  <c r="B257" i="8"/>
  <c r="BJ256" i="8"/>
  <c r="BI256" i="8"/>
  <c r="BH256" i="8"/>
  <c r="BG256" i="8"/>
  <c r="BF256" i="8"/>
  <c r="BE256" i="8"/>
  <c r="BD256" i="8"/>
  <c r="BC256" i="8"/>
  <c r="BB256" i="8"/>
  <c r="BA256" i="8"/>
  <c r="AZ256" i="8"/>
  <c r="AY256" i="8"/>
  <c r="AX256" i="8"/>
  <c r="AW256" i="8"/>
  <c r="AV256" i="8"/>
  <c r="AU256" i="8"/>
  <c r="L256" i="8"/>
  <c r="H256" i="8"/>
  <c r="G256" i="8"/>
  <c r="F256" i="8"/>
  <c r="E256" i="8"/>
  <c r="D256" i="8"/>
  <c r="C256" i="8"/>
  <c r="B256" i="8"/>
  <c r="BJ255" i="8"/>
  <c r="BI255" i="8"/>
  <c r="BH255" i="8"/>
  <c r="BG255" i="8"/>
  <c r="BF255" i="8"/>
  <c r="BE255" i="8"/>
  <c r="BD255" i="8"/>
  <c r="BC255" i="8"/>
  <c r="BB255" i="8"/>
  <c r="BA255" i="8"/>
  <c r="AZ255" i="8"/>
  <c r="AY255" i="8"/>
  <c r="AX255" i="8"/>
  <c r="AW255" i="8"/>
  <c r="AV255" i="8"/>
  <c r="AU255" i="8"/>
  <c r="V255" i="8"/>
  <c r="U255" i="8"/>
  <c r="S255" i="8"/>
  <c r="R255" i="8"/>
  <c r="Q255" i="8"/>
  <c r="P255" i="8"/>
  <c r="N255" i="8"/>
  <c r="M255" i="8"/>
  <c r="L255" i="8"/>
  <c r="K255" i="8"/>
  <c r="J255" i="8"/>
  <c r="H255" i="8"/>
  <c r="G255" i="8"/>
  <c r="F255" i="8"/>
  <c r="E255" i="8"/>
  <c r="D255" i="8"/>
  <c r="C255" i="8"/>
  <c r="B255" i="8"/>
  <c r="BJ254" i="8"/>
  <c r="BI254" i="8"/>
  <c r="BH254" i="8"/>
  <c r="BG254" i="8"/>
  <c r="BF254" i="8"/>
  <c r="BE254" i="8"/>
  <c r="BD254" i="8"/>
  <c r="BC254" i="8"/>
  <c r="BB254" i="8"/>
  <c r="BA254" i="8"/>
  <c r="AZ254" i="8"/>
  <c r="AY254" i="8"/>
  <c r="AX254" i="8"/>
  <c r="AW254" i="8"/>
  <c r="AV254" i="8"/>
  <c r="AU254" i="8"/>
  <c r="L254" i="8"/>
  <c r="H254" i="8"/>
  <c r="G254" i="8"/>
  <c r="F254" i="8"/>
  <c r="E254" i="8"/>
  <c r="D254" i="8"/>
  <c r="C254" i="8"/>
  <c r="B254" i="8"/>
  <c r="BJ253" i="8"/>
  <c r="BI253" i="8"/>
  <c r="BH253" i="8"/>
  <c r="BG253" i="8"/>
  <c r="BF253" i="8"/>
  <c r="BE253" i="8"/>
  <c r="BD253" i="8"/>
  <c r="BC253" i="8"/>
  <c r="BB253" i="8"/>
  <c r="BA253" i="8"/>
  <c r="AZ253" i="8"/>
  <c r="AY253" i="8"/>
  <c r="AX253" i="8"/>
  <c r="AW253" i="8"/>
  <c r="AV253" i="8"/>
  <c r="AU253" i="8"/>
  <c r="L253" i="8"/>
  <c r="H253" i="8"/>
  <c r="G253" i="8"/>
  <c r="F253" i="8"/>
  <c r="E253" i="8"/>
  <c r="D253" i="8"/>
  <c r="C253" i="8"/>
  <c r="B253" i="8"/>
  <c r="BJ252" i="8"/>
  <c r="BI252" i="8"/>
  <c r="BH252" i="8"/>
  <c r="BG252" i="8"/>
  <c r="BF252" i="8"/>
  <c r="BE252" i="8"/>
  <c r="BD252" i="8"/>
  <c r="BC252" i="8"/>
  <c r="BB252" i="8"/>
  <c r="BA252" i="8"/>
  <c r="AZ252" i="8"/>
  <c r="AY252" i="8"/>
  <c r="AX252" i="8"/>
  <c r="AW252" i="8"/>
  <c r="AV252" i="8"/>
  <c r="AU252" i="8"/>
  <c r="L252" i="8"/>
  <c r="H252" i="8"/>
  <c r="G252" i="8"/>
  <c r="F252" i="8"/>
  <c r="E252" i="8"/>
  <c r="D252" i="8"/>
  <c r="C252" i="8"/>
  <c r="B252" i="8"/>
  <c r="BJ251" i="8"/>
  <c r="BI251" i="8"/>
  <c r="BH251" i="8"/>
  <c r="BG251" i="8"/>
  <c r="BF251" i="8"/>
  <c r="BE251" i="8"/>
  <c r="BD251" i="8"/>
  <c r="BC251" i="8"/>
  <c r="BB251" i="8"/>
  <c r="BA251" i="8"/>
  <c r="AZ251" i="8"/>
  <c r="AY251" i="8"/>
  <c r="AX251" i="8"/>
  <c r="AW251" i="8"/>
  <c r="AV251" i="8"/>
  <c r="AU251" i="8"/>
  <c r="L251" i="8"/>
  <c r="H251" i="8"/>
  <c r="G251" i="8"/>
  <c r="F251" i="8"/>
  <c r="E251" i="8"/>
  <c r="D251" i="8"/>
  <c r="C251" i="8"/>
  <c r="B251" i="8"/>
  <c r="BJ250" i="8"/>
  <c r="BI250" i="8"/>
  <c r="BH250" i="8"/>
  <c r="BG250" i="8"/>
  <c r="BF250" i="8"/>
  <c r="BE250" i="8"/>
  <c r="BD250" i="8"/>
  <c r="BC250" i="8"/>
  <c r="BB250" i="8"/>
  <c r="BA250" i="8"/>
  <c r="AZ250" i="8"/>
  <c r="AY250" i="8"/>
  <c r="AX250" i="8"/>
  <c r="AW250" i="8"/>
  <c r="AV250" i="8"/>
  <c r="AU250" i="8"/>
  <c r="L250" i="8"/>
  <c r="H250" i="8"/>
  <c r="G250" i="8"/>
  <c r="F250" i="8"/>
  <c r="E250" i="8"/>
  <c r="D250" i="8"/>
  <c r="C250" i="8"/>
  <c r="B250" i="8"/>
  <c r="BJ249" i="8"/>
  <c r="BI249" i="8"/>
  <c r="BH249" i="8"/>
  <c r="BG249" i="8"/>
  <c r="BF249" i="8"/>
  <c r="BE249" i="8"/>
  <c r="BD249" i="8"/>
  <c r="BC249" i="8"/>
  <c r="BB249" i="8"/>
  <c r="BA249" i="8"/>
  <c r="AZ249" i="8"/>
  <c r="AY249" i="8"/>
  <c r="AX249" i="8"/>
  <c r="AW249" i="8"/>
  <c r="AV249" i="8"/>
  <c r="AU249" i="8"/>
  <c r="V249" i="8"/>
  <c r="U249" i="8"/>
  <c r="T249" i="8"/>
  <c r="S249" i="8"/>
  <c r="R249" i="8"/>
  <c r="Q249" i="8"/>
  <c r="P249" i="8"/>
  <c r="N249" i="8"/>
  <c r="M249" i="8"/>
  <c r="L249" i="8"/>
  <c r="K249" i="8"/>
  <c r="J249" i="8"/>
  <c r="I249" i="8"/>
  <c r="H249" i="8"/>
  <c r="G249" i="8"/>
  <c r="F249" i="8"/>
  <c r="E249" i="8"/>
  <c r="D249" i="8"/>
  <c r="C249" i="8"/>
  <c r="B249" i="8"/>
  <c r="BJ248" i="8"/>
  <c r="BI248" i="8"/>
  <c r="BH248" i="8"/>
  <c r="BG248" i="8"/>
  <c r="BF248" i="8"/>
  <c r="BE248" i="8"/>
  <c r="BD248" i="8"/>
  <c r="BC248" i="8"/>
  <c r="BB248" i="8"/>
  <c r="BA248" i="8"/>
  <c r="AZ248" i="8"/>
  <c r="AY248" i="8"/>
  <c r="AX248" i="8"/>
  <c r="AW248" i="8"/>
  <c r="AV248" i="8"/>
  <c r="AU248" i="8"/>
  <c r="V248" i="8"/>
  <c r="U248" i="8"/>
  <c r="T248" i="8"/>
  <c r="L248" i="8"/>
  <c r="J248" i="8"/>
  <c r="I248" i="8"/>
  <c r="H248" i="8"/>
  <c r="G248" i="8"/>
  <c r="F248" i="8"/>
  <c r="E248" i="8"/>
  <c r="D248" i="8"/>
  <c r="C248" i="8"/>
  <c r="B248" i="8"/>
  <c r="BJ247" i="8"/>
  <c r="BI247" i="8"/>
  <c r="BH247" i="8"/>
  <c r="BG247" i="8"/>
  <c r="BF247" i="8"/>
  <c r="BE247" i="8"/>
  <c r="BD247" i="8"/>
  <c r="BC247" i="8"/>
  <c r="BB247" i="8"/>
  <c r="BA247" i="8"/>
  <c r="AZ247" i="8"/>
  <c r="AY247" i="8"/>
  <c r="AX247" i="8"/>
  <c r="AW247" i="8"/>
  <c r="AV247" i="8"/>
  <c r="AU247" i="8"/>
  <c r="V247" i="8"/>
  <c r="U247" i="8"/>
  <c r="L247" i="8"/>
  <c r="J247" i="8"/>
  <c r="H247" i="8"/>
  <c r="G247" i="8"/>
  <c r="F247" i="8"/>
  <c r="E247" i="8"/>
  <c r="D247" i="8"/>
  <c r="C247" i="8"/>
  <c r="B247" i="8"/>
  <c r="BJ246" i="8"/>
  <c r="BI246" i="8"/>
  <c r="BH246" i="8"/>
  <c r="BG246" i="8"/>
  <c r="BF246" i="8"/>
  <c r="BE246" i="8"/>
  <c r="BD246" i="8"/>
  <c r="BC246" i="8"/>
  <c r="BB246" i="8"/>
  <c r="BA246" i="8"/>
  <c r="AZ246" i="8"/>
  <c r="AY246" i="8"/>
  <c r="AX246" i="8"/>
  <c r="AW246" i="8"/>
  <c r="AV246" i="8"/>
  <c r="AU246" i="8"/>
  <c r="V246" i="8"/>
  <c r="U246" i="8"/>
  <c r="T246" i="8"/>
  <c r="L246" i="8"/>
  <c r="J246" i="8"/>
  <c r="I246" i="8"/>
  <c r="H246" i="8"/>
  <c r="G246" i="8"/>
  <c r="F246" i="8"/>
  <c r="E246" i="8"/>
  <c r="D246" i="8"/>
  <c r="C246" i="8"/>
  <c r="B246" i="8"/>
  <c r="BJ245" i="8"/>
  <c r="BI245" i="8"/>
  <c r="BH245" i="8"/>
  <c r="BG245" i="8"/>
  <c r="BF245" i="8"/>
  <c r="BE245" i="8"/>
  <c r="BD245" i="8"/>
  <c r="BC245" i="8"/>
  <c r="BB245" i="8"/>
  <c r="BA245" i="8"/>
  <c r="AZ245" i="8"/>
  <c r="AY245" i="8"/>
  <c r="AX245" i="8"/>
  <c r="AW245" i="8"/>
  <c r="AV245" i="8"/>
  <c r="AU245" i="8"/>
  <c r="V245" i="8"/>
  <c r="U245" i="8"/>
  <c r="T245" i="8"/>
  <c r="L245" i="8"/>
  <c r="J245" i="8"/>
  <c r="I245" i="8"/>
  <c r="H245" i="8"/>
  <c r="G245" i="8"/>
  <c r="F245" i="8"/>
  <c r="E245" i="8"/>
  <c r="D245" i="8"/>
  <c r="C245" i="8"/>
  <c r="B245" i="8"/>
  <c r="BJ244" i="8"/>
  <c r="BI244" i="8"/>
  <c r="BH244" i="8"/>
  <c r="BG244" i="8"/>
  <c r="BF244" i="8"/>
  <c r="BE244" i="8"/>
  <c r="BD244" i="8"/>
  <c r="BC244" i="8"/>
  <c r="BB244" i="8"/>
  <c r="BA244" i="8"/>
  <c r="AZ244" i="8"/>
  <c r="AY244" i="8"/>
  <c r="AX244" i="8"/>
  <c r="AW244" i="8"/>
  <c r="AV244" i="8"/>
  <c r="AU244" i="8"/>
  <c r="V244" i="8"/>
  <c r="U244" i="8"/>
  <c r="T244" i="8"/>
  <c r="L244" i="8"/>
  <c r="J244" i="8"/>
  <c r="I244" i="8"/>
  <c r="H244" i="8"/>
  <c r="G244" i="8"/>
  <c r="F244" i="8"/>
  <c r="E244" i="8"/>
  <c r="D244" i="8"/>
  <c r="C244" i="8"/>
  <c r="B244" i="8"/>
  <c r="BJ243" i="8"/>
  <c r="BI243" i="8"/>
  <c r="BH243" i="8"/>
  <c r="BG243" i="8"/>
  <c r="BF243" i="8"/>
  <c r="BE243" i="8"/>
  <c r="BD243" i="8"/>
  <c r="BC243" i="8"/>
  <c r="BB243" i="8"/>
  <c r="BA243" i="8"/>
  <c r="AZ243" i="8"/>
  <c r="AY243" i="8"/>
  <c r="AX243" i="8"/>
  <c r="AW243" i="8"/>
  <c r="AV243" i="8"/>
  <c r="AU243" i="8"/>
  <c r="V243" i="8"/>
  <c r="U243" i="8"/>
  <c r="T243" i="8"/>
  <c r="L243" i="8"/>
  <c r="K243" i="8"/>
  <c r="J243" i="8"/>
  <c r="I243" i="8"/>
  <c r="H243" i="8"/>
  <c r="G243" i="8"/>
  <c r="F243" i="8"/>
  <c r="E243" i="8"/>
  <c r="D243" i="8"/>
  <c r="C243" i="8"/>
  <c r="B243" i="8"/>
  <c r="BJ242" i="8"/>
  <c r="BI242" i="8"/>
  <c r="BH242" i="8"/>
  <c r="BG242" i="8"/>
  <c r="BF242" i="8"/>
  <c r="BE242" i="8"/>
  <c r="BD242" i="8"/>
  <c r="BC242" i="8"/>
  <c r="BB242" i="8"/>
  <c r="BA242" i="8"/>
  <c r="AZ242" i="8"/>
  <c r="AY242" i="8"/>
  <c r="AX242" i="8"/>
  <c r="AW242" i="8"/>
  <c r="AV242" i="8"/>
  <c r="AU242" i="8"/>
  <c r="T242" i="8"/>
  <c r="S242" i="8"/>
  <c r="R242" i="8"/>
  <c r="Q242" i="8"/>
  <c r="P242" i="8"/>
  <c r="N242" i="8"/>
  <c r="M242" i="8"/>
  <c r="L242" i="8"/>
  <c r="K242" i="8"/>
  <c r="J242" i="8"/>
  <c r="I242" i="8"/>
  <c r="H242" i="8"/>
  <c r="G242" i="8"/>
  <c r="F242" i="8"/>
  <c r="E242" i="8"/>
  <c r="D242" i="8"/>
  <c r="C242" i="8"/>
  <c r="B242" i="8"/>
  <c r="BJ241" i="8"/>
  <c r="BI241" i="8"/>
  <c r="BH241" i="8"/>
  <c r="BG241" i="8"/>
  <c r="BF241" i="8"/>
  <c r="BE241" i="8"/>
  <c r="BD241" i="8"/>
  <c r="BC241" i="8"/>
  <c r="BB241" i="8"/>
  <c r="BA241" i="8"/>
  <c r="AZ241" i="8"/>
  <c r="AY241" i="8"/>
  <c r="AX241" i="8"/>
  <c r="AW241" i="8"/>
  <c r="AV241" i="8"/>
  <c r="AU241" i="8"/>
  <c r="L241" i="8"/>
  <c r="H241" i="8"/>
  <c r="G241" i="8"/>
  <c r="F241" i="8"/>
  <c r="E241" i="8"/>
  <c r="D241" i="8"/>
  <c r="C241" i="8"/>
  <c r="B241" i="8"/>
  <c r="BJ240" i="8"/>
  <c r="BI240" i="8"/>
  <c r="BH240" i="8"/>
  <c r="BG240" i="8"/>
  <c r="BF240" i="8"/>
  <c r="BE240" i="8"/>
  <c r="BD240" i="8"/>
  <c r="BC240" i="8"/>
  <c r="BB240" i="8"/>
  <c r="BA240" i="8"/>
  <c r="AZ240" i="8"/>
  <c r="AY240" i="8"/>
  <c r="AX240" i="8"/>
  <c r="AW240" i="8"/>
  <c r="AV240" i="8"/>
  <c r="AU240" i="8"/>
  <c r="L240" i="8"/>
  <c r="H240" i="8"/>
  <c r="G240" i="8"/>
  <c r="F240" i="8"/>
  <c r="E240" i="8"/>
  <c r="D240" i="8"/>
  <c r="C240" i="8"/>
  <c r="B240" i="8"/>
  <c r="BJ239" i="8"/>
  <c r="BI239" i="8"/>
  <c r="BH239" i="8"/>
  <c r="BG239" i="8"/>
  <c r="BF239" i="8"/>
  <c r="BE239" i="8"/>
  <c r="BD239" i="8"/>
  <c r="BC239" i="8"/>
  <c r="BB239" i="8"/>
  <c r="BA239" i="8"/>
  <c r="AZ239" i="8"/>
  <c r="AY239" i="8"/>
  <c r="AX239" i="8"/>
  <c r="AW239" i="8"/>
  <c r="AV239" i="8"/>
  <c r="AU239" i="8"/>
  <c r="L239" i="8"/>
  <c r="H239" i="8"/>
  <c r="G239" i="8"/>
  <c r="F239" i="8"/>
  <c r="E239" i="8"/>
  <c r="D239" i="8"/>
  <c r="C239" i="8"/>
  <c r="B239" i="8"/>
  <c r="BJ238" i="8"/>
  <c r="BI238" i="8"/>
  <c r="BH238" i="8"/>
  <c r="BG238" i="8"/>
  <c r="BF238" i="8"/>
  <c r="BE238" i="8"/>
  <c r="BD238" i="8"/>
  <c r="BC238" i="8"/>
  <c r="BB238" i="8"/>
  <c r="BA238" i="8"/>
  <c r="AZ238" i="8"/>
  <c r="AY238" i="8"/>
  <c r="AX238" i="8"/>
  <c r="AW238" i="8"/>
  <c r="AV238" i="8"/>
  <c r="AU238" i="8"/>
  <c r="L238" i="8"/>
  <c r="H238" i="8"/>
  <c r="G238" i="8"/>
  <c r="F238" i="8"/>
  <c r="E238" i="8"/>
  <c r="D238" i="8"/>
  <c r="C238" i="8"/>
  <c r="B238" i="8"/>
  <c r="BJ237" i="8"/>
  <c r="BI237" i="8"/>
  <c r="BH237" i="8"/>
  <c r="BG237" i="8"/>
  <c r="BF237" i="8"/>
  <c r="BE237" i="8"/>
  <c r="BD237" i="8"/>
  <c r="BC237" i="8"/>
  <c r="BB237" i="8"/>
  <c r="BA237" i="8"/>
  <c r="AZ237" i="8"/>
  <c r="AY237" i="8"/>
  <c r="AX237" i="8"/>
  <c r="AW237" i="8"/>
  <c r="AV237" i="8"/>
  <c r="AU237" i="8"/>
  <c r="L237" i="8"/>
  <c r="H237" i="8"/>
  <c r="G237" i="8"/>
  <c r="F237" i="8"/>
  <c r="E237" i="8"/>
  <c r="D237" i="8"/>
  <c r="C237" i="8"/>
  <c r="B237" i="8"/>
  <c r="BJ236" i="8"/>
  <c r="BI236" i="8"/>
  <c r="BH236" i="8"/>
  <c r="BG236" i="8"/>
  <c r="BF236" i="8"/>
  <c r="BE236" i="8"/>
  <c r="BD236" i="8"/>
  <c r="BC236" i="8"/>
  <c r="BB236" i="8"/>
  <c r="BA236" i="8"/>
  <c r="AZ236" i="8"/>
  <c r="AY236" i="8"/>
  <c r="AX236" i="8"/>
  <c r="AW236" i="8"/>
  <c r="AV236" i="8"/>
  <c r="AU236" i="8"/>
  <c r="L236" i="8"/>
  <c r="H236" i="8"/>
  <c r="G236" i="8"/>
  <c r="F236" i="8"/>
  <c r="E236" i="8"/>
  <c r="D236" i="8"/>
  <c r="C236" i="8"/>
  <c r="B236" i="8"/>
  <c r="BJ235" i="8"/>
  <c r="BI235" i="8"/>
  <c r="BH235" i="8"/>
  <c r="BG235" i="8"/>
  <c r="BF235" i="8"/>
  <c r="BE235" i="8"/>
  <c r="BD235" i="8"/>
  <c r="BC235" i="8"/>
  <c r="BB235" i="8"/>
  <c r="BA235" i="8"/>
  <c r="AZ235" i="8"/>
  <c r="AY235" i="8"/>
  <c r="AX235" i="8"/>
  <c r="AW235" i="8"/>
  <c r="AV235" i="8"/>
  <c r="AU235" i="8"/>
  <c r="L235" i="8"/>
  <c r="H235" i="8"/>
  <c r="G235" i="8"/>
  <c r="F235" i="8"/>
  <c r="E235" i="8"/>
  <c r="D235" i="8"/>
  <c r="C235" i="8"/>
  <c r="B235" i="8"/>
  <c r="BJ234" i="8"/>
  <c r="BI234" i="8"/>
  <c r="BH234" i="8"/>
  <c r="BG234" i="8"/>
  <c r="BF234" i="8"/>
  <c r="BE234" i="8"/>
  <c r="BD234" i="8"/>
  <c r="BC234" i="8"/>
  <c r="BB234" i="8"/>
  <c r="BA234" i="8"/>
  <c r="AZ234" i="8"/>
  <c r="AY234" i="8"/>
  <c r="AX234" i="8"/>
  <c r="AW234" i="8"/>
  <c r="AV234" i="8"/>
  <c r="AU234" i="8"/>
  <c r="L234" i="8"/>
  <c r="H234" i="8"/>
  <c r="G234" i="8"/>
  <c r="F234" i="8"/>
  <c r="E234" i="8"/>
  <c r="D234" i="8"/>
  <c r="C234" i="8"/>
  <c r="B234" i="8"/>
  <c r="BJ233" i="8"/>
  <c r="BI233" i="8"/>
  <c r="BH233" i="8"/>
  <c r="BG233" i="8"/>
  <c r="BF233" i="8"/>
  <c r="BE233" i="8"/>
  <c r="BD233" i="8"/>
  <c r="BC233" i="8"/>
  <c r="BB233" i="8"/>
  <c r="BA233" i="8"/>
  <c r="AZ233" i="8"/>
  <c r="AY233" i="8"/>
  <c r="AX233" i="8"/>
  <c r="AW233" i="8"/>
  <c r="AV233" i="8"/>
  <c r="AU233" i="8"/>
  <c r="L233" i="8"/>
  <c r="H233" i="8"/>
  <c r="G233" i="8"/>
  <c r="F233" i="8"/>
  <c r="E233" i="8"/>
  <c r="D233" i="8"/>
  <c r="C233" i="8"/>
  <c r="B233" i="8"/>
  <c r="BJ232" i="8"/>
  <c r="BI232" i="8"/>
  <c r="BH232" i="8"/>
  <c r="BG232" i="8"/>
  <c r="BF232" i="8"/>
  <c r="BE232" i="8"/>
  <c r="BD232" i="8"/>
  <c r="BC232" i="8"/>
  <c r="BB232" i="8"/>
  <c r="BA232" i="8"/>
  <c r="AZ232" i="8"/>
  <c r="AY232" i="8"/>
  <c r="AX232" i="8"/>
  <c r="AW232" i="8"/>
  <c r="AV232" i="8"/>
  <c r="AU232" i="8"/>
  <c r="L232" i="8"/>
  <c r="H232" i="8"/>
  <c r="G232" i="8"/>
  <c r="F232" i="8"/>
  <c r="E232" i="8"/>
  <c r="D232" i="8"/>
  <c r="C232" i="8"/>
  <c r="B232" i="8"/>
  <c r="BJ231" i="8"/>
  <c r="BI231" i="8"/>
  <c r="BH231" i="8"/>
  <c r="BG231" i="8"/>
  <c r="BF231" i="8"/>
  <c r="BE231" i="8"/>
  <c r="BD231" i="8"/>
  <c r="BC231" i="8"/>
  <c r="BB231" i="8"/>
  <c r="BA231" i="8"/>
  <c r="AZ231" i="8"/>
  <c r="AY231" i="8"/>
  <c r="AX231" i="8"/>
  <c r="AW231" i="8"/>
  <c r="AV231" i="8"/>
  <c r="AU231" i="8"/>
  <c r="L231" i="8"/>
  <c r="H231" i="8"/>
  <c r="G231" i="8"/>
  <c r="F231" i="8"/>
  <c r="E231" i="8"/>
  <c r="D231" i="8"/>
  <c r="C231" i="8"/>
  <c r="B231" i="8"/>
  <c r="BJ230" i="8"/>
  <c r="BI230" i="8"/>
  <c r="BH230" i="8"/>
  <c r="BG230" i="8"/>
  <c r="BF230" i="8"/>
  <c r="BE230" i="8"/>
  <c r="BD230" i="8"/>
  <c r="BC230" i="8"/>
  <c r="BB230" i="8"/>
  <c r="BA230" i="8"/>
  <c r="AZ230" i="8"/>
  <c r="AY230" i="8"/>
  <c r="AX230" i="8"/>
  <c r="AW230" i="8"/>
  <c r="AV230" i="8"/>
  <c r="AU230" i="8"/>
  <c r="L230" i="8"/>
  <c r="H230" i="8"/>
  <c r="G230" i="8"/>
  <c r="F230" i="8"/>
  <c r="E230" i="8"/>
  <c r="D230" i="8"/>
  <c r="C230" i="8"/>
  <c r="B230" i="8"/>
  <c r="BJ229" i="8"/>
  <c r="BI229" i="8"/>
  <c r="BH229" i="8"/>
  <c r="BG229" i="8"/>
  <c r="BF229" i="8"/>
  <c r="BE229" i="8"/>
  <c r="BD229" i="8"/>
  <c r="BC229" i="8"/>
  <c r="BB229" i="8"/>
  <c r="BA229" i="8"/>
  <c r="AZ229" i="8"/>
  <c r="AY229" i="8"/>
  <c r="AX229" i="8"/>
  <c r="AW229" i="8"/>
  <c r="AV229" i="8"/>
  <c r="AU229" i="8"/>
  <c r="L229" i="8"/>
  <c r="H229" i="8"/>
  <c r="G229" i="8"/>
  <c r="F229" i="8"/>
  <c r="E229" i="8"/>
  <c r="D229" i="8"/>
  <c r="C229" i="8"/>
  <c r="B229" i="8"/>
  <c r="BJ228" i="8"/>
  <c r="BI228" i="8"/>
  <c r="BH228" i="8"/>
  <c r="BG228" i="8"/>
  <c r="BF228" i="8"/>
  <c r="BE228" i="8"/>
  <c r="BD228" i="8"/>
  <c r="BC228" i="8"/>
  <c r="BB228" i="8"/>
  <c r="BA228" i="8"/>
  <c r="AZ228" i="8"/>
  <c r="AY228" i="8"/>
  <c r="AX228" i="8"/>
  <c r="AW228" i="8"/>
  <c r="AV228" i="8"/>
  <c r="AU228" i="8"/>
  <c r="L228" i="8"/>
  <c r="H228" i="8"/>
  <c r="G228" i="8"/>
  <c r="F228" i="8"/>
  <c r="E228" i="8"/>
  <c r="D228" i="8"/>
  <c r="C228" i="8"/>
  <c r="B228" i="8"/>
  <c r="BJ227" i="8"/>
  <c r="BI227" i="8"/>
  <c r="BH227" i="8"/>
  <c r="BG227" i="8"/>
  <c r="BF227" i="8"/>
  <c r="BE227" i="8"/>
  <c r="BD227" i="8"/>
  <c r="BC227" i="8"/>
  <c r="BB227" i="8"/>
  <c r="BA227" i="8"/>
  <c r="AZ227" i="8"/>
  <c r="AY227" i="8"/>
  <c r="AX227" i="8"/>
  <c r="AW227" i="8"/>
  <c r="AV227" i="8"/>
  <c r="AU227" i="8"/>
  <c r="L227" i="8"/>
  <c r="H227" i="8"/>
  <c r="G227" i="8"/>
  <c r="F227" i="8"/>
  <c r="E227" i="8"/>
  <c r="D227" i="8"/>
  <c r="C227" i="8"/>
  <c r="B227" i="8"/>
  <c r="BJ226" i="8"/>
  <c r="BI226" i="8"/>
  <c r="BH226" i="8"/>
  <c r="BG226" i="8"/>
  <c r="BF226" i="8"/>
  <c r="BE226" i="8"/>
  <c r="BD226" i="8"/>
  <c r="BC226" i="8"/>
  <c r="BB226" i="8"/>
  <c r="BA226" i="8"/>
  <c r="AZ226" i="8"/>
  <c r="AY226" i="8"/>
  <c r="AX226" i="8"/>
  <c r="AW226" i="8"/>
  <c r="AV226" i="8"/>
  <c r="AU226" i="8"/>
  <c r="L226" i="8"/>
  <c r="H226" i="8"/>
  <c r="G226" i="8"/>
  <c r="F226" i="8"/>
  <c r="E226" i="8"/>
  <c r="D226" i="8"/>
  <c r="C226" i="8"/>
  <c r="B226" i="8"/>
  <c r="BJ225" i="8"/>
  <c r="BI225" i="8"/>
  <c r="BH225" i="8"/>
  <c r="BG225" i="8"/>
  <c r="BF225" i="8"/>
  <c r="BE225" i="8"/>
  <c r="BD225" i="8"/>
  <c r="BC225" i="8"/>
  <c r="BB225" i="8"/>
  <c r="BA225" i="8"/>
  <c r="AZ225" i="8"/>
  <c r="AY225" i="8"/>
  <c r="AX225" i="8"/>
  <c r="AW225" i="8"/>
  <c r="AV225" i="8"/>
  <c r="AU225" i="8"/>
  <c r="L225" i="8"/>
  <c r="H225" i="8"/>
  <c r="G225" i="8"/>
  <c r="F225" i="8"/>
  <c r="E225" i="8"/>
  <c r="D225" i="8"/>
  <c r="C225" i="8"/>
  <c r="B225" i="8"/>
  <c r="BJ224" i="8"/>
  <c r="BI224" i="8"/>
  <c r="BH224" i="8"/>
  <c r="BG224" i="8"/>
  <c r="BF224" i="8"/>
  <c r="BE224" i="8"/>
  <c r="BD224" i="8"/>
  <c r="BC224" i="8"/>
  <c r="BB224" i="8"/>
  <c r="BA224" i="8"/>
  <c r="AZ224" i="8"/>
  <c r="AY224" i="8"/>
  <c r="AX224" i="8"/>
  <c r="AW224" i="8"/>
  <c r="AV224" i="8"/>
  <c r="AU224" i="8"/>
  <c r="L224" i="8"/>
  <c r="H224" i="8"/>
  <c r="G224" i="8"/>
  <c r="F224" i="8"/>
  <c r="E224" i="8"/>
  <c r="D224" i="8"/>
  <c r="C224" i="8"/>
  <c r="B224" i="8"/>
  <c r="BJ223" i="8"/>
  <c r="BI223" i="8"/>
  <c r="BH223" i="8"/>
  <c r="BG223" i="8"/>
  <c r="BF223" i="8"/>
  <c r="BE223" i="8"/>
  <c r="BD223" i="8"/>
  <c r="BC223" i="8"/>
  <c r="BB223" i="8"/>
  <c r="BA223" i="8"/>
  <c r="AZ223" i="8"/>
  <c r="AY223" i="8"/>
  <c r="AX223" i="8"/>
  <c r="AW223" i="8"/>
  <c r="AV223" i="8"/>
  <c r="AU223" i="8"/>
  <c r="L223" i="8"/>
  <c r="H223" i="8"/>
  <c r="G223" i="8"/>
  <c r="F223" i="8"/>
  <c r="E223" i="8"/>
  <c r="D223" i="8"/>
  <c r="C223" i="8"/>
  <c r="B223" i="8"/>
  <c r="BJ222" i="8"/>
  <c r="BI222" i="8"/>
  <c r="BH222" i="8"/>
  <c r="BG222" i="8"/>
  <c r="BF222" i="8"/>
  <c r="BE222" i="8"/>
  <c r="BD222" i="8"/>
  <c r="BC222" i="8"/>
  <c r="BB222" i="8"/>
  <c r="BA222" i="8"/>
  <c r="AZ222" i="8"/>
  <c r="AY222" i="8"/>
  <c r="AX222" i="8"/>
  <c r="AW222" i="8"/>
  <c r="AV222" i="8"/>
  <c r="AU222" i="8"/>
  <c r="L222" i="8"/>
  <c r="H222" i="8"/>
  <c r="G222" i="8"/>
  <c r="F222" i="8"/>
  <c r="E222" i="8"/>
  <c r="D222" i="8"/>
  <c r="C222" i="8"/>
  <c r="B222" i="8"/>
  <c r="BJ221" i="8"/>
  <c r="BI221" i="8"/>
  <c r="BH221" i="8"/>
  <c r="BG221" i="8"/>
  <c r="BF221" i="8"/>
  <c r="BE221" i="8"/>
  <c r="BD221" i="8"/>
  <c r="BC221" i="8"/>
  <c r="BB221" i="8"/>
  <c r="BA221" i="8"/>
  <c r="AZ221" i="8"/>
  <c r="AY221" i="8"/>
  <c r="AX221" i="8"/>
  <c r="AW221" i="8"/>
  <c r="AV221" i="8"/>
  <c r="AU221" i="8"/>
  <c r="L221" i="8"/>
  <c r="K221" i="8"/>
  <c r="J221" i="8"/>
  <c r="I221" i="8"/>
  <c r="H221" i="8"/>
  <c r="G221" i="8"/>
  <c r="F221" i="8"/>
  <c r="E221" i="8"/>
  <c r="D221" i="8"/>
  <c r="C221" i="8"/>
  <c r="B221" i="8"/>
  <c r="BJ220" i="8"/>
  <c r="BI220" i="8"/>
  <c r="BH220" i="8"/>
  <c r="BG220" i="8"/>
  <c r="BF220" i="8"/>
  <c r="BE220" i="8"/>
  <c r="BD220" i="8"/>
  <c r="BC220" i="8"/>
  <c r="BB220" i="8"/>
  <c r="BA220" i="8"/>
  <c r="AZ220" i="8"/>
  <c r="AY220" i="8"/>
  <c r="AX220" i="8"/>
  <c r="AW220" i="8"/>
  <c r="AV220" i="8"/>
  <c r="AU220" i="8"/>
  <c r="L220" i="8"/>
  <c r="H220" i="8"/>
  <c r="G220" i="8"/>
  <c r="F220" i="8"/>
  <c r="E220" i="8"/>
  <c r="D220" i="8"/>
  <c r="C220" i="8"/>
  <c r="B220" i="8"/>
  <c r="BJ219" i="8"/>
  <c r="BI219" i="8"/>
  <c r="BH219" i="8"/>
  <c r="BG219" i="8"/>
  <c r="BF219" i="8"/>
  <c r="BE219" i="8"/>
  <c r="BD219" i="8"/>
  <c r="BC219" i="8"/>
  <c r="BB219" i="8"/>
  <c r="BA219" i="8"/>
  <c r="AZ219" i="8"/>
  <c r="AY219" i="8"/>
  <c r="AX219" i="8"/>
  <c r="AW219" i="8"/>
  <c r="AV219" i="8"/>
  <c r="AU219" i="8"/>
  <c r="L219" i="8"/>
  <c r="H219" i="8"/>
  <c r="G219" i="8"/>
  <c r="F219" i="8"/>
  <c r="E219" i="8"/>
  <c r="D219" i="8"/>
  <c r="C219" i="8"/>
  <c r="B219" i="8"/>
  <c r="BJ218" i="8"/>
  <c r="BI218" i="8"/>
  <c r="BH218" i="8"/>
  <c r="BG218" i="8"/>
  <c r="BF218" i="8"/>
  <c r="BE218" i="8"/>
  <c r="BD218" i="8"/>
  <c r="BC218" i="8"/>
  <c r="BB218" i="8"/>
  <c r="BA218" i="8"/>
  <c r="AZ218" i="8"/>
  <c r="AY218" i="8"/>
  <c r="AX218" i="8"/>
  <c r="AW218" i="8"/>
  <c r="AV218" i="8"/>
  <c r="AU218" i="8"/>
  <c r="L218" i="8"/>
  <c r="H218" i="8"/>
  <c r="G218" i="8"/>
  <c r="F218" i="8"/>
  <c r="E218" i="8"/>
  <c r="D218" i="8"/>
  <c r="C218" i="8"/>
  <c r="B218" i="8"/>
  <c r="BJ217" i="8"/>
  <c r="BI217" i="8"/>
  <c r="BH217" i="8"/>
  <c r="BG217" i="8"/>
  <c r="BF217" i="8"/>
  <c r="BE217" i="8"/>
  <c r="BD217" i="8"/>
  <c r="BC217" i="8"/>
  <c r="BB217" i="8"/>
  <c r="BA217" i="8"/>
  <c r="AZ217" i="8"/>
  <c r="AY217" i="8"/>
  <c r="AX217" i="8"/>
  <c r="AW217" i="8"/>
  <c r="AV217" i="8"/>
  <c r="AU217" i="8"/>
  <c r="L217" i="8"/>
  <c r="H217" i="8"/>
  <c r="G217" i="8"/>
  <c r="F217" i="8"/>
  <c r="E217" i="8"/>
  <c r="D217" i="8"/>
  <c r="C217" i="8"/>
  <c r="B217" i="8"/>
  <c r="BJ216" i="8"/>
  <c r="BI216" i="8"/>
  <c r="BH216" i="8"/>
  <c r="BG216" i="8"/>
  <c r="BF216" i="8"/>
  <c r="BE216" i="8"/>
  <c r="BD216" i="8"/>
  <c r="BC216" i="8"/>
  <c r="BB216" i="8"/>
  <c r="BA216" i="8"/>
  <c r="AZ216" i="8"/>
  <c r="AY216" i="8"/>
  <c r="AX216" i="8"/>
  <c r="AW216" i="8"/>
  <c r="AV216" i="8"/>
  <c r="AU216" i="8"/>
  <c r="L216" i="8"/>
  <c r="H216" i="8"/>
  <c r="G216" i="8"/>
  <c r="F216" i="8"/>
  <c r="E216" i="8"/>
  <c r="D216" i="8"/>
  <c r="C216" i="8"/>
  <c r="B216" i="8"/>
  <c r="BJ215" i="8"/>
  <c r="BI215" i="8"/>
  <c r="BH215" i="8"/>
  <c r="BG215" i="8"/>
  <c r="BF215" i="8"/>
  <c r="BE215" i="8"/>
  <c r="BD215" i="8"/>
  <c r="BC215" i="8"/>
  <c r="BB215" i="8"/>
  <c r="BA215" i="8"/>
  <c r="AZ215" i="8"/>
  <c r="AY215" i="8"/>
  <c r="AX215" i="8"/>
  <c r="AW215" i="8"/>
  <c r="AV215" i="8"/>
  <c r="AU215" i="8"/>
  <c r="L215" i="8"/>
  <c r="H215" i="8"/>
  <c r="G215" i="8"/>
  <c r="F215" i="8"/>
  <c r="E215" i="8"/>
  <c r="D215" i="8"/>
  <c r="C215" i="8"/>
  <c r="B215" i="8"/>
  <c r="BJ214" i="8"/>
  <c r="BI214" i="8"/>
  <c r="BH214" i="8"/>
  <c r="BG214" i="8"/>
  <c r="BF214" i="8"/>
  <c r="BE214" i="8"/>
  <c r="BD214" i="8"/>
  <c r="BC214" i="8"/>
  <c r="BB214" i="8"/>
  <c r="BA214" i="8"/>
  <c r="AZ214" i="8"/>
  <c r="AY214" i="8"/>
  <c r="AX214" i="8"/>
  <c r="AW214" i="8"/>
  <c r="AV214" i="8"/>
  <c r="AU214" i="8"/>
  <c r="L214" i="8"/>
  <c r="H214" i="8"/>
  <c r="G214" i="8"/>
  <c r="F214" i="8"/>
  <c r="E214" i="8"/>
  <c r="D214" i="8"/>
  <c r="C214" i="8"/>
  <c r="B214" i="8"/>
  <c r="BJ213" i="8"/>
  <c r="BI213" i="8"/>
  <c r="BH213" i="8"/>
  <c r="BG213" i="8"/>
  <c r="BF213" i="8"/>
  <c r="BE213" i="8"/>
  <c r="BD213" i="8"/>
  <c r="BC213" i="8"/>
  <c r="BB213" i="8"/>
  <c r="BA213" i="8"/>
  <c r="AZ213" i="8"/>
  <c r="AY213" i="8"/>
  <c r="AX213" i="8"/>
  <c r="AW213" i="8"/>
  <c r="AV213" i="8"/>
  <c r="AU213" i="8"/>
  <c r="L213" i="8"/>
  <c r="H213" i="8"/>
  <c r="G213" i="8"/>
  <c r="F213" i="8"/>
  <c r="E213" i="8"/>
  <c r="D213" i="8"/>
  <c r="C213" i="8"/>
  <c r="B213" i="8"/>
  <c r="BJ212" i="8"/>
  <c r="BI212" i="8"/>
  <c r="BH212" i="8"/>
  <c r="BG212" i="8"/>
  <c r="BF212" i="8"/>
  <c r="BE212" i="8"/>
  <c r="BD212" i="8"/>
  <c r="BC212" i="8"/>
  <c r="BB212" i="8"/>
  <c r="BA212" i="8"/>
  <c r="AZ212" i="8"/>
  <c r="AY212" i="8"/>
  <c r="AX212" i="8"/>
  <c r="AW212" i="8"/>
  <c r="AV212" i="8"/>
  <c r="AU212" i="8"/>
  <c r="L212" i="8"/>
  <c r="H212" i="8"/>
  <c r="G212" i="8"/>
  <c r="F212" i="8"/>
  <c r="E212" i="8"/>
  <c r="D212" i="8"/>
  <c r="C212" i="8"/>
  <c r="B212" i="8"/>
  <c r="BJ211" i="8"/>
  <c r="BI211" i="8"/>
  <c r="BH211" i="8"/>
  <c r="BG211" i="8"/>
  <c r="BF211" i="8"/>
  <c r="BE211" i="8"/>
  <c r="BD211" i="8"/>
  <c r="BC211" i="8"/>
  <c r="BB211" i="8"/>
  <c r="BA211" i="8"/>
  <c r="AZ211" i="8"/>
  <c r="AY211" i="8"/>
  <c r="AX211" i="8"/>
  <c r="AW211" i="8"/>
  <c r="AV211" i="8"/>
  <c r="AU211" i="8"/>
  <c r="V211" i="8"/>
  <c r="U211" i="8"/>
  <c r="T211" i="8"/>
  <c r="S211" i="8"/>
  <c r="R211" i="8"/>
  <c r="Q211" i="8"/>
  <c r="P211" i="8"/>
  <c r="O211" i="8"/>
  <c r="N211" i="8"/>
  <c r="M211" i="8"/>
  <c r="L211" i="8"/>
  <c r="J211" i="8"/>
  <c r="I211" i="8"/>
  <c r="H211" i="8"/>
  <c r="G211" i="8"/>
  <c r="F211" i="8"/>
  <c r="E211" i="8"/>
  <c r="D211" i="8"/>
  <c r="C211" i="8"/>
  <c r="B211" i="8"/>
  <c r="BJ210" i="8"/>
  <c r="BI210" i="8"/>
  <c r="BH210" i="8"/>
  <c r="BG210" i="8"/>
  <c r="BF210" i="8"/>
  <c r="BE210" i="8"/>
  <c r="BD210" i="8"/>
  <c r="BC210" i="8"/>
  <c r="BB210" i="8"/>
  <c r="BA210" i="8"/>
  <c r="AZ210" i="8"/>
  <c r="AY210" i="8"/>
  <c r="AX210" i="8"/>
  <c r="AW210" i="8"/>
  <c r="AV210" i="8"/>
  <c r="AU210" i="8"/>
  <c r="V210" i="8"/>
  <c r="U210" i="8"/>
  <c r="S210" i="8"/>
  <c r="R210" i="8"/>
  <c r="Q210" i="8"/>
  <c r="P210" i="8"/>
  <c r="O210" i="8"/>
  <c r="N210" i="8"/>
  <c r="M210" i="8"/>
  <c r="L210" i="8"/>
  <c r="J210" i="8"/>
  <c r="I210" i="8"/>
  <c r="H210" i="8"/>
  <c r="G210" i="8"/>
  <c r="F210" i="8"/>
  <c r="E210" i="8"/>
  <c r="D210" i="8"/>
  <c r="C210" i="8"/>
  <c r="B210" i="8"/>
  <c r="BJ209" i="8"/>
  <c r="BI209" i="8"/>
  <c r="BH209" i="8"/>
  <c r="BG209" i="8"/>
  <c r="BF209" i="8"/>
  <c r="BE209" i="8"/>
  <c r="BD209" i="8"/>
  <c r="BC209" i="8"/>
  <c r="BB209" i="8"/>
  <c r="BA209" i="8"/>
  <c r="AZ209" i="8"/>
  <c r="AY209" i="8"/>
  <c r="AX209" i="8"/>
  <c r="AW209" i="8"/>
  <c r="AV209" i="8"/>
  <c r="AU209" i="8"/>
  <c r="V209" i="8"/>
  <c r="U209" i="8"/>
  <c r="T209" i="8"/>
  <c r="S209" i="8"/>
  <c r="R209" i="8"/>
  <c r="Q209" i="8"/>
  <c r="P209" i="8"/>
  <c r="O209" i="8"/>
  <c r="N209" i="8"/>
  <c r="M209" i="8"/>
  <c r="L209" i="8"/>
  <c r="J209" i="8"/>
  <c r="I209" i="8"/>
  <c r="H209" i="8"/>
  <c r="G209" i="8"/>
  <c r="F209" i="8"/>
  <c r="E209" i="8"/>
  <c r="D209" i="8"/>
  <c r="C209" i="8"/>
  <c r="B209" i="8"/>
  <c r="A209" i="8"/>
  <c r="BJ208" i="8"/>
  <c r="BI208" i="8"/>
  <c r="BH208" i="8"/>
  <c r="BG208" i="8"/>
  <c r="BF208" i="8"/>
  <c r="BE208" i="8"/>
  <c r="BD208" i="8"/>
  <c r="BC208" i="8"/>
  <c r="BB208" i="8"/>
  <c r="BA208" i="8"/>
  <c r="AZ208" i="8"/>
  <c r="AY208" i="8"/>
  <c r="AX208" i="8"/>
  <c r="AW208" i="8"/>
  <c r="AV208" i="8"/>
  <c r="AU208" i="8"/>
  <c r="V208" i="8"/>
  <c r="U208" i="8"/>
  <c r="T208" i="8"/>
  <c r="S208" i="8"/>
  <c r="R208" i="8"/>
  <c r="M208" i="8"/>
  <c r="L208" i="8"/>
  <c r="J208" i="8"/>
  <c r="I208" i="8"/>
  <c r="H208" i="8"/>
  <c r="G208" i="8"/>
  <c r="F208" i="8"/>
  <c r="E208" i="8"/>
  <c r="D208" i="8"/>
  <c r="C208" i="8"/>
  <c r="B208" i="8"/>
  <c r="BJ207" i="8"/>
  <c r="BI207" i="8"/>
  <c r="BH207" i="8"/>
  <c r="BG207" i="8"/>
  <c r="BF207" i="8"/>
  <c r="BE207" i="8"/>
  <c r="BD207" i="8"/>
  <c r="BC207" i="8"/>
  <c r="BB207" i="8"/>
  <c r="BA207" i="8"/>
  <c r="AZ207" i="8"/>
  <c r="AY207" i="8"/>
  <c r="AX207" i="8"/>
  <c r="AW207" i="8"/>
  <c r="AV207" i="8"/>
  <c r="AU207" i="8"/>
  <c r="L207" i="8"/>
  <c r="J207" i="8"/>
  <c r="H207" i="8"/>
  <c r="G207" i="8"/>
  <c r="F207" i="8"/>
  <c r="E207" i="8"/>
  <c r="D207" i="8"/>
  <c r="C207" i="8"/>
  <c r="B207" i="8"/>
  <c r="BJ206" i="8"/>
  <c r="BI206" i="8"/>
  <c r="BH206" i="8"/>
  <c r="BG206" i="8"/>
  <c r="BF206" i="8"/>
  <c r="BE206" i="8"/>
  <c r="BD206" i="8"/>
  <c r="BC206" i="8"/>
  <c r="BB206" i="8"/>
  <c r="BA206" i="8"/>
  <c r="AZ206" i="8"/>
  <c r="AY206" i="8"/>
  <c r="AX206" i="8"/>
  <c r="AW206" i="8"/>
  <c r="AV206" i="8"/>
  <c r="AU206" i="8"/>
  <c r="L206" i="8"/>
  <c r="K206" i="8"/>
  <c r="J206" i="8"/>
  <c r="H206" i="8"/>
  <c r="G206" i="8"/>
  <c r="F206" i="8"/>
  <c r="E206" i="8"/>
  <c r="D206" i="8"/>
  <c r="C206" i="8"/>
  <c r="B206" i="8"/>
  <c r="BJ205" i="8"/>
  <c r="BI205" i="8"/>
  <c r="BH205" i="8"/>
  <c r="BG205" i="8"/>
  <c r="BF205" i="8"/>
  <c r="BE205" i="8"/>
  <c r="BD205" i="8"/>
  <c r="BC205" i="8"/>
  <c r="BB205" i="8"/>
  <c r="BA205" i="8"/>
  <c r="AZ205" i="8"/>
  <c r="AY205" i="8"/>
  <c r="AX205" i="8"/>
  <c r="AW205" i="8"/>
  <c r="AV205" i="8"/>
  <c r="AU205" i="8"/>
  <c r="L205" i="8"/>
  <c r="J205" i="8"/>
  <c r="H205" i="8"/>
  <c r="G205" i="8"/>
  <c r="F205" i="8"/>
  <c r="E205" i="8"/>
  <c r="D205" i="8"/>
  <c r="C205" i="8"/>
  <c r="B205" i="8"/>
  <c r="BJ204" i="8"/>
  <c r="BI204" i="8"/>
  <c r="BH204" i="8"/>
  <c r="BG204" i="8"/>
  <c r="BF204" i="8"/>
  <c r="BE204" i="8"/>
  <c r="BD204" i="8"/>
  <c r="BC204" i="8"/>
  <c r="BB204" i="8"/>
  <c r="BA204" i="8"/>
  <c r="AZ204" i="8"/>
  <c r="AY204" i="8"/>
  <c r="AX204" i="8"/>
  <c r="AW204" i="8"/>
  <c r="AV204" i="8"/>
  <c r="AU204" i="8"/>
  <c r="L204" i="8"/>
  <c r="J204" i="8"/>
  <c r="H204" i="8"/>
  <c r="G204" i="8"/>
  <c r="F204" i="8"/>
  <c r="E204" i="8"/>
  <c r="D204" i="8"/>
  <c r="C204" i="8"/>
  <c r="B204" i="8"/>
  <c r="BJ203" i="8"/>
  <c r="BI203" i="8"/>
  <c r="BH203" i="8"/>
  <c r="BG203" i="8"/>
  <c r="BF203" i="8"/>
  <c r="BE203" i="8"/>
  <c r="BD203" i="8"/>
  <c r="BC203" i="8"/>
  <c r="BB203" i="8"/>
  <c r="BA203" i="8"/>
  <c r="AZ203" i="8"/>
  <c r="AY203" i="8"/>
  <c r="AX203" i="8"/>
  <c r="AW203" i="8"/>
  <c r="AV203" i="8"/>
  <c r="AU203" i="8"/>
  <c r="L203" i="8"/>
  <c r="J203" i="8"/>
  <c r="I203" i="8"/>
  <c r="H203" i="8"/>
  <c r="G203" i="8"/>
  <c r="F203" i="8"/>
  <c r="E203" i="8"/>
  <c r="D203" i="8"/>
  <c r="C203" i="8"/>
  <c r="B203" i="8"/>
  <c r="BJ202" i="8"/>
  <c r="BI202" i="8"/>
  <c r="BH202" i="8"/>
  <c r="BG202" i="8"/>
  <c r="BF202" i="8"/>
  <c r="BE202" i="8"/>
  <c r="BD202" i="8"/>
  <c r="BC202" i="8"/>
  <c r="BB202" i="8"/>
  <c r="BA202" i="8"/>
  <c r="AZ202" i="8"/>
  <c r="AY202" i="8"/>
  <c r="AX202" i="8"/>
  <c r="AW202" i="8"/>
  <c r="AV202" i="8"/>
  <c r="AU202" i="8"/>
  <c r="L202" i="8"/>
  <c r="J202" i="8"/>
  <c r="H202" i="8"/>
  <c r="G202" i="8"/>
  <c r="F202" i="8"/>
  <c r="E202" i="8"/>
  <c r="D202" i="8"/>
  <c r="C202" i="8"/>
  <c r="B202" i="8"/>
  <c r="BJ201" i="8"/>
  <c r="BI201" i="8"/>
  <c r="BH201" i="8"/>
  <c r="BG201" i="8"/>
  <c r="BF201" i="8"/>
  <c r="BE201" i="8"/>
  <c r="BD201" i="8"/>
  <c r="BC201" i="8"/>
  <c r="BB201" i="8"/>
  <c r="BA201" i="8"/>
  <c r="AZ201" i="8"/>
  <c r="AY201" i="8"/>
  <c r="AX201" i="8"/>
  <c r="AW201" i="8"/>
  <c r="AV201" i="8"/>
  <c r="AU201" i="8"/>
  <c r="V201" i="8"/>
  <c r="U201" i="8"/>
  <c r="S201" i="8"/>
  <c r="R201" i="8"/>
  <c r="Q201" i="8"/>
  <c r="P201" i="8"/>
  <c r="N201" i="8"/>
  <c r="M201" i="8"/>
  <c r="L201" i="8"/>
  <c r="J201" i="8"/>
  <c r="H201" i="8"/>
  <c r="G201" i="8"/>
  <c r="F201" i="8"/>
  <c r="E201" i="8"/>
  <c r="D201" i="8"/>
  <c r="C201" i="8"/>
  <c r="B201" i="8"/>
  <c r="BJ200" i="8"/>
  <c r="BI200" i="8"/>
  <c r="BH200" i="8"/>
  <c r="BG200" i="8"/>
  <c r="BF200" i="8"/>
  <c r="BE200" i="8"/>
  <c r="BD200" i="8"/>
  <c r="BC200" i="8"/>
  <c r="BB200" i="8"/>
  <c r="BA200" i="8"/>
  <c r="AZ200" i="8"/>
  <c r="AY200" i="8"/>
  <c r="AX200" i="8"/>
  <c r="AW200" i="8"/>
  <c r="AV200" i="8"/>
  <c r="AU200" i="8"/>
  <c r="V200" i="8"/>
  <c r="U200" i="8"/>
  <c r="S200" i="8"/>
  <c r="R200" i="8"/>
  <c r="Q200" i="8"/>
  <c r="P200" i="8"/>
  <c r="N200" i="8"/>
  <c r="M200" i="8"/>
  <c r="L200" i="8"/>
  <c r="J200" i="8"/>
  <c r="H200" i="8"/>
  <c r="G200" i="8"/>
  <c r="F200" i="8"/>
  <c r="E200" i="8"/>
  <c r="D200" i="8"/>
  <c r="C200" i="8"/>
  <c r="B200" i="8"/>
  <c r="BJ199" i="8"/>
  <c r="BI199" i="8"/>
  <c r="BH199" i="8"/>
  <c r="BG199" i="8"/>
  <c r="BF199" i="8"/>
  <c r="BE199" i="8"/>
  <c r="BD199" i="8"/>
  <c r="BC199" i="8"/>
  <c r="BB199" i="8"/>
  <c r="BA199" i="8"/>
  <c r="AZ199" i="8"/>
  <c r="AY199" i="8"/>
  <c r="AX199" i="8"/>
  <c r="AW199" i="8"/>
  <c r="AV199" i="8"/>
  <c r="AU199" i="8"/>
  <c r="V199" i="8"/>
  <c r="U199" i="8"/>
  <c r="T199" i="8"/>
  <c r="S199" i="8"/>
  <c r="R199" i="8"/>
  <c r="Q199" i="8"/>
  <c r="P199" i="8"/>
  <c r="N199" i="8"/>
  <c r="M199" i="8"/>
  <c r="L199" i="8"/>
  <c r="J199" i="8"/>
  <c r="H199" i="8"/>
  <c r="G199" i="8"/>
  <c r="F199" i="8"/>
  <c r="E199" i="8"/>
  <c r="D199" i="8"/>
  <c r="C199" i="8"/>
  <c r="B199" i="8"/>
  <c r="BJ198" i="8"/>
  <c r="BI198" i="8"/>
  <c r="BH198" i="8"/>
  <c r="BG198" i="8"/>
  <c r="BF198" i="8"/>
  <c r="BE198" i="8"/>
  <c r="BD198" i="8"/>
  <c r="BC198" i="8"/>
  <c r="BB198" i="8"/>
  <c r="BA198" i="8"/>
  <c r="AZ198" i="8"/>
  <c r="AY198" i="8"/>
  <c r="AX198" i="8"/>
  <c r="AW198" i="8"/>
  <c r="AV198" i="8"/>
  <c r="AU198" i="8"/>
  <c r="V198" i="8"/>
  <c r="U198" i="8"/>
  <c r="S198" i="8"/>
  <c r="R198" i="8"/>
  <c r="Q198" i="8"/>
  <c r="P198" i="8"/>
  <c r="N198" i="8"/>
  <c r="M198" i="8"/>
  <c r="L198" i="8"/>
  <c r="J198" i="8"/>
  <c r="H198" i="8"/>
  <c r="G198" i="8"/>
  <c r="F198" i="8"/>
  <c r="E198" i="8"/>
  <c r="D198" i="8"/>
  <c r="C198" i="8"/>
  <c r="B198" i="8"/>
  <c r="BJ197" i="8"/>
  <c r="BI197" i="8"/>
  <c r="BH197" i="8"/>
  <c r="BG197" i="8"/>
  <c r="BF197" i="8"/>
  <c r="BE197" i="8"/>
  <c r="BD197" i="8"/>
  <c r="BC197" i="8"/>
  <c r="BB197" i="8"/>
  <c r="BA197" i="8"/>
  <c r="AZ197" i="8"/>
  <c r="AY197" i="8"/>
  <c r="AX197" i="8"/>
  <c r="AW197" i="8"/>
  <c r="AV197" i="8"/>
  <c r="AU197" i="8"/>
  <c r="L197" i="8"/>
  <c r="H197" i="8"/>
  <c r="G197" i="8"/>
  <c r="F197" i="8"/>
  <c r="E197" i="8"/>
  <c r="D197" i="8"/>
  <c r="C197" i="8"/>
  <c r="B197" i="8"/>
  <c r="BJ196" i="8"/>
  <c r="BI196" i="8"/>
  <c r="BH196" i="8"/>
  <c r="BG196" i="8"/>
  <c r="BF196" i="8"/>
  <c r="BE196" i="8"/>
  <c r="BD196" i="8"/>
  <c r="BC196" i="8"/>
  <c r="BB196" i="8"/>
  <c r="BA196" i="8"/>
  <c r="AZ196" i="8"/>
  <c r="AY196" i="8"/>
  <c r="AX196" i="8"/>
  <c r="AW196" i="8"/>
  <c r="AV196" i="8"/>
  <c r="AU196" i="8"/>
  <c r="V196" i="8"/>
  <c r="S196" i="8"/>
  <c r="R196" i="8"/>
  <c r="Q196" i="8"/>
  <c r="P196" i="8"/>
  <c r="O196" i="8"/>
  <c r="N196" i="8"/>
  <c r="M196" i="8"/>
  <c r="L196" i="8"/>
  <c r="J196" i="8"/>
  <c r="I196" i="8"/>
  <c r="H196" i="8"/>
  <c r="G196" i="8"/>
  <c r="F196" i="8"/>
  <c r="E196" i="8"/>
  <c r="D196" i="8"/>
  <c r="C196" i="8"/>
  <c r="B196" i="8"/>
  <c r="BJ195" i="8"/>
  <c r="BI195" i="8"/>
  <c r="BH195" i="8"/>
  <c r="BG195" i="8"/>
  <c r="BF195" i="8"/>
  <c r="BE195" i="8"/>
  <c r="BD195" i="8"/>
  <c r="BC195" i="8"/>
  <c r="BB195" i="8"/>
  <c r="BA195" i="8"/>
  <c r="AZ195" i="8"/>
  <c r="AY195" i="8"/>
  <c r="AX195" i="8"/>
  <c r="AW195" i="8"/>
  <c r="AV195" i="8"/>
  <c r="AU195" i="8"/>
  <c r="L195" i="8"/>
  <c r="H195" i="8"/>
  <c r="G195" i="8"/>
  <c r="F195" i="8"/>
  <c r="E195" i="8"/>
  <c r="D195" i="8"/>
  <c r="C195" i="8"/>
  <c r="B195" i="8"/>
  <c r="BJ194" i="8"/>
  <c r="BI194" i="8"/>
  <c r="BH194" i="8"/>
  <c r="BG194" i="8"/>
  <c r="BF194" i="8"/>
  <c r="BE194" i="8"/>
  <c r="BD194" i="8"/>
  <c r="BC194" i="8"/>
  <c r="BB194" i="8"/>
  <c r="BA194" i="8"/>
  <c r="AZ194" i="8"/>
  <c r="AY194" i="8"/>
  <c r="AX194" i="8"/>
  <c r="AW194" i="8"/>
  <c r="AV194" i="8"/>
  <c r="AU194" i="8"/>
  <c r="L194" i="8"/>
  <c r="H194" i="8"/>
  <c r="G194" i="8"/>
  <c r="F194" i="8"/>
  <c r="E194" i="8"/>
  <c r="D194" i="8"/>
  <c r="C194" i="8"/>
  <c r="B194" i="8"/>
  <c r="BJ193" i="8"/>
  <c r="BI193" i="8"/>
  <c r="BH193" i="8"/>
  <c r="BG193" i="8"/>
  <c r="BF193" i="8"/>
  <c r="BE193" i="8"/>
  <c r="BD193" i="8"/>
  <c r="BC193" i="8"/>
  <c r="BB193" i="8"/>
  <c r="BA193" i="8"/>
  <c r="AZ193" i="8"/>
  <c r="AY193" i="8"/>
  <c r="AX193" i="8"/>
  <c r="AW193" i="8"/>
  <c r="AV193" i="8"/>
  <c r="AU193" i="8"/>
  <c r="L193" i="8"/>
  <c r="H193" i="8"/>
  <c r="G193" i="8"/>
  <c r="F193" i="8"/>
  <c r="E193" i="8"/>
  <c r="D193" i="8"/>
  <c r="C193" i="8"/>
  <c r="B193" i="8"/>
  <c r="BJ192" i="8"/>
  <c r="BI192" i="8"/>
  <c r="BH192" i="8"/>
  <c r="BG192" i="8"/>
  <c r="BF192" i="8"/>
  <c r="BE192" i="8"/>
  <c r="BD192" i="8"/>
  <c r="BC192" i="8"/>
  <c r="BB192" i="8"/>
  <c r="BA192" i="8"/>
  <c r="AZ192" i="8"/>
  <c r="AY192" i="8"/>
  <c r="AX192" i="8"/>
  <c r="AW192" i="8"/>
  <c r="AV192" i="8"/>
  <c r="AU192" i="8"/>
  <c r="L192" i="8"/>
  <c r="H192" i="8"/>
  <c r="G192" i="8"/>
  <c r="F192" i="8"/>
  <c r="E192" i="8"/>
  <c r="D192" i="8"/>
  <c r="C192" i="8"/>
  <c r="B192" i="8"/>
  <c r="BJ191" i="8"/>
  <c r="BI191" i="8"/>
  <c r="BH191" i="8"/>
  <c r="BG191" i="8"/>
  <c r="BF191" i="8"/>
  <c r="BE191" i="8"/>
  <c r="BD191" i="8"/>
  <c r="BC191" i="8"/>
  <c r="BB191" i="8"/>
  <c r="BA191" i="8"/>
  <c r="AZ191" i="8"/>
  <c r="AY191" i="8"/>
  <c r="AX191" i="8"/>
  <c r="AW191" i="8"/>
  <c r="AV191" i="8"/>
  <c r="AU191" i="8"/>
  <c r="T191" i="8"/>
  <c r="L191" i="8"/>
  <c r="J191" i="8"/>
  <c r="I191" i="8"/>
  <c r="H191" i="8"/>
  <c r="G191" i="8"/>
  <c r="F191" i="8"/>
  <c r="E191" i="8"/>
  <c r="D191" i="8"/>
  <c r="C191" i="8"/>
  <c r="B191" i="8"/>
  <c r="BJ190" i="8"/>
  <c r="BI190" i="8"/>
  <c r="BH190" i="8"/>
  <c r="BG190" i="8"/>
  <c r="BF190" i="8"/>
  <c r="BE190" i="8"/>
  <c r="BD190" i="8"/>
  <c r="BC190" i="8"/>
  <c r="BB190" i="8"/>
  <c r="BA190" i="8"/>
  <c r="AZ190" i="8"/>
  <c r="AY190" i="8"/>
  <c r="AX190" i="8"/>
  <c r="AW190" i="8"/>
  <c r="AV190" i="8"/>
  <c r="AU190" i="8"/>
  <c r="L190" i="8"/>
  <c r="H190" i="8"/>
  <c r="G190" i="8"/>
  <c r="F190" i="8"/>
  <c r="E190" i="8"/>
  <c r="D190" i="8"/>
  <c r="C190" i="8"/>
  <c r="B190" i="8"/>
  <c r="BJ189" i="8"/>
  <c r="BI189" i="8"/>
  <c r="BH189" i="8"/>
  <c r="BG189" i="8"/>
  <c r="BF189" i="8"/>
  <c r="BE189" i="8"/>
  <c r="BD189" i="8"/>
  <c r="BC189" i="8"/>
  <c r="BB189" i="8"/>
  <c r="BA189" i="8"/>
  <c r="AZ189" i="8"/>
  <c r="AY189" i="8"/>
  <c r="AX189" i="8"/>
  <c r="AW189" i="8"/>
  <c r="AV189" i="8"/>
  <c r="AU189" i="8"/>
  <c r="V189" i="8"/>
  <c r="T189" i="8"/>
  <c r="S189" i="8"/>
  <c r="R189" i="8"/>
  <c r="Q189" i="8"/>
  <c r="P189" i="8"/>
  <c r="O189" i="8"/>
  <c r="N189" i="8"/>
  <c r="M189" i="8"/>
  <c r="L189" i="8"/>
  <c r="J189" i="8"/>
  <c r="I189" i="8"/>
  <c r="H189" i="8"/>
  <c r="G189" i="8"/>
  <c r="F189" i="8"/>
  <c r="E189" i="8"/>
  <c r="D189" i="8"/>
  <c r="C189" i="8"/>
  <c r="B189" i="8"/>
  <c r="BJ188" i="8"/>
  <c r="BI188" i="8"/>
  <c r="BH188" i="8"/>
  <c r="BG188" i="8"/>
  <c r="BF188" i="8"/>
  <c r="BE188" i="8"/>
  <c r="BD188" i="8"/>
  <c r="BC188" i="8"/>
  <c r="BB188" i="8"/>
  <c r="BA188" i="8"/>
  <c r="AZ188" i="8"/>
  <c r="AY188" i="8"/>
  <c r="AX188" i="8"/>
  <c r="AW188" i="8"/>
  <c r="AV188" i="8"/>
  <c r="AU188" i="8"/>
  <c r="V188" i="8"/>
  <c r="T188" i="8"/>
  <c r="S188" i="8"/>
  <c r="R188" i="8"/>
  <c r="Q188" i="8"/>
  <c r="P188" i="8"/>
  <c r="O188" i="8"/>
  <c r="N188" i="8"/>
  <c r="M188" i="8"/>
  <c r="L188" i="8"/>
  <c r="J188" i="8"/>
  <c r="I188" i="8"/>
  <c r="H188" i="8"/>
  <c r="G188" i="8"/>
  <c r="F188" i="8"/>
  <c r="E188" i="8"/>
  <c r="D188" i="8"/>
  <c r="C188" i="8"/>
  <c r="B188" i="8"/>
  <c r="BJ187" i="8"/>
  <c r="BI187" i="8"/>
  <c r="BH187" i="8"/>
  <c r="BG187" i="8"/>
  <c r="BF187" i="8"/>
  <c r="BE187" i="8"/>
  <c r="BD187" i="8"/>
  <c r="BC187" i="8"/>
  <c r="BB187" i="8"/>
  <c r="BA187" i="8"/>
  <c r="AZ187" i="8"/>
  <c r="AY187" i="8"/>
  <c r="AX187" i="8"/>
  <c r="AW187" i="8"/>
  <c r="AV187" i="8"/>
  <c r="AU187" i="8"/>
  <c r="L187" i="8"/>
  <c r="H187" i="8"/>
  <c r="G187" i="8"/>
  <c r="F187" i="8"/>
  <c r="E187" i="8"/>
  <c r="D187" i="8"/>
  <c r="C187" i="8"/>
  <c r="B187" i="8"/>
  <c r="BJ186" i="8"/>
  <c r="BI186" i="8"/>
  <c r="BH186" i="8"/>
  <c r="BG186" i="8"/>
  <c r="BF186" i="8"/>
  <c r="BE186" i="8"/>
  <c r="BD186" i="8"/>
  <c r="BC186" i="8"/>
  <c r="BB186" i="8"/>
  <c r="BA186" i="8"/>
  <c r="AZ186" i="8"/>
  <c r="AY186" i="8"/>
  <c r="AX186" i="8"/>
  <c r="AW186" i="8"/>
  <c r="AV186" i="8"/>
  <c r="AU186" i="8"/>
  <c r="L186" i="8"/>
  <c r="H186" i="8"/>
  <c r="G186" i="8"/>
  <c r="F186" i="8"/>
  <c r="E186" i="8"/>
  <c r="D186" i="8"/>
  <c r="C186" i="8"/>
  <c r="B186" i="8"/>
  <c r="BJ185" i="8"/>
  <c r="BI185" i="8"/>
  <c r="BH185" i="8"/>
  <c r="BG185" i="8"/>
  <c r="BF185" i="8"/>
  <c r="BE185" i="8"/>
  <c r="BD185" i="8"/>
  <c r="BC185" i="8"/>
  <c r="BB185" i="8"/>
  <c r="BA185" i="8"/>
  <c r="AZ185" i="8"/>
  <c r="AY185" i="8"/>
  <c r="AX185" i="8"/>
  <c r="AW185" i="8"/>
  <c r="AV185" i="8"/>
  <c r="AU185" i="8"/>
  <c r="L185" i="8"/>
  <c r="J185" i="8"/>
  <c r="H185" i="8"/>
  <c r="G185" i="8"/>
  <c r="F185" i="8"/>
  <c r="E185" i="8"/>
  <c r="D185" i="8"/>
  <c r="C185" i="8"/>
  <c r="B185" i="8"/>
  <c r="BJ184" i="8"/>
  <c r="BI184" i="8"/>
  <c r="BH184" i="8"/>
  <c r="BG184" i="8"/>
  <c r="BF184" i="8"/>
  <c r="AW184" i="8"/>
  <c r="T184" i="8"/>
  <c r="S184" i="8"/>
  <c r="R184" i="8"/>
  <c r="Q184" i="8"/>
  <c r="P184" i="8"/>
  <c r="O184" i="8"/>
  <c r="N184" i="8"/>
  <c r="M184" i="8"/>
  <c r="L184" i="8"/>
  <c r="J184" i="8"/>
  <c r="I184" i="8"/>
  <c r="H184" i="8"/>
  <c r="G184" i="8"/>
  <c r="F184" i="8"/>
  <c r="B184" i="8"/>
  <c r="BJ183" i="8"/>
  <c r="BI183" i="8"/>
  <c r="BH183" i="8"/>
  <c r="BG183" i="8"/>
  <c r="BF183" i="8"/>
  <c r="BE183" i="8"/>
  <c r="BD183" i="8"/>
  <c r="BC183" i="8"/>
  <c r="BB183" i="8"/>
  <c r="BA183" i="8"/>
  <c r="AZ183" i="8"/>
  <c r="AY183" i="8"/>
  <c r="AX183" i="8"/>
  <c r="AW183" i="8"/>
  <c r="AV183" i="8"/>
  <c r="AU183" i="8"/>
  <c r="L183" i="8"/>
  <c r="H183" i="8"/>
  <c r="G183" i="8"/>
  <c r="F183" i="8"/>
  <c r="E183" i="8"/>
  <c r="D183" i="8"/>
  <c r="C183" i="8"/>
  <c r="B183" i="8"/>
  <c r="BJ182" i="8"/>
  <c r="BI182" i="8"/>
  <c r="BH182" i="8"/>
  <c r="BG182" i="8"/>
  <c r="BF182" i="8"/>
  <c r="BE182" i="8"/>
  <c r="BD182" i="8"/>
  <c r="BC182" i="8"/>
  <c r="BB182" i="8"/>
  <c r="BA182" i="8"/>
  <c r="AZ182" i="8"/>
  <c r="AY182" i="8"/>
  <c r="AX182" i="8"/>
  <c r="AW182" i="8"/>
  <c r="AV182" i="8"/>
  <c r="AU182" i="8"/>
  <c r="L182" i="8"/>
  <c r="H182" i="8"/>
  <c r="G182" i="8"/>
  <c r="F182" i="8"/>
  <c r="E182" i="8"/>
  <c r="D182" i="8"/>
  <c r="C182" i="8"/>
  <c r="B182" i="8"/>
  <c r="BJ181" i="8"/>
  <c r="BI181" i="8"/>
  <c r="BH181" i="8"/>
  <c r="BG181" i="8"/>
  <c r="BF181" i="8"/>
  <c r="BE181" i="8"/>
  <c r="BD181" i="8"/>
  <c r="BC181" i="8"/>
  <c r="BB181" i="8"/>
  <c r="BA181" i="8"/>
  <c r="AZ181" i="8"/>
  <c r="AY181" i="8"/>
  <c r="AX181" i="8"/>
  <c r="AW181" i="8"/>
  <c r="AV181" i="8"/>
  <c r="AU181" i="8"/>
  <c r="L181" i="8"/>
  <c r="H181" i="8"/>
  <c r="G181" i="8"/>
  <c r="F181" i="8"/>
  <c r="E181" i="8"/>
  <c r="D181" i="8"/>
  <c r="C181" i="8"/>
  <c r="B181" i="8"/>
  <c r="BJ180" i="8"/>
  <c r="BI180" i="8"/>
  <c r="BH180" i="8"/>
  <c r="BG180" i="8"/>
  <c r="BF180" i="8"/>
  <c r="BE180" i="8"/>
  <c r="BD180" i="8"/>
  <c r="BC180" i="8"/>
  <c r="BB180" i="8"/>
  <c r="BA180" i="8"/>
  <c r="AZ180" i="8"/>
  <c r="AY180" i="8"/>
  <c r="AX180" i="8"/>
  <c r="AW180" i="8"/>
  <c r="AV180" i="8"/>
  <c r="AU180" i="8"/>
  <c r="L180" i="8"/>
  <c r="H180" i="8"/>
  <c r="G180" i="8"/>
  <c r="F180" i="8"/>
  <c r="E180" i="8"/>
  <c r="D180" i="8"/>
  <c r="C180" i="8"/>
  <c r="B180" i="8"/>
  <c r="BJ179" i="8"/>
  <c r="BI179" i="8"/>
  <c r="BH179" i="8"/>
  <c r="BG179" i="8"/>
  <c r="BF179" i="8"/>
  <c r="BE179" i="8"/>
  <c r="BD179" i="8"/>
  <c r="BC179" i="8"/>
  <c r="BB179" i="8"/>
  <c r="BA179" i="8"/>
  <c r="AZ179" i="8"/>
  <c r="AY179" i="8"/>
  <c r="AX179" i="8"/>
  <c r="AW179" i="8"/>
  <c r="AV179" i="8"/>
  <c r="AU179" i="8"/>
  <c r="L179" i="8"/>
  <c r="H179" i="8"/>
  <c r="G179" i="8"/>
  <c r="F179" i="8"/>
  <c r="E179" i="8"/>
  <c r="D179" i="8"/>
  <c r="C179" i="8"/>
  <c r="B179" i="8"/>
  <c r="BJ178" i="8"/>
  <c r="BI178" i="8"/>
  <c r="BH178" i="8"/>
  <c r="BG178" i="8"/>
  <c r="BF178" i="8"/>
  <c r="BE178" i="8"/>
  <c r="BD178" i="8"/>
  <c r="BC178" i="8"/>
  <c r="BB178" i="8"/>
  <c r="BA178" i="8"/>
  <c r="AZ178" i="8"/>
  <c r="AY178" i="8"/>
  <c r="AX178" i="8"/>
  <c r="AW178" i="8"/>
  <c r="AV178" i="8"/>
  <c r="AU178" i="8"/>
  <c r="L178" i="8"/>
  <c r="H178" i="8"/>
  <c r="G178" i="8"/>
  <c r="F178" i="8"/>
  <c r="E178" i="8"/>
  <c r="D178" i="8"/>
  <c r="C178" i="8"/>
  <c r="B178" i="8"/>
  <c r="BJ177" i="8"/>
  <c r="BI177" i="8"/>
  <c r="BH177" i="8"/>
  <c r="BG177" i="8"/>
  <c r="BF177" i="8"/>
  <c r="BE177" i="8"/>
  <c r="BD177" i="8"/>
  <c r="BC177" i="8"/>
  <c r="BB177" i="8"/>
  <c r="BA177" i="8"/>
  <c r="AZ177" i="8"/>
  <c r="AY177" i="8"/>
  <c r="AX177" i="8"/>
  <c r="AW177" i="8"/>
  <c r="AV177" i="8"/>
  <c r="AU177" i="8"/>
  <c r="L177" i="8"/>
  <c r="H177" i="8"/>
  <c r="G177" i="8"/>
  <c r="F177" i="8"/>
  <c r="E177" i="8"/>
  <c r="D177" i="8"/>
  <c r="C177" i="8"/>
  <c r="B177" i="8"/>
  <c r="BJ176" i="8"/>
  <c r="BI176" i="8"/>
  <c r="BH176" i="8"/>
  <c r="BG176" i="8"/>
  <c r="BF176" i="8"/>
  <c r="BE176" i="8"/>
  <c r="BD176" i="8"/>
  <c r="BC176" i="8"/>
  <c r="BB176" i="8"/>
  <c r="BA176" i="8"/>
  <c r="AZ176" i="8"/>
  <c r="AY176" i="8"/>
  <c r="AX176" i="8"/>
  <c r="AW176" i="8"/>
  <c r="AV176" i="8"/>
  <c r="AU176" i="8"/>
  <c r="L176" i="8"/>
  <c r="H176" i="8"/>
  <c r="G176" i="8"/>
  <c r="F176" i="8"/>
  <c r="E176" i="8"/>
  <c r="D176" i="8"/>
  <c r="C176" i="8"/>
  <c r="B176" i="8"/>
  <c r="BJ175" i="8"/>
  <c r="BI175" i="8"/>
  <c r="BH175" i="8"/>
  <c r="BG175" i="8"/>
  <c r="BF175" i="8"/>
  <c r="BE175" i="8"/>
  <c r="BD175" i="8"/>
  <c r="BC175" i="8"/>
  <c r="BB175" i="8"/>
  <c r="BA175" i="8"/>
  <c r="AZ175" i="8"/>
  <c r="AY175" i="8"/>
  <c r="AX175" i="8"/>
  <c r="AW175" i="8"/>
  <c r="AV175" i="8"/>
  <c r="AU175" i="8"/>
  <c r="L175" i="8"/>
  <c r="H175" i="8"/>
  <c r="G175" i="8"/>
  <c r="F175" i="8"/>
  <c r="E175" i="8"/>
  <c r="D175" i="8"/>
  <c r="C175" i="8"/>
  <c r="B175" i="8"/>
  <c r="BJ174" i="8"/>
  <c r="BI174" i="8"/>
  <c r="BH174" i="8"/>
  <c r="BG174" i="8"/>
  <c r="BF174" i="8"/>
  <c r="BE174" i="8"/>
  <c r="BD174" i="8"/>
  <c r="BC174" i="8"/>
  <c r="BB174" i="8"/>
  <c r="BA174" i="8"/>
  <c r="AZ174" i="8"/>
  <c r="AY174" i="8"/>
  <c r="AX174" i="8"/>
  <c r="AW174" i="8"/>
  <c r="AV174" i="8"/>
  <c r="AU174" i="8"/>
  <c r="L174" i="8"/>
  <c r="H174" i="8"/>
  <c r="G174" i="8"/>
  <c r="F174" i="8"/>
  <c r="E174" i="8"/>
  <c r="D174" i="8"/>
  <c r="C174" i="8"/>
  <c r="B174" i="8"/>
  <c r="BJ173" i="8"/>
  <c r="BI173" i="8"/>
  <c r="BH173" i="8"/>
  <c r="BG173" i="8"/>
  <c r="BF173" i="8"/>
  <c r="BE173" i="8"/>
  <c r="BD173" i="8"/>
  <c r="BC173" i="8"/>
  <c r="BB173" i="8"/>
  <c r="BA173" i="8"/>
  <c r="AZ173" i="8"/>
  <c r="AY173" i="8"/>
  <c r="AX173" i="8"/>
  <c r="AW173" i="8"/>
  <c r="AV173" i="8"/>
  <c r="AU173" i="8"/>
  <c r="L173" i="8"/>
  <c r="H173" i="8"/>
  <c r="G173" i="8"/>
  <c r="F173" i="8"/>
  <c r="E173" i="8"/>
  <c r="D173" i="8"/>
  <c r="C173" i="8"/>
  <c r="B173" i="8"/>
  <c r="BJ172" i="8"/>
  <c r="BI172" i="8"/>
  <c r="BH172" i="8"/>
  <c r="BG172" i="8"/>
  <c r="BF172" i="8"/>
  <c r="BE172" i="8"/>
  <c r="BD172" i="8"/>
  <c r="BC172" i="8"/>
  <c r="BB172" i="8"/>
  <c r="BA172" i="8"/>
  <c r="AZ172" i="8"/>
  <c r="AY172" i="8"/>
  <c r="AX172" i="8"/>
  <c r="AW172" i="8"/>
  <c r="AV172" i="8"/>
  <c r="AU172" i="8"/>
  <c r="L172" i="8"/>
  <c r="H172" i="8"/>
  <c r="G172" i="8"/>
  <c r="F172" i="8"/>
  <c r="E172" i="8"/>
  <c r="D172" i="8"/>
  <c r="C172" i="8"/>
  <c r="B172" i="8"/>
  <c r="BJ171" i="8"/>
  <c r="BI171" i="8"/>
  <c r="BH171" i="8"/>
  <c r="BG171" i="8"/>
  <c r="BF171" i="8"/>
  <c r="BE171" i="8"/>
  <c r="BD171" i="8"/>
  <c r="BC171" i="8"/>
  <c r="BB171" i="8"/>
  <c r="BA171" i="8"/>
  <c r="AZ171" i="8"/>
  <c r="AY171" i="8"/>
  <c r="AX171" i="8"/>
  <c r="AW171" i="8"/>
  <c r="AV171" i="8"/>
  <c r="AU171" i="8"/>
  <c r="L171" i="8"/>
  <c r="H171" i="8"/>
  <c r="G171" i="8"/>
  <c r="F171" i="8"/>
  <c r="E171" i="8"/>
  <c r="D171" i="8"/>
  <c r="C171" i="8"/>
  <c r="B171" i="8"/>
  <c r="BJ170" i="8"/>
  <c r="BI170" i="8"/>
  <c r="BH170" i="8"/>
  <c r="BG170" i="8"/>
  <c r="BF170" i="8"/>
  <c r="BE170" i="8"/>
  <c r="BD170" i="8"/>
  <c r="BC170" i="8"/>
  <c r="BB170" i="8"/>
  <c r="BA170" i="8"/>
  <c r="AZ170" i="8"/>
  <c r="AY170" i="8"/>
  <c r="AX170" i="8"/>
  <c r="AW170" i="8"/>
  <c r="AV170" i="8"/>
  <c r="AU170" i="8"/>
  <c r="L170" i="8"/>
  <c r="H170" i="8"/>
  <c r="G170" i="8"/>
  <c r="F170" i="8"/>
  <c r="E170" i="8"/>
  <c r="D170" i="8"/>
  <c r="C170" i="8"/>
  <c r="B170" i="8"/>
  <c r="BJ169" i="8"/>
  <c r="BI169" i="8"/>
  <c r="BH169" i="8"/>
  <c r="BG169" i="8"/>
  <c r="BF169" i="8"/>
  <c r="BE169" i="8"/>
  <c r="BD169" i="8"/>
  <c r="BC169" i="8"/>
  <c r="BB169" i="8"/>
  <c r="BA169" i="8"/>
  <c r="AZ169" i="8"/>
  <c r="AY169" i="8"/>
  <c r="AX169" i="8"/>
  <c r="AW169" i="8"/>
  <c r="AV169" i="8"/>
  <c r="AU169" i="8"/>
  <c r="L169" i="8"/>
  <c r="H169" i="8"/>
  <c r="G169" i="8"/>
  <c r="F169" i="8"/>
  <c r="E169" i="8"/>
  <c r="D169" i="8"/>
  <c r="C169" i="8"/>
  <c r="B169" i="8"/>
  <c r="BJ168" i="8"/>
  <c r="BI168" i="8"/>
  <c r="BH168" i="8"/>
  <c r="BG168" i="8"/>
  <c r="BF168" i="8"/>
  <c r="BE168" i="8"/>
  <c r="BD168" i="8"/>
  <c r="BC168" i="8"/>
  <c r="BB168" i="8"/>
  <c r="BA168" i="8"/>
  <c r="AZ168" i="8"/>
  <c r="AY168" i="8"/>
  <c r="AX168" i="8"/>
  <c r="AW168" i="8"/>
  <c r="AV168" i="8"/>
  <c r="AU168" i="8"/>
  <c r="L168" i="8"/>
  <c r="H168" i="8"/>
  <c r="G168" i="8"/>
  <c r="F168" i="8"/>
  <c r="E168" i="8"/>
  <c r="D168" i="8"/>
  <c r="C168" i="8"/>
  <c r="B168" i="8"/>
  <c r="BJ167" i="8"/>
  <c r="BI167" i="8"/>
  <c r="BH167" i="8"/>
  <c r="BG167" i="8"/>
  <c r="BF167" i="8"/>
  <c r="BE167" i="8"/>
  <c r="BD167" i="8"/>
  <c r="BC167" i="8"/>
  <c r="BB167" i="8"/>
  <c r="BA167" i="8"/>
  <c r="AZ167" i="8"/>
  <c r="AY167" i="8"/>
  <c r="AX167" i="8"/>
  <c r="AW167" i="8"/>
  <c r="AV167" i="8"/>
  <c r="AU167" i="8"/>
  <c r="L167" i="8"/>
  <c r="H167" i="8"/>
  <c r="G167" i="8"/>
  <c r="F167" i="8"/>
  <c r="E167" i="8"/>
  <c r="D167" i="8"/>
  <c r="C167" i="8"/>
  <c r="B167" i="8"/>
  <c r="BJ166" i="8"/>
  <c r="BI166" i="8"/>
  <c r="BH166" i="8"/>
  <c r="BG166" i="8"/>
  <c r="BF166" i="8"/>
  <c r="BE166" i="8"/>
  <c r="BD166" i="8"/>
  <c r="BC166" i="8"/>
  <c r="BB166" i="8"/>
  <c r="BA166" i="8"/>
  <c r="AZ166" i="8"/>
  <c r="AY166" i="8"/>
  <c r="AX166" i="8"/>
  <c r="AW166" i="8"/>
  <c r="AV166" i="8"/>
  <c r="AU166" i="8"/>
  <c r="T166" i="8"/>
  <c r="S166" i="8"/>
  <c r="R166" i="8"/>
  <c r="Q166" i="8"/>
  <c r="P166" i="8"/>
  <c r="O166" i="8"/>
  <c r="N166" i="8"/>
  <c r="M166" i="8"/>
  <c r="L166" i="8"/>
  <c r="J166" i="8"/>
  <c r="H166" i="8"/>
  <c r="G166" i="8"/>
  <c r="F166" i="8"/>
  <c r="E166" i="8"/>
  <c r="D166" i="8"/>
  <c r="C166" i="8"/>
  <c r="B166" i="8"/>
  <c r="BJ165" i="8"/>
  <c r="BI165" i="8"/>
  <c r="BH165" i="8"/>
  <c r="BG165" i="8"/>
  <c r="BF165" i="8"/>
  <c r="BE165" i="8"/>
  <c r="BD165" i="8"/>
  <c r="BC165" i="8"/>
  <c r="BB165" i="8"/>
  <c r="BA165" i="8"/>
  <c r="AZ165" i="8"/>
  <c r="AY165" i="8"/>
  <c r="AX165" i="8"/>
  <c r="AW165" i="8"/>
  <c r="AV165" i="8"/>
  <c r="AU165" i="8"/>
  <c r="V165" i="8"/>
  <c r="T165" i="8"/>
  <c r="S165" i="8"/>
  <c r="R165" i="8"/>
  <c r="Q165" i="8"/>
  <c r="P165" i="8"/>
  <c r="O165" i="8"/>
  <c r="N165" i="8"/>
  <c r="M165" i="8"/>
  <c r="L165" i="8"/>
  <c r="J165" i="8"/>
  <c r="I165" i="8"/>
  <c r="H165" i="8"/>
  <c r="G165" i="8"/>
  <c r="F165" i="8"/>
  <c r="E165" i="8"/>
  <c r="D165" i="8"/>
  <c r="C165" i="8"/>
  <c r="B165" i="8"/>
  <c r="BJ164" i="8"/>
  <c r="BI164" i="8"/>
  <c r="BH164" i="8"/>
  <c r="BG164" i="8"/>
  <c r="BF164" i="8"/>
  <c r="BE164" i="8"/>
  <c r="BD164" i="8"/>
  <c r="BC164" i="8"/>
  <c r="BB164" i="8"/>
  <c r="BA164" i="8"/>
  <c r="AZ164" i="8"/>
  <c r="AY164" i="8"/>
  <c r="AX164" i="8"/>
  <c r="AW164" i="8"/>
  <c r="AV164" i="8"/>
  <c r="AU164" i="8"/>
  <c r="U164" i="8"/>
  <c r="L164" i="8"/>
  <c r="H164" i="8"/>
  <c r="G164" i="8"/>
  <c r="F164" i="8"/>
  <c r="E164" i="8"/>
  <c r="D164" i="8"/>
  <c r="C164" i="8"/>
  <c r="B164" i="8"/>
  <c r="BJ163" i="8"/>
  <c r="BI163" i="8"/>
  <c r="BH163" i="8"/>
  <c r="BG163" i="8"/>
  <c r="BF163" i="8"/>
  <c r="BE163" i="8"/>
  <c r="BD163" i="8"/>
  <c r="BC163" i="8"/>
  <c r="BB163" i="8"/>
  <c r="BA163" i="8"/>
  <c r="AZ163" i="8"/>
  <c r="AY163" i="8"/>
  <c r="AX163" i="8"/>
  <c r="AW163" i="8"/>
  <c r="AV163" i="8"/>
  <c r="AU163" i="8"/>
  <c r="U163" i="8"/>
  <c r="L163" i="8"/>
  <c r="K163" i="8"/>
  <c r="J163" i="8"/>
  <c r="I163" i="8"/>
  <c r="H163" i="8"/>
  <c r="G163" i="8"/>
  <c r="F163" i="8"/>
  <c r="E163" i="8"/>
  <c r="D163" i="8"/>
  <c r="C163" i="8"/>
  <c r="B163" i="8"/>
  <c r="BJ162" i="8"/>
  <c r="BI162" i="8"/>
  <c r="BH162" i="8"/>
  <c r="BG162" i="8"/>
  <c r="BF162" i="8"/>
  <c r="BE162" i="8"/>
  <c r="BD162" i="8"/>
  <c r="BC162" i="8"/>
  <c r="BB162" i="8"/>
  <c r="BA162" i="8"/>
  <c r="AZ162" i="8"/>
  <c r="AY162" i="8"/>
  <c r="AX162" i="8"/>
  <c r="AW162" i="8"/>
  <c r="AV162" i="8"/>
  <c r="AU162" i="8"/>
  <c r="U162" i="8"/>
  <c r="L162" i="8"/>
  <c r="J162" i="8"/>
  <c r="H162" i="8"/>
  <c r="G162" i="8"/>
  <c r="F162" i="8"/>
  <c r="E162" i="8"/>
  <c r="D162" i="8"/>
  <c r="C162" i="8"/>
  <c r="B162" i="8"/>
  <c r="BJ161" i="8"/>
  <c r="BI161" i="8"/>
  <c r="BH161" i="8"/>
  <c r="BG161" i="8"/>
  <c r="BF161" i="8"/>
  <c r="BE161" i="8"/>
  <c r="BD161" i="8"/>
  <c r="BC161" i="8"/>
  <c r="BB161" i="8"/>
  <c r="BA161" i="8"/>
  <c r="AZ161" i="8"/>
  <c r="AY161" i="8"/>
  <c r="AX161" i="8"/>
  <c r="AW161" i="8"/>
  <c r="AV161" i="8"/>
  <c r="AU161" i="8"/>
  <c r="L161" i="8"/>
  <c r="K161" i="8"/>
  <c r="J161" i="8"/>
  <c r="I161" i="8"/>
  <c r="H161" i="8"/>
  <c r="G161" i="8"/>
  <c r="F161" i="8"/>
  <c r="E161" i="8"/>
  <c r="D161" i="8"/>
  <c r="C161" i="8"/>
  <c r="B161" i="8"/>
  <c r="BJ160" i="8"/>
  <c r="BI160" i="8"/>
  <c r="BH160" i="8"/>
  <c r="BG160" i="8"/>
  <c r="BF160" i="8"/>
  <c r="BE160" i="8"/>
  <c r="BD160" i="8"/>
  <c r="BC160" i="8"/>
  <c r="BB160" i="8"/>
  <c r="BA160" i="8"/>
  <c r="AZ160" i="8"/>
  <c r="AY160" i="8"/>
  <c r="AX160" i="8"/>
  <c r="AW160" i="8"/>
  <c r="AV160" i="8"/>
  <c r="AU160" i="8"/>
  <c r="L160" i="8"/>
  <c r="J160" i="8"/>
  <c r="I160" i="8"/>
  <c r="H160" i="8"/>
  <c r="G160" i="8"/>
  <c r="F160" i="8"/>
  <c r="E160" i="8"/>
  <c r="D160" i="8"/>
  <c r="C160" i="8"/>
  <c r="B160" i="8"/>
  <c r="BJ159" i="8"/>
  <c r="BI159" i="8"/>
  <c r="BH159" i="8"/>
  <c r="BG159" i="8"/>
  <c r="BF159" i="8"/>
  <c r="BE159" i="8"/>
  <c r="BD159" i="8"/>
  <c r="BC159" i="8"/>
  <c r="BB159" i="8"/>
  <c r="BA159" i="8"/>
  <c r="AZ159" i="8"/>
  <c r="AY159" i="8"/>
  <c r="AX159" i="8"/>
  <c r="AW159" i="8"/>
  <c r="AV159" i="8"/>
  <c r="AU159" i="8"/>
  <c r="L159" i="8"/>
  <c r="J159" i="8"/>
  <c r="I159" i="8"/>
  <c r="H159" i="8"/>
  <c r="G159" i="8"/>
  <c r="F159" i="8"/>
  <c r="E159" i="8"/>
  <c r="D159" i="8"/>
  <c r="C159" i="8"/>
  <c r="B159" i="8"/>
  <c r="BJ158" i="8"/>
  <c r="BI158" i="8"/>
  <c r="BH158" i="8"/>
  <c r="BG158" i="8"/>
  <c r="BF158" i="8"/>
  <c r="BE158" i="8"/>
  <c r="BD158" i="8"/>
  <c r="BC158" i="8"/>
  <c r="BB158" i="8"/>
  <c r="BA158" i="8"/>
  <c r="AZ158" i="8"/>
  <c r="AY158" i="8"/>
  <c r="AX158" i="8"/>
  <c r="AW158" i="8"/>
  <c r="AV158" i="8"/>
  <c r="AU158" i="8"/>
  <c r="L158" i="8"/>
  <c r="J158" i="8"/>
  <c r="H158" i="8"/>
  <c r="G158" i="8"/>
  <c r="F158" i="8"/>
  <c r="E158" i="8"/>
  <c r="D158" i="8"/>
  <c r="C158" i="8"/>
  <c r="B158" i="8"/>
  <c r="BJ157" i="8"/>
  <c r="BI157" i="8"/>
  <c r="BH157" i="8"/>
  <c r="BG157" i="8"/>
  <c r="BF157" i="8"/>
  <c r="BE157" i="8"/>
  <c r="BD157" i="8"/>
  <c r="BC157" i="8"/>
  <c r="BB157" i="8"/>
  <c r="BA157" i="8"/>
  <c r="AZ157" i="8"/>
  <c r="AY157" i="8"/>
  <c r="AX157" i="8"/>
  <c r="AW157" i="8"/>
  <c r="AV157" i="8"/>
  <c r="AU157" i="8"/>
  <c r="L157" i="8"/>
  <c r="J157" i="8"/>
  <c r="H157" i="8"/>
  <c r="G157" i="8"/>
  <c r="F157" i="8"/>
  <c r="E157" i="8"/>
  <c r="D157" i="8"/>
  <c r="C157" i="8"/>
  <c r="B157" i="8"/>
  <c r="BJ156" i="8"/>
  <c r="BI156" i="8"/>
  <c r="BH156" i="8"/>
  <c r="BG156" i="8"/>
  <c r="BF156" i="8"/>
  <c r="BE156" i="8"/>
  <c r="BD156" i="8"/>
  <c r="BC156" i="8"/>
  <c r="BB156" i="8"/>
  <c r="BA156" i="8"/>
  <c r="AZ156" i="8"/>
  <c r="AY156" i="8"/>
  <c r="AX156" i="8"/>
  <c r="AW156" i="8"/>
  <c r="AV156" i="8"/>
  <c r="AU156" i="8"/>
  <c r="L156" i="8"/>
  <c r="J156" i="8"/>
  <c r="H156" i="8"/>
  <c r="G156" i="8"/>
  <c r="F156" i="8"/>
  <c r="E156" i="8"/>
  <c r="D156" i="8"/>
  <c r="C156" i="8"/>
  <c r="B156" i="8"/>
  <c r="BJ155" i="8"/>
  <c r="BI155" i="8"/>
  <c r="BH155" i="8"/>
  <c r="BG155" i="8"/>
  <c r="BF155" i="8"/>
  <c r="BE155" i="8"/>
  <c r="BD155" i="8"/>
  <c r="BC155" i="8"/>
  <c r="BB155" i="8"/>
  <c r="BA155" i="8"/>
  <c r="AZ155" i="8"/>
  <c r="AY155" i="8"/>
  <c r="AX155" i="8"/>
  <c r="AW155" i="8"/>
  <c r="AV155" i="8"/>
  <c r="AU155" i="8"/>
  <c r="L155" i="8"/>
  <c r="J155" i="8"/>
  <c r="H155" i="8"/>
  <c r="G155" i="8"/>
  <c r="F155" i="8"/>
  <c r="E155" i="8"/>
  <c r="D155" i="8"/>
  <c r="C155" i="8"/>
  <c r="B155" i="8"/>
  <c r="BJ154" i="8"/>
  <c r="BI154" i="8"/>
  <c r="BH154" i="8"/>
  <c r="BG154" i="8"/>
  <c r="BF154" i="8"/>
  <c r="BE154" i="8"/>
  <c r="BD154" i="8"/>
  <c r="BC154" i="8"/>
  <c r="BB154" i="8"/>
  <c r="BA154" i="8"/>
  <c r="AZ154" i="8"/>
  <c r="AY154" i="8"/>
  <c r="AX154" i="8"/>
  <c r="AW154" i="8"/>
  <c r="AV154" i="8"/>
  <c r="AU154" i="8"/>
  <c r="L154" i="8"/>
  <c r="H154" i="8"/>
  <c r="G154" i="8"/>
  <c r="F154" i="8"/>
  <c r="E154" i="8"/>
  <c r="D154" i="8"/>
  <c r="C154" i="8"/>
  <c r="B154" i="8"/>
  <c r="BJ153" i="8"/>
  <c r="BI153" i="8"/>
  <c r="BH153" i="8"/>
  <c r="BG153" i="8"/>
  <c r="BF153" i="8"/>
  <c r="BE153" i="8"/>
  <c r="BD153" i="8"/>
  <c r="BC153" i="8"/>
  <c r="BB153" i="8"/>
  <c r="BA153" i="8"/>
  <c r="AZ153" i="8"/>
  <c r="AY153" i="8"/>
  <c r="AX153" i="8"/>
  <c r="AW153" i="8"/>
  <c r="AV153" i="8"/>
  <c r="AU153" i="8"/>
  <c r="L153" i="8"/>
  <c r="H153" i="8"/>
  <c r="G153" i="8"/>
  <c r="F153" i="8"/>
  <c r="E153" i="8"/>
  <c r="D153" i="8"/>
  <c r="C153" i="8"/>
  <c r="B153" i="8"/>
  <c r="BJ152" i="8"/>
  <c r="BI152" i="8"/>
  <c r="BH152" i="8"/>
  <c r="BG152" i="8"/>
  <c r="BF152" i="8"/>
  <c r="BE152" i="8"/>
  <c r="BD152" i="8"/>
  <c r="BC152" i="8"/>
  <c r="BB152" i="8"/>
  <c r="BA152" i="8"/>
  <c r="AZ152" i="8"/>
  <c r="AY152" i="8"/>
  <c r="AX152" i="8"/>
  <c r="AW152" i="8"/>
  <c r="AV152" i="8"/>
  <c r="AU152" i="8"/>
  <c r="L152" i="8"/>
  <c r="H152" i="8"/>
  <c r="G152" i="8"/>
  <c r="F152" i="8"/>
  <c r="E152" i="8"/>
  <c r="D152" i="8"/>
  <c r="C152" i="8"/>
  <c r="B152" i="8"/>
  <c r="BJ151" i="8"/>
  <c r="BI151" i="8"/>
  <c r="BH151" i="8"/>
  <c r="BG151" i="8"/>
  <c r="BF151" i="8"/>
  <c r="BE151" i="8"/>
  <c r="BD151" i="8"/>
  <c r="BC151" i="8"/>
  <c r="BB151" i="8"/>
  <c r="BA151" i="8"/>
  <c r="AZ151" i="8"/>
  <c r="AY151" i="8"/>
  <c r="AX151" i="8"/>
  <c r="AW151" i="8"/>
  <c r="AV151" i="8"/>
  <c r="AU151" i="8"/>
  <c r="L151" i="8"/>
  <c r="H151" i="8"/>
  <c r="G151" i="8"/>
  <c r="F151" i="8"/>
  <c r="E151" i="8"/>
  <c r="D151" i="8"/>
  <c r="C151" i="8"/>
  <c r="B151" i="8"/>
  <c r="BJ150" i="8"/>
  <c r="BI150" i="8"/>
  <c r="BH150" i="8"/>
  <c r="BG150" i="8"/>
  <c r="BF150" i="8"/>
  <c r="BE150" i="8"/>
  <c r="BD150" i="8"/>
  <c r="BC150" i="8"/>
  <c r="BB150" i="8"/>
  <c r="BA150" i="8"/>
  <c r="AZ150" i="8"/>
  <c r="AY150" i="8"/>
  <c r="AX150" i="8"/>
  <c r="AW150" i="8"/>
  <c r="AV150" i="8"/>
  <c r="AU150" i="8"/>
  <c r="L150" i="8"/>
  <c r="H150" i="8"/>
  <c r="G150" i="8"/>
  <c r="F150" i="8"/>
  <c r="E150" i="8"/>
  <c r="D150" i="8"/>
  <c r="C150" i="8"/>
  <c r="B150" i="8"/>
  <c r="BJ149" i="8"/>
  <c r="BI149" i="8"/>
  <c r="BH149" i="8"/>
  <c r="BG149" i="8"/>
  <c r="BF149" i="8"/>
  <c r="BE149" i="8"/>
  <c r="BD149" i="8"/>
  <c r="BC149" i="8"/>
  <c r="BB149" i="8"/>
  <c r="BA149" i="8"/>
  <c r="AZ149" i="8"/>
  <c r="AY149" i="8"/>
  <c r="AX149" i="8"/>
  <c r="AW149" i="8"/>
  <c r="AV149" i="8"/>
  <c r="AU149" i="8"/>
  <c r="T149" i="8"/>
  <c r="L149" i="8"/>
  <c r="J149" i="8"/>
  <c r="I149" i="8"/>
  <c r="H149" i="8"/>
  <c r="G149" i="8"/>
  <c r="F149" i="8"/>
  <c r="E149" i="8"/>
  <c r="D149" i="8"/>
  <c r="C149" i="8"/>
  <c r="B149" i="8"/>
  <c r="BJ148" i="8"/>
  <c r="BI148" i="8"/>
  <c r="BH148" i="8"/>
  <c r="BG148" i="8"/>
  <c r="BF148" i="8"/>
  <c r="BE148" i="8"/>
  <c r="BD148" i="8"/>
  <c r="BC148" i="8"/>
  <c r="BB148" i="8"/>
  <c r="BA148" i="8"/>
  <c r="AZ148" i="8"/>
  <c r="AY148" i="8"/>
  <c r="AX148" i="8"/>
  <c r="AW148" i="8"/>
  <c r="AV148" i="8"/>
  <c r="AU148" i="8"/>
  <c r="S148" i="8"/>
  <c r="R148" i="8"/>
  <c r="M148" i="8"/>
  <c r="L148" i="8"/>
  <c r="J148" i="8"/>
  <c r="I148" i="8"/>
  <c r="H148" i="8"/>
  <c r="G148" i="8"/>
  <c r="F148" i="8"/>
  <c r="E148" i="8"/>
  <c r="D148" i="8"/>
  <c r="C148" i="8"/>
  <c r="B148" i="8"/>
  <c r="BJ147" i="8"/>
  <c r="BI147" i="8"/>
  <c r="BH147" i="8"/>
  <c r="BG147" i="8"/>
  <c r="BF147" i="8"/>
  <c r="BE147" i="8"/>
  <c r="BD147" i="8"/>
  <c r="BC147" i="8"/>
  <c r="BB147" i="8"/>
  <c r="BA147" i="8"/>
  <c r="AZ147" i="8"/>
  <c r="AY147" i="8"/>
  <c r="AX147" i="8"/>
  <c r="AW147" i="8"/>
  <c r="AV147" i="8"/>
  <c r="AU147" i="8"/>
  <c r="S147" i="8"/>
  <c r="R147" i="8"/>
  <c r="M147" i="8"/>
  <c r="L147" i="8"/>
  <c r="J147" i="8"/>
  <c r="I147" i="8"/>
  <c r="H147" i="8"/>
  <c r="G147" i="8"/>
  <c r="F147" i="8"/>
  <c r="E147" i="8"/>
  <c r="D147" i="8"/>
  <c r="C147" i="8"/>
  <c r="B147" i="8"/>
  <c r="BJ146" i="8"/>
  <c r="BI146" i="8"/>
  <c r="BH146" i="8"/>
  <c r="BG146" i="8"/>
  <c r="BF146" i="8"/>
  <c r="BE146" i="8"/>
  <c r="BD146" i="8"/>
  <c r="BC146" i="8"/>
  <c r="BB146" i="8"/>
  <c r="BA146" i="8"/>
  <c r="AZ146" i="8"/>
  <c r="AY146" i="8"/>
  <c r="AX146" i="8"/>
  <c r="AW146" i="8"/>
  <c r="AV146" i="8"/>
  <c r="AU146" i="8"/>
  <c r="S146" i="8"/>
  <c r="R146" i="8"/>
  <c r="P146" i="8"/>
  <c r="O146" i="8"/>
  <c r="N146" i="8"/>
  <c r="M146" i="8"/>
  <c r="L146" i="8"/>
  <c r="J146" i="8"/>
  <c r="I146" i="8"/>
  <c r="H146" i="8"/>
  <c r="G146" i="8"/>
  <c r="F146" i="8"/>
  <c r="E146" i="8"/>
  <c r="D146" i="8"/>
  <c r="C146" i="8"/>
  <c r="B146" i="8"/>
  <c r="BJ145" i="8"/>
  <c r="BI145" i="8"/>
  <c r="BH145" i="8"/>
  <c r="BG145" i="8"/>
  <c r="BF145" i="8"/>
  <c r="BE145" i="8"/>
  <c r="BD145" i="8"/>
  <c r="BC145" i="8"/>
  <c r="BB145" i="8"/>
  <c r="BA145" i="8"/>
  <c r="AZ145" i="8"/>
  <c r="AY145" i="8"/>
  <c r="AX145" i="8"/>
  <c r="AW145" i="8"/>
  <c r="AV145" i="8"/>
  <c r="AU145" i="8"/>
  <c r="L145" i="8"/>
  <c r="H145" i="8"/>
  <c r="G145" i="8"/>
  <c r="F145" i="8"/>
  <c r="E145" i="8"/>
  <c r="D145" i="8"/>
  <c r="C145" i="8"/>
  <c r="B145" i="8"/>
  <c r="BJ144" i="8"/>
  <c r="BI144" i="8"/>
  <c r="BH144" i="8"/>
  <c r="BG144" i="8"/>
  <c r="BF144" i="8"/>
  <c r="BE144" i="8"/>
  <c r="BD144" i="8"/>
  <c r="BC144" i="8"/>
  <c r="BB144" i="8"/>
  <c r="BA144" i="8"/>
  <c r="AZ144" i="8"/>
  <c r="AY144" i="8"/>
  <c r="AX144" i="8"/>
  <c r="AW144" i="8"/>
  <c r="AV144" i="8"/>
  <c r="AU144" i="8"/>
  <c r="L144" i="8"/>
  <c r="H144" i="8"/>
  <c r="G144" i="8"/>
  <c r="F144" i="8"/>
  <c r="E144" i="8"/>
  <c r="D144" i="8"/>
  <c r="C144" i="8"/>
  <c r="B144" i="8"/>
  <c r="BJ143" i="8"/>
  <c r="BI143" i="8"/>
  <c r="BH143" i="8"/>
  <c r="BG143" i="8"/>
  <c r="BF143" i="8"/>
  <c r="BE143" i="8"/>
  <c r="BD143" i="8"/>
  <c r="BC143" i="8"/>
  <c r="BB143" i="8"/>
  <c r="BA143" i="8"/>
  <c r="AZ143" i="8"/>
  <c r="AY143" i="8"/>
  <c r="AX143" i="8"/>
  <c r="AW143" i="8"/>
  <c r="AV143" i="8"/>
  <c r="AU143" i="8"/>
  <c r="L143" i="8"/>
  <c r="H143" i="8"/>
  <c r="G143" i="8"/>
  <c r="F143" i="8"/>
  <c r="E143" i="8"/>
  <c r="D143" i="8"/>
  <c r="C143" i="8"/>
  <c r="B143" i="8"/>
  <c r="BJ142" i="8"/>
  <c r="BI142" i="8"/>
  <c r="BH142" i="8"/>
  <c r="BG142" i="8"/>
  <c r="BF142" i="8"/>
  <c r="BE142" i="8"/>
  <c r="BD142" i="8"/>
  <c r="BC142" i="8"/>
  <c r="BB142" i="8"/>
  <c r="BA142" i="8"/>
  <c r="AZ142" i="8"/>
  <c r="AY142" i="8"/>
  <c r="AX142" i="8"/>
  <c r="AW142" i="8"/>
  <c r="AV142" i="8"/>
  <c r="AU142" i="8"/>
  <c r="L142" i="8"/>
  <c r="H142" i="8"/>
  <c r="G142" i="8"/>
  <c r="F142" i="8"/>
  <c r="E142" i="8"/>
  <c r="D142" i="8"/>
  <c r="C142" i="8"/>
  <c r="B142" i="8"/>
  <c r="BJ141" i="8"/>
  <c r="BI141" i="8"/>
  <c r="BH141" i="8"/>
  <c r="BG141" i="8"/>
  <c r="BF141" i="8"/>
  <c r="BE141" i="8"/>
  <c r="BD141" i="8"/>
  <c r="BC141" i="8"/>
  <c r="BB141" i="8"/>
  <c r="BA141" i="8"/>
  <c r="AZ141" i="8"/>
  <c r="AY141" i="8"/>
  <c r="AX141" i="8"/>
  <c r="AW141" i="8"/>
  <c r="AV141" i="8"/>
  <c r="AU141" i="8"/>
  <c r="L141" i="8"/>
  <c r="I141" i="8"/>
  <c r="H141" i="8"/>
  <c r="G141" i="8"/>
  <c r="F141" i="8"/>
  <c r="E141" i="8"/>
  <c r="D141" i="8"/>
  <c r="C141" i="8"/>
  <c r="B141" i="8"/>
  <c r="BJ140" i="8"/>
  <c r="BI140" i="8"/>
  <c r="BH140" i="8"/>
  <c r="BG140" i="8"/>
  <c r="BF140" i="8"/>
  <c r="BE140" i="8"/>
  <c r="BD140" i="8"/>
  <c r="BC140" i="8"/>
  <c r="BB140" i="8"/>
  <c r="BA140" i="8"/>
  <c r="AZ140" i="8"/>
  <c r="AY140" i="8"/>
  <c r="AX140" i="8"/>
  <c r="AW140" i="8"/>
  <c r="AV140" i="8"/>
  <c r="AU140" i="8"/>
  <c r="L140" i="8"/>
  <c r="H140" i="8"/>
  <c r="G140" i="8"/>
  <c r="F140" i="8"/>
  <c r="E140" i="8"/>
  <c r="D140" i="8"/>
  <c r="C140" i="8"/>
  <c r="B140" i="8"/>
  <c r="BJ139" i="8"/>
  <c r="BI139" i="8"/>
  <c r="BH139" i="8"/>
  <c r="BG139" i="8"/>
  <c r="BF139" i="8"/>
  <c r="BE139" i="8"/>
  <c r="BD139" i="8"/>
  <c r="BC139" i="8"/>
  <c r="BB139" i="8"/>
  <c r="BA139" i="8"/>
  <c r="AZ139" i="8"/>
  <c r="AY139" i="8"/>
  <c r="AX139" i="8"/>
  <c r="AW139" i="8"/>
  <c r="AV139" i="8"/>
  <c r="AU139" i="8"/>
  <c r="L139" i="8"/>
  <c r="J139" i="8"/>
  <c r="I139" i="8"/>
  <c r="H139" i="8"/>
  <c r="G139" i="8"/>
  <c r="F139" i="8"/>
  <c r="E139" i="8"/>
  <c r="D139" i="8"/>
  <c r="C139" i="8"/>
  <c r="B139" i="8"/>
  <c r="BJ138" i="8"/>
  <c r="BI138" i="8"/>
  <c r="BH138" i="8"/>
  <c r="BG138" i="8"/>
  <c r="BF138" i="8"/>
  <c r="BE138" i="8"/>
  <c r="BD138" i="8"/>
  <c r="BC138" i="8"/>
  <c r="BB138" i="8"/>
  <c r="BA138" i="8"/>
  <c r="AZ138" i="8"/>
  <c r="AY138" i="8"/>
  <c r="AX138" i="8"/>
  <c r="AW138" i="8"/>
  <c r="AV138" i="8"/>
  <c r="AU138" i="8"/>
  <c r="T138" i="8"/>
  <c r="L138" i="8"/>
  <c r="K138" i="8"/>
  <c r="J138" i="8"/>
  <c r="I138" i="8"/>
  <c r="H138" i="8"/>
  <c r="G138" i="8"/>
  <c r="F138" i="8"/>
  <c r="E138" i="8"/>
  <c r="D138" i="8"/>
  <c r="C138" i="8"/>
  <c r="B138" i="8"/>
  <c r="BJ137" i="8"/>
  <c r="BI137" i="8"/>
  <c r="BH137" i="8"/>
  <c r="BG137" i="8"/>
  <c r="BF137" i="8"/>
  <c r="BE137" i="8"/>
  <c r="BD137" i="8"/>
  <c r="BC137" i="8"/>
  <c r="BB137" i="8"/>
  <c r="BA137" i="8"/>
  <c r="AZ137" i="8"/>
  <c r="AY137" i="8"/>
  <c r="AX137" i="8"/>
  <c r="AW137" i="8"/>
  <c r="AV137" i="8"/>
  <c r="AU137" i="8"/>
  <c r="T137" i="8"/>
  <c r="L137" i="8"/>
  <c r="J137" i="8"/>
  <c r="I137" i="8"/>
  <c r="H137" i="8"/>
  <c r="G137" i="8"/>
  <c r="F137" i="8"/>
  <c r="E137" i="8"/>
  <c r="D137" i="8"/>
  <c r="C137" i="8"/>
  <c r="B137" i="8"/>
  <c r="BJ136" i="8"/>
  <c r="BI136" i="8"/>
  <c r="BH136" i="8"/>
  <c r="BG136" i="8"/>
  <c r="BF136" i="8"/>
  <c r="BE136" i="8"/>
  <c r="BD136" i="8"/>
  <c r="BC136" i="8"/>
  <c r="BB136" i="8"/>
  <c r="BA136" i="8"/>
  <c r="AZ136" i="8"/>
  <c r="AY136" i="8"/>
  <c r="AX136" i="8"/>
  <c r="AW136" i="8"/>
  <c r="AV136" i="8"/>
  <c r="AU136" i="8"/>
  <c r="T136" i="8"/>
  <c r="L136" i="8"/>
  <c r="J136" i="8"/>
  <c r="I136" i="8"/>
  <c r="H136" i="8"/>
  <c r="G136" i="8"/>
  <c r="F136" i="8"/>
  <c r="E136" i="8"/>
  <c r="D136" i="8"/>
  <c r="C136" i="8"/>
  <c r="B136" i="8"/>
  <c r="BJ135" i="8"/>
  <c r="BI135" i="8"/>
  <c r="BH135" i="8"/>
  <c r="BG135" i="8"/>
  <c r="BF135" i="8"/>
  <c r="BE135" i="8"/>
  <c r="BD135" i="8"/>
  <c r="BC135" i="8"/>
  <c r="BB135" i="8"/>
  <c r="BA135" i="8"/>
  <c r="AZ135" i="8"/>
  <c r="AY135" i="8"/>
  <c r="AX135" i="8"/>
  <c r="AW135" i="8"/>
  <c r="AV135" i="8"/>
  <c r="AU135" i="8"/>
  <c r="L135" i="8"/>
  <c r="J135" i="8"/>
  <c r="H135" i="8"/>
  <c r="G135" i="8"/>
  <c r="F135" i="8"/>
  <c r="E135" i="8"/>
  <c r="D135" i="8"/>
  <c r="C135" i="8"/>
  <c r="B135" i="8"/>
  <c r="BJ134" i="8"/>
  <c r="BI134" i="8"/>
  <c r="BH134" i="8"/>
  <c r="BG134" i="8"/>
  <c r="BF134" i="8"/>
  <c r="BE134" i="8"/>
  <c r="BD134" i="8"/>
  <c r="BC134" i="8"/>
  <c r="BB134" i="8"/>
  <c r="BA134" i="8"/>
  <c r="AZ134" i="8"/>
  <c r="AY134" i="8"/>
  <c r="AX134" i="8"/>
  <c r="AW134" i="8"/>
  <c r="AV134" i="8"/>
  <c r="AU134" i="8"/>
  <c r="W134" i="8"/>
  <c r="V134" i="8"/>
  <c r="U134" i="8"/>
  <c r="T134" i="8"/>
  <c r="S134" i="8"/>
  <c r="R134" i="8"/>
  <c r="Q134" i="8"/>
  <c r="P134" i="8"/>
  <c r="O134" i="8"/>
  <c r="N134" i="8"/>
  <c r="M134" i="8"/>
  <c r="L134" i="8"/>
  <c r="J134" i="8"/>
  <c r="I134" i="8"/>
  <c r="H134" i="8"/>
  <c r="G134" i="8"/>
  <c r="F134" i="8"/>
  <c r="E134" i="8"/>
  <c r="D134" i="8"/>
  <c r="C134" i="8"/>
  <c r="B134" i="8"/>
  <c r="BJ133" i="8"/>
  <c r="BI133" i="8"/>
  <c r="BH133" i="8"/>
  <c r="BG133" i="8"/>
  <c r="BF133" i="8"/>
  <c r="BE133" i="8"/>
  <c r="BD133" i="8"/>
  <c r="BC133" i="8"/>
  <c r="BB133" i="8"/>
  <c r="BA133" i="8"/>
  <c r="AZ133" i="8"/>
  <c r="AY133" i="8"/>
  <c r="AX133" i="8"/>
  <c r="AW133" i="8"/>
  <c r="AV133" i="8"/>
  <c r="AU133" i="8"/>
  <c r="AA133" i="8"/>
  <c r="T133" i="8"/>
  <c r="L133" i="8"/>
  <c r="K133" i="8"/>
  <c r="J133" i="8"/>
  <c r="H133" i="8"/>
  <c r="G133" i="8"/>
  <c r="F133" i="8"/>
  <c r="E133" i="8"/>
  <c r="D133" i="8"/>
  <c r="C133" i="8"/>
  <c r="B133" i="8"/>
  <c r="BJ132" i="8"/>
  <c r="BI132" i="8"/>
  <c r="BH132" i="8"/>
  <c r="BG132" i="8"/>
  <c r="BF132" i="8"/>
  <c r="BE132" i="8"/>
  <c r="BD132" i="8"/>
  <c r="BC132" i="8"/>
  <c r="BB132" i="8"/>
  <c r="BA132" i="8"/>
  <c r="AZ132" i="8"/>
  <c r="AY132" i="8"/>
  <c r="AX132" i="8"/>
  <c r="AW132" i="8"/>
  <c r="AV132" i="8"/>
  <c r="AU132" i="8"/>
  <c r="AA132" i="8"/>
  <c r="L132" i="8"/>
  <c r="K132" i="8"/>
  <c r="J132" i="8"/>
  <c r="I132" i="8"/>
  <c r="H132" i="8"/>
  <c r="G132" i="8"/>
  <c r="F132" i="8"/>
  <c r="E132" i="8"/>
  <c r="D132" i="8"/>
  <c r="C132" i="8"/>
  <c r="B132" i="8"/>
  <c r="BJ131" i="8"/>
  <c r="BI131" i="8"/>
  <c r="BH131" i="8"/>
  <c r="BG131" i="8"/>
  <c r="BF131" i="8"/>
  <c r="BE131" i="8"/>
  <c r="BD131" i="8"/>
  <c r="BC131" i="8"/>
  <c r="BB131" i="8"/>
  <c r="BA131" i="8"/>
  <c r="AZ131" i="8"/>
  <c r="AY131" i="8"/>
  <c r="AX131" i="8"/>
  <c r="AW131" i="8"/>
  <c r="AV131" i="8"/>
  <c r="AU131" i="8"/>
  <c r="AA131" i="8"/>
  <c r="L131" i="8"/>
  <c r="J131" i="8"/>
  <c r="I131" i="8"/>
  <c r="H131" i="8"/>
  <c r="G131" i="8"/>
  <c r="F131" i="8"/>
  <c r="E131" i="8"/>
  <c r="D131" i="8"/>
  <c r="C131" i="8"/>
  <c r="B131" i="8"/>
  <c r="BJ130" i="8"/>
  <c r="BI130" i="8"/>
  <c r="BH130" i="8"/>
  <c r="BG130" i="8"/>
  <c r="BF130" i="8"/>
  <c r="BE130" i="8"/>
  <c r="BD130" i="8"/>
  <c r="BC130" i="8"/>
  <c r="BB130" i="8"/>
  <c r="BA130" i="8"/>
  <c r="AZ130" i="8"/>
  <c r="AY130" i="8"/>
  <c r="AX130" i="8"/>
  <c r="AW130" i="8"/>
  <c r="AV130" i="8"/>
  <c r="AU130" i="8"/>
  <c r="AA130" i="8"/>
  <c r="M130" i="8"/>
  <c r="L130" i="8"/>
  <c r="J130" i="8"/>
  <c r="I130" i="8"/>
  <c r="H130" i="8"/>
  <c r="G130" i="8"/>
  <c r="F130" i="8"/>
  <c r="E130" i="8"/>
  <c r="D130" i="8"/>
  <c r="C130" i="8"/>
  <c r="B130" i="8"/>
  <c r="BJ129" i="8"/>
  <c r="BI129" i="8"/>
  <c r="BH129" i="8"/>
  <c r="BG129" i="8"/>
  <c r="BF129" i="8"/>
  <c r="BE129" i="8"/>
  <c r="BD129" i="8"/>
  <c r="BC129" i="8"/>
  <c r="BB129" i="8"/>
  <c r="BA129" i="8"/>
  <c r="AZ129" i="8"/>
  <c r="AY129" i="8"/>
  <c r="AX129" i="8"/>
  <c r="AW129" i="8"/>
  <c r="AV129" i="8"/>
  <c r="AU129" i="8"/>
  <c r="AA129" i="8"/>
  <c r="L129" i="8"/>
  <c r="K129" i="8"/>
  <c r="J129" i="8"/>
  <c r="I129" i="8"/>
  <c r="H129" i="8"/>
  <c r="G129" i="8"/>
  <c r="F129" i="8"/>
  <c r="E129" i="8"/>
  <c r="D129" i="8"/>
  <c r="C129" i="8"/>
  <c r="B129" i="8"/>
  <c r="BJ128" i="8"/>
  <c r="BI128" i="8"/>
  <c r="BH128" i="8"/>
  <c r="BG128" i="8"/>
  <c r="BF128" i="8"/>
  <c r="BE128" i="8"/>
  <c r="BD128" i="8"/>
  <c r="BC128" i="8"/>
  <c r="BB128" i="8"/>
  <c r="BA128" i="8"/>
  <c r="AZ128" i="8"/>
  <c r="AY128" i="8"/>
  <c r="AX128" i="8"/>
  <c r="AW128" i="8"/>
  <c r="AV128" i="8"/>
  <c r="AU128" i="8"/>
  <c r="AA128" i="8"/>
  <c r="T128" i="8"/>
  <c r="L128" i="8"/>
  <c r="K128" i="8"/>
  <c r="I128" i="8"/>
  <c r="H128" i="8"/>
  <c r="G128" i="8"/>
  <c r="F128" i="8"/>
  <c r="E128" i="8"/>
  <c r="D128" i="8"/>
  <c r="C128" i="8"/>
  <c r="B128" i="8"/>
  <c r="BJ127" i="8"/>
  <c r="BI127" i="8"/>
  <c r="BH127" i="8"/>
  <c r="BG127" i="8"/>
  <c r="BF127" i="8"/>
  <c r="BE127" i="8"/>
  <c r="BD127" i="8"/>
  <c r="BC127" i="8"/>
  <c r="BB127" i="8"/>
  <c r="BA127" i="8"/>
  <c r="AZ127" i="8"/>
  <c r="AY127" i="8"/>
  <c r="AX127" i="8"/>
  <c r="AW127" i="8"/>
  <c r="AV127" i="8"/>
  <c r="AU127" i="8"/>
  <c r="AA127" i="8"/>
  <c r="T127" i="8"/>
  <c r="L127" i="8"/>
  <c r="K127" i="8"/>
  <c r="J127" i="8"/>
  <c r="I127" i="8"/>
  <c r="H127" i="8"/>
  <c r="G127" i="8"/>
  <c r="F127" i="8"/>
  <c r="E127" i="8"/>
  <c r="D127" i="8"/>
  <c r="C127" i="8"/>
  <c r="B127" i="8"/>
  <c r="BJ126" i="8"/>
  <c r="BI126" i="8"/>
  <c r="BH126" i="8"/>
  <c r="BG126" i="8"/>
  <c r="BF126" i="8"/>
  <c r="BE126" i="8"/>
  <c r="BD126" i="8"/>
  <c r="BC126" i="8"/>
  <c r="BB126" i="8"/>
  <c r="BA126" i="8"/>
  <c r="AZ126" i="8"/>
  <c r="AY126" i="8"/>
  <c r="AX126" i="8"/>
  <c r="AW126" i="8"/>
  <c r="AV126" i="8"/>
  <c r="AU126" i="8"/>
  <c r="AA126" i="8"/>
  <c r="L126" i="8"/>
  <c r="J126" i="8"/>
  <c r="H126" i="8"/>
  <c r="G126" i="8"/>
  <c r="F126" i="8"/>
  <c r="E126" i="8"/>
  <c r="D126" i="8"/>
  <c r="C126" i="8"/>
  <c r="B126" i="8"/>
  <c r="BJ125" i="8"/>
  <c r="BI125" i="8"/>
  <c r="BH125" i="8"/>
  <c r="BG125" i="8"/>
  <c r="BF125" i="8"/>
  <c r="BE125" i="8"/>
  <c r="BD125" i="8"/>
  <c r="BC125" i="8"/>
  <c r="BB125" i="8"/>
  <c r="BA125" i="8"/>
  <c r="AZ125" i="8"/>
  <c r="AY125" i="8"/>
  <c r="AX125" i="8"/>
  <c r="AW125" i="8"/>
  <c r="AV125" i="8"/>
  <c r="AU125" i="8"/>
  <c r="AA125" i="8"/>
  <c r="L125" i="8"/>
  <c r="J125" i="8"/>
  <c r="I125" i="8"/>
  <c r="H125" i="8"/>
  <c r="G125" i="8"/>
  <c r="F125" i="8"/>
  <c r="E125" i="8"/>
  <c r="D125" i="8"/>
  <c r="C125" i="8"/>
  <c r="B125" i="8"/>
  <c r="BJ124" i="8"/>
  <c r="BI124" i="8"/>
  <c r="BH124" i="8"/>
  <c r="BG124" i="8"/>
  <c r="BF124" i="8"/>
  <c r="BE124" i="8"/>
  <c r="BD124" i="8"/>
  <c r="BC124" i="8"/>
  <c r="BB124" i="8"/>
  <c r="BA124" i="8"/>
  <c r="AZ124" i="8"/>
  <c r="AY124" i="8"/>
  <c r="AX124" i="8"/>
  <c r="AW124" i="8"/>
  <c r="AV124" i="8"/>
  <c r="AU124" i="8"/>
  <c r="AA124" i="8"/>
  <c r="T124" i="8"/>
  <c r="L124" i="8"/>
  <c r="J124" i="8"/>
  <c r="H124" i="8"/>
  <c r="G124" i="8"/>
  <c r="F124" i="8"/>
  <c r="E124" i="8"/>
  <c r="D124" i="8"/>
  <c r="C124" i="8"/>
  <c r="B124" i="8"/>
  <c r="BJ123" i="8"/>
  <c r="BI123" i="8"/>
  <c r="BH123" i="8"/>
  <c r="BG123" i="8"/>
  <c r="BF123" i="8"/>
  <c r="BE123" i="8"/>
  <c r="BD123" i="8"/>
  <c r="BC123" i="8"/>
  <c r="BB123" i="8"/>
  <c r="BA123" i="8"/>
  <c r="AZ123" i="8"/>
  <c r="AY123" i="8"/>
  <c r="AX123" i="8"/>
  <c r="AW123" i="8"/>
  <c r="AV123" i="8"/>
  <c r="AU123" i="8"/>
  <c r="AA123" i="8"/>
  <c r="T123" i="8"/>
  <c r="L123" i="8"/>
  <c r="J123" i="8"/>
  <c r="I123" i="8"/>
  <c r="H123" i="8"/>
  <c r="G123" i="8"/>
  <c r="F123" i="8"/>
  <c r="E123" i="8"/>
  <c r="D123" i="8"/>
  <c r="C123" i="8"/>
  <c r="B123" i="8"/>
  <c r="BJ122" i="8"/>
  <c r="BI122" i="8"/>
  <c r="BH122" i="8"/>
  <c r="BG122" i="8"/>
  <c r="BF122" i="8"/>
  <c r="BE122" i="8"/>
  <c r="BD122" i="8"/>
  <c r="BC122" i="8"/>
  <c r="BB122" i="8"/>
  <c r="BA122" i="8"/>
  <c r="AZ122" i="8"/>
  <c r="AY122" i="8"/>
  <c r="AX122" i="8"/>
  <c r="AW122" i="8"/>
  <c r="AV122" i="8"/>
  <c r="AU122" i="8"/>
  <c r="AA122" i="8"/>
  <c r="L122" i="8"/>
  <c r="J122" i="8"/>
  <c r="I122" i="8"/>
  <c r="H122" i="8"/>
  <c r="G122" i="8"/>
  <c r="F122" i="8"/>
  <c r="E122" i="8"/>
  <c r="D122" i="8"/>
  <c r="C122" i="8"/>
  <c r="B122" i="8"/>
  <c r="BJ121" i="8"/>
  <c r="BI121" i="8"/>
  <c r="BH121" i="8"/>
  <c r="BG121" i="8"/>
  <c r="BF121" i="8"/>
  <c r="BE121" i="8"/>
  <c r="BD121" i="8"/>
  <c r="BC121" i="8"/>
  <c r="BB121" i="8"/>
  <c r="BA121" i="8"/>
  <c r="AZ121" i="8"/>
  <c r="AY121" i="8"/>
  <c r="AX121" i="8"/>
  <c r="AW121" i="8"/>
  <c r="AV121" i="8"/>
  <c r="AU121" i="8"/>
  <c r="AA121" i="8"/>
  <c r="L121" i="8"/>
  <c r="J121" i="8"/>
  <c r="H121" i="8"/>
  <c r="G121" i="8"/>
  <c r="F121" i="8"/>
  <c r="E121" i="8"/>
  <c r="D121" i="8"/>
  <c r="C121" i="8"/>
  <c r="B121" i="8"/>
  <c r="BJ120" i="8"/>
  <c r="BI120" i="8"/>
  <c r="BH120" i="8"/>
  <c r="BG120" i="8"/>
  <c r="BF120" i="8"/>
  <c r="BE120" i="8"/>
  <c r="BD120" i="8"/>
  <c r="BC120" i="8"/>
  <c r="BB120" i="8"/>
  <c r="BA120" i="8"/>
  <c r="AZ120" i="8"/>
  <c r="AY120" i="8"/>
  <c r="AX120" i="8"/>
  <c r="AW120" i="8"/>
  <c r="AV120" i="8"/>
  <c r="AU120" i="8"/>
  <c r="AA120" i="8"/>
  <c r="L120" i="8"/>
  <c r="K120" i="8"/>
  <c r="J120" i="8"/>
  <c r="I120" i="8"/>
  <c r="H120" i="8"/>
  <c r="G120" i="8"/>
  <c r="F120" i="8"/>
  <c r="E120" i="8"/>
  <c r="D120" i="8"/>
  <c r="C120" i="8"/>
  <c r="B120" i="8"/>
  <c r="BJ119" i="8"/>
  <c r="BI119" i="8"/>
  <c r="BH119" i="8"/>
  <c r="BG119" i="8"/>
  <c r="BF119" i="8"/>
  <c r="BE119" i="8"/>
  <c r="BD119" i="8"/>
  <c r="BC119" i="8"/>
  <c r="BB119" i="8"/>
  <c r="BA119" i="8"/>
  <c r="AZ119" i="8"/>
  <c r="AY119" i="8"/>
  <c r="AX119" i="8"/>
  <c r="AW119" i="8"/>
  <c r="AV119" i="8"/>
  <c r="AU119" i="8"/>
  <c r="AA119" i="8"/>
  <c r="T119" i="8"/>
  <c r="L119" i="8"/>
  <c r="K119" i="8"/>
  <c r="J119" i="8"/>
  <c r="I119" i="8"/>
  <c r="H119" i="8"/>
  <c r="G119" i="8"/>
  <c r="F119" i="8"/>
  <c r="E119" i="8"/>
  <c r="D119" i="8"/>
  <c r="C119" i="8"/>
  <c r="B119" i="8"/>
  <c r="BJ118" i="8"/>
  <c r="BI118" i="8"/>
  <c r="BH118" i="8"/>
  <c r="BG118" i="8"/>
  <c r="BF118" i="8"/>
  <c r="BE118" i="8"/>
  <c r="BD118" i="8"/>
  <c r="BC118" i="8"/>
  <c r="BB118" i="8"/>
  <c r="BA118" i="8"/>
  <c r="AZ118" i="8"/>
  <c r="AY118" i="8"/>
  <c r="AX118" i="8"/>
  <c r="AW118" i="8"/>
  <c r="AV118" i="8"/>
  <c r="AU118" i="8"/>
  <c r="AA118" i="8"/>
  <c r="L118" i="8"/>
  <c r="J118" i="8"/>
  <c r="H118" i="8"/>
  <c r="G118" i="8"/>
  <c r="F118" i="8"/>
  <c r="E118" i="8"/>
  <c r="D118" i="8"/>
  <c r="C118" i="8"/>
  <c r="B118" i="8"/>
  <c r="BJ117" i="8"/>
  <c r="BI117" i="8"/>
  <c r="BH117" i="8"/>
  <c r="BG117" i="8"/>
  <c r="BF117" i="8"/>
  <c r="BE117" i="8"/>
  <c r="BD117" i="8"/>
  <c r="BC117" i="8"/>
  <c r="BB117" i="8"/>
  <c r="BA117" i="8"/>
  <c r="AZ117" i="8"/>
  <c r="AY117" i="8"/>
  <c r="AX117" i="8"/>
  <c r="AW117" i="8"/>
  <c r="AV117" i="8"/>
  <c r="AU117" i="8"/>
  <c r="AA117" i="8"/>
  <c r="T117" i="8"/>
  <c r="L117" i="8"/>
  <c r="J117" i="8"/>
  <c r="H117" i="8"/>
  <c r="G117" i="8"/>
  <c r="F117" i="8"/>
  <c r="E117" i="8"/>
  <c r="D117" i="8"/>
  <c r="C117" i="8"/>
  <c r="B117" i="8"/>
  <c r="BJ116" i="8"/>
  <c r="BI116" i="8"/>
  <c r="BH116" i="8"/>
  <c r="BG116" i="8"/>
  <c r="BF116" i="8"/>
  <c r="BE116" i="8"/>
  <c r="BD116" i="8"/>
  <c r="BC116" i="8"/>
  <c r="BB116" i="8"/>
  <c r="BA116" i="8"/>
  <c r="AZ116" i="8"/>
  <c r="AY116" i="8"/>
  <c r="AX116" i="8"/>
  <c r="AW116" i="8"/>
  <c r="AV116" i="8"/>
  <c r="AU116" i="8"/>
  <c r="AA116" i="8"/>
  <c r="L116" i="8"/>
  <c r="J116" i="8"/>
  <c r="I116" i="8"/>
  <c r="H116" i="8"/>
  <c r="G116" i="8"/>
  <c r="F116" i="8"/>
  <c r="E116" i="8"/>
  <c r="D116" i="8"/>
  <c r="C116" i="8"/>
  <c r="B116" i="8"/>
  <c r="BJ115" i="8"/>
  <c r="BI115" i="8"/>
  <c r="BH115" i="8"/>
  <c r="BG115" i="8"/>
  <c r="BF115" i="8"/>
  <c r="BE115" i="8"/>
  <c r="BD115" i="8"/>
  <c r="BC115" i="8"/>
  <c r="BB115" i="8"/>
  <c r="BA115" i="8"/>
  <c r="AZ115" i="8"/>
  <c r="AY115" i="8"/>
  <c r="AX115" i="8"/>
  <c r="AW115" i="8"/>
  <c r="AV115" i="8"/>
  <c r="AU115" i="8"/>
  <c r="AA115" i="8"/>
  <c r="L115" i="8"/>
  <c r="J115" i="8"/>
  <c r="H115" i="8"/>
  <c r="G115" i="8"/>
  <c r="F115" i="8"/>
  <c r="E115" i="8"/>
  <c r="D115" i="8"/>
  <c r="C115" i="8"/>
  <c r="B115" i="8"/>
  <c r="BJ114" i="8"/>
  <c r="BI114" i="8"/>
  <c r="BH114" i="8"/>
  <c r="BG114" i="8"/>
  <c r="BF114" i="8"/>
  <c r="BE114" i="8"/>
  <c r="BD114" i="8"/>
  <c r="BC114" i="8"/>
  <c r="BB114" i="8"/>
  <c r="BA114" i="8"/>
  <c r="AZ114" i="8"/>
  <c r="AY114" i="8"/>
  <c r="AX114" i="8"/>
  <c r="AW114" i="8"/>
  <c r="AV114" i="8"/>
  <c r="AU114" i="8"/>
  <c r="AA114" i="8"/>
  <c r="L114" i="8"/>
  <c r="J114" i="8"/>
  <c r="H114" i="8"/>
  <c r="G114" i="8"/>
  <c r="F114" i="8"/>
  <c r="E114" i="8"/>
  <c r="D114" i="8"/>
  <c r="C114" i="8"/>
  <c r="B114" i="8"/>
  <c r="BJ113" i="8"/>
  <c r="BI113" i="8"/>
  <c r="BH113" i="8"/>
  <c r="BG113" i="8"/>
  <c r="BF113" i="8"/>
  <c r="BE113" i="8"/>
  <c r="BD113" i="8"/>
  <c r="BC113" i="8"/>
  <c r="BB113" i="8"/>
  <c r="BA113" i="8"/>
  <c r="AZ113" i="8"/>
  <c r="AY113" i="8"/>
  <c r="AX113" i="8"/>
  <c r="AW113" i="8"/>
  <c r="AV113" i="8"/>
  <c r="AU113" i="8"/>
  <c r="AA113" i="8"/>
  <c r="L113" i="8"/>
  <c r="J113" i="8"/>
  <c r="I113" i="8"/>
  <c r="H113" i="8"/>
  <c r="G113" i="8"/>
  <c r="F113" i="8"/>
  <c r="E113" i="8"/>
  <c r="D113" i="8"/>
  <c r="C113" i="8"/>
  <c r="B113" i="8"/>
  <c r="BJ112" i="8"/>
  <c r="BI112" i="8"/>
  <c r="BH112" i="8"/>
  <c r="BG112" i="8"/>
  <c r="BF112" i="8"/>
  <c r="BE112" i="8"/>
  <c r="BD112" i="8"/>
  <c r="BC112" i="8"/>
  <c r="BB112" i="8"/>
  <c r="BA112" i="8"/>
  <c r="AZ112" i="8"/>
  <c r="AY112" i="8"/>
  <c r="AX112" i="8"/>
  <c r="AW112" i="8"/>
  <c r="AV112" i="8"/>
  <c r="AU112" i="8"/>
  <c r="AA112" i="8"/>
  <c r="L112" i="8"/>
  <c r="J112" i="8"/>
  <c r="H112" i="8"/>
  <c r="G112" i="8"/>
  <c r="F112" i="8"/>
  <c r="E112" i="8"/>
  <c r="D112" i="8"/>
  <c r="C112" i="8"/>
  <c r="B112" i="8"/>
  <c r="BJ111" i="8"/>
  <c r="BI111" i="8"/>
  <c r="BH111" i="8"/>
  <c r="BG111" i="8"/>
  <c r="BF111" i="8"/>
  <c r="BE111" i="8"/>
  <c r="BD111" i="8"/>
  <c r="BC111" i="8"/>
  <c r="BB111" i="8"/>
  <c r="BA111" i="8"/>
  <c r="AZ111" i="8"/>
  <c r="AY111" i="8"/>
  <c r="AX111" i="8"/>
  <c r="AW111" i="8"/>
  <c r="AV111" i="8"/>
  <c r="AU111" i="8"/>
  <c r="AA111" i="8"/>
  <c r="T111" i="8"/>
  <c r="L111" i="8"/>
  <c r="J111" i="8"/>
  <c r="H111" i="8"/>
  <c r="G111" i="8"/>
  <c r="F111" i="8"/>
  <c r="E111" i="8"/>
  <c r="D111" i="8"/>
  <c r="C111" i="8"/>
  <c r="B111" i="8"/>
  <c r="BJ110" i="8"/>
  <c r="BI110" i="8"/>
  <c r="BH110" i="8"/>
  <c r="BG110" i="8"/>
  <c r="BF110" i="8"/>
  <c r="BE110" i="8"/>
  <c r="BD110" i="8"/>
  <c r="BC110" i="8"/>
  <c r="BB110" i="8"/>
  <c r="BA110" i="8"/>
  <c r="AZ110" i="8"/>
  <c r="AY110" i="8"/>
  <c r="AX110" i="8"/>
  <c r="AW110" i="8"/>
  <c r="AV110" i="8"/>
  <c r="AU110" i="8"/>
  <c r="AA110" i="8"/>
  <c r="L110" i="8"/>
  <c r="K110" i="8"/>
  <c r="J110" i="8"/>
  <c r="I110" i="8"/>
  <c r="H110" i="8"/>
  <c r="G110" i="8"/>
  <c r="F110" i="8"/>
  <c r="E110" i="8"/>
  <c r="D110" i="8"/>
  <c r="C110" i="8"/>
  <c r="B110" i="8"/>
  <c r="BJ109" i="8"/>
  <c r="BI109" i="8"/>
  <c r="BH109" i="8"/>
  <c r="BG109" i="8"/>
  <c r="BF109" i="8"/>
  <c r="BE109" i="8"/>
  <c r="BD109" i="8"/>
  <c r="BC109" i="8"/>
  <c r="BB109" i="8"/>
  <c r="BA109" i="8"/>
  <c r="AZ109" i="8"/>
  <c r="AY109" i="8"/>
  <c r="AX109" i="8"/>
  <c r="AW109" i="8"/>
  <c r="AV109" i="8"/>
  <c r="AU109" i="8"/>
  <c r="AA109" i="8"/>
  <c r="T109" i="8"/>
  <c r="L109" i="8"/>
  <c r="J109" i="8"/>
  <c r="H109" i="8"/>
  <c r="G109" i="8"/>
  <c r="F109" i="8"/>
  <c r="E109" i="8"/>
  <c r="D109" i="8"/>
  <c r="C109" i="8"/>
  <c r="B109" i="8"/>
  <c r="BJ108" i="8"/>
  <c r="BI108" i="8"/>
  <c r="BH108" i="8"/>
  <c r="BG108" i="8"/>
  <c r="BF108" i="8"/>
  <c r="BE108" i="8"/>
  <c r="BD108" i="8"/>
  <c r="BC108" i="8"/>
  <c r="BB108" i="8"/>
  <c r="BA108" i="8"/>
  <c r="AZ108" i="8"/>
  <c r="AY108" i="8"/>
  <c r="AX108" i="8"/>
  <c r="AW108" i="8"/>
  <c r="AV108" i="8"/>
  <c r="AU108" i="8"/>
  <c r="AA108" i="8"/>
  <c r="T108" i="8"/>
  <c r="L108" i="8"/>
  <c r="J108" i="8"/>
  <c r="H108" i="8"/>
  <c r="G108" i="8"/>
  <c r="F108" i="8"/>
  <c r="E108" i="8"/>
  <c r="D108" i="8"/>
  <c r="C108" i="8"/>
  <c r="B108" i="8"/>
  <c r="BJ107" i="8"/>
  <c r="BI107" i="8"/>
  <c r="BH107" i="8"/>
  <c r="BG107" i="8"/>
  <c r="BF107" i="8"/>
  <c r="BE107" i="8"/>
  <c r="BD107" i="8"/>
  <c r="BC107" i="8"/>
  <c r="BB107" i="8"/>
  <c r="BA107" i="8"/>
  <c r="AZ107" i="8"/>
  <c r="AY107" i="8"/>
  <c r="AX107" i="8"/>
  <c r="AW107" i="8"/>
  <c r="AV107" i="8"/>
  <c r="AU107" i="8"/>
  <c r="AA107" i="8"/>
  <c r="L107" i="8"/>
  <c r="K107" i="8"/>
  <c r="J107" i="8"/>
  <c r="I107" i="8"/>
  <c r="H107" i="8"/>
  <c r="G107" i="8"/>
  <c r="F107" i="8"/>
  <c r="E107" i="8"/>
  <c r="D107" i="8"/>
  <c r="C107" i="8"/>
  <c r="B107" i="8"/>
  <c r="BJ106" i="8"/>
  <c r="BI106" i="8"/>
  <c r="BH106" i="8"/>
  <c r="BG106" i="8"/>
  <c r="BF106" i="8"/>
  <c r="BE106" i="8"/>
  <c r="BD106" i="8"/>
  <c r="BC106" i="8"/>
  <c r="BB106" i="8"/>
  <c r="BA106" i="8"/>
  <c r="AZ106" i="8"/>
  <c r="AY106" i="8"/>
  <c r="AX106" i="8"/>
  <c r="AW106" i="8"/>
  <c r="AV106" i="8"/>
  <c r="AU106" i="8"/>
  <c r="AA106" i="8"/>
  <c r="L106" i="8"/>
  <c r="J106" i="8"/>
  <c r="H106" i="8"/>
  <c r="G106" i="8"/>
  <c r="F106" i="8"/>
  <c r="E106" i="8"/>
  <c r="D106" i="8"/>
  <c r="C106" i="8"/>
  <c r="B106" i="8"/>
  <c r="BJ105" i="8"/>
  <c r="BI105" i="8"/>
  <c r="BH105" i="8"/>
  <c r="BG105" i="8"/>
  <c r="BF105" i="8"/>
  <c r="BE105" i="8"/>
  <c r="BD105" i="8"/>
  <c r="BC105" i="8"/>
  <c r="BB105" i="8"/>
  <c r="BA105" i="8"/>
  <c r="AZ105" i="8"/>
  <c r="AY105" i="8"/>
  <c r="AX105" i="8"/>
  <c r="AW105" i="8"/>
  <c r="AV105" i="8"/>
  <c r="AU105" i="8"/>
  <c r="AA105" i="8"/>
  <c r="L105" i="8"/>
  <c r="J105" i="8"/>
  <c r="H105" i="8"/>
  <c r="G105" i="8"/>
  <c r="F105" i="8"/>
  <c r="E105" i="8"/>
  <c r="D105" i="8"/>
  <c r="C105" i="8"/>
  <c r="B105" i="8"/>
  <c r="BJ104" i="8"/>
  <c r="BI104" i="8"/>
  <c r="BH104" i="8"/>
  <c r="BG104" i="8"/>
  <c r="BF104" i="8"/>
  <c r="BE104" i="8"/>
  <c r="BD104" i="8"/>
  <c r="BC104" i="8"/>
  <c r="BB104" i="8"/>
  <c r="BA104" i="8"/>
  <c r="AZ104" i="8"/>
  <c r="AY104" i="8"/>
  <c r="AX104" i="8"/>
  <c r="AW104" i="8"/>
  <c r="AV104" i="8"/>
  <c r="AU104" i="8"/>
  <c r="AA104" i="8"/>
  <c r="L104" i="8"/>
  <c r="K104" i="8"/>
  <c r="J104" i="8"/>
  <c r="I104" i="8"/>
  <c r="H104" i="8"/>
  <c r="G104" i="8"/>
  <c r="F104" i="8"/>
  <c r="E104" i="8"/>
  <c r="D104" i="8"/>
  <c r="C104" i="8"/>
  <c r="B104" i="8"/>
  <c r="BJ103" i="8"/>
  <c r="BI103" i="8"/>
  <c r="BH103" i="8"/>
  <c r="BG103" i="8"/>
  <c r="BF103" i="8"/>
  <c r="BE103" i="8"/>
  <c r="BD103" i="8"/>
  <c r="BC103" i="8"/>
  <c r="BB103" i="8"/>
  <c r="BA103" i="8"/>
  <c r="AZ103" i="8"/>
  <c r="AY103" i="8"/>
  <c r="AX103" i="8"/>
  <c r="AW103" i="8"/>
  <c r="AV103" i="8"/>
  <c r="AU103" i="8"/>
  <c r="AA103" i="8"/>
  <c r="L103" i="8"/>
  <c r="J103" i="8"/>
  <c r="I103" i="8"/>
  <c r="H103" i="8"/>
  <c r="G103" i="8"/>
  <c r="F103" i="8"/>
  <c r="E103" i="8"/>
  <c r="D103" i="8"/>
  <c r="C103" i="8"/>
  <c r="B103" i="8"/>
  <c r="BJ102" i="8"/>
  <c r="BI102" i="8"/>
  <c r="BH102" i="8"/>
  <c r="BG102" i="8"/>
  <c r="BF102" i="8"/>
  <c r="BE102" i="8"/>
  <c r="BD102" i="8"/>
  <c r="BC102" i="8"/>
  <c r="BB102" i="8"/>
  <c r="BA102" i="8"/>
  <c r="AZ102" i="8"/>
  <c r="AY102" i="8"/>
  <c r="AX102" i="8"/>
  <c r="AW102" i="8"/>
  <c r="AV102" i="8"/>
  <c r="AU102" i="8"/>
  <c r="AA102" i="8"/>
  <c r="V102" i="8"/>
  <c r="U102" i="8"/>
  <c r="T102" i="8"/>
  <c r="L102" i="8"/>
  <c r="J102" i="8"/>
  <c r="H102" i="8"/>
  <c r="G102" i="8"/>
  <c r="F102" i="8"/>
  <c r="E102" i="8"/>
  <c r="D102" i="8"/>
  <c r="C102" i="8"/>
  <c r="B102" i="8"/>
  <c r="BJ101" i="8"/>
  <c r="BI101" i="8"/>
  <c r="BH101" i="8"/>
  <c r="BG101" i="8"/>
  <c r="BF101" i="8"/>
  <c r="BE101" i="8"/>
  <c r="BD101" i="8"/>
  <c r="BC101" i="8"/>
  <c r="BB101" i="8"/>
  <c r="BA101" i="8"/>
  <c r="AZ101" i="8"/>
  <c r="AY101" i="8"/>
  <c r="AX101" i="8"/>
  <c r="AW101" i="8"/>
  <c r="AV101" i="8"/>
  <c r="AU101" i="8"/>
  <c r="AA101" i="8"/>
  <c r="V101" i="8"/>
  <c r="U101" i="8"/>
  <c r="L101" i="8"/>
  <c r="J101" i="8"/>
  <c r="I101" i="8"/>
  <c r="H101" i="8"/>
  <c r="G101" i="8"/>
  <c r="F101" i="8"/>
  <c r="E101" i="8"/>
  <c r="D101" i="8"/>
  <c r="C101" i="8"/>
  <c r="B101" i="8"/>
  <c r="BJ100" i="8"/>
  <c r="BI100" i="8"/>
  <c r="BH100" i="8"/>
  <c r="BG100" i="8"/>
  <c r="BF100" i="8"/>
  <c r="BE100" i="8"/>
  <c r="BD100" i="8"/>
  <c r="BC100" i="8"/>
  <c r="BB100" i="8"/>
  <c r="BA100" i="8"/>
  <c r="AZ100" i="8"/>
  <c r="AY100" i="8"/>
  <c r="AX100" i="8"/>
  <c r="AW100" i="8"/>
  <c r="AV100" i="8"/>
  <c r="AU100" i="8"/>
  <c r="AA100" i="8"/>
  <c r="V100" i="8"/>
  <c r="U100" i="8"/>
  <c r="L100" i="8"/>
  <c r="J100" i="8"/>
  <c r="I100" i="8"/>
  <c r="H100" i="8"/>
  <c r="G100" i="8"/>
  <c r="F100" i="8"/>
  <c r="E100" i="8"/>
  <c r="D100" i="8"/>
  <c r="C100" i="8"/>
  <c r="B100" i="8"/>
  <c r="BJ99" i="8"/>
  <c r="BI99" i="8"/>
  <c r="BH99" i="8"/>
  <c r="BG99" i="8"/>
  <c r="BF99" i="8"/>
  <c r="BE99" i="8"/>
  <c r="BD99" i="8"/>
  <c r="BC99" i="8"/>
  <c r="BB99" i="8"/>
  <c r="BA99" i="8"/>
  <c r="AZ99" i="8"/>
  <c r="AY99" i="8"/>
  <c r="AX99" i="8"/>
  <c r="AW99" i="8"/>
  <c r="AV99" i="8"/>
  <c r="AU99" i="8"/>
  <c r="AA99" i="8"/>
  <c r="V99" i="8"/>
  <c r="U99" i="8"/>
  <c r="L99" i="8"/>
  <c r="J99" i="8"/>
  <c r="I99" i="8"/>
  <c r="H99" i="8"/>
  <c r="G99" i="8"/>
  <c r="F99" i="8"/>
  <c r="E99" i="8"/>
  <c r="D99" i="8"/>
  <c r="C99" i="8"/>
  <c r="B99" i="8"/>
  <c r="BJ98" i="8"/>
  <c r="BI98" i="8"/>
  <c r="BH98" i="8"/>
  <c r="BG98" i="8"/>
  <c r="BF98" i="8"/>
  <c r="BE98" i="8"/>
  <c r="BD98" i="8"/>
  <c r="BC98" i="8"/>
  <c r="BB98" i="8"/>
  <c r="BA98" i="8"/>
  <c r="AZ98" i="8"/>
  <c r="AY98" i="8"/>
  <c r="AX98" i="8"/>
  <c r="AW98" i="8"/>
  <c r="AV98" i="8"/>
  <c r="AU98" i="8"/>
  <c r="AA98" i="8"/>
  <c r="V98" i="8"/>
  <c r="U98" i="8"/>
  <c r="T98" i="8"/>
  <c r="L98" i="8"/>
  <c r="J98" i="8"/>
  <c r="I98" i="8"/>
  <c r="H98" i="8"/>
  <c r="G98" i="8"/>
  <c r="F98" i="8"/>
  <c r="E98" i="8"/>
  <c r="D98" i="8"/>
  <c r="C98" i="8"/>
  <c r="B98" i="8"/>
  <c r="BJ97" i="8"/>
  <c r="BI97" i="8"/>
  <c r="BH97" i="8"/>
  <c r="BG97" i="8"/>
  <c r="BF97" i="8"/>
  <c r="BE97" i="8"/>
  <c r="BD97" i="8"/>
  <c r="BC97" i="8"/>
  <c r="BB97" i="8"/>
  <c r="BA97" i="8"/>
  <c r="AZ97" i="8"/>
  <c r="AY97" i="8"/>
  <c r="AX97" i="8"/>
  <c r="AW97" i="8"/>
  <c r="AV97" i="8"/>
  <c r="AU97" i="8"/>
  <c r="AA97" i="8"/>
  <c r="V97" i="8"/>
  <c r="U97" i="8"/>
  <c r="T97" i="8"/>
  <c r="L97" i="8"/>
  <c r="J97" i="8"/>
  <c r="H97" i="8"/>
  <c r="G97" i="8"/>
  <c r="F97" i="8"/>
  <c r="E97" i="8"/>
  <c r="D97" i="8"/>
  <c r="C97" i="8"/>
  <c r="B97" i="8"/>
  <c r="BJ96" i="8"/>
  <c r="BI96" i="8"/>
  <c r="BH96" i="8"/>
  <c r="BG96" i="8"/>
  <c r="BF96" i="8"/>
  <c r="BE96" i="8"/>
  <c r="BD96" i="8"/>
  <c r="BC96" i="8"/>
  <c r="BB96" i="8"/>
  <c r="BA96" i="8"/>
  <c r="AZ96" i="8"/>
  <c r="AY96" i="8"/>
  <c r="AX96" i="8"/>
  <c r="AW96" i="8"/>
  <c r="AV96" i="8"/>
  <c r="AU96" i="8"/>
  <c r="AA96" i="8"/>
  <c r="V96" i="8"/>
  <c r="U96" i="8"/>
  <c r="T96" i="8"/>
  <c r="L96" i="8"/>
  <c r="J96" i="8"/>
  <c r="H96" i="8"/>
  <c r="G96" i="8"/>
  <c r="F96" i="8"/>
  <c r="E96" i="8"/>
  <c r="D96" i="8"/>
  <c r="C96" i="8"/>
  <c r="B96" i="8"/>
  <c r="BJ95" i="8"/>
  <c r="BI95" i="8"/>
  <c r="BH95" i="8"/>
  <c r="BG95" i="8"/>
  <c r="BF95" i="8"/>
  <c r="BE95" i="8"/>
  <c r="BD95" i="8"/>
  <c r="BC95" i="8"/>
  <c r="BB95" i="8"/>
  <c r="BA95" i="8"/>
  <c r="AZ95" i="8"/>
  <c r="AY95" i="8"/>
  <c r="AX95" i="8"/>
  <c r="AW95" i="8"/>
  <c r="AV95" i="8"/>
  <c r="AU95" i="8"/>
  <c r="AA95" i="8"/>
  <c r="V95" i="8"/>
  <c r="U95" i="8"/>
  <c r="L95" i="8"/>
  <c r="J95" i="8"/>
  <c r="I95" i="8"/>
  <c r="H95" i="8"/>
  <c r="G95" i="8"/>
  <c r="F95" i="8"/>
  <c r="E95" i="8"/>
  <c r="D95" i="8"/>
  <c r="C95" i="8"/>
  <c r="B95" i="8"/>
  <c r="BJ94" i="8"/>
  <c r="BI94" i="8"/>
  <c r="BH94" i="8"/>
  <c r="BG94" i="8"/>
  <c r="BF94" i="8"/>
  <c r="BE94" i="8"/>
  <c r="BD94" i="8"/>
  <c r="BC94" i="8"/>
  <c r="BB94" i="8"/>
  <c r="BA94" i="8"/>
  <c r="AZ94" i="8"/>
  <c r="AY94" i="8"/>
  <c r="AX94" i="8"/>
  <c r="AW94" i="8"/>
  <c r="AV94" i="8"/>
  <c r="AU94" i="8"/>
  <c r="AA94" i="8"/>
  <c r="V94" i="8"/>
  <c r="U94" i="8"/>
  <c r="L94" i="8"/>
  <c r="J94" i="8"/>
  <c r="I94" i="8"/>
  <c r="H94" i="8"/>
  <c r="G94" i="8"/>
  <c r="F94" i="8"/>
  <c r="E94" i="8"/>
  <c r="D94" i="8"/>
  <c r="C94" i="8"/>
  <c r="B94" i="8"/>
  <c r="BJ93" i="8"/>
  <c r="BI93" i="8"/>
  <c r="BH93" i="8"/>
  <c r="BG93" i="8"/>
  <c r="BF93" i="8"/>
  <c r="BE93" i="8"/>
  <c r="BD93" i="8"/>
  <c r="BC93" i="8"/>
  <c r="BB93" i="8"/>
  <c r="BA93" i="8"/>
  <c r="AZ93" i="8"/>
  <c r="AY93" i="8"/>
  <c r="AX93" i="8"/>
  <c r="AW93" i="8"/>
  <c r="AV93" i="8"/>
  <c r="AU93" i="8"/>
  <c r="AA93" i="8"/>
  <c r="L93" i="8"/>
  <c r="J93" i="8"/>
  <c r="H93" i="8"/>
  <c r="G93" i="8"/>
  <c r="F93" i="8"/>
  <c r="E93" i="8"/>
  <c r="D93" i="8"/>
  <c r="C93" i="8"/>
  <c r="B93" i="8"/>
  <c r="BJ92" i="8"/>
  <c r="BI92" i="8"/>
  <c r="BH92" i="8"/>
  <c r="BG92" i="8"/>
  <c r="BF92" i="8"/>
  <c r="BE92" i="8"/>
  <c r="BD92" i="8"/>
  <c r="BC92" i="8"/>
  <c r="BB92" i="8"/>
  <c r="BA92" i="8"/>
  <c r="AZ92" i="8"/>
  <c r="AY92" i="8"/>
  <c r="AX92" i="8"/>
  <c r="AW92" i="8"/>
  <c r="AV92" i="8"/>
  <c r="AU92" i="8"/>
  <c r="AA92" i="8"/>
  <c r="L92" i="8"/>
  <c r="J92" i="8"/>
  <c r="H92" i="8"/>
  <c r="G92" i="8"/>
  <c r="F92" i="8"/>
  <c r="E92" i="8"/>
  <c r="D92" i="8"/>
  <c r="C92" i="8"/>
  <c r="B92" i="8"/>
  <c r="BJ91" i="8"/>
  <c r="BI91" i="8"/>
  <c r="BH91" i="8"/>
  <c r="BG91" i="8"/>
  <c r="BF91" i="8"/>
  <c r="BE91" i="8"/>
  <c r="BD91" i="8"/>
  <c r="BC91" i="8"/>
  <c r="BB91" i="8"/>
  <c r="BA91" i="8"/>
  <c r="AZ91" i="8"/>
  <c r="AY91" i="8"/>
  <c r="AX91" i="8"/>
  <c r="AW91" i="8"/>
  <c r="AV91" i="8"/>
  <c r="AU91" i="8"/>
  <c r="AA91" i="8"/>
  <c r="L91" i="8"/>
  <c r="J91" i="8"/>
  <c r="H91" i="8"/>
  <c r="G91" i="8"/>
  <c r="F91" i="8"/>
  <c r="E91" i="8"/>
  <c r="D91" i="8"/>
  <c r="C91" i="8"/>
  <c r="B91" i="8"/>
  <c r="BJ90" i="8"/>
  <c r="BI90" i="8"/>
  <c r="BH90" i="8"/>
  <c r="BG90" i="8"/>
  <c r="BF90" i="8"/>
  <c r="BE90" i="8"/>
  <c r="BD90" i="8"/>
  <c r="BC90" i="8"/>
  <c r="BB90" i="8"/>
  <c r="BA90" i="8"/>
  <c r="AZ90" i="8"/>
  <c r="AY90" i="8"/>
  <c r="AX90" i="8"/>
  <c r="AW90" i="8"/>
  <c r="AV90" i="8"/>
  <c r="AU90" i="8"/>
  <c r="AA90" i="8"/>
  <c r="L90" i="8"/>
  <c r="J90" i="8"/>
  <c r="H90" i="8"/>
  <c r="G90" i="8"/>
  <c r="F90" i="8"/>
  <c r="E90" i="8"/>
  <c r="D90" i="8"/>
  <c r="C90" i="8"/>
  <c r="B90" i="8"/>
  <c r="BJ89" i="8"/>
  <c r="BI89" i="8"/>
  <c r="BH89" i="8"/>
  <c r="BG89" i="8"/>
  <c r="BF89" i="8"/>
  <c r="BE89" i="8"/>
  <c r="BD89" i="8"/>
  <c r="BC89" i="8"/>
  <c r="BB89" i="8"/>
  <c r="BA89" i="8"/>
  <c r="AZ89" i="8"/>
  <c r="AY89" i="8"/>
  <c r="AX89" i="8"/>
  <c r="AW89" i="8"/>
  <c r="AV89" i="8"/>
  <c r="AU89" i="8"/>
  <c r="AA89" i="8"/>
  <c r="L89" i="8"/>
  <c r="J89" i="8"/>
  <c r="H89" i="8"/>
  <c r="G89" i="8"/>
  <c r="F89" i="8"/>
  <c r="E89" i="8"/>
  <c r="D89" i="8"/>
  <c r="C89" i="8"/>
  <c r="B89" i="8"/>
  <c r="BJ88" i="8"/>
  <c r="BI88" i="8"/>
  <c r="BH88" i="8"/>
  <c r="BG88" i="8"/>
  <c r="BF88" i="8"/>
  <c r="BE88" i="8"/>
  <c r="BD88" i="8"/>
  <c r="BC88" i="8"/>
  <c r="BB88" i="8"/>
  <c r="BA88" i="8"/>
  <c r="AZ88" i="8"/>
  <c r="AY88" i="8"/>
  <c r="AX88" i="8"/>
  <c r="AW88" i="8"/>
  <c r="AV88" i="8"/>
  <c r="AU88" i="8"/>
  <c r="AA88" i="8"/>
  <c r="L88" i="8"/>
  <c r="J88" i="8"/>
  <c r="H88" i="8"/>
  <c r="G88" i="8"/>
  <c r="F88" i="8"/>
  <c r="E88" i="8"/>
  <c r="D88" i="8"/>
  <c r="C88" i="8"/>
  <c r="B88" i="8"/>
  <c r="BJ87" i="8"/>
  <c r="BI87" i="8"/>
  <c r="BH87" i="8"/>
  <c r="BG87" i="8"/>
  <c r="BF87" i="8"/>
  <c r="BE87" i="8"/>
  <c r="BD87" i="8"/>
  <c r="BC87" i="8"/>
  <c r="BB87" i="8"/>
  <c r="BA87" i="8"/>
  <c r="AZ87" i="8"/>
  <c r="AY87" i="8"/>
  <c r="AX87" i="8"/>
  <c r="AW87" i="8"/>
  <c r="AV87" i="8"/>
  <c r="AU87" i="8"/>
  <c r="AA87" i="8"/>
  <c r="L87" i="8"/>
  <c r="J87" i="8"/>
  <c r="I87" i="8"/>
  <c r="H87" i="8"/>
  <c r="G87" i="8"/>
  <c r="F87" i="8"/>
  <c r="E87" i="8"/>
  <c r="D87" i="8"/>
  <c r="C87" i="8"/>
  <c r="B87" i="8"/>
  <c r="BJ86" i="8"/>
  <c r="BI86" i="8"/>
  <c r="BH86" i="8"/>
  <c r="BG86" i="8"/>
  <c r="BF86" i="8"/>
  <c r="BE86" i="8"/>
  <c r="BD86" i="8"/>
  <c r="BC86" i="8"/>
  <c r="BB86" i="8"/>
  <c r="BA86" i="8"/>
  <c r="AZ86" i="8"/>
  <c r="AY86" i="8"/>
  <c r="AX86" i="8"/>
  <c r="AW86" i="8"/>
  <c r="AV86" i="8"/>
  <c r="AU86" i="8"/>
  <c r="AA86" i="8"/>
  <c r="L86" i="8"/>
  <c r="J86" i="8"/>
  <c r="I86" i="8"/>
  <c r="H86" i="8"/>
  <c r="G86" i="8"/>
  <c r="F86" i="8"/>
  <c r="E86" i="8"/>
  <c r="D86" i="8"/>
  <c r="C86" i="8"/>
  <c r="B86" i="8"/>
  <c r="BJ85" i="8"/>
  <c r="BI85" i="8"/>
  <c r="BH85" i="8"/>
  <c r="BG85" i="8"/>
  <c r="BF85" i="8"/>
  <c r="BE85" i="8"/>
  <c r="BD85" i="8"/>
  <c r="BC85" i="8"/>
  <c r="BB85" i="8"/>
  <c r="BA85" i="8"/>
  <c r="AZ85" i="8"/>
  <c r="AY85" i="8"/>
  <c r="AX85" i="8"/>
  <c r="AW85" i="8"/>
  <c r="AV85" i="8"/>
  <c r="AU85" i="8"/>
  <c r="AA85" i="8"/>
  <c r="L85" i="8"/>
  <c r="J85" i="8"/>
  <c r="I85" i="8"/>
  <c r="H85" i="8"/>
  <c r="G85" i="8"/>
  <c r="F85" i="8"/>
  <c r="E85" i="8"/>
  <c r="D85" i="8"/>
  <c r="C85" i="8"/>
  <c r="B85" i="8"/>
  <c r="BJ84" i="8"/>
  <c r="BI84" i="8"/>
  <c r="BH84" i="8"/>
  <c r="BG84" i="8"/>
  <c r="BF84" i="8"/>
  <c r="BE84" i="8"/>
  <c r="BD84" i="8"/>
  <c r="BC84" i="8"/>
  <c r="BB84" i="8"/>
  <c r="BA84" i="8"/>
  <c r="AZ84" i="8"/>
  <c r="AY84" i="8"/>
  <c r="AX84" i="8"/>
  <c r="AW84" i="8"/>
  <c r="AV84" i="8"/>
  <c r="AU84" i="8"/>
  <c r="AA84" i="8"/>
  <c r="L84" i="8"/>
  <c r="K84" i="8"/>
  <c r="J84" i="8"/>
  <c r="I84" i="8"/>
  <c r="H84" i="8"/>
  <c r="G84" i="8"/>
  <c r="F84" i="8"/>
  <c r="E84" i="8"/>
  <c r="D84" i="8"/>
  <c r="C84" i="8"/>
  <c r="B84" i="8"/>
  <c r="BJ83" i="8"/>
  <c r="BI83" i="8"/>
  <c r="BH83" i="8"/>
  <c r="BG83" i="8"/>
  <c r="BF83" i="8"/>
  <c r="BE83" i="8"/>
  <c r="BD83" i="8"/>
  <c r="BC83" i="8"/>
  <c r="BB83" i="8"/>
  <c r="BA83" i="8"/>
  <c r="AZ83" i="8"/>
  <c r="AY83" i="8"/>
  <c r="AX83" i="8"/>
  <c r="AW83" i="8"/>
  <c r="AV83" i="8"/>
  <c r="AU83" i="8"/>
  <c r="AA83" i="8"/>
  <c r="L83" i="8"/>
  <c r="J83" i="8"/>
  <c r="H83" i="8"/>
  <c r="G83" i="8"/>
  <c r="F83" i="8"/>
  <c r="E83" i="8"/>
  <c r="D83" i="8"/>
  <c r="C83" i="8"/>
  <c r="B83" i="8"/>
  <c r="BJ82" i="8"/>
  <c r="BI82" i="8"/>
  <c r="BH82" i="8"/>
  <c r="BG82" i="8"/>
  <c r="BF82" i="8"/>
  <c r="BE82" i="8"/>
  <c r="BD82" i="8"/>
  <c r="BC82" i="8"/>
  <c r="BB82" i="8"/>
  <c r="BA82" i="8"/>
  <c r="AZ82" i="8"/>
  <c r="AY82" i="8"/>
  <c r="AX82" i="8"/>
  <c r="AW82" i="8"/>
  <c r="AV82" i="8"/>
  <c r="AU82" i="8"/>
  <c r="AA82" i="8"/>
  <c r="L82" i="8"/>
  <c r="J82" i="8"/>
  <c r="H82" i="8"/>
  <c r="G82" i="8"/>
  <c r="F82" i="8"/>
  <c r="E82" i="8"/>
  <c r="D82" i="8"/>
  <c r="C82" i="8"/>
  <c r="B82" i="8"/>
  <c r="BJ81" i="8"/>
  <c r="BI81" i="8"/>
  <c r="BH81" i="8"/>
  <c r="BG81" i="8"/>
  <c r="BF81" i="8"/>
  <c r="BE81" i="8"/>
  <c r="BD81" i="8"/>
  <c r="BC81" i="8"/>
  <c r="BB81" i="8"/>
  <c r="BA81" i="8"/>
  <c r="AZ81" i="8"/>
  <c r="AY81" i="8"/>
  <c r="AX81" i="8"/>
  <c r="AW81" i="8"/>
  <c r="AV81" i="8"/>
  <c r="AU81" i="8"/>
  <c r="AA81" i="8"/>
  <c r="L81" i="8"/>
  <c r="J81" i="8"/>
  <c r="I81" i="8"/>
  <c r="H81" i="8"/>
  <c r="G81" i="8"/>
  <c r="F81" i="8"/>
  <c r="E81" i="8"/>
  <c r="D81" i="8"/>
  <c r="C81" i="8"/>
  <c r="B81" i="8"/>
  <c r="BJ80" i="8"/>
  <c r="BI80" i="8"/>
  <c r="BH80" i="8"/>
  <c r="BG80" i="8"/>
  <c r="BF80" i="8"/>
  <c r="BE80" i="8"/>
  <c r="BD80" i="8"/>
  <c r="BC80" i="8"/>
  <c r="BB80" i="8"/>
  <c r="BA80" i="8"/>
  <c r="AZ80" i="8"/>
  <c r="AY80" i="8"/>
  <c r="AX80" i="8"/>
  <c r="AW80" i="8"/>
  <c r="AV80" i="8"/>
  <c r="AU80" i="8"/>
  <c r="AA80" i="8"/>
  <c r="L80" i="8"/>
  <c r="J80" i="8"/>
  <c r="H80" i="8"/>
  <c r="G80" i="8"/>
  <c r="F80" i="8"/>
  <c r="E80" i="8"/>
  <c r="D80" i="8"/>
  <c r="C80" i="8"/>
  <c r="B80" i="8"/>
  <c r="BJ79" i="8"/>
  <c r="BI79" i="8"/>
  <c r="BH79" i="8"/>
  <c r="BG79" i="8"/>
  <c r="BF79" i="8"/>
  <c r="BE79" i="8"/>
  <c r="BD79" i="8"/>
  <c r="BC79" i="8"/>
  <c r="BB79" i="8"/>
  <c r="BA79" i="8"/>
  <c r="AZ79" i="8"/>
  <c r="AY79" i="8"/>
  <c r="AX79" i="8"/>
  <c r="AW79" i="8"/>
  <c r="AV79" i="8"/>
  <c r="AU79" i="8"/>
  <c r="AA79" i="8"/>
  <c r="L79" i="8"/>
  <c r="J79" i="8"/>
  <c r="I79" i="8"/>
  <c r="H79" i="8"/>
  <c r="G79" i="8"/>
  <c r="F79" i="8"/>
  <c r="E79" i="8"/>
  <c r="D79" i="8"/>
  <c r="C79" i="8"/>
  <c r="B79" i="8"/>
  <c r="BJ78" i="8"/>
  <c r="BI78" i="8"/>
  <c r="BH78" i="8"/>
  <c r="BG78" i="8"/>
  <c r="BF78" i="8"/>
  <c r="BE78" i="8"/>
  <c r="BD78" i="8"/>
  <c r="BC78" i="8"/>
  <c r="BB78" i="8"/>
  <c r="BA78" i="8"/>
  <c r="AZ78" i="8"/>
  <c r="AY78" i="8"/>
  <c r="AX78" i="8"/>
  <c r="AW78" i="8"/>
  <c r="AV78" i="8"/>
  <c r="AU78" i="8"/>
  <c r="AA78" i="8"/>
  <c r="L78" i="8"/>
  <c r="K78" i="8"/>
  <c r="J78" i="8"/>
  <c r="I78" i="8"/>
  <c r="H78" i="8"/>
  <c r="G78" i="8"/>
  <c r="F78" i="8"/>
  <c r="E78" i="8"/>
  <c r="D78" i="8"/>
  <c r="C78" i="8"/>
  <c r="B78" i="8"/>
  <c r="BJ77" i="8"/>
  <c r="BI77" i="8"/>
  <c r="BH77" i="8"/>
  <c r="BG77" i="8"/>
  <c r="BF77" i="8"/>
  <c r="BE77" i="8"/>
  <c r="BD77" i="8"/>
  <c r="BC77" i="8"/>
  <c r="BB77" i="8"/>
  <c r="BA77" i="8"/>
  <c r="AZ77" i="8"/>
  <c r="AY77" i="8"/>
  <c r="AX77" i="8"/>
  <c r="AW77" i="8"/>
  <c r="AV77" i="8"/>
  <c r="AU77" i="8"/>
  <c r="AA77" i="8"/>
  <c r="L77" i="8"/>
  <c r="J77" i="8"/>
  <c r="H77" i="8"/>
  <c r="G77" i="8"/>
  <c r="F77" i="8"/>
  <c r="E77" i="8"/>
  <c r="D77" i="8"/>
  <c r="C77" i="8"/>
  <c r="B77" i="8"/>
  <c r="BJ76" i="8"/>
  <c r="BI76" i="8"/>
  <c r="BH76" i="8"/>
  <c r="BG76" i="8"/>
  <c r="BF76" i="8"/>
  <c r="BE76" i="8"/>
  <c r="BD76" i="8"/>
  <c r="BC76" i="8"/>
  <c r="BB76" i="8"/>
  <c r="BA76" i="8"/>
  <c r="AZ76" i="8"/>
  <c r="AY76" i="8"/>
  <c r="AX76" i="8"/>
  <c r="AW76" i="8"/>
  <c r="AV76" i="8"/>
  <c r="AU76" i="8"/>
  <c r="AA76" i="8"/>
  <c r="L76" i="8"/>
  <c r="K76" i="8"/>
  <c r="J76" i="8"/>
  <c r="I76" i="8"/>
  <c r="H76" i="8"/>
  <c r="G76" i="8"/>
  <c r="F76" i="8"/>
  <c r="E76" i="8"/>
  <c r="D76" i="8"/>
  <c r="C76" i="8"/>
  <c r="B76" i="8"/>
  <c r="BJ75" i="8"/>
  <c r="BI75" i="8"/>
  <c r="BH75" i="8"/>
  <c r="BG75" i="8"/>
  <c r="BF75" i="8"/>
  <c r="BE75" i="8"/>
  <c r="BD75" i="8"/>
  <c r="BC75" i="8"/>
  <c r="BB75" i="8"/>
  <c r="BA75" i="8"/>
  <c r="AZ75" i="8"/>
  <c r="AY75" i="8"/>
  <c r="AX75" i="8"/>
  <c r="AW75" i="8"/>
  <c r="AV75" i="8"/>
  <c r="AU75" i="8"/>
  <c r="AA75" i="8"/>
  <c r="L75" i="8"/>
  <c r="K75" i="8"/>
  <c r="J75" i="8"/>
  <c r="I75" i="8"/>
  <c r="H75" i="8"/>
  <c r="G75" i="8"/>
  <c r="F75" i="8"/>
  <c r="E75" i="8"/>
  <c r="D75" i="8"/>
  <c r="C75" i="8"/>
  <c r="B75" i="8"/>
  <c r="BJ74" i="8"/>
  <c r="BI74" i="8"/>
  <c r="BH74" i="8"/>
  <c r="BG74" i="8"/>
  <c r="BF74" i="8"/>
  <c r="BE74" i="8"/>
  <c r="BD74" i="8"/>
  <c r="BC74" i="8"/>
  <c r="BB74" i="8"/>
  <c r="BA74" i="8"/>
  <c r="AZ74" i="8"/>
  <c r="AY74" i="8"/>
  <c r="AX74" i="8"/>
  <c r="AW74" i="8"/>
  <c r="AV74" i="8"/>
  <c r="AU74" i="8"/>
  <c r="AA74" i="8"/>
  <c r="L74" i="8"/>
  <c r="K74" i="8"/>
  <c r="J74" i="8"/>
  <c r="I74" i="8"/>
  <c r="H74" i="8"/>
  <c r="G74" i="8"/>
  <c r="F74" i="8"/>
  <c r="E74" i="8"/>
  <c r="D74" i="8"/>
  <c r="C74" i="8"/>
  <c r="B74" i="8"/>
  <c r="BJ73" i="8"/>
  <c r="BI73" i="8"/>
  <c r="BH73" i="8"/>
  <c r="BG73" i="8"/>
  <c r="BF73" i="8"/>
  <c r="BE73" i="8"/>
  <c r="BD73" i="8"/>
  <c r="BC73" i="8"/>
  <c r="BB73" i="8"/>
  <c r="BA73" i="8"/>
  <c r="AZ73" i="8"/>
  <c r="AY73" i="8"/>
  <c r="AX73" i="8"/>
  <c r="AW73" i="8"/>
  <c r="AV73" i="8"/>
  <c r="AU73" i="8"/>
  <c r="AA73" i="8"/>
  <c r="L73" i="8"/>
  <c r="H73" i="8"/>
  <c r="G73" i="8"/>
  <c r="F73" i="8"/>
  <c r="E73" i="8"/>
  <c r="D73" i="8"/>
  <c r="C73" i="8"/>
  <c r="B73" i="8"/>
  <c r="BJ72" i="8"/>
  <c r="BI72" i="8"/>
  <c r="BH72" i="8"/>
  <c r="BG72" i="8"/>
  <c r="BF72" i="8"/>
  <c r="BE72" i="8"/>
  <c r="BD72" i="8"/>
  <c r="BC72" i="8"/>
  <c r="BB72" i="8"/>
  <c r="BA72" i="8"/>
  <c r="AZ72" i="8"/>
  <c r="AY72" i="8"/>
  <c r="AX72" i="8"/>
  <c r="AW72" i="8"/>
  <c r="AV72" i="8"/>
  <c r="AU72" i="8"/>
  <c r="AA72" i="8"/>
  <c r="L72" i="8"/>
  <c r="J72" i="8"/>
  <c r="H72" i="8"/>
  <c r="G72" i="8"/>
  <c r="F72" i="8"/>
  <c r="E72" i="8"/>
  <c r="D72" i="8"/>
  <c r="C72" i="8"/>
  <c r="B72" i="8"/>
  <c r="BJ71" i="8"/>
  <c r="BI71" i="8"/>
  <c r="BH71" i="8"/>
  <c r="BG71" i="8"/>
  <c r="BF71" i="8"/>
  <c r="BE71" i="8"/>
  <c r="BD71" i="8"/>
  <c r="BC71" i="8"/>
  <c r="BB71" i="8"/>
  <c r="BA71" i="8"/>
  <c r="AZ71" i="8"/>
  <c r="AY71" i="8"/>
  <c r="AX71" i="8"/>
  <c r="AW71" i="8"/>
  <c r="AV71" i="8"/>
  <c r="AU71" i="8"/>
  <c r="AA71" i="8"/>
  <c r="L71" i="8"/>
  <c r="K71" i="8"/>
  <c r="J71" i="8"/>
  <c r="I71" i="8"/>
  <c r="H71" i="8"/>
  <c r="G71" i="8"/>
  <c r="F71" i="8"/>
  <c r="E71" i="8"/>
  <c r="D71" i="8"/>
  <c r="C71" i="8"/>
  <c r="B71" i="8"/>
  <c r="BJ70" i="8"/>
  <c r="BI70" i="8"/>
  <c r="BH70" i="8"/>
  <c r="BG70" i="8"/>
  <c r="BF70" i="8"/>
  <c r="BE70" i="8"/>
  <c r="BD70" i="8"/>
  <c r="BC70" i="8"/>
  <c r="BB70" i="8"/>
  <c r="BA70" i="8"/>
  <c r="AZ70" i="8"/>
  <c r="AY70" i="8"/>
  <c r="AX70" i="8"/>
  <c r="AW70" i="8"/>
  <c r="AV70" i="8"/>
  <c r="AU70" i="8"/>
  <c r="AA70" i="8"/>
  <c r="L70" i="8"/>
  <c r="J70" i="8"/>
  <c r="H70" i="8"/>
  <c r="G70" i="8"/>
  <c r="F70" i="8"/>
  <c r="E70" i="8"/>
  <c r="D70" i="8"/>
  <c r="C70" i="8"/>
  <c r="B70" i="8"/>
  <c r="BJ69" i="8"/>
  <c r="BI69" i="8"/>
  <c r="BH69" i="8"/>
  <c r="BG69" i="8"/>
  <c r="BF69" i="8"/>
  <c r="BE69" i="8"/>
  <c r="BD69" i="8"/>
  <c r="BC69" i="8"/>
  <c r="BB69" i="8"/>
  <c r="BA69" i="8"/>
  <c r="AZ69" i="8"/>
  <c r="AY69" i="8"/>
  <c r="AX69" i="8"/>
  <c r="AW69" i="8"/>
  <c r="AV69" i="8"/>
  <c r="AU69" i="8"/>
  <c r="AA69" i="8"/>
  <c r="L69" i="8"/>
  <c r="K69" i="8"/>
  <c r="J69" i="8"/>
  <c r="I69" i="8"/>
  <c r="H69" i="8"/>
  <c r="G69" i="8"/>
  <c r="F69" i="8"/>
  <c r="E69" i="8"/>
  <c r="D69" i="8"/>
  <c r="C69" i="8"/>
  <c r="B69" i="8"/>
  <c r="BJ68" i="8"/>
  <c r="BI68" i="8"/>
  <c r="BH68" i="8"/>
  <c r="BG68" i="8"/>
  <c r="BF68" i="8"/>
  <c r="BE68" i="8"/>
  <c r="BD68" i="8"/>
  <c r="BC68" i="8"/>
  <c r="BB68" i="8"/>
  <c r="BA68" i="8"/>
  <c r="AZ68" i="8"/>
  <c r="AY68" i="8"/>
  <c r="AX68" i="8"/>
  <c r="AW68" i="8"/>
  <c r="AV68" i="8"/>
  <c r="AU68" i="8"/>
  <c r="AA68" i="8"/>
  <c r="T68" i="8"/>
  <c r="L68" i="8"/>
  <c r="J68" i="8"/>
  <c r="I68" i="8"/>
  <c r="H68" i="8"/>
  <c r="G68" i="8"/>
  <c r="F68" i="8"/>
  <c r="E68" i="8"/>
  <c r="D68" i="8"/>
  <c r="C68" i="8"/>
  <c r="B68" i="8"/>
  <c r="BJ67" i="8"/>
  <c r="BI67" i="8"/>
  <c r="BH67" i="8"/>
  <c r="BG67" i="8"/>
  <c r="BF67" i="8"/>
  <c r="BE67" i="8"/>
  <c r="BD67" i="8"/>
  <c r="BC67" i="8"/>
  <c r="BB67" i="8"/>
  <c r="BA67" i="8"/>
  <c r="AZ67" i="8"/>
  <c r="AY67" i="8"/>
  <c r="AX67" i="8"/>
  <c r="AW67" i="8"/>
  <c r="AV67" i="8"/>
  <c r="AU67" i="8"/>
  <c r="AA67" i="8"/>
  <c r="L67" i="8"/>
  <c r="H67" i="8"/>
  <c r="G67" i="8"/>
  <c r="F67" i="8"/>
  <c r="E67" i="8"/>
  <c r="D67" i="8"/>
  <c r="C67" i="8"/>
  <c r="B67" i="8"/>
  <c r="BJ66" i="8"/>
  <c r="BI66" i="8"/>
  <c r="BH66" i="8"/>
  <c r="BG66" i="8"/>
  <c r="BF66" i="8"/>
  <c r="BE66" i="8"/>
  <c r="BD66" i="8"/>
  <c r="BC66" i="8"/>
  <c r="BB66" i="8"/>
  <c r="BA66" i="8"/>
  <c r="AZ66" i="8"/>
  <c r="AY66" i="8"/>
  <c r="AX66" i="8"/>
  <c r="AW66" i="8"/>
  <c r="AV66" i="8"/>
  <c r="AU66" i="8"/>
  <c r="AA66" i="8"/>
  <c r="T66" i="8"/>
  <c r="L66" i="8"/>
  <c r="K66" i="8"/>
  <c r="J66" i="8"/>
  <c r="I66" i="8"/>
  <c r="H66" i="8"/>
  <c r="G66" i="8"/>
  <c r="F66" i="8"/>
  <c r="E66" i="8"/>
  <c r="D66" i="8"/>
  <c r="C66" i="8"/>
  <c r="B66" i="8"/>
  <c r="BJ65" i="8"/>
  <c r="BI65" i="8"/>
  <c r="BH65" i="8"/>
  <c r="BG65" i="8"/>
  <c r="BF65" i="8"/>
  <c r="BE65" i="8"/>
  <c r="BD65" i="8"/>
  <c r="BC65" i="8"/>
  <c r="BB65" i="8"/>
  <c r="BA65" i="8"/>
  <c r="AZ65" i="8"/>
  <c r="AY65" i="8"/>
  <c r="AX65" i="8"/>
  <c r="AW65" i="8"/>
  <c r="AV65" i="8"/>
  <c r="AU65" i="8"/>
  <c r="AA65" i="8"/>
  <c r="L65" i="8"/>
  <c r="J65" i="8"/>
  <c r="H65" i="8"/>
  <c r="G65" i="8"/>
  <c r="F65" i="8"/>
  <c r="E65" i="8"/>
  <c r="D65" i="8"/>
  <c r="C65" i="8"/>
  <c r="B65" i="8"/>
  <c r="BJ64" i="8"/>
  <c r="BI64" i="8"/>
  <c r="BH64" i="8"/>
  <c r="BG64" i="8"/>
  <c r="BF64" i="8"/>
  <c r="BE64" i="8"/>
  <c r="BD64" i="8"/>
  <c r="BC64" i="8"/>
  <c r="BB64" i="8"/>
  <c r="BA64" i="8"/>
  <c r="AZ64" i="8"/>
  <c r="AY64" i="8"/>
  <c r="AX64" i="8"/>
  <c r="AW64" i="8"/>
  <c r="AV64" i="8"/>
  <c r="AU64" i="8"/>
  <c r="AA64" i="8"/>
  <c r="L64" i="8"/>
  <c r="J64" i="8"/>
  <c r="H64" i="8"/>
  <c r="G64" i="8"/>
  <c r="F64" i="8"/>
  <c r="E64" i="8"/>
  <c r="D64" i="8"/>
  <c r="C64" i="8"/>
  <c r="B64" i="8"/>
  <c r="BJ63" i="8"/>
  <c r="BI63" i="8"/>
  <c r="BH63" i="8"/>
  <c r="BG63" i="8"/>
  <c r="BF63" i="8"/>
  <c r="BE63" i="8"/>
  <c r="BD63" i="8"/>
  <c r="BC63" i="8"/>
  <c r="BB63" i="8"/>
  <c r="BA63" i="8"/>
  <c r="AZ63" i="8"/>
  <c r="AY63" i="8"/>
  <c r="AX63" i="8"/>
  <c r="AW63" i="8"/>
  <c r="AV63" i="8"/>
  <c r="AU63" i="8"/>
  <c r="AA63" i="8"/>
  <c r="L63" i="8"/>
  <c r="H63" i="8"/>
  <c r="G63" i="8"/>
  <c r="F63" i="8"/>
  <c r="E63" i="8"/>
  <c r="D63" i="8"/>
  <c r="C63" i="8"/>
  <c r="B63" i="8"/>
  <c r="BJ62" i="8"/>
  <c r="BI62" i="8"/>
  <c r="BH62" i="8"/>
  <c r="BG62" i="8"/>
  <c r="BF62" i="8"/>
  <c r="BE62" i="8"/>
  <c r="BD62" i="8"/>
  <c r="BC62" i="8"/>
  <c r="BB62" i="8"/>
  <c r="BA62" i="8"/>
  <c r="AZ62" i="8"/>
  <c r="AY62" i="8"/>
  <c r="AX62" i="8"/>
  <c r="AW62" i="8"/>
  <c r="AV62" i="8"/>
  <c r="AU62" i="8"/>
  <c r="AA62" i="8"/>
  <c r="L62" i="8"/>
  <c r="K62" i="8"/>
  <c r="J62" i="8"/>
  <c r="H62" i="8"/>
  <c r="G62" i="8"/>
  <c r="F62" i="8"/>
  <c r="E62" i="8"/>
  <c r="D62" i="8"/>
  <c r="C62" i="8"/>
  <c r="B62" i="8"/>
  <c r="BJ61" i="8"/>
  <c r="BI61" i="8"/>
  <c r="BH61" i="8"/>
  <c r="BG61" i="8"/>
  <c r="BF61" i="8"/>
  <c r="BE61" i="8"/>
  <c r="BD61" i="8"/>
  <c r="BC61" i="8"/>
  <c r="BB61" i="8"/>
  <c r="BA61" i="8"/>
  <c r="AZ61" i="8"/>
  <c r="AY61" i="8"/>
  <c r="AX61" i="8"/>
  <c r="AW61" i="8"/>
  <c r="AV61" i="8"/>
  <c r="AU61" i="8"/>
  <c r="AA61" i="8"/>
  <c r="L61" i="8"/>
  <c r="K61" i="8"/>
  <c r="J61" i="8"/>
  <c r="I61" i="8"/>
  <c r="H61" i="8"/>
  <c r="G61" i="8"/>
  <c r="F61" i="8"/>
  <c r="E61" i="8"/>
  <c r="D61" i="8"/>
  <c r="C61" i="8"/>
  <c r="B61" i="8"/>
  <c r="BJ60" i="8"/>
  <c r="BI60" i="8"/>
  <c r="BH60" i="8"/>
  <c r="BG60" i="8"/>
  <c r="BF60" i="8"/>
  <c r="BE60" i="8"/>
  <c r="BD60" i="8"/>
  <c r="BC60" i="8"/>
  <c r="BB60" i="8"/>
  <c r="BA60" i="8"/>
  <c r="AZ60" i="8"/>
  <c r="AY60" i="8"/>
  <c r="AX60" i="8"/>
  <c r="AW60" i="8"/>
  <c r="AV60" i="8"/>
  <c r="AU60" i="8"/>
  <c r="AA60" i="8"/>
  <c r="L60" i="8"/>
  <c r="K60" i="8"/>
  <c r="J60" i="8"/>
  <c r="I60" i="8"/>
  <c r="H60" i="8"/>
  <c r="G60" i="8"/>
  <c r="F60" i="8"/>
  <c r="E60" i="8"/>
  <c r="D60" i="8"/>
  <c r="C60" i="8"/>
  <c r="B60" i="8"/>
  <c r="BJ59" i="8"/>
  <c r="BI59" i="8"/>
  <c r="BH59" i="8"/>
  <c r="BG59" i="8"/>
  <c r="BF59" i="8"/>
  <c r="BE59" i="8"/>
  <c r="BD59" i="8"/>
  <c r="BC59" i="8"/>
  <c r="BB59" i="8"/>
  <c r="BA59" i="8"/>
  <c r="AZ59" i="8"/>
  <c r="AY59" i="8"/>
  <c r="AX59" i="8"/>
  <c r="AW59" i="8"/>
  <c r="AV59" i="8"/>
  <c r="AU59" i="8"/>
  <c r="AA59" i="8"/>
  <c r="L59" i="8"/>
  <c r="K59" i="8"/>
  <c r="J59" i="8"/>
  <c r="I59" i="8"/>
  <c r="H59" i="8"/>
  <c r="G59" i="8"/>
  <c r="F59" i="8"/>
  <c r="E59" i="8"/>
  <c r="D59" i="8"/>
  <c r="C59" i="8"/>
  <c r="B59" i="8"/>
  <c r="BJ58" i="8"/>
  <c r="BI58" i="8"/>
  <c r="BH58" i="8"/>
  <c r="BG58" i="8"/>
  <c r="BF58" i="8"/>
  <c r="BE58" i="8"/>
  <c r="BD58" i="8"/>
  <c r="BC58" i="8"/>
  <c r="BB58" i="8"/>
  <c r="BA58" i="8"/>
  <c r="AZ58" i="8"/>
  <c r="AY58" i="8"/>
  <c r="AX58" i="8"/>
  <c r="AW58" i="8"/>
  <c r="AV58" i="8"/>
  <c r="AU58" i="8"/>
  <c r="AA58" i="8"/>
  <c r="L58" i="8"/>
  <c r="K58" i="8"/>
  <c r="J58" i="8"/>
  <c r="I58" i="8"/>
  <c r="H58" i="8"/>
  <c r="G58" i="8"/>
  <c r="F58" i="8"/>
  <c r="E58" i="8"/>
  <c r="D58" i="8"/>
  <c r="C58" i="8"/>
  <c r="B58" i="8"/>
  <c r="BJ57" i="8"/>
  <c r="BI57" i="8"/>
  <c r="BH57" i="8"/>
  <c r="BG57" i="8"/>
  <c r="BF57" i="8"/>
  <c r="BE57" i="8"/>
  <c r="BD57" i="8"/>
  <c r="BC57" i="8"/>
  <c r="BB57" i="8"/>
  <c r="BA57" i="8"/>
  <c r="AZ57" i="8"/>
  <c r="AY57" i="8"/>
  <c r="AX57" i="8"/>
  <c r="AW57" i="8"/>
  <c r="AV57" i="8"/>
  <c r="AU57" i="8"/>
  <c r="AA57" i="8"/>
  <c r="L57" i="8"/>
  <c r="K57" i="8"/>
  <c r="J57" i="8"/>
  <c r="I57" i="8"/>
  <c r="H57" i="8"/>
  <c r="G57" i="8"/>
  <c r="F57" i="8"/>
  <c r="E57" i="8"/>
  <c r="D57" i="8"/>
  <c r="C57" i="8"/>
  <c r="B57" i="8"/>
  <c r="BJ56" i="8"/>
  <c r="BI56" i="8"/>
  <c r="BH56" i="8"/>
  <c r="BG56" i="8"/>
  <c r="BF56" i="8"/>
  <c r="BE56" i="8"/>
  <c r="BD56" i="8"/>
  <c r="BC56" i="8"/>
  <c r="BB56" i="8"/>
  <c r="BA56" i="8"/>
  <c r="AZ56" i="8"/>
  <c r="AY56" i="8"/>
  <c r="AX56" i="8"/>
  <c r="AW56" i="8"/>
  <c r="AV56" i="8"/>
  <c r="AU56" i="8"/>
  <c r="AA56" i="8"/>
  <c r="L56" i="8"/>
  <c r="K56" i="8"/>
  <c r="J56" i="8"/>
  <c r="I56" i="8"/>
  <c r="H56" i="8"/>
  <c r="G56" i="8"/>
  <c r="F56" i="8"/>
  <c r="E56" i="8"/>
  <c r="D56" i="8"/>
  <c r="C56" i="8"/>
  <c r="B56" i="8"/>
  <c r="BJ55" i="8"/>
  <c r="BI55" i="8"/>
  <c r="BH55" i="8"/>
  <c r="BG55" i="8"/>
  <c r="BF55" i="8"/>
  <c r="BE55" i="8"/>
  <c r="BD55" i="8"/>
  <c r="BC55" i="8"/>
  <c r="BB55" i="8"/>
  <c r="BA55" i="8"/>
  <c r="AZ55" i="8"/>
  <c r="AY55" i="8"/>
  <c r="AX55" i="8"/>
  <c r="AW55" i="8"/>
  <c r="AV55" i="8"/>
  <c r="AU55" i="8"/>
  <c r="AA55" i="8"/>
  <c r="L55" i="8"/>
  <c r="K55" i="8"/>
  <c r="J55" i="8"/>
  <c r="I55" i="8"/>
  <c r="H55" i="8"/>
  <c r="G55" i="8"/>
  <c r="F55" i="8"/>
  <c r="E55" i="8"/>
  <c r="D55" i="8"/>
  <c r="C55" i="8"/>
  <c r="B55" i="8"/>
  <c r="BJ54" i="8"/>
  <c r="BI54" i="8"/>
  <c r="BH54" i="8"/>
  <c r="BG54" i="8"/>
  <c r="BF54" i="8"/>
  <c r="BE54" i="8"/>
  <c r="BD54" i="8"/>
  <c r="BC54" i="8"/>
  <c r="BB54" i="8"/>
  <c r="BA54" i="8"/>
  <c r="AZ54" i="8"/>
  <c r="AY54" i="8"/>
  <c r="AX54" i="8"/>
  <c r="AW54" i="8"/>
  <c r="AV54" i="8"/>
  <c r="AU54" i="8"/>
  <c r="AA54" i="8"/>
  <c r="L54" i="8"/>
  <c r="K54" i="8"/>
  <c r="J54" i="8"/>
  <c r="I54" i="8"/>
  <c r="H54" i="8"/>
  <c r="G54" i="8"/>
  <c r="F54" i="8"/>
  <c r="E54" i="8"/>
  <c r="D54" i="8"/>
  <c r="C54" i="8"/>
  <c r="B54" i="8"/>
  <c r="BJ53" i="8"/>
  <c r="BI53" i="8"/>
  <c r="BH53" i="8"/>
  <c r="BG53" i="8"/>
  <c r="BF53" i="8"/>
  <c r="BE53" i="8"/>
  <c r="BD53" i="8"/>
  <c r="BC53" i="8"/>
  <c r="BB53" i="8"/>
  <c r="BA53" i="8"/>
  <c r="AZ53" i="8"/>
  <c r="AY53" i="8"/>
  <c r="AX53" i="8"/>
  <c r="AW53" i="8"/>
  <c r="AV53" i="8"/>
  <c r="AU53" i="8"/>
  <c r="AA53" i="8"/>
  <c r="L53" i="8"/>
  <c r="K53" i="8"/>
  <c r="J53" i="8"/>
  <c r="I53" i="8"/>
  <c r="H53" i="8"/>
  <c r="G53" i="8"/>
  <c r="F53" i="8"/>
  <c r="E53" i="8"/>
  <c r="D53" i="8"/>
  <c r="C53" i="8"/>
  <c r="B53" i="8"/>
  <c r="BJ52" i="8"/>
  <c r="BI52" i="8"/>
  <c r="BH52" i="8"/>
  <c r="BG52" i="8"/>
  <c r="BF52" i="8"/>
  <c r="BE52" i="8"/>
  <c r="BD52" i="8"/>
  <c r="BC52" i="8"/>
  <c r="BB52" i="8"/>
  <c r="BA52" i="8"/>
  <c r="AZ52" i="8"/>
  <c r="AY52" i="8"/>
  <c r="AX52" i="8"/>
  <c r="AW52" i="8"/>
  <c r="AV52" i="8"/>
  <c r="AU52" i="8"/>
  <c r="AA52" i="8"/>
  <c r="L52" i="8"/>
  <c r="K52" i="8"/>
  <c r="J52" i="8"/>
  <c r="I52" i="8"/>
  <c r="H52" i="8"/>
  <c r="G52" i="8"/>
  <c r="F52" i="8"/>
  <c r="E52" i="8"/>
  <c r="D52" i="8"/>
  <c r="C52" i="8"/>
  <c r="B52" i="8"/>
  <c r="BJ51" i="8"/>
  <c r="BI51" i="8"/>
  <c r="BH51" i="8"/>
  <c r="BG51" i="8"/>
  <c r="BF51" i="8"/>
  <c r="BE51" i="8"/>
  <c r="BD51" i="8"/>
  <c r="BC51" i="8"/>
  <c r="BB51" i="8"/>
  <c r="BA51" i="8"/>
  <c r="AZ51" i="8"/>
  <c r="AY51" i="8"/>
  <c r="AX51" i="8"/>
  <c r="AW51" i="8"/>
  <c r="AV51" i="8"/>
  <c r="AU51" i="8"/>
  <c r="AA51" i="8"/>
  <c r="L51" i="8"/>
  <c r="K51" i="8"/>
  <c r="I51" i="8"/>
  <c r="H51" i="8"/>
  <c r="G51" i="8"/>
  <c r="F51" i="8"/>
  <c r="E51" i="8"/>
  <c r="D51" i="8"/>
  <c r="C51" i="8"/>
  <c r="B51" i="8"/>
  <c r="BJ50" i="8"/>
  <c r="BI50" i="8"/>
  <c r="BH50" i="8"/>
  <c r="BG50" i="8"/>
  <c r="BF50" i="8"/>
  <c r="BE50" i="8"/>
  <c r="BD50" i="8"/>
  <c r="BC50" i="8"/>
  <c r="BB50" i="8"/>
  <c r="BA50" i="8"/>
  <c r="AZ50" i="8"/>
  <c r="AY50" i="8"/>
  <c r="AX50" i="8"/>
  <c r="AW50" i="8"/>
  <c r="AV50" i="8"/>
  <c r="AU50" i="8"/>
  <c r="AA50" i="8"/>
  <c r="L50" i="8"/>
  <c r="K50" i="8"/>
  <c r="J50" i="8"/>
  <c r="I50" i="8"/>
  <c r="H50" i="8"/>
  <c r="G50" i="8"/>
  <c r="F50" i="8"/>
  <c r="E50" i="8"/>
  <c r="D50" i="8"/>
  <c r="C50" i="8"/>
  <c r="B50" i="8"/>
  <c r="BJ49" i="8"/>
  <c r="BI49" i="8"/>
  <c r="BH49" i="8"/>
  <c r="BG49" i="8"/>
  <c r="BF49" i="8"/>
  <c r="BE49" i="8"/>
  <c r="BD49" i="8"/>
  <c r="BC49" i="8"/>
  <c r="BB49" i="8"/>
  <c r="BA49" i="8"/>
  <c r="AZ49" i="8"/>
  <c r="AY49" i="8"/>
  <c r="AX49" i="8"/>
  <c r="AW49" i="8"/>
  <c r="AV49" i="8"/>
  <c r="AU49" i="8"/>
  <c r="AA49" i="8"/>
  <c r="L49" i="8"/>
  <c r="J49" i="8"/>
  <c r="H49" i="8"/>
  <c r="G49" i="8"/>
  <c r="F49" i="8"/>
  <c r="E49" i="8"/>
  <c r="D49" i="8"/>
  <c r="C49" i="8"/>
  <c r="B49" i="8"/>
  <c r="BJ48" i="8"/>
  <c r="BI48" i="8"/>
  <c r="BH48" i="8"/>
  <c r="BG48" i="8"/>
  <c r="BF48" i="8"/>
  <c r="BE48" i="8"/>
  <c r="BD48" i="8"/>
  <c r="BC48" i="8"/>
  <c r="BB48" i="8"/>
  <c r="BA48" i="8"/>
  <c r="AZ48" i="8"/>
  <c r="AY48" i="8"/>
  <c r="AX48" i="8"/>
  <c r="AW48" i="8"/>
  <c r="AV48" i="8"/>
  <c r="AU48" i="8"/>
  <c r="AA48" i="8"/>
  <c r="L48" i="8"/>
  <c r="J48" i="8"/>
  <c r="H48" i="8"/>
  <c r="G48" i="8"/>
  <c r="F48" i="8"/>
  <c r="E48" i="8"/>
  <c r="D48" i="8"/>
  <c r="C48" i="8"/>
  <c r="B48" i="8"/>
  <c r="BJ47" i="8"/>
  <c r="BI47" i="8"/>
  <c r="BH47" i="8"/>
  <c r="BG47" i="8"/>
  <c r="BF47" i="8"/>
  <c r="BE47" i="8"/>
  <c r="BD47" i="8"/>
  <c r="BC47" i="8"/>
  <c r="BB47" i="8"/>
  <c r="BA47" i="8"/>
  <c r="AZ47" i="8"/>
  <c r="AY47" i="8"/>
  <c r="AX47" i="8"/>
  <c r="AW47" i="8"/>
  <c r="AV47" i="8"/>
  <c r="AU47" i="8"/>
  <c r="AA47" i="8"/>
  <c r="L47" i="8"/>
  <c r="J47" i="8"/>
  <c r="H47" i="8"/>
  <c r="G47" i="8"/>
  <c r="F47" i="8"/>
  <c r="E47" i="8"/>
  <c r="D47" i="8"/>
  <c r="C47" i="8"/>
  <c r="B47" i="8"/>
  <c r="BJ46" i="8"/>
  <c r="BI46" i="8"/>
  <c r="BH46" i="8"/>
  <c r="BG46" i="8"/>
  <c r="BF46" i="8"/>
  <c r="BE46" i="8"/>
  <c r="BD46" i="8"/>
  <c r="BC46" i="8"/>
  <c r="BB46" i="8"/>
  <c r="BA46" i="8"/>
  <c r="AZ46" i="8"/>
  <c r="AY46" i="8"/>
  <c r="AX46" i="8"/>
  <c r="AW46" i="8"/>
  <c r="AV46" i="8"/>
  <c r="AU46" i="8"/>
  <c r="AA46" i="8"/>
  <c r="L46" i="8"/>
  <c r="J46" i="8"/>
  <c r="H46" i="8"/>
  <c r="G46" i="8"/>
  <c r="F46" i="8"/>
  <c r="E46" i="8"/>
  <c r="D46" i="8"/>
  <c r="C46" i="8"/>
  <c r="B46" i="8"/>
  <c r="BJ45" i="8"/>
  <c r="BI45" i="8"/>
  <c r="BH45" i="8"/>
  <c r="BG45" i="8"/>
  <c r="BF45" i="8"/>
  <c r="BE45" i="8"/>
  <c r="BD45" i="8"/>
  <c r="BC45" i="8"/>
  <c r="BB45" i="8"/>
  <c r="BA45" i="8"/>
  <c r="AZ45" i="8"/>
  <c r="AY45" i="8"/>
  <c r="AX45" i="8"/>
  <c r="AW45" i="8"/>
  <c r="AV45" i="8"/>
  <c r="AU45" i="8"/>
  <c r="AA45" i="8"/>
  <c r="L45" i="8"/>
  <c r="H45" i="8"/>
  <c r="G45" i="8"/>
  <c r="F45" i="8"/>
  <c r="E45" i="8"/>
  <c r="D45" i="8"/>
  <c r="C45" i="8"/>
  <c r="B45" i="8"/>
  <c r="BJ44" i="8"/>
  <c r="BI44" i="8"/>
  <c r="BH44" i="8"/>
  <c r="BG44" i="8"/>
  <c r="BF44" i="8"/>
  <c r="BE44" i="8"/>
  <c r="BD44" i="8"/>
  <c r="BC44" i="8"/>
  <c r="BB44" i="8"/>
  <c r="BA44" i="8"/>
  <c r="AZ44" i="8"/>
  <c r="AY44" i="8"/>
  <c r="AX44" i="8"/>
  <c r="AW44" i="8"/>
  <c r="AV44" i="8"/>
  <c r="AU44" i="8"/>
  <c r="AA44" i="8"/>
  <c r="L44" i="8"/>
  <c r="K44" i="8"/>
  <c r="J44" i="8"/>
  <c r="H44" i="8"/>
  <c r="G44" i="8"/>
  <c r="F44" i="8"/>
  <c r="E44" i="8"/>
  <c r="D44" i="8"/>
  <c r="C44" i="8"/>
  <c r="B44" i="8"/>
  <c r="BJ43" i="8"/>
  <c r="BI43" i="8"/>
  <c r="BH43" i="8"/>
  <c r="BG43" i="8"/>
  <c r="BF43" i="8"/>
  <c r="BE43" i="8"/>
  <c r="BD43" i="8"/>
  <c r="BC43" i="8"/>
  <c r="BB43" i="8"/>
  <c r="BA43" i="8"/>
  <c r="AZ43" i="8"/>
  <c r="AY43" i="8"/>
  <c r="AX43" i="8"/>
  <c r="AW43" i="8"/>
  <c r="AV43" i="8"/>
  <c r="AU43" i="8"/>
  <c r="AA43" i="8"/>
  <c r="L43" i="8"/>
  <c r="J43" i="8"/>
  <c r="H43" i="8"/>
  <c r="G43" i="8"/>
  <c r="F43" i="8"/>
  <c r="E43" i="8"/>
  <c r="D43" i="8"/>
  <c r="C43" i="8"/>
  <c r="B43" i="8"/>
  <c r="BJ42" i="8"/>
  <c r="BI42" i="8"/>
  <c r="BH42" i="8"/>
  <c r="BG42" i="8"/>
  <c r="BF42" i="8"/>
  <c r="BE42" i="8"/>
  <c r="BD42" i="8"/>
  <c r="BC42" i="8"/>
  <c r="BB42" i="8"/>
  <c r="BA42" i="8"/>
  <c r="AZ42" i="8"/>
  <c r="AY42" i="8"/>
  <c r="AX42" i="8"/>
  <c r="AW42" i="8"/>
  <c r="AV42" i="8"/>
  <c r="AU42" i="8"/>
  <c r="AA42" i="8"/>
  <c r="L42" i="8"/>
  <c r="J42" i="8"/>
  <c r="H42" i="8"/>
  <c r="G42" i="8"/>
  <c r="F42" i="8"/>
  <c r="E42" i="8"/>
  <c r="D42" i="8"/>
  <c r="C42" i="8"/>
  <c r="B42" i="8"/>
  <c r="BJ41" i="8"/>
  <c r="BI41" i="8"/>
  <c r="BH41" i="8"/>
  <c r="BG41" i="8"/>
  <c r="BF41" i="8"/>
  <c r="BE41" i="8"/>
  <c r="BD41" i="8"/>
  <c r="BC41" i="8"/>
  <c r="BB41" i="8"/>
  <c r="BA41" i="8"/>
  <c r="AZ41" i="8"/>
  <c r="AY41" i="8"/>
  <c r="AX41" i="8"/>
  <c r="AW41" i="8"/>
  <c r="AV41" i="8"/>
  <c r="AU41" i="8"/>
  <c r="AA41" i="8"/>
  <c r="L41" i="8"/>
  <c r="H41" i="8"/>
  <c r="G41" i="8"/>
  <c r="F41" i="8"/>
  <c r="E41" i="8"/>
  <c r="D41" i="8"/>
  <c r="C41" i="8"/>
  <c r="B41" i="8"/>
  <c r="BJ40" i="8"/>
  <c r="BI40" i="8"/>
  <c r="BH40" i="8"/>
  <c r="BG40" i="8"/>
  <c r="BF40" i="8"/>
  <c r="BE40" i="8"/>
  <c r="BD40" i="8"/>
  <c r="BC40" i="8"/>
  <c r="BB40" i="8"/>
  <c r="BA40" i="8"/>
  <c r="AZ40" i="8"/>
  <c r="AY40" i="8"/>
  <c r="AX40" i="8"/>
  <c r="AW40" i="8"/>
  <c r="AV40" i="8"/>
  <c r="AU40" i="8"/>
  <c r="AA40" i="8"/>
  <c r="L40" i="8"/>
  <c r="H40" i="8"/>
  <c r="G40" i="8"/>
  <c r="F40" i="8"/>
  <c r="E40" i="8"/>
  <c r="D40" i="8"/>
  <c r="C40" i="8"/>
  <c r="B40" i="8"/>
  <c r="BJ39" i="8"/>
  <c r="BI39" i="8"/>
  <c r="BH39" i="8"/>
  <c r="BG39" i="8"/>
  <c r="BF39" i="8"/>
  <c r="BE39" i="8"/>
  <c r="BD39" i="8"/>
  <c r="BC39" i="8"/>
  <c r="BB39" i="8"/>
  <c r="BA39" i="8"/>
  <c r="AZ39" i="8"/>
  <c r="AY39" i="8"/>
  <c r="AX39" i="8"/>
  <c r="AW39" i="8"/>
  <c r="AV39" i="8"/>
  <c r="AU39" i="8"/>
  <c r="AA39" i="8"/>
  <c r="L39" i="8"/>
  <c r="J39" i="8"/>
  <c r="I39" i="8"/>
  <c r="H39" i="8"/>
  <c r="G39" i="8"/>
  <c r="F39" i="8"/>
  <c r="E39" i="8"/>
  <c r="D39" i="8"/>
  <c r="C39" i="8"/>
  <c r="B39" i="8"/>
  <c r="BJ38" i="8"/>
  <c r="BI38" i="8"/>
  <c r="BH38" i="8"/>
  <c r="BG38" i="8"/>
  <c r="BF38" i="8"/>
  <c r="BE38" i="8"/>
  <c r="BD38" i="8"/>
  <c r="BC38" i="8"/>
  <c r="BB38" i="8"/>
  <c r="BA38" i="8"/>
  <c r="AZ38" i="8"/>
  <c r="AY38" i="8"/>
  <c r="AX38" i="8"/>
  <c r="AW38" i="8"/>
  <c r="AV38" i="8"/>
  <c r="AU38" i="8"/>
  <c r="AA38" i="8"/>
  <c r="L38" i="8"/>
  <c r="J38" i="8"/>
  <c r="H38" i="8"/>
  <c r="G38" i="8"/>
  <c r="F38" i="8"/>
  <c r="E38" i="8"/>
  <c r="D38" i="8"/>
  <c r="C38" i="8"/>
  <c r="B38" i="8"/>
  <c r="BJ37" i="8"/>
  <c r="BI37" i="8"/>
  <c r="BH37" i="8"/>
  <c r="BG37" i="8"/>
  <c r="BF37" i="8"/>
  <c r="BE37" i="8"/>
  <c r="BD37" i="8"/>
  <c r="BC37" i="8"/>
  <c r="BB37" i="8"/>
  <c r="BA37" i="8"/>
  <c r="AZ37" i="8"/>
  <c r="AY37" i="8"/>
  <c r="AX37" i="8"/>
  <c r="AW37" i="8"/>
  <c r="AV37" i="8"/>
  <c r="AU37" i="8"/>
  <c r="AA37" i="8"/>
  <c r="L37" i="8"/>
  <c r="H37" i="8"/>
  <c r="G37" i="8"/>
  <c r="F37" i="8"/>
  <c r="E37" i="8"/>
  <c r="D37" i="8"/>
  <c r="C37" i="8"/>
  <c r="B37" i="8"/>
  <c r="BJ36" i="8"/>
  <c r="BI36" i="8"/>
  <c r="BH36" i="8"/>
  <c r="BG36" i="8"/>
  <c r="BF36" i="8"/>
  <c r="BE36" i="8"/>
  <c r="BD36" i="8"/>
  <c r="BC36" i="8"/>
  <c r="BB36" i="8"/>
  <c r="BA36" i="8"/>
  <c r="AZ36" i="8"/>
  <c r="AY36" i="8"/>
  <c r="AX36" i="8"/>
  <c r="AW36" i="8"/>
  <c r="AV36" i="8"/>
  <c r="AU36" i="8"/>
  <c r="AA36" i="8"/>
  <c r="L36" i="8"/>
  <c r="H36" i="8"/>
  <c r="G36" i="8"/>
  <c r="F36" i="8"/>
  <c r="E36" i="8"/>
  <c r="D36" i="8"/>
  <c r="C36" i="8"/>
  <c r="B36" i="8"/>
  <c r="BJ35" i="8"/>
  <c r="BI35" i="8"/>
  <c r="BH35" i="8"/>
  <c r="BG35" i="8"/>
  <c r="BF35" i="8"/>
  <c r="BE35" i="8"/>
  <c r="BD35" i="8"/>
  <c r="BC35" i="8"/>
  <c r="BB35" i="8"/>
  <c r="BA35" i="8"/>
  <c r="AZ35" i="8"/>
  <c r="AY35" i="8"/>
  <c r="AX35" i="8"/>
  <c r="AW35" i="8"/>
  <c r="AV35" i="8"/>
  <c r="AU35" i="8"/>
  <c r="AA35" i="8"/>
  <c r="L35" i="8"/>
  <c r="J35" i="8"/>
  <c r="I35" i="8"/>
  <c r="H35" i="8"/>
  <c r="G35" i="8"/>
  <c r="F35" i="8"/>
  <c r="E35" i="8"/>
  <c r="D35" i="8"/>
  <c r="C35" i="8"/>
  <c r="B35" i="8"/>
  <c r="BJ34" i="8"/>
  <c r="BI34" i="8"/>
  <c r="BH34" i="8"/>
  <c r="BG34" i="8"/>
  <c r="BF34" i="8"/>
  <c r="BE34" i="8"/>
  <c r="BD34" i="8"/>
  <c r="BC34" i="8"/>
  <c r="BB34" i="8"/>
  <c r="BA34" i="8"/>
  <c r="AZ34" i="8"/>
  <c r="AY34" i="8"/>
  <c r="AX34" i="8"/>
  <c r="AW34" i="8"/>
  <c r="AV34" i="8"/>
  <c r="AU34" i="8"/>
  <c r="AA34" i="8"/>
  <c r="L34" i="8"/>
  <c r="J34" i="8"/>
  <c r="I34" i="8"/>
  <c r="H34" i="8"/>
  <c r="G34" i="8"/>
  <c r="F34" i="8"/>
  <c r="E34" i="8"/>
  <c r="D34" i="8"/>
  <c r="C34" i="8"/>
  <c r="B34" i="8"/>
  <c r="BJ33" i="8"/>
  <c r="BI33" i="8"/>
  <c r="BH33" i="8"/>
  <c r="BG33" i="8"/>
  <c r="BF33" i="8"/>
  <c r="BE33" i="8"/>
  <c r="BD33" i="8"/>
  <c r="BC33" i="8"/>
  <c r="BB33" i="8"/>
  <c r="BA33" i="8"/>
  <c r="AZ33" i="8"/>
  <c r="AY33" i="8"/>
  <c r="AX33" i="8"/>
  <c r="AW33" i="8"/>
  <c r="AV33" i="8"/>
  <c r="AU33" i="8"/>
  <c r="AA33" i="8"/>
  <c r="L33" i="8"/>
  <c r="H33" i="8"/>
  <c r="G33" i="8"/>
  <c r="F33" i="8"/>
  <c r="E33" i="8"/>
  <c r="D33" i="8"/>
  <c r="C33" i="8"/>
  <c r="B33" i="8"/>
  <c r="BJ32" i="8"/>
  <c r="BI32" i="8"/>
  <c r="BH32" i="8"/>
  <c r="BG32" i="8"/>
  <c r="BF32" i="8"/>
  <c r="BE32" i="8"/>
  <c r="BD32" i="8"/>
  <c r="BC32" i="8"/>
  <c r="BB32" i="8"/>
  <c r="BA32" i="8"/>
  <c r="AZ32" i="8"/>
  <c r="AY32" i="8"/>
  <c r="AX32" i="8"/>
  <c r="AW32" i="8"/>
  <c r="AV32" i="8"/>
  <c r="AU32" i="8"/>
  <c r="AA32" i="8"/>
  <c r="L32" i="8"/>
  <c r="H32" i="8"/>
  <c r="G32" i="8"/>
  <c r="F32" i="8"/>
  <c r="E32" i="8"/>
  <c r="D32" i="8"/>
  <c r="C32" i="8"/>
  <c r="B32" i="8"/>
  <c r="BJ31" i="8"/>
  <c r="BI31" i="8"/>
  <c r="BH31" i="8"/>
  <c r="BG31" i="8"/>
  <c r="BF31" i="8"/>
  <c r="BE31" i="8"/>
  <c r="BD31" i="8"/>
  <c r="BC31" i="8"/>
  <c r="BB31" i="8"/>
  <c r="BA31" i="8"/>
  <c r="AZ31" i="8"/>
  <c r="AY31" i="8"/>
  <c r="AX31" i="8"/>
  <c r="AW31" i="8"/>
  <c r="AV31" i="8"/>
  <c r="AU31" i="8"/>
  <c r="AA31" i="8"/>
  <c r="L31" i="8"/>
  <c r="H31" i="8"/>
  <c r="G31" i="8"/>
  <c r="F31" i="8"/>
  <c r="E31" i="8"/>
  <c r="D31" i="8"/>
  <c r="C31" i="8"/>
  <c r="B31" i="8"/>
  <c r="BJ30" i="8"/>
  <c r="BI30" i="8"/>
  <c r="BH30" i="8"/>
  <c r="BG30" i="8"/>
  <c r="BF30" i="8"/>
  <c r="BE30" i="8"/>
  <c r="BD30" i="8"/>
  <c r="BC30" i="8"/>
  <c r="BB30" i="8"/>
  <c r="BA30" i="8"/>
  <c r="AZ30" i="8"/>
  <c r="AY30" i="8"/>
  <c r="AX30" i="8"/>
  <c r="AW30" i="8"/>
  <c r="AV30" i="8"/>
  <c r="AU30" i="8"/>
  <c r="AA30" i="8"/>
  <c r="L30" i="8"/>
  <c r="H30" i="8"/>
  <c r="G30" i="8"/>
  <c r="F30" i="8"/>
  <c r="E30" i="8"/>
  <c r="D30" i="8"/>
  <c r="C30" i="8"/>
  <c r="B30" i="8"/>
  <c r="BJ29" i="8"/>
  <c r="BI29" i="8"/>
  <c r="BH29" i="8"/>
  <c r="BG29" i="8"/>
  <c r="BF29" i="8"/>
  <c r="BE29" i="8"/>
  <c r="BD29" i="8"/>
  <c r="BC29" i="8"/>
  <c r="BB29" i="8"/>
  <c r="BA29" i="8"/>
  <c r="AZ29" i="8"/>
  <c r="AY29" i="8"/>
  <c r="AX29" i="8"/>
  <c r="AW29" i="8"/>
  <c r="AV29" i="8"/>
  <c r="AU29" i="8"/>
  <c r="AA29" i="8"/>
  <c r="L29" i="8"/>
  <c r="H29" i="8"/>
  <c r="G29" i="8"/>
  <c r="F29" i="8"/>
  <c r="E29" i="8"/>
  <c r="D29" i="8"/>
  <c r="C29" i="8"/>
  <c r="B29" i="8"/>
  <c r="BJ28" i="8"/>
  <c r="BI28" i="8"/>
  <c r="BH28" i="8"/>
  <c r="BG28" i="8"/>
  <c r="BF28" i="8"/>
  <c r="BE28" i="8"/>
  <c r="BD28" i="8"/>
  <c r="BC28" i="8"/>
  <c r="BB28" i="8"/>
  <c r="BA28" i="8"/>
  <c r="AZ28" i="8"/>
  <c r="AY28" i="8"/>
  <c r="AX28" i="8"/>
  <c r="AW28" i="8"/>
  <c r="AV28" i="8"/>
  <c r="AU28" i="8"/>
  <c r="AA28" i="8"/>
  <c r="L28" i="8"/>
  <c r="H28" i="8"/>
  <c r="G28" i="8"/>
  <c r="F28" i="8"/>
  <c r="E28" i="8"/>
  <c r="D28" i="8"/>
  <c r="C28" i="8"/>
  <c r="B28" i="8"/>
  <c r="BJ27" i="8"/>
  <c r="BI27" i="8"/>
  <c r="BH27" i="8"/>
  <c r="BG27" i="8"/>
  <c r="BF27" i="8"/>
  <c r="BE27" i="8"/>
  <c r="BD27" i="8"/>
  <c r="BC27" i="8"/>
  <c r="BB27" i="8"/>
  <c r="BA27" i="8"/>
  <c r="AZ27" i="8"/>
  <c r="AY27" i="8"/>
  <c r="AX27" i="8"/>
  <c r="AW27" i="8"/>
  <c r="AV27" i="8"/>
  <c r="AU27" i="8"/>
  <c r="AA27" i="8"/>
  <c r="L27" i="8"/>
  <c r="J27" i="8"/>
  <c r="H27" i="8"/>
  <c r="G27" i="8"/>
  <c r="F27" i="8"/>
  <c r="E27" i="8"/>
  <c r="D27" i="8"/>
  <c r="C27" i="8"/>
  <c r="B27" i="8"/>
  <c r="BJ26" i="8"/>
  <c r="BI26" i="8"/>
  <c r="BH26" i="8"/>
  <c r="BG26" i="8"/>
  <c r="BF26" i="8"/>
  <c r="BE26" i="8"/>
  <c r="BD26" i="8"/>
  <c r="BC26" i="8"/>
  <c r="BB26" i="8"/>
  <c r="BA26" i="8"/>
  <c r="AZ26" i="8"/>
  <c r="AY26" i="8"/>
  <c r="AX26" i="8"/>
  <c r="AW26" i="8"/>
  <c r="AV26" i="8"/>
  <c r="AU26" i="8"/>
  <c r="AA26" i="8"/>
  <c r="L26" i="8"/>
  <c r="H26" i="8"/>
  <c r="G26" i="8"/>
  <c r="F26" i="8"/>
  <c r="E26" i="8"/>
  <c r="D26" i="8"/>
  <c r="C26" i="8"/>
  <c r="B26" i="8"/>
  <c r="BJ25" i="8"/>
  <c r="BI25" i="8"/>
  <c r="BH25" i="8"/>
  <c r="BG25" i="8"/>
  <c r="BF25" i="8"/>
  <c r="BE25" i="8"/>
  <c r="BD25" i="8"/>
  <c r="BC25" i="8"/>
  <c r="BB25" i="8"/>
  <c r="BA25" i="8"/>
  <c r="AZ25" i="8"/>
  <c r="AY25" i="8"/>
  <c r="AX25" i="8"/>
  <c r="AW25" i="8"/>
  <c r="AV25" i="8"/>
  <c r="AU25" i="8"/>
  <c r="AA25" i="8"/>
  <c r="L25" i="8"/>
  <c r="H25" i="8"/>
  <c r="G25" i="8"/>
  <c r="F25" i="8"/>
  <c r="E25" i="8"/>
  <c r="D25" i="8"/>
  <c r="C25" i="8"/>
  <c r="B25" i="8"/>
  <c r="BJ24" i="8"/>
  <c r="BI24" i="8"/>
  <c r="BH24" i="8"/>
  <c r="BG24" i="8"/>
  <c r="BF24" i="8"/>
  <c r="BE24" i="8"/>
  <c r="BD24" i="8"/>
  <c r="BC24" i="8"/>
  <c r="BB24" i="8"/>
  <c r="BA24" i="8"/>
  <c r="AZ24" i="8"/>
  <c r="AY24" i="8"/>
  <c r="AX24" i="8"/>
  <c r="AW24" i="8"/>
  <c r="AV24" i="8"/>
  <c r="AU24" i="8"/>
  <c r="AA24" i="8"/>
  <c r="L24" i="8"/>
  <c r="H24" i="8"/>
  <c r="G24" i="8"/>
  <c r="F24" i="8"/>
  <c r="E24" i="8"/>
  <c r="D24" i="8"/>
  <c r="C24" i="8"/>
  <c r="B24" i="8"/>
  <c r="BJ23" i="8"/>
  <c r="BI23" i="8"/>
  <c r="BH23" i="8"/>
  <c r="BG23" i="8"/>
  <c r="BF23" i="8"/>
  <c r="BE23" i="8"/>
  <c r="BD23" i="8"/>
  <c r="BC23" i="8"/>
  <c r="BB23" i="8"/>
  <c r="BA23" i="8"/>
  <c r="AZ23" i="8"/>
  <c r="AY23" i="8"/>
  <c r="AX23" i="8"/>
  <c r="AW23" i="8"/>
  <c r="AV23" i="8"/>
  <c r="AU23" i="8"/>
  <c r="AA23" i="8"/>
  <c r="L23" i="8"/>
  <c r="J23" i="8"/>
  <c r="I23" i="8"/>
  <c r="H23" i="8"/>
  <c r="G23" i="8"/>
  <c r="F23" i="8"/>
  <c r="E23" i="8"/>
  <c r="D23" i="8"/>
  <c r="C23" i="8"/>
  <c r="B23" i="8"/>
  <c r="BJ22" i="8"/>
  <c r="BI22" i="8"/>
  <c r="BH22" i="8"/>
  <c r="BG22" i="8"/>
  <c r="BF22" i="8"/>
  <c r="BE22" i="8"/>
  <c r="BD22" i="8"/>
  <c r="BC22" i="8"/>
  <c r="BB22" i="8"/>
  <c r="BA22" i="8"/>
  <c r="AZ22" i="8"/>
  <c r="AY22" i="8"/>
  <c r="AX22" i="8"/>
  <c r="AW22" i="8"/>
  <c r="AV22" i="8"/>
  <c r="AU22" i="8"/>
  <c r="AA22" i="8"/>
  <c r="M22" i="8"/>
  <c r="L22" i="8"/>
  <c r="I22" i="8"/>
  <c r="H22" i="8"/>
  <c r="G22" i="8"/>
  <c r="F22" i="8"/>
  <c r="E22" i="8"/>
  <c r="D22" i="8"/>
  <c r="C22" i="8"/>
  <c r="B22" i="8"/>
  <c r="BJ21" i="8"/>
  <c r="BI21" i="8"/>
  <c r="BH21" i="8"/>
  <c r="BG21" i="8"/>
  <c r="BF21" i="8"/>
  <c r="BE21" i="8"/>
  <c r="BD21" i="8"/>
  <c r="BC21" i="8"/>
  <c r="BB21" i="8"/>
  <c r="BA21" i="8"/>
  <c r="AZ21" i="8"/>
  <c r="AY21" i="8"/>
  <c r="AX21" i="8"/>
  <c r="AW21" i="8"/>
  <c r="AV21" i="8"/>
  <c r="AU21" i="8"/>
  <c r="AA21" i="8"/>
  <c r="M21" i="8"/>
  <c r="L21" i="8"/>
  <c r="I21" i="8"/>
  <c r="H21" i="8"/>
  <c r="G21" i="8"/>
  <c r="F21" i="8"/>
  <c r="E21" i="8"/>
  <c r="D21" i="8"/>
  <c r="C21" i="8"/>
  <c r="B21" i="8"/>
  <c r="BJ20" i="8"/>
  <c r="BI20" i="8"/>
  <c r="BH20" i="8"/>
  <c r="BG20" i="8"/>
  <c r="BF20" i="8"/>
  <c r="BE20" i="8"/>
  <c r="BD20" i="8"/>
  <c r="BC20" i="8"/>
  <c r="BB20" i="8"/>
  <c r="BA20" i="8"/>
  <c r="AZ20" i="8"/>
  <c r="AY20" i="8"/>
  <c r="AX20" i="8"/>
  <c r="AW20" i="8"/>
  <c r="AV20" i="8"/>
  <c r="AU20" i="8"/>
  <c r="AA20" i="8"/>
  <c r="M20" i="8"/>
  <c r="L20" i="8"/>
  <c r="H20" i="8"/>
  <c r="G20" i="8"/>
  <c r="F20" i="8"/>
  <c r="E20" i="8"/>
  <c r="D20" i="8"/>
  <c r="C20" i="8"/>
  <c r="B20" i="8"/>
  <c r="BJ19" i="8"/>
  <c r="BI19" i="8"/>
  <c r="BH19" i="8"/>
  <c r="BG19" i="8"/>
  <c r="BF19" i="8"/>
  <c r="BE19" i="8"/>
  <c r="BD19" i="8"/>
  <c r="BC19" i="8"/>
  <c r="BB19" i="8"/>
  <c r="BA19" i="8"/>
  <c r="AZ19" i="8"/>
  <c r="AY19" i="8"/>
  <c r="AX19" i="8"/>
  <c r="AW19" i="8"/>
  <c r="AV19" i="8"/>
  <c r="AU19" i="8"/>
  <c r="AA19" i="8"/>
  <c r="M19" i="8"/>
  <c r="L19" i="8"/>
  <c r="K19" i="8"/>
  <c r="J19" i="8"/>
  <c r="I19" i="8"/>
  <c r="H19" i="8"/>
  <c r="G19" i="8"/>
  <c r="F19" i="8"/>
  <c r="E19" i="8"/>
  <c r="D19" i="8"/>
  <c r="C19" i="8"/>
  <c r="B19" i="8"/>
  <c r="BJ18" i="8"/>
  <c r="BI18" i="8"/>
  <c r="BH18" i="8"/>
  <c r="BG18" i="8"/>
  <c r="BF18" i="8"/>
  <c r="BE18" i="8"/>
  <c r="BD18" i="8"/>
  <c r="BC18" i="8"/>
  <c r="BB18" i="8"/>
  <c r="BA18" i="8"/>
  <c r="AZ18" i="8"/>
  <c r="AY18" i="8"/>
  <c r="AX18" i="8"/>
  <c r="AW18" i="8"/>
  <c r="AV18" i="8"/>
  <c r="AU18" i="8"/>
  <c r="AA18" i="8"/>
  <c r="L18" i="8"/>
  <c r="I18" i="8"/>
  <c r="H18" i="8"/>
  <c r="G18" i="8"/>
  <c r="F18" i="8"/>
  <c r="E18" i="8"/>
  <c r="D18" i="8"/>
  <c r="C18" i="8"/>
  <c r="B18" i="8"/>
  <c r="BJ17" i="8"/>
  <c r="BI17" i="8"/>
  <c r="BH17" i="8"/>
  <c r="BG17" i="8"/>
  <c r="BF17" i="8"/>
  <c r="BE17" i="8"/>
  <c r="BD17" i="8"/>
  <c r="BC17" i="8"/>
  <c r="BB17" i="8"/>
  <c r="BA17" i="8"/>
  <c r="AZ17" i="8"/>
  <c r="AY17" i="8"/>
  <c r="AX17" i="8"/>
  <c r="AW17" i="8"/>
  <c r="AV17" i="8"/>
  <c r="AU17" i="8"/>
  <c r="AA17" i="8"/>
  <c r="L17" i="8"/>
  <c r="K17" i="8"/>
  <c r="J17" i="8"/>
  <c r="I17" i="8"/>
  <c r="H17" i="8"/>
  <c r="G17" i="8"/>
  <c r="F17" i="8"/>
  <c r="E17" i="8"/>
  <c r="D17" i="8"/>
  <c r="C17" i="8"/>
  <c r="B17" i="8"/>
  <c r="BJ16" i="8"/>
  <c r="BI16" i="8"/>
  <c r="BH16" i="8"/>
  <c r="BG16" i="8"/>
  <c r="BF16" i="8"/>
  <c r="BE16" i="8"/>
  <c r="BD16" i="8"/>
  <c r="BC16" i="8"/>
  <c r="BB16" i="8"/>
  <c r="BA16" i="8"/>
  <c r="AZ16" i="8"/>
  <c r="AY16" i="8"/>
  <c r="AX16" i="8"/>
  <c r="AW16" i="8"/>
  <c r="AV16" i="8"/>
  <c r="AU16" i="8"/>
  <c r="AA16" i="8"/>
  <c r="L16" i="8"/>
  <c r="H16" i="8"/>
  <c r="G16" i="8"/>
  <c r="F16" i="8"/>
  <c r="E16" i="8"/>
  <c r="D16" i="8"/>
  <c r="C16" i="8"/>
  <c r="B16" i="8"/>
  <c r="BJ15" i="8"/>
  <c r="BI15" i="8"/>
  <c r="BH15" i="8"/>
  <c r="BG15" i="8"/>
  <c r="BF15" i="8"/>
  <c r="BE15" i="8"/>
  <c r="BD15" i="8"/>
  <c r="BC15" i="8"/>
  <c r="BB15" i="8"/>
  <c r="BA15" i="8"/>
  <c r="AZ15" i="8"/>
  <c r="AY15" i="8"/>
  <c r="AX15" i="8"/>
  <c r="AW15" i="8"/>
  <c r="AV15" i="8"/>
  <c r="AU15" i="8"/>
  <c r="AA15" i="8"/>
  <c r="L15" i="8"/>
  <c r="I15" i="8"/>
  <c r="H15" i="8"/>
  <c r="G15" i="8"/>
  <c r="F15" i="8"/>
  <c r="E15" i="8"/>
  <c r="D15" i="8"/>
  <c r="C15" i="8"/>
  <c r="B15" i="8"/>
  <c r="BJ14" i="8"/>
  <c r="BI14" i="8"/>
  <c r="BH14" i="8"/>
  <c r="BG14" i="8"/>
  <c r="BF14" i="8"/>
  <c r="BE14" i="8"/>
  <c r="BD14" i="8"/>
  <c r="BC14" i="8"/>
  <c r="BB14" i="8"/>
  <c r="BA14" i="8"/>
  <c r="AZ14" i="8"/>
  <c r="AY14" i="8"/>
  <c r="AX14" i="8"/>
  <c r="AW14" i="8"/>
  <c r="AV14" i="8"/>
  <c r="AU14" i="8"/>
  <c r="AA14" i="8"/>
  <c r="L14" i="8"/>
  <c r="H14" i="8"/>
  <c r="G14" i="8"/>
  <c r="F14" i="8"/>
  <c r="E14" i="8"/>
  <c r="D14" i="8"/>
  <c r="C14" i="8"/>
  <c r="B14" i="8"/>
  <c r="BJ13" i="8"/>
  <c r="BI13" i="8"/>
  <c r="BH13" i="8"/>
  <c r="BG13" i="8"/>
  <c r="BF13" i="8"/>
  <c r="BE13" i="8"/>
  <c r="BD13" i="8"/>
  <c r="BC13" i="8"/>
  <c r="BB13" i="8"/>
  <c r="BA13" i="8"/>
  <c r="AZ13" i="8"/>
  <c r="AY13" i="8"/>
  <c r="AX13" i="8"/>
  <c r="AW13" i="8"/>
  <c r="AV13" i="8"/>
  <c r="AU13" i="8"/>
  <c r="AA13" i="8"/>
  <c r="L13" i="8"/>
  <c r="I13" i="8"/>
  <c r="H13" i="8"/>
  <c r="G13" i="8"/>
  <c r="F13" i="8"/>
  <c r="E13" i="8"/>
  <c r="D13" i="8"/>
  <c r="C13" i="8"/>
  <c r="B13" i="8"/>
  <c r="BJ12" i="8"/>
  <c r="BI12" i="8"/>
  <c r="BH12" i="8"/>
  <c r="BG12" i="8"/>
  <c r="BF12" i="8"/>
  <c r="BE12" i="8"/>
  <c r="BD12" i="8"/>
  <c r="BC12" i="8"/>
  <c r="BB12" i="8"/>
  <c r="BA12" i="8"/>
  <c r="AZ12" i="8"/>
  <c r="AY12" i="8"/>
  <c r="AX12" i="8"/>
  <c r="AW12" i="8"/>
  <c r="AV12" i="8"/>
  <c r="AU12" i="8"/>
  <c r="AA12" i="8"/>
  <c r="M12" i="8"/>
  <c r="L12" i="8"/>
  <c r="I12" i="8"/>
  <c r="H12" i="8"/>
  <c r="G12" i="8"/>
  <c r="F12" i="8"/>
  <c r="E12" i="8"/>
  <c r="D12" i="8"/>
  <c r="C12" i="8"/>
  <c r="B12" i="8"/>
  <c r="BJ11" i="8"/>
  <c r="BI11" i="8"/>
  <c r="BH11" i="8"/>
  <c r="BG11" i="8"/>
  <c r="BF11" i="8"/>
  <c r="BE11" i="8"/>
  <c r="BD11" i="8"/>
  <c r="BC11" i="8"/>
  <c r="BB11" i="8"/>
  <c r="BA11" i="8"/>
  <c r="AZ11" i="8"/>
  <c r="AY11" i="8"/>
  <c r="AX11" i="8"/>
  <c r="AW11" i="8"/>
  <c r="AV11" i="8"/>
  <c r="AU11" i="8"/>
  <c r="AA11" i="8"/>
  <c r="T11" i="8"/>
  <c r="L11" i="8"/>
  <c r="K11" i="8"/>
  <c r="J11" i="8"/>
  <c r="I11" i="8"/>
  <c r="H11" i="8"/>
  <c r="G11" i="8"/>
  <c r="F11" i="8"/>
  <c r="E11" i="8"/>
  <c r="D11" i="8"/>
  <c r="C11" i="8"/>
  <c r="B11" i="8"/>
  <c r="BJ10" i="8"/>
  <c r="BI10" i="8"/>
  <c r="BH10" i="8"/>
  <c r="BG10" i="8"/>
  <c r="BF10" i="8"/>
  <c r="BE10" i="8"/>
  <c r="BD10" i="8"/>
  <c r="BC10" i="8"/>
  <c r="BB10" i="8"/>
  <c r="BA10" i="8"/>
  <c r="AZ10" i="8"/>
  <c r="AY10" i="8"/>
  <c r="AX10" i="8"/>
  <c r="AW10" i="8"/>
  <c r="AV10" i="8"/>
  <c r="AU10" i="8"/>
  <c r="AA10" i="8"/>
  <c r="T10" i="8"/>
  <c r="L10" i="8"/>
  <c r="K10" i="8"/>
  <c r="J10" i="8"/>
  <c r="I10" i="8"/>
  <c r="H10" i="8"/>
  <c r="G10" i="8"/>
  <c r="F10" i="8"/>
  <c r="E10" i="8"/>
  <c r="D10" i="8"/>
  <c r="C10" i="8"/>
  <c r="B10" i="8"/>
  <c r="BJ9" i="8"/>
  <c r="BI9" i="8"/>
  <c r="BH9" i="8"/>
  <c r="BG9" i="8"/>
  <c r="BF9" i="8"/>
  <c r="BE9" i="8"/>
  <c r="BD9" i="8"/>
  <c r="BC9" i="8"/>
  <c r="BB9" i="8"/>
  <c r="BA9" i="8"/>
  <c r="AZ9" i="8"/>
  <c r="AY9" i="8"/>
  <c r="AX9" i="8"/>
  <c r="AW9" i="8"/>
  <c r="AV9" i="8"/>
  <c r="AU9" i="8"/>
  <c r="AA9" i="8"/>
  <c r="T9" i="8"/>
  <c r="L9" i="8"/>
  <c r="J9" i="8"/>
  <c r="H9" i="8"/>
  <c r="G9" i="8"/>
  <c r="F9" i="8"/>
  <c r="E9" i="8"/>
  <c r="D9" i="8"/>
  <c r="C9" i="8"/>
  <c r="B9" i="8"/>
  <c r="BJ8" i="8"/>
  <c r="BI8" i="8"/>
  <c r="BH8" i="8"/>
  <c r="BG8" i="8"/>
  <c r="BF8" i="8"/>
  <c r="BE8" i="8"/>
  <c r="BD8" i="8"/>
  <c r="BC8" i="8"/>
  <c r="BB8" i="8"/>
  <c r="BA8" i="8"/>
  <c r="AZ8" i="8"/>
  <c r="AY8" i="8"/>
  <c r="AX8" i="8"/>
  <c r="AW8" i="8"/>
  <c r="AV8" i="8"/>
  <c r="AU8" i="8"/>
  <c r="AA8" i="8"/>
  <c r="T8" i="8"/>
  <c r="L8" i="8"/>
  <c r="J8" i="8"/>
  <c r="H8" i="8"/>
  <c r="G8" i="8"/>
  <c r="F8" i="8"/>
  <c r="E8" i="8"/>
  <c r="D8" i="8"/>
  <c r="C8" i="8"/>
  <c r="B8" i="8"/>
  <c r="BJ7" i="8"/>
  <c r="BI7" i="8"/>
  <c r="BH7" i="8"/>
  <c r="BG7" i="8"/>
  <c r="BF7" i="8"/>
  <c r="BE7" i="8"/>
  <c r="BD7" i="8"/>
  <c r="BC7" i="8"/>
  <c r="BB7" i="8"/>
  <c r="BA7" i="8"/>
  <c r="AZ7" i="8"/>
  <c r="AY7" i="8"/>
  <c r="AX7" i="8"/>
  <c r="AW7" i="8"/>
  <c r="AV7" i="8"/>
  <c r="AU7" i="8"/>
  <c r="AA7" i="8"/>
  <c r="T7" i="8"/>
  <c r="L7" i="8"/>
  <c r="J7" i="8"/>
  <c r="I7" i="8"/>
  <c r="H7" i="8"/>
  <c r="G7" i="8"/>
  <c r="F7" i="8"/>
  <c r="E7" i="8"/>
  <c r="D7" i="8"/>
  <c r="C7" i="8"/>
  <c r="B7" i="8"/>
  <c r="BJ6" i="8"/>
  <c r="BI6" i="8"/>
  <c r="BH6" i="8"/>
  <c r="BG6" i="8"/>
  <c r="BF6" i="8"/>
  <c r="BE6" i="8"/>
  <c r="BD6" i="8"/>
  <c r="BC6" i="8"/>
  <c r="BB6" i="8"/>
  <c r="BA6" i="8"/>
  <c r="AZ6" i="8"/>
  <c r="AY6" i="8"/>
  <c r="AX6" i="8"/>
  <c r="AW6" i="8"/>
  <c r="AV6" i="8"/>
  <c r="AU6" i="8"/>
  <c r="AA6" i="8"/>
  <c r="L6" i="8"/>
  <c r="K6" i="8"/>
  <c r="J6" i="8"/>
  <c r="I6" i="8"/>
  <c r="H6" i="8"/>
  <c r="G6" i="8"/>
  <c r="F6" i="8"/>
  <c r="E6" i="8"/>
  <c r="D6" i="8"/>
  <c r="C6" i="8"/>
  <c r="B6" i="8"/>
  <c r="BJ5" i="8"/>
  <c r="BI5" i="8"/>
  <c r="BH5" i="8"/>
  <c r="BG5" i="8"/>
  <c r="BF5" i="8"/>
  <c r="BE5" i="8"/>
  <c r="BD5" i="8"/>
  <c r="BC5" i="8"/>
  <c r="BB5" i="8"/>
  <c r="BA5" i="8"/>
  <c r="AZ5" i="8"/>
  <c r="AY5" i="8"/>
  <c r="AX5" i="8"/>
  <c r="AW5" i="8"/>
  <c r="AV5" i="8"/>
  <c r="AU5" i="8"/>
  <c r="AA5" i="8"/>
  <c r="T5" i="8"/>
  <c r="L5" i="8"/>
  <c r="J5" i="8"/>
  <c r="I5" i="8"/>
  <c r="H5" i="8"/>
  <c r="G5" i="8"/>
  <c r="F5" i="8"/>
  <c r="E5" i="8"/>
  <c r="D5" i="8"/>
  <c r="C5" i="8"/>
  <c r="B5" i="8"/>
  <c r="BJ4" i="8"/>
  <c r="BI4" i="8"/>
  <c r="BH4" i="8"/>
  <c r="BG4" i="8"/>
  <c r="BF4" i="8"/>
  <c r="BE4" i="8"/>
  <c r="BD4" i="8"/>
  <c r="BC4" i="8"/>
  <c r="BB4" i="8"/>
  <c r="BA4" i="8"/>
  <c r="AZ4" i="8"/>
  <c r="AY4" i="8"/>
  <c r="AX4" i="8"/>
  <c r="AW4" i="8"/>
  <c r="AV4" i="8"/>
  <c r="AU4" i="8"/>
  <c r="AA4" i="8"/>
  <c r="T4" i="8"/>
  <c r="L4" i="8"/>
  <c r="J4" i="8"/>
  <c r="I4" i="8"/>
  <c r="H4" i="8"/>
  <c r="G4" i="8"/>
  <c r="F4" i="8"/>
  <c r="E4" i="8"/>
  <c r="D4" i="8"/>
  <c r="C4" i="8"/>
  <c r="B4" i="8"/>
  <c r="BJ3" i="8"/>
  <c r="BI3" i="8"/>
  <c r="BH3" i="8"/>
  <c r="BG3" i="8"/>
  <c r="BF3" i="8"/>
  <c r="BE3" i="8"/>
  <c r="BD3" i="8"/>
  <c r="BC3" i="8"/>
  <c r="BB3" i="8"/>
  <c r="BA3" i="8"/>
  <c r="AZ3" i="8"/>
  <c r="AY3" i="8"/>
  <c r="AX3" i="8"/>
  <c r="AW3" i="8"/>
  <c r="AV3" i="8"/>
  <c r="AU3" i="8"/>
  <c r="AA3" i="8"/>
  <c r="T3" i="8"/>
  <c r="L3" i="8"/>
  <c r="J3" i="8"/>
  <c r="H3" i="8"/>
  <c r="G3" i="8"/>
  <c r="F3" i="8"/>
  <c r="E3" i="8"/>
  <c r="D3" i="8"/>
  <c r="C3" i="8"/>
  <c r="B3" i="8"/>
  <c r="A3" i="8"/>
  <c r="BH1" i="8"/>
  <c r="BK636" i="7"/>
  <c r="BJ636" i="7"/>
  <c r="BI636" i="7"/>
  <c r="BH636" i="7"/>
  <c r="BG636" i="7"/>
  <c r="BF636" i="7"/>
  <c r="BE636" i="7"/>
  <c r="BD636" i="7"/>
  <c r="BC636" i="7"/>
  <c r="BB636" i="7"/>
  <c r="BA636" i="7"/>
  <c r="AZ636" i="7"/>
  <c r="AY636" i="7"/>
  <c r="AX636" i="7"/>
  <c r="AW636" i="7"/>
  <c r="AV636" i="7"/>
  <c r="I636" i="7"/>
  <c r="H636" i="7"/>
  <c r="BK635" i="7"/>
  <c r="BJ635" i="7"/>
  <c r="BI635" i="7"/>
  <c r="BH635" i="7"/>
  <c r="BG635" i="7"/>
  <c r="BF635" i="7"/>
  <c r="BE635" i="7"/>
  <c r="BD635" i="7"/>
  <c r="BC635" i="7"/>
  <c r="BB635" i="7"/>
  <c r="BA635" i="7"/>
  <c r="AZ635" i="7"/>
  <c r="AY635" i="7"/>
  <c r="AX635" i="7"/>
  <c r="AW635" i="7"/>
  <c r="AV635" i="7"/>
  <c r="I635" i="7"/>
  <c r="H635" i="7"/>
  <c r="BK634" i="7"/>
  <c r="BJ634" i="7"/>
  <c r="BI634" i="7"/>
  <c r="BH634" i="7"/>
  <c r="BG634" i="7"/>
  <c r="BF634" i="7"/>
  <c r="BE634" i="7"/>
  <c r="BD634" i="7"/>
  <c r="BC634" i="7"/>
  <c r="BB634" i="7"/>
  <c r="BA634" i="7"/>
  <c r="AZ634" i="7"/>
  <c r="AY634" i="7"/>
  <c r="AX634" i="7"/>
  <c r="AW634" i="7"/>
  <c r="AV634" i="7"/>
  <c r="I634" i="7"/>
  <c r="H634" i="7"/>
  <c r="BK633" i="7"/>
  <c r="BJ633" i="7"/>
  <c r="BI633" i="7"/>
  <c r="BH633" i="7"/>
  <c r="BG633" i="7"/>
  <c r="BF633" i="7"/>
  <c r="BE633" i="7"/>
  <c r="BD633" i="7"/>
  <c r="BC633" i="7"/>
  <c r="BB633" i="7"/>
  <c r="BA633" i="7"/>
  <c r="AZ633" i="7"/>
  <c r="AY633" i="7"/>
  <c r="AX633" i="7"/>
  <c r="AW633" i="7"/>
  <c r="AV633" i="7"/>
  <c r="I633" i="7"/>
  <c r="H633" i="7"/>
  <c r="BK632" i="7"/>
  <c r="BJ632" i="7"/>
  <c r="BI632" i="7"/>
  <c r="BH632" i="7"/>
  <c r="BG632" i="7"/>
  <c r="BF632" i="7"/>
  <c r="BE632" i="7"/>
  <c r="BD632" i="7"/>
  <c r="BC632" i="7"/>
  <c r="BB632" i="7"/>
  <c r="BA632" i="7"/>
  <c r="AZ632" i="7"/>
  <c r="AY632" i="7"/>
  <c r="AX632" i="7"/>
  <c r="AW632" i="7"/>
  <c r="AV632" i="7"/>
  <c r="I632" i="7"/>
  <c r="H632" i="7"/>
  <c r="BK631" i="7"/>
  <c r="BJ631" i="7"/>
  <c r="BI631" i="7"/>
  <c r="BH631" i="7"/>
  <c r="BG631" i="7"/>
  <c r="BF631" i="7"/>
  <c r="BE631" i="7"/>
  <c r="BD631" i="7"/>
  <c r="BC631" i="7"/>
  <c r="BB631" i="7"/>
  <c r="BA631" i="7"/>
  <c r="AZ631" i="7"/>
  <c r="AY631" i="7"/>
  <c r="AX631" i="7"/>
  <c r="AW631" i="7"/>
  <c r="AV631" i="7"/>
  <c r="I631" i="7"/>
  <c r="H631" i="7"/>
  <c r="BK630" i="7"/>
  <c r="BJ630" i="7"/>
  <c r="BI630" i="7"/>
  <c r="BH630" i="7"/>
  <c r="BG630" i="7"/>
  <c r="BF630" i="7"/>
  <c r="BE630" i="7"/>
  <c r="BD630" i="7"/>
  <c r="BC630" i="7"/>
  <c r="BB630" i="7"/>
  <c r="BA630" i="7"/>
  <c r="AZ630" i="7"/>
  <c r="AY630" i="7"/>
  <c r="AX630" i="7"/>
  <c r="AW630" i="7"/>
  <c r="AV630" i="7"/>
  <c r="I630" i="7"/>
  <c r="H630" i="7"/>
  <c r="BK629" i="7"/>
  <c r="BJ629" i="7"/>
  <c r="BI629" i="7"/>
  <c r="BH629" i="7"/>
  <c r="BG629" i="7"/>
  <c r="BF629" i="7"/>
  <c r="BE629" i="7"/>
  <c r="BD629" i="7"/>
  <c r="BC629" i="7"/>
  <c r="BB629" i="7"/>
  <c r="BA629" i="7"/>
  <c r="AZ629" i="7"/>
  <c r="AY629" i="7"/>
  <c r="AX629" i="7"/>
  <c r="AW629" i="7"/>
  <c r="AV629" i="7"/>
  <c r="I629" i="7"/>
  <c r="H629" i="7"/>
  <c r="BK628" i="7"/>
  <c r="BJ628" i="7"/>
  <c r="BI628" i="7"/>
  <c r="BH628" i="7"/>
  <c r="BG628" i="7"/>
  <c r="BF628" i="7"/>
  <c r="BE628" i="7"/>
  <c r="BD628" i="7"/>
  <c r="BC628" i="7"/>
  <c r="BB628" i="7"/>
  <c r="BA628" i="7"/>
  <c r="AZ628" i="7"/>
  <c r="AY628" i="7"/>
  <c r="AX628" i="7"/>
  <c r="AW628" i="7"/>
  <c r="AV628" i="7"/>
  <c r="I628" i="7"/>
  <c r="H628" i="7"/>
  <c r="BK627" i="7"/>
  <c r="BJ627" i="7"/>
  <c r="BI627" i="7"/>
  <c r="BH627" i="7"/>
  <c r="BG627" i="7"/>
  <c r="BF627" i="7"/>
  <c r="BE627" i="7"/>
  <c r="BD627" i="7"/>
  <c r="BC627" i="7"/>
  <c r="BB627" i="7"/>
  <c r="BA627" i="7"/>
  <c r="AZ627" i="7"/>
  <c r="AY627" i="7"/>
  <c r="AX627" i="7"/>
  <c r="AW627" i="7"/>
  <c r="AV627" i="7"/>
  <c r="I627" i="7"/>
  <c r="H627" i="7"/>
  <c r="BK626" i="7"/>
  <c r="BJ626" i="7"/>
  <c r="BI626" i="7"/>
  <c r="BH626" i="7"/>
  <c r="BG626" i="7"/>
  <c r="BF626" i="7"/>
  <c r="BE626" i="7"/>
  <c r="BD626" i="7"/>
  <c r="BC626" i="7"/>
  <c r="BB626" i="7"/>
  <c r="BA626" i="7"/>
  <c r="AZ626" i="7"/>
  <c r="AY626" i="7"/>
  <c r="AX626" i="7"/>
  <c r="AW626" i="7"/>
  <c r="AV626" i="7"/>
  <c r="I626" i="7"/>
  <c r="H626" i="7"/>
  <c r="BK625" i="7"/>
  <c r="BJ625" i="7"/>
  <c r="BI625" i="7"/>
  <c r="BH625" i="7"/>
  <c r="BG625" i="7"/>
  <c r="BF625" i="7"/>
  <c r="BE625" i="7"/>
  <c r="BD625" i="7"/>
  <c r="BC625" i="7"/>
  <c r="BB625" i="7"/>
  <c r="BA625" i="7"/>
  <c r="AZ625" i="7"/>
  <c r="AY625" i="7"/>
  <c r="AX625" i="7"/>
  <c r="AW625" i="7"/>
  <c r="AV625" i="7"/>
  <c r="I625" i="7"/>
  <c r="H625" i="7"/>
  <c r="BK624" i="7"/>
  <c r="BJ624" i="7"/>
  <c r="BI624" i="7"/>
  <c r="BH624" i="7"/>
  <c r="BG624" i="7"/>
  <c r="BF624" i="7"/>
  <c r="BE624" i="7"/>
  <c r="BD624" i="7"/>
  <c r="BC624" i="7"/>
  <c r="BB624" i="7"/>
  <c r="BA624" i="7"/>
  <c r="AZ624" i="7"/>
  <c r="AY624" i="7"/>
  <c r="AX624" i="7"/>
  <c r="AW624" i="7"/>
  <c r="AV624" i="7"/>
  <c r="I624" i="7"/>
  <c r="H624" i="7"/>
  <c r="BK623" i="7"/>
  <c r="BJ623" i="7"/>
  <c r="BI623" i="7"/>
  <c r="BH623" i="7"/>
  <c r="BG623" i="7"/>
  <c r="BF623" i="7"/>
  <c r="BE623" i="7"/>
  <c r="BD623" i="7"/>
  <c r="BC623" i="7"/>
  <c r="BB623" i="7"/>
  <c r="BA623" i="7"/>
  <c r="AZ623" i="7"/>
  <c r="AY623" i="7"/>
  <c r="AX623" i="7"/>
  <c r="AW623" i="7"/>
  <c r="AV623" i="7"/>
  <c r="I623" i="7"/>
  <c r="H623" i="7"/>
  <c r="BK622" i="7"/>
  <c r="BJ622" i="7"/>
  <c r="BI622" i="7"/>
  <c r="BH622" i="7"/>
  <c r="BG622" i="7"/>
  <c r="BF622" i="7"/>
  <c r="BE622" i="7"/>
  <c r="BD622" i="7"/>
  <c r="BC622" i="7"/>
  <c r="BB622" i="7"/>
  <c r="BA622" i="7"/>
  <c r="AZ622" i="7"/>
  <c r="AY622" i="7"/>
  <c r="AX622" i="7"/>
  <c r="AW622" i="7"/>
  <c r="AV622" i="7"/>
  <c r="I622" i="7"/>
  <c r="H622" i="7"/>
  <c r="BK621" i="7"/>
  <c r="BJ621" i="7"/>
  <c r="BI621" i="7"/>
  <c r="BH621" i="7"/>
  <c r="BG621" i="7"/>
  <c r="BF621" i="7"/>
  <c r="BE621" i="7"/>
  <c r="BD621" i="7"/>
  <c r="BC621" i="7"/>
  <c r="BB621" i="7"/>
  <c r="BA621" i="7"/>
  <c r="AZ621" i="7"/>
  <c r="AY621" i="7"/>
  <c r="AX621" i="7"/>
  <c r="AW621" i="7"/>
  <c r="AV621" i="7"/>
  <c r="I621" i="7"/>
  <c r="H621" i="7"/>
  <c r="BK620" i="7"/>
  <c r="BJ620" i="7"/>
  <c r="BI620" i="7"/>
  <c r="BH620" i="7"/>
  <c r="BG620" i="7"/>
  <c r="BF620" i="7"/>
  <c r="BE620" i="7"/>
  <c r="BD620" i="7"/>
  <c r="BC620" i="7"/>
  <c r="BB620" i="7"/>
  <c r="BA620" i="7"/>
  <c r="AZ620" i="7"/>
  <c r="AY620" i="7"/>
  <c r="AX620" i="7"/>
  <c r="AW620" i="7"/>
  <c r="AV620" i="7"/>
  <c r="I620" i="7"/>
  <c r="H620" i="7"/>
  <c r="BK619" i="7"/>
  <c r="BJ619" i="7"/>
  <c r="BI619" i="7"/>
  <c r="BH619" i="7"/>
  <c r="BG619" i="7"/>
  <c r="BF619" i="7"/>
  <c r="BE619" i="7"/>
  <c r="BD619" i="7"/>
  <c r="BC619" i="7"/>
  <c r="BB619" i="7"/>
  <c r="BA619" i="7"/>
  <c r="AZ619" i="7"/>
  <c r="AY619" i="7"/>
  <c r="AX619" i="7"/>
  <c r="AW619" i="7"/>
  <c r="AV619" i="7"/>
  <c r="I619" i="7"/>
  <c r="H619" i="7"/>
  <c r="BK618" i="7"/>
  <c r="BJ618" i="7"/>
  <c r="BI618" i="7"/>
  <c r="BH618" i="7"/>
  <c r="BG618" i="7"/>
  <c r="BF618" i="7"/>
  <c r="BE618" i="7"/>
  <c r="BD618" i="7"/>
  <c r="BC618" i="7"/>
  <c r="BB618" i="7"/>
  <c r="BA618" i="7"/>
  <c r="AZ618" i="7"/>
  <c r="AY618" i="7"/>
  <c r="AX618" i="7"/>
  <c r="AW618" i="7"/>
  <c r="AV618" i="7"/>
  <c r="I618" i="7"/>
  <c r="H618" i="7"/>
  <c r="BK617" i="7"/>
  <c r="BJ617" i="7"/>
  <c r="BI617" i="7"/>
  <c r="BH617" i="7"/>
  <c r="BG617" i="7"/>
  <c r="BF617" i="7"/>
  <c r="BE617" i="7"/>
  <c r="BD617" i="7"/>
  <c r="BC617" i="7"/>
  <c r="BB617" i="7"/>
  <c r="BA617" i="7"/>
  <c r="AZ617" i="7"/>
  <c r="AY617" i="7"/>
  <c r="AX617" i="7"/>
  <c r="AW617" i="7"/>
  <c r="AV617" i="7"/>
  <c r="I617" i="7"/>
  <c r="H617" i="7"/>
  <c r="BK616" i="7"/>
  <c r="BJ616" i="7"/>
  <c r="BI616" i="7"/>
  <c r="BH616" i="7"/>
  <c r="BG616" i="7"/>
  <c r="BF616" i="7"/>
  <c r="BE616" i="7"/>
  <c r="BD616" i="7"/>
  <c r="BC616" i="7"/>
  <c r="BB616" i="7"/>
  <c r="BA616" i="7"/>
  <c r="AZ616" i="7"/>
  <c r="AY616" i="7"/>
  <c r="AX616" i="7"/>
  <c r="AW616" i="7"/>
  <c r="AV616" i="7"/>
  <c r="I616" i="7"/>
  <c r="H616" i="7"/>
  <c r="BK615" i="7"/>
  <c r="BJ615" i="7"/>
  <c r="BI615" i="7"/>
  <c r="BH615" i="7"/>
  <c r="BG615" i="7"/>
  <c r="BF615" i="7"/>
  <c r="BE615" i="7"/>
  <c r="BD615" i="7"/>
  <c r="BC615" i="7"/>
  <c r="BB615" i="7"/>
  <c r="BA615" i="7"/>
  <c r="AZ615" i="7"/>
  <c r="AY615" i="7"/>
  <c r="AX615" i="7"/>
  <c r="AW615" i="7"/>
  <c r="AV615" i="7"/>
  <c r="I615" i="7"/>
  <c r="H615" i="7"/>
  <c r="BK614" i="7"/>
  <c r="BJ614" i="7"/>
  <c r="BI614" i="7"/>
  <c r="BH614" i="7"/>
  <c r="BG614" i="7"/>
  <c r="BF614" i="7"/>
  <c r="BE614" i="7"/>
  <c r="BD614" i="7"/>
  <c r="BC614" i="7"/>
  <c r="BB614" i="7"/>
  <c r="BA614" i="7"/>
  <c r="AZ614" i="7"/>
  <c r="AY614" i="7"/>
  <c r="AX614" i="7"/>
  <c r="AW614" i="7"/>
  <c r="AV614" i="7"/>
  <c r="I614" i="7"/>
  <c r="H614" i="7"/>
  <c r="BK613" i="7"/>
  <c r="BJ613" i="7"/>
  <c r="BI613" i="7"/>
  <c r="BH613" i="7"/>
  <c r="BG613" i="7"/>
  <c r="BF613" i="7"/>
  <c r="BE613" i="7"/>
  <c r="BD613" i="7"/>
  <c r="BC613" i="7"/>
  <c r="BB613" i="7"/>
  <c r="BA613" i="7"/>
  <c r="AZ613" i="7"/>
  <c r="AY613" i="7"/>
  <c r="AX613" i="7"/>
  <c r="AW613" i="7"/>
  <c r="AV613" i="7"/>
  <c r="I613" i="7"/>
  <c r="H613" i="7"/>
  <c r="BK612" i="7"/>
  <c r="BJ612" i="7"/>
  <c r="BI612" i="7"/>
  <c r="BH612" i="7"/>
  <c r="BG612" i="7"/>
  <c r="BF612" i="7"/>
  <c r="BE612" i="7"/>
  <c r="BD612" i="7"/>
  <c r="BC612" i="7"/>
  <c r="BB612" i="7"/>
  <c r="BA612" i="7"/>
  <c r="AZ612" i="7"/>
  <c r="AY612" i="7"/>
  <c r="AX612" i="7"/>
  <c r="AW612" i="7"/>
  <c r="AV612" i="7"/>
  <c r="I612" i="7"/>
  <c r="H612" i="7"/>
  <c r="BK611" i="7"/>
  <c r="BJ611" i="7"/>
  <c r="BI611" i="7"/>
  <c r="BH611" i="7"/>
  <c r="BG611" i="7"/>
  <c r="BF611" i="7"/>
  <c r="BE611" i="7"/>
  <c r="BD611" i="7"/>
  <c r="BC611" i="7"/>
  <c r="BB611" i="7"/>
  <c r="BA611" i="7"/>
  <c r="AZ611" i="7"/>
  <c r="AY611" i="7"/>
  <c r="AX611" i="7"/>
  <c r="AW611" i="7"/>
  <c r="AV611" i="7"/>
  <c r="I611" i="7"/>
  <c r="H611" i="7"/>
  <c r="BK610" i="7"/>
  <c r="BJ610" i="7"/>
  <c r="BI610" i="7"/>
  <c r="BH610" i="7"/>
  <c r="BG610" i="7"/>
  <c r="BF610" i="7"/>
  <c r="BE610" i="7"/>
  <c r="BD610" i="7"/>
  <c r="BC610" i="7"/>
  <c r="BB610" i="7"/>
  <c r="BA610" i="7"/>
  <c r="AZ610" i="7"/>
  <c r="AY610" i="7"/>
  <c r="AX610" i="7"/>
  <c r="AW610" i="7"/>
  <c r="AV610" i="7"/>
  <c r="I610" i="7"/>
  <c r="H610" i="7"/>
  <c r="BK609" i="7"/>
  <c r="BJ609" i="7"/>
  <c r="BI609" i="7"/>
  <c r="BH609" i="7"/>
  <c r="BG609" i="7"/>
  <c r="BF609" i="7"/>
  <c r="BE609" i="7"/>
  <c r="BD609" i="7"/>
  <c r="BC609" i="7"/>
  <c r="BB609" i="7"/>
  <c r="BA609" i="7"/>
  <c r="AZ609" i="7"/>
  <c r="AY609" i="7"/>
  <c r="AX609" i="7"/>
  <c r="AW609" i="7"/>
  <c r="AV609" i="7"/>
  <c r="I609" i="7"/>
  <c r="H609" i="7"/>
  <c r="BK608" i="7"/>
  <c r="BJ608" i="7"/>
  <c r="BI608" i="7"/>
  <c r="BH608" i="7"/>
  <c r="BG608" i="7"/>
  <c r="BF608" i="7"/>
  <c r="BE608" i="7"/>
  <c r="BD608" i="7"/>
  <c r="BC608" i="7"/>
  <c r="BB608" i="7"/>
  <c r="BA608" i="7"/>
  <c r="AZ608" i="7"/>
  <c r="AY608" i="7"/>
  <c r="AX608" i="7"/>
  <c r="AW608" i="7"/>
  <c r="AV608" i="7"/>
  <c r="I608" i="7"/>
  <c r="H608" i="7"/>
  <c r="BK607" i="7"/>
  <c r="BJ607" i="7"/>
  <c r="BI607" i="7"/>
  <c r="BH607" i="7"/>
  <c r="BG607" i="7"/>
  <c r="BF607" i="7"/>
  <c r="BE607" i="7"/>
  <c r="BD607" i="7"/>
  <c r="BC607" i="7"/>
  <c r="BB607" i="7"/>
  <c r="BA607" i="7"/>
  <c r="AZ607" i="7"/>
  <c r="AY607" i="7"/>
  <c r="AX607" i="7"/>
  <c r="AW607" i="7"/>
  <c r="AV607" i="7"/>
  <c r="I607" i="7"/>
  <c r="H607" i="7"/>
  <c r="BK606" i="7"/>
  <c r="BJ606" i="7"/>
  <c r="BI606" i="7"/>
  <c r="BH606" i="7"/>
  <c r="BG606" i="7"/>
  <c r="BF606" i="7"/>
  <c r="BE606" i="7"/>
  <c r="BD606" i="7"/>
  <c r="BC606" i="7"/>
  <c r="BB606" i="7"/>
  <c r="BA606" i="7"/>
  <c r="AZ606" i="7"/>
  <c r="AY606" i="7"/>
  <c r="AX606" i="7"/>
  <c r="AW606" i="7"/>
  <c r="AV606" i="7"/>
  <c r="I606" i="7"/>
  <c r="H606" i="7"/>
  <c r="BK605" i="7"/>
  <c r="BJ605" i="7"/>
  <c r="BI605" i="7"/>
  <c r="BH605" i="7"/>
  <c r="BG605" i="7"/>
  <c r="BF605" i="7"/>
  <c r="BE605" i="7"/>
  <c r="BD605" i="7"/>
  <c r="BC605" i="7"/>
  <c r="BB605" i="7"/>
  <c r="BA605" i="7"/>
  <c r="AZ605" i="7"/>
  <c r="AY605" i="7"/>
  <c r="AX605" i="7"/>
  <c r="AW605" i="7"/>
  <c r="AV605" i="7"/>
  <c r="I605" i="7"/>
  <c r="H605" i="7"/>
  <c r="BK604" i="7"/>
  <c r="BJ604" i="7"/>
  <c r="BI604" i="7"/>
  <c r="BH604" i="7"/>
  <c r="BG604" i="7"/>
  <c r="BF604" i="7"/>
  <c r="BE604" i="7"/>
  <c r="BD604" i="7"/>
  <c r="BC604" i="7"/>
  <c r="BB604" i="7"/>
  <c r="BA604" i="7"/>
  <c r="AZ604" i="7"/>
  <c r="AY604" i="7"/>
  <c r="AX604" i="7"/>
  <c r="AW604" i="7"/>
  <c r="AV604" i="7"/>
  <c r="I604" i="7"/>
  <c r="H604" i="7"/>
  <c r="BK603" i="7"/>
  <c r="BJ603" i="7"/>
  <c r="BI603" i="7"/>
  <c r="BH603" i="7"/>
  <c r="BG603" i="7"/>
  <c r="BF603" i="7"/>
  <c r="BE603" i="7"/>
  <c r="BD603" i="7"/>
  <c r="BC603" i="7"/>
  <c r="BB603" i="7"/>
  <c r="BA603" i="7"/>
  <c r="AZ603" i="7"/>
  <c r="AY603" i="7"/>
  <c r="AX603" i="7"/>
  <c r="AW603" i="7"/>
  <c r="AV603" i="7"/>
  <c r="I603" i="7"/>
  <c r="H603" i="7"/>
  <c r="BK602" i="7"/>
  <c r="BJ602" i="7"/>
  <c r="BI602" i="7"/>
  <c r="BH602" i="7"/>
  <c r="BG602" i="7"/>
  <c r="BF602" i="7"/>
  <c r="BE602" i="7"/>
  <c r="BD602" i="7"/>
  <c r="BC602" i="7"/>
  <c r="BB602" i="7"/>
  <c r="BA602" i="7"/>
  <c r="AZ602" i="7"/>
  <c r="AY602" i="7"/>
  <c r="AX602" i="7"/>
  <c r="AW602" i="7"/>
  <c r="AV602" i="7"/>
  <c r="I602" i="7"/>
  <c r="H602" i="7"/>
  <c r="BK601" i="7"/>
  <c r="BJ601" i="7"/>
  <c r="BI601" i="7"/>
  <c r="BH601" i="7"/>
  <c r="BG601" i="7"/>
  <c r="BF601" i="7"/>
  <c r="BE601" i="7"/>
  <c r="BD601" i="7"/>
  <c r="BC601" i="7"/>
  <c r="BB601" i="7"/>
  <c r="BA601" i="7"/>
  <c r="AZ601" i="7"/>
  <c r="AY601" i="7"/>
  <c r="AX601" i="7"/>
  <c r="AW601" i="7"/>
  <c r="AV601" i="7"/>
  <c r="I601" i="7"/>
  <c r="H601" i="7"/>
  <c r="BK600" i="7"/>
  <c r="BJ600" i="7"/>
  <c r="BI600" i="7"/>
  <c r="BH600" i="7"/>
  <c r="BG600" i="7"/>
  <c r="BF600" i="7"/>
  <c r="BE600" i="7"/>
  <c r="BD600" i="7"/>
  <c r="BC600" i="7"/>
  <c r="BB600" i="7"/>
  <c r="BA600" i="7"/>
  <c r="AZ600" i="7"/>
  <c r="AY600" i="7"/>
  <c r="AX600" i="7"/>
  <c r="AW600" i="7"/>
  <c r="AV600" i="7"/>
  <c r="I600" i="7"/>
  <c r="H600" i="7"/>
  <c r="BK599" i="7"/>
  <c r="BJ599" i="7"/>
  <c r="BI599" i="7"/>
  <c r="BH599" i="7"/>
  <c r="BG599" i="7"/>
  <c r="BF599" i="7"/>
  <c r="BE599" i="7"/>
  <c r="BD599" i="7"/>
  <c r="BC599" i="7"/>
  <c r="BB599" i="7"/>
  <c r="BA599" i="7"/>
  <c r="AZ599" i="7"/>
  <c r="AY599" i="7"/>
  <c r="AX599" i="7"/>
  <c r="AW599" i="7"/>
  <c r="AV599" i="7"/>
  <c r="I599" i="7"/>
  <c r="H599" i="7"/>
  <c r="BK598" i="7"/>
  <c r="BJ598" i="7"/>
  <c r="BI598" i="7"/>
  <c r="BH598" i="7"/>
  <c r="BG598" i="7"/>
  <c r="BF598" i="7"/>
  <c r="BE598" i="7"/>
  <c r="BD598" i="7"/>
  <c r="BC598" i="7"/>
  <c r="BB598" i="7"/>
  <c r="BA598" i="7"/>
  <c r="AZ598" i="7"/>
  <c r="AY598" i="7"/>
  <c r="AX598" i="7"/>
  <c r="AW598" i="7"/>
  <c r="AV598" i="7"/>
  <c r="I598" i="7"/>
  <c r="H598" i="7"/>
  <c r="BK597" i="7"/>
  <c r="BJ597" i="7"/>
  <c r="BI597" i="7"/>
  <c r="BH597" i="7"/>
  <c r="BG597" i="7"/>
  <c r="BF597" i="7"/>
  <c r="BE597" i="7"/>
  <c r="BD597" i="7"/>
  <c r="BC597" i="7"/>
  <c r="BB597" i="7"/>
  <c r="BA597" i="7"/>
  <c r="AZ597" i="7"/>
  <c r="AY597" i="7"/>
  <c r="AX597" i="7"/>
  <c r="AW597" i="7"/>
  <c r="AV597" i="7"/>
  <c r="I597" i="7"/>
  <c r="H597" i="7"/>
  <c r="BK596" i="7"/>
  <c r="BJ596" i="7"/>
  <c r="BI596" i="7"/>
  <c r="BH596" i="7"/>
  <c r="BG596" i="7"/>
  <c r="BF596" i="7"/>
  <c r="BE596" i="7"/>
  <c r="BD596" i="7"/>
  <c r="BC596" i="7"/>
  <c r="BB596" i="7"/>
  <c r="BA596" i="7"/>
  <c r="AZ596" i="7"/>
  <c r="AY596" i="7"/>
  <c r="AX596" i="7"/>
  <c r="AW596" i="7"/>
  <c r="AV596" i="7"/>
  <c r="I596" i="7"/>
  <c r="H596" i="7"/>
  <c r="BK595" i="7"/>
  <c r="BJ595" i="7"/>
  <c r="BI595" i="7"/>
  <c r="BH595" i="7"/>
  <c r="BG595" i="7"/>
  <c r="BF595" i="7"/>
  <c r="BE595" i="7"/>
  <c r="BD595" i="7"/>
  <c r="BC595" i="7"/>
  <c r="BB595" i="7"/>
  <c r="BA595" i="7"/>
  <c r="AZ595" i="7"/>
  <c r="AY595" i="7"/>
  <c r="AX595" i="7"/>
  <c r="AW595" i="7"/>
  <c r="AV595" i="7"/>
  <c r="I595" i="7"/>
  <c r="H595" i="7"/>
  <c r="BK594" i="7"/>
  <c r="BJ594" i="7"/>
  <c r="BI594" i="7"/>
  <c r="BH594" i="7"/>
  <c r="BG594" i="7"/>
  <c r="BF594" i="7"/>
  <c r="BE594" i="7"/>
  <c r="BD594" i="7"/>
  <c r="BC594" i="7"/>
  <c r="BB594" i="7"/>
  <c r="BA594" i="7"/>
  <c r="AZ594" i="7"/>
  <c r="AY594" i="7"/>
  <c r="AX594" i="7"/>
  <c r="AW594" i="7"/>
  <c r="AV594" i="7"/>
  <c r="I594" i="7"/>
  <c r="H594" i="7"/>
  <c r="BK593" i="7"/>
  <c r="BJ593" i="7"/>
  <c r="BI593" i="7"/>
  <c r="BH593" i="7"/>
  <c r="BG593" i="7"/>
  <c r="BF593" i="7"/>
  <c r="BE593" i="7"/>
  <c r="BD593" i="7"/>
  <c r="BC593" i="7"/>
  <c r="BB593" i="7"/>
  <c r="BA593" i="7"/>
  <c r="AZ593" i="7"/>
  <c r="AY593" i="7"/>
  <c r="AX593" i="7"/>
  <c r="AW593" i="7"/>
  <c r="AV593" i="7"/>
  <c r="I593" i="7"/>
  <c r="H593" i="7"/>
  <c r="BK592" i="7"/>
  <c r="BJ592" i="7"/>
  <c r="BI592" i="7"/>
  <c r="BH592" i="7"/>
  <c r="BG592" i="7"/>
  <c r="BF592" i="7"/>
  <c r="BE592" i="7"/>
  <c r="BD592" i="7"/>
  <c r="BC592" i="7"/>
  <c r="BB592" i="7"/>
  <c r="BA592" i="7"/>
  <c r="AZ592" i="7"/>
  <c r="AY592" i="7"/>
  <c r="AX592" i="7"/>
  <c r="AW592" i="7"/>
  <c r="AV592" i="7"/>
  <c r="I592" i="7"/>
  <c r="H592" i="7"/>
  <c r="BK591" i="7"/>
  <c r="BJ591" i="7"/>
  <c r="BI591" i="7"/>
  <c r="BH591" i="7"/>
  <c r="BG591" i="7"/>
  <c r="BF591" i="7"/>
  <c r="BE591" i="7"/>
  <c r="BD591" i="7"/>
  <c r="BC591" i="7"/>
  <c r="BB591" i="7"/>
  <c r="BA591" i="7"/>
  <c r="AZ591" i="7"/>
  <c r="AY591" i="7"/>
  <c r="AX591" i="7"/>
  <c r="AW591" i="7"/>
  <c r="AV591" i="7"/>
  <c r="I591" i="7"/>
  <c r="H591" i="7"/>
  <c r="BK590" i="7"/>
  <c r="BJ590" i="7"/>
  <c r="BI590" i="7"/>
  <c r="BH590" i="7"/>
  <c r="BG590" i="7"/>
  <c r="BF590" i="7"/>
  <c r="BE590" i="7"/>
  <c r="BD590" i="7"/>
  <c r="BC590" i="7"/>
  <c r="BB590" i="7"/>
  <c r="BA590" i="7"/>
  <c r="AZ590" i="7"/>
  <c r="AY590" i="7"/>
  <c r="AX590" i="7"/>
  <c r="AW590" i="7"/>
  <c r="AV590" i="7"/>
  <c r="I590" i="7"/>
  <c r="H590" i="7"/>
  <c r="BK589" i="7"/>
  <c r="BJ589" i="7"/>
  <c r="BI589" i="7"/>
  <c r="BH589" i="7"/>
  <c r="BG589" i="7"/>
  <c r="BF589" i="7"/>
  <c r="BE589" i="7"/>
  <c r="BD589" i="7"/>
  <c r="BC589" i="7"/>
  <c r="BB589" i="7"/>
  <c r="BA589" i="7"/>
  <c r="AZ589" i="7"/>
  <c r="AY589" i="7"/>
  <c r="AX589" i="7"/>
  <c r="AW589" i="7"/>
  <c r="AV589" i="7"/>
  <c r="I589" i="7"/>
  <c r="H589" i="7"/>
  <c r="BK588" i="7"/>
  <c r="BJ588" i="7"/>
  <c r="BI588" i="7"/>
  <c r="BH588" i="7"/>
  <c r="BG588" i="7"/>
  <c r="BF588" i="7"/>
  <c r="BE588" i="7"/>
  <c r="BD588" i="7"/>
  <c r="BC588" i="7"/>
  <c r="BB588" i="7"/>
  <c r="BA588" i="7"/>
  <c r="AZ588" i="7"/>
  <c r="AY588" i="7"/>
  <c r="AX588" i="7"/>
  <c r="AW588" i="7"/>
  <c r="AV588" i="7"/>
  <c r="I588" i="7"/>
  <c r="H588" i="7"/>
  <c r="BK587" i="7"/>
  <c r="BJ587" i="7"/>
  <c r="BI587" i="7"/>
  <c r="BH587" i="7"/>
  <c r="BG587" i="7"/>
  <c r="BF587" i="7"/>
  <c r="BE587" i="7"/>
  <c r="BD587" i="7"/>
  <c r="BC587" i="7"/>
  <c r="BB587" i="7"/>
  <c r="BA587" i="7"/>
  <c r="AZ587" i="7"/>
  <c r="AY587" i="7"/>
  <c r="AX587" i="7"/>
  <c r="AW587" i="7"/>
  <c r="AV587" i="7"/>
  <c r="I587" i="7"/>
  <c r="H587" i="7"/>
  <c r="BK586" i="7"/>
  <c r="BJ586" i="7"/>
  <c r="BI586" i="7"/>
  <c r="BH586" i="7"/>
  <c r="BG586" i="7"/>
  <c r="BF586" i="7"/>
  <c r="BE586" i="7"/>
  <c r="BD586" i="7"/>
  <c r="BC586" i="7"/>
  <c r="BB586" i="7"/>
  <c r="BA586" i="7"/>
  <c r="AZ586" i="7"/>
  <c r="AY586" i="7"/>
  <c r="AX586" i="7"/>
  <c r="AW586" i="7"/>
  <c r="AV586" i="7"/>
  <c r="I586" i="7"/>
  <c r="H586" i="7"/>
  <c r="BK585" i="7"/>
  <c r="BJ585" i="7"/>
  <c r="BI585" i="7"/>
  <c r="BH585" i="7"/>
  <c r="BG585" i="7"/>
  <c r="BF585" i="7"/>
  <c r="BE585" i="7"/>
  <c r="BD585" i="7"/>
  <c r="BC585" i="7"/>
  <c r="BB585" i="7"/>
  <c r="BA585" i="7"/>
  <c r="AZ585" i="7"/>
  <c r="AY585" i="7"/>
  <c r="AX585" i="7"/>
  <c r="AW585" i="7"/>
  <c r="AV585" i="7"/>
  <c r="I585" i="7"/>
  <c r="H585" i="7"/>
  <c r="BK584" i="7"/>
  <c r="BJ584" i="7"/>
  <c r="BI584" i="7"/>
  <c r="BH584" i="7"/>
  <c r="BG584" i="7"/>
  <c r="BF584" i="7"/>
  <c r="BE584" i="7"/>
  <c r="BD584" i="7"/>
  <c r="BC584" i="7"/>
  <c r="BB584" i="7"/>
  <c r="BA584" i="7"/>
  <c r="AZ584" i="7"/>
  <c r="AY584" i="7"/>
  <c r="AX584" i="7"/>
  <c r="AW584" i="7"/>
  <c r="AV584" i="7"/>
  <c r="I584" i="7"/>
  <c r="H584" i="7"/>
  <c r="BK583" i="7"/>
  <c r="BJ583" i="7"/>
  <c r="BI583" i="7"/>
  <c r="BH583" i="7"/>
  <c r="BG583" i="7"/>
  <c r="BF583" i="7"/>
  <c r="BE583" i="7"/>
  <c r="BD583" i="7"/>
  <c r="BC583" i="7"/>
  <c r="BB583" i="7"/>
  <c r="BA583" i="7"/>
  <c r="AZ583" i="7"/>
  <c r="AY583" i="7"/>
  <c r="AX583" i="7"/>
  <c r="AW583" i="7"/>
  <c r="AV583" i="7"/>
  <c r="I583" i="7"/>
  <c r="H583" i="7"/>
  <c r="BK582" i="7"/>
  <c r="BJ582" i="7"/>
  <c r="BI582" i="7"/>
  <c r="BH582" i="7"/>
  <c r="BG582" i="7"/>
  <c r="BF582" i="7"/>
  <c r="BE582" i="7"/>
  <c r="BD582" i="7"/>
  <c r="BC582" i="7"/>
  <c r="BB582" i="7"/>
  <c r="BA582" i="7"/>
  <c r="AZ582" i="7"/>
  <c r="AY582" i="7"/>
  <c r="AX582" i="7"/>
  <c r="AW582" i="7"/>
  <c r="AV582" i="7"/>
  <c r="I582" i="7"/>
  <c r="H582" i="7"/>
  <c r="BK581" i="7"/>
  <c r="BJ581" i="7"/>
  <c r="BI581" i="7"/>
  <c r="BH581" i="7"/>
  <c r="BG581" i="7"/>
  <c r="BF581" i="7"/>
  <c r="BE581" i="7"/>
  <c r="BD581" i="7"/>
  <c r="BC581" i="7"/>
  <c r="BB581" i="7"/>
  <c r="BA581" i="7"/>
  <c r="AZ581" i="7"/>
  <c r="AY581" i="7"/>
  <c r="AX581" i="7"/>
  <c r="AW581" i="7"/>
  <c r="AV581" i="7"/>
  <c r="I581" i="7"/>
  <c r="H581" i="7"/>
  <c r="BK580" i="7"/>
  <c r="BJ580" i="7"/>
  <c r="BI580" i="7"/>
  <c r="BH580" i="7"/>
  <c r="BG580" i="7"/>
  <c r="BF580" i="7"/>
  <c r="BE580" i="7"/>
  <c r="BD580" i="7"/>
  <c r="BC580" i="7"/>
  <c r="BB580" i="7"/>
  <c r="BA580" i="7"/>
  <c r="AZ580" i="7"/>
  <c r="AY580" i="7"/>
  <c r="AX580" i="7"/>
  <c r="AW580" i="7"/>
  <c r="AV580" i="7"/>
  <c r="I580" i="7"/>
  <c r="H580" i="7"/>
  <c r="BK579" i="7"/>
  <c r="BJ579" i="7"/>
  <c r="BI579" i="7"/>
  <c r="BH579" i="7"/>
  <c r="BG579" i="7"/>
  <c r="BF579" i="7"/>
  <c r="BE579" i="7"/>
  <c r="BD579" i="7"/>
  <c r="BC579" i="7"/>
  <c r="BB579" i="7"/>
  <c r="BA579" i="7"/>
  <c r="AZ579" i="7"/>
  <c r="AY579" i="7"/>
  <c r="AX579" i="7"/>
  <c r="AW579" i="7"/>
  <c r="AV579" i="7"/>
  <c r="I579" i="7"/>
  <c r="H579" i="7"/>
  <c r="BK578" i="7"/>
  <c r="BJ578" i="7"/>
  <c r="BI578" i="7"/>
  <c r="BH578" i="7"/>
  <c r="BG578" i="7"/>
  <c r="BF578" i="7"/>
  <c r="BE578" i="7"/>
  <c r="BD578" i="7"/>
  <c r="BC578" i="7"/>
  <c r="BB578" i="7"/>
  <c r="BA578" i="7"/>
  <c r="AZ578" i="7"/>
  <c r="AY578" i="7"/>
  <c r="AX578" i="7"/>
  <c r="AW578" i="7"/>
  <c r="AV578" i="7"/>
  <c r="I578" i="7"/>
  <c r="H578" i="7"/>
  <c r="BK577" i="7"/>
  <c r="BJ577" i="7"/>
  <c r="BI577" i="7"/>
  <c r="BH577" i="7"/>
  <c r="BG577" i="7"/>
  <c r="BF577" i="7"/>
  <c r="BE577" i="7"/>
  <c r="BD577" i="7"/>
  <c r="BC577" i="7"/>
  <c r="BB577" i="7"/>
  <c r="BA577" i="7"/>
  <c r="AZ577" i="7"/>
  <c r="AY577" i="7"/>
  <c r="AX577" i="7"/>
  <c r="AW577" i="7"/>
  <c r="AV577" i="7"/>
  <c r="I577" i="7"/>
  <c r="H577" i="7"/>
  <c r="BK576" i="7"/>
  <c r="BJ576" i="7"/>
  <c r="BI576" i="7"/>
  <c r="BH576" i="7"/>
  <c r="BG576" i="7"/>
  <c r="BF576" i="7"/>
  <c r="BE576" i="7"/>
  <c r="BD576" i="7"/>
  <c r="BC576" i="7"/>
  <c r="BB576" i="7"/>
  <c r="BA576" i="7"/>
  <c r="AZ576" i="7"/>
  <c r="AY576" i="7"/>
  <c r="AX576" i="7"/>
  <c r="AW576" i="7"/>
  <c r="AV576" i="7"/>
  <c r="I576" i="7"/>
  <c r="H576" i="7"/>
  <c r="BK575" i="7"/>
  <c r="BJ575" i="7"/>
  <c r="BI575" i="7"/>
  <c r="BH575" i="7"/>
  <c r="BG575" i="7"/>
  <c r="BF575" i="7"/>
  <c r="BE575" i="7"/>
  <c r="BD575" i="7"/>
  <c r="BC575" i="7"/>
  <c r="BB575" i="7"/>
  <c r="BA575" i="7"/>
  <c r="AZ575" i="7"/>
  <c r="AY575" i="7"/>
  <c r="AX575" i="7"/>
  <c r="AW575" i="7"/>
  <c r="AV575" i="7"/>
  <c r="I575" i="7"/>
  <c r="H575" i="7"/>
  <c r="BK574" i="7"/>
  <c r="BJ574" i="7"/>
  <c r="BI574" i="7"/>
  <c r="BH574" i="7"/>
  <c r="BG574" i="7"/>
  <c r="BF574" i="7"/>
  <c r="BE574" i="7"/>
  <c r="BD574" i="7"/>
  <c r="BC574" i="7"/>
  <c r="BB574" i="7"/>
  <c r="BA574" i="7"/>
  <c r="AZ574" i="7"/>
  <c r="AY574" i="7"/>
  <c r="AX574" i="7"/>
  <c r="AW574" i="7"/>
  <c r="AV574" i="7"/>
  <c r="I574" i="7"/>
  <c r="H574" i="7"/>
  <c r="BK573" i="7"/>
  <c r="BJ573" i="7"/>
  <c r="BI573" i="7"/>
  <c r="BH573" i="7"/>
  <c r="BG573" i="7"/>
  <c r="BF573" i="7"/>
  <c r="BE573" i="7"/>
  <c r="BD573" i="7"/>
  <c r="BC573" i="7"/>
  <c r="BB573" i="7"/>
  <c r="BA573" i="7"/>
  <c r="AZ573" i="7"/>
  <c r="AY573" i="7"/>
  <c r="AX573" i="7"/>
  <c r="AW573" i="7"/>
  <c r="AV573" i="7"/>
  <c r="I573" i="7"/>
  <c r="H573" i="7"/>
  <c r="BK572" i="7"/>
  <c r="BJ572" i="7"/>
  <c r="BI572" i="7"/>
  <c r="BH572" i="7"/>
  <c r="BG572" i="7"/>
  <c r="BF572" i="7"/>
  <c r="BE572" i="7"/>
  <c r="BD572" i="7"/>
  <c r="BC572" i="7"/>
  <c r="BB572" i="7"/>
  <c r="BA572" i="7"/>
  <c r="AZ572" i="7"/>
  <c r="AY572" i="7"/>
  <c r="AX572" i="7"/>
  <c r="AW572" i="7"/>
  <c r="AV572" i="7"/>
  <c r="I572" i="7"/>
  <c r="H572" i="7"/>
  <c r="BK571" i="7"/>
  <c r="BJ571" i="7"/>
  <c r="BI571" i="7"/>
  <c r="BH571" i="7"/>
  <c r="BG571" i="7"/>
  <c r="BF571" i="7"/>
  <c r="BE571" i="7"/>
  <c r="BD571" i="7"/>
  <c r="BC571" i="7"/>
  <c r="BB571" i="7"/>
  <c r="BA571" i="7"/>
  <c r="AZ571" i="7"/>
  <c r="AY571" i="7"/>
  <c r="AX571" i="7"/>
  <c r="AW571" i="7"/>
  <c r="AV571" i="7"/>
  <c r="I571" i="7"/>
  <c r="H571" i="7"/>
  <c r="BK570" i="7"/>
  <c r="BJ570" i="7"/>
  <c r="BI570" i="7"/>
  <c r="BH570" i="7"/>
  <c r="BG570" i="7"/>
  <c r="BF570" i="7"/>
  <c r="BE570" i="7"/>
  <c r="BD570" i="7"/>
  <c r="BC570" i="7"/>
  <c r="BB570" i="7"/>
  <c r="BA570" i="7"/>
  <c r="AZ570" i="7"/>
  <c r="AY570" i="7"/>
  <c r="AX570" i="7"/>
  <c r="AW570" i="7"/>
  <c r="AV570" i="7"/>
  <c r="I570" i="7"/>
  <c r="H570" i="7"/>
  <c r="BK569" i="7"/>
  <c r="BJ569" i="7"/>
  <c r="BI569" i="7"/>
  <c r="BH569" i="7"/>
  <c r="BG569" i="7"/>
  <c r="BF569" i="7"/>
  <c r="BE569" i="7"/>
  <c r="BD569" i="7"/>
  <c r="BC569" i="7"/>
  <c r="BB569" i="7"/>
  <c r="BA569" i="7"/>
  <c r="AZ569" i="7"/>
  <c r="AY569" i="7"/>
  <c r="AX569" i="7"/>
  <c r="AW569" i="7"/>
  <c r="AV569" i="7"/>
  <c r="I569" i="7"/>
  <c r="H569" i="7"/>
  <c r="BK568" i="7"/>
  <c r="BJ568" i="7"/>
  <c r="BI568" i="7"/>
  <c r="BH568" i="7"/>
  <c r="BG568" i="7"/>
  <c r="BF568" i="7"/>
  <c r="BE568" i="7"/>
  <c r="BD568" i="7"/>
  <c r="BC568" i="7"/>
  <c r="BB568" i="7"/>
  <c r="BA568" i="7"/>
  <c r="AZ568" i="7"/>
  <c r="AY568" i="7"/>
  <c r="AX568" i="7"/>
  <c r="AW568" i="7"/>
  <c r="AV568" i="7"/>
  <c r="I568" i="7"/>
  <c r="H568" i="7"/>
  <c r="BK567" i="7"/>
  <c r="BJ567" i="7"/>
  <c r="BI567" i="7"/>
  <c r="BH567" i="7"/>
  <c r="BG567" i="7"/>
  <c r="BF567" i="7"/>
  <c r="BE567" i="7"/>
  <c r="BD567" i="7"/>
  <c r="BC567" i="7"/>
  <c r="BB567" i="7"/>
  <c r="BA567" i="7"/>
  <c r="AZ567" i="7"/>
  <c r="AY567" i="7"/>
  <c r="AX567" i="7"/>
  <c r="AW567" i="7"/>
  <c r="AV567" i="7"/>
  <c r="I567" i="7"/>
  <c r="H567" i="7"/>
  <c r="BK566" i="7"/>
  <c r="BJ566" i="7"/>
  <c r="BI566" i="7"/>
  <c r="BH566" i="7"/>
  <c r="BG566" i="7"/>
  <c r="BF566" i="7"/>
  <c r="BE566" i="7"/>
  <c r="BD566" i="7"/>
  <c r="BC566" i="7"/>
  <c r="BB566" i="7"/>
  <c r="BA566" i="7"/>
  <c r="AZ566" i="7"/>
  <c r="AY566" i="7"/>
  <c r="AX566" i="7"/>
  <c r="AW566" i="7"/>
  <c r="AV566" i="7"/>
  <c r="I566" i="7"/>
  <c r="H566" i="7"/>
  <c r="BK565" i="7"/>
  <c r="BJ565" i="7"/>
  <c r="BI565" i="7"/>
  <c r="BH565" i="7"/>
  <c r="BG565" i="7"/>
  <c r="BF565" i="7"/>
  <c r="BE565" i="7"/>
  <c r="BD565" i="7"/>
  <c r="BC565" i="7"/>
  <c r="BB565" i="7"/>
  <c r="BA565" i="7"/>
  <c r="AZ565" i="7"/>
  <c r="AY565" i="7"/>
  <c r="AX565" i="7"/>
  <c r="AW565" i="7"/>
  <c r="AV565" i="7"/>
  <c r="I565" i="7"/>
  <c r="H565" i="7"/>
  <c r="BK564" i="7"/>
  <c r="BJ564" i="7"/>
  <c r="BI564" i="7"/>
  <c r="BH564" i="7"/>
  <c r="BG564" i="7"/>
  <c r="BF564" i="7"/>
  <c r="BE564" i="7"/>
  <c r="BD564" i="7"/>
  <c r="BC564" i="7"/>
  <c r="BB564" i="7"/>
  <c r="BA564" i="7"/>
  <c r="AZ564" i="7"/>
  <c r="AY564" i="7"/>
  <c r="AX564" i="7"/>
  <c r="AW564" i="7"/>
  <c r="AV564" i="7"/>
  <c r="I564" i="7"/>
  <c r="H564" i="7"/>
  <c r="BK563" i="7"/>
  <c r="BJ563" i="7"/>
  <c r="BI563" i="7"/>
  <c r="BH563" i="7"/>
  <c r="BG563" i="7"/>
  <c r="BF563" i="7"/>
  <c r="BE563" i="7"/>
  <c r="BD563" i="7"/>
  <c r="BC563" i="7"/>
  <c r="BB563" i="7"/>
  <c r="BA563" i="7"/>
  <c r="AZ563" i="7"/>
  <c r="AY563" i="7"/>
  <c r="AX563" i="7"/>
  <c r="AW563" i="7"/>
  <c r="AV563" i="7"/>
  <c r="I563" i="7"/>
  <c r="H563" i="7"/>
  <c r="BK562" i="7"/>
  <c r="BJ562" i="7"/>
  <c r="BI562" i="7"/>
  <c r="BH562" i="7"/>
  <c r="BG562" i="7"/>
  <c r="BF562" i="7"/>
  <c r="BE562" i="7"/>
  <c r="BD562" i="7"/>
  <c r="BC562" i="7"/>
  <c r="BB562" i="7"/>
  <c r="BA562" i="7"/>
  <c r="AZ562" i="7"/>
  <c r="AY562" i="7"/>
  <c r="AX562" i="7"/>
  <c r="AW562" i="7"/>
  <c r="AV562" i="7"/>
  <c r="I562" i="7"/>
  <c r="H562" i="7"/>
  <c r="BK561" i="7"/>
  <c r="BJ561" i="7"/>
  <c r="BI561" i="7"/>
  <c r="BH561" i="7"/>
  <c r="BG561" i="7"/>
  <c r="BF561" i="7"/>
  <c r="BE561" i="7"/>
  <c r="BD561" i="7"/>
  <c r="BC561" i="7"/>
  <c r="BB561" i="7"/>
  <c r="BA561" i="7"/>
  <c r="AZ561" i="7"/>
  <c r="AY561" i="7"/>
  <c r="AX561" i="7"/>
  <c r="AW561" i="7"/>
  <c r="AV561" i="7"/>
  <c r="I561" i="7"/>
  <c r="H561" i="7"/>
  <c r="BK560" i="7"/>
  <c r="BJ560" i="7"/>
  <c r="BI560" i="7"/>
  <c r="BH560" i="7"/>
  <c r="BG560" i="7"/>
  <c r="BF560" i="7"/>
  <c r="BE560" i="7"/>
  <c r="BD560" i="7"/>
  <c r="BC560" i="7"/>
  <c r="BB560" i="7"/>
  <c r="BA560" i="7"/>
  <c r="AZ560" i="7"/>
  <c r="AY560" i="7"/>
  <c r="AX560" i="7"/>
  <c r="AW560" i="7"/>
  <c r="AV560" i="7"/>
  <c r="I560" i="7"/>
  <c r="H560" i="7"/>
  <c r="BK559" i="7"/>
  <c r="BJ559" i="7"/>
  <c r="BI559" i="7"/>
  <c r="BH559" i="7"/>
  <c r="BG559" i="7"/>
  <c r="BF559" i="7"/>
  <c r="BE559" i="7"/>
  <c r="BD559" i="7"/>
  <c r="BC559" i="7"/>
  <c r="BB559" i="7"/>
  <c r="BA559" i="7"/>
  <c r="AZ559" i="7"/>
  <c r="AY559" i="7"/>
  <c r="AX559" i="7"/>
  <c r="AW559" i="7"/>
  <c r="AV559" i="7"/>
  <c r="I559" i="7"/>
  <c r="H559" i="7"/>
  <c r="BK558" i="7"/>
  <c r="BJ558" i="7"/>
  <c r="BI558" i="7"/>
  <c r="BH558" i="7"/>
  <c r="BG558" i="7"/>
  <c r="BF558" i="7"/>
  <c r="BE558" i="7"/>
  <c r="BD558" i="7"/>
  <c r="BC558" i="7"/>
  <c r="BB558" i="7"/>
  <c r="BA558" i="7"/>
  <c r="AZ558" i="7"/>
  <c r="AY558" i="7"/>
  <c r="AX558" i="7"/>
  <c r="AW558" i="7"/>
  <c r="AV558" i="7"/>
  <c r="I558" i="7"/>
  <c r="H558" i="7"/>
  <c r="BK557" i="7"/>
  <c r="BJ557" i="7"/>
  <c r="BI557" i="7"/>
  <c r="BH557" i="7"/>
  <c r="BG557" i="7"/>
  <c r="BF557" i="7"/>
  <c r="BE557" i="7"/>
  <c r="BD557" i="7"/>
  <c r="BC557" i="7"/>
  <c r="BB557" i="7"/>
  <c r="BA557" i="7"/>
  <c r="AZ557" i="7"/>
  <c r="AY557" i="7"/>
  <c r="AX557" i="7"/>
  <c r="AW557" i="7"/>
  <c r="AV557" i="7"/>
  <c r="I557" i="7"/>
  <c r="H557" i="7"/>
  <c r="BK556" i="7"/>
  <c r="BJ556" i="7"/>
  <c r="BI556" i="7"/>
  <c r="BH556" i="7"/>
  <c r="BG556" i="7"/>
  <c r="BF556" i="7"/>
  <c r="BE556" i="7"/>
  <c r="BD556" i="7"/>
  <c r="BC556" i="7"/>
  <c r="BB556" i="7"/>
  <c r="BA556" i="7"/>
  <c r="AZ556" i="7"/>
  <c r="AY556" i="7"/>
  <c r="AX556" i="7"/>
  <c r="AW556" i="7"/>
  <c r="AV556" i="7"/>
  <c r="I556" i="7"/>
  <c r="H556" i="7"/>
  <c r="BK555" i="7"/>
  <c r="BJ555" i="7"/>
  <c r="BI555" i="7"/>
  <c r="BH555" i="7"/>
  <c r="BG555" i="7"/>
  <c r="BF555" i="7"/>
  <c r="BE555" i="7"/>
  <c r="BD555" i="7"/>
  <c r="BC555" i="7"/>
  <c r="BB555" i="7"/>
  <c r="BA555" i="7"/>
  <c r="AZ555" i="7"/>
  <c r="AY555" i="7"/>
  <c r="AX555" i="7"/>
  <c r="AW555" i="7"/>
  <c r="AV555" i="7"/>
  <c r="I555" i="7"/>
  <c r="H555" i="7"/>
  <c r="BK554" i="7"/>
  <c r="BJ554" i="7"/>
  <c r="BI554" i="7"/>
  <c r="BH554" i="7"/>
  <c r="BG554" i="7"/>
  <c r="BF554" i="7"/>
  <c r="BE554" i="7"/>
  <c r="BD554" i="7"/>
  <c r="BC554" i="7"/>
  <c r="BB554" i="7"/>
  <c r="BA554" i="7"/>
  <c r="AZ554" i="7"/>
  <c r="AY554" i="7"/>
  <c r="AX554" i="7"/>
  <c r="AW554" i="7"/>
  <c r="AV554" i="7"/>
  <c r="I554" i="7"/>
  <c r="H554" i="7"/>
  <c r="BK553" i="7"/>
  <c r="BJ553" i="7"/>
  <c r="BI553" i="7"/>
  <c r="BH553" i="7"/>
  <c r="BG553" i="7"/>
  <c r="BF553" i="7"/>
  <c r="BE553" i="7"/>
  <c r="BD553" i="7"/>
  <c r="BC553" i="7"/>
  <c r="BB553" i="7"/>
  <c r="BA553" i="7"/>
  <c r="AZ553" i="7"/>
  <c r="AY553" i="7"/>
  <c r="AX553" i="7"/>
  <c r="AW553" i="7"/>
  <c r="AV553" i="7"/>
  <c r="I553" i="7"/>
  <c r="H553" i="7"/>
  <c r="BK552" i="7"/>
  <c r="BJ552" i="7"/>
  <c r="BI552" i="7"/>
  <c r="BH552" i="7"/>
  <c r="BG552" i="7"/>
  <c r="BF552" i="7"/>
  <c r="BE552" i="7"/>
  <c r="BD552" i="7"/>
  <c r="BC552" i="7"/>
  <c r="BB552" i="7"/>
  <c r="BA552" i="7"/>
  <c r="AZ552" i="7"/>
  <c r="AY552" i="7"/>
  <c r="AX552" i="7"/>
  <c r="AW552" i="7"/>
  <c r="AV552" i="7"/>
  <c r="I552" i="7"/>
  <c r="H552" i="7"/>
  <c r="BK551" i="7"/>
  <c r="BJ551" i="7"/>
  <c r="BI551" i="7"/>
  <c r="BH551" i="7"/>
  <c r="BG551" i="7"/>
  <c r="BF551" i="7"/>
  <c r="BE551" i="7"/>
  <c r="BD551" i="7"/>
  <c r="BC551" i="7"/>
  <c r="BB551" i="7"/>
  <c r="BA551" i="7"/>
  <c r="AZ551" i="7"/>
  <c r="AY551" i="7"/>
  <c r="AX551" i="7"/>
  <c r="AW551" i="7"/>
  <c r="AV551" i="7"/>
  <c r="I551" i="7"/>
  <c r="H551" i="7"/>
  <c r="BK550" i="7"/>
  <c r="BJ550" i="7"/>
  <c r="BI550" i="7"/>
  <c r="BH550" i="7"/>
  <c r="BG550" i="7"/>
  <c r="BF550" i="7"/>
  <c r="BE550" i="7"/>
  <c r="BD550" i="7"/>
  <c r="BC550" i="7"/>
  <c r="BB550" i="7"/>
  <c r="BA550" i="7"/>
  <c r="AZ550" i="7"/>
  <c r="AY550" i="7"/>
  <c r="AX550" i="7"/>
  <c r="AW550" i="7"/>
  <c r="AV550" i="7"/>
  <c r="I550" i="7"/>
  <c r="H550" i="7"/>
  <c r="BK549" i="7"/>
  <c r="BJ549" i="7"/>
  <c r="BI549" i="7"/>
  <c r="BH549" i="7"/>
  <c r="BG549" i="7"/>
  <c r="BF549" i="7"/>
  <c r="BE549" i="7"/>
  <c r="BD549" i="7"/>
  <c r="BC549" i="7"/>
  <c r="BB549" i="7"/>
  <c r="BA549" i="7"/>
  <c r="AZ549" i="7"/>
  <c r="AY549" i="7"/>
  <c r="AX549" i="7"/>
  <c r="AW549" i="7"/>
  <c r="AV549" i="7"/>
  <c r="I549" i="7"/>
  <c r="H549" i="7"/>
  <c r="BK548" i="7"/>
  <c r="BJ548" i="7"/>
  <c r="BI548" i="7"/>
  <c r="BH548" i="7"/>
  <c r="BG548" i="7"/>
  <c r="BF548" i="7"/>
  <c r="BE548" i="7"/>
  <c r="BD548" i="7"/>
  <c r="BC548" i="7"/>
  <c r="BB548" i="7"/>
  <c r="BA548" i="7"/>
  <c r="AZ548" i="7"/>
  <c r="AY548" i="7"/>
  <c r="AX548" i="7"/>
  <c r="AW548" i="7"/>
  <c r="AV548" i="7"/>
  <c r="I548" i="7"/>
  <c r="H548" i="7"/>
  <c r="BK547" i="7"/>
  <c r="BJ547" i="7"/>
  <c r="BI547" i="7"/>
  <c r="BH547" i="7"/>
  <c r="BG547" i="7"/>
  <c r="BF547" i="7"/>
  <c r="BE547" i="7"/>
  <c r="BD547" i="7"/>
  <c r="BC547" i="7"/>
  <c r="BB547" i="7"/>
  <c r="BA547" i="7"/>
  <c r="AZ547" i="7"/>
  <c r="AY547" i="7"/>
  <c r="AX547" i="7"/>
  <c r="AW547" i="7"/>
  <c r="AV547" i="7"/>
  <c r="I547" i="7"/>
  <c r="H547" i="7"/>
  <c r="BK546" i="7"/>
  <c r="BJ546" i="7"/>
  <c r="BI546" i="7"/>
  <c r="BH546" i="7"/>
  <c r="BG546" i="7"/>
  <c r="BF546" i="7"/>
  <c r="BE546" i="7"/>
  <c r="BD546" i="7"/>
  <c r="BC546" i="7"/>
  <c r="BB546" i="7"/>
  <c r="BA546" i="7"/>
  <c r="AZ546" i="7"/>
  <c r="AY546" i="7"/>
  <c r="AX546" i="7"/>
  <c r="AW546" i="7"/>
  <c r="AV546" i="7"/>
  <c r="I546" i="7"/>
  <c r="H546" i="7"/>
  <c r="BK545" i="7"/>
  <c r="BJ545" i="7"/>
  <c r="BI545" i="7"/>
  <c r="BH545" i="7"/>
  <c r="BG545" i="7"/>
  <c r="BF545" i="7"/>
  <c r="BE545" i="7"/>
  <c r="BD545" i="7"/>
  <c r="BC545" i="7"/>
  <c r="BB545" i="7"/>
  <c r="BA545" i="7"/>
  <c r="AZ545" i="7"/>
  <c r="AY545" i="7"/>
  <c r="AX545" i="7"/>
  <c r="AW545" i="7"/>
  <c r="AV545" i="7"/>
  <c r="I545" i="7"/>
  <c r="H545" i="7"/>
  <c r="BK544" i="7"/>
  <c r="BJ544" i="7"/>
  <c r="BI544" i="7"/>
  <c r="BH544" i="7"/>
  <c r="BG544" i="7"/>
  <c r="BF544" i="7"/>
  <c r="BE544" i="7"/>
  <c r="BD544" i="7"/>
  <c r="BC544" i="7"/>
  <c r="BB544" i="7"/>
  <c r="BA544" i="7"/>
  <c r="AZ544" i="7"/>
  <c r="AY544" i="7"/>
  <c r="AX544" i="7"/>
  <c r="AW544" i="7"/>
  <c r="AV544" i="7"/>
  <c r="I544" i="7"/>
  <c r="H544" i="7"/>
  <c r="BK543" i="7"/>
  <c r="BJ543" i="7"/>
  <c r="BI543" i="7"/>
  <c r="BH543" i="7"/>
  <c r="BG543" i="7"/>
  <c r="BF543" i="7"/>
  <c r="BE543" i="7"/>
  <c r="BD543" i="7"/>
  <c r="BC543" i="7"/>
  <c r="BB543" i="7"/>
  <c r="BA543" i="7"/>
  <c r="AZ543" i="7"/>
  <c r="AY543" i="7"/>
  <c r="AX543" i="7"/>
  <c r="AW543" i="7"/>
  <c r="AV543" i="7"/>
  <c r="I543" i="7"/>
  <c r="H543" i="7"/>
  <c r="BK542" i="7"/>
  <c r="BJ542" i="7"/>
  <c r="BI542" i="7"/>
  <c r="BH542" i="7"/>
  <c r="BG542" i="7"/>
  <c r="BF542" i="7"/>
  <c r="BE542" i="7"/>
  <c r="BD542" i="7"/>
  <c r="BC542" i="7"/>
  <c r="BB542" i="7"/>
  <c r="BA542" i="7"/>
  <c r="AZ542" i="7"/>
  <c r="AY542" i="7"/>
  <c r="AX542" i="7"/>
  <c r="AW542" i="7"/>
  <c r="AV542" i="7"/>
  <c r="I542" i="7"/>
  <c r="H542" i="7"/>
  <c r="BK541" i="7"/>
  <c r="BJ541" i="7"/>
  <c r="BI541" i="7"/>
  <c r="BH541" i="7"/>
  <c r="BG541" i="7"/>
  <c r="BF541" i="7"/>
  <c r="BE541" i="7"/>
  <c r="BD541" i="7"/>
  <c r="BC541" i="7"/>
  <c r="BB541" i="7"/>
  <c r="BA541" i="7"/>
  <c r="AZ541" i="7"/>
  <c r="AY541" i="7"/>
  <c r="AX541" i="7"/>
  <c r="AW541" i="7"/>
  <c r="AV541" i="7"/>
  <c r="I541" i="7"/>
  <c r="H541" i="7"/>
  <c r="BK540" i="7"/>
  <c r="BJ540" i="7"/>
  <c r="BI540" i="7"/>
  <c r="BH540" i="7"/>
  <c r="BG540" i="7"/>
  <c r="BF540" i="7"/>
  <c r="BE540" i="7"/>
  <c r="BD540" i="7"/>
  <c r="BC540" i="7"/>
  <c r="BB540" i="7"/>
  <c r="BA540" i="7"/>
  <c r="AZ540" i="7"/>
  <c r="AY540" i="7"/>
  <c r="AX540" i="7"/>
  <c r="AW540" i="7"/>
  <c r="AV540" i="7"/>
  <c r="I540" i="7"/>
  <c r="H540" i="7"/>
  <c r="BK539" i="7"/>
  <c r="BJ539" i="7"/>
  <c r="BI539" i="7"/>
  <c r="BH539" i="7"/>
  <c r="BG539" i="7"/>
  <c r="BF539" i="7"/>
  <c r="BE539" i="7"/>
  <c r="BD539" i="7"/>
  <c r="BC539" i="7"/>
  <c r="BB539" i="7"/>
  <c r="BA539" i="7"/>
  <c r="AZ539" i="7"/>
  <c r="AY539" i="7"/>
  <c r="AX539" i="7"/>
  <c r="AW539" i="7"/>
  <c r="AV539" i="7"/>
  <c r="I539" i="7"/>
  <c r="H539" i="7"/>
  <c r="BK538" i="7"/>
  <c r="BJ538" i="7"/>
  <c r="BI538" i="7"/>
  <c r="BH538" i="7"/>
  <c r="BG538" i="7"/>
  <c r="BF538" i="7"/>
  <c r="BE538" i="7"/>
  <c r="BD538" i="7"/>
  <c r="BC538" i="7"/>
  <c r="BB538" i="7"/>
  <c r="BA538" i="7"/>
  <c r="AZ538" i="7"/>
  <c r="AY538" i="7"/>
  <c r="AX538" i="7"/>
  <c r="AW538" i="7"/>
  <c r="AV538" i="7"/>
  <c r="I538" i="7"/>
  <c r="H538" i="7"/>
  <c r="BK537" i="7"/>
  <c r="BJ537" i="7"/>
  <c r="BI537" i="7"/>
  <c r="BH537" i="7"/>
  <c r="BG537" i="7"/>
  <c r="BF537" i="7"/>
  <c r="BE537" i="7"/>
  <c r="BD537" i="7"/>
  <c r="BC537" i="7"/>
  <c r="BB537" i="7"/>
  <c r="BA537" i="7"/>
  <c r="AZ537" i="7"/>
  <c r="AY537" i="7"/>
  <c r="AX537" i="7"/>
  <c r="AW537" i="7"/>
  <c r="AV537" i="7"/>
  <c r="I537" i="7"/>
  <c r="H537" i="7"/>
  <c r="BK536" i="7"/>
  <c r="BJ536" i="7"/>
  <c r="BI536" i="7"/>
  <c r="BH536" i="7"/>
  <c r="BG536" i="7"/>
  <c r="BF536" i="7"/>
  <c r="BE536" i="7"/>
  <c r="BD536" i="7"/>
  <c r="BC536" i="7"/>
  <c r="BB536" i="7"/>
  <c r="BA536" i="7"/>
  <c r="AZ536" i="7"/>
  <c r="AY536" i="7"/>
  <c r="AX536" i="7"/>
  <c r="AW536" i="7"/>
  <c r="AV536" i="7"/>
  <c r="I536" i="7"/>
  <c r="H536" i="7"/>
  <c r="BK535" i="7"/>
  <c r="BJ535" i="7"/>
  <c r="BI535" i="7"/>
  <c r="BH535" i="7"/>
  <c r="BG535" i="7"/>
  <c r="BF535" i="7"/>
  <c r="BE535" i="7"/>
  <c r="BD535" i="7"/>
  <c r="BC535" i="7"/>
  <c r="BB535" i="7"/>
  <c r="BA535" i="7"/>
  <c r="AZ535" i="7"/>
  <c r="AY535" i="7"/>
  <c r="AX535" i="7"/>
  <c r="AW535" i="7"/>
  <c r="AV535" i="7"/>
  <c r="I535" i="7"/>
  <c r="H535" i="7"/>
  <c r="BK534" i="7"/>
  <c r="BJ534" i="7"/>
  <c r="BI534" i="7"/>
  <c r="BH534" i="7"/>
  <c r="BG534" i="7"/>
  <c r="BF534" i="7"/>
  <c r="BE534" i="7"/>
  <c r="BD534" i="7"/>
  <c r="BC534" i="7"/>
  <c r="BB534" i="7"/>
  <c r="BA534" i="7"/>
  <c r="AZ534" i="7"/>
  <c r="AY534" i="7"/>
  <c r="AX534" i="7"/>
  <c r="AW534" i="7"/>
  <c r="AV534" i="7"/>
  <c r="I534" i="7"/>
  <c r="H534" i="7"/>
  <c r="BK533" i="7"/>
  <c r="BJ533" i="7"/>
  <c r="BI533" i="7"/>
  <c r="BH533" i="7"/>
  <c r="BG533" i="7"/>
  <c r="BF533" i="7"/>
  <c r="BE533" i="7"/>
  <c r="BD533" i="7"/>
  <c r="BC533" i="7"/>
  <c r="BB533" i="7"/>
  <c r="BA533" i="7"/>
  <c r="AZ533" i="7"/>
  <c r="AY533" i="7"/>
  <c r="AX533" i="7"/>
  <c r="AW533" i="7"/>
  <c r="AV533" i="7"/>
  <c r="I533" i="7"/>
  <c r="H533" i="7"/>
  <c r="BK532" i="7"/>
  <c r="BJ532" i="7"/>
  <c r="BI532" i="7"/>
  <c r="BH532" i="7"/>
  <c r="BG532" i="7"/>
  <c r="BF532" i="7"/>
  <c r="BE532" i="7"/>
  <c r="BD532" i="7"/>
  <c r="BC532" i="7"/>
  <c r="BB532" i="7"/>
  <c r="BA532" i="7"/>
  <c r="AZ532" i="7"/>
  <c r="AY532" i="7"/>
  <c r="AX532" i="7"/>
  <c r="AW532" i="7"/>
  <c r="AV532" i="7"/>
  <c r="I532" i="7"/>
  <c r="H532" i="7"/>
  <c r="BK531" i="7"/>
  <c r="BJ531" i="7"/>
  <c r="BI531" i="7"/>
  <c r="BH531" i="7"/>
  <c r="BG531" i="7"/>
  <c r="BF531" i="7"/>
  <c r="BE531" i="7"/>
  <c r="BD531" i="7"/>
  <c r="BC531" i="7"/>
  <c r="BB531" i="7"/>
  <c r="BA531" i="7"/>
  <c r="AZ531" i="7"/>
  <c r="AY531" i="7"/>
  <c r="AX531" i="7"/>
  <c r="AW531" i="7"/>
  <c r="AV531" i="7"/>
  <c r="I531" i="7"/>
  <c r="H531" i="7"/>
  <c r="BK530" i="7"/>
  <c r="BJ530" i="7"/>
  <c r="BI530" i="7"/>
  <c r="BH530" i="7"/>
  <c r="BG530" i="7"/>
  <c r="BF530" i="7"/>
  <c r="BE530" i="7"/>
  <c r="BD530" i="7"/>
  <c r="BC530" i="7"/>
  <c r="BB530" i="7"/>
  <c r="BA530" i="7"/>
  <c r="AZ530" i="7"/>
  <c r="AY530" i="7"/>
  <c r="AX530" i="7"/>
  <c r="AW530" i="7"/>
  <c r="AV530" i="7"/>
  <c r="I530" i="7"/>
  <c r="H530" i="7"/>
  <c r="BK529" i="7"/>
  <c r="BJ529" i="7"/>
  <c r="BI529" i="7"/>
  <c r="BH529" i="7"/>
  <c r="BG529" i="7"/>
  <c r="BF529" i="7"/>
  <c r="BE529" i="7"/>
  <c r="BD529" i="7"/>
  <c r="BC529" i="7"/>
  <c r="BB529" i="7"/>
  <c r="BA529" i="7"/>
  <c r="AZ529" i="7"/>
  <c r="AY529" i="7"/>
  <c r="AX529" i="7"/>
  <c r="AW529" i="7"/>
  <c r="AV529" i="7"/>
  <c r="I529" i="7"/>
  <c r="H529" i="7"/>
  <c r="BK528" i="7"/>
  <c r="BJ528" i="7"/>
  <c r="BI528" i="7"/>
  <c r="BH528" i="7"/>
  <c r="BG528" i="7"/>
  <c r="BF528" i="7"/>
  <c r="BE528" i="7"/>
  <c r="BD528" i="7"/>
  <c r="BC528" i="7"/>
  <c r="BB528" i="7"/>
  <c r="BA528" i="7"/>
  <c r="AZ528" i="7"/>
  <c r="AY528" i="7"/>
  <c r="AX528" i="7"/>
  <c r="AW528" i="7"/>
  <c r="AV528" i="7"/>
  <c r="I528" i="7"/>
  <c r="H528" i="7"/>
  <c r="BK527" i="7"/>
  <c r="BJ527" i="7"/>
  <c r="BI527" i="7"/>
  <c r="BH527" i="7"/>
  <c r="BG527" i="7"/>
  <c r="BF527" i="7"/>
  <c r="BE527" i="7"/>
  <c r="BD527" i="7"/>
  <c r="BC527" i="7"/>
  <c r="BB527" i="7"/>
  <c r="BA527" i="7"/>
  <c r="AZ527" i="7"/>
  <c r="AY527" i="7"/>
  <c r="AX527" i="7"/>
  <c r="AW527" i="7"/>
  <c r="AV527" i="7"/>
  <c r="I527" i="7"/>
  <c r="H527" i="7"/>
  <c r="BK526" i="7"/>
  <c r="BJ526" i="7"/>
  <c r="BI526" i="7"/>
  <c r="BH526" i="7"/>
  <c r="BG526" i="7"/>
  <c r="BF526" i="7"/>
  <c r="BE526" i="7"/>
  <c r="BD526" i="7"/>
  <c r="BC526" i="7"/>
  <c r="BB526" i="7"/>
  <c r="BA526" i="7"/>
  <c r="AZ526" i="7"/>
  <c r="AY526" i="7"/>
  <c r="AX526" i="7"/>
  <c r="AW526" i="7"/>
  <c r="AV526" i="7"/>
  <c r="I526" i="7"/>
  <c r="H526" i="7"/>
  <c r="BK525" i="7"/>
  <c r="BJ525" i="7"/>
  <c r="BI525" i="7"/>
  <c r="BH525" i="7"/>
  <c r="BG525" i="7"/>
  <c r="BF525" i="7"/>
  <c r="BE525" i="7"/>
  <c r="BD525" i="7"/>
  <c r="BC525" i="7"/>
  <c r="BB525" i="7"/>
  <c r="BA525" i="7"/>
  <c r="AZ525" i="7"/>
  <c r="AY525" i="7"/>
  <c r="AX525" i="7"/>
  <c r="AW525" i="7"/>
  <c r="AV525" i="7"/>
  <c r="I525" i="7"/>
  <c r="H525" i="7"/>
  <c r="BK524" i="7"/>
  <c r="BJ524" i="7"/>
  <c r="BI524" i="7"/>
  <c r="BH524" i="7"/>
  <c r="BG524" i="7"/>
  <c r="BF524" i="7"/>
  <c r="BE524" i="7"/>
  <c r="BD524" i="7"/>
  <c r="BC524" i="7"/>
  <c r="BB524" i="7"/>
  <c r="BA524" i="7"/>
  <c r="AZ524" i="7"/>
  <c r="AY524" i="7"/>
  <c r="AX524" i="7"/>
  <c r="AW524" i="7"/>
  <c r="AV524" i="7"/>
  <c r="I524" i="7"/>
  <c r="H524" i="7"/>
  <c r="BK523" i="7"/>
  <c r="BJ523" i="7"/>
  <c r="BI523" i="7"/>
  <c r="BH523" i="7"/>
  <c r="BG523" i="7"/>
  <c r="BF523" i="7"/>
  <c r="BE523" i="7"/>
  <c r="BD523" i="7"/>
  <c r="BC523" i="7"/>
  <c r="BB523" i="7"/>
  <c r="BA523" i="7"/>
  <c r="AZ523" i="7"/>
  <c r="AY523" i="7"/>
  <c r="AX523" i="7"/>
  <c r="AW523" i="7"/>
  <c r="AV523" i="7"/>
  <c r="I523" i="7"/>
  <c r="H523" i="7"/>
  <c r="BK522" i="7"/>
  <c r="BJ522" i="7"/>
  <c r="BI522" i="7"/>
  <c r="BH522" i="7"/>
  <c r="BG522" i="7"/>
  <c r="BF522" i="7"/>
  <c r="BE522" i="7"/>
  <c r="BD522" i="7"/>
  <c r="BC522" i="7"/>
  <c r="BB522" i="7"/>
  <c r="BA522" i="7"/>
  <c r="AZ522" i="7"/>
  <c r="AY522" i="7"/>
  <c r="AX522" i="7"/>
  <c r="AW522" i="7"/>
  <c r="AV522" i="7"/>
  <c r="I522" i="7"/>
  <c r="H522" i="7"/>
  <c r="BK521" i="7"/>
  <c r="BJ521" i="7"/>
  <c r="BI521" i="7"/>
  <c r="BH521" i="7"/>
  <c r="BG521" i="7"/>
  <c r="BF521" i="7"/>
  <c r="BE521" i="7"/>
  <c r="BD521" i="7"/>
  <c r="BC521" i="7"/>
  <c r="BB521" i="7"/>
  <c r="BA521" i="7"/>
  <c r="AZ521" i="7"/>
  <c r="AY521" i="7"/>
  <c r="AX521" i="7"/>
  <c r="AW521" i="7"/>
  <c r="AV521" i="7"/>
  <c r="I521" i="7"/>
  <c r="H521" i="7"/>
  <c r="BK520" i="7"/>
  <c r="BJ520" i="7"/>
  <c r="BI520" i="7"/>
  <c r="BH520" i="7"/>
  <c r="BG520" i="7"/>
  <c r="BF520" i="7"/>
  <c r="BE520" i="7"/>
  <c r="BD520" i="7"/>
  <c r="BC520" i="7"/>
  <c r="BB520" i="7"/>
  <c r="BA520" i="7"/>
  <c r="AZ520" i="7"/>
  <c r="AY520" i="7"/>
  <c r="AX520" i="7"/>
  <c r="AW520" i="7"/>
  <c r="AV520" i="7"/>
  <c r="I520" i="7"/>
  <c r="H520" i="7"/>
  <c r="BK519" i="7"/>
  <c r="BJ519" i="7"/>
  <c r="BI519" i="7"/>
  <c r="BH519" i="7"/>
  <c r="BG519" i="7"/>
  <c r="BF519" i="7"/>
  <c r="BE519" i="7"/>
  <c r="BD519" i="7"/>
  <c r="BC519" i="7"/>
  <c r="BB519" i="7"/>
  <c r="BA519" i="7"/>
  <c r="AZ519" i="7"/>
  <c r="AY519" i="7"/>
  <c r="AX519" i="7"/>
  <c r="AW519" i="7"/>
  <c r="AV519" i="7"/>
  <c r="I519" i="7"/>
  <c r="H519" i="7"/>
  <c r="BK518" i="7"/>
  <c r="BJ518" i="7"/>
  <c r="BI518" i="7"/>
  <c r="BH518" i="7"/>
  <c r="BG518" i="7"/>
  <c r="BF518" i="7"/>
  <c r="BE518" i="7"/>
  <c r="BD518" i="7"/>
  <c r="BC518" i="7"/>
  <c r="BB518" i="7"/>
  <c r="BA518" i="7"/>
  <c r="AZ518" i="7"/>
  <c r="AY518" i="7"/>
  <c r="AX518" i="7"/>
  <c r="AW518" i="7"/>
  <c r="AV518" i="7"/>
  <c r="I518" i="7"/>
  <c r="H518" i="7"/>
  <c r="BK517" i="7"/>
  <c r="BJ517" i="7"/>
  <c r="BI517" i="7"/>
  <c r="BH517" i="7"/>
  <c r="BG517" i="7"/>
  <c r="BF517" i="7"/>
  <c r="BE517" i="7"/>
  <c r="BD517" i="7"/>
  <c r="BC517" i="7"/>
  <c r="BB517" i="7"/>
  <c r="BA517" i="7"/>
  <c r="AZ517" i="7"/>
  <c r="AY517" i="7"/>
  <c r="AX517" i="7"/>
  <c r="AW517" i="7"/>
  <c r="AV517" i="7"/>
  <c r="I517" i="7"/>
  <c r="H517" i="7"/>
  <c r="BK516" i="7"/>
  <c r="BJ516" i="7"/>
  <c r="BI516" i="7"/>
  <c r="BH516" i="7"/>
  <c r="BG516" i="7"/>
  <c r="BF516" i="7"/>
  <c r="BE516" i="7"/>
  <c r="BD516" i="7"/>
  <c r="BC516" i="7"/>
  <c r="BB516" i="7"/>
  <c r="BA516" i="7"/>
  <c r="AZ516" i="7"/>
  <c r="AY516" i="7"/>
  <c r="AX516" i="7"/>
  <c r="AW516" i="7"/>
  <c r="AV516" i="7"/>
  <c r="I516" i="7"/>
  <c r="H516" i="7"/>
  <c r="BK515" i="7"/>
  <c r="BJ515" i="7"/>
  <c r="BI515" i="7"/>
  <c r="BH515" i="7"/>
  <c r="BG515" i="7"/>
  <c r="BF515" i="7"/>
  <c r="BE515" i="7"/>
  <c r="BD515" i="7"/>
  <c r="BC515" i="7"/>
  <c r="BB515" i="7"/>
  <c r="BA515" i="7"/>
  <c r="AZ515" i="7"/>
  <c r="AY515" i="7"/>
  <c r="AX515" i="7"/>
  <c r="AW515" i="7"/>
  <c r="AV515" i="7"/>
  <c r="I515" i="7"/>
  <c r="H515" i="7"/>
  <c r="BK514" i="7"/>
  <c r="BJ514" i="7"/>
  <c r="BI514" i="7"/>
  <c r="BH514" i="7"/>
  <c r="BG514" i="7"/>
  <c r="BF514" i="7"/>
  <c r="BE514" i="7"/>
  <c r="BD514" i="7"/>
  <c r="BC514" i="7"/>
  <c r="BB514" i="7"/>
  <c r="BA514" i="7"/>
  <c r="AZ514" i="7"/>
  <c r="AY514" i="7"/>
  <c r="AX514" i="7"/>
  <c r="AW514" i="7"/>
  <c r="AV514" i="7"/>
  <c r="I514" i="7"/>
  <c r="H514" i="7"/>
  <c r="BK513" i="7"/>
  <c r="BJ513" i="7"/>
  <c r="BI513" i="7"/>
  <c r="BH513" i="7"/>
  <c r="BG513" i="7"/>
  <c r="BF513" i="7"/>
  <c r="BE513" i="7"/>
  <c r="BD513" i="7"/>
  <c r="BC513" i="7"/>
  <c r="BB513" i="7"/>
  <c r="BA513" i="7"/>
  <c r="AZ513" i="7"/>
  <c r="AY513" i="7"/>
  <c r="AX513" i="7"/>
  <c r="AW513" i="7"/>
  <c r="AV513" i="7"/>
  <c r="I513" i="7"/>
  <c r="H513" i="7"/>
  <c r="BK512" i="7"/>
  <c r="BJ512" i="7"/>
  <c r="BI512" i="7"/>
  <c r="BH512" i="7"/>
  <c r="BG512" i="7"/>
  <c r="BF512" i="7"/>
  <c r="BE512" i="7"/>
  <c r="BD512" i="7"/>
  <c r="BC512" i="7"/>
  <c r="BB512" i="7"/>
  <c r="BA512" i="7"/>
  <c r="AZ512" i="7"/>
  <c r="AY512" i="7"/>
  <c r="AX512" i="7"/>
  <c r="AW512" i="7"/>
  <c r="AV512" i="7"/>
  <c r="I512" i="7"/>
  <c r="H512" i="7"/>
  <c r="BK511" i="7"/>
  <c r="BJ511" i="7"/>
  <c r="BI511" i="7"/>
  <c r="BH511" i="7"/>
  <c r="BG511" i="7"/>
  <c r="BF511" i="7"/>
  <c r="BE511" i="7"/>
  <c r="BD511" i="7"/>
  <c r="BC511" i="7"/>
  <c r="BB511" i="7"/>
  <c r="BA511" i="7"/>
  <c r="AZ511" i="7"/>
  <c r="AY511" i="7"/>
  <c r="AX511" i="7"/>
  <c r="AW511" i="7"/>
  <c r="AV511" i="7"/>
  <c r="I511" i="7"/>
  <c r="H511" i="7"/>
  <c r="BK510" i="7"/>
  <c r="BJ510" i="7"/>
  <c r="BI510" i="7"/>
  <c r="BH510" i="7"/>
  <c r="BG510" i="7"/>
  <c r="BF510" i="7"/>
  <c r="BE510" i="7"/>
  <c r="BD510" i="7"/>
  <c r="BC510" i="7"/>
  <c r="BB510" i="7"/>
  <c r="BA510" i="7"/>
  <c r="AZ510" i="7"/>
  <c r="AY510" i="7"/>
  <c r="AX510" i="7"/>
  <c r="AW510" i="7"/>
  <c r="AV510" i="7"/>
  <c r="I510" i="7"/>
  <c r="H510" i="7"/>
  <c r="BK509" i="7"/>
  <c r="BJ509" i="7"/>
  <c r="BI509" i="7"/>
  <c r="BH509" i="7"/>
  <c r="BG509" i="7"/>
  <c r="BF509" i="7"/>
  <c r="BE509" i="7"/>
  <c r="BD509" i="7"/>
  <c r="BC509" i="7"/>
  <c r="BB509" i="7"/>
  <c r="BA509" i="7"/>
  <c r="AZ509" i="7"/>
  <c r="AY509" i="7"/>
  <c r="AX509" i="7"/>
  <c r="AW509" i="7"/>
  <c r="AV509" i="7"/>
  <c r="I509" i="7"/>
  <c r="H509" i="7"/>
  <c r="BK508" i="7"/>
  <c r="BJ508" i="7"/>
  <c r="BI508" i="7"/>
  <c r="BH508" i="7"/>
  <c r="BG508" i="7"/>
  <c r="BF508" i="7"/>
  <c r="BE508" i="7"/>
  <c r="BD508" i="7"/>
  <c r="BC508" i="7"/>
  <c r="BB508" i="7"/>
  <c r="BA508" i="7"/>
  <c r="AZ508" i="7"/>
  <c r="AY508" i="7"/>
  <c r="AX508" i="7"/>
  <c r="AW508" i="7"/>
  <c r="AV508" i="7"/>
  <c r="I508" i="7"/>
  <c r="H508" i="7"/>
  <c r="BK507" i="7"/>
  <c r="BJ507" i="7"/>
  <c r="BI507" i="7"/>
  <c r="BH507" i="7"/>
  <c r="BG507" i="7"/>
  <c r="BF507" i="7"/>
  <c r="BE507" i="7"/>
  <c r="BD507" i="7"/>
  <c r="BC507" i="7"/>
  <c r="BB507" i="7"/>
  <c r="BA507" i="7"/>
  <c r="AZ507" i="7"/>
  <c r="AY507" i="7"/>
  <c r="AX507" i="7"/>
  <c r="AW507" i="7"/>
  <c r="AV507" i="7"/>
  <c r="I507" i="7"/>
  <c r="H507" i="7"/>
  <c r="BK506" i="7"/>
  <c r="BJ506" i="7"/>
  <c r="BI506" i="7"/>
  <c r="BH506" i="7"/>
  <c r="BG506" i="7"/>
  <c r="BF506" i="7"/>
  <c r="BE506" i="7"/>
  <c r="BD506" i="7"/>
  <c r="BC506" i="7"/>
  <c r="BB506" i="7"/>
  <c r="BA506" i="7"/>
  <c r="AZ506" i="7"/>
  <c r="AY506" i="7"/>
  <c r="AX506" i="7"/>
  <c r="AW506" i="7"/>
  <c r="AV506" i="7"/>
  <c r="I506" i="7"/>
  <c r="H506" i="7"/>
  <c r="BK505" i="7"/>
  <c r="BJ505" i="7"/>
  <c r="BI505" i="7"/>
  <c r="BH505" i="7"/>
  <c r="BG505" i="7"/>
  <c r="BF505" i="7"/>
  <c r="BE505" i="7"/>
  <c r="BD505" i="7"/>
  <c r="BC505" i="7"/>
  <c r="BB505" i="7"/>
  <c r="BA505" i="7"/>
  <c r="AZ505" i="7"/>
  <c r="AY505" i="7"/>
  <c r="AX505" i="7"/>
  <c r="AW505" i="7"/>
  <c r="AV505" i="7"/>
  <c r="I505" i="7"/>
  <c r="H505" i="7"/>
  <c r="BK504" i="7"/>
  <c r="BJ504" i="7"/>
  <c r="BI504" i="7"/>
  <c r="BH504" i="7"/>
  <c r="BG504" i="7"/>
  <c r="BF504" i="7"/>
  <c r="BE504" i="7"/>
  <c r="BD504" i="7"/>
  <c r="BC504" i="7"/>
  <c r="BB504" i="7"/>
  <c r="BA504" i="7"/>
  <c r="AZ504" i="7"/>
  <c r="AY504" i="7"/>
  <c r="AX504" i="7"/>
  <c r="AW504" i="7"/>
  <c r="AV504" i="7"/>
  <c r="I504" i="7"/>
  <c r="H504" i="7"/>
  <c r="BK503" i="7"/>
  <c r="BJ503" i="7"/>
  <c r="BI503" i="7"/>
  <c r="BH503" i="7"/>
  <c r="BG503" i="7"/>
  <c r="BF503" i="7"/>
  <c r="BE503" i="7"/>
  <c r="BD503" i="7"/>
  <c r="BC503" i="7"/>
  <c r="BB503" i="7"/>
  <c r="BA503" i="7"/>
  <c r="AZ503" i="7"/>
  <c r="AY503" i="7"/>
  <c r="AX503" i="7"/>
  <c r="AW503" i="7"/>
  <c r="AV503" i="7"/>
  <c r="I503" i="7"/>
  <c r="H503" i="7"/>
  <c r="BK502" i="7"/>
  <c r="BJ502" i="7"/>
  <c r="BI502" i="7"/>
  <c r="BH502" i="7"/>
  <c r="BG502" i="7"/>
  <c r="BF502" i="7"/>
  <c r="BE502" i="7"/>
  <c r="BD502" i="7"/>
  <c r="BC502" i="7"/>
  <c r="BB502" i="7"/>
  <c r="BA502" i="7"/>
  <c r="AZ502" i="7"/>
  <c r="AY502" i="7"/>
  <c r="AX502" i="7"/>
  <c r="AW502" i="7"/>
  <c r="AV502" i="7"/>
  <c r="I502" i="7"/>
  <c r="H502" i="7"/>
  <c r="BK501" i="7"/>
  <c r="BJ501" i="7"/>
  <c r="BI501" i="7"/>
  <c r="BH501" i="7"/>
  <c r="BG501" i="7"/>
  <c r="BF501" i="7"/>
  <c r="BE501" i="7"/>
  <c r="BD501" i="7"/>
  <c r="BC501" i="7"/>
  <c r="BB501" i="7"/>
  <c r="BA501" i="7"/>
  <c r="AZ501" i="7"/>
  <c r="AY501" i="7"/>
  <c r="AX501" i="7"/>
  <c r="AW501" i="7"/>
  <c r="AV501" i="7"/>
  <c r="I501" i="7"/>
  <c r="H501" i="7"/>
  <c r="BK500" i="7"/>
  <c r="BJ500" i="7"/>
  <c r="BI500" i="7"/>
  <c r="BH500" i="7"/>
  <c r="BG500" i="7"/>
  <c r="BF500" i="7"/>
  <c r="BE500" i="7"/>
  <c r="BD500" i="7"/>
  <c r="BC500" i="7"/>
  <c r="BB500" i="7"/>
  <c r="BA500" i="7"/>
  <c r="AZ500" i="7"/>
  <c r="AY500" i="7"/>
  <c r="AX500" i="7"/>
  <c r="AW500" i="7"/>
  <c r="AV500" i="7"/>
  <c r="I500" i="7"/>
  <c r="H500" i="7"/>
  <c r="BK499" i="7"/>
  <c r="BJ499" i="7"/>
  <c r="BI499" i="7"/>
  <c r="BH499" i="7"/>
  <c r="BG499" i="7"/>
  <c r="BF499" i="7"/>
  <c r="BE499" i="7"/>
  <c r="BD499" i="7"/>
  <c r="BC499" i="7"/>
  <c r="BB499" i="7"/>
  <c r="BA499" i="7"/>
  <c r="AZ499" i="7"/>
  <c r="AY499" i="7"/>
  <c r="AX499" i="7"/>
  <c r="AW499" i="7"/>
  <c r="AV499" i="7"/>
  <c r="I499" i="7"/>
  <c r="H499" i="7"/>
  <c r="BK498" i="7"/>
  <c r="BJ498" i="7"/>
  <c r="BI498" i="7"/>
  <c r="BH498" i="7"/>
  <c r="BG498" i="7"/>
  <c r="BF498" i="7"/>
  <c r="BE498" i="7"/>
  <c r="BD498" i="7"/>
  <c r="BC498" i="7"/>
  <c r="BB498" i="7"/>
  <c r="BA498" i="7"/>
  <c r="AZ498" i="7"/>
  <c r="AY498" i="7"/>
  <c r="AX498" i="7"/>
  <c r="AW498" i="7"/>
  <c r="AV498" i="7"/>
  <c r="I498" i="7"/>
  <c r="H498" i="7"/>
  <c r="BK497" i="7"/>
  <c r="BJ497" i="7"/>
  <c r="BI497" i="7"/>
  <c r="BH497" i="7"/>
  <c r="BG497" i="7"/>
  <c r="BF497" i="7"/>
  <c r="BE497" i="7"/>
  <c r="BD497" i="7"/>
  <c r="BC497" i="7"/>
  <c r="BB497" i="7"/>
  <c r="BA497" i="7"/>
  <c r="AZ497" i="7"/>
  <c r="AY497" i="7"/>
  <c r="AX497" i="7"/>
  <c r="AW497" i="7"/>
  <c r="AV497" i="7"/>
  <c r="I497" i="7"/>
  <c r="H497" i="7"/>
  <c r="BK496" i="7"/>
  <c r="BJ496" i="7"/>
  <c r="BI496" i="7"/>
  <c r="BH496" i="7"/>
  <c r="BG496" i="7"/>
  <c r="BF496" i="7"/>
  <c r="BE496" i="7"/>
  <c r="BD496" i="7"/>
  <c r="BC496" i="7"/>
  <c r="BB496" i="7"/>
  <c r="BA496" i="7"/>
  <c r="AZ496" i="7"/>
  <c r="AY496" i="7"/>
  <c r="AX496" i="7"/>
  <c r="AW496" i="7"/>
  <c r="AV496" i="7"/>
  <c r="I496" i="7"/>
  <c r="H496" i="7"/>
  <c r="BK495" i="7"/>
  <c r="BJ495" i="7"/>
  <c r="BI495" i="7"/>
  <c r="BH495" i="7"/>
  <c r="BG495" i="7"/>
  <c r="BF495" i="7"/>
  <c r="BE495" i="7"/>
  <c r="BD495" i="7"/>
  <c r="BC495" i="7"/>
  <c r="BB495" i="7"/>
  <c r="BA495" i="7"/>
  <c r="AZ495" i="7"/>
  <c r="AY495" i="7"/>
  <c r="AX495" i="7"/>
  <c r="AW495" i="7"/>
  <c r="AV495" i="7"/>
  <c r="I495" i="7"/>
  <c r="H495" i="7"/>
  <c r="BK494" i="7"/>
  <c r="BJ494" i="7"/>
  <c r="BI494" i="7"/>
  <c r="BH494" i="7"/>
  <c r="BG494" i="7"/>
  <c r="BF494" i="7"/>
  <c r="BE494" i="7"/>
  <c r="BD494" i="7"/>
  <c r="BC494" i="7"/>
  <c r="BB494" i="7"/>
  <c r="BA494" i="7"/>
  <c r="AZ494" i="7"/>
  <c r="AY494" i="7"/>
  <c r="AX494" i="7"/>
  <c r="AW494" i="7"/>
  <c r="AV494" i="7"/>
  <c r="I494" i="7"/>
  <c r="H494" i="7"/>
  <c r="BK493" i="7"/>
  <c r="BJ493" i="7"/>
  <c r="BI493" i="7"/>
  <c r="BH493" i="7"/>
  <c r="BG493" i="7"/>
  <c r="BF493" i="7"/>
  <c r="BE493" i="7"/>
  <c r="BD493" i="7"/>
  <c r="BC493" i="7"/>
  <c r="BB493" i="7"/>
  <c r="BA493" i="7"/>
  <c r="AZ493" i="7"/>
  <c r="AY493" i="7"/>
  <c r="AX493" i="7"/>
  <c r="AW493" i="7"/>
  <c r="AV493" i="7"/>
  <c r="I493" i="7"/>
  <c r="H493" i="7"/>
  <c r="BK492" i="7"/>
  <c r="BJ492" i="7"/>
  <c r="BI492" i="7"/>
  <c r="BH492" i="7"/>
  <c r="BG492" i="7"/>
  <c r="BF492" i="7"/>
  <c r="BE492" i="7"/>
  <c r="BD492" i="7"/>
  <c r="BC492" i="7"/>
  <c r="BB492" i="7"/>
  <c r="BA492" i="7"/>
  <c r="AZ492" i="7"/>
  <c r="AY492" i="7"/>
  <c r="AX492" i="7"/>
  <c r="AW492" i="7"/>
  <c r="AV492" i="7"/>
  <c r="I492" i="7"/>
  <c r="H492" i="7"/>
  <c r="BK491" i="7"/>
  <c r="BJ491" i="7"/>
  <c r="BI491" i="7"/>
  <c r="BH491" i="7"/>
  <c r="BG491" i="7"/>
  <c r="BF491" i="7"/>
  <c r="BE491" i="7"/>
  <c r="BD491" i="7"/>
  <c r="BC491" i="7"/>
  <c r="BB491" i="7"/>
  <c r="BA491" i="7"/>
  <c r="AZ491" i="7"/>
  <c r="AY491" i="7"/>
  <c r="AX491" i="7"/>
  <c r="AW491" i="7"/>
  <c r="AV491" i="7"/>
  <c r="I491" i="7"/>
  <c r="H491" i="7"/>
  <c r="BK490" i="7"/>
  <c r="BJ490" i="7"/>
  <c r="BI490" i="7"/>
  <c r="BH490" i="7"/>
  <c r="BG490" i="7"/>
  <c r="BF490" i="7"/>
  <c r="BE490" i="7"/>
  <c r="BD490" i="7"/>
  <c r="BC490" i="7"/>
  <c r="BB490" i="7"/>
  <c r="BA490" i="7"/>
  <c r="AZ490" i="7"/>
  <c r="AY490" i="7"/>
  <c r="AX490" i="7"/>
  <c r="AW490" i="7"/>
  <c r="AV490" i="7"/>
  <c r="I490" i="7"/>
  <c r="H490" i="7"/>
  <c r="BK489" i="7"/>
  <c r="BJ489" i="7"/>
  <c r="BI489" i="7"/>
  <c r="BH489" i="7"/>
  <c r="BG489" i="7"/>
  <c r="BF489" i="7"/>
  <c r="BE489" i="7"/>
  <c r="BD489" i="7"/>
  <c r="BC489" i="7"/>
  <c r="BB489" i="7"/>
  <c r="BA489" i="7"/>
  <c r="AZ489" i="7"/>
  <c r="AY489" i="7"/>
  <c r="AX489" i="7"/>
  <c r="AW489" i="7"/>
  <c r="AV489" i="7"/>
  <c r="I489" i="7"/>
  <c r="H489" i="7"/>
  <c r="BK488" i="7"/>
  <c r="BJ488" i="7"/>
  <c r="BI488" i="7"/>
  <c r="BH488" i="7"/>
  <c r="BG488" i="7"/>
  <c r="BF488" i="7"/>
  <c r="BE488" i="7"/>
  <c r="BD488" i="7"/>
  <c r="BC488" i="7"/>
  <c r="BB488" i="7"/>
  <c r="BA488" i="7"/>
  <c r="AZ488" i="7"/>
  <c r="AY488" i="7"/>
  <c r="AX488" i="7"/>
  <c r="AW488" i="7"/>
  <c r="AV488" i="7"/>
  <c r="I488" i="7"/>
  <c r="H488" i="7"/>
  <c r="BK487" i="7"/>
  <c r="BJ487" i="7"/>
  <c r="BI487" i="7"/>
  <c r="BH487" i="7"/>
  <c r="BG487" i="7"/>
  <c r="BF487" i="7"/>
  <c r="BE487" i="7"/>
  <c r="BD487" i="7"/>
  <c r="BC487" i="7"/>
  <c r="BB487" i="7"/>
  <c r="BA487" i="7"/>
  <c r="AZ487" i="7"/>
  <c r="AY487" i="7"/>
  <c r="AX487" i="7"/>
  <c r="AW487" i="7"/>
  <c r="AV487" i="7"/>
  <c r="I487" i="7"/>
  <c r="H487" i="7"/>
  <c r="BK486" i="7"/>
  <c r="BJ486" i="7"/>
  <c r="BI486" i="7"/>
  <c r="BH486" i="7"/>
  <c r="BG486" i="7"/>
  <c r="BF486" i="7"/>
  <c r="BE486" i="7"/>
  <c r="BD486" i="7"/>
  <c r="BC486" i="7"/>
  <c r="BB486" i="7"/>
  <c r="BA486" i="7"/>
  <c r="AZ486" i="7"/>
  <c r="AY486" i="7"/>
  <c r="AX486" i="7"/>
  <c r="AW486" i="7"/>
  <c r="AV486" i="7"/>
  <c r="I486" i="7"/>
  <c r="H486" i="7"/>
  <c r="BK485" i="7"/>
  <c r="BJ485" i="7"/>
  <c r="BI485" i="7"/>
  <c r="BH485" i="7"/>
  <c r="BG485" i="7"/>
  <c r="BF485" i="7"/>
  <c r="BE485" i="7"/>
  <c r="BD485" i="7"/>
  <c r="BC485" i="7"/>
  <c r="BB485" i="7"/>
  <c r="BA485" i="7"/>
  <c r="AZ485" i="7"/>
  <c r="AY485" i="7"/>
  <c r="AX485" i="7"/>
  <c r="AW485" i="7"/>
  <c r="AV485" i="7"/>
  <c r="I485" i="7"/>
  <c r="H485" i="7"/>
  <c r="BK484" i="7"/>
  <c r="BJ484" i="7"/>
  <c r="BI484" i="7"/>
  <c r="BH484" i="7"/>
  <c r="BG484" i="7"/>
  <c r="BF484" i="7"/>
  <c r="BE484" i="7"/>
  <c r="BD484" i="7"/>
  <c r="BC484" i="7"/>
  <c r="BB484" i="7"/>
  <c r="BA484" i="7"/>
  <c r="AZ484" i="7"/>
  <c r="AY484" i="7"/>
  <c r="AX484" i="7"/>
  <c r="AW484" i="7"/>
  <c r="AV484" i="7"/>
  <c r="I484" i="7"/>
  <c r="H484" i="7"/>
  <c r="BK483" i="7"/>
  <c r="BJ483" i="7"/>
  <c r="BI483" i="7"/>
  <c r="BH483" i="7"/>
  <c r="BG483" i="7"/>
  <c r="BF483" i="7"/>
  <c r="BE483" i="7"/>
  <c r="BD483" i="7"/>
  <c r="BC483" i="7"/>
  <c r="BB483" i="7"/>
  <c r="BA483" i="7"/>
  <c r="AZ483" i="7"/>
  <c r="AY483" i="7"/>
  <c r="AX483" i="7"/>
  <c r="AW483" i="7"/>
  <c r="AV483" i="7"/>
  <c r="I483" i="7"/>
  <c r="H483" i="7"/>
  <c r="BK482" i="7"/>
  <c r="BJ482" i="7"/>
  <c r="BI482" i="7"/>
  <c r="BH482" i="7"/>
  <c r="BG482" i="7"/>
  <c r="BF482" i="7"/>
  <c r="BE482" i="7"/>
  <c r="BD482" i="7"/>
  <c r="BC482" i="7"/>
  <c r="BB482" i="7"/>
  <c r="BA482" i="7"/>
  <c r="AZ482" i="7"/>
  <c r="AY482" i="7"/>
  <c r="AX482" i="7"/>
  <c r="AW482" i="7"/>
  <c r="AV482" i="7"/>
  <c r="I482" i="7"/>
  <c r="H482" i="7"/>
  <c r="BK481" i="7"/>
  <c r="BJ481" i="7"/>
  <c r="BI481" i="7"/>
  <c r="BH481" i="7"/>
  <c r="BG481" i="7"/>
  <c r="BF481" i="7"/>
  <c r="BE481" i="7"/>
  <c r="BD481" i="7"/>
  <c r="BC481" i="7"/>
  <c r="BB481" i="7"/>
  <c r="BA481" i="7"/>
  <c r="AZ481" i="7"/>
  <c r="AY481" i="7"/>
  <c r="AX481" i="7"/>
  <c r="AW481" i="7"/>
  <c r="AV481" i="7"/>
  <c r="I481" i="7"/>
  <c r="H481" i="7"/>
  <c r="BK480" i="7"/>
  <c r="BJ480" i="7"/>
  <c r="BI480" i="7"/>
  <c r="BH480" i="7"/>
  <c r="BG480" i="7"/>
  <c r="BF480" i="7"/>
  <c r="BE480" i="7"/>
  <c r="BD480" i="7"/>
  <c r="BC480" i="7"/>
  <c r="BB480" i="7"/>
  <c r="BA480" i="7"/>
  <c r="AZ480" i="7"/>
  <c r="AY480" i="7"/>
  <c r="AX480" i="7"/>
  <c r="AW480" i="7"/>
  <c r="AV480" i="7"/>
  <c r="I480" i="7"/>
  <c r="H480" i="7"/>
  <c r="BK479" i="7"/>
  <c r="BJ479" i="7"/>
  <c r="BI479" i="7"/>
  <c r="BH479" i="7"/>
  <c r="BG479" i="7"/>
  <c r="BF479" i="7"/>
  <c r="BE479" i="7"/>
  <c r="BD479" i="7"/>
  <c r="BC479" i="7"/>
  <c r="BB479" i="7"/>
  <c r="BA479" i="7"/>
  <c r="AZ479" i="7"/>
  <c r="AY479" i="7"/>
  <c r="AX479" i="7"/>
  <c r="AW479" i="7"/>
  <c r="AV479" i="7"/>
  <c r="I479" i="7"/>
  <c r="H479" i="7"/>
  <c r="BK478" i="7"/>
  <c r="BJ478" i="7"/>
  <c r="BI478" i="7"/>
  <c r="BH478" i="7"/>
  <c r="BG478" i="7"/>
  <c r="BF478" i="7"/>
  <c r="BE478" i="7"/>
  <c r="BD478" i="7"/>
  <c r="BC478" i="7"/>
  <c r="BB478" i="7"/>
  <c r="BA478" i="7"/>
  <c r="AZ478" i="7"/>
  <c r="AY478" i="7"/>
  <c r="AX478" i="7"/>
  <c r="AW478" i="7"/>
  <c r="AV478" i="7"/>
  <c r="I478" i="7"/>
  <c r="H478" i="7"/>
  <c r="BK477" i="7"/>
  <c r="BJ477" i="7"/>
  <c r="BI477" i="7"/>
  <c r="BH477" i="7"/>
  <c r="BG477" i="7"/>
  <c r="BF477" i="7"/>
  <c r="BE477" i="7"/>
  <c r="BD477" i="7"/>
  <c r="BC477" i="7"/>
  <c r="BB477" i="7"/>
  <c r="BA477" i="7"/>
  <c r="AZ477" i="7"/>
  <c r="AY477" i="7"/>
  <c r="AX477" i="7"/>
  <c r="AW477" i="7"/>
  <c r="AV477" i="7"/>
  <c r="I477" i="7"/>
  <c r="H477" i="7"/>
  <c r="BK476" i="7"/>
  <c r="BJ476" i="7"/>
  <c r="BI476" i="7"/>
  <c r="BH476" i="7"/>
  <c r="BG476" i="7"/>
  <c r="BF476" i="7"/>
  <c r="BE476" i="7"/>
  <c r="BD476" i="7"/>
  <c r="BC476" i="7"/>
  <c r="BB476" i="7"/>
  <c r="BA476" i="7"/>
  <c r="AZ476" i="7"/>
  <c r="AY476" i="7"/>
  <c r="AX476" i="7"/>
  <c r="AW476" i="7"/>
  <c r="AV476" i="7"/>
  <c r="I476" i="7"/>
  <c r="H476" i="7"/>
  <c r="BK475" i="7"/>
  <c r="BJ475" i="7"/>
  <c r="BI475" i="7"/>
  <c r="BH475" i="7"/>
  <c r="BG475" i="7"/>
  <c r="BF475" i="7"/>
  <c r="BE475" i="7"/>
  <c r="BD475" i="7"/>
  <c r="BC475" i="7"/>
  <c r="BB475" i="7"/>
  <c r="BA475" i="7"/>
  <c r="AZ475" i="7"/>
  <c r="AY475" i="7"/>
  <c r="AX475" i="7"/>
  <c r="AW475" i="7"/>
  <c r="AV475" i="7"/>
  <c r="I475" i="7"/>
  <c r="H475" i="7"/>
  <c r="BK474" i="7"/>
  <c r="BJ474" i="7"/>
  <c r="BI474" i="7"/>
  <c r="BH474" i="7"/>
  <c r="BG474" i="7"/>
  <c r="BF474" i="7"/>
  <c r="BE474" i="7"/>
  <c r="BD474" i="7"/>
  <c r="BC474" i="7"/>
  <c r="BB474" i="7"/>
  <c r="BA474" i="7"/>
  <c r="AZ474" i="7"/>
  <c r="AY474" i="7"/>
  <c r="AX474" i="7"/>
  <c r="AW474" i="7"/>
  <c r="AV474" i="7"/>
  <c r="I474" i="7"/>
  <c r="H474" i="7"/>
  <c r="BK473" i="7"/>
  <c r="BJ473" i="7"/>
  <c r="BI473" i="7"/>
  <c r="BH473" i="7"/>
  <c r="BG473" i="7"/>
  <c r="BF473" i="7"/>
  <c r="BE473" i="7"/>
  <c r="BD473" i="7"/>
  <c r="BC473" i="7"/>
  <c r="BB473" i="7"/>
  <c r="BA473" i="7"/>
  <c r="AZ473" i="7"/>
  <c r="AY473" i="7"/>
  <c r="AX473" i="7"/>
  <c r="AW473" i="7"/>
  <c r="AV473" i="7"/>
  <c r="I473" i="7"/>
  <c r="H473" i="7"/>
  <c r="BK472" i="7"/>
  <c r="BJ472" i="7"/>
  <c r="BI472" i="7"/>
  <c r="BH472" i="7"/>
  <c r="BG472" i="7"/>
  <c r="BF472" i="7"/>
  <c r="BE472" i="7"/>
  <c r="BD472" i="7"/>
  <c r="BC472" i="7"/>
  <c r="BB472" i="7"/>
  <c r="BA472" i="7"/>
  <c r="AZ472" i="7"/>
  <c r="AY472" i="7"/>
  <c r="AX472" i="7"/>
  <c r="AW472" i="7"/>
  <c r="AV472" i="7"/>
  <c r="I472" i="7"/>
  <c r="H472" i="7"/>
  <c r="BK471" i="7"/>
  <c r="BJ471" i="7"/>
  <c r="BI471" i="7"/>
  <c r="BH471" i="7"/>
  <c r="BG471" i="7"/>
  <c r="BF471" i="7"/>
  <c r="BE471" i="7"/>
  <c r="BD471" i="7"/>
  <c r="BC471" i="7"/>
  <c r="BB471" i="7"/>
  <c r="BA471" i="7"/>
  <c r="AZ471" i="7"/>
  <c r="AY471" i="7"/>
  <c r="AX471" i="7"/>
  <c r="AW471" i="7"/>
  <c r="AV471" i="7"/>
  <c r="I471" i="7"/>
  <c r="H471" i="7"/>
  <c r="BK470" i="7"/>
  <c r="BJ470" i="7"/>
  <c r="BI470" i="7"/>
  <c r="BH470" i="7"/>
  <c r="BG470" i="7"/>
  <c r="BF470" i="7"/>
  <c r="BE470" i="7"/>
  <c r="BD470" i="7"/>
  <c r="BC470" i="7"/>
  <c r="BB470" i="7"/>
  <c r="BA470" i="7"/>
  <c r="AZ470" i="7"/>
  <c r="AY470" i="7"/>
  <c r="AX470" i="7"/>
  <c r="AW470" i="7"/>
  <c r="AV470" i="7"/>
  <c r="I470" i="7"/>
  <c r="H470" i="7"/>
  <c r="BK469" i="7"/>
  <c r="BJ469" i="7"/>
  <c r="BI469" i="7"/>
  <c r="BH469" i="7"/>
  <c r="BG469" i="7"/>
  <c r="BF469" i="7"/>
  <c r="BE469" i="7"/>
  <c r="BD469" i="7"/>
  <c r="BC469" i="7"/>
  <c r="BB469" i="7"/>
  <c r="BA469" i="7"/>
  <c r="AZ469" i="7"/>
  <c r="AY469" i="7"/>
  <c r="AX469" i="7"/>
  <c r="AW469" i="7"/>
  <c r="AV469" i="7"/>
  <c r="I469" i="7"/>
  <c r="H469" i="7"/>
  <c r="BK468" i="7"/>
  <c r="BJ468" i="7"/>
  <c r="BI468" i="7"/>
  <c r="BH468" i="7"/>
  <c r="BG468" i="7"/>
  <c r="BF468" i="7"/>
  <c r="BE468" i="7"/>
  <c r="BD468" i="7"/>
  <c r="BC468" i="7"/>
  <c r="BB468" i="7"/>
  <c r="BA468" i="7"/>
  <c r="AZ468" i="7"/>
  <c r="AY468" i="7"/>
  <c r="AX468" i="7"/>
  <c r="AW468" i="7"/>
  <c r="AV468" i="7"/>
  <c r="I468" i="7"/>
  <c r="H468" i="7"/>
  <c r="BK467" i="7"/>
  <c r="BJ467" i="7"/>
  <c r="BI467" i="7"/>
  <c r="BH467" i="7"/>
  <c r="BG467" i="7"/>
  <c r="BF467" i="7"/>
  <c r="BE467" i="7"/>
  <c r="BD467" i="7"/>
  <c r="BC467" i="7"/>
  <c r="BB467" i="7"/>
  <c r="BA467" i="7"/>
  <c r="AZ467" i="7"/>
  <c r="AY467" i="7"/>
  <c r="AX467" i="7"/>
  <c r="AW467" i="7"/>
  <c r="AV467" i="7"/>
  <c r="I467" i="7"/>
  <c r="H467" i="7"/>
  <c r="BK466" i="7"/>
  <c r="BJ466" i="7"/>
  <c r="BI466" i="7"/>
  <c r="BH466" i="7"/>
  <c r="BG466" i="7"/>
  <c r="BF466" i="7"/>
  <c r="BE466" i="7"/>
  <c r="BD466" i="7"/>
  <c r="BC466" i="7"/>
  <c r="BB466" i="7"/>
  <c r="BA466" i="7"/>
  <c r="AZ466" i="7"/>
  <c r="AY466" i="7"/>
  <c r="AX466" i="7"/>
  <c r="AW466" i="7"/>
  <c r="AV466" i="7"/>
  <c r="I466" i="7"/>
  <c r="H466" i="7"/>
  <c r="BK465" i="7"/>
  <c r="BJ465" i="7"/>
  <c r="BI465" i="7"/>
  <c r="BH465" i="7"/>
  <c r="BG465" i="7"/>
  <c r="BF465" i="7"/>
  <c r="BE465" i="7"/>
  <c r="BD465" i="7"/>
  <c r="BC465" i="7"/>
  <c r="BB465" i="7"/>
  <c r="BA465" i="7"/>
  <c r="AZ465" i="7"/>
  <c r="AY465" i="7"/>
  <c r="AX465" i="7"/>
  <c r="AW465" i="7"/>
  <c r="AV465" i="7"/>
  <c r="I465" i="7"/>
  <c r="H465" i="7"/>
  <c r="BK464" i="7"/>
  <c r="BJ464" i="7"/>
  <c r="BI464" i="7"/>
  <c r="BH464" i="7"/>
  <c r="BG464" i="7"/>
  <c r="BF464" i="7"/>
  <c r="BE464" i="7"/>
  <c r="BD464" i="7"/>
  <c r="BC464" i="7"/>
  <c r="BB464" i="7"/>
  <c r="BA464" i="7"/>
  <c r="AZ464" i="7"/>
  <c r="AY464" i="7"/>
  <c r="AX464" i="7"/>
  <c r="AW464" i="7"/>
  <c r="AV464" i="7"/>
  <c r="I464" i="7"/>
  <c r="H464" i="7"/>
  <c r="BK463" i="7"/>
  <c r="BJ463" i="7"/>
  <c r="BI463" i="7"/>
  <c r="BH463" i="7"/>
  <c r="BG463" i="7"/>
  <c r="BF463" i="7"/>
  <c r="BE463" i="7"/>
  <c r="BD463" i="7"/>
  <c r="BC463" i="7"/>
  <c r="BB463" i="7"/>
  <c r="BA463" i="7"/>
  <c r="AZ463" i="7"/>
  <c r="AY463" i="7"/>
  <c r="AX463" i="7"/>
  <c r="AW463" i="7"/>
  <c r="AV463" i="7"/>
  <c r="I463" i="7"/>
  <c r="H463" i="7"/>
  <c r="BK462" i="7"/>
  <c r="BJ462" i="7"/>
  <c r="BI462" i="7"/>
  <c r="BH462" i="7"/>
  <c r="BG462" i="7"/>
  <c r="BF462" i="7"/>
  <c r="BE462" i="7"/>
  <c r="BD462" i="7"/>
  <c r="BC462" i="7"/>
  <c r="BB462" i="7"/>
  <c r="BA462" i="7"/>
  <c r="AZ462" i="7"/>
  <c r="AY462" i="7"/>
  <c r="AX462" i="7"/>
  <c r="AW462" i="7"/>
  <c r="AV462" i="7"/>
  <c r="I462" i="7"/>
  <c r="H462" i="7"/>
  <c r="BK461" i="7"/>
  <c r="BJ461" i="7"/>
  <c r="BI461" i="7"/>
  <c r="BH461" i="7"/>
  <c r="BG461" i="7"/>
  <c r="BF461" i="7"/>
  <c r="BE461" i="7"/>
  <c r="BD461" i="7"/>
  <c r="BC461" i="7"/>
  <c r="BB461" i="7"/>
  <c r="BA461" i="7"/>
  <c r="AZ461" i="7"/>
  <c r="AY461" i="7"/>
  <c r="AX461" i="7"/>
  <c r="AW461" i="7"/>
  <c r="AV461" i="7"/>
  <c r="I461" i="7"/>
  <c r="H461" i="7"/>
  <c r="BK460" i="7"/>
  <c r="BJ460" i="7"/>
  <c r="BI460" i="7"/>
  <c r="BH460" i="7"/>
  <c r="BG460" i="7"/>
  <c r="BF460" i="7"/>
  <c r="BE460" i="7"/>
  <c r="BD460" i="7"/>
  <c r="BC460" i="7"/>
  <c r="BB460" i="7"/>
  <c r="BA460" i="7"/>
  <c r="AZ460" i="7"/>
  <c r="AY460" i="7"/>
  <c r="AX460" i="7"/>
  <c r="AW460" i="7"/>
  <c r="AV460" i="7"/>
  <c r="I460" i="7"/>
  <c r="H460" i="7"/>
  <c r="BK459" i="7"/>
  <c r="BJ459" i="7"/>
  <c r="BI459" i="7"/>
  <c r="BH459" i="7"/>
  <c r="BG459" i="7"/>
  <c r="BF459" i="7"/>
  <c r="BE459" i="7"/>
  <c r="BD459" i="7"/>
  <c r="BC459" i="7"/>
  <c r="BB459" i="7"/>
  <c r="BA459" i="7"/>
  <c r="AZ459" i="7"/>
  <c r="AY459" i="7"/>
  <c r="AX459" i="7"/>
  <c r="AW459" i="7"/>
  <c r="AV459" i="7"/>
  <c r="I459" i="7"/>
  <c r="H459" i="7"/>
  <c r="BK458" i="7"/>
  <c r="BJ458" i="7"/>
  <c r="BI458" i="7"/>
  <c r="BH458" i="7"/>
  <c r="BG458" i="7"/>
  <c r="BF458" i="7"/>
  <c r="BE458" i="7"/>
  <c r="BD458" i="7"/>
  <c r="BC458" i="7"/>
  <c r="BB458" i="7"/>
  <c r="BA458" i="7"/>
  <c r="AZ458" i="7"/>
  <c r="AY458" i="7"/>
  <c r="AX458" i="7"/>
  <c r="AW458" i="7"/>
  <c r="AV458" i="7"/>
  <c r="I458" i="7"/>
  <c r="H458" i="7"/>
  <c r="BK457" i="7"/>
  <c r="BJ457" i="7"/>
  <c r="BI457" i="7"/>
  <c r="BH457" i="7"/>
  <c r="BG457" i="7"/>
  <c r="BF457" i="7"/>
  <c r="BE457" i="7"/>
  <c r="BD457" i="7"/>
  <c r="BC457" i="7"/>
  <c r="BB457" i="7"/>
  <c r="BA457" i="7"/>
  <c r="AZ457" i="7"/>
  <c r="AY457" i="7"/>
  <c r="AX457" i="7"/>
  <c r="AW457" i="7"/>
  <c r="AV457" i="7"/>
  <c r="I457" i="7"/>
  <c r="H457" i="7"/>
  <c r="BK456" i="7"/>
  <c r="BJ456" i="7"/>
  <c r="BI456" i="7"/>
  <c r="BH456" i="7"/>
  <c r="BG456" i="7"/>
  <c r="BF456" i="7"/>
  <c r="BE456" i="7"/>
  <c r="BD456" i="7"/>
  <c r="BC456" i="7"/>
  <c r="BB456" i="7"/>
  <c r="BA456" i="7"/>
  <c r="AZ456" i="7"/>
  <c r="AY456" i="7"/>
  <c r="AX456" i="7"/>
  <c r="AW456" i="7"/>
  <c r="AV456" i="7"/>
  <c r="I456" i="7"/>
  <c r="H456" i="7"/>
  <c r="BK455" i="7"/>
  <c r="BJ455" i="7"/>
  <c r="BI455" i="7"/>
  <c r="BH455" i="7"/>
  <c r="BG455" i="7"/>
  <c r="BF455" i="7"/>
  <c r="BE455" i="7"/>
  <c r="BD455" i="7"/>
  <c r="BC455" i="7"/>
  <c r="BB455" i="7"/>
  <c r="BA455" i="7"/>
  <c r="AZ455" i="7"/>
  <c r="AY455" i="7"/>
  <c r="AX455" i="7"/>
  <c r="AW455" i="7"/>
  <c r="AV455" i="7"/>
  <c r="I455" i="7"/>
  <c r="H455" i="7"/>
  <c r="BK454" i="7"/>
  <c r="BJ454" i="7"/>
  <c r="BI454" i="7"/>
  <c r="BH454" i="7"/>
  <c r="BG454" i="7"/>
  <c r="BF454" i="7"/>
  <c r="BE454" i="7"/>
  <c r="BD454" i="7"/>
  <c r="BC454" i="7"/>
  <c r="BB454" i="7"/>
  <c r="BA454" i="7"/>
  <c r="AZ454" i="7"/>
  <c r="AY454" i="7"/>
  <c r="AX454" i="7"/>
  <c r="AW454" i="7"/>
  <c r="AV454" i="7"/>
  <c r="I454" i="7"/>
  <c r="H454" i="7"/>
  <c r="BK453" i="7"/>
  <c r="BJ453" i="7"/>
  <c r="BI453" i="7"/>
  <c r="BH453" i="7"/>
  <c r="BG453" i="7"/>
  <c r="BF453" i="7"/>
  <c r="BE453" i="7"/>
  <c r="BD453" i="7"/>
  <c r="BC453" i="7"/>
  <c r="BB453" i="7"/>
  <c r="BA453" i="7"/>
  <c r="AZ453" i="7"/>
  <c r="AY453" i="7"/>
  <c r="AX453" i="7"/>
  <c r="AW453" i="7"/>
  <c r="AV453" i="7"/>
  <c r="I453" i="7"/>
  <c r="H453" i="7"/>
  <c r="BK452" i="7"/>
  <c r="BJ452" i="7"/>
  <c r="BI452" i="7"/>
  <c r="BH452" i="7"/>
  <c r="BG452" i="7"/>
  <c r="BF452" i="7"/>
  <c r="BE452" i="7"/>
  <c r="BD452" i="7"/>
  <c r="BC452" i="7"/>
  <c r="BB452" i="7"/>
  <c r="BA452" i="7"/>
  <c r="AZ452" i="7"/>
  <c r="AY452" i="7"/>
  <c r="AX452" i="7"/>
  <c r="AW452" i="7"/>
  <c r="AV452" i="7"/>
  <c r="I452" i="7"/>
  <c r="H452" i="7"/>
  <c r="BK451" i="7"/>
  <c r="BJ451" i="7"/>
  <c r="BI451" i="7"/>
  <c r="BH451" i="7"/>
  <c r="BG451" i="7"/>
  <c r="BF451" i="7"/>
  <c r="BE451" i="7"/>
  <c r="BD451" i="7"/>
  <c r="BC451" i="7"/>
  <c r="BB451" i="7"/>
  <c r="BA451" i="7"/>
  <c r="AZ451" i="7"/>
  <c r="AY451" i="7"/>
  <c r="AX451" i="7"/>
  <c r="AW451" i="7"/>
  <c r="AV451" i="7"/>
  <c r="I451" i="7"/>
  <c r="H451" i="7"/>
  <c r="BK450" i="7"/>
  <c r="BJ450" i="7"/>
  <c r="BI450" i="7"/>
  <c r="BH450" i="7"/>
  <c r="BG450" i="7"/>
  <c r="BF450" i="7"/>
  <c r="BE450" i="7"/>
  <c r="BD450" i="7"/>
  <c r="BC450" i="7"/>
  <c r="BB450" i="7"/>
  <c r="BA450" i="7"/>
  <c r="AZ450" i="7"/>
  <c r="AY450" i="7"/>
  <c r="AX450" i="7"/>
  <c r="AW450" i="7"/>
  <c r="AV450" i="7"/>
  <c r="I450" i="7"/>
  <c r="H450" i="7"/>
  <c r="BK449" i="7"/>
  <c r="BJ449" i="7"/>
  <c r="BI449" i="7"/>
  <c r="BH449" i="7"/>
  <c r="BG449" i="7"/>
  <c r="BF449" i="7"/>
  <c r="BE449" i="7"/>
  <c r="BD449" i="7"/>
  <c r="BC449" i="7"/>
  <c r="BB449" i="7"/>
  <c r="BA449" i="7"/>
  <c r="AZ449" i="7"/>
  <c r="AY449" i="7"/>
  <c r="AX449" i="7"/>
  <c r="AW449" i="7"/>
  <c r="AV449" i="7"/>
  <c r="I449" i="7"/>
  <c r="H449" i="7"/>
  <c r="BK448" i="7"/>
  <c r="BJ448" i="7"/>
  <c r="BI448" i="7"/>
  <c r="BH448" i="7"/>
  <c r="BG448" i="7"/>
  <c r="BF448" i="7"/>
  <c r="BE448" i="7"/>
  <c r="BD448" i="7"/>
  <c r="BC448" i="7"/>
  <c r="BB448" i="7"/>
  <c r="BA448" i="7"/>
  <c r="AZ448" i="7"/>
  <c r="AY448" i="7"/>
  <c r="AX448" i="7"/>
  <c r="AW448" i="7"/>
  <c r="AV448" i="7"/>
  <c r="I448" i="7"/>
  <c r="H448" i="7"/>
  <c r="BK447" i="7"/>
  <c r="BJ447" i="7"/>
  <c r="BI447" i="7"/>
  <c r="BH447" i="7"/>
  <c r="BG447" i="7"/>
  <c r="BF447" i="7"/>
  <c r="BE447" i="7"/>
  <c r="BD447" i="7"/>
  <c r="BC447" i="7"/>
  <c r="BB447" i="7"/>
  <c r="BA447" i="7"/>
  <c r="AZ447" i="7"/>
  <c r="AY447" i="7"/>
  <c r="AX447" i="7"/>
  <c r="AW447" i="7"/>
  <c r="AV447" i="7"/>
  <c r="I447" i="7"/>
  <c r="H447" i="7"/>
  <c r="BK446" i="7"/>
  <c r="BJ446" i="7"/>
  <c r="BI446" i="7"/>
  <c r="BH446" i="7"/>
  <c r="BG446" i="7"/>
  <c r="BF446" i="7"/>
  <c r="BE446" i="7"/>
  <c r="BD446" i="7"/>
  <c r="BC446" i="7"/>
  <c r="BB446" i="7"/>
  <c r="BA446" i="7"/>
  <c r="AZ446" i="7"/>
  <c r="AY446" i="7"/>
  <c r="AX446" i="7"/>
  <c r="AW446" i="7"/>
  <c r="AV446" i="7"/>
  <c r="I446" i="7"/>
  <c r="H446" i="7"/>
  <c r="BK445" i="7"/>
  <c r="BJ445" i="7"/>
  <c r="BI445" i="7"/>
  <c r="BH445" i="7"/>
  <c r="BG445" i="7"/>
  <c r="BF445" i="7"/>
  <c r="BE445" i="7"/>
  <c r="BD445" i="7"/>
  <c r="BC445" i="7"/>
  <c r="BB445" i="7"/>
  <c r="BA445" i="7"/>
  <c r="AZ445" i="7"/>
  <c r="AY445" i="7"/>
  <c r="AX445" i="7"/>
  <c r="AW445" i="7"/>
  <c r="AV445" i="7"/>
  <c r="I445" i="7"/>
  <c r="H445" i="7"/>
  <c r="BK444" i="7"/>
  <c r="BJ444" i="7"/>
  <c r="BI444" i="7"/>
  <c r="BH444" i="7"/>
  <c r="BG444" i="7"/>
  <c r="BF444" i="7"/>
  <c r="BE444" i="7"/>
  <c r="BD444" i="7"/>
  <c r="BC444" i="7"/>
  <c r="BB444" i="7"/>
  <c r="BA444" i="7"/>
  <c r="AZ444" i="7"/>
  <c r="AY444" i="7"/>
  <c r="AX444" i="7"/>
  <c r="AW444" i="7"/>
  <c r="AV444" i="7"/>
  <c r="I444" i="7"/>
  <c r="H444" i="7"/>
  <c r="BK443" i="7"/>
  <c r="BJ443" i="7"/>
  <c r="BI443" i="7"/>
  <c r="BH443" i="7"/>
  <c r="BG443" i="7"/>
  <c r="BF443" i="7"/>
  <c r="BE443" i="7"/>
  <c r="BD443" i="7"/>
  <c r="BC443" i="7"/>
  <c r="BB443" i="7"/>
  <c r="BA443" i="7"/>
  <c r="AZ443" i="7"/>
  <c r="AY443" i="7"/>
  <c r="AX443" i="7"/>
  <c r="AW443" i="7"/>
  <c r="AV443" i="7"/>
  <c r="I443" i="7"/>
  <c r="H443" i="7"/>
  <c r="BK442" i="7"/>
  <c r="BJ442" i="7"/>
  <c r="BI442" i="7"/>
  <c r="BH442" i="7"/>
  <c r="BG442" i="7"/>
  <c r="BF442" i="7"/>
  <c r="BE442" i="7"/>
  <c r="BD442" i="7"/>
  <c r="BC442" i="7"/>
  <c r="BB442" i="7"/>
  <c r="BA442" i="7"/>
  <c r="AZ442" i="7"/>
  <c r="AY442" i="7"/>
  <c r="AX442" i="7"/>
  <c r="AW442" i="7"/>
  <c r="AV442" i="7"/>
  <c r="I442" i="7"/>
  <c r="H442" i="7"/>
  <c r="BK441" i="7"/>
  <c r="BJ441" i="7"/>
  <c r="BI441" i="7"/>
  <c r="BH441" i="7"/>
  <c r="BG441" i="7"/>
  <c r="BF441" i="7"/>
  <c r="BE441" i="7"/>
  <c r="BD441" i="7"/>
  <c r="BC441" i="7"/>
  <c r="BB441" i="7"/>
  <c r="BA441" i="7"/>
  <c r="AZ441" i="7"/>
  <c r="AY441" i="7"/>
  <c r="AX441" i="7"/>
  <c r="AW441" i="7"/>
  <c r="AV441" i="7"/>
  <c r="I441" i="7"/>
  <c r="H441" i="7"/>
  <c r="BK440" i="7"/>
  <c r="BJ440" i="7"/>
  <c r="BI440" i="7"/>
  <c r="BH440" i="7"/>
  <c r="BG440" i="7"/>
  <c r="BF440" i="7"/>
  <c r="BE440" i="7"/>
  <c r="BD440" i="7"/>
  <c r="BC440" i="7"/>
  <c r="BB440" i="7"/>
  <c r="BA440" i="7"/>
  <c r="AZ440" i="7"/>
  <c r="AY440" i="7"/>
  <c r="AX440" i="7"/>
  <c r="AW440" i="7"/>
  <c r="AV440" i="7"/>
  <c r="I440" i="7"/>
  <c r="H440" i="7"/>
  <c r="BK439" i="7"/>
  <c r="BJ439" i="7"/>
  <c r="BI439" i="7"/>
  <c r="BH439" i="7"/>
  <c r="BG439" i="7"/>
  <c r="BF439" i="7"/>
  <c r="BE439" i="7"/>
  <c r="BD439" i="7"/>
  <c r="BC439" i="7"/>
  <c r="BB439" i="7"/>
  <c r="BA439" i="7"/>
  <c r="AZ439" i="7"/>
  <c r="AY439" i="7"/>
  <c r="AX439" i="7"/>
  <c r="AW439" i="7"/>
  <c r="AV439" i="7"/>
  <c r="I439" i="7"/>
  <c r="H439" i="7"/>
  <c r="BK438" i="7"/>
  <c r="BJ438" i="7"/>
  <c r="BI438" i="7"/>
  <c r="BH438" i="7"/>
  <c r="BG438" i="7"/>
  <c r="BF438" i="7"/>
  <c r="BE438" i="7"/>
  <c r="BD438" i="7"/>
  <c r="BC438" i="7"/>
  <c r="BB438" i="7"/>
  <c r="BA438" i="7"/>
  <c r="AZ438" i="7"/>
  <c r="AY438" i="7"/>
  <c r="AX438" i="7"/>
  <c r="AW438" i="7"/>
  <c r="AV438" i="7"/>
  <c r="I438" i="7"/>
  <c r="H438" i="7"/>
  <c r="BK437" i="7"/>
  <c r="BJ437" i="7"/>
  <c r="BI437" i="7"/>
  <c r="BH437" i="7"/>
  <c r="BG437" i="7"/>
  <c r="BF437" i="7"/>
  <c r="BE437" i="7"/>
  <c r="BD437" i="7"/>
  <c r="BC437" i="7"/>
  <c r="BB437" i="7"/>
  <c r="BA437" i="7"/>
  <c r="AZ437" i="7"/>
  <c r="AY437" i="7"/>
  <c r="AX437" i="7"/>
  <c r="AW437" i="7"/>
  <c r="AV437" i="7"/>
  <c r="I437" i="7"/>
  <c r="H437" i="7"/>
  <c r="BK436" i="7"/>
  <c r="BJ436" i="7"/>
  <c r="BI436" i="7"/>
  <c r="BH436" i="7"/>
  <c r="BG436" i="7"/>
  <c r="BF436" i="7"/>
  <c r="BE436" i="7"/>
  <c r="BD436" i="7"/>
  <c r="BC436" i="7"/>
  <c r="BB436" i="7"/>
  <c r="BA436" i="7"/>
  <c r="AZ436" i="7"/>
  <c r="AY436" i="7"/>
  <c r="AX436" i="7"/>
  <c r="AW436" i="7"/>
  <c r="AV436" i="7"/>
  <c r="I436" i="7"/>
  <c r="H436" i="7"/>
  <c r="BK435" i="7"/>
  <c r="BJ435" i="7"/>
  <c r="BI435" i="7"/>
  <c r="BH435" i="7"/>
  <c r="BG435" i="7"/>
  <c r="BF435" i="7"/>
  <c r="BE435" i="7"/>
  <c r="BD435" i="7"/>
  <c r="BC435" i="7"/>
  <c r="BB435" i="7"/>
  <c r="BA435" i="7"/>
  <c r="AZ435" i="7"/>
  <c r="AY435" i="7"/>
  <c r="AX435" i="7"/>
  <c r="AW435" i="7"/>
  <c r="AV435" i="7"/>
  <c r="I435" i="7"/>
  <c r="H435" i="7"/>
  <c r="BK434" i="7"/>
  <c r="BJ434" i="7"/>
  <c r="BI434" i="7"/>
  <c r="BH434" i="7"/>
  <c r="BG434" i="7"/>
  <c r="BF434" i="7"/>
  <c r="BE434" i="7"/>
  <c r="BD434" i="7"/>
  <c r="BC434" i="7"/>
  <c r="BB434" i="7"/>
  <c r="BA434" i="7"/>
  <c r="AZ434" i="7"/>
  <c r="AY434" i="7"/>
  <c r="AX434" i="7"/>
  <c r="AW434" i="7"/>
  <c r="AV434" i="7"/>
  <c r="I434" i="7"/>
  <c r="H434" i="7"/>
  <c r="BK433" i="7"/>
  <c r="BJ433" i="7"/>
  <c r="BI433" i="7"/>
  <c r="BH433" i="7"/>
  <c r="BG433" i="7"/>
  <c r="BF433" i="7"/>
  <c r="BE433" i="7"/>
  <c r="BD433" i="7"/>
  <c r="BC433" i="7"/>
  <c r="BB433" i="7"/>
  <c r="BA433" i="7"/>
  <c r="AZ433" i="7"/>
  <c r="AY433" i="7"/>
  <c r="AX433" i="7"/>
  <c r="AW433" i="7"/>
  <c r="AV433" i="7"/>
  <c r="I433" i="7"/>
  <c r="H433" i="7"/>
  <c r="BK432" i="7"/>
  <c r="BJ432" i="7"/>
  <c r="BI432" i="7"/>
  <c r="BH432" i="7"/>
  <c r="BG432" i="7"/>
  <c r="BF432" i="7"/>
  <c r="BE432" i="7"/>
  <c r="BD432" i="7"/>
  <c r="BC432" i="7"/>
  <c r="BB432" i="7"/>
  <c r="BA432" i="7"/>
  <c r="AZ432" i="7"/>
  <c r="AY432" i="7"/>
  <c r="AX432" i="7"/>
  <c r="AW432" i="7"/>
  <c r="AV432" i="7"/>
  <c r="I432" i="7"/>
  <c r="H432" i="7"/>
  <c r="BK431" i="7"/>
  <c r="BJ431" i="7"/>
  <c r="BI431" i="7"/>
  <c r="BH431" i="7"/>
  <c r="BG431" i="7"/>
  <c r="BF431" i="7"/>
  <c r="BE431" i="7"/>
  <c r="BD431" i="7"/>
  <c r="BC431" i="7"/>
  <c r="BB431" i="7"/>
  <c r="BA431" i="7"/>
  <c r="AZ431" i="7"/>
  <c r="AY431" i="7"/>
  <c r="AX431" i="7"/>
  <c r="AW431" i="7"/>
  <c r="AV431" i="7"/>
  <c r="I431" i="7"/>
  <c r="H431" i="7"/>
  <c r="BK430" i="7"/>
  <c r="BJ430" i="7"/>
  <c r="BI430" i="7"/>
  <c r="BH430" i="7"/>
  <c r="BG430" i="7"/>
  <c r="BF430" i="7"/>
  <c r="BE430" i="7"/>
  <c r="BD430" i="7"/>
  <c r="BC430" i="7"/>
  <c r="BB430" i="7"/>
  <c r="BA430" i="7"/>
  <c r="AZ430" i="7"/>
  <c r="AY430" i="7"/>
  <c r="AX430" i="7"/>
  <c r="AW430" i="7"/>
  <c r="AV430" i="7"/>
  <c r="I430" i="7"/>
  <c r="H430" i="7"/>
  <c r="BK429" i="7"/>
  <c r="BJ429" i="7"/>
  <c r="BI429" i="7"/>
  <c r="BH429" i="7"/>
  <c r="BG429" i="7"/>
  <c r="BF429" i="7"/>
  <c r="BE429" i="7"/>
  <c r="BD429" i="7"/>
  <c r="BC429" i="7"/>
  <c r="BB429" i="7"/>
  <c r="BA429" i="7"/>
  <c r="AZ429" i="7"/>
  <c r="AY429" i="7"/>
  <c r="AX429" i="7"/>
  <c r="AW429" i="7"/>
  <c r="AV429" i="7"/>
  <c r="I429" i="7"/>
  <c r="H429" i="7"/>
  <c r="BK428" i="7"/>
  <c r="BJ428" i="7"/>
  <c r="BI428" i="7"/>
  <c r="BH428" i="7"/>
  <c r="BG428" i="7"/>
  <c r="BF428" i="7"/>
  <c r="BE428" i="7"/>
  <c r="BD428" i="7"/>
  <c r="BC428" i="7"/>
  <c r="BB428" i="7"/>
  <c r="BA428" i="7"/>
  <c r="AZ428" i="7"/>
  <c r="AY428" i="7"/>
  <c r="AX428" i="7"/>
  <c r="AW428" i="7"/>
  <c r="AV428" i="7"/>
  <c r="I428" i="7"/>
  <c r="H428" i="7"/>
  <c r="BK427" i="7"/>
  <c r="BJ427" i="7"/>
  <c r="BI427" i="7"/>
  <c r="BH427" i="7"/>
  <c r="BG427" i="7"/>
  <c r="BF427" i="7"/>
  <c r="BE427" i="7"/>
  <c r="BD427" i="7"/>
  <c r="BC427" i="7"/>
  <c r="BB427" i="7"/>
  <c r="BA427" i="7"/>
  <c r="AZ427" i="7"/>
  <c r="AY427" i="7"/>
  <c r="AX427" i="7"/>
  <c r="AW427" i="7"/>
  <c r="AV427" i="7"/>
  <c r="I427" i="7"/>
  <c r="H427" i="7"/>
  <c r="BK426" i="7"/>
  <c r="BJ426" i="7"/>
  <c r="BI426" i="7"/>
  <c r="BH426" i="7"/>
  <c r="BG426" i="7"/>
  <c r="BF426" i="7"/>
  <c r="BE426" i="7"/>
  <c r="BD426" i="7"/>
  <c r="BC426" i="7"/>
  <c r="BB426" i="7"/>
  <c r="BA426" i="7"/>
  <c r="AZ426" i="7"/>
  <c r="AY426" i="7"/>
  <c r="AX426" i="7"/>
  <c r="AW426" i="7"/>
  <c r="AV426" i="7"/>
  <c r="I426" i="7"/>
  <c r="H426" i="7"/>
  <c r="BK425" i="7"/>
  <c r="BJ425" i="7"/>
  <c r="BI425" i="7"/>
  <c r="BH425" i="7"/>
  <c r="BG425" i="7"/>
  <c r="BF425" i="7"/>
  <c r="BE425" i="7"/>
  <c r="BD425" i="7"/>
  <c r="BC425" i="7"/>
  <c r="BB425" i="7"/>
  <c r="BA425" i="7"/>
  <c r="AZ425" i="7"/>
  <c r="AY425" i="7"/>
  <c r="AX425" i="7"/>
  <c r="AW425" i="7"/>
  <c r="AV425" i="7"/>
  <c r="I425" i="7"/>
  <c r="H425" i="7"/>
  <c r="BK424" i="7"/>
  <c r="BJ424" i="7"/>
  <c r="BI424" i="7"/>
  <c r="BH424" i="7"/>
  <c r="BG424" i="7"/>
  <c r="BF424" i="7"/>
  <c r="BE424" i="7"/>
  <c r="BD424" i="7"/>
  <c r="BC424" i="7"/>
  <c r="BB424" i="7"/>
  <c r="BA424" i="7"/>
  <c r="AZ424" i="7"/>
  <c r="AY424" i="7"/>
  <c r="AX424" i="7"/>
  <c r="AW424" i="7"/>
  <c r="AV424" i="7"/>
  <c r="I424" i="7"/>
  <c r="H424" i="7"/>
  <c r="BK423" i="7"/>
  <c r="BJ423" i="7"/>
  <c r="BI423" i="7"/>
  <c r="BH423" i="7"/>
  <c r="BG423" i="7"/>
  <c r="BF423" i="7"/>
  <c r="BE423" i="7"/>
  <c r="BD423" i="7"/>
  <c r="BC423" i="7"/>
  <c r="BB423" i="7"/>
  <c r="BA423" i="7"/>
  <c r="AZ423" i="7"/>
  <c r="AY423" i="7"/>
  <c r="AX423" i="7"/>
  <c r="AW423" i="7"/>
  <c r="AV423" i="7"/>
  <c r="I423" i="7"/>
  <c r="H423" i="7"/>
  <c r="BK422" i="7"/>
  <c r="BJ422" i="7"/>
  <c r="BI422" i="7"/>
  <c r="BH422" i="7"/>
  <c r="BG422" i="7"/>
  <c r="BF422" i="7"/>
  <c r="BE422" i="7"/>
  <c r="BD422" i="7"/>
  <c r="BC422" i="7"/>
  <c r="BB422" i="7"/>
  <c r="BA422" i="7"/>
  <c r="AZ422" i="7"/>
  <c r="AY422" i="7"/>
  <c r="AX422" i="7"/>
  <c r="AW422" i="7"/>
  <c r="AV422" i="7"/>
  <c r="I422" i="7"/>
  <c r="H422" i="7"/>
  <c r="BK421" i="7"/>
  <c r="BJ421" i="7"/>
  <c r="BI421" i="7"/>
  <c r="BH421" i="7"/>
  <c r="BG421" i="7"/>
  <c r="BF421" i="7"/>
  <c r="BE421" i="7"/>
  <c r="BD421" i="7"/>
  <c r="BC421" i="7"/>
  <c r="BB421" i="7"/>
  <c r="BA421" i="7"/>
  <c r="AZ421" i="7"/>
  <c r="AY421" i="7"/>
  <c r="AX421" i="7"/>
  <c r="AW421" i="7"/>
  <c r="AV421" i="7"/>
  <c r="I421" i="7"/>
  <c r="H421" i="7"/>
  <c r="BK420" i="7"/>
  <c r="BJ420" i="7"/>
  <c r="BI420" i="7"/>
  <c r="BH420" i="7"/>
  <c r="BG420" i="7"/>
  <c r="BF420" i="7"/>
  <c r="BE420" i="7"/>
  <c r="BD420" i="7"/>
  <c r="BC420" i="7"/>
  <c r="BB420" i="7"/>
  <c r="BA420" i="7"/>
  <c r="AZ420" i="7"/>
  <c r="AY420" i="7"/>
  <c r="AX420" i="7"/>
  <c r="AW420" i="7"/>
  <c r="AV420" i="7"/>
  <c r="I420" i="7"/>
  <c r="H420" i="7"/>
  <c r="BK419" i="7"/>
  <c r="BJ419" i="7"/>
  <c r="BI419" i="7"/>
  <c r="BH419" i="7"/>
  <c r="BG419" i="7"/>
  <c r="BF419" i="7"/>
  <c r="BE419" i="7"/>
  <c r="BD419" i="7"/>
  <c r="BC419" i="7"/>
  <c r="BB419" i="7"/>
  <c r="BA419" i="7"/>
  <c r="AZ419" i="7"/>
  <c r="AY419" i="7"/>
  <c r="AX419" i="7"/>
  <c r="AW419" i="7"/>
  <c r="AV419" i="7"/>
  <c r="I419" i="7"/>
  <c r="H419" i="7"/>
  <c r="BK418" i="7"/>
  <c r="BJ418" i="7"/>
  <c r="BI418" i="7"/>
  <c r="BH418" i="7"/>
  <c r="BG418" i="7"/>
  <c r="BF418" i="7"/>
  <c r="BE418" i="7"/>
  <c r="BD418" i="7"/>
  <c r="BC418" i="7"/>
  <c r="BB418" i="7"/>
  <c r="BA418" i="7"/>
  <c r="AZ418" i="7"/>
  <c r="AY418" i="7"/>
  <c r="AX418" i="7"/>
  <c r="AW418" i="7"/>
  <c r="AV418" i="7"/>
  <c r="I418" i="7"/>
  <c r="H418" i="7"/>
  <c r="BK417" i="7"/>
  <c r="BJ417" i="7"/>
  <c r="BI417" i="7"/>
  <c r="BH417" i="7"/>
  <c r="BG417" i="7"/>
  <c r="BF417" i="7"/>
  <c r="BE417" i="7"/>
  <c r="BD417" i="7"/>
  <c r="BC417" i="7"/>
  <c r="BB417" i="7"/>
  <c r="BA417" i="7"/>
  <c r="AZ417" i="7"/>
  <c r="AY417" i="7"/>
  <c r="AX417" i="7"/>
  <c r="AW417" i="7"/>
  <c r="AV417" i="7"/>
  <c r="I417" i="7"/>
  <c r="H417" i="7"/>
  <c r="BK416" i="7"/>
  <c r="BJ416" i="7"/>
  <c r="BI416" i="7"/>
  <c r="BH416" i="7"/>
  <c r="BG416" i="7"/>
  <c r="BF416" i="7"/>
  <c r="BE416" i="7"/>
  <c r="BD416" i="7"/>
  <c r="BC416" i="7"/>
  <c r="BB416" i="7"/>
  <c r="BA416" i="7"/>
  <c r="AZ416" i="7"/>
  <c r="AY416" i="7"/>
  <c r="AX416" i="7"/>
  <c r="AW416" i="7"/>
  <c r="AV416" i="7"/>
  <c r="I416" i="7"/>
  <c r="H416" i="7"/>
  <c r="BK415" i="7"/>
  <c r="BJ415" i="7"/>
  <c r="BI415" i="7"/>
  <c r="BH415" i="7"/>
  <c r="BG415" i="7"/>
  <c r="BF415" i="7"/>
  <c r="BE415" i="7"/>
  <c r="BD415" i="7"/>
  <c r="BC415" i="7"/>
  <c r="BB415" i="7"/>
  <c r="BA415" i="7"/>
  <c r="AZ415" i="7"/>
  <c r="AY415" i="7"/>
  <c r="AX415" i="7"/>
  <c r="AW415" i="7"/>
  <c r="AV415" i="7"/>
  <c r="I415" i="7"/>
  <c r="H415" i="7"/>
  <c r="BK414" i="7"/>
  <c r="BJ414" i="7"/>
  <c r="BI414" i="7"/>
  <c r="BH414" i="7"/>
  <c r="BG414" i="7"/>
  <c r="BF414" i="7"/>
  <c r="BE414" i="7"/>
  <c r="BD414" i="7"/>
  <c r="BC414" i="7"/>
  <c r="BB414" i="7"/>
  <c r="BA414" i="7"/>
  <c r="AZ414" i="7"/>
  <c r="AY414" i="7"/>
  <c r="AX414" i="7"/>
  <c r="AW414" i="7"/>
  <c r="AV414" i="7"/>
  <c r="I414" i="7"/>
  <c r="H414" i="7"/>
  <c r="BK413" i="7"/>
  <c r="BJ413" i="7"/>
  <c r="BI413" i="7"/>
  <c r="BH413" i="7"/>
  <c r="BG413" i="7"/>
  <c r="BF413" i="7"/>
  <c r="BE413" i="7"/>
  <c r="BD413" i="7"/>
  <c r="BC413" i="7"/>
  <c r="BB413" i="7"/>
  <c r="BA413" i="7"/>
  <c r="AZ413" i="7"/>
  <c r="AY413" i="7"/>
  <c r="AX413" i="7"/>
  <c r="AW413" i="7"/>
  <c r="AV413" i="7"/>
  <c r="I413" i="7"/>
  <c r="H413" i="7"/>
  <c r="BK412" i="7"/>
  <c r="BJ412" i="7"/>
  <c r="BI412" i="7"/>
  <c r="BH412" i="7"/>
  <c r="BG412" i="7"/>
  <c r="BF412" i="7"/>
  <c r="BE412" i="7"/>
  <c r="BD412" i="7"/>
  <c r="BC412" i="7"/>
  <c r="BB412" i="7"/>
  <c r="BA412" i="7"/>
  <c r="AZ412" i="7"/>
  <c r="AY412" i="7"/>
  <c r="AX412" i="7"/>
  <c r="AW412" i="7"/>
  <c r="AV412" i="7"/>
  <c r="I412" i="7"/>
  <c r="H412" i="7"/>
  <c r="BK411" i="7"/>
  <c r="BJ411" i="7"/>
  <c r="BI411" i="7"/>
  <c r="BH411" i="7"/>
  <c r="BG411" i="7"/>
  <c r="BF411" i="7"/>
  <c r="BE411" i="7"/>
  <c r="BD411" i="7"/>
  <c r="BC411" i="7"/>
  <c r="BB411" i="7"/>
  <c r="BA411" i="7"/>
  <c r="AZ411" i="7"/>
  <c r="AY411" i="7"/>
  <c r="AX411" i="7"/>
  <c r="AW411" i="7"/>
  <c r="AV411" i="7"/>
  <c r="I411" i="7"/>
  <c r="H411" i="7"/>
  <c r="BK410" i="7"/>
  <c r="BJ410" i="7"/>
  <c r="BI410" i="7"/>
  <c r="BH410" i="7"/>
  <c r="BG410" i="7"/>
  <c r="BF410" i="7"/>
  <c r="BE410" i="7"/>
  <c r="BD410" i="7"/>
  <c r="BC410" i="7"/>
  <c r="BB410" i="7"/>
  <c r="BA410" i="7"/>
  <c r="AZ410" i="7"/>
  <c r="AY410" i="7"/>
  <c r="AX410" i="7"/>
  <c r="AW410" i="7"/>
  <c r="AV410" i="7"/>
  <c r="I410" i="7"/>
  <c r="H410" i="7"/>
  <c r="BK409" i="7"/>
  <c r="BJ409" i="7"/>
  <c r="BI409" i="7"/>
  <c r="BH409" i="7"/>
  <c r="BG409" i="7"/>
  <c r="BF409" i="7"/>
  <c r="BE409" i="7"/>
  <c r="BD409" i="7"/>
  <c r="BC409" i="7"/>
  <c r="BB409" i="7"/>
  <c r="BA409" i="7"/>
  <c r="AZ409" i="7"/>
  <c r="AY409" i="7"/>
  <c r="AX409" i="7"/>
  <c r="AW409" i="7"/>
  <c r="AV409" i="7"/>
  <c r="I409" i="7"/>
  <c r="H409" i="7"/>
  <c r="BK408" i="7"/>
  <c r="BJ408" i="7"/>
  <c r="BI408" i="7"/>
  <c r="BH408" i="7"/>
  <c r="BG408" i="7"/>
  <c r="BF408" i="7"/>
  <c r="BE408" i="7"/>
  <c r="BD408" i="7"/>
  <c r="BC408" i="7"/>
  <c r="BB408" i="7"/>
  <c r="BA408" i="7"/>
  <c r="AZ408" i="7"/>
  <c r="AY408" i="7"/>
  <c r="AX408" i="7"/>
  <c r="AW408" i="7"/>
  <c r="AV408" i="7"/>
  <c r="I408" i="7"/>
  <c r="H408" i="7"/>
  <c r="BK407" i="7"/>
  <c r="BJ407" i="7"/>
  <c r="BI407" i="7"/>
  <c r="BH407" i="7"/>
  <c r="BG407" i="7"/>
  <c r="BF407" i="7"/>
  <c r="BE407" i="7"/>
  <c r="BD407" i="7"/>
  <c r="BC407" i="7"/>
  <c r="BB407" i="7"/>
  <c r="BA407" i="7"/>
  <c r="AZ407" i="7"/>
  <c r="AY407" i="7"/>
  <c r="AX407" i="7"/>
  <c r="AW407" i="7"/>
  <c r="AV407" i="7"/>
  <c r="I407" i="7"/>
  <c r="H407" i="7"/>
  <c r="BK406" i="7"/>
  <c r="BJ406" i="7"/>
  <c r="BI406" i="7"/>
  <c r="BH406" i="7"/>
  <c r="BG406" i="7"/>
  <c r="BF406" i="7"/>
  <c r="BE406" i="7"/>
  <c r="BD406" i="7"/>
  <c r="BC406" i="7"/>
  <c r="BB406" i="7"/>
  <c r="BA406" i="7"/>
  <c r="AZ406" i="7"/>
  <c r="AY406" i="7"/>
  <c r="AX406" i="7"/>
  <c r="AW406" i="7"/>
  <c r="AV406" i="7"/>
  <c r="I406" i="7"/>
  <c r="H406" i="7"/>
  <c r="BK405" i="7"/>
  <c r="BJ405" i="7"/>
  <c r="BI405" i="7"/>
  <c r="BH405" i="7"/>
  <c r="BG405" i="7"/>
  <c r="BF405" i="7"/>
  <c r="BE405" i="7"/>
  <c r="BD405" i="7"/>
  <c r="BC405" i="7"/>
  <c r="BB405" i="7"/>
  <c r="BA405" i="7"/>
  <c r="AZ405" i="7"/>
  <c r="AY405" i="7"/>
  <c r="AX405" i="7"/>
  <c r="AW405" i="7"/>
  <c r="AV405" i="7"/>
  <c r="I405" i="7"/>
  <c r="H405" i="7"/>
  <c r="BK404" i="7"/>
  <c r="BJ404" i="7"/>
  <c r="BI404" i="7"/>
  <c r="BH404" i="7"/>
  <c r="BG404" i="7"/>
  <c r="BF404" i="7"/>
  <c r="BE404" i="7"/>
  <c r="BD404" i="7"/>
  <c r="BC404" i="7"/>
  <c r="BB404" i="7"/>
  <c r="BA404" i="7"/>
  <c r="AZ404" i="7"/>
  <c r="AY404" i="7"/>
  <c r="AX404" i="7"/>
  <c r="AW404" i="7"/>
  <c r="AV404" i="7"/>
  <c r="I404" i="7"/>
  <c r="H404" i="7"/>
  <c r="BK403" i="7"/>
  <c r="BJ403" i="7"/>
  <c r="BI403" i="7"/>
  <c r="BH403" i="7"/>
  <c r="BG403" i="7"/>
  <c r="BF403" i="7"/>
  <c r="BE403" i="7"/>
  <c r="BD403" i="7"/>
  <c r="BC403" i="7"/>
  <c r="BB403" i="7"/>
  <c r="BA403" i="7"/>
  <c r="AZ403" i="7"/>
  <c r="AY403" i="7"/>
  <c r="AX403" i="7"/>
  <c r="AW403" i="7"/>
  <c r="AV403" i="7"/>
  <c r="I403" i="7"/>
  <c r="H403" i="7"/>
  <c r="BK402" i="7"/>
  <c r="BJ402" i="7"/>
  <c r="BI402" i="7"/>
  <c r="BH402" i="7"/>
  <c r="BG402" i="7"/>
  <c r="BF402" i="7"/>
  <c r="BE402" i="7"/>
  <c r="BD402" i="7"/>
  <c r="BC402" i="7"/>
  <c r="BB402" i="7"/>
  <c r="BA402" i="7"/>
  <c r="AZ402" i="7"/>
  <c r="AY402" i="7"/>
  <c r="AX402" i="7"/>
  <c r="AW402" i="7"/>
  <c r="AV402" i="7"/>
  <c r="I402" i="7"/>
  <c r="H402" i="7"/>
  <c r="BK401" i="7"/>
  <c r="BJ401" i="7"/>
  <c r="BI401" i="7"/>
  <c r="BH401" i="7"/>
  <c r="BG401" i="7"/>
  <c r="BF401" i="7"/>
  <c r="BE401" i="7"/>
  <c r="BD401" i="7"/>
  <c r="BC401" i="7"/>
  <c r="BB401" i="7"/>
  <c r="BA401" i="7"/>
  <c r="AZ401" i="7"/>
  <c r="AY401" i="7"/>
  <c r="AX401" i="7"/>
  <c r="AW401" i="7"/>
  <c r="AV401" i="7"/>
  <c r="I401" i="7"/>
  <c r="H401" i="7"/>
  <c r="BK400" i="7"/>
  <c r="BJ400" i="7"/>
  <c r="BI400" i="7"/>
  <c r="BH400" i="7"/>
  <c r="BG400" i="7"/>
  <c r="BF400" i="7"/>
  <c r="BE400" i="7"/>
  <c r="BD400" i="7"/>
  <c r="BC400" i="7"/>
  <c r="BB400" i="7"/>
  <c r="BA400" i="7"/>
  <c r="AZ400" i="7"/>
  <c r="AY400" i="7"/>
  <c r="AX400" i="7"/>
  <c r="AW400" i="7"/>
  <c r="AV400" i="7"/>
  <c r="I400" i="7"/>
  <c r="H400" i="7"/>
  <c r="BK399" i="7"/>
  <c r="BJ399" i="7"/>
  <c r="BI399" i="7"/>
  <c r="BH399" i="7"/>
  <c r="BG399" i="7"/>
  <c r="BF399" i="7"/>
  <c r="BE399" i="7"/>
  <c r="BD399" i="7"/>
  <c r="BC399" i="7"/>
  <c r="BB399" i="7"/>
  <c r="BA399" i="7"/>
  <c r="AZ399" i="7"/>
  <c r="AY399" i="7"/>
  <c r="AX399" i="7"/>
  <c r="AW399" i="7"/>
  <c r="AV399" i="7"/>
  <c r="I399" i="7"/>
  <c r="H399" i="7"/>
  <c r="BK398" i="7"/>
  <c r="BJ398" i="7"/>
  <c r="BI398" i="7"/>
  <c r="BH398" i="7"/>
  <c r="BG398" i="7"/>
  <c r="BF398" i="7"/>
  <c r="BE398" i="7"/>
  <c r="BD398" i="7"/>
  <c r="BC398" i="7"/>
  <c r="BB398" i="7"/>
  <c r="BA398" i="7"/>
  <c r="AZ398" i="7"/>
  <c r="AY398" i="7"/>
  <c r="AX398" i="7"/>
  <c r="AW398" i="7"/>
  <c r="AV398" i="7"/>
  <c r="I398" i="7"/>
  <c r="H398" i="7"/>
  <c r="BK397" i="7"/>
  <c r="BJ397" i="7"/>
  <c r="BI397" i="7"/>
  <c r="BH397" i="7"/>
  <c r="BG397" i="7"/>
  <c r="BF397" i="7"/>
  <c r="BE397" i="7"/>
  <c r="BD397" i="7"/>
  <c r="BC397" i="7"/>
  <c r="BB397" i="7"/>
  <c r="BA397" i="7"/>
  <c r="AZ397" i="7"/>
  <c r="AY397" i="7"/>
  <c r="AX397" i="7"/>
  <c r="AW397" i="7"/>
  <c r="AV397" i="7"/>
  <c r="I397" i="7"/>
  <c r="H397" i="7"/>
  <c r="BK396" i="7"/>
  <c r="BJ396" i="7"/>
  <c r="BI396" i="7"/>
  <c r="BH396" i="7"/>
  <c r="BG396" i="7"/>
  <c r="BF396" i="7"/>
  <c r="BE396" i="7"/>
  <c r="BD396" i="7"/>
  <c r="BC396" i="7"/>
  <c r="BB396" i="7"/>
  <c r="BA396" i="7"/>
  <c r="AZ396" i="7"/>
  <c r="AY396" i="7"/>
  <c r="AX396" i="7"/>
  <c r="AW396" i="7"/>
  <c r="AV396" i="7"/>
  <c r="I396" i="7"/>
  <c r="H396" i="7"/>
  <c r="BK395" i="7"/>
  <c r="BJ395" i="7"/>
  <c r="BI395" i="7"/>
  <c r="BH395" i="7"/>
  <c r="BG395" i="7"/>
  <c r="BF395" i="7"/>
  <c r="BE395" i="7"/>
  <c r="BD395" i="7"/>
  <c r="BC395" i="7"/>
  <c r="BB395" i="7"/>
  <c r="BA395" i="7"/>
  <c r="AZ395" i="7"/>
  <c r="AY395" i="7"/>
  <c r="AX395" i="7"/>
  <c r="AW395" i="7"/>
  <c r="AV395" i="7"/>
  <c r="I395" i="7"/>
  <c r="H395" i="7"/>
  <c r="BK394" i="7"/>
  <c r="BJ394" i="7"/>
  <c r="BI394" i="7"/>
  <c r="BH394" i="7"/>
  <c r="BG394" i="7"/>
  <c r="BF394" i="7"/>
  <c r="BE394" i="7"/>
  <c r="BD394" i="7"/>
  <c r="BC394" i="7"/>
  <c r="BB394" i="7"/>
  <c r="BA394" i="7"/>
  <c r="AZ394" i="7"/>
  <c r="AY394" i="7"/>
  <c r="AX394" i="7"/>
  <c r="AW394" i="7"/>
  <c r="AV394" i="7"/>
  <c r="I394" i="7"/>
  <c r="H394" i="7"/>
  <c r="BK393" i="7"/>
  <c r="BJ393" i="7"/>
  <c r="BI393" i="7"/>
  <c r="BH393" i="7"/>
  <c r="BG393" i="7"/>
  <c r="BF393" i="7"/>
  <c r="BE393" i="7"/>
  <c r="BD393" i="7"/>
  <c r="BC393" i="7"/>
  <c r="BB393" i="7"/>
  <c r="BA393" i="7"/>
  <c r="AZ393" i="7"/>
  <c r="AY393" i="7"/>
  <c r="AX393" i="7"/>
  <c r="AW393" i="7"/>
  <c r="AV393" i="7"/>
  <c r="I393" i="7"/>
  <c r="H393" i="7"/>
  <c r="BK392" i="7"/>
  <c r="BJ392" i="7"/>
  <c r="BI392" i="7"/>
  <c r="BH392" i="7"/>
  <c r="BG392" i="7"/>
  <c r="BF392" i="7"/>
  <c r="BE392" i="7"/>
  <c r="BD392" i="7"/>
  <c r="BC392" i="7"/>
  <c r="BB392" i="7"/>
  <c r="BA392" i="7"/>
  <c r="AZ392" i="7"/>
  <c r="AY392" i="7"/>
  <c r="AX392" i="7"/>
  <c r="AW392" i="7"/>
  <c r="AV392" i="7"/>
  <c r="I392" i="7"/>
  <c r="H392" i="7"/>
  <c r="BK391" i="7"/>
  <c r="BJ391" i="7"/>
  <c r="BI391" i="7"/>
  <c r="BH391" i="7"/>
  <c r="BG391" i="7"/>
  <c r="BF391" i="7"/>
  <c r="BE391" i="7"/>
  <c r="BD391" i="7"/>
  <c r="BC391" i="7"/>
  <c r="BB391" i="7"/>
  <c r="BA391" i="7"/>
  <c r="AZ391" i="7"/>
  <c r="AY391" i="7"/>
  <c r="AX391" i="7"/>
  <c r="AW391" i="7"/>
  <c r="AV391" i="7"/>
  <c r="I391" i="7"/>
  <c r="H391" i="7"/>
  <c r="BK390" i="7"/>
  <c r="BJ390" i="7"/>
  <c r="BI390" i="7"/>
  <c r="BH390" i="7"/>
  <c r="BG390" i="7"/>
  <c r="BF390" i="7"/>
  <c r="BE390" i="7"/>
  <c r="BD390" i="7"/>
  <c r="BC390" i="7"/>
  <c r="BB390" i="7"/>
  <c r="BA390" i="7"/>
  <c r="AZ390" i="7"/>
  <c r="AY390" i="7"/>
  <c r="AX390" i="7"/>
  <c r="AW390" i="7"/>
  <c r="AV390" i="7"/>
  <c r="I390" i="7"/>
  <c r="H390" i="7"/>
  <c r="BK389" i="7"/>
  <c r="BJ389" i="7"/>
  <c r="BI389" i="7"/>
  <c r="BH389" i="7"/>
  <c r="BG389" i="7"/>
  <c r="BF389" i="7"/>
  <c r="BE389" i="7"/>
  <c r="BD389" i="7"/>
  <c r="BC389" i="7"/>
  <c r="BB389" i="7"/>
  <c r="BA389" i="7"/>
  <c r="AZ389" i="7"/>
  <c r="AY389" i="7"/>
  <c r="AX389" i="7"/>
  <c r="AW389" i="7"/>
  <c r="AV389" i="7"/>
  <c r="I389" i="7"/>
  <c r="H389" i="7"/>
  <c r="BK388" i="7"/>
  <c r="BJ388" i="7"/>
  <c r="BI388" i="7"/>
  <c r="BH388" i="7"/>
  <c r="BG388" i="7"/>
  <c r="BF388" i="7"/>
  <c r="BE388" i="7"/>
  <c r="BD388" i="7"/>
  <c r="BC388" i="7"/>
  <c r="BB388" i="7"/>
  <c r="BA388" i="7"/>
  <c r="AZ388" i="7"/>
  <c r="AY388" i="7"/>
  <c r="AX388" i="7"/>
  <c r="AW388" i="7"/>
  <c r="AV388" i="7"/>
  <c r="I388" i="7"/>
  <c r="H388" i="7"/>
  <c r="BK387" i="7"/>
  <c r="BJ387" i="7"/>
  <c r="BI387" i="7"/>
  <c r="BH387" i="7"/>
  <c r="BG387" i="7"/>
  <c r="BF387" i="7"/>
  <c r="BE387" i="7"/>
  <c r="BD387" i="7"/>
  <c r="BC387" i="7"/>
  <c r="BB387" i="7"/>
  <c r="BA387" i="7"/>
  <c r="AZ387" i="7"/>
  <c r="AY387" i="7"/>
  <c r="AX387" i="7"/>
  <c r="AW387" i="7"/>
  <c r="AV387" i="7"/>
  <c r="I387" i="7"/>
  <c r="H387" i="7"/>
  <c r="BK386" i="7"/>
  <c r="BJ386" i="7"/>
  <c r="BI386" i="7"/>
  <c r="BH386" i="7"/>
  <c r="BG386" i="7"/>
  <c r="BF386" i="7"/>
  <c r="BE386" i="7"/>
  <c r="BD386" i="7"/>
  <c r="BC386" i="7"/>
  <c r="BB386" i="7"/>
  <c r="BA386" i="7"/>
  <c r="AZ386" i="7"/>
  <c r="AY386" i="7"/>
  <c r="AX386" i="7"/>
  <c r="AW386" i="7"/>
  <c r="AV386" i="7"/>
  <c r="I386" i="7"/>
  <c r="H386" i="7"/>
  <c r="BK385" i="7"/>
  <c r="BJ385" i="7"/>
  <c r="BI385" i="7"/>
  <c r="BH385" i="7"/>
  <c r="BG385" i="7"/>
  <c r="BF385" i="7"/>
  <c r="BE385" i="7"/>
  <c r="BD385" i="7"/>
  <c r="BC385" i="7"/>
  <c r="BB385" i="7"/>
  <c r="BA385" i="7"/>
  <c r="AZ385" i="7"/>
  <c r="AY385" i="7"/>
  <c r="AX385" i="7"/>
  <c r="AW385" i="7"/>
  <c r="AV385" i="7"/>
  <c r="I385" i="7"/>
  <c r="H385" i="7"/>
  <c r="BK384" i="7"/>
  <c r="BJ384" i="7"/>
  <c r="BI384" i="7"/>
  <c r="BH384" i="7"/>
  <c r="BG384" i="7"/>
  <c r="BF384" i="7"/>
  <c r="BE384" i="7"/>
  <c r="BD384" i="7"/>
  <c r="BC384" i="7"/>
  <c r="BB384" i="7"/>
  <c r="BA384" i="7"/>
  <c r="AZ384" i="7"/>
  <c r="AY384" i="7"/>
  <c r="AX384" i="7"/>
  <c r="AW384" i="7"/>
  <c r="AV384" i="7"/>
  <c r="I384" i="7"/>
  <c r="H384" i="7"/>
  <c r="BK383" i="7"/>
  <c r="BJ383" i="7"/>
  <c r="BI383" i="7"/>
  <c r="BH383" i="7"/>
  <c r="BG383" i="7"/>
  <c r="BF383" i="7"/>
  <c r="BE383" i="7"/>
  <c r="BD383" i="7"/>
  <c r="BC383" i="7"/>
  <c r="BB383" i="7"/>
  <c r="BA383" i="7"/>
  <c r="AZ383" i="7"/>
  <c r="AY383" i="7"/>
  <c r="AX383" i="7"/>
  <c r="AW383" i="7"/>
  <c r="AV383" i="7"/>
  <c r="I383" i="7"/>
  <c r="H383" i="7"/>
  <c r="BK382" i="7"/>
  <c r="BJ382" i="7"/>
  <c r="BI382" i="7"/>
  <c r="BH382" i="7"/>
  <c r="BG382" i="7"/>
  <c r="BF382" i="7"/>
  <c r="BE382" i="7"/>
  <c r="BD382" i="7"/>
  <c r="BC382" i="7"/>
  <c r="BB382" i="7"/>
  <c r="BA382" i="7"/>
  <c r="AZ382" i="7"/>
  <c r="AY382" i="7"/>
  <c r="AX382" i="7"/>
  <c r="AW382" i="7"/>
  <c r="AV382" i="7"/>
  <c r="I382" i="7"/>
  <c r="H382" i="7"/>
  <c r="BK381" i="7"/>
  <c r="BJ381" i="7"/>
  <c r="BI381" i="7"/>
  <c r="BH381" i="7"/>
  <c r="BG381" i="7"/>
  <c r="BF381" i="7"/>
  <c r="BE381" i="7"/>
  <c r="BD381" i="7"/>
  <c r="BC381" i="7"/>
  <c r="BB381" i="7"/>
  <c r="BA381" i="7"/>
  <c r="AZ381" i="7"/>
  <c r="AY381" i="7"/>
  <c r="AX381" i="7"/>
  <c r="AW381" i="7"/>
  <c r="AV381" i="7"/>
  <c r="I381" i="7"/>
  <c r="H381" i="7"/>
  <c r="BK380" i="7"/>
  <c r="BJ380" i="7"/>
  <c r="BI380" i="7"/>
  <c r="BH380" i="7"/>
  <c r="BG380" i="7"/>
  <c r="BF380" i="7"/>
  <c r="BE380" i="7"/>
  <c r="BD380" i="7"/>
  <c r="BC380" i="7"/>
  <c r="BB380" i="7"/>
  <c r="BA380" i="7"/>
  <c r="AZ380" i="7"/>
  <c r="AY380" i="7"/>
  <c r="AX380" i="7"/>
  <c r="AW380" i="7"/>
  <c r="AV380" i="7"/>
  <c r="I380" i="7"/>
  <c r="H380" i="7"/>
  <c r="BK379" i="7"/>
  <c r="BJ379" i="7"/>
  <c r="BI379" i="7"/>
  <c r="BH379" i="7"/>
  <c r="BG379" i="7"/>
  <c r="BF379" i="7"/>
  <c r="BE379" i="7"/>
  <c r="BD379" i="7"/>
  <c r="BC379" i="7"/>
  <c r="BB379" i="7"/>
  <c r="BA379" i="7"/>
  <c r="AZ379" i="7"/>
  <c r="AY379" i="7"/>
  <c r="AX379" i="7"/>
  <c r="AW379" i="7"/>
  <c r="AV379" i="7"/>
  <c r="I379" i="7"/>
  <c r="H379" i="7"/>
  <c r="BK378" i="7"/>
  <c r="BJ378" i="7"/>
  <c r="BI378" i="7"/>
  <c r="BH378" i="7"/>
  <c r="BG378" i="7"/>
  <c r="BF378" i="7"/>
  <c r="BE378" i="7"/>
  <c r="BD378" i="7"/>
  <c r="BC378" i="7"/>
  <c r="BB378" i="7"/>
  <c r="BA378" i="7"/>
  <c r="AZ378" i="7"/>
  <c r="AY378" i="7"/>
  <c r="AX378" i="7"/>
  <c r="AW378" i="7"/>
  <c r="AV378" i="7"/>
  <c r="I378" i="7"/>
  <c r="H378" i="7"/>
  <c r="BK377" i="7"/>
  <c r="BJ377" i="7"/>
  <c r="BI377" i="7"/>
  <c r="BH377" i="7"/>
  <c r="BG377" i="7"/>
  <c r="BF377" i="7"/>
  <c r="BE377" i="7"/>
  <c r="BD377" i="7"/>
  <c r="BC377" i="7"/>
  <c r="BB377" i="7"/>
  <c r="BA377" i="7"/>
  <c r="AZ377" i="7"/>
  <c r="AY377" i="7"/>
  <c r="AX377" i="7"/>
  <c r="AW377" i="7"/>
  <c r="AV377" i="7"/>
  <c r="I377" i="7"/>
  <c r="H377" i="7"/>
  <c r="BK376" i="7"/>
  <c r="BJ376" i="7"/>
  <c r="BI376" i="7"/>
  <c r="BH376" i="7"/>
  <c r="BG376" i="7"/>
  <c r="BF376" i="7"/>
  <c r="BE376" i="7"/>
  <c r="BD376" i="7"/>
  <c r="BC376" i="7"/>
  <c r="BB376" i="7"/>
  <c r="BA376" i="7"/>
  <c r="AZ376" i="7"/>
  <c r="AY376" i="7"/>
  <c r="AX376" i="7"/>
  <c r="AW376" i="7"/>
  <c r="AV376" i="7"/>
  <c r="I376" i="7"/>
  <c r="H376" i="7"/>
  <c r="BK375" i="7"/>
  <c r="BJ375" i="7"/>
  <c r="BI375" i="7"/>
  <c r="BH375" i="7"/>
  <c r="BG375" i="7"/>
  <c r="BF375" i="7"/>
  <c r="BE375" i="7"/>
  <c r="BD375" i="7"/>
  <c r="BC375" i="7"/>
  <c r="BB375" i="7"/>
  <c r="BA375" i="7"/>
  <c r="AZ375" i="7"/>
  <c r="AY375" i="7"/>
  <c r="AX375" i="7"/>
  <c r="AW375" i="7"/>
  <c r="AV375" i="7"/>
  <c r="I375" i="7"/>
  <c r="H375" i="7"/>
  <c r="BK374" i="7"/>
  <c r="BJ374" i="7"/>
  <c r="BI374" i="7"/>
  <c r="BH374" i="7"/>
  <c r="BG374" i="7"/>
  <c r="BF374" i="7"/>
  <c r="BE374" i="7"/>
  <c r="BD374" i="7"/>
  <c r="BC374" i="7"/>
  <c r="BB374" i="7"/>
  <c r="BA374" i="7"/>
  <c r="AZ374" i="7"/>
  <c r="AY374" i="7"/>
  <c r="AX374" i="7"/>
  <c r="AW374" i="7"/>
  <c r="AV374" i="7"/>
  <c r="I374" i="7"/>
  <c r="H374" i="7"/>
  <c r="BK373" i="7"/>
  <c r="BJ373" i="7"/>
  <c r="BI373" i="7"/>
  <c r="BH373" i="7"/>
  <c r="BG373" i="7"/>
  <c r="BF373" i="7"/>
  <c r="BE373" i="7"/>
  <c r="BD373" i="7"/>
  <c r="BC373" i="7"/>
  <c r="BB373" i="7"/>
  <c r="BA373" i="7"/>
  <c r="AZ373" i="7"/>
  <c r="AY373" i="7"/>
  <c r="AX373" i="7"/>
  <c r="AW373" i="7"/>
  <c r="AV373" i="7"/>
  <c r="I373" i="7"/>
  <c r="H373" i="7"/>
  <c r="BK372" i="7"/>
  <c r="BJ372" i="7"/>
  <c r="BI372" i="7"/>
  <c r="BH372" i="7"/>
  <c r="BG372" i="7"/>
  <c r="BF372" i="7"/>
  <c r="BE372" i="7"/>
  <c r="BD372" i="7"/>
  <c r="BC372" i="7"/>
  <c r="BB372" i="7"/>
  <c r="BA372" i="7"/>
  <c r="AZ372" i="7"/>
  <c r="AY372" i="7"/>
  <c r="AX372" i="7"/>
  <c r="AW372" i="7"/>
  <c r="AV372" i="7"/>
  <c r="I372" i="7"/>
  <c r="H372" i="7"/>
  <c r="BK371" i="7"/>
  <c r="BJ371" i="7"/>
  <c r="BI371" i="7"/>
  <c r="BH371" i="7"/>
  <c r="BG371" i="7"/>
  <c r="BF371" i="7"/>
  <c r="BE371" i="7"/>
  <c r="BD371" i="7"/>
  <c r="BC371" i="7"/>
  <c r="BB371" i="7"/>
  <c r="BA371" i="7"/>
  <c r="AZ371" i="7"/>
  <c r="AY371" i="7"/>
  <c r="AX371" i="7"/>
  <c r="AW371" i="7"/>
  <c r="AV371" i="7"/>
  <c r="I371" i="7"/>
  <c r="H371" i="7"/>
  <c r="BK370" i="7"/>
  <c r="BJ370" i="7"/>
  <c r="BI370" i="7"/>
  <c r="BH370" i="7"/>
  <c r="BG370" i="7"/>
  <c r="BF370" i="7"/>
  <c r="BE370" i="7"/>
  <c r="BD370" i="7"/>
  <c r="BC370" i="7"/>
  <c r="BB370" i="7"/>
  <c r="BA370" i="7"/>
  <c r="AZ370" i="7"/>
  <c r="AY370" i="7"/>
  <c r="AX370" i="7"/>
  <c r="AW370" i="7"/>
  <c r="AV370" i="7"/>
  <c r="I370" i="7"/>
  <c r="H370" i="7"/>
  <c r="BK369" i="7"/>
  <c r="BJ369" i="7"/>
  <c r="BI369" i="7"/>
  <c r="BH369" i="7"/>
  <c r="BG369" i="7"/>
  <c r="BF369" i="7"/>
  <c r="BE369" i="7"/>
  <c r="BD369" i="7"/>
  <c r="BC369" i="7"/>
  <c r="BB369" i="7"/>
  <c r="BA369" i="7"/>
  <c r="AZ369" i="7"/>
  <c r="AY369" i="7"/>
  <c r="AX369" i="7"/>
  <c r="AW369" i="7"/>
  <c r="AV369" i="7"/>
  <c r="I369" i="7"/>
  <c r="H369" i="7"/>
  <c r="BK368" i="7"/>
  <c r="BJ368" i="7"/>
  <c r="BI368" i="7"/>
  <c r="BH368" i="7"/>
  <c r="BG368" i="7"/>
  <c r="BF368" i="7"/>
  <c r="BE368" i="7"/>
  <c r="BD368" i="7"/>
  <c r="BC368" i="7"/>
  <c r="BB368" i="7"/>
  <c r="BA368" i="7"/>
  <c r="AZ368" i="7"/>
  <c r="AY368" i="7"/>
  <c r="AX368" i="7"/>
  <c r="AW368" i="7"/>
  <c r="AV368" i="7"/>
  <c r="I368" i="7"/>
  <c r="H368" i="7"/>
  <c r="BK367" i="7"/>
  <c r="BJ367" i="7"/>
  <c r="BI367" i="7"/>
  <c r="BH367" i="7"/>
  <c r="BG367" i="7"/>
  <c r="BF367" i="7"/>
  <c r="BE367" i="7"/>
  <c r="BD367" i="7"/>
  <c r="BC367" i="7"/>
  <c r="BB367" i="7"/>
  <c r="BA367" i="7"/>
  <c r="AZ367" i="7"/>
  <c r="AY367" i="7"/>
  <c r="AX367" i="7"/>
  <c r="AW367" i="7"/>
  <c r="AV367" i="7"/>
  <c r="I367" i="7"/>
  <c r="H367" i="7"/>
  <c r="BK366" i="7"/>
  <c r="BJ366" i="7"/>
  <c r="BI366" i="7"/>
  <c r="BH366" i="7"/>
  <c r="BG366" i="7"/>
  <c r="BF366" i="7"/>
  <c r="BE366" i="7"/>
  <c r="BD366" i="7"/>
  <c r="BC366" i="7"/>
  <c r="BB366" i="7"/>
  <c r="BA366" i="7"/>
  <c r="AZ366" i="7"/>
  <c r="AY366" i="7"/>
  <c r="AX366" i="7"/>
  <c r="AW366" i="7"/>
  <c r="AV366" i="7"/>
  <c r="I366" i="7"/>
  <c r="H366" i="7"/>
  <c r="BK365" i="7"/>
  <c r="BJ365" i="7"/>
  <c r="BI365" i="7"/>
  <c r="BH365" i="7"/>
  <c r="BG365" i="7"/>
  <c r="BF365" i="7"/>
  <c r="BE365" i="7"/>
  <c r="BD365" i="7"/>
  <c r="BC365" i="7"/>
  <c r="BB365" i="7"/>
  <c r="BA365" i="7"/>
  <c r="AZ365" i="7"/>
  <c r="AY365" i="7"/>
  <c r="AX365" i="7"/>
  <c r="AW365" i="7"/>
  <c r="AV365" i="7"/>
  <c r="I365" i="7"/>
  <c r="H365" i="7"/>
  <c r="BK364" i="7"/>
  <c r="BJ364" i="7"/>
  <c r="BI364" i="7"/>
  <c r="BH364" i="7"/>
  <c r="BG364" i="7"/>
  <c r="BF364" i="7"/>
  <c r="BE364" i="7"/>
  <c r="BD364" i="7"/>
  <c r="BC364" i="7"/>
  <c r="BB364" i="7"/>
  <c r="BA364" i="7"/>
  <c r="AZ364" i="7"/>
  <c r="AY364" i="7"/>
  <c r="AX364" i="7"/>
  <c r="AW364" i="7"/>
  <c r="AV364" i="7"/>
  <c r="I364" i="7"/>
  <c r="H364" i="7"/>
  <c r="BK363" i="7"/>
  <c r="BJ363" i="7"/>
  <c r="BI363" i="7"/>
  <c r="BH363" i="7"/>
  <c r="BG363" i="7"/>
  <c r="BF363" i="7"/>
  <c r="BE363" i="7"/>
  <c r="BD363" i="7"/>
  <c r="BC363" i="7"/>
  <c r="BB363" i="7"/>
  <c r="BA363" i="7"/>
  <c r="AZ363" i="7"/>
  <c r="AY363" i="7"/>
  <c r="AX363" i="7"/>
  <c r="AW363" i="7"/>
  <c r="AV363" i="7"/>
  <c r="I363" i="7"/>
  <c r="H363" i="7"/>
  <c r="BK362" i="7"/>
  <c r="BJ362" i="7"/>
  <c r="BI362" i="7"/>
  <c r="BH362" i="7"/>
  <c r="BG362" i="7"/>
  <c r="BF362" i="7"/>
  <c r="BE362" i="7"/>
  <c r="BD362" i="7"/>
  <c r="BC362" i="7"/>
  <c r="BB362" i="7"/>
  <c r="BA362" i="7"/>
  <c r="AZ362" i="7"/>
  <c r="AY362" i="7"/>
  <c r="AX362" i="7"/>
  <c r="AW362" i="7"/>
  <c r="AV362" i="7"/>
  <c r="I362" i="7"/>
  <c r="H362" i="7"/>
  <c r="BK361" i="7"/>
  <c r="BJ361" i="7"/>
  <c r="BI361" i="7"/>
  <c r="BH361" i="7"/>
  <c r="BG361" i="7"/>
  <c r="BF361" i="7"/>
  <c r="BE361" i="7"/>
  <c r="BD361" i="7"/>
  <c r="BC361" i="7"/>
  <c r="BB361" i="7"/>
  <c r="BA361" i="7"/>
  <c r="AZ361" i="7"/>
  <c r="AY361" i="7"/>
  <c r="AX361" i="7"/>
  <c r="AW361" i="7"/>
  <c r="AV361" i="7"/>
  <c r="I361" i="7"/>
  <c r="H361" i="7"/>
  <c r="BK360" i="7"/>
  <c r="BJ360" i="7"/>
  <c r="BI360" i="7"/>
  <c r="BH360" i="7"/>
  <c r="BG360" i="7"/>
  <c r="BF360" i="7"/>
  <c r="BE360" i="7"/>
  <c r="BD360" i="7"/>
  <c r="BC360" i="7"/>
  <c r="BB360" i="7"/>
  <c r="BA360" i="7"/>
  <c r="AZ360" i="7"/>
  <c r="AY360" i="7"/>
  <c r="AX360" i="7"/>
  <c r="AW360" i="7"/>
  <c r="AV360" i="7"/>
  <c r="I360" i="7"/>
  <c r="H360" i="7"/>
  <c r="BK359" i="7"/>
  <c r="BJ359" i="7"/>
  <c r="BI359" i="7"/>
  <c r="BH359" i="7"/>
  <c r="BG359" i="7"/>
  <c r="BF359" i="7"/>
  <c r="BE359" i="7"/>
  <c r="BD359" i="7"/>
  <c r="BC359" i="7"/>
  <c r="BB359" i="7"/>
  <c r="BA359" i="7"/>
  <c r="AZ359" i="7"/>
  <c r="AY359" i="7"/>
  <c r="AX359" i="7"/>
  <c r="AW359" i="7"/>
  <c r="AV359" i="7"/>
  <c r="I359" i="7"/>
  <c r="H359" i="7"/>
  <c r="BK358" i="7"/>
  <c r="BJ358" i="7"/>
  <c r="BI358" i="7"/>
  <c r="BH358" i="7"/>
  <c r="BG358" i="7"/>
  <c r="BF358" i="7"/>
  <c r="BE358" i="7"/>
  <c r="BD358" i="7"/>
  <c r="BC358" i="7"/>
  <c r="BB358" i="7"/>
  <c r="BA358" i="7"/>
  <c r="AZ358" i="7"/>
  <c r="AY358" i="7"/>
  <c r="AX358" i="7"/>
  <c r="AW358" i="7"/>
  <c r="AV358" i="7"/>
  <c r="I358" i="7"/>
  <c r="H358" i="7"/>
  <c r="BK357" i="7"/>
  <c r="BJ357" i="7"/>
  <c r="BI357" i="7"/>
  <c r="BH357" i="7"/>
  <c r="BG357" i="7"/>
  <c r="BF357" i="7"/>
  <c r="BE357" i="7"/>
  <c r="BD357" i="7"/>
  <c r="BC357" i="7"/>
  <c r="BB357" i="7"/>
  <c r="BA357" i="7"/>
  <c r="AZ357" i="7"/>
  <c r="AY357" i="7"/>
  <c r="AX357" i="7"/>
  <c r="AW357" i="7"/>
  <c r="AV357" i="7"/>
  <c r="I357" i="7"/>
  <c r="H357" i="7"/>
  <c r="BK356" i="7"/>
  <c r="BJ356" i="7"/>
  <c r="BI356" i="7"/>
  <c r="BH356" i="7"/>
  <c r="BG356" i="7"/>
  <c r="BF356" i="7"/>
  <c r="BE356" i="7"/>
  <c r="BD356" i="7"/>
  <c r="BC356" i="7"/>
  <c r="BB356" i="7"/>
  <c r="BA356" i="7"/>
  <c r="AZ356" i="7"/>
  <c r="AY356" i="7"/>
  <c r="AX356" i="7"/>
  <c r="AW356" i="7"/>
  <c r="AV356" i="7"/>
  <c r="I356" i="7"/>
  <c r="H356" i="7"/>
  <c r="BK355" i="7"/>
  <c r="BJ355" i="7"/>
  <c r="BI355" i="7"/>
  <c r="BH355" i="7"/>
  <c r="BG355" i="7"/>
  <c r="BF355" i="7"/>
  <c r="BE355" i="7"/>
  <c r="BD355" i="7"/>
  <c r="BC355" i="7"/>
  <c r="BB355" i="7"/>
  <c r="BA355" i="7"/>
  <c r="AZ355" i="7"/>
  <c r="AY355" i="7"/>
  <c r="AX355" i="7"/>
  <c r="AW355" i="7"/>
  <c r="AV355" i="7"/>
  <c r="I355" i="7"/>
  <c r="H355" i="7"/>
  <c r="BK354" i="7"/>
  <c r="BJ354" i="7"/>
  <c r="BI354" i="7"/>
  <c r="BH354" i="7"/>
  <c r="BG354" i="7"/>
  <c r="BF354" i="7"/>
  <c r="BE354" i="7"/>
  <c r="BD354" i="7"/>
  <c r="BC354" i="7"/>
  <c r="BB354" i="7"/>
  <c r="BA354" i="7"/>
  <c r="AZ354" i="7"/>
  <c r="AY354" i="7"/>
  <c r="AX354" i="7"/>
  <c r="AW354" i="7"/>
  <c r="AV354" i="7"/>
  <c r="I354" i="7"/>
  <c r="H354" i="7"/>
  <c r="BK353" i="7"/>
  <c r="BJ353" i="7"/>
  <c r="BI353" i="7"/>
  <c r="BH353" i="7"/>
  <c r="BG353" i="7"/>
  <c r="BF353" i="7"/>
  <c r="BE353" i="7"/>
  <c r="BD353" i="7"/>
  <c r="BC353" i="7"/>
  <c r="BB353" i="7"/>
  <c r="BA353" i="7"/>
  <c r="AZ353" i="7"/>
  <c r="AY353" i="7"/>
  <c r="AX353" i="7"/>
  <c r="AW353" i="7"/>
  <c r="AV353" i="7"/>
  <c r="I353" i="7"/>
  <c r="H353" i="7"/>
  <c r="BK352" i="7"/>
  <c r="BJ352" i="7"/>
  <c r="BI352" i="7"/>
  <c r="BH352" i="7"/>
  <c r="BG352" i="7"/>
  <c r="BF352" i="7"/>
  <c r="BE352" i="7"/>
  <c r="BD352" i="7"/>
  <c r="BC352" i="7"/>
  <c r="BB352" i="7"/>
  <c r="BA352" i="7"/>
  <c r="AZ352" i="7"/>
  <c r="AY352" i="7"/>
  <c r="AX352" i="7"/>
  <c r="AW352" i="7"/>
  <c r="AV352" i="7"/>
  <c r="I352" i="7"/>
  <c r="H352" i="7"/>
  <c r="BK351" i="7"/>
  <c r="BJ351" i="7"/>
  <c r="BI351" i="7"/>
  <c r="BH351" i="7"/>
  <c r="BG351" i="7"/>
  <c r="BF351" i="7"/>
  <c r="BE351" i="7"/>
  <c r="BD351" i="7"/>
  <c r="BC351" i="7"/>
  <c r="BB351" i="7"/>
  <c r="BA351" i="7"/>
  <c r="AZ351" i="7"/>
  <c r="AY351" i="7"/>
  <c r="AX351" i="7"/>
  <c r="AW351" i="7"/>
  <c r="AV351" i="7"/>
  <c r="I351" i="7"/>
  <c r="H351" i="7"/>
  <c r="BK350" i="7"/>
  <c r="BJ350" i="7"/>
  <c r="BI350" i="7"/>
  <c r="BH350" i="7"/>
  <c r="BG350" i="7"/>
  <c r="BF350" i="7"/>
  <c r="BE350" i="7"/>
  <c r="BD350" i="7"/>
  <c r="BC350" i="7"/>
  <c r="BB350" i="7"/>
  <c r="BA350" i="7"/>
  <c r="AZ350" i="7"/>
  <c r="AY350" i="7"/>
  <c r="AX350" i="7"/>
  <c r="AW350" i="7"/>
  <c r="AV350" i="7"/>
  <c r="I350" i="7"/>
  <c r="H350" i="7"/>
  <c r="BK349" i="7"/>
  <c r="BJ349" i="7"/>
  <c r="BI349" i="7"/>
  <c r="BH349" i="7"/>
  <c r="BG349" i="7"/>
  <c r="BF349" i="7"/>
  <c r="BE349" i="7"/>
  <c r="BD349" i="7"/>
  <c r="BC349" i="7"/>
  <c r="BB349" i="7"/>
  <c r="BA349" i="7"/>
  <c r="AZ349" i="7"/>
  <c r="AY349" i="7"/>
  <c r="AX349" i="7"/>
  <c r="AW349" i="7"/>
  <c r="AV349" i="7"/>
  <c r="I349" i="7"/>
  <c r="H349" i="7"/>
  <c r="BK348" i="7"/>
  <c r="BJ348" i="7"/>
  <c r="BI348" i="7"/>
  <c r="BH348" i="7"/>
  <c r="BG348" i="7"/>
  <c r="BF348" i="7"/>
  <c r="BE348" i="7"/>
  <c r="BD348" i="7"/>
  <c r="BC348" i="7"/>
  <c r="BB348" i="7"/>
  <c r="BA348" i="7"/>
  <c r="AZ348" i="7"/>
  <c r="AY348" i="7"/>
  <c r="AX348" i="7"/>
  <c r="AW348" i="7"/>
  <c r="AV348" i="7"/>
  <c r="I348" i="7"/>
  <c r="H348" i="7"/>
  <c r="BK347" i="7"/>
  <c r="BJ347" i="7"/>
  <c r="BI347" i="7"/>
  <c r="BH347" i="7"/>
  <c r="BG347" i="7"/>
  <c r="BF347" i="7"/>
  <c r="BE347" i="7"/>
  <c r="BD347" i="7"/>
  <c r="BC347" i="7"/>
  <c r="BB347" i="7"/>
  <c r="BA347" i="7"/>
  <c r="AZ347" i="7"/>
  <c r="AY347" i="7"/>
  <c r="AX347" i="7"/>
  <c r="AW347" i="7"/>
  <c r="AV347" i="7"/>
  <c r="I347" i="7"/>
  <c r="H347" i="7"/>
  <c r="BK346" i="7"/>
  <c r="BJ346" i="7"/>
  <c r="BI346" i="7"/>
  <c r="BH346" i="7"/>
  <c r="BG346" i="7"/>
  <c r="BF346" i="7"/>
  <c r="BE346" i="7"/>
  <c r="BD346" i="7"/>
  <c r="BC346" i="7"/>
  <c r="BB346" i="7"/>
  <c r="BA346" i="7"/>
  <c r="AZ346" i="7"/>
  <c r="AY346" i="7"/>
  <c r="AX346" i="7"/>
  <c r="AW346" i="7"/>
  <c r="AV346" i="7"/>
  <c r="I346" i="7"/>
  <c r="H346" i="7"/>
  <c r="BK345" i="7"/>
  <c r="BJ345" i="7"/>
  <c r="BI345" i="7"/>
  <c r="BH345" i="7"/>
  <c r="BG345" i="7"/>
  <c r="BF345" i="7"/>
  <c r="BE345" i="7"/>
  <c r="BD345" i="7"/>
  <c r="BC345" i="7"/>
  <c r="BB345" i="7"/>
  <c r="BA345" i="7"/>
  <c r="AZ345" i="7"/>
  <c r="AY345" i="7"/>
  <c r="AX345" i="7"/>
  <c r="AW345" i="7"/>
  <c r="AV345" i="7"/>
  <c r="I345" i="7"/>
  <c r="H345" i="7"/>
  <c r="BK344" i="7"/>
  <c r="BJ344" i="7"/>
  <c r="BI344" i="7"/>
  <c r="BH344" i="7"/>
  <c r="BG344" i="7"/>
  <c r="BF344" i="7"/>
  <c r="BE344" i="7"/>
  <c r="BD344" i="7"/>
  <c r="BC344" i="7"/>
  <c r="BB344" i="7"/>
  <c r="BA344" i="7"/>
  <c r="AZ344" i="7"/>
  <c r="AY344" i="7"/>
  <c r="AX344" i="7"/>
  <c r="AW344" i="7"/>
  <c r="AV344" i="7"/>
  <c r="I344" i="7"/>
  <c r="H344" i="7"/>
  <c r="BK343" i="7"/>
  <c r="BJ343" i="7"/>
  <c r="BI343" i="7"/>
  <c r="BH343" i="7"/>
  <c r="BG343" i="7"/>
  <c r="BF343" i="7"/>
  <c r="BE343" i="7"/>
  <c r="BD343" i="7"/>
  <c r="BC343" i="7"/>
  <c r="BB343" i="7"/>
  <c r="BA343" i="7"/>
  <c r="AZ343" i="7"/>
  <c r="AY343" i="7"/>
  <c r="AX343" i="7"/>
  <c r="AW343" i="7"/>
  <c r="AV343" i="7"/>
  <c r="I343" i="7"/>
  <c r="H343" i="7"/>
  <c r="BK342" i="7"/>
  <c r="BJ342" i="7"/>
  <c r="BI342" i="7"/>
  <c r="BH342" i="7"/>
  <c r="BG342" i="7"/>
  <c r="BF342" i="7"/>
  <c r="BE342" i="7"/>
  <c r="BD342" i="7"/>
  <c r="BC342" i="7"/>
  <c r="BB342" i="7"/>
  <c r="BA342" i="7"/>
  <c r="AZ342" i="7"/>
  <c r="AY342" i="7"/>
  <c r="AX342" i="7"/>
  <c r="AW342" i="7"/>
  <c r="AV342" i="7"/>
  <c r="I342" i="7"/>
  <c r="H342" i="7"/>
  <c r="BK341" i="7"/>
  <c r="BJ341" i="7"/>
  <c r="BI341" i="7"/>
  <c r="BH341" i="7"/>
  <c r="BG341" i="7"/>
  <c r="BF341" i="7"/>
  <c r="BE341" i="7"/>
  <c r="BD341" i="7"/>
  <c r="BC341" i="7"/>
  <c r="BB341" i="7"/>
  <c r="BA341" i="7"/>
  <c r="AZ341" i="7"/>
  <c r="AY341" i="7"/>
  <c r="AX341" i="7"/>
  <c r="AW341" i="7"/>
  <c r="AV341" i="7"/>
  <c r="I341" i="7"/>
  <c r="H341" i="7"/>
  <c r="BK340" i="7"/>
  <c r="BJ340" i="7"/>
  <c r="BI340" i="7"/>
  <c r="BH340" i="7"/>
  <c r="BG340" i="7"/>
  <c r="BF340" i="7"/>
  <c r="BE340" i="7"/>
  <c r="BD340" i="7"/>
  <c r="BC340" i="7"/>
  <c r="BB340" i="7"/>
  <c r="BA340" i="7"/>
  <c r="AZ340" i="7"/>
  <c r="AY340" i="7"/>
  <c r="AX340" i="7"/>
  <c r="AW340" i="7"/>
  <c r="AV340" i="7"/>
  <c r="I340" i="7"/>
  <c r="H340" i="7"/>
  <c r="BK339" i="7"/>
  <c r="BJ339" i="7"/>
  <c r="BI339" i="7"/>
  <c r="BH339" i="7"/>
  <c r="BG339" i="7"/>
  <c r="BF339" i="7"/>
  <c r="BE339" i="7"/>
  <c r="BD339" i="7"/>
  <c r="BC339" i="7"/>
  <c r="BB339" i="7"/>
  <c r="BA339" i="7"/>
  <c r="AZ339" i="7"/>
  <c r="AY339" i="7"/>
  <c r="AX339" i="7"/>
  <c r="AW339" i="7"/>
  <c r="AV339" i="7"/>
  <c r="I339" i="7"/>
  <c r="H339" i="7"/>
  <c r="BK338" i="7"/>
  <c r="BJ338" i="7"/>
  <c r="BI338" i="7"/>
  <c r="BH338" i="7"/>
  <c r="BG338" i="7"/>
  <c r="BF338" i="7"/>
  <c r="BE338" i="7"/>
  <c r="BD338" i="7"/>
  <c r="BC338" i="7"/>
  <c r="BB338" i="7"/>
  <c r="BA338" i="7"/>
  <c r="AZ338" i="7"/>
  <c r="AY338" i="7"/>
  <c r="AX338" i="7"/>
  <c r="AW338" i="7"/>
  <c r="AV338" i="7"/>
  <c r="I338" i="7"/>
  <c r="H338" i="7"/>
  <c r="BK337" i="7"/>
  <c r="BJ337" i="7"/>
  <c r="BI337" i="7"/>
  <c r="BH337" i="7"/>
  <c r="BG337" i="7"/>
  <c r="BF337" i="7"/>
  <c r="BE337" i="7"/>
  <c r="BD337" i="7"/>
  <c r="BC337" i="7"/>
  <c r="BB337" i="7"/>
  <c r="BA337" i="7"/>
  <c r="AZ337" i="7"/>
  <c r="AY337" i="7"/>
  <c r="AX337" i="7"/>
  <c r="AW337" i="7"/>
  <c r="AV337" i="7"/>
  <c r="I337" i="7"/>
  <c r="H337" i="7"/>
  <c r="BK336" i="7"/>
  <c r="BJ336" i="7"/>
  <c r="BI336" i="7"/>
  <c r="BH336" i="7"/>
  <c r="BG336" i="7"/>
  <c r="BF336" i="7"/>
  <c r="BE336" i="7"/>
  <c r="BD336" i="7"/>
  <c r="BC336" i="7"/>
  <c r="BB336" i="7"/>
  <c r="BA336" i="7"/>
  <c r="AZ336" i="7"/>
  <c r="AY336" i="7"/>
  <c r="AX336" i="7"/>
  <c r="AW336" i="7"/>
  <c r="AV336" i="7"/>
  <c r="I336" i="7"/>
  <c r="H336" i="7"/>
  <c r="BK335" i="7"/>
  <c r="BJ335" i="7"/>
  <c r="BI335" i="7"/>
  <c r="BH335" i="7"/>
  <c r="BG335" i="7"/>
  <c r="BF335" i="7"/>
  <c r="BE335" i="7"/>
  <c r="BD335" i="7"/>
  <c r="BC335" i="7"/>
  <c r="BB335" i="7"/>
  <c r="BA335" i="7"/>
  <c r="AZ335" i="7"/>
  <c r="AY335" i="7"/>
  <c r="AX335" i="7"/>
  <c r="AW335" i="7"/>
  <c r="AV335" i="7"/>
  <c r="I335" i="7"/>
  <c r="H335" i="7"/>
  <c r="BK334" i="7"/>
  <c r="BJ334" i="7"/>
  <c r="BI334" i="7"/>
  <c r="BH334" i="7"/>
  <c r="BG334" i="7"/>
  <c r="BF334" i="7"/>
  <c r="BE334" i="7"/>
  <c r="BD334" i="7"/>
  <c r="BC334" i="7"/>
  <c r="BB334" i="7"/>
  <c r="BA334" i="7"/>
  <c r="AZ334" i="7"/>
  <c r="AY334" i="7"/>
  <c r="AX334" i="7"/>
  <c r="AW334" i="7"/>
  <c r="AV334" i="7"/>
  <c r="I334" i="7"/>
  <c r="H334" i="7"/>
  <c r="BK333" i="7"/>
  <c r="BJ333" i="7"/>
  <c r="BI333" i="7"/>
  <c r="BH333" i="7"/>
  <c r="BG333" i="7"/>
  <c r="BF333" i="7"/>
  <c r="BE333" i="7"/>
  <c r="BD333" i="7"/>
  <c r="BC333" i="7"/>
  <c r="BB333" i="7"/>
  <c r="BA333" i="7"/>
  <c r="AZ333" i="7"/>
  <c r="AY333" i="7"/>
  <c r="AX333" i="7"/>
  <c r="AW333" i="7"/>
  <c r="AV333" i="7"/>
  <c r="I333" i="7"/>
  <c r="H333" i="7"/>
  <c r="BK332" i="7"/>
  <c r="BJ332" i="7"/>
  <c r="BI332" i="7"/>
  <c r="BH332" i="7"/>
  <c r="BG332" i="7"/>
  <c r="BF332" i="7"/>
  <c r="BE332" i="7"/>
  <c r="BD332" i="7"/>
  <c r="BC332" i="7"/>
  <c r="BB332" i="7"/>
  <c r="BA332" i="7"/>
  <c r="AZ332" i="7"/>
  <c r="AY332" i="7"/>
  <c r="AX332" i="7"/>
  <c r="AW332" i="7"/>
  <c r="AV332" i="7"/>
  <c r="I332" i="7"/>
  <c r="H332" i="7"/>
  <c r="BK331" i="7"/>
  <c r="BJ331" i="7"/>
  <c r="BI331" i="7"/>
  <c r="BH331" i="7"/>
  <c r="BG331" i="7"/>
  <c r="BF331" i="7"/>
  <c r="BE331" i="7"/>
  <c r="BD331" i="7"/>
  <c r="BC331" i="7"/>
  <c r="BB331" i="7"/>
  <c r="BA331" i="7"/>
  <c r="AZ331" i="7"/>
  <c r="AY331" i="7"/>
  <c r="AX331" i="7"/>
  <c r="AW331" i="7"/>
  <c r="AV331" i="7"/>
  <c r="I331" i="7"/>
  <c r="H331" i="7"/>
  <c r="BK330" i="7"/>
  <c r="BJ330" i="7"/>
  <c r="BI330" i="7"/>
  <c r="BH330" i="7"/>
  <c r="BG330" i="7"/>
  <c r="BF330" i="7"/>
  <c r="BE330" i="7"/>
  <c r="BD330" i="7"/>
  <c r="BC330" i="7"/>
  <c r="BB330" i="7"/>
  <c r="BA330" i="7"/>
  <c r="AZ330" i="7"/>
  <c r="AY330" i="7"/>
  <c r="AX330" i="7"/>
  <c r="AW330" i="7"/>
  <c r="AV330" i="7"/>
  <c r="I330" i="7"/>
  <c r="H330" i="7"/>
  <c r="BK329" i="7"/>
  <c r="BJ329" i="7"/>
  <c r="BI329" i="7"/>
  <c r="BH329" i="7"/>
  <c r="BG329" i="7"/>
  <c r="BF329" i="7"/>
  <c r="BE329" i="7"/>
  <c r="BD329" i="7"/>
  <c r="BC329" i="7"/>
  <c r="BB329" i="7"/>
  <c r="BA329" i="7"/>
  <c r="AZ329" i="7"/>
  <c r="AY329" i="7"/>
  <c r="AX329" i="7"/>
  <c r="AW329" i="7"/>
  <c r="AV329" i="7"/>
  <c r="I329" i="7"/>
  <c r="H329" i="7"/>
  <c r="BK328" i="7"/>
  <c r="BJ328" i="7"/>
  <c r="BI328" i="7"/>
  <c r="BH328" i="7"/>
  <c r="BG328" i="7"/>
  <c r="BF328" i="7"/>
  <c r="BE328" i="7"/>
  <c r="BD328" i="7"/>
  <c r="BC328" i="7"/>
  <c r="BB328" i="7"/>
  <c r="BA328" i="7"/>
  <c r="AZ328" i="7"/>
  <c r="AY328" i="7"/>
  <c r="AX328" i="7"/>
  <c r="AW328" i="7"/>
  <c r="AV328" i="7"/>
  <c r="I328" i="7"/>
  <c r="H328" i="7"/>
  <c r="BK327" i="7"/>
  <c r="BJ327" i="7"/>
  <c r="BI327" i="7"/>
  <c r="BH327" i="7"/>
  <c r="BG327" i="7"/>
  <c r="BF327" i="7"/>
  <c r="BE327" i="7"/>
  <c r="BD327" i="7"/>
  <c r="BC327" i="7"/>
  <c r="BB327" i="7"/>
  <c r="BA327" i="7"/>
  <c r="AZ327" i="7"/>
  <c r="AY327" i="7"/>
  <c r="AX327" i="7"/>
  <c r="AW327" i="7"/>
  <c r="AV327" i="7"/>
  <c r="I327" i="7"/>
  <c r="H327" i="7"/>
  <c r="BK326" i="7"/>
  <c r="BJ326" i="7"/>
  <c r="BI326" i="7"/>
  <c r="BH326" i="7"/>
  <c r="BG326" i="7"/>
  <c r="BF326" i="7"/>
  <c r="BE326" i="7"/>
  <c r="BD326" i="7"/>
  <c r="BC326" i="7"/>
  <c r="BB326" i="7"/>
  <c r="BA326" i="7"/>
  <c r="AZ326" i="7"/>
  <c r="AY326" i="7"/>
  <c r="AX326" i="7"/>
  <c r="AW326" i="7"/>
  <c r="AV326" i="7"/>
  <c r="I326" i="7"/>
  <c r="H326" i="7"/>
  <c r="BK325" i="7"/>
  <c r="BJ325" i="7"/>
  <c r="BI325" i="7"/>
  <c r="BH325" i="7"/>
  <c r="BG325" i="7"/>
  <c r="BF325" i="7"/>
  <c r="BE325" i="7"/>
  <c r="BD325" i="7"/>
  <c r="BC325" i="7"/>
  <c r="BB325" i="7"/>
  <c r="BA325" i="7"/>
  <c r="AZ325" i="7"/>
  <c r="AY325" i="7"/>
  <c r="AX325" i="7"/>
  <c r="AW325" i="7"/>
  <c r="AV325" i="7"/>
  <c r="I325" i="7"/>
  <c r="H325" i="7"/>
  <c r="BK324" i="7"/>
  <c r="BJ324" i="7"/>
  <c r="BI324" i="7"/>
  <c r="BH324" i="7"/>
  <c r="BG324" i="7"/>
  <c r="BF324" i="7"/>
  <c r="BE324" i="7"/>
  <c r="BD324" i="7"/>
  <c r="BC324" i="7"/>
  <c r="BB324" i="7"/>
  <c r="BA324" i="7"/>
  <c r="AZ324" i="7"/>
  <c r="AY324" i="7"/>
  <c r="AX324" i="7"/>
  <c r="AW324" i="7"/>
  <c r="AV324" i="7"/>
  <c r="I324" i="7"/>
  <c r="H324" i="7"/>
  <c r="BK323" i="7"/>
  <c r="BJ323" i="7"/>
  <c r="BI323" i="7"/>
  <c r="BH323" i="7"/>
  <c r="BG323" i="7"/>
  <c r="BF323" i="7"/>
  <c r="BE323" i="7"/>
  <c r="BD323" i="7"/>
  <c r="BC323" i="7"/>
  <c r="BB323" i="7"/>
  <c r="BA323" i="7"/>
  <c r="AZ323" i="7"/>
  <c r="AY323" i="7"/>
  <c r="AX323" i="7"/>
  <c r="AW323" i="7"/>
  <c r="AV323" i="7"/>
  <c r="I323" i="7"/>
  <c r="H323" i="7"/>
  <c r="BK322" i="7"/>
  <c r="BJ322" i="7"/>
  <c r="BI322" i="7"/>
  <c r="BH322" i="7"/>
  <c r="BG322" i="7"/>
  <c r="BF322" i="7"/>
  <c r="BE322" i="7"/>
  <c r="BD322" i="7"/>
  <c r="BC322" i="7"/>
  <c r="BB322" i="7"/>
  <c r="BA322" i="7"/>
  <c r="AZ322" i="7"/>
  <c r="AY322" i="7"/>
  <c r="AX322" i="7"/>
  <c r="AW322" i="7"/>
  <c r="AV322" i="7"/>
  <c r="I322" i="7"/>
  <c r="H322" i="7"/>
  <c r="BK321" i="7"/>
  <c r="BJ321" i="7"/>
  <c r="BI321" i="7"/>
  <c r="BH321" i="7"/>
  <c r="BG321" i="7"/>
  <c r="BF321" i="7"/>
  <c r="BE321" i="7"/>
  <c r="BD321" i="7"/>
  <c r="BC321" i="7"/>
  <c r="BB321" i="7"/>
  <c r="BA321" i="7"/>
  <c r="AZ321" i="7"/>
  <c r="AY321" i="7"/>
  <c r="AX321" i="7"/>
  <c r="AW321" i="7"/>
  <c r="AV321" i="7"/>
  <c r="I321" i="7"/>
  <c r="H321" i="7"/>
  <c r="BK320" i="7"/>
  <c r="BJ320" i="7"/>
  <c r="BI320" i="7"/>
  <c r="BH320" i="7"/>
  <c r="BG320" i="7"/>
  <c r="BF320" i="7"/>
  <c r="BE320" i="7"/>
  <c r="BD320" i="7"/>
  <c r="BC320" i="7"/>
  <c r="BB320" i="7"/>
  <c r="BA320" i="7"/>
  <c r="AZ320" i="7"/>
  <c r="AY320" i="7"/>
  <c r="AX320" i="7"/>
  <c r="AW320" i="7"/>
  <c r="AV320" i="7"/>
  <c r="I320" i="7"/>
  <c r="H320" i="7"/>
  <c r="BK319" i="7"/>
  <c r="BJ319" i="7"/>
  <c r="BI319" i="7"/>
  <c r="BH319" i="7"/>
  <c r="BG319" i="7"/>
  <c r="BF319" i="7"/>
  <c r="BE319" i="7"/>
  <c r="BD319" i="7"/>
  <c r="BC319" i="7"/>
  <c r="BB319" i="7"/>
  <c r="BA319" i="7"/>
  <c r="AZ319" i="7"/>
  <c r="AY319" i="7"/>
  <c r="AX319" i="7"/>
  <c r="AW319" i="7"/>
  <c r="AV319" i="7"/>
  <c r="I319" i="7"/>
  <c r="H319" i="7"/>
  <c r="BK318" i="7"/>
  <c r="BJ318" i="7"/>
  <c r="BI318" i="7"/>
  <c r="BH318" i="7"/>
  <c r="BG318" i="7"/>
  <c r="BF318" i="7"/>
  <c r="BE318" i="7"/>
  <c r="BD318" i="7"/>
  <c r="BC318" i="7"/>
  <c r="BB318" i="7"/>
  <c r="BA318" i="7"/>
  <c r="AZ318" i="7"/>
  <c r="AY318" i="7"/>
  <c r="AX318" i="7"/>
  <c r="AW318" i="7"/>
  <c r="AV318" i="7"/>
  <c r="I318" i="7"/>
  <c r="H318" i="7"/>
  <c r="BK317" i="7"/>
  <c r="BJ317" i="7"/>
  <c r="BI317" i="7"/>
  <c r="BH317" i="7"/>
  <c r="BG317" i="7"/>
  <c r="BF317" i="7"/>
  <c r="BE317" i="7"/>
  <c r="BD317" i="7"/>
  <c r="BC317" i="7"/>
  <c r="BB317" i="7"/>
  <c r="BA317" i="7"/>
  <c r="AZ317" i="7"/>
  <c r="AY317" i="7"/>
  <c r="AX317" i="7"/>
  <c r="AW317" i="7"/>
  <c r="AV317" i="7"/>
  <c r="I317" i="7"/>
  <c r="H317" i="7"/>
  <c r="BK316" i="7"/>
  <c r="BJ316" i="7"/>
  <c r="BI316" i="7"/>
  <c r="BH316" i="7"/>
  <c r="BG316" i="7"/>
  <c r="BF316" i="7"/>
  <c r="BE316" i="7"/>
  <c r="BD316" i="7"/>
  <c r="BC316" i="7"/>
  <c r="BB316" i="7"/>
  <c r="BA316" i="7"/>
  <c r="AZ316" i="7"/>
  <c r="AY316" i="7"/>
  <c r="AX316" i="7"/>
  <c r="AW316" i="7"/>
  <c r="AV316" i="7"/>
  <c r="I316" i="7"/>
  <c r="H316" i="7"/>
  <c r="BK315" i="7"/>
  <c r="BJ315" i="7"/>
  <c r="BI315" i="7"/>
  <c r="BH315" i="7"/>
  <c r="BG315" i="7"/>
  <c r="BF315" i="7"/>
  <c r="BE315" i="7"/>
  <c r="BD315" i="7"/>
  <c r="BC315" i="7"/>
  <c r="BB315" i="7"/>
  <c r="BA315" i="7"/>
  <c r="AZ315" i="7"/>
  <c r="AY315" i="7"/>
  <c r="AX315" i="7"/>
  <c r="AW315" i="7"/>
  <c r="AV315" i="7"/>
  <c r="I315" i="7"/>
  <c r="H315" i="7"/>
  <c r="BK314" i="7"/>
  <c r="BJ314" i="7"/>
  <c r="BI314" i="7"/>
  <c r="BH314" i="7"/>
  <c r="BG314" i="7"/>
  <c r="BF314" i="7"/>
  <c r="BE314" i="7"/>
  <c r="BD314" i="7"/>
  <c r="BC314" i="7"/>
  <c r="BB314" i="7"/>
  <c r="BA314" i="7"/>
  <c r="AZ314" i="7"/>
  <c r="AY314" i="7"/>
  <c r="AX314" i="7"/>
  <c r="AW314" i="7"/>
  <c r="AV314" i="7"/>
  <c r="I314" i="7"/>
  <c r="H314" i="7"/>
  <c r="BK313" i="7"/>
  <c r="BJ313" i="7"/>
  <c r="BI313" i="7"/>
  <c r="BH313" i="7"/>
  <c r="BG313" i="7"/>
  <c r="BF313" i="7"/>
  <c r="BE313" i="7"/>
  <c r="BD313" i="7"/>
  <c r="BC313" i="7"/>
  <c r="BB313" i="7"/>
  <c r="BA313" i="7"/>
  <c r="AZ313" i="7"/>
  <c r="AY313" i="7"/>
  <c r="AX313" i="7"/>
  <c r="AW313" i="7"/>
  <c r="AV313" i="7"/>
  <c r="I313" i="7"/>
  <c r="H313" i="7"/>
  <c r="BK312" i="7"/>
  <c r="BJ312" i="7"/>
  <c r="BI312" i="7"/>
  <c r="BH312" i="7"/>
  <c r="BG312" i="7"/>
  <c r="BF312" i="7"/>
  <c r="BE312" i="7"/>
  <c r="BD312" i="7"/>
  <c r="BC312" i="7"/>
  <c r="BB312" i="7"/>
  <c r="BA312" i="7"/>
  <c r="AZ312" i="7"/>
  <c r="AY312" i="7"/>
  <c r="AX312" i="7"/>
  <c r="AW312" i="7"/>
  <c r="AV312" i="7"/>
  <c r="I312" i="7"/>
  <c r="H312" i="7"/>
  <c r="BK311" i="7"/>
  <c r="BJ311" i="7"/>
  <c r="BI311" i="7"/>
  <c r="BH311" i="7"/>
  <c r="BG311" i="7"/>
  <c r="BF311" i="7"/>
  <c r="BE311" i="7"/>
  <c r="BD311" i="7"/>
  <c r="BC311" i="7"/>
  <c r="BB311" i="7"/>
  <c r="BA311" i="7"/>
  <c r="AZ311" i="7"/>
  <c r="AY311" i="7"/>
  <c r="AX311" i="7"/>
  <c r="AW311" i="7"/>
  <c r="AV311" i="7"/>
  <c r="I311" i="7"/>
  <c r="H311" i="7"/>
  <c r="BK310" i="7"/>
  <c r="BJ310" i="7"/>
  <c r="BI310" i="7"/>
  <c r="BH310" i="7"/>
  <c r="BG310" i="7"/>
  <c r="BF310" i="7"/>
  <c r="BE310" i="7"/>
  <c r="BD310" i="7"/>
  <c r="BC310" i="7"/>
  <c r="BB310" i="7"/>
  <c r="BA310" i="7"/>
  <c r="AZ310" i="7"/>
  <c r="AY310" i="7"/>
  <c r="AX310" i="7"/>
  <c r="AW310" i="7"/>
  <c r="AV310" i="7"/>
  <c r="I310" i="7"/>
  <c r="H310" i="7"/>
  <c r="BK309" i="7"/>
  <c r="BJ309" i="7"/>
  <c r="BI309" i="7"/>
  <c r="BH309" i="7"/>
  <c r="BG309" i="7"/>
  <c r="BF309" i="7"/>
  <c r="BE309" i="7"/>
  <c r="BD309" i="7"/>
  <c r="BC309" i="7"/>
  <c r="BB309" i="7"/>
  <c r="BA309" i="7"/>
  <c r="AZ309" i="7"/>
  <c r="AY309" i="7"/>
  <c r="AX309" i="7"/>
  <c r="AW309" i="7"/>
  <c r="AV309" i="7"/>
  <c r="I309" i="7"/>
  <c r="H309" i="7"/>
  <c r="BK308" i="7"/>
  <c r="BJ308" i="7"/>
  <c r="BI308" i="7"/>
  <c r="BH308" i="7"/>
  <c r="BG308" i="7"/>
  <c r="BF308" i="7"/>
  <c r="BE308" i="7"/>
  <c r="BD308" i="7"/>
  <c r="BC308" i="7"/>
  <c r="BB308" i="7"/>
  <c r="BA308" i="7"/>
  <c r="AZ308" i="7"/>
  <c r="AY308" i="7"/>
  <c r="AX308" i="7"/>
  <c r="AW308" i="7"/>
  <c r="AV308" i="7"/>
  <c r="I308" i="7"/>
  <c r="H308" i="7"/>
  <c r="BK307" i="7"/>
  <c r="BJ307" i="7"/>
  <c r="BI307" i="7"/>
  <c r="BH307" i="7"/>
  <c r="BG307" i="7"/>
  <c r="BF307" i="7"/>
  <c r="BE307" i="7"/>
  <c r="BD307" i="7"/>
  <c r="BC307" i="7"/>
  <c r="BB307" i="7"/>
  <c r="BA307" i="7"/>
  <c r="AZ307" i="7"/>
  <c r="AY307" i="7"/>
  <c r="AX307" i="7"/>
  <c r="AW307" i="7"/>
  <c r="AV307" i="7"/>
  <c r="I307" i="7"/>
  <c r="H307" i="7"/>
  <c r="BK306" i="7"/>
  <c r="BJ306" i="7"/>
  <c r="BI306" i="7"/>
  <c r="BH306" i="7"/>
  <c r="BG306" i="7"/>
  <c r="BF306" i="7"/>
  <c r="BE306" i="7"/>
  <c r="BD306" i="7"/>
  <c r="BC306" i="7"/>
  <c r="BB306" i="7"/>
  <c r="BA306" i="7"/>
  <c r="AZ306" i="7"/>
  <c r="AY306" i="7"/>
  <c r="AX306" i="7"/>
  <c r="AW306" i="7"/>
  <c r="AV306" i="7"/>
  <c r="I306" i="7"/>
  <c r="H306" i="7"/>
  <c r="BK305" i="7"/>
  <c r="BJ305" i="7"/>
  <c r="BI305" i="7"/>
  <c r="BH305" i="7"/>
  <c r="BG305" i="7"/>
  <c r="BF305" i="7"/>
  <c r="BE305" i="7"/>
  <c r="BD305" i="7"/>
  <c r="BC305" i="7"/>
  <c r="BB305" i="7"/>
  <c r="BA305" i="7"/>
  <c r="AZ305" i="7"/>
  <c r="AY305" i="7"/>
  <c r="AX305" i="7"/>
  <c r="AW305" i="7"/>
  <c r="AV305" i="7"/>
  <c r="I305" i="7"/>
  <c r="H305" i="7"/>
  <c r="BK304" i="7"/>
  <c r="BJ304" i="7"/>
  <c r="BI304" i="7"/>
  <c r="BH304" i="7"/>
  <c r="BG304" i="7"/>
  <c r="BF304" i="7"/>
  <c r="BE304" i="7"/>
  <c r="BD304" i="7"/>
  <c r="BC304" i="7"/>
  <c r="BB304" i="7"/>
  <c r="BA304" i="7"/>
  <c r="AZ304" i="7"/>
  <c r="AY304" i="7"/>
  <c r="AX304" i="7"/>
  <c r="AW304" i="7"/>
  <c r="AV304" i="7"/>
  <c r="I304" i="7"/>
  <c r="H304" i="7"/>
  <c r="BK303" i="7"/>
  <c r="BJ303" i="7"/>
  <c r="BI303" i="7"/>
  <c r="BH303" i="7"/>
  <c r="BG303" i="7"/>
  <c r="BF303" i="7"/>
  <c r="BE303" i="7"/>
  <c r="BD303" i="7"/>
  <c r="BC303" i="7"/>
  <c r="BB303" i="7"/>
  <c r="BA303" i="7"/>
  <c r="AZ303" i="7"/>
  <c r="AY303" i="7"/>
  <c r="AX303" i="7"/>
  <c r="AW303" i="7"/>
  <c r="AV303" i="7"/>
  <c r="I303" i="7"/>
  <c r="H303" i="7"/>
  <c r="BK302" i="7"/>
  <c r="BJ302" i="7"/>
  <c r="BI302" i="7"/>
  <c r="BH302" i="7"/>
  <c r="BG302" i="7"/>
  <c r="BF302" i="7"/>
  <c r="BE302" i="7"/>
  <c r="BD302" i="7"/>
  <c r="BC302" i="7"/>
  <c r="BB302" i="7"/>
  <c r="BA302" i="7"/>
  <c r="AZ302" i="7"/>
  <c r="AY302" i="7"/>
  <c r="AX302" i="7"/>
  <c r="AW302" i="7"/>
  <c r="AV302" i="7"/>
  <c r="I302" i="7"/>
  <c r="H302" i="7"/>
  <c r="BK301" i="7"/>
  <c r="BJ301" i="7"/>
  <c r="BI301" i="7"/>
  <c r="BH301" i="7"/>
  <c r="BG301" i="7"/>
  <c r="BF301" i="7"/>
  <c r="BE301" i="7"/>
  <c r="BD301" i="7"/>
  <c r="BC301" i="7"/>
  <c r="BB301" i="7"/>
  <c r="BA301" i="7"/>
  <c r="AZ301" i="7"/>
  <c r="AY301" i="7"/>
  <c r="AX301" i="7"/>
  <c r="AW301" i="7"/>
  <c r="AV301" i="7"/>
  <c r="I301" i="7"/>
  <c r="H301" i="7"/>
  <c r="BK300" i="7"/>
  <c r="BJ300" i="7"/>
  <c r="BI300" i="7"/>
  <c r="BH300" i="7"/>
  <c r="BG300" i="7"/>
  <c r="BF300" i="7"/>
  <c r="BE300" i="7"/>
  <c r="BD300" i="7"/>
  <c r="BC300" i="7"/>
  <c r="BB300" i="7"/>
  <c r="BA300" i="7"/>
  <c r="AZ300" i="7"/>
  <c r="AY300" i="7"/>
  <c r="AX300" i="7"/>
  <c r="AW300" i="7"/>
  <c r="AV300" i="7"/>
  <c r="I300" i="7"/>
  <c r="H300" i="7"/>
  <c r="BK299" i="7"/>
  <c r="BJ299" i="7"/>
  <c r="BI299" i="7"/>
  <c r="BH299" i="7"/>
  <c r="BG299" i="7"/>
  <c r="BF299" i="7"/>
  <c r="BE299" i="7"/>
  <c r="BD299" i="7"/>
  <c r="BC299" i="7"/>
  <c r="BB299" i="7"/>
  <c r="BA299" i="7"/>
  <c r="AZ299" i="7"/>
  <c r="AY299" i="7"/>
  <c r="AX299" i="7"/>
  <c r="AW299" i="7"/>
  <c r="AV299" i="7"/>
  <c r="I299" i="7"/>
  <c r="H299" i="7"/>
  <c r="BK298" i="7"/>
  <c r="BJ298" i="7"/>
  <c r="BI298" i="7"/>
  <c r="BH298" i="7"/>
  <c r="BG298" i="7"/>
  <c r="BF298" i="7"/>
  <c r="BE298" i="7"/>
  <c r="BD298" i="7"/>
  <c r="BC298" i="7"/>
  <c r="BB298" i="7"/>
  <c r="BA298" i="7"/>
  <c r="AZ298" i="7"/>
  <c r="AY298" i="7"/>
  <c r="AX298" i="7"/>
  <c r="AW298" i="7"/>
  <c r="AV298" i="7"/>
  <c r="I298" i="7"/>
  <c r="H298" i="7"/>
  <c r="BK297" i="7"/>
  <c r="BJ297" i="7"/>
  <c r="BI297" i="7"/>
  <c r="BH297" i="7"/>
  <c r="BG297" i="7"/>
  <c r="BF297" i="7"/>
  <c r="BE297" i="7"/>
  <c r="BD297" i="7"/>
  <c r="BC297" i="7"/>
  <c r="BB297" i="7"/>
  <c r="BA297" i="7"/>
  <c r="AZ297" i="7"/>
  <c r="AY297" i="7"/>
  <c r="AX297" i="7"/>
  <c r="AW297" i="7"/>
  <c r="AV297" i="7"/>
  <c r="I297" i="7"/>
  <c r="H297" i="7"/>
  <c r="BK296" i="7"/>
  <c r="BJ296" i="7"/>
  <c r="BI296" i="7"/>
  <c r="BH296" i="7"/>
  <c r="BG296" i="7"/>
  <c r="BF296" i="7"/>
  <c r="BE296" i="7"/>
  <c r="BD296" i="7"/>
  <c r="BC296" i="7"/>
  <c r="BB296" i="7"/>
  <c r="BA296" i="7"/>
  <c r="AZ296" i="7"/>
  <c r="AY296" i="7"/>
  <c r="AX296" i="7"/>
  <c r="AW296" i="7"/>
  <c r="AV296" i="7"/>
  <c r="I296" i="7"/>
  <c r="H296" i="7"/>
  <c r="BK295" i="7"/>
  <c r="BJ295" i="7"/>
  <c r="BI295" i="7"/>
  <c r="BH295" i="7"/>
  <c r="BG295" i="7"/>
  <c r="BF295" i="7"/>
  <c r="BE295" i="7"/>
  <c r="BD295" i="7"/>
  <c r="BC295" i="7"/>
  <c r="BB295" i="7"/>
  <c r="BA295" i="7"/>
  <c r="AZ295" i="7"/>
  <c r="AY295" i="7"/>
  <c r="AX295" i="7"/>
  <c r="AW295" i="7"/>
  <c r="AV295" i="7"/>
  <c r="I295" i="7"/>
  <c r="H295" i="7"/>
  <c r="BK294" i="7"/>
  <c r="BJ294" i="7"/>
  <c r="BI294" i="7"/>
  <c r="BH294" i="7"/>
  <c r="BG294" i="7"/>
  <c r="BF294" i="7"/>
  <c r="BE294" i="7"/>
  <c r="BD294" i="7"/>
  <c r="BC294" i="7"/>
  <c r="BB294" i="7"/>
  <c r="BA294" i="7"/>
  <c r="AZ294" i="7"/>
  <c r="AY294" i="7"/>
  <c r="AX294" i="7"/>
  <c r="AW294" i="7"/>
  <c r="AV294" i="7"/>
  <c r="I294" i="7"/>
  <c r="H294" i="7"/>
  <c r="BK293" i="7"/>
  <c r="BJ293" i="7"/>
  <c r="BI293" i="7"/>
  <c r="BH293" i="7"/>
  <c r="BG293" i="7"/>
  <c r="BF293" i="7"/>
  <c r="BE293" i="7"/>
  <c r="BD293" i="7"/>
  <c r="BC293" i="7"/>
  <c r="BB293" i="7"/>
  <c r="BA293" i="7"/>
  <c r="AZ293" i="7"/>
  <c r="AY293" i="7"/>
  <c r="AX293" i="7"/>
  <c r="AW293" i="7"/>
  <c r="AV293" i="7"/>
  <c r="I293" i="7"/>
  <c r="H293" i="7"/>
  <c r="BK292" i="7"/>
  <c r="BJ292" i="7"/>
  <c r="BI292" i="7"/>
  <c r="BH292" i="7"/>
  <c r="BG292" i="7"/>
  <c r="BF292" i="7"/>
  <c r="BE292" i="7"/>
  <c r="BD292" i="7"/>
  <c r="BC292" i="7"/>
  <c r="BB292" i="7"/>
  <c r="BA292" i="7"/>
  <c r="AZ292" i="7"/>
  <c r="AY292" i="7"/>
  <c r="AX292" i="7"/>
  <c r="AW292" i="7"/>
  <c r="AV292" i="7"/>
  <c r="I292" i="7"/>
  <c r="H292" i="7"/>
  <c r="BK291" i="7"/>
  <c r="BJ291" i="7"/>
  <c r="BI291" i="7"/>
  <c r="BH291" i="7"/>
  <c r="BG291" i="7"/>
  <c r="BF291" i="7"/>
  <c r="BE291" i="7"/>
  <c r="BD291" i="7"/>
  <c r="BC291" i="7"/>
  <c r="BB291" i="7"/>
  <c r="BA291" i="7"/>
  <c r="AZ291" i="7"/>
  <c r="AY291" i="7"/>
  <c r="AX291" i="7"/>
  <c r="AW291" i="7"/>
  <c r="AV291" i="7"/>
  <c r="I291" i="7"/>
  <c r="H291" i="7"/>
  <c r="BK290" i="7"/>
  <c r="BJ290" i="7"/>
  <c r="BI290" i="7"/>
  <c r="BH290" i="7"/>
  <c r="BG290" i="7"/>
  <c r="BF290" i="7"/>
  <c r="BE290" i="7"/>
  <c r="BD290" i="7"/>
  <c r="BC290" i="7"/>
  <c r="BB290" i="7"/>
  <c r="BA290" i="7"/>
  <c r="AZ290" i="7"/>
  <c r="AY290" i="7"/>
  <c r="AX290" i="7"/>
  <c r="AW290" i="7"/>
  <c r="AV290" i="7"/>
  <c r="I290" i="7"/>
  <c r="H290" i="7"/>
  <c r="BK289" i="7"/>
  <c r="BJ289" i="7"/>
  <c r="BI289" i="7"/>
  <c r="BH289" i="7"/>
  <c r="BG289" i="7"/>
  <c r="BF289" i="7"/>
  <c r="BE289" i="7"/>
  <c r="BD289" i="7"/>
  <c r="BC289" i="7"/>
  <c r="BB289" i="7"/>
  <c r="BA289" i="7"/>
  <c r="AZ289" i="7"/>
  <c r="AY289" i="7"/>
  <c r="AX289" i="7"/>
  <c r="AW289" i="7"/>
  <c r="AV289" i="7"/>
  <c r="I289" i="7"/>
  <c r="H289" i="7"/>
  <c r="BK288" i="7"/>
  <c r="BJ288" i="7"/>
  <c r="BI288" i="7"/>
  <c r="BH288" i="7"/>
  <c r="BG288" i="7"/>
  <c r="BF288" i="7"/>
  <c r="BE288" i="7"/>
  <c r="BD288" i="7"/>
  <c r="BC288" i="7"/>
  <c r="BB288" i="7"/>
  <c r="BA288" i="7"/>
  <c r="AZ288" i="7"/>
  <c r="AY288" i="7"/>
  <c r="AX288" i="7"/>
  <c r="AW288" i="7"/>
  <c r="AV288" i="7"/>
  <c r="I288" i="7"/>
  <c r="H288" i="7"/>
  <c r="BK287" i="7"/>
  <c r="BJ287" i="7"/>
  <c r="BI287" i="7"/>
  <c r="BH287" i="7"/>
  <c r="BG287" i="7"/>
  <c r="BF287" i="7"/>
  <c r="BE287" i="7"/>
  <c r="BD287" i="7"/>
  <c r="BC287" i="7"/>
  <c r="BB287" i="7"/>
  <c r="BA287" i="7"/>
  <c r="AZ287" i="7"/>
  <c r="AY287" i="7"/>
  <c r="AX287" i="7"/>
  <c r="AW287" i="7"/>
  <c r="AV287" i="7"/>
  <c r="I287" i="7"/>
  <c r="H287" i="7"/>
  <c r="BK286" i="7"/>
  <c r="BJ286" i="7"/>
  <c r="BI286" i="7"/>
  <c r="BH286" i="7"/>
  <c r="BG286" i="7"/>
  <c r="BF286" i="7"/>
  <c r="BE286" i="7"/>
  <c r="BD286" i="7"/>
  <c r="BC286" i="7"/>
  <c r="BB286" i="7"/>
  <c r="BA286" i="7"/>
  <c r="AZ286" i="7"/>
  <c r="AY286" i="7"/>
  <c r="AX286" i="7"/>
  <c r="AW286" i="7"/>
  <c r="AV286" i="7"/>
  <c r="I286" i="7"/>
  <c r="H286" i="7"/>
  <c r="BK285" i="7"/>
  <c r="BJ285" i="7"/>
  <c r="BI285" i="7"/>
  <c r="BH285" i="7"/>
  <c r="BG285" i="7"/>
  <c r="BF285" i="7"/>
  <c r="BE285" i="7"/>
  <c r="BD285" i="7"/>
  <c r="BC285" i="7"/>
  <c r="BB285" i="7"/>
  <c r="BA285" i="7"/>
  <c r="AZ285" i="7"/>
  <c r="AY285" i="7"/>
  <c r="AX285" i="7"/>
  <c r="AW285" i="7"/>
  <c r="AV285" i="7"/>
  <c r="I285" i="7"/>
  <c r="H285" i="7"/>
  <c r="BK284" i="7"/>
  <c r="BJ284" i="7"/>
  <c r="BI284" i="7"/>
  <c r="BH284" i="7"/>
  <c r="BG284" i="7"/>
  <c r="BF284" i="7"/>
  <c r="BE284" i="7"/>
  <c r="BD284" i="7"/>
  <c r="BC284" i="7"/>
  <c r="BB284" i="7"/>
  <c r="BA284" i="7"/>
  <c r="AZ284" i="7"/>
  <c r="AY284" i="7"/>
  <c r="AX284" i="7"/>
  <c r="AW284" i="7"/>
  <c r="AV284" i="7"/>
  <c r="I284" i="7"/>
  <c r="H284" i="7"/>
  <c r="BK283" i="7"/>
  <c r="BJ283" i="7"/>
  <c r="BI283" i="7"/>
  <c r="BH283" i="7"/>
  <c r="BG283" i="7"/>
  <c r="BF283" i="7"/>
  <c r="BE283" i="7"/>
  <c r="BD283" i="7"/>
  <c r="BC283" i="7"/>
  <c r="BB283" i="7"/>
  <c r="BA283" i="7"/>
  <c r="AZ283" i="7"/>
  <c r="AY283" i="7"/>
  <c r="AX283" i="7"/>
  <c r="AW283" i="7"/>
  <c r="AV283" i="7"/>
  <c r="I283" i="7"/>
  <c r="H283" i="7"/>
  <c r="BK282" i="7"/>
  <c r="BJ282" i="7"/>
  <c r="BI282" i="7"/>
  <c r="BH282" i="7"/>
  <c r="BG282" i="7"/>
  <c r="BF282" i="7"/>
  <c r="BE282" i="7"/>
  <c r="BD282" i="7"/>
  <c r="BC282" i="7"/>
  <c r="BB282" i="7"/>
  <c r="BA282" i="7"/>
  <c r="AZ282" i="7"/>
  <c r="AY282" i="7"/>
  <c r="AX282" i="7"/>
  <c r="AW282" i="7"/>
  <c r="AV282" i="7"/>
  <c r="I282" i="7"/>
  <c r="H282" i="7"/>
  <c r="BK281" i="7"/>
  <c r="BJ281" i="7"/>
  <c r="BI281" i="7"/>
  <c r="BH281" i="7"/>
  <c r="BG281" i="7"/>
  <c r="BF281" i="7"/>
  <c r="BE281" i="7"/>
  <c r="BD281" i="7"/>
  <c r="BC281" i="7"/>
  <c r="BB281" i="7"/>
  <c r="BA281" i="7"/>
  <c r="AZ281" i="7"/>
  <c r="AY281" i="7"/>
  <c r="AX281" i="7"/>
  <c r="AW281" i="7"/>
  <c r="AV281" i="7"/>
  <c r="I281" i="7"/>
  <c r="H281" i="7"/>
  <c r="BK280" i="7"/>
  <c r="BJ280" i="7"/>
  <c r="BI280" i="7"/>
  <c r="BH280" i="7"/>
  <c r="BG280" i="7"/>
  <c r="BF280" i="7"/>
  <c r="BE280" i="7"/>
  <c r="BD280" i="7"/>
  <c r="BC280" i="7"/>
  <c r="BB280" i="7"/>
  <c r="BA280" i="7"/>
  <c r="AZ280" i="7"/>
  <c r="AY280" i="7"/>
  <c r="AX280" i="7"/>
  <c r="AW280" i="7"/>
  <c r="AV280" i="7"/>
  <c r="I280" i="7"/>
  <c r="H280" i="7"/>
  <c r="BK279" i="7"/>
  <c r="BJ279" i="7"/>
  <c r="BI279" i="7"/>
  <c r="BH279" i="7"/>
  <c r="BG279" i="7"/>
  <c r="BF279" i="7"/>
  <c r="BE279" i="7"/>
  <c r="BD279" i="7"/>
  <c r="BC279" i="7"/>
  <c r="BB279" i="7"/>
  <c r="BA279" i="7"/>
  <c r="AZ279" i="7"/>
  <c r="AY279" i="7"/>
  <c r="AX279" i="7"/>
  <c r="AW279" i="7"/>
  <c r="AV279" i="7"/>
  <c r="I279" i="7"/>
  <c r="H279" i="7"/>
  <c r="BK278" i="7"/>
  <c r="BJ278" i="7"/>
  <c r="BI278" i="7"/>
  <c r="BH278" i="7"/>
  <c r="BG278" i="7"/>
  <c r="BF278" i="7"/>
  <c r="BE278" i="7"/>
  <c r="BD278" i="7"/>
  <c r="BC278" i="7"/>
  <c r="BB278" i="7"/>
  <c r="BA278" i="7"/>
  <c r="AZ278" i="7"/>
  <c r="AY278" i="7"/>
  <c r="AX278" i="7"/>
  <c r="AW278" i="7"/>
  <c r="AV278" i="7"/>
  <c r="I278" i="7"/>
  <c r="H278" i="7"/>
  <c r="BK277" i="7"/>
  <c r="BJ277" i="7"/>
  <c r="BI277" i="7"/>
  <c r="BH277" i="7"/>
  <c r="BG277" i="7"/>
  <c r="BF277" i="7"/>
  <c r="BE277" i="7"/>
  <c r="BD277" i="7"/>
  <c r="BC277" i="7"/>
  <c r="BB277" i="7"/>
  <c r="BA277" i="7"/>
  <c r="AZ277" i="7"/>
  <c r="AY277" i="7"/>
  <c r="AX277" i="7"/>
  <c r="AW277" i="7"/>
  <c r="AV277" i="7"/>
  <c r="I277" i="7"/>
  <c r="H277" i="7"/>
  <c r="BK276" i="7"/>
  <c r="BJ276" i="7"/>
  <c r="BI276" i="7"/>
  <c r="BH276" i="7"/>
  <c r="BG276" i="7"/>
  <c r="BF276" i="7"/>
  <c r="BE276" i="7"/>
  <c r="BD276" i="7"/>
  <c r="BC276" i="7"/>
  <c r="BB276" i="7"/>
  <c r="BA276" i="7"/>
  <c r="AZ276" i="7"/>
  <c r="AY276" i="7"/>
  <c r="AX276" i="7"/>
  <c r="AW276" i="7"/>
  <c r="AV276" i="7"/>
  <c r="I276" i="7"/>
  <c r="H276" i="7"/>
  <c r="BK275" i="7"/>
  <c r="BJ275" i="7"/>
  <c r="BI275" i="7"/>
  <c r="BH275" i="7"/>
  <c r="BG275" i="7"/>
  <c r="BF275" i="7"/>
  <c r="BE275" i="7"/>
  <c r="BD275" i="7"/>
  <c r="BC275" i="7"/>
  <c r="BB275" i="7"/>
  <c r="BA275" i="7"/>
  <c r="AZ275" i="7"/>
  <c r="AY275" i="7"/>
  <c r="AX275" i="7"/>
  <c r="AW275" i="7"/>
  <c r="AV275" i="7"/>
  <c r="I275" i="7"/>
  <c r="H275" i="7"/>
  <c r="BK274" i="7"/>
  <c r="BJ274" i="7"/>
  <c r="BI274" i="7"/>
  <c r="BH274" i="7"/>
  <c r="BG274" i="7"/>
  <c r="BF274" i="7"/>
  <c r="BE274" i="7"/>
  <c r="BD274" i="7"/>
  <c r="BC274" i="7"/>
  <c r="BB274" i="7"/>
  <c r="BA274" i="7"/>
  <c r="AZ274" i="7"/>
  <c r="AY274" i="7"/>
  <c r="AX274" i="7"/>
  <c r="AW274" i="7"/>
  <c r="AV274" i="7"/>
  <c r="I274" i="7"/>
  <c r="H274" i="7"/>
  <c r="BK273" i="7"/>
  <c r="BJ273" i="7"/>
  <c r="BI273" i="7"/>
  <c r="BH273" i="7"/>
  <c r="BG273" i="7"/>
  <c r="BF273" i="7"/>
  <c r="BE273" i="7"/>
  <c r="BD273" i="7"/>
  <c r="BC273" i="7"/>
  <c r="BB273" i="7"/>
  <c r="BA273" i="7"/>
  <c r="AZ273" i="7"/>
  <c r="AY273" i="7"/>
  <c r="AX273" i="7"/>
  <c r="AW273" i="7"/>
  <c r="AV273" i="7"/>
  <c r="I273" i="7"/>
  <c r="H273" i="7"/>
  <c r="BK272" i="7"/>
  <c r="BJ272" i="7"/>
  <c r="BI272" i="7"/>
  <c r="BH272" i="7"/>
  <c r="BG272" i="7"/>
  <c r="BF272" i="7"/>
  <c r="BE272" i="7"/>
  <c r="BD272" i="7"/>
  <c r="BC272" i="7"/>
  <c r="BB272" i="7"/>
  <c r="BA272" i="7"/>
  <c r="AZ272" i="7"/>
  <c r="AY272" i="7"/>
  <c r="AX272" i="7"/>
  <c r="AW272" i="7"/>
  <c r="AV272" i="7"/>
  <c r="I272" i="7"/>
  <c r="H272" i="7"/>
  <c r="BK271" i="7"/>
  <c r="BJ271" i="7"/>
  <c r="BI271" i="7"/>
  <c r="BH271" i="7"/>
  <c r="BG271" i="7"/>
  <c r="BF271" i="7"/>
  <c r="BE271" i="7"/>
  <c r="BD271" i="7"/>
  <c r="BC271" i="7"/>
  <c r="BB271" i="7"/>
  <c r="BA271" i="7"/>
  <c r="AZ271" i="7"/>
  <c r="AY271" i="7"/>
  <c r="AX271" i="7"/>
  <c r="AW271" i="7"/>
  <c r="AV271" i="7"/>
  <c r="I271" i="7"/>
  <c r="H271" i="7"/>
  <c r="BK270" i="7"/>
  <c r="BJ270" i="7"/>
  <c r="BI270" i="7"/>
  <c r="BH270" i="7"/>
  <c r="BG270" i="7"/>
  <c r="BF270" i="7"/>
  <c r="BE270" i="7"/>
  <c r="BD270" i="7"/>
  <c r="BC270" i="7"/>
  <c r="BB270" i="7"/>
  <c r="BA270" i="7"/>
  <c r="AZ270" i="7"/>
  <c r="AY270" i="7"/>
  <c r="AX270" i="7"/>
  <c r="AW270" i="7"/>
  <c r="AV270" i="7"/>
  <c r="I270" i="7"/>
  <c r="H270" i="7"/>
  <c r="BK269" i="7"/>
  <c r="BJ269" i="7"/>
  <c r="BI269" i="7"/>
  <c r="BH269" i="7"/>
  <c r="BG269" i="7"/>
  <c r="BF269" i="7"/>
  <c r="BE269" i="7"/>
  <c r="BD269" i="7"/>
  <c r="BC269" i="7"/>
  <c r="BB269" i="7"/>
  <c r="BA269" i="7"/>
  <c r="AZ269" i="7"/>
  <c r="AY269" i="7"/>
  <c r="AX269" i="7"/>
  <c r="AW269" i="7"/>
  <c r="AV269" i="7"/>
  <c r="I269" i="7"/>
  <c r="H269" i="7"/>
  <c r="BK268" i="7"/>
  <c r="BJ268" i="7"/>
  <c r="BI268" i="7"/>
  <c r="BH268" i="7"/>
  <c r="BG268" i="7"/>
  <c r="BF268" i="7"/>
  <c r="BE268" i="7"/>
  <c r="BD268" i="7"/>
  <c r="BC268" i="7"/>
  <c r="BB268" i="7"/>
  <c r="BA268" i="7"/>
  <c r="AZ268" i="7"/>
  <c r="AY268" i="7"/>
  <c r="AX268" i="7"/>
  <c r="AW268" i="7"/>
  <c r="AV268" i="7"/>
  <c r="I268" i="7"/>
  <c r="H268" i="7"/>
  <c r="BK267" i="7"/>
  <c r="BJ267" i="7"/>
  <c r="BI267" i="7"/>
  <c r="BH267" i="7"/>
  <c r="BG267" i="7"/>
  <c r="BF267" i="7"/>
  <c r="BE267" i="7"/>
  <c r="BD267" i="7"/>
  <c r="BC267" i="7"/>
  <c r="BB267" i="7"/>
  <c r="BA267" i="7"/>
  <c r="AZ267" i="7"/>
  <c r="AY267" i="7"/>
  <c r="AX267" i="7"/>
  <c r="AW267" i="7"/>
  <c r="AV267" i="7"/>
  <c r="I267" i="7"/>
  <c r="H267" i="7"/>
  <c r="BK266" i="7"/>
  <c r="BJ266" i="7"/>
  <c r="BI266" i="7"/>
  <c r="BH266" i="7"/>
  <c r="BG266" i="7"/>
  <c r="BF266" i="7"/>
  <c r="BE266" i="7"/>
  <c r="BD266" i="7"/>
  <c r="BC266" i="7"/>
  <c r="BB266" i="7"/>
  <c r="BA266" i="7"/>
  <c r="AZ266" i="7"/>
  <c r="AY266" i="7"/>
  <c r="AX266" i="7"/>
  <c r="AW266" i="7"/>
  <c r="AV266" i="7"/>
  <c r="I266" i="7"/>
  <c r="H266" i="7"/>
  <c r="BK265" i="7"/>
  <c r="BJ265" i="7"/>
  <c r="BI265" i="7"/>
  <c r="BH265" i="7"/>
  <c r="BG265" i="7"/>
  <c r="BF265" i="7"/>
  <c r="BE265" i="7"/>
  <c r="BD265" i="7"/>
  <c r="BC265" i="7"/>
  <c r="BB265" i="7"/>
  <c r="BA265" i="7"/>
  <c r="AZ265" i="7"/>
  <c r="AY265" i="7"/>
  <c r="AX265" i="7"/>
  <c r="AW265" i="7"/>
  <c r="AV265" i="7"/>
  <c r="I265" i="7"/>
  <c r="H265" i="7"/>
  <c r="BK264" i="7"/>
  <c r="BJ264" i="7"/>
  <c r="BI264" i="7"/>
  <c r="BH264" i="7"/>
  <c r="BG264" i="7"/>
  <c r="BF264" i="7"/>
  <c r="BE264" i="7"/>
  <c r="BD264" i="7"/>
  <c r="BC264" i="7"/>
  <c r="BB264" i="7"/>
  <c r="BA264" i="7"/>
  <c r="AZ264" i="7"/>
  <c r="AY264" i="7"/>
  <c r="AX264" i="7"/>
  <c r="AW264" i="7"/>
  <c r="AV264" i="7"/>
  <c r="I264" i="7"/>
  <c r="H264" i="7"/>
  <c r="BK263" i="7"/>
  <c r="BJ263" i="7"/>
  <c r="BI263" i="7"/>
  <c r="BH263" i="7"/>
  <c r="BG263" i="7"/>
  <c r="BF263" i="7"/>
  <c r="BE263" i="7"/>
  <c r="BD263" i="7"/>
  <c r="BC263" i="7"/>
  <c r="BB263" i="7"/>
  <c r="BA263" i="7"/>
  <c r="AZ263" i="7"/>
  <c r="AY263" i="7"/>
  <c r="AX263" i="7"/>
  <c r="AW263" i="7"/>
  <c r="AV263" i="7"/>
  <c r="I263" i="7"/>
  <c r="H263" i="7"/>
  <c r="BK262" i="7"/>
  <c r="BJ262" i="7"/>
  <c r="BI262" i="7"/>
  <c r="BH262" i="7"/>
  <c r="BG262" i="7"/>
  <c r="BF262" i="7"/>
  <c r="BE262" i="7"/>
  <c r="BD262" i="7"/>
  <c r="BC262" i="7"/>
  <c r="BB262" i="7"/>
  <c r="BA262" i="7"/>
  <c r="AZ262" i="7"/>
  <c r="AY262" i="7"/>
  <c r="AX262" i="7"/>
  <c r="AW262" i="7"/>
  <c r="AV262" i="7"/>
  <c r="I262" i="7"/>
  <c r="H262" i="7"/>
  <c r="BK261" i="7"/>
  <c r="BJ261" i="7"/>
  <c r="BI261" i="7"/>
  <c r="BH261" i="7"/>
  <c r="BG261" i="7"/>
  <c r="BF261" i="7"/>
  <c r="BE261" i="7"/>
  <c r="BD261" i="7"/>
  <c r="BC261" i="7"/>
  <c r="BB261" i="7"/>
  <c r="BA261" i="7"/>
  <c r="AZ261" i="7"/>
  <c r="AY261" i="7"/>
  <c r="AX261" i="7"/>
  <c r="AW261" i="7"/>
  <c r="AV261" i="7"/>
  <c r="I261" i="7"/>
  <c r="H261" i="7"/>
  <c r="BK260" i="7"/>
  <c r="BJ260" i="7"/>
  <c r="BI260" i="7"/>
  <c r="BH260" i="7"/>
  <c r="BG260" i="7"/>
  <c r="BF260" i="7"/>
  <c r="BE260" i="7"/>
  <c r="BD260" i="7"/>
  <c r="BC260" i="7"/>
  <c r="BB260" i="7"/>
  <c r="BA260" i="7"/>
  <c r="AZ260" i="7"/>
  <c r="AY260" i="7"/>
  <c r="AX260" i="7"/>
  <c r="AW260" i="7"/>
  <c r="AV260" i="7"/>
  <c r="I260" i="7"/>
  <c r="H260" i="7"/>
  <c r="BK259" i="7"/>
  <c r="BJ259" i="7"/>
  <c r="BI259" i="7"/>
  <c r="BH259" i="7"/>
  <c r="BG259" i="7"/>
  <c r="BF259" i="7"/>
  <c r="BE259" i="7"/>
  <c r="BD259" i="7"/>
  <c r="BC259" i="7"/>
  <c r="BB259" i="7"/>
  <c r="BA259" i="7"/>
  <c r="AZ259" i="7"/>
  <c r="AY259" i="7"/>
  <c r="AX259" i="7"/>
  <c r="AW259" i="7"/>
  <c r="AV259" i="7"/>
  <c r="I259" i="7"/>
  <c r="H259" i="7"/>
  <c r="BK258" i="7"/>
  <c r="BJ258" i="7"/>
  <c r="BI258" i="7"/>
  <c r="BH258" i="7"/>
  <c r="BG258" i="7"/>
  <c r="BF258" i="7"/>
  <c r="BE258" i="7"/>
  <c r="BD258" i="7"/>
  <c r="BC258" i="7"/>
  <c r="BB258" i="7"/>
  <c r="BA258" i="7"/>
  <c r="AZ258" i="7"/>
  <c r="AY258" i="7"/>
  <c r="AX258" i="7"/>
  <c r="AW258" i="7"/>
  <c r="AV258" i="7"/>
  <c r="I258" i="7"/>
  <c r="H258" i="7"/>
  <c r="BK257" i="7"/>
  <c r="BJ257" i="7"/>
  <c r="BI257" i="7"/>
  <c r="BH257" i="7"/>
  <c r="BG257" i="7"/>
  <c r="BF257" i="7"/>
  <c r="BE257" i="7"/>
  <c r="BD257" i="7"/>
  <c r="BC257" i="7"/>
  <c r="BB257" i="7"/>
  <c r="BA257" i="7"/>
  <c r="AZ257" i="7"/>
  <c r="AY257" i="7"/>
  <c r="AX257" i="7"/>
  <c r="AW257" i="7"/>
  <c r="AV257" i="7"/>
  <c r="I257" i="7"/>
  <c r="H257" i="7"/>
  <c r="BK256" i="7"/>
  <c r="BJ256" i="7"/>
  <c r="BI256" i="7"/>
  <c r="BH256" i="7"/>
  <c r="BG256" i="7"/>
  <c r="BF256" i="7"/>
  <c r="BE256" i="7"/>
  <c r="BD256" i="7"/>
  <c r="BC256" i="7"/>
  <c r="BB256" i="7"/>
  <c r="BA256" i="7"/>
  <c r="AZ256" i="7"/>
  <c r="AY256" i="7"/>
  <c r="AX256" i="7"/>
  <c r="AW256" i="7"/>
  <c r="AV256" i="7"/>
  <c r="I256" i="7"/>
  <c r="H256" i="7"/>
  <c r="BK255" i="7"/>
  <c r="BJ255" i="7"/>
  <c r="BI255" i="7"/>
  <c r="BH255" i="7"/>
  <c r="BG255" i="7"/>
  <c r="BF255" i="7"/>
  <c r="BE255" i="7"/>
  <c r="BD255" i="7"/>
  <c r="BC255" i="7"/>
  <c r="BB255" i="7"/>
  <c r="BA255" i="7"/>
  <c r="AZ255" i="7"/>
  <c r="AY255" i="7"/>
  <c r="AX255" i="7"/>
  <c r="AW255" i="7"/>
  <c r="AV255" i="7"/>
  <c r="I255" i="7"/>
  <c r="H255" i="7"/>
  <c r="BK254" i="7"/>
  <c r="BJ254" i="7"/>
  <c r="BI254" i="7"/>
  <c r="BH254" i="7"/>
  <c r="BG254" i="7"/>
  <c r="BF254" i="7"/>
  <c r="BE254" i="7"/>
  <c r="BD254" i="7"/>
  <c r="BC254" i="7"/>
  <c r="BB254" i="7"/>
  <c r="BA254" i="7"/>
  <c r="AZ254" i="7"/>
  <c r="AY254" i="7"/>
  <c r="AX254" i="7"/>
  <c r="AW254" i="7"/>
  <c r="AV254" i="7"/>
  <c r="I254" i="7"/>
  <c r="H254" i="7"/>
  <c r="BK253" i="7"/>
  <c r="BJ253" i="7"/>
  <c r="BI253" i="7"/>
  <c r="BH253" i="7"/>
  <c r="BG253" i="7"/>
  <c r="BF253" i="7"/>
  <c r="BE253" i="7"/>
  <c r="BD253" i="7"/>
  <c r="BC253" i="7"/>
  <c r="BB253" i="7"/>
  <c r="BA253" i="7"/>
  <c r="AZ253" i="7"/>
  <c r="AY253" i="7"/>
  <c r="AX253" i="7"/>
  <c r="AW253" i="7"/>
  <c r="AV253" i="7"/>
  <c r="I253" i="7"/>
  <c r="H253" i="7"/>
  <c r="BK252" i="7"/>
  <c r="BJ252" i="7"/>
  <c r="BI252" i="7"/>
  <c r="BH252" i="7"/>
  <c r="BG252" i="7"/>
  <c r="BF252" i="7"/>
  <c r="BE252" i="7"/>
  <c r="BD252" i="7"/>
  <c r="BC252" i="7"/>
  <c r="BB252" i="7"/>
  <c r="BA252" i="7"/>
  <c r="AZ252" i="7"/>
  <c r="AY252" i="7"/>
  <c r="AX252" i="7"/>
  <c r="AW252" i="7"/>
  <c r="AV252" i="7"/>
  <c r="I252" i="7"/>
  <c r="H252" i="7"/>
  <c r="BK251" i="7"/>
  <c r="BJ251" i="7"/>
  <c r="BI251" i="7"/>
  <c r="BH251" i="7"/>
  <c r="BG251" i="7"/>
  <c r="BF251" i="7"/>
  <c r="BE251" i="7"/>
  <c r="BD251" i="7"/>
  <c r="BC251" i="7"/>
  <c r="BB251" i="7"/>
  <c r="BA251" i="7"/>
  <c r="AZ251" i="7"/>
  <c r="AY251" i="7"/>
  <c r="AX251" i="7"/>
  <c r="AW251" i="7"/>
  <c r="AV251" i="7"/>
  <c r="I251" i="7"/>
  <c r="H251" i="7"/>
  <c r="BK250" i="7"/>
  <c r="BJ250" i="7"/>
  <c r="BI250" i="7"/>
  <c r="BH250" i="7"/>
  <c r="BG250" i="7"/>
  <c r="BF250" i="7"/>
  <c r="BE250" i="7"/>
  <c r="BD250" i="7"/>
  <c r="BC250" i="7"/>
  <c r="BB250" i="7"/>
  <c r="BA250" i="7"/>
  <c r="AZ250" i="7"/>
  <c r="AY250" i="7"/>
  <c r="AX250" i="7"/>
  <c r="AW250" i="7"/>
  <c r="AV250" i="7"/>
  <c r="I250" i="7"/>
  <c r="H250" i="7"/>
  <c r="BK249" i="7"/>
  <c r="BJ249" i="7"/>
  <c r="BI249" i="7"/>
  <c r="BH249" i="7"/>
  <c r="BG249" i="7"/>
  <c r="BF249" i="7"/>
  <c r="BE249" i="7"/>
  <c r="BD249" i="7"/>
  <c r="BC249" i="7"/>
  <c r="BB249" i="7"/>
  <c r="BA249" i="7"/>
  <c r="AZ249" i="7"/>
  <c r="AY249" i="7"/>
  <c r="AX249" i="7"/>
  <c r="AW249" i="7"/>
  <c r="AV249" i="7"/>
  <c r="I249" i="7"/>
  <c r="H249" i="7"/>
  <c r="BK248" i="7"/>
  <c r="BJ248" i="7"/>
  <c r="BI248" i="7"/>
  <c r="BH248" i="7"/>
  <c r="BG248" i="7"/>
  <c r="BF248" i="7"/>
  <c r="BE248" i="7"/>
  <c r="BD248" i="7"/>
  <c r="BC248" i="7"/>
  <c r="BB248" i="7"/>
  <c r="BA248" i="7"/>
  <c r="AZ248" i="7"/>
  <c r="AY248" i="7"/>
  <c r="AX248" i="7"/>
  <c r="AW248" i="7"/>
  <c r="AV248" i="7"/>
  <c r="I248" i="7"/>
  <c r="H248" i="7"/>
  <c r="BK247" i="7"/>
  <c r="BJ247" i="7"/>
  <c r="BI247" i="7"/>
  <c r="BH247" i="7"/>
  <c r="BG247" i="7"/>
  <c r="BF247" i="7"/>
  <c r="BE247" i="7"/>
  <c r="BD247" i="7"/>
  <c r="BC247" i="7"/>
  <c r="BB247" i="7"/>
  <c r="BA247" i="7"/>
  <c r="AZ247" i="7"/>
  <c r="AY247" i="7"/>
  <c r="AX247" i="7"/>
  <c r="AW247" i="7"/>
  <c r="AV247" i="7"/>
  <c r="I247" i="7"/>
  <c r="H247" i="7"/>
  <c r="BK246" i="7"/>
  <c r="BJ246" i="7"/>
  <c r="BI246" i="7"/>
  <c r="BH246" i="7"/>
  <c r="BG246" i="7"/>
  <c r="BF246" i="7"/>
  <c r="BE246" i="7"/>
  <c r="BD246" i="7"/>
  <c r="BC246" i="7"/>
  <c r="BB246" i="7"/>
  <c r="BA246" i="7"/>
  <c r="AZ246" i="7"/>
  <c r="AY246" i="7"/>
  <c r="AX246" i="7"/>
  <c r="AW246" i="7"/>
  <c r="AV246" i="7"/>
  <c r="I246" i="7"/>
  <c r="H246" i="7"/>
  <c r="BK245" i="7"/>
  <c r="BJ245" i="7"/>
  <c r="BI245" i="7"/>
  <c r="BH245" i="7"/>
  <c r="BG245" i="7"/>
  <c r="BF245" i="7"/>
  <c r="BE245" i="7"/>
  <c r="BD245" i="7"/>
  <c r="BC245" i="7"/>
  <c r="BB245" i="7"/>
  <c r="BA245" i="7"/>
  <c r="AZ245" i="7"/>
  <c r="AY245" i="7"/>
  <c r="AX245" i="7"/>
  <c r="AW245" i="7"/>
  <c r="AV245" i="7"/>
  <c r="I245" i="7"/>
  <c r="H245" i="7"/>
  <c r="BK244" i="7"/>
  <c r="BJ244" i="7"/>
  <c r="BI244" i="7"/>
  <c r="BH244" i="7"/>
  <c r="BG244" i="7"/>
  <c r="BF244" i="7"/>
  <c r="BE244" i="7"/>
  <c r="BD244" i="7"/>
  <c r="BC244" i="7"/>
  <c r="BB244" i="7"/>
  <c r="BA244" i="7"/>
  <c r="AZ244" i="7"/>
  <c r="AY244" i="7"/>
  <c r="AX244" i="7"/>
  <c r="AW244" i="7"/>
  <c r="AV244" i="7"/>
  <c r="I244" i="7"/>
  <c r="H244" i="7"/>
  <c r="BK243" i="7"/>
  <c r="BJ243" i="7"/>
  <c r="BI243" i="7"/>
  <c r="BH243" i="7"/>
  <c r="BG243" i="7"/>
  <c r="BF243" i="7"/>
  <c r="BE243" i="7"/>
  <c r="BD243" i="7"/>
  <c r="BC243" i="7"/>
  <c r="BB243" i="7"/>
  <c r="BA243" i="7"/>
  <c r="AZ243" i="7"/>
  <c r="AY243" i="7"/>
  <c r="AX243" i="7"/>
  <c r="AW243" i="7"/>
  <c r="AV243" i="7"/>
  <c r="I243" i="7"/>
  <c r="H243" i="7"/>
  <c r="BK242" i="7"/>
  <c r="BJ242" i="7"/>
  <c r="BI242" i="7"/>
  <c r="BH242" i="7"/>
  <c r="BG242" i="7"/>
  <c r="BF242" i="7"/>
  <c r="BE242" i="7"/>
  <c r="BD242" i="7"/>
  <c r="BC242" i="7"/>
  <c r="BB242" i="7"/>
  <c r="BA242" i="7"/>
  <c r="AZ242" i="7"/>
  <c r="AY242" i="7"/>
  <c r="AX242" i="7"/>
  <c r="AW242" i="7"/>
  <c r="AV242" i="7"/>
  <c r="I242" i="7"/>
  <c r="H242" i="7"/>
  <c r="BK241" i="7"/>
  <c r="BJ241" i="7"/>
  <c r="BI241" i="7"/>
  <c r="BH241" i="7"/>
  <c r="BG241" i="7"/>
  <c r="BF241" i="7"/>
  <c r="BE241" i="7"/>
  <c r="BD241" i="7"/>
  <c r="BC241" i="7"/>
  <c r="BB241" i="7"/>
  <c r="BA241" i="7"/>
  <c r="AZ241" i="7"/>
  <c r="AY241" i="7"/>
  <c r="AX241" i="7"/>
  <c r="AW241" i="7"/>
  <c r="AV241" i="7"/>
  <c r="I241" i="7"/>
  <c r="H241" i="7"/>
  <c r="BK240" i="7"/>
  <c r="BJ240" i="7"/>
  <c r="BI240" i="7"/>
  <c r="BH240" i="7"/>
  <c r="BG240" i="7"/>
  <c r="BF240" i="7"/>
  <c r="BE240" i="7"/>
  <c r="BD240" i="7"/>
  <c r="BC240" i="7"/>
  <c r="BB240" i="7"/>
  <c r="BA240" i="7"/>
  <c r="AZ240" i="7"/>
  <c r="AY240" i="7"/>
  <c r="AX240" i="7"/>
  <c r="AW240" i="7"/>
  <c r="AV240" i="7"/>
  <c r="I240" i="7"/>
  <c r="H240" i="7"/>
  <c r="BK239" i="7"/>
  <c r="BJ239" i="7"/>
  <c r="BI239" i="7"/>
  <c r="BH239" i="7"/>
  <c r="BG239" i="7"/>
  <c r="BF239" i="7"/>
  <c r="BE239" i="7"/>
  <c r="BD239" i="7"/>
  <c r="BC239" i="7"/>
  <c r="BB239" i="7"/>
  <c r="BA239" i="7"/>
  <c r="AZ239" i="7"/>
  <c r="AY239" i="7"/>
  <c r="AX239" i="7"/>
  <c r="AW239" i="7"/>
  <c r="AV239" i="7"/>
  <c r="I239" i="7"/>
  <c r="H239" i="7"/>
  <c r="BK238" i="7"/>
  <c r="BJ238" i="7"/>
  <c r="BI238" i="7"/>
  <c r="BH238" i="7"/>
  <c r="BG238" i="7"/>
  <c r="BF238" i="7"/>
  <c r="BE238" i="7"/>
  <c r="BD238" i="7"/>
  <c r="BC238" i="7"/>
  <c r="BB238" i="7"/>
  <c r="BA238" i="7"/>
  <c r="AZ238" i="7"/>
  <c r="AY238" i="7"/>
  <c r="AX238" i="7"/>
  <c r="AW238" i="7"/>
  <c r="AV238" i="7"/>
  <c r="I238" i="7"/>
  <c r="H238" i="7"/>
  <c r="BK237" i="7"/>
  <c r="BJ237" i="7"/>
  <c r="BI237" i="7"/>
  <c r="BH237" i="7"/>
  <c r="BG237" i="7"/>
  <c r="BF237" i="7"/>
  <c r="BE237" i="7"/>
  <c r="BD237" i="7"/>
  <c r="BC237" i="7"/>
  <c r="BB237" i="7"/>
  <c r="BA237" i="7"/>
  <c r="AZ237" i="7"/>
  <c r="AY237" i="7"/>
  <c r="AX237" i="7"/>
  <c r="AW237" i="7"/>
  <c r="AV237" i="7"/>
  <c r="I237" i="7"/>
  <c r="H237" i="7"/>
  <c r="BK236" i="7"/>
  <c r="BJ236" i="7"/>
  <c r="BI236" i="7"/>
  <c r="BH236" i="7"/>
  <c r="BG236" i="7"/>
  <c r="BF236" i="7"/>
  <c r="BE236" i="7"/>
  <c r="BD236" i="7"/>
  <c r="BC236" i="7"/>
  <c r="BB236" i="7"/>
  <c r="BA236" i="7"/>
  <c r="AZ236" i="7"/>
  <c r="AY236" i="7"/>
  <c r="AX236" i="7"/>
  <c r="AW236" i="7"/>
  <c r="AV236" i="7"/>
  <c r="I236" i="7"/>
  <c r="H236" i="7"/>
  <c r="BK235" i="7"/>
  <c r="BJ235" i="7"/>
  <c r="BI235" i="7"/>
  <c r="BH235" i="7"/>
  <c r="BG235" i="7"/>
  <c r="BF235" i="7"/>
  <c r="BE235" i="7"/>
  <c r="BD235" i="7"/>
  <c r="BC235" i="7"/>
  <c r="BB235" i="7"/>
  <c r="BA235" i="7"/>
  <c r="AZ235" i="7"/>
  <c r="AY235" i="7"/>
  <c r="AX235" i="7"/>
  <c r="AW235" i="7"/>
  <c r="AV235" i="7"/>
  <c r="I235" i="7"/>
  <c r="H235" i="7"/>
  <c r="BK234" i="7"/>
  <c r="BJ234" i="7"/>
  <c r="BI234" i="7"/>
  <c r="BH234" i="7"/>
  <c r="BG234" i="7"/>
  <c r="BF234" i="7"/>
  <c r="BE234" i="7"/>
  <c r="BD234" i="7"/>
  <c r="BC234" i="7"/>
  <c r="BB234" i="7"/>
  <c r="BA234" i="7"/>
  <c r="AZ234" i="7"/>
  <c r="AY234" i="7"/>
  <c r="AX234" i="7"/>
  <c r="AW234" i="7"/>
  <c r="AV234" i="7"/>
  <c r="I234" i="7"/>
  <c r="H234" i="7"/>
  <c r="BK233" i="7"/>
  <c r="BJ233" i="7"/>
  <c r="BI233" i="7"/>
  <c r="BH233" i="7"/>
  <c r="BG233" i="7"/>
  <c r="BF233" i="7"/>
  <c r="BE233" i="7"/>
  <c r="BD233" i="7"/>
  <c r="BC233" i="7"/>
  <c r="BB233" i="7"/>
  <c r="BA233" i="7"/>
  <c r="AZ233" i="7"/>
  <c r="AY233" i="7"/>
  <c r="AX233" i="7"/>
  <c r="AW233" i="7"/>
  <c r="AV233" i="7"/>
  <c r="I233" i="7"/>
  <c r="H233" i="7"/>
  <c r="BK232" i="7"/>
  <c r="BJ232" i="7"/>
  <c r="BI232" i="7"/>
  <c r="BH232" i="7"/>
  <c r="BG232" i="7"/>
  <c r="BF232" i="7"/>
  <c r="BE232" i="7"/>
  <c r="BD232" i="7"/>
  <c r="BC232" i="7"/>
  <c r="BB232" i="7"/>
  <c r="BA232" i="7"/>
  <c r="AZ232" i="7"/>
  <c r="AY232" i="7"/>
  <c r="AX232" i="7"/>
  <c r="AW232" i="7"/>
  <c r="AV232" i="7"/>
  <c r="I232" i="7"/>
  <c r="H232" i="7"/>
  <c r="BK231" i="7"/>
  <c r="BJ231" i="7"/>
  <c r="BI231" i="7"/>
  <c r="BH231" i="7"/>
  <c r="BG231" i="7"/>
  <c r="BF231" i="7"/>
  <c r="BE231" i="7"/>
  <c r="BD231" i="7"/>
  <c r="BC231" i="7"/>
  <c r="BB231" i="7"/>
  <c r="BA231" i="7"/>
  <c r="AZ231" i="7"/>
  <c r="AY231" i="7"/>
  <c r="AX231" i="7"/>
  <c r="AW231" i="7"/>
  <c r="AV231" i="7"/>
  <c r="I231" i="7"/>
  <c r="H231" i="7"/>
  <c r="BK230" i="7"/>
  <c r="BJ230" i="7"/>
  <c r="BI230" i="7"/>
  <c r="BH230" i="7"/>
  <c r="BG230" i="7"/>
  <c r="BF230" i="7"/>
  <c r="BE230" i="7"/>
  <c r="BD230" i="7"/>
  <c r="BC230" i="7"/>
  <c r="BB230" i="7"/>
  <c r="BA230" i="7"/>
  <c r="AZ230" i="7"/>
  <c r="AY230" i="7"/>
  <c r="AX230" i="7"/>
  <c r="AW230" i="7"/>
  <c r="AV230" i="7"/>
  <c r="I230" i="7"/>
  <c r="H230" i="7"/>
  <c r="BK229" i="7"/>
  <c r="BJ229" i="7"/>
  <c r="BI229" i="7"/>
  <c r="BH229" i="7"/>
  <c r="BG229" i="7"/>
  <c r="BF229" i="7"/>
  <c r="BE229" i="7"/>
  <c r="BD229" i="7"/>
  <c r="BC229" i="7"/>
  <c r="BB229" i="7"/>
  <c r="BA229" i="7"/>
  <c r="AZ229" i="7"/>
  <c r="AY229" i="7"/>
  <c r="AX229" i="7"/>
  <c r="AW229" i="7"/>
  <c r="AV229" i="7"/>
  <c r="I229" i="7"/>
  <c r="H229" i="7"/>
  <c r="BK228" i="7"/>
  <c r="BJ228" i="7"/>
  <c r="BI228" i="7"/>
  <c r="BH228" i="7"/>
  <c r="BG228" i="7"/>
  <c r="BF228" i="7"/>
  <c r="BE228" i="7"/>
  <c r="BD228" i="7"/>
  <c r="BC228" i="7"/>
  <c r="BB228" i="7"/>
  <c r="BA228" i="7"/>
  <c r="AZ228" i="7"/>
  <c r="AY228" i="7"/>
  <c r="AX228" i="7"/>
  <c r="AW228" i="7"/>
  <c r="AV228" i="7"/>
  <c r="I228" i="7"/>
  <c r="H228" i="7"/>
  <c r="BK227" i="7"/>
  <c r="BJ227" i="7"/>
  <c r="BI227" i="7"/>
  <c r="BH227" i="7"/>
  <c r="BG227" i="7"/>
  <c r="BF227" i="7"/>
  <c r="BE227" i="7"/>
  <c r="BD227" i="7"/>
  <c r="BC227" i="7"/>
  <c r="BB227" i="7"/>
  <c r="BA227" i="7"/>
  <c r="AZ227" i="7"/>
  <c r="AY227" i="7"/>
  <c r="AX227" i="7"/>
  <c r="AW227" i="7"/>
  <c r="AV227" i="7"/>
  <c r="I227" i="7"/>
  <c r="H227" i="7"/>
  <c r="BK226" i="7"/>
  <c r="BJ226" i="7"/>
  <c r="BI226" i="7"/>
  <c r="BH226" i="7"/>
  <c r="BG226" i="7"/>
  <c r="BF226" i="7"/>
  <c r="BE226" i="7"/>
  <c r="BD226" i="7"/>
  <c r="BC226" i="7"/>
  <c r="BB226" i="7"/>
  <c r="BA226" i="7"/>
  <c r="AZ226" i="7"/>
  <c r="AY226" i="7"/>
  <c r="AX226" i="7"/>
  <c r="AW226" i="7"/>
  <c r="AV226" i="7"/>
  <c r="I226" i="7"/>
  <c r="H226" i="7"/>
  <c r="BK225" i="7"/>
  <c r="BJ225" i="7"/>
  <c r="BI225" i="7"/>
  <c r="BH225" i="7"/>
  <c r="BG225" i="7"/>
  <c r="BF225" i="7"/>
  <c r="BE225" i="7"/>
  <c r="BD225" i="7"/>
  <c r="BC225" i="7"/>
  <c r="BB225" i="7"/>
  <c r="BA225" i="7"/>
  <c r="AZ225" i="7"/>
  <c r="AY225" i="7"/>
  <c r="AX225" i="7"/>
  <c r="AW225" i="7"/>
  <c r="AV225" i="7"/>
  <c r="I225" i="7"/>
  <c r="H225" i="7"/>
  <c r="BK224" i="7"/>
  <c r="BJ224" i="7"/>
  <c r="BI224" i="7"/>
  <c r="BH224" i="7"/>
  <c r="BG224" i="7"/>
  <c r="BF224" i="7"/>
  <c r="BE224" i="7"/>
  <c r="BD224" i="7"/>
  <c r="BC224" i="7"/>
  <c r="BB224" i="7"/>
  <c r="BA224" i="7"/>
  <c r="AZ224" i="7"/>
  <c r="AY224" i="7"/>
  <c r="AX224" i="7"/>
  <c r="AW224" i="7"/>
  <c r="AV224" i="7"/>
  <c r="I224" i="7"/>
  <c r="H224" i="7"/>
  <c r="BK223" i="7"/>
  <c r="BJ223" i="7"/>
  <c r="BI223" i="7"/>
  <c r="BH223" i="7"/>
  <c r="BG223" i="7"/>
  <c r="BF223" i="7"/>
  <c r="BE223" i="7"/>
  <c r="BD223" i="7"/>
  <c r="BC223" i="7"/>
  <c r="BB223" i="7"/>
  <c r="BA223" i="7"/>
  <c r="AZ223" i="7"/>
  <c r="AY223" i="7"/>
  <c r="AX223" i="7"/>
  <c r="AW223" i="7"/>
  <c r="AV223" i="7"/>
  <c r="I223" i="7"/>
  <c r="H223" i="7"/>
  <c r="BK222" i="7"/>
  <c r="BJ222" i="7"/>
  <c r="BI222" i="7"/>
  <c r="BH222" i="7"/>
  <c r="BG222" i="7"/>
  <c r="BF222" i="7"/>
  <c r="BE222" i="7"/>
  <c r="BD222" i="7"/>
  <c r="BC222" i="7"/>
  <c r="BB222" i="7"/>
  <c r="BA222" i="7"/>
  <c r="AZ222" i="7"/>
  <c r="AY222" i="7"/>
  <c r="AX222" i="7"/>
  <c r="AW222" i="7"/>
  <c r="AV222" i="7"/>
  <c r="I222" i="7"/>
  <c r="H222" i="7"/>
  <c r="BK221" i="7"/>
  <c r="BJ221" i="7"/>
  <c r="BI221" i="7"/>
  <c r="BH221" i="7"/>
  <c r="BG221" i="7"/>
  <c r="BF221" i="7"/>
  <c r="BE221" i="7"/>
  <c r="BD221" i="7"/>
  <c r="BC221" i="7"/>
  <c r="BB221" i="7"/>
  <c r="BA221" i="7"/>
  <c r="AZ221" i="7"/>
  <c r="AY221" i="7"/>
  <c r="AX221" i="7"/>
  <c r="AW221" i="7"/>
  <c r="AV221" i="7"/>
  <c r="I221" i="7"/>
  <c r="H221" i="7"/>
  <c r="BK220" i="7"/>
  <c r="BJ220" i="7"/>
  <c r="BI220" i="7"/>
  <c r="BH220" i="7"/>
  <c r="BG220" i="7"/>
  <c r="BF220" i="7"/>
  <c r="BE220" i="7"/>
  <c r="BD220" i="7"/>
  <c r="BC220" i="7"/>
  <c r="BB220" i="7"/>
  <c r="BA220" i="7"/>
  <c r="AZ220" i="7"/>
  <c r="AY220" i="7"/>
  <c r="AX220" i="7"/>
  <c r="AW220" i="7"/>
  <c r="AV220" i="7"/>
  <c r="I220" i="7"/>
  <c r="H220" i="7"/>
  <c r="BK219" i="7"/>
  <c r="BJ219" i="7"/>
  <c r="BI219" i="7"/>
  <c r="BH219" i="7"/>
  <c r="BG219" i="7"/>
  <c r="BF219" i="7"/>
  <c r="BE219" i="7"/>
  <c r="BD219" i="7"/>
  <c r="BC219" i="7"/>
  <c r="BB219" i="7"/>
  <c r="BA219" i="7"/>
  <c r="AZ219" i="7"/>
  <c r="AY219" i="7"/>
  <c r="AX219" i="7"/>
  <c r="AW219" i="7"/>
  <c r="AV219" i="7"/>
  <c r="I219" i="7"/>
  <c r="H219" i="7"/>
  <c r="BK218" i="7"/>
  <c r="BJ218" i="7"/>
  <c r="BI218" i="7"/>
  <c r="BH218" i="7"/>
  <c r="BG218" i="7"/>
  <c r="BF218" i="7"/>
  <c r="BE218" i="7"/>
  <c r="BD218" i="7"/>
  <c r="BC218" i="7"/>
  <c r="BB218" i="7"/>
  <c r="BA218" i="7"/>
  <c r="AZ218" i="7"/>
  <c r="AY218" i="7"/>
  <c r="AX218" i="7"/>
  <c r="AW218" i="7"/>
  <c r="AV218" i="7"/>
  <c r="I218" i="7"/>
  <c r="H218" i="7"/>
  <c r="BK217" i="7"/>
  <c r="BJ217" i="7"/>
  <c r="BI217" i="7"/>
  <c r="BH217" i="7"/>
  <c r="BG217" i="7"/>
  <c r="BF217" i="7"/>
  <c r="BE217" i="7"/>
  <c r="BD217" i="7"/>
  <c r="BC217" i="7"/>
  <c r="BB217" i="7"/>
  <c r="BA217" i="7"/>
  <c r="AZ217" i="7"/>
  <c r="AY217" i="7"/>
  <c r="AX217" i="7"/>
  <c r="AW217" i="7"/>
  <c r="AV217" i="7"/>
  <c r="I217" i="7"/>
  <c r="H217" i="7"/>
  <c r="BK216" i="7"/>
  <c r="BJ216" i="7"/>
  <c r="BI216" i="7"/>
  <c r="BH216" i="7"/>
  <c r="BG216" i="7"/>
  <c r="BF216" i="7"/>
  <c r="BE216" i="7"/>
  <c r="BD216" i="7"/>
  <c r="BC216" i="7"/>
  <c r="BB216" i="7"/>
  <c r="BA216" i="7"/>
  <c r="AZ216" i="7"/>
  <c r="AY216" i="7"/>
  <c r="AX216" i="7"/>
  <c r="AW216" i="7"/>
  <c r="AV216" i="7"/>
  <c r="I216" i="7"/>
  <c r="H216" i="7"/>
  <c r="BK215" i="7"/>
  <c r="BJ215" i="7"/>
  <c r="BI215" i="7"/>
  <c r="BH215" i="7"/>
  <c r="BG215" i="7"/>
  <c r="BF215" i="7"/>
  <c r="BE215" i="7"/>
  <c r="BD215" i="7"/>
  <c r="BC215" i="7"/>
  <c r="BB215" i="7"/>
  <c r="BA215" i="7"/>
  <c r="AZ215" i="7"/>
  <c r="AY215" i="7"/>
  <c r="AX215" i="7"/>
  <c r="AW215" i="7"/>
  <c r="AV215" i="7"/>
  <c r="I215" i="7"/>
  <c r="H215" i="7"/>
  <c r="BK214" i="7"/>
  <c r="BJ214" i="7"/>
  <c r="BI214" i="7"/>
  <c r="BH214" i="7"/>
  <c r="BG214" i="7"/>
  <c r="BF214" i="7"/>
  <c r="BE214" i="7"/>
  <c r="BD214" i="7"/>
  <c r="BC214" i="7"/>
  <c r="BB214" i="7"/>
  <c r="BA214" i="7"/>
  <c r="AZ214" i="7"/>
  <c r="AY214" i="7"/>
  <c r="AX214" i="7"/>
  <c r="AW214" i="7"/>
  <c r="AV214" i="7"/>
  <c r="I214" i="7"/>
  <c r="H214" i="7"/>
  <c r="BK213" i="7"/>
  <c r="BJ213" i="7"/>
  <c r="BI213" i="7"/>
  <c r="BH213" i="7"/>
  <c r="BG213" i="7"/>
  <c r="BF213" i="7"/>
  <c r="BE213" i="7"/>
  <c r="BD213" i="7"/>
  <c r="BC213" i="7"/>
  <c r="BB213" i="7"/>
  <c r="BA213" i="7"/>
  <c r="AZ213" i="7"/>
  <c r="AY213" i="7"/>
  <c r="AX213" i="7"/>
  <c r="AW213" i="7"/>
  <c r="AV213" i="7"/>
  <c r="I213" i="7"/>
  <c r="H213" i="7"/>
  <c r="BK212" i="7"/>
  <c r="BJ212" i="7"/>
  <c r="BI212" i="7"/>
  <c r="BH212" i="7"/>
  <c r="BG212" i="7"/>
  <c r="BF212" i="7"/>
  <c r="BE212" i="7"/>
  <c r="BD212" i="7"/>
  <c r="BC212" i="7"/>
  <c r="BB212" i="7"/>
  <c r="BA212" i="7"/>
  <c r="AZ212" i="7"/>
  <c r="AY212" i="7"/>
  <c r="AX212" i="7"/>
  <c r="AW212" i="7"/>
  <c r="AV212" i="7"/>
  <c r="I212" i="7"/>
  <c r="H212" i="7"/>
  <c r="BK211" i="7"/>
  <c r="BJ211" i="7"/>
  <c r="BI211" i="7"/>
  <c r="BH211" i="7"/>
  <c r="BG211" i="7"/>
  <c r="BF211" i="7"/>
  <c r="BE211" i="7"/>
  <c r="BD211" i="7"/>
  <c r="BC211" i="7"/>
  <c r="BB211" i="7"/>
  <c r="BA211" i="7"/>
  <c r="AZ211" i="7"/>
  <c r="AY211" i="7"/>
  <c r="AX211" i="7"/>
  <c r="AW211" i="7"/>
  <c r="AV211" i="7"/>
  <c r="I211" i="7"/>
  <c r="H211" i="7"/>
  <c r="BK210" i="7"/>
  <c r="BJ210" i="7"/>
  <c r="BI210" i="7"/>
  <c r="BH210" i="7"/>
  <c r="BG210" i="7"/>
  <c r="BF210" i="7"/>
  <c r="BE210" i="7"/>
  <c r="BD210" i="7"/>
  <c r="BC210" i="7"/>
  <c r="BB210" i="7"/>
  <c r="BA210" i="7"/>
  <c r="AZ210" i="7"/>
  <c r="AY210" i="7"/>
  <c r="AX210" i="7"/>
  <c r="AW210" i="7"/>
  <c r="AV210" i="7"/>
  <c r="I210" i="7"/>
  <c r="H210" i="7"/>
  <c r="BK209" i="7"/>
  <c r="BJ209" i="7"/>
  <c r="BI209" i="7"/>
  <c r="BH209" i="7"/>
  <c r="BG209" i="7"/>
  <c r="BF209" i="7"/>
  <c r="BE209" i="7"/>
  <c r="BD209" i="7"/>
  <c r="BC209" i="7"/>
  <c r="BB209" i="7"/>
  <c r="BA209" i="7"/>
  <c r="AZ209" i="7"/>
  <c r="AY209" i="7"/>
  <c r="AX209" i="7"/>
  <c r="AW209" i="7"/>
  <c r="AV209" i="7"/>
  <c r="I209" i="7"/>
  <c r="H209" i="7"/>
  <c r="BK208" i="7"/>
  <c r="BJ208" i="7"/>
  <c r="BI208" i="7"/>
  <c r="BH208" i="7"/>
  <c r="BG208" i="7"/>
  <c r="BF208" i="7"/>
  <c r="BE208" i="7"/>
  <c r="BD208" i="7"/>
  <c r="BC208" i="7"/>
  <c r="BB208" i="7"/>
  <c r="BA208" i="7"/>
  <c r="AZ208" i="7"/>
  <c r="AY208" i="7"/>
  <c r="AX208" i="7"/>
  <c r="AW208" i="7"/>
  <c r="AV208" i="7"/>
  <c r="I208" i="7"/>
  <c r="H208" i="7"/>
  <c r="BK207" i="7"/>
  <c r="BJ207" i="7"/>
  <c r="BI207" i="7"/>
  <c r="BH207" i="7"/>
  <c r="BG207" i="7"/>
  <c r="BF207" i="7"/>
  <c r="BE207" i="7"/>
  <c r="BD207" i="7"/>
  <c r="BC207" i="7"/>
  <c r="BB207" i="7"/>
  <c r="BA207" i="7"/>
  <c r="AZ207" i="7"/>
  <c r="AY207" i="7"/>
  <c r="AX207" i="7"/>
  <c r="AW207" i="7"/>
  <c r="AV207" i="7"/>
  <c r="I207" i="7"/>
  <c r="H207" i="7"/>
  <c r="BK206" i="7"/>
  <c r="BJ206" i="7"/>
  <c r="BI206" i="7"/>
  <c r="BH206" i="7"/>
  <c r="BG206" i="7"/>
  <c r="BF206" i="7"/>
  <c r="BE206" i="7"/>
  <c r="BD206" i="7"/>
  <c r="BC206" i="7"/>
  <c r="BB206" i="7"/>
  <c r="BA206" i="7"/>
  <c r="AZ206" i="7"/>
  <c r="AY206" i="7"/>
  <c r="AX206" i="7"/>
  <c r="AW206" i="7"/>
  <c r="AV206" i="7"/>
  <c r="I206" i="7"/>
  <c r="H206" i="7"/>
  <c r="BK205" i="7"/>
  <c r="BJ205" i="7"/>
  <c r="BI205" i="7"/>
  <c r="BH205" i="7"/>
  <c r="BG205" i="7"/>
  <c r="BF205" i="7"/>
  <c r="BE205" i="7"/>
  <c r="BD205" i="7"/>
  <c r="BC205" i="7"/>
  <c r="BB205" i="7"/>
  <c r="BA205" i="7"/>
  <c r="AZ205" i="7"/>
  <c r="AY205" i="7"/>
  <c r="AX205" i="7"/>
  <c r="AW205" i="7"/>
  <c r="AV205" i="7"/>
  <c r="I205" i="7"/>
  <c r="H205" i="7"/>
  <c r="BK204" i="7"/>
  <c r="BJ204" i="7"/>
  <c r="BI204" i="7"/>
  <c r="BH204" i="7"/>
  <c r="BG204" i="7"/>
  <c r="BF204" i="7"/>
  <c r="BE204" i="7"/>
  <c r="BD204" i="7"/>
  <c r="BC204" i="7"/>
  <c r="BB204" i="7"/>
  <c r="BA204" i="7"/>
  <c r="AZ204" i="7"/>
  <c r="AY204" i="7"/>
  <c r="AX204" i="7"/>
  <c r="AW204" i="7"/>
  <c r="AV204" i="7"/>
  <c r="I204" i="7"/>
  <c r="H204" i="7"/>
  <c r="BK203" i="7"/>
  <c r="BJ203" i="7"/>
  <c r="BI203" i="7"/>
  <c r="BH203" i="7"/>
  <c r="BG203" i="7"/>
  <c r="BF203" i="7"/>
  <c r="BE203" i="7"/>
  <c r="BD203" i="7"/>
  <c r="BC203" i="7"/>
  <c r="BB203" i="7"/>
  <c r="BA203" i="7"/>
  <c r="AZ203" i="7"/>
  <c r="AY203" i="7"/>
  <c r="AX203" i="7"/>
  <c r="AW203" i="7"/>
  <c r="AV203" i="7"/>
  <c r="I203" i="7"/>
  <c r="H203" i="7"/>
  <c r="BK202" i="7"/>
  <c r="BJ202" i="7"/>
  <c r="BI202" i="7"/>
  <c r="BH202" i="7"/>
  <c r="BG202" i="7"/>
  <c r="BF202" i="7"/>
  <c r="BE202" i="7"/>
  <c r="BD202" i="7"/>
  <c r="BC202" i="7"/>
  <c r="BB202" i="7"/>
  <c r="BA202" i="7"/>
  <c r="AZ202" i="7"/>
  <c r="AY202" i="7"/>
  <c r="AX202" i="7"/>
  <c r="AW202" i="7"/>
  <c r="AV202" i="7"/>
  <c r="I202" i="7"/>
  <c r="H202" i="7"/>
  <c r="BK201" i="7"/>
  <c r="BJ201" i="7"/>
  <c r="BI201" i="7"/>
  <c r="BH201" i="7"/>
  <c r="BG201" i="7"/>
  <c r="BF201" i="7"/>
  <c r="BE201" i="7"/>
  <c r="BD201" i="7"/>
  <c r="BC201" i="7"/>
  <c r="BB201" i="7"/>
  <c r="BA201" i="7"/>
  <c r="AZ201" i="7"/>
  <c r="AY201" i="7"/>
  <c r="AX201" i="7"/>
  <c r="AW201" i="7"/>
  <c r="AV201" i="7"/>
  <c r="I201" i="7"/>
  <c r="H201" i="7"/>
  <c r="BK200" i="7"/>
  <c r="BJ200" i="7"/>
  <c r="BI200" i="7"/>
  <c r="BH200" i="7"/>
  <c r="BG200" i="7"/>
  <c r="BF200" i="7"/>
  <c r="BE200" i="7"/>
  <c r="BD200" i="7"/>
  <c r="BC200" i="7"/>
  <c r="BB200" i="7"/>
  <c r="BA200" i="7"/>
  <c r="AZ200" i="7"/>
  <c r="AY200" i="7"/>
  <c r="AX200" i="7"/>
  <c r="AW200" i="7"/>
  <c r="AV200" i="7"/>
  <c r="I200" i="7"/>
  <c r="H200" i="7"/>
  <c r="BK199" i="7"/>
  <c r="BJ199" i="7"/>
  <c r="BI199" i="7"/>
  <c r="BH199" i="7"/>
  <c r="BG199" i="7"/>
  <c r="BF199" i="7"/>
  <c r="BE199" i="7"/>
  <c r="BD199" i="7"/>
  <c r="BC199" i="7"/>
  <c r="BB199" i="7"/>
  <c r="BA199" i="7"/>
  <c r="AZ199" i="7"/>
  <c r="AY199" i="7"/>
  <c r="AX199" i="7"/>
  <c r="AW199" i="7"/>
  <c r="AV199" i="7"/>
  <c r="I199" i="7"/>
  <c r="H199" i="7"/>
  <c r="BK198" i="7"/>
  <c r="BJ198" i="7"/>
  <c r="BI198" i="7"/>
  <c r="BH198" i="7"/>
  <c r="BG198" i="7"/>
  <c r="BF198" i="7"/>
  <c r="BE198" i="7"/>
  <c r="BD198" i="7"/>
  <c r="BC198" i="7"/>
  <c r="BB198" i="7"/>
  <c r="BA198" i="7"/>
  <c r="AZ198" i="7"/>
  <c r="AY198" i="7"/>
  <c r="AX198" i="7"/>
  <c r="AW198" i="7"/>
  <c r="AV198" i="7"/>
  <c r="I198" i="7"/>
  <c r="H198" i="7"/>
  <c r="BK197" i="7"/>
  <c r="BJ197" i="7"/>
  <c r="BI197" i="7"/>
  <c r="BH197" i="7"/>
  <c r="BG197" i="7"/>
  <c r="BF197" i="7"/>
  <c r="BE197" i="7"/>
  <c r="BD197" i="7"/>
  <c r="BC197" i="7"/>
  <c r="BB197" i="7"/>
  <c r="BA197" i="7"/>
  <c r="AZ197" i="7"/>
  <c r="AY197" i="7"/>
  <c r="AX197" i="7"/>
  <c r="AW197" i="7"/>
  <c r="AV197" i="7"/>
  <c r="I197" i="7"/>
  <c r="H197" i="7"/>
  <c r="BK196" i="7"/>
  <c r="BJ196" i="7"/>
  <c r="BI196" i="7"/>
  <c r="BH196" i="7"/>
  <c r="BG196" i="7"/>
  <c r="BF196" i="7"/>
  <c r="BE196" i="7"/>
  <c r="BD196" i="7"/>
  <c r="BC196" i="7"/>
  <c r="BB196" i="7"/>
  <c r="BA196" i="7"/>
  <c r="AZ196" i="7"/>
  <c r="AY196" i="7"/>
  <c r="AX196" i="7"/>
  <c r="AW196" i="7"/>
  <c r="AV196" i="7"/>
  <c r="I196" i="7"/>
  <c r="H196" i="7"/>
  <c r="BK195" i="7"/>
  <c r="BJ195" i="7"/>
  <c r="BI195" i="7"/>
  <c r="BH195" i="7"/>
  <c r="BG195" i="7"/>
  <c r="BF195" i="7"/>
  <c r="BE195" i="7"/>
  <c r="BD195" i="7"/>
  <c r="BC195" i="7"/>
  <c r="BB195" i="7"/>
  <c r="BA195" i="7"/>
  <c r="AZ195" i="7"/>
  <c r="AY195" i="7"/>
  <c r="AX195" i="7"/>
  <c r="AW195" i="7"/>
  <c r="AV195" i="7"/>
  <c r="I195" i="7"/>
  <c r="H195" i="7"/>
  <c r="BK194" i="7"/>
  <c r="BJ194" i="7"/>
  <c r="BI194" i="7"/>
  <c r="BH194" i="7"/>
  <c r="BG194" i="7"/>
  <c r="BF194" i="7"/>
  <c r="BE194" i="7"/>
  <c r="BD194" i="7"/>
  <c r="BC194" i="7"/>
  <c r="BB194" i="7"/>
  <c r="BA194" i="7"/>
  <c r="AZ194" i="7"/>
  <c r="AY194" i="7"/>
  <c r="AX194" i="7"/>
  <c r="AW194" i="7"/>
  <c r="AV194" i="7"/>
  <c r="I194" i="7"/>
  <c r="H194" i="7"/>
  <c r="BK193" i="7"/>
  <c r="BJ193" i="7"/>
  <c r="BI193" i="7"/>
  <c r="BH193" i="7"/>
  <c r="BG193" i="7"/>
  <c r="BF193" i="7"/>
  <c r="BE193" i="7"/>
  <c r="BD193" i="7"/>
  <c r="BC193" i="7"/>
  <c r="BB193" i="7"/>
  <c r="BA193" i="7"/>
  <c r="AZ193" i="7"/>
  <c r="AY193" i="7"/>
  <c r="AX193" i="7"/>
  <c r="AW193" i="7"/>
  <c r="AV193" i="7"/>
  <c r="I193" i="7"/>
  <c r="H193" i="7"/>
  <c r="BK192" i="7"/>
  <c r="BJ192" i="7"/>
  <c r="BI192" i="7"/>
  <c r="BH192" i="7"/>
  <c r="BG192" i="7"/>
  <c r="BF192" i="7"/>
  <c r="BE192" i="7"/>
  <c r="BD192" i="7"/>
  <c r="BC192" i="7"/>
  <c r="BB192" i="7"/>
  <c r="BA192" i="7"/>
  <c r="AZ192" i="7"/>
  <c r="AY192" i="7"/>
  <c r="AX192" i="7"/>
  <c r="AW192" i="7"/>
  <c r="AV192" i="7"/>
  <c r="I192" i="7"/>
  <c r="H192" i="7"/>
  <c r="BK191" i="7"/>
  <c r="BJ191" i="7"/>
  <c r="BI191" i="7"/>
  <c r="BH191" i="7"/>
  <c r="BG191" i="7"/>
  <c r="BF191" i="7"/>
  <c r="BE191" i="7"/>
  <c r="BD191" i="7"/>
  <c r="BC191" i="7"/>
  <c r="BB191" i="7"/>
  <c r="BA191" i="7"/>
  <c r="AZ191" i="7"/>
  <c r="AY191" i="7"/>
  <c r="AX191" i="7"/>
  <c r="AW191" i="7"/>
  <c r="AV191" i="7"/>
  <c r="I191" i="7"/>
  <c r="H191" i="7"/>
  <c r="BK190" i="7"/>
  <c r="BJ190" i="7"/>
  <c r="BI190" i="7"/>
  <c r="BH190" i="7"/>
  <c r="BG190" i="7"/>
  <c r="BF190" i="7"/>
  <c r="BE190" i="7"/>
  <c r="BD190" i="7"/>
  <c r="BC190" i="7"/>
  <c r="BB190" i="7"/>
  <c r="BA190" i="7"/>
  <c r="AZ190" i="7"/>
  <c r="AY190" i="7"/>
  <c r="AX190" i="7"/>
  <c r="AW190" i="7"/>
  <c r="AV190" i="7"/>
  <c r="I190" i="7"/>
  <c r="H190" i="7"/>
  <c r="BK189" i="7"/>
  <c r="BJ189" i="7"/>
  <c r="BI189" i="7"/>
  <c r="BH189" i="7"/>
  <c r="BG189" i="7"/>
  <c r="BF189" i="7"/>
  <c r="BE189" i="7"/>
  <c r="BD189" i="7"/>
  <c r="BC189" i="7"/>
  <c r="BB189" i="7"/>
  <c r="BA189" i="7"/>
  <c r="AZ189" i="7"/>
  <c r="AY189" i="7"/>
  <c r="AX189" i="7"/>
  <c r="AW189" i="7"/>
  <c r="AV189" i="7"/>
  <c r="I189" i="7"/>
  <c r="H189" i="7"/>
  <c r="BK188" i="7"/>
  <c r="BJ188" i="7"/>
  <c r="BI188" i="7"/>
  <c r="BH188" i="7"/>
  <c r="BG188" i="7"/>
  <c r="BF188" i="7"/>
  <c r="BE188" i="7"/>
  <c r="BD188" i="7"/>
  <c r="BC188" i="7"/>
  <c r="BB188" i="7"/>
  <c r="BA188" i="7"/>
  <c r="AZ188" i="7"/>
  <c r="AY188" i="7"/>
  <c r="AX188" i="7"/>
  <c r="AW188" i="7"/>
  <c r="AV188" i="7"/>
  <c r="I188" i="7"/>
  <c r="H188" i="7"/>
  <c r="BK187" i="7"/>
  <c r="BJ187" i="7"/>
  <c r="BI187" i="7"/>
  <c r="BH187" i="7"/>
  <c r="BG187" i="7"/>
  <c r="BF187" i="7"/>
  <c r="BE187" i="7"/>
  <c r="BD187" i="7"/>
  <c r="BC187" i="7"/>
  <c r="BB187" i="7"/>
  <c r="BA187" i="7"/>
  <c r="AZ187" i="7"/>
  <c r="AY187" i="7"/>
  <c r="AX187" i="7"/>
  <c r="AW187" i="7"/>
  <c r="AV187" i="7"/>
  <c r="I187" i="7"/>
  <c r="H187" i="7"/>
  <c r="BK186" i="7"/>
  <c r="BJ186" i="7"/>
  <c r="BI186" i="7"/>
  <c r="BH186" i="7"/>
  <c r="BG186" i="7"/>
  <c r="BF186" i="7"/>
  <c r="BE186" i="7"/>
  <c r="BD186" i="7"/>
  <c r="BC186" i="7"/>
  <c r="BB186" i="7"/>
  <c r="BA186" i="7"/>
  <c r="AZ186" i="7"/>
  <c r="AY186" i="7"/>
  <c r="AX186" i="7"/>
  <c r="AW186" i="7"/>
  <c r="AV186" i="7"/>
  <c r="I186" i="7"/>
  <c r="H186" i="7"/>
  <c r="BK185" i="7"/>
  <c r="BJ185" i="7"/>
  <c r="BI185" i="7"/>
  <c r="BH185" i="7"/>
  <c r="BG185" i="7"/>
  <c r="BF185" i="7"/>
  <c r="BE185" i="7"/>
  <c r="BD185" i="7"/>
  <c r="BC185" i="7"/>
  <c r="BB185" i="7"/>
  <c r="BA185" i="7"/>
  <c r="AZ185" i="7"/>
  <c r="AY185" i="7"/>
  <c r="AX185" i="7"/>
  <c r="AW185" i="7"/>
  <c r="AV185" i="7"/>
  <c r="I185" i="7"/>
  <c r="H185" i="7"/>
  <c r="BK184" i="7"/>
  <c r="BJ184" i="7"/>
  <c r="BI184" i="7"/>
  <c r="BH184" i="7"/>
  <c r="BG184" i="7"/>
  <c r="BF184" i="7"/>
  <c r="BE184" i="7"/>
  <c r="BD184" i="7"/>
  <c r="BC184" i="7"/>
  <c r="BB184" i="7"/>
  <c r="BA184" i="7"/>
  <c r="AZ184" i="7"/>
  <c r="AY184" i="7"/>
  <c r="AX184" i="7"/>
  <c r="AW184" i="7"/>
  <c r="AV184" i="7"/>
  <c r="I184" i="7"/>
  <c r="H184" i="7"/>
  <c r="BK183" i="7"/>
  <c r="BJ183" i="7"/>
  <c r="BI183" i="7"/>
  <c r="BH183" i="7"/>
  <c r="BG183" i="7"/>
  <c r="BF183" i="7"/>
  <c r="BE183" i="7"/>
  <c r="BD183" i="7"/>
  <c r="BC183" i="7"/>
  <c r="BB183" i="7"/>
  <c r="BA183" i="7"/>
  <c r="AZ183" i="7"/>
  <c r="AY183" i="7"/>
  <c r="AX183" i="7"/>
  <c r="AW183" i="7"/>
  <c r="AV183" i="7"/>
  <c r="I183" i="7"/>
  <c r="H183" i="7"/>
  <c r="BK182" i="7"/>
  <c r="BJ182" i="7"/>
  <c r="BI182" i="7"/>
  <c r="BH182" i="7"/>
  <c r="BG182" i="7"/>
  <c r="BF182" i="7"/>
  <c r="BE182" i="7"/>
  <c r="BD182" i="7"/>
  <c r="BC182" i="7"/>
  <c r="BB182" i="7"/>
  <c r="BA182" i="7"/>
  <c r="AZ182" i="7"/>
  <c r="AY182" i="7"/>
  <c r="AX182" i="7"/>
  <c r="AW182" i="7"/>
  <c r="AV182" i="7"/>
  <c r="I182" i="7"/>
  <c r="H182" i="7"/>
  <c r="BK181" i="7"/>
  <c r="BJ181" i="7"/>
  <c r="BI181" i="7"/>
  <c r="BH181" i="7"/>
  <c r="BG181" i="7"/>
  <c r="BF181" i="7"/>
  <c r="BE181" i="7"/>
  <c r="BD181" i="7"/>
  <c r="BC181" i="7"/>
  <c r="BB181" i="7"/>
  <c r="BA181" i="7"/>
  <c r="AZ181" i="7"/>
  <c r="AY181" i="7"/>
  <c r="AX181" i="7"/>
  <c r="AW181" i="7"/>
  <c r="AV181" i="7"/>
  <c r="I181" i="7"/>
  <c r="H181" i="7"/>
  <c r="BK180" i="7"/>
  <c r="BJ180" i="7"/>
  <c r="BI180" i="7"/>
  <c r="BH180" i="7"/>
  <c r="BG180" i="7"/>
  <c r="BF180" i="7"/>
  <c r="BE180" i="7"/>
  <c r="BD180" i="7"/>
  <c r="BC180" i="7"/>
  <c r="BB180" i="7"/>
  <c r="BA180" i="7"/>
  <c r="AZ180" i="7"/>
  <c r="AY180" i="7"/>
  <c r="AX180" i="7"/>
  <c r="AW180" i="7"/>
  <c r="AV180" i="7"/>
  <c r="I180" i="7"/>
  <c r="H180" i="7"/>
  <c r="BK179" i="7"/>
  <c r="BJ179" i="7"/>
  <c r="BI179" i="7"/>
  <c r="BH179" i="7"/>
  <c r="BG179" i="7"/>
  <c r="BF179" i="7"/>
  <c r="BE179" i="7"/>
  <c r="BD179" i="7"/>
  <c r="BC179" i="7"/>
  <c r="BB179" i="7"/>
  <c r="BA179" i="7"/>
  <c r="AZ179" i="7"/>
  <c r="AY179" i="7"/>
  <c r="AX179" i="7"/>
  <c r="AW179" i="7"/>
  <c r="AV179" i="7"/>
  <c r="I179" i="7"/>
  <c r="H179" i="7"/>
  <c r="BK178" i="7"/>
  <c r="BJ178" i="7"/>
  <c r="BI178" i="7"/>
  <c r="BH178" i="7"/>
  <c r="BG178" i="7"/>
  <c r="BF178" i="7"/>
  <c r="BE178" i="7"/>
  <c r="BD178" i="7"/>
  <c r="BC178" i="7"/>
  <c r="BB178" i="7"/>
  <c r="BA178" i="7"/>
  <c r="AZ178" i="7"/>
  <c r="AY178" i="7"/>
  <c r="AX178" i="7"/>
  <c r="AW178" i="7"/>
  <c r="AV178" i="7"/>
  <c r="I178" i="7"/>
  <c r="H178" i="7"/>
  <c r="BK177" i="7"/>
  <c r="BJ177" i="7"/>
  <c r="BI177" i="7"/>
  <c r="BH177" i="7"/>
  <c r="BG177" i="7"/>
  <c r="BF177" i="7"/>
  <c r="BE177" i="7"/>
  <c r="BD177" i="7"/>
  <c r="BC177" i="7"/>
  <c r="BB177" i="7"/>
  <c r="BA177" i="7"/>
  <c r="AZ177" i="7"/>
  <c r="AY177" i="7"/>
  <c r="AX177" i="7"/>
  <c r="AW177" i="7"/>
  <c r="AV177" i="7"/>
  <c r="I177" i="7"/>
  <c r="H177" i="7"/>
  <c r="BK176" i="7"/>
  <c r="BJ176" i="7"/>
  <c r="BI176" i="7"/>
  <c r="BH176" i="7"/>
  <c r="BG176" i="7"/>
  <c r="BF176" i="7"/>
  <c r="BE176" i="7"/>
  <c r="BD176" i="7"/>
  <c r="BC176" i="7"/>
  <c r="BB176" i="7"/>
  <c r="BA176" i="7"/>
  <c r="AZ176" i="7"/>
  <c r="AY176" i="7"/>
  <c r="AX176" i="7"/>
  <c r="AW176" i="7"/>
  <c r="AV176" i="7"/>
  <c r="I176" i="7"/>
  <c r="H176" i="7"/>
  <c r="BK175" i="7"/>
  <c r="BJ175" i="7"/>
  <c r="BI175" i="7"/>
  <c r="BH175" i="7"/>
  <c r="BG175" i="7"/>
  <c r="BF175" i="7"/>
  <c r="BE175" i="7"/>
  <c r="BD175" i="7"/>
  <c r="BC175" i="7"/>
  <c r="BB175" i="7"/>
  <c r="BA175" i="7"/>
  <c r="AZ175" i="7"/>
  <c r="AY175" i="7"/>
  <c r="AX175" i="7"/>
  <c r="AW175" i="7"/>
  <c r="AV175" i="7"/>
  <c r="I175" i="7"/>
  <c r="H175" i="7"/>
  <c r="BK174" i="7"/>
  <c r="BJ174" i="7"/>
  <c r="BI174" i="7"/>
  <c r="BH174" i="7"/>
  <c r="BG174" i="7"/>
  <c r="BF174" i="7"/>
  <c r="BE174" i="7"/>
  <c r="BD174" i="7"/>
  <c r="BC174" i="7"/>
  <c r="BB174" i="7"/>
  <c r="BA174" i="7"/>
  <c r="AZ174" i="7"/>
  <c r="AY174" i="7"/>
  <c r="AX174" i="7"/>
  <c r="AW174" i="7"/>
  <c r="AV174" i="7"/>
  <c r="I174" i="7"/>
  <c r="H174" i="7"/>
  <c r="BK173" i="7"/>
  <c r="BJ173" i="7"/>
  <c r="BI173" i="7"/>
  <c r="BH173" i="7"/>
  <c r="BG173" i="7"/>
  <c r="BF173" i="7"/>
  <c r="BE173" i="7"/>
  <c r="BD173" i="7"/>
  <c r="BC173" i="7"/>
  <c r="BB173" i="7"/>
  <c r="BA173" i="7"/>
  <c r="AZ173" i="7"/>
  <c r="AY173" i="7"/>
  <c r="AX173" i="7"/>
  <c r="AW173" i="7"/>
  <c r="AV173" i="7"/>
  <c r="I173" i="7"/>
  <c r="H173" i="7"/>
  <c r="BK172" i="7"/>
  <c r="BJ172" i="7"/>
  <c r="BI172" i="7"/>
  <c r="BH172" i="7"/>
  <c r="BG172" i="7"/>
  <c r="BF172" i="7"/>
  <c r="BE172" i="7"/>
  <c r="BD172" i="7"/>
  <c r="BC172" i="7"/>
  <c r="BB172" i="7"/>
  <c r="BA172" i="7"/>
  <c r="AZ172" i="7"/>
  <c r="AY172" i="7"/>
  <c r="AX172" i="7"/>
  <c r="AW172" i="7"/>
  <c r="AV172" i="7"/>
  <c r="I172" i="7"/>
  <c r="H172" i="7"/>
  <c r="BK171" i="7"/>
  <c r="BJ171" i="7"/>
  <c r="BI171" i="7"/>
  <c r="BH171" i="7"/>
  <c r="BG171" i="7"/>
  <c r="BF171" i="7"/>
  <c r="BE171" i="7"/>
  <c r="BD171" i="7"/>
  <c r="BC171" i="7"/>
  <c r="BB171" i="7"/>
  <c r="BA171" i="7"/>
  <c r="AZ171" i="7"/>
  <c r="AY171" i="7"/>
  <c r="AX171" i="7"/>
  <c r="AW171" i="7"/>
  <c r="AV171" i="7"/>
  <c r="I171" i="7"/>
  <c r="H171" i="7"/>
  <c r="BK170" i="7"/>
  <c r="BJ170" i="7"/>
  <c r="BI170" i="7"/>
  <c r="BH170" i="7"/>
  <c r="BG170" i="7"/>
  <c r="BF170" i="7"/>
  <c r="BE170" i="7"/>
  <c r="BD170" i="7"/>
  <c r="BC170" i="7"/>
  <c r="BB170" i="7"/>
  <c r="BA170" i="7"/>
  <c r="AZ170" i="7"/>
  <c r="AY170" i="7"/>
  <c r="AX170" i="7"/>
  <c r="AW170" i="7"/>
  <c r="AV170" i="7"/>
  <c r="I170" i="7"/>
  <c r="H170" i="7"/>
  <c r="BK169" i="7"/>
  <c r="BJ169" i="7"/>
  <c r="BI169" i="7"/>
  <c r="BH169" i="7"/>
  <c r="BG169" i="7"/>
  <c r="BF169" i="7"/>
  <c r="BE169" i="7"/>
  <c r="BD169" i="7"/>
  <c r="BC169" i="7"/>
  <c r="BB169" i="7"/>
  <c r="BA169" i="7"/>
  <c r="AZ169" i="7"/>
  <c r="AY169" i="7"/>
  <c r="AX169" i="7"/>
  <c r="AW169" i="7"/>
  <c r="AV169" i="7"/>
  <c r="I169" i="7"/>
  <c r="H169" i="7"/>
  <c r="BK168" i="7"/>
  <c r="BJ168" i="7"/>
  <c r="BI168" i="7"/>
  <c r="BH168" i="7"/>
  <c r="BG168" i="7"/>
  <c r="BF168" i="7"/>
  <c r="BE168" i="7"/>
  <c r="BD168" i="7"/>
  <c r="BC168" i="7"/>
  <c r="BB168" i="7"/>
  <c r="BA168" i="7"/>
  <c r="AZ168" i="7"/>
  <c r="AY168" i="7"/>
  <c r="AX168" i="7"/>
  <c r="AW168" i="7"/>
  <c r="AV168" i="7"/>
  <c r="I168" i="7"/>
  <c r="H168" i="7"/>
  <c r="BK167" i="7"/>
  <c r="BJ167" i="7"/>
  <c r="BI167" i="7"/>
  <c r="BH167" i="7"/>
  <c r="BG167" i="7"/>
  <c r="BF167" i="7"/>
  <c r="BE167" i="7"/>
  <c r="BD167" i="7"/>
  <c r="BC167" i="7"/>
  <c r="BB167" i="7"/>
  <c r="BA167" i="7"/>
  <c r="AZ167" i="7"/>
  <c r="AY167" i="7"/>
  <c r="AX167" i="7"/>
  <c r="AW167" i="7"/>
  <c r="AV167" i="7"/>
  <c r="I167" i="7"/>
  <c r="H167" i="7"/>
  <c r="BK166" i="7"/>
  <c r="BJ166" i="7"/>
  <c r="BI166" i="7"/>
  <c r="BH166" i="7"/>
  <c r="BG166" i="7"/>
  <c r="BF166" i="7"/>
  <c r="BE166" i="7"/>
  <c r="BD166" i="7"/>
  <c r="BC166" i="7"/>
  <c r="BB166" i="7"/>
  <c r="BA166" i="7"/>
  <c r="AZ166" i="7"/>
  <c r="AY166" i="7"/>
  <c r="AX166" i="7"/>
  <c r="AW166" i="7"/>
  <c r="AV166" i="7"/>
  <c r="I166" i="7"/>
  <c r="H166" i="7"/>
  <c r="BK165" i="7"/>
  <c r="BJ165" i="7"/>
  <c r="BI165" i="7"/>
  <c r="BH165" i="7"/>
  <c r="BG165" i="7"/>
  <c r="BF165" i="7"/>
  <c r="BE165" i="7"/>
  <c r="BD165" i="7"/>
  <c r="BC165" i="7"/>
  <c r="BB165" i="7"/>
  <c r="BA165" i="7"/>
  <c r="AZ165" i="7"/>
  <c r="AY165" i="7"/>
  <c r="AX165" i="7"/>
  <c r="AW165" i="7"/>
  <c r="AV165" i="7"/>
  <c r="I165" i="7"/>
  <c r="H165" i="7"/>
  <c r="BK164" i="7"/>
  <c r="BJ164" i="7"/>
  <c r="BI164" i="7"/>
  <c r="BH164" i="7"/>
  <c r="BG164" i="7"/>
  <c r="BF164" i="7"/>
  <c r="BE164" i="7"/>
  <c r="BD164" i="7"/>
  <c r="BC164" i="7"/>
  <c r="BB164" i="7"/>
  <c r="BA164" i="7"/>
  <c r="AZ164" i="7"/>
  <c r="AY164" i="7"/>
  <c r="AX164" i="7"/>
  <c r="AW164" i="7"/>
  <c r="AV164" i="7"/>
  <c r="I164" i="7"/>
  <c r="H164" i="7"/>
  <c r="BK163" i="7"/>
  <c r="BJ163" i="7"/>
  <c r="BI163" i="7"/>
  <c r="BH163" i="7"/>
  <c r="BG163" i="7"/>
  <c r="BF163" i="7"/>
  <c r="BE163" i="7"/>
  <c r="BD163" i="7"/>
  <c r="BC163" i="7"/>
  <c r="BB163" i="7"/>
  <c r="BA163" i="7"/>
  <c r="AZ163" i="7"/>
  <c r="AY163" i="7"/>
  <c r="AX163" i="7"/>
  <c r="AW163" i="7"/>
  <c r="AV163" i="7"/>
  <c r="I163" i="7"/>
  <c r="H163" i="7"/>
  <c r="BK162" i="7"/>
  <c r="BJ162" i="7"/>
  <c r="BI162" i="7"/>
  <c r="BH162" i="7"/>
  <c r="BG162" i="7"/>
  <c r="BF162" i="7"/>
  <c r="BE162" i="7"/>
  <c r="BD162" i="7"/>
  <c r="BC162" i="7"/>
  <c r="BB162" i="7"/>
  <c r="BA162" i="7"/>
  <c r="AZ162" i="7"/>
  <c r="AY162" i="7"/>
  <c r="AX162" i="7"/>
  <c r="AW162" i="7"/>
  <c r="AV162" i="7"/>
  <c r="I162" i="7"/>
  <c r="H162" i="7"/>
  <c r="BK161" i="7"/>
  <c r="BJ161" i="7"/>
  <c r="BI161" i="7"/>
  <c r="BH161" i="7"/>
  <c r="BG161" i="7"/>
  <c r="BF161" i="7"/>
  <c r="BE161" i="7"/>
  <c r="BD161" i="7"/>
  <c r="BC161" i="7"/>
  <c r="BB161" i="7"/>
  <c r="BA161" i="7"/>
  <c r="AZ161" i="7"/>
  <c r="AY161" i="7"/>
  <c r="AX161" i="7"/>
  <c r="AW161" i="7"/>
  <c r="AV161" i="7"/>
  <c r="I161" i="7"/>
  <c r="H161" i="7"/>
  <c r="BK160" i="7"/>
  <c r="BJ160" i="7"/>
  <c r="BI160" i="7"/>
  <c r="BH160" i="7"/>
  <c r="BG160" i="7"/>
  <c r="BF160" i="7"/>
  <c r="BE160" i="7"/>
  <c r="BD160" i="7"/>
  <c r="BC160" i="7"/>
  <c r="BB160" i="7"/>
  <c r="BA160" i="7"/>
  <c r="AZ160" i="7"/>
  <c r="AY160" i="7"/>
  <c r="AX160" i="7"/>
  <c r="AW160" i="7"/>
  <c r="AV160" i="7"/>
  <c r="I160" i="7"/>
  <c r="H160" i="7"/>
  <c r="BK159" i="7"/>
  <c r="BJ159" i="7"/>
  <c r="BI159" i="7"/>
  <c r="BH159" i="7"/>
  <c r="BG159" i="7"/>
  <c r="BF159" i="7"/>
  <c r="BE159" i="7"/>
  <c r="BD159" i="7"/>
  <c r="BC159" i="7"/>
  <c r="BB159" i="7"/>
  <c r="BA159" i="7"/>
  <c r="AZ159" i="7"/>
  <c r="AY159" i="7"/>
  <c r="AX159" i="7"/>
  <c r="AW159" i="7"/>
  <c r="AV159" i="7"/>
  <c r="I159" i="7"/>
  <c r="H159" i="7"/>
  <c r="BK158" i="7"/>
  <c r="BJ158" i="7"/>
  <c r="BI158" i="7"/>
  <c r="BH158" i="7"/>
  <c r="BG158" i="7"/>
  <c r="BF158" i="7"/>
  <c r="BE158" i="7"/>
  <c r="BD158" i="7"/>
  <c r="BC158" i="7"/>
  <c r="BB158" i="7"/>
  <c r="BA158" i="7"/>
  <c r="AZ158" i="7"/>
  <c r="AY158" i="7"/>
  <c r="AX158" i="7"/>
  <c r="AW158" i="7"/>
  <c r="AV158" i="7"/>
  <c r="I158" i="7"/>
  <c r="H158" i="7"/>
  <c r="BK157" i="7"/>
  <c r="BJ157" i="7"/>
  <c r="BI157" i="7"/>
  <c r="BH157" i="7"/>
  <c r="BG157" i="7"/>
  <c r="BF157" i="7"/>
  <c r="BE157" i="7"/>
  <c r="BD157" i="7"/>
  <c r="BC157" i="7"/>
  <c r="BB157" i="7"/>
  <c r="BA157" i="7"/>
  <c r="AZ157" i="7"/>
  <c r="AY157" i="7"/>
  <c r="AX157" i="7"/>
  <c r="AW157" i="7"/>
  <c r="AV157" i="7"/>
  <c r="I157" i="7"/>
  <c r="H157" i="7"/>
  <c r="BK156" i="7"/>
  <c r="BJ156" i="7"/>
  <c r="BI156" i="7"/>
  <c r="BH156" i="7"/>
  <c r="BG156" i="7"/>
  <c r="BF156" i="7"/>
  <c r="BE156" i="7"/>
  <c r="BD156" i="7"/>
  <c r="BC156" i="7"/>
  <c r="BB156" i="7"/>
  <c r="BA156" i="7"/>
  <c r="AZ156" i="7"/>
  <c r="AY156" i="7"/>
  <c r="AX156" i="7"/>
  <c r="AW156" i="7"/>
  <c r="AV156" i="7"/>
  <c r="I156" i="7"/>
  <c r="H156" i="7"/>
  <c r="BK155" i="7"/>
  <c r="BJ155" i="7"/>
  <c r="BI155" i="7"/>
  <c r="BH155" i="7"/>
  <c r="BG155" i="7"/>
  <c r="BF155" i="7"/>
  <c r="BE155" i="7"/>
  <c r="BD155" i="7"/>
  <c r="BC155" i="7"/>
  <c r="BB155" i="7"/>
  <c r="BA155" i="7"/>
  <c r="AZ155" i="7"/>
  <c r="AY155" i="7"/>
  <c r="AX155" i="7"/>
  <c r="AW155" i="7"/>
  <c r="AV155" i="7"/>
  <c r="I155" i="7"/>
  <c r="H155" i="7"/>
  <c r="BK154" i="7"/>
  <c r="BJ154" i="7"/>
  <c r="BI154" i="7"/>
  <c r="BH154" i="7"/>
  <c r="BG154" i="7"/>
  <c r="BF154" i="7"/>
  <c r="BE154" i="7"/>
  <c r="BD154" i="7"/>
  <c r="BC154" i="7"/>
  <c r="BB154" i="7"/>
  <c r="BA154" i="7"/>
  <c r="AZ154" i="7"/>
  <c r="AY154" i="7"/>
  <c r="AX154" i="7"/>
  <c r="AW154" i="7"/>
  <c r="AV154" i="7"/>
  <c r="I154" i="7"/>
  <c r="H154" i="7"/>
  <c r="BK153" i="7"/>
  <c r="BJ153" i="7"/>
  <c r="BI153" i="7"/>
  <c r="BH153" i="7"/>
  <c r="BG153" i="7"/>
  <c r="BF153" i="7"/>
  <c r="BE153" i="7"/>
  <c r="BD153" i="7"/>
  <c r="BC153" i="7"/>
  <c r="BB153" i="7"/>
  <c r="BA153" i="7"/>
  <c r="AZ153" i="7"/>
  <c r="AY153" i="7"/>
  <c r="AX153" i="7"/>
  <c r="AW153" i="7"/>
  <c r="AV153" i="7"/>
  <c r="I153" i="7"/>
  <c r="H153" i="7"/>
  <c r="BK152" i="7"/>
  <c r="BJ152" i="7"/>
  <c r="BI152" i="7"/>
  <c r="BH152" i="7"/>
  <c r="BG152" i="7"/>
  <c r="BF152" i="7"/>
  <c r="BE152" i="7"/>
  <c r="BD152" i="7"/>
  <c r="BC152" i="7"/>
  <c r="BB152" i="7"/>
  <c r="BA152" i="7"/>
  <c r="AZ152" i="7"/>
  <c r="AY152" i="7"/>
  <c r="AX152" i="7"/>
  <c r="AW152" i="7"/>
  <c r="AV152" i="7"/>
  <c r="I152" i="7"/>
  <c r="H152" i="7"/>
  <c r="BK151" i="7"/>
  <c r="BJ151" i="7"/>
  <c r="BI151" i="7"/>
  <c r="BH151" i="7"/>
  <c r="BG151" i="7"/>
  <c r="BF151" i="7"/>
  <c r="BE151" i="7"/>
  <c r="BD151" i="7"/>
  <c r="BC151" i="7"/>
  <c r="BB151" i="7"/>
  <c r="BA151" i="7"/>
  <c r="AZ151" i="7"/>
  <c r="AY151" i="7"/>
  <c r="AX151" i="7"/>
  <c r="AW151" i="7"/>
  <c r="AV151" i="7"/>
  <c r="I151" i="7"/>
  <c r="H151" i="7"/>
  <c r="BK150" i="7"/>
  <c r="BJ150" i="7"/>
  <c r="BI150" i="7"/>
  <c r="BH150" i="7"/>
  <c r="BG150" i="7"/>
  <c r="BF150" i="7"/>
  <c r="BE150" i="7"/>
  <c r="BD150" i="7"/>
  <c r="BC150" i="7"/>
  <c r="BB150" i="7"/>
  <c r="BA150" i="7"/>
  <c r="AZ150" i="7"/>
  <c r="AY150" i="7"/>
  <c r="AX150" i="7"/>
  <c r="AW150" i="7"/>
  <c r="AV150" i="7"/>
  <c r="I150" i="7"/>
  <c r="H150" i="7"/>
  <c r="BK149" i="7"/>
  <c r="BJ149" i="7"/>
  <c r="BI149" i="7"/>
  <c r="BH149" i="7"/>
  <c r="BG149" i="7"/>
  <c r="BF149" i="7"/>
  <c r="BE149" i="7"/>
  <c r="BD149" i="7"/>
  <c r="BC149" i="7"/>
  <c r="BB149" i="7"/>
  <c r="BA149" i="7"/>
  <c r="AZ149" i="7"/>
  <c r="AY149" i="7"/>
  <c r="AX149" i="7"/>
  <c r="AW149" i="7"/>
  <c r="AV149" i="7"/>
  <c r="I149" i="7"/>
  <c r="H149" i="7"/>
  <c r="BK148" i="7"/>
  <c r="BJ148" i="7"/>
  <c r="BI148" i="7"/>
  <c r="BH148" i="7"/>
  <c r="BG148" i="7"/>
  <c r="BF148" i="7"/>
  <c r="BE148" i="7"/>
  <c r="BD148" i="7"/>
  <c r="BC148" i="7"/>
  <c r="BB148" i="7"/>
  <c r="BA148" i="7"/>
  <c r="AZ148" i="7"/>
  <c r="AY148" i="7"/>
  <c r="AX148" i="7"/>
  <c r="AW148" i="7"/>
  <c r="AV148" i="7"/>
  <c r="I148" i="7"/>
  <c r="H148" i="7"/>
  <c r="BK147" i="7"/>
  <c r="BJ147" i="7"/>
  <c r="BI147" i="7"/>
  <c r="BH147" i="7"/>
  <c r="BG147" i="7"/>
  <c r="BF147" i="7"/>
  <c r="BE147" i="7"/>
  <c r="BD147" i="7"/>
  <c r="BC147" i="7"/>
  <c r="BB147" i="7"/>
  <c r="BA147" i="7"/>
  <c r="AZ147" i="7"/>
  <c r="AY147" i="7"/>
  <c r="AX147" i="7"/>
  <c r="AW147" i="7"/>
  <c r="AV147" i="7"/>
  <c r="I147" i="7"/>
  <c r="H147" i="7"/>
  <c r="BK146" i="7"/>
  <c r="BJ146" i="7"/>
  <c r="BI146" i="7"/>
  <c r="BH146" i="7"/>
  <c r="BG146" i="7"/>
  <c r="BF146" i="7"/>
  <c r="BE146" i="7"/>
  <c r="BD146" i="7"/>
  <c r="BC146" i="7"/>
  <c r="BB146" i="7"/>
  <c r="BA146" i="7"/>
  <c r="AZ146" i="7"/>
  <c r="AY146" i="7"/>
  <c r="AX146" i="7"/>
  <c r="AW146" i="7"/>
  <c r="AV146" i="7"/>
  <c r="I146" i="7"/>
  <c r="H146" i="7"/>
  <c r="BK145" i="7"/>
  <c r="BJ145" i="7"/>
  <c r="BI145" i="7"/>
  <c r="BH145" i="7"/>
  <c r="BG145" i="7"/>
  <c r="BF145" i="7"/>
  <c r="BE145" i="7"/>
  <c r="BD145" i="7"/>
  <c r="BC145" i="7"/>
  <c r="BB145" i="7"/>
  <c r="BA145" i="7"/>
  <c r="AZ145" i="7"/>
  <c r="AY145" i="7"/>
  <c r="AX145" i="7"/>
  <c r="AW145" i="7"/>
  <c r="AV145" i="7"/>
  <c r="I145" i="7"/>
  <c r="H145" i="7"/>
  <c r="BK144" i="7"/>
  <c r="BJ144" i="7"/>
  <c r="BI144" i="7"/>
  <c r="BH144" i="7"/>
  <c r="BG144" i="7"/>
  <c r="BF144" i="7"/>
  <c r="BE144" i="7"/>
  <c r="BD144" i="7"/>
  <c r="BC144" i="7"/>
  <c r="BB144" i="7"/>
  <c r="BA144" i="7"/>
  <c r="AZ144" i="7"/>
  <c r="AY144" i="7"/>
  <c r="AX144" i="7"/>
  <c r="AW144" i="7"/>
  <c r="AV144" i="7"/>
  <c r="I144" i="7"/>
  <c r="H144" i="7"/>
  <c r="BK143" i="7"/>
  <c r="BJ143" i="7"/>
  <c r="BI143" i="7"/>
  <c r="BH143" i="7"/>
  <c r="BG143" i="7"/>
  <c r="BF143" i="7"/>
  <c r="BE143" i="7"/>
  <c r="BD143" i="7"/>
  <c r="BC143" i="7"/>
  <c r="BB143" i="7"/>
  <c r="BA143" i="7"/>
  <c r="AZ143" i="7"/>
  <c r="AY143" i="7"/>
  <c r="AX143" i="7"/>
  <c r="AW143" i="7"/>
  <c r="AV143" i="7"/>
  <c r="I143" i="7"/>
  <c r="H143" i="7"/>
  <c r="BK142" i="7"/>
  <c r="BJ142" i="7"/>
  <c r="BI142" i="7"/>
  <c r="BH142" i="7"/>
  <c r="BG142" i="7"/>
  <c r="BF142" i="7"/>
  <c r="BE142" i="7"/>
  <c r="BD142" i="7"/>
  <c r="BC142" i="7"/>
  <c r="BB142" i="7"/>
  <c r="BA142" i="7"/>
  <c r="AZ142" i="7"/>
  <c r="AY142" i="7"/>
  <c r="AX142" i="7"/>
  <c r="AW142" i="7"/>
  <c r="AV142" i="7"/>
  <c r="I142" i="7"/>
  <c r="H142" i="7"/>
  <c r="BK141" i="7"/>
  <c r="BJ141" i="7"/>
  <c r="BI141" i="7"/>
  <c r="BH141" i="7"/>
  <c r="BG141" i="7"/>
  <c r="BF141" i="7"/>
  <c r="BE141" i="7"/>
  <c r="BD141" i="7"/>
  <c r="BC141" i="7"/>
  <c r="BB141" i="7"/>
  <c r="BA141" i="7"/>
  <c r="AZ141" i="7"/>
  <c r="AY141" i="7"/>
  <c r="AX141" i="7"/>
  <c r="AW141" i="7"/>
  <c r="AV141" i="7"/>
  <c r="I141" i="7"/>
  <c r="H141" i="7"/>
  <c r="BK140" i="7"/>
  <c r="BJ140" i="7"/>
  <c r="BI140" i="7"/>
  <c r="BH140" i="7"/>
  <c r="BG140" i="7"/>
  <c r="BF140" i="7"/>
  <c r="BE140" i="7"/>
  <c r="BD140" i="7"/>
  <c r="BC140" i="7"/>
  <c r="BB140" i="7"/>
  <c r="BA140" i="7"/>
  <c r="AZ140" i="7"/>
  <c r="AY140" i="7"/>
  <c r="AX140" i="7"/>
  <c r="AW140" i="7"/>
  <c r="AV140" i="7"/>
  <c r="I140" i="7"/>
  <c r="H140" i="7"/>
  <c r="BK139" i="7"/>
  <c r="BJ139" i="7"/>
  <c r="BI139" i="7"/>
  <c r="BH139" i="7"/>
  <c r="BG139" i="7"/>
  <c r="BF139" i="7"/>
  <c r="BE139" i="7"/>
  <c r="BD139" i="7"/>
  <c r="BC139" i="7"/>
  <c r="BB139" i="7"/>
  <c r="BA139" i="7"/>
  <c r="AZ139" i="7"/>
  <c r="AY139" i="7"/>
  <c r="AX139" i="7"/>
  <c r="AW139" i="7"/>
  <c r="AV139" i="7"/>
  <c r="I139" i="7"/>
  <c r="H139" i="7"/>
  <c r="BK138" i="7"/>
  <c r="BJ138" i="7"/>
  <c r="BI138" i="7"/>
  <c r="BH138" i="7"/>
  <c r="BG138" i="7"/>
  <c r="BF138" i="7"/>
  <c r="BE138" i="7"/>
  <c r="BD138" i="7"/>
  <c r="BC138" i="7"/>
  <c r="BB138" i="7"/>
  <c r="BA138" i="7"/>
  <c r="AZ138" i="7"/>
  <c r="AY138" i="7"/>
  <c r="AX138" i="7"/>
  <c r="AW138" i="7"/>
  <c r="AV138" i="7"/>
  <c r="I138" i="7"/>
  <c r="H138" i="7"/>
  <c r="BK137" i="7"/>
  <c r="BJ137" i="7"/>
  <c r="BI137" i="7"/>
  <c r="BH137" i="7"/>
  <c r="BG137" i="7"/>
  <c r="BF137" i="7"/>
  <c r="BE137" i="7"/>
  <c r="BD137" i="7"/>
  <c r="BC137" i="7"/>
  <c r="BB137" i="7"/>
  <c r="BA137" i="7"/>
  <c r="AZ137" i="7"/>
  <c r="AY137" i="7"/>
  <c r="AX137" i="7"/>
  <c r="AW137" i="7"/>
  <c r="AV137" i="7"/>
  <c r="I137" i="7"/>
  <c r="H137" i="7"/>
  <c r="BK136" i="7"/>
  <c r="BJ136" i="7"/>
  <c r="BI136" i="7"/>
  <c r="BH136" i="7"/>
  <c r="BG136" i="7"/>
  <c r="BF136" i="7"/>
  <c r="BE136" i="7"/>
  <c r="BD136" i="7"/>
  <c r="BC136" i="7"/>
  <c r="BB136" i="7"/>
  <c r="BA136" i="7"/>
  <c r="AZ136" i="7"/>
  <c r="AY136" i="7"/>
  <c r="AX136" i="7"/>
  <c r="AW136" i="7"/>
  <c r="AV136" i="7"/>
  <c r="I136" i="7"/>
  <c r="H136" i="7"/>
  <c r="BK135" i="7"/>
  <c r="BJ135" i="7"/>
  <c r="BI135" i="7"/>
  <c r="BH135" i="7"/>
  <c r="BG135" i="7"/>
  <c r="BF135" i="7"/>
  <c r="BE135" i="7"/>
  <c r="BD135" i="7"/>
  <c r="BC135" i="7"/>
  <c r="BB135" i="7"/>
  <c r="BA135" i="7"/>
  <c r="AZ135" i="7"/>
  <c r="AY135" i="7"/>
  <c r="AX135" i="7"/>
  <c r="AW135" i="7"/>
  <c r="AV135" i="7"/>
  <c r="I135" i="7"/>
  <c r="H135" i="7"/>
  <c r="BK134" i="7"/>
  <c r="BJ134" i="7"/>
  <c r="BI134" i="7"/>
  <c r="BH134" i="7"/>
  <c r="BG134" i="7"/>
  <c r="BF134" i="7"/>
  <c r="BE134" i="7"/>
  <c r="BD134" i="7"/>
  <c r="BC134" i="7"/>
  <c r="BB134" i="7"/>
  <c r="BA134" i="7"/>
  <c r="AZ134" i="7"/>
  <c r="AY134" i="7"/>
  <c r="AX134" i="7"/>
  <c r="AW134" i="7"/>
  <c r="AV134" i="7"/>
  <c r="I134" i="7"/>
  <c r="H134" i="7"/>
  <c r="BK133" i="7"/>
  <c r="BJ133" i="7"/>
  <c r="BI133" i="7"/>
  <c r="BH133" i="7"/>
  <c r="BG133" i="7"/>
  <c r="BF133" i="7"/>
  <c r="BE133" i="7"/>
  <c r="BD133" i="7"/>
  <c r="BC133" i="7"/>
  <c r="BB133" i="7"/>
  <c r="BA133" i="7"/>
  <c r="AZ133" i="7"/>
  <c r="AY133" i="7"/>
  <c r="AX133" i="7"/>
  <c r="AW133" i="7"/>
  <c r="AV133" i="7"/>
  <c r="I133" i="7"/>
  <c r="H133" i="7"/>
  <c r="BK132" i="7"/>
  <c r="BJ132" i="7"/>
  <c r="BI132" i="7"/>
  <c r="BH132" i="7"/>
  <c r="BG132" i="7"/>
  <c r="BF132" i="7"/>
  <c r="BE132" i="7"/>
  <c r="BD132" i="7"/>
  <c r="BC132" i="7"/>
  <c r="BB132" i="7"/>
  <c r="BA132" i="7"/>
  <c r="AZ132" i="7"/>
  <c r="AY132" i="7"/>
  <c r="AX132" i="7"/>
  <c r="AW132" i="7"/>
  <c r="AV132" i="7"/>
  <c r="I132" i="7"/>
  <c r="H132" i="7"/>
  <c r="BK131" i="7"/>
  <c r="BJ131" i="7"/>
  <c r="BI131" i="7"/>
  <c r="BH131" i="7"/>
  <c r="BG131" i="7"/>
  <c r="BF131" i="7"/>
  <c r="BE131" i="7"/>
  <c r="BD131" i="7"/>
  <c r="BC131" i="7"/>
  <c r="BB131" i="7"/>
  <c r="BA131" i="7"/>
  <c r="AZ131" i="7"/>
  <c r="AY131" i="7"/>
  <c r="AX131" i="7"/>
  <c r="AW131" i="7"/>
  <c r="AV131" i="7"/>
  <c r="I131" i="7"/>
  <c r="H131" i="7"/>
  <c r="BK130" i="7"/>
  <c r="BJ130" i="7"/>
  <c r="BI130" i="7"/>
  <c r="BH130" i="7"/>
  <c r="BG130" i="7"/>
  <c r="BF130" i="7"/>
  <c r="BE130" i="7"/>
  <c r="BD130" i="7"/>
  <c r="BC130" i="7"/>
  <c r="BB130" i="7"/>
  <c r="BA130" i="7"/>
  <c r="AZ130" i="7"/>
  <c r="AY130" i="7"/>
  <c r="AX130" i="7"/>
  <c r="AW130" i="7"/>
  <c r="AV130" i="7"/>
  <c r="I130" i="7"/>
  <c r="H130" i="7"/>
  <c r="BK129" i="7"/>
  <c r="BJ129" i="7"/>
  <c r="BI129" i="7"/>
  <c r="BH129" i="7"/>
  <c r="BG129" i="7"/>
  <c r="BF129" i="7"/>
  <c r="BE129" i="7"/>
  <c r="BD129" i="7"/>
  <c r="BC129" i="7"/>
  <c r="BB129" i="7"/>
  <c r="BA129" i="7"/>
  <c r="AZ129" i="7"/>
  <c r="AY129" i="7"/>
  <c r="AX129" i="7"/>
  <c r="AW129" i="7"/>
  <c r="AV129" i="7"/>
  <c r="I129" i="7"/>
  <c r="H129" i="7"/>
  <c r="BK128" i="7"/>
  <c r="BJ128" i="7"/>
  <c r="BI128" i="7"/>
  <c r="BH128" i="7"/>
  <c r="BG128" i="7"/>
  <c r="BF128" i="7"/>
  <c r="BE128" i="7"/>
  <c r="BD128" i="7"/>
  <c r="BC128" i="7"/>
  <c r="BB128" i="7"/>
  <c r="BA128" i="7"/>
  <c r="AZ128" i="7"/>
  <c r="AY128" i="7"/>
  <c r="AX128" i="7"/>
  <c r="AW128" i="7"/>
  <c r="AV128" i="7"/>
  <c r="I128" i="7"/>
  <c r="H128" i="7"/>
  <c r="BK127" i="7"/>
  <c r="BJ127" i="7"/>
  <c r="BI127" i="7"/>
  <c r="BH127" i="7"/>
  <c r="BG127" i="7"/>
  <c r="BF127" i="7"/>
  <c r="BE127" i="7"/>
  <c r="BD127" i="7"/>
  <c r="BC127" i="7"/>
  <c r="BB127" i="7"/>
  <c r="BA127" i="7"/>
  <c r="AZ127" i="7"/>
  <c r="AY127" i="7"/>
  <c r="AX127" i="7"/>
  <c r="AW127" i="7"/>
  <c r="AV127" i="7"/>
  <c r="I127" i="7"/>
  <c r="H127" i="7"/>
  <c r="BK126" i="7"/>
  <c r="BJ126" i="7"/>
  <c r="BI126" i="7"/>
  <c r="BH126" i="7"/>
  <c r="BG126" i="7"/>
  <c r="BF126" i="7"/>
  <c r="BE126" i="7"/>
  <c r="BD126" i="7"/>
  <c r="BC126" i="7"/>
  <c r="BB126" i="7"/>
  <c r="BA126" i="7"/>
  <c r="AZ126" i="7"/>
  <c r="AY126" i="7"/>
  <c r="AX126" i="7"/>
  <c r="AW126" i="7"/>
  <c r="AV126" i="7"/>
  <c r="I126" i="7"/>
  <c r="H126" i="7"/>
  <c r="BK125" i="7"/>
  <c r="BJ125" i="7"/>
  <c r="BI125" i="7"/>
  <c r="BH125" i="7"/>
  <c r="BG125" i="7"/>
  <c r="BF125" i="7"/>
  <c r="BE125" i="7"/>
  <c r="BD125" i="7"/>
  <c r="BC125" i="7"/>
  <c r="BB125" i="7"/>
  <c r="BA125" i="7"/>
  <c r="AZ125" i="7"/>
  <c r="AY125" i="7"/>
  <c r="AX125" i="7"/>
  <c r="AW125" i="7"/>
  <c r="AV125" i="7"/>
  <c r="I125" i="7"/>
  <c r="H125" i="7"/>
  <c r="BK124" i="7"/>
  <c r="BJ124" i="7"/>
  <c r="BI124" i="7"/>
  <c r="BH124" i="7"/>
  <c r="BG124" i="7"/>
  <c r="BF124" i="7"/>
  <c r="BE124" i="7"/>
  <c r="BD124" i="7"/>
  <c r="BC124" i="7"/>
  <c r="BB124" i="7"/>
  <c r="BA124" i="7"/>
  <c r="AZ124" i="7"/>
  <c r="AY124" i="7"/>
  <c r="AX124" i="7"/>
  <c r="AW124" i="7"/>
  <c r="AV124" i="7"/>
  <c r="I124" i="7"/>
  <c r="H124" i="7"/>
  <c r="BK123" i="7"/>
  <c r="BJ123" i="7"/>
  <c r="BI123" i="7"/>
  <c r="BH123" i="7"/>
  <c r="BG123" i="7"/>
  <c r="BF123" i="7"/>
  <c r="BE123" i="7"/>
  <c r="BD123" i="7"/>
  <c r="BC123" i="7"/>
  <c r="BB123" i="7"/>
  <c r="BA123" i="7"/>
  <c r="AZ123" i="7"/>
  <c r="AY123" i="7"/>
  <c r="AX123" i="7"/>
  <c r="AW123" i="7"/>
  <c r="AV123" i="7"/>
  <c r="I123" i="7"/>
  <c r="H123" i="7"/>
  <c r="BK122" i="7"/>
  <c r="BJ122" i="7"/>
  <c r="BI122" i="7"/>
  <c r="BH122" i="7"/>
  <c r="BG122" i="7"/>
  <c r="BF122" i="7"/>
  <c r="BE122" i="7"/>
  <c r="BD122" i="7"/>
  <c r="BC122" i="7"/>
  <c r="BB122" i="7"/>
  <c r="BA122" i="7"/>
  <c r="AZ122" i="7"/>
  <c r="AY122" i="7"/>
  <c r="AX122" i="7"/>
  <c r="AW122" i="7"/>
  <c r="AV122" i="7"/>
  <c r="I122" i="7"/>
  <c r="H122" i="7"/>
  <c r="BK121" i="7"/>
  <c r="BJ121" i="7"/>
  <c r="BI121" i="7"/>
  <c r="BH121" i="7"/>
  <c r="BG121" i="7"/>
  <c r="BF121" i="7"/>
  <c r="BE121" i="7"/>
  <c r="BD121" i="7"/>
  <c r="BC121" i="7"/>
  <c r="BB121" i="7"/>
  <c r="BA121" i="7"/>
  <c r="AZ121" i="7"/>
  <c r="AY121" i="7"/>
  <c r="AX121" i="7"/>
  <c r="AW121" i="7"/>
  <c r="AV121" i="7"/>
  <c r="I121" i="7"/>
  <c r="H121" i="7"/>
  <c r="BK120" i="7"/>
  <c r="BJ120" i="7"/>
  <c r="BI120" i="7"/>
  <c r="BH120" i="7"/>
  <c r="BG120" i="7"/>
  <c r="BF120" i="7"/>
  <c r="BE120" i="7"/>
  <c r="BD120" i="7"/>
  <c r="BC120" i="7"/>
  <c r="BB120" i="7"/>
  <c r="BA120" i="7"/>
  <c r="AZ120" i="7"/>
  <c r="AY120" i="7"/>
  <c r="AX120" i="7"/>
  <c r="AW120" i="7"/>
  <c r="AV120" i="7"/>
  <c r="I120" i="7"/>
  <c r="H120" i="7"/>
  <c r="BK108" i="7"/>
  <c r="BJ108" i="7"/>
  <c r="BG108" i="7"/>
  <c r="BH108" i="7" s="1"/>
  <c r="BF108" i="7"/>
  <c r="BE108" i="7"/>
  <c r="BD108" i="7"/>
  <c r="BC108" i="7"/>
  <c r="BB108" i="7"/>
  <c r="BA108" i="7"/>
  <c r="AZ108" i="7"/>
  <c r="AY108" i="7"/>
  <c r="AX108" i="7"/>
  <c r="AW108" i="7"/>
  <c r="I108" i="7"/>
  <c r="H108" i="7"/>
  <c r="BK107" i="7"/>
  <c r="BJ107" i="7"/>
  <c r="BG107" i="7"/>
  <c r="BH107" i="7" s="1"/>
  <c r="BF107" i="7"/>
  <c r="BE107" i="7"/>
  <c r="BD107" i="7"/>
  <c r="BC107" i="7"/>
  <c r="BB107" i="7"/>
  <c r="BA107" i="7"/>
  <c r="AZ107" i="7"/>
  <c r="AY107" i="7"/>
  <c r="AX107" i="7"/>
  <c r="AW107" i="7"/>
  <c r="I107" i="7"/>
  <c r="H107" i="7"/>
  <c r="BK106" i="7"/>
  <c r="BJ106" i="7"/>
  <c r="BG106" i="7"/>
  <c r="BH106" i="7" s="1"/>
  <c r="BF106" i="7"/>
  <c r="BE106" i="7"/>
  <c r="BD106" i="7"/>
  <c r="BC106" i="7"/>
  <c r="BB106" i="7"/>
  <c r="BA106" i="7"/>
  <c r="AZ106" i="7"/>
  <c r="AY106" i="7"/>
  <c r="AX106" i="7"/>
  <c r="AW106" i="7"/>
  <c r="I106" i="7"/>
  <c r="H106" i="7"/>
  <c r="BK105" i="7"/>
  <c r="BJ105" i="7"/>
  <c r="BG105" i="7"/>
  <c r="BH105" i="7" s="1"/>
  <c r="BF105" i="7"/>
  <c r="BE105" i="7"/>
  <c r="BD105" i="7"/>
  <c r="BC105" i="7"/>
  <c r="BB105" i="7"/>
  <c r="BA105" i="7"/>
  <c r="AZ105" i="7"/>
  <c r="AY105" i="7"/>
  <c r="AX105" i="7"/>
  <c r="AW105" i="7"/>
  <c r="I105" i="7"/>
  <c r="H105" i="7"/>
  <c r="BK104" i="7"/>
  <c r="BJ104" i="7"/>
  <c r="BG104" i="7"/>
  <c r="BH104" i="7" s="1"/>
  <c r="BF104" i="7"/>
  <c r="BE104" i="7"/>
  <c r="BD104" i="7"/>
  <c r="BC104" i="7"/>
  <c r="BB104" i="7"/>
  <c r="BA104" i="7"/>
  <c r="AZ104" i="7"/>
  <c r="AY104" i="7"/>
  <c r="AX104" i="7"/>
  <c r="AW104" i="7"/>
  <c r="I104" i="7"/>
  <c r="H104" i="7"/>
  <c r="BK103" i="7"/>
  <c r="BJ103" i="7"/>
  <c r="BG103" i="7"/>
  <c r="BH103" i="7" s="1"/>
  <c r="BF103" i="7"/>
  <c r="BE103" i="7"/>
  <c r="BD103" i="7"/>
  <c r="BC103" i="7"/>
  <c r="BB103" i="7"/>
  <c r="BA103" i="7"/>
  <c r="AZ103" i="7"/>
  <c r="AY103" i="7"/>
  <c r="AX103" i="7"/>
  <c r="AW103" i="7"/>
  <c r="I103" i="7"/>
  <c r="H103" i="7"/>
  <c r="BK102" i="7"/>
  <c r="BJ102" i="7"/>
  <c r="BG102" i="7"/>
  <c r="BH102" i="7" s="1"/>
  <c r="BF102" i="7"/>
  <c r="BE102" i="7"/>
  <c r="BD102" i="7"/>
  <c r="BC102" i="7"/>
  <c r="BB102" i="7"/>
  <c r="BA102" i="7"/>
  <c r="AZ102" i="7"/>
  <c r="AY102" i="7"/>
  <c r="AX102" i="7"/>
  <c r="AW102" i="7"/>
  <c r="I102" i="7"/>
  <c r="H102" i="7"/>
  <c r="BK101" i="7"/>
  <c r="BJ101" i="7"/>
  <c r="BG101" i="7"/>
  <c r="BH101" i="7" s="1"/>
  <c r="BF101" i="7"/>
  <c r="BE101" i="7"/>
  <c r="BD101" i="7"/>
  <c r="BC101" i="7"/>
  <c r="BB101" i="7"/>
  <c r="BA101" i="7"/>
  <c r="AZ101" i="7"/>
  <c r="AY101" i="7"/>
  <c r="AX101" i="7"/>
  <c r="AW101" i="7"/>
  <c r="I101" i="7"/>
  <c r="H101" i="7"/>
  <c r="BK100" i="7"/>
  <c r="BJ100" i="7"/>
  <c r="BG100" i="7"/>
  <c r="BH100" i="7" s="1"/>
  <c r="BF100" i="7"/>
  <c r="BE100" i="7"/>
  <c r="BD100" i="7"/>
  <c r="BC100" i="7"/>
  <c r="BB100" i="7"/>
  <c r="BA100" i="7"/>
  <c r="AZ100" i="7"/>
  <c r="AX100" i="7"/>
  <c r="AW100" i="7"/>
  <c r="I100" i="7"/>
  <c r="H100" i="7"/>
  <c r="BK19" i="7"/>
  <c r="BJ19" i="7"/>
  <c r="BG19" i="7"/>
  <c r="BH19" i="7" s="1"/>
  <c r="BF19" i="7"/>
  <c r="BE19" i="7"/>
  <c r="BD19" i="7"/>
  <c r="BC19" i="7"/>
  <c r="BB19" i="7"/>
  <c r="BA19" i="7"/>
  <c r="AZ19" i="7"/>
  <c r="AY19" i="7"/>
  <c r="AX19" i="7"/>
  <c r="AW19" i="7"/>
  <c r="I19" i="7"/>
  <c r="H19" i="7"/>
  <c r="BK99" i="7"/>
  <c r="BJ99" i="7"/>
  <c r="BG99" i="7"/>
  <c r="BH99" i="7" s="1"/>
  <c r="BF99" i="7"/>
  <c r="BE99" i="7"/>
  <c r="BD99" i="7"/>
  <c r="BC99" i="7"/>
  <c r="BB99" i="7"/>
  <c r="BA99" i="7"/>
  <c r="AZ99" i="7"/>
  <c r="AY99" i="7"/>
  <c r="AX99" i="7"/>
  <c r="AW99" i="7"/>
  <c r="I99" i="7"/>
  <c r="H99" i="7"/>
  <c r="BK98" i="7"/>
  <c r="BJ98" i="7"/>
  <c r="BG98" i="7"/>
  <c r="BH98" i="7" s="1"/>
  <c r="BF98" i="7"/>
  <c r="BE98" i="7"/>
  <c r="BD98" i="7"/>
  <c r="BC98" i="7"/>
  <c r="BB98" i="7"/>
  <c r="BA98" i="7"/>
  <c r="AZ98" i="7"/>
  <c r="AY98" i="7"/>
  <c r="AX98" i="7"/>
  <c r="AW98" i="7"/>
  <c r="I98" i="7"/>
  <c r="H98" i="7"/>
  <c r="BK18" i="7"/>
  <c r="BJ18" i="7"/>
  <c r="BG18" i="7"/>
  <c r="BH18" i="7" s="1"/>
  <c r="BF18" i="7"/>
  <c r="BE18" i="7"/>
  <c r="BD18" i="7"/>
  <c r="BC18" i="7"/>
  <c r="BB18" i="7"/>
  <c r="BA18" i="7"/>
  <c r="AZ18" i="7"/>
  <c r="AY18" i="7"/>
  <c r="AX18" i="7"/>
  <c r="AW18" i="7"/>
  <c r="I18" i="7"/>
  <c r="H18" i="7"/>
  <c r="BK97" i="7"/>
  <c r="BJ97" i="7"/>
  <c r="BG97" i="7"/>
  <c r="BH97" i="7" s="1"/>
  <c r="BF97" i="7"/>
  <c r="BE97" i="7"/>
  <c r="BD97" i="7"/>
  <c r="BC97" i="7"/>
  <c r="BB97" i="7"/>
  <c r="BA97" i="7"/>
  <c r="AZ97" i="7"/>
  <c r="AY97" i="7"/>
  <c r="AX97" i="7"/>
  <c r="AW97" i="7"/>
  <c r="I97" i="7"/>
  <c r="H97" i="7"/>
  <c r="BK96" i="7"/>
  <c r="BJ96" i="7"/>
  <c r="BG96" i="7"/>
  <c r="BH96" i="7" s="1"/>
  <c r="BF96" i="7"/>
  <c r="BE96" i="7"/>
  <c r="BD96" i="7"/>
  <c r="BC96" i="7"/>
  <c r="BB96" i="7"/>
  <c r="BA96" i="7"/>
  <c r="AZ96" i="7"/>
  <c r="AY96" i="7"/>
  <c r="AX96" i="7"/>
  <c r="AW96" i="7"/>
  <c r="I96" i="7"/>
  <c r="H96" i="7"/>
  <c r="BK95" i="7"/>
  <c r="BJ95" i="7"/>
  <c r="BG95" i="7"/>
  <c r="BH95" i="7" s="1"/>
  <c r="BF95" i="7"/>
  <c r="BE95" i="7"/>
  <c r="BD95" i="7"/>
  <c r="BC95" i="7"/>
  <c r="BB95" i="7"/>
  <c r="BA95" i="7"/>
  <c r="AZ95" i="7"/>
  <c r="AY95" i="7"/>
  <c r="AX95" i="7"/>
  <c r="AW95" i="7"/>
  <c r="I95" i="7"/>
  <c r="H95" i="7"/>
  <c r="BK94" i="7"/>
  <c r="BJ94" i="7"/>
  <c r="BG94" i="7"/>
  <c r="BH94" i="7" s="1"/>
  <c r="BF94" i="7"/>
  <c r="BE94" i="7"/>
  <c r="BD94" i="7"/>
  <c r="BC94" i="7"/>
  <c r="BB94" i="7"/>
  <c r="BA94" i="7"/>
  <c r="AZ94" i="7"/>
  <c r="AY94" i="7"/>
  <c r="AX94" i="7"/>
  <c r="AW94" i="7"/>
  <c r="I94" i="7"/>
  <c r="H94" i="7"/>
  <c r="BK93" i="7"/>
  <c r="BJ93" i="7"/>
  <c r="BG93" i="7"/>
  <c r="BH93" i="7" s="1"/>
  <c r="BF93" i="7"/>
  <c r="BE93" i="7"/>
  <c r="BD93" i="7"/>
  <c r="BC93" i="7"/>
  <c r="BB93" i="7"/>
  <c r="BA93" i="7"/>
  <c r="AZ93" i="7"/>
  <c r="AY93" i="7"/>
  <c r="AX93" i="7"/>
  <c r="AW93" i="7"/>
  <c r="I93" i="7"/>
  <c r="H93" i="7"/>
  <c r="BK92" i="7"/>
  <c r="BJ92" i="7"/>
  <c r="BG92" i="7"/>
  <c r="BH92" i="7" s="1"/>
  <c r="BF92" i="7"/>
  <c r="BE92" i="7"/>
  <c r="BD92" i="7"/>
  <c r="BC92" i="7"/>
  <c r="BB92" i="7"/>
  <c r="BA92" i="7"/>
  <c r="AZ92" i="7"/>
  <c r="AY92" i="7"/>
  <c r="AX92" i="7"/>
  <c r="AW92" i="7"/>
  <c r="I92" i="7"/>
  <c r="H92" i="7"/>
  <c r="BK91" i="7"/>
  <c r="BJ91" i="7"/>
  <c r="BG91" i="7"/>
  <c r="BH91" i="7" s="1"/>
  <c r="BF91" i="7"/>
  <c r="BE91" i="7"/>
  <c r="BD91" i="7"/>
  <c r="BC91" i="7"/>
  <c r="BB91" i="7"/>
  <c r="BA91" i="7"/>
  <c r="AZ91" i="7"/>
  <c r="AY91" i="7"/>
  <c r="AX91" i="7"/>
  <c r="AW91" i="7"/>
  <c r="I91" i="7"/>
  <c r="H91" i="7"/>
  <c r="BK90" i="7"/>
  <c r="BJ90" i="7"/>
  <c r="BG90" i="7"/>
  <c r="BH90" i="7" s="1"/>
  <c r="BF90" i="7"/>
  <c r="BE90" i="7"/>
  <c r="BD90" i="7"/>
  <c r="BC90" i="7"/>
  <c r="BB90" i="7"/>
  <c r="BA90" i="7"/>
  <c r="AZ90" i="7"/>
  <c r="AY90" i="7"/>
  <c r="AX90" i="7"/>
  <c r="AW90" i="7"/>
  <c r="I90" i="7"/>
  <c r="H90" i="7"/>
  <c r="BK89" i="7"/>
  <c r="BJ89" i="7"/>
  <c r="BG89" i="7"/>
  <c r="BH89" i="7" s="1"/>
  <c r="BF89" i="7"/>
  <c r="BE89" i="7"/>
  <c r="BD89" i="7"/>
  <c r="BC89" i="7"/>
  <c r="BB89" i="7"/>
  <c r="BA89" i="7"/>
  <c r="AZ89" i="7"/>
  <c r="AY89" i="7"/>
  <c r="AX89" i="7"/>
  <c r="AW89" i="7"/>
  <c r="I89" i="7"/>
  <c r="H89" i="7"/>
  <c r="BK88" i="7"/>
  <c r="BJ88" i="7"/>
  <c r="BG88" i="7"/>
  <c r="BH88" i="7" s="1"/>
  <c r="BF88" i="7"/>
  <c r="BE88" i="7"/>
  <c r="BD88" i="7"/>
  <c r="BC88" i="7"/>
  <c r="BB88" i="7"/>
  <c r="BA88" i="7"/>
  <c r="AZ88" i="7"/>
  <c r="AY88" i="7"/>
  <c r="AX88" i="7"/>
  <c r="AW88" i="7"/>
  <c r="I88" i="7"/>
  <c r="H88" i="7"/>
  <c r="BK17" i="7"/>
  <c r="BJ17" i="7"/>
  <c r="BG17" i="7"/>
  <c r="BH17" i="7" s="1"/>
  <c r="BF17" i="7"/>
  <c r="BE17" i="7"/>
  <c r="BD17" i="7"/>
  <c r="BC17" i="7"/>
  <c r="BB17" i="7"/>
  <c r="BA17" i="7"/>
  <c r="AZ17" i="7"/>
  <c r="AY17" i="7"/>
  <c r="AX17" i="7"/>
  <c r="AW17" i="7"/>
  <c r="H17" i="7"/>
  <c r="BK9" i="7"/>
  <c r="BJ9" i="7"/>
  <c r="BG9" i="7"/>
  <c r="BH9" i="7" s="1"/>
  <c r="BF9" i="7"/>
  <c r="BE9" i="7"/>
  <c r="BD9" i="7"/>
  <c r="BC9" i="7"/>
  <c r="BB9" i="7"/>
  <c r="BA9" i="7"/>
  <c r="AZ9" i="7"/>
  <c r="AY9" i="7"/>
  <c r="AX9" i="7"/>
  <c r="AW9" i="7"/>
  <c r="I9" i="7"/>
  <c r="H9" i="7"/>
  <c r="BK87" i="7"/>
  <c r="BJ87" i="7"/>
  <c r="BG87" i="7"/>
  <c r="BH87" i="7" s="1"/>
  <c r="BF87" i="7"/>
  <c r="BE87" i="7"/>
  <c r="BD87" i="7"/>
  <c r="BC87" i="7"/>
  <c r="BB87" i="7"/>
  <c r="BA87" i="7"/>
  <c r="AZ87" i="7"/>
  <c r="AY87" i="7"/>
  <c r="AX87" i="7"/>
  <c r="AW87" i="7"/>
  <c r="I87" i="7"/>
  <c r="H87" i="7"/>
  <c r="BK86" i="7"/>
  <c r="BJ86" i="7"/>
  <c r="BG86" i="7"/>
  <c r="BH86" i="7" s="1"/>
  <c r="BF86" i="7"/>
  <c r="BE86" i="7"/>
  <c r="BD86" i="7"/>
  <c r="BC86" i="7"/>
  <c r="BB86" i="7"/>
  <c r="BA86" i="7"/>
  <c r="AZ86" i="7"/>
  <c r="AY86" i="7"/>
  <c r="AX86" i="7"/>
  <c r="AW86" i="7"/>
  <c r="I86" i="7"/>
  <c r="H86" i="7"/>
  <c r="BK8" i="7"/>
  <c r="BJ8" i="7"/>
  <c r="BG8" i="7"/>
  <c r="BH8" i="7" s="1"/>
  <c r="BF8" i="7"/>
  <c r="BE8" i="7"/>
  <c r="BD8" i="7"/>
  <c r="BC8" i="7"/>
  <c r="BB8" i="7"/>
  <c r="BA8" i="7"/>
  <c r="AZ8" i="7"/>
  <c r="AY8" i="7"/>
  <c r="AX8" i="7"/>
  <c r="AW8" i="7"/>
  <c r="I8" i="7"/>
  <c r="H8" i="7"/>
  <c r="BK85" i="7"/>
  <c r="BJ85" i="7"/>
  <c r="BG85" i="7"/>
  <c r="BH85" i="7" s="1"/>
  <c r="BF85" i="7"/>
  <c r="BE85" i="7"/>
  <c r="BD85" i="7"/>
  <c r="BC85" i="7"/>
  <c r="BB85" i="7"/>
  <c r="BA85" i="7"/>
  <c r="AZ85" i="7"/>
  <c r="AY85" i="7"/>
  <c r="AX85" i="7"/>
  <c r="AW85" i="7"/>
  <c r="I85" i="7"/>
  <c r="H85" i="7"/>
  <c r="BK84" i="7"/>
  <c r="BJ84" i="7"/>
  <c r="BG84" i="7"/>
  <c r="BH84" i="7" s="1"/>
  <c r="BF84" i="7"/>
  <c r="BE84" i="7"/>
  <c r="BD84" i="7"/>
  <c r="BC84" i="7"/>
  <c r="BB84" i="7"/>
  <c r="BA84" i="7"/>
  <c r="AZ84" i="7"/>
  <c r="AY84" i="7"/>
  <c r="AX84" i="7"/>
  <c r="AW84" i="7"/>
  <c r="I84" i="7"/>
  <c r="H84" i="7"/>
  <c r="BK83" i="7"/>
  <c r="BJ83" i="7"/>
  <c r="BG83" i="7"/>
  <c r="BH83" i="7" s="1"/>
  <c r="BF83" i="7"/>
  <c r="BE83" i="7"/>
  <c r="BD83" i="7"/>
  <c r="BC83" i="7"/>
  <c r="BB83" i="7"/>
  <c r="BA83" i="7"/>
  <c r="AZ83" i="7"/>
  <c r="AY83" i="7"/>
  <c r="AX83" i="7"/>
  <c r="AW83" i="7"/>
  <c r="I83" i="7"/>
  <c r="H83" i="7"/>
  <c r="BK82" i="7"/>
  <c r="BJ82" i="7"/>
  <c r="BG82" i="7"/>
  <c r="BH82" i="7" s="1"/>
  <c r="BF82" i="7"/>
  <c r="BE82" i="7"/>
  <c r="BD82" i="7"/>
  <c r="BC82" i="7"/>
  <c r="BB82" i="7"/>
  <c r="BA82" i="7"/>
  <c r="AZ82" i="7"/>
  <c r="AY82" i="7"/>
  <c r="AX82" i="7"/>
  <c r="AW82" i="7"/>
  <c r="I82" i="7"/>
  <c r="H82" i="7"/>
  <c r="BK81" i="7"/>
  <c r="BJ81" i="7"/>
  <c r="BG81" i="7"/>
  <c r="BH81" i="7" s="1"/>
  <c r="BF81" i="7"/>
  <c r="BE81" i="7"/>
  <c r="BD81" i="7"/>
  <c r="BC81" i="7"/>
  <c r="BB81" i="7"/>
  <c r="BA81" i="7"/>
  <c r="AZ81" i="7"/>
  <c r="AY81" i="7"/>
  <c r="AX81" i="7"/>
  <c r="AW81" i="7"/>
  <c r="I81" i="7"/>
  <c r="H81" i="7"/>
  <c r="BK80" i="7"/>
  <c r="BJ80" i="7"/>
  <c r="BG80" i="7"/>
  <c r="BH80" i="7" s="1"/>
  <c r="BF80" i="7"/>
  <c r="BE80" i="7"/>
  <c r="BD80" i="7"/>
  <c r="BC80" i="7"/>
  <c r="BB80" i="7"/>
  <c r="BA80" i="7"/>
  <c r="AZ80" i="7"/>
  <c r="AY80" i="7"/>
  <c r="AX80" i="7"/>
  <c r="AW80" i="7"/>
  <c r="I80" i="7"/>
  <c r="H80" i="7"/>
  <c r="BK5" i="7"/>
  <c r="BJ5" i="7"/>
  <c r="BG5" i="7"/>
  <c r="BH5" i="7" s="1"/>
  <c r="BF5" i="7"/>
  <c r="BE5" i="7"/>
  <c r="BD5" i="7"/>
  <c r="BC5" i="7"/>
  <c r="BB5" i="7"/>
  <c r="BA5" i="7"/>
  <c r="AZ5" i="7"/>
  <c r="AY5" i="7"/>
  <c r="AX5" i="7"/>
  <c r="AW5" i="7"/>
  <c r="I5" i="7"/>
  <c r="H5" i="7"/>
  <c r="BK79" i="7"/>
  <c r="BJ79" i="7"/>
  <c r="BG79" i="7"/>
  <c r="BH79" i="7" s="1"/>
  <c r="BF79" i="7"/>
  <c r="BE79" i="7"/>
  <c r="BD79" i="7"/>
  <c r="BC79" i="7"/>
  <c r="BB79" i="7"/>
  <c r="BA79" i="7"/>
  <c r="AZ79" i="7"/>
  <c r="AY79" i="7"/>
  <c r="AX79" i="7"/>
  <c r="AW79" i="7"/>
  <c r="I79" i="7"/>
  <c r="H79" i="7"/>
  <c r="BK78" i="7"/>
  <c r="BJ78" i="7"/>
  <c r="BG78" i="7"/>
  <c r="BH78" i="7" s="1"/>
  <c r="BF78" i="7"/>
  <c r="BE78" i="7"/>
  <c r="BD78" i="7"/>
  <c r="BC78" i="7"/>
  <c r="BB78" i="7"/>
  <c r="BA78" i="7"/>
  <c r="AZ78" i="7"/>
  <c r="AY78" i="7"/>
  <c r="AX78" i="7"/>
  <c r="AW78" i="7"/>
  <c r="I78" i="7"/>
  <c r="H78" i="7"/>
  <c r="BK77" i="7"/>
  <c r="BJ77" i="7"/>
  <c r="BG77" i="7"/>
  <c r="BH77" i="7" s="1"/>
  <c r="BF77" i="7"/>
  <c r="BE77" i="7"/>
  <c r="BD77" i="7"/>
  <c r="BC77" i="7"/>
  <c r="BB77" i="7"/>
  <c r="BA77" i="7"/>
  <c r="AZ77" i="7"/>
  <c r="AY77" i="7"/>
  <c r="AX77" i="7"/>
  <c r="AW77" i="7"/>
  <c r="I77" i="7"/>
  <c r="H77" i="7"/>
  <c r="BK76" i="7"/>
  <c r="BJ76" i="7"/>
  <c r="BG76" i="7"/>
  <c r="BH76" i="7" s="1"/>
  <c r="BF76" i="7"/>
  <c r="BE76" i="7"/>
  <c r="BD76" i="7"/>
  <c r="BC76" i="7"/>
  <c r="BB76" i="7"/>
  <c r="BA76" i="7"/>
  <c r="AZ76" i="7"/>
  <c r="AY76" i="7"/>
  <c r="AX76" i="7"/>
  <c r="AW76" i="7"/>
  <c r="I76" i="7"/>
  <c r="H76" i="7"/>
  <c r="BK75" i="7"/>
  <c r="BJ75" i="7"/>
  <c r="BG75" i="7"/>
  <c r="BH75" i="7" s="1"/>
  <c r="BF75" i="7"/>
  <c r="BE75" i="7"/>
  <c r="BD75" i="7"/>
  <c r="BC75" i="7"/>
  <c r="BB75" i="7"/>
  <c r="BA75" i="7"/>
  <c r="AZ75" i="7"/>
  <c r="AY75" i="7"/>
  <c r="AX75" i="7"/>
  <c r="AW75" i="7"/>
  <c r="I75" i="7"/>
  <c r="H75" i="7"/>
  <c r="BK74" i="7"/>
  <c r="BJ74" i="7"/>
  <c r="BG74" i="7"/>
  <c r="BH74" i="7" s="1"/>
  <c r="BF74" i="7"/>
  <c r="BE74" i="7"/>
  <c r="BD74" i="7"/>
  <c r="BC74" i="7"/>
  <c r="BB74" i="7"/>
  <c r="BA74" i="7"/>
  <c r="AZ74" i="7"/>
  <c r="AY74" i="7"/>
  <c r="AX74" i="7"/>
  <c r="AW74" i="7"/>
  <c r="I74" i="7"/>
  <c r="H74" i="7"/>
  <c r="BK73" i="7"/>
  <c r="BJ73" i="7"/>
  <c r="BG73" i="7"/>
  <c r="BH73" i="7" s="1"/>
  <c r="BF73" i="7"/>
  <c r="BE73" i="7"/>
  <c r="BD73" i="7"/>
  <c r="BC73" i="7"/>
  <c r="BB73" i="7"/>
  <c r="BA73" i="7"/>
  <c r="AZ73" i="7"/>
  <c r="AY73" i="7"/>
  <c r="AX73" i="7"/>
  <c r="AW73" i="7"/>
  <c r="I73" i="7"/>
  <c r="H73" i="7"/>
  <c r="BK16" i="7"/>
  <c r="BJ16" i="7"/>
  <c r="BG16" i="7"/>
  <c r="BH16" i="7" s="1"/>
  <c r="BF16" i="7"/>
  <c r="BE16" i="7"/>
  <c r="BD16" i="7"/>
  <c r="BC16" i="7"/>
  <c r="BB16" i="7"/>
  <c r="BA16" i="7"/>
  <c r="AZ16" i="7"/>
  <c r="AY16" i="7"/>
  <c r="AX16" i="7"/>
  <c r="AW16" i="7"/>
  <c r="I16" i="7"/>
  <c r="H16" i="7"/>
  <c r="BK15" i="7"/>
  <c r="BJ15" i="7"/>
  <c r="BG15" i="7"/>
  <c r="BH15" i="7" s="1"/>
  <c r="BF15" i="7"/>
  <c r="BE15" i="7"/>
  <c r="BD15" i="7"/>
  <c r="BC15" i="7"/>
  <c r="BB15" i="7"/>
  <c r="BA15" i="7"/>
  <c r="AZ15" i="7"/>
  <c r="AY15" i="7"/>
  <c r="AX15" i="7"/>
  <c r="AW15" i="7"/>
  <c r="I15" i="7"/>
  <c r="H15" i="7"/>
  <c r="BK72" i="7"/>
  <c r="BJ72" i="7"/>
  <c r="BG72" i="7"/>
  <c r="BH72" i="7" s="1"/>
  <c r="BF72" i="7"/>
  <c r="BE72" i="7"/>
  <c r="BD72" i="7"/>
  <c r="BC72" i="7"/>
  <c r="BB72" i="7"/>
  <c r="BA72" i="7"/>
  <c r="AZ72" i="7"/>
  <c r="AY72" i="7"/>
  <c r="AX72" i="7"/>
  <c r="AW72" i="7"/>
  <c r="I72" i="7"/>
  <c r="H72" i="7"/>
  <c r="BK71" i="7"/>
  <c r="BJ71" i="7"/>
  <c r="BG71" i="7"/>
  <c r="BH71" i="7" s="1"/>
  <c r="BF71" i="7"/>
  <c r="BE71" i="7"/>
  <c r="BD71" i="7"/>
  <c r="BC71" i="7"/>
  <c r="BB71" i="7"/>
  <c r="BA71" i="7"/>
  <c r="AZ71" i="7"/>
  <c r="AY71" i="7"/>
  <c r="AX71" i="7"/>
  <c r="AW71" i="7"/>
  <c r="I71" i="7"/>
  <c r="H71" i="7"/>
  <c r="BK14" i="7"/>
  <c r="BJ14" i="7"/>
  <c r="BG14" i="7"/>
  <c r="BH14" i="7" s="1"/>
  <c r="BF14" i="7"/>
  <c r="BE14" i="7"/>
  <c r="BD14" i="7"/>
  <c r="BC14" i="7"/>
  <c r="BB14" i="7"/>
  <c r="BA14" i="7"/>
  <c r="AZ14" i="7"/>
  <c r="AY14" i="7"/>
  <c r="AX14" i="7"/>
  <c r="AW14" i="7"/>
  <c r="I14" i="7"/>
  <c r="H14" i="7"/>
  <c r="BK13" i="7"/>
  <c r="BJ13" i="7"/>
  <c r="BG13" i="7"/>
  <c r="BH13" i="7" s="1"/>
  <c r="BF13" i="7"/>
  <c r="BE13" i="7"/>
  <c r="BD13" i="7"/>
  <c r="BC13" i="7"/>
  <c r="BB13" i="7"/>
  <c r="BA13" i="7"/>
  <c r="AZ13" i="7"/>
  <c r="AY13" i="7"/>
  <c r="AX13" i="7"/>
  <c r="AW13" i="7"/>
  <c r="I13" i="7"/>
  <c r="H13" i="7"/>
  <c r="BK70" i="7"/>
  <c r="BJ70" i="7"/>
  <c r="BG70" i="7"/>
  <c r="BH70" i="7" s="1"/>
  <c r="BF70" i="7"/>
  <c r="BE70" i="7"/>
  <c r="BD70" i="7"/>
  <c r="BC70" i="7"/>
  <c r="BB70" i="7"/>
  <c r="BA70" i="7"/>
  <c r="AZ70" i="7"/>
  <c r="AY70" i="7"/>
  <c r="AX70" i="7"/>
  <c r="AW70" i="7"/>
  <c r="I70" i="7"/>
  <c r="H70" i="7"/>
  <c r="BK12" i="7"/>
  <c r="BJ12" i="7"/>
  <c r="BG12" i="7"/>
  <c r="BH12" i="7" s="1"/>
  <c r="BF12" i="7"/>
  <c r="BE12" i="7"/>
  <c r="BD12" i="7"/>
  <c r="BC12" i="7"/>
  <c r="BB12" i="7"/>
  <c r="BA12" i="7"/>
  <c r="AZ12" i="7"/>
  <c r="AY12" i="7"/>
  <c r="AX12" i="7"/>
  <c r="AW12" i="7"/>
  <c r="I12" i="7"/>
  <c r="H12" i="7"/>
  <c r="BK69" i="7"/>
  <c r="BJ69" i="7"/>
  <c r="BG69" i="7"/>
  <c r="BH69" i="7" s="1"/>
  <c r="BF69" i="7"/>
  <c r="BE69" i="7"/>
  <c r="BD69" i="7"/>
  <c r="BC69" i="7"/>
  <c r="BB69" i="7"/>
  <c r="BA69" i="7"/>
  <c r="AZ69" i="7"/>
  <c r="AY69" i="7"/>
  <c r="AX69" i="7"/>
  <c r="AW69" i="7"/>
  <c r="I69" i="7"/>
  <c r="H69" i="7"/>
  <c r="BK11" i="7"/>
  <c r="BJ11" i="7"/>
  <c r="BG11" i="7"/>
  <c r="BH11" i="7" s="1"/>
  <c r="BF11" i="7"/>
  <c r="BE11" i="7"/>
  <c r="BD11" i="7"/>
  <c r="BC11" i="7"/>
  <c r="BB11" i="7"/>
  <c r="BA11" i="7"/>
  <c r="AZ11" i="7"/>
  <c r="AY11" i="7"/>
  <c r="AX11" i="7"/>
  <c r="AW11" i="7"/>
  <c r="I11" i="7"/>
  <c r="H11" i="7"/>
  <c r="BK68" i="7"/>
  <c r="BJ68" i="7"/>
  <c r="BG68" i="7"/>
  <c r="BH68" i="7" s="1"/>
  <c r="BF68" i="7"/>
  <c r="BE68" i="7"/>
  <c r="BD68" i="7"/>
  <c r="BC68" i="7"/>
  <c r="BB68" i="7"/>
  <c r="BA68" i="7"/>
  <c r="AZ68" i="7"/>
  <c r="AY68" i="7"/>
  <c r="AX68" i="7"/>
  <c r="AW68" i="7"/>
  <c r="I68" i="7"/>
  <c r="H68" i="7"/>
  <c r="BK67" i="7"/>
  <c r="BJ67" i="7"/>
  <c r="BG67" i="7"/>
  <c r="BH67" i="7" s="1"/>
  <c r="BF67" i="7"/>
  <c r="BE67" i="7"/>
  <c r="BD67" i="7"/>
  <c r="BC67" i="7"/>
  <c r="BB67" i="7"/>
  <c r="BA67" i="7"/>
  <c r="AZ67" i="7"/>
  <c r="AY67" i="7"/>
  <c r="AX67" i="7"/>
  <c r="AW67" i="7"/>
  <c r="I67" i="7"/>
  <c r="H67" i="7"/>
  <c r="BK66" i="7"/>
  <c r="BJ66" i="7"/>
  <c r="BG66" i="7"/>
  <c r="BH66" i="7" s="1"/>
  <c r="BF66" i="7"/>
  <c r="BE66" i="7"/>
  <c r="BD66" i="7"/>
  <c r="BC66" i="7"/>
  <c r="BB66" i="7"/>
  <c r="BA66" i="7"/>
  <c r="AZ66" i="7"/>
  <c r="AY66" i="7"/>
  <c r="AX66" i="7"/>
  <c r="AW66" i="7"/>
  <c r="I66" i="7"/>
  <c r="H66" i="7"/>
  <c r="BK65" i="7"/>
  <c r="BJ65" i="7"/>
  <c r="BG65" i="7"/>
  <c r="BH65" i="7" s="1"/>
  <c r="BF65" i="7"/>
  <c r="BE65" i="7"/>
  <c r="BD65" i="7"/>
  <c r="BC65" i="7"/>
  <c r="BB65" i="7"/>
  <c r="BA65" i="7"/>
  <c r="AZ65" i="7"/>
  <c r="AY65" i="7"/>
  <c r="AX65" i="7"/>
  <c r="AW65" i="7"/>
  <c r="I65" i="7"/>
  <c r="H65" i="7"/>
  <c r="BK64" i="7"/>
  <c r="BJ64" i="7"/>
  <c r="BG64" i="7"/>
  <c r="BH64" i="7" s="1"/>
  <c r="BF64" i="7"/>
  <c r="BE64" i="7"/>
  <c r="BD64" i="7"/>
  <c r="BC64" i="7"/>
  <c r="BB64" i="7"/>
  <c r="BA64" i="7"/>
  <c r="AZ64" i="7"/>
  <c r="AY64" i="7"/>
  <c r="AX64" i="7"/>
  <c r="AW64" i="7"/>
  <c r="I64" i="7"/>
  <c r="H64" i="7"/>
  <c r="BK63" i="7"/>
  <c r="BJ63" i="7"/>
  <c r="BG63" i="7"/>
  <c r="BH63" i="7" s="1"/>
  <c r="BF63" i="7"/>
  <c r="BE63" i="7"/>
  <c r="BD63" i="7"/>
  <c r="BC63" i="7"/>
  <c r="BB63" i="7"/>
  <c r="BA63" i="7"/>
  <c r="AZ63" i="7"/>
  <c r="AY63" i="7"/>
  <c r="AX63" i="7"/>
  <c r="AW63" i="7"/>
  <c r="I63" i="7"/>
  <c r="H63" i="7"/>
  <c r="BK62" i="7"/>
  <c r="BJ62" i="7"/>
  <c r="BG62" i="7"/>
  <c r="BH62" i="7" s="1"/>
  <c r="BF62" i="7"/>
  <c r="BE62" i="7"/>
  <c r="BD62" i="7"/>
  <c r="BC62" i="7"/>
  <c r="BB62" i="7"/>
  <c r="BA62" i="7"/>
  <c r="AZ62" i="7"/>
  <c r="AY62" i="7"/>
  <c r="AX62" i="7"/>
  <c r="AW62" i="7"/>
  <c r="I62" i="7"/>
  <c r="H62" i="7"/>
  <c r="BK61" i="7"/>
  <c r="BJ61" i="7"/>
  <c r="BG61" i="7"/>
  <c r="BH61" i="7" s="1"/>
  <c r="BF61" i="7"/>
  <c r="BE61" i="7"/>
  <c r="BD61" i="7"/>
  <c r="BC61" i="7"/>
  <c r="BB61" i="7"/>
  <c r="BA61" i="7"/>
  <c r="AZ61" i="7"/>
  <c r="AY61" i="7"/>
  <c r="AX61" i="7"/>
  <c r="AW61" i="7"/>
  <c r="I61" i="7"/>
  <c r="H61" i="7"/>
  <c r="BK60" i="7"/>
  <c r="BJ60" i="7"/>
  <c r="BG60" i="7"/>
  <c r="BH60" i="7" s="1"/>
  <c r="BF60" i="7"/>
  <c r="BE60" i="7"/>
  <c r="BD60" i="7"/>
  <c r="BC60" i="7"/>
  <c r="BB60" i="7"/>
  <c r="BA60" i="7"/>
  <c r="AZ60" i="7"/>
  <c r="AY60" i="7"/>
  <c r="AX60" i="7"/>
  <c r="AW60" i="7"/>
  <c r="I60" i="7"/>
  <c r="H60" i="7"/>
  <c r="BK59" i="7"/>
  <c r="BJ59" i="7"/>
  <c r="BG59" i="7"/>
  <c r="BH59" i="7" s="1"/>
  <c r="BF59" i="7"/>
  <c r="BE59" i="7"/>
  <c r="BD59" i="7"/>
  <c r="BC59" i="7"/>
  <c r="BB59" i="7"/>
  <c r="BA59" i="7"/>
  <c r="AZ59" i="7"/>
  <c r="AY59" i="7"/>
  <c r="AX59" i="7"/>
  <c r="AW59" i="7"/>
  <c r="I59" i="7"/>
  <c r="H59" i="7"/>
  <c r="BK58" i="7"/>
  <c r="BJ58" i="7"/>
  <c r="BG58" i="7"/>
  <c r="BH58" i="7" s="1"/>
  <c r="BF58" i="7"/>
  <c r="BE58" i="7"/>
  <c r="BD58" i="7"/>
  <c r="BC58" i="7"/>
  <c r="BB58" i="7"/>
  <c r="BA58" i="7"/>
  <c r="AZ58" i="7"/>
  <c r="AY58" i="7"/>
  <c r="AX58" i="7"/>
  <c r="AW58" i="7"/>
  <c r="I58" i="7"/>
  <c r="H58" i="7"/>
  <c r="BK57" i="7"/>
  <c r="BJ57" i="7"/>
  <c r="BG57" i="7"/>
  <c r="BH57" i="7" s="1"/>
  <c r="BF57" i="7"/>
  <c r="BE57" i="7"/>
  <c r="BD57" i="7"/>
  <c r="BC57" i="7"/>
  <c r="BB57" i="7"/>
  <c r="BA57" i="7"/>
  <c r="AZ57" i="7"/>
  <c r="AY57" i="7"/>
  <c r="AX57" i="7"/>
  <c r="AW57" i="7"/>
  <c r="I57" i="7"/>
  <c r="H57" i="7"/>
  <c r="BK56" i="7"/>
  <c r="BJ56" i="7"/>
  <c r="BG56" i="7"/>
  <c r="BH56" i="7" s="1"/>
  <c r="BF56" i="7"/>
  <c r="BE56" i="7"/>
  <c r="BD56" i="7"/>
  <c r="BC56" i="7"/>
  <c r="BB56" i="7"/>
  <c r="BA56" i="7"/>
  <c r="AZ56" i="7"/>
  <c r="AY56" i="7"/>
  <c r="AX56" i="7"/>
  <c r="AW56" i="7"/>
  <c r="I56" i="7"/>
  <c r="H56" i="7"/>
  <c r="BK55" i="7"/>
  <c r="BJ55" i="7"/>
  <c r="BG55" i="7"/>
  <c r="BH55" i="7" s="1"/>
  <c r="BF55" i="7"/>
  <c r="BE55" i="7"/>
  <c r="BD55" i="7"/>
  <c r="BC55" i="7"/>
  <c r="BB55" i="7"/>
  <c r="BA55" i="7"/>
  <c r="AZ55" i="7"/>
  <c r="AY55" i="7"/>
  <c r="AX55" i="7"/>
  <c r="AW55" i="7"/>
  <c r="I55" i="7"/>
  <c r="H55" i="7"/>
  <c r="BK54" i="7"/>
  <c r="BJ54" i="7"/>
  <c r="BG54" i="7"/>
  <c r="BH54" i="7" s="1"/>
  <c r="BF54" i="7"/>
  <c r="BE54" i="7"/>
  <c r="BD54" i="7"/>
  <c r="BC54" i="7"/>
  <c r="BB54" i="7"/>
  <c r="BA54" i="7"/>
  <c r="AZ54" i="7"/>
  <c r="AY54" i="7"/>
  <c r="AX54" i="7"/>
  <c r="AW54" i="7"/>
  <c r="I54" i="7"/>
  <c r="H54" i="7"/>
  <c r="BK53" i="7"/>
  <c r="BJ53" i="7"/>
  <c r="BG53" i="7"/>
  <c r="BH53" i="7" s="1"/>
  <c r="BF53" i="7"/>
  <c r="BE53" i="7"/>
  <c r="BD53" i="7"/>
  <c r="BC53" i="7"/>
  <c r="BB53" i="7"/>
  <c r="BA53" i="7"/>
  <c r="AZ53" i="7"/>
  <c r="AY53" i="7"/>
  <c r="AX53" i="7"/>
  <c r="AW53" i="7"/>
  <c r="I53" i="7"/>
  <c r="H53" i="7"/>
  <c r="BK52" i="7"/>
  <c r="BJ52" i="7"/>
  <c r="BG52" i="7"/>
  <c r="BH52" i="7" s="1"/>
  <c r="BF52" i="7"/>
  <c r="BE52" i="7"/>
  <c r="BD52" i="7"/>
  <c r="BC52" i="7"/>
  <c r="BB52" i="7"/>
  <c r="BA52" i="7"/>
  <c r="AZ52" i="7"/>
  <c r="AY52" i="7"/>
  <c r="AX52" i="7"/>
  <c r="AW52" i="7"/>
  <c r="I52" i="7"/>
  <c r="H52" i="7"/>
  <c r="BK51" i="7"/>
  <c r="BJ51" i="7"/>
  <c r="BG51" i="7"/>
  <c r="BH51" i="7" s="1"/>
  <c r="BF51" i="7"/>
  <c r="BE51" i="7"/>
  <c r="BD51" i="7"/>
  <c r="BC51" i="7"/>
  <c r="BB51" i="7"/>
  <c r="BA51" i="7"/>
  <c r="AZ51" i="7"/>
  <c r="AY51" i="7"/>
  <c r="AX51" i="7"/>
  <c r="AW51" i="7"/>
  <c r="I51" i="7"/>
  <c r="H51" i="7"/>
  <c r="BK50" i="7"/>
  <c r="BJ50" i="7"/>
  <c r="BG50" i="7"/>
  <c r="BH50" i="7" s="1"/>
  <c r="BF50" i="7"/>
  <c r="BE50" i="7"/>
  <c r="BD50" i="7"/>
  <c r="BC50" i="7"/>
  <c r="BB50" i="7"/>
  <c r="BA50" i="7"/>
  <c r="AZ50" i="7"/>
  <c r="AY50" i="7"/>
  <c r="AX50" i="7"/>
  <c r="AW50" i="7"/>
  <c r="I50" i="7"/>
  <c r="H50" i="7"/>
  <c r="BK49" i="7"/>
  <c r="BJ49" i="7"/>
  <c r="BG49" i="7"/>
  <c r="BH49" i="7" s="1"/>
  <c r="BF49" i="7"/>
  <c r="BE49" i="7"/>
  <c r="BD49" i="7"/>
  <c r="BC49" i="7"/>
  <c r="BB49" i="7"/>
  <c r="BA49" i="7"/>
  <c r="AZ49" i="7"/>
  <c r="AY49" i="7"/>
  <c r="AX49" i="7"/>
  <c r="AW49" i="7"/>
  <c r="I49" i="7"/>
  <c r="H49" i="7"/>
  <c r="BK48" i="7"/>
  <c r="BJ48" i="7"/>
  <c r="BG48" i="7"/>
  <c r="BH48" i="7" s="1"/>
  <c r="BF48" i="7"/>
  <c r="BE48" i="7"/>
  <c r="BD48" i="7"/>
  <c r="BC48" i="7"/>
  <c r="BB48" i="7"/>
  <c r="BA48" i="7"/>
  <c r="AZ48" i="7"/>
  <c r="AY48" i="7"/>
  <c r="AX48" i="7"/>
  <c r="AW48" i="7"/>
  <c r="I48" i="7"/>
  <c r="H48" i="7"/>
  <c r="BK47" i="7"/>
  <c r="BJ47" i="7"/>
  <c r="BG47" i="7"/>
  <c r="BH47" i="7" s="1"/>
  <c r="BF47" i="7"/>
  <c r="BE47" i="7"/>
  <c r="BD47" i="7"/>
  <c r="BC47" i="7"/>
  <c r="BB47" i="7"/>
  <c r="BA47" i="7"/>
  <c r="AZ47" i="7"/>
  <c r="AY47" i="7"/>
  <c r="AX47" i="7"/>
  <c r="AW47" i="7"/>
  <c r="I47" i="7"/>
  <c r="H47" i="7"/>
  <c r="BK46" i="7"/>
  <c r="BJ46" i="7"/>
  <c r="BG46" i="7"/>
  <c r="BH46" i="7" s="1"/>
  <c r="BF46" i="7"/>
  <c r="BE46" i="7"/>
  <c r="BD46" i="7"/>
  <c r="BC46" i="7"/>
  <c r="BB46" i="7"/>
  <c r="BA46" i="7"/>
  <c r="AZ46" i="7"/>
  <c r="AY46" i="7"/>
  <c r="AX46" i="7"/>
  <c r="AW46" i="7"/>
  <c r="I46" i="7"/>
  <c r="H46" i="7"/>
  <c r="BK45" i="7"/>
  <c r="BJ45" i="7"/>
  <c r="BG45" i="7"/>
  <c r="BH45" i="7" s="1"/>
  <c r="BF45" i="7"/>
  <c r="BE45" i="7"/>
  <c r="BD45" i="7"/>
  <c r="BC45" i="7"/>
  <c r="BB45" i="7"/>
  <c r="BA45" i="7"/>
  <c r="AZ45" i="7"/>
  <c r="AY45" i="7"/>
  <c r="AX45" i="7"/>
  <c r="AW45" i="7"/>
  <c r="I45" i="7"/>
  <c r="H45" i="7"/>
  <c r="BK44" i="7"/>
  <c r="BJ44" i="7"/>
  <c r="BG44" i="7"/>
  <c r="BH44" i="7" s="1"/>
  <c r="BF44" i="7"/>
  <c r="BE44" i="7"/>
  <c r="BD44" i="7"/>
  <c r="BC44" i="7"/>
  <c r="BB44" i="7"/>
  <c r="BA44" i="7"/>
  <c r="AZ44" i="7"/>
  <c r="AY44" i="7"/>
  <c r="AX44" i="7"/>
  <c r="AW44" i="7"/>
  <c r="I44" i="7"/>
  <c r="H44" i="7"/>
  <c r="BK43" i="7"/>
  <c r="BJ43" i="7"/>
  <c r="BG43" i="7"/>
  <c r="BH43" i="7" s="1"/>
  <c r="BF43" i="7"/>
  <c r="BE43" i="7"/>
  <c r="BD43" i="7"/>
  <c r="BC43" i="7"/>
  <c r="BB43" i="7"/>
  <c r="BA43" i="7"/>
  <c r="AZ43" i="7"/>
  <c r="AY43" i="7"/>
  <c r="AX43" i="7"/>
  <c r="AW43" i="7"/>
  <c r="I43" i="7"/>
  <c r="H43" i="7"/>
  <c r="BK42" i="7"/>
  <c r="BJ42" i="7"/>
  <c r="BG42" i="7"/>
  <c r="BH42" i="7" s="1"/>
  <c r="BF42" i="7"/>
  <c r="BE42" i="7"/>
  <c r="BD42" i="7"/>
  <c r="BC42" i="7"/>
  <c r="BB42" i="7"/>
  <c r="BA42" i="7"/>
  <c r="AZ42" i="7"/>
  <c r="AY42" i="7"/>
  <c r="AX42" i="7"/>
  <c r="AW42" i="7"/>
  <c r="I42" i="7"/>
  <c r="H42" i="7"/>
  <c r="BK41" i="7"/>
  <c r="BJ41" i="7"/>
  <c r="BG41" i="7"/>
  <c r="BH41" i="7" s="1"/>
  <c r="BF41" i="7"/>
  <c r="BE41" i="7"/>
  <c r="BD41" i="7"/>
  <c r="BC41" i="7"/>
  <c r="BB41" i="7"/>
  <c r="BA41" i="7"/>
  <c r="AZ41" i="7"/>
  <c r="AY41" i="7"/>
  <c r="AX41" i="7"/>
  <c r="AW41" i="7"/>
  <c r="I41" i="7"/>
  <c r="H41" i="7"/>
  <c r="BK10" i="7"/>
  <c r="BJ10" i="7"/>
  <c r="BG10" i="7"/>
  <c r="BH10" i="7" s="1"/>
  <c r="BF10" i="7"/>
  <c r="BE10" i="7"/>
  <c r="BD10" i="7"/>
  <c r="BC10" i="7"/>
  <c r="BB10" i="7"/>
  <c r="BA10" i="7"/>
  <c r="AZ10" i="7"/>
  <c r="AY10" i="7"/>
  <c r="AX10" i="7"/>
  <c r="AW10" i="7"/>
  <c r="I10" i="7"/>
  <c r="H10" i="7"/>
  <c r="BK6" i="7"/>
  <c r="BJ6" i="7"/>
  <c r="BG6" i="7"/>
  <c r="BH6" i="7" s="1"/>
  <c r="BF6" i="7"/>
  <c r="BE6" i="7"/>
  <c r="BD6" i="7"/>
  <c r="BC6" i="7"/>
  <c r="BB6" i="7"/>
  <c r="BA6" i="7"/>
  <c r="AZ6" i="7"/>
  <c r="AY6" i="7"/>
  <c r="AX6" i="7"/>
  <c r="AW6" i="7"/>
  <c r="I6" i="7"/>
  <c r="H6" i="7"/>
  <c r="BK40" i="7"/>
  <c r="BJ40" i="7"/>
  <c r="BG40" i="7"/>
  <c r="BH40" i="7" s="1"/>
  <c r="BF40" i="7"/>
  <c r="BE40" i="7"/>
  <c r="BD40" i="7"/>
  <c r="BC40" i="7"/>
  <c r="BB40" i="7"/>
  <c r="BA40" i="7"/>
  <c r="AZ40" i="7"/>
  <c r="AY40" i="7"/>
  <c r="AX40" i="7"/>
  <c r="AW40" i="7"/>
  <c r="I40" i="7"/>
  <c r="H40" i="7"/>
  <c r="BK39" i="7"/>
  <c r="BJ39" i="7"/>
  <c r="BG39" i="7"/>
  <c r="BH39" i="7" s="1"/>
  <c r="BF39" i="7"/>
  <c r="BE39" i="7"/>
  <c r="BD39" i="7"/>
  <c r="BC39" i="7"/>
  <c r="BB39" i="7"/>
  <c r="BA39" i="7"/>
  <c r="AZ39" i="7"/>
  <c r="AY39" i="7"/>
  <c r="AX39" i="7"/>
  <c r="AW39" i="7"/>
  <c r="I39" i="7"/>
  <c r="H39" i="7"/>
  <c r="BK38" i="7"/>
  <c r="BJ38" i="7"/>
  <c r="BG38" i="7"/>
  <c r="BH38" i="7" s="1"/>
  <c r="BF38" i="7"/>
  <c r="BE38" i="7"/>
  <c r="BD38" i="7"/>
  <c r="BC38" i="7"/>
  <c r="BB38" i="7"/>
  <c r="BA38" i="7"/>
  <c r="AZ38" i="7"/>
  <c r="AY38" i="7"/>
  <c r="AX38" i="7"/>
  <c r="AW38" i="7"/>
  <c r="I38" i="7"/>
  <c r="H38" i="7"/>
  <c r="BK37" i="7"/>
  <c r="BJ37" i="7"/>
  <c r="BG37" i="7"/>
  <c r="BH37" i="7" s="1"/>
  <c r="BF37" i="7"/>
  <c r="BE37" i="7"/>
  <c r="BD37" i="7"/>
  <c r="BC37" i="7"/>
  <c r="BB37" i="7"/>
  <c r="BA37" i="7"/>
  <c r="AZ37" i="7"/>
  <c r="AY37" i="7"/>
  <c r="AX37" i="7"/>
  <c r="AW37" i="7"/>
  <c r="I37" i="7"/>
  <c r="H37" i="7"/>
  <c r="BK36" i="7"/>
  <c r="BJ36" i="7"/>
  <c r="BG36" i="7"/>
  <c r="BH36" i="7" s="1"/>
  <c r="BF36" i="7"/>
  <c r="BE36" i="7"/>
  <c r="BD36" i="7"/>
  <c r="BC36" i="7"/>
  <c r="BB36" i="7"/>
  <c r="BA36" i="7"/>
  <c r="AZ36" i="7"/>
  <c r="AY36" i="7"/>
  <c r="AX36" i="7"/>
  <c r="AW36" i="7"/>
  <c r="I36" i="7"/>
  <c r="H36" i="7"/>
  <c r="BK35" i="7"/>
  <c r="BJ35" i="7"/>
  <c r="BG35" i="7"/>
  <c r="BH35" i="7" s="1"/>
  <c r="BF35" i="7"/>
  <c r="BE35" i="7"/>
  <c r="BD35" i="7"/>
  <c r="BC35" i="7"/>
  <c r="BB35" i="7"/>
  <c r="BA35" i="7"/>
  <c r="AZ35" i="7"/>
  <c r="AY35" i="7"/>
  <c r="AX35" i="7"/>
  <c r="AW35" i="7"/>
  <c r="I35" i="7"/>
  <c r="H35" i="7"/>
  <c r="BK34" i="7"/>
  <c r="BJ34" i="7"/>
  <c r="BG34" i="7"/>
  <c r="BH34" i="7" s="1"/>
  <c r="BF34" i="7"/>
  <c r="BE34" i="7"/>
  <c r="BD34" i="7"/>
  <c r="BC34" i="7"/>
  <c r="BB34" i="7"/>
  <c r="BA34" i="7"/>
  <c r="AZ34" i="7"/>
  <c r="AY34" i="7"/>
  <c r="AX34" i="7"/>
  <c r="AW34" i="7"/>
  <c r="I34" i="7"/>
  <c r="H34" i="7"/>
  <c r="BK33" i="7"/>
  <c r="BJ33" i="7"/>
  <c r="BG33" i="7"/>
  <c r="BH33" i="7" s="1"/>
  <c r="BF33" i="7"/>
  <c r="BE33" i="7"/>
  <c r="BD33" i="7"/>
  <c r="BC33" i="7"/>
  <c r="BB33" i="7"/>
  <c r="BA33" i="7"/>
  <c r="AZ33" i="7"/>
  <c r="AY33" i="7"/>
  <c r="AX33" i="7"/>
  <c r="AW33" i="7"/>
  <c r="I33" i="7"/>
  <c r="H33" i="7"/>
  <c r="BK32" i="7"/>
  <c r="BJ32" i="7"/>
  <c r="BG32" i="7"/>
  <c r="BH32" i="7" s="1"/>
  <c r="BF32" i="7"/>
  <c r="BE32" i="7"/>
  <c r="BD32" i="7"/>
  <c r="BC32" i="7"/>
  <c r="BB32" i="7"/>
  <c r="BA32" i="7"/>
  <c r="AZ32" i="7"/>
  <c r="AY32" i="7"/>
  <c r="AX32" i="7"/>
  <c r="AW32" i="7"/>
  <c r="I32" i="7"/>
  <c r="H32" i="7"/>
  <c r="BK31" i="7"/>
  <c r="BJ31" i="7"/>
  <c r="BG31" i="7"/>
  <c r="BH31" i="7" s="1"/>
  <c r="BF31" i="7"/>
  <c r="BE31" i="7"/>
  <c r="BD31" i="7"/>
  <c r="BC31" i="7"/>
  <c r="BB31" i="7"/>
  <c r="BA31" i="7"/>
  <c r="AZ31" i="7"/>
  <c r="AY31" i="7"/>
  <c r="AX31" i="7"/>
  <c r="AW31" i="7"/>
  <c r="I31" i="7"/>
  <c r="H31" i="7"/>
  <c r="BK30" i="7"/>
  <c r="BJ30" i="7"/>
  <c r="BG30" i="7"/>
  <c r="BH30" i="7" s="1"/>
  <c r="BF30" i="7"/>
  <c r="BE30" i="7"/>
  <c r="BD30" i="7"/>
  <c r="BC30" i="7"/>
  <c r="BB30" i="7"/>
  <c r="BA30" i="7"/>
  <c r="AZ30" i="7"/>
  <c r="AY30" i="7"/>
  <c r="AX30" i="7"/>
  <c r="AW30" i="7"/>
  <c r="I30" i="7"/>
  <c r="H30" i="7"/>
  <c r="BK29" i="7"/>
  <c r="BJ29" i="7"/>
  <c r="BG29" i="7"/>
  <c r="BH29" i="7" s="1"/>
  <c r="BF29" i="7"/>
  <c r="BE29" i="7"/>
  <c r="BD29" i="7"/>
  <c r="BC29" i="7"/>
  <c r="BB29" i="7"/>
  <c r="BA29" i="7"/>
  <c r="AZ29" i="7"/>
  <c r="AY29" i="7"/>
  <c r="AX29" i="7"/>
  <c r="AW29" i="7"/>
  <c r="I29" i="7"/>
  <c r="H29" i="7"/>
  <c r="BK4" i="7"/>
  <c r="BJ4" i="7"/>
  <c r="BG4" i="7"/>
  <c r="BH4" i="7" s="1"/>
  <c r="BF4" i="7"/>
  <c r="BE4" i="7"/>
  <c r="BD4" i="7"/>
  <c r="BC4" i="7"/>
  <c r="BB4" i="7"/>
  <c r="BA4" i="7"/>
  <c r="AZ4" i="7"/>
  <c r="AY4" i="7"/>
  <c r="AX4" i="7"/>
  <c r="AW4" i="7"/>
  <c r="I4" i="7"/>
  <c r="H4" i="7"/>
  <c r="BK28" i="7"/>
  <c r="BJ28" i="7"/>
  <c r="BG28" i="7"/>
  <c r="BH28" i="7" s="1"/>
  <c r="BF28" i="7"/>
  <c r="BE28" i="7"/>
  <c r="BD28" i="7"/>
  <c r="BC28" i="7"/>
  <c r="BB28" i="7"/>
  <c r="BA28" i="7"/>
  <c r="AZ28" i="7"/>
  <c r="AY28" i="7"/>
  <c r="AX28" i="7"/>
  <c r="AW28" i="7"/>
  <c r="I28" i="7"/>
  <c r="H28" i="7"/>
  <c r="BK3" i="7"/>
  <c r="BJ3" i="7"/>
  <c r="BG3" i="7"/>
  <c r="BH3" i="7" s="1"/>
  <c r="BF3" i="7"/>
  <c r="BE3" i="7"/>
  <c r="BD3" i="7"/>
  <c r="BC3" i="7"/>
  <c r="BB3" i="7"/>
  <c r="BA3" i="7"/>
  <c r="AZ3" i="7"/>
  <c r="AY3" i="7"/>
  <c r="AX3" i="7"/>
  <c r="AW3" i="7"/>
  <c r="I3" i="7"/>
  <c r="H3" i="7"/>
  <c r="BK26" i="7"/>
  <c r="BJ26" i="7"/>
  <c r="BG26" i="7"/>
  <c r="BH26" i="7" s="1"/>
  <c r="BF26" i="7"/>
  <c r="BE26" i="7"/>
  <c r="BD26" i="7"/>
  <c r="BC26" i="7"/>
  <c r="BB26" i="7"/>
  <c r="BA26" i="7"/>
  <c r="AZ26" i="7"/>
  <c r="AY26" i="7"/>
  <c r="AX26" i="7"/>
  <c r="AW26" i="7"/>
  <c r="I26" i="7"/>
  <c r="H26" i="7"/>
  <c r="BK25" i="7"/>
  <c r="BJ25" i="7"/>
  <c r="BG25" i="7"/>
  <c r="BH25" i="7" s="1"/>
  <c r="BF25" i="7"/>
  <c r="BE25" i="7"/>
  <c r="BD25" i="7"/>
  <c r="BC25" i="7"/>
  <c r="BB25" i="7"/>
  <c r="BA25" i="7"/>
  <c r="AZ25" i="7"/>
  <c r="AY25" i="7"/>
  <c r="AX25" i="7"/>
  <c r="AW25" i="7"/>
  <c r="H25" i="7"/>
  <c r="BK24" i="7"/>
  <c r="BJ24" i="7"/>
  <c r="BG24" i="7"/>
  <c r="BH24" i="7" s="1"/>
  <c r="BF24" i="7"/>
  <c r="BE24" i="7"/>
  <c r="BD24" i="7"/>
  <c r="BC24" i="7"/>
  <c r="BB24" i="7"/>
  <c r="BA24" i="7"/>
  <c r="AZ24" i="7"/>
  <c r="AY24" i="7"/>
  <c r="AX24" i="7"/>
  <c r="AW24" i="7"/>
  <c r="I24" i="7"/>
  <c r="H24" i="7"/>
  <c r="BK23" i="7"/>
  <c r="BJ23" i="7"/>
  <c r="BG23" i="7"/>
  <c r="BH23" i="7" s="1"/>
  <c r="BF23" i="7"/>
  <c r="BE23" i="7"/>
  <c r="BD23" i="7"/>
  <c r="BC23" i="7"/>
  <c r="BB23" i="7"/>
  <c r="BA23" i="7"/>
  <c r="AZ23" i="7"/>
  <c r="AY23" i="7"/>
  <c r="AX23" i="7"/>
  <c r="AW23" i="7"/>
  <c r="I23" i="7"/>
  <c r="H23" i="7"/>
  <c r="BK22" i="7"/>
  <c r="BJ22" i="7"/>
  <c r="BG22" i="7"/>
  <c r="BH22" i="7" s="1"/>
  <c r="BF22" i="7"/>
  <c r="BE22" i="7"/>
  <c r="BD22" i="7"/>
  <c r="BC22" i="7"/>
  <c r="BB22" i="7"/>
  <c r="BA22" i="7"/>
  <c r="AZ22" i="7"/>
  <c r="AY22" i="7"/>
  <c r="AX22" i="7"/>
  <c r="AW22" i="7"/>
  <c r="I22" i="7"/>
  <c r="H22" i="7"/>
  <c r="BK21" i="7"/>
  <c r="BJ21" i="7"/>
  <c r="BG21" i="7"/>
  <c r="BH21" i="7" s="1"/>
  <c r="BF21" i="7"/>
  <c r="BE21" i="7"/>
  <c r="BD21" i="7"/>
  <c r="BC21" i="7"/>
  <c r="BB21" i="7"/>
  <c r="BA21" i="7"/>
  <c r="AZ21" i="7"/>
  <c r="AY21" i="7"/>
  <c r="AX21" i="7"/>
  <c r="AW21" i="7"/>
  <c r="I21" i="7"/>
  <c r="BK20" i="7"/>
  <c r="BJ20" i="7"/>
  <c r="BG20" i="7"/>
  <c r="BH20" i="7" s="1"/>
  <c r="BF20" i="7"/>
  <c r="BE20" i="7"/>
  <c r="BD20" i="7"/>
  <c r="BC20" i="7"/>
  <c r="BB20" i="7"/>
  <c r="BA20" i="7"/>
  <c r="AZ20" i="7"/>
  <c r="AY20" i="7"/>
  <c r="AX20" i="7"/>
  <c r="AW20" i="7"/>
  <c r="I20" i="7"/>
  <c r="H20" i="7"/>
  <c r="BK7" i="7"/>
  <c r="BJ7" i="7"/>
  <c r="BG7" i="7"/>
  <c r="BH7" i="7" s="1"/>
  <c r="BF7" i="7"/>
  <c r="BE7" i="7"/>
  <c r="BD7" i="7"/>
  <c r="BC7" i="7"/>
  <c r="BB7" i="7"/>
  <c r="BA7" i="7"/>
  <c r="AZ7" i="7"/>
  <c r="AY7" i="7"/>
  <c r="AX7" i="7"/>
  <c r="AW7" i="7"/>
  <c r="I7" i="7"/>
  <c r="H7" i="7"/>
  <c r="BI1" i="7"/>
  <c r="BJ931" i="6"/>
  <c r="BI931" i="6"/>
  <c r="BH931" i="6"/>
  <c r="BG931" i="6"/>
  <c r="BF931" i="6"/>
  <c r="BE931" i="6"/>
  <c r="BD931" i="6"/>
  <c r="BC931" i="6"/>
  <c r="BB931" i="6"/>
  <c r="BA931" i="6"/>
  <c r="AZ931" i="6"/>
  <c r="AY931" i="6"/>
  <c r="AX931" i="6"/>
  <c r="AW931" i="6"/>
  <c r="AV931" i="6"/>
  <c r="AU931" i="6"/>
  <c r="H931" i="6"/>
  <c r="G931" i="6"/>
  <c r="BJ930" i="6"/>
  <c r="BI930" i="6"/>
  <c r="BH930" i="6"/>
  <c r="BG930" i="6"/>
  <c r="BF930" i="6"/>
  <c r="BE930" i="6"/>
  <c r="BD930" i="6"/>
  <c r="BC930" i="6"/>
  <c r="BB930" i="6"/>
  <c r="BA930" i="6"/>
  <c r="AZ930" i="6"/>
  <c r="AY930" i="6"/>
  <c r="AX930" i="6"/>
  <c r="AW930" i="6"/>
  <c r="AV930" i="6"/>
  <c r="AU930" i="6"/>
  <c r="H930" i="6"/>
  <c r="G930" i="6"/>
  <c r="BJ929" i="6"/>
  <c r="BI929" i="6"/>
  <c r="BH929" i="6"/>
  <c r="BG929" i="6"/>
  <c r="BF929" i="6"/>
  <c r="BE929" i="6"/>
  <c r="BD929" i="6"/>
  <c r="BC929" i="6"/>
  <c r="BB929" i="6"/>
  <c r="BA929" i="6"/>
  <c r="AZ929" i="6"/>
  <c r="AY929" i="6"/>
  <c r="AX929" i="6"/>
  <c r="AW929" i="6"/>
  <c r="AV929" i="6"/>
  <c r="AU929" i="6"/>
  <c r="H929" i="6"/>
  <c r="G929" i="6"/>
  <c r="BJ928" i="6"/>
  <c r="BI928" i="6"/>
  <c r="BH928" i="6"/>
  <c r="BG928" i="6"/>
  <c r="BF928" i="6"/>
  <c r="BE928" i="6"/>
  <c r="BD928" i="6"/>
  <c r="BC928" i="6"/>
  <c r="BB928" i="6"/>
  <c r="BA928" i="6"/>
  <c r="AZ928" i="6"/>
  <c r="AY928" i="6"/>
  <c r="AX928" i="6"/>
  <c r="AW928" i="6"/>
  <c r="AV928" i="6"/>
  <c r="AU928" i="6"/>
  <c r="H928" i="6"/>
  <c r="G928" i="6"/>
  <c r="BJ927" i="6"/>
  <c r="BI927" i="6"/>
  <c r="BH927" i="6"/>
  <c r="BG927" i="6"/>
  <c r="BF927" i="6"/>
  <c r="BE927" i="6"/>
  <c r="BD927" i="6"/>
  <c r="BC927" i="6"/>
  <c r="BB927" i="6"/>
  <c r="BA927" i="6"/>
  <c r="AZ927" i="6"/>
  <c r="AY927" i="6"/>
  <c r="AX927" i="6"/>
  <c r="AW927" i="6"/>
  <c r="AV927" i="6"/>
  <c r="AU927" i="6"/>
  <c r="H927" i="6"/>
  <c r="G927" i="6"/>
  <c r="BJ926" i="6"/>
  <c r="BI926" i="6"/>
  <c r="BH926" i="6"/>
  <c r="BG926" i="6"/>
  <c r="BF926" i="6"/>
  <c r="BE926" i="6"/>
  <c r="BD926" i="6"/>
  <c r="BC926" i="6"/>
  <c r="BB926" i="6"/>
  <c r="BA926" i="6"/>
  <c r="AZ926" i="6"/>
  <c r="AY926" i="6"/>
  <c r="AX926" i="6"/>
  <c r="AW926" i="6"/>
  <c r="AV926" i="6"/>
  <c r="AU926" i="6"/>
  <c r="H926" i="6"/>
  <c r="G926" i="6"/>
  <c r="BJ925" i="6"/>
  <c r="BI925" i="6"/>
  <c r="BH925" i="6"/>
  <c r="BG925" i="6"/>
  <c r="BF925" i="6"/>
  <c r="BE925" i="6"/>
  <c r="BD925" i="6"/>
  <c r="BC925" i="6"/>
  <c r="BB925" i="6"/>
  <c r="BA925" i="6"/>
  <c r="AZ925" i="6"/>
  <c r="AY925" i="6"/>
  <c r="AX925" i="6"/>
  <c r="AW925" i="6"/>
  <c r="AV925" i="6"/>
  <c r="AU925" i="6"/>
  <c r="H925" i="6"/>
  <c r="G925" i="6"/>
  <c r="BJ924" i="6"/>
  <c r="BI924" i="6"/>
  <c r="BH924" i="6"/>
  <c r="BG924" i="6"/>
  <c r="BF924" i="6"/>
  <c r="BE924" i="6"/>
  <c r="BD924" i="6"/>
  <c r="BC924" i="6"/>
  <c r="BB924" i="6"/>
  <c r="BA924" i="6"/>
  <c r="AZ924" i="6"/>
  <c r="AY924" i="6"/>
  <c r="AX924" i="6"/>
  <c r="AW924" i="6"/>
  <c r="AV924" i="6"/>
  <c r="AU924" i="6"/>
  <c r="H924" i="6"/>
  <c r="G924" i="6"/>
  <c r="BJ923" i="6"/>
  <c r="BI923" i="6"/>
  <c r="BH923" i="6"/>
  <c r="BG923" i="6"/>
  <c r="BF923" i="6"/>
  <c r="BE923" i="6"/>
  <c r="BD923" i="6"/>
  <c r="BC923" i="6"/>
  <c r="BB923" i="6"/>
  <c r="BA923" i="6"/>
  <c r="AZ923" i="6"/>
  <c r="AY923" i="6"/>
  <c r="AX923" i="6"/>
  <c r="AW923" i="6"/>
  <c r="AV923" i="6"/>
  <c r="AU923" i="6"/>
  <c r="H923" i="6"/>
  <c r="G923" i="6"/>
  <c r="BJ922" i="6"/>
  <c r="BI922" i="6"/>
  <c r="BH922" i="6"/>
  <c r="BG922" i="6"/>
  <c r="BF922" i="6"/>
  <c r="BE922" i="6"/>
  <c r="BD922" i="6"/>
  <c r="BC922" i="6"/>
  <c r="BB922" i="6"/>
  <c r="BA922" i="6"/>
  <c r="AZ922" i="6"/>
  <c r="AY922" i="6"/>
  <c r="AX922" i="6"/>
  <c r="AW922" i="6"/>
  <c r="AV922" i="6"/>
  <c r="AU922" i="6"/>
  <c r="H922" i="6"/>
  <c r="G922" i="6"/>
  <c r="BJ921" i="6"/>
  <c r="BI921" i="6"/>
  <c r="BH921" i="6"/>
  <c r="BG921" i="6"/>
  <c r="BF921" i="6"/>
  <c r="BE921" i="6"/>
  <c r="BD921" i="6"/>
  <c r="BC921" i="6"/>
  <c r="BB921" i="6"/>
  <c r="BA921" i="6"/>
  <c r="AZ921" i="6"/>
  <c r="AY921" i="6"/>
  <c r="AX921" i="6"/>
  <c r="AW921" i="6"/>
  <c r="AV921" i="6"/>
  <c r="AU921" i="6"/>
  <c r="H921" i="6"/>
  <c r="G921" i="6"/>
  <c r="BJ920" i="6"/>
  <c r="BI920" i="6"/>
  <c r="BH920" i="6"/>
  <c r="BG920" i="6"/>
  <c r="BF920" i="6"/>
  <c r="BE920" i="6"/>
  <c r="BD920" i="6"/>
  <c r="BC920" i="6"/>
  <c r="BB920" i="6"/>
  <c r="BA920" i="6"/>
  <c r="AZ920" i="6"/>
  <c r="AY920" i="6"/>
  <c r="AX920" i="6"/>
  <c r="AW920" i="6"/>
  <c r="AV920" i="6"/>
  <c r="AU920" i="6"/>
  <c r="H920" i="6"/>
  <c r="G920" i="6"/>
  <c r="BJ919" i="6"/>
  <c r="BI919" i="6"/>
  <c r="BH919" i="6"/>
  <c r="BG919" i="6"/>
  <c r="BF919" i="6"/>
  <c r="BE919" i="6"/>
  <c r="BD919" i="6"/>
  <c r="BC919" i="6"/>
  <c r="BB919" i="6"/>
  <c r="BA919" i="6"/>
  <c r="AZ919" i="6"/>
  <c r="AY919" i="6"/>
  <c r="AX919" i="6"/>
  <c r="AW919" i="6"/>
  <c r="AV919" i="6"/>
  <c r="AU919" i="6"/>
  <c r="H919" i="6"/>
  <c r="G919" i="6"/>
  <c r="BJ918" i="6"/>
  <c r="BI918" i="6"/>
  <c r="BH918" i="6"/>
  <c r="BG918" i="6"/>
  <c r="BF918" i="6"/>
  <c r="BE918" i="6"/>
  <c r="BD918" i="6"/>
  <c r="BC918" i="6"/>
  <c r="BB918" i="6"/>
  <c r="BA918" i="6"/>
  <c r="AZ918" i="6"/>
  <c r="AY918" i="6"/>
  <c r="AX918" i="6"/>
  <c r="AW918" i="6"/>
  <c r="AV918" i="6"/>
  <c r="AU918" i="6"/>
  <c r="H918" i="6"/>
  <c r="G918" i="6"/>
  <c r="BJ917" i="6"/>
  <c r="BI917" i="6"/>
  <c r="BH917" i="6"/>
  <c r="BG917" i="6"/>
  <c r="BF917" i="6"/>
  <c r="BE917" i="6"/>
  <c r="BD917" i="6"/>
  <c r="BC917" i="6"/>
  <c r="BB917" i="6"/>
  <c r="BA917" i="6"/>
  <c r="AZ917" i="6"/>
  <c r="AY917" i="6"/>
  <c r="AX917" i="6"/>
  <c r="AW917" i="6"/>
  <c r="AV917" i="6"/>
  <c r="AU917" i="6"/>
  <c r="H917" i="6"/>
  <c r="G917" i="6"/>
  <c r="BJ916" i="6"/>
  <c r="BI916" i="6"/>
  <c r="BH916" i="6"/>
  <c r="BG916" i="6"/>
  <c r="BF916" i="6"/>
  <c r="BE916" i="6"/>
  <c r="BD916" i="6"/>
  <c r="BC916" i="6"/>
  <c r="BB916" i="6"/>
  <c r="BA916" i="6"/>
  <c r="AZ916" i="6"/>
  <c r="AY916" i="6"/>
  <c r="AX916" i="6"/>
  <c r="AW916" i="6"/>
  <c r="AV916" i="6"/>
  <c r="AU916" i="6"/>
  <c r="H916" i="6"/>
  <c r="G916" i="6"/>
  <c r="BJ915" i="6"/>
  <c r="BI915" i="6"/>
  <c r="BH915" i="6"/>
  <c r="BG915" i="6"/>
  <c r="BF915" i="6"/>
  <c r="BE915" i="6"/>
  <c r="BD915" i="6"/>
  <c r="BC915" i="6"/>
  <c r="BB915" i="6"/>
  <c r="BA915" i="6"/>
  <c r="AZ915" i="6"/>
  <c r="AY915" i="6"/>
  <c r="AX915" i="6"/>
  <c r="AW915" i="6"/>
  <c r="AV915" i="6"/>
  <c r="AU915" i="6"/>
  <c r="H915" i="6"/>
  <c r="G915" i="6"/>
  <c r="BJ914" i="6"/>
  <c r="BI914" i="6"/>
  <c r="BH914" i="6"/>
  <c r="BG914" i="6"/>
  <c r="BF914" i="6"/>
  <c r="BE914" i="6"/>
  <c r="BD914" i="6"/>
  <c r="BC914" i="6"/>
  <c r="BB914" i="6"/>
  <c r="BA914" i="6"/>
  <c r="AZ914" i="6"/>
  <c r="AY914" i="6"/>
  <c r="AX914" i="6"/>
  <c r="AW914" i="6"/>
  <c r="AV914" i="6"/>
  <c r="AU914" i="6"/>
  <c r="H914" i="6"/>
  <c r="G914" i="6"/>
  <c r="BJ913" i="6"/>
  <c r="BI913" i="6"/>
  <c r="BH913" i="6"/>
  <c r="BG913" i="6"/>
  <c r="BF913" i="6"/>
  <c r="BE913" i="6"/>
  <c r="BD913" i="6"/>
  <c r="BC913" i="6"/>
  <c r="BB913" i="6"/>
  <c r="BA913" i="6"/>
  <c r="AZ913" i="6"/>
  <c r="AY913" i="6"/>
  <c r="AX913" i="6"/>
  <c r="AW913" i="6"/>
  <c r="AV913" i="6"/>
  <c r="AU913" i="6"/>
  <c r="H913" i="6"/>
  <c r="G913" i="6"/>
  <c r="BJ912" i="6"/>
  <c r="BI912" i="6"/>
  <c r="BH912" i="6"/>
  <c r="BG912" i="6"/>
  <c r="BF912" i="6"/>
  <c r="BE912" i="6"/>
  <c r="BD912" i="6"/>
  <c r="BC912" i="6"/>
  <c r="BB912" i="6"/>
  <c r="BA912" i="6"/>
  <c r="AZ912" i="6"/>
  <c r="AY912" i="6"/>
  <c r="AX912" i="6"/>
  <c r="AW912" i="6"/>
  <c r="AV912" i="6"/>
  <c r="AU912" i="6"/>
  <c r="H912" i="6"/>
  <c r="G912" i="6"/>
  <c r="BJ911" i="6"/>
  <c r="BI911" i="6"/>
  <c r="BH911" i="6"/>
  <c r="BG911" i="6"/>
  <c r="BF911" i="6"/>
  <c r="BE911" i="6"/>
  <c r="BD911" i="6"/>
  <c r="BC911" i="6"/>
  <c r="BB911" i="6"/>
  <c r="BA911" i="6"/>
  <c r="AZ911" i="6"/>
  <c r="AY911" i="6"/>
  <c r="AX911" i="6"/>
  <c r="AW911" i="6"/>
  <c r="AV911" i="6"/>
  <c r="AU911" i="6"/>
  <c r="H911" i="6"/>
  <c r="G911" i="6"/>
  <c r="BJ910" i="6"/>
  <c r="BI910" i="6"/>
  <c r="BH910" i="6"/>
  <c r="BG910" i="6"/>
  <c r="BF910" i="6"/>
  <c r="BE910" i="6"/>
  <c r="BD910" i="6"/>
  <c r="BC910" i="6"/>
  <c r="BB910" i="6"/>
  <c r="BA910" i="6"/>
  <c r="AZ910" i="6"/>
  <c r="AY910" i="6"/>
  <c r="AX910" i="6"/>
  <c r="AW910" i="6"/>
  <c r="AV910" i="6"/>
  <c r="AU910" i="6"/>
  <c r="H910" i="6"/>
  <c r="G910" i="6"/>
  <c r="BJ909" i="6"/>
  <c r="BI909" i="6"/>
  <c r="BH909" i="6"/>
  <c r="BG909" i="6"/>
  <c r="BF909" i="6"/>
  <c r="BE909" i="6"/>
  <c r="BD909" i="6"/>
  <c r="BC909" i="6"/>
  <c r="BB909" i="6"/>
  <c r="BA909" i="6"/>
  <c r="AZ909" i="6"/>
  <c r="AY909" i="6"/>
  <c r="AX909" i="6"/>
  <c r="AW909" i="6"/>
  <c r="AV909" i="6"/>
  <c r="AU909" i="6"/>
  <c r="H909" i="6"/>
  <c r="G909" i="6"/>
  <c r="BJ908" i="6"/>
  <c r="BI908" i="6"/>
  <c r="BH908" i="6"/>
  <c r="BG908" i="6"/>
  <c r="BF908" i="6"/>
  <c r="BE908" i="6"/>
  <c r="BD908" i="6"/>
  <c r="BC908" i="6"/>
  <c r="BB908" i="6"/>
  <c r="BA908" i="6"/>
  <c r="AZ908" i="6"/>
  <c r="AY908" i="6"/>
  <c r="AX908" i="6"/>
  <c r="AW908" i="6"/>
  <c r="AV908" i="6"/>
  <c r="AU908" i="6"/>
  <c r="H908" i="6"/>
  <c r="G908" i="6"/>
  <c r="BJ907" i="6"/>
  <c r="BI907" i="6"/>
  <c r="BH907" i="6"/>
  <c r="BG907" i="6"/>
  <c r="BF907" i="6"/>
  <c r="BE907" i="6"/>
  <c r="BD907" i="6"/>
  <c r="BC907" i="6"/>
  <c r="BB907" i="6"/>
  <c r="BA907" i="6"/>
  <c r="AZ907" i="6"/>
  <c r="AY907" i="6"/>
  <c r="AX907" i="6"/>
  <c r="AW907" i="6"/>
  <c r="AV907" i="6"/>
  <c r="AU907" i="6"/>
  <c r="H907" i="6"/>
  <c r="G907" i="6"/>
  <c r="BJ906" i="6"/>
  <c r="BI906" i="6"/>
  <c r="BH906" i="6"/>
  <c r="BG906" i="6"/>
  <c r="BF906" i="6"/>
  <c r="BE906" i="6"/>
  <c r="BD906" i="6"/>
  <c r="BC906" i="6"/>
  <c r="BB906" i="6"/>
  <c r="BA906" i="6"/>
  <c r="AZ906" i="6"/>
  <c r="AY906" i="6"/>
  <c r="AX906" i="6"/>
  <c r="AW906" i="6"/>
  <c r="AV906" i="6"/>
  <c r="AU906" i="6"/>
  <c r="H906" i="6"/>
  <c r="G906" i="6"/>
  <c r="BJ905" i="6"/>
  <c r="BI905" i="6"/>
  <c r="BH905" i="6"/>
  <c r="BG905" i="6"/>
  <c r="BF905" i="6"/>
  <c r="BE905" i="6"/>
  <c r="BD905" i="6"/>
  <c r="BC905" i="6"/>
  <c r="BB905" i="6"/>
  <c r="BA905" i="6"/>
  <c r="AZ905" i="6"/>
  <c r="AY905" i="6"/>
  <c r="AX905" i="6"/>
  <c r="AW905" i="6"/>
  <c r="AV905" i="6"/>
  <c r="AU905" i="6"/>
  <c r="H905" i="6"/>
  <c r="G905" i="6"/>
  <c r="BJ904" i="6"/>
  <c r="BI904" i="6"/>
  <c r="BH904" i="6"/>
  <c r="BG904" i="6"/>
  <c r="BF904" i="6"/>
  <c r="BE904" i="6"/>
  <c r="BD904" i="6"/>
  <c r="BC904" i="6"/>
  <c r="BB904" i="6"/>
  <c r="BA904" i="6"/>
  <c r="AZ904" i="6"/>
  <c r="AY904" i="6"/>
  <c r="AX904" i="6"/>
  <c r="AW904" i="6"/>
  <c r="AV904" i="6"/>
  <c r="AU904" i="6"/>
  <c r="H904" i="6"/>
  <c r="G904" i="6"/>
  <c r="BJ903" i="6"/>
  <c r="BI903" i="6"/>
  <c r="BH903" i="6"/>
  <c r="BG903" i="6"/>
  <c r="BF903" i="6"/>
  <c r="BE903" i="6"/>
  <c r="BD903" i="6"/>
  <c r="BC903" i="6"/>
  <c r="BB903" i="6"/>
  <c r="BA903" i="6"/>
  <c r="AZ903" i="6"/>
  <c r="AY903" i="6"/>
  <c r="AX903" i="6"/>
  <c r="AW903" i="6"/>
  <c r="AV903" i="6"/>
  <c r="AU903" i="6"/>
  <c r="H903" i="6"/>
  <c r="G903" i="6"/>
  <c r="BJ902" i="6"/>
  <c r="BI902" i="6"/>
  <c r="BH902" i="6"/>
  <c r="BG902" i="6"/>
  <c r="BF902" i="6"/>
  <c r="BE902" i="6"/>
  <c r="BD902" i="6"/>
  <c r="BC902" i="6"/>
  <c r="BB902" i="6"/>
  <c r="BA902" i="6"/>
  <c r="AZ902" i="6"/>
  <c r="AY902" i="6"/>
  <c r="AX902" i="6"/>
  <c r="AW902" i="6"/>
  <c r="AV902" i="6"/>
  <c r="AU902" i="6"/>
  <c r="H902" i="6"/>
  <c r="G902" i="6"/>
  <c r="BJ901" i="6"/>
  <c r="BI901" i="6"/>
  <c r="BH901" i="6"/>
  <c r="BG901" i="6"/>
  <c r="BF901" i="6"/>
  <c r="BE901" i="6"/>
  <c r="BD901" i="6"/>
  <c r="BC901" i="6"/>
  <c r="BB901" i="6"/>
  <c r="BA901" i="6"/>
  <c r="AZ901" i="6"/>
  <c r="AY901" i="6"/>
  <c r="AX901" i="6"/>
  <c r="AW901" i="6"/>
  <c r="AV901" i="6"/>
  <c r="AU901" i="6"/>
  <c r="H901" i="6"/>
  <c r="G901" i="6"/>
  <c r="BJ900" i="6"/>
  <c r="BI900" i="6"/>
  <c r="BH900" i="6"/>
  <c r="BG900" i="6"/>
  <c r="BF900" i="6"/>
  <c r="BE900" i="6"/>
  <c r="BD900" i="6"/>
  <c r="BC900" i="6"/>
  <c r="BB900" i="6"/>
  <c r="BA900" i="6"/>
  <c r="AZ900" i="6"/>
  <c r="AY900" i="6"/>
  <c r="AX900" i="6"/>
  <c r="AW900" i="6"/>
  <c r="AV900" i="6"/>
  <c r="AU900" i="6"/>
  <c r="H900" i="6"/>
  <c r="G900" i="6"/>
  <c r="BJ899" i="6"/>
  <c r="BI899" i="6"/>
  <c r="BH899" i="6"/>
  <c r="BG899" i="6"/>
  <c r="BF899" i="6"/>
  <c r="BE899" i="6"/>
  <c r="BD899" i="6"/>
  <c r="BC899" i="6"/>
  <c r="BB899" i="6"/>
  <c r="BA899" i="6"/>
  <c r="AZ899" i="6"/>
  <c r="AY899" i="6"/>
  <c r="AX899" i="6"/>
  <c r="AW899" i="6"/>
  <c r="AV899" i="6"/>
  <c r="AU899" i="6"/>
  <c r="H899" i="6"/>
  <c r="G899" i="6"/>
  <c r="BJ898" i="6"/>
  <c r="BI898" i="6"/>
  <c r="BH898" i="6"/>
  <c r="BG898" i="6"/>
  <c r="BF898" i="6"/>
  <c r="BE898" i="6"/>
  <c r="BD898" i="6"/>
  <c r="BC898" i="6"/>
  <c r="BB898" i="6"/>
  <c r="BA898" i="6"/>
  <c r="AZ898" i="6"/>
  <c r="AY898" i="6"/>
  <c r="AX898" i="6"/>
  <c r="AW898" i="6"/>
  <c r="AV898" i="6"/>
  <c r="AU898" i="6"/>
  <c r="H898" i="6"/>
  <c r="G898" i="6"/>
  <c r="BJ897" i="6"/>
  <c r="BI897" i="6"/>
  <c r="BH897" i="6"/>
  <c r="BG897" i="6"/>
  <c r="BF897" i="6"/>
  <c r="BE897" i="6"/>
  <c r="BD897" i="6"/>
  <c r="BC897" i="6"/>
  <c r="BB897" i="6"/>
  <c r="BA897" i="6"/>
  <c r="AZ897" i="6"/>
  <c r="AY897" i="6"/>
  <c r="AX897" i="6"/>
  <c r="AW897" i="6"/>
  <c r="AV897" i="6"/>
  <c r="AU897" i="6"/>
  <c r="H897" i="6"/>
  <c r="G897" i="6"/>
  <c r="BJ896" i="6"/>
  <c r="BI896" i="6"/>
  <c r="BH896" i="6"/>
  <c r="BG896" i="6"/>
  <c r="BF896" i="6"/>
  <c r="BE896" i="6"/>
  <c r="BD896" i="6"/>
  <c r="BC896" i="6"/>
  <c r="BB896" i="6"/>
  <c r="BA896" i="6"/>
  <c r="AZ896" i="6"/>
  <c r="AY896" i="6"/>
  <c r="AX896" i="6"/>
  <c r="AW896" i="6"/>
  <c r="AV896" i="6"/>
  <c r="AU896" i="6"/>
  <c r="H896" i="6"/>
  <c r="G896" i="6"/>
  <c r="BJ895" i="6"/>
  <c r="BI895" i="6"/>
  <c r="BH895" i="6"/>
  <c r="BG895" i="6"/>
  <c r="BF895" i="6"/>
  <c r="BE895" i="6"/>
  <c r="BD895" i="6"/>
  <c r="BC895" i="6"/>
  <c r="BB895" i="6"/>
  <c r="BA895" i="6"/>
  <c r="AZ895" i="6"/>
  <c r="AY895" i="6"/>
  <c r="AX895" i="6"/>
  <c r="AW895" i="6"/>
  <c r="AV895" i="6"/>
  <c r="AU895" i="6"/>
  <c r="H895" i="6"/>
  <c r="G895" i="6"/>
  <c r="BJ894" i="6"/>
  <c r="BI894" i="6"/>
  <c r="BH894" i="6"/>
  <c r="BG894" i="6"/>
  <c r="BF894" i="6"/>
  <c r="BE894" i="6"/>
  <c r="BD894" i="6"/>
  <c r="BC894" i="6"/>
  <c r="BB894" i="6"/>
  <c r="BA894" i="6"/>
  <c r="AZ894" i="6"/>
  <c r="AY894" i="6"/>
  <c r="AX894" i="6"/>
  <c r="AW894" i="6"/>
  <c r="AV894" i="6"/>
  <c r="AU894" i="6"/>
  <c r="H894" i="6"/>
  <c r="G894" i="6"/>
  <c r="BJ893" i="6"/>
  <c r="BI893" i="6"/>
  <c r="BH893" i="6"/>
  <c r="BG893" i="6"/>
  <c r="BF893" i="6"/>
  <c r="BE893" i="6"/>
  <c r="BD893" i="6"/>
  <c r="BC893" i="6"/>
  <c r="BB893" i="6"/>
  <c r="BA893" i="6"/>
  <c r="AZ893" i="6"/>
  <c r="AY893" i="6"/>
  <c r="AX893" i="6"/>
  <c r="AW893" i="6"/>
  <c r="AV893" i="6"/>
  <c r="AU893" i="6"/>
  <c r="H893" i="6"/>
  <c r="G893" i="6"/>
  <c r="BJ892" i="6"/>
  <c r="BI892" i="6"/>
  <c r="BH892" i="6"/>
  <c r="BG892" i="6"/>
  <c r="BF892" i="6"/>
  <c r="BE892" i="6"/>
  <c r="BD892" i="6"/>
  <c r="BC892" i="6"/>
  <c r="BB892" i="6"/>
  <c r="BA892" i="6"/>
  <c r="AZ892" i="6"/>
  <c r="AY892" i="6"/>
  <c r="AX892" i="6"/>
  <c r="AW892" i="6"/>
  <c r="AV892" i="6"/>
  <c r="AU892" i="6"/>
  <c r="H892" i="6"/>
  <c r="G892" i="6"/>
  <c r="BJ891" i="6"/>
  <c r="BI891" i="6"/>
  <c r="BH891" i="6"/>
  <c r="BG891" i="6"/>
  <c r="BF891" i="6"/>
  <c r="BE891" i="6"/>
  <c r="BD891" i="6"/>
  <c r="BC891" i="6"/>
  <c r="BB891" i="6"/>
  <c r="BA891" i="6"/>
  <c r="AZ891" i="6"/>
  <c r="AY891" i="6"/>
  <c r="AX891" i="6"/>
  <c r="AW891" i="6"/>
  <c r="AV891" i="6"/>
  <c r="AU891" i="6"/>
  <c r="H891" i="6"/>
  <c r="G891" i="6"/>
  <c r="BJ890" i="6"/>
  <c r="BI890" i="6"/>
  <c r="BH890" i="6"/>
  <c r="BG890" i="6"/>
  <c r="BF890" i="6"/>
  <c r="BE890" i="6"/>
  <c r="BD890" i="6"/>
  <c r="BC890" i="6"/>
  <c r="BB890" i="6"/>
  <c r="BA890" i="6"/>
  <c r="AZ890" i="6"/>
  <c r="AY890" i="6"/>
  <c r="AX890" i="6"/>
  <c r="AW890" i="6"/>
  <c r="AV890" i="6"/>
  <c r="AU890" i="6"/>
  <c r="H890" i="6"/>
  <c r="G890" i="6"/>
  <c r="BJ889" i="6"/>
  <c r="BI889" i="6"/>
  <c r="BH889" i="6"/>
  <c r="BG889" i="6"/>
  <c r="BF889" i="6"/>
  <c r="BE889" i="6"/>
  <c r="BD889" i="6"/>
  <c r="BC889" i="6"/>
  <c r="BB889" i="6"/>
  <c r="BA889" i="6"/>
  <c r="AZ889" i="6"/>
  <c r="AY889" i="6"/>
  <c r="AX889" i="6"/>
  <c r="AW889" i="6"/>
  <c r="AV889" i="6"/>
  <c r="AU889" i="6"/>
  <c r="H889" i="6"/>
  <c r="G889" i="6"/>
  <c r="BJ888" i="6"/>
  <c r="BI888" i="6"/>
  <c r="BH888" i="6"/>
  <c r="BG888" i="6"/>
  <c r="BF888" i="6"/>
  <c r="BE888" i="6"/>
  <c r="BD888" i="6"/>
  <c r="BC888" i="6"/>
  <c r="BB888" i="6"/>
  <c r="BA888" i="6"/>
  <c r="AZ888" i="6"/>
  <c r="AY888" i="6"/>
  <c r="AX888" i="6"/>
  <c r="AW888" i="6"/>
  <c r="AV888" i="6"/>
  <c r="AU888" i="6"/>
  <c r="H888" i="6"/>
  <c r="G888" i="6"/>
  <c r="BJ887" i="6"/>
  <c r="BI887" i="6"/>
  <c r="BH887" i="6"/>
  <c r="BG887" i="6"/>
  <c r="BF887" i="6"/>
  <c r="BE887" i="6"/>
  <c r="BD887" i="6"/>
  <c r="BC887" i="6"/>
  <c r="BB887" i="6"/>
  <c r="BA887" i="6"/>
  <c r="AZ887" i="6"/>
  <c r="AY887" i="6"/>
  <c r="AX887" i="6"/>
  <c r="AW887" i="6"/>
  <c r="AV887" i="6"/>
  <c r="AU887" i="6"/>
  <c r="H887" i="6"/>
  <c r="G887" i="6"/>
  <c r="BJ886" i="6"/>
  <c r="BI886" i="6"/>
  <c r="BH886" i="6"/>
  <c r="BG886" i="6"/>
  <c r="BF886" i="6"/>
  <c r="BE886" i="6"/>
  <c r="BD886" i="6"/>
  <c r="BC886" i="6"/>
  <c r="BB886" i="6"/>
  <c r="BA886" i="6"/>
  <c r="AZ886" i="6"/>
  <c r="AY886" i="6"/>
  <c r="AX886" i="6"/>
  <c r="AW886" i="6"/>
  <c r="AV886" i="6"/>
  <c r="AU886" i="6"/>
  <c r="H886" i="6"/>
  <c r="G886" i="6"/>
  <c r="BJ885" i="6"/>
  <c r="BI885" i="6"/>
  <c r="BH885" i="6"/>
  <c r="BG885" i="6"/>
  <c r="BF885" i="6"/>
  <c r="BE885" i="6"/>
  <c r="BD885" i="6"/>
  <c r="BC885" i="6"/>
  <c r="BB885" i="6"/>
  <c r="BA885" i="6"/>
  <c r="AZ885" i="6"/>
  <c r="AY885" i="6"/>
  <c r="AX885" i="6"/>
  <c r="AW885" i="6"/>
  <c r="AV885" i="6"/>
  <c r="AU885" i="6"/>
  <c r="H885" i="6"/>
  <c r="G885" i="6"/>
  <c r="BJ884" i="6"/>
  <c r="BI884" i="6"/>
  <c r="BH884" i="6"/>
  <c r="BG884" i="6"/>
  <c r="BF884" i="6"/>
  <c r="BE884" i="6"/>
  <c r="BD884" i="6"/>
  <c r="BC884" i="6"/>
  <c r="BB884" i="6"/>
  <c r="BA884" i="6"/>
  <c r="AZ884" i="6"/>
  <c r="AY884" i="6"/>
  <c r="AX884" i="6"/>
  <c r="AW884" i="6"/>
  <c r="AV884" i="6"/>
  <c r="AU884" i="6"/>
  <c r="H884" i="6"/>
  <c r="G884" i="6"/>
  <c r="BJ883" i="6"/>
  <c r="BI883" i="6"/>
  <c r="BH883" i="6"/>
  <c r="BG883" i="6"/>
  <c r="BF883" i="6"/>
  <c r="BE883" i="6"/>
  <c r="BD883" i="6"/>
  <c r="BC883" i="6"/>
  <c r="BB883" i="6"/>
  <c r="BA883" i="6"/>
  <c r="AZ883" i="6"/>
  <c r="AY883" i="6"/>
  <c r="AX883" i="6"/>
  <c r="AW883" i="6"/>
  <c r="AV883" i="6"/>
  <c r="AU883" i="6"/>
  <c r="H883" i="6"/>
  <c r="G883" i="6"/>
  <c r="BJ882" i="6"/>
  <c r="BI882" i="6"/>
  <c r="BH882" i="6"/>
  <c r="BG882" i="6"/>
  <c r="BF882" i="6"/>
  <c r="BE882" i="6"/>
  <c r="BD882" i="6"/>
  <c r="BC882" i="6"/>
  <c r="BB882" i="6"/>
  <c r="BA882" i="6"/>
  <c r="AZ882" i="6"/>
  <c r="AY882" i="6"/>
  <c r="AX882" i="6"/>
  <c r="AW882" i="6"/>
  <c r="AV882" i="6"/>
  <c r="AU882" i="6"/>
  <c r="H882" i="6"/>
  <c r="G882" i="6"/>
  <c r="BJ881" i="6"/>
  <c r="BI881" i="6"/>
  <c r="BH881" i="6"/>
  <c r="BG881" i="6"/>
  <c r="BF881" i="6"/>
  <c r="BE881" i="6"/>
  <c r="BD881" i="6"/>
  <c r="BC881" i="6"/>
  <c r="BB881" i="6"/>
  <c r="BA881" i="6"/>
  <c r="AZ881" i="6"/>
  <c r="AY881" i="6"/>
  <c r="AX881" i="6"/>
  <c r="AW881" i="6"/>
  <c r="AV881" i="6"/>
  <c r="AU881" i="6"/>
  <c r="H881" i="6"/>
  <c r="G881" i="6"/>
  <c r="BJ880" i="6"/>
  <c r="BI880" i="6"/>
  <c r="BH880" i="6"/>
  <c r="BG880" i="6"/>
  <c r="BF880" i="6"/>
  <c r="BE880" i="6"/>
  <c r="BD880" i="6"/>
  <c r="BC880" i="6"/>
  <c r="BB880" i="6"/>
  <c r="BA880" i="6"/>
  <c r="AZ880" i="6"/>
  <c r="AY880" i="6"/>
  <c r="AX880" i="6"/>
  <c r="AW880" i="6"/>
  <c r="AV880" i="6"/>
  <c r="AU880" i="6"/>
  <c r="H880" i="6"/>
  <c r="G880" i="6"/>
  <c r="BJ879" i="6"/>
  <c r="BI879" i="6"/>
  <c r="BH879" i="6"/>
  <c r="BG879" i="6"/>
  <c r="BF879" i="6"/>
  <c r="BE879" i="6"/>
  <c r="BD879" i="6"/>
  <c r="BC879" i="6"/>
  <c r="BB879" i="6"/>
  <c r="BA879" i="6"/>
  <c r="AZ879" i="6"/>
  <c r="AY879" i="6"/>
  <c r="AX879" i="6"/>
  <c r="AW879" i="6"/>
  <c r="AV879" i="6"/>
  <c r="AU879" i="6"/>
  <c r="H879" i="6"/>
  <c r="G879" i="6"/>
  <c r="BJ878" i="6"/>
  <c r="BI878" i="6"/>
  <c r="BH878" i="6"/>
  <c r="BG878" i="6"/>
  <c r="BF878" i="6"/>
  <c r="BE878" i="6"/>
  <c r="BD878" i="6"/>
  <c r="BC878" i="6"/>
  <c r="BB878" i="6"/>
  <c r="BA878" i="6"/>
  <c r="AZ878" i="6"/>
  <c r="AY878" i="6"/>
  <c r="AX878" i="6"/>
  <c r="AW878" i="6"/>
  <c r="AV878" i="6"/>
  <c r="AU878" i="6"/>
  <c r="H878" i="6"/>
  <c r="G878" i="6"/>
  <c r="BJ877" i="6"/>
  <c r="BI877" i="6"/>
  <c r="BH877" i="6"/>
  <c r="BG877" i="6"/>
  <c r="BF877" i="6"/>
  <c r="BE877" i="6"/>
  <c r="BD877" i="6"/>
  <c r="BC877" i="6"/>
  <c r="BB877" i="6"/>
  <c r="BA877" i="6"/>
  <c r="AZ877" i="6"/>
  <c r="AY877" i="6"/>
  <c r="AX877" i="6"/>
  <c r="AW877" i="6"/>
  <c r="AV877" i="6"/>
  <c r="AU877" i="6"/>
  <c r="H877" i="6"/>
  <c r="G877" i="6"/>
  <c r="BJ876" i="6"/>
  <c r="BI876" i="6"/>
  <c r="BH876" i="6"/>
  <c r="BG876" i="6"/>
  <c r="BF876" i="6"/>
  <c r="BE876" i="6"/>
  <c r="BD876" i="6"/>
  <c r="BC876" i="6"/>
  <c r="BB876" i="6"/>
  <c r="BA876" i="6"/>
  <c r="AZ876" i="6"/>
  <c r="AY876" i="6"/>
  <c r="AX876" i="6"/>
  <c r="AW876" i="6"/>
  <c r="AV876" i="6"/>
  <c r="AU876" i="6"/>
  <c r="H876" i="6"/>
  <c r="G876" i="6"/>
  <c r="BJ875" i="6"/>
  <c r="BI875" i="6"/>
  <c r="BH875" i="6"/>
  <c r="BG875" i="6"/>
  <c r="BF875" i="6"/>
  <c r="BE875" i="6"/>
  <c r="BD875" i="6"/>
  <c r="BC875" i="6"/>
  <c r="BB875" i="6"/>
  <c r="BA875" i="6"/>
  <c r="AZ875" i="6"/>
  <c r="AY875" i="6"/>
  <c r="AX875" i="6"/>
  <c r="AW875" i="6"/>
  <c r="AV875" i="6"/>
  <c r="AU875" i="6"/>
  <c r="H875" i="6"/>
  <c r="G875" i="6"/>
  <c r="BJ874" i="6"/>
  <c r="BI874" i="6"/>
  <c r="BH874" i="6"/>
  <c r="BG874" i="6"/>
  <c r="BF874" i="6"/>
  <c r="BE874" i="6"/>
  <c r="BD874" i="6"/>
  <c r="BC874" i="6"/>
  <c r="BB874" i="6"/>
  <c r="BA874" i="6"/>
  <c r="AZ874" i="6"/>
  <c r="AY874" i="6"/>
  <c r="AX874" i="6"/>
  <c r="AW874" i="6"/>
  <c r="AV874" i="6"/>
  <c r="AU874" i="6"/>
  <c r="H874" i="6"/>
  <c r="G874" i="6"/>
  <c r="BJ873" i="6"/>
  <c r="BI873" i="6"/>
  <c r="BH873" i="6"/>
  <c r="BG873" i="6"/>
  <c r="BF873" i="6"/>
  <c r="BE873" i="6"/>
  <c r="BD873" i="6"/>
  <c r="BC873" i="6"/>
  <c r="BB873" i="6"/>
  <c r="BA873" i="6"/>
  <c r="AZ873" i="6"/>
  <c r="AY873" i="6"/>
  <c r="AX873" i="6"/>
  <c r="AW873" i="6"/>
  <c r="AV873" i="6"/>
  <c r="AU873" i="6"/>
  <c r="H873" i="6"/>
  <c r="G873" i="6"/>
  <c r="BJ872" i="6"/>
  <c r="BI872" i="6"/>
  <c r="BH872" i="6"/>
  <c r="BG872" i="6"/>
  <c r="BF872" i="6"/>
  <c r="BE872" i="6"/>
  <c r="BD872" i="6"/>
  <c r="BC872" i="6"/>
  <c r="BB872" i="6"/>
  <c r="BA872" i="6"/>
  <c r="AZ872" i="6"/>
  <c r="AY872" i="6"/>
  <c r="AX872" i="6"/>
  <c r="AW872" i="6"/>
  <c r="AV872" i="6"/>
  <c r="AU872" i="6"/>
  <c r="H872" i="6"/>
  <c r="G872" i="6"/>
  <c r="BJ871" i="6"/>
  <c r="BI871" i="6"/>
  <c r="BH871" i="6"/>
  <c r="BG871" i="6"/>
  <c r="BF871" i="6"/>
  <c r="BE871" i="6"/>
  <c r="BD871" i="6"/>
  <c r="BC871" i="6"/>
  <c r="BB871" i="6"/>
  <c r="BA871" i="6"/>
  <c r="AZ871" i="6"/>
  <c r="AY871" i="6"/>
  <c r="AX871" i="6"/>
  <c r="AW871" i="6"/>
  <c r="AV871" i="6"/>
  <c r="AU871" i="6"/>
  <c r="H871" i="6"/>
  <c r="G871" i="6"/>
  <c r="BJ870" i="6"/>
  <c r="BI870" i="6"/>
  <c r="BH870" i="6"/>
  <c r="BG870" i="6"/>
  <c r="BF870" i="6"/>
  <c r="BE870" i="6"/>
  <c r="BD870" i="6"/>
  <c r="BC870" i="6"/>
  <c r="BB870" i="6"/>
  <c r="BA870" i="6"/>
  <c r="AZ870" i="6"/>
  <c r="AY870" i="6"/>
  <c r="AX870" i="6"/>
  <c r="AW870" i="6"/>
  <c r="AV870" i="6"/>
  <c r="AU870" i="6"/>
  <c r="H870" i="6"/>
  <c r="G870" i="6"/>
  <c r="BJ869" i="6"/>
  <c r="BI869" i="6"/>
  <c r="BH869" i="6"/>
  <c r="BG869" i="6"/>
  <c r="BF869" i="6"/>
  <c r="BE869" i="6"/>
  <c r="BD869" i="6"/>
  <c r="BC869" i="6"/>
  <c r="BB869" i="6"/>
  <c r="BA869" i="6"/>
  <c r="AZ869" i="6"/>
  <c r="AY869" i="6"/>
  <c r="AX869" i="6"/>
  <c r="AW869" i="6"/>
  <c r="AV869" i="6"/>
  <c r="AU869" i="6"/>
  <c r="H869" i="6"/>
  <c r="G869" i="6"/>
  <c r="BJ868" i="6"/>
  <c r="BI868" i="6"/>
  <c r="BH868" i="6"/>
  <c r="BG868" i="6"/>
  <c r="BF868" i="6"/>
  <c r="BE868" i="6"/>
  <c r="BD868" i="6"/>
  <c r="BC868" i="6"/>
  <c r="BB868" i="6"/>
  <c r="BA868" i="6"/>
  <c r="AZ868" i="6"/>
  <c r="AY868" i="6"/>
  <c r="AX868" i="6"/>
  <c r="AW868" i="6"/>
  <c r="AV868" i="6"/>
  <c r="AU868" i="6"/>
  <c r="H868" i="6"/>
  <c r="G868" i="6"/>
  <c r="BJ867" i="6"/>
  <c r="BI867" i="6"/>
  <c r="BH867" i="6"/>
  <c r="BG867" i="6"/>
  <c r="BF867" i="6"/>
  <c r="BE867" i="6"/>
  <c r="BD867" i="6"/>
  <c r="BC867" i="6"/>
  <c r="BB867" i="6"/>
  <c r="BA867" i="6"/>
  <c r="AZ867" i="6"/>
  <c r="AY867" i="6"/>
  <c r="AX867" i="6"/>
  <c r="AW867" i="6"/>
  <c r="AV867" i="6"/>
  <c r="AU867" i="6"/>
  <c r="H867" i="6"/>
  <c r="G867" i="6"/>
  <c r="BJ866" i="6"/>
  <c r="BI866" i="6"/>
  <c r="BH866" i="6"/>
  <c r="BG866" i="6"/>
  <c r="BF866" i="6"/>
  <c r="BE866" i="6"/>
  <c r="BD866" i="6"/>
  <c r="BC866" i="6"/>
  <c r="BB866" i="6"/>
  <c r="BA866" i="6"/>
  <c r="AZ866" i="6"/>
  <c r="AY866" i="6"/>
  <c r="AX866" i="6"/>
  <c r="AW866" i="6"/>
  <c r="AV866" i="6"/>
  <c r="AU866" i="6"/>
  <c r="H866" i="6"/>
  <c r="G866" i="6"/>
  <c r="BJ865" i="6"/>
  <c r="BI865" i="6"/>
  <c r="BH865" i="6"/>
  <c r="BG865" i="6"/>
  <c r="BF865" i="6"/>
  <c r="BE865" i="6"/>
  <c r="BD865" i="6"/>
  <c r="BC865" i="6"/>
  <c r="BB865" i="6"/>
  <c r="BA865" i="6"/>
  <c r="AZ865" i="6"/>
  <c r="AY865" i="6"/>
  <c r="AX865" i="6"/>
  <c r="AW865" i="6"/>
  <c r="AV865" i="6"/>
  <c r="AU865" i="6"/>
  <c r="H865" i="6"/>
  <c r="G865" i="6"/>
  <c r="BJ864" i="6"/>
  <c r="BI864" i="6"/>
  <c r="BH864" i="6"/>
  <c r="BG864" i="6"/>
  <c r="BF864" i="6"/>
  <c r="BE864" i="6"/>
  <c r="BD864" i="6"/>
  <c r="BC864" i="6"/>
  <c r="BB864" i="6"/>
  <c r="BA864" i="6"/>
  <c r="AZ864" i="6"/>
  <c r="AY864" i="6"/>
  <c r="AX864" i="6"/>
  <c r="AW864" i="6"/>
  <c r="AV864" i="6"/>
  <c r="AU864" i="6"/>
  <c r="H864" i="6"/>
  <c r="G864" i="6"/>
  <c r="BJ863" i="6"/>
  <c r="BI863" i="6"/>
  <c r="BH863" i="6"/>
  <c r="BG863" i="6"/>
  <c r="BF863" i="6"/>
  <c r="BE863" i="6"/>
  <c r="BD863" i="6"/>
  <c r="BC863" i="6"/>
  <c r="BB863" i="6"/>
  <c r="BA863" i="6"/>
  <c r="AZ863" i="6"/>
  <c r="AY863" i="6"/>
  <c r="AX863" i="6"/>
  <c r="AW863" i="6"/>
  <c r="AV863" i="6"/>
  <c r="AU863" i="6"/>
  <c r="H863" i="6"/>
  <c r="G863" i="6"/>
  <c r="BJ862" i="6"/>
  <c r="BI862" i="6"/>
  <c r="BH862" i="6"/>
  <c r="BG862" i="6"/>
  <c r="BF862" i="6"/>
  <c r="BE862" i="6"/>
  <c r="BD862" i="6"/>
  <c r="BC862" i="6"/>
  <c r="BB862" i="6"/>
  <c r="BA862" i="6"/>
  <c r="AZ862" i="6"/>
  <c r="AY862" i="6"/>
  <c r="AX862" i="6"/>
  <c r="AW862" i="6"/>
  <c r="AV862" i="6"/>
  <c r="AU862" i="6"/>
  <c r="H862" i="6"/>
  <c r="G862" i="6"/>
  <c r="BJ861" i="6"/>
  <c r="BI861" i="6"/>
  <c r="BH861" i="6"/>
  <c r="BG861" i="6"/>
  <c r="BF861" i="6"/>
  <c r="BE861" i="6"/>
  <c r="BD861" i="6"/>
  <c r="BC861" i="6"/>
  <c r="BB861" i="6"/>
  <c r="BA861" i="6"/>
  <c r="AZ861" i="6"/>
  <c r="AY861" i="6"/>
  <c r="AX861" i="6"/>
  <c r="AW861" i="6"/>
  <c r="AV861" i="6"/>
  <c r="AU861" i="6"/>
  <c r="H861" i="6"/>
  <c r="G861" i="6"/>
  <c r="BJ860" i="6"/>
  <c r="BI860" i="6"/>
  <c r="BH860" i="6"/>
  <c r="BG860" i="6"/>
  <c r="BF860" i="6"/>
  <c r="BE860" i="6"/>
  <c r="BD860" i="6"/>
  <c r="BC860" i="6"/>
  <c r="BB860" i="6"/>
  <c r="BA860" i="6"/>
  <c r="AZ860" i="6"/>
  <c r="AY860" i="6"/>
  <c r="AX860" i="6"/>
  <c r="AW860" i="6"/>
  <c r="AV860" i="6"/>
  <c r="AU860" i="6"/>
  <c r="H860" i="6"/>
  <c r="G860" i="6"/>
  <c r="BJ859" i="6"/>
  <c r="BI859" i="6"/>
  <c r="BH859" i="6"/>
  <c r="BG859" i="6"/>
  <c r="BF859" i="6"/>
  <c r="BE859" i="6"/>
  <c r="BD859" i="6"/>
  <c r="BC859" i="6"/>
  <c r="BB859" i="6"/>
  <c r="BA859" i="6"/>
  <c r="AZ859" i="6"/>
  <c r="AY859" i="6"/>
  <c r="AX859" i="6"/>
  <c r="AW859" i="6"/>
  <c r="AV859" i="6"/>
  <c r="AU859" i="6"/>
  <c r="H859" i="6"/>
  <c r="G859" i="6"/>
  <c r="BJ858" i="6"/>
  <c r="BI858" i="6"/>
  <c r="BH858" i="6"/>
  <c r="BG858" i="6"/>
  <c r="BF858" i="6"/>
  <c r="BE858" i="6"/>
  <c r="BD858" i="6"/>
  <c r="BC858" i="6"/>
  <c r="BB858" i="6"/>
  <c r="BA858" i="6"/>
  <c r="AZ858" i="6"/>
  <c r="AY858" i="6"/>
  <c r="AX858" i="6"/>
  <c r="AW858" i="6"/>
  <c r="AV858" i="6"/>
  <c r="AU858" i="6"/>
  <c r="H858" i="6"/>
  <c r="G858" i="6"/>
  <c r="BJ857" i="6"/>
  <c r="BI857" i="6"/>
  <c r="BH857" i="6"/>
  <c r="BG857" i="6"/>
  <c r="BF857" i="6"/>
  <c r="BE857" i="6"/>
  <c r="BD857" i="6"/>
  <c r="BC857" i="6"/>
  <c r="BB857" i="6"/>
  <c r="BA857" i="6"/>
  <c r="AZ857" i="6"/>
  <c r="AY857" i="6"/>
  <c r="AX857" i="6"/>
  <c r="AW857" i="6"/>
  <c r="AV857" i="6"/>
  <c r="AU857" i="6"/>
  <c r="H857" i="6"/>
  <c r="G857" i="6"/>
  <c r="BJ856" i="6"/>
  <c r="BI856" i="6"/>
  <c r="BH856" i="6"/>
  <c r="BG856" i="6"/>
  <c r="BF856" i="6"/>
  <c r="BE856" i="6"/>
  <c r="BD856" i="6"/>
  <c r="BC856" i="6"/>
  <c r="BB856" i="6"/>
  <c r="BA856" i="6"/>
  <c r="AZ856" i="6"/>
  <c r="AY856" i="6"/>
  <c r="AX856" i="6"/>
  <c r="AW856" i="6"/>
  <c r="AV856" i="6"/>
  <c r="AU856" i="6"/>
  <c r="H856" i="6"/>
  <c r="G856" i="6"/>
  <c r="BJ855" i="6"/>
  <c r="BI855" i="6"/>
  <c r="BH855" i="6"/>
  <c r="BG855" i="6"/>
  <c r="BF855" i="6"/>
  <c r="BE855" i="6"/>
  <c r="BD855" i="6"/>
  <c r="BC855" i="6"/>
  <c r="BB855" i="6"/>
  <c r="BA855" i="6"/>
  <c r="AZ855" i="6"/>
  <c r="AY855" i="6"/>
  <c r="AX855" i="6"/>
  <c r="AW855" i="6"/>
  <c r="AV855" i="6"/>
  <c r="AU855" i="6"/>
  <c r="H855" i="6"/>
  <c r="G855" i="6"/>
  <c r="BJ854" i="6"/>
  <c r="BI854" i="6"/>
  <c r="BH854" i="6"/>
  <c r="BG854" i="6"/>
  <c r="BF854" i="6"/>
  <c r="BE854" i="6"/>
  <c r="BD854" i="6"/>
  <c r="BC854" i="6"/>
  <c r="BB854" i="6"/>
  <c r="BA854" i="6"/>
  <c r="AZ854" i="6"/>
  <c r="AY854" i="6"/>
  <c r="AX854" i="6"/>
  <c r="AW854" i="6"/>
  <c r="AV854" i="6"/>
  <c r="AU854" i="6"/>
  <c r="H854" i="6"/>
  <c r="G854" i="6"/>
  <c r="BJ853" i="6"/>
  <c r="BI853" i="6"/>
  <c r="BH853" i="6"/>
  <c r="BG853" i="6"/>
  <c r="BF853" i="6"/>
  <c r="BE853" i="6"/>
  <c r="BD853" i="6"/>
  <c r="BC853" i="6"/>
  <c r="BB853" i="6"/>
  <c r="BA853" i="6"/>
  <c r="AZ853" i="6"/>
  <c r="AY853" i="6"/>
  <c r="AX853" i="6"/>
  <c r="AW853" i="6"/>
  <c r="AV853" i="6"/>
  <c r="AU853" i="6"/>
  <c r="H853" i="6"/>
  <c r="G853" i="6"/>
  <c r="BJ852" i="6"/>
  <c r="BI852" i="6"/>
  <c r="BH852" i="6"/>
  <c r="BG852" i="6"/>
  <c r="BF852" i="6"/>
  <c r="BE852" i="6"/>
  <c r="BD852" i="6"/>
  <c r="BC852" i="6"/>
  <c r="BB852" i="6"/>
  <c r="BA852" i="6"/>
  <c r="AZ852" i="6"/>
  <c r="AY852" i="6"/>
  <c r="AX852" i="6"/>
  <c r="AW852" i="6"/>
  <c r="AV852" i="6"/>
  <c r="AU852" i="6"/>
  <c r="H852" i="6"/>
  <c r="G852" i="6"/>
  <c r="BJ851" i="6"/>
  <c r="BI851" i="6"/>
  <c r="BH851" i="6"/>
  <c r="BG851" i="6"/>
  <c r="BF851" i="6"/>
  <c r="BE851" i="6"/>
  <c r="BD851" i="6"/>
  <c r="BC851" i="6"/>
  <c r="BB851" i="6"/>
  <c r="BA851" i="6"/>
  <c r="AZ851" i="6"/>
  <c r="AY851" i="6"/>
  <c r="AX851" i="6"/>
  <c r="AW851" i="6"/>
  <c r="AV851" i="6"/>
  <c r="AU851" i="6"/>
  <c r="H851" i="6"/>
  <c r="G851" i="6"/>
  <c r="BJ850" i="6"/>
  <c r="BI850" i="6"/>
  <c r="BH850" i="6"/>
  <c r="BG850" i="6"/>
  <c r="BF850" i="6"/>
  <c r="BE850" i="6"/>
  <c r="BD850" i="6"/>
  <c r="BC850" i="6"/>
  <c r="BB850" i="6"/>
  <c r="BA850" i="6"/>
  <c r="AZ850" i="6"/>
  <c r="AY850" i="6"/>
  <c r="AX850" i="6"/>
  <c r="AW850" i="6"/>
  <c r="AV850" i="6"/>
  <c r="AU850" i="6"/>
  <c r="H850" i="6"/>
  <c r="G850" i="6"/>
  <c r="BJ849" i="6"/>
  <c r="BI849" i="6"/>
  <c r="BH849" i="6"/>
  <c r="BG849" i="6"/>
  <c r="BF849" i="6"/>
  <c r="BE849" i="6"/>
  <c r="BD849" i="6"/>
  <c r="BC849" i="6"/>
  <c r="BB849" i="6"/>
  <c r="BA849" i="6"/>
  <c r="AZ849" i="6"/>
  <c r="AY849" i="6"/>
  <c r="AX849" i="6"/>
  <c r="AW849" i="6"/>
  <c r="AV849" i="6"/>
  <c r="AU849" i="6"/>
  <c r="H849" i="6"/>
  <c r="G849" i="6"/>
  <c r="BJ848" i="6"/>
  <c r="BI848" i="6"/>
  <c r="BH848" i="6"/>
  <c r="BG848" i="6"/>
  <c r="BF848" i="6"/>
  <c r="BE848" i="6"/>
  <c r="BD848" i="6"/>
  <c r="BC848" i="6"/>
  <c r="BB848" i="6"/>
  <c r="BA848" i="6"/>
  <c r="AZ848" i="6"/>
  <c r="AY848" i="6"/>
  <c r="AX848" i="6"/>
  <c r="AW848" i="6"/>
  <c r="AV848" i="6"/>
  <c r="AU848" i="6"/>
  <c r="H848" i="6"/>
  <c r="G848" i="6"/>
  <c r="BJ847" i="6"/>
  <c r="BI847" i="6"/>
  <c r="BH847" i="6"/>
  <c r="BG847" i="6"/>
  <c r="BF847" i="6"/>
  <c r="BE847" i="6"/>
  <c r="BD847" i="6"/>
  <c r="BC847" i="6"/>
  <c r="BB847" i="6"/>
  <c r="BA847" i="6"/>
  <c r="AZ847" i="6"/>
  <c r="AY847" i="6"/>
  <c r="AX847" i="6"/>
  <c r="AW847" i="6"/>
  <c r="AV847" i="6"/>
  <c r="AU847" i="6"/>
  <c r="H847" i="6"/>
  <c r="G847" i="6"/>
  <c r="BJ846" i="6"/>
  <c r="BI846" i="6"/>
  <c r="BH846" i="6"/>
  <c r="BG846" i="6"/>
  <c r="BF846" i="6"/>
  <c r="BE846" i="6"/>
  <c r="BD846" i="6"/>
  <c r="BC846" i="6"/>
  <c r="BB846" i="6"/>
  <c r="BA846" i="6"/>
  <c r="AZ846" i="6"/>
  <c r="AY846" i="6"/>
  <c r="AX846" i="6"/>
  <c r="AW846" i="6"/>
  <c r="AV846" i="6"/>
  <c r="AU846" i="6"/>
  <c r="H846" i="6"/>
  <c r="G846" i="6"/>
  <c r="BJ845" i="6"/>
  <c r="BI845" i="6"/>
  <c r="BH845" i="6"/>
  <c r="BG845" i="6"/>
  <c r="BF845" i="6"/>
  <c r="BE845" i="6"/>
  <c r="BD845" i="6"/>
  <c r="BC845" i="6"/>
  <c r="BB845" i="6"/>
  <c r="BA845" i="6"/>
  <c r="AZ845" i="6"/>
  <c r="AY845" i="6"/>
  <c r="AX845" i="6"/>
  <c r="AW845" i="6"/>
  <c r="AV845" i="6"/>
  <c r="AU845" i="6"/>
  <c r="H845" i="6"/>
  <c r="G845" i="6"/>
  <c r="BJ844" i="6"/>
  <c r="BI844" i="6"/>
  <c r="BH844" i="6"/>
  <c r="BG844" i="6"/>
  <c r="BF844" i="6"/>
  <c r="BE844" i="6"/>
  <c r="BD844" i="6"/>
  <c r="BC844" i="6"/>
  <c r="BB844" i="6"/>
  <c r="BA844" i="6"/>
  <c r="AZ844" i="6"/>
  <c r="AY844" i="6"/>
  <c r="AX844" i="6"/>
  <c r="AW844" i="6"/>
  <c r="AV844" i="6"/>
  <c r="AU844" i="6"/>
  <c r="H844" i="6"/>
  <c r="G844" i="6"/>
  <c r="BJ843" i="6"/>
  <c r="BI843" i="6"/>
  <c r="BH843" i="6"/>
  <c r="BG843" i="6"/>
  <c r="BF843" i="6"/>
  <c r="BE843" i="6"/>
  <c r="BD843" i="6"/>
  <c r="BC843" i="6"/>
  <c r="BB843" i="6"/>
  <c r="BA843" i="6"/>
  <c r="AZ843" i="6"/>
  <c r="AY843" i="6"/>
  <c r="AX843" i="6"/>
  <c r="AW843" i="6"/>
  <c r="AV843" i="6"/>
  <c r="AU843" i="6"/>
  <c r="H843" i="6"/>
  <c r="G843" i="6"/>
  <c r="BJ842" i="6"/>
  <c r="BI842" i="6"/>
  <c r="BH842" i="6"/>
  <c r="BG842" i="6"/>
  <c r="BF842" i="6"/>
  <c r="BE842" i="6"/>
  <c r="BD842" i="6"/>
  <c r="BC842" i="6"/>
  <c r="BB842" i="6"/>
  <c r="BA842" i="6"/>
  <c r="AZ842" i="6"/>
  <c r="AY842" i="6"/>
  <c r="AX842" i="6"/>
  <c r="AW842" i="6"/>
  <c r="AV842" i="6"/>
  <c r="AU842" i="6"/>
  <c r="H842" i="6"/>
  <c r="G842" i="6"/>
  <c r="BJ841" i="6"/>
  <c r="BI841" i="6"/>
  <c r="BH841" i="6"/>
  <c r="BG841" i="6"/>
  <c r="BF841" i="6"/>
  <c r="BE841" i="6"/>
  <c r="BD841" i="6"/>
  <c r="BC841" i="6"/>
  <c r="BB841" i="6"/>
  <c r="BA841" i="6"/>
  <c r="AZ841" i="6"/>
  <c r="AY841" i="6"/>
  <c r="AX841" i="6"/>
  <c r="AW841" i="6"/>
  <c r="AV841" i="6"/>
  <c r="AU841" i="6"/>
  <c r="H841" i="6"/>
  <c r="G841" i="6"/>
  <c r="BJ840" i="6"/>
  <c r="BI840" i="6"/>
  <c r="BH840" i="6"/>
  <c r="BG840" i="6"/>
  <c r="BF840" i="6"/>
  <c r="BE840" i="6"/>
  <c r="BD840" i="6"/>
  <c r="BC840" i="6"/>
  <c r="BB840" i="6"/>
  <c r="BA840" i="6"/>
  <c r="AZ840" i="6"/>
  <c r="AY840" i="6"/>
  <c r="AX840" i="6"/>
  <c r="AW840" i="6"/>
  <c r="AV840" i="6"/>
  <c r="AU840" i="6"/>
  <c r="H840" i="6"/>
  <c r="G840" i="6"/>
  <c r="BJ839" i="6"/>
  <c r="BI839" i="6"/>
  <c r="BH839" i="6"/>
  <c r="BG839" i="6"/>
  <c r="BF839" i="6"/>
  <c r="BE839" i="6"/>
  <c r="BD839" i="6"/>
  <c r="BC839" i="6"/>
  <c r="BB839" i="6"/>
  <c r="BA839" i="6"/>
  <c r="AZ839" i="6"/>
  <c r="AY839" i="6"/>
  <c r="AX839" i="6"/>
  <c r="AW839" i="6"/>
  <c r="AV839" i="6"/>
  <c r="AU839" i="6"/>
  <c r="H839" i="6"/>
  <c r="G839" i="6"/>
  <c r="BJ838" i="6"/>
  <c r="BI838" i="6"/>
  <c r="BH838" i="6"/>
  <c r="BG838" i="6"/>
  <c r="BF838" i="6"/>
  <c r="BE838" i="6"/>
  <c r="BD838" i="6"/>
  <c r="BC838" i="6"/>
  <c r="BB838" i="6"/>
  <c r="BA838" i="6"/>
  <c r="AZ838" i="6"/>
  <c r="AY838" i="6"/>
  <c r="AX838" i="6"/>
  <c r="AW838" i="6"/>
  <c r="AV838" i="6"/>
  <c r="AU838" i="6"/>
  <c r="H838" i="6"/>
  <c r="G838" i="6"/>
  <c r="BJ837" i="6"/>
  <c r="BI837" i="6"/>
  <c r="BH837" i="6"/>
  <c r="BG837" i="6"/>
  <c r="BF837" i="6"/>
  <c r="BE837" i="6"/>
  <c r="BD837" i="6"/>
  <c r="BC837" i="6"/>
  <c r="BB837" i="6"/>
  <c r="BA837" i="6"/>
  <c r="AZ837" i="6"/>
  <c r="AY837" i="6"/>
  <c r="AX837" i="6"/>
  <c r="AW837" i="6"/>
  <c r="AV837" i="6"/>
  <c r="AU837" i="6"/>
  <c r="H837" i="6"/>
  <c r="G837" i="6"/>
  <c r="BJ836" i="6"/>
  <c r="BI836" i="6"/>
  <c r="BH836" i="6"/>
  <c r="BG836" i="6"/>
  <c r="BF836" i="6"/>
  <c r="BE836" i="6"/>
  <c r="BD836" i="6"/>
  <c r="BC836" i="6"/>
  <c r="BB836" i="6"/>
  <c r="BA836" i="6"/>
  <c r="AZ836" i="6"/>
  <c r="AY836" i="6"/>
  <c r="AX836" i="6"/>
  <c r="AW836" i="6"/>
  <c r="AV836" i="6"/>
  <c r="AU836" i="6"/>
  <c r="H836" i="6"/>
  <c r="G836" i="6"/>
  <c r="BJ835" i="6"/>
  <c r="BI835" i="6"/>
  <c r="BH835" i="6"/>
  <c r="BG835" i="6"/>
  <c r="BF835" i="6"/>
  <c r="BE835" i="6"/>
  <c r="BD835" i="6"/>
  <c r="BC835" i="6"/>
  <c r="BB835" i="6"/>
  <c r="BA835" i="6"/>
  <c r="AZ835" i="6"/>
  <c r="AY835" i="6"/>
  <c r="AX835" i="6"/>
  <c r="AW835" i="6"/>
  <c r="AV835" i="6"/>
  <c r="AU835" i="6"/>
  <c r="H835" i="6"/>
  <c r="G835" i="6"/>
  <c r="BJ834" i="6"/>
  <c r="BI834" i="6"/>
  <c r="BH834" i="6"/>
  <c r="BG834" i="6"/>
  <c r="BF834" i="6"/>
  <c r="BE834" i="6"/>
  <c r="BD834" i="6"/>
  <c r="BC834" i="6"/>
  <c r="BB834" i="6"/>
  <c r="BA834" i="6"/>
  <c r="AZ834" i="6"/>
  <c r="AY834" i="6"/>
  <c r="AX834" i="6"/>
  <c r="AW834" i="6"/>
  <c r="AV834" i="6"/>
  <c r="AU834" i="6"/>
  <c r="H834" i="6"/>
  <c r="G834" i="6"/>
  <c r="BJ833" i="6"/>
  <c r="BI833" i="6"/>
  <c r="BH833" i="6"/>
  <c r="BG833" i="6"/>
  <c r="BF833" i="6"/>
  <c r="BE833" i="6"/>
  <c r="BD833" i="6"/>
  <c r="BC833" i="6"/>
  <c r="BB833" i="6"/>
  <c r="BA833" i="6"/>
  <c r="AZ833" i="6"/>
  <c r="AY833" i="6"/>
  <c r="AX833" i="6"/>
  <c r="AW833" i="6"/>
  <c r="AV833" i="6"/>
  <c r="AU833" i="6"/>
  <c r="H833" i="6"/>
  <c r="G833" i="6"/>
  <c r="BJ832" i="6"/>
  <c r="BI832" i="6"/>
  <c r="BH832" i="6"/>
  <c r="BG832" i="6"/>
  <c r="BF832" i="6"/>
  <c r="BE832" i="6"/>
  <c r="BD832" i="6"/>
  <c r="BC832" i="6"/>
  <c r="BB832" i="6"/>
  <c r="BA832" i="6"/>
  <c r="AZ832" i="6"/>
  <c r="AY832" i="6"/>
  <c r="AX832" i="6"/>
  <c r="AW832" i="6"/>
  <c r="AV832" i="6"/>
  <c r="AU832" i="6"/>
  <c r="H832" i="6"/>
  <c r="G832" i="6"/>
  <c r="BJ831" i="6"/>
  <c r="BI831" i="6"/>
  <c r="BH831" i="6"/>
  <c r="BG831" i="6"/>
  <c r="BF831" i="6"/>
  <c r="BE831" i="6"/>
  <c r="BD831" i="6"/>
  <c r="BC831" i="6"/>
  <c r="BB831" i="6"/>
  <c r="BA831" i="6"/>
  <c r="AZ831" i="6"/>
  <c r="AY831" i="6"/>
  <c r="AX831" i="6"/>
  <c r="AW831" i="6"/>
  <c r="AV831" i="6"/>
  <c r="AU831" i="6"/>
  <c r="H831" i="6"/>
  <c r="G831" i="6"/>
  <c r="BJ830" i="6"/>
  <c r="BI830" i="6"/>
  <c r="BH830" i="6"/>
  <c r="BG830" i="6"/>
  <c r="BF830" i="6"/>
  <c r="BE830" i="6"/>
  <c r="BD830" i="6"/>
  <c r="BC830" i="6"/>
  <c r="BB830" i="6"/>
  <c r="BA830" i="6"/>
  <c r="AZ830" i="6"/>
  <c r="AY830" i="6"/>
  <c r="AX830" i="6"/>
  <c r="AW830" i="6"/>
  <c r="AV830" i="6"/>
  <c r="AU830" i="6"/>
  <c r="H830" i="6"/>
  <c r="G830" i="6"/>
  <c r="BJ829" i="6"/>
  <c r="BI829" i="6"/>
  <c r="BH829" i="6"/>
  <c r="BG829" i="6"/>
  <c r="BF829" i="6"/>
  <c r="BE829" i="6"/>
  <c r="BD829" i="6"/>
  <c r="BC829" i="6"/>
  <c r="BB829" i="6"/>
  <c r="BA829" i="6"/>
  <c r="AZ829" i="6"/>
  <c r="AY829" i="6"/>
  <c r="AX829" i="6"/>
  <c r="AW829" i="6"/>
  <c r="AV829" i="6"/>
  <c r="AU829" i="6"/>
  <c r="H829" i="6"/>
  <c r="G829" i="6"/>
  <c r="BJ828" i="6"/>
  <c r="BI828" i="6"/>
  <c r="BH828" i="6"/>
  <c r="BG828" i="6"/>
  <c r="BF828" i="6"/>
  <c r="BE828" i="6"/>
  <c r="BD828" i="6"/>
  <c r="BC828" i="6"/>
  <c r="BB828" i="6"/>
  <c r="BA828" i="6"/>
  <c r="AZ828" i="6"/>
  <c r="AY828" i="6"/>
  <c r="AX828" i="6"/>
  <c r="AW828" i="6"/>
  <c r="AV828" i="6"/>
  <c r="AU828" i="6"/>
  <c r="H828" i="6"/>
  <c r="G828" i="6"/>
  <c r="BJ827" i="6"/>
  <c r="BI827" i="6"/>
  <c r="BH827" i="6"/>
  <c r="BG827" i="6"/>
  <c r="BF827" i="6"/>
  <c r="BE827" i="6"/>
  <c r="BD827" i="6"/>
  <c r="BC827" i="6"/>
  <c r="BB827" i="6"/>
  <c r="BA827" i="6"/>
  <c r="AZ827" i="6"/>
  <c r="AY827" i="6"/>
  <c r="AX827" i="6"/>
  <c r="AW827" i="6"/>
  <c r="AV827" i="6"/>
  <c r="AU827" i="6"/>
  <c r="H827" i="6"/>
  <c r="G827" i="6"/>
  <c r="BJ826" i="6"/>
  <c r="BI826" i="6"/>
  <c r="BH826" i="6"/>
  <c r="BG826" i="6"/>
  <c r="BF826" i="6"/>
  <c r="BE826" i="6"/>
  <c r="BD826" i="6"/>
  <c r="BC826" i="6"/>
  <c r="BB826" i="6"/>
  <c r="BA826" i="6"/>
  <c r="AZ826" i="6"/>
  <c r="AY826" i="6"/>
  <c r="AX826" i="6"/>
  <c r="AW826" i="6"/>
  <c r="AV826" i="6"/>
  <c r="AU826" i="6"/>
  <c r="H826" i="6"/>
  <c r="G826" i="6"/>
  <c r="BJ825" i="6"/>
  <c r="BI825" i="6"/>
  <c r="BH825" i="6"/>
  <c r="BG825" i="6"/>
  <c r="BF825" i="6"/>
  <c r="BE825" i="6"/>
  <c r="BD825" i="6"/>
  <c r="BC825" i="6"/>
  <c r="BB825" i="6"/>
  <c r="BA825" i="6"/>
  <c r="AZ825" i="6"/>
  <c r="AY825" i="6"/>
  <c r="AX825" i="6"/>
  <c r="AW825" i="6"/>
  <c r="AV825" i="6"/>
  <c r="AU825" i="6"/>
  <c r="H825" i="6"/>
  <c r="G825" i="6"/>
  <c r="BJ824" i="6"/>
  <c r="BI824" i="6"/>
  <c r="BH824" i="6"/>
  <c r="BG824" i="6"/>
  <c r="BF824" i="6"/>
  <c r="BE824" i="6"/>
  <c r="BD824" i="6"/>
  <c r="BC824" i="6"/>
  <c r="BB824" i="6"/>
  <c r="BA824" i="6"/>
  <c r="AZ824" i="6"/>
  <c r="AY824" i="6"/>
  <c r="AX824" i="6"/>
  <c r="AW824" i="6"/>
  <c r="AV824" i="6"/>
  <c r="AU824" i="6"/>
  <c r="H824" i="6"/>
  <c r="G824" i="6"/>
  <c r="BJ823" i="6"/>
  <c r="BI823" i="6"/>
  <c r="BH823" i="6"/>
  <c r="BG823" i="6"/>
  <c r="BF823" i="6"/>
  <c r="BE823" i="6"/>
  <c r="BD823" i="6"/>
  <c r="BC823" i="6"/>
  <c r="BB823" i="6"/>
  <c r="BA823" i="6"/>
  <c r="AZ823" i="6"/>
  <c r="AY823" i="6"/>
  <c r="AX823" i="6"/>
  <c r="AW823" i="6"/>
  <c r="AV823" i="6"/>
  <c r="AU823" i="6"/>
  <c r="H823" i="6"/>
  <c r="G823" i="6"/>
  <c r="BJ822" i="6"/>
  <c r="BI822" i="6"/>
  <c r="BH822" i="6"/>
  <c r="BG822" i="6"/>
  <c r="BF822" i="6"/>
  <c r="BE822" i="6"/>
  <c r="BD822" i="6"/>
  <c r="BC822" i="6"/>
  <c r="BB822" i="6"/>
  <c r="BA822" i="6"/>
  <c r="AZ822" i="6"/>
  <c r="AY822" i="6"/>
  <c r="AX822" i="6"/>
  <c r="AW822" i="6"/>
  <c r="AV822" i="6"/>
  <c r="AU822" i="6"/>
  <c r="H822" i="6"/>
  <c r="G822" i="6"/>
  <c r="BJ821" i="6"/>
  <c r="BI821" i="6"/>
  <c r="BH821" i="6"/>
  <c r="BG821" i="6"/>
  <c r="BF821" i="6"/>
  <c r="BE821" i="6"/>
  <c r="BD821" i="6"/>
  <c r="BC821" i="6"/>
  <c r="BB821" i="6"/>
  <c r="BA821" i="6"/>
  <c r="AZ821" i="6"/>
  <c r="AY821" i="6"/>
  <c r="AX821" i="6"/>
  <c r="AW821" i="6"/>
  <c r="AV821" i="6"/>
  <c r="AU821" i="6"/>
  <c r="H821" i="6"/>
  <c r="G821" i="6"/>
  <c r="BJ820" i="6"/>
  <c r="BI820" i="6"/>
  <c r="BH820" i="6"/>
  <c r="BG820" i="6"/>
  <c r="BF820" i="6"/>
  <c r="BE820" i="6"/>
  <c r="BD820" i="6"/>
  <c r="BC820" i="6"/>
  <c r="BB820" i="6"/>
  <c r="BA820" i="6"/>
  <c r="AZ820" i="6"/>
  <c r="AY820" i="6"/>
  <c r="AX820" i="6"/>
  <c r="AW820" i="6"/>
  <c r="AV820" i="6"/>
  <c r="AU820" i="6"/>
  <c r="H820" i="6"/>
  <c r="G820" i="6"/>
  <c r="BJ819" i="6"/>
  <c r="BI819" i="6"/>
  <c r="BH819" i="6"/>
  <c r="BG819" i="6"/>
  <c r="BF819" i="6"/>
  <c r="BE819" i="6"/>
  <c r="BD819" i="6"/>
  <c r="BC819" i="6"/>
  <c r="BB819" i="6"/>
  <c r="BA819" i="6"/>
  <c r="AZ819" i="6"/>
  <c r="AY819" i="6"/>
  <c r="AX819" i="6"/>
  <c r="AW819" i="6"/>
  <c r="AV819" i="6"/>
  <c r="AU819" i="6"/>
  <c r="H819" i="6"/>
  <c r="G819" i="6"/>
  <c r="BJ818" i="6"/>
  <c r="BI818" i="6"/>
  <c r="BH818" i="6"/>
  <c r="BG818" i="6"/>
  <c r="BF818" i="6"/>
  <c r="BE818" i="6"/>
  <c r="BD818" i="6"/>
  <c r="BC818" i="6"/>
  <c r="BB818" i="6"/>
  <c r="BA818" i="6"/>
  <c r="AZ818" i="6"/>
  <c r="AY818" i="6"/>
  <c r="AX818" i="6"/>
  <c r="AW818" i="6"/>
  <c r="AV818" i="6"/>
  <c r="AU818" i="6"/>
  <c r="H818" i="6"/>
  <c r="G818" i="6"/>
  <c r="BJ817" i="6"/>
  <c r="BI817" i="6"/>
  <c r="BH817" i="6"/>
  <c r="BG817" i="6"/>
  <c r="BF817" i="6"/>
  <c r="BE817" i="6"/>
  <c r="BD817" i="6"/>
  <c r="BC817" i="6"/>
  <c r="BB817" i="6"/>
  <c r="BA817" i="6"/>
  <c r="AZ817" i="6"/>
  <c r="AY817" i="6"/>
  <c r="AX817" i="6"/>
  <c r="AW817" i="6"/>
  <c r="AV817" i="6"/>
  <c r="AU817" i="6"/>
  <c r="H817" i="6"/>
  <c r="G817" i="6"/>
  <c r="BJ816" i="6"/>
  <c r="BI816" i="6"/>
  <c r="BH816" i="6"/>
  <c r="BG816" i="6"/>
  <c r="BF816" i="6"/>
  <c r="BE816" i="6"/>
  <c r="BD816" i="6"/>
  <c r="BC816" i="6"/>
  <c r="BB816" i="6"/>
  <c r="BA816" i="6"/>
  <c r="AZ816" i="6"/>
  <c r="AY816" i="6"/>
  <c r="AX816" i="6"/>
  <c r="AW816" i="6"/>
  <c r="AV816" i="6"/>
  <c r="AU816" i="6"/>
  <c r="H816" i="6"/>
  <c r="G816" i="6"/>
  <c r="BJ815" i="6"/>
  <c r="BI815" i="6"/>
  <c r="BH815" i="6"/>
  <c r="BG815" i="6"/>
  <c r="BF815" i="6"/>
  <c r="BE815" i="6"/>
  <c r="BD815" i="6"/>
  <c r="BC815" i="6"/>
  <c r="BB815" i="6"/>
  <c r="BA815" i="6"/>
  <c r="AZ815" i="6"/>
  <c r="AY815" i="6"/>
  <c r="AX815" i="6"/>
  <c r="AW815" i="6"/>
  <c r="AV815" i="6"/>
  <c r="AU815" i="6"/>
  <c r="H815" i="6"/>
  <c r="G815" i="6"/>
  <c r="BJ814" i="6"/>
  <c r="BI814" i="6"/>
  <c r="BH814" i="6"/>
  <c r="BG814" i="6"/>
  <c r="BF814" i="6"/>
  <c r="BE814" i="6"/>
  <c r="BD814" i="6"/>
  <c r="BC814" i="6"/>
  <c r="BB814" i="6"/>
  <c r="BA814" i="6"/>
  <c r="AZ814" i="6"/>
  <c r="AY814" i="6"/>
  <c r="AX814" i="6"/>
  <c r="AW814" i="6"/>
  <c r="AV814" i="6"/>
  <c r="AU814" i="6"/>
  <c r="H814" i="6"/>
  <c r="G814" i="6"/>
  <c r="BJ813" i="6"/>
  <c r="BI813" i="6"/>
  <c r="BH813" i="6"/>
  <c r="BG813" i="6"/>
  <c r="BF813" i="6"/>
  <c r="BE813" i="6"/>
  <c r="BD813" i="6"/>
  <c r="BC813" i="6"/>
  <c r="BB813" i="6"/>
  <c r="BA813" i="6"/>
  <c r="AZ813" i="6"/>
  <c r="AY813" i="6"/>
  <c r="AX813" i="6"/>
  <c r="AW813" i="6"/>
  <c r="AV813" i="6"/>
  <c r="AU813" i="6"/>
  <c r="H813" i="6"/>
  <c r="G813" i="6"/>
  <c r="BJ812" i="6"/>
  <c r="BI812" i="6"/>
  <c r="BH812" i="6"/>
  <c r="BG812" i="6"/>
  <c r="BF812" i="6"/>
  <c r="BE812" i="6"/>
  <c r="BD812" i="6"/>
  <c r="BC812" i="6"/>
  <c r="BB812" i="6"/>
  <c r="BA812" i="6"/>
  <c r="AZ812" i="6"/>
  <c r="AY812" i="6"/>
  <c r="AX812" i="6"/>
  <c r="AW812" i="6"/>
  <c r="AV812" i="6"/>
  <c r="AU812" i="6"/>
  <c r="H812" i="6"/>
  <c r="G812" i="6"/>
  <c r="BJ811" i="6"/>
  <c r="BI811" i="6"/>
  <c r="BH811" i="6"/>
  <c r="BG811" i="6"/>
  <c r="BF811" i="6"/>
  <c r="BE811" i="6"/>
  <c r="BD811" i="6"/>
  <c r="BC811" i="6"/>
  <c r="BB811" i="6"/>
  <c r="BA811" i="6"/>
  <c r="AZ811" i="6"/>
  <c r="AY811" i="6"/>
  <c r="AX811" i="6"/>
  <c r="AW811" i="6"/>
  <c r="AV811" i="6"/>
  <c r="AU811" i="6"/>
  <c r="H811" i="6"/>
  <c r="G811" i="6"/>
  <c r="BJ810" i="6"/>
  <c r="BI810" i="6"/>
  <c r="BH810" i="6"/>
  <c r="BG810" i="6"/>
  <c r="BF810" i="6"/>
  <c r="BE810" i="6"/>
  <c r="BD810" i="6"/>
  <c r="BC810" i="6"/>
  <c r="BB810" i="6"/>
  <c r="BA810" i="6"/>
  <c r="AZ810" i="6"/>
  <c r="AY810" i="6"/>
  <c r="AX810" i="6"/>
  <c r="AW810" i="6"/>
  <c r="AV810" i="6"/>
  <c r="AU810" i="6"/>
  <c r="H810" i="6"/>
  <c r="G810" i="6"/>
  <c r="BJ809" i="6"/>
  <c r="BI809" i="6"/>
  <c r="BH809" i="6"/>
  <c r="BG809" i="6"/>
  <c r="BF809" i="6"/>
  <c r="BE809" i="6"/>
  <c r="BD809" i="6"/>
  <c r="BC809" i="6"/>
  <c r="BB809" i="6"/>
  <c r="BA809" i="6"/>
  <c r="AZ809" i="6"/>
  <c r="AY809" i="6"/>
  <c r="AX809" i="6"/>
  <c r="AW809" i="6"/>
  <c r="AV809" i="6"/>
  <c r="AU809" i="6"/>
  <c r="H809" i="6"/>
  <c r="G809" i="6"/>
  <c r="BJ808" i="6"/>
  <c r="BI808" i="6"/>
  <c r="BH808" i="6"/>
  <c r="BG808" i="6"/>
  <c r="BF808" i="6"/>
  <c r="BE808" i="6"/>
  <c r="BD808" i="6"/>
  <c r="BC808" i="6"/>
  <c r="BB808" i="6"/>
  <c r="BA808" i="6"/>
  <c r="AZ808" i="6"/>
  <c r="AY808" i="6"/>
  <c r="AX808" i="6"/>
  <c r="AW808" i="6"/>
  <c r="AV808" i="6"/>
  <c r="AU808" i="6"/>
  <c r="H808" i="6"/>
  <c r="G808" i="6"/>
  <c r="BJ807" i="6"/>
  <c r="BI807" i="6"/>
  <c r="BH807" i="6"/>
  <c r="BG807" i="6"/>
  <c r="BF807" i="6"/>
  <c r="BE807" i="6"/>
  <c r="BD807" i="6"/>
  <c r="BC807" i="6"/>
  <c r="BB807" i="6"/>
  <c r="BA807" i="6"/>
  <c r="AZ807" i="6"/>
  <c r="AY807" i="6"/>
  <c r="AX807" i="6"/>
  <c r="AW807" i="6"/>
  <c r="AV807" i="6"/>
  <c r="AU807" i="6"/>
  <c r="H807" i="6"/>
  <c r="G807" i="6"/>
  <c r="BJ806" i="6"/>
  <c r="BI806" i="6"/>
  <c r="BH806" i="6"/>
  <c r="BG806" i="6"/>
  <c r="BF806" i="6"/>
  <c r="BE806" i="6"/>
  <c r="BD806" i="6"/>
  <c r="BC806" i="6"/>
  <c r="BB806" i="6"/>
  <c r="BA806" i="6"/>
  <c r="AZ806" i="6"/>
  <c r="AY806" i="6"/>
  <c r="AX806" i="6"/>
  <c r="AW806" i="6"/>
  <c r="AV806" i="6"/>
  <c r="AU806" i="6"/>
  <c r="H806" i="6"/>
  <c r="G806" i="6"/>
  <c r="BJ805" i="6"/>
  <c r="BI805" i="6"/>
  <c r="BH805" i="6"/>
  <c r="BG805" i="6"/>
  <c r="BF805" i="6"/>
  <c r="BE805" i="6"/>
  <c r="BD805" i="6"/>
  <c r="BC805" i="6"/>
  <c r="BB805" i="6"/>
  <c r="BA805" i="6"/>
  <c r="AZ805" i="6"/>
  <c r="AY805" i="6"/>
  <c r="AX805" i="6"/>
  <c r="AW805" i="6"/>
  <c r="AV805" i="6"/>
  <c r="AU805" i="6"/>
  <c r="H805" i="6"/>
  <c r="G805" i="6"/>
  <c r="BJ804" i="6"/>
  <c r="BI804" i="6"/>
  <c r="BH804" i="6"/>
  <c r="BG804" i="6"/>
  <c r="BF804" i="6"/>
  <c r="BE804" i="6"/>
  <c r="BD804" i="6"/>
  <c r="BC804" i="6"/>
  <c r="BB804" i="6"/>
  <c r="BA804" i="6"/>
  <c r="AZ804" i="6"/>
  <c r="AY804" i="6"/>
  <c r="AX804" i="6"/>
  <c r="AW804" i="6"/>
  <c r="AV804" i="6"/>
  <c r="AU804" i="6"/>
  <c r="H804" i="6"/>
  <c r="G804" i="6"/>
  <c r="BJ803" i="6"/>
  <c r="BI803" i="6"/>
  <c r="BH803" i="6"/>
  <c r="BG803" i="6"/>
  <c r="BF803" i="6"/>
  <c r="BE803" i="6"/>
  <c r="BD803" i="6"/>
  <c r="BC803" i="6"/>
  <c r="BB803" i="6"/>
  <c r="BA803" i="6"/>
  <c r="AZ803" i="6"/>
  <c r="AY803" i="6"/>
  <c r="AX803" i="6"/>
  <c r="AW803" i="6"/>
  <c r="AV803" i="6"/>
  <c r="AU803" i="6"/>
  <c r="H803" i="6"/>
  <c r="G803" i="6"/>
  <c r="BJ802" i="6"/>
  <c r="BI802" i="6"/>
  <c r="BH802" i="6"/>
  <c r="BG802" i="6"/>
  <c r="BF802" i="6"/>
  <c r="BE802" i="6"/>
  <c r="BD802" i="6"/>
  <c r="BC802" i="6"/>
  <c r="BB802" i="6"/>
  <c r="BA802" i="6"/>
  <c r="AZ802" i="6"/>
  <c r="AY802" i="6"/>
  <c r="AX802" i="6"/>
  <c r="AW802" i="6"/>
  <c r="AV802" i="6"/>
  <c r="AU802" i="6"/>
  <c r="H802" i="6"/>
  <c r="G802" i="6"/>
  <c r="BJ801" i="6"/>
  <c r="BI801" i="6"/>
  <c r="BH801" i="6"/>
  <c r="BG801" i="6"/>
  <c r="BF801" i="6"/>
  <c r="BE801" i="6"/>
  <c r="BD801" i="6"/>
  <c r="BC801" i="6"/>
  <c r="BB801" i="6"/>
  <c r="BA801" i="6"/>
  <c r="AZ801" i="6"/>
  <c r="AY801" i="6"/>
  <c r="AX801" i="6"/>
  <c r="AW801" i="6"/>
  <c r="AV801" i="6"/>
  <c r="AU801" i="6"/>
  <c r="H801" i="6"/>
  <c r="G801" i="6"/>
  <c r="BJ800" i="6"/>
  <c r="BI800" i="6"/>
  <c r="BH800" i="6"/>
  <c r="BG800" i="6"/>
  <c r="BF800" i="6"/>
  <c r="BE800" i="6"/>
  <c r="BD800" i="6"/>
  <c r="BC800" i="6"/>
  <c r="BB800" i="6"/>
  <c r="BA800" i="6"/>
  <c r="AZ800" i="6"/>
  <c r="AY800" i="6"/>
  <c r="AX800" i="6"/>
  <c r="AW800" i="6"/>
  <c r="AV800" i="6"/>
  <c r="AU800" i="6"/>
  <c r="H800" i="6"/>
  <c r="G800" i="6"/>
  <c r="BJ799" i="6"/>
  <c r="BI799" i="6"/>
  <c r="BH799" i="6"/>
  <c r="BG799" i="6"/>
  <c r="BF799" i="6"/>
  <c r="BE799" i="6"/>
  <c r="BD799" i="6"/>
  <c r="BC799" i="6"/>
  <c r="BB799" i="6"/>
  <c r="BA799" i="6"/>
  <c r="AZ799" i="6"/>
  <c r="AY799" i="6"/>
  <c r="AX799" i="6"/>
  <c r="AW799" i="6"/>
  <c r="AV799" i="6"/>
  <c r="AU799" i="6"/>
  <c r="H799" i="6"/>
  <c r="G799" i="6"/>
  <c r="BJ798" i="6"/>
  <c r="BI798" i="6"/>
  <c r="BH798" i="6"/>
  <c r="BG798" i="6"/>
  <c r="BF798" i="6"/>
  <c r="BE798" i="6"/>
  <c r="BD798" i="6"/>
  <c r="BC798" i="6"/>
  <c r="BB798" i="6"/>
  <c r="BA798" i="6"/>
  <c r="AZ798" i="6"/>
  <c r="AY798" i="6"/>
  <c r="AX798" i="6"/>
  <c r="AW798" i="6"/>
  <c r="AV798" i="6"/>
  <c r="AU798" i="6"/>
  <c r="H798" i="6"/>
  <c r="G798" i="6"/>
  <c r="BJ797" i="6"/>
  <c r="BI797" i="6"/>
  <c r="BH797" i="6"/>
  <c r="BG797" i="6"/>
  <c r="BF797" i="6"/>
  <c r="BE797" i="6"/>
  <c r="BD797" i="6"/>
  <c r="BC797" i="6"/>
  <c r="BB797" i="6"/>
  <c r="BA797" i="6"/>
  <c r="AZ797" i="6"/>
  <c r="AY797" i="6"/>
  <c r="AX797" i="6"/>
  <c r="AW797" i="6"/>
  <c r="AV797" i="6"/>
  <c r="AU797" i="6"/>
  <c r="H797" i="6"/>
  <c r="G797" i="6"/>
  <c r="BJ796" i="6"/>
  <c r="BI796" i="6"/>
  <c r="BH796" i="6"/>
  <c r="BG796" i="6"/>
  <c r="BF796" i="6"/>
  <c r="BE796" i="6"/>
  <c r="BD796" i="6"/>
  <c r="BC796" i="6"/>
  <c r="BB796" i="6"/>
  <c r="BA796" i="6"/>
  <c r="AZ796" i="6"/>
  <c r="AY796" i="6"/>
  <c r="AX796" i="6"/>
  <c r="AW796" i="6"/>
  <c r="AV796" i="6"/>
  <c r="AU796" i="6"/>
  <c r="H796" i="6"/>
  <c r="G796" i="6"/>
  <c r="BJ795" i="6"/>
  <c r="BI795" i="6"/>
  <c r="BH795" i="6"/>
  <c r="BG795" i="6"/>
  <c r="BF795" i="6"/>
  <c r="BE795" i="6"/>
  <c r="BD795" i="6"/>
  <c r="BC795" i="6"/>
  <c r="BB795" i="6"/>
  <c r="BA795" i="6"/>
  <c r="AZ795" i="6"/>
  <c r="AY795" i="6"/>
  <c r="AX795" i="6"/>
  <c r="AW795" i="6"/>
  <c r="AV795" i="6"/>
  <c r="AU795" i="6"/>
  <c r="H795" i="6"/>
  <c r="G795" i="6"/>
  <c r="BJ794" i="6"/>
  <c r="BI794" i="6"/>
  <c r="BH794" i="6"/>
  <c r="BG794" i="6"/>
  <c r="BF794" i="6"/>
  <c r="BE794" i="6"/>
  <c r="BD794" i="6"/>
  <c r="BC794" i="6"/>
  <c r="BB794" i="6"/>
  <c r="BA794" i="6"/>
  <c r="AZ794" i="6"/>
  <c r="AY794" i="6"/>
  <c r="AX794" i="6"/>
  <c r="AW794" i="6"/>
  <c r="AV794" i="6"/>
  <c r="AU794" i="6"/>
  <c r="H794" i="6"/>
  <c r="G794" i="6"/>
  <c r="BJ793" i="6"/>
  <c r="BI793" i="6"/>
  <c r="BH793" i="6"/>
  <c r="BG793" i="6"/>
  <c r="BF793" i="6"/>
  <c r="BE793" i="6"/>
  <c r="BD793" i="6"/>
  <c r="BC793" i="6"/>
  <c r="BB793" i="6"/>
  <c r="BA793" i="6"/>
  <c r="AZ793" i="6"/>
  <c r="AY793" i="6"/>
  <c r="AX793" i="6"/>
  <c r="AW793" i="6"/>
  <c r="AV793" i="6"/>
  <c r="AU793" i="6"/>
  <c r="H793" i="6"/>
  <c r="G793" i="6"/>
  <c r="BJ792" i="6"/>
  <c r="BI792" i="6"/>
  <c r="BH792" i="6"/>
  <c r="BG792" i="6"/>
  <c r="BF792" i="6"/>
  <c r="BE792" i="6"/>
  <c r="BD792" i="6"/>
  <c r="BC792" i="6"/>
  <c r="BB792" i="6"/>
  <c r="BA792" i="6"/>
  <c r="AZ792" i="6"/>
  <c r="AY792" i="6"/>
  <c r="AX792" i="6"/>
  <c r="AW792" i="6"/>
  <c r="AV792" i="6"/>
  <c r="AU792" i="6"/>
  <c r="H792" i="6"/>
  <c r="G792" i="6"/>
  <c r="BJ791" i="6"/>
  <c r="BI791" i="6"/>
  <c r="BH791" i="6"/>
  <c r="BG791" i="6"/>
  <c r="BF791" i="6"/>
  <c r="BE791" i="6"/>
  <c r="BD791" i="6"/>
  <c r="BC791" i="6"/>
  <c r="BB791" i="6"/>
  <c r="BA791" i="6"/>
  <c r="AZ791" i="6"/>
  <c r="AY791" i="6"/>
  <c r="AX791" i="6"/>
  <c r="AW791" i="6"/>
  <c r="AV791" i="6"/>
  <c r="AU791" i="6"/>
  <c r="H791" i="6"/>
  <c r="G791" i="6"/>
  <c r="BJ790" i="6"/>
  <c r="BI790" i="6"/>
  <c r="BH790" i="6"/>
  <c r="BG790" i="6"/>
  <c r="BF790" i="6"/>
  <c r="BE790" i="6"/>
  <c r="BD790" i="6"/>
  <c r="BC790" i="6"/>
  <c r="BB790" i="6"/>
  <c r="BA790" i="6"/>
  <c r="AZ790" i="6"/>
  <c r="AY790" i="6"/>
  <c r="AX790" i="6"/>
  <c r="AW790" i="6"/>
  <c r="AV790" i="6"/>
  <c r="AU790" i="6"/>
  <c r="H790" i="6"/>
  <c r="G790" i="6"/>
  <c r="BJ789" i="6"/>
  <c r="BI789" i="6"/>
  <c r="BH789" i="6"/>
  <c r="BG789" i="6"/>
  <c r="BF789" i="6"/>
  <c r="BE789" i="6"/>
  <c r="BD789" i="6"/>
  <c r="BC789" i="6"/>
  <c r="BB789" i="6"/>
  <c r="BA789" i="6"/>
  <c r="AZ789" i="6"/>
  <c r="AY789" i="6"/>
  <c r="AX789" i="6"/>
  <c r="AW789" i="6"/>
  <c r="AV789" i="6"/>
  <c r="AU789" i="6"/>
  <c r="H789" i="6"/>
  <c r="G789" i="6"/>
  <c r="BJ788" i="6"/>
  <c r="BI788" i="6"/>
  <c r="BH788" i="6"/>
  <c r="BG788" i="6"/>
  <c r="BF788" i="6"/>
  <c r="BE788" i="6"/>
  <c r="BD788" i="6"/>
  <c r="BC788" i="6"/>
  <c r="BB788" i="6"/>
  <c r="BA788" i="6"/>
  <c r="AZ788" i="6"/>
  <c r="AY788" i="6"/>
  <c r="AX788" i="6"/>
  <c r="AW788" i="6"/>
  <c r="AV788" i="6"/>
  <c r="AU788" i="6"/>
  <c r="H788" i="6"/>
  <c r="G788" i="6"/>
  <c r="BJ787" i="6"/>
  <c r="BI787" i="6"/>
  <c r="BH787" i="6"/>
  <c r="BG787" i="6"/>
  <c r="BF787" i="6"/>
  <c r="BE787" i="6"/>
  <c r="BD787" i="6"/>
  <c r="BC787" i="6"/>
  <c r="BB787" i="6"/>
  <c r="BA787" i="6"/>
  <c r="AZ787" i="6"/>
  <c r="AY787" i="6"/>
  <c r="AX787" i="6"/>
  <c r="AW787" i="6"/>
  <c r="AV787" i="6"/>
  <c r="AU787" i="6"/>
  <c r="H787" i="6"/>
  <c r="G787" i="6"/>
  <c r="BJ786" i="6"/>
  <c r="BI786" i="6"/>
  <c r="BH786" i="6"/>
  <c r="BG786" i="6"/>
  <c r="BF786" i="6"/>
  <c r="BE786" i="6"/>
  <c r="BD786" i="6"/>
  <c r="BC786" i="6"/>
  <c r="BB786" i="6"/>
  <c r="BA786" i="6"/>
  <c r="AZ786" i="6"/>
  <c r="AY786" i="6"/>
  <c r="AX786" i="6"/>
  <c r="AW786" i="6"/>
  <c r="AV786" i="6"/>
  <c r="AU786" i="6"/>
  <c r="H786" i="6"/>
  <c r="G786" i="6"/>
  <c r="BJ785" i="6"/>
  <c r="BI785" i="6"/>
  <c r="BH785" i="6"/>
  <c r="BG785" i="6"/>
  <c r="BF785" i="6"/>
  <c r="BE785" i="6"/>
  <c r="BD785" i="6"/>
  <c r="BC785" i="6"/>
  <c r="BB785" i="6"/>
  <c r="BA785" i="6"/>
  <c r="AZ785" i="6"/>
  <c r="AY785" i="6"/>
  <c r="AX785" i="6"/>
  <c r="AW785" i="6"/>
  <c r="AV785" i="6"/>
  <c r="AU785" i="6"/>
  <c r="H785" i="6"/>
  <c r="G785" i="6"/>
  <c r="BJ784" i="6"/>
  <c r="BI784" i="6"/>
  <c r="BH784" i="6"/>
  <c r="BG784" i="6"/>
  <c r="BF784" i="6"/>
  <c r="BE784" i="6"/>
  <c r="BD784" i="6"/>
  <c r="BC784" i="6"/>
  <c r="BB784" i="6"/>
  <c r="BA784" i="6"/>
  <c r="AZ784" i="6"/>
  <c r="AY784" i="6"/>
  <c r="AX784" i="6"/>
  <c r="AW784" i="6"/>
  <c r="AV784" i="6"/>
  <c r="AU784" i="6"/>
  <c r="H784" i="6"/>
  <c r="G784" i="6"/>
  <c r="BJ783" i="6"/>
  <c r="BI783" i="6"/>
  <c r="BH783" i="6"/>
  <c r="BG783" i="6"/>
  <c r="BF783" i="6"/>
  <c r="BE783" i="6"/>
  <c r="BD783" i="6"/>
  <c r="BC783" i="6"/>
  <c r="BB783" i="6"/>
  <c r="BA783" i="6"/>
  <c r="AZ783" i="6"/>
  <c r="AY783" i="6"/>
  <c r="AX783" i="6"/>
  <c r="AW783" i="6"/>
  <c r="AV783" i="6"/>
  <c r="AU783" i="6"/>
  <c r="H783" i="6"/>
  <c r="G783" i="6"/>
  <c r="BJ782" i="6"/>
  <c r="BI782" i="6"/>
  <c r="BH782" i="6"/>
  <c r="BG782" i="6"/>
  <c r="BF782" i="6"/>
  <c r="BE782" i="6"/>
  <c r="BD782" i="6"/>
  <c r="BC782" i="6"/>
  <c r="BB782" i="6"/>
  <c r="BA782" i="6"/>
  <c r="AZ782" i="6"/>
  <c r="AY782" i="6"/>
  <c r="AX782" i="6"/>
  <c r="AW782" i="6"/>
  <c r="AV782" i="6"/>
  <c r="AU782" i="6"/>
  <c r="H782" i="6"/>
  <c r="G782" i="6"/>
  <c r="BJ781" i="6"/>
  <c r="BI781" i="6"/>
  <c r="BH781" i="6"/>
  <c r="BG781" i="6"/>
  <c r="BF781" i="6"/>
  <c r="BE781" i="6"/>
  <c r="BD781" i="6"/>
  <c r="BC781" i="6"/>
  <c r="BB781" i="6"/>
  <c r="BA781" i="6"/>
  <c r="AZ781" i="6"/>
  <c r="AY781" i="6"/>
  <c r="AX781" i="6"/>
  <c r="AW781" i="6"/>
  <c r="AV781" i="6"/>
  <c r="AU781" i="6"/>
  <c r="H781" i="6"/>
  <c r="G781" i="6"/>
  <c r="BJ780" i="6"/>
  <c r="BI780" i="6"/>
  <c r="BH780" i="6"/>
  <c r="BG780" i="6"/>
  <c r="BF780" i="6"/>
  <c r="BE780" i="6"/>
  <c r="BD780" i="6"/>
  <c r="BC780" i="6"/>
  <c r="BB780" i="6"/>
  <c r="BA780" i="6"/>
  <c r="AZ780" i="6"/>
  <c r="AY780" i="6"/>
  <c r="AX780" i="6"/>
  <c r="AW780" i="6"/>
  <c r="AV780" i="6"/>
  <c r="AU780" i="6"/>
  <c r="H780" i="6"/>
  <c r="G780" i="6"/>
  <c r="BJ779" i="6"/>
  <c r="BI779" i="6"/>
  <c r="BH779" i="6"/>
  <c r="BG779" i="6"/>
  <c r="BF779" i="6"/>
  <c r="BE779" i="6"/>
  <c r="BD779" i="6"/>
  <c r="BC779" i="6"/>
  <c r="BB779" i="6"/>
  <c r="BA779" i="6"/>
  <c r="AZ779" i="6"/>
  <c r="AY779" i="6"/>
  <c r="AX779" i="6"/>
  <c r="AW779" i="6"/>
  <c r="AV779" i="6"/>
  <c r="AU779" i="6"/>
  <c r="H779" i="6"/>
  <c r="G779" i="6"/>
  <c r="BJ778" i="6"/>
  <c r="BI778" i="6"/>
  <c r="BH778" i="6"/>
  <c r="BG778" i="6"/>
  <c r="BF778" i="6"/>
  <c r="BE778" i="6"/>
  <c r="BD778" i="6"/>
  <c r="BC778" i="6"/>
  <c r="BB778" i="6"/>
  <c r="BA778" i="6"/>
  <c r="AZ778" i="6"/>
  <c r="AY778" i="6"/>
  <c r="AX778" i="6"/>
  <c r="AW778" i="6"/>
  <c r="AV778" i="6"/>
  <c r="AU778" i="6"/>
  <c r="H778" i="6"/>
  <c r="G778" i="6"/>
  <c r="BJ777" i="6"/>
  <c r="BI777" i="6"/>
  <c r="BH777" i="6"/>
  <c r="BG777" i="6"/>
  <c r="BF777" i="6"/>
  <c r="BE777" i="6"/>
  <c r="BD777" i="6"/>
  <c r="BC777" i="6"/>
  <c r="BB777" i="6"/>
  <c r="BA777" i="6"/>
  <c r="AZ777" i="6"/>
  <c r="AY777" i="6"/>
  <c r="AX777" i="6"/>
  <c r="AW777" i="6"/>
  <c r="AV777" i="6"/>
  <c r="AU777" i="6"/>
  <c r="H777" i="6"/>
  <c r="G777" i="6"/>
  <c r="BJ776" i="6"/>
  <c r="BI776" i="6"/>
  <c r="BH776" i="6"/>
  <c r="BG776" i="6"/>
  <c r="BF776" i="6"/>
  <c r="BE776" i="6"/>
  <c r="BD776" i="6"/>
  <c r="BC776" i="6"/>
  <c r="BB776" i="6"/>
  <c r="BA776" i="6"/>
  <c r="AZ776" i="6"/>
  <c r="AY776" i="6"/>
  <c r="AX776" i="6"/>
  <c r="AW776" i="6"/>
  <c r="AV776" i="6"/>
  <c r="AU776" i="6"/>
  <c r="H776" i="6"/>
  <c r="G776" i="6"/>
  <c r="BJ775" i="6"/>
  <c r="BI775" i="6"/>
  <c r="BH775" i="6"/>
  <c r="BG775" i="6"/>
  <c r="BF775" i="6"/>
  <c r="BE775" i="6"/>
  <c r="BD775" i="6"/>
  <c r="BC775" i="6"/>
  <c r="BB775" i="6"/>
  <c r="BA775" i="6"/>
  <c r="AZ775" i="6"/>
  <c r="AY775" i="6"/>
  <c r="AX775" i="6"/>
  <c r="AW775" i="6"/>
  <c r="AV775" i="6"/>
  <c r="AU775" i="6"/>
  <c r="H775" i="6"/>
  <c r="G775" i="6"/>
  <c r="BJ774" i="6"/>
  <c r="BI774" i="6"/>
  <c r="BH774" i="6"/>
  <c r="BG774" i="6"/>
  <c r="BF774" i="6"/>
  <c r="BE774" i="6"/>
  <c r="BD774" i="6"/>
  <c r="BC774" i="6"/>
  <c r="BB774" i="6"/>
  <c r="BA774" i="6"/>
  <c r="AZ774" i="6"/>
  <c r="AY774" i="6"/>
  <c r="AX774" i="6"/>
  <c r="AW774" i="6"/>
  <c r="AV774" i="6"/>
  <c r="AU774" i="6"/>
  <c r="H774" i="6"/>
  <c r="G774" i="6"/>
  <c r="BJ773" i="6"/>
  <c r="BI773" i="6"/>
  <c r="BH773" i="6"/>
  <c r="BG773" i="6"/>
  <c r="BF773" i="6"/>
  <c r="BE773" i="6"/>
  <c r="BD773" i="6"/>
  <c r="BC773" i="6"/>
  <c r="BB773" i="6"/>
  <c r="BA773" i="6"/>
  <c r="AZ773" i="6"/>
  <c r="AY773" i="6"/>
  <c r="AX773" i="6"/>
  <c r="AW773" i="6"/>
  <c r="AV773" i="6"/>
  <c r="AU773" i="6"/>
  <c r="H773" i="6"/>
  <c r="G773" i="6"/>
  <c r="BJ772" i="6"/>
  <c r="BI772" i="6"/>
  <c r="BH772" i="6"/>
  <c r="BG772" i="6"/>
  <c r="BF772" i="6"/>
  <c r="BE772" i="6"/>
  <c r="BD772" i="6"/>
  <c r="BC772" i="6"/>
  <c r="BB772" i="6"/>
  <c r="BA772" i="6"/>
  <c r="AZ772" i="6"/>
  <c r="AY772" i="6"/>
  <c r="AX772" i="6"/>
  <c r="AW772" i="6"/>
  <c r="AV772" i="6"/>
  <c r="AU772" i="6"/>
  <c r="H772" i="6"/>
  <c r="G772" i="6"/>
  <c r="BJ771" i="6"/>
  <c r="BI771" i="6"/>
  <c r="BH771" i="6"/>
  <c r="BG771" i="6"/>
  <c r="BF771" i="6"/>
  <c r="BE771" i="6"/>
  <c r="BD771" i="6"/>
  <c r="BC771" i="6"/>
  <c r="BB771" i="6"/>
  <c r="BA771" i="6"/>
  <c r="AZ771" i="6"/>
  <c r="AY771" i="6"/>
  <c r="AX771" i="6"/>
  <c r="AW771" i="6"/>
  <c r="AV771" i="6"/>
  <c r="AU771" i="6"/>
  <c r="H771" i="6"/>
  <c r="G771" i="6"/>
  <c r="BJ770" i="6"/>
  <c r="BI770" i="6"/>
  <c r="BH770" i="6"/>
  <c r="BG770" i="6"/>
  <c r="BF770" i="6"/>
  <c r="BE770" i="6"/>
  <c r="BD770" i="6"/>
  <c r="BC770" i="6"/>
  <c r="BB770" i="6"/>
  <c r="BA770" i="6"/>
  <c r="AZ770" i="6"/>
  <c r="AY770" i="6"/>
  <c r="AX770" i="6"/>
  <c r="AW770" i="6"/>
  <c r="AV770" i="6"/>
  <c r="AU770" i="6"/>
  <c r="H770" i="6"/>
  <c r="G770" i="6"/>
  <c r="BJ769" i="6"/>
  <c r="BI769" i="6"/>
  <c r="BH769" i="6"/>
  <c r="BG769" i="6"/>
  <c r="BF769" i="6"/>
  <c r="BE769" i="6"/>
  <c r="BD769" i="6"/>
  <c r="BC769" i="6"/>
  <c r="BB769" i="6"/>
  <c r="BA769" i="6"/>
  <c r="AZ769" i="6"/>
  <c r="AY769" i="6"/>
  <c r="AX769" i="6"/>
  <c r="AW769" i="6"/>
  <c r="AV769" i="6"/>
  <c r="AU769" i="6"/>
  <c r="H769" i="6"/>
  <c r="G769" i="6"/>
  <c r="BJ768" i="6"/>
  <c r="BI768" i="6"/>
  <c r="BH768" i="6"/>
  <c r="BG768" i="6"/>
  <c r="BF768" i="6"/>
  <c r="BE768" i="6"/>
  <c r="BD768" i="6"/>
  <c r="BC768" i="6"/>
  <c r="BB768" i="6"/>
  <c r="BA768" i="6"/>
  <c r="AZ768" i="6"/>
  <c r="AY768" i="6"/>
  <c r="AX768" i="6"/>
  <c r="AW768" i="6"/>
  <c r="AV768" i="6"/>
  <c r="AU768" i="6"/>
  <c r="H768" i="6"/>
  <c r="G768" i="6"/>
  <c r="BJ767" i="6"/>
  <c r="BI767" i="6"/>
  <c r="BH767" i="6"/>
  <c r="BG767" i="6"/>
  <c r="BF767" i="6"/>
  <c r="BE767" i="6"/>
  <c r="BD767" i="6"/>
  <c r="BC767" i="6"/>
  <c r="BB767" i="6"/>
  <c r="BA767" i="6"/>
  <c r="AZ767" i="6"/>
  <c r="AY767" i="6"/>
  <c r="AX767" i="6"/>
  <c r="AW767" i="6"/>
  <c r="AV767" i="6"/>
  <c r="AU767" i="6"/>
  <c r="H767" i="6"/>
  <c r="G767" i="6"/>
  <c r="BJ766" i="6"/>
  <c r="BI766" i="6"/>
  <c r="BH766" i="6"/>
  <c r="BG766" i="6"/>
  <c r="BF766" i="6"/>
  <c r="BE766" i="6"/>
  <c r="BD766" i="6"/>
  <c r="BC766" i="6"/>
  <c r="BB766" i="6"/>
  <c r="BA766" i="6"/>
  <c r="AZ766" i="6"/>
  <c r="AY766" i="6"/>
  <c r="AX766" i="6"/>
  <c r="AW766" i="6"/>
  <c r="AV766" i="6"/>
  <c r="AU766" i="6"/>
  <c r="H766" i="6"/>
  <c r="G766" i="6"/>
  <c r="BJ765" i="6"/>
  <c r="BI765" i="6"/>
  <c r="BH765" i="6"/>
  <c r="BG765" i="6"/>
  <c r="BF765" i="6"/>
  <c r="BE765" i="6"/>
  <c r="BD765" i="6"/>
  <c r="BC765" i="6"/>
  <c r="BB765" i="6"/>
  <c r="BA765" i="6"/>
  <c r="AZ765" i="6"/>
  <c r="AY765" i="6"/>
  <c r="AX765" i="6"/>
  <c r="AW765" i="6"/>
  <c r="AV765" i="6"/>
  <c r="AU765" i="6"/>
  <c r="H765" i="6"/>
  <c r="G765" i="6"/>
  <c r="BJ764" i="6"/>
  <c r="BI764" i="6"/>
  <c r="BH764" i="6"/>
  <c r="BG764" i="6"/>
  <c r="BF764" i="6"/>
  <c r="BE764" i="6"/>
  <c r="BD764" i="6"/>
  <c r="BC764" i="6"/>
  <c r="BB764" i="6"/>
  <c r="BA764" i="6"/>
  <c r="AZ764" i="6"/>
  <c r="AY764" i="6"/>
  <c r="AX764" i="6"/>
  <c r="AW764" i="6"/>
  <c r="AV764" i="6"/>
  <c r="AU764" i="6"/>
  <c r="H764" i="6"/>
  <c r="G764" i="6"/>
  <c r="BJ763" i="6"/>
  <c r="BI763" i="6"/>
  <c r="BH763" i="6"/>
  <c r="BG763" i="6"/>
  <c r="BF763" i="6"/>
  <c r="BE763" i="6"/>
  <c r="BD763" i="6"/>
  <c r="BC763" i="6"/>
  <c r="BB763" i="6"/>
  <c r="BA763" i="6"/>
  <c r="AZ763" i="6"/>
  <c r="AY763" i="6"/>
  <c r="AX763" i="6"/>
  <c r="AW763" i="6"/>
  <c r="AV763" i="6"/>
  <c r="AU763" i="6"/>
  <c r="H763" i="6"/>
  <c r="G763" i="6"/>
  <c r="BJ762" i="6"/>
  <c r="BI762" i="6"/>
  <c r="BH762" i="6"/>
  <c r="BG762" i="6"/>
  <c r="BF762" i="6"/>
  <c r="BE762" i="6"/>
  <c r="BD762" i="6"/>
  <c r="BC762" i="6"/>
  <c r="BB762" i="6"/>
  <c r="BA762" i="6"/>
  <c r="AZ762" i="6"/>
  <c r="AY762" i="6"/>
  <c r="AX762" i="6"/>
  <c r="AW762" i="6"/>
  <c r="AV762" i="6"/>
  <c r="AU762" i="6"/>
  <c r="H762" i="6"/>
  <c r="G762" i="6"/>
  <c r="BJ761" i="6"/>
  <c r="BI761" i="6"/>
  <c r="BH761" i="6"/>
  <c r="BG761" i="6"/>
  <c r="BF761" i="6"/>
  <c r="BE761" i="6"/>
  <c r="BD761" i="6"/>
  <c r="BC761" i="6"/>
  <c r="BB761" i="6"/>
  <c r="BA761" i="6"/>
  <c r="AZ761" i="6"/>
  <c r="AY761" i="6"/>
  <c r="AX761" i="6"/>
  <c r="AW761" i="6"/>
  <c r="AV761" i="6"/>
  <c r="AU761" i="6"/>
  <c r="H761" i="6"/>
  <c r="G761" i="6"/>
  <c r="BJ760" i="6"/>
  <c r="BI760" i="6"/>
  <c r="BH760" i="6"/>
  <c r="BG760" i="6"/>
  <c r="BF760" i="6"/>
  <c r="BE760" i="6"/>
  <c r="BD760" i="6"/>
  <c r="BC760" i="6"/>
  <c r="BB760" i="6"/>
  <c r="BA760" i="6"/>
  <c r="AZ760" i="6"/>
  <c r="AY760" i="6"/>
  <c r="AX760" i="6"/>
  <c r="AW760" i="6"/>
  <c r="AV760" i="6"/>
  <c r="AU760" i="6"/>
  <c r="H760" i="6"/>
  <c r="G760" i="6"/>
  <c r="BJ759" i="6"/>
  <c r="BI759" i="6"/>
  <c r="BH759" i="6"/>
  <c r="BG759" i="6"/>
  <c r="BF759" i="6"/>
  <c r="BE759" i="6"/>
  <c r="BD759" i="6"/>
  <c r="BC759" i="6"/>
  <c r="BB759" i="6"/>
  <c r="BA759" i="6"/>
  <c r="AZ759" i="6"/>
  <c r="AY759" i="6"/>
  <c r="AX759" i="6"/>
  <c r="AW759" i="6"/>
  <c r="AV759" i="6"/>
  <c r="AU759" i="6"/>
  <c r="H759" i="6"/>
  <c r="G759" i="6"/>
  <c r="BJ758" i="6"/>
  <c r="BI758" i="6"/>
  <c r="BH758" i="6"/>
  <c r="BG758" i="6"/>
  <c r="BF758" i="6"/>
  <c r="BE758" i="6"/>
  <c r="BD758" i="6"/>
  <c r="BC758" i="6"/>
  <c r="BB758" i="6"/>
  <c r="BA758" i="6"/>
  <c r="AZ758" i="6"/>
  <c r="AY758" i="6"/>
  <c r="AX758" i="6"/>
  <c r="AW758" i="6"/>
  <c r="AV758" i="6"/>
  <c r="AU758" i="6"/>
  <c r="H758" i="6"/>
  <c r="G758" i="6"/>
  <c r="BJ757" i="6"/>
  <c r="BI757" i="6"/>
  <c r="BH757" i="6"/>
  <c r="BG757" i="6"/>
  <c r="BF757" i="6"/>
  <c r="BE757" i="6"/>
  <c r="BD757" i="6"/>
  <c r="BC757" i="6"/>
  <c r="BB757" i="6"/>
  <c r="BA757" i="6"/>
  <c r="AZ757" i="6"/>
  <c r="AY757" i="6"/>
  <c r="AX757" i="6"/>
  <c r="AW757" i="6"/>
  <c r="AV757" i="6"/>
  <c r="AU757" i="6"/>
  <c r="H757" i="6"/>
  <c r="G757" i="6"/>
  <c r="BJ756" i="6"/>
  <c r="BI756" i="6"/>
  <c r="BH756" i="6"/>
  <c r="BG756" i="6"/>
  <c r="BF756" i="6"/>
  <c r="BE756" i="6"/>
  <c r="BD756" i="6"/>
  <c r="BC756" i="6"/>
  <c r="BB756" i="6"/>
  <c r="BA756" i="6"/>
  <c r="AZ756" i="6"/>
  <c r="AY756" i="6"/>
  <c r="AX756" i="6"/>
  <c r="AW756" i="6"/>
  <c r="AV756" i="6"/>
  <c r="AU756" i="6"/>
  <c r="H756" i="6"/>
  <c r="G756" i="6"/>
  <c r="BJ755" i="6"/>
  <c r="BI755" i="6"/>
  <c r="BH755" i="6"/>
  <c r="BG755" i="6"/>
  <c r="BF755" i="6"/>
  <c r="BE755" i="6"/>
  <c r="BD755" i="6"/>
  <c r="BC755" i="6"/>
  <c r="BB755" i="6"/>
  <c r="BA755" i="6"/>
  <c r="AZ755" i="6"/>
  <c r="AY755" i="6"/>
  <c r="AX755" i="6"/>
  <c r="AW755" i="6"/>
  <c r="AV755" i="6"/>
  <c r="AU755" i="6"/>
  <c r="H755" i="6"/>
  <c r="G755" i="6"/>
  <c r="BJ754" i="6"/>
  <c r="BI754" i="6"/>
  <c r="BH754" i="6"/>
  <c r="BG754" i="6"/>
  <c r="BF754" i="6"/>
  <c r="BE754" i="6"/>
  <c r="BD754" i="6"/>
  <c r="BC754" i="6"/>
  <c r="BB754" i="6"/>
  <c r="BA754" i="6"/>
  <c r="AZ754" i="6"/>
  <c r="AY754" i="6"/>
  <c r="AX754" i="6"/>
  <c r="AW754" i="6"/>
  <c r="AV754" i="6"/>
  <c r="AU754" i="6"/>
  <c r="H754" i="6"/>
  <c r="G754" i="6"/>
  <c r="BJ753" i="6"/>
  <c r="BI753" i="6"/>
  <c r="BH753" i="6"/>
  <c r="BG753" i="6"/>
  <c r="BF753" i="6"/>
  <c r="BE753" i="6"/>
  <c r="BD753" i="6"/>
  <c r="BC753" i="6"/>
  <c r="BB753" i="6"/>
  <c r="BA753" i="6"/>
  <c r="AZ753" i="6"/>
  <c r="AY753" i="6"/>
  <c r="AX753" i="6"/>
  <c r="AW753" i="6"/>
  <c r="AV753" i="6"/>
  <c r="AU753" i="6"/>
  <c r="H753" i="6"/>
  <c r="G753" i="6"/>
  <c r="BJ752" i="6"/>
  <c r="BI752" i="6"/>
  <c r="BH752" i="6"/>
  <c r="BG752" i="6"/>
  <c r="BF752" i="6"/>
  <c r="BE752" i="6"/>
  <c r="BD752" i="6"/>
  <c r="BC752" i="6"/>
  <c r="BB752" i="6"/>
  <c r="BA752" i="6"/>
  <c r="AZ752" i="6"/>
  <c r="AY752" i="6"/>
  <c r="AX752" i="6"/>
  <c r="AW752" i="6"/>
  <c r="AV752" i="6"/>
  <c r="AU752" i="6"/>
  <c r="H752" i="6"/>
  <c r="G752" i="6"/>
  <c r="BJ751" i="6"/>
  <c r="BI751" i="6"/>
  <c r="BH751" i="6"/>
  <c r="BG751" i="6"/>
  <c r="BF751" i="6"/>
  <c r="BE751" i="6"/>
  <c r="BD751" i="6"/>
  <c r="BC751" i="6"/>
  <c r="BB751" i="6"/>
  <c r="BA751" i="6"/>
  <c r="AZ751" i="6"/>
  <c r="AY751" i="6"/>
  <c r="AX751" i="6"/>
  <c r="AW751" i="6"/>
  <c r="AV751" i="6"/>
  <c r="AU751" i="6"/>
  <c r="H751" i="6"/>
  <c r="G751" i="6"/>
  <c r="BJ750" i="6"/>
  <c r="BI750" i="6"/>
  <c r="BH750" i="6"/>
  <c r="BG750" i="6"/>
  <c r="BF750" i="6"/>
  <c r="BE750" i="6"/>
  <c r="BD750" i="6"/>
  <c r="BC750" i="6"/>
  <c r="BB750" i="6"/>
  <c r="BA750" i="6"/>
  <c r="AZ750" i="6"/>
  <c r="AY750" i="6"/>
  <c r="AX750" i="6"/>
  <c r="AW750" i="6"/>
  <c r="AV750" i="6"/>
  <c r="AU750" i="6"/>
  <c r="H750" i="6"/>
  <c r="G750" i="6"/>
  <c r="BJ749" i="6"/>
  <c r="BI749" i="6"/>
  <c r="BH749" i="6"/>
  <c r="BG749" i="6"/>
  <c r="BF749" i="6"/>
  <c r="BE749" i="6"/>
  <c r="BD749" i="6"/>
  <c r="BC749" i="6"/>
  <c r="BB749" i="6"/>
  <c r="BA749" i="6"/>
  <c r="AZ749" i="6"/>
  <c r="AY749" i="6"/>
  <c r="AX749" i="6"/>
  <c r="AW749" i="6"/>
  <c r="AV749" i="6"/>
  <c r="AU749" i="6"/>
  <c r="H749" i="6"/>
  <c r="G749" i="6"/>
  <c r="BJ748" i="6"/>
  <c r="BI748" i="6"/>
  <c r="BH748" i="6"/>
  <c r="BG748" i="6"/>
  <c r="BF748" i="6"/>
  <c r="BE748" i="6"/>
  <c r="BD748" i="6"/>
  <c r="BC748" i="6"/>
  <c r="BB748" i="6"/>
  <c r="BA748" i="6"/>
  <c r="AZ748" i="6"/>
  <c r="AY748" i="6"/>
  <c r="AX748" i="6"/>
  <c r="AW748" i="6"/>
  <c r="AV748" i="6"/>
  <c r="AU748" i="6"/>
  <c r="H748" i="6"/>
  <c r="G748" i="6"/>
  <c r="BJ747" i="6"/>
  <c r="BI747" i="6"/>
  <c r="BH747" i="6"/>
  <c r="BG747" i="6"/>
  <c r="BF747" i="6"/>
  <c r="BE747" i="6"/>
  <c r="BD747" i="6"/>
  <c r="BC747" i="6"/>
  <c r="BB747" i="6"/>
  <c r="BA747" i="6"/>
  <c r="AZ747" i="6"/>
  <c r="AY747" i="6"/>
  <c r="AX747" i="6"/>
  <c r="AW747" i="6"/>
  <c r="AV747" i="6"/>
  <c r="AU747" i="6"/>
  <c r="H747" i="6"/>
  <c r="G747" i="6"/>
  <c r="BJ746" i="6"/>
  <c r="BI746" i="6"/>
  <c r="BH746" i="6"/>
  <c r="BG746" i="6"/>
  <c r="BF746" i="6"/>
  <c r="BE746" i="6"/>
  <c r="BD746" i="6"/>
  <c r="BC746" i="6"/>
  <c r="BB746" i="6"/>
  <c r="BA746" i="6"/>
  <c r="AZ746" i="6"/>
  <c r="AY746" i="6"/>
  <c r="AX746" i="6"/>
  <c r="AW746" i="6"/>
  <c r="AV746" i="6"/>
  <c r="AU746" i="6"/>
  <c r="H746" i="6"/>
  <c r="G746" i="6"/>
  <c r="BJ745" i="6"/>
  <c r="BI745" i="6"/>
  <c r="BH745" i="6"/>
  <c r="BG745" i="6"/>
  <c r="BF745" i="6"/>
  <c r="BE745" i="6"/>
  <c r="BD745" i="6"/>
  <c r="BC745" i="6"/>
  <c r="BB745" i="6"/>
  <c r="BA745" i="6"/>
  <c r="AZ745" i="6"/>
  <c r="AY745" i="6"/>
  <c r="AX745" i="6"/>
  <c r="AW745" i="6"/>
  <c r="AV745" i="6"/>
  <c r="AU745" i="6"/>
  <c r="H745" i="6"/>
  <c r="G745" i="6"/>
  <c r="BJ744" i="6"/>
  <c r="BI744" i="6"/>
  <c r="BH744" i="6"/>
  <c r="BG744" i="6"/>
  <c r="BF744" i="6"/>
  <c r="BE744" i="6"/>
  <c r="BD744" i="6"/>
  <c r="BC744" i="6"/>
  <c r="BB744" i="6"/>
  <c r="BA744" i="6"/>
  <c r="AZ744" i="6"/>
  <c r="AY744" i="6"/>
  <c r="AX744" i="6"/>
  <c r="AW744" i="6"/>
  <c r="AV744" i="6"/>
  <c r="AU744" i="6"/>
  <c r="H744" i="6"/>
  <c r="G744" i="6"/>
  <c r="BJ743" i="6"/>
  <c r="BI743" i="6"/>
  <c r="BH743" i="6"/>
  <c r="BG743" i="6"/>
  <c r="BF743" i="6"/>
  <c r="BE743" i="6"/>
  <c r="BD743" i="6"/>
  <c r="BC743" i="6"/>
  <c r="BB743" i="6"/>
  <c r="BA743" i="6"/>
  <c r="AZ743" i="6"/>
  <c r="AY743" i="6"/>
  <c r="AX743" i="6"/>
  <c r="AW743" i="6"/>
  <c r="AV743" i="6"/>
  <c r="AU743" i="6"/>
  <c r="H743" i="6"/>
  <c r="G743" i="6"/>
  <c r="BJ742" i="6"/>
  <c r="BI742" i="6"/>
  <c r="BH742" i="6"/>
  <c r="BG742" i="6"/>
  <c r="BF742" i="6"/>
  <c r="BE742" i="6"/>
  <c r="BD742" i="6"/>
  <c r="BC742" i="6"/>
  <c r="BB742" i="6"/>
  <c r="BA742" i="6"/>
  <c r="AZ742" i="6"/>
  <c r="AY742" i="6"/>
  <c r="AX742" i="6"/>
  <c r="AW742" i="6"/>
  <c r="AV742" i="6"/>
  <c r="AU742" i="6"/>
  <c r="H742" i="6"/>
  <c r="G742" i="6"/>
  <c r="BJ741" i="6"/>
  <c r="BI741" i="6"/>
  <c r="BH741" i="6"/>
  <c r="BG741" i="6"/>
  <c r="BF741" i="6"/>
  <c r="BE741" i="6"/>
  <c r="BD741" i="6"/>
  <c r="BC741" i="6"/>
  <c r="BB741" i="6"/>
  <c r="BA741" i="6"/>
  <c r="AZ741" i="6"/>
  <c r="AY741" i="6"/>
  <c r="AX741" i="6"/>
  <c r="AW741" i="6"/>
  <c r="AV741" i="6"/>
  <c r="AU741" i="6"/>
  <c r="H741" i="6"/>
  <c r="G741" i="6"/>
  <c r="BJ740" i="6"/>
  <c r="BI740" i="6"/>
  <c r="BH740" i="6"/>
  <c r="BG740" i="6"/>
  <c r="BF740" i="6"/>
  <c r="BE740" i="6"/>
  <c r="BD740" i="6"/>
  <c r="BC740" i="6"/>
  <c r="BB740" i="6"/>
  <c r="BA740" i="6"/>
  <c r="AZ740" i="6"/>
  <c r="AY740" i="6"/>
  <c r="AX740" i="6"/>
  <c r="AW740" i="6"/>
  <c r="AV740" i="6"/>
  <c r="AU740" i="6"/>
  <c r="H740" i="6"/>
  <c r="G740" i="6"/>
  <c r="BJ739" i="6"/>
  <c r="BI739" i="6"/>
  <c r="BH739" i="6"/>
  <c r="BG739" i="6"/>
  <c r="BF739" i="6"/>
  <c r="BE739" i="6"/>
  <c r="BD739" i="6"/>
  <c r="BC739" i="6"/>
  <c r="BB739" i="6"/>
  <c r="BA739" i="6"/>
  <c r="AZ739" i="6"/>
  <c r="AY739" i="6"/>
  <c r="AX739" i="6"/>
  <c r="AW739" i="6"/>
  <c r="AV739" i="6"/>
  <c r="AU739" i="6"/>
  <c r="H739" i="6"/>
  <c r="G739" i="6"/>
  <c r="BJ738" i="6"/>
  <c r="BI738" i="6"/>
  <c r="BH738" i="6"/>
  <c r="BG738" i="6"/>
  <c r="BF738" i="6"/>
  <c r="BE738" i="6"/>
  <c r="BD738" i="6"/>
  <c r="BC738" i="6"/>
  <c r="BB738" i="6"/>
  <c r="BA738" i="6"/>
  <c r="AZ738" i="6"/>
  <c r="AY738" i="6"/>
  <c r="AX738" i="6"/>
  <c r="AW738" i="6"/>
  <c r="AV738" i="6"/>
  <c r="AU738" i="6"/>
  <c r="H738" i="6"/>
  <c r="G738" i="6"/>
  <c r="BJ737" i="6"/>
  <c r="BI737" i="6"/>
  <c r="BH737" i="6"/>
  <c r="BG737" i="6"/>
  <c r="BF737" i="6"/>
  <c r="BE737" i="6"/>
  <c r="BD737" i="6"/>
  <c r="BC737" i="6"/>
  <c r="BB737" i="6"/>
  <c r="BA737" i="6"/>
  <c r="AZ737" i="6"/>
  <c r="AY737" i="6"/>
  <c r="AX737" i="6"/>
  <c r="AW737" i="6"/>
  <c r="AV737" i="6"/>
  <c r="AU737" i="6"/>
  <c r="H737" i="6"/>
  <c r="G737" i="6"/>
  <c r="BJ736" i="6"/>
  <c r="BI736" i="6"/>
  <c r="BH736" i="6"/>
  <c r="BG736" i="6"/>
  <c r="BF736" i="6"/>
  <c r="BE736" i="6"/>
  <c r="BD736" i="6"/>
  <c r="BC736" i="6"/>
  <c r="BB736" i="6"/>
  <c r="BA736" i="6"/>
  <c r="AZ736" i="6"/>
  <c r="AY736" i="6"/>
  <c r="AX736" i="6"/>
  <c r="AW736" i="6"/>
  <c r="AV736" i="6"/>
  <c r="AU736" i="6"/>
  <c r="H736" i="6"/>
  <c r="G736" i="6"/>
  <c r="BJ735" i="6"/>
  <c r="BI735" i="6"/>
  <c r="BH735" i="6"/>
  <c r="BG735" i="6"/>
  <c r="BF735" i="6"/>
  <c r="BE735" i="6"/>
  <c r="BD735" i="6"/>
  <c r="BC735" i="6"/>
  <c r="BB735" i="6"/>
  <c r="BA735" i="6"/>
  <c r="AZ735" i="6"/>
  <c r="AY735" i="6"/>
  <c r="AX735" i="6"/>
  <c r="AW735" i="6"/>
  <c r="AV735" i="6"/>
  <c r="AU735" i="6"/>
  <c r="H735" i="6"/>
  <c r="G735" i="6"/>
  <c r="BJ734" i="6"/>
  <c r="BI734" i="6"/>
  <c r="BH734" i="6"/>
  <c r="BG734" i="6"/>
  <c r="BF734" i="6"/>
  <c r="BE734" i="6"/>
  <c r="BD734" i="6"/>
  <c r="BC734" i="6"/>
  <c r="BB734" i="6"/>
  <c r="BA734" i="6"/>
  <c r="AZ734" i="6"/>
  <c r="AY734" i="6"/>
  <c r="AX734" i="6"/>
  <c r="AW734" i="6"/>
  <c r="AV734" i="6"/>
  <c r="AU734" i="6"/>
  <c r="H734" i="6"/>
  <c r="G734" i="6"/>
  <c r="BJ733" i="6"/>
  <c r="BI733" i="6"/>
  <c r="BH733" i="6"/>
  <c r="BG733" i="6"/>
  <c r="BF733" i="6"/>
  <c r="BE733" i="6"/>
  <c r="BD733" i="6"/>
  <c r="BC733" i="6"/>
  <c r="BB733" i="6"/>
  <c r="BA733" i="6"/>
  <c r="AZ733" i="6"/>
  <c r="AY733" i="6"/>
  <c r="AX733" i="6"/>
  <c r="AW733" i="6"/>
  <c r="AV733" i="6"/>
  <c r="AU733" i="6"/>
  <c r="H733" i="6"/>
  <c r="G733" i="6"/>
  <c r="BJ732" i="6"/>
  <c r="BI732" i="6"/>
  <c r="BH732" i="6"/>
  <c r="BG732" i="6"/>
  <c r="BF732" i="6"/>
  <c r="BE732" i="6"/>
  <c r="BD732" i="6"/>
  <c r="BC732" i="6"/>
  <c r="BB732" i="6"/>
  <c r="BA732" i="6"/>
  <c r="AZ732" i="6"/>
  <c r="AY732" i="6"/>
  <c r="AX732" i="6"/>
  <c r="AW732" i="6"/>
  <c r="AV732" i="6"/>
  <c r="AU732" i="6"/>
  <c r="H732" i="6"/>
  <c r="G732" i="6"/>
  <c r="BJ731" i="6"/>
  <c r="BI731" i="6"/>
  <c r="BH731" i="6"/>
  <c r="BG731" i="6"/>
  <c r="BF731" i="6"/>
  <c r="BE731" i="6"/>
  <c r="BD731" i="6"/>
  <c r="BC731" i="6"/>
  <c r="BB731" i="6"/>
  <c r="BA731" i="6"/>
  <c r="AZ731" i="6"/>
  <c r="AY731" i="6"/>
  <c r="AX731" i="6"/>
  <c r="AW731" i="6"/>
  <c r="AV731" i="6"/>
  <c r="AU731" i="6"/>
  <c r="H731" i="6"/>
  <c r="G731" i="6"/>
  <c r="BJ730" i="6"/>
  <c r="BI730" i="6"/>
  <c r="BH730" i="6"/>
  <c r="BG730" i="6"/>
  <c r="BF730" i="6"/>
  <c r="BE730" i="6"/>
  <c r="BD730" i="6"/>
  <c r="BC730" i="6"/>
  <c r="BB730" i="6"/>
  <c r="BA730" i="6"/>
  <c r="AZ730" i="6"/>
  <c r="AY730" i="6"/>
  <c r="AX730" i="6"/>
  <c r="AW730" i="6"/>
  <c r="AV730" i="6"/>
  <c r="AU730" i="6"/>
  <c r="H730" i="6"/>
  <c r="G730" i="6"/>
  <c r="BJ729" i="6"/>
  <c r="BI729" i="6"/>
  <c r="BH729" i="6"/>
  <c r="BG729" i="6"/>
  <c r="BF729" i="6"/>
  <c r="BE729" i="6"/>
  <c r="BD729" i="6"/>
  <c r="BC729" i="6"/>
  <c r="BB729" i="6"/>
  <c r="BA729" i="6"/>
  <c r="AZ729" i="6"/>
  <c r="AY729" i="6"/>
  <c r="AX729" i="6"/>
  <c r="AW729" i="6"/>
  <c r="AV729" i="6"/>
  <c r="AU729" i="6"/>
  <c r="H729" i="6"/>
  <c r="G729" i="6"/>
  <c r="BJ728" i="6"/>
  <c r="BI728" i="6"/>
  <c r="BH728" i="6"/>
  <c r="BG728" i="6"/>
  <c r="BF728" i="6"/>
  <c r="BE728" i="6"/>
  <c r="BD728" i="6"/>
  <c r="BC728" i="6"/>
  <c r="BB728" i="6"/>
  <c r="BA728" i="6"/>
  <c r="AZ728" i="6"/>
  <c r="AY728" i="6"/>
  <c r="AX728" i="6"/>
  <c r="AW728" i="6"/>
  <c r="AV728" i="6"/>
  <c r="AU728" i="6"/>
  <c r="H728" i="6"/>
  <c r="G728" i="6"/>
  <c r="BJ727" i="6"/>
  <c r="BI727" i="6"/>
  <c r="BH727" i="6"/>
  <c r="BG727" i="6"/>
  <c r="BF727" i="6"/>
  <c r="BE727" i="6"/>
  <c r="BD727" i="6"/>
  <c r="BC727" i="6"/>
  <c r="BB727" i="6"/>
  <c r="BA727" i="6"/>
  <c r="AZ727" i="6"/>
  <c r="AY727" i="6"/>
  <c r="AX727" i="6"/>
  <c r="AW727" i="6"/>
  <c r="AV727" i="6"/>
  <c r="AU727" i="6"/>
  <c r="H727" i="6"/>
  <c r="G727" i="6"/>
  <c r="BJ726" i="6"/>
  <c r="BI726" i="6"/>
  <c r="BH726" i="6"/>
  <c r="BG726" i="6"/>
  <c r="BF726" i="6"/>
  <c r="BE726" i="6"/>
  <c r="BD726" i="6"/>
  <c r="BC726" i="6"/>
  <c r="BB726" i="6"/>
  <c r="BA726" i="6"/>
  <c r="AZ726" i="6"/>
  <c r="AY726" i="6"/>
  <c r="AX726" i="6"/>
  <c r="AW726" i="6"/>
  <c r="AV726" i="6"/>
  <c r="AU726" i="6"/>
  <c r="H726" i="6"/>
  <c r="G726" i="6"/>
  <c r="BJ725" i="6"/>
  <c r="BI725" i="6"/>
  <c r="BH725" i="6"/>
  <c r="BG725" i="6"/>
  <c r="BF725" i="6"/>
  <c r="BE725" i="6"/>
  <c r="BD725" i="6"/>
  <c r="BC725" i="6"/>
  <c r="BB725" i="6"/>
  <c r="BA725" i="6"/>
  <c r="AZ725" i="6"/>
  <c r="AY725" i="6"/>
  <c r="AX725" i="6"/>
  <c r="AW725" i="6"/>
  <c r="AV725" i="6"/>
  <c r="AU725" i="6"/>
  <c r="H725" i="6"/>
  <c r="G725" i="6"/>
  <c r="BJ724" i="6"/>
  <c r="BI724" i="6"/>
  <c r="BH724" i="6"/>
  <c r="BG724" i="6"/>
  <c r="BF724" i="6"/>
  <c r="BE724" i="6"/>
  <c r="BD724" i="6"/>
  <c r="BC724" i="6"/>
  <c r="BB724" i="6"/>
  <c r="BA724" i="6"/>
  <c r="AZ724" i="6"/>
  <c r="AY724" i="6"/>
  <c r="AX724" i="6"/>
  <c r="AW724" i="6"/>
  <c r="AV724" i="6"/>
  <c r="AU724" i="6"/>
  <c r="H724" i="6"/>
  <c r="G724" i="6"/>
  <c r="BJ723" i="6"/>
  <c r="BI723" i="6"/>
  <c r="BH723" i="6"/>
  <c r="BG723" i="6"/>
  <c r="BF723" i="6"/>
  <c r="BE723" i="6"/>
  <c r="BD723" i="6"/>
  <c r="BC723" i="6"/>
  <c r="BB723" i="6"/>
  <c r="BA723" i="6"/>
  <c r="AZ723" i="6"/>
  <c r="AY723" i="6"/>
  <c r="AX723" i="6"/>
  <c r="AW723" i="6"/>
  <c r="AV723" i="6"/>
  <c r="AU723" i="6"/>
  <c r="H723" i="6"/>
  <c r="G723" i="6"/>
  <c r="BJ722" i="6"/>
  <c r="BI722" i="6"/>
  <c r="BH722" i="6"/>
  <c r="BG722" i="6"/>
  <c r="BF722" i="6"/>
  <c r="BE722" i="6"/>
  <c r="BD722" i="6"/>
  <c r="BC722" i="6"/>
  <c r="BB722" i="6"/>
  <c r="BA722" i="6"/>
  <c r="AZ722" i="6"/>
  <c r="AY722" i="6"/>
  <c r="AX722" i="6"/>
  <c r="AW722" i="6"/>
  <c r="AV722" i="6"/>
  <c r="AU722" i="6"/>
  <c r="H722" i="6"/>
  <c r="G722" i="6"/>
  <c r="BJ721" i="6"/>
  <c r="BI721" i="6"/>
  <c r="BH721" i="6"/>
  <c r="BG721" i="6"/>
  <c r="BF721" i="6"/>
  <c r="BE721" i="6"/>
  <c r="BD721" i="6"/>
  <c r="BC721" i="6"/>
  <c r="BB721" i="6"/>
  <c r="BA721" i="6"/>
  <c r="AZ721" i="6"/>
  <c r="AY721" i="6"/>
  <c r="AX721" i="6"/>
  <c r="AW721" i="6"/>
  <c r="AV721" i="6"/>
  <c r="AU721" i="6"/>
  <c r="H721" i="6"/>
  <c r="G721" i="6"/>
  <c r="BJ720" i="6"/>
  <c r="BI720" i="6"/>
  <c r="BH720" i="6"/>
  <c r="BG720" i="6"/>
  <c r="BF720" i="6"/>
  <c r="BE720" i="6"/>
  <c r="BD720" i="6"/>
  <c r="BC720" i="6"/>
  <c r="BB720" i="6"/>
  <c r="BA720" i="6"/>
  <c r="AZ720" i="6"/>
  <c r="AY720" i="6"/>
  <c r="AX720" i="6"/>
  <c r="AW720" i="6"/>
  <c r="AV720" i="6"/>
  <c r="AU720" i="6"/>
  <c r="H720" i="6"/>
  <c r="G720" i="6"/>
  <c r="BJ719" i="6"/>
  <c r="BI719" i="6"/>
  <c r="BH719" i="6"/>
  <c r="BG719" i="6"/>
  <c r="BF719" i="6"/>
  <c r="BE719" i="6"/>
  <c r="BD719" i="6"/>
  <c r="BC719" i="6"/>
  <c r="BB719" i="6"/>
  <c r="BA719" i="6"/>
  <c r="AZ719" i="6"/>
  <c r="AY719" i="6"/>
  <c r="AX719" i="6"/>
  <c r="AW719" i="6"/>
  <c r="AV719" i="6"/>
  <c r="AU719" i="6"/>
  <c r="H719" i="6"/>
  <c r="G719" i="6"/>
  <c r="BJ718" i="6"/>
  <c r="BI718" i="6"/>
  <c r="BH718" i="6"/>
  <c r="BG718" i="6"/>
  <c r="BF718" i="6"/>
  <c r="BE718" i="6"/>
  <c r="BD718" i="6"/>
  <c r="BC718" i="6"/>
  <c r="BB718" i="6"/>
  <c r="BA718" i="6"/>
  <c r="AZ718" i="6"/>
  <c r="AY718" i="6"/>
  <c r="AX718" i="6"/>
  <c r="AW718" i="6"/>
  <c r="AV718" i="6"/>
  <c r="AU718" i="6"/>
  <c r="H718" i="6"/>
  <c r="G718" i="6"/>
  <c r="BJ717" i="6"/>
  <c r="BI717" i="6"/>
  <c r="BH717" i="6"/>
  <c r="BG717" i="6"/>
  <c r="BF717" i="6"/>
  <c r="BE717" i="6"/>
  <c r="BD717" i="6"/>
  <c r="BC717" i="6"/>
  <c r="BB717" i="6"/>
  <c r="BA717" i="6"/>
  <c r="AZ717" i="6"/>
  <c r="AY717" i="6"/>
  <c r="AX717" i="6"/>
  <c r="AW717" i="6"/>
  <c r="AV717" i="6"/>
  <c r="AU717" i="6"/>
  <c r="H717" i="6"/>
  <c r="G717" i="6"/>
  <c r="BJ716" i="6"/>
  <c r="BI716" i="6"/>
  <c r="BH716" i="6"/>
  <c r="BG716" i="6"/>
  <c r="BF716" i="6"/>
  <c r="BE716" i="6"/>
  <c r="BD716" i="6"/>
  <c r="BC716" i="6"/>
  <c r="BB716" i="6"/>
  <c r="BA716" i="6"/>
  <c r="AZ716" i="6"/>
  <c r="AY716" i="6"/>
  <c r="AX716" i="6"/>
  <c r="AW716" i="6"/>
  <c r="AV716" i="6"/>
  <c r="AU716" i="6"/>
  <c r="H716" i="6"/>
  <c r="G716" i="6"/>
  <c r="BJ715" i="6"/>
  <c r="BI715" i="6"/>
  <c r="BH715" i="6"/>
  <c r="BG715" i="6"/>
  <c r="BF715" i="6"/>
  <c r="BE715" i="6"/>
  <c r="BD715" i="6"/>
  <c r="BC715" i="6"/>
  <c r="BB715" i="6"/>
  <c r="BA715" i="6"/>
  <c r="AZ715" i="6"/>
  <c r="AY715" i="6"/>
  <c r="AX715" i="6"/>
  <c r="AW715" i="6"/>
  <c r="AV715" i="6"/>
  <c r="AU715" i="6"/>
  <c r="H715" i="6"/>
  <c r="G715" i="6"/>
  <c r="BJ714" i="6"/>
  <c r="BI714" i="6"/>
  <c r="BH714" i="6"/>
  <c r="BG714" i="6"/>
  <c r="BF714" i="6"/>
  <c r="BE714" i="6"/>
  <c r="BD714" i="6"/>
  <c r="BC714" i="6"/>
  <c r="BB714" i="6"/>
  <c r="BA714" i="6"/>
  <c r="AZ714" i="6"/>
  <c r="AY714" i="6"/>
  <c r="AX714" i="6"/>
  <c r="AW714" i="6"/>
  <c r="AV714" i="6"/>
  <c r="AU714" i="6"/>
  <c r="H714" i="6"/>
  <c r="G714" i="6"/>
  <c r="BJ713" i="6"/>
  <c r="BI713" i="6"/>
  <c r="BH713" i="6"/>
  <c r="BG713" i="6"/>
  <c r="BF713" i="6"/>
  <c r="BE713" i="6"/>
  <c r="BD713" i="6"/>
  <c r="BC713" i="6"/>
  <c r="BB713" i="6"/>
  <c r="BA713" i="6"/>
  <c r="AZ713" i="6"/>
  <c r="AY713" i="6"/>
  <c r="AX713" i="6"/>
  <c r="AW713" i="6"/>
  <c r="AV713" i="6"/>
  <c r="AU713" i="6"/>
  <c r="H713" i="6"/>
  <c r="G713" i="6"/>
  <c r="BJ712" i="6"/>
  <c r="BI712" i="6"/>
  <c r="BH712" i="6"/>
  <c r="BG712" i="6"/>
  <c r="BF712" i="6"/>
  <c r="BE712" i="6"/>
  <c r="BD712" i="6"/>
  <c r="BC712" i="6"/>
  <c r="BB712" i="6"/>
  <c r="BA712" i="6"/>
  <c r="AZ712" i="6"/>
  <c r="AY712" i="6"/>
  <c r="AX712" i="6"/>
  <c r="AW712" i="6"/>
  <c r="AV712" i="6"/>
  <c r="AU712" i="6"/>
  <c r="H712" i="6"/>
  <c r="G712" i="6"/>
  <c r="BJ711" i="6"/>
  <c r="BI711" i="6"/>
  <c r="BH711" i="6"/>
  <c r="BG711" i="6"/>
  <c r="BF711" i="6"/>
  <c r="BE711" i="6"/>
  <c r="BD711" i="6"/>
  <c r="BC711" i="6"/>
  <c r="BB711" i="6"/>
  <c r="BA711" i="6"/>
  <c r="AZ711" i="6"/>
  <c r="AY711" i="6"/>
  <c r="AX711" i="6"/>
  <c r="AW711" i="6"/>
  <c r="AV711" i="6"/>
  <c r="AU711" i="6"/>
  <c r="H711" i="6"/>
  <c r="G711" i="6"/>
  <c r="BJ710" i="6"/>
  <c r="BI710" i="6"/>
  <c r="BH710" i="6"/>
  <c r="BG710" i="6"/>
  <c r="BF710" i="6"/>
  <c r="BE710" i="6"/>
  <c r="BD710" i="6"/>
  <c r="BC710" i="6"/>
  <c r="BB710" i="6"/>
  <c r="BA710" i="6"/>
  <c r="AZ710" i="6"/>
  <c r="AY710" i="6"/>
  <c r="AX710" i="6"/>
  <c r="AW710" i="6"/>
  <c r="AV710" i="6"/>
  <c r="AU710" i="6"/>
  <c r="H710" i="6"/>
  <c r="G710" i="6"/>
  <c r="BJ709" i="6"/>
  <c r="BI709" i="6"/>
  <c r="BH709" i="6"/>
  <c r="BG709" i="6"/>
  <c r="BF709" i="6"/>
  <c r="BE709" i="6"/>
  <c r="BD709" i="6"/>
  <c r="BC709" i="6"/>
  <c r="BB709" i="6"/>
  <c r="BA709" i="6"/>
  <c r="AZ709" i="6"/>
  <c r="AY709" i="6"/>
  <c r="AX709" i="6"/>
  <c r="AW709" i="6"/>
  <c r="AV709" i="6"/>
  <c r="AU709" i="6"/>
  <c r="H709" i="6"/>
  <c r="G709" i="6"/>
  <c r="BJ708" i="6"/>
  <c r="BI708" i="6"/>
  <c r="BH708" i="6"/>
  <c r="BG708" i="6"/>
  <c r="BF708" i="6"/>
  <c r="BE708" i="6"/>
  <c r="BD708" i="6"/>
  <c r="BC708" i="6"/>
  <c r="BB708" i="6"/>
  <c r="BA708" i="6"/>
  <c r="AZ708" i="6"/>
  <c r="AY708" i="6"/>
  <c r="AX708" i="6"/>
  <c r="AW708" i="6"/>
  <c r="AV708" i="6"/>
  <c r="AU708" i="6"/>
  <c r="H708" i="6"/>
  <c r="G708" i="6"/>
  <c r="BJ707" i="6"/>
  <c r="BI707" i="6"/>
  <c r="BH707" i="6"/>
  <c r="BG707" i="6"/>
  <c r="BF707" i="6"/>
  <c r="BE707" i="6"/>
  <c r="BD707" i="6"/>
  <c r="BC707" i="6"/>
  <c r="BB707" i="6"/>
  <c r="BA707" i="6"/>
  <c r="AZ707" i="6"/>
  <c r="AY707" i="6"/>
  <c r="AX707" i="6"/>
  <c r="AW707" i="6"/>
  <c r="AV707" i="6"/>
  <c r="AU707" i="6"/>
  <c r="H707" i="6"/>
  <c r="G707" i="6"/>
  <c r="BJ706" i="6"/>
  <c r="BI706" i="6"/>
  <c r="BH706" i="6"/>
  <c r="BG706" i="6"/>
  <c r="BF706" i="6"/>
  <c r="BE706" i="6"/>
  <c r="BD706" i="6"/>
  <c r="BC706" i="6"/>
  <c r="BB706" i="6"/>
  <c r="BA706" i="6"/>
  <c r="AZ706" i="6"/>
  <c r="AY706" i="6"/>
  <c r="AX706" i="6"/>
  <c r="AW706" i="6"/>
  <c r="AV706" i="6"/>
  <c r="AU706" i="6"/>
  <c r="H706" i="6"/>
  <c r="G706" i="6"/>
  <c r="BJ705" i="6"/>
  <c r="BI705" i="6"/>
  <c r="BH705" i="6"/>
  <c r="BG705" i="6"/>
  <c r="BF705" i="6"/>
  <c r="BE705" i="6"/>
  <c r="BD705" i="6"/>
  <c r="BC705" i="6"/>
  <c r="BB705" i="6"/>
  <c r="BA705" i="6"/>
  <c r="AZ705" i="6"/>
  <c r="AY705" i="6"/>
  <c r="AX705" i="6"/>
  <c r="AW705" i="6"/>
  <c r="AV705" i="6"/>
  <c r="AU705" i="6"/>
  <c r="H705" i="6"/>
  <c r="G705" i="6"/>
  <c r="BJ704" i="6"/>
  <c r="BI704" i="6"/>
  <c r="BH704" i="6"/>
  <c r="BG704" i="6"/>
  <c r="BF704" i="6"/>
  <c r="BE704" i="6"/>
  <c r="BD704" i="6"/>
  <c r="BC704" i="6"/>
  <c r="BB704" i="6"/>
  <c r="BA704" i="6"/>
  <c r="AZ704" i="6"/>
  <c r="AY704" i="6"/>
  <c r="AX704" i="6"/>
  <c r="AW704" i="6"/>
  <c r="AV704" i="6"/>
  <c r="AU704" i="6"/>
  <c r="H704" i="6"/>
  <c r="G704" i="6"/>
  <c r="BJ703" i="6"/>
  <c r="BI703" i="6"/>
  <c r="BH703" i="6"/>
  <c r="BG703" i="6"/>
  <c r="BF703" i="6"/>
  <c r="BE703" i="6"/>
  <c r="BD703" i="6"/>
  <c r="BC703" i="6"/>
  <c r="BB703" i="6"/>
  <c r="BA703" i="6"/>
  <c r="AZ703" i="6"/>
  <c r="AY703" i="6"/>
  <c r="AX703" i="6"/>
  <c r="AW703" i="6"/>
  <c r="AV703" i="6"/>
  <c r="AU703" i="6"/>
  <c r="H703" i="6"/>
  <c r="G703" i="6"/>
  <c r="BJ702" i="6"/>
  <c r="BI702" i="6"/>
  <c r="BH702" i="6"/>
  <c r="BG702" i="6"/>
  <c r="BF702" i="6"/>
  <c r="BE702" i="6"/>
  <c r="BD702" i="6"/>
  <c r="BC702" i="6"/>
  <c r="BB702" i="6"/>
  <c r="BA702" i="6"/>
  <c r="AZ702" i="6"/>
  <c r="AY702" i="6"/>
  <c r="AX702" i="6"/>
  <c r="AW702" i="6"/>
  <c r="AV702" i="6"/>
  <c r="AU702" i="6"/>
  <c r="H702" i="6"/>
  <c r="G702" i="6"/>
  <c r="BJ701" i="6"/>
  <c r="BI701" i="6"/>
  <c r="BH701" i="6"/>
  <c r="BG701" i="6"/>
  <c r="BF701" i="6"/>
  <c r="BE701" i="6"/>
  <c r="BD701" i="6"/>
  <c r="BC701" i="6"/>
  <c r="BB701" i="6"/>
  <c r="BA701" i="6"/>
  <c r="AZ701" i="6"/>
  <c r="AY701" i="6"/>
  <c r="AX701" i="6"/>
  <c r="AW701" i="6"/>
  <c r="AV701" i="6"/>
  <c r="AU701" i="6"/>
  <c r="H701" i="6"/>
  <c r="G701" i="6"/>
  <c r="BJ700" i="6"/>
  <c r="BI700" i="6"/>
  <c r="BH700" i="6"/>
  <c r="BG700" i="6"/>
  <c r="BF700" i="6"/>
  <c r="BE700" i="6"/>
  <c r="BD700" i="6"/>
  <c r="BC700" i="6"/>
  <c r="BB700" i="6"/>
  <c r="BA700" i="6"/>
  <c r="AZ700" i="6"/>
  <c r="AY700" i="6"/>
  <c r="AX700" i="6"/>
  <c r="AW700" i="6"/>
  <c r="AV700" i="6"/>
  <c r="AU700" i="6"/>
  <c r="H700" i="6"/>
  <c r="G700" i="6"/>
  <c r="BJ699" i="6"/>
  <c r="BI699" i="6"/>
  <c r="BH699" i="6"/>
  <c r="BG699" i="6"/>
  <c r="BF699" i="6"/>
  <c r="BE699" i="6"/>
  <c r="BD699" i="6"/>
  <c r="BC699" i="6"/>
  <c r="BB699" i="6"/>
  <c r="BA699" i="6"/>
  <c r="AZ699" i="6"/>
  <c r="AY699" i="6"/>
  <c r="AX699" i="6"/>
  <c r="AW699" i="6"/>
  <c r="AV699" i="6"/>
  <c r="AU699" i="6"/>
  <c r="H699" i="6"/>
  <c r="G699" i="6"/>
  <c r="BJ698" i="6"/>
  <c r="BI698" i="6"/>
  <c r="BH698" i="6"/>
  <c r="BG698" i="6"/>
  <c r="BF698" i="6"/>
  <c r="BE698" i="6"/>
  <c r="BD698" i="6"/>
  <c r="BC698" i="6"/>
  <c r="BB698" i="6"/>
  <c r="BA698" i="6"/>
  <c r="AZ698" i="6"/>
  <c r="AY698" i="6"/>
  <c r="AX698" i="6"/>
  <c r="AW698" i="6"/>
  <c r="AV698" i="6"/>
  <c r="AU698" i="6"/>
  <c r="H698" i="6"/>
  <c r="G698" i="6"/>
  <c r="BJ697" i="6"/>
  <c r="BI697" i="6"/>
  <c r="BH697" i="6"/>
  <c r="BG697" i="6"/>
  <c r="BF697" i="6"/>
  <c r="BE697" i="6"/>
  <c r="BD697" i="6"/>
  <c r="BC697" i="6"/>
  <c r="BB697" i="6"/>
  <c r="BA697" i="6"/>
  <c r="AZ697" i="6"/>
  <c r="AY697" i="6"/>
  <c r="AX697" i="6"/>
  <c r="AW697" i="6"/>
  <c r="AV697" i="6"/>
  <c r="AU697" i="6"/>
  <c r="H697" i="6"/>
  <c r="G697" i="6"/>
  <c r="BJ696" i="6"/>
  <c r="BI696" i="6"/>
  <c r="BH696" i="6"/>
  <c r="BG696" i="6"/>
  <c r="BF696" i="6"/>
  <c r="BE696" i="6"/>
  <c r="BD696" i="6"/>
  <c r="BC696" i="6"/>
  <c r="BB696" i="6"/>
  <c r="BA696" i="6"/>
  <c r="AZ696" i="6"/>
  <c r="AY696" i="6"/>
  <c r="AX696" i="6"/>
  <c r="AW696" i="6"/>
  <c r="AV696" i="6"/>
  <c r="AU696" i="6"/>
  <c r="H696" i="6"/>
  <c r="G696" i="6"/>
  <c r="BJ695" i="6"/>
  <c r="BI695" i="6"/>
  <c r="BH695" i="6"/>
  <c r="BG695" i="6"/>
  <c r="BF695" i="6"/>
  <c r="BE695" i="6"/>
  <c r="BD695" i="6"/>
  <c r="BC695" i="6"/>
  <c r="BB695" i="6"/>
  <c r="BA695" i="6"/>
  <c r="AZ695" i="6"/>
  <c r="AY695" i="6"/>
  <c r="AX695" i="6"/>
  <c r="AW695" i="6"/>
  <c r="AV695" i="6"/>
  <c r="AU695" i="6"/>
  <c r="H695" i="6"/>
  <c r="G695" i="6"/>
  <c r="BJ694" i="6"/>
  <c r="BI694" i="6"/>
  <c r="BH694" i="6"/>
  <c r="BG694" i="6"/>
  <c r="BF694" i="6"/>
  <c r="BE694" i="6"/>
  <c r="BD694" i="6"/>
  <c r="BC694" i="6"/>
  <c r="BB694" i="6"/>
  <c r="BA694" i="6"/>
  <c r="AZ694" i="6"/>
  <c r="AY694" i="6"/>
  <c r="AX694" i="6"/>
  <c r="AW694" i="6"/>
  <c r="AV694" i="6"/>
  <c r="AU694" i="6"/>
  <c r="H694" i="6"/>
  <c r="G694" i="6"/>
  <c r="BJ693" i="6"/>
  <c r="BI693" i="6"/>
  <c r="BH693" i="6"/>
  <c r="BG693" i="6"/>
  <c r="BF693" i="6"/>
  <c r="BE693" i="6"/>
  <c r="BD693" i="6"/>
  <c r="BC693" i="6"/>
  <c r="BB693" i="6"/>
  <c r="BA693" i="6"/>
  <c r="AZ693" i="6"/>
  <c r="AY693" i="6"/>
  <c r="AX693" i="6"/>
  <c r="AW693" i="6"/>
  <c r="AV693" i="6"/>
  <c r="AU693" i="6"/>
  <c r="H693" i="6"/>
  <c r="G693" i="6"/>
  <c r="BJ692" i="6"/>
  <c r="BI692" i="6"/>
  <c r="BH692" i="6"/>
  <c r="BG692" i="6"/>
  <c r="BF692" i="6"/>
  <c r="BE692" i="6"/>
  <c r="BD692" i="6"/>
  <c r="BC692" i="6"/>
  <c r="BB692" i="6"/>
  <c r="BA692" i="6"/>
  <c r="AZ692" i="6"/>
  <c r="AY692" i="6"/>
  <c r="AX692" i="6"/>
  <c r="AW692" i="6"/>
  <c r="AV692" i="6"/>
  <c r="AU692" i="6"/>
  <c r="H692" i="6"/>
  <c r="G692" i="6"/>
  <c r="BJ691" i="6"/>
  <c r="BI691" i="6"/>
  <c r="BH691" i="6"/>
  <c r="BG691" i="6"/>
  <c r="BF691" i="6"/>
  <c r="BE691" i="6"/>
  <c r="BD691" i="6"/>
  <c r="BC691" i="6"/>
  <c r="BB691" i="6"/>
  <c r="BA691" i="6"/>
  <c r="AZ691" i="6"/>
  <c r="AY691" i="6"/>
  <c r="AX691" i="6"/>
  <c r="AW691" i="6"/>
  <c r="AV691" i="6"/>
  <c r="AU691" i="6"/>
  <c r="H691" i="6"/>
  <c r="G691" i="6"/>
  <c r="BJ690" i="6"/>
  <c r="BI690" i="6"/>
  <c r="BH690" i="6"/>
  <c r="BG690" i="6"/>
  <c r="BF690" i="6"/>
  <c r="BE690" i="6"/>
  <c r="BD690" i="6"/>
  <c r="BC690" i="6"/>
  <c r="BB690" i="6"/>
  <c r="BA690" i="6"/>
  <c r="AZ690" i="6"/>
  <c r="AY690" i="6"/>
  <c r="AX690" i="6"/>
  <c r="AW690" i="6"/>
  <c r="AV690" i="6"/>
  <c r="AU690" i="6"/>
  <c r="H690" i="6"/>
  <c r="G690" i="6"/>
  <c r="BJ689" i="6"/>
  <c r="BI689" i="6"/>
  <c r="BH689" i="6"/>
  <c r="BG689" i="6"/>
  <c r="BF689" i="6"/>
  <c r="BE689" i="6"/>
  <c r="BD689" i="6"/>
  <c r="BC689" i="6"/>
  <c r="BB689" i="6"/>
  <c r="BA689" i="6"/>
  <c r="AZ689" i="6"/>
  <c r="AY689" i="6"/>
  <c r="AX689" i="6"/>
  <c r="AW689" i="6"/>
  <c r="AV689" i="6"/>
  <c r="AU689" i="6"/>
  <c r="H689" i="6"/>
  <c r="G689" i="6"/>
  <c r="BJ688" i="6"/>
  <c r="BI688" i="6"/>
  <c r="BH688" i="6"/>
  <c r="BG688" i="6"/>
  <c r="BF688" i="6"/>
  <c r="BE688" i="6"/>
  <c r="BD688" i="6"/>
  <c r="BC688" i="6"/>
  <c r="BB688" i="6"/>
  <c r="BA688" i="6"/>
  <c r="AZ688" i="6"/>
  <c r="AY688" i="6"/>
  <c r="AX688" i="6"/>
  <c r="AW688" i="6"/>
  <c r="AV688" i="6"/>
  <c r="AU688" i="6"/>
  <c r="H688" i="6"/>
  <c r="G688" i="6"/>
  <c r="BJ687" i="6"/>
  <c r="BI687" i="6"/>
  <c r="BH687" i="6"/>
  <c r="BG687" i="6"/>
  <c r="BF687" i="6"/>
  <c r="BE687" i="6"/>
  <c r="BD687" i="6"/>
  <c r="BC687" i="6"/>
  <c r="BB687" i="6"/>
  <c r="BA687" i="6"/>
  <c r="AZ687" i="6"/>
  <c r="AY687" i="6"/>
  <c r="AX687" i="6"/>
  <c r="AW687" i="6"/>
  <c r="AV687" i="6"/>
  <c r="AU687" i="6"/>
  <c r="H687" i="6"/>
  <c r="G687" i="6"/>
  <c r="BJ686" i="6"/>
  <c r="BI686" i="6"/>
  <c r="BH686" i="6"/>
  <c r="BG686" i="6"/>
  <c r="BF686" i="6"/>
  <c r="BE686" i="6"/>
  <c r="BD686" i="6"/>
  <c r="BC686" i="6"/>
  <c r="BB686" i="6"/>
  <c r="BA686" i="6"/>
  <c r="AZ686" i="6"/>
  <c r="AY686" i="6"/>
  <c r="AX686" i="6"/>
  <c r="AW686" i="6"/>
  <c r="AV686" i="6"/>
  <c r="AU686" i="6"/>
  <c r="H686" i="6"/>
  <c r="G686" i="6"/>
  <c r="BJ685" i="6"/>
  <c r="BI685" i="6"/>
  <c r="BH685" i="6"/>
  <c r="BG685" i="6"/>
  <c r="BF685" i="6"/>
  <c r="BE685" i="6"/>
  <c r="BD685" i="6"/>
  <c r="BC685" i="6"/>
  <c r="BB685" i="6"/>
  <c r="BA685" i="6"/>
  <c r="AZ685" i="6"/>
  <c r="AY685" i="6"/>
  <c r="AX685" i="6"/>
  <c r="AW685" i="6"/>
  <c r="AV685" i="6"/>
  <c r="AU685" i="6"/>
  <c r="H685" i="6"/>
  <c r="G685" i="6"/>
  <c r="BJ684" i="6"/>
  <c r="BI684" i="6"/>
  <c r="BH684" i="6"/>
  <c r="BG684" i="6"/>
  <c r="BF684" i="6"/>
  <c r="BE684" i="6"/>
  <c r="BD684" i="6"/>
  <c r="BC684" i="6"/>
  <c r="BB684" i="6"/>
  <c r="BA684" i="6"/>
  <c r="AZ684" i="6"/>
  <c r="AY684" i="6"/>
  <c r="AX684" i="6"/>
  <c r="AW684" i="6"/>
  <c r="AV684" i="6"/>
  <c r="AU684" i="6"/>
  <c r="H684" i="6"/>
  <c r="G684" i="6"/>
  <c r="BJ683" i="6"/>
  <c r="BI683" i="6"/>
  <c r="BH683" i="6"/>
  <c r="BG683" i="6"/>
  <c r="BF683" i="6"/>
  <c r="BE683" i="6"/>
  <c r="BD683" i="6"/>
  <c r="BC683" i="6"/>
  <c r="BB683" i="6"/>
  <c r="BA683" i="6"/>
  <c r="AZ683" i="6"/>
  <c r="AY683" i="6"/>
  <c r="AX683" i="6"/>
  <c r="AW683" i="6"/>
  <c r="AV683" i="6"/>
  <c r="AU683" i="6"/>
  <c r="H683" i="6"/>
  <c r="G683" i="6"/>
  <c r="BJ682" i="6"/>
  <c r="BI682" i="6"/>
  <c r="BH682" i="6"/>
  <c r="BG682" i="6"/>
  <c r="BF682" i="6"/>
  <c r="BE682" i="6"/>
  <c r="BD682" i="6"/>
  <c r="BC682" i="6"/>
  <c r="BB682" i="6"/>
  <c r="BA682" i="6"/>
  <c r="AZ682" i="6"/>
  <c r="AY682" i="6"/>
  <c r="AX682" i="6"/>
  <c r="AW682" i="6"/>
  <c r="AV682" i="6"/>
  <c r="AU682" i="6"/>
  <c r="H682" i="6"/>
  <c r="G682" i="6"/>
  <c r="BJ681" i="6"/>
  <c r="BI681" i="6"/>
  <c r="BH681" i="6"/>
  <c r="BG681" i="6"/>
  <c r="BF681" i="6"/>
  <c r="BE681" i="6"/>
  <c r="BD681" i="6"/>
  <c r="BC681" i="6"/>
  <c r="BB681" i="6"/>
  <c r="BA681" i="6"/>
  <c r="AZ681" i="6"/>
  <c r="AY681" i="6"/>
  <c r="AX681" i="6"/>
  <c r="AW681" i="6"/>
  <c r="AV681" i="6"/>
  <c r="AU681" i="6"/>
  <c r="H681" i="6"/>
  <c r="G681" i="6"/>
  <c r="BJ680" i="6"/>
  <c r="BI680" i="6"/>
  <c r="BH680" i="6"/>
  <c r="BG680" i="6"/>
  <c r="BF680" i="6"/>
  <c r="BE680" i="6"/>
  <c r="BD680" i="6"/>
  <c r="BC680" i="6"/>
  <c r="BB680" i="6"/>
  <c r="BA680" i="6"/>
  <c r="AZ680" i="6"/>
  <c r="AY680" i="6"/>
  <c r="AX680" i="6"/>
  <c r="AW680" i="6"/>
  <c r="AV680" i="6"/>
  <c r="AU680" i="6"/>
  <c r="H680" i="6"/>
  <c r="G680" i="6"/>
  <c r="BJ679" i="6"/>
  <c r="BI679" i="6"/>
  <c r="BH679" i="6"/>
  <c r="BG679" i="6"/>
  <c r="BF679" i="6"/>
  <c r="BE679" i="6"/>
  <c r="BD679" i="6"/>
  <c r="BC679" i="6"/>
  <c r="BB679" i="6"/>
  <c r="BA679" i="6"/>
  <c r="AZ679" i="6"/>
  <c r="AY679" i="6"/>
  <c r="AX679" i="6"/>
  <c r="AW679" i="6"/>
  <c r="AV679" i="6"/>
  <c r="AU679" i="6"/>
  <c r="H679" i="6"/>
  <c r="G679" i="6"/>
  <c r="BJ678" i="6"/>
  <c r="BI678" i="6"/>
  <c r="BH678" i="6"/>
  <c r="BG678" i="6"/>
  <c r="BF678" i="6"/>
  <c r="BE678" i="6"/>
  <c r="BD678" i="6"/>
  <c r="BC678" i="6"/>
  <c r="BB678" i="6"/>
  <c r="BA678" i="6"/>
  <c r="AZ678" i="6"/>
  <c r="AY678" i="6"/>
  <c r="AX678" i="6"/>
  <c r="AW678" i="6"/>
  <c r="AV678" i="6"/>
  <c r="AU678" i="6"/>
  <c r="H678" i="6"/>
  <c r="G678" i="6"/>
  <c r="BJ677" i="6"/>
  <c r="BI677" i="6"/>
  <c r="BH677" i="6"/>
  <c r="BG677" i="6"/>
  <c r="BF677" i="6"/>
  <c r="BE677" i="6"/>
  <c r="BD677" i="6"/>
  <c r="BC677" i="6"/>
  <c r="BB677" i="6"/>
  <c r="BA677" i="6"/>
  <c r="AZ677" i="6"/>
  <c r="AY677" i="6"/>
  <c r="AX677" i="6"/>
  <c r="AW677" i="6"/>
  <c r="AV677" i="6"/>
  <c r="AU677" i="6"/>
  <c r="H677" i="6"/>
  <c r="G677" i="6"/>
  <c r="BJ676" i="6"/>
  <c r="BI676" i="6"/>
  <c r="BH676" i="6"/>
  <c r="BG676" i="6"/>
  <c r="BF676" i="6"/>
  <c r="BE676" i="6"/>
  <c r="BD676" i="6"/>
  <c r="BC676" i="6"/>
  <c r="BB676" i="6"/>
  <c r="BA676" i="6"/>
  <c r="AZ676" i="6"/>
  <c r="AY676" i="6"/>
  <c r="AX676" i="6"/>
  <c r="AW676" i="6"/>
  <c r="AV676" i="6"/>
  <c r="AU676" i="6"/>
  <c r="H676" i="6"/>
  <c r="G676" i="6"/>
  <c r="BJ675" i="6"/>
  <c r="BI675" i="6"/>
  <c r="BH675" i="6"/>
  <c r="BG675" i="6"/>
  <c r="BF675" i="6"/>
  <c r="BE675" i="6"/>
  <c r="BD675" i="6"/>
  <c r="BC675" i="6"/>
  <c r="BB675" i="6"/>
  <c r="BA675" i="6"/>
  <c r="AZ675" i="6"/>
  <c r="AY675" i="6"/>
  <c r="AX675" i="6"/>
  <c r="AW675" i="6"/>
  <c r="AV675" i="6"/>
  <c r="AU675" i="6"/>
  <c r="H675" i="6"/>
  <c r="G675" i="6"/>
  <c r="BJ674" i="6"/>
  <c r="BI674" i="6"/>
  <c r="BH674" i="6"/>
  <c r="BG674" i="6"/>
  <c r="BF674" i="6"/>
  <c r="BE674" i="6"/>
  <c r="BD674" i="6"/>
  <c r="BC674" i="6"/>
  <c r="BB674" i="6"/>
  <c r="BA674" i="6"/>
  <c r="AZ674" i="6"/>
  <c r="AY674" i="6"/>
  <c r="AX674" i="6"/>
  <c r="AW674" i="6"/>
  <c r="AV674" i="6"/>
  <c r="AU674" i="6"/>
  <c r="H674" i="6"/>
  <c r="G674" i="6"/>
  <c r="BJ673" i="6"/>
  <c r="BI673" i="6"/>
  <c r="BH673" i="6"/>
  <c r="BG673" i="6"/>
  <c r="BF673" i="6"/>
  <c r="BE673" i="6"/>
  <c r="BD673" i="6"/>
  <c r="BC673" i="6"/>
  <c r="BB673" i="6"/>
  <c r="BA673" i="6"/>
  <c r="AZ673" i="6"/>
  <c r="AY673" i="6"/>
  <c r="AX673" i="6"/>
  <c r="AW673" i="6"/>
  <c r="AV673" i="6"/>
  <c r="AU673" i="6"/>
  <c r="H673" i="6"/>
  <c r="G673" i="6"/>
  <c r="BJ672" i="6"/>
  <c r="BI672" i="6"/>
  <c r="BH672" i="6"/>
  <c r="BG672" i="6"/>
  <c r="BF672" i="6"/>
  <c r="BE672" i="6"/>
  <c r="BD672" i="6"/>
  <c r="BC672" i="6"/>
  <c r="BB672" i="6"/>
  <c r="BA672" i="6"/>
  <c r="AZ672" i="6"/>
  <c r="AY672" i="6"/>
  <c r="AX672" i="6"/>
  <c r="AW672" i="6"/>
  <c r="AV672" i="6"/>
  <c r="AU672" i="6"/>
  <c r="H672" i="6"/>
  <c r="G672" i="6"/>
  <c r="BJ671" i="6"/>
  <c r="BI671" i="6"/>
  <c r="BH671" i="6"/>
  <c r="BG671" i="6"/>
  <c r="BF671" i="6"/>
  <c r="BE671" i="6"/>
  <c r="BD671" i="6"/>
  <c r="BC671" i="6"/>
  <c r="BB671" i="6"/>
  <c r="BA671" i="6"/>
  <c r="AZ671" i="6"/>
  <c r="AY671" i="6"/>
  <c r="AX671" i="6"/>
  <c r="AW671" i="6"/>
  <c r="AV671" i="6"/>
  <c r="AU671" i="6"/>
  <c r="H671" i="6"/>
  <c r="G671" i="6"/>
  <c r="BJ670" i="6"/>
  <c r="BI670" i="6"/>
  <c r="BH670" i="6"/>
  <c r="BG670" i="6"/>
  <c r="BF670" i="6"/>
  <c r="BE670" i="6"/>
  <c r="BD670" i="6"/>
  <c r="BC670" i="6"/>
  <c r="BB670" i="6"/>
  <c r="BA670" i="6"/>
  <c r="AZ670" i="6"/>
  <c r="AY670" i="6"/>
  <c r="AX670" i="6"/>
  <c r="AW670" i="6"/>
  <c r="AV670" i="6"/>
  <c r="AU670" i="6"/>
  <c r="H670" i="6"/>
  <c r="G670" i="6"/>
  <c r="BJ669" i="6"/>
  <c r="BI669" i="6"/>
  <c r="BH669" i="6"/>
  <c r="BG669" i="6"/>
  <c r="BF669" i="6"/>
  <c r="BE669" i="6"/>
  <c r="BD669" i="6"/>
  <c r="BC669" i="6"/>
  <c r="BB669" i="6"/>
  <c r="BA669" i="6"/>
  <c r="AZ669" i="6"/>
  <c r="AY669" i="6"/>
  <c r="AX669" i="6"/>
  <c r="AW669" i="6"/>
  <c r="AV669" i="6"/>
  <c r="AU669" i="6"/>
  <c r="H669" i="6"/>
  <c r="G669" i="6"/>
  <c r="BJ668" i="6"/>
  <c r="BI668" i="6"/>
  <c r="BH668" i="6"/>
  <c r="BG668" i="6"/>
  <c r="BF668" i="6"/>
  <c r="BE668" i="6"/>
  <c r="BD668" i="6"/>
  <c r="BC668" i="6"/>
  <c r="BB668" i="6"/>
  <c r="BA668" i="6"/>
  <c r="AZ668" i="6"/>
  <c r="AY668" i="6"/>
  <c r="AX668" i="6"/>
  <c r="AW668" i="6"/>
  <c r="AV668" i="6"/>
  <c r="AU668" i="6"/>
  <c r="H668" i="6"/>
  <c r="G668" i="6"/>
  <c r="BJ667" i="6"/>
  <c r="BI667" i="6"/>
  <c r="BH667" i="6"/>
  <c r="BG667" i="6"/>
  <c r="BF667" i="6"/>
  <c r="BE667" i="6"/>
  <c r="BD667" i="6"/>
  <c r="BC667" i="6"/>
  <c r="BB667" i="6"/>
  <c r="BA667" i="6"/>
  <c r="AZ667" i="6"/>
  <c r="AY667" i="6"/>
  <c r="AX667" i="6"/>
  <c r="AW667" i="6"/>
  <c r="AV667" i="6"/>
  <c r="AU667" i="6"/>
  <c r="H667" i="6"/>
  <c r="G667" i="6"/>
  <c r="BJ666" i="6"/>
  <c r="BI666" i="6"/>
  <c r="BH666" i="6"/>
  <c r="BG666" i="6"/>
  <c r="BF666" i="6"/>
  <c r="BE666" i="6"/>
  <c r="BD666" i="6"/>
  <c r="BC666" i="6"/>
  <c r="BB666" i="6"/>
  <c r="BA666" i="6"/>
  <c r="AZ666" i="6"/>
  <c r="AY666" i="6"/>
  <c r="AX666" i="6"/>
  <c r="AW666" i="6"/>
  <c r="AV666" i="6"/>
  <c r="AU666" i="6"/>
  <c r="H666" i="6"/>
  <c r="G666" i="6"/>
  <c r="BJ665" i="6"/>
  <c r="BI665" i="6"/>
  <c r="BH665" i="6"/>
  <c r="BG665" i="6"/>
  <c r="BF665" i="6"/>
  <c r="BE665" i="6"/>
  <c r="BD665" i="6"/>
  <c r="BC665" i="6"/>
  <c r="BB665" i="6"/>
  <c r="BA665" i="6"/>
  <c r="AZ665" i="6"/>
  <c r="AY665" i="6"/>
  <c r="AX665" i="6"/>
  <c r="AW665" i="6"/>
  <c r="AV665" i="6"/>
  <c r="AU665" i="6"/>
  <c r="H665" i="6"/>
  <c r="G665" i="6"/>
  <c r="BJ664" i="6"/>
  <c r="BI664" i="6"/>
  <c r="BH664" i="6"/>
  <c r="BG664" i="6"/>
  <c r="BF664" i="6"/>
  <c r="BE664" i="6"/>
  <c r="BD664" i="6"/>
  <c r="BC664" i="6"/>
  <c r="BB664" i="6"/>
  <c r="BA664" i="6"/>
  <c r="AZ664" i="6"/>
  <c r="AY664" i="6"/>
  <c r="AX664" i="6"/>
  <c r="AW664" i="6"/>
  <c r="AV664" i="6"/>
  <c r="AU664" i="6"/>
  <c r="H664" i="6"/>
  <c r="G664" i="6"/>
  <c r="BJ663" i="6"/>
  <c r="BI663" i="6"/>
  <c r="BH663" i="6"/>
  <c r="BG663" i="6"/>
  <c r="BF663" i="6"/>
  <c r="BE663" i="6"/>
  <c r="BD663" i="6"/>
  <c r="BC663" i="6"/>
  <c r="BB663" i="6"/>
  <c r="BA663" i="6"/>
  <c r="AZ663" i="6"/>
  <c r="AY663" i="6"/>
  <c r="AX663" i="6"/>
  <c r="AW663" i="6"/>
  <c r="AV663" i="6"/>
  <c r="AU663" i="6"/>
  <c r="H663" i="6"/>
  <c r="G663" i="6"/>
  <c r="BJ662" i="6"/>
  <c r="BI662" i="6"/>
  <c r="BH662" i="6"/>
  <c r="BG662" i="6"/>
  <c r="BF662" i="6"/>
  <c r="BE662" i="6"/>
  <c r="BD662" i="6"/>
  <c r="BC662" i="6"/>
  <c r="BB662" i="6"/>
  <c r="BA662" i="6"/>
  <c r="AZ662" i="6"/>
  <c r="AY662" i="6"/>
  <c r="AX662" i="6"/>
  <c r="AW662" i="6"/>
  <c r="AV662" i="6"/>
  <c r="AU662" i="6"/>
  <c r="H662" i="6"/>
  <c r="G662" i="6"/>
  <c r="BJ661" i="6"/>
  <c r="BI661" i="6"/>
  <c r="BH661" i="6"/>
  <c r="BG661" i="6"/>
  <c r="BF661" i="6"/>
  <c r="BE661" i="6"/>
  <c r="BD661" i="6"/>
  <c r="BC661" i="6"/>
  <c r="BB661" i="6"/>
  <c r="BA661" i="6"/>
  <c r="AZ661" i="6"/>
  <c r="AY661" i="6"/>
  <c r="AX661" i="6"/>
  <c r="AW661" i="6"/>
  <c r="AV661" i="6"/>
  <c r="AU661" i="6"/>
  <c r="H661" i="6"/>
  <c r="G661" i="6"/>
  <c r="BJ660" i="6"/>
  <c r="BI660" i="6"/>
  <c r="BH660" i="6"/>
  <c r="BG660" i="6"/>
  <c r="BF660" i="6"/>
  <c r="BE660" i="6"/>
  <c r="BD660" i="6"/>
  <c r="BC660" i="6"/>
  <c r="BB660" i="6"/>
  <c r="BA660" i="6"/>
  <c r="AZ660" i="6"/>
  <c r="AY660" i="6"/>
  <c r="AX660" i="6"/>
  <c r="AW660" i="6"/>
  <c r="AV660" i="6"/>
  <c r="AU660" i="6"/>
  <c r="H660" i="6"/>
  <c r="G660" i="6"/>
  <c r="BJ659" i="6"/>
  <c r="BI659" i="6"/>
  <c r="BH659" i="6"/>
  <c r="BG659" i="6"/>
  <c r="BF659" i="6"/>
  <c r="BE659" i="6"/>
  <c r="BD659" i="6"/>
  <c r="BC659" i="6"/>
  <c r="BB659" i="6"/>
  <c r="BA659" i="6"/>
  <c r="AZ659" i="6"/>
  <c r="AY659" i="6"/>
  <c r="AX659" i="6"/>
  <c r="AW659" i="6"/>
  <c r="AV659" i="6"/>
  <c r="AU659" i="6"/>
  <c r="H659" i="6"/>
  <c r="G659" i="6"/>
  <c r="BJ658" i="6"/>
  <c r="BI658" i="6"/>
  <c r="BH658" i="6"/>
  <c r="BG658" i="6"/>
  <c r="BF658" i="6"/>
  <c r="BE658" i="6"/>
  <c r="BD658" i="6"/>
  <c r="BC658" i="6"/>
  <c r="BB658" i="6"/>
  <c r="BA658" i="6"/>
  <c r="AZ658" i="6"/>
  <c r="AY658" i="6"/>
  <c r="AX658" i="6"/>
  <c r="AW658" i="6"/>
  <c r="AV658" i="6"/>
  <c r="AU658" i="6"/>
  <c r="H658" i="6"/>
  <c r="G658" i="6"/>
  <c r="BJ657" i="6"/>
  <c r="BI657" i="6"/>
  <c r="BH657" i="6"/>
  <c r="BG657" i="6"/>
  <c r="BF657" i="6"/>
  <c r="BE657" i="6"/>
  <c r="BD657" i="6"/>
  <c r="BC657" i="6"/>
  <c r="BB657" i="6"/>
  <c r="BA657" i="6"/>
  <c r="AZ657" i="6"/>
  <c r="AY657" i="6"/>
  <c r="AX657" i="6"/>
  <c r="AW657" i="6"/>
  <c r="AV657" i="6"/>
  <c r="AU657" i="6"/>
  <c r="H657" i="6"/>
  <c r="G657" i="6"/>
  <c r="BJ656" i="6"/>
  <c r="BI656" i="6"/>
  <c r="BH656" i="6"/>
  <c r="BG656" i="6"/>
  <c r="BF656" i="6"/>
  <c r="BE656" i="6"/>
  <c r="BD656" i="6"/>
  <c r="BC656" i="6"/>
  <c r="BB656" i="6"/>
  <c r="BA656" i="6"/>
  <c r="AZ656" i="6"/>
  <c r="AY656" i="6"/>
  <c r="AX656" i="6"/>
  <c r="AW656" i="6"/>
  <c r="AV656" i="6"/>
  <c r="AU656" i="6"/>
  <c r="H656" i="6"/>
  <c r="G656" i="6"/>
  <c r="BJ655" i="6"/>
  <c r="BI655" i="6"/>
  <c r="BH655" i="6"/>
  <c r="BG655" i="6"/>
  <c r="BF655" i="6"/>
  <c r="BE655" i="6"/>
  <c r="BD655" i="6"/>
  <c r="BC655" i="6"/>
  <c r="BB655" i="6"/>
  <c r="BA655" i="6"/>
  <c r="AZ655" i="6"/>
  <c r="AY655" i="6"/>
  <c r="AX655" i="6"/>
  <c r="AW655" i="6"/>
  <c r="AV655" i="6"/>
  <c r="AU655" i="6"/>
  <c r="H655" i="6"/>
  <c r="G655" i="6"/>
  <c r="BJ654" i="6"/>
  <c r="BI654" i="6"/>
  <c r="BH654" i="6"/>
  <c r="BG654" i="6"/>
  <c r="BF654" i="6"/>
  <c r="BE654" i="6"/>
  <c r="BD654" i="6"/>
  <c r="BC654" i="6"/>
  <c r="BB654" i="6"/>
  <c r="BA654" i="6"/>
  <c r="AZ654" i="6"/>
  <c r="AY654" i="6"/>
  <c r="AX654" i="6"/>
  <c r="AW654" i="6"/>
  <c r="AV654" i="6"/>
  <c r="AU654" i="6"/>
  <c r="H654" i="6"/>
  <c r="G654" i="6"/>
  <c r="BJ653" i="6"/>
  <c r="BI653" i="6"/>
  <c r="BH653" i="6"/>
  <c r="BG653" i="6"/>
  <c r="BF653" i="6"/>
  <c r="BE653" i="6"/>
  <c r="BD653" i="6"/>
  <c r="BC653" i="6"/>
  <c r="BB653" i="6"/>
  <c r="BA653" i="6"/>
  <c r="AZ653" i="6"/>
  <c r="AY653" i="6"/>
  <c r="AX653" i="6"/>
  <c r="AW653" i="6"/>
  <c r="AV653" i="6"/>
  <c r="AU653" i="6"/>
  <c r="H653" i="6"/>
  <c r="G653" i="6"/>
  <c r="BJ652" i="6"/>
  <c r="BI652" i="6"/>
  <c r="BH652" i="6"/>
  <c r="BG652" i="6"/>
  <c r="BF652" i="6"/>
  <c r="BE652" i="6"/>
  <c r="BD652" i="6"/>
  <c r="BC652" i="6"/>
  <c r="BB652" i="6"/>
  <c r="BA652" i="6"/>
  <c r="AZ652" i="6"/>
  <c r="AY652" i="6"/>
  <c r="AX652" i="6"/>
  <c r="AW652" i="6"/>
  <c r="AV652" i="6"/>
  <c r="AU652" i="6"/>
  <c r="H652" i="6"/>
  <c r="G652" i="6"/>
  <c r="BJ651" i="6"/>
  <c r="BI651" i="6"/>
  <c r="BH651" i="6"/>
  <c r="BG651" i="6"/>
  <c r="BF651" i="6"/>
  <c r="BE651" i="6"/>
  <c r="BD651" i="6"/>
  <c r="BC651" i="6"/>
  <c r="BB651" i="6"/>
  <c r="BA651" i="6"/>
  <c r="AZ651" i="6"/>
  <c r="AY651" i="6"/>
  <c r="AX651" i="6"/>
  <c r="AW651" i="6"/>
  <c r="AV651" i="6"/>
  <c r="AU651" i="6"/>
  <c r="H651" i="6"/>
  <c r="G651" i="6"/>
  <c r="BJ650" i="6"/>
  <c r="BI650" i="6"/>
  <c r="BH650" i="6"/>
  <c r="BG650" i="6"/>
  <c r="BF650" i="6"/>
  <c r="BE650" i="6"/>
  <c r="BD650" i="6"/>
  <c r="BC650" i="6"/>
  <c r="BB650" i="6"/>
  <c r="BA650" i="6"/>
  <c r="AZ650" i="6"/>
  <c r="AY650" i="6"/>
  <c r="AX650" i="6"/>
  <c r="AW650" i="6"/>
  <c r="AV650" i="6"/>
  <c r="AU650" i="6"/>
  <c r="H650" i="6"/>
  <c r="G650" i="6"/>
  <c r="BJ649" i="6"/>
  <c r="BI649" i="6"/>
  <c r="BH649" i="6"/>
  <c r="BG649" i="6"/>
  <c r="BF649" i="6"/>
  <c r="BE649" i="6"/>
  <c r="BD649" i="6"/>
  <c r="BC649" i="6"/>
  <c r="BB649" i="6"/>
  <c r="BA649" i="6"/>
  <c r="AZ649" i="6"/>
  <c r="AY649" i="6"/>
  <c r="AX649" i="6"/>
  <c r="AW649" i="6"/>
  <c r="AV649" i="6"/>
  <c r="AU649" i="6"/>
  <c r="H649" i="6"/>
  <c r="G649" i="6"/>
  <c r="BJ648" i="6"/>
  <c r="BI648" i="6"/>
  <c r="BH648" i="6"/>
  <c r="BG648" i="6"/>
  <c r="BF648" i="6"/>
  <c r="BE648" i="6"/>
  <c r="BD648" i="6"/>
  <c r="BC648" i="6"/>
  <c r="BB648" i="6"/>
  <c r="BA648" i="6"/>
  <c r="AZ648" i="6"/>
  <c r="AY648" i="6"/>
  <c r="AX648" i="6"/>
  <c r="AW648" i="6"/>
  <c r="AV648" i="6"/>
  <c r="AU648" i="6"/>
  <c r="H648" i="6"/>
  <c r="G648" i="6"/>
  <c r="BJ647" i="6"/>
  <c r="BI647" i="6"/>
  <c r="BH647" i="6"/>
  <c r="BG647" i="6"/>
  <c r="BF647" i="6"/>
  <c r="BE647" i="6"/>
  <c r="BD647" i="6"/>
  <c r="BC647" i="6"/>
  <c r="BB647" i="6"/>
  <c r="BA647" i="6"/>
  <c r="AZ647" i="6"/>
  <c r="AY647" i="6"/>
  <c r="AX647" i="6"/>
  <c r="AW647" i="6"/>
  <c r="AV647" i="6"/>
  <c r="AU647" i="6"/>
  <c r="H647" i="6"/>
  <c r="G647" i="6"/>
  <c r="BJ646" i="6"/>
  <c r="BI646" i="6"/>
  <c r="BH646" i="6"/>
  <c r="BG646" i="6"/>
  <c r="BF646" i="6"/>
  <c r="BE646" i="6"/>
  <c r="BD646" i="6"/>
  <c r="BC646" i="6"/>
  <c r="BB646" i="6"/>
  <c r="BA646" i="6"/>
  <c r="AZ646" i="6"/>
  <c r="AY646" i="6"/>
  <c r="AX646" i="6"/>
  <c r="AW646" i="6"/>
  <c r="AV646" i="6"/>
  <c r="AU646" i="6"/>
  <c r="H646" i="6"/>
  <c r="G646" i="6"/>
  <c r="BJ645" i="6"/>
  <c r="BI645" i="6"/>
  <c r="BH645" i="6"/>
  <c r="BG645" i="6"/>
  <c r="BF645" i="6"/>
  <c r="BE645" i="6"/>
  <c r="BD645" i="6"/>
  <c r="BC645" i="6"/>
  <c r="BB645" i="6"/>
  <c r="BA645" i="6"/>
  <c r="AZ645" i="6"/>
  <c r="AY645" i="6"/>
  <c r="AX645" i="6"/>
  <c r="AW645" i="6"/>
  <c r="AV645" i="6"/>
  <c r="AU645" i="6"/>
  <c r="H645" i="6"/>
  <c r="G645" i="6"/>
  <c r="BJ644" i="6"/>
  <c r="BI644" i="6"/>
  <c r="BH644" i="6"/>
  <c r="BG644" i="6"/>
  <c r="BF644" i="6"/>
  <c r="BE644" i="6"/>
  <c r="BD644" i="6"/>
  <c r="BC644" i="6"/>
  <c r="BB644" i="6"/>
  <c r="BA644" i="6"/>
  <c r="AZ644" i="6"/>
  <c r="AY644" i="6"/>
  <c r="AX644" i="6"/>
  <c r="AW644" i="6"/>
  <c r="AV644" i="6"/>
  <c r="AU644" i="6"/>
  <c r="H644" i="6"/>
  <c r="G644" i="6"/>
  <c r="BJ643" i="6"/>
  <c r="BI643" i="6"/>
  <c r="BH643" i="6"/>
  <c r="BG643" i="6"/>
  <c r="BF643" i="6"/>
  <c r="BE643" i="6"/>
  <c r="BD643" i="6"/>
  <c r="BC643" i="6"/>
  <c r="BB643" i="6"/>
  <c r="BA643" i="6"/>
  <c r="AZ643" i="6"/>
  <c r="AY643" i="6"/>
  <c r="AX643" i="6"/>
  <c r="AW643" i="6"/>
  <c r="AV643" i="6"/>
  <c r="AU643" i="6"/>
  <c r="H643" i="6"/>
  <c r="G643" i="6"/>
  <c r="BJ642" i="6"/>
  <c r="BI642" i="6"/>
  <c r="BH642" i="6"/>
  <c r="BG642" i="6"/>
  <c r="BF642" i="6"/>
  <c r="BE642" i="6"/>
  <c r="BD642" i="6"/>
  <c r="BC642" i="6"/>
  <c r="BB642" i="6"/>
  <c r="BA642" i="6"/>
  <c r="AZ642" i="6"/>
  <c r="AY642" i="6"/>
  <c r="AX642" i="6"/>
  <c r="AW642" i="6"/>
  <c r="AV642" i="6"/>
  <c r="AU642" i="6"/>
  <c r="H642" i="6"/>
  <c r="G642" i="6"/>
  <c r="BJ641" i="6"/>
  <c r="BI641" i="6"/>
  <c r="BH641" i="6"/>
  <c r="BG641" i="6"/>
  <c r="BF641" i="6"/>
  <c r="BE641" i="6"/>
  <c r="BD641" i="6"/>
  <c r="BC641" i="6"/>
  <c r="BB641" i="6"/>
  <c r="BA641" i="6"/>
  <c r="AZ641" i="6"/>
  <c r="AY641" i="6"/>
  <c r="AX641" i="6"/>
  <c r="AW641" i="6"/>
  <c r="AV641" i="6"/>
  <c r="AU641" i="6"/>
  <c r="H641" i="6"/>
  <c r="G641" i="6"/>
  <c r="BJ640" i="6"/>
  <c r="BI640" i="6"/>
  <c r="BH640" i="6"/>
  <c r="BG640" i="6"/>
  <c r="BF640" i="6"/>
  <c r="BE640" i="6"/>
  <c r="BD640" i="6"/>
  <c r="BC640" i="6"/>
  <c r="BB640" i="6"/>
  <c r="BA640" i="6"/>
  <c r="AZ640" i="6"/>
  <c r="AY640" i="6"/>
  <c r="AX640" i="6"/>
  <c r="AW640" i="6"/>
  <c r="AV640" i="6"/>
  <c r="AU640" i="6"/>
  <c r="H640" i="6"/>
  <c r="G640" i="6"/>
  <c r="BJ639" i="6"/>
  <c r="BI639" i="6"/>
  <c r="BH639" i="6"/>
  <c r="BG639" i="6"/>
  <c r="BF639" i="6"/>
  <c r="BE639" i="6"/>
  <c r="BD639" i="6"/>
  <c r="BC639" i="6"/>
  <c r="BB639" i="6"/>
  <c r="BA639" i="6"/>
  <c r="AZ639" i="6"/>
  <c r="AY639" i="6"/>
  <c r="AX639" i="6"/>
  <c r="AW639" i="6"/>
  <c r="AV639" i="6"/>
  <c r="AU639" i="6"/>
  <c r="H639" i="6"/>
  <c r="G639" i="6"/>
  <c r="BJ638" i="6"/>
  <c r="BI638" i="6"/>
  <c r="BH638" i="6"/>
  <c r="BG638" i="6"/>
  <c r="BF638" i="6"/>
  <c r="BE638" i="6"/>
  <c r="BD638" i="6"/>
  <c r="BC638" i="6"/>
  <c r="BB638" i="6"/>
  <c r="BA638" i="6"/>
  <c r="AZ638" i="6"/>
  <c r="AY638" i="6"/>
  <c r="AX638" i="6"/>
  <c r="AW638" i="6"/>
  <c r="AV638" i="6"/>
  <c r="AU638" i="6"/>
  <c r="H638" i="6"/>
  <c r="G638" i="6"/>
  <c r="BJ637" i="6"/>
  <c r="BI637" i="6"/>
  <c r="BH637" i="6"/>
  <c r="BG637" i="6"/>
  <c r="BF637" i="6"/>
  <c r="BE637" i="6"/>
  <c r="BD637" i="6"/>
  <c r="BC637" i="6"/>
  <c r="BB637" i="6"/>
  <c r="BA637" i="6"/>
  <c r="AZ637" i="6"/>
  <c r="AY637" i="6"/>
  <c r="AX637" i="6"/>
  <c r="AW637" i="6"/>
  <c r="AV637" i="6"/>
  <c r="AU637" i="6"/>
  <c r="H637" i="6"/>
  <c r="G637" i="6"/>
  <c r="BJ636" i="6"/>
  <c r="BI636" i="6"/>
  <c r="BH636" i="6"/>
  <c r="BG636" i="6"/>
  <c r="BF636" i="6"/>
  <c r="BE636" i="6"/>
  <c r="BD636" i="6"/>
  <c r="BC636" i="6"/>
  <c r="BB636" i="6"/>
  <c r="BA636" i="6"/>
  <c r="AZ636" i="6"/>
  <c r="AY636" i="6"/>
  <c r="AX636" i="6"/>
  <c r="AW636" i="6"/>
  <c r="AV636" i="6"/>
  <c r="AU636" i="6"/>
  <c r="H636" i="6"/>
  <c r="G636" i="6"/>
  <c r="BJ635" i="6"/>
  <c r="BI635" i="6"/>
  <c r="BH635" i="6"/>
  <c r="BG635" i="6"/>
  <c r="BF635" i="6"/>
  <c r="BE635" i="6"/>
  <c r="BD635" i="6"/>
  <c r="BC635" i="6"/>
  <c r="BB635" i="6"/>
  <c r="BA635" i="6"/>
  <c r="AZ635" i="6"/>
  <c r="AY635" i="6"/>
  <c r="AX635" i="6"/>
  <c r="AW635" i="6"/>
  <c r="AV635" i="6"/>
  <c r="AU635" i="6"/>
  <c r="H635" i="6"/>
  <c r="G635" i="6"/>
  <c r="BJ634" i="6"/>
  <c r="BI634" i="6"/>
  <c r="BH634" i="6"/>
  <c r="BG634" i="6"/>
  <c r="BF634" i="6"/>
  <c r="BE634" i="6"/>
  <c r="BD634" i="6"/>
  <c r="BC634" i="6"/>
  <c r="BB634" i="6"/>
  <c r="BA634" i="6"/>
  <c r="AZ634" i="6"/>
  <c r="AY634" i="6"/>
  <c r="AX634" i="6"/>
  <c r="AW634" i="6"/>
  <c r="AV634" i="6"/>
  <c r="AU634" i="6"/>
  <c r="H634" i="6"/>
  <c r="G634" i="6"/>
  <c r="BJ633" i="6"/>
  <c r="BI633" i="6"/>
  <c r="BH633" i="6"/>
  <c r="BG633" i="6"/>
  <c r="BF633" i="6"/>
  <c r="BE633" i="6"/>
  <c r="BD633" i="6"/>
  <c r="BC633" i="6"/>
  <c r="BB633" i="6"/>
  <c r="BA633" i="6"/>
  <c r="AZ633" i="6"/>
  <c r="AY633" i="6"/>
  <c r="AX633" i="6"/>
  <c r="AW633" i="6"/>
  <c r="AV633" i="6"/>
  <c r="AU633" i="6"/>
  <c r="H633" i="6"/>
  <c r="G633" i="6"/>
  <c r="BJ632" i="6"/>
  <c r="BI632" i="6"/>
  <c r="BH632" i="6"/>
  <c r="BG632" i="6"/>
  <c r="BF632" i="6"/>
  <c r="BE632" i="6"/>
  <c r="BD632" i="6"/>
  <c r="BC632" i="6"/>
  <c r="BB632" i="6"/>
  <c r="BA632" i="6"/>
  <c r="AZ632" i="6"/>
  <c r="AY632" i="6"/>
  <c r="AX632" i="6"/>
  <c r="AW632" i="6"/>
  <c r="AV632" i="6"/>
  <c r="AU632" i="6"/>
  <c r="H632" i="6"/>
  <c r="G632" i="6"/>
  <c r="BJ631" i="6"/>
  <c r="BI631" i="6"/>
  <c r="BH631" i="6"/>
  <c r="BG631" i="6"/>
  <c r="BF631" i="6"/>
  <c r="BE631" i="6"/>
  <c r="BD631" i="6"/>
  <c r="BC631" i="6"/>
  <c r="BB631" i="6"/>
  <c r="BA631" i="6"/>
  <c r="AZ631" i="6"/>
  <c r="AY631" i="6"/>
  <c r="AX631" i="6"/>
  <c r="AW631" i="6"/>
  <c r="AV631" i="6"/>
  <c r="AU631" i="6"/>
  <c r="H631" i="6"/>
  <c r="G631" i="6"/>
  <c r="BJ630" i="6"/>
  <c r="BI630" i="6"/>
  <c r="BH630" i="6"/>
  <c r="BG630" i="6"/>
  <c r="BF630" i="6"/>
  <c r="BE630" i="6"/>
  <c r="BD630" i="6"/>
  <c r="BC630" i="6"/>
  <c r="BB630" i="6"/>
  <c r="BA630" i="6"/>
  <c r="AZ630" i="6"/>
  <c r="AY630" i="6"/>
  <c r="AX630" i="6"/>
  <c r="AW630" i="6"/>
  <c r="AV630" i="6"/>
  <c r="AU630" i="6"/>
  <c r="H630" i="6"/>
  <c r="G630" i="6"/>
  <c r="BJ629" i="6"/>
  <c r="BI629" i="6"/>
  <c r="BH629" i="6"/>
  <c r="BG629" i="6"/>
  <c r="BF629" i="6"/>
  <c r="BE629" i="6"/>
  <c r="BD629" i="6"/>
  <c r="BC629" i="6"/>
  <c r="BB629" i="6"/>
  <c r="BA629" i="6"/>
  <c r="AZ629" i="6"/>
  <c r="AY629" i="6"/>
  <c r="AX629" i="6"/>
  <c r="AW629" i="6"/>
  <c r="AV629" i="6"/>
  <c r="AU629" i="6"/>
  <c r="H629" i="6"/>
  <c r="G629" i="6"/>
  <c r="BJ628" i="6"/>
  <c r="BI628" i="6"/>
  <c r="BH628" i="6"/>
  <c r="BG628" i="6"/>
  <c r="BF628" i="6"/>
  <c r="BE628" i="6"/>
  <c r="BD628" i="6"/>
  <c r="BC628" i="6"/>
  <c r="BB628" i="6"/>
  <c r="BA628" i="6"/>
  <c r="AZ628" i="6"/>
  <c r="AY628" i="6"/>
  <c r="AX628" i="6"/>
  <c r="AW628" i="6"/>
  <c r="AV628" i="6"/>
  <c r="AU628" i="6"/>
  <c r="H628" i="6"/>
  <c r="G628" i="6"/>
  <c r="BJ627" i="6"/>
  <c r="BI627" i="6"/>
  <c r="BH627" i="6"/>
  <c r="BG627" i="6"/>
  <c r="BF627" i="6"/>
  <c r="BE627" i="6"/>
  <c r="BD627" i="6"/>
  <c r="BC627" i="6"/>
  <c r="BB627" i="6"/>
  <c r="BA627" i="6"/>
  <c r="AZ627" i="6"/>
  <c r="AY627" i="6"/>
  <c r="AX627" i="6"/>
  <c r="AW627" i="6"/>
  <c r="AV627" i="6"/>
  <c r="AU627" i="6"/>
  <c r="H627" i="6"/>
  <c r="G627" i="6"/>
  <c r="BJ626" i="6"/>
  <c r="BI626" i="6"/>
  <c r="BH626" i="6"/>
  <c r="BG626" i="6"/>
  <c r="BF626" i="6"/>
  <c r="BE626" i="6"/>
  <c r="BD626" i="6"/>
  <c r="BC626" i="6"/>
  <c r="BB626" i="6"/>
  <c r="BA626" i="6"/>
  <c r="AZ626" i="6"/>
  <c r="AY626" i="6"/>
  <c r="AX626" i="6"/>
  <c r="AW626" i="6"/>
  <c r="AV626" i="6"/>
  <c r="AU626" i="6"/>
  <c r="H626" i="6"/>
  <c r="G626" i="6"/>
  <c r="BJ625" i="6"/>
  <c r="BI625" i="6"/>
  <c r="BH625" i="6"/>
  <c r="BG625" i="6"/>
  <c r="BF625" i="6"/>
  <c r="BE625" i="6"/>
  <c r="BD625" i="6"/>
  <c r="BC625" i="6"/>
  <c r="BB625" i="6"/>
  <c r="BA625" i="6"/>
  <c r="AZ625" i="6"/>
  <c r="AY625" i="6"/>
  <c r="AX625" i="6"/>
  <c r="AW625" i="6"/>
  <c r="AV625" i="6"/>
  <c r="AU625" i="6"/>
  <c r="H625" i="6"/>
  <c r="G625" i="6"/>
  <c r="BJ624" i="6"/>
  <c r="BI624" i="6"/>
  <c r="BH624" i="6"/>
  <c r="BG624" i="6"/>
  <c r="BF624" i="6"/>
  <c r="BE624" i="6"/>
  <c r="BD624" i="6"/>
  <c r="BC624" i="6"/>
  <c r="BB624" i="6"/>
  <c r="BA624" i="6"/>
  <c r="AZ624" i="6"/>
  <c r="AY624" i="6"/>
  <c r="AX624" i="6"/>
  <c r="AW624" i="6"/>
  <c r="AV624" i="6"/>
  <c r="AU624" i="6"/>
  <c r="H624" i="6"/>
  <c r="G624" i="6"/>
  <c r="BJ623" i="6"/>
  <c r="BI623" i="6"/>
  <c r="BH623" i="6"/>
  <c r="BG623" i="6"/>
  <c r="BF623" i="6"/>
  <c r="BE623" i="6"/>
  <c r="BD623" i="6"/>
  <c r="BC623" i="6"/>
  <c r="BB623" i="6"/>
  <c r="BA623" i="6"/>
  <c r="AZ623" i="6"/>
  <c r="AY623" i="6"/>
  <c r="AX623" i="6"/>
  <c r="AW623" i="6"/>
  <c r="AV623" i="6"/>
  <c r="AU623" i="6"/>
  <c r="H623" i="6"/>
  <c r="G623" i="6"/>
  <c r="BJ622" i="6"/>
  <c r="BI622" i="6"/>
  <c r="BH622" i="6"/>
  <c r="BG622" i="6"/>
  <c r="BF622" i="6"/>
  <c r="BE622" i="6"/>
  <c r="BD622" i="6"/>
  <c r="BC622" i="6"/>
  <c r="BB622" i="6"/>
  <c r="BA622" i="6"/>
  <c r="AZ622" i="6"/>
  <c r="AY622" i="6"/>
  <c r="AX622" i="6"/>
  <c r="AW622" i="6"/>
  <c r="AV622" i="6"/>
  <c r="AU622" i="6"/>
  <c r="H622" i="6"/>
  <c r="G622" i="6"/>
  <c r="BJ621" i="6"/>
  <c r="BI621" i="6"/>
  <c r="BH621" i="6"/>
  <c r="BG621" i="6"/>
  <c r="BF621" i="6"/>
  <c r="BE621" i="6"/>
  <c r="BD621" i="6"/>
  <c r="BC621" i="6"/>
  <c r="BB621" i="6"/>
  <c r="BA621" i="6"/>
  <c r="AZ621" i="6"/>
  <c r="AY621" i="6"/>
  <c r="AX621" i="6"/>
  <c r="AW621" i="6"/>
  <c r="AV621" i="6"/>
  <c r="AU621" i="6"/>
  <c r="H621" i="6"/>
  <c r="G621" i="6"/>
  <c r="BJ620" i="6"/>
  <c r="BI620" i="6"/>
  <c r="BH620" i="6"/>
  <c r="BG620" i="6"/>
  <c r="BF620" i="6"/>
  <c r="BE620" i="6"/>
  <c r="BD620" i="6"/>
  <c r="BC620" i="6"/>
  <c r="BB620" i="6"/>
  <c r="BA620" i="6"/>
  <c r="AZ620" i="6"/>
  <c r="AY620" i="6"/>
  <c r="AX620" i="6"/>
  <c r="AW620" i="6"/>
  <c r="AV620" i="6"/>
  <c r="AU620" i="6"/>
  <c r="H620" i="6"/>
  <c r="G620" i="6"/>
  <c r="BJ619" i="6"/>
  <c r="BI619" i="6"/>
  <c r="BH619" i="6"/>
  <c r="BG619" i="6"/>
  <c r="BF619" i="6"/>
  <c r="BE619" i="6"/>
  <c r="BD619" i="6"/>
  <c r="BC619" i="6"/>
  <c r="BB619" i="6"/>
  <c r="BA619" i="6"/>
  <c r="AZ619" i="6"/>
  <c r="AY619" i="6"/>
  <c r="AX619" i="6"/>
  <c r="AW619" i="6"/>
  <c r="AV619" i="6"/>
  <c r="AU619" i="6"/>
  <c r="H619" i="6"/>
  <c r="G619" i="6"/>
  <c r="BJ618" i="6"/>
  <c r="BI618" i="6"/>
  <c r="BH618" i="6"/>
  <c r="BG618" i="6"/>
  <c r="BF618" i="6"/>
  <c r="BE618" i="6"/>
  <c r="BD618" i="6"/>
  <c r="BC618" i="6"/>
  <c r="BB618" i="6"/>
  <c r="BA618" i="6"/>
  <c r="AZ618" i="6"/>
  <c r="AY618" i="6"/>
  <c r="AX618" i="6"/>
  <c r="AW618" i="6"/>
  <c r="AV618" i="6"/>
  <c r="AU618" i="6"/>
  <c r="H618" i="6"/>
  <c r="G618" i="6"/>
  <c r="BJ617" i="6"/>
  <c r="BI617" i="6"/>
  <c r="BH617" i="6"/>
  <c r="BG617" i="6"/>
  <c r="BF617" i="6"/>
  <c r="BE617" i="6"/>
  <c r="BD617" i="6"/>
  <c r="BC617" i="6"/>
  <c r="BB617" i="6"/>
  <c r="BA617" i="6"/>
  <c r="AZ617" i="6"/>
  <c r="AY617" i="6"/>
  <c r="AX617" i="6"/>
  <c r="AW617" i="6"/>
  <c r="AV617" i="6"/>
  <c r="AU617" i="6"/>
  <c r="H617" i="6"/>
  <c r="G617" i="6"/>
  <c r="BJ616" i="6"/>
  <c r="BI616" i="6"/>
  <c r="BH616" i="6"/>
  <c r="BG616" i="6"/>
  <c r="BF616" i="6"/>
  <c r="BE616" i="6"/>
  <c r="BD616" i="6"/>
  <c r="BC616" i="6"/>
  <c r="BB616" i="6"/>
  <c r="BA616" i="6"/>
  <c r="AZ616" i="6"/>
  <c r="AY616" i="6"/>
  <c r="AX616" i="6"/>
  <c r="AW616" i="6"/>
  <c r="AV616" i="6"/>
  <c r="AU616" i="6"/>
  <c r="H616" i="6"/>
  <c r="G616" i="6"/>
  <c r="BJ615" i="6"/>
  <c r="BI615" i="6"/>
  <c r="BH615" i="6"/>
  <c r="BG615" i="6"/>
  <c r="BF615" i="6"/>
  <c r="BE615" i="6"/>
  <c r="BD615" i="6"/>
  <c r="BC615" i="6"/>
  <c r="BB615" i="6"/>
  <c r="BA615" i="6"/>
  <c r="AZ615" i="6"/>
  <c r="AY615" i="6"/>
  <c r="AX615" i="6"/>
  <c r="AW615" i="6"/>
  <c r="AV615" i="6"/>
  <c r="AU615" i="6"/>
  <c r="H615" i="6"/>
  <c r="G615" i="6"/>
  <c r="BJ614" i="6"/>
  <c r="BI614" i="6"/>
  <c r="BH614" i="6"/>
  <c r="BG614" i="6"/>
  <c r="BF614" i="6"/>
  <c r="BE614" i="6"/>
  <c r="BD614" i="6"/>
  <c r="BC614" i="6"/>
  <c r="BB614" i="6"/>
  <c r="BA614" i="6"/>
  <c r="AZ614" i="6"/>
  <c r="AY614" i="6"/>
  <c r="AX614" i="6"/>
  <c r="AW614" i="6"/>
  <c r="AV614" i="6"/>
  <c r="AU614" i="6"/>
  <c r="H614" i="6"/>
  <c r="G614" i="6"/>
  <c r="BJ613" i="6"/>
  <c r="BI613" i="6"/>
  <c r="BH613" i="6"/>
  <c r="BG613" i="6"/>
  <c r="BF613" i="6"/>
  <c r="BE613" i="6"/>
  <c r="BD613" i="6"/>
  <c r="BC613" i="6"/>
  <c r="BB613" i="6"/>
  <c r="BA613" i="6"/>
  <c r="AZ613" i="6"/>
  <c r="AY613" i="6"/>
  <c r="AX613" i="6"/>
  <c r="AW613" i="6"/>
  <c r="AV613" i="6"/>
  <c r="AU613" i="6"/>
  <c r="H613" i="6"/>
  <c r="G613" i="6"/>
  <c r="BJ612" i="6"/>
  <c r="BI612" i="6"/>
  <c r="BH612" i="6"/>
  <c r="BG612" i="6"/>
  <c r="BF612" i="6"/>
  <c r="BE612" i="6"/>
  <c r="BD612" i="6"/>
  <c r="BC612" i="6"/>
  <c r="BB612" i="6"/>
  <c r="BA612" i="6"/>
  <c r="AZ612" i="6"/>
  <c r="AY612" i="6"/>
  <c r="AX612" i="6"/>
  <c r="AW612" i="6"/>
  <c r="AV612" i="6"/>
  <c r="AU612" i="6"/>
  <c r="H612" i="6"/>
  <c r="G612" i="6"/>
  <c r="BJ611" i="6"/>
  <c r="BI611" i="6"/>
  <c r="BH611" i="6"/>
  <c r="BG611" i="6"/>
  <c r="BF611" i="6"/>
  <c r="BE611" i="6"/>
  <c r="BD611" i="6"/>
  <c r="BC611" i="6"/>
  <c r="BB611" i="6"/>
  <c r="BA611" i="6"/>
  <c r="AZ611" i="6"/>
  <c r="AY611" i="6"/>
  <c r="AX611" i="6"/>
  <c r="AW611" i="6"/>
  <c r="AV611" i="6"/>
  <c r="AU611" i="6"/>
  <c r="H611" i="6"/>
  <c r="G611" i="6"/>
  <c r="BJ610" i="6"/>
  <c r="BI610" i="6"/>
  <c r="BH610" i="6"/>
  <c r="BG610" i="6"/>
  <c r="BF610" i="6"/>
  <c r="BE610" i="6"/>
  <c r="BD610" i="6"/>
  <c r="BC610" i="6"/>
  <c r="BB610" i="6"/>
  <c r="BA610" i="6"/>
  <c r="AZ610" i="6"/>
  <c r="AY610" i="6"/>
  <c r="AX610" i="6"/>
  <c r="AW610" i="6"/>
  <c r="AV610" i="6"/>
  <c r="AU610" i="6"/>
  <c r="H610" i="6"/>
  <c r="G610" i="6"/>
  <c r="BJ609" i="6"/>
  <c r="BI609" i="6"/>
  <c r="BH609" i="6"/>
  <c r="BG609" i="6"/>
  <c r="BF609" i="6"/>
  <c r="BE609" i="6"/>
  <c r="BD609" i="6"/>
  <c r="BC609" i="6"/>
  <c r="BB609" i="6"/>
  <c r="BA609" i="6"/>
  <c r="AZ609" i="6"/>
  <c r="AY609" i="6"/>
  <c r="AX609" i="6"/>
  <c r="AW609" i="6"/>
  <c r="AV609" i="6"/>
  <c r="AU609" i="6"/>
  <c r="H609" i="6"/>
  <c r="G609" i="6"/>
  <c r="BJ608" i="6"/>
  <c r="BI608" i="6"/>
  <c r="BH608" i="6"/>
  <c r="BG608" i="6"/>
  <c r="BF608" i="6"/>
  <c r="BE608" i="6"/>
  <c r="BD608" i="6"/>
  <c r="BC608" i="6"/>
  <c r="BB608" i="6"/>
  <c r="BA608" i="6"/>
  <c r="AZ608" i="6"/>
  <c r="AY608" i="6"/>
  <c r="AX608" i="6"/>
  <c r="AW608" i="6"/>
  <c r="AV608" i="6"/>
  <c r="AU608" i="6"/>
  <c r="H608" i="6"/>
  <c r="G608" i="6"/>
  <c r="BJ607" i="6"/>
  <c r="BI607" i="6"/>
  <c r="BH607" i="6"/>
  <c r="BG607" i="6"/>
  <c r="BF607" i="6"/>
  <c r="BE607" i="6"/>
  <c r="BD607" i="6"/>
  <c r="BC607" i="6"/>
  <c r="BB607" i="6"/>
  <c r="BA607" i="6"/>
  <c r="AZ607" i="6"/>
  <c r="AY607" i="6"/>
  <c r="AX607" i="6"/>
  <c r="AW607" i="6"/>
  <c r="AV607" i="6"/>
  <c r="AU607" i="6"/>
  <c r="H607" i="6"/>
  <c r="G607" i="6"/>
  <c r="BJ606" i="6"/>
  <c r="BI606" i="6"/>
  <c r="BH606" i="6"/>
  <c r="BG606" i="6"/>
  <c r="BF606" i="6"/>
  <c r="BE606" i="6"/>
  <c r="BD606" i="6"/>
  <c r="BC606" i="6"/>
  <c r="BB606" i="6"/>
  <c r="BA606" i="6"/>
  <c r="AZ606" i="6"/>
  <c r="AY606" i="6"/>
  <c r="AX606" i="6"/>
  <c r="AW606" i="6"/>
  <c r="AV606" i="6"/>
  <c r="AU606" i="6"/>
  <c r="H606" i="6"/>
  <c r="G606" i="6"/>
  <c r="BJ605" i="6"/>
  <c r="BI605" i="6"/>
  <c r="BH605" i="6"/>
  <c r="BG605" i="6"/>
  <c r="BF605" i="6"/>
  <c r="BE605" i="6"/>
  <c r="BD605" i="6"/>
  <c r="BC605" i="6"/>
  <c r="BB605" i="6"/>
  <c r="BA605" i="6"/>
  <c r="AZ605" i="6"/>
  <c r="AY605" i="6"/>
  <c r="AX605" i="6"/>
  <c r="AW605" i="6"/>
  <c r="AV605" i="6"/>
  <c r="AU605" i="6"/>
  <c r="H605" i="6"/>
  <c r="G605" i="6"/>
  <c r="BJ604" i="6"/>
  <c r="BI604" i="6"/>
  <c r="BH604" i="6"/>
  <c r="BG604" i="6"/>
  <c r="BF604" i="6"/>
  <c r="BE604" i="6"/>
  <c r="BD604" i="6"/>
  <c r="BC604" i="6"/>
  <c r="BB604" i="6"/>
  <c r="BA604" i="6"/>
  <c r="AZ604" i="6"/>
  <c r="AY604" i="6"/>
  <c r="AX604" i="6"/>
  <c r="AW604" i="6"/>
  <c r="AV604" i="6"/>
  <c r="AU604" i="6"/>
  <c r="H604" i="6"/>
  <c r="G604" i="6"/>
  <c r="BJ603" i="6"/>
  <c r="BI603" i="6"/>
  <c r="BH603" i="6"/>
  <c r="BG603" i="6"/>
  <c r="BF603" i="6"/>
  <c r="BE603" i="6"/>
  <c r="BD603" i="6"/>
  <c r="BC603" i="6"/>
  <c r="BB603" i="6"/>
  <c r="BA603" i="6"/>
  <c r="AZ603" i="6"/>
  <c r="AY603" i="6"/>
  <c r="AX603" i="6"/>
  <c r="AW603" i="6"/>
  <c r="AV603" i="6"/>
  <c r="AU603" i="6"/>
  <c r="H603" i="6"/>
  <c r="G603" i="6"/>
  <c r="BJ602" i="6"/>
  <c r="BI602" i="6"/>
  <c r="BH602" i="6"/>
  <c r="BG602" i="6"/>
  <c r="BF602" i="6"/>
  <c r="BE602" i="6"/>
  <c r="BD602" i="6"/>
  <c r="BC602" i="6"/>
  <c r="BB602" i="6"/>
  <c r="BA602" i="6"/>
  <c r="AZ602" i="6"/>
  <c r="AY602" i="6"/>
  <c r="AX602" i="6"/>
  <c r="AW602" i="6"/>
  <c r="AV602" i="6"/>
  <c r="AU602" i="6"/>
  <c r="H602" i="6"/>
  <c r="G602" i="6"/>
  <c r="BJ601" i="6"/>
  <c r="BI601" i="6"/>
  <c r="BH601" i="6"/>
  <c r="BG601" i="6"/>
  <c r="BF601" i="6"/>
  <c r="BE601" i="6"/>
  <c r="BD601" i="6"/>
  <c r="BC601" i="6"/>
  <c r="BB601" i="6"/>
  <c r="BA601" i="6"/>
  <c r="AZ601" i="6"/>
  <c r="AY601" i="6"/>
  <c r="AX601" i="6"/>
  <c r="AW601" i="6"/>
  <c r="AV601" i="6"/>
  <c r="AU601" i="6"/>
  <c r="H601" i="6"/>
  <c r="G601" i="6"/>
  <c r="BJ600" i="6"/>
  <c r="BI600" i="6"/>
  <c r="BH600" i="6"/>
  <c r="BG600" i="6"/>
  <c r="BF600" i="6"/>
  <c r="BE600" i="6"/>
  <c r="BD600" i="6"/>
  <c r="BC600" i="6"/>
  <c r="BB600" i="6"/>
  <c r="BA600" i="6"/>
  <c r="AZ600" i="6"/>
  <c r="AY600" i="6"/>
  <c r="AX600" i="6"/>
  <c r="AW600" i="6"/>
  <c r="AV600" i="6"/>
  <c r="AU600" i="6"/>
  <c r="H600" i="6"/>
  <c r="G600" i="6"/>
  <c r="BJ599" i="6"/>
  <c r="BI599" i="6"/>
  <c r="BH599" i="6"/>
  <c r="BG599" i="6"/>
  <c r="BF599" i="6"/>
  <c r="BE599" i="6"/>
  <c r="BD599" i="6"/>
  <c r="BC599" i="6"/>
  <c r="BB599" i="6"/>
  <c r="BA599" i="6"/>
  <c r="AZ599" i="6"/>
  <c r="AY599" i="6"/>
  <c r="AX599" i="6"/>
  <c r="AW599" i="6"/>
  <c r="AV599" i="6"/>
  <c r="AU599" i="6"/>
  <c r="H599" i="6"/>
  <c r="G599" i="6"/>
  <c r="BJ598" i="6"/>
  <c r="BI598" i="6"/>
  <c r="BH598" i="6"/>
  <c r="BG598" i="6"/>
  <c r="BF598" i="6"/>
  <c r="BE598" i="6"/>
  <c r="BD598" i="6"/>
  <c r="BC598" i="6"/>
  <c r="BB598" i="6"/>
  <c r="BA598" i="6"/>
  <c r="AZ598" i="6"/>
  <c r="AY598" i="6"/>
  <c r="AX598" i="6"/>
  <c r="AW598" i="6"/>
  <c r="AV598" i="6"/>
  <c r="AU598" i="6"/>
  <c r="H598" i="6"/>
  <c r="G598" i="6"/>
  <c r="BJ597" i="6"/>
  <c r="BI597" i="6"/>
  <c r="BH597" i="6"/>
  <c r="BG597" i="6"/>
  <c r="BF597" i="6"/>
  <c r="BE597" i="6"/>
  <c r="BD597" i="6"/>
  <c r="BC597" i="6"/>
  <c r="BB597" i="6"/>
  <c r="BA597" i="6"/>
  <c r="AZ597" i="6"/>
  <c r="AY597" i="6"/>
  <c r="AX597" i="6"/>
  <c r="AW597" i="6"/>
  <c r="AV597" i="6"/>
  <c r="AU597" i="6"/>
  <c r="H597" i="6"/>
  <c r="G597" i="6"/>
  <c r="BJ596" i="6"/>
  <c r="BI596" i="6"/>
  <c r="BH596" i="6"/>
  <c r="BG596" i="6"/>
  <c r="BF596" i="6"/>
  <c r="BE596" i="6"/>
  <c r="BD596" i="6"/>
  <c r="BC596" i="6"/>
  <c r="BB596" i="6"/>
  <c r="BA596" i="6"/>
  <c r="AZ596" i="6"/>
  <c r="AY596" i="6"/>
  <c r="AX596" i="6"/>
  <c r="AW596" i="6"/>
  <c r="AV596" i="6"/>
  <c r="AU596" i="6"/>
  <c r="H596" i="6"/>
  <c r="G596" i="6"/>
  <c r="BJ595" i="6"/>
  <c r="BI595" i="6"/>
  <c r="BH595" i="6"/>
  <c r="BG595" i="6"/>
  <c r="BF595" i="6"/>
  <c r="BE595" i="6"/>
  <c r="BD595" i="6"/>
  <c r="BC595" i="6"/>
  <c r="BB595" i="6"/>
  <c r="BA595" i="6"/>
  <c r="AZ595" i="6"/>
  <c r="AY595" i="6"/>
  <c r="AX595" i="6"/>
  <c r="AW595" i="6"/>
  <c r="AV595" i="6"/>
  <c r="AU595" i="6"/>
  <c r="H595" i="6"/>
  <c r="G595" i="6"/>
  <c r="BJ594" i="6"/>
  <c r="BI594" i="6"/>
  <c r="BH594" i="6"/>
  <c r="BG594" i="6"/>
  <c r="BF594" i="6"/>
  <c r="BE594" i="6"/>
  <c r="BD594" i="6"/>
  <c r="BC594" i="6"/>
  <c r="BB594" i="6"/>
  <c r="BA594" i="6"/>
  <c r="AZ594" i="6"/>
  <c r="AY594" i="6"/>
  <c r="AX594" i="6"/>
  <c r="AW594" i="6"/>
  <c r="AV594" i="6"/>
  <c r="AU594" i="6"/>
  <c r="H594" i="6"/>
  <c r="G594" i="6"/>
  <c r="BJ593" i="6"/>
  <c r="BI593" i="6"/>
  <c r="BH593" i="6"/>
  <c r="BG593" i="6"/>
  <c r="BF593" i="6"/>
  <c r="BE593" i="6"/>
  <c r="BD593" i="6"/>
  <c r="BC593" i="6"/>
  <c r="BB593" i="6"/>
  <c r="BA593" i="6"/>
  <c r="AZ593" i="6"/>
  <c r="AY593" i="6"/>
  <c r="AX593" i="6"/>
  <c r="AW593" i="6"/>
  <c r="AV593" i="6"/>
  <c r="AU593" i="6"/>
  <c r="H593" i="6"/>
  <c r="G593" i="6"/>
  <c r="BJ592" i="6"/>
  <c r="BI592" i="6"/>
  <c r="BH592" i="6"/>
  <c r="BG592" i="6"/>
  <c r="BF592" i="6"/>
  <c r="BE592" i="6"/>
  <c r="BD592" i="6"/>
  <c r="BC592" i="6"/>
  <c r="BB592" i="6"/>
  <c r="BA592" i="6"/>
  <c r="AZ592" i="6"/>
  <c r="AY592" i="6"/>
  <c r="AX592" i="6"/>
  <c r="AW592" i="6"/>
  <c r="AV592" i="6"/>
  <c r="AU592" i="6"/>
  <c r="H592" i="6"/>
  <c r="G592" i="6"/>
  <c r="BJ591" i="6"/>
  <c r="BI591" i="6"/>
  <c r="BH591" i="6"/>
  <c r="BG591" i="6"/>
  <c r="BF591" i="6"/>
  <c r="BE591" i="6"/>
  <c r="BD591" i="6"/>
  <c r="BC591" i="6"/>
  <c r="BB591" i="6"/>
  <c r="BA591" i="6"/>
  <c r="AZ591" i="6"/>
  <c r="AY591" i="6"/>
  <c r="AX591" i="6"/>
  <c r="AW591" i="6"/>
  <c r="AV591" i="6"/>
  <c r="AU591" i="6"/>
  <c r="H591" i="6"/>
  <c r="G591" i="6"/>
  <c r="BJ590" i="6"/>
  <c r="BI590" i="6"/>
  <c r="BH590" i="6"/>
  <c r="BG590" i="6"/>
  <c r="BF590" i="6"/>
  <c r="BE590" i="6"/>
  <c r="BD590" i="6"/>
  <c r="BC590" i="6"/>
  <c r="BB590" i="6"/>
  <c r="BA590" i="6"/>
  <c r="AZ590" i="6"/>
  <c r="AY590" i="6"/>
  <c r="AX590" i="6"/>
  <c r="AW590" i="6"/>
  <c r="AV590" i="6"/>
  <c r="AU590" i="6"/>
  <c r="H590" i="6"/>
  <c r="G590" i="6"/>
  <c r="BJ589" i="6"/>
  <c r="BI589" i="6"/>
  <c r="BH589" i="6"/>
  <c r="BG589" i="6"/>
  <c r="BF589" i="6"/>
  <c r="BE589" i="6"/>
  <c r="BD589" i="6"/>
  <c r="BC589" i="6"/>
  <c r="BB589" i="6"/>
  <c r="BA589" i="6"/>
  <c r="AZ589" i="6"/>
  <c r="AY589" i="6"/>
  <c r="AX589" i="6"/>
  <c r="AW589" i="6"/>
  <c r="AV589" i="6"/>
  <c r="AU589" i="6"/>
  <c r="H589" i="6"/>
  <c r="G589" i="6"/>
  <c r="BJ588" i="6"/>
  <c r="BI588" i="6"/>
  <c r="BH588" i="6"/>
  <c r="BG588" i="6"/>
  <c r="BF588" i="6"/>
  <c r="BE588" i="6"/>
  <c r="BD588" i="6"/>
  <c r="BC588" i="6"/>
  <c r="BB588" i="6"/>
  <c r="BA588" i="6"/>
  <c r="AZ588" i="6"/>
  <c r="AY588" i="6"/>
  <c r="AX588" i="6"/>
  <c r="AW588" i="6"/>
  <c r="AV588" i="6"/>
  <c r="AU588" i="6"/>
  <c r="H588" i="6"/>
  <c r="G588" i="6"/>
  <c r="BJ587" i="6"/>
  <c r="BI587" i="6"/>
  <c r="BH587" i="6"/>
  <c r="BG587" i="6"/>
  <c r="BF587" i="6"/>
  <c r="BE587" i="6"/>
  <c r="BD587" i="6"/>
  <c r="BC587" i="6"/>
  <c r="BB587" i="6"/>
  <c r="BA587" i="6"/>
  <c r="AZ587" i="6"/>
  <c r="AY587" i="6"/>
  <c r="AX587" i="6"/>
  <c r="AW587" i="6"/>
  <c r="AV587" i="6"/>
  <c r="AU587" i="6"/>
  <c r="H587" i="6"/>
  <c r="G587" i="6"/>
  <c r="BJ586" i="6"/>
  <c r="BI586" i="6"/>
  <c r="BH586" i="6"/>
  <c r="BG586" i="6"/>
  <c r="BF586" i="6"/>
  <c r="BE586" i="6"/>
  <c r="BD586" i="6"/>
  <c r="BC586" i="6"/>
  <c r="BB586" i="6"/>
  <c r="BA586" i="6"/>
  <c r="AZ586" i="6"/>
  <c r="AY586" i="6"/>
  <c r="AX586" i="6"/>
  <c r="AW586" i="6"/>
  <c r="AV586" i="6"/>
  <c r="AU586" i="6"/>
  <c r="H586" i="6"/>
  <c r="G586" i="6"/>
  <c r="BJ585" i="6"/>
  <c r="BI585" i="6"/>
  <c r="BH585" i="6"/>
  <c r="BG585" i="6"/>
  <c r="BF585" i="6"/>
  <c r="BE585" i="6"/>
  <c r="BD585" i="6"/>
  <c r="BC585" i="6"/>
  <c r="BB585" i="6"/>
  <c r="BA585" i="6"/>
  <c r="AZ585" i="6"/>
  <c r="AY585" i="6"/>
  <c r="AX585" i="6"/>
  <c r="AW585" i="6"/>
  <c r="AV585" i="6"/>
  <c r="AU585" i="6"/>
  <c r="H585" i="6"/>
  <c r="G585" i="6"/>
  <c r="BJ584" i="6"/>
  <c r="BI584" i="6"/>
  <c r="BH584" i="6"/>
  <c r="BG584" i="6"/>
  <c r="BF584" i="6"/>
  <c r="BE584" i="6"/>
  <c r="BD584" i="6"/>
  <c r="BC584" i="6"/>
  <c r="BB584" i="6"/>
  <c r="BA584" i="6"/>
  <c r="AZ584" i="6"/>
  <c r="AY584" i="6"/>
  <c r="AX584" i="6"/>
  <c r="AW584" i="6"/>
  <c r="AV584" i="6"/>
  <c r="AU584" i="6"/>
  <c r="H584" i="6"/>
  <c r="G584" i="6"/>
  <c r="BJ583" i="6"/>
  <c r="BI583" i="6"/>
  <c r="BH583" i="6"/>
  <c r="BG583" i="6"/>
  <c r="BF583" i="6"/>
  <c r="BE583" i="6"/>
  <c r="BD583" i="6"/>
  <c r="BC583" i="6"/>
  <c r="BB583" i="6"/>
  <c r="BA583" i="6"/>
  <c r="AZ583" i="6"/>
  <c r="AY583" i="6"/>
  <c r="AX583" i="6"/>
  <c r="AW583" i="6"/>
  <c r="AV583" i="6"/>
  <c r="AU583" i="6"/>
  <c r="H583" i="6"/>
  <c r="G583" i="6"/>
  <c r="BJ582" i="6"/>
  <c r="BI582" i="6"/>
  <c r="BH582" i="6"/>
  <c r="BG582" i="6"/>
  <c r="BF582" i="6"/>
  <c r="BE582" i="6"/>
  <c r="BD582" i="6"/>
  <c r="BC582" i="6"/>
  <c r="BB582" i="6"/>
  <c r="BA582" i="6"/>
  <c r="AZ582" i="6"/>
  <c r="AY582" i="6"/>
  <c r="AX582" i="6"/>
  <c r="AW582" i="6"/>
  <c r="AV582" i="6"/>
  <c r="AU582" i="6"/>
  <c r="H582" i="6"/>
  <c r="G582" i="6"/>
  <c r="BJ581" i="6"/>
  <c r="BI581" i="6"/>
  <c r="BH581" i="6"/>
  <c r="BG581" i="6"/>
  <c r="BF581" i="6"/>
  <c r="BE581" i="6"/>
  <c r="BD581" i="6"/>
  <c r="BC581" i="6"/>
  <c r="BB581" i="6"/>
  <c r="BA581" i="6"/>
  <c r="AZ581" i="6"/>
  <c r="AY581" i="6"/>
  <c r="AX581" i="6"/>
  <c r="AW581" i="6"/>
  <c r="AV581" i="6"/>
  <c r="AU581" i="6"/>
  <c r="H581" i="6"/>
  <c r="G581" i="6"/>
  <c r="BJ580" i="6"/>
  <c r="BI580" i="6"/>
  <c r="BH580" i="6"/>
  <c r="BG580" i="6"/>
  <c r="BF580" i="6"/>
  <c r="BE580" i="6"/>
  <c r="BD580" i="6"/>
  <c r="BC580" i="6"/>
  <c r="BB580" i="6"/>
  <c r="BA580" i="6"/>
  <c r="AZ580" i="6"/>
  <c r="AY580" i="6"/>
  <c r="AX580" i="6"/>
  <c r="AW580" i="6"/>
  <c r="AV580" i="6"/>
  <c r="AU580" i="6"/>
  <c r="H580" i="6"/>
  <c r="G580" i="6"/>
  <c r="BJ579" i="6"/>
  <c r="BI579" i="6"/>
  <c r="BH579" i="6"/>
  <c r="BG579" i="6"/>
  <c r="BF579" i="6"/>
  <c r="BE579" i="6"/>
  <c r="BD579" i="6"/>
  <c r="BC579" i="6"/>
  <c r="BB579" i="6"/>
  <c r="BA579" i="6"/>
  <c r="AZ579" i="6"/>
  <c r="AY579" i="6"/>
  <c r="AX579" i="6"/>
  <c r="AW579" i="6"/>
  <c r="AV579" i="6"/>
  <c r="AU579" i="6"/>
  <c r="H579" i="6"/>
  <c r="G579" i="6"/>
  <c r="BJ578" i="6"/>
  <c r="BI578" i="6"/>
  <c r="BH578" i="6"/>
  <c r="BG578" i="6"/>
  <c r="BF578" i="6"/>
  <c r="BE578" i="6"/>
  <c r="BD578" i="6"/>
  <c r="BC578" i="6"/>
  <c r="BB578" i="6"/>
  <c r="BA578" i="6"/>
  <c r="AZ578" i="6"/>
  <c r="AY578" i="6"/>
  <c r="AX578" i="6"/>
  <c r="AW578" i="6"/>
  <c r="AV578" i="6"/>
  <c r="AU578" i="6"/>
  <c r="H578" i="6"/>
  <c r="G578" i="6"/>
  <c r="BJ577" i="6"/>
  <c r="BI577" i="6"/>
  <c r="BH577" i="6"/>
  <c r="BG577" i="6"/>
  <c r="BF577" i="6"/>
  <c r="BE577" i="6"/>
  <c r="BD577" i="6"/>
  <c r="BC577" i="6"/>
  <c r="BB577" i="6"/>
  <c r="BA577" i="6"/>
  <c r="AZ577" i="6"/>
  <c r="AY577" i="6"/>
  <c r="AX577" i="6"/>
  <c r="AW577" i="6"/>
  <c r="AV577" i="6"/>
  <c r="AU577" i="6"/>
  <c r="H577" i="6"/>
  <c r="G577" i="6"/>
  <c r="BJ576" i="6"/>
  <c r="BI576" i="6"/>
  <c r="BH576" i="6"/>
  <c r="BG576" i="6"/>
  <c r="BF576" i="6"/>
  <c r="BE576" i="6"/>
  <c r="BD576" i="6"/>
  <c r="BC576" i="6"/>
  <c r="BB576" i="6"/>
  <c r="BA576" i="6"/>
  <c r="AZ576" i="6"/>
  <c r="AY576" i="6"/>
  <c r="AX576" i="6"/>
  <c r="AW576" i="6"/>
  <c r="AV576" i="6"/>
  <c r="AU576" i="6"/>
  <c r="H576" i="6"/>
  <c r="G576" i="6"/>
  <c r="BJ575" i="6"/>
  <c r="BI575" i="6"/>
  <c r="BH575" i="6"/>
  <c r="BG575" i="6"/>
  <c r="BF575" i="6"/>
  <c r="BE575" i="6"/>
  <c r="BD575" i="6"/>
  <c r="BC575" i="6"/>
  <c r="BB575" i="6"/>
  <c r="BA575" i="6"/>
  <c r="AZ575" i="6"/>
  <c r="AY575" i="6"/>
  <c r="AX575" i="6"/>
  <c r="AW575" i="6"/>
  <c r="AV575" i="6"/>
  <c r="AU575" i="6"/>
  <c r="H575" i="6"/>
  <c r="G575" i="6"/>
  <c r="BJ574" i="6"/>
  <c r="BI574" i="6"/>
  <c r="BH574" i="6"/>
  <c r="BG574" i="6"/>
  <c r="BF574" i="6"/>
  <c r="BE574" i="6"/>
  <c r="BD574" i="6"/>
  <c r="BC574" i="6"/>
  <c r="BB574" i="6"/>
  <c r="BA574" i="6"/>
  <c r="AZ574" i="6"/>
  <c r="AY574" i="6"/>
  <c r="AX574" i="6"/>
  <c r="AW574" i="6"/>
  <c r="AV574" i="6"/>
  <c r="AU574" i="6"/>
  <c r="H574" i="6"/>
  <c r="G574" i="6"/>
  <c r="BJ573" i="6"/>
  <c r="BI573" i="6"/>
  <c r="BH573" i="6"/>
  <c r="BG573" i="6"/>
  <c r="BF573" i="6"/>
  <c r="BE573" i="6"/>
  <c r="BD573" i="6"/>
  <c r="BC573" i="6"/>
  <c r="BB573" i="6"/>
  <c r="BA573" i="6"/>
  <c r="AZ573" i="6"/>
  <c r="AY573" i="6"/>
  <c r="AX573" i="6"/>
  <c r="AW573" i="6"/>
  <c r="AV573" i="6"/>
  <c r="AU573" i="6"/>
  <c r="H573" i="6"/>
  <c r="G573" i="6"/>
  <c r="BJ572" i="6"/>
  <c r="BI572" i="6"/>
  <c r="BH572" i="6"/>
  <c r="BG572" i="6"/>
  <c r="BF572" i="6"/>
  <c r="BE572" i="6"/>
  <c r="BD572" i="6"/>
  <c r="BC572" i="6"/>
  <c r="BB572" i="6"/>
  <c r="BA572" i="6"/>
  <c r="AZ572" i="6"/>
  <c r="AY572" i="6"/>
  <c r="AX572" i="6"/>
  <c r="AW572" i="6"/>
  <c r="AV572" i="6"/>
  <c r="AU572" i="6"/>
  <c r="H572" i="6"/>
  <c r="G572" i="6"/>
  <c r="BJ571" i="6"/>
  <c r="BI571" i="6"/>
  <c r="BH571" i="6"/>
  <c r="BG571" i="6"/>
  <c r="BF571" i="6"/>
  <c r="BE571" i="6"/>
  <c r="BD571" i="6"/>
  <c r="BC571" i="6"/>
  <c r="BB571" i="6"/>
  <c r="BA571" i="6"/>
  <c r="AZ571" i="6"/>
  <c r="AY571" i="6"/>
  <c r="AX571" i="6"/>
  <c r="AW571" i="6"/>
  <c r="AV571" i="6"/>
  <c r="AU571" i="6"/>
  <c r="H571" i="6"/>
  <c r="G571" i="6"/>
  <c r="BJ570" i="6"/>
  <c r="BI570" i="6"/>
  <c r="BH570" i="6"/>
  <c r="BG570" i="6"/>
  <c r="BF570" i="6"/>
  <c r="BE570" i="6"/>
  <c r="BD570" i="6"/>
  <c r="BC570" i="6"/>
  <c r="BB570" i="6"/>
  <c r="BA570" i="6"/>
  <c r="AZ570" i="6"/>
  <c r="AY570" i="6"/>
  <c r="AX570" i="6"/>
  <c r="AW570" i="6"/>
  <c r="AV570" i="6"/>
  <c r="AU570" i="6"/>
  <c r="H570" i="6"/>
  <c r="G570" i="6"/>
  <c r="BJ569" i="6"/>
  <c r="BI569" i="6"/>
  <c r="BH569" i="6"/>
  <c r="BG569" i="6"/>
  <c r="BF569" i="6"/>
  <c r="BE569" i="6"/>
  <c r="BD569" i="6"/>
  <c r="BC569" i="6"/>
  <c r="BB569" i="6"/>
  <c r="BA569" i="6"/>
  <c r="AZ569" i="6"/>
  <c r="AY569" i="6"/>
  <c r="AX569" i="6"/>
  <c r="AW569" i="6"/>
  <c r="AV569" i="6"/>
  <c r="AU569" i="6"/>
  <c r="H569" i="6"/>
  <c r="G569" i="6"/>
  <c r="BJ568" i="6"/>
  <c r="BI568" i="6"/>
  <c r="BH568" i="6"/>
  <c r="BG568" i="6"/>
  <c r="BF568" i="6"/>
  <c r="BE568" i="6"/>
  <c r="BD568" i="6"/>
  <c r="BC568" i="6"/>
  <c r="BB568" i="6"/>
  <c r="BA568" i="6"/>
  <c r="AZ568" i="6"/>
  <c r="AY568" i="6"/>
  <c r="AX568" i="6"/>
  <c r="AW568" i="6"/>
  <c r="AV568" i="6"/>
  <c r="AU568" i="6"/>
  <c r="H568" i="6"/>
  <c r="G568" i="6"/>
  <c r="BJ567" i="6"/>
  <c r="BI567" i="6"/>
  <c r="BH567" i="6"/>
  <c r="BG567" i="6"/>
  <c r="BF567" i="6"/>
  <c r="BE567" i="6"/>
  <c r="BD567" i="6"/>
  <c r="BC567" i="6"/>
  <c r="BB567" i="6"/>
  <c r="BA567" i="6"/>
  <c r="AZ567" i="6"/>
  <c r="AY567" i="6"/>
  <c r="AX567" i="6"/>
  <c r="AW567" i="6"/>
  <c r="AV567" i="6"/>
  <c r="AU567" i="6"/>
  <c r="H567" i="6"/>
  <c r="G567" i="6"/>
  <c r="BJ566" i="6"/>
  <c r="BI566" i="6"/>
  <c r="BH566" i="6"/>
  <c r="BG566" i="6"/>
  <c r="BF566" i="6"/>
  <c r="BE566" i="6"/>
  <c r="BD566" i="6"/>
  <c r="BC566" i="6"/>
  <c r="BB566" i="6"/>
  <c r="BA566" i="6"/>
  <c r="AZ566" i="6"/>
  <c r="AY566" i="6"/>
  <c r="AX566" i="6"/>
  <c r="AW566" i="6"/>
  <c r="AV566" i="6"/>
  <c r="AU566" i="6"/>
  <c r="H566" i="6"/>
  <c r="G566" i="6"/>
  <c r="BJ565" i="6"/>
  <c r="BI565" i="6"/>
  <c r="BH565" i="6"/>
  <c r="BG565" i="6"/>
  <c r="BF565" i="6"/>
  <c r="BE565" i="6"/>
  <c r="BD565" i="6"/>
  <c r="BC565" i="6"/>
  <c r="BB565" i="6"/>
  <c r="BA565" i="6"/>
  <c r="AZ565" i="6"/>
  <c r="AY565" i="6"/>
  <c r="AX565" i="6"/>
  <c r="AW565" i="6"/>
  <c r="AV565" i="6"/>
  <c r="AU565" i="6"/>
  <c r="H565" i="6"/>
  <c r="G565" i="6"/>
  <c r="BJ564" i="6"/>
  <c r="BI564" i="6"/>
  <c r="BH564" i="6"/>
  <c r="BG564" i="6"/>
  <c r="BF564" i="6"/>
  <c r="BE564" i="6"/>
  <c r="BD564" i="6"/>
  <c r="BC564" i="6"/>
  <c r="BB564" i="6"/>
  <c r="BA564" i="6"/>
  <c r="AZ564" i="6"/>
  <c r="AY564" i="6"/>
  <c r="AX564" i="6"/>
  <c r="AW564" i="6"/>
  <c r="AV564" i="6"/>
  <c r="AU564" i="6"/>
  <c r="H564" i="6"/>
  <c r="G564" i="6"/>
  <c r="BJ563" i="6"/>
  <c r="BI563" i="6"/>
  <c r="BH563" i="6"/>
  <c r="BG563" i="6"/>
  <c r="BF563" i="6"/>
  <c r="BE563" i="6"/>
  <c r="BD563" i="6"/>
  <c r="BC563" i="6"/>
  <c r="BB563" i="6"/>
  <c r="BA563" i="6"/>
  <c r="AZ563" i="6"/>
  <c r="AY563" i="6"/>
  <c r="AX563" i="6"/>
  <c r="AW563" i="6"/>
  <c r="AV563" i="6"/>
  <c r="AU563" i="6"/>
  <c r="H563" i="6"/>
  <c r="G563" i="6"/>
  <c r="BJ562" i="6"/>
  <c r="BI562" i="6"/>
  <c r="BH562" i="6"/>
  <c r="BG562" i="6"/>
  <c r="BF562" i="6"/>
  <c r="BE562" i="6"/>
  <c r="BD562" i="6"/>
  <c r="BC562" i="6"/>
  <c r="BB562" i="6"/>
  <c r="BA562" i="6"/>
  <c r="AZ562" i="6"/>
  <c r="AY562" i="6"/>
  <c r="AX562" i="6"/>
  <c r="AW562" i="6"/>
  <c r="AV562" i="6"/>
  <c r="AU562" i="6"/>
  <c r="H562" i="6"/>
  <c r="G562" i="6"/>
  <c r="BJ561" i="6"/>
  <c r="BI561" i="6"/>
  <c r="BH561" i="6"/>
  <c r="BG561" i="6"/>
  <c r="BF561" i="6"/>
  <c r="BE561" i="6"/>
  <c r="BD561" i="6"/>
  <c r="BC561" i="6"/>
  <c r="BB561" i="6"/>
  <c r="BA561" i="6"/>
  <c r="AZ561" i="6"/>
  <c r="AY561" i="6"/>
  <c r="AX561" i="6"/>
  <c r="AW561" i="6"/>
  <c r="AV561" i="6"/>
  <c r="AU561" i="6"/>
  <c r="H561" i="6"/>
  <c r="G561" i="6"/>
  <c r="BJ560" i="6"/>
  <c r="BI560" i="6"/>
  <c r="BH560" i="6"/>
  <c r="BG560" i="6"/>
  <c r="BF560" i="6"/>
  <c r="BE560" i="6"/>
  <c r="BD560" i="6"/>
  <c r="BC560" i="6"/>
  <c r="BB560" i="6"/>
  <c r="BA560" i="6"/>
  <c r="AZ560" i="6"/>
  <c r="AY560" i="6"/>
  <c r="AX560" i="6"/>
  <c r="AW560" i="6"/>
  <c r="AV560" i="6"/>
  <c r="AU560" i="6"/>
  <c r="H560" i="6"/>
  <c r="G560" i="6"/>
  <c r="BJ559" i="6"/>
  <c r="BI559" i="6"/>
  <c r="BH559" i="6"/>
  <c r="BG559" i="6"/>
  <c r="BF559" i="6"/>
  <c r="BE559" i="6"/>
  <c r="BD559" i="6"/>
  <c r="BC559" i="6"/>
  <c r="BB559" i="6"/>
  <c r="BA559" i="6"/>
  <c r="AZ559" i="6"/>
  <c r="AY559" i="6"/>
  <c r="AX559" i="6"/>
  <c r="AW559" i="6"/>
  <c r="AV559" i="6"/>
  <c r="AU559" i="6"/>
  <c r="H559" i="6"/>
  <c r="G559" i="6"/>
  <c r="BJ558" i="6"/>
  <c r="BI558" i="6"/>
  <c r="BH558" i="6"/>
  <c r="BG558" i="6"/>
  <c r="BF558" i="6"/>
  <c r="BE558" i="6"/>
  <c r="BD558" i="6"/>
  <c r="BC558" i="6"/>
  <c r="BB558" i="6"/>
  <c r="BA558" i="6"/>
  <c r="AZ558" i="6"/>
  <c r="AY558" i="6"/>
  <c r="AX558" i="6"/>
  <c r="AW558" i="6"/>
  <c r="AV558" i="6"/>
  <c r="AU558" i="6"/>
  <c r="H558" i="6"/>
  <c r="G558" i="6"/>
  <c r="BJ557" i="6"/>
  <c r="BI557" i="6"/>
  <c r="BH557" i="6"/>
  <c r="BG557" i="6"/>
  <c r="BF557" i="6"/>
  <c r="BE557" i="6"/>
  <c r="BD557" i="6"/>
  <c r="BC557" i="6"/>
  <c r="BB557" i="6"/>
  <c r="BA557" i="6"/>
  <c r="AZ557" i="6"/>
  <c r="AY557" i="6"/>
  <c r="AX557" i="6"/>
  <c r="AW557" i="6"/>
  <c r="AV557" i="6"/>
  <c r="AU557" i="6"/>
  <c r="H557" i="6"/>
  <c r="G557" i="6"/>
  <c r="BJ556" i="6"/>
  <c r="BI556" i="6"/>
  <c r="BH556" i="6"/>
  <c r="BG556" i="6"/>
  <c r="BF556" i="6"/>
  <c r="BE556" i="6"/>
  <c r="BD556" i="6"/>
  <c r="BC556" i="6"/>
  <c r="BB556" i="6"/>
  <c r="BA556" i="6"/>
  <c r="AZ556" i="6"/>
  <c r="AY556" i="6"/>
  <c r="AX556" i="6"/>
  <c r="AW556" i="6"/>
  <c r="AV556" i="6"/>
  <c r="AU556" i="6"/>
  <c r="H556" i="6"/>
  <c r="G556" i="6"/>
  <c r="BJ555" i="6"/>
  <c r="BI555" i="6"/>
  <c r="BH555" i="6"/>
  <c r="BG555" i="6"/>
  <c r="BF555" i="6"/>
  <c r="BE555" i="6"/>
  <c r="BD555" i="6"/>
  <c r="BC555" i="6"/>
  <c r="BB555" i="6"/>
  <c r="BA555" i="6"/>
  <c r="AZ555" i="6"/>
  <c r="AY555" i="6"/>
  <c r="AX555" i="6"/>
  <c r="AW555" i="6"/>
  <c r="AV555" i="6"/>
  <c r="AU555" i="6"/>
  <c r="H555" i="6"/>
  <c r="G555" i="6"/>
  <c r="BJ554" i="6"/>
  <c r="BI554" i="6"/>
  <c r="BH554" i="6"/>
  <c r="BG554" i="6"/>
  <c r="BF554" i="6"/>
  <c r="BE554" i="6"/>
  <c r="BD554" i="6"/>
  <c r="BC554" i="6"/>
  <c r="BB554" i="6"/>
  <c r="BA554" i="6"/>
  <c r="AZ554" i="6"/>
  <c r="AY554" i="6"/>
  <c r="AX554" i="6"/>
  <c r="AW554" i="6"/>
  <c r="AV554" i="6"/>
  <c r="AU554" i="6"/>
  <c r="H554" i="6"/>
  <c r="G554" i="6"/>
  <c r="BJ553" i="6"/>
  <c r="BI553" i="6"/>
  <c r="BH553" i="6"/>
  <c r="BG553" i="6"/>
  <c r="BF553" i="6"/>
  <c r="BE553" i="6"/>
  <c r="BD553" i="6"/>
  <c r="BC553" i="6"/>
  <c r="BB553" i="6"/>
  <c r="BA553" i="6"/>
  <c r="AZ553" i="6"/>
  <c r="AY553" i="6"/>
  <c r="AX553" i="6"/>
  <c r="AW553" i="6"/>
  <c r="AV553" i="6"/>
  <c r="AU553" i="6"/>
  <c r="H553" i="6"/>
  <c r="G553" i="6"/>
  <c r="BJ552" i="6"/>
  <c r="BI552" i="6"/>
  <c r="BH552" i="6"/>
  <c r="BG552" i="6"/>
  <c r="BF552" i="6"/>
  <c r="BE552" i="6"/>
  <c r="BD552" i="6"/>
  <c r="BC552" i="6"/>
  <c r="BB552" i="6"/>
  <c r="BA552" i="6"/>
  <c r="AZ552" i="6"/>
  <c r="AY552" i="6"/>
  <c r="AX552" i="6"/>
  <c r="AW552" i="6"/>
  <c r="AV552" i="6"/>
  <c r="AU552" i="6"/>
  <c r="H552" i="6"/>
  <c r="G552" i="6"/>
  <c r="BJ551" i="6"/>
  <c r="BI551" i="6"/>
  <c r="BH551" i="6"/>
  <c r="BG551" i="6"/>
  <c r="BF551" i="6"/>
  <c r="BE551" i="6"/>
  <c r="BD551" i="6"/>
  <c r="BC551" i="6"/>
  <c r="BB551" i="6"/>
  <c r="BA551" i="6"/>
  <c r="AZ551" i="6"/>
  <c r="AY551" i="6"/>
  <c r="AX551" i="6"/>
  <c r="AW551" i="6"/>
  <c r="AV551" i="6"/>
  <c r="AU551" i="6"/>
  <c r="H551" i="6"/>
  <c r="G551" i="6"/>
  <c r="BJ550" i="6"/>
  <c r="BI550" i="6"/>
  <c r="BH550" i="6"/>
  <c r="BG550" i="6"/>
  <c r="BF550" i="6"/>
  <c r="BE550" i="6"/>
  <c r="BD550" i="6"/>
  <c r="BC550" i="6"/>
  <c r="BB550" i="6"/>
  <c r="BA550" i="6"/>
  <c r="AZ550" i="6"/>
  <c r="AY550" i="6"/>
  <c r="AX550" i="6"/>
  <c r="AW550" i="6"/>
  <c r="AV550" i="6"/>
  <c r="AU550" i="6"/>
  <c r="H550" i="6"/>
  <c r="G550" i="6"/>
  <c r="BJ549" i="6"/>
  <c r="BI549" i="6"/>
  <c r="BH549" i="6"/>
  <c r="BG549" i="6"/>
  <c r="BF549" i="6"/>
  <c r="BE549" i="6"/>
  <c r="BD549" i="6"/>
  <c r="BC549" i="6"/>
  <c r="BB549" i="6"/>
  <c r="BA549" i="6"/>
  <c r="AZ549" i="6"/>
  <c r="AY549" i="6"/>
  <c r="AX549" i="6"/>
  <c r="AW549" i="6"/>
  <c r="AV549" i="6"/>
  <c r="AU549" i="6"/>
  <c r="H549" i="6"/>
  <c r="G549" i="6"/>
  <c r="BJ548" i="6"/>
  <c r="BI548" i="6"/>
  <c r="BH548" i="6"/>
  <c r="BG548" i="6"/>
  <c r="BF548" i="6"/>
  <c r="BE548" i="6"/>
  <c r="BD548" i="6"/>
  <c r="BC548" i="6"/>
  <c r="BB548" i="6"/>
  <c r="BA548" i="6"/>
  <c r="AZ548" i="6"/>
  <c r="AY548" i="6"/>
  <c r="AX548" i="6"/>
  <c r="AW548" i="6"/>
  <c r="AV548" i="6"/>
  <c r="AU548" i="6"/>
  <c r="H548" i="6"/>
  <c r="G548" i="6"/>
  <c r="BJ547" i="6"/>
  <c r="BI547" i="6"/>
  <c r="BH547" i="6"/>
  <c r="BG547" i="6"/>
  <c r="BF547" i="6"/>
  <c r="BE547" i="6"/>
  <c r="BD547" i="6"/>
  <c r="BC547" i="6"/>
  <c r="BB547" i="6"/>
  <c r="BA547" i="6"/>
  <c r="AZ547" i="6"/>
  <c r="AY547" i="6"/>
  <c r="AX547" i="6"/>
  <c r="AW547" i="6"/>
  <c r="AV547" i="6"/>
  <c r="AU547" i="6"/>
  <c r="H547" i="6"/>
  <c r="G547" i="6"/>
  <c r="BJ546" i="6"/>
  <c r="BI546" i="6"/>
  <c r="BH546" i="6"/>
  <c r="BG546" i="6"/>
  <c r="BF546" i="6"/>
  <c r="BE546" i="6"/>
  <c r="BD546" i="6"/>
  <c r="BC546" i="6"/>
  <c r="BB546" i="6"/>
  <c r="BA546" i="6"/>
  <c r="AZ546" i="6"/>
  <c r="AY546" i="6"/>
  <c r="AX546" i="6"/>
  <c r="AW546" i="6"/>
  <c r="AV546" i="6"/>
  <c r="AU546" i="6"/>
  <c r="H546" i="6"/>
  <c r="G546" i="6"/>
  <c r="BJ545" i="6"/>
  <c r="BI545" i="6"/>
  <c r="BH545" i="6"/>
  <c r="BG545" i="6"/>
  <c r="BF545" i="6"/>
  <c r="BE545" i="6"/>
  <c r="BD545" i="6"/>
  <c r="BC545" i="6"/>
  <c r="BB545" i="6"/>
  <c r="BA545" i="6"/>
  <c r="AZ545" i="6"/>
  <c r="AY545" i="6"/>
  <c r="AX545" i="6"/>
  <c r="AW545" i="6"/>
  <c r="AV545" i="6"/>
  <c r="AU545" i="6"/>
  <c r="H545" i="6"/>
  <c r="G545" i="6"/>
  <c r="BJ544" i="6"/>
  <c r="BI544" i="6"/>
  <c r="BH544" i="6"/>
  <c r="BG544" i="6"/>
  <c r="BF544" i="6"/>
  <c r="BE544" i="6"/>
  <c r="BD544" i="6"/>
  <c r="BC544" i="6"/>
  <c r="BB544" i="6"/>
  <c r="BA544" i="6"/>
  <c r="AZ544" i="6"/>
  <c r="AY544" i="6"/>
  <c r="AX544" i="6"/>
  <c r="AW544" i="6"/>
  <c r="AV544" i="6"/>
  <c r="AU544" i="6"/>
  <c r="H544" i="6"/>
  <c r="G544" i="6"/>
  <c r="BJ543" i="6"/>
  <c r="BI543" i="6"/>
  <c r="BH543" i="6"/>
  <c r="BG543" i="6"/>
  <c r="BF543" i="6"/>
  <c r="BE543" i="6"/>
  <c r="BD543" i="6"/>
  <c r="BC543" i="6"/>
  <c r="BB543" i="6"/>
  <c r="BA543" i="6"/>
  <c r="AZ543" i="6"/>
  <c r="AY543" i="6"/>
  <c r="AX543" i="6"/>
  <c r="AW543" i="6"/>
  <c r="AV543" i="6"/>
  <c r="AU543" i="6"/>
  <c r="H543" i="6"/>
  <c r="G543" i="6"/>
  <c r="BJ542" i="6"/>
  <c r="BI542" i="6"/>
  <c r="BH542" i="6"/>
  <c r="BG542" i="6"/>
  <c r="BF542" i="6"/>
  <c r="BE542" i="6"/>
  <c r="BD542" i="6"/>
  <c r="BC542" i="6"/>
  <c r="BB542" i="6"/>
  <c r="BA542" i="6"/>
  <c r="AZ542" i="6"/>
  <c r="AY542" i="6"/>
  <c r="AX542" i="6"/>
  <c r="AW542" i="6"/>
  <c r="AV542" i="6"/>
  <c r="AU542" i="6"/>
  <c r="H542" i="6"/>
  <c r="G542" i="6"/>
  <c r="BJ541" i="6"/>
  <c r="BI541" i="6"/>
  <c r="BH541" i="6"/>
  <c r="BG541" i="6"/>
  <c r="BF541" i="6"/>
  <c r="BE541" i="6"/>
  <c r="BD541" i="6"/>
  <c r="BC541" i="6"/>
  <c r="BB541" i="6"/>
  <c r="BA541" i="6"/>
  <c r="AZ541" i="6"/>
  <c r="AY541" i="6"/>
  <c r="AX541" i="6"/>
  <c r="AW541" i="6"/>
  <c r="AV541" i="6"/>
  <c r="AU541" i="6"/>
  <c r="H541" i="6"/>
  <c r="G541" i="6"/>
  <c r="BJ540" i="6"/>
  <c r="BI540" i="6"/>
  <c r="BH540" i="6"/>
  <c r="BG540" i="6"/>
  <c r="BF540" i="6"/>
  <c r="BE540" i="6"/>
  <c r="BD540" i="6"/>
  <c r="BC540" i="6"/>
  <c r="BB540" i="6"/>
  <c r="BA540" i="6"/>
  <c r="AZ540" i="6"/>
  <c r="AY540" i="6"/>
  <c r="AX540" i="6"/>
  <c r="AW540" i="6"/>
  <c r="AV540" i="6"/>
  <c r="AU540" i="6"/>
  <c r="H540" i="6"/>
  <c r="G540" i="6"/>
  <c r="BJ539" i="6"/>
  <c r="BI539" i="6"/>
  <c r="BH539" i="6"/>
  <c r="BG539" i="6"/>
  <c r="BF539" i="6"/>
  <c r="BE539" i="6"/>
  <c r="BD539" i="6"/>
  <c r="BC539" i="6"/>
  <c r="BB539" i="6"/>
  <c r="BA539" i="6"/>
  <c r="AZ539" i="6"/>
  <c r="AY539" i="6"/>
  <c r="AX539" i="6"/>
  <c r="AW539" i="6"/>
  <c r="AV539" i="6"/>
  <c r="AU539" i="6"/>
  <c r="H539" i="6"/>
  <c r="G539" i="6"/>
  <c r="BJ538" i="6"/>
  <c r="BI538" i="6"/>
  <c r="BH538" i="6"/>
  <c r="BG538" i="6"/>
  <c r="BF538" i="6"/>
  <c r="BE538" i="6"/>
  <c r="BD538" i="6"/>
  <c r="BC538" i="6"/>
  <c r="BB538" i="6"/>
  <c r="BA538" i="6"/>
  <c r="AZ538" i="6"/>
  <c r="AY538" i="6"/>
  <c r="AX538" i="6"/>
  <c r="AW538" i="6"/>
  <c r="AV538" i="6"/>
  <c r="AU538" i="6"/>
  <c r="H538" i="6"/>
  <c r="G538" i="6"/>
  <c r="BJ537" i="6"/>
  <c r="BI537" i="6"/>
  <c r="BH537" i="6"/>
  <c r="BG537" i="6"/>
  <c r="BF537" i="6"/>
  <c r="BE537" i="6"/>
  <c r="BD537" i="6"/>
  <c r="BC537" i="6"/>
  <c r="BB537" i="6"/>
  <c r="BA537" i="6"/>
  <c r="AZ537" i="6"/>
  <c r="AY537" i="6"/>
  <c r="AX537" i="6"/>
  <c r="AW537" i="6"/>
  <c r="AV537" i="6"/>
  <c r="AU537" i="6"/>
  <c r="H537" i="6"/>
  <c r="G537" i="6"/>
  <c r="BJ536" i="6"/>
  <c r="BI536" i="6"/>
  <c r="BH536" i="6"/>
  <c r="BG536" i="6"/>
  <c r="BF536" i="6"/>
  <c r="BE536" i="6"/>
  <c r="BD536" i="6"/>
  <c r="BC536" i="6"/>
  <c r="BB536" i="6"/>
  <c r="BA536" i="6"/>
  <c r="AZ536" i="6"/>
  <c r="AY536" i="6"/>
  <c r="AX536" i="6"/>
  <c r="AW536" i="6"/>
  <c r="AV536" i="6"/>
  <c r="AU536" i="6"/>
  <c r="H536" i="6"/>
  <c r="G536" i="6"/>
  <c r="BJ535" i="6"/>
  <c r="BI535" i="6"/>
  <c r="BH535" i="6"/>
  <c r="BG535" i="6"/>
  <c r="BF535" i="6"/>
  <c r="BE535" i="6"/>
  <c r="BD535" i="6"/>
  <c r="BC535" i="6"/>
  <c r="BB535" i="6"/>
  <c r="BA535" i="6"/>
  <c r="AZ535" i="6"/>
  <c r="AY535" i="6"/>
  <c r="AX535" i="6"/>
  <c r="AW535" i="6"/>
  <c r="AV535" i="6"/>
  <c r="AU535" i="6"/>
  <c r="H535" i="6"/>
  <c r="G535" i="6"/>
  <c r="BJ534" i="6"/>
  <c r="BI534" i="6"/>
  <c r="BH534" i="6"/>
  <c r="BG534" i="6"/>
  <c r="BF534" i="6"/>
  <c r="BE534" i="6"/>
  <c r="BD534" i="6"/>
  <c r="BC534" i="6"/>
  <c r="BB534" i="6"/>
  <c r="BA534" i="6"/>
  <c r="AZ534" i="6"/>
  <c r="AY534" i="6"/>
  <c r="AX534" i="6"/>
  <c r="AW534" i="6"/>
  <c r="AV534" i="6"/>
  <c r="AU534" i="6"/>
  <c r="H534" i="6"/>
  <c r="G534" i="6"/>
  <c r="BJ533" i="6"/>
  <c r="BI533" i="6"/>
  <c r="BH533" i="6"/>
  <c r="BG533" i="6"/>
  <c r="BF533" i="6"/>
  <c r="BE533" i="6"/>
  <c r="BD533" i="6"/>
  <c r="BC533" i="6"/>
  <c r="BB533" i="6"/>
  <c r="BA533" i="6"/>
  <c r="AZ533" i="6"/>
  <c r="AY533" i="6"/>
  <c r="AX533" i="6"/>
  <c r="AW533" i="6"/>
  <c r="AV533" i="6"/>
  <c r="AU533" i="6"/>
  <c r="H533" i="6"/>
  <c r="G533" i="6"/>
  <c r="BJ532" i="6"/>
  <c r="BI532" i="6"/>
  <c r="BH532" i="6"/>
  <c r="BG532" i="6"/>
  <c r="BF532" i="6"/>
  <c r="BE532" i="6"/>
  <c r="BD532" i="6"/>
  <c r="BC532" i="6"/>
  <c r="BB532" i="6"/>
  <c r="BA532" i="6"/>
  <c r="AZ532" i="6"/>
  <c r="AY532" i="6"/>
  <c r="AX532" i="6"/>
  <c r="AW532" i="6"/>
  <c r="AV532" i="6"/>
  <c r="AU532" i="6"/>
  <c r="H532" i="6"/>
  <c r="G532" i="6"/>
  <c r="BJ531" i="6"/>
  <c r="BI531" i="6"/>
  <c r="BH531" i="6"/>
  <c r="BG531" i="6"/>
  <c r="BF531" i="6"/>
  <c r="BE531" i="6"/>
  <c r="BD531" i="6"/>
  <c r="BC531" i="6"/>
  <c r="BB531" i="6"/>
  <c r="BA531" i="6"/>
  <c r="AZ531" i="6"/>
  <c r="AY531" i="6"/>
  <c r="AX531" i="6"/>
  <c r="AW531" i="6"/>
  <c r="AV531" i="6"/>
  <c r="AU531" i="6"/>
  <c r="H531" i="6"/>
  <c r="G531" i="6"/>
  <c r="BJ530" i="6"/>
  <c r="BI530" i="6"/>
  <c r="BH530" i="6"/>
  <c r="BG530" i="6"/>
  <c r="BF530" i="6"/>
  <c r="BE530" i="6"/>
  <c r="BD530" i="6"/>
  <c r="BC530" i="6"/>
  <c r="BB530" i="6"/>
  <c r="BA530" i="6"/>
  <c r="AZ530" i="6"/>
  <c r="AY530" i="6"/>
  <c r="AX530" i="6"/>
  <c r="AW530" i="6"/>
  <c r="AV530" i="6"/>
  <c r="AU530" i="6"/>
  <c r="H530" i="6"/>
  <c r="G530" i="6"/>
  <c r="BJ529" i="6"/>
  <c r="BI529" i="6"/>
  <c r="BH529" i="6"/>
  <c r="BG529" i="6"/>
  <c r="BF529" i="6"/>
  <c r="BE529" i="6"/>
  <c r="BD529" i="6"/>
  <c r="BC529" i="6"/>
  <c r="BB529" i="6"/>
  <c r="BA529" i="6"/>
  <c r="AZ529" i="6"/>
  <c r="AY529" i="6"/>
  <c r="AX529" i="6"/>
  <c r="AW529" i="6"/>
  <c r="AV529" i="6"/>
  <c r="AU529" i="6"/>
  <c r="H529" i="6"/>
  <c r="G529" i="6"/>
  <c r="BJ528" i="6"/>
  <c r="BI528" i="6"/>
  <c r="BH528" i="6"/>
  <c r="BG528" i="6"/>
  <c r="BF528" i="6"/>
  <c r="BE528" i="6"/>
  <c r="BD528" i="6"/>
  <c r="BC528" i="6"/>
  <c r="BB528" i="6"/>
  <c r="BA528" i="6"/>
  <c r="AZ528" i="6"/>
  <c r="AY528" i="6"/>
  <c r="AX528" i="6"/>
  <c r="AW528" i="6"/>
  <c r="AV528" i="6"/>
  <c r="AU528" i="6"/>
  <c r="H528" i="6"/>
  <c r="G528" i="6"/>
  <c r="BJ527" i="6"/>
  <c r="BI527" i="6"/>
  <c r="BH527" i="6"/>
  <c r="BG527" i="6"/>
  <c r="BF527" i="6"/>
  <c r="BE527" i="6"/>
  <c r="BD527" i="6"/>
  <c r="BC527" i="6"/>
  <c r="BB527" i="6"/>
  <c r="BA527" i="6"/>
  <c r="AZ527" i="6"/>
  <c r="AY527" i="6"/>
  <c r="AX527" i="6"/>
  <c r="AW527" i="6"/>
  <c r="AV527" i="6"/>
  <c r="AU527" i="6"/>
  <c r="H527" i="6"/>
  <c r="G527" i="6"/>
  <c r="BJ526" i="6"/>
  <c r="BI526" i="6"/>
  <c r="BH526" i="6"/>
  <c r="BG526" i="6"/>
  <c r="BF526" i="6"/>
  <c r="BE526" i="6"/>
  <c r="BD526" i="6"/>
  <c r="BC526" i="6"/>
  <c r="BB526" i="6"/>
  <c r="BA526" i="6"/>
  <c r="AZ526" i="6"/>
  <c r="AY526" i="6"/>
  <c r="AX526" i="6"/>
  <c r="AW526" i="6"/>
  <c r="AV526" i="6"/>
  <c r="AU526" i="6"/>
  <c r="H526" i="6"/>
  <c r="G526" i="6"/>
  <c r="BJ525" i="6"/>
  <c r="BI525" i="6"/>
  <c r="BH525" i="6"/>
  <c r="BG525" i="6"/>
  <c r="BF525" i="6"/>
  <c r="BE525" i="6"/>
  <c r="BD525" i="6"/>
  <c r="BC525" i="6"/>
  <c r="BB525" i="6"/>
  <c r="BA525" i="6"/>
  <c r="AZ525" i="6"/>
  <c r="AY525" i="6"/>
  <c r="AX525" i="6"/>
  <c r="AW525" i="6"/>
  <c r="AV525" i="6"/>
  <c r="AU525" i="6"/>
  <c r="H525" i="6"/>
  <c r="G525" i="6"/>
  <c r="BJ524" i="6"/>
  <c r="BI524" i="6"/>
  <c r="BH524" i="6"/>
  <c r="BG524" i="6"/>
  <c r="BF524" i="6"/>
  <c r="BE524" i="6"/>
  <c r="BD524" i="6"/>
  <c r="BC524" i="6"/>
  <c r="BB524" i="6"/>
  <c r="BA524" i="6"/>
  <c r="AZ524" i="6"/>
  <c r="AY524" i="6"/>
  <c r="AX524" i="6"/>
  <c r="AW524" i="6"/>
  <c r="AV524" i="6"/>
  <c r="AU524" i="6"/>
  <c r="H524" i="6"/>
  <c r="G524" i="6"/>
  <c r="BJ523" i="6"/>
  <c r="BI523" i="6"/>
  <c r="BH523" i="6"/>
  <c r="BG523" i="6"/>
  <c r="BF523" i="6"/>
  <c r="BE523" i="6"/>
  <c r="BD523" i="6"/>
  <c r="BC523" i="6"/>
  <c r="BB523" i="6"/>
  <c r="BA523" i="6"/>
  <c r="AZ523" i="6"/>
  <c r="AY523" i="6"/>
  <c r="AX523" i="6"/>
  <c r="AW523" i="6"/>
  <c r="AV523" i="6"/>
  <c r="AU523" i="6"/>
  <c r="H523" i="6"/>
  <c r="G523" i="6"/>
  <c r="BJ522" i="6"/>
  <c r="BI522" i="6"/>
  <c r="BH522" i="6"/>
  <c r="BG522" i="6"/>
  <c r="BF522" i="6"/>
  <c r="BE522" i="6"/>
  <c r="BD522" i="6"/>
  <c r="BC522" i="6"/>
  <c r="BB522" i="6"/>
  <c r="BA522" i="6"/>
  <c r="AZ522" i="6"/>
  <c r="AY522" i="6"/>
  <c r="AX522" i="6"/>
  <c r="AW522" i="6"/>
  <c r="AV522" i="6"/>
  <c r="AU522" i="6"/>
  <c r="H522" i="6"/>
  <c r="G522" i="6"/>
  <c r="BJ521" i="6"/>
  <c r="BI521" i="6"/>
  <c r="BH521" i="6"/>
  <c r="BG521" i="6"/>
  <c r="BF521" i="6"/>
  <c r="BE521" i="6"/>
  <c r="BD521" i="6"/>
  <c r="BC521" i="6"/>
  <c r="BB521" i="6"/>
  <c r="BA521" i="6"/>
  <c r="AZ521" i="6"/>
  <c r="AY521" i="6"/>
  <c r="AX521" i="6"/>
  <c r="AW521" i="6"/>
  <c r="AV521" i="6"/>
  <c r="AU521" i="6"/>
  <c r="H521" i="6"/>
  <c r="G521" i="6"/>
  <c r="BJ520" i="6"/>
  <c r="BI520" i="6"/>
  <c r="BH520" i="6"/>
  <c r="BG520" i="6"/>
  <c r="BF520" i="6"/>
  <c r="BE520" i="6"/>
  <c r="BD520" i="6"/>
  <c r="BC520" i="6"/>
  <c r="BB520" i="6"/>
  <c r="BA520" i="6"/>
  <c r="AZ520" i="6"/>
  <c r="AY520" i="6"/>
  <c r="AX520" i="6"/>
  <c r="AW520" i="6"/>
  <c r="AV520" i="6"/>
  <c r="AU520" i="6"/>
  <c r="H520" i="6"/>
  <c r="G520" i="6"/>
  <c r="BJ519" i="6"/>
  <c r="BI519" i="6"/>
  <c r="BH519" i="6"/>
  <c r="BG519" i="6"/>
  <c r="BF519" i="6"/>
  <c r="BE519" i="6"/>
  <c r="BD519" i="6"/>
  <c r="BC519" i="6"/>
  <c r="BB519" i="6"/>
  <c r="BA519" i="6"/>
  <c r="AZ519" i="6"/>
  <c r="AY519" i="6"/>
  <c r="AX519" i="6"/>
  <c r="AW519" i="6"/>
  <c r="AV519" i="6"/>
  <c r="AU519" i="6"/>
  <c r="H519" i="6"/>
  <c r="G519" i="6"/>
  <c r="BJ518" i="6"/>
  <c r="BI518" i="6"/>
  <c r="BH518" i="6"/>
  <c r="BG518" i="6"/>
  <c r="BF518" i="6"/>
  <c r="BE518" i="6"/>
  <c r="BD518" i="6"/>
  <c r="BC518" i="6"/>
  <c r="BB518" i="6"/>
  <c r="BA518" i="6"/>
  <c r="AZ518" i="6"/>
  <c r="AY518" i="6"/>
  <c r="AX518" i="6"/>
  <c r="AW518" i="6"/>
  <c r="AV518" i="6"/>
  <c r="AU518" i="6"/>
  <c r="H518" i="6"/>
  <c r="G518" i="6"/>
  <c r="BJ517" i="6"/>
  <c r="BI517" i="6"/>
  <c r="BH517" i="6"/>
  <c r="BG517" i="6"/>
  <c r="BF517" i="6"/>
  <c r="BE517" i="6"/>
  <c r="BD517" i="6"/>
  <c r="BC517" i="6"/>
  <c r="BB517" i="6"/>
  <c r="BA517" i="6"/>
  <c r="AZ517" i="6"/>
  <c r="AY517" i="6"/>
  <c r="AX517" i="6"/>
  <c r="AW517" i="6"/>
  <c r="AV517" i="6"/>
  <c r="AU517" i="6"/>
  <c r="H517" i="6"/>
  <c r="G517" i="6"/>
  <c r="BJ516" i="6"/>
  <c r="BI516" i="6"/>
  <c r="BH516" i="6"/>
  <c r="BG516" i="6"/>
  <c r="BF516" i="6"/>
  <c r="BE516" i="6"/>
  <c r="BD516" i="6"/>
  <c r="BC516" i="6"/>
  <c r="BB516" i="6"/>
  <c r="BA516" i="6"/>
  <c r="AZ516" i="6"/>
  <c r="AY516" i="6"/>
  <c r="AX516" i="6"/>
  <c r="AW516" i="6"/>
  <c r="AV516" i="6"/>
  <c r="AU516" i="6"/>
  <c r="H516" i="6"/>
  <c r="G516" i="6"/>
  <c r="BJ515" i="6"/>
  <c r="BI515" i="6"/>
  <c r="BH515" i="6"/>
  <c r="BG515" i="6"/>
  <c r="BF515" i="6"/>
  <c r="BE515" i="6"/>
  <c r="BD515" i="6"/>
  <c r="BC515" i="6"/>
  <c r="BB515" i="6"/>
  <c r="BA515" i="6"/>
  <c r="AZ515" i="6"/>
  <c r="AY515" i="6"/>
  <c r="AX515" i="6"/>
  <c r="AW515" i="6"/>
  <c r="AV515" i="6"/>
  <c r="AU515" i="6"/>
  <c r="H515" i="6"/>
  <c r="G515" i="6"/>
  <c r="BJ514" i="6"/>
  <c r="BI514" i="6"/>
  <c r="BH514" i="6"/>
  <c r="BG514" i="6"/>
  <c r="BF514" i="6"/>
  <c r="BE514" i="6"/>
  <c r="BD514" i="6"/>
  <c r="BC514" i="6"/>
  <c r="BB514" i="6"/>
  <c r="BA514" i="6"/>
  <c r="AZ514" i="6"/>
  <c r="AY514" i="6"/>
  <c r="AX514" i="6"/>
  <c r="AW514" i="6"/>
  <c r="AV514" i="6"/>
  <c r="AU514" i="6"/>
  <c r="H514" i="6"/>
  <c r="G514" i="6"/>
  <c r="BJ513" i="6"/>
  <c r="BI513" i="6"/>
  <c r="BH513" i="6"/>
  <c r="BG513" i="6"/>
  <c r="BF513" i="6"/>
  <c r="BE513" i="6"/>
  <c r="BD513" i="6"/>
  <c r="BC513" i="6"/>
  <c r="BB513" i="6"/>
  <c r="BA513" i="6"/>
  <c r="AZ513" i="6"/>
  <c r="AY513" i="6"/>
  <c r="AX513" i="6"/>
  <c r="AW513" i="6"/>
  <c r="AV513" i="6"/>
  <c r="AU513" i="6"/>
  <c r="H513" i="6"/>
  <c r="G513" i="6"/>
  <c r="BJ512" i="6"/>
  <c r="BI512" i="6"/>
  <c r="BH512" i="6"/>
  <c r="BG512" i="6"/>
  <c r="BF512" i="6"/>
  <c r="BE512" i="6"/>
  <c r="BD512" i="6"/>
  <c r="BC512" i="6"/>
  <c r="BB512" i="6"/>
  <c r="BA512" i="6"/>
  <c r="AZ512" i="6"/>
  <c r="AY512" i="6"/>
  <c r="AX512" i="6"/>
  <c r="AW512" i="6"/>
  <c r="AV512" i="6"/>
  <c r="AU512" i="6"/>
  <c r="H512" i="6"/>
  <c r="G512" i="6"/>
  <c r="BJ511" i="6"/>
  <c r="BI511" i="6"/>
  <c r="BH511" i="6"/>
  <c r="BG511" i="6"/>
  <c r="BF511" i="6"/>
  <c r="BE511" i="6"/>
  <c r="BD511" i="6"/>
  <c r="BC511" i="6"/>
  <c r="BB511" i="6"/>
  <c r="BA511" i="6"/>
  <c r="AZ511" i="6"/>
  <c r="AY511" i="6"/>
  <c r="AX511" i="6"/>
  <c r="AW511" i="6"/>
  <c r="AV511" i="6"/>
  <c r="AU511" i="6"/>
  <c r="H511" i="6"/>
  <c r="G511" i="6"/>
  <c r="BJ510" i="6"/>
  <c r="BI510" i="6"/>
  <c r="BH510" i="6"/>
  <c r="BG510" i="6"/>
  <c r="BF510" i="6"/>
  <c r="BE510" i="6"/>
  <c r="BD510" i="6"/>
  <c r="BC510" i="6"/>
  <c r="BB510" i="6"/>
  <c r="BA510" i="6"/>
  <c r="AZ510" i="6"/>
  <c r="AY510" i="6"/>
  <c r="AX510" i="6"/>
  <c r="AW510" i="6"/>
  <c r="AV510" i="6"/>
  <c r="AU510" i="6"/>
  <c r="H510" i="6"/>
  <c r="G510" i="6"/>
  <c r="BJ509" i="6"/>
  <c r="BI509" i="6"/>
  <c r="BH509" i="6"/>
  <c r="BG509" i="6"/>
  <c r="BF509" i="6"/>
  <c r="BE509" i="6"/>
  <c r="BD509" i="6"/>
  <c r="BC509" i="6"/>
  <c r="BB509" i="6"/>
  <c r="BA509" i="6"/>
  <c r="AZ509" i="6"/>
  <c r="AY509" i="6"/>
  <c r="AX509" i="6"/>
  <c r="AW509" i="6"/>
  <c r="AV509" i="6"/>
  <c r="AU509" i="6"/>
  <c r="H509" i="6"/>
  <c r="G509" i="6"/>
  <c r="BJ508" i="6"/>
  <c r="BI508" i="6"/>
  <c r="BH508" i="6"/>
  <c r="BG508" i="6"/>
  <c r="BF508" i="6"/>
  <c r="BE508" i="6"/>
  <c r="BD508" i="6"/>
  <c r="BC508" i="6"/>
  <c r="BB508" i="6"/>
  <c r="BA508" i="6"/>
  <c r="AZ508" i="6"/>
  <c r="AY508" i="6"/>
  <c r="AX508" i="6"/>
  <c r="AW508" i="6"/>
  <c r="AV508" i="6"/>
  <c r="AU508" i="6"/>
  <c r="H508" i="6"/>
  <c r="G508" i="6"/>
  <c r="BJ507" i="6"/>
  <c r="BI507" i="6"/>
  <c r="BH507" i="6"/>
  <c r="BG507" i="6"/>
  <c r="BF507" i="6"/>
  <c r="BE507" i="6"/>
  <c r="BD507" i="6"/>
  <c r="BC507" i="6"/>
  <c r="BB507" i="6"/>
  <c r="BA507" i="6"/>
  <c r="AZ507" i="6"/>
  <c r="AY507" i="6"/>
  <c r="AX507" i="6"/>
  <c r="AW507" i="6"/>
  <c r="AV507" i="6"/>
  <c r="AU507" i="6"/>
  <c r="H507" i="6"/>
  <c r="G507" i="6"/>
  <c r="BJ506" i="6"/>
  <c r="BI506" i="6"/>
  <c r="BH506" i="6"/>
  <c r="BG506" i="6"/>
  <c r="BF506" i="6"/>
  <c r="BE506" i="6"/>
  <c r="BD506" i="6"/>
  <c r="BC506" i="6"/>
  <c r="BB506" i="6"/>
  <c r="BA506" i="6"/>
  <c r="AZ506" i="6"/>
  <c r="AY506" i="6"/>
  <c r="AX506" i="6"/>
  <c r="AW506" i="6"/>
  <c r="AV506" i="6"/>
  <c r="AU506" i="6"/>
  <c r="H506" i="6"/>
  <c r="G506" i="6"/>
  <c r="BJ505" i="6"/>
  <c r="BI505" i="6"/>
  <c r="BH505" i="6"/>
  <c r="BG505" i="6"/>
  <c r="BF505" i="6"/>
  <c r="BE505" i="6"/>
  <c r="BD505" i="6"/>
  <c r="BC505" i="6"/>
  <c r="BB505" i="6"/>
  <c r="BA505" i="6"/>
  <c r="AZ505" i="6"/>
  <c r="AY505" i="6"/>
  <c r="AX505" i="6"/>
  <c r="AW505" i="6"/>
  <c r="AV505" i="6"/>
  <c r="AU505" i="6"/>
  <c r="H505" i="6"/>
  <c r="G505" i="6"/>
  <c r="BJ504" i="6"/>
  <c r="BI504" i="6"/>
  <c r="BH504" i="6"/>
  <c r="BG504" i="6"/>
  <c r="BF504" i="6"/>
  <c r="BE504" i="6"/>
  <c r="BD504" i="6"/>
  <c r="BC504" i="6"/>
  <c r="BB504" i="6"/>
  <c r="BA504" i="6"/>
  <c r="AZ504" i="6"/>
  <c r="AY504" i="6"/>
  <c r="AX504" i="6"/>
  <c r="AW504" i="6"/>
  <c r="AV504" i="6"/>
  <c r="AU504" i="6"/>
  <c r="H504" i="6"/>
  <c r="G504" i="6"/>
  <c r="BJ503" i="6"/>
  <c r="BI503" i="6"/>
  <c r="BH503" i="6"/>
  <c r="BG503" i="6"/>
  <c r="BF503" i="6"/>
  <c r="BE503" i="6"/>
  <c r="BD503" i="6"/>
  <c r="BC503" i="6"/>
  <c r="BB503" i="6"/>
  <c r="BA503" i="6"/>
  <c r="AZ503" i="6"/>
  <c r="AY503" i="6"/>
  <c r="AX503" i="6"/>
  <c r="AW503" i="6"/>
  <c r="AV503" i="6"/>
  <c r="AU503" i="6"/>
  <c r="H503" i="6"/>
  <c r="G503" i="6"/>
  <c r="BJ502" i="6"/>
  <c r="BI502" i="6"/>
  <c r="BH502" i="6"/>
  <c r="BG502" i="6"/>
  <c r="BF502" i="6"/>
  <c r="BE502" i="6"/>
  <c r="BD502" i="6"/>
  <c r="BC502" i="6"/>
  <c r="BB502" i="6"/>
  <c r="BA502" i="6"/>
  <c r="AZ502" i="6"/>
  <c r="AY502" i="6"/>
  <c r="AX502" i="6"/>
  <c r="AW502" i="6"/>
  <c r="AV502" i="6"/>
  <c r="AU502" i="6"/>
  <c r="H502" i="6"/>
  <c r="G502" i="6"/>
  <c r="BJ501" i="6"/>
  <c r="BI501" i="6"/>
  <c r="BH501" i="6"/>
  <c r="BG501" i="6"/>
  <c r="BF501" i="6"/>
  <c r="BE501" i="6"/>
  <c r="BD501" i="6"/>
  <c r="BC501" i="6"/>
  <c r="BB501" i="6"/>
  <c r="BA501" i="6"/>
  <c r="AZ501" i="6"/>
  <c r="AY501" i="6"/>
  <c r="AX501" i="6"/>
  <c r="AW501" i="6"/>
  <c r="AV501" i="6"/>
  <c r="AU501" i="6"/>
  <c r="H501" i="6"/>
  <c r="G501" i="6"/>
  <c r="BJ500" i="6"/>
  <c r="BI500" i="6"/>
  <c r="BH500" i="6"/>
  <c r="BG500" i="6"/>
  <c r="BF500" i="6"/>
  <c r="BE500" i="6"/>
  <c r="BD500" i="6"/>
  <c r="BC500" i="6"/>
  <c r="BB500" i="6"/>
  <c r="BA500" i="6"/>
  <c r="AZ500" i="6"/>
  <c r="AY500" i="6"/>
  <c r="AX500" i="6"/>
  <c r="AW500" i="6"/>
  <c r="AV500" i="6"/>
  <c r="AU500" i="6"/>
  <c r="H500" i="6"/>
  <c r="G500" i="6"/>
  <c r="BJ499" i="6"/>
  <c r="BI499" i="6"/>
  <c r="BH499" i="6"/>
  <c r="BG499" i="6"/>
  <c r="BF499" i="6"/>
  <c r="BE499" i="6"/>
  <c r="BD499" i="6"/>
  <c r="BC499" i="6"/>
  <c r="BB499" i="6"/>
  <c r="BA499" i="6"/>
  <c r="AZ499" i="6"/>
  <c r="AY499" i="6"/>
  <c r="AX499" i="6"/>
  <c r="AW499" i="6"/>
  <c r="AV499" i="6"/>
  <c r="AU499" i="6"/>
  <c r="H499" i="6"/>
  <c r="G499" i="6"/>
  <c r="BJ498" i="6"/>
  <c r="BI498" i="6"/>
  <c r="BH498" i="6"/>
  <c r="BG498" i="6"/>
  <c r="BF498" i="6"/>
  <c r="BE498" i="6"/>
  <c r="BD498" i="6"/>
  <c r="BC498" i="6"/>
  <c r="BB498" i="6"/>
  <c r="BA498" i="6"/>
  <c r="AZ498" i="6"/>
  <c r="AY498" i="6"/>
  <c r="AX498" i="6"/>
  <c r="AW498" i="6"/>
  <c r="AV498" i="6"/>
  <c r="AU498" i="6"/>
  <c r="H498" i="6"/>
  <c r="G498" i="6"/>
  <c r="BJ497" i="6"/>
  <c r="BI497" i="6"/>
  <c r="BH497" i="6"/>
  <c r="BG497" i="6"/>
  <c r="BF497" i="6"/>
  <c r="BE497" i="6"/>
  <c r="BD497" i="6"/>
  <c r="BC497" i="6"/>
  <c r="BB497" i="6"/>
  <c r="BA497" i="6"/>
  <c r="AZ497" i="6"/>
  <c r="AY497" i="6"/>
  <c r="AX497" i="6"/>
  <c r="AW497" i="6"/>
  <c r="AV497" i="6"/>
  <c r="AU497" i="6"/>
  <c r="H497" i="6"/>
  <c r="G497" i="6"/>
  <c r="BJ496" i="6"/>
  <c r="BI496" i="6"/>
  <c r="BH496" i="6"/>
  <c r="BG496" i="6"/>
  <c r="BF496" i="6"/>
  <c r="BE496" i="6"/>
  <c r="BD496" i="6"/>
  <c r="BC496" i="6"/>
  <c r="BB496" i="6"/>
  <c r="BA496" i="6"/>
  <c r="AZ496" i="6"/>
  <c r="AY496" i="6"/>
  <c r="AX496" i="6"/>
  <c r="AW496" i="6"/>
  <c r="AV496" i="6"/>
  <c r="AU496" i="6"/>
  <c r="H496" i="6"/>
  <c r="G496" i="6"/>
  <c r="BJ495" i="6"/>
  <c r="BI495" i="6"/>
  <c r="BH495" i="6"/>
  <c r="BG495" i="6"/>
  <c r="BF495" i="6"/>
  <c r="BE495" i="6"/>
  <c r="BD495" i="6"/>
  <c r="BC495" i="6"/>
  <c r="BB495" i="6"/>
  <c r="BA495" i="6"/>
  <c r="AZ495" i="6"/>
  <c r="AY495" i="6"/>
  <c r="AX495" i="6"/>
  <c r="AW495" i="6"/>
  <c r="AV495" i="6"/>
  <c r="AU495" i="6"/>
  <c r="H495" i="6"/>
  <c r="G495" i="6"/>
  <c r="BJ494" i="6"/>
  <c r="BI494" i="6"/>
  <c r="BH494" i="6"/>
  <c r="BG494" i="6"/>
  <c r="BF494" i="6"/>
  <c r="BE494" i="6"/>
  <c r="BD494" i="6"/>
  <c r="BC494" i="6"/>
  <c r="BB494" i="6"/>
  <c r="BA494" i="6"/>
  <c r="AZ494" i="6"/>
  <c r="AY494" i="6"/>
  <c r="AX494" i="6"/>
  <c r="AW494" i="6"/>
  <c r="AV494" i="6"/>
  <c r="AU494" i="6"/>
  <c r="H494" i="6"/>
  <c r="G494" i="6"/>
  <c r="BJ493" i="6"/>
  <c r="BI493" i="6"/>
  <c r="BH493" i="6"/>
  <c r="BG493" i="6"/>
  <c r="BF493" i="6"/>
  <c r="BE493" i="6"/>
  <c r="BD493" i="6"/>
  <c r="BC493" i="6"/>
  <c r="BB493" i="6"/>
  <c r="BA493" i="6"/>
  <c r="AZ493" i="6"/>
  <c r="AY493" i="6"/>
  <c r="AX493" i="6"/>
  <c r="AW493" i="6"/>
  <c r="AV493" i="6"/>
  <c r="AU493" i="6"/>
  <c r="H493" i="6"/>
  <c r="G493" i="6"/>
  <c r="BJ492" i="6"/>
  <c r="BI492" i="6"/>
  <c r="BH492" i="6"/>
  <c r="BG492" i="6"/>
  <c r="BF492" i="6"/>
  <c r="BE492" i="6"/>
  <c r="BD492" i="6"/>
  <c r="BC492" i="6"/>
  <c r="BB492" i="6"/>
  <c r="BA492" i="6"/>
  <c r="AZ492" i="6"/>
  <c r="AY492" i="6"/>
  <c r="AX492" i="6"/>
  <c r="AW492" i="6"/>
  <c r="AV492" i="6"/>
  <c r="AU492" i="6"/>
  <c r="H492" i="6"/>
  <c r="G492" i="6"/>
  <c r="BJ491" i="6"/>
  <c r="BI491" i="6"/>
  <c r="BH491" i="6"/>
  <c r="BG491" i="6"/>
  <c r="BF491" i="6"/>
  <c r="BE491" i="6"/>
  <c r="BD491" i="6"/>
  <c r="BC491" i="6"/>
  <c r="BB491" i="6"/>
  <c r="BA491" i="6"/>
  <c r="AZ491" i="6"/>
  <c r="AY491" i="6"/>
  <c r="AX491" i="6"/>
  <c r="AW491" i="6"/>
  <c r="AV491" i="6"/>
  <c r="AU491" i="6"/>
  <c r="H491" i="6"/>
  <c r="G491" i="6"/>
  <c r="BJ490" i="6"/>
  <c r="BI490" i="6"/>
  <c r="BH490" i="6"/>
  <c r="BG490" i="6"/>
  <c r="BF490" i="6"/>
  <c r="BE490" i="6"/>
  <c r="BD490" i="6"/>
  <c r="BC490" i="6"/>
  <c r="BB490" i="6"/>
  <c r="BA490" i="6"/>
  <c r="AZ490" i="6"/>
  <c r="AY490" i="6"/>
  <c r="AX490" i="6"/>
  <c r="AW490" i="6"/>
  <c r="AV490" i="6"/>
  <c r="AU490" i="6"/>
  <c r="H490" i="6"/>
  <c r="G490" i="6"/>
  <c r="BJ489" i="6"/>
  <c r="BI489" i="6"/>
  <c r="BH489" i="6"/>
  <c r="BG489" i="6"/>
  <c r="BF489" i="6"/>
  <c r="BE489" i="6"/>
  <c r="BD489" i="6"/>
  <c r="BC489" i="6"/>
  <c r="BB489" i="6"/>
  <c r="BA489" i="6"/>
  <c r="AZ489" i="6"/>
  <c r="AY489" i="6"/>
  <c r="AX489" i="6"/>
  <c r="AW489" i="6"/>
  <c r="AV489" i="6"/>
  <c r="AU489" i="6"/>
  <c r="H489" i="6"/>
  <c r="G489" i="6"/>
  <c r="BJ488" i="6"/>
  <c r="BI488" i="6"/>
  <c r="BH488" i="6"/>
  <c r="BG488" i="6"/>
  <c r="BF488" i="6"/>
  <c r="BE488" i="6"/>
  <c r="BD488" i="6"/>
  <c r="BC488" i="6"/>
  <c r="BB488" i="6"/>
  <c r="BA488" i="6"/>
  <c r="AZ488" i="6"/>
  <c r="AY488" i="6"/>
  <c r="AX488" i="6"/>
  <c r="AW488" i="6"/>
  <c r="AV488" i="6"/>
  <c r="AU488" i="6"/>
  <c r="H488" i="6"/>
  <c r="G488" i="6"/>
  <c r="BJ487" i="6"/>
  <c r="BI487" i="6"/>
  <c r="BH487" i="6"/>
  <c r="BG487" i="6"/>
  <c r="BF487" i="6"/>
  <c r="BE487" i="6"/>
  <c r="BD487" i="6"/>
  <c r="BC487" i="6"/>
  <c r="BB487" i="6"/>
  <c r="BA487" i="6"/>
  <c r="AZ487" i="6"/>
  <c r="AY487" i="6"/>
  <c r="AX487" i="6"/>
  <c r="AW487" i="6"/>
  <c r="AV487" i="6"/>
  <c r="AU487" i="6"/>
  <c r="H487" i="6"/>
  <c r="G487" i="6"/>
  <c r="BJ486" i="6"/>
  <c r="BI486" i="6"/>
  <c r="BH486" i="6"/>
  <c r="BG486" i="6"/>
  <c r="BF486" i="6"/>
  <c r="BE486" i="6"/>
  <c r="BD486" i="6"/>
  <c r="BC486" i="6"/>
  <c r="BB486" i="6"/>
  <c r="BA486" i="6"/>
  <c r="AZ486" i="6"/>
  <c r="AY486" i="6"/>
  <c r="AX486" i="6"/>
  <c r="AW486" i="6"/>
  <c r="AV486" i="6"/>
  <c r="AU486" i="6"/>
  <c r="H486" i="6"/>
  <c r="G486" i="6"/>
  <c r="BJ485" i="6"/>
  <c r="BI485" i="6"/>
  <c r="BH485" i="6"/>
  <c r="BG485" i="6"/>
  <c r="BF485" i="6"/>
  <c r="BE485" i="6"/>
  <c r="BD485" i="6"/>
  <c r="BC485" i="6"/>
  <c r="BB485" i="6"/>
  <c r="BA485" i="6"/>
  <c r="AZ485" i="6"/>
  <c r="AY485" i="6"/>
  <c r="AX485" i="6"/>
  <c r="AW485" i="6"/>
  <c r="AV485" i="6"/>
  <c r="AU485" i="6"/>
  <c r="H485" i="6"/>
  <c r="G485" i="6"/>
  <c r="BJ484" i="6"/>
  <c r="BI484" i="6"/>
  <c r="BH484" i="6"/>
  <c r="BG484" i="6"/>
  <c r="BF484" i="6"/>
  <c r="BE484" i="6"/>
  <c r="BD484" i="6"/>
  <c r="BC484" i="6"/>
  <c r="BB484" i="6"/>
  <c r="BA484" i="6"/>
  <c r="AZ484" i="6"/>
  <c r="AY484" i="6"/>
  <c r="AX484" i="6"/>
  <c r="AW484" i="6"/>
  <c r="AV484" i="6"/>
  <c r="AU484" i="6"/>
  <c r="H484" i="6"/>
  <c r="G484" i="6"/>
  <c r="BJ483" i="6"/>
  <c r="BI483" i="6"/>
  <c r="BH483" i="6"/>
  <c r="BG483" i="6"/>
  <c r="BF483" i="6"/>
  <c r="BE483" i="6"/>
  <c r="BD483" i="6"/>
  <c r="BC483" i="6"/>
  <c r="BB483" i="6"/>
  <c r="BA483" i="6"/>
  <c r="AZ483" i="6"/>
  <c r="AY483" i="6"/>
  <c r="AX483" i="6"/>
  <c r="AW483" i="6"/>
  <c r="AV483" i="6"/>
  <c r="AU483" i="6"/>
  <c r="H483" i="6"/>
  <c r="G483" i="6"/>
  <c r="BJ482" i="6"/>
  <c r="BI482" i="6"/>
  <c r="BH482" i="6"/>
  <c r="BG482" i="6"/>
  <c r="BF482" i="6"/>
  <c r="BE482" i="6"/>
  <c r="BD482" i="6"/>
  <c r="BC482" i="6"/>
  <c r="BB482" i="6"/>
  <c r="BA482" i="6"/>
  <c r="AZ482" i="6"/>
  <c r="AY482" i="6"/>
  <c r="AX482" i="6"/>
  <c r="AW482" i="6"/>
  <c r="AV482" i="6"/>
  <c r="AU482" i="6"/>
  <c r="H482" i="6"/>
  <c r="G482" i="6"/>
  <c r="BJ481" i="6"/>
  <c r="BI481" i="6"/>
  <c r="BH481" i="6"/>
  <c r="BG481" i="6"/>
  <c r="BF481" i="6"/>
  <c r="BE481" i="6"/>
  <c r="BD481" i="6"/>
  <c r="BC481" i="6"/>
  <c r="BB481" i="6"/>
  <c r="BA481" i="6"/>
  <c r="AZ481" i="6"/>
  <c r="AY481" i="6"/>
  <c r="AX481" i="6"/>
  <c r="AW481" i="6"/>
  <c r="AV481" i="6"/>
  <c r="AU481" i="6"/>
  <c r="H481" i="6"/>
  <c r="G481" i="6"/>
  <c r="BJ480" i="6"/>
  <c r="BI480" i="6"/>
  <c r="BH480" i="6"/>
  <c r="BG480" i="6"/>
  <c r="BF480" i="6"/>
  <c r="BE480" i="6"/>
  <c r="BD480" i="6"/>
  <c r="BC480" i="6"/>
  <c r="BB480" i="6"/>
  <c r="BA480" i="6"/>
  <c r="AZ480" i="6"/>
  <c r="AY480" i="6"/>
  <c r="AX480" i="6"/>
  <c r="AW480" i="6"/>
  <c r="AV480" i="6"/>
  <c r="AU480" i="6"/>
  <c r="H480" i="6"/>
  <c r="G480" i="6"/>
  <c r="BJ479" i="6"/>
  <c r="BI479" i="6"/>
  <c r="BH479" i="6"/>
  <c r="BG479" i="6"/>
  <c r="BF479" i="6"/>
  <c r="BE479" i="6"/>
  <c r="BD479" i="6"/>
  <c r="BC479" i="6"/>
  <c r="BB479" i="6"/>
  <c r="BA479" i="6"/>
  <c r="AZ479" i="6"/>
  <c r="AY479" i="6"/>
  <c r="AX479" i="6"/>
  <c r="AW479" i="6"/>
  <c r="AV479" i="6"/>
  <c r="AU479" i="6"/>
  <c r="H479" i="6"/>
  <c r="G479" i="6"/>
  <c r="BJ478" i="6"/>
  <c r="BI478" i="6"/>
  <c r="BH478" i="6"/>
  <c r="BG478" i="6"/>
  <c r="BF478" i="6"/>
  <c r="BE478" i="6"/>
  <c r="BD478" i="6"/>
  <c r="BC478" i="6"/>
  <c r="BB478" i="6"/>
  <c r="BA478" i="6"/>
  <c r="AZ478" i="6"/>
  <c r="AY478" i="6"/>
  <c r="AX478" i="6"/>
  <c r="AW478" i="6"/>
  <c r="AV478" i="6"/>
  <c r="AU478" i="6"/>
  <c r="H478" i="6"/>
  <c r="G478" i="6"/>
  <c r="BJ477" i="6"/>
  <c r="BI477" i="6"/>
  <c r="BH477" i="6"/>
  <c r="BG477" i="6"/>
  <c r="BF477" i="6"/>
  <c r="BE477" i="6"/>
  <c r="BD477" i="6"/>
  <c r="BC477" i="6"/>
  <c r="BB477" i="6"/>
  <c r="BA477" i="6"/>
  <c r="AZ477" i="6"/>
  <c r="AY477" i="6"/>
  <c r="AX477" i="6"/>
  <c r="AW477" i="6"/>
  <c r="AV477" i="6"/>
  <c r="AU477" i="6"/>
  <c r="H477" i="6"/>
  <c r="G477" i="6"/>
  <c r="BJ476" i="6"/>
  <c r="BI476" i="6"/>
  <c r="BH476" i="6"/>
  <c r="BG476" i="6"/>
  <c r="BF476" i="6"/>
  <c r="BE476" i="6"/>
  <c r="BD476" i="6"/>
  <c r="BC476" i="6"/>
  <c r="BB476" i="6"/>
  <c r="BA476" i="6"/>
  <c r="AZ476" i="6"/>
  <c r="AY476" i="6"/>
  <c r="AX476" i="6"/>
  <c r="AW476" i="6"/>
  <c r="AV476" i="6"/>
  <c r="AU476" i="6"/>
  <c r="H476" i="6"/>
  <c r="G476" i="6"/>
  <c r="BJ475" i="6"/>
  <c r="BI475" i="6"/>
  <c r="BH475" i="6"/>
  <c r="BG475" i="6"/>
  <c r="BF475" i="6"/>
  <c r="BE475" i="6"/>
  <c r="BD475" i="6"/>
  <c r="BC475" i="6"/>
  <c r="BB475" i="6"/>
  <c r="BA475" i="6"/>
  <c r="AZ475" i="6"/>
  <c r="AY475" i="6"/>
  <c r="AX475" i="6"/>
  <c r="AW475" i="6"/>
  <c r="AV475" i="6"/>
  <c r="AU475" i="6"/>
  <c r="H475" i="6"/>
  <c r="G475" i="6"/>
  <c r="BJ474" i="6"/>
  <c r="BI474" i="6"/>
  <c r="BH474" i="6"/>
  <c r="BG474" i="6"/>
  <c r="BF474" i="6"/>
  <c r="BE474" i="6"/>
  <c r="BD474" i="6"/>
  <c r="BC474" i="6"/>
  <c r="BB474" i="6"/>
  <c r="BA474" i="6"/>
  <c r="AZ474" i="6"/>
  <c r="AY474" i="6"/>
  <c r="AX474" i="6"/>
  <c r="AW474" i="6"/>
  <c r="AV474" i="6"/>
  <c r="AU474" i="6"/>
  <c r="H474" i="6"/>
  <c r="G474" i="6"/>
  <c r="BJ473" i="6"/>
  <c r="BI473" i="6"/>
  <c r="BH473" i="6"/>
  <c r="BG473" i="6"/>
  <c r="BF473" i="6"/>
  <c r="BE473" i="6"/>
  <c r="BD473" i="6"/>
  <c r="BC473" i="6"/>
  <c r="BB473" i="6"/>
  <c r="BA473" i="6"/>
  <c r="AZ473" i="6"/>
  <c r="AY473" i="6"/>
  <c r="AX473" i="6"/>
  <c r="AW473" i="6"/>
  <c r="AV473" i="6"/>
  <c r="AU473" i="6"/>
  <c r="H473" i="6"/>
  <c r="G473" i="6"/>
  <c r="BJ472" i="6"/>
  <c r="BI472" i="6"/>
  <c r="BH472" i="6"/>
  <c r="BG472" i="6"/>
  <c r="BF472" i="6"/>
  <c r="BE472" i="6"/>
  <c r="BD472" i="6"/>
  <c r="BC472" i="6"/>
  <c r="BB472" i="6"/>
  <c r="BA472" i="6"/>
  <c r="AZ472" i="6"/>
  <c r="AY472" i="6"/>
  <c r="AX472" i="6"/>
  <c r="AW472" i="6"/>
  <c r="AV472" i="6"/>
  <c r="AU472" i="6"/>
  <c r="H472" i="6"/>
  <c r="G472" i="6"/>
  <c r="BJ471" i="6"/>
  <c r="BI471" i="6"/>
  <c r="BH471" i="6"/>
  <c r="BG471" i="6"/>
  <c r="BF471" i="6"/>
  <c r="BE471" i="6"/>
  <c r="BD471" i="6"/>
  <c r="BC471" i="6"/>
  <c r="BB471" i="6"/>
  <c r="BA471" i="6"/>
  <c r="AZ471" i="6"/>
  <c r="AY471" i="6"/>
  <c r="AX471" i="6"/>
  <c r="AW471" i="6"/>
  <c r="AV471" i="6"/>
  <c r="AU471" i="6"/>
  <c r="H471" i="6"/>
  <c r="G471" i="6"/>
  <c r="BJ470" i="6"/>
  <c r="BI470" i="6"/>
  <c r="BH470" i="6"/>
  <c r="BG470" i="6"/>
  <c r="BF470" i="6"/>
  <c r="BE470" i="6"/>
  <c r="BD470" i="6"/>
  <c r="BC470" i="6"/>
  <c r="BB470" i="6"/>
  <c r="BA470" i="6"/>
  <c r="AZ470" i="6"/>
  <c r="AY470" i="6"/>
  <c r="AX470" i="6"/>
  <c r="AW470" i="6"/>
  <c r="AV470" i="6"/>
  <c r="AU470" i="6"/>
  <c r="H470" i="6"/>
  <c r="G470" i="6"/>
  <c r="BJ469" i="6"/>
  <c r="BI469" i="6"/>
  <c r="BH469" i="6"/>
  <c r="BG469" i="6"/>
  <c r="BF469" i="6"/>
  <c r="BE469" i="6"/>
  <c r="BD469" i="6"/>
  <c r="BC469" i="6"/>
  <c r="BB469" i="6"/>
  <c r="BA469" i="6"/>
  <c r="AZ469" i="6"/>
  <c r="AY469" i="6"/>
  <c r="AX469" i="6"/>
  <c r="AW469" i="6"/>
  <c r="AV469" i="6"/>
  <c r="AU469" i="6"/>
  <c r="H469" i="6"/>
  <c r="G469" i="6"/>
  <c r="BJ468" i="6"/>
  <c r="BI468" i="6"/>
  <c r="BH468" i="6"/>
  <c r="BG468" i="6"/>
  <c r="BF468" i="6"/>
  <c r="BE468" i="6"/>
  <c r="BD468" i="6"/>
  <c r="BC468" i="6"/>
  <c r="BB468" i="6"/>
  <c r="BA468" i="6"/>
  <c r="AZ468" i="6"/>
  <c r="AY468" i="6"/>
  <c r="AX468" i="6"/>
  <c r="AW468" i="6"/>
  <c r="AV468" i="6"/>
  <c r="AU468" i="6"/>
  <c r="H468" i="6"/>
  <c r="G468" i="6"/>
  <c r="BJ467" i="6"/>
  <c r="BI467" i="6"/>
  <c r="BH467" i="6"/>
  <c r="BG467" i="6"/>
  <c r="BF467" i="6"/>
  <c r="BE467" i="6"/>
  <c r="BD467" i="6"/>
  <c r="BC467" i="6"/>
  <c r="BB467" i="6"/>
  <c r="BA467" i="6"/>
  <c r="AZ467" i="6"/>
  <c r="AY467" i="6"/>
  <c r="AX467" i="6"/>
  <c r="AW467" i="6"/>
  <c r="AV467" i="6"/>
  <c r="AU467" i="6"/>
  <c r="H467" i="6"/>
  <c r="G467" i="6"/>
  <c r="BJ466" i="6"/>
  <c r="BI466" i="6"/>
  <c r="BH466" i="6"/>
  <c r="BG466" i="6"/>
  <c r="BF466" i="6"/>
  <c r="BE466" i="6"/>
  <c r="BD466" i="6"/>
  <c r="BC466" i="6"/>
  <c r="BB466" i="6"/>
  <c r="BA466" i="6"/>
  <c r="AZ466" i="6"/>
  <c r="AY466" i="6"/>
  <c r="AX466" i="6"/>
  <c r="AW466" i="6"/>
  <c r="AV466" i="6"/>
  <c r="AU466" i="6"/>
  <c r="H466" i="6"/>
  <c r="G466" i="6"/>
  <c r="BJ465" i="6"/>
  <c r="BI465" i="6"/>
  <c r="BH465" i="6"/>
  <c r="BG465" i="6"/>
  <c r="BF465" i="6"/>
  <c r="BE465" i="6"/>
  <c r="BD465" i="6"/>
  <c r="BC465" i="6"/>
  <c r="BB465" i="6"/>
  <c r="BA465" i="6"/>
  <c r="AZ465" i="6"/>
  <c r="AY465" i="6"/>
  <c r="AX465" i="6"/>
  <c r="AW465" i="6"/>
  <c r="AV465" i="6"/>
  <c r="AU465" i="6"/>
  <c r="H465" i="6"/>
  <c r="G465" i="6"/>
  <c r="BJ464" i="6"/>
  <c r="BI464" i="6"/>
  <c r="BH464" i="6"/>
  <c r="BG464" i="6"/>
  <c r="BF464" i="6"/>
  <c r="BE464" i="6"/>
  <c r="BD464" i="6"/>
  <c r="BC464" i="6"/>
  <c r="BB464" i="6"/>
  <c r="BA464" i="6"/>
  <c r="AZ464" i="6"/>
  <c r="AY464" i="6"/>
  <c r="AX464" i="6"/>
  <c r="AW464" i="6"/>
  <c r="AV464" i="6"/>
  <c r="AU464" i="6"/>
  <c r="H464" i="6"/>
  <c r="G464" i="6"/>
  <c r="BJ463" i="6"/>
  <c r="BI463" i="6"/>
  <c r="BH463" i="6"/>
  <c r="BG463" i="6"/>
  <c r="BF463" i="6"/>
  <c r="BE463" i="6"/>
  <c r="BD463" i="6"/>
  <c r="BC463" i="6"/>
  <c r="BB463" i="6"/>
  <c r="BA463" i="6"/>
  <c r="AZ463" i="6"/>
  <c r="AY463" i="6"/>
  <c r="AX463" i="6"/>
  <c r="AW463" i="6"/>
  <c r="AV463" i="6"/>
  <c r="AU463" i="6"/>
  <c r="H463" i="6"/>
  <c r="G463" i="6"/>
  <c r="BJ462" i="6"/>
  <c r="BI462" i="6"/>
  <c r="BH462" i="6"/>
  <c r="BG462" i="6"/>
  <c r="BF462" i="6"/>
  <c r="BE462" i="6"/>
  <c r="BD462" i="6"/>
  <c r="BC462" i="6"/>
  <c r="BB462" i="6"/>
  <c r="BA462" i="6"/>
  <c r="AZ462" i="6"/>
  <c r="AY462" i="6"/>
  <c r="AX462" i="6"/>
  <c r="AW462" i="6"/>
  <c r="AV462" i="6"/>
  <c r="AU462" i="6"/>
  <c r="H462" i="6"/>
  <c r="G462" i="6"/>
  <c r="BJ461" i="6"/>
  <c r="BI461" i="6"/>
  <c r="BH461" i="6"/>
  <c r="BG461" i="6"/>
  <c r="BF461" i="6"/>
  <c r="BE461" i="6"/>
  <c r="BD461" i="6"/>
  <c r="BC461" i="6"/>
  <c r="BB461" i="6"/>
  <c r="BA461" i="6"/>
  <c r="AZ461" i="6"/>
  <c r="AY461" i="6"/>
  <c r="AX461" i="6"/>
  <c r="AW461" i="6"/>
  <c r="AV461" i="6"/>
  <c r="AU461" i="6"/>
  <c r="H461" i="6"/>
  <c r="G461" i="6"/>
  <c r="BJ460" i="6"/>
  <c r="BI460" i="6"/>
  <c r="BH460" i="6"/>
  <c r="BG460" i="6"/>
  <c r="BF460" i="6"/>
  <c r="BE460" i="6"/>
  <c r="BD460" i="6"/>
  <c r="BC460" i="6"/>
  <c r="BB460" i="6"/>
  <c r="BA460" i="6"/>
  <c r="AZ460" i="6"/>
  <c r="AY460" i="6"/>
  <c r="AX460" i="6"/>
  <c r="AW460" i="6"/>
  <c r="AV460" i="6"/>
  <c r="AU460" i="6"/>
  <c r="H460" i="6"/>
  <c r="G460" i="6"/>
  <c r="BJ459" i="6"/>
  <c r="BI459" i="6"/>
  <c r="BH459" i="6"/>
  <c r="BG459" i="6"/>
  <c r="BF459" i="6"/>
  <c r="BE459" i="6"/>
  <c r="BD459" i="6"/>
  <c r="BC459" i="6"/>
  <c r="BB459" i="6"/>
  <c r="BA459" i="6"/>
  <c r="AZ459" i="6"/>
  <c r="AY459" i="6"/>
  <c r="AX459" i="6"/>
  <c r="AW459" i="6"/>
  <c r="AV459" i="6"/>
  <c r="AU459" i="6"/>
  <c r="H459" i="6"/>
  <c r="G459" i="6"/>
  <c r="BJ458" i="6"/>
  <c r="BI458" i="6"/>
  <c r="BH458" i="6"/>
  <c r="BG458" i="6"/>
  <c r="BF458" i="6"/>
  <c r="BE458" i="6"/>
  <c r="BD458" i="6"/>
  <c r="BC458" i="6"/>
  <c r="BB458" i="6"/>
  <c r="BA458" i="6"/>
  <c r="AZ458" i="6"/>
  <c r="AY458" i="6"/>
  <c r="AX458" i="6"/>
  <c r="AW458" i="6"/>
  <c r="AV458" i="6"/>
  <c r="AU458" i="6"/>
  <c r="H458" i="6"/>
  <c r="G458" i="6"/>
  <c r="BJ457" i="6"/>
  <c r="BI457" i="6"/>
  <c r="BH457" i="6"/>
  <c r="BG457" i="6"/>
  <c r="BF457" i="6"/>
  <c r="BE457" i="6"/>
  <c r="BD457" i="6"/>
  <c r="BC457" i="6"/>
  <c r="BB457" i="6"/>
  <c r="BA457" i="6"/>
  <c r="AZ457" i="6"/>
  <c r="AY457" i="6"/>
  <c r="AX457" i="6"/>
  <c r="AW457" i="6"/>
  <c r="AV457" i="6"/>
  <c r="AU457" i="6"/>
  <c r="H457" i="6"/>
  <c r="G457" i="6"/>
  <c r="BJ456" i="6"/>
  <c r="BI456" i="6"/>
  <c r="BH456" i="6"/>
  <c r="BG456" i="6"/>
  <c r="BF456" i="6"/>
  <c r="BE456" i="6"/>
  <c r="BD456" i="6"/>
  <c r="BC456" i="6"/>
  <c r="BB456" i="6"/>
  <c r="BA456" i="6"/>
  <c r="AZ456" i="6"/>
  <c r="AY456" i="6"/>
  <c r="AX456" i="6"/>
  <c r="AW456" i="6"/>
  <c r="AV456" i="6"/>
  <c r="AU456" i="6"/>
  <c r="H456" i="6"/>
  <c r="G456" i="6"/>
  <c r="BJ455" i="6"/>
  <c r="BI455" i="6"/>
  <c r="BH455" i="6"/>
  <c r="BG455" i="6"/>
  <c r="BF455" i="6"/>
  <c r="BE455" i="6"/>
  <c r="BD455" i="6"/>
  <c r="BC455" i="6"/>
  <c r="BB455" i="6"/>
  <c r="BA455" i="6"/>
  <c r="AZ455" i="6"/>
  <c r="AY455" i="6"/>
  <c r="AX455" i="6"/>
  <c r="AW455" i="6"/>
  <c r="AV455" i="6"/>
  <c r="AU455" i="6"/>
  <c r="H455" i="6"/>
  <c r="G455" i="6"/>
  <c r="BJ454" i="6"/>
  <c r="BI454" i="6"/>
  <c r="BH454" i="6"/>
  <c r="BG454" i="6"/>
  <c r="BF454" i="6"/>
  <c r="BE454" i="6"/>
  <c r="BD454" i="6"/>
  <c r="BC454" i="6"/>
  <c r="BB454" i="6"/>
  <c r="BA454" i="6"/>
  <c r="AZ454" i="6"/>
  <c r="AY454" i="6"/>
  <c r="AX454" i="6"/>
  <c r="AW454" i="6"/>
  <c r="AV454" i="6"/>
  <c r="AU454" i="6"/>
  <c r="H454" i="6"/>
  <c r="G454" i="6"/>
  <c r="BJ453" i="6"/>
  <c r="BI453" i="6"/>
  <c r="BH453" i="6"/>
  <c r="BG453" i="6"/>
  <c r="BF453" i="6"/>
  <c r="BE453" i="6"/>
  <c r="BD453" i="6"/>
  <c r="BC453" i="6"/>
  <c r="BB453" i="6"/>
  <c r="BA453" i="6"/>
  <c r="AZ453" i="6"/>
  <c r="AY453" i="6"/>
  <c r="AX453" i="6"/>
  <c r="AW453" i="6"/>
  <c r="AV453" i="6"/>
  <c r="AU453" i="6"/>
  <c r="H453" i="6"/>
  <c r="G453" i="6"/>
  <c r="BJ452" i="6"/>
  <c r="BI452" i="6"/>
  <c r="BH452" i="6"/>
  <c r="BG452" i="6"/>
  <c r="BF452" i="6"/>
  <c r="BE452" i="6"/>
  <c r="BD452" i="6"/>
  <c r="BC452" i="6"/>
  <c r="BB452" i="6"/>
  <c r="BA452" i="6"/>
  <c r="AZ452" i="6"/>
  <c r="AY452" i="6"/>
  <c r="AX452" i="6"/>
  <c r="AW452" i="6"/>
  <c r="AV452" i="6"/>
  <c r="AU452" i="6"/>
  <c r="H452" i="6"/>
  <c r="G452" i="6"/>
  <c r="BJ451" i="6"/>
  <c r="BI451" i="6"/>
  <c r="BH451" i="6"/>
  <c r="BG451" i="6"/>
  <c r="BF451" i="6"/>
  <c r="BE451" i="6"/>
  <c r="BD451" i="6"/>
  <c r="BC451" i="6"/>
  <c r="BB451" i="6"/>
  <c r="BA451" i="6"/>
  <c r="AZ451" i="6"/>
  <c r="AY451" i="6"/>
  <c r="AX451" i="6"/>
  <c r="AW451" i="6"/>
  <c r="AV451" i="6"/>
  <c r="AU451" i="6"/>
  <c r="H451" i="6"/>
  <c r="G451" i="6"/>
  <c r="BJ450" i="6"/>
  <c r="BI450" i="6"/>
  <c r="BH450" i="6"/>
  <c r="BG450" i="6"/>
  <c r="BF450" i="6"/>
  <c r="BE450" i="6"/>
  <c r="BD450" i="6"/>
  <c r="BC450" i="6"/>
  <c r="BB450" i="6"/>
  <c r="BA450" i="6"/>
  <c r="AZ450" i="6"/>
  <c r="AY450" i="6"/>
  <c r="AX450" i="6"/>
  <c r="AW450" i="6"/>
  <c r="AV450" i="6"/>
  <c r="AU450" i="6"/>
  <c r="H450" i="6"/>
  <c r="G450" i="6"/>
  <c r="BJ449" i="6"/>
  <c r="BI449" i="6"/>
  <c r="BH449" i="6"/>
  <c r="BG449" i="6"/>
  <c r="BF449" i="6"/>
  <c r="BE449" i="6"/>
  <c r="BD449" i="6"/>
  <c r="BC449" i="6"/>
  <c r="BB449" i="6"/>
  <c r="BA449" i="6"/>
  <c r="AZ449" i="6"/>
  <c r="AY449" i="6"/>
  <c r="AX449" i="6"/>
  <c r="AW449" i="6"/>
  <c r="AV449" i="6"/>
  <c r="AU449" i="6"/>
  <c r="H449" i="6"/>
  <c r="G449" i="6"/>
  <c r="BJ448" i="6"/>
  <c r="BI448" i="6"/>
  <c r="BH448" i="6"/>
  <c r="BG448" i="6"/>
  <c r="BF448" i="6"/>
  <c r="BE448" i="6"/>
  <c r="BD448" i="6"/>
  <c r="BC448" i="6"/>
  <c r="BB448" i="6"/>
  <c r="BA448" i="6"/>
  <c r="AZ448" i="6"/>
  <c r="AY448" i="6"/>
  <c r="AX448" i="6"/>
  <c r="AW448" i="6"/>
  <c r="AV448" i="6"/>
  <c r="AU448" i="6"/>
  <c r="H448" i="6"/>
  <c r="G448" i="6"/>
  <c r="BJ447" i="6"/>
  <c r="BI447" i="6"/>
  <c r="BH447" i="6"/>
  <c r="BG447" i="6"/>
  <c r="BF447" i="6"/>
  <c r="BE447" i="6"/>
  <c r="BD447" i="6"/>
  <c r="BC447" i="6"/>
  <c r="BB447" i="6"/>
  <c r="BA447" i="6"/>
  <c r="AZ447" i="6"/>
  <c r="AY447" i="6"/>
  <c r="AX447" i="6"/>
  <c r="AW447" i="6"/>
  <c r="AV447" i="6"/>
  <c r="AU447" i="6"/>
  <c r="H447" i="6"/>
  <c r="G447" i="6"/>
  <c r="BJ446" i="6"/>
  <c r="BI446" i="6"/>
  <c r="BH446" i="6"/>
  <c r="BG446" i="6"/>
  <c r="BF446" i="6"/>
  <c r="BE446" i="6"/>
  <c r="BD446" i="6"/>
  <c r="BC446" i="6"/>
  <c r="BB446" i="6"/>
  <c r="BA446" i="6"/>
  <c r="AZ446" i="6"/>
  <c r="AY446" i="6"/>
  <c r="AX446" i="6"/>
  <c r="AW446" i="6"/>
  <c r="AV446" i="6"/>
  <c r="AU446" i="6"/>
  <c r="H446" i="6"/>
  <c r="G446" i="6"/>
  <c r="BJ445" i="6"/>
  <c r="BI445" i="6"/>
  <c r="BH445" i="6"/>
  <c r="BG445" i="6"/>
  <c r="BF445" i="6"/>
  <c r="BE445" i="6"/>
  <c r="BD445" i="6"/>
  <c r="BC445" i="6"/>
  <c r="BB445" i="6"/>
  <c r="BA445" i="6"/>
  <c r="AZ445" i="6"/>
  <c r="AY445" i="6"/>
  <c r="AX445" i="6"/>
  <c r="AW445" i="6"/>
  <c r="AV445" i="6"/>
  <c r="AU445" i="6"/>
  <c r="H445" i="6"/>
  <c r="G445" i="6"/>
  <c r="BJ444" i="6"/>
  <c r="BI444" i="6"/>
  <c r="BH444" i="6"/>
  <c r="BG444" i="6"/>
  <c r="BF444" i="6"/>
  <c r="BE444" i="6"/>
  <c r="BD444" i="6"/>
  <c r="BC444" i="6"/>
  <c r="BB444" i="6"/>
  <c r="BA444" i="6"/>
  <c r="AZ444" i="6"/>
  <c r="AY444" i="6"/>
  <c r="AX444" i="6"/>
  <c r="AW444" i="6"/>
  <c r="AV444" i="6"/>
  <c r="AU444" i="6"/>
  <c r="H444" i="6"/>
  <c r="G444" i="6"/>
  <c r="BJ443" i="6"/>
  <c r="BI443" i="6"/>
  <c r="BH443" i="6"/>
  <c r="BG443" i="6"/>
  <c r="BF443" i="6"/>
  <c r="BE443" i="6"/>
  <c r="BD443" i="6"/>
  <c r="BC443" i="6"/>
  <c r="BB443" i="6"/>
  <c r="BA443" i="6"/>
  <c r="AZ443" i="6"/>
  <c r="AY443" i="6"/>
  <c r="AX443" i="6"/>
  <c r="AW443" i="6"/>
  <c r="AV443" i="6"/>
  <c r="AU443" i="6"/>
  <c r="H443" i="6"/>
  <c r="G443" i="6"/>
  <c r="BJ442" i="6"/>
  <c r="BI442" i="6"/>
  <c r="BH442" i="6"/>
  <c r="BG442" i="6"/>
  <c r="BF442" i="6"/>
  <c r="BE442" i="6"/>
  <c r="BD442" i="6"/>
  <c r="BC442" i="6"/>
  <c r="BB442" i="6"/>
  <c r="BA442" i="6"/>
  <c r="AZ442" i="6"/>
  <c r="AY442" i="6"/>
  <c r="AX442" i="6"/>
  <c r="AW442" i="6"/>
  <c r="AV442" i="6"/>
  <c r="AU442" i="6"/>
  <c r="H442" i="6"/>
  <c r="G442" i="6"/>
  <c r="BJ441" i="6"/>
  <c r="BI441" i="6"/>
  <c r="BH441" i="6"/>
  <c r="BG441" i="6"/>
  <c r="BF441" i="6"/>
  <c r="BE441" i="6"/>
  <c r="BD441" i="6"/>
  <c r="BC441" i="6"/>
  <c r="BB441" i="6"/>
  <c r="BA441" i="6"/>
  <c r="AZ441" i="6"/>
  <c r="AY441" i="6"/>
  <c r="AX441" i="6"/>
  <c r="AW441" i="6"/>
  <c r="AV441" i="6"/>
  <c r="AU441" i="6"/>
  <c r="H441" i="6"/>
  <c r="G441" i="6"/>
  <c r="BJ440" i="6"/>
  <c r="BI440" i="6"/>
  <c r="BH440" i="6"/>
  <c r="BG440" i="6"/>
  <c r="BF440" i="6"/>
  <c r="BE440" i="6"/>
  <c r="BD440" i="6"/>
  <c r="BC440" i="6"/>
  <c r="BB440" i="6"/>
  <c r="BA440" i="6"/>
  <c r="AZ440" i="6"/>
  <c r="AY440" i="6"/>
  <c r="AX440" i="6"/>
  <c r="AW440" i="6"/>
  <c r="AV440" i="6"/>
  <c r="AU440" i="6"/>
  <c r="H440" i="6"/>
  <c r="G440" i="6"/>
  <c r="BJ439" i="6"/>
  <c r="BI439" i="6"/>
  <c r="BH439" i="6"/>
  <c r="BG439" i="6"/>
  <c r="BF439" i="6"/>
  <c r="BE439" i="6"/>
  <c r="BD439" i="6"/>
  <c r="BC439" i="6"/>
  <c r="BB439" i="6"/>
  <c r="BA439" i="6"/>
  <c r="AZ439" i="6"/>
  <c r="AY439" i="6"/>
  <c r="AX439" i="6"/>
  <c r="AW439" i="6"/>
  <c r="AV439" i="6"/>
  <c r="AU439" i="6"/>
  <c r="H439" i="6"/>
  <c r="G439" i="6"/>
  <c r="BJ438" i="6"/>
  <c r="BI438" i="6"/>
  <c r="BH438" i="6"/>
  <c r="BG438" i="6"/>
  <c r="BF438" i="6"/>
  <c r="BE438" i="6"/>
  <c r="BD438" i="6"/>
  <c r="BC438" i="6"/>
  <c r="BB438" i="6"/>
  <c r="BA438" i="6"/>
  <c r="AZ438" i="6"/>
  <c r="AY438" i="6"/>
  <c r="AX438" i="6"/>
  <c r="AW438" i="6"/>
  <c r="AV438" i="6"/>
  <c r="AU438" i="6"/>
  <c r="H438" i="6"/>
  <c r="G438" i="6"/>
  <c r="BJ437" i="6"/>
  <c r="BI437" i="6"/>
  <c r="BH437" i="6"/>
  <c r="BG437" i="6"/>
  <c r="BF437" i="6"/>
  <c r="BE437" i="6"/>
  <c r="BD437" i="6"/>
  <c r="BC437" i="6"/>
  <c r="BB437" i="6"/>
  <c r="BA437" i="6"/>
  <c r="AZ437" i="6"/>
  <c r="AY437" i="6"/>
  <c r="AX437" i="6"/>
  <c r="AW437" i="6"/>
  <c r="AV437" i="6"/>
  <c r="AU437" i="6"/>
  <c r="H437" i="6"/>
  <c r="G437" i="6"/>
  <c r="BJ436" i="6"/>
  <c r="BI436" i="6"/>
  <c r="BH436" i="6"/>
  <c r="BG436" i="6"/>
  <c r="BF436" i="6"/>
  <c r="BE436" i="6"/>
  <c r="BD436" i="6"/>
  <c r="BC436" i="6"/>
  <c r="BB436" i="6"/>
  <c r="BA436" i="6"/>
  <c r="AZ436" i="6"/>
  <c r="AY436" i="6"/>
  <c r="AX436" i="6"/>
  <c r="AW436" i="6"/>
  <c r="AV436" i="6"/>
  <c r="AU436" i="6"/>
  <c r="H436" i="6"/>
  <c r="G436" i="6"/>
  <c r="BJ435" i="6"/>
  <c r="BI435" i="6"/>
  <c r="BH435" i="6"/>
  <c r="BG435" i="6"/>
  <c r="BF435" i="6"/>
  <c r="BE435" i="6"/>
  <c r="BD435" i="6"/>
  <c r="BC435" i="6"/>
  <c r="BB435" i="6"/>
  <c r="BA435" i="6"/>
  <c r="AZ435" i="6"/>
  <c r="AY435" i="6"/>
  <c r="AX435" i="6"/>
  <c r="AW435" i="6"/>
  <c r="AV435" i="6"/>
  <c r="AU435" i="6"/>
  <c r="H435" i="6"/>
  <c r="G435" i="6"/>
  <c r="BJ434" i="6"/>
  <c r="BI434" i="6"/>
  <c r="BH434" i="6"/>
  <c r="BG434" i="6"/>
  <c r="BF434" i="6"/>
  <c r="BE434" i="6"/>
  <c r="BD434" i="6"/>
  <c r="BC434" i="6"/>
  <c r="BB434" i="6"/>
  <c r="BA434" i="6"/>
  <c r="AZ434" i="6"/>
  <c r="AY434" i="6"/>
  <c r="AX434" i="6"/>
  <c r="AW434" i="6"/>
  <c r="AV434" i="6"/>
  <c r="AU434" i="6"/>
  <c r="H434" i="6"/>
  <c r="G434" i="6"/>
  <c r="BJ433" i="6"/>
  <c r="BI433" i="6"/>
  <c r="BH433" i="6"/>
  <c r="BG433" i="6"/>
  <c r="BF433" i="6"/>
  <c r="BE433" i="6"/>
  <c r="BD433" i="6"/>
  <c r="BC433" i="6"/>
  <c r="BB433" i="6"/>
  <c r="BA433" i="6"/>
  <c r="AZ433" i="6"/>
  <c r="AY433" i="6"/>
  <c r="AX433" i="6"/>
  <c r="AW433" i="6"/>
  <c r="AV433" i="6"/>
  <c r="AU433" i="6"/>
  <c r="H433" i="6"/>
  <c r="G433" i="6"/>
  <c r="BJ432" i="6"/>
  <c r="BI432" i="6"/>
  <c r="BH432" i="6"/>
  <c r="BG432" i="6"/>
  <c r="BF432" i="6"/>
  <c r="BE432" i="6"/>
  <c r="BD432" i="6"/>
  <c r="BC432" i="6"/>
  <c r="BB432" i="6"/>
  <c r="BA432" i="6"/>
  <c r="AZ432" i="6"/>
  <c r="AY432" i="6"/>
  <c r="AX432" i="6"/>
  <c r="AW432" i="6"/>
  <c r="AV432" i="6"/>
  <c r="AU432" i="6"/>
  <c r="H432" i="6"/>
  <c r="G432" i="6"/>
  <c r="BJ431" i="6"/>
  <c r="BI431" i="6"/>
  <c r="BH431" i="6"/>
  <c r="BG431" i="6"/>
  <c r="BF431" i="6"/>
  <c r="BE431" i="6"/>
  <c r="BD431" i="6"/>
  <c r="BC431" i="6"/>
  <c r="BB431" i="6"/>
  <c r="BA431" i="6"/>
  <c r="AZ431" i="6"/>
  <c r="AY431" i="6"/>
  <c r="AX431" i="6"/>
  <c r="AW431" i="6"/>
  <c r="AV431" i="6"/>
  <c r="AU431" i="6"/>
  <c r="H431" i="6"/>
  <c r="G431" i="6"/>
  <c r="BJ430" i="6"/>
  <c r="BI430" i="6"/>
  <c r="BH430" i="6"/>
  <c r="BG430" i="6"/>
  <c r="BF430" i="6"/>
  <c r="BE430" i="6"/>
  <c r="BD430" i="6"/>
  <c r="BC430" i="6"/>
  <c r="BB430" i="6"/>
  <c r="BA430" i="6"/>
  <c r="AZ430" i="6"/>
  <c r="AY430" i="6"/>
  <c r="AX430" i="6"/>
  <c r="AW430" i="6"/>
  <c r="AV430" i="6"/>
  <c r="AU430" i="6"/>
  <c r="H430" i="6"/>
  <c r="G430" i="6"/>
  <c r="BJ429" i="6"/>
  <c r="BI429" i="6"/>
  <c r="BH429" i="6"/>
  <c r="BG429" i="6"/>
  <c r="BF429" i="6"/>
  <c r="BE429" i="6"/>
  <c r="BD429" i="6"/>
  <c r="BC429" i="6"/>
  <c r="BB429" i="6"/>
  <c r="BA429" i="6"/>
  <c r="AZ429" i="6"/>
  <c r="AY429" i="6"/>
  <c r="AX429" i="6"/>
  <c r="AW429" i="6"/>
  <c r="AV429" i="6"/>
  <c r="AU429" i="6"/>
  <c r="H429" i="6"/>
  <c r="G429" i="6"/>
  <c r="BJ428" i="6"/>
  <c r="BI428" i="6"/>
  <c r="BH428" i="6"/>
  <c r="BG428" i="6"/>
  <c r="BF428" i="6"/>
  <c r="BE428" i="6"/>
  <c r="BD428" i="6"/>
  <c r="BC428" i="6"/>
  <c r="BB428" i="6"/>
  <c r="BA428" i="6"/>
  <c r="AZ428" i="6"/>
  <c r="AY428" i="6"/>
  <c r="AX428" i="6"/>
  <c r="AW428" i="6"/>
  <c r="AV428" i="6"/>
  <c r="AU428" i="6"/>
  <c r="H428" i="6"/>
  <c r="G428" i="6"/>
  <c r="BJ427" i="6"/>
  <c r="BI427" i="6"/>
  <c r="BH427" i="6"/>
  <c r="BG427" i="6"/>
  <c r="BF427" i="6"/>
  <c r="BE427" i="6"/>
  <c r="BD427" i="6"/>
  <c r="BC427" i="6"/>
  <c r="BB427" i="6"/>
  <c r="BA427" i="6"/>
  <c r="AZ427" i="6"/>
  <c r="AY427" i="6"/>
  <c r="AX427" i="6"/>
  <c r="AW427" i="6"/>
  <c r="AV427" i="6"/>
  <c r="AU427" i="6"/>
  <c r="H427" i="6"/>
  <c r="G427" i="6"/>
  <c r="BJ426" i="6"/>
  <c r="BI426" i="6"/>
  <c r="BH426" i="6"/>
  <c r="BG426" i="6"/>
  <c r="BF426" i="6"/>
  <c r="BE426" i="6"/>
  <c r="BD426" i="6"/>
  <c r="BC426" i="6"/>
  <c r="BB426" i="6"/>
  <c r="BA426" i="6"/>
  <c r="AZ426" i="6"/>
  <c r="AY426" i="6"/>
  <c r="AX426" i="6"/>
  <c r="AW426" i="6"/>
  <c r="AV426" i="6"/>
  <c r="AU426" i="6"/>
  <c r="H426" i="6"/>
  <c r="G426" i="6"/>
  <c r="BJ425" i="6"/>
  <c r="BI425" i="6"/>
  <c r="BH425" i="6"/>
  <c r="BG425" i="6"/>
  <c r="BF425" i="6"/>
  <c r="BE425" i="6"/>
  <c r="BD425" i="6"/>
  <c r="BC425" i="6"/>
  <c r="BB425" i="6"/>
  <c r="BA425" i="6"/>
  <c r="AZ425" i="6"/>
  <c r="AY425" i="6"/>
  <c r="AX425" i="6"/>
  <c r="AW425" i="6"/>
  <c r="AV425" i="6"/>
  <c r="AU425" i="6"/>
  <c r="H425" i="6"/>
  <c r="G425" i="6"/>
  <c r="BJ424" i="6"/>
  <c r="BI424" i="6"/>
  <c r="BH424" i="6"/>
  <c r="BG424" i="6"/>
  <c r="BF424" i="6"/>
  <c r="BE424" i="6"/>
  <c r="BD424" i="6"/>
  <c r="BC424" i="6"/>
  <c r="BB424" i="6"/>
  <c r="BA424" i="6"/>
  <c r="AZ424" i="6"/>
  <c r="AY424" i="6"/>
  <c r="AX424" i="6"/>
  <c r="AW424" i="6"/>
  <c r="AV424" i="6"/>
  <c r="AU424" i="6"/>
  <c r="H424" i="6"/>
  <c r="G424" i="6"/>
  <c r="BJ423" i="6"/>
  <c r="BI423" i="6"/>
  <c r="BH423" i="6"/>
  <c r="BG423" i="6"/>
  <c r="BF423" i="6"/>
  <c r="BE423" i="6"/>
  <c r="BD423" i="6"/>
  <c r="BC423" i="6"/>
  <c r="BB423" i="6"/>
  <c r="BA423" i="6"/>
  <c r="AZ423" i="6"/>
  <c r="AY423" i="6"/>
  <c r="AX423" i="6"/>
  <c r="AW423" i="6"/>
  <c r="AV423" i="6"/>
  <c r="AU423" i="6"/>
  <c r="H423" i="6"/>
  <c r="G423" i="6"/>
  <c r="BJ422" i="6"/>
  <c r="BI422" i="6"/>
  <c r="BH422" i="6"/>
  <c r="BG422" i="6"/>
  <c r="BF422" i="6"/>
  <c r="BE422" i="6"/>
  <c r="BD422" i="6"/>
  <c r="BC422" i="6"/>
  <c r="BB422" i="6"/>
  <c r="BA422" i="6"/>
  <c r="AZ422" i="6"/>
  <c r="AY422" i="6"/>
  <c r="AX422" i="6"/>
  <c r="AW422" i="6"/>
  <c r="AV422" i="6"/>
  <c r="AU422" i="6"/>
  <c r="H422" i="6"/>
  <c r="G422" i="6"/>
  <c r="BJ421" i="6"/>
  <c r="BI421" i="6"/>
  <c r="BH421" i="6"/>
  <c r="BG421" i="6"/>
  <c r="BF421" i="6"/>
  <c r="BE421" i="6"/>
  <c r="BD421" i="6"/>
  <c r="BC421" i="6"/>
  <c r="BB421" i="6"/>
  <c r="BA421" i="6"/>
  <c r="AZ421" i="6"/>
  <c r="AY421" i="6"/>
  <c r="AX421" i="6"/>
  <c r="AW421" i="6"/>
  <c r="AV421" i="6"/>
  <c r="AU421" i="6"/>
  <c r="H421" i="6"/>
  <c r="G421" i="6"/>
  <c r="BJ420" i="6"/>
  <c r="BI420" i="6"/>
  <c r="BH420" i="6"/>
  <c r="BG420" i="6"/>
  <c r="BF420" i="6"/>
  <c r="BE420" i="6"/>
  <c r="BD420" i="6"/>
  <c r="BC420" i="6"/>
  <c r="BB420" i="6"/>
  <c r="BA420" i="6"/>
  <c r="AZ420" i="6"/>
  <c r="AY420" i="6"/>
  <c r="AX420" i="6"/>
  <c r="AW420" i="6"/>
  <c r="AV420" i="6"/>
  <c r="AU420" i="6"/>
  <c r="H420" i="6"/>
  <c r="G420" i="6"/>
  <c r="BJ419" i="6"/>
  <c r="BI419" i="6"/>
  <c r="BH419" i="6"/>
  <c r="BG419" i="6"/>
  <c r="BF419" i="6"/>
  <c r="BE419" i="6"/>
  <c r="BD419" i="6"/>
  <c r="BC419" i="6"/>
  <c r="BB419" i="6"/>
  <c r="BA419" i="6"/>
  <c r="AZ419" i="6"/>
  <c r="AY419" i="6"/>
  <c r="AX419" i="6"/>
  <c r="AW419" i="6"/>
  <c r="AV419" i="6"/>
  <c r="AU419" i="6"/>
  <c r="H419" i="6"/>
  <c r="G419" i="6"/>
  <c r="BJ418" i="6"/>
  <c r="BI418" i="6"/>
  <c r="BH418" i="6"/>
  <c r="BG418" i="6"/>
  <c r="BF418" i="6"/>
  <c r="BE418" i="6"/>
  <c r="BD418" i="6"/>
  <c r="BC418" i="6"/>
  <c r="BB418" i="6"/>
  <c r="BA418" i="6"/>
  <c r="AZ418" i="6"/>
  <c r="AY418" i="6"/>
  <c r="AX418" i="6"/>
  <c r="AW418" i="6"/>
  <c r="AV418" i="6"/>
  <c r="AU418" i="6"/>
  <c r="H418" i="6"/>
  <c r="G418" i="6"/>
  <c r="BJ417" i="6"/>
  <c r="BI417" i="6"/>
  <c r="BH417" i="6"/>
  <c r="BG417" i="6"/>
  <c r="BF417" i="6"/>
  <c r="BE417" i="6"/>
  <c r="BD417" i="6"/>
  <c r="BC417" i="6"/>
  <c r="BB417" i="6"/>
  <c r="BA417" i="6"/>
  <c r="AZ417" i="6"/>
  <c r="AY417" i="6"/>
  <c r="AX417" i="6"/>
  <c r="AW417" i="6"/>
  <c r="AV417" i="6"/>
  <c r="AU417" i="6"/>
  <c r="H417" i="6"/>
  <c r="G417" i="6"/>
  <c r="BJ416" i="6"/>
  <c r="BI416" i="6"/>
  <c r="BH416" i="6"/>
  <c r="BG416" i="6"/>
  <c r="BF416" i="6"/>
  <c r="BE416" i="6"/>
  <c r="BD416" i="6"/>
  <c r="BC416" i="6"/>
  <c r="BB416" i="6"/>
  <c r="BA416" i="6"/>
  <c r="AZ416" i="6"/>
  <c r="AY416" i="6"/>
  <c r="AX416" i="6"/>
  <c r="AW416" i="6"/>
  <c r="AV416" i="6"/>
  <c r="AU416" i="6"/>
  <c r="H416" i="6"/>
  <c r="G416" i="6"/>
  <c r="BJ415" i="6"/>
  <c r="BI415" i="6"/>
  <c r="BH415" i="6"/>
  <c r="BG415" i="6"/>
  <c r="BF415" i="6"/>
  <c r="BE415" i="6"/>
  <c r="BD415" i="6"/>
  <c r="BC415" i="6"/>
  <c r="BB415" i="6"/>
  <c r="BA415" i="6"/>
  <c r="AZ415" i="6"/>
  <c r="AY415" i="6"/>
  <c r="AX415" i="6"/>
  <c r="AW415" i="6"/>
  <c r="AV415" i="6"/>
  <c r="AU415" i="6"/>
  <c r="H415" i="6"/>
  <c r="G415" i="6"/>
  <c r="BJ414" i="6"/>
  <c r="BI414" i="6"/>
  <c r="BH414" i="6"/>
  <c r="BG414" i="6"/>
  <c r="BF414" i="6"/>
  <c r="BE414" i="6"/>
  <c r="BD414" i="6"/>
  <c r="BC414" i="6"/>
  <c r="BB414" i="6"/>
  <c r="BA414" i="6"/>
  <c r="AZ414" i="6"/>
  <c r="AY414" i="6"/>
  <c r="AX414" i="6"/>
  <c r="AW414" i="6"/>
  <c r="AV414" i="6"/>
  <c r="AU414" i="6"/>
  <c r="H414" i="6"/>
  <c r="G414" i="6"/>
  <c r="BJ413" i="6"/>
  <c r="BI413" i="6"/>
  <c r="BH413" i="6"/>
  <c r="BG413" i="6"/>
  <c r="BF413" i="6"/>
  <c r="BE413" i="6"/>
  <c r="BD413" i="6"/>
  <c r="BC413" i="6"/>
  <c r="BB413" i="6"/>
  <c r="BA413" i="6"/>
  <c r="AZ413" i="6"/>
  <c r="AY413" i="6"/>
  <c r="AX413" i="6"/>
  <c r="AW413" i="6"/>
  <c r="AV413" i="6"/>
  <c r="AU413" i="6"/>
  <c r="H413" i="6"/>
  <c r="G413" i="6"/>
  <c r="BJ412" i="6"/>
  <c r="BI412" i="6"/>
  <c r="BH412" i="6"/>
  <c r="BG412" i="6"/>
  <c r="BF412" i="6"/>
  <c r="BE412" i="6"/>
  <c r="BD412" i="6"/>
  <c r="BC412" i="6"/>
  <c r="BB412" i="6"/>
  <c r="BA412" i="6"/>
  <c r="AZ412" i="6"/>
  <c r="AY412" i="6"/>
  <c r="AX412" i="6"/>
  <c r="AW412" i="6"/>
  <c r="AV412" i="6"/>
  <c r="AU412" i="6"/>
  <c r="H412" i="6"/>
  <c r="G412" i="6"/>
  <c r="BJ411" i="6"/>
  <c r="BI411" i="6"/>
  <c r="BH411" i="6"/>
  <c r="BG411" i="6"/>
  <c r="BF411" i="6"/>
  <c r="BE411" i="6"/>
  <c r="BD411" i="6"/>
  <c r="BC411" i="6"/>
  <c r="BB411" i="6"/>
  <c r="BA411" i="6"/>
  <c r="AZ411" i="6"/>
  <c r="AY411" i="6"/>
  <c r="AX411" i="6"/>
  <c r="AW411" i="6"/>
  <c r="AV411" i="6"/>
  <c r="AU411" i="6"/>
  <c r="H411" i="6"/>
  <c r="G411" i="6"/>
  <c r="BJ410" i="6"/>
  <c r="BI410" i="6"/>
  <c r="BH410" i="6"/>
  <c r="BG410" i="6"/>
  <c r="BF410" i="6"/>
  <c r="BE410" i="6"/>
  <c r="BD410" i="6"/>
  <c r="BC410" i="6"/>
  <c r="BB410" i="6"/>
  <c r="BA410" i="6"/>
  <c r="AZ410" i="6"/>
  <c r="AY410" i="6"/>
  <c r="AX410" i="6"/>
  <c r="AW410" i="6"/>
  <c r="AV410" i="6"/>
  <c r="AU410" i="6"/>
  <c r="H410" i="6"/>
  <c r="G410" i="6"/>
  <c r="BJ409" i="6"/>
  <c r="BI409" i="6"/>
  <c r="BH409" i="6"/>
  <c r="BG409" i="6"/>
  <c r="BF409" i="6"/>
  <c r="BE409" i="6"/>
  <c r="BD409" i="6"/>
  <c r="BC409" i="6"/>
  <c r="BB409" i="6"/>
  <c r="BA409" i="6"/>
  <c r="AZ409" i="6"/>
  <c r="AY409" i="6"/>
  <c r="AX409" i="6"/>
  <c r="AW409" i="6"/>
  <c r="AV409" i="6"/>
  <c r="AU409" i="6"/>
  <c r="H409" i="6"/>
  <c r="G409" i="6"/>
  <c r="BJ408" i="6"/>
  <c r="BI408" i="6"/>
  <c r="BH408" i="6"/>
  <c r="BG408" i="6"/>
  <c r="BF408" i="6"/>
  <c r="BE408" i="6"/>
  <c r="BD408" i="6"/>
  <c r="BC408" i="6"/>
  <c r="BB408" i="6"/>
  <c r="BA408" i="6"/>
  <c r="AZ408" i="6"/>
  <c r="AY408" i="6"/>
  <c r="AX408" i="6"/>
  <c r="AW408" i="6"/>
  <c r="AV408" i="6"/>
  <c r="AU408" i="6"/>
  <c r="H408" i="6"/>
  <c r="G408" i="6"/>
  <c r="BJ407" i="6"/>
  <c r="BI407" i="6"/>
  <c r="BH407" i="6"/>
  <c r="BG407" i="6"/>
  <c r="BF407" i="6"/>
  <c r="BE407" i="6"/>
  <c r="BD407" i="6"/>
  <c r="BC407" i="6"/>
  <c r="BB407" i="6"/>
  <c r="BA407" i="6"/>
  <c r="AZ407" i="6"/>
  <c r="AY407" i="6"/>
  <c r="AX407" i="6"/>
  <c r="AW407" i="6"/>
  <c r="AV407" i="6"/>
  <c r="AU407" i="6"/>
  <c r="H407" i="6"/>
  <c r="G407" i="6"/>
  <c r="BJ406" i="6"/>
  <c r="BI406" i="6"/>
  <c r="BH406" i="6"/>
  <c r="BG406" i="6"/>
  <c r="BF406" i="6"/>
  <c r="BE406" i="6"/>
  <c r="BD406" i="6"/>
  <c r="BC406" i="6"/>
  <c r="BB406" i="6"/>
  <c r="BA406" i="6"/>
  <c r="AZ406" i="6"/>
  <c r="AY406" i="6"/>
  <c r="AX406" i="6"/>
  <c r="AW406" i="6"/>
  <c r="AV406" i="6"/>
  <c r="AU406" i="6"/>
  <c r="H406" i="6"/>
  <c r="G406" i="6"/>
  <c r="BJ405" i="6"/>
  <c r="BI405" i="6"/>
  <c r="BH405" i="6"/>
  <c r="BG405" i="6"/>
  <c r="BF405" i="6"/>
  <c r="BE405" i="6"/>
  <c r="BD405" i="6"/>
  <c r="BC405" i="6"/>
  <c r="BB405" i="6"/>
  <c r="BA405" i="6"/>
  <c r="AZ405" i="6"/>
  <c r="AY405" i="6"/>
  <c r="AX405" i="6"/>
  <c r="AW405" i="6"/>
  <c r="AV405" i="6"/>
  <c r="AU405" i="6"/>
  <c r="H405" i="6"/>
  <c r="G405" i="6"/>
  <c r="BJ404" i="6"/>
  <c r="BI404" i="6"/>
  <c r="BH404" i="6"/>
  <c r="BG404" i="6"/>
  <c r="BF404" i="6"/>
  <c r="BE404" i="6"/>
  <c r="BD404" i="6"/>
  <c r="BC404" i="6"/>
  <c r="BB404" i="6"/>
  <c r="BA404" i="6"/>
  <c r="AZ404" i="6"/>
  <c r="AY404" i="6"/>
  <c r="AX404" i="6"/>
  <c r="AW404" i="6"/>
  <c r="AV404" i="6"/>
  <c r="AU404" i="6"/>
  <c r="H404" i="6"/>
  <c r="G404" i="6"/>
  <c r="BJ403" i="6"/>
  <c r="BI403" i="6"/>
  <c r="BH403" i="6"/>
  <c r="BG403" i="6"/>
  <c r="BF403" i="6"/>
  <c r="BE403" i="6"/>
  <c r="BD403" i="6"/>
  <c r="BC403" i="6"/>
  <c r="BB403" i="6"/>
  <c r="BA403" i="6"/>
  <c r="AZ403" i="6"/>
  <c r="AY403" i="6"/>
  <c r="AX403" i="6"/>
  <c r="AW403" i="6"/>
  <c r="AV403" i="6"/>
  <c r="AU403" i="6"/>
  <c r="H403" i="6"/>
  <c r="G403" i="6"/>
  <c r="BJ402" i="6"/>
  <c r="BI402" i="6"/>
  <c r="BH402" i="6"/>
  <c r="BG402" i="6"/>
  <c r="BF402" i="6"/>
  <c r="BE402" i="6"/>
  <c r="BD402" i="6"/>
  <c r="BC402" i="6"/>
  <c r="BB402" i="6"/>
  <c r="BA402" i="6"/>
  <c r="AZ402" i="6"/>
  <c r="AY402" i="6"/>
  <c r="AX402" i="6"/>
  <c r="AW402" i="6"/>
  <c r="AV402" i="6"/>
  <c r="AU402" i="6"/>
  <c r="H402" i="6"/>
  <c r="G402" i="6"/>
  <c r="BJ401" i="6"/>
  <c r="BI401" i="6"/>
  <c r="BH401" i="6"/>
  <c r="BG401" i="6"/>
  <c r="BF401" i="6"/>
  <c r="BE401" i="6"/>
  <c r="BD401" i="6"/>
  <c r="BC401" i="6"/>
  <c r="BB401" i="6"/>
  <c r="BA401" i="6"/>
  <c r="AZ401" i="6"/>
  <c r="AY401" i="6"/>
  <c r="AX401" i="6"/>
  <c r="AW401" i="6"/>
  <c r="AV401" i="6"/>
  <c r="AU401" i="6"/>
  <c r="H401" i="6"/>
  <c r="G401" i="6"/>
  <c r="BJ400" i="6"/>
  <c r="BI400" i="6"/>
  <c r="BH400" i="6"/>
  <c r="BG400" i="6"/>
  <c r="BF400" i="6"/>
  <c r="BE400" i="6"/>
  <c r="BD400" i="6"/>
  <c r="BC400" i="6"/>
  <c r="BB400" i="6"/>
  <c r="BA400" i="6"/>
  <c r="AZ400" i="6"/>
  <c r="AY400" i="6"/>
  <c r="AX400" i="6"/>
  <c r="AW400" i="6"/>
  <c r="AV400" i="6"/>
  <c r="AU400" i="6"/>
  <c r="H400" i="6"/>
  <c r="G400" i="6"/>
  <c r="BJ399" i="6"/>
  <c r="BI399" i="6"/>
  <c r="BH399" i="6"/>
  <c r="BG399" i="6"/>
  <c r="BF399" i="6"/>
  <c r="BE399" i="6"/>
  <c r="BD399" i="6"/>
  <c r="BC399" i="6"/>
  <c r="BB399" i="6"/>
  <c r="BA399" i="6"/>
  <c r="AZ399" i="6"/>
  <c r="AY399" i="6"/>
  <c r="AX399" i="6"/>
  <c r="AW399" i="6"/>
  <c r="AV399" i="6"/>
  <c r="AU399" i="6"/>
  <c r="H399" i="6"/>
  <c r="G399" i="6"/>
  <c r="BJ398" i="6"/>
  <c r="BI398" i="6"/>
  <c r="BH398" i="6"/>
  <c r="BG398" i="6"/>
  <c r="BF398" i="6"/>
  <c r="BE398" i="6"/>
  <c r="BD398" i="6"/>
  <c r="BC398" i="6"/>
  <c r="BB398" i="6"/>
  <c r="BA398" i="6"/>
  <c r="AZ398" i="6"/>
  <c r="AY398" i="6"/>
  <c r="AX398" i="6"/>
  <c r="AW398" i="6"/>
  <c r="AV398" i="6"/>
  <c r="AU398" i="6"/>
  <c r="H398" i="6"/>
  <c r="G398" i="6"/>
  <c r="BJ397" i="6"/>
  <c r="BI397" i="6"/>
  <c r="BH397" i="6"/>
  <c r="BG397" i="6"/>
  <c r="BF397" i="6"/>
  <c r="BE397" i="6"/>
  <c r="BD397" i="6"/>
  <c r="BC397" i="6"/>
  <c r="BB397" i="6"/>
  <c r="BA397" i="6"/>
  <c r="AZ397" i="6"/>
  <c r="AY397" i="6"/>
  <c r="AX397" i="6"/>
  <c r="AW397" i="6"/>
  <c r="AV397" i="6"/>
  <c r="AU397" i="6"/>
  <c r="H397" i="6"/>
  <c r="G397" i="6"/>
  <c r="BJ396" i="6"/>
  <c r="BI396" i="6"/>
  <c r="BH396" i="6"/>
  <c r="BG396" i="6"/>
  <c r="BF396" i="6"/>
  <c r="BE396" i="6"/>
  <c r="BD396" i="6"/>
  <c r="BC396" i="6"/>
  <c r="BB396" i="6"/>
  <c r="BA396" i="6"/>
  <c r="AZ396" i="6"/>
  <c r="AY396" i="6"/>
  <c r="AX396" i="6"/>
  <c r="AW396" i="6"/>
  <c r="AV396" i="6"/>
  <c r="AU396" i="6"/>
  <c r="H396" i="6"/>
  <c r="G396" i="6"/>
  <c r="BJ395" i="6"/>
  <c r="BI395" i="6"/>
  <c r="BH395" i="6"/>
  <c r="BG395" i="6"/>
  <c r="BF395" i="6"/>
  <c r="BE395" i="6"/>
  <c r="BD395" i="6"/>
  <c r="BC395" i="6"/>
  <c r="BB395" i="6"/>
  <c r="BA395" i="6"/>
  <c r="AZ395" i="6"/>
  <c r="AY395" i="6"/>
  <c r="AX395" i="6"/>
  <c r="AW395" i="6"/>
  <c r="AV395" i="6"/>
  <c r="AU395" i="6"/>
  <c r="H395" i="6"/>
  <c r="G395" i="6"/>
  <c r="BJ394" i="6"/>
  <c r="BI394" i="6"/>
  <c r="BH394" i="6"/>
  <c r="BG394" i="6"/>
  <c r="BF394" i="6"/>
  <c r="BE394" i="6"/>
  <c r="BD394" i="6"/>
  <c r="BC394" i="6"/>
  <c r="BB394" i="6"/>
  <c r="BA394" i="6"/>
  <c r="AZ394" i="6"/>
  <c r="AY394" i="6"/>
  <c r="AX394" i="6"/>
  <c r="AW394" i="6"/>
  <c r="AV394" i="6"/>
  <c r="AU394" i="6"/>
  <c r="H394" i="6"/>
  <c r="G394" i="6"/>
  <c r="BJ393" i="6"/>
  <c r="BI393" i="6"/>
  <c r="BH393" i="6"/>
  <c r="BG393" i="6"/>
  <c r="BF393" i="6"/>
  <c r="BE393" i="6"/>
  <c r="BD393" i="6"/>
  <c r="BC393" i="6"/>
  <c r="BB393" i="6"/>
  <c r="BA393" i="6"/>
  <c r="AZ393" i="6"/>
  <c r="AY393" i="6"/>
  <c r="AX393" i="6"/>
  <c r="AW393" i="6"/>
  <c r="AV393" i="6"/>
  <c r="AU393" i="6"/>
  <c r="H393" i="6"/>
  <c r="G393" i="6"/>
  <c r="BJ392" i="6"/>
  <c r="BI392" i="6"/>
  <c r="BH392" i="6"/>
  <c r="BG392" i="6"/>
  <c r="BF392" i="6"/>
  <c r="BE392" i="6"/>
  <c r="BD392" i="6"/>
  <c r="BC392" i="6"/>
  <c r="BB392" i="6"/>
  <c r="BA392" i="6"/>
  <c r="AZ392" i="6"/>
  <c r="AY392" i="6"/>
  <c r="AX392" i="6"/>
  <c r="AW392" i="6"/>
  <c r="AV392" i="6"/>
  <c r="AU392" i="6"/>
  <c r="H392" i="6"/>
  <c r="G392" i="6"/>
  <c r="BJ391" i="6"/>
  <c r="BI391" i="6"/>
  <c r="BH391" i="6"/>
  <c r="BG391" i="6"/>
  <c r="BF391" i="6"/>
  <c r="BE391" i="6"/>
  <c r="BD391" i="6"/>
  <c r="BC391" i="6"/>
  <c r="BB391" i="6"/>
  <c r="BA391" i="6"/>
  <c r="AZ391" i="6"/>
  <c r="AY391" i="6"/>
  <c r="AX391" i="6"/>
  <c r="AW391" i="6"/>
  <c r="AV391" i="6"/>
  <c r="AU391" i="6"/>
  <c r="H391" i="6"/>
  <c r="G391" i="6"/>
  <c r="BJ390" i="6"/>
  <c r="BI390" i="6"/>
  <c r="BH390" i="6"/>
  <c r="BG390" i="6"/>
  <c r="BF390" i="6"/>
  <c r="BE390" i="6"/>
  <c r="BD390" i="6"/>
  <c r="BC390" i="6"/>
  <c r="BB390" i="6"/>
  <c r="BA390" i="6"/>
  <c r="AZ390" i="6"/>
  <c r="AY390" i="6"/>
  <c r="AX390" i="6"/>
  <c r="AW390" i="6"/>
  <c r="AV390" i="6"/>
  <c r="AU390" i="6"/>
  <c r="H390" i="6"/>
  <c r="G390" i="6"/>
  <c r="BJ389" i="6"/>
  <c r="BI389" i="6"/>
  <c r="BH389" i="6"/>
  <c r="BG389" i="6"/>
  <c r="BF389" i="6"/>
  <c r="BE389" i="6"/>
  <c r="BD389" i="6"/>
  <c r="BC389" i="6"/>
  <c r="BB389" i="6"/>
  <c r="BA389" i="6"/>
  <c r="AZ389" i="6"/>
  <c r="AY389" i="6"/>
  <c r="AX389" i="6"/>
  <c r="AW389" i="6"/>
  <c r="AV389" i="6"/>
  <c r="AU389" i="6"/>
  <c r="H389" i="6"/>
  <c r="G389" i="6"/>
  <c r="BJ388" i="6"/>
  <c r="BI388" i="6"/>
  <c r="BH388" i="6"/>
  <c r="BG388" i="6"/>
  <c r="BF388" i="6"/>
  <c r="BE388" i="6"/>
  <c r="BD388" i="6"/>
  <c r="BC388" i="6"/>
  <c r="BB388" i="6"/>
  <c r="BA388" i="6"/>
  <c r="AZ388" i="6"/>
  <c r="AY388" i="6"/>
  <c r="AX388" i="6"/>
  <c r="AW388" i="6"/>
  <c r="AV388" i="6"/>
  <c r="AU388" i="6"/>
  <c r="H388" i="6"/>
  <c r="G388" i="6"/>
  <c r="BJ387" i="6"/>
  <c r="BI387" i="6"/>
  <c r="BH387" i="6"/>
  <c r="BG387" i="6"/>
  <c r="BF387" i="6"/>
  <c r="BE387" i="6"/>
  <c r="BD387" i="6"/>
  <c r="BC387" i="6"/>
  <c r="BB387" i="6"/>
  <c r="BA387" i="6"/>
  <c r="AZ387" i="6"/>
  <c r="AY387" i="6"/>
  <c r="AX387" i="6"/>
  <c r="AW387" i="6"/>
  <c r="AV387" i="6"/>
  <c r="AU387" i="6"/>
  <c r="H387" i="6"/>
  <c r="G387" i="6"/>
  <c r="BJ386" i="6"/>
  <c r="BI386" i="6"/>
  <c r="BH386" i="6"/>
  <c r="BG386" i="6"/>
  <c r="BF386" i="6"/>
  <c r="BE386" i="6"/>
  <c r="BD386" i="6"/>
  <c r="BC386" i="6"/>
  <c r="BB386" i="6"/>
  <c r="BA386" i="6"/>
  <c r="AZ386" i="6"/>
  <c r="AY386" i="6"/>
  <c r="AX386" i="6"/>
  <c r="AW386" i="6"/>
  <c r="AV386" i="6"/>
  <c r="AU386" i="6"/>
  <c r="H386" i="6"/>
  <c r="G386" i="6"/>
  <c r="BJ385" i="6"/>
  <c r="BI385" i="6"/>
  <c r="BH385" i="6"/>
  <c r="BG385" i="6"/>
  <c r="BF385" i="6"/>
  <c r="BE385" i="6"/>
  <c r="BD385" i="6"/>
  <c r="BC385" i="6"/>
  <c r="BB385" i="6"/>
  <c r="BA385" i="6"/>
  <c r="AZ385" i="6"/>
  <c r="AY385" i="6"/>
  <c r="AX385" i="6"/>
  <c r="AW385" i="6"/>
  <c r="AV385" i="6"/>
  <c r="AU385" i="6"/>
  <c r="H385" i="6"/>
  <c r="G385" i="6"/>
  <c r="BJ384" i="6"/>
  <c r="BI384" i="6"/>
  <c r="BH384" i="6"/>
  <c r="BG384" i="6"/>
  <c r="BF384" i="6"/>
  <c r="BE384" i="6"/>
  <c r="BD384" i="6"/>
  <c r="BC384" i="6"/>
  <c r="BB384" i="6"/>
  <c r="BA384" i="6"/>
  <c r="AZ384" i="6"/>
  <c r="AY384" i="6"/>
  <c r="AX384" i="6"/>
  <c r="AW384" i="6"/>
  <c r="AV384" i="6"/>
  <c r="AU384" i="6"/>
  <c r="H384" i="6"/>
  <c r="G384" i="6"/>
  <c r="BJ383" i="6"/>
  <c r="BI383" i="6"/>
  <c r="BH383" i="6"/>
  <c r="BG383" i="6"/>
  <c r="BF383" i="6"/>
  <c r="BE383" i="6"/>
  <c r="BD383" i="6"/>
  <c r="BC383" i="6"/>
  <c r="BB383" i="6"/>
  <c r="BA383" i="6"/>
  <c r="AZ383" i="6"/>
  <c r="AY383" i="6"/>
  <c r="AX383" i="6"/>
  <c r="AW383" i="6"/>
  <c r="AV383" i="6"/>
  <c r="AU383" i="6"/>
  <c r="H383" i="6"/>
  <c r="G383" i="6"/>
  <c r="BJ382" i="6"/>
  <c r="BI382" i="6"/>
  <c r="BH382" i="6"/>
  <c r="BG382" i="6"/>
  <c r="BF382" i="6"/>
  <c r="BE382" i="6"/>
  <c r="BD382" i="6"/>
  <c r="BC382" i="6"/>
  <c r="BB382" i="6"/>
  <c r="BA382" i="6"/>
  <c r="AZ382" i="6"/>
  <c r="AY382" i="6"/>
  <c r="AX382" i="6"/>
  <c r="AW382" i="6"/>
  <c r="AV382" i="6"/>
  <c r="AU382" i="6"/>
  <c r="H382" i="6"/>
  <c r="G382" i="6"/>
  <c r="BJ381" i="6"/>
  <c r="BI381" i="6"/>
  <c r="BH381" i="6"/>
  <c r="BG381" i="6"/>
  <c r="BF381" i="6"/>
  <c r="BE381" i="6"/>
  <c r="BD381" i="6"/>
  <c r="BC381" i="6"/>
  <c r="BB381" i="6"/>
  <c r="BA381" i="6"/>
  <c r="AZ381" i="6"/>
  <c r="AY381" i="6"/>
  <c r="AX381" i="6"/>
  <c r="AW381" i="6"/>
  <c r="AV381" i="6"/>
  <c r="AU381" i="6"/>
  <c r="H381" i="6"/>
  <c r="G381" i="6"/>
  <c r="BJ380" i="6"/>
  <c r="BI380" i="6"/>
  <c r="BH380" i="6"/>
  <c r="BG380" i="6"/>
  <c r="BF380" i="6"/>
  <c r="BE380" i="6"/>
  <c r="BD380" i="6"/>
  <c r="BC380" i="6"/>
  <c r="BB380" i="6"/>
  <c r="BA380" i="6"/>
  <c r="AZ380" i="6"/>
  <c r="AY380" i="6"/>
  <c r="AX380" i="6"/>
  <c r="AW380" i="6"/>
  <c r="AV380" i="6"/>
  <c r="AU380" i="6"/>
  <c r="H380" i="6"/>
  <c r="G380" i="6"/>
  <c r="BJ379" i="6"/>
  <c r="BI379" i="6"/>
  <c r="BH379" i="6"/>
  <c r="BG379" i="6"/>
  <c r="BF379" i="6"/>
  <c r="BE379" i="6"/>
  <c r="BD379" i="6"/>
  <c r="BC379" i="6"/>
  <c r="BB379" i="6"/>
  <c r="BA379" i="6"/>
  <c r="AZ379" i="6"/>
  <c r="AY379" i="6"/>
  <c r="AX379" i="6"/>
  <c r="AW379" i="6"/>
  <c r="AV379" i="6"/>
  <c r="AU379" i="6"/>
  <c r="H379" i="6"/>
  <c r="G379" i="6"/>
  <c r="BJ378" i="6"/>
  <c r="BI378" i="6"/>
  <c r="BH378" i="6"/>
  <c r="BG378" i="6"/>
  <c r="BF378" i="6"/>
  <c r="BE378" i="6"/>
  <c r="BD378" i="6"/>
  <c r="BC378" i="6"/>
  <c r="BB378" i="6"/>
  <c r="BA378" i="6"/>
  <c r="AZ378" i="6"/>
  <c r="AY378" i="6"/>
  <c r="AX378" i="6"/>
  <c r="AW378" i="6"/>
  <c r="AV378" i="6"/>
  <c r="AU378" i="6"/>
  <c r="H378" i="6"/>
  <c r="G378" i="6"/>
  <c r="BJ377" i="6"/>
  <c r="BI377" i="6"/>
  <c r="BH377" i="6"/>
  <c r="BG377" i="6"/>
  <c r="BF377" i="6"/>
  <c r="BE377" i="6"/>
  <c r="BD377" i="6"/>
  <c r="BC377" i="6"/>
  <c r="BB377" i="6"/>
  <c r="BA377" i="6"/>
  <c r="AZ377" i="6"/>
  <c r="AY377" i="6"/>
  <c r="AX377" i="6"/>
  <c r="AW377" i="6"/>
  <c r="AV377" i="6"/>
  <c r="AU377" i="6"/>
  <c r="H377" i="6"/>
  <c r="G377" i="6"/>
  <c r="BJ376" i="6"/>
  <c r="BI376" i="6"/>
  <c r="BH376" i="6"/>
  <c r="BG376" i="6"/>
  <c r="BF376" i="6"/>
  <c r="BE376" i="6"/>
  <c r="BD376" i="6"/>
  <c r="BC376" i="6"/>
  <c r="BB376" i="6"/>
  <c r="BA376" i="6"/>
  <c r="AZ376" i="6"/>
  <c r="AY376" i="6"/>
  <c r="AX376" i="6"/>
  <c r="AW376" i="6"/>
  <c r="AV376" i="6"/>
  <c r="AU376" i="6"/>
  <c r="H376" i="6"/>
  <c r="G376" i="6"/>
  <c r="BJ375" i="6"/>
  <c r="BI375" i="6"/>
  <c r="BH375" i="6"/>
  <c r="BG375" i="6"/>
  <c r="BF375" i="6"/>
  <c r="BE375" i="6"/>
  <c r="BD375" i="6"/>
  <c r="BC375" i="6"/>
  <c r="BB375" i="6"/>
  <c r="BA375" i="6"/>
  <c r="AZ375" i="6"/>
  <c r="AY375" i="6"/>
  <c r="AX375" i="6"/>
  <c r="AW375" i="6"/>
  <c r="AV375" i="6"/>
  <c r="AU375" i="6"/>
  <c r="H375" i="6"/>
  <c r="G375" i="6"/>
  <c r="BJ374" i="6"/>
  <c r="BI374" i="6"/>
  <c r="BH374" i="6"/>
  <c r="BG374" i="6"/>
  <c r="BF374" i="6"/>
  <c r="BE374" i="6"/>
  <c r="BD374" i="6"/>
  <c r="BC374" i="6"/>
  <c r="BB374" i="6"/>
  <c r="BA374" i="6"/>
  <c r="AZ374" i="6"/>
  <c r="AY374" i="6"/>
  <c r="AX374" i="6"/>
  <c r="AW374" i="6"/>
  <c r="AV374" i="6"/>
  <c r="AU374" i="6"/>
  <c r="H374" i="6"/>
  <c r="G374" i="6"/>
  <c r="BJ373" i="6"/>
  <c r="BI373" i="6"/>
  <c r="BH373" i="6"/>
  <c r="BG373" i="6"/>
  <c r="BF373" i="6"/>
  <c r="BE373" i="6"/>
  <c r="BD373" i="6"/>
  <c r="BC373" i="6"/>
  <c r="BB373" i="6"/>
  <c r="BA373" i="6"/>
  <c r="AZ373" i="6"/>
  <c r="AY373" i="6"/>
  <c r="AX373" i="6"/>
  <c r="AW373" i="6"/>
  <c r="AV373" i="6"/>
  <c r="AU373" i="6"/>
  <c r="H373" i="6"/>
  <c r="G373" i="6"/>
  <c r="BJ372" i="6"/>
  <c r="BI372" i="6"/>
  <c r="BH372" i="6"/>
  <c r="BG372" i="6"/>
  <c r="BF372" i="6"/>
  <c r="BE372" i="6"/>
  <c r="BD372" i="6"/>
  <c r="BC372" i="6"/>
  <c r="BB372" i="6"/>
  <c r="BA372" i="6"/>
  <c r="AZ372" i="6"/>
  <c r="AY372" i="6"/>
  <c r="AX372" i="6"/>
  <c r="AW372" i="6"/>
  <c r="AV372" i="6"/>
  <c r="AU372" i="6"/>
  <c r="H372" i="6"/>
  <c r="G372" i="6"/>
  <c r="BJ371" i="6"/>
  <c r="BI371" i="6"/>
  <c r="BH371" i="6"/>
  <c r="BG371" i="6"/>
  <c r="BF371" i="6"/>
  <c r="BE371" i="6"/>
  <c r="BD371" i="6"/>
  <c r="BC371" i="6"/>
  <c r="BB371" i="6"/>
  <c r="BA371" i="6"/>
  <c r="AZ371" i="6"/>
  <c r="AY371" i="6"/>
  <c r="AX371" i="6"/>
  <c r="AW371" i="6"/>
  <c r="AV371" i="6"/>
  <c r="AU371" i="6"/>
  <c r="H371" i="6"/>
  <c r="G371" i="6"/>
  <c r="BJ370" i="6"/>
  <c r="BI370" i="6"/>
  <c r="BH370" i="6"/>
  <c r="BG370" i="6"/>
  <c r="BF370" i="6"/>
  <c r="BE370" i="6"/>
  <c r="BD370" i="6"/>
  <c r="BC370" i="6"/>
  <c r="BB370" i="6"/>
  <c r="BA370" i="6"/>
  <c r="AZ370" i="6"/>
  <c r="AY370" i="6"/>
  <c r="AX370" i="6"/>
  <c r="AW370" i="6"/>
  <c r="AV370" i="6"/>
  <c r="AU370" i="6"/>
  <c r="H370" i="6"/>
  <c r="G370" i="6"/>
  <c r="BJ369" i="6"/>
  <c r="BI369" i="6"/>
  <c r="BH369" i="6"/>
  <c r="BG369" i="6"/>
  <c r="BF369" i="6"/>
  <c r="BE369" i="6"/>
  <c r="BD369" i="6"/>
  <c r="BC369" i="6"/>
  <c r="BB369" i="6"/>
  <c r="BA369" i="6"/>
  <c r="AZ369" i="6"/>
  <c r="AY369" i="6"/>
  <c r="AX369" i="6"/>
  <c r="AW369" i="6"/>
  <c r="AV369" i="6"/>
  <c r="AU369" i="6"/>
  <c r="H369" i="6"/>
  <c r="G369" i="6"/>
  <c r="BJ368" i="6"/>
  <c r="BI368" i="6"/>
  <c r="BH368" i="6"/>
  <c r="BG368" i="6"/>
  <c r="BF368" i="6"/>
  <c r="BE368" i="6"/>
  <c r="BD368" i="6"/>
  <c r="BC368" i="6"/>
  <c r="BB368" i="6"/>
  <c r="BA368" i="6"/>
  <c r="AZ368" i="6"/>
  <c r="AY368" i="6"/>
  <c r="AX368" i="6"/>
  <c r="AW368" i="6"/>
  <c r="AV368" i="6"/>
  <c r="AU368" i="6"/>
  <c r="H368" i="6"/>
  <c r="G368" i="6"/>
  <c r="BJ367" i="6"/>
  <c r="BI367" i="6"/>
  <c r="BH367" i="6"/>
  <c r="BG367" i="6"/>
  <c r="BF367" i="6"/>
  <c r="BE367" i="6"/>
  <c r="BD367" i="6"/>
  <c r="BC367" i="6"/>
  <c r="BB367" i="6"/>
  <c r="BA367" i="6"/>
  <c r="AZ367" i="6"/>
  <c r="AY367" i="6"/>
  <c r="AX367" i="6"/>
  <c r="AW367" i="6"/>
  <c r="AV367" i="6"/>
  <c r="AU367" i="6"/>
  <c r="H367" i="6"/>
  <c r="G367" i="6"/>
  <c r="BJ366" i="6"/>
  <c r="BI366" i="6"/>
  <c r="BH366" i="6"/>
  <c r="BG366" i="6"/>
  <c r="BF366" i="6"/>
  <c r="BE366" i="6"/>
  <c r="BD366" i="6"/>
  <c r="BC366" i="6"/>
  <c r="BB366" i="6"/>
  <c r="BA366" i="6"/>
  <c r="AZ366" i="6"/>
  <c r="AY366" i="6"/>
  <c r="AX366" i="6"/>
  <c r="AW366" i="6"/>
  <c r="AV366" i="6"/>
  <c r="AU366" i="6"/>
  <c r="H366" i="6"/>
  <c r="G366" i="6"/>
  <c r="BJ365" i="6"/>
  <c r="BI365" i="6"/>
  <c r="BH365" i="6"/>
  <c r="BG365" i="6"/>
  <c r="BF365" i="6"/>
  <c r="BE365" i="6"/>
  <c r="BD365" i="6"/>
  <c r="BC365" i="6"/>
  <c r="BB365" i="6"/>
  <c r="BA365" i="6"/>
  <c r="AZ365" i="6"/>
  <c r="AY365" i="6"/>
  <c r="AX365" i="6"/>
  <c r="AW365" i="6"/>
  <c r="AV365" i="6"/>
  <c r="AU365" i="6"/>
  <c r="H365" i="6"/>
  <c r="G365" i="6"/>
  <c r="BJ364" i="6"/>
  <c r="BI364" i="6"/>
  <c r="BH364" i="6"/>
  <c r="BG364" i="6"/>
  <c r="BF364" i="6"/>
  <c r="BE364" i="6"/>
  <c r="BD364" i="6"/>
  <c r="BC364" i="6"/>
  <c r="BB364" i="6"/>
  <c r="BA364" i="6"/>
  <c r="AZ364" i="6"/>
  <c r="AY364" i="6"/>
  <c r="AX364" i="6"/>
  <c r="AW364" i="6"/>
  <c r="AV364" i="6"/>
  <c r="AU364" i="6"/>
  <c r="H364" i="6"/>
  <c r="G364" i="6"/>
  <c r="BJ363" i="6"/>
  <c r="BI363" i="6"/>
  <c r="BH363" i="6"/>
  <c r="BG363" i="6"/>
  <c r="BF363" i="6"/>
  <c r="BE363" i="6"/>
  <c r="BD363" i="6"/>
  <c r="BC363" i="6"/>
  <c r="BB363" i="6"/>
  <c r="BA363" i="6"/>
  <c r="AZ363" i="6"/>
  <c r="AY363" i="6"/>
  <c r="AX363" i="6"/>
  <c r="AW363" i="6"/>
  <c r="AV363" i="6"/>
  <c r="AU363" i="6"/>
  <c r="H363" i="6"/>
  <c r="G363" i="6"/>
  <c r="BJ362" i="6"/>
  <c r="BI362" i="6"/>
  <c r="BH362" i="6"/>
  <c r="BG362" i="6"/>
  <c r="BF362" i="6"/>
  <c r="BE362" i="6"/>
  <c r="BD362" i="6"/>
  <c r="BC362" i="6"/>
  <c r="BB362" i="6"/>
  <c r="BA362" i="6"/>
  <c r="AZ362" i="6"/>
  <c r="AY362" i="6"/>
  <c r="AX362" i="6"/>
  <c r="AW362" i="6"/>
  <c r="AV362" i="6"/>
  <c r="AU362" i="6"/>
  <c r="H362" i="6"/>
  <c r="G362" i="6"/>
  <c r="BJ361" i="6"/>
  <c r="BI361" i="6"/>
  <c r="BH361" i="6"/>
  <c r="BG361" i="6"/>
  <c r="BF361" i="6"/>
  <c r="BE361" i="6"/>
  <c r="BD361" i="6"/>
  <c r="BC361" i="6"/>
  <c r="BB361" i="6"/>
  <c r="BA361" i="6"/>
  <c r="AZ361" i="6"/>
  <c r="AY361" i="6"/>
  <c r="AX361" i="6"/>
  <c r="AW361" i="6"/>
  <c r="AV361" i="6"/>
  <c r="AU361" i="6"/>
  <c r="H361" i="6"/>
  <c r="G361" i="6"/>
  <c r="BJ360" i="6"/>
  <c r="BI360" i="6"/>
  <c r="BH360" i="6"/>
  <c r="BG360" i="6"/>
  <c r="BF360" i="6"/>
  <c r="BE360" i="6"/>
  <c r="BD360" i="6"/>
  <c r="BC360" i="6"/>
  <c r="BB360" i="6"/>
  <c r="BA360" i="6"/>
  <c r="AZ360" i="6"/>
  <c r="AY360" i="6"/>
  <c r="AX360" i="6"/>
  <c r="AW360" i="6"/>
  <c r="AV360" i="6"/>
  <c r="AU360" i="6"/>
  <c r="H360" i="6"/>
  <c r="G360" i="6"/>
  <c r="BJ359" i="6"/>
  <c r="BI359" i="6"/>
  <c r="BH359" i="6"/>
  <c r="BG359" i="6"/>
  <c r="BF359" i="6"/>
  <c r="BE359" i="6"/>
  <c r="BD359" i="6"/>
  <c r="BC359" i="6"/>
  <c r="BB359" i="6"/>
  <c r="BA359" i="6"/>
  <c r="AZ359" i="6"/>
  <c r="AY359" i="6"/>
  <c r="AX359" i="6"/>
  <c r="AW359" i="6"/>
  <c r="AV359" i="6"/>
  <c r="AU359" i="6"/>
  <c r="H359" i="6"/>
  <c r="G359" i="6"/>
  <c r="BJ358" i="6"/>
  <c r="BI358" i="6"/>
  <c r="BH358" i="6"/>
  <c r="BG358" i="6"/>
  <c r="BF358" i="6"/>
  <c r="BE358" i="6"/>
  <c r="BD358" i="6"/>
  <c r="BC358" i="6"/>
  <c r="BB358" i="6"/>
  <c r="BA358" i="6"/>
  <c r="AZ358" i="6"/>
  <c r="AY358" i="6"/>
  <c r="AX358" i="6"/>
  <c r="AW358" i="6"/>
  <c r="AV358" i="6"/>
  <c r="AU358" i="6"/>
  <c r="H358" i="6"/>
  <c r="G358" i="6"/>
  <c r="BJ357" i="6"/>
  <c r="BI357" i="6"/>
  <c r="BH357" i="6"/>
  <c r="BG357" i="6"/>
  <c r="BF357" i="6"/>
  <c r="BE357" i="6"/>
  <c r="BD357" i="6"/>
  <c r="BC357" i="6"/>
  <c r="BB357" i="6"/>
  <c r="BA357" i="6"/>
  <c r="AZ357" i="6"/>
  <c r="AY357" i="6"/>
  <c r="AX357" i="6"/>
  <c r="AW357" i="6"/>
  <c r="AV357" i="6"/>
  <c r="AU357" i="6"/>
  <c r="H357" i="6"/>
  <c r="G357" i="6"/>
  <c r="BJ356" i="6"/>
  <c r="BI356" i="6"/>
  <c r="BH356" i="6"/>
  <c r="BG356" i="6"/>
  <c r="BF356" i="6"/>
  <c r="BE356" i="6"/>
  <c r="BD356" i="6"/>
  <c r="BC356" i="6"/>
  <c r="BB356" i="6"/>
  <c r="BA356" i="6"/>
  <c r="AZ356" i="6"/>
  <c r="AY356" i="6"/>
  <c r="AX356" i="6"/>
  <c r="AW356" i="6"/>
  <c r="AV356" i="6"/>
  <c r="AU356" i="6"/>
  <c r="H356" i="6"/>
  <c r="G356" i="6"/>
  <c r="BJ355" i="6"/>
  <c r="BI355" i="6"/>
  <c r="BH355" i="6"/>
  <c r="BG355" i="6"/>
  <c r="BF355" i="6"/>
  <c r="BE355" i="6"/>
  <c r="BD355" i="6"/>
  <c r="BC355" i="6"/>
  <c r="BB355" i="6"/>
  <c r="BA355" i="6"/>
  <c r="AZ355" i="6"/>
  <c r="AY355" i="6"/>
  <c r="AX355" i="6"/>
  <c r="AW355" i="6"/>
  <c r="AV355" i="6"/>
  <c r="AU355" i="6"/>
  <c r="H355" i="6"/>
  <c r="G355" i="6"/>
  <c r="BJ354" i="6"/>
  <c r="BI354" i="6"/>
  <c r="BH354" i="6"/>
  <c r="BG354" i="6"/>
  <c r="BF354" i="6"/>
  <c r="BE354" i="6"/>
  <c r="BD354" i="6"/>
  <c r="BC354" i="6"/>
  <c r="BB354" i="6"/>
  <c r="BA354" i="6"/>
  <c r="AZ354" i="6"/>
  <c r="AY354" i="6"/>
  <c r="AX354" i="6"/>
  <c r="AW354" i="6"/>
  <c r="AV354" i="6"/>
  <c r="AU354" i="6"/>
  <c r="H354" i="6"/>
  <c r="G354" i="6"/>
  <c r="BJ353" i="6"/>
  <c r="BI353" i="6"/>
  <c r="BH353" i="6"/>
  <c r="BG353" i="6"/>
  <c r="BF353" i="6"/>
  <c r="BE353" i="6"/>
  <c r="BD353" i="6"/>
  <c r="BC353" i="6"/>
  <c r="BB353" i="6"/>
  <c r="BA353" i="6"/>
  <c r="AZ353" i="6"/>
  <c r="AY353" i="6"/>
  <c r="AX353" i="6"/>
  <c r="AW353" i="6"/>
  <c r="AV353" i="6"/>
  <c r="AU353" i="6"/>
  <c r="H353" i="6"/>
  <c r="G353" i="6"/>
  <c r="BJ352" i="6"/>
  <c r="BI352" i="6"/>
  <c r="BH352" i="6"/>
  <c r="BG352" i="6"/>
  <c r="BF352" i="6"/>
  <c r="BE352" i="6"/>
  <c r="BD352" i="6"/>
  <c r="BC352" i="6"/>
  <c r="BB352" i="6"/>
  <c r="BA352" i="6"/>
  <c r="AZ352" i="6"/>
  <c r="AY352" i="6"/>
  <c r="AX352" i="6"/>
  <c r="AW352" i="6"/>
  <c r="AV352" i="6"/>
  <c r="AU352" i="6"/>
  <c r="H352" i="6"/>
  <c r="G352" i="6"/>
  <c r="BJ351" i="6"/>
  <c r="BI351" i="6"/>
  <c r="BH351" i="6"/>
  <c r="BG351" i="6"/>
  <c r="BF351" i="6"/>
  <c r="BE351" i="6"/>
  <c r="BD351" i="6"/>
  <c r="BC351" i="6"/>
  <c r="BB351" i="6"/>
  <c r="BA351" i="6"/>
  <c r="AZ351" i="6"/>
  <c r="AY351" i="6"/>
  <c r="AX351" i="6"/>
  <c r="AW351" i="6"/>
  <c r="AV351" i="6"/>
  <c r="AU351" i="6"/>
  <c r="H351" i="6"/>
  <c r="G351" i="6"/>
  <c r="BJ350" i="6"/>
  <c r="BI350" i="6"/>
  <c r="BH350" i="6"/>
  <c r="BG350" i="6"/>
  <c r="BF350" i="6"/>
  <c r="BE350" i="6"/>
  <c r="BD350" i="6"/>
  <c r="BC350" i="6"/>
  <c r="BB350" i="6"/>
  <c r="BA350" i="6"/>
  <c r="AZ350" i="6"/>
  <c r="AY350" i="6"/>
  <c r="AX350" i="6"/>
  <c r="AW350" i="6"/>
  <c r="AV350" i="6"/>
  <c r="AU350" i="6"/>
  <c r="H350" i="6"/>
  <c r="G350" i="6"/>
  <c r="BJ349" i="6"/>
  <c r="BI349" i="6"/>
  <c r="BH349" i="6"/>
  <c r="BG349" i="6"/>
  <c r="BF349" i="6"/>
  <c r="BE349" i="6"/>
  <c r="BD349" i="6"/>
  <c r="BC349" i="6"/>
  <c r="BB349" i="6"/>
  <c r="BA349" i="6"/>
  <c r="AZ349" i="6"/>
  <c r="AY349" i="6"/>
  <c r="AX349" i="6"/>
  <c r="AW349" i="6"/>
  <c r="AV349" i="6"/>
  <c r="AU349" i="6"/>
  <c r="H349" i="6"/>
  <c r="G349" i="6"/>
  <c r="BJ348" i="6"/>
  <c r="BI348" i="6"/>
  <c r="BH348" i="6"/>
  <c r="BG348" i="6"/>
  <c r="BF348" i="6"/>
  <c r="BE348" i="6"/>
  <c r="BD348" i="6"/>
  <c r="BC348" i="6"/>
  <c r="BB348" i="6"/>
  <c r="BA348" i="6"/>
  <c r="AZ348" i="6"/>
  <c r="AY348" i="6"/>
  <c r="AX348" i="6"/>
  <c r="AW348" i="6"/>
  <c r="AV348" i="6"/>
  <c r="AU348" i="6"/>
  <c r="H348" i="6"/>
  <c r="G348" i="6"/>
  <c r="BJ347" i="6"/>
  <c r="BI347" i="6"/>
  <c r="BH347" i="6"/>
  <c r="BG347" i="6"/>
  <c r="BF347" i="6"/>
  <c r="BE347" i="6"/>
  <c r="BD347" i="6"/>
  <c r="BC347" i="6"/>
  <c r="BB347" i="6"/>
  <c r="BA347" i="6"/>
  <c r="AZ347" i="6"/>
  <c r="AY347" i="6"/>
  <c r="AX347" i="6"/>
  <c r="AW347" i="6"/>
  <c r="AV347" i="6"/>
  <c r="AU347" i="6"/>
  <c r="H347" i="6"/>
  <c r="G347" i="6"/>
  <c r="BJ346" i="6"/>
  <c r="BI346" i="6"/>
  <c r="BH346" i="6"/>
  <c r="BG346" i="6"/>
  <c r="BF346" i="6"/>
  <c r="BE346" i="6"/>
  <c r="BD346" i="6"/>
  <c r="BC346" i="6"/>
  <c r="BB346" i="6"/>
  <c r="BA346" i="6"/>
  <c r="AZ346" i="6"/>
  <c r="AY346" i="6"/>
  <c r="AX346" i="6"/>
  <c r="AW346" i="6"/>
  <c r="AV346" i="6"/>
  <c r="AU346" i="6"/>
  <c r="H346" i="6"/>
  <c r="G346" i="6"/>
  <c r="BJ345" i="6"/>
  <c r="BI345" i="6"/>
  <c r="BH345" i="6"/>
  <c r="BG345" i="6"/>
  <c r="BF345" i="6"/>
  <c r="BE345" i="6"/>
  <c r="BD345" i="6"/>
  <c r="BC345" i="6"/>
  <c r="BB345" i="6"/>
  <c r="BA345" i="6"/>
  <c r="AZ345" i="6"/>
  <c r="AY345" i="6"/>
  <c r="AX345" i="6"/>
  <c r="AW345" i="6"/>
  <c r="AV345" i="6"/>
  <c r="AU345" i="6"/>
  <c r="H345" i="6"/>
  <c r="G345" i="6"/>
  <c r="BJ344" i="6"/>
  <c r="BI344" i="6"/>
  <c r="BH344" i="6"/>
  <c r="BG344" i="6"/>
  <c r="BF344" i="6"/>
  <c r="BE344" i="6"/>
  <c r="BD344" i="6"/>
  <c r="BC344" i="6"/>
  <c r="BB344" i="6"/>
  <c r="BA344" i="6"/>
  <c r="AZ344" i="6"/>
  <c r="AY344" i="6"/>
  <c r="AX344" i="6"/>
  <c r="AW344" i="6"/>
  <c r="AV344" i="6"/>
  <c r="AU344" i="6"/>
  <c r="H344" i="6"/>
  <c r="G344" i="6"/>
  <c r="BJ343" i="6"/>
  <c r="BI343" i="6"/>
  <c r="BH343" i="6"/>
  <c r="BG343" i="6"/>
  <c r="BF343" i="6"/>
  <c r="BE343" i="6"/>
  <c r="BD343" i="6"/>
  <c r="BC343" i="6"/>
  <c r="BB343" i="6"/>
  <c r="BA343" i="6"/>
  <c r="AZ343" i="6"/>
  <c r="AY343" i="6"/>
  <c r="AX343" i="6"/>
  <c r="AW343" i="6"/>
  <c r="AV343" i="6"/>
  <c r="AU343" i="6"/>
  <c r="H343" i="6"/>
  <c r="G343" i="6"/>
  <c r="BJ342" i="6"/>
  <c r="BI342" i="6"/>
  <c r="BH342" i="6"/>
  <c r="BG342" i="6"/>
  <c r="BF342" i="6"/>
  <c r="BE342" i="6"/>
  <c r="BD342" i="6"/>
  <c r="BC342" i="6"/>
  <c r="BB342" i="6"/>
  <c r="BA342" i="6"/>
  <c r="AZ342" i="6"/>
  <c r="AY342" i="6"/>
  <c r="AX342" i="6"/>
  <c r="AW342" i="6"/>
  <c r="AV342" i="6"/>
  <c r="AU342" i="6"/>
  <c r="H342" i="6"/>
  <c r="G342" i="6"/>
  <c r="BJ341" i="6"/>
  <c r="BI341" i="6"/>
  <c r="BH341" i="6"/>
  <c r="BG341" i="6"/>
  <c r="BF341" i="6"/>
  <c r="BE341" i="6"/>
  <c r="BD341" i="6"/>
  <c r="BC341" i="6"/>
  <c r="BB341" i="6"/>
  <c r="BA341" i="6"/>
  <c r="AZ341" i="6"/>
  <c r="AY341" i="6"/>
  <c r="AX341" i="6"/>
  <c r="AW341" i="6"/>
  <c r="AV341" i="6"/>
  <c r="AU341" i="6"/>
  <c r="H341" i="6"/>
  <c r="G341" i="6"/>
  <c r="BJ340" i="6"/>
  <c r="BI340" i="6"/>
  <c r="BH340" i="6"/>
  <c r="BG340" i="6"/>
  <c r="BF340" i="6"/>
  <c r="BE340" i="6"/>
  <c r="BD340" i="6"/>
  <c r="BC340" i="6"/>
  <c r="BB340" i="6"/>
  <c r="BA340" i="6"/>
  <c r="AZ340" i="6"/>
  <c r="AY340" i="6"/>
  <c r="AX340" i="6"/>
  <c r="AW340" i="6"/>
  <c r="AV340" i="6"/>
  <c r="AU340" i="6"/>
  <c r="H340" i="6"/>
  <c r="G340" i="6"/>
  <c r="BJ339" i="6"/>
  <c r="BI339" i="6"/>
  <c r="BH339" i="6"/>
  <c r="BG339" i="6"/>
  <c r="BF339" i="6"/>
  <c r="BE339" i="6"/>
  <c r="BD339" i="6"/>
  <c r="BC339" i="6"/>
  <c r="BB339" i="6"/>
  <c r="BA339" i="6"/>
  <c r="AZ339" i="6"/>
  <c r="AY339" i="6"/>
  <c r="AX339" i="6"/>
  <c r="AW339" i="6"/>
  <c r="AV339" i="6"/>
  <c r="AU339" i="6"/>
  <c r="H339" i="6"/>
  <c r="G339" i="6"/>
  <c r="BJ338" i="6"/>
  <c r="BI338" i="6"/>
  <c r="BH338" i="6"/>
  <c r="BG338" i="6"/>
  <c r="BF338" i="6"/>
  <c r="BE338" i="6"/>
  <c r="BD338" i="6"/>
  <c r="BC338" i="6"/>
  <c r="BB338" i="6"/>
  <c r="BA338" i="6"/>
  <c r="AZ338" i="6"/>
  <c r="AY338" i="6"/>
  <c r="AX338" i="6"/>
  <c r="AW338" i="6"/>
  <c r="AV338" i="6"/>
  <c r="AU338" i="6"/>
  <c r="H338" i="6"/>
  <c r="G338" i="6"/>
  <c r="BJ337" i="6"/>
  <c r="BI337" i="6"/>
  <c r="BH337" i="6"/>
  <c r="BG337" i="6"/>
  <c r="BF337" i="6"/>
  <c r="BE337" i="6"/>
  <c r="BD337" i="6"/>
  <c r="BC337" i="6"/>
  <c r="BB337" i="6"/>
  <c r="BA337" i="6"/>
  <c r="AZ337" i="6"/>
  <c r="AY337" i="6"/>
  <c r="AX337" i="6"/>
  <c r="AW337" i="6"/>
  <c r="AV337" i="6"/>
  <c r="AU337" i="6"/>
  <c r="H337" i="6"/>
  <c r="G337" i="6"/>
  <c r="BJ336" i="6"/>
  <c r="BI336" i="6"/>
  <c r="BH336" i="6"/>
  <c r="BG336" i="6"/>
  <c r="BF336" i="6"/>
  <c r="BE336" i="6"/>
  <c r="BD336" i="6"/>
  <c r="BC336" i="6"/>
  <c r="BB336" i="6"/>
  <c r="BA336" i="6"/>
  <c r="AZ336" i="6"/>
  <c r="AY336" i="6"/>
  <c r="AX336" i="6"/>
  <c r="AW336" i="6"/>
  <c r="AV336" i="6"/>
  <c r="AU336" i="6"/>
  <c r="H336" i="6"/>
  <c r="G336" i="6"/>
  <c r="BJ335" i="6"/>
  <c r="BI335" i="6"/>
  <c r="BH335" i="6"/>
  <c r="BG335" i="6"/>
  <c r="BF335" i="6"/>
  <c r="BE335" i="6"/>
  <c r="BD335" i="6"/>
  <c r="BC335" i="6"/>
  <c r="BB335" i="6"/>
  <c r="BA335" i="6"/>
  <c r="AZ335" i="6"/>
  <c r="AY335" i="6"/>
  <c r="AX335" i="6"/>
  <c r="AW335" i="6"/>
  <c r="AV335" i="6"/>
  <c r="AU335" i="6"/>
  <c r="H335" i="6"/>
  <c r="G335" i="6"/>
  <c r="BJ334" i="6"/>
  <c r="BI334" i="6"/>
  <c r="BH334" i="6"/>
  <c r="BG334" i="6"/>
  <c r="BF334" i="6"/>
  <c r="BE334" i="6"/>
  <c r="BD334" i="6"/>
  <c r="BC334" i="6"/>
  <c r="BB334" i="6"/>
  <c r="BA334" i="6"/>
  <c r="AZ334" i="6"/>
  <c r="AY334" i="6"/>
  <c r="AX334" i="6"/>
  <c r="AW334" i="6"/>
  <c r="AV334" i="6"/>
  <c r="AU334" i="6"/>
  <c r="H334" i="6"/>
  <c r="G334" i="6"/>
  <c r="BJ333" i="6"/>
  <c r="BI333" i="6"/>
  <c r="BH333" i="6"/>
  <c r="BG333" i="6"/>
  <c r="BF333" i="6"/>
  <c r="BE333" i="6"/>
  <c r="BD333" i="6"/>
  <c r="BC333" i="6"/>
  <c r="BB333" i="6"/>
  <c r="BA333" i="6"/>
  <c r="AZ333" i="6"/>
  <c r="AY333" i="6"/>
  <c r="AX333" i="6"/>
  <c r="AW333" i="6"/>
  <c r="AV333" i="6"/>
  <c r="AU333" i="6"/>
  <c r="H333" i="6"/>
  <c r="G333" i="6"/>
  <c r="BJ332" i="6"/>
  <c r="BI332" i="6"/>
  <c r="BH332" i="6"/>
  <c r="BG332" i="6"/>
  <c r="BF332" i="6"/>
  <c r="BE332" i="6"/>
  <c r="BD332" i="6"/>
  <c r="BC332" i="6"/>
  <c r="BB332" i="6"/>
  <c r="BA332" i="6"/>
  <c r="AZ332" i="6"/>
  <c r="AY332" i="6"/>
  <c r="AX332" i="6"/>
  <c r="AW332" i="6"/>
  <c r="AV332" i="6"/>
  <c r="AU332" i="6"/>
  <c r="H332" i="6"/>
  <c r="G332" i="6"/>
  <c r="BJ331" i="6"/>
  <c r="BI331" i="6"/>
  <c r="BH331" i="6"/>
  <c r="BG331" i="6"/>
  <c r="BF331" i="6"/>
  <c r="BE331" i="6"/>
  <c r="BD331" i="6"/>
  <c r="BC331" i="6"/>
  <c r="BB331" i="6"/>
  <c r="BA331" i="6"/>
  <c r="AZ331" i="6"/>
  <c r="AY331" i="6"/>
  <c r="AX331" i="6"/>
  <c r="AW331" i="6"/>
  <c r="AV331" i="6"/>
  <c r="AU331" i="6"/>
  <c r="H331" i="6"/>
  <c r="G331" i="6"/>
  <c r="BJ330" i="6"/>
  <c r="BI330" i="6"/>
  <c r="BH330" i="6"/>
  <c r="BG330" i="6"/>
  <c r="BF330" i="6"/>
  <c r="BE330" i="6"/>
  <c r="BD330" i="6"/>
  <c r="BC330" i="6"/>
  <c r="BB330" i="6"/>
  <c r="BA330" i="6"/>
  <c r="AZ330" i="6"/>
  <c r="AY330" i="6"/>
  <c r="AX330" i="6"/>
  <c r="AW330" i="6"/>
  <c r="AV330" i="6"/>
  <c r="AU330" i="6"/>
  <c r="H330" i="6"/>
  <c r="G330" i="6"/>
  <c r="BJ329" i="6"/>
  <c r="BI329" i="6"/>
  <c r="BH329" i="6"/>
  <c r="BG329" i="6"/>
  <c r="BF329" i="6"/>
  <c r="BE329" i="6"/>
  <c r="BD329" i="6"/>
  <c r="BC329" i="6"/>
  <c r="BB329" i="6"/>
  <c r="BA329" i="6"/>
  <c r="AZ329" i="6"/>
  <c r="AY329" i="6"/>
  <c r="AX329" i="6"/>
  <c r="AW329" i="6"/>
  <c r="AV329" i="6"/>
  <c r="AU329" i="6"/>
  <c r="H329" i="6"/>
  <c r="G329" i="6"/>
  <c r="BJ328" i="6"/>
  <c r="BI328" i="6"/>
  <c r="BH328" i="6"/>
  <c r="BG328" i="6"/>
  <c r="BF328" i="6"/>
  <c r="BE328" i="6"/>
  <c r="BD328" i="6"/>
  <c r="BC328" i="6"/>
  <c r="BB328" i="6"/>
  <c r="BA328" i="6"/>
  <c r="AZ328" i="6"/>
  <c r="AY328" i="6"/>
  <c r="AX328" i="6"/>
  <c r="AW328" i="6"/>
  <c r="AV328" i="6"/>
  <c r="AU328" i="6"/>
  <c r="H328" i="6"/>
  <c r="G328" i="6"/>
  <c r="BJ327" i="6"/>
  <c r="BI327" i="6"/>
  <c r="BH327" i="6"/>
  <c r="BG327" i="6"/>
  <c r="BF327" i="6"/>
  <c r="BE327" i="6"/>
  <c r="BD327" i="6"/>
  <c r="BC327" i="6"/>
  <c r="BB327" i="6"/>
  <c r="BA327" i="6"/>
  <c r="AZ327" i="6"/>
  <c r="AY327" i="6"/>
  <c r="AX327" i="6"/>
  <c r="AW327" i="6"/>
  <c r="AV327" i="6"/>
  <c r="AU327" i="6"/>
  <c r="H327" i="6"/>
  <c r="G327" i="6"/>
  <c r="BJ326" i="6"/>
  <c r="BI326" i="6"/>
  <c r="BH326" i="6"/>
  <c r="BG326" i="6"/>
  <c r="BF326" i="6"/>
  <c r="BE326" i="6"/>
  <c r="BD326" i="6"/>
  <c r="BC326" i="6"/>
  <c r="BB326" i="6"/>
  <c r="BA326" i="6"/>
  <c r="AZ326" i="6"/>
  <c r="AY326" i="6"/>
  <c r="AX326" i="6"/>
  <c r="AW326" i="6"/>
  <c r="AV326" i="6"/>
  <c r="AU326" i="6"/>
  <c r="H326" i="6"/>
  <c r="G326" i="6"/>
  <c r="BJ325" i="6"/>
  <c r="BI325" i="6"/>
  <c r="BH325" i="6"/>
  <c r="BG325" i="6"/>
  <c r="BF325" i="6"/>
  <c r="BE325" i="6"/>
  <c r="BD325" i="6"/>
  <c r="BC325" i="6"/>
  <c r="BB325" i="6"/>
  <c r="BA325" i="6"/>
  <c r="AZ325" i="6"/>
  <c r="AY325" i="6"/>
  <c r="AX325" i="6"/>
  <c r="AW325" i="6"/>
  <c r="AV325" i="6"/>
  <c r="AU325" i="6"/>
  <c r="H325" i="6"/>
  <c r="G325" i="6"/>
  <c r="BJ324" i="6"/>
  <c r="BI324" i="6"/>
  <c r="BH324" i="6"/>
  <c r="BG324" i="6"/>
  <c r="BF324" i="6"/>
  <c r="BE324" i="6"/>
  <c r="BD324" i="6"/>
  <c r="BC324" i="6"/>
  <c r="BB324" i="6"/>
  <c r="BA324" i="6"/>
  <c r="AZ324" i="6"/>
  <c r="AY324" i="6"/>
  <c r="AX324" i="6"/>
  <c r="AW324" i="6"/>
  <c r="AV324" i="6"/>
  <c r="AU324" i="6"/>
  <c r="H324" i="6"/>
  <c r="G324" i="6"/>
  <c r="BJ323" i="6"/>
  <c r="BI323" i="6"/>
  <c r="BH323" i="6"/>
  <c r="BG323" i="6"/>
  <c r="BF323" i="6"/>
  <c r="BE323" i="6"/>
  <c r="BD323" i="6"/>
  <c r="BC323" i="6"/>
  <c r="BB323" i="6"/>
  <c r="BA323" i="6"/>
  <c r="AZ323" i="6"/>
  <c r="AY323" i="6"/>
  <c r="AX323" i="6"/>
  <c r="AW323" i="6"/>
  <c r="AV323" i="6"/>
  <c r="AU323" i="6"/>
  <c r="H323" i="6"/>
  <c r="G323" i="6"/>
  <c r="BJ322" i="6"/>
  <c r="BI322" i="6"/>
  <c r="BH322" i="6"/>
  <c r="BG322" i="6"/>
  <c r="BF322" i="6"/>
  <c r="BE322" i="6"/>
  <c r="BD322" i="6"/>
  <c r="BC322" i="6"/>
  <c r="BB322" i="6"/>
  <c r="BA322" i="6"/>
  <c r="AZ322" i="6"/>
  <c r="AY322" i="6"/>
  <c r="AX322" i="6"/>
  <c r="AW322" i="6"/>
  <c r="AV322" i="6"/>
  <c r="AU322" i="6"/>
  <c r="H322" i="6"/>
  <c r="G322" i="6"/>
  <c r="BJ321" i="6"/>
  <c r="BI321" i="6"/>
  <c r="BH321" i="6"/>
  <c r="BG321" i="6"/>
  <c r="BF321" i="6"/>
  <c r="BE321" i="6"/>
  <c r="BD321" i="6"/>
  <c r="BC321" i="6"/>
  <c r="BB321" i="6"/>
  <c r="BA321" i="6"/>
  <c r="AZ321" i="6"/>
  <c r="AY321" i="6"/>
  <c r="AX321" i="6"/>
  <c r="AW321" i="6"/>
  <c r="AV321" i="6"/>
  <c r="AU321" i="6"/>
  <c r="H321" i="6"/>
  <c r="G321" i="6"/>
  <c r="BJ320" i="6"/>
  <c r="BI320" i="6"/>
  <c r="BH320" i="6"/>
  <c r="BG320" i="6"/>
  <c r="BF320" i="6"/>
  <c r="BE320" i="6"/>
  <c r="BD320" i="6"/>
  <c r="BC320" i="6"/>
  <c r="BB320" i="6"/>
  <c r="BA320" i="6"/>
  <c r="AZ320" i="6"/>
  <c r="AY320" i="6"/>
  <c r="AX320" i="6"/>
  <c r="AW320" i="6"/>
  <c r="AV320" i="6"/>
  <c r="AU320" i="6"/>
  <c r="H320" i="6"/>
  <c r="G320" i="6"/>
  <c r="BJ319" i="6"/>
  <c r="BI319" i="6"/>
  <c r="BH319" i="6"/>
  <c r="BG319" i="6"/>
  <c r="BF319" i="6"/>
  <c r="BE319" i="6"/>
  <c r="BD319" i="6"/>
  <c r="BC319" i="6"/>
  <c r="BB319" i="6"/>
  <c r="BA319" i="6"/>
  <c r="AZ319" i="6"/>
  <c r="AY319" i="6"/>
  <c r="AX319" i="6"/>
  <c r="AW319" i="6"/>
  <c r="AV319" i="6"/>
  <c r="AU319" i="6"/>
  <c r="H319" i="6"/>
  <c r="G319" i="6"/>
  <c r="BJ318" i="6"/>
  <c r="BI318" i="6"/>
  <c r="BH318" i="6"/>
  <c r="BG318" i="6"/>
  <c r="BF318" i="6"/>
  <c r="BE318" i="6"/>
  <c r="BD318" i="6"/>
  <c r="BC318" i="6"/>
  <c r="BB318" i="6"/>
  <c r="BA318" i="6"/>
  <c r="AZ318" i="6"/>
  <c r="AY318" i="6"/>
  <c r="AX318" i="6"/>
  <c r="AW318" i="6"/>
  <c r="AV318" i="6"/>
  <c r="AU318" i="6"/>
  <c r="H318" i="6"/>
  <c r="G318" i="6"/>
  <c r="BJ317" i="6"/>
  <c r="BI317" i="6"/>
  <c r="BH317" i="6"/>
  <c r="BG317" i="6"/>
  <c r="BF317" i="6"/>
  <c r="BE317" i="6"/>
  <c r="BD317" i="6"/>
  <c r="BC317" i="6"/>
  <c r="BB317" i="6"/>
  <c r="BA317" i="6"/>
  <c r="AZ317" i="6"/>
  <c r="AY317" i="6"/>
  <c r="AX317" i="6"/>
  <c r="AW317" i="6"/>
  <c r="AV317" i="6"/>
  <c r="AU317" i="6"/>
  <c r="H317" i="6"/>
  <c r="G317" i="6"/>
  <c r="BJ316" i="6"/>
  <c r="BI316" i="6"/>
  <c r="BH316" i="6"/>
  <c r="BG316" i="6"/>
  <c r="BF316" i="6"/>
  <c r="BE316" i="6"/>
  <c r="BD316" i="6"/>
  <c r="BC316" i="6"/>
  <c r="BB316" i="6"/>
  <c r="BA316" i="6"/>
  <c r="AZ316" i="6"/>
  <c r="AY316" i="6"/>
  <c r="AX316" i="6"/>
  <c r="AW316" i="6"/>
  <c r="AV316" i="6"/>
  <c r="AU316" i="6"/>
  <c r="H316" i="6"/>
  <c r="G316" i="6"/>
  <c r="BJ315" i="6"/>
  <c r="BI315" i="6"/>
  <c r="BH315" i="6"/>
  <c r="BG315" i="6"/>
  <c r="BF315" i="6"/>
  <c r="BE315" i="6"/>
  <c r="BD315" i="6"/>
  <c r="BC315" i="6"/>
  <c r="BB315" i="6"/>
  <c r="BA315" i="6"/>
  <c r="AZ315" i="6"/>
  <c r="AY315" i="6"/>
  <c r="AX315" i="6"/>
  <c r="AW315" i="6"/>
  <c r="AV315" i="6"/>
  <c r="AU315" i="6"/>
  <c r="H315" i="6"/>
  <c r="G315" i="6"/>
  <c r="BJ314" i="6"/>
  <c r="BI314" i="6"/>
  <c r="BH314" i="6"/>
  <c r="BG314" i="6"/>
  <c r="BF314" i="6"/>
  <c r="BE314" i="6"/>
  <c r="BD314" i="6"/>
  <c r="BC314" i="6"/>
  <c r="BB314" i="6"/>
  <c r="BA314" i="6"/>
  <c r="AZ314" i="6"/>
  <c r="AY314" i="6"/>
  <c r="AX314" i="6"/>
  <c r="AW314" i="6"/>
  <c r="AV314" i="6"/>
  <c r="AU314" i="6"/>
  <c r="H314" i="6"/>
  <c r="G314" i="6"/>
  <c r="BJ313" i="6"/>
  <c r="BI313" i="6"/>
  <c r="BH313" i="6"/>
  <c r="BG313" i="6"/>
  <c r="BF313" i="6"/>
  <c r="BE313" i="6"/>
  <c r="BD313" i="6"/>
  <c r="BC313" i="6"/>
  <c r="BB313" i="6"/>
  <c r="BA313" i="6"/>
  <c r="AZ313" i="6"/>
  <c r="AY313" i="6"/>
  <c r="AX313" i="6"/>
  <c r="AW313" i="6"/>
  <c r="AV313" i="6"/>
  <c r="AU313" i="6"/>
  <c r="H313" i="6"/>
  <c r="G313" i="6"/>
  <c r="BJ312" i="6"/>
  <c r="BI312" i="6"/>
  <c r="BH312" i="6"/>
  <c r="BG312" i="6"/>
  <c r="BF312" i="6"/>
  <c r="BE312" i="6"/>
  <c r="BD312" i="6"/>
  <c r="BC312" i="6"/>
  <c r="BB312" i="6"/>
  <c r="BA312" i="6"/>
  <c r="AZ312" i="6"/>
  <c r="AY312" i="6"/>
  <c r="AX312" i="6"/>
  <c r="AW312" i="6"/>
  <c r="AV312" i="6"/>
  <c r="AU312" i="6"/>
  <c r="H312" i="6"/>
  <c r="G312" i="6"/>
  <c r="BJ311" i="6"/>
  <c r="BI311" i="6"/>
  <c r="BH311" i="6"/>
  <c r="BG311" i="6"/>
  <c r="BF311" i="6"/>
  <c r="BE311" i="6"/>
  <c r="BD311" i="6"/>
  <c r="BC311" i="6"/>
  <c r="BB311" i="6"/>
  <c r="BA311" i="6"/>
  <c r="AZ311" i="6"/>
  <c r="AY311" i="6"/>
  <c r="AX311" i="6"/>
  <c r="AW311" i="6"/>
  <c r="AV311" i="6"/>
  <c r="AU311" i="6"/>
  <c r="H311" i="6"/>
  <c r="G311" i="6"/>
  <c r="BJ310" i="6"/>
  <c r="BI310" i="6"/>
  <c r="BH310" i="6"/>
  <c r="BG310" i="6"/>
  <c r="BF310" i="6"/>
  <c r="BE310" i="6"/>
  <c r="BD310" i="6"/>
  <c r="BC310" i="6"/>
  <c r="BB310" i="6"/>
  <c r="BA310" i="6"/>
  <c r="AZ310" i="6"/>
  <c r="AY310" i="6"/>
  <c r="AX310" i="6"/>
  <c r="AW310" i="6"/>
  <c r="AV310" i="6"/>
  <c r="AU310" i="6"/>
  <c r="H310" i="6"/>
  <c r="G310" i="6"/>
  <c r="BJ309" i="6"/>
  <c r="BI309" i="6"/>
  <c r="BH309" i="6"/>
  <c r="BG309" i="6"/>
  <c r="BF309" i="6"/>
  <c r="BE309" i="6"/>
  <c r="BD309" i="6"/>
  <c r="BC309" i="6"/>
  <c r="BB309" i="6"/>
  <c r="BA309" i="6"/>
  <c r="AZ309" i="6"/>
  <c r="AY309" i="6"/>
  <c r="AX309" i="6"/>
  <c r="AW309" i="6"/>
  <c r="AV309" i="6"/>
  <c r="AU309" i="6"/>
  <c r="H309" i="6"/>
  <c r="G309" i="6"/>
  <c r="BJ308" i="6"/>
  <c r="BI308" i="6"/>
  <c r="BH308" i="6"/>
  <c r="BG308" i="6"/>
  <c r="BF308" i="6"/>
  <c r="BE308" i="6"/>
  <c r="BD308" i="6"/>
  <c r="BC308" i="6"/>
  <c r="BB308" i="6"/>
  <c r="BA308" i="6"/>
  <c r="AZ308" i="6"/>
  <c r="AY308" i="6"/>
  <c r="AX308" i="6"/>
  <c r="AW308" i="6"/>
  <c r="AV308" i="6"/>
  <c r="AU308" i="6"/>
  <c r="H308" i="6"/>
  <c r="G308" i="6"/>
  <c r="BJ307" i="6"/>
  <c r="BI307" i="6"/>
  <c r="BH307" i="6"/>
  <c r="BG307" i="6"/>
  <c r="BF307" i="6"/>
  <c r="BE307" i="6"/>
  <c r="BD307" i="6"/>
  <c r="BC307" i="6"/>
  <c r="BB307" i="6"/>
  <c r="BA307" i="6"/>
  <c r="AZ307" i="6"/>
  <c r="AY307" i="6"/>
  <c r="AX307" i="6"/>
  <c r="AW307" i="6"/>
  <c r="AV307" i="6"/>
  <c r="AU307" i="6"/>
  <c r="H307" i="6"/>
  <c r="G307" i="6"/>
  <c r="BJ306" i="6"/>
  <c r="BI306" i="6"/>
  <c r="BH306" i="6"/>
  <c r="BG306" i="6"/>
  <c r="BF306" i="6"/>
  <c r="BE306" i="6"/>
  <c r="BD306" i="6"/>
  <c r="BC306" i="6"/>
  <c r="BB306" i="6"/>
  <c r="BA306" i="6"/>
  <c r="AZ306" i="6"/>
  <c r="AY306" i="6"/>
  <c r="AX306" i="6"/>
  <c r="AW306" i="6"/>
  <c r="AV306" i="6"/>
  <c r="AU306" i="6"/>
  <c r="H306" i="6"/>
  <c r="G306" i="6"/>
  <c r="BJ305" i="6"/>
  <c r="BI305" i="6"/>
  <c r="BH305" i="6"/>
  <c r="BG305" i="6"/>
  <c r="BF305" i="6"/>
  <c r="BE305" i="6"/>
  <c r="BD305" i="6"/>
  <c r="BC305" i="6"/>
  <c r="BB305" i="6"/>
  <c r="BA305" i="6"/>
  <c r="AZ305" i="6"/>
  <c r="AY305" i="6"/>
  <c r="AX305" i="6"/>
  <c r="AW305" i="6"/>
  <c r="AV305" i="6"/>
  <c r="AU305" i="6"/>
  <c r="H305" i="6"/>
  <c r="G305" i="6"/>
  <c r="BJ304" i="6"/>
  <c r="BI304" i="6"/>
  <c r="BH304" i="6"/>
  <c r="BG304" i="6"/>
  <c r="BF304" i="6"/>
  <c r="BE304" i="6"/>
  <c r="BD304" i="6"/>
  <c r="BC304" i="6"/>
  <c r="BB304" i="6"/>
  <c r="BA304" i="6"/>
  <c r="AZ304" i="6"/>
  <c r="AY304" i="6"/>
  <c r="AX304" i="6"/>
  <c r="AW304" i="6"/>
  <c r="AV304" i="6"/>
  <c r="AU304" i="6"/>
  <c r="H304" i="6"/>
  <c r="G304" i="6"/>
  <c r="BJ303" i="6"/>
  <c r="BI303" i="6"/>
  <c r="BH303" i="6"/>
  <c r="BG303" i="6"/>
  <c r="BF303" i="6"/>
  <c r="BE303" i="6"/>
  <c r="BD303" i="6"/>
  <c r="BC303" i="6"/>
  <c r="BB303" i="6"/>
  <c r="BA303" i="6"/>
  <c r="AZ303" i="6"/>
  <c r="AY303" i="6"/>
  <c r="AX303" i="6"/>
  <c r="AW303" i="6"/>
  <c r="AV303" i="6"/>
  <c r="AU303" i="6"/>
  <c r="H303" i="6"/>
  <c r="G303" i="6"/>
  <c r="BJ302" i="6"/>
  <c r="BI302" i="6"/>
  <c r="BH302" i="6"/>
  <c r="BG302" i="6"/>
  <c r="BF302" i="6"/>
  <c r="BE302" i="6"/>
  <c r="BD302" i="6"/>
  <c r="BC302" i="6"/>
  <c r="BB302" i="6"/>
  <c r="BA302" i="6"/>
  <c r="AZ302" i="6"/>
  <c r="AY302" i="6"/>
  <c r="AX302" i="6"/>
  <c r="AW302" i="6"/>
  <c r="AV302" i="6"/>
  <c r="AU302" i="6"/>
  <c r="H302" i="6"/>
  <c r="G302" i="6"/>
  <c r="BJ301" i="6"/>
  <c r="BI301" i="6"/>
  <c r="BH301" i="6"/>
  <c r="BG301" i="6"/>
  <c r="BF301" i="6"/>
  <c r="BE301" i="6"/>
  <c r="BD301" i="6"/>
  <c r="BC301" i="6"/>
  <c r="BB301" i="6"/>
  <c r="BA301" i="6"/>
  <c r="AZ301" i="6"/>
  <c r="AY301" i="6"/>
  <c r="AX301" i="6"/>
  <c r="AW301" i="6"/>
  <c r="AV301" i="6"/>
  <c r="AU301" i="6"/>
  <c r="H301" i="6"/>
  <c r="G301" i="6"/>
  <c r="BJ300" i="6"/>
  <c r="BI300" i="6"/>
  <c r="BH300" i="6"/>
  <c r="BG300" i="6"/>
  <c r="BF300" i="6"/>
  <c r="BE300" i="6"/>
  <c r="BD300" i="6"/>
  <c r="BC300" i="6"/>
  <c r="BB300" i="6"/>
  <c r="BA300" i="6"/>
  <c r="AZ300" i="6"/>
  <c r="AY300" i="6"/>
  <c r="AX300" i="6"/>
  <c r="AW300" i="6"/>
  <c r="AV300" i="6"/>
  <c r="AU300" i="6"/>
  <c r="H300" i="6"/>
  <c r="G300" i="6"/>
  <c r="BJ299" i="6"/>
  <c r="BI299" i="6"/>
  <c r="BH299" i="6"/>
  <c r="BG299" i="6"/>
  <c r="BF299" i="6"/>
  <c r="BE299" i="6"/>
  <c r="BD299" i="6"/>
  <c r="BC299" i="6"/>
  <c r="BB299" i="6"/>
  <c r="BA299" i="6"/>
  <c r="AZ299" i="6"/>
  <c r="AY299" i="6"/>
  <c r="AX299" i="6"/>
  <c r="AW299" i="6"/>
  <c r="AV299" i="6"/>
  <c r="AU299" i="6"/>
  <c r="H299" i="6"/>
  <c r="G299" i="6"/>
  <c r="BJ298" i="6"/>
  <c r="BI298" i="6"/>
  <c r="BH298" i="6"/>
  <c r="BG298" i="6"/>
  <c r="BF298" i="6"/>
  <c r="BE298" i="6"/>
  <c r="BD298" i="6"/>
  <c r="BC298" i="6"/>
  <c r="BB298" i="6"/>
  <c r="BA298" i="6"/>
  <c r="AZ298" i="6"/>
  <c r="AY298" i="6"/>
  <c r="AX298" i="6"/>
  <c r="AW298" i="6"/>
  <c r="AV298" i="6"/>
  <c r="AU298" i="6"/>
  <c r="H298" i="6"/>
  <c r="G298" i="6"/>
  <c r="BJ297" i="6"/>
  <c r="BI297" i="6"/>
  <c r="BH297" i="6"/>
  <c r="BG297" i="6"/>
  <c r="BF297" i="6"/>
  <c r="BE297" i="6"/>
  <c r="BD297" i="6"/>
  <c r="BC297" i="6"/>
  <c r="BB297" i="6"/>
  <c r="BA297" i="6"/>
  <c r="AZ297" i="6"/>
  <c r="AY297" i="6"/>
  <c r="AX297" i="6"/>
  <c r="AW297" i="6"/>
  <c r="AV297" i="6"/>
  <c r="AU297" i="6"/>
  <c r="H297" i="6"/>
  <c r="G297" i="6"/>
  <c r="BJ296" i="6"/>
  <c r="BI296" i="6"/>
  <c r="BH296" i="6"/>
  <c r="BG296" i="6"/>
  <c r="BF296" i="6"/>
  <c r="BE296" i="6"/>
  <c r="BD296" i="6"/>
  <c r="BC296" i="6"/>
  <c r="BB296" i="6"/>
  <c r="BA296" i="6"/>
  <c r="AZ296" i="6"/>
  <c r="AY296" i="6"/>
  <c r="AX296" i="6"/>
  <c r="AW296" i="6"/>
  <c r="AV296" i="6"/>
  <c r="AU296" i="6"/>
  <c r="H296" i="6"/>
  <c r="G296" i="6"/>
  <c r="BJ295" i="6"/>
  <c r="BI295" i="6"/>
  <c r="BH295" i="6"/>
  <c r="BG295" i="6"/>
  <c r="BF295" i="6"/>
  <c r="BE295" i="6"/>
  <c r="BD295" i="6"/>
  <c r="BC295" i="6"/>
  <c r="BB295" i="6"/>
  <c r="BA295" i="6"/>
  <c r="AZ295" i="6"/>
  <c r="AY295" i="6"/>
  <c r="AX295" i="6"/>
  <c r="AW295" i="6"/>
  <c r="AV295" i="6"/>
  <c r="AU295" i="6"/>
  <c r="H295" i="6"/>
  <c r="G295" i="6"/>
  <c r="BJ294" i="6"/>
  <c r="BI294" i="6"/>
  <c r="BH294" i="6"/>
  <c r="BG294" i="6"/>
  <c r="BF294" i="6"/>
  <c r="BE294" i="6"/>
  <c r="BD294" i="6"/>
  <c r="BC294" i="6"/>
  <c r="BB294" i="6"/>
  <c r="BA294" i="6"/>
  <c r="AZ294" i="6"/>
  <c r="AY294" i="6"/>
  <c r="AX294" i="6"/>
  <c r="AW294" i="6"/>
  <c r="AV294" i="6"/>
  <c r="AU294" i="6"/>
  <c r="H294" i="6"/>
  <c r="G294" i="6"/>
  <c r="BJ293" i="6"/>
  <c r="BI293" i="6"/>
  <c r="BH293" i="6"/>
  <c r="BG293" i="6"/>
  <c r="BF293" i="6"/>
  <c r="BE293" i="6"/>
  <c r="BD293" i="6"/>
  <c r="BC293" i="6"/>
  <c r="BB293" i="6"/>
  <c r="BA293" i="6"/>
  <c r="AZ293" i="6"/>
  <c r="AY293" i="6"/>
  <c r="AX293" i="6"/>
  <c r="AW293" i="6"/>
  <c r="AV293" i="6"/>
  <c r="AU293" i="6"/>
  <c r="H293" i="6"/>
  <c r="G293" i="6"/>
  <c r="BJ292" i="6"/>
  <c r="BI292" i="6"/>
  <c r="BH292" i="6"/>
  <c r="BG292" i="6"/>
  <c r="BF292" i="6"/>
  <c r="BE292" i="6"/>
  <c r="BD292" i="6"/>
  <c r="BC292" i="6"/>
  <c r="BB292" i="6"/>
  <c r="BA292" i="6"/>
  <c r="AZ292" i="6"/>
  <c r="AY292" i="6"/>
  <c r="AX292" i="6"/>
  <c r="AW292" i="6"/>
  <c r="AV292" i="6"/>
  <c r="AU292" i="6"/>
  <c r="H292" i="6"/>
  <c r="G292" i="6"/>
  <c r="BJ291" i="6"/>
  <c r="BI291" i="6"/>
  <c r="BH291" i="6"/>
  <c r="BG291" i="6"/>
  <c r="BF291" i="6"/>
  <c r="BE291" i="6"/>
  <c r="BD291" i="6"/>
  <c r="BC291" i="6"/>
  <c r="BB291" i="6"/>
  <c r="BA291" i="6"/>
  <c r="AZ291" i="6"/>
  <c r="AY291" i="6"/>
  <c r="AX291" i="6"/>
  <c r="AW291" i="6"/>
  <c r="AV291" i="6"/>
  <c r="AU291" i="6"/>
  <c r="H291" i="6"/>
  <c r="G291" i="6"/>
  <c r="BJ290" i="6"/>
  <c r="BI290" i="6"/>
  <c r="BH290" i="6"/>
  <c r="BG290" i="6"/>
  <c r="BF290" i="6"/>
  <c r="BE290" i="6"/>
  <c r="BD290" i="6"/>
  <c r="BC290" i="6"/>
  <c r="BB290" i="6"/>
  <c r="BA290" i="6"/>
  <c r="AZ290" i="6"/>
  <c r="AY290" i="6"/>
  <c r="AX290" i="6"/>
  <c r="AW290" i="6"/>
  <c r="AV290" i="6"/>
  <c r="AU290" i="6"/>
  <c r="H290" i="6"/>
  <c r="G290" i="6"/>
  <c r="BJ289" i="6"/>
  <c r="BI289" i="6"/>
  <c r="BH289" i="6"/>
  <c r="BG289" i="6"/>
  <c r="BF289" i="6"/>
  <c r="BE289" i="6"/>
  <c r="BD289" i="6"/>
  <c r="BC289" i="6"/>
  <c r="BB289" i="6"/>
  <c r="BA289" i="6"/>
  <c r="AZ289" i="6"/>
  <c r="AY289" i="6"/>
  <c r="AX289" i="6"/>
  <c r="AW289" i="6"/>
  <c r="AV289" i="6"/>
  <c r="AU289" i="6"/>
  <c r="H289" i="6"/>
  <c r="G289" i="6"/>
  <c r="BJ288" i="6"/>
  <c r="BI288" i="6"/>
  <c r="BH288" i="6"/>
  <c r="BG288" i="6"/>
  <c r="BF288" i="6"/>
  <c r="BE288" i="6"/>
  <c r="BD288" i="6"/>
  <c r="BC288" i="6"/>
  <c r="BB288" i="6"/>
  <c r="BA288" i="6"/>
  <c r="AZ288" i="6"/>
  <c r="AY288" i="6"/>
  <c r="AX288" i="6"/>
  <c r="AW288" i="6"/>
  <c r="AV288" i="6"/>
  <c r="AU288" i="6"/>
  <c r="H288" i="6"/>
  <c r="G288" i="6"/>
  <c r="BJ287" i="6"/>
  <c r="BI287" i="6"/>
  <c r="BH287" i="6"/>
  <c r="BG287" i="6"/>
  <c r="BF287" i="6"/>
  <c r="BE287" i="6"/>
  <c r="BD287" i="6"/>
  <c r="BC287" i="6"/>
  <c r="BB287" i="6"/>
  <c r="BA287" i="6"/>
  <c r="AZ287" i="6"/>
  <c r="AY287" i="6"/>
  <c r="AX287" i="6"/>
  <c r="AW287" i="6"/>
  <c r="AV287" i="6"/>
  <c r="AU287" i="6"/>
  <c r="H287" i="6"/>
  <c r="G287" i="6"/>
  <c r="BJ286" i="6"/>
  <c r="BI286" i="6"/>
  <c r="BH286" i="6"/>
  <c r="BG286" i="6"/>
  <c r="BF286" i="6"/>
  <c r="BE286" i="6"/>
  <c r="BD286" i="6"/>
  <c r="BC286" i="6"/>
  <c r="BB286" i="6"/>
  <c r="BA286" i="6"/>
  <c r="AZ286" i="6"/>
  <c r="AY286" i="6"/>
  <c r="AX286" i="6"/>
  <c r="AW286" i="6"/>
  <c r="AV286" i="6"/>
  <c r="AU286" i="6"/>
  <c r="H286" i="6"/>
  <c r="G286" i="6"/>
  <c r="BJ285" i="6"/>
  <c r="BI285" i="6"/>
  <c r="BH285" i="6"/>
  <c r="BG285" i="6"/>
  <c r="BF285" i="6"/>
  <c r="BE285" i="6"/>
  <c r="BD285" i="6"/>
  <c r="BC285" i="6"/>
  <c r="BB285" i="6"/>
  <c r="BA285" i="6"/>
  <c r="AZ285" i="6"/>
  <c r="AY285" i="6"/>
  <c r="AX285" i="6"/>
  <c r="AW285" i="6"/>
  <c r="AV285" i="6"/>
  <c r="AU285" i="6"/>
  <c r="H285" i="6"/>
  <c r="G285" i="6"/>
  <c r="BJ284" i="6"/>
  <c r="BI284" i="6"/>
  <c r="BH284" i="6"/>
  <c r="BG284" i="6"/>
  <c r="BF284" i="6"/>
  <c r="BE284" i="6"/>
  <c r="BD284" i="6"/>
  <c r="BC284" i="6"/>
  <c r="BB284" i="6"/>
  <c r="BA284" i="6"/>
  <c r="AZ284" i="6"/>
  <c r="AY284" i="6"/>
  <c r="AX284" i="6"/>
  <c r="AW284" i="6"/>
  <c r="AV284" i="6"/>
  <c r="AU284" i="6"/>
  <c r="H284" i="6"/>
  <c r="G284" i="6"/>
  <c r="BJ283" i="6"/>
  <c r="BI283" i="6"/>
  <c r="BH283" i="6"/>
  <c r="BG283" i="6"/>
  <c r="BF283" i="6"/>
  <c r="BE283" i="6"/>
  <c r="BD283" i="6"/>
  <c r="BC283" i="6"/>
  <c r="BB283" i="6"/>
  <c r="BA283" i="6"/>
  <c r="AZ283" i="6"/>
  <c r="AY283" i="6"/>
  <c r="AX283" i="6"/>
  <c r="AW283" i="6"/>
  <c r="AV283" i="6"/>
  <c r="AU283" i="6"/>
  <c r="H283" i="6"/>
  <c r="G283" i="6"/>
  <c r="BJ282" i="6"/>
  <c r="BI282" i="6"/>
  <c r="BH282" i="6"/>
  <c r="BG282" i="6"/>
  <c r="BF282" i="6"/>
  <c r="BE282" i="6"/>
  <c r="BD282" i="6"/>
  <c r="BC282" i="6"/>
  <c r="BB282" i="6"/>
  <c r="BA282" i="6"/>
  <c r="AZ282" i="6"/>
  <c r="AY282" i="6"/>
  <c r="AX282" i="6"/>
  <c r="AW282" i="6"/>
  <c r="AV282" i="6"/>
  <c r="AU282" i="6"/>
  <c r="H282" i="6"/>
  <c r="G282" i="6"/>
  <c r="BJ281" i="6"/>
  <c r="BI281" i="6"/>
  <c r="BH281" i="6"/>
  <c r="BG281" i="6"/>
  <c r="BF281" i="6"/>
  <c r="BE281" i="6"/>
  <c r="BD281" i="6"/>
  <c r="BC281" i="6"/>
  <c r="BB281" i="6"/>
  <c r="BA281" i="6"/>
  <c r="AZ281" i="6"/>
  <c r="AY281" i="6"/>
  <c r="AX281" i="6"/>
  <c r="AW281" i="6"/>
  <c r="AV281" i="6"/>
  <c r="AU281" i="6"/>
  <c r="H281" i="6"/>
  <c r="G281" i="6"/>
  <c r="BJ280" i="6"/>
  <c r="BI280" i="6"/>
  <c r="BH280" i="6"/>
  <c r="BG280" i="6"/>
  <c r="BF280" i="6"/>
  <c r="BE280" i="6"/>
  <c r="BD280" i="6"/>
  <c r="BC280" i="6"/>
  <c r="BB280" i="6"/>
  <c r="BA280" i="6"/>
  <c r="AZ280" i="6"/>
  <c r="AY280" i="6"/>
  <c r="AX280" i="6"/>
  <c r="AW280" i="6"/>
  <c r="AV280" i="6"/>
  <c r="AU280" i="6"/>
  <c r="H280" i="6"/>
  <c r="G280" i="6"/>
  <c r="BJ279" i="6"/>
  <c r="BI279" i="6"/>
  <c r="BH279" i="6"/>
  <c r="BG279" i="6"/>
  <c r="BF279" i="6"/>
  <c r="BE279" i="6"/>
  <c r="BD279" i="6"/>
  <c r="BC279" i="6"/>
  <c r="BB279" i="6"/>
  <c r="BA279" i="6"/>
  <c r="AZ279" i="6"/>
  <c r="AY279" i="6"/>
  <c r="AX279" i="6"/>
  <c r="AW279" i="6"/>
  <c r="AV279" i="6"/>
  <c r="AU279" i="6"/>
  <c r="H279" i="6"/>
  <c r="G279" i="6"/>
  <c r="BJ278" i="6"/>
  <c r="BI278" i="6"/>
  <c r="BH278" i="6"/>
  <c r="BG278" i="6"/>
  <c r="BF278" i="6"/>
  <c r="BE278" i="6"/>
  <c r="BD278" i="6"/>
  <c r="BC278" i="6"/>
  <c r="BB278" i="6"/>
  <c r="BA278" i="6"/>
  <c r="AZ278" i="6"/>
  <c r="AY278" i="6"/>
  <c r="AX278" i="6"/>
  <c r="AW278" i="6"/>
  <c r="AV278" i="6"/>
  <c r="AU278" i="6"/>
  <c r="H278" i="6"/>
  <c r="G278" i="6"/>
  <c r="BJ277" i="6"/>
  <c r="BI277" i="6"/>
  <c r="BH277" i="6"/>
  <c r="BG277" i="6"/>
  <c r="BF277" i="6"/>
  <c r="BE277" i="6"/>
  <c r="BD277" i="6"/>
  <c r="BC277" i="6"/>
  <c r="BB277" i="6"/>
  <c r="BA277" i="6"/>
  <c r="AZ277" i="6"/>
  <c r="AY277" i="6"/>
  <c r="AX277" i="6"/>
  <c r="AW277" i="6"/>
  <c r="AV277" i="6"/>
  <c r="AU277" i="6"/>
  <c r="H277" i="6"/>
  <c r="G277" i="6"/>
  <c r="BJ276" i="6"/>
  <c r="BI276" i="6"/>
  <c r="BH276" i="6"/>
  <c r="BG276" i="6"/>
  <c r="BF276" i="6"/>
  <c r="BE276" i="6"/>
  <c r="BD276" i="6"/>
  <c r="BC276" i="6"/>
  <c r="BB276" i="6"/>
  <c r="BA276" i="6"/>
  <c r="AZ276" i="6"/>
  <c r="AY276" i="6"/>
  <c r="AX276" i="6"/>
  <c r="AW276" i="6"/>
  <c r="AV276" i="6"/>
  <c r="AU276" i="6"/>
  <c r="H276" i="6"/>
  <c r="G276" i="6"/>
  <c r="BJ275" i="6"/>
  <c r="BI275" i="6"/>
  <c r="BH275" i="6"/>
  <c r="BG275" i="6"/>
  <c r="BF275" i="6"/>
  <c r="BE275" i="6"/>
  <c r="BD275" i="6"/>
  <c r="BC275" i="6"/>
  <c r="BB275" i="6"/>
  <c r="BA275" i="6"/>
  <c r="AZ275" i="6"/>
  <c r="AY275" i="6"/>
  <c r="AX275" i="6"/>
  <c r="AW275" i="6"/>
  <c r="AV275" i="6"/>
  <c r="AU275" i="6"/>
  <c r="H275" i="6"/>
  <c r="G275" i="6"/>
  <c r="BJ274" i="6"/>
  <c r="BI274" i="6"/>
  <c r="BH274" i="6"/>
  <c r="BG274" i="6"/>
  <c r="BF274" i="6"/>
  <c r="BE274" i="6"/>
  <c r="BD274" i="6"/>
  <c r="BC274" i="6"/>
  <c r="BB274" i="6"/>
  <c r="BA274" i="6"/>
  <c r="AZ274" i="6"/>
  <c r="AY274" i="6"/>
  <c r="AX274" i="6"/>
  <c r="AW274" i="6"/>
  <c r="AV274" i="6"/>
  <c r="AU274" i="6"/>
  <c r="H274" i="6"/>
  <c r="G274" i="6"/>
  <c r="BJ273" i="6"/>
  <c r="BI273" i="6"/>
  <c r="BH273" i="6"/>
  <c r="BG273" i="6"/>
  <c r="BF273" i="6"/>
  <c r="BE273" i="6"/>
  <c r="BD273" i="6"/>
  <c r="BC273" i="6"/>
  <c r="BB273" i="6"/>
  <c r="BA273" i="6"/>
  <c r="AZ273" i="6"/>
  <c r="AY273" i="6"/>
  <c r="AX273" i="6"/>
  <c r="AW273" i="6"/>
  <c r="AV273" i="6"/>
  <c r="AU273" i="6"/>
  <c r="H273" i="6"/>
  <c r="G273" i="6"/>
  <c r="BJ272" i="6"/>
  <c r="BI272" i="6"/>
  <c r="BH272" i="6"/>
  <c r="BG272" i="6"/>
  <c r="BF272" i="6"/>
  <c r="BE272" i="6"/>
  <c r="BD272" i="6"/>
  <c r="BC272" i="6"/>
  <c r="BB272" i="6"/>
  <c r="BA272" i="6"/>
  <c r="AZ272" i="6"/>
  <c r="AY272" i="6"/>
  <c r="AX272" i="6"/>
  <c r="AW272" i="6"/>
  <c r="AV272" i="6"/>
  <c r="AU272" i="6"/>
  <c r="H272" i="6"/>
  <c r="G272" i="6"/>
  <c r="BJ271" i="6"/>
  <c r="BI271" i="6"/>
  <c r="BH271" i="6"/>
  <c r="BG271" i="6"/>
  <c r="BF271" i="6"/>
  <c r="BE271" i="6"/>
  <c r="BD271" i="6"/>
  <c r="BC271" i="6"/>
  <c r="BB271" i="6"/>
  <c r="BA271" i="6"/>
  <c r="AZ271" i="6"/>
  <c r="AY271" i="6"/>
  <c r="AX271" i="6"/>
  <c r="AW271" i="6"/>
  <c r="AV271" i="6"/>
  <c r="AU271" i="6"/>
  <c r="H271" i="6"/>
  <c r="G271" i="6"/>
  <c r="BJ270" i="6"/>
  <c r="BI270" i="6"/>
  <c r="BH270" i="6"/>
  <c r="BG270" i="6"/>
  <c r="BF270" i="6"/>
  <c r="BE270" i="6"/>
  <c r="BD270" i="6"/>
  <c r="BC270" i="6"/>
  <c r="BB270" i="6"/>
  <c r="BA270" i="6"/>
  <c r="AZ270" i="6"/>
  <c r="AY270" i="6"/>
  <c r="AX270" i="6"/>
  <c r="AW270" i="6"/>
  <c r="AV270" i="6"/>
  <c r="AU270" i="6"/>
  <c r="H270" i="6"/>
  <c r="G270" i="6"/>
  <c r="BJ269" i="6"/>
  <c r="BI269" i="6"/>
  <c r="BH269" i="6"/>
  <c r="BG269" i="6"/>
  <c r="BF269" i="6"/>
  <c r="BE269" i="6"/>
  <c r="BD269" i="6"/>
  <c r="BC269" i="6"/>
  <c r="BB269" i="6"/>
  <c r="BA269" i="6"/>
  <c r="AZ269" i="6"/>
  <c r="AY269" i="6"/>
  <c r="AX269" i="6"/>
  <c r="AW269" i="6"/>
  <c r="AV269" i="6"/>
  <c r="AU269" i="6"/>
  <c r="H269" i="6"/>
  <c r="G269" i="6"/>
  <c r="BJ268" i="6"/>
  <c r="BI268" i="6"/>
  <c r="BH268" i="6"/>
  <c r="BG268" i="6"/>
  <c r="BF268" i="6"/>
  <c r="BE268" i="6"/>
  <c r="BD268" i="6"/>
  <c r="BC268" i="6"/>
  <c r="BB268" i="6"/>
  <c r="BA268" i="6"/>
  <c r="AZ268" i="6"/>
  <c r="AY268" i="6"/>
  <c r="AX268" i="6"/>
  <c r="AW268" i="6"/>
  <c r="AV268" i="6"/>
  <c r="AU268" i="6"/>
  <c r="H268" i="6"/>
  <c r="G268" i="6"/>
  <c r="BJ267" i="6"/>
  <c r="BI267" i="6"/>
  <c r="BH267" i="6"/>
  <c r="BG267" i="6"/>
  <c r="BF267" i="6"/>
  <c r="BE267" i="6"/>
  <c r="BD267" i="6"/>
  <c r="BC267" i="6"/>
  <c r="BB267" i="6"/>
  <c r="BA267" i="6"/>
  <c r="AZ267" i="6"/>
  <c r="AY267" i="6"/>
  <c r="AX267" i="6"/>
  <c r="AW267" i="6"/>
  <c r="AV267" i="6"/>
  <c r="AU267" i="6"/>
  <c r="H267" i="6"/>
  <c r="G267" i="6"/>
  <c r="BJ266" i="6"/>
  <c r="BI266" i="6"/>
  <c r="BH266" i="6"/>
  <c r="BG266" i="6"/>
  <c r="BF266" i="6"/>
  <c r="BE266" i="6"/>
  <c r="BD266" i="6"/>
  <c r="BC266" i="6"/>
  <c r="BB266" i="6"/>
  <c r="BA266" i="6"/>
  <c r="AZ266" i="6"/>
  <c r="AY266" i="6"/>
  <c r="AX266" i="6"/>
  <c r="AW266" i="6"/>
  <c r="AV266" i="6"/>
  <c r="AU266" i="6"/>
  <c r="H266" i="6"/>
  <c r="G266" i="6"/>
  <c r="BJ265" i="6"/>
  <c r="BI265" i="6"/>
  <c r="BH265" i="6"/>
  <c r="BG265" i="6"/>
  <c r="BF265" i="6"/>
  <c r="BE265" i="6"/>
  <c r="BD265" i="6"/>
  <c r="BC265" i="6"/>
  <c r="BB265" i="6"/>
  <c r="BA265" i="6"/>
  <c r="AZ265" i="6"/>
  <c r="AY265" i="6"/>
  <c r="AX265" i="6"/>
  <c r="AW265" i="6"/>
  <c r="AV265" i="6"/>
  <c r="AU265" i="6"/>
  <c r="H265" i="6"/>
  <c r="G265" i="6"/>
  <c r="BJ264" i="6"/>
  <c r="BI264" i="6"/>
  <c r="BH264" i="6"/>
  <c r="BG264" i="6"/>
  <c r="BF264" i="6"/>
  <c r="BE264" i="6"/>
  <c r="BD264" i="6"/>
  <c r="BC264" i="6"/>
  <c r="BB264" i="6"/>
  <c r="BA264" i="6"/>
  <c r="AZ264" i="6"/>
  <c r="AY264" i="6"/>
  <c r="AX264" i="6"/>
  <c r="AW264" i="6"/>
  <c r="AV264" i="6"/>
  <c r="AU264" i="6"/>
  <c r="H264" i="6"/>
  <c r="G264" i="6"/>
  <c r="BJ263" i="6"/>
  <c r="BI263" i="6"/>
  <c r="BH263" i="6"/>
  <c r="BG263" i="6"/>
  <c r="BF263" i="6"/>
  <c r="BE263" i="6"/>
  <c r="BD263" i="6"/>
  <c r="BC263" i="6"/>
  <c r="BB263" i="6"/>
  <c r="BA263" i="6"/>
  <c r="AZ263" i="6"/>
  <c r="AY263" i="6"/>
  <c r="AX263" i="6"/>
  <c r="AW263" i="6"/>
  <c r="AV263" i="6"/>
  <c r="AU263" i="6"/>
  <c r="H263" i="6"/>
  <c r="G263" i="6"/>
  <c r="BJ262" i="6"/>
  <c r="BI262" i="6"/>
  <c r="BH262" i="6"/>
  <c r="BG262" i="6"/>
  <c r="BF262" i="6"/>
  <c r="BE262" i="6"/>
  <c r="BD262" i="6"/>
  <c r="BC262" i="6"/>
  <c r="BB262" i="6"/>
  <c r="BA262" i="6"/>
  <c r="AZ262" i="6"/>
  <c r="AY262" i="6"/>
  <c r="AX262" i="6"/>
  <c r="AW262" i="6"/>
  <c r="AV262" i="6"/>
  <c r="AU262" i="6"/>
  <c r="H262" i="6"/>
  <c r="G262" i="6"/>
  <c r="BJ261" i="6"/>
  <c r="BI261" i="6"/>
  <c r="BH261" i="6"/>
  <c r="BG261" i="6"/>
  <c r="BF261" i="6"/>
  <c r="BE261" i="6"/>
  <c r="BD261" i="6"/>
  <c r="BC261" i="6"/>
  <c r="BB261" i="6"/>
  <c r="BA261" i="6"/>
  <c r="AZ261" i="6"/>
  <c r="AY261" i="6"/>
  <c r="AX261" i="6"/>
  <c r="AW261" i="6"/>
  <c r="AV261" i="6"/>
  <c r="AU261" i="6"/>
  <c r="H261" i="6"/>
  <c r="G261" i="6"/>
  <c r="BJ260" i="6"/>
  <c r="BI260" i="6"/>
  <c r="BH260" i="6"/>
  <c r="BG260" i="6"/>
  <c r="BF260" i="6"/>
  <c r="BE260" i="6"/>
  <c r="BD260" i="6"/>
  <c r="BC260" i="6"/>
  <c r="BB260" i="6"/>
  <c r="BA260" i="6"/>
  <c r="AZ260" i="6"/>
  <c r="AY260" i="6"/>
  <c r="AX260" i="6"/>
  <c r="AW260" i="6"/>
  <c r="AV260" i="6"/>
  <c r="AU260" i="6"/>
  <c r="H260" i="6"/>
  <c r="G260" i="6"/>
  <c r="BJ259" i="6"/>
  <c r="BI259" i="6"/>
  <c r="BH259" i="6"/>
  <c r="BG259" i="6"/>
  <c r="BF259" i="6"/>
  <c r="BE259" i="6"/>
  <c r="BD259" i="6"/>
  <c r="BC259" i="6"/>
  <c r="BB259" i="6"/>
  <c r="BA259" i="6"/>
  <c r="AZ259" i="6"/>
  <c r="AY259" i="6"/>
  <c r="AX259" i="6"/>
  <c r="AW259" i="6"/>
  <c r="AV259" i="6"/>
  <c r="AU259" i="6"/>
  <c r="H259" i="6"/>
  <c r="G259" i="6"/>
  <c r="BJ258" i="6"/>
  <c r="BI258" i="6"/>
  <c r="BH258" i="6"/>
  <c r="BG258" i="6"/>
  <c r="BF258" i="6"/>
  <c r="BE258" i="6"/>
  <c r="BD258" i="6"/>
  <c r="BC258" i="6"/>
  <c r="BB258" i="6"/>
  <c r="BA258" i="6"/>
  <c r="AZ258" i="6"/>
  <c r="AY258" i="6"/>
  <c r="AX258" i="6"/>
  <c r="AW258" i="6"/>
  <c r="AV258" i="6"/>
  <c r="AU258" i="6"/>
  <c r="H258" i="6"/>
  <c r="G258" i="6"/>
  <c r="BJ257" i="6"/>
  <c r="BI257" i="6"/>
  <c r="BH257" i="6"/>
  <c r="BG257" i="6"/>
  <c r="BF257" i="6"/>
  <c r="BE257" i="6"/>
  <c r="BD257" i="6"/>
  <c r="BC257" i="6"/>
  <c r="BB257" i="6"/>
  <c r="BA257" i="6"/>
  <c r="AZ257" i="6"/>
  <c r="AY257" i="6"/>
  <c r="AX257" i="6"/>
  <c r="AW257" i="6"/>
  <c r="AV257" i="6"/>
  <c r="AU257" i="6"/>
  <c r="H257" i="6"/>
  <c r="G257" i="6"/>
  <c r="BJ256" i="6"/>
  <c r="BI256" i="6"/>
  <c r="BH256" i="6"/>
  <c r="BG256" i="6"/>
  <c r="BF256" i="6"/>
  <c r="BE256" i="6"/>
  <c r="BD256" i="6"/>
  <c r="BC256" i="6"/>
  <c r="BB256" i="6"/>
  <c r="BA256" i="6"/>
  <c r="AZ256" i="6"/>
  <c r="AY256" i="6"/>
  <c r="AX256" i="6"/>
  <c r="AW256" i="6"/>
  <c r="AV256" i="6"/>
  <c r="AU256" i="6"/>
  <c r="H256" i="6"/>
  <c r="G256" i="6"/>
  <c r="BJ255" i="6"/>
  <c r="BI255" i="6"/>
  <c r="BH255" i="6"/>
  <c r="BG255" i="6"/>
  <c r="BF255" i="6"/>
  <c r="BE255" i="6"/>
  <c r="BD255" i="6"/>
  <c r="BC255" i="6"/>
  <c r="BB255" i="6"/>
  <c r="BA255" i="6"/>
  <c r="AZ255" i="6"/>
  <c r="AY255" i="6"/>
  <c r="AX255" i="6"/>
  <c r="AW255" i="6"/>
  <c r="AV255" i="6"/>
  <c r="AU255" i="6"/>
  <c r="H255" i="6"/>
  <c r="G255" i="6"/>
  <c r="BJ254" i="6"/>
  <c r="BI254" i="6"/>
  <c r="BH254" i="6"/>
  <c r="BG254" i="6"/>
  <c r="BF254" i="6"/>
  <c r="BE254" i="6"/>
  <c r="BD254" i="6"/>
  <c r="BC254" i="6"/>
  <c r="BB254" i="6"/>
  <c r="BA254" i="6"/>
  <c r="AZ254" i="6"/>
  <c r="AY254" i="6"/>
  <c r="AX254" i="6"/>
  <c r="AW254" i="6"/>
  <c r="AV254" i="6"/>
  <c r="AU254" i="6"/>
  <c r="H254" i="6"/>
  <c r="G254" i="6"/>
  <c r="BJ253" i="6"/>
  <c r="BI253" i="6"/>
  <c r="BH253" i="6"/>
  <c r="BG253" i="6"/>
  <c r="BF253" i="6"/>
  <c r="BE253" i="6"/>
  <c r="BD253" i="6"/>
  <c r="BC253" i="6"/>
  <c r="BB253" i="6"/>
  <c r="BA253" i="6"/>
  <c r="AZ253" i="6"/>
  <c r="AY253" i="6"/>
  <c r="AX253" i="6"/>
  <c r="AW253" i="6"/>
  <c r="AV253" i="6"/>
  <c r="AU253" i="6"/>
  <c r="H253" i="6"/>
  <c r="G253" i="6"/>
  <c r="BJ252" i="6"/>
  <c r="BI252" i="6"/>
  <c r="BH252" i="6"/>
  <c r="BG252" i="6"/>
  <c r="BF252" i="6"/>
  <c r="BE252" i="6"/>
  <c r="BD252" i="6"/>
  <c r="BC252" i="6"/>
  <c r="BB252" i="6"/>
  <c r="BA252" i="6"/>
  <c r="AZ252" i="6"/>
  <c r="AY252" i="6"/>
  <c r="AX252" i="6"/>
  <c r="AW252" i="6"/>
  <c r="AV252" i="6"/>
  <c r="AU252" i="6"/>
  <c r="H252" i="6"/>
  <c r="G252" i="6"/>
  <c r="BJ251" i="6"/>
  <c r="BI251" i="6"/>
  <c r="BH251" i="6"/>
  <c r="BG251" i="6"/>
  <c r="BF251" i="6"/>
  <c r="BE251" i="6"/>
  <c r="BD251" i="6"/>
  <c r="BC251" i="6"/>
  <c r="BB251" i="6"/>
  <c r="BA251" i="6"/>
  <c r="AZ251" i="6"/>
  <c r="AY251" i="6"/>
  <c r="AX251" i="6"/>
  <c r="AW251" i="6"/>
  <c r="AV251" i="6"/>
  <c r="AU251" i="6"/>
  <c r="H251" i="6"/>
  <c r="G251" i="6"/>
  <c r="BJ250" i="6"/>
  <c r="BI250" i="6"/>
  <c r="BH250" i="6"/>
  <c r="BG250" i="6"/>
  <c r="BF250" i="6"/>
  <c r="BE250" i="6"/>
  <c r="BD250" i="6"/>
  <c r="BC250" i="6"/>
  <c r="BB250" i="6"/>
  <c r="BA250" i="6"/>
  <c r="AZ250" i="6"/>
  <c r="AY250" i="6"/>
  <c r="AX250" i="6"/>
  <c r="AW250" i="6"/>
  <c r="AV250" i="6"/>
  <c r="AU250" i="6"/>
  <c r="H250" i="6"/>
  <c r="G250" i="6"/>
  <c r="BJ249" i="6"/>
  <c r="BI249" i="6"/>
  <c r="BH249" i="6"/>
  <c r="BG249" i="6"/>
  <c r="BF249" i="6"/>
  <c r="BE249" i="6"/>
  <c r="BD249" i="6"/>
  <c r="BC249" i="6"/>
  <c r="BB249" i="6"/>
  <c r="BA249" i="6"/>
  <c r="AZ249" i="6"/>
  <c r="AY249" i="6"/>
  <c r="AX249" i="6"/>
  <c r="AW249" i="6"/>
  <c r="AV249" i="6"/>
  <c r="AU249" i="6"/>
  <c r="H249" i="6"/>
  <c r="G249" i="6"/>
  <c r="BJ248" i="6"/>
  <c r="BI248" i="6"/>
  <c r="BH248" i="6"/>
  <c r="BG248" i="6"/>
  <c r="BF248" i="6"/>
  <c r="BE248" i="6"/>
  <c r="BD248" i="6"/>
  <c r="BC248" i="6"/>
  <c r="BB248" i="6"/>
  <c r="BA248" i="6"/>
  <c r="AZ248" i="6"/>
  <c r="AY248" i="6"/>
  <c r="AX248" i="6"/>
  <c r="AW248" i="6"/>
  <c r="AV248" i="6"/>
  <c r="AU248" i="6"/>
  <c r="H248" i="6"/>
  <c r="G248" i="6"/>
  <c r="BJ247" i="6"/>
  <c r="BI247" i="6"/>
  <c r="BH247" i="6"/>
  <c r="BG247" i="6"/>
  <c r="BF247" i="6"/>
  <c r="BE247" i="6"/>
  <c r="BD247" i="6"/>
  <c r="BC247" i="6"/>
  <c r="BB247" i="6"/>
  <c r="BA247" i="6"/>
  <c r="AZ247" i="6"/>
  <c r="AY247" i="6"/>
  <c r="AX247" i="6"/>
  <c r="AW247" i="6"/>
  <c r="AV247" i="6"/>
  <c r="AU247" i="6"/>
  <c r="H247" i="6"/>
  <c r="G247" i="6"/>
  <c r="BJ246" i="6"/>
  <c r="BI246" i="6"/>
  <c r="BH246" i="6"/>
  <c r="BG246" i="6"/>
  <c r="BF246" i="6"/>
  <c r="BE246" i="6"/>
  <c r="BD246" i="6"/>
  <c r="BC246" i="6"/>
  <c r="BB246" i="6"/>
  <c r="BA246" i="6"/>
  <c r="AZ246" i="6"/>
  <c r="AY246" i="6"/>
  <c r="AX246" i="6"/>
  <c r="AW246" i="6"/>
  <c r="AV246" i="6"/>
  <c r="AU246" i="6"/>
  <c r="H246" i="6"/>
  <c r="G246" i="6"/>
  <c r="BJ245" i="6"/>
  <c r="BI245" i="6"/>
  <c r="BH245" i="6"/>
  <c r="BG245" i="6"/>
  <c r="BF245" i="6"/>
  <c r="BE245" i="6"/>
  <c r="BD245" i="6"/>
  <c r="BC245" i="6"/>
  <c r="BB245" i="6"/>
  <c r="BA245" i="6"/>
  <c r="AZ245" i="6"/>
  <c r="AY245" i="6"/>
  <c r="AX245" i="6"/>
  <c r="AW245" i="6"/>
  <c r="AV245" i="6"/>
  <c r="AU245" i="6"/>
  <c r="H245" i="6"/>
  <c r="G245" i="6"/>
  <c r="BJ244" i="6"/>
  <c r="BI244" i="6"/>
  <c r="BH244" i="6"/>
  <c r="BG244" i="6"/>
  <c r="BF244" i="6"/>
  <c r="BE244" i="6"/>
  <c r="BD244" i="6"/>
  <c r="BC244" i="6"/>
  <c r="BB244" i="6"/>
  <c r="BA244" i="6"/>
  <c r="AZ244" i="6"/>
  <c r="AY244" i="6"/>
  <c r="AX244" i="6"/>
  <c r="AW244" i="6"/>
  <c r="AV244" i="6"/>
  <c r="AU244" i="6"/>
  <c r="H244" i="6"/>
  <c r="G244" i="6"/>
  <c r="BJ243" i="6"/>
  <c r="BI243" i="6"/>
  <c r="BH243" i="6"/>
  <c r="BG243" i="6"/>
  <c r="BF243" i="6"/>
  <c r="BE243" i="6"/>
  <c r="BD243" i="6"/>
  <c r="BC243" i="6"/>
  <c r="BB243" i="6"/>
  <c r="BA243" i="6"/>
  <c r="AZ243" i="6"/>
  <c r="AY243" i="6"/>
  <c r="AX243" i="6"/>
  <c r="AW243" i="6"/>
  <c r="AV243" i="6"/>
  <c r="AU243" i="6"/>
  <c r="H243" i="6"/>
  <c r="G243" i="6"/>
  <c r="BJ242" i="6"/>
  <c r="BI242" i="6"/>
  <c r="BH242" i="6"/>
  <c r="BG242" i="6"/>
  <c r="BF242" i="6"/>
  <c r="BE242" i="6"/>
  <c r="BD242" i="6"/>
  <c r="BC242" i="6"/>
  <c r="BB242" i="6"/>
  <c r="BA242" i="6"/>
  <c r="AZ242" i="6"/>
  <c r="AY242" i="6"/>
  <c r="AX242" i="6"/>
  <c r="AW242" i="6"/>
  <c r="AV242" i="6"/>
  <c r="AU242" i="6"/>
  <c r="H242" i="6"/>
  <c r="G242" i="6"/>
  <c r="BJ241" i="6"/>
  <c r="BI241" i="6"/>
  <c r="BH241" i="6"/>
  <c r="BG241" i="6"/>
  <c r="BF241" i="6"/>
  <c r="BE241" i="6"/>
  <c r="BD241" i="6"/>
  <c r="BC241" i="6"/>
  <c r="BB241" i="6"/>
  <c r="BA241" i="6"/>
  <c r="AZ241" i="6"/>
  <c r="AY241" i="6"/>
  <c r="AX241" i="6"/>
  <c r="AW241" i="6"/>
  <c r="AV241" i="6"/>
  <c r="AU241" i="6"/>
  <c r="H241" i="6"/>
  <c r="G241" i="6"/>
  <c r="BJ240" i="6"/>
  <c r="BI240" i="6"/>
  <c r="BH240" i="6"/>
  <c r="BG240" i="6"/>
  <c r="BF240" i="6"/>
  <c r="BE240" i="6"/>
  <c r="BD240" i="6"/>
  <c r="BC240" i="6"/>
  <c r="BB240" i="6"/>
  <c r="BA240" i="6"/>
  <c r="AZ240" i="6"/>
  <c r="AY240" i="6"/>
  <c r="AX240" i="6"/>
  <c r="AW240" i="6"/>
  <c r="AV240" i="6"/>
  <c r="AU240" i="6"/>
  <c r="H240" i="6"/>
  <c r="G240" i="6"/>
  <c r="BJ239" i="6"/>
  <c r="BI239" i="6"/>
  <c r="BH239" i="6"/>
  <c r="BG239" i="6"/>
  <c r="BF239" i="6"/>
  <c r="BE239" i="6"/>
  <c r="BD239" i="6"/>
  <c r="BC239" i="6"/>
  <c r="BB239" i="6"/>
  <c r="BA239" i="6"/>
  <c r="AZ239" i="6"/>
  <c r="AY239" i="6"/>
  <c r="AX239" i="6"/>
  <c r="AW239" i="6"/>
  <c r="AV239" i="6"/>
  <c r="AU239" i="6"/>
  <c r="H239" i="6"/>
  <c r="G239" i="6"/>
  <c r="BJ238" i="6"/>
  <c r="BI238" i="6"/>
  <c r="BH238" i="6"/>
  <c r="BG238" i="6"/>
  <c r="BF238" i="6"/>
  <c r="BE238" i="6"/>
  <c r="BD238" i="6"/>
  <c r="BC238" i="6"/>
  <c r="BB238" i="6"/>
  <c r="BA238" i="6"/>
  <c r="AZ238" i="6"/>
  <c r="AY238" i="6"/>
  <c r="AX238" i="6"/>
  <c r="AW238" i="6"/>
  <c r="AV238" i="6"/>
  <c r="AU238" i="6"/>
  <c r="H238" i="6"/>
  <c r="G238" i="6"/>
  <c r="BJ237" i="6"/>
  <c r="BI237" i="6"/>
  <c r="BH237" i="6"/>
  <c r="BG237" i="6"/>
  <c r="BF237" i="6"/>
  <c r="BE237" i="6"/>
  <c r="BD237" i="6"/>
  <c r="BC237" i="6"/>
  <c r="BB237" i="6"/>
  <c r="BA237" i="6"/>
  <c r="AZ237" i="6"/>
  <c r="AY237" i="6"/>
  <c r="AX237" i="6"/>
  <c r="AW237" i="6"/>
  <c r="AV237" i="6"/>
  <c r="AU237" i="6"/>
  <c r="H237" i="6"/>
  <c r="G237" i="6"/>
  <c r="BJ236" i="6"/>
  <c r="BI236" i="6"/>
  <c r="BH236" i="6"/>
  <c r="BG236" i="6"/>
  <c r="BF236" i="6"/>
  <c r="BE236" i="6"/>
  <c r="BD236" i="6"/>
  <c r="BC236" i="6"/>
  <c r="BB236" i="6"/>
  <c r="BA236" i="6"/>
  <c r="AZ236" i="6"/>
  <c r="AY236" i="6"/>
  <c r="AX236" i="6"/>
  <c r="AW236" i="6"/>
  <c r="AV236" i="6"/>
  <c r="AU236" i="6"/>
  <c r="H236" i="6"/>
  <c r="G236" i="6"/>
  <c r="BJ235" i="6"/>
  <c r="BI235" i="6"/>
  <c r="BH235" i="6"/>
  <c r="BG235" i="6"/>
  <c r="BF235" i="6"/>
  <c r="BE235" i="6"/>
  <c r="BD235" i="6"/>
  <c r="BC235" i="6"/>
  <c r="BB235" i="6"/>
  <c r="BA235" i="6"/>
  <c r="AZ235" i="6"/>
  <c r="AY235" i="6"/>
  <c r="AX235" i="6"/>
  <c r="AW235" i="6"/>
  <c r="AV235" i="6"/>
  <c r="AU235" i="6"/>
  <c r="H235" i="6"/>
  <c r="G235" i="6"/>
  <c r="BJ234" i="6"/>
  <c r="BI234" i="6"/>
  <c r="BH234" i="6"/>
  <c r="BG234" i="6"/>
  <c r="BF234" i="6"/>
  <c r="BE234" i="6"/>
  <c r="BD234" i="6"/>
  <c r="BC234" i="6"/>
  <c r="BB234" i="6"/>
  <c r="BA234" i="6"/>
  <c r="AZ234" i="6"/>
  <c r="AY234" i="6"/>
  <c r="AX234" i="6"/>
  <c r="AW234" i="6"/>
  <c r="AV234" i="6"/>
  <c r="AU234" i="6"/>
  <c r="H234" i="6"/>
  <c r="G234" i="6"/>
  <c r="BJ233" i="6"/>
  <c r="BI233" i="6"/>
  <c r="BH233" i="6"/>
  <c r="BG233" i="6"/>
  <c r="BF233" i="6"/>
  <c r="BE233" i="6"/>
  <c r="BD233" i="6"/>
  <c r="BC233" i="6"/>
  <c r="BB233" i="6"/>
  <c r="BA233" i="6"/>
  <c r="AZ233" i="6"/>
  <c r="AY233" i="6"/>
  <c r="AX233" i="6"/>
  <c r="AW233" i="6"/>
  <c r="AV233" i="6"/>
  <c r="AU233" i="6"/>
  <c r="H233" i="6"/>
  <c r="G233" i="6"/>
  <c r="BJ232" i="6"/>
  <c r="BI232" i="6"/>
  <c r="BH232" i="6"/>
  <c r="BG232" i="6"/>
  <c r="BF232" i="6"/>
  <c r="BE232" i="6"/>
  <c r="BD232" i="6"/>
  <c r="BC232" i="6"/>
  <c r="BB232" i="6"/>
  <c r="BA232" i="6"/>
  <c r="AZ232" i="6"/>
  <c r="AY232" i="6"/>
  <c r="AX232" i="6"/>
  <c r="AW232" i="6"/>
  <c r="AV232" i="6"/>
  <c r="AU232" i="6"/>
  <c r="H232" i="6"/>
  <c r="G232" i="6"/>
  <c r="BJ231" i="6"/>
  <c r="BI231" i="6"/>
  <c r="BH231" i="6"/>
  <c r="BG231" i="6"/>
  <c r="BF231" i="6"/>
  <c r="BE231" i="6"/>
  <c r="BD231" i="6"/>
  <c r="BC231" i="6"/>
  <c r="BB231" i="6"/>
  <c r="BA231" i="6"/>
  <c r="AZ231" i="6"/>
  <c r="AY231" i="6"/>
  <c r="AX231" i="6"/>
  <c r="AW231" i="6"/>
  <c r="AV231" i="6"/>
  <c r="AU231" i="6"/>
  <c r="H231" i="6"/>
  <c r="G231" i="6"/>
  <c r="BJ230" i="6"/>
  <c r="BI230" i="6"/>
  <c r="BH230" i="6"/>
  <c r="BG230" i="6"/>
  <c r="BF230" i="6"/>
  <c r="BE230" i="6"/>
  <c r="BD230" i="6"/>
  <c r="BC230" i="6"/>
  <c r="BB230" i="6"/>
  <c r="BA230" i="6"/>
  <c r="AZ230" i="6"/>
  <c r="AY230" i="6"/>
  <c r="AX230" i="6"/>
  <c r="AW230" i="6"/>
  <c r="AV230" i="6"/>
  <c r="AU230" i="6"/>
  <c r="H230" i="6"/>
  <c r="G230" i="6"/>
  <c r="BJ229" i="6"/>
  <c r="BI229" i="6"/>
  <c r="BH229" i="6"/>
  <c r="BG229" i="6"/>
  <c r="BF229" i="6"/>
  <c r="BE229" i="6"/>
  <c r="BD229" i="6"/>
  <c r="BC229" i="6"/>
  <c r="BB229" i="6"/>
  <c r="BA229" i="6"/>
  <c r="AZ229" i="6"/>
  <c r="AY229" i="6"/>
  <c r="AX229" i="6"/>
  <c r="AW229" i="6"/>
  <c r="AV229" i="6"/>
  <c r="AU229" i="6"/>
  <c r="H229" i="6"/>
  <c r="G229" i="6"/>
  <c r="BJ228" i="6"/>
  <c r="BI228" i="6"/>
  <c r="BH228" i="6"/>
  <c r="BG228" i="6"/>
  <c r="BF228" i="6"/>
  <c r="BE228" i="6"/>
  <c r="BD228" i="6"/>
  <c r="BC228" i="6"/>
  <c r="BB228" i="6"/>
  <c r="BA228" i="6"/>
  <c r="AZ228" i="6"/>
  <c r="AY228" i="6"/>
  <c r="AX228" i="6"/>
  <c r="AW228" i="6"/>
  <c r="AV228" i="6"/>
  <c r="AU228" i="6"/>
  <c r="H228" i="6"/>
  <c r="G228" i="6"/>
  <c r="BJ227" i="6"/>
  <c r="BI227" i="6"/>
  <c r="BH227" i="6"/>
  <c r="BG227" i="6"/>
  <c r="BF227" i="6"/>
  <c r="BE227" i="6"/>
  <c r="BD227" i="6"/>
  <c r="BC227" i="6"/>
  <c r="BB227" i="6"/>
  <c r="BA227" i="6"/>
  <c r="AZ227" i="6"/>
  <c r="AY227" i="6"/>
  <c r="AX227" i="6"/>
  <c r="AW227" i="6"/>
  <c r="AV227" i="6"/>
  <c r="AU227" i="6"/>
  <c r="H227" i="6"/>
  <c r="G227" i="6"/>
  <c r="BJ226" i="6"/>
  <c r="BI226" i="6"/>
  <c r="BH226" i="6"/>
  <c r="BG226" i="6"/>
  <c r="BF226" i="6"/>
  <c r="BE226" i="6"/>
  <c r="BD226" i="6"/>
  <c r="BC226" i="6"/>
  <c r="BB226" i="6"/>
  <c r="BA226" i="6"/>
  <c r="AZ226" i="6"/>
  <c r="AY226" i="6"/>
  <c r="AX226" i="6"/>
  <c r="AW226" i="6"/>
  <c r="AV226" i="6"/>
  <c r="AU226" i="6"/>
  <c r="H226" i="6"/>
  <c r="G226" i="6"/>
  <c r="BJ225" i="6"/>
  <c r="BI225" i="6"/>
  <c r="BH225" i="6"/>
  <c r="BG225" i="6"/>
  <c r="BF225" i="6"/>
  <c r="BE225" i="6"/>
  <c r="BD225" i="6"/>
  <c r="BC225" i="6"/>
  <c r="BB225" i="6"/>
  <c r="BA225" i="6"/>
  <c r="AZ225" i="6"/>
  <c r="AY225" i="6"/>
  <c r="AX225" i="6"/>
  <c r="AW225" i="6"/>
  <c r="AV225" i="6"/>
  <c r="AU225" i="6"/>
  <c r="H225" i="6"/>
  <c r="G225" i="6"/>
  <c r="BJ224" i="6"/>
  <c r="BI224" i="6"/>
  <c r="BH224" i="6"/>
  <c r="BG224" i="6"/>
  <c r="BF224" i="6"/>
  <c r="BE224" i="6"/>
  <c r="BD224" i="6"/>
  <c r="BC224" i="6"/>
  <c r="BB224" i="6"/>
  <c r="BA224" i="6"/>
  <c r="AZ224" i="6"/>
  <c r="AY224" i="6"/>
  <c r="AX224" i="6"/>
  <c r="AW224" i="6"/>
  <c r="AV224" i="6"/>
  <c r="AU224" i="6"/>
  <c r="H224" i="6"/>
  <c r="G224" i="6"/>
  <c r="BJ223" i="6"/>
  <c r="BI223" i="6"/>
  <c r="BH223" i="6"/>
  <c r="BG223" i="6"/>
  <c r="BF223" i="6"/>
  <c r="BE223" i="6"/>
  <c r="BD223" i="6"/>
  <c r="BC223" i="6"/>
  <c r="BB223" i="6"/>
  <c r="BA223" i="6"/>
  <c r="AZ223" i="6"/>
  <c r="AY223" i="6"/>
  <c r="AX223" i="6"/>
  <c r="AW223" i="6"/>
  <c r="AV223" i="6"/>
  <c r="AU223" i="6"/>
  <c r="H223" i="6"/>
  <c r="G223" i="6"/>
  <c r="BJ222" i="6"/>
  <c r="BI222" i="6"/>
  <c r="BH222" i="6"/>
  <c r="BG222" i="6"/>
  <c r="BF222" i="6"/>
  <c r="BE222" i="6"/>
  <c r="BD222" i="6"/>
  <c r="BC222" i="6"/>
  <c r="BB222" i="6"/>
  <c r="BA222" i="6"/>
  <c r="AZ222" i="6"/>
  <c r="AY222" i="6"/>
  <c r="AX222" i="6"/>
  <c r="AW222" i="6"/>
  <c r="AV222" i="6"/>
  <c r="AU222" i="6"/>
  <c r="H222" i="6"/>
  <c r="G222" i="6"/>
  <c r="BJ221" i="6"/>
  <c r="BI221" i="6"/>
  <c r="BH221" i="6"/>
  <c r="BG221" i="6"/>
  <c r="BF221" i="6"/>
  <c r="BE221" i="6"/>
  <c r="BD221" i="6"/>
  <c r="BC221" i="6"/>
  <c r="BB221" i="6"/>
  <c r="BA221" i="6"/>
  <c r="AZ221" i="6"/>
  <c r="AY221" i="6"/>
  <c r="AX221" i="6"/>
  <c r="AW221" i="6"/>
  <c r="AV221" i="6"/>
  <c r="AU221" i="6"/>
  <c r="H221" i="6"/>
  <c r="G221" i="6"/>
  <c r="BJ220" i="6"/>
  <c r="BI220" i="6"/>
  <c r="BH220" i="6"/>
  <c r="BG220" i="6"/>
  <c r="BF220" i="6"/>
  <c r="BE220" i="6"/>
  <c r="BD220" i="6"/>
  <c r="BC220" i="6"/>
  <c r="BB220" i="6"/>
  <c r="BA220" i="6"/>
  <c r="AZ220" i="6"/>
  <c r="AY220" i="6"/>
  <c r="AX220" i="6"/>
  <c r="AW220" i="6"/>
  <c r="AV220" i="6"/>
  <c r="AU220" i="6"/>
  <c r="H220" i="6"/>
  <c r="G220" i="6"/>
  <c r="BJ219" i="6"/>
  <c r="BI219" i="6"/>
  <c r="BH219" i="6"/>
  <c r="BG219" i="6"/>
  <c r="BF219" i="6"/>
  <c r="BE219" i="6"/>
  <c r="BD219" i="6"/>
  <c r="BC219" i="6"/>
  <c r="BB219" i="6"/>
  <c r="BA219" i="6"/>
  <c r="AZ219" i="6"/>
  <c r="AY219" i="6"/>
  <c r="AX219" i="6"/>
  <c r="AW219" i="6"/>
  <c r="AV219" i="6"/>
  <c r="AU219" i="6"/>
  <c r="H219" i="6"/>
  <c r="G219" i="6"/>
  <c r="BJ218" i="6"/>
  <c r="BI218" i="6"/>
  <c r="BH218" i="6"/>
  <c r="BG218" i="6"/>
  <c r="BF218" i="6"/>
  <c r="BE218" i="6"/>
  <c r="BD218" i="6"/>
  <c r="BC218" i="6"/>
  <c r="BB218" i="6"/>
  <c r="BA218" i="6"/>
  <c r="AZ218" i="6"/>
  <c r="AY218" i="6"/>
  <c r="AX218" i="6"/>
  <c r="AW218" i="6"/>
  <c r="AV218" i="6"/>
  <c r="AU218" i="6"/>
  <c r="H218" i="6"/>
  <c r="G218" i="6"/>
  <c r="BJ217" i="6"/>
  <c r="BI217" i="6"/>
  <c r="BH217" i="6"/>
  <c r="BG217" i="6"/>
  <c r="BF217" i="6"/>
  <c r="BE217" i="6"/>
  <c r="BD217" i="6"/>
  <c r="BC217" i="6"/>
  <c r="BB217" i="6"/>
  <c r="BA217" i="6"/>
  <c r="AZ217" i="6"/>
  <c r="AY217" i="6"/>
  <c r="AX217" i="6"/>
  <c r="AW217" i="6"/>
  <c r="AV217" i="6"/>
  <c r="AU217" i="6"/>
  <c r="H217" i="6"/>
  <c r="G217" i="6"/>
  <c r="BJ216" i="6"/>
  <c r="BI216" i="6"/>
  <c r="BH216" i="6"/>
  <c r="BG216" i="6"/>
  <c r="BF216" i="6"/>
  <c r="BE216" i="6"/>
  <c r="BD216" i="6"/>
  <c r="BC216" i="6"/>
  <c r="BB216" i="6"/>
  <c r="BA216" i="6"/>
  <c r="AZ216" i="6"/>
  <c r="AY216" i="6"/>
  <c r="AX216" i="6"/>
  <c r="AW216" i="6"/>
  <c r="AV216" i="6"/>
  <c r="AU216" i="6"/>
  <c r="H216" i="6"/>
  <c r="G216" i="6"/>
  <c r="BJ215" i="6"/>
  <c r="BI215" i="6"/>
  <c r="BH215" i="6"/>
  <c r="BG215" i="6"/>
  <c r="BF215" i="6"/>
  <c r="BE215" i="6"/>
  <c r="BD215" i="6"/>
  <c r="BC215" i="6"/>
  <c r="BB215" i="6"/>
  <c r="BA215" i="6"/>
  <c r="AZ215" i="6"/>
  <c r="AY215" i="6"/>
  <c r="AX215" i="6"/>
  <c r="AW215" i="6"/>
  <c r="AV215" i="6"/>
  <c r="AU215" i="6"/>
  <c r="H215" i="6"/>
  <c r="G215" i="6"/>
  <c r="BJ214" i="6"/>
  <c r="BI214" i="6"/>
  <c r="BH214" i="6"/>
  <c r="BG214" i="6"/>
  <c r="BF214" i="6"/>
  <c r="BE214" i="6"/>
  <c r="BD214" i="6"/>
  <c r="BC214" i="6"/>
  <c r="BB214" i="6"/>
  <c r="BA214" i="6"/>
  <c r="AZ214" i="6"/>
  <c r="AY214" i="6"/>
  <c r="AX214" i="6"/>
  <c r="AW214" i="6"/>
  <c r="AV214" i="6"/>
  <c r="AU214" i="6"/>
  <c r="H214" i="6"/>
  <c r="G214" i="6"/>
  <c r="BJ213" i="6"/>
  <c r="BI213" i="6"/>
  <c r="BH213" i="6"/>
  <c r="BG213" i="6"/>
  <c r="BF213" i="6"/>
  <c r="BE213" i="6"/>
  <c r="BD213" i="6"/>
  <c r="BC213" i="6"/>
  <c r="BB213" i="6"/>
  <c r="BA213" i="6"/>
  <c r="AZ213" i="6"/>
  <c r="AY213" i="6"/>
  <c r="AX213" i="6"/>
  <c r="AW213" i="6"/>
  <c r="AV213" i="6"/>
  <c r="AU213" i="6"/>
  <c r="H213" i="6"/>
  <c r="G213" i="6"/>
  <c r="BJ212" i="6"/>
  <c r="BI212" i="6"/>
  <c r="BH212" i="6"/>
  <c r="BG212" i="6"/>
  <c r="BF212" i="6"/>
  <c r="BE212" i="6"/>
  <c r="BD212" i="6"/>
  <c r="BC212" i="6"/>
  <c r="BB212" i="6"/>
  <c r="BA212" i="6"/>
  <c r="AZ212" i="6"/>
  <c r="AY212" i="6"/>
  <c r="AX212" i="6"/>
  <c r="AW212" i="6"/>
  <c r="AV212" i="6"/>
  <c r="AU212" i="6"/>
  <c r="H212" i="6"/>
  <c r="G212" i="6"/>
  <c r="BJ211" i="6"/>
  <c r="BI211" i="6"/>
  <c r="BH211" i="6"/>
  <c r="BG211" i="6"/>
  <c r="BF211" i="6"/>
  <c r="BE211" i="6"/>
  <c r="BD211" i="6"/>
  <c r="BC211" i="6"/>
  <c r="BB211" i="6"/>
  <c r="BA211" i="6"/>
  <c r="AZ211" i="6"/>
  <c r="AY211" i="6"/>
  <c r="AX211" i="6"/>
  <c r="AW211" i="6"/>
  <c r="AV211" i="6"/>
  <c r="AU211" i="6"/>
  <c r="H211" i="6"/>
  <c r="G211" i="6"/>
  <c r="BJ210" i="6"/>
  <c r="BI210" i="6"/>
  <c r="BH210" i="6"/>
  <c r="BG210" i="6"/>
  <c r="BF210" i="6"/>
  <c r="BE210" i="6"/>
  <c r="BD210" i="6"/>
  <c r="BC210" i="6"/>
  <c r="BB210" i="6"/>
  <c r="BA210" i="6"/>
  <c r="AZ210" i="6"/>
  <c r="AY210" i="6"/>
  <c r="AX210" i="6"/>
  <c r="AW210" i="6"/>
  <c r="AV210" i="6"/>
  <c r="AU210" i="6"/>
  <c r="H210" i="6"/>
  <c r="G210" i="6"/>
  <c r="BJ209" i="6"/>
  <c r="BI209" i="6"/>
  <c r="BH209" i="6"/>
  <c r="BG209" i="6"/>
  <c r="BF209" i="6"/>
  <c r="BE209" i="6"/>
  <c r="BD209" i="6"/>
  <c r="BC209" i="6"/>
  <c r="BB209" i="6"/>
  <c r="BA209" i="6"/>
  <c r="AZ209" i="6"/>
  <c r="AY209" i="6"/>
  <c r="AX209" i="6"/>
  <c r="AW209" i="6"/>
  <c r="AV209" i="6"/>
  <c r="AU209" i="6"/>
  <c r="H209" i="6"/>
  <c r="G209" i="6"/>
  <c r="BJ208" i="6"/>
  <c r="BI208" i="6"/>
  <c r="BH208" i="6"/>
  <c r="BG208" i="6"/>
  <c r="BF208" i="6"/>
  <c r="BE208" i="6"/>
  <c r="BD208" i="6"/>
  <c r="BC208" i="6"/>
  <c r="BB208" i="6"/>
  <c r="BA208" i="6"/>
  <c r="AZ208" i="6"/>
  <c r="AY208" i="6"/>
  <c r="AX208" i="6"/>
  <c r="AW208" i="6"/>
  <c r="AV208" i="6"/>
  <c r="AU208" i="6"/>
  <c r="H208" i="6"/>
  <c r="G208" i="6"/>
  <c r="BJ207" i="6"/>
  <c r="BI207" i="6"/>
  <c r="BH207" i="6"/>
  <c r="BG207" i="6"/>
  <c r="BF207" i="6"/>
  <c r="BE207" i="6"/>
  <c r="BD207" i="6"/>
  <c r="BC207" i="6"/>
  <c r="BB207" i="6"/>
  <c r="BA207" i="6"/>
  <c r="AZ207" i="6"/>
  <c r="AY207" i="6"/>
  <c r="AX207" i="6"/>
  <c r="AW207" i="6"/>
  <c r="AV207" i="6"/>
  <c r="AU207" i="6"/>
  <c r="H207" i="6"/>
  <c r="G207" i="6"/>
  <c r="BJ206" i="6"/>
  <c r="BI206" i="6"/>
  <c r="BH206" i="6"/>
  <c r="BG206" i="6"/>
  <c r="BF206" i="6"/>
  <c r="BE206" i="6"/>
  <c r="BD206" i="6"/>
  <c r="BC206" i="6"/>
  <c r="BB206" i="6"/>
  <c r="BA206" i="6"/>
  <c r="AZ206" i="6"/>
  <c r="AY206" i="6"/>
  <c r="AX206" i="6"/>
  <c r="AW206" i="6"/>
  <c r="AV206" i="6"/>
  <c r="AU206" i="6"/>
  <c r="H206" i="6"/>
  <c r="G206" i="6"/>
  <c r="BJ205" i="6"/>
  <c r="BI205" i="6"/>
  <c r="BH205" i="6"/>
  <c r="BG205" i="6"/>
  <c r="BF205" i="6"/>
  <c r="BE205" i="6"/>
  <c r="BD205" i="6"/>
  <c r="BC205" i="6"/>
  <c r="BB205" i="6"/>
  <c r="BA205" i="6"/>
  <c r="AZ205" i="6"/>
  <c r="AY205" i="6"/>
  <c r="AX205" i="6"/>
  <c r="AW205" i="6"/>
  <c r="AV205" i="6"/>
  <c r="AU205" i="6"/>
  <c r="H205" i="6"/>
  <c r="G205" i="6"/>
  <c r="BJ204" i="6"/>
  <c r="BI204" i="6"/>
  <c r="BH204" i="6"/>
  <c r="BG204" i="6"/>
  <c r="BF204" i="6"/>
  <c r="BE204" i="6"/>
  <c r="BD204" i="6"/>
  <c r="BC204" i="6"/>
  <c r="BB204" i="6"/>
  <c r="BA204" i="6"/>
  <c r="AZ204" i="6"/>
  <c r="AY204" i="6"/>
  <c r="AX204" i="6"/>
  <c r="AW204" i="6"/>
  <c r="AV204" i="6"/>
  <c r="AU204" i="6"/>
  <c r="H204" i="6"/>
  <c r="G204" i="6"/>
  <c r="BJ203" i="6"/>
  <c r="BI203" i="6"/>
  <c r="BH203" i="6"/>
  <c r="BG203" i="6"/>
  <c r="BF203" i="6"/>
  <c r="BE203" i="6"/>
  <c r="BD203" i="6"/>
  <c r="BC203" i="6"/>
  <c r="BB203" i="6"/>
  <c r="BA203" i="6"/>
  <c r="AZ203" i="6"/>
  <c r="AY203" i="6"/>
  <c r="AX203" i="6"/>
  <c r="AW203" i="6"/>
  <c r="AV203" i="6"/>
  <c r="AU203" i="6"/>
  <c r="H203" i="6"/>
  <c r="G203" i="6"/>
  <c r="BJ202" i="6"/>
  <c r="BI202" i="6"/>
  <c r="BH202" i="6"/>
  <c r="BG202" i="6"/>
  <c r="BF202" i="6"/>
  <c r="BE202" i="6"/>
  <c r="BD202" i="6"/>
  <c r="BC202" i="6"/>
  <c r="BB202" i="6"/>
  <c r="BA202" i="6"/>
  <c r="AZ202" i="6"/>
  <c r="AY202" i="6"/>
  <c r="AX202" i="6"/>
  <c r="AW202" i="6"/>
  <c r="AV202" i="6"/>
  <c r="AU202" i="6"/>
  <c r="H202" i="6"/>
  <c r="G202" i="6"/>
  <c r="BJ201" i="6"/>
  <c r="BI201" i="6"/>
  <c r="BH201" i="6"/>
  <c r="BG201" i="6"/>
  <c r="BF201" i="6"/>
  <c r="BE201" i="6"/>
  <c r="BD201" i="6"/>
  <c r="BC201" i="6"/>
  <c r="BB201" i="6"/>
  <c r="BA201" i="6"/>
  <c r="AZ201" i="6"/>
  <c r="AY201" i="6"/>
  <c r="AX201" i="6"/>
  <c r="AW201" i="6"/>
  <c r="AV201" i="6"/>
  <c r="AU201" i="6"/>
  <c r="H201" i="6"/>
  <c r="G201" i="6"/>
  <c r="BJ200" i="6"/>
  <c r="BI200" i="6"/>
  <c r="BH200" i="6"/>
  <c r="BG200" i="6"/>
  <c r="BF200" i="6"/>
  <c r="BE200" i="6"/>
  <c r="BD200" i="6"/>
  <c r="BC200" i="6"/>
  <c r="BB200" i="6"/>
  <c r="BA200" i="6"/>
  <c r="AZ200" i="6"/>
  <c r="AY200" i="6"/>
  <c r="AX200" i="6"/>
  <c r="AW200" i="6"/>
  <c r="AV200" i="6"/>
  <c r="AU200" i="6"/>
  <c r="H200" i="6"/>
  <c r="G200" i="6"/>
  <c r="BJ199" i="6"/>
  <c r="BI199" i="6"/>
  <c r="BH199" i="6"/>
  <c r="BG199" i="6"/>
  <c r="BF199" i="6"/>
  <c r="BE199" i="6"/>
  <c r="BD199" i="6"/>
  <c r="BC199" i="6"/>
  <c r="BB199" i="6"/>
  <c r="BA199" i="6"/>
  <c r="AZ199" i="6"/>
  <c r="AY199" i="6"/>
  <c r="AX199" i="6"/>
  <c r="AW199" i="6"/>
  <c r="AV199" i="6"/>
  <c r="AU199" i="6"/>
  <c r="H199" i="6"/>
  <c r="G199" i="6"/>
  <c r="BJ198" i="6"/>
  <c r="BI198" i="6"/>
  <c r="BH198" i="6"/>
  <c r="BG198" i="6"/>
  <c r="BF198" i="6"/>
  <c r="BE198" i="6"/>
  <c r="BD198" i="6"/>
  <c r="BC198" i="6"/>
  <c r="BB198" i="6"/>
  <c r="BA198" i="6"/>
  <c r="AZ198" i="6"/>
  <c r="AY198" i="6"/>
  <c r="AX198" i="6"/>
  <c r="AW198" i="6"/>
  <c r="AV198" i="6"/>
  <c r="AU198" i="6"/>
  <c r="H198" i="6"/>
  <c r="G198" i="6"/>
  <c r="BJ197" i="6"/>
  <c r="BI197" i="6"/>
  <c r="BH197" i="6"/>
  <c r="BG197" i="6"/>
  <c r="BF197" i="6"/>
  <c r="BE197" i="6"/>
  <c r="BD197" i="6"/>
  <c r="BC197" i="6"/>
  <c r="BB197" i="6"/>
  <c r="BA197" i="6"/>
  <c r="AZ197" i="6"/>
  <c r="AY197" i="6"/>
  <c r="AX197" i="6"/>
  <c r="AW197" i="6"/>
  <c r="AV197" i="6"/>
  <c r="AU197" i="6"/>
  <c r="H197" i="6"/>
  <c r="G197" i="6"/>
  <c r="BJ196" i="6"/>
  <c r="BI196" i="6"/>
  <c r="BH196" i="6"/>
  <c r="BG196" i="6"/>
  <c r="BF196" i="6"/>
  <c r="BE196" i="6"/>
  <c r="BD196" i="6"/>
  <c r="BC196" i="6"/>
  <c r="BB196" i="6"/>
  <c r="BA196" i="6"/>
  <c r="AZ196" i="6"/>
  <c r="AY196" i="6"/>
  <c r="AX196" i="6"/>
  <c r="AW196" i="6"/>
  <c r="AV196" i="6"/>
  <c r="AU196" i="6"/>
  <c r="H196" i="6"/>
  <c r="G196" i="6"/>
  <c r="BJ195" i="6"/>
  <c r="BI195" i="6"/>
  <c r="BH195" i="6"/>
  <c r="BG195" i="6"/>
  <c r="BF195" i="6"/>
  <c r="BE195" i="6"/>
  <c r="BD195" i="6"/>
  <c r="BC195" i="6"/>
  <c r="BB195" i="6"/>
  <c r="BA195" i="6"/>
  <c r="AZ195" i="6"/>
  <c r="AY195" i="6"/>
  <c r="AX195" i="6"/>
  <c r="AW195" i="6"/>
  <c r="AV195" i="6"/>
  <c r="AU195" i="6"/>
  <c r="H195" i="6"/>
  <c r="G195" i="6"/>
  <c r="BJ194" i="6"/>
  <c r="BI194" i="6"/>
  <c r="BH194" i="6"/>
  <c r="BG194" i="6"/>
  <c r="BF194" i="6"/>
  <c r="BE194" i="6"/>
  <c r="BD194" i="6"/>
  <c r="BC194" i="6"/>
  <c r="BB194" i="6"/>
  <c r="BA194" i="6"/>
  <c r="AZ194" i="6"/>
  <c r="AY194" i="6"/>
  <c r="AX194" i="6"/>
  <c r="AW194" i="6"/>
  <c r="AV194" i="6"/>
  <c r="AU194" i="6"/>
  <c r="H194" i="6"/>
  <c r="G194" i="6"/>
  <c r="BJ193" i="6"/>
  <c r="BI193" i="6"/>
  <c r="BH193" i="6"/>
  <c r="BG193" i="6"/>
  <c r="BF193" i="6"/>
  <c r="BE193" i="6"/>
  <c r="BD193" i="6"/>
  <c r="BC193" i="6"/>
  <c r="BB193" i="6"/>
  <c r="BA193" i="6"/>
  <c r="AZ193" i="6"/>
  <c r="AY193" i="6"/>
  <c r="AX193" i="6"/>
  <c r="AW193" i="6"/>
  <c r="AV193" i="6"/>
  <c r="AU193" i="6"/>
  <c r="H193" i="6"/>
  <c r="G193" i="6"/>
  <c r="BJ192" i="6"/>
  <c r="BI192" i="6"/>
  <c r="BH192" i="6"/>
  <c r="BG192" i="6"/>
  <c r="BF192" i="6"/>
  <c r="BE192" i="6"/>
  <c r="BD192" i="6"/>
  <c r="BC192" i="6"/>
  <c r="BB192" i="6"/>
  <c r="BA192" i="6"/>
  <c r="AZ192" i="6"/>
  <c r="AY192" i="6"/>
  <c r="AX192" i="6"/>
  <c r="AW192" i="6"/>
  <c r="AV192" i="6"/>
  <c r="AU192" i="6"/>
  <c r="H192" i="6"/>
  <c r="G192" i="6"/>
  <c r="BJ191" i="6"/>
  <c r="BI191" i="6"/>
  <c r="BH191" i="6"/>
  <c r="BG191" i="6"/>
  <c r="BF191" i="6"/>
  <c r="BE191" i="6"/>
  <c r="BD191" i="6"/>
  <c r="BC191" i="6"/>
  <c r="BB191" i="6"/>
  <c r="BA191" i="6"/>
  <c r="AZ191" i="6"/>
  <c r="AY191" i="6"/>
  <c r="AX191" i="6"/>
  <c r="AW191" i="6"/>
  <c r="AV191" i="6"/>
  <c r="AU191" i="6"/>
  <c r="H191" i="6"/>
  <c r="G191" i="6"/>
  <c r="BJ190" i="6"/>
  <c r="BI190" i="6"/>
  <c r="BH190" i="6"/>
  <c r="BG190" i="6"/>
  <c r="BF190" i="6"/>
  <c r="BE190" i="6"/>
  <c r="BD190" i="6"/>
  <c r="BC190" i="6"/>
  <c r="BB190" i="6"/>
  <c r="BA190" i="6"/>
  <c r="AZ190" i="6"/>
  <c r="AY190" i="6"/>
  <c r="AX190" i="6"/>
  <c r="AW190" i="6"/>
  <c r="AV190" i="6"/>
  <c r="AU190" i="6"/>
  <c r="H190" i="6"/>
  <c r="G190" i="6"/>
  <c r="BJ189" i="6"/>
  <c r="BI189" i="6"/>
  <c r="BH189" i="6"/>
  <c r="BG189" i="6"/>
  <c r="BF189" i="6"/>
  <c r="BE189" i="6"/>
  <c r="BD189" i="6"/>
  <c r="BC189" i="6"/>
  <c r="BB189" i="6"/>
  <c r="BA189" i="6"/>
  <c r="AZ189" i="6"/>
  <c r="AY189" i="6"/>
  <c r="AX189" i="6"/>
  <c r="AW189" i="6"/>
  <c r="AV189" i="6"/>
  <c r="AU189" i="6"/>
  <c r="H189" i="6"/>
  <c r="G189" i="6"/>
  <c r="BJ188" i="6"/>
  <c r="BI188" i="6"/>
  <c r="BH188" i="6"/>
  <c r="BG188" i="6"/>
  <c r="BF188" i="6"/>
  <c r="BE188" i="6"/>
  <c r="BD188" i="6"/>
  <c r="BC188" i="6"/>
  <c r="BB188" i="6"/>
  <c r="BA188" i="6"/>
  <c r="AZ188" i="6"/>
  <c r="AY188" i="6"/>
  <c r="AX188" i="6"/>
  <c r="AW188" i="6"/>
  <c r="AV188" i="6"/>
  <c r="AU188" i="6"/>
  <c r="H188" i="6"/>
  <c r="G188" i="6"/>
  <c r="BJ187" i="6"/>
  <c r="BI187" i="6"/>
  <c r="BH187" i="6"/>
  <c r="BG187" i="6"/>
  <c r="BF187" i="6"/>
  <c r="BE187" i="6"/>
  <c r="BD187" i="6"/>
  <c r="BC187" i="6"/>
  <c r="BB187" i="6"/>
  <c r="BA187" i="6"/>
  <c r="AZ187" i="6"/>
  <c r="AY187" i="6"/>
  <c r="AX187" i="6"/>
  <c r="AW187" i="6"/>
  <c r="AV187" i="6"/>
  <c r="AU187" i="6"/>
  <c r="H187" i="6"/>
  <c r="G187" i="6"/>
  <c r="BJ186" i="6"/>
  <c r="BI186" i="6"/>
  <c r="BH186" i="6"/>
  <c r="BG186" i="6"/>
  <c r="BF186" i="6"/>
  <c r="BE186" i="6"/>
  <c r="BD186" i="6"/>
  <c r="BC186" i="6"/>
  <c r="BB186" i="6"/>
  <c r="BA186" i="6"/>
  <c r="AZ186" i="6"/>
  <c r="AY186" i="6"/>
  <c r="AX186" i="6"/>
  <c r="AW186" i="6"/>
  <c r="AV186" i="6"/>
  <c r="AU186" i="6"/>
  <c r="H186" i="6"/>
  <c r="G186" i="6"/>
  <c r="BJ185" i="6"/>
  <c r="BI185" i="6"/>
  <c r="BH185" i="6"/>
  <c r="BG185" i="6"/>
  <c r="BF185" i="6"/>
  <c r="BE185" i="6"/>
  <c r="BD185" i="6"/>
  <c r="BC185" i="6"/>
  <c r="BB185" i="6"/>
  <c r="BA185" i="6"/>
  <c r="AZ185" i="6"/>
  <c r="AY185" i="6"/>
  <c r="AX185" i="6"/>
  <c r="AW185" i="6"/>
  <c r="AV185" i="6"/>
  <c r="AU185" i="6"/>
  <c r="H185" i="6"/>
  <c r="G185" i="6"/>
  <c r="BJ184" i="6"/>
  <c r="BI184" i="6"/>
  <c r="BH184" i="6"/>
  <c r="BG184" i="6"/>
  <c r="BF184" i="6"/>
  <c r="BE184" i="6"/>
  <c r="BD184" i="6"/>
  <c r="BC184" i="6"/>
  <c r="BB184" i="6"/>
  <c r="BA184" i="6"/>
  <c r="AZ184" i="6"/>
  <c r="AY184" i="6"/>
  <c r="AX184" i="6"/>
  <c r="AW184" i="6"/>
  <c r="AV184" i="6"/>
  <c r="AU184" i="6"/>
  <c r="H184" i="6"/>
  <c r="G184" i="6"/>
  <c r="BJ183" i="6"/>
  <c r="BI183" i="6"/>
  <c r="BH183" i="6"/>
  <c r="BG183" i="6"/>
  <c r="BF183" i="6"/>
  <c r="BE183" i="6"/>
  <c r="BD183" i="6"/>
  <c r="BC183" i="6"/>
  <c r="BB183" i="6"/>
  <c r="BA183" i="6"/>
  <c r="AZ183" i="6"/>
  <c r="AY183" i="6"/>
  <c r="AX183" i="6"/>
  <c r="AW183" i="6"/>
  <c r="AV183" i="6"/>
  <c r="AU183" i="6"/>
  <c r="H183" i="6"/>
  <c r="G183" i="6"/>
  <c r="BJ182" i="6"/>
  <c r="BI182" i="6"/>
  <c r="BH182" i="6"/>
  <c r="BG182" i="6"/>
  <c r="BF182" i="6"/>
  <c r="BE182" i="6"/>
  <c r="BD182" i="6"/>
  <c r="BC182" i="6"/>
  <c r="BB182" i="6"/>
  <c r="BA182" i="6"/>
  <c r="AZ182" i="6"/>
  <c r="AY182" i="6"/>
  <c r="AX182" i="6"/>
  <c r="AW182" i="6"/>
  <c r="AV182" i="6"/>
  <c r="AU182" i="6"/>
  <c r="H182" i="6"/>
  <c r="G182" i="6"/>
  <c r="BJ181" i="6"/>
  <c r="BI181" i="6"/>
  <c r="BH181" i="6"/>
  <c r="BG181" i="6"/>
  <c r="BF181" i="6"/>
  <c r="BE181" i="6"/>
  <c r="BD181" i="6"/>
  <c r="BC181" i="6"/>
  <c r="BB181" i="6"/>
  <c r="BA181" i="6"/>
  <c r="AZ181" i="6"/>
  <c r="AY181" i="6"/>
  <c r="AX181" i="6"/>
  <c r="AW181" i="6"/>
  <c r="AV181" i="6"/>
  <c r="AU181" i="6"/>
  <c r="H181" i="6"/>
  <c r="G181" i="6"/>
  <c r="BJ180" i="6"/>
  <c r="BI180" i="6"/>
  <c r="BH180" i="6"/>
  <c r="BG180" i="6"/>
  <c r="BF180" i="6"/>
  <c r="BE180" i="6"/>
  <c r="BD180" i="6"/>
  <c r="BC180" i="6"/>
  <c r="BB180" i="6"/>
  <c r="BA180" i="6"/>
  <c r="AZ180" i="6"/>
  <c r="AY180" i="6"/>
  <c r="AX180" i="6"/>
  <c r="AW180" i="6"/>
  <c r="AV180" i="6"/>
  <c r="AU180" i="6"/>
  <c r="H180" i="6"/>
  <c r="G180" i="6"/>
  <c r="BJ179" i="6"/>
  <c r="BI179" i="6"/>
  <c r="BH179" i="6"/>
  <c r="BG179" i="6"/>
  <c r="BF179" i="6"/>
  <c r="BE179" i="6"/>
  <c r="BD179" i="6"/>
  <c r="BC179" i="6"/>
  <c r="BB179" i="6"/>
  <c r="BA179" i="6"/>
  <c r="AZ179" i="6"/>
  <c r="AY179" i="6"/>
  <c r="AX179" i="6"/>
  <c r="AW179" i="6"/>
  <c r="AV179" i="6"/>
  <c r="AU179" i="6"/>
  <c r="H179" i="6"/>
  <c r="G179" i="6"/>
  <c r="BJ178" i="6"/>
  <c r="BI178" i="6"/>
  <c r="BH178" i="6"/>
  <c r="BG178" i="6"/>
  <c r="BF178" i="6"/>
  <c r="BE178" i="6"/>
  <c r="BD178" i="6"/>
  <c r="BC178" i="6"/>
  <c r="BB178" i="6"/>
  <c r="BA178" i="6"/>
  <c r="AZ178" i="6"/>
  <c r="AY178" i="6"/>
  <c r="AX178" i="6"/>
  <c r="AW178" i="6"/>
  <c r="AV178" i="6"/>
  <c r="AU178" i="6"/>
  <c r="H178" i="6"/>
  <c r="G178" i="6"/>
  <c r="BJ177" i="6"/>
  <c r="BI177" i="6"/>
  <c r="BH177" i="6"/>
  <c r="BG177" i="6"/>
  <c r="BF177" i="6"/>
  <c r="BE177" i="6"/>
  <c r="BD177" i="6"/>
  <c r="BC177" i="6"/>
  <c r="BB177" i="6"/>
  <c r="BA177" i="6"/>
  <c r="AZ177" i="6"/>
  <c r="AY177" i="6"/>
  <c r="AX177" i="6"/>
  <c r="AW177" i="6"/>
  <c r="AV177" i="6"/>
  <c r="AU177" i="6"/>
  <c r="H177" i="6"/>
  <c r="G177" i="6"/>
  <c r="BJ176" i="6"/>
  <c r="BI176" i="6"/>
  <c r="BH176" i="6"/>
  <c r="BG176" i="6"/>
  <c r="BF176" i="6"/>
  <c r="BE176" i="6"/>
  <c r="BD176" i="6"/>
  <c r="BC176" i="6"/>
  <c r="BB176" i="6"/>
  <c r="BA176" i="6"/>
  <c r="AZ176" i="6"/>
  <c r="AY176" i="6"/>
  <c r="AX176" i="6"/>
  <c r="AW176" i="6"/>
  <c r="AV176" i="6"/>
  <c r="AU176" i="6"/>
  <c r="H176" i="6"/>
  <c r="G176" i="6"/>
  <c r="BJ175" i="6"/>
  <c r="BI175" i="6"/>
  <c r="BH175" i="6"/>
  <c r="BG175" i="6"/>
  <c r="BF175" i="6"/>
  <c r="BE175" i="6"/>
  <c r="BD175" i="6"/>
  <c r="BC175" i="6"/>
  <c r="BB175" i="6"/>
  <c r="BA175" i="6"/>
  <c r="AZ175" i="6"/>
  <c r="AY175" i="6"/>
  <c r="AX175" i="6"/>
  <c r="AW175" i="6"/>
  <c r="AV175" i="6"/>
  <c r="AU175" i="6"/>
  <c r="H175" i="6"/>
  <c r="G175" i="6"/>
  <c r="BJ174" i="6"/>
  <c r="BI174" i="6"/>
  <c r="BH174" i="6"/>
  <c r="BG174" i="6"/>
  <c r="BF174" i="6"/>
  <c r="BE174" i="6"/>
  <c r="BD174" i="6"/>
  <c r="BC174" i="6"/>
  <c r="BB174" i="6"/>
  <c r="BA174" i="6"/>
  <c r="AZ174" i="6"/>
  <c r="AY174" i="6"/>
  <c r="AX174" i="6"/>
  <c r="AW174" i="6"/>
  <c r="AV174" i="6"/>
  <c r="AU174" i="6"/>
  <c r="H174" i="6"/>
  <c r="G174" i="6"/>
  <c r="BJ173" i="6"/>
  <c r="BI173" i="6"/>
  <c r="BH173" i="6"/>
  <c r="BG173" i="6"/>
  <c r="BF173" i="6"/>
  <c r="BE173" i="6"/>
  <c r="BD173" i="6"/>
  <c r="BC173" i="6"/>
  <c r="BB173" i="6"/>
  <c r="BA173" i="6"/>
  <c r="AZ173" i="6"/>
  <c r="AY173" i="6"/>
  <c r="AX173" i="6"/>
  <c r="AW173" i="6"/>
  <c r="AV173" i="6"/>
  <c r="AU173" i="6"/>
  <c r="H173" i="6"/>
  <c r="G173" i="6"/>
  <c r="BJ172" i="6"/>
  <c r="BI172" i="6"/>
  <c r="BH172" i="6"/>
  <c r="BG172" i="6"/>
  <c r="BF172" i="6"/>
  <c r="BE172" i="6"/>
  <c r="BD172" i="6"/>
  <c r="BC172" i="6"/>
  <c r="BB172" i="6"/>
  <c r="BA172" i="6"/>
  <c r="AZ172" i="6"/>
  <c r="AY172" i="6"/>
  <c r="AX172" i="6"/>
  <c r="AW172" i="6"/>
  <c r="AV172" i="6"/>
  <c r="AU172" i="6"/>
  <c r="H172" i="6"/>
  <c r="G172" i="6"/>
  <c r="BJ171" i="6"/>
  <c r="BI171" i="6"/>
  <c r="BH171" i="6"/>
  <c r="BG171" i="6"/>
  <c r="BF171" i="6"/>
  <c r="BE171" i="6"/>
  <c r="BD171" i="6"/>
  <c r="BC171" i="6"/>
  <c r="BB171" i="6"/>
  <c r="BA171" i="6"/>
  <c r="AZ171" i="6"/>
  <c r="AY171" i="6"/>
  <c r="AX171" i="6"/>
  <c r="AW171" i="6"/>
  <c r="AV171" i="6"/>
  <c r="AU171" i="6"/>
  <c r="H171" i="6"/>
  <c r="G171" i="6"/>
  <c r="BJ170" i="6"/>
  <c r="BI170" i="6"/>
  <c r="BH170" i="6"/>
  <c r="BG170" i="6"/>
  <c r="BF170" i="6"/>
  <c r="BE170" i="6"/>
  <c r="BD170" i="6"/>
  <c r="BC170" i="6"/>
  <c r="BB170" i="6"/>
  <c r="BA170" i="6"/>
  <c r="AZ170" i="6"/>
  <c r="AY170" i="6"/>
  <c r="AX170" i="6"/>
  <c r="AW170" i="6"/>
  <c r="AV170" i="6"/>
  <c r="AU170" i="6"/>
  <c r="H170" i="6"/>
  <c r="G170" i="6"/>
  <c r="BJ169" i="6"/>
  <c r="BI169" i="6"/>
  <c r="BH169" i="6"/>
  <c r="BG169" i="6"/>
  <c r="BF169" i="6"/>
  <c r="BE169" i="6"/>
  <c r="BD169" i="6"/>
  <c r="BC169" i="6"/>
  <c r="BB169" i="6"/>
  <c r="BA169" i="6"/>
  <c r="AZ169" i="6"/>
  <c r="AY169" i="6"/>
  <c r="AX169" i="6"/>
  <c r="AW169" i="6"/>
  <c r="AV169" i="6"/>
  <c r="AU169" i="6"/>
  <c r="H169" i="6"/>
  <c r="G169" i="6"/>
  <c r="BJ168" i="6"/>
  <c r="BI168" i="6"/>
  <c r="BH168" i="6"/>
  <c r="BG168" i="6"/>
  <c r="BF168" i="6"/>
  <c r="BE168" i="6"/>
  <c r="BD168" i="6"/>
  <c r="BC168" i="6"/>
  <c r="BB168" i="6"/>
  <c r="BA168" i="6"/>
  <c r="AZ168" i="6"/>
  <c r="AY168" i="6"/>
  <c r="AX168" i="6"/>
  <c r="AW168" i="6"/>
  <c r="AV168" i="6"/>
  <c r="AU168" i="6"/>
  <c r="H168" i="6"/>
  <c r="G168" i="6"/>
  <c r="BJ167" i="6"/>
  <c r="BI167" i="6"/>
  <c r="BH167" i="6"/>
  <c r="BG167" i="6"/>
  <c r="BF167" i="6"/>
  <c r="BE167" i="6"/>
  <c r="BD167" i="6"/>
  <c r="BC167" i="6"/>
  <c r="BB167" i="6"/>
  <c r="BA167" i="6"/>
  <c r="AZ167" i="6"/>
  <c r="AY167" i="6"/>
  <c r="AX167" i="6"/>
  <c r="AW167" i="6"/>
  <c r="AV167" i="6"/>
  <c r="AU167" i="6"/>
  <c r="H167" i="6"/>
  <c r="G167" i="6"/>
  <c r="BJ166" i="6"/>
  <c r="BI166" i="6"/>
  <c r="BH166" i="6"/>
  <c r="BG166" i="6"/>
  <c r="BF166" i="6"/>
  <c r="BE166" i="6"/>
  <c r="BD166" i="6"/>
  <c r="BC166" i="6"/>
  <c r="BB166" i="6"/>
  <c r="BA166" i="6"/>
  <c r="AZ166" i="6"/>
  <c r="AY166" i="6"/>
  <c r="AX166" i="6"/>
  <c r="AW166" i="6"/>
  <c r="AV166" i="6"/>
  <c r="AU166" i="6"/>
  <c r="H166" i="6"/>
  <c r="G166" i="6"/>
  <c r="BJ165" i="6"/>
  <c r="BI165" i="6"/>
  <c r="BH165" i="6"/>
  <c r="BG165" i="6"/>
  <c r="BF165" i="6"/>
  <c r="BE165" i="6"/>
  <c r="BD165" i="6"/>
  <c r="BC165" i="6"/>
  <c r="BB165" i="6"/>
  <c r="BA165" i="6"/>
  <c r="AZ165" i="6"/>
  <c r="AY165" i="6"/>
  <c r="AX165" i="6"/>
  <c r="AW165" i="6"/>
  <c r="AV165" i="6"/>
  <c r="AU165" i="6"/>
  <c r="H165" i="6"/>
  <c r="G165" i="6"/>
  <c r="BJ164" i="6"/>
  <c r="BI164" i="6"/>
  <c r="BH164" i="6"/>
  <c r="BG164" i="6"/>
  <c r="BF164" i="6"/>
  <c r="BE164" i="6"/>
  <c r="BD164" i="6"/>
  <c r="BC164" i="6"/>
  <c r="BB164" i="6"/>
  <c r="BA164" i="6"/>
  <c r="AZ164" i="6"/>
  <c r="AY164" i="6"/>
  <c r="AX164" i="6"/>
  <c r="AW164" i="6"/>
  <c r="AV164" i="6"/>
  <c r="AU164" i="6"/>
  <c r="H164" i="6"/>
  <c r="G164" i="6"/>
  <c r="BJ163" i="6"/>
  <c r="BI163" i="6"/>
  <c r="BH163" i="6"/>
  <c r="BG163" i="6"/>
  <c r="BF163" i="6"/>
  <c r="BE163" i="6"/>
  <c r="BD163" i="6"/>
  <c r="BC163" i="6"/>
  <c r="BB163" i="6"/>
  <c r="BA163" i="6"/>
  <c r="AZ163" i="6"/>
  <c r="AY163" i="6"/>
  <c r="AX163" i="6"/>
  <c r="AW163" i="6"/>
  <c r="AV163" i="6"/>
  <c r="AU163" i="6"/>
  <c r="H163" i="6"/>
  <c r="G163" i="6"/>
  <c r="BJ162" i="6"/>
  <c r="BI162" i="6"/>
  <c r="BH162" i="6"/>
  <c r="BG162" i="6"/>
  <c r="BF162" i="6"/>
  <c r="BE162" i="6"/>
  <c r="BD162" i="6"/>
  <c r="BC162" i="6"/>
  <c r="BB162" i="6"/>
  <c r="BA162" i="6"/>
  <c r="AZ162" i="6"/>
  <c r="AY162" i="6"/>
  <c r="AX162" i="6"/>
  <c r="AW162" i="6"/>
  <c r="AV162" i="6"/>
  <c r="AU162" i="6"/>
  <c r="H162" i="6"/>
  <c r="G162" i="6"/>
  <c r="BJ161" i="6"/>
  <c r="BI161" i="6"/>
  <c r="BH161" i="6"/>
  <c r="BG161" i="6"/>
  <c r="BF161" i="6"/>
  <c r="BE161" i="6"/>
  <c r="BD161" i="6"/>
  <c r="BC161" i="6"/>
  <c r="BB161" i="6"/>
  <c r="BA161" i="6"/>
  <c r="AZ161" i="6"/>
  <c r="AY161" i="6"/>
  <c r="AX161" i="6"/>
  <c r="AW161" i="6"/>
  <c r="AV161" i="6"/>
  <c r="AU161" i="6"/>
  <c r="H161" i="6"/>
  <c r="G161" i="6"/>
  <c r="BJ160" i="6"/>
  <c r="BI160" i="6"/>
  <c r="BH160" i="6"/>
  <c r="BG160" i="6"/>
  <c r="BF160" i="6"/>
  <c r="BE160" i="6"/>
  <c r="BD160" i="6"/>
  <c r="BC160" i="6"/>
  <c r="BB160" i="6"/>
  <c r="BA160" i="6"/>
  <c r="AZ160" i="6"/>
  <c r="AY160" i="6"/>
  <c r="AX160" i="6"/>
  <c r="AW160" i="6"/>
  <c r="AV160" i="6"/>
  <c r="AU160" i="6"/>
  <c r="H160" i="6"/>
  <c r="G160" i="6"/>
  <c r="BJ159" i="6"/>
  <c r="BI159" i="6"/>
  <c r="BH159" i="6"/>
  <c r="BG159" i="6"/>
  <c r="BF159" i="6"/>
  <c r="BE159" i="6"/>
  <c r="BD159" i="6"/>
  <c r="BC159" i="6"/>
  <c r="BB159" i="6"/>
  <c r="BA159" i="6"/>
  <c r="AZ159" i="6"/>
  <c r="AY159" i="6"/>
  <c r="AX159" i="6"/>
  <c r="AW159" i="6"/>
  <c r="AV159" i="6"/>
  <c r="AU159" i="6"/>
  <c r="H159" i="6"/>
  <c r="G159" i="6"/>
  <c r="BJ158" i="6"/>
  <c r="BI158" i="6"/>
  <c r="BH158" i="6"/>
  <c r="BG158" i="6"/>
  <c r="BF158" i="6"/>
  <c r="BE158" i="6"/>
  <c r="BD158" i="6"/>
  <c r="BC158" i="6"/>
  <c r="BB158" i="6"/>
  <c r="BA158" i="6"/>
  <c r="AZ158" i="6"/>
  <c r="AY158" i="6"/>
  <c r="AX158" i="6"/>
  <c r="AW158" i="6"/>
  <c r="AV158" i="6"/>
  <c r="AU158" i="6"/>
  <c r="H158" i="6"/>
  <c r="G158" i="6"/>
  <c r="BJ157" i="6"/>
  <c r="BI157" i="6"/>
  <c r="BH157" i="6"/>
  <c r="BG157" i="6"/>
  <c r="BF157" i="6"/>
  <c r="BE157" i="6"/>
  <c r="BD157" i="6"/>
  <c r="BC157" i="6"/>
  <c r="BB157" i="6"/>
  <c r="BA157" i="6"/>
  <c r="AZ157" i="6"/>
  <c r="AY157" i="6"/>
  <c r="AX157" i="6"/>
  <c r="AW157" i="6"/>
  <c r="AV157" i="6"/>
  <c r="AU157" i="6"/>
  <c r="H157" i="6"/>
  <c r="G157" i="6"/>
  <c r="BJ156" i="6"/>
  <c r="BI156" i="6"/>
  <c r="BH156" i="6"/>
  <c r="BG156" i="6"/>
  <c r="BF156" i="6"/>
  <c r="BE156" i="6"/>
  <c r="BD156" i="6"/>
  <c r="BC156" i="6"/>
  <c r="BB156" i="6"/>
  <c r="BA156" i="6"/>
  <c r="AZ156" i="6"/>
  <c r="AY156" i="6"/>
  <c r="AX156" i="6"/>
  <c r="AW156" i="6"/>
  <c r="AV156" i="6"/>
  <c r="AU156" i="6"/>
  <c r="H156" i="6"/>
  <c r="G156" i="6"/>
  <c r="BJ155" i="6"/>
  <c r="BI155" i="6"/>
  <c r="BH155" i="6"/>
  <c r="BG155" i="6"/>
  <c r="BF155" i="6"/>
  <c r="BE155" i="6"/>
  <c r="BD155" i="6"/>
  <c r="BC155" i="6"/>
  <c r="BB155" i="6"/>
  <c r="BA155" i="6"/>
  <c r="AZ155" i="6"/>
  <c r="AY155" i="6"/>
  <c r="AX155" i="6"/>
  <c r="AW155" i="6"/>
  <c r="AV155" i="6"/>
  <c r="AU155" i="6"/>
  <c r="H155" i="6"/>
  <c r="G155" i="6"/>
  <c r="BJ154" i="6"/>
  <c r="BI154" i="6"/>
  <c r="BH154" i="6"/>
  <c r="BG154" i="6"/>
  <c r="BF154" i="6"/>
  <c r="BE154" i="6"/>
  <c r="BD154" i="6"/>
  <c r="BC154" i="6"/>
  <c r="BB154" i="6"/>
  <c r="BA154" i="6"/>
  <c r="AZ154" i="6"/>
  <c r="AY154" i="6"/>
  <c r="AX154" i="6"/>
  <c r="AW154" i="6"/>
  <c r="AV154" i="6"/>
  <c r="AU154" i="6"/>
  <c r="H154" i="6"/>
  <c r="G154" i="6"/>
  <c r="BJ153" i="6"/>
  <c r="BI153" i="6"/>
  <c r="BH153" i="6"/>
  <c r="BG153" i="6"/>
  <c r="BF153" i="6"/>
  <c r="BE153" i="6"/>
  <c r="BD153" i="6"/>
  <c r="BC153" i="6"/>
  <c r="BB153" i="6"/>
  <c r="BA153" i="6"/>
  <c r="AZ153" i="6"/>
  <c r="AY153" i="6"/>
  <c r="AX153" i="6"/>
  <c r="AW153" i="6"/>
  <c r="AV153" i="6"/>
  <c r="AU153" i="6"/>
  <c r="H153" i="6"/>
  <c r="G153" i="6"/>
  <c r="BJ152" i="6"/>
  <c r="BI152" i="6"/>
  <c r="BH152" i="6"/>
  <c r="BG152" i="6"/>
  <c r="BF152" i="6"/>
  <c r="BE152" i="6"/>
  <c r="BD152" i="6"/>
  <c r="BC152" i="6"/>
  <c r="BB152" i="6"/>
  <c r="BA152" i="6"/>
  <c r="AZ152" i="6"/>
  <c r="AY152" i="6"/>
  <c r="AX152" i="6"/>
  <c r="AW152" i="6"/>
  <c r="AV152" i="6"/>
  <c r="AU152" i="6"/>
  <c r="H152" i="6"/>
  <c r="G152" i="6"/>
  <c r="BJ151" i="6"/>
  <c r="BI151" i="6"/>
  <c r="BH151" i="6"/>
  <c r="BG151" i="6"/>
  <c r="BF151" i="6"/>
  <c r="BE151" i="6"/>
  <c r="BD151" i="6"/>
  <c r="BC151" i="6"/>
  <c r="BB151" i="6"/>
  <c r="BA151" i="6"/>
  <c r="AZ151" i="6"/>
  <c r="AY151" i="6"/>
  <c r="AX151" i="6"/>
  <c r="AW151" i="6"/>
  <c r="AV151" i="6"/>
  <c r="AU151" i="6"/>
  <c r="H151" i="6"/>
  <c r="G151" i="6"/>
  <c r="BJ150" i="6"/>
  <c r="BI150" i="6"/>
  <c r="BH150" i="6"/>
  <c r="BG150" i="6"/>
  <c r="BF150" i="6"/>
  <c r="BE150" i="6"/>
  <c r="BD150" i="6"/>
  <c r="BC150" i="6"/>
  <c r="BB150" i="6"/>
  <c r="BA150" i="6"/>
  <c r="AZ150" i="6"/>
  <c r="AY150" i="6"/>
  <c r="AX150" i="6"/>
  <c r="AW150" i="6"/>
  <c r="AV150" i="6"/>
  <c r="AU150" i="6"/>
  <c r="H150" i="6"/>
  <c r="G150" i="6"/>
  <c r="BJ149" i="6"/>
  <c r="BI149" i="6"/>
  <c r="BH149" i="6"/>
  <c r="BG149" i="6"/>
  <c r="BF149" i="6"/>
  <c r="BE149" i="6"/>
  <c r="BD149" i="6"/>
  <c r="BC149" i="6"/>
  <c r="BB149" i="6"/>
  <c r="BA149" i="6"/>
  <c r="AZ149" i="6"/>
  <c r="AY149" i="6"/>
  <c r="AX149" i="6"/>
  <c r="AW149" i="6"/>
  <c r="AV149" i="6"/>
  <c r="AU149" i="6"/>
  <c r="H149" i="6"/>
  <c r="G149" i="6"/>
  <c r="BJ148" i="6"/>
  <c r="BI148" i="6"/>
  <c r="BH148" i="6"/>
  <c r="BG148" i="6"/>
  <c r="BF148" i="6"/>
  <c r="BE148" i="6"/>
  <c r="BD148" i="6"/>
  <c r="BC148" i="6"/>
  <c r="BB148" i="6"/>
  <c r="BA148" i="6"/>
  <c r="AZ148" i="6"/>
  <c r="AY148" i="6"/>
  <c r="AX148" i="6"/>
  <c r="AW148" i="6"/>
  <c r="AV148" i="6"/>
  <c r="AU148" i="6"/>
  <c r="H148" i="6"/>
  <c r="G148" i="6"/>
  <c r="BJ147" i="6"/>
  <c r="BI147" i="6"/>
  <c r="BH147" i="6"/>
  <c r="BG147" i="6"/>
  <c r="BF147" i="6"/>
  <c r="BE147" i="6"/>
  <c r="BD147" i="6"/>
  <c r="BC147" i="6"/>
  <c r="BB147" i="6"/>
  <c r="BA147" i="6"/>
  <c r="AZ147" i="6"/>
  <c r="AY147" i="6"/>
  <c r="AX147" i="6"/>
  <c r="AW147" i="6"/>
  <c r="AV147" i="6"/>
  <c r="AU147" i="6"/>
  <c r="H147" i="6"/>
  <c r="G147" i="6"/>
  <c r="BJ146" i="6"/>
  <c r="BI146" i="6"/>
  <c r="BH146" i="6"/>
  <c r="BG146" i="6"/>
  <c r="BF146" i="6"/>
  <c r="BE146" i="6"/>
  <c r="BD146" i="6"/>
  <c r="BC146" i="6"/>
  <c r="BB146" i="6"/>
  <c r="BA146" i="6"/>
  <c r="AZ146" i="6"/>
  <c r="AY146" i="6"/>
  <c r="AX146" i="6"/>
  <c r="AW146" i="6"/>
  <c r="AV146" i="6"/>
  <c r="AU146" i="6"/>
  <c r="H146" i="6"/>
  <c r="G146" i="6"/>
  <c r="BJ145" i="6"/>
  <c r="BI145" i="6"/>
  <c r="BH145" i="6"/>
  <c r="BG145" i="6"/>
  <c r="BF145" i="6"/>
  <c r="BE145" i="6"/>
  <c r="BD145" i="6"/>
  <c r="BC145" i="6"/>
  <c r="BB145" i="6"/>
  <c r="BA145" i="6"/>
  <c r="AZ145" i="6"/>
  <c r="AY145" i="6"/>
  <c r="AX145" i="6"/>
  <c r="AW145" i="6"/>
  <c r="AV145" i="6"/>
  <c r="AU145" i="6"/>
  <c r="H145" i="6"/>
  <c r="G145" i="6"/>
  <c r="BJ144" i="6"/>
  <c r="BI144" i="6"/>
  <c r="BH144" i="6"/>
  <c r="BG144" i="6"/>
  <c r="BF144" i="6"/>
  <c r="BE144" i="6"/>
  <c r="BD144" i="6"/>
  <c r="BC144" i="6"/>
  <c r="BB144" i="6"/>
  <c r="BA144" i="6"/>
  <c r="AZ144" i="6"/>
  <c r="AY144" i="6"/>
  <c r="AX144" i="6"/>
  <c r="AW144" i="6"/>
  <c r="AV144" i="6"/>
  <c r="AU144" i="6"/>
  <c r="H144" i="6"/>
  <c r="G144" i="6"/>
  <c r="BJ143" i="6"/>
  <c r="BI143" i="6"/>
  <c r="BH143" i="6"/>
  <c r="BG143" i="6"/>
  <c r="BF143" i="6"/>
  <c r="BE143" i="6"/>
  <c r="BD143" i="6"/>
  <c r="BC143" i="6"/>
  <c r="BB143" i="6"/>
  <c r="BA143" i="6"/>
  <c r="AZ143" i="6"/>
  <c r="AY143" i="6"/>
  <c r="AX143" i="6"/>
  <c r="AW143" i="6"/>
  <c r="AV143" i="6"/>
  <c r="AU143" i="6"/>
  <c r="H143" i="6"/>
  <c r="G143" i="6"/>
  <c r="BJ142" i="6"/>
  <c r="BI142" i="6"/>
  <c r="BH142" i="6"/>
  <c r="BG142" i="6"/>
  <c r="BF142" i="6"/>
  <c r="BE142" i="6"/>
  <c r="BD142" i="6"/>
  <c r="BC142" i="6"/>
  <c r="BB142" i="6"/>
  <c r="BA142" i="6"/>
  <c r="AZ142" i="6"/>
  <c r="AY142" i="6"/>
  <c r="AX142" i="6"/>
  <c r="AW142" i="6"/>
  <c r="AV142" i="6"/>
  <c r="AU142" i="6"/>
  <c r="H142" i="6"/>
  <c r="G142" i="6"/>
  <c r="BJ141" i="6"/>
  <c r="BI141" i="6"/>
  <c r="BH141" i="6"/>
  <c r="BG141" i="6"/>
  <c r="BF141" i="6"/>
  <c r="BE141" i="6"/>
  <c r="BD141" i="6"/>
  <c r="BC141" i="6"/>
  <c r="BB141" i="6"/>
  <c r="BA141" i="6"/>
  <c r="AZ141" i="6"/>
  <c r="AY141" i="6"/>
  <c r="AX141" i="6"/>
  <c r="AW141" i="6"/>
  <c r="AV141" i="6"/>
  <c r="AU141" i="6"/>
  <c r="H141" i="6"/>
  <c r="G141" i="6"/>
  <c r="BJ140" i="6"/>
  <c r="BI140" i="6"/>
  <c r="BH140" i="6"/>
  <c r="BG140" i="6"/>
  <c r="BF140" i="6"/>
  <c r="BE140" i="6"/>
  <c r="BD140" i="6"/>
  <c r="BC140" i="6"/>
  <c r="BB140" i="6"/>
  <c r="BA140" i="6"/>
  <c r="AZ140" i="6"/>
  <c r="AY140" i="6"/>
  <c r="AX140" i="6"/>
  <c r="AW140" i="6"/>
  <c r="AV140" i="6"/>
  <c r="AU140" i="6"/>
  <c r="H140" i="6"/>
  <c r="G140" i="6"/>
  <c r="BJ139" i="6"/>
  <c r="BI139" i="6"/>
  <c r="BH139" i="6"/>
  <c r="BG139" i="6"/>
  <c r="BF139" i="6"/>
  <c r="BE139" i="6"/>
  <c r="BD139" i="6"/>
  <c r="BC139" i="6"/>
  <c r="BB139" i="6"/>
  <c r="BA139" i="6"/>
  <c r="AZ139" i="6"/>
  <c r="AY139" i="6"/>
  <c r="AX139" i="6"/>
  <c r="AW139" i="6"/>
  <c r="AV139" i="6"/>
  <c r="AU139" i="6"/>
  <c r="H139" i="6"/>
  <c r="G139" i="6"/>
  <c r="BJ138" i="6"/>
  <c r="BI138" i="6"/>
  <c r="BH138" i="6"/>
  <c r="BG138" i="6"/>
  <c r="BF138" i="6"/>
  <c r="BE138" i="6"/>
  <c r="BD138" i="6"/>
  <c r="BC138" i="6"/>
  <c r="BB138" i="6"/>
  <c r="BA138" i="6"/>
  <c r="AZ138" i="6"/>
  <c r="AY138" i="6"/>
  <c r="AX138" i="6"/>
  <c r="AW138" i="6"/>
  <c r="AV138" i="6"/>
  <c r="AU138" i="6"/>
  <c r="H138" i="6"/>
  <c r="G138" i="6"/>
  <c r="BJ137" i="6"/>
  <c r="BI137" i="6"/>
  <c r="BH137" i="6"/>
  <c r="BG137" i="6"/>
  <c r="BF137" i="6"/>
  <c r="BE137" i="6"/>
  <c r="BD137" i="6"/>
  <c r="BC137" i="6"/>
  <c r="BB137" i="6"/>
  <c r="BA137" i="6"/>
  <c r="AZ137" i="6"/>
  <c r="AY137" i="6"/>
  <c r="AX137" i="6"/>
  <c r="AW137" i="6"/>
  <c r="AV137" i="6"/>
  <c r="AU137" i="6"/>
  <c r="H137" i="6"/>
  <c r="G137" i="6"/>
  <c r="BJ136" i="6"/>
  <c r="BI136" i="6"/>
  <c r="BH136" i="6"/>
  <c r="BG136" i="6"/>
  <c r="BF136" i="6"/>
  <c r="BE136" i="6"/>
  <c r="BD136" i="6"/>
  <c r="BC136" i="6"/>
  <c r="BB136" i="6"/>
  <c r="BA136" i="6"/>
  <c r="AZ136" i="6"/>
  <c r="AY136" i="6"/>
  <c r="AX136" i="6"/>
  <c r="AW136" i="6"/>
  <c r="AV136" i="6"/>
  <c r="AU136" i="6"/>
  <c r="H136" i="6"/>
  <c r="G136" i="6"/>
  <c r="BJ135" i="6"/>
  <c r="BI135" i="6"/>
  <c r="BH135" i="6"/>
  <c r="BG135" i="6"/>
  <c r="BF135" i="6"/>
  <c r="BE135" i="6"/>
  <c r="BD135" i="6"/>
  <c r="BC135" i="6"/>
  <c r="BB135" i="6"/>
  <c r="BA135" i="6"/>
  <c r="AZ135" i="6"/>
  <c r="AY135" i="6"/>
  <c r="AX135" i="6"/>
  <c r="AW135" i="6"/>
  <c r="AV135" i="6"/>
  <c r="AU135" i="6"/>
  <c r="H135" i="6"/>
  <c r="G135" i="6"/>
  <c r="BJ134" i="6"/>
  <c r="BI134" i="6"/>
  <c r="BH134" i="6"/>
  <c r="BG134" i="6"/>
  <c r="BF134" i="6"/>
  <c r="BE134" i="6"/>
  <c r="BD134" i="6"/>
  <c r="BC134" i="6"/>
  <c r="BB134" i="6"/>
  <c r="BA134" i="6"/>
  <c r="AZ134" i="6"/>
  <c r="AY134" i="6"/>
  <c r="AX134" i="6"/>
  <c r="AW134" i="6"/>
  <c r="AV134" i="6"/>
  <c r="AU134" i="6"/>
  <c r="H134" i="6"/>
  <c r="G134" i="6"/>
  <c r="BJ133" i="6"/>
  <c r="BI133" i="6"/>
  <c r="BH133" i="6"/>
  <c r="BG133" i="6"/>
  <c r="BF133" i="6"/>
  <c r="BE133" i="6"/>
  <c r="BD133" i="6"/>
  <c r="BC133" i="6"/>
  <c r="BB133" i="6"/>
  <c r="BA133" i="6"/>
  <c r="AZ133" i="6"/>
  <c r="AY133" i="6"/>
  <c r="AX133" i="6"/>
  <c r="AW133" i="6"/>
  <c r="AV133" i="6"/>
  <c r="AU133" i="6"/>
  <c r="H133" i="6"/>
  <c r="G133" i="6"/>
  <c r="BJ132" i="6"/>
  <c r="BI132" i="6"/>
  <c r="BH132" i="6"/>
  <c r="BG132" i="6"/>
  <c r="BF132" i="6"/>
  <c r="BE132" i="6"/>
  <c r="BD132" i="6"/>
  <c r="BC132" i="6"/>
  <c r="BB132" i="6"/>
  <c r="BA132" i="6"/>
  <c r="AZ132" i="6"/>
  <c r="AY132" i="6"/>
  <c r="AX132" i="6"/>
  <c r="AW132" i="6"/>
  <c r="AV132" i="6"/>
  <c r="AU132" i="6"/>
  <c r="H132" i="6"/>
  <c r="G132" i="6"/>
  <c r="BJ131" i="6"/>
  <c r="BI131" i="6"/>
  <c r="BH131" i="6"/>
  <c r="BG131" i="6"/>
  <c r="BF131" i="6"/>
  <c r="BE131" i="6"/>
  <c r="BD131" i="6"/>
  <c r="BC131" i="6"/>
  <c r="BB131" i="6"/>
  <c r="BA131" i="6"/>
  <c r="AZ131" i="6"/>
  <c r="AY131" i="6"/>
  <c r="AX131" i="6"/>
  <c r="AW131" i="6"/>
  <c r="AV131" i="6"/>
  <c r="AU131" i="6"/>
  <c r="H131" i="6"/>
  <c r="G131" i="6"/>
  <c r="BJ130" i="6"/>
  <c r="BI130" i="6"/>
  <c r="BH130" i="6"/>
  <c r="BG130" i="6"/>
  <c r="BF130" i="6"/>
  <c r="BE130" i="6"/>
  <c r="BD130" i="6"/>
  <c r="BC130" i="6"/>
  <c r="BB130" i="6"/>
  <c r="BA130" i="6"/>
  <c r="AZ130" i="6"/>
  <c r="AY130" i="6"/>
  <c r="AX130" i="6"/>
  <c r="AW130" i="6"/>
  <c r="AV130" i="6"/>
  <c r="AU130" i="6"/>
  <c r="H130" i="6"/>
  <c r="G130" i="6"/>
  <c r="BJ129" i="6"/>
  <c r="BI129" i="6"/>
  <c r="BH129" i="6"/>
  <c r="BG129" i="6"/>
  <c r="BF129" i="6"/>
  <c r="BE129" i="6"/>
  <c r="BD129" i="6"/>
  <c r="BC129" i="6"/>
  <c r="BB129" i="6"/>
  <c r="BA129" i="6"/>
  <c r="AZ129" i="6"/>
  <c r="AY129" i="6"/>
  <c r="AX129" i="6"/>
  <c r="AW129" i="6"/>
  <c r="AV129" i="6"/>
  <c r="AU129" i="6"/>
  <c r="H129" i="6"/>
  <c r="G129" i="6"/>
  <c r="BJ128" i="6"/>
  <c r="BI128" i="6"/>
  <c r="BH128" i="6"/>
  <c r="BG128" i="6"/>
  <c r="BF128" i="6"/>
  <c r="BE128" i="6"/>
  <c r="BD128" i="6"/>
  <c r="BC128" i="6"/>
  <c r="BB128" i="6"/>
  <c r="BA128" i="6"/>
  <c r="AZ128" i="6"/>
  <c r="AY128" i="6"/>
  <c r="AX128" i="6"/>
  <c r="AW128" i="6"/>
  <c r="AV128" i="6"/>
  <c r="AU128" i="6"/>
  <c r="H128" i="6"/>
  <c r="G128" i="6"/>
  <c r="BJ127" i="6"/>
  <c r="BI127" i="6"/>
  <c r="BH127" i="6"/>
  <c r="BG127" i="6"/>
  <c r="BF127" i="6"/>
  <c r="BE127" i="6"/>
  <c r="BD127" i="6"/>
  <c r="BC127" i="6"/>
  <c r="BB127" i="6"/>
  <c r="BA127" i="6"/>
  <c r="AZ127" i="6"/>
  <c r="AY127" i="6"/>
  <c r="AX127" i="6"/>
  <c r="AW127" i="6"/>
  <c r="AV127" i="6"/>
  <c r="AU127" i="6"/>
  <c r="H127" i="6"/>
  <c r="G127" i="6"/>
  <c r="BJ126" i="6"/>
  <c r="BI126" i="6"/>
  <c r="BH126" i="6"/>
  <c r="BG126" i="6"/>
  <c r="BF126" i="6"/>
  <c r="BE126" i="6"/>
  <c r="BD126" i="6"/>
  <c r="BC126" i="6"/>
  <c r="BB126" i="6"/>
  <c r="BA126" i="6"/>
  <c r="AZ126" i="6"/>
  <c r="AY126" i="6"/>
  <c r="AX126" i="6"/>
  <c r="AW126" i="6"/>
  <c r="AV126" i="6"/>
  <c r="AU126" i="6"/>
  <c r="H126" i="6"/>
  <c r="G126" i="6"/>
  <c r="BJ125" i="6"/>
  <c r="BI125" i="6"/>
  <c r="BH125" i="6"/>
  <c r="BG125" i="6"/>
  <c r="BF125" i="6"/>
  <c r="BE125" i="6"/>
  <c r="BD125" i="6"/>
  <c r="BC125" i="6"/>
  <c r="BB125" i="6"/>
  <c r="BA125" i="6"/>
  <c r="AZ125" i="6"/>
  <c r="AY125" i="6"/>
  <c r="AX125" i="6"/>
  <c r="AW125" i="6"/>
  <c r="AV125" i="6"/>
  <c r="AU125" i="6"/>
  <c r="H125" i="6"/>
  <c r="G125" i="6"/>
  <c r="BJ124" i="6"/>
  <c r="BI124" i="6"/>
  <c r="BH124" i="6"/>
  <c r="BG124" i="6"/>
  <c r="BF124" i="6"/>
  <c r="BE124" i="6"/>
  <c r="BD124" i="6"/>
  <c r="BC124" i="6"/>
  <c r="BB124" i="6"/>
  <c r="BA124" i="6"/>
  <c r="AZ124" i="6"/>
  <c r="AY124" i="6"/>
  <c r="AX124" i="6"/>
  <c r="AW124" i="6"/>
  <c r="AV124" i="6"/>
  <c r="AU124" i="6"/>
  <c r="H124" i="6"/>
  <c r="G124" i="6"/>
  <c r="BJ123" i="6"/>
  <c r="BI123" i="6"/>
  <c r="BH123" i="6"/>
  <c r="BG123" i="6"/>
  <c r="BF123" i="6"/>
  <c r="BE123" i="6"/>
  <c r="BD123" i="6"/>
  <c r="BC123" i="6"/>
  <c r="BB123" i="6"/>
  <c r="BA123" i="6"/>
  <c r="AZ123" i="6"/>
  <c r="AY123" i="6"/>
  <c r="AX123" i="6"/>
  <c r="AW123" i="6"/>
  <c r="AV123" i="6"/>
  <c r="AU123" i="6"/>
  <c r="H123" i="6"/>
  <c r="G123" i="6"/>
  <c r="BJ122" i="6"/>
  <c r="BI122" i="6"/>
  <c r="BH122" i="6"/>
  <c r="BG122" i="6"/>
  <c r="BF122" i="6"/>
  <c r="BE122" i="6"/>
  <c r="BD122" i="6"/>
  <c r="BC122" i="6"/>
  <c r="BB122" i="6"/>
  <c r="BA122" i="6"/>
  <c r="AZ122" i="6"/>
  <c r="AY122" i="6"/>
  <c r="AX122" i="6"/>
  <c r="AW122" i="6"/>
  <c r="AV122" i="6"/>
  <c r="AU122" i="6"/>
  <c r="H122" i="6"/>
  <c r="G122" i="6"/>
  <c r="BJ121" i="6"/>
  <c r="BI121" i="6"/>
  <c r="BH121" i="6"/>
  <c r="BG121" i="6"/>
  <c r="BF121" i="6"/>
  <c r="BE121" i="6"/>
  <c r="BD121" i="6"/>
  <c r="BC121" i="6"/>
  <c r="BB121" i="6"/>
  <c r="BA121" i="6"/>
  <c r="AZ121" i="6"/>
  <c r="AY121" i="6"/>
  <c r="AX121" i="6"/>
  <c r="AW121" i="6"/>
  <c r="AV121" i="6"/>
  <c r="AU121" i="6"/>
  <c r="H121" i="6"/>
  <c r="G121" i="6"/>
  <c r="BJ120" i="6"/>
  <c r="BI120" i="6"/>
  <c r="BH120" i="6"/>
  <c r="BG120" i="6"/>
  <c r="BF120" i="6"/>
  <c r="BE120" i="6"/>
  <c r="BD120" i="6"/>
  <c r="BC120" i="6"/>
  <c r="BB120" i="6"/>
  <c r="BA120" i="6"/>
  <c r="AZ120" i="6"/>
  <c r="AY120" i="6"/>
  <c r="AX120" i="6"/>
  <c r="AW120" i="6"/>
  <c r="AV120" i="6"/>
  <c r="AU120" i="6"/>
  <c r="H120" i="6"/>
  <c r="G120" i="6"/>
  <c r="BJ119" i="6"/>
  <c r="BI119" i="6"/>
  <c r="BH119" i="6"/>
  <c r="BG119" i="6"/>
  <c r="BF119" i="6"/>
  <c r="BE119" i="6"/>
  <c r="BD119" i="6"/>
  <c r="BC119" i="6"/>
  <c r="BB119" i="6"/>
  <c r="BA119" i="6"/>
  <c r="AZ119" i="6"/>
  <c r="AY119" i="6"/>
  <c r="AX119" i="6"/>
  <c r="AW119" i="6"/>
  <c r="AV119" i="6"/>
  <c r="AU119" i="6"/>
  <c r="H119" i="6"/>
  <c r="G119" i="6"/>
  <c r="BJ118" i="6"/>
  <c r="BI118" i="6"/>
  <c r="BH118" i="6"/>
  <c r="BG118" i="6"/>
  <c r="BF118" i="6"/>
  <c r="BE118" i="6"/>
  <c r="BD118" i="6"/>
  <c r="BC118" i="6"/>
  <c r="BB118" i="6"/>
  <c r="BA118" i="6"/>
  <c r="AZ118" i="6"/>
  <c r="AY118" i="6"/>
  <c r="AX118" i="6"/>
  <c r="AW118" i="6"/>
  <c r="AV118" i="6"/>
  <c r="AU118" i="6"/>
  <c r="H118" i="6"/>
  <c r="G118" i="6"/>
  <c r="BJ117" i="6"/>
  <c r="BI117" i="6"/>
  <c r="BH117" i="6"/>
  <c r="BG117" i="6"/>
  <c r="BF117" i="6"/>
  <c r="BE117" i="6"/>
  <c r="BD117" i="6"/>
  <c r="BC117" i="6"/>
  <c r="BB117" i="6"/>
  <c r="BA117" i="6"/>
  <c r="AZ117" i="6"/>
  <c r="AY117" i="6"/>
  <c r="AX117" i="6"/>
  <c r="AW117" i="6"/>
  <c r="AV117" i="6"/>
  <c r="AU117" i="6"/>
  <c r="H117" i="6"/>
  <c r="G117" i="6"/>
  <c r="BJ116" i="6"/>
  <c r="BI116" i="6"/>
  <c r="BH116" i="6"/>
  <c r="BG116" i="6"/>
  <c r="BF116" i="6"/>
  <c r="BE116" i="6"/>
  <c r="BD116" i="6"/>
  <c r="BC116" i="6"/>
  <c r="BB116" i="6"/>
  <c r="BA116" i="6"/>
  <c r="AZ116" i="6"/>
  <c r="AY116" i="6"/>
  <c r="AX116" i="6"/>
  <c r="AW116" i="6"/>
  <c r="AV116" i="6"/>
  <c r="AU116" i="6"/>
  <c r="H116" i="6"/>
  <c r="G116" i="6"/>
  <c r="BJ115" i="6"/>
  <c r="BI115" i="6"/>
  <c r="BH115" i="6"/>
  <c r="BG115" i="6"/>
  <c r="BF115" i="6"/>
  <c r="BE115" i="6"/>
  <c r="BD115" i="6"/>
  <c r="BC115" i="6"/>
  <c r="BB115" i="6"/>
  <c r="BA115" i="6"/>
  <c r="AZ115" i="6"/>
  <c r="AY115" i="6"/>
  <c r="AX115" i="6"/>
  <c r="AW115" i="6"/>
  <c r="AV115" i="6"/>
  <c r="AU115" i="6"/>
  <c r="H115" i="6"/>
  <c r="G115" i="6"/>
  <c r="BJ114" i="6"/>
  <c r="BI114" i="6"/>
  <c r="BH114" i="6"/>
  <c r="BG114" i="6"/>
  <c r="BF114" i="6"/>
  <c r="BE114" i="6"/>
  <c r="BD114" i="6"/>
  <c r="BC114" i="6"/>
  <c r="BB114" i="6"/>
  <c r="BA114" i="6"/>
  <c r="AZ114" i="6"/>
  <c r="AY114" i="6"/>
  <c r="AX114" i="6"/>
  <c r="AW114" i="6"/>
  <c r="AV114" i="6"/>
  <c r="AU114" i="6"/>
  <c r="H114" i="6"/>
  <c r="G114" i="6"/>
  <c r="BJ113" i="6"/>
  <c r="BI113" i="6"/>
  <c r="BH113" i="6"/>
  <c r="BG113" i="6"/>
  <c r="BF113" i="6"/>
  <c r="BE113" i="6"/>
  <c r="BD113" i="6"/>
  <c r="BC113" i="6"/>
  <c r="BB113" i="6"/>
  <c r="BA113" i="6"/>
  <c r="AZ113" i="6"/>
  <c r="AY113" i="6"/>
  <c r="AX113" i="6"/>
  <c r="AW113" i="6"/>
  <c r="AV113" i="6"/>
  <c r="AU113" i="6"/>
  <c r="H113" i="6"/>
  <c r="G113" i="6"/>
  <c r="BJ112" i="6"/>
  <c r="BI112" i="6"/>
  <c r="BH112" i="6"/>
  <c r="BG112" i="6"/>
  <c r="BF112" i="6"/>
  <c r="BE112" i="6"/>
  <c r="BD112" i="6"/>
  <c r="BC112" i="6"/>
  <c r="BB112" i="6"/>
  <c r="BA112" i="6"/>
  <c r="AZ112" i="6"/>
  <c r="AY112" i="6"/>
  <c r="AX112" i="6"/>
  <c r="AW112" i="6"/>
  <c r="AV112" i="6"/>
  <c r="AU112" i="6"/>
  <c r="H112" i="6"/>
  <c r="G112" i="6"/>
  <c r="BJ111" i="6"/>
  <c r="BI111" i="6"/>
  <c r="BH111" i="6"/>
  <c r="BG111" i="6"/>
  <c r="BF111" i="6"/>
  <c r="BE111" i="6"/>
  <c r="BD111" i="6"/>
  <c r="BC111" i="6"/>
  <c r="BB111" i="6"/>
  <c r="BA111" i="6"/>
  <c r="AZ111" i="6"/>
  <c r="AY111" i="6"/>
  <c r="AX111" i="6"/>
  <c r="AW111" i="6"/>
  <c r="AV111" i="6"/>
  <c r="AU111" i="6"/>
  <c r="H111" i="6"/>
  <c r="G111" i="6"/>
  <c r="BJ110" i="6"/>
  <c r="BI110" i="6"/>
  <c r="BH110" i="6"/>
  <c r="BG110" i="6"/>
  <c r="BF110" i="6"/>
  <c r="BE110" i="6"/>
  <c r="BD110" i="6"/>
  <c r="BC110" i="6"/>
  <c r="BB110" i="6"/>
  <c r="BA110" i="6"/>
  <c r="AZ110" i="6"/>
  <c r="AY110" i="6"/>
  <c r="AX110" i="6"/>
  <c r="AW110" i="6"/>
  <c r="AV110" i="6"/>
  <c r="AU110" i="6"/>
  <c r="H110" i="6"/>
  <c r="G110" i="6"/>
  <c r="BJ109" i="6"/>
  <c r="BI109" i="6"/>
  <c r="BH109" i="6"/>
  <c r="BG109" i="6"/>
  <c r="BF109" i="6"/>
  <c r="BE109" i="6"/>
  <c r="BD109" i="6"/>
  <c r="BC109" i="6"/>
  <c r="BB109" i="6"/>
  <c r="BA109" i="6"/>
  <c r="AZ109" i="6"/>
  <c r="AY109" i="6"/>
  <c r="AX109" i="6"/>
  <c r="AW109" i="6"/>
  <c r="AV109" i="6"/>
  <c r="AU109" i="6"/>
  <c r="H109" i="6"/>
  <c r="G109" i="6"/>
  <c r="BJ108" i="6"/>
  <c r="BI108" i="6"/>
  <c r="BH108" i="6"/>
  <c r="BG108" i="6"/>
  <c r="BF108" i="6"/>
  <c r="BE108" i="6"/>
  <c r="BD108" i="6"/>
  <c r="BC108" i="6"/>
  <c r="BB108" i="6"/>
  <c r="BA108" i="6"/>
  <c r="AZ108" i="6"/>
  <c r="AY108" i="6"/>
  <c r="AX108" i="6"/>
  <c r="AW108" i="6"/>
  <c r="AV108" i="6"/>
  <c r="AU108" i="6"/>
  <c r="H108" i="6"/>
  <c r="G108" i="6"/>
  <c r="BJ107" i="6"/>
  <c r="BI107" i="6"/>
  <c r="BH107" i="6"/>
  <c r="BG107" i="6"/>
  <c r="BF107" i="6"/>
  <c r="BE107" i="6"/>
  <c r="BD107" i="6"/>
  <c r="BC107" i="6"/>
  <c r="BB107" i="6"/>
  <c r="BA107" i="6"/>
  <c r="AZ107" i="6"/>
  <c r="AY107" i="6"/>
  <c r="AX107" i="6"/>
  <c r="AW107" i="6"/>
  <c r="AV107" i="6"/>
  <c r="AU107" i="6"/>
  <c r="H107" i="6"/>
  <c r="G107" i="6"/>
  <c r="BJ106" i="6"/>
  <c r="BI106" i="6"/>
  <c r="BH106" i="6"/>
  <c r="BG106" i="6"/>
  <c r="BF106" i="6"/>
  <c r="BE106" i="6"/>
  <c r="BD106" i="6"/>
  <c r="BC106" i="6"/>
  <c r="BB106" i="6"/>
  <c r="BA106" i="6"/>
  <c r="AZ106" i="6"/>
  <c r="AY106" i="6"/>
  <c r="AX106" i="6"/>
  <c r="AW106" i="6"/>
  <c r="AV106" i="6"/>
  <c r="AU106" i="6"/>
  <c r="H106" i="6"/>
  <c r="G106" i="6"/>
  <c r="BJ105" i="6"/>
  <c r="BI105" i="6"/>
  <c r="BH105" i="6"/>
  <c r="BG105" i="6"/>
  <c r="BF105" i="6"/>
  <c r="BE105" i="6"/>
  <c r="BD105" i="6"/>
  <c r="BC105" i="6"/>
  <c r="BB105" i="6"/>
  <c r="BA105" i="6"/>
  <c r="AZ105" i="6"/>
  <c r="AY105" i="6"/>
  <c r="AX105" i="6"/>
  <c r="AW105" i="6"/>
  <c r="AV105" i="6"/>
  <c r="AU105" i="6"/>
  <c r="H105" i="6"/>
  <c r="G105" i="6"/>
  <c r="BJ104" i="6"/>
  <c r="BI104" i="6"/>
  <c r="BH104" i="6"/>
  <c r="BG104" i="6"/>
  <c r="BF104" i="6"/>
  <c r="BE104" i="6"/>
  <c r="BD104" i="6"/>
  <c r="BC104" i="6"/>
  <c r="BB104" i="6"/>
  <c r="BA104" i="6"/>
  <c r="AZ104" i="6"/>
  <c r="AY104" i="6"/>
  <c r="AX104" i="6"/>
  <c r="AW104" i="6"/>
  <c r="AV104" i="6"/>
  <c r="AU104" i="6"/>
  <c r="H104" i="6"/>
  <c r="G104" i="6"/>
  <c r="BJ103" i="6"/>
  <c r="BI103" i="6"/>
  <c r="BH103" i="6"/>
  <c r="BG103" i="6"/>
  <c r="BF103" i="6"/>
  <c r="BE103" i="6"/>
  <c r="BD103" i="6"/>
  <c r="BC103" i="6"/>
  <c r="BB103" i="6"/>
  <c r="BA103" i="6"/>
  <c r="AZ103" i="6"/>
  <c r="AY103" i="6"/>
  <c r="AX103" i="6"/>
  <c r="AW103" i="6"/>
  <c r="AV103" i="6"/>
  <c r="AU103" i="6"/>
  <c r="H103" i="6"/>
  <c r="G103" i="6"/>
  <c r="BJ102" i="6"/>
  <c r="BI102" i="6"/>
  <c r="BH102" i="6"/>
  <c r="BG102" i="6"/>
  <c r="BF102" i="6"/>
  <c r="BE102" i="6"/>
  <c r="BD102" i="6"/>
  <c r="BC102" i="6"/>
  <c r="BB102" i="6"/>
  <c r="BA102" i="6"/>
  <c r="AZ102" i="6"/>
  <c r="AY102" i="6"/>
  <c r="AX102" i="6"/>
  <c r="AW102" i="6"/>
  <c r="AV102" i="6"/>
  <c r="AU102" i="6"/>
  <c r="H102" i="6"/>
  <c r="G102" i="6"/>
  <c r="BJ101" i="6"/>
  <c r="BI101" i="6"/>
  <c r="BH101" i="6"/>
  <c r="BG101" i="6"/>
  <c r="BF101" i="6"/>
  <c r="BE101" i="6"/>
  <c r="BD101" i="6"/>
  <c r="BC101" i="6"/>
  <c r="BB101" i="6"/>
  <c r="BA101" i="6"/>
  <c r="AZ101" i="6"/>
  <c r="AY101" i="6"/>
  <c r="AX101" i="6"/>
  <c r="AW101" i="6"/>
  <c r="AV101" i="6"/>
  <c r="AU101" i="6"/>
  <c r="H101" i="6"/>
  <c r="G101" i="6"/>
  <c r="BJ100" i="6"/>
  <c r="BI100" i="6"/>
  <c r="BH100" i="6"/>
  <c r="BG100" i="6"/>
  <c r="BF100" i="6"/>
  <c r="BE100" i="6"/>
  <c r="BD100" i="6"/>
  <c r="BC100" i="6"/>
  <c r="BB100" i="6"/>
  <c r="BA100" i="6"/>
  <c r="AZ100" i="6"/>
  <c r="AY100" i="6"/>
  <c r="AX100" i="6"/>
  <c r="AW100" i="6"/>
  <c r="AV100" i="6"/>
  <c r="AU100" i="6"/>
  <c r="H100" i="6"/>
  <c r="G100" i="6"/>
  <c r="BJ99" i="6"/>
  <c r="BI99" i="6"/>
  <c r="BH99" i="6"/>
  <c r="BG99" i="6"/>
  <c r="BF99" i="6"/>
  <c r="BE99" i="6"/>
  <c r="BD99" i="6"/>
  <c r="BC99" i="6"/>
  <c r="BB99" i="6"/>
  <c r="BA99" i="6"/>
  <c r="AZ99" i="6"/>
  <c r="AY99" i="6"/>
  <c r="AX99" i="6"/>
  <c r="AW99" i="6"/>
  <c r="AV99" i="6"/>
  <c r="AU99" i="6"/>
  <c r="H99" i="6"/>
  <c r="G99" i="6"/>
  <c r="BJ98" i="6"/>
  <c r="BI98" i="6"/>
  <c r="BH98" i="6"/>
  <c r="BG98" i="6"/>
  <c r="BF98" i="6"/>
  <c r="BE98" i="6"/>
  <c r="BD98" i="6"/>
  <c r="BC98" i="6"/>
  <c r="BB98" i="6"/>
  <c r="BA98" i="6"/>
  <c r="AZ98" i="6"/>
  <c r="AY98" i="6"/>
  <c r="AX98" i="6"/>
  <c r="AW98" i="6"/>
  <c r="AV98" i="6"/>
  <c r="AU98" i="6"/>
  <c r="H98" i="6"/>
  <c r="G98" i="6"/>
  <c r="BJ97" i="6"/>
  <c r="BI97" i="6"/>
  <c r="BH97" i="6"/>
  <c r="BG97" i="6"/>
  <c r="BF97" i="6"/>
  <c r="BE97" i="6"/>
  <c r="BD97" i="6"/>
  <c r="BC97" i="6"/>
  <c r="BB97" i="6"/>
  <c r="BA97" i="6"/>
  <c r="AZ97" i="6"/>
  <c r="AY97" i="6"/>
  <c r="AX97" i="6"/>
  <c r="AW97" i="6"/>
  <c r="AV97" i="6"/>
  <c r="AU97" i="6"/>
  <c r="H97" i="6"/>
  <c r="G97" i="6"/>
  <c r="BJ96" i="6"/>
  <c r="BI96" i="6"/>
  <c r="BH96" i="6"/>
  <c r="BG96" i="6"/>
  <c r="BF96" i="6"/>
  <c r="BE96" i="6"/>
  <c r="BD96" i="6"/>
  <c r="BC96" i="6"/>
  <c r="BB96" i="6"/>
  <c r="BA96" i="6"/>
  <c r="AZ96" i="6"/>
  <c r="AY96" i="6"/>
  <c r="AX96" i="6"/>
  <c r="AW96" i="6"/>
  <c r="AV96" i="6"/>
  <c r="AU96" i="6"/>
  <c r="H96" i="6"/>
  <c r="G96" i="6"/>
  <c r="BJ95" i="6"/>
  <c r="BI95" i="6"/>
  <c r="BH95" i="6"/>
  <c r="BG95" i="6"/>
  <c r="BF95" i="6"/>
  <c r="BE95" i="6"/>
  <c r="BD95" i="6"/>
  <c r="BC95" i="6"/>
  <c r="BB95" i="6"/>
  <c r="BA95" i="6"/>
  <c r="AZ95" i="6"/>
  <c r="AY95" i="6"/>
  <c r="AX95" i="6"/>
  <c r="AW95" i="6"/>
  <c r="AV95" i="6"/>
  <c r="AU95" i="6"/>
  <c r="H95" i="6"/>
  <c r="G95" i="6"/>
  <c r="BJ94" i="6"/>
  <c r="BI94" i="6"/>
  <c r="BH94" i="6"/>
  <c r="BG94" i="6"/>
  <c r="BF94" i="6"/>
  <c r="BE94" i="6"/>
  <c r="BD94" i="6"/>
  <c r="BC94" i="6"/>
  <c r="BB94" i="6"/>
  <c r="BA94" i="6"/>
  <c r="AZ94" i="6"/>
  <c r="AY94" i="6"/>
  <c r="AX94" i="6"/>
  <c r="AW94" i="6"/>
  <c r="AV94" i="6"/>
  <c r="AU94" i="6"/>
  <c r="H94" i="6"/>
  <c r="G94" i="6"/>
  <c r="BJ93" i="6"/>
  <c r="BI93" i="6"/>
  <c r="BH93" i="6"/>
  <c r="BG93" i="6"/>
  <c r="BF93" i="6"/>
  <c r="BE93" i="6"/>
  <c r="BD93" i="6"/>
  <c r="BC93" i="6"/>
  <c r="BB93" i="6"/>
  <c r="BA93" i="6"/>
  <c r="AZ93" i="6"/>
  <c r="AY93" i="6"/>
  <c r="AX93" i="6"/>
  <c r="AW93" i="6"/>
  <c r="AV93" i="6"/>
  <c r="AU93" i="6"/>
  <c r="H93" i="6"/>
  <c r="G93" i="6"/>
  <c r="BJ92" i="6"/>
  <c r="BI92" i="6"/>
  <c r="BH92" i="6"/>
  <c r="BG92" i="6"/>
  <c r="BF92" i="6"/>
  <c r="BE92" i="6"/>
  <c r="BD92" i="6"/>
  <c r="BC92" i="6"/>
  <c r="BB92" i="6"/>
  <c r="BA92" i="6"/>
  <c r="AZ92" i="6"/>
  <c r="AY92" i="6"/>
  <c r="AX92" i="6"/>
  <c r="AW92" i="6"/>
  <c r="AV92" i="6"/>
  <c r="AU92" i="6"/>
  <c r="H92" i="6"/>
  <c r="G92" i="6"/>
  <c r="BJ91" i="6"/>
  <c r="BI91" i="6"/>
  <c r="BH91" i="6"/>
  <c r="BG91" i="6"/>
  <c r="BF91" i="6"/>
  <c r="BE91" i="6"/>
  <c r="BD91" i="6"/>
  <c r="BC91" i="6"/>
  <c r="BB91" i="6"/>
  <c r="BA91" i="6"/>
  <c r="AZ91" i="6"/>
  <c r="AY91" i="6"/>
  <c r="AX91" i="6"/>
  <c r="AW91" i="6"/>
  <c r="AV91" i="6"/>
  <c r="AU91" i="6"/>
  <c r="H91" i="6"/>
  <c r="G91" i="6"/>
  <c r="BJ90" i="6"/>
  <c r="BI90" i="6"/>
  <c r="BH90" i="6"/>
  <c r="BG90" i="6"/>
  <c r="BF90" i="6"/>
  <c r="BE90" i="6"/>
  <c r="BD90" i="6"/>
  <c r="BC90" i="6"/>
  <c r="BB90" i="6"/>
  <c r="BA90" i="6"/>
  <c r="AZ90" i="6"/>
  <c r="AY90" i="6"/>
  <c r="AX90" i="6"/>
  <c r="AW90" i="6"/>
  <c r="AV90" i="6"/>
  <c r="AU90" i="6"/>
  <c r="H90" i="6"/>
  <c r="G90" i="6"/>
  <c r="BJ89" i="6"/>
  <c r="BI89" i="6"/>
  <c r="BH89" i="6"/>
  <c r="BG89" i="6"/>
  <c r="BF89" i="6"/>
  <c r="BE89" i="6"/>
  <c r="BD89" i="6"/>
  <c r="BC89" i="6"/>
  <c r="BB89" i="6"/>
  <c r="BA89" i="6"/>
  <c r="AZ89" i="6"/>
  <c r="AY89" i="6"/>
  <c r="AX89" i="6"/>
  <c r="AW89" i="6"/>
  <c r="AV89" i="6"/>
  <c r="AU89" i="6"/>
  <c r="H89" i="6"/>
  <c r="G89" i="6"/>
  <c r="BJ88" i="6"/>
  <c r="BI88" i="6"/>
  <c r="BH88" i="6"/>
  <c r="BG88" i="6"/>
  <c r="BF88" i="6"/>
  <c r="BE88" i="6"/>
  <c r="BD88" i="6"/>
  <c r="BC88" i="6"/>
  <c r="BB88" i="6"/>
  <c r="BA88" i="6"/>
  <c r="AZ88" i="6"/>
  <c r="AY88" i="6"/>
  <c r="AX88" i="6"/>
  <c r="AW88" i="6"/>
  <c r="AV88" i="6"/>
  <c r="AU88" i="6"/>
  <c r="H88" i="6"/>
  <c r="G88" i="6"/>
  <c r="BJ87" i="6"/>
  <c r="BI87" i="6"/>
  <c r="BH87" i="6"/>
  <c r="BG87" i="6"/>
  <c r="BF87" i="6"/>
  <c r="BE87" i="6"/>
  <c r="BD87" i="6"/>
  <c r="BC87" i="6"/>
  <c r="BB87" i="6"/>
  <c r="BA87" i="6"/>
  <c r="AZ87" i="6"/>
  <c r="AY87" i="6"/>
  <c r="AX87" i="6"/>
  <c r="AW87" i="6"/>
  <c r="AV87" i="6"/>
  <c r="AU87" i="6"/>
  <c r="H87" i="6"/>
  <c r="G87" i="6"/>
  <c r="BJ86" i="6"/>
  <c r="BI86" i="6"/>
  <c r="BH86" i="6"/>
  <c r="BG86" i="6"/>
  <c r="BF86" i="6"/>
  <c r="BE86" i="6"/>
  <c r="BD86" i="6"/>
  <c r="BC86" i="6"/>
  <c r="BB86" i="6"/>
  <c r="BA86" i="6"/>
  <c r="AZ86" i="6"/>
  <c r="AY86" i="6"/>
  <c r="AX86" i="6"/>
  <c r="AW86" i="6"/>
  <c r="AV86" i="6"/>
  <c r="AU86" i="6"/>
  <c r="H86" i="6"/>
  <c r="G86" i="6"/>
  <c r="BJ85" i="6"/>
  <c r="BI85" i="6"/>
  <c r="BH85" i="6"/>
  <c r="BG85" i="6"/>
  <c r="BF85" i="6"/>
  <c r="BE85" i="6"/>
  <c r="BD85" i="6"/>
  <c r="BC85" i="6"/>
  <c r="BB85" i="6"/>
  <c r="BA85" i="6"/>
  <c r="AZ85" i="6"/>
  <c r="AY85" i="6"/>
  <c r="AX85" i="6"/>
  <c r="AW85" i="6"/>
  <c r="AV85" i="6"/>
  <c r="AU85" i="6"/>
  <c r="H85" i="6"/>
  <c r="G85" i="6"/>
  <c r="BJ84" i="6"/>
  <c r="BI84" i="6"/>
  <c r="BH84" i="6"/>
  <c r="BG84" i="6"/>
  <c r="BF84" i="6"/>
  <c r="BE84" i="6"/>
  <c r="BD84" i="6"/>
  <c r="BC84" i="6"/>
  <c r="BB84" i="6"/>
  <c r="BA84" i="6"/>
  <c r="AZ84" i="6"/>
  <c r="AY84" i="6"/>
  <c r="AX84" i="6"/>
  <c r="AW84" i="6"/>
  <c r="AV84" i="6"/>
  <c r="AU84" i="6"/>
  <c r="H84" i="6"/>
  <c r="G84" i="6"/>
  <c r="BJ83" i="6"/>
  <c r="BI83" i="6"/>
  <c r="BH83" i="6"/>
  <c r="BG83" i="6"/>
  <c r="BF83" i="6"/>
  <c r="BE83" i="6"/>
  <c r="BD83" i="6"/>
  <c r="BC83" i="6"/>
  <c r="BB83" i="6"/>
  <c r="BA83" i="6"/>
  <c r="AZ83" i="6"/>
  <c r="AY83" i="6"/>
  <c r="AX83" i="6"/>
  <c r="AW83" i="6"/>
  <c r="AV83" i="6"/>
  <c r="AU83" i="6"/>
  <c r="H83" i="6"/>
  <c r="G83" i="6"/>
  <c r="BJ82" i="6"/>
  <c r="BI82" i="6"/>
  <c r="BH82" i="6"/>
  <c r="BG82" i="6"/>
  <c r="BF82" i="6"/>
  <c r="BE82" i="6"/>
  <c r="BD82" i="6"/>
  <c r="BC82" i="6"/>
  <c r="BB82" i="6"/>
  <c r="BA82" i="6"/>
  <c r="AZ82" i="6"/>
  <c r="AY82" i="6"/>
  <c r="AX82" i="6"/>
  <c r="AW82" i="6"/>
  <c r="AV82" i="6"/>
  <c r="AU82" i="6"/>
  <c r="H82" i="6"/>
  <c r="G82" i="6"/>
  <c r="BJ81" i="6"/>
  <c r="BI81" i="6"/>
  <c r="BH81" i="6"/>
  <c r="BG81" i="6"/>
  <c r="BF81" i="6"/>
  <c r="BE81" i="6"/>
  <c r="BD81" i="6"/>
  <c r="BC81" i="6"/>
  <c r="BB81" i="6"/>
  <c r="BA81" i="6"/>
  <c r="AZ81" i="6"/>
  <c r="AY81" i="6"/>
  <c r="AX81" i="6"/>
  <c r="AW81" i="6"/>
  <c r="AV81" i="6"/>
  <c r="AU81" i="6"/>
  <c r="H81" i="6"/>
  <c r="G81" i="6"/>
  <c r="BJ80" i="6"/>
  <c r="BI80" i="6"/>
  <c r="BH80" i="6"/>
  <c r="BG80" i="6"/>
  <c r="BF80" i="6"/>
  <c r="BE80" i="6"/>
  <c r="BD80" i="6"/>
  <c r="BC80" i="6"/>
  <c r="BB80" i="6"/>
  <c r="BA80" i="6"/>
  <c r="AZ80" i="6"/>
  <c r="AY80" i="6"/>
  <c r="AX80" i="6"/>
  <c r="AW80" i="6"/>
  <c r="AV80" i="6"/>
  <c r="AU80" i="6"/>
  <c r="H80" i="6"/>
  <c r="G80" i="6"/>
  <c r="BJ79" i="6"/>
  <c r="BI79" i="6"/>
  <c r="BH79" i="6"/>
  <c r="BG79" i="6"/>
  <c r="BF79" i="6"/>
  <c r="BE79" i="6"/>
  <c r="BD79" i="6"/>
  <c r="BC79" i="6"/>
  <c r="BB79" i="6"/>
  <c r="BA79" i="6"/>
  <c r="AZ79" i="6"/>
  <c r="AY79" i="6"/>
  <c r="AX79" i="6"/>
  <c r="AW79" i="6"/>
  <c r="AV79" i="6"/>
  <c r="AU79" i="6"/>
  <c r="H79" i="6"/>
  <c r="G79" i="6"/>
  <c r="BJ78" i="6"/>
  <c r="BI78" i="6"/>
  <c r="BH78" i="6"/>
  <c r="BG78" i="6"/>
  <c r="BF78" i="6"/>
  <c r="BE78" i="6"/>
  <c r="BD78" i="6"/>
  <c r="BC78" i="6"/>
  <c r="BB78" i="6"/>
  <c r="BA78" i="6"/>
  <c r="AZ78" i="6"/>
  <c r="AY78" i="6"/>
  <c r="AX78" i="6"/>
  <c r="AW78" i="6"/>
  <c r="AV78" i="6"/>
  <c r="AU78" i="6"/>
  <c r="H78" i="6"/>
  <c r="G78" i="6"/>
  <c r="BJ77" i="6"/>
  <c r="BI77" i="6"/>
  <c r="BH77" i="6"/>
  <c r="BG77" i="6"/>
  <c r="BF77" i="6"/>
  <c r="BE77" i="6"/>
  <c r="BD77" i="6"/>
  <c r="BC77" i="6"/>
  <c r="BB77" i="6"/>
  <c r="BA77" i="6"/>
  <c r="AZ77" i="6"/>
  <c r="AY77" i="6"/>
  <c r="AX77" i="6"/>
  <c r="AW77" i="6"/>
  <c r="AV77" i="6"/>
  <c r="AU77" i="6"/>
  <c r="H77" i="6"/>
  <c r="G77" i="6"/>
  <c r="BJ76" i="6"/>
  <c r="BI76" i="6"/>
  <c r="BH76" i="6"/>
  <c r="BG76" i="6"/>
  <c r="BF76" i="6"/>
  <c r="BE76" i="6"/>
  <c r="BD76" i="6"/>
  <c r="BC76" i="6"/>
  <c r="BB76" i="6"/>
  <c r="BA76" i="6"/>
  <c r="AZ76" i="6"/>
  <c r="AY76" i="6"/>
  <c r="AX76" i="6"/>
  <c r="AW76" i="6"/>
  <c r="AV76" i="6"/>
  <c r="AU76" i="6"/>
  <c r="H76" i="6"/>
  <c r="G76" i="6"/>
  <c r="BJ75" i="6"/>
  <c r="BI75" i="6"/>
  <c r="BH75" i="6"/>
  <c r="BG75" i="6"/>
  <c r="BF75" i="6"/>
  <c r="BE75" i="6"/>
  <c r="BD75" i="6"/>
  <c r="BC75" i="6"/>
  <c r="BB75" i="6"/>
  <c r="BA75" i="6"/>
  <c r="AZ75" i="6"/>
  <c r="AY75" i="6"/>
  <c r="AX75" i="6"/>
  <c r="AW75" i="6"/>
  <c r="AV75" i="6"/>
  <c r="AU75" i="6"/>
  <c r="H75" i="6"/>
  <c r="G75" i="6"/>
  <c r="BJ74" i="6"/>
  <c r="BI74" i="6"/>
  <c r="BH74" i="6"/>
  <c r="BG74" i="6"/>
  <c r="BF74" i="6"/>
  <c r="BE74" i="6"/>
  <c r="BD74" i="6"/>
  <c r="BC74" i="6"/>
  <c r="BB74" i="6"/>
  <c r="BA74" i="6"/>
  <c r="AZ74" i="6"/>
  <c r="AY74" i="6"/>
  <c r="AX74" i="6"/>
  <c r="AW74" i="6"/>
  <c r="AV74" i="6"/>
  <c r="AU74" i="6"/>
  <c r="H74" i="6"/>
  <c r="G74" i="6"/>
  <c r="BJ73" i="6"/>
  <c r="BI73" i="6"/>
  <c r="BH73" i="6"/>
  <c r="BG73" i="6"/>
  <c r="BF73" i="6"/>
  <c r="BE73" i="6"/>
  <c r="BD73" i="6"/>
  <c r="BC73" i="6"/>
  <c r="BB73" i="6"/>
  <c r="BA73" i="6"/>
  <c r="AZ73" i="6"/>
  <c r="AY73" i="6"/>
  <c r="AX73" i="6"/>
  <c r="AW73" i="6"/>
  <c r="AV73" i="6"/>
  <c r="AU73" i="6"/>
  <c r="H73" i="6"/>
  <c r="G73" i="6"/>
  <c r="BJ72" i="6"/>
  <c r="BI72" i="6"/>
  <c r="BH72" i="6"/>
  <c r="BG72" i="6"/>
  <c r="BF72" i="6"/>
  <c r="BE72" i="6"/>
  <c r="BD72" i="6"/>
  <c r="BC72" i="6"/>
  <c r="BB72" i="6"/>
  <c r="BA72" i="6"/>
  <c r="AZ72" i="6"/>
  <c r="AY72" i="6"/>
  <c r="AX72" i="6"/>
  <c r="AW72" i="6"/>
  <c r="AV72" i="6"/>
  <c r="AU72" i="6"/>
  <c r="H72" i="6"/>
  <c r="G72" i="6"/>
  <c r="BJ71" i="6"/>
  <c r="BI71" i="6"/>
  <c r="BH71" i="6"/>
  <c r="BG71" i="6"/>
  <c r="BF71" i="6"/>
  <c r="BE71" i="6"/>
  <c r="BD71" i="6"/>
  <c r="BC71" i="6"/>
  <c r="BB71" i="6"/>
  <c r="BA71" i="6"/>
  <c r="AZ71" i="6"/>
  <c r="AY71" i="6"/>
  <c r="AX71" i="6"/>
  <c r="AW71" i="6"/>
  <c r="AV71" i="6"/>
  <c r="AU71" i="6"/>
  <c r="H71" i="6"/>
  <c r="G71" i="6"/>
  <c r="BJ70" i="6"/>
  <c r="BI70" i="6"/>
  <c r="BH70" i="6"/>
  <c r="BG70" i="6"/>
  <c r="BF70" i="6"/>
  <c r="BE70" i="6"/>
  <c r="BD70" i="6"/>
  <c r="BC70" i="6"/>
  <c r="BB70" i="6"/>
  <c r="BA70" i="6"/>
  <c r="AZ70" i="6"/>
  <c r="AY70" i="6"/>
  <c r="AX70" i="6"/>
  <c r="AW70" i="6"/>
  <c r="AV70" i="6"/>
  <c r="AU70" i="6"/>
  <c r="H70" i="6"/>
  <c r="G70" i="6"/>
  <c r="BJ69" i="6"/>
  <c r="BI69" i="6"/>
  <c r="BH69" i="6"/>
  <c r="BG69" i="6"/>
  <c r="BF69" i="6"/>
  <c r="BE69" i="6"/>
  <c r="BD69" i="6"/>
  <c r="BC69" i="6"/>
  <c r="BB69" i="6"/>
  <c r="BA69" i="6"/>
  <c r="AZ69" i="6"/>
  <c r="AY69" i="6"/>
  <c r="AX69" i="6"/>
  <c r="AW69" i="6"/>
  <c r="AV69" i="6"/>
  <c r="AU69" i="6"/>
  <c r="H69" i="6"/>
  <c r="G69" i="6"/>
  <c r="BJ68" i="6"/>
  <c r="BI68" i="6"/>
  <c r="BH68" i="6"/>
  <c r="BG68" i="6"/>
  <c r="BF68" i="6"/>
  <c r="BE68" i="6"/>
  <c r="BD68" i="6"/>
  <c r="BC68" i="6"/>
  <c r="BB68" i="6"/>
  <c r="BA68" i="6"/>
  <c r="AZ68" i="6"/>
  <c r="AY68" i="6"/>
  <c r="AX68" i="6"/>
  <c r="AW68" i="6"/>
  <c r="AV68" i="6"/>
  <c r="AU68" i="6"/>
  <c r="H68" i="6"/>
  <c r="G68" i="6"/>
  <c r="BJ67" i="6"/>
  <c r="BI67" i="6"/>
  <c r="BH67" i="6"/>
  <c r="BG67" i="6"/>
  <c r="BF67" i="6"/>
  <c r="BE67" i="6"/>
  <c r="BD67" i="6"/>
  <c r="BC67" i="6"/>
  <c r="BB67" i="6"/>
  <c r="BA67" i="6"/>
  <c r="AZ67" i="6"/>
  <c r="AY67" i="6"/>
  <c r="AX67" i="6"/>
  <c r="AW67" i="6"/>
  <c r="AV67" i="6"/>
  <c r="AU67" i="6"/>
  <c r="H67" i="6"/>
  <c r="G67" i="6"/>
  <c r="BJ66" i="6"/>
  <c r="BI66" i="6"/>
  <c r="BH66" i="6"/>
  <c r="BG66" i="6"/>
  <c r="BF66" i="6"/>
  <c r="BE66" i="6"/>
  <c r="BD66" i="6"/>
  <c r="BC66" i="6"/>
  <c r="BB66" i="6"/>
  <c r="BA66" i="6"/>
  <c r="AZ66" i="6"/>
  <c r="AY66" i="6"/>
  <c r="AX66" i="6"/>
  <c r="AW66" i="6"/>
  <c r="AV66" i="6"/>
  <c r="AU66" i="6"/>
  <c r="H66" i="6"/>
  <c r="G66" i="6"/>
  <c r="BJ65" i="6"/>
  <c r="BI65" i="6"/>
  <c r="BH65" i="6"/>
  <c r="BG65" i="6"/>
  <c r="BF65" i="6"/>
  <c r="BE65" i="6"/>
  <c r="BD65" i="6"/>
  <c r="BC65" i="6"/>
  <c r="BB65" i="6"/>
  <c r="BA65" i="6"/>
  <c r="AZ65" i="6"/>
  <c r="AY65" i="6"/>
  <c r="AX65" i="6"/>
  <c r="AW65" i="6"/>
  <c r="AV65" i="6"/>
  <c r="AU65" i="6"/>
  <c r="H65" i="6"/>
  <c r="G65" i="6"/>
  <c r="BJ64" i="6"/>
  <c r="BI64" i="6"/>
  <c r="BH64" i="6"/>
  <c r="BG64" i="6"/>
  <c r="BF64" i="6"/>
  <c r="BE64" i="6"/>
  <c r="BD64" i="6"/>
  <c r="BC64" i="6"/>
  <c r="BB64" i="6"/>
  <c r="BA64" i="6"/>
  <c r="AZ64" i="6"/>
  <c r="AY64" i="6"/>
  <c r="AX64" i="6"/>
  <c r="AW64" i="6"/>
  <c r="AV64" i="6"/>
  <c r="AU64" i="6"/>
  <c r="H64" i="6"/>
  <c r="G64" i="6"/>
  <c r="BJ63" i="6"/>
  <c r="BI63" i="6"/>
  <c r="BH63" i="6"/>
  <c r="BG63" i="6"/>
  <c r="BF63" i="6"/>
  <c r="BE63" i="6"/>
  <c r="BD63" i="6"/>
  <c r="BC63" i="6"/>
  <c r="BB63" i="6"/>
  <c r="BA63" i="6"/>
  <c r="AZ63" i="6"/>
  <c r="AY63" i="6"/>
  <c r="AX63" i="6"/>
  <c r="AW63" i="6"/>
  <c r="AV63" i="6"/>
  <c r="AU63" i="6"/>
  <c r="H63" i="6"/>
  <c r="G63" i="6"/>
  <c r="BJ62" i="6"/>
  <c r="BI62" i="6"/>
  <c r="BH62" i="6"/>
  <c r="BG62" i="6"/>
  <c r="BF62" i="6"/>
  <c r="BE62" i="6"/>
  <c r="BD62" i="6"/>
  <c r="BC62" i="6"/>
  <c r="BB62" i="6"/>
  <c r="BA62" i="6"/>
  <c r="AZ62" i="6"/>
  <c r="AY62" i="6"/>
  <c r="AX62" i="6"/>
  <c r="AW62" i="6"/>
  <c r="AV62" i="6"/>
  <c r="AU62" i="6"/>
  <c r="H62" i="6"/>
  <c r="G62" i="6"/>
  <c r="BJ61" i="6"/>
  <c r="BI61" i="6"/>
  <c r="BH61" i="6"/>
  <c r="BG61" i="6"/>
  <c r="BF61" i="6"/>
  <c r="BE61" i="6"/>
  <c r="BD61" i="6"/>
  <c r="BC61" i="6"/>
  <c r="BB61" i="6"/>
  <c r="BA61" i="6"/>
  <c r="AZ61" i="6"/>
  <c r="AY61" i="6"/>
  <c r="AX61" i="6"/>
  <c r="AW61" i="6"/>
  <c r="AV61" i="6"/>
  <c r="AU61" i="6"/>
  <c r="H61" i="6"/>
  <c r="G61" i="6"/>
  <c r="BJ60" i="6"/>
  <c r="BI60" i="6"/>
  <c r="BH60" i="6"/>
  <c r="BG60" i="6"/>
  <c r="BF60" i="6"/>
  <c r="BE60" i="6"/>
  <c r="BD60" i="6"/>
  <c r="BC60" i="6"/>
  <c r="BB60" i="6"/>
  <c r="BA60" i="6"/>
  <c r="AZ60" i="6"/>
  <c r="AY60" i="6"/>
  <c r="AX60" i="6"/>
  <c r="AW60" i="6"/>
  <c r="AV60" i="6"/>
  <c r="AU60" i="6"/>
  <c r="H60" i="6"/>
  <c r="G60" i="6"/>
  <c r="BJ59" i="6"/>
  <c r="BI59" i="6"/>
  <c r="BH59" i="6"/>
  <c r="BG59" i="6"/>
  <c r="BF59" i="6"/>
  <c r="BE59" i="6"/>
  <c r="BD59" i="6"/>
  <c r="BC59" i="6"/>
  <c r="BB59" i="6"/>
  <c r="BA59" i="6"/>
  <c r="AZ59" i="6"/>
  <c r="AY59" i="6"/>
  <c r="AX59" i="6"/>
  <c r="AW59" i="6"/>
  <c r="AV59" i="6"/>
  <c r="AU59" i="6"/>
  <c r="H59" i="6"/>
  <c r="G59" i="6"/>
  <c r="BJ58" i="6"/>
  <c r="BI58" i="6"/>
  <c r="BH58" i="6"/>
  <c r="BG58" i="6"/>
  <c r="BF58" i="6"/>
  <c r="BE58" i="6"/>
  <c r="BD58" i="6"/>
  <c r="BC58" i="6"/>
  <c r="BB58" i="6"/>
  <c r="BA58" i="6"/>
  <c r="AZ58" i="6"/>
  <c r="AY58" i="6"/>
  <c r="AX58" i="6"/>
  <c r="AW58" i="6"/>
  <c r="AV58" i="6"/>
  <c r="AU58" i="6"/>
  <c r="H58" i="6"/>
  <c r="G58" i="6"/>
  <c r="BJ57" i="6"/>
  <c r="BI57" i="6"/>
  <c r="BH57" i="6"/>
  <c r="BG57" i="6"/>
  <c r="BF57" i="6"/>
  <c r="BE57" i="6"/>
  <c r="BD57" i="6"/>
  <c r="BC57" i="6"/>
  <c r="BB57" i="6"/>
  <c r="BA57" i="6"/>
  <c r="AZ57" i="6"/>
  <c r="AY57" i="6"/>
  <c r="AX57" i="6"/>
  <c r="AW57" i="6"/>
  <c r="AV57" i="6"/>
  <c r="AU57" i="6"/>
  <c r="H57" i="6"/>
  <c r="G57" i="6"/>
  <c r="BJ56" i="6"/>
  <c r="BI56" i="6"/>
  <c r="BH56" i="6"/>
  <c r="BG56" i="6"/>
  <c r="BF56" i="6"/>
  <c r="BE56" i="6"/>
  <c r="BD56" i="6"/>
  <c r="BC56" i="6"/>
  <c r="BB56" i="6"/>
  <c r="BA56" i="6"/>
  <c r="AZ56" i="6"/>
  <c r="AY56" i="6"/>
  <c r="AX56" i="6"/>
  <c r="AW56" i="6"/>
  <c r="AV56" i="6"/>
  <c r="AU56" i="6"/>
  <c r="H56" i="6"/>
  <c r="G56" i="6"/>
  <c r="BJ55" i="6"/>
  <c r="BI55" i="6"/>
  <c r="BH55" i="6"/>
  <c r="BG55" i="6"/>
  <c r="BF55" i="6"/>
  <c r="BE55" i="6"/>
  <c r="BD55" i="6"/>
  <c r="BC55" i="6"/>
  <c r="BB55" i="6"/>
  <c r="BA55" i="6"/>
  <c r="AZ55" i="6"/>
  <c r="AY55" i="6"/>
  <c r="AX55" i="6"/>
  <c r="AW55" i="6"/>
  <c r="AV55" i="6"/>
  <c r="AU55" i="6"/>
  <c r="H55" i="6"/>
  <c r="G55" i="6"/>
  <c r="BJ54" i="6"/>
  <c r="BI54" i="6"/>
  <c r="BH54" i="6"/>
  <c r="BG54" i="6"/>
  <c r="BF54" i="6"/>
  <c r="BE54" i="6"/>
  <c r="BD54" i="6"/>
  <c r="BC54" i="6"/>
  <c r="BB54" i="6"/>
  <c r="BA54" i="6"/>
  <c r="AZ54" i="6"/>
  <c r="AY54" i="6"/>
  <c r="AX54" i="6"/>
  <c r="AW54" i="6"/>
  <c r="AV54" i="6"/>
  <c r="AU54" i="6"/>
  <c r="H54" i="6"/>
  <c r="G54" i="6"/>
  <c r="BJ53" i="6"/>
  <c r="BI53" i="6"/>
  <c r="BF53" i="6"/>
  <c r="BG53" i="6" s="1"/>
  <c r="BE53" i="6"/>
  <c r="BD53" i="6"/>
  <c r="BC53" i="6"/>
  <c r="BB53" i="6"/>
  <c r="BA53" i="6"/>
  <c r="AZ53" i="6"/>
  <c r="AY53" i="6"/>
  <c r="AX53" i="6"/>
  <c r="AW53" i="6"/>
  <c r="AV53" i="6"/>
  <c r="BJ52" i="6"/>
  <c r="BI52" i="6"/>
  <c r="BF52" i="6"/>
  <c r="BG52" i="6" s="1"/>
  <c r="BE52" i="6"/>
  <c r="BD52" i="6"/>
  <c r="BC52" i="6"/>
  <c r="BB52" i="6"/>
  <c r="BA52" i="6"/>
  <c r="AZ52" i="6"/>
  <c r="AY52" i="6"/>
  <c r="AX52" i="6"/>
  <c r="AW52" i="6"/>
  <c r="AV52" i="6"/>
  <c r="BJ51" i="6"/>
  <c r="BI51" i="6"/>
  <c r="BF51" i="6"/>
  <c r="BG51" i="6" s="1"/>
  <c r="BE51" i="6"/>
  <c r="BD51" i="6"/>
  <c r="BC51" i="6"/>
  <c r="BB51" i="6"/>
  <c r="BA51" i="6"/>
  <c r="AZ51" i="6"/>
  <c r="AY51" i="6"/>
  <c r="AX51" i="6"/>
  <c r="AW51" i="6"/>
  <c r="AV51" i="6"/>
  <c r="BJ50" i="6"/>
  <c r="BI50" i="6"/>
  <c r="BF50" i="6"/>
  <c r="BG50" i="6" s="1"/>
  <c r="BE50" i="6"/>
  <c r="BD50" i="6"/>
  <c r="BC50" i="6"/>
  <c r="BB50" i="6"/>
  <c r="BA50" i="6"/>
  <c r="AZ50" i="6"/>
  <c r="AY50" i="6"/>
  <c r="AX50" i="6"/>
  <c r="AW50" i="6"/>
  <c r="AV50" i="6"/>
  <c r="BJ49" i="6"/>
  <c r="BI49" i="6"/>
  <c r="BF49" i="6"/>
  <c r="BG49" i="6" s="1"/>
  <c r="BE49" i="6"/>
  <c r="BD49" i="6"/>
  <c r="BC49" i="6"/>
  <c r="BB49" i="6"/>
  <c r="BA49" i="6"/>
  <c r="AZ49" i="6"/>
  <c r="AY49" i="6"/>
  <c r="AX49" i="6"/>
  <c r="AW49" i="6"/>
  <c r="AV49" i="6"/>
  <c r="BJ48" i="6"/>
  <c r="BI48" i="6"/>
  <c r="BF48" i="6"/>
  <c r="BG48" i="6" s="1"/>
  <c r="BE48" i="6"/>
  <c r="BD48" i="6"/>
  <c r="BC48" i="6"/>
  <c r="BB48" i="6"/>
  <c r="BA48" i="6"/>
  <c r="AZ48" i="6"/>
  <c r="AY48" i="6"/>
  <c r="AX48" i="6"/>
  <c r="AW48" i="6"/>
  <c r="AV48" i="6"/>
  <c r="BJ47" i="6"/>
  <c r="BI47" i="6"/>
  <c r="BF47" i="6"/>
  <c r="BG47" i="6" s="1"/>
  <c r="BE47" i="6"/>
  <c r="BD47" i="6"/>
  <c r="BC47" i="6"/>
  <c r="BB47" i="6"/>
  <c r="BA47" i="6"/>
  <c r="AZ47" i="6"/>
  <c r="AY47" i="6"/>
  <c r="AX47" i="6"/>
  <c r="AW47" i="6"/>
  <c r="AV47" i="6"/>
  <c r="BJ46" i="6"/>
  <c r="BI46" i="6"/>
  <c r="BF46" i="6"/>
  <c r="BG46" i="6" s="1"/>
  <c r="BE46" i="6"/>
  <c r="BD46" i="6"/>
  <c r="BC46" i="6"/>
  <c r="BB46" i="6"/>
  <c r="BA46" i="6"/>
  <c r="AZ46" i="6"/>
  <c r="AY46" i="6"/>
  <c r="AX46" i="6"/>
  <c r="AW46" i="6"/>
  <c r="AV46" i="6"/>
  <c r="BJ45" i="6"/>
  <c r="BI45" i="6"/>
  <c r="BF45" i="6"/>
  <c r="BG45" i="6" s="1"/>
  <c r="BE45" i="6"/>
  <c r="BD45" i="6"/>
  <c r="BC45" i="6"/>
  <c r="BB45" i="6"/>
  <c r="BA45" i="6"/>
  <c r="AZ45" i="6"/>
  <c r="AY45" i="6"/>
  <c r="AX45" i="6"/>
  <c r="AW45" i="6"/>
  <c r="AV45" i="6"/>
  <c r="BJ44" i="6"/>
  <c r="BI44" i="6"/>
  <c r="BF44" i="6"/>
  <c r="BG44" i="6" s="1"/>
  <c r="BE44" i="6"/>
  <c r="BD44" i="6"/>
  <c r="BC44" i="6"/>
  <c r="BB44" i="6"/>
  <c r="BA44" i="6"/>
  <c r="AZ44" i="6"/>
  <c r="AY44" i="6"/>
  <c r="AX44" i="6"/>
  <c r="AW44" i="6"/>
  <c r="AV44" i="6"/>
  <c r="BJ43" i="6"/>
  <c r="BI43" i="6"/>
  <c r="BF43" i="6"/>
  <c r="BG43" i="6" s="1"/>
  <c r="BE43" i="6"/>
  <c r="BD43" i="6"/>
  <c r="BC43" i="6"/>
  <c r="BB43" i="6"/>
  <c r="BA43" i="6"/>
  <c r="AZ43" i="6"/>
  <c r="AY43" i="6"/>
  <c r="AX43" i="6"/>
  <c r="AW43" i="6"/>
  <c r="AV43" i="6"/>
  <c r="BJ42" i="6"/>
  <c r="BI42" i="6"/>
  <c r="BF42" i="6"/>
  <c r="BG42" i="6" s="1"/>
  <c r="BE42" i="6"/>
  <c r="BD42" i="6"/>
  <c r="BC42" i="6"/>
  <c r="BB42" i="6"/>
  <c r="BA42" i="6"/>
  <c r="AZ42" i="6"/>
  <c r="AY42" i="6"/>
  <c r="AX42" i="6"/>
  <c r="AW42" i="6"/>
  <c r="AV42" i="6"/>
  <c r="BJ41" i="6"/>
  <c r="BI41" i="6"/>
  <c r="BF41" i="6"/>
  <c r="BG41" i="6" s="1"/>
  <c r="BE41" i="6"/>
  <c r="BD41" i="6"/>
  <c r="BC41" i="6"/>
  <c r="BB41" i="6"/>
  <c r="BA41" i="6"/>
  <c r="AZ41" i="6"/>
  <c r="AY41" i="6"/>
  <c r="AX41" i="6"/>
  <c r="AW41" i="6"/>
  <c r="AV41" i="6"/>
  <c r="BJ40" i="6"/>
  <c r="BI40" i="6"/>
  <c r="BF40" i="6"/>
  <c r="BG40" i="6" s="1"/>
  <c r="BE40" i="6"/>
  <c r="BD40" i="6"/>
  <c r="BC40" i="6"/>
  <c r="BB40" i="6"/>
  <c r="BA40" i="6"/>
  <c r="AZ40" i="6"/>
  <c r="AY40" i="6"/>
  <c r="AX40" i="6"/>
  <c r="AW40" i="6"/>
  <c r="AV40" i="6"/>
  <c r="BJ39" i="6"/>
  <c r="BI39" i="6"/>
  <c r="BF39" i="6"/>
  <c r="BG39" i="6" s="1"/>
  <c r="BE39" i="6"/>
  <c r="BD39" i="6"/>
  <c r="BC39" i="6"/>
  <c r="BB39" i="6"/>
  <c r="BA39" i="6"/>
  <c r="AZ39" i="6"/>
  <c r="AY39" i="6"/>
  <c r="AX39" i="6"/>
  <c r="AW39" i="6"/>
  <c r="AV39" i="6"/>
  <c r="BJ38" i="6"/>
  <c r="BI38" i="6"/>
  <c r="BF38" i="6"/>
  <c r="BG38" i="6" s="1"/>
  <c r="BE38" i="6"/>
  <c r="BD38" i="6"/>
  <c r="BC38" i="6"/>
  <c r="BB38" i="6"/>
  <c r="BA38" i="6"/>
  <c r="AZ38" i="6"/>
  <c r="AY38" i="6"/>
  <c r="AX38" i="6"/>
  <c r="AW38" i="6"/>
  <c r="AV38" i="6"/>
  <c r="BJ37" i="6"/>
  <c r="BI37" i="6"/>
  <c r="BF37" i="6"/>
  <c r="BG37" i="6" s="1"/>
  <c r="BE37" i="6"/>
  <c r="BD37" i="6"/>
  <c r="BC37" i="6"/>
  <c r="BB37" i="6"/>
  <c r="BA37" i="6"/>
  <c r="AZ37" i="6"/>
  <c r="AY37" i="6"/>
  <c r="AX37" i="6"/>
  <c r="AW37" i="6"/>
  <c r="AV37" i="6"/>
  <c r="H37" i="6"/>
  <c r="G37" i="6"/>
  <c r="BJ36" i="6"/>
  <c r="BI36" i="6"/>
  <c r="BF36" i="6"/>
  <c r="BG36" i="6" s="1"/>
  <c r="BE36" i="6"/>
  <c r="BD36" i="6"/>
  <c r="BC36" i="6"/>
  <c r="BB36" i="6"/>
  <c r="BA36" i="6"/>
  <c r="AZ36" i="6"/>
  <c r="AY36" i="6"/>
  <c r="AX36" i="6"/>
  <c r="AW36" i="6"/>
  <c r="AV36" i="6"/>
  <c r="H36" i="6"/>
  <c r="G36" i="6"/>
  <c r="BJ35" i="6"/>
  <c r="BI35" i="6"/>
  <c r="BF35" i="6"/>
  <c r="BG35" i="6" s="1"/>
  <c r="BE35" i="6"/>
  <c r="BD35" i="6"/>
  <c r="BC35" i="6"/>
  <c r="BB35" i="6"/>
  <c r="BA35" i="6"/>
  <c r="AZ35" i="6"/>
  <c r="AY35" i="6"/>
  <c r="AX35" i="6"/>
  <c r="AW35" i="6"/>
  <c r="AV35" i="6"/>
  <c r="H35" i="6"/>
  <c r="G35" i="6"/>
  <c r="BJ34" i="6"/>
  <c r="BI34" i="6"/>
  <c r="BF34" i="6"/>
  <c r="BG34" i="6" s="1"/>
  <c r="BE34" i="6"/>
  <c r="BD34" i="6"/>
  <c r="BC34" i="6"/>
  <c r="BB34" i="6"/>
  <c r="BA34" i="6"/>
  <c r="AZ34" i="6"/>
  <c r="AY34" i="6"/>
  <c r="AX34" i="6"/>
  <c r="AW34" i="6"/>
  <c r="AV34" i="6"/>
  <c r="H34" i="6"/>
  <c r="G34" i="6"/>
  <c r="BJ33" i="6"/>
  <c r="BI33" i="6"/>
  <c r="BF33" i="6"/>
  <c r="BG33" i="6" s="1"/>
  <c r="BE33" i="6"/>
  <c r="BD33" i="6"/>
  <c r="BC33" i="6"/>
  <c r="BB33" i="6"/>
  <c r="BA33" i="6"/>
  <c r="AZ33" i="6"/>
  <c r="AY33" i="6"/>
  <c r="AX33" i="6"/>
  <c r="AW33" i="6"/>
  <c r="AV33" i="6"/>
  <c r="H33" i="6"/>
  <c r="G33" i="6"/>
  <c r="BJ32" i="6"/>
  <c r="BI32" i="6"/>
  <c r="BF32" i="6"/>
  <c r="BG32" i="6" s="1"/>
  <c r="BE32" i="6"/>
  <c r="BD32" i="6"/>
  <c r="BC32" i="6"/>
  <c r="BB32" i="6"/>
  <c r="BA32" i="6"/>
  <c r="AZ32" i="6"/>
  <c r="AY32" i="6"/>
  <c r="AX32" i="6"/>
  <c r="AW32" i="6"/>
  <c r="AV32" i="6"/>
  <c r="H32" i="6"/>
  <c r="G32" i="6"/>
  <c r="BJ31" i="6"/>
  <c r="BI31" i="6"/>
  <c r="BF31" i="6"/>
  <c r="BG31" i="6" s="1"/>
  <c r="BE31" i="6"/>
  <c r="BD31" i="6"/>
  <c r="BC31" i="6"/>
  <c r="BB31" i="6"/>
  <c r="BA31" i="6"/>
  <c r="AZ31" i="6"/>
  <c r="AY31" i="6"/>
  <c r="AX31" i="6"/>
  <c r="AW31" i="6"/>
  <c r="AV31" i="6"/>
  <c r="H31" i="6"/>
  <c r="G31" i="6"/>
  <c r="BJ30" i="6"/>
  <c r="BI30" i="6"/>
  <c r="BF30" i="6"/>
  <c r="BG30" i="6" s="1"/>
  <c r="BE30" i="6"/>
  <c r="BD30" i="6"/>
  <c r="BC30" i="6"/>
  <c r="BB30" i="6"/>
  <c r="BA30" i="6"/>
  <c r="AZ30" i="6"/>
  <c r="AY30" i="6"/>
  <c r="AX30" i="6"/>
  <c r="AW30" i="6"/>
  <c r="AV30" i="6"/>
  <c r="H30" i="6"/>
  <c r="G30" i="6"/>
  <c r="BJ29" i="6"/>
  <c r="BI29" i="6"/>
  <c r="BF29" i="6"/>
  <c r="BG29" i="6" s="1"/>
  <c r="BE29" i="6"/>
  <c r="BD29" i="6"/>
  <c r="BC29" i="6"/>
  <c r="BB29" i="6"/>
  <c r="BA29" i="6"/>
  <c r="AZ29" i="6"/>
  <c r="AY29" i="6"/>
  <c r="AX29" i="6"/>
  <c r="AW29" i="6"/>
  <c r="AV29" i="6"/>
  <c r="H29" i="6"/>
  <c r="G29" i="6"/>
  <c r="BJ28" i="6"/>
  <c r="BI28" i="6"/>
  <c r="BF28" i="6"/>
  <c r="BG28" i="6" s="1"/>
  <c r="BE28" i="6"/>
  <c r="BD28" i="6"/>
  <c r="BC28" i="6"/>
  <c r="BB28" i="6"/>
  <c r="BA28" i="6"/>
  <c r="AZ28" i="6"/>
  <c r="AY28" i="6"/>
  <c r="AX28" i="6"/>
  <c r="AW28" i="6"/>
  <c r="AV28" i="6"/>
  <c r="H28" i="6"/>
  <c r="G28" i="6"/>
  <c r="BJ27" i="6"/>
  <c r="BI27" i="6"/>
  <c r="BF27" i="6"/>
  <c r="BG27" i="6" s="1"/>
  <c r="BE27" i="6"/>
  <c r="BD27" i="6"/>
  <c r="BC27" i="6"/>
  <c r="BB27" i="6"/>
  <c r="BA27" i="6"/>
  <c r="AZ27" i="6"/>
  <c r="AY27" i="6"/>
  <c r="AX27" i="6"/>
  <c r="AW27" i="6"/>
  <c r="AV27" i="6"/>
  <c r="H27" i="6"/>
  <c r="G27" i="6"/>
  <c r="BJ26" i="6"/>
  <c r="BI26" i="6"/>
  <c r="BF26" i="6"/>
  <c r="BG26" i="6" s="1"/>
  <c r="BE26" i="6"/>
  <c r="BD26" i="6"/>
  <c r="BC26" i="6"/>
  <c r="BB26" i="6"/>
  <c r="BA26" i="6"/>
  <c r="AZ26" i="6"/>
  <c r="AY26" i="6"/>
  <c r="AX26" i="6"/>
  <c r="AW26" i="6"/>
  <c r="AV26" i="6"/>
  <c r="H26" i="6"/>
  <c r="G26" i="6"/>
  <c r="BJ25" i="6"/>
  <c r="BI25" i="6"/>
  <c r="BF25" i="6"/>
  <c r="BG25" i="6" s="1"/>
  <c r="BE25" i="6"/>
  <c r="BD25" i="6"/>
  <c r="BC25" i="6"/>
  <c r="BB25" i="6"/>
  <c r="BA25" i="6"/>
  <c r="AZ25" i="6"/>
  <c r="AY25" i="6"/>
  <c r="AX25" i="6"/>
  <c r="AW25" i="6"/>
  <c r="AV25" i="6"/>
  <c r="H25" i="6"/>
  <c r="G25" i="6"/>
  <c r="BJ24" i="6"/>
  <c r="BI24" i="6"/>
  <c r="BF24" i="6"/>
  <c r="BG24" i="6" s="1"/>
  <c r="BE24" i="6"/>
  <c r="BD24" i="6"/>
  <c r="BC24" i="6"/>
  <c r="BB24" i="6"/>
  <c r="BA24" i="6"/>
  <c r="AZ24" i="6"/>
  <c r="AY24" i="6"/>
  <c r="AX24" i="6"/>
  <c r="AW24" i="6"/>
  <c r="AV24" i="6"/>
  <c r="H24" i="6"/>
  <c r="G24" i="6"/>
  <c r="BJ23" i="6"/>
  <c r="BI23" i="6"/>
  <c r="BF23" i="6"/>
  <c r="BG23" i="6" s="1"/>
  <c r="BE23" i="6"/>
  <c r="BD23" i="6"/>
  <c r="BC23" i="6"/>
  <c r="BB23" i="6"/>
  <c r="BA23" i="6"/>
  <c r="AZ23" i="6"/>
  <c r="AY23" i="6"/>
  <c r="AX23" i="6"/>
  <c r="AW23" i="6"/>
  <c r="AV23" i="6"/>
  <c r="H23" i="6"/>
  <c r="G23" i="6"/>
  <c r="BJ22" i="6"/>
  <c r="BI22" i="6"/>
  <c r="BF22" i="6"/>
  <c r="BG22" i="6" s="1"/>
  <c r="BE22" i="6"/>
  <c r="BD22" i="6"/>
  <c r="BC22" i="6"/>
  <c r="BB22" i="6"/>
  <c r="BA22" i="6"/>
  <c r="AZ22" i="6"/>
  <c r="AY22" i="6"/>
  <c r="AX22" i="6"/>
  <c r="AW22" i="6"/>
  <c r="AV22" i="6"/>
  <c r="H22" i="6"/>
  <c r="G22" i="6"/>
  <c r="BJ21" i="6"/>
  <c r="BI21" i="6"/>
  <c r="BF21" i="6"/>
  <c r="BG21" i="6" s="1"/>
  <c r="BE21" i="6"/>
  <c r="BD21" i="6"/>
  <c r="BC21" i="6"/>
  <c r="BB21" i="6"/>
  <c r="BA21" i="6"/>
  <c r="AZ21" i="6"/>
  <c r="AY21" i="6"/>
  <c r="AX21" i="6"/>
  <c r="AW21" i="6"/>
  <c r="AV21" i="6"/>
  <c r="H21" i="6"/>
  <c r="G21" i="6"/>
  <c r="BJ20" i="6"/>
  <c r="BI20" i="6"/>
  <c r="BF20" i="6"/>
  <c r="BG20" i="6" s="1"/>
  <c r="BE20" i="6"/>
  <c r="BD20" i="6"/>
  <c r="BC20" i="6"/>
  <c r="BB20" i="6"/>
  <c r="BA20" i="6"/>
  <c r="AZ20" i="6"/>
  <c r="AY20" i="6"/>
  <c r="AX20" i="6"/>
  <c r="AW20" i="6"/>
  <c r="AV20" i="6"/>
  <c r="H20" i="6"/>
  <c r="G20" i="6"/>
  <c r="BJ19" i="6"/>
  <c r="BI19" i="6"/>
  <c r="BF19" i="6"/>
  <c r="BG19" i="6" s="1"/>
  <c r="BE19" i="6"/>
  <c r="BD19" i="6"/>
  <c r="BC19" i="6"/>
  <c r="BB19" i="6"/>
  <c r="BA19" i="6"/>
  <c r="AZ19" i="6"/>
  <c r="AY19" i="6"/>
  <c r="AX19" i="6"/>
  <c r="AW19" i="6"/>
  <c r="AV19" i="6"/>
  <c r="H19" i="6"/>
  <c r="G19" i="6"/>
  <c r="BJ18" i="6"/>
  <c r="BI18" i="6"/>
  <c r="BF18" i="6"/>
  <c r="BG18" i="6" s="1"/>
  <c r="BE18" i="6"/>
  <c r="BD18" i="6"/>
  <c r="BC18" i="6"/>
  <c r="BB18" i="6"/>
  <c r="BA18" i="6"/>
  <c r="AZ18" i="6"/>
  <c r="AY18" i="6"/>
  <c r="AX18" i="6"/>
  <c r="AW18" i="6"/>
  <c r="AV18" i="6"/>
  <c r="H18" i="6"/>
  <c r="G18" i="6"/>
  <c r="BJ17" i="6"/>
  <c r="BI17" i="6"/>
  <c r="BF17" i="6"/>
  <c r="BG17" i="6" s="1"/>
  <c r="BE17" i="6"/>
  <c r="BD17" i="6"/>
  <c r="BC17" i="6"/>
  <c r="BB17" i="6"/>
  <c r="BA17" i="6"/>
  <c r="AZ17" i="6"/>
  <c r="AY17" i="6"/>
  <c r="AX17" i="6"/>
  <c r="AW17" i="6"/>
  <c r="AV17" i="6"/>
  <c r="H17" i="6"/>
  <c r="G17" i="6"/>
  <c r="BJ16" i="6"/>
  <c r="BI16" i="6"/>
  <c r="BF16" i="6"/>
  <c r="BG16" i="6" s="1"/>
  <c r="BE16" i="6"/>
  <c r="BD16" i="6"/>
  <c r="BC16" i="6"/>
  <c r="BB16" i="6"/>
  <c r="BA16" i="6"/>
  <c r="AZ16" i="6"/>
  <c r="AY16" i="6"/>
  <c r="AX16" i="6"/>
  <c r="AW16" i="6"/>
  <c r="AV16" i="6"/>
  <c r="H16" i="6"/>
  <c r="G16" i="6"/>
  <c r="BJ15" i="6"/>
  <c r="BI15" i="6"/>
  <c r="BF15" i="6"/>
  <c r="BG15" i="6" s="1"/>
  <c r="BE15" i="6"/>
  <c r="BD15" i="6"/>
  <c r="BC15" i="6"/>
  <c r="BB15" i="6"/>
  <c r="BA15" i="6"/>
  <c r="AZ15" i="6"/>
  <c r="AY15" i="6"/>
  <c r="AX15" i="6"/>
  <c r="AW15" i="6"/>
  <c r="AV15" i="6"/>
  <c r="H15" i="6"/>
  <c r="G15" i="6"/>
  <c r="BJ14" i="6"/>
  <c r="BI14" i="6"/>
  <c r="BF14" i="6"/>
  <c r="BG14" i="6" s="1"/>
  <c r="BE14" i="6"/>
  <c r="BD14" i="6"/>
  <c r="BC14" i="6"/>
  <c r="BB14" i="6"/>
  <c r="BA14" i="6"/>
  <c r="AZ14" i="6"/>
  <c r="AY14" i="6"/>
  <c r="AX14" i="6"/>
  <c r="AW14" i="6"/>
  <c r="AV14" i="6"/>
  <c r="H14" i="6"/>
  <c r="G14" i="6"/>
  <c r="BJ13" i="6"/>
  <c r="BI13" i="6"/>
  <c r="BF13" i="6"/>
  <c r="BG13" i="6" s="1"/>
  <c r="BE13" i="6"/>
  <c r="BD13" i="6"/>
  <c r="BC13" i="6"/>
  <c r="BB13" i="6"/>
  <c r="BA13" i="6"/>
  <c r="AZ13" i="6"/>
  <c r="AY13" i="6"/>
  <c r="AX13" i="6"/>
  <c r="AW13" i="6"/>
  <c r="AV13" i="6"/>
  <c r="H13" i="6"/>
  <c r="G13" i="6"/>
  <c r="BJ12" i="6"/>
  <c r="BI12" i="6"/>
  <c r="BF12" i="6"/>
  <c r="BG12" i="6" s="1"/>
  <c r="BE12" i="6"/>
  <c r="BD12" i="6"/>
  <c r="BC12" i="6"/>
  <c r="BB12" i="6"/>
  <c r="BA12" i="6"/>
  <c r="AZ12" i="6"/>
  <c r="AY12" i="6"/>
  <c r="AX12" i="6"/>
  <c r="AW12" i="6"/>
  <c r="AV12" i="6"/>
  <c r="H12" i="6"/>
  <c r="G12" i="6"/>
  <c r="BJ11" i="6"/>
  <c r="BI11" i="6"/>
  <c r="BF11" i="6"/>
  <c r="BG11" i="6" s="1"/>
  <c r="BE11" i="6"/>
  <c r="BD11" i="6"/>
  <c r="BC11" i="6"/>
  <c r="BB11" i="6"/>
  <c r="BA11" i="6"/>
  <c r="AZ11" i="6"/>
  <c r="AY11" i="6"/>
  <c r="AX11" i="6"/>
  <c r="AW11" i="6"/>
  <c r="AV11" i="6"/>
  <c r="H11" i="6"/>
  <c r="G11" i="6"/>
  <c r="BJ10" i="6"/>
  <c r="BI10" i="6"/>
  <c r="BF10" i="6"/>
  <c r="BG10" i="6" s="1"/>
  <c r="BE10" i="6"/>
  <c r="BD10" i="6"/>
  <c r="BC10" i="6"/>
  <c r="BB10" i="6"/>
  <c r="BA10" i="6"/>
  <c r="AZ10" i="6"/>
  <c r="AY10" i="6"/>
  <c r="AX10" i="6"/>
  <c r="AW10" i="6"/>
  <c r="AV10" i="6"/>
  <c r="H10" i="6"/>
  <c r="G10" i="6"/>
  <c r="BJ9" i="6"/>
  <c r="BI9" i="6"/>
  <c r="BF9" i="6"/>
  <c r="BG9" i="6" s="1"/>
  <c r="BE9" i="6"/>
  <c r="BD9" i="6"/>
  <c r="BC9" i="6"/>
  <c r="BB9" i="6"/>
  <c r="BA9" i="6"/>
  <c r="AZ9" i="6"/>
  <c r="AY9" i="6"/>
  <c r="AX9" i="6"/>
  <c r="AW9" i="6"/>
  <c r="AV9" i="6"/>
  <c r="H9" i="6"/>
  <c r="G9" i="6"/>
  <c r="BJ8" i="6"/>
  <c r="BI8" i="6"/>
  <c r="BF8" i="6"/>
  <c r="BG8" i="6" s="1"/>
  <c r="BE8" i="6"/>
  <c r="BD8" i="6"/>
  <c r="BC8" i="6"/>
  <c r="BB8" i="6"/>
  <c r="BA8" i="6"/>
  <c r="AZ8" i="6"/>
  <c r="AY8" i="6"/>
  <c r="AX8" i="6"/>
  <c r="AW8" i="6"/>
  <c r="AV8" i="6"/>
  <c r="H8" i="6"/>
  <c r="G8" i="6"/>
  <c r="BJ6" i="6"/>
  <c r="BI6" i="6"/>
  <c r="BF6" i="6"/>
  <c r="BG6" i="6" s="1"/>
  <c r="BE6" i="6"/>
  <c r="BD6" i="6"/>
  <c r="BC6" i="6"/>
  <c r="BB6" i="6"/>
  <c r="BA6" i="6"/>
  <c r="AZ6" i="6"/>
  <c r="AY6" i="6"/>
  <c r="AX6" i="6"/>
  <c r="AW6" i="6"/>
  <c r="AV6" i="6"/>
  <c r="H6" i="6"/>
  <c r="G6" i="6"/>
  <c r="BJ5" i="6"/>
  <c r="BI5" i="6"/>
  <c r="BF5" i="6"/>
  <c r="BG5" i="6" s="1"/>
  <c r="BE5" i="6"/>
  <c r="BD5" i="6"/>
  <c r="BC5" i="6"/>
  <c r="BB5" i="6"/>
  <c r="BA5" i="6"/>
  <c r="AZ5" i="6"/>
  <c r="AY5" i="6"/>
  <c r="AX5" i="6"/>
  <c r="AW5" i="6"/>
  <c r="AV5" i="6"/>
  <c r="H5" i="6"/>
  <c r="G5" i="6"/>
  <c r="BJ4" i="6"/>
  <c r="BI4" i="6"/>
  <c r="BF4" i="6"/>
  <c r="BG4" i="6" s="1"/>
  <c r="BE4" i="6"/>
  <c r="BD4" i="6"/>
  <c r="BC4" i="6"/>
  <c r="BB4" i="6"/>
  <c r="BA4" i="6"/>
  <c r="AZ4" i="6"/>
  <c r="AY4" i="6"/>
  <c r="AX4" i="6"/>
  <c r="AW4" i="6"/>
  <c r="AV4" i="6"/>
  <c r="H4" i="6"/>
  <c r="G4" i="6"/>
  <c r="BJ3" i="6"/>
  <c r="BI3" i="6"/>
  <c r="BF3" i="6"/>
  <c r="BG3" i="6" s="1"/>
  <c r="BE3" i="6"/>
  <c r="BD3" i="6"/>
  <c r="BC3" i="6"/>
  <c r="BB3" i="6"/>
  <c r="BA3" i="6"/>
  <c r="AZ3" i="6"/>
  <c r="AY3" i="6"/>
  <c r="AX3" i="6"/>
  <c r="AW3" i="6"/>
  <c r="AV3" i="6"/>
  <c r="H3" i="6"/>
  <c r="G3" i="6"/>
  <c r="BH1" i="6"/>
  <c r="BH7" i="6" s="1"/>
  <c r="BJ881" i="5"/>
  <c r="BI881" i="5"/>
  <c r="BH881" i="5"/>
  <c r="BG881" i="5"/>
  <c r="BF881" i="5"/>
  <c r="BE881" i="5"/>
  <c r="BD881" i="5"/>
  <c r="BC881" i="5"/>
  <c r="BB881" i="5"/>
  <c r="BA881" i="5"/>
  <c r="AZ881" i="5"/>
  <c r="AY881" i="5"/>
  <c r="AX881" i="5"/>
  <c r="AW881" i="5"/>
  <c r="AV881" i="5"/>
  <c r="AU881" i="5"/>
  <c r="H881" i="5"/>
  <c r="G881" i="5"/>
  <c r="BJ880" i="5"/>
  <c r="BI880" i="5"/>
  <c r="BH880" i="5"/>
  <c r="BG880" i="5"/>
  <c r="BF880" i="5"/>
  <c r="BE880" i="5"/>
  <c r="BD880" i="5"/>
  <c r="BC880" i="5"/>
  <c r="BB880" i="5"/>
  <c r="BA880" i="5"/>
  <c r="AZ880" i="5"/>
  <c r="AY880" i="5"/>
  <c r="AX880" i="5"/>
  <c r="AW880" i="5"/>
  <c r="AV880" i="5"/>
  <c r="AU880" i="5"/>
  <c r="H880" i="5"/>
  <c r="G880" i="5"/>
  <c r="BJ879" i="5"/>
  <c r="BI879" i="5"/>
  <c r="BH879" i="5"/>
  <c r="BG879" i="5"/>
  <c r="BF879" i="5"/>
  <c r="BE879" i="5"/>
  <c r="BD879" i="5"/>
  <c r="BC879" i="5"/>
  <c r="BB879" i="5"/>
  <c r="BA879" i="5"/>
  <c r="AZ879" i="5"/>
  <c r="AY879" i="5"/>
  <c r="AX879" i="5"/>
  <c r="AW879" i="5"/>
  <c r="AV879" i="5"/>
  <c r="AU879" i="5"/>
  <c r="H879" i="5"/>
  <c r="G879" i="5"/>
  <c r="BJ878" i="5"/>
  <c r="BI878" i="5"/>
  <c r="BH878" i="5"/>
  <c r="BG878" i="5"/>
  <c r="BF878" i="5"/>
  <c r="BE878" i="5"/>
  <c r="BD878" i="5"/>
  <c r="BC878" i="5"/>
  <c r="BB878" i="5"/>
  <c r="BA878" i="5"/>
  <c r="AZ878" i="5"/>
  <c r="AY878" i="5"/>
  <c r="AX878" i="5"/>
  <c r="AW878" i="5"/>
  <c r="AV878" i="5"/>
  <c r="AU878" i="5"/>
  <c r="H878" i="5"/>
  <c r="G878" i="5"/>
  <c r="BJ877" i="5"/>
  <c r="BI877" i="5"/>
  <c r="BH877" i="5"/>
  <c r="BG877" i="5"/>
  <c r="BF877" i="5"/>
  <c r="BE877" i="5"/>
  <c r="BD877" i="5"/>
  <c r="BC877" i="5"/>
  <c r="BB877" i="5"/>
  <c r="BA877" i="5"/>
  <c r="AZ877" i="5"/>
  <c r="AY877" i="5"/>
  <c r="AX877" i="5"/>
  <c r="AW877" i="5"/>
  <c r="AV877" i="5"/>
  <c r="AU877" i="5"/>
  <c r="H877" i="5"/>
  <c r="G877" i="5"/>
  <c r="BJ876" i="5"/>
  <c r="BI876" i="5"/>
  <c r="BH876" i="5"/>
  <c r="BG876" i="5"/>
  <c r="BF876" i="5"/>
  <c r="BE876" i="5"/>
  <c r="BD876" i="5"/>
  <c r="BC876" i="5"/>
  <c r="BB876" i="5"/>
  <c r="BA876" i="5"/>
  <c r="AZ876" i="5"/>
  <c r="AY876" i="5"/>
  <c r="AX876" i="5"/>
  <c r="AW876" i="5"/>
  <c r="AV876" i="5"/>
  <c r="AU876" i="5"/>
  <c r="H876" i="5"/>
  <c r="G876" i="5"/>
  <c r="BJ875" i="5"/>
  <c r="BI875" i="5"/>
  <c r="BH875" i="5"/>
  <c r="BG875" i="5"/>
  <c r="BF875" i="5"/>
  <c r="BE875" i="5"/>
  <c r="BD875" i="5"/>
  <c r="BC875" i="5"/>
  <c r="BB875" i="5"/>
  <c r="BA875" i="5"/>
  <c r="AZ875" i="5"/>
  <c r="AY875" i="5"/>
  <c r="AX875" i="5"/>
  <c r="AW875" i="5"/>
  <c r="AV875" i="5"/>
  <c r="AU875" i="5"/>
  <c r="H875" i="5"/>
  <c r="G875" i="5"/>
  <c r="BJ874" i="5"/>
  <c r="BI874" i="5"/>
  <c r="BH874" i="5"/>
  <c r="BG874" i="5"/>
  <c r="BF874" i="5"/>
  <c r="BE874" i="5"/>
  <c r="BD874" i="5"/>
  <c r="BC874" i="5"/>
  <c r="BB874" i="5"/>
  <c r="BA874" i="5"/>
  <c r="AZ874" i="5"/>
  <c r="AY874" i="5"/>
  <c r="AX874" i="5"/>
  <c r="AW874" i="5"/>
  <c r="AV874" i="5"/>
  <c r="AU874" i="5"/>
  <c r="H874" i="5"/>
  <c r="G874" i="5"/>
  <c r="BJ873" i="5"/>
  <c r="BI873" i="5"/>
  <c r="BH873" i="5"/>
  <c r="BG873" i="5"/>
  <c r="BF873" i="5"/>
  <c r="BE873" i="5"/>
  <c r="BD873" i="5"/>
  <c r="BC873" i="5"/>
  <c r="BB873" i="5"/>
  <c r="BA873" i="5"/>
  <c r="AZ873" i="5"/>
  <c r="AY873" i="5"/>
  <c r="AX873" i="5"/>
  <c r="AW873" i="5"/>
  <c r="AV873" i="5"/>
  <c r="AU873" i="5"/>
  <c r="H873" i="5"/>
  <c r="G873" i="5"/>
  <c r="BJ872" i="5"/>
  <c r="BI872" i="5"/>
  <c r="BH872" i="5"/>
  <c r="BG872" i="5"/>
  <c r="BF872" i="5"/>
  <c r="BE872" i="5"/>
  <c r="BD872" i="5"/>
  <c r="BC872" i="5"/>
  <c r="BB872" i="5"/>
  <c r="BA872" i="5"/>
  <c r="AZ872" i="5"/>
  <c r="AY872" i="5"/>
  <c r="AX872" i="5"/>
  <c r="AW872" i="5"/>
  <c r="AV872" i="5"/>
  <c r="AU872" i="5"/>
  <c r="H872" i="5"/>
  <c r="G872" i="5"/>
  <c r="BJ871" i="5"/>
  <c r="BI871" i="5"/>
  <c r="BH871" i="5"/>
  <c r="BG871" i="5"/>
  <c r="BF871" i="5"/>
  <c r="BE871" i="5"/>
  <c r="BD871" i="5"/>
  <c r="BC871" i="5"/>
  <c r="BB871" i="5"/>
  <c r="BA871" i="5"/>
  <c r="AZ871" i="5"/>
  <c r="AY871" i="5"/>
  <c r="AX871" i="5"/>
  <c r="AW871" i="5"/>
  <c r="AV871" i="5"/>
  <c r="AU871" i="5"/>
  <c r="H871" i="5"/>
  <c r="G871" i="5"/>
  <c r="BJ870" i="5"/>
  <c r="BI870" i="5"/>
  <c r="BH870" i="5"/>
  <c r="BG870" i="5"/>
  <c r="BF870" i="5"/>
  <c r="BE870" i="5"/>
  <c r="BD870" i="5"/>
  <c r="BC870" i="5"/>
  <c r="BB870" i="5"/>
  <c r="BA870" i="5"/>
  <c r="AZ870" i="5"/>
  <c r="AY870" i="5"/>
  <c r="AX870" i="5"/>
  <c r="AW870" i="5"/>
  <c r="AV870" i="5"/>
  <c r="AU870" i="5"/>
  <c r="H870" i="5"/>
  <c r="G870" i="5"/>
  <c r="BJ869" i="5"/>
  <c r="BI869" i="5"/>
  <c r="BH869" i="5"/>
  <c r="BG869" i="5"/>
  <c r="BF869" i="5"/>
  <c r="BE869" i="5"/>
  <c r="BD869" i="5"/>
  <c r="BC869" i="5"/>
  <c r="BB869" i="5"/>
  <c r="BA869" i="5"/>
  <c r="AZ869" i="5"/>
  <c r="AY869" i="5"/>
  <c r="AX869" i="5"/>
  <c r="AW869" i="5"/>
  <c r="AV869" i="5"/>
  <c r="AU869" i="5"/>
  <c r="H869" i="5"/>
  <c r="G869" i="5"/>
  <c r="BJ868" i="5"/>
  <c r="BI868" i="5"/>
  <c r="BH868" i="5"/>
  <c r="BG868" i="5"/>
  <c r="BF868" i="5"/>
  <c r="BE868" i="5"/>
  <c r="BD868" i="5"/>
  <c r="BC868" i="5"/>
  <c r="BB868" i="5"/>
  <c r="BA868" i="5"/>
  <c r="AZ868" i="5"/>
  <c r="AY868" i="5"/>
  <c r="AX868" i="5"/>
  <c r="AW868" i="5"/>
  <c r="AV868" i="5"/>
  <c r="AU868" i="5"/>
  <c r="H868" i="5"/>
  <c r="G868" i="5"/>
  <c r="BJ867" i="5"/>
  <c r="BI867" i="5"/>
  <c r="BH867" i="5"/>
  <c r="BG867" i="5"/>
  <c r="BF867" i="5"/>
  <c r="BE867" i="5"/>
  <c r="BD867" i="5"/>
  <c r="BC867" i="5"/>
  <c r="BB867" i="5"/>
  <c r="BA867" i="5"/>
  <c r="AZ867" i="5"/>
  <c r="AY867" i="5"/>
  <c r="AX867" i="5"/>
  <c r="AW867" i="5"/>
  <c r="AV867" i="5"/>
  <c r="AU867" i="5"/>
  <c r="H867" i="5"/>
  <c r="G867" i="5"/>
  <c r="BJ866" i="5"/>
  <c r="BI866" i="5"/>
  <c r="BH866" i="5"/>
  <c r="BG866" i="5"/>
  <c r="BF866" i="5"/>
  <c r="BE866" i="5"/>
  <c r="BD866" i="5"/>
  <c r="BC866" i="5"/>
  <c r="BB866" i="5"/>
  <c r="BA866" i="5"/>
  <c r="AZ866" i="5"/>
  <c r="AY866" i="5"/>
  <c r="AX866" i="5"/>
  <c r="AW866" i="5"/>
  <c r="AV866" i="5"/>
  <c r="AU866" i="5"/>
  <c r="H866" i="5"/>
  <c r="G866" i="5"/>
  <c r="BJ865" i="5"/>
  <c r="BI865" i="5"/>
  <c r="BH865" i="5"/>
  <c r="BG865" i="5"/>
  <c r="BF865" i="5"/>
  <c r="BE865" i="5"/>
  <c r="BD865" i="5"/>
  <c r="BC865" i="5"/>
  <c r="BB865" i="5"/>
  <c r="BA865" i="5"/>
  <c r="AZ865" i="5"/>
  <c r="AY865" i="5"/>
  <c r="AX865" i="5"/>
  <c r="AW865" i="5"/>
  <c r="AV865" i="5"/>
  <c r="AU865" i="5"/>
  <c r="H865" i="5"/>
  <c r="G865" i="5"/>
  <c r="BJ864" i="5"/>
  <c r="BI864" i="5"/>
  <c r="BH864" i="5"/>
  <c r="BG864" i="5"/>
  <c r="BF864" i="5"/>
  <c r="BE864" i="5"/>
  <c r="BD864" i="5"/>
  <c r="BC864" i="5"/>
  <c r="BB864" i="5"/>
  <c r="BA864" i="5"/>
  <c r="AZ864" i="5"/>
  <c r="AY864" i="5"/>
  <c r="AX864" i="5"/>
  <c r="AW864" i="5"/>
  <c r="AV864" i="5"/>
  <c r="AU864" i="5"/>
  <c r="H864" i="5"/>
  <c r="G864" i="5"/>
  <c r="BJ863" i="5"/>
  <c r="BI863" i="5"/>
  <c r="BH863" i="5"/>
  <c r="BG863" i="5"/>
  <c r="BF863" i="5"/>
  <c r="BE863" i="5"/>
  <c r="BD863" i="5"/>
  <c r="BC863" i="5"/>
  <c r="BB863" i="5"/>
  <c r="BA863" i="5"/>
  <c r="AZ863" i="5"/>
  <c r="AY863" i="5"/>
  <c r="AX863" i="5"/>
  <c r="AW863" i="5"/>
  <c r="AV863" i="5"/>
  <c r="AU863" i="5"/>
  <c r="H863" i="5"/>
  <c r="G863" i="5"/>
  <c r="BJ862" i="5"/>
  <c r="BI862" i="5"/>
  <c r="BH862" i="5"/>
  <c r="BG862" i="5"/>
  <c r="BF862" i="5"/>
  <c r="BE862" i="5"/>
  <c r="BD862" i="5"/>
  <c r="BC862" i="5"/>
  <c r="BB862" i="5"/>
  <c r="BA862" i="5"/>
  <c r="AZ862" i="5"/>
  <c r="AY862" i="5"/>
  <c r="AX862" i="5"/>
  <c r="AW862" i="5"/>
  <c r="AV862" i="5"/>
  <c r="AU862" i="5"/>
  <c r="H862" i="5"/>
  <c r="G862" i="5"/>
  <c r="BJ861" i="5"/>
  <c r="BI861" i="5"/>
  <c r="BH861" i="5"/>
  <c r="BG861" i="5"/>
  <c r="BF861" i="5"/>
  <c r="BE861" i="5"/>
  <c r="BD861" i="5"/>
  <c r="BC861" i="5"/>
  <c r="BB861" i="5"/>
  <c r="BA861" i="5"/>
  <c r="AZ861" i="5"/>
  <c r="AY861" i="5"/>
  <c r="AX861" i="5"/>
  <c r="AW861" i="5"/>
  <c r="AV861" i="5"/>
  <c r="AU861" i="5"/>
  <c r="H861" i="5"/>
  <c r="G861" i="5"/>
  <c r="BJ860" i="5"/>
  <c r="BI860" i="5"/>
  <c r="BH860" i="5"/>
  <c r="BG860" i="5"/>
  <c r="BF860" i="5"/>
  <c r="BE860" i="5"/>
  <c r="BD860" i="5"/>
  <c r="BC860" i="5"/>
  <c r="BB860" i="5"/>
  <c r="BA860" i="5"/>
  <c r="AZ860" i="5"/>
  <c r="AY860" i="5"/>
  <c r="AX860" i="5"/>
  <c r="AW860" i="5"/>
  <c r="AV860" i="5"/>
  <c r="AU860" i="5"/>
  <c r="H860" i="5"/>
  <c r="G860" i="5"/>
  <c r="BJ859" i="5"/>
  <c r="BI859" i="5"/>
  <c r="BH859" i="5"/>
  <c r="BG859" i="5"/>
  <c r="BF859" i="5"/>
  <c r="BE859" i="5"/>
  <c r="BD859" i="5"/>
  <c r="BC859" i="5"/>
  <c r="BB859" i="5"/>
  <c r="BA859" i="5"/>
  <c r="AZ859" i="5"/>
  <c r="AY859" i="5"/>
  <c r="AX859" i="5"/>
  <c r="AW859" i="5"/>
  <c r="AV859" i="5"/>
  <c r="AU859" i="5"/>
  <c r="H859" i="5"/>
  <c r="G859" i="5"/>
  <c r="BJ858" i="5"/>
  <c r="BI858" i="5"/>
  <c r="BH858" i="5"/>
  <c r="BG858" i="5"/>
  <c r="BF858" i="5"/>
  <c r="BE858" i="5"/>
  <c r="BD858" i="5"/>
  <c r="BC858" i="5"/>
  <c r="BB858" i="5"/>
  <c r="BA858" i="5"/>
  <c r="AZ858" i="5"/>
  <c r="AY858" i="5"/>
  <c r="AX858" i="5"/>
  <c r="AW858" i="5"/>
  <c r="AV858" i="5"/>
  <c r="AU858" i="5"/>
  <c r="H858" i="5"/>
  <c r="G858" i="5"/>
  <c r="BJ857" i="5"/>
  <c r="BI857" i="5"/>
  <c r="BH857" i="5"/>
  <c r="BG857" i="5"/>
  <c r="BF857" i="5"/>
  <c r="BE857" i="5"/>
  <c r="BD857" i="5"/>
  <c r="BC857" i="5"/>
  <c r="BB857" i="5"/>
  <c r="BA857" i="5"/>
  <c r="AZ857" i="5"/>
  <c r="AY857" i="5"/>
  <c r="AX857" i="5"/>
  <c r="AW857" i="5"/>
  <c r="AV857" i="5"/>
  <c r="AU857" i="5"/>
  <c r="H857" i="5"/>
  <c r="G857" i="5"/>
  <c r="BJ856" i="5"/>
  <c r="BI856" i="5"/>
  <c r="BH856" i="5"/>
  <c r="BG856" i="5"/>
  <c r="BF856" i="5"/>
  <c r="BE856" i="5"/>
  <c r="BD856" i="5"/>
  <c r="BC856" i="5"/>
  <c r="BB856" i="5"/>
  <c r="BA856" i="5"/>
  <c r="AZ856" i="5"/>
  <c r="AY856" i="5"/>
  <c r="AX856" i="5"/>
  <c r="AW856" i="5"/>
  <c r="AV856" i="5"/>
  <c r="AU856" i="5"/>
  <c r="H856" i="5"/>
  <c r="G856" i="5"/>
  <c r="BJ855" i="5"/>
  <c r="BI855" i="5"/>
  <c r="BH855" i="5"/>
  <c r="BG855" i="5"/>
  <c r="BF855" i="5"/>
  <c r="BE855" i="5"/>
  <c r="BD855" i="5"/>
  <c r="BC855" i="5"/>
  <c r="BB855" i="5"/>
  <c r="BA855" i="5"/>
  <c r="AZ855" i="5"/>
  <c r="AY855" i="5"/>
  <c r="AX855" i="5"/>
  <c r="AW855" i="5"/>
  <c r="AV855" i="5"/>
  <c r="AU855" i="5"/>
  <c r="H855" i="5"/>
  <c r="G855" i="5"/>
  <c r="BJ854" i="5"/>
  <c r="BI854" i="5"/>
  <c r="BH854" i="5"/>
  <c r="BG854" i="5"/>
  <c r="BF854" i="5"/>
  <c r="BE854" i="5"/>
  <c r="BD854" i="5"/>
  <c r="BC854" i="5"/>
  <c r="BB854" i="5"/>
  <c r="BA854" i="5"/>
  <c r="AZ854" i="5"/>
  <c r="AY854" i="5"/>
  <c r="AX854" i="5"/>
  <c r="AW854" i="5"/>
  <c r="AV854" i="5"/>
  <c r="AU854" i="5"/>
  <c r="H854" i="5"/>
  <c r="G854" i="5"/>
  <c r="BJ853" i="5"/>
  <c r="BI853" i="5"/>
  <c r="BH853" i="5"/>
  <c r="BG853" i="5"/>
  <c r="BF853" i="5"/>
  <c r="BE853" i="5"/>
  <c r="BD853" i="5"/>
  <c r="BC853" i="5"/>
  <c r="BB853" i="5"/>
  <c r="BA853" i="5"/>
  <c r="AZ853" i="5"/>
  <c r="AY853" i="5"/>
  <c r="AX853" i="5"/>
  <c r="AW853" i="5"/>
  <c r="AV853" i="5"/>
  <c r="AU853" i="5"/>
  <c r="H853" i="5"/>
  <c r="G853" i="5"/>
  <c r="BJ852" i="5"/>
  <c r="BI852" i="5"/>
  <c r="BH852" i="5"/>
  <c r="BG852" i="5"/>
  <c r="BF852" i="5"/>
  <c r="BE852" i="5"/>
  <c r="BD852" i="5"/>
  <c r="BC852" i="5"/>
  <c r="BB852" i="5"/>
  <c r="BA852" i="5"/>
  <c r="AZ852" i="5"/>
  <c r="AY852" i="5"/>
  <c r="AX852" i="5"/>
  <c r="AW852" i="5"/>
  <c r="AV852" i="5"/>
  <c r="AU852" i="5"/>
  <c r="H852" i="5"/>
  <c r="G852" i="5"/>
  <c r="BJ851" i="5"/>
  <c r="BI851" i="5"/>
  <c r="BH851" i="5"/>
  <c r="BG851" i="5"/>
  <c r="BF851" i="5"/>
  <c r="BE851" i="5"/>
  <c r="BD851" i="5"/>
  <c r="BC851" i="5"/>
  <c r="BB851" i="5"/>
  <c r="BA851" i="5"/>
  <c r="AZ851" i="5"/>
  <c r="AY851" i="5"/>
  <c r="AX851" i="5"/>
  <c r="AW851" i="5"/>
  <c r="AV851" i="5"/>
  <c r="AU851" i="5"/>
  <c r="H851" i="5"/>
  <c r="G851" i="5"/>
  <c r="BJ850" i="5"/>
  <c r="BI850" i="5"/>
  <c r="BH850" i="5"/>
  <c r="BG850" i="5"/>
  <c r="BF850" i="5"/>
  <c r="BE850" i="5"/>
  <c r="BD850" i="5"/>
  <c r="BC850" i="5"/>
  <c r="BB850" i="5"/>
  <c r="BA850" i="5"/>
  <c r="AZ850" i="5"/>
  <c r="AY850" i="5"/>
  <c r="AX850" i="5"/>
  <c r="AW850" i="5"/>
  <c r="AV850" i="5"/>
  <c r="AU850" i="5"/>
  <c r="H850" i="5"/>
  <c r="G850" i="5"/>
  <c r="BJ849" i="5"/>
  <c r="BI849" i="5"/>
  <c r="BH849" i="5"/>
  <c r="BG849" i="5"/>
  <c r="BF849" i="5"/>
  <c r="BE849" i="5"/>
  <c r="BD849" i="5"/>
  <c r="BC849" i="5"/>
  <c r="BB849" i="5"/>
  <c r="BA849" i="5"/>
  <c r="AZ849" i="5"/>
  <c r="AY849" i="5"/>
  <c r="AX849" i="5"/>
  <c r="AW849" i="5"/>
  <c r="AV849" i="5"/>
  <c r="AU849" i="5"/>
  <c r="H849" i="5"/>
  <c r="G849" i="5"/>
  <c r="BJ848" i="5"/>
  <c r="BI848" i="5"/>
  <c r="BH848" i="5"/>
  <c r="BG848" i="5"/>
  <c r="BF848" i="5"/>
  <c r="BE848" i="5"/>
  <c r="BD848" i="5"/>
  <c r="BC848" i="5"/>
  <c r="BB848" i="5"/>
  <c r="BA848" i="5"/>
  <c r="AZ848" i="5"/>
  <c r="AY848" i="5"/>
  <c r="AX848" i="5"/>
  <c r="AW848" i="5"/>
  <c r="AV848" i="5"/>
  <c r="AU848" i="5"/>
  <c r="H848" i="5"/>
  <c r="G848" i="5"/>
  <c r="BJ847" i="5"/>
  <c r="BI847" i="5"/>
  <c r="BH847" i="5"/>
  <c r="BG847" i="5"/>
  <c r="BF847" i="5"/>
  <c r="BE847" i="5"/>
  <c r="BD847" i="5"/>
  <c r="BC847" i="5"/>
  <c r="BB847" i="5"/>
  <c r="BA847" i="5"/>
  <c r="AZ847" i="5"/>
  <c r="AY847" i="5"/>
  <c r="AX847" i="5"/>
  <c r="AW847" i="5"/>
  <c r="AV847" i="5"/>
  <c r="AU847" i="5"/>
  <c r="H847" i="5"/>
  <c r="G847" i="5"/>
  <c r="BJ846" i="5"/>
  <c r="BI846" i="5"/>
  <c r="BH846" i="5"/>
  <c r="BG846" i="5"/>
  <c r="BF846" i="5"/>
  <c r="BE846" i="5"/>
  <c r="BD846" i="5"/>
  <c r="BC846" i="5"/>
  <c r="BB846" i="5"/>
  <c r="BA846" i="5"/>
  <c r="AZ846" i="5"/>
  <c r="AY846" i="5"/>
  <c r="AX846" i="5"/>
  <c r="AW846" i="5"/>
  <c r="AV846" i="5"/>
  <c r="AU846" i="5"/>
  <c r="H846" i="5"/>
  <c r="G846" i="5"/>
  <c r="BJ845" i="5"/>
  <c r="BI845" i="5"/>
  <c r="BH845" i="5"/>
  <c r="BG845" i="5"/>
  <c r="BF845" i="5"/>
  <c r="BE845" i="5"/>
  <c r="BD845" i="5"/>
  <c r="BC845" i="5"/>
  <c r="BB845" i="5"/>
  <c r="BA845" i="5"/>
  <c r="AZ845" i="5"/>
  <c r="AY845" i="5"/>
  <c r="AX845" i="5"/>
  <c r="AW845" i="5"/>
  <c r="AV845" i="5"/>
  <c r="AU845" i="5"/>
  <c r="H845" i="5"/>
  <c r="G845" i="5"/>
  <c r="BJ844" i="5"/>
  <c r="BI844" i="5"/>
  <c r="BH844" i="5"/>
  <c r="BG844" i="5"/>
  <c r="BF844" i="5"/>
  <c r="BE844" i="5"/>
  <c r="BD844" i="5"/>
  <c r="BC844" i="5"/>
  <c r="BB844" i="5"/>
  <c r="BA844" i="5"/>
  <c r="AZ844" i="5"/>
  <c r="AY844" i="5"/>
  <c r="AX844" i="5"/>
  <c r="AW844" i="5"/>
  <c r="AV844" i="5"/>
  <c r="AU844" i="5"/>
  <c r="H844" i="5"/>
  <c r="G844" i="5"/>
  <c r="BJ843" i="5"/>
  <c r="BI843" i="5"/>
  <c r="BH843" i="5"/>
  <c r="BG843" i="5"/>
  <c r="BF843" i="5"/>
  <c r="BE843" i="5"/>
  <c r="BD843" i="5"/>
  <c r="BC843" i="5"/>
  <c r="BB843" i="5"/>
  <c r="BA843" i="5"/>
  <c r="AZ843" i="5"/>
  <c r="AY843" i="5"/>
  <c r="AX843" i="5"/>
  <c r="AW843" i="5"/>
  <c r="AV843" i="5"/>
  <c r="AU843" i="5"/>
  <c r="H843" i="5"/>
  <c r="G843" i="5"/>
  <c r="BJ842" i="5"/>
  <c r="BI842" i="5"/>
  <c r="BH842" i="5"/>
  <c r="BG842" i="5"/>
  <c r="BF842" i="5"/>
  <c r="BE842" i="5"/>
  <c r="BD842" i="5"/>
  <c r="BC842" i="5"/>
  <c r="BB842" i="5"/>
  <c r="BA842" i="5"/>
  <c r="AZ842" i="5"/>
  <c r="AY842" i="5"/>
  <c r="AX842" i="5"/>
  <c r="AW842" i="5"/>
  <c r="AV842" i="5"/>
  <c r="AU842" i="5"/>
  <c r="H842" i="5"/>
  <c r="G842" i="5"/>
  <c r="BJ841" i="5"/>
  <c r="BI841" i="5"/>
  <c r="BH841" i="5"/>
  <c r="BG841" i="5"/>
  <c r="BF841" i="5"/>
  <c r="BE841" i="5"/>
  <c r="BD841" i="5"/>
  <c r="BC841" i="5"/>
  <c r="BB841" i="5"/>
  <c r="BA841" i="5"/>
  <c r="AZ841" i="5"/>
  <c r="AY841" i="5"/>
  <c r="AX841" i="5"/>
  <c r="AW841" i="5"/>
  <c r="AV841" i="5"/>
  <c r="AU841" i="5"/>
  <c r="H841" i="5"/>
  <c r="G841" i="5"/>
  <c r="BJ840" i="5"/>
  <c r="BI840" i="5"/>
  <c r="BH840" i="5"/>
  <c r="BG840" i="5"/>
  <c r="BF840" i="5"/>
  <c r="BE840" i="5"/>
  <c r="BD840" i="5"/>
  <c r="BC840" i="5"/>
  <c r="BB840" i="5"/>
  <c r="BA840" i="5"/>
  <c r="AZ840" i="5"/>
  <c r="AY840" i="5"/>
  <c r="AX840" i="5"/>
  <c r="AW840" i="5"/>
  <c r="AV840" i="5"/>
  <c r="AU840" i="5"/>
  <c r="H840" i="5"/>
  <c r="G840" i="5"/>
  <c r="BJ839" i="5"/>
  <c r="BI839" i="5"/>
  <c r="BH839" i="5"/>
  <c r="BG839" i="5"/>
  <c r="BF839" i="5"/>
  <c r="BE839" i="5"/>
  <c r="BD839" i="5"/>
  <c r="BC839" i="5"/>
  <c r="BB839" i="5"/>
  <c r="BA839" i="5"/>
  <c r="AZ839" i="5"/>
  <c r="AY839" i="5"/>
  <c r="AX839" i="5"/>
  <c r="AW839" i="5"/>
  <c r="AV839" i="5"/>
  <c r="AU839" i="5"/>
  <c r="H839" i="5"/>
  <c r="G839" i="5"/>
  <c r="BJ838" i="5"/>
  <c r="BI838" i="5"/>
  <c r="BH838" i="5"/>
  <c r="BG838" i="5"/>
  <c r="BF838" i="5"/>
  <c r="BE838" i="5"/>
  <c r="BD838" i="5"/>
  <c r="BC838" i="5"/>
  <c r="BB838" i="5"/>
  <c r="BA838" i="5"/>
  <c r="AZ838" i="5"/>
  <c r="AY838" i="5"/>
  <c r="AX838" i="5"/>
  <c r="AW838" i="5"/>
  <c r="AV838" i="5"/>
  <c r="AU838" i="5"/>
  <c r="H838" i="5"/>
  <c r="G838" i="5"/>
  <c r="BJ837" i="5"/>
  <c r="BI837" i="5"/>
  <c r="BH837" i="5"/>
  <c r="BG837" i="5"/>
  <c r="BF837" i="5"/>
  <c r="BE837" i="5"/>
  <c r="BD837" i="5"/>
  <c r="BC837" i="5"/>
  <c r="BB837" i="5"/>
  <c r="BA837" i="5"/>
  <c r="AZ837" i="5"/>
  <c r="AY837" i="5"/>
  <c r="AX837" i="5"/>
  <c r="AW837" i="5"/>
  <c r="AV837" i="5"/>
  <c r="AU837" i="5"/>
  <c r="H837" i="5"/>
  <c r="G837" i="5"/>
  <c r="BJ836" i="5"/>
  <c r="BI836" i="5"/>
  <c r="BH836" i="5"/>
  <c r="BG836" i="5"/>
  <c r="BF836" i="5"/>
  <c r="BE836" i="5"/>
  <c r="BD836" i="5"/>
  <c r="BC836" i="5"/>
  <c r="BB836" i="5"/>
  <c r="BA836" i="5"/>
  <c r="AZ836" i="5"/>
  <c r="AY836" i="5"/>
  <c r="AX836" i="5"/>
  <c r="AW836" i="5"/>
  <c r="AV836" i="5"/>
  <c r="AU836" i="5"/>
  <c r="H836" i="5"/>
  <c r="G836" i="5"/>
  <c r="BJ835" i="5"/>
  <c r="BI835" i="5"/>
  <c r="BH835" i="5"/>
  <c r="BG835" i="5"/>
  <c r="BF835" i="5"/>
  <c r="BE835" i="5"/>
  <c r="BD835" i="5"/>
  <c r="BC835" i="5"/>
  <c r="BB835" i="5"/>
  <c r="BA835" i="5"/>
  <c r="AZ835" i="5"/>
  <c r="AY835" i="5"/>
  <c r="AX835" i="5"/>
  <c r="AW835" i="5"/>
  <c r="AV835" i="5"/>
  <c r="AU835" i="5"/>
  <c r="H835" i="5"/>
  <c r="G835" i="5"/>
  <c r="BJ834" i="5"/>
  <c r="BI834" i="5"/>
  <c r="BH834" i="5"/>
  <c r="BG834" i="5"/>
  <c r="BF834" i="5"/>
  <c r="BE834" i="5"/>
  <c r="BD834" i="5"/>
  <c r="BC834" i="5"/>
  <c r="BB834" i="5"/>
  <c r="BA834" i="5"/>
  <c r="AZ834" i="5"/>
  <c r="AY834" i="5"/>
  <c r="AX834" i="5"/>
  <c r="AW834" i="5"/>
  <c r="AV834" i="5"/>
  <c r="AU834" i="5"/>
  <c r="H834" i="5"/>
  <c r="G834" i="5"/>
  <c r="BJ833" i="5"/>
  <c r="BI833" i="5"/>
  <c r="BH833" i="5"/>
  <c r="BG833" i="5"/>
  <c r="BF833" i="5"/>
  <c r="BE833" i="5"/>
  <c r="BD833" i="5"/>
  <c r="BC833" i="5"/>
  <c r="BB833" i="5"/>
  <c r="BA833" i="5"/>
  <c r="AZ833" i="5"/>
  <c r="AY833" i="5"/>
  <c r="AX833" i="5"/>
  <c r="AW833" i="5"/>
  <c r="AV833" i="5"/>
  <c r="AU833" i="5"/>
  <c r="H833" i="5"/>
  <c r="G833" i="5"/>
  <c r="BJ832" i="5"/>
  <c r="BI832" i="5"/>
  <c r="BH832" i="5"/>
  <c r="BG832" i="5"/>
  <c r="BF832" i="5"/>
  <c r="BE832" i="5"/>
  <c r="BD832" i="5"/>
  <c r="BC832" i="5"/>
  <c r="BB832" i="5"/>
  <c r="BA832" i="5"/>
  <c r="AZ832" i="5"/>
  <c r="AY832" i="5"/>
  <c r="AX832" i="5"/>
  <c r="AW832" i="5"/>
  <c r="AV832" i="5"/>
  <c r="AU832" i="5"/>
  <c r="H832" i="5"/>
  <c r="G832" i="5"/>
  <c r="BJ831" i="5"/>
  <c r="BI831" i="5"/>
  <c r="BH831" i="5"/>
  <c r="BG831" i="5"/>
  <c r="BF831" i="5"/>
  <c r="BE831" i="5"/>
  <c r="BD831" i="5"/>
  <c r="BC831" i="5"/>
  <c r="BB831" i="5"/>
  <c r="BA831" i="5"/>
  <c r="AZ831" i="5"/>
  <c r="AY831" i="5"/>
  <c r="AX831" i="5"/>
  <c r="AW831" i="5"/>
  <c r="AV831" i="5"/>
  <c r="AU831" i="5"/>
  <c r="H831" i="5"/>
  <c r="G831" i="5"/>
  <c r="BJ830" i="5"/>
  <c r="BI830" i="5"/>
  <c r="BH830" i="5"/>
  <c r="BG830" i="5"/>
  <c r="BF830" i="5"/>
  <c r="BE830" i="5"/>
  <c r="BD830" i="5"/>
  <c r="BC830" i="5"/>
  <c r="BB830" i="5"/>
  <c r="BA830" i="5"/>
  <c r="AZ830" i="5"/>
  <c r="AY830" i="5"/>
  <c r="AX830" i="5"/>
  <c r="AW830" i="5"/>
  <c r="AV830" i="5"/>
  <c r="AU830" i="5"/>
  <c r="H830" i="5"/>
  <c r="G830" i="5"/>
  <c r="BJ829" i="5"/>
  <c r="BI829" i="5"/>
  <c r="BH829" i="5"/>
  <c r="BG829" i="5"/>
  <c r="BF829" i="5"/>
  <c r="BE829" i="5"/>
  <c r="BD829" i="5"/>
  <c r="BC829" i="5"/>
  <c r="BB829" i="5"/>
  <c r="BA829" i="5"/>
  <c r="AZ829" i="5"/>
  <c r="AY829" i="5"/>
  <c r="AX829" i="5"/>
  <c r="AW829" i="5"/>
  <c r="AV829" i="5"/>
  <c r="AU829" i="5"/>
  <c r="H829" i="5"/>
  <c r="G829" i="5"/>
  <c r="BJ828" i="5"/>
  <c r="BI828" i="5"/>
  <c r="BH828" i="5"/>
  <c r="BG828" i="5"/>
  <c r="BF828" i="5"/>
  <c r="BE828" i="5"/>
  <c r="BD828" i="5"/>
  <c r="BC828" i="5"/>
  <c r="BB828" i="5"/>
  <c r="BA828" i="5"/>
  <c r="AZ828" i="5"/>
  <c r="AY828" i="5"/>
  <c r="AX828" i="5"/>
  <c r="AW828" i="5"/>
  <c r="AV828" i="5"/>
  <c r="AU828" i="5"/>
  <c r="H828" i="5"/>
  <c r="G828" i="5"/>
  <c r="BJ827" i="5"/>
  <c r="BI827" i="5"/>
  <c r="BH827" i="5"/>
  <c r="BG827" i="5"/>
  <c r="BF827" i="5"/>
  <c r="BE827" i="5"/>
  <c r="BD827" i="5"/>
  <c r="BC827" i="5"/>
  <c r="BB827" i="5"/>
  <c r="BA827" i="5"/>
  <c r="AZ827" i="5"/>
  <c r="AY827" i="5"/>
  <c r="AX827" i="5"/>
  <c r="AW827" i="5"/>
  <c r="AV827" i="5"/>
  <c r="AU827" i="5"/>
  <c r="H827" i="5"/>
  <c r="G827" i="5"/>
  <c r="BJ826" i="5"/>
  <c r="BI826" i="5"/>
  <c r="BH826" i="5"/>
  <c r="BG826" i="5"/>
  <c r="BF826" i="5"/>
  <c r="BE826" i="5"/>
  <c r="BD826" i="5"/>
  <c r="BC826" i="5"/>
  <c r="BB826" i="5"/>
  <c r="BA826" i="5"/>
  <c r="AZ826" i="5"/>
  <c r="AY826" i="5"/>
  <c r="AX826" i="5"/>
  <c r="AW826" i="5"/>
  <c r="AV826" i="5"/>
  <c r="AU826" i="5"/>
  <c r="H826" i="5"/>
  <c r="G826" i="5"/>
  <c r="BJ825" i="5"/>
  <c r="BI825" i="5"/>
  <c r="BH825" i="5"/>
  <c r="BG825" i="5"/>
  <c r="BF825" i="5"/>
  <c r="BE825" i="5"/>
  <c r="BD825" i="5"/>
  <c r="BC825" i="5"/>
  <c r="BB825" i="5"/>
  <c r="BA825" i="5"/>
  <c r="AZ825" i="5"/>
  <c r="AY825" i="5"/>
  <c r="AX825" i="5"/>
  <c r="AW825" i="5"/>
  <c r="AV825" i="5"/>
  <c r="AU825" i="5"/>
  <c r="H825" i="5"/>
  <c r="G825" i="5"/>
  <c r="BJ824" i="5"/>
  <c r="BI824" i="5"/>
  <c r="BH824" i="5"/>
  <c r="BG824" i="5"/>
  <c r="BF824" i="5"/>
  <c r="BE824" i="5"/>
  <c r="BD824" i="5"/>
  <c r="BC824" i="5"/>
  <c r="BB824" i="5"/>
  <c r="BA824" i="5"/>
  <c r="AZ824" i="5"/>
  <c r="AY824" i="5"/>
  <c r="AX824" i="5"/>
  <c r="AW824" i="5"/>
  <c r="AV824" i="5"/>
  <c r="AU824" i="5"/>
  <c r="H824" i="5"/>
  <c r="G824" i="5"/>
  <c r="BJ823" i="5"/>
  <c r="BI823" i="5"/>
  <c r="BH823" i="5"/>
  <c r="BG823" i="5"/>
  <c r="BF823" i="5"/>
  <c r="BE823" i="5"/>
  <c r="BD823" i="5"/>
  <c r="BC823" i="5"/>
  <c r="BB823" i="5"/>
  <c r="BA823" i="5"/>
  <c r="AZ823" i="5"/>
  <c r="AY823" i="5"/>
  <c r="AX823" i="5"/>
  <c r="AW823" i="5"/>
  <c r="AV823" i="5"/>
  <c r="AU823" i="5"/>
  <c r="H823" i="5"/>
  <c r="G823" i="5"/>
  <c r="BJ822" i="5"/>
  <c r="BI822" i="5"/>
  <c r="BH822" i="5"/>
  <c r="BG822" i="5"/>
  <c r="BF822" i="5"/>
  <c r="BE822" i="5"/>
  <c r="BD822" i="5"/>
  <c r="BC822" i="5"/>
  <c r="BB822" i="5"/>
  <c r="BA822" i="5"/>
  <c r="AZ822" i="5"/>
  <c r="AY822" i="5"/>
  <c r="AX822" i="5"/>
  <c r="AW822" i="5"/>
  <c r="AV822" i="5"/>
  <c r="AU822" i="5"/>
  <c r="H822" i="5"/>
  <c r="G822" i="5"/>
  <c r="BJ821" i="5"/>
  <c r="BI821" i="5"/>
  <c r="BH821" i="5"/>
  <c r="BG821" i="5"/>
  <c r="BF821" i="5"/>
  <c r="BE821" i="5"/>
  <c r="BD821" i="5"/>
  <c r="BC821" i="5"/>
  <c r="BB821" i="5"/>
  <c r="BA821" i="5"/>
  <c r="AZ821" i="5"/>
  <c r="AY821" i="5"/>
  <c r="AX821" i="5"/>
  <c r="AW821" i="5"/>
  <c r="AV821" i="5"/>
  <c r="AU821" i="5"/>
  <c r="H821" i="5"/>
  <c r="G821" i="5"/>
  <c r="BJ820" i="5"/>
  <c r="BI820" i="5"/>
  <c r="BH820" i="5"/>
  <c r="BG820" i="5"/>
  <c r="BF820" i="5"/>
  <c r="BE820" i="5"/>
  <c r="BD820" i="5"/>
  <c r="BC820" i="5"/>
  <c r="BB820" i="5"/>
  <c r="BA820" i="5"/>
  <c r="AZ820" i="5"/>
  <c r="AY820" i="5"/>
  <c r="AX820" i="5"/>
  <c r="AW820" i="5"/>
  <c r="AV820" i="5"/>
  <c r="AU820" i="5"/>
  <c r="H820" i="5"/>
  <c r="G820" i="5"/>
  <c r="BJ819" i="5"/>
  <c r="BI819" i="5"/>
  <c r="BH819" i="5"/>
  <c r="BG819" i="5"/>
  <c r="BF819" i="5"/>
  <c r="BE819" i="5"/>
  <c r="BD819" i="5"/>
  <c r="BC819" i="5"/>
  <c r="BB819" i="5"/>
  <c r="BA819" i="5"/>
  <c r="AZ819" i="5"/>
  <c r="AY819" i="5"/>
  <c r="AX819" i="5"/>
  <c r="AW819" i="5"/>
  <c r="AV819" i="5"/>
  <c r="AU819" i="5"/>
  <c r="H819" i="5"/>
  <c r="G819" i="5"/>
  <c r="BJ818" i="5"/>
  <c r="BI818" i="5"/>
  <c r="BH818" i="5"/>
  <c r="BG818" i="5"/>
  <c r="BF818" i="5"/>
  <c r="BE818" i="5"/>
  <c r="BD818" i="5"/>
  <c r="BC818" i="5"/>
  <c r="BB818" i="5"/>
  <c r="BA818" i="5"/>
  <c r="AZ818" i="5"/>
  <c r="AY818" i="5"/>
  <c r="AX818" i="5"/>
  <c r="AW818" i="5"/>
  <c r="AV818" i="5"/>
  <c r="AU818" i="5"/>
  <c r="H818" i="5"/>
  <c r="G818" i="5"/>
  <c r="BJ817" i="5"/>
  <c r="BI817" i="5"/>
  <c r="BH817" i="5"/>
  <c r="BG817" i="5"/>
  <c r="BF817" i="5"/>
  <c r="BE817" i="5"/>
  <c r="BD817" i="5"/>
  <c r="BC817" i="5"/>
  <c r="BB817" i="5"/>
  <c r="BA817" i="5"/>
  <c r="AZ817" i="5"/>
  <c r="AY817" i="5"/>
  <c r="AX817" i="5"/>
  <c r="AW817" i="5"/>
  <c r="AV817" i="5"/>
  <c r="AU817" i="5"/>
  <c r="H817" i="5"/>
  <c r="G817" i="5"/>
  <c r="BJ816" i="5"/>
  <c r="BI816" i="5"/>
  <c r="BH816" i="5"/>
  <c r="BG816" i="5"/>
  <c r="BF816" i="5"/>
  <c r="BE816" i="5"/>
  <c r="BD816" i="5"/>
  <c r="BC816" i="5"/>
  <c r="BB816" i="5"/>
  <c r="BA816" i="5"/>
  <c r="AZ816" i="5"/>
  <c r="AY816" i="5"/>
  <c r="AX816" i="5"/>
  <c r="AW816" i="5"/>
  <c r="AV816" i="5"/>
  <c r="AU816" i="5"/>
  <c r="H816" i="5"/>
  <c r="G816" i="5"/>
  <c r="BJ815" i="5"/>
  <c r="BI815" i="5"/>
  <c r="BH815" i="5"/>
  <c r="BG815" i="5"/>
  <c r="BF815" i="5"/>
  <c r="BE815" i="5"/>
  <c r="BD815" i="5"/>
  <c r="BC815" i="5"/>
  <c r="BB815" i="5"/>
  <c r="BA815" i="5"/>
  <c r="AZ815" i="5"/>
  <c r="AY815" i="5"/>
  <c r="AX815" i="5"/>
  <c r="AW815" i="5"/>
  <c r="AV815" i="5"/>
  <c r="AU815" i="5"/>
  <c r="H815" i="5"/>
  <c r="G815" i="5"/>
  <c r="BJ814" i="5"/>
  <c r="BI814" i="5"/>
  <c r="BH814" i="5"/>
  <c r="BG814" i="5"/>
  <c r="BF814" i="5"/>
  <c r="BE814" i="5"/>
  <c r="BD814" i="5"/>
  <c r="BC814" i="5"/>
  <c r="BB814" i="5"/>
  <c r="BA814" i="5"/>
  <c r="AZ814" i="5"/>
  <c r="AY814" i="5"/>
  <c r="AX814" i="5"/>
  <c r="AW814" i="5"/>
  <c r="AV814" i="5"/>
  <c r="AU814" i="5"/>
  <c r="H814" i="5"/>
  <c r="G814" i="5"/>
  <c r="BJ813" i="5"/>
  <c r="BI813" i="5"/>
  <c r="BH813" i="5"/>
  <c r="BG813" i="5"/>
  <c r="BF813" i="5"/>
  <c r="BE813" i="5"/>
  <c r="BD813" i="5"/>
  <c r="BC813" i="5"/>
  <c r="BB813" i="5"/>
  <c r="BA813" i="5"/>
  <c r="AZ813" i="5"/>
  <c r="AY813" i="5"/>
  <c r="AX813" i="5"/>
  <c r="AW813" i="5"/>
  <c r="AV813" i="5"/>
  <c r="AU813" i="5"/>
  <c r="H813" i="5"/>
  <c r="G813" i="5"/>
  <c r="BJ812" i="5"/>
  <c r="BI812" i="5"/>
  <c r="BH812" i="5"/>
  <c r="BG812" i="5"/>
  <c r="BF812" i="5"/>
  <c r="BE812" i="5"/>
  <c r="BD812" i="5"/>
  <c r="BC812" i="5"/>
  <c r="BB812" i="5"/>
  <c r="BA812" i="5"/>
  <c r="AZ812" i="5"/>
  <c r="AY812" i="5"/>
  <c r="AX812" i="5"/>
  <c r="AW812" i="5"/>
  <c r="AV812" i="5"/>
  <c r="AU812" i="5"/>
  <c r="H812" i="5"/>
  <c r="G812" i="5"/>
  <c r="BJ811" i="5"/>
  <c r="BI811" i="5"/>
  <c r="BH811" i="5"/>
  <c r="BG811" i="5"/>
  <c r="BF811" i="5"/>
  <c r="BE811" i="5"/>
  <c r="BD811" i="5"/>
  <c r="BC811" i="5"/>
  <c r="BB811" i="5"/>
  <c r="BA811" i="5"/>
  <c r="AZ811" i="5"/>
  <c r="AY811" i="5"/>
  <c r="AX811" i="5"/>
  <c r="AW811" i="5"/>
  <c r="AV811" i="5"/>
  <c r="AU811" i="5"/>
  <c r="H811" i="5"/>
  <c r="G811" i="5"/>
  <c r="BJ810" i="5"/>
  <c r="BI810" i="5"/>
  <c r="BH810" i="5"/>
  <c r="BG810" i="5"/>
  <c r="BF810" i="5"/>
  <c r="BE810" i="5"/>
  <c r="BD810" i="5"/>
  <c r="BC810" i="5"/>
  <c r="BB810" i="5"/>
  <c r="BA810" i="5"/>
  <c r="AZ810" i="5"/>
  <c r="AY810" i="5"/>
  <c r="AX810" i="5"/>
  <c r="AW810" i="5"/>
  <c r="AV810" i="5"/>
  <c r="AU810" i="5"/>
  <c r="H810" i="5"/>
  <c r="G810" i="5"/>
  <c r="BJ809" i="5"/>
  <c r="BI809" i="5"/>
  <c r="BH809" i="5"/>
  <c r="BG809" i="5"/>
  <c r="BF809" i="5"/>
  <c r="BE809" i="5"/>
  <c r="BD809" i="5"/>
  <c r="BC809" i="5"/>
  <c r="BB809" i="5"/>
  <c r="BA809" i="5"/>
  <c r="AZ809" i="5"/>
  <c r="AY809" i="5"/>
  <c r="AX809" i="5"/>
  <c r="AW809" i="5"/>
  <c r="AV809" i="5"/>
  <c r="AU809" i="5"/>
  <c r="H809" i="5"/>
  <c r="G809" i="5"/>
  <c r="BJ808" i="5"/>
  <c r="BI808" i="5"/>
  <c r="BH808" i="5"/>
  <c r="BG808" i="5"/>
  <c r="BF808" i="5"/>
  <c r="BE808" i="5"/>
  <c r="BD808" i="5"/>
  <c r="BC808" i="5"/>
  <c r="BB808" i="5"/>
  <c r="BA808" i="5"/>
  <c r="AZ808" i="5"/>
  <c r="AY808" i="5"/>
  <c r="AX808" i="5"/>
  <c r="AW808" i="5"/>
  <c r="AV808" i="5"/>
  <c r="AU808" i="5"/>
  <c r="H808" i="5"/>
  <c r="G808" i="5"/>
  <c r="BJ807" i="5"/>
  <c r="BI807" i="5"/>
  <c r="BH807" i="5"/>
  <c r="BG807" i="5"/>
  <c r="BF807" i="5"/>
  <c r="BE807" i="5"/>
  <c r="BD807" i="5"/>
  <c r="BC807" i="5"/>
  <c r="BB807" i="5"/>
  <c r="BA807" i="5"/>
  <c r="AZ807" i="5"/>
  <c r="AY807" i="5"/>
  <c r="AX807" i="5"/>
  <c r="AW807" i="5"/>
  <c r="AV807" i="5"/>
  <c r="AU807" i="5"/>
  <c r="H807" i="5"/>
  <c r="G807" i="5"/>
  <c r="BJ806" i="5"/>
  <c r="BI806" i="5"/>
  <c r="BH806" i="5"/>
  <c r="BG806" i="5"/>
  <c r="BF806" i="5"/>
  <c r="BE806" i="5"/>
  <c r="BD806" i="5"/>
  <c r="BC806" i="5"/>
  <c r="BB806" i="5"/>
  <c r="BA806" i="5"/>
  <c r="AZ806" i="5"/>
  <c r="AY806" i="5"/>
  <c r="AX806" i="5"/>
  <c r="AW806" i="5"/>
  <c r="AV806" i="5"/>
  <c r="AU806" i="5"/>
  <c r="H806" i="5"/>
  <c r="G806" i="5"/>
  <c r="BJ805" i="5"/>
  <c r="BI805" i="5"/>
  <c r="BH805" i="5"/>
  <c r="BG805" i="5"/>
  <c r="BF805" i="5"/>
  <c r="BE805" i="5"/>
  <c r="BD805" i="5"/>
  <c r="BC805" i="5"/>
  <c r="BB805" i="5"/>
  <c r="BA805" i="5"/>
  <c r="AZ805" i="5"/>
  <c r="AY805" i="5"/>
  <c r="AX805" i="5"/>
  <c r="AW805" i="5"/>
  <c r="AV805" i="5"/>
  <c r="AU805" i="5"/>
  <c r="H805" i="5"/>
  <c r="G805" i="5"/>
  <c r="BJ804" i="5"/>
  <c r="BI804" i="5"/>
  <c r="BH804" i="5"/>
  <c r="BG804" i="5"/>
  <c r="BF804" i="5"/>
  <c r="BE804" i="5"/>
  <c r="BD804" i="5"/>
  <c r="BC804" i="5"/>
  <c r="BB804" i="5"/>
  <c r="BA804" i="5"/>
  <c r="AZ804" i="5"/>
  <c r="AY804" i="5"/>
  <c r="AX804" i="5"/>
  <c r="AW804" i="5"/>
  <c r="AV804" i="5"/>
  <c r="AU804" i="5"/>
  <c r="H804" i="5"/>
  <c r="G804" i="5"/>
  <c r="BJ803" i="5"/>
  <c r="BI803" i="5"/>
  <c r="BH803" i="5"/>
  <c r="BG803" i="5"/>
  <c r="BF803" i="5"/>
  <c r="BE803" i="5"/>
  <c r="BD803" i="5"/>
  <c r="BC803" i="5"/>
  <c r="BB803" i="5"/>
  <c r="BA803" i="5"/>
  <c r="AZ803" i="5"/>
  <c r="AY803" i="5"/>
  <c r="AX803" i="5"/>
  <c r="AW803" i="5"/>
  <c r="AV803" i="5"/>
  <c r="AU803" i="5"/>
  <c r="H803" i="5"/>
  <c r="G803" i="5"/>
  <c r="BJ802" i="5"/>
  <c r="BI802" i="5"/>
  <c r="BH802" i="5"/>
  <c r="BG802" i="5"/>
  <c r="BF802" i="5"/>
  <c r="BE802" i="5"/>
  <c r="BD802" i="5"/>
  <c r="BC802" i="5"/>
  <c r="BB802" i="5"/>
  <c r="BA802" i="5"/>
  <c r="AZ802" i="5"/>
  <c r="AY802" i="5"/>
  <c r="AX802" i="5"/>
  <c r="AW802" i="5"/>
  <c r="AV802" i="5"/>
  <c r="AU802" i="5"/>
  <c r="H802" i="5"/>
  <c r="G802" i="5"/>
  <c r="BJ801" i="5"/>
  <c r="BI801" i="5"/>
  <c r="BH801" i="5"/>
  <c r="BG801" i="5"/>
  <c r="BF801" i="5"/>
  <c r="BE801" i="5"/>
  <c r="BD801" i="5"/>
  <c r="BC801" i="5"/>
  <c r="BB801" i="5"/>
  <c r="BA801" i="5"/>
  <c r="AZ801" i="5"/>
  <c r="AY801" i="5"/>
  <c r="AX801" i="5"/>
  <c r="AW801" i="5"/>
  <c r="AV801" i="5"/>
  <c r="AU801" i="5"/>
  <c r="H801" i="5"/>
  <c r="G801" i="5"/>
  <c r="BJ800" i="5"/>
  <c r="BI800" i="5"/>
  <c r="BH800" i="5"/>
  <c r="BG800" i="5"/>
  <c r="BF800" i="5"/>
  <c r="BE800" i="5"/>
  <c r="BD800" i="5"/>
  <c r="BC800" i="5"/>
  <c r="BB800" i="5"/>
  <c r="BA800" i="5"/>
  <c r="AZ800" i="5"/>
  <c r="AY800" i="5"/>
  <c r="AX800" i="5"/>
  <c r="AW800" i="5"/>
  <c r="AV800" i="5"/>
  <c r="AU800" i="5"/>
  <c r="H800" i="5"/>
  <c r="G800" i="5"/>
  <c r="BJ799" i="5"/>
  <c r="BI799" i="5"/>
  <c r="BH799" i="5"/>
  <c r="BG799" i="5"/>
  <c r="BF799" i="5"/>
  <c r="BE799" i="5"/>
  <c r="BD799" i="5"/>
  <c r="BC799" i="5"/>
  <c r="BB799" i="5"/>
  <c r="BA799" i="5"/>
  <c r="AZ799" i="5"/>
  <c r="AY799" i="5"/>
  <c r="AX799" i="5"/>
  <c r="AW799" i="5"/>
  <c r="AV799" i="5"/>
  <c r="AU799" i="5"/>
  <c r="H799" i="5"/>
  <c r="G799" i="5"/>
  <c r="BJ798" i="5"/>
  <c r="BI798" i="5"/>
  <c r="BH798" i="5"/>
  <c r="BG798" i="5"/>
  <c r="BF798" i="5"/>
  <c r="BE798" i="5"/>
  <c r="BD798" i="5"/>
  <c r="BC798" i="5"/>
  <c r="BB798" i="5"/>
  <c r="BA798" i="5"/>
  <c r="AZ798" i="5"/>
  <c r="AY798" i="5"/>
  <c r="AX798" i="5"/>
  <c r="AW798" i="5"/>
  <c r="AV798" i="5"/>
  <c r="AU798" i="5"/>
  <c r="H798" i="5"/>
  <c r="G798" i="5"/>
  <c r="BJ797" i="5"/>
  <c r="BI797" i="5"/>
  <c r="BH797" i="5"/>
  <c r="BG797" i="5"/>
  <c r="BF797" i="5"/>
  <c r="BE797" i="5"/>
  <c r="BD797" i="5"/>
  <c r="BC797" i="5"/>
  <c r="BB797" i="5"/>
  <c r="BA797" i="5"/>
  <c r="AZ797" i="5"/>
  <c r="AY797" i="5"/>
  <c r="AX797" i="5"/>
  <c r="AW797" i="5"/>
  <c r="AV797" i="5"/>
  <c r="AU797" i="5"/>
  <c r="H797" i="5"/>
  <c r="G797" i="5"/>
  <c r="BJ796" i="5"/>
  <c r="BI796" i="5"/>
  <c r="BH796" i="5"/>
  <c r="BG796" i="5"/>
  <c r="BF796" i="5"/>
  <c r="BE796" i="5"/>
  <c r="BD796" i="5"/>
  <c r="BC796" i="5"/>
  <c r="BB796" i="5"/>
  <c r="BA796" i="5"/>
  <c r="AZ796" i="5"/>
  <c r="AY796" i="5"/>
  <c r="AX796" i="5"/>
  <c r="AW796" i="5"/>
  <c r="AV796" i="5"/>
  <c r="AU796" i="5"/>
  <c r="H796" i="5"/>
  <c r="G796" i="5"/>
  <c r="BJ795" i="5"/>
  <c r="BI795" i="5"/>
  <c r="BH795" i="5"/>
  <c r="BG795" i="5"/>
  <c r="BF795" i="5"/>
  <c r="BE795" i="5"/>
  <c r="BD795" i="5"/>
  <c r="BC795" i="5"/>
  <c r="BB795" i="5"/>
  <c r="BA795" i="5"/>
  <c r="AZ795" i="5"/>
  <c r="AY795" i="5"/>
  <c r="AX795" i="5"/>
  <c r="AW795" i="5"/>
  <c r="AV795" i="5"/>
  <c r="AU795" i="5"/>
  <c r="H795" i="5"/>
  <c r="G795" i="5"/>
  <c r="BJ794" i="5"/>
  <c r="BI794" i="5"/>
  <c r="BH794" i="5"/>
  <c r="BG794" i="5"/>
  <c r="BF794" i="5"/>
  <c r="BE794" i="5"/>
  <c r="BD794" i="5"/>
  <c r="BC794" i="5"/>
  <c r="BB794" i="5"/>
  <c r="BA794" i="5"/>
  <c r="AZ794" i="5"/>
  <c r="AY794" i="5"/>
  <c r="AX794" i="5"/>
  <c r="AW794" i="5"/>
  <c r="AV794" i="5"/>
  <c r="AU794" i="5"/>
  <c r="H794" i="5"/>
  <c r="G794" i="5"/>
  <c r="BJ793" i="5"/>
  <c r="BI793" i="5"/>
  <c r="BH793" i="5"/>
  <c r="BG793" i="5"/>
  <c r="BF793" i="5"/>
  <c r="BE793" i="5"/>
  <c r="BD793" i="5"/>
  <c r="BC793" i="5"/>
  <c r="BB793" i="5"/>
  <c r="BA793" i="5"/>
  <c r="AZ793" i="5"/>
  <c r="AY793" i="5"/>
  <c r="AX793" i="5"/>
  <c r="AW793" i="5"/>
  <c r="AV793" i="5"/>
  <c r="AU793" i="5"/>
  <c r="H793" i="5"/>
  <c r="G793" i="5"/>
  <c r="BJ792" i="5"/>
  <c r="BI792" i="5"/>
  <c r="BH792" i="5"/>
  <c r="BG792" i="5"/>
  <c r="BF792" i="5"/>
  <c r="BE792" i="5"/>
  <c r="BD792" i="5"/>
  <c r="BC792" i="5"/>
  <c r="BB792" i="5"/>
  <c r="BA792" i="5"/>
  <c r="AZ792" i="5"/>
  <c r="AY792" i="5"/>
  <c r="AX792" i="5"/>
  <c r="AW792" i="5"/>
  <c r="AV792" i="5"/>
  <c r="AU792" i="5"/>
  <c r="H792" i="5"/>
  <c r="G792" i="5"/>
  <c r="BJ791" i="5"/>
  <c r="BI791" i="5"/>
  <c r="BH791" i="5"/>
  <c r="BG791" i="5"/>
  <c r="BF791" i="5"/>
  <c r="BE791" i="5"/>
  <c r="BD791" i="5"/>
  <c r="BC791" i="5"/>
  <c r="BB791" i="5"/>
  <c r="BA791" i="5"/>
  <c r="AZ791" i="5"/>
  <c r="AY791" i="5"/>
  <c r="AX791" i="5"/>
  <c r="AW791" i="5"/>
  <c r="AV791" i="5"/>
  <c r="AU791" i="5"/>
  <c r="H791" i="5"/>
  <c r="G791" i="5"/>
  <c r="BJ790" i="5"/>
  <c r="BI790" i="5"/>
  <c r="BH790" i="5"/>
  <c r="BG790" i="5"/>
  <c r="BF790" i="5"/>
  <c r="BE790" i="5"/>
  <c r="BD790" i="5"/>
  <c r="BC790" i="5"/>
  <c r="BB790" i="5"/>
  <c r="BA790" i="5"/>
  <c r="AZ790" i="5"/>
  <c r="AY790" i="5"/>
  <c r="AX790" i="5"/>
  <c r="AW790" i="5"/>
  <c r="AV790" i="5"/>
  <c r="AU790" i="5"/>
  <c r="H790" i="5"/>
  <c r="G790" i="5"/>
  <c r="BJ789" i="5"/>
  <c r="BI789" i="5"/>
  <c r="BH789" i="5"/>
  <c r="BG789" i="5"/>
  <c r="BF789" i="5"/>
  <c r="BE789" i="5"/>
  <c r="BD789" i="5"/>
  <c r="BC789" i="5"/>
  <c r="BB789" i="5"/>
  <c r="BA789" i="5"/>
  <c r="AZ789" i="5"/>
  <c r="AY789" i="5"/>
  <c r="AX789" i="5"/>
  <c r="AW789" i="5"/>
  <c r="AV789" i="5"/>
  <c r="AU789" i="5"/>
  <c r="H789" i="5"/>
  <c r="G789" i="5"/>
  <c r="BJ788" i="5"/>
  <c r="BI788" i="5"/>
  <c r="BH788" i="5"/>
  <c r="BG788" i="5"/>
  <c r="BF788" i="5"/>
  <c r="BE788" i="5"/>
  <c r="BD788" i="5"/>
  <c r="BC788" i="5"/>
  <c r="BB788" i="5"/>
  <c r="BA788" i="5"/>
  <c r="AZ788" i="5"/>
  <c r="AY788" i="5"/>
  <c r="AX788" i="5"/>
  <c r="AW788" i="5"/>
  <c r="AV788" i="5"/>
  <c r="AU788" i="5"/>
  <c r="H788" i="5"/>
  <c r="G788" i="5"/>
  <c r="BJ787" i="5"/>
  <c r="BI787" i="5"/>
  <c r="BH787" i="5"/>
  <c r="BG787" i="5"/>
  <c r="BF787" i="5"/>
  <c r="BE787" i="5"/>
  <c r="BD787" i="5"/>
  <c r="BC787" i="5"/>
  <c r="BB787" i="5"/>
  <c r="BA787" i="5"/>
  <c r="AZ787" i="5"/>
  <c r="AY787" i="5"/>
  <c r="AX787" i="5"/>
  <c r="AW787" i="5"/>
  <c r="AV787" i="5"/>
  <c r="AU787" i="5"/>
  <c r="H787" i="5"/>
  <c r="G787" i="5"/>
  <c r="BJ786" i="5"/>
  <c r="BI786" i="5"/>
  <c r="BH786" i="5"/>
  <c r="BG786" i="5"/>
  <c r="BF786" i="5"/>
  <c r="BE786" i="5"/>
  <c r="BD786" i="5"/>
  <c r="BC786" i="5"/>
  <c r="BB786" i="5"/>
  <c r="BA786" i="5"/>
  <c r="AZ786" i="5"/>
  <c r="AY786" i="5"/>
  <c r="AX786" i="5"/>
  <c r="AW786" i="5"/>
  <c r="AV786" i="5"/>
  <c r="AU786" i="5"/>
  <c r="H786" i="5"/>
  <c r="G786" i="5"/>
  <c r="BJ785" i="5"/>
  <c r="BI785" i="5"/>
  <c r="BH785" i="5"/>
  <c r="BG785" i="5"/>
  <c r="BF785" i="5"/>
  <c r="BE785" i="5"/>
  <c r="BD785" i="5"/>
  <c r="BC785" i="5"/>
  <c r="BB785" i="5"/>
  <c r="BA785" i="5"/>
  <c r="AZ785" i="5"/>
  <c r="AY785" i="5"/>
  <c r="AX785" i="5"/>
  <c r="AW785" i="5"/>
  <c r="AV785" i="5"/>
  <c r="AU785" i="5"/>
  <c r="H785" i="5"/>
  <c r="G785" i="5"/>
  <c r="BJ784" i="5"/>
  <c r="BI784" i="5"/>
  <c r="BH784" i="5"/>
  <c r="BG784" i="5"/>
  <c r="BF784" i="5"/>
  <c r="BE784" i="5"/>
  <c r="BD784" i="5"/>
  <c r="BC784" i="5"/>
  <c r="BB784" i="5"/>
  <c r="BA784" i="5"/>
  <c r="AZ784" i="5"/>
  <c r="AY784" i="5"/>
  <c r="AX784" i="5"/>
  <c r="AW784" i="5"/>
  <c r="AV784" i="5"/>
  <c r="AU784" i="5"/>
  <c r="H784" i="5"/>
  <c r="G784" i="5"/>
  <c r="BJ783" i="5"/>
  <c r="BI783" i="5"/>
  <c r="BH783" i="5"/>
  <c r="BG783" i="5"/>
  <c r="BF783" i="5"/>
  <c r="BE783" i="5"/>
  <c r="BD783" i="5"/>
  <c r="BC783" i="5"/>
  <c r="BB783" i="5"/>
  <c r="BA783" i="5"/>
  <c r="AZ783" i="5"/>
  <c r="AY783" i="5"/>
  <c r="AX783" i="5"/>
  <c r="AW783" i="5"/>
  <c r="AV783" i="5"/>
  <c r="AU783" i="5"/>
  <c r="H783" i="5"/>
  <c r="G783" i="5"/>
  <c r="BJ782" i="5"/>
  <c r="BI782" i="5"/>
  <c r="BH782" i="5"/>
  <c r="BG782" i="5"/>
  <c r="BF782" i="5"/>
  <c r="BE782" i="5"/>
  <c r="BD782" i="5"/>
  <c r="BC782" i="5"/>
  <c r="BB782" i="5"/>
  <c r="BA782" i="5"/>
  <c r="AZ782" i="5"/>
  <c r="AY782" i="5"/>
  <c r="AX782" i="5"/>
  <c r="AW782" i="5"/>
  <c r="AV782" i="5"/>
  <c r="AU782" i="5"/>
  <c r="H782" i="5"/>
  <c r="G782" i="5"/>
  <c r="BJ781" i="5"/>
  <c r="BI781" i="5"/>
  <c r="BH781" i="5"/>
  <c r="BG781" i="5"/>
  <c r="BF781" i="5"/>
  <c r="BE781" i="5"/>
  <c r="BD781" i="5"/>
  <c r="BC781" i="5"/>
  <c r="BB781" i="5"/>
  <c r="BA781" i="5"/>
  <c r="AZ781" i="5"/>
  <c r="AY781" i="5"/>
  <c r="AX781" i="5"/>
  <c r="AW781" i="5"/>
  <c r="AV781" i="5"/>
  <c r="AU781" i="5"/>
  <c r="H781" i="5"/>
  <c r="G781" i="5"/>
  <c r="BJ780" i="5"/>
  <c r="BI780" i="5"/>
  <c r="BH780" i="5"/>
  <c r="BG780" i="5"/>
  <c r="BF780" i="5"/>
  <c r="BE780" i="5"/>
  <c r="BD780" i="5"/>
  <c r="BC780" i="5"/>
  <c r="BB780" i="5"/>
  <c r="BA780" i="5"/>
  <c r="AZ780" i="5"/>
  <c r="AY780" i="5"/>
  <c r="AX780" i="5"/>
  <c r="AW780" i="5"/>
  <c r="AV780" i="5"/>
  <c r="AU780" i="5"/>
  <c r="H780" i="5"/>
  <c r="G780" i="5"/>
  <c r="BJ779" i="5"/>
  <c r="BI779" i="5"/>
  <c r="BH779" i="5"/>
  <c r="BG779" i="5"/>
  <c r="BF779" i="5"/>
  <c r="BE779" i="5"/>
  <c r="BD779" i="5"/>
  <c r="BC779" i="5"/>
  <c r="BB779" i="5"/>
  <c r="BA779" i="5"/>
  <c r="AZ779" i="5"/>
  <c r="AY779" i="5"/>
  <c r="AX779" i="5"/>
  <c r="AW779" i="5"/>
  <c r="AV779" i="5"/>
  <c r="AU779" i="5"/>
  <c r="H779" i="5"/>
  <c r="G779" i="5"/>
  <c r="BJ778" i="5"/>
  <c r="BI778" i="5"/>
  <c r="BH778" i="5"/>
  <c r="BG778" i="5"/>
  <c r="BF778" i="5"/>
  <c r="BE778" i="5"/>
  <c r="BD778" i="5"/>
  <c r="BC778" i="5"/>
  <c r="BB778" i="5"/>
  <c r="BA778" i="5"/>
  <c r="AZ778" i="5"/>
  <c r="AY778" i="5"/>
  <c r="AX778" i="5"/>
  <c r="AW778" i="5"/>
  <c r="AV778" i="5"/>
  <c r="AU778" i="5"/>
  <c r="H778" i="5"/>
  <c r="G778" i="5"/>
  <c r="BJ777" i="5"/>
  <c r="BI777" i="5"/>
  <c r="BH777" i="5"/>
  <c r="BG777" i="5"/>
  <c r="BF777" i="5"/>
  <c r="BE777" i="5"/>
  <c r="BD777" i="5"/>
  <c r="BC777" i="5"/>
  <c r="BB777" i="5"/>
  <c r="BA777" i="5"/>
  <c r="AZ777" i="5"/>
  <c r="AY777" i="5"/>
  <c r="AX777" i="5"/>
  <c r="AW777" i="5"/>
  <c r="AV777" i="5"/>
  <c r="AU777" i="5"/>
  <c r="H777" i="5"/>
  <c r="G777" i="5"/>
  <c r="BJ776" i="5"/>
  <c r="BI776" i="5"/>
  <c r="BH776" i="5"/>
  <c r="BG776" i="5"/>
  <c r="BF776" i="5"/>
  <c r="BE776" i="5"/>
  <c r="BD776" i="5"/>
  <c r="BC776" i="5"/>
  <c r="BB776" i="5"/>
  <c r="BA776" i="5"/>
  <c r="AZ776" i="5"/>
  <c r="AY776" i="5"/>
  <c r="AX776" i="5"/>
  <c r="AW776" i="5"/>
  <c r="AV776" i="5"/>
  <c r="AU776" i="5"/>
  <c r="H776" i="5"/>
  <c r="G776" i="5"/>
  <c r="BJ775" i="5"/>
  <c r="BI775" i="5"/>
  <c r="BH775" i="5"/>
  <c r="BG775" i="5"/>
  <c r="BF775" i="5"/>
  <c r="BE775" i="5"/>
  <c r="BD775" i="5"/>
  <c r="BC775" i="5"/>
  <c r="BB775" i="5"/>
  <c r="BA775" i="5"/>
  <c r="AZ775" i="5"/>
  <c r="AY775" i="5"/>
  <c r="AX775" i="5"/>
  <c r="AW775" i="5"/>
  <c r="AV775" i="5"/>
  <c r="AU775" i="5"/>
  <c r="H775" i="5"/>
  <c r="G775" i="5"/>
  <c r="BJ774" i="5"/>
  <c r="BI774" i="5"/>
  <c r="BH774" i="5"/>
  <c r="BG774" i="5"/>
  <c r="BF774" i="5"/>
  <c r="BE774" i="5"/>
  <c r="BD774" i="5"/>
  <c r="BC774" i="5"/>
  <c r="BB774" i="5"/>
  <c r="BA774" i="5"/>
  <c r="AZ774" i="5"/>
  <c r="AY774" i="5"/>
  <c r="AX774" i="5"/>
  <c r="AW774" i="5"/>
  <c r="AV774" i="5"/>
  <c r="AU774" i="5"/>
  <c r="H774" i="5"/>
  <c r="G774" i="5"/>
  <c r="BJ773" i="5"/>
  <c r="BI773" i="5"/>
  <c r="BH773" i="5"/>
  <c r="BG773" i="5"/>
  <c r="BF773" i="5"/>
  <c r="BE773" i="5"/>
  <c r="BD773" i="5"/>
  <c r="BC773" i="5"/>
  <c r="BB773" i="5"/>
  <c r="BA773" i="5"/>
  <c r="AZ773" i="5"/>
  <c r="AY773" i="5"/>
  <c r="AX773" i="5"/>
  <c r="AW773" i="5"/>
  <c r="AV773" i="5"/>
  <c r="AU773" i="5"/>
  <c r="H773" i="5"/>
  <c r="G773" i="5"/>
  <c r="BJ772" i="5"/>
  <c r="BI772" i="5"/>
  <c r="BH772" i="5"/>
  <c r="BG772" i="5"/>
  <c r="BF772" i="5"/>
  <c r="BE772" i="5"/>
  <c r="BD772" i="5"/>
  <c r="BC772" i="5"/>
  <c r="BB772" i="5"/>
  <c r="BA772" i="5"/>
  <c r="AZ772" i="5"/>
  <c r="AY772" i="5"/>
  <c r="AX772" i="5"/>
  <c r="AW772" i="5"/>
  <c r="AV772" i="5"/>
  <c r="AU772" i="5"/>
  <c r="H772" i="5"/>
  <c r="G772" i="5"/>
  <c r="BJ771" i="5"/>
  <c r="BI771" i="5"/>
  <c r="BH771" i="5"/>
  <c r="BG771" i="5"/>
  <c r="BF771" i="5"/>
  <c r="BE771" i="5"/>
  <c r="BD771" i="5"/>
  <c r="BC771" i="5"/>
  <c r="BB771" i="5"/>
  <c r="BA771" i="5"/>
  <c r="AZ771" i="5"/>
  <c r="AY771" i="5"/>
  <c r="AX771" i="5"/>
  <c r="AW771" i="5"/>
  <c r="AV771" i="5"/>
  <c r="AU771" i="5"/>
  <c r="H771" i="5"/>
  <c r="G771" i="5"/>
  <c r="BJ770" i="5"/>
  <c r="BI770" i="5"/>
  <c r="BH770" i="5"/>
  <c r="BG770" i="5"/>
  <c r="BF770" i="5"/>
  <c r="BE770" i="5"/>
  <c r="BD770" i="5"/>
  <c r="BC770" i="5"/>
  <c r="BB770" i="5"/>
  <c r="BA770" i="5"/>
  <c r="AZ770" i="5"/>
  <c r="AY770" i="5"/>
  <c r="AX770" i="5"/>
  <c r="AW770" i="5"/>
  <c r="AV770" i="5"/>
  <c r="AU770" i="5"/>
  <c r="H770" i="5"/>
  <c r="G770" i="5"/>
  <c r="BJ769" i="5"/>
  <c r="BI769" i="5"/>
  <c r="BH769" i="5"/>
  <c r="BG769" i="5"/>
  <c r="BF769" i="5"/>
  <c r="BE769" i="5"/>
  <c r="BD769" i="5"/>
  <c r="BC769" i="5"/>
  <c r="BB769" i="5"/>
  <c r="BA769" i="5"/>
  <c r="AZ769" i="5"/>
  <c r="AY769" i="5"/>
  <c r="AX769" i="5"/>
  <c r="AW769" i="5"/>
  <c r="AV769" i="5"/>
  <c r="AU769" i="5"/>
  <c r="H769" i="5"/>
  <c r="G769" i="5"/>
  <c r="BJ768" i="5"/>
  <c r="BI768" i="5"/>
  <c r="BH768" i="5"/>
  <c r="BG768" i="5"/>
  <c r="BF768" i="5"/>
  <c r="BE768" i="5"/>
  <c r="BD768" i="5"/>
  <c r="BC768" i="5"/>
  <c r="BB768" i="5"/>
  <c r="BA768" i="5"/>
  <c r="AZ768" i="5"/>
  <c r="AY768" i="5"/>
  <c r="AX768" i="5"/>
  <c r="AW768" i="5"/>
  <c r="AV768" i="5"/>
  <c r="AU768" i="5"/>
  <c r="H768" i="5"/>
  <c r="G768" i="5"/>
  <c r="BJ767" i="5"/>
  <c r="BI767" i="5"/>
  <c r="BH767" i="5"/>
  <c r="BG767" i="5"/>
  <c r="BF767" i="5"/>
  <c r="BE767" i="5"/>
  <c r="BD767" i="5"/>
  <c r="BC767" i="5"/>
  <c r="BB767" i="5"/>
  <c r="BA767" i="5"/>
  <c r="AZ767" i="5"/>
  <c r="AY767" i="5"/>
  <c r="AX767" i="5"/>
  <c r="AW767" i="5"/>
  <c r="AV767" i="5"/>
  <c r="AU767" i="5"/>
  <c r="H767" i="5"/>
  <c r="G767" i="5"/>
  <c r="BJ766" i="5"/>
  <c r="BI766" i="5"/>
  <c r="BH766" i="5"/>
  <c r="BG766" i="5"/>
  <c r="BF766" i="5"/>
  <c r="BE766" i="5"/>
  <c r="BD766" i="5"/>
  <c r="BC766" i="5"/>
  <c r="BB766" i="5"/>
  <c r="BA766" i="5"/>
  <c r="AZ766" i="5"/>
  <c r="AY766" i="5"/>
  <c r="AX766" i="5"/>
  <c r="AW766" i="5"/>
  <c r="AV766" i="5"/>
  <c r="AU766" i="5"/>
  <c r="H766" i="5"/>
  <c r="G766" i="5"/>
  <c r="BJ765" i="5"/>
  <c r="BI765" i="5"/>
  <c r="BH765" i="5"/>
  <c r="BG765" i="5"/>
  <c r="BF765" i="5"/>
  <c r="BE765" i="5"/>
  <c r="BD765" i="5"/>
  <c r="BC765" i="5"/>
  <c r="BB765" i="5"/>
  <c r="BA765" i="5"/>
  <c r="AZ765" i="5"/>
  <c r="AY765" i="5"/>
  <c r="AX765" i="5"/>
  <c r="AW765" i="5"/>
  <c r="AV765" i="5"/>
  <c r="AU765" i="5"/>
  <c r="H765" i="5"/>
  <c r="G765" i="5"/>
  <c r="BJ764" i="5"/>
  <c r="BI764" i="5"/>
  <c r="BH764" i="5"/>
  <c r="BG764" i="5"/>
  <c r="BF764" i="5"/>
  <c r="BE764" i="5"/>
  <c r="BD764" i="5"/>
  <c r="BC764" i="5"/>
  <c r="BB764" i="5"/>
  <c r="BA764" i="5"/>
  <c r="AZ764" i="5"/>
  <c r="AY764" i="5"/>
  <c r="AX764" i="5"/>
  <c r="AW764" i="5"/>
  <c r="AV764" i="5"/>
  <c r="AU764" i="5"/>
  <c r="H764" i="5"/>
  <c r="G764" i="5"/>
  <c r="BJ763" i="5"/>
  <c r="BI763" i="5"/>
  <c r="BH763" i="5"/>
  <c r="BG763" i="5"/>
  <c r="BF763" i="5"/>
  <c r="BE763" i="5"/>
  <c r="BD763" i="5"/>
  <c r="BC763" i="5"/>
  <c r="BB763" i="5"/>
  <c r="BA763" i="5"/>
  <c r="AZ763" i="5"/>
  <c r="AY763" i="5"/>
  <c r="AX763" i="5"/>
  <c r="AW763" i="5"/>
  <c r="AV763" i="5"/>
  <c r="AU763" i="5"/>
  <c r="H763" i="5"/>
  <c r="G763" i="5"/>
  <c r="BJ762" i="5"/>
  <c r="BI762" i="5"/>
  <c r="BH762" i="5"/>
  <c r="BG762" i="5"/>
  <c r="BF762" i="5"/>
  <c r="BE762" i="5"/>
  <c r="BD762" i="5"/>
  <c r="BC762" i="5"/>
  <c r="BB762" i="5"/>
  <c r="BA762" i="5"/>
  <c r="AZ762" i="5"/>
  <c r="AY762" i="5"/>
  <c r="AX762" i="5"/>
  <c r="AW762" i="5"/>
  <c r="AV762" i="5"/>
  <c r="AU762" i="5"/>
  <c r="H762" i="5"/>
  <c r="G762" i="5"/>
  <c r="BJ761" i="5"/>
  <c r="BI761" i="5"/>
  <c r="BH761" i="5"/>
  <c r="BG761" i="5"/>
  <c r="BF761" i="5"/>
  <c r="BE761" i="5"/>
  <c r="BD761" i="5"/>
  <c r="BC761" i="5"/>
  <c r="BB761" i="5"/>
  <c r="BA761" i="5"/>
  <c r="AZ761" i="5"/>
  <c r="AY761" i="5"/>
  <c r="AX761" i="5"/>
  <c r="AW761" i="5"/>
  <c r="AV761" i="5"/>
  <c r="AU761" i="5"/>
  <c r="H761" i="5"/>
  <c r="G761" i="5"/>
  <c r="BJ760" i="5"/>
  <c r="BI760" i="5"/>
  <c r="BH760" i="5"/>
  <c r="BG760" i="5"/>
  <c r="BF760" i="5"/>
  <c r="BE760" i="5"/>
  <c r="BD760" i="5"/>
  <c r="BC760" i="5"/>
  <c r="BB760" i="5"/>
  <c r="BA760" i="5"/>
  <c r="AZ760" i="5"/>
  <c r="AY760" i="5"/>
  <c r="AX760" i="5"/>
  <c r="AW760" i="5"/>
  <c r="AV760" i="5"/>
  <c r="AU760" i="5"/>
  <c r="H760" i="5"/>
  <c r="G760" i="5"/>
  <c r="BJ759" i="5"/>
  <c r="BI759" i="5"/>
  <c r="BH759" i="5"/>
  <c r="BG759" i="5"/>
  <c r="BF759" i="5"/>
  <c r="BE759" i="5"/>
  <c r="BD759" i="5"/>
  <c r="BC759" i="5"/>
  <c r="BB759" i="5"/>
  <c r="BA759" i="5"/>
  <c r="AZ759" i="5"/>
  <c r="AY759" i="5"/>
  <c r="AX759" i="5"/>
  <c r="AW759" i="5"/>
  <c r="AV759" i="5"/>
  <c r="AU759" i="5"/>
  <c r="H759" i="5"/>
  <c r="G759" i="5"/>
  <c r="BJ758" i="5"/>
  <c r="BI758" i="5"/>
  <c r="BH758" i="5"/>
  <c r="BG758" i="5"/>
  <c r="BF758" i="5"/>
  <c r="BE758" i="5"/>
  <c r="BD758" i="5"/>
  <c r="BC758" i="5"/>
  <c r="BB758" i="5"/>
  <c r="BA758" i="5"/>
  <c r="AZ758" i="5"/>
  <c r="AY758" i="5"/>
  <c r="AX758" i="5"/>
  <c r="AW758" i="5"/>
  <c r="AV758" i="5"/>
  <c r="AU758" i="5"/>
  <c r="H758" i="5"/>
  <c r="G758" i="5"/>
  <c r="BJ757" i="5"/>
  <c r="BI757" i="5"/>
  <c r="BH757" i="5"/>
  <c r="BG757" i="5"/>
  <c r="BF757" i="5"/>
  <c r="BE757" i="5"/>
  <c r="BD757" i="5"/>
  <c r="BC757" i="5"/>
  <c r="BB757" i="5"/>
  <c r="BA757" i="5"/>
  <c r="AZ757" i="5"/>
  <c r="AY757" i="5"/>
  <c r="AX757" i="5"/>
  <c r="AW757" i="5"/>
  <c r="AV757" i="5"/>
  <c r="AU757" i="5"/>
  <c r="H757" i="5"/>
  <c r="G757" i="5"/>
  <c r="BJ756" i="5"/>
  <c r="BI756" i="5"/>
  <c r="BH756" i="5"/>
  <c r="BG756" i="5"/>
  <c r="BF756" i="5"/>
  <c r="BE756" i="5"/>
  <c r="BD756" i="5"/>
  <c r="BC756" i="5"/>
  <c r="BB756" i="5"/>
  <c r="BA756" i="5"/>
  <c r="AZ756" i="5"/>
  <c r="AY756" i="5"/>
  <c r="AX756" i="5"/>
  <c r="AW756" i="5"/>
  <c r="AV756" i="5"/>
  <c r="AU756" i="5"/>
  <c r="H756" i="5"/>
  <c r="G756" i="5"/>
  <c r="BJ755" i="5"/>
  <c r="BI755" i="5"/>
  <c r="BH755" i="5"/>
  <c r="BG755" i="5"/>
  <c r="BF755" i="5"/>
  <c r="BE755" i="5"/>
  <c r="BD755" i="5"/>
  <c r="BC755" i="5"/>
  <c r="BB755" i="5"/>
  <c r="BA755" i="5"/>
  <c r="AZ755" i="5"/>
  <c r="AY755" i="5"/>
  <c r="AX755" i="5"/>
  <c r="AW755" i="5"/>
  <c r="AV755" i="5"/>
  <c r="AU755" i="5"/>
  <c r="H755" i="5"/>
  <c r="G755" i="5"/>
  <c r="BJ754" i="5"/>
  <c r="BI754" i="5"/>
  <c r="BH754" i="5"/>
  <c r="BG754" i="5"/>
  <c r="BF754" i="5"/>
  <c r="BE754" i="5"/>
  <c r="BD754" i="5"/>
  <c r="BC754" i="5"/>
  <c r="BB754" i="5"/>
  <c r="BA754" i="5"/>
  <c r="AZ754" i="5"/>
  <c r="AY754" i="5"/>
  <c r="AX754" i="5"/>
  <c r="AW754" i="5"/>
  <c r="AV754" i="5"/>
  <c r="AU754" i="5"/>
  <c r="H754" i="5"/>
  <c r="G754" i="5"/>
  <c r="BJ753" i="5"/>
  <c r="BI753" i="5"/>
  <c r="BH753" i="5"/>
  <c r="BG753" i="5"/>
  <c r="BF753" i="5"/>
  <c r="BE753" i="5"/>
  <c r="BD753" i="5"/>
  <c r="BC753" i="5"/>
  <c r="BB753" i="5"/>
  <c r="BA753" i="5"/>
  <c r="AZ753" i="5"/>
  <c r="AY753" i="5"/>
  <c r="AX753" i="5"/>
  <c r="AW753" i="5"/>
  <c r="AV753" i="5"/>
  <c r="AU753" i="5"/>
  <c r="H753" i="5"/>
  <c r="G753" i="5"/>
  <c r="BJ752" i="5"/>
  <c r="BI752" i="5"/>
  <c r="BH752" i="5"/>
  <c r="BG752" i="5"/>
  <c r="BF752" i="5"/>
  <c r="BE752" i="5"/>
  <c r="BD752" i="5"/>
  <c r="BC752" i="5"/>
  <c r="BB752" i="5"/>
  <c r="BA752" i="5"/>
  <c r="AZ752" i="5"/>
  <c r="AY752" i="5"/>
  <c r="AX752" i="5"/>
  <c r="AW752" i="5"/>
  <c r="AV752" i="5"/>
  <c r="AU752" i="5"/>
  <c r="H752" i="5"/>
  <c r="G752" i="5"/>
  <c r="BJ751" i="5"/>
  <c r="BI751" i="5"/>
  <c r="BH751" i="5"/>
  <c r="BG751" i="5"/>
  <c r="BF751" i="5"/>
  <c r="BE751" i="5"/>
  <c r="BD751" i="5"/>
  <c r="BC751" i="5"/>
  <c r="BB751" i="5"/>
  <c r="BA751" i="5"/>
  <c r="AZ751" i="5"/>
  <c r="AY751" i="5"/>
  <c r="AX751" i="5"/>
  <c r="AW751" i="5"/>
  <c r="AV751" i="5"/>
  <c r="AU751" i="5"/>
  <c r="H751" i="5"/>
  <c r="G751" i="5"/>
  <c r="BJ750" i="5"/>
  <c r="BI750" i="5"/>
  <c r="BH750" i="5"/>
  <c r="BG750" i="5"/>
  <c r="BF750" i="5"/>
  <c r="BE750" i="5"/>
  <c r="BD750" i="5"/>
  <c r="BC750" i="5"/>
  <c r="BB750" i="5"/>
  <c r="BA750" i="5"/>
  <c r="AZ750" i="5"/>
  <c r="AY750" i="5"/>
  <c r="AX750" i="5"/>
  <c r="AW750" i="5"/>
  <c r="AV750" i="5"/>
  <c r="AU750" i="5"/>
  <c r="H750" i="5"/>
  <c r="G750" i="5"/>
  <c r="BJ749" i="5"/>
  <c r="BI749" i="5"/>
  <c r="BH749" i="5"/>
  <c r="BG749" i="5"/>
  <c r="BF749" i="5"/>
  <c r="BE749" i="5"/>
  <c r="BD749" i="5"/>
  <c r="BC749" i="5"/>
  <c r="BB749" i="5"/>
  <c r="BA749" i="5"/>
  <c r="AZ749" i="5"/>
  <c r="AY749" i="5"/>
  <c r="AX749" i="5"/>
  <c r="AW749" i="5"/>
  <c r="AV749" i="5"/>
  <c r="AU749" i="5"/>
  <c r="H749" i="5"/>
  <c r="G749" i="5"/>
  <c r="BJ748" i="5"/>
  <c r="BI748" i="5"/>
  <c r="BH748" i="5"/>
  <c r="BG748" i="5"/>
  <c r="BF748" i="5"/>
  <c r="BE748" i="5"/>
  <c r="BD748" i="5"/>
  <c r="BC748" i="5"/>
  <c r="BB748" i="5"/>
  <c r="BA748" i="5"/>
  <c r="AZ748" i="5"/>
  <c r="AY748" i="5"/>
  <c r="AX748" i="5"/>
  <c r="AW748" i="5"/>
  <c r="AV748" i="5"/>
  <c r="AU748" i="5"/>
  <c r="H748" i="5"/>
  <c r="G748" i="5"/>
  <c r="BJ747" i="5"/>
  <c r="BI747" i="5"/>
  <c r="BH747" i="5"/>
  <c r="BG747" i="5"/>
  <c r="BF747" i="5"/>
  <c r="BE747" i="5"/>
  <c r="BD747" i="5"/>
  <c r="BC747" i="5"/>
  <c r="BB747" i="5"/>
  <c r="BA747" i="5"/>
  <c r="AZ747" i="5"/>
  <c r="AY747" i="5"/>
  <c r="AX747" i="5"/>
  <c r="AW747" i="5"/>
  <c r="AV747" i="5"/>
  <c r="AU747" i="5"/>
  <c r="H747" i="5"/>
  <c r="G747" i="5"/>
  <c r="BJ746" i="5"/>
  <c r="BI746" i="5"/>
  <c r="BH746" i="5"/>
  <c r="BG746" i="5"/>
  <c r="BF746" i="5"/>
  <c r="BE746" i="5"/>
  <c r="BD746" i="5"/>
  <c r="BC746" i="5"/>
  <c r="BB746" i="5"/>
  <c r="BA746" i="5"/>
  <c r="AZ746" i="5"/>
  <c r="AY746" i="5"/>
  <c r="AX746" i="5"/>
  <c r="AW746" i="5"/>
  <c r="AV746" i="5"/>
  <c r="AU746" i="5"/>
  <c r="H746" i="5"/>
  <c r="G746" i="5"/>
  <c r="BJ745" i="5"/>
  <c r="BI745" i="5"/>
  <c r="BH745" i="5"/>
  <c r="BG745" i="5"/>
  <c r="BF745" i="5"/>
  <c r="BE745" i="5"/>
  <c r="BD745" i="5"/>
  <c r="BC745" i="5"/>
  <c r="BB745" i="5"/>
  <c r="BA745" i="5"/>
  <c r="AZ745" i="5"/>
  <c r="AY745" i="5"/>
  <c r="AX745" i="5"/>
  <c r="AW745" i="5"/>
  <c r="AV745" i="5"/>
  <c r="AU745" i="5"/>
  <c r="H745" i="5"/>
  <c r="G745" i="5"/>
  <c r="BJ744" i="5"/>
  <c r="BI744" i="5"/>
  <c r="BH744" i="5"/>
  <c r="BG744" i="5"/>
  <c r="BF744" i="5"/>
  <c r="BE744" i="5"/>
  <c r="BD744" i="5"/>
  <c r="BC744" i="5"/>
  <c r="BB744" i="5"/>
  <c r="BA744" i="5"/>
  <c r="AZ744" i="5"/>
  <c r="AY744" i="5"/>
  <c r="AX744" i="5"/>
  <c r="AW744" i="5"/>
  <c r="AV744" i="5"/>
  <c r="AU744" i="5"/>
  <c r="H744" i="5"/>
  <c r="G744" i="5"/>
  <c r="BJ743" i="5"/>
  <c r="BI743" i="5"/>
  <c r="BH743" i="5"/>
  <c r="BG743" i="5"/>
  <c r="BF743" i="5"/>
  <c r="BE743" i="5"/>
  <c r="BD743" i="5"/>
  <c r="BC743" i="5"/>
  <c r="BB743" i="5"/>
  <c r="BA743" i="5"/>
  <c r="AZ743" i="5"/>
  <c r="AY743" i="5"/>
  <c r="AX743" i="5"/>
  <c r="AW743" i="5"/>
  <c r="AV743" i="5"/>
  <c r="AU743" i="5"/>
  <c r="H743" i="5"/>
  <c r="G743" i="5"/>
  <c r="BJ742" i="5"/>
  <c r="BI742" i="5"/>
  <c r="BH742" i="5"/>
  <c r="BG742" i="5"/>
  <c r="BF742" i="5"/>
  <c r="BE742" i="5"/>
  <c r="BD742" i="5"/>
  <c r="BC742" i="5"/>
  <c r="BB742" i="5"/>
  <c r="BA742" i="5"/>
  <c r="AZ742" i="5"/>
  <c r="AY742" i="5"/>
  <c r="AX742" i="5"/>
  <c r="AW742" i="5"/>
  <c r="AV742" i="5"/>
  <c r="AU742" i="5"/>
  <c r="H742" i="5"/>
  <c r="G742" i="5"/>
  <c r="BJ741" i="5"/>
  <c r="BI741" i="5"/>
  <c r="BH741" i="5"/>
  <c r="BG741" i="5"/>
  <c r="BF741" i="5"/>
  <c r="BE741" i="5"/>
  <c r="BD741" i="5"/>
  <c r="BC741" i="5"/>
  <c r="BB741" i="5"/>
  <c r="BA741" i="5"/>
  <c r="AZ741" i="5"/>
  <c r="AY741" i="5"/>
  <c r="AX741" i="5"/>
  <c r="AW741" i="5"/>
  <c r="AV741" i="5"/>
  <c r="AU741" i="5"/>
  <c r="H741" i="5"/>
  <c r="G741" i="5"/>
  <c r="BJ740" i="5"/>
  <c r="BI740" i="5"/>
  <c r="BH740" i="5"/>
  <c r="BG740" i="5"/>
  <c r="BF740" i="5"/>
  <c r="BE740" i="5"/>
  <c r="BD740" i="5"/>
  <c r="BC740" i="5"/>
  <c r="BB740" i="5"/>
  <c r="BA740" i="5"/>
  <c r="AZ740" i="5"/>
  <c r="AY740" i="5"/>
  <c r="AX740" i="5"/>
  <c r="AW740" i="5"/>
  <c r="AV740" i="5"/>
  <c r="AU740" i="5"/>
  <c r="H740" i="5"/>
  <c r="G740" i="5"/>
  <c r="BJ739" i="5"/>
  <c r="BI739" i="5"/>
  <c r="BH739" i="5"/>
  <c r="BG739" i="5"/>
  <c r="BF739" i="5"/>
  <c r="BE739" i="5"/>
  <c r="BD739" i="5"/>
  <c r="BC739" i="5"/>
  <c r="BB739" i="5"/>
  <c r="BA739" i="5"/>
  <c r="AZ739" i="5"/>
  <c r="AY739" i="5"/>
  <c r="AX739" i="5"/>
  <c r="AW739" i="5"/>
  <c r="AV739" i="5"/>
  <c r="AU739" i="5"/>
  <c r="H739" i="5"/>
  <c r="G739" i="5"/>
  <c r="BJ738" i="5"/>
  <c r="BI738" i="5"/>
  <c r="BH738" i="5"/>
  <c r="BG738" i="5"/>
  <c r="BF738" i="5"/>
  <c r="BE738" i="5"/>
  <c r="BD738" i="5"/>
  <c r="BC738" i="5"/>
  <c r="BB738" i="5"/>
  <c r="BA738" i="5"/>
  <c r="AZ738" i="5"/>
  <c r="AY738" i="5"/>
  <c r="AX738" i="5"/>
  <c r="AW738" i="5"/>
  <c r="AV738" i="5"/>
  <c r="AU738" i="5"/>
  <c r="H738" i="5"/>
  <c r="G738" i="5"/>
  <c r="BJ737" i="5"/>
  <c r="BI737" i="5"/>
  <c r="BH737" i="5"/>
  <c r="BG737" i="5"/>
  <c r="BF737" i="5"/>
  <c r="BE737" i="5"/>
  <c r="BD737" i="5"/>
  <c r="BC737" i="5"/>
  <c r="BB737" i="5"/>
  <c r="BA737" i="5"/>
  <c r="AZ737" i="5"/>
  <c r="AY737" i="5"/>
  <c r="AX737" i="5"/>
  <c r="AW737" i="5"/>
  <c r="AV737" i="5"/>
  <c r="AU737" i="5"/>
  <c r="H737" i="5"/>
  <c r="G737" i="5"/>
  <c r="BJ736" i="5"/>
  <c r="BI736" i="5"/>
  <c r="BH736" i="5"/>
  <c r="BG736" i="5"/>
  <c r="BF736" i="5"/>
  <c r="BE736" i="5"/>
  <c r="BD736" i="5"/>
  <c r="BC736" i="5"/>
  <c r="BB736" i="5"/>
  <c r="BA736" i="5"/>
  <c r="AZ736" i="5"/>
  <c r="AY736" i="5"/>
  <c r="AX736" i="5"/>
  <c r="AW736" i="5"/>
  <c r="AV736" i="5"/>
  <c r="AU736" i="5"/>
  <c r="H736" i="5"/>
  <c r="G736" i="5"/>
  <c r="BJ735" i="5"/>
  <c r="BI735" i="5"/>
  <c r="BH735" i="5"/>
  <c r="BG735" i="5"/>
  <c r="BF735" i="5"/>
  <c r="BE735" i="5"/>
  <c r="BD735" i="5"/>
  <c r="BC735" i="5"/>
  <c r="BB735" i="5"/>
  <c r="BA735" i="5"/>
  <c r="AZ735" i="5"/>
  <c r="AY735" i="5"/>
  <c r="AX735" i="5"/>
  <c r="AW735" i="5"/>
  <c r="AV735" i="5"/>
  <c r="AU735" i="5"/>
  <c r="H735" i="5"/>
  <c r="G735" i="5"/>
  <c r="BJ734" i="5"/>
  <c r="BI734" i="5"/>
  <c r="BH734" i="5"/>
  <c r="BG734" i="5"/>
  <c r="BF734" i="5"/>
  <c r="BE734" i="5"/>
  <c r="BD734" i="5"/>
  <c r="BC734" i="5"/>
  <c r="BB734" i="5"/>
  <c r="BA734" i="5"/>
  <c r="AZ734" i="5"/>
  <c r="AY734" i="5"/>
  <c r="AX734" i="5"/>
  <c r="AW734" i="5"/>
  <c r="AV734" i="5"/>
  <c r="AU734" i="5"/>
  <c r="H734" i="5"/>
  <c r="G734" i="5"/>
  <c r="BJ733" i="5"/>
  <c r="BI733" i="5"/>
  <c r="BH733" i="5"/>
  <c r="BG733" i="5"/>
  <c r="BF733" i="5"/>
  <c r="BE733" i="5"/>
  <c r="BD733" i="5"/>
  <c r="BC733" i="5"/>
  <c r="BB733" i="5"/>
  <c r="BA733" i="5"/>
  <c r="AZ733" i="5"/>
  <c r="AY733" i="5"/>
  <c r="AX733" i="5"/>
  <c r="AW733" i="5"/>
  <c r="AV733" i="5"/>
  <c r="AU733" i="5"/>
  <c r="H733" i="5"/>
  <c r="G733" i="5"/>
  <c r="BJ732" i="5"/>
  <c r="BI732" i="5"/>
  <c r="BH732" i="5"/>
  <c r="BG732" i="5"/>
  <c r="BF732" i="5"/>
  <c r="BE732" i="5"/>
  <c r="BD732" i="5"/>
  <c r="BC732" i="5"/>
  <c r="BB732" i="5"/>
  <c r="BA732" i="5"/>
  <c r="AZ732" i="5"/>
  <c r="AY732" i="5"/>
  <c r="AX732" i="5"/>
  <c r="AW732" i="5"/>
  <c r="AV732" i="5"/>
  <c r="AU732" i="5"/>
  <c r="H732" i="5"/>
  <c r="G732" i="5"/>
  <c r="BJ731" i="5"/>
  <c r="BI731" i="5"/>
  <c r="BH731" i="5"/>
  <c r="BG731" i="5"/>
  <c r="BF731" i="5"/>
  <c r="BE731" i="5"/>
  <c r="BD731" i="5"/>
  <c r="BC731" i="5"/>
  <c r="BB731" i="5"/>
  <c r="BA731" i="5"/>
  <c r="AZ731" i="5"/>
  <c r="AY731" i="5"/>
  <c r="AX731" i="5"/>
  <c r="AW731" i="5"/>
  <c r="AV731" i="5"/>
  <c r="AU731" i="5"/>
  <c r="H731" i="5"/>
  <c r="G731" i="5"/>
  <c r="BJ730" i="5"/>
  <c r="BI730" i="5"/>
  <c r="BH730" i="5"/>
  <c r="BG730" i="5"/>
  <c r="BF730" i="5"/>
  <c r="BE730" i="5"/>
  <c r="BD730" i="5"/>
  <c r="BC730" i="5"/>
  <c r="BB730" i="5"/>
  <c r="BA730" i="5"/>
  <c r="AZ730" i="5"/>
  <c r="AY730" i="5"/>
  <c r="AX730" i="5"/>
  <c r="AW730" i="5"/>
  <c r="AV730" i="5"/>
  <c r="AU730" i="5"/>
  <c r="H730" i="5"/>
  <c r="G730" i="5"/>
  <c r="BJ729" i="5"/>
  <c r="BI729" i="5"/>
  <c r="BH729" i="5"/>
  <c r="BG729" i="5"/>
  <c r="BF729" i="5"/>
  <c r="BE729" i="5"/>
  <c r="BD729" i="5"/>
  <c r="BC729" i="5"/>
  <c r="BB729" i="5"/>
  <c r="BA729" i="5"/>
  <c r="AZ729" i="5"/>
  <c r="AY729" i="5"/>
  <c r="AX729" i="5"/>
  <c r="AW729" i="5"/>
  <c r="AV729" i="5"/>
  <c r="AU729" i="5"/>
  <c r="H729" i="5"/>
  <c r="G729" i="5"/>
  <c r="BJ728" i="5"/>
  <c r="BI728" i="5"/>
  <c r="BH728" i="5"/>
  <c r="BG728" i="5"/>
  <c r="BF728" i="5"/>
  <c r="BE728" i="5"/>
  <c r="BD728" i="5"/>
  <c r="BC728" i="5"/>
  <c r="BB728" i="5"/>
  <c r="BA728" i="5"/>
  <c r="AZ728" i="5"/>
  <c r="AY728" i="5"/>
  <c r="AX728" i="5"/>
  <c r="AW728" i="5"/>
  <c r="AV728" i="5"/>
  <c r="AU728" i="5"/>
  <c r="H728" i="5"/>
  <c r="G728" i="5"/>
  <c r="BJ727" i="5"/>
  <c r="BI727" i="5"/>
  <c r="BH727" i="5"/>
  <c r="BG727" i="5"/>
  <c r="BF727" i="5"/>
  <c r="BE727" i="5"/>
  <c r="BD727" i="5"/>
  <c r="BC727" i="5"/>
  <c r="BB727" i="5"/>
  <c r="BA727" i="5"/>
  <c r="AZ727" i="5"/>
  <c r="AY727" i="5"/>
  <c r="AX727" i="5"/>
  <c r="AW727" i="5"/>
  <c r="AV727" i="5"/>
  <c r="AU727" i="5"/>
  <c r="H727" i="5"/>
  <c r="G727" i="5"/>
  <c r="BJ726" i="5"/>
  <c r="BI726" i="5"/>
  <c r="BH726" i="5"/>
  <c r="BG726" i="5"/>
  <c r="BF726" i="5"/>
  <c r="BE726" i="5"/>
  <c r="BD726" i="5"/>
  <c r="BC726" i="5"/>
  <c r="BB726" i="5"/>
  <c r="BA726" i="5"/>
  <c r="AZ726" i="5"/>
  <c r="AY726" i="5"/>
  <c r="AX726" i="5"/>
  <c r="AW726" i="5"/>
  <c r="AV726" i="5"/>
  <c r="AU726" i="5"/>
  <c r="H726" i="5"/>
  <c r="G726" i="5"/>
  <c r="BJ725" i="5"/>
  <c r="BI725" i="5"/>
  <c r="BH725" i="5"/>
  <c r="BG725" i="5"/>
  <c r="BF725" i="5"/>
  <c r="BE725" i="5"/>
  <c r="BD725" i="5"/>
  <c r="BC725" i="5"/>
  <c r="BB725" i="5"/>
  <c r="BA725" i="5"/>
  <c r="AZ725" i="5"/>
  <c r="AY725" i="5"/>
  <c r="AX725" i="5"/>
  <c r="AW725" i="5"/>
  <c r="AV725" i="5"/>
  <c r="AU725" i="5"/>
  <c r="H725" i="5"/>
  <c r="G725" i="5"/>
  <c r="BJ724" i="5"/>
  <c r="BI724" i="5"/>
  <c r="BH724" i="5"/>
  <c r="BG724" i="5"/>
  <c r="BF724" i="5"/>
  <c r="BE724" i="5"/>
  <c r="BD724" i="5"/>
  <c r="BC724" i="5"/>
  <c r="BB724" i="5"/>
  <c r="BA724" i="5"/>
  <c r="AZ724" i="5"/>
  <c r="AY724" i="5"/>
  <c r="AX724" i="5"/>
  <c r="AW724" i="5"/>
  <c r="AV724" i="5"/>
  <c r="AU724" i="5"/>
  <c r="H724" i="5"/>
  <c r="G724" i="5"/>
  <c r="BJ723" i="5"/>
  <c r="BI723" i="5"/>
  <c r="BH723" i="5"/>
  <c r="BG723" i="5"/>
  <c r="BF723" i="5"/>
  <c r="BE723" i="5"/>
  <c r="BD723" i="5"/>
  <c r="BC723" i="5"/>
  <c r="BB723" i="5"/>
  <c r="BA723" i="5"/>
  <c r="AZ723" i="5"/>
  <c r="AY723" i="5"/>
  <c r="AX723" i="5"/>
  <c r="AW723" i="5"/>
  <c r="AV723" i="5"/>
  <c r="AU723" i="5"/>
  <c r="H723" i="5"/>
  <c r="G723" i="5"/>
  <c r="BJ722" i="5"/>
  <c r="BI722" i="5"/>
  <c r="BH722" i="5"/>
  <c r="BG722" i="5"/>
  <c r="BF722" i="5"/>
  <c r="BE722" i="5"/>
  <c r="BD722" i="5"/>
  <c r="BC722" i="5"/>
  <c r="BB722" i="5"/>
  <c r="BA722" i="5"/>
  <c r="AZ722" i="5"/>
  <c r="AY722" i="5"/>
  <c r="AX722" i="5"/>
  <c r="AW722" i="5"/>
  <c r="AV722" i="5"/>
  <c r="AU722" i="5"/>
  <c r="H722" i="5"/>
  <c r="G722" i="5"/>
  <c r="BJ721" i="5"/>
  <c r="BI721" i="5"/>
  <c r="BH721" i="5"/>
  <c r="BG721" i="5"/>
  <c r="BF721" i="5"/>
  <c r="BE721" i="5"/>
  <c r="BD721" i="5"/>
  <c r="BC721" i="5"/>
  <c r="BB721" i="5"/>
  <c r="BA721" i="5"/>
  <c r="AZ721" i="5"/>
  <c r="AY721" i="5"/>
  <c r="AX721" i="5"/>
  <c r="AW721" i="5"/>
  <c r="AV721" i="5"/>
  <c r="AU721" i="5"/>
  <c r="H721" i="5"/>
  <c r="G721" i="5"/>
  <c r="BJ720" i="5"/>
  <c r="BI720" i="5"/>
  <c r="BH720" i="5"/>
  <c r="BG720" i="5"/>
  <c r="BF720" i="5"/>
  <c r="BE720" i="5"/>
  <c r="BD720" i="5"/>
  <c r="BC720" i="5"/>
  <c r="BB720" i="5"/>
  <c r="BA720" i="5"/>
  <c r="AZ720" i="5"/>
  <c r="AY720" i="5"/>
  <c r="AX720" i="5"/>
  <c r="AW720" i="5"/>
  <c r="AV720" i="5"/>
  <c r="AU720" i="5"/>
  <c r="H720" i="5"/>
  <c r="G720" i="5"/>
  <c r="BJ719" i="5"/>
  <c r="BI719" i="5"/>
  <c r="BH719" i="5"/>
  <c r="BG719" i="5"/>
  <c r="BF719" i="5"/>
  <c r="BE719" i="5"/>
  <c r="BD719" i="5"/>
  <c r="BC719" i="5"/>
  <c r="BB719" i="5"/>
  <c r="BA719" i="5"/>
  <c r="AZ719" i="5"/>
  <c r="AY719" i="5"/>
  <c r="AX719" i="5"/>
  <c r="AW719" i="5"/>
  <c r="AV719" i="5"/>
  <c r="AU719" i="5"/>
  <c r="H719" i="5"/>
  <c r="G719" i="5"/>
  <c r="BJ718" i="5"/>
  <c r="BI718" i="5"/>
  <c r="BH718" i="5"/>
  <c r="BG718" i="5"/>
  <c r="BF718" i="5"/>
  <c r="BE718" i="5"/>
  <c r="BD718" i="5"/>
  <c r="BC718" i="5"/>
  <c r="BB718" i="5"/>
  <c r="BA718" i="5"/>
  <c r="AZ718" i="5"/>
  <c r="AY718" i="5"/>
  <c r="AX718" i="5"/>
  <c r="AW718" i="5"/>
  <c r="AV718" i="5"/>
  <c r="AU718" i="5"/>
  <c r="H718" i="5"/>
  <c r="G718" i="5"/>
  <c r="BJ717" i="5"/>
  <c r="BI717" i="5"/>
  <c r="BH717" i="5"/>
  <c r="BG717" i="5"/>
  <c r="BF717" i="5"/>
  <c r="BE717" i="5"/>
  <c r="BD717" i="5"/>
  <c r="BC717" i="5"/>
  <c r="BB717" i="5"/>
  <c r="BA717" i="5"/>
  <c r="AZ717" i="5"/>
  <c r="AY717" i="5"/>
  <c r="AX717" i="5"/>
  <c r="AW717" i="5"/>
  <c r="AV717" i="5"/>
  <c r="AU717" i="5"/>
  <c r="H717" i="5"/>
  <c r="G717" i="5"/>
  <c r="BJ716" i="5"/>
  <c r="BI716" i="5"/>
  <c r="BH716" i="5"/>
  <c r="BG716" i="5"/>
  <c r="BF716" i="5"/>
  <c r="BE716" i="5"/>
  <c r="BD716" i="5"/>
  <c r="BC716" i="5"/>
  <c r="BB716" i="5"/>
  <c r="BA716" i="5"/>
  <c r="AZ716" i="5"/>
  <c r="AY716" i="5"/>
  <c r="AX716" i="5"/>
  <c r="AW716" i="5"/>
  <c r="AV716" i="5"/>
  <c r="AU716" i="5"/>
  <c r="H716" i="5"/>
  <c r="G716" i="5"/>
  <c r="BJ715" i="5"/>
  <c r="BI715" i="5"/>
  <c r="BH715" i="5"/>
  <c r="BG715" i="5"/>
  <c r="BF715" i="5"/>
  <c r="BE715" i="5"/>
  <c r="BD715" i="5"/>
  <c r="BC715" i="5"/>
  <c r="BB715" i="5"/>
  <c r="BA715" i="5"/>
  <c r="AZ715" i="5"/>
  <c r="AY715" i="5"/>
  <c r="AX715" i="5"/>
  <c r="AW715" i="5"/>
  <c r="AV715" i="5"/>
  <c r="AU715" i="5"/>
  <c r="H715" i="5"/>
  <c r="G715" i="5"/>
  <c r="BJ714" i="5"/>
  <c r="BI714" i="5"/>
  <c r="BH714" i="5"/>
  <c r="BG714" i="5"/>
  <c r="BF714" i="5"/>
  <c r="BE714" i="5"/>
  <c r="BD714" i="5"/>
  <c r="BC714" i="5"/>
  <c r="BB714" i="5"/>
  <c r="BA714" i="5"/>
  <c r="AZ714" i="5"/>
  <c r="AY714" i="5"/>
  <c r="AX714" i="5"/>
  <c r="AW714" i="5"/>
  <c r="AV714" i="5"/>
  <c r="AU714" i="5"/>
  <c r="H714" i="5"/>
  <c r="G714" i="5"/>
  <c r="BJ713" i="5"/>
  <c r="BI713" i="5"/>
  <c r="BH713" i="5"/>
  <c r="BG713" i="5"/>
  <c r="BF713" i="5"/>
  <c r="BE713" i="5"/>
  <c r="BD713" i="5"/>
  <c r="BC713" i="5"/>
  <c r="BB713" i="5"/>
  <c r="BA713" i="5"/>
  <c r="AZ713" i="5"/>
  <c r="AY713" i="5"/>
  <c r="AX713" i="5"/>
  <c r="AW713" i="5"/>
  <c r="AV713" i="5"/>
  <c r="AU713" i="5"/>
  <c r="H713" i="5"/>
  <c r="G713" i="5"/>
  <c r="BJ712" i="5"/>
  <c r="BI712" i="5"/>
  <c r="BH712" i="5"/>
  <c r="BG712" i="5"/>
  <c r="BF712" i="5"/>
  <c r="BE712" i="5"/>
  <c r="BD712" i="5"/>
  <c r="BC712" i="5"/>
  <c r="BB712" i="5"/>
  <c r="BA712" i="5"/>
  <c r="AZ712" i="5"/>
  <c r="AY712" i="5"/>
  <c r="AX712" i="5"/>
  <c r="AW712" i="5"/>
  <c r="AV712" i="5"/>
  <c r="AU712" i="5"/>
  <c r="H712" i="5"/>
  <c r="G712" i="5"/>
  <c r="BJ711" i="5"/>
  <c r="BI711" i="5"/>
  <c r="BH711" i="5"/>
  <c r="BG711" i="5"/>
  <c r="BF711" i="5"/>
  <c r="BE711" i="5"/>
  <c r="BD711" i="5"/>
  <c r="BC711" i="5"/>
  <c r="BB711" i="5"/>
  <c r="BA711" i="5"/>
  <c r="AZ711" i="5"/>
  <c r="AY711" i="5"/>
  <c r="AX711" i="5"/>
  <c r="AW711" i="5"/>
  <c r="AV711" i="5"/>
  <c r="AU711" i="5"/>
  <c r="H711" i="5"/>
  <c r="G711" i="5"/>
  <c r="BJ710" i="5"/>
  <c r="BI710" i="5"/>
  <c r="BH710" i="5"/>
  <c r="BG710" i="5"/>
  <c r="BF710" i="5"/>
  <c r="BE710" i="5"/>
  <c r="BD710" i="5"/>
  <c r="BC710" i="5"/>
  <c r="BB710" i="5"/>
  <c r="BA710" i="5"/>
  <c r="AZ710" i="5"/>
  <c r="AY710" i="5"/>
  <c r="AX710" i="5"/>
  <c r="AW710" i="5"/>
  <c r="AV710" i="5"/>
  <c r="AU710" i="5"/>
  <c r="H710" i="5"/>
  <c r="G710" i="5"/>
  <c r="BJ709" i="5"/>
  <c r="BI709" i="5"/>
  <c r="BH709" i="5"/>
  <c r="BG709" i="5"/>
  <c r="BF709" i="5"/>
  <c r="BE709" i="5"/>
  <c r="BD709" i="5"/>
  <c r="BC709" i="5"/>
  <c r="BB709" i="5"/>
  <c r="BA709" i="5"/>
  <c r="AZ709" i="5"/>
  <c r="AY709" i="5"/>
  <c r="AX709" i="5"/>
  <c r="AW709" i="5"/>
  <c r="AV709" i="5"/>
  <c r="AU709" i="5"/>
  <c r="H709" i="5"/>
  <c r="G709" i="5"/>
  <c r="BJ708" i="5"/>
  <c r="BI708" i="5"/>
  <c r="BH708" i="5"/>
  <c r="BG708" i="5"/>
  <c r="BF708" i="5"/>
  <c r="BE708" i="5"/>
  <c r="BD708" i="5"/>
  <c r="BC708" i="5"/>
  <c r="BB708" i="5"/>
  <c r="BA708" i="5"/>
  <c r="AZ708" i="5"/>
  <c r="AY708" i="5"/>
  <c r="AX708" i="5"/>
  <c r="AW708" i="5"/>
  <c r="AV708" i="5"/>
  <c r="AU708" i="5"/>
  <c r="H708" i="5"/>
  <c r="G708" i="5"/>
  <c r="BJ707" i="5"/>
  <c r="BI707" i="5"/>
  <c r="BH707" i="5"/>
  <c r="BG707" i="5"/>
  <c r="BF707" i="5"/>
  <c r="BE707" i="5"/>
  <c r="BD707" i="5"/>
  <c r="BC707" i="5"/>
  <c r="BB707" i="5"/>
  <c r="BA707" i="5"/>
  <c r="AZ707" i="5"/>
  <c r="AY707" i="5"/>
  <c r="AX707" i="5"/>
  <c r="AW707" i="5"/>
  <c r="AV707" i="5"/>
  <c r="AU707" i="5"/>
  <c r="H707" i="5"/>
  <c r="G707" i="5"/>
  <c r="BJ706" i="5"/>
  <c r="BI706" i="5"/>
  <c r="BH706" i="5"/>
  <c r="BG706" i="5"/>
  <c r="BF706" i="5"/>
  <c r="BE706" i="5"/>
  <c r="BD706" i="5"/>
  <c r="BC706" i="5"/>
  <c r="BB706" i="5"/>
  <c r="BA706" i="5"/>
  <c r="AZ706" i="5"/>
  <c r="AY706" i="5"/>
  <c r="AX706" i="5"/>
  <c r="AW706" i="5"/>
  <c r="AV706" i="5"/>
  <c r="AU706" i="5"/>
  <c r="H706" i="5"/>
  <c r="G706" i="5"/>
  <c r="BJ705" i="5"/>
  <c r="BI705" i="5"/>
  <c r="BH705" i="5"/>
  <c r="BG705" i="5"/>
  <c r="BF705" i="5"/>
  <c r="BE705" i="5"/>
  <c r="BD705" i="5"/>
  <c r="BC705" i="5"/>
  <c r="BB705" i="5"/>
  <c r="BA705" i="5"/>
  <c r="AZ705" i="5"/>
  <c r="AY705" i="5"/>
  <c r="AX705" i="5"/>
  <c r="AW705" i="5"/>
  <c r="AV705" i="5"/>
  <c r="AU705" i="5"/>
  <c r="H705" i="5"/>
  <c r="G705" i="5"/>
  <c r="BJ704" i="5"/>
  <c r="BI704" i="5"/>
  <c r="BH704" i="5"/>
  <c r="BG704" i="5"/>
  <c r="BF704" i="5"/>
  <c r="BE704" i="5"/>
  <c r="BD704" i="5"/>
  <c r="BC704" i="5"/>
  <c r="BB704" i="5"/>
  <c r="BA704" i="5"/>
  <c r="AZ704" i="5"/>
  <c r="AY704" i="5"/>
  <c r="AX704" i="5"/>
  <c r="AW704" i="5"/>
  <c r="AV704" i="5"/>
  <c r="AU704" i="5"/>
  <c r="H704" i="5"/>
  <c r="G704" i="5"/>
  <c r="BJ703" i="5"/>
  <c r="BI703" i="5"/>
  <c r="BH703" i="5"/>
  <c r="BG703" i="5"/>
  <c r="BF703" i="5"/>
  <c r="BE703" i="5"/>
  <c r="BD703" i="5"/>
  <c r="BC703" i="5"/>
  <c r="BB703" i="5"/>
  <c r="BA703" i="5"/>
  <c r="AZ703" i="5"/>
  <c r="AY703" i="5"/>
  <c r="AX703" i="5"/>
  <c r="AW703" i="5"/>
  <c r="AV703" i="5"/>
  <c r="AU703" i="5"/>
  <c r="H703" i="5"/>
  <c r="G703" i="5"/>
  <c r="BJ702" i="5"/>
  <c r="BI702" i="5"/>
  <c r="BH702" i="5"/>
  <c r="BG702" i="5"/>
  <c r="BF702" i="5"/>
  <c r="BE702" i="5"/>
  <c r="BD702" i="5"/>
  <c r="BC702" i="5"/>
  <c r="BB702" i="5"/>
  <c r="BA702" i="5"/>
  <c r="AZ702" i="5"/>
  <c r="AY702" i="5"/>
  <c r="AX702" i="5"/>
  <c r="AW702" i="5"/>
  <c r="AV702" i="5"/>
  <c r="AU702" i="5"/>
  <c r="H702" i="5"/>
  <c r="G702" i="5"/>
  <c r="BJ701" i="5"/>
  <c r="BI701" i="5"/>
  <c r="BH701" i="5"/>
  <c r="BG701" i="5"/>
  <c r="BF701" i="5"/>
  <c r="BE701" i="5"/>
  <c r="BD701" i="5"/>
  <c r="BC701" i="5"/>
  <c r="BB701" i="5"/>
  <c r="BA701" i="5"/>
  <c r="AZ701" i="5"/>
  <c r="AY701" i="5"/>
  <c r="AX701" i="5"/>
  <c r="AW701" i="5"/>
  <c r="AV701" i="5"/>
  <c r="AU701" i="5"/>
  <c r="H701" i="5"/>
  <c r="G701" i="5"/>
  <c r="BJ700" i="5"/>
  <c r="BI700" i="5"/>
  <c r="BH700" i="5"/>
  <c r="BG700" i="5"/>
  <c r="BF700" i="5"/>
  <c r="BE700" i="5"/>
  <c r="BD700" i="5"/>
  <c r="BC700" i="5"/>
  <c r="BB700" i="5"/>
  <c r="BA700" i="5"/>
  <c r="AZ700" i="5"/>
  <c r="AY700" i="5"/>
  <c r="AX700" i="5"/>
  <c r="AW700" i="5"/>
  <c r="AV700" i="5"/>
  <c r="AU700" i="5"/>
  <c r="H700" i="5"/>
  <c r="G700" i="5"/>
  <c r="BJ699" i="5"/>
  <c r="BI699" i="5"/>
  <c r="BH699" i="5"/>
  <c r="BG699" i="5"/>
  <c r="BF699" i="5"/>
  <c r="BE699" i="5"/>
  <c r="BD699" i="5"/>
  <c r="BC699" i="5"/>
  <c r="BB699" i="5"/>
  <c r="BA699" i="5"/>
  <c r="AZ699" i="5"/>
  <c r="AY699" i="5"/>
  <c r="AX699" i="5"/>
  <c r="AW699" i="5"/>
  <c r="AV699" i="5"/>
  <c r="AU699" i="5"/>
  <c r="H699" i="5"/>
  <c r="G699" i="5"/>
  <c r="BJ698" i="5"/>
  <c r="BI698" i="5"/>
  <c r="BH698" i="5"/>
  <c r="BG698" i="5"/>
  <c r="BF698" i="5"/>
  <c r="BE698" i="5"/>
  <c r="BD698" i="5"/>
  <c r="BC698" i="5"/>
  <c r="BB698" i="5"/>
  <c r="BA698" i="5"/>
  <c r="AZ698" i="5"/>
  <c r="AY698" i="5"/>
  <c r="AX698" i="5"/>
  <c r="AW698" i="5"/>
  <c r="AV698" i="5"/>
  <c r="AU698" i="5"/>
  <c r="H698" i="5"/>
  <c r="G698" i="5"/>
  <c r="BJ697" i="5"/>
  <c r="BI697" i="5"/>
  <c r="BH697" i="5"/>
  <c r="BG697" i="5"/>
  <c r="BF697" i="5"/>
  <c r="BE697" i="5"/>
  <c r="BD697" i="5"/>
  <c r="BC697" i="5"/>
  <c r="BB697" i="5"/>
  <c r="BA697" i="5"/>
  <c r="AZ697" i="5"/>
  <c r="AY697" i="5"/>
  <c r="AX697" i="5"/>
  <c r="AW697" i="5"/>
  <c r="AV697" i="5"/>
  <c r="AU697" i="5"/>
  <c r="H697" i="5"/>
  <c r="G697" i="5"/>
  <c r="BJ696" i="5"/>
  <c r="BI696" i="5"/>
  <c r="BH696" i="5"/>
  <c r="BG696" i="5"/>
  <c r="BF696" i="5"/>
  <c r="BE696" i="5"/>
  <c r="BD696" i="5"/>
  <c r="BC696" i="5"/>
  <c r="BB696" i="5"/>
  <c r="BA696" i="5"/>
  <c r="AZ696" i="5"/>
  <c r="AY696" i="5"/>
  <c r="AX696" i="5"/>
  <c r="AW696" i="5"/>
  <c r="AV696" i="5"/>
  <c r="AU696" i="5"/>
  <c r="H696" i="5"/>
  <c r="G696" i="5"/>
  <c r="BJ695" i="5"/>
  <c r="BI695" i="5"/>
  <c r="BH695" i="5"/>
  <c r="BG695" i="5"/>
  <c r="BF695" i="5"/>
  <c r="BE695" i="5"/>
  <c r="BD695" i="5"/>
  <c r="BC695" i="5"/>
  <c r="BB695" i="5"/>
  <c r="BA695" i="5"/>
  <c r="AZ695" i="5"/>
  <c r="AY695" i="5"/>
  <c r="AX695" i="5"/>
  <c r="AW695" i="5"/>
  <c r="AV695" i="5"/>
  <c r="AU695" i="5"/>
  <c r="H695" i="5"/>
  <c r="G695" i="5"/>
  <c r="BJ694" i="5"/>
  <c r="BI694" i="5"/>
  <c r="BH694" i="5"/>
  <c r="BG694" i="5"/>
  <c r="BF694" i="5"/>
  <c r="BE694" i="5"/>
  <c r="BD694" i="5"/>
  <c r="BC694" i="5"/>
  <c r="BB694" i="5"/>
  <c r="BA694" i="5"/>
  <c r="AZ694" i="5"/>
  <c r="AY694" i="5"/>
  <c r="AX694" i="5"/>
  <c r="AW694" i="5"/>
  <c r="AV694" i="5"/>
  <c r="AU694" i="5"/>
  <c r="H694" i="5"/>
  <c r="G694" i="5"/>
  <c r="BJ693" i="5"/>
  <c r="BI693" i="5"/>
  <c r="BH693" i="5"/>
  <c r="BG693" i="5"/>
  <c r="BF693" i="5"/>
  <c r="BE693" i="5"/>
  <c r="BD693" i="5"/>
  <c r="BC693" i="5"/>
  <c r="BB693" i="5"/>
  <c r="BA693" i="5"/>
  <c r="AZ693" i="5"/>
  <c r="AY693" i="5"/>
  <c r="AX693" i="5"/>
  <c r="AW693" i="5"/>
  <c r="AV693" i="5"/>
  <c r="AU693" i="5"/>
  <c r="H693" i="5"/>
  <c r="G693" i="5"/>
  <c r="BJ692" i="5"/>
  <c r="BI692" i="5"/>
  <c r="BH692" i="5"/>
  <c r="BG692" i="5"/>
  <c r="BF692" i="5"/>
  <c r="BE692" i="5"/>
  <c r="BD692" i="5"/>
  <c r="BC692" i="5"/>
  <c r="BB692" i="5"/>
  <c r="BA692" i="5"/>
  <c r="AZ692" i="5"/>
  <c r="AY692" i="5"/>
  <c r="AX692" i="5"/>
  <c r="AW692" i="5"/>
  <c r="AV692" i="5"/>
  <c r="AU692" i="5"/>
  <c r="H692" i="5"/>
  <c r="G692" i="5"/>
  <c r="BJ691" i="5"/>
  <c r="BI691" i="5"/>
  <c r="BH691" i="5"/>
  <c r="BG691" i="5"/>
  <c r="BF691" i="5"/>
  <c r="BE691" i="5"/>
  <c r="BD691" i="5"/>
  <c r="BC691" i="5"/>
  <c r="BB691" i="5"/>
  <c r="BA691" i="5"/>
  <c r="AZ691" i="5"/>
  <c r="AY691" i="5"/>
  <c r="AX691" i="5"/>
  <c r="AW691" i="5"/>
  <c r="AV691" i="5"/>
  <c r="AU691" i="5"/>
  <c r="H691" i="5"/>
  <c r="G691" i="5"/>
  <c r="BJ690" i="5"/>
  <c r="BI690" i="5"/>
  <c r="BH690" i="5"/>
  <c r="BG690" i="5"/>
  <c r="BF690" i="5"/>
  <c r="BE690" i="5"/>
  <c r="BD690" i="5"/>
  <c r="BC690" i="5"/>
  <c r="BB690" i="5"/>
  <c r="BA690" i="5"/>
  <c r="AZ690" i="5"/>
  <c r="AY690" i="5"/>
  <c r="AX690" i="5"/>
  <c r="AW690" i="5"/>
  <c r="AV690" i="5"/>
  <c r="AU690" i="5"/>
  <c r="H690" i="5"/>
  <c r="G690" i="5"/>
  <c r="BJ689" i="5"/>
  <c r="BI689" i="5"/>
  <c r="BH689" i="5"/>
  <c r="BG689" i="5"/>
  <c r="BF689" i="5"/>
  <c r="BE689" i="5"/>
  <c r="BD689" i="5"/>
  <c r="BC689" i="5"/>
  <c r="BB689" i="5"/>
  <c r="BA689" i="5"/>
  <c r="AZ689" i="5"/>
  <c r="AY689" i="5"/>
  <c r="AX689" i="5"/>
  <c r="AW689" i="5"/>
  <c r="AV689" i="5"/>
  <c r="AU689" i="5"/>
  <c r="H689" i="5"/>
  <c r="G689" i="5"/>
  <c r="BJ688" i="5"/>
  <c r="BI688" i="5"/>
  <c r="BH688" i="5"/>
  <c r="BG688" i="5"/>
  <c r="BF688" i="5"/>
  <c r="BE688" i="5"/>
  <c r="BD688" i="5"/>
  <c r="BC688" i="5"/>
  <c r="BB688" i="5"/>
  <c r="BA688" i="5"/>
  <c r="AZ688" i="5"/>
  <c r="AY688" i="5"/>
  <c r="AX688" i="5"/>
  <c r="AW688" i="5"/>
  <c r="AV688" i="5"/>
  <c r="AU688" i="5"/>
  <c r="H688" i="5"/>
  <c r="G688" i="5"/>
  <c r="BJ687" i="5"/>
  <c r="BI687" i="5"/>
  <c r="BH687" i="5"/>
  <c r="BG687" i="5"/>
  <c r="BF687" i="5"/>
  <c r="BE687" i="5"/>
  <c r="BD687" i="5"/>
  <c r="BC687" i="5"/>
  <c r="BB687" i="5"/>
  <c r="BA687" i="5"/>
  <c r="AZ687" i="5"/>
  <c r="AY687" i="5"/>
  <c r="AX687" i="5"/>
  <c r="AW687" i="5"/>
  <c r="AV687" i="5"/>
  <c r="AU687" i="5"/>
  <c r="H687" i="5"/>
  <c r="G687" i="5"/>
  <c r="BJ686" i="5"/>
  <c r="BI686" i="5"/>
  <c r="BH686" i="5"/>
  <c r="BG686" i="5"/>
  <c r="BF686" i="5"/>
  <c r="BE686" i="5"/>
  <c r="BD686" i="5"/>
  <c r="BC686" i="5"/>
  <c r="BB686" i="5"/>
  <c r="BA686" i="5"/>
  <c r="AZ686" i="5"/>
  <c r="AY686" i="5"/>
  <c r="AX686" i="5"/>
  <c r="AW686" i="5"/>
  <c r="AV686" i="5"/>
  <c r="AU686" i="5"/>
  <c r="H686" i="5"/>
  <c r="G686" i="5"/>
  <c r="BJ685" i="5"/>
  <c r="BI685" i="5"/>
  <c r="BH685" i="5"/>
  <c r="BG685" i="5"/>
  <c r="BF685" i="5"/>
  <c r="BE685" i="5"/>
  <c r="BD685" i="5"/>
  <c r="BC685" i="5"/>
  <c r="BB685" i="5"/>
  <c r="BA685" i="5"/>
  <c r="AZ685" i="5"/>
  <c r="AY685" i="5"/>
  <c r="AX685" i="5"/>
  <c r="AW685" i="5"/>
  <c r="AV685" i="5"/>
  <c r="AU685" i="5"/>
  <c r="H685" i="5"/>
  <c r="G685" i="5"/>
  <c r="BJ684" i="5"/>
  <c r="BI684" i="5"/>
  <c r="BH684" i="5"/>
  <c r="BG684" i="5"/>
  <c r="BF684" i="5"/>
  <c r="BE684" i="5"/>
  <c r="BD684" i="5"/>
  <c r="BC684" i="5"/>
  <c r="BB684" i="5"/>
  <c r="BA684" i="5"/>
  <c r="AZ684" i="5"/>
  <c r="AY684" i="5"/>
  <c r="AX684" i="5"/>
  <c r="AW684" i="5"/>
  <c r="AV684" i="5"/>
  <c r="AU684" i="5"/>
  <c r="H684" i="5"/>
  <c r="G684" i="5"/>
  <c r="BJ683" i="5"/>
  <c r="BI683" i="5"/>
  <c r="BH683" i="5"/>
  <c r="BG683" i="5"/>
  <c r="BF683" i="5"/>
  <c r="BE683" i="5"/>
  <c r="BD683" i="5"/>
  <c r="BC683" i="5"/>
  <c r="BB683" i="5"/>
  <c r="BA683" i="5"/>
  <c r="AZ683" i="5"/>
  <c r="AY683" i="5"/>
  <c r="AX683" i="5"/>
  <c r="AW683" i="5"/>
  <c r="AV683" i="5"/>
  <c r="AU683" i="5"/>
  <c r="H683" i="5"/>
  <c r="G683" i="5"/>
  <c r="BJ682" i="5"/>
  <c r="BI682" i="5"/>
  <c r="BH682" i="5"/>
  <c r="BG682" i="5"/>
  <c r="BF682" i="5"/>
  <c r="BE682" i="5"/>
  <c r="BD682" i="5"/>
  <c r="BC682" i="5"/>
  <c r="BB682" i="5"/>
  <c r="BA682" i="5"/>
  <c r="AZ682" i="5"/>
  <c r="AY682" i="5"/>
  <c r="AX682" i="5"/>
  <c r="AW682" i="5"/>
  <c r="AV682" i="5"/>
  <c r="AU682" i="5"/>
  <c r="H682" i="5"/>
  <c r="G682" i="5"/>
  <c r="BJ681" i="5"/>
  <c r="BI681" i="5"/>
  <c r="BH681" i="5"/>
  <c r="BG681" i="5"/>
  <c r="BF681" i="5"/>
  <c r="BE681" i="5"/>
  <c r="BD681" i="5"/>
  <c r="BC681" i="5"/>
  <c r="BB681" i="5"/>
  <c r="BA681" i="5"/>
  <c r="AZ681" i="5"/>
  <c r="AY681" i="5"/>
  <c r="AX681" i="5"/>
  <c r="AW681" i="5"/>
  <c r="AV681" i="5"/>
  <c r="AU681" i="5"/>
  <c r="H681" i="5"/>
  <c r="G681" i="5"/>
  <c r="BJ680" i="5"/>
  <c r="BI680" i="5"/>
  <c r="BH680" i="5"/>
  <c r="BG680" i="5"/>
  <c r="BF680" i="5"/>
  <c r="BE680" i="5"/>
  <c r="BD680" i="5"/>
  <c r="BC680" i="5"/>
  <c r="BB680" i="5"/>
  <c r="BA680" i="5"/>
  <c r="AZ680" i="5"/>
  <c r="AY680" i="5"/>
  <c r="AX680" i="5"/>
  <c r="AW680" i="5"/>
  <c r="AV680" i="5"/>
  <c r="AU680" i="5"/>
  <c r="H680" i="5"/>
  <c r="G680" i="5"/>
  <c r="BJ679" i="5"/>
  <c r="BI679" i="5"/>
  <c r="BH679" i="5"/>
  <c r="BG679" i="5"/>
  <c r="BF679" i="5"/>
  <c r="BE679" i="5"/>
  <c r="BD679" i="5"/>
  <c r="BC679" i="5"/>
  <c r="BB679" i="5"/>
  <c r="BA679" i="5"/>
  <c r="AZ679" i="5"/>
  <c r="AY679" i="5"/>
  <c r="AX679" i="5"/>
  <c r="AW679" i="5"/>
  <c r="AV679" i="5"/>
  <c r="AU679" i="5"/>
  <c r="H679" i="5"/>
  <c r="G679" i="5"/>
  <c r="BJ678" i="5"/>
  <c r="BI678" i="5"/>
  <c r="BH678" i="5"/>
  <c r="BG678" i="5"/>
  <c r="BF678" i="5"/>
  <c r="BE678" i="5"/>
  <c r="BD678" i="5"/>
  <c r="BC678" i="5"/>
  <c r="BB678" i="5"/>
  <c r="BA678" i="5"/>
  <c r="AZ678" i="5"/>
  <c r="AY678" i="5"/>
  <c r="AX678" i="5"/>
  <c r="AW678" i="5"/>
  <c r="AV678" i="5"/>
  <c r="AU678" i="5"/>
  <c r="H678" i="5"/>
  <c r="G678" i="5"/>
  <c r="BJ677" i="5"/>
  <c r="BI677" i="5"/>
  <c r="BH677" i="5"/>
  <c r="BG677" i="5"/>
  <c r="BF677" i="5"/>
  <c r="BE677" i="5"/>
  <c r="BD677" i="5"/>
  <c r="BC677" i="5"/>
  <c r="BB677" i="5"/>
  <c r="BA677" i="5"/>
  <c r="AZ677" i="5"/>
  <c r="AY677" i="5"/>
  <c r="AX677" i="5"/>
  <c r="AW677" i="5"/>
  <c r="AV677" i="5"/>
  <c r="AU677" i="5"/>
  <c r="H677" i="5"/>
  <c r="G677" i="5"/>
  <c r="BJ676" i="5"/>
  <c r="BI676" i="5"/>
  <c r="BH676" i="5"/>
  <c r="BG676" i="5"/>
  <c r="BF676" i="5"/>
  <c r="BE676" i="5"/>
  <c r="BD676" i="5"/>
  <c r="BC676" i="5"/>
  <c r="BB676" i="5"/>
  <c r="BA676" i="5"/>
  <c r="AZ676" i="5"/>
  <c r="AY676" i="5"/>
  <c r="AX676" i="5"/>
  <c r="AW676" i="5"/>
  <c r="AV676" i="5"/>
  <c r="AU676" i="5"/>
  <c r="H676" i="5"/>
  <c r="G676" i="5"/>
  <c r="BJ675" i="5"/>
  <c r="BI675" i="5"/>
  <c r="BH675" i="5"/>
  <c r="BG675" i="5"/>
  <c r="BF675" i="5"/>
  <c r="BE675" i="5"/>
  <c r="BD675" i="5"/>
  <c r="BC675" i="5"/>
  <c r="BB675" i="5"/>
  <c r="BA675" i="5"/>
  <c r="AZ675" i="5"/>
  <c r="AY675" i="5"/>
  <c r="AX675" i="5"/>
  <c r="AW675" i="5"/>
  <c r="AV675" i="5"/>
  <c r="AU675" i="5"/>
  <c r="H675" i="5"/>
  <c r="G675" i="5"/>
  <c r="BJ674" i="5"/>
  <c r="BI674" i="5"/>
  <c r="BH674" i="5"/>
  <c r="BG674" i="5"/>
  <c r="BF674" i="5"/>
  <c r="BE674" i="5"/>
  <c r="BD674" i="5"/>
  <c r="BC674" i="5"/>
  <c r="BB674" i="5"/>
  <c r="BA674" i="5"/>
  <c r="AZ674" i="5"/>
  <c r="AY674" i="5"/>
  <c r="AX674" i="5"/>
  <c r="AW674" i="5"/>
  <c r="AV674" i="5"/>
  <c r="AU674" i="5"/>
  <c r="H674" i="5"/>
  <c r="G674" i="5"/>
  <c r="BJ673" i="5"/>
  <c r="BI673" i="5"/>
  <c r="BH673" i="5"/>
  <c r="BG673" i="5"/>
  <c r="BF673" i="5"/>
  <c r="BE673" i="5"/>
  <c r="BD673" i="5"/>
  <c r="BC673" i="5"/>
  <c r="BB673" i="5"/>
  <c r="BA673" i="5"/>
  <c r="AZ673" i="5"/>
  <c r="AY673" i="5"/>
  <c r="AX673" i="5"/>
  <c r="AW673" i="5"/>
  <c r="AV673" i="5"/>
  <c r="AU673" i="5"/>
  <c r="H673" i="5"/>
  <c r="G673" i="5"/>
  <c r="BJ672" i="5"/>
  <c r="BI672" i="5"/>
  <c r="BH672" i="5"/>
  <c r="BG672" i="5"/>
  <c r="BF672" i="5"/>
  <c r="BE672" i="5"/>
  <c r="BD672" i="5"/>
  <c r="BC672" i="5"/>
  <c r="BB672" i="5"/>
  <c r="BA672" i="5"/>
  <c r="AZ672" i="5"/>
  <c r="AY672" i="5"/>
  <c r="AX672" i="5"/>
  <c r="AW672" i="5"/>
  <c r="AV672" i="5"/>
  <c r="AU672" i="5"/>
  <c r="H672" i="5"/>
  <c r="G672" i="5"/>
  <c r="BJ671" i="5"/>
  <c r="BI671" i="5"/>
  <c r="BH671" i="5"/>
  <c r="BG671" i="5"/>
  <c r="BF671" i="5"/>
  <c r="BE671" i="5"/>
  <c r="BD671" i="5"/>
  <c r="BC671" i="5"/>
  <c r="BB671" i="5"/>
  <c r="BA671" i="5"/>
  <c r="AZ671" i="5"/>
  <c r="AY671" i="5"/>
  <c r="AX671" i="5"/>
  <c r="AW671" i="5"/>
  <c r="AV671" i="5"/>
  <c r="AU671" i="5"/>
  <c r="H671" i="5"/>
  <c r="G671" i="5"/>
  <c r="BJ670" i="5"/>
  <c r="BI670" i="5"/>
  <c r="BH670" i="5"/>
  <c r="BG670" i="5"/>
  <c r="BF670" i="5"/>
  <c r="BE670" i="5"/>
  <c r="BD670" i="5"/>
  <c r="BC670" i="5"/>
  <c r="BB670" i="5"/>
  <c r="BA670" i="5"/>
  <c r="AZ670" i="5"/>
  <c r="AY670" i="5"/>
  <c r="AX670" i="5"/>
  <c r="AW670" i="5"/>
  <c r="AV670" i="5"/>
  <c r="AU670" i="5"/>
  <c r="H670" i="5"/>
  <c r="G670" i="5"/>
  <c r="BJ669" i="5"/>
  <c r="BI669" i="5"/>
  <c r="BH669" i="5"/>
  <c r="BG669" i="5"/>
  <c r="BF669" i="5"/>
  <c r="BE669" i="5"/>
  <c r="BD669" i="5"/>
  <c r="BC669" i="5"/>
  <c r="BB669" i="5"/>
  <c r="BA669" i="5"/>
  <c r="AZ669" i="5"/>
  <c r="AY669" i="5"/>
  <c r="AX669" i="5"/>
  <c r="AW669" i="5"/>
  <c r="AV669" i="5"/>
  <c r="AU669" i="5"/>
  <c r="H669" i="5"/>
  <c r="G669" i="5"/>
  <c r="BJ668" i="5"/>
  <c r="BI668" i="5"/>
  <c r="BH668" i="5"/>
  <c r="BG668" i="5"/>
  <c r="BF668" i="5"/>
  <c r="BE668" i="5"/>
  <c r="BD668" i="5"/>
  <c r="BC668" i="5"/>
  <c r="BB668" i="5"/>
  <c r="BA668" i="5"/>
  <c r="AZ668" i="5"/>
  <c r="AY668" i="5"/>
  <c r="AX668" i="5"/>
  <c r="AW668" i="5"/>
  <c r="AV668" i="5"/>
  <c r="AU668" i="5"/>
  <c r="H668" i="5"/>
  <c r="G668" i="5"/>
  <c r="BJ667" i="5"/>
  <c r="BI667" i="5"/>
  <c r="BH667" i="5"/>
  <c r="BG667" i="5"/>
  <c r="BF667" i="5"/>
  <c r="BE667" i="5"/>
  <c r="BD667" i="5"/>
  <c r="BC667" i="5"/>
  <c r="BB667" i="5"/>
  <c r="BA667" i="5"/>
  <c r="AZ667" i="5"/>
  <c r="AY667" i="5"/>
  <c r="AX667" i="5"/>
  <c r="AW667" i="5"/>
  <c r="AV667" i="5"/>
  <c r="AU667" i="5"/>
  <c r="H667" i="5"/>
  <c r="G667" i="5"/>
  <c r="BJ666" i="5"/>
  <c r="BI666" i="5"/>
  <c r="BH666" i="5"/>
  <c r="BG666" i="5"/>
  <c r="BF666" i="5"/>
  <c r="BE666" i="5"/>
  <c r="BD666" i="5"/>
  <c r="BC666" i="5"/>
  <c r="BB666" i="5"/>
  <c r="BA666" i="5"/>
  <c r="AZ666" i="5"/>
  <c r="AY666" i="5"/>
  <c r="AX666" i="5"/>
  <c r="AW666" i="5"/>
  <c r="AV666" i="5"/>
  <c r="AU666" i="5"/>
  <c r="H666" i="5"/>
  <c r="G666" i="5"/>
  <c r="BJ665" i="5"/>
  <c r="BI665" i="5"/>
  <c r="BH665" i="5"/>
  <c r="BG665" i="5"/>
  <c r="BF665" i="5"/>
  <c r="BE665" i="5"/>
  <c r="BD665" i="5"/>
  <c r="BC665" i="5"/>
  <c r="BB665" i="5"/>
  <c r="BA665" i="5"/>
  <c r="AZ665" i="5"/>
  <c r="AY665" i="5"/>
  <c r="AX665" i="5"/>
  <c r="AW665" i="5"/>
  <c r="AV665" i="5"/>
  <c r="AU665" i="5"/>
  <c r="H665" i="5"/>
  <c r="G665" i="5"/>
  <c r="BJ664" i="5"/>
  <c r="BI664" i="5"/>
  <c r="BH664" i="5"/>
  <c r="BG664" i="5"/>
  <c r="BF664" i="5"/>
  <c r="BE664" i="5"/>
  <c r="BD664" i="5"/>
  <c r="BC664" i="5"/>
  <c r="BB664" i="5"/>
  <c r="BA664" i="5"/>
  <c r="AZ664" i="5"/>
  <c r="AY664" i="5"/>
  <c r="AX664" i="5"/>
  <c r="AW664" i="5"/>
  <c r="AV664" i="5"/>
  <c r="AU664" i="5"/>
  <c r="H664" i="5"/>
  <c r="G664" i="5"/>
  <c r="BJ663" i="5"/>
  <c r="BI663" i="5"/>
  <c r="BH663" i="5"/>
  <c r="BG663" i="5"/>
  <c r="BF663" i="5"/>
  <c r="BE663" i="5"/>
  <c r="BD663" i="5"/>
  <c r="BC663" i="5"/>
  <c r="BB663" i="5"/>
  <c r="BA663" i="5"/>
  <c r="AZ663" i="5"/>
  <c r="AY663" i="5"/>
  <c r="AX663" i="5"/>
  <c r="AW663" i="5"/>
  <c r="AV663" i="5"/>
  <c r="AU663" i="5"/>
  <c r="H663" i="5"/>
  <c r="G663" i="5"/>
  <c r="BJ662" i="5"/>
  <c r="BI662" i="5"/>
  <c r="BH662" i="5"/>
  <c r="BG662" i="5"/>
  <c r="BF662" i="5"/>
  <c r="BE662" i="5"/>
  <c r="BD662" i="5"/>
  <c r="BC662" i="5"/>
  <c r="BB662" i="5"/>
  <c r="BA662" i="5"/>
  <c r="AZ662" i="5"/>
  <c r="AY662" i="5"/>
  <c r="AX662" i="5"/>
  <c r="AW662" i="5"/>
  <c r="AV662" i="5"/>
  <c r="AU662" i="5"/>
  <c r="H662" i="5"/>
  <c r="G662" i="5"/>
  <c r="BJ661" i="5"/>
  <c r="BI661" i="5"/>
  <c r="BH661" i="5"/>
  <c r="BG661" i="5"/>
  <c r="BF661" i="5"/>
  <c r="BE661" i="5"/>
  <c r="BD661" i="5"/>
  <c r="BC661" i="5"/>
  <c r="BB661" i="5"/>
  <c r="BA661" i="5"/>
  <c r="AZ661" i="5"/>
  <c r="AY661" i="5"/>
  <c r="AX661" i="5"/>
  <c r="AW661" i="5"/>
  <c r="AV661" i="5"/>
  <c r="AU661" i="5"/>
  <c r="H661" i="5"/>
  <c r="G661" i="5"/>
  <c r="BJ660" i="5"/>
  <c r="BI660" i="5"/>
  <c r="BH660" i="5"/>
  <c r="BG660" i="5"/>
  <c r="BF660" i="5"/>
  <c r="BE660" i="5"/>
  <c r="BD660" i="5"/>
  <c r="BC660" i="5"/>
  <c r="BB660" i="5"/>
  <c r="BA660" i="5"/>
  <c r="AZ660" i="5"/>
  <c r="AY660" i="5"/>
  <c r="AX660" i="5"/>
  <c r="AW660" i="5"/>
  <c r="AV660" i="5"/>
  <c r="AU660" i="5"/>
  <c r="H660" i="5"/>
  <c r="G660" i="5"/>
  <c r="BJ659" i="5"/>
  <c r="BI659" i="5"/>
  <c r="BH659" i="5"/>
  <c r="BG659" i="5"/>
  <c r="BF659" i="5"/>
  <c r="BE659" i="5"/>
  <c r="BD659" i="5"/>
  <c r="BC659" i="5"/>
  <c r="BB659" i="5"/>
  <c r="BA659" i="5"/>
  <c r="AZ659" i="5"/>
  <c r="AY659" i="5"/>
  <c r="AX659" i="5"/>
  <c r="AW659" i="5"/>
  <c r="AV659" i="5"/>
  <c r="AU659" i="5"/>
  <c r="H659" i="5"/>
  <c r="G659" i="5"/>
  <c r="BJ658" i="5"/>
  <c r="BI658" i="5"/>
  <c r="BH658" i="5"/>
  <c r="BG658" i="5"/>
  <c r="BF658" i="5"/>
  <c r="BE658" i="5"/>
  <c r="BD658" i="5"/>
  <c r="BC658" i="5"/>
  <c r="BB658" i="5"/>
  <c r="BA658" i="5"/>
  <c r="AZ658" i="5"/>
  <c r="AY658" i="5"/>
  <c r="AX658" i="5"/>
  <c r="AW658" i="5"/>
  <c r="AV658" i="5"/>
  <c r="AU658" i="5"/>
  <c r="H658" i="5"/>
  <c r="G658" i="5"/>
  <c r="BJ657" i="5"/>
  <c r="BI657" i="5"/>
  <c r="BH657" i="5"/>
  <c r="BG657" i="5"/>
  <c r="BF657" i="5"/>
  <c r="BE657" i="5"/>
  <c r="BD657" i="5"/>
  <c r="BC657" i="5"/>
  <c r="BB657" i="5"/>
  <c r="BA657" i="5"/>
  <c r="AZ657" i="5"/>
  <c r="AY657" i="5"/>
  <c r="AX657" i="5"/>
  <c r="AW657" i="5"/>
  <c r="AV657" i="5"/>
  <c r="AU657" i="5"/>
  <c r="H657" i="5"/>
  <c r="G657" i="5"/>
  <c r="BJ656" i="5"/>
  <c r="BI656" i="5"/>
  <c r="BH656" i="5"/>
  <c r="BG656" i="5"/>
  <c r="BF656" i="5"/>
  <c r="BE656" i="5"/>
  <c r="BD656" i="5"/>
  <c r="BC656" i="5"/>
  <c r="BB656" i="5"/>
  <c r="BA656" i="5"/>
  <c r="AZ656" i="5"/>
  <c r="AY656" i="5"/>
  <c r="AX656" i="5"/>
  <c r="AW656" i="5"/>
  <c r="AV656" i="5"/>
  <c r="AU656" i="5"/>
  <c r="H656" i="5"/>
  <c r="G656" i="5"/>
  <c r="BJ655" i="5"/>
  <c r="BI655" i="5"/>
  <c r="BH655" i="5"/>
  <c r="BG655" i="5"/>
  <c r="BF655" i="5"/>
  <c r="BE655" i="5"/>
  <c r="BD655" i="5"/>
  <c r="BC655" i="5"/>
  <c r="BB655" i="5"/>
  <c r="BA655" i="5"/>
  <c r="AZ655" i="5"/>
  <c r="AY655" i="5"/>
  <c r="AX655" i="5"/>
  <c r="AW655" i="5"/>
  <c r="AV655" i="5"/>
  <c r="AU655" i="5"/>
  <c r="H655" i="5"/>
  <c r="G655" i="5"/>
  <c r="BJ654" i="5"/>
  <c r="BI654" i="5"/>
  <c r="BH654" i="5"/>
  <c r="BG654" i="5"/>
  <c r="BF654" i="5"/>
  <c r="BE654" i="5"/>
  <c r="BD654" i="5"/>
  <c r="BC654" i="5"/>
  <c r="BB654" i="5"/>
  <c r="BA654" i="5"/>
  <c r="AZ654" i="5"/>
  <c r="AY654" i="5"/>
  <c r="AX654" i="5"/>
  <c r="AW654" i="5"/>
  <c r="AV654" i="5"/>
  <c r="AU654" i="5"/>
  <c r="H654" i="5"/>
  <c r="G654" i="5"/>
  <c r="BJ653" i="5"/>
  <c r="BI653" i="5"/>
  <c r="BH653" i="5"/>
  <c r="BG653" i="5"/>
  <c r="BF653" i="5"/>
  <c r="BE653" i="5"/>
  <c r="BD653" i="5"/>
  <c r="BC653" i="5"/>
  <c r="BB653" i="5"/>
  <c r="BA653" i="5"/>
  <c r="AZ653" i="5"/>
  <c r="AY653" i="5"/>
  <c r="AX653" i="5"/>
  <c r="AW653" i="5"/>
  <c r="AV653" i="5"/>
  <c r="AU653" i="5"/>
  <c r="H653" i="5"/>
  <c r="G653" i="5"/>
  <c r="BJ652" i="5"/>
  <c r="BI652" i="5"/>
  <c r="BH652" i="5"/>
  <c r="BG652" i="5"/>
  <c r="BF652" i="5"/>
  <c r="BE652" i="5"/>
  <c r="BD652" i="5"/>
  <c r="BC652" i="5"/>
  <c r="BB652" i="5"/>
  <c r="BA652" i="5"/>
  <c r="AZ652" i="5"/>
  <c r="AY652" i="5"/>
  <c r="AX652" i="5"/>
  <c r="AW652" i="5"/>
  <c r="AV652" i="5"/>
  <c r="AU652" i="5"/>
  <c r="H652" i="5"/>
  <c r="G652" i="5"/>
  <c r="BJ651" i="5"/>
  <c r="BI651" i="5"/>
  <c r="BH651" i="5"/>
  <c r="BG651" i="5"/>
  <c r="BF651" i="5"/>
  <c r="BE651" i="5"/>
  <c r="BD651" i="5"/>
  <c r="BC651" i="5"/>
  <c r="BB651" i="5"/>
  <c r="BA651" i="5"/>
  <c r="AZ651" i="5"/>
  <c r="AY651" i="5"/>
  <c r="AX651" i="5"/>
  <c r="AW651" i="5"/>
  <c r="AV651" i="5"/>
  <c r="AU651" i="5"/>
  <c r="H651" i="5"/>
  <c r="G651" i="5"/>
  <c r="BJ650" i="5"/>
  <c r="BI650" i="5"/>
  <c r="BH650" i="5"/>
  <c r="BG650" i="5"/>
  <c r="BF650" i="5"/>
  <c r="BE650" i="5"/>
  <c r="BD650" i="5"/>
  <c r="BC650" i="5"/>
  <c r="BB650" i="5"/>
  <c r="BA650" i="5"/>
  <c r="AZ650" i="5"/>
  <c r="AY650" i="5"/>
  <c r="AX650" i="5"/>
  <c r="AW650" i="5"/>
  <c r="AV650" i="5"/>
  <c r="AU650" i="5"/>
  <c r="H650" i="5"/>
  <c r="G650" i="5"/>
  <c r="BJ649" i="5"/>
  <c r="BI649" i="5"/>
  <c r="BH649" i="5"/>
  <c r="BG649" i="5"/>
  <c r="BF649" i="5"/>
  <c r="BE649" i="5"/>
  <c r="BD649" i="5"/>
  <c r="BC649" i="5"/>
  <c r="BB649" i="5"/>
  <c r="BA649" i="5"/>
  <c r="AZ649" i="5"/>
  <c r="AY649" i="5"/>
  <c r="AX649" i="5"/>
  <c r="AW649" i="5"/>
  <c r="AV649" i="5"/>
  <c r="AU649" i="5"/>
  <c r="H649" i="5"/>
  <c r="G649" i="5"/>
  <c r="BJ648" i="5"/>
  <c r="BI648" i="5"/>
  <c r="BH648" i="5"/>
  <c r="BG648" i="5"/>
  <c r="BF648" i="5"/>
  <c r="BE648" i="5"/>
  <c r="BD648" i="5"/>
  <c r="BC648" i="5"/>
  <c r="BB648" i="5"/>
  <c r="BA648" i="5"/>
  <c r="AZ648" i="5"/>
  <c r="AY648" i="5"/>
  <c r="AX648" i="5"/>
  <c r="AW648" i="5"/>
  <c r="AV648" i="5"/>
  <c r="AU648" i="5"/>
  <c r="H648" i="5"/>
  <c r="G648" i="5"/>
  <c r="BJ647" i="5"/>
  <c r="BI647" i="5"/>
  <c r="BH647" i="5"/>
  <c r="BG647" i="5"/>
  <c r="BF647" i="5"/>
  <c r="BE647" i="5"/>
  <c r="BD647" i="5"/>
  <c r="BC647" i="5"/>
  <c r="BB647" i="5"/>
  <c r="BA647" i="5"/>
  <c r="AZ647" i="5"/>
  <c r="AY647" i="5"/>
  <c r="AX647" i="5"/>
  <c r="AW647" i="5"/>
  <c r="AV647" i="5"/>
  <c r="AU647" i="5"/>
  <c r="H647" i="5"/>
  <c r="G647" i="5"/>
  <c r="BJ646" i="5"/>
  <c r="BI646" i="5"/>
  <c r="BH646" i="5"/>
  <c r="BG646" i="5"/>
  <c r="BF646" i="5"/>
  <c r="BE646" i="5"/>
  <c r="BD646" i="5"/>
  <c r="BC646" i="5"/>
  <c r="BB646" i="5"/>
  <c r="BA646" i="5"/>
  <c r="AZ646" i="5"/>
  <c r="AY646" i="5"/>
  <c r="AX646" i="5"/>
  <c r="AW646" i="5"/>
  <c r="AV646" i="5"/>
  <c r="AU646" i="5"/>
  <c r="H646" i="5"/>
  <c r="G646" i="5"/>
  <c r="BJ645" i="5"/>
  <c r="BI645" i="5"/>
  <c r="BH645" i="5"/>
  <c r="BG645" i="5"/>
  <c r="BF645" i="5"/>
  <c r="BE645" i="5"/>
  <c r="BD645" i="5"/>
  <c r="BC645" i="5"/>
  <c r="BB645" i="5"/>
  <c r="BA645" i="5"/>
  <c r="AZ645" i="5"/>
  <c r="AY645" i="5"/>
  <c r="AX645" i="5"/>
  <c r="AW645" i="5"/>
  <c r="AV645" i="5"/>
  <c r="AU645" i="5"/>
  <c r="H645" i="5"/>
  <c r="G645" i="5"/>
  <c r="BJ644" i="5"/>
  <c r="BI644" i="5"/>
  <c r="BH644" i="5"/>
  <c r="BG644" i="5"/>
  <c r="BF644" i="5"/>
  <c r="BE644" i="5"/>
  <c r="BD644" i="5"/>
  <c r="BC644" i="5"/>
  <c r="BB644" i="5"/>
  <c r="BA644" i="5"/>
  <c r="AZ644" i="5"/>
  <c r="AY644" i="5"/>
  <c r="AX644" i="5"/>
  <c r="AW644" i="5"/>
  <c r="AV644" i="5"/>
  <c r="AU644" i="5"/>
  <c r="H644" i="5"/>
  <c r="G644" i="5"/>
  <c r="BJ643" i="5"/>
  <c r="BI643" i="5"/>
  <c r="BH643" i="5"/>
  <c r="BG643" i="5"/>
  <c r="BF643" i="5"/>
  <c r="BE643" i="5"/>
  <c r="BD643" i="5"/>
  <c r="BC643" i="5"/>
  <c r="BB643" i="5"/>
  <c r="BA643" i="5"/>
  <c r="AZ643" i="5"/>
  <c r="AY643" i="5"/>
  <c r="AX643" i="5"/>
  <c r="AW643" i="5"/>
  <c r="AV643" i="5"/>
  <c r="AU643" i="5"/>
  <c r="H643" i="5"/>
  <c r="G643" i="5"/>
  <c r="BJ642" i="5"/>
  <c r="BI642" i="5"/>
  <c r="BH642" i="5"/>
  <c r="BG642" i="5"/>
  <c r="BF642" i="5"/>
  <c r="BE642" i="5"/>
  <c r="BD642" i="5"/>
  <c r="BC642" i="5"/>
  <c r="BB642" i="5"/>
  <c r="BA642" i="5"/>
  <c r="AZ642" i="5"/>
  <c r="AY642" i="5"/>
  <c r="AX642" i="5"/>
  <c r="AW642" i="5"/>
  <c r="AV642" i="5"/>
  <c r="AU642" i="5"/>
  <c r="H642" i="5"/>
  <c r="G642" i="5"/>
  <c r="BJ641" i="5"/>
  <c r="BI641" i="5"/>
  <c r="BH641" i="5"/>
  <c r="BG641" i="5"/>
  <c r="BF641" i="5"/>
  <c r="BE641" i="5"/>
  <c r="BD641" i="5"/>
  <c r="BC641" i="5"/>
  <c r="BB641" i="5"/>
  <c r="BA641" i="5"/>
  <c r="AZ641" i="5"/>
  <c r="AY641" i="5"/>
  <c r="AX641" i="5"/>
  <c r="AW641" i="5"/>
  <c r="AV641" i="5"/>
  <c r="AU641" i="5"/>
  <c r="H641" i="5"/>
  <c r="G641" i="5"/>
  <c r="BJ640" i="5"/>
  <c r="BI640" i="5"/>
  <c r="BH640" i="5"/>
  <c r="BG640" i="5"/>
  <c r="BF640" i="5"/>
  <c r="BE640" i="5"/>
  <c r="BD640" i="5"/>
  <c r="BC640" i="5"/>
  <c r="BB640" i="5"/>
  <c r="BA640" i="5"/>
  <c r="AZ640" i="5"/>
  <c r="AY640" i="5"/>
  <c r="AX640" i="5"/>
  <c r="AW640" i="5"/>
  <c r="AV640" i="5"/>
  <c r="AU640" i="5"/>
  <c r="H640" i="5"/>
  <c r="G640" i="5"/>
  <c r="BJ639" i="5"/>
  <c r="BI639" i="5"/>
  <c r="BH639" i="5"/>
  <c r="BG639" i="5"/>
  <c r="BF639" i="5"/>
  <c r="BE639" i="5"/>
  <c r="BD639" i="5"/>
  <c r="BC639" i="5"/>
  <c r="BB639" i="5"/>
  <c r="BA639" i="5"/>
  <c r="AZ639" i="5"/>
  <c r="AY639" i="5"/>
  <c r="AX639" i="5"/>
  <c r="AW639" i="5"/>
  <c r="AV639" i="5"/>
  <c r="AU639" i="5"/>
  <c r="H639" i="5"/>
  <c r="G639" i="5"/>
  <c r="BJ638" i="5"/>
  <c r="BI638" i="5"/>
  <c r="BH638" i="5"/>
  <c r="BG638" i="5"/>
  <c r="BF638" i="5"/>
  <c r="BE638" i="5"/>
  <c r="BD638" i="5"/>
  <c r="BC638" i="5"/>
  <c r="BB638" i="5"/>
  <c r="BA638" i="5"/>
  <c r="AZ638" i="5"/>
  <c r="AY638" i="5"/>
  <c r="AX638" i="5"/>
  <c r="AW638" i="5"/>
  <c r="AV638" i="5"/>
  <c r="AU638" i="5"/>
  <c r="H638" i="5"/>
  <c r="G638" i="5"/>
  <c r="BJ637" i="5"/>
  <c r="BI637" i="5"/>
  <c r="BH637" i="5"/>
  <c r="BG637" i="5"/>
  <c r="BF637" i="5"/>
  <c r="BE637" i="5"/>
  <c r="BD637" i="5"/>
  <c r="BC637" i="5"/>
  <c r="BB637" i="5"/>
  <c r="BA637" i="5"/>
  <c r="AZ637" i="5"/>
  <c r="AY637" i="5"/>
  <c r="AX637" i="5"/>
  <c r="AW637" i="5"/>
  <c r="AV637" i="5"/>
  <c r="AU637" i="5"/>
  <c r="H637" i="5"/>
  <c r="G637" i="5"/>
  <c r="BJ636" i="5"/>
  <c r="BI636" i="5"/>
  <c r="BH636" i="5"/>
  <c r="BG636" i="5"/>
  <c r="BF636" i="5"/>
  <c r="BE636" i="5"/>
  <c r="BD636" i="5"/>
  <c r="BC636" i="5"/>
  <c r="BB636" i="5"/>
  <c r="BA636" i="5"/>
  <c r="AZ636" i="5"/>
  <c r="AY636" i="5"/>
  <c r="AX636" i="5"/>
  <c r="AW636" i="5"/>
  <c r="AV636" i="5"/>
  <c r="AU636" i="5"/>
  <c r="H636" i="5"/>
  <c r="G636" i="5"/>
  <c r="BJ635" i="5"/>
  <c r="BI635" i="5"/>
  <c r="BH635" i="5"/>
  <c r="BG635" i="5"/>
  <c r="BF635" i="5"/>
  <c r="BE635" i="5"/>
  <c r="BD635" i="5"/>
  <c r="BC635" i="5"/>
  <c r="BB635" i="5"/>
  <c r="BA635" i="5"/>
  <c r="AZ635" i="5"/>
  <c r="AY635" i="5"/>
  <c r="AX635" i="5"/>
  <c r="AW635" i="5"/>
  <c r="AV635" i="5"/>
  <c r="AU635" i="5"/>
  <c r="H635" i="5"/>
  <c r="G635" i="5"/>
  <c r="BJ634" i="5"/>
  <c r="BI634" i="5"/>
  <c r="BH634" i="5"/>
  <c r="BG634" i="5"/>
  <c r="BF634" i="5"/>
  <c r="BE634" i="5"/>
  <c r="BD634" i="5"/>
  <c r="BC634" i="5"/>
  <c r="BB634" i="5"/>
  <c r="BA634" i="5"/>
  <c r="AZ634" i="5"/>
  <c r="AY634" i="5"/>
  <c r="AX634" i="5"/>
  <c r="AW634" i="5"/>
  <c r="AV634" i="5"/>
  <c r="AU634" i="5"/>
  <c r="H634" i="5"/>
  <c r="G634" i="5"/>
  <c r="BJ633" i="5"/>
  <c r="BI633" i="5"/>
  <c r="BH633" i="5"/>
  <c r="BG633" i="5"/>
  <c r="BF633" i="5"/>
  <c r="BE633" i="5"/>
  <c r="BD633" i="5"/>
  <c r="BC633" i="5"/>
  <c r="BB633" i="5"/>
  <c r="BA633" i="5"/>
  <c r="AZ633" i="5"/>
  <c r="AY633" i="5"/>
  <c r="AX633" i="5"/>
  <c r="AW633" i="5"/>
  <c r="AV633" i="5"/>
  <c r="AU633" i="5"/>
  <c r="H633" i="5"/>
  <c r="G633" i="5"/>
  <c r="BJ632" i="5"/>
  <c r="BI632" i="5"/>
  <c r="BH632" i="5"/>
  <c r="BG632" i="5"/>
  <c r="BF632" i="5"/>
  <c r="BE632" i="5"/>
  <c r="BD632" i="5"/>
  <c r="BC632" i="5"/>
  <c r="BB632" i="5"/>
  <c r="BA632" i="5"/>
  <c r="AZ632" i="5"/>
  <c r="AY632" i="5"/>
  <c r="AX632" i="5"/>
  <c r="AW632" i="5"/>
  <c r="AV632" i="5"/>
  <c r="AU632" i="5"/>
  <c r="H632" i="5"/>
  <c r="G632" i="5"/>
  <c r="BJ631" i="5"/>
  <c r="BI631" i="5"/>
  <c r="BH631" i="5"/>
  <c r="BG631" i="5"/>
  <c r="BF631" i="5"/>
  <c r="BE631" i="5"/>
  <c r="BD631" i="5"/>
  <c r="BC631" i="5"/>
  <c r="BB631" i="5"/>
  <c r="BA631" i="5"/>
  <c r="AZ631" i="5"/>
  <c r="AY631" i="5"/>
  <c r="AX631" i="5"/>
  <c r="AW631" i="5"/>
  <c r="AV631" i="5"/>
  <c r="AU631" i="5"/>
  <c r="H631" i="5"/>
  <c r="G631" i="5"/>
  <c r="BJ630" i="5"/>
  <c r="BI630" i="5"/>
  <c r="BH630" i="5"/>
  <c r="BG630" i="5"/>
  <c r="BF630" i="5"/>
  <c r="BE630" i="5"/>
  <c r="BD630" i="5"/>
  <c r="BC630" i="5"/>
  <c r="BB630" i="5"/>
  <c r="BA630" i="5"/>
  <c r="AZ630" i="5"/>
  <c r="AY630" i="5"/>
  <c r="AX630" i="5"/>
  <c r="AW630" i="5"/>
  <c r="AV630" i="5"/>
  <c r="AU630" i="5"/>
  <c r="H630" i="5"/>
  <c r="G630" i="5"/>
  <c r="BJ629" i="5"/>
  <c r="BI629" i="5"/>
  <c r="BH629" i="5"/>
  <c r="BG629" i="5"/>
  <c r="BF629" i="5"/>
  <c r="BE629" i="5"/>
  <c r="BD629" i="5"/>
  <c r="BC629" i="5"/>
  <c r="BB629" i="5"/>
  <c r="BA629" i="5"/>
  <c r="AZ629" i="5"/>
  <c r="AY629" i="5"/>
  <c r="AX629" i="5"/>
  <c r="AW629" i="5"/>
  <c r="AV629" i="5"/>
  <c r="AU629" i="5"/>
  <c r="H629" i="5"/>
  <c r="G629" i="5"/>
  <c r="BJ628" i="5"/>
  <c r="BI628" i="5"/>
  <c r="BH628" i="5"/>
  <c r="BG628" i="5"/>
  <c r="BF628" i="5"/>
  <c r="BE628" i="5"/>
  <c r="BD628" i="5"/>
  <c r="BC628" i="5"/>
  <c r="BB628" i="5"/>
  <c r="BA628" i="5"/>
  <c r="AZ628" i="5"/>
  <c r="AY628" i="5"/>
  <c r="AX628" i="5"/>
  <c r="AW628" i="5"/>
  <c r="AV628" i="5"/>
  <c r="AU628" i="5"/>
  <c r="H628" i="5"/>
  <c r="G628" i="5"/>
  <c r="BJ627" i="5"/>
  <c r="BI627" i="5"/>
  <c r="BH627" i="5"/>
  <c r="BG627" i="5"/>
  <c r="BF627" i="5"/>
  <c r="BE627" i="5"/>
  <c r="BD627" i="5"/>
  <c r="BC627" i="5"/>
  <c r="BB627" i="5"/>
  <c r="BA627" i="5"/>
  <c r="AZ627" i="5"/>
  <c r="AY627" i="5"/>
  <c r="AX627" i="5"/>
  <c r="AW627" i="5"/>
  <c r="AV627" i="5"/>
  <c r="AU627" i="5"/>
  <c r="H627" i="5"/>
  <c r="G627" i="5"/>
  <c r="BJ626" i="5"/>
  <c r="BI626" i="5"/>
  <c r="BH626" i="5"/>
  <c r="BG626" i="5"/>
  <c r="BF626" i="5"/>
  <c r="BE626" i="5"/>
  <c r="BD626" i="5"/>
  <c r="BC626" i="5"/>
  <c r="BB626" i="5"/>
  <c r="BA626" i="5"/>
  <c r="AZ626" i="5"/>
  <c r="AY626" i="5"/>
  <c r="AX626" i="5"/>
  <c r="AW626" i="5"/>
  <c r="AV626" i="5"/>
  <c r="AU626" i="5"/>
  <c r="H626" i="5"/>
  <c r="G626" i="5"/>
  <c r="BJ625" i="5"/>
  <c r="BI625" i="5"/>
  <c r="BH625" i="5"/>
  <c r="BG625" i="5"/>
  <c r="BF625" i="5"/>
  <c r="BE625" i="5"/>
  <c r="BD625" i="5"/>
  <c r="BC625" i="5"/>
  <c r="BB625" i="5"/>
  <c r="BA625" i="5"/>
  <c r="AZ625" i="5"/>
  <c r="AY625" i="5"/>
  <c r="AX625" i="5"/>
  <c r="AW625" i="5"/>
  <c r="AV625" i="5"/>
  <c r="AU625" i="5"/>
  <c r="H625" i="5"/>
  <c r="G625" i="5"/>
  <c r="BJ624" i="5"/>
  <c r="BI624" i="5"/>
  <c r="BH624" i="5"/>
  <c r="BG624" i="5"/>
  <c r="BF624" i="5"/>
  <c r="BE624" i="5"/>
  <c r="BD624" i="5"/>
  <c r="BC624" i="5"/>
  <c r="BB624" i="5"/>
  <c r="BA624" i="5"/>
  <c r="AZ624" i="5"/>
  <c r="AY624" i="5"/>
  <c r="AX624" i="5"/>
  <c r="AW624" i="5"/>
  <c r="AV624" i="5"/>
  <c r="AU624" i="5"/>
  <c r="H624" i="5"/>
  <c r="G624" i="5"/>
  <c r="BJ623" i="5"/>
  <c r="BI623" i="5"/>
  <c r="BH623" i="5"/>
  <c r="BG623" i="5"/>
  <c r="BF623" i="5"/>
  <c r="BE623" i="5"/>
  <c r="BD623" i="5"/>
  <c r="BC623" i="5"/>
  <c r="BB623" i="5"/>
  <c r="BA623" i="5"/>
  <c r="AZ623" i="5"/>
  <c r="AY623" i="5"/>
  <c r="AX623" i="5"/>
  <c r="AW623" i="5"/>
  <c r="AV623" i="5"/>
  <c r="AU623" i="5"/>
  <c r="H623" i="5"/>
  <c r="G623" i="5"/>
  <c r="BJ622" i="5"/>
  <c r="BI622" i="5"/>
  <c r="BH622" i="5"/>
  <c r="BG622" i="5"/>
  <c r="BF622" i="5"/>
  <c r="BE622" i="5"/>
  <c r="BD622" i="5"/>
  <c r="BC622" i="5"/>
  <c r="BB622" i="5"/>
  <c r="BA622" i="5"/>
  <c r="AZ622" i="5"/>
  <c r="AY622" i="5"/>
  <c r="AX622" i="5"/>
  <c r="AW622" i="5"/>
  <c r="AV622" i="5"/>
  <c r="AU622" i="5"/>
  <c r="H622" i="5"/>
  <c r="G622" i="5"/>
  <c r="BJ621" i="5"/>
  <c r="BI621" i="5"/>
  <c r="BH621" i="5"/>
  <c r="BG621" i="5"/>
  <c r="BF621" i="5"/>
  <c r="BE621" i="5"/>
  <c r="BD621" i="5"/>
  <c r="BC621" i="5"/>
  <c r="BB621" i="5"/>
  <c r="BA621" i="5"/>
  <c r="AZ621" i="5"/>
  <c r="AY621" i="5"/>
  <c r="AX621" i="5"/>
  <c r="AW621" i="5"/>
  <c r="AV621" i="5"/>
  <c r="AU621" i="5"/>
  <c r="H621" i="5"/>
  <c r="G621" i="5"/>
  <c r="BJ620" i="5"/>
  <c r="BI620" i="5"/>
  <c r="BH620" i="5"/>
  <c r="BG620" i="5"/>
  <c r="BF620" i="5"/>
  <c r="BE620" i="5"/>
  <c r="BD620" i="5"/>
  <c r="BC620" i="5"/>
  <c r="BB620" i="5"/>
  <c r="BA620" i="5"/>
  <c r="AZ620" i="5"/>
  <c r="AY620" i="5"/>
  <c r="AX620" i="5"/>
  <c r="AW620" i="5"/>
  <c r="AV620" i="5"/>
  <c r="AU620" i="5"/>
  <c r="H620" i="5"/>
  <c r="G620" i="5"/>
  <c r="BJ619" i="5"/>
  <c r="BI619" i="5"/>
  <c r="BH619" i="5"/>
  <c r="BG619" i="5"/>
  <c r="BF619" i="5"/>
  <c r="BE619" i="5"/>
  <c r="BD619" i="5"/>
  <c r="BC619" i="5"/>
  <c r="BB619" i="5"/>
  <c r="BA619" i="5"/>
  <c r="AZ619" i="5"/>
  <c r="AY619" i="5"/>
  <c r="AX619" i="5"/>
  <c r="AW619" i="5"/>
  <c r="AV619" i="5"/>
  <c r="AU619" i="5"/>
  <c r="H619" i="5"/>
  <c r="G619" i="5"/>
  <c r="BJ618" i="5"/>
  <c r="BI618" i="5"/>
  <c r="BH618" i="5"/>
  <c r="BG618" i="5"/>
  <c r="BF618" i="5"/>
  <c r="BE618" i="5"/>
  <c r="BD618" i="5"/>
  <c r="BC618" i="5"/>
  <c r="BB618" i="5"/>
  <c r="BA618" i="5"/>
  <c r="AZ618" i="5"/>
  <c r="AY618" i="5"/>
  <c r="AX618" i="5"/>
  <c r="AW618" i="5"/>
  <c r="AV618" i="5"/>
  <c r="AU618" i="5"/>
  <c r="H618" i="5"/>
  <c r="G618" i="5"/>
  <c r="BJ617" i="5"/>
  <c r="BI617" i="5"/>
  <c r="BH617" i="5"/>
  <c r="BG617" i="5"/>
  <c r="BF617" i="5"/>
  <c r="BE617" i="5"/>
  <c r="BD617" i="5"/>
  <c r="BC617" i="5"/>
  <c r="BB617" i="5"/>
  <c r="BA617" i="5"/>
  <c r="AZ617" i="5"/>
  <c r="AY617" i="5"/>
  <c r="AX617" i="5"/>
  <c r="AW617" i="5"/>
  <c r="AV617" i="5"/>
  <c r="AU617" i="5"/>
  <c r="H617" i="5"/>
  <c r="G617" i="5"/>
  <c r="BJ616" i="5"/>
  <c r="BI616" i="5"/>
  <c r="BH616" i="5"/>
  <c r="BG616" i="5"/>
  <c r="BF616" i="5"/>
  <c r="BE616" i="5"/>
  <c r="BD616" i="5"/>
  <c r="BC616" i="5"/>
  <c r="BB616" i="5"/>
  <c r="BA616" i="5"/>
  <c r="AZ616" i="5"/>
  <c r="AY616" i="5"/>
  <c r="AX616" i="5"/>
  <c r="AW616" i="5"/>
  <c r="AV616" i="5"/>
  <c r="AU616" i="5"/>
  <c r="H616" i="5"/>
  <c r="G616" i="5"/>
  <c r="BJ615" i="5"/>
  <c r="BI615" i="5"/>
  <c r="BH615" i="5"/>
  <c r="BG615" i="5"/>
  <c r="BF615" i="5"/>
  <c r="BE615" i="5"/>
  <c r="BD615" i="5"/>
  <c r="BC615" i="5"/>
  <c r="BB615" i="5"/>
  <c r="BA615" i="5"/>
  <c r="AZ615" i="5"/>
  <c r="AY615" i="5"/>
  <c r="AX615" i="5"/>
  <c r="AW615" i="5"/>
  <c r="AV615" i="5"/>
  <c r="AU615" i="5"/>
  <c r="H615" i="5"/>
  <c r="G615" i="5"/>
  <c r="BJ614" i="5"/>
  <c r="BI614" i="5"/>
  <c r="BH614" i="5"/>
  <c r="BG614" i="5"/>
  <c r="BF614" i="5"/>
  <c r="BE614" i="5"/>
  <c r="BD614" i="5"/>
  <c r="BC614" i="5"/>
  <c r="BB614" i="5"/>
  <c r="BA614" i="5"/>
  <c r="AZ614" i="5"/>
  <c r="AY614" i="5"/>
  <c r="AX614" i="5"/>
  <c r="AW614" i="5"/>
  <c r="AV614" i="5"/>
  <c r="AU614" i="5"/>
  <c r="H614" i="5"/>
  <c r="G614" i="5"/>
  <c r="BJ613" i="5"/>
  <c r="BI613" i="5"/>
  <c r="BH613" i="5"/>
  <c r="BG613" i="5"/>
  <c r="BF613" i="5"/>
  <c r="BE613" i="5"/>
  <c r="BD613" i="5"/>
  <c r="BC613" i="5"/>
  <c r="BB613" i="5"/>
  <c r="BA613" i="5"/>
  <c r="AZ613" i="5"/>
  <c r="AY613" i="5"/>
  <c r="AX613" i="5"/>
  <c r="AW613" i="5"/>
  <c r="AV613" i="5"/>
  <c r="AU613" i="5"/>
  <c r="H613" i="5"/>
  <c r="G613" i="5"/>
  <c r="BJ612" i="5"/>
  <c r="BI612" i="5"/>
  <c r="BH612" i="5"/>
  <c r="BG612" i="5"/>
  <c r="BF612" i="5"/>
  <c r="BE612" i="5"/>
  <c r="BD612" i="5"/>
  <c r="BC612" i="5"/>
  <c r="BB612" i="5"/>
  <c r="BA612" i="5"/>
  <c r="AZ612" i="5"/>
  <c r="AY612" i="5"/>
  <c r="AX612" i="5"/>
  <c r="AW612" i="5"/>
  <c r="AV612" i="5"/>
  <c r="AU612" i="5"/>
  <c r="H612" i="5"/>
  <c r="G612" i="5"/>
  <c r="BJ611" i="5"/>
  <c r="BI611" i="5"/>
  <c r="BH611" i="5"/>
  <c r="BG611" i="5"/>
  <c r="BF611" i="5"/>
  <c r="BE611" i="5"/>
  <c r="BD611" i="5"/>
  <c r="BC611" i="5"/>
  <c r="BB611" i="5"/>
  <c r="BA611" i="5"/>
  <c r="AZ611" i="5"/>
  <c r="AY611" i="5"/>
  <c r="AX611" i="5"/>
  <c r="AW611" i="5"/>
  <c r="AV611" i="5"/>
  <c r="AU611" i="5"/>
  <c r="H611" i="5"/>
  <c r="G611" i="5"/>
  <c r="BJ610" i="5"/>
  <c r="BI610" i="5"/>
  <c r="BH610" i="5"/>
  <c r="BG610" i="5"/>
  <c r="BF610" i="5"/>
  <c r="BE610" i="5"/>
  <c r="BD610" i="5"/>
  <c r="BC610" i="5"/>
  <c r="BB610" i="5"/>
  <c r="BA610" i="5"/>
  <c r="AZ610" i="5"/>
  <c r="AY610" i="5"/>
  <c r="AX610" i="5"/>
  <c r="AW610" i="5"/>
  <c r="AV610" i="5"/>
  <c r="AU610" i="5"/>
  <c r="H610" i="5"/>
  <c r="G610" i="5"/>
  <c r="BJ609" i="5"/>
  <c r="BI609" i="5"/>
  <c r="BH609" i="5"/>
  <c r="BG609" i="5"/>
  <c r="BF609" i="5"/>
  <c r="BE609" i="5"/>
  <c r="BD609" i="5"/>
  <c r="BC609" i="5"/>
  <c r="BB609" i="5"/>
  <c r="BA609" i="5"/>
  <c r="AZ609" i="5"/>
  <c r="AY609" i="5"/>
  <c r="AX609" i="5"/>
  <c r="AW609" i="5"/>
  <c r="AV609" i="5"/>
  <c r="AU609" i="5"/>
  <c r="H609" i="5"/>
  <c r="G609" i="5"/>
  <c r="BJ608" i="5"/>
  <c r="BI608" i="5"/>
  <c r="BH608" i="5"/>
  <c r="BG608" i="5"/>
  <c r="BF608" i="5"/>
  <c r="BE608" i="5"/>
  <c r="BD608" i="5"/>
  <c r="BC608" i="5"/>
  <c r="BB608" i="5"/>
  <c r="BA608" i="5"/>
  <c r="AZ608" i="5"/>
  <c r="AY608" i="5"/>
  <c r="AX608" i="5"/>
  <c r="AW608" i="5"/>
  <c r="AV608" i="5"/>
  <c r="AU608" i="5"/>
  <c r="H608" i="5"/>
  <c r="G608" i="5"/>
  <c r="BJ607" i="5"/>
  <c r="BI607" i="5"/>
  <c r="BH607" i="5"/>
  <c r="BG607" i="5"/>
  <c r="BF607" i="5"/>
  <c r="BE607" i="5"/>
  <c r="BD607" i="5"/>
  <c r="BC607" i="5"/>
  <c r="BB607" i="5"/>
  <c r="BA607" i="5"/>
  <c r="AZ607" i="5"/>
  <c r="AY607" i="5"/>
  <c r="AX607" i="5"/>
  <c r="AW607" i="5"/>
  <c r="AV607" i="5"/>
  <c r="AU607" i="5"/>
  <c r="H607" i="5"/>
  <c r="G607" i="5"/>
  <c r="BJ606" i="5"/>
  <c r="BI606" i="5"/>
  <c r="BH606" i="5"/>
  <c r="BG606" i="5"/>
  <c r="BF606" i="5"/>
  <c r="BE606" i="5"/>
  <c r="BD606" i="5"/>
  <c r="BC606" i="5"/>
  <c r="BB606" i="5"/>
  <c r="BA606" i="5"/>
  <c r="AZ606" i="5"/>
  <c r="AY606" i="5"/>
  <c r="AX606" i="5"/>
  <c r="AW606" i="5"/>
  <c r="AV606" i="5"/>
  <c r="AU606" i="5"/>
  <c r="H606" i="5"/>
  <c r="G606" i="5"/>
  <c r="BJ605" i="5"/>
  <c r="BI605" i="5"/>
  <c r="BH605" i="5"/>
  <c r="BG605" i="5"/>
  <c r="BF605" i="5"/>
  <c r="BE605" i="5"/>
  <c r="BD605" i="5"/>
  <c r="BC605" i="5"/>
  <c r="BB605" i="5"/>
  <c r="BA605" i="5"/>
  <c r="AZ605" i="5"/>
  <c r="AY605" i="5"/>
  <c r="AX605" i="5"/>
  <c r="AW605" i="5"/>
  <c r="AV605" i="5"/>
  <c r="AU605" i="5"/>
  <c r="H605" i="5"/>
  <c r="G605" i="5"/>
  <c r="BJ604" i="5"/>
  <c r="BI604" i="5"/>
  <c r="BH604" i="5"/>
  <c r="BG604" i="5"/>
  <c r="BF604" i="5"/>
  <c r="BE604" i="5"/>
  <c r="BD604" i="5"/>
  <c r="BC604" i="5"/>
  <c r="BB604" i="5"/>
  <c r="BA604" i="5"/>
  <c r="AZ604" i="5"/>
  <c r="AY604" i="5"/>
  <c r="AX604" i="5"/>
  <c r="AW604" i="5"/>
  <c r="AV604" i="5"/>
  <c r="AU604" i="5"/>
  <c r="H604" i="5"/>
  <c r="G604" i="5"/>
  <c r="BJ603" i="5"/>
  <c r="BI603" i="5"/>
  <c r="BH603" i="5"/>
  <c r="BG603" i="5"/>
  <c r="BF603" i="5"/>
  <c r="BE603" i="5"/>
  <c r="BD603" i="5"/>
  <c r="BC603" i="5"/>
  <c r="BB603" i="5"/>
  <c r="BA603" i="5"/>
  <c r="AZ603" i="5"/>
  <c r="AY603" i="5"/>
  <c r="AX603" i="5"/>
  <c r="AW603" i="5"/>
  <c r="AV603" i="5"/>
  <c r="AU603" i="5"/>
  <c r="H603" i="5"/>
  <c r="G603" i="5"/>
  <c r="BJ602" i="5"/>
  <c r="BI602" i="5"/>
  <c r="BH602" i="5"/>
  <c r="BG602" i="5"/>
  <c r="BF602" i="5"/>
  <c r="BE602" i="5"/>
  <c r="BD602" i="5"/>
  <c r="BC602" i="5"/>
  <c r="BB602" i="5"/>
  <c r="BA602" i="5"/>
  <c r="AZ602" i="5"/>
  <c r="AY602" i="5"/>
  <c r="AX602" i="5"/>
  <c r="AW602" i="5"/>
  <c r="AV602" i="5"/>
  <c r="AU602" i="5"/>
  <c r="H602" i="5"/>
  <c r="G602" i="5"/>
  <c r="BJ601" i="5"/>
  <c r="BI601" i="5"/>
  <c r="BH601" i="5"/>
  <c r="BG601" i="5"/>
  <c r="BF601" i="5"/>
  <c r="BE601" i="5"/>
  <c r="BD601" i="5"/>
  <c r="BC601" i="5"/>
  <c r="BB601" i="5"/>
  <c r="BA601" i="5"/>
  <c r="AZ601" i="5"/>
  <c r="AY601" i="5"/>
  <c r="AX601" i="5"/>
  <c r="AW601" i="5"/>
  <c r="AV601" i="5"/>
  <c r="AU601" i="5"/>
  <c r="H601" i="5"/>
  <c r="G601" i="5"/>
  <c r="BJ600" i="5"/>
  <c r="BI600" i="5"/>
  <c r="BH600" i="5"/>
  <c r="BG600" i="5"/>
  <c r="BF600" i="5"/>
  <c r="BE600" i="5"/>
  <c r="BD600" i="5"/>
  <c r="BC600" i="5"/>
  <c r="BB600" i="5"/>
  <c r="BA600" i="5"/>
  <c r="AZ600" i="5"/>
  <c r="AY600" i="5"/>
  <c r="AX600" i="5"/>
  <c r="AW600" i="5"/>
  <c r="AV600" i="5"/>
  <c r="AU600" i="5"/>
  <c r="H600" i="5"/>
  <c r="G600" i="5"/>
  <c r="BJ599" i="5"/>
  <c r="BI599" i="5"/>
  <c r="BH599" i="5"/>
  <c r="BG599" i="5"/>
  <c r="BF599" i="5"/>
  <c r="BE599" i="5"/>
  <c r="BD599" i="5"/>
  <c r="BC599" i="5"/>
  <c r="BB599" i="5"/>
  <c r="BA599" i="5"/>
  <c r="AZ599" i="5"/>
  <c r="AY599" i="5"/>
  <c r="AX599" i="5"/>
  <c r="AW599" i="5"/>
  <c r="AV599" i="5"/>
  <c r="AU599" i="5"/>
  <c r="H599" i="5"/>
  <c r="G599" i="5"/>
  <c r="BJ598" i="5"/>
  <c r="BI598" i="5"/>
  <c r="BH598" i="5"/>
  <c r="BG598" i="5"/>
  <c r="BF598" i="5"/>
  <c r="BE598" i="5"/>
  <c r="BD598" i="5"/>
  <c r="BC598" i="5"/>
  <c r="BB598" i="5"/>
  <c r="BA598" i="5"/>
  <c r="AZ598" i="5"/>
  <c r="AY598" i="5"/>
  <c r="AX598" i="5"/>
  <c r="AW598" i="5"/>
  <c r="AV598" i="5"/>
  <c r="AU598" i="5"/>
  <c r="H598" i="5"/>
  <c r="G598" i="5"/>
  <c r="BJ597" i="5"/>
  <c r="BI597" i="5"/>
  <c r="BH597" i="5"/>
  <c r="BG597" i="5"/>
  <c r="BF597" i="5"/>
  <c r="BE597" i="5"/>
  <c r="BD597" i="5"/>
  <c r="BC597" i="5"/>
  <c r="BB597" i="5"/>
  <c r="BA597" i="5"/>
  <c r="AZ597" i="5"/>
  <c r="AY597" i="5"/>
  <c r="AX597" i="5"/>
  <c r="AW597" i="5"/>
  <c r="AV597" i="5"/>
  <c r="AU597" i="5"/>
  <c r="H597" i="5"/>
  <c r="G597" i="5"/>
  <c r="BJ596" i="5"/>
  <c r="BI596" i="5"/>
  <c r="BH596" i="5"/>
  <c r="BG596" i="5"/>
  <c r="BF596" i="5"/>
  <c r="BE596" i="5"/>
  <c r="BD596" i="5"/>
  <c r="BC596" i="5"/>
  <c r="BB596" i="5"/>
  <c r="BA596" i="5"/>
  <c r="AZ596" i="5"/>
  <c r="AY596" i="5"/>
  <c r="AX596" i="5"/>
  <c r="AW596" i="5"/>
  <c r="AV596" i="5"/>
  <c r="AU596" i="5"/>
  <c r="H596" i="5"/>
  <c r="G596" i="5"/>
  <c r="BJ595" i="5"/>
  <c r="BI595" i="5"/>
  <c r="BH595" i="5"/>
  <c r="BG595" i="5"/>
  <c r="BF595" i="5"/>
  <c r="BE595" i="5"/>
  <c r="BD595" i="5"/>
  <c r="BC595" i="5"/>
  <c r="BB595" i="5"/>
  <c r="BA595" i="5"/>
  <c r="AZ595" i="5"/>
  <c r="AY595" i="5"/>
  <c r="AX595" i="5"/>
  <c r="AW595" i="5"/>
  <c r="AV595" i="5"/>
  <c r="AU595" i="5"/>
  <c r="H595" i="5"/>
  <c r="G595" i="5"/>
  <c r="BJ594" i="5"/>
  <c r="BI594" i="5"/>
  <c r="BH594" i="5"/>
  <c r="BG594" i="5"/>
  <c r="BF594" i="5"/>
  <c r="BE594" i="5"/>
  <c r="BD594" i="5"/>
  <c r="BC594" i="5"/>
  <c r="BB594" i="5"/>
  <c r="BA594" i="5"/>
  <c r="AZ594" i="5"/>
  <c r="AY594" i="5"/>
  <c r="AX594" i="5"/>
  <c r="AW594" i="5"/>
  <c r="AV594" i="5"/>
  <c r="AU594" i="5"/>
  <c r="H594" i="5"/>
  <c r="G594" i="5"/>
  <c r="BJ593" i="5"/>
  <c r="BI593" i="5"/>
  <c r="BH593" i="5"/>
  <c r="BG593" i="5"/>
  <c r="BF593" i="5"/>
  <c r="BE593" i="5"/>
  <c r="BD593" i="5"/>
  <c r="BC593" i="5"/>
  <c r="BB593" i="5"/>
  <c r="BA593" i="5"/>
  <c r="AZ593" i="5"/>
  <c r="AY593" i="5"/>
  <c r="AX593" i="5"/>
  <c r="AW593" i="5"/>
  <c r="AV593" i="5"/>
  <c r="AU593" i="5"/>
  <c r="H593" i="5"/>
  <c r="G593" i="5"/>
  <c r="BJ592" i="5"/>
  <c r="BI592" i="5"/>
  <c r="BH592" i="5"/>
  <c r="BG592" i="5"/>
  <c r="BF592" i="5"/>
  <c r="BE592" i="5"/>
  <c r="BD592" i="5"/>
  <c r="BC592" i="5"/>
  <c r="BB592" i="5"/>
  <c r="BA592" i="5"/>
  <c r="AZ592" i="5"/>
  <c r="AY592" i="5"/>
  <c r="AX592" i="5"/>
  <c r="AW592" i="5"/>
  <c r="AV592" i="5"/>
  <c r="AU592" i="5"/>
  <c r="H592" i="5"/>
  <c r="G592" i="5"/>
  <c r="BJ591" i="5"/>
  <c r="BI591" i="5"/>
  <c r="BH591" i="5"/>
  <c r="BG591" i="5"/>
  <c r="BF591" i="5"/>
  <c r="BE591" i="5"/>
  <c r="BD591" i="5"/>
  <c r="BC591" i="5"/>
  <c r="BB591" i="5"/>
  <c r="BA591" i="5"/>
  <c r="AZ591" i="5"/>
  <c r="AY591" i="5"/>
  <c r="AX591" i="5"/>
  <c r="AW591" i="5"/>
  <c r="AV591" i="5"/>
  <c r="AU591" i="5"/>
  <c r="H591" i="5"/>
  <c r="G591" i="5"/>
  <c r="BJ590" i="5"/>
  <c r="BI590" i="5"/>
  <c r="BH590" i="5"/>
  <c r="BG590" i="5"/>
  <c r="BF590" i="5"/>
  <c r="BE590" i="5"/>
  <c r="BD590" i="5"/>
  <c r="BC590" i="5"/>
  <c r="BB590" i="5"/>
  <c r="BA590" i="5"/>
  <c r="AZ590" i="5"/>
  <c r="AY590" i="5"/>
  <c r="AX590" i="5"/>
  <c r="AW590" i="5"/>
  <c r="AV590" i="5"/>
  <c r="AU590" i="5"/>
  <c r="H590" i="5"/>
  <c r="G590" i="5"/>
  <c r="BJ589" i="5"/>
  <c r="BI589" i="5"/>
  <c r="BH589" i="5"/>
  <c r="BG589" i="5"/>
  <c r="BF589" i="5"/>
  <c r="BE589" i="5"/>
  <c r="BD589" i="5"/>
  <c r="BC589" i="5"/>
  <c r="BB589" i="5"/>
  <c r="BA589" i="5"/>
  <c r="AZ589" i="5"/>
  <c r="AY589" i="5"/>
  <c r="AX589" i="5"/>
  <c r="AW589" i="5"/>
  <c r="AV589" i="5"/>
  <c r="AU589" i="5"/>
  <c r="H589" i="5"/>
  <c r="G589" i="5"/>
  <c r="BJ588" i="5"/>
  <c r="BI588" i="5"/>
  <c r="BH588" i="5"/>
  <c r="BG588" i="5"/>
  <c r="BF588" i="5"/>
  <c r="BE588" i="5"/>
  <c r="BD588" i="5"/>
  <c r="BC588" i="5"/>
  <c r="BB588" i="5"/>
  <c r="BA588" i="5"/>
  <c r="AZ588" i="5"/>
  <c r="AY588" i="5"/>
  <c r="AX588" i="5"/>
  <c r="AW588" i="5"/>
  <c r="AV588" i="5"/>
  <c r="AU588" i="5"/>
  <c r="H588" i="5"/>
  <c r="G588" i="5"/>
  <c r="BJ587" i="5"/>
  <c r="BI587" i="5"/>
  <c r="BH587" i="5"/>
  <c r="BG587" i="5"/>
  <c r="BF587" i="5"/>
  <c r="BE587" i="5"/>
  <c r="BD587" i="5"/>
  <c r="BC587" i="5"/>
  <c r="BB587" i="5"/>
  <c r="BA587" i="5"/>
  <c r="AZ587" i="5"/>
  <c r="AY587" i="5"/>
  <c r="AX587" i="5"/>
  <c r="AW587" i="5"/>
  <c r="AV587" i="5"/>
  <c r="AU587" i="5"/>
  <c r="H587" i="5"/>
  <c r="G587" i="5"/>
  <c r="BJ586" i="5"/>
  <c r="BI586" i="5"/>
  <c r="BH586" i="5"/>
  <c r="BG586" i="5"/>
  <c r="BF586" i="5"/>
  <c r="BE586" i="5"/>
  <c r="BD586" i="5"/>
  <c r="BC586" i="5"/>
  <c r="BB586" i="5"/>
  <c r="BA586" i="5"/>
  <c r="AZ586" i="5"/>
  <c r="AY586" i="5"/>
  <c r="AX586" i="5"/>
  <c r="AW586" i="5"/>
  <c r="AV586" i="5"/>
  <c r="AU586" i="5"/>
  <c r="H586" i="5"/>
  <c r="G586" i="5"/>
  <c r="BJ585" i="5"/>
  <c r="BI585" i="5"/>
  <c r="BH585" i="5"/>
  <c r="BG585" i="5"/>
  <c r="BF585" i="5"/>
  <c r="BE585" i="5"/>
  <c r="BD585" i="5"/>
  <c r="BC585" i="5"/>
  <c r="BB585" i="5"/>
  <c r="BA585" i="5"/>
  <c r="AZ585" i="5"/>
  <c r="AY585" i="5"/>
  <c r="AX585" i="5"/>
  <c r="AW585" i="5"/>
  <c r="AV585" i="5"/>
  <c r="AU585" i="5"/>
  <c r="H585" i="5"/>
  <c r="G585" i="5"/>
  <c r="BJ584" i="5"/>
  <c r="BI584" i="5"/>
  <c r="BH584" i="5"/>
  <c r="BG584" i="5"/>
  <c r="BF584" i="5"/>
  <c r="BE584" i="5"/>
  <c r="BD584" i="5"/>
  <c r="BC584" i="5"/>
  <c r="BB584" i="5"/>
  <c r="BA584" i="5"/>
  <c r="AZ584" i="5"/>
  <c r="AY584" i="5"/>
  <c r="AX584" i="5"/>
  <c r="AW584" i="5"/>
  <c r="AV584" i="5"/>
  <c r="AU584" i="5"/>
  <c r="H584" i="5"/>
  <c r="G584" i="5"/>
  <c r="BJ583" i="5"/>
  <c r="BI583" i="5"/>
  <c r="BH583" i="5"/>
  <c r="BG583" i="5"/>
  <c r="BF583" i="5"/>
  <c r="BE583" i="5"/>
  <c r="BD583" i="5"/>
  <c r="BC583" i="5"/>
  <c r="BB583" i="5"/>
  <c r="BA583" i="5"/>
  <c r="AZ583" i="5"/>
  <c r="AY583" i="5"/>
  <c r="AX583" i="5"/>
  <c r="AW583" i="5"/>
  <c r="AV583" i="5"/>
  <c r="AU583" i="5"/>
  <c r="H583" i="5"/>
  <c r="G583" i="5"/>
  <c r="BJ582" i="5"/>
  <c r="BI582" i="5"/>
  <c r="BH582" i="5"/>
  <c r="BG582" i="5"/>
  <c r="BF582" i="5"/>
  <c r="BE582" i="5"/>
  <c r="BD582" i="5"/>
  <c r="BC582" i="5"/>
  <c r="BB582" i="5"/>
  <c r="BA582" i="5"/>
  <c r="AZ582" i="5"/>
  <c r="AY582" i="5"/>
  <c r="AX582" i="5"/>
  <c r="AW582" i="5"/>
  <c r="AV582" i="5"/>
  <c r="AU582" i="5"/>
  <c r="H582" i="5"/>
  <c r="G582" i="5"/>
  <c r="BJ581" i="5"/>
  <c r="BI581" i="5"/>
  <c r="BH581" i="5"/>
  <c r="BG581" i="5"/>
  <c r="BF581" i="5"/>
  <c r="BE581" i="5"/>
  <c r="BD581" i="5"/>
  <c r="BC581" i="5"/>
  <c r="BB581" i="5"/>
  <c r="BA581" i="5"/>
  <c r="AZ581" i="5"/>
  <c r="AY581" i="5"/>
  <c r="AX581" i="5"/>
  <c r="AW581" i="5"/>
  <c r="AV581" i="5"/>
  <c r="AU581" i="5"/>
  <c r="H581" i="5"/>
  <c r="G581" i="5"/>
  <c r="BJ580" i="5"/>
  <c r="BI580" i="5"/>
  <c r="BH580" i="5"/>
  <c r="BG580" i="5"/>
  <c r="BF580" i="5"/>
  <c r="BE580" i="5"/>
  <c r="BD580" i="5"/>
  <c r="BC580" i="5"/>
  <c r="BB580" i="5"/>
  <c r="BA580" i="5"/>
  <c r="AZ580" i="5"/>
  <c r="AY580" i="5"/>
  <c r="AX580" i="5"/>
  <c r="AW580" i="5"/>
  <c r="AV580" i="5"/>
  <c r="AU580" i="5"/>
  <c r="H580" i="5"/>
  <c r="G580" i="5"/>
  <c r="BJ579" i="5"/>
  <c r="BI579" i="5"/>
  <c r="BH579" i="5"/>
  <c r="BG579" i="5"/>
  <c r="BF579" i="5"/>
  <c r="BE579" i="5"/>
  <c r="BD579" i="5"/>
  <c r="BC579" i="5"/>
  <c r="BB579" i="5"/>
  <c r="BA579" i="5"/>
  <c r="AZ579" i="5"/>
  <c r="AY579" i="5"/>
  <c r="AX579" i="5"/>
  <c r="AW579" i="5"/>
  <c r="AV579" i="5"/>
  <c r="AU579" i="5"/>
  <c r="H579" i="5"/>
  <c r="G579" i="5"/>
  <c r="BJ578" i="5"/>
  <c r="BI578" i="5"/>
  <c r="BH578" i="5"/>
  <c r="BG578" i="5"/>
  <c r="BF578" i="5"/>
  <c r="BE578" i="5"/>
  <c r="BD578" i="5"/>
  <c r="BC578" i="5"/>
  <c r="BB578" i="5"/>
  <c r="BA578" i="5"/>
  <c r="AZ578" i="5"/>
  <c r="AY578" i="5"/>
  <c r="AX578" i="5"/>
  <c r="AW578" i="5"/>
  <c r="AV578" i="5"/>
  <c r="AU578" i="5"/>
  <c r="H578" i="5"/>
  <c r="G578" i="5"/>
  <c r="BJ577" i="5"/>
  <c r="BI577" i="5"/>
  <c r="BH577" i="5"/>
  <c r="BG577" i="5"/>
  <c r="BF577" i="5"/>
  <c r="BE577" i="5"/>
  <c r="BD577" i="5"/>
  <c r="BC577" i="5"/>
  <c r="BB577" i="5"/>
  <c r="BA577" i="5"/>
  <c r="AZ577" i="5"/>
  <c r="AY577" i="5"/>
  <c r="AX577" i="5"/>
  <c r="AW577" i="5"/>
  <c r="AV577" i="5"/>
  <c r="AU577" i="5"/>
  <c r="H577" i="5"/>
  <c r="G577" i="5"/>
  <c r="BJ576" i="5"/>
  <c r="BI576" i="5"/>
  <c r="BH576" i="5"/>
  <c r="BG576" i="5"/>
  <c r="BF576" i="5"/>
  <c r="BE576" i="5"/>
  <c r="BD576" i="5"/>
  <c r="BC576" i="5"/>
  <c r="BB576" i="5"/>
  <c r="BA576" i="5"/>
  <c r="AZ576" i="5"/>
  <c r="AY576" i="5"/>
  <c r="AX576" i="5"/>
  <c r="AW576" i="5"/>
  <c r="AV576" i="5"/>
  <c r="AU576" i="5"/>
  <c r="H576" i="5"/>
  <c r="G576" i="5"/>
  <c r="BJ575" i="5"/>
  <c r="BI575" i="5"/>
  <c r="BH575" i="5"/>
  <c r="BG575" i="5"/>
  <c r="BF575" i="5"/>
  <c r="BE575" i="5"/>
  <c r="BD575" i="5"/>
  <c r="BC575" i="5"/>
  <c r="BB575" i="5"/>
  <c r="BA575" i="5"/>
  <c r="AZ575" i="5"/>
  <c r="AY575" i="5"/>
  <c r="AX575" i="5"/>
  <c r="AW575" i="5"/>
  <c r="AV575" i="5"/>
  <c r="AU575" i="5"/>
  <c r="H575" i="5"/>
  <c r="G575" i="5"/>
  <c r="BJ574" i="5"/>
  <c r="BI574" i="5"/>
  <c r="BH574" i="5"/>
  <c r="BG574" i="5"/>
  <c r="BF574" i="5"/>
  <c r="BE574" i="5"/>
  <c r="BD574" i="5"/>
  <c r="BC574" i="5"/>
  <c r="BB574" i="5"/>
  <c r="BA574" i="5"/>
  <c r="AZ574" i="5"/>
  <c r="AY574" i="5"/>
  <c r="AX574" i="5"/>
  <c r="AW574" i="5"/>
  <c r="AV574" i="5"/>
  <c r="AU574" i="5"/>
  <c r="H574" i="5"/>
  <c r="G574" i="5"/>
  <c r="BJ573" i="5"/>
  <c r="BI573" i="5"/>
  <c r="BH573" i="5"/>
  <c r="BG573" i="5"/>
  <c r="BF573" i="5"/>
  <c r="BE573" i="5"/>
  <c r="BD573" i="5"/>
  <c r="BC573" i="5"/>
  <c r="BB573" i="5"/>
  <c r="BA573" i="5"/>
  <c r="AZ573" i="5"/>
  <c r="AY573" i="5"/>
  <c r="AX573" i="5"/>
  <c r="AW573" i="5"/>
  <c r="AV573" i="5"/>
  <c r="AU573" i="5"/>
  <c r="H573" i="5"/>
  <c r="G573" i="5"/>
  <c r="BJ572" i="5"/>
  <c r="BI572" i="5"/>
  <c r="BH572" i="5"/>
  <c r="BG572" i="5"/>
  <c r="BF572" i="5"/>
  <c r="BE572" i="5"/>
  <c r="BD572" i="5"/>
  <c r="BC572" i="5"/>
  <c r="BB572" i="5"/>
  <c r="BA572" i="5"/>
  <c r="AZ572" i="5"/>
  <c r="AY572" i="5"/>
  <c r="AX572" i="5"/>
  <c r="AW572" i="5"/>
  <c r="AV572" i="5"/>
  <c r="AU572" i="5"/>
  <c r="H572" i="5"/>
  <c r="G572" i="5"/>
  <c r="BJ571" i="5"/>
  <c r="BI571" i="5"/>
  <c r="BH571" i="5"/>
  <c r="BG571" i="5"/>
  <c r="BF571" i="5"/>
  <c r="BE571" i="5"/>
  <c r="BD571" i="5"/>
  <c r="BC571" i="5"/>
  <c r="BB571" i="5"/>
  <c r="BA571" i="5"/>
  <c r="AZ571" i="5"/>
  <c r="AY571" i="5"/>
  <c r="AX571" i="5"/>
  <c r="AW571" i="5"/>
  <c r="AV571" i="5"/>
  <c r="AU571" i="5"/>
  <c r="H571" i="5"/>
  <c r="G571" i="5"/>
  <c r="BJ570" i="5"/>
  <c r="BI570" i="5"/>
  <c r="BH570" i="5"/>
  <c r="BG570" i="5"/>
  <c r="BF570" i="5"/>
  <c r="BE570" i="5"/>
  <c r="BD570" i="5"/>
  <c r="BC570" i="5"/>
  <c r="BB570" i="5"/>
  <c r="BA570" i="5"/>
  <c r="AZ570" i="5"/>
  <c r="AY570" i="5"/>
  <c r="AX570" i="5"/>
  <c r="AW570" i="5"/>
  <c r="AV570" i="5"/>
  <c r="AU570" i="5"/>
  <c r="H570" i="5"/>
  <c r="G570" i="5"/>
  <c r="BJ569" i="5"/>
  <c r="BI569" i="5"/>
  <c r="BH569" i="5"/>
  <c r="BG569" i="5"/>
  <c r="BF569" i="5"/>
  <c r="BE569" i="5"/>
  <c r="BD569" i="5"/>
  <c r="BC569" i="5"/>
  <c r="BB569" i="5"/>
  <c r="BA569" i="5"/>
  <c r="AZ569" i="5"/>
  <c r="AY569" i="5"/>
  <c r="AX569" i="5"/>
  <c r="AW569" i="5"/>
  <c r="AV569" i="5"/>
  <c r="AU569" i="5"/>
  <c r="H569" i="5"/>
  <c r="G569" i="5"/>
  <c r="BJ568" i="5"/>
  <c r="BI568" i="5"/>
  <c r="BH568" i="5"/>
  <c r="BG568" i="5"/>
  <c r="BF568" i="5"/>
  <c r="BE568" i="5"/>
  <c r="BD568" i="5"/>
  <c r="BC568" i="5"/>
  <c r="BB568" i="5"/>
  <c r="BA568" i="5"/>
  <c r="AZ568" i="5"/>
  <c r="AY568" i="5"/>
  <c r="AX568" i="5"/>
  <c r="AW568" i="5"/>
  <c r="AV568" i="5"/>
  <c r="AU568" i="5"/>
  <c r="H568" i="5"/>
  <c r="G568" i="5"/>
  <c r="BJ567" i="5"/>
  <c r="BI567" i="5"/>
  <c r="BH567" i="5"/>
  <c r="BG567" i="5"/>
  <c r="BF567" i="5"/>
  <c r="BE567" i="5"/>
  <c r="BD567" i="5"/>
  <c r="BC567" i="5"/>
  <c r="BB567" i="5"/>
  <c r="BA567" i="5"/>
  <c r="AZ567" i="5"/>
  <c r="AY567" i="5"/>
  <c r="AX567" i="5"/>
  <c r="AW567" i="5"/>
  <c r="AV567" i="5"/>
  <c r="AU567" i="5"/>
  <c r="H567" i="5"/>
  <c r="G567" i="5"/>
  <c r="BJ566" i="5"/>
  <c r="BI566" i="5"/>
  <c r="BH566" i="5"/>
  <c r="BG566" i="5"/>
  <c r="BF566" i="5"/>
  <c r="BE566" i="5"/>
  <c r="BD566" i="5"/>
  <c r="BC566" i="5"/>
  <c r="BB566" i="5"/>
  <c r="BA566" i="5"/>
  <c r="AZ566" i="5"/>
  <c r="AY566" i="5"/>
  <c r="AX566" i="5"/>
  <c r="AW566" i="5"/>
  <c r="AV566" i="5"/>
  <c r="AU566" i="5"/>
  <c r="H566" i="5"/>
  <c r="G566" i="5"/>
  <c r="BJ565" i="5"/>
  <c r="BI565" i="5"/>
  <c r="BH565" i="5"/>
  <c r="BG565" i="5"/>
  <c r="BF565" i="5"/>
  <c r="BE565" i="5"/>
  <c r="BD565" i="5"/>
  <c r="BC565" i="5"/>
  <c r="BB565" i="5"/>
  <c r="BA565" i="5"/>
  <c r="AZ565" i="5"/>
  <c r="AY565" i="5"/>
  <c r="AX565" i="5"/>
  <c r="AW565" i="5"/>
  <c r="AV565" i="5"/>
  <c r="AU565" i="5"/>
  <c r="H565" i="5"/>
  <c r="G565" i="5"/>
  <c r="BJ564" i="5"/>
  <c r="BI564" i="5"/>
  <c r="BH564" i="5"/>
  <c r="BG564" i="5"/>
  <c r="BF564" i="5"/>
  <c r="BE564" i="5"/>
  <c r="BD564" i="5"/>
  <c r="BC564" i="5"/>
  <c r="BB564" i="5"/>
  <c r="BA564" i="5"/>
  <c r="AZ564" i="5"/>
  <c r="AY564" i="5"/>
  <c r="AX564" i="5"/>
  <c r="AW564" i="5"/>
  <c r="AV564" i="5"/>
  <c r="AU564" i="5"/>
  <c r="H564" i="5"/>
  <c r="G564" i="5"/>
  <c r="BJ563" i="5"/>
  <c r="BI563" i="5"/>
  <c r="BH563" i="5"/>
  <c r="BG563" i="5"/>
  <c r="BF563" i="5"/>
  <c r="BE563" i="5"/>
  <c r="BD563" i="5"/>
  <c r="BC563" i="5"/>
  <c r="BB563" i="5"/>
  <c r="BA563" i="5"/>
  <c r="AZ563" i="5"/>
  <c r="AY563" i="5"/>
  <c r="AX563" i="5"/>
  <c r="AW563" i="5"/>
  <c r="AV563" i="5"/>
  <c r="AU563" i="5"/>
  <c r="H563" i="5"/>
  <c r="G563" i="5"/>
  <c r="BJ562" i="5"/>
  <c r="BI562" i="5"/>
  <c r="BH562" i="5"/>
  <c r="BG562" i="5"/>
  <c r="BF562" i="5"/>
  <c r="BE562" i="5"/>
  <c r="BD562" i="5"/>
  <c r="BC562" i="5"/>
  <c r="BB562" i="5"/>
  <c r="BA562" i="5"/>
  <c r="AZ562" i="5"/>
  <c r="AY562" i="5"/>
  <c r="AX562" i="5"/>
  <c r="AW562" i="5"/>
  <c r="AV562" i="5"/>
  <c r="AU562" i="5"/>
  <c r="H562" i="5"/>
  <c r="G562" i="5"/>
  <c r="BJ561" i="5"/>
  <c r="BI561" i="5"/>
  <c r="BH561" i="5"/>
  <c r="BG561" i="5"/>
  <c r="BF561" i="5"/>
  <c r="BE561" i="5"/>
  <c r="BD561" i="5"/>
  <c r="BC561" i="5"/>
  <c r="BB561" i="5"/>
  <c r="BA561" i="5"/>
  <c r="AZ561" i="5"/>
  <c r="AY561" i="5"/>
  <c r="AX561" i="5"/>
  <c r="AW561" i="5"/>
  <c r="AV561" i="5"/>
  <c r="AU561" i="5"/>
  <c r="H561" i="5"/>
  <c r="G561" i="5"/>
  <c r="BJ560" i="5"/>
  <c r="BI560" i="5"/>
  <c r="BH560" i="5"/>
  <c r="BG560" i="5"/>
  <c r="BF560" i="5"/>
  <c r="BE560" i="5"/>
  <c r="BD560" i="5"/>
  <c r="BC560" i="5"/>
  <c r="BB560" i="5"/>
  <c r="BA560" i="5"/>
  <c r="AZ560" i="5"/>
  <c r="AY560" i="5"/>
  <c r="AX560" i="5"/>
  <c r="AW560" i="5"/>
  <c r="AV560" i="5"/>
  <c r="AU560" i="5"/>
  <c r="H560" i="5"/>
  <c r="G560" i="5"/>
  <c r="BJ559" i="5"/>
  <c r="BI559" i="5"/>
  <c r="BH559" i="5"/>
  <c r="BG559" i="5"/>
  <c r="BF559" i="5"/>
  <c r="BE559" i="5"/>
  <c r="BD559" i="5"/>
  <c r="BC559" i="5"/>
  <c r="BB559" i="5"/>
  <c r="BA559" i="5"/>
  <c r="AZ559" i="5"/>
  <c r="AY559" i="5"/>
  <c r="AX559" i="5"/>
  <c r="AW559" i="5"/>
  <c r="AV559" i="5"/>
  <c r="AU559" i="5"/>
  <c r="H559" i="5"/>
  <c r="G559" i="5"/>
  <c r="BJ558" i="5"/>
  <c r="BI558" i="5"/>
  <c r="BH558" i="5"/>
  <c r="BG558" i="5"/>
  <c r="BF558" i="5"/>
  <c r="BE558" i="5"/>
  <c r="BD558" i="5"/>
  <c r="BC558" i="5"/>
  <c r="BB558" i="5"/>
  <c r="BA558" i="5"/>
  <c r="AZ558" i="5"/>
  <c r="AY558" i="5"/>
  <c r="AX558" i="5"/>
  <c r="AW558" i="5"/>
  <c r="AV558" i="5"/>
  <c r="AU558" i="5"/>
  <c r="H558" i="5"/>
  <c r="G558" i="5"/>
  <c r="BJ557" i="5"/>
  <c r="BI557" i="5"/>
  <c r="BH557" i="5"/>
  <c r="BG557" i="5"/>
  <c r="BF557" i="5"/>
  <c r="BE557" i="5"/>
  <c r="BD557" i="5"/>
  <c r="BC557" i="5"/>
  <c r="BB557" i="5"/>
  <c r="BA557" i="5"/>
  <c r="AZ557" i="5"/>
  <c r="AY557" i="5"/>
  <c r="AX557" i="5"/>
  <c r="AW557" i="5"/>
  <c r="AV557" i="5"/>
  <c r="AU557" i="5"/>
  <c r="H557" i="5"/>
  <c r="G557" i="5"/>
  <c r="BJ556" i="5"/>
  <c r="BI556" i="5"/>
  <c r="BH556" i="5"/>
  <c r="BG556" i="5"/>
  <c r="BF556" i="5"/>
  <c r="BE556" i="5"/>
  <c r="BD556" i="5"/>
  <c r="BC556" i="5"/>
  <c r="BB556" i="5"/>
  <c r="BA556" i="5"/>
  <c r="AZ556" i="5"/>
  <c r="AY556" i="5"/>
  <c r="AX556" i="5"/>
  <c r="AW556" i="5"/>
  <c r="AV556" i="5"/>
  <c r="AU556" i="5"/>
  <c r="H556" i="5"/>
  <c r="G556" i="5"/>
  <c r="BJ555" i="5"/>
  <c r="BI555" i="5"/>
  <c r="BH555" i="5"/>
  <c r="BG555" i="5"/>
  <c r="BF555" i="5"/>
  <c r="BE555" i="5"/>
  <c r="BD555" i="5"/>
  <c r="BC555" i="5"/>
  <c r="BB555" i="5"/>
  <c r="BA555" i="5"/>
  <c r="AZ555" i="5"/>
  <c r="AY555" i="5"/>
  <c r="AX555" i="5"/>
  <c r="AW555" i="5"/>
  <c r="AV555" i="5"/>
  <c r="AU555" i="5"/>
  <c r="H555" i="5"/>
  <c r="G555" i="5"/>
  <c r="BJ554" i="5"/>
  <c r="BI554" i="5"/>
  <c r="BH554" i="5"/>
  <c r="BG554" i="5"/>
  <c r="BF554" i="5"/>
  <c r="BE554" i="5"/>
  <c r="BD554" i="5"/>
  <c r="BC554" i="5"/>
  <c r="BB554" i="5"/>
  <c r="BA554" i="5"/>
  <c r="AZ554" i="5"/>
  <c r="AY554" i="5"/>
  <c r="AX554" i="5"/>
  <c r="AW554" i="5"/>
  <c r="AV554" i="5"/>
  <c r="AU554" i="5"/>
  <c r="H554" i="5"/>
  <c r="G554" i="5"/>
  <c r="BJ553" i="5"/>
  <c r="BI553" i="5"/>
  <c r="BH553" i="5"/>
  <c r="BG553" i="5"/>
  <c r="BF553" i="5"/>
  <c r="BE553" i="5"/>
  <c r="BD553" i="5"/>
  <c r="BC553" i="5"/>
  <c r="BB553" i="5"/>
  <c r="BA553" i="5"/>
  <c r="AZ553" i="5"/>
  <c r="AY553" i="5"/>
  <c r="AX553" i="5"/>
  <c r="AW553" i="5"/>
  <c r="AV553" i="5"/>
  <c r="AU553" i="5"/>
  <c r="H553" i="5"/>
  <c r="G553" i="5"/>
  <c r="BJ552" i="5"/>
  <c r="BI552" i="5"/>
  <c r="BH552" i="5"/>
  <c r="BG552" i="5"/>
  <c r="BF552" i="5"/>
  <c r="BE552" i="5"/>
  <c r="BD552" i="5"/>
  <c r="BC552" i="5"/>
  <c r="BB552" i="5"/>
  <c r="BA552" i="5"/>
  <c r="AZ552" i="5"/>
  <c r="AY552" i="5"/>
  <c r="AX552" i="5"/>
  <c r="AW552" i="5"/>
  <c r="AV552" i="5"/>
  <c r="AU552" i="5"/>
  <c r="H552" i="5"/>
  <c r="G552" i="5"/>
  <c r="BJ551" i="5"/>
  <c r="BI551" i="5"/>
  <c r="BH551" i="5"/>
  <c r="BG551" i="5"/>
  <c r="BF551" i="5"/>
  <c r="BE551" i="5"/>
  <c r="BD551" i="5"/>
  <c r="BC551" i="5"/>
  <c r="BB551" i="5"/>
  <c r="BA551" i="5"/>
  <c r="AZ551" i="5"/>
  <c r="AY551" i="5"/>
  <c r="AX551" i="5"/>
  <c r="AW551" i="5"/>
  <c r="AV551" i="5"/>
  <c r="AU551" i="5"/>
  <c r="H551" i="5"/>
  <c r="G551" i="5"/>
  <c r="BJ550" i="5"/>
  <c r="BI550" i="5"/>
  <c r="BH550" i="5"/>
  <c r="BG550" i="5"/>
  <c r="BF550" i="5"/>
  <c r="BE550" i="5"/>
  <c r="BD550" i="5"/>
  <c r="BC550" i="5"/>
  <c r="BB550" i="5"/>
  <c r="BA550" i="5"/>
  <c r="AZ550" i="5"/>
  <c r="AY550" i="5"/>
  <c r="AX550" i="5"/>
  <c r="AW550" i="5"/>
  <c r="AV550" i="5"/>
  <c r="AU550" i="5"/>
  <c r="H550" i="5"/>
  <c r="G550" i="5"/>
  <c r="BJ549" i="5"/>
  <c r="BI549" i="5"/>
  <c r="BH549" i="5"/>
  <c r="BG549" i="5"/>
  <c r="BF549" i="5"/>
  <c r="BE549" i="5"/>
  <c r="BD549" i="5"/>
  <c r="BC549" i="5"/>
  <c r="BB549" i="5"/>
  <c r="BA549" i="5"/>
  <c r="AZ549" i="5"/>
  <c r="AY549" i="5"/>
  <c r="AX549" i="5"/>
  <c r="AW549" i="5"/>
  <c r="AV549" i="5"/>
  <c r="AU549" i="5"/>
  <c r="H549" i="5"/>
  <c r="G549" i="5"/>
  <c r="BJ548" i="5"/>
  <c r="BI548" i="5"/>
  <c r="BH548" i="5"/>
  <c r="BG548" i="5"/>
  <c r="BF548" i="5"/>
  <c r="BE548" i="5"/>
  <c r="BD548" i="5"/>
  <c r="BC548" i="5"/>
  <c r="BB548" i="5"/>
  <c r="BA548" i="5"/>
  <c r="AZ548" i="5"/>
  <c r="AY548" i="5"/>
  <c r="AX548" i="5"/>
  <c r="AW548" i="5"/>
  <c r="AV548" i="5"/>
  <c r="AU548" i="5"/>
  <c r="H548" i="5"/>
  <c r="G548" i="5"/>
  <c r="BJ547" i="5"/>
  <c r="BI547" i="5"/>
  <c r="BH547" i="5"/>
  <c r="BG547" i="5"/>
  <c r="BF547" i="5"/>
  <c r="BE547" i="5"/>
  <c r="BD547" i="5"/>
  <c r="BC547" i="5"/>
  <c r="BB547" i="5"/>
  <c r="BA547" i="5"/>
  <c r="AZ547" i="5"/>
  <c r="AY547" i="5"/>
  <c r="AX547" i="5"/>
  <c r="AW547" i="5"/>
  <c r="AV547" i="5"/>
  <c r="AU547" i="5"/>
  <c r="H547" i="5"/>
  <c r="G547" i="5"/>
  <c r="BJ546" i="5"/>
  <c r="BI546" i="5"/>
  <c r="BH546" i="5"/>
  <c r="BG546" i="5"/>
  <c r="BF546" i="5"/>
  <c r="BE546" i="5"/>
  <c r="BD546" i="5"/>
  <c r="BC546" i="5"/>
  <c r="BB546" i="5"/>
  <c r="BA546" i="5"/>
  <c r="AZ546" i="5"/>
  <c r="AY546" i="5"/>
  <c r="AX546" i="5"/>
  <c r="AW546" i="5"/>
  <c r="AV546" i="5"/>
  <c r="AU546" i="5"/>
  <c r="H546" i="5"/>
  <c r="G546" i="5"/>
  <c r="BJ545" i="5"/>
  <c r="BI545" i="5"/>
  <c r="BH545" i="5"/>
  <c r="BG545" i="5"/>
  <c r="BF545" i="5"/>
  <c r="BE545" i="5"/>
  <c r="BD545" i="5"/>
  <c r="BC545" i="5"/>
  <c r="BB545" i="5"/>
  <c r="BA545" i="5"/>
  <c r="AZ545" i="5"/>
  <c r="AY545" i="5"/>
  <c r="AX545" i="5"/>
  <c r="AW545" i="5"/>
  <c r="AV545" i="5"/>
  <c r="AU545" i="5"/>
  <c r="H545" i="5"/>
  <c r="G545" i="5"/>
  <c r="BJ544" i="5"/>
  <c r="BI544" i="5"/>
  <c r="BH544" i="5"/>
  <c r="BG544" i="5"/>
  <c r="BF544" i="5"/>
  <c r="BE544" i="5"/>
  <c r="BD544" i="5"/>
  <c r="BC544" i="5"/>
  <c r="BB544" i="5"/>
  <c r="BA544" i="5"/>
  <c r="AZ544" i="5"/>
  <c r="AY544" i="5"/>
  <c r="AX544" i="5"/>
  <c r="AW544" i="5"/>
  <c r="AV544" i="5"/>
  <c r="AU544" i="5"/>
  <c r="H544" i="5"/>
  <c r="G544" i="5"/>
  <c r="BJ543" i="5"/>
  <c r="BI543" i="5"/>
  <c r="BH543" i="5"/>
  <c r="BG543" i="5"/>
  <c r="BF543" i="5"/>
  <c r="BE543" i="5"/>
  <c r="BD543" i="5"/>
  <c r="BC543" i="5"/>
  <c r="BB543" i="5"/>
  <c r="BA543" i="5"/>
  <c r="AZ543" i="5"/>
  <c r="AY543" i="5"/>
  <c r="AX543" i="5"/>
  <c r="AW543" i="5"/>
  <c r="AV543" i="5"/>
  <c r="AU543" i="5"/>
  <c r="H543" i="5"/>
  <c r="G543" i="5"/>
  <c r="BJ542" i="5"/>
  <c r="BI542" i="5"/>
  <c r="BH542" i="5"/>
  <c r="BG542" i="5"/>
  <c r="BF542" i="5"/>
  <c r="BE542" i="5"/>
  <c r="BD542" i="5"/>
  <c r="BC542" i="5"/>
  <c r="BB542" i="5"/>
  <c r="BA542" i="5"/>
  <c r="AZ542" i="5"/>
  <c r="AY542" i="5"/>
  <c r="AX542" i="5"/>
  <c r="AW542" i="5"/>
  <c r="AV542" i="5"/>
  <c r="AU542" i="5"/>
  <c r="H542" i="5"/>
  <c r="G542" i="5"/>
  <c r="BJ541" i="5"/>
  <c r="BI541" i="5"/>
  <c r="BH541" i="5"/>
  <c r="BG541" i="5"/>
  <c r="BF541" i="5"/>
  <c r="BE541" i="5"/>
  <c r="BD541" i="5"/>
  <c r="BC541" i="5"/>
  <c r="BB541" i="5"/>
  <c r="BA541" i="5"/>
  <c r="AZ541" i="5"/>
  <c r="AY541" i="5"/>
  <c r="AX541" i="5"/>
  <c r="AW541" i="5"/>
  <c r="AV541" i="5"/>
  <c r="AU541" i="5"/>
  <c r="H541" i="5"/>
  <c r="G541" i="5"/>
  <c r="BJ540" i="5"/>
  <c r="BI540" i="5"/>
  <c r="BH540" i="5"/>
  <c r="BG540" i="5"/>
  <c r="BF540" i="5"/>
  <c r="BE540" i="5"/>
  <c r="BD540" i="5"/>
  <c r="BC540" i="5"/>
  <c r="BB540" i="5"/>
  <c r="BA540" i="5"/>
  <c r="AZ540" i="5"/>
  <c r="AY540" i="5"/>
  <c r="AX540" i="5"/>
  <c r="AW540" i="5"/>
  <c r="AV540" i="5"/>
  <c r="AU540" i="5"/>
  <c r="H540" i="5"/>
  <c r="G540" i="5"/>
  <c r="BJ539" i="5"/>
  <c r="BI539" i="5"/>
  <c r="BH539" i="5"/>
  <c r="BG539" i="5"/>
  <c r="BF539" i="5"/>
  <c r="BE539" i="5"/>
  <c r="BD539" i="5"/>
  <c r="BC539" i="5"/>
  <c r="BB539" i="5"/>
  <c r="BA539" i="5"/>
  <c r="AZ539" i="5"/>
  <c r="AY539" i="5"/>
  <c r="AX539" i="5"/>
  <c r="AW539" i="5"/>
  <c r="AV539" i="5"/>
  <c r="AU539" i="5"/>
  <c r="H539" i="5"/>
  <c r="G539" i="5"/>
  <c r="BJ538" i="5"/>
  <c r="BI538" i="5"/>
  <c r="BH538" i="5"/>
  <c r="BG538" i="5"/>
  <c r="BF538" i="5"/>
  <c r="BE538" i="5"/>
  <c r="BD538" i="5"/>
  <c r="BC538" i="5"/>
  <c r="BB538" i="5"/>
  <c r="BA538" i="5"/>
  <c r="AZ538" i="5"/>
  <c r="AY538" i="5"/>
  <c r="AX538" i="5"/>
  <c r="AW538" i="5"/>
  <c r="AV538" i="5"/>
  <c r="AU538" i="5"/>
  <c r="H538" i="5"/>
  <c r="G538" i="5"/>
  <c r="BJ537" i="5"/>
  <c r="BI537" i="5"/>
  <c r="BH537" i="5"/>
  <c r="BG537" i="5"/>
  <c r="BF537" i="5"/>
  <c r="BE537" i="5"/>
  <c r="BD537" i="5"/>
  <c r="BC537" i="5"/>
  <c r="BB537" i="5"/>
  <c r="BA537" i="5"/>
  <c r="AZ537" i="5"/>
  <c r="AY537" i="5"/>
  <c r="AX537" i="5"/>
  <c r="AW537" i="5"/>
  <c r="AV537" i="5"/>
  <c r="AU537" i="5"/>
  <c r="H537" i="5"/>
  <c r="G537" i="5"/>
  <c r="BJ536" i="5"/>
  <c r="BI536" i="5"/>
  <c r="BH536" i="5"/>
  <c r="BG536" i="5"/>
  <c r="BF536" i="5"/>
  <c r="BE536" i="5"/>
  <c r="BD536" i="5"/>
  <c r="BC536" i="5"/>
  <c r="BB536" i="5"/>
  <c r="BA536" i="5"/>
  <c r="AZ536" i="5"/>
  <c r="AY536" i="5"/>
  <c r="AX536" i="5"/>
  <c r="AW536" i="5"/>
  <c r="AV536" i="5"/>
  <c r="AU536" i="5"/>
  <c r="H536" i="5"/>
  <c r="G536" i="5"/>
  <c r="BJ535" i="5"/>
  <c r="BI535" i="5"/>
  <c r="BH535" i="5"/>
  <c r="BG535" i="5"/>
  <c r="BF535" i="5"/>
  <c r="BE535" i="5"/>
  <c r="BD535" i="5"/>
  <c r="BC535" i="5"/>
  <c r="BB535" i="5"/>
  <c r="BA535" i="5"/>
  <c r="AZ535" i="5"/>
  <c r="AY535" i="5"/>
  <c r="AX535" i="5"/>
  <c r="AW535" i="5"/>
  <c r="AV535" i="5"/>
  <c r="AU535" i="5"/>
  <c r="H535" i="5"/>
  <c r="G535" i="5"/>
  <c r="BJ534" i="5"/>
  <c r="BI534" i="5"/>
  <c r="BH534" i="5"/>
  <c r="BG534" i="5"/>
  <c r="BF534" i="5"/>
  <c r="BE534" i="5"/>
  <c r="BD534" i="5"/>
  <c r="BC534" i="5"/>
  <c r="BB534" i="5"/>
  <c r="BA534" i="5"/>
  <c r="AZ534" i="5"/>
  <c r="AY534" i="5"/>
  <c r="AX534" i="5"/>
  <c r="AW534" i="5"/>
  <c r="AV534" i="5"/>
  <c r="AU534" i="5"/>
  <c r="H534" i="5"/>
  <c r="G534" i="5"/>
  <c r="BJ533" i="5"/>
  <c r="BI533" i="5"/>
  <c r="BH533" i="5"/>
  <c r="BG533" i="5"/>
  <c r="BF533" i="5"/>
  <c r="BE533" i="5"/>
  <c r="BD533" i="5"/>
  <c r="BC533" i="5"/>
  <c r="BB533" i="5"/>
  <c r="BA533" i="5"/>
  <c r="AZ533" i="5"/>
  <c r="AY533" i="5"/>
  <c r="AX533" i="5"/>
  <c r="AW533" i="5"/>
  <c r="AV533" i="5"/>
  <c r="AU533" i="5"/>
  <c r="H533" i="5"/>
  <c r="G533" i="5"/>
  <c r="BJ532" i="5"/>
  <c r="BI532" i="5"/>
  <c r="BH532" i="5"/>
  <c r="BG532" i="5"/>
  <c r="BF532" i="5"/>
  <c r="BE532" i="5"/>
  <c r="BD532" i="5"/>
  <c r="BC532" i="5"/>
  <c r="BB532" i="5"/>
  <c r="BA532" i="5"/>
  <c r="AZ532" i="5"/>
  <c r="AY532" i="5"/>
  <c r="AX532" i="5"/>
  <c r="AW532" i="5"/>
  <c r="AV532" i="5"/>
  <c r="AU532" i="5"/>
  <c r="H532" i="5"/>
  <c r="G532" i="5"/>
  <c r="BJ531" i="5"/>
  <c r="BI531" i="5"/>
  <c r="BH531" i="5"/>
  <c r="BG531" i="5"/>
  <c r="BF531" i="5"/>
  <c r="BE531" i="5"/>
  <c r="BD531" i="5"/>
  <c r="BC531" i="5"/>
  <c r="BB531" i="5"/>
  <c r="BA531" i="5"/>
  <c r="AZ531" i="5"/>
  <c r="AY531" i="5"/>
  <c r="AX531" i="5"/>
  <c r="AW531" i="5"/>
  <c r="AV531" i="5"/>
  <c r="AU531" i="5"/>
  <c r="H531" i="5"/>
  <c r="G531" i="5"/>
  <c r="BJ530" i="5"/>
  <c r="BI530" i="5"/>
  <c r="BH530" i="5"/>
  <c r="BG530" i="5"/>
  <c r="BF530" i="5"/>
  <c r="BE530" i="5"/>
  <c r="BD530" i="5"/>
  <c r="BC530" i="5"/>
  <c r="BB530" i="5"/>
  <c r="BA530" i="5"/>
  <c r="AZ530" i="5"/>
  <c r="AY530" i="5"/>
  <c r="AX530" i="5"/>
  <c r="AW530" i="5"/>
  <c r="AV530" i="5"/>
  <c r="AU530" i="5"/>
  <c r="H530" i="5"/>
  <c r="G530" i="5"/>
  <c r="BJ529" i="5"/>
  <c r="BI529" i="5"/>
  <c r="BH529" i="5"/>
  <c r="BG529" i="5"/>
  <c r="BF529" i="5"/>
  <c r="BE529" i="5"/>
  <c r="BD529" i="5"/>
  <c r="BC529" i="5"/>
  <c r="BB529" i="5"/>
  <c r="BA529" i="5"/>
  <c r="AZ529" i="5"/>
  <c r="AY529" i="5"/>
  <c r="AX529" i="5"/>
  <c r="AW529" i="5"/>
  <c r="AV529" i="5"/>
  <c r="AU529" i="5"/>
  <c r="H529" i="5"/>
  <c r="G529" i="5"/>
  <c r="BJ528" i="5"/>
  <c r="BI528" i="5"/>
  <c r="BH528" i="5"/>
  <c r="BG528" i="5"/>
  <c r="BF528" i="5"/>
  <c r="BE528" i="5"/>
  <c r="BD528" i="5"/>
  <c r="BC528" i="5"/>
  <c r="BB528" i="5"/>
  <c r="BA528" i="5"/>
  <c r="AZ528" i="5"/>
  <c r="AY528" i="5"/>
  <c r="AX528" i="5"/>
  <c r="AW528" i="5"/>
  <c r="AV528" i="5"/>
  <c r="AU528" i="5"/>
  <c r="H528" i="5"/>
  <c r="G528" i="5"/>
  <c r="BJ527" i="5"/>
  <c r="BI527" i="5"/>
  <c r="BH527" i="5"/>
  <c r="BG527" i="5"/>
  <c r="BF527" i="5"/>
  <c r="BE527" i="5"/>
  <c r="BD527" i="5"/>
  <c r="BC527" i="5"/>
  <c r="BB527" i="5"/>
  <c r="BA527" i="5"/>
  <c r="AZ527" i="5"/>
  <c r="AY527" i="5"/>
  <c r="AX527" i="5"/>
  <c r="AW527" i="5"/>
  <c r="AV527" i="5"/>
  <c r="AU527" i="5"/>
  <c r="H527" i="5"/>
  <c r="G527" i="5"/>
  <c r="BJ526" i="5"/>
  <c r="BI526" i="5"/>
  <c r="BH526" i="5"/>
  <c r="BG526" i="5"/>
  <c r="BF526" i="5"/>
  <c r="BE526" i="5"/>
  <c r="BD526" i="5"/>
  <c r="BC526" i="5"/>
  <c r="BB526" i="5"/>
  <c r="BA526" i="5"/>
  <c r="AZ526" i="5"/>
  <c r="AY526" i="5"/>
  <c r="AX526" i="5"/>
  <c r="AW526" i="5"/>
  <c r="AV526" i="5"/>
  <c r="AU526" i="5"/>
  <c r="H526" i="5"/>
  <c r="G526" i="5"/>
  <c r="BJ525" i="5"/>
  <c r="BI525" i="5"/>
  <c r="BH525" i="5"/>
  <c r="BG525" i="5"/>
  <c r="BF525" i="5"/>
  <c r="BE525" i="5"/>
  <c r="BD525" i="5"/>
  <c r="BC525" i="5"/>
  <c r="BB525" i="5"/>
  <c r="BA525" i="5"/>
  <c r="AZ525" i="5"/>
  <c r="AY525" i="5"/>
  <c r="AX525" i="5"/>
  <c r="AW525" i="5"/>
  <c r="AV525" i="5"/>
  <c r="AU525" i="5"/>
  <c r="H525" i="5"/>
  <c r="G525" i="5"/>
  <c r="BJ524" i="5"/>
  <c r="BI524" i="5"/>
  <c r="BH524" i="5"/>
  <c r="BG524" i="5"/>
  <c r="BF524" i="5"/>
  <c r="BE524" i="5"/>
  <c r="BD524" i="5"/>
  <c r="BC524" i="5"/>
  <c r="BB524" i="5"/>
  <c r="BA524" i="5"/>
  <c r="AZ524" i="5"/>
  <c r="AY524" i="5"/>
  <c r="AX524" i="5"/>
  <c r="AW524" i="5"/>
  <c r="AV524" i="5"/>
  <c r="AU524" i="5"/>
  <c r="H524" i="5"/>
  <c r="G524" i="5"/>
  <c r="BJ523" i="5"/>
  <c r="BI523" i="5"/>
  <c r="BH523" i="5"/>
  <c r="BG523" i="5"/>
  <c r="BF523" i="5"/>
  <c r="BE523" i="5"/>
  <c r="BD523" i="5"/>
  <c r="BC523" i="5"/>
  <c r="BB523" i="5"/>
  <c r="BA523" i="5"/>
  <c r="AZ523" i="5"/>
  <c r="AY523" i="5"/>
  <c r="AX523" i="5"/>
  <c r="AW523" i="5"/>
  <c r="AV523" i="5"/>
  <c r="AU523" i="5"/>
  <c r="H523" i="5"/>
  <c r="G523" i="5"/>
  <c r="BJ522" i="5"/>
  <c r="BI522" i="5"/>
  <c r="BH522" i="5"/>
  <c r="BG522" i="5"/>
  <c r="BF522" i="5"/>
  <c r="BE522" i="5"/>
  <c r="BD522" i="5"/>
  <c r="BC522" i="5"/>
  <c r="BB522" i="5"/>
  <c r="BA522" i="5"/>
  <c r="AZ522" i="5"/>
  <c r="AY522" i="5"/>
  <c r="AX522" i="5"/>
  <c r="AW522" i="5"/>
  <c r="AV522" i="5"/>
  <c r="AU522" i="5"/>
  <c r="H522" i="5"/>
  <c r="G522" i="5"/>
  <c r="BJ521" i="5"/>
  <c r="BI521" i="5"/>
  <c r="BH521" i="5"/>
  <c r="BG521" i="5"/>
  <c r="BF521" i="5"/>
  <c r="BE521" i="5"/>
  <c r="BD521" i="5"/>
  <c r="BC521" i="5"/>
  <c r="BB521" i="5"/>
  <c r="BA521" i="5"/>
  <c r="AZ521" i="5"/>
  <c r="AY521" i="5"/>
  <c r="AX521" i="5"/>
  <c r="AW521" i="5"/>
  <c r="AV521" i="5"/>
  <c r="AU521" i="5"/>
  <c r="H521" i="5"/>
  <c r="G521" i="5"/>
  <c r="BJ520" i="5"/>
  <c r="BI520" i="5"/>
  <c r="BH520" i="5"/>
  <c r="BG520" i="5"/>
  <c r="BF520" i="5"/>
  <c r="BE520" i="5"/>
  <c r="BD520" i="5"/>
  <c r="BC520" i="5"/>
  <c r="BB520" i="5"/>
  <c r="BA520" i="5"/>
  <c r="AZ520" i="5"/>
  <c r="AY520" i="5"/>
  <c r="AX520" i="5"/>
  <c r="AW520" i="5"/>
  <c r="AV520" i="5"/>
  <c r="AU520" i="5"/>
  <c r="H520" i="5"/>
  <c r="G520" i="5"/>
  <c r="BJ519" i="5"/>
  <c r="BI519" i="5"/>
  <c r="BH519" i="5"/>
  <c r="BG519" i="5"/>
  <c r="BF519" i="5"/>
  <c r="BE519" i="5"/>
  <c r="BD519" i="5"/>
  <c r="BC519" i="5"/>
  <c r="BB519" i="5"/>
  <c r="BA519" i="5"/>
  <c r="AZ519" i="5"/>
  <c r="AY519" i="5"/>
  <c r="AX519" i="5"/>
  <c r="AW519" i="5"/>
  <c r="AV519" i="5"/>
  <c r="AU519" i="5"/>
  <c r="H519" i="5"/>
  <c r="G519" i="5"/>
  <c r="BJ518" i="5"/>
  <c r="BI518" i="5"/>
  <c r="BH518" i="5"/>
  <c r="BG518" i="5"/>
  <c r="BF518" i="5"/>
  <c r="BE518" i="5"/>
  <c r="BD518" i="5"/>
  <c r="BC518" i="5"/>
  <c r="BB518" i="5"/>
  <c r="BA518" i="5"/>
  <c r="AZ518" i="5"/>
  <c r="AY518" i="5"/>
  <c r="AX518" i="5"/>
  <c r="AW518" i="5"/>
  <c r="AV518" i="5"/>
  <c r="AU518" i="5"/>
  <c r="H518" i="5"/>
  <c r="G518" i="5"/>
  <c r="BJ517" i="5"/>
  <c r="BI517" i="5"/>
  <c r="BH517" i="5"/>
  <c r="BG517" i="5"/>
  <c r="BF517" i="5"/>
  <c r="BE517" i="5"/>
  <c r="BD517" i="5"/>
  <c r="BC517" i="5"/>
  <c r="BB517" i="5"/>
  <c r="BA517" i="5"/>
  <c r="AZ517" i="5"/>
  <c r="AY517" i="5"/>
  <c r="AX517" i="5"/>
  <c r="AW517" i="5"/>
  <c r="AV517" i="5"/>
  <c r="AU517" i="5"/>
  <c r="H517" i="5"/>
  <c r="G517" i="5"/>
  <c r="BJ516" i="5"/>
  <c r="BI516" i="5"/>
  <c r="BH516" i="5"/>
  <c r="BG516" i="5"/>
  <c r="BF516" i="5"/>
  <c r="BE516" i="5"/>
  <c r="BD516" i="5"/>
  <c r="BC516" i="5"/>
  <c r="BB516" i="5"/>
  <c r="BA516" i="5"/>
  <c r="AZ516" i="5"/>
  <c r="AY516" i="5"/>
  <c r="AX516" i="5"/>
  <c r="AW516" i="5"/>
  <c r="AV516" i="5"/>
  <c r="AU516" i="5"/>
  <c r="H516" i="5"/>
  <c r="G516" i="5"/>
  <c r="BJ515" i="5"/>
  <c r="BI515" i="5"/>
  <c r="BH515" i="5"/>
  <c r="BG515" i="5"/>
  <c r="BF515" i="5"/>
  <c r="BE515" i="5"/>
  <c r="BD515" i="5"/>
  <c r="BC515" i="5"/>
  <c r="BB515" i="5"/>
  <c r="BA515" i="5"/>
  <c r="AZ515" i="5"/>
  <c r="AY515" i="5"/>
  <c r="AX515" i="5"/>
  <c r="AW515" i="5"/>
  <c r="AV515" i="5"/>
  <c r="AU515" i="5"/>
  <c r="H515" i="5"/>
  <c r="G515" i="5"/>
  <c r="BJ514" i="5"/>
  <c r="BI514" i="5"/>
  <c r="BH514" i="5"/>
  <c r="BG514" i="5"/>
  <c r="BF514" i="5"/>
  <c r="BE514" i="5"/>
  <c r="BD514" i="5"/>
  <c r="BC514" i="5"/>
  <c r="BB514" i="5"/>
  <c r="BA514" i="5"/>
  <c r="AZ514" i="5"/>
  <c r="AY514" i="5"/>
  <c r="AX514" i="5"/>
  <c r="AW514" i="5"/>
  <c r="AV514" i="5"/>
  <c r="AU514" i="5"/>
  <c r="H514" i="5"/>
  <c r="G514" i="5"/>
  <c r="BJ513" i="5"/>
  <c r="BI513" i="5"/>
  <c r="BH513" i="5"/>
  <c r="BG513" i="5"/>
  <c r="BF513" i="5"/>
  <c r="BE513" i="5"/>
  <c r="BD513" i="5"/>
  <c r="BC513" i="5"/>
  <c r="BB513" i="5"/>
  <c r="BA513" i="5"/>
  <c r="AZ513" i="5"/>
  <c r="AY513" i="5"/>
  <c r="AX513" i="5"/>
  <c r="AW513" i="5"/>
  <c r="AV513" i="5"/>
  <c r="AU513" i="5"/>
  <c r="H513" i="5"/>
  <c r="G513" i="5"/>
  <c r="BJ512" i="5"/>
  <c r="BI512" i="5"/>
  <c r="BH512" i="5"/>
  <c r="BG512" i="5"/>
  <c r="BF512" i="5"/>
  <c r="BE512" i="5"/>
  <c r="BD512" i="5"/>
  <c r="BC512" i="5"/>
  <c r="BB512" i="5"/>
  <c r="BA512" i="5"/>
  <c r="AZ512" i="5"/>
  <c r="AY512" i="5"/>
  <c r="AX512" i="5"/>
  <c r="AW512" i="5"/>
  <c r="AV512" i="5"/>
  <c r="AU512" i="5"/>
  <c r="H512" i="5"/>
  <c r="G512" i="5"/>
  <c r="BJ511" i="5"/>
  <c r="BI511" i="5"/>
  <c r="BH511" i="5"/>
  <c r="BG511" i="5"/>
  <c r="BF511" i="5"/>
  <c r="BE511" i="5"/>
  <c r="BD511" i="5"/>
  <c r="BC511" i="5"/>
  <c r="BB511" i="5"/>
  <c r="BA511" i="5"/>
  <c r="AZ511" i="5"/>
  <c r="AY511" i="5"/>
  <c r="AX511" i="5"/>
  <c r="AW511" i="5"/>
  <c r="AV511" i="5"/>
  <c r="AU511" i="5"/>
  <c r="H511" i="5"/>
  <c r="G511" i="5"/>
  <c r="BJ510" i="5"/>
  <c r="BI510" i="5"/>
  <c r="BH510" i="5"/>
  <c r="BG510" i="5"/>
  <c r="BF510" i="5"/>
  <c r="BE510" i="5"/>
  <c r="BD510" i="5"/>
  <c r="BC510" i="5"/>
  <c r="BB510" i="5"/>
  <c r="BA510" i="5"/>
  <c r="AZ510" i="5"/>
  <c r="AY510" i="5"/>
  <c r="AX510" i="5"/>
  <c r="AW510" i="5"/>
  <c r="AV510" i="5"/>
  <c r="AU510" i="5"/>
  <c r="H510" i="5"/>
  <c r="G510" i="5"/>
  <c r="BJ509" i="5"/>
  <c r="BI509" i="5"/>
  <c r="BH509" i="5"/>
  <c r="BG509" i="5"/>
  <c r="BF509" i="5"/>
  <c r="BE509" i="5"/>
  <c r="BD509" i="5"/>
  <c r="BC509" i="5"/>
  <c r="BB509" i="5"/>
  <c r="BA509" i="5"/>
  <c r="AZ509" i="5"/>
  <c r="AY509" i="5"/>
  <c r="AX509" i="5"/>
  <c r="AW509" i="5"/>
  <c r="AV509" i="5"/>
  <c r="AU509" i="5"/>
  <c r="H509" i="5"/>
  <c r="G509" i="5"/>
  <c r="BJ508" i="5"/>
  <c r="BI508" i="5"/>
  <c r="BH508" i="5"/>
  <c r="BG508" i="5"/>
  <c r="BF508" i="5"/>
  <c r="BE508" i="5"/>
  <c r="BD508" i="5"/>
  <c r="BC508" i="5"/>
  <c r="BB508" i="5"/>
  <c r="BA508" i="5"/>
  <c r="AZ508" i="5"/>
  <c r="AY508" i="5"/>
  <c r="AX508" i="5"/>
  <c r="AW508" i="5"/>
  <c r="AV508" i="5"/>
  <c r="AU508" i="5"/>
  <c r="H508" i="5"/>
  <c r="G508" i="5"/>
  <c r="BJ507" i="5"/>
  <c r="BI507" i="5"/>
  <c r="BH507" i="5"/>
  <c r="BG507" i="5"/>
  <c r="BF507" i="5"/>
  <c r="BE507" i="5"/>
  <c r="BD507" i="5"/>
  <c r="BC507" i="5"/>
  <c r="BB507" i="5"/>
  <c r="BA507" i="5"/>
  <c r="AZ507" i="5"/>
  <c r="AY507" i="5"/>
  <c r="AX507" i="5"/>
  <c r="AW507" i="5"/>
  <c r="AV507" i="5"/>
  <c r="AU507" i="5"/>
  <c r="H507" i="5"/>
  <c r="G507" i="5"/>
  <c r="BJ506" i="5"/>
  <c r="BI506" i="5"/>
  <c r="BH506" i="5"/>
  <c r="BG506" i="5"/>
  <c r="BF506" i="5"/>
  <c r="BE506" i="5"/>
  <c r="BD506" i="5"/>
  <c r="BC506" i="5"/>
  <c r="BB506" i="5"/>
  <c r="BA506" i="5"/>
  <c r="AZ506" i="5"/>
  <c r="AY506" i="5"/>
  <c r="AX506" i="5"/>
  <c r="AW506" i="5"/>
  <c r="AV506" i="5"/>
  <c r="AU506" i="5"/>
  <c r="H506" i="5"/>
  <c r="G506" i="5"/>
  <c r="BJ505" i="5"/>
  <c r="BI505" i="5"/>
  <c r="BH505" i="5"/>
  <c r="BG505" i="5"/>
  <c r="BF505" i="5"/>
  <c r="BE505" i="5"/>
  <c r="BD505" i="5"/>
  <c r="BC505" i="5"/>
  <c r="BB505" i="5"/>
  <c r="BA505" i="5"/>
  <c r="AZ505" i="5"/>
  <c r="AY505" i="5"/>
  <c r="AX505" i="5"/>
  <c r="AW505" i="5"/>
  <c r="AV505" i="5"/>
  <c r="AU505" i="5"/>
  <c r="H505" i="5"/>
  <c r="G505" i="5"/>
  <c r="BJ504" i="5"/>
  <c r="BI504" i="5"/>
  <c r="BH504" i="5"/>
  <c r="BG504" i="5"/>
  <c r="BF504" i="5"/>
  <c r="BE504" i="5"/>
  <c r="BD504" i="5"/>
  <c r="BC504" i="5"/>
  <c r="BB504" i="5"/>
  <c r="BA504" i="5"/>
  <c r="AZ504" i="5"/>
  <c r="AY504" i="5"/>
  <c r="AX504" i="5"/>
  <c r="AW504" i="5"/>
  <c r="AV504" i="5"/>
  <c r="AU504" i="5"/>
  <c r="H504" i="5"/>
  <c r="G504" i="5"/>
  <c r="BJ503" i="5"/>
  <c r="BI503" i="5"/>
  <c r="BH503" i="5"/>
  <c r="BG503" i="5"/>
  <c r="BF503" i="5"/>
  <c r="BE503" i="5"/>
  <c r="BD503" i="5"/>
  <c r="BC503" i="5"/>
  <c r="BB503" i="5"/>
  <c r="BA503" i="5"/>
  <c r="AZ503" i="5"/>
  <c r="AY503" i="5"/>
  <c r="AX503" i="5"/>
  <c r="AW503" i="5"/>
  <c r="AV503" i="5"/>
  <c r="AU503" i="5"/>
  <c r="H503" i="5"/>
  <c r="G503" i="5"/>
  <c r="BJ502" i="5"/>
  <c r="BI502" i="5"/>
  <c r="BH502" i="5"/>
  <c r="BG502" i="5"/>
  <c r="BF502" i="5"/>
  <c r="BE502" i="5"/>
  <c r="BD502" i="5"/>
  <c r="BC502" i="5"/>
  <c r="BB502" i="5"/>
  <c r="BA502" i="5"/>
  <c r="AZ502" i="5"/>
  <c r="AY502" i="5"/>
  <c r="AX502" i="5"/>
  <c r="AW502" i="5"/>
  <c r="AV502" i="5"/>
  <c r="AU502" i="5"/>
  <c r="H502" i="5"/>
  <c r="G502" i="5"/>
  <c r="BJ501" i="5"/>
  <c r="BI501" i="5"/>
  <c r="BH501" i="5"/>
  <c r="BG501" i="5"/>
  <c r="BF501" i="5"/>
  <c r="BE501" i="5"/>
  <c r="BD501" i="5"/>
  <c r="BC501" i="5"/>
  <c r="BB501" i="5"/>
  <c r="BA501" i="5"/>
  <c r="AZ501" i="5"/>
  <c r="AY501" i="5"/>
  <c r="AX501" i="5"/>
  <c r="AW501" i="5"/>
  <c r="AV501" i="5"/>
  <c r="AU501" i="5"/>
  <c r="H501" i="5"/>
  <c r="G501" i="5"/>
  <c r="BJ500" i="5"/>
  <c r="BI500" i="5"/>
  <c r="BH500" i="5"/>
  <c r="BG500" i="5"/>
  <c r="BF500" i="5"/>
  <c r="BE500" i="5"/>
  <c r="BD500" i="5"/>
  <c r="BC500" i="5"/>
  <c r="BB500" i="5"/>
  <c r="BA500" i="5"/>
  <c r="AZ500" i="5"/>
  <c r="AY500" i="5"/>
  <c r="AX500" i="5"/>
  <c r="AW500" i="5"/>
  <c r="AV500" i="5"/>
  <c r="AU500" i="5"/>
  <c r="H500" i="5"/>
  <c r="G500" i="5"/>
  <c r="BJ499" i="5"/>
  <c r="BI499" i="5"/>
  <c r="BH499" i="5"/>
  <c r="BG499" i="5"/>
  <c r="BF499" i="5"/>
  <c r="BE499" i="5"/>
  <c r="BD499" i="5"/>
  <c r="BC499" i="5"/>
  <c r="BB499" i="5"/>
  <c r="BA499" i="5"/>
  <c r="AZ499" i="5"/>
  <c r="AY499" i="5"/>
  <c r="AX499" i="5"/>
  <c r="AW499" i="5"/>
  <c r="AV499" i="5"/>
  <c r="AU499" i="5"/>
  <c r="H499" i="5"/>
  <c r="G499" i="5"/>
  <c r="BJ498" i="5"/>
  <c r="BI498" i="5"/>
  <c r="BH498" i="5"/>
  <c r="BG498" i="5"/>
  <c r="BF498" i="5"/>
  <c r="BE498" i="5"/>
  <c r="BD498" i="5"/>
  <c r="BC498" i="5"/>
  <c r="BB498" i="5"/>
  <c r="BA498" i="5"/>
  <c r="AZ498" i="5"/>
  <c r="AY498" i="5"/>
  <c r="AX498" i="5"/>
  <c r="AW498" i="5"/>
  <c r="AV498" i="5"/>
  <c r="AU498" i="5"/>
  <c r="H498" i="5"/>
  <c r="G498" i="5"/>
  <c r="BJ497" i="5"/>
  <c r="BI497" i="5"/>
  <c r="BH497" i="5"/>
  <c r="BG497" i="5"/>
  <c r="BF497" i="5"/>
  <c r="BE497" i="5"/>
  <c r="BD497" i="5"/>
  <c r="BC497" i="5"/>
  <c r="BB497" i="5"/>
  <c r="BA497" i="5"/>
  <c r="AZ497" i="5"/>
  <c r="AY497" i="5"/>
  <c r="AX497" i="5"/>
  <c r="AW497" i="5"/>
  <c r="AV497" i="5"/>
  <c r="AU497" i="5"/>
  <c r="H497" i="5"/>
  <c r="G497" i="5"/>
  <c r="BJ496" i="5"/>
  <c r="BI496" i="5"/>
  <c r="BH496" i="5"/>
  <c r="BG496" i="5"/>
  <c r="BF496" i="5"/>
  <c r="BE496" i="5"/>
  <c r="BD496" i="5"/>
  <c r="BC496" i="5"/>
  <c r="BB496" i="5"/>
  <c r="BA496" i="5"/>
  <c r="AZ496" i="5"/>
  <c r="AY496" i="5"/>
  <c r="AX496" i="5"/>
  <c r="AW496" i="5"/>
  <c r="AV496" i="5"/>
  <c r="AU496" i="5"/>
  <c r="H496" i="5"/>
  <c r="G496" i="5"/>
  <c r="BJ495" i="5"/>
  <c r="BI495" i="5"/>
  <c r="BH495" i="5"/>
  <c r="BG495" i="5"/>
  <c r="BF495" i="5"/>
  <c r="BE495" i="5"/>
  <c r="BD495" i="5"/>
  <c r="BC495" i="5"/>
  <c r="BB495" i="5"/>
  <c r="BA495" i="5"/>
  <c r="AZ495" i="5"/>
  <c r="AY495" i="5"/>
  <c r="AX495" i="5"/>
  <c r="AW495" i="5"/>
  <c r="AV495" i="5"/>
  <c r="AU495" i="5"/>
  <c r="H495" i="5"/>
  <c r="G495" i="5"/>
  <c r="BJ494" i="5"/>
  <c r="BI494" i="5"/>
  <c r="BH494" i="5"/>
  <c r="BG494" i="5"/>
  <c r="BF494" i="5"/>
  <c r="BE494" i="5"/>
  <c r="BD494" i="5"/>
  <c r="BC494" i="5"/>
  <c r="BB494" i="5"/>
  <c r="BA494" i="5"/>
  <c r="AZ494" i="5"/>
  <c r="AY494" i="5"/>
  <c r="AX494" i="5"/>
  <c r="AW494" i="5"/>
  <c r="AV494" i="5"/>
  <c r="AU494" i="5"/>
  <c r="H494" i="5"/>
  <c r="G494" i="5"/>
  <c r="BJ493" i="5"/>
  <c r="BI493" i="5"/>
  <c r="BH493" i="5"/>
  <c r="BG493" i="5"/>
  <c r="BF493" i="5"/>
  <c r="BE493" i="5"/>
  <c r="BD493" i="5"/>
  <c r="BC493" i="5"/>
  <c r="BB493" i="5"/>
  <c r="BA493" i="5"/>
  <c r="AZ493" i="5"/>
  <c r="AY493" i="5"/>
  <c r="AX493" i="5"/>
  <c r="AW493" i="5"/>
  <c r="AV493" i="5"/>
  <c r="AU493" i="5"/>
  <c r="H493" i="5"/>
  <c r="G493" i="5"/>
  <c r="BJ492" i="5"/>
  <c r="BI492" i="5"/>
  <c r="BH492" i="5"/>
  <c r="BG492" i="5"/>
  <c r="BF492" i="5"/>
  <c r="BE492" i="5"/>
  <c r="BD492" i="5"/>
  <c r="BC492" i="5"/>
  <c r="BB492" i="5"/>
  <c r="BA492" i="5"/>
  <c r="AZ492" i="5"/>
  <c r="AY492" i="5"/>
  <c r="AX492" i="5"/>
  <c r="AW492" i="5"/>
  <c r="AV492" i="5"/>
  <c r="AU492" i="5"/>
  <c r="H492" i="5"/>
  <c r="G492" i="5"/>
  <c r="BJ491" i="5"/>
  <c r="BI491" i="5"/>
  <c r="BH491" i="5"/>
  <c r="BG491" i="5"/>
  <c r="BF491" i="5"/>
  <c r="BE491" i="5"/>
  <c r="BD491" i="5"/>
  <c r="BC491" i="5"/>
  <c r="BB491" i="5"/>
  <c r="BA491" i="5"/>
  <c r="AZ491" i="5"/>
  <c r="AY491" i="5"/>
  <c r="AX491" i="5"/>
  <c r="AW491" i="5"/>
  <c r="AV491" i="5"/>
  <c r="AU491" i="5"/>
  <c r="H491" i="5"/>
  <c r="G491" i="5"/>
  <c r="BJ490" i="5"/>
  <c r="BI490" i="5"/>
  <c r="BH490" i="5"/>
  <c r="BG490" i="5"/>
  <c r="BF490" i="5"/>
  <c r="BE490" i="5"/>
  <c r="BD490" i="5"/>
  <c r="BC490" i="5"/>
  <c r="BB490" i="5"/>
  <c r="BA490" i="5"/>
  <c r="AZ490" i="5"/>
  <c r="AY490" i="5"/>
  <c r="AX490" i="5"/>
  <c r="AW490" i="5"/>
  <c r="AV490" i="5"/>
  <c r="AU490" i="5"/>
  <c r="H490" i="5"/>
  <c r="G490" i="5"/>
  <c r="BJ489" i="5"/>
  <c r="BI489" i="5"/>
  <c r="BH489" i="5"/>
  <c r="BG489" i="5"/>
  <c r="BF489" i="5"/>
  <c r="BE489" i="5"/>
  <c r="BD489" i="5"/>
  <c r="BC489" i="5"/>
  <c r="BB489" i="5"/>
  <c r="BA489" i="5"/>
  <c r="AZ489" i="5"/>
  <c r="AY489" i="5"/>
  <c r="AX489" i="5"/>
  <c r="AW489" i="5"/>
  <c r="AV489" i="5"/>
  <c r="AU489" i="5"/>
  <c r="H489" i="5"/>
  <c r="G489" i="5"/>
  <c r="BJ488" i="5"/>
  <c r="BI488" i="5"/>
  <c r="BH488" i="5"/>
  <c r="BG488" i="5"/>
  <c r="BF488" i="5"/>
  <c r="BE488" i="5"/>
  <c r="BD488" i="5"/>
  <c r="BC488" i="5"/>
  <c r="BB488" i="5"/>
  <c r="BA488" i="5"/>
  <c r="AZ488" i="5"/>
  <c r="AY488" i="5"/>
  <c r="AX488" i="5"/>
  <c r="AW488" i="5"/>
  <c r="AV488" i="5"/>
  <c r="AU488" i="5"/>
  <c r="H488" i="5"/>
  <c r="G488" i="5"/>
  <c r="BJ487" i="5"/>
  <c r="BI487" i="5"/>
  <c r="BH487" i="5"/>
  <c r="BG487" i="5"/>
  <c r="BF487" i="5"/>
  <c r="BE487" i="5"/>
  <c r="BD487" i="5"/>
  <c r="BC487" i="5"/>
  <c r="BB487" i="5"/>
  <c r="BA487" i="5"/>
  <c r="AZ487" i="5"/>
  <c r="AY487" i="5"/>
  <c r="AX487" i="5"/>
  <c r="AW487" i="5"/>
  <c r="AV487" i="5"/>
  <c r="AU487" i="5"/>
  <c r="H487" i="5"/>
  <c r="G487" i="5"/>
  <c r="BJ486" i="5"/>
  <c r="BI486" i="5"/>
  <c r="BH486" i="5"/>
  <c r="BG486" i="5"/>
  <c r="BF486" i="5"/>
  <c r="BE486" i="5"/>
  <c r="BD486" i="5"/>
  <c r="BC486" i="5"/>
  <c r="BB486" i="5"/>
  <c r="BA486" i="5"/>
  <c r="AZ486" i="5"/>
  <c r="AY486" i="5"/>
  <c r="AX486" i="5"/>
  <c r="AW486" i="5"/>
  <c r="AV486" i="5"/>
  <c r="AU486" i="5"/>
  <c r="H486" i="5"/>
  <c r="G486" i="5"/>
  <c r="BJ485" i="5"/>
  <c r="BI485" i="5"/>
  <c r="BH485" i="5"/>
  <c r="BG485" i="5"/>
  <c r="BF485" i="5"/>
  <c r="BE485" i="5"/>
  <c r="BD485" i="5"/>
  <c r="BC485" i="5"/>
  <c r="BB485" i="5"/>
  <c r="BA485" i="5"/>
  <c r="AZ485" i="5"/>
  <c r="AY485" i="5"/>
  <c r="AX485" i="5"/>
  <c r="AW485" i="5"/>
  <c r="AV485" i="5"/>
  <c r="AU485" i="5"/>
  <c r="H485" i="5"/>
  <c r="G485" i="5"/>
  <c r="BJ484" i="5"/>
  <c r="BI484" i="5"/>
  <c r="BH484" i="5"/>
  <c r="BG484" i="5"/>
  <c r="BF484" i="5"/>
  <c r="BE484" i="5"/>
  <c r="BD484" i="5"/>
  <c r="BC484" i="5"/>
  <c r="BB484" i="5"/>
  <c r="BA484" i="5"/>
  <c r="AZ484" i="5"/>
  <c r="AY484" i="5"/>
  <c r="AX484" i="5"/>
  <c r="AW484" i="5"/>
  <c r="AV484" i="5"/>
  <c r="AU484" i="5"/>
  <c r="H484" i="5"/>
  <c r="G484" i="5"/>
  <c r="BJ483" i="5"/>
  <c r="BI483" i="5"/>
  <c r="BH483" i="5"/>
  <c r="BG483" i="5"/>
  <c r="BF483" i="5"/>
  <c r="BE483" i="5"/>
  <c r="BD483" i="5"/>
  <c r="BC483" i="5"/>
  <c r="BB483" i="5"/>
  <c r="BA483" i="5"/>
  <c r="AZ483" i="5"/>
  <c r="AY483" i="5"/>
  <c r="AX483" i="5"/>
  <c r="AW483" i="5"/>
  <c r="AV483" i="5"/>
  <c r="AU483" i="5"/>
  <c r="H483" i="5"/>
  <c r="G483" i="5"/>
  <c r="BJ482" i="5"/>
  <c r="BI482" i="5"/>
  <c r="BH482" i="5"/>
  <c r="BG482" i="5"/>
  <c r="BF482" i="5"/>
  <c r="BE482" i="5"/>
  <c r="BD482" i="5"/>
  <c r="BC482" i="5"/>
  <c r="BB482" i="5"/>
  <c r="BA482" i="5"/>
  <c r="AZ482" i="5"/>
  <c r="AY482" i="5"/>
  <c r="AX482" i="5"/>
  <c r="AW482" i="5"/>
  <c r="AV482" i="5"/>
  <c r="AU482" i="5"/>
  <c r="H482" i="5"/>
  <c r="G482" i="5"/>
  <c r="BJ481" i="5"/>
  <c r="BI481" i="5"/>
  <c r="BH481" i="5"/>
  <c r="BG481" i="5"/>
  <c r="BF481" i="5"/>
  <c r="BE481" i="5"/>
  <c r="BD481" i="5"/>
  <c r="BC481" i="5"/>
  <c r="BB481" i="5"/>
  <c r="BA481" i="5"/>
  <c r="AZ481" i="5"/>
  <c r="AY481" i="5"/>
  <c r="AX481" i="5"/>
  <c r="AW481" i="5"/>
  <c r="AV481" i="5"/>
  <c r="AU481" i="5"/>
  <c r="H481" i="5"/>
  <c r="G481" i="5"/>
  <c r="BJ480" i="5"/>
  <c r="BI480" i="5"/>
  <c r="BH480" i="5"/>
  <c r="BG480" i="5"/>
  <c r="BF480" i="5"/>
  <c r="BE480" i="5"/>
  <c r="BD480" i="5"/>
  <c r="BC480" i="5"/>
  <c r="BB480" i="5"/>
  <c r="BA480" i="5"/>
  <c r="AZ480" i="5"/>
  <c r="AY480" i="5"/>
  <c r="AX480" i="5"/>
  <c r="AW480" i="5"/>
  <c r="AV480" i="5"/>
  <c r="AU480" i="5"/>
  <c r="H480" i="5"/>
  <c r="G480" i="5"/>
  <c r="BJ479" i="5"/>
  <c r="BI479" i="5"/>
  <c r="BH479" i="5"/>
  <c r="BG479" i="5"/>
  <c r="BF479" i="5"/>
  <c r="BE479" i="5"/>
  <c r="BD479" i="5"/>
  <c r="BC479" i="5"/>
  <c r="BB479" i="5"/>
  <c r="BA479" i="5"/>
  <c r="AZ479" i="5"/>
  <c r="AY479" i="5"/>
  <c r="AX479" i="5"/>
  <c r="AW479" i="5"/>
  <c r="AV479" i="5"/>
  <c r="AU479" i="5"/>
  <c r="H479" i="5"/>
  <c r="G479" i="5"/>
  <c r="BJ478" i="5"/>
  <c r="BI478" i="5"/>
  <c r="BH478" i="5"/>
  <c r="BG478" i="5"/>
  <c r="BF478" i="5"/>
  <c r="BE478" i="5"/>
  <c r="BD478" i="5"/>
  <c r="BC478" i="5"/>
  <c r="BB478" i="5"/>
  <c r="BA478" i="5"/>
  <c r="AZ478" i="5"/>
  <c r="AY478" i="5"/>
  <c r="AX478" i="5"/>
  <c r="AW478" i="5"/>
  <c r="AV478" i="5"/>
  <c r="AU478" i="5"/>
  <c r="H478" i="5"/>
  <c r="G478" i="5"/>
  <c r="BJ477" i="5"/>
  <c r="BI477" i="5"/>
  <c r="BH477" i="5"/>
  <c r="BG477" i="5"/>
  <c r="BF477" i="5"/>
  <c r="BE477" i="5"/>
  <c r="BD477" i="5"/>
  <c r="BC477" i="5"/>
  <c r="BB477" i="5"/>
  <c r="BA477" i="5"/>
  <c r="AZ477" i="5"/>
  <c r="AY477" i="5"/>
  <c r="AX477" i="5"/>
  <c r="AW477" i="5"/>
  <c r="AV477" i="5"/>
  <c r="AU477" i="5"/>
  <c r="H477" i="5"/>
  <c r="G477" i="5"/>
  <c r="BJ476" i="5"/>
  <c r="BI476" i="5"/>
  <c r="BH476" i="5"/>
  <c r="BG476" i="5"/>
  <c r="BF476" i="5"/>
  <c r="BE476" i="5"/>
  <c r="BD476" i="5"/>
  <c r="BC476" i="5"/>
  <c r="BB476" i="5"/>
  <c r="BA476" i="5"/>
  <c r="AZ476" i="5"/>
  <c r="AY476" i="5"/>
  <c r="AX476" i="5"/>
  <c r="AW476" i="5"/>
  <c r="AV476" i="5"/>
  <c r="AU476" i="5"/>
  <c r="H476" i="5"/>
  <c r="G476" i="5"/>
  <c r="BJ475" i="5"/>
  <c r="BI475" i="5"/>
  <c r="BH475" i="5"/>
  <c r="BG475" i="5"/>
  <c r="BF475" i="5"/>
  <c r="BE475" i="5"/>
  <c r="BD475" i="5"/>
  <c r="BC475" i="5"/>
  <c r="BB475" i="5"/>
  <c r="BA475" i="5"/>
  <c r="AZ475" i="5"/>
  <c r="AY475" i="5"/>
  <c r="AX475" i="5"/>
  <c r="AW475" i="5"/>
  <c r="AV475" i="5"/>
  <c r="AU475" i="5"/>
  <c r="H475" i="5"/>
  <c r="G475" i="5"/>
  <c r="BJ474" i="5"/>
  <c r="BI474" i="5"/>
  <c r="BH474" i="5"/>
  <c r="BG474" i="5"/>
  <c r="BF474" i="5"/>
  <c r="BE474" i="5"/>
  <c r="BD474" i="5"/>
  <c r="BC474" i="5"/>
  <c r="BB474" i="5"/>
  <c r="BA474" i="5"/>
  <c r="AZ474" i="5"/>
  <c r="AY474" i="5"/>
  <c r="AX474" i="5"/>
  <c r="AW474" i="5"/>
  <c r="AV474" i="5"/>
  <c r="AU474" i="5"/>
  <c r="H474" i="5"/>
  <c r="G474" i="5"/>
  <c r="BJ473" i="5"/>
  <c r="BI473" i="5"/>
  <c r="BH473" i="5"/>
  <c r="BG473" i="5"/>
  <c r="BF473" i="5"/>
  <c r="BE473" i="5"/>
  <c r="BD473" i="5"/>
  <c r="BC473" i="5"/>
  <c r="BB473" i="5"/>
  <c r="BA473" i="5"/>
  <c r="AZ473" i="5"/>
  <c r="AY473" i="5"/>
  <c r="AX473" i="5"/>
  <c r="AW473" i="5"/>
  <c r="AV473" i="5"/>
  <c r="AU473" i="5"/>
  <c r="H473" i="5"/>
  <c r="G473" i="5"/>
  <c r="BJ472" i="5"/>
  <c r="BI472" i="5"/>
  <c r="BH472" i="5"/>
  <c r="BG472" i="5"/>
  <c r="BF472" i="5"/>
  <c r="BE472" i="5"/>
  <c r="BD472" i="5"/>
  <c r="BC472" i="5"/>
  <c r="BB472" i="5"/>
  <c r="BA472" i="5"/>
  <c r="AZ472" i="5"/>
  <c r="AY472" i="5"/>
  <c r="AX472" i="5"/>
  <c r="AW472" i="5"/>
  <c r="AV472" i="5"/>
  <c r="AU472" i="5"/>
  <c r="H472" i="5"/>
  <c r="G472" i="5"/>
  <c r="BJ471" i="5"/>
  <c r="BI471" i="5"/>
  <c r="BH471" i="5"/>
  <c r="BG471" i="5"/>
  <c r="BF471" i="5"/>
  <c r="BE471" i="5"/>
  <c r="BD471" i="5"/>
  <c r="BC471" i="5"/>
  <c r="BB471" i="5"/>
  <c r="BA471" i="5"/>
  <c r="AZ471" i="5"/>
  <c r="AY471" i="5"/>
  <c r="AX471" i="5"/>
  <c r="AW471" i="5"/>
  <c r="AV471" i="5"/>
  <c r="AU471" i="5"/>
  <c r="H471" i="5"/>
  <c r="G471" i="5"/>
  <c r="BJ470" i="5"/>
  <c r="BI470" i="5"/>
  <c r="BH470" i="5"/>
  <c r="BG470" i="5"/>
  <c r="BF470" i="5"/>
  <c r="BE470" i="5"/>
  <c r="BD470" i="5"/>
  <c r="BC470" i="5"/>
  <c r="BB470" i="5"/>
  <c r="BA470" i="5"/>
  <c r="AZ470" i="5"/>
  <c r="AY470" i="5"/>
  <c r="AX470" i="5"/>
  <c r="AW470" i="5"/>
  <c r="AV470" i="5"/>
  <c r="AU470" i="5"/>
  <c r="H470" i="5"/>
  <c r="G470" i="5"/>
  <c r="BJ469" i="5"/>
  <c r="BI469" i="5"/>
  <c r="BH469" i="5"/>
  <c r="BG469" i="5"/>
  <c r="BF469" i="5"/>
  <c r="BE469" i="5"/>
  <c r="BD469" i="5"/>
  <c r="BC469" i="5"/>
  <c r="BB469" i="5"/>
  <c r="BA469" i="5"/>
  <c r="AZ469" i="5"/>
  <c r="AY469" i="5"/>
  <c r="AX469" i="5"/>
  <c r="AW469" i="5"/>
  <c r="AV469" i="5"/>
  <c r="AU469" i="5"/>
  <c r="H469" i="5"/>
  <c r="G469" i="5"/>
  <c r="BJ468" i="5"/>
  <c r="BI468" i="5"/>
  <c r="BH468" i="5"/>
  <c r="BG468" i="5"/>
  <c r="BF468" i="5"/>
  <c r="BE468" i="5"/>
  <c r="BD468" i="5"/>
  <c r="BC468" i="5"/>
  <c r="BB468" i="5"/>
  <c r="BA468" i="5"/>
  <c r="AZ468" i="5"/>
  <c r="AY468" i="5"/>
  <c r="AX468" i="5"/>
  <c r="AW468" i="5"/>
  <c r="AV468" i="5"/>
  <c r="AU468" i="5"/>
  <c r="H468" i="5"/>
  <c r="G468" i="5"/>
  <c r="BJ467" i="5"/>
  <c r="BI467" i="5"/>
  <c r="BH467" i="5"/>
  <c r="BG467" i="5"/>
  <c r="BF467" i="5"/>
  <c r="BE467" i="5"/>
  <c r="BD467" i="5"/>
  <c r="BC467" i="5"/>
  <c r="BB467" i="5"/>
  <c r="BA467" i="5"/>
  <c r="AZ467" i="5"/>
  <c r="AY467" i="5"/>
  <c r="AX467" i="5"/>
  <c r="AW467" i="5"/>
  <c r="AV467" i="5"/>
  <c r="AU467" i="5"/>
  <c r="H467" i="5"/>
  <c r="G467" i="5"/>
  <c r="BJ466" i="5"/>
  <c r="BI466" i="5"/>
  <c r="BH466" i="5"/>
  <c r="BG466" i="5"/>
  <c r="BF466" i="5"/>
  <c r="BE466" i="5"/>
  <c r="BD466" i="5"/>
  <c r="BC466" i="5"/>
  <c r="BB466" i="5"/>
  <c r="BA466" i="5"/>
  <c r="AZ466" i="5"/>
  <c r="AY466" i="5"/>
  <c r="AX466" i="5"/>
  <c r="AW466" i="5"/>
  <c r="AV466" i="5"/>
  <c r="AU466" i="5"/>
  <c r="H466" i="5"/>
  <c r="G466" i="5"/>
  <c r="BJ465" i="5"/>
  <c r="BI465" i="5"/>
  <c r="BH465" i="5"/>
  <c r="BG465" i="5"/>
  <c r="BF465" i="5"/>
  <c r="BE465" i="5"/>
  <c r="BD465" i="5"/>
  <c r="BC465" i="5"/>
  <c r="BB465" i="5"/>
  <c r="BA465" i="5"/>
  <c r="AZ465" i="5"/>
  <c r="AY465" i="5"/>
  <c r="AX465" i="5"/>
  <c r="AW465" i="5"/>
  <c r="AV465" i="5"/>
  <c r="AU465" i="5"/>
  <c r="H465" i="5"/>
  <c r="G465" i="5"/>
  <c r="BJ464" i="5"/>
  <c r="BI464" i="5"/>
  <c r="BH464" i="5"/>
  <c r="BG464" i="5"/>
  <c r="BF464" i="5"/>
  <c r="BE464" i="5"/>
  <c r="BD464" i="5"/>
  <c r="BC464" i="5"/>
  <c r="BB464" i="5"/>
  <c r="BA464" i="5"/>
  <c r="AZ464" i="5"/>
  <c r="AY464" i="5"/>
  <c r="AX464" i="5"/>
  <c r="AW464" i="5"/>
  <c r="AV464" i="5"/>
  <c r="AU464" i="5"/>
  <c r="H464" i="5"/>
  <c r="G464" i="5"/>
  <c r="BJ463" i="5"/>
  <c r="BI463" i="5"/>
  <c r="BH463" i="5"/>
  <c r="BG463" i="5"/>
  <c r="BF463" i="5"/>
  <c r="BE463" i="5"/>
  <c r="BD463" i="5"/>
  <c r="BC463" i="5"/>
  <c r="BB463" i="5"/>
  <c r="BA463" i="5"/>
  <c r="AZ463" i="5"/>
  <c r="AY463" i="5"/>
  <c r="AX463" i="5"/>
  <c r="AW463" i="5"/>
  <c r="AV463" i="5"/>
  <c r="AU463" i="5"/>
  <c r="H463" i="5"/>
  <c r="G463" i="5"/>
  <c r="BJ462" i="5"/>
  <c r="BI462" i="5"/>
  <c r="BH462" i="5"/>
  <c r="BG462" i="5"/>
  <c r="BF462" i="5"/>
  <c r="BE462" i="5"/>
  <c r="BD462" i="5"/>
  <c r="BC462" i="5"/>
  <c r="BB462" i="5"/>
  <c r="BA462" i="5"/>
  <c r="AZ462" i="5"/>
  <c r="AY462" i="5"/>
  <c r="AX462" i="5"/>
  <c r="AW462" i="5"/>
  <c r="AV462" i="5"/>
  <c r="AU462" i="5"/>
  <c r="H462" i="5"/>
  <c r="G462" i="5"/>
  <c r="BJ461" i="5"/>
  <c r="BI461" i="5"/>
  <c r="BH461" i="5"/>
  <c r="BG461" i="5"/>
  <c r="BF461" i="5"/>
  <c r="BE461" i="5"/>
  <c r="BD461" i="5"/>
  <c r="BC461" i="5"/>
  <c r="BB461" i="5"/>
  <c r="BA461" i="5"/>
  <c r="AZ461" i="5"/>
  <c r="AY461" i="5"/>
  <c r="AX461" i="5"/>
  <c r="AW461" i="5"/>
  <c r="AV461" i="5"/>
  <c r="AU461" i="5"/>
  <c r="H461" i="5"/>
  <c r="G461" i="5"/>
  <c r="BJ460" i="5"/>
  <c r="BI460" i="5"/>
  <c r="BH460" i="5"/>
  <c r="BG460" i="5"/>
  <c r="BF460" i="5"/>
  <c r="BE460" i="5"/>
  <c r="BD460" i="5"/>
  <c r="BC460" i="5"/>
  <c r="BB460" i="5"/>
  <c r="BA460" i="5"/>
  <c r="AZ460" i="5"/>
  <c r="AY460" i="5"/>
  <c r="AX460" i="5"/>
  <c r="AW460" i="5"/>
  <c r="AV460" i="5"/>
  <c r="AU460" i="5"/>
  <c r="H460" i="5"/>
  <c r="G460" i="5"/>
  <c r="BJ459" i="5"/>
  <c r="BI459" i="5"/>
  <c r="BH459" i="5"/>
  <c r="BG459" i="5"/>
  <c r="BF459" i="5"/>
  <c r="BE459" i="5"/>
  <c r="BD459" i="5"/>
  <c r="BC459" i="5"/>
  <c r="BB459" i="5"/>
  <c r="BA459" i="5"/>
  <c r="AZ459" i="5"/>
  <c r="AY459" i="5"/>
  <c r="AX459" i="5"/>
  <c r="AW459" i="5"/>
  <c r="AV459" i="5"/>
  <c r="AU459" i="5"/>
  <c r="H459" i="5"/>
  <c r="G459" i="5"/>
  <c r="BJ458" i="5"/>
  <c r="BI458" i="5"/>
  <c r="BH458" i="5"/>
  <c r="BG458" i="5"/>
  <c r="BF458" i="5"/>
  <c r="BE458" i="5"/>
  <c r="BD458" i="5"/>
  <c r="BC458" i="5"/>
  <c r="BB458" i="5"/>
  <c r="BA458" i="5"/>
  <c r="AZ458" i="5"/>
  <c r="AY458" i="5"/>
  <c r="AX458" i="5"/>
  <c r="AW458" i="5"/>
  <c r="AV458" i="5"/>
  <c r="AU458" i="5"/>
  <c r="H458" i="5"/>
  <c r="G458" i="5"/>
  <c r="BJ457" i="5"/>
  <c r="BI457" i="5"/>
  <c r="BH457" i="5"/>
  <c r="BG457" i="5"/>
  <c r="BF457" i="5"/>
  <c r="BE457" i="5"/>
  <c r="BD457" i="5"/>
  <c r="BC457" i="5"/>
  <c r="BB457" i="5"/>
  <c r="BA457" i="5"/>
  <c r="AZ457" i="5"/>
  <c r="AY457" i="5"/>
  <c r="AX457" i="5"/>
  <c r="AW457" i="5"/>
  <c r="AV457" i="5"/>
  <c r="AU457" i="5"/>
  <c r="H457" i="5"/>
  <c r="G457" i="5"/>
  <c r="BJ456" i="5"/>
  <c r="BI456" i="5"/>
  <c r="BH456" i="5"/>
  <c r="BG456" i="5"/>
  <c r="BF456" i="5"/>
  <c r="BE456" i="5"/>
  <c r="BD456" i="5"/>
  <c r="BC456" i="5"/>
  <c r="BB456" i="5"/>
  <c r="BA456" i="5"/>
  <c r="AZ456" i="5"/>
  <c r="AY456" i="5"/>
  <c r="AX456" i="5"/>
  <c r="AW456" i="5"/>
  <c r="AV456" i="5"/>
  <c r="AU456" i="5"/>
  <c r="H456" i="5"/>
  <c r="G456" i="5"/>
  <c r="BJ455" i="5"/>
  <c r="BI455" i="5"/>
  <c r="BH455" i="5"/>
  <c r="BG455" i="5"/>
  <c r="BF455" i="5"/>
  <c r="BE455" i="5"/>
  <c r="BD455" i="5"/>
  <c r="BC455" i="5"/>
  <c r="BB455" i="5"/>
  <c r="BA455" i="5"/>
  <c r="AZ455" i="5"/>
  <c r="AY455" i="5"/>
  <c r="AX455" i="5"/>
  <c r="AW455" i="5"/>
  <c r="AV455" i="5"/>
  <c r="AU455" i="5"/>
  <c r="H455" i="5"/>
  <c r="G455" i="5"/>
  <c r="BJ454" i="5"/>
  <c r="BI454" i="5"/>
  <c r="BH454" i="5"/>
  <c r="BG454" i="5"/>
  <c r="BF454" i="5"/>
  <c r="BE454" i="5"/>
  <c r="BD454" i="5"/>
  <c r="BC454" i="5"/>
  <c r="BB454" i="5"/>
  <c r="BA454" i="5"/>
  <c r="AZ454" i="5"/>
  <c r="AY454" i="5"/>
  <c r="AX454" i="5"/>
  <c r="AW454" i="5"/>
  <c r="AV454" i="5"/>
  <c r="AU454" i="5"/>
  <c r="H454" i="5"/>
  <c r="G454" i="5"/>
  <c r="BJ453" i="5"/>
  <c r="BI453" i="5"/>
  <c r="BH453" i="5"/>
  <c r="BG453" i="5"/>
  <c r="BF453" i="5"/>
  <c r="BE453" i="5"/>
  <c r="BD453" i="5"/>
  <c r="BC453" i="5"/>
  <c r="BB453" i="5"/>
  <c r="BA453" i="5"/>
  <c r="AZ453" i="5"/>
  <c r="AY453" i="5"/>
  <c r="AX453" i="5"/>
  <c r="AW453" i="5"/>
  <c r="AV453" i="5"/>
  <c r="AU453" i="5"/>
  <c r="H453" i="5"/>
  <c r="G453" i="5"/>
  <c r="BJ452" i="5"/>
  <c r="BI452" i="5"/>
  <c r="BH452" i="5"/>
  <c r="BG452" i="5"/>
  <c r="BF452" i="5"/>
  <c r="BE452" i="5"/>
  <c r="BD452" i="5"/>
  <c r="BC452" i="5"/>
  <c r="BB452" i="5"/>
  <c r="BA452" i="5"/>
  <c r="AZ452" i="5"/>
  <c r="AY452" i="5"/>
  <c r="AX452" i="5"/>
  <c r="AW452" i="5"/>
  <c r="AV452" i="5"/>
  <c r="AU452" i="5"/>
  <c r="H452" i="5"/>
  <c r="G452" i="5"/>
  <c r="BJ451" i="5"/>
  <c r="BI451" i="5"/>
  <c r="BH451" i="5"/>
  <c r="BG451" i="5"/>
  <c r="BF451" i="5"/>
  <c r="BE451" i="5"/>
  <c r="BD451" i="5"/>
  <c r="BC451" i="5"/>
  <c r="BB451" i="5"/>
  <c r="BA451" i="5"/>
  <c r="AZ451" i="5"/>
  <c r="AY451" i="5"/>
  <c r="AX451" i="5"/>
  <c r="AW451" i="5"/>
  <c r="AV451" i="5"/>
  <c r="AU451" i="5"/>
  <c r="H451" i="5"/>
  <c r="G451" i="5"/>
  <c r="BJ450" i="5"/>
  <c r="BI450" i="5"/>
  <c r="BH450" i="5"/>
  <c r="BG450" i="5"/>
  <c r="BF450" i="5"/>
  <c r="BE450" i="5"/>
  <c r="BD450" i="5"/>
  <c r="BC450" i="5"/>
  <c r="BB450" i="5"/>
  <c r="BA450" i="5"/>
  <c r="AZ450" i="5"/>
  <c r="AY450" i="5"/>
  <c r="AX450" i="5"/>
  <c r="AW450" i="5"/>
  <c r="AV450" i="5"/>
  <c r="AU450" i="5"/>
  <c r="H450" i="5"/>
  <c r="G450" i="5"/>
  <c r="BJ449" i="5"/>
  <c r="BI449" i="5"/>
  <c r="BH449" i="5"/>
  <c r="BG449" i="5"/>
  <c r="BF449" i="5"/>
  <c r="BE449" i="5"/>
  <c r="BD449" i="5"/>
  <c r="BC449" i="5"/>
  <c r="BB449" i="5"/>
  <c r="BA449" i="5"/>
  <c r="AZ449" i="5"/>
  <c r="AY449" i="5"/>
  <c r="AX449" i="5"/>
  <c r="AW449" i="5"/>
  <c r="AV449" i="5"/>
  <c r="AU449" i="5"/>
  <c r="H449" i="5"/>
  <c r="G449" i="5"/>
  <c r="BJ448" i="5"/>
  <c r="BI448" i="5"/>
  <c r="BH448" i="5"/>
  <c r="BG448" i="5"/>
  <c r="BF448" i="5"/>
  <c r="BE448" i="5"/>
  <c r="BD448" i="5"/>
  <c r="BC448" i="5"/>
  <c r="BB448" i="5"/>
  <c r="BA448" i="5"/>
  <c r="AZ448" i="5"/>
  <c r="AY448" i="5"/>
  <c r="AX448" i="5"/>
  <c r="AW448" i="5"/>
  <c r="AV448" i="5"/>
  <c r="AU448" i="5"/>
  <c r="H448" i="5"/>
  <c r="G448" i="5"/>
  <c r="BJ447" i="5"/>
  <c r="BI447" i="5"/>
  <c r="BH447" i="5"/>
  <c r="BG447" i="5"/>
  <c r="BF447" i="5"/>
  <c r="BE447" i="5"/>
  <c r="BD447" i="5"/>
  <c r="BC447" i="5"/>
  <c r="BB447" i="5"/>
  <c r="BA447" i="5"/>
  <c r="AZ447" i="5"/>
  <c r="AY447" i="5"/>
  <c r="AX447" i="5"/>
  <c r="AW447" i="5"/>
  <c r="AV447" i="5"/>
  <c r="AU447" i="5"/>
  <c r="H447" i="5"/>
  <c r="G447" i="5"/>
  <c r="BJ446" i="5"/>
  <c r="BI446" i="5"/>
  <c r="BH446" i="5"/>
  <c r="BG446" i="5"/>
  <c r="BF446" i="5"/>
  <c r="BE446" i="5"/>
  <c r="BD446" i="5"/>
  <c r="BC446" i="5"/>
  <c r="BB446" i="5"/>
  <c r="BA446" i="5"/>
  <c r="AZ446" i="5"/>
  <c r="AY446" i="5"/>
  <c r="AX446" i="5"/>
  <c r="AW446" i="5"/>
  <c r="AV446" i="5"/>
  <c r="AU446" i="5"/>
  <c r="H446" i="5"/>
  <c r="G446" i="5"/>
  <c r="BJ445" i="5"/>
  <c r="BI445" i="5"/>
  <c r="BH445" i="5"/>
  <c r="BG445" i="5"/>
  <c r="BF445" i="5"/>
  <c r="BE445" i="5"/>
  <c r="BD445" i="5"/>
  <c r="BC445" i="5"/>
  <c r="BB445" i="5"/>
  <c r="BA445" i="5"/>
  <c r="AZ445" i="5"/>
  <c r="AY445" i="5"/>
  <c r="AX445" i="5"/>
  <c r="AW445" i="5"/>
  <c r="AV445" i="5"/>
  <c r="AU445" i="5"/>
  <c r="H445" i="5"/>
  <c r="G445" i="5"/>
  <c r="BJ444" i="5"/>
  <c r="BI444" i="5"/>
  <c r="BH444" i="5"/>
  <c r="BG444" i="5"/>
  <c r="BF444" i="5"/>
  <c r="BE444" i="5"/>
  <c r="BD444" i="5"/>
  <c r="BC444" i="5"/>
  <c r="BB444" i="5"/>
  <c r="BA444" i="5"/>
  <c r="AZ444" i="5"/>
  <c r="AY444" i="5"/>
  <c r="AX444" i="5"/>
  <c r="AW444" i="5"/>
  <c r="AV444" i="5"/>
  <c r="AU444" i="5"/>
  <c r="H444" i="5"/>
  <c r="G444" i="5"/>
  <c r="BJ443" i="5"/>
  <c r="BI443" i="5"/>
  <c r="BH443" i="5"/>
  <c r="BG443" i="5"/>
  <c r="BF443" i="5"/>
  <c r="BE443" i="5"/>
  <c r="BD443" i="5"/>
  <c r="BC443" i="5"/>
  <c r="BB443" i="5"/>
  <c r="BA443" i="5"/>
  <c r="AZ443" i="5"/>
  <c r="AY443" i="5"/>
  <c r="AX443" i="5"/>
  <c r="AW443" i="5"/>
  <c r="AV443" i="5"/>
  <c r="AU443" i="5"/>
  <c r="H443" i="5"/>
  <c r="G443" i="5"/>
  <c r="BJ442" i="5"/>
  <c r="BI442" i="5"/>
  <c r="BH442" i="5"/>
  <c r="BG442" i="5"/>
  <c r="BF442" i="5"/>
  <c r="BE442" i="5"/>
  <c r="BD442" i="5"/>
  <c r="BC442" i="5"/>
  <c r="BB442" i="5"/>
  <c r="BA442" i="5"/>
  <c r="AZ442" i="5"/>
  <c r="AY442" i="5"/>
  <c r="AX442" i="5"/>
  <c r="AW442" i="5"/>
  <c r="AV442" i="5"/>
  <c r="AU442" i="5"/>
  <c r="H442" i="5"/>
  <c r="G442" i="5"/>
  <c r="BJ441" i="5"/>
  <c r="BI441" i="5"/>
  <c r="BH441" i="5"/>
  <c r="BG441" i="5"/>
  <c r="BF441" i="5"/>
  <c r="BE441" i="5"/>
  <c r="BD441" i="5"/>
  <c r="BC441" i="5"/>
  <c r="BB441" i="5"/>
  <c r="BA441" i="5"/>
  <c r="AZ441" i="5"/>
  <c r="AY441" i="5"/>
  <c r="AX441" i="5"/>
  <c r="AW441" i="5"/>
  <c r="AV441" i="5"/>
  <c r="AU441" i="5"/>
  <c r="H441" i="5"/>
  <c r="G441" i="5"/>
  <c r="BJ440" i="5"/>
  <c r="BI440" i="5"/>
  <c r="BH440" i="5"/>
  <c r="BG440" i="5"/>
  <c r="BF440" i="5"/>
  <c r="BE440" i="5"/>
  <c r="BD440" i="5"/>
  <c r="BC440" i="5"/>
  <c r="BB440" i="5"/>
  <c r="BA440" i="5"/>
  <c r="AZ440" i="5"/>
  <c r="AY440" i="5"/>
  <c r="AX440" i="5"/>
  <c r="AW440" i="5"/>
  <c r="AV440" i="5"/>
  <c r="AU440" i="5"/>
  <c r="H440" i="5"/>
  <c r="G440" i="5"/>
  <c r="BJ439" i="5"/>
  <c r="BI439" i="5"/>
  <c r="BH439" i="5"/>
  <c r="BG439" i="5"/>
  <c r="BF439" i="5"/>
  <c r="BE439" i="5"/>
  <c r="BD439" i="5"/>
  <c r="BC439" i="5"/>
  <c r="BB439" i="5"/>
  <c r="BA439" i="5"/>
  <c r="AZ439" i="5"/>
  <c r="AY439" i="5"/>
  <c r="AX439" i="5"/>
  <c r="AW439" i="5"/>
  <c r="AV439" i="5"/>
  <c r="AU439" i="5"/>
  <c r="H439" i="5"/>
  <c r="G439" i="5"/>
  <c r="BJ438" i="5"/>
  <c r="BI438" i="5"/>
  <c r="BH438" i="5"/>
  <c r="BG438" i="5"/>
  <c r="BF438" i="5"/>
  <c r="BE438" i="5"/>
  <c r="BD438" i="5"/>
  <c r="BC438" i="5"/>
  <c r="BB438" i="5"/>
  <c r="BA438" i="5"/>
  <c r="AZ438" i="5"/>
  <c r="AY438" i="5"/>
  <c r="AX438" i="5"/>
  <c r="AW438" i="5"/>
  <c r="AV438" i="5"/>
  <c r="AU438" i="5"/>
  <c r="H438" i="5"/>
  <c r="G438" i="5"/>
  <c r="BJ437" i="5"/>
  <c r="BI437" i="5"/>
  <c r="BH437" i="5"/>
  <c r="BG437" i="5"/>
  <c r="BF437" i="5"/>
  <c r="BE437" i="5"/>
  <c r="BD437" i="5"/>
  <c r="BC437" i="5"/>
  <c r="BB437" i="5"/>
  <c r="BA437" i="5"/>
  <c r="AZ437" i="5"/>
  <c r="AY437" i="5"/>
  <c r="AX437" i="5"/>
  <c r="AW437" i="5"/>
  <c r="AV437" i="5"/>
  <c r="AU437" i="5"/>
  <c r="H437" i="5"/>
  <c r="G437" i="5"/>
  <c r="BJ436" i="5"/>
  <c r="BI436" i="5"/>
  <c r="BH436" i="5"/>
  <c r="BG436" i="5"/>
  <c r="BF436" i="5"/>
  <c r="BE436" i="5"/>
  <c r="BD436" i="5"/>
  <c r="BC436" i="5"/>
  <c r="BB436" i="5"/>
  <c r="BA436" i="5"/>
  <c r="AZ436" i="5"/>
  <c r="AY436" i="5"/>
  <c r="AX436" i="5"/>
  <c r="AW436" i="5"/>
  <c r="AV436" i="5"/>
  <c r="AU436" i="5"/>
  <c r="H436" i="5"/>
  <c r="G436" i="5"/>
  <c r="BJ435" i="5"/>
  <c r="BI435" i="5"/>
  <c r="BH435" i="5"/>
  <c r="BG435" i="5"/>
  <c r="BF435" i="5"/>
  <c r="BE435" i="5"/>
  <c r="BD435" i="5"/>
  <c r="BC435" i="5"/>
  <c r="BB435" i="5"/>
  <c r="BA435" i="5"/>
  <c r="AZ435" i="5"/>
  <c r="AY435" i="5"/>
  <c r="AX435" i="5"/>
  <c r="AW435" i="5"/>
  <c r="AV435" i="5"/>
  <c r="AU435" i="5"/>
  <c r="H435" i="5"/>
  <c r="G435" i="5"/>
  <c r="BJ434" i="5"/>
  <c r="BI434" i="5"/>
  <c r="BH434" i="5"/>
  <c r="BG434" i="5"/>
  <c r="BF434" i="5"/>
  <c r="BE434" i="5"/>
  <c r="BD434" i="5"/>
  <c r="BC434" i="5"/>
  <c r="BB434" i="5"/>
  <c r="BA434" i="5"/>
  <c r="AZ434" i="5"/>
  <c r="AY434" i="5"/>
  <c r="AX434" i="5"/>
  <c r="AW434" i="5"/>
  <c r="AV434" i="5"/>
  <c r="AU434" i="5"/>
  <c r="H434" i="5"/>
  <c r="G434" i="5"/>
  <c r="BJ433" i="5"/>
  <c r="BI433" i="5"/>
  <c r="BH433" i="5"/>
  <c r="BG433" i="5"/>
  <c r="BF433" i="5"/>
  <c r="BE433" i="5"/>
  <c r="BD433" i="5"/>
  <c r="BC433" i="5"/>
  <c r="BB433" i="5"/>
  <c r="BA433" i="5"/>
  <c r="AZ433" i="5"/>
  <c r="AY433" i="5"/>
  <c r="AX433" i="5"/>
  <c r="AW433" i="5"/>
  <c r="AV433" i="5"/>
  <c r="AU433" i="5"/>
  <c r="H433" i="5"/>
  <c r="G433" i="5"/>
  <c r="BJ432" i="5"/>
  <c r="BI432" i="5"/>
  <c r="BH432" i="5"/>
  <c r="BG432" i="5"/>
  <c r="BF432" i="5"/>
  <c r="BE432" i="5"/>
  <c r="BD432" i="5"/>
  <c r="BC432" i="5"/>
  <c r="BB432" i="5"/>
  <c r="BA432" i="5"/>
  <c r="AZ432" i="5"/>
  <c r="AY432" i="5"/>
  <c r="AX432" i="5"/>
  <c r="AW432" i="5"/>
  <c r="AV432" i="5"/>
  <c r="AU432" i="5"/>
  <c r="H432" i="5"/>
  <c r="G432" i="5"/>
  <c r="BJ431" i="5"/>
  <c r="BI431" i="5"/>
  <c r="BH431" i="5"/>
  <c r="BG431" i="5"/>
  <c r="BF431" i="5"/>
  <c r="BE431" i="5"/>
  <c r="BD431" i="5"/>
  <c r="BC431" i="5"/>
  <c r="BB431" i="5"/>
  <c r="BA431" i="5"/>
  <c r="AZ431" i="5"/>
  <c r="AY431" i="5"/>
  <c r="AX431" i="5"/>
  <c r="AW431" i="5"/>
  <c r="AV431" i="5"/>
  <c r="AU431" i="5"/>
  <c r="H431" i="5"/>
  <c r="G431" i="5"/>
  <c r="BJ430" i="5"/>
  <c r="BI430" i="5"/>
  <c r="BH430" i="5"/>
  <c r="BG430" i="5"/>
  <c r="BF430" i="5"/>
  <c r="BE430" i="5"/>
  <c r="BD430" i="5"/>
  <c r="BC430" i="5"/>
  <c r="BB430" i="5"/>
  <c r="BA430" i="5"/>
  <c r="AZ430" i="5"/>
  <c r="AY430" i="5"/>
  <c r="AX430" i="5"/>
  <c r="AW430" i="5"/>
  <c r="AV430" i="5"/>
  <c r="AU430" i="5"/>
  <c r="H430" i="5"/>
  <c r="G430" i="5"/>
  <c r="BJ429" i="5"/>
  <c r="BI429" i="5"/>
  <c r="BH429" i="5"/>
  <c r="BG429" i="5"/>
  <c r="BF429" i="5"/>
  <c r="BE429" i="5"/>
  <c r="BD429" i="5"/>
  <c r="BC429" i="5"/>
  <c r="BB429" i="5"/>
  <c r="BA429" i="5"/>
  <c r="AZ429" i="5"/>
  <c r="AY429" i="5"/>
  <c r="AX429" i="5"/>
  <c r="AW429" i="5"/>
  <c r="AV429" i="5"/>
  <c r="AU429" i="5"/>
  <c r="H429" i="5"/>
  <c r="G429" i="5"/>
  <c r="BJ428" i="5"/>
  <c r="BI428" i="5"/>
  <c r="BH428" i="5"/>
  <c r="BG428" i="5"/>
  <c r="BF428" i="5"/>
  <c r="BE428" i="5"/>
  <c r="BD428" i="5"/>
  <c r="BC428" i="5"/>
  <c r="BB428" i="5"/>
  <c r="BA428" i="5"/>
  <c r="AZ428" i="5"/>
  <c r="AY428" i="5"/>
  <c r="AX428" i="5"/>
  <c r="AW428" i="5"/>
  <c r="AV428" i="5"/>
  <c r="AU428" i="5"/>
  <c r="H428" i="5"/>
  <c r="G428" i="5"/>
  <c r="BJ427" i="5"/>
  <c r="BI427" i="5"/>
  <c r="BH427" i="5"/>
  <c r="BG427" i="5"/>
  <c r="BF427" i="5"/>
  <c r="BE427" i="5"/>
  <c r="BD427" i="5"/>
  <c r="BC427" i="5"/>
  <c r="BB427" i="5"/>
  <c r="BA427" i="5"/>
  <c r="AZ427" i="5"/>
  <c r="AY427" i="5"/>
  <c r="AX427" i="5"/>
  <c r="AW427" i="5"/>
  <c r="AV427" i="5"/>
  <c r="AU427" i="5"/>
  <c r="H427" i="5"/>
  <c r="G427" i="5"/>
  <c r="BJ426" i="5"/>
  <c r="BI426" i="5"/>
  <c r="BH426" i="5"/>
  <c r="BG426" i="5"/>
  <c r="BF426" i="5"/>
  <c r="BE426" i="5"/>
  <c r="BD426" i="5"/>
  <c r="BC426" i="5"/>
  <c r="BB426" i="5"/>
  <c r="BA426" i="5"/>
  <c r="AZ426" i="5"/>
  <c r="AY426" i="5"/>
  <c r="AX426" i="5"/>
  <c r="AW426" i="5"/>
  <c r="AV426" i="5"/>
  <c r="AU426" i="5"/>
  <c r="H426" i="5"/>
  <c r="G426" i="5"/>
  <c r="BJ425" i="5"/>
  <c r="BI425" i="5"/>
  <c r="BH425" i="5"/>
  <c r="BG425" i="5"/>
  <c r="BF425" i="5"/>
  <c r="BE425" i="5"/>
  <c r="BD425" i="5"/>
  <c r="BC425" i="5"/>
  <c r="BB425" i="5"/>
  <c r="BA425" i="5"/>
  <c r="AZ425" i="5"/>
  <c r="AY425" i="5"/>
  <c r="AX425" i="5"/>
  <c r="AW425" i="5"/>
  <c r="AV425" i="5"/>
  <c r="AU425" i="5"/>
  <c r="H425" i="5"/>
  <c r="G425" i="5"/>
  <c r="BJ424" i="5"/>
  <c r="BI424" i="5"/>
  <c r="BH424" i="5"/>
  <c r="BG424" i="5"/>
  <c r="BF424" i="5"/>
  <c r="BE424" i="5"/>
  <c r="BD424" i="5"/>
  <c r="BC424" i="5"/>
  <c r="BB424" i="5"/>
  <c r="BA424" i="5"/>
  <c r="AZ424" i="5"/>
  <c r="AY424" i="5"/>
  <c r="AX424" i="5"/>
  <c r="AW424" i="5"/>
  <c r="AV424" i="5"/>
  <c r="AU424" i="5"/>
  <c r="H424" i="5"/>
  <c r="G424" i="5"/>
  <c r="BJ423" i="5"/>
  <c r="BI423" i="5"/>
  <c r="BH423" i="5"/>
  <c r="BG423" i="5"/>
  <c r="BF423" i="5"/>
  <c r="BE423" i="5"/>
  <c r="BD423" i="5"/>
  <c r="BC423" i="5"/>
  <c r="BB423" i="5"/>
  <c r="BA423" i="5"/>
  <c r="AZ423" i="5"/>
  <c r="AY423" i="5"/>
  <c r="AX423" i="5"/>
  <c r="AW423" i="5"/>
  <c r="AV423" i="5"/>
  <c r="AU423" i="5"/>
  <c r="H423" i="5"/>
  <c r="G423" i="5"/>
  <c r="BJ422" i="5"/>
  <c r="BI422" i="5"/>
  <c r="BH422" i="5"/>
  <c r="BG422" i="5"/>
  <c r="BF422" i="5"/>
  <c r="BE422" i="5"/>
  <c r="BD422" i="5"/>
  <c r="BC422" i="5"/>
  <c r="BB422" i="5"/>
  <c r="BA422" i="5"/>
  <c r="AZ422" i="5"/>
  <c r="AY422" i="5"/>
  <c r="AX422" i="5"/>
  <c r="AW422" i="5"/>
  <c r="AV422" i="5"/>
  <c r="AU422" i="5"/>
  <c r="H422" i="5"/>
  <c r="G422" i="5"/>
  <c r="BJ421" i="5"/>
  <c r="BI421" i="5"/>
  <c r="BH421" i="5"/>
  <c r="BG421" i="5"/>
  <c r="BF421" i="5"/>
  <c r="BE421" i="5"/>
  <c r="BD421" i="5"/>
  <c r="BC421" i="5"/>
  <c r="BB421" i="5"/>
  <c r="BA421" i="5"/>
  <c r="AZ421" i="5"/>
  <c r="AY421" i="5"/>
  <c r="AX421" i="5"/>
  <c r="AW421" i="5"/>
  <c r="AV421" i="5"/>
  <c r="AU421" i="5"/>
  <c r="H421" i="5"/>
  <c r="G421" i="5"/>
  <c r="BJ420" i="5"/>
  <c r="BI420" i="5"/>
  <c r="BH420" i="5"/>
  <c r="BG420" i="5"/>
  <c r="BF420" i="5"/>
  <c r="BE420" i="5"/>
  <c r="BD420" i="5"/>
  <c r="BC420" i="5"/>
  <c r="BB420" i="5"/>
  <c r="BA420" i="5"/>
  <c r="AZ420" i="5"/>
  <c r="AY420" i="5"/>
  <c r="AX420" i="5"/>
  <c r="AW420" i="5"/>
  <c r="AV420" i="5"/>
  <c r="AU420" i="5"/>
  <c r="H420" i="5"/>
  <c r="G420" i="5"/>
  <c r="BJ419" i="5"/>
  <c r="BI419" i="5"/>
  <c r="BH419" i="5"/>
  <c r="BG419" i="5"/>
  <c r="BF419" i="5"/>
  <c r="BE419" i="5"/>
  <c r="BD419" i="5"/>
  <c r="BC419" i="5"/>
  <c r="BB419" i="5"/>
  <c r="BA419" i="5"/>
  <c r="AZ419" i="5"/>
  <c r="AY419" i="5"/>
  <c r="AX419" i="5"/>
  <c r="AW419" i="5"/>
  <c r="AV419" i="5"/>
  <c r="AU419" i="5"/>
  <c r="H419" i="5"/>
  <c r="G419" i="5"/>
  <c r="BJ418" i="5"/>
  <c r="BI418" i="5"/>
  <c r="BH418" i="5"/>
  <c r="BG418" i="5"/>
  <c r="BF418" i="5"/>
  <c r="BE418" i="5"/>
  <c r="BD418" i="5"/>
  <c r="BC418" i="5"/>
  <c r="BB418" i="5"/>
  <c r="BA418" i="5"/>
  <c r="AZ418" i="5"/>
  <c r="AY418" i="5"/>
  <c r="AX418" i="5"/>
  <c r="AW418" i="5"/>
  <c r="AV418" i="5"/>
  <c r="AU418" i="5"/>
  <c r="H418" i="5"/>
  <c r="G418" i="5"/>
  <c r="BJ417" i="5"/>
  <c r="BI417" i="5"/>
  <c r="BH417" i="5"/>
  <c r="BG417" i="5"/>
  <c r="BF417" i="5"/>
  <c r="BE417" i="5"/>
  <c r="BD417" i="5"/>
  <c r="BC417" i="5"/>
  <c r="BB417" i="5"/>
  <c r="BA417" i="5"/>
  <c r="AZ417" i="5"/>
  <c r="AY417" i="5"/>
  <c r="AX417" i="5"/>
  <c r="AW417" i="5"/>
  <c r="AV417" i="5"/>
  <c r="AU417" i="5"/>
  <c r="H417" i="5"/>
  <c r="G417" i="5"/>
  <c r="BJ416" i="5"/>
  <c r="BI416" i="5"/>
  <c r="BH416" i="5"/>
  <c r="BG416" i="5"/>
  <c r="BF416" i="5"/>
  <c r="BE416" i="5"/>
  <c r="BD416" i="5"/>
  <c r="BC416" i="5"/>
  <c r="BB416" i="5"/>
  <c r="BA416" i="5"/>
  <c r="AZ416" i="5"/>
  <c r="AY416" i="5"/>
  <c r="AX416" i="5"/>
  <c r="AW416" i="5"/>
  <c r="AV416" i="5"/>
  <c r="AU416" i="5"/>
  <c r="H416" i="5"/>
  <c r="G416" i="5"/>
  <c r="BJ415" i="5"/>
  <c r="BI415" i="5"/>
  <c r="BH415" i="5"/>
  <c r="BG415" i="5"/>
  <c r="BF415" i="5"/>
  <c r="BE415" i="5"/>
  <c r="BD415" i="5"/>
  <c r="BC415" i="5"/>
  <c r="BB415" i="5"/>
  <c r="BA415" i="5"/>
  <c r="AZ415" i="5"/>
  <c r="AY415" i="5"/>
  <c r="AX415" i="5"/>
  <c r="AW415" i="5"/>
  <c r="AV415" i="5"/>
  <c r="AU415" i="5"/>
  <c r="H415" i="5"/>
  <c r="G415" i="5"/>
  <c r="BJ414" i="5"/>
  <c r="BI414" i="5"/>
  <c r="BH414" i="5"/>
  <c r="BG414" i="5"/>
  <c r="BF414" i="5"/>
  <c r="BE414" i="5"/>
  <c r="BD414" i="5"/>
  <c r="BC414" i="5"/>
  <c r="BB414" i="5"/>
  <c r="BA414" i="5"/>
  <c r="AZ414" i="5"/>
  <c r="AY414" i="5"/>
  <c r="AX414" i="5"/>
  <c r="AW414" i="5"/>
  <c r="AV414" i="5"/>
  <c r="AU414" i="5"/>
  <c r="H414" i="5"/>
  <c r="G414" i="5"/>
  <c r="BJ413" i="5"/>
  <c r="BI413" i="5"/>
  <c r="BH413" i="5"/>
  <c r="BG413" i="5"/>
  <c r="BF413" i="5"/>
  <c r="BE413" i="5"/>
  <c r="BD413" i="5"/>
  <c r="BC413" i="5"/>
  <c r="BB413" i="5"/>
  <c r="BA413" i="5"/>
  <c r="AZ413" i="5"/>
  <c r="AY413" i="5"/>
  <c r="AX413" i="5"/>
  <c r="AW413" i="5"/>
  <c r="AV413" i="5"/>
  <c r="AU413" i="5"/>
  <c r="H413" i="5"/>
  <c r="G413" i="5"/>
  <c r="BJ412" i="5"/>
  <c r="BI412" i="5"/>
  <c r="BH412" i="5"/>
  <c r="BG412" i="5"/>
  <c r="BF412" i="5"/>
  <c r="BE412" i="5"/>
  <c r="BD412" i="5"/>
  <c r="BC412" i="5"/>
  <c r="BB412" i="5"/>
  <c r="BA412" i="5"/>
  <c r="AZ412" i="5"/>
  <c r="AY412" i="5"/>
  <c r="AX412" i="5"/>
  <c r="AW412" i="5"/>
  <c r="AV412" i="5"/>
  <c r="AU412" i="5"/>
  <c r="H412" i="5"/>
  <c r="G412" i="5"/>
  <c r="BJ411" i="5"/>
  <c r="BI411" i="5"/>
  <c r="BH411" i="5"/>
  <c r="BG411" i="5"/>
  <c r="BF411" i="5"/>
  <c r="BE411" i="5"/>
  <c r="BD411" i="5"/>
  <c r="BC411" i="5"/>
  <c r="BB411" i="5"/>
  <c r="BA411" i="5"/>
  <c r="AZ411" i="5"/>
  <c r="AY411" i="5"/>
  <c r="AX411" i="5"/>
  <c r="AW411" i="5"/>
  <c r="AV411" i="5"/>
  <c r="AU411" i="5"/>
  <c r="H411" i="5"/>
  <c r="G411" i="5"/>
  <c r="BJ410" i="5"/>
  <c r="BI410" i="5"/>
  <c r="BH410" i="5"/>
  <c r="BG410" i="5"/>
  <c r="BF410" i="5"/>
  <c r="BE410" i="5"/>
  <c r="BD410" i="5"/>
  <c r="BC410" i="5"/>
  <c r="BB410" i="5"/>
  <c r="BA410" i="5"/>
  <c r="AZ410" i="5"/>
  <c r="AY410" i="5"/>
  <c r="AX410" i="5"/>
  <c r="AW410" i="5"/>
  <c r="AV410" i="5"/>
  <c r="AU410" i="5"/>
  <c r="H410" i="5"/>
  <c r="G410" i="5"/>
  <c r="BJ409" i="5"/>
  <c r="BI409" i="5"/>
  <c r="BH409" i="5"/>
  <c r="BG409" i="5"/>
  <c r="BF409" i="5"/>
  <c r="BE409" i="5"/>
  <c r="BD409" i="5"/>
  <c r="BC409" i="5"/>
  <c r="BB409" i="5"/>
  <c r="BA409" i="5"/>
  <c r="AZ409" i="5"/>
  <c r="AY409" i="5"/>
  <c r="AX409" i="5"/>
  <c r="AW409" i="5"/>
  <c r="AV409" i="5"/>
  <c r="AU409" i="5"/>
  <c r="H409" i="5"/>
  <c r="G409" i="5"/>
  <c r="BJ408" i="5"/>
  <c r="BI408" i="5"/>
  <c r="BH408" i="5"/>
  <c r="BG408" i="5"/>
  <c r="BF408" i="5"/>
  <c r="BE408" i="5"/>
  <c r="BD408" i="5"/>
  <c r="BC408" i="5"/>
  <c r="BB408" i="5"/>
  <c r="BA408" i="5"/>
  <c r="AZ408" i="5"/>
  <c r="AY408" i="5"/>
  <c r="AX408" i="5"/>
  <c r="AW408" i="5"/>
  <c r="AV408" i="5"/>
  <c r="AU408" i="5"/>
  <c r="H408" i="5"/>
  <c r="G408" i="5"/>
  <c r="BJ407" i="5"/>
  <c r="BI407" i="5"/>
  <c r="BH407" i="5"/>
  <c r="BG407" i="5"/>
  <c r="BF407" i="5"/>
  <c r="BE407" i="5"/>
  <c r="BD407" i="5"/>
  <c r="BC407" i="5"/>
  <c r="BB407" i="5"/>
  <c r="BA407" i="5"/>
  <c r="AZ407" i="5"/>
  <c r="AY407" i="5"/>
  <c r="AX407" i="5"/>
  <c r="AW407" i="5"/>
  <c r="AV407" i="5"/>
  <c r="AU407" i="5"/>
  <c r="H407" i="5"/>
  <c r="G407" i="5"/>
  <c r="BJ406" i="5"/>
  <c r="BI406" i="5"/>
  <c r="BH406" i="5"/>
  <c r="BG406" i="5"/>
  <c r="BF406" i="5"/>
  <c r="BE406" i="5"/>
  <c r="BD406" i="5"/>
  <c r="BC406" i="5"/>
  <c r="BB406" i="5"/>
  <c r="BA406" i="5"/>
  <c r="AZ406" i="5"/>
  <c r="AY406" i="5"/>
  <c r="AX406" i="5"/>
  <c r="AW406" i="5"/>
  <c r="AV406" i="5"/>
  <c r="AU406" i="5"/>
  <c r="H406" i="5"/>
  <c r="G406" i="5"/>
  <c r="BJ405" i="5"/>
  <c r="BI405" i="5"/>
  <c r="BH405" i="5"/>
  <c r="BG405" i="5"/>
  <c r="BF405" i="5"/>
  <c r="BE405" i="5"/>
  <c r="BD405" i="5"/>
  <c r="BC405" i="5"/>
  <c r="BB405" i="5"/>
  <c r="BA405" i="5"/>
  <c r="AZ405" i="5"/>
  <c r="AY405" i="5"/>
  <c r="AX405" i="5"/>
  <c r="AW405" i="5"/>
  <c r="AV405" i="5"/>
  <c r="AU405" i="5"/>
  <c r="H405" i="5"/>
  <c r="G405" i="5"/>
  <c r="BJ404" i="5"/>
  <c r="BI404" i="5"/>
  <c r="BH404" i="5"/>
  <c r="BG404" i="5"/>
  <c r="BF404" i="5"/>
  <c r="BE404" i="5"/>
  <c r="BD404" i="5"/>
  <c r="BC404" i="5"/>
  <c r="BB404" i="5"/>
  <c r="BA404" i="5"/>
  <c r="AZ404" i="5"/>
  <c r="AY404" i="5"/>
  <c r="AX404" i="5"/>
  <c r="AW404" i="5"/>
  <c r="AV404" i="5"/>
  <c r="AU404" i="5"/>
  <c r="H404" i="5"/>
  <c r="G404" i="5"/>
  <c r="BJ403" i="5"/>
  <c r="BI403" i="5"/>
  <c r="BH403" i="5"/>
  <c r="BG403" i="5"/>
  <c r="BF403" i="5"/>
  <c r="BE403" i="5"/>
  <c r="BD403" i="5"/>
  <c r="BC403" i="5"/>
  <c r="BB403" i="5"/>
  <c r="BA403" i="5"/>
  <c r="AZ403" i="5"/>
  <c r="AY403" i="5"/>
  <c r="AX403" i="5"/>
  <c r="AW403" i="5"/>
  <c r="AV403" i="5"/>
  <c r="AU403" i="5"/>
  <c r="H403" i="5"/>
  <c r="G403" i="5"/>
  <c r="BJ402" i="5"/>
  <c r="BI402" i="5"/>
  <c r="BH402" i="5"/>
  <c r="BG402" i="5"/>
  <c r="BF402" i="5"/>
  <c r="BE402" i="5"/>
  <c r="BD402" i="5"/>
  <c r="BC402" i="5"/>
  <c r="BB402" i="5"/>
  <c r="BA402" i="5"/>
  <c r="AZ402" i="5"/>
  <c r="AY402" i="5"/>
  <c r="AX402" i="5"/>
  <c r="AW402" i="5"/>
  <c r="AV402" i="5"/>
  <c r="AU402" i="5"/>
  <c r="H402" i="5"/>
  <c r="G402" i="5"/>
  <c r="BJ401" i="5"/>
  <c r="BI401" i="5"/>
  <c r="BH401" i="5"/>
  <c r="BG401" i="5"/>
  <c r="BF401" i="5"/>
  <c r="BE401" i="5"/>
  <c r="BD401" i="5"/>
  <c r="BC401" i="5"/>
  <c r="BB401" i="5"/>
  <c r="BA401" i="5"/>
  <c r="AZ401" i="5"/>
  <c r="AY401" i="5"/>
  <c r="AX401" i="5"/>
  <c r="AW401" i="5"/>
  <c r="AV401" i="5"/>
  <c r="AU401" i="5"/>
  <c r="H401" i="5"/>
  <c r="G401" i="5"/>
  <c r="BJ400" i="5"/>
  <c r="BI400" i="5"/>
  <c r="BH400" i="5"/>
  <c r="BG400" i="5"/>
  <c r="BF400" i="5"/>
  <c r="BE400" i="5"/>
  <c r="BD400" i="5"/>
  <c r="BC400" i="5"/>
  <c r="BB400" i="5"/>
  <c r="BA400" i="5"/>
  <c r="AZ400" i="5"/>
  <c r="AY400" i="5"/>
  <c r="AX400" i="5"/>
  <c r="AW400" i="5"/>
  <c r="AV400" i="5"/>
  <c r="AU400" i="5"/>
  <c r="H400" i="5"/>
  <c r="G400" i="5"/>
  <c r="BJ399" i="5"/>
  <c r="BI399" i="5"/>
  <c r="BH399" i="5"/>
  <c r="BG399" i="5"/>
  <c r="BF399" i="5"/>
  <c r="BE399" i="5"/>
  <c r="BD399" i="5"/>
  <c r="BC399" i="5"/>
  <c r="BB399" i="5"/>
  <c r="BA399" i="5"/>
  <c r="AZ399" i="5"/>
  <c r="AY399" i="5"/>
  <c r="AX399" i="5"/>
  <c r="AW399" i="5"/>
  <c r="AV399" i="5"/>
  <c r="AU399" i="5"/>
  <c r="H399" i="5"/>
  <c r="G399" i="5"/>
  <c r="BJ398" i="5"/>
  <c r="BI398" i="5"/>
  <c r="BH398" i="5"/>
  <c r="BG398" i="5"/>
  <c r="BF398" i="5"/>
  <c r="BE398" i="5"/>
  <c r="BD398" i="5"/>
  <c r="BC398" i="5"/>
  <c r="BB398" i="5"/>
  <c r="BA398" i="5"/>
  <c r="AZ398" i="5"/>
  <c r="AY398" i="5"/>
  <c r="AX398" i="5"/>
  <c r="AW398" i="5"/>
  <c r="AV398" i="5"/>
  <c r="AU398" i="5"/>
  <c r="H398" i="5"/>
  <c r="G398" i="5"/>
  <c r="BJ397" i="5"/>
  <c r="BI397" i="5"/>
  <c r="BH397" i="5"/>
  <c r="BG397" i="5"/>
  <c r="BF397" i="5"/>
  <c r="BE397" i="5"/>
  <c r="BD397" i="5"/>
  <c r="BC397" i="5"/>
  <c r="BB397" i="5"/>
  <c r="BA397" i="5"/>
  <c r="AZ397" i="5"/>
  <c r="AY397" i="5"/>
  <c r="AX397" i="5"/>
  <c r="AW397" i="5"/>
  <c r="AV397" i="5"/>
  <c r="AU397" i="5"/>
  <c r="H397" i="5"/>
  <c r="G397" i="5"/>
  <c r="BJ396" i="5"/>
  <c r="BI396" i="5"/>
  <c r="BH396" i="5"/>
  <c r="BG396" i="5"/>
  <c r="BF396" i="5"/>
  <c r="BE396" i="5"/>
  <c r="BD396" i="5"/>
  <c r="BC396" i="5"/>
  <c r="BB396" i="5"/>
  <c r="BA396" i="5"/>
  <c r="AZ396" i="5"/>
  <c r="AY396" i="5"/>
  <c r="AX396" i="5"/>
  <c r="AW396" i="5"/>
  <c r="AV396" i="5"/>
  <c r="AU396" i="5"/>
  <c r="H396" i="5"/>
  <c r="G396" i="5"/>
  <c r="BJ395" i="5"/>
  <c r="BI395" i="5"/>
  <c r="BH395" i="5"/>
  <c r="BG395" i="5"/>
  <c r="BF395" i="5"/>
  <c r="BE395" i="5"/>
  <c r="BD395" i="5"/>
  <c r="BC395" i="5"/>
  <c r="BB395" i="5"/>
  <c r="BA395" i="5"/>
  <c r="AZ395" i="5"/>
  <c r="AY395" i="5"/>
  <c r="AX395" i="5"/>
  <c r="AW395" i="5"/>
  <c r="AV395" i="5"/>
  <c r="AU395" i="5"/>
  <c r="H395" i="5"/>
  <c r="G395" i="5"/>
  <c r="BJ394" i="5"/>
  <c r="BI394" i="5"/>
  <c r="BH394" i="5"/>
  <c r="BG394" i="5"/>
  <c r="BF394" i="5"/>
  <c r="BE394" i="5"/>
  <c r="BD394" i="5"/>
  <c r="BC394" i="5"/>
  <c r="BB394" i="5"/>
  <c r="BA394" i="5"/>
  <c r="AZ394" i="5"/>
  <c r="AY394" i="5"/>
  <c r="AX394" i="5"/>
  <c r="AW394" i="5"/>
  <c r="AV394" i="5"/>
  <c r="AU394" i="5"/>
  <c r="H394" i="5"/>
  <c r="G394" i="5"/>
  <c r="BJ393" i="5"/>
  <c r="BI393" i="5"/>
  <c r="BH393" i="5"/>
  <c r="BG393" i="5"/>
  <c r="BF393" i="5"/>
  <c r="BE393" i="5"/>
  <c r="BD393" i="5"/>
  <c r="BC393" i="5"/>
  <c r="BB393" i="5"/>
  <c r="BA393" i="5"/>
  <c r="AZ393" i="5"/>
  <c r="AY393" i="5"/>
  <c r="AX393" i="5"/>
  <c r="AW393" i="5"/>
  <c r="AV393" i="5"/>
  <c r="AU393" i="5"/>
  <c r="H393" i="5"/>
  <c r="G393" i="5"/>
  <c r="BJ392" i="5"/>
  <c r="BI392" i="5"/>
  <c r="BH392" i="5"/>
  <c r="BG392" i="5"/>
  <c r="BF392" i="5"/>
  <c r="BE392" i="5"/>
  <c r="BD392" i="5"/>
  <c r="BC392" i="5"/>
  <c r="BB392" i="5"/>
  <c r="BA392" i="5"/>
  <c r="AZ392" i="5"/>
  <c r="AY392" i="5"/>
  <c r="AX392" i="5"/>
  <c r="AW392" i="5"/>
  <c r="AV392" i="5"/>
  <c r="AU392" i="5"/>
  <c r="H392" i="5"/>
  <c r="G392" i="5"/>
  <c r="BJ391" i="5"/>
  <c r="BI391" i="5"/>
  <c r="BH391" i="5"/>
  <c r="BG391" i="5"/>
  <c r="BF391" i="5"/>
  <c r="BE391" i="5"/>
  <c r="BD391" i="5"/>
  <c r="BC391" i="5"/>
  <c r="BB391" i="5"/>
  <c r="BA391" i="5"/>
  <c r="AZ391" i="5"/>
  <c r="AY391" i="5"/>
  <c r="AX391" i="5"/>
  <c r="AW391" i="5"/>
  <c r="AV391" i="5"/>
  <c r="AU391" i="5"/>
  <c r="H391" i="5"/>
  <c r="G391" i="5"/>
  <c r="BJ390" i="5"/>
  <c r="BI390" i="5"/>
  <c r="BH390" i="5"/>
  <c r="BG390" i="5"/>
  <c r="BF390" i="5"/>
  <c r="BE390" i="5"/>
  <c r="BD390" i="5"/>
  <c r="BC390" i="5"/>
  <c r="BB390" i="5"/>
  <c r="BA390" i="5"/>
  <c r="AZ390" i="5"/>
  <c r="AY390" i="5"/>
  <c r="AX390" i="5"/>
  <c r="AW390" i="5"/>
  <c r="AV390" i="5"/>
  <c r="AU390" i="5"/>
  <c r="H390" i="5"/>
  <c r="G390" i="5"/>
  <c r="BJ389" i="5"/>
  <c r="BI389" i="5"/>
  <c r="BH389" i="5"/>
  <c r="BG389" i="5"/>
  <c r="BF389" i="5"/>
  <c r="BE389" i="5"/>
  <c r="BD389" i="5"/>
  <c r="BC389" i="5"/>
  <c r="BB389" i="5"/>
  <c r="BA389" i="5"/>
  <c r="AZ389" i="5"/>
  <c r="AY389" i="5"/>
  <c r="AX389" i="5"/>
  <c r="AW389" i="5"/>
  <c r="AV389" i="5"/>
  <c r="AU389" i="5"/>
  <c r="H389" i="5"/>
  <c r="G389" i="5"/>
  <c r="BJ388" i="5"/>
  <c r="BI388" i="5"/>
  <c r="BH388" i="5"/>
  <c r="BG388" i="5"/>
  <c r="BF388" i="5"/>
  <c r="BE388" i="5"/>
  <c r="BD388" i="5"/>
  <c r="BC388" i="5"/>
  <c r="BB388" i="5"/>
  <c r="BA388" i="5"/>
  <c r="AZ388" i="5"/>
  <c r="AY388" i="5"/>
  <c r="AX388" i="5"/>
  <c r="AW388" i="5"/>
  <c r="AV388" i="5"/>
  <c r="AU388" i="5"/>
  <c r="H388" i="5"/>
  <c r="G388" i="5"/>
  <c r="BJ387" i="5"/>
  <c r="BI387" i="5"/>
  <c r="BH387" i="5"/>
  <c r="BG387" i="5"/>
  <c r="BF387" i="5"/>
  <c r="BE387" i="5"/>
  <c r="BD387" i="5"/>
  <c r="BC387" i="5"/>
  <c r="BB387" i="5"/>
  <c r="BA387" i="5"/>
  <c r="AZ387" i="5"/>
  <c r="AY387" i="5"/>
  <c r="AX387" i="5"/>
  <c r="AW387" i="5"/>
  <c r="AV387" i="5"/>
  <c r="AU387" i="5"/>
  <c r="H387" i="5"/>
  <c r="G387" i="5"/>
  <c r="BJ386" i="5"/>
  <c r="BI386" i="5"/>
  <c r="BH386" i="5"/>
  <c r="BG386" i="5"/>
  <c r="BF386" i="5"/>
  <c r="BE386" i="5"/>
  <c r="BD386" i="5"/>
  <c r="BC386" i="5"/>
  <c r="BB386" i="5"/>
  <c r="BA386" i="5"/>
  <c r="AZ386" i="5"/>
  <c r="AY386" i="5"/>
  <c r="AX386" i="5"/>
  <c r="AW386" i="5"/>
  <c r="AV386" i="5"/>
  <c r="AU386" i="5"/>
  <c r="H386" i="5"/>
  <c r="G386" i="5"/>
  <c r="BJ385" i="5"/>
  <c r="BI385" i="5"/>
  <c r="BH385" i="5"/>
  <c r="BG385" i="5"/>
  <c r="BF385" i="5"/>
  <c r="BE385" i="5"/>
  <c r="BD385" i="5"/>
  <c r="BC385" i="5"/>
  <c r="BB385" i="5"/>
  <c r="BA385" i="5"/>
  <c r="AZ385" i="5"/>
  <c r="AY385" i="5"/>
  <c r="AX385" i="5"/>
  <c r="AW385" i="5"/>
  <c r="AV385" i="5"/>
  <c r="AU385" i="5"/>
  <c r="H385" i="5"/>
  <c r="G385" i="5"/>
  <c r="BJ384" i="5"/>
  <c r="BI384" i="5"/>
  <c r="BH384" i="5"/>
  <c r="BG384" i="5"/>
  <c r="BF384" i="5"/>
  <c r="BE384" i="5"/>
  <c r="BD384" i="5"/>
  <c r="BC384" i="5"/>
  <c r="BB384" i="5"/>
  <c r="BA384" i="5"/>
  <c r="AZ384" i="5"/>
  <c r="AY384" i="5"/>
  <c r="AX384" i="5"/>
  <c r="AW384" i="5"/>
  <c r="AV384" i="5"/>
  <c r="AU384" i="5"/>
  <c r="H384" i="5"/>
  <c r="G384" i="5"/>
  <c r="BJ383" i="5"/>
  <c r="BI383" i="5"/>
  <c r="BH383" i="5"/>
  <c r="BG383" i="5"/>
  <c r="BF383" i="5"/>
  <c r="BE383" i="5"/>
  <c r="BD383" i="5"/>
  <c r="BC383" i="5"/>
  <c r="BB383" i="5"/>
  <c r="BA383" i="5"/>
  <c r="AZ383" i="5"/>
  <c r="AY383" i="5"/>
  <c r="AX383" i="5"/>
  <c r="AW383" i="5"/>
  <c r="AV383" i="5"/>
  <c r="AU383" i="5"/>
  <c r="H383" i="5"/>
  <c r="G383" i="5"/>
  <c r="BJ382" i="5"/>
  <c r="BI382" i="5"/>
  <c r="BH382" i="5"/>
  <c r="BG382" i="5"/>
  <c r="BF382" i="5"/>
  <c r="BE382" i="5"/>
  <c r="BD382" i="5"/>
  <c r="BC382" i="5"/>
  <c r="BB382" i="5"/>
  <c r="BA382" i="5"/>
  <c r="AZ382" i="5"/>
  <c r="AY382" i="5"/>
  <c r="AX382" i="5"/>
  <c r="AW382" i="5"/>
  <c r="AV382" i="5"/>
  <c r="AU382" i="5"/>
  <c r="H382" i="5"/>
  <c r="G382" i="5"/>
  <c r="BJ381" i="5"/>
  <c r="BI381" i="5"/>
  <c r="BH381" i="5"/>
  <c r="BG381" i="5"/>
  <c r="BF381" i="5"/>
  <c r="BE381" i="5"/>
  <c r="BD381" i="5"/>
  <c r="BC381" i="5"/>
  <c r="BB381" i="5"/>
  <c r="BA381" i="5"/>
  <c r="AZ381" i="5"/>
  <c r="AY381" i="5"/>
  <c r="AX381" i="5"/>
  <c r="AW381" i="5"/>
  <c r="AV381" i="5"/>
  <c r="AU381" i="5"/>
  <c r="H381" i="5"/>
  <c r="G381" i="5"/>
  <c r="BJ380" i="5"/>
  <c r="BI380" i="5"/>
  <c r="BH380" i="5"/>
  <c r="BG380" i="5"/>
  <c r="BF380" i="5"/>
  <c r="BE380" i="5"/>
  <c r="BD380" i="5"/>
  <c r="BC380" i="5"/>
  <c r="BB380" i="5"/>
  <c r="BA380" i="5"/>
  <c r="AZ380" i="5"/>
  <c r="AY380" i="5"/>
  <c r="AX380" i="5"/>
  <c r="AW380" i="5"/>
  <c r="AV380" i="5"/>
  <c r="AU380" i="5"/>
  <c r="H380" i="5"/>
  <c r="G380" i="5"/>
  <c r="BJ379" i="5"/>
  <c r="BI379" i="5"/>
  <c r="BH379" i="5"/>
  <c r="BG379" i="5"/>
  <c r="BF379" i="5"/>
  <c r="BE379" i="5"/>
  <c r="BD379" i="5"/>
  <c r="BC379" i="5"/>
  <c r="BB379" i="5"/>
  <c r="BA379" i="5"/>
  <c r="AZ379" i="5"/>
  <c r="AY379" i="5"/>
  <c r="AX379" i="5"/>
  <c r="AW379" i="5"/>
  <c r="AV379" i="5"/>
  <c r="AU379" i="5"/>
  <c r="H379" i="5"/>
  <c r="G379" i="5"/>
  <c r="BJ378" i="5"/>
  <c r="BI378" i="5"/>
  <c r="BH378" i="5"/>
  <c r="BG378" i="5"/>
  <c r="BF378" i="5"/>
  <c r="BE378" i="5"/>
  <c r="BD378" i="5"/>
  <c r="BC378" i="5"/>
  <c r="BB378" i="5"/>
  <c r="BA378" i="5"/>
  <c r="AZ378" i="5"/>
  <c r="AY378" i="5"/>
  <c r="AX378" i="5"/>
  <c r="AW378" i="5"/>
  <c r="AV378" i="5"/>
  <c r="AU378" i="5"/>
  <c r="H378" i="5"/>
  <c r="G378" i="5"/>
  <c r="BJ377" i="5"/>
  <c r="BI377" i="5"/>
  <c r="BH377" i="5"/>
  <c r="BG377" i="5"/>
  <c r="BF377" i="5"/>
  <c r="BE377" i="5"/>
  <c r="BD377" i="5"/>
  <c r="BC377" i="5"/>
  <c r="BB377" i="5"/>
  <c r="BA377" i="5"/>
  <c r="AZ377" i="5"/>
  <c r="AY377" i="5"/>
  <c r="AX377" i="5"/>
  <c r="AW377" i="5"/>
  <c r="AV377" i="5"/>
  <c r="AU377" i="5"/>
  <c r="H377" i="5"/>
  <c r="G377" i="5"/>
  <c r="BJ376" i="5"/>
  <c r="BI376" i="5"/>
  <c r="BH376" i="5"/>
  <c r="BG376" i="5"/>
  <c r="BF376" i="5"/>
  <c r="BE376" i="5"/>
  <c r="BD376" i="5"/>
  <c r="BC376" i="5"/>
  <c r="BB376" i="5"/>
  <c r="BA376" i="5"/>
  <c r="AZ376" i="5"/>
  <c r="AY376" i="5"/>
  <c r="AX376" i="5"/>
  <c r="AW376" i="5"/>
  <c r="AV376" i="5"/>
  <c r="AU376" i="5"/>
  <c r="H376" i="5"/>
  <c r="G376" i="5"/>
  <c r="BJ375" i="5"/>
  <c r="BI375" i="5"/>
  <c r="BH375" i="5"/>
  <c r="BG375" i="5"/>
  <c r="BF375" i="5"/>
  <c r="BE375" i="5"/>
  <c r="BD375" i="5"/>
  <c r="BC375" i="5"/>
  <c r="BB375" i="5"/>
  <c r="BA375" i="5"/>
  <c r="AZ375" i="5"/>
  <c r="AY375" i="5"/>
  <c r="AX375" i="5"/>
  <c r="AW375" i="5"/>
  <c r="AV375" i="5"/>
  <c r="AU375" i="5"/>
  <c r="H375" i="5"/>
  <c r="G375" i="5"/>
  <c r="BJ374" i="5"/>
  <c r="BI374" i="5"/>
  <c r="BH374" i="5"/>
  <c r="BG374" i="5"/>
  <c r="BF374" i="5"/>
  <c r="BE374" i="5"/>
  <c r="BD374" i="5"/>
  <c r="BC374" i="5"/>
  <c r="BB374" i="5"/>
  <c r="BA374" i="5"/>
  <c r="AZ374" i="5"/>
  <c r="AY374" i="5"/>
  <c r="AX374" i="5"/>
  <c r="AW374" i="5"/>
  <c r="AV374" i="5"/>
  <c r="AU374" i="5"/>
  <c r="H374" i="5"/>
  <c r="G374" i="5"/>
  <c r="BJ373" i="5"/>
  <c r="BI373" i="5"/>
  <c r="BH373" i="5"/>
  <c r="BG373" i="5"/>
  <c r="BF373" i="5"/>
  <c r="BE373" i="5"/>
  <c r="BD373" i="5"/>
  <c r="BC373" i="5"/>
  <c r="BB373" i="5"/>
  <c r="BA373" i="5"/>
  <c r="AZ373" i="5"/>
  <c r="AY373" i="5"/>
  <c r="AX373" i="5"/>
  <c r="AW373" i="5"/>
  <c r="AV373" i="5"/>
  <c r="AU373" i="5"/>
  <c r="H373" i="5"/>
  <c r="G373" i="5"/>
  <c r="BJ372" i="5"/>
  <c r="BI372" i="5"/>
  <c r="BH372" i="5"/>
  <c r="BG372" i="5"/>
  <c r="BF372" i="5"/>
  <c r="BE372" i="5"/>
  <c r="BD372" i="5"/>
  <c r="BC372" i="5"/>
  <c r="BB372" i="5"/>
  <c r="BA372" i="5"/>
  <c r="AZ372" i="5"/>
  <c r="AY372" i="5"/>
  <c r="AX372" i="5"/>
  <c r="AW372" i="5"/>
  <c r="AV372" i="5"/>
  <c r="AU372" i="5"/>
  <c r="H372" i="5"/>
  <c r="G372" i="5"/>
  <c r="BJ371" i="5"/>
  <c r="BI371" i="5"/>
  <c r="BH371" i="5"/>
  <c r="BG371" i="5"/>
  <c r="BF371" i="5"/>
  <c r="BE371" i="5"/>
  <c r="BD371" i="5"/>
  <c r="BC371" i="5"/>
  <c r="BB371" i="5"/>
  <c r="BA371" i="5"/>
  <c r="AZ371" i="5"/>
  <c r="AY371" i="5"/>
  <c r="AX371" i="5"/>
  <c r="AW371" i="5"/>
  <c r="AV371" i="5"/>
  <c r="AU371" i="5"/>
  <c r="H371" i="5"/>
  <c r="G371" i="5"/>
  <c r="BJ370" i="5"/>
  <c r="BI370" i="5"/>
  <c r="BH370" i="5"/>
  <c r="BG370" i="5"/>
  <c r="BF370" i="5"/>
  <c r="BE370" i="5"/>
  <c r="BD370" i="5"/>
  <c r="BC370" i="5"/>
  <c r="BB370" i="5"/>
  <c r="BA370" i="5"/>
  <c r="AZ370" i="5"/>
  <c r="AY370" i="5"/>
  <c r="AX370" i="5"/>
  <c r="AW370" i="5"/>
  <c r="AV370" i="5"/>
  <c r="AU370" i="5"/>
  <c r="H370" i="5"/>
  <c r="G370" i="5"/>
  <c r="BJ369" i="5"/>
  <c r="BI369" i="5"/>
  <c r="BH369" i="5"/>
  <c r="BG369" i="5"/>
  <c r="BF369" i="5"/>
  <c r="BE369" i="5"/>
  <c r="BD369" i="5"/>
  <c r="BC369" i="5"/>
  <c r="BB369" i="5"/>
  <c r="BA369" i="5"/>
  <c r="AZ369" i="5"/>
  <c r="AY369" i="5"/>
  <c r="AX369" i="5"/>
  <c r="AW369" i="5"/>
  <c r="AV369" i="5"/>
  <c r="AU369" i="5"/>
  <c r="H369" i="5"/>
  <c r="G369" i="5"/>
  <c r="BJ368" i="5"/>
  <c r="BI368" i="5"/>
  <c r="BH368" i="5"/>
  <c r="BG368" i="5"/>
  <c r="BF368" i="5"/>
  <c r="BE368" i="5"/>
  <c r="BD368" i="5"/>
  <c r="BC368" i="5"/>
  <c r="BB368" i="5"/>
  <c r="BA368" i="5"/>
  <c r="AZ368" i="5"/>
  <c r="AY368" i="5"/>
  <c r="AX368" i="5"/>
  <c r="AW368" i="5"/>
  <c r="AV368" i="5"/>
  <c r="AU368" i="5"/>
  <c r="H368" i="5"/>
  <c r="G368" i="5"/>
  <c r="BJ367" i="5"/>
  <c r="BI367" i="5"/>
  <c r="BH367" i="5"/>
  <c r="BG367" i="5"/>
  <c r="BF367" i="5"/>
  <c r="BE367" i="5"/>
  <c r="BD367" i="5"/>
  <c r="BC367" i="5"/>
  <c r="BB367" i="5"/>
  <c r="BA367" i="5"/>
  <c r="AZ367" i="5"/>
  <c r="AY367" i="5"/>
  <c r="AX367" i="5"/>
  <c r="AW367" i="5"/>
  <c r="AV367" i="5"/>
  <c r="AU367" i="5"/>
  <c r="H367" i="5"/>
  <c r="G367" i="5"/>
  <c r="BJ366" i="5"/>
  <c r="BI366" i="5"/>
  <c r="BH366" i="5"/>
  <c r="BG366" i="5"/>
  <c r="BF366" i="5"/>
  <c r="BE366" i="5"/>
  <c r="BD366" i="5"/>
  <c r="BC366" i="5"/>
  <c r="BB366" i="5"/>
  <c r="BA366" i="5"/>
  <c r="AZ366" i="5"/>
  <c r="AY366" i="5"/>
  <c r="AX366" i="5"/>
  <c r="AW366" i="5"/>
  <c r="AV366" i="5"/>
  <c r="AU366" i="5"/>
  <c r="H366" i="5"/>
  <c r="G366" i="5"/>
  <c r="BJ365" i="5"/>
  <c r="BI365" i="5"/>
  <c r="BH365" i="5"/>
  <c r="BG365" i="5"/>
  <c r="BF365" i="5"/>
  <c r="BE365" i="5"/>
  <c r="BD365" i="5"/>
  <c r="BC365" i="5"/>
  <c r="BB365" i="5"/>
  <c r="BA365" i="5"/>
  <c r="AZ365" i="5"/>
  <c r="AY365" i="5"/>
  <c r="AX365" i="5"/>
  <c r="AW365" i="5"/>
  <c r="AV365" i="5"/>
  <c r="AU365" i="5"/>
  <c r="H365" i="5"/>
  <c r="G365" i="5"/>
  <c r="BJ364" i="5"/>
  <c r="BI364" i="5"/>
  <c r="BH364" i="5"/>
  <c r="BG364" i="5"/>
  <c r="BF364" i="5"/>
  <c r="BE364" i="5"/>
  <c r="BD364" i="5"/>
  <c r="BC364" i="5"/>
  <c r="BB364" i="5"/>
  <c r="BA364" i="5"/>
  <c r="AZ364" i="5"/>
  <c r="AY364" i="5"/>
  <c r="AX364" i="5"/>
  <c r="AW364" i="5"/>
  <c r="AV364" i="5"/>
  <c r="AU364" i="5"/>
  <c r="H364" i="5"/>
  <c r="G364" i="5"/>
  <c r="BJ363" i="5"/>
  <c r="BI363" i="5"/>
  <c r="BH363" i="5"/>
  <c r="BG363" i="5"/>
  <c r="BF363" i="5"/>
  <c r="BE363" i="5"/>
  <c r="BD363" i="5"/>
  <c r="BC363" i="5"/>
  <c r="BB363" i="5"/>
  <c r="BA363" i="5"/>
  <c r="AZ363" i="5"/>
  <c r="AY363" i="5"/>
  <c r="AX363" i="5"/>
  <c r="AW363" i="5"/>
  <c r="AV363" i="5"/>
  <c r="AU363" i="5"/>
  <c r="H363" i="5"/>
  <c r="G363" i="5"/>
  <c r="BJ362" i="5"/>
  <c r="BI362" i="5"/>
  <c r="BH362" i="5"/>
  <c r="BG362" i="5"/>
  <c r="BF362" i="5"/>
  <c r="BE362" i="5"/>
  <c r="BD362" i="5"/>
  <c r="BC362" i="5"/>
  <c r="BB362" i="5"/>
  <c r="BA362" i="5"/>
  <c r="AZ362" i="5"/>
  <c r="AY362" i="5"/>
  <c r="AX362" i="5"/>
  <c r="AW362" i="5"/>
  <c r="AV362" i="5"/>
  <c r="AU362" i="5"/>
  <c r="H362" i="5"/>
  <c r="G362" i="5"/>
  <c r="BJ361" i="5"/>
  <c r="BI361" i="5"/>
  <c r="BH361" i="5"/>
  <c r="BG361" i="5"/>
  <c r="BF361" i="5"/>
  <c r="BE361" i="5"/>
  <c r="BD361" i="5"/>
  <c r="BC361" i="5"/>
  <c r="BB361" i="5"/>
  <c r="BA361" i="5"/>
  <c r="AZ361" i="5"/>
  <c r="AY361" i="5"/>
  <c r="AX361" i="5"/>
  <c r="AW361" i="5"/>
  <c r="AV361" i="5"/>
  <c r="AU361" i="5"/>
  <c r="H361" i="5"/>
  <c r="G361" i="5"/>
  <c r="BJ360" i="5"/>
  <c r="BI360" i="5"/>
  <c r="BH360" i="5"/>
  <c r="BG360" i="5"/>
  <c r="BF360" i="5"/>
  <c r="BE360" i="5"/>
  <c r="BD360" i="5"/>
  <c r="BC360" i="5"/>
  <c r="BB360" i="5"/>
  <c r="BA360" i="5"/>
  <c r="AZ360" i="5"/>
  <c r="AY360" i="5"/>
  <c r="AX360" i="5"/>
  <c r="AW360" i="5"/>
  <c r="AV360" i="5"/>
  <c r="AU360" i="5"/>
  <c r="H360" i="5"/>
  <c r="G360" i="5"/>
  <c r="BJ359" i="5"/>
  <c r="BI359" i="5"/>
  <c r="BH359" i="5"/>
  <c r="BG359" i="5"/>
  <c r="BF359" i="5"/>
  <c r="BE359" i="5"/>
  <c r="BD359" i="5"/>
  <c r="BC359" i="5"/>
  <c r="BB359" i="5"/>
  <c r="BA359" i="5"/>
  <c r="AZ359" i="5"/>
  <c r="AY359" i="5"/>
  <c r="AX359" i="5"/>
  <c r="AW359" i="5"/>
  <c r="AV359" i="5"/>
  <c r="AU359" i="5"/>
  <c r="H359" i="5"/>
  <c r="G359" i="5"/>
  <c r="BJ358" i="5"/>
  <c r="BI358" i="5"/>
  <c r="BH358" i="5"/>
  <c r="BG358" i="5"/>
  <c r="BF358" i="5"/>
  <c r="BE358" i="5"/>
  <c r="BD358" i="5"/>
  <c r="BC358" i="5"/>
  <c r="BB358" i="5"/>
  <c r="BA358" i="5"/>
  <c r="AZ358" i="5"/>
  <c r="AY358" i="5"/>
  <c r="AX358" i="5"/>
  <c r="AW358" i="5"/>
  <c r="AV358" i="5"/>
  <c r="AU358" i="5"/>
  <c r="H358" i="5"/>
  <c r="G358" i="5"/>
  <c r="BJ357" i="5"/>
  <c r="BI357" i="5"/>
  <c r="BH357" i="5"/>
  <c r="BG357" i="5"/>
  <c r="BF357" i="5"/>
  <c r="BE357" i="5"/>
  <c r="BD357" i="5"/>
  <c r="BC357" i="5"/>
  <c r="BB357" i="5"/>
  <c r="BA357" i="5"/>
  <c r="AZ357" i="5"/>
  <c r="AY357" i="5"/>
  <c r="AX357" i="5"/>
  <c r="AW357" i="5"/>
  <c r="AV357" i="5"/>
  <c r="AU357" i="5"/>
  <c r="H357" i="5"/>
  <c r="G357" i="5"/>
  <c r="BJ356" i="5"/>
  <c r="BI356" i="5"/>
  <c r="BH356" i="5"/>
  <c r="BG356" i="5"/>
  <c r="BF356" i="5"/>
  <c r="BE356" i="5"/>
  <c r="BD356" i="5"/>
  <c r="BC356" i="5"/>
  <c r="BB356" i="5"/>
  <c r="BA356" i="5"/>
  <c r="AZ356" i="5"/>
  <c r="AY356" i="5"/>
  <c r="AX356" i="5"/>
  <c r="AW356" i="5"/>
  <c r="AV356" i="5"/>
  <c r="AU356" i="5"/>
  <c r="H356" i="5"/>
  <c r="G356" i="5"/>
  <c r="BJ355" i="5"/>
  <c r="BI355" i="5"/>
  <c r="BH355" i="5"/>
  <c r="BG355" i="5"/>
  <c r="BF355" i="5"/>
  <c r="BE355" i="5"/>
  <c r="BD355" i="5"/>
  <c r="BC355" i="5"/>
  <c r="BB355" i="5"/>
  <c r="BA355" i="5"/>
  <c r="AZ355" i="5"/>
  <c r="AY355" i="5"/>
  <c r="AX355" i="5"/>
  <c r="AW355" i="5"/>
  <c r="AV355" i="5"/>
  <c r="AU355" i="5"/>
  <c r="H355" i="5"/>
  <c r="G355" i="5"/>
  <c r="BJ354" i="5"/>
  <c r="BI354" i="5"/>
  <c r="BH354" i="5"/>
  <c r="BG354" i="5"/>
  <c r="BF354" i="5"/>
  <c r="BE354" i="5"/>
  <c r="BD354" i="5"/>
  <c r="BC354" i="5"/>
  <c r="BB354" i="5"/>
  <c r="BA354" i="5"/>
  <c r="AZ354" i="5"/>
  <c r="AY354" i="5"/>
  <c r="AX354" i="5"/>
  <c r="AW354" i="5"/>
  <c r="AV354" i="5"/>
  <c r="AU354" i="5"/>
  <c r="H354" i="5"/>
  <c r="G354" i="5"/>
  <c r="BJ353" i="5"/>
  <c r="BI353" i="5"/>
  <c r="BH353" i="5"/>
  <c r="BG353" i="5"/>
  <c r="BF353" i="5"/>
  <c r="BE353" i="5"/>
  <c r="BD353" i="5"/>
  <c r="BC353" i="5"/>
  <c r="BB353" i="5"/>
  <c r="BA353" i="5"/>
  <c r="AZ353" i="5"/>
  <c r="AY353" i="5"/>
  <c r="AX353" i="5"/>
  <c r="AW353" i="5"/>
  <c r="AV353" i="5"/>
  <c r="AU353" i="5"/>
  <c r="H353" i="5"/>
  <c r="G353" i="5"/>
  <c r="BJ352" i="5"/>
  <c r="BI352" i="5"/>
  <c r="BH352" i="5"/>
  <c r="BG352" i="5"/>
  <c r="BF352" i="5"/>
  <c r="BE352" i="5"/>
  <c r="BD352" i="5"/>
  <c r="BC352" i="5"/>
  <c r="BB352" i="5"/>
  <c r="BA352" i="5"/>
  <c r="AZ352" i="5"/>
  <c r="AY352" i="5"/>
  <c r="AX352" i="5"/>
  <c r="AW352" i="5"/>
  <c r="AV352" i="5"/>
  <c r="AU352" i="5"/>
  <c r="H352" i="5"/>
  <c r="G352" i="5"/>
  <c r="BJ351" i="5"/>
  <c r="BI351" i="5"/>
  <c r="BH351" i="5"/>
  <c r="BG351" i="5"/>
  <c r="BF351" i="5"/>
  <c r="BE351" i="5"/>
  <c r="BD351" i="5"/>
  <c r="BC351" i="5"/>
  <c r="BB351" i="5"/>
  <c r="BA351" i="5"/>
  <c r="AZ351" i="5"/>
  <c r="AY351" i="5"/>
  <c r="AX351" i="5"/>
  <c r="AW351" i="5"/>
  <c r="AV351" i="5"/>
  <c r="AU351" i="5"/>
  <c r="H351" i="5"/>
  <c r="G351" i="5"/>
  <c r="BJ350" i="5"/>
  <c r="BI350" i="5"/>
  <c r="BH350" i="5"/>
  <c r="BG350" i="5"/>
  <c r="BF350" i="5"/>
  <c r="BE350" i="5"/>
  <c r="BD350" i="5"/>
  <c r="BC350" i="5"/>
  <c r="BB350" i="5"/>
  <c r="BA350" i="5"/>
  <c r="AZ350" i="5"/>
  <c r="AY350" i="5"/>
  <c r="AX350" i="5"/>
  <c r="AW350" i="5"/>
  <c r="AV350" i="5"/>
  <c r="AU350" i="5"/>
  <c r="H350" i="5"/>
  <c r="G350" i="5"/>
  <c r="BJ349" i="5"/>
  <c r="BI349" i="5"/>
  <c r="BH349" i="5"/>
  <c r="BG349" i="5"/>
  <c r="BF349" i="5"/>
  <c r="BE349" i="5"/>
  <c r="BD349" i="5"/>
  <c r="BC349" i="5"/>
  <c r="BB349" i="5"/>
  <c r="BA349" i="5"/>
  <c r="AZ349" i="5"/>
  <c r="AY349" i="5"/>
  <c r="AX349" i="5"/>
  <c r="AW349" i="5"/>
  <c r="AV349" i="5"/>
  <c r="AU349" i="5"/>
  <c r="H349" i="5"/>
  <c r="G349" i="5"/>
  <c r="BJ348" i="5"/>
  <c r="BI348" i="5"/>
  <c r="BH348" i="5"/>
  <c r="BG348" i="5"/>
  <c r="BF348" i="5"/>
  <c r="BE348" i="5"/>
  <c r="BD348" i="5"/>
  <c r="BC348" i="5"/>
  <c r="BB348" i="5"/>
  <c r="BA348" i="5"/>
  <c r="AZ348" i="5"/>
  <c r="AY348" i="5"/>
  <c r="AX348" i="5"/>
  <c r="AW348" i="5"/>
  <c r="AV348" i="5"/>
  <c r="AU348" i="5"/>
  <c r="H348" i="5"/>
  <c r="G348" i="5"/>
  <c r="BJ347" i="5"/>
  <c r="BI347" i="5"/>
  <c r="BH347" i="5"/>
  <c r="BG347" i="5"/>
  <c r="BF347" i="5"/>
  <c r="BE347" i="5"/>
  <c r="BD347" i="5"/>
  <c r="BC347" i="5"/>
  <c r="BB347" i="5"/>
  <c r="BA347" i="5"/>
  <c r="AZ347" i="5"/>
  <c r="AY347" i="5"/>
  <c r="AX347" i="5"/>
  <c r="AW347" i="5"/>
  <c r="AV347" i="5"/>
  <c r="AU347" i="5"/>
  <c r="H347" i="5"/>
  <c r="G347" i="5"/>
  <c r="BJ346" i="5"/>
  <c r="BI346" i="5"/>
  <c r="BH346" i="5"/>
  <c r="BG346" i="5"/>
  <c r="BF346" i="5"/>
  <c r="BE346" i="5"/>
  <c r="BD346" i="5"/>
  <c r="BC346" i="5"/>
  <c r="BB346" i="5"/>
  <c r="BA346" i="5"/>
  <c r="AZ346" i="5"/>
  <c r="AY346" i="5"/>
  <c r="AX346" i="5"/>
  <c r="AW346" i="5"/>
  <c r="AV346" i="5"/>
  <c r="AU346" i="5"/>
  <c r="H346" i="5"/>
  <c r="G346" i="5"/>
  <c r="BJ345" i="5"/>
  <c r="BI345" i="5"/>
  <c r="BH345" i="5"/>
  <c r="BG345" i="5"/>
  <c r="BF345" i="5"/>
  <c r="BE345" i="5"/>
  <c r="BD345" i="5"/>
  <c r="BC345" i="5"/>
  <c r="BB345" i="5"/>
  <c r="BA345" i="5"/>
  <c r="AZ345" i="5"/>
  <c r="AY345" i="5"/>
  <c r="AX345" i="5"/>
  <c r="AW345" i="5"/>
  <c r="AV345" i="5"/>
  <c r="AU345" i="5"/>
  <c r="H345" i="5"/>
  <c r="G345" i="5"/>
  <c r="BJ344" i="5"/>
  <c r="BI344" i="5"/>
  <c r="BH344" i="5"/>
  <c r="BG344" i="5"/>
  <c r="BF344" i="5"/>
  <c r="BE344" i="5"/>
  <c r="BD344" i="5"/>
  <c r="BC344" i="5"/>
  <c r="BB344" i="5"/>
  <c r="BA344" i="5"/>
  <c r="AZ344" i="5"/>
  <c r="AY344" i="5"/>
  <c r="AX344" i="5"/>
  <c r="AW344" i="5"/>
  <c r="AV344" i="5"/>
  <c r="AU344" i="5"/>
  <c r="H344" i="5"/>
  <c r="G344" i="5"/>
  <c r="BJ343" i="5"/>
  <c r="BI343" i="5"/>
  <c r="BH343" i="5"/>
  <c r="BG343" i="5"/>
  <c r="BF343" i="5"/>
  <c r="BE343" i="5"/>
  <c r="BD343" i="5"/>
  <c r="BC343" i="5"/>
  <c r="BB343" i="5"/>
  <c r="BA343" i="5"/>
  <c r="AZ343" i="5"/>
  <c r="AY343" i="5"/>
  <c r="AX343" i="5"/>
  <c r="AW343" i="5"/>
  <c r="AV343" i="5"/>
  <c r="AU343" i="5"/>
  <c r="H343" i="5"/>
  <c r="G343" i="5"/>
  <c r="BJ342" i="5"/>
  <c r="BI342" i="5"/>
  <c r="BH342" i="5"/>
  <c r="BG342" i="5"/>
  <c r="BF342" i="5"/>
  <c r="BE342" i="5"/>
  <c r="BD342" i="5"/>
  <c r="BC342" i="5"/>
  <c r="BB342" i="5"/>
  <c r="BA342" i="5"/>
  <c r="AZ342" i="5"/>
  <c r="AY342" i="5"/>
  <c r="AX342" i="5"/>
  <c r="AW342" i="5"/>
  <c r="AV342" i="5"/>
  <c r="AU342" i="5"/>
  <c r="H342" i="5"/>
  <c r="G342" i="5"/>
  <c r="BJ341" i="5"/>
  <c r="BI341" i="5"/>
  <c r="BH341" i="5"/>
  <c r="BG341" i="5"/>
  <c r="BF341" i="5"/>
  <c r="BE341" i="5"/>
  <c r="BD341" i="5"/>
  <c r="BC341" i="5"/>
  <c r="BB341" i="5"/>
  <c r="BA341" i="5"/>
  <c r="AZ341" i="5"/>
  <c r="AY341" i="5"/>
  <c r="AX341" i="5"/>
  <c r="AW341" i="5"/>
  <c r="AV341" i="5"/>
  <c r="AU341" i="5"/>
  <c r="H341" i="5"/>
  <c r="G341" i="5"/>
  <c r="BJ340" i="5"/>
  <c r="BI340" i="5"/>
  <c r="BH340" i="5"/>
  <c r="BG340" i="5"/>
  <c r="BF340" i="5"/>
  <c r="BE340" i="5"/>
  <c r="BD340" i="5"/>
  <c r="BC340" i="5"/>
  <c r="BB340" i="5"/>
  <c r="BA340" i="5"/>
  <c r="AZ340" i="5"/>
  <c r="AY340" i="5"/>
  <c r="AX340" i="5"/>
  <c r="AW340" i="5"/>
  <c r="AV340" i="5"/>
  <c r="AU340" i="5"/>
  <c r="H340" i="5"/>
  <c r="G340" i="5"/>
  <c r="BJ339" i="5"/>
  <c r="BI339" i="5"/>
  <c r="BH339" i="5"/>
  <c r="BG339" i="5"/>
  <c r="BF339" i="5"/>
  <c r="BE339" i="5"/>
  <c r="BD339" i="5"/>
  <c r="BC339" i="5"/>
  <c r="BB339" i="5"/>
  <c r="BA339" i="5"/>
  <c r="AZ339" i="5"/>
  <c r="AY339" i="5"/>
  <c r="AX339" i="5"/>
  <c r="AW339" i="5"/>
  <c r="AV339" i="5"/>
  <c r="AU339" i="5"/>
  <c r="H339" i="5"/>
  <c r="G339" i="5"/>
  <c r="BJ338" i="5"/>
  <c r="BI338" i="5"/>
  <c r="BH338" i="5"/>
  <c r="BG338" i="5"/>
  <c r="BF338" i="5"/>
  <c r="BE338" i="5"/>
  <c r="BD338" i="5"/>
  <c r="BC338" i="5"/>
  <c r="BB338" i="5"/>
  <c r="BA338" i="5"/>
  <c r="AZ338" i="5"/>
  <c r="AY338" i="5"/>
  <c r="AX338" i="5"/>
  <c r="AW338" i="5"/>
  <c r="AV338" i="5"/>
  <c r="AU338" i="5"/>
  <c r="H338" i="5"/>
  <c r="G338" i="5"/>
  <c r="BJ337" i="5"/>
  <c r="BI337" i="5"/>
  <c r="BH337" i="5"/>
  <c r="BG337" i="5"/>
  <c r="BF337" i="5"/>
  <c r="BE337" i="5"/>
  <c r="BD337" i="5"/>
  <c r="BC337" i="5"/>
  <c r="BB337" i="5"/>
  <c r="BA337" i="5"/>
  <c r="AZ337" i="5"/>
  <c r="AY337" i="5"/>
  <c r="AX337" i="5"/>
  <c r="AW337" i="5"/>
  <c r="AV337" i="5"/>
  <c r="AU337" i="5"/>
  <c r="H337" i="5"/>
  <c r="G337" i="5"/>
  <c r="BJ336" i="5"/>
  <c r="BI336" i="5"/>
  <c r="BH336" i="5"/>
  <c r="BG336" i="5"/>
  <c r="BF336" i="5"/>
  <c r="BE336" i="5"/>
  <c r="BD336" i="5"/>
  <c r="BC336" i="5"/>
  <c r="BB336" i="5"/>
  <c r="BA336" i="5"/>
  <c r="AZ336" i="5"/>
  <c r="AY336" i="5"/>
  <c r="AX336" i="5"/>
  <c r="AW336" i="5"/>
  <c r="AV336" i="5"/>
  <c r="AU336" i="5"/>
  <c r="H336" i="5"/>
  <c r="G336" i="5"/>
  <c r="BJ335" i="5"/>
  <c r="BI335" i="5"/>
  <c r="BH335" i="5"/>
  <c r="BG335" i="5"/>
  <c r="BF335" i="5"/>
  <c r="BE335" i="5"/>
  <c r="BD335" i="5"/>
  <c r="BC335" i="5"/>
  <c r="BB335" i="5"/>
  <c r="BA335" i="5"/>
  <c r="AZ335" i="5"/>
  <c r="AY335" i="5"/>
  <c r="AX335" i="5"/>
  <c r="AW335" i="5"/>
  <c r="AV335" i="5"/>
  <c r="AU335" i="5"/>
  <c r="H335" i="5"/>
  <c r="G335" i="5"/>
  <c r="BJ334" i="5"/>
  <c r="BI334" i="5"/>
  <c r="BH334" i="5"/>
  <c r="BG334" i="5"/>
  <c r="BF334" i="5"/>
  <c r="BE334" i="5"/>
  <c r="BD334" i="5"/>
  <c r="BC334" i="5"/>
  <c r="BB334" i="5"/>
  <c r="BA334" i="5"/>
  <c r="AZ334" i="5"/>
  <c r="AY334" i="5"/>
  <c r="AX334" i="5"/>
  <c r="AW334" i="5"/>
  <c r="AV334" i="5"/>
  <c r="AU334" i="5"/>
  <c r="H334" i="5"/>
  <c r="G334" i="5"/>
  <c r="BJ333" i="5"/>
  <c r="BI333" i="5"/>
  <c r="BH333" i="5"/>
  <c r="BG333" i="5"/>
  <c r="BF333" i="5"/>
  <c r="BE333" i="5"/>
  <c r="BD333" i="5"/>
  <c r="BC333" i="5"/>
  <c r="BB333" i="5"/>
  <c r="BA333" i="5"/>
  <c r="AZ333" i="5"/>
  <c r="AY333" i="5"/>
  <c r="AX333" i="5"/>
  <c r="AW333" i="5"/>
  <c r="AV333" i="5"/>
  <c r="AU333" i="5"/>
  <c r="H333" i="5"/>
  <c r="G333" i="5"/>
  <c r="BJ332" i="5"/>
  <c r="BI332" i="5"/>
  <c r="BH332" i="5"/>
  <c r="BG332" i="5"/>
  <c r="BF332" i="5"/>
  <c r="BE332" i="5"/>
  <c r="BD332" i="5"/>
  <c r="BC332" i="5"/>
  <c r="BB332" i="5"/>
  <c r="BA332" i="5"/>
  <c r="AZ332" i="5"/>
  <c r="AY332" i="5"/>
  <c r="AX332" i="5"/>
  <c r="AW332" i="5"/>
  <c r="AV332" i="5"/>
  <c r="AU332" i="5"/>
  <c r="H332" i="5"/>
  <c r="G332" i="5"/>
  <c r="BJ331" i="5"/>
  <c r="BI331" i="5"/>
  <c r="BH331" i="5"/>
  <c r="BG331" i="5"/>
  <c r="BF331" i="5"/>
  <c r="BE331" i="5"/>
  <c r="BD331" i="5"/>
  <c r="BC331" i="5"/>
  <c r="BB331" i="5"/>
  <c r="BA331" i="5"/>
  <c r="AZ331" i="5"/>
  <c r="AY331" i="5"/>
  <c r="AX331" i="5"/>
  <c r="AW331" i="5"/>
  <c r="AV331" i="5"/>
  <c r="AU331" i="5"/>
  <c r="H331" i="5"/>
  <c r="G331" i="5"/>
  <c r="BJ330" i="5"/>
  <c r="BI330" i="5"/>
  <c r="BH330" i="5"/>
  <c r="BG330" i="5"/>
  <c r="BF330" i="5"/>
  <c r="BE330" i="5"/>
  <c r="BD330" i="5"/>
  <c r="BC330" i="5"/>
  <c r="BB330" i="5"/>
  <c r="BA330" i="5"/>
  <c r="AZ330" i="5"/>
  <c r="AY330" i="5"/>
  <c r="AX330" i="5"/>
  <c r="AW330" i="5"/>
  <c r="AV330" i="5"/>
  <c r="AU330" i="5"/>
  <c r="H330" i="5"/>
  <c r="G330" i="5"/>
  <c r="BJ329" i="5"/>
  <c r="BI329" i="5"/>
  <c r="BH329" i="5"/>
  <c r="BG329" i="5"/>
  <c r="BF329" i="5"/>
  <c r="BE329" i="5"/>
  <c r="BD329" i="5"/>
  <c r="BC329" i="5"/>
  <c r="BB329" i="5"/>
  <c r="BA329" i="5"/>
  <c r="AZ329" i="5"/>
  <c r="AY329" i="5"/>
  <c r="AX329" i="5"/>
  <c r="AW329" i="5"/>
  <c r="AV329" i="5"/>
  <c r="AU329" i="5"/>
  <c r="H329" i="5"/>
  <c r="G329" i="5"/>
  <c r="BJ328" i="5"/>
  <c r="BI328" i="5"/>
  <c r="BH328" i="5"/>
  <c r="BG328" i="5"/>
  <c r="BF328" i="5"/>
  <c r="BE328" i="5"/>
  <c r="BD328" i="5"/>
  <c r="BC328" i="5"/>
  <c r="BB328" i="5"/>
  <c r="BA328" i="5"/>
  <c r="AZ328" i="5"/>
  <c r="AY328" i="5"/>
  <c r="AX328" i="5"/>
  <c r="AW328" i="5"/>
  <c r="AV328" i="5"/>
  <c r="AU328" i="5"/>
  <c r="H328" i="5"/>
  <c r="G328" i="5"/>
  <c r="BJ327" i="5"/>
  <c r="BI327" i="5"/>
  <c r="BH327" i="5"/>
  <c r="BG327" i="5"/>
  <c r="BF327" i="5"/>
  <c r="BE327" i="5"/>
  <c r="BD327" i="5"/>
  <c r="BC327" i="5"/>
  <c r="BB327" i="5"/>
  <c r="BA327" i="5"/>
  <c r="AZ327" i="5"/>
  <c r="AY327" i="5"/>
  <c r="AX327" i="5"/>
  <c r="AW327" i="5"/>
  <c r="AV327" i="5"/>
  <c r="AU327" i="5"/>
  <c r="H327" i="5"/>
  <c r="G327" i="5"/>
  <c r="BJ326" i="5"/>
  <c r="BI326" i="5"/>
  <c r="BH326" i="5"/>
  <c r="BG326" i="5"/>
  <c r="BF326" i="5"/>
  <c r="BE326" i="5"/>
  <c r="BD326" i="5"/>
  <c r="BC326" i="5"/>
  <c r="BB326" i="5"/>
  <c r="BA326" i="5"/>
  <c r="AZ326" i="5"/>
  <c r="AY326" i="5"/>
  <c r="AX326" i="5"/>
  <c r="AW326" i="5"/>
  <c r="AV326" i="5"/>
  <c r="AU326" i="5"/>
  <c r="H326" i="5"/>
  <c r="G326" i="5"/>
  <c r="BJ325" i="5"/>
  <c r="BI325" i="5"/>
  <c r="BH325" i="5"/>
  <c r="BG325" i="5"/>
  <c r="BF325" i="5"/>
  <c r="BE325" i="5"/>
  <c r="BD325" i="5"/>
  <c r="BC325" i="5"/>
  <c r="BB325" i="5"/>
  <c r="BA325" i="5"/>
  <c r="AZ325" i="5"/>
  <c r="AY325" i="5"/>
  <c r="AX325" i="5"/>
  <c r="AW325" i="5"/>
  <c r="AV325" i="5"/>
  <c r="AU325" i="5"/>
  <c r="H325" i="5"/>
  <c r="G325" i="5"/>
  <c r="BJ324" i="5"/>
  <c r="BI324" i="5"/>
  <c r="BH324" i="5"/>
  <c r="BG324" i="5"/>
  <c r="BF324" i="5"/>
  <c r="BE324" i="5"/>
  <c r="BD324" i="5"/>
  <c r="BC324" i="5"/>
  <c r="BB324" i="5"/>
  <c r="BA324" i="5"/>
  <c r="AZ324" i="5"/>
  <c r="AY324" i="5"/>
  <c r="AX324" i="5"/>
  <c r="AW324" i="5"/>
  <c r="AV324" i="5"/>
  <c r="AU324" i="5"/>
  <c r="H324" i="5"/>
  <c r="G324" i="5"/>
  <c r="BJ323" i="5"/>
  <c r="BI323" i="5"/>
  <c r="BH323" i="5"/>
  <c r="BG323" i="5"/>
  <c r="BF323" i="5"/>
  <c r="BE323" i="5"/>
  <c r="BD323" i="5"/>
  <c r="BC323" i="5"/>
  <c r="BB323" i="5"/>
  <c r="BA323" i="5"/>
  <c r="AZ323" i="5"/>
  <c r="AY323" i="5"/>
  <c r="AX323" i="5"/>
  <c r="AW323" i="5"/>
  <c r="AV323" i="5"/>
  <c r="AU323" i="5"/>
  <c r="H323" i="5"/>
  <c r="G323" i="5"/>
  <c r="BJ322" i="5"/>
  <c r="BI322" i="5"/>
  <c r="BH322" i="5"/>
  <c r="BG322" i="5"/>
  <c r="BF322" i="5"/>
  <c r="BE322" i="5"/>
  <c r="BD322" i="5"/>
  <c r="BC322" i="5"/>
  <c r="BB322" i="5"/>
  <c r="BA322" i="5"/>
  <c r="AZ322" i="5"/>
  <c r="AY322" i="5"/>
  <c r="AX322" i="5"/>
  <c r="AW322" i="5"/>
  <c r="AV322" i="5"/>
  <c r="AU322" i="5"/>
  <c r="H322" i="5"/>
  <c r="G322" i="5"/>
  <c r="BJ321" i="5"/>
  <c r="BI321" i="5"/>
  <c r="BH321" i="5"/>
  <c r="BG321" i="5"/>
  <c r="BF321" i="5"/>
  <c r="BE321" i="5"/>
  <c r="BD321" i="5"/>
  <c r="BC321" i="5"/>
  <c r="BB321" i="5"/>
  <c r="BA321" i="5"/>
  <c r="AZ321" i="5"/>
  <c r="AY321" i="5"/>
  <c r="AX321" i="5"/>
  <c r="AW321" i="5"/>
  <c r="AV321" i="5"/>
  <c r="AU321" i="5"/>
  <c r="H321" i="5"/>
  <c r="G321" i="5"/>
  <c r="BJ320" i="5"/>
  <c r="BI320" i="5"/>
  <c r="BH320" i="5"/>
  <c r="BG320" i="5"/>
  <c r="BF320" i="5"/>
  <c r="BE320" i="5"/>
  <c r="BD320" i="5"/>
  <c r="BC320" i="5"/>
  <c r="BB320" i="5"/>
  <c r="BA320" i="5"/>
  <c r="AZ320" i="5"/>
  <c r="AY320" i="5"/>
  <c r="AX320" i="5"/>
  <c r="AW320" i="5"/>
  <c r="AV320" i="5"/>
  <c r="AU320" i="5"/>
  <c r="H320" i="5"/>
  <c r="G320" i="5"/>
  <c r="BJ319" i="5"/>
  <c r="BI319" i="5"/>
  <c r="BH319" i="5"/>
  <c r="BG319" i="5"/>
  <c r="BF319" i="5"/>
  <c r="BE319" i="5"/>
  <c r="BD319" i="5"/>
  <c r="BC319" i="5"/>
  <c r="BB319" i="5"/>
  <c r="BA319" i="5"/>
  <c r="AZ319" i="5"/>
  <c r="AY319" i="5"/>
  <c r="AX319" i="5"/>
  <c r="AW319" i="5"/>
  <c r="AV319" i="5"/>
  <c r="AU319" i="5"/>
  <c r="H319" i="5"/>
  <c r="G319" i="5"/>
  <c r="BJ318" i="5"/>
  <c r="BI318" i="5"/>
  <c r="BH318" i="5"/>
  <c r="BG318" i="5"/>
  <c r="BF318" i="5"/>
  <c r="BE318" i="5"/>
  <c r="BD318" i="5"/>
  <c r="BC318" i="5"/>
  <c r="BB318" i="5"/>
  <c r="BA318" i="5"/>
  <c r="AZ318" i="5"/>
  <c r="AY318" i="5"/>
  <c r="AX318" i="5"/>
  <c r="AW318" i="5"/>
  <c r="AV318" i="5"/>
  <c r="AU318" i="5"/>
  <c r="H318" i="5"/>
  <c r="G318" i="5"/>
  <c r="BJ317" i="5"/>
  <c r="BI317" i="5"/>
  <c r="BH317" i="5"/>
  <c r="BG317" i="5"/>
  <c r="BF317" i="5"/>
  <c r="BE317" i="5"/>
  <c r="BD317" i="5"/>
  <c r="BC317" i="5"/>
  <c r="BB317" i="5"/>
  <c r="BA317" i="5"/>
  <c r="AZ317" i="5"/>
  <c r="AY317" i="5"/>
  <c r="AX317" i="5"/>
  <c r="AW317" i="5"/>
  <c r="AV317" i="5"/>
  <c r="AU317" i="5"/>
  <c r="H317" i="5"/>
  <c r="G317" i="5"/>
  <c r="BJ316" i="5"/>
  <c r="BI316" i="5"/>
  <c r="BH316" i="5"/>
  <c r="BG316" i="5"/>
  <c r="BF316" i="5"/>
  <c r="BE316" i="5"/>
  <c r="BD316" i="5"/>
  <c r="BC316" i="5"/>
  <c r="BB316" i="5"/>
  <c r="BA316" i="5"/>
  <c r="AZ316" i="5"/>
  <c r="AY316" i="5"/>
  <c r="AX316" i="5"/>
  <c r="AW316" i="5"/>
  <c r="AV316" i="5"/>
  <c r="AU316" i="5"/>
  <c r="H316" i="5"/>
  <c r="G316" i="5"/>
  <c r="BJ315" i="5"/>
  <c r="BI315" i="5"/>
  <c r="BH315" i="5"/>
  <c r="BG315" i="5"/>
  <c r="BF315" i="5"/>
  <c r="BE315" i="5"/>
  <c r="BD315" i="5"/>
  <c r="BC315" i="5"/>
  <c r="BB315" i="5"/>
  <c r="BA315" i="5"/>
  <c r="AZ315" i="5"/>
  <c r="AY315" i="5"/>
  <c r="AX315" i="5"/>
  <c r="AW315" i="5"/>
  <c r="AV315" i="5"/>
  <c r="AU315" i="5"/>
  <c r="H315" i="5"/>
  <c r="G315" i="5"/>
  <c r="BJ314" i="5"/>
  <c r="BI314" i="5"/>
  <c r="BH314" i="5"/>
  <c r="BG314" i="5"/>
  <c r="BF314" i="5"/>
  <c r="BE314" i="5"/>
  <c r="BD314" i="5"/>
  <c r="BC314" i="5"/>
  <c r="BB314" i="5"/>
  <c r="BA314" i="5"/>
  <c r="AZ314" i="5"/>
  <c r="AY314" i="5"/>
  <c r="AX314" i="5"/>
  <c r="AW314" i="5"/>
  <c r="AV314" i="5"/>
  <c r="AU314" i="5"/>
  <c r="H314" i="5"/>
  <c r="G314" i="5"/>
  <c r="BJ313" i="5"/>
  <c r="BI313" i="5"/>
  <c r="BH313" i="5"/>
  <c r="BG313" i="5"/>
  <c r="BF313" i="5"/>
  <c r="BE313" i="5"/>
  <c r="BD313" i="5"/>
  <c r="BC313" i="5"/>
  <c r="BB313" i="5"/>
  <c r="BA313" i="5"/>
  <c r="AZ313" i="5"/>
  <c r="AY313" i="5"/>
  <c r="AX313" i="5"/>
  <c r="AW313" i="5"/>
  <c r="AV313" i="5"/>
  <c r="AU313" i="5"/>
  <c r="H313" i="5"/>
  <c r="G313" i="5"/>
  <c r="BJ312" i="5"/>
  <c r="BI312" i="5"/>
  <c r="BH312" i="5"/>
  <c r="BG312" i="5"/>
  <c r="BF312" i="5"/>
  <c r="BE312" i="5"/>
  <c r="BD312" i="5"/>
  <c r="BC312" i="5"/>
  <c r="BB312" i="5"/>
  <c r="BA312" i="5"/>
  <c r="AZ312" i="5"/>
  <c r="AY312" i="5"/>
  <c r="AX312" i="5"/>
  <c r="AW312" i="5"/>
  <c r="AV312" i="5"/>
  <c r="AU312" i="5"/>
  <c r="H312" i="5"/>
  <c r="G312" i="5"/>
  <c r="BJ311" i="5"/>
  <c r="BI311" i="5"/>
  <c r="BH311" i="5"/>
  <c r="BG311" i="5"/>
  <c r="BF311" i="5"/>
  <c r="BE311" i="5"/>
  <c r="BD311" i="5"/>
  <c r="BC311" i="5"/>
  <c r="BB311" i="5"/>
  <c r="BA311" i="5"/>
  <c r="AZ311" i="5"/>
  <c r="AY311" i="5"/>
  <c r="AX311" i="5"/>
  <c r="AW311" i="5"/>
  <c r="AV311" i="5"/>
  <c r="AU311" i="5"/>
  <c r="H311" i="5"/>
  <c r="G311" i="5"/>
  <c r="BJ310" i="5"/>
  <c r="BI310" i="5"/>
  <c r="BH310" i="5"/>
  <c r="BG310" i="5"/>
  <c r="BF310" i="5"/>
  <c r="BE310" i="5"/>
  <c r="BD310" i="5"/>
  <c r="BC310" i="5"/>
  <c r="BB310" i="5"/>
  <c r="BA310" i="5"/>
  <c r="AZ310" i="5"/>
  <c r="AY310" i="5"/>
  <c r="AX310" i="5"/>
  <c r="AW310" i="5"/>
  <c r="AV310" i="5"/>
  <c r="AU310" i="5"/>
  <c r="H310" i="5"/>
  <c r="G310" i="5"/>
  <c r="BJ309" i="5"/>
  <c r="BI309" i="5"/>
  <c r="BH309" i="5"/>
  <c r="BG309" i="5"/>
  <c r="BF309" i="5"/>
  <c r="BE309" i="5"/>
  <c r="BD309" i="5"/>
  <c r="BC309" i="5"/>
  <c r="BB309" i="5"/>
  <c r="BA309" i="5"/>
  <c r="AZ309" i="5"/>
  <c r="AY309" i="5"/>
  <c r="AX309" i="5"/>
  <c r="AW309" i="5"/>
  <c r="AV309" i="5"/>
  <c r="AU309" i="5"/>
  <c r="H309" i="5"/>
  <c r="G309" i="5"/>
  <c r="BJ308" i="5"/>
  <c r="BI308" i="5"/>
  <c r="BH308" i="5"/>
  <c r="BG308" i="5"/>
  <c r="BF308" i="5"/>
  <c r="BE308" i="5"/>
  <c r="BD308" i="5"/>
  <c r="BC308" i="5"/>
  <c r="BB308" i="5"/>
  <c r="BA308" i="5"/>
  <c r="AZ308" i="5"/>
  <c r="AY308" i="5"/>
  <c r="AX308" i="5"/>
  <c r="AW308" i="5"/>
  <c r="AV308" i="5"/>
  <c r="AU308" i="5"/>
  <c r="H308" i="5"/>
  <c r="G308" i="5"/>
  <c r="BJ307" i="5"/>
  <c r="BI307" i="5"/>
  <c r="BH307" i="5"/>
  <c r="BG307" i="5"/>
  <c r="BF307" i="5"/>
  <c r="BE307" i="5"/>
  <c r="BD307" i="5"/>
  <c r="BC307" i="5"/>
  <c r="BB307" i="5"/>
  <c r="BA307" i="5"/>
  <c r="AZ307" i="5"/>
  <c r="AY307" i="5"/>
  <c r="AX307" i="5"/>
  <c r="AW307" i="5"/>
  <c r="AV307" i="5"/>
  <c r="AU307" i="5"/>
  <c r="H307" i="5"/>
  <c r="G307" i="5"/>
  <c r="BJ306" i="5"/>
  <c r="BI306" i="5"/>
  <c r="BH306" i="5"/>
  <c r="BG306" i="5"/>
  <c r="BF306" i="5"/>
  <c r="BE306" i="5"/>
  <c r="BD306" i="5"/>
  <c r="BC306" i="5"/>
  <c r="BB306" i="5"/>
  <c r="BA306" i="5"/>
  <c r="AZ306" i="5"/>
  <c r="AY306" i="5"/>
  <c r="AX306" i="5"/>
  <c r="AW306" i="5"/>
  <c r="AV306" i="5"/>
  <c r="AU306" i="5"/>
  <c r="H306" i="5"/>
  <c r="G306" i="5"/>
  <c r="BJ305" i="5"/>
  <c r="BI305" i="5"/>
  <c r="BH305" i="5"/>
  <c r="BG305" i="5"/>
  <c r="BF305" i="5"/>
  <c r="BE305" i="5"/>
  <c r="BD305" i="5"/>
  <c r="BC305" i="5"/>
  <c r="BB305" i="5"/>
  <c r="BA305" i="5"/>
  <c r="AZ305" i="5"/>
  <c r="AY305" i="5"/>
  <c r="AX305" i="5"/>
  <c r="AW305" i="5"/>
  <c r="AV305" i="5"/>
  <c r="AU305" i="5"/>
  <c r="H305" i="5"/>
  <c r="G305" i="5"/>
  <c r="BJ304" i="5"/>
  <c r="BI304" i="5"/>
  <c r="BH304" i="5"/>
  <c r="BG304" i="5"/>
  <c r="BF304" i="5"/>
  <c r="BE304" i="5"/>
  <c r="BD304" i="5"/>
  <c r="BC304" i="5"/>
  <c r="BB304" i="5"/>
  <c r="BA304" i="5"/>
  <c r="AZ304" i="5"/>
  <c r="AY304" i="5"/>
  <c r="AX304" i="5"/>
  <c r="AW304" i="5"/>
  <c r="AV304" i="5"/>
  <c r="AU304" i="5"/>
  <c r="H304" i="5"/>
  <c r="G304" i="5"/>
  <c r="BJ303" i="5"/>
  <c r="BI303" i="5"/>
  <c r="BH303" i="5"/>
  <c r="BG303" i="5"/>
  <c r="BF303" i="5"/>
  <c r="BE303" i="5"/>
  <c r="BD303" i="5"/>
  <c r="BC303" i="5"/>
  <c r="BB303" i="5"/>
  <c r="BA303" i="5"/>
  <c r="AZ303" i="5"/>
  <c r="AY303" i="5"/>
  <c r="AX303" i="5"/>
  <c r="AW303" i="5"/>
  <c r="AV303" i="5"/>
  <c r="AU303" i="5"/>
  <c r="H303" i="5"/>
  <c r="G303" i="5"/>
  <c r="BJ302" i="5"/>
  <c r="BI302" i="5"/>
  <c r="BH302" i="5"/>
  <c r="BG302" i="5"/>
  <c r="BF302" i="5"/>
  <c r="BE302" i="5"/>
  <c r="BD302" i="5"/>
  <c r="BC302" i="5"/>
  <c r="BB302" i="5"/>
  <c r="BA302" i="5"/>
  <c r="AZ302" i="5"/>
  <c r="AY302" i="5"/>
  <c r="AX302" i="5"/>
  <c r="AW302" i="5"/>
  <c r="AV302" i="5"/>
  <c r="AU302" i="5"/>
  <c r="H302" i="5"/>
  <c r="G302" i="5"/>
  <c r="BJ301" i="5"/>
  <c r="BI301" i="5"/>
  <c r="BH301" i="5"/>
  <c r="BG301" i="5"/>
  <c r="BF301" i="5"/>
  <c r="BE301" i="5"/>
  <c r="BD301" i="5"/>
  <c r="BC301" i="5"/>
  <c r="BB301" i="5"/>
  <c r="BA301" i="5"/>
  <c r="AZ301" i="5"/>
  <c r="AY301" i="5"/>
  <c r="AX301" i="5"/>
  <c r="AW301" i="5"/>
  <c r="AV301" i="5"/>
  <c r="AU301" i="5"/>
  <c r="H301" i="5"/>
  <c r="G301" i="5"/>
  <c r="BJ300" i="5"/>
  <c r="BI300" i="5"/>
  <c r="BH300" i="5"/>
  <c r="BG300" i="5"/>
  <c r="BF300" i="5"/>
  <c r="BE300" i="5"/>
  <c r="BD300" i="5"/>
  <c r="BC300" i="5"/>
  <c r="BB300" i="5"/>
  <c r="BA300" i="5"/>
  <c r="AZ300" i="5"/>
  <c r="AY300" i="5"/>
  <c r="AX300" i="5"/>
  <c r="AW300" i="5"/>
  <c r="AV300" i="5"/>
  <c r="AU300" i="5"/>
  <c r="H300" i="5"/>
  <c r="G300" i="5"/>
  <c r="BJ299" i="5"/>
  <c r="BI299" i="5"/>
  <c r="BH299" i="5"/>
  <c r="BG299" i="5"/>
  <c r="BF299" i="5"/>
  <c r="BE299" i="5"/>
  <c r="BD299" i="5"/>
  <c r="BC299" i="5"/>
  <c r="BB299" i="5"/>
  <c r="BA299" i="5"/>
  <c r="AZ299" i="5"/>
  <c r="AY299" i="5"/>
  <c r="AX299" i="5"/>
  <c r="AW299" i="5"/>
  <c r="AV299" i="5"/>
  <c r="AU299" i="5"/>
  <c r="H299" i="5"/>
  <c r="G299" i="5"/>
  <c r="BJ298" i="5"/>
  <c r="BI298" i="5"/>
  <c r="BH298" i="5"/>
  <c r="BG298" i="5"/>
  <c r="BF298" i="5"/>
  <c r="BE298" i="5"/>
  <c r="BD298" i="5"/>
  <c r="BC298" i="5"/>
  <c r="BB298" i="5"/>
  <c r="BA298" i="5"/>
  <c r="AZ298" i="5"/>
  <c r="AY298" i="5"/>
  <c r="AX298" i="5"/>
  <c r="AW298" i="5"/>
  <c r="AV298" i="5"/>
  <c r="AU298" i="5"/>
  <c r="H298" i="5"/>
  <c r="G298" i="5"/>
  <c r="BJ297" i="5"/>
  <c r="BI297" i="5"/>
  <c r="BH297" i="5"/>
  <c r="BG297" i="5"/>
  <c r="BF297" i="5"/>
  <c r="BE297" i="5"/>
  <c r="BD297" i="5"/>
  <c r="BC297" i="5"/>
  <c r="BB297" i="5"/>
  <c r="BA297" i="5"/>
  <c r="AZ297" i="5"/>
  <c r="AY297" i="5"/>
  <c r="AX297" i="5"/>
  <c r="AW297" i="5"/>
  <c r="AV297" i="5"/>
  <c r="AU297" i="5"/>
  <c r="H297" i="5"/>
  <c r="G297" i="5"/>
  <c r="BJ296" i="5"/>
  <c r="BI296" i="5"/>
  <c r="BH296" i="5"/>
  <c r="BG296" i="5"/>
  <c r="BF296" i="5"/>
  <c r="BE296" i="5"/>
  <c r="BD296" i="5"/>
  <c r="BC296" i="5"/>
  <c r="BB296" i="5"/>
  <c r="BA296" i="5"/>
  <c r="AZ296" i="5"/>
  <c r="AY296" i="5"/>
  <c r="AX296" i="5"/>
  <c r="AW296" i="5"/>
  <c r="AV296" i="5"/>
  <c r="AU296" i="5"/>
  <c r="H296" i="5"/>
  <c r="G296" i="5"/>
  <c r="BJ295" i="5"/>
  <c r="BI295" i="5"/>
  <c r="BH295" i="5"/>
  <c r="BG295" i="5"/>
  <c r="BF295" i="5"/>
  <c r="BE295" i="5"/>
  <c r="BD295" i="5"/>
  <c r="BC295" i="5"/>
  <c r="BB295" i="5"/>
  <c r="BA295" i="5"/>
  <c r="AZ295" i="5"/>
  <c r="AY295" i="5"/>
  <c r="AX295" i="5"/>
  <c r="AW295" i="5"/>
  <c r="AV295" i="5"/>
  <c r="AU295" i="5"/>
  <c r="H295" i="5"/>
  <c r="G295" i="5"/>
  <c r="BJ294" i="5"/>
  <c r="BI294" i="5"/>
  <c r="BH294" i="5"/>
  <c r="BG294" i="5"/>
  <c r="BF294" i="5"/>
  <c r="BE294" i="5"/>
  <c r="BD294" i="5"/>
  <c r="BC294" i="5"/>
  <c r="BB294" i="5"/>
  <c r="BA294" i="5"/>
  <c r="AZ294" i="5"/>
  <c r="AY294" i="5"/>
  <c r="AX294" i="5"/>
  <c r="AW294" i="5"/>
  <c r="AV294" i="5"/>
  <c r="AU294" i="5"/>
  <c r="H294" i="5"/>
  <c r="G294" i="5"/>
  <c r="BJ293" i="5"/>
  <c r="BI293" i="5"/>
  <c r="BH293" i="5"/>
  <c r="BG293" i="5"/>
  <c r="BF293" i="5"/>
  <c r="BE293" i="5"/>
  <c r="BD293" i="5"/>
  <c r="BC293" i="5"/>
  <c r="BB293" i="5"/>
  <c r="BA293" i="5"/>
  <c r="AZ293" i="5"/>
  <c r="AY293" i="5"/>
  <c r="AX293" i="5"/>
  <c r="AW293" i="5"/>
  <c r="AV293" i="5"/>
  <c r="AU293" i="5"/>
  <c r="H293" i="5"/>
  <c r="G293" i="5"/>
  <c r="BJ292" i="5"/>
  <c r="BI292" i="5"/>
  <c r="BH292" i="5"/>
  <c r="BG292" i="5"/>
  <c r="BF292" i="5"/>
  <c r="BE292" i="5"/>
  <c r="BD292" i="5"/>
  <c r="BC292" i="5"/>
  <c r="BB292" i="5"/>
  <c r="BA292" i="5"/>
  <c r="AZ292" i="5"/>
  <c r="AY292" i="5"/>
  <c r="AX292" i="5"/>
  <c r="AW292" i="5"/>
  <c r="AV292" i="5"/>
  <c r="AU292" i="5"/>
  <c r="H292" i="5"/>
  <c r="G292" i="5"/>
  <c r="BJ291" i="5"/>
  <c r="BI291" i="5"/>
  <c r="BH291" i="5"/>
  <c r="BG291" i="5"/>
  <c r="BF291" i="5"/>
  <c r="BE291" i="5"/>
  <c r="BD291" i="5"/>
  <c r="BC291" i="5"/>
  <c r="BB291" i="5"/>
  <c r="BA291" i="5"/>
  <c r="AZ291" i="5"/>
  <c r="AY291" i="5"/>
  <c r="AX291" i="5"/>
  <c r="AW291" i="5"/>
  <c r="AV291" i="5"/>
  <c r="AU291" i="5"/>
  <c r="H291" i="5"/>
  <c r="G291" i="5"/>
  <c r="BJ290" i="5"/>
  <c r="BI290" i="5"/>
  <c r="BH290" i="5"/>
  <c r="BG290" i="5"/>
  <c r="BF290" i="5"/>
  <c r="BE290" i="5"/>
  <c r="BD290" i="5"/>
  <c r="BC290" i="5"/>
  <c r="BB290" i="5"/>
  <c r="BA290" i="5"/>
  <c r="AZ290" i="5"/>
  <c r="AY290" i="5"/>
  <c r="AX290" i="5"/>
  <c r="AW290" i="5"/>
  <c r="AV290" i="5"/>
  <c r="AU290" i="5"/>
  <c r="H290" i="5"/>
  <c r="G290" i="5"/>
  <c r="BJ289" i="5"/>
  <c r="BI289" i="5"/>
  <c r="BH289" i="5"/>
  <c r="BG289" i="5"/>
  <c r="BF289" i="5"/>
  <c r="BE289" i="5"/>
  <c r="BD289" i="5"/>
  <c r="BC289" i="5"/>
  <c r="BB289" i="5"/>
  <c r="BA289" i="5"/>
  <c r="AZ289" i="5"/>
  <c r="AY289" i="5"/>
  <c r="AX289" i="5"/>
  <c r="AW289" i="5"/>
  <c r="AV289" i="5"/>
  <c r="AU289" i="5"/>
  <c r="H289" i="5"/>
  <c r="G289" i="5"/>
  <c r="BJ288" i="5"/>
  <c r="BI288" i="5"/>
  <c r="BH288" i="5"/>
  <c r="BG288" i="5"/>
  <c r="BF288" i="5"/>
  <c r="BE288" i="5"/>
  <c r="BD288" i="5"/>
  <c r="BC288" i="5"/>
  <c r="BB288" i="5"/>
  <c r="BA288" i="5"/>
  <c r="AZ288" i="5"/>
  <c r="AY288" i="5"/>
  <c r="AX288" i="5"/>
  <c r="AW288" i="5"/>
  <c r="AV288" i="5"/>
  <c r="AU288" i="5"/>
  <c r="H288" i="5"/>
  <c r="G288" i="5"/>
  <c r="BJ287" i="5"/>
  <c r="BI287" i="5"/>
  <c r="BH287" i="5"/>
  <c r="BG287" i="5"/>
  <c r="BF287" i="5"/>
  <c r="BE287" i="5"/>
  <c r="BD287" i="5"/>
  <c r="BC287" i="5"/>
  <c r="BB287" i="5"/>
  <c r="BA287" i="5"/>
  <c r="AZ287" i="5"/>
  <c r="AY287" i="5"/>
  <c r="AX287" i="5"/>
  <c r="AW287" i="5"/>
  <c r="AV287" i="5"/>
  <c r="AU287" i="5"/>
  <c r="H287" i="5"/>
  <c r="G287" i="5"/>
  <c r="BJ286" i="5"/>
  <c r="BI286" i="5"/>
  <c r="BH286" i="5"/>
  <c r="BG286" i="5"/>
  <c r="BF286" i="5"/>
  <c r="BE286" i="5"/>
  <c r="BD286" i="5"/>
  <c r="BC286" i="5"/>
  <c r="BB286" i="5"/>
  <c r="BA286" i="5"/>
  <c r="AZ286" i="5"/>
  <c r="AY286" i="5"/>
  <c r="AX286" i="5"/>
  <c r="AW286" i="5"/>
  <c r="AV286" i="5"/>
  <c r="AU286" i="5"/>
  <c r="H286" i="5"/>
  <c r="G286" i="5"/>
  <c r="BJ285" i="5"/>
  <c r="BI285" i="5"/>
  <c r="BH285" i="5"/>
  <c r="BG285" i="5"/>
  <c r="BF285" i="5"/>
  <c r="BE285" i="5"/>
  <c r="BD285" i="5"/>
  <c r="BC285" i="5"/>
  <c r="BB285" i="5"/>
  <c r="BA285" i="5"/>
  <c r="AZ285" i="5"/>
  <c r="AY285" i="5"/>
  <c r="AX285" i="5"/>
  <c r="AW285" i="5"/>
  <c r="AV285" i="5"/>
  <c r="AU285" i="5"/>
  <c r="H285" i="5"/>
  <c r="G285" i="5"/>
  <c r="BJ284" i="5"/>
  <c r="BI284" i="5"/>
  <c r="BH284" i="5"/>
  <c r="BG284" i="5"/>
  <c r="BF284" i="5"/>
  <c r="BE284" i="5"/>
  <c r="BD284" i="5"/>
  <c r="BC284" i="5"/>
  <c r="BB284" i="5"/>
  <c r="BA284" i="5"/>
  <c r="AZ284" i="5"/>
  <c r="AY284" i="5"/>
  <c r="AX284" i="5"/>
  <c r="AW284" i="5"/>
  <c r="AV284" i="5"/>
  <c r="AU284" i="5"/>
  <c r="H284" i="5"/>
  <c r="G284" i="5"/>
  <c r="BJ283" i="5"/>
  <c r="BI283" i="5"/>
  <c r="BH283" i="5"/>
  <c r="BG283" i="5"/>
  <c r="BF283" i="5"/>
  <c r="BE283" i="5"/>
  <c r="BD283" i="5"/>
  <c r="BC283" i="5"/>
  <c r="BB283" i="5"/>
  <c r="BA283" i="5"/>
  <c r="AZ283" i="5"/>
  <c r="AY283" i="5"/>
  <c r="AX283" i="5"/>
  <c r="AW283" i="5"/>
  <c r="AV283" i="5"/>
  <c r="AU283" i="5"/>
  <c r="H283" i="5"/>
  <c r="G283" i="5"/>
  <c r="BJ282" i="5"/>
  <c r="BI282" i="5"/>
  <c r="BH282" i="5"/>
  <c r="BG282" i="5"/>
  <c r="BF282" i="5"/>
  <c r="BE282" i="5"/>
  <c r="BD282" i="5"/>
  <c r="BC282" i="5"/>
  <c r="BB282" i="5"/>
  <c r="BA282" i="5"/>
  <c r="AZ282" i="5"/>
  <c r="AY282" i="5"/>
  <c r="AX282" i="5"/>
  <c r="AW282" i="5"/>
  <c r="AV282" i="5"/>
  <c r="AU282" i="5"/>
  <c r="H282" i="5"/>
  <c r="G282" i="5"/>
  <c r="BJ281" i="5"/>
  <c r="BI281" i="5"/>
  <c r="BH281" i="5"/>
  <c r="BG281" i="5"/>
  <c r="BF281" i="5"/>
  <c r="BE281" i="5"/>
  <c r="BD281" i="5"/>
  <c r="BC281" i="5"/>
  <c r="BB281" i="5"/>
  <c r="BA281" i="5"/>
  <c r="AZ281" i="5"/>
  <c r="AY281" i="5"/>
  <c r="AX281" i="5"/>
  <c r="AW281" i="5"/>
  <c r="AV281" i="5"/>
  <c r="AU281" i="5"/>
  <c r="H281" i="5"/>
  <c r="G281" i="5"/>
  <c r="BJ280" i="5"/>
  <c r="BI280" i="5"/>
  <c r="BH280" i="5"/>
  <c r="BG280" i="5"/>
  <c r="BF280" i="5"/>
  <c r="BE280" i="5"/>
  <c r="BD280" i="5"/>
  <c r="BC280" i="5"/>
  <c r="BB280" i="5"/>
  <c r="BA280" i="5"/>
  <c r="AZ280" i="5"/>
  <c r="AY280" i="5"/>
  <c r="AX280" i="5"/>
  <c r="AW280" i="5"/>
  <c r="AV280" i="5"/>
  <c r="AU280" i="5"/>
  <c r="H280" i="5"/>
  <c r="G280" i="5"/>
  <c r="BJ279" i="5"/>
  <c r="BI279" i="5"/>
  <c r="BH279" i="5"/>
  <c r="BG279" i="5"/>
  <c r="BF279" i="5"/>
  <c r="BE279" i="5"/>
  <c r="BD279" i="5"/>
  <c r="BC279" i="5"/>
  <c r="BB279" i="5"/>
  <c r="BA279" i="5"/>
  <c r="AZ279" i="5"/>
  <c r="AY279" i="5"/>
  <c r="AX279" i="5"/>
  <c r="AW279" i="5"/>
  <c r="AV279" i="5"/>
  <c r="AU279" i="5"/>
  <c r="H279" i="5"/>
  <c r="G279" i="5"/>
  <c r="BJ278" i="5"/>
  <c r="BI278" i="5"/>
  <c r="BH278" i="5"/>
  <c r="BG278" i="5"/>
  <c r="BF278" i="5"/>
  <c r="BE278" i="5"/>
  <c r="BD278" i="5"/>
  <c r="BC278" i="5"/>
  <c r="BB278" i="5"/>
  <c r="BA278" i="5"/>
  <c r="AZ278" i="5"/>
  <c r="AY278" i="5"/>
  <c r="AX278" i="5"/>
  <c r="AW278" i="5"/>
  <c r="AV278" i="5"/>
  <c r="AU278" i="5"/>
  <c r="H278" i="5"/>
  <c r="G278" i="5"/>
  <c r="BJ277" i="5"/>
  <c r="BI277" i="5"/>
  <c r="BH277" i="5"/>
  <c r="BG277" i="5"/>
  <c r="BF277" i="5"/>
  <c r="BE277" i="5"/>
  <c r="BD277" i="5"/>
  <c r="BC277" i="5"/>
  <c r="BB277" i="5"/>
  <c r="BA277" i="5"/>
  <c r="AZ277" i="5"/>
  <c r="AY277" i="5"/>
  <c r="AX277" i="5"/>
  <c r="AW277" i="5"/>
  <c r="AV277" i="5"/>
  <c r="AU277" i="5"/>
  <c r="H277" i="5"/>
  <c r="G277" i="5"/>
  <c r="BJ276" i="5"/>
  <c r="BI276" i="5"/>
  <c r="BH276" i="5"/>
  <c r="BG276" i="5"/>
  <c r="BF276" i="5"/>
  <c r="BE276" i="5"/>
  <c r="BD276" i="5"/>
  <c r="BC276" i="5"/>
  <c r="BB276" i="5"/>
  <c r="BA276" i="5"/>
  <c r="AZ276" i="5"/>
  <c r="AY276" i="5"/>
  <c r="AX276" i="5"/>
  <c r="AW276" i="5"/>
  <c r="AV276" i="5"/>
  <c r="AU276" i="5"/>
  <c r="H276" i="5"/>
  <c r="G276" i="5"/>
  <c r="BJ275" i="5"/>
  <c r="BI275" i="5"/>
  <c r="BH275" i="5"/>
  <c r="BG275" i="5"/>
  <c r="BF275" i="5"/>
  <c r="BE275" i="5"/>
  <c r="BD275" i="5"/>
  <c r="BC275" i="5"/>
  <c r="BB275" i="5"/>
  <c r="BA275" i="5"/>
  <c r="AZ275" i="5"/>
  <c r="AY275" i="5"/>
  <c r="AX275" i="5"/>
  <c r="AW275" i="5"/>
  <c r="AV275" i="5"/>
  <c r="AU275" i="5"/>
  <c r="H275" i="5"/>
  <c r="G275" i="5"/>
  <c r="BJ274" i="5"/>
  <c r="BI274" i="5"/>
  <c r="BH274" i="5"/>
  <c r="BG274" i="5"/>
  <c r="BF274" i="5"/>
  <c r="BE274" i="5"/>
  <c r="BD274" i="5"/>
  <c r="BC274" i="5"/>
  <c r="BB274" i="5"/>
  <c r="BA274" i="5"/>
  <c r="AZ274" i="5"/>
  <c r="AY274" i="5"/>
  <c r="AX274" i="5"/>
  <c r="AW274" i="5"/>
  <c r="AV274" i="5"/>
  <c r="AU274" i="5"/>
  <c r="H274" i="5"/>
  <c r="G274" i="5"/>
  <c r="BJ273" i="5"/>
  <c r="BI273" i="5"/>
  <c r="BH273" i="5"/>
  <c r="BG273" i="5"/>
  <c r="BF273" i="5"/>
  <c r="BE273" i="5"/>
  <c r="BD273" i="5"/>
  <c r="BC273" i="5"/>
  <c r="BB273" i="5"/>
  <c r="BA273" i="5"/>
  <c r="AZ273" i="5"/>
  <c r="AY273" i="5"/>
  <c r="AX273" i="5"/>
  <c r="AW273" i="5"/>
  <c r="AV273" i="5"/>
  <c r="AU273" i="5"/>
  <c r="H273" i="5"/>
  <c r="G273" i="5"/>
  <c r="BJ272" i="5"/>
  <c r="BI272" i="5"/>
  <c r="BH272" i="5"/>
  <c r="BG272" i="5"/>
  <c r="BF272" i="5"/>
  <c r="BE272" i="5"/>
  <c r="BD272" i="5"/>
  <c r="BC272" i="5"/>
  <c r="BB272" i="5"/>
  <c r="BA272" i="5"/>
  <c r="AZ272" i="5"/>
  <c r="AY272" i="5"/>
  <c r="AX272" i="5"/>
  <c r="AW272" i="5"/>
  <c r="AV272" i="5"/>
  <c r="AU272" i="5"/>
  <c r="H272" i="5"/>
  <c r="G272" i="5"/>
  <c r="BJ271" i="5"/>
  <c r="BI271" i="5"/>
  <c r="BH271" i="5"/>
  <c r="BG271" i="5"/>
  <c r="BF271" i="5"/>
  <c r="BE271" i="5"/>
  <c r="BD271" i="5"/>
  <c r="BC271" i="5"/>
  <c r="BB271" i="5"/>
  <c r="BA271" i="5"/>
  <c r="AZ271" i="5"/>
  <c r="AY271" i="5"/>
  <c r="AX271" i="5"/>
  <c r="AW271" i="5"/>
  <c r="AV271" i="5"/>
  <c r="AU271" i="5"/>
  <c r="H271" i="5"/>
  <c r="G271" i="5"/>
  <c r="BJ270" i="5"/>
  <c r="BI270" i="5"/>
  <c r="BH270" i="5"/>
  <c r="BG270" i="5"/>
  <c r="BF270" i="5"/>
  <c r="BE270" i="5"/>
  <c r="BD270" i="5"/>
  <c r="BC270" i="5"/>
  <c r="BB270" i="5"/>
  <c r="BA270" i="5"/>
  <c r="AZ270" i="5"/>
  <c r="AY270" i="5"/>
  <c r="AX270" i="5"/>
  <c r="AW270" i="5"/>
  <c r="AV270" i="5"/>
  <c r="AU270" i="5"/>
  <c r="H270" i="5"/>
  <c r="G270" i="5"/>
  <c r="BJ269" i="5"/>
  <c r="BI269" i="5"/>
  <c r="BH269" i="5"/>
  <c r="BG269" i="5"/>
  <c r="BF269" i="5"/>
  <c r="BE269" i="5"/>
  <c r="BD269" i="5"/>
  <c r="BC269" i="5"/>
  <c r="BB269" i="5"/>
  <c r="BA269" i="5"/>
  <c r="AZ269" i="5"/>
  <c r="AY269" i="5"/>
  <c r="AX269" i="5"/>
  <c r="AW269" i="5"/>
  <c r="AV269" i="5"/>
  <c r="AU269" i="5"/>
  <c r="H269" i="5"/>
  <c r="G269" i="5"/>
  <c r="BJ268" i="5"/>
  <c r="BI268" i="5"/>
  <c r="BH268" i="5"/>
  <c r="BG268" i="5"/>
  <c r="BF268" i="5"/>
  <c r="BE268" i="5"/>
  <c r="BD268" i="5"/>
  <c r="BC268" i="5"/>
  <c r="BB268" i="5"/>
  <c r="BA268" i="5"/>
  <c r="AZ268" i="5"/>
  <c r="AY268" i="5"/>
  <c r="AX268" i="5"/>
  <c r="AW268" i="5"/>
  <c r="AV268" i="5"/>
  <c r="AU268" i="5"/>
  <c r="H268" i="5"/>
  <c r="G268" i="5"/>
  <c r="BJ267" i="5"/>
  <c r="BI267" i="5"/>
  <c r="BH267" i="5"/>
  <c r="BG267" i="5"/>
  <c r="BF267" i="5"/>
  <c r="BE267" i="5"/>
  <c r="BD267" i="5"/>
  <c r="BC267" i="5"/>
  <c r="BB267" i="5"/>
  <c r="BA267" i="5"/>
  <c r="AZ267" i="5"/>
  <c r="AY267" i="5"/>
  <c r="AX267" i="5"/>
  <c r="AW267" i="5"/>
  <c r="AV267" i="5"/>
  <c r="AU267" i="5"/>
  <c r="H267" i="5"/>
  <c r="G267" i="5"/>
  <c r="BJ266" i="5"/>
  <c r="BI266" i="5"/>
  <c r="BH266" i="5"/>
  <c r="BG266" i="5"/>
  <c r="BF266" i="5"/>
  <c r="BE266" i="5"/>
  <c r="BD266" i="5"/>
  <c r="BC266" i="5"/>
  <c r="BB266" i="5"/>
  <c r="BA266" i="5"/>
  <c r="AZ266" i="5"/>
  <c r="AY266" i="5"/>
  <c r="AX266" i="5"/>
  <c r="AW266" i="5"/>
  <c r="AV266" i="5"/>
  <c r="AU266" i="5"/>
  <c r="H266" i="5"/>
  <c r="G266" i="5"/>
  <c r="BJ265" i="5"/>
  <c r="BI265" i="5"/>
  <c r="BH265" i="5"/>
  <c r="BG265" i="5"/>
  <c r="BF265" i="5"/>
  <c r="BE265" i="5"/>
  <c r="BD265" i="5"/>
  <c r="BC265" i="5"/>
  <c r="BB265" i="5"/>
  <c r="BA265" i="5"/>
  <c r="AZ265" i="5"/>
  <c r="AY265" i="5"/>
  <c r="AX265" i="5"/>
  <c r="AW265" i="5"/>
  <c r="AV265" i="5"/>
  <c r="AU265" i="5"/>
  <c r="H265" i="5"/>
  <c r="G265" i="5"/>
  <c r="BJ264" i="5"/>
  <c r="BI264" i="5"/>
  <c r="BH264" i="5"/>
  <c r="BG264" i="5"/>
  <c r="BF264" i="5"/>
  <c r="BE264" i="5"/>
  <c r="BD264" i="5"/>
  <c r="BC264" i="5"/>
  <c r="BB264" i="5"/>
  <c r="BA264" i="5"/>
  <c r="AZ264" i="5"/>
  <c r="AY264" i="5"/>
  <c r="AX264" i="5"/>
  <c r="AW264" i="5"/>
  <c r="AV264" i="5"/>
  <c r="AU264" i="5"/>
  <c r="H264" i="5"/>
  <c r="G264" i="5"/>
  <c r="BJ263" i="5"/>
  <c r="BI263" i="5"/>
  <c r="BH263" i="5"/>
  <c r="BG263" i="5"/>
  <c r="BF263" i="5"/>
  <c r="BE263" i="5"/>
  <c r="BD263" i="5"/>
  <c r="BC263" i="5"/>
  <c r="BB263" i="5"/>
  <c r="BA263" i="5"/>
  <c r="AZ263" i="5"/>
  <c r="AY263" i="5"/>
  <c r="AX263" i="5"/>
  <c r="AW263" i="5"/>
  <c r="AV263" i="5"/>
  <c r="AU263" i="5"/>
  <c r="H263" i="5"/>
  <c r="G263" i="5"/>
  <c r="BJ262" i="5"/>
  <c r="BI262" i="5"/>
  <c r="BH262" i="5"/>
  <c r="BG262" i="5"/>
  <c r="BF262" i="5"/>
  <c r="BE262" i="5"/>
  <c r="BD262" i="5"/>
  <c r="BC262" i="5"/>
  <c r="BB262" i="5"/>
  <c r="BA262" i="5"/>
  <c r="AZ262" i="5"/>
  <c r="AY262" i="5"/>
  <c r="AX262" i="5"/>
  <c r="AW262" i="5"/>
  <c r="AV262" i="5"/>
  <c r="AU262" i="5"/>
  <c r="H262" i="5"/>
  <c r="G262" i="5"/>
  <c r="BJ261" i="5"/>
  <c r="BI261" i="5"/>
  <c r="BH261" i="5"/>
  <c r="BG261" i="5"/>
  <c r="BF261" i="5"/>
  <c r="BE261" i="5"/>
  <c r="BD261" i="5"/>
  <c r="BC261" i="5"/>
  <c r="BB261" i="5"/>
  <c r="BA261" i="5"/>
  <c r="AZ261" i="5"/>
  <c r="AY261" i="5"/>
  <c r="AX261" i="5"/>
  <c r="AW261" i="5"/>
  <c r="AV261" i="5"/>
  <c r="AU261" i="5"/>
  <c r="H261" i="5"/>
  <c r="G261" i="5"/>
  <c r="BJ260" i="5"/>
  <c r="BI260" i="5"/>
  <c r="BH260" i="5"/>
  <c r="BG260" i="5"/>
  <c r="BF260" i="5"/>
  <c r="BE260" i="5"/>
  <c r="BD260" i="5"/>
  <c r="BC260" i="5"/>
  <c r="BB260" i="5"/>
  <c r="BA260" i="5"/>
  <c r="AZ260" i="5"/>
  <c r="AY260" i="5"/>
  <c r="AX260" i="5"/>
  <c r="AW260" i="5"/>
  <c r="AV260" i="5"/>
  <c r="AU260" i="5"/>
  <c r="H260" i="5"/>
  <c r="G260" i="5"/>
  <c r="BJ259" i="5"/>
  <c r="BI259" i="5"/>
  <c r="BH259" i="5"/>
  <c r="BG259" i="5"/>
  <c r="BF259" i="5"/>
  <c r="BE259" i="5"/>
  <c r="BD259" i="5"/>
  <c r="BC259" i="5"/>
  <c r="BB259" i="5"/>
  <c r="BA259" i="5"/>
  <c r="AZ259" i="5"/>
  <c r="AY259" i="5"/>
  <c r="AX259" i="5"/>
  <c r="AW259" i="5"/>
  <c r="AV259" i="5"/>
  <c r="AU259" i="5"/>
  <c r="H259" i="5"/>
  <c r="G259" i="5"/>
  <c r="BJ258" i="5"/>
  <c r="BI258" i="5"/>
  <c r="BH258" i="5"/>
  <c r="BG258" i="5"/>
  <c r="BF258" i="5"/>
  <c r="BE258" i="5"/>
  <c r="BD258" i="5"/>
  <c r="BC258" i="5"/>
  <c r="BB258" i="5"/>
  <c r="BA258" i="5"/>
  <c r="AZ258" i="5"/>
  <c r="AY258" i="5"/>
  <c r="AX258" i="5"/>
  <c r="AW258" i="5"/>
  <c r="AV258" i="5"/>
  <c r="AU258" i="5"/>
  <c r="H258" i="5"/>
  <c r="G258" i="5"/>
  <c r="BJ257" i="5"/>
  <c r="BI257" i="5"/>
  <c r="BH257" i="5"/>
  <c r="BG257" i="5"/>
  <c r="BF257" i="5"/>
  <c r="BE257" i="5"/>
  <c r="BD257" i="5"/>
  <c r="BC257" i="5"/>
  <c r="BB257" i="5"/>
  <c r="BA257" i="5"/>
  <c r="AZ257" i="5"/>
  <c r="AY257" i="5"/>
  <c r="AX257" i="5"/>
  <c r="AW257" i="5"/>
  <c r="AV257" i="5"/>
  <c r="AU257" i="5"/>
  <c r="H257" i="5"/>
  <c r="G257" i="5"/>
  <c r="BJ256" i="5"/>
  <c r="BI256" i="5"/>
  <c r="BH256" i="5"/>
  <c r="BG256" i="5"/>
  <c r="BF256" i="5"/>
  <c r="BE256" i="5"/>
  <c r="BD256" i="5"/>
  <c r="BC256" i="5"/>
  <c r="BB256" i="5"/>
  <c r="BA256" i="5"/>
  <c r="AZ256" i="5"/>
  <c r="AY256" i="5"/>
  <c r="AX256" i="5"/>
  <c r="AW256" i="5"/>
  <c r="AV256" i="5"/>
  <c r="AU256" i="5"/>
  <c r="H256" i="5"/>
  <c r="G256" i="5"/>
  <c r="BJ255" i="5"/>
  <c r="BI255" i="5"/>
  <c r="BH255" i="5"/>
  <c r="BG255" i="5"/>
  <c r="BF255" i="5"/>
  <c r="BE255" i="5"/>
  <c r="BD255" i="5"/>
  <c r="BC255" i="5"/>
  <c r="BB255" i="5"/>
  <c r="BA255" i="5"/>
  <c r="AZ255" i="5"/>
  <c r="AY255" i="5"/>
  <c r="AX255" i="5"/>
  <c r="AW255" i="5"/>
  <c r="AV255" i="5"/>
  <c r="AU255" i="5"/>
  <c r="H255" i="5"/>
  <c r="G255" i="5"/>
  <c r="BJ254" i="5"/>
  <c r="BI254" i="5"/>
  <c r="BH254" i="5"/>
  <c r="BG254" i="5"/>
  <c r="BF254" i="5"/>
  <c r="BE254" i="5"/>
  <c r="BD254" i="5"/>
  <c r="BC254" i="5"/>
  <c r="BB254" i="5"/>
  <c r="BA254" i="5"/>
  <c r="AZ254" i="5"/>
  <c r="AY254" i="5"/>
  <c r="AX254" i="5"/>
  <c r="AW254" i="5"/>
  <c r="AV254" i="5"/>
  <c r="AU254" i="5"/>
  <c r="H254" i="5"/>
  <c r="G254" i="5"/>
  <c r="BJ253" i="5"/>
  <c r="BI253" i="5"/>
  <c r="BH253" i="5"/>
  <c r="BG253" i="5"/>
  <c r="BF253" i="5"/>
  <c r="BE253" i="5"/>
  <c r="BD253" i="5"/>
  <c r="BC253" i="5"/>
  <c r="BB253" i="5"/>
  <c r="BA253" i="5"/>
  <c r="AZ253" i="5"/>
  <c r="AY253" i="5"/>
  <c r="AX253" i="5"/>
  <c r="AW253" i="5"/>
  <c r="AV253" i="5"/>
  <c r="AU253" i="5"/>
  <c r="H253" i="5"/>
  <c r="G253" i="5"/>
  <c r="BJ252" i="5"/>
  <c r="BI252" i="5"/>
  <c r="BH252" i="5"/>
  <c r="BG252" i="5"/>
  <c r="BF252" i="5"/>
  <c r="BE252" i="5"/>
  <c r="BD252" i="5"/>
  <c r="BC252" i="5"/>
  <c r="BB252" i="5"/>
  <c r="BA252" i="5"/>
  <c r="AZ252" i="5"/>
  <c r="AY252" i="5"/>
  <c r="AX252" i="5"/>
  <c r="AW252" i="5"/>
  <c r="AV252" i="5"/>
  <c r="AU252" i="5"/>
  <c r="H252" i="5"/>
  <c r="G252" i="5"/>
  <c r="BJ251" i="5"/>
  <c r="BI251" i="5"/>
  <c r="BH251" i="5"/>
  <c r="BG251" i="5"/>
  <c r="BF251" i="5"/>
  <c r="BE251" i="5"/>
  <c r="BD251" i="5"/>
  <c r="BC251" i="5"/>
  <c r="BB251" i="5"/>
  <c r="BA251" i="5"/>
  <c r="AZ251" i="5"/>
  <c r="AY251" i="5"/>
  <c r="AX251" i="5"/>
  <c r="AW251" i="5"/>
  <c r="AV251" i="5"/>
  <c r="AU251" i="5"/>
  <c r="H251" i="5"/>
  <c r="G251" i="5"/>
  <c r="BJ250" i="5"/>
  <c r="BI250" i="5"/>
  <c r="BH250" i="5"/>
  <c r="BG250" i="5"/>
  <c r="BF250" i="5"/>
  <c r="BE250" i="5"/>
  <c r="BD250" i="5"/>
  <c r="BC250" i="5"/>
  <c r="BB250" i="5"/>
  <c r="BA250" i="5"/>
  <c r="AZ250" i="5"/>
  <c r="AY250" i="5"/>
  <c r="AX250" i="5"/>
  <c r="AW250" i="5"/>
  <c r="AV250" i="5"/>
  <c r="AU250" i="5"/>
  <c r="H250" i="5"/>
  <c r="G250" i="5"/>
  <c r="BJ249" i="5"/>
  <c r="BI249" i="5"/>
  <c r="BH249" i="5"/>
  <c r="BG249" i="5"/>
  <c r="BF249" i="5"/>
  <c r="BE249" i="5"/>
  <c r="BD249" i="5"/>
  <c r="BC249" i="5"/>
  <c r="BB249" i="5"/>
  <c r="BA249" i="5"/>
  <c r="AZ249" i="5"/>
  <c r="AY249" i="5"/>
  <c r="AX249" i="5"/>
  <c r="AW249" i="5"/>
  <c r="AV249" i="5"/>
  <c r="AU249" i="5"/>
  <c r="H249" i="5"/>
  <c r="G249" i="5"/>
  <c r="BJ248" i="5"/>
  <c r="BI248" i="5"/>
  <c r="BH248" i="5"/>
  <c r="BG248" i="5"/>
  <c r="BF248" i="5"/>
  <c r="BE248" i="5"/>
  <c r="BD248" i="5"/>
  <c r="BC248" i="5"/>
  <c r="BB248" i="5"/>
  <c r="BA248" i="5"/>
  <c r="AZ248" i="5"/>
  <c r="AY248" i="5"/>
  <c r="AX248" i="5"/>
  <c r="AW248" i="5"/>
  <c r="AV248" i="5"/>
  <c r="AU248" i="5"/>
  <c r="H248" i="5"/>
  <c r="G248" i="5"/>
  <c r="BJ247" i="5"/>
  <c r="BI247" i="5"/>
  <c r="BH247" i="5"/>
  <c r="BG247" i="5"/>
  <c r="BF247" i="5"/>
  <c r="BE247" i="5"/>
  <c r="BD247" i="5"/>
  <c r="BC247" i="5"/>
  <c r="BB247" i="5"/>
  <c r="BA247" i="5"/>
  <c r="AZ247" i="5"/>
  <c r="AY247" i="5"/>
  <c r="AX247" i="5"/>
  <c r="AW247" i="5"/>
  <c r="AV247" i="5"/>
  <c r="AU247" i="5"/>
  <c r="H247" i="5"/>
  <c r="G247" i="5"/>
  <c r="BJ246" i="5"/>
  <c r="BI246" i="5"/>
  <c r="BH246" i="5"/>
  <c r="BG246" i="5"/>
  <c r="BF246" i="5"/>
  <c r="BE246" i="5"/>
  <c r="BD246" i="5"/>
  <c r="BC246" i="5"/>
  <c r="BB246" i="5"/>
  <c r="BA246" i="5"/>
  <c r="AZ246" i="5"/>
  <c r="AY246" i="5"/>
  <c r="AX246" i="5"/>
  <c r="AW246" i="5"/>
  <c r="AV246" i="5"/>
  <c r="AU246" i="5"/>
  <c r="H246" i="5"/>
  <c r="G246" i="5"/>
  <c r="BJ245" i="5"/>
  <c r="BI245" i="5"/>
  <c r="BH245" i="5"/>
  <c r="BG245" i="5"/>
  <c r="BF245" i="5"/>
  <c r="BE245" i="5"/>
  <c r="BD245" i="5"/>
  <c r="BC245" i="5"/>
  <c r="BB245" i="5"/>
  <c r="BA245" i="5"/>
  <c r="AZ245" i="5"/>
  <c r="AY245" i="5"/>
  <c r="AX245" i="5"/>
  <c r="AW245" i="5"/>
  <c r="AV245" i="5"/>
  <c r="AU245" i="5"/>
  <c r="H245" i="5"/>
  <c r="G245" i="5"/>
  <c r="BJ244" i="5"/>
  <c r="BI244" i="5"/>
  <c r="BH244" i="5"/>
  <c r="BG244" i="5"/>
  <c r="BF244" i="5"/>
  <c r="BE244" i="5"/>
  <c r="BD244" i="5"/>
  <c r="BC244" i="5"/>
  <c r="BB244" i="5"/>
  <c r="BA244" i="5"/>
  <c r="AZ244" i="5"/>
  <c r="AY244" i="5"/>
  <c r="AX244" i="5"/>
  <c r="AW244" i="5"/>
  <c r="AV244" i="5"/>
  <c r="AU244" i="5"/>
  <c r="H244" i="5"/>
  <c r="G244" i="5"/>
  <c r="BJ243" i="5"/>
  <c r="BI243" i="5"/>
  <c r="BH243" i="5"/>
  <c r="BG243" i="5"/>
  <c r="BF243" i="5"/>
  <c r="BE243" i="5"/>
  <c r="BD243" i="5"/>
  <c r="BC243" i="5"/>
  <c r="BB243" i="5"/>
  <c r="BA243" i="5"/>
  <c r="AZ243" i="5"/>
  <c r="AY243" i="5"/>
  <c r="AX243" i="5"/>
  <c r="AW243" i="5"/>
  <c r="AV243" i="5"/>
  <c r="AU243" i="5"/>
  <c r="H243" i="5"/>
  <c r="G243" i="5"/>
  <c r="BJ242" i="5"/>
  <c r="BI242" i="5"/>
  <c r="BH242" i="5"/>
  <c r="BG242" i="5"/>
  <c r="BF242" i="5"/>
  <c r="BE242" i="5"/>
  <c r="BD242" i="5"/>
  <c r="BC242" i="5"/>
  <c r="BB242" i="5"/>
  <c r="BA242" i="5"/>
  <c r="AZ242" i="5"/>
  <c r="AY242" i="5"/>
  <c r="AX242" i="5"/>
  <c r="AW242" i="5"/>
  <c r="AV242" i="5"/>
  <c r="AU242" i="5"/>
  <c r="H242" i="5"/>
  <c r="G242" i="5"/>
  <c r="BJ241" i="5"/>
  <c r="BI241" i="5"/>
  <c r="BH241" i="5"/>
  <c r="BG241" i="5"/>
  <c r="BF241" i="5"/>
  <c r="BE241" i="5"/>
  <c r="BD241" i="5"/>
  <c r="BC241" i="5"/>
  <c r="BB241" i="5"/>
  <c r="BA241" i="5"/>
  <c r="AZ241" i="5"/>
  <c r="AY241" i="5"/>
  <c r="AX241" i="5"/>
  <c r="AW241" i="5"/>
  <c r="AV241" i="5"/>
  <c r="AU241" i="5"/>
  <c r="H241" i="5"/>
  <c r="G241" i="5"/>
  <c r="BJ240" i="5"/>
  <c r="BI240" i="5"/>
  <c r="BH240" i="5"/>
  <c r="BG240" i="5"/>
  <c r="BF240" i="5"/>
  <c r="BE240" i="5"/>
  <c r="BD240" i="5"/>
  <c r="BC240" i="5"/>
  <c r="BB240" i="5"/>
  <c r="BA240" i="5"/>
  <c r="AZ240" i="5"/>
  <c r="AY240" i="5"/>
  <c r="AX240" i="5"/>
  <c r="AW240" i="5"/>
  <c r="AV240" i="5"/>
  <c r="AU240" i="5"/>
  <c r="H240" i="5"/>
  <c r="G240" i="5"/>
  <c r="BJ239" i="5"/>
  <c r="BI239" i="5"/>
  <c r="BH239" i="5"/>
  <c r="BG239" i="5"/>
  <c r="BF239" i="5"/>
  <c r="BE239" i="5"/>
  <c r="BD239" i="5"/>
  <c r="BC239" i="5"/>
  <c r="BB239" i="5"/>
  <c r="BA239" i="5"/>
  <c r="AZ239" i="5"/>
  <c r="AY239" i="5"/>
  <c r="AX239" i="5"/>
  <c r="AW239" i="5"/>
  <c r="AV239" i="5"/>
  <c r="AU239" i="5"/>
  <c r="H239" i="5"/>
  <c r="G239" i="5"/>
  <c r="BJ238" i="5"/>
  <c r="BI238" i="5"/>
  <c r="BH238" i="5"/>
  <c r="BG238" i="5"/>
  <c r="BF238" i="5"/>
  <c r="BE238" i="5"/>
  <c r="BD238" i="5"/>
  <c r="BC238" i="5"/>
  <c r="BB238" i="5"/>
  <c r="BA238" i="5"/>
  <c r="AZ238" i="5"/>
  <c r="AY238" i="5"/>
  <c r="AX238" i="5"/>
  <c r="AW238" i="5"/>
  <c r="AV238" i="5"/>
  <c r="AU238" i="5"/>
  <c r="H238" i="5"/>
  <c r="G238" i="5"/>
  <c r="BJ237" i="5"/>
  <c r="BI237" i="5"/>
  <c r="BH237" i="5"/>
  <c r="BG237" i="5"/>
  <c r="BF237" i="5"/>
  <c r="BE237" i="5"/>
  <c r="BD237" i="5"/>
  <c r="BC237" i="5"/>
  <c r="BB237" i="5"/>
  <c r="BA237" i="5"/>
  <c r="AZ237" i="5"/>
  <c r="AY237" i="5"/>
  <c r="AX237" i="5"/>
  <c r="AW237" i="5"/>
  <c r="AV237" i="5"/>
  <c r="AU237" i="5"/>
  <c r="H237" i="5"/>
  <c r="G237" i="5"/>
  <c r="BJ236" i="5"/>
  <c r="BI236" i="5"/>
  <c r="BH236" i="5"/>
  <c r="BG236" i="5"/>
  <c r="BF236" i="5"/>
  <c r="BE236" i="5"/>
  <c r="BD236" i="5"/>
  <c r="BC236" i="5"/>
  <c r="BB236" i="5"/>
  <c r="BA236" i="5"/>
  <c r="AZ236" i="5"/>
  <c r="AY236" i="5"/>
  <c r="AX236" i="5"/>
  <c r="AW236" i="5"/>
  <c r="AV236" i="5"/>
  <c r="AU236" i="5"/>
  <c r="H236" i="5"/>
  <c r="G236" i="5"/>
  <c r="BJ235" i="5"/>
  <c r="BI235" i="5"/>
  <c r="BH235" i="5"/>
  <c r="BG235" i="5"/>
  <c r="BF235" i="5"/>
  <c r="BE235" i="5"/>
  <c r="BD235" i="5"/>
  <c r="BC235" i="5"/>
  <c r="BB235" i="5"/>
  <c r="BA235" i="5"/>
  <c r="AZ235" i="5"/>
  <c r="AY235" i="5"/>
  <c r="AX235" i="5"/>
  <c r="AW235" i="5"/>
  <c r="AV235" i="5"/>
  <c r="AU235" i="5"/>
  <c r="H235" i="5"/>
  <c r="G235" i="5"/>
  <c r="BJ234" i="5"/>
  <c r="BI234" i="5"/>
  <c r="BH234" i="5"/>
  <c r="BG234" i="5"/>
  <c r="BF234" i="5"/>
  <c r="BE234" i="5"/>
  <c r="BD234" i="5"/>
  <c r="BC234" i="5"/>
  <c r="BB234" i="5"/>
  <c r="BA234" i="5"/>
  <c r="AZ234" i="5"/>
  <c r="AY234" i="5"/>
  <c r="AX234" i="5"/>
  <c r="AW234" i="5"/>
  <c r="AV234" i="5"/>
  <c r="AU234" i="5"/>
  <c r="H234" i="5"/>
  <c r="G234" i="5"/>
  <c r="BJ233" i="5"/>
  <c r="BI233" i="5"/>
  <c r="BH233" i="5"/>
  <c r="BG233" i="5"/>
  <c r="BF233" i="5"/>
  <c r="BE233" i="5"/>
  <c r="BD233" i="5"/>
  <c r="BC233" i="5"/>
  <c r="BB233" i="5"/>
  <c r="BA233" i="5"/>
  <c r="AZ233" i="5"/>
  <c r="AY233" i="5"/>
  <c r="AX233" i="5"/>
  <c r="AW233" i="5"/>
  <c r="AV233" i="5"/>
  <c r="AU233" i="5"/>
  <c r="H233" i="5"/>
  <c r="G233" i="5"/>
  <c r="BJ232" i="5"/>
  <c r="BI232" i="5"/>
  <c r="BH232" i="5"/>
  <c r="BG232" i="5"/>
  <c r="BF232" i="5"/>
  <c r="BE232" i="5"/>
  <c r="BD232" i="5"/>
  <c r="BC232" i="5"/>
  <c r="BB232" i="5"/>
  <c r="BA232" i="5"/>
  <c r="AZ232" i="5"/>
  <c r="AY232" i="5"/>
  <c r="AX232" i="5"/>
  <c r="AW232" i="5"/>
  <c r="AV232" i="5"/>
  <c r="AU232" i="5"/>
  <c r="H232" i="5"/>
  <c r="G232" i="5"/>
  <c r="BJ231" i="5"/>
  <c r="BI231" i="5"/>
  <c r="BH231" i="5"/>
  <c r="BG231" i="5"/>
  <c r="BF231" i="5"/>
  <c r="BE231" i="5"/>
  <c r="BD231" i="5"/>
  <c r="BC231" i="5"/>
  <c r="BB231" i="5"/>
  <c r="BA231" i="5"/>
  <c r="AZ231" i="5"/>
  <c r="AY231" i="5"/>
  <c r="AX231" i="5"/>
  <c r="AW231" i="5"/>
  <c r="AV231" i="5"/>
  <c r="AU231" i="5"/>
  <c r="H231" i="5"/>
  <c r="G231" i="5"/>
  <c r="BJ230" i="5"/>
  <c r="BI230" i="5"/>
  <c r="BH230" i="5"/>
  <c r="BG230" i="5"/>
  <c r="BF230" i="5"/>
  <c r="BE230" i="5"/>
  <c r="BD230" i="5"/>
  <c r="BC230" i="5"/>
  <c r="BB230" i="5"/>
  <c r="BA230" i="5"/>
  <c r="AZ230" i="5"/>
  <c r="AY230" i="5"/>
  <c r="AX230" i="5"/>
  <c r="AW230" i="5"/>
  <c r="AV230" i="5"/>
  <c r="AU230" i="5"/>
  <c r="H230" i="5"/>
  <c r="G230" i="5"/>
  <c r="BJ229" i="5"/>
  <c r="BI229" i="5"/>
  <c r="BH229" i="5"/>
  <c r="BG229" i="5"/>
  <c r="BF229" i="5"/>
  <c r="BE229" i="5"/>
  <c r="BD229" i="5"/>
  <c r="BC229" i="5"/>
  <c r="BB229" i="5"/>
  <c r="BA229" i="5"/>
  <c r="AZ229" i="5"/>
  <c r="AY229" i="5"/>
  <c r="AX229" i="5"/>
  <c r="AW229" i="5"/>
  <c r="AV229" i="5"/>
  <c r="AU229" i="5"/>
  <c r="H229" i="5"/>
  <c r="G229" i="5"/>
  <c r="BJ228" i="5"/>
  <c r="BI228" i="5"/>
  <c r="BH228" i="5"/>
  <c r="BG228" i="5"/>
  <c r="BF228" i="5"/>
  <c r="BE228" i="5"/>
  <c r="BD228" i="5"/>
  <c r="BC228" i="5"/>
  <c r="BB228" i="5"/>
  <c r="BA228" i="5"/>
  <c r="AZ228" i="5"/>
  <c r="AY228" i="5"/>
  <c r="AX228" i="5"/>
  <c r="AW228" i="5"/>
  <c r="AV228" i="5"/>
  <c r="AU228" i="5"/>
  <c r="H228" i="5"/>
  <c r="G228" i="5"/>
  <c r="BJ227" i="5"/>
  <c r="BI227" i="5"/>
  <c r="BH227" i="5"/>
  <c r="BG227" i="5"/>
  <c r="BF227" i="5"/>
  <c r="BE227" i="5"/>
  <c r="BD227" i="5"/>
  <c r="BC227" i="5"/>
  <c r="BB227" i="5"/>
  <c r="BA227" i="5"/>
  <c r="AZ227" i="5"/>
  <c r="AY227" i="5"/>
  <c r="AX227" i="5"/>
  <c r="AW227" i="5"/>
  <c r="AV227" i="5"/>
  <c r="AU227" i="5"/>
  <c r="H227" i="5"/>
  <c r="G227" i="5"/>
  <c r="BJ226" i="5"/>
  <c r="BI226" i="5"/>
  <c r="BH226" i="5"/>
  <c r="BG226" i="5"/>
  <c r="BF226" i="5"/>
  <c r="BE226" i="5"/>
  <c r="BD226" i="5"/>
  <c r="BC226" i="5"/>
  <c r="BB226" i="5"/>
  <c r="BA226" i="5"/>
  <c r="AZ226" i="5"/>
  <c r="AY226" i="5"/>
  <c r="AX226" i="5"/>
  <c r="AW226" i="5"/>
  <c r="AV226" i="5"/>
  <c r="AU226" i="5"/>
  <c r="H226" i="5"/>
  <c r="G226" i="5"/>
  <c r="BJ225" i="5"/>
  <c r="BI225" i="5"/>
  <c r="BH225" i="5"/>
  <c r="BG225" i="5"/>
  <c r="BF225" i="5"/>
  <c r="BE225" i="5"/>
  <c r="BD225" i="5"/>
  <c r="BC225" i="5"/>
  <c r="BB225" i="5"/>
  <c r="BA225" i="5"/>
  <c r="AZ225" i="5"/>
  <c r="AY225" i="5"/>
  <c r="AX225" i="5"/>
  <c r="AW225" i="5"/>
  <c r="AV225" i="5"/>
  <c r="AU225" i="5"/>
  <c r="H225" i="5"/>
  <c r="G225" i="5"/>
  <c r="BJ224" i="5"/>
  <c r="BI224" i="5"/>
  <c r="BH224" i="5"/>
  <c r="BG224" i="5"/>
  <c r="BF224" i="5"/>
  <c r="BE224" i="5"/>
  <c r="BD224" i="5"/>
  <c r="BC224" i="5"/>
  <c r="BB224" i="5"/>
  <c r="BA224" i="5"/>
  <c r="AZ224" i="5"/>
  <c r="AY224" i="5"/>
  <c r="AX224" i="5"/>
  <c r="AW224" i="5"/>
  <c r="AV224" i="5"/>
  <c r="AU224" i="5"/>
  <c r="H224" i="5"/>
  <c r="G224" i="5"/>
  <c r="BJ223" i="5"/>
  <c r="BI223" i="5"/>
  <c r="BH223" i="5"/>
  <c r="BG223" i="5"/>
  <c r="BF223" i="5"/>
  <c r="BE223" i="5"/>
  <c r="BD223" i="5"/>
  <c r="BC223" i="5"/>
  <c r="BB223" i="5"/>
  <c r="BA223" i="5"/>
  <c r="AZ223" i="5"/>
  <c r="AY223" i="5"/>
  <c r="AX223" i="5"/>
  <c r="AW223" i="5"/>
  <c r="AV223" i="5"/>
  <c r="AU223" i="5"/>
  <c r="H223" i="5"/>
  <c r="G223" i="5"/>
  <c r="BJ222" i="5"/>
  <c r="BI222" i="5"/>
  <c r="BH222" i="5"/>
  <c r="BG222" i="5"/>
  <c r="BF222" i="5"/>
  <c r="BE222" i="5"/>
  <c r="BD222" i="5"/>
  <c r="BC222" i="5"/>
  <c r="BB222" i="5"/>
  <c r="BA222" i="5"/>
  <c r="AZ222" i="5"/>
  <c r="AY222" i="5"/>
  <c r="AX222" i="5"/>
  <c r="AW222" i="5"/>
  <c r="AV222" i="5"/>
  <c r="AU222" i="5"/>
  <c r="H222" i="5"/>
  <c r="G222" i="5"/>
  <c r="BJ221" i="5"/>
  <c r="BI221" i="5"/>
  <c r="BH221" i="5"/>
  <c r="BG221" i="5"/>
  <c r="BF221" i="5"/>
  <c r="BE221" i="5"/>
  <c r="BD221" i="5"/>
  <c r="BC221" i="5"/>
  <c r="BB221" i="5"/>
  <c r="BA221" i="5"/>
  <c r="AZ221" i="5"/>
  <c r="AY221" i="5"/>
  <c r="AX221" i="5"/>
  <c r="AW221" i="5"/>
  <c r="AV221" i="5"/>
  <c r="AU221" i="5"/>
  <c r="H221" i="5"/>
  <c r="G221" i="5"/>
  <c r="BJ220" i="5"/>
  <c r="BI220" i="5"/>
  <c r="BH220" i="5"/>
  <c r="BG220" i="5"/>
  <c r="BF220" i="5"/>
  <c r="BE220" i="5"/>
  <c r="BD220" i="5"/>
  <c r="BC220" i="5"/>
  <c r="BB220" i="5"/>
  <c r="BA220" i="5"/>
  <c r="AZ220" i="5"/>
  <c r="AY220" i="5"/>
  <c r="AX220" i="5"/>
  <c r="AW220" i="5"/>
  <c r="AV220" i="5"/>
  <c r="AU220" i="5"/>
  <c r="H220" i="5"/>
  <c r="G220" i="5"/>
  <c r="BJ219" i="5"/>
  <c r="BI219" i="5"/>
  <c r="BH219" i="5"/>
  <c r="BG219" i="5"/>
  <c r="BF219" i="5"/>
  <c r="BE219" i="5"/>
  <c r="BD219" i="5"/>
  <c r="BC219" i="5"/>
  <c r="BB219" i="5"/>
  <c r="BA219" i="5"/>
  <c r="AZ219" i="5"/>
  <c r="AY219" i="5"/>
  <c r="AX219" i="5"/>
  <c r="AW219" i="5"/>
  <c r="AV219" i="5"/>
  <c r="AU219" i="5"/>
  <c r="H219" i="5"/>
  <c r="G219" i="5"/>
  <c r="BJ218" i="5"/>
  <c r="BI218" i="5"/>
  <c r="BH218" i="5"/>
  <c r="BG218" i="5"/>
  <c r="BF218" i="5"/>
  <c r="BE218" i="5"/>
  <c r="BD218" i="5"/>
  <c r="BC218" i="5"/>
  <c r="BB218" i="5"/>
  <c r="BA218" i="5"/>
  <c r="AZ218" i="5"/>
  <c r="AY218" i="5"/>
  <c r="AX218" i="5"/>
  <c r="AW218" i="5"/>
  <c r="AV218" i="5"/>
  <c r="AU218" i="5"/>
  <c r="H218" i="5"/>
  <c r="G218" i="5"/>
  <c r="BJ217" i="5"/>
  <c r="BI217" i="5"/>
  <c r="BH217" i="5"/>
  <c r="BG217" i="5"/>
  <c r="BF217" i="5"/>
  <c r="BE217" i="5"/>
  <c r="BD217" i="5"/>
  <c r="BC217" i="5"/>
  <c r="BB217" i="5"/>
  <c r="BA217" i="5"/>
  <c r="AZ217" i="5"/>
  <c r="AY217" i="5"/>
  <c r="AX217" i="5"/>
  <c r="AW217" i="5"/>
  <c r="AV217" i="5"/>
  <c r="AU217" i="5"/>
  <c r="H217" i="5"/>
  <c r="G217" i="5"/>
  <c r="BJ216" i="5"/>
  <c r="BI216" i="5"/>
  <c r="BH216" i="5"/>
  <c r="BG216" i="5"/>
  <c r="BF216" i="5"/>
  <c r="BE216" i="5"/>
  <c r="BD216" i="5"/>
  <c r="BC216" i="5"/>
  <c r="BB216" i="5"/>
  <c r="BA216" i="5"/>
  <c r="AZ216" i="5"/>
  <c r="AY216" i="5"/>
  <c r="AX216" i="5"/>
  <c r="AW216" i="5"/>
  <c r="AV216" i="5"/>
  <c r="AU216" i="5"/>
  <c r="H216" i="5"/>
  <c r="G216" i="5"/>
  <c r="BJ215" i="5"/>
  <c r="BI215" i="5"/>
  <c r="BH215" i="5"/>
  <c r="BG215" i="5"/>
  <c r="BF215" i="5"/>
  <c r="BE215" i="5"/>
  <c r="BD215" i="5"/>
  <c r="BC215" i="5"/>
  <c r="BB215" i="5"/>
  <c r="BA215" i="5"/>
  <c r="AZ215" i="5"/>
  <c r="AY215" i="5"/>
  <c r="AX215" i="5"/>
  <c r="AW215" i="5"/>
  <c r="AV215" i="5"/>
  <c r="AU215" i="5"/>
  <c r="H215" i="5"/>
  <c r="G215" i="5"/>
  <c r="BJ214" i="5"/>
  <c r="BI214" i="5"/>
  <c r="BH214" i="5"/>
  <c r="BG214" i="5"/>
  <c r="BF214" i="5"/>
  <c r="BE214" i="5"/>
  <c r="BD214" i="5"/>
  <c r="BC214" i="5"/>
  <c r="BB214" i="5"/>
  <c r="BA214" i="5"/>
  <c r="AZ214" i="5"/>
  <c r="AY214" i="5"/>
  <c r="AX214" i="5"/>
  <c r="AW214" i="5"/>
  <c r="AV214" i="5"/>
  <c r="AU214" i="5"/>
  <c r="H214" i="5"/>
  <c r="G214" i="5"/>
  <c r="BJ213" i="5"/>
  <c r="BI213" i="5"/>
  <c r="BH213" i="5"/>
  <c r="BG213" i="5"/>
  <c r="BF213" i="5"/>
  <c r="BE213" i="5"/>
  <c r="BD213" i="5"/>
  <c r="BC213" i="5"/>
  <c r="BB213" i="5"/>
  <c r="BA213" i="5"/>
  <c r="AZ213" i="5"/>
  <c r="AY213" i="5"/>
  <c r="AX213" i="5"/>
  <c r="AW213" i="5"/>
  <c r="AV213" i="5"/>
  <c r="AU213" i="5"/>
  <c r="H213" i="5"/>
  <c r="G213" i="5"/>
  <c r="BJ212" i="5"/>
  <c r="BI212" i="5"/>
  <c r="BH212" i="5"/>
  <c r="BG212" i="5"/>
  <c r="BF212" i="5"/>
  <c r="BE212" i="5"/>
  <c r="BD212" i="5"/>
  <c r="BC212" i="5"/>
  <c r="BB212" i="5"/>
  <c r="BA212" i="5"/>
  <c r="AZ212" i="5"/>
  <c r="AY212" i="5"/>
  <c r="AX212" i="5"/>
  <c r="AW212" i="5"/>
  <c r="AV212" i="5"/>
  <c r="AU212" i="5"/>
  <c r="H212" i="5"/>
  <c r="G212" i="5"/>
  <c r="BJ211" i="5"/>
  <c r="BI211" i="5"/>
  <c r="BH211" i="5"/>
  <c r="BG211" i="5"/>
  <c r="BF211" i="5"/>
  <c r="BE211" i="5"/>
  <c r="BD211" i="5"/>
  <c r="BC211" i="5"/>
  <c r="BB211" i="5"/>
  <c r="BA211" i="5"/>
  <c r="AZ211" i="5"/>
  <c r="AY211" i="5"/>
  <c r="AX211" i="5"/>
  <c r="AW211" i="5"/>
  <c r="AV211" i="5"/>
  <c r="AU211" i="5"/>
  <c r="H211" i="5"/>
  <c r="G211" i="5"/>
  <c r="BJ210" i="5"/>
  <c r="BI210" i="5"/>
  <c r="BH210" i="5"/>
  <c r="BG210" i="5"/>
  <c r="BF210" i="5"/>
  <c r="BE210" i="5"/>
  <c r="BD210" i="5"/>
  <c r="BC210" i="5"/>
  <c r="BB210" i="5"/>
  <c r="BA210" i="5"/>
  <c r="AZ210" i="5"/>
  <c r="AY210" i="5"/>
  <c r="AX210" i="5"/>
  <c r="AW210" i="5"/>
  <c r="AV210" i="5"/>
  <c r="AU210" i="5"/>
  <c r="H210" i="5"/>
  <c r="G210" i="5"/>
  <c r="BJ209" i="5"/>
  <c r="BI209" i="5"/>
  <c r="BH209" i="5"/>
  <c r="BG209" i="5"/>
  <c r="BF209" i="5"/>
  <c r="BE209" i="5"/>
  <c r="BD209" i="5"/>
  <c r="BC209" i="5"/>
  <c r="BB209" i="5"/>
  <c r="BA209" i="5"/>
  <c r="AZ209" i="5"/>
  <c r="AY209" i="5"/>
  <c r="AX209" i="5"/>
  <c r="AW209" i="5"/>
  <c r="AV209" i="5"/>
  <c r="AU209" i="5"/>
  <c r="H209" i="5"/>
  <c r="G209" i="5"/>
  <c r="BJ208" i="5"/>
  <c r="BI208" i="5"/>
  <c r="BH208" i="5"/>
  <c r="BG208" i="5"/>
  <c r="BF208" i="5"/>
  <c r="BE208" i="5"/>
  <c r="BD208" i="5"/>
  <c r="BC208" i="5"/>
  <c r="BB208" i="5"/>
  <c r="BA208" i="5"/>
  <c r="AZ208" i="5"/>
  <c r="AY208" i="5"/>
  <c r="AX208" i="5"/>
  <c r="AW208" i="5"/>
  <c r="AV208" i="5"/>
  <c r="AU208" i="5"/>
  <c r="H208" i="5"/>
  <c r="G208" i="5"/>
  <c r="BJ207" i="5"/>
  <c r="BI207" i="5"/>
  <c r="BH207" i="5"/>
  <c r="BG207" i="5"/>
  <c r="BF207" i="5"/>
  <c r="BE207" i="5"/>
  <c r="BD207" i="5"/>
  <c r="BC207" i="5"/>
  <c r="BB207" i="5"/>
  <c r="BA207" i="5"/>
  <c r="AZ207" i="5"/>
  <c r="AY207" i="5"/>
  <c r="AX207" i="5"/>
  <c r="AW207" i="5"/>
  <c r="AV207" i="5"/>
  <c r="AU207" i="5"/>
  <c r="H207" i="5"/>
  <c r="G207" i="5"/>
  <c r="BJ206" i="5"/>
  <c r="BI206" i="5"/>
  <c r="BH206" i="5"/>
  <c r="BG206" i="5"/>
  <c r="BF206" i="5"/>
  <c r="BE206" i="5"/>
  <c r="BD206" i="5"/>
  <c r="BC206" i="5"/>
  <c r="BB206" i="5"/>
  <c r="BA206" i="5"/>
  <c r="AZ206" i="5"/>
  <c r="AY206" i="5"/>
  <c r="AX206" i="5"/>
  <c r="AW206" i="5"/>
  <c r="AV206" i="5"/>
  <c r="AU206" i="5"/>
  <c r="H206" i="5"/>
  <c r="G206" i="5"/>
  <c r="BJ205" i="5"/>
  <c r="BI205" i="5"/>
  <c r="BG205" i="5"/>
  <c r="BF205" i="5"/>
  <c r="BE205" i="5"/>
  <c r="BD205" i="5"/>
  <c r="BC205" i="5"/>
  <c r="BB205" i="5"/>
  <c r="BA205" i="5"/>
  <c r="AZ205" i="5"/>
  <c r="AY205" i="5"/>
  <c r="AX205" i="5"/>
  <c r="AW205" i="5"/>
  <c r="AV205" i="5"/>
  <c r="AU205" i="5"/>
  <c r="BJ204" i="5"/>
  <c r="BI204" i="5"/>
  <c r="BF204" i="5"/>
  <c r="BG204" i="5" s="1"/>
  <c r="BE204" i="5"/>
  <c r="BD204" i="5"/>
  <c r="BC204" i="5"/>
  <c r="BB204" i="5"/>
  <c r="BA204" i="5"/>
  <c r="AZ204" i="5"/>
  <c r="AY204" i="5"/>
  <c r="AX204" i="5"/>
  <c r="AW204" i="5"/>
  <c r="AV204" i="5"/>
  <c r="BJ203" i="5"/>
  <c r="BI203" i="5"/>
  <c r="BF203" i="5"/>
  <c r="BG203" i="5" s="1"/>
  <c r="BE203" i="5"/>
  <c r="BD203" i="5"/>
  <c r="BC203" i="5"/>
  <c r="BB203" i="5"/>
  <c r="BA203" i="5"/>
  <c r="AZ203" i="5"/>
  <c r="AY203" i="5"/>
  <c r="AX203" i="5"/>
  <c r="AW203" i="5"/>
  <c r="AV203" i="5"/>
  <c r="BJ202" i="5"/>
  <c r="BI202" i="5"/>
  <c r="BF202" i="5"/>
  <c r="BG202" i="5" s="1"/>
  <c r="BE202" i="5"/>
  <c r="BD202" i="5"/>
  <c r="BC202" i="5"/>
  <c r="BB202" i="5"/>
  <c r="BA202" i="5"/>
  <c r="AZ202" i="5"/>
  <c r="AY202" i="5"/>
  <c r="AX202" i="5"/>
  <c r="AW202" i="5"/>
  <c r="AV202" i="5"/>
  <c r="BJ201" i="5"/>
  <c r="BI201" i="5"/>
  <c r="BF201" i="5"/>
  <c r="BG201" i="5" s="1"/>
  <c r="BE201" i="5"/>
  <c r="BD201" i="5"/>
  <c r="BC201" i="5"/>
  <c r="BB201" i="5"/>
  <c r="BA201" i="5"/>
  <c r="AZ201" i="5"/>
  <c r="AY201" i="5"/>
  <c r="AX201" i="5"/>
  <c r="AW201" i="5"/>
  <c r="AV201" i="5"/>
  <c r="BJ200" i="5"/>
  <c r="BI200" i="5"/>
  <c r="BF200" i="5"/>
  <c r="BG200" i="5" s="1"/>
  <c r="BE200" i="5"/>
  <c r="BD200" i="5"/>
  <c r="BC200" i="5"/>
  <c r="BB200" i="5"/>
  <c r="BA200" i="5"/>
  <c r="AZ200" i="5"/>
  <c r="AY200" i="5"/>
  <c r="AX200" i="5"/>
  <c r="AW200" i="5"/>
  <c r="AV200" i="5"/>
  <c r="BJ199" i="5"/>
  <c r="BI199" i="5"/>
  <c r="BF199" i="5"/>
  <c r="BG199" i="5" s="1"/>
  <c r="BE199" i="5"/>
  <c r="BD199" i="5"/>
  <c r="BC199" i="5"/>
  <c r="BB199" i="5"/>
  <c r="BA199" i="5"/>
  <c r="AZ199" i="5"/>
  <c r="AY199" i="5"/>
  <c r="AX199" i="5"/>
  <c r="AW199" i="5"/>
  <c r="AV199" i="5"/>
  <c r="BJ198" i="5"/>
  <c r="BI198" i="5"/>
  <c r="BF198" i="5"/>
  <c r="BG198" i="5" s="1"/>
  <c r="BE198" i="5"/>
  <c r="BD198" i="5"/>
  <c r="BC198" i="5"/>
  <c r="BB198" i="5"/>
  <c r="BA198" i="5"/>
  <c r="AZ198" i="5"/>
  <c r="AY198" i="5"/>
  <c r="AX198" i="5"/>
  <c r="AW198" i="5"/>
  <c r="AV198" i="5"/>
  <c r="BJ197" i="5"/>
  <c r="BI197" i="5"/>
  <c r="BF197" i="5"/>
  <c r="BG197" i="5" s="1"/>
  <c r="BE197" i="5"/>
  <c r="BD197" i="5"/>
  <c r="BC197" i="5"/>
  <c r="BB197" i="5"/>
  <c r="BA197" i="5"/>
  <c r="AZ197" i="5"/>
  <c r="AY197" i="5"/>
  <c r="AX197" i="5"/>
  <c r="AW197" i="5"/>
  <c r="AV197" i="5"/>
  <c r="BJ196" i="5"/>
  <c r="BI196" i="5"/>
  <c r="BF196" i="5"/>
  <c r="BG196" i="5" s="1"/>
  <c r="BE196" i="5"/>
  <c r="BD196" i="5"/>
  <c r="BC196" i="5"/>
  <c r="BB196" i="5"/>
  <c r="BA196" i="5"/>
  <c r="AZ196" i="5"/>
  <c r="AY196" i="5"/>
  <c r="AX196" i="5"/>
  <c r="AW196" i="5"/>
  <c r="AV196" i="5"/>
  <c r="BJ195" i="5"/>
  <c r="BI195" i="5"/>
  <c r="BF195" i="5"/>
  <c r="BG195" i="5" s="1"/>
  <c r="BE195" i="5"/>
  <c r="BD195" i="5"/>
  <c r="BC195" i="5"/>
  <c r="BB195" i="5"/>
  <c r="BA195" i="5"/>
  <c r="AZ195" i="5"/>
  <c r="AY195" i="5"/>
  <c r="AX195" i="5"/>
  <c r="AW195" i="5"/>
  <c r="AV195" i="5"/>
  <c r="BJ194" i="5"/>
  <c r="BI194" i="5"/>
  <c r="BF194" i="5"/>
  <c r="BG194" i="5" s="1"/>
  <c r="BE194" i="5"/>
  <c r="BD194" i="5"/>
  <c r="BC194" i="5"/>
  <c r="BB194" i="5"/>
  <c r="BA194" i="5"/>
  <c r="AZ194" i="5"/>
  <c r="AY194" i="5"/>
  <c r="AX194" i="5"/>
  <c r="AW194" i="5"/>
  <c r="AV194" i="5"/>
  <c r="BJ193" i="5"/>
  <c r="BI193" i="5"/>
  <c r="BF193" i="5"/>
  <c r="BG193" i="5" s="1"/>
  <c r="BE193" i="5"/>
  <c r="BD193" i="5"/>
  <c r="BC193" i="5"/>
  <c r="BB193" i="5"/>
  <c r="BA193" i="5"/>
  <c r="AZ193" i="5"/>
  <c r="AY193" i="5"/>
  <c r="AX193" i="5"/>
  <c r="AW193" i="5"/>
  <c r="AV193" i="5"/>
  <c r="BJ192" i="5"/>
  <c r="BI192" i="5"/>
  <c r="BF192" i="5"/>
  <c r="BG192" i="5" s="1"/>
  <c r="BE192" i="5"/>
  <c r="BD192" i="5"/>
  <c r="BC192" i="5"/>
  <c r="BB192" i="5"/>
  <c r="BA192" i="5"/>
  <c r="AZ192" i="5"/>
  <c r="AY192" i="5"/>
  <c r="AX192" i="5"/>
  <c r="AW192" i="5"/>
  <c r="AV192" i="5"/>
  <c r="BJ191" i="5"/>
  <c r="BI191" i="5"/>
  <c r="BF191" i="5"/>
  <c r="BG191" i="5" s="1"/>
  <c r="BE191" i="5"/>
  <c r="BD191" i="5"/>
  <c r="BC191" i="5"/>
  <c r="BB191" i="5"/>
  <c r="BA191" i="5"/>
  <c r="AZ191" i="5"/>
  <c r="AY191" i="5"/>
  <c r="AX191" i="5"/>
  <c r="AW191" i="5"/>
  <c r="AV191" i="5"/>
  <c r="BJ190" i="5"/>
  <c r="BI190" i="5"/>
  <c r="BF190" i="5"/>
  <c r="BG190" i="5" s="1"/>
  <c r="BE190" i="5"/>
  <c r="BD190" i="5"/>
  <c r="BC190" i="5"/>
  <c r="BB190" i="5"/>
  <c r="BA190" i="5"/>
  <c r="AZ190" i="5"/>
  <c r="AY190" i="5"/>
  <c r="AX190" i="5"/>
  <c r="AW190" i="5"/>
  <c r="AV190" i="5"/>
  <c r="BJ189" i="5"/>
  <c r="BI189" i="5"/>
  <c r="BF189" i="5"/>
  <c r="BG189" i="5" s="1"/>
  <c r="BE189" i="5"/>
  <c r="BD189" i="5"/>
  <c r="BC189" i="5"/>
  <c r="BB189" i="5"/>
  <c r="BA189" i="5"/>
  <c r="AZ189" i="5"/>
  <c r="AY189" i="5"/>
  <c r="AX189" i="5"/>
  <c r="AW189" i="5"/>
  <c r="AV189" i="5"/>
  <c r="BJ188" i="5"/>
  <c r="BI188" i="5"/>
  <c r="BF188" i="5"/>
  <c r="BG188" i="5" s="1"/>
  <c r="BE188" i="5"/>
  <c r="BD188" i="5"/>
  <c r="BC188" i="5"/>
  <c r="BB188" i="5"/>
  <c r="BA188" i="5"/>
  <c r="AZ188" i="5"/>
  <c r="AY188" i="5"/>
  <c r="AX188" i="5"/>
  <c r="AW188" i="5"/>
  <c r="AV188" i="5"/>
  <c r="BJ187" i="5"/>
  <c r="BI187" i="5"/>
  <c r="BF187" i="5"/>
  <c r="BG187" i="5" s="1"/>
  <c r="BE187" i="5"/>
  <c r="BD187" i="5"/>
  <c r="BC187" i="5"/>
  <c r="BB187" i="5"/>
  <c r="BA187" i="5"/>
  <c r="AZ187" i="5"/>
  <c r="AY187" i="5"/>
  <c r="AX187" i="5"/>
  <c r="AW187" i="5"/>
  <c r="AV187" i="5"/>
  <c r="BJ186" i="5"/>
  <c r="BI186" i="5"/>
  <c r="BF186" i="5"/>
  <c r="BG186" i="5" s="1"/>
  <c r="BE186" i="5"/>
  <c r="BD186" i="5"/>
  <c r="BC186" i="5"/>
  <c r="BB186" i="5"/>
  <c r="BA186" i="5"/>
  <c r="AZ186" i="5"/>
  <c r="AY186" i="5"/>
  <c r="AX186" i="5"/>
  <c r="AW186" i="5"/>
  <c r="AV186" i="5"/>
  <c r="BJ185" i="5"/>
  <c r="BI185" i="5"/>
  <c r="BF185" i="5"/>
  <c r="BG185" i="5" s="1"/>
  <c r="BE185" i="5"/>
  <c r="BD185" i="5"/>
  <c r="BC185" i="5"/>
  <c r="BB185" i="5"/>
  <c r="BA185" i="5"/>
  <c r="AZ185" i="5"/>
  <c r="AY185" i="5"/>
  <c r="AX185" i="5"/>
  <c r="AW185" i="5"/>
  <c r="AV185" i="5"/>
  <c r="BJ184" i="5"/>
  <c r="BI184" i="5"/>
  <c r="BF184" i="5"/>
  <c r="BG184" i="5" s="1"/>
  <c r="BE184" i="5"/>
  <c r="BD184" i="5"/>
  <c r="BC184" i="5"/>
  <c r="BB184" i="5"/>
  <c r="BA184" i="5"/>
  <c r="AZ184" i="5"/>
  <c r="AY184" i="5"/>
  <c r="AX184" i="5"/>
  <c r="AW184" i="5"/>
  <c r="AV184" i="5"/>
  <c r="BJ183" i="5"/>
  <c r="BI183" i="5"/>
  <c r="BF183" i="5"/>
  <c r="BG183" i="5" s="1"/>
  <c r="BE183" i="5"/>
  <c r="BD183" i="5"/>
  <c r="BC183" i="5"/>
  <c r="BB183" i="5"/>
  <c r="BA183" i="5"/>
  <c r="AZ183" i="5"/>
  <c r="AY183" i="5"/>
  <c r="AX183" i="5"/>
  <c r="AW183" i="5"/>
  <c r="AV183" i="5"/>
  <c r="BJ182" i="5"/>
  <c r="BI182" i="5"/>
  <c r="BF182" i="5"/>
  <c r="BG182" i="5" s="1"/>
  <c r="BE182" i="5"/>
  <c r="BD182" i="5"/>
  <c r="BC182" i="5"/>
  <c r="BB182" i="5"/>
  <c r="BA182" i="5"/>
  <c r="AZ182" i="5"/>
  <c r="AY182" i="5"/>
  <c r="AX182" i="5"/>
  <c r="AW182" i="5"/>
  <c r="AV182" i="5"/>
  <c r="BJ181" i="5"/>
  <c r="BI181" i="5"/>
  <c r="BF181" i="5"/>
  <c r="BG181" i="5" s="1"/>
  <c r="BE181" i="5"/>
  <c r="BD181" i="5"/>
  <c r="BC181" i="5"/>
  <c r="BB181" i="5"/>
  <c r="BA181" i="5"/>
  <c r="AZ181" i="5"/>
  <c r="AY181" i="5"/>
  <c r="AX181" i="5"/>
  <c r="AW181" i="5"/>
  <c r="AV181" i="5"/>
  <c r="BJ180" i="5"/>
  <c r="BI180" i="5"/>
  <c r="BF180" i="5"/>
  <c r="BG180" i="5" s="1"/>
  <c r="BE180" i="5"/>
  <c r="BD180" i="5"/>
  <c r="BC180" i="5"/>
  <c r="BB180" i="5"/>
  <c r="BA180" i="5"/>
  <c r="AZ180" i="5"/>
  <c r="AY180" i="5"/>
  <c r="AX180" i="5"/>
  <c r="AW180" i="5"/>
  <c r="AV180" i="5"/>
  <c r="BJ179" i="5"/>
  <c r="BI179" i="5"/>
  <c r="BF179" i="5"/>
  <c r="BG179" i="5" s="1"/>
  <c r="BE179" i="5"/>
  <c r="BD179" i="5"/>
  <c r="BC179" i="5"/>
  <c r="BB179" i="5"/>
  <c r="BA179" i="5"/>
  <c r="AZ179" i="5"/>
  <c r="AY179" i="5"/>
  <c r="AX179" i="5"/>
  <c r="AW179" i="5"/>
  <c r="AV179" i="5"/>
  <c r="BJ178" i="5"/>
  <c r="BI178" i="5"/>
  <c r="BF178" i="5"/>
  <c r="BG178" i="5" s="1"/>
  <c r="BE178" i="5"/>
  <c r="BD178" i="5"/>
  <c r="BC178" i="5"/>
  <c r="BB178" i="5"/>
  <c r="BA178" i="5"/>
  <c r="AZ178" i="5"/>
  <c r="AY178" i="5"/>
  <c r="AX178" i="5"/>
  <c r="AW178" i="5"/>
  <c r="AV178" i="5"/>
  <c r="BJ177" i="5"/>
  <c r="BI177" i="5"/>
  <c r="BF177" i="5"/>
  <c r="BG177" i="5" s="1"/>
  <c r="BE177" i="5"/>
  <c r="BD177" i="5"/>
  <c r="BC177" i="5"/>
  <c r="BB177" i="5"/>
  <c r="BA177" i="5"/>
  <c r="AZ177" i="5"/>
  <c r="AY177" i="5"/>
  <c r="AX177" i="5"/>
  <c r="AW177" i="5"/>
  <c r="AV177" i="5"/>
  <c r="BJ176" i="5"/>
  <c r="BI176" i="5"/>
  <c r="BF176" i="5"/>
  <c r="BG176" i="5" s="1"/>
  <c r="BE176" i="5"/>
  <c r="BD176" i="5"/>
  <c r="BC176" i="5"/>
  <c r="BB176" i="5"/>
  <c r="BA176" i="5"/>
  <c r="AZ176" i="5"/>
  <c r="AY176" i="5"/>
  <c r="AX176" i="5"/>
  <c r="AW176" i="5"/>
  <c r="AV176" i="5"/>
  <c r="BJ175" i="5"/>
  <c r="BI175" i="5"/>
  <c r="BF175" i="5"/>
  <c r="BG175" i="5" s="1"/>
  <c r="BE175" i="5"/>
  <c r="BD175" i="5"/>
  <c r="BC175" i="5"/>
  <c r="BB175" i="5"/>
  <c r="BA175" i="5"/>
  <c r="AZ175" i="5"/>
  <c r="AY175" i="5"/>
  <c r="AX175" i="5"/>
  <c r="AW175" i="5"/>
  <c r="AV175" i="5"/>
  <c r="BJ174" i="5"/>
  <c r="BI174" i="5"/>
  <c r="BF174" i="5"/>
  <c r="BG174" i="5" s="1"/>
  <c r="BE174" i="5"/>
  <c r="BD174" i="5"/>
  <c r="BC174" i="5"/>
  <c r="BB174" i="5"/>
  <c r="BA174" i="5"/>
  <c r="AZ174" i="5"/>
  <c r="AY174" i="5"/>
  <c r="AX174" i="5"/>
  <c r="AW174" i="5"/>
  <c r="AV174" i="5"/>
  <c r="BJ173" i="5"/>
  <c r="BI173" i="5"/>
  <c r="BF173" i="5"/>
  <c r="BG173" i="5" s="1"/>
  <c r="BE173" i="5"/>
  <c r="BD173" i="5"/>
  <c r="BC173" i="5"/>
  <c r="BB173" i="5"/>
  <c r="BA173" i="5"/>
  <c r="AZ173" i="5"/>
  <c r="AY173" i="5"/>
  <c r="AX173" i="5"/>
  <c r="AW173" i="5"/>
  <c r="AV173" i="5"/>
  <c r="BJ172" i="5"/>
  <c r="BI172" i="5"/>
  <c r="BF172" i="5"/>
  <c r="BG172" i="5" s="1"/>
  <c r="BE172" i="5"/>
  <c r="BD172" i="5"/>
  <c r="BC172" i="5"/>
  <c r="BB172" i="5"/>
  <c r="BA172" i="5"/>
  <c r="AZ172" i="5"/>
  <c r="AY172" i="5"/>
  <c r="AX172" i="5"/>
  <c r="AW172" i="5"/>
  <c r="AV172" i="5"/>
  <c r="BJ171" i="5"/>
  <c r="BI171" i="5"/>
  <c r="BF171" i="5"/>
  <c r="BG171" i="5" s="1"/>
  <c r="BE171" i="5"/>
  <c r="BD171" i="5"/>
  <c r="BC171" i="5"/>
  <c r="BB171" i="5"/>
  <c r="BA171" i="5"/>
  <c r="AZ171" i="5"/>
  <c r="AY171" i="5"/>
  <c r="AX171" i="5"/>
  <c r="AW171" i="5"/>
  <c r="AV171" i="5"/>
  <c r="BJ170" i="5"/>
  <c r="BI170" i="5"/>
  <c r="BF170" i="5"/>
  <c r="BG170" i="5" s="1"/>
  <c r="BE170" i="5"/>
  <c r="BD170" i="5"/>
  <c r="BC170" i="5"/>
  <c r="BB170" i="5"/>
  <c r="BA170" i="5"/>
  <c r="AZ170" i="5"/>
  <c r="AY170" i="5"/>
  <c r="AX170" i="5"/>
  <c r="AW170" i="5"/>
  <c r="AV170" i="5"/>
  <c r="BJ169" i="5"/>
  <c r="BI169" i="5"/>
  <c r="BF169" i="5"/>
  <c r="BG169" i="5" s="1"/>
  <c r="BE169" i="5"/>
  <c r="BD169" i="5"/>
  <c r="BC169" i="5"/>
  <c r="BB169" i="5"/>
  <c r="BA169" i="5"/>
  <c r="AZ169" i="5"/>
  <c r="AY169" i="5"/>
  <c r="AX169" i="5"/>
  <c r="AW169" i="5"/>
  <c r="AV169" i="5"/>
  <c r="BJ168" i="5"/>
  <c r="BI168" i="5"/>
  <c r="BF168" i="5"/>
  <c r="BG168" i="5" s="1"/>
  <c r="BE168" i="5"/>
  <c r="BD168" i="5"/>
  <c r="BC168" i="5"/>
  <c r="BB168" i="5"/>
  <c r="BA168" i="5"/>
  <c r="AZ168" i="5"/>
  <c r="AY168" i="5"/>
  <c r="AX168" i="5"/>
  <c r="AW168" i="5"/>
  <c r="AV168" i="5"/>
  <c r="BJ167" i="5"/>
  <c r="BI167" i="5"/>
  <c r="BF167" i="5"/>
  <c r="BG167" i="5" s="1"/>
  <c r="BE167" i="5"/>
  <c r="BD167" i="5"/>
  <c r="BC167" i="5"/>
  <c r="BB167" i="5"/>
  <c r="BA167" i="5"/>
  <c r="AZ167" i="5"/>
  <c r="AY167" i="5"/>
  <c r="AX167" i="5"/>
  <c r="AW167" i="5"/>
  <c r="AV167" i="5"/>
  <c r="BJ166" i="5"/>
  <c r="BI166" i="5"/>
  <c r="BF166" i="5"/>
  <c r="BG166" i="5" s="1"/>
  <c r="BE166" i="5"/>
  <c r="BD166" i="5"/>
  <c r="BC166" i="5"/>
  <c r="BB166" i="5"/>
  <c r="BA166" i="5"/>
  <c r="AZ166" i="5"/>
  <c r="AY166" i="5"/>
  <c r="AX166" i="5"/>
  <c r="AW166" i="5"/>
  <c r="AV166" i="5"/>
  <c r="BJ165" i="5"/>
  <c r="BI165" i="5"/>
  <c r="BF165" i="5"/>
  <c r="BG165" i="5" s="1"/>
  <c r="BE165" i="5"/>
  <c r="BD165" i="5"/>
  <c r="BC165" i="5"/>
  <c r="BB165" i="5"/>
  <c r="BA165" i="5"/>
  <c r="AZ165" i="5"/>
  <c r="AY165" i="5"/>
  <c r="AX165" i="5"/>
  <c r="AW165" i="5"/>
  <c r="AV165" i="5"/>
  <c r="BJ164" i="5"/>
  <c r="BI164" i="5"/>
  <c r="BF164" i="5"/>
  <c r="BG164" i="5" s="1"/>
  <c r="BE164" i="5"/>
  <c r="BD164" i="5"/>
  <c r="BC164" i="5"/>
  <c r="BB164" i="5"/>
  <c r="BA164" i="5"/>
  <c r="AZ164" i="5"/>
  <c r="AY164" i="5"/>
  <c r="AX164" i="5"/>
  <c r="AW164" i="5"/>
  <c r="AV164" i="5"/>
  <c r="BJ163" i="5"/>
  <c r="BI163" i="5"/>
  <c r="BF163" i="5"/>
  <c r="BG163" i="5" s="1"/>
  <c r="BE163" i="5"/>
  <c r="BD163" i="5"/>
  <c r="BC163" i="5"/>
  <c r="BB163" i="5"/>
  <c r="BA163" i="5"/>
  <c r="AZ163" i="5"/>
  <c r="AY163" i="5"/>
  <c r="AX163" i="5"/>
  <c r="AW163" i="5"/>
  <c r="AV163" i="5"/>
  <c r="BJ162" i="5"/>
  <c r="BI162" i="5"/>
  <c r="BF162" i="5"/>
  <c r="BG162" i="5" s="1"/>
  <c r="BE162" i="5"/>
  <c r="BD162" i="5"/>
  <c r="BC162" i="5"/>
  <c r="BB162" i="5"/>
  <c r="BA162" i="5"/>
  <c r="AZ162" i="5"/>
  <c r="AY162" i="5"/>
  <c r="AX162" i="5"/>
  <c r="AW162" i="5"/>
  <c r="AV162" i="5"/>
  <c r="BJ161" i="5"/>
  <c r="BI161" i="5"/>
  <c r="BF161" i="5"/>
  <c r="BG161" i="5" s="1"/>
  <c r="BE161" i="5"/>
  <c r="BD161" i="5"/>
  <c r="BC161" i="5"/>
  <c r="BB161" i="5"/>
  <c r="BA161" i="5"/>
  <c r="AZ161" i="5"/>
  <c r="AY161" i="5"/>
  <c r="AX161" i="5"/>
  <c r="AW161" i="5"/>
  <c r="AV161" i="5"/>
  <c r="BJ160" i="5"/>
  <c r="BI160" i="5"/>
  <c r="BF160" i="5"/>
  <c r="BG160" i="5" s="1"/>
  <c r="BE160" i="5"/>
  <c r="BD160" i="5"/>
  <c r="BC160" i="5"/>
  <c r="BB160" i="5"/>
  <c r="BA160" i="5"/>
  <c r="AZ160" i="5"/>
  <c r="AY160" i="5"/>
  <c r="AX160" i="5"/>
  <c r="AW160" i="5"/>
  <c r="AV160" i="5"/>
  <c r="BJ159" i="5"/>
  <c r="BI159" i="5"/>
  <c r="BF159" i="5"/>
  <c r="BG159" i="5" s="1"/>
  <c r="BE159" i="5"/>
  <c r="BD159" i="5"/>
  <c r="BC159" i="5"/>
  <c r="BB159" i="5"/>
  <c r="BA159" i="5"/>
  <c r="AZ159" i="5"/>
  <c r="AY159" i="5"/>
  <c r="AX159" i="5"/>
  <c r="AW159" i="5"/>
  <c r="AV159" i="5"/>
  <c r="BJ158" i="5"/>
  <c r="BI158" i="5"/>
  <c r="BF158" i="5"/>
  <c r="BG158" i="5" s="1"/>
  <c r="BE158" i="5"/>
  <c r="BD158" i="5"/>
  <c r="BC158" i="5"/>
  <c r="BB158" i="5"/>
  <c r="BA158" i="5"/>
  <c r="AZ158" i="5"/>
  <c r="AY158" i="5"/>
  <c r="AX158" i="5"/>
  <c r="AW158" i="5"/>
  <c r="AV158" i="5"/>
  <c r="BJ157" i="5"/>
  <c r="BI157" i="5"/>
  <c r="BF157" i="5"/>
  <c r="BG157" i="5" s="1"/>
  <c r="BE157" i="5"/>
  <c r="BD157" i="5"/>
  <c r="BC157" i="5"/>
  <c r="BB157" i="5"/>
  <c r="BA157" i="5"/>
  <c r="AZ157" i="5"/>
  <c r="AY157" i="5"/>
  <c r="AX157" i="5"/>
  <c r="AW157" i="5"/>
  <c r="AV157" i="5"/>
  <c r="BJ156" i="5"/>
  <c r="BI156" i="5"/>
  <c r="BF156" i="5"/>
  <c r="BG156" i="5" s="1"/>
  <c r="BE156" i="5"/>
  <c r="BD156" i="5"/>
  <c r="BC156" i="5"/>
  <c r="BB156" i="5"/>
  <c r="BA156" i="5"/>
  <c r="AZ156" i="5"/>
  <c r="AY156" i="5"/>
  <c r="AX156" i="5"/>
  <c r="AW156" i="5"/>
  <c r="AV156" i="5"/>
  <c r="BJ155" i="5"/>
  <c r="BI155" i="5"/>
  <c r="BF155" i="5"/>
  <c r="BG155" i="5" s="1"/>
  <c r="BE155" i="5"/>
  <c r="BD155" i="5"/>
  <c r="BC155" i="5"/>
  <c r="BB155" i="5"/>
  <c r="BA155" i="5"/>
  <c r="AZ155" i="5"/>
  <c r="AY155" i="5"/>
  <c r="AX155" i="5"/>
  <c r="AW155" i="5"/>
  <c r="AV155" i="5"/>
  <c r="BJ154" i="5"/>
  <c r="BI154" i="5"/>
  <c r="BF154" i="5"/>
  <c r="BG154" i="5" s="1"/>
  <c r="BE154" i="5"/>
  <c r="BD154" i="5"/>
  <c r="BC154" i="5"/>
  <c r="BB154" i="5"/>
  <c r="BA154" i="5"/>
  <c r="AZ154" i="5"/>
  <c r="AY154" i="5"/>
  <c r="AX154" i="5"/>
  <c r="AW154" i="5"/>
  <c r="AV154" i="5"/>
  <c r="H154" i="5"/>
  <c r="G154" i="5"/>
  <c r="BJ153" i="5"/>
  <c r="BI153" i="5"/>
  <c r="BF153" i="5"/>
  <c r="BG153" i="5" s="1"/>
  <c r="BE153" i="5"/>
  <c r="BD153" i="5"/>
  <c r="BC153" i="5"/>
  <c r="BB153" i="5"/>
  <c r="BA153" i="5"/>
  <c r="AZ153" i="5"/>
  <c r="AY153" i="5"/>
  <c r="AX153" i="5"/>
  <c r="AW153" i="5"/>
  <c r="AV153" i="5"/>
  <c r="H153" i="5"/>
  <c r="BJ152" i="5"/>
  <c r="BI152" i="5"/>
  <c r="BF152" i="5"/>
  <c r="BG152" i="5" s="1"/>
  <c r="BE152" i="5"/>
  <c r="BD152" i="5"/>
  <c r="BC152" i="5"/>
  <c r="BB152" i="5"/>
  <c r="BA152" i="5"/>
  <c r="AZ152" i="5"/>
  <c r="AY152" i="5"/>
  <c r="AX152" i="5"/>
  <c r="AW152" i="5"/>
  <c r="AV152" i="5"/>
  <c r="G152" i="5"/>
  <c r="BJ151" i="5"/>
  <c r="BI151" i="5"/>
  <c r="BF151" i="5"/>
  <c r="BG151" i="5" s="1"/>
  <c r="BE151" i="5"/>
  <c r="BD151" i="5"/>
  <c r="BC151" i="5"/>
  <c r="BB151" i="5"/>
  <c r="BA151" i="5"/>
  <c r="AZ151" i="5"/>
  <c r="AY151" i="5"/>
  <c r="AX151" i="5"/>
  <c r="AW151" i="5"/>
  <c r="AV151" i="5"/>
  <c r="H151" i="5"/>
  <c r="G151" i="5"/>
  <c r="BJ150" i="5"/>
  <c r="BI150" i="5"/>
  <c r="BF150" i="5"/>
  <c r="BG150" i="5" s="1"/>
  <c r="BE150" i="5"/>
  <c r="BD150" i="5"/>
  <c r="BC150" i="5"/>
  <c r="BB150" i="5"/>
  <c r="BA150" i="5"/>
  <c r="AZ150" i="5"/>
  <c r="AY150" i="5"/>
  <c r="AX150" i="5"/>
  <c r="AW150" i="5"/>
  <c r="AV150" i="5"/>
  <c r="H150" i="5"/>
  <c r="G150" i="5"/>
  <c r="BJ149" i="5"/>
  <c r="BI149" i="5"/>
  <c r="BF149" i="5"/>
  <c r="BG149" i="5" s="1"/>
  <c r="BE149" i="5"/>
  <c r="BD149" i="5"/>
  <c r="BC149" i="5"/>
  <c r="BB149" i="5"/>
  <c r="BA149" i="5"/>
  <c r="AZ149" i="5"/>
  <c r="AY149" i="5"/>
  <c r="AX149" i="5"/>
  <c r="AW149" i="5"/>
  <c r="AV149" i="5"/>
  <c r="H149" i="5"/>
  <c r="G149" i="5"/>
  <c r="BJ148" i="5"/>
  <c r="BI148" i="5"/>
  <c r="BF148" i="5"/>
  <c r="BG148" i="5" s="1"/>
  <c r="BE148" i="5"/>
  <c r="BD148" i="5"/>
  <c r="BC148" i="5"/>
  <c r="BB148" i="5"/>
  <c r="BA148" i="5"/>
  <c r="AZ148" i="5"/>
  <c r="AY148" i="5"/>
  <c r="AX148" i="5"/>
  <c r="AW148" i="5"/>
  <c r="AV148" i="5"/>
  <c r="H148" i="5"/>
  <c r="G148" i="5"/>
  <c r="BJ147" i="5"/>
  <c r="BI147" i="5"/>
  <c r="BF147" i="5"/>
  <c r="BG147" i="5" s="1"/>
  <c r="BE147" i="5"/>
  <c r="BD147" i="5"/>
  <c r="BC147" i="5"/>
  <c r="BB147" i="5"/>
  <c r="BA147" i="5"/>
  <c r="AZ147" i="5"/>
  <c r="AY147" i="5"/>
  <c r="AX147" i="5"/>
  <c r="AW147" i="5"/>
  <c r="AV147" i="5"/>
  <c r="H147" i="5"/>
  <c r="G147" i="5"/>
  <c r="BJ146" i="5"/>
  <c r="BI146" i="5"/>
  <c r="BF146" i="5"/>
  <c r="BG146" i="5" s="1"/>
  <c r="BE146" i="5"/>
  <c r="BD146" i="5"/>
  <c r="BC146" i="5"/>
  <c r="BB146" i="5"/>
  <c r="BA146" i="5"/>
  <c r="AZ146" i="5"/>
  <c r="AY146" i="5"/>
  <c r="AX146" i="5"/>
  <c r="AW146" i="5"/>
  <c r="AV146" i="5"/>
  <c r="H146" i="5"/>
  <c r="G146" i="5"/>
  <c r="BJ145" i="5"/>
  <c r="BI145" i="5"/>
  <c r="BF145" i="5"/>
  <c r="BG145" i="5" s="1"/>
  <c r="BE145" i="5"/>
  <c r="BD145" i="5"/>
  <c r="BC145" i="5"/>
  <c r="BB145" i="5"/>
  <c r="BA145" i="5"/>
  <c r="AZ145" i="5"/>
  <c r="AY145" i="5"/>
  <c r="AX145" i="5"/>
  <c r="AW145" i="5"/>
  <c r="AV145" i="5"/>
  <c r="H145" i="5"/>
  <c r="G145" i="5"/>
  <c r="BJ144" i="5"/>
  <c r="BI144" i="5"/>
  <c r="BF144" i="5"/>
  <c r="BG144" i="5" s="1"/>
  <c r="BE144" i="5"/>
  <c r="BD144" i="5"/>
  <c r="BC144" i="5"/>
  <c r="BB144" i="5"/>
  <c r="BA144" i="5"/>
  <c r="AZ144" i="5"/>
  <c r="AY144" i="5"/>
  <c r="AX144" i="5"/>
  <c r="AW144" i="5"/>
  <c r="AV144" i="5"/>
  <c r="H144" i="5"/>
  <c r="G144" i="5"/>
  <c r="BJ143" i="5"/>
  <c r="BI143" i="5"/>
  <c r="BF143" i="5"/>
  <c r="BG143" i="5" s="1"/>
  <c r="BE143" i="5"/>
  <c r="BD143" i="5"/>
  <c r="BC143" i="5"/>
  <c r="BB143" i="5"/>
  <c r="BA143" i="5"/>
  <c r="AZ143" i="5"/>
  <c r="AY143" i="5"/>
  <c r="AX143" i="5"/>
  <c r="AW143" i="5"/>
  <c r="AV143" i="5"/>
  <c r="H143" i="5"/>
  <c r="G143" i="5"/>
  <c r="BJ142" i="5"/>
  <c r="BI142" i="5"/>
  <c r="BF142" i="5"/>
  <c r="BG142" i="5" s="1"/>
  <c r="BE142" i="5"/>
  <c r="BD142" i="5"/>
  <c r="BC142" i="5"/>
  <c r="BB142" i="5"/>
  <c r="BA142" i="5"/>
  <c r="AZ142" i="5"/>
  <c r="AY142" i="5"/>
  <c r="AX142" i="5"/>
  <c r="AW142" i="5"/>
  <c r="AV142" i="5"/>
  <c r="H142" i="5"/>
  <c r="G142" i="5"/>
  <c r="BJ141" i="5"/>
  <c r="BI141" i="5"/>
  <c r="BF141" i="5"/>
  <c r="BG141" i="5" s="1"/>
  <c r="BE141" i="5"/>
  <c r="BD141" i="5"/>
  <c r="BC141" i="5"/>
  <c r="BB141" i="5"/>
  <c r="BA141" i="5"/>
  <c r="AZ141" i="5"/>
  <c r="AY141" i="5"/>
  <c r="AX141" i="5"/>
  <c r="AW141" i="5"/>
  <c r="AV141" i="5"/>
  <c r="H141" i="5"/>
  <c r="G141" i="5"/>
  <c r="BJ140" i="5"/>
  <c r="BI140" i="5"/>
  <c r="BF140" i="5"/>
  <c r="BG140" i="5" s="1"/>
  <c r="BE140" i="5"/>
  <c r="BD140" i="5"/>
  <c r="BC140" i="5"/>
  <c r="BB140" i="5"/>
  <c r="BA140" i="5"/>
  <c r="AZ140" i="5"/>
  <c r="AY140" i="5"/>
  <c r="AX140" i="5"/>
  <c r="AW140" i="5"/>
  <c r="AV140" i="5"/>
  <c r="H140" i="5"/>
  <c r="G140" i="5"/>
  <c r="BJ139" i="5"/>
  <c r="BI139" i="5"/>
  <c r="BF139" i="5"/>
  <c r="BG139" i="5" s="1"/>
  <c r="BE139" i="5"/>
  <c r="BD139" i="5"/>
  <c r="BC139" i="5"/>
  <c r="BB139" i="5"/>
  <c r="BA139" i="5"/>
  <c r="AZ139" i="5"/>
  <c r="AY139" i="5"/>
  <c r="AX139" i="5"/>
  <c r="AW139" i="5"/>
  <c r="AV139" i="5"/>
  <c r="H139" i="5"/>
  <c r="G139" i="5"/>
  <c r="BJ138" i="5"/>
  <c r="BI138" i="5"/>
  <c r="BF138" i="5"/>
  <c r="BG138" i="5" s="1"/>
  <c r="BE138" i="5"/>
  <c r="BD138" i="5"/>
  <c r="BC138" i="5"/>
  <c r="BB138" i="5"/>
  <c r="BA138" i="5"/>
  <c r="AZ138" i="5"/>
  <c r="AY138" i="5"/>
  <c r="AX138" i="5"/>
  <c r="AW138" i="5"/>
  <c r="AV138" i="5"/>
  <c r="H138" i="5"/>
  <c r="G138" i="5"/>
  <c r="BJ137" i="5"/>
  <c r="BI137" i="5"/>
  <c r="BF137" i="5"/>
  <c r="BG137" i="5" s="1"/>
  <c r="BE137" i="5"/>
  <c r="BD137" i="5"/>
  <c r="BC137" i="5"/>
  <c r="BB137" i="5"/>
  <c r="BA137" i="5"/>
  <c r="AZ137" i="5"/>
  <c r="AY137" i="5"/>
  <c r="AX137" i="5"/>
  <c r="AW137" i="5"/>
  <c r="AV137" i="5"/>
  <c r="H137" i="5"/>
  <c r="G137" i="5"/>
  <c r="BJ28" i="5"/>
  <c r="BI28" i="5"/>
  <c r="BF28" i="5"/>
  <c r="BG28" i="5" s="1"/>
  <c r="BE28" i="5"/>
  <c r="BD28" i="5"/>
  <c r="BC28" i="5"/>
  <c r="BB28" i="5"/>
  <c r="BA28" i="5"/>
  <c r="AZ28" i="5"/>
  <c r="AY28" i="5"/>
  <c r="AX28" i="5"/>
  <c r="AW28" i="5"/>
  <c r="AV28" i="5"/>
  <c r="H28" i="5"/>
  <c r="G28" i="5"/>
  <c r="BJ136" i="5"/>
  <c r="BI136" i="5"/>
  <c r="BF136" i="5"/>
  <c r="BG136" i="5" s="1"/>
  <c r="BE136" i="5"/>
  <c r="BD136" i="5"/>
  <c r="BC136" i="5"/>
  <c r="BB136" i="5"/>
  <c r="BA136" i="5"/>
  <c r="AZ136" i="5"/>
  <c r="AY136" i="5"/>
  <c r="AX136" i="5"/>
  <c r="AW136" i="5"/>
  <c r="AV136" i="5"/>
  <c r="H136" i="5"/>
  <c r="G136" i="5"/>
  <c r="BJ27" i="5"/>
  <c r="BI27" i="5"/>
  <c r="BF27" i="5"/>
  <c r="BG27" i="5" s="1"/>
  <c r="BE27" i="5"/>
  <c r="BD27" i="5"/>
  <c r="BC27" i="5"/>
  <c r="BB27" i="5"/>
  <c r="BA27" i="5"/>
  <c r="AZ27" i="5"/>
  <c r="AY27" i="5"/>
  <c r="AX27" i="5"/>
  <c r="AW27" i="5"/>
  <c r="AV27" i="5"/>
  <c r="H27" i="5"/>
  <c r="G27" i="5"/>
  <c r="BJ135" i="5"/>
  <c r="BI135" i="5"/>
  <c r="BF135" i="5"/>
  <c r="BG135" i="5" s="1"/>
  <c r="BE135" i="5"/>
  <c r="BD135" i="5"/>
  <c r="BC135" i="5"/>
  <c r="BB135" i="5"/>
  <c r="BA135" i="5"/>
  <c r="AZ135" i="5"/>
  <c r="AY135" i="5"/>
  <c r="AX135" i="5"/>
  <c r="AW135" i="5"/>
  <c r="AV135" i="5"/>
  <c r="H135" i="5"/>
  <c r="G135" i="5"/>
  <c r="BJ134" i="5"/>
  <c r="BI134" i="5"/>
  <c r="BF134" i="5"/>
  <c r="BG134" i="5" s="1"/>
  <c r="BE134" i="5"/>
  <c r="BD134" i="5"/>
  <c r="BC134" i="5"/>
  <c r="BB134" i="5"/>
  <c r="BA134" i="5"/>
  <c r="AZ134" i="5"/>
  <c r="AY134" i="5"/>
  <c r="AX134" i="5"/>
  <c r="AW134" i="5"/>
  <c r="AV134" i="5"/>
  <c r="H134" i="5"/>
  <c r="G134" i="5"/>
  <c r="BJ133" i="5"/>
  <c r="BI133" i="5"/>
  <c r="BF133" i="5"/>
  <c r="BG133" i="5" s="1"/>
  <c r="BE133" i="5"/>
  <c r="BD133" i="5"/>
  <c r="BC133" i="5"/>
  <c r="BB133" i="5"/>
  <c r="BA133" i="5"/>
  <c r="AZ133" i="5"/>
  <c r="AY133" i="5"/>
  <c r="AX133" i="5"/>
  <c r="AW133" i="5"/>
  <c r="AV133" i="5"/>
  <c r="H133" i="5"/>
  <c r="G133" i="5"/>
  <c r="BJ132" i="5"/>
  <c r="BI132" i="5"/>
  <c r="BF132" i="5"/>
  <c r="BG132" i="5" s="1"/>
  <c r="BE132" i="5"/>
  <c r="BD132" i="5"/>
  <c r="BC132" i="5"/>
  <c r="BB132" i="5"/>
  <c r="BA132" i="5"/>
  <c r="AZ132" i="5"/>
  <c r="AY132" i="5"/>
  <c r="AX132" i="5"/>
  <c r="AW132" i="5"/>
  <c r="AV132" i="5"/>
  <c r="H132" i="5"/>
  <c r="G132" i="5"/>
  <c r="BJ131" i="5"/>
  <c r="BI131" i="5"/>
  <c r="BF131" i="5"/>
  <c r="BG131" i="5" s="1"/>
  <c r="BE131" i="5"/>
  <c r="BD131" i="5"/>
  <c r="BC131" i="5"/>
  <c r="BB131" i="5"/>
  <c r="BA131" i="5"/>
  <c r="AZ131" i="5"/>
  <c r="AY131" i="5"/>
  <c r="AX131" i="5"/>
  <c r="AW131" i="5"/>
  <c r="AV131" i="5"/>
  <c r="H131" i="5"/>
  <c r="G131" i="5"/>
  <c r="BJ130" i="5"/>
  <c r="BI130" i="5"/>
  <c r="BF130" i="5"/>
  <c r="BG130" i="5" s="1"/>
  <c r="BE130" i="5"/>
  <c r="BD130" i="5"/>
  <c r="BC130" i="5"/>
  <c r="BB130" i="5"/>
  <c r="BA130" i="5"/>
  <c r="AZ130" i="5"/>
  <c r="AY130" i="5"/>
  <c r="AX130" i="5"/>
  <c r="AW130" i="5"/>
  <c r="AV130" i="5"/>
  <c r="H130" i="5"/>
  <c r="G130" i="5"/>
  <c r="BJ129" i="5"/>
  <c r="BI129" i="5"/>
  <c r="BF129" i="5"/>
  <c r="BG129" i="5" s="1"/>
  <c r="BE129" i="5"/>
  <c r="BD129" i="5"/>
  <c r="BC129" i="5"/>
  <c r="BB129" i="5"/>
  <c r="BA129" i="5"/>
  <c r="AZ129" i="5"/>
  <c r="AY129" i="5"/>
  <c r="AX129" i="5"/>
  <c r="AW129" i="5"/>
  <c r="AV129" i="5"/>
  <c r="H129" i="5"/>
  <c r="G129" i="5"/>
  <c r="BJ26" i="5"/>
  <c r="BI26" i="5"/>
  <c r="BF26" i="5"/>
  <c r="BG26" i="5" s="1"/>
  <c r="BE26" i="5"/>
  <c r="BD26" i="5"/>
  <c r="BC26" i="5"/>
  <c r="BB26" i="5"/>
  <c r="BA26" i="5"/>
  <c r="AZ26" i="5"/>
  <c r="AY26" i="5"/>
  <c r="AX26" i="5"/>
  <c r="AW26" i="5"/>
  <c r="AV26" i="5"/>
  <c r="H26" i="5"/>
  <c r="G26" i="5"/>
  <c r="BJ25" i="5"/>
  <c r="BI25" i="5"/>
  <c r="BF25" i="5"/>
  <c r="BG25" i="5" s="1"/>
  <c r="BE25" i="5"/>
  <c r="BD25" i="5"/>
  <c r="BC25" i="5"/>
  <c r="BB25" i="5"/>
  <c r="BA25" i="5"/>
  <c r="AZ25" i="5"/>
  <c r="AY25" i="5"/>
  <c r="AX25" i="5"/>
  <c r="AW25" i="5"/>
  <c r="AV25" i="5"/>
  <c r="H25" i="5"/>
  <c r="G25" i="5"/>
  <c r="BJ24" i="5"/>
  <c r="BI24" i="5"/>
  <c r="BF24" i="5"/>
  <c r="BG24" i="5" s="1"/>
  <c r="BE24" i="5"/>
  <c r="BD24" i="5"/>
  <c r="BC24" i="5"/>
  <c r="BB24" i="5"/>
  <c r="BA24" i="5"/>
  <c r="AZ24" i="5"/>
  <c r="AY24" i="5"/>
  <c r="AX24" i="5"/>
  <c r="AW24" i="5"/>
  <c r="AV24" i="5"/>
  <c r="H24" i="5"/>
  <c r="G24" i="5"/>
  <c r="BJ128" i="5"/>
  <c r="BI128" i="5"/>
  <c r="BF128" i="5"/>
  <c r="BG128" i="5" s="1"/>
  <c r="BE128" i="5"/>
  <c r="BD128" i="5"/>
  <c r="BC128" i="5"/>
  <c r="BB128" i="5"/>
  <c r="BA128" i="5"/>
  <c r="AZ128" i="5"/>
  <c r="AY128" i="5"/>
  <c r="AX128" i="5"/>
  <c r="AW128" i="5"/>
  <c r="AV128" i="5"/>
  <c r="H128" i="5"/>
  <c r="G128" i="5"/>
  <c r="BJ127" i="5"/>
  <c r="BI127" i="5"/>
  <c r="BF127" i="5"/>
  <c r="BG127" i="5" s="1"/>
  <c r="BE127" i="5"/>
  <c r="BD127" i="5"/>
  <c r="BC127" i="5"/>
  <c r="BB127" i="5"/>
  <c r="BA127" i="5"/>
  <c r="AZ127" i="5"/>
  <c r="AY127" i="5"/>
  <c r="AX127" i="5"/>
  <c r="AW127" i="5"/>
  <c r="AV127" i="5"/>
  <c r="H127" i="5"/>
  <c r="G127" i="5"/>
  <c r="BJ126" i="5"/>
  <c r="BI126" i="5"/>
  <c r="BF126" i="5"/>
  <c r="BG126" i="5" s="1"/>
  <c r="BE126" i="5"/>
  <c r="BD126" i="5"/>
  <c r="BC126" i="5"/>
  <c r="BB126" i="5"/>
  <c r="BA126" i="5"/>
  <c r="AZ126" i="5"/>
  <c r="AY126" i="5"/>
  <c r="AX126" i="5"/>
  <c r="AW126" i="5"/>
  <c r="AV126" i="5"/>
  <c r="H126" i="5"/>
  <c r="G126" i="5"/>
  <c r="BJ125" i="5"/>
  <c r="BI125" i="5"/>
  <c r="BF125" i="5"/>
  <c r="BG125" i="5" s="1"/>
  <c r="BE125" i="5"/>
  <c r="BD125" i="5"/>
  <c r="BC125" i="5"/>
  <c r="BB125" i="5"/>
  <c r="BA125" i="5"/>
  <c r="AZ125" i="5"/>
  <c r="AY125" i="5"/>
  <c r="AX125" i="5"/>
  <c r="AW125" i="5"/>
  <c r="AV125" i="5"/>
  <c r="H125" i="5"/>
  <c r="G125" i="5"/>
  <c r="BJ23" i="5"/>
  <c r="BI23" i="5"/>
  <c r="BF23" i="5"/>
  <c r="BG23" i="5" s="1"/>
  <c r="BE23" i="5"/>
  <c r="BD23" i="5"/>
  <c r="BC23" i="5"/>
  <c r="BB23" i="5"/>
  <c r="BA23" i="5"/>
  <c r="AZ23" i="5"/>
  <c r="AY23" i="5"/>
  <c r="AX23" i="5"/>
  <c r="AW23" i="5"/>
  <c r="AV23" i="5"/>
  <c r="H23" i="5"/>
  <c r="G23" i="5"/>
  <c r="BJ22" i="5"/>
  <c r="BI22" i="5"/>
  <c r="BF22" i="5"/>
  <c r="BG22" i="5" s="1"/>
  <c r="BE22" i="5"/>
  <c r="BD22" i="5"/>
  <c r="BC22" i="5"/>
  <c r="BB22" i="5"/>
  <c r="BA22" i="5"/>
  <c r="AZ22" i="5"/>
  <c r="AY22" i="5"/>
  <c r="AX22" i="5"/>
  <c r="AW22" i="5"/>
  <c r="AV22" i="5"/>
  <c r="H22" i="5"/>
  <c r="G22" i="5"/>
  <c r="BJ21" i="5"/>
  <c r="BI21" i="5"/>
  <c r="BF21" i="5"/>
  <c r="BG21" i="5" s="1"/>
  <c r="BE21" i="5"/>
  <c r="BD21" i="5"/>
  <c r="BC21" i="5"/>
  <c r="BB21" i="5"/>
  <c r="BA21" i="5"/>
  <c r="AZ21" i="5"/>
  <c r="AY21" i="5"/>
  <c r="AX21" i="5"/>
  <c r="AW21" i="5"/>
  <c r="AV21" i="5"/>
  <c r="H21" i="5"/>
  <c r="G21" i="5"/>
  <c r="BJ20" i="5"/>
  <c r="BI20" i="5"/>
  <c r="BF20" i="5"/>
  <c r="BG20" i="5" s="1"/>
  <c r="BE20" i="5"/>
  <c r="BD20" i="5"/>
  <c r="BC20" i="5"/>
  <c r="BB20" i="5"/>
  <c r="BA20" i="5"/>
  <c r="AZ20" i="5"/>
  <c r="AY20" i="5"/>
  <c r="AX20" i="5"/>
  <c r="AW20" i="5"/>
  <c r="AV20" i="5"/>
  <c r="H20" i="5"/>
  <c r="G20" i="5"/>
  <c r="BJ19" i="5"/>
  <c r="BI19" i="5"/>
  <c r="BF19" i="5"/>
  <c r="BG19" i="5" s="1"/>
  <c r="BE19" i="5"/>
  <c r="BD19" i="5"/>
  <c r="BC19" i="5"/>
  <c r="BB19" i="5"/>
  <c r="BA19" i="5"/>
  <c r="AZ19" i="5"/>
  <c r="AY19" i="5"/>
  <c r="AX19" i="5"/>
  <c r="AW19" i="5"/>
  <c r="AV19" i="5"/>
  <c r="H19" i="5"/>
  <c r="G19" i="5"/>
  <c r="BJ124" i="5"/>
  <c r="BI124" i="5"/>
  <c r="BF124" i="5"/>
  <c r="BG124" i="5" s="1"/>
  <c r="BE124" i="5"/>
  <c r="BD124" i="5"/>
  <c r="BC124" i="5"/>
  <c r="BB124" i="5"/>
  <c r="BA124" i="5"/>
  <c r="AZ124" i="5"/>
  <c r="AY124" i="5"/>
  <c r="AX124" i="5"/>
  <c r="AW124" i="5"/>
  <c r="AV124" i="5"/>
  <c r="H124" i="5"/>
  <c r="G124" i="5"/>
  <c r="BJ123" i="5"/>
  <c r="BI123" i="5"/>
  <c r="BF123" i="5"/>
  <c r="BG123" i="5" s="1"/>
  <c r="BE123" i="5"/>
  <c r="BD123" i="5"/>
  <c r="BC123" i="5"/>
  <c r="BB123" i="5"/>
  <c r="BA123" i="5"/>
  <c r="AZ123" i="5"/>
  <c r="AY123" i="5"/>
  <c r="AX123" i="5"/>
  <c r="AW123" i="5"/>
  <c r="AV123" i="5"/>
  <c r="H123" i="5"/>
  <c r="G123" i="5"/>
  <c r="BJ18" i="5"/>
  <c r="BI18" i="5"/>
  <c r="BF18" i="5"/>
  <c r="BG18" i="5" s="1"/>
  <c r="BE18" i="5"/>
  <c r="BD18" i="5"/>
  <c r="BC18" i="5"/>
  <c r="BB18" i="5"/>
  <c r="BA18" i="5"/>
  <c r="AZ18" i="5"/>
  <c r="AY18" i="5"/>
  <c r="AX18" i="5"/>
  <c r="AW18" i="5"/>
  <c r="AV18" i="5"/>
  <c r="H18" i="5"/>
  <c r="G18" i="5"/>
  <c r="BJ17" i="5"/>
  <c r="BI17" i="5"/>
  <c r="BF17" i="5"/>
  <c r="BG17" i="5" s="1"/>
  <c r="BE17" i="5"/>
  <c r="BD17" i="5"/>
  <c r="BC17" i="5"/>
  <c r="BB17" i="5"/>
  <c r="BA17" i="5"/>
  <c r="AZ17" i="5"/>
  <c r="AY17" i="5"/>
  <c r="AX17" i="5"/>
  <c r="AW17" i="5"/>
  <c r="AV17" i="5"/>
  <c r="H17" i="5"/>
  <c r="G17" i="5"/>
  <c r="BJ122" i="5"/>
  <c r="BI122" i="5"/>
  <c r="BF122" i="5"/>
  <c r="BG122" i="5" s="1"/>
  <c r="BE122" i="5"/>
  <c r="BD122" i="5"/>
  <c r="BC122" i="5"/>
  <c r="BB122" i="5"/>
  <c r="BA122" i="5"/>
  <c r="AZ122" i="5"/>
  <c r="AY122" i="5"/>
  <c r="AX122" i="5"/>
  <c r="AW122" i="5"/>
  <c r="AV122" i="5"/>
  <c r="H122" i="5"/>
  <c r="G122" i="5"/>
  <c r="BJ16" i="5"/>
  <c r="BI16" i="5"/>
  <c r="BF16" i="5"/>
  <c r="BG16" i="5" s="1"/>
  <c r="BE16" i="5"/>
  <c r="BD16" i="5"/>
  <c r="BC16" i="5"/>
  <c r="BB16" i="5"/>
  <c r="BA16" i="5"/>
  <c r="AZ16" i="5"/>
  <c r="AY16" i="5"/>
  <c r="AX16" i="5"/>
  <c r="AW16" i="5"/>
  <c r="AV16" i="5"/>
  <c r="H16" i="5"/>
  <c r="G16" i="5"/>
  <c r="BJ15" i="5"/>
  <c r="BI15" i="5"/>
  <c r="BF15" i="5"/>
  <c r="BG15" i="5" s="1"/>
  <c r="BE15" i="5"/>
  <c r="BD15" i="5"/>
  <c r="BC15" i="5"/>
  <c r="BB15" i="5"/>
  <c r="BA15" i="5"/>
  <c r="AZ15" i="5"/>
  <c r="AY15" i="5"/>
  <c r="AX15" i="5"/>
  <c r="AW15" i="5"/>
  <c r="AV15" i="5"/>
  <c r="H15" i="5"/>
  <c r="G15" i="5"/>
  <c r="BJ14" i="5"/>
  <c r="BI14" i="5"/>
  <c r="BF14" i="5"/>
  <c r="BG14" i="5" s="1"/>
  <c r="BE14" i="5"/>
  <c r="BD14" i="5"/>
  <c r="BC14" i="5"/>
  <c r="BB14" i="5"/>
  <c r="BA14" i="5"/>
  <c r="AZ14" i="5"/>
  <c r="AY14" i="5"/>
  <c r="AX14" i="5"/>
  <c r="AW14" i="5"/>
  <c r="AV14" i="5"/>
  <c r="H14" i="5"/>
  <c r="G14" i="5"/>
  <c r="BJ13" i="5"/>
  <c r="BI13" i="5"/>
  <c r="BF13" i="5"/>
  <c r="BG13" i="5" s="1"/>
  <c r="BE13" i="5"/>
  <c r="BD13" i="5"/>
  <c r="BC13" i="5"/>
  <c r="BB13" i="5"/>
  <c r="BA13" i="5"/>
  <c r="AZ13" i="5"/>
  <c r="AY13" i="5"/>
  <c r="AX13" i="5"/>
  <c r="AW13" i="5"/>
  <c r="AV13" i="5"/>
  <c r="H13" i="5"/>
  <c r="G13" i="5"/>
  <c r="BJ121" i="5"/>
  <c r="BI121" i="5"/>
  <c r="BF121" i="5"/>
  <c r="BG121" i="5" s="1"/>
  <c r="BE121" i="5"/>
  <c r="BD121" i="5"/>
  <c r="BC121" i="5"/>
  <c r="BB121" i="5"/>
  <c r="BA121" i="5"/>
  <c r="AZ121" i="5"/>
  <c r="AY121" i="5"/>
  <c r="AX121" i="5"/>
  <c r="AW121" i="5"/>
  <c r="AV121" i="5"/>
  <c r="H121" i="5"/>
  <c r="G121" i="5"/>
  <c r="BJ120" i="5"/>
  <c r="BI120" i="5"/>
  <c r="BF120" i="5"/>
  <c r="BG120" i="5" s="1"/>
  <c r="BE120" i="5"/>
  <c r="BD120" i="5"/>
  <c r="BC120" i="5"/>
  <c r="BB120" i="5"/>
  <c r="BA120" i="5"/>
  <c r="AZ120" i="5"/>
  <c r="AY120" i="5"/>
  <c r="AX120" i="5"/>
  <c r="AW120" i="5"/>
  <c r="AV120" i="5"/>
  <c r="H120" i="5"/>
  <c r="G120" i="5"/>
  <c r="BJ119" i="5"/>
  <c r="BI119" i="5"/>
  <c r="BF119" i="5"/>
  <c r="BG119" i="5" s="1"/>
  <c r="BE119" i="5"/>
  <c r="BD119" i="5"/>
  <c r="BC119" i="5"/>
  <c r="BB119" i="5"/>
  <c r="BA119" i="5"/>
  <c r="AZ119" i="5"/>
  <c r="AY119" i="5"/>
  <c r="AX119" i="5"/>
  <c r="AW119" i="5"/>
  <c r="AV119" i="5"/>
  <c r="H119" i="5"/>
  <c r="G119" i="5"/>
  <c r="BJ118" i="5"/>
  <c r="BI118" i="5"/>
  <c r="BF118" i="5"/>
  <c r="BG118" i="5" s="1"/>
  <c r="BE118" i="5"/>
  <c r="BD118" i="5"/>
  <c r="BC118" i="5"/>
  <c r="BB118" i="5"/>
  <c r="BA118" i="5"/>
  <c r="AZ118" i="5"/>
  <c r="AY118" i="5"/>
  <c r="AX118" i="5"/>
  <c r="AW118" i="5"/>
  <c r="AV118" i="5"/>
  <c r="H118" i="5"/>
  <c r="G118" i="5"/>
  <c r="BJ117" i="5"/>
  <c r="BI117" i="5"/>
  <c r="BF117" i="5"/>
  <c r="BG117" i="5" s="1"/>
  <c r="BE117" i="5"/>
  <c r="BD117" i="5"/>
  <c r="BC117" i="5"/>
  <c r="BB117" i="5"/>
  <c r="BA117" i="5"/>
  <c r="AZ117" i="5"/>
  <c r="AY117" i="5"/>
  <c r="AX117" i="5"/>
  <c r="AW117" i="5"/>
  <c r="AV117" i="5"/>
  <c r="H117" i="5"/>
  <c r="G117" i="5"/>
  <c r="BJ116" i="5"/>
  <c r="BI116" i="5"/>
  <c r="BF116" i="5"/>
  <c r="BG116" i="5" s="1"/>
  <c r="BE116" i="5"/>
  <c r="BD116" i="5"/>
  <c r="BC116" i="5"/>
  <c r="BB116" i="5"/>
  <c r="BA116" i="5"/>
  <c r="AZ116" i="5"/>
  <c r="AY116" i="5"/>
  <c r="AX116" i="5"/>
  <c r="AW116" i="5"/>
  <c r="AV116" i="5"/>
  <c r="H116" i="5"/>
  <c r="G116" i="5"/>
  <c r="BJ115" i="5"/>
  <c r="BI115" i="5"/>
  <c r="BF115" i="5"/>
  <c r="BG115" i="5" s="1"/>
  <c r="BE115" i="5"/>
  <c r="BD115" i="5"/>
  <c r="BC115" i="5"/>
  <c r="BB115" i="5"/>
  <c r="BA115" i="5"/>
  <c r="AZ115" i="5"/>
  <c r="AY115" i="5"/>
  <c r="AX115" i="5"/>
  <c r="AW115" i="5"/>
  <c r="AV115" i="5"/>
  <c r="H115" i="5"/>
  <c r="G115" i="5"/>
  <c r="BJ114" i="5"/>
  <c r="BI114" i="5"/>
  <c r="BF114" i="5"/>
  <c r="BG114" i="5" s="1"/>
  <c r="BE114" i="5"/>
  <c r="BD114" i="5"/>
  <c r="BC114" i="5"/>
  <c r="BB114" i="5"/>
  <c r="BA114" i="5"/>
  <c r="AZ114" i="5"/>
  <c r="AY114" i="5"/>
  <c r="AX114" i="5"/>
  <c r="AW114" i="5"/>
  <c r="AV114" i="5"/>
  <c r="H114" i="5"/>
  <c r="G114" i="5"/>
  <c r="BJ113" i="5"/>
  <c r="BI113" i="5"/>
  <c r="BF113" i="5"/>
  <c r="BG113" i="5" s="1"/>
  <c r="BE113" i="5"/>
  <c r="BD113" i="5"/>
  <c r="BC113" i="5"/>
  <c r="BB113" i="5"/>
  <c r="BA113" i="5"/>
  <c r="AZ113" i="5"/>
  <c r="AY113" i="5"/>
  <c r="AX113" i="5"/>
  <c r="AW113" i="5"/>
  <c r="AV113" i="5"/>
  <c r="H113" i="5"/>
  <c r="G113" i="5"/>
  <c r="BJ112" i="5"/>
  <c r="BI112" i="5"/>
  <c r="BF112" i="5"/>
  <c r="BG112" i="5" s="1"/>
  <c r="BE112" i="5"/>
  <c r="BD112" i="5"/>
  <c r="BC112" i="5"/>
  <c r="BB112" i="5"/>
  <c r="BA112" i="5"/>
  <c r="AZ112" i="5"/>
  <c r="AY112" i="5"/>
  <c r="AX112" i="5"/>
  <c r="AW112" i="5"/>
  <c r="AV112" i="5"/>
  <c r="H112" i="5"/>
  <c r="G112" i="5"/>
  <c r="BJ111" i="5"/>
  <c r="BI111" i="5"/>
  <c r="BF111" i="5"/>
  <c r="BG111" i="5" s="1"/>
  <c r="BE111" i="5"/>
  <c r="BD111" i="5"/>
  <c r="BC111" i="5"/>
  <c r="BB111" i="5"/>
  <c r="BA111" i="5"/>
  <c r="AZ111" i="5"/>
  <c r="AY111" i="5"/>
  <c r="AX111" i="5"/>
  <c r="AW111" i="5"/>
  <c r="AV111" i="5"/>
  <c r="H111" i="5"/>
  <c r="G111" i="5"/>
  <c r="BJ110" i="5"/>
  <c r="BI110" i="5"/>
  <c r="BF110" i="5"/>
  <c r="BG110" i="5" s="1"/>
  <c r="BE110" i="5"/>
  <c r="BD110" i="5"/>
  <c r="BC110" i="5"/>
  <c r="BB110" i="5"/>
  <c r="BA110" i="5"/>
  <c r="AZ110" i="5"/>
  <c r="AY110" i="5"/>
  <c r="AX110" i="5"/>
  <c r="AW110" i="5"/>
  <c r="AV110" i="5"/>
  <c r="H110" i="5"/>
  <c r="G110" i="5"/>
  <c r="BJ109" i="5"/>
  <c r="BI109" i="5"/>
  <c r="BF109" i="5"/>
  <c r="BG109" i="5" s="1"/>
  <c r="BE109" i="5"/>
  <c r="BD109" i="5"/>
  <c r="BC109" i="5"/>
  <c r="BB109" i="5"/>
  <c r="BA109" i="5"/>
  <c r="AZ109" i="5"/>
  <c r="AY109" i="5"/>
  <c r="AX109" i="5"/>
  <c r="AW109" i="5"/>
  <c r="AV109" i="5"/>
  <c r="H109" i="5"/>
  <c r="G109" i="5"/>
  <c r="BJ108" i="5"/>
  <c r="BI108" i="5"/>
  <c r="BF108" i="5"/>
  <c r="BG108" i="5" s="1"/>
  <c r="BE108" i="5"/>
  <c r="BD108" i="5"/>
  <c r="BC108" i="5"/>
  <c r="BB108" i="5"/>
  <c r="BA108" i="5"/>
  <c r="AZ108" i="5"/>
  <c r="AY108" i="5"/>
  <c r="AX108" i="5"/>
  <c r="AW108" i="5"/>
  <c r="AV108" i="5"/>
  <c r="H108" i="5"/>
  <c r="G108" i="5"/>
  <c r="BJ107" i="5"/>
  <c r="BI107" i="5"/>
  <c r="BF107" i="5"/>
  <c r="BG107" i="5" s="1"/>
  <c r="BE107" i="5"/>
  <c r="BD107" i="5"/>
  <c r="BC107" i="5"/>
  <c r="BB107" i="5"/>
  <c r="BA107" i="5"/>
  <c r="AZ107" i="5"/>
  <c r="AY107" i="5"/>
  <c r="AX107" i="5"/>
  <c r="AW107" i="5"/>
  <c r="AV107" i="5"/>
  <c r="H107" i="5"/>
  <c r="G107" i="5"/>
  <c r="BJ106" i="5"/>
  <c r="BI106" i="5"/>
  <c r="BF106" i="5"/>
  <c r="BG106" i="5" s="1"/>
  <c r="BE106" i="5"/>
  <c r="BD106" i="5"/>
  <c r="BC106" i="5"/>
  <c r="BB106" i="5"/>
  <c r="BA106" i="5"/>
  <c r="AZ106" i="5"/>
  <c r="AY106" i="5"/>
  <c r="AX106" i="5"/>
  <c r="AW106" i="5"/>
  <c r="AV106" i="5"/>
  <c r="H106" i="5"/>
  <c r="G106" i="5"/>
  <c r="BJ105" i="5"/>
  <c r="BI105" i="5"/>
  <c r="BF105" i="5"/>
  <c r="BG105" i="5" s="1"/>
  <c r="BE105" i="5"/>
  <c r="BD105" i="5"/>
  <c r="BC105" i="5"/>
  <c r="BB105" i="5"/>
  <c r="BA105" i="5"/>
  <c r="AZ105" i="5"/>
  <c r="AY105" i="5"/>
  <c r="AX105" i="5"/>
  <c r="AW105" i="5"/>
  <c r="AV105" i="5"/>
  <c r="H105" i="5"/>
  <c r="G105" i="5"/>
  <c r="BJ104" i="5"/>
  <c r="BI104" i="5"/>
  <c r="BF104" i="5"/>
  <c r="BG104" i="5" s="1"/>
  <c r="BE104" i="5"/>
  <c r="BD104" i="5"/>
  <c r="BC104" i="5"/>
  <c r="BB104" i="5"/>
  <c r="BA104" i="5"/>
  <c r="AZ104" i="5"/>
  <c r="AY104" i="5"/>
  <c r="AX104" i="5"/>
  <c r="AW104" i="5"/>
  <c r="AV104" i="5"/>
  <c r="H104" i="5"/>
  <c r="G104" i="5"/>
  <c r="BJ103" i="5"/>
  <c r="BI103" i="5"/>
  <c r="BF103" i="5"/>
  <c r="BG103" i="5" s="1"/>
  <c r="BE103" i="5"/>
  <c r="BD103" i="5"/>
  <c r="BC103" i="5"/>
  <c r="BB103" i="5"/>
  <c r="BA103" i="5"/>
  <c r="AZ103" i="5"/>
  <c r="AY103" i="5"/>
  <c r="AX103" i="5"/>
  <c r="AW103" i="5"/>
  <c r="AV103" i="5"/>
  <c r="H103" i="5"/>
  <c r="G103" i="5"/>
  <c r="BJ102" i="5"/>
  <c r="BI102" i="5"/>
  <c r="BF102" i="5"/>
  <c r="BG102" i="5" s="1"/>
  <c r="BE102" i="5"/>
  <c r="BD102" i="5"/>
  <c r="BC102" i="5"/>
  <c r="BB102" i="5"/>
  <c r="BA102" i="5"/>
  <c r="AZ102" i="5"/>
  <c r="AY102" i="5"/>
  <c r="AX102" i="5"/>
  <c r="AW102" i="5"/>
  <c r="AV102" i="5"/>
  <c r="H102" i="5"/>
  <c r="G102" i="5"/>
  <c r="BJ101" i="5"/>
  <c r="BI101" i="5"/>
  <c r="BF101" i="5"/>
  <c r="BG101" i="5" s="1"/>
  <c r="BE101" i="5"/>
  <c r="BD101" i="5"/>
  <c r="BC101" i="5"/>
  <c r="BB101" i="5"/>
  <c r="BA101" i="5"/>
  <c r="AZ101" i="5"/>
  <c r="AY101" i="5"/>
  <c r="AX101" i="5"/>
  <c r="AW101" i="5"/>
  <c r="AV101" i="5"/>
  <c r="H101" i="5"/>
  <c r="G101" i="5"/>
  <c r="BJ100" i="5"/>
  <c r="BI100" i="5"/>
  <c r="BF100" i="5"/>
  <c r="BG100" i="5" s="1"/>
  <c r="BE100" i="5"/>
  <c r="BD100" i="5"/>
  <c r="BC100" i="5"/>
  <c r="BB100" i="5"/>
  <c r="BA100" i="5"/>
  <c r="AZ100" i="5"/>
  <c r="AY100" i="5"/>
  <c r="AX100" i="5"/>
  <c r="AW100" i="5"/>
  <c r="AV100" i="5"/>
  <c r="H100" i="5"/>
  <c r="G100" i="5"/>
  <c r="BJ99" i="5"/>
  <c r="BI99" i="5"/>
  <c r="BF99" i="5"/>
  <c r="BG99" i="5" s="1"/>
  <c r="BE99" i="5"/>
  <c r="BD99" i="5"/>
  <c r="BC99" i="5"/>
  <c r="BB99" i="5"/>
  <c r="BA99" i="5"/>
  <c r="AZ99" i="5"/>
  <c r="AY99" i="5"/>
  <c r="AX99" i="5"/>
  <c r="AW99" i="5"/>
  <c r="AV99" i="5"/>
  <c r="H99" i="5"/>
  <c r="G99" i="5"/>
  <c r="BJ98" i="5"/>
  <c r="BI98" i="5"/>
  <c r="BF98" i="5"/>
  <c r="BG98" i="5" s="1"/>
  <c r="BE98" i="5"/>
  <c r="BD98" i="5"/>
  <c r="BC98" i="5"/>
  <c r="BB98" i="5"/>
  <c r="BA98" i="5"/>
  <c r="AZ98" i="5"/>
  <c r="AY98" i="5"/>
  <c r="AX98" i="5"/>
  <c r="AW98" i="5"/>
  <c r="AV98" i="5"/>
  <c r="H98" i="5"/>
  <c r="G98" i="5"/>
  <c r="BJ97" i="5"/>
  <c r="BI97" i="5"/>
  <c r="BF97" i="5"/>
  <c r="BG97" i="5" s="1"/>
  <c r="BE97" i="5"/>
  <c r="BD97" i="5"/>
  <c r="BC97" i="5"/>
  <c r="BB97" i="5"/>
  <c r="BA97" i="5"/>
  <c r="AZ97" i="5"/>
  <c r="AY97" i="5"/>
  <c r="AX97" i="5"/>
  <c r="AW97" i="5"/>
  <c r="AV97" i="5"/>
  <c r="H97" i="5"/>
  <c r="G97" i="5"/>
  <c r="BJ96" i="5"/>
  <c r="BI96" i="5"/>
  <c r="BF96" i="5"/>
  <c r="BG96" i="5" s="1"/>
  <c r="BE96" i="5"/>
  <c r="BD96" i="5"/>
  <c r="BC96" i="5"/>
  <c r="BB96" i="5"/>
  <c r="BA96" i="5"/>
  <c r="AZ96" i="5"/>
  <c r="AY96" i="5"/>
  <c r="AX96" i="5"/>
  <c r="AW96" i="5"/>
  <c r="AV96" i="5"/>
  <c r="H96" i="5"/>
  <c r="G96" i="5"/>
  <c r="BJ95" i="5"/>
  <c r="BI95" i="5"/>
  <c r="BF95" i="5"/>
  <c r="BG95" i="5" s="1"/>
  <c r="BE95" i="5"/>
  <c r="BD95" i="5"/>
  <c r="BC95" i="5"/>
  <c r="BB95" i="5"/>
  <c r="BA95" i="5"/>
  <c r="AZ95" i="5"/>
  <c r="AY95" i="5"/>
  <c r="AX95" i="5"/>
  <c r="AW95" i="5"/>
  <c r="AV95" i="5"/>
  <c r="H95" i="5"/>
  <c r="G95" i="5"/>
  <c r="BJ94" i="5"/>
  <c r="BI94" i="5"/>
  <c r="BF94" i="5"/>
  <c r="BG94" i="5" s="1"/>
  <c r="BE94" i="5"/>
  <c r="BD94" i="5"/>
  <c r="BC94" i="5"/>
  <c r="BB94" i="5"/>
  <c r="BA94" i="5"/>
  <c r="AZ94" i="5"/>
  <c r="AY94" i="5"/>
  <c r="AX94" i="5"/>
  <c r="AW94" i="5"/>
  <c r="AV94" i="5"/>
  <c r="H94" i="5"/>
  <c r="G94" i="5"/>
  <c r="BJ93" i="5"/>
  <c r="BI93" i="5"/>
  <c r="BF93" i="5"/>
  <c r="BG93" i="5" s="1"/>
  <c r="BE93" i="5"/>
  <c r="BD93" i="5"/>
  <c r="BC93" i="5"/>
  <c r="BB93" i="5"/>
  <c r="BA93" i="5"/>
  <c r="AZ93" i="5"/>
  <c r="AY93" i="5"/>
  <c r="AX93" i="5"/>
  <c r="AW93" i="5"/>
  <c r="AV93" i="5"/>
  <c r="H93" i="5"/>
  <c r="G93" i="5"/>
  <c r="BJ92" i="5"/>
  <c r="BI92" i="5"/>
  <c r="BF92" i="5"/>
  <c r="BG92" i="5" s="1"/>
  <c r="BE92" i="5"/>
  <c r="BD92" i="5"/>
  <c r="BC92" i="5"/>
  <c r="BB92" i="5"/>
  <c r="BA92" i="5"/>
  <c r="AZ92" i="5"/>
  <c r="AY92" i="5"/>
  <c r="AX92" i="5"/>
  <c r="AW92" i="5"/>
  <c r="AV92" i="5"/>
  <c r="H92" i="5"/>
  <c r="G92" i="5"/>
  <c r="BJ91" i="5"/>
  <c r="BI91" i="5"/>
  <c r="BF91" i="5"/>
  <c r="BG91" i="5" s="1"/>
  <c r="BE91" i="5"/>
  <c r="BD91" i="5"/>
  <c r="BC91" i="5"/>
  <c r="BB91" i="5"/>
  <c r="BA91" i="5"/>
  <c r="AZ91" i="5"/>
  <c r="AY91" i="5"/>
  <c r="AX91" i="5"/>
  <c r="AW91" i="5"/>
  <c r="AV91" i="5"/>
  <c r="H91" i="5"/>
  <c r="G91" i="5"/>
  <c r="BJ90" i="5"/>
  <c r="BI90" i="5"/>
  <c r="BF90" i="5"/>
  <c r="BG90" i="5" s="1"/>
  <c r="BE90" i="5"/>
  <c r="BD90" i="5"/>
  <c r="BC90" i="5"/>
  <c r="BB90" i="5"/>
  <c r="BA90" i="5"/>
  <c r="AZ90" i="5"/>
  <c r="AY90" i="5"/>
  <c r="AX90" i="5"/>
  <c r="AW90" i="5"/>
  <c r="AV90" i="5"/>
  <c r="H90" i="5"/>
  <c r="G90" i="5"/>
  <c r="BJ89" i="5"/>
  <c r="BI89" i="5"/>
  <c r="BF89" i="5"/>
  <c r="BG89" i="5" s="1"/>
  <c r="BE89" i="5"/>
  <c r="BD89" i="5"/>
  <c r="BC89" i="5"/>
  <c r="BB89" i="5"/>
  <c r="BA89" i="5"/>
  <c r="AZ89" i="5"/>
  <c r="AY89" i="5"/>
  <c r="AX89" i="5"/>
  <c r="AW89" i="5"/>
  <c r="AV89" i="5"/>
  <c r="H89" i="5"/>
  <c r="G89" i="5"/>
  <c r="BJ88" i="5"/>
  <c r="BI88" i="5"/>
  <c r="BF88" i="5"/>
  <c r="BG88" i="5" s="1"/>
  <c r="BE88" i="5"/>
  <c r="BD88" i="5"/>
  <c r="BC88" i="5"/>
  <c r="BB88" i="5"/>
  <c r="BA88" i="5"/>
  <c r="AZ88" i="5"/>
  <c r="AY88" i="5"/>
  <c r="AX88" i="5"/>
  <c r="AW88" i="5"/>
  <c r="AV88" i="5"/>
  <c r="H88" i="5"/>
  <c r="G88" i="5"/>
  <c r="BJ87" i="5"/>
  <c r="BI87" i="5"/>
  <c r="BF87" i="5"/>
  <c r="BG87" i="5" s="1"/>
  <c r="BE87" i="5"/>
  <c r="BD87" i="5"/>
  <c r="BC87" i="5"/>
  <c r="BB87" i="5"/>
  <c r="BA87" i="5"/>
  <c r="AZ87" i="5"/>
  <c r="AY87" i="5"/>
  <c r="AX87" i="5"/>
  <c r="AW87" i="5"/>
  <c r="AV87" i="5"/>
  <c r="H87" i="5"/>
  <c r="G87" i="5"/>
  <c r="BJ86" i="5"/>
  <c r="BI86" i="5"/>
  <c r="BF86" i="5"/>
  <c r="BG86" i="5" s="1"/>
  <c r="BE86" i="5"/>
  <c r="BD86" i="5"/>
  <c r="BC86" i="5"/>
  <c r="BB86" i="5"/>
  <c r="BA86" i="5"/>
  <c r="AZ86" i="5"/>
  <c r="AY86" i="5"/>
  <c r="AX86" i="5"/>
  <c r="AW86" i="5"/>
  <c r="AV86" i="5"/>
  <c r="H86" i="5"/>
  <c r="G86" i="5"/>
  <c r="BJ85" i="5"/>
  <c r="BI85" i="5"/>
  <c r="BF85" i="5"/>
  <c r="BG85" i="5" s="1"/>
  <c r="BE85" i="5"/>
  <c r="BD85" i="5"/>
  <c r="BC85" i="5"/>
  <c r="BB85" i="5"/>
  <c r="BA85" i="5"/>
  <c r="AZ85" i="5"/>
  <c r="AY85" i="5"/>
  <c r="AX85" i="5"/>
  <c r="AW85" i="5"/>
  <c r="AV85" i="5"/>
  <c r="H85" i="5"/>
  <c r="G85" i="5"/>
  <c r="BJ12" i="5"/>
  <c r="BI12" i="5"/>
  <c r="BF12" i="5"/>
  <c r="BG12" i="5" s="1"/>
  <c r="BE12" i="5"/>
  <c r="BD12" i="5"/>
  <c r="BC12" i="5"/>
  <c r="BB12" i="5"/>
  <c r="BA12" i="5"/>
  <c r="AZ12" i="5"/>
  <c r="AY12" i="5"/>
  <c r="AX12" i="5"/>
  <c r="AW12" i="5"/>
  <c r="AV12" i="5"/>
  <c r="H12" i="5"/>
  <c r="G12" i="5"/>
  <c r="BJ84" i="5"/>
  <c r="BI84" i="5"/>
  <c r="BF84" i="5"/>
  <c r="BG84" i="5" s="1"/>
  <c r="BE84" i="5"/>
  <c r="BD84" i="5"/>
  <c r="BC84" i="5"/>
  <c r="BB84" i="5"/>
  <c r="BA84" i="5"/>
  <c r="AZ84" i="5"/>
  <c r="AY84" i="5"/>
  <c r="AX84" i="5"/>
  <c r="AW84" i="5"/>
  <c r="AV84" i="5"/>
  <c r="H84" i="5"/>
  <c r="G84" i="5"/>
  <c r="BJ11" i="5"/>
  <c r="BI11" i="5"/>
  <c r="BF11" i="5"/>
  <c r="BG11" i="5" s="1"/>
  <c r="BE11" i="5"/>
  <c r="BD11" i="5"/>
  <c r="BC11" i="5"/>
  <c r="BB11" i="5"/>
  <c r="BA11" i="5"/>
  <c r="AZ11" i="5"/>
  <c r="AY11" i="5"/>
  <c r="AX11" i="5"/>
  <c r="AW11" i="5"/>
  <c r="AV11" i="5"/>
  <c r="H11" i="5"/>
  <c r="G11" i="5"/>
  <c r="BJ83" i="5"/>
  <c r="BI83" i="5"/>
  <c r="BF83" i="5"/>
  <c r="BG83" i="5" s="1"/>
  <c r="BE83" i="5"/>
  <c r="BD83" i="5"/>
  <c r="BC83" i="5"/>
  <c r="BB83" i="5"/>
  <c r="BA83" i="5"/>
  <c r="AZ83" i="5"/>
  <c r="AY83" i="5"/>
  <c r="AX83" i="5"/>
  <c r="AW83" i="5"/>
  <c r="AV83" i="5"/>
  <c r="H83" i="5"/>
  <c r="G83" i="5"/>
  <c r="BJ82" i="5"/>
  <c r="BI82" i="5"/>
  <c r="BF82" i="5"/>
  <c r="BG82" i="5" s="1"/>
  <c r="BE82" i="5"/>
  <c r="BD82" i="5"/>
  <c r="BC82" i="5"/>
  <c r="BB82" i="5"/>
  <c r="BA82" i="5"/>
  <c r="AZ82" i="5"/>
  <c r="AY82" i="5"/>
  <c r="AX82" i="5"/>
  <c r="AW82" i="5"/>
  <c r="AV82" i="5"/>
  <c r="H82" i="5"/>
  <c r="G82" i="5"/>
  <c r="BJ10" i="5"/>
  <c r="BI10" i="5"/>
  <c r="BF10" i="5"/>
  <c r="BG10" i="5" s="1"/>
  <c r="BE10" i="5"/>
  <c r="BD10" i="5"/>
  <c r="BC10" i="5"/>
  <c r="BB10" i="5"/>
  <c r="BA10" i="5"/>
  <c r="AZ10" i="5"/>
  <c r="AY10" i="5"/>
  <c r="AX10" i="5"/>
  <c r="AW10" i="5"/>
  <c r="AV10" i="5"/>
  <c r="H10" i="5"/>
  <c r="G10" i="5"/>
  <c r="BJ81" i="5"/>
  <c r="BI81" i="5"/>
  <c r="BF81" i="5"/>
  <c r="BG81" i="5" s="1"/>
  <c r="BE81" i="5"/>
  <c r="BD81" i="5"/>
  <c r="BC81" i="5"/>
  <c r="BB81" i="5"/>
  <c r="BA81" i="5"/>
  <c r="AZ81" i="5"/>
  <c r="AY81" i="5"/>
  <c r="AX81" i="5"/>
  <c r="AW81" i="5"/>
  <c r="AV81" i="5"/>
  <c r="H81" i="5"/>
  <c r="G81" i="5"/>
  <c r="BJ80" i="5"/>
  <c r="BI80" i="5"/>
  <c r="BF80" i="5"/>
  <c r="BG80" i="5" s="1"/>
  <c r="BE80" i="5"/>
  <c r="BD80" i="5"/>
  <c r="BC80" i="5"/>
  <c r="BB80" i="5"/>
  <c r="BA80" i="5"/>
  <c r="AZ80" i="5"/>
  <c r="AY80" i="5"/>
  <c r="AX80" i="5"/>
  <c r="AW80" i="5"/>
  <c r="AV80" i="5"/>
  <c r="H80" i="5"/>
  <c r="G80" i="5"/>
  <c r="BJ79" i="5"/>
  <c r="BI79" i="5"/>
  <c r="BF79" i="5"/>
  <c r="BG79" i="5" s="1"/>
  <c r="BE79" i="5"/>
  <c r="BD79" i="5"/>
  <c r="BC79" i="5"/>
  <c r="BB79" i="5"/>
  <c r="BA79" i="5"/>
  <c r="AZ79" i="5"/>
  <c r="AY79" i="5"/>
  <c r="AX79" i="5"/>
  <c r="AW79" i="5"/>
  <c r="AV79" i="5"/>
  <c r="H79" i="5"/>
  <c r="G79" i="5"/>
  <c r="BJ78" i="5"/>
  <c r="BI78" i="5"/>
  <c r="BF78" i="5"/>
  <c r="BG78" i="5" s="1"/>
  <c r="BE78" i="5"/>
  <c r="BD78" i="5"/>
  <c r="BC78" i="5"/>
  <c r="BB78" i="5"/>
  <c r="BA78" i="5"/>
  <c r="AZ78" i="5"/>
  <c r="AY78" i="5"/>
  <c r="AX78" i="5"/>
  <c r="AW78" i="5"/>
  <c r="AV78" i="5"/>
  <c r="H78" i="5"/>
  <c r="G78" i="5"/>
  <c r="BJ9" i="5"/>
  <c r="BI9" i="5"/>
  <c r="BF9" i="5"/>
  <c r="BG9" i="5" s="1"/>
  <c r="BE9" i="5"/>
  <c r="BD9" i="5"/>
  <c r="BC9" i="5"/>
  <c r="BB9" i="5"/>
  <c r="BA9" i="5"/>
  <c r="AZ9" i="5"/>
  <c r="AY9" i="5"/>
  <c r="AX9" i="5"/>
  <c r="AW9" i="5"/>
  <c r="AV9" i="5"/>
  <c r="H9" i="5"/>
  <c r="G9" i="5"/>
  <c r="BJ77" i="5"/>
  <c r="BI77" i="5"/>
  <c r="BF77" i="5"/>
  <c r="BG77" i="5" s="1"/>
  <c r="BE77" i="5"/>
  <c r="BD77" i="5"/>
  <c r="BC77" i="5"/>
  <c r="BB77" i="5"/>
  <c r="BA77" i="5"/>
  <c r="AZ77" i="5"/>
  <c r="AY77" i="5"/>
  <c r="AX77" i="5"/>
  <c r="AW77" i="5"/>
  <c r="AV77" i="5"/>
  <c r="H77" i="5"/>
  <c r="G77" i="5"/>
  <c r="BJ76" i="5"/>
  <c r="BI76" i="5"/>
  <c r="BF76" i="5"/>
  <c r="BG76" i="5" s="1"/>
  <c r="BE76" i="5"/>
  <c r="BD76" i="5"/>
  <c r="BC76" i="5"/>
  <c r="BB76" i="5"/>
  <c r="BA76" i="5"/>
  <c r="AZ76" i="5"/>
  <c r="AY76" i="5"/>
  <c r="AX76" i="5"/>
  <c r="AW76" i="5"/>
  <c r="AV76" i="5"/>
  <c r="H76" i="5"/>
  <c r="G76" i="5"/>
  <c r="BJ75" i="5"/>
  <c r="BI75" i="5"/>
  <c r="BF75" i="5"/>
  <c r="BG75" i="5" s="1"/>
  <c r="BE75" i="5"/>
  <c r="BD75" i="5"/>
  <c r="BC75" i="5"/>
  <c r="BB75" i="5"/>
  <c r="BA75" i="5"/>
  <c r="AZ75" i="5"/>
  <c r="AY75" i="5"/>
  <c r="AX75" i="5"/>
  <c r="AW75" i="5"/>
  <c r="AV75" i="5"/>
  <c r="H75" i="5"/>
  <c r="G75" i="5"/>
  <c r="BJ74" i="5"/>
  <c r="BI74" i="5"/>
  <c r="BF74" i="5"/>
  <c r="BG74" i="5" s="1"/>
  <c r="BE74" i="5"/>
  <c r="BD74" i="5"/>
  <c r="BC74" i="5"/>
  <c r="BB74" i="5"/>
  <c r="BA74" i="5"/>
  <c r="AZ74" i="5"/>
  <c r="AY74" i="5"/>
  <c r="AX74" i="5"/>
  <c r="AW74" i="5"/>
  <c r="AV74" i="5"/>
  <c r="H74" i="5"/>
  <c r="G74" i="5"/>
  <c r="BJ73" i="5"/>
  <c r="BI73" i="5"/>
  <c r="BF73" i="5"/>
  <c r="BG73" i="5" s="1"/>
  <c r="BE73" i="5"/>
  <c r="BD73" i="5"/>
  <c r="BC73" i="5"/>
  <c r="BB73" i="5"/>
  <c r="BA73" i="5"/>
  <c r="AZ73" i="5"/>
  <c r="AY73" i="5"/>
  <c r="AX73" i="5"/>
  <c r="AW73" i="5"/>
  <c r="AV73" i="5"/>
  <c r="H73" i="5"/>
  <c r="G73" i="5"/>
  <c r="BJ72" i="5"/>
  <c r="BI72" i="5"/>
  <c r="BF72" i="5"/>
  <c r="BG72" i="5" s="1"/>
  <c r="BE72" i="5"/>
  <c r="BD72" i="5"/>
  <c r="BC72" i="5"/>
  <c r="BB72" i="5"/>
  <c r="BA72" i="5"/>
  <c r="AZ72" i="5"/>
  <c r="AY72" i="5"/>
  <c r="AX72" i="5"/>
  <c r="AW72" i="5"/>
  <c r="AV72" i="5"/>
  <c r="H72" i="5"/>
  <c r="G72" i="5"/>
  <c r="BJ71" i="5"/>
  <c r="BI71" i="5"/>
  <c r="BF71" i="5"/>
  <c r="BG71" i="5" s="1"/>
  <c r="BE71" i="5"/>
  <c r="BD71" i="5"/>
  <c r="BC71" i="5"/>
  <c r="BB71" i="5"/>
  <c r="BA71" i="5"/>
  <c r="AZ71" i="5"/>
  <c r="AY71" i="5"/>
  <c r="AX71" i="5"/>
  <c r="AW71" i="5"/>
  <c r="AV71" i="5"/>
  <c r="H71" i="5"/>
  <c r="G71" i="5"/>
  <c r="BJ70" i="5"/>
  <c r="BI70" i="5"/>
  <c r="BF70" i="5"/>
  <c r="BG70" i="5" s="1"/>
  <c r="BE70" i="5"/>
  <c r="BD70" i="5"/>
  <c r="BC70" i="5"/>
  <c r="BB70" i="5"/>
  <c r="BA70" i="5"/>
  <c r="AZ70" i="5"/>
  <c r="AY70" i="5"/>
  <c r="AX70" i="5"/>
  <c r="AW70" i="5"/>
  <c r="AV70" i="5"/>
  <c r="H70" i="5"/>
  <c r="G70" i="5"/>
  <c r="BJ69" i="5"/>
  <c r="BI69" i="5"/>
  <c r="BF69" i="5"/>
  <c r="BG69" i="5" s="1"/>
  <c r="BE69" i="5"/>
  <c r="BD69" i="5"/>
  <c r="BC69" i="5"/>
  <c r="BB69" i="5"/>
  <c r="BA69" i="5"/>
  <c r="AZ69" i="5"/>
  <c r="AY69" i="5"/>
  <c r="AX69" i="5"/>
  <c r="AW69" i="5"/>
  <c r="AV69" i="5"/>
  <c r="H69" i="5"/>
  <c r="G69" i="5"/>
  <c r="BJ8" i="5"/>
  <c r="BI8" i="5"/>
  <c r="BF8" i="5"/>
  <c r="BG8" i="5" s="1"/>
  <c r="BE8" i="5"/>
  <c r="BD8" i="5"/>
  <c r="BC8" i="5"/>
  <c r="BB8" i="5"/>
  <c r="BA8" i="5"/>
  <c r="AZ8" i="5"/>
  <c r="AY8" i="5"/>
  <c r="AX8" i="5"/>
  <c r="AW8" i="5"/>
  <c r="AV8" i="5"/>
  <c r="H8" i="5"/>
  <c r="G8" i="5"/>
  <c r="BJ68" i="5"/>
  <c r="BI68" i="5"/>
  <c r="BF68" i="5"/>
  <c r="BG68" i="5" s="1"/>
  <c r="BE68" i="5"/>
  <c r="BD68" i="5"/>
  <c r="BC68" i="5"/>
  <c r="BB68" i="5"/>
  <c r="BA68" i="5"/>
  <c r="AZ68" i="5"/>
  <c r="AY68" i="5"/>
  <c r="AX68" i="5"/>
  <c r="AW68" i="5"/>
  <c r="AV68" i="5"/>
  <c r="H68" i="5"/>
  <c r="G68" i="5"/>
  <c r="BJ67" i="5"/>
  <c r="BI67" i="5"/>
  <c r="BF67" i="5"/>
  <c r="BG67" i="5" s="1"/>
  <c r="BE67" i="5"/>
  <c r="BD67" i="5"/>
  <c r="BC67" i="5"/>
  <c r="BB67" i="5"/>
  <c r="BA67" i="5"/>
  <c r="AZ67" i="5"/>
  <c r="AY67" i="5"/>
  <c r="AX67" i="5"/>
  <c r="AW67" i="5"/>
  <c r="AV67" i="5"/>
  <c r="H67" i="5"/>
  <c r="G67" i="5"/>
  <c r="BJ66" i="5"/>
  <c r="BI66" i="5"/>
  <c r="BF66" i="5"/>
  <c r="BG66" i="5" s="1"/>
  <c r="BE66" i="5"/>
  <c r="BD66" i="5"/>
  <c r="BC66" i="5"/>
  <c r="BB66" i="5"/>
  <c r="BA66" i="5"/>
  <c r="AZ66" i="5"/>
  <c r="AY66" i="5"/>
  <c r="AX66" i="5"/>
  <c r="AW66" i="5"/>
  <c r="AV66" i="5"/>
  <c r="H66" i="5"/>
  <c r="G66" i="5"/>
  <c r="BJ65" i="5"/>
  <c r="BI65" i="5"/>
  <c r="BF65" i="5"/>
  <c r="BG65" i="5" s="1"/>
  <c r="BE65" i="5"/>
  <c r="BD65" i="5"/>
  <c r="BC65" i="5"/>
  <c r="BB65" i="5"/>
  <c r="BA65" i="5"/>
  <c r="AZ65" i="5"/>
  <c r="AY65" i="5"/>
  <c r="AX65" i="5"/>
  <c r="AW65" i="5"/>
  <c r="AV65" i="5"/>
  <c r="H65" i="5"/>
  <c r="G65" i="5"/>
  <c r="BJ64" i="5"/>
  <c r="BI64" i="5"/>
  <c r="BF64" i="5"/>
  <c r="BG64" i="5" s="1"/>
  <c r="BE64" i="5"/>
  <c r="BD64" i="5"/>
  <c r="BC64" i="5"/>
  <c r="BB64" i="5"/>
  <c r="BA64" i="5"/>
  <c r="AZ64" i="5"/>
  <c r="AY64" i="5"/>
  <c r="AX64" i="5"/>
  <c r="AW64" i="5"/>
  <c r="AV64" i="5"/>
  <c r="H64" i="5"/>
  <c r="G64" i="5"/>
  <c r="BJ7" i="5"/>
  <c r="BI7" i="5"/>
  <c r="BF7" i="5"/>
  <c r="BG7" i="5" s="1"/>
  <c r="BE7" i="5"/>
  <c r="BD7" i="5"/>
  <c r="BC7" i="5"/>
  <c r="BB7" i="5"/>
  <c r="BA7" i="5"/>
  <c r="AZ7" i="5"/>
  <c r="AY7" i="5"/>
  <c r="AX7" i="5"/>
  <c r="AW7" i="5"/>
  <c r="AV7" i="5"/>
  <c r="H7" i="5"/>
  <c r="G7" i="5"/>
  <c r="BJ63" i="5"/>
  <c r="BI63" i="5"/>
  <c r="BF63" i="5"/>
  <c r="BG63" i="5" s="1"/>
  <c r="BE63" i="5"/>
  <c r="BD63" i="5"/>
  <c r="BC63" i="5"/>
  <c r="BB63" i="5"/>
  <c r="BA63" i="5"/>
  <c r="AZ63" i="5"/>
  <c r="AY63" i="5"/>
  <c r="AX63" i="5"/>
  <c r="AW63" i="5"/>
  <c r="AV63" i="5"/>
  <c r="H63" i="5"/>
  <c r="G63" i="5"/>
  <c r="BJ62" i="5"/>
  <c r="BI62" i="5"/>
  <c r="BF62" i="5"/>
  <c r="BG62" i="5" s="1"/>
  <c r="BE62" i="5"/>
  <c r="BD62" i="5"/>
  <c r="BC62" i="5"/>
  <c r="BB62" i="5"/>
  <c r="BA62" i="5"/>
  <c r="AZ62" i="5"/>
  <c r="AY62" i="5"/>
  <c r="AX62" i="5"/>
  <c r="AW62" i="5"/>
  <c r="AV62" i="5"/>
  <c r="H62" i="5"/>
  <c r="G62" i="5"/>
  <c r="BJ61" i="5"/>
  <c r="BI61" i="5"/>
  <c r="BF61" i="5"/>
  <c r="BG61" i="5" s="1"/>
  <c r="BE61" i="5"/>
  <c r="BD61" i="5"/>
  <c r="BC61" i="5"/>
  <c r="BB61" i="5"/>
  <c r="BA61" i="5"/>
  <c r="AZ61" i="5"/>
  <c r="AY61" i="5"/>
  <c r="AX61" i="5"/>
  <c r="AW61" i="5"/>
  <c r="AV61" i="5"/>
  <c r="H61" i="5"/>
  <c r="G61" i="5"/>
  <c r="BJ60" i="5"/>
  <c r="BI60" i="5"/>
  <c r="BF60" i="5"/>
  <c r="BG60" i="5" s="1"/>
  <c r="BE60" i="5"/>
  <c r="BD60" i="5"/>
  <c r="BC60" i="5"/>
  <c r="BB60" i="5"/>
  <c r="BA60" i="5"/>
  <c r="AZ60" i="5"/>
  <c r="AY60" i="5"/>
  <c r="AX60" i="5"/>
  <c r="AW60" i="5"/>
  <c r="AV60" i="5"/>
  <c r="H60" i="5"/>
  <c r="G60" i="5"/>
  <c r="BJ6" i="5"/>
  <c r="BI6" i="5"/>
  <c r="BF6" i="5"/>
  <c r="BG6" i="5" s="1"/>
  <c r="BE6" i="5"/>
  <c r="BD6" i="5"/>
  <c r="BC6" i="5"/>
  <c r="BB6" i="5"/>
  <c r="BA6" i="5"/>
  <c r="AZ6" i="5"/>
  <c r="AY6" i="5"/>
  <c r="AX6" i="5"/>
  <c r="AW6" i="5"/>
  <c r="AV6" i="5"/>
  <c r="H6" i="5"/>
  <c r="G6" i="5"/>
  <c r="BJ59" i="5"/>
  <c r="BI59" i="5"/>
  <c r="BF59" i="5"/>
  <c r="BG59" i="5" s="1"/>
  <c r="BE59" i="5"/>
  <c r="BD59" i="5"/>
  <c r="BC59" i="5"/>
  <c r="BB59" i="5"/>
  <c r="BA59" i="5"/>
  <c r="AZ59" i="5"/>
  <c r="AY59" i="5"/>
  <c r="AX59" i="5"/>
  <c r="AW59" i="5"/>
  <c r="AV59" i="5"/>
  <c r="H59" i="5"/>
  <c r="G59" i="5"/>
  <c r="BJ58" i="5"/>
  <c r="BI58" i="5"/>
  <c r="BF58" i="5"/>
  <c r="BG58" i="5" s="1"/>
  <c r="BE58" i="5"/>
  <c r="BD58" i="5"/>
  <c r="BC58" i="5"/>
  <c r="BB58" i="5"/>
  <c r="BA58" i="5"/>
  <c r="AZ58" i="5"/>
  <c r="AY58" i="5"/>
  <c r="AX58" i="5"/>
  <c r="AW58" i="5"/>
  <c r="AV58" i="5"/>
  <c r="H58" i="5"/>
  <c r="G58" i="5"/>
  <c r="BJ5" i="5"/>
  <c r="BI5" i="5"/>
  <c r="BF5" i="5"/>
  <c r="BG5" i="5" s="1"/>
  <c r="BE5" i="5"/>
  <c r="BD5" i="5"/>
  <c r="BC5" i="5"/>
  <c r="BB5" i="5"/>
  <c r="BA5" i="5"/>
  <c r="AZ5" i="5"/>
  <c r="AY5" i="5"/>
  <c r="AX5" i="5"/>
  <c r="AW5" i="5"/>
  <c r="AV5" i="5"/>
  <c r="H5" i="5"/>
  <c r="G5" i="5"/>
  <c r="BJ4" i="5"/>
  <c r="BI4" i="5"/>
  <c r="BF4" i="5"/>
  <c r="BG4" i="5" s="1"/>
  <c r="BE4" i="5"/>
  <c r="BD4" i="5"/>
  <c r="BC4" i="5"/>
  <c r="BB4" i="5"/>
  <c r="BA4" i="5"/>
  <c r="AZ4" i="5"/>
  <c r="AY4" i="5"/>
  <c r="AX4" i="5"/>
  <c r="AW4" i="5"/>
  <c r="AV4" i="5"/>
  <c r="H4" i="5"/>
  <c r="G4" i="5"/>
  <c r="BJ57" i="5"/>
  <c r="BI57" i="5"/>
  <c r="BF57" i="5"/>
  <c r="BG57" i="5" s="1"/>
  <c r="BE57" i="5"/>
  <c r="BD57" i="5"/>
  <c r="BC57" i="5"/>
  <c r="BB57" i="5"/>
  <c r="BA57" i="5"/>
  <c r="AZ57" i="5"/>
  <c r="AY57" i="5"/>
  <c r="AX57" i="5"/>
  <c r="AW57" i="5"/>
  <c r="AV57" i="5"/>
  <c r="H57" i="5"/>
  <c r="G57" i="5"/>
  <c r="BJ56" i="5"/>
  <c r="BI56" i="5"/>
  <c r="BF56" i="5"/>
  <c r="BG56" i="5" s="1"/>
  <c r="BE56" i="5"/>
  <c r="BD56" i="5"/>
  <c r="BC56" i="5"/>
  <c r="BB56" i="5"/>
  <c r="BA56" i="5"/>
  <c r="AZ56" i="5"/>
  <c r="AY56" i="5"/>
  <c r="AX56" i="5"/>
  <c r="AW56" i="5"/>
  <c r="AV56" i="5"/>
  <c r="H56" i="5"/>
  <c r="G56" i="5"/>
  <c r="BJ55" i="5"/>
  <c r="BI55" i="5"/>
  <c r="BF55" i="5"/>
  <c r="BG55" i="5" s="1"/>
  <c r="BE55" i="5"/>
  <c r="BD55" i="5"/>
  <c r="BC55" i="5"/>
  <c r="BB55" i="5"/>
  <c r="BA55" i="5"/>
  <c r="AZ55" i="5"/>
  <c r="AY55" i="5"/>
  <c r="AX55" i="5"/>
  <c r="AW55" i="5"/>
  <c r="AV55" i="5"/>
  <c r="H55" i="5"/>
  <c r="G55" i="5"/>
  <c r="BJ54" i="5"/>
  <c r="BI54" i="5"/>
  <c r="BF54" i="5"/>
  <c r="BG54" i="5" s="1"/>
  <c r="BE54" i="5"/>
  <c r="BD54" i="5"/>
  <c r="BC54" i="5"/>
  <c r="BB54" i="5"/>
  <c r="BA54" i="5"/>
  <c r="AZ54" i="5"/>
  <c r="AY54" i="5"/>
  <c r="AX54" i="5"/>
  <c r="AW54" i="5"/>
  <c r="AV54" i="5"/>
  <c r="H54" i="5"/>
  <c r="G54" i="5"/>
  <c r="BJ53" i="5"/>
  <c r="BI53" i="5"/>
  <c r="BF53" i="5"/>
  <c r="BG53" i="5" s="1"/>
  <c r="BE53" i="5"/>
  <c r="BD53" i="5"/>
  <c r="BC53" i="5"/>
  <c r="BB53" i="5"/>
  <c r="BA53" i="5"/>
  <c r="AZ53" i="5"/>
  <c r="AY53" i="5"/>
  <c r="AX53" i="5"/>
  <c r="AW53" i="5"/>
  <c r="AV53" i="5"/>
  <c r="H53" i="5"/>
  <c r="G53" i="5"/>
  <c r="BJ51" i="5"/>
  <c r="BI51" i="5"/>
  <c r="BF51" i="5"/>
  <c r="BG51" i="5" s="1"/>
  <c r="BE51" i="5"/>
  <c r="BD51" i="5"/>
  <c r="BC51" i="5"/>
  <c r="BB51" i="5"/>
  <c r="BA51" i="5"/>
  <c r="AZ51" i="5"/>
  <c r="AY51" i="5"/>
  <c r="AX51" i="5"/>
  <c r="AW51" i="5"/>
  <c r="AV51" i="5"/>
  <c r="H51" i="5"/>
  <c r="G51" i="5"/>
  <c r="BJ50" i="5"/>
  <c r="BI50" i="5"/>
  <c r="BF50" i="5"/>
  <c r="BG50" i="5" s="1"/>
  <c r="BE50" i="5"/>
  <c r="BD50" i="5"/>
  <c r="BC50" i="5"/>
  <c r="BB50" i="5"/>
  <c r="BA50" i="5"/>
  <c r="AZ50" i="5"/>
  <c r="AY50" i="5"/>
  <c r="AX50" i="5"/>
  <c r="AW50" i="5"/>
  <c r="AV50" i="5"/>
  <c r="H50" i="5"/>
  <c r="G50" i="5"/>
  <c r="BJ49" i="5"/>
  <c r="BI49" i="5"/>
  <c r="BF49" i="5"/>
  <c r="BG49" i="5" s="1"/>
  <c r="BE49" i="5"/>
  <c r="BD49" i="5"/>
  <c r="BC49" i="5"/>
  <c r="BB49" i="5"/>
  <c r="BA49" i="5"/>
  <c r="AZ49" i="5"/>
  <c r="AY49" i="5"/>
  <c r="AX49" i="5"/>
  <c r="AW49" i="5"/>
  <c r="AV49" i="5"/>
  <c r="H49" i="5"/>
  <c r="G49" i="5"/>
  <c r="BJ48" i="5"/>
  <c r="BI48" i="5"/>
  <c r="BF48" i="5"/>
  <c r="BG48" i="5" s="1"/>
  <c r="BE48" i="5"/>
  <c r="BD48" i="5"/>
  <c r="BC48" i="5"/>
  <c r="BB48" i="5"/>
  <c r="BA48" i="5"/>
  <c r="AZ48" i="5"/>
  <c r="AY48" i="5"/>
  <c r="AX48" i="5"/>
  <c r="AW48" i="5"/>
  <c r="AV48" i="5"/>
  <c r="H48" i="5"/>
  <c r="G48" i="5"/>
  <c r="BJ47" i="5"/>
  <c r="BI47" i="5"/>
  <c r="BF47" i="5"/>
  <c r="BG47" i="5" s="1"/>
  <c r="BE47" i="5"/>
  <c r="BD47" i="5"/>
  <c r="BC47" i="5"/>
  <c r="BB47" i="5"/>
  <c r="BA47" i="5"/>
  <c r="AZ47" i="5"/>
  <c r="AY47" i="5"/>
  <c r="AX47" i="5"/>
  <c r="AW47" i="5"/>
  <c r="AV47" i="5"/>
  <c r="H47" i="5"/>
  <c r="G47" i="5"/>
  <c r="BJ46" i="5"/>
  <c r="BI46" i="5"/>
  <c r="BF46" i="5"/>
  <c r="BG46" i="5" s="1"/>
  <c r="BE46" i="5"/>
  <c r="BD46" i="5"/>
  <c r="BC46" i="5"/>
  <c r="BB46" i="5"/>
  <c r="BA46" i="5"/>
  <c r="AZ46" i="5"/>
  <c r="AY46" i="5"/>
  <c r="AX46" i="5"/>
  <c r="AW46" i="5"/>
  <c r="AV46" i="5"/>
  <c r="H46" i="5"/>
  <c r="G46" i="5"/>
  <c r="BJ45" i="5"/>
  <c r="BI45" i="5"/>
  <c r="BF45" i="5"/>
  <c r="BG45" i="5" s="1"/>
  <c r="BE45" i="5"/>
  <c r="BD45" i="5"/>
  <c r="BC45" i="5"/>
  <c r="BB45" i="5"/>
  <c r="BA45" i="5"/>
  <c r="AZ45" i="5"/>
  <c r="AY45" i="5"/>
  <c r="AX45" i="5"/>
  <c r="AW45" i="5"/>
  <c r="AV45" i="5"/>
  <c r="H45" i="5"/>
  <c r="G45" i="5"/>
  <c r="BJ44" i="5"/>
  <c r="BI44" i="5"/>
  <c r="BF44" i="5"/>
  <c r="BG44" i="5" s="1"/>
  <c r="BE44" i="5"/>
  <c r="BD44" i="5"/>
  <c r="BC44" i="5"/>
  <c r="BB44" i="5"/>
  <c r="BA44" i="5"/>
  <c r="AZ44" i="5"/>
  <c r="AY44" i="5"/>
  <c r="AX44" i="5"/>
  <c r="AW44" i="5"/>
  <c r="AV44" i="5"/>
  <c r="H44" i="5"/>
  <c r="G44" i="5"/>
  <c r="BJ43" i="5"/>
  <c r="BI43" i="5"/>
  <c r="BF43" i="5"/>
  <c r="BG43" i="5" s="1"/>
  <c r="BE43" i="5"/>
  <c r="BD43" i="5"/>
  <c r="BC43" i="5"/>
  <c r="BB43" i="5"/>
  <c r="BA43" i="5"/>
  <c r="AZ43" i="5"/>
  <c r="AY43" i="5"/>
  <c r="AX43" i="5"/>
  <c r="AW43" i="5"/>
  <c r="AV43" i="5"/>
  <c r="H43" i="5"/>
  <c r="G43" i="5"/>
  <c r="BJ42" i="5"/>
  <c r="BI42" i="5"/>
  <c r="BF42" i="5"/>
  <c r="BG42" i="5" s="1"/>
  <c r="BE42" i="5"/>
  <c r="BD42" i="5"/>
  <c r="BC42" i="5"/>
  <c r="BB42" i="5"/>
  <c r="BA42" i="5"/>
  <c r="AZ42" i="5"/>
  <c r="AY42" i="5"/>
  <c r="AX42" i="5"/>
  <c r="AW42" i="5"/>
  <c r="AV42" i="5"/>
  <c r="H42" i="5"/>
  <c r="G42" i="5"/>
  <c r="BJ41" i="5"/>
  <c r="BI41" i="5"/>
  <c r="BF41" i="5"/>
  <c r="BG41" i="5" s="1"/>
  <c r="BE41" i="5"/>
  <c r="BD41" i="5"/>
  <c r="BC41" i="5"/>
  <c r="BB41" i="5"/>
  <c r="BA41" i="5"/>
  <c r="AZ41" i="5"/>
  <c r="AY41" i="5"/>
  <c r="AX41" i="5"/>
  <c r="AW41" i="5"/>
  <c r="AV41" i="5"/>
  <c r="H41" i="5"/>
  <c r="G41" i="5"/>
  <c r="BJ3" i="5"/>
  <c r="BI3" i="5"/>
  <c r="BF3" i="5"/>
  <c r="BG3" i="5" s="1"/>
  <c r="BE3" i="5"/>
  <c r="BD3" i="5"/>
  <c r="BC3" i="5"/>
  <c r="BB3" i="5"/>
  <c r="BA3" i="5"/>
  <c r="AZ3" i="5"/>
  <c r="AY3" i="5"/>
  <c r="AX3" i="5"/>
  <c r="AW3" i="5"/>
  <c r="AV3" i="5"/>
  <c r="H3" i="5"/>
  <c r="G3" i="5"/>
  <c r="BJ40" i="5"/>
  <c r="BI40" i="5"/>
  <c r="BF40" i="5"/>
  <c r="BG40" i="5" s="1"/>
  <c r="BE40" i="5"/>
  <c r="BD40" i="5"/>
  <c r="BC40" i="5"/>
  <c r="BB40" i="5"/>
  <c r="BA40" i="5"/>
  <c r="AZ40" i="5"/>
  <c r="AY40" i="5"/>
  <c r="AX40" i="5"/>
  <c r="AW40" i="5"/>
  <c r="AV40" i="5"/>
  <c r="H40" i="5"/>
  <c r="G40" i="5"/>
  <c r="BJ39" i="5"/>
  <c r="BI39" i="5"/>
  <c r="BF39" i="5"/>
  <c r="BG39" i="5" s="1"/>
  <c r="BE39" i="5"/>
  <c r="BD39" i="5"/>
  <c r="BC39" i="5"/>
  <c r="BB39" i="5"/>
  <c r="BA39" i="5"/>
  <c r="AZ39" i="5"/>
  <c r="AY39" i="5"/>
  <c r="AX39" i="5"/>
  <c r="AW39" i="5"/>
  <c r="AV39" i="5"/>
  <c r="H39" i="5"/>
  <c r="G39" i="5"/>
  <c r="BJ37" i="5"/>
  <c r="BI37" i="5"/>
  <c r="BF37" i="5"/>
  <c r="BG37" i="5" s="1"/>
  <c r="BE37" i="5"/>
  <c r="BD37" i="5"/>
  <c r="BC37" i="5"/>
  <c r="BB37" i="5"/>
  <c r="BA37" i="5"/>
  <c r="AZ37" i="5"/>
  <c r="AY37" i="5"/>
  <c r="AX37" i="5"/>
  <c r="AW37" i="5"/>
  <c r="AV37" i="5"/>
  <c r="H37" i="5"/>
  <c r="G37" i="5"/>
  <c r="BJ36" i="5"/>
  <c r="BI36" i="5"/>
  <c r="BF36" i="5"/>
  <c r="BG36" i="5" s="1"/>
  <c r="BE36" i="5"/>
  <c r="BD36" i="5"/>
  <c r="BC36" i="5"/>
  <c r="BB36" i="5"/>
  <c r="BA36" i="5"/>
  <c r="AZ36" i="5"/>
  <c r="AY36" i="5"/>
  <c r="AX36" i="5"/>
  <c r="AW36" i="5"/>
  <c r="AV36" i="5"/>
  <c r="H36" i="5"/>
  <c r="G36" i="5"/>
  <c r="BJ35" i="5"/>
  <c r="BI35" i="5"/>
  <c r="BF35" i="5"/>
  <c r="BG35" i="5" s="1"/>
  <c r="BE35" i="5"/>
  <c r="BD35" i="5"/>
  <c r="BC35" i="5"/>
  <c r="BB35" i="5"/>
  <c r="BA35" i="5"/>
  <c r="AZ35" i="5"/>
  <c r="AY35" i="5"/>
  <c r="AX35" i="5"/>
  <c r="AW35" i="5"/>
  <c r="AV35" i="5"/>
  <c r="H35" i="5"/>
  <c r="G35" i="5"/>
  <c r="BJ34" i="5"/>
  <c r="BI34" i="5"/>
  <c r="BF34" i="5"/>
  <c r="BG34" i="5" s="1"/>
  <c r="BE34" i="5"/>
  <c r="BD34" i="5"/>
  <c r="BC34" i="5"/>
  <c r="BB34" i="5"/>
  <c r="BA34" i="5"/>
  <c r="AZ34" i="5"/>
  <c r="AY34" i="5"/>
  <c r="AX34" i="5"/>
  <c r="AW34" i="5"/>
  <c r="AV34" i="5"/>
  <c r="H34" i="5"/>
  <c r="G34" i="5"/>
  <c r="BJ33" i="5"/>
  <c r="BI33" i="5"/>
  <c r="BF33" i="5"/>
  <c r="BG33" i="5" s="1"/>
  <c r="BE33" i="5"/>
  <c r="BD33" i="5"/>
  <c r="BC33" i="5"/>
  <c r="BB33" i="5"/>
  <c r="BA33" i="5"/>
  <c r="AZ33" i="5"/>
  <c r="AY33" i="5"/>
  <c r="AX33" i="5"/>
  <c r="AW33" i="5"/>
  <c r="AV33" i="5"/>
  <c r="H33" i="5"/>
  <c r="G33" i="5"/>
  <c r="BJ32" i="5"/>
  <c r="BI32" i="5"/>
  <c r="BF32" i="5"/>
  <c r="BG32" i="5" s="1"/>
  <c r="BE32" i="5"/>
  <c r="BD32" i="5"/>
  <c r="BC32" i="5"/>
  <c r="BB32" i="5"/>
  <c r="BA32" i="5"/>
  <c r="AZ32" i="5"/>
  <c r="AY32" i="5"/>
  <c r="AX32" i="5"/>
  <c r="AW32" i="5"/>
  <c r="AV32" i="5"/>
  <c r="H32" i="5"/>
  <c r="G32" i="5"/>
  <c r="BJ31" i="5"/>
  <c r="BI31" i="5"/>
  <c r="BF31" i="5"/>
  <c r="BG31" i="5" s="1"/>
  <c r="BE31" i="5"/>
  <c r="BD31" i="5"/>
  <c r="BC31" i="5"/>
  <c r="BB31" i="5"/>
  <c r="BA31" i="5"/>
  <c r="AZ31" i="5"/>
  <c r="AY31" i="5"/>
  <c r="AX31" i="5"/>
  <c r="AW31" i="5"/>
  <c r="AV31" i="5"/>
  <c r="H31" i="5"/>
  <c r="G31" i="5"/>
  <c r="BJ30" i="5"/>
  <c r="BI30" i="5"/>
  <c r="BF30" i="5"/>
  <c r="BG30" i="5" s="1"/>
  <c r="BE30" i="5"/>
  <c r="BD30" i="5"/>
  <c r="BC30" i="5"/>
  <c r="BB30" i="5"/>
  <c r="BA30" i="5"/>
  <c r="AZ30" i="5"/>
  <c r="AY30" i="5"/>
  <c r="AX30" i="5"/>
  <c r="AW30" i="5"/>
  <c r="AV30" i="5"/>
  <c r="H30" i="5"/>
  <c r="G30" i="5"/>
  <c r="BJ29" i="5"/>
  <c r="BI29" i="5"/>
  <c r="BF29" i="5"/>
  <c r="BG29" i="5" s="1"/>
  <c r="BE29" i="5"/>
  <c r="BD29" i="5"/>
  <c r="BC29" i="5"/>
  <c r="BB29" i="5"/>
  <c r="BA29" i="5"/>
  <c r="AZ29" i="5"/>
  <c r="AY29" i="5"/>
  <c r="AX29" i="5"/>
  <c r="AW29" i="5"/>
  <c r="AV29" i="5"/>
  <c r="H29" i="5"/>
  <c r="G29" i="5"/>
  <c r="BH1" i="5"/>
  <c r="AO941" i="4"/>
  <c r="AN941" i="4"/>
  <c r="AM941" i="4"/>
  <c r="AL941" i="4"/>
  <c r="AK941" i="4"/>
  <c r="AJ941" i="4"/>
  <c r="AI941" i="4"/>
  <c r="AH941" i="4"/>
  <c r="AG941" i="4"/>
  <c r="AF941" i="4"/>
  <c r="AE941" i="4"/>
  <c r="AD941" i="4"/>
  <c r="AC941" i="4"/>
  <c r="AB941" i="4"/>
  <c r="AA941" i="4"/>
  <c r="Z941" i="4"/>
  <c r="H941" i="4"/>
  <c r="G941" i="4"/>
  <c r="AO940" i="4"/>
  <c r="AN940" i="4"/>
  <c r="AM940" i="4"/>
  <c r="AL940" i="4"/>
  <c r="AK940" i="4"/>
  <c r="AJ940" i="4"/>
  <c r="AI940" i="4"/>
  <c r="AH940" i="4"/>
  <c r="AG940" i="4"/>
  <c r="AF940" i="4"/>
  <c r="AE940" i="4"/>
  <c r="AD940" i="4"/>
  <c r="AC940" i="4"/>
  <c r="AB940" i="4"/>
  <c r="AA940" i="4"/>
  <c r="Z940" i="4"/>
  <c r="H940" i="4"/>
  <c r="G940" i="4"/>
  <c r="AO939" i="4"/>
  <c r="AN939" i="4"/>
  <c r="AM939" i="4"/>
  <c r="AL939" i="4"/>
  <c r="AK939" i="4"/>
  <c r="AJ939" i="4"/>
  <c r="AI939" i="4"/>
  <c r="AH939" i="4"/>
  <c r="AG939" i="4"/>
  <c r="AF939" i="4"/>
  <c r="AE939" i="4"/>
  <c r="AD939" i="4"/>
  <c r="AC939" i="4"/>
  <c r="AB939" i="4"/>
  <c r="AA939" i="4"/>
  <c r="Z939" i="4"/>
  <c r="H939" i="4"/>
  <c r="G939" i="4"/>
  <c r="AO938" i="4"/>
  <c r="AN938" i="4"/>
  <c r="AM938" i="4"/>
  <c r="AL938" i="4"/>
  <c r="AK938" i="4"/>
  <c r="AJ938" i="4"/>
  <c r="AI938" i="4"/>
  <c r="AH938" i="4"/>
  <c r="AG938" i="4"/>
  <c r="AF938" i="4"/>
  <c r="AE938" i="4"/>
  <c r="AD938" i="4"/>
  <c r="AC938" i="4"/>
  <c r="AB938" i="4"/>
  <c r="AA938" i="4"/>
  <c r="Z938" i="4"/>
  <c r="H938" i="4"/>
  <c r="G938" i="4"/>
  <c r="AO937" i="4"/>
  <c r="AN937" i="4"/>
  <c r="AM937" i="4"/>
  <c r="AL937" i="4"/>
  <c r="AK937" i="4"/>
  <c r="AJ937" i="4"/>
  <c r="AI937" i="4"/>
  <c r="AH937" i="4"/>
  <c r="AG937" i="4"/>
  <c r="AF937" i="4"/>
  <c r="AE937" i="4"/>
  <c r="AD937" i="4"/>
  <c r="AC937" i="4"/>
  <c r="AB937" i="4"/>
  <c r="AA937" i="4"/>
  <c r="Z937" i="4"/>
  <c r="H937" i="4"/>
  <c r="G937" i="4"/>
  <c r="AO936" i="4"/>
  <c r="AN936" i="4"/>
  <c r="AM936" i="4"/>
  <c r="AL936" i="4"/>
  <c r="AK936" i="4"/>
  <c r="AJ936" i="4"/>
  <c r="AI936" i="4"/>
  <c r="AH936" i="4"/>
  <c r="AG936" i="4"/>
  <c r="AF936" i="4"/>
  <c r="AE936" i="4"/>
  <c r="AD936" i="4"/>
  <c r="AC936" i="4"/>
  <c r="AB936" i="4"/>
  <c r="AA936" i="4"/>
  <c r="Z936" i="4"/>
  <c r="H936" i="4"/>
  <c r="G936" i="4"/>
  <c r="AO935" i="4"/>
  <c r="AN935" i="4"/>
  <c r="AM935" i="4"/>
  <c r="AL935" i="4"/>
  <c r="AK935" i="4"/>
  <c r="AJ935" i="4"/>
  <c r="AI935" i="4"/>
  <c r="AH935" i="4"/>
  <c r="AG935" i="4"/>
  <c r="AF935" i="4"/>
  <c r="AE935" i="4"/>
  <c r="AD935" i="4"/>
  <c r="AC935" i="4"/>
  <c r="AB935" i="4"/>
  <c r="AA935" i="4"/>
  <c r="Z935" i="4"/>
  <c r="H935" i="4"/>
  <c r="G935" i="4"/>
  <c r="AO934" i="4"/>
  <c r="AN934" i="4"/>
  <c r="AM934" i="4"/>
  <c r="AL934" i="4"/>
  <c r="AK934" i="4"/>
  <c r="AJ934" i="4"/>
  <c r="AI934" i="4"/>
  <c r="AH934" i="4"/>
  <c r="AG934" i="4"/>
  <c r="AF934" i="4"/>
  <c r="AE934" i="4"/>
  <c r="AD934" i="4"/>
  <c r="AC934" i="4"/>
  <c r="AB934" i="4"/>
  <c r="AA934" i="4"/>
  <c r="Z934" i="4"/>
  <c r="H934" i="4"/>
  <c r="G934" i="4"/>
  <c r="AO933" i="4"/>
  <c r="AN933" i="4"/>
  <c r="AM933" i="4"/>
  <c r="AL933" i="4"/>
  <c r="AK933" i="4"/>
  <c r="AJ933" i="4"/>
  <c r="AI933" i="4"/>
  <c r="AH933" i="4"/>
  <c r="AG933" i="4"/>
  <c r="AF933" i="4"/>
  <c r="AE933" i="4"/>
  <c r="AD933" i="4"/>
  <c r="AC933" i="4"/>
  <c r="AB933" i="4"/>
  <c r="AA933" i="4"/>
  <c r="Z933" i="4"/>
  <c r="H933" i="4"/>
  <c r="G933" i="4"/>
  <c r="AO932" i="4"/>
  <c r="AN932" i="4"/>
  <c r="AM932" i="4"/>
  <c r="AL932" i="4"/>
  <c r="AK932" i="4"/>
  <c r="AJ932" i="4"/>
  <c r="AI932" i="4"/>
  <c r="AH932" i="4"/>
  <c r="AG932" i="4"/>
  <c r="AF932" i="4"/>
  <c r="AE932" i="4"/>
  <c r="AD932" i="4"/>
  <c r="AC932" i="4"/>
  <c r="AB932" i="4"/>
  <c r="AA932" i="4"/>
  <c r="Z932" i="4"/>
  <c r="H932" i="4"/>
  <c r="G932" i="4"/>
  <c r="AO931" i="4"/>
  <c r="AN931" i="4"/>
  <c r="AM931" i="4"/>
  <c r="AL931" i="4"/>
  <c r="AK931" i="4"/>
  <c r="AJ931" i="4"/>
  <c r="AI931" i="4"/>
  <c r="AH931" i="4"/>
  <c r="AG931" i="4"/>
  <c r="AF931" i="4"/>
  <c r="AE931" i="4"/>
  <c r="AD931" i="4"/>
  <c r="AC931" i="4"/>
  <c r="AB931" i="4"/>
  <c r="AA931" i="4"/>
  <c r="Z931" i="4"/>
  <c r="H931" i="4"/>
  <c r="G931" i="4"/>
  <c r="AO930" i="4"/>
  <c r="AN930" i="4"/>
  <c r="AM930" i="4"/>
  <c r="AL930" i="4"/>
  <c r="AK930" i="4"/>
  <c r="AJ930" i="4"/>
  <c r="AI930" i="4"/>
  <c r="AH930" i="4"/>
  <c r="AG930" i="4"/>
  <c r="AF930" i="4"/>
  <c r="AE930" i="4"/>
  <c r="AD930" i="4"/>
  <c r="AC930" i="4"/>
  <c r="AB930" i="4"/>
  <c r="AA930" i="4"/>
  <c r="Z930" i="4"/>
  <c r="H930" i="4"/>
  <c r="G930" i="4"/>
  <c r="AO929" i="4"/>
  <c r="AN929" i="4"/>
  <c r="AM929" i="4"/>
  <c r="AL929" i="4"/>
  <c r="AK929" i="4"/>
  <c r="AJ929" i="4"/>
  <c r="AI929" i="4"/>
  <c r="AH929" i="4"/>
  <c r="AG929" i="4"/>
  <c r="AF929" i="4"/>
  <c r="AE929" i="4"/>
  <c r="AD929" i="4"/>
  <c r="AC929" i="4"/>
  <c r="AB929" i="4"/>
  <c r="AA929" i="4"/>
  <c r="Z929" i="4"/>
  <c r="H929" i="4"/>
  <c r="G929" i="4"/>
  <c r="AO928" i="4"/>
  <c r="AN928" i="4"/>
  <c r="AM928" i="4"/>
  <c r="AL928" i="4"/>
  <c r="AK928" i="4"/>
  <c r="AJ928" i="4"/>
  <c r="AI928" i="4"/>
  <c r="AH928" i="4"/>
  <c r="AG928" i="4"/>
  <c r="AF928" i="4"/>
  <c r="AE928" i="4"/>
  <c r="AD928" i="4"/>
  <c r="AC928" i="4"/>
  <c r="AB928" i="4"/>
  <c r="AA928" i="4"/>
  <c r="Z928" i="4"/>
  <c r="H928" i="4"/>
  <c r="G928" i="4"/>
  <c r="AO927" i="4"/>
  <c r="AN927" i="4"/>
  <c r="AM927" i="4"/>
  <c r="AL927" i="4"/>
  <c r="AK927" i="4"/>
  <c r="AJ927" i="4"/>
  <c r="AI927" i="4"/>
  <c r="AH927" i="4"/>
  <c r="AG927" i="4"/>
  <c r="AF927" i="4"/>
  <c r="AE927" i="4"/>
  <c r="AD927" i="4"/>
  <c r="AC927" i="4"/>
  <c r="AB927" i="4"/>
  <c r="AA927" i="4"/>
  <c r="Z927" i="4"/>
  <c r="H927" i="4"/>
  <c r="G927" i="4"/>
  <c r="AO926" i="4"/>
  <c r="AN926" i="4"/>
  <c r="AM926" i="4"/>
  <c r="AL926" i="4"/>
  <c r="AK926" i="4"/>
  <c r="AJ926" i="4"/>
  <c r="AI926" i="4"/>
  <c r="AH926" i="4"/>
  <c r="AG926" i="4"/>
  <c r="AF926" i="4"/>
  <c r="AE926" i="4"/>
  <c r="AD926" i="4"/>
  <c r="AC926" i="4"/>
  <c r="AB926" i="4"/>
  <c r="AA926" i="4"/>
  <c r="Z926" i="4"/>
  <c r="H926" i="4"/>
  <c r="G926" i="4"/>
  <c r="AO925" i="4"/>
  <c r="AN925" i="4"/>
  <c r="AM925" i="4"/>
  <c r="AL925" i="4"/>
  <c r="AK925" i="4"/>
  <c r="AJ925" i="4"/>
  <c r="AI925" i="4"/>
  <c r="AH925" i="4"/>
  <c r="AG925" i="4"/>
  <c r="AF925" i="4"/>
  <c r="AE925" i="4"/>
  <c r="AD925" i="4"/>
  <c r="AC925" i="4"/>
  <c r="AB925" i="4"/>
  <c r="AA925" i="4"/>
  <c r="Z925" i="4"/>
  <c r="H925" i="4"/>
  <c r="G925" i="4"/>
  <c r="AO924" i="4"/>
  <c r="AN924" i="4"/>
  <c r="AM924" i="4"/>
  <c r="AL924" i="4"/>
  <c r="AK924" i="4"/>
  <c r="AJ924" i="4"/>
  <c r="AI924" i="4"/>
  <c r="AH924" i="4"/>
  <c r="AG924" i="4"/>
  <c r="AF924" i="4"/>
  <c r="AE924" i="4"/>
  <c r="AD924" i="4"/>
  <c r="AC924" i="4"/>
  <c r="AB924" i="4"/>
  <c r="AA924" i="4"/>
  <c r="Z924" i="4"/>
  <c r="H924" i="4"/>
  <c r="G924" i="4"/>
  <c r="AO923" i="4"/>
  <c r="AN923" i="4"/>
  <c r="AM923" i="4"/>
  <c r="AL923" i="4"/>
  <c r="AK923" i="4"/>
  <c r="AJ923" i="4"/>
  <c r="AI923" i="4"/>
  <c r="AH923" i="4"/>
  <c r="AG923" i="4"/>
  <c r="AF923" i="4"/>
  <c r="AE923" i="4"/>
  <c r="AD923" i="4"/>
  <c r="AC923" i="4"/>
  <c r="AB923" i="4"/>
  <c r="AA923" i="4"/>
  <c r="Z923" i="4"/>
  <c r="H923" i="4"/>
  <c r="G923" i="4"/>
  <c r="AO922" i="4"/>
  <c r="AN922" i="4"/>
  <c r="AM922" i="4"/>
  <c r="AL922" i="4"/>
  <c r="AK922" i="4"/>
  <c r="AJ922" i="4"/>
  <c r="AI922" i="4"/>
  <c r="AH922" i="4"/>
  <c r="AG922" i="4"/>
  <c r="AF922" i="4"/>
  <c r="AE922" i="4"/>
  <c r="AD922" i="4"/>
  <c r="AC922" i="4"/>
  <c r="AB922" i="4"/>
  <c r="AA922" i="4"/>
  <c r="Z922" i="4"/>
  <c r="H922" i="4"/>
  <c r="G922" i="4"/>
  <c r="AO921" i="4"/>
  <c r="AN921" i="4"/>
  <c r="AM921" i="4"/>
  <c r="AL921" i="4"/>
  <c r="AK921" i="4"/>
  <c r="AJ921" i="4"/>
  <c r="AI921" i="4"/>
  <c r="AH921" i="4"/>
  <c r="AG921" i="4"/>
  <c r="AF921" i="4"/>
  <c r="AE921" i="4"/>
  <c r="AD921" i="4"/>
  <c r="AC921" i="4"/>
  <c r="AB921" i="4"/>
  <c r="AA921" i="4"/>
  <c r="Z921" i="4"/>
  <c r="H921" i="4"/>
  <c r="G921" i="4"/>
  <c r="AO920" i="4"/>
  <c r="AN920" i="4"/>
  <c r="AM920" i="4"/>
  <c r="AL920" i="4"/>
  <c r="AK920" i="4"/>
  <c r="AJ920" i="4"/>
  <c r="AI920" i="4"/>
  <c r="AH920" i="4"/>
  <c r="AG920" i="4"/>
  <c r="AF920" i="4"/>
  <c r="AE920" i="4"/>
  <c r="AD920" i="4"/>
  <c r="AC920" i="4"/>
  <c r="AB920" i="4"/>
  <c r="AA920" i="4"/>
  <c r="Z920" i="4"/>
  <c r="H920" i="4"/>
  <c r="G920" i="4"/>
  <c r="AO919" i="4"/>
  <c r="AN919" i="4"/>
  <c r="AM919" i="4"/>
  <c r="AL919" i="4"/>
  <c r="AK919" i="4"/>
  <c r="AJ919" i="4"/>
  <c r="AI919" i="4"/>
  <c r="AH919" i="4"/>
  <c r="AG919" i="4"/>
  <c r="AF919" i="4"/>
  <c r="AE919" i="4"/>
  <c r="AD919" i="4"/>
  <c r="AC919" i="4"/>
  <c r="AB919" i="4"/>
  <c r="AA919" i="4"/>
  <c r="Z919" i="4"/>
  <c r="H919" i="4"/>
  <c r="G919" i="4"/>
  <c r="AO918" i="4"/>
  <c r="AN918" i="4"/>
  <c r="AM918" i="4"/>
  <c r="AL918" i="4"/>
  <c r="AK918" i="4"/>
  <c r="AJ918" i="4"/>
  <c r="AI918" i="4"/>
  <c r="AH918" i="4"/>
  <c r="AG918" i="4"/>
  <c r="AF918" i="4"/>
  <c r="AE918" i="4"/>
  <c r="AD918" i="4"/>
  <c r="AC918" i="4"/>
  <c r="AB918" i="4"/>
  <c r="AA918" i="4"/>
  <c r="Z918" i="4"/>
  <c r="H918" i="4"/>
  <c r="G918" i="4"/>
  <c r="AO917" i="4"/>
  <c r="AN917" i="4"/>
  <c r="AM917" i="4"/>
  <c r="AL917" i="4"/>
  <c r="AK917" i="4"/>
  <c r="AJ917" i="4"/>
  <c r="AI917" i="4"/>
  <c r="AH917" i="4"/>
  <c r="AG917" i="4"/>
  <c r="AF917" i="4"/>
  <c r="AE917" i="4"/>
  <c r="AD917" i="4"/>
  <c r="AC917" i="4"/>
  <c r="AB917" i="4"/>
  <c r="AA917" i="4"/>
  <c r="Z917" i="4"/>
  <c r="H917" i="4"/>
  <c r="G917" i="4"/>
  <c r="AO916" i="4"/>
  <c r="AN916" i="4"/>
  <c r="AM916" i="4"/>
  <c r="AL916" i="4"/>
  <c r="AK916" i="4"/>
  <c r="AJ916" i="4"/>
  <c r="AI916" i="4"/>
  <c r="AH916" i="4"/>
  <c r="AG916" i="4"/>
  <c r="AF916" i="4"/>
  <c r="AE916" i="4"/>
  <c r="AD916" i="4"/>
  <c r="AC916" i="4"/>
  <c r="AB916" i="4"/>
  <c r="AA916" i="4"/>
  <c r="Z916" i="4"/>
  <c r="H916" i="4"/>
  <c r="G916" i="4"/>
  <c r="AO915" i="4"/>
  <c r="AN915" i="4"/>
  <c r="AM915" i="4"/>
  <c r="AL915" i="4"/>
  <c r="AK915" i="4"/>
  <c r="AJ915" i="4"/>
  <c r="AI915" i="4"/>
  <c r="AH915" i="4"/>
  <c r="AG915" i="4"/>
  <c r="AF915" i="4"/>
  <c r="AE915" i="4"/>
  <c r="AD915" i="4"/>
  <c r="AC915" i="4"/>
  <c r="AB915" i="4"/>
  <c r="AA915" i="4"/>
  <c r="Z915" i="4"/>
  <c r="H915" i="4"/>
  <c r="G915" i="4"/>
  <c r="AO914" i="4"/>
  <c r="AN914" i="4"/>
  <c r="AM914" i="4"/>
  <c r="AL914" i="4"/>
  <c r="AK914" i="4"/>
  <c r="AJ914" i="4"/>
  <c r="AI914" i="4"/>
  <c r="AH914" i="4"/>
  <c r="AG914" i="4"/>
  <c r="AF914" i="4"/>
  <c r="AE914" i="4"/>
  <c r="AD914" i="4"/>
  <c r="AC914" i="4"/>
  <c r="AB914" i="4"/>
  <c r="AA914" i="4"/>
  <c r="Z914" i="4"/>
  <c r="H914" i="4"/>
  <c r="G914" i="4"/>
  <c r="AO913" i="4"/>
  <c r="AN913" i="4"/>
  <c r="AM913" i="4"/>
  <c r="AL913" i="4"/>
  <c r="AK913" i="4"/>
  <c r="AJ913" i="4"/>
  <c r="AI913" i="4"/>
  <c r="AH913" i="4"/>
  <c r="AG913" i="4"/>
  <c r="AF913" i="4"/>
  <c r="AE913" i="4"/>
  <c r="AD913" i="4"/>
  <c r="AC913" i="4"/>
  <c r="AB913" i="4"/>
  <c r="AA913" i="4"/>
  <c r="Z913" i="4"/>
  <c r="H913" i="4"/>
  <c r="G913" i="4"/>
  <c r="AO912" i="4"/>
  <c r="AN912" i="4"/>
  <c r="AM912" i="4"/>
  <c r="AL912" i="4"/>
  <c r="AK912" i="4"/>
  <c r="AJ912" i="4"/>
  <c r="AI912" i="4"/>
  <c r="AH912" i="4"/>
  <c r="AG912" i="4"/>
  <c r="AF912" i="4"/>
  <c r="AE912" i="4"/>
  <c r="AD912" i="4"/>
  <c r="AC912" i="4"/>
  <c r="AB912" i="4"/>
  <c r="AA912" i="4"/>
  <c r="Z912" i="4"/>
  <c r="H912" i="4"/>
  <c r="G912" i="4"/>
  <c r="AO911" i="4"/>
  <c r="AN911" i="4"/>
  <c r="AM911" i="4"/>
  <c r="AL911" i="4"/>
  <c r="AK911" i="4"/>
  <c r="AJ911" i="4"/>
  <c r="AI911" i="4"/>
  <c r="AH911" i="4"/>
  <c r="AG911" i="4"/>
  <c r="AF911" i="4"/>
  <c r="AE911" i="4"/>
  <c r="AD911" i="4"/>
  <c r="AC911" i="4"/>
  <c r="AB911" i="4"/>
  <c r="AA911" i="4"/>
  <c r="Z911" i="4"/>
  <c r="H911" i="4"/>
  <c r="G911" i="4"/>
  <c r="AO910" i="4"/>
  <c r="AN910" i="4"/>
  <c r="AM910" i="4"/>
  <c r="AL910" i="4"/>
  <c r="AK910" i="4"/>
  <c r="AJ910" i="4"/>
  <c r="AI910" i="4"/>
  <c r="AH910" i="4"/>
  <c r="AG910" i="4"/>
  <c r="AF910" i="4"/>
  <c r="AE910" i="4"/>
  <c r="AD910" i="4"/>
  <c r="AC910" i="4"/>
  <c r="AB910" i="4"/>
  <c r="AA910" i="4"/>
  <c r="Z910" i="4"/>
  <c r="H910" i="4"/>
  <c r="G910" i="4"/>
  <c r="AO909" i="4"/>
  <c r="AN909" i="4"/>
  <c r="AM909" i="4"/>
  <c r="AL909" i="4"/>
  <c r="AK909" i="4"/>
  <c r="AJ909" i="4"/>
  <c r="AI909" i="4"/>
  <c r="AH909" i="4"/>
  <c r="AG909" i="4"/>
  <c r="AF909" i="4"/>
  <c r="AE909" i="4"/>
  <c r="AD909" i="4"/>
  <c r="AC909" i="4"/>
  <c r="AB909" i="4"/>
  <c r="AA909" i="4"/>
  <c r="Z909" i="4"/>
  <c r="H909" i="4"/>
  <c r="G909" i="4"/>
  <c r="AO908" i="4"/>
  <c r="AN908" i="4"/>
  <c r="AM908" i="4"/>
  <c r="AL908" i="4"/>
  <c r="AK908" i="4"/>
  <c r="AJ908" i="4"/>
  <c r="AI908" i="4"/>
  <c r="AH908" i="4"/>
  <c r="AG908" i="4"/>
  <c r="AF908" i="4"/>
  <c r="AE908" i="4"/>
  <c r="AD908" i="4"/>
  <c r="AC908" i="4"/>
  <c r="AB908" i="4"/>
  <c r="AA908" i="4"/>
  <c r="Z908" i="4"/>
  <c r="H908" i="4"/>
  <c r="G908" i="4"/>
  <c r="AO907" i="4"/>
  <c r="AN907" i="4"/>
  <c r="AM907" i="4"/>
  <c r="AL907" i="4"/>
  <c r="AK907" i="4"/>
  <c r="AJ907" i="4"/>
  <c r="AI907" i="4"/>
  <c r="AH907" i="4"/>
  <c r="AG907" i="4"/>
  <c r="AF907" i="4"/>
  <c r="AE907" i="4"/>
  <c r="AD907" i="4"/>
  <c r="AC907" i="4"/>
  <c r="AB907" i="4"/>
  <c r="AA907" i="4"/>
  <c r="Z907" i="4"/>
  <c r="H907" i="4"/>
  <c r="G907" i="4"/>
  <c r="AO906" i="4"/>
  <c r="AN906" i="4"/>
  <c r="AM906" i="4"/>
  <c r="AL906" i="4"/>
  <c r="AK906" i="4"/>
  <c r="AJ906" i="4"/>
  <c r="AI906" i="4"/>
  <c r="AH906" i="4"/>
  <c r="AG906" i="4"/>
  <c r="AF906" i="4"/>
  <c r="AE906" i="4"/>
  <c r="AD906" i="4"/>
  <c r="AC906" i="4"/>
  <c r="AB906" i="4"/>
  <c r="AA906" i="4"/>
  <c r="Z906" i="4"/>
  <c r="H906" i="4"/>
  <c r="G906" i="4"/>
  <c r="AO905" i="4"/>
  <c r="AN905" i="4"/>
  <c r="AM905" i="4"/>
  <c r="AL905" i="4"/>
  <c r="AK905" i="4"/>
  <c r="AJ905" i="4"/>
  <c r="AI905" i="4"/>
  <c r="AH905" i="4"/>
  <c r="AG905" i="4"/>
  <c r="AF905" i="4"/>
  <c r="AE905" i="4"/>
  <c r="AD905" i="4"/>
  <c r="AC905" i="4"/>
  <c r="AB905" i="4"/>
  <c r="AA905" i="4"/>
  <c r="Z905" i="4"/>
  <c r="H905" i="4"/>
  <c r="G905" i="4"/>
  <c r="AO904" i="4"/>
  <c r="AN904" i="4"/>
  <c r="AM904" i="4"/>
  <c r="AL904" i="4"/>
  <c r="AK904" i="4"/>
  <c r="AJ904" i="4"/>
  <c r="AI904" i="4"/>
  <c r="AH904" i="4"/>
  <c r="AG904" i="4"/>
  <c r="AF904" i="4"/>
  <c r="AE904" i="4"/>
  <c r="AD904" i="4"/>
  <c r="AC904" i="4"/>
  <c r="AB904" i="4"/>
  <c r="AA904" i="4"/>
  <c r="Z904" i="4"/>
  <c r="H904" i="4"/>
  <c r="G904" i="4"/>
  <c r="AO903" i="4"/>
  <c r="AN903" i="4"/>
  <c r="AM903" i="4"/>
  <c r="AL903" i="4"/>
  <c r="AK903" i="4"/>
  <c r="AJ903" i="4"/>
  <c r="AI903" i="4"/>
  <c r="AH903" i="4"/>
  <c r="AG903" i="4"/>
  <c r="AF903" i="4"/>
  <c r="AE903" i="4"/>
  <c r="AD903" i="4"/>
  <c r="AC903" i="4"/>
  <c r="AB903" i="4"/>
  <c r="AA903" i="4"/>
  <c r="Z903" i="4"/>
  <c r="H903" i="4"/>
  <c r="G903" i="4"/>
  <c r="AO902" i="4"/>
  <c r="AN902" i="4"/>
  <c r="AM902" i="4"/>
  <c r="AL902" i="4"/>
  <c r="AK902" i="4"/>
  <c r="AJ902" i="4"/>
  <c r="AI902" i="4"/>
  <c r="AH902" i="4"/>
  <c r="AG902" i="4"/>
  <c r="AF902" i="4"/>
  <c r="AE902" i="4"/>
  <c r="AD902" i="4"/>
  <c r="AC902" i="4"/>
  <c r="AB902" i="4"/>
  <c r="AA902" i="4"/>
  <c r="Z902" i="4"/>
  <c r="H902" i="4"/>
  <c r="G902" i="4"/>
  <c r="AO901" i="4"/>
  <c r="AN901" i="4"/>
  <c r="AM901" i="4"/>
  <c r="AL901" i="4"/>
  <c r="AK901" i="4"/>
  <c r="AJ901" i="4"/>
  <c r="AI901" i="4"/>
  <c r="AH901" i="4"/>
  <c r="AG901" i="4"/>
  <c r="AF901" i="4"/>
  <c r="AE901" i="4"/>
  <c r="AD901" i="4"/>
  <c r="AC901" i="4"/>
  <c r="AB901" i="4"/>
  <c r="AA901" i="4"/>
  <c r="Z901" i="4"/>
  <c r="H901" i="4"/>
  <c r="G901" i="4"/>
  <c r="AO900" i="4"/>
  <c r="AN900" i="4"/>
  <c r="AM900" i="4"/>
  <c r="AL900" i="4"/>
  <c r="AK900" i="4"/>
  <c r="AJ900" i="4"/>
  <c r="AI900" i="4"/>
  <c r="AH900" i="4"/>
  <c r="AG900" i="4"/>
  <c r="AF900" i="4"/>
  <c r="AE900" i="4"/>
  <c r="AD900" i="4"/>
  <c r="AC900" i="4"/>
  <c r="AB900" i="4"/>
  <c r="AA900" i="4"/>
  <c r="Z900" i="4"/>
  <c r="H900" i="4"/>
  <c r="G900" i="4"/>
  <c r="AO899" i="4"/>
  <c r="AN899" i="4"/>
  <c r="AM899" i="4"/>
  <c r="AL899" i="4"/>
  <c r="AK899" i="4"/>
  <c r="AJ899" i="4"/>
  <c r="AI899" i="4"/>
  <c r="AH899" i="4"/>
  <c r="AG899" i="4"/>
  <c r="AF899" i="4"/>
  <c r="AE899" i="4"/>
  <c r="AD899" i="4"/>
  <c r="AC899" i="4"/>
  <c r="AB899" i="4"/>
  <c r="AA899" i="4"/>
  <c r="Z899" i="4"/>
  <c r="H899" i="4"/>
  <c r="G899" i="4"/>
  <c r="AO898" i="4"/>
  <c r="AN898" i="4"/>
  <c r="AM898" i="4"/>
  <c r="AL898" i="4"/>
  <c r="AK898" i="4"/>
  <c r="AJ898" i="4"/>
  <c r="AI898" i="4"/>
  <c r="AH898" i="4"/>
  <c r="AG898" i="4"/>
  <c r="AF898" i="4"/>
  <c r="AE898" i="4"/>
  <c r="AD898" i="4"/>
  <c r="AC898" i="4"/>
  <c r="AB898" i="4"/>
  <c r="AA898" i="4"/>
  <c r="Z898" i="4"/>
  <c r="H898" i="4"/>
  <c r="G898" i="4"/>
  <c r="AO897" i="4"/>
  <c r="AN897" i="4"/>
  <c r="AM897" i="4"/>
  <c r="AL897" i="4"/>
  <c r="AK897" i="4"/>
  <c r="AJ897" i="4"/>
  <c r="AI897" i="4"/>
  <c r="AH897" i="4"/>
  <c r="AG897" i="4"/>
  <c r="AF897" i="4"/>
  <c r="AE897" i="4"/>
  <c r="AD897" i="4"/>
  <c r="AC897" i="4"/>
  <c r="AB897" i="4"/>
  <c r="AA897" i="4"/>
  <c r="Z897" i="4"/>
  <c r="H897" i="4"/>
  <c r="G897" i="4"/>
  <c r="AO896" i="4"/>
  <c r="AN896" i="4"/>
  <c r="AM896" i="4"/>
  <c r="AL896" i="4"/>
  <c r="AK896" i="4"/>
  <c r="AJ896" i="4"/>
  <c r="AI896" i="4"/>
  <c r="AH896" i="4"/>
  <c r="AG896" i="4"/>
  <c r="AF896" i="4"/>
  <c r="AE896" i="4"/>
  <c r="AD896" i="4"/>
  <c r="AC896" i="4"/>
  <c r="AB896" i="4"/>
  <c r="AA896" i="4"/>
  <c r="Z896" i="4"/>
  <c r="H896" i="4"/>
  <c r="G896" i="4"/>
  <c r="AO895" i="4"/>
  <c r="AN895" i="4"/>
  <c r="AM895" i="4"/>
  <c r="AL895" i="4"/>
  <c r="AK895" i="4"/>
  <c r="AJ895" i="4"/>
  <c r="AI895" i="4"/>
  <c r="AH895" i="4"/>
  <c r="AG895" i="4"/>
  <c r="AF895" i="4"/>
  <c r="AE895" i="4"/>
  <c r="AD895" i="4"/>
  <c r="AC895" i="4"/>
  <c r="AB895" i="4"/>
  <c r="AA895" i="4"/>
  <c r="Z895" i="4"/>
  <c r="H895" i="4"/>
  <c r="G895" i="4"/>
  <c r="AO894" i="4"/>
  <c r="AN894" i="4"/>
  <c r="AM894" i="4"/>
  <c r="AL894" i="4"/>
  <c r="AK894" i="4"/>
  <c r="AJ894" i="4"/>
  <c r="AI894" i="4"/>
  <c r="AH894" i="4"/>
  <c r="AG894" i="4"/>
  <c r="AF894" i="4"/>
  <c r="AE894" i="4"/>
  <c r="AD894" i="4"/>
  <c r="AC894" i="4"/>
  <c r="AB894" i="4"/>
  <c r="AA894" i="4"/>
  <c r="Z894" i="4"/>
  <c r="H894" i="4"/>
  <c r="G894" i="4"/>
  <c r="AO893" i="4"/>
  <c r="AN893" i="4"/>
  <c r="AM893" i="4"/>
  <c r="AL893" i="4"/>
  <c r="AK893" i="4"/>
  <c r="AJ893" i="4"/>
  <c r="AI893" i="4"/>
  <c r="AH893" i="4"/>
  <c r="AG893" i="4"/>
  <c r="AF893" i="4"/>
  <c r="AE893" i="4"/>
  <c r="AD893" i="4"/>
  <c r="AC893" i="4"/>
  <c r="AB893" i="4"/>
  <c r="AA893" i="4"/>
  <c r="Z893" i="4"/>
  <c r="H893" i="4"/>
  <c r="G893" i="4"/>
  <c r="AO892" i="4"/>
  <c r="AN892" i="4"/>
  <c r="AM892" i="4"/>
  <c r="AL892" i="4"/>
  <c r="AK892" i="4"/>
  <c r="AJ892" i="4"/>
  <c r="AI892" i="4"/>
  <c r="AH892" i="4"/>
  <c r="AG892" i="4"/>
  <c r="AF892" i="4"/>
  <c r="AE892" i="4"/>
  <c r="AD892" i="4"/>
  <c r="AC892" i="4"/>
  <c r="AB892" i="4"/>
  <c r="AA892" i="4"/>
  <c r="Z892" i="4"/>
  <c r="H892" i="4"/>
  <c r="G892" i="4"/>
  <c r="AO891" i="4"/>
  <c r="AN891" i="4"/>
  <c r="AM891" i="4"/>
  <c r="AL891" i="4"/>
  <c r="AK891" i="4"/>
  <c r="AJ891" i="4"/>
  <c r="AI891" i="4"/>
  <c r="AH891" i="4"/>
  <c r="AG891" i="4"/>
  <c r="AF891" i="4"/>
  <c r="AE891" i="4"/>
  <c r="AD891" i="4"/>
  <c r="AC891" i="4"/>
  <c r="AB891" i="4"/>
  <c r="AA891" i="4"/>
  <c r="Z891" i="4"/>
  <c r="H891" i="4"/>
  <c r="G891" i="4"/>
  <c r="AO890" i="4"/>
  <c r="AN890" i="4"/>
  <c r="AM890" i="4"/>
  <c r="AL890" i="4"/>
  <c r="AK890" i="4"/>
  <c r="AJ890" i="4"/>
  <c r="AI890" i="4"/>
  <c r="AH890" i="4"/>
  <c r="AG890" i="4"/>
  <c r="AF890" i="4"/>
  <c r="AE890" i="4"/>
  <c r="AD890" i="4"/>
  <c r="AC890" i="4"/>
  <c r="AB890" i="4"/>
  <c r="AA890" i="4"/>
  <c r="Z890" i="4"/>
  <c r="H890" i="4"/>
  <c r="G890" i="4"/>
  <c r="AO889" i="4"/>
  <c r="AN889" i="4"/>
  <c r="AM889" i="4"/>
  <c r="AL889" i="4"/>
  <c r="AK889" i="4"/>
  <c r="AJ889" i="4"/>
  <c r="AI889" i="4"/>
  <c r="AH889" i="4"/>
  <c r="AG889" i="4"/>
  <c r="AF889" i="4"/>
  <c r="AE889" i="4"/>
  <c r="AD889" i="4"/>
  <c r="AC889" i="4"/>
  <c r="AB889" i="4"/>
  <c r="AA889" i="4"/>
  <c r="Z889" i="4"/>
  <c r="H889" i="4"/>
  <c r="G889" i="4"/>
  <c r="AO888" i="4"/>
  <c r="AN888" i="4"/>
  <c r="AM888" i="4"/>
  <c r="AL888" i="4"/>
  <c r="AK888" i="4"/>
  <c r="AJ888" i="4"/>
  <c r="AI888" i="4"/>
  <c r="AH888" i="4"/>
  <c r="AG888" i="4"/>
  <c r="AF888" i="4"/>
  <c r="AE888" i="4"/>
  <c r="AD888" i="4"/>
  <c r="AC888" i="4"/>
  <c r="AB888" i="4"/>
  <c r="AA888" i="4"/>
  <c r="Z888" i="4"/>
  <c r="H888" i="4"/>
  <c r="G888" i="4"/>
  <c r="AO887" i="4"/>
  <c r="AN887" i="4"/>
  <c r="AM887" i="4"/>
  <c r="AL887" i="4"/>
  <c r="AK887" i="4"/>
  <c r="AJ887" i="4"/>
  <c r="AI887" i="4"/>
  <c r="AH887" i="4"/>
  <c r="AG887" i="4"/>
  <c r="AF887" i="4"/>
  <c r="AE887" i="4"/>
  <c r="AD887" i="4"/>
  <c r="AC887" i="4"/>
  <c r="AB887" i="4"/>
  <c r="AA887" i="4"/>
  <c r="Z887" i="4"/>
  <c r="H887" i="4"/>
  <c r="G887" i="4"/>
  <c r="AO886" i="4"/>
  <c r="AN886" i="4"/>
  <c r="AM886" i="4"/>
  <c r="AL886" i="4"/>
  <c r="AK886" i="4"/>
  <c r="AJ886" i="4"/>
  <c r="AI886" i="4"/>
  <c r="AH886" i="4"/>
  <c r="AG886" i="4"/>
  <c r="AF886" i="4"/>
  <c r="AE886" i="4"/>
  <c r="AD886" i="4"/>
  <c r="AC886" i="4"/>
  <c r="AB886" i="4"/>
  <c r="AA886" i="4"/>
  <c r="Z886" i="4"/>
  <c r="H886" i="4"/>
  <c r="G886" i="4"/>
  <c r="AO885" i="4"/>
  <c r="AN885" i="4"/>
  <c r="AM885" i="4"/>
  <c r="AL885" i="4"/>
  <c r="AK885" i="4"/>
  <c r="AJ885" i="4"/>
  <c r="AI885" i="4"/>
  <c r="AH885" i="4"/>
  <c r="AG885" i="4"/>
  <c r="AF885" i="4"/>
  <c r="AE885" i="4"/>
  <c r="AD885" i="4"/>
  <c r="AC885" i="4"/>
  <c r="AB885" i="4"/>
  <c r="AA885" i="4"/>
  <c r="Z885" i="4"/>
  <c r="H885" i="4"/>
  <c r="G885" i="4"/>
  <c r="AO884" i="4"/>
  <c r="AN884" i="4"/>
  <c r="AM884" i="4"/>
  <c r="AL884" i="4"/>
  <c r="AK884" i="4"/>
  <c r="AJ884" i="4"/>
  <c r="AI884" i="4"/>
  <c r="AH884" i="4"/>
  <c r="AG884" i="4"/>
  <c r="AF884" i="4"/>
  <c r="AE884" i="4"/>
  <c r="AD884" i="4"/>
  <c r="AC884" i="4"/>
  <c r="AB884" i="4"/>
  <c r="AA884" i="4"/>
  <c r="Z884" i="4"/>
  <c r="H884" i="4"/>
  <c r="G884" i="4"/>
  <c r="AO883" i="4"/>
  <c r="AN883" i="4"/>
  <c r="AM883" i="4"/>
  <c r="AL883" i="4"/>
  <c r="AK883" i="4"/>
  <c r="AJ883" i="4"/>
  <c r="AI883" i="4"/>
  <c r="AH883" i="4"/>
  <c r="AG883" i="4"/>
  <c r="AF883" i="4"/>
  <c r="AE883" i="4"/>
  <c r="AD883" i="4"/>
  <c r="AC883" i="4"/>
  <c r="AB883" i="4"/>
  <c r="AA883" i="4"/>
  <c r="Z883" i="4"/>
  <c r="H883" i="4"/>
  <c r="G883" i="4"/>
  <c r="AO882" i="4"/>
  <c r="AN882" i="4"/>
  <c r="AM882" i="4"/>
  <c r="AL882" i="4"/>
  <c r="AK882" i="4"/>
  <c r="AJ882" i="4"/>
  <c r="AI882" i="4"/>
  <c r="AH882" i="4"/>
  <c r="AG882" i="4"/>
  <c r="AF882" i="4"/>
  <c r="AE882" i="4"/>
  <c r="AD882" i="4"/>
  <c r="AC882" i="4"/>
  <c r="AB882" i="4"/>
  <c r="AA882" i="4"/>
  <c r="Z882" i="4"/>
  <c r="H882" i="4"/>
  <c r="G882" i="4"/>
  <c r="AO881" i="4"/>
  <c r="AN881" i="4"/>
  <c r="AM881" i="4"/>
  <c r="AL881" i="4"/>
  <c r="AK881" i="4"/>
  <c r="AJ881" i="4"/>
  <c r="AI881" i="4"/>
  <c r="AH881" i="4"/>
  <c r="AG881" i="4"/>
  <c r="AF881" i="4"/>
  <c r="AE881" i="4"/>
  <c r="AD881" i="4"/>
  <c r="AC881" i="4"/>
  <c r="AB881" i="4"/>
  <c r="AA881" i="4"/>
  <c r="Z881" i="4"/>
  <c r="H881" i="4"/>
  <c r="G881" i="4"/>
  <c r="AO880" i="4"/>
  <c r="AN880" i="4"/>
  <c r="AM880" i="4"/>
  <c r="AL880" i="4"/>
  <c r="AK880" i="4"/>
  <c r="AJ880" i="4"/>
  <c r="AI880" i="4"/>
  <c r="AH880" i="4"/>
  <c r="AG880" i="4"/>
  <c r="AF880" i="4"/>
  <c r="AE880" i="4"/>
  <c r="AD880" i="4"/>
  <c r="AC880" i="4"/>
  <c r="AB880" i="4"/>
  <c r="AA880" i="4"/>
  <c r="Z880" i="4"/>
  <c r="H880" i="4"/>
  <c r="G880" i="4"/>
  <c r="AO879" i="4"/>
  <c r="AN879" i="4"/>
  <c r="AM879" i="4"/>
  <c r="AL879" i="4"/>
  <c r="AK879" i="4"/>
  <c r="AJ879" i="4"/>
  <c r="AI879" i="4"/>
  <c r="AH879" i="4"/>
  <c r="AG879" i="4"/>
  <c r="AF879" i="4"/>
  <c r="AE879" i="4"/>
  <c r="AD879" i="4"/>
  <c r="AC879" i="4"/>
  <c r="AB879" i="4"/>
  <c r="AA879" i="4"/>
  <c r="Z879" i="4"/>
  <c r="H879" i="4"/>
  <c r="G879" i="4"/>
  <c r="AO878" i="4"/>
  <c r="AN878" i="4"/>
  <c r="AM878" i="4"/>
  <c r="AL878" i="4"/>
  <c r="AK878" i="4"/>
  <c r="AJ878" i="4"/>
  <c r="AI878" i="4"/>
  <c r="AH878" i="4"/>
  <c r="AG878" i="4"/>
  <c r="AF878" i="4"/>
  <c r="AE878" i="4"/>
  <c r="AD878" i="4"/>
  <c r="AC878" i="4"/>
  <c r="AB878" i="4"/>
  <c r="AA878" i="4"/>
  <c r="Z878" i="4"/>
  <c r="H878" i="4"/>
  <c r="G878" i="4"/>
  <c r="AO877" i="4"/>
  <c r="AN877" i="4"/>
  <c r="AM877" i="4"/>
  <c r="AL877" i="4"/>
  <c r="AK877" i="4"/>
  <c r="AJ877" i="4"/>
  <c r="AI877" i="4"/>
  <c r="AH877" i="4"/>
  <c r="AG877" i="4"/>
  <c r="AF877" i="4"/>
  <c r="AE877" i="4"/>
  <c r="AD877" i="4"/>
  <c r="AC877" i="4"/>
  <c r="AB877" i="4"/>
  <c r="AA877" i="4"/>
  <c r="Z877" i="4"/>
  <c r="H877" i="4"/>
  <c r="G877" i="4"/>
  <c r="AO876" i="4"/>
  <c r="AN876" i="4"/>
  <c r="AM876" i="4"/>
  <c r="AL876" i="4"/>
  <c r="AK876" i="4"/>
  <c r="AJ876" i="4"/>
  <c r="AI876" i="4"/>
  <c r="AH876" i="4"/>
  <c r="AG876" i="4"/>
  <c r="AF876" i="4"/>
  <c r="AE876" i="4"/>
  <c r="AD876" i="4"/>
  <c r="AC876" i="4"/>
  <c r="AB876" i="4"/>
  <c r="AA876" i="4"/>
  <c r="Z876" i="4"/>
  <c r="H876" i="4"/>
  <c r="G876" i="4"/>
  <c r="AO875" i="4"/>
  <c r="AN875" i="4"/>
  <c r="AM875" i="4"/>
  <c r="AL875" i="4"/>
  <c r="AK875" i="4"/>
  <c r="AJ875" i="4"/>
  <c r="AI875" i="4"/>
  <c r="AH875" i="4"/>
  <c r="AG875" i="4"/>
  <c r="AF875" i="4"/>
  <c r="AE875" i="4"/>
  <c r="AD875" i="4"/>
  <c r="AC875" i="4"/>
  <c r="AB875" i="4"/>
  <c r="AA875" i="4"/>
  <c r="Z875" i="4"/>
  <c r="H875" i="4"/>
  <c r="G875" i="4"/>
  <c r="AO874" i="4"/>
  <c r="AN874" i="4"/>
  <c r="AM874" i="4"/>
  <c r="AL874" i="4"/>
  <c r="AK874" i="4"/>
  <c r="AJ874" i="4"/>
  <c r="AI874" i="4"/>
  <c r="AH874" i="4"/>
  <c r="AG874" i="4"/>
  <c r="AF874" i="4"/>
  <c r="AE874" i="4"/>
  <c r="AD874" i="4"/>
  <c r="AC874" i="4"/>
  <c r="AB874" i="4"/>
  <c r="AA874" i="4"/>
  <c r="Z874" i="4"/>
  <c r="H874" i="4"/>
  <c r="G874" i="4"/>
  <c r="AO873" i="4"/>
  <c r="AN873" i="4"/>
  <c r="AM873" i="4"/>
  <c r="AL873" i="4"/>
  <c r="AK873" i="4"/>
  <c r="AJ873" i="4"/>
  <c r="AI873" i="4"/>
  <c r="AH873" i="4"/>
  <c r="AG873" i="4"/>
  <c r="AF873" i="4"/>
  <c r="AE873" i="4"/>
  <c r="AD873" i="4"/>
  <c r="AC873" i="4"/>
  <c r="AB873" i="4"/>
  <c r="AA873" i="4"/>
  <c r="Z873" i="4"/>
  <c r="H873" i="4"/>
  <c r="G873" i="4"/>
  <c r="AO872" i="4"/>
  <c r="AN872" i="4"/>
  <c r="AM872" i="4"/>
  <c r="AL872" i="4"/>
  <c r="AK872" i="4"/>
  <c r="AJ872" i="4"/>
  <c r="AI872" i="4"/>
  <c r="AH872" i="4"/>
  <c r="AG872" i="4"/>
  <c r="AF872" i="4"/>
  <c r="AE872" i="4"/>
  <c r="AD872" i="4"/>
  <c r="AC872" i="4"/>
  <c r="AB872" i="4"/>
  <c r="AA872" i="4"/>
  <c r="Z872" i="4"/>
  <c r="H872" i="4"/>
  <c r="G872" i="4"/>
  <c r="AO871" i="4"/>
  <c r="AN871" i="4"/>
  <c r="AM871" i="4"/>
  <c r="AL871" i="4"/>
  <c r="AK871" i="4"/>
  <c r="AJ871" i="4"/>
  <c r="AI871" i="4"/>
  <c r="AH871" i="4"/>
  <c r="AG871" i="4"/>
  <c r="AF871" i="4"/>
  <c r="AE871" i="4"/>
  <c r="AD871" i="4"/>
  <c r="AC871" i="4"/>
  <c r="AB871" i="4"/>
  <c r="AA871" i="4"/>
  <c r="Z871" i="4"/>
  <c r="H871" i="4"/>
  <c r="G871" i="4"/>
  <c r="AO870" i="4"/>
  <c r="AN870" i="4"/>
  <c r="AM870" i="4"/>
  <c r="AL870" i="4"/>
  <c r="AK870" i="4"/>
  <c r="AJ870" i="4"/>
  <c r="AI870" i="4"/>
  <c r="AH870" i="4"/>
  <c r="AG870" i="4"/>
  <c r="AF870" i="4"/>
  <c r="AE870" i="4"/>
  <c r="AD870" i="4"/>
  <c r="AC870" i="4"/>
  <c r="AB870" i="4"/>
  <c r="AA870" i="4"/>
  <c r="Z870" i="4"/>
  <c r="H870" i="4"/>
  <c r="G870" i="4"/>
  <c r="AO869" i="4"/>
  <c r="AN869" i="4"/>
  <c r="AM869" i="4"/>
  <c r="AL869" i="4"/>
  <c r="AK869" i="4"/>
  <c r="AJ869" i="4"/>
  <c r="AI869" i="4"/>
  <c r="AH869" i="4"/>
  <c r="AG869" i="4"/>
  <c r="AF869" i="4"/>
  <c r="AE869" i="4"/>
  <c r="AD869" i="4"/>
  <c r="AC869" i="4"/>
  <c r="AB869" i="4"/>
  <c r="AA869" i="4"/>
  <c r="Z869" i="4"/>
  <c r="H869" i="4"/>
  <c r="G869" i="4"/>
  <c r="AO868" i="4"/>
  <c r="AN868" i="4"/>
  <c r="AM868" i="4"/>
  <c r="AL868" i="4"/>
  <c r="AK868" i="4"/>
  <c r="AJ868" i="4"/>
  <c r="AI868" i="4"/>
  <c r="AH868" i="4"/>
  <c r="AG868" i="4"/>
  <c r="AF868" i="4"/>
  <c r="AE868" i="4"/>
  <c r="AD868" i="4"/>
  <c r="AC868" i="4"/>
  <c r="AB868" i="4"/>
  <c r="AA868" i="4"/>
  <c r="Z868" i="4"/>
  <c r="H868" i="4"/>
  <c r="G868" i="4"/>
  <c r="AO867" i="4"/>
  <c r="AN867" i="4"/>
  <c r="AM867" i="4"/>
  <c r="AL867" i="4"/>
  <c r="AK867" i="4"/>
  <c r="AJ867" i="4"/>
  <c r="AI867" i="4"/>
  <c r="AH867" i="4"/>
  <c r="AG867" i="4"/>
  <c r="AF867" i="4"/>
  <c r="AE867" i="4"/>
  <c r="AD867" i="4"/>
  <c r="AC867" i="4"/>
  <c r="AB867" i="4"/>
  <c r="AA867" i="4"/>
  <c r="Z867" i="4"/>
  <c r="H867" i="4"/>
  <c r="G867" i="4"/>
  <c r="AO866" i="4"/>
  <c r="AN866" i="4"/>
  <c r="AM866" i="4"/>
  <c r="AL866" i="4"/>
  <c r="AK866" i="4"/>
  <c r="AJ866" i="4"/>
  <c r="AI866" i="4"/>
  <c r="AH866" i="4"/>
  <c r="AG866" i="4"/>
  <c r="AF866" i="4"/>
  <c r="AE866" i="4"/>
  <c r="AD866" i="4"/>
  <c r="AC866" i="4"/>
  <c r="AB866" i="4"/>
  <c r="AA866" i="4"/>
  <c r="Z866" i="4"/>
  <c r="H866" i="4"/>
  <c r="G866" i="4"/>
  <c r="AO865" i="4"/>
  <c r="AN865" i="4"/>
  <c r="AM865" i="4"/>
  <c r="AL865" i="4"/>
  <c r="AK865" i="4"/>
  <c r="AJ865" i="4"/>
  <c r="AI865" i="4"/>
  <c r="AH865" i="4"/>
  <c r="AG865" i="4"/>
  <c r="AF865" i="4"/>
  <c r="AE865" i="4"/>
  <c r="AD865" i="4"/>
  <c r="AC865" i="4"/>
  <c r="AB865" i="4"/>
  <c r="AA865" i="4"/>
  <c r="Z865" i="4"/>
  <c r="H865" i="4"/>
  <c r="G865" i="4"/>
  <c r="AO864" i="4"/>
  <c r="AN864" i="4"/>
  <c r="AM864" i="4"/>
  <c r="AL864" i="4"/>
  <c r="AK864" i="4"/>
  <c r="AJ864" i="4"/>
  <c r="AI864" i="4"/>
  <c r="AH864" i="4"/>
  <c r="AG864" i="4"/>
  <c r="AF864" i="4"/>
  <c r="AE864" i="4"/>
  <c r="AD864" i="4"/>
  <c r="AC864" i="4"/>
  <c r="AB864" i="4"/>
  <c r="AA864" i="4"/>
  <c r="Z864" i="4"/>
  <c r="H864" i="4"/>
  <c r="G864" i="4"/>
  <c r="AO863" i="4"/>
  <c r="AN863" i="4"/>
  <c r="AM863" i="4"/>
  <c r="AL863" i="4"/>
  <c r="AK863" i="4"/>
  <c r="AJ863" i="4"/>
  <c r="AI863" i="4"/>
  <c r="AH863" i="4"/>
  <c r="AG863" i="4"/>
  <c r="AF863" i="4"/>
  <c r="AE863" i="4"/>
  <c r="AD863" i="4"/>
  <c r="AC863" i="4"/>
  <c r="AB863" i="4"/>
  <c r="AA863" i="4"/>
  <c r="Z863" i="4"/>
  <c r="H863" i="4"/>
  <c r="G863" i="4"/>
  <c r="AO862" i="4"/>
  <c r="AN862" i="4"/>
  <c r="AM862" i="4"/>
  <c r="AL862" i="4"/>
  <c r="AK862" i="4"/>
  <c r="AJ862" i="4"/>
  <c r="AI862" i="4"/>
  <c r="AH862" i="4"/>
  <c r="AG862" i="4"/>
  <c r="AF862" i="4"/>
  <c r="AE862" i="4"/>
  <c r="AD862" i="4"/>
  <c r="AC862" i="4"/>
  <c r="AB862" i="4"/>
  <c r="AA862" i="4"/>
  <c r="Z862" i="4"/>
  <c r="H862" i="4"/>
  <c r="G862" i="4"/>
  <c r="AO861" i="4"/>
  <c r="AN861" i="4"/>
  <c r="AM861" i="4"/>
  <c r="AL861" i="4"/>
  <c r="AK861" i="4"/>
  <c r="AJ861" i="4"/>
  <c r="AI861" i="4"/>
  <c r="AH861" i="4"/>
  <c r="AG861" i="4"/>
  <c r="AF861" i="4"/>
  <c r="AE861" i="4"/>
  <c r="AD861" i="4"/>
  <c r="AC861" i="4"/>
  <c r="AB861" i="4"/>
  <c r="AA861" i="4"/>
  <c r="Z861" i="4"/>
  <c r="H861" i="4"/>
  <c r="G861" i="4"/>
  <c r="AO860" i="4"/>
  <c r="AN860" i="4"/>
  <c r="AM860" i="4"/>
  <c r="AL860" i="4"/>
  <c r="AK860" i="4"/>
  <c r="AJ860" i="4"/>
  <c r="AI860" i="4"/>
  <c r="AH860" i="4"/>
  <c r="AG860" i="4"/>
  <c r="AF860" i="4"/>
  <c r="AE860" i="4"/>
  <c r="AD860" i="4"/>
  <c r="AC860" i="4"/>
  <c r="AB860" i="4"/>
  <c r="AA860" i="4"/>
  <c r="Z860" i="4"/>
  <c r="H860" i="4"/>
  <c r="G860" i="4"/>
  <c r="AO859" i="4"/>
  <c r="AN859" i="4"/>
  <c r="AM859" i="4"/>
  <c r="AL859" i="4"/>
  <c r="AK859" i="4"/>
  <c r="AJ859" i="4"/>
  <c r="AI859" i="4"/>
  <c r="AH859" i="4"/>
  <c r="AG859" i="4"/>
  <c r="AF859" i="4"/>
  <c r="AE859" i="4"/>
  <c r="AD859" i="4"/>
  <c r="AC859" i="4"/>
  <c r="AB859" i="4"/>
  <c r="AA859" i="4"/>
  <c r="Z859" i="4"/>
  <c r="H859" i="4"/>
  <c r="G859" i="4"/>
  <c r="AO858" i="4"/>
  <c r="AN858" i="4"/>
  <c r="AM858" i="4"/>
  <c r="AL858" i="4"/>
  <c r="AK858" i="4"/>
  <c r="AJ858" i="4"/>
  <c r="AI858" i="4"/>
  <c r="AH858" i="4"/>
  <c r="AG858" i="4"/>
  <c r="AF858" i="4"/>
  <c r="AE858" i="4"/>
  <c r="AD858" i="4"/>
  <c r="AC858" i="4"/>
  <c r="AB858" i="4"/>
  <c r="AA858" i="4"/>
  <c r="Z858" i="4"/>
  <c r="H858" i="4"/>
  <c r="G858" i="4"/>
  <c r="AO857" i="4"/>
  <c r="AN857" i="4"/>
  <c r="AM857" i="4"/>
  <c r="AL857" i="4"/>
  <c r="AK857" i="4"/>
  <c r="AJ857" i="4"/>
  <c r="AI857" i="4"/>
  <c r="AH857" i="4"/>
  <c r="AG857" i="4"/>
  <c r="AF857" i="4"/>
  <c r="AE857" i="4"/>
  <c r="AD857" i="4"/>
  <c r="AC857" i="4"/>
  <c r="AB857" i="4"/>
  <c r="AA857" i="4"/>
  <c r="Z857" i="4"/>
  <c r="H857" i="4"/>
  <c r="G857" i="4"/>
  <c r="AO856" i="4"/>
  <c r="AN856" i="4"/>
  <c r="AM856" i="4"/>
  <c r="AL856" i="4"/>
  <c r="AK856" i="4"/>
  <c r="AJ856" i="4"/>
  <c r="AI856" i="4"/>
  <c r="AH856" i="4"/>
  <c r="AG856" i="4"/>
  <c r="AF856" i="4"/>
  <c r="AE856" i="4"/>
  <c r="AD856" i="4"/>
  <c r="AC856" i="4"/>
  <c r="AB856" i="4"/>
  <c r="AA856" i="4"/>
  <c r="Z856" i="4"/>
  <c r="H856" i="4"/>
  <c r="G856" i="4"/>
  <c r="AO855" i="4"/>
  <c r="AN855" i="4"/>
  <c r="AM855" i="4"/>
  <c r="AL855" i="4"/>
  <c r="AK855" i="4"/>
  <c r="AJ855" i="4"/>
  <c r="AI855" i="4"/>
  <c r="AH855" i="4"/>
  <c r="AG855" i="4"/>
  <c r="AF855" i="4"/>
  <c r="AE855" i="4"/>
  <c r="AD855" i="4"/>
  <c r="AC855" i="4"/>
  <c r="AB855" i="4"/>
  <c r="AA855" i="4"/>
  <c r="Z855" i="4"/>
  <c r="H855" i="4"/>
  <c r="G855" i="4"/>
  <c r="AO854" i="4"/>
  <c r="AN854" i="4"/>
  <c r="AM854" i="4"/>
  <c r="AL854" i="4"/>
  <c r="AK854" i="4"/>
  <c r="AJ854" i="4"/>
  <c r="AI854" i="4"/>
  <c r="AH854" i="4"/>
  <c r="AG854" i="4"/>
  <c r="AF854" i="4"/>
  <c r="AE854" i="4"/>
  <c r="AD854" i="4"/>
  <c r="AC854" i="4"/>
  <c r="AB854" i="4"/>
  <c r="AA854" i="4"/>
  <c r="Z854" i="4"/>
  <c r="H854" i="4"/>
  <c r="G854" i="4"/>
  <c r="AO853" i="4"/>
  <c r="AN853" i="4"/>
  <c r="AM853" i="4"/>
  <c r="AL853" i="4"/>
  <c r="AK853" i="4"/>
  <c r="AJ853" i="4"/>
  <c r="AI853" i="4"/>
  <c r="AH853" i="4"/>
  <c r="AG853" i="4"/>
  <c r="AF853" i="4"/>
  <c r="AE853" i="4"/>
  <c r="AD853" i="4"/>
  <c r="AC853" i="4"/>
  <c r="AB853" i="4"/>
  <c r="AA853" i="4"/>
  <c r="Z853" i="4"/>
  <c r="H853" i="4"/>
  <c r="G853" i="4"/>
  <c r="AO852" i="4"/>
  <c r="AN852" i="4"/>
  <c r="AM852" i="4"/>
  <c r="AL852" i="4"/>
  <c r="AK852" i="4"/>
  <c r="AJ852" i="4"/>
  <c r="AI852" i="4"/>
  <c r="AH852" i="4"/>
  <c r="AG852" i="4"/>
  <c r="AF852" i="4"/>
  <c r="AE852" i="4"/>
  <c r="AD852" i="4"/>
  <c r="AC852" i="4"/>
  <c r="AB852" i="4"/>
  <c r="AA852" i="4"/>
  <c r="Z852" i="4"/>
  <c r="H852" i="4"/>
  <c r="G852" i="4"/>
  <c r="AO851" i="4"/>
  <c r="AN851" i="4"/>
  <c r="AM851" i="4"/>
  <c r="AL851" i="4"/>
  <c r="AK851" i="4"/>
  <c r="AJ851" i="4"/>
  <c r="AI851" i="4"/>
  <c r="AH851" i="4"/>
  <c r="AG851" i="4"/>
  <c r="AF851" i="4"/>
  <c r="AE851" i="4"/>
  <c r="AD851" i="4"/>
  <c r="AC851" i="4"/>
  <c r="AB851" i="4"/>
  <c r="AA851" i="4"/>
  <c r="Z851" i="4"/>
  <c r="H851" i="4"/>
  <c r="G851" i="4"/>
  <c r="AO850" i="4"/>
  <c r="AN850" i="4"/>
  <c r="AM850" i="4"/>
  <c r="AL850" i="4"/>
  <c r="AK850" i="4"/>
  <c r="AJ850" i="4"/>
  <c r="AI850" i="4"/>
  <c r="AH850" i="4"/>
  <c r="AG850" i="4"/>
  <c r="AF850" i="4"/>
  <c r="AE850" i="4"/>
  <c r="AD850" i="4"/>
  <c r="AC850" i="4"/>
  <c r="AB850" i="4"/>
  <c r="AA850" i="4"/>
  <c r="Z850" i="4"/>
  <c r="H850" i="4"/>
  <c r="G850" i="4"/>
  <c r="AO849" i="4"/>
  <c r="AN849" i="4"/>
  <c r="AM849" i="4"/>
  <c r="AL849" i="4"/>
  <c r="AK849" i="4"/>
  <c r="AJ849" i="4"/>
  <c r="AI849" i="4"/>
  <c r="AH849" i="4"/>
  <c r="AG849" i="4"/>
  <c r="AF849" i="4"/>
  <c r="AE849" i="4"/>
  <c r="AD849" i="4"/>
  <c r="AC849" i="4"/>
  <c r="AB849" i="4"/>
  <c r="AA849" i="4"/>
  <c r="Z849" i="4"/>
  <c r="H849" i="4"/>
  <c r="G849" i="4"/>
  <c r="AO848" i="4"/>
  <c r="AN848" i="4"/>
  <c r="AM848" i="4"/>
  <c r="AL848" i="4"/>
  <c r="AK848" i="4"/>
  <c r="AJ848" i="4"/>
  <c r="AI848" i="4"/>
  <c r="AH848" i="4"/>
  <c r="AG848" i="4"/>
  <c r="AF848" i="4"/>
  <c r="AE848" i="4"/>
  <c r="AD848" i="4"/>
  <c r="AC848" i="4"/>
  <c r="AB848" i="4"/>
  <c r="AA848" i="4"/>
  <c r="Z848" i="4"/>
  <c r="H848" i="4"/>
  <c r="G848" i="4"/>
  <c r="AO847" i="4"/>
  <c r="AN847" i="4"/>
  <c r="AM847" i="4"/>
  <c r="AL847" i="4"/>
  <c r="AK847" i="4"/>
  <c r="AJ847" i="4"/>
  <c r="AI847" i="4"/>
  <c r="AH847" i="4"/>
  <c r="AG847" i="4"/>
  <c r="AF847" i="4"/>
  <c r="AE847" i="4"/>
  <c r="AD847" i="4"/>
  <c r="AC847" i="4"/>
  <c r="AB847" i="4"/>
  <c r="AA847" i="4"/>
  <c r="Z847" i="4"/>
  <c r="H847" i="4"/>
  <c r="G847" i="4"/>
  <c r="AO846" i="4"/>
  <c r="AN846" i="4"/>
  <c r="AM846" i="4"/>
  <c r="AL846" i="4"/>
  <c r="AK846" i="4"/>
  <c r="AJ846" i="4"/>
  <c r="AI846" i="4"/>
  <c r="AH846" i="4"/>
  <c r="AG846" i="4"/>
  <c r="AF846" i="4"/>
  <c r="AE846" i="4"/>
  <c r="AD846" i="4"/>
  <c r="AC846" i="4"/>
  <c r="AB846" i="4"/>
  <c r="AA846" i="4"/>
  <c r="Z846" i="4"/>
  <c r="H846" i="4"/>
  <c r="G846" i="4"/>
  <c r="AO845" i="4"/>
  <c r="AN845" i="4"/>
  <c r="AM845" i="4"/>
  <c r="AL845" i="4"/>
  <c r="AK845" i="4"/>
  <c r="AJ845" i="4"/>
  <c r="AI845" i="4"/>
  <c r="AH845" i="4"/>
  <c r="AG845" i="4"/>
  <c r="AF845" i="4"/>
  <c r="AE845" i="4"/>
  <c r="AD845" i="4"/>
  <c r="AC845" i="4"/>
  <c r="AB845" i="4"/>
  <c r="AA845" i="4"/>
  <c r="Z845" i="4"/>
  <c r="H845" i="4"/>
  <c r="G845" i="4"/>
  <c r="AO844" i="4"/>
  <c r="AN844" i="4"/>
  <c r="AM844" i="4"/>
  <c r="AL844" i="4"/>
  <c r="AK844" i="4"/>
  <c r="AJ844" i="4"/>
  <c r="AI844" i="4"/>
  <c r="AH844" i="4"/>
  <c r="AG844" i="4"/>
  <c r="AF844" i="4"/>
  <c r="AE844" i="4"/>
  <c r="AD844" i="4"/>
  <c r="AC844" i="4"/>
  <c r="AB844" i="4"/>
  <c r="AA844" i="4"/>
  <c r="Z844" i="4"/>
  <c r="H844" i="4"/>
  <c r="G844" i="4"/>
  <c r="AO843" i="4"/>
  <c r="AN843" i="4"/>
  <c r="AM843" i="4"/>
  <c r="AL843" i="4"/>
  <c r="AK843" i="4"/>
  <c r="AJ843" i="4"/>
  <c r="AI843" i="4"/>
  <c r="AH843" i="4"/>
  <c r="AG843" i="4"/>
  <c r="AF843" i="4"/>
  <c r="AE843" i="4"/>
  <c r="AD843" i="4"/>
  <c r="AC843" i="4"/>
  <c r="AB843" i="4"/>
  <c r="AA843" i="4"/>
  <c r="Z843" i="4"/>
  <c r="H843" i="4"/>
  <c r="G843" i="4"/>
  <c r="AO842" i="4"/>
  <c r="AN842" i="4"/>
  <c r="AM842" i="4"/>
  <c r="AL842" i="4"/>
  <c r="AK842" i="4"/>
  <c r="AJ842" i="4"/>
  <c r="AI842" i="4"/>
  <c r="AH842" i="4"/>
  <c r="AG842" i="4"/>
  <c r="AF842" i="4"/>
  <c r="AE842" i="4"/>
  <c r="AD842" i="4"/>
  <c r="AC842" i="4"/>
  <c r="AB842" i="4"/>
  <c r="AA842" i="4"/>
  <c r="Z842" i="4"/>
  <c r="H842" i="4"/>
  <c r="G842" i="4"/>
  <c r="AO841" i="4"/>
  <c r="AN841" i="4"/>
  <c r="AM841" i="4"/>
  <c r="AL841" i="4"/>
  <c r="AK841" i="4"/>
  <c r="AJ841" i="4"/>
  <c r="AI841" i="4"/>
  <c r="AH841" i="4"/>
  <c r="AG841" i="4"/>
  <c r="AF841" i="4"/>
  <c r="AE841" i="4"/>
  <c r="AD841" i="4"/>
  <c r="AC841" i="4"/>
  <c r="AB841" i="4"/>
  <c r="AA841" i="4"/>
  <c r="Z841" i="4"/>
  <c r="H841" i="4"/>
  <c r="G841" i="4"/>
  <c r="AO840" i="4"/>
  <c r="AN840" i="4"/>
  <c r="AM840" i="4"/>
  <c r="AL840" i="4"/>
  <c r="AK840" i="4"/>
  <c r="AJ840" i="4"/>
  <c r="AI840" i="4"/>
  <c r="AH840" i="4"/>
  <c r="AG840" i="4"/>
  <c r="AF840" i="4"/>
  <c r="AE840" i="4"/>
  <c r="AD840" i="4"/>
  <c r="AC840" i="4"/>
  <c r="AB840" i="4"/>
  <c r="AA840" i="4"/>
  <c r="Z840" i="4"/>
  <c r="H840" i="4"/>
  <c r="G840" i="4"/>
  <c r="AO839" i="4"/>
  <c r="AN839" i="4"/>
  <c r="AM839" i="4"/>
  <c r="AL839" i="4"/>
  <c r="AK839" i="4"/>
  <c r="AJ839" i="4"/>
  <c r="AI839" i="4"/>
  <c r="AH839" i="4"/>
  <c r="AG839" i="4"/>
  <c r="AF839" i="4"/>
  <c r="AE839" i="4"/>
  <c r="AD839" i="4"/>
  <c r="AC839" i="4"/>
  <c r="AB839" i="4"/>
  <c r="AA839" i="4"/>
  <c r="Z839" i="4"/>
  <c r="H839" i="4"/>
  <c r="G839" i="4"/>
  <c r="AO838" i="4"/>
  <c r="AN838" i="4"/>
  <c r="AM838" i="4"/>
  <c r="AL838" i="4"/>
  <c r="AK838" i="4"/>
  <c r="AJ838" i="4"/>
  <c r="AI838" i="4"/>
  <c r="AH838" i="4"/>
  <c r="AG838" i="4"/>
  <c r="AF838" i="4"/>
  <c r="AE838" i="4"/>
  <c r="AD838" i="4"/>
  <c r="AC838" i="4"/>
  <c r="AB838" i="4"/>
  <c r="AA838" i="4"/>
  <c r="Z838" i="4"/>
  <c r="H838" i="4"/>
  <c r="G838" i="4"/>
  <c r="AO837" i="4"/>
  <c r="AN837" i="4"/>
  <c r="AM837" i="4"/>
  <c r="AL837" i="4"/>
  <c r="AK837" i="4"/>
  <c r="AJ837" i="4"/>
  <c r="AI837" i="4"/>
  <c r="AH837" i="4"/>
  <c r="AG837" i="4"/>
  <c r="AF837" i="4"/>
  <c r="AE837" i="4"/>
  <c r="AD837" i="4"/>
  <c r="AC837" i="4"/>
  <c r="AB837" i="4"/>
  <c r="AA837" i="4"/>
  <c r="Z837" i="4"/>
  <c r="H837" i="4"/>
  <c r="G837" i="4"/>
  <c r="AO836" i="4"/>
  <c r="AN836" i="4"/>
  <c r="AM836" i="4"/>
  <c r="AL836" i="4"/>
  <c r="AK836" i="4"/>
  <c r="AJ836" i="4"/>
  <c r="AI836" i="4"/>
  <c r="AH836" i="4"/>
  <c r="AG836" i="4"/>
  <c r="AF836" i="4"/>
  <c r="AE836" i="4"/>
  <c r="AD836" i="4"/>
  <c r="AC836" i="4"/>
  <c r="AB836" i="4"/>
  <c r="AA836" i="4"/>
  <c r="Z836" i="4"/>
  <c r="H836" i="4"/>
  <c r="G836" i="4"/>
  <c r="AO835" i="4"/>
  <c r="AN835" i="4"/>
  <c r="AM835" i="4"/>
  <c r="AL835" i="4"/>
  <c r="AK835" i="4"/>
  <c r="AJ835" i="4"/>
  <c r="AI835" i="4"/>
  <c r="AH835" i="4"/>
  <c r="AG835" i="4"/>
  <c r="AF835" i="4"/>
  <c r="AE835" i="4"/>
  <c r="AD835" i="4"/>
  <c r="AC835" i="4"/>
  <c r="AB835" i="4"/>
  <c r="AA835" i="4"/>
  <c r="Z835" i="4"/>
  <c r="H835" i="4"/>
  <c r="G835" i="4"/>
  <c r="AO834" i="4"/>
  <c r="AN834" i="4"/>
  <c r="AM834" i="4"/>
  <c r="AL834" i="4"/>
  <c r="AK834" i="4"/>
  <c r="AJ834" i="4"/>
  <c r="AI834" i="4"/>
  <c r="AH834" i="4"/>
  <c r="AG834" i="4"/>
  <c r="AF834" i="4"/>
  <c r="AE834" i="4"/>
  <c r="AD834" i="4"/>
  <c r="AC834" i="4"/>
  <c r="AB834" i="4"/>
  <c r="AA834" i="4"/>
  <c r="Z834" i="4"/>
  <c r="H834" i="4"/>
  <c r="G834" i="4"/>
  <c r="AO833" i="4"/>
  <c r="AN833" i="4"/>
  <c r="AM833" i="4"/>
  <c r="AL833" i="4"/>
  <c r="AK833" i="4"/>
  <c r="AJ833" i="4"/>
  <c r="AI833" i="4"/>
  <c r="AH833" i="4"/>
  <c r="AG833" i="4"/>
  <c r="AF833" i="4"/>
  <c r="AE833" i="4"/>
  <c r="AD833" i="4"/>
  <c r="AC833" i="4"/>
  <c r="AB833" i="4"/>
  <c r="AA833" i="4"/>
  <c r="Z833" i="4"/>
  <c r="H833" i="4"/>
  <c r="G833" i="4"/>
  <c r="AO832" i="4"/>
  <c r="AN832" i="4"/>
  <c r="AM832" i="4"/>
  <c r="AL832" i="4"/>
  <c r="AK832" i="4"/>
  <c r="AJ832" i="4"/>
  <c r="AI832" i="4"/>
  <c r="AH832" i="4"/>
  <c r="AG832" i="4"/>
  <c r="AF832" i="4"/>
  <c r="AE832" i="4"/>
  <c r="AD832" i="4"/>
  <c r="AC832" i="4"/>
  <c r="AB832" i="4"/>
  <c r="AA832" i="4"/>
  <c r="Z832" i="4"/>
  <c r="H832" i="4"/>
  <c r="G832" i="4"/>
  <c r="AO831" i="4"/>
  <c r="AN831" i="4"/>
  <c r="AM831" i="4"/>
  <c r="AL831" i="4"/>
  <c r="AK831" i="4"/>
  <c r="AJ831" i="4"/>
  <c r="AI831" i="4"/>
  <c r="AH831" i="4"/>
  <c r="AG831" i="4"/>
  <c r="AF831" i="4"/>
  <c r="AE831" i="4"/>
  <c r="AD831" i="4"/>
  <c r="AC831" i="4"/>
  <c r="AB831" i="4"/>
  <c r="AA831" i="4"/>
  <c r="Z831" i="4"/>
  <c r="H831" i="4"/>
  <c r="G831" i="4"/>
  <c r="AO830" i="4"/>
  <c r="AN830" i="4"/>
  <c r="AM830" i="4"/>
  <c r="AL830" i="4"/>
  <c r="AK830" i="4"/>
  <c r="AJ830" i="4"/>
  <c r="AI830" i="4"/>
  <c r="AH830" i="4"/>
  <c r="AG830" i="4"/>
  <c r="AF830" i="4"/>
  <c r="AE830" i="4"/>
  <c r="AD830" i="4"/>
  <c r="AC830" i="4"/>
  <c r="AB830" i="4"/>
  <c r="AA830" i="4"/>
  <c r="Z830" i="4"/>
  <c r="H830" i="4"/>
  <c r="G830" i="4"/>
  <c r="AO829" i="4"/>
  <c r="AN829" i="4"/>
  <c r="AM829" i="4"/>
  <c r="AL829" i="4"/>
  <c r="AK829" i="4"/>
  <c r="AJ829" i="4"/>
  <c r="AI829" i="4"/>
  <c r="AH829" i="4"/>
  <c r="AG829" i="4"/>
  <c r="AF829" i="4"/>
  <c r="AE829" i="4"/>
  <c r="AD829" i="4"/>
  <c r="AC829" i="4"/>
  <c r="AB829" i="4"/>
  <c r="AA829" i="4"/>
  <c r="Z829" i="4"/>
  <c r="H829" i="4"/>
  <c r="G829" i="4"/>
  <c r="AO828" i="4"/>
  <c r="AN828" i="4"/>
  <c r="AM828" i="4"/>
  <c r="AL828" i="4"/>
  <c r="AK828" i="4"/>
  <c r="AJ828" i="4"/>
  <c r="AI828" i="4"/>
  <c r="AH828" i="4"/>
  <c r="AG828" i="4"/>
  <c r="AF828" i="4"/>
  <c r="AE828" i="4"/>
  <c r="AD828" i="4"/>
  <c r="AC828" i="4"/>
  <c r="AB828" i="4"/>
  <c r="AA828" i="4"/>
  <c r="Z828" i="4"/>
  <c r="H828" i="4"/>
  <c r="G828" i="4"/>
  <c r="AO827" i="4"/>
  <c r="AN827" i="4"/>
  <c r="AM827" i="4"/>
  <c r="AL827" i="4"/>
  <c r="AK827" i="4"/>
  <c r="AJ827" i="4"/>
  <c r="AI827" i="4"/>
  <c r="AH827" i="4"/>
  <c r="AG827" i="4"/>
  <c r="AF827" i="4"/>
  <c r="AE827" i="4"/>
  <c r="AD827" i="4"/>
  <c r="AC827" i="4"/>
  <c r="AB827" i="4"/>
  <c r="AA827" i="4"/>
  <c r="Z827" i="4"/>
  <c r="H827" i="4"/>
  <c r="G827" i="4"/>
  <c r="AO826" i="4"/>
  <c r="AN826" i="4"/>
  <c r="AM826" i="4"/>
  <c r="AL826" i="4"/>
  <c r="AK826" i="4"/>
  <c r="AJ826" i="4"/>
  <c r="AI826" i="4"/>
  <c r="AH826" i="4"/>
  <c r="AG826" i="4"/>
  <c r="AF826" i="4"/>
  <c r="AE826" i="4"/>
  <c r="AD826" i="4"/>
  <c r="AC826" i="4"/>
  <c r="AB826" i="4"/>
  <c r="AA826" i="4"/>
  <c r="Z826" i="4"/>
  <c r="H826" i="4"/>
  <c r="G826" i="4"/>
  <c r="AO825" i="4"/>
  <c r="AN825" i="4"/>
  <c r="AM825" i="4"/>
  <c r="AL825" i="4"/>
  <c r="AK825" i="4"/>
  <c r="AJ825" i="4"/>
  <c r="AI825" i="4"/>
  <c r="AH825" i="4"/>
  <c r="AG825" i="4"/>
  <c r="AF825" i="4"/>
  <c r="AE825" i="4"/>
  <c r="AD825" i="4"/>
  <c r="AC825" i="4"/>
  <c r="AB825" i="4"/>
  <c r="AA825" i="4"/>
  <c r="Z825" i="4"/>
  <c r="H825" i="4"/>
  <c r="G825" i="4"/>
  <c r="AO824" i="4"/>
  <c r="AN824" i="4"/>
  <c r="AM824" i="4"/>
  <c r="AL824" i="4"/>
  <c r="AK824" i="4"/>
  <c r="AJ824" i="4"/>
  <c r="AI824" i="4"/>
  <c r="AH824" i="4"/>
  <c r="AG824" i="4"/>
  <c r="AF824" i="4"/>
  <c r="AE824" i="4"/>
  <c r="AD824" i="4"/>
  <c r="AC824" i="4"/>
  <c r="AB824" i="4"/>
  <c r="AA824" i="4"/>
  <c r="Z824" i="4"/>
  <c r="H824" i="4"/>
  <c r="G824" i="4"/>
  <c r="AO823" i="4"/>
  <c r="AN823" i="4"/>
  <c r="AM823" i="4"/>
  <c r="AL823" i="4"/>
  <c r="AK823" i="4"/>
  <c r="AJ823" i="4"/>
  <c r="AI823" i="4"/>
  <c r="AH823" i="4"/>
  <c r="AG823" i="4"/>
  <c r="AF823" i="4"/>
  <c r="AE823" i="4"/>
  <c r="AD823" i="4"/>
  <c r="AC823" i="4"/>
  <c r="AB823" i="4"/>
  <c r="AA823" i="4"/>
  <c r="Z823" i="4"/>
  <c r="H823" i="4"/>
  <c r="G823" i="4"/>
  <c r="AO822" i="4"/>
  <c r="AN822" i="4"/>
  <c r="AM822" i="4"/>
  <c r="AL822" i="4"/>
  <c r="AK822" i="4"/>
  <c r="AJ822" i="4"/>
  <c r="AI822" i="4"/>
  <c r="AH822" i="4"/>
  <c r="AG822" i="4"/>
  <c r="AF822" i="4"/>
  <c r="AE822" i="4"/>
  <c r="AD822" i="4"/>
  <c r="AC822" i="4"/>
  <c r="AB822" i="4"/>
  <c r="AA822" i="4"/>
  <c r="Z822" i="4"/>
  <c r="H822" i="4"/>
  <c r="G822" i="4"/>
  <c r="AO821" i="4"/>
  <c r="AN821" i="4"/>
  <c r="AM821" i="4"/>
  <c r="AL821" i="4"/>
  <c r="AK821" i="4"/>
  <c r="AJ821" i="4"/>
  <c r="AI821" i="4"/>
  <c r="AH821" i="4"/>
  <c r="AG821" i="4"/>
  <c r="AF821" i="4"/>
  <c r="AE821" i="4"/>
  <c r="AD821" i="4"/>
  <c r="AC821" i="4"/>
  <c r="AB821" i="4"/>
  <c r="AA821" i="4"/>
  <c r="Z821" i="4"/>
  <c r="H821" i="4"/>
  <c r="G821" i="4"/>
  <c r="AO820" i="4"/>
  <c r="AN820" i="4"/>
  <c r="AM820" i="4"/>
  <c r="AL820" i="4"/>
  <c r="AK820" i="4"/>
  <c r="AJ820" i="4"/>
  <c r="AI820" i="4"/>
  <c r="AH820" i="4"/>
  <c r="AG820" i="4"/>
  <c r="AF820" i="4"/>
  <c r="AE820" i="4"/>
  <c r="AD820" i="4"/>
  <c r="AC820" i="4"/>
  <c r="AB820" i="4"/>
  <c r="AA820" i="4"/>
  <c r="Z820" i="4"/>
  <c r="H820" i="4"/>
  <c r="G820" i="4"/>
  <c r="AO819" i="4"/>
  <c r="AN819" i="4"/>
  <c r="AM819" i="4"/>
  <c r="AL819" i="4"/>
  <c r="AK819" i="4"/>
  <c r="AJ819" i="4"/>
  <c r="AI819" i="4"/>
  <c r="AH819" i="4"/>
  <c r="AG819" i="4"/>
  <c r="AF819" i="4"/>
  <c r="AE819" i="4"/>
  <c r="AD819" i="4"/>
  <c r="AC819" i="4"/>
  <c r="AB819" i="4"/>
  <c r="AA819" i="4"/>
  <c r="Z819" i="4"/>
  <c r="H819" i="4"/>
  <c r="G819" i="4"/>
  <c r="AO818" i="4"/>
  <c r="AN818" i="4"/>
  <c r="AM818" i="4"/>
  <c r="AL818" i="4"/>
  <c r="AK818" i="4"/>
  <c r="AJ818" i="4"/>
  <c r="AI818" i="4"/>
  <c r="AH818" i="4"/>
  <c r="AG818" i="4"/>
  <c r="AF818" i="4"/>
  <c r="AE818" i="4"/>
  <c r="AD818" i="4"/>
  <c r="AC818" i="4"/>
  <c r="AB818" i="4"/>
  <c r="AA818" i="4"/>
  <c r="Z818" i="4"/>
  <c r="H818" i="4"/>
  <c r="G818" i="4"/>
  <c r="AO817" i="4"/>
  <c r="AN817" i="4"/>
  <c r="AM817" i="4"/>
  <c r="AL817" i="4"/>
  <c r="AK817" i="4"/>
  <c r="AJ817" i="4"/>
  <c r="AI817" i="4"/>
  <c r="AH817" i="4"/>
  <c r="AG817" i="4"/>
  <c r="AF817" i="4"/>
  <c r="AE817" i="4"/>
  <c r="AD817" i="4"/>
  <c r="AC817" i="4"/>
  <c r="AB817" i="4"/>
  <c r="AA817" i="4"/>
  <c r="Z817" i="4"/>
  <c r="H817" i="4"/>
  <c r="G817" i="4"/>
  <c r="AO816" i="4"/>
  <c r="AN816" i="4"/>
  <c r="AM816" i="4"/>
  <c r="AL816" i="4"/>
  <c r="AK816" i="4"/>
  <c r="AJ816" i="4"/>
  <c r="AI816" i="4"/>
  <c r="AH816" i="4"/>
  <c r="AG816" i="4"/>
  <c r="AF816" i="4"/>
  <c r="AE816" i="4"/>
  <c r="AD816" i="4"/>
  <c r="AC816" i="4"/>
  <c r="AB816" i="4"/>
  <c r="AA816" i="4"/>
  <c r="Z816" i="4"/>
  <c r="H816" i="4"/>
  <c r="G816" i="4"/>
  <c r="AO815" i="4"/>
  <c r="AN815" i="4"/>
  <c r="AM815" i="4"/>
  <c r="AL815" i="4"/>
  <c r="AK815" i="4"/>
  <c r="AJ815" i="4"/>
  <c r="AI815" i="4"/>
  <c r="AH815" i="4"/>
  <c r="AG815" i="4"/>
  <c r="AF815" i="4"/>
  <c r="AE815" i="4"/>
  <c r="AD815" i="4"/>
  <c r="AC815" i="4"/>
  <c r="AB815" i="4"/>
  <c r="AA815" i="4"/>
  <c r="Z815" i="4"/>
  <c r="H815" i="4"/>
  <c r="G815" i="4"/>
  <c r="AO814" i="4"/>
  <c r="AN814" i="4"/>
  <c r="AM814" i="4"/>
  <c r="AL814" i="4"/>
  <c r="AK814" i="4"/>
  <c r="AJ814" i="4"/>
  <c r="AI814" i="4"/>
  <c r="AH814" i="4"/>
  <c r="AG814" i="4"/>
  <c r="AF814" i="4"/>
  <c r="AE814" i="4"/>
  <c r="AD814" i="4"/>
  <c r="AC814" i="4"/>
  <c r="AB814" i="4"/>
  <c r="AA814" i="4"/>
  <c r="Z814" i="4"/>
  <c r="H814" i="4"/>
  <c r="G814" i="4"/>
  <c r="AO813" i="4"/>
  <c r="AN813" i="4"/>
  <c r="AM813" i="4"/>
  <c r="AL813" i="4"/>
  <c r="AK813" i="4"/>
  <c r="AJ813" i="4"/>
  <c r="AI813" i="4"/>
  <c r="AH813" i="4"/>
  <c r="AG813" i="4"/>
  <c r="AF813" i="4"/>
  <c r="AE813" i="4"/>
  <c r="AD813" i="4"/>
  <c r="AC813" i="4"/>
  <c r="AB813" i="4"/>
  <c r="AA813" i="4"/>
  <c r="Z813" i="4"/>
  <c r="H813" i="4"/>
  <c r="G813" i="4"/>
  <c r="AO812" i="4"/>
  <c r="AN812" i="4"/>
  <c r="AM812" i="4"/>
  <c r="AL812" i="4"/>
  <c r="AK812" i="4"/>
  <c r="AJ812" i="4"/>
  <c r="AI812" i="4"/>
  <c r="AH812" i="4"/>
  <c r="AG812" i="4"/>
  <c r="AF812" i="4"/>
  <c r="AE812" i="4"/>
  <c r="AD812" i="4"/>
  <c r="AC812" i="4"/>
  <c r="AB812" i="4"/>
  <c r="AA812" i="4"/>
  <c r="Z812" i="4"/>
  <c r="H812" i="4"/>
  <c r="G812" i="4"/>
  <c r="AO811" i="4"/>
  <c r="AN811" i="4"/>
  <c r="AM811" i="4"/>
  <c r="AL811" i="4"/>
  <c r="AK811" i="4"/>
  <c r="AJ811" i="4"/>
  <c r="AI811" i="4"/>
  <c r="AH811" i="4"/>
  <c r="AG811" i="4"/>
  <c r="AF811" i="4"/>
  <c r="AE811" i="4"/>
  <c r="AD811" i="4"/>
  <c r="AC811" i="4"/>
  <c r="AB811" i="4"/>
  <c r="AA811" i="4"/>
  <c r="Z811" i="4"/>
  <c r="H811" i="4"/>
  <c r="G811" i="4"/>
  <c r="AO810" i="4"/>
  <c r="AN810" i="4"/>
  <c r="AM810" i="4"/>
  <c r="AL810" i="4"/>
  <c r="AK810" i="4"/>
  <c r="AJ810" i="4"/>
  <c r="AI810" i="4"/>
  <c r="AH810" i="4"/>
  <c r="AG810" i="4"/>
  <c r="AF810" i="4"/>
  <c r="AE810" i="4"/>
  <c r="AD810" i="4"/>
  <c r="AC810" i="4"/>
  <c r="AB810" i="4"/>
  <c r="AA810" i="4"/>
  <c r="Z810" i="4"/>
  <c r="H810" i="4"/>
  <c r="G810" i="4"/>
  <c r="AO809" i="4"/>
  <c r="AN809" i="4"/>
  <c r="AM809" i="4"/>
  <c r="AL809" i="4"/>
  <c r="AK809" i="4"/>
  <c r="AJ809" i="4"/>
  <c r="AI809" i="4"/>
  <c r="AH809" i="4"/>
  <c r="AG809" i="4"/>
  <c r="AF809" i="4"/>
  <c r="AE809" i="4"/>
  <c r="AD809" i="4"/>
  <c r="AC809" i="4"/>
  <c r="AB809" i="4"/>
  <c r="AA809" i="4"/>
  <c r="Z809" i="4"/>
  <c r="H809" i="4"/>
  <c r="G809" i="4"/>
  <c r="AO808" i="4"/>
  <c r="AN808" i="4"/>
  <c r="AM808" i="4"/>
  <c r="AL808" i="4"/>
  <c r="AK808" i="4"/>
  <c r="AJ808" i="4"/>
  <c r="AI808" i="4"/>
  <c r="AH808" i="4"/>
  <c r="AG808" i="4"/>
  <c r="AF808" i="4"/>
  <c r="AE808" i="4"/>
  <c r="AD808" i="4"/>
  <c r="AC808" i="4"/>
  <c r="AB808" i="4"/>
  <c r="AA808" i="4"/>
  <c r="Z808" i="4"/>
  <c r="H808" i="4"/>
  <c r="G808" i="4"/>
  <c r="AO807" i="4"/>
  <c r="AN807" i="4"/>
  <c r="AM807" i="4"/>
  <c r="AL807" i="4"/>
  <c r="AK807" i="4"/>
  <c r="AJ807" i="4"/>
  <c r="AI807" i="4"/>
  <c r="AH807" i="4"/>
  <c r="AG807" i="4"/>
  <c r="AF807" i="4"/>
  <c r="AE807" i="4"/>
  <c r="AD807" i="4"/>
  <c r="AC807" i="4"/>
  <c r="AB807" i="4"/>
  <c r="AA807" i="4"/>
  <c r="Z807" i="4"/>
  <c r="H807" i="4"/>
  <c r="G807" i="4"/>
  <c r="AO806" i="4"/>
  <c r="AN806" i="4"/>
  <c r="AM806" i="4"/>
  <c r="AL806" i="4"/>
  <c r="AK806" i="4"/>
  <c r="AJ806" i="4"/>
  <c r="AI806" i="4"/>
  <c r="AH806" i="4"/>
  <c r="AG806" i="4"/>
  <c r="AF806" i="4"/>
  <c r="AE806" i="4"/>
  <c r="AD806" i="4"/>
  <c r="AC806" i="4"/>
  <c r="AB806" i="4"/>
  <c r="AA806" i="4"/>
  <c r="Z806" i="4"/>
  <c r="H806" i="4"/>
  <c r="G806" i="4"/>
  <c r="AO805" i="4"/>
  <c r="AN805" i="4"/>
  <c r="AM805" i="4"/>
  <c r="AL805" i="4"/>
  <c r="AK805" i="4"/>
  <c r="AJ805" i="4"/>
  <c r="AI805" i="4"/>
  <c r="AH805" i="4"/>
  <c r="AG805" i="4"/>
  <c r="AF805" i="4"/>
  <c r="AE805" i="4"/>
  <c r="AD805" i="4"/>
  <c r="AC805" i="4"/>
  <c r="AB805" i="4"/>
  <c r="AA805" i="4"/>
  <c r="Z805" i="4"/>
  <c r="H805" i="4"/>
  <c r="G805" i="4"/>
  <c r="AO804" i="4"/>
  <c r="AN804" i="4"/>
  <c r="AM804" i="4"/>
  <c r="AL804" i="4"/>
  <c r="AK804" i="4"/>
  <c r="AJ804" i="4"/>
  <c r="AI804" i="4"/>
  <c r="AH804" i="4"/>
  <c r="AG804" i="4"/>
  <c r="AF804" i="4"/>
  <c r="AE804" i="4"/>
  <c r="AD804" i="4"/>
  <c r="AC804" i="4"/>
  <c r="AB804" i="4"/>
  <c r="AA804" i="4"/>
  <c r="Z804" i="4"/>
  <c r="H804" i="4"/>
  <c r="G804" i="4"/>
  <c r="AO803" i="4"/>
  <c r="AN803" i="4"/>
  <c r="AM803" i="4"/>
  <c r="AL803" i="4"/>
  <c r="AK803" i="4"/>
  <c r="AJ803" i="4"/>
  <c r="AI803" i="4"/>
  <c r="AH803" i="4"/>
  <c r="AG803" i="4"/>
  <c r="AF803" i="4"/>
  <c r="AE803" i="4"/>
  <c r="AD803" i="4"/>
  <c r="AC803" i="4"/>
  <c r="AB803" i="4"/>
  <c r="AA803" i="4"/>
  <c r="Z803" i="4"/>
  <c r="H803" i="4"/>
  <c r="G803" i="4"/>
  <c r="AO802" i="4"/>
  <c r="AN802" i="4"/>
  <c r="AM802" i="4"/>
  <c r="AL802" i="4"/>
  <c r="AK802" i="4"/>
  <c r="AJ802" i="4"/>
  <c r="AI802" i="4"/>
  <c r="AH802" i="4"/>
  <c r="AG802" i="4"/>
  <c r="AF802" i="4"/>
  <c r="AE802" i="4"/>
  <c r="AD802" i="4"/>
  <c r="AC802" i="4"/>
  <c r="AB802" i="4"/>
  <c r="AA802" i="4"/>
  <c r="Z802" i="4"/>
  <c r="H802" i="4"/>
  <c r="G802" i="4"/>
  <c r="AO801" i="4"/>
  <c r="AN801" i="4"/>
  <c r="AM801" i="4"/>
  <c r="AL801" i="4"/>
  <c r="AK801" i="4"/>
  <c r="AJ801" i="4"/>
  <c r="AI801" i="4"/>
  <c r="AH801" i="4"/>
  <c r="AG801" i="4"/>
  <c r="AF801" i="4"/>
  <c r="AE801" i="4"/>
  <c r="AD801" i="4"/>
  <c r="AC801" i="4"/>
  <c r="AB801" i="4"/>
  <c r="AA801" i="4"/>
  <c r="Z801" i="4"/>
  <c r="H801" i="4"/>
  <c r="G801" i="4"/>
  <c r="AO800" i="4"/>
  <c r="AN800" i="4"/>
  <c r="AM800" i="4"/>
  <c r="AL800" i="4"/>
  <c r="AK800" i="4"/>
  <c r="AJ800" i="4"/>
  <c r="AI800" i="4"/>
  <c r="AH800" i="4"/>
  <c r="AG800" i="4"/>
  <c r="AF800" i="4"/>
  <c r="AE800" i="4"/>
  <c r="AD800" i="4"/>
  <c r="AC800" i="4"/>
  <c r="AB800" i="4"/>
  <c r="AA800" i="4"/>
  <c r="Z800" i="4"/>
  <c r="H800" i="4"/>
  <c r="G800" i="4"/>
  <c r="AO799" i="4"/>
  <c r="AN799" i="4"/>
  <c r="AM799" i="4"/>
  <c r="AL799" i="4"/>
  <c r="AK799" i="4"/>
  <c r="AJ799" i="4"/>
  <c r="AI799" i="4"/>
  <c r="AH799" i="4"/>
  <c r="AG799" i="4"/>
  <c r="AF799" i="4"/>
  <c r="AE799" i="4"/>
  <c r="AD799" i="4"/>
  <c r="AC799" i="4"/>
  <c r="AB799" i="4"/>
  <c r="AA799" i="4"/>
  <c r="Z799" i="4"/>
  <c r="H799" i="4"/>
  <c r="G799" i="4"/>
  <c r="AO798" i="4"/>
  <c r="AN798" i="4"/>
  <c r="AM798" i="4"/>
  <c r="AL798" i="4"/>
  <c r="AK798" i="4"/>
  <c r="AJ798" i="4"/>
  <c r="AI798" i="4"/>
  <c r="AH798" i="4"/>
  <c r="AG798" i="4"/>
  <c r="AF798" i="4"/>
  <c r="AE798" i="4"/>
  <c r="AD798" i="4"/>
  <c r="AC798" i="4"/>
  <c r="AB798" i="4"/>
  <c r="AA798" i="4"/>
  <c r="Z798" i="4"/>
  <c r="H798" i="4"/>
  <c r="G798" i="4"/>
  <c r="AO797" i="4"/>
  <c r="AN797" i="4"/>
  <c r="AM797" i="4"/>
  <c r="AL797" i="4"/>
  <c r="AK797" i="4"/>
  <c r="AJ797" i="4"/>
  <c r="AI797" i="4"/>
  <c r="AH797" i="4"/>
  <c r="AG797" i="4"/>
  <c r="AF797" i="4"/>
  <c r="AE797" i="4"/>
  <c r="AD797" i="4"/>
  <c r="AC797" i="4"/>
  <c r="AB797" i="4"/>
  <c r="AA797" i="4"/>
  <c r="Z797" i="4"/>
  <c r="H797" i="4"/>
  <c r="G797" i="4"/>
  <c r="AO796" i="4"/>
  <c r="AN796" i="4"/>
  <c r="AM796" i="4"/>
  <c r="AL796" i="4"/>
  <c r="AK796" i="4"/>
  <c r="AJ796" i="4"/>
  <c r="AI796" i="4"/>
  <c r="AH796" i="4"/>
  <c r="AG796" i="4"/>
  <c r="AF796" i="4"/>
  <c r="AE796" i="4"/>
  <c r="AD796" i="4"/>
  <c r="AC796" i="4"/>
  <c r="AB796" i="4"/>
  <c r="AA796" i="4"/>
  <c r="Z796" i="4"/>
  <c r="H796" i="4"/>
  <c r="G796" i="4"/>
  <c r="AO795" i="4"/>
  <c r="AN795" i="4"/>
  <c r="AM795" i="4"/>
  <c r="AL795" i="4"/>
  <c r="AK795" i="4"/>
  <c r="AJ795" i="4"/>
  <c r="AI795" i="4"/>
  <c r="AH795" i="4"/>
  <c r="AG795" i="4"/>
  <c r="AF795" i="4"/>
  <c r="AE795" i="4"/>
  <c r="AD795" i="4"/>
  <c r="AC795" i="4"/>
  <c r="AB795" i="4"/>
  <c r="AA795" i="4"/>
  <c r="Z795" i="4"/>
  <c r="H795" i="4"/>
  <c r="G795" i="4"/>
  <c r="AO794" i="4"/>
  <c r="AN794" i="4"/>
  <c r="AM794" i="4"/>
  <c r="AL794" i="4"/>
  <c r="AK794" i="4"/>
  <c r="AJ794" i="4"/>
  <c r="AI794" i="4"/>
  <c r="AH794" i="4"/>
  <c r="AG794" i="4"/>
  <c r="AF794" i="4"/>
  <c r="AE794" i="4"/>
  <c r="AD794" i="4"/>
  <c r="AC794" i="4"/>
  <c r="AB794" i="4"/>
  <c r="AA794" i="4"/>
  <c r="Z794" i="4"/>
  <c r="H794" i="4"/>
  <c r="G794" i="4"/>
  <c r="AO793" i="4"/>
  <c r="AN793" i="4"/>
  <c r="AM793" i="4"/>
  <c r="AL793" i="4"/>
  <c r="AK793" i="4"/>
  <c r="AJ793" i="4"/>
  <c r="AI793" i="4"/>
  <c r="AH793" i="4"/>
  <c r="AG793" i="4"/>
  <c r="AF793" i="4"/>
  <c r="AE793" i="4"/>
  <c r="AD793" i="4"/>
  <c r="AC793" i="4"/>
  <c r="AB793" i="4"/>
  <c r="AA793" i="4"/>
  <c r="Z793" i="4"/>
  <c r="H793" i="4"/>
  <c r="G793" i="4"/>
  <c r="AO792" i="4"/>
  <c r="AN792" i="4"/>
  <c r="AM792" i="4"/>
  <c r="AL792" i="4"/>
  <c r="AK792" i="4"/>
  <c r="AJ792" i="4"/>
  <c r="AI792" i="4"/>
  <c r="AH792" i="4"/>
  <c r="AG792" i="4"/>
  <c r="AF792" i="4"/>
  <c r="AE792" i="4"/>
  <c r="AD792" i="4"/>
  <c r="AC792" i="4"/>
  <c r="AB792" i="4"/>
  <c r="AA792" i="4"/>
  <c r="Z792" i="4"/>
  <c r="H792" i="4"/>
  <c r="G792" i="4"/>
  <c r="AO791" i="4"/>
  <c r="AN791" i="4"/>
  <c r="AM791" i="4"/>
  <c r="AL791" i="4"/>
  <c r="AK791" i="4"/>
  <c r="AJ791" i="4"/>
  <c r="AI791" i="4"/>
  <c r="AH791" i="4"/>
  <c r="AG791" i="4"/>
  <c r="AF791" i="4"/>
  <c r="AE791" i="4"/>
  <c r="AD791" i="4"/>
  <c r="AC791" i="4"/>
  <c r="AB791" i="4"/>
  <c r="AA791" i="4"/>
  <c r="Z791" i="4"/>
  <c r="H791" i="4"/>
  <c r="G791" i="4"/>
  <c r="AO790" i="4"/>
  <c r="AN790" i="4"/>
  <c r="AM790" i="4"/>
  <c r="AL790" i="4"/>
  <c r="AK790" i="4"/>
  <c r="AJ790" i="4"/>
  <c r="AI790" i="4"/>
  <c r="AH790" i="4"/>
  <c r="AG790" i="4"/>
  <c r="AF790" i="4"/>
  <c r="AE790" i="4"/>
  <c r="AD790" i="4"/>
  <c r="AC790" i="4"/>
  <c r="AB790" i="4"/>
  <c r="AA790" i="4"/>
  <c r="Z790" i="4"/>
  <c r="H790" i="4"/>
  <c r="G790" i="4"/>
  <c r="AO789" i="4"/>
  <c r="AN789" i="4"/>
  <c r="AM789" i="4"/>
  <c r="AL789" i="4"/>
  <c r="AK789" i="4"/>
  <c r="AJ789" i="4"/>
  <c r="AI789" i="4"/>
  <c r="AH789" i="4"/>
  <c r="AG789" i="4"/>
  <c r="AF789" i="4"/>
  <c r="AE789" i="4"/>
  <c r="AD789" i="4"/>
  <c r="AC789" i="4"/>
  <c r="AB789" i="4"/>
  <c r="AA789" i="4"/>
  <c r="Z789" i="4"/>
  <c r="H789" i="4"/>
  <c r="G789" i="4"/>
  <c r="AO788" i="4"/>
  <c r="AN788" i="4"/>
  <c r="AM788" i="4"/>
  <c r="AL788" i="4"/>
  <c r="AK788" i="4"/>
  <c r="AJ788" i="4"/>
  <c r="AI788" i="4"/>
  <c r="AH788" i="4"/>
  <c r="AG788" i="4"/>
  <c r="AF788" i="4"/>
  <c r="AE788" i="4"/>
  <c r="AD788" i="4"/>
  <c r="AC788" i="4"/>
  <c r="AB788" i="4"/>
  <c r="AA788" i="4"/>
  <c r="Z788" i="4"/>
  <c r="H788" i="4"/>
  <c r="G788" i="4"/>
  <c r="AO787" i="4"/>
  <c r="AN787" i="4"/>
  <c r="AM787" i="4"/>
  <c r="AL787" i="4"/>
  <c r="AK787" i="4"/>
  <c r="AJ787" i="4"/>
  <c r="AI787" i="4"/>
  <c r="AH787" i="4"/>
  <c r="AG787" i="4"/>
  <c r="AF787" i="4"/>
  <c r="AE787" i="4"/>
  <c r="AD787" i="4"/>
  <c r="AC787" i="4"/>
  <c r="AB787" i="4"/>
  <c r="AA787" i="4"/>
  <c r="Z787" i="4"/>
  <c r="H787" i="4"/>
  <c r="G787" i="4"/>
  <c r="AO786" i="4"/>
  <c r="AN786" i="4"/>
  <c r="AM786" i="4"/>
  <c r="AL786" i="4"/>
  <c r="AK786" i="4"/>
  <c r="AJ786" i="4"/>
  <c r="AI786" i="4"/>
  <c r="AH786" i="4"/>
  <c r="AG786" i="4"/>
  <c r="AF786" i="4"/>
  <c r="AE786" i="4"/>
  <c r="AD786" i="4"/>
  <c r="AC786" i="4"/>
  <c r="AB786" i="4"/>
  <c r="AA786" i="4"/>
  <c r="Z786" i="4"/>
  <c r="H786" i="4"/>
  <c r="G786" i="4"/>
  <c r="AO785" i="4"/>
  <c r="AN785" i="4"/>
  <c r="AM785" i="4"/>
  <c r="AL785" i="4"/>
  <c r="AK785" i="4"/>
  <c r="AJ785" i="4"/>
  <c r="AI785" i="4"/>
  <c r="AH785" i="4"/>
  <c r="AG785" i="4"/>
  <c r="AF785" i="4"/>
  <c r="AE785" i="4"/>
  <c r="AD785" i="4"/>
  <c r="AC785" i="4"/>
  <c r="AB785" i="4"/>
  <c r="AA785" i="4"/>
  <c r="Z785" i="4"/>
  <c r="H785" i="4"/>
  <c r="G785" i="4"/>
  <c r="AO784" i="4"/>
  <c r="AN784" i="4"/>
  <c r="AM784" i="4"/>
  <c r="AL784" i="4"/>
  <c r="AK784" i="4"/>
  <c r="AJ784" i="4"/>
  <c r="AI784" i="4"/>
  <c r="AH784" i="4"/>
  <c r="AG784" i="4"/>
  <c r="AF784" i="4"/>
  <c r="AE784" i="4"/>
  <c r="AD784" i="4"/>
  <c r="AC784" i="4"/>
  <c r="AB784" i="4"/>
  <c r="AA784" i="4"/>
  <c r="Z784" i="4"/>
  <c r="H784" i="4"/>
  <c r="G784" i="4"/>
  <c r="AO783" i="4"/>
  <c r="AN783" i="4"/>
  <c r="AM783" i="4"/>
  <c r="AL783" i="4"/>
  <c r="AK783" i="4"/>
  <c r="AJ783" i="4"/>
  <c r="AI783" i="4"/>
  <c r="AH783" i="4"/>
  <c r="AG783" i="4"/>
  <c r="AF783" i="4"/>
  <c r="AE783" i="4"/>
  <c r="AD783" i="4"/>
  <c r="AC783" i="4"/>
  <c r="AB783" i="4"/>
  <c r="AA783" i="4"/>
  <c r="Z783" i="4"/>
  <c r="H783" i="4"/>
  <c r="G783" i="4"/>
  <c r="AO782" i="4"/>
  <c r="AN782" i="4"/>
  <c r="AM782" i="4"/>
  <c r="AL782" i="4"/>
  <c r="AK782" i="4"/>
  <c r="AJ782" i="4"/>
  <c r="AI782" i="4"/>
  <c r="AH782" i="4"/>
  <c r="AG782" i="4"/>
  <c r="AF782" i="4"/>
  <c r="AE782" i="4"/>
  <c r="AD782" i="4"/>
  <c r="AC782" i="4"/>
  <c r="AB782" i="4"/>
  <c r="AA782" i="4"/>
  <c r="Z782" i="4"/>
  <c r="H782" i="4"/>
  <c r="G782" i="4"/>
  <c r="AO781" i="4"/>
  <c r="AN781" i="4"/>
  <c r="AM781" i="4"/>
  <c r="AL781" i="4"/>
  <c r="AK781" i="4"/>
  <c r="AJ781" i="4"/>
  <c r="AI781" i="4"/>
  <c r="AH781" i="4"/>
  <c r="AG781" i="4"/>
  <c r="AF781" i="4"/>
  <c r="AE781" i="4"/>
  <c r="AD781" i="4"/>
  <c r="AC781" i="4"/>
  <c r="AB781" i="4"/>
  <c r="AA781" i="4"/>
  <c r="Z781" i="4"/>
  <c r="H781" i="4"/>
  <c r="G781" i="4"/>
  <c r="AO780" i="4"/>
  <c r="AN780" i="4"/>
  <c r="AM780" i="4"/>
  <c r="AL780" i="4"/>
  <c r="AK780" i="4"/>
  <c r="AJ780" i="4"/>
  <c r="AI780" i="4"/>
  <c r="AH780" i="4"/>
  <c r="AG780" i="4"/>
  <c r="AF780" i="4"/>
  <c r="AE780" i="4"/>
  <c r="AD780" i="4"/>
  <c r="AC780" i="4"/>
  <c r="AB780" i="4"/>
  <c r="AA780" i="4"/>
  <c r="Z780" i="4"/>
  <c r="H780" i="4"/>
  <c r="G780" i="4"/>
  <c r="AO779" i="4"/>
  <c r="AN779" i="4"/>
  <c r="AM779" i="4"/>
  <c r="AL779" i="4"/>
  <c r="AK779" i="4"/>
  <c r="AJ779" i="4"/>
  <c r="AI779" i="4"/>
  <c r="AH779" i="4"/>
  <c r="AG779" i="4"/>
  <c r="AF779" i="4"/>
  <c r="AE779" i="4"/>
  <c r="AD779" i="4"/>
  <c r="AC779" i="4"/>
  <c r="AB779" i="4"/>
  <c r="AA779" i="4"/>
  <c r="Z779" i="4"/>
  <c r="H779" i="4"/>
  <c r="G779" i="4"/>
  <c r="AO778" i="4"/>
  <c r="AN778" i="4"/>
  <c r="AM778" i="4"/>
  <c r="AL778" i="4"/>
  <c r="AK778" i="4"/>
  <c r="AJ778" i="4"/>
  <c r="AI778" i="4"/>
  <c r="AH778" i="4"/>
  <c r="AG778" i="4"/>
  <c r="AF778" i="4"/>
  <c r="AE778" i="4"/>
  <c r="AD778" i="4"/>
  <c r="AC778" i="4"/>
  <c r="AB778" i="4"/>
  <c r="AA778" i="4"/>
  <c r="Z778" i="4"/>
  <c r="H778" i="4"/>
  <c r="G778" i="4"/>
  <c r="AO777" i="4"/>
  <c r="AN777" i="4"/>
  <c r="AM777" i="4"/>
  <c r="AL777" i="4"/>
  <c r="AK777" i="4"/>
  <c r="AJ777" i="4"/>
  <c r="AI777" i="4"/>
  <c r="AH777" i="4"/>
  <c r="AG777" i="4"/>
  <c r="AF777" i="4"/>
  <c r="AE777" i="4"/>
  <c r="AD777" i="4"/>
  <c r="AC777" i="4"/>
  <c r="AB777" i="4"/>
  <c r="AA777" i="4"/>
  <c r="Z777" i="4"/>
  <c r="H777" i="4"/>
  <c r="G777" i="4"/>
  <c r="AO776" i="4"/>
  <c r="AN776" i="4"/>
  <c r="AM776" i="4"/>
  <c r="AL776" i="4"/>
  <c r="AK776" i="4"/>
  <c r="AJ776" i="4"/>
  <c r="AI776" i="4"/>
  <c r="AH776" i="4"/>
  <c r="AG776" i="4"/>
  <c r="AF776" i="4"/>
  <c r="AE776" i="4"/>
  <c r="AD776" i="4"/>
  <c r="AC776" i="4"/>
  <c r="AB776" i="4"/>
  <c r="AA776" i="4"/>
  <c r="Z776" i="4"/>
  <c r="H776" i="4"/>
  <c r="G776" i="4"/>
  <c r="AO775" i="4"/>
  <c r="AN775" i="4"/>
  <c r="AM775" i="4"/>
  <c r="AL775" i="4"/>
  <c r="AK775" i="4"/>
  <c r="AJ775" i="4"/>
  <c r="AI775" i="4"/>
  <c r="AH775" i="4"/>
  <c r="AG775" i="4"/>
  <c r="AF775" i="4"/>
  <c r="AE775" i="4"/>
  <c r="AD775" i="4"/>
  <c r="AC775" i="4"/>
  <c r="AB775" i="4"/>
  <c r="AA775" i="4"/>
  <c r="Z775" i="4"/>
  <c r="H775" i="4"/>
  <c r="G775" i="4"/>
  <c r="AO774" i="4"/>
  <c r="AN774" i="4"/>
  <c r="AM774" i="4"/>
  <c r="AL774" i="4"/>
  <c r="AK774" i="4"/>
  <c r="AJ774" i="4"/>
  <c r="AI774" i="4"/>
  <c r="AH774" i="4"/>
  <c r="AG774" i="4"/>
  <c r="AF774" i="4"/>
  <c r="AE774" i="4"/>
  <c r="AD774" i="4"/>
  <c r="AC774" i="4"/>
  <c r="AB774" i="4"/>
  <c r="AA774" i="4"/>
  <c r="Z774" i="4"/>
  <c r="H774" i="4"/>
  <c r="G774" i="4"/>
  <c r="AO773" i="4"/>
  <c r="AN773" i="4"/>
  <c r="AM773" i="4"/>
  <c r="AL773" i="4"/>
  <c r="AK773" i="4"/>
  <c r="AJ773" i="4"/>
  <c r="AI773" i="4"/>
  <c r="AH773" i="4"/>
  <c r="AG773" i="4"/>
  <c r="AF773" i="4"/>
  <c r="AE773" i="4"/>
  <c r="AD773" i="4"/>
  <c r="AC773" i="4"/>
  <c r="AB773" i="4"/>
  <c r="AA773" i="4"/>
  <c r="Z773" i="4"/>
  <c r="H773" i="4"/>
  <c r="G773" i="4"/>
  <c r="AO772" i="4"/>
  <c r="AN772" i="4"/>
  <c r="AM772" i="4"/>
  <c r="AL772" i="4"/>
  <c r="AK772" i="4"/>
  <c r="AJ772" i="4"/>
  <c r="AI772" i="4"/>
  <c r="AH772" i="4"/>
  <c r="AG772" i="4"/>
  <c r="AF772" i="4"/>
  <c r="AE772" i="4"/>
  <c r="AD772" i="4"/>
  <c r="AC772" i="4"/>
  <c r="AB772" i="4"/>
  <c r="AA772" i="4"/>
  <c r="Z772" i="4"/>
  <c r="H772" i="4"/>
  <c r="G772" i="4"/>
  <c r="AO771" i="4"/>
  <c r="AN771" i="4"/>
  <c r="AM771" i="4"/>
  <c r="AL771" i="4"/>
  <c r="AK771" i="4"/>
  <c r="AJ771" i="4"/>
  <c r="AI771" i="4"/>
  <c r="AH771" i="4"/>
  <c r="AG771" i="4"/>
  <c r="AF771" i="4"/>
  <c r="AE771" i="4"/>
  <c r="AD771" i="4"/>
  <c r="AC771" i="4"/>
  <c r="AB771" i="4"/>
  <c r="AA771" i="4"/>
  <c r="Z771" i="4"/>
  <c r="H771" i="4"/>
  <c r="G771" i="4"/>
  <c r="AO770" i="4"/>
  <c r="AN770" i="4"/>
  <c r="AM770" i="4"/>
  <c r="AL770" i="4"/>
  <c r="AK770" i="4"/>
  <c r="AJ770" i="4"/>
  <c r="AI770" i="4"/>
  <c r="AH770" i="4"/>
  <c r="AG770" i="4"/>
  <c r="AF770" i="4"/>
  <c r="AE770" i="4"/>
  <c r="AD770" i="4"/>
  <c r="AC770" i="4"/>
  <c r="AB770" i="4"/>
  <c r="AA770" i="4"/>
  <c r="Z770" i="4"/>
  <c r="H770" i="4"/>
  <c r="G770" i="4"/>
  <c r="AO769" i="4"/>
  <c r="AN769" i="4"/>
  <c r="AM769" i="4"/>
  <c r="AL769" i="4"/>
  <c r="AK769" i="4"/>
  <c r="AJ769" i="4"/>
  <c r="AI769" i="4"/>
  <c r="AH769" i="4"/>
  <c r="AG769" i="4"/>
  <c r="AF769" i="4"/>
  <c r="AE769" i="4"/>
  <c r="AD769" i="4"/>
  <c r="AC769" i="4"/>
  <c r="AB769" i="4"/>
  <c r="AA769" i="4"/>
  <c r="Z769" i="4"/>
  <c r="H769" i="4"/>
  <c r="G769" i="4"/>
  <c r="AO768" i="4"/>
  <c r="AN768" i="4"/>
  <c r="AM768" i="4"/>
  <c r="AL768" i="4"/>
  <c r="AK768" i="4"/>
  <c r="AJ768" i="4"/>
  <c r="AI768" i="4"/>
  <c r="AH768" i="4"/>
  <c r="AG768" i="4"/>
  <c r="AF768" i="4"/>
  <c r="AE768" i="4"/>
  <c r="AD768" i="4"/>
  <c r="AC768" i="4"/>
  <c r="AB768" i="4"/>
  <c r="AA768" i="4"/>
  <c r="Z768" i="4"/>
  <c r="H768" i="4"/>
  <c r="G768" i="4"/>
  <c r="AO767" i="4"/>
  <c r="AN767" i="4"/>
  <c r="AM767" i="4"/>
  <c r="AL767" i="4"/>
  <c r="AK767" i="4"/>
  <c r="AJ767" i="4"/>
  <c r="AI767" i="4"/>
  <c r="AH767" i="4"/>
  <c r="AG767" i="4"/>
  <c r="AF767" i="4"/>
  <c r="AE767" i="4"/>
  <c r="AD767" i="4"/>
  <c r="AC767" i="4"/>
  <c r="AB767" i="4"/>
  <c r="AA767" i="4"/>
  <c r="Z767" i="4"/>
  <c r="H767" i="4"/>
  <c r="G767" i="4"/>
  <c r="AO766" i="4"/>
  <c r="AN766" i="4"/>
  <c r="AM766" i="4"/>
  <c r="AL766" i="4"/>
  <c r="AK766" i="4"/>
  <c r="AJ766" i="4"/>
  <c r="AI766" i="4"/>
  <c r="AH766" i="4"/>
  <c r="AG766" i="4"/>
  <c r="AF766" i="4"/>
  <c r="AE766" i="4"/>
  <c r="AD766" i="4"/>
  <c r="AC766" i="4"/>
  <c r="AB766" i="4"/>
  <c r="AA766" i="4"/>
  <c r="Z766" i="4"/>
  <c r="H766" i="4"/>
  <c r="G766" i="4"/>
  <c r="AO765" i="4"/>
  <c r="AN765" i="4"/>
  <c r="AM765" i="4"/>
  <c r="AL765" i="4"/>
  <c r="AK765" i="4"/>
  <c r="AJ765" i="4"/>
  <c r="AI765" i="4"/>
  <c r="AH765" i="4"/>
  <c r="AG765" i="4"/>
  <c r="AF765" i="4"/>
  <c r="AE765" i="4"/>
  <c r="AD765" i="4"/>
  <c r="AC765" i="4"/>
  <c r="AB765" i="4"/>
  <c r="AA765" i="4"/>
  <c r="Z765" i="4"/>
  <c r="H765" i="4"/>
  <c r="G765" i="4"/>
  <c r="AO764" i="4"/>
  <c r="AN764" i="4"/>
  <c r="AM764" i="4"/>
  <c r="AL764" i="4"/>
  <c r="AK764" i="4"/>
  <c r="AJ764" i="4"/>
  <c r="AI764" i="4"/>
  <c r="AH764" i="4"/>
  <c r="AG764" i="4"/>
  <c r="AF764" i="4"/>
  <c r="AE764" i="4"/>
  <c r="AD764" i="4"/>
  <c r="AC764" i="4"/>
  <c r="AB764" i="4"/>
  <c r="AA764" i="4"/>
  <c r="Z764" i="4"/>
  <c r="H764" i="4"/>
  <c r="G764" i="4"/>
  <c r="AO763" i="4"/>
  <c r="AN763" i="4"/>
  <c r="AM763" i="4"/>
  <c r="AL763" i="4"/>
  <c r="AK763" i="4"/>
  <c r="AJ763" i="4"/>
  <c r="AI763" i="4"/>
  <c r="AH763" i="4"/>
  <c r="AG763" i="4"/>
  <c r="AF763" i="4"/>
  <c r="AE763" i="4"/>
  <c r="AD763" i="4"/>
  <c r="AC763" i="4"/>
  <c r="AB763" i="4"/>
  <c r="AA763" i="4"/>
  <c r="Z763" i="4"/>
  <c r="H763" i="4"/>
  <c r="G763" i="4"/>
  <c r="AO762" i="4"/>
  <c r="AN762" i="4"/>
  <c r="AM762" i="4"/>
  <c r="AL762" i="4"/>
  <c r="AK762" i="4"/>
  <c r="AJ762" i="4"/>
  <c r="AI762" i="4"/>
  <c r="AH762" i="4"/>
  <c r="AG762" i="4"/>
  <c r="AF762" i="4"/>
  <c r="AE762" i="4"/>
  <c r="AD762" i="4"/>
  <c r="AC762" i="4"/>
  <c r="AB762" i="4"/>
  <c r="AA762" i="4"/>
  <c r="Z762" i="4"/>
  <c r="H762" i="4"/>
  <c r="G762" i="4"/>
  <c r="AO761" i="4"/>
  <c r="AN761" i="4"/>
  <c r="AM761" i="4"/>
  <c r="AL761" i="4"/>
  <c r="AK761" i="4"/>
  <c r="AJ761" i="4"/>
  <c r="AI761" i="4"/>
  <c r="AH761" i="4"/>
  <c r="AG761" i="4"/>
  <c r="AF761" i="4"/>
  <c r="AE761" i="4"/>
  <c r="AD761" i="4"/>
  <c r="AC761" i="4"/>
  <c r="AB761" i="4"/>
  <c r="AA761" i="4"/>
  <c r="Z761" i="4"/>
  <c r="H761" i="4"/>
  <c r="G761" i="4"/>
  <c r="AO760" i="4"/>
  <c r="AN760" i="4"/>
  <c r="AM760" i="4"/>
  <c r="AL760" i="4"/>
  <c r="AK760" i="4"/>
  <c r="AJ760" i="4"/>
  <c r="AI760" i="4"/>
  <c r="AH760" i="4"/>
  <c r="AG760" i="4"/>
  <c r="AF760" i="4"/>
  <c r="AE760" i="4"/>
  <c r="AD760" i="4"/>
  <c r="AC760" i="4"/>
  <c r="AB760" i="4"/>
  <c r="AA760" i="4"/>
  <c r="Z760" i="4"/>
  <c r="H760" i="4"/>
  <c r="G760" i="4"/>
  <c r="AO759" i="4"/>
  <c r="AN759" i="4"/>
  <c r="AM759" i="4"/>
  <c r="AL759" i="4"/>
  <c r="AK759" i="4"/>
  <c r="AJ759" i="4"/>
  <c r="AI759" i="4"/>
  <c r="AH759" i="4"/>
  <c r="AG759" i="4"/>
  <c r="AF759" i="4"/>
  <c r="AE759" i="4"/>
  <c r="AD759" i="4"/>
  <c r="AC759" i="4"/>
  <c r="AB759" i="4"/>
  <c r="AA759" i="4"/>
  <c r="Z759" i="4"/>
  <c r="H759" i="4"/>
  <c r="G759" i="4"/>
  <c r="AO758" i="4"/>
  <c r="AN758" i="4"/>
  <c r="AM758" i="4"/>
  <c r="AL758" i="4"/>
  <c r="AK758" i="4"/>
  <c r="AJ758" i="4"/>
  <c r="AI758" i="4"/>
  <c r="AH758" i="4"/>
  <c r="AG758" i="4"/>
  <c r="AF758" i="4"/>
  <c r="AE758" i="4"/>
  <c r="AD758" i="4"/>
  <c r="AC758" i="4"/>
  <c r="AB758" i="4"/>
  <c r="AA758" i="4"/>
  <c r="Z758" i="4"/>
  <c r="H758" i="4"/>
  <c r="G758" i="4"/>
  <c r="AO757" i="4"/>
  <c r="AN757" i="4"/>
  <c r="AM757" i="4"/>
  <c r="AL757" i="4"/>
  <c r="AK757" i="4"/>
  <c r="AJ757" i="4"/>
  <c r="AI757" i="4"/>
  <c r="AH757" i="4"/>
  <c r="AG757" i="4"/>
  <c r="AF757" i="4"/>
  <c r="AE757" i="4"/>
  <c r="AD757" i="4"/>
  <c r="AC757" i="4"/>
  <c r="AB757" i="4"/>
  <c r="AA757" i="4"/>
  <c r="Z757" i="4"/>
  <c r="H757" i="4"/>
  <c r="G757" i="4"/>
  <c r="AO756" i="4"/>
  <c r="AN756" i="4"/>
  <c r="AM756" i="4"/>
  <c r="AL756" i="4"/>
  <c r="AK756" i="4"/>
  <c r="AJ756" i="4"/>
  <c r="AI756" i="4"/>
  <c r="AH756" i="4"/>
  <c r="AG756" i="4"/>
  <c r="AF756" i="4"/>
  <c r="AE756" i="4"/>
  <c r="AD756" i="4"/>
  <c r="AC756" i="4"/>
  <c r="AB756" i="4"/>
  <c r="AA756" i="4"/>
  <c r="Z756" i="4"/>
  <c r="H756" i="4"/>
  <c r="G756" i="4"/>
  <c r="AO755" i="4"/>
  <c r="AN755" i="4"/>
  <c r="AM755" i="4"/>
  <c r="AL755" i="4"/>
  <c r="AK755" i="4"/>
  <c r="AJ755" i="4"/>
  <c r="AI755" i="4"/>
  <c r="AH755" i="4"/>
  <c r="AG755" i="4"/>
  <c r="AF755" i="4"/>
  <c r="AE755" i="4"/>
  <c r="AD755" i="4"/>
  <c r="AC755" i="4"/>
  <c r="AB755" i="4"/>
  <c r="AA755" i="4"/>
  <c r="Z755" i="4"/>
  <c r="H755" i="4"/>
  <c r="G755" i="4"/>
  <c r="AO754" i="4"/>
  <c r="AN754" i="4"/>
  <c r="AM754" i="4"/>
  <c r="AL754" i="4"/>
  <c r="AK754" i="4"/>
  <c r="AJ754" i="4"/>
  <c r="AI754" i="4"/>
  <c r="AH754" i="4"/>
  <c r="AG754" i="4"/>
  <c r="AF754" i="4"/>
  <c r="AE754" i="4"/>
  <c r="AD754" i="4"/>
  <c r="AC754" i="4"/>
  <c r="AB754" i="4"/>
  <c r="AA754" i="4"/>
  <c r="Z754" i="4"/>
  <c r="H754" i="4"/>
  <c r="G754" i="4"/>
  <c r="AO753" i="4"/>
  <c r="AN753" i="4"/>
  <c r="AM753" i="4"/>
  <c r="AL753" i="4"/>
  <c r="AK753" i="4"/>
  <c r="AJ753" i="4"/>
  <c r="AI753" i="4"/>
  <c r="AH753" i="4"/>
  <c r="AG753" i="4"/>
  <c r="AF753" i="4"/>
  <c r="AE753" i="4"/>
  <c r="AD753" i="4"/>
  <c r="AC753" i="4"/>
  <c r="AB753" i="4"/>
  <c r="AA753" i="4"/>
  <c r="Z753" i="4"/>
  <c r="H753" i="4"/>
  <c r="G753" i="4"/>
  <c r="AO752" i="4"/>
  <c r="AN752" i="4"/>
  <c r="AM752" i="4"/>
  <c r="AL752" i="4"/>
  <c r="AK752" i="4"/>
  <c r="AJ752" i="4"/>
  <c r="AI752" i="4"/>
  <c r="AH752" i="4"/>
  <c r="AG752" i="4"/>
  <c r="AF752" i="4"/>
  <c r="AE752" i="4"/>
  <c r="AD752" i="4"/>
  <c r="AC752" i="4"/>
  <c r="AB752" i="4"/>
  <c r="AA752" i="4"/>
  <c r="Z752" i="4"/>
  <c r="H752" i="4"/>
  <c r="G752" i="4"/>
  <c r="AO751" i="4"/>
  <c r="AN751" i="4"/>
  <c r="AM751" i="4"/>
  <c r="AL751" i="4"/>
  <c r="AK751" i="4"/>
  <c r="AJ751" i="4"/>
  <c r="AI751" i="4"/>
  <c r="AH751" i="4"/>
  <c r="AG751" i="4"/>
  <c r="AF751" i="4"/>
  <c r="AE751" i="4"/>
  <c r="AD751" i="4"/>
  <c r="AC751" i="4"/>
  <c r="AB751" i="4"/>
  <c r="AA751" i="4"/>
  <c r="Z751" i="4"/>
  <c r="H751" i="4"/>
  <c r="G751" i="4"/>
  <c r="AO750" i="4"/>
  <c r="AN750" i="4"/>
  <c r="AM750" i="4"/>
  <c r="AL750" i="4"/>
  <c r="AK750" i="4"/>
  <c r="AJ750" i="4"/>
  <c r="AI750" i="4"/>
  <c r="AH750" i="4"/>
  <c r="AG750" i="4"/>
  <c r="AF750" i="4"/>
  <c r="AE750" i="4"/>
  <c r="AD750" i="4"/>
  <c r="AC750" i="4"/>
  <c r="AB750" i="4"/>
  <c r="AA750" i="4"/>
  <c r="Z750" i="4"/>
  <c r="H750" i="4"/>
  <c r="G750" i="4"/>
  <c r="AO749" i="4"/>
  <c r="AN749" i="4"/>
  <c r="AM749" i="4"/>
  <c r="AL749" i="4"/>
  <c r="AK749" i="4"/>
  <c r="AJ749" i="4"/>
  <c r="AI749" i="4"/>
  <c r="AH749" i="4"/>
  <c r="AG749" i="4"/>
  <c r="AF749" i="4"/>
  <c r="AE749" i="4"/>
  <c r="AD749" i="4"/>
  <c r="AC749" i="4"/>
  <c r="AB749" i="4"/>
  <c r="AA749" i="4"/>
  <c r="Z749" i="4"/>
  <c r="H749" i="4"/>
  <c r="G749" i="4"/>
  <c r="AO748" i="4"/>
  <c r="AN748" i="4"/>
  <c r="AM748" i="4"/>
  <c r="AL748" i="4"/>
  <c r="AK748" i="4"/>
  <c r="AJ748" i="4"/>
  <c r="AI748" i="4"/>
  <c r="AH748" i="4"/>
  <c r="AG748" i="4"/>
  <c r="AF748" i="4"/>
  <c r="AE748" i="4"/>
  <c r="AD748" i="4"/>
  <c r="AC748" i="4"/>
  <c r="AB748" i="4"/>
  <c r="AA748" i="4"/>
  <c r="Z748" i="4"/>
  <c r="H748" i="4"/>
  <c r="G748" i="4"/>
  <c r="AO747" i="4"/>
  <c r="AN747" i="4"/>
  <c r="AM747" i="4"/>
  <c r="AL747" i="4"/>
  <c r="AK747" i="4"/>
  <c r="AJ747" i="4"/>
  <c r="AI747" i="4"/>
  <c r="AH747" i="4"/>
  <c r="AG747" i="4"/>
  <c r="AF747" i="4"/>
  <c r="AE747" i="4"/>
  <c r="AD747" i="4"/>
  <c r="AC747" i="4"/>
  <c r="AB747" i="4"/>
  <c r="AA747" i="4"/>
  <c r="Z747" i="4"/>
  <c r="H747" i="4"/>
  <c r="G747" i="4"/>
  <c r="AO746" i="4"/>
  <c r="AN746" i="4"/>
  <c r="AM746" i="4"/>
  <c r="AL746" i="4"/>
  <c r="AK746" i="4"/>
  <c r="AJ746" i="4"/>
  <c r="AI746" i="4"/>
  <c r="AH746" i="4"/>
  <c r="AG746" i="4"/>
  <c r="AF746" i="4"/>
  <c r="AE746" i="4"/>
  <c r="AD746" i="4"/>
  <c r="AC746" i="4"/>
  <c r="AB746" i="4"/>
  <c r="AA746" i="4"/>
  <c r="Z746" i="4"/>
  <c r="H746" i="4"/>
  <c r="G746" i="4"/>
  <c r="AO745" i="4"/>
  <c r="AN745" i="4"/>
  <c r="AM745" i="4"/>
  <c r="AL745" i="4"/>
  <c r="AK745" i="4"/>
  <c r="AJ745" i="4"/>
  <c r="AI745" i="4"/>
  <c r="AH745" i="4"/>
  <c r="AG745" i="4"/>
  <c r="AF745" i="4"/>
  <c r="AE745" i="4"/>
  <c r="AD745" i="4"/>
  <c r="AC745" i="4"/>
  <c r="AB745" i="4"/>
  <c r="AA745" i="4"/>
  <c r="Z745" i="4"/>
  <c r="H745" i="4"/>
  <c r="G745" i="4"/>
  <c r="AO744" i="4"/>
  <c r="AN744" i="4"/>
  <c r="AM744" i="4"/>
  <c r="AL744" i="4"/>
  <c r="AK744" i="4"/>
  <c r="AJ744" i="4"/>
  <c r="AI744" i="4"/>
  <c r="AH744" i="4"/>
  <c r="AG744" i="4"/>
  <c r="AF744" i="4"/>
  <c r="AE744" i="4"/>
  <c r="AD744" i="4"/>
  <c r="AC744" i="4"/>
  <c r="AB744" i="4"/>
  <c r="AA744" i="4"/>
  <c r="Z744" i="4"/>
  <c r="H744" i="4"/>
  <c r="G744" i="4"/>
  <c r="AO743" i="4"/>
  <c r="AN743" i="4"/>
  <c r="AM743" i="4"/>
  <c r="AL743" i="4"/>
  <c r="AK743" i="4"/>
  <c r="AJ743" i="4"/>
  <c r="AI743" i="4"/>
  <c r="AH743" i="4"/>
  <c r="AG743" i="4"/>
  <c r="AF743" i="4"/>
  <c r="AE743" i="4"/>
  <c r="AD743" i="4"/>
  <c r="AC743" i="4"/>
  <c r="AB743" i="4"/>
  <c r="AA743" i="4"/>
  <c r="Z743" i="4"/>
  <c r="H743" i="4"/>
  <c r="G743" i="4"/>
  <c r="AO742" i="4"/>
  <c r="AN742" i="4"/>
  <c r="AM742" i="4"/>
  <c r="AL742" i="4"/>
  <c r="AK742" i="4"/>
  <c r="AJ742" i="4"/>
  <c r="AI742" i="4"/>
  <c r="AH742" i="4"/>
  <c r="AG742" i="4"/>
  <c r="AF742" i="4"/>
  <c r="AE742" i="4"/>
  <c r="AD742" i="4"/>
  <c r="AC742" i="4"/>
  <c r="AB742" i="4"/>
  <c r="AA742" i="4"/>
  <c r="Z742" i="4"/>
  <c r="H742" i="4"/>
  <c r="G742" i="4"/>
  <c r="AO741" i="4"/>
  <c r="AN741" i="4"/>
  <c r="AM741" i="4"/>
  <c r="AL741" i="4"/>
  <c r="AK741" i="4"/>
  <c r="AJ741" i="4"/>
  <c r="AI741" i="4"/>
  <c r="AH741" i="4"/>
  <c r="AG741" i="4"/>
  <c r="AF741" i="4"/>
  <c r="AE741" i="4"/>
  <c r="AD741" i="4"/>
  <c r="AC741" i="4"/>
  <c r="AB741" i="4"/>
  <c r="AA741" i="4"/>
  <c r="Z741" i="4"/>
  <c r="H741" i="4"/>
  <c r="G741" i="4"/>
  <c r="AO740" i="4"/>
  <c r="AN740" i="4"/>
  <c r="AM740" i="4"/>
  <c r="AL740" i="4"/>
  <c r="AK740" i="4"/>
  <c r="AJ740" i="4"/>
  <c r="AI740" i="4"/>
  <c r="AH740" i="4"/>
  <c r="AG740" i="4"/>
  <c r="AF740" i="4"/>
  <c r="AE740" i="4"/>
  <c r="AD740" i="4"/>
  <c r="AC740" i="4"/>
  <c r="AB740" i="4"/>
  <c r="AA740" i="4"/>
  <c r="Z740" i="4"/>
  <c r="H740" i="4"/>
  <c r="G740" i="4"/>
  <c r="AO739" i="4"/>
  <c r="AN739" i="4"/>
  <c r="AM739" i="4"/>
  <c r="AL739" i="4"/>
  <c r="AK739" i="4"/>
  <c r="AJ739" i="4"/>
  <c r="AI739" i="4"/>
  <c r="AH739" i="4"/>
  <c r="AG739" i="4"/>
  <c r="AF739" i="4"/>
  <c r="AE739" i="4"/>
  <c r="AD739" i="4"/>
  <c r="AC739" i="4"/>
  <c r="AB739" i="4"/>
  <c r="AA739" i="4"/>
  <c r="Z739" i="4"/>
  <c r="H739" i="4"/>
  <c r="G739" i="4"/>
  <c r="AO738" i="4"/>
  <c r="AN738" i="4"/>
  <c r="AM738" i="4"/>
  <c r="AL738" i="4"/>
  <c r="AK738" i="4"/>
  <c r="AJ738" i="4"/>
  <c r="AI738" i="4"/>
  <c r="AH738" i="4"/>
  <c r="AG738" i="4"/>
  <c r="AF738" i="4"/>
  <c r="AE738" i="4"/>
  <c r="AD738" i="4"/>
  <c r="AC738" i="4"/>
  <c r="AB738" i="4"/>
  <c r="AA738" i="4"/>
  <c r="Z738" i="4"/>
  <c r="H738" i="4"/>
  <c r="G738" i="4"/>
  <c r="AO737" i="4"/>
  <c r="AN737" i="4"/>
  <c r="AM737" i="4"/>
  <c r="AL737" i="4"/>
  <c r="AK737" i="4"/>
  <c r="AJ737" i="4"/>
  <c r="AI737" i="4"/>
  <c r="AH737" i="4"/>
  <c r="AG737" i="4"/>
  <c r="AF737" i="4"/>
  <c r="AE737" i="4"/>
  <c r="AD737" i="4"/>
  <c r="AC737" i="4"/>
  <c r="AB737" i="4"/>
  <c r="AA737" i="4"/>
  <c r="Z737" i="4"/>
  <c r="H737" i="4"/>
  <c r="G737" i="4"/>
  <c r="AO736" i="4"/>
  <c r="AN736" i="4"/>
  <c r="AM736" i="4"/>
  <c r="AL736" i="4"/>
  <c r="AK736" i="4"/>
  <c r="AJ736" i="4"/>
  <c r="AI736" i="4"/>
  <c r="AH736" i="4"/>
  <c r="AG736" i="4"/>
  <c r="AF736" i="4"/>
  <c r="AE736" i="4"/>
  <c r="AD736" i="4"/>
  <c r="AC736" i="4"/>
  <c r="AB736" i="4"/>
  <c r="AA736" i="4"/>
  <c r="Z736" i="4"/>
  <c r="H736" i="4"/>
  <c r="G736" i="4"/>
  <c r="AO735" i="4"/>
  <c r="AN735" i="4"/>
  <c r="AM735" i="4"/>
  <c r="AL735" i="4"/>
  <c r="AK735" i="4"/>
  <c r="AJ735" i="4"/>
  <c r="AI735" i="4"/>
  <c r="AH735" i="4"/>
  <c r="AG735" i="4"/>
  <c r="AF735" i="4"/>
  <c r="AE735" i="4"/>
  <c r="AD735" i="4"/>
  <c r="AC735" i="4"/>
  <c r="AB735" i="4"/>
  <c r="AA735" i="4"/>
  <c r="Z735" i="4"/>
  <c r="H735" i="4"/>
  <c r="G735" i="4"/>
  <c r="AO734" i="4"/>
  <c r="AN734" i="4"/>
  <c r="AM734" i="4"/>
  <c r="AL734" i="4"/>
  <c r="AK734" i="4"/>
  <c r="AJ734" i="4"/>
  <c r="AI734" i="4"/>
  <c r="AH734" i="4"/>
  <c r="AG734" i="4"/>
  <c r="AF734" i="4"/>
  <c r="AE734" i="4"/>
  <c r="AD734" i="4"/>
  <c r="AC734" i="4"/>
  <c r="AB734" i="4"/>
  <c r="AA734" i="4"/>
  <c r="Z734" i="4"/>
  <c r="H734" i="4"/>
  <c r="G734" i="4"/>
  <c r="AO733" i="4"/>
  <c r="AN733" i="4"/>
  <c r="AM733" i="4"/>
  <c r="AL733" i="4"/>
  <c r="AK733" i="4"/>
  <c r="AJ733" i="4"/>
  <c r="AI733" i="4"/>
  <c r="AH733" i="4"/>
  <c r="AG733" i="4"/>
  <c r="AF733" i="4"/>
  <c r="AE733" i="4"/>
  <c r="AD733" i="4"/>
  <c r="AC733" i="4"/>
  <c r="AB733" i="4"/>
  <c r="AA733" i="4"/>
  <c r="Z733" i="4"/>
  <c r="H733" i="4"/>
  <c r="G733" i="4"/>
  <c r="AO732" i="4"/>
  <c r="AN732" i="4"/>
  <c r="AM732" i="4"/>
  <c r="AL732" i="4"/>
  <c r="AK732" i="4"/>
  <c r="AJ732" i="4"/>
  <c r="AI732" i="4"/>
  <c r="AH732" i="4"/>
  <c r="AG732" i="4"/>
  <c r="AF732" i="4"/>
  <c r="AE732" i="4"/>
  <c r="AD732" i="4"/>
  <c r="AC732" i="4"/>
  <c r="AB732" i="4"/>
  <c r="AA732" i="4"/>
  <c r="Z732" i="4"/>
  <c r="H732" i="4"/>
  <c r="G732" i="4"/>
  <c r="AO731" i="4"/>
  <c r="AN731" i="4"/>
  <c r="AM731" i="4"/>
  <c r="AL731" i="4"/>
  <c r="AK731" i="4"/>
  <c r="AJ731" i="4"/>
  <c r="AI731" i="4"/>
  <c r="AH731" i="4"/>
  <c r="AG731" i="4"/>
  <c r="AF731" i="4"/>
  <c r="AE731" i="4"/>
  <c r="AD731" i="4"/>
  <c r="AC731" i="4"/>
  <c r="AB731" i="4"/>
  <c r="AA731" i="4"/>
  <c r="Z731" i="4"/>
  <c r="H731" i="4"/>
  <c r="G731" i="4"/>
  <c r="AO730" i="4"/>
  <c r="AN730" i="4"/>
  <c r="AM730" i="4"/>
  <c r="AL730" i="4"/>
  <c r="AK730" i="4"/>
  <c r="AJ730" i="4"/>
  <c r="AI730" i="4"/>
  <c r="AH730" i="4"/>
  <c r="AG730" i="4"/>
  <c r="AF730" i="4"/>
  <c r="AE730" i="4"/>
  <c r="AD730" i="4"/>
  <c r="AC730" i="4"/>
  <c r="AB730" i="4"/>
  <c r="AA730" i="4"/>
  <c r="Z730" i="4"/>
  <c r="H730" i="4"/>
  <c r="G730" i="4"/>
  <c r="AO729" i="4"/>
  <c r="AN729" i="4"/>
  <c r="AM729" i="4"/>
  <c r="AL729" i="4"/>
  <c r="AK729" i="4"/>
  <c r="AJ729" i="4"/>
  <c r="AI729" i="4"/>
  <c r="AH729" i="4"/>
  <c r="AG729" i="4"/>
  <c r="AF729" i="4"/>
  <c r="AE729" i="4"/>
  <c r="AD729" i="4"/>
  <c r="AC729" i="4"/>
  <c r="AB729" i="4"/>
  <c r="AA729" i="4"/>
  <c r="Z729" i="4"/>
  <c r="H729" i="4"/>
  <c r="G729" i="4"/>
  <c r="AO728" i="4"/>
  <c r="AN728" i="4"/>
  <c r="AM728" i="4"/>
  <c r="AL728" i="4"/>
  <c r="AK728" i="4"/>
  <c r="AJ728" i="4"/>
  <c r="AI728" i="4"/>
  <c r="AH728" i="4"/>
  <c r="AG728" i="4"/>
  <c r="AF728" i="4"/>
  <c r="AE728" i="4"/>
  <c r="AD728" i="4"/>
  <c r="AC728" i="4"/>
  <c r="AB728" i="4"/>
  <c r="AA728" i="4"/>
  <c r="Z728" i="4"/>
  <c r="H728" i="4"/>
  <c r="G728" i="4"/>
  <c r="AO727" i="4"/>
  <c r="AN727" i="4"/>
  <c r="AM727" i="4"/>
  <c r="AL727" i="4"/>
  <c r="AK727" i="4"/>
  <c r="AJ727" i="4"/>
  <c r="AI727" i="4"/>
  <c r="AH727" i="4"/>
  <c r="AG727" i="4"/>
  <c r="AF727" i="4"/>
  <c r="AE727" i="4"/>
  <c r="AD727" i="4"/>
  <c r="AC727" i="4"/>
  <c r="AB727" i="4"/>
  <c r="AA727" i="4"/>
  <c r="Z727" i="4"/>
  <c r="H727" i="4"/>
  <c r="G727" i="4"/>
  <c r="AO726" i="4"/>
  <c r="AN726" i="4"/>
  <c r="AM726" i="4"/>
  <c r="AL726" i="4"/>
  <c r="AK726" i="4"/>
  <c r="AJ726" i="4"/>
  <c r="AI726" i="4"/>
  <c r="AH726" i="4"/>
  <c r="AG726" i="4"/>
  <c r="AF726" i="4"/>
  <c r="AE726" i="4"/>
  <c r="AD726" i="4"/>
  <c r="AC726" i="4"/>
  <c r="AB726" i="4"/>
  <c r="AA726" i="4"/>
  <c r="Z726" i="4"/>
  <c r="H726" i="4"/>
  <c r="G726" i="4"/>
  <c r="AO725" i="4"/>
  <c r="AN725" i="4"/>
  <c r="AM725" i="4"/>
  <c r="AL725" i="4"/>
  <c r="AK725" i="4"/>
  <c r="AJ725" i="4"/>
  <c r="AI725" i="4"/>
  <c r="AH725" i="4"/>
  <c r="AG725" i="4"/>
  <c r="AF725" i="4"/>
  <c r="AE725" i="4"/>
  <c r="AD725" i="4"/>
  <c r="AC725" i="4"/>
  <c r="AB725" i="4"/>
  <c r="AA725" i="4"/>
  <c r="Z725" i="4"/>
  <c r="H725" i="4"/>
  <c r="G725" i="4"/>
  <c r="AO724" i="4"/>
  <c r="AN724" i="4"/>
  <c r="AM724" i="4"/>
  <c r="AL724" i="4"/>
  <c r="AK724" i="4"/>
  <c r="AJ724" i="4"/>
  <c r="AI724" i="4"/>
  <c r="AH724" i="4"/>
  <c r="AG724" i="4"/>
  <c r="AF724" i="4"/>
  <c r="AE724" i="4"/>
  <c r="AD724" i="4"/>
  <c r="AC724" i="4"/>
  <c r="AB724" i="4"/>
  <c r="AA724" i="4"/>
  <c r="Z724" i="4"/>
  <c r="H724" i="4"/>
  <c r="G724" i="4"/>
  <c r="AO723" i="4"/>
  <c r="AN723" i="4"/>
  <c r="AM723" i="4"/>
  <c r="AL723" i="4"/>
  <c r="AK723" i="4"/>
  <c r="AJ723" i="4"/>
  <c r="AI723" i="4"/>
  <c r="AH723" i="4"/>
  <c r="AG723" i="4"/>
  <c r="AF723" i="4"/>
  <c r="AE723" i="4"/>
  <c r="AD723" i="4"/>
  <c r="AC723" i="4"/>
  <c r="AB723" i="4"/>
  <c r="AA723" i="4"/>
  <c r="Z723" i="4"/>
  <c r="H723" i="4"/>
  <c r="G723" i="4"/>
  <c r="AO722" i="4"/>
  <c r="AN722" i="4"/>
  <c r="AM722" i="4"/>
  <c r="AL722" i="4"/>
  <c r="AK722" i="4"/>
  <c r="AJ722" i="4"/>
  <c r="AI722" i="4"/>
  <c r="AH722" i="4"/>
  <c r="AG722" i="4"/>
  <c r="AF722" i="4"/>
  <c r="AE722" i="4"/>
  <c r="AD722" i="4"/>
  <c r="AC722" i="4"/>
  <c r="AB722" i="4"/>
  <c r="AA722" i="4"/>
  <c r="Z722" i="4"/>
  <c r="H722" i="4"/>
  <c r="G722" i="4"/>
  <c r="AO721" i="4"/>
  <c r="AN721" i="4"/>
  <c r="AM721" i="4"/>
  <c r="AL721" i="4"/>
  <c r="AK721" i="4"/>
  <c r="AJ721" i="4"/>
  <c r="AI721" i="4"/>
  <c r="AH721" i="4"/>
  <c r="AG721" i="4"/>
  <c r="AF721" i="4"/>
  <c r="AE721" i="4"/>
  <c r="AD721" i="4"/>
  <c r="AC721" i="4"/>
  <c r="AB721" i="4"/>
  <c r="AA721" i="4"/>
  <c r="Z721" i="4"/>
  <c r="H721" i="4"/>
  <c r="G721" i="4"/>
  <c r="AO720" i="4"/>
  <c r="AN720" i="4"/>
  <c r="AM720" i="4"/>
  <c r="AL720" i="4"/>
  <c r="AK720" i="4"/>
  <c r="AJ720" i="4"/>
  <c r="AI720" i="4"/>
  <c r="AH720" i="4"/>
  <c r="AG720" i="4"/>
  <c r="AF720" i="4"/>
  <c r="AE720" i="4"/>
  <c r="AD720" i="4"/>
  <c r="AC720" i="4"/>
  <c r="AB720" i="4"/>
  <c r="AA720" i="4"/>
  <c r="Z720" i="4"/>
  <c r="H720" i="4"/>
  <c r="G720" i="4"/>
  <c r="AO719" i="4"/>
  <c r="AN719" i="4"/>
  <c r="AM719" i="4"/>
  <c r="AL719" i="4"/>
  <c r="AK719" i="4"/>
  <c r="AJ719" i="4"/>
  <c r="AI719" i="4"/>
  <c r="AH719" i="4"/>
  <c r="AG719" i="4"/>
  <c r="AF719" i="4"/>
  <c r="AE719" i="4"/>
  <c r="AD719" i="4"/>
  <c r="AC719" i="4"/>
  <c r="AB719" i="4"/>
  <c r="AA719" i="4"/>
  <c r="Z719" i="4"/>
  <c r="H719" i="4"/>
  <c r="G719" i="4"/>
  <c r="AO718" i="4"/>
  <c r="AN718" i="4"/>
  <c r="AM718" i="4"/>
  <c r="AL718" i="4"/>
  <c r="AK718" i="4"/>
  <c r="AJ718" i="4"/>
  <c r="AI718" i="4"/>
  <c r="AH718" i="4"/>
  <c r="AG718" i="4"/>
  <c r="AF718" i="4"/>
  <c r="AE718" i="4"/>
  <c r="AD718" i="4"/>
  <c r="AC718" i="4"/>
  <c r="AB718" i="4"/>
  <c r="AA718" i="4"/>
  <c r="Z718" i="4"/>
  <c r="H718" i="4"/>
  <c r="G718" i="4"/>
  <c r="AO717" i="4"/>
  <c r="AN717" i="4"/>
  <c r="AM717" i="4"/>
  <c r="AL717" i="4"/>
  <c r="AK717" i="4"/>
  <c r="AJ717" i="4"/>
  <c r="AI717" i="4"/>
  <c r="AH717" i="4"/>
  <c r="AG717" i="4"/>
  <c r="AF717" i="4"/>
  <c r="AE717" i="4"/>
  <c r="AD717" i="4"/>
  <c r="AC717" i="4"/>
  <c r="AB717" i="4"/>
  <c r="AA717" i="4"/>
  <c r="Z717" i="4"/>
  <c r="H717" i="4"/>
  <c r="G717" i="4"/>
  <c r="AO716" i="4"/>
  <c r="AN716" i="4"/>
  <c r="AM716" i="4"/>
  <c r="AL716" i="4"/>
  <c r="AK716" i="4"/>
  <c r="AJ716" i="4"/>
  <c r="AI716" i="4"/>
  <c r="AH716" i="4"/>
  <c r="AG716" i="4"/>
  <c r="AF716" i="4"/>
  <c r="AE716" i="4"/>
  <c r="AD716" i="4"/>
  <c r="AC716" i="4"/>
  <c r="AB716" i="4"/>
  <c r="AA716" i="4"/>
  <c r="Z716" i="4"/>
  <c r="H716" i="4"/>
  <c r="G716" i="4"/>
  <c r="AO715" i="4"/>
  <c r="AN715" i="4"/>
  <c r="AM715" i="4"/>
  <c r="AL715" i="4"/>
  <c r="AK715" i="4"/>
  <c r="AJ715" i="4"/>
  <c r="AI715" i="4"/>
  <c r="AH715" i="4"/>
  <c r="AG715" i="4"/>
  <c r="AF715" i="4"/>
  <c r="AE715" i="4"/>
  <c r="AD715" i="4"/>
  <c r="AC715" i="4"/>
  <c r="AB715" i="4"/>
  <c r="AA715" i="4"/>
  <c r="Z715" i="4"/>
  <c r="H715" i="4"/>
  <c r="G715" i="4"/>
  <c r="AO714" i="4"/>
  <c r="AN714" i="4"/>
  <c r="AM714" i="4"/>
  <c r="AL714" i="4"/>
  <c r="AK714" i="4"/>
  <c r="AJ714" i="4"/>
  <c r="AI714" i="4"/>
  <c r="AH714" i="4"/>
  <c r="AG714" i="4"/>
  <c r="AF714" i="4"/>
  <c r="AE714" i="4"/>
  <c r="AD714" i="4"/>
  <c r="AC714" i="4"/>
  <c r="AB714" i="4"/>
  <c r="AA714" i="4"/>
  <c r="Z714" i="4"/>
  <c r="H714" i="4"/>
  <c r="G714" i="4"/>
  <c r="AO713" i="4"/>
  <c r="AN713" i="4"/>
  <c r="AM713" i="4"/>
  <c r="AL713" i="4"/>
  <c r="AK713" i="4"/>
  <c r="AJ713" i="4"/>
  <c r="AI713" i="4"/>
  <c r="AH713" i="4"/>
  <c r="AG713" i="4"/>
  <c r="AF713" i="4"/>
  <c r="AE713" i="4"/>
  <c r="AD713" i="4"/>
  <c r="AC713" i="4"/>
  <c r="AB713" i="4"/>
  <c r="AA713" i="4"/>
  <c r="Z713" i="4"/>
  <c r="H713" i="4"/>
  <c r="G713" i="4"/>
  <c r="AO712" i="4"/>
  <c r="AN712" i="4"/>
  <c r="AM712" i="4"/>
  <c r="AL712" i="4"/>
  <c r="AK712" i="4"/>
  <c r="AJ712" i="4"/>
  <c r="AI712" i="4"/>
  <c r="AH712" i="4"/>
  <c r="AG712" i="4"/>
  <c r="AF712" i="4"/>
  <c r="AE712" i="4"/>
  <c r="AD712" i="4"/>
  <c r="AC712" i="4"/>
  <c r="AB712" i="4"/>
  <c r="AA712" i="4"/>
  <c r="Z712" i="4"/>
  <c r="H712" i="4"/>
  <c r="G712" i="4"/>
  <c r="AO711" i="4"/>
  <c r="AN711" i="4"/>
  <c r="AM711" i="4"/>
  <c r="AL711" i="4"/>
  <c r="AK711" i="4"/>
  <c r="AJ711" i="4"/>
  <c r="AI711" i="4"/>
  <c r="AH711" i="4"/>
  <c r="AG711" i="4"/>
  <c r="AF711" i="4"/>
  <c r="AE711" i="4"/>
  <c r="AD711" i="4"/>
  <c r="AC711" i="4"/>
  <c r="AB711" i="4"/>
  <c r="AA711" i="4"/>
  <c r="Z711" i="4"/>
  <c r="H711" i="4"/>
  <c r="G711" i="4"/>
  <c r="AO710" i="4"/>
  <c r="AN710" i="4"/>
  <c r="AM710" i="4"/>
  <c r="AL710" i="4"/>
  <c r="AK710" i="4"/>
  <c r="AJ710" i="4"/>
  <c r="AI710" i="4"/>
  <c r="AH710" i="4"/>
  <c r="AG710" i="4"/>
  <c r="AF710" i="4"/>
  <c r="AE710" i="4"/>
  <c r="AD710" i="4"/>
  <c r="AC710" i="4"/>
  <c r="AB710" i="4"/>
  <c r="AA710" i="4"/>
  <c r="Z710" i="4"/>
  <c r="H710" i="4"/>
  <c r="G710" i="4"/>
  <c r="AO709" i="4"/>
  <c r="AN709" i="4"/>
  <c r="AM709" i="4"/>
  <c r="AL709" i="4"/>
  <c r="AK709" i="4"/>
  <c r="AJ709" i="4"/>
  <c r="AI709" i="4"/>
  <c r="AH709" i="4"/>
  <c r="AG709" i="4"/>
  <c r="AF709" i="4"/>
  <c r="AE709" i="4"/>
  <c r="AD709" i="4"/>
  <c r="AC709" i="4"/>
  <c r="AB709" i="4"/>
  <c r="AA709" i="4"/>
  <c r="Z709" i="4"/>
  <c r="H709" i="4"/>
  <c r="G709" i="4"/>
  <c r="AO708" i="4"/>
  <c r="AN708" i="4"/>
  <c r="AM708" i="4"/>
  <c r="AL708" i="4"/>
  <c r="AK708" i="4"/>
  <c r="AJ708" i="4"/>
  <c r="AI708" i="4"/>
  <c r="AH708" i="4"/>
  <c r="AG708" i="4"/>
  <c r="AF708" i="4"/>
  <c r="AE708" i="4"/>
  <c r="AD708" i="4"/>
  <c r="AC708" i="4"/>
  <c r="AB708" i="4"/>
  <c r="AA708" i="4"/>
  <c r="Z708" i="4"/>
  <c r="H708" i="4"/>
  <c r="G708" i="4"/>
  <c r="AO707" i="4"/>
  <c r="AN707" i="4"/>
  <c r="AM707" i="4"/>
  <c r="AL707" i="4"/>
  <c r="AK707" i="4"/>
  <c r="AJ707" i="4"/>
  <c r="AI707" i="4"/>
  <c r="AH707" i="4"/>
  <c r="AG707" i="4"/>
  <c r="AF707" i="4"/>
  <c r="AE707" i="4"/>
  <c r="AD707" i="4"/>
  <c r="AC707" i="4"/>
  <c r="AB707" i="4"/>
  <c r="AA707" i="4"/>
  <c r="Z707" i="4"/>
  <c r="H707" i="4"/>
  <c r="G707" i="4"/>
  <c r="AO706" i="4"/>
  <c r="AN706" i="4"/>
  <c r="AM706" i="4"/>
  <c r="AL706" i="4"/>
  <c r="AK706" i="4"/>
  <c r="AJ706" i="4"/>
  <c r="AI706" i="4"/>
  <c r="AH706" i="4"/>
  <c r="AG706" i="4"/>
  <c r="AF706" i="4"/>
  <c r="AE706" i="4"/>
  <c r="AD706" i="4"/>
  <c r="AC706" i="4"/>
  <c r="AB706" i="4"/>
  <c r="AA706" i="4"/>
  <c r="Z706" i="4"/>
  <c r="H706" i="4"/>
  <c r="G706" i="4"/>
  <c r="AO705" i="4"/>
  <c r="AN705" i="4"/>
  <c r="AM705" i="4"/>
  <c r="AL705" i="4"/>
  <c r="AK705" i="4"/>
  <c r="AJ705" i="4"/>
  <c r="AI705" i="4"/>
  <c r="AH705" i="4"/>
  <c r="AG705" i="4"/>
  <c r="AF705" i="4"/>
  <c r="AE705" i="4"/>
  <c r="AD705" i="4"/>
  <c r="AC705" i="4"/>
  <c r="AB705" i="4"/>
  <c r="AA705" i="4"/>
  <c r="Z705" i="4"/>
  <c r="H705" i="4"/>
  <c r="G705" i="4"/>
  <c r="AO704" i="4"/>
  <c r="AN704" i="4"/>
  <c r="AM704" i="4"/>
  <c r="AL704" i="4"/>
  <c r="AK704" i="4"/>
  <c r="AJ704" i="4"/>
  <c r="AI704" i="4"/>
  <c r="AH704" i="4"/>
  <c r="AG704" i="4"/>
  <c r="AF704" i="4"/>
  <c r="AE704" i="4"/>
  <c r="AD704" i="4"/>
  <c r="AC704" i="4"/>
  <c r="AB704" i="4"/>
  <c r="AA704" i="4"/>
  <c r="Z704" i="4"/>
  <c r="H704" i="4"/>
  <c r="G704" i="4"/>
  <c r="AO703" i="4"/>
  <c r="AN703" i="4"/>
  <c r="AM703" i="4"/>
  <c r="AL703" i="4"/>
  <c r="AK703" i="4"/>
  <c r="AJ703" i="4"/>
  <c r="AI703" i="4"/>
  <c r="AH703" i="4"/>
  <c r="AG703" i="4"/>
  <c r="AF703" i="4"/>
  <c r="AE703" i="4"/>
  <c r="AD703" i="4"/>
  <c r="AC703" i="4"/>
  <c r="AB703" i="4"/>
  <c r="AA703" i="4"/>
  <c r="Z703" i="4"/>
  <c r="H703" i="4"/>
  <c r="G703" i="4"/>
  <c r="AO702" i="4"/>
  <c r="AN702" i="4"/>
  <c r="AM702" i="4"/>
  <c r="AL702" i="4"/>
  <c r="AK702" i="4"/>
  <c r="AJ702" i="4"/>
  <c r="AI702" i="4"/>
  <c r="AH702" i="4"/>
  <c r="AG702" i="4"/>
  <c r="AF702" i="4"/>
  <c r="AE702" i="4"/>
  <c r="AD702" i="4"/>
  <c r="AC702" i="4"/>
  <c r="AB702" i="4"/>
  <c r="AA702" i="4"/>
  <c r="Z702" i="4"/>
  <c r="H702" i="4"/>
  <c r="G702" i="4"/>
  <c r="AO701" i="4"/>
  <c r="AN701" i="4"/>
  <c r="AM701" i="4"/>
  <c r="AL701" i="4"/>
  <c r="AK701" i="4"/>
  <c r="AJ701" i="4"/>
  <c r="AI701" i="4"/>
  <c r="AH701" i="4"/>
  <c r="AG701" i="4"/>
  <c r="AF701" i="4"/>
  <c r="AE701" i="4"/>
  <c r="AD701" i="4"/>
  <c r="AC701" i="4"/>
  <c r="AB701" i="4"/>
  <c r="AA701" i="4"/>
  <c r="Z701" i="4"/>
  <c r="H701" i="4"/>
  <c r="G701" i="4"/>
  <c r="AO700" i="4"/>
  <c r="AN700" i="4"/>
  <c r="AM700" i="4"/>
  <c r="AL700" i="4"/>
  <c r="AK700" i="4"/>
  <c r="AJ700" i="4"/>
  <c r="AI700" i="4"/>
  <c r="AH700" i="4"/>
  <c r="AG700" i="4"/>
  <c r="AF700" i="4"/>
  <c r="AE700" i="4"/>
  <c r="AD700" i="4"/>
  <c r="AC700" i="4"/>
  <c r="AB700" i="4"/>
  <c r="AA700" i="4"/>
  <c r="Z700" i="4"/>
  <c r="H700" i="4"/>
  <c r="G700" i="4"/>
  <c r="AO699" i="4"/>
  <c r="AN699" i="4"/>
  <c r="AM699" i="4"/>
  <c r="AL699" i="4"/>
  <c r="AK699" i="4"/>
  <c r="AJ699" i="4"/>
  <c r="AI699" i="4"/>
  <c r="AH699" i="4"/>
  <c r="AG699" i="4"/>
  <c r="AF699" i="4"/>
  <c r="AE699" i="4"/>
  <c r="AD699" i="4"/>
  <c r="AC699" i="4"/>
  <c r="AB699" i="4"/>
  <c r="AA699" i="4"/>
  <c r="Z699" i="4"/>
  <c r="H699" i="4"/>
  <c r="G699" i="4"/>
  <c r="AO698" i="4"/>
  <c r="AN698" i="4"/>
  <c r="AM698" i="4"/>
  <c r="AL698" i="4"/>
  <c r="AK698" i="4"/>
  <c r="AJ698" i="4"/>
  <c r="AI698" i="4"/>
  <c r="AH698" i="4"/>
  <c r="AG698" i="4"/>
  <c r="AF698" i="4"/>
  <c r="AE698" i="4"/>
  <c r="AD698" i="4"/>
  <c r="AC698" i="4"/>
  <c r="AB698" i="4"/>
  <c r="AA698" i="4"/>
  <c r="Z698" i="4"/>
  <c r="H698" i="4"/>
  <c r="G698" i="4"/>
  <c r="AO697" i="4"/>
  <c r="AN697" i="4"/>
  <c r="AM697" i="4"/>
  <c r="AL697" i="4"/>
  <c r="AK697" i="4"/>
  <c r="AJ697" i="4"/>
  <c r="AI697" i="4"/>
  <c r="AH697" i="4"/>
  <c r="AG697" i="4"/>
  <c r="AF697" i="4"/>
  <c r="AE697" i="4"/>
  <c r="AD697" i="4"/>
  <c r="AC697" i="4"/>
  <c r="AB697" i="4"/>
  <c r="AA697" i="4"/>
  <c r="Z697" i="4"/>
  <c r="H697" i="4"/>
  <c r="G697" i="4"/>
  <c r="AO696" i="4"/>
  <c r="AN696" i="4"/>
  <c r="AM696" i="4"/>
  <c r="AL696" i="4"/>
  <c r="AK696" i="4"/>
  <c r="AJ696" i="4"/>
  <c r="AI696" i="4"/>
  <c r="AH696" i="4"/>
  <c r="AG696" i="4"/>
  <c r="AF696" i="4"/>
  <c r="AE696" i="4"/>
  <c r="AD696" i="4"/>
  <c r="AC696" i="4"/>
  <c r="AB696" i="4"/>
  <c r="AA696" i="4"/>
  <c r="Z696" i="4"/>
  <c r="H696" i="4"/>
  <c r="G696" i="4"/>
  <c r="AO695" i="4"/>
  <c r="AN695" i="4"/>
  <c r="AM695" i="4"/>
  <c r="AL695" i="4"/>
  <c r="AK695" i="4"/>
  <c r="AJ695" i="4"/>
  <c r="AI695" i="4"/>
  <c r="AH695" i="4"/>
  <c r="AG695" i="4"/>
  <c r="AF695" i="4"/>
  <c r="AE695" i="4"/>
  <c r="AD695" i="4"/>
  <c r="AC695" i="4"/>
  <c r="AB695" i="4"/>
  <c r="AA695" i="4"/>
  <c r="Z695" i="4"/>
  <c r="H695" i="4"/>
  <c r="G695" i="4"/>
  <c r="AO694" i="4"/>
  <c r="AN694" i="4"/>
  <c r="AM694" i="4"/>
  <c r="AL694" i="4"/>
  <c r="AK694" i="4"/>
  <c r="AJ694" i="4"/>
  <c r="AI694" i="4"/>
  <c r="AH694" i="4"/>
  <c r="AG694" i="4"/>
  <c r="AF694" i="4"/>
  <c r="AE694" i="4"/>
  <c r="AD694" i="4"/>
  <c r="AC694" i="4"/>
  <c r="AB694" i="4"/>
  <c r="AA694" i="4"/>
  <c r="Z694" i="4"/>
  <c r="H694" i="4"/>
  <c r="G694" i="4"/>
  <c r="AO693" i="4"/>
  <c r="AN693" i="4"/>
  <c r="AM693" i="4"/>
  <c r="AL693" i="4"/>
  <c r="AK693" i="4"/>
  <c r="AJ693" i="4"/>
  <c r="AI693" i="4"/>
  <c r="AH693" i="4"/>
  <c r="AG693" i="4"/>
  <c r="AF693" i="4"/>
  <c r="AE693" i="4"/>
  <c r="AD693" i="4"/>
  <c r="AC693" i="4"/>
  <c r="AB693" i="4"/>
  <c r="AA693" i="4"/>
  <c r="Z693" i="4"/>
  <c r="H693" i="4"/>
  <c r="G693" i="4"/>
  <c r="AO692" i="4"/>
  <c r="AN692" i="4"/>
  <c r="AM692" i="4"/>
  <c r="AL692" i="4"/>
  <c r="AK692" i="4"/>
  <c r="AJ692" i="4"/>
  <c r="AI692" i="4"/>
  <c r="AH692" i="4"/>
  <c r="AG692" i="4"/>
  <c r="AF692" i="4"/>
  <c r="AE692" i="4"/>
  <c r="AD692" i="4"/>
  <c r="AC692" i="4"/>
  <c r="AB692" i="4"/>
  <c r="AA692" i="4"/>
  <c r="Z692" i="4"/>
  <c r="H692" i="4"/>
  <c r="G692" i="4"/>
  <c r="AO691" i="4"/>
  <c r="AN691" i="4"/>
  <c r="AM691" i="4"/>
  <c r="AL691" i="4"/>
  <c r="AK691" i="4"/>
  <c r="AJ691" i="4"/>
  <c r="AI691" i="4"/>
  <c r="AH691" i="4"/>
  <c r="AG691" i="4"/>
  <c r="AF691" i="4"/>
  <c r="AE691" i="4"/>
  <c r="AD691" i="4"/>
  <c r="AC691" i="4"/>
  <c r="AB691" i="4"/>
  <c r="AA691" i="4"/>
  <c r="Z691" i="4"/>
  <c r="H691" i="4"/>
  <c r="G691" i="4"/>
  <c r="AO690" i="4"/>
  <c r="AN690" i="4"/>
  <c r="AM690" i="4"/>
  <c r="AL690" i="4"/>
  <c r="AK690" i="4"/>
  <c r="AJ690" i="4"/>
  <c r="AI690" i="4"/>
  <c r="AH690" i="4"/>
  <c r="AG690" i="4"/>
  <c r="AF690" i="4"/>
  <c r="AE690" i="4"/>
  <c r="AD690" i="4"/>
  <c r="AC690" i="4"/>
  <c r="AB690" i="4"/>
  <c r="AA690" i="4"/>
  <c r="Z690" i="4"/>
  <c r="H690" i="4"/>
  <c r="G690" i="4"/>
  <c r="AO689" i="4"/>
  <c r="AN689" i="4"/>
  <c r="AM689" i="4"/>
  <c r="AL689" i="4"/>
  <c r="AK689" i="4"/>
  <c r="AJ689" i="4"/>
  <c r="AI689" i="4"/>
  <c r="AH689" i="4"/>
  <c r="AG689" i="4"/>
  <c r="AF689" i="4"/>
  <c r="AE689" i="4"/>
  <c r="AD689" i="4"/>
  <c r="AC689" i="4"/>
  <c r="AB689" i="4"/>
  <c r="AA689" i="4"/>
  <c r="Z689" i="4"/>
  <c r="H689" i="4"/>
  <c r="G689" i="4"/>
  <c r="AO688" i="4"/>
  <c r="AN688" i="4"/>
  <c r="AM688" i="4"/>
  <c r="AL688" i="4"/>
  <c r="AK688" i="4"/>
  <c r="AJ688" i="4"/>
  <c r="AI688" i="4"/>
  <c r="AH688" i="4"/>
  <c r="AG688" i="4"/>
  <c r="AF688" i="4"/>
  <c r="AE688" i="4"/>
  <c r="AD688" i="4"/>
  <c r="AC688" i="4"/>
  <c r="AB688" i="4"/>
  <c r="AA688" i="4"/>
  <c r="Z688" i="4"/>
  <c r="H688" i="4"/>
  <c r="G688" i="4"/>
  <c r="AO687" i="4"/>
  <c r="AN687" i="4"/>
  <c r="AM687" i="4"/>
  <c r="AL687" i="4"/>
  <c r="AK687" i="4"/>
  <c r="AJ687" i="4"/>
  <c r="AI687" i="4"/>
  <c r="AH687" i="4"/>
  <c r="AG687" i="4"/>
  <c r="AF687" i="4"/>
  <c r="AE687" i="4"/>
  <c r="AD687" i="4"/>
  <c r="AC687" i="4"/>
  <c r="AB687" i="4"/>
  <c r="AA687" i="4"/>
  <c r="Z687" i="4"/>
  <c r="H687" i="4"/>
  <c r="G687" i="4"/>
  <c r="AO686" i="4"/>
  <c r="AN686" i="4"/>
  <c r="AM686" i="4"/>
  <c r="AL686" i="4"/>
  <c r="AK686" i="4"/>
  <c r="AJ686" i="4"/>
  <c r="AI686" i="4"/>
  <c r="AH686" i="4"/>
  <c r="AG686" i="4"/>
  <c r="AF686" i="4"/>
  <c r="AE686" i="4"/>
  <c r="AD686" i="4"/>
  <c r="AC686" i="4"/>
  <c r="AB686" i="4"/>
  <c r="AA686" i="4"/>
  <c r="Z686" i="4"/>
  <c r="H686" i="4"/>
  <c r="G686" i="4"/>
  <c r="AO685" i="4"/>
  <c r="AN685" i="4"/>
  <c r="AM685" i="4"/>
  <c r="AL685" i="4"/>
  <c r="AK685" i="4"/>
  <c r="AJ685" i="4"/>
  <c r="AI685" i="4"/>
  <c r="AH685" i="4"/>
  <c r="AG685" i="4"/>
  <c r="AF685" i="4"/>
  <c r="AE685" i="4"/>
  <c r="AD685" i="4"/>
  <c r="AC685" i="4"/>
  <c r="AB685" i="4"/>
  <c r="AA685" i="4"/>
  <c r="Z685" i="4"/>
  <c r="H685" i="4"/>
  <c r="G685" i="4"/>
  <c r="AO684" i="4"/>
  <c r="AN684" i="4"/>
  <c r="AM684" i="4"/>
  <c r="AL684" i="4"/>
  <c r="AK684" i="4"/>
  <c r="AJ684" i="4"/>
  <c r="AI684" i="4"/>
  <c r="AH684" i="4"/>
  <c r="AG684" i="4"/>
  <c r="AF684" i="4"/>
  <c r="AE684" i="4"/>
  <c r="AD684" i="4"/>
  <c r="AC684" i="4"/>
  <c r="AB684" i="4"/>
  <c r="AA684" i="4"/>
  <c r="Z684" i="4"/>
  <c r="H684" i="4"/>
  <c r="G684" i="4"/>
  <c r="AO683" i="4"/>
  <c r="AN683" i="4"/>
  <c r="AM683" i="4"/>
  <c r="AL683" i="4"/>
  <c r="AK683" i="4"/>
  <c r="AJ683" i="4"/>
  <c r="AI683" i="4"/>
  <c r="AH683" i="4"/>
  <c r="AG683" i="4"/>
  <c r="AF683" i="4"/>
  <c r="AE683" i="4"/>
  <c r="AD683" i="4"/>
  <c r="AC683" i="4"/>
  <c r="AB683" i="4"/>
  <c r="AA683" i="4"/>
  <c r="Z683" i="4"/>
  <c r="H683" i="4"/>
  <c r="G683" i="4"/>
  <c r="AO682" i="4"/>
  <c r="AN682" i="4"/>
  <c r="AM682" i="4"/>
  <c r="AL682" i="4"/>
  <c r="AK682" i="4"/>
  <c r="AJ682" i="4"/>
  <c r="AI682" i="4"/>
  <c r="AH682" i="4"/>
  <c r="AG682" i="4"/>
  <c r="AF682" i="4"/>
  <c r="AE682" i="4"/>
  <c r="AD682" i="4"/>
  <c r="AC682" i="4"/>
  <c r="AB682" i="4"/>
  <c r="AA682" i="4"/>
  <c r="Z682" i="4"/>
  <c r="H682" i="4"/>
  <c r="G682" i="4"/>
  <c r="AO681" i="4"/>
  <c r="AN681" i="4"/>
  <c r="AM681" i="4"/>
  <c r="AL681" i="4"/>
  <c r="AK681" i="4"/>
  <c r="AJ681" i="4"/>
  <c r="AI681" i="4"/>
  <c r="AH681" i="4"/>
  <c r="AG681" i="4"/>
  <c r="AF681" i="4"/>
  <c r="AE681" i="4"/>
  <c r="AD681" i="4"/>
  <c r="AC681" i="4"/>
  <c r="AB681" i="4"/>
  <c r="AA681" i="4"/>
  <c r="Z681" i="4"/>
  <c r="H681" i="4"/>
  <c r="G681" i="4"/>
  <c r="AO680" i="4"/>
  <c r="AN680" i="4"/>
  <c r="AM680" i="4"/>
  <c r="AL680" i="4"/>
  <c r="AK680" i="4"/>
  <c r="AJ680" i="4"/>
  <c r="AI680" i="4"/>
  <c r="AH680" i="4"/>
  <c r="AG680" i="4"/>
  <c r="AF680" i="4"/>
  <c r="AE680" i="4"/>
  <c r="AD680" i="4"/>
  <c r="AC680" i="4"/>
  <c r="AB680" i="4"/>
  <c r="AA680" i="4"/>
  <c r="Z680" i="4"/>
  <c r="H680" i="4"/>
  <c r="G680" i="4"/>
  <c r="AO679" i="4"/>
  <c r="AN679" i="4"/>
  <c r="AM679" i="4"/>
  <c r="AL679" i="4"/>
  <c r="AK679" i="4"/>
  <c r="AJ679" i="4"/>
  <c r="AI679" i="4"/>
  <c r="AH679" i="4"/>
  <c r="AG679" i="4"/>
  <c r="AF679" i="4"/>
  <c r="AE679" i="4"/>
  <c r="AD679" i="4"/>
  <c r="AC679" i="4"/>
  <c r="AB679" i="4"/>
  <c r="AA679" i="4"/>
  <c r="Z679" i="4"/>
  <c r="H679" i="4"/>
  <c r="G679" i="4"/>
  <c r="AO678" i="4"/>
  <c r="AN678" i="4"/>
  <c r="AM678" i="4"/>
  <c r="AL678" i="4"/>
  <c r="AK678" i="4"/>
  <c r="AJ678" i="4"/>
  <c r="AI678" i="4"/>
  <c r="AH678" i="4"/>
  <c r="AG678" i="4"/>
  <c r="AF678" i="4"/>
  <c r="AE678" i="4"/>
  <c r="AD678" i="4"/>
  <c r="AC678" i="4"/>
  <c r="AB678" i="4"/>
  <c r="AA678" i="4"/>
  <c r="Z678" i="4"/>
  <c r="H678" i="4"/>
  <c r="G678" i="4"/>
  <c r="AO677" i="4"/>
  <c r="AN677" i="4"/>
  <c r="AM677" i="4"/>
  <c r="AL677" i="4"/>
  <c r="AK677" i="4"/>
  <c r="AJ677" i="4"/>
  <c r="AI677" i="4"/>
  <c r="AH677" i="4"/>
  <c r="AG677" i="4"/>
  <c r="AF677" i="4"/>
  <c r="AE677" i="4"/>
  <c r="AD677" i="4"/>
  <c r="AC677" i="4"/>
  <c r="AB677" i="4"/>
  <c r="AA677" i="4"/>
  <c r="Z677" i="4"/>
  <c r="H677" i="4"/>
  <c r="G677" i="4"/>
  <c r="AO676" i="4"/>
  <c r="AN676" i="4"/>
  <c r="AM676" i="4"/>
  <c r="AL676" i="4"/>
  <c r="AK676" i="4"/>
  <c r="AJ676" i="4"/>
  <c r="AI676" i="4"/>
  <c r="AH676" i="4"/>
  <c r="AG676" i="4"/>
  <c r="AF676" i="4"/>
  <c r="AE676" i="4"/>
  <c r="AD676" i="4"/>
  <c r="AC676" i="4"/>
  <c r="AB676" i="4"/>
  <c r="AA676" i="4"/>
  <c r="Z676" i="4"/>
  <c r="H676" i="4"/>
  <c r="G676" i="4"/>
  <c r="AO675" i="4"/>
  <c r="AN675" i="4"/>
  <c r="AM675" i="4"/>
  <c r="AL675" i="4"/>
  <c r="AK675" i="4"/>
  <c r="AJ675" i="4"/>
  <c r="AI675" i="4"/>
  <c r="AH675" i="4"/>
  <c r="AG675" i="4"/>
  <c r="AF675" i="4"/>
  <c r="AE675" i="4"/>
  <c r="AD675" i="4"/>
  <c r="AC675" i="4"/>
  <c r="AB675" i="4"/>
  <c r="AA675" i="4"/>
  <c r="Z675" i="4"/>
  <c r="H675" i="4"/>
  <c r="G675" i="4"/>
  <c r="AO674" i="4"/>
  <c r="AN674" i="4"/>
  <c r="AM674" i="4"/>
  <c r="AL674" i="4"/>
  <c r="AK674" i="4"/>
  <c r="AJ674" i="4"/>
  <c r="AI674" i="4"/>
  <c r="AH674" i="4"/>
  <c r="AG674" i="4"/>
  <c r="AF674" i="4"/>
  <c r="AE674" i="4"/>
  <c r="AD674" i="4"/>
  <c r="AC674" i="4"/>
  <c r="AB674" i="4"/>
  <c r="AA674" i="4"/>
  <c r="Z674" i="4"/>
  <c r="H674" i="4"/>
  <c r="G674" i="4"/>
  <c r="AO673" i="4"/>
  <c r="AN673" i="4"/>
  <c r="AM673" i="4"/>
  <c r="AL673" i="4"/>
  <c r="AK673" i="4"/>
  <c r="AJ673" i="4"/>
  <c r="AI673" i="4"/>
  <c r="AH673" i="4"/>
  <c r="AG673" i="4"/>
  <c r="AF673" i="4"/>
  <c r="AE673" i="4"/>
  <c r="AD673" i="4"/>
  <c r="AC673" i="4"/>
  <c r="AB673" i="4"/>
  <c r="AA673" i="4"/>
  <c r="Z673" i="4"/>
  <c r="H673" i="4"/>
  <c r="G673" i="4"/>
  <c r="AO672" i="4"/>
  <c r="AN672" i="4"/>
  <c r="AM672" i="4"/>
  <c r="AL672" i="4"/>
  <c r="AK672" i="4"/>
  <c r="AJ672" i="4"/>
  <c r="AI672" i="4"/>
  <c r="AH672" i="4"/>
  <c r="AG672" i="4"/>
  <c r="AF672" i="4"/>
  <c r="AE672" i="4"/>
  <c r="AD672" i="4"/>
  <c r="AC672" i="4"/>
  <c r="AB672" i="4"/>
  <c r="AA672" i="4"/>
  <c r="Z672" i="4"/>
  <c r="H672" i="4"/>
  <c r="G672" i="4"/>
  <c r="AO671" i="4"/>
  <c r="AN671" i="4"/>
  <c r="AM671" i="4"/>
  <c r="AL671" i="4"/>
  <c r="AK671" i="4"/>
  <c r="AJ671" i="4"/>
  <c r="AI671" i="4"/>
  <c r="AH671" i="4"/>
  <c r="AG671" i="4"/>
  <c r="AF671" i="4"/>
  <c r="AE671" i="4"/>
  <c r="AD671" i="4"/>
  <c r="AC671" i="4"/>
  <c r="AB671" i="4"/>
  <c r="AA671" i="4"/>
  <c r="Z671" i="4"/>
  <c r="H671" i="4"/>
  <c r="G671" i="4"/>
  <c r="AO670" i="4"/>
  <c r="AN670" i="4"/>
  <c r="AM670" i="4"/>
  <c r="AL670" i="4"/>
  <c r="AK670" i="4"/>
  <c r="AJ670" i="4"/>
  <c r="AI670" i="4"/>
  <c r="AH670" i="4"/>
  <c r="AG670" i="4"/>
  <c r="AF670" i="4"/>
  <c r="AE670" i="4"/>
  <c r="AD670" i="4"/>
  <c r="AC670" i="4"/>
  <c r="AB670" i="4"/>
  <c r="AA670" i="4"/>
  <c r="Z670" i="4"/>
  <c r="H670" i="4"/>
  <c r="G670" i="4"/>
  <c r="AO669" i="4"/>
  <c r="AN669" i="4"/>
  <c r="AM669" i="4"/>
  <c r="AL669" i="4"/>
  <c r="AK669" i="4"/>
  <c r="AJ669" i="4"/>
  <c r="AI669" i="4"/>
  <c r="AH669" i="4"/>
  <c r="AG669" i="4"/>
  <c r="AF669" i="4"/>
  <c r="AE669" i="4"/>
  <c r="AD669" i="4"/>
  <c r="AC669" i="4"/>
  <c r="AB669" i="4"/>
  <c r="AA669" i="4"/>
  <c r="Z669" i="4"/>
  <c r="H669" i="4"/>
  <c r="G669" i="4"/>
  <c r="AO668" i="4"/>
  <c r="AN668" i="4"/>
  <c r="AM668" i="4"/>
  <c r="AL668" i="4"/>
  <c r="AK668" i="4"/>
  <c r="AJ668" i="4"/>
  <c r="AI668" i="4"/>
  <c r="AH668" i="4"/>
  <c r="AG668" i="4"/>
  <c r="AF668" i="4"/>
  <c r="AE668" i="4"/>
  <c r="AD668" i="4"/>
  <c r="AC668" i="4"/>
  <c r="AB668" i="4"/>
  <c r="AA668" i="4"/>
  <c r="Z668" i="4"/>
  <c r="H668" i="4"/>
  <c r="G668" i="4"/>
  <c r="AO667" i="4"/>
  <c r="AN667" i="4"/>
  <c r="AM667" i="4"/>
  <c r="AL667" i="4"/>
  <c r="AK667" i="4"/>
  <c r="AJ667" i="4"/>
  <c r="AI667" i="4"/>
  <c r="AH667" i="4"/>
  <c r="AG667" i="4"/>
  <c r="AF667" i="4"/>
  <c r="AE667" i="4"/>
  <c r="AD667" i="4"/>
  <c r="AC667" i="4"/>
  <c r="AB667" i="4"/>
  <c r="AA667" i="4"/>
  <c r="Z667" i="4"/>
  <c r="H667" i="4"/>
  <c r="G667" i="4"/>
  <c r="AO666" i="4"/>
  <c r="AN666" i="4"/>
  <c r="AM666" i="4"/>
  <c r="AL666" i="4"/>
  <c r="AK666" i="4"/>
  <c r="AJ666" i="4"/>
  <c r="AI666" i="4"/>
  <c r="AH666" i="4"/>
  <c r="AG666" i="4"/>
  <c r="AF666" i="4"/>
  <c r="AE666" i="4"/>
  <c r="AD666" i="4"/>
  <c r="AC666" i="4"/>
  <c r="AB666" i="4"/>
  <c r="AA666" i="4"/>
  <c r="Z666" i="4"/>
  <c r="H666" i="4"/>
  <c r="G666" i="4"/>
  <c r="AO665" i="4"/>
  <c r="AN665" i="4"/>
  <c r="AM665" i="4"/>
  <c r="AL665" i="4"/>
  <c r="AK665" i="4"/>
  <c r="AJ665" i="4"/>
  <c r="AI665" i="4"/>
  <c r="AH665" i="4"/>
  <c r="AG665" i="4"/>
  <c r="AF665" i="4"/>
  <c r="AE665" i="4"/>
  <c r="AD665" i="4"/>
  <c r="AC665" i="4"/>
  <c r="AB665" i="4"/>
  <c r="AA665" i="4"/>
  <c r="Z665" i="4"/>
  <c r="H665" i="4"/>
  <c r="G665" i="4"/>
  <c r="AO664" i="4"/>
  <c r="AN664" i="4"/>
  <c r="AM664" i="4"/>
  <c r="AL664" i="4"/>
  <c r="AK664" i="4"/>
  <c r="AJ664" i="4"/>
  <c r="AI664" i="4"/>
  <c r="AH664" i="4"/>
  <c r="AG664" i="4"/>
  <c r="AF664" i="4"/>
  <c r="AE664" i="4"/>
  <c r="AD664" i="4"/>
  <c r="AC664" i="4"/>
  <c r="AB664" i="4"/>
  <c r="AA664" i="4"/>
  <c r="Z664" i="4"/>
  <c r="H664" i="4"/>
  <c r="G664" i="4"/>
  <c r="AO663" i="4"/>
  <c r="AN663" i="4"/>
  <c r="AM663" i="4"/>
  <c r="AL663" i="4"/>
  <c r="AK663" i="4"/>
  <c r="AJ663" i="4"/>
  <c r="AI663" i="4"/>
  <c r="AH663" i="4"/>
  <c r="AG663" i="4"/>
  <c r="AF663" i="4"/>
  <c r="AE663" i="4"/>
  <c r="AD663" i="4"/>
  <c r="AC663" i="4"/>
  <c r="AB663" i="4"/>
  <c r="AA663" i="4"/>
  <c r="Z663" i="4"/>
  <c r="H663" i="4"/>
  <c r="G663" i="4"/>
  <c r="AO662" i="4"/>
  <c r="AN662" i="4"/>
  <c r="AM662" i="4"/>
  <c r="AL662" i="4"/>
  <c r="AK662" i="4"/>
  <c r="AJ662" i="4"/>
  <c r="AI662" i="4"/>
  <c r="AH662" i="4"/>
  <c r="AG662" i="4"/>
  <c r="AF662" i="4"/>
  <c r="AE662" i="4"/>
  <c r="AD662" i="4"/>
  <c r="AC662" i="4"/>
  <c r="AB662" i="4"/>
  <c r="AA662" i="4"/>
  <c r="Z662" i="4"/>
  <c r="H662" i="4"/>
  <c r="G662" i="4"/>
  <c r="AO661" i="4"/>
  <c r="AN661" i="4"/>
  <c r="AM661" i="4"/>
  <c r="AL661" i="4"/>
  <c r="AK661" i="4"/>
  <c r="AJ661" i="4"/>
  <c r="AI661" i="4"/>
  <c r="AH661" i="4"/>
  <c r="AG661" i="4"/>
  <c r="AF661" i="4"/>
  <c r="AE661" i="4"/>
  <c r="AD661" i="4"/>
  <c r="AC661" i="4"/>
  <c r="AB661" i="4"/>
  <c r="AA661" i="4"/>
  <c r="Z661" i="4"/>
  <c r="H661" i="4"/>
  <c r="G661" i="4"/>
  <c r="AO660" i="4"/>
  <c r="AN660" i="4"/>
  <c r="AM660" i="4"/>
  <c r="AL660" i="4"/>
  <c r="AK660" i="4"/>
  <c r="AJ660" i="4"/>
  <c r="AI660" i="4"/>
  <c r="AH660" i="4"/>
  <c r="AG660" i="4"/>
  <c r="AF660" i="4"/>
  <c r="AE660" i="4"/>
  <c r="AD660" i="4"/>
  <c r="AC660" i="4"/>
  <c r="AB660" i="4"/>
  <c r="AA660" i="4"/>
  <c r="Z660" i="4"/>
  <c r="H660" i="4"/>
  <c r="G660" i="4"/>
  <c r="AO659" i="4"/>
  <c r="AN659" i="4"/>
  <c r="AM659" i="4"/>
  <c r="AL659" i="4"/>
  <c r="AK659" i="4"/>
  <c r="AJ659" i="4"/>
  <c r="AI659" i="4"/>
  <c r="AH659" i="4"/>
  <c r="AG659" i="4"/>
  <c r="AF659" i="4"/>
  <c r="AE659" i="4"/>
  <c r="AD659" i="4"/>
  <c r="AC659" i="4"/>
  <c r="AB659" i="4"/>
  <c r="AA659" i="4"/>
  <c r="Z659" i="4"/>
  <c r="H659" i="4"/>
  <c r="G659" i="4"/>
  <c r="AO658" i="4"/>
  <c r="AN658" i="4"/>
  <c r="AM658" i="4"/>
  <c r="AL658" i="4"/>
  <c r="AK658" i="4"/>
  <c r="AJ658" i="4"/>
  <c r="AI658" i="4"/>
  <c r="AH658" i="4"/>
  <c r="AG658" i="4"/>
  <c r="AF658" i="4"/>
  <c r="AE658" i="4"/>
  <c r="AD658" i="4"/>
  <c r="AC658" i="4"/>
  <c r="AB658" i="4"/>
  <c r="AA658" i="4"/>
  <c r="Z658" i="4"/>
  <c r="H658" i="4"/>
  <c r="G658" i="4"/>
  <c r="AO657" i="4"/>
  <c r="AN657" i="4"/>
  <c r="AM657" i="4"/>
  <c r="AL657" i="4"/>
  <c r="AK657" i="4"/>
  <c r="AJ657" i="4"/>
  <c r="AI657" i="4"/>
  <c r="AH657" i="4"/>
  <c r="AG657" i="4"/>
  <c r="AF657" i="4"/>
  <c r="AE657" i="4"/>
  <c r="AD657" i="4"/>
  <c r="AC657" i="4"/>
  <c r="AB657" i="4"/>
  <c r="AA657" i="4"/>
  <c r="Z657" i="4"/>
  <c r="H657" i="4"/>
  <c r="G657" i="4"/>
  <c r="AO656" i="4"/>
  <c r="AN656" i="4"/>
  <c r="AM656" i="4"/>
  <c r="AL656" i="4"/>
  <c r="AK656" i="4"/>
  <c r="AJ656" i="4"/>
  <c r="AI656" i="4"/>
  <c r="AH656" i="4"/>
  <c r="AG656" i="4"/>
  <c r="AF656" i="4"/>
  <c r="AE656" i="4"/>
  <c r="AD656" i="4"/>
  <c r="AC656" i="4"/>
  <c r="AB656" i="4"/>
  <c r="AA656" i="4"/>
  <c r="Z656" i="4"/>
  <c r="H656" i="4"/>
  <c r="G656" i="4"/>
  <c r="AO655" i="4"/>
  <c r="AN655" i="4"/>
  <c r="AM655" i="4"/>
  <c r="AL655" i="4"/>
  <c r="AK655" i="4"/>
  <c r="AJ655" i="4"/>
  <c r="AI655" i="4"/>
  <c r="AH655" i="4"/>
  <c r="AG655" i="4"/>
  <c r="AF655" i="4"/>
  <c r="AE655" i="4"/>
  <c r="AD655" i="4"/>
  <c r="AC655" i="4"/>
  <c r="AB655" i="4"/>
  <c r="AA655" i="4"/>
  <c r="Z655" i="4"/>
  <c r="H655" i="4"/>
  <c r="G655" i="4"/>
  <c r="AO654" i="4"/>
  <c r="AN654" i="4"/>
  <c r="AM654" i="4"/>
  <c r="AL654" i="4"/>
  <c r="AK654" i="4"/>
  <c r="AJ654" i="4"/>
  <c r="AI654" i="4"/>
  <c r="AH654" i="4"/>
  <c r="AG654" i="4"/>
  <c r="AF654" i="4"/>
  <c r="AE654" i="4"/>
  <c r="AD654" i="4"/>
  <c r="AC654" i="4"/>
  <c r="AB654" i="4"/>
  <c r="AA654" i="4"/>
  <c r="Z654" i="4"/>
  <c r="H654" i="4"/>
  <c r="G654" i="4"/>
  <c r="AO653" i="4"/>
  <c r="AN653" i="4"/>
  <c r="AM653" i="4"/>
  <c r="AL653" i="4"/>
  <c r="AK653" i="4"/>
  <c r="AJ653" i="4"/>
  <c r="AI653" i="4"/>
  <c r="AH653" i="4"/>
  <c r="AG653" i="4"/>
  <c r="AF653" i="4"/>
  <c r="AE653" i="4"/>
  <c r="AD653" i="4"/>
  <c r="AC653" i="4"/>
  <c r="AB653" i="4"/>
  <c r="AA653" i="4"/>
  <c r="Z653" i="4"/>
  <c r="H653" i="4"/>
  <c r="G653" i="4"/>
  <c r="AO652" i="4"/>
  <c r="AN652" i="4"/>
  <c r="AM652" i="4"/>
  <c r="AL652" i="4"/>
  <c r="AK652" i="4"/>
  <c r="AJ652" i="4"/>
  <c r="AI652" i="4"/>
  <c r="AH652" i="4"/>
  <c r="AG652" i="4"/>
  <c r="AF652" i="4"/>
  <c r="AE652" i="4"/>
  <c r="AD652" i="4"/>
  <c r="AC652" i="4"/>
  <c r="AB652" i="4"/>
  <c r="AA652" i="4"/>
  <c r="Z652" i="4"/>
  <c r="H652" i="4"/>
  <c r="G652" i="4"/>
  <c r="AO651" i="4"/>
  <c r="AN651" i="4"/>
  <c r="AM651" i="4"/>
  <c r="AL651" i="4"/>
  <c r="AK651" i="4"/>
  <c r="AJ651" i="4"/>
  <c r="AI651" i="4"/>
  <c r="AH651" i="4"/>
  <c r="AG651" i="4"/>
  <c r="AF651" i="4"/>
  <c r="AE651" i="4"/>
  <c r="AD651" i="4"/>
  <c r="AC651" i="4"/>
  <c r="AB651" i="4"/>
  <c r="AA651" i="4"/>
  <c r="Z651" i="4"/>
  <c r="H651" i="4"/>
  <c r="G651" i="4"/>
  <c r="AO650" i="4"/>
  <c r="AN650" i="4"/>
  <c r="AM650" i="4"/>
  <c r="AL650" i="4"/>
  <c r="AK650" i="4"/>
  <c r="AJ650" i="4"/>
  <c r="AI650" i="4"/>
  <c r="AH650" i="4"/>
  <c r="AG650" i="4"/>
  <c r="AF650" i="4"/>
  <c r="AE650" i="4"/>
  <c r="AD650" i="4"/>
  <c r="AC650" i="4"/>
  <c r="AB650" i="4"/>
  <c r="AA650" i="4"/>
  <c r="Z650" i="4"/>
  <c r="H650" i="4"/>
  <c r="G650" i="4"/>
  <c r="AO649" i="4"/>
  <c r="AN649" i="4"/>
  <c r="AM649" i="4"/>
  <c r="AL649" i="4"/>
  <c r="AK649" i="4"/>
  <c r="AJ649" i="4"/>
  <c r="AI649" i="4"/>
  <c r="AH649" i="4"/>
  <c r="AG649" i="4"/>
  <c r="AF649" i="4"/>
  <c r="AE649" i="4"/>
  <c r="AD649" i="4"/>
  <c r="AC649" i="4"/>
  <c r="AB649" i="4"/>
  <c r="AA649" i="4"/>
  <c r="Z649" i="4"/>
  <c r="H649" i="4"/>
  <c r="G649" i="4"/>
  <c r="AO648" i="4"/>
  <c r="AN648" i="4"/>
  <c r="AM648" i="4"/>
  <c r="AL648" i="4"/>
  <c r="AK648" i="4"/>
  <c r="AJ648" i="4"/>
  <c r="AI648" i="4"/>
  <c r="AH648" i="4"/>
  <c r="AG648" i="4"/>
  <c r="AF648" i="4"/>
  <c r="AE648" i="4"/>
  <c r="AD648" i="4"/>
  <c r="AC648" i="4"/>
  <c r="AB648" i="4"/>
  <c r="AA648" i="4"/>
  <c r="Z648" i="4"/>
  <c r="H648" i="4"/>
  <c r="G648" i="4"/>
  <c r="AO647" i="4"/>
  <c r="AN647" i="4"/>
  <c r="AM647" i="4"/>
  <c r="AL647" i="4"/>
  <c r="AK647" i="4"/>
  <c r="AJ647" i="4"/>
  <c r="AI647" i="4"/>
  <c r="AH647" i="4"/>
  <c r="AG647" i="4"/>
  <c r="AF647" i="4"/>
  <c r="AE647" i="4"/>
  <c r="AD647" i="4"/>
  <c r="AC647" i="4"/>
  <c r="AB647" i="4"/>
  <c r="AA647" i="4"/>
  <c r="Z647" i="4"/>
  <c r="H647" i="4"/>
  <c r="G647" i="4"/>
  <c r="AO646" i="4"/>
  <c r="AN646" i="4"/>
  <c r="AM646" i="4"/>
  <c r="AL646" i="4"/>
  <c r="AK646" i="4"/>
  <c r="AJ646" i="4"/>
  <c r="AI646" i="4"/>
  <c r="AH646" i="4"/>
  <c r="AG646" i="4"/>
  <c r="AF646" i="4"/>
  <c r="AE646" i="4"/>
  <c r="AD646" i="4"/>
  <c r="AC646" i="4"/>
  <c r="AB646" i="4"/>
  <c r="AA646" i="4"/>
  <c r="Z646" i="4"/>
  <c r="H646" i="4"/>
  <c r="G646" i="4"/>
  <c r="AO645" i="4"/>
  <c r="AN645" i="4"/>
  <c r="AM645" i="4"/>
  <c r="AL645" i="4"/>
  <c r="AK645" i="4"/>
  <c r="AJ645" i="4"/>
  <c r="AI645" i="4"/>
  <c r="AH645" i="4"/>
  <c r="AG645" i="4"/>
  <c r="AF645" i="4"/>
  <c r="AE645" i="4"/>
  <c r="AD645" i="4"/>
  <c r="AC645" i="4"/>
  <c r="AB645" i="4"/>
  <c r="AA645" i="4"/>
  <c r="Z645" i="4"/>
  <c r="H645" i="4"/>
  <c r="G645" i="4"/>
  <c r="AO644" i="4"/>
  <c r="AN644" i="4"/>
  <c r="AM644" i="4"/>
  <c r="AL644" i="4"/>
  <c r="AK644" i="4"/>
  <c r="AJ644" i="4"/>
  <c r="AI644" i="4"/>
  <c r="AH644" i="4"/>
  <c r="AG644" i="4"/>
  <c r="AF644" i="4"/>
  <c r="AE644" i="4"/>
  <c r="AD644" i="4"/>
  <c r="AC644" i="4"/>
  <c r="AB644" i="4"/>
  <c r="AA644" i="4"/>
  <c r="Z644" i="4"/>
  <c r="H644" i="4"/>
  <c r="G644" i="4"/>
  <c r="AO643" i="4"/>
  <c r="AN643" i="4"/>
  <c r="AM643" i="4"/>
  <c r="AL643" i="4"/>
  <c r="AK643" i="4"/>
  <c r="AJ643" i="4"/>
  <c r="AI643" i="4"/>
  <c r="AH643" i="4"/>
  <c r="AG643" i="4"/>
  <c r="AF643" i="4"/>
  <c r="AE643" i="4"/>
  <c r="AD643" i="4"/>
  <c r="AC643" i="4"/>
  <c r="AB643" i="4"/>
  <c r="AA643" i="4"/>
  <c r="Z643" i="4"/>
  <c r="H643" i="4"/>
  <c r="G643" i="4"/>
  <c r="AO642" i="4"/>
  <c r="AN642" i="4"/>
  <c r="AM642" i="4"/>
  <c r="AL642" i="4"/>
  <c r="AK642" i="4"/>
  <c r="AJ642" i="4"/>
  <c r="AI642" i="4"/>
  <c r="AH642" i="4"/>
  <c r="AG642" i="4"/>
  <c r="AF642" i="4"/>
  <c r="AE642" i="4"/>
  <c r="AD642" i="4"/>
  <c r="AC642" i="4"/>
  <c r="AB642" i="4"/>
  <c r="AA642" i="4"/>
  <c r="Z642" i="4"/>
  <c r="H642" i="4"/>
  <c r="G642" i="4"/>
  <c r="AO641" i="4"/>
  <c r="AN641" i="4"/>
  <c r="AM641" i="4"/>
  <c r="AL641" i="4"/>
  <c r="AK641" i="4"/>
  <c r="AJ641" i="4"/>
  <c r="AI641" i="4"/>
  <c r="AH641" i="4"/>
  <c r="AG641" i="4"/>
  <c r="AF641" i="4"/>
  <c r="AE641" i="4"/>
  <c r="AD641" i="4"/>
  <c r="AC641" i="4"/>
  <c r="AB641" i="4"/>
  <c r="AA641" i="4"/>
  <c r="Z641" i="4"/>
  <c r="H641" i="4"/>
  <c r="G641" i="4"/>
  <c r="AO640" i="4"/>
  <c r="AN640" i="4"/>
  <c r="AM640" i="4"/>
  <c r="AL640" i="4"/>
  <c r="AK640" i="4"/>
  <c r="AJ640" i="4"/>
  <c r="AI640" i="4"/>
  <c r="AH640" i="4"/>
  <c r="AG640" i="4"/>
  <c r="AF640" i="4"/>
  <c r="AE640" i="4"/>
  <c r="AD640" i="4"/>
  <c r="AC640" i="4"/>
  <c r="AB640" i="4"/>
  <c r="AA640" i="4"/>
  <c r="Z640" i="4"/>
  <c r="H640" i="4"/>
  <c r="G640" i="4"/>
  <c r="AO639" i="4"/>
  <c r="AN639" i="4"/>
  <c r="AM639" i="4"/>
  <c r="AL639" i="4"/>
  <c r="AK639" i="4"/>
  <c r="AJ639" i="4"/>
  <c r="AI639" i="4"/>
  <c r="AH639" i="4"/>
  <c r="AG639" i="4"/>
  <c r="AF639" i="4"/>
  <c r="AE639" i="4"/>
  <c r="AD639" i="4"/>
  <c r="AC639" i="4"/>
  <c r="AB639" i="4"/>
  <c r="AA639" i="4"/>
  <c r="Z639" i="4"/>
  <c r="H639" i="4"/>
  <c r="G639" i="4"/>
  <c r="AO638" i="4"/>
  <c r="AN638" i="4"/>
  <c r="AM638" i="4"/>
  <c r="AL638" i="4"/>
  <c r="AK638" i="4"/>
  <c r="AJ638" i="4"/>
  <c r="AI638" i="4"/>
  <c r="AH638" i="4"/>
  <c r="AG638" i="4"/>
  <c r="AF638" i="4"/>
  <c r="AE638" i="4"/>
  <c r="AD638" i="4"/>
  <c r="AC638" i="4"/>
  <c r="AB638" i="4"/>
  <c r="AA638" i="4"/>
  <c r="Z638" i="4"/>
  <c r="H638" i="4"/>
  <c r="G638" i="4"/>
  <c r="AO637" i="4"/>
  <c r="AN637" i="4"/>
  <c r="AM637" i="4"/>
  <c r="AL637" i="4"/>
  <c r="AK637" i="4"/>
  <c r="AJ637" i="4"/>
  <c r="AI637" i="4"/>
  <c r="AH637" i="4"/>
  <c r="AG637" i="4"/>
  <c r="AF637" i="4"/>
  <c r="AE637" i="4"/>
  <c r="AD637" i="4"/>
  <c r="AC637" i="4"/>
  <c r="AB637" i="4"/>
  <c r="AA637" i="4"/>
  <c r="Z637" i="4"/>
  <c r="H637" i="4"/>
  <c r="G637" i="4"/>
  <c r="AO636" i="4"/>
  <c r="AN636" i="4"/>
  <c r="AM636" i="4"/>
  <c r="AL636" i="4"/>
  <c r="AK636" i="4"/>
  <c r="AJ636" i="4"/>
  <c r="AI636" i="4"/>
  <c r="AH636" i="4"/>
  <c r="AG636" i="4"/>
  <c r="AF636" i="4"/>
  <c r="AE636" i="4"/>
  <c r="AD636" i="4"/>
  <c r="AC636" i="4"/>
  <c r="AB636" i="4"/>
  <c r="AA636" i="4"/>
  <c r="Z636" i="4"/>
  <c r="H636" i="4"/>
  <c r="G636" i="4"/>
  <c r="AO635" i="4"/>
  <c r="AN635" i="4"/>
  <c r="AM635" i="4"/>
  <c r="AL635" i="4"/>
  <c r="AK635" i="4"/>
  <c r="AJ635" i="4"/>
  <c r="AI635" i="4"/>
  <c r="AH635" i="4"/>
  <c r="AG635" i="4"/>
  <c r="AF635" i="4"/>
  <c r="AE635" i="4"/>
  <c r="AD635" i="4"/>
  <c r="AC635" i="4"/>
  <c r="AB635" i="4"/>
  <c r="AA635" i="4"/>
  <c r="Z635" i="4"/>
  <c r="H635" i="4"/>
  <c r="G635" i="4"/>
  <c r="AO634" i="4"/>
  <c r="AN634" i="4"/>
  <c r="AM634" i="4"/>
  <c r="AL634" i="4"/>
  <c r="AK634" i="4"/>
  <c r="AJ634" i="4"/>
  <c r="AI634" i="4"/>
  <c r="AH634" i="4"/>
  <c r="AG634" i="4"/>
  <c r="AF634" i="4"/>
  <c r="AE634" i="4"/>
  <c r="AD634" i="4"/>
  <c r="AC634" i="4"/>
  <c r="AB634" i="4"/>
  <c r="AA634" i="4"/>
  <c r="Z634" i="4"/>
  <c r="H634" i="4"/>
  <c r="G634" i="4"/>
  <c r="AO633" i="4"/>
  <c r="AN633" i="4"/>
  <c r="AM633" i="4"/>
  <c r="AL633" i="4"/>
  <c r="AK633" i="4"/>
  <c r="AJ633" i="4"/>
  <c r="AI633" i="4"/>
  <c r="AH633" i="4"/>
  <c r="AG633" i="4"/>
  <c r="AF633" i="4"/>
  <c r="AE633" i="4"/>
  <c r="AD633" i="4"/>
  <c r="AC633" i="4"/>
  <c r="AB633" i="4"/>
  <c r="AA633" i="4"/>
  <c r="Z633" i="4"/>
  <c r="H633" i="4"/>
  <c r="G633" i="4"/>
  <c r="AO632" i="4"/>
  <c r="AN632" i="4"/>
  <c r="AM632" i="4"/>
  <c r="AL632" i="4"/>
  <c r="AK632" i="4"/>
  <c r="AJ632" i="4"/>
  <c r="AI632" i="4"/>
  <c r="AH632" i="4"/>
  <c r="AG632" i="4"/>
  <c r="AF632" i="4"/>
  <c r="AE632" i="4"/>
  <c r="AD632" i="4"/>
  <c r="AC632" i="4"/>
  <c r="AB632" i="4"/>
  <c r="AA632" i="4"/>
  <c r="Z632" i="4"/>
  <c r="H632" i="4"/>
  <c r="G632" i="4"/>
  <c r="AO631" i="4"/>
  <c r="AN631" i="4"/>
  <c r="AM631" i="4"/>
  <c r="AL631" i="4"/>
  <c r="AK631" i="4"/>
  <c r="AJ631" i="4"/>
  <c r="AI631" i="4"/>
  <c r="AH631" i="4"/>
  <c r="AG631" i="4"/>
  <c r="AF631" i="4"/>
  <c r="AE631" i="4"/>
  <c r="AD631" i="4"/>
  <c r="AC631" i="4"/>
  <c r="AB631" i="4"/>
  <c r="AA631" i="4"/>
  <c r="Z631" i="4"/>
  <c r="H631" i="4"/>
  <c r="G631" i="4"/>
  <c r="AO630" i="4"/>
  <c r="AN630" i="4"/>
  <c r="AM630" i="4"/>
  <c r="AL630" i="4"/>
  <c r="AK630" i="4"/>
  <c r="AJ630" i="4"/>
  <c r="AI630" i="4"/>
  <c r="AH630" i="4"/>
  <c r="AG630" i="4"/>
  <c r="AF630" i="4"/>
  <c r="AE630" i="4"/>
  <c r="AD630" i="4"/>
  <c r="AC630" i="4"/>
  <c r="AB630" i="4"/>
  <c r="AA630" i="4"/>
  <c r="Z630" i="4"/>
  <c r="H630" i="4"/>
  <c r="G630" i="4"/>
  <c r="AO629" i="4"/>
  <c r="AN629" i="4"/>
  <c r="AM629" i="4"/>
  <c r="AL629" i="4"/>
  <c r="AK629" i="4"/>
  <c r="AJ629" i="4"/>
  <c r="AI629" i="4"/>
  <c r="AH629" i="4"/>
  <c r="AG629" i="4"/>
  <c r="AF629" i="4"/>
  <c r="AE629" i="4"/>
  <c r="AD629" i="4"/>
  <c r="AC629" i="4"/>
  <c r="AB629" i="4"/>
  <c r="AA629" i="4"/>
  <c r="Z629" i="4"/>
  <c r="H629" i="4"/>
  <c r="G629" i="4"/>
  <c r="AO628" i="4"/>
  <c r="AN628" i="4"/>
  <c r="AM628" i="4"/>
  <c r="AL628" i="4"/>
  <c r="AK628" i="4"/>
  <c r="AJ628" i="4"/>
  <c r="AI628" i="4"/>
  <c r="AH628" i="4"/>
  <c r="AG628" i="4"/>
  <c r="AF628" i="4"/>
  <c r="AE628" i="4"/>
  <c r="AD628" i="4"/>
  <c r="AC628" i="4"/>
  <c r="AB628" i="4"/>
  <c r="AA628" i="4"/>
  <c r="Z628" i="4"/>
  <c r="H628" i="4"/>
  <c r="G628" i="4"/>
  <c r="AO627" i="4"/>
  <c r="AN627" i="4"/>
  <c r="AM627" i="4"/>
  <c r="AL627" i="4"/>
  <c r="AK627" i="4"/>
  <c r="AJ627" i="4"/>
  <c r="AI627" i="4"/>
  <c r="AH627" i="4"/>
  <c r="AG627" i="4"/>
  <c r="AF627" i="4"/>
  <c r="AE627" i="4"/>
  <c r="AD627" i="4"/>
  <c r="AC627" i="4"/>
  <c r="AB627" i="4"/>
  <c r="AA627" i="4"/>
  <c r="Z627" i="4"/>
  <c r="H627" i="4"/>
  <c r="G627" i="4"/>
  <c r="AO626" i="4"/>
  <c r="AN626" i="4"/>
  <c r="AM626" i="4"/>
  <c r="AL626" i="4"/>
  <c r="AK626" i="4"/>
  <c r="AJ626" i="4"/>
  <c r="AI626" i="4"/>
  <c r="AH626" i="4"/>
  <c r="AG626" i="4"/>
  <c r="AF626" i="4"/>
  <c r="AE626" i="4"/>
  <c r="AD626" i="4"/>
  <c r="AC626" i="4"/>
  <c r="AB626" i="4"/>
  <c r="AA626" i="4"/>
  <c r="Z626" i="4"/>
  <c r="H626" i="4"/>
  <c r="G626" i="4"/>
  <c r="AO625" i="4"/>
  <c r="AN625" i="4"/>
  <c r="AM625" i="4"/>
  <c r="AL625" i="4"/>
  <c r="AK625" i="4"/>
  <c r="AJ625" i="4"/>
  <c r="AI625" i="4"/>
  <c r="AH625" i="4"/>
  <c r="AG625" i="4"/>
  <c r="AF625" i="4"/>
  <c r="AE625" i="4"/>
  <c r="AD625" i="4"/>
  <c r="AC625" i="4"/>
  <c r="AB625" i="4"/>
  <c r="AA625" i="4"/>
  <c r="Z625" i="4"/>
  <c r="H625" i="4"/>
  <c r="G625" i="4"/>
  <c r="AO624" i="4"/>
  <c r="AN624" i="4"/>
  <c r="AM624" i="4"/>
  <c r="AL624" i="4"/>
  <c r="AK624" i="4"/>
  <c r="AJ624" i="4"/>
  <c r="AI624" i="4"/>
  <c r="AH624" i="4"/>
  <c r="AG624" i="4"/>
  <c r="AF624" i="4"/>
  <c r="AE624" i="4"/>
  <c r="AD624" i="4"/>
  <c r="AC624" i="4"/>
  <c r="AB624" i="4"/>
  <c r="AA624" i="4"/>
  <c r="Z624" i="4"/>
  <c r="H624" i="4"/>
  <c r="G624" i="4"/>
  <c r="AO623" i="4"/>
  <c r="AN623" i="4"/>
  <c r="AM623" i="4"/>
  <c r="AL623" i="4"/>
  <c r="AK623" i="4"/>
  <c r="AJ623" i="4"/>
  <c r="AI623" i="4"/>
  <c r="AH623" i="4"/>
  <c r="AG623" i="4"/>
  <c r="AF623" i="4"/>
  <c r="AE623" i="4"/>
  <c r="AD623" i="4"/>
  <c r="AC623" i="4"/>
  <c r="AB623" i="4"/>
  <c r="AA623" i="4"/>
  <c r="Z623" i="4"/>
  <c r="H623" i="4"/>
  <c r="G623" i="4"/>
  <c r="AO622" i="4"/>
  <c r="AN622" i="4"/>
  <c r="AM622" i="4"/>
  <c r="AL622" i="4"/>
  <c r="AK622" i="4"/>
  <c r="AJ622" i="4"/>
  <c r="AI622" i="4"/>
  <c r="AH622" i="4"/>
  <c r="AG622" i="4"/>
  <c r="AF622" i="4"/>
  <c r="AE622" i="4"/>
  <c r="AD622" i="4"/>
  <c r="AC622" i="4"/>
  <c r="AB622" i="4"/>
  <c r="AA622" i="4"/>
  <c r="Z622" i="4"/>
  <c r="H622" i="4"/>
  <c r="G622" i="4"/>
  <c r="AO621" i="4"/>
  <c r="AN621" i="4"/>
  <c r="AM621" i="4"/>
  <c r="AL621" i="4"/>
  <c r="AK621" i="4"/>
  <c r="AJ621" i="4"/>
  <c r="AI621" i="4"/>
  <c r="AH621" i="4"/>
  <c r="AG621" i="4"/>
  <c r="AF621" i="4"/>
  <c r="AE621" i="4"/>
  <c r="AD621" i="4"/>
  <c r="AC621" i="4"/>
  <c r="AB621" i="4"/>
  <c r="AA621" i="4"/>
  <c r="Z621" i="4"/>
  <c r="H621" i="4"/>
  <c r="G621" i="4"/>
  <c r="AO620" i="4"/>
  <c r="AN620" i="4"/>
  <c r="AM620" i="4"/>
  <c r="AL620" i="4"/>
  <c r="AK620" i="4"/>
  <c r="AJ620" i="4"/>
  <c r="AI620" i="4"/>
  <c r="AH620" i="4"/>
  <c r="AG620" i="4"/>
  <c r="AF620" i="4"/>
  <c r="AE620" i="4"/>
  <c r="AD620" i="4"/>
  <c r="AC620" i="4"/>
  <c r="AB620" i="4"/>
  <c r="AA620" i="4"/>
  <c r="Z620" i="4"/>
  <c r="H620" i="4"/>
  <c r="G620" i="4"/>
  <c r="AO619" i="4"/>
  <c r="AN619" i="4"/>
  <c r="AM619" i="4"/>
  <c r="AL619" i="4"/>
  <c r="AK619" i="4"/>
  <c r="AJ619" i="4"/>
  <c r="AI619" i="4"/>
  <c r="AH619" i="4"/>
  <c r="AG619" i="4"/>
  <c r="AF619" i="4"/>
  <c r="AE619" i="4"/>
  <c r="AD619" i="4"/>
  <c r="AC619" i="4"/>
  <c r="AB619" i="4"/>
  <c r="AA619" i="4"/>
  <c r="Z619" i="4"/>
  <c r="H619" i="4"/>
  <c r="G619" i="4"/>
  <c r="AO618" i="4"/>
  <c r="AN618" i="4"/>
  <c r="AM618" i="4"/>
  <c r="AL618" i="4"/>
  <c r="AK618" i="4"/>
  <c r="AJ618" i="4"/>
  <c r="AI618" i="4"/>
  <c r="AH618" i="4"/>
  <c r="AG618" i="4"/>
  <c r="AF618" i="4"/>
  <c r="AE618" i="4"/>
  <c r="AD618" i="4"/>
  <c r="AC618" i="4"/>
  <c r="AB618" i="4"/>
  <c r="AA618" i="4"/>
  <c r="Z618" i="4"/>
  <c r="H618" i="4"/>
  <c r="G618" i="4"/>
  <c r="AO617" i="4"/>
  <c r="AN617" i="4"/>
  <c r="AM617" i="4"/>
  <c r="AL617" i="4"/>
  <c r="AK617" i="4"/>
  <c r="AJ617" i="4"/>
  <c r="AI617" i="4"/>
  <c r="AH617" i="4"/>
  <c r="AG617" i="4"/>
  <c r="AF617" i="4"/>
  <c r="AE617" i="4"/>
  <c r="AD617" i="4"/>
  <c r="AC617" i="4"/>
  <c r="AB617" i="4"/>
  <c r="AA617" i="4"/>
  <c r="Z617" i="4"/>
  <c r="H617" i="4"/>
  <c r="G617" i="4"/>
  <c r="AO616" i="4"/>
  <c r="AN616" i="4"/>
  <c r="AM616" i="4"/>
  <c r="AL616" i="4"/>
  <c r="AK616" i="4"/>
  <c r="AJ616" i="4"/>
  <c r="AI616" i="4"/>
  <c r="AH616" i="4"/>
  <c r="AG616" i="4"/>
  <c r="AF616" i="4"/>
  <c r="AE616" i="4"/>
  <c r="AD616" i="4"/>
  <c r="AC616" i="4"/>
  <c r="AB616" i="4"/>
  <c r="AA616" i="4"/>
  <c r="Z616" i="4"/>
  <c r="H616" i="4"/>
  <c r="G616" i="4"/>
  <c r="AO615" i="4"/>
  <c r="AN615" i="4"/>
  <c r="AM615" i="4"/>
  <c r="AL615" i="4"/>
  <c r="AK615" i="4"/>
  <c r="AJ615" i="4"/>
  <c r="AI615" i="4"/>
  <c r="AH615" i="4"/>
  <c r="AG615" i="4"/>
  <c r="AF615" i="4"/>
  <c r="AE615" i="4"/>
  <c r="AD615" i="4"/>
  <c r="AC615" i="4"/>
  <c r="AB615" i="4"/>
  <c r="AA615" i="4"/>
  <c r="Z615" i="4"/>
  <c r="H615" i="4"/>
  <c r="G615" i="4"/>
  <c r="AO614" i="4"/>
  <c r="AN614" i="4"/>
  <c r="AM614" i="4"/>
  <c r="AL614" i="4"/>
  <c r="AK614" i="4"/>
  <c r="AJ614" i="4"/>
  <c r="AI614" i="4"/>
  <c r="AH614" i="4"/>
  <c r="AG614" i="4"/>
  <c r="AF614" i="4"/>
  <c r="AE614" i="4"/>
  <c r="AD614" i="4"/>
  <c r="AC614" i="4"/>
  <c r="AB614" i="4"/>
  <c r="AA614" i="4"/>
  <c r="Z614" i="4"/>
  <c r="H614" i="4"/>
  <c r="G614" i="4"/>
  <c r="AO613" i="4"/>
  <c r="AN613" i="4"/>
  <c r="AM613" i="4"/>
  <c r="AL613" i="4"/>
  <c r="AK613" i="4"/>
  <c r="AJ613" i="4"/>
  <c r="AI613" i="4"/>
  <c r="AH613" i="4"/>
  <c r="AG613" i="4"/>
  <c r="AF613" i="4"/>
  <c r="AE613" i="4"/>
  <c r="AD613" i="4"/>
  <c r="AC613" i="4"/>
  <c r="AB613" i="4"/>
  <c r="AA613" i="4"/>
  <c r="Z613" i="4"/>
  <c r="H613" i="4"/>
  <c r="G613" i="4"/>
  <c r="AO612" i="4"/>
  <c r="AN612" i="4"/>
  <c r="AM612" i="4"/>
  <c r="AL612" i="4"/>
  <c r="AK612" i="4"/>
  <c r="AJ612" i="4"/>
  <c r="AI612" i="4"/>
  <c r="AH612" i="4"/>
  <c r="AG612" i="4"/>
  <c r="AF612" i="4"/>
  <c r="AE612" i="4"/>
  <c r="AD612" i="4"/>
  <c r="AC612" i="4"/>
  <c r="AB612" i="4"/>
  <c r="AA612" i="4"/>
  <c r="Z612" i="4"/>
  <c r="H612" i="4"/>
  <c r="G612" i="4"/>
  <c r="AO611" i="4"/>
  <c r="AN611" i="4"/>
  <c r="AM611" i="4"/>
  <c r="AL611" i="4"/>
  <c r="AK611" i="4"/>
  <c r="AJ611" i="4"/>
  <c r="AI611" i="4"/>
  <c r="AH611" i="4"/>
  <c r="AG611" i="4"/>
  <c r="AF611" i="4"/>
  <c r="AE611" i="4"/>
  <c r="AD611" i="4"/>
  <c r="AC611" i="4"/>
  <c r="AB611" i="4"/>
  <c r="AA611" i="4"/>
  <c r="Z611" i="4"/>
  <c r="H611" i="4"/>
  <c r="G611" i="4"/>
  <c r="AO610" i="4"/>
  <c r="AN610" i="4"/>
  <c r="AM610" i="4"/>
  <c r="AL610" i="4"/>
  <c r="AK610" i="4"/>
  <c r="AJ610" i="4"/>
  <c r="AI610" i="4"/>
  <c r="AH610" i="4"/>
  <c r="AG610" i="4"/>
  <c r="AF610" i="4"/>
  <c r="AE610" i="4"/>
  <c r="AD610" i="4"/>
  <c r="AC610" i="4"/>
  <c r="AB610" i="4"/>
  <c r="AA610" i="4"/>
  <c r="Z610" i="4"/>
  <c r="H610" i="4"/>
  <c r="G610" i="4"/>
  <c r="AO609" i="4"/>
  <c r="AN609" i="4"/>
  <c r="AM609" i="4"/>
  <c r="AL609" i="4"/>
  <c r="AK609" i="4"/>
  <c r="AJ609" i="4"/>
  <c r="AI609" i="4"/>
  <c r="AH609" i="4"/>
  <c r="AG609" i="4"/>
  <c r="AF609" i="4"/>
  <c r="AE609" i="4"/>
  <c r="AD609" i="4"/>
  <c r="AC609" i="4"/>
  <c r="AB609" i="4"/>
  <c r="AA609" i="4"/>
  <c r="Z609" i="4"/>
  <c r="H609" i="4"/>
  <c r="G609" i="4"/>
  <c r="AO608" i="4"/>
  <c r="AN608" i="4"/>
  <c r="AM608" i="4"/>
  <c r="AL608" i="4"/>
  <c r="AK608" i="4"/>
  <c r="AJ608" i="4"/>
  <c r="AI608" i="4"/>
  <c r="AH608" i="4"/>
  <c r="AG608" i="4"/>
  <c r="AF608" i="4"/>
  <c r="AE608" i="4"/>
  <c r="AD608" i="4"/>
  <c r="AC608" i="4"/>
  <c r="AB608" i="4"/>
  <c r="AA608" i="4"/>
  <c r="Z608" i="4"/>
  <c r="H608" i="4"/>
  <c r="G608" i="4"/>
  <c r="AO607" i="4"/>
  <c r="AN607" i="4"/>
  <c r="AM607" i="4"/>
  <c r="AL607" i="4"/>
  <c r="AK607" i="4"/>
  <c r="AJ607" i="4"/>
  <c r="AI607" i="4"/>
  <c r="AH607" i="4"/>
  <c r="AG607" i="4"/>
  <c r="AF607" i="4"/>
  <c r="AE607" i="4"/>
  <c r="AD607" i="4"/>
  <c r="AC607" i="4"/>
  <c r="AB607" i="4"/>
  <c r="AA607" i="4"/>
  <c r="Z607" i="4"/>
  <c r="H607" i="4"/>
  <c r="G607" i="4"/>
  <c r="AO606" i="4"/>
  <c r="AN606" i="4"/>
  <c r="AM606" i="4"/>
  <c r="AL606" i="4"/>
  <c r="AK606" i="4"/>
  <c r="AJ606" i="4"/>
  <c r="AI606" i="4"/>
  <c r="AH606" i="4"/>
  <c r="AG606" i="4"/>
  <c r="AF606" i="4"/>
  <c r="AE606" i="4"/>
  <c r="AD606" i="4"/>
  <c r="AC606" i="4"/>
  <c r="AB606" i="4"/>
  <c r="AA606" i="4"/>
  <c r="Z606" i="4"/>
  <c r="H606" i="4"/>
  <c r="G606" i="4"/>
  <c r="AO605" i="4"/>
  <c r="AN605" i="4"/>
  <c r="AM605" i="4"/>
  <c r="AL605" i="4"/>
  <c r="AK605" i="4"/>
  <c r="AJ605" i="4"/>
  <c r="AI605" i="4"/>
  <c r="AH605" i="4"/>
  <c r="AG605" i="4"/>
  <c r="AF605" i="4"/>
  <c r="AE605" i="4"/>
  <c r="AD605" i="4"/>
  <c r="AC605" i="4"/>
  <c r="AB605" i="4"/>
  <c r="AA605" i="4"/>
  <c r="Z605" i="4"/>
  <c r="H605" i="4"/>
  <c r="G605" i="4"/>
  <c r="AO604" i="4"/>
  <c r="AN604" i="4"/>
  <c r="AM604" i="4"/>
  <c r="AL604" i="4"/>
  <c r="AK604" i="4"/>
  <c r="AJ604" i="4"/>
  <c r="AI604" i="4"/>
  <c r="AH604" i="4"/>
  <c r="AG604" i="4"/>
  <c r="AF604" i="4"/>
  <c r="AE604" i="4"/>
  <c r="AD604" i="4"/>
  <c r="AC604" i="4"/>
  <c r="AB604" i="4"/>
  <c r="AA604" i="4"/>
  <c r="Z604" i="4"/>
  <c r="H604" i="4"/>
  <c r="G604" i="4"/>
  <c r="AO603" i="4"/>
  <c r="AN603" i="4"/>
  <c r="AM603" i="4"/>
  <c r="AL603" i="4"/>
  <c r="AK603" i="4"/>
  <c r="AJ603" i="4"/>
  <c r="AI603" i="4"/>
  <c r="AH603" i="4"/>
  <c r="AG603" i="4"/>
  <c r="AF603" i="4"/>
  <c r="AE603" i="4"/>
  <c r="AD603" i="4"/>
  <c r="AC603" i="4"/>
  <c r="AB603" i="4"/>
  <c r="AA603" i="4"/>
  <c r="Z603" i="4"/>
  <c r="H603" i="4"/>
  <c r="G603" i="4"/>
  <c r="AO602" i="4"/>
  <c r="AN602" i="4"/>
  <c r="AM602" i="4"/>
  <c r="AL602" i="4"/>
  <c r="AK602" i="4"/>
  <c r="AJ602" i="4"/>
  <c r="AI602" i="4"/>
  <c r="AH602" i="4"/>
  <c r="AG602" i="4"/>
  <c r="AF602" i="4"/>
  <c r="AE602" i="4"/>
  <c r="AD602" i="4"/>
  <c r="AC602" i="4"/>
  <c r="AB602" i="4"/>
  <c r="AA602" i="4"/>
  <c r="Z602" i="4"/>
  <c r="H602" i="4"/>
  <c r="G602" i="4"/>
  <c r="AO601" i="4"/>
  <c r="AN601" i="4"/>
  <c r="AM601" i="4"/>
  <c r="AL601" i="4"/>
  <c r="AK601" i="4"/>
  <c r="AJ601" i="4"/>
  <c r="AI601" i="4"/>
  <c r="AH601" i="4"/>
  <c r="AG601" i="4"/>
  <c r="AF601" i="4"/>
  <c r="AE601" i="4"/>
  <c r="AD601" i="4"/>
  <c r="AC601" i="4"/>
  <c r="AB601" i="4"/>
  <c r="AA601" i="4"/>
  <c r="Z601" i="4"/>
  <c r="H601" i="4"/>
  <c r="G601" i="4"/>
  <c r="AO600" i="4"/>
  <c r="AN600" i="4"/>
  <c r="AM600" i="4"/>
  <c r="AL600" i="4"/>
  <c r="AK600" i="4"/>
  <c r="AJ600" i="4"/>
  <c r="AI600" i="4"/>
  <c r="AH600" i="4"/>
  <c r="AG600" i="4"/>
  <c r="AF600" i="4"/>
  <c r="AE600" i="4"/>
  <c r="AD600" i="4"/>
  <c r="AC600" i="4"/>
  <c r="AB600" i="4"/>
  <c r="AA600" i="4"/>
  <c r="Z600" i="4"/>
  <c r="H600" i="4"/>
  <c r="G600" i="4"/>
  <c r="AO599" i="4"/>
  <c r="AN599" i="4"/>
  <c r="AM599" i="4"/>
  <c r="AL599" i="4"/>
  <c r="AK599" i="4"/>
  <c r="AJ599" i="4"/>
  <c r="AI599" i="4"/>
  <c r="AH599" i="4"/>
  <c r="AG599" i="4"/>
  <c r="AF599" i="4"/>
  <c r="AE599" i="4"/>
  <c r="AD599" i="4"/>
  <c r="AC599" i="4"/>
  <c r="AB599" i="4"/>
  <c r="AA599" i="4"/>
  <c r="Z599" i="4"/>
  <c r="H599" i="4"/>
  <c r="G599" i="4"/>
  <c r="AO598" i="4"/>
  <c r="AN598" i="4"/>
  <c r="AM598" i="4"/>
  <c r="AL598" i="4"/>
  <c r="AK598" i="4"/>
  <c r="AJ598" i="4"/>
  <c r="AI598" i="4"/>
  <c r="AH598" i="4"/>
  <c r="AG598" i="4"/>
  <c r="AF598" i="4"/>
  <c r="AE598" i="4"/>
  <c r="AD598" i="4"/>
  <c r="AC598" i="4"/>
  <c r="AB598" i="4"/>
  <c r="AA598" i="4"/>
  <c r="Z598" i="4"/>
  <c r="H598" i="4"/>
  <c r="G598" i="4"/>
  <c r="AO597" i="4"/>
  <c r="AN597" i="4"/>
  <c r="AM597" i="4"/>
  <c r="AL597" i="4"/>
  <c r="AK597" i="4"/>
  <c r="AJ597" i="4"/>
  <c r="AI597" i="4"/>
  <c r="AH597" i="4"/>
  <c r="AG597" i="4"/>
  <c r="AF597" i="4"/>
  <c r="AE597" i="4"/>
  <c r="AD597" i="4"/>
  <c r="AC597" i="4"/>
  <c r="AB597" i="4"/>
  <c r="AA597" i="4"/>
  <c r="Z597" i="4"/>
  <c r="H597" i="4"/>
  <c r="G597" i="4"/>
  <c r="AO596" i="4"/>
  <c r="AN596" i="4"/>
  <c r="AM596" i="4"/>
  <c r="AL596" i="4"/>
  <c r="AK596" i="4"/>
  <c r="AJ596" i="4"/>
  <c r="AI596" i="4"/>
  <c r="AH596" i="4"/>
  <c r="AG596" i="4"/>
  <c r="AF596" i="4"/>
  <c r="AE596" i="4"/>
  <c r="AD596" i="4"/>
  <c r="AC596" i="4"/>
  <c r="AB596" i="4"/>
  <c r="AA596" i="4"/>
  <c r="Z596" i="4"/>
  <c r="H596" i="4"/>
  <c r="G596" i="4"/>
  <c r="AO595" i="4"/>
  <c r="AN595" i="4"/>
  <c r="AM595" i="4"/>
  <c r="AL595" i="4"/>
  <c r="AK595" i="4"/>
  <c r="AJ595" i="4"/>
  <c r="AI595" i="4"/>
  <c r="AH595" i="4"/>
  <c r="AG595" i="4"/>
  <c r="AF595" i="4"/>
  <c r="AE595" i="4"/>
  <c r="AD595" i="4"/>
  <c r="AC595" i="4"/>
  <c r="AB595" i="4"/>
  <c r="AA595" i="4"/>
  <c r="Z595" i="4"/>
  <c r="H595" i="4"/>
  <c r="G595" i="4"/>
  <c r="AO594" i="4"/>
  <c r="AN594" i="4"/>
  <c r="AM594" i="4"/>
  <c r="AL594" i="4"/>
  <c r="AK594" i="4"/>
  <c r="AJ594" i="4"/>
  <c r="AI594" i="4"/>
  <c r="AH594" i="4"/>
  <c r="AG594" i="4"/>
  <c r="AF594" i="4"/>
  <c r="AE594" i="4"/>
  <c r="AD594" i="4"/>
  <c r="AC594" i="4"/>
  <c r="AB594" i="4"/>
  <c r="AA594" i="4"/>
  <c r="Z594" i="4"/>
  <c r="H594" i="4"/>
  <c r="G594" i="4"/>
  <c r="AO593" i="4"/>
  <c r="AN593" i="4"/>
  <c r="AM593" i="4"/>
  <c r="AL593" i="4"/>
  <c r="AK593" i="4"/>
  <c r="AJ593" i="4"/>
  <c r="AI593" i="4"/>
  <c r="AH593" i="4"/>
  <c r="AG593" i="4"/>
  <c r="AF593" i="4"/>
  <c r="AE593" i="4"/>
  <c r="AD593" i="4"/>
  <c r="AC593" i="4"/>
  <c r="AB593" i="4"/>
  <c r="AA593" i="4"/>
  <c r="Z593" i="4"/>
  <c r="H593" i="4"/>
  <c r="G593" i="4"/>
  <c r="AO592" i="4"/>
  <c r="AN592" i="4"/>
  <c r="AM592" i="4"/>
  <c r="AL592" i="4"/>
  <c r="AK592" i="4"/>
  <c r="AJ592" i="4"/>
  <c r="AI592" i="4"/>
  <c r="AH592" i="4"/>
  <c r="AG592" i="4"/>
  <c r="AF592" i="4"/>
  <c r="AE592" i="4"/>
  <c r="AD592" i="4"/>
  <c r="AC592" i="4"/>
  <c r="AB592" i="4"/>
  <c r="AA592" i="4"/>
  <c r="Z592" i="4"/>
  <c r="H592" i="4"/>
  <c r="G592" i="4"/>
  <c r="AO591" i="4"/>
  <c r="AN591" i="4"/>
  <c r="AM591" i="4"/>
  <c r="AL591" i="4"/>
  <c r="AK591" i="4"/>
  <c r="AJ591" i="4"/>
  <c r="AI591" i="4"/>
  <c r="AH591" i="4"/>
  <c r="AG591" i="4"/>
  <c r="AF591" i="4"/>
  <c r="AE591" i="4"/>
  <c r="AD591" i="4"/>
  <c r="AC591" i="4"/>
  <c r="AB591" i="4"/>
  <c r="AA591" i="4"/>
  <c r="Z591" i="4"/>
  <c r="H591" i="4"/>
  <c r="G591" i="4"/>
  <c r="AO590" i="4"/>
  <c r="AN590" i="4"/>
  <c r="AM590" i="4"/>
  <c r="AL590" i="4"/>
  <c r="AK590" i="4"/>
  <c r="AJ590" i="4"/>
  <c r="AI590" i="4"/>
  <c r="AH590" i="4"/>
  <c r="AG590" i="4"/>
  <c r="AF590" i="4"/>
  <c r="AE590" i="4"/>
  <c r="AD590" i="4"/>
  <c r="AC590" i="4"/>
  <c r="AB590" i="4"/>
  <c r="AA590" i="4"/>
  <c r="Z590" i="4"/>
  <c r="H590" i="4"/>
  <c r="G590" i="4"/>
  <c r="AO589" i="4"/>
  <c r="AN589" i="4"/>
  <c r="AM589" i="4"/>
  <c r="AL589" i="4"/>
  <c r="AK589" i="4"/>
  <c r="AJ589" i="4"/>
  <c r="AI589" i="4"/>
  <c r="AH589" i="4"/>
  <c r="AG589" i="4"/>
  <c r="AF589" i="4"/>
  <c r="AE589" i="4"/>
  <c r="AD589" i="4"/>
  <c r="AC589" i="4"/>
  <c r="AB589" i="4"/>
  <c r="AA589" i="4"/>
  <c r="Z589" i="4"/>
  <c r="H589" i="4"/>
  <c r="G589" i="4"/>
  <c r="AO588" i="4"/>
  <c r="AN588" i="4"/>
  <c r="AM588" i="4"/>
  <c r="AL588" i="4"/>
  <c r="AK588" i="4"/>
  <c r="AJ588" i="4"/>
  <c r="AI588" i="4"/>
  <c r="AH588" i="4"/>
  <c r="AG588" i="4"/>
  <c r="AF588" i="4"/>
  <c r="AE588" i="4"/>
  <c r="AD588" i="4"/>
  <c r="AC588" i="4"/>
  <c r="AB588" i="4"/>
  <c r="AA588" i="4"/>
  <c r="Z588" i="4"/>
  <c r="H588" i="4"/>
  <c r="G588" i="4"/>
  <c r="AO587" i="4"/>
  <c r="AN587" i="4"/>
  <c r="AM587" i="4"/>
  <c r="AL587" i="4"/>
  <c r="AK587" i="4"/>
  <c r="AJ587" i="4"/>
  <c r="AI587" i="4"/>
  <c r="AH587" i="4"/>
  <c r="AG587" i="4"/>
  <c r="AF587" i="4"/>
  <c r="AE587" i="4"/>
  <c r="AD587" i="4"/>
  <c r="AC587" i="4"/>
  <c r="AB587" i="4"/>
  <c r="AA587" i="4"/>
  <c r="Z587" i="4"/>
  <c r="H587" i="4"/>
  <c r="G587" i="4"/>
  <c r="AO586" i="4"/>
  <c r="AN586" i="4"/>
  <c r="AM586" i="4"/>
  <c r="AL586" i="4"/>
  <c r="AK586" i="4"/>
  <c r="AJ586" i="4"/>
  <c r="AI586" i="4"/>
  <c r="AH586" i="4"/>
  <c r="AG586" i="4"/>
  <c r="AF586" i="4"/>
  <c r="AE586" i="4"/>
  <c r="AD586" i="4"/>
  <c r="AC586" i="4"/>
  <c r="AB586" i="4"/>
  <c r="AA586" i="4"/>
  <c r="Z586" i="4"/>
  <c r="H586" i="4"/>
  <c r="G586" i="4"/>
  <c r="AO585" i="4"/>
  <c r="AN585" i="4"/>
  <c r="AM585" i="4"/>
  <c r="AL585" i="4"/>
  <c r="AK585" i="4"/>
  <c r="AJ585" i="4"/>
  <c r="AI585" i="4"/>
  <c r="AH585" i="4"/>
  <c r="AG585" i="4"/>
  <c r="AF585" i="4"/>
  <c r="AE585" i="4"/>
  <c r="AD585" i="4"/>
  <c r="AC585" i="4"/>
  <c r="AB585" i="4"/>
  <c r="AA585" i="4"/>
  <c r="Z585" i="4"/>
  <c r="H585" i="4"/>
  <c r="G585" i="4"/>
  <c r="AO584" i="4"/>
  <c r="AN584" i="4"/>
  <c r="AM584" i="4"/>
  <c r="AL584" i="4"/>
  <c r="AK584" i="4"/>
  <c r="AJ584" i="4"/>
  <c r="AI584" i="4"/>
  <c r="AH584" i="4"/>
  <c r="AG584" i="4"/>
  <c r="AF584" i="4"/>
  <c r="AE584" i="4"/>
  <c r="AD584" i="4"/>
  <c r="AC584" i="4"/>
  <c r="AB584" i="4"/>
  <c r="AA584" i="4"/>
  <c r="Z584" i="4"/>
  <c r="H584" i="4"/>
  <c r="G584" i="4"/>
  <c r="AO583" i="4"/>
  <c r="AN583" i="4"/>
  <c r="AM583" i="4"/>
  <c r="AL583" i="4"/>
  <c r="AK583" i="4"/>
  <c r="AJ583" i="4"/>
  <c r="AI583" i="4"/>
  <c r="AH583" i="4"/>
  <c r="AG583" i="4"/>
  <c r="AF583" i="4"/>
  <c r="AE583" i="4"/>
  <c r="AD583" i="4"/>
  <c r="AC583" i="4"/>
  <c r="AB583" i="4"/>
  <c r="AA583" i="4"/>
  <c r="Z583" i="4"/>
  <c r="H583" i="4"/>
  <c r="G583" i="4"/>
  <c r="AO582" i="4"/>
  <c r="AN582" i="4"/>
  <c r="AM582" i="4"/>
  <c r="AL582" i="4"/>
  <c r="AK582" i="4"/>
  <c r="AJ582" i="4"/>
  <c r="AI582" i="4"/>
  <c r="AH582" i="4"/>
  <c r="AG582" i="4"/>
  <c r="AF582" i="4"/>
  <c r="AE582" i="4"/>
  <c r="AD582" i="4"/>
  <c r="AC582" i="4"/>
  <c r="AB582" i="4"/>
  <c r="AA582" i="4"/>
  <c r="Z582" i="4"/>
  <c r="H582" i="4"/>
  <c r="G582" i="4"/>
  <c r="AO581" i="4"/>
  <c r="AN581" i="4"/>
  <c r="AM581" i="4"/>
  <c r="AL581" i="4"/>
  <c r="AK581" i="4"/>
  <c r="AJ581" i="4"/>
  <c r="AI581" i="4"/>
  <c r="AH581" i="4"/>
  <c r="AG581" i="4"/>
  <c r="AF581" i="4"/>
  <c r="AE581" i="4"/>
  <c r="AD581" i="4"/>
  <c r="AC581" i="4"/>
  <c r="AB581" i="4"/>
  <c r="AA581" i="4"/>
  <c r="Z581" i="4"/>
  <c r="H581" i="4"/>
  <c r="G581" i="4"/>
  <c r="AO580" i="4"/>
  <c r="AN580" i="4"/>
  <c r="AM580" i="4"/>
  <c r="AL580" i="4"/>
  <c r="AK580" i="4"/>
  <c r="AJ580" i="4"/>
  <c r="AI580" i="4"/>
  <c r="AH580" i="4"/>
  <c r="AG580" i="4"/>
  <c r="AF580" i="4"/>
  <c r="AE580" i="4"/>
  <c r="AD580" i="4"/>
  <c r="AC580" i="4"/>
  <c r="AB580" i="4"/>
  <c r="AA580" i="4"/>
  <c r="Z580" i="4"/>
  <c r="H580" i="4"/>
  <c r="G580" i="4"/>
  <c r="AO579" i="4"/>
  <c r="AN579" i="4"/>
  <c r="AM579" i="4"/>
  <c r="AL579" i="4"/>
  <c r="AK579" i="4"/>
  <c r="AJ579" i="4"/>
  <c r="AI579" i="4"/>
  <c r="AH579" i="4"/>
  <c r="AG579" i="4"/>
  <c r="AF579" i="4"/>
  <c r="AE579" i="4"/>
  <c r="AD579" i="4"/>
  <c r="AC579" i="4"/>
  <c r="AB579" i="4"/>
  <c r="AA579" i="4"/>
  <c r="Z579" i="4"/>
  <c r="H579" i="4"/>
  <c r="G579" i="4"/>
  <c r="AO578" i="4"/>
  <c r="AN578" i="4"/>
  <c r="AM578" i="4"/>
  <c r="AL578" i="4"/>
  <c r="AK578" i="4"/>
  <c r="AJ578" i="4"/>
  <c r="AI578" i="4"/>
  <c r="AH578" i="4"/>
  <c r="AG578" i="4"/>
  <c r="AF578" i="4"/>
  <c r="AE578" i="4"/>
  <c r="AD578" i="4"/>
  <c r="AC578" i="4"/>
  <c r="AB578" i="4"/>
  <c r="AA578" i="4"/>
  <c r="Z578" i="4"/>
  <c r="H578" i="4"/>
  <c r="G578" i="4"/>
  <c r="AO577" i="4"/>
  <c r="AN577" i="4"/>
  <c r="AM577" i="4"/>
  <c r="AL577" i="4"/>
  <c r="AK577" i="4"/>
  <c r="AJ577" i="4"/>
  <c r="AI577" i="4"/>
  <c r="AH577" i="4"/>
  <c r="AG577" i="4"/>
  <c r="AF577" i="4"/>
  <c r="AE577" i="4"/>
  <c r="AD577" i="4"/>
  <c r="AC577" i="4"/>
  <c r="AB577" i="4"/>
  <c r="AA577" i="4"/>
  <c r="Z577" i="4"/>
  <c r="H577" i="4"/>
  <c r="G577" i="4"/>
  <c r="AO576" i="4"/>
  <c r="AN576" i="4"/>
  <c r="AM576" i="4"/>
  <c r="AL576" i="4"/>
  <c r="AK576" i="4"/>
  <c r="AJ576" i="4"/>
  <c r="AI576" i="4"/>
  <c r="AH576" i="4"/>
  <c r="AG576" i="4"/>
  <c r="AF576" i="4"/>
  <c r="AE576" i="4"/>
  <c r="AD576" i="4"/>
  <c r="AC576" i="4"/>
  <c r="AB576" i="4"/>
  <c r="AA576" i="4"/>
  <c r="Z576" i="4"/>
  <c r="H576" i="4"/>
  <c r="G576" i="4"/>
  <c r="AO575" i="4"/>
  <c r="AN575" i="4"/>
  <c r="AM575" i="4"/>
  <c r="AL575" i="4"/>
  <c r="AK575" i="4"/>
  <c r="AJ575" i="4"/>
  <c r="AI575" i="4"/>
  <c r="AH575" i="4"/>
  <c r="AG575" i="4"/>
  <c r="AF575" i="4"/>
  <c r="AE575" i="4"/>
  <c r="AD575" i="4"/>
  <c r="AC575" i="4"/>
  <c r="AB575" i="4"/>
  <c r="AA575" i="4"/>
  <c r="Z575" i="4"/>
  <c r="H575" i="4"/>
  <c r="G575" i="4"/>
  <c r="AO574" i="4"/>
  <c r="AN574" i="4"/>
  <c r="AM574" i="4"/>
  <c r="AL574" i="4"/>
  <c r="AK574" i="4"/>
  <c r="AJ574" i="4"/>
  <c r="AI574" i="4"/>
  <c r="AH574" i="4"/>
  <c r="AG574" i="4"/>
  <c r="AF574" i="4"/>
  <c r="AE574" i="4"/>
  <c r="AD574" i="4"/>
  <c r="AC574" i="4"/>
  <c r="AB574" i="4"/>
  <c r="AA574" i="4"/>
  <c r="Z574" i="4"/>
  <c r="H574" i="4"/>
  <c r="G574" i="4"/>
  <c r="AO573" i="4"/>
  <c r="AN573" i="4"/>
  <c r="AM573" i="4"/>
  <c r="AL573" i="4"/>
  <c r="AK573" i="4"/>
  <c r="AJ573" i="4"/>
  <c r="AI573" i="4"/>
  <c r="AH573" i="4"/>
  <c r="AG573" i="4"/>
  <c r="AF573" i="4"/>
  <c r="AE573" i="4"/>
  <c r="AD573" i="4"/>
  <c r="AC573" i="4"/>
  <c r="AB573" i="4"/>
  <c r="AA573" i="4"/>
  <c r="Z573" i="4"/>
  <c r="H573" i="4"/>
  <c r="G573" i="4"/>
  <c r="AO572" i="4"/>
  <c r="AN572" i="4"/>
  <c r="AM572" i="4"/>
  <c r="AL572" i="4"/>
  <c r="AK572" i="4"/>
  <c r="AJ572" i="4"/>
  <c r="AI572" i="4"/>
  <c r="AH572" i="4"/>
  <c r="AG572" i="4"/>
  <c r="AF572" i="4"/>
  <c r="AE572" i="4"/>
  <c r="AD572" i="4"/>
  <c r="AC572" i="4"/>
  <c r="AB572" i="4"/>
  <c r="AA572" i="4"/>
  <c r="Z572" i="4"/>
  <c r="H572" i="4"/>
  <c r="G572" i="4"/>
  <c r="AO571" i="4"/>
  <c r="AN571" i="4"/>
  <c r="AM571" i="4"/>
  <c r="AL571" i="4"/>
  <c r="AK571" i="4"/>
  <c r="AJ571" i="4"/>
  <c r="AI571" i="4"/>
  <c r="AH571" i="4"/>
  <c r="AG571" i="4"/>
  <c r="AF571" i="4"/>
  <c r="AE571" i="4"/>
  <c r="AD571" i="4"/>
  <c r="AC571" i="4"/>
  <c r="AB571" i="4"/>
  <c r="AA571" i="4"/>
  <c r="Z571" i="4"/>
  <c r="H571" i="4"/>
  <c r="G571" i="4"/>
  <c r="AO570" i="4"/>
  <c r="AN570" i="4"/>
  <c r="AM570" i="4"/>
  <c r="AL570" i="4"/>
  <c r="AK570" i="4"/>
  <c r="AJ570" i="4"/>
  <c r="AI570" i="4"/>
  <c r="AH570" i="4"/>
  <c r="AG570" i="4"/>
  <c r="AF570" i="4"/>
  <c r="AE570" i="4"/>
  <c r="AD570" i="4"/>
  <c r="AC570" i="4"/>
  <c r="AB570" i="4"/>
  <c r="AA570" i="4"/>
  <c r="Z570" i="4"/>
  <c r="H570" i="4"/>
  <c r="G570" i="4"/>
  <c r="AO569" i="4"/>
  <c r="AN569" i="4"/>
  <c r="AM569" i="4"/>
  <c r="AL569" i="4"/>
  <c r="AK569" i="4"/>
  <c r="AJ569" i="4"/>
  <c r="AI569" i="4"/>
  <c r="AH569" i="4"/>
  <c r="AG569" i="4"/>
  <c r="AF569" i="4"/>
  <c r="AE569" i="4"/>
  <c r="AD569" i="4"/>
  <c r="AC569" i="4"/>
  <c r="AB569" i="4"/>
  <c r="AA569" i="4"/>
  <c r="Z569" i="4"/>
  <c r="H569" i="4"/>
  <c r="G569" i="4"/>
  <c r="AO568" i="4"/>
  <c r="AN568" i="4"/>
  <c r="AM568" i="4"/>
  <c r="AL568" i="4"/>
  <c r="AK568" i="4"/>
  <c r="AJ568" i="4"/>
  <c r="AI568" i="4"/>
  <c r="AH568" i="4"/>
  <c r="AG568" i="4"/>
  <c r="AF568" i="4"/>
  <c r="AE568" i="4"/>
  <c r="AD568" i="4"/>
  <c r="AC568" i="4"/>
  <c r="AB568" i="4"/>
  <c r="AA568" i="4"/>
  <c r="Z568" i="4"/>
  <c r="H568" i="4"/>
  <c r="G568" i="4"/>
  <c r="AO567" i="4"/>
  <c r="AN567" i="4"/>
  <c r="AM567" i="4"/>
  <c r="AL567" i="4"/>
  <c r="AK567" i="4"/>
  <c r="AJ567" i="4"/>
  <c r="AI567" i="4"/>
  <c r="AH567" i="4"/>
  <c r="AG567" i="4"/>
  <c r="AF567" i="4"/>
  <c r="AE567" i="4"/>
  <c r="AD567" i="4"/>
  <c r="AC567" i="4"/>
  <c r="AB567" i="4"/>
  <c r="AA567" i="4"/>
  <c r="Z567" i="4"/>
  <c r="H567" i="4"/>
  <c r="G567" i="4"/>
  <c r="AO566" i="4"/>
  <c r="AN566" i="4"/>
  <c r="AM566" i="4"/>
  <c r="AL566" i="4"/>
  <c r="AK566" i="4"/>
  <c r="AJ566" i="4"/>
  <c r="AI566" i="4"/>
  <c r="AH566" i="4"/>
  <c r="AG566" i="4"/>
  <c r="AF566" i="4"/>
  <c r="AE566" i="4"/>
  <c r="AD566" i="4"/>
  <c r="AC566" i="4"/>
  <c r="AB566" i="4"/>
  <c r="AA566" i="4"/>
  <c r="Z566" i="4"/>
  <c r="H566" i="4"/>
  <c r="G566" i="4"/>
  <c r="AO565" i="4"/>
  <c r="AN565" i="4"/>
  <c r="AM565" i="4"/>
  <c r="AL565" i="4"/>
  <c r="AK565" i="4"/>
  <c r="AJ565" i="4"/>
  <c r="AI565" i="4"/>
  <c r="AH565" i="4"/>
  <c r="AG565" i="4"/>
  <c r="AF565" i="4"/>
  <c r="AE565" i="4"/>
  <c r="AD565" i="4"/>
  <c r="AC565" i="4"/>
  <c r="AB565" i="4"/>
  <c r="AA565" i="4"/>
  <c r="Z565" i="4"/>
  <c r="H565" i="4"/>
  <c r="G565" i="4"/>
  <c r="AO564" i="4"/>
  <c r="AN564" i="4"/>
  <c r="AM564" i="4"/>
  <c r="AL564" i="4"/>
  <c r="AK564" i="4"/>
  <c r="AJ564" i="4"/>
  <c r="AI564" i="4"/>
  <c r="AH564" i="4"/>
  <c r="AG564" i="4"/>
  <c r="AF564" i="4"/>
  <c r="AE564" i="4"/>
  <c r="AD564" i="4"/>
  <c r="AC564" i="4"/>
  <c r="AB564" i="4"/>
  <c r="AA564" i="4"/>
  <c r="Z564" i="4"/>
  <c r="H564" i="4"/>
  <c r="G564" i="4"/>
  <c r="AO563" i="4"/>
  <c r="AN563" i="4"/>
  <c r="AM563" i="4"/>
  <c r="AL563" i="4"/>
  <c r="AK563" i="4"/>
  <c r="AJ563" i="4"/>
  <c r="AI563" i="4"/>
  <c r="AH563" i="4"/>
  <c r="AG563" i="4"/>
  <c r="AF563" i="4"/>
  <c r="AE563" i="4"/>
  <c r="AD563" i="4"/>
  <c r="AC563" i="4"/>
  <c r="AB563" i="4"/>
  <c r="AA563" i="4"/>
  <c r="Z563" i="4"/>
  <c r="H563" i="4"/>
  <c r="G563" i="4"/>
  <c r="AO562" i="4"/>
  <c r="AN562" i="4"/>
  <c r="AM562" i="4"/>
  <c r="AL562" i="4"/>
  <c r="AK562" i="4"/>
  <c r="AJ562" i="4"/>
  <c r="AI562" i="4"/>
  <c r="AH562" i="4"/>
  <c r="AG562" i="4"/>
  <c r="AF562" i="4"/>
  <c r="AE562" i="4"/>
  <c r="AD562" i="4"/>
  <c r="AC562" i="4"/>
  <c r="AB562" i="4"/>
  <c r="AA562" i="4"/>
  <c r="Z562" i="4"/>
  <c r="H562" i="4"/>
  <c r="G562" i="4"/>
  <c r="AO561" i="4"/>
  <c r="AN561" i="4"/>
  <c r="AM561" i="4"/>
  <c r="AL561" i="4"/>
  <c r="AK561" i="4"/>
  <c r="AJ561" i="4"/>
  <c r="AI561" i="4"/>
  <c r="AH561" i="4"/>
  <c r="AG561" i="4"/>
  <c r="AF561" i="4"/>
  <c r="AE561" i="4"/>
  <c r="AD561" i="4"/>
  <c r="AC561" i="4"/>
  <c r="AB561" i="4"/>
  <c r="AA561" i="4"/>
  <c r="Z561" i="4"/>
  <c r="H561" i="4"/>
  <c r="G561" i="4"/>
  <c r="AO560" i="4"/>
  <c r="AN560" i="4"/>
  <c r="AM560" i="4"/>
  <c r="AL560" i="4"/>
  <c r="AK560" i="4"/>
  <c r="AJ560" i="4"/>
  <c r="AI560" i="4"/>
  <c r="AH560" i="4"/>
  <c r="AG560" i="4"/>
  <c r="AF560" i="4"/>
  <c r="AE560" i="4"/>
  <c r="AD560" i="4"/>
  <c r="AC560" i="4"/>
  <c r="AB560" i="4"/>
  <c r="AA560" i="4"/>
  <c r="Z560" i="4"/>
  <c r="H560" i="4"/>
  <c r="G560" i="4"/>
  <c r="AO559" i="4"/>
  <c r="AN559" i="4"/>
  <c r="AM559" i="4"/>
  <c r="AL559" i="4"/>
  <c r="AK559" i="4"/>
  <c r="AJ559" i="4"/>
  <c r="AI559" i="4"/>
  <c r="AH559" i="4"/>
  <c r="AG559" i="4"/>
  <c r="AF559" i="4"/>
  <c r="AE559" i="4"/>
  <c r="AD559" i="4"/>
  <c r="AC559" i="4"/>
  <c r="AB559" i="4"/>
  <c r="AA559" i="4"/>
  <c r="Z559" i="4"/>
  <c r="H559" i="4"/>
  <c r="G559" i="4"/>
  <c r="AO558" i="4"/>
  <c r="AN558" i="4"/>
  <c r="AM558" i="4"/>
  <c r="AL558" i="4"/>
  <c r="AK558" i="4"/>
  <c r="AJ558" i="4"/>
  <c r="AI558" i="4"/>
  <c r="AH558" i="4"/>
  <c r="AG558" i="4"/>
  <c r="AF558" i="4"/>
  <c r="AE558" i="4"/>
  <c r="AD558" i="4"/>
  <c r="AC558" i="4"/>
  <c r="AB558" i="4"/>
  <c r="AA558" i="4"/>
  <c r="Z558" i="4"/>
  <c r="H558" i="4"/>
  <c r="G558" i="4"/>
  <c r="AO557" i="4"/>
  <c r="AN557" i="4"/>
  <c r="AM557" i="4"/>
  <c r="AL557" i="4"/>
  <c r="AK557" i="4"/>
  <c r="AJ557" i="4"/>
  <c r="AI557" i="4"/>
  <c r="AH557" i="4"/>
  <c r="AG557" i="4"/>
  <c r="AF557" i="4"/>
  <c r="AE557" i="4"/>
  <c r="AD557" i="4"/>
  <c r="AC557" i="4"/>
  <c r="AB557" i="4"/>
  <c r="AA557" i="4"/>
  <c r="Z557" i="4"/>
  <c r="H557" i="4"/>
  <c r="G557" i="4"/>
  <c r="AO556" i="4"/>
  <c r="AN556" i="4"/>
  <c r="AM556" i="4"/>
  <c r="AL556" i="4"/>
  <c r="AK556" i="4"/>
  <c r="AJ556" i="4"/>
  <c r="AI556" i="4"/>
  <c r="AH556" i="4"/>
  <c r="AG556" i="4"/>
  <c r="AF556" i="4"/>
  <c r="AE556" i="4"/>
  <c r="AD556" i="4"/>
  <c r="AC556" i="4"/>
  <c r="AB556" i="4"/>
  <c r="AA556" i="4"/>
  <c r="Z556" i="4"/>
  <c r="H556" i="4"/>
  <c r="G556" i="4"/>
  <c r="AO555" i="4"/>
  <c r="AN555" i="4"/>
  <c r="AM555" i="4"/>
  <c r="AL555" i="4"/>
  <c r="AK555" i="4"/>
  <c r="AJ555" i="4"/>
  <c r="AI555" i="4"/>
  <c r="AH555" i="4"/>
  <c r="AG555" i="4"/>
  <c r="AF555" i="4"/>
  <c r="AE555" i="4"/>
  <c r="AD555" i="4"/>
  <c r="AC555" i="4"/>
  <c r="AB555" i="4"/>
  <c r="AA555" i="4"/>
  <c r="Z555" i="4"/>
  <c r="H555" i="4"/>
  <c r="G555" i="4"/>
  <c r="AO554" i="4"/>
  <c r="AN554" i="4"/>
  <c r="AM554" i="4"/>
  <c r="AL554" i="4"/>
  <c r="AK554" i="4"/>
  <c r="AJ554" i="4"/>
  <c r="AI554" i="4"/>
  <c r="AH554" i="4"/>
  <c r="AG554" i="4"/>
  <c r="AF554" i="4"/>
  <c r="AE554" i="4"/>
  <c r="AD554" i="4"/>
  <c r="AC554" i="4"/>
  <c r="AB554" i="4"/>
  <c r="AA554" i="4"/>
  <c r="Z554" i="4"/>
  <c r="H554" i="4"/>
  <c r="G554" i="4"/>
  <c r="AO553" i="4"/>
  <c r="AN553" i="4"/>
  <c r="AM553" i="4"/>
  <c r="AL553" i="4"/>
  <c r="AK553" i="4"/>
  <c r="AJ553" i="4"/>
  <c r="AI553" i="4"/>
  <c r="AH553" i="4"/>
  <c r="AG553" i="4"/>
  <c r="AF553" i="4"/>
  <c r="AE553" i="4"/>
  <c r="AD553" i="4"/>
  <c r="AC553" i="4"/>
  <c r="AB553" i="4"/>
  <c r="AA553" i="4"/>
  <c r="Z553" i="4"/>
  <c r="H553" i="4"/>
  <c r="G553" i="4"/>
  <c r="AO552" i="4"/>
  <c r="AN552" i="4"/>
  <c r="AM552" i="4"/>
  <c r="AL552" i="4"/>
  <c r="AK552" i="4"/>
  <c r="AJ552" i="4"/>
  <c r="AI552" i="4"/>
  <c r="AH552" i="4"/>
  <c r="AG552" i="4"/>
  <c r="AF552" i="4"/>
  <c r="AE552" i="4"/>
  <c r="AD552" i="4"/>
  <c r="AC552" i="4"/>
  <c r="AB552" i="4"/>
  <c r="AA552" i="4"/>
  <c r="Z552" i="4"/>
  <c r="H552" i="4"/>
  <c r="G552" i="4"/>
  <c r="AO551" i="4"/>
  <c r="AN551" i="4"/>
  <c r="AM551" i="4"/>
  <c r="AL551" i="4"/>
  <c r="AK551" i="4"/>
  <c r="AJ551" i="4"/>
  <c r="AI551" i="4"/>
  <c r="AH551" i="4"/>
  <c r="AG551" i="4"/>
  <c r="AF551" i="4"/>
  <c r="AE551" i="4"/>
  <c r="AD551" i="4"/>
  <c r="AC551" i="4"/>
  <c r="AB551" i="4"/>
  <c r="AA551" i="4"/>
  <c r="Z551" i="4"/>
  <c r="H551" i="4"/>
  <c r="G551" i="4"/>
  <c r="AO550" i="4"/>
  <c r="AN550" i="4"/>
  <c r="AM550" i="4"/>
  <c r="AL550" i="4"/>
  <c r="AK550" i="4"/>
  <c r="AJ550" i="4"/>
  <c r="AI550" i="4"/>
  <c r="AH550" i="4"/>
  <c r="AG550" i="4"/>
  <c r="AF550" i="4"/>
  <c r="AE550" i="4"/>
  <c r="AD550" i="4"/>
  <c r="AC550" i="4"/>
  <c r="AB550" i="4"/>
  <c r="AA550" i="4"/>
  <c r="Z550" i="4"/>
  <c r="H550" i="4"/>
  <c r="G550" i="4"/>
  <c r="AO549" i="4"/>
  <c r="AN549" i="4"/>
  <c r="AM549" i="4"/>
  <c r="AL549" i="4"/>
  <c r="AK549" i="4"/>
  <c r="AJ549" i="4"/>
  <c r="AI549" i="4"/>
  <c r="AH549" i="4"/>
  <c r="AG549" i="4"/>
  <c r="AF549" i="4"/>
  <c r="AE549" i="4"/>
  <c r="AD549" i="4"/>
  <c r="AC549" i="4"/>
  <c r="AB549" i="4"/>
  <c r="AA549" i="4"/>
  <c r="Z549" i="4"/>
  <c r="H549" i="4"/>
  <c r="G549" i="4"/>
  <c r="AO548" i="4"/>
  <c r="AN548" i="4"/>
  <c r="AM548" i="4"/>
  <c r="AL548" i="4"/>
  <c r="AK548" i="4"/>
  <c r="AJ548" i="4"/>
  <c r="AI548" i="4"/>
  <c r="AH548" i="4"/>
  <c r="AG548" i="4"/>
  <c r="AF548" i="4"/>
  <c r="AE548" i="4"/>
  <c r="AD548" i="4"/>
  <c r="AC548" i="4"/>
  <c r="AB548" i="4"/>
  <c r="AA548" i="4"/>
  <c r="Z548" i="4"/>
  <c r="H548" i="4"/>
  <c r="G548" i="4"/>
  <c r="AO547" i="4"/>
  <c r="AN547" i="4"/>
  <c r="AM547" i="4"/>
  <c r="AL547" i="4"/>
  <c r="AK547" i="4"/>
  <c r="AJ547" i="4"/>
  <c r="AI547" i="4"/>
  <c r="AH547" i="4"/>
  <c r="AG547" i="4"/>
  <c r="AF547" i="4"/>
  <c r="AE547" i="4"/>
  <c r="AD547" i="4"/>
  <c r="AC547" i="4"/>
  <c r="AB547" i="4"/>
  <c r="AA547" i="4"/>
  <c r="Z547" i="4"/>
  <c r="H547" i="4"/>
  <c r="G547" i="4"/>
  <c r="AO546" i="4"/>
  <c r="AN546" i="4"/>
  <c r="AM546" i="4"/>
  <c r="AL546" i="4"/>
  <c r="AK546" i="4"/>
  <c r="AJ546" i="4"/>
  <c r="AI546" i="4"/>
  <c r="AH546" i="4"/>
  <c r="AG546" i="4"/>
  <c r="AF546" i="4"/>
  <c r="AE546" i="4"/>
  <c r="AD546" i="4"/>
  <c r="AC546" i="4"/>
  <c r="AB546" i="4"/>
  <c r="AA546" i="4"/>
  <c r="Z546" i="4"/>
  <c r="H546" i="4"/>
  <c r="G546" i="4"/>
  <c r="AO545" i="4"/>
  <c r="AN545" i="4"/>
  <c r="AM545" i="4"/>
  <c r="AL545" i="4"/>
  <c r="AK545" i="4"/>
  <c r="AJ545" i="4"/>
  <c r="AI545" i="4"/>
  <c r="AH545" i="4"/>
  <c r="AG545" i="4"/>
  <c r="AF545" i="4"/>
  <c r="AE545" i="4"/>
  <c r="AD545" i="4"/>
  <c r="AC545" i="4"/>
  <c r="AB545" i="4"/>
  <c r="AA545" i="4"/>
  <c r="Z545" i="4"/>
  <c r="H545" i="4"/>
  <c r="G545" i="4"/>
  <c r="AO544" i="4"/>
  <c r="AN544" i="4"/>
  <c r="AM544" i="4"/>
  <c r="AL544" i="4"/>
  <c r="AK544" i="4"/>
  <c r="AJ544" i="4"/>
  <c r="AI544" i="4"/>
  <c r="AH544" i="4"/>
  <c r="AG544" i="4"/>
  <c r="AF544" i="4"/>
  <c r="AE544" i="4"/>
  <c r="AD544" i="4"/>
  <c r="AC544" i="4"/>
  <c r="AB544" i="4"/>
  <c r="AA544" i="4"/>
  <c r="Z544" i="4"/>
  <c r="H544" i="4"/>
  <c r="G544" i="4"/>
  <c r="AO543" i="4"/>
  <c r="AN543" i="4"/>
  <c r="AM543" i="4"/>
  <c r="AL543" i="4"/>
  <c r="AK543" i="4"/>
  <c r="AJ543" i="4"/>
  <c r="AI543" i="4"/>
  <c r="AH543" i="4"/>
  <c r="AG543" i="4"/>
  <c r="AF543" i="4"/>
  <c r="AE543" i="4"/>
  <c r="AD543" i="4"/>
  <c r="AC543" i="4"/>
  <c r="AB543" i="4"/>
  <c r="AA543" i="4"/>
  <c r="Z543" i="4"/>
  <c r="H543" i="4"/>
  <c r="G543" i="4"/>
  <c r="AO542" i="4"/>
  <c r="AN542" i="4"/>
  <c r="AM542" i="4"/>
  <c r="AL542" i="4"/>
  <c r="AK542" i="4"/>
  <c r="AJ542" i="4"/>
  <c r="AI542" i="4"/>
  <c r="AH542" i="4"/>
  <c r="AG542" i="4"/>
  <c r="AF542" i="4"/>
  <c r="AE542" i="4"/>
  <c r="AD542" i="4"/>
  <c r="AC542" i="4"/>
  <c r="AB542" i="4"/>
  <c r="AA542" i="4"/>
  <c r="Z542" i="4"/>
  <c r="H542" i="4"/>
  <c r="G542" i="4"/>
  <c r="AO541" i="4"/>
  <c r="AN541" i="4"/>
  <c r="AM541" i="4"/>
  <c r="AL541" i="4"/>
  <c r="AK541" i="4"/>
  <c r="AJ541" i="4"/>
  <c r="AI541" i="4"/>
  <c r="AH541" i="4"/>
  <c r="AG541" i="4"/>
  <c r="AF541" i="4"/>
  <c r="AE541" i="4"/>
  <c r="AD541" i="4"/>
  <c r="AC541" i="4"/>
  <c r="AB541" i="4"/>
  <c r="AA541" i="4"/>
  <c r="Z541" i="4"/>
  <c r="H541" i="4"/>
  <c r="G541" i="4"/>
  <c r="AO540" i="4"/>
  <c r="AN540" i="4"/>
  <c r="AM540" i="4"/>
  <c r="AL540" i="4"/>
  <c r="AK540" i="4"/>
  <c r="AJ540" i="4"/>
  <c r="AI540" i="4"/>
  <c r="AH540" i="4"/>
  <c r="AG540" i="4"/>
  <c r="AF540" i="4"/>
  <c r="AE540" i="4"/>
  <c r="AD540" i="4"/>
  <c r="AC540" i="4"/>
  <c r="AB540" i="4"/>
  <c r="AA540" i="4"/>
  <c r="Z540" i="4"/>
  <c r="H540" i="4"/>
  <c r="G540" i="4"/>
  <c r="AO539" i="4"/>
  <c r="AN539" i="4"/>
  <c r="AM539" i="4"/>
  <c r="AL539" i="4"/>
  <c r="AK539" i="4"/>
  <c r="AJ539" i="4"/>
  <c r="AI539" i="4"/>
  <c r="AH539" i="4"/>
  <c r="AG539" i="4"/>
  <c r="AF539" i="4"/>
  <c r="AE539" i="4"/>
  <c r="AD539" i="4"/>
  <c r="AC539" i="4"/>
  <c r="AB539" i="4"/>
  <c r="AA539" i="4"/>
  <c r="Z539" i="4"/>
  <c r="H539" i="4"/>
  <c r="G539" i="4"/>
  <c r="AO538" i="4"/>
  <c r="AN538" i="4"/>
  <c r="AM538" i="4"/>
  <c r="AL538" i="4"/>
  <c r="AK538" i="4"/>
  <c r="AJ538" i="4"/>
  <c r="AI538" i="4"/>
  <c r="AH538" i="4"/>
  <c r="AG538" i="4"/>
  <c r="AF538" i="4"/>
  <c r="AE538" i="4"/>
  <c r="AD538" i="4"/>
  <c r="AC538" i="4"/>
  <c r="AB538" i="4"/>
  <c r="AA538" i="4"/>
  <c r="Z538" i="4"/>
  <c r="H538" i="4"/>
  <c r="G538" i="4"/>
  <c r="AO537" i="4"/>
  <c r="AN537" i="4"/>
  <c r="AM537" i="4"/>
  <c r="AL537" i="4"/>
  <c r="AK537" i="4"/>
  <c r="AJ537" i="4"/>
  <c r="AI537" i="4"/>
  <c r="AH537" i="4"/>
  <c r="AG537" i="4"/>
  <c r="AF537" i="4"/>
  <c r="AE537" i="4"/>
  <c r="AD537" i="4"/>
  <c r="AC537" i="4"/>
  <c r="AB537" i="4"/>
  <c r="AA537" i="4"/>
  <c r="Z537" i="4"/>
  <c r="H537" i="4"/>
  <c r="G537" i="4"/>
  <c r="AO536" i="4"/>
  <c r="AN536" i="4"/>
  <c r="AM536" i="4"/>
  <c r="AL536" i="4"/>
  <c r="AK536" i="4"/>
  <c r="AJ536" i="4"/>
  <c r="AI536" i="4"/>
  <c r="AH536" i="4"/>
  <c r="AG536" i="4"/>
  <c r="AF536" i="4"/>
  <c r="AE536" i="4"/>
  <c r="AD536" i="4"/>
  <c r="AC536" i="4"/>
  <c r="AB536" i="4"/>
  <c r="AA536" i="4"/>
  <c r="Z536" i="4"/>
  <c r="H536" i="4"/>
  <c r="G536" i="4"/>
  <c r="AO535" i="4"/>
  <c r="AN535" i="4"/>
  <c r="AM535" i="4"/>
  <c r="AL535" i="4"/>
  <c r="AK535" i="4"/>
  <c r="AJ535" i="4"/>
  <c r="AI535" i="4"/>
  <c r="AH535" i="4"/>
  <c r="AG535" i="4"/>
  <c r="AF535" i="4"/>
  <c r="AE535" i="4"/>
  <c r="AD535" i="4"/>
  <c r="AC535" i="4"/>
  <c r="AB535" i="4"/>
  <c r="AA535" i="4"/>
  <c r="Z535" i="4"/>
  <c r="H535" i="4"/>
  <c r="G535" i="4"/>
  <c r="AO534" i="4"/>
  <c r="AN534" i="4"/>
  <c r="AM534" i="4"/>
  <c r="AL534" i="4"/>
  <c r="AK534" i="4"/>
  <c r="AJ534" i="4"/>
  <c r="AI534" i="4"/>
  <c r="AH534" i="4"/>
  <c r="AG534" i="4"/>
  <c r="AF534" i="4"/>
  <c r="AE534" i="4"/>
  <c r="AD534" i="4"/>
  <c r="AC534" i="4"/>
  <c r="AB534" i="4"/>
  <c r="AA534" i="4"/>
  <c r="Z534" i="4"/>
  <c r="H534" i="4"/>
  <c r="G534" i="4"/>
  <c r="AO533" i="4"/>
  <c r="AN533" i="4"/>
  <c r="AM533" i="4"/>
  <c r="AL533" i="4"/>
  <c r="AK533" i="4"/>
  <c r="AJ533" i="4"/>
  <c r="AI533" i="4"/>
  <c r="AH533" i="4"/>
  <c r="AG533" i="4"/>
  <c r="AF533" i="4"/>
  <c r="AE533" i="4"/>
  <c r="AD533" i="4"/>
  <c r="AC533" i="4"/>
  <c r="AB533" i="4"/>
  <c r="AA533" i="4"/>
  <c r="Z533" i="4"/>
  <c r="H533" i="4"/>
  <c r="G533" i="4"/>
  <c r="AO532" i="4"/>
  <c r="AN532" i="4"/>
  <c r="AM532" i="4"/>
  <c r="AL532" i="4"/>
  <c r="AK532" i="4"/>
  <c r="AJ532" i="4"/>
  <c r="AI532" i="4"/>
  <c r="AH532" i="4"/>
  <c r="AG532" i="4"/>
  <c r="AF532" i="4"/>
  <c r="AE532" i="4"/>
  <c r="AD532" i="4"/>
  <c r="AC532" i="4"/>
  <c r="AB532" i="4"/>
  <c r="AA532" i="4"/>
  <c r="Z532" i="4"/>
  <c r="H532" i="4"/>
  <c r="G532" i="4"/>
  <c r="AO531" i="4"/>
  <c r="AN531" i="4"/>
  <c r="AM531" i="4"/>
  <c r="AL531" i="4"/>
  <c r="AK531" i="4"/>
  <c r="AJ531" i="4"/>
  <c r="AI531" i="4"/>
  <c r="AH531" i="4"/>
  <c r="AG531" i="4"/>
  <c r="AF531" i="4"/>
  <c r="AE531" i="4"/>
  <c r="AD531" i="4"/>
  <c r="AC531" i="4"/>
  <c r="AB531" i="4"/>
  <c r="AA531" i="4"/>
  <c r="Z531" i="4"/>
  <c r="H531" i="4"/>
  <c r="G531" i="4"/>
  <c r="AO530" i="4"/>
  <c r="AN530" i="4"/>
  <c r="AM530" i="4"/>
  <c r="AL530" i="4"/>
  <c r="AK530" i="4"/>
  <c r="AJ530" i="4"/>
  <c r="AI530" i="4"/>
  <c r="AH530" i="4"/>
  <c r="AG530" i="4"/>
  <c r="AF530" i="4"/>
  <c r="AE530" i="4"/>
  <c r="AD530" i="4"/>
  <c r="AC530" i="4"/>
  <c r="AB530" i="4"/>
  <c r="AA530" i="4"/>
  <c r="Z530" i="4"/>
  <c r="H530" i="4"/>
  <c r="G530" i="4"/>
  <c r="AO529" i="4"/>
  <c r="AN529" i="4"/>
  <c r="AM529" i="4"/>
  <c r="AL529" i="4"/>
  <c r="AK529" i="4"/>
  <c r="AJ529" i="4"/>
  <c r="AI529" i="4"/>
  <c r="AH529" i="4"/>
  <c r="AG529" i="4"/>
  <c r="AF529" i="4"/>
  <c r="AE529" i="4"/>
  <c r="AD529" i="4"/>
  <c r="AC529" i="4"/>
  <c r="AB529" i="4"/>
  <c r="AA529" i="4"/>
  <c r="Z529" i="4"/>
  <c r="H529" i="4"/>
  <c r="G529" i="4"/>
  <c r="AO528" i="4"/>
  <c r="AN528" i="4"/>
  <c r="AM528" i="4"/>
  <c r="AL528" i="4"/>
  <c r="AK528" i="4"/>
  <c r="AJ528" i="4"/>
  <c r="AI528" i="4"/>
  <c r="AH528" i="4"/>
  <c r="AG528" i="4"/>
  <c r="AF528" i="4"/>
  <c r="AE528" i="4"/>
  <c r="AD528" i="4"/>
  <c r="AC528" i="4"/>
  <c r="AB528" i="4"/>
  <c r="AA528" i="4"/>
  <c r="Z528" i="4"/>
  <c r="H528" i="4"/>
  <c r="G528" i="4"/>
  <c r="AO527" i="4"/>
  <c r="AN527" i="4"/>
  <c r="AM527" i="4"/>
  <c r="AL527" i="4"/>
  <c r="AK527" i="4"/>
  <c r="AJ527" i="4"/>
  <c r="AI527" i="4"/>
  <c r="AH527" i="4"/>
  <c r="AG527" i="4"/>
  <c r="AF527" i="4"/>
  <c r="AE527" i="4"/>
  <c r="AD527" i="4"/>
  <c r="AC527" i="4"/>
  <c r="AB527" i="4"/>
  <c r="AA527" i="4"/>
  <c r="Z527" i="4"/>
  <c r="H527" i="4"/>
  <c r="G527" i="4"/>
  <c r="AO526" i="4"/>
  <c r="AN526" i="4"/>
  <c r="AM526" i="4"/>
  <c r="AL526" i="4"/>
  <c r="AK526" i="4"/>
  <c r="AJ526" i="4"/>
  <c r="AI526" i="4"/>
  <c r="AH526" i="4"/>
  <c r="AG526" i="4"/>
  <c r="AF526" i="4"/>
  <c r="AE526" i="4"/>
  <c r="AD526" i="4"/>
  <c r="AC526" i="4"/>
  <c r="AB526" i="4"/>
  <c r="AA526" i="4"/>
  <c r="Z526" i="4"/>
  <c r="H526" i="4"/>
  <c r="G526" i="4"/>
  <c r="AO525" i="4"/>
  <c r="AN525" i="4"/>
  <c r="AM525" i="4"/>
  <c r="AL525" i="4"/>
  <c r="AK525" i="4"/>
  <c r="AJ525" i="4"/>
  <c r="AI525" i="4"/>
  <c r="AH525" i="4"/>
  <c r="AG525" i="4"/>
  <c r="AF525" i="4"/>
  <c r="AE525" i="4"/>
  <c r="AD525" i="4"/>
  <c r="AC525" i="4"/>
  <c r="AB525" i="4"/>
  <c r="AA525" i="4"/>
  <c r="Z525" i="4"/>
  <c r="H525" i="4"/>
  <c r="G525" i="4"/>
  <c r="AO524" i="4"/>
  <c r="AN524" i="4"/>
  <c r="AM524" i="4"/>
  <c r="AL524" i="4"/>
  <c r="AK524" i="4"/>
  <c r="AJ524" i="4"/>
  <c r="AI524" i="4"/>
  <c r="AH524" i="4"/>
  <c r="AG524" i="4"/>
  <c r="AF524" i="4"/>
  <c r="AE524" i="4"/>
  <c r="AD524" i="4"/>
  <c r="AC524" i="4"/>
  <c r="AB524" i="4"/>
  <c r="AA524" i="4"/>
  <c r="Z524" i="4"/>
  <c r="H524" i="4"/>
  <c r="G524" i="4"/>
  <c r="AO523" i="4"/>
  <c r="AN523" i="4"/>
  <c r="AM523" i="4"/>
  <c r="AL523" i="4"/>
  <c r="AK523" i="4"/>
  <c r="AJ523" i="4"/>
  <c r="AI523" i="4"/>
  <c r="AH523" i="4"/>
  <c r="AG523" i="4"/>
  <c r="AF523" i="4"/>
  <c r="AE523" i="4"/>
  <c r="AD523" i="4"/>
  <c r="AC523" i="4"/>
  <c r="AB523" i="4"/>
  <c r="AA523" i="4"/>
  <c r="Z523" i="4"/>
  <c r="H523" i="4"/>
  <c r="G523" i="4"/>
  <c r="AO522" i="4"/>
  <c r="AN522" i="4"/>
  <c r="AM522" i="4"/>
  <c r="AL522" i="4"/>
  <c r="AK522" i="4"/>
  <c r="AJ522" i="4"/>
  <c r="AI522" i="4"/>
  <c r="AH522" i="4"/>
  <c r="AG522" i="4"/>
  <c r="AF522" i="4"/>
  <c r="AE522" i="4"/>
  <c r="AD522" i="4"/>
  <c r="AC522" i="4"/>
  <c r="AB522" i="4"/>
  <c r="AA522" i="4"/>
  <c r="Z522" i="4"/>
  <c r="H522" i="4"/>
  <c r="G522" i="4"/>
  <c r="AO521" i="4"/>
  <c r="AN521" i="4"/>
  <c r="AM521" i="4"/>
  <c r="AL521" i="4"/>
  <c r="AK521" i="4"/>
  <c r="AJ521" i="4"/>
  <c r="AI521" i="4"/>
  <c r="AH521" i="4"/>
  <c r="AG521" i="4"/>
  <c r="AF521" i="4"/>
  <c r="AE521" i="4"/>
  <c r="AD521" i="4"/>
  <c r="AC521" i="4"/>
  <c r="AB521" i="4"/>
  <c r="AA521" i="4"/>
  <c r="Z521" i="4"/>
  <c r="H521" i="4"/>
  <c r="G521" i="4"/>
  <c r="AO520" i="4"/>
  <c r="AN520" i="4"/>
  <c r="AM520" i="4"/>
  <c r="AL520" i="4"/>
  <c r="AK520" i="4"/>
  <c r="AJ520" i="4"/>
  <c r="AI520" i="4"/>
  <c r="AH520" i="4"/>
  <c r="AG520" i="4"/>
  <c r="AF520" i="4"/>
  <c r="AE520" i="4"/>
  <c r="AD520" i="4"/>
  <c r="AC520" i="4"/>
  <c r="AB520" i="4"/>
  <c r="AA520" i="4"/>
  <c r="Z520" i="4"/>
  <c r="H520" i="4"/>
  <c r="G520" i="4"/>
  <c r="AO519" i="4"/>
  <c r="AN519" i="4"/>
  <c r="AM519" i="4"/>
  <c r="AL519" i="4"/>
  <c r="AK519" i="4"/>
  <c r="AJ519" i="4"/>
  <c r="AI519" i="4"/>
  <c r="AH519" i="4"/>
  <c r="AG519" i="4"/>
  <c r="AF519" i="4"/>
  <c r="AE519" i="4"/>
  <c r="AD519" i="4"/>
  <c r="AC519" i="4"/>
  <c r="AB519" i="4"/>
  <c r="AA519" i="4"/>
  <c r="Z519" i="4"/>
  <c r="H519" i="4"/>
  <c r="G519" i="4"/>
  <c r="AO518" i="4"/>
  <c r="AN518" i="4"/>
  <c r="AM518" i="4"/>
  <c r="AL518" i="4"/>
  <c r="AK518" i="4"/>
  <c r="AJ518" i="4"/>
  <c r="AI518" i="4"/>
  <c r="AH518" i="4"/>
  <c r="AG518" i="4"/>
  <c r="AF518" i="4"/>
  <c r="AE518" i="4"/>
  <c r="AD518" i="4"/>
  <c r="AC518" i="4"/>
  <c r="AB518" i="4"/>
  <c r="AA518" i="4"/>
  <c r="Z518" i="4"/>
  <c r="H518" i="4"/>
  <c r="G518" i="4"/>
  <c r="AO517" i="4"/>
  <c r="AN517" i="4"/>
  <c r="AM517" i="4"/>
  <c r="AL517" i="4"/>
  <c r="AK517" i="4"/>
  <c r="AJ517" i="4"/>
  <c r="AI517" i="4"/>
  <c r="AH517" i="4"/>
  <c r="AG517" i="4"/>
  <c r="AF517" i="4"/>
  <c r="AE517" i="4"/>
  <c r="AD517" i="4"/>
  <c r="AC517" i="4"/>
  <c r="AB517" i="4"/>
  <c r="AA517" i="4"/>
  <c r="Z517" i="4"/>
  <c r="H517" i="4"/>
  <c r="G517" i="4"/>
  <c r="AO516" i="4"/>
  <c r="AN516" i="4"/>
  <c r="AM516" i="4"/>
  <c r="AL516" i="4"/>
  <c r="AK516" i="4"/>
  <c r="AJ516" i="4"/>
  <c r="AI516" i="4"/>
  <c r="AH516" i="4"/>
  <c r="AG516" i="4"/>
  <c r="AF516" i="4"/>
  <c r="AE516" i="4"/>
  <c r="AD516" i="4"/>
  <c r="AC516" i="4"/>
  <c r="AB516" i="4"/>
  <c r="AA516" i="4"/>
  <c r="Z516" i="4"/>
  <c r="H516" i="4"/>
  <c r="G516" i="4"/>
  <c r="AO515" i="4"/>
  <c r="AN515" i="4"/>
  <c r="AM515" i="4"/>
  <c r="AL515" i="4"/>
  <c r="AK515" i="4"/>
  <c r="AJ515" i="4"/>
  <c r="AI515" i="4"/>
  <c r="AH515" i="4"/>
  <c r="AG515" i="4"/>
  <c r="AF515" i="4"/>
  <c r="AE515" i="4"/>
  <c r="AD515" i="4"/>
  <c r="AC515" i="4"/>
  <c r="AB515" i="4"/>
  <c r="AA515" i="4"/>
  <c r="Z515" i="4"/>
  <c r="H515" i="4"/>
  <c r="G515" i="4"/>
  <c r="AO514" i="4"/>
  <c r="AN514" i="4"/>
  <c r="AM514" i="4"/>
  <c r="AL514" i="4"/>
  <c r="AK514" i="4"/>
  <c r="AJ514" i="4"/>
  <c r="AI514" i="4"/>
  <c r="AH514" i="4"/>
  <c r="AG514" i="4"/>
  <c r="AF514" i="4"/>
  <c r="AE514" i="4"/>
  <c r="AD514" i="4"/>
  <c r="AC514" i="4"/>
  <c r="AB514" i="4"/>
  <c r="AA514" i="4"/>
  <c r="Z514" i="4"/>
  <c r="H514" i="4"/>
  <c r="G514" i="4"/>
  <c r="AO513" i="4"/>
  <c r="AN513" i="4"/>
  <c r="AM513" i="4"/>
  <c r="AL513" i="4"/>
  <c r="AK513" i="4"/>
  <c r="AJ513" i="4"/>
  <c r="AI513" i="4"/>
  <c r="AH513" i="4"/>
  <c r="AG513" i="4"/>
  <c r="AF513" i="4"/>
  <c r="AE513" i="4"/>
  <c r="AD513" i="4"/>
  <c r="AC513" i="4"/>
  <c r="AB513" i="4"/>
  <c r="AA513" i="4"/>
  <c r="Z513" i="4"/>
  <c r="H513" i="4"/>
  <c r="G513" i="4"/>
  <c r="AO512" i="4"/>
  <c r="AN512" i="4"/>
  <c r="AM512" i="4"/>
  <c r="AL512" i="4"/>
  <c r="AK512" i="4"/>
  <c r="AJ512" i="4"/>
  <c r="AI512" i="4"/>
  <c r="AH512" i="4"/>
  <c r="AG512" i="4"/>
  <c r="AF512" i="4"/>
  <c r="AE512" i="4"/>
  <c r="AD512" i="4"/>
  <c r="AC512" i="4"/>
  <c r="AB512" i="4"/>
  <c r="AA512" i="4"/>
  <c r="Z512" i="4"/>
  <c r="H512" i="4"/>
  <c r="G512" i="4"/>
  <c r="AO511" i="4"/>
  <c r="AN511" i="4"/>
  <c r="AM511" i="4"/>
  <c r="AL511" i="4"/>
  <c r="AK511" i="4"/>
  <c r="AJ511" i="4"/>
  <c r="AI511" i="4"/>
  <c r="AH511" i="4"/>
  <c r="AG511" i="4"/>
  <c r="AF511" i="4"/>
  <c r="AE511" i="4"/>
  <c r="AD511" i="4"/>
  <c r="AC511" i="4"/>
  <c r="AB511" i="4"/>
  <c r="AA511" i="4"/>
  <c r="Z511" i="4"/>
  <c r="H511" i="4"/>
  <c r="G511" i="4"/>
  <c r="AO510" i="4"/>
  <c r="AN510" i="4"/>
  <c r="AM510" i="4"/>
  <c r="AL510" i="4"/>
  <c r="AK510" i="4"/>
  <c r="AJ510" i="4"/>
  <c r="AI510" i="4"/>
  <c r="AH510" i="4"/>
  <c r="AG510" i="4"/>
  <c r="AF510" i="4"/>
  <c r="AE510" i="4"/>
  <c r="AD510" i="4"/>
  <c r="AC510" i="4"/>
  <c r="AB510" i="4"/>
  <c r="AA510" i="4"/>
  <c r="Z510" i="4"/>
  <c r="H510" i="4"/>
  <c r="G510" i="4"/>
  <c r="AO509" i="4"/>
  <c r="AN509" i="4"/>
  <c r="AM509" i="4"/>
  <c r="AL509" i="4"/>
  <c r="AK509" i="4"/>
  <c r="AJ509" i="4"/>
  <c r="AI509" i="4"/>
  <c r="AH509" i="4"/>
  <c r="AG509" i="4"/>
  <c r="AF509" i="4"/>
  <c r="AE509" i="4"/>
  <c r="AD509" i="4"/>
  <c r="AC509" i="4"/>
  <c r="AB509" i="4"/>
  <c r="AA509" i="4"/>
  <c r="Z509" i="4"/>
  <c r="H509" i="4"/>
  <c r="G509" i="4"/>
  <c r="AO508" i="4"/>
  <c r="AN508" i="4"/>
  <c r="AM508" i="4"/>
  <c r="AL508" i="4"/>
  <c r="AK508" i="4"/>
  <c r="AJ508" i="4"/>
  <c r="AI508" i="4"/>
  <c r="AH508" i="4"/>
  <c r="AG508" i="4"/>
  <c r="AF508" i="4"/>
  <c r="AE508" i="4"/>
  <c r="AD508" i="4"/>
  <c r="AC508" i="4"/>
  <c r="AB508" i="4"/>
  <c r="AA508" i="4"/>
  <c r="Z508" i="4"/>
  <c r="H508" i="4"/>
  <c r="G508" i="4"/>
  <c r="AO507" i="4"/>
  <c r="AN507" i="4"/>
  <c r="AM507" i="4"/>
  <c r="AL507" i="4"/>
  <c r="AK507" i="4"/>
  <c r="AJ507" i="4"/>
  <c r="AI507" i="4"/>
  <c r="AH507" i="4"/>
  <c r="AG507" i="4"/>
  <c r="AF507" i="4"/>
  <c r="AE507" i="4"/>
  <c r="AD507" i="4"/>
  <c r="AC507" i="4"/>
  <c r="AB507" i="4"/>
  <c r="AA507" i="4"/>
  <c r="Z507" i="4"/>
  <c r="H507" i="4"/>
  <c r="G507" i="4"/>
  <c r="AO506" i="4"/>
  <c r="AN506" i="4"/>
  <c r="AM506" i="4"/>
  <c r="AL506" i="4"/>
  <c r="AK506" i="4"/>
  <c r="AJ506" i="4"/>
  <c r="AI506" i="4"/>
  <c r="AH506" i="4"/>
  <c r="AG506" i="4"/>
  <c r="AF506" i="4"/>
  <c r="AE506" i="4"/>
  <c r="AD506" i="4"/>
  <c r="AC506" i="4"/>
  <c r="AB506" i="4"/>
  <c r="AA506" i="4"/>
  <c r="Z506" i="4"/>
  <c r="H506" i="4"/>
  <c r="G506" i="4"/>
  <c r="AO505" i="4"/>
  <c r="AN505" i="4"/>
  <c r="AM505" i="4"/>
  <c r="AL505" i="4"/>
  <c r="AK505" i="4"/>
  <c r="AJ505" i="4"/>
  <c r="AI505" i="4"/>
  <c r="AH505" i="4"/>
  <c r="AG505" i="4"/>
  <c r="AF505" i="4"/>
  <c r="AE505" i="4"/>
  <c r="AD505" i="4"/>
  <c r="AC505" i="4"/>
  <c r="AB505" i="4"/>
  <c r="AA505" i="4"/>
  <c r="Z505" i="4"/>
  <c r="H505" i="4"/>
  <c r="G505" i="4"/>
  <c r="AO504" i="4"/>
  <c r="AN504" i="4"/>
  <c r="AM504" i="4"/>
  <c r="AL504" i="4"/>
  <c r="AK504" i="4"/>
  <c r="AJ504" i="4"/>
  <c r="AI504" i="4"/>
  <c r="AH504" i="4"/>
  <c r="AG504" i="4"/>
  <c r="AF504" i="4"/>
  <c r="AE504" i="4"/>
  <c r="AD504" i="4"/>
  <c r="AC504" i="4"/>
  <c r="AB504" i="4"/>
  <c r="AA504" i="4"/>
  <c r="Z504" i="4"/>
  <c r="H504" i="4"/>
  <c r="G504" i="4"/>
  <c r="AO503" i="4"/>
  <c r="AN503" i="4"/>
  <c r="AM503" i="4"/>
  <c r="AL503" i="4"/>
  <c r="AK503" i="4"/>
  <c r="AJ503" i="4"/>
  <c r="AI503" i="4"/>
  <c r="AH503" i="4"/>
  <c r="AG503" i="4"/>
  <c r="AF503" i="4"/>
  <c r="AE503" i="4"/>
  <c r="AD503" i="4"/>
  <c r="AC503" i="4"/>
  <c r="AB503" i="4"/>
  <c r="AA503" i="4"/>
  <c r="Z503" i="4"/>
  <c r="H503" i="4"/>
  <c r="G503" i="4"/>
  <c r="AO502" i="4"/>
  <c r="AN502" i="4"/>
  <c r="AM502" i="4"/>
  <c r="AL502" i="4"/>
  <c r="AK502" i="4"/>
  <c r="AJ502" i="4"/>
  <c r="AI502" i="4"/>
  <c r="AH502" i="4"/>
  <c r="AG502" i="4"/>
  <c r="AF502" i="4"/>
  <c r="AE502" i="4"/>
  <c r="AD502" i="4"/>
  <c r="AC502" i="4"/>
  <c r="AB502" i="4"/>
  <c r="AA502" i="4"/>
  <c r="Z502" i="4"/>
  <c r="H502" i="4"/>
  <c r="G502" i="4"/>
  <c r="AO501" i="4"/>
  <c r="AN501" i="4"/>
  <c r="AM501" i="4"/>
  <c r="AL501" i="4"/>
  <c r="AK501" i="4"/>
  <c r="AJ501" i="4"/>
  <c r="AI501" i="4"/>
  <c r="AH501" i="4"/>
  <c r="AG501" i="4"/>
  <c r="AF501" i="4"/>
  <c r="AE501" i="4"/>
  <c r="AD501" i="4"/>
  <c r="AC501" i="4"/>
  <c r="AB501" i="4"/>
  <c r="AA501" i="4"/>
  <c r="Z501" i="4"/>
  <c r="H501" i="4"/>
  <c r="G501" i="4"/>
  <c r="AO500" i="4"/>
  <c r="AN500" i="4"/>
  <c r="AM500" i="4"/>
  <c r="AL500" i="4"/>
  <c r="AK500" i="4"/>
  <c r="AJ500" i="4"/>
  <c r="AI500" i="4"/>
  <c r="AH500" i="4"/>
  <c r="AG500" i="4"/>
  <c r="AF500" i="4"/>
  <c r="AE500" i="4"/>
  <c r="AD500" i="4"/>
  <c r="AC500" i="4"/>
  <c r="AB500" i="4"/>
  <c r="AA500" i="4"/>
  <c r="Z500" i="4"/>
  <c r="H500" i="4"/>
  <c r="G500" i="4"/>
  <c r="AO499" i="4"/>
  <c r="AN499" i="4"/>
  <c r="AM499" i="4"/>
  <c r="AL499" i="4"/>
  <c r="AK499" i="4"/>
  <c r="AJ499" i="4"/>
  <c r="AI499" i="4"/>
  <c r="AH499" i="4"/>
  <c r="AG499" i="4"/>
  <c r="AF499" i="4"/>
  <c r="AE499" i="4"/>
  <c r="AD499" i="4"/>
  <c r="AC499" i="4"/>
  <c r="AB499" i="4"/>
  <c r="AA499" i="4"/>
  <c r="Z499" i="4"/>
  <c r="H499" i="4"/>
  <c r="G499" i="4"/>
  <c r="AO498" i="4"/>
  <c r="AN498" i="4"/>
  <c r="AM498" i="4"/>
  <c r="AL498" i="4"/>
  <c r="AK498" i="4"/>
  <c r="AJ498" i="4"/>
  <c r="AI498" i="4"/>
  <c r="AH498" i="4"/>
  <c r="AG498" i="4"/>
  <c r="AF498" i="4"/>
  <c r="AE498" i="4"/>
  <c r="AD498" i="4"/>
  <c r="AC498" i="4"/>
  <c r="AB498" i="4"/>
  <c r="AA498" i="4"/>
  <c r="Z498" i="4"/>
  <c r="H498" i="4"/>
  <c r="G498" i="4"/>
  <c r="AO497" i="4"/>
  <c r="AN497" i="4"/>
  <c r="AM497" i="4"/>
  <c r="AL497" i="4"/>
  <c r="AK497" i="4"/>
  <c r="AJ497" i="4"/>
  <c r="AI497" i="4"/>
  <c r="AH497" i="4"/>
  <c r="AG497" i="4"/>
  <c r="AF497" i="4"/>
  <c r="AE497" i="4"/>
  <c r="AD497" i="4"/>
  <c r="AC497" i="4"/>
  <c r="AB497" i="4"/>
  <c r="AA497" i="4"/>
  <c r="Z497" i="4"/>
  <c r="H497" i="4"/>
  <c r="G497" i="4"/>
  <c r="AO496" i="4"/>
  <c r="AN496" i="4"/>
  <c r="AM496" i="4"/>
  <c r="AL496" i="4"/>
  <c r="AK496" i="4"/>
  <c r="AJ496" i="4"/>
  <c r="AI496" i="4"/>
  <c r="AH496" i="4"/>
  <c r="AG496" i="4"/>
  <c r="AF496" i="4"/>
  <c r="AE496" i="4"/>
  <c r="AD496" i="4"/>
  <c r="AC496" i="4"/>
  <c r="AB496" i="4"/>
  <c r="AA496" i="4"/>
  <c r="Z496" i="4"/>
  <c r="H496" i="4"/>
  <c r="G496" i="4"/>
  <c r="AO495" i="4"/>
  <c r="AN495" i="4"/>
  <c r="AM495" i="4"/>
  <c r="AL495" i="4"/>
  <c r="AK495" i="4"/>
  <c r="AJ495" i="4"/>
  <c r="AI495" i="4"/>
  <c r="AH495" i="4"/>
  <c r="AG495" i="4"/>
  <c r="AF495" i="4"/>
  <c r="AE495" i="4"/>
  <c r="AD495" i="4"/>
  <c r="AC495" i="4"/>
  <c r="AB495" i="4"/>
  <c r="AA495" i="4"/>
  <c r="Z495" i="4"/>
  <c r="H495" i="4"/>
  <c r="G495" i="4"/>
  <c r="AO494" i="4"/>
  <c r="AN494" i="4"/>
  <c r="AM494" i="4"/>
  <c r="AL494" i="4"/>
  <c r="AK494" i="4"/>
  <c r="AJ494" i="4"/>
  <c r="AI494" i="4"/>
  <c r="AH494" i="4"/>
  <c r="AG494" i="4"/>
  <c r="AF494" i="4"/>
  <c r="AE494" i="4"/>
  <c r="AD494" i="4"/>
  <c r="AC494" i="4"/>
  <c r="AB494" i="4"/>
  <c r="AA494" i="4"/>
  <c r="Z494" i="4"/>
  <c r="H494" i="4"/>
  <c r="G494" i="4"/>
  <c r="AO493" i="4"/>
  <c r="AN493" i="4"/>
  <c r="AM493" i="4"/>
  <c r="AL493" i="4"/>
  <c r="AK493" i="4"/>
  <c r="AJ493" i="4"/>
  <c r="AI493" i="4"/>
  <c r="AH493" i="4"/>
  <c r="AG493" i="4"/>
  <c r="AF493" i="4"/>
  <c r="AE493" i="4"/>
  <c r="AD493" i="4"/>
  <c r="AC493" i="4"/>
  <c r="AB493" i="4"/>
  <c r="AA493" i="4"/>
  <c r="Z493" i="4"/>
  <c r="H493" i="4"/>
  <c r="G493" i="4"/>
  <c r="AO492" i="4"/>
  <c r="AN492" i="4"/>
  <c r="AM492" i="4"/>
  <c r="AL492" i="4"/>
  <c r="AK492" i="4"/>
  <c r="AJ492" i="4"/>
  <c r="AI492" i="4"/>
  <c r="AH492" i="4"/>
  <c r="AG492" i="4"/>
  <c r="AF492" i="4"/>
  <c r="AE492" i="4"/>
  <c r="AD492" i="4"/>
  <c r="AC492" i="4"/>
  <c r="AB492" i="4"/>
  <c r="AA492" i="4"/>
  <c r="Z492" i="4"/>
  <c r="H492" i="4"/>
  <c r="G492" i="4"/>
  <c r="AO491" i="4"/>
  <c r="AN491" i="4"/>
  <c r="AM491" i="4"/>
  <c r="AL491" i="4"/>
  <c r="AK491" i="4"/>
  <c r="AJ491" i="4"/>
  <c r="AI491" i="4"/>
  <c r="AH491" i="4"/>
  <c r="AG491" i="4"/>
  <c r="AF491" i="4"/>
  <c r="AE491" i="4"/>
  <c r="AD491" i="4"/>
  <c r="AC491" i="4"/>
  <c r="AB491" i="4"/>
  <c r="AA491" i="4"/>
  <c r="Z491" i="4"/>
  <c r="H491" i="4"/>
  <c r="G491" i="4"/>
  <c r="AO490" i="4"/>
  <c r="AN490" i="4"/>
  <c r="AM490" i="4"/>
  <c r="AL490" i="4"/>
  <c r="AK490" i="4"/>
  <c r="AJ490" i="4"/>
  <c r="AI490" i="4"/>
  <c r="AH490" i="4"/>
  <c r="AG490" i="4"/>
  <c r="AF490" i="4"/>
  <c r="AE490" i="4"/>
  <c r="AD490" i="4"/>
  <c r="AC490" i="4"/>
  <c r="AB490" i="4"/>
  <c r="AA490" i="4"/>
  <c r="Z490" i="4"/>
  <c r="H490" i="4"/>
  <c r="G490" i="4"/>
  <c r="AO489" i="4"/>
  <c r="AN489" i="4"/>
  <c r="AM489" i="4"/>
  <c r="AL489" i="4"/>
  <c r="AK489" i="4"/>
  <c r="AJ489" i="4"/>
  <c r="AI489" i="4"/>
  <c r="AH489" i="4"/>
  <c r="AG489" i="4"/>
  <c r="AF489" i="4"/>
  <c r="AE489" i="4"/>
  <c r="AD489" i="4"/>
  <c r="AC489" i="4"/>
  <c r="AB489" i="4"/>
  <c r="AA489" i="4"/>
  <c r="Z489" i="4"/>
  <c r="H489" i="4"/>
  <c r="G489" i="4"/>
  <c r="AO488" i="4"/>
  <c r="AN488" i="4"/>
  <c r="AM488" i="4"/>
  <c r="AL488" i="4"/>
  <c r="AK488" i="4"/>
  <c r="AJ488" i="4"/>
  <c r="AI488" i="4"/>
  <c r="AH488" i="4"/>
  <c r="AG488" i="4"/>
  <c r="AF488" i="4"/>
  <c r="AE488" i="4"/>
  <c r="AD488" i="4"/>
  <c r="AC488" i="4"/>
  <c r="AB488" i="4"/>
  <c r="AA488" i="4"/>
  <c r="Z488" i="4"/>
  <c r="H488" i="4"/>
  <c r="G488" i="4"/>
  <c r="AO487" i="4"/>
  <c r="AN487" i="4"/>
  <c r="AM487" i="4"/>
  <c r="AL487" i="4"/>
  <c r="AK487" i="4"/>
  <c r="AJ487" i="4"/>
  <c r="AI487" i="4"/>
  <c r="AH487" i="4"/>
  <c r="AG487" i="4"/>
  <c r="AF487" i="4"/>
  <c r="AE487" i="4"/>
  <c r="AD487" i="4"/>
  <c r="AC487" i="4"/>
  <c r="AB487" i="4"/>
  <c r="AA487" i="4"/>
  <c r="Z487" i="4"/>
  <c r="H487" i="4"/>
  <c r="G487" i="4"/>
  <c r="AO486" i="4"/>
  <c r="AN486" i="4"/>
  <c r="AM486" i="4"/>
  <c r="AL486" i="4"/>
  <c r="AK486" i="4"/>
  <c r="AJ486" i="4"/>
  <c r="AI486" i="4"/>
  <c r="AH486" i="4"/>
  <c r="AG486" i="4"/>
  <c r="AF486" i="4"/>
  <c r="AE486" i="4"/>
  <c r="AD486" i="4"/>
  <c r="AC486" i="4"/>
  <c r="AB486" i="4"/>
  <c r="AA486" i="4"/>
  <c r="Z486" i="4"/>
  <c r="H486" i="4"/>
  <c r="G486" i="4"/>
  <c r="AO485" i="4"/>
  <c r="AN485" i="4"/>
  <c r="AM485" i="4"/>
  <c r="AL485" i="4"/>
  <c r="AK485" i="4"/>
  <c r="AJ485" i="4"/>
  <c r="AI485" i="4"/>
  <c r="AH485" i="4"/>
  <c r="AG485" i="4"/>
  <c r="AF485" i="4"/>
  <c r="AE485" i="4"/>
  <c r="AD485" i="4"/>
  <c r="AC485" i="4"/>
  <c r="AB485" i="4"/>
  <c r="AA485" i="4"/>
  <c r="Z485" i="4"/>
  <c r="H485" i="4"/>
  <c r="G485" i="4"/>
  <c r="AO484" i="4"/>
  <c r="AN484" i="4"/>
  <c r="AM484" i="4"/>
  <c r="AL484" i="4"/>
  <c r="AK484" i="4"/>
  <c r="AJ484" i="4"/>
  <c r="AI484" i="4"/>
  <c r="AH484" i="4"/>
  <c r="AG484" i="4"/>
  <c r="AF484" i="4"/>
  <c r="AE484" i="4"/>
  <c r="AD484" i="4"/>
  <c r="AC484" i="4"/>
  <c r="AB484" i="4"/>
  <c r="AA484" i="4"/>
  <c r="Z484" i="4"/>
  <c r="H484" i="4"/>
  <c r="G484" i="4"/>
  <c r="AO483" i="4"/>
  <c r="AN483" i="4"/>
  <c r="AM483" i="4"/>
  <c r="AL483" i="4"/>
  <c r="AK483" i="4"/>
  <c r="AJ483" i="4"/>
  <c r="AI483" i="4"/>
  <c r="AH483" i="4"/>
  <c r="AG483" i="4"/>
  <c r="AF483" i="4"/>
  <c r="AE483" i="4"/>
  <c r="AD483" i="4"/>
  <c r="AC483" i="4"/>
  <c r="AB483" i="4"/>
  <c r="AA483" i="4"/>
  <c r="Z483" i="4"/>
  <c r="H483" i="4"/>
  <c r="G483" i="4"/>
  <c r="AO482" i="4"/>
  <c r="AN482" i="4"/>
  <c r="AM482" i="4"/>
  <c r="AL482" i="4"/>
  <c r="AK482" i="4"/>
  <c r="AJ482" i="4"/>
  <c r="AI482" i="4"/>
  <c r="AH482" i="4"/>
  <c r="AG482" i="4"/>
  <c r="AF482" i="4"/>
  <c r="AE482" i="4"/>
  <c r="AD482" i="4"/>
  <c r="AC482" i="4"/>
  <c r="AB482" i="4"/>
  <c r="AA482" i="4"/>
  <c r="Z482" i="4"/>
  <c r="H482" i="4"/>
  <c r="G482" i="4"/>
  <c r="AO481" i="4"/>
  <c r="AN481" i="4"/>
  <c r="AM481" i="4"/>
  <c r="AL481" i="4"/>
  <c r="AK481" i="4"/>
  <c r="AJ481" i="4"/>
  <c r="AI481" i="4"/>
  <c r="AH481" i="4"/>
  <c r="AG481" i="4"/>
  <c r="AF481" i="4"/>
  <c r="AE481" i="4"/>
  <c r="AD481" i="4"/>
  <c r="AC481" i="4"/>
  <c r="AB481" i="4"/>
  <c r="AA481" i="4"/>
  <c r="Z481" i="4"/>
  <c r="H481" i="4"/>
  <c r="G481" i="4"/>
  <c r="AO480" i="4"/>
  <c r="AN480" i="4"/>
  <c r="AM480" i="4"/>
  <c r="AL480" i="4"/>
  <c r="AK480" i="4"/>
  <c r="AJ480" i="4"/>
  <c r="AI480" i="4"/>
  <c r="AH480" i="4"/>
  <c r="AG480" i="4"/>
  <c r="AF480" i="4"/>
  <c r="AE480" i="4"/>
  <c r="AD480" i="4"/>
  <c r="AC480" i="4"/>
  <c r="AB480" i="4"/>
  <c r="AA480" i="4"/>
  <c r="Z480" i="4"/>
  <c r="H480" i="4"/>
  <c r="G480" i="4"/>
  <c r="AO479" i="4"/>
  <c r="AN479" i="4"/>
  <c r="AM479" i="4"/>
  <c r="AL479" i="4"/>
  <c r="AK479" i="4"/>
  <c r="AJ479" i="4"/>
  <c r="AI479" i="4"/>
  <c r="AH479" i="4"/>
  <c r="AG479" i="4"/>
  <c r="AF479" i="4"/>
  <c r="AE479" i="4"/>
  <c r="AD479" i="4"/>
  <c r="AC479" i="4"/>
  <c r="AB479" i="4"/>
  <c r="AA479" i="4"/>
  <c r="Z479" i="4"/>
  <c r="H479" i="4"/>
  <c r="G479" i="4"/>
  <c r="AO478" i="4"/>
  <c r="AN478" i="4"/>
  <c r="AM478" i="4"/>
  <c r="AL478" i="4"/>
  <c r="AK478" i="4"/>
  <c r="AJ478" i="4"/>
  <c r="AI478" i="4"/>
  <c r="AH478" i="4"/>
  <c r="AG478" i="4"/>
  <c r="AF478" i="4"/>
  <c r="AE478" i="4"/>
  <c r="AD478" i="4"/>
  <c r="AC478" i="4"/>
  <c r="AB478" i="4"/>
  <c r="AA478" i="4"/>
  <c r="Z478" i="4"/>
  <c r="H478" i="4"/>
  <c r="G478" i="4"/>
  <c r="AO477" i="4"/>
  <c r="AN477" i="4"/>
  <c r="AM477" i="4"/>
  <c r="AL477" i="4"/>
  <c r="AK477" i="4"/>
  <c r="AJ477" i="4"/>
  <c r="AI477" i="4"/>
  <c r="AH477" i="4"/>
  <c r="AG477" i="4"/>
  <c r="AF477" i="4"/>
  <c r="AE477" i="4"/>
  <c r="AD477" i="4"/>
  <c r="AC477" i="4"/>
  <c r="AB477" i="4"/>
  <c r="AA477" i="4"/>
  <c r="Z477" i="4"/>
  <c r="H477" i="4"/>
  <c r="G477" i="4"/>
  <c r="AO476" i="4"/>
  <c r="AN476" i="4"/>
  <c r="AM476" i="4"/>
  <c r="AL476" i="4"/>
  <c r="AK476" i="4"/>
  <c r="AJ476" i="4"/>
  <c r="AI476" i="4"/>
  <c r="AH476" i="4"/>
  <c r="AG476" i="4"/>
  <c r="AF476" i="4"/>
  <c r="AE476" i="4"/>
  <c r="AD476" i="4"/>
  <c r="AC476" i="4"/>
  <c r="AB476" i="4"/>
  <c r="AA476" i="4"/>
  <c r="Z476" i="4"/>
  <c r="H476" i="4"/>
  <c r="G476" i="4"/>
  <c r="AO475" i="4"/>
  <c r="AN475" i="4"/>
  <c r="AM475" i="4"/>
  <c r="AL475" i="4"/>
  <c r="AK475" i="4"/>
  <c r="AJ475" i="4"/>
  <c r="AI475" i="4"/>
  <c r="AH475" i="4"/>
  <c r="AG475" i="4"/>
  <c r="AF475" i="4"/>
  <c r="AE475" i="4"/>
  <c r="AD475" i="4"/>
  <c r="AC475" i="4"/>
  <c r="AB475" i="4"/>
  <c r="AA475" i="4"/>
  <c r="Z475" i="4"/>
  <c r="H475" i="4"/>
  <c r="G475" i="4"/>
  <c r="AO474" i="4"/>
  <c r="AN474" i="4"/>
  <c r="AM474" i="4"/>
  <c r="AL474" i="4"/>
  <c r="AK474" i="4"/>
  <c r="AJ474" i="4"/>
  <c r="AI474" i="4"/>
  <c r="AH474" i="4"/>
  <c r="AG474" i="4"/>
  <c r="AF474" i="4"/>
  <c r="AE474" i="4"/>
  <c r="AD474" i="4"/>
  <c r="AC474" i="4"/>
  <c r="AB474" i="4"/>
  <c r="AA474" i="4"/>
  <c r="Z474" i="4"/>
  <c r="H474" i="4"/>
  <c r="G474" i="4"/>
  <c r="AO473" i="4"/>
  <c r="AN473" i="4"/>
  <c r="AM473" i="4"/>
  <c r="AL473" i="4"/>
  <c r="AK473" i="4"/>
  <c r="AJ473" i="4"/>
  <c r="AI473" i="4"/>
  <c r="AH473" i="4"/>
  <c r="AG473" i="4"/>
  <c r="AF473" i="4"/>
  <c r="AE473" i="4"/>
  <c r="AD473" i="4"/>
  <c r="AC473" i="4"/>
  <c r="AB473" i="4"/>
  <c r="AA473" i="4"/>
  <c r="Z473" i="4"/>
  <c r="H473" i="4"/>
  <c r="G473" i="4"/>
  <c r="AO472" i="4"/>
  <c r="AN472" i="4"/>
  <c r="AM472" i="4"/>
  <c r="AL472" i="4"/>
  <c r="AK472" i="4"/>
  <c r="AJ472" i="4"/>
  <c r="AI472" i="4"/>
  <c r="AH472" i="4"/>
  <c r="AG472" i="4"/>
  <c r="AF472" i="4"/>
  <c r="AE472" i="4"/>
  <c r="AD472" i="4"/>
  <c r="AC472" i="4"/>
  <c r="AB472" i="4"/>
  <c r="AA472" i="4"/>
  <c r="Z472" i="4"/>
  <c r="H472" i="4"/>
  <c r="G472" i="4"/>
  <c r="AO471" i="4"/>
  <c r="AN471" i="4"/>
  <c r="AM471" i="4"/>
  <c r="AL471" i="4"/>
  <c r="AK471" i="4"/>
  <c r="AJ471" i="4"/>
  <c r="AI471" i="4"/>
  <c r="AH471" i="4"/>
  <c r="AG471" i="4"/>
  <c r="AF471" i="4"/>
  <c r="AE471" i="4"/>
  <c r="AD471" i="4"/>
  <c r="AC471" i="4"/>
  <c r="AB471" i="4"/>
  <c r="AA471" i="4"/>
  <c r="Z471" i="4"/>
  <c r="H471" i="4"/>
  <c r="G471" i="4"/>
  <c r="AO470" i="4"/>
  <c r="AN470" i="4"/>
  <c r="AM470" i="4"/>
  <c r="AL470" i="4"/>
  <c r="AK470" i="4"/>
  <c r="AJ470" i="4"/>
  <c r="AI470" i="4"/>
  <c r="AH470" i="4"/>
  <c r="AG470" i="4"/>
  <c r="AF470" i="4"/>
  <c r="AE470" i="4"/>
  <c r="AD470" i="4"/>
  <c r="AC470" i="4"/>
  <c r="AB470" i="4"/>
  <c r="AA470" i="4"/>
  <c r="Z470" i="4"/>
  <c r="H470" i="4"/>
  <c r="G470" i="4"/>
  <c r="AO469" i="4"/>
  <c r="AN469" i="4"/>
  <c r="AM469" i="4"/>
  <c r="AL469" i="4"/>
  <c r="AK469" i="4"/>
  <c r="AJ469" i="4"/>
  <c r="AI469" i="4"/>
  <c r="AH469" i="4"/>
  <c r="AG469" i="4"/>
  <c r="AF469" i="4"/>
  <c r="AE469" i="4"/>
  <c r="AD469" i="4"/>
  <c r="AC469" i="4"/>
  <c r="AB469" i="4"/>
  <c r="AA469" i="4"/>
  <c r="Z469" i="4"/>
  <c r="H469" i="4"/>
  <c r="G469" i="4"/>
  <c r="AO468" i="4"/>
  <c r="AN468" i="4"/>
  <c r="AM468" i="4"/>
  <c r="AL468" i="4"/>
  <c r="AK468" i="4"/>
  <c r="AJ468" i="4"/>
  <c r="AI468" i="4"/>
  <c r="AH468" i="4"/>
  <c r="AG468" i="4"/>
  <c r="AF468" i="4"/>
  <c r="AE468" i="4"/>
  <c r="AD468" i="4"/>
  <c r="AC468" i="4"/>
  <c r="AB468" i="4"/>
  <c r="AA468" i="4"/>
  <c r="Z468" i="4"/>
  <c r="H468" i="4"/>
  <c r="G468" i="4"/>
  <c r="AO467" i="4"/>
  <c r="AN467" i="4"/>
  <c r="AM467" i="4"/>
  <c r="AL467" i="4"/>
  <c r="AK467" i="4"/>
  <c r="AJ467" i="4"/>
  <c r="AI467" i="4"/>
  <c r="AH467" i="4"/>
  <c r="AG467" i="4"/>
  <c r="AF467" i="4"/>
  <c r="AE467" i="4"/>
  <c r="AD467" i="4"/>
  <c r="AC467" i="4"/>
  <c r="AB467" i="4"/>
  <c r="AA467" i="4"/>
  <c r="Z467" i="4"/>
  <c r="H467" i="4"/>
  <c r="G467" i="4"/>
  <c r="AO466" i="4"/>
  <c r="AN466" i="4"/>
  <c r="AM466" i="4"/>
  <c r="AL466" i="4"/>
  <c r="AK466" i="4"/>
  <c r="AJ466" i="4"/>
  <c r="AI466" i="4"/>
  <c r="AH466" i="4"/>
  <c r="AG466" i="4"/>
  <c r="AF466" i="4"/>
  <c r="AE466" i="4"/>
  <c r="AD466" i="4"/>
  <c r="AC466" i="4"/>
  <c r="AB466" i="4"/>
  <c r="AA466" i="4"/>
  <c r="Z466" i="4"/>
  <c r="H466" i="4"/>
  <c r="G466" i="4"/>
  <c r="AO465" i="4"/>
  <c r="AN465" i="4"/>
  <c r="AM465" i="4"/>
  <c r="AL465" i="4"/>
  <c r="AK465" i="4"/>
  <c r="AJ465" i="4"/>
  <c r="AI465" i="4"/>
  <c r="AH465" i="4"/>
  <c r="AG465" i="4"/>
  <c r="AF465" i="4"/>
  <c r="AE465" i="4"/>
  <c r="AD465" i="4"/>
  <c r="AC465" i="4"/>
  <c r="AB465" i="4"/>
  <c r="AA465" i="4"/>
  <c r="Z465" i="4"/>
  <c r="H465" i="4"/>
  <c r="G465" i="4"/>
  <c r="AO464" i="4"/>
  <c r="AN464" i="4"/>
  <c r="AM464" i="4"/>
  <c r="AL464" i="4"/>
  <c r="AK464" i="4"/>
  <c r="AJ464" i="4"/>
  <c r="AI464" i="4"/>
  <c r="AH464" i="4"/>
  <c r="AG464" i="4"/>
  <c r="AF464" i="4"/>
  <c r="AE464" i="4"/>
  <c r="AD464" i="4"/>
  <c r="AC464" i="4"/>
  <c r="AB464" i="4"/>
  <c r="AA464" i="4"/>
  <c r="Z464" i="4"/>
  <c r="H464" i="4"/>
  <c r="G464" i="4"/>
  <c r="AO463" i="4"/>
  <c r="AN463" i="4"/>
  <c r="AM463" i="4"/>
  <c r="AL463" i="4"/>
  <c r="AK463" i="4"/>
  <c r="AJ463" i="4"/>
  <c r="AI463" i="4"/>
  <c r="AH463" i="4"/>
  <c r="AG463" i="4"/>
  <c r="AF463" i="4"/>
  <c r="AE463" i="4"/>
  <c r="AD463" i="4"/>
  <c r="AC463" i="4"/>
  <c r="AB463" i="4"/>
  <c r="AA463" i="4"/>
  <c r="Z463" i="4"/>
  <c r="H463" i="4"/>
  <c r="G463" i="4"/>
  <c r="AO462" i="4"/>
  <c r="AN462" i="4"/>
  <c r="AM462" i="4"/>
  <c r="AL462" i="4"/>
  <c r="AK462" i="4"/>
  <c r="AJ462" i="4"/>
  <c r="AI462" i="4"/>
  <c r="AH462" i="4"/>
  <c r="AG462" i="4"/>
  <c r="AF462" i="4"/>
  <c r="AE462" i="4"/>
  <c r="AD462" i="4"/>
  <c r="AC462" i="4"/>
  <c r="AB462" i="4"/>
  <c r="AA462" i="4"/>
  <c r="Z462" i="4"/>
  <c r="H462" i="4"/>
  <c r="G462" i="4"/>
  <c r="AO461" i="4"/>
  <c r="AN461" i="4"/>
  <c r="AM461" i="4"/>
  <c r="AL461" i="4"/>
  <c r="AK461" i="4"/>
  <c r="AJ461" i="4"/>
  <c r="AI461" i="4"/>
  <c r="AH461" i="4"/>
  <c r="AG461" i="4"/>
  <c r="AF461" i="4"/>
  <c r="AE461" i="4"/>
  <c r="AD461" i="4"/>
  <c r="AC461" i="4"/>
  <c r="AB461" i="4"/>
  <c r="AA461" i="4"/>
  <c r="Z461" i="4"/>
  <c r="H461" i="4"/>
  <c r="G461" i="4"/>
  <c r="AO460" i="4"/>
  <c r="AN460" i="4"/>
  <c r="AM460" i="4"/>
  <c r="AL460" i="4"/>
  <c r="AK460" i="4"/>
  <c r="AJ460" i="4"/>
  <c r="AI460" i="4"/>
  <c r="AH460" i="4"/>
  <c r="AG460" i="4"/>
  <c r="AF460" i="4"/>
  <c r="AE460" i="4"/>
  <c r="AD460" i="4"/>
  <c r="AC460" i="4"/>
  <c r="AB460" i="4"/>
  <c r="AA460" i="4"/>
  <c r="Z460" i="4"/>
  <c r="H460" i="4"/>
  <c r="G460" i="4"/>
  <c r="AO459" i="4"/>
  <c r="AN459" i="4"/>
  <c r="AM459" i="4"/>
  <c r="AL459" i="4"/>
  <c r="AK459" i="4"/>
  <c r="AJ459" i="4"/>
  <c r="AI459" i="4"/>
  <c r="AH459" i="4"/>
  <c r="AG459" i="4"/>
  <c r="AF459" i="4"/>
  <c r="AE459" i="4"/>
  <c r="AD459" i="4"/>
  <c r="AC459" i="4"/>
  <c r="AB459" i="4"/>
  <c r="AA459" i="4"/>
  <c r="Z459" i="4"/>
  <c r="H459" i="4"/>
  <c r="G459" i="4"/>
  <c r="AO458" i="4"/>
  <c r="AN458" i="4"/>
  <c r="AM458" i="4"/>
  <c r="AL458" i="4"/>
  <c r="AK458" i="4"/>
  <c r="AJ458" i="4"/>
  <c r="AI458" i="4"/>
  <c r="AH458" i="4"/>
  <c r="AG458" i="4"/>
  <c r="AF458" i="4"/>
  <c r="AE458" i="4"/>
  <c r="AD458" i="4"/>
  <c r="AC458" i="4"/>
  <c r="AB458" i="4"/>
  <c r="AA458" i="4"/>
  <c r="Z458" i="4"/>
  <c r="H458" i="4"/>
  <c r="G458" i="4"/>
  <c r="AO457" i="4"/>
  <c r="AN457" i="4"/>
  <c r="AM457" i="4"/>
  <c r="AL457" i="4"/>
  <c r="AK457" i="4"/>
  <c r="AJ457" i="4"/>
  <c r="AI457" i="4"/>
  <c r="AH457" i="4"/>
  <c r="AG457" i="4"/>
  <c r="AF457" i="4"/>
  <c r="AE457" i="4"/>
  <c r="AD457" i="4"/>
  <c r="AC457" i="4"/>
  <c r="AB457" i="4"/>
  <c r="AA457" i="4"/>
  <c r="Z457" i="4"/>
  <c r="H457" i="4"/>
  <c r="G457" i="4"/>
  <c r="AO456" i="4"/>
  <c r="AN456" i="4"/>
  <c r="AM456" i="4"/>
  <c r="AL456" i="4"/>
  <c r="AK456" i="4"/>
  <c r="AJ456" i="4"/>
  <c r="AI456" i="4"/>
  <c r="AH456" i="4"/>
  <c r="AG456" i="4"/>
  <c r="AF456" i="4"/>
  <c r="AE456" i="4"/>
  <c r="AD456" i="4"/>
  <c r="AC456" i="4"/>
  <c r="AB456" i="4"/>
  <c r="AA456" i="4"/>
  <c r="Z456" i="4"/>
  <c r="H456" i="4"/>
  <c r="G456" i="4"/>
  <c r="AO455" i="4"/>
  <c r="AN455" i="4"/>
  <c r="AM455" i="4"/>
  <c r="AL455" i="4"/>
  <c r="AK455" i="4"/>
  <c r="AJ455" i="4"/>
  <c r="AI455" i="4"/>
  <c r="AH455" i="4"/>
  <c r="AG455" i="4"/>
  <c r="AF455" i="4"/>
  <c r="AE455" i="4"/>
  <c r="AD455" i="4"/>
  <c r="AC455" i="4"/>
  <c r="AB455" i="4"/>
  <c r="AA455" i="4"/>
  <c r="Z455" i="4"/>
  <c r="H455" i="4"/>
  <c r="G455" i="4"/>
  <c r="AO454" i="4"/>
  <c r="AN454" i="4"/>
  <c r="AM454" i="4"/>
  <c r="AL454" i="4"/>
  <c r="AK454" i="4"/>
  <c r="AJ454" i="4"/>
  <c r="AI454" i="4"/>
  <c r="AH454" i="4"/>
  <c r="AG454" i="4"/>
  <c r="AF454" i="4"/>
  <c r="AE454" i="4"/>
  <c r="AD454" i="4"/>
  <c r="AC454" i="4"/>
  <c r="AB454" i="4"/>
  <c r="AA454" i="4"/>
  <c r="Z454" i="4"/>
  <c r="H454" i="4"/>
  <c r="G454" i="4"/>
  <c r="AO453" i="4"/>
  <c r="AN453" i="4"/>
  <c r="AM453" i="4"/>
  <c r="AL453" i="4"/>
  <c r="AK453" i="4"/>
  <c r="AJ453" i="4"/>
  <c r="AI453" i="4"/>
  <c r="AH453" i="4"/>
  <c r="AG453" i="4"/>
  <c r="AF453" i="4"/>
  <c r="AE453" i="4"/>
  <c r="AD453" i="4"/>
  <c r="AC453" i="4"/>
  <c r="AB453" i="4"/>
  <c r="AA453" i="4"/>
  <c r="Z453" i="4"/>
  <c r="H453" i="4"/>
  <c r="G453" i="4"/>
  <c r="AO452" i="4"/>
  <c r="AN452" i="4"/>
  <c r="AM452" i="4"/>
  <c r="AL452" i="4"/>
  <c r="AK452" i="4"/>
  <c r="AJ452" i="4"/>
  <c r="AI452" i="4"/>
  <c r="AH452" i="4"/>
  <c r="AG452" i="4"/>
  <c r="AF452" i="4"/>
  <c r="AE452" i="4"/>
  <c r="AD452" i="4"/>
  <c r="AC452" i="4"/>
  <c r="AB452" i="4"/>
  <c r="AA452" i="4"/>
  <c r="Z452" i="4"/>
  <c r="H452" i="4"/>
  <c r="G452" i="4"/>
  <c r="AO451" i="4"/>
  <c r="AN451" i="4"/>
  <c r="AM451" i="4"/>
  <c r="AL451" i="4"/>
  <c r="AK451" i="4"/>
  <c r="AJ451" i="4"/>
  <c r="AI451" i="4"/>
  <c r="AH451" i="4"/>
  <c r="AG451" i="4"/>
  <c r="AF451" i="4"/>
  <c r="AE451" i="4"/>
  <c r="AD451" i="4"/>
  <c r="AC451" i="4"/>
  <c r="AB451" i="4"/>
  <c r="AA451" i="4"/>
  <c r="Z451" i="4"/>
  <c r="H451" i="4"/>
  <c r="G451" i="4"/>
  <c r="AO450" i="4"/>
  <c r="AN450" i="4"/>
  <c r="AM450" i="4"/>
  <c r="AL450" i="4"/>
  <c r="AK450" i="4"/>
  <c r="AJ450" i="4"/>
  <c r="AI450" i="4"/>
  <c r="AH450" i="4"/>
  <c r="AG450" i="4"/>
  <c r="AF450" i="4"/>
  <c r="AE450" i="4"/>
  <c r="AD450" i="4"/>
  <c r="AC450" i="4"/>
  <c r="AB450" i="4"/>
  <c r="AA450" i="4"/>
  <c r="Z450" i="4"/>
  <c r="H450" i="4"/>
  <c r="G450" i="4"/>
  <c r="AO449" i="4"/>
  <c r="AN449" i="4"/>
  <c r="AM449" i="4"/>
  <c r="AL449" i="4"/>
  <c r="AK449" i="4"/>
  <c r="AJ449" i="4"/>
  <c r="AI449" i="4"/>
  <c r="AH449" i="4"/>
  <c r="AG449" i="4"/>
  <c r="AF449" i="4"/>
  <c r="AE449" i="4"/>
  <c r="AD449" i="4"/>
  <c r="AC449" i="4"/>
  <c r="AB449" i="4"/>
  <c r="AA449" i="4"/>
  <c r="Z449" i="4"/>
  <c r="H449" i="4"/>
  <c r="G449" i="4"/>
  <c r="AO448" i="4"/>
  <c r="AN448" i="4"/>
  <c r="AM448" i="4"/>
  <c r="AL448" i="4"/>
  <c r="AK448" i="4"/>
  <c r="AJ448" i="4"/>
  <c r="AI448" i="4"/>
  <c r="AH448" i="4"/>
  <c r="AG448" i="4"/>
  <c r="AF448" i="4"/>
  <c r="AE448" i="4"/>
  <c r="AD448" i="4"/>
  <c r="AC448" i="4"/>
  <c r="AB448" i="4"/>
  <c r="AA448" i="4"/>
  <c r="Z448" i="4"/>
  <c r="H448" i="4"/>
  <c r="G448" i="4"/>
  <c r="AO447" i="4"/>
  <c r="AN447" i="4"/>
  <c r="AM447" i="4"/>
  <c r="AL447" i="4"/>
  <c r="AK447" i="4"/>
  <c r="AJ447" i="4"/>
  <c r="AI447" i="4"/>
  <c r="AH447" i="4"/>
  <c r="AG447" i="4"/>
  <c r="AF447" i="4"/>
  <c r="AE447" i="4"/>
  <c r="AD447" i="4"/>
  <c r="AC447" i="4"/>
  <c r="AB447" i="4"/>
  <c r="AA447" i="4"/>
  <c r="Z447" i="4"/>
  <c r="H447" i="4"/>
  <c r="G447" i="4"/>
  <c r="AO446" i="4"/>
  <c r="AN446" i="4"/>
  <c r="AM446" i="4"/>
  <c r="AL446" i="4"/>
  <c r="AK446" i="4"/>
  <c r="AJ446" i="4"/>
  <c r="AI446" i="4"/>
  <c r="AH446" i="4"/>
  <c r="AG446" i="4"/>
  <c r="AF446" i="4"/>
  <c r="AE446" i="4"/>
  <c r="AD446" i="4"/>
  <c r="AC446" i="4"/>
  <c r="AB446" i="4"/>
  <c r="AA446" i="4"/>
  <c r="Z446" i="4"/>
  <c r="H446" i="4"/>
  <c r="G446" i="4"/>
  <c r="AO445" i="4"/>
  <c r="AN445" i="4"/>
  <c r="AM445" i="4"/>
  <c r="AL445" i="4"/>
  <c r="AK445" i="4"/>
  <c r="AJ445" i="4"/>
  <c r="AI445" i="4"/>
  <c r="AH445" i="4"/>
  <c r="AG445" i="4"/>
  <c r="AF445" i="4"/>
  <c r="AE445" i="4"/>
  <c r="AD445" i="4"/>
  <c r="AC445" i="4"/>
  <c r="AB445" i="4"/>
  <c r="AA445" i="4"/>
  <c r="Z445" i="4"/>
  <c r="H445" i="4"/>
  <c r="G445" i="4"/>
  <c r="AO444" i="4"/>
  <c r="AN444" i="4"/>
  <c r="AM444" i="4"/>
  <c r="AL444" i="4"/>
  <c r="AK444" i="4"/>
  <c r="AJ444" i="4"/>
  <c r="AI444" i="4"/>
  <c r="AH444" i="4"/>
  <c r="AG444" i="4"/>
  <c r="AF444" i="4"/>
  <c r="AE444" i="4"/>
  <c r="AD444" i="4"/>
  <c r="AC444" i="4"/>
  <c r="AB444" i="4"/>
  <c r="AA444" i="4"/>
  <c r="Z444" i="4"/>
  <c r="H444" i="4"/>
  <c r="G444" i="4"/>
  <c r="AO443" i="4"/>
  <c r="AN443" i="4"/>
  <c r="AM443" i="4"/>
  <c r="AL443" i="4"/>
  <c r="AK443" i="4"/>
  <c r="AJ443" i="4"/>
  <c r="AI443" i="4"/>
  <c r="AH443" i="4"/>
  <c r="AG443" i="4"/>
  <c r="AF443" i="4"/>
  <c r="AE443" i="4"/>
  <c r="AD443" i="4"/>
  <c r="AC443" i="4"/>
  <c r="AB443" i="4"/>
  <c r="AA443" i="4"/>
  <c r="Z443" i="4"/>
  <c r="H443" i="4"/>
  <c r="G443" i="4"/>
  <c r="AO442" i="4"/>
  <c r="AN442" i="4"/>
  <c r="AM442" i="4"/>
  <c r="AL442" i="4"/>
  <c r="AK442" i="4"/>
  <c r="AJ442" i="4"/>
  <c r="AI442" i="4"/>
  <c r="AH442" i="4"/>
  <c r="AG442" i="4"/>
  <c r="AF442" i="4"/>
  <c r="AE442" i="4"/>
  <c r="AD442" i="4"/>
  <c r="AC442" i="4"/>
  <c r="AB442" i="4"/>
  <c r="AA442" i="4"/>
  <c r="Z442" i="4"/>
  <c r="H442" i="4"/>
  <c r="G442" i="4"/>
  <c r="AO441" i="4"/>
  <c r="AN441" i="4"/>
  <c r="AM441" i="4"/>
  <c r="AL441" i="4"/>
  <c r="AK441" i="4"/>
  <c r="AJ441" i="4"/>
  <c r="AI441" i="4"/>
  <c r="AH441" i="4"/>
  <c r="AG441" i="4"/>
  <c r="AF441" i="4"/>
  <c r="AE441" i="4"/>
  <c r="AD441" i="4"/>
  <c r="AC441" i="4"/>
  <c r="AB441" i="4"/>
  <c r="AA441" i="4"/>
  <c r="Z441" i="4"/>
  <c r="H441" i="4"/>
  <c r="G441" i="4"/>
  <c r="AO440" i="4"/>
  <c r="AN440" i="4"/>
  <c r="AM440" i="4"/>
  <c r="AL440" i="4"/>
  <c r="AK440" i="4"/>
  <c r="AJ440" i="4"/>
  <c r="AI440" i="4"/>
  <c r="AH440" i="4"/>
  <c r="AG440" i="4"/>
  <c r="AF440" i="4"/>
  <c r="AE440" i="4"/>
  <c r="AD440" i="4"/>
  <c r="AC440" i="4"/>
  <c r="AB440" i="4"/>
  <c r="AA440" i="4"/>
  <c r="Z440" i="4"/>
  <c r="H440" i="4"/>
  <c r="G440" i="4"/>
  <c r="AO439" i="4"/>
  <c r="AN439" i="4"/>
  <c r="AM439" i="4"/>
  <c r="AL439" i="4"/>
  <c r="AK439" i="4"/>
  <c r="AJ439" i="4"/>
  <c r="AI439" i="4"/>
  <c r="AH439" i="4"/>
  <c r="AG439" i="4"/>
  <c r="AF439" i="4"/>
  <c r="AE439" i="4"/>
  <c r="AD439" i="4"/>
  <c r="AC439" i="4"/>
  <c r="AB439" i="4"/>
  <c r="AA439" i="4"/>
  <c r="Z439" i="4"/>
  <c r="H439" i="4"/>
  <c r="G439" i="4"/>
  <c r="AO438" i="4"/>
  <c r="AN438" i="4"/>
  <c r="AM438" i="4"/>
  <c r="AL438" i="4"/>
  <c r="AK438" i="4"/>
  <c r="AJ438" i="4"/>
  <c r="AI438" i="4"/>
  <c r="AH438" i="4"/>
  <c r="AG438" i="4"/>
  <c r="AF438" i="4"/>
  <c r="AE438" i="4"/>
  <c r="AD438" i="4"/>
  <c r="AC438" i="4"/>
  <c r="AB438" i="4"/>
  <c r="AA438" i="4"/>
  <c r="Z438" i="4"/>
  <c r="H438" i="4"/>
  <c r="G438" i="4"/>
  <c r="AO437" i="4"/>
  <c r="AN437" i="4"/>
  <c r="AM437" i="4"/>
  <c r="AL437" i="4"/>
  <c r="AK437" i="4"/>
  <c r="AJ437" i="4"/>
  <c r="AI437" i="4"/>
  <c r="AH437" i="4"/>
  <c r="AG437" i="4"/>
  <c r="AF437" i="4"/>
  <c r="AE437" i="4"/>
  <c r="AD437" i="4"/>
  <c r="AC437" i="4"/>
  <c r="AB437" i="4"/>
  <c r="AA437" i="4"/>
  <c r="Z437" i="4"/>
  <c r="H437" i="4"/>
  <c r="G437" i="4"/>
  <c r="AO436" i="4"/>
  <c r="AN436" i="4"/>
  <c r="AM436" i="4"/>
  <c r="AL436" i="4"/>
  <c r="AK436" i="4"/>
  <c r="AJ436" i="4"/>
  <c r="AI436" i="4"/>
  <c r="AH436" i="4"/>
  <c r="AG436" i="4"/>
  <c r="AF436" i="4"/>
  <c r="AE436" i="4"/>
  <c r="AD436" i="4"/>
  <c r="AC436" i="4"/>
  <c r="AB436" i="4"/>
  <c r="AA436" i="4"/>
  <c r="Z436" i="4"/>
  <c r="H436" i="4"/>
  <c r="G436" i="4"/>
  <c r="AO435" i="4"/>
  <c r="AN435" i="4"/>
  <c r="AM435" i="4"/>
  <c r="AL435" i="4"/>
  <c r="AK435" i="4"/>
  <c r="AJ435" i="4"/>
  <c r="AI435" i="4"/>
  <c r="AH435" i="4"/>
  <c r="AG435" i="4"/>
  <c r="AF435" i="4"/>
  <c r="AE435" i="4"/>
  <c r="AD435" i="4"/>
  <c r="AC435" i="4"/>
  <c r="AB435" i="4"/>
  <c r="AA435" i="4"/>
  <c r="Z435" i="4"/>
  <c r="H435" i="4"/>
  <c r="G435" i="4"/>
  <c r="AO434" i="4"/>
  <c r="AN434" i="4"/>
  <c r="AM434" i="4"/>
  <c r="AL434" i="4"/>
  <c r="AK434" i="4"/>
  <c r="AJ434" i="4"/>
  <c r="AI434" i="4"/>
  <c r="AH434" i="4"/>
  <c r="AG434" i="4"/>
  <c r="AF434" i="4"/>
  <c r="AE434" i="4"/>
  <c r="AD434" i="4"/>
  <c r="AC434" i="4"/>
  <c r="AB434" i="4"/>
  <c r="AA434" i="4"/>
  <c r="Z434" i="4"/>
  <c r="H434" i="4"/>
  <c r="G434" i="4"/>
  <c r="AO433" i="4"/>
  <c r="AN433" i="4"/>
  <c r="AM433" i="4"/>
  <c r="AL433" i="4"/>
  <c r="AK433" i="4"/>
  <c r="AJ433" i="4"/>
  <c r="AI433" i="4"/>
  <c r="AH433" i="4"/>
  <c r="AG433" i="4"/>
  <c r="AF433" i="4"/>
  <c r="AE433" i="4"/>
  <c r="AD433" i="4"/>
  <c r="AC433" i="4"/>
  <c r="AB433" i="4"/>
  <c r="AA433" i="4"/>
  <c r="Z433" i="4"/>
  <c r="H433" i="4"/>
  <c r="G433" i="4"/>
  <c r="AO432" i="4"/>
  <c r="AN432" i="4"/>
  <c r="AM432" i="4"/>
  <c r="AL432" i="4"/>
  <c r="AK432" i="4"/>
  <c r="AJ432" i="4"/>
  <c r="AI432" i="4"/>
  <c r="AH432" i="4"/>
  <c r="AG432" i="4"/>
  <c r="AF432" i="4"/>
  <c r="AE432" i="4"/>
  <c r="AD432" i="4"/>
  <c r="AC432" i="4"/>
  <c r="AB432" i="4"/>
  <c r="AA432" i="4"/>
  <c r="Z432" i="4"/>
  <c r="H432" i="4"/>
  <c r="G432" i="4"/>
  <c r="AO431" i="4"/>
  <c r="AN431" i="4"/>
  <c r="AM431" i="4"/>
  <c r="AL431" i="4"/>
  <c r="AK431" i="4"/>
  <c r="AJ431" i="4"/>
  <c r="AI431" i="4"/>
  <c r="AH431" i="4"/>
  <c r="AG431" i="4"/>
  <c r="AF431" i="4"/>
  <c r="AE431" i="4"/>
  <c r="AD431" i="4"/>
  <c r="AC431" i="4"/>
  <c r="AB431" i="4"/>
  <c r="AA431" i="4"/>
  <c r="Z431" i="4"/>
  <c r="H431" i="4"/>
  <c r="G431" i="4"/>
  <c r="AO430" i="4"/>
  <c r="AN430" i="4"/>
  <c r="AM430" i="4"/>
  <c r="AL430" i="4"/>
  <c r="AK430" i="4"/>
  <c r="AJ430" i="4"/>
  <c r="AI430" i="4"/>
  <c r="AH430" i="4"/>
  <c r="AG430" i="4"/>
  <c r="AF430" i="4"/>
  <c r="AE430" i="4"/>
  <c r="AD430" i="4"/>
  <c r="AC430" i="4"/>
  <c r="AB430" i="4"/>
  <c r="AA430" i="4"/>
  <c r="Z430" i="4"/>
  <c r="H430" i="4"/>
  <c r="G430" i="4"/>
  <c r="AO429" i="4"/>
  <c r="AN429" i="4"/>
  <c r="AM429" i="4"/>
  <c r="AL429" i="4"/>
  <c r="AK429" i="4"/>
  <c r="AJ429" i="4"/>
  <c r="AI429" i="4"/>
  <c r="AH429" i="4"/>
  <c r="AG429" i="4"/>
  <c r="AF429" i="4"/>
  <c r="AE429" i="4"/>
  <c r="AD429" i="4"/>
  <c r="AC429" i="4"/>
  <c r="AB429" i="4"/>
  <c r="AA429" i="4"/>
  <c r="Z429" i="4"/>
  <c r="H429" i="4"/>
  <c r="G429" i="4"/>
  <c r="AO428" i="4"/>
  <c r="AN428" i="4"/>
  <c r="AM428" i="4"/>
  <c r="AL428" i="4"/>
  <c r="AK428" i="4"/>
  <c r="AJ428" i="4"/>
  <c r="AI428" i="4"/>
  <c r="AH428" i="4"/>
  <c r="AG428" i="4"/>
  <c r="AF428" i="4"/>
  <c r="AE428" i="4"/>
  <c r="AD428" i="4"/>
  <c r="AC428" i="4"/>
  <c r="AB428" i="4"/>
  <c r="AA428" i="4"/>
  <c r="Z428" i="4"/>
  <c r="H428" i="4"/>
  <c r="G428" i="4"/>
  <c r="AO427" i="4"/>
  <c r="AN427" i="4"/>
  <c r="AM427" i="4"/>
  <c r="AL427" i="4"/>
  <c r="AK427" i="4"/>
  <c r="AJ427" i="4"/>
  <c r="AI427" i="4"/>
  <c r="AH427" i="4"/>
  <c r="AG427" i="4"/>
  <c r="AF427" i="4"/>
  <c r="AE427" i="4"/>
  <c r="AD427" i="4"/>
  <c r="AC427" i="4"/>
  <c r="AB427" i="4"/>
  <c r="AA427" i="4"/>
  <c r="Z427" i="4"/>
  <c r="H427" i="4"/>
  <c r="G427" i="4"/>
  <c r="AO426" i="4"/>
  <c r="AN426" i="4"/>
  <c r="AM426" i="4"/>
  <c r="AL426" i="4"/>
  <c r="AK426" i="4"/>
  <c r="AJ426" i="4"/>
  <c r="AI426" i="4"/>
  <c r="AH426" i="4"/>
  <c r="AG426" i="4"/>
  <c r="AF426" i="4"/>
  <c r="AE426" i="4"/>
  <c r="AD426" i="4"/>
  <c r="AC426" i="4"/>
  <c r="AB426" i="4"/>
  <c r="AA426" i="4"/>
  <c r="Z426" i="4"/>
  <c r="H426" i="4"/>
  <c r="G426" i="4"/>
  <c r="AO425" i="4"/>
  <c r="AN425" i="4"/>
  <c r="AM425" i="4"/>
  <c r="AL425" i="4"/>
  <c r="AK425" i="4"/>
  <c r="AJ425" i="4"/>
  <c r="AI425" i="4"/>
  <c r="AH425" i="4"/>
  <c r="AG425" i="4"/>
  <c r="AF425" i="4"/>
  <c r="AE425" i="4"/>
  <c r="AD425" i="4"/>
  <c r="AC425" i="4"/>
  <c r="AB425" i="4"/>
  <c r="AA425" i="4"/>
  <c r="Z425" i="4"/>
  <c r="H425" i="4"/>
  <c r="G425" i="4"/>
  <c r="AO424" i="4"/>
  <c r="AN424" i="4"/>
  <c r="AM424" i="4"/>
  <c r="AL424" i="4"/>
  <c r="AK424" i="4"/>
  <c r="AJ424" i="4"/>
  <c r="AI424" i="4"/>
  <c r="AH424" i="4"/>
  <c r="AG424" i="4"/>
  <c r="AF424" i="4"/>
  <c r="AE424" i="4"/>
  <c r="AD424" i="4"/>
  <c r="AC424" i="4"/>
  <c r="AB424" i="4"/>
  <c r="AA424" i="4"/>
  <c r="Z424" i="4"/>
  <c r="H424" i="4"/>
  <c r="G424" i="4"/>
  <c r="AO423" i="4"/>
  <c r="AN423" i="4"/>
  <c r="AM423" i="4"/>
  <c r="AL423" i="4"/>
  <c r="AK423" i="4"/>
  <c r="AJ423" i="4"/>
  <c r="AI423" i="4"/>
  <c r="AH423" i="4"/>
  <c r="AG423" i="4"/>
  <c r="AF423" i="4"/>
  <c r="AE423" i="4"/>
  <c r="AD423" i="4"/>
  <c r="AC423" i="4"/>
  <c r="AB423" i="4"/>
  <c r="AA423" i="4"/>
  <c r="Z423" i="4"/>
  <c r="H423" i="4"/>
  <c r="G423" i="4"/>
  <c r="AO422" i="4"/>
  <c r="AN422" i="4"/>
  <c r="AM422" i="4"/>
  <c r="AL422" i="4"/>
  <c r="AK422" i="4"/>
  <c r="AJ422" i="4"/>
  <c r="AI422" i="4"/>
  <c r="AH422" i="4"/>
  <c r="AG422" i="4"/>
  <c r="AF422" i="4"/>
  <c r="AE422" i="4"/>
  <c r="AD422" i="4"/>
  <c r="AC422" i="4"/>
  <c r="AB422" i="4"/>
  <c r="AA422" i="4"/>
  <c r="Z422" i="4"/>
  <c r="H422" i="4"/>
  <c r="G422" i="4"/>
  <c r="AO421" i="4"/>
  <c r="AN421" i="4"/>
  <c r="AM421" i="4"/>
  <c r="AL421" i="4"/>
  <c r="AK421" i="4"/>
  <c r="AJ421" i="4"/>
  <c r="AI421" i="4"/>
  <c r="AH421" i="4"/>
  <c r="AG421" i="4"/>
  <c r="AF421" i="4"/>
  <c r="AE421" i="4"/>
  <c r="AD421" i="4"/>
  <c r="AC421" i="4"/>
  <c r="AB421" i="4"/>
  <c r="AA421" i="4"/>
  <c r="Z421" i="4"/>
  <c r="H421" i="4"/>
  <c r="G421" i="4"/>
  <c r="AO420" i="4"/>
  <c r="AN420" i="4"/>
  <c r="AM420" i="4"/>
  <c r="AL420" i="4"/>
  <c r="AK420" i="4"/>
  <c r="AJ420" i="4"/>
  <c r="AI420" i="4"/>
  <c r="AH420" i="4"/>
  <c r="AG420" i="4"/>
  <c r="AF420" i="4"/>
  <c r="AE420" i="4"/>
  <c r="AD420" i="4"/>
  <c r="AC420" i="4"/>
  <c r="AB420" i="4"/>
  <c r="AA420" i="4"/>
  <c r="Z420" i="4"/>
  <c r="H420" i="4"/>
  <c r="G420" i="4"/>
  <c r="AO419" i="4"/>
  <c r="AN419" i="4"/>
  <c r="AM419" i="4"/>
  <c r="AL419" i="4"/>
  <c r="AK419" i="4"/>
  <c r="AJ419" i="4"/>
  <c r="AI419" i="4"/>
  <c r="AH419" i="4"/>
  <c r="AG419" i="4"/>
  <c r="AF419" i="4"/>
  <c r="AE419" i="4"/>
  <c r="AD419" i="4"/>
  <c r="AC419" i="4"/>
  <c r="AB419" i="4"/>
  <c r="AA419" i="4"/>
  <c r="Z419" i="4"/>
  <c r="H419" i="4"/>
  <c r="G419" i="4"/>
  <c r="AO418" i="4"/>
  <c r="AN418" i="4"/>
  <c r="AM418" i="4"/>
  <c r="AL418" i="4"/>
  <c r="AK418" i="4"/>
  <c r="AJ418" i="4"/>
  <c r="AI418" i="4"/>
  <c r="AH418" i="4"/>
  <c r="AG418" i="4"/>
  <c r="AF418" i="4"/>
  <c r="AE418" i="4"/>
  <c r="AD418" i="4"/>
  <c r="AC418" i="4"/>
  <c r="AB418" i="4"/>
  <c r="AA418" i="4"/>
  <c r="Z418" i="4"/>
  <c r="H418" i="4"/>
  <c r="G418" i="4"/>
  <c r="AO417" i="4"/>
  <c r="AN417" i="4"/>
  <c r="AM417" i="4"/>
  <c r="AL417" i="4"/>
  <c r="AK417" i="4"/>
  <c r="AJ417" i="4"/>
  <c r="AI417" i="4"/>
  <c r="AH417" i="4"/>
  <c r="AG417" i="4"/>
  <c r="AF417" i="4"/>
  <c r="AE417" i="4"/>
  <c r="AD417" i="4"/>
  <c r="AC417" i="4"/>
  <c r="AB417" i="4"/>
  <c r="AA417" i="4"/>
  <c r="Z417" i="4"/>
  <c r="H417" i="4"/>
  <c r="G417" i="4"/>
  <c r="AO416" i="4"/>
  <c r="AN416" i="4"/>
  <c r="AM416" i="4"/>
  <c r="AL416" i="4"/>
  <c r="AK416" i="4"/>
  <c r="AJ416" i="4"/>
  <c r="AI416" i="4"/>
  <c r="AH416" i="4"/>
  <c r="AG416" i="4"/>
  <c r="AF416" i="4"/>
  <c r="AE416" i="4"/>
  <c r="AD416" i="4"/>
  <c r="AC416" i="4"/>
  <c r="AB416" i="4"/>
  <c r="AA416" i="4"/>
  <c r="Z416" i="4"/>
  <c r="H416" i="4"/>
  <c r="G416" i="4"/>
  <c r="AO415" i="4"/>
  <c r="AN415" i="4"/>
  <c r="AM415" i="4"/>
  <c r="AL415" i="4"/>
  <c r="AK415" i="4"/>
  <c r="AJ415" i="4"/>
  <c r="AI415" i="4"/>
  <c r="AH415" i="4"/>
  <c r="AG415" i="4"/>
  <c r="AF415" i="4"/>
  <c r="AE415" i="4"/>
  <c r="AD415" i="4"/>
  <c r="AC415" i="4"/>
  <c r="AB415" i="4"/>
  <c r="AA415" i="4"/>
  <c r="Z415" i="4"/>
  <c r="H415" i="4"/>
  <c r="G415" i="4"/>
  <c r="AO414" i="4"/>
  <c r="AN414" i="4"/>
  <c r="AM414" i="4"/>
  <c r="AL414" i="4"/>
  <c r="AK414" i="4"/>
  <c r="AJ414" i="4"/>
  <c r="AI414" i="4"/>
  <c r="AH414" i="4"/>
  <c r="AG414" i="4"/>
  <c r="AF414" i="4"/>
  <c r="AE414" i="4"/>
  <c r="AD414" i="4"/>
  <c r="AC414" i="4"/>
  <c r="AB414" i="4"/>
  <c r="AA414" i="4"/>
  <c r="Z414" i="4"/>
  <c r="H414" i="4"/>
  <c r="G414" i="4"/>
  <c r="AO413" i="4"/>
  <c r="AN413" i="4"/>
  <c r="AM413" i="4"/>
  <c r="AL413" i="4"/>
  <c r="AK413" i="4"/>
  <c r="AJ413" i="4"/>
  <c r="AI413" i="4"/>
  <c r="AH413" i="4"/>
  <c r="AG413" i="4"/>
  <c r="AF413" i="4"/>
  <c r="AE413" i="4"/>
  <c r="AD413" i="4"/>
  <c r="AC413" i="4"/>
  <c r="AB413" i="4"/>
  <c r="AA413" i="4"/>
  <c r="Z413" i="4"/>
  <c r="H413" i="4"/>
  <c r="G413" i="4"/>
  <c r="AO412" i="4"/>
  <c r="AN412" i="4"/>
  <c r="AM412" i="4"/>
  <c r="AL412" i="4"/>
  <c r="AK412" i="4"/>
  <c r="AJ412" i="4"/>
  <c r="AI412" i="4"/>
  <c r="AH412" i="4"/>
  <c r="AG412" i="4"/>
  <c r="AF412" i="4"/>
  <c r="AE412" i="4"/>
  <c r="AD412" i="4"/>
  <c r="AC412" i="4"/>
  <c r="AB412" i="4"/>
  <c r="AA412" i="4"/>
  <c r="Z412" i="4"/>
  <c r="H412" i="4"/>
  <c r="G412" i="4"/>
  <c r="AO411" i="4"/>
  <c r="AN411" i="4"/>
  <c r="AM411" i="4"/>
  <c r="AL411" i="4"/>
  <c r="AK411" i="4"/>
  <c r="AJ411" i="4"/>
  <c r="AI411" i="4"/>
  <c r="AH411" i="4"/>
  <c r="AG411" i="4"/>
  <c r="AF411" i="4"/>
  <c r="AE411" i="4"/>
  <c r="AD411" i="4"/>
  <c r="AC411" i="4"/>
  <c r="AB411" i="4"/>
  <c r="AA411" i="4"/>
  <c r="Z411" i="4"/>
  <c r="H411" i="4"/>
  <c r="G411" i="4"/>
  <c r="AO410" i="4"/>
  <c r="AN410" i="4"/>
  <c r="AM410" i="4"/>
  <c r="AL410" i="4"/>
  <c r="AK410" i="4"/>
  <c r="AJ410" i="4"/>
  <c r="AI410" i="4"/>
  <c r="AH410" i="4"/>
  <c r="AG410" i="4"/>
  <c r="AF410" i="4"/>
  <c r="AE410" i="4"/>
  <c r="AD410" i="4"/>
  <c r="AC410" i="4"/>
  <c r="AB410" i="4"/>
  <c r="AA410" i="4"/>
  <c r="Z410" i="4"/>
  <c r="H410" i="4"/>
  <c r="G410" i="4"/>
  <c r="AO409" i="4"/>
  <c r="AN409" i="4"/>
  <c r="AM409" i="4"/>
  <c r="AL409" i="4"/>
  <c r="AK409" i="4"/>
  <c r="AJ409" i="4"/>
  <c r="AI409" i="4"/>
  <c r="AH409" i="4"/>
  <c r="AG409" i="4"/>
  <c r="AF409" i="4"/>
  <c r="AE409" i="4"/>
  <c r="AD409" i="4"/>
  <c r="AC409" i="4"/>
  <c r="AB409" i="4"/>
  <c r="AA409" i="4"/>
  <c r="Z409" i="4"/>
  <c r="H409" i="4"/>
  <c r="G409" i="4"/>
  <c r="AO408" i="4"/>
  <c r="AN408" i="4"/>
  <c r="AM408" i="4"/>
  <c r="AL408" i="4"/>
  <c r="AK408" i="4"/>
  <c r="AJ408" i="4"/>
  <c r="AI408" i="4"/>
  <c r="AH408" i="4"/>
  <c r="AG408" i="4"/>
  <c r="AF408" i="4"/>
  <c r="AE408" i="4"/>
  <c r="AD408" i="4"/>
  <c r="AC408" i="4"/>
  <c r="AB408" i="4"/>
  <c r="AA408" i="4"/>
  <c r="Z408" i="4"/>
  <c r="H408" i="4"/>
  <c r="G408" i="4"/>
  <c r="AO407" i="4"/>
  <c r="AN407" i="4"/>
  <c r="AM407" i="4"/>
  <c r="AL407" i="4"/>
  <c r="AK407" i="4"/>
  <c r="AJ407" i="4"/>
  <c r="AI407" i="4"/>
  <c r="AH407" i="4"/>
  <c r="AG407" i="4"/>
  <c r="AF407" i="4"/>
  <c r="AE407" i="4"/>
  <c r="AD407" i="4"/>
  <c r="AC407" i="4"/>
  <c r="AB407" i="4"/>
  <c r="AA407" i="4"/>
  <c r="Z407" i="4"/>
  <c r="H407" i="4"/>
  <c r="G407" i="4"/>
  <c r="AO406" i="4"/>
  <c r="AN406" i="4"/>
  <c r="AM406" i="4"/>
  <c r="AL406" i="4"/>
  <c r="AK406" i="4"/>
  <c r="AJ406" i="4"/>
  <c r="AI406" i="4"/>
  <c r="AH406" i="4"/>
  <c r="AG406" i="4"/>
  <c r="AF406" i="4"/>
  <c r="AE406" i="4"/>
  <c r="AD406" i="4"/>
  <c r="AC406" i="4"/>
  <c r="AB406" i="4"/>
  <c r="AA406" i="4"/>
  <c r="Z406" i="4"/>
  <c r="H406" i="4"/>
  <c r="G406" i="4"/>
  <c r="AO405" i="4"/>
  <c r="AN405" i="4"/>
  <c r="AM405" i="4"/>
  <c r="AL405" i="4"/>
  <c r="AK405" i="4"/>
  <c r="AJ405" i="4"/>
  <c r="AI405" i="4"/>
  <c r="AH405" i="4"/>
  <c r="AG405" i="4"/>
  <c r="AF405" i="4"/>
  <c r="AE405" i="4"/>
  <c r="AD405" i="4"/>
  <c r="AC405" i="4"/>
  <c r="AB405" i="4"/>
  <c r="AA405" i="4"/>
  <c r="Z405" i="4"/>
  <c r="H405" i="4"/>
  <c r="G405" i="4"/>
  <c r="AO404" i="4"/>
  <c r="AN404" i="4"/>
  <c r="AM404" i="4"/>
  <c r="AL404" i="4"/>
  <c r="AK404" i="4"/>
  <c r="AJ404" i="4"/>
  <c r="AI404" i="4"/>
  <c r="AH404" i="4"/>
  <c r="AG404" i="4"/>
  <c r="AF404" i="4"/>
  <c r="AE404" i="4"/>
  <c r="AD404" i="4"/>
  <c r="AC404" i="4"/>
  <c r="AB404" i="4"/>
  <c r="AA404" i="4"/>
  <c r="Z404" i="4"/>
  <c r="H404" i="4"/>
  <c r="G404" i="4"/>
  <c r="AO403" i="4"/>
  <c r="AN403" i="4"/>
  <c r="AM403" i="4"/>
  <c r="AL403" i="4"/>
  <c r="AK403" i="4"/>
  <c r="AJ403" i="4"/>
  <c r="AI403" i="4"/>
  <c r="AH403" i="4"/>
  <c r="AG403" i="4"/>
  <c r="AF403" i="4"/>
  <c r="AE403" i="4"/>
  <c r="AD403" i="4"/>
  <c r="AC403" i="4"/>
  <c r="AB403" i="4"/>
  <c r="AA403" i="4"/>
  <c r="Z403" i="4"/>
  <c r="H403" i="4"/>
  <c r="G403" i="4"/>
  <c r="AO402" i="4"/>
  <c r="AN402" i="4"/>
  <c r="AM402" i="4"/>
  <c r="AL402" i="4"/>
  <c r="AK402" i="4"/>
  <c r="AJ402" i="4"/>
  <c r="AI402" i="4"/>
  <c r="AH402" i="4"/>
  <c r="AG402" i="4"/>
  <c r="AF402" i="4"/>
  <c r="AE402" i="4"/>
  <c r="AD402" i="4"/>
  <c r="AC402" i="4"/>
  <c r="AB402" i="4"/>
  <c r="AA402" i="4"/>
  <c r="Z402" i="4"/>
  <c r="H402" i="4"/>
  <c r="G402" i="4"/>
  <c r="AO401" i="4"/>
  <c r="AN401" i="4"/>
  <c r="AM401" i="4"/>
  <c r="AL401" i="4"/>
  <c r="AK401" i="4"/>
  <c r="AJ401" i="4"/>
  <c r="AI401" i="4"/>
  <c r="AH401" i="4"/>
  <c r="AG401" i="4"/>
  <c r="AF401" i="4"/>
  <c r="AE401" i="4"/>
  <c r="AD401" i="4"/>
  <c r="AC401" i="4"/>
  <c r="AB401" i="4"/>
  <c r="AA401" i="4"/>
  <c r="Z401" i="4"/>
  <c r="H401" i="4"/>
  <c r="G401" i="4"/>
  <c r="AO400" i="4"/>
  <c r="AN400" i="4"/>
  <c r="AM400" i="4"/>
  <c r="AL400" i="4"/>
  <c r="AK400" i="4"/>
  <c r="AJ400" i="4"/>
  <c r="AI400" i="4"/>
  <c r="AH400" i="4"/>
  <c r="AG400" i="4"/>
  <c r="AF400" i="4"/>
  <c r="AE400" i="4"/>
  <c r="AD400" i="4"/>
  <c r="AC400" i="4"/>
  <c r="AB400" i="4"/>
  <c r="AA400" i="4"/>
  <c r="Z400" i="4"/>
  <c r="H400" i="4"/>
  <c r="G400" i="4"/>
  <c r="AO399" i="4"/>
  <c r="AN399" i="4"/>
  <c r="AM399" i="4"/>
  <c r="AL399" i="4"/>
  <c r="AK399" i="4"/>
  <c r="AJ399" i="4"/>
  <c r="AI399" i="4"/>
  <c r="AH399" i="4"/>
  <c r="AG399" i="4"/>
  <c r="AF399" i="4"/>
  <c r="AE399" i="4"/>
  <c r="AD399" i="4"/>
  <c r="AC399" i="4"/>
  <c r="AB399" i="4"/>
  <c r="AA399" i="4"/>
  <c r="Z399" i="4"/>
  <c r="H399" i="4"/>
  <c r="G399" i="4"/>
  <c r="AO398" i="4"/>
  <c r="AN398" i="4"/>
  <c r="AM398" i="4"/>
  <c r="AL398" i="4"/>
  <c r="AK398" i="4"/>
  <c r="AJ398" i="4"/>
  <c r="AI398" i="4"/>
  <c r="AH398" i="4"/>
  <c r="AG398" i="4"/>
  <c r="AF398" i="4"/>
  <c r="AE398" i="4"/>
  <c r="AD398" i="4"/>
  <c r="AC398" i="4"/>
  <c r="AB398" i="4"/>
  <c r="AA398" i="4"/>
  <c r="Z398" i="4"/>
  <c r="H398" i="4"/>
  <c r="G398" i="4"/>
  <c r="AO397" i="4"/>
  <c r="AN397" i="4"/>
  <c r="AM397" i="4"/>
  <c r="AL397" i="4"/>
  <c r="AK397" i="4"/>
  <c r="AJ397" i="4"/>
  <c r="AI397" i="4"/>
  <c r="AH397" i="4"/>
  <c r="AG397" i="4"/>
  <c r="AF397" i="4"/>
  <c r="AE397" i="4"/>
  <c r="AD397" i="4"/>
  <c r="AC397" i="4"/>
  <c r="AB397" i="4"/>
  <c r="AA397" i="4"/>
  <c r="Z397" i="4"/>
  <c r="H397" i="4"/>
  <c r="G397" i="4"/>
  <c r="AO396" i="4"/>
  <c r="AN396" i="4"/>
  <c r="AM396" i="4"/>
  <c r="AL396" i="4"/>
  <c r="AK396" i="4"/>
  <c r="AJ396" i="4"/>
  <c r="AI396" i="4"/>
  <c r="AH396" i="4"/>
  <c r="AG396" i="4"/>
  <c r="AF396" i="4"/>
  <c r="AE396" i="4"/>
  <c r="AD396" i="4"/>
  <c r="AC396" i="4"/>
  <c r="AB396" i="4"/>
  <c r="AA396" i="4"/>
  <c r="Z396" i="4"/>
  <c r="H396" i="4"/>
  <c r="G396" i="4"/>
  <c r="AO395" i="4"/>
  <c r="AN395" i="4"/>
  <c r="AM395" i="4"/>
  <c r="AL395" i="4"/>
  <c r="AK395" i="4"/>
  <c r="AJ395" i="4"/>
  <c r="AI395" i="4"/>
  <c r="AH395" i="4"/>
  <c r="AG395" i="4"/>
  <c r="AF395" i="4"/>
  <c r="AE395" i="4"/>
  <c r="AD395" i="4"/>
  <c r="AC395" i="4"/>
  <c r="AB395" i="4"/>
  <c r="AA395" i="4"/>
  <c r="Z395" i="4"/>
  <c r="H395" i="4"/>
  <c r="G395" i="4"/>
  <c r="AO394" i="4"/>
  <c r="AN394" i="4"/>
  <c r="AM394" i="4"/>
  <c r="AL394" i="4"/>
  <c r="AK394" i="4"/>
  <c r="AJ394" i="4"/>
  <c r="AI394" i="4"/>
  <c r="AH394" i="4"/>
  <c r="AG394" i="4"/>
  <c r="AF394" i="4"/>
  <c r="AE394" i="4"/>
  <c r="AD394" i="4"/>
  <c r="AC394" i="4"/>
  <c r="AB394" i="4"/>
  <c r="AA394" i="4"/>
  <c r="Z394" i="4"/>
  <c r="H394" i="4"/>
  <c r="G394" i="4"/>
  <c r="AO393" i="4"/>
  <c r="AN393" i="4"/>
  <c r="AM393" i="4"/>
  <c r="AL393" i="4"/>
  <c r="AK393" i="4"/>
  <c r="AJ393" i="4"/>
  <c r="AI393" i="4"/>
  <c r="AH393" i="4"/>
  <c r="AG393" i="4"/>
  <c r="AF393" i="4"/>
  <c r="AE393" i="4"/>
  <c r="AD393" i="4"/>
  <c r="AC393" i="4"/>
  <c r="AB393" i="4"/>
  <c r="AA393" i="4"/>
  <c r="Z393" i="4"/>
  <c r="H393" i="4"/>
  <c r="G393" i="4"/>
  <c r="AO392" i="4"/>
  <c r="AN392" i="4"/>
  <c r="AM392" i="4"/>
  <c r="AL392" i="4"/>
  <c r="AK392" i="4"/>
  <c r="AJ392" i="4"/>
  <c r="AI392" i="4"/>
  <c r="AH392" i="4"/>
  <c r="AG392" i="4"/>
  <c r="AF392" i="4"/>
  <c r="AE392" i="4"/>
  <c r="AD392" i="4"/>
  <c r="AC392" i="4"/>
  <c r="AB392" i="4"/>
  <c r="AA392" i="4"/>
  <c r="Z392" i="4"/>
  <c r="H392" i="4"/>
  <c r="G392" i="4"/>
  <c r="AO391" i="4"/>
  <c r="AN391" i="4"/>
  <c r="AM391" i="4"/>
  <c r="AL391" i="4"/>
  <c r="AK391" i="4"/>
  <c r="AJ391" i="4"/>
  <c r="AI391" i="4"/>
  <c r="AH391" i="4"/>
  <c r="AG391" i="4"/>
  <c r="AF391" i="4"/>
  <c r="AE391" i="4"/>
  <c r="AD391" i="4"/>
  <c r="AC391" i="4"/>
  <c r="AB391" i="4"/>
  <c r="AA391" i="4"/>
  <c r="Z391" i="4"/>
  <c r="H391" i="4"/>
  <c r="G391" i="4"/>
  <c r="AO390" i="4"/>
  <c r="AN390" i="4"/>
  <c r="AM390" i="4"/>
  <c r="AL390" i="4"/>
  <c r="AK390" i="4"/>
  <c r="AJ390" i="4"/>
  <c r="AI390" i="4"/>
  <c r="AH390" i="4"/>
  <c r="AG390" i="4"/>
  <c r="AF390" i="4"/>
  <c r="AE390" i="4"/>
  <c r="AD390" i="4"/>
  <c r="AC390" i="4"/>
  <c r="AB390" i="4"/>
  <c r="AA390" i="4"/>
  <c r="Z390" i="4"/>
  <c r="H390" i="4"/>
  <c r="G390" i="4"/>
  <c r="AO389" i="4"/>
  <c r="AN389" i="4"/>
  <c r="AM389" i="4"/>
  <c r="AL389" i="4"/>
  <c r="AK389" i="4"/>
  <c r="AJ389" i="4"/>
  <c r="AI389" i="4"/>
  <c r="AH389" i="4"/>
  <c r="AG389" i="4"/>
  <c r="AF389" i="4"/>
  <c r="AE389" i="4"/>
  <c r="AD389" i="4"/>
  <c r="AC389" i="4"/>
  <c r="AB389" i="4"/>
  <c r="AA389" i="4"/>
  <c r="Z389" i="4"/>
  <c r="H389" i="4"/>
  <c r="G389" i="4"/>
  <c r="AO388" i="4"/>
  <c r="AN388" i="4"/>
  <c r="AM388" i="4"/>
  <c r="AL388" i="4"/>
  <c r="AK388" i="4"/>
  <c r="AJ388" i="4"/>
  <c r="AI388" i="4"/>
  <c r="AH388" i="4"/>
  <c r="AG388" i="4"/>
  <c r="AF388" i="4"/>
  <c r="AE388" i="4"/>
  <c r="AD388" i="4"/>
  <c r="AC388" i="4"/>
  <c r="AB388" i="4"/>
  <c r="AA388" i="4"/>
  <c r="Z388" i="4"/>
  <c r="H388" i="4"/>
  <c r="G388" i="4"/>
  <c r="AO387" i="4"/>
  <c r="AN387" i="4"/>
  <c r="AM387" i="4"/>
  <c r="AL387" i="4"/>
  <c r="AK387" i="4"/>
  <c r="AJ387" i="4"/>
  <c r="AI387" i="4"/>
  <c r="AH387" i="4"/>
  <c r="AG387" i="4"/>
  <c r="AF387" i="4"/>
  <c r="AE387" i="4"/>
  <c r="AD387" i="4"/>
  <c r="AC387" i="4"/>
  <c r="AB387" i="4"/>
  <c r="AA387" i="4"/>
  <c r="Z387" i="4"/>
  <c r="H387" i="4"/>
  <c r="G387" i="4"/>
  <c r="AO386" i="4"/>
  <c r="AN386" i="4"/>
  <c r="AM386" i="4"/>
  <c r="AL386" i="4"/>
  <c r="AK386" i="4"/>
  <c r="AJ386" i="4"/>
  <c r="AI386" i="4"/>
  <c r="AH386" i="4"/>
  <c r="AG386" i="4"/>
  <c r="AF386" i="4"/>
  <c r="AE386" i="4"/>
  <c r="AD386" i="4"/>
  <c r="AC386" i="4"/>
  <c r="AB386" i="4"/>
  <c r="AA386" i="4"/>
  <c r="Z386" i="4"/>
  <c r="H386" i="4"/>
  <c r="G386" i="4"/>
  <c r="AO385" i="4"/>
  <c r="AN385" i="4"/>
  <c r="AM385" i="4"/>
  <c r="AL385" i="4"/>
  <c r="AK385" i="4"/>
  <c r="AJ385" i="4"/>
  <c r="AI385" i="4"/>
  <c r="AH385" i="4"/>
  <c r="AG385" i="4"/>
  <c r="AF385" i="4"/>
  <c r="AE385" i="4"/>
  <c r="AD385" i="4"/>
  <c r="AC385" i="4"/>
  <c r="AB385" i="4"/>
  <c r="AA385" i="4"/>
  <c r="Z385" i="4"/>
  <c r="H385" i="4"/>
  <c r="G385" i="4"/>
  <c r="AO384" i="4"/>
  <c r="AN384" i="4"/>
  <c r="AM384" i="4"/>
  <c r="AL384" i="4"/>
  <c r="AK384" i="4"/>
  <c r="AJ384" i="4"/>
  <c r="AI384" i="4"/>
  <c r="AH384" i="4"/>
  <c r="AG384" i="4"/>
  <c r="AF384" i="4"/>
  <c r="AE384" i="4"/>
  <c r="AD384" i="4"/>
  <c r="AC384" i="4"/>
  <c r="AB384" i="4"/>
  <c r="AA384" i="4"/>
  <c r="Z384" i="4"/>
  <c r="H384" i="4"/>
  <c r="G384" i="4"/>
  <c r="AO383" i="4"/>
  <c r="AN383" i="4"/>
  <c r="AM383" i="4"/>
  <c r="AL383" i="4"/>
  <c r="AK383" i="4"/>
  <c r="AJ383" i="4"/>
  <c r="AI383" i="4"/>
  <c r="AH383" i="4"/>
  <c r="AG383" i="4"/>
  <c r="AF383" i="4"/>
  <c r="AE383" i="4"/>
  <c r="AD383" i="4"/>
  <c r="AC383" i="4"/>
  <c r="AB383" i="4"/>
  <c r="AA383" i="4"/>
  <c r="Z383" i="4"/>
  <c r="H383" i="4"/>
  <c r="G383" i="4"/>
  <c r="AO382" i="4"/>
  <c r="AN382" i="4"/>
  <c r="AM382" i="4"/>
  <c r="AL382" i="4"/>
  <c r="AK382" i="4"/>
  <c r="AJ382" i="4"/>
  <c r="AI382" i="4"/>
  <c r="AH382" i="4"/>
  <c r="AG382" i="4"/>
  <c r="AF382" i="4"/>
  <c r="AE382" i="4"/>
  <c r="AD382" i="4"/>
  <c r="AC382" i="4"/>
  <c r="AB382" i="4"/>
  <c r="AA382" i="4"/>
  <c r="Z382" i="4"/>
  <c r="H382" i="4"/>
  <c r="G382" i="4"/>
  <c r="AO381" i="4"/>
  <c r="AN381" i="4"/>
  <c r="AM381" i="4"/>
  <c r="AL381" i="4"/>
  <c r="AK381" i="4"/>
  <c r="AJ381" i="4"/>
  <c r="AI381" i="4"/>
  <c r="AH381" i="4"/>
  <c r="AG381" i="4"/>
  <c r="AF381" i="4"/>
  <c r="AE381" i="4"/>
  <c r="AD381" i="4"/>
  <c r="AC381" i="4"/>
  <c r="AB381" i="4"/>
  <c r="AA381" i="4"/>
  <c r="Z381" i="4"/>
  <c r="H381" i="4"/>
  <c r="G381" i="4"/>
  <c r="AO380" i="4"/>
  <c r="AN380" i="4"/>
  <c r="AM380" i="4"/>
  <c r="AL380" i="4"/>
  <c r="AK380" i="4"/>
  <c r="AJ380" i="4"/>
  <c r="AI380" i="4"/>
  <c r="AH380" i="4"/>
  <c r="AG380" i="4"/>
  <c r="AF380" i="4"/>
  <c r="AE380" i="4"/>
  <c r="AD380" i="4"/>
  <c r="AC380" i="4"/>
  <c r="AB380" i="4"/>
  <c r="AA380" i="4"/>
  <c r="Z380" i="4"/>
  <c r="H380" i="4"/>
  <c r="G380" i="4"/>
  <c r="AO379" i="4"/>
  <c r="AN379" i="4"/>
  <c r="AM379" i="4"/>
  <c r="AL379" i="4"/>
  <c r="AK379" i="4"/>
  <c r="AJ379" i="4"/>
  <c r="AI379" i="4"/>
  <c r="AH379" i="4"/>
  <c r="AG379" i="4"/>
  <c r="AF379" i="4"/>
  <c r="AE379" i="4"/>
  <c r="AD379" i="4"/>
  <c r="AC379" i="4"/>
  <c r="AB379" i="4"/>
  <c r="AA379" i="4"/>
  <c r="Z379" i="4"/>
  <c r="H379" i="4"/>
  <c r="G379" i="4"/>
  <c r="AO378" i="4"/>
  <c r="AN378" i="4"/>
  <c r="AM378" i="4"/>
  <c r="AL378" i="4"/>
  <c r="AK378" i="4"/>
  <c r="AJ378" i="4"/>
  <c r="AI378" i="4"/>
  <c r="AH378" i="4"/>
  <c r="AG378" i="4"/>
  <c r="AF378" i="4"/>
  <c r="AE378" i="4"/>
  <c r="AD378" i="4"/>
  <c r="AC378" i="4"/>
  <c r="AB378" i="4"/>
  <c r="AA378" i="4"/>
  <c r="Z378" i="4"/>
  <c r="H378" i="4"/>
  <c r="G378" i="4"/>
  <c r="AO377" i="4"/>
  <c r="AN377" i="4"/>
  <c r="AM377" i="4"/>
  <c r="AL377" i="4"/>
  <c r="AK377" i="4"/>
  <c r="AJ377" i="4"/>
  <c r="AI377" i="4"/>
  <c r="AH377" i="4"/>
  <c r="AG377" i="4"/>
  <c r="AF377" i="4"/>
  <c r="AE377" i="4"/>
  <c r="AD377" i="4"/>
  <c r="AC377" i="4"/>
  <c r="AB377" i="4"/>
  <c r="AA377" i="4"/>
  <c r="Z377" i="4"/>
  <c r="H377" i="4"/>
  <c r="G377" i="4"/>
  <c r="AO376" i="4"/>
  <c r="AN376" i="4"/>
  <c r="AM376" i="4"/>
  <c r="AL376" i="4"/>
  <c r="AK376" i="4"/>
  <c r="AJ376" i="4"/>
  <c r="AI376" i="4"/>
  <c r="AH376" i="4"/>
  <c r="AG376" i="4"/>
  <c r="AF376" i="4"/>
  <c r="AE376" i="4"/>
  <c r="AD376" i="4"/>
  <c r="AC376" i="4"/>
  <c r="AB376" i="4"/>
  <c r="AA376" i="4"/>
  <c r="Z376" i="4"/>
  <c r="H376" i="4"/>
  <c r="G376" i="4"/>
  <c r="AO375" i="4"/>
  <c r="AN375" i="4"/>
  <c r="AM375" i="4"/>
  <c r="AL375" i="4"/>
  <c r="AK375" i="4"/>
  <c r="AJ375" i="4"/>
  <c r="AI375" i="4"/>
  <c r="AH375" i="4"/>
  <c r="AG375" i="4"/>
  <c r="AF375" i="4"/>
  <c r="AE375" i="4"/>
  <c r="AD375" i="4"/>
  <c r="AC375" i="4"/>
  <c r="AB375" i="4"/>
  <c r="AA375" i="4"/>
  <c r="Z375" i="4"/>
  <c r="H375" i="4"/>
  <c r="G375" i="4"/>
  <c r="AO374" i="4"/>
  <c r="AN374" i="4"/>
  <c r="AM374" i="4"/>
  <c r="AL374" i="4"/>
  <c r="AK374" i="4"/>
  <c r="AJ374" i="4"/>
  <c r="AI374" i="4"/>
  <c r="AH374" i="4"/>
  <c r="AG374" i="4"/>
  <c r="AF374" i="4"/>
  <c r="AE374" i="4"/>
  <c r="AD374" i="4"/>
  <c r="AC374" i="4"/>
  <c r="AB374" i="4"/>
  <c r="AA374" i="4"/>
  <c r="Z374" i="4"/>
  <c r="H374" i="4"/>
  <c r="G374" i="4"/>
  <c r="AO373" i="4"/>
  <c r="AN373" i="4"/>
  <c r="AM373" i="4"/>
  <c r="AL373" i="4"/>
  <c r="AK373" i="4"/>
  <c r="AJ373" i="4"/>
  <c r="AI373" i="4"/>
  <c r="AH373" i="4"/>
  <c r="AG373" i="4"/>
  <c r="AF373" i="4"/>
  <c r="AE373" i="4"/>
  <c r="AD373" i="4"/>
  <c r="AC373" i="4"/>
  <c r="AB373" i="4"/>
  <c r="AA373" i="4"/>
  <c r="Z373" i="4"/>
  <c r="H373" i="4"/>
  <c r="G373" i="4"/>
  <c r="AO372" i="4"/>
  <c r="AN372" i="4"/>
  <c r="AM372" i="4"/>
  <c r="AL372" i="4"/>
  <c r="AK372" i="4"/>
  <c r="AJ372" i="4"/>
  <c r="AI372" i="4"/>
  <c r="AH372" i="4"/>
  <c r="AG372" i="4"/>
  <c r="AF372" i="4"/>
  <c r="AE372" i="4"/>
  <c r="AD372" i="4"/>
  <c r="AC372" i="4"/>
  <c r="AB372" i="4"/>
  <c r="AA372" i="4"/>
  <c r="Z372" i="4"/>
  <c r="H372" i="4"/>
  <c r="G372" i="4"/>
  <c r="AO371" i="4"/>
  <c r="AN371" i="4"/>
  <c r="AM371" i="4"/>
  <c r="AL371" i="4"/>
  <c r="AK371" i="4"/>
  <c r="AJ371" i="4"/>
  <c r="AI371" i="4"/>
  <c r="AH371" i="4"/>
  <c r="AG371" i="4"/>
  <c r="AF371" i="4"/>
  <c r="AE371" i="4"/>
  <c r="AD371" i="4"/>
  <c r="AC371" i="4"/>
  <c r="AB371" i="4"/>
  <c r="AA371" i="4"/>
  <c r="Z371" i="4"/>
  <c r="H371" i="4"/>
  <c r="G371" i="4"/>
  <c r="AO370" i="4"/>
  <c r="AN370" i="4"/>
  <c r="AM370" i="4"/>
  <c r="AL370" i="4"/>
  <c r="AK370" i="4"/>
  <c r="AJ370" i="4"/>
  <c r="AI370" i="4"/>
  <c r="AH370" i="4"/>
  <c r="AG370" i="4"/>
  <c r="AF370" i="4"/>
  <c r="AE370" i="4"/>
  <c r="AD370" i="4"/>
  <c r="AC370" i="4"/>
  <c r="AB370" i="4"/>
  <c r="AA370" i="4"/>
  <c r="Z370" i="4"/>
  <c r="H370" i="4"/>
  <c r="G370" i="4"/>
  <c r="AO369" i="4"/>
  <c r="AN369" i="4"/>
  <c r="AM369" i="4"/>
  <c r="AL369" i="4"/>
  <c r="AK369" i="4"/>
  <c r="AJ369" i="4"/>
  <c r="AI369" i="4"/>
  <c r="AH369" i="4"/>
  <c r="AG369" i="4"/>
  <c r="AF369" i="4"/>
  <c r="AE369" i="4"/>
  <c r="AD369" i="4"/>
  <c r="AC369" i="4"/>
  <c r="AB369" i="4"/>
  <c r="AA369" i="4"/>
  <c r="Z369" i="4"/>
  <c r="H369" i="4"/>
  <c r="G369" i="4"/>
  <c r="AO368" i="4"/>
  <c r="AN368" i="4"/>
  <c r="AM368" i="4"/>
  <c r="AL368" i="4"/>
  <c r="AK368" i="4"/>
  <c r="AJ368" i="4"/>
  <c r="AI368" i="4"/>
  <c r="AH368" i="4"/>
  <c r="AG368" i="4"/>
  <c r="AF368" i="4"/>
  <c r="AE368" i="4"/>
  <c r="AD368" i="4"/>
  <c r="AC368" i="4"/>
  <c r="AB368" i="4"/>
  <c r="AA368" i="4"/>
  <c r="Z368" i="4"/>
  <c r="H368" i="4"/>
  <c r="G368" i="4"/>
  <c r="AO367" i="4"/>
  <c r="AN367" i="4"/>
  <c r="AM367" i="4"/>
  <c r="AL367" i="4"/>
  <c r="AK367" i="4"/>
  <c r="AJ367" i="4"/>
  <c r="AI367" i="4"/>
  <c r="AH367" i="4"/>
  <c r="AG367" i="4"/>
  <c r="AF367" i="4"/>
  <c r="AE367" i="4"/>
  <c r="AD367" i="4"/>
  <c r="AC367" i="4"/>
  <c r="AB367" i="4"/>
  <c r="AA367" i="4"/>
  <c r="Z367" i="4"/>
  <c r="H367" i="4"/>
  <c r="G367" i="4"/>
  <c r="AO366" i="4"/>
  <c r="AN366" i="4"/>
  <c r="AM366" i="4"/>
  <c r="AL366" i="4"/>
  <c r="AK366" i="4"/>
  <c r="AJ366" i="4"/>
  <c r="AI366" i="4"/>
  <c r="AH366" i="4"/>
  <c r="AG366" i="4"/>
  <c r="AF366" i="4"/>
  <c r="AE366" i="4"/>
  <c r="AD366" i="4"/>
  <c r="AC366" i="4"/>
  <c r="AB366" i="4"/>
  <c r="AA366" i="4"/>
  <c r="Z366" i="4"/>
  <c r="H366" i="4"/>
  <c r="G366" i="4"/>
  <c r="AO365" i="4"/>
  <c r="AN365" i="4"/>
  <c r="AM365" i="4"/>
  <c r="AL365" i="4"/>
  <c r="AK365" i="4"/>
  <c r="AJ365" i="4"/>
  <c r="AI365" i="4"/>
  <c r="AH365" i="4"/>
  <c r="AG365" i="4"/>
  <c r="AF365" i="4"/>
  <c r="AE365" i="4"/>
  <c r="AD365" i="4"/>
  <c r="AC365" i="4"/>
  <c r="AB365" i="4"/>
  <c r="AA365" i="4"/>
  <c r="Z365" i="4"/>
  <c r="H365" i="4"/>
  <c r="G365" i="4"/>
  <c r="AO364" i="4"/>
  <c r="AN364" i="4"/>
  <c r="AM364" i="4"/>
  <c r="AL364" i="4"/>
  <c r="AK364" i="4"/>
  <c r="AJ364" i="4"/>
  <c r="AI364" i="4"/>
  <c r="AH364" i="4"/>
  <c r="AG364" i="4"/>
  <c r="AF364" i="4"/>
  <c r="AE364" i="4"/>
  <c r="AD364" i="4"/>
  <c r="AC364" i="4"/>
  <c r="AB364" i="4"/>
  <c r="AA364" i="4"/>
  <c r="Z364" i="4"/>
  <c r="H364" i="4"/>
  <c r="G364" i="4"/>
  <c r="AO363" i="4"/>
  <c r="AN363" i="4"/>
  <c r="AM363" i="4"/>
  <c r="AL363" i="4"/>
  <c r="AK363" i="4"/>
  <c r="AJ363" i="4"/>
  <c r="AI363" i="4"/>
  <c r="AH363" i="4"/>
  <c r="AG363" i="4"/>
  <c r="AF363" i="4"/>
  <c r="AE363" i="4"/>
  <c r="AD363" i="4"/>
  <c r="AC363" i="4"/>
  <c r="AB363" i="4"/>
  <c r="AA363" i="4"/>
  <c r="Z363" i="4"/>
  <c r="H363" i="4"/>
  <c r="G363" i="4"/>
  <c r="AO362" i="4"/>
  <c r="AN362" i="4"/>
  <c r="AM362" i="4"/>
  <c r="AL362" i="4"/>
  <c r="AK362" i="4"/>
  <c r="AJ362" i="4"/>
  <c r="AI362" i="4"/>
  <c r="AH362" i="4"/>
  <c r="AG362" i="4"/>
  <c r="AF362" i="4"/>
  <c r="AE362" i="4"/>
  <c r="AD362" i="4"/>
  <c r="AC362" i="4"/>
  <c r="AB362" i="4"/>
  <c r="AA362" i="4"/>
  <c r="Z362" i="4"/>
  <c r="H362" i="4"/>
  <c r="G362" i="4"/>
  <c r="AO361" i="4"/>
  <c r="AN361" i="4"/>
  <c r="AM361" i="4"/>
  <c r="AL361" i="4"/>
  <c r="AK361" i="4"/>
  <c r="AJ361" i="4"/>
  <c r="AI361" i="4"/>
  <c r="AH361" i="4"/>
  <c r="AG361" i="4"/>
  <c r="AF361" i="4"/>
  <c r="AE361" i="4"/>
  <c r="AD361" i="4"/>
  <c r="AC361" i="4"/>
  <c r="AB361" i="4"/>
  <c r="AA361" i="4"/>
  <c r="Z361" i="4"/>
  <c r="H361" i="4"/>
  <c r="G361" i="4"/>
  <c r="AO360" i="4"/>
  <c r="AN360" i="4"/>
  <c r="AM360" i="4"/>
  <c r="AL360" i="4"/>
  <c r="AK360" i="4"/>
  <c r="AJ360" i="4"/>
  <c r="AI360" i="4"/>
  <c r="AH360" i="4"/>
  <c r="AG360" i="4"/>
  <c r="AF360" i="4"/>
  <c r="AE360" i="4"/>
  <c r="AD360" i="4"/>
  <c r="AC360" i="4"/>
  <c r="AB360" i="4"/>
  <c r="AA360" i="4"/>
  <c r="Z360" i="4"/>
  <c r="H360" i="4"/>
  <c r="G360" i="4"/>
  <c r="AO359" i="4"/>
  <c r="AN359" i="4"/>
  <c r="AM359" i="4"/>
  <c r="AL359" i="4"/>
  <c r="AK359" i="4"/>
  <c r="AJ359" i="4"/>
  <c r="AI359" i="4"/>
  <c r="AH359" i="4"/>
  <c r="AG359" i="4"/>
  <c r="AF359" i="4"/>
  <c r="AE359" i="4"/>
  <c r="AD359" i="4"/>
  <c r="AC359" i="4"/>
  <c r="AB359" i="4"/>
  <c r="AA359" i="4"/>
  <c r="Z359" i="4"/>
  <c r="H359" i="4"/>
  <c r="G359" i="4"/>
  <c r="AO358" i="4"/>
  <c r="AN358" i="4"/>
  <c r="AM358" i="4"/>
  <c r="AL358" i="4"/>
  <c r="AK358" i="4"/>
  <c r="AJ358" i="4"/>
  <c r="AI358" i="4"/>
  <c r="AH358" i="4"/>
  <c r="AG358" i="4"/>
  <c r="AF358" i="4"/>
  <c r="AE358" i="4"/>
  <c r="AD358" i="4"/>
  <c r="AC358" i="4"/>
  <c r="AB358" i="4"/>
  <c r="AA358" i="4"/>
  <c r="Z358" i="4"/>
  <c r="H358" i="4"/>
  <c r="G358" i="4"/>
  <c r="AO357" i="4"/>
  <c r="AN357" i="4"/>
  <c r="AM357" i="4"/>
  <c r="AL357" i="4"/>
  <c r="AK357" i="4"/>
  <c r="AJ357" i="4"/>
  <c r="AI357" i="4"/>
  <c r="AH357" i="4"/>
  <c r="AG357" i="4"/>
  <c r="AF357" i="4"/>
  <c r="AE357" i="4"/>
  <c r="AD357" i="4"/>
  <c r="AC357" i="4"/>
  <c r="AB357" i="4"/>
  <c r="AA357" i="4"/>
  <c r="Z357" i="4"/>
  <c r="H357" i="4"/>
  <c r="G357" i="4"/>
  <c r="AO356" i="4"/>
  <c r="AN356" i="4"/>
  <c r="AM356" i="4"/>
  <c r="AL356" i="4"/>
  <c r="AK356" i="4"/>
  <c r="AJ356" i="4"/>
  <c r="AI356" i="4"/>
  <c r="AH356" i="4"/>
  <c r="AG356" i="4"/>
  <c r="AF356" i="4"/>
  <c r="AE356" i="4"/>
  <c r="AD356" i="4"/>
  <c r="AC356" i="4"/>
  <c r="AB356" i="4"/>
  <c r="AA356" i="4"/>
  <c r="Z356" i="4"/>
  <c r="H356" i="4"/>
  <c r="G356" i="4"/>
  <c r="AO355" i="4"/>
  <c r="AN355" i="4"/>
  <c r="AM355" i="4"/>
  <c r="AL355" i="4"/>
  <c r="AK355" i="4"/>
  <c r="AJ355" i="4"/>
  <c r="AI355" i="4"/>
  <c r="AH355" i="4"/>
  <c r="AG355" i="4"/>
  <c r="AF355" i="4"/>
  <c r="AE355" i="4"/>
  <c r="AD355" i="4"/>
  <c r="AC355" i="4"/>
  <c r="AB355" i="4"/>
  <c r="AA355" i="4"/>
  <c r="Z355" i="4"/>
  <c r="H355" i="4"/>
  <c r="G355" i="4"/>
  <c r="AO354" i="4"/>
  <c r="AN354" i="4"/>
  <c r="AM354" i="4"/>
  <c r="AL354" i="4"/>
  <c r="AK354" i="4"/>
  <c r="AJ354" i="4"/>
  <c r="AI354" i="4"/>
  <c r="AH354" i="4"/>
  <c r="AG354" i="4"/>
  <c r="AF354" i="4"/>
  <c r="AE354" i="4"/>
  <c r="AD354" i="4"/>
  <c r="AC354" i="4"/>
  <c r="AB354" i="4"/>
  <c r="AA354" i="4"/>
  <c r="Z354" i="4"/>
  <c r="H354" i="4"/>
  <c r="G354" i="4"/>
  <c r="AO353" i="4"/>
  <c r="AN353" i="4"/>
  <c r="AM353" i="4"/>
  <c r="AL353" i="4"/>
  <c r="AK353" i="4"/>
  <c r="AJ353" i="4"/>
  <c r="AI353" i="4"/>
  <c r="AH353" i="4"/>
  <c r="AG353" i="4"/>
  <c r="AF353" i="4"/>
  <c r="AE353" i="4"/>
  <c r="AD353" i="4"/>
  <c r="AC353" i="4"/>
  <c r="AB353" i="4"/>
  <c r="AA353" i="4"/>
  <c r="Z353" i="4"/>
  <c r="H353" i="4"/>
  <c r="G353" i="4"/>
  <c r="AO352" i="4"/>
  <c r="AN352" i="4"/>
  <c r="AM352" i="4"/>
  <c r="AL352" i="4"/>
  <c r="AK352" i="4"/>
  <c r="AJ352" i="4"/>
  <c r="AI352" i="4"/>
  <c r="AH352" i="4"/>
  <c r="AG352" i="4"/>
  <c r="AF352" i="4"/>
  <c r="AE352" i="4"/>
  <c r="AD352" i="4"/>
  <c r="AC352" i="4"/>
  <c r="AB352" i="4"/>
  <c r="AA352" i="4"/>
  <c r="Z352" i="4"/>
  <c r="H352" i="4"/>
  <c r="G352" i="4"/>
  <c r="AO351" i="4"/>
  <c r="AN351" i="4"/>
  <c r="AM351" i="4"/>
  <c r="AL351" i="4"/>
  <c r="AK351" i="4"/>
  <c r="AJ351" i="4"/>
  <c r="AI351" i="4"/>
  <c r="AH351" i="4"/>
  <c r="AG351" i="4"/>
  <c r="AF351" i="4"/>
  <c r="AE351" i="4"/>
  <c r="AD351" i="4"/>
  <c r="AC351" i="4"/>
  <c r="AB351" i="4"/>
  <c r="AA351" i="4"/>
  <c r="Z351" i="4"/>
  <c r="H351" i="4"/>
  <c r="G351" i="4"/>
  <c r="AO350" i="4"/>
  <c r="AN350" i="4"/>
  <c r="AM350" i="4"/>
  <c r="AL350" i="4"/>
  <c r="AK350" i="4"/>
  <c r="AJ350" i="4"/>
  <c r="AI350" i="4"/>
  <c r="AH350" i="4"/>
  <c r="AG350" i="4"/>
  <c r="AF350" i="4"/>
  <c r="AE350" i="4"/>
  <c r="AD350" i="4"/>
  <c r="AC350" i="4"/>
  <c r="AB350" i="4"/>
  <c r="AA350" i="4"/>
  <c r="Z350" i="4"/>
  <c r="H350" i="4"/>
  <c r="G350" i="4"/>
  <c r="AO349" i="4"/>
  <c r="AN349" i="4"/>
  <c r="AM349" i="4"/>
  <c r="AL349" i="4"/>
  <c r="AK349" i="4"/>
  <c r="AJ349" i="4"/>
  <c r="AI349" i="4"/>
  <c r="AH349" i="4"/>
  <c r="AG349" i="4"/>
  <c r="AF349" i="4"/>
  <c r="AE349" i="4"/>
  <c r="AD349" i="4"/>
  <c r="AC349" i="4"/>
  <c r="AB349" i="4"/>
  <c r="AA349" i="4"/>
  <c r="Z349" i="4"/>
  <c r="H349" i="4"/>
  <c r="G349" i="4"/>
  <c r="AO348" i="4"/>
  <c r="AN348" i="4"/>
  <c r="AM348" i="4"/>
  <c r="AL348" i="4"/>
  <c r="AK348" i="4"/>
  <c r="AJ348" i="4"/>
  <c r="AI348" i="4"/>
  <c r="AH348" i="4"/>
  <c r="AG348" i="4"/>
  <c r="AF348" i="4"/>
  <c r="AE348" i="4"/>
  <c r="AD348" i="4"/>
  <c r="AC348" i="4"/>
  <c r="AB348" i="4"/>
  <c r="AA348" i="4"/>
  <c r="Z348" i="4"/>
  <c r="H348" i="4"/>
  <c r="G348" i="4"/>
  <c r="AO347" i="4"/>
  <c r="AN347" i="4"/>
  <c r="AM347" i="4"/>
  <c r="AL347" i="4"/>
  <c r="AK347" i="4"/>
  <c r="AJ347" i="4"/>
  <c r="AI347" i="4"/>
  <c r="AH347" i="4"/>
  <c r="AG347" i="4"/>
  <c r="AF347" i="4"/>
  <c r="AE347" i="4"/>
  <c r="AD347" i="4"/>
  <c r="AC347" i="4"/>
  <c r="AB347" i="4"/>
  <c r="AA347" i="4"/>
  <c r="Z347" i="4"/>
  <c r="H347" i="4"/>
  <c r="G347" i="4"/>
  <c r="AO346" i="4"/>
  <c r="AN346" i="4"/>
  <c r="AM346" i="4"/>
  <c r="AL346" i="4"/>
  <c r="AK346" i="4"/>
  <c r="AJ346" i="4"/>
  <c r="AI346" i="4"/>
  <c r="AH346" i="4"/>
  <c r="AG346" i="4"/>
  <c r="AF346" i="4"/>
  <c r="AE346" i="4"/>
  <c r="AD346" i="4"/>
  <c r="AC346" i="4"/>
  <c r="AB346" i="4"/>
  <c r="AA346" i="4"/>
  <c r="Z346" i="4"/>
  <c r="H346" i="4"/>
  <c r="G346" i="4"/>
  <c r="AO345" i="4"/>
  <c r="AN345" i="4"/>
  <c r="AM345" i="4"/>
  <c r="AL345" i="4"/>
  <c r="AK345" i="4"/>
  <c r="AJ345" i="4"/>
  <c r="AI345" i="4"/>
  <c r="AH345" i="4"/>
  <c r="AG345" i="4"/>
  <c r="AF345" i="4"/>
  <c r="AE345" i="4"/>
  <c r="AD345" i="4"/>
  <c r="AC345" i="4"/>
  <c r="AB345" i="4"/>
  <c r="AA345" i="4"/>
  <c r="Z345" i="4"/>
  <c r="H345" i="4"/>
  <c r="G345" i="4"/>
  <c r="AO344" i="4"/>
  <c r="AN344" i="4"/>
  <c r="AM344" i="4"/>
  <c r="AL344" i="4"/>
  <c r="AK344" i="4"/>
  <c r="AJ344" i="4"/>
  <c r="AI344" i="4"/>
  <c r="AH344" i="4"/>
  <c r="AG344" i="4"/>
  <c r="AF344" i="4"/>
  <c r="AE344" i="4"/>
  <c r="AD344" i="4"/>
  <c r="AC344" i="4"/>
  <c r="AB344" i="4"/>
  <c r="AA344" i="4"/>
  <c r="Z344" i="4"/>
  <c r="H344" i="4"/>
  <c r="G344" i="4"/>
  <c r="AO343" i="4"/>
  <c r="AN343" i="4"/>
  <c r="AM343" i="4"/>
  <c r="AL343" i="4"/>
  <c r="AK343" i="4"/>
  <c r="AJ343" i="4"/>
  <c r="AI343" i="4"/>
  <c r="AH343" i="4"/>
  <c r="AG343" i="4"/>
  <c r="AF343" i="4"/>
  <c r="AE343" i="4"/>
  <c r="AD343" i="4"/>
  <c r="AC343" i="4"/>
  <c r="AB343" i="4"/>
  <c r="AA343" i="4"/>
  <c r="Z343" i="4"/>
  <c r="H343" i="4"/>
  <c r="G343" i="4"/>
  <c r="AO342" i="4"/>
  <c r="AN342" i="4"/>
  <c r="AM342" i="4"/>
  <c r="AL342" i="4"/>
  <c r="AK342" i="4"/>
  <c r="AJ342" i="4"/>
  <c r="AI342" i="4"/>
  <c r="AH342" i="4"/>
  <c r="AG342" i="4"/>
  <c r="AF342" i="4"/>
  <c r="AE342" i="4"/>
  <c r="AD342" i="4"/>
  <c r="AC342" i="4"/>
  <c r="AB342" i="4"/>
  <c r="AA342" i="4"/>
  <c r="Z342" i="4"/>
  <c r="H342" i="4"/>
  <c r="G342" i="4"/>
  <c r="AO341" i="4"/>
  <c r="AN341" i="4"/>
  <c r="AM341" i="4"/>
  <c r="AL341" i="4"/>
  <c r="AK341" i="4"/>
  <c r="AJ341" i="4"/>
  <c r="AI341" i="4"/>
  <c r="AH341" i="4"/>
  <c r="AG341" i="4"/>
  <c r="AF341" i="4"/>
  <c r="AE341" i="4"/>
  <c r="AD341" i="4"/>
  <c r="AC341" i="4"/>
  <c r="AB341" i="4"/>
  <c r="AA341" i="4"/>
  <c r="Z341" i="4"/>
  <c r="H341" i="4"/>
  <c r="G341" i="4"/>
  <c r="AO340" i="4"/>
  <c r="AN340" i="4"/>
  <c r="AM340" i="4"/>
  <c r="AL340" i="4"/>
  <c r="AK340" i="4"/>
  <c r="AJ340" i="4"/>
  <c r="AI340" i="4"/>
  <c r="AH340" i="4"/>
  <c r="AG340" i="4"/>
  <c r="AF340" i="4"/>
  <c r="AE340" i="4"/>
  <c r="AD340" i="4"/>
  <c r="AC340" i="4"/>
  <c r="AB340" i="4"/>
  <c r="AA340" i="4"/>
  <c r="Z340" i="4"/>
  <c r="H340" i="4"/>
  <c r="G340" i="4"/>
  <c r="AO339" i="4"/>
  <c r="AN339" i="4"/>
  <c r="AM339" i="4"/>
  <c r="AL339" i="4"/>
  <c r="AK339" i="4"/>
  <c r="AJ339" i="4"/>
  <c r="AI339" i="4"/>
  <c r="AH339" i="4"/>
  <c r="AG339" i="4"/>
  <c r="AF339" i="4"/>
  <c r="AE339" i="4"/>
  <c r="AD339" i="4"/>
  <c r="AC339" i="4"/>
  <c r="AB339" i="4"/>
  <c r="AA339" i="4"/>
  <c r="Z339" i="4"/>
  <c r="H339" i="4"/>
  <c r="G339" i="4"/>
  <c r="AO338" i="4"/>
  <c r="AN338" i="4"/>
  <c r="AM338" i="4"/>
  <c r="AL338" i="4"/>
  <c r="AK338" i="4"/>
  <c r="AJ338" i="4"/>
  <c r="AI338" i="4"/>
  <c r="AH338" i="4"/>
  <c r="AG338" i="4"/>
  <c r="AF338" i="4"/>
  <c r="AE338" i="4"/>
  <c r="AD338" i="4"/>
  <c r="AC338" i="4"/>
  <c r="AB338" i="4"/>
  <c r="AA338" i="4"/>
  <c r="Z338" i="4"/>
  <c r="H338" i="4"/>
  <c r="G338" i="4"/>
  <c r="AO337" i="4"/>
  <c r="AN337" i="4"/>
  <c r="AM337" i="4"/>
  <c r="AL337" i="4"/>
  <c r="AK337" i="4"/>
  <c r="AJ337" i="4"/>
  <c r="AI337" i="4"/>
  <c r="AH337" i="4"/>
  <c r="AG337" i="4"/>
  <c r="AF337" i="4"/>
  <c r="AE337" i="4"/>
  <c r="AD337" i="4"/>
  <c r="AC337" i="4"/>
  <c r="AB337" i="4"/>
  <c r="AA337" i="4"/>
  <c r="Z337" i="4"/>
  <c r="H337" i="4"/>
  <c r="G337" i="4"/>
  <c r="AO336" i="4"/>
  <c r="AN336" i="4"/>
  <c r="AM336" i="4"/>
  <c r="AL336" i="4"/>
  <c r="AK336" i="4"/>
  <c r="AJ336" i="4"/>
  <c r="AI336" i="4"/>
  <c r="AH336" i="4"/>
  <c r="AG336" i="4"/>
  <c r="AF336" i="4"/>
  <c r="AE336" i="4"/>
  <c r="AD336" i="4"/>
  <c r="AC336" i="4"/>
  <c r="AB336" i="4"/>
  <c r="AA336" i="4"/>
  <c r="Z336" i="4"/>
  <c r="H336" i="4"/>
  <c r="G336" i="4"/>
  <c r="AO335" i="4"/>
  <c r="AN335" i="4"/>
  <c r="AM335" i="4"/>
  <c r="AL335" i="4"/>
  <c r="AK335" i="4"/>
  <c r="AJ335" i="4"/>
  <c r="AI335" i="4"/>
  <c r="AH335" i="4"/>
  <c r="AG335" i="4"/>
  <c r="AF335" i="4"/>
  <c r="AE335" i="4"/>
  <c r="AD335" i="4"/>
  <c r="AC335" i="4"/>
  <c r="AB335" i="4"/>
  <c r="AA335" i="4"/>
  <c r="Z335" i="4"/>
  <c r="H335" i="4"/>
  <c r="G335" i="4"/>
  <c r="AO334" i="4"/>
  <c r="AN334" i="4"/>
  <c r="AM334" i="4"/>
  <c r="AL334" i="4"/>
  <c r="AK334" i="4"/>
  <c r="AJ334" i="4"/>
  <c r="AI334" i="4"/>
  <c r="AH334" i="4"/>
  <c r="AG334" i="4"/>
  <c r="AF334" i="4"/>
  <c r="AE334" i="4"/>
  <c r="AD334" i="4"/>
  <c r="AC334" i="4"/>
  <c r="AB334" i="4"/>
  <c r="AA334" i="4"/>
  <c r="Z334" i="4"/>
  <c r="H334" i="4"/>
  <c r="G334" i="4"/>
  <c r="AO333" i="4"/>
  <c r="AN333" i="4"/>
  <c r="AM333" i="4"/>
  <c r="AL333" i="4"/>
  <c r="AK333" i="4"/>
  <c r="AJ333" i="4"/>
  <c r="AI333" i="4"/>
  <c r="AH333" i="4"/>
  <c r="AG333" i="4"/>
  <c r="AF333" i="4"/>
  <c r="AE333" i="4"/>
  <c r="AD333" i="4"/>
  <c r="AC333" i="4"/>
  <c r="AB333" i="4"/>
  <c r="AA333" i="4"/>
  <c r="Z333" i="4"/>
  <c r="H333" i="4"/>
  <c r="G333" i="4"/>
  <c r="AO332" i="4"/>
  <c r="AN332" i="4"/>
  <c r="AM332" i="4"/>
  <c r="AL332" i="4"/>
  <c r="AK332" i="4"/>
  <c r="AJ332" i="4"/>
  <c r="AI332" i="4"/>
  <c r="AH332" i="4"/>
  <c r="AG332" i="4"/>
  <c r="AF332" i="4"/>
  <c r="AE332" i="4"/>
  <c r="AD332" i="4"/>
  <c r="AC332" i="4"/>
  <c r="AB332" i="4"/>
  <c r="AA332" i="4"/>
  <c r="Z332" i="4"/>
  <c r="H332" i="4"/>
  <c r="G332" i="4"/>
  <c r="AO331" i="4"/>
  <c r="AN331" i="4"/>
  <c r="AM331" i="4"/>
  <c r="AL331" i="4"/>
  <c r="AK331" i="4"/>
  <c r="AJ331" i="4"/>
  <c r="AI331" i="4"/>
  <c r="AH331" i="4"/>
  <c r="AG331" i="4"/>
  <c r="AF331" i="4"/>
  <c r="AE331" i="4"/>
  <c r="AD331" i="4"/>
  <c r="AC331" i="4"/>
  <c r="AB331" i="4"/>
  <c r="AA331" i="4"/>
  <c r="Z331" i="4"/>
  <c r="H331" i="4"/>
  <c r="G331" i="4"/>
  <c r="AO330" i="4"/>
  <c r="AN330" i="4"/>
  <c r="AM330" i="4"/>
  <c r="AL330" i="4"/>
  <c r="AK330" i="4"/>
  <c r="AJ330" i="4"/>
  <c r="AI330" i="4"/>
  <c r="AH330" i="4"/>
  <c r="AG330" i="4"/>
  <c r="AF330" i="4"/>
  <c r="AE330" i="4"/>
  <c r="AD330" i="4"/>
  <c r="AC330" i="4"/>
  <c r="AB330" i="4"/>
  <c r="AA330" i="4"/>
  <c r="Z330" i="4"/>
  <c r="H330" i="4"/>
  <c r="G330" i="4"/>
  <c r="AO329" i="4"/>
  <c r="AN329" i="4"/>
  <c r="AM329" i="4"/>
  <c r="AL329" i="4"/>
  <c r="AK329" i="4"/>
  <c r="AJ329" i="4"/>
  <c r="AI329" i="4"/>
  <c r="AH329" i="4"/>
  <c r="AG329" i="4"/>
  <c r="AF329" i="4"/>
  <c r="AE329" i="4"/>
  <c r="AD329" i="4"/>
  <c r="AC329" i="4"/>
  <c r="AB329" i="4"/>
  <c r="AA329" i="4"/>
  <c r="Z329" i="4"/>
  <c r="H329" i="4"/>
  <c r="G329" i="4"/>
  <c r="AO328" i="4"/>
  <c r="AN328" i="4"/>
  <c r="AM328" i="4"/>
  <c r="AL328" i="4"/>
  <c r="AK328" i="4"/>
  <c r="AJ328" i="4"/>
  <c r="AI328" i="4"/>
  <c r="AH328" i="4"/>
  <c r="AG328" i="4"/>
  <c r="AF328" i="4"/>
  <c r="AE328" i="4"/>
  <c r="AD328" i="4"/>
  <c r="AC328" i="4"/>
  <c r="AB328" i="4"/>
  <c r="AA328" i="4"/>
  <c r="Z328" i="4"/>
  <c r="H328" i="4"/>
  <c r="G328" i="4"/>
  <c r="AO327" i="4"/>
  <c r="AN327" i="4"/>
  <c r="AM327" i="4"/>
  <c r="AL327" i="4"/>
  <c r="AK327" i="4"/>
  <c r="AJ327" i="4"/>
  <c r="AI327" i="4"/>
  <c r="AH327" i="4"/>
  <c r="AG327" i="4"/>
  <c r="AF327" i="4"/>
  <c r="AE327" i="4"/>
  <c r="AD327" i="4"/>
  <c r="AC327" i="4"/>
  <c r="AB327" i="4"/>
  <c r="AA327" i="4"/>
  <c r="Z327" i="4"/>
  <c r="H327" i="4"/>
  <c r="G327" i="4"/>
  <c r="AO326" i="4"/>
  <c r="AN326" i="4"/>
  <c r="AM326" i="4"/>
  <c r="AL326" i="4"/>
  <c r="AK326" i="4"/>
  <c r="AJ326" i="4"/>
  <c r="AI326" i="4"/>
  <c r="AH326" i="4"/>
  <c r="AG326" i="4"/>
  <c r="AF326" i="4"/>
  <c r="AE326" i="4"/>
  <c r="AD326" i="4"/>
  <c r="AC326" i="4"/>
  <c r="AB326" i="4"/>
  <c r="AA326" i="4"/>
  <c r="Z326" i="4"/>
  <c r="H326" i="4"/>
  <c r="G326" i="4"/>
  <c r="AO325" i="4"/>
  <c r="AN325" i="4"/>
  <c r="AM325" i="4"/>
  <c r="AL325" i="4"/>
  <c r="AK325" i="4"/>
  <c r="AJ325" i="4"/>
  <c r="AI325" i="4"/>
  <c r="AH325" i="4"/>
  <c r="AG325" i="4"/>
  <c r="AF325" i="4"/>
  <c r="AE325" i="4"/>
  <c r="AD325" i="4"/>
  <c r="AC325" i="4"/>
  <c r="AB325" i="4"/>
  <c r="AA325" i="4"/>
  <c r="Z325" i="4"/>
  <c r="H325" i="4"/>
  <c r="G325" i="4"/>
  <c r="AO324" i="4"/>
  <c r="AN324" i="4"/>
  <c r="AM324" i="4"/>
  <c r="AL324" i="4"/>
  <c r="AK324" i="4"/>
  <c r="AJ324" i="4"/>
  <c r="AI324" i="4"/>
  <c r="AH324" i="4"/>
  <c r="AG324" i="4"/>
  <c r="AF324" i="4"/>
  <c r="AE324" i="4"/>
  <c r="AD324" i="4"/>
  <c r="AC324" i="4"/>
  <c r="AB324" i="4"/>
  <c r="AA324" i="4"/>
  <c r="Z324" i="4"/>
  <c r="H324" i="4"/>
  <c r="G324" i="4"/>
  <c r="AO323" i="4"/>
  <c r="AN323" i="4"/>
  <c r="AM323" i="4"/>
  <c r="AL323" i="4"/>
  <c r="AK323" i="4"/>
  <c r="AJ323" i="4"/>
  <c r="AI323" i="4"/>
  <c r="AH323" i="4"/>
  <c r="AG323" i="4"/>
  <c r="AF323" i="4"/>
  <c r="AE323" i="4"/>
  <c r="AD323" i="4"/>
  <c r="AC323" i="4"/>
  <c r="AB323" i="4"/>
  <c r="AA323" i="4"/>
  <c r="Z323" i="4"/>
  <c r="H323" i="4"/>
  <c r="G323" i="4"/>
  <c r="AO322" i="4"/>
  <c r="AN322" i="4"/>
  <c r="AM322" i="4"/>
  <c r="AL322" i="4"/>
  <c r="AK322" i="4"/>
  <c r="AJ322" i="4"/>
  <c r="AI322" i="4"/>
  <c r="AH322" i="4"/>
  <c r="AG322" i="4"/>
  <c r="AF322" i="4"/>
  <c r="AE322" i="4"/>
  <c r="AD322" i="4"/>
  <c r="AC322" i="4"/>
  <c r="AB322" i="4"/>
  <c r="AA322" i="4"/>
  <c r="Z322" i="4"/>
  <c r="H322" i="4"/>
  <c r="G322" i="4"/>
  <c r="AO321" i="4"/>
  <c r="AN321" i="4"/>
  <c r="AM321" i="4"/>
  <c r="AL321" i="4"/>
  <c r="AK321" i="4"/>
  <c r="AJ321" i="4"/>
  <c r="AI321" i="4"/>
  <c r="AH321" i="4"/>
  <c r="AG321" i="4"/>
  <c r="AF321" i="4"/>
  <c r="AE321" i="4"/>
  <c r="AD321" i="4"/>
  <c r="AC321" i="4"/>
  <c r="AB321" i="4"/>
  <c r="AA321" i="4"/>
  <c r="Z321" i="4"/>
  <c r="H321" i="4"/>
  <c r="G321" i="4"/>
  <c r="AO320" i="4"/>
  <c r="AN320" i="4"/>
  <c r="AM320" i="4"/>
  <c r="AL320" i="4"/>
  <c r="AK320" i="4"/>
  <c r="AJ320" i="4"/>
  <c r="AI320" i="4"/>
  <c r="AH320" i="4"/>
  <c r="AG320" i="4"/>
  <c r="AF320" i="4"/>
  <c r="AE320" i="4"/>
  <c r="AD320" i="4"/>
  <c r="AC320" i="4"/>
  <c r="AB320" i="4"/>
  <c r="AA320" i="4"/>
  <c r="Z320" i="4"/>
  <c r="H320" i="4"/>
  <c r="G320" i="4"/>
  <c r="AO319" i="4"/>
  <c r="AN319" i="4"/>
  <c r="AM319" i="4"/>
  <c r="AL319" i="4"/>
  <c r="AK319" i="4"/>
  <c r="AJ319" i="4"/>
  <c r="AI319" i="4"/>
  <c r="AH319" i="4"/>
  <c r="AG319" i="4"/>
  <c r="AF319" i="4"/>
  <c r="AE319" i="4"/>
  <c r="AD319" i="4"/>
  <c r="AC319" i="4"/>
  <c r="AB319" i="4"/>
  <c r="AA319" i="4"/>
  <c r="Z319" i="4"/>
  <c r="H319" i="4"/>
  <c r="G319" i="4"/>
  <c r="AO318" i="4"/>
  <c r="AN318" i="4"/>
  <c r="AM318" i="4"/>
  <c r="AL318" i="4"/>
  <c r="AK318" i="4"/>
  <c r="AJ318" i="4"/>
  <c r="AI318" i="4"/>
  <c r="AH318" i="4"/>
  <c r="AG318" i="4"/>
  <c r="AF318" i="4"/>
  <c r="AE318" i="4"/>
  <c r="AD318" i="4"/>
  <c r="AC318" i="4"/>
  <c r="AB318" i="4"/>
  <c r="AA318" i="4"/>
  <c r="Z318" i="4"/>
  <c r="H318" i="4"/>
  <c r="G318" i="4"/>
  <c r="AO317" i="4"/>
  <c r="AN317" i="4"/>
  <c r="AM317" i="4"/>
  <c r="AL317" i="4"/>
  <c r="AK317" i="4"/>
  <c r="AJ317" i="4"/>
  <c r="AI317" i="4"/>
  <c r="AH317" i="4"/>
  <c r="AG317" i="4"/>
  <c r="AF317" i="4"/>
  <c r="AE317" i="4"/>
  <c r="AD317" i="4"/>
  <c r="AC317" i="4"/>
  <c r="AB317" i="4"/>
  <c r="AA317" i="4"/>
  <c r="Z317" i="4"/>
  <c r="H317" i="4"/>
  <c r="G317" i="4"/>
  <c r="AO316" i="4"/>
  <c r="AN316" i="4"/>
  <c r="AM316" i="4"/>
  <c r="AL316" i="4"/>
  <c r="AK316" i="4"/>
  <c r="AJ316" i="4"/>
  <c r="AI316" i="4"/>
  <c r="AH316" i="4"/>
  <c r="AG316" i="4"/>
  <c r="AF316" i="4"/>
  <c r="AE316" i="4"/>
  <c r="AD316" i="4"/>
  <c r="AC316" i="4"/>
  <c r="AB316" i="4"/>
  <c r="AA316" i="4"/>
  <c r="Z316" i="4"/>
  <c r="H316" i="4"/>
  <c r="G316" i="4"/>
  <c r="AO315" i="4"/>
  <c r="AN315" i="4"/>
  <c r="AM315" i="4"/>
  <c r="AL315" i="4"/>
  <c r="AK315" i="4"/>
  <c r="AJ315" i="4"/>
  <c r="AI315" i="4"/>
  <c r="AH315" i="4"/>
  <c r="AG315" i="4"/>
  <c r="AF315" i="4"/>
  <c r="AE315" i="4"/>
  <c r="AD315" i="4"/>
  <c r="AC315" i="4"/>
  <c r="AB315" i="4"/>
  <c r="AA315" i="4"/>
  <c r="Z315" i="4"/>
  <c r="H315" i="4"/>
  <c r="G315" i="4"/>
  <c r="AO314" i="4"/>
  <c r="AN314" i="4"/>
  <c r="AM314" i="4"/>
  <c r="AL314" i="4"/>
  <c r="AK314" i="4"/>
  <c r="AJ314" i="4"/>
  <c r="AI314" i="4"/>
  <c r="AH314" i="4"/>
  <c r="AG314" i="4"/>
  <c r="AF314" i="4"/>
  <c r="AE314" i="4"/>
  <c r="AD314" i="4"/>
  <c r="AC314" i="4"/>
  <c r="AB314" i="4"/>
  <c r="AA314" i="4"/>
  <c r="Z314" i="4"/>
  <c r="H314" i="4"/>
  <c r="G314" i="4"/>
  <c r="AO313" i="4"/>
  <c r="AN313" i="4"/>
  <c r="AM313" i="4"/>
  <c r="AL313" i="4"/>
  <c r="AK313" i="4"/>
  <c r="AJ313" i="4"/>
  <c r="AI313" i="4"/>
  <c r="AH313" i="4"/>
  <c r="AG313" i="4"/>
  <c r="AF313" i="4"/>
  <c r="AE313" i="4"/>
  <c r="AD313" i="4"/>
  <c r="AC313" i="4"/>
  <c r="AB313" i="4"/>
  <c r="AA313" i="4"/>
  <c r="Z313" i="4"/>
  <c r="H313" i="4"/>
  <c r="G313" i="4"/>
  <c r="AO312" i="4"/>
  <c r="AN312" i="4"/>
  <c r="AM312" i="4"/>
  <c r="AL312" i="4"/>
  <c r="AK312" i="4"/>
  <c r="AJ312" i="4"/>
  <c r="AI312" i="4"/>
  <c r="AH312" i="4"/>
  <c r="AG312" i="4"/>
  <c r="AF312" i="4"/>
  <c r="AE312" i="4"/>
  <c r="AD312" i="4"/>
  <c r="AC312" i="4"/>
  <c r="AB312" i="4"/>
  <c r="AA312" i="4"/>
  <c r="Z312" i="4"/>
  <c r="H312" i="4"/>
  <c r="G312" i="4"/>
  <c r="AO311" i="4"/>
  <c r="AN311" i="4"/>
  <c r="AM311" i="4"/>
  <c r="AL311" i="4"/>
  <c r="AK311" i="4"/>
  <c r="AJ311" i="4"/>
  <c r="AI311" i="4"/>
  <c r="AH311" i="4"/>
  <c r="AG311" i="4"/>
  <c r="AF311" i="4"/>
  <c r="AE311" i="4"/>
  <c r="AD311" i="4"/>
  <c r="AC311" i="4"/>
  <c r="AB311" i="4"/>
  <c r="AA311" i="4"/>
  <c r="Z311" i="4"/>
  <c r="H311" i="4"/>
  <c r="G311" i="4"/>
  <c r="AO310" i="4"/>
  <c r="AN310" i="4"/>
  <c r="AM310" i="4"/>
  <c r="AL310" i="4"/>
  <c r="AK310" i="4"/>
  <c r="AJ310" i="4"/>
  <c r="AI310" i="4"/>
  <c r="AH310" i="4"/>
  <c r="AG310" i="4"/>
  <c r="AF310" i="4"/>
  <c r="AE310" i="4"/>
  <c r="AD310" i="4"/>
  <c r="AC310" i="4"/>
  <c r="AB310" i="4"/>
  <c r="AA310" i="4"/>
  <c r="Z310" i="4"/>
  <c r="H310" i="4"/>
  <c r="G310" i="4"/>
  <c r="AO309" i="4"/>
  <c r="AN309" i="4"/>
  <c r="AM309" i="4"/>
  <c r="AL309" i="4"/>
  <c r="AK309" i="4"/>
  <c r="AJ309" i="4"/>
  <c r="AI309" i="4"/>
  <c r="AH309" i="4"/>
  <c r="AG309" i="4"/>
  <c r="AF309" i="4"/>
  <c r="AE309" i="4"/>
  <c r="AD309" i="4"/>
  <c r="AC309" i="4"/>
  <c r="AB309" i="4"/>
  <c r="AA309" i="4"/>
  <c r="Z309" i="4"/>
  <c r="H309" i="4"/>
  <c r="G309" i="4"/>
  <c r="AO308" i="4"/>
  <c r="AN308" i="4"/>
  <c r="AM308" i="4"/>
  <c r="AL308" i="4"/>
  <c r="AK308" i="4"/>
  <c r="AJ308" i="4"/>
  <c r="AI308" i="4"/>
  <c r="AH308" i="4"/>
  <c r="AG308" i="4"/>
  <c r="AF308" i="4"/>
  <c r="AE308" i="4"/>
  <c r="AD308" i="4"/>
  <c r="AC308" i="4"/>
  <c r="AB308" i="4"/>
  <c r="AA308" i="4"/>
  <c r="Z308" i="4"/>
  <c r="H308" i="4"/>
  <c r="G308" i="4"/>
  <c r="AO307" i="4"/>
  <c r="AN307" i="4"/>
  <c r="AM307" i="4"/>
  <c r="AL307" i="4"/>
  <c r="AK307" i="4"/>
  <c r="AJ307" i="4"/>
  <c r="AI307" i="4"/>
  <c r="AH307" i="4"/>
  <c r="AG307" i="4"/>
  <c r="AF307" i="4"/>
  <c r="AE307" i="4"/>
  <c r="AD307" i="4"/>
  <c r="AC307" i="4"/>
  <c r="AB307" i="4"/>
  <c r="AA307" i="4"/>
  <c r="Z307" i="4"/>
  <c r="H307" i="4"/>
  <c r="G307" i="4"/>
  <c r="AO306" i="4"/>
  <c r="AN306" i="4"/>
  <c r="AM306" i="4"/>
  <c r="AL306" i="4"/>
  <c r="AK306" i="4"/>
  <c r="AJ306" i="4"/>
  <c r="AI306" i="4"/>
  <c r="AH306" i="4"/>
  <c r="AG306" i="4"/>
  <c r="AF306" i="4"/>
  <c r="AE306" i="4"/>
  <c r="AD306" i="4"/>
  <c r="AC306" i="4"/>
  <c r="AB306" i="4"/>
  <c r="AA306" i="4"/>
  <c r="Z306" i="4"/>
  <c r="H306" i="4"/>
  <c r="G306" i="4"/>
  <c r="AO305" i="4"/>
  <c r="AN305" i="4"/>
  <c r="AM305" i="4"/>
  <c r="AL305" i="4"/>
  <c r="AK305" i="4"/>
  <c r="AJ305" i="4"/>
  <c r="AI305" i="4"/>
  <c r="AH305" i="4"/>
  <c r="AG305" i="4"/>
  <c r="AF305" i="4"/>
  <c r="AE305" i="4"/>
  <c r="AD305" i="4"/>
  <c r="AC305" i="4"/>
  <c r="AB305" i="4"/>
  <c r="AA305" i="4"/>
  <c r="Z305" i="4"/>
  <c r="H305" i="4"/>
  <c r="G305" i="4"/>
  <c r="AO304" i="4"/>
  <c r="AN304" i="4"/>
  <c r="AM304" i="4"/>
  <c r="AL304" i="4"/>
  <c r="AK304" i="4"/>
  <c r="AJ304" i="4"/>
  <c r="AI304" i="4"/>
  <c r="AH304" i="4"/>
  <c r="AG304" i="4"/>
  <c r="AF304" i="4"/>
  <c r="AE304" i="4"/>
  <c r="AD304" i="4"/>
  <c r="AC304" i="4"/>
  <c r="AB304" i="4"/>
  <c r="AA304" i="4"/>
  <c r="Z304" i="4"/>
  <c r="H304" i="4"/>
  <c r="G304" i="4"/>
  <c r="AO303" i="4"/>
  <c r="AN303" i="4"/>
  <c r="AM303" i="4"/>
  <c r="AL303" i="4"/>
  <c r="AK303" i="4"/>
  <c r="AJ303" i="4"/>
  <c r="AI303" i="4"/>
  <c r="AH303" i="4"/>
  <c r="AG303" i="4"/>
  <c r="AF303" i="4"/>
  <c r="AE303" i="4"/>
  <c r="AD303" i="4"/>
  <c r="AC303" i="4"/>
  <c r="AB303" i="4"/>
  <c r="AA303" i="4"/>
  <c r="Z303" i="4"/>
  <c r="H303" i="4"/>
  <c r="G303" i="4"/>
  <c r="AO302" i="4"/>
  <c r="AN302" i="4"/>
  <c r="AM302" i="4"/>
  <c r="AL302" i="4"/>
  <c r="AK302" i="4"/>
  <c r="AJ302" i="4"/>
  <c r="AI302" i="4"/>
  <c r="AH302" i="4"/>
  <c r="AG302" i="4"/>
  <c r="AF302" i="4"/>
  <c r="AE302" i="4"/>
  <c r="AD302" i="4"/>
  <c r="AC302" i="4"/>
  <c r="AB302" i="4"/>
  <c r="AA302" i="4"/>
  <c r="Z302" i="4"/>
  <c r="H302" i="4"/>
  <c r="G302" i="4"/>
  <c r="AO301" i="4"/>
  <c r="AN301" i="4"/>
  <c r="AM301" i="4"/>
  <c r="AL301" i="4"/>
  <c r="AK301" i="4"/>
  <c r="AJ301" i="4"/>
  <c r="AI301" i="4"/>
  <c r="AH301" i="4"/>
  <c r="AG301" i="4"/>
  <c r="AF301" i="4"/>
  <c r="AE301" i="4"/>
  <c r="AD301" i="4"/>
  <c r="AC301" i="4"/>
  <c r="AB301" i="4"/>
  <c r="AA301" i="4"/>
  <c r="Z301" i="4"/>
  <c r="H301" i="4"/>
  <c r="G301" i="4"/>
  <c r="AO300" i="4"/>
  <c r="AN300" i="4"/>
  <c r="AM300" i="4"/>
  <c r="AL300" i="4"/>
  <c r="AK300" i="4"/>
  <c r="AJ300" i="4"/>
  <c r="AI300" i="4"/>
  <c r="AH300" i="4"/>
  <c r="AG300" i="4"/>
  <c r="AF300" i="4"/>
  <c r="AE300" i="4"/>
  <c r="AD300" i="4"/>
  <c r="AC300" i="4"/>
  <c r="AB300" i="4"/>
  <c r="AA300" i="4"/>
  <c r="Z300" i="4"/>
  <c r="H300" i="4"/>
  <c r="G300" i="4"/>
  <c r="AO299" i="4"/>
  <c r="AN299" i="4"/>
  <c r="AM299" i="4"/>
  <c r="AL299" i="4"/>
  <c r="AK299" i="4"/>
  <c r="AJ299" i="4"/>
  <c r="AI299" i="4"/>
  <c r="AH299" i="4"/>
  <c r="AG299" i="4"/>
  <c r="AF299" i="4"/>
  <c r="AE299" i="4"/>
  <c r="AD299" i="4"/>
  <c r="AC299" i="4"/>
  <c r="AB299" i="4"/>
  <c r="AA299" i="4"/>
  <c r="Z299" i="4"/>
  <c r="H299" i="4"/>
  <c r="G299" i="4"/>
  <c r="AO298" i="4"/>
  <c r="AN298" i="4"/>
  <c r="AM298" i="4"/>
  <c r="AL298" i="4"/>
  <c r="AK298" i="4"/>
  <c r="AJ298" i="4"/>
  <c r="AI298" i="4"/>
  <c r="AH298" i="4"/>
  <c r="AG298" i="4"/>
  <c r="AF298" i="4"/>
  <c r="AE298" i="4"/>
  <c r="AD298" i="4"/>
  <c r="AC298" i="4"/>
  <c r="AB298" i="4"/>
  <c r="AA298" i="4"/>
  <c r="Z298" i="4"/>
  <c r="H298" i="4"/>
  <c r="G298" i="4"/>
  <c r="AO297" i="4"/>
  <c r="AN297" i="4"/>
  <c r="AM297" i="4"/>
  <c r="AL297" i="4"/>
  <c r="AK297" i="4"/>
  <c r="AJ297" i="4"/>
  <c r="AI297" i="4"/>
  <c r="AH297" i="4"/>
  <c r="AG297" i="4"/>
  <c r="AF297" i="4"/>
  <c r="AE297" i="4"/>
  <c r="AD297" i="4"/>
  <c r="AC297" i="4"/>
  <c r="AB297" i="4"/>
  <c r="AA297" i="4"/>
  <c r="Z297" i="4"/>
  <c r="H297" i="4"/>
  <c r="G297" i="4"/>
  <c r="AO296" i="4"/>
  <c r="AN296" i="4"/>
  <c r="AM296" i="4"/>
  <c r="AL296" i="4"/>
  <c r="AK296" i="4"/>
  <c r="AJ296" i="4"/>
  <c r="AI296" i="4"/>
  <c r="AH296" i="4"/>
  <c r="AG296" i="4"/>
  <c r="AF296" i="4"/>
  <c r="AE296" i="4"/>
  <c r="AD296" i="4"/>
  <c r="AC296" i="4"/>
  <c r="AB296" i="4"/>
  <c r="AA296" i="4"/>
  <c r="Z296" i="4"/>
  <c r="H296" i="4"/>
  <c r="G296" i="4"/>
  <c r="AO295" i="4"/>
  <c r="AN295" i="4"/>
  <c r="AM295" i="4"/>
  <c r="AL295" i="4"/>
  <c r="AK295" i="4"/>
  <c r="AJ295" i="4"/>
  <c r="AI295" i="4"/>
  <c r="AH295" i="4"/>
  <c r="AG295" i="4"/>
  <c r="AF295" i="4"/>
  <c r="AE295" i="4"/>
  <c r="AD295" i="4"/>
  <c r="AC295" i="4"/>
  <c r="AB295" i="4"/>
  <c r="AA295" i="4"/>
  <c r="Z295" i="4"/>
  <c r="H295" i="4"/>
  <c r="G295" i="4"/>
  <c r="AO294" i="4"/>
  <c r="AN294" i="4"/>
  <c r="AM294" i="4"/>
  <c r="AL294" i="4"/>
  <c r="AK294" i="4"/>
  <c r="AJ294" i="4"/>
  <c r="AI294" i="4"/>
  <c r="AH294" i="4"/>
  <c r="AG294" i="4"/>
  <c r="AF294" i="4"/>
  <c r="AE294" i="4"/>
  <c r="AD294" i="4"/>
  <c r="AC294" i="4"/>
  <c r="AB294" i="4"/>
  <c r="AA294" i="4"/>
  <c r="Z294" i="4"/>
  <c r="H294" i="4"/>
  <c r="G294" i="4"/>
  <c r="AO293" i="4"/>
  <c r="AN293" i="4"/>
  <c r="AM293" i="4"/>
  <c r="AL293" i="4"/>
  <c r="AK293" i="4"/>
  <c r="AJ293" i="4"/>
  <c r="AI293" i="4"/>
  <c r="AH293" i="4"/>
  <c r="AG293" i="4"/>
  <c r="AF293" i="4"/>
  <c r="AE293" i="4"/>
  <c r="AD293" i="4"/>
  <c r="AC293" i="4"/>
  <c r="AB293" i="4"/>
  <c r="AA293" i="4"/>
  <c r="Z293" i="4"/>
  <c r="H293" i="4"/>
  <c r="G293" i="4"/>
  <c r="AO292" i="4"/>
  <c r="AN292" i="4"/>
  <c r="AM292" i="4"/>
  <c r="AL292" i="4"/>
  <c r="AK292" i="4"/>
  <c r="AJ292" i="4"/>
  <c r="AI292" i="4"/>
  <c r="AH292" i="4"/>
  <c r="AG292" i="4"/>
  <c r="AF292" i="4"/>
  <c r="AE292" i="4"/>
  <c r="AD292" i="4"/>
  <c r="AC292" i="4"/>
  <c r="AB292" i="4"/>
  <c r="AA292" i="4"/>
  <c r="Z292" i="4"/>
  <c r="H292" i="4"/>
  <c r="G292" i="4"/>
  <c r="AO291" i="4"/>
  <c r="AN291" i="4"/>
  <c r="AM291" i="4"/>
  <c r="AL291" i="4"/>
  <c r="AK291" i="4"/>
  <c r="AJ291" i="4"/>
  <c r="AI291" i="4"/>
  <c r="AH291" i="4"/>
  <c r="AG291" i="4"/>
  <c r="AF291" i="4"/>
  <c r="AE291" i="4"/>
  <c r="AD291" i="4"/>
  <c r="AC291" i="4"/>
  <c r="AB291" i="4"/>
  <c r="AA291" i="4"/>
  <c r="Z291" i="4"/>
  <c r="H291" i="4"/>
  <c r="G291" i="4"/>
  <c r="AO290" i="4"/>
  <c r="AN290" i="4"/>
  <c r="AM290" i="4"/>
  <c r="AL290" i="4"/>
  <c r="AK290" i="4"/>
  <c r="AJ290" i="4"/>
  <c r="AI290" i="4"/>
  <c r="AH290" i="4"/>
  <c r="AG290" i="4"/>
  <c r="AF290" i="4"/>
  <c r="AE290" i="4"/>
  <c r="AD290" i="4"/>
  <c r="AC290" i="4"/>
  <c r="AB290" i="4"/>
  <c r="AA290" i="4"/>
  <c r="Z290" i="4"/>
  <c r="H290" i="4"/>
  <c r="G290" i="4"/>
  <c r="AO289" i="4"/>
  <c r="AN289" i="4"/>
  <c r="AM289" i="4"/>
  <c r="AL289" i="4"/>
  <c r="AK289" i="4"/>
  <c r="AJ289" i="4"/>
  <c r="AI289" i="4"/>
  <c r="AH289" i="4"/>
  <c r="AG289" i="4"/>
  <c r="AF289" i="4"/>
  <c r="AE289" i="4"/>
  <c r="AD289" i="4"/>
  <c r="AC289" i="4"/>
  <c r="AB289" i="4"/>
  <c r="AA289" i="4"/>
  <c r="Z289" i="4"/>
  <c r="H289" i="4"/>
  <c r="G289" i="4"/>
  <c r="AO288" i="4"/>
  <c r="AN288" i="4"/>
  <c r="AM288" i="4"/>
  <c r="AL288" i="4"/>
  <c r="AK288" i="4"/>
  <c r="AJ288" i="4"/>
  <c r="AI288" i="4"/>
  <c r="AH288" i="4"/>
  <c r="AG288" i="4"/>
  <c r="AF288" i="4"/>
  <c r="AE288" i="4"/>
  <c r="AD288" i="4"/>
  <c r="AC288" i="4"/>
  <c r="AB288" i="4"/>
  <c r="AA288" i="4"/>
  <c r="Z288" i="4"/>
  <c r="H288" i="4"/>
  <c r="G288" i="4"/>
  <c r="AO287" i="4"/>
  <c r="AN287" i="4"/>
  <c r="AM287" i="4"/>
  <c r="AL287" i="4"/>
  <c r="AK287" i="4"/>
  <c r="AJ287" i="4"/>
  <c r="AI287" i="4"/>
  <c r="AH287" i="4"/>
  <c r="AG287" i="4"/>
  <c r="AF287" i="4"/>
  <c r="AE287" i="4"/>
  <c r="AD287" i="4"/>
  <c r="AC287" i="4"/>
  <c r="AB287" i="4"/>
  <c r="AA287" i="4"/>
  <c r="Z287" i="4"/>
  <c r="H287" i="4"/>
  <c r="G287" i="4"/>
  <c r="AO286" i="4"/>
  <c r="AN286" i="4"/>
  <c r="AM286" i="4"/>
  <c r="AL286" i="4"/>
  <c r="AK286" i="4"/>
  <c r="AJ286" i="4"/>
  <c r="AI286" i="4"/>
  <c r="AH286" i="4"/>
  <c r="AG286" i="4"/>
  <c r="AF286" i="4"/>
  <c r="AE286" i="4"/>
  <c r="AD286" i="4"/>
  <c r="AC286" i="4"/>
  <c r="AB286" i="4"/>
  <c r="AA286" i="4"/>
  <c r="Z286" i="4"/>
  <c r="H286" i="4"/>
  <c r="G286" i="4"/>
  <c r="AO285" i="4"/>
  <c r="AN285" i="4"/>
  <c r="AM285" i="4"/>
  <c r="AL285" i="4"/>
  <c r="AK285" i="4"/>
  <c r="AJ285" i="4"/>
  <c r="AI285" i="4"/>
  <c r="AH285" i="4"/>
  <c r="AG285" i="4"/>
  <c r="AF285" i="4"/>
  <c r="AE285" i="4"/>
  <c r="AD285" i="4"/>
  <c r="AC285" i="4"/>
  <c r="AB285" i="4"/>
  <c r="AA285" i="4"/>
  <c r="Z285" i="4"/>
  <c r="H285" i="4"/>
  <c r="G285" i="4"/>
  <c r="AO284" i="4"/>
  <c r="AN284" i="4"/>
  <c r="AM284" i="4"/>
  <c r="AL284" i="4"/>
  <c r="AK284" i="4"/>
  <c r="AJ284" i="4"/>
  <c r="AI284" i="4"/>
  <c r="AH284" i="4"/>
  <c r="AG284" i="4"/>
  <c r="AF284" i="4"/>
  <c r="AE284" i="4"/>
  <c r="AD284" i="4"/>
  <c r="AC284" i="4"/>
  <c r="AB284" i="4"/>
  <c r="AA284" i="4"/>
  <c r="Z284" i="4"/>
  <c r="H284" i="4"/>
  <c r="G284" i="4"/>
  <c r="AO283" i="4"/>
  <c r="AN283" i="4"/>
  <c r="AM283" i="4"/>
  <c r="AL283" i="4"/>
  <c r="AK283" i="4"/>
  <c r="AJ283" i="4"/>
  <c r="AI283" i="4"/>
  <c r="AH283" i="4"/>
  <c r="AG283" i="4"/>
  <c r="AF283" i="4"/>
  <c r="AE283" i="4"/>
  <c r="AD283" i="4"/>
  <c r="AC283" i="4"/>
  <c r="AB283" i="4"/>
  <c r="AA283" i="4"/>
  <c r="Z283" i="4"/>
  <c r="H283" i="4"/>
  <c r="G283" i="4"/>
  <c r="AO282" i="4"/>
  <c r="AN282" i="4"/>
  <c r="AM282" i="4"/>
  <c r="AL282" i="4"/>
  <c r="AK282" i="4"/>
  <c r="AJ282" i="4"/>
  <c r="AI282" i="4"/>
  <c r="AH282" i="4"/>
  <c r="AG282" i="4"/>
  <c r="AF282" i="4"/>
  <c r="AE282" i="4"/>
  <c r="AD282" i="4"/>
  <c r="AC282" i="4"/>
  <c r="AB282" i="4"/>
  <c r="AA282" i="4"/>
  <c r="Z282" i="4"/>
  <c r="H282" i="4"/>
  <c r="G282" i="4"/>
  <c r="AO281" i="4"/>
  <c r="AN281" i="4"/>
  <c r="AM281" i="4"/>
  <c r="AL281" i="4"/>
  <c r="AK281" i="4"/>
  <c r="AJ281" i="4"/>
  <c r="AI281" i="4"/>
  <c r="AH281" i="4"/>
  <c r="AG281" i="4"/>
  <c r="AF281" i="4"/>
  <c r="AE281" i="4"/>
  <c r="AD281" i="4"/>
  <c r="AC281" i="4"/>
  <c r="AB281" i="4"/>
  <c r="AA281" i="4"/>
  <c r="Z281" i="4"/>
  <c r="H281" i="4"/>
  <c r="G281" i="4"/>
  <c r="AO280" i="4"/>
  <c r="AN280" i="4"/>
  <c r="AM280" i="4"/>
  <c r="AL280" i="4"/>
  <c r="AK280" i="4"/>
  <c r="AJ280" i="4"/>
  <c r="AI280" i="4"/>
  <c r="AH280" i="4"/>
  <c r="AG280" i="4"/>
  <c r="AF280" i="4"/>
  <c r="AE280" i="4"/>
  <c r="AD280" i="4"/>
  <c r="AC280" i="4"/>
  <c r="AB280" i="4"/>
  <c r="AA280" i="4"/>
  <c r="Z280" i="4"/>
  <c r="H280" i="4"/>
  <c r="G280" i="4"/>
  <c r="AO279" i="4"/>
  <c r="AN279" i="4"/>
  <c r="AM279" i="4"/>
  <c r="AL279" i="4"/>
  <c r="AK279" i="4"/>
  <c r="AJ279" i="4"/>
  <c r="AI279" i="4"/>
  <c r="AH279" i="4"/>
  <c r="AG279" i="4"/>
  <c r="AF279" i="4"/>
  <c r="AE279" i="4"/>
  <c r="AD279" i="4"/>
  <c r="AC279" i="4"/>
  <c r="AB279" i="4"/>
  <c r="AA279" i="4"/>
  <c r="Z279" i="4"/>
  <c r="H279" i="4"/>
  <c r="G279" i="4"/>
  <c r="AO278" i="4"/>
  <c r="AN278" i="4"/>
  <c r="AM278" i="4"/>
  <c r="AL278" i="4"/>
  <c r="AK278" i="4"/>
  <c r="AJ278" i="4"/>
  <c r="AI278" i="4"/>
  <c r="AH278" i="4"/>
  <c r="AG278" i="4"/>
  <c r="AF278" i="4"/>
  <c r="AE278" i="4"/>
  <c r="AD278" i="4"/>
  <c r="AC278" i="4"/>
  <c r="AB278" i="4"/>
  <c r="AA278" i="4"/>
  <c r="Z278" i="4"/>
  <c r="H278" i="4"/>
  <c r="G278" i="4"/>
  <c r="AO277" i="4"/>
  <c r="AN277" i="4"/>
  <c r="AM277" i="4"/>
  <c r="AL277" i="4"/>
  <c r="AK277" i="4"/>
  <c r="AJ277" i="4"/>
  <c r="AI277" i="4"/>
  <c r="AH277" i="4"/>
  <c r="AG277" i="4"/>
  <c r="AF277" i="4"/>
  <c r="AE277" i="4"/>
  <c r="AD277" i="4"/>
  <c r="AC277" i="4"/>
  <c r="AB277" i="4"/>
  <c r="AA277" i="4"/>
  <c r="Z277" i="4"/>
  <c r="H277" i="4"/>
  <c r="G277" i="4"/>
  <c r="AO276" i="4"/>
  <c r="AN276" i="4"/>
  <c r="AM276" i="4"/>
  <c r="AL276" i="4"/>
  <c r="AK276" i="4"/>
  <c r="AJ276" i="4"/>
  <c r="AI276" i="4"/>
  <c r="AH276" i="4"/>
  <c r="AG276" i="4"/>
  <c r="AF276" i="4"/>
  <c r="AE276" i="4"/>
  <c r="AD276" i="4"/>
  <c r="AC276" i="4"/>
  <c r="AB276" i="4"/>
  <c r="AA276" i="4"/>
  <c r="Z276" i="4"/>
  <c r="H276" i="4"/>
  <c r="G276" i="4"/>
  <c r="AO275" i="4"/>
  <c r="AN275" i="4"/>
  <c r="AM275" i="4"/>
  <c r="AL275" i="4"/>
  <c r="AK275" i="4"/>
  <c r="AJ275" i="4"/>
  <c r="AI275" i="4"/>
  <c r="AH275" i="4"/>
  <c r="AG275" i="4"/>
  <c r="AF275" i="4"/>
  <c r="AE275" i="4"/>
  <c r="AD275" i="4"/>
  <c r="AC275" i="4"/>
  <c r="AB275" i="4"/>
  <c r="AA275" i="4"/>
  <c r="Z275" i="4"/>
  <c r="H275" i="4"/>
  <c r="G275" i="4"/>
  <c r="AO274" i="4"/>
  <c r="AN274" i="4"/>
  <c r="AM274" i="4"/>
  <c r="AL274" i="4"/>
  <c r="AK274" i="4"/>
  <c r="AJ274" i="4"/>
  <c r="AI274" i="4"/>
  <c r="AH274" i="4"/>
  <c r="AG274" i="4"/>
  <c r="AF274" i="4"/>
  <c r="AE274" i="4"/>
  <c r="AD274" i="4"/>
  <c r="AC274" i="4"/>
  <c r="AB274" i="4"/>
  <c r="AA274" i="4"/>
  <c r="Z274" i="4"/>
  <c r="H274" i="4"/>
  <c r="G274" i="4"/>
  <c r="AO273" i="4"/>
  <c r="AN273" i="4"/>
  <c r="AM273" i="4"/>
  <c r="AL273" i="4"/>
  <c r="AK273" i="4"/>
  <c r="AJ273" i="4"/>
  <c r="AI273" i="4"/>
  <c r="AH273" i="4"/>
  <c r="AG273" i="4"/>
  <c r="AF273" i="4"/>
  <c r="AE273" i="4"/>
  <c r="AD273" i="4"/>
  <c r="AC273" i="4"/>
  <c r="AB273" i="4"/>
  <c r="AA273" i="4"/>
  <c r="Z273" i="4"/>
  <c r="H273" i="4"/>
  <c r="G273" i="4"/>
  <c r="AO272" i="4"/>
  <c r="AN272" i="4"/>
  <c r="AM272" i="4"/>
  <c r="AL272" i="4"/>
  <c r="AK272" i="4"/>
  <c r="AJ272" i="4"/>
  <c r="AI272" i="4"/>
  <c r="AH272" i="4"/>
  <c r="AG272" i="4"/>
  <c r="AF272" i="4"/>
  <c r="AE272" i="4"/>
  <c r="AD272" i="4"/>
  <c r="AC272" i="4"/>
  <c r="AB272" i="4"/>
  <c r="AA272" i="4"/>
  <c r="Z272" i="4"/>
  <c r="H272" i="4"/>
  <c r="G272" i="4"/>
  <c r="AO271" i="4"/>
  <c r="AN271" i="4"/>
  <c r="AM271" i="4"/>
  <c r="AL271" i="4"/>
  <c r="AK271" i="4"/>
  <c r="AJ271" i="4"/>
  <c r="AI271" i="4"/>
  <c r="AH271" i="4"/>
  <c r="AG271" i="4"/>
  <c r="AF271" i="4"/>
  <c r="AE271" i="4"/>
  <c r="AD271" i="4"/>
  <c r="AC271" i="4"/>
  <c r="AB271" i="4"/>
  <c r="AA271" i="4"/>
  <c r="Z271" i="4"/>
  <c r="H271" i="4"/>
  <c r="G271" i="4"/>
  <c r="AO270" i="4"/>
  <c r="AN270" i="4"/>
  <c r="AM270" i="4"/>
  <c r="AL270" i="4"/>
  <c r="AK270" i="4"/>
  <c r="AJ270" i="4"/>
  <c r="AI270" i="4"/>
  <c r="AH270" i="4"/>
  <c r="AG270" i="4"/>
  <c r="AF270" i="4"/>
  <c r="AE270" i="4"/>
  <c r="AD270" i="4"/>
  <c r="AC270" i="4"/>
  <c r="AB270" i="4"/>
  <c r="AA270" i="4"/>
  <c r="Z270" i="4"/>
  <c r="H270" i="4"/>
  <c r="G270" i="4"/>
  <c r="AO269" i="4"/>
  <c r="AN269" i="4"/>
  <c r="AM269" i="4"/>
  <c r="AL269" i="4"/>
  <c r="AK269" i="4"/>
  <c r="AJ269" i="4"/>
  <c r="AI269" i="4"/>
  <c r="AH269" i="4"/>
  <c r="AG269" i="4"/>
  <c r="AF269" i="4"/>
  <c r="AE269" i="4"/>
  <c r="AD269" i="4"/>
  <c r="AC269" i="4"/>
  <c r="AB269" i="4"/>
  <c r="AA269" i="4"/>
  <c r="Z269" i="4"/>
  <c r="H269" i="4"/>
  <c r="G269" i="4"/>
  <c r="AO268" i="4"/>
  <c r="AN268" i="4"/>
  <c r="AM268" i="4"/>
  <c r="AL268" i="4"/>
  <c r="AK268" i="4"/>
  <c r="AJ268" i="4"/>
  <c r="AI268" i="4"/>
  <c r="AH268" i="4"/>
  <c r="AG268" i="4"/>
  <c r="AF268" i="4"/>
  <c r="AE268" i="4"/>
  <c r="AD268" i="4"/>
  <c r="AC268" i="4"/>
  <c r="AB268" i="4"/>
  <c r="AA268" i="4"/>
  <c r="Z268" i="4"/>
  <c r="H268" i="4"/>
  <c r="G268" i="4"/>
  <c r="AO267" i="4"/>
  <c r="AN267" i="4"/>
  <c r="AM267" i="4"/>
  <c r="AL267" i="4"/>
  <c r="AK267" i="4"/>
  <c r="AJ267" i="4"/>
  <c r="AI267" i="4"/>
  <c r="AH267" i="4"/>
  <c r="AG267" i="4"/>
  <c r="AF267" i="4"/>
  <c r="AE267" i="4"/>
  <c r="AD267" i="4"/>
  <c r="AC267" i="4"/>
  <c r="AB267" i="4"/>
  <c r="AA267" i="4"/>
  <c r="Z267" i="4"/>
  <c r="H267" i="4"/>
  <c r="G267" i="4"/>
  <c r="AO266" i="4"/>
  <c r="AN266" i="4"/>
  <c r="AM266" i="4"/>
  <c r="AL266" i="4"/>
  <c r="AK266" i="4"/>
  <c r="AJ266" i="4"/>
  <c r="AI266" i="4"/>
  <c r="AH266" i="4"/>
  <c r="AG266" i="4"/>
  <c r="AF266" i="4"/>
  <c r="AE266" i="4"/>
  <c r="AD266" i="4"/>
  <c r="AC266" i="4"/>
  <c r="AB266" i="4"/>
  <c r="AA266" i="4"/>
  <c r="Z266" i="4"/>
  <c r="H266" i="4"/>
  <c r="G266" i="4"/>
  <c r="AO265" i="4"/>
  <c r="AN265" i="4"/>
  <c r="AM265" i="4"/>
  <c r="AL265" i="4"/>
  <c r="AK265" i="4"/>
  <c r="AJ265" i="4"/>
  <c r="AI265" i="4"/>
  <c r="AH265" i="4"/>
  <c r="AG265" i="4"/>
  <c r="AF265" i="4"/>
  <c r="AE265" i="4"/>
  <c r="AD265" i="4"/>
  <c r="AC265" i="4"/>
  <c r="AB265" i="4"/>
  <c r="AA265" i="4"/>
  <c r="Z265" i="4"/>
  <c r="H265" i="4"/>
  <c r="G265" i="4"/>
  <c r="AO264" i="4"/>
  <c r="AN264" i="4"/>
  <c r="AM264" i="4"/>
  <c r="AL264" i="4"/>
  <c r="AK264" i="4"/>
  <c r="AJ264" i="4"/>
  <c r="AI264" i="4"/>
  <c r="AH264" i="4"/>
  <c r="AG264" i="4"/>
  <c r="AF264" i="4"/>
  <c r="AE264" i="4"/>
  <c r="AD264" i="4"/>
  <c r="AC264" i="4"/>
  <c r="AB264" i="4"/>
  <c r="AA264" i="4"/>
  <c r="Z264" i="4"/>
  <c r="H264" i="4"/>
  <c r="G264" i="4"/>
  <c r="AO263" i="4"/>
  <c r="AN263" i="4"/>
  <c r="AM263" i="4"/>
  <c r="AL263" i="4"/>
  <c r="AK263" i="4"/>
  <c r="AJ263" i="4"/>
  <c r="AI263" i="4"/>
  <c r="AH263" i="4"/>
  <c r="AG263" i="4"/>
  <c r="AF263" i="4"/>
  <c r="AE263" i="4"/>
  <c r="AD263" i="4"/>
  <c r="AC263" i="4"/>
  <c r="AB263" i="4"/>
  <c r="AA263" i="4"/>
  <c r="Z263" i="4"/>
  <c r="H263" i="4"/>
  <c r="G263" i="4"/>
  <c r="AO262" i="4"/>
  <c r="AN262" i="4"/>
  <c r="AM262" i="4"/>
  <c r="AL262" i="4"/>
  <c r="AK262" i="4"/>
  <c r="AJ262" i="4"/>
  <c r="AI262" i="4"/>
  <c r="AH262" i="4"/>
  <c r="AG262" i="4"/>
  <c r="AF262" i="4"/>
  <c r="AE262" i="4"/>
  <c r="AD262" i="4"/>
  <c r="AC262" i="4"/>
  <c r="AB262" i="4"/>
  <c r="AA262" i="4"/>
  <c r="Z262" i="4"/>
  <c r="H262" i="4"/>
  <c r="G262" i="4"/>
  <c r="AO261" i="4"/>
  <c r="AN261" i="4"/>
  <c r="AM261" i="4"/>
  <c r="AL261" i="4"/>
  <c r="AK261" i="4"/>
  <c r="AJ261" i="4"/>
  <c r="AI261" i="4"/>
  <c r="AH261" i="4"/>
  <c r="AG261" i="4"/>
  <c r="AF261" i="4"/>
  <c r="AE261" i="4"/>
  <c r="AD261" i="4"/>
  <c r="AC261" i="4"/>
  <c r="AB261" i="4"/>
  <c r="AA261" i="4"/>
  <c r="Z261" i="4"/>
  <c r="H261" i="4"/>
  <c r="G261" i="4"/>
  <c r="AO260" i="4"/>
  <c r="AN260" i="4"/>
  <c r="AM260" i="4"/>
  <c r="AL260" i="4"/>
  <c r="AK260" i="4"/>
  <c r="AJ260" i="4"/>
  <c r="AI260" i="4"/>
  <c r="AH260" i="4"/>
  <c r="AG260" i="4"/>
  <c r="AF260" i="4"/>
  <c r="AE260" i="4"/>
  <c r="AD260" i="4"/>
  <c r="AC260" i="4"/>
  <c r="AB260" i="4"/>
  <c r="AA260" i="4"/>
  <c r="Z260" i="4"/>
  <c r="H260" i="4"/>
  <c r="G260" i="4"/>
  <c r="AO259" i="4"/>
  <c r="AN259" i="4"/>
  <c r="AM259" i="4"/>
  <c r="AL259" i="4"/>
  <c r="AK259" i="4"/>
  <c r="AJ259" i="4"/>
  <c r="AI259" i="4"/>
  <c r="AH259" i="4"/>
  <c r="AG259" i="4"/>
  <c r="AF259" i="4"/>
  <c r="AE259" i="4"/>
  <c r="AD259" i="4"/>
  <c r="AC259" i="4"/>
  <c r="AB259" i="4"/>
  <c r="AA259" i="4"/>
  <c r="Z259" i="4"/>
  <c r="H259" i="4"/>
  <c r="G259" i="4"/>
  <c r="AO258" i="4"/>
  <c r="AN258" i="4"/>
  <c r="AM258" i="4"/>
  <c r="AL258" i="4"/>
  <c r="AK258" i="4"/>
  <c r="AJ258" i="4"/>
  <c r="AI258" i="4"/>
  <c r="AH258" i="4"/>
  <c r="AG258" i="4"/>
  <c r="AF258" i="4"/>
  <c r="AE258" i="4"/>
  <c r="AD258" i="4"/>
  <c r="AC258" i="4"/>
  <c r="AB258" i="4"/>
  <c r="AA258" i="4"/>
  <c r="Z258" i="4"/>
  <c r="H258" i="4"/>
  <c r="G258" i="4"/>
  <c r="AO257" i="4"/>
  <c r="AN257" i="4"/>
  <c r="AM257" i="4"/>
  <c r="AL257" i="4"/>
  <c r="AK257" i="4"/>
  <c r="AJ257" i="4"/>
  <c r="AI257" i="4"/>
  <c r="AH257" i="4"/>
  <c r="AG257" i="4"/>
  <c r="AF257" i="4"/>
  <c r="AE257" i="4"/>
  <c r="AD257" i="4"/>
  <c r="AC257" i="4"/>
  <c r="AB257" i="4"/>
  <c r="AA257" i="4"/>
  <c r="Z257" i="4"/>
  <c r="H257" i="4"/>
  <c r="G257" i="4"/>
  <c r="AO256" i="4"/>
  <c r="AN256" i="4"/>
  <c r="AM256" i="4"/>
  <c r="AL256" i="4"/>
  <c r="AK256" i="4"/>
  <c r="AJ256" i="4"/>
  <c r="AI256" i="4"/>
  <c r="AH256" i="4"/>
  <c r="AG256" i="4"/>
  <c r="AF256" i="4"/>
  <c r="AE256" i="4"/>
  <c r="AD256" i="4"/>
  <c r="AC256" i="4"/>
  <c r="AB256" i="4"/>
  <c r="AA256" i="4"/>
  <c r="Z256" i="4"/>
  <c r="H256" i="4"/>
  <c r="G256" i="4"/>
  <c r="AO255" i="4"/>
  <c r="AN255" i="4"/>
  <c r="AM255" i="4"/>
  <c r="AL255" i="4"/>
  <c r="AK255" i="4"/>
  <c r="AJ255" i="4"/>
  <c r="AI255" i="4"/>
  <c r="AH255" i="4"/>
  <c r="AG255" i="4"/>
  <c r="AF255" i="4"/>
  <c r="AE255" i="4"/>
  <c r="AD255" i="4"/>
  <c r="AC255" i="4"/>
  <c r="AB255" i="4"/>
  <c r="AA255" i="4"/>
  <c r="Z255" i="4"/>
  <c r="H255" i="4"/>
  <c r="G255" i="4"/>
  <c r="AO254" i="4"/>
  <c r="AN254" i="4"/>
  <c r="AM254" i="4"/>
  <c r="AL254" i="4"/>
  <c r="AK254" i="4"/>
  <c r="AJ254" i="4"/>
  <c r="AI254" i="4"/>
  <c r="AH254" i="4"/>
  <c r="AG254" i="4"/>
  <c r="AF254" i="4"/>
  <c r="AE254" i="4"/>
  <c r="AD254" i="4"/>
  <c r="AC254" i="4"/>
  <c r="AB254" i="4"/>
  <c r="AA254" i="4"/>
  <c r="Z254" i="4"/>
  <c r="H254" i="4"/>
  <c r="G254" i="4"/>
  <c r="AO253" i="4"/>
  <c r="AN253" i="4"/>
  <c r="AM253" i="4"/>
  <c r="AL253" i="4"/>
  <c r="AK253" i="4"/>
  <c r="AJ253" i="4"/>
  <c r="AI253" i="4"/>
  <c r="AH253" i="4"/>
  <c r="AG253" i="4"/>
  <c r="AF253" i="4"/>
  <c r="AE253" i="4"/>
  <c r="AD253" i="4"/>
  <c r="AC253" i="4"/>
  <c r="AB253" i="4"/>
  <c r="AA253" i="4"/>
  <c r="Z253" i="4"/>
  <c r="H253" i="4"/>
  <c r="G253" i="4"/>
  <c r="AO252" i="4"/>
  <c r="AN252" i="4"/>
  <c r="AM252" i="4"/>
  <c r="AL252" i="4"/>
  <c r="AK252" i="4"/>
  <c r="AJ252" i="4"/>
  <c r="AI252" i="4"/>
  <c r="AH252" i="4"/>
  <c r="AG252" i="4"/>
  <c r="AF252" i="4"/>
  <c r="AE252" i="4"/>
  <c r="AD252" i="4"/>
  <c r="AC252" i="4"/>
  <c r="AB252" i="4"/>
  <c r="AA252" i="4"/>
  <c r="Z252" i="4"/>
  <c r="H252" i="4"/>
  <c r="G252" i="4"/>
  <c r="AO251" i="4"/>
  <c r="AN251" i="4"/>
  <c r="AM251" i="4"/>
  <c r="AL251" i="4"/>
  <c r="AK251" i="4"/>
  <c r="AJ251" i="4"/>
  <c r="AI251" i="4"/>
  <c r="AH251" i="4"/>
  <c r="AG251" i="4"/>
  <c r="AF251" i="4"/>
  <c r="AE251" i="4"/>
  <c r="AD251" i="4"/>
  <c r="AC251" i="4"/>
  <c r="AB251" i="4"/>
  <c r="AA251" i="4"/>
  <c r="Z251" i="4"/>
  <c r="H251" i="4"/>
  <c r="G251" i="4"/>
  <c r="AO250" i="4"/>
  <c r="AN250" i="4"/>
  <c r="AM250" i="4"/>
  <c r="AL250" i="4"/>
  <c r="AK250" i="4"/>
  <c r="AJ250" i="4"/>
  <c r="AI250" i="4"/>
  <c r="AH250" i="4"/>
  <c r="AG250" i="4"/>
  <c r="AF250" i="4"/>
  <c r="AE250" i="4"/>
  <c r="AD250" i="4"/>
  <c r="AC250" i="4"/>
  <c r="AB250" i="4"/>
  <c r="AA250" i="4"/>
  <c r="Z250" i="4"/>
  <c r="H250" i="4"/>
  <c r="G250" i="4"/>
  <c r="AO249" i="4"/>
  <c r="AN249" i="4"/>
  <c r="AM249" i="4"/>
  <c r="AL249" i="4"/>
  <c r="AK249" i="4"/>
  <c r="AJ249" i="4"/>
  <c r="AI249" i="4"/>
  <c r="AH249" i="4"/>
  <c r="AG249" i="4"/>
  <c r="AF249" i="4"/>
  <c r="AE249" i="4"/>
  <c r="AD249" i="4"/>
  <c r="AC249" i="4"/>
  <c r="AB249" i="4"/>
  <c r="AA249" i="4"/>
  <c r="Z249" i="4"/>
  <c r="H249" i="4"/>
  <c r="G249" i="4"/>
  <c r="AO248" i="4"/>
  <c r="AN248" i="4"/>
  <c r="AM248" i="4"/>
  <c r="AL248" i="4"/>
  <c r="AK248" i="4"/>
  <c r="AJ248" i="4"/>
  <c r="AI248" i="4"/>
  <c r="AH248" i="4"/>
  <c r="AG248" i="4"/>
  <c r="AF248" i="4"/>
  <c r="AE248" i="4"/>
  <c r="AD248" i="4"/>
  <c r="AC248" i="4"/>
  <c r="AB248" i="4"/>
  <c r="AA248" i="4"/>
  <c r="Z248" i="4"/>
  <c r="H248" i="4"/>
  <c r="G248" i="4"/>
  <c r="AO247" i="4"/>
  <c r="AN247" i="4"/>
  <c r="AM247" i="4"/>
  <c r="AL247" i="4"/>
  <c r="AK247" i="4"/>
  <c r="AJ247" i="4"/>
  <c r="AI247" i="4"/>
  <c r="AH247" i="4"/>
  <c r="AG247" i="4"/>
  <c r="AF247" i="4"/>
  <c r="AE247" i="4"/>
  <c r="AD247" i="4"/>
  <c r="AC247" i="4"/>
  <c r="AB247" i="4"/>
  <c r="AA247" i="4"/>
  <c r="Z247" i="4"/>
  <c r="H247" i="4"/>
  <c r="G247" i="4"/>
  <c r="AO246" i="4"/>
  <c r="AN246" i="4"/>
  <c r="AM246" i="4"/>
  <c r="AL246" i="4"/>
  <c r="AK246" i="4"/>
  <c r="AJ246" i="4"/>
  <c r="AI246" i="4"/>
  <c r="AH246" i="4"/>
  <c r="AG246" i="4"/>
  <c r="AF246" i="4"/>
  <c r="AE246" i="4"/>
  <c r="AD246" i="4"/>
  <c r="AC246" i="4"/>
  <c r="AB246" i="4"/>
  <c r="AA246" i="4"/>
  <c r="Z246" i="4"/>
  <c r="H246" i="4"/>
  <c r="G246" i="4"/>
  <c r="AO245" i="4"/>
  <c r="AN245" i="4"/>
  <c r="AM245" i="4"/>
  <c r="AL245" i="4"/>
  <c r="AK245" i="4"/>
  <c r="AJ245" i="4"/>
  <c r="AI245" i="4"/>
  <c r="AH245" i="4"/>
  <c r="AG245" i="4"/>
  <c r="AF245" i="4"/>
  <c r="AE245" i="4"/>
  <c r="AD245" i="4"/>
  <c r="AC245" i="4"/>
  <c r="AB245" i="4"/>
  <c r="AA245" i="4"/>
  <c r="Z245" i="4"/>
  <c r="H245" i="4"/>
  <c r="G245" i="4"/>
  <c r="AO244" i="4"/>
  <c r="AN244" i="4"/>
  <c r="AM244" i="4"/>
  <c r="AL244" i="4"/>
  <c r="AK244" i="4"/>
  <c r="AJ244" i="4"/>
  <c r="AI244" i="4"/>
  <c r="AH244" i="4"/>
  <c r="AG244" i="4"/>
  <c r="AF244" i="4"/>
  <c r="AE244" i="4"/>
  <c r="AD244" i="4"/>
  <c r="AC244" i="4"/>
  <c r="AB244" i="4"/>
  <c r="AA244" i="4"/>
  <c r="Z244" i="4"/>
  <c r="H244" i="4"/>
  <c r="G244" i="4"/>
  <c r="AO243" i="4"/>
  <c r="AN243" i="4"/>
  <c r="AM243" i="4"/>
  <c r="AL243" i="4"/>
  <c r="AK243" i="4"/>
  <c r="AJ243" i="4"/>
  <c r="AI243" i="4"/>
  <c r="AH243" i="4"/>
  <c r="AG243" i="4"/>
  <c r="AF243" i="4"/>
  <c r="AE243" i="4"/>
  <c r="AD243" i="4"/>
  <c r="AC243" i="4"/>
  <c r="AB243" i="4"/>
  <c r="AA243" i="4"/>
  <c r="Z243" i="4"/>
  <c r="H243" i="4"/>
  <c r="G243" i="4"/>
  <c r="AO242" i="4"/>
  <c r="AN242" i="4"/>
  <c r="AM242" i="4"/>
  <c r="AL242" i="4"/>
  <c r="AK242" i="4"/>
  <c r="AJ242" i="4"/>
  <c r="AI242" i="4"/>
  <c r="AH242" i="4"/>
  <c r="AG242" i="4"/>
  <c r="AF242" i="4"/>
  <c r="AE242" i="4"/>
  <c r="AD242" i="4"/>
  <c r="AC242" i="4"/>
  <c r="AB242" i="4"/>
  <c r="AA242" i="4"/>
  <c r="Z242" i="4"/>
  <c r="H242" i="4"/>
  <c r="G242" i="4"/>
  <c r="AO241" i="4"/>
  <c r="AN241" i="4"/>
  <c r="AM241" i="4"/>
  <c r="AL241" i="4"/>
  <c r="AK241" i="4"/>
  <c r="AJ241" i="4"/>
  <c r="AI241" i="4"/>
  <c r="AH241" i="4"/>
  <c r="AG241" i="4"/>
  <c r="AF241" i="4"/>
  <c r="AE241" i="4"/>
  <c r="AD241" i="4"/>
  <c r="AC241" i="4"/>
  <c r="AB241" i="4"/>
  <c r="AA241" i="4"/>
  <c r="Z241" i="4"/>
  <c r="H241" i="4"/>
  <c r="G241" i="4"/>
  <c r="AO240" i="4"/>
  <c r="AN240" i="4"/>
  <c r="AM240" i="4"/>
  <c r="AL240" i="4"/>
  <c r="AK240" i="4"/>
  <c r="AJ240" i="4"/>
  <c r="AI240" i="4"/>
  <c r="AH240" i="4"/>
  <c r="AG240" i="4"/>
  <c r="AF240" i="4"/>
  <c r="AE240" i="4"/>
  <c r="AD240" i="4"/>
  <c r="AC240" i="4"/>
  <c r="AB240" i="4"/>
  <c r="AA240" i="4"/>
  <c r="Z240" i="4"/>
  <c r="H240" i="4"/>
  <c r="G240" i="4"/>
  <c r="AO239" i="4"/>
  <c r="AN239" i="4"/>
  <c r="AM239" i="4"/>
  <c r="AL239" i="4"/>
  <c r="AK239" i="4"/>
  <c r="AJ239" i="4"/>
  <c r="AI239" i="4"/>
  <c r="AH239" i="4"/>
  <c r="AG239" i="4"/>
  <c r="AF239" i="4"/>
  <c r="AE239" i="4"/>
  <c r="AD239" i="4"/>
  <c r="AC239" i="4"/>
  <c r="AB239" i="4"/>
  <c r="AA239" i="4"/>
  <c r="Z239" i="4"/>
  <c r="H239" i="4"/>
  <c r="G239" i="4"/>
  <c r="AO238" i="4"/>
  <c r="AN238" i="4"/>
  <c r="AM238" i="4"/>
  <c r="AL238" i="4"/>
  <c r="AK238" i="4"/>
  <c r="AJ238" i="4"/>
  <c r="AI238" i="4"/>
  <c r="AH238" i="4"/>
  <c r="AG238" i="4"/>
  <c r="AF238" i="4"/>
  <c r="AE238" i="4"/>
  <c r="AD238" i="4"/>
  <c r="AC238" i="4"/>
  <c r="AB238" i="4"/>
  <c r="AA238" i="4"/>
  <c r="Z238" i="4"/>
  <c r="H238" i="4"/>
  <c r="G238" i="4"/>
  <c r="AO237" i="4"/>
  <c r="AN237" i="4"/>
  <c r="AM237" i="4"/>
  <c r="AL237" i="4"/>
  <c r="AK237" i="4"/>
  <c r="AJ237" i="4"/>
  <c r="AI237" i="4"/>
  <c r="AH237" i="4"/>
  <c r="AG237" i="4"/>
  <c r="AF237" i="4"/>
  <c r="AE237" i="4"/>
  <c r="AD237" i="4"/>
  <c r="AC237" i="4"/>
  <c r="AB237" i="4"/>
  <c r="AA237" i="4"/>
  <c r="Z237" i="4"/>
  <c r="H237" i="4"/>
  <c r="G237" i="4"/>
  <c r="AO236" i="4"/>
  <c r="AN236" i="4"/>
  <c r="AM236" i="4"/>
  <c r="AL236" i="4"/>
  <c r="AK236" i="4"/>
  <c r="AJ236" i="4"/>
  <c r="AI236" i="4"/>
  <c r="AH236" i="4"/>
  <c r="AG236" i="4"/>
  <c r="AF236" i="4"/>
  <c r="AE236" i="4"/>
  <c r="AD236" i="4"/>
  <c r="AC236" i="4"/>
  <c r="AB236" i="4"/>
  <c r="AA236" i="4"/>
  <c r="Z236" i="4"/>
  <c r="H236" i="4"/>
  <c r="G236" i="4"/>
  <c r="AO235" i="4"/>
  <c r="AN235" i="4"/>
  <c r="AM235" i="4"/>
  <c r="AL235" i="4"/>
  <c r="AK235" i="4"/>
  <c r="AJ235" i="4"/>
  <c r="AI235" i="4"/>
  <c r="AH235" i="4"/>
  <c r="AG235" i="4"/>
  <c r="AF235" i="4"/>
  <c r="AE235" i="4"/>
  <c r="AD235" i="4"/>
  <c r="AC235" i="4"/>
  <c r="AB235" i="4"/>
  <c r="AA235" i="4"/>
  <c r="Z235" i="4"/>
  <c r="H235" i="4"/>
  <c r="G235" i="4"/>
  <c r="AO234" i="4"/>
  <c r="AN234" i="4"/>
  <c r="AM234" i="4"/>
  <c r="AL234" i="4"/>
  <c r="AK234" i="4"/>
  <c r="AJ234" i="4"/>
  <c r="AI234" i="4"/>
  <c r="AH234" i="4"/>
  <c r="AG234" i="4"/>
  <c r="AF234" i="4"/>
  <c r="AE234" i="4"/>
  <c r="AD234" i="4"/>
  <c r="AC234" i="4"/>
  <c r="AB234" i="4"/>
  <c r="AA234" i="4"/>
  <c r="Z234" i="4"/>
  <c r="H234" i="4"/>
  <c r="G234" i="4"/>
  <c r="AO233" i="4"/>
  <c r="AN233" i="4"/>
  <c r="AM233" i="4"/>
  <c r="AL233" i="4"/>
  <c r="AK233" i="4"/>
  <c r="AJ233" i="4"/>
  <c r="AI233" i="4"/>
  <c r="AH233" i="4"/>
  <c r="AG233" i="4"/>
  <c r="AF233" i="4"/>
  <c r="AE233" i="4"/>
  <c r="AD233" i="4"/>
  <c r="AC233" i="4"/>
  <c r="AB233" i="4"/>
  <c r="AA233" i="4"/>
  <c r="Z233" i="4"/>
  <c r="H233" i="4"/>
  <c r="G233" i="4"/>
  <c r="AO232" i="4"/>
  <c r="AN232" i="4"/>
  <c r="AM232" i="4"/>
  <c r="AL232" i="4"/>
  <c r="AK232" i="4"/>
  <c r="AJ232" i="4"/>
  <c r="AI232" i="4"/>
  <c r="AH232" i="4"/>
  <c r="AG232" i="4"/>
  <c r="AF232" i="4"/>
  <c r="AE232" i="4"/>
  <c r="AD232" i="4"/>
  <c r="AC232" i="4"/>
  <c r="AB232" i="4"/>
  <c r="AA232" i="4"/>
  <c r="Z232" i="4"/>
  <c r="H232" i="4"/>
  <c r="G232" i="4"/>
  <c r="AO231" i="4"/>
  <c r="AN231" i="4"/>
  <c r="AM231" i="4"/>
  <c r="AL231" i="4"/>
  <c r="AK231" i="4"/>
  <c r="AJ231" i="4"/>
  <c r="AI231" i="4"/>
  <c r="AH231" i="4"/>
  <c r="AG231" i="4"/>
  <c r="AF231" i="4"/>
  <c r="AE231" i="4"/>
  <c r="AD231" i="4"/>
  <c r="AC231" i="4"/>
  <c r="AB231" i="4"/>
  <c r="AA231" i="4"/>
  <c r="Z231" i="4"/>
  <c r="H231" i="4"/>
  <c r="G231" i="4"/>
  <c r="AO230" i="4"/>
  <c r="AN230" i="4"/>
  <c r="AM230" i="4"/>
  <c r="AL230" i="4"/>
  <c r="AK230" i="4"/>
  <c r="AJ230" i="4"/>
  <c r="AI230" i="4"/>
  <c r="AH230" i="4"/>
  <c r="AG230" i="4"/>
  <c r="AF230" i="4"/>
  <c r="AE230" i="4"/>
  <c r="AD230" i="4"/>
  <c r="AC230" i="4"/>
  <c r="AB230" i="4"/>
  <c r="AA230" i="4"/>
  <c r="Z230" i="4"/>
  <c r="H230" i="4"/>
  <c r="G230" i="4"/>
  <c r="AO229" i="4"/>
  <c r="AN229" i="4"/>
  <c r="AM229" i="4"/>
  <c r="AL229" i="4"/>
  <c r="AK229" i="4"/>
  <c r="AJ229" i="4"/>
  <c r="AI229" i="4"/>
  <c r="AH229" i="4"/>
  <c r="AG229" i="4"/>
  <c r="AF229" i="4"/>
  <c r="AE229" i="4"/>
  <c r="AD229" i="4"/>
  <c r="AC229" i="4"/>
  <c r="AB229" i="4"/>
  <c r="AA229" i="4"/>
  <c r="Z229" i="4"/>
  <c r="H229" i="4"/>
  <c r="G229" i="4"/>
  <c r="AO228" i="4"/>
  <c r="AN228" i="4"/>
  <c r="AM228" i="4"/>
  <c r="AL228" i="4"/>
  <c r="AK228" i="4"/>
  <c r="AJ228" i="4"/>
  <c r="AI228" i="4"/>
  <c r="AH228" i="4"/>
  <c r="AG228" i="4"/>
  <c r="AF228" i="4"/>
  <c r="AE228" i="4"/>
  <c r="AD228" i="4"/>
  <c r="AC228" i="4"/>
  <c r="AB228" i="4"/>
  <c r="AA228" i="4"/>
  <c r="Z228" i="4"/>
  <c r="H228" i="4"/>
  <c r="G228" i="4"/>
  <c r="AO227" i="4"/>
  <c r="AN227" i="4"/>
  <c r="AM227" i="4"/>
  <c r="AL227" i="4"/>
  <c r="AK227" i="4"/>
  <c r="AJ227" i="4"/>
  <c r="AI227" i="4"/>
  <c r="AH227" i="4"/>
  <c r="AG227" i="4"/>
  <c r="AF227" i="4"/>
  <c r="AE227" i="4"/>
  <c r="AD227" i="4"/>
  <c r="AC227" i="4"/>
  <c r="AB227" i="4"/>
  <c r="AA227" i="4"/>
  <c r="Z227" i="4"/>
  <c r="H227" i="4"/>
  <c r="G227" i="4"/>
  <c r="AO226" i="4"/>
  <c r="AN226" i="4"/>
  <c r="AM226" i="4"/>
  <c r="AL226" i="4"/>
  <c r="AK226" i="4"/>
  <c r="AJ226" i="4"/>
  <c r="AI226" i="4"/>
  <c r="AH226" i="4"/>
  <c r="AG226" i="4"/>
  <c r="AF226" i="4"/>
  <c r="AE226" i="4"/>
  <c r="AD226" i="4"/>
  <c r="AC226" i="4"/>
  <c r="AB226" i="4"/>
  <c r="AA226" i="4"/>
  <c r="Z226" i="4"/>
  <c r="H226" i="4"/>
  <c r="G226" i="4"/>
  <c r="AO225" i="4"/>
  <c r="AN225" i="4"/>
  <c r="AM225" i="4"/>
  <c r="AL225" i="4"/>
  <c r="AK225" i="4"/>
  <c r="AJ225" i="4"/>
  <c r="AI225" i="4"/>
  <c r="AH225" i="4"/>
  <c r="AG225" i="4"/>
  <c r="AF225" i="4"/>
  <c r="AE225" i="4"/>
  <c r="AD225" i="4"/>
  <c r="AC225" i="4"/>
  <c r="AB225" i="4"/>
  <c r="AA225" i="4"/>
  <c r="Z225" i="4"/>
  <c r="H225" i="4"/>
  <c r="G225" i="4"/>
  <c r="AO224" i="4"/>
  <c r="AN224" i="4"/>
  <c r="AM224" i="4"/>
  <c r="AL224" i="4"/>
  <c r="AK224" i="4"/>
  <c r="AJ224" i="4"/>
  <c r="AI224" i="4"/>
  <c r="AH224" i="4"/>
  <c r="AG224" i="4"/>
  <c r="AF224" i="4"/>
  <c r="AE224" i="4"/>
  <c r="AD224" i="4"/>
  <c r="AC224" i="4"/>
  <c r="AB224" i="4"/>
  <c r="AA224" i="4"/>
  <c r="Z224" i="4"/>
  <c r="H224" i="4"/>
  <c r="G224" i="4"/>
  <c r="AO223" i="4"/>
  <c r="AN223" i="4"/>
  <c r="AM223" i="4"/>
  <c r="AL223" i="4"/>
  <c r="AK223" i="4"/>
  <c r="AJ223" i="4"/>
  <c r="AI223" i="4"/>
  <c r="AH223" i="4"/>
  <c r="AG223" i="4"/>
  <c r="AF223" i="4"/>
  <c r="AE223" i="4"/>
  <c r="AD223" i="4"/>
  <c r="AC223" i="4"/>
  <c r="AB223" i="4"/>
  <c r="AA223" i="4"/>
  <c r="Z223" i="4"/>
  <c r="H223" i="4"/>
  <c r="G223" i="4"/>
  <c r="AO222" i="4"/>
  <c r="AN222" i="4"/>
  <c r="AM222" i="4"/>
  <c r="AL222" i="4"/>
  <c r="AK222" i="4"/>
  <c r="AJ222" i="4"/>
  <c r="AI222" i="4"/>
  <c r="AH222" i="4"/>
  <c r="AG222" i="4"/>
  <c r="AF222" i="4"/>
  <c r="AE222" i="4"/>
  <c r="AD222" i="4"/>
  <c r="AC222" i="4"/>
  <c r="AB222" i="4"/>
  <c r="AA222" i="4"/>
  <c r="Z222" i="4"/>
  <c r="H222" i="4"/>
  <c r="G222" i="4"/>
  <c r="AO221" i="4"/>
  <c r="AN221" i="4"/>
  <c r="AM221" i="4"/>
  <c r="AL221" i="4"/>
  <c r="AK221" i="4"/>
  <c r="AJ221" i="4"/>
  <c r="AI221" i="4"/>
  <c r="AH221" i="4"/>
  <c r="AG221" i="4"/>
  <c r="AF221" i="4"/>
  <c r="AE221" i="4"/>
  <c r="AD221" i="4"/>
  <c r="AC221" i="4"/>
  <c r="AB221" i="4"/>
  <c r="AA221" i="4"/>
  <c r="Z221" i="4"/>
  <c r="H221" i="4"/>
  <c r="G221" i="4"/>
  <c r="AO220" i="4"/>
  <c r="AN220" i="4"/>
  <c r="AM220" i="4"/>
  <c r="AL220" i="4"/>
  <c r="AK220" i="4"/>
  <c r="AJ220" i="4"/>
  <c r="AI220" i="4"/>
  <c r="AH220" i="4"/>
  <c r="AG220" i="4"/>
  <c r="AF220" i="4"/>
  <c r="AE220" i="4"/>
  <c r="AD220" i="4"/>
  <c r="AC220" i="4"/>
  <c r="AB220" i="4"/>
  <c r="AA220" i="4"/>
  <c r="Z220" i="4"/>
  <c r="H220" i="4"/>
  <c r="G220" i="4"/>
  <c r="AO219" i="4"/>
  <c r="AN219" i="4"/>
  <c r="AM219" i="4"/>
  <c r="AL219" i="4"/>
  <c r="AK219" i="4"/>
  <c r="AJ219" i="4"/>
  <c r="AI219" i="4"/>
  <c r="AH219" i="4"/>
  <c r="AG219" i="4"/>
  <c r="AF219" i="4"/>
  <c r="AE219" i="4"/>
  <c r="AD219" i="4"/>
  <c r="AC219" i="4"/>
  <c r="AB219" i="4"/>
  <c r="AA219" i="4"/>
  <c r="Z219" i="4"/>
  <c r="H219" i="4"/>
  <c r="G219" i="4"/>
  <c r="AO218" i="4"/>
  <c r="AN218" i="4"/>
  <c r="AM218" i="4"/>
  <c r="AL218" i="4"/>
  <c r="AK218" i="4"/>
  <c r="AJ218" i="4"/>
  <c r="AI218" i="4"/>
  <c r="AH218" i="4"/>
  <c r="AG218" i="4"/>
  <c r="AF218" i="4"/>
  <c r="AE218" i="4"/>
  <c r="AD218" i="4"/>
  <c r="AC218" i="4"/>
  <c r="AB218" i="4"/>
  <c r="AA218" i="4"/>
  <c r="Z218" i="4"/>
  <c r="H218" i="4"/>
  <c r="G218" i="4"/>
  <c r="AO217" i="4"/>
  <c r="AN217" i="4"/>
  <c r="AM217" i="4"/>
  <c r="AL217" i="4"/>
  <c r="AK217" i="4"/>
  <c r="AJ217" i="4"/>
  <c r="AI217" i="4"/>
  <c r="AH217" i="4"/>
  <c r="AG217" i="4"/>
  <c r="AF217" i="4"/>
  <c r="AE217" i="4"/>
  <c r="AD217" i="4"/>
  <c r="AC217" i="4"/>
  <c r="AB217" i="4"/>
  <c r="AA217" i="4"/>
  <c r="Z217" i="4"/>
  <c r="H217" i="4"/>
  <c r="G217" i="4"/>
  <c r="AO216" i="4"/>
  <c r="AN216" i="4"/>
  <c r="AM216" i="4"/>
  <c r="AL216" i="4"/>
  <c r="AK216" i="4"/>
  <c r="AJ216" i="4"/>
  <c r="AI216" i="4"/>
  <c r="AH216" i="4"/>
  <c r="AG216" i="4"/>
  <c r="AF216" i="4"/>
  <c r="AE216" i="4"/>
  <c r="AD216" i="4"/>
  <c r="AC216" i="4"/>
  <c r="AB216" i="4"/>
  <c r="AA216" i="4"/>
  <c r="Z216" i="4"/>
  <c r="H216" i="4"/>
  <c r="G216" i="4"/>
  <c r="AO215" i="4"/>
  <c r="AN215" i="4"/>
  <c r="AM215" i="4"/>
  <c r="AL215" i="4"/>
  <c r="AK215" i="4"/>
  <c r="AJ215" i="4"/>
  <c r="AI215" i="4"/>
  <c r="AH215" i="4"/>
  <c r="AG215" i="4"/>
  <c r="AF215" i="4"/>
  <c r="AE215" i="4"/>
  <c r="AD215" i="4"/>
  <c r="AC215" i="4"/>
  <c r="AB215" i="4"/>
  <c r="AA215" i="4"/>
  <c r="Z215" i="4"/>
  <c r="H215" i="4"/>
  <c r="G215" i="4"/>
  <c r="AO214" i="4"/>
  <c r="AN214" i="4"/>
  <c r="AM214" i="4"/>
  <c r="AL214" i="4"/>
  <c r="AK214" i="4"/>
  <c r="AJ214" i="4"/>
  <c r="AI214" i="4"/>
  <c r="AH214" i="4"/>
  <c r="AG214" i="4"/>
  <c r="AF214" i="4"/>
  <c r="AE214" i="4"/>
  <c r="AD214" i="4"/>
  <c r="AC214" i="4"/>
  <c r="AB214" i="4"/>
  <c r="AA214" i="4"/>
  <c r="Z214" i="4"/>
  <c r="H214" i="4"/>
  <c r="G214" i="4"/>
  <c r="AO213" i="4"/>
  <c r="AN213" i="4"/>
  <c r="AM213" i="4"/>
  <c r="AL213" i="4"/>
  <c r="AK213" i="4"/>
  <c r="AJ213" i="4"/>
  <c r="AI213" i="4"/>
  <c r="AH213" i="4"/>
  <c r="AG213" i="4"/>
  <c r="AF213" i="4"/>
  <c r="AE213" i="4"/>
  <c r="AD213" i="4"/>
  <c r="AC213" i="4"/>
  <c r="AB213" i="4"/>
  <c r="AA213" i="4"/>
  <c r="Z213" i="4"/>
  <c r="H213" i="4"/>
  <c r="G213" i="4"/>
  <c r="AO212" i="4"/>
  <c r="AN212" i="4"/>
  <c r="AM212" i="4"/>
  <c r="AL212" i="4"/>
  <c r="AK212" i="4"/>
  <c r="AJ212" i="4"/>
  <c r="AI212" i="4"/>
  <c r="AH212" i="4"/>
  <c r="AG212" i="4"/>
  <c r="AF212" i="4"/>
  <c r="AE212" i="4"/>
  <c r="AD212" i="4"/>
  <c r="AC212" i="4"/>
  <c r="AB212" i="4"/>
  <c r="AA212" i="4"/>
  <c r="Z212" i="4"/>
  <c r="H212" i="4"/>
  <c r="G212" i="4"/>
  <c r="AO211" i="4"/>
  <c r="AN211" i="4"/>
  <c r="AM211" i="4"/>
  <c r="AL211" i="4"/>
  <c r="AK211" i="4"/>
  <c r="AJ211" i="4"/>
  <c r="AI211" i="4"/>
  <c r="AH211" i="4"/>
  <c r="AG211" i="4"/>
  <c r="AF211" i="4"/>
  <c r="AE211" i="4"/>
  <c r="AD211" i="4"/>
  <c r="AC211" i="4"/>
  <c r="AB211" i="4"/>
  <c r="AA211" i="4"/>
  <c r="Z211" i="4"/>
  <c r="H211" i="4"/>
  <c r="G211" i="4"/>
  <c r="AO210" i="4"/>
  <c r="AN210" i="4"/>
  <c r="AM210" i="4"/>
  <c r="AL210" i="4"/>
  <c r="AK210" i="4"/>
  <c r="AJ210" i="4"/>
  <c r="AI210" i="4"/>
  <c r="AH210" i="4"/>
  <c r="AG210" i="4"/>
  <c r="AF210" i="4"/>
  <c r="AE210" i="4"/>
  <c r="AD210" i="4"/>
  <c r="AC210" i="4"/>
  <c r="AB210" i="4"/>
  <c r="AA210" i="4"/>
  <c r="Z210" i="4"/>
  <c r="H210" i="4"/>
  <c r="G210" i="4"/>
  <c r="AO209" i="4"/>
  <c r="AN209" i="4"/>
  <c r="AM209" i="4"/>
  <c r="AL209" i="4"/>
  <c r="AK209" i="4"/>
  <c r="AJ209" i="4"/>
  <c r="AI209" i="4"/>
  <c r="AH209" i="4"/>
  <c r="AG209" i="4"/>
  <c r="AF209" i="4"/>
  <c r="AE209" i="4"/>
  <c r="AD209" i="4"/>
  <c r="AC209" i="4"/>
  <c r="AB209" i="4"/>
  <c r="AA209" i="4"/>
  <c r="Z209" i="4"/>
  <c r="H209" i="4"/>
  <c r="G209" i="4"/>
  <c r="AO208" i="4"/>
  <c r="AN208" i="4"/>
  <c r="AM208" i="4"/>
  <c r="AL208" i="4"/>
  <c r="AK208" i="4"/>
  <c r="AJ208" i="4"/>
  <c r="AI208" i="4"/>
  <c r="AH208" i="4"/>
  <c r="AG208" i="4"/>
  <c r="AF208" i="4"/>
  <c r="AE208" i="4"/>
  <c r="AD208" i="4"/>
  <c r="AC208" i="4"/>
  <c r="AB208" i="4"/>
  <c r="AA208" i="4"/>
  <c r="Z208" i="4"/>
  <c r="H208" i="4"/>
  <c r="G208" i="4"/>
  <c r="AO207" i="4"/>
  <c r="AN207" i="4"/>
  <c r="AM207" i="4"/>
  <c r="AL207" i="4"/>
  <c r="AK207" i="4"/>
  <c r="AJ207" i="4"/>
  <c r="AI207" i="4"/>
  <c r="AH207" i="4"/>
  <c r="AG207" i="4"/>
  <c r="AF207" i="4"/>
  <c r="AE207" i="4"/>
  <c r="AD207" i="4"/>
  <c r="AC207" i="4"/>
  <c r="AB207" i="4"/>
  <c r="AA207" i="4"/>
  <c r="Z207" i="4"/>
  <c r="H207" i="4"/>
  <c r="G207" i="4"/>
  <c r="AO206" i="4"/>
  <c r="AN206" i="4"/>
  <c r="AM206" i="4"/>
  <c r="AL206" i="4"/>
  <c r="AK206" i="4"/>
  <c r="AJ206" i="4"/>
  <c r="AI206" i="4"/>
  <c r="AH206" i="4"/>
  <c r="AG206" i="4"/>
  <c r="AF206" i="4"/>
  <c r="AE206" i="4"/>
  <c r="AD206" i="4"/>
  <c r="AC206" i="4"/>
  <c r="AB206" i="4"/>
  <c r="AA206" i="4"/>
  <c r="Z206" i="4"/>
  <c r="H206" i="4"/>
  <c r="G206" i="4"/>
  <c r="AO205" i="4"/>
  <c r="AN205" i="4"/>
  <c r="AM205" i="4"/>
  <c r="AL205" i="4"/>
  <c r="AK205" i="4"/>
  <c r="AJ205" i="4"/>
  <c r="AI205" i="4"/>
  <c r="AH205" i="4"/>
  <c r="AG205" i="4"/>
  <c r="AF205" i="4"/>
  <c r="AE205" i="4"/>
  <c r="AD205" i="4"/>
  <c r="AC205" i="4"/>
  <c r="AB205" i="4"/>
  <c r="AA205" i="4"/>
  <c r="Z205" i="4"/>
  <c r="H205" i="4"/>
  <c r="G205" i="4"/>
  <c r="AO204" i="4"/>
  <c r="AN204" i="4"/>
  <c r="AM204" i="4"/>
  <c r="AL204" i="4"/>
  <c r="AK204" i="4"/>
  <c r="AJ204" i="4"/>
  <c r="AI204" i="4"/>
  <c r="AH204" i="4"/>
  <c r="AG204" i="4"/>
  <c r="AF204" i="4"/>
  <c r="AE204" i="4"/>
  <c r="AD204" i="4"/>
  <c r="AC204" i="4"/>
  <c r="AB204" i="4"/>
  <c r="AA204" i="4"/>
  <c r="Z204" i="4"/>
  <c r="H204" i="4"/>
  <c r="G204" i="4"/>
  <c r="AO203" i="4"/>
  <c r="AN203" i="4"/>
  <c r="AM203" i="4"/>
  <c r="AL203" i="4"/>
  <c r="AK203" i="4"/>
  <c r="AJ203" i="4"/>
  <c r="AI203" i="4"/>
  <c r="AH203" i="4"/>
  <c r="AG203" i="4"/>
  <c r="AF203" i="4"/>
  <c r="AE203" i="4"/>
  <c r="AD203" i="4"/>
  <c r="AC203" i="4"/>
  <c r="AB203" i="4"/>
  <c r="AA203" i="4"/>
  <c r="Z203" i="4"/>
  <c r="H203" i="4"/>
  <c r="G203" i="4"/>
  <c r="AO202" i="4"/>
  <c r="AN202" i="4"/>
  <c r="AM202" i="4"/>
  <c r="AL202" i="4"/>
  <c r="AK202" i="4"/>
  <c r="AJ202" i="4"/>
  <c r="AI202" i="4"/>
  <c r="AH202" i="4"/>
  <c r="AG202" i="4"/>
  <c r="AF202" i="4"/>
  <c r="AE202" i="4"/>
  <c r="AD202" i="4"/>
  <c r="AC202" i="4"/>
  <c r="AB202" i="4"/>
  <c r="AA202" i="4"/>
  <c r="Z202" i="4"/>
  <c r="H202" i="4"/>
  <c r="G202" i="4"/>
  <c r="AO201" i="4"/>
  <c r="AN201" i="4"/>
  <c r="AM201" i="4"/>
  <c r="AL201" i="4"/>
  <c r="AK201" i="4"/>
  <c r="AJ201" i="4"/>
  <c r="AI201" i="4"/>
  <c r="AH201" i="4"/>
  <c r="AG201" i="4"/>
  <c r="AF201" i="4"/>
  <c r="AE201" i="4"/>
  <c r="AD201" i="4"/>
  <c r="AC201" i="4"/>
  <c r="AB201" i="4"/>
  <c r="AA201" i="4"/>
  <c r="Z201" i="4"/>
  <c r="H201" i="4"/>
  <c r="G201" i="4"/>
  <c r="AO200" i="4"/>
  <c r="AN200" i="4"/>
  <c r="AM200" i="4"/>
  <c r="AL200" i="4"/>
  <c r="AK200" i="4"/>
  <c r="AJ200" i="4"/>
  <c r="AI200" i="4"/>
  <c r="AH200" i="4"/>
  <c r="AG200" i="4"/>
  <c r="AF200" i="4"/>
  <c r="AE200" i="4"/>
  <c r="AD200" i="4"/>
  <c r="AC200" i="4"/>
  <c r="AB200" i="4"/>
  <c r="AA200" i="4"/>
  <c r="Z200" i="4"/>
  <c r="H200" i="4"/>
  <c r="G200" i="4"/>
  <c r="AO199" i="4"/>
  <c r="AN199" i="4"/>
  <c r="AM199" i="4"/>
  <c r="AL199" i="4"/>
  <c r="AK199" i="4"/>
  <c r="AJ199" i="4"/>
  <c r="AI199" i="4"/>
  <c r="AH199" i="4"/>
  <c r="AG199" i="4"/>
  <c r="AF199" i="4"/>
  <c r="AE199" i="4"/>
  <c r="AD199" i="4"/>
  <c r="AC199" i="4"/>
  <c r="AB199" i="4"/>
  <c r="AA199" i="4"/>
  <c r="Z199" i="4"/>
  <c r="H199" i="4"/>
  <c r="G199" i="4"/>
  <c r="AO198" i="4"/>
  <c r="AN198" i="4"/>
  <c r="AM198" i="4"/>
  <c r="AL198" i="4"/>
  <c r="AK198" i="4"/>
  <c r="AJ198" i="4"/>
  <c r="AI198" i="4"/>
  <c r="AH198" i="4"/>
  <c r="AG198" i="4"/>
  <c r="AF198" i="4"/>
  <c r="AE198" i="4"/>
  <c r="AD198" i="4"/>
  <c r="AC198" i="4"/>
  <c r="AB198" i="4"/>
  <c r="AA198" i="4"/>
  <c r="Z198" i="4"/>
  <c r="H198" i="4"/>
  <c r="G198" i="4"/>
  <c r="AO197" i="4"/>
  <c r="AN197" i="4"/>
  <c r="AM197" i="4"/>
  <c r="AL197" i="4"/>
  <c r="AK197" i="4"/>
  <c r="AJ197" i="4"/>
  <c r="AI197" i="4"/>
  <c r="AH197" i="4"/>
  <c r="AG197" i="4"/>
  <c r="AF197" i="4"/>
  <c r="AE197" i="4"/>
  <c r="AD197" i="4"/>
  <c r="AC197" i="4"/>
  <c r="AB197" i="4"/>
  <c r="AA197" i="4"/>
  <c r="Z197" i="4"/>
  <c r="H197" i="4"/>
  <c r="G197" i="4"/>
  <c r="AO196" i="4"/>
  <c r="AN196" i="4"/>
  <c r="AM196" i="4"/>
  <c r="AL196" i="4"/>
  <c r="AK196" i="4"/>
  <c r="AJ196" i="4"/>
  <c r="AI196" i="4"/>
  <c r="AH196" i="4"/>
  <c r="AG196" i="4"/>
  <c r="AF196" i="4"/>
  <c r="AE196" i="4"/>
  <c r="AD196" i="4"/>
  <c r="AC196" i="4"/>
  <c r="AB196" i="4"/>
  <c r="AA196" i="4"/>
  <c r="Z196" i="4"/>
  <c r="H196" i="4"/>
  <c r="G196" i="4"/>
  <c r="AO195" i="4"/>
  <c r="AN195" i="4"/>
  <c r="AM195" i="4"/>
  <c r="AL195" i="4"/>
  <c r="AK195" i="4"/>
  <c r="AJ195" i="4"/>
  <c r="AI195" i="4"/>
  <c r="AH195" i="4"/>
  <c r="AG195" i="4"/>
  <c r="AF195" i="4"/>
  <c r="AE195" i="4"/>
  <c r="AD195" i="4"/>
  <c r="AC195" i="4"/>
  <c r="AB195" i="4"/>
  <c r="AA195" i="4"/>
  <c r="Z195" i="4"/>
  <c r="H195" i="4"/>
  <c r="G195" i="4"/>
  <c r="AO194" i="4"/>
  <c r="AN194" i="4"/>
  <c r="AM194" i="4"/>
  <c r="AL194" i="4"/>
  <c r="AK194" i="4"/>
  <c r="AJ194" i="4"/>
  <c r="AI194" i="4"/>
  <c r="AH194" i="4"/>
  <c r="AG194" i="4"/>
  <c r="AF194" i="4"/>
  <c r="AE194" i="4"/>
  <c r="AD194" i="4"/>
  <c r="AC194" i="4"/>
  <c r="AB194" i="4"/>
  <c r="AA194" i="4"/>
  <c r="Z194" i="4"/>
  <c r="H194" i="4"/>
  <c r="G194" i="4"/>
  <c r="AO193" i="4"/>
  <c r="AN193" i="4"/>
  <c r="AM193" i="4"/>
  <c r="AL193" i="4"/>
  <c r="AK193" i="4"/>
  <c r="AJ193" i="4"/>
  <c r="AI193" i="4"/>
  <c r="AH193" i="4"/>
  <c r="AG193" i="4"/>
  <c r="AF193" i="4"/>
  <c r="AE193" i="4"/>
  <c r="AD193" i="4"/>
  <c r="AC193" i="4"/>
  <c r="AB193" i="4"/>
  <c r="AA193" i="4"/>
  <c r="Z193" i="4"/>
  <c r="H193" i="4"/>
  <c r="G193" i="4"/>
  <c r="AO192" i="4"/>
  <c r="AN192" i="4"/>
  <c r="AM192" i="4"/>
  <c r="AL192" i="4"/>
  <c r="AK192" i="4"/>
  <c r="AJ192" i="4"/>
  <c r="AI192" i="4"/>
  <c r="AH192" i="4"/>
  <c r="AG192" i="4"/>
  <c r="AF192" i="4"/>
  <c r="AE192" i="4"/>
  <c r="AD192" i="4"/>
  <c r="AC192" i="4"/>
  <c r="AB192" i="4"/>
  <c r="AA192" i="4"/>
  <c r="Z192" i="4"/>
  <c r="H192" i="4"/>
  <c r="G192" i="4"/>
  <c r="AO191" i="4"/>
  <c r="AN191" i="4"/>
  <c r="AM191" i="4"/>
  <c r="AL191" i="4"/>
  <c r="AK191" i="4"/>
  <c r="AJ191" i="4"/>
  <c r="AI191" i="4"/>
  <c r="AH191" i="4"/>
  <c r="AG191" i="4"/>
  <c r="AF191" i="4"/>
  <c r="AE191" i="4"/>
  <c r="AD191" i="4"/>
  <c r="AC191" i="4"/>
  <c r="AB191" i="4"/>
  <c r="AA191" i="4"/>
  <c r="Z191" i="4"/>
  <c r="H191" i="4"/>
  <c r="G191" i="4"/>
  <c r="AO190" i="4"/>
  <c r="AN190" i="4"/>
  <c r="AM190" i="4"/>
  <c r="AL190" i="4"/>
  <c r="AK190" i="4"/>
  <c r="AJ190" i="4"/>
  <c r="AI190" i="4"/>
  <c r="AH190" i="4"/>
  <c r="AG190" i="4"/>
  <c r="AF190" i="4"/>
  <c r="AE190" i="4"/>
  <c r="AD190" i="4"/>
  <c r="AC190" i="4"/>
  <c r="AB190" i="4"/>
  <c r="AA190" i="4"/>
  <c r="Z190" i="4"/>
  <c r="H190" i="4"/>
  <c r="G190" i="4"/>
  <c r="AO189" i="4"/>
  <c r="AN189" i="4"/>
  <c r="AM189" i="4"/>
  <c r="AL189" i="4"/>
  <c r="AK189" i="4"/>
  <c r="AJ189" i="4"/>
  <c r="AI189" i="4"/>
  <c r="AH189" i="4"/>
  <c r="AG189" i="4"/>
  <c r="AF189" i="4"/>
  <c r="AE189" i="4"/>
  <c r="AD189" i="4"/>
  <c r="AC189" i="4"/>
  <c r="AB189" i="4"/>
  <c r="AA189" i="4"/>
  <c r="Z189" i="4"/>
  <c r="H189" i="4"/>
  <c r="G189" i="4"/>
  <c r="AO188" i="4"/>
  <c r="AN188" i="4"/>
  <c r="AM188" i="4"/>
  <c r="AL188" i="4"/>
  <c r="AK188" i="4"/>
  <c r="AJ188" i="4"/>
  <c r="AI188" i="4"/>
  <c r="AH188" i="4"/>
  <c r="AG188" i="4"/>
  <c r="AF188" i="4"/>
  <c r="AE188" i="4"/>
  <c r="AD188" i="4"/>
  <c r="AC188" i="4"/>
  <c r="AB188" i="4"/>
  <c r="AA188" i="4"/>
  <c r="Z188" i="4"/>
  <c r="H188" i="4"/>
  <c r="G188" i="4"/>
  <c r="AO187" i="4"/>
  <c r="AN187" i="4"/>
  <c r="AM187" i="4"/>
  <c r="AL187" i="4"/>
  <c r="AK187" i="4"/>
  <c r="AJ187" i="4"/>
  <c r="AI187" i="4"/>
  <c r="AH187" i="4"/>
  <c r="AG187" i="4"/>
  <c r="AF187" i="4"/>
  <c r="AE187" i="4"/>
  <c r="AD187" i="4"/>
  <c r="AC187" i="4"/>
  <c r="AB187" i="4"/>
  <c r="AA187" i="4"/>
  <c r="Z187" i="4"/>
  <c r="H187" i="4"/>
  <c r="G187" i="4"/>
  <c r="AO186" i="4"/>
  <c r="AN186" i="4"/>
  <c r="AM186" i="4"/>
  <c r="AL186" i="4"/>
  <c r="AK186" i="4"/>
  <c r="AJ186" i="4"/>
  <c r="AI186" i="4"/>
  <c r="AH186" i="4"/>
  <c r="AG186" i="4"/>
  <c r="AF186" i="4"/>
  <c r="AE186" i="4"/>
  <c r="AD186" i="4"/>
  <c r="AC186" i="4"/>
  <c r="AB186" i="4"/>
  <c r="AA186" i="4"/>
  <c r="Z186" i="4"/>
  <c r="H186" i="4"/>
  <c r="G186" i="4"/>
  <c r="AO185" i="4"/>
  <c r="AN185" i="4"/>
  <c r="AM185" i="4"/>
  <c r="AL185" i="4"/>
  <c r="AK185" i="4"/>
  <c r="AJ185" i="4"/>
  <c r="AI185" i="4"/>
  <c r="AH185" i="4"/>
  <c r="AG185" i="4"/>
  <c r="AF185" i="4"/>
  <c r="AE185" i="4"/>
  <c r="AD185" i="4"/>
  <c r="AC185" i="4"/>
  <c r="AB185" i="4"/>
  <c r="AA185" i="4"/>
  <c r="Z185" i="4"/>
  <c r="H185" i="4"/>
  <c r="G185" i="4"/>
  <c r="AO184" i="4"/>
  <c r="AN184" i="4"/>
  <c r="AM184" i="4"/>
  <c r="AL184" i="4"/>
  <c r="AK184" i="4"/>
  <c r="AJ184" i="4"/>
  <c r="AI184" i="4"/>
  <c r="AH184" i="4"/>
  <c r="AG184" i="4"/>
  <c r="AF184" i="4"/>
  <c r="AE184" i="4"/>
  <c r="AD184" i="4"/>
  <c r="AC184" i="4"/>
  <c r="AB184" i="4"/>
  <c r="AA184" i="4"/>
  <c r="Z184" i="4"/>
  <c r="H184" i="4"/>
  <c r="G184" i="4"/>
  <c r="AO183" i="4"/>
  <c r="AN183" i="4"/>
  <c r="AM183" i="4"/>
  <c r="AL183" i="4"/>
  <c r="AK183" i="4"/>
  <c r="AJ183" i="4"/>
  <c r="AI183" i="4"/>
  <c r="AH183" i="4"/>
  <c r="AG183" i="4"/>
  <c r="AF183" i="4"/>
  <c r="AE183" i="4"/>
  <c r="AD183" i="4"/>
  <c r="AC183" i="4"/>
  <c r="AB183" i="4"/>
  <c r="AA183" i="4"/>
  <c r="Z183" i="4"/>
  <c r="H183" i="4"/>
  <c r="G183" i="4"/>
  <c r="AO182" i="4"/>
  <c r="AN182" i="4"/>
  <c r="AM182" i="4"/>
  <c r="AL182" i="4"/>
  <c r="AK182" i="4"/>
  <c r="AJ182" i="4"/>
  <c r="AI182" i="4"/>
  <c r="AH182" i="4"/>
  <c r="AG182" i="4"/>
  <c r="AF182" i="4"/>
  <c r="AE182" i="4"/>
  <c r="AD182" i="4"/>
  <c r="AC182" i="4"/>
  <c r="AB182" i="4"/>
  <c r="AA182" i="4"/>
  <c r="Z182" i="4"/>
  <c r="H182" i="4"/>
  <c r="G182" i="4"/>
  <c r="AO181" i="4"/>
  <c r="AN181" i="4"/>
  <c r="AM181" i="4"/>
  <c r="AL181" i="4"/>
  <c r="AK181" i="4"/>
  <c r="AJ181" i="4"/>
  <c r="AI181" i="4"/>
  <c r="AH181" i="4"/>
  <c r="AG181" i="4"/>
  <c r="AF181" i="4"/>
  <c r="AE181" i="4"/>
  <c r="AD181" i="4"/>
  <c r="AC181" i="4"/>
  <c r="AB181" i="4"/>
  <c r="AA181" i="4"/>
  <c r="Z181" i="4"/>
  <c r="H181" i="4"/>
  <c r="G181" i="4"/>
  <c r="AO180" i="4"/>
  <c r="AN180" i="4"/>
  <c r="AM180" i="4"/>
  <c r="AL180" i="4"/>
  <c r="AK180" i="4"/>
  <c r="AJ180" i="4"/>
  <c r="AI180" i="4"/>
  <c r="AH180" i="4"/>
  <c r="AG180" i="4"/>
  <c r="AF180" i="4"/>
  <c r="AE180" i="4"/>
  <c r="AD180" i="4"/>
  <c r="AC180" i="4"/>
  <c r="AB180" i="4"/>
  <c r="AA180" i="4"/>
  <c r="Z180" i="4"/>
  <c r="H180" i="4"/>
  <c r="G180" i="4"/>
  <c r="AO179" i="4"/>
  <c r="AN179" i="4"/>
  <c r="AM179" i="4"/>
  <c r="AL179" i="4"/>
  <c r="AK179" i="4"/>
  <c r="AJ179" i="4"/>
  <c r="AI179" i="4"/>
  <c r="AH179" i="4"/>
  <c r="AG179" i="4"/>
  <c r="AF179" i="4"/>
  <c r="AE179" i="4"/>
  <c r="AD179" i="4"/>
  <c r="AC179" i="4"/>
  <c r="AB179" i="4"/>
  <c r="AA179" i="4"/>
  <c r="Z179" i="4"/>
  <c r="H179" i="4"/>
  <c r="G179" i="4"/>
  <c r="AO178" i="4"/>
  <c r="AN178" i="4"/>
  <c r="AM178" i="4"/>
  <c r="AL178" i="4"/>
  <c r="AK178" i="4"/>
  <c r="AJ178" i="4"/>
  <c r="AI178" i="4"/>
  <c r="AH178" i="4"/>
  <c r="AG178" i="4"/>
  <c r="AF178" i="4"/>
  <c r="AE178" i="4"/>
  <c r="AD178" i="4"/>
  <c r="AC178" i="4"/>
  <c r="AB178" i="4"/>
  <c r="AA178" i="4"/>
  <c r="Z178" i="4"/>
  <c r="H178" i="4"/>
  <c r="G178" i="4"/>
  <c r="AO177" i="4"/>
  <c r="AN177" i="4"/>
  <c r="AM177" i="4"/>
  <c r="AL177" i="4"/>
  <c r="AK177" i="4"/>
  <c r="AJ177" i="4"/>
  <c r="AI177" i="4"/>
  <c r="AH177" i="4"/>
  <c r="AG177" i="4"/>
  <c r="AF177" i="4"/>
  <c r="AE177" i="4"/>
  <c r="AD177" i="4"/>
  <c r="AC177" i="4"/>
  <c r="AB177" i="4"/>
  <c r="AA177" i="4"/>
  <c r="Z177" i="4"/>
  <c r="H177" i="4"/>
  <c r="G177" i="4"/>
  <c r="AO176" i="4"/>
  <c r="AN176" i="4"/>
  <c r="AM176" i="4"/>
  <c r="AL176" i="4"/>
  <c r="AK176" i="4"/>
  <c r="AJ176" i="4"/>
  <c r="AI176" i="4"/>
  <c r="AH176" i="4"/>
  <c r="AG176" i="4"/>
  <c r="AF176" i="4"/>
  <c r="AE176" i="4"/>
  <c r="AD176" i="4"/>
  <c r="AC176" i="4"/>
  <c r="AB176" i="4"/>
  <c r="AA176" i="4"/>
  <c r="Z176" i="4"/>
  <c r="H176" i="4"/>
  <c r="G176" i="4"/>
  <c r="AO175" i="4"/>
  <c r="AN175" i="4"/>
  <c r="AM175" i="4"/>
  <c r="AL175" i="4"/>
  <c r="AK175" i="4"/>
  <c r="AJ175" i="4"/>
  <c r="AI175" i="4"/>
  <c r="AH175" i="4"/>
  <c r="AG175" i="4"/>
  <c r="AF175" i="4"/>
  <c r="AE175" i="4"/>
  <c r="AD175" i="4"/>
  <c r="AC175" i="4"/>
  <c r="AB175" i="4"/>
  <c r="AA175" i="4"/>
  <c r="Z175" i="4"/>
  <c r="H175" i="4"/>
  <c r="G175" i="4"/>
  <c r="AO174" i="4"/>
  <c r="AN174" i="4"/>
  <c r="AM174" i="4"/>
  <c r="AL174" i="4"/>
  <c r="AK174" i="4"/>
  <c r="AJ174" i="4"/>
  <c r="AI174" i="4"/>
  <c r="AH174" i="4"/>
  <c r="AG174" i="4"/>
  <c r="AF174" i="4"/>
  <c r="AE174" i="4"/>
  <c r="AD174" i="4"/>
  <c r="AC174" i="4"/>
  <c r="AB174" i="4"/>
  <c r="AA174" i="4"/>
  <c r="Z174" i="4"/>
  <c r="H174" i="4"/>
  <c r="G174" i="4"/>
  <c r="AO173" i="4"/>
  <c r="AN173" i="4"/>
  <c r="AM173" i="4"/>
  <c r="AL173" i="4"/>
  <c r="AK173" i="4"/>
  <c r="AJ173" i="4"/>
  <c r="AI173" i="4"/>
  <c r="AH173" i="4"/>
  <c r="AG173" i="4"/>
  <c r="AF173" i="4"/>
  <c r="AE173" i="4"/>
  <c r="AD173" i="4"/>
  <c r="AC173" i="4"/>
  <c r="AB173" i="4"/>
  <c r="AA173" i="4"/>
  <c r="Z173" i="4"/>
  <c r="H173" i="4"/>
  <c r="G173" i="4"/>
  <c r="AO172" i="4"/>
  <c r="AN172" i="4"/>
  <c r="AM172" i="4"/>
  <c r="AL172" i="4"/>
  <c r="AK172" i="4"/>
  <c r="AJ172" i="4"/>
  <c r="AI172" i="4"/>
  <c r="AH172" i="4"/>
  <c r="AG172" i="4"/>
  <c r="AF172" i="4"/>
  <c r="AE172" i="4"/>
  <c r="AD172" i="4"/>
  <c r="AC172" i="4"/>
  <c r="AB172" i="4"/>
  <c r="AA172" i="4"/>
  <c r="Z172" i="4"/>
  <c r="H172" i="4"/>
  <c r="G172" i="4"/>
  <c r="AO171" i="4"/>
  <c r="AN171" i="4"/>
  <c r="AM171" i="4"/>
  <c r="AL171" i="4"/>
  <c r="AK171" i="4"/>
  <c r="AJ171" i="4"/>
  <c r="AI171" i="4"/>
  <c r="AH171" i="4"/>
  <c r="AG171" i="4"/>
  <c r="AF171" i="4"/>
  <c r="AE171" i="4"/>
  <c r="AD171" i="4"/>
  <c r="AC171" i="4"/>
  <c r="AB171" i="4"/>
  <c r="AA171" i="4"/>
  <c r="Z171" i="4"/>
  <c r="H171" i="4"/>
  <c r="G171" i="4"/>
  <c r="AO170" i="4"/>
  <c r="AN170" i="4"/>
  <c r="AM170" i="4"/>
  <c r="AL170" i="4"/>
  <c r="AK170" i="4"/>
  <c r="AJ170" i="4"/>
  <c r="AI170" i="4"/>
  <c r="AH170" i="4"/>
  <c r="AG170" i="4"/>
  <c r="AF170" i="4"/>
  <c r="AE170" i="4"/>
  <c r="AD170" i="4"/>
  <c r="AC170" i="4"/>
  <c r="AB170" i="4"/>
  <c r="AA170" i="4"/>
  <c r="Z170" i="4"/>
  <c r="H170" i="4"/>
  <c r="G170" i="4"/>
  <c r="AO169" i="4"/>
  <c r="AN169" i="4"/>
  <c r="AM169" i="4"/>
  <c r="AL169" i="4"/>
  <c r="AK169" i="4"/>
  <c r="AJ169" i="4"/>
  <c r="AI169" i="4"/>
  <c r="AH169" i="4"/>
  <c r="AG169" i="4"/>
  <c r="AF169" i="4"/>
  <c r="AE169" i="4"/>
  <c r="AD169" i="4"/>
  <c r="AC169" i="4"/>
  <c r="AB169" i="4"/>
  <c r="AA169" i="4"/>
  <c r="Z169" i="4"/>
  <c r="H169" i="4"/>
  <c r="G169" i="4"/>
  <c r="AO168" i="4"/>
  <c r="AN168" i="4"/>
  <c r="AM168" i="4"/>
  <c r="AL168" i="4"/>
  <c r="AK168" i="4"/>
  <c r="AJ168" i="4"/>
  <c r="AI168" i="4"/>
  <c r="AH168" i="4"/>
  <c r="AG168" i="4"/>
  <c r="AF168" i="4"/>
  <c r="AE168" i="4"/>
  <c r="AD168" i="4"/>
  <c r="AC168" i="4"/>
  <c r="AB168" i="4"/>
  <c r="AA168" i="4"/>
  <c r="Z168" i="4"/>
  <c r="H168" i="4"/>
  <c r="G168" i="4"/>
  <c r="AO167" i="4"/>
  <c r="AN167" i="4"/>
  <c r="AM167" i="4"/>
  <c r="AL167" i="4"/>
  <c r="AK167" i="4"/>
  <c r="AJ167" i="4"/>
  <c r="AI167" i="4"/>
  <c r="AH167" i="4"/>
  <c r="AG167" i="4"/>
  <c r="AF167" i="4"/>
  <c r="AE167" i="4"/>
  <c r="AD167" i="4"/>
  <c r="AC167" i="4"/>
  <c r="AB167" i="4"/>
  <c r="AA167" i="4"/>
  <c r="Z167" i="4"/>
  <c r="H167" i="4"/>
  <c r="G167" i="4"/>
  <c r="AO166" i="4"/>
  <c r="AN166" i="4"/>
  <c r="AM166" i="4"/>
  <c r="AL166" i="4"/>
  <c r="AK166" i="4"/>
  <c r="AJ166" i="4"/>
  <c r="AI166" i="4"/>
  <c r="AH166" i="4"/>
  <c r="AG166" i="4"/>
  <c r="AF166" i="4"/>
  <c r="AE166" i="4"/>
  <c r="AD166" i="4"/>
  <c r="AC166" i="4"/>
  <c r="AB166" i="4"/>
  <c r="AA166" i="4"/>
  <c r="Z166" i="4"/>
  <c r="H166" i="4"/>
  <c r="G166" i="4"/>
  <c r="AO165" i="4"/>
  <c r="AN165" i="4"/>
  <c r="AM165" i="4"/>
  <c r="AL165" i="4"/>
  <c r="AK165" i="4"/>
  <c r="AJ165" i="4"/>
  <c r="AI165" i="4"/>
  <c r="AH165" i="4"/>
  <c r="AG165" i="4"/>
  <c r="AF165" i="4"/>
  <c r="AE165" i="4"/>
  <c r="AD165" i="4"/>
  <c r="AC165" i="4"/>
  <c r="AB165" i="4"/>
  <c r="AA165" i="4"/>
  <c r="Z165" i="4"/>
  <c r="H165" i="4"/>
  <c r="G165" i="4"/>
  <c r="AO164" i="4"/>
  <c r="AN164" i="4"/>
  <c r="AM164" i="4"/>
  <c r="AL164" i="4"/>
  <c r="AK164" i="4"/>
  <c r="AJ164" i="4"/>
  <c r="AI164" i="4"/>
  <c r="AH164" i="4"/>
  <c r="AG164" i="4"/>
  <c r="AF164" i="4"/>
  <c r="AE164" i="4"/>
  <c r="AD164" i="4"/>
  <c r="AC164" i="4"/>
  <c r="AB164" i="4"/>
  <c r="AA164" i="4"/>
  <c r="Z164" i="4"/>
  <c r="H164" i="4"/>
  <c r="G164" i="4"/>
  <c r="AO163" i="4"/>
  <c r="AN163" i="4"/>
  <c r="AM163" i="4"/>
  <c r="AL163" i="4"/>
  <c r="AK163" i="4"/>
  <c r="AJ163" i="4"/>
  <c r="AI163" i="4"/>
  <c r="AH163" i="4"/>
  <c r="AG163" i="4"/>
  <c r="AF163" i="4"/>
  <c r="AE163" i="4"/>
  <c r="AD163" i="4"/>
  <c r="AC163" i="4"/>
  <c r="AB163" i="4"/>
  <c r="AA163" i="4"/>
  <c r="Z163" i="4"/>
  <c r="H163" i="4"/>
  <c r="G163" i="4"/>
  <c r="AO162" i="4"/>
  <c r="AN162" i="4"/>
  <c r="AM162" i="4"/>
  <c r="AL162" i="4"/>
  <c r="AK162" i="4"/>
  <c r="AJ162" i="4"/>
  <c r="AI162" i="4"/>
  <c r="AH162" i="4"/>
  <c r="AG162" i="4"/>
  <c r="AF162" i="4"/>
  <c r="AE162" i="4"/>
  <c r="AD162" i="4"/>
  <c r="AC162" i="4"/>
  <c r="AB162" i="4"/>
  <c r="AA162" i="4"/>
  <c r="Z162" i="4"/>
  <c r="H162" i="4"/>
  <c r="G162" i="4"/>
  <c r="AO161" i="4"/>
  <c r="AN161" i="4"/>
  <c r="AM161" i="4"/>
  <c r="AL161" i="4"/>
  <c r="AK161" i="4"/>
  <c r="AJ161" i="4"/>
  <c r="AI161" i="4"/>
  <c r="AH161" i="4"/>
  <c r="AG161" i="4"/>
  <c r="AF161" i="4"/>
  <c r="AE161" i="4"/>
  <c r="AD161" i="4"/>
  <c r="AC161" i="4"/>
  <c r="AB161" i="4"/>
  <c r="AA161" i="4"/>
  <c r="Z161" i="4"/>
  <c r="H161" i="4"/>
  <c r="G161" i="4"/>
  <c r="AO160" i="4"/>
  <c r="AN160" i="4"/>
  <c r="AM160" i="4"/>
  <c r="AL160" i="4"/>
  <c r="AK160" i="4"/>
  <c r="AJ160" i="4"/>
  <c r="AI160" i="4"/>
  <c r="AH160" i="4"/>
  <c r="AG160" i="4"/>
  <c r="AF160" i="4"/>
  <c r="AE160" i="4"/>
  <c r="AD160" i="4"/>
  <c r="AC160" i="4"/>
  <c r="AB160" i="4"/>
  <c r="AA160" i="4"/>
  <c r="Z160" i="4"/>
  <c r="H160" i="4"/>
  <c r="G160" i="4"/>
  <c r="AO159" i="4"/>
  <c r="AN159" i="4"/>
  <c r="AM159" i="4"/>
  <c r="AL159" i="4"/>
  <c r="AK159" i="4"/>
  <c r="AJ159" i="4"/>
  <c r="AI159" i="4"/>
  <c r="AH159" i="4"/>
  <c r="AG159" i="4"/>
  <c r="AF159" i="4"/>
  <c r="AE159" i="4"/>
  <c r="AD159" i="4"/>
  <c r="AC159" i="4"/>
  <c r="AB159" i="4"/>
  <c r="AA159" i="4"/>
  <c r="Z159" i="4"/>
  <c r="H159" i="4"/>
  <c r="G159" i="4"/>
  <c r="AO158" i="4"/>
  <c r="AN158" i="4"/>
  <c r="AM158" i="4"/>
  <c r="AL158" i="4"/>
  <c r="AK158" i="4"/>
  <c r="AJ158" i="4"/>
  <c r="AI158" i="4"/>
  <c r="AH158" i="4"/>
  <c r="AG158" i="4"/>
  <c r="AF158" i="4"/>
  <c r="AE158" i="4"/>
  <c r="AD158" i="4"/>
  <c r="AC158" i="4"/>
  <c r="AB158" i="4"/>
  <c r="AA158" i="4"/>
  <c r="Z158" i="4"/>
  <c r="H158" i="4"/>
  <c r="G158" i="4"/>
  <c r="AO157" i="4"/>
  <c r="AN157" i="4"/>
  <c r="AM157" i="4"/>
  <c r="AL157" i="4"/>
  <c r="AK157" i="4"/>
  <c r="AJ157" i="4"/>
  <c r="AI157" i="4"/>
  <c r="AH157" i="4"/>
  <c r="AG157" i="4"/>
  <c r="AF157" i="4"/>
  <c r="AE157" i="4"/>
  <c r="AD157" i="4"/>
  <c r="AC157" i="4"/>
  <c r="AB157" i="4"/>
  <c r="AA157" i="4"/>
  <c r="Z157" i="4"/>
  <c r="H157" i="4"/>
  <c r="G157" i="4"/>
  <c r="AO156" i="4"/>
  <c r="AN156" i="4"/>
  <c r="AM156" i="4"/>
  <c r="AL156" i="4"/>
  <c r="AK156" i="4"/>
  <c r="AJ156" i="4"/>
  <c r="AI156" i="4"/>
  <c r="AH156" i="4"/>
  <c r="AG156" i="4"/>
  <c r="AF156" i="4"/>
  <c r="AE156" i="4"/>
  <c r="AD156" i="4"/>
  <c r="AC156" i="4"/>
  <c r="AB156" i="4"/>
  <c r="AA156" i="4"/>
  <c r="Z156" i="4"/>
  <c r="H156" i="4"/>
  <c r="G156" i="4"/>
  <c r="AO155" i="4"/>
  <c r="AN155" i="4"/>
  <c r="AM155" i="4"/>
  <c r="AL155" i="4"/>
  <c r="AK155" i="4"/>
  <c r="AJ155" i="4"/>
  <c r="AI155" i="4"/>
  <c r="AH155" i="4"/>
  <c r="AG155" i="4"/>
  <c r="AF155" i="4"/>
  <c r="AE155" i="4"/>
  <c r="AD155" i="4"/>
  <c r="AC155" i="4"/>
  <c r="AB155" i="4"/>
  <c r="AA155" i="4"/>
  <c r="Z155" i="4"/>
  <c r="H155" i="4"/>
  <c r="G155" i="4"/>
  <c r="AO154" i="4"/>
  <c r="AN154" i="4"/>
  <c r="AM154" i="4"/>
  <c r="AL154" i="4"/>
  <c r="AK154" i="4"/>
  <c r="AJ154" i="4"/>
  <c r="AI154" i="4"/>
  <c r="AH154" i="4"/>
  <c r="AG154" i="4"/>
  <c r="AF154" i="4"/>
  <c r="AE154" i="4"/>
  <c r="AD154" i="4"/>
  <c r="AC154" i="4"/>
  <c r="AB154" i="4"/>
  <c r="AA154" i="4"/>
  <c r="Z154" i="4"/>
  <c r="H154" i="4"/>
  <c r="G154" i="4"/>
  <c r="AO153" i="4"/>
  <c r="AN153" i="4"/>
  <c r="AM153" i="4"/>
  <c r="AL153" i="4"/>
  <c r="AK153" i="4"/>
  <c r="AJ153" i="4"/>
  <c r="AI153" i="4"/>
  <c r="AH153" i="4"/>
  <c r="AG153" i="4"/>
  <c r="AF153" i="4"/>
  <c r="AE153" i="4"/>
  <c r="AD153" i="4"/>
  <c r="AC153" i="4"/>
  <c r="AB153" i="4"/>
  <c r="AA153" i="4"/>
  <c r="Z153" i="4"/>
  <c r="H153" i="4"/>
  <c r="G153" i="4"/>
  <c r="AO152" i="4"/>
  <c r="AN152" i="4"/>
  <c r="AM152" i="4"/>
  <c r="AL152" i="4"/>
  <c r="AK152" i="4"/>
  <c r="AJ152" i="4"/>
  <c r="AI152" i="4"/>
  <c r="AH152" i="4"/>
  <c r="AG152" i="4"/>
  <c r="AF152" i="4"/>
  <c r="AE152" i="4"/>
  <c r="AD152" i="4"/>
  <c r="AC152" i="4"/>
  <c r="AB152" i="4"/>
  <c r="AA152" i="4"/>
  <c r="Z152" i="4"/>
  <c r="H152" i="4"/>
  <c r="G152" i="4"/>
  <c r="AO151" i="4"/>
  <c r="AN151" i="4"/>
  <c r="AM151" i="4"/>
  <c r="AL151" i="4"/>
  <c r="AK151" i="4"/>
  <c r="AJ151" i="4"/>
  <c r="AI151" i="4"/>
  <c r="AH151" i="4"/>
  <c r="AG151" i="4"/>
  <c r="AF151" i="4"/>
  <c r="AE151" i="4"/>
  <c r="AD151" i="4"/>
  <c r="AC151" i="4"/>
  <c r="AB151" i="4"/>
  <c r="AA151" i="4"/>
  <c r="Z151" i="4"/>
  <c r="H151" i="4"/>
  <c r="G151" i="4"/>
  <c r="AO150" i="4"/>
  <c r="AN150" i="4"/>
  <c r="AM150" i="4"/>
  <c r="AL150" i="4"/>
  <c r="AK150" i="4"/>
  <c r="AJ150" i="4"/>
  <c r="AI150" i="4"/>
  <c r="AH150" i="4"/>
  <c r="AG150" i="4"/>
  <c r="AF150" i="4"/>
  <c r="AE150" i="4"/>
  <c r="AD150" i="4"/>
  <c r="AC150" i="4"/>
  <c r="AB150" i="4"/>
  <c r="AA150" i="4"/>
  <c r="Z150" i="4"/>
  <c r="H150" i="4"/>
  <c r="G150" i="4"/>
  <c r="AO149" i="4"/>
  <c r="AN149" i="4"/>
  <c r="AM149" i="4"/>
  <c r="AL149" i="4"/>
  <c r="AK149" i="4"/>
  <c r="AJ149" i="4"/>
  <c r="AI149" i="4"/>
  <c r="AH149" i="4"/>
  <c r="AG149" i="4"/>
  <c r="AF149" i="4"/>
  <c r="AE149" i="4"/>
  <c r="AD149" i="4"/>
  <c r="AC149" i="4"/>
  <c r="AB149" i="4"/>
  <c r="AA149" i="4"/>
  <c r="Z149" i="4"/>
  <c r="H149" i="4"/>
  <c r="G149" i="4"/>
  <c r="AO148" i="4"/>
  <c r="AN148" i="4"/>
  <c r="AM148" i="4"/>
  <c r="AL148" i="4"/>
  <c r="AK148" i="4"/>
  <c r="AJ148" i="4"/>
  <c r="AI148" i="4"/>
  <c r="AH148" i="4"/>
  <c r="AG148" i="4"/>
  <c r="AF148" i="4"/>
  <c r="AE148" i="4"/>
  <c r="AD148" i="4"/>
  <c r="AC148" i="4"/>
  <c r="AB148" i="4"/>
  <c r="AA148" i="4"/>
  <c r="Z148" i="4"/>
  <c r="H148" i="4"/>
  <c r="G148" i="4"/>
  <c r="AO147" i="4"/>
  <c r="AN147" i="4"/>
  <c r="AM147" i="4"/>
  <c r="AL147" i="4"/>
  <c r="AK147" i="4"/>
  <c r="AJ147" i="4"/>
  <c r="AI147" i="4"/>
  <c r="AH147" i="4"/>
  <c r="AG147" i="4"/>
  <c r="AF147" i="4"/>
  <c r="AE147" i="4"/>
  <c r="AD147" i="4"/>
  <c r="AC147" i="4"/>
  <c r="AB147" i="4"/>
  <c r="AA147" i="4"/>
  <c r="Z147" i="4"/>
  <c r="H147" i="4"/>
  <c r="G147" i="4"/>
  <c r="AO146" i="4"/>
  <c r="AN146" i="4"/>
  <c r="AM146" i="4"/>
  <c r="AL146" i="4"/>
  <c r="AK146" i="4"/>
  <c r="AJ146" i="4"/>
  <c r="AI146" i="4"/>
  <c r="AH146" i="4"/>
  <c r="AG146" i="4"/>
  <c r="AF146" i="4"/>
  <c r="AE146" i="4"/>
  <c r="AD146" i="4"/>
  <c r="AC146" i="4"/>
  <c r="AB146" i="4"/>
  <c r="AA146" i="4"/>
  <c r="Z146" i="4"/>
  <c r="H146" i="4"/>
  <c r="G146" i="4"/>
  <c r="AO145" i="4"/>
  <c r="AN145" i="4"/>
  <c r="AM145" i="4"/>
  <c r="AL145" i="4"/>
  <c r="AK145" i="4"/>
  <c r="AJ145" i="4"/>
  <c r="AI145" i="4"/>
  <c r="AH145" i="4"/>
  <c r="AG145" i="4"/>
  <c r="AF145" i="4"/>
  <c r="AE145" i="4"/>
  <c r="AD145" i="4"/>
  <c r="AC145" i="4"/>
  <c r="AB145" i="4"/>
  <c r="AA145" i="4"/>
  <c r="Z145" i="4"/>
  <c r="H145" i="4"/>
  <c r="G145" i="4"/>
  <c r="AO144" i="4"/>
  <c r="AN144" i="4"/>
  <c r="AM144" i="4"/>
  <c r="AL144" i="4"/>
  <c r="AK144" i="4"/>
  <c r="AJ144" i="4"/>
  <c r="AI144" i="4"/>
  <c r="AH144" i="4"/>
  <c r="AG144" i="4"/>
  <c r="AF144" i="4"/>
  <c r="AE144" i="4"/>
  <c r="AD144" i="4"/>
  <c r="AC144" i="4"/>
  <c r="AB144" i="4"/>
  <c r="AA144" i="4"/>
  <c r="Z144" i="4"/>
  <c r="H144" i="4"/>
  <c r="G144" i="4"/>
  <c r="AO143" i="4"/>
  <c r="AN143" i="4"/>
  <c r="AM143" i="4"/>
  <c r="AL143" i="4"/>
  <c r="AK143" i="4"/>
  <c r="AJ143" i="4"/>
  <c r="AI143" i="4"/>
  <c r="AH143" i="4"/>
  <c r="AG143" i="4"/>
  <c r="AF143" i="4"/>
  <c r="AE143" i="4"/>
  <c r="AD143" i="4"/>
  <c r="AC143" i="4"/>
  <c r="AB143" i="4"/>
  <c r="AA143" i="4"/>
  <c r="Z143" i="4"/>
  <c r="H143" i="4"/>
  <c r="G143" i="4"/>
  <c r="AO142" i="4"/>
  <c r="AN142" i="4"/>
  <c r="AM142" i="4"/>
  <c r="AL142" i="4"/>
  <c r="AK142" i="4"/>
  <c r="AJ142" i="4"/>
  <c r="AI142" i="4"/>
  <c r="AH142" i="4"/>
  <c r="AG142" i="4"/>
  <c r="AF142" i="4"/>
  <c r="AE142" i="4"/>
  <c r="AD142" i="4"/>
  <c r="AC142" i="4"/>
  <c r="AB142" i="4"/>
  <c r="AA142" i="4"/>
  <c r="Z142" i="4"/>
  <c r="H142" i="4"/>
  <c r="G142" i="4"/>
  <c r="AO141" i="4"/>
  <c r="AN141" i="4"/>
  <c r="AM141" i="4"/>
  <c r="AL141" i="4"/>
  <c r="AK141" i="4"/>
  <c r="AJ141" i="4"/>
  <c r="AI141" i="4"/>
  <c r="AH141" i="4"/>
  <c r="AG141" i="4"/>
  <c r="AF141" i="4"/>
  <c r="AE141" i="4"/>
  <c r="AD141" i="4"/>
  <c r="AC141" i="4"/>
  <c r="AB141" i="4"/>
  <c r="AA141" i="4"/>
  <c r="Z141" i="4"/>
  <c r="H141" i="4"/>
  <c r="G141" i="4"/>
  <c r="AO140" i="4"/>
  <c r="AN140" i="4"/>
  <c r="AM140" i="4"/>
  <c r="AL140" i="4"/>
  <c r="AK140" i="4"/>
  <c r="AJ140" i="4"/>
  <c r="AI140" i="4"/>
  <c r="AH140" i="4"/>
  <c r="AG140" i="4"/>
  <c r="AF140" i="4"/>
  <c r="AE140" i="4"/>
  <c r="AD140" i="4"/>
  <c r="AC140" i="4"/>
  <c r="AB140" i="4"/>
  <c r="AA140" i="4"/>
  <c r="Z140" i="4"/>
  <c r="H140" i="4"/>
  <c r="G140" i="4"/>
  <c r="AO139" i="4"/>
  <c r="AN139" i="4"/>
  <c r="AM139" i="4"/>
  <c r="AL139" i="4"/>
  <c r="AK139" i="4"/>
  <c r="AJ139" i="4"/>
  <c r="AI139" i="4"/>
  <c r="AH139" i="4"/>
  <c r="AG139" i="4"/>
  <c r="AF139" i="4"/>
  <c r="AE139" i="4"/>
  <c r="AD139" i="4"/>
  <c r="AC139" i="4"/>
  <c r="AB139" i="4"/>
  <c r="AA139" i="4"/>
  <c r="Z139" i="4"/>
  <c r="H139" i="4"/>
  <c r="G139" i="4"/>
  <c r="AO138" i="4"/>
  <c r="AN138" i="4"/>
  <c r="AM138" i="4"/>
  <c r="AL138" i="4"/>
  <c r="AK138" i="4"/>
  <c r="AJ138" i="4"/>
  <c r="AI138" i="4"/>
  <c r="AH138" i="4"/>
  <c r="AG138" i="4"/>
  <c r="AF138" i="4"/>
  <c r="AE138" i="4"/>
  <c r="AD138" i="4"/>
  <c r="AC138" i="4"/>
  <c r="AB138" i="4"/>
  <c r="AA138" i="4"/>
  <c r="Z138" i="4"/>
  <c r="H138" i="4"/>
  <c r="G138" i="4"/>
  <c r="AO137" i="4"/>
  <c r="AN137" i="4"/>
  <c r="AM137" i="4"/>
  <c r="AL137" i="4"/>
  <c r="AK137" i="4"/>
  <c r="AJ137" i="4"/>
  <c r="AI137" i="4"/>
  <c r="AH137" i="4"/>
  <c r="AG137" i="4"/>
  <c r="AF137" i="4"/>
  <c r="AE137" i="4"/>
  <c r="AD137" i="4"/>
  <c r="AC137" i="4"/>
  <c r="AB137" i="4"/>
  <c r="AA137" i="4"/>
  <c r="Z137" i="4"/>
  <c r="H137" i="4"/>
  <c r="G137" i="4"/>
  <c r="AO136" i="4"/>
  <c r="AN136" i="4"/>
  <c r="AM136" i="4"/>
  <c r="AL136" i="4"/>
  <c r="AK136" i="4"/>
  <c r="AJ136" i="4"/>
  <c r="AI136" i="4"/>
  <c r="AH136" i="4"/>
  <c r="AG136" i="4"/>
  <c r="AF136" i="4"/>
  <c r="AE136" i="4"/>
  <c r="AD136" i="4"/>
  <c r="AC136" i="4"/>
  <c r="AB136" i="4"/>
  <c r="AA136" i="4"/>
  <c r="Z136" i="4"/>
  <c r="H136" i="4"/>
  <c r="G136" i="4"/>
  <c r="AO135" i="4"/>
  <c r="AN135" i="4"/>
  <c r="AM135" i="4"/>
  <c r="AL135" i="4"/>
  <c r="AK135" i="4"/>
  <c r="AJ135" i="4"/>
  <c r="AI135" i="4"/>
  <c r="AH135" i="4"/>
  <c r="AG135" i="4"/>
  <c r="AF135" i="4"/>
  <c r="AE135" i="4"/>
  <c r="AD135" i="4"/>
  <c r="AC135" i="4"/>
  <c r="AB135" i="4"/>
  <c r="AA135" i="4"/>
  <c r="Z135" i="4"/>
  <c r="H135" i="4"/>
  <c r="G135" i="4"/>
  <c r="AO134" i="4"/>
  <c r="AN134" i="4"/>
  <c r="AM134" i="4"/>
  <c r="AL134" i="4"/>
  <c r="AK134" i="4"/>
  <c r="AJ134" i="4"/>
  <c r="AI134" i="4"/>
  <c r="AH134" i="4"/>
  <c r="AG134" i="4"/>
  <c r="AF134" i="4"/>
  <c r="AE134" i="4"/>
  <c r="AD134" i="4"/>
  <c r="AC134" i="4"/>
  <c r="AB134" i="4"/>
  <c r="AA134" i="4"/>
  <c r="Z134" i="4"/>
  <c r="H134" i="4"/>
  <c r="G134" i="4"/>
  <c r="AO133" i="4"/>
  <c r="AN133" i="4"/>
  <c r="AM133" i="4"/>
  <c r="AL133" i="4"/>
  <c r="AK133" i="4"/>
  <c r="AJ133" i="4"/>
  <c r="AI133" i="4"/>
  <c r="AH133" i="4"/>
  <c r="AG133" i="4"/>
  <c r="AF133" i="4"/>
  <c r="AE133" i="4"/>
  <c r="AD133" i="4"/>
  <c r="AC133" i="4"/>
  <c r="AB133" i="4"/>
  <c r="AA133" i="4"/>
  <c r="Z133" i="4"/>
  <c r="H133" i="4"/>
  <c r="G133" i="4"/>
  <c r="AO132" i="4"/>
  <c r="AN132" i="4"/>
  <c r="AM132" i="4"/>
  <c r="AL132" i="4"/>
  <c r="AK132" i="4"/>
  <c r="AJ132" i="4"/>
  <c r="AI132" i="4"/>
  <c r="AH132" i="4"/>
  <c r="AG132" i="4"/>
  <c r="AF132" i="4"/>
  <c r="AE132" i="4"/>
  <c r="AD132" i="4"/>
  <c r="AC132" i="4"/>
  <c r="AB132" i="4"/>
  <c r="AA132" i="4"/>
  <c r="Z132" i="4"/>
  <c r="H132" i="4"/>
  <c r="G132" i="4"/>
  <c r="AO131" i="4"/>
  <c r="AN131" i="4"/>
  <c r="AM131" i="4"/>
  <c r="AL131" i="4"/>
  <c r="AK131" i="4"/>
  <c r="AJ131" i="4"/>
  <c r="AI131" i="4"/>
  <c r="AH131" i="4"/>
  <c r="AG131" i="4"/>
  <c r="AF131" i="4"/>
  <c r="AE131" i="4"/>
  <c r="AD131" i="4"/>
  <c r="AC131" i="4"/>
  <c r="AB131" i="4"/>
  <c r="AA131" i="4"/>
  <c r="Z131" i="4"/>
  <c r="H131" i="4"/>
  <c r="G131" i="4"/>
  <c r="AO130" i="4"/>
  <c r="AN130" i="4"/>
  <c r="AM130" i="4"/>
  <c r="AL130" i="4"/>
  <c r="AK130" i="4"/>
  <c r="AJ130" i="4"/>
  <c r="AI130" i="4"/>
  <c r="AH130" i="4"/>
  <c r="AG130" i="4"/>
  <c r="AF130" i="4"/>
  <c r="AE130" i="4"/>
  <c r="AD130" i="4"/>
  <c r="AC130" i="4"/>
  <c r="AB130" i="4"/>
  <c r="AA130" i="4"/>
  <c r="Z130" i="4"/>
  <c r="H130" i="4"/>
  <c r="G130" i="4"/>
  <c r="AO129" i="4"/>
  <c r="AN129" i="4"/>
  <c r="AM129" i="4"/>
  <c r="AL129" i="4"/>
  <c r="AK129" i="4"/>
  <c r="AJ129" i="4"/>
  <c r="AI129" i="4"/>
  <c r="AH129" i="4"/>
  <c r="AG129" i="4"/>
  <c r="AF129" i="4"/>
  <c r="AE129" i="4"/>
  <c r="AD129" i="4"/>
  <c r="AC129" i="4"/>
  <c r="AB129" i="4"/>
  <c r="AA129" i="4"/>
  <c r="Z129" i="4"/>
  <c r="H129" i="4"/>
  <c r="G129" i="4"/>
  <c r="AO128" i="4"/>
  <c r="AN128" i="4"/>
  <c r="AM128" i="4"/>
  <c r="AL128" i="4"/>
  <c r="AK128" i="4"/>
  <c r="AJ128" i="4"/>
  <c r="AI128" i="4"/>
  <c r="AH128" i="4"/>
  <c r="AG128" i="4"/>
  <c r="AF128" i="4"/>
  <c r="AE128" i="4"/>
  <c r="AD128" i="4"/>
  <c r="AC128" i="4"/>
  <c r="AB128" i="4"/>
  <c r="AA128" i="4"/>
  <c r="Z128" i="4"/>
  <c r="H128" i="4"/>
  <c r="G128" i="4"/>
  <c r="AO127" i="4"/>
  <c r="AN127" i="4"/>
  <c r="AM127" i="4"/>
  <c r="AL127" i="4"/>
  <c r="AK127" i="4"/>
  <c r="AJ127" i="4"/>
  <c r="AI127" i="4"/>
  <c r="AH127" i="4"/>
  <c r="AG127" i="4"/>
  <c r="AF127" i="4"/>
  <c r="AE127" i="4"/>
  <c r="AD127" i="4"/>
  <c r="AC127" i="4"/>
  <c r="AB127" i="4"/>
  <c r="AA127" i="4"/>
  <c r="Z127" i="4"/>
  <c r="H127" i="4"/>
  <c r="G127" i="4"/>
  <c r="AO126" i="4"/>
  <c r="AN126" i="4"/>
  <c r="AM126" i="4"/>
  <c r="AL126" i="4"/>
  <c r="AK126" i="4"/>
  <c r="AJ126" i="4"/>
  <c r="AI126" i="4"/>
  <c r="AH126" i="4"/>
  <c r="AG126" i="4"/>
  <c r="AF126" i="4"/>
  <c r="AE126" i="4"/>
  <c r="AD126" i="4"/>
  <c r="AC126" i="4"/>
  <c r="AB126" i="4"/>
  <c r="AA126" i="4"/>
  <c r="Z126" i="4"/>
  <c r="H126" i="4"/>
  <c r="G126" i="4"/>
  <c r="AO125" i="4"/>
  <c r="AN125" i="4"/>
  <c r="AM125" i="4"/>
  <c r="AL125" i="4"/>
  <c r="AK125" i="4"/>
  <c r="AJ125" i="4"/>
  <c r="AI125" i="4"/>
  <c r="AH125" i="4"/>
  <c r="AG125" i="4"/>
  <c r="AF125" i="4"/>
  <c r="AE125" i="4"/>
  <c r="AD125" i="4"/>
  <c r="AC125" i="4"/>
  <c r="AB125" i="4"/>
  <c r="AA125" i="4"/>
  <c r="Z125" i="4"/>
  <c r="H125" i="4"/>
  <c r="G125" i="4"/>
  <c r="AO124" i="4"/>
  <c r="AN124" i="4"/>
  <c r="AM124" i="4"/>
  <c r="AL124" i="4"/>
  <c r="AK124" i="4"/>
  <c r="AJ124" i="4"/>
  <c r="AI124" i="4"/>
  <c r="AH124" i="4"/>
  <c r="AG124" i="4"/>
  <c r="AF124" i="4"/>
  <c r="AE124" i="4"/>
  <c r="AD124" i="4"/>
  <c r="AC124" i="4"/>
  <c r="AB124" i="4"/>
  <c r="AA124" i="4"/>
  <c r="Z124" i="4"/>
  <c r="H124" i="4"/>
  <c r="G124" i="4"/>
  <c r="AO123" i="4"/>
  <c r="AN123" i="4"/>
  <c r="AM123" i="4"/>
  <c r="AL123" i="4"/>
  <c r="AK123" i="4"/>
  <c r="AJ123" i="4"/>
  <c r="AI123" i="4"/>
  <c r="AH123" i="4"/>
  <c r="AG123" i="4"/>
  <c r="AF123" i="4"/>
  <c r="AE123" i="4"/>
  <c r="AD123" i="4"/>
  <c r="AC123" i="4"/>
  <c r="AB123" i="4"/>
  <c r="AA123" i="4"/>
  <c r="Z123" i="4"/>
  <c r="H123" i="4"/>
  <c r="G123" i="4"/>
  <c r="AO122" i="4"/>
  <c r="AN122" i="4"/>
  <c r="AM122" i="4"/>
  <c r="AL122" i="4"/>
  <c r="AK122" i="4"/>
  <c r="AJ122" i="4"/>
  <c r="AI122" i="4"/>
  <c r="AH122" i="4"/>
  <c r="AG122" i="4"/>
  <c r="AF122" i="4"/>
  <c r="AE122" i="4"/>
  <c r="AD122" i="4"/>
  <c r="AC122" i="4"/>
  <c r="AB122" i="4"/>
  <c r="AA122" i="4"/>
  <c r="Z122" i="4"/>
  <c r="H122" i="4"/>
  <c r="G122" i="4"/>
  <c r="AO121" i="4"/>
  <c r="AN121" i="4"/>
  <c r="AM121" i="4"/>
  <c r="AL121" i="4"/>
  <c r="AK121" i="4"/>
  <c r="AJ121" i="4"/>
  <c r="AI121" i="4"/>
  <c r="AH121" i="4"/>
  <c r="AG121" i="4"/>
  <c r="AF121" i="4"/>
  <c r="AE121" i="4"/>
  <c r="AD121" i="4"/>
  <c r="AC121" i="4"/>
  <c r="AB121" i="4"/>
  <c r="AA121" i="4"/>
  <c r="Z121" i="4"/>
  <c r="H121" i="4"/>
  <c r="G121" i="4"/>
  <c r="AO120" i="4"/>
  <c r="AN120" i="4"/>
  <c r="AM120" i="4"/>
  <c r="AL120" i="4"/>
  <c r="AK120" i="4"/>
  <c r="AJ120" i="4"/>
  <c r="AI120" i="4"/>
  <c r="AH120" i="4"/>
  <c r="AG120" i="4"/>
  <c r="AF120" i="4"/>
  <c r="AE120" i="4"/>
  <c r="AD120" i="4"/>
  <c r="AC120" i="4"/>
  <c r="AB120" i="4"/>
  <c r="AA120" i="4"/>
  <c r="Z120" i="4"/>
  <c r="H120" i="4"/>
  <c r="G120" i="4"/>
  <c r="AO119" i="4"/>
  <c r="AN119" i="4"/>
  <c r="AM119" i="4"/>
  <c r="AL119" i="4"/>
  <c r="AK119" i="4"/>
  <c r="AJ119" i="4"/>
  <c r="AI119" i="4"/>
  <c r="AH119" i="4"/>
  <c r="AG119" i="4"/>
  <c r="AF119" i="4"/>
  <c r="AE119" i="4"/>
  <c r="AD119" i="4"/>
  <c r="AC119" i="4"/>
  <c r="AB119" i="4"/>
  <c r="AA119" i="4"/>
  <c r="Z119" i="4"/>
  <c r="H119" i="4"/>
  <c r="G119" i="4"/>
  <c r="AO118" i="4"/>
  <c r="AN118" i="4"/>
  <c r="AM118" i="4"/>
  <c r="AL118" i="4"/>
  <c r="AK118" i="4"/>
  <c r="AJ118" i="4"/>
  <c r="AI118" i="4"/>
  <c r="AH118" i="4"/>
  <c r="AG118" i="4"/>
  <c r="AF118" i="4"/>
  <c r="AE118" i="4"/>
  <c r="AD118" i="4"/>
  <c r="AC118" i="4"/>
  <c r="AB118" i="4"/>
  <c r="AA118" i="4"/>
  <c r="Z118" i="4"/>
  <c r="H118" i="4"/>
  <c r="G118" i="4"/>
  <c r="AO117" i="4"/>
  <c r="AN117" i="4"/>
  <c r="AM117" i="4"/>
  <c r="AL117" i="4"/>
  <c r="AK117" i="4"/>
  <c r="AJ117" i="4"/>
  <c r="AI117" i="4"/>
  <c r="AH117" i="4"/>
  <c r="AG117" i="4"/>
  <c r="AF117" i="4"/>
  <c r="AE117" i="4"/>
  <c r="AD117" i="4"/>
  <c r="AC117" i="4"/>
  <c r="AB117" i="4"/>
  <c r="AA117" i="4"/>
  <c r="Z117" i="4"/>
  <c r="H117" i="4"/>
  <c r="G117" i="4"/>
  <c r="AO116" i="4"/>
  <c r="AN116" i="4"/>
  <c r="AM116" i="4"/>
  <c r="AL116" i="4"/>
  <c r="AK116" i="4"/>
  <c r="AJ116" i="4"/>
  <c r="AI116" i="4"/>
  <c r="AH116" i="4"/>
  <c r="AG116" i="4"/>
  <c r="AF116" i="4"/>
  <c r="AE116" i="4"/>
  <c r="AD116" i="4"/>
  <c r="AC116" i="4"/>
  <c r="AB116" i="4"/>
  <c r="AA116" i="4"/>
  <c r="Z116" i="4"/>
  <c r="H116" i="4"/>
  <c r="G116" i="4"/>
  <c r="AO115" i="4"/>
  <c r="AN115" i="4"/>
  <c r="AM115" i="4"/>
  <c r="AL115" i="4"/>
  <c r="AK115" i="4"/>
  <c r="AJ115" i="4"/>
  <c r="AI115" i="4"/>
  <c r="AH115" i="4"/>
  <c r="AG115" i="4"/>
  <c r="AF115" i="4"/>
  <c r="AE115" i="4"/>
  <c r="AD115" i="4"/>
  <c r="AC115" i="4"/>
  <c r="AB115" i="4"/>
  <c r="AA115" i="4"/>
  <c r="Z115" i="4"/>
  <c r="H115" i="4"/>
  <c r="G115" i="4"/>
  <c r="AO114" i="4"/>
  <c r="AN114" i="4"/>
  <c r="AM114" i="4"/>
  <c r="AL114" i="4"/>
  <c r="AK114" i="4"/>
  <c r="AJ114" i="4"/>
  <c r="AI114" i="4"/>
  <c r="AH114" i="4"/>
  <c r="AG114" i="4"/>
  <c r="AF114" i="4"/>
  <c r="AE114" i="4"/>
  <c r="AD114" i="4"/>
  <c r="AC114" i="4"/>
  <c r="AB114" i="4"/>
  <c r="AA114" i="4"/>
  <c r="Z114" i="4"/>
  <c r="H114" i="4"/>
  <c r="G114" i="4"/>
  <c r="AO113" i="4"/>
  <c r="AN113" i="4"/>
  <c r="AM113" i="4"/>
  <c r="AL113" i="4"/>
  <c r="AK113" i="4"/>
  <c r="AJ113" i="4"/>
  <c r="AI113" i="4"/>
  <c r="AH113" i="4"/>
  <c r="AG113" i="4"/>
  <c r="AF113" i="4"/>
  <c r="AE113" i="4"/>
  <c r="AD113" i="4"/>
  <c r="AC113" i="4"/>
  <c r="AB113" i="4"/>
  <c r="AA113" i="4"/>
  <c r="Z113" i="4"/>
  <c r="H113" i="4"/>
  <c r="G113" i="4"/>
  <c r="AO112" i="4"/>
  <c r="AN112" i="4"/>
  <c r="AM112" i="4"/>
  <c r="AL112" i="4"/>
  <c r="AK112" i="4"/>
  <c r="AJ112" i="4"/>
  <c r="AI112" i="4"/>
  <c r="AH112" i="4"/>
  <c r="AG112" i="4"/>
  <c r="AF112" i="4"/>
  <c r="AE112" i="4"/>
  <c r="AD112" i="4"/>
  <c r="AC112" i="4"/>
  <c r="AB112" i="4"/>
  <c r="AA112" i="4"/>
  <c r="Z112" i="4"/>
  <c r="H112" i="4"/>
  <c r="G112" i="4"/>
  <c r="AO111" i="4"/>
  <c r="AN111" i="4"/>
  <c r="AM111" i="4"/>
  <c r="AL111" i="4"/>
  <c r="AK111" i="4"/>
  <c r="AJ111" i="4"/>
  <c r="AI111" i="4"/>
  <c r="AH111" i="4"/>
  <c r="AG111" i="4"/>
  <c r="AF111" i="4"/>
  <c r="AE111" i="4"/>
  <c r="AD111" i="4"/>
  <c r="AC111" i="4"/>
  <c r="AB111" i="4"/>
  <c r="AA111" i="4"/>
  <c r="Z111" i="4"/>
  <c r="H111" i="4"/>
  <c r="G111" i="4"/>
  <c r="AO110" i="4"/>
  <c r="AN110" i="4"/>
  <c r="AM110" i="4"/>
  <c r="AL110" i="4"/>
  <c r="AK110" i="4"/>
  <c r="AJ110" i="4"/>
  <c r="AI110" i="4"/>
  <c r="AH110" i="4"/>
  <c r="AG110" i="4"/>
  <c r="AF110" i="4"/>
  <c r="AE110" i="4"/>
  <c r="AD110" i="4"/>
  <c r="AC110" i="4"/>
  <c r="AB110" i="4"/>
  <c r="AA110" i="4"/>
  <c r="Z110" i="4"/>
  <c r="H110" i="4"/>
  <c r="G110" i="4"/>
  <c r="AO109" i="4"/>
  <c r="AN109" i="4"/>
  <c r="AM109" i="4"/>
  <c r="AL109" i="4"/>
  <c r="AK109" i="4"/>
  <c r="AJ109" i="4"/>
  <c r="AI109" i="4"/>
  <c r="AH109" i="4"/>
  <c r="AG109" i="4"/>
  <c r="AF109" i="4"/>
  <c r="AE109" i="4"/>
  <c r="AD109" i="4"/>
  <c r="AC109" i="4"/>
  <c r="AB109" i="4"/>
  <c r="AA109" i="4"/>
  <c r="Z109" i="4"/>
  <c r="H109" i="4"/>
  <c r="G109" i="4"/>
  <c r="AO108" i="4"/>
  <c r="AN108" i="4"/>
  <c r="AM108" i="4"/>
  <c r="AL108" i="4"/>
  <c r="AK108" i="4"/>
  <c r="AJ108" i="4"/>
  <c r="AI108" i="4"/>
  <c r="AH108" i="4"/>
  <c r="AG108" i="4"/>
  <c r="AF108" i="4"/>
  <c r="AE108" i="4"/>
  <c r="AD108" i="4"/>
  <c r="AC108" i="4"/>
  <c r="AB108" i="4"/>
  <c r="AA108" i="4"/>
  <c r="Z108" i="4"/>
  <c r="H108" i="4"/>
  <c r="G108" i="4"/>
  <c r="AO107" i="4"/>
  <c r="AN107" i="4"/>
  <c r="AM107" i="4"/>
  <c r="AL107" i="4"/>
  <c r="AK107" i="4"/>
  <c r="AJ107" i="4"/>
  <c r="AI107" i="4"/>
  <c r="AH107" i="4"/>
  <c r="AG107" i="4"/>
  <c r="AF107" i="4"/>
  <c r="AE107" i="4"/>
  <c r="AD107" i="4"/>
  <c r="AC107" i="4"/>
  <c r="AB107" i="4"/>
  <c r="AA107" i="4"/>
  <c r="Z107" i="4"/>
  <c r="H107" i="4"/>
  <c r="G107" i="4"/>
  <c r="AO106" i="4"/>
  <c r="AN106" i="4"/>
  <c r="AM106" i="4"/>
  <c r="AL106" i="4"/>
  <c r="AK106" i="4"/>
  <c r="AJ106" i="4"/>
  <c r="AI106" i="4"/>
  <c r="AH106" i="4"/>
  <c r="AG106" i="4"/>
  <c r="AF106" i="4"/>
  <c r="AE106" i="4"/>
  <c r="AD106" i="4"/>
  <c r="AC106" i="4"/>
  <c r="AB106" i="4"/>
  <c r="AA106" i="4"/>
  <c r="Z106" i="4"/>
  <c r="H106" i="4"/>
  <c r="G106" i="4"/>
  <c r="AO105" i="4"/>
  <c r="AN105" i="4"/>
  <c r="AM105" i="4"/>
  <c r="AL105" i="4"/>
  <c r="AK105" i="4"/>
  <c r="AJ105" i="4"/>
  <c r="AI105" i="4"/>
  <c r="AH105" i="4"/>
  <c r="AG105" i="4"/>
  <c r="AF105" i="4"/>
  <c r="AE105" i="4"/>
  <c r="AD105" i="4"/>
  <c r="AC105" i="4"/>
  <c r="AB105" i="4"/>
  <c r="AA105" i="4"/>
  <c r="Z105" i="4"/>
  <c r="H105" i="4"/>
  <c r="G105" i="4"/>
  <c r="AO104" i="4"/>
  <c r="AN104" i="4"/>
  <c r="AM104" i="4"/>
  <c r="AL104" i="4"/>
  <c r="AK104" i="4"/>
  <c r="AJ104" i="4"/>
  <c r="AI104" i="4"/>
  <c r="AH104" i="4"/>
  <c r="AG104" i="4"/>
  <c r="AF104" i="4"/>
  <c r="AE104" i="4"/>
  <c r="AD104" i="4"/>
  <c r="AC104" i="4"/>
  <c r="AB104" i="4"/>
  <c r="AA104" i="4"/>
  <c r="Z104" i="4"/>
  <c r="H104" i="4"/>
  <c r="G104" i="4"/>
  <c r="AO103" i="4"/>
  <c r="AN103" i="4"/>
  <c r="AM103" i="4"/>
  <c r="AL103" i="4"/>
  <c r="AK103" i="4"/>
  <c r="AJ103" i="4"/>
  <c r="AI103" i="4"/>
  <c r="AH103" i="4"/>
  <c r="AG103" i="4"/>
  <c r="AF103" i="4"/>
  <c r="AE103" i="4"/>
  <c r="AD103" i="4"/>
  <c r="AC103" i="4"/>
  <c r="AB103" i="4"/>
  <c r="AA103" i="4"/>
  <c r="Z103" i="4"/>
  <c r="H103" i="4"/>
  <c r="G103" i="4"/>
  <c r="AO102" i="4"/>
  <c r="AN102" i="4"/>
  <c r="AM102" i="4"/>
  <c r="AL102" i="4"/>
  <c r="AK102" i="4"/>
  <c r="AJ102" i="4"/>
  <c r="AI102" i="4"/>
  <c r="AH102" i="4"/>
  <c r="AG102" i="4"/>
  <c r="AF102" i="4"/>
  <c r="AE102" i="4"/>
  <c r="AD102" i="4"/>
  <c r="AC102" i="4"/>
  <c r="AB102" i="4"/>
  <c r="AA102" i="4"/>
  <c r="Z102" i="4"/>
  <c r="H102" i="4"/>
  <c r="G102" i="4"/>
  <c r="AO101" i="4"/>
  <c r="AN101" i="4"/>
  <c r="AM101" i="4"/>
  <c r="AL101" i="4"/>
  <c r="AK101" i="4"/>
  <c r="AJ101" i="4"/>
  <c r="AI101" i="4"/>
  <c r="AH101" i="4"/>
  <c r="AG101" i="4"/>
  <c r="AF101" i="4"/>
  <c r="AE101" i="4"/>
  <c r="AD101" i="4"/>
  <c r="AC101" i="4"/>
  <c r="AB101" i="4"/>
  <c r="AA101" i="4"/>
  <c r="Z101" i="4"/>
  <c r="H101" i="4"/>
  <c r="G101" i="4"/>
  <c r="AO100" i="4"/>
  <c r="AN100" i="4"/>
  <c r="AM100" i="4"/>
  <c r="AL100" i="4"/>
  <c r="AK100" i="4"/>
  <c r="AJ100" i="4"/>
  <c r="AI100" i="4"/>
  <c r="AH100" i="4"/>
  <c r="AG100" i="4"/>
  <c r="AF100" i="4"/>
  <c r="AE100" i="4"/>
  <c r="AD100" i="4"/>
  <c r="AC100" i="4"/>
  <c r="AB100" i="4"/>
  <c r="AA100" i="4"/>
  <c r="Z100" i="4"/>
  <c r="H100" i="4"/>
  <c r="G100" i="4"/>
  <c r="AO99" i="4"/>
  <c r="AN99" i="4"/>
  <c r="AM99" i="4"/>
  <c r="AL99" i="4"/>
  <c r="AK99" i="4"/>
  <c r="AJ99" i="4"/>
  <c r="AI99" i="4"/>
  <c r="AH99" i="4"/>
  <c r="AG99" i="4"/>
  <c r="AF99" i="4"/>
  <c r="AE99" i="4"/>
  <c r="AD99" i="4"/>
  <c r="AC99" i="4"/>
  <c r="AB99" i="4"/>
  <c r="AA99" i="4"/>
  <c r="Z99" i="4"/>
  <c r="H99" i="4"/>
  <c r="G99" i="4"/>
  <c r="AO98" i="4"/>
  <c r="AN98" i="4"/>
  <c r="AM98" i="4"/>
  <c r="AL98" i="4"/>
  <c r="AK98" i="4"/>
  <c r="AJ98" i="4"/>
  <c r="AI98" i="4"/>
  <c r="AH98" i="4"/>
  <c r="AG98" i="4"/>
  <c r="AF98" i="4"/>
  <c r="AE98" i="4"/>
  <c r="AD98" i="4"/>
  <c r="AC98" i="4"/>
  <c r="AB98" i="4"/>
  <c r="AA98" i="4"/>
  <c r="Z98" i="4"/>
  <c r="H98" i="4"/>
  <c r="G98" i="4"/>
  <c r="AO97" i="4"/>
  <c r="AN97" i="4"/>
  <c r="AM97" i="4"/>
  <c r="AL97" i="4"/>
  <c r="AK97" i="4"/>
  <c r="AJ97" i="4"/>
  <c r="AI97" i="4"/>
  <c r="AH97" i="4"/>
  <c r="AG97" i="4"/>
  <c r="AF97" i="4"/>
  <c r="AE97" i="4"/>
  <c r="AD97" i="4"/>
  <c r="AC97" i="4"/>
  <c r="AB97" i="4"/>
  <c r="AA97" i="4"/>
  <c r="Z97" i="4"/>
  <c r="H97" i="4"/>
  <c r="G97" i="4"/>
  <c r="AO96" i="4"/>
  <c r="AN96" i="4"/>
  <c r="AM96" i="4"/>
  <c r="AL96" i="4"/>
  <c r="AK96" i="4"/>
  <c r="AJ96" i="4"/>
  <c r="AI96" i="4"/>
  <c r="AH96" i="4"/>
  <c r="AG96" i="4"/>
  <c r="AF96" i="4"/>
  <c r="AE96" i="4"/>
  <c r="AD96" i="4"/>
  <c r="AC96" i="4"/>
  <c r="AB96" i="4"/>
  <c r="AA96" i="4"/>
  <c r="Z96" i="4"/>
  <c r="H96" i="4"/>
  <c r="G96" i="4"/>
  <c r="AO95" i="4"/>
  <c r="AN95" i="4"/>
  <c r="AM95" i="4"/>
  <c r="AL95" i="4"/>
  <c r="AK95" i="4"/>
  <c r="AJ95" i="4"/>
  <c r="AI95" i="4"/>
  <c r="AH95" i="4"/>
  <c r="AG95" i="4"/>
  <c r="AF95" i="4"/>
  <c r="AE95" i="4"/>
  <c r="AD95" i="4"/>
  <c r="AC95" i="4"/>
  <c r="AB95" i="4"/>
  <c r="AA95" i="4"/>
  <c r="Z95" i="4"/>
  <c r="H95" i="4"/>
  <c r="G95" i="4"/>
  <c r="AO94" i="4"/>
  <c r="AN94" i="4"/>
  <c r="AM94" i="4"/>
  <c r="AL94" i="4"/>
  <c r="AK94" i="4"/>
  <c r="AJ94" i="4"/>
  <c r="AI94" i="4"/>
  <c r="AH94" i="4"/>
  <c r="AG94" i="4"/>
  <c r="AF94" i="4"/>
  <c r="AE94" i="4"/>
  <c r="AD94" i="4"/>
  <c r="AC94" i="4"/>
  <c r="AB94" i="4"/>
  <c r="AA94" i="4"/>
  <c r="Z94" i="4"/>
  <c r="H94" i="4"/>
  <c r="G94" i="4"/>
  <c r="AO93" i="4"/>
  <c r="AN93" i="4"/>
  <c r="AM93" i="4"/>
  <c r="AL93" i="4"/>
  <c r="AK93" i="4"/>
  <c r="AJ93" i="4"/>
  <c r="AI93" i="4"/>
  <c r="AH93" i="4"/>
  <c r="AG93" i="4"/>
  <c r="AF93" i="4"/>
  <c r="AE93" i="4"/>
  <c r="AD93" i="4"/>
  <c r="AC93" i="4"/>
  <c r="AB93" i="4"/>
  <c r="AA93" i="4"/>
  <c r="Z93" i="4"/>
  <c r="H93" i="4"/>
  <c r="G93" i="4"/>
  <c r="AO92" i="4"/>
  <c r="AN92" i="4"/>
  <c r="AM92" i="4"/>
  <c r="AL92" i="4"/>
  <c r="AK92" i="4"/>
  <c r="AJ92" i="4"/>
  <c r="AI92" i="4"/>
  <c r="AH92" i="4"/>
  <c r="AG92" i="4"/>
  <c r="AF92" i="4"/>
  <c r="AE92" i="4"/>
  <c r="AD92" i="4"/>
  <c r="AC92" i="4"/>
  <c r="AB92" i="4"/>
  <c r="AA92" i="4"/>
  <c r="Z92" i="4"/>
  <c r="H92" i="4"/>
  <c r="G92" i="4"/>
  <c r="AO91" i="4"/>
  <c r="AN91" i="4"/>
  <c r="AM91" i="4"/>
  <c r="AL91" i="4"/>
  <c r="AK91" i="4"/>
  <c r="AJ91" i="4"/>
  <c r="AI91" i="4"/>
  <c r="AH91" i="4"/>
  <c r="AG91" i="4"/>
  <c r="AF91" i="4"/>
  <c r="AE91" i="4"/>
  <c r="AD91" i="4"/>
  <c r="AC91" i="4"/>
  <c r="AB91" i="4"/>
  <c r="AA91" i="4"/>
  <c r="Z91" i="4"/>
  <c r="H91" i="4"/>
  <c r="G91" i="4"/>
  <c r="AO90" i="4"/>
  <c r="AN90" i="4"/>
  <c r="AM90" i="4"/>
  <c r="AL90" i="4"/>
  <c r="AK90" i="4"/>
  <c r="AJ90" i="4"/>
  <c r="AI90" i="4"/>
  <c r="AH90" i="4"/>
  <c r="AG90" i="4"/>
  <c r="AF90" i="4"/>
  <c r="AE90" i="4"/>
  <c r="AD90" i="4"/>
  <c r="AC90" i="4"/>
  <c r="AB90" i="4"/>
  <c r="AA90" i="4"/>
  <c r="Z90" i="4"/>
  <c r="H90" i="4"/>
  <c r="G90" i="4"/>
  <c r="AO89" i="4"/>
  <c r="AN89" i="4"/>
  <c r="AM89" i="4"/>
  <c r="AL89" i="4"/>
  <c r="AK89" i="4"/>
  <c r="AJ89" i="4"/>
  <c r="AI89" i="4"/>
  <c r="AH89" i="4"/>
  <c r="AG89" i="4"/>
  <c r="AF89" i="4"/>
  <c r="AE89" i="4"/>
  <c r="AD89" i="4"/>
  <c r="AC89" i="4"/>
  <c r="AB89" i="4"/>
  <c r="AA89" i="4"/>
  <c r="Z89" i="4"/>
  <c r="H89" i="4"/>
  <c r="G89" i="4"/>
  <c r="AO88" i="4"/>
  <c r="AN88" i="4"/>
  <c r="AM88" i="4"/>
  <c r="AL88" i="4"/>
  <c r="AK88" i="4"/>
  <c r="AJ88" i="4"/>
  <c r="AI88" i="4"/>
  <c r="AH88" i="4"/>
  <c r="AG88" i="4"/>
  <c r="AF88" i="4"/>
  <c r="AE88" i="4"/>
  <c r="AD88" i="4"/>
  <c r="AC88" i="4"/>
  <c r="AB88" i="4"/>
  <c r="AA88" i="4"/>
  <c r="Z88" i="4"/>
  <c r="H88" i="4"/>
  <c r="G88" i="4"/>
  <c r="AO87" i="4"/>
  <c r="AN87" i="4"/>
  <c r="AM87" i="4"/>
  <c r="AL87" i="4"/>
  <c r="AK87" i="4"/>
  <c r="AJ87" i="4"/>
  <c r="AI87" i="4"/>
  <c r="AH87" i="4"/>
  <c r="AG87" i="4"/>
  <c r="AF87" i="4"/>
  <c r="AE87" i="4"/>
  <c r="AD87" i="4"/>
  <c r="AC87" i="4"/>
  <c r="AB87" i="4"/>
  <c r="AA87" i="4"/>
  <c r="Z87" i="4"/>
  <c r="H87" i="4"/>
  <c r="G87" i="4"/>
  <c r="AO86" i="4"/>
  <c r="AN86" i="4"/>
  <c r="AM86" i="4"/>
  <c r="AL86" i="4"/>
  <c r="AK86" i="4"/>
  <c r="AJ86" i="4"/>
  <c r="AI86" i="4"/>
  <c r="AH86" i="4"/>
  <c r="AG86" i="4"/>
  <c r="AF86" i="4"/>
  <c r="AE86" i="4"/>
  <c r="AD86" i="4"/>
  <c r="AC86" i="4"/>
  <c r="AB86" i="4"/>
  <c r="AA86" i="4"/>
  <c r="Z86" i="4"/>
  <c r="H86" i="4"/>
  <c r="G86" i="4"/>
  <c r="AO85" i="4"/>
  <c r="AN85" i="4"/>
  <c r="AM85" i="4"/>
  <c r="AL85" i="4"/>
  <c r="AK85" i="4"/>
  <c r="AJ85" i="4"/>
  <c r="AI85" i="4"/>
  <c r="AH85" i="4"/>
  <c r="AG85" i="4"/>
  <c r="AF85" i="4"/>
  <c r="AE85" i="4"/>
  <c r="AD85" i="4"/>
  <c r="AC85" i="4"/>
  <c r="AB85" i="4"/>
  <c r="AA85" i="4"/>
  <c r="Z85" i="4"/>
  <c r="H85" i="4"/>
  <c r="G85" i="4"/>
  <c r="AO84" i="4"/>
  <c r="AN84" i="4"/>
  <c r="AM84" i="4"/>
  <c r="AL84" i="4"/>
  <c r="AK84" i="4"/>
  <c r="AJ84" i="4"/>
  <c r="AI84" i="4"/>
  <c r="AH84" i="4"/>
  <c r="AG84" i="4"/>
  <c r="AF84" i="4"/>
  <c r="AE84" i="4"/>
  <c r="AD84" i="4"/>
  <c r="AC84" i="4"/>
  <c r="AB84" i="4"/>
  <c r="AA84" i="4"/>
  <c r="Z84" i="4"/>
  <c r="H84" i="4"/>
  <c r="G84" i="4"/>
  <c r="AO83" i="4"/>
  <c r="AN83" i="4"/>
  <c r="AM83" i="4"/>
  <c r="AL83" i="4"/>
  <c r="AK83" i="4"/>
  <c r="AJ83" i="4"/>
  <c r="AI83" i="4"/>
  <c r="AH83" i="4"/>
  <c r="AG83" i="4"/>
  <c r="AF83" i="4"/>
  <c r="AE83" i="4"/>
  <c r="AD83" i="4"/>
  <c r="AC83" i="4"/>
  <c r="AB83" i="4"/>
  <c r="AA83" i="4"/>
  <c r="Z83" i="4"/>
  <c r="H83" i="4"/>
  <c r="G83" i="4"/>
  <c r="AO82" i="4"/>
  <c r="AN82" i="4"/>
  <c r="AM82" i="4"/>
  <c r="AL82" i="4"/>
  <c r="AK82" i="4"/>
  <c r="AJ82" i="4"/>
  <c r="AI82" i="4"/>
  <c r="AH82" i="4"/>
  <c r="AG82" i="4"/>
  <c r="AF82" i="4"/>
  <c r="AE82" i="4"/>
  <c r="AD82" i="4"/>
  <c r="AC82" i="4"/>
  <c r="AB82" i="4"/>
  <c r="AA82" i="4"/>
  <c r="Z82" i="4"/>
  <c r="H82" i="4"/>
  <c r="G82" i="4"/>
  <c r="AO81" i="4"/>
  <c r="AN81" i="4"/>
  <c r="AM81" i="4"/>
  <c r="AL81" i="4"/>
  <c r="AK81" i="4"/>
  <c r="AJ81" i="4"/>
  <c r="AI81" i="4"/>
  <c r="AH81" i="4"/>
  <c r="AG81" i="4"/>
  <c r="AF81" i="4"/>
  <c r="AE81" i="4"/>
  <c r="AD81" i="4"/>
  <c r="AC81" i="4"/>
  <c r="AB81" i="4"/>
  <c r="AA81" i="4"/>
  <c r="Z81" i="4"/>
  <c r="H81" i="4"/>
  <c r="G81" i="4"/>
  <c r="AO80" i="4"/>
  <c r="AN80" i="4"/>
  <c r="AM80" i="4"/>
  <c r="AL80" i="4"/>
  <c r="AK80" i="4"/>
  <c r="AJ80" i="4"/>
  <c r="AI80" i="4"/>
  <c r="AH80" i="4"/>
  <c r="AG80" i="4"/>
  <c r="AF80" i="4"/>
  <c r="AE80" i="4"/>
  <c r="AD80" i="4"/>
  <c r="AC80" i="4"/>
  <c r="AB80" i="4"/>
  <c r="AA80" i="4"/>
  <c r="Z80" i="4"/>
  <c r="H80" i="4"/>
  <c r="G80" i="4"/>
  <c r="AO79" i="4"/>
  <c r="AN79" i="4"/>
  <c r="AM79" i="4"/>
  <c r="AL79" i="4"/>
  <c r="AK79" i="4"/>
  <c r="AJ79" i="4"/>
  <c r="AI79" i="4"/>
  <c r="AH79" i="4"/>
  <c r="AG79" i="4"/>
  <c r="AF79" i="4"/>
  <c r="AE79" i="4"/>
  <c r="AD79" i="4"/>
  <c r="AC79" i="4"/>
  <c r="AB79" i="4"/>
  <c r="AA79" i="4"/>
  <c r="Z79" i="4"/>
  <c r="H79" i="4"/>
  <c r="G79" i="4"/>
  <c r="AO78" i="4"/>
  <c r="AN78" i="4"/>
  <c r="AM78" i="4"/>
  <c r="AL78" i="4"/>
  <c r="AK78" i="4"/>
  <c r="AJ78" i="4"/>
  <c r="AI78" i="4"/>
  <c r="AH78" i="4"/>
  <c r="AG78" i="4"/>
  <c r="AF78" i="4"/>
  <c r="AE78" i="4"/>
  <c r="AD78" i="4"/>
  <c r="AC78" i="4"/>
  <c r="AB78" i="4"/>
  <c r="AA78" i="4"/>
  <c r="Z78" i="4"/>
  <c r="H78" i="4"/>
  <c r="G78" i="4"/>
  <c r="AO77" i="4"/>
  <c r="AN77" i="4"/>
  <c r="AM77" i="4"/>
  <c r="AL77" i="4"/>
  <c r="AK77" i="4"/>
  <c r="AJ77" i="4"/>
  <c r="AI77" i="4"/>
  <c r="AH77" i="4"/>
  <c r="AG77" i="4"/>
  <c r="AF77" i="4"/>
  <c r="AE77" i="4"/>
  <c r="AD77" i="4"/>
  <c r="AC77" i="4"/>
  <c r="AB77" i="4"/>
  <c r="AA77" i="4"/>
  <c r="Z77" i="4"/>
  <c r="H77" i="4"/>
  <c r="G77" i="4"/>
  <c r="AO76" i="4"/>
  <c r="AN76" i="4"/>
  <c r="AM76" i="4"/>
  <c r="AL76" i="4"/>
  <c r="AK76" i="4"/>
  <c r="AJ76" i="4"/>
  <c r="AI76" i="4"/>
  <c r="AH76" i="4"/>
  <c r="AG76" i="4"/>
  <c r="AF76" i="4"/>
  <c r="AE76" i="4"/>
  <c r="AD76" i="4"/>
  <c r="AC76" i="4"/>
  <c r="AB76" i="4"/>
  <c r="AA76" i="4"/>
  <c r="Z76" i="4"/>
  <c r="H76" i="4"/>
  <c r="G76" i="4"/>
  <c r="AO75" i="4"/>
  <c r="AN75" i="4"/>
  <c r="AM75" i="4"/>
  <c r="AL75" i="4"/>
  <c r="AK75" i="4"/>
  <c r="AJ75" i="4"/>
  <c r="AI75" i="4"/>
  <c r="AH75" i="4"/>
  <c r="AG75" i="4"/>
  <c r="AF75" i="4"/>
  <c r="AE75" i="4"/>
  <c r="AD75" i="4"/>
  <c r="AC75" i="4"/>
  <c r="AB75" i="4"/>
  <c r="AA75" i="4"/>
  <c r="Z75" i="4"/>
  <c r="H75" i="4"/>
  <c r="G75" i="4"/>
  <c r="AO74" i="4"/>
  <c r="AN74" i="4"/>
  <c r="AM74" i="4"/>
  <c r="AL74" i="4"/>
  <c r="AK74" i="4"/>
  <c r="AJ74" i="4"/>
  <c r="AI74" i="4"/>
  <c r="AH74" i="4"/>
  <c r="AG74" i="4"/>
  <c r="AF74" i="4"/>
  <c r="AE74" i="4"/>
  <c r="AD74" i="4"/>
  <c r="AC74" i="4"/>
  <c r="AB74" i="4"/>
  <c r="AA74" i="4"/>
  <c r="Z74" i="4"/>
  <c r="H74" i="4"/>
  <c r="G74" i="4"/>
  <c r="AO73" i="4"/>
  <c r="AN73" i="4"/>
  <c r="AM73" i="4"/>
  <c r="AL73" i="4"/>
  <c r="AK73" i="4"/>
  <c r="AJ73" i="4"/>
  <c r="AI73" i="4"/>
  <c r="AH73" i="4"/>
  <c r="AG73" i="4"/>
  <c r="AF73" i="4"/>
  <c r="AE73" i="4"/>
  <c r="AD73" i="4"/>
  <c r="AC73" i="4"/>
  <c r="AB73" i="4"/>
  <c r="AA73" i="4"/>
  <c r="Z73" i="4"/>
  <c r="H73" i="4"/>
  <c r="G73" i="4"/>
  <c r="AO72" i="4"/>
  <c r="AN72" i="4"/>
  <c r="AM72" i="4"/>
  <c r="AL72" i="4"/>
  <c r="AK72" i="4"/>
  <c r="AJ72" i="4"/>
  <c r="AI72" i="4"/>
  <c r="AH72" i="4"/>
  <c r="AG72" i="4"/>
  <c r="AF72" i="4"/>
  <c r="AE72" i="4"/>
  <c r="AD72" i="4"/>
  <c r="AC72" i="4"/>
  <c r="AB72" i="4"/>
  <c r="AA72" i="4"/>
  <c r="Z72" i="4"/>
  <c r="H72" i="4"/>
  <c r="G72" i="4"/>
  <c r="AO71" i="4"/>
  <c r="AN71" i="4"/>
  <c r="AM71" i="4"/>
  <c r="AL71" i="4"/>
  <c r="AK71" i="4"/>
  <c r="AJ71" i="4"/>
  <c r="AI71" i="4"/>
  <c r="AH71" i="4"/>
  <c r="AG71" i="4"/>
  <c r="AF71" i="4"/>
  <c r="AE71" i="4"/>
  <c r="AD71" i="4"/>
  <c r="AC71" i="4"/>
  <c r="AB71" i="4"/>
  <c r="AA71" i="4"/>
  <c r="Z71" i="4"/>
  <c r="H71" i="4"/>
  <c r="G71" i="4"/>
  <c r="AO70" i="4"/>
  <c r="AN70" i="4"/>
  <c r="AM70" i="4"/>
  <c r="AL70" i="4"/>
  <c r="AK70" i="4"/>
  <c r="AJ70" i="4"/>
  <c r="AI70" i="4"/>
  <c r="AH70" i="4"/>
  <c r="AG70" i="4"/>
  <c r="AF70" i="4"/>
  <c r="AE70" i="4"/>
  <c r="AD70" i="4"/>
  <c r="AC70" i="4"/>
  <c r="AB70" i="4"/>
  <c r="AA70" i="4"/>
  <c r="Z70" i="4"/>
  <c r="H70" i="4"/>
  <c r="G70" i="4"/>
  <c r="AO69" i="4"/>
  <c r="AN69" i="4"/>
  <c r="AM69" i="4"/>
  <c r="AL69" i="4"/>
  <c r="AK69" i="4"/>
  <c r="AJ69" i="4"/>
  <c r="AI69" i="4"/>
  <c r="AH69" i="4"/>
  <c r="AG69" i="4"/>
  <c r="AF69" i="4"/>
  <c r="AE69" i="4"/>
  <c r="AD69" i="4"/>
  <c r="AC69" i="4"/>
  <c r="AB69" i="4"/>
  <c r="AA69" i="4"/>
  <c r="Z69" i="4"/>
  <c r="H69" i="4"/>
  <c r="G69" i="4"/>
  <c r="AO68" i="4"/>
  <c r="AN68" i="4"/>
  <c r="AM68" i="4"/>
  <c r="AL68" i="4"/>
  <c r="AK68" i="4"/>
  <c r="AJ68" i="4"/>
  <c r="AI68" i="4"/>
  <c r="AH68" i="4"/>
  <c r="AG68" i="4"/>
  <c r="AF68" i="4"/>
  <c r="AE68" i="4"/>
  <c r="AD68" i="4"/>
  <c r="AC68" i="4"/>
  <c r="AB68" i="4"/>
  <c r="AA68" i="4"/>
  <c r="Z68" i="4"/>
  <c r="H68" i="4"/>
  <c r="G68" i="4"/>
  <c r="AO67" i="4"/>
  <c r="AN67" i="4"/>
  <c r="AM67" i="4"/>
  <c r="AL67" i="4"/>
  <c r="AK67" i="4"/>
  <c r="AJ67" i="4"/>
  <c r="AI67" i="4"/>
  <c r="AH67" i="4"/>
  <c r="AG67" i="4"/>
  <c r="AF67" i="4"/>
  <c r="AE67" i="4"/>
  <c r="AD67" i="4"/>
  <c r="AC67" i="4"/>
  <c r="AB67" i="4"/>
  <c r="AA67" i="4"/>
  <c r="Z67" i="4"/>
  <c r="H67" i="4"/>
  <c r="G67" i="4"/>
  <c r="AO66" i="4"/>
  <c r="AN66" i="4"/>
  <c r="AM66" i="4"/>
  <c r="AL66" i="4"/>
  <c r="AK66" i="4"/>
  <c r="AJ66" i="4"/>
  <c r="AI66" i="4"/>
  <c r="AH66" i="4"/>
  <c r="AG66" i="4"/>
  <c r="AF66" i="4"/>
  <c r="AE66" i="4"/>
  <c r="AD66" i="4"/>
  <c r="AC66" i="4"/>
  <c r="AB66" i="4"/>
  <c r="AA66" i="4"/>
  <c r="Z66" i="4"/>
  <c r="H66" i="4"/>
  <c r="G66" i="4"/>
  <c r="AO65" i="4"/>
  <c r="AN65" i="4"/>
  <c r="AM65" i="4"/>
  <c r="AL65" i="4"/>
  <c r="AK65" i="4"/>
  <c r="AJ65" i="4"/>
  <c r="AI65" i="4"/>
  <c r="AH65" i="4"/>
  <c r="AG65" i="4"/>
  <c r="AF65" i="4"/>
  <c r="AE65" i="4"/>
  <c r="AD65" i="4"/>
  <c r="AC65" i="4"/>
  <c r="AB65" i="4"/>
  <c r="AA65" i="4"/>
  <c r="Z65" i="4"/>
  <c r="C65" i="4"/>
  <c r="B65" i="4"/>
  <c r="AO64" i="4"/>
  <c r="AN64" i="4"/>
  <c r="AK64" i="4"/>
  <c r="AL64" i="4" s="1"/>
  <c r="AJ64" i="4"/>
  <c r="AI64" i="4"/>
  <c r="AH64" i="4"/>
  <c r="AG64" i="4"/>
  <c r="AF64" i="4"/>
  <c r="AE64" i="4"/>
  <c r="AD64" i="4"/>
  <c r="AC64" i="4"/>
  <c r="AB64" i="4"/>
  <c r="AA64" i="4"/>
  <c r="Z64" i="4"/>
  <c r="AO63" i="4"/>
  <c r="AN63" i="4"/>
  <c r="AK63" i="4"/>
  <c r="AL63" i="4" s="1"/>
  <c r="AJ63" i="4"/>
  <c r="AI63" i="4"/>
  <c r="AH63" i="4"/>
  <c r="AG63" i="4"/>
  <c r="AF63" i="4"/>
  <c r="AE63" i="4"/>
  <c r="AD63" i="4"/>
  <c r="AC63" i="4"/>
  <c r="AB63" i="4"/>
  <c r="AA63" i="4"/>
  <c r="AO62" i="4"/>
  <c r="AN62" i="4"/>
  <c r="AK62" i="4"/>
  <c r="AL62" i="4" s="1"/>
  <c r="AJ62" i="4"/>
  <c r="AI62" i="4"/>
  <c r="AH62" i="4"/>
  <c r="AG62" i="4"/>
  <c r="AF62" i="4"/>
  <c r="AE62" i="4"/>
  <c r="AD62" i="4"/>
  <c r="AC62" i="4"/>
  <c r="AB62" i="4"/>
  <c r="AA62" i="4"/>
  <c r="AO61" i="4"/>
  <c r="AN61" i="4"/>
  <c r="AK61" i="4"/>
  <c r="AL61" i="4" s="1"/>
  <c r="AJ61" i="4"/>
  <c r="AI61" i="4"/>
  <c r="AH61" i="4"/>
  <c r="AG61" i="4"/>
  <c r="AF61" i="4"/>
  <c r="AE61" i="4"/>
  <c r="AD61" i="4"/>
  <c r="AC61" i="4"/>
  <c r="AB61" i="4"/>
  <c r="AA61" i="4"/>
  <c r="AO60" i="4"/>
  <c r="AN60" i="4"/>
  <c r="AK60" i="4"/>
  <c r="AL60" i="4" s="1"/>
  <c r="AJ60" i="4"/>
  <c r="AI60" i="4"/>
  <c r="AH60" i="4"/>
  <c r="AG60" i="4"/>
  <c r="AF60" i="4"/>
  <c r="AE60" i="4"/>
  <c r="Z60" i="4" s="1"/>
  <c r="AD60" i="4"/>
  <c r="AC60" i="4"/>
  <c r="AB60" i="4"/>
  <c r="AA60" i="4"/>
  <c r="AO59" i="4"/>
  <c r="AN59" i="4"/>
  <c r="AK59" i="4"/>
  <c r="AL59" i="4" s="1"/>
  <c r="AJ59" i="4"/>
  <c r="AI59" i="4"/>
  <c r="AH59" i="4"/>
  <c r="AG59" i="4"/>
  <c r="AF59" i="4"/>
  <c r="AE59" i="4"/>
  <c r="AD59" i="4"/>
  <c r="AC59" i="4"/>
  <c r="AB59" i="4"/>
  <c r="AA59" i="4"/>
  <c r="AO58" i="4"/>
  <c r="AN58" i="4"/>
  <c r="AK58" i="4"/>
  <c r="AL58" i="4" s="1"/>
  <c r="AJ58" i="4"/>
  <c r="AI58" i="4"/>
  <c r="AH58" i="4"/>
  <c r="AG58" i="4"/>
  <c r="AF58" i="4"/>
  <c r="AE58" i="4"/>
  <c r="Z58" i="4" s="1"/>
  <c r="AD58" i="4"/>
  <c r="AC58" i="4"/>
  <c r="AB58" i="4"/>
  <c r="AA58" i="4"/>
  <c r="AO57" i="4"/>
  <c r="AN57" i="4"/>
  <c r="AK57" i="4"/>
  <c r="AL57" i="4" s="1"/>
  <c r="AJ57" i="4"/>
  <c r="AI57" i="4"/>
  <c r="AH57" i="4"/>
  <c r="AG57" i="4"/>
  <c r="AF57" i="4"/>
  <c r="AE57" i="4"/>
  <c r="AD57" i="4"/>
  <c r="AC57" i="4"/>
  <c r="AB57" i="4"/>
  <c r="AA57" i="4"/>
  <c r="AO56" i="4"/>
  <c r="AN56" i="4"/>
  <c r="AK56" i="4"/>
  <c r="AL56" i="4" s="1"/>
  <c r="AJ56" i="4"/>
  <c r="AI56" i="4"/>
  <c r="AH56" i="4"/>
  <c r="AG56" i="4"/>
  <c r="AF56" i="4"/>
  <c r="AE56" i="4"/>
  <c r="Z56" i="4" s="1"/>
  <c r="AD56" i="4"/>
  <c r="AC56" i="4"/>
  <c r="AB56" i="4"/>
  <c r="AA56" i="4"/>
  <c r="AO55" i="4"/>
  <c r="AN55" i="4"/>
  <c r="AK55" i="4"/>
  <c r="AL55" i="4" s="1"/>
  <c r="AJ55" i="4"/>
  <c r="AI55" i="4"/>
  <c r="AH55" i="4"/>
  <c r="AG55" i="4"/>
  <c r="AF55" i="4"/>
  <c r="AE55" i="4"/>
  <c r="AD55" i="4"/>
  <c r="AC55" i="4"/>
  <c r="AB55" i="4"/>
  <c r="AA55" i="4"/>
  <c r="AO54" i="4"/>
  <c r="AN54" i="4"/>
  <c r="AK54" i="4"/>
  <c r="AL54" i="4" s="1"/>
  <c r="AJ54" i="4"/>
  <c r="AI54" i="4"/>
  <c r="AH54" i="4"/>
  <c r="AG54" i="4"/>
  <c r="AF54" i="4"/>
  <c r="AE54" i="4"/>
  <c r="AD54" i="4"/>
  <c r="AC54" i="4"/>
  <c r="AB54" i="4"/>
  <c r="AA54" i="4"/>
  <c r="AO53" i="4"/>
  <c r="AN53" i="4"/>
  <c r="AK53" i="4"/>
  <c r="AL53" i="4" s="1"/>
  <c r="AJ53" i="4"/>
  <c r="AI53" i="4"/>
  <c r="AH53" i="4"/>
  <c r="AG53" i="4"/>
  <c r="AF53" i="4"/>
  <c r="AE53" i="4"/>
  <c r="Z53" i="4" s="1"/>
  <c r="AD53" i="4"/>
  <c r="AC53" i="4"/>
  <c r="AB53" i="4"/>
  <c r="AA53" i="4"/>
  <c r="AO52" i="4"/>
  <c r="AN52" i="4"/>
  <c r="AK52" i="4"/>
  <c r="AL52" i="4" s="1"/>
  <c r="AJ52" i="4"/>
  <c r="AI52" i="4"/>
  <c r="AH52" i="4"/>
  <c r="AG52" i="4"/>
  <c r="AF52" i="4"/>
  <c r="AE52" i="4"/>
  <c r="AD52" i="4"/>
  <c r="AC52" i="4"/>
  <c r="AB52" i="4"/>
  <c r="AA52" i="4"/>
  <c r="Z52" i="4"/>
  <c r="AO51" i="4"/>
  <c r="AN51" i="4"/>
  <c r="AK51" i="4"/>
  <c r="AL51" i="4" s="1"/>
  <c r="AJ51" i="4"/>
  <c r="AI51" i="4"/>
  <c r="AH51" i="4"/>
  <c r="AG51" i="4"/>
  <c r="AF51" i="4"/>
  <c r="AE51" i="4"/>
  <c r="AD51" i="4"/>
  <c r="AC51" i="4"/>
  <c r="AB51" i="4"/>
  <c r="AA51" i="4"/>
  <c r="AO50" i="4"/>
  <c r="AN50" i="4"/>
  <c r="AK50" i="4"/>
  <c r="AL50" i="4" s="1"/>
  <c r="AJ50" i="4"/>
  <c r="AI50" i="4"/>
  <c r="AH50" i="4"/>
  <c r="AG50" i="4"/>
  <c r="AF50" i="4"/>
  <c r="AE50" i="4"/>
  <c r="Z50" i="4" s="1"/>
  <c r="AD50" i="4"/>
  <c r="AC50" i="4"/>
  <c r="AB50" i="4"/>
  <c r="AA50" i="4"/>
  <c r="AO49" i="4"/>
  <c r="AN49" i="4"/>
  <c r="AK49" i="4"/>
  <c r="AL49" i="4" s="1"/>
  <c r="AJ49" i="4"/>
  <c r="AI49" i="4"/>
  <c r="AH49" i="4"/>
  <c r="AG49" i="4"/>
  <c r="AF49" i="4"/>
  <c r="AE49" i="4"/>
  <c r="AD49" i="4"/>
  <c r="AC49" i="4"/>
  <c r="AB49" i="4"/>
  <c r="AA49" i="4"/>
  <c r="AO48" i="4"/>
  <c r="AN48" i="4"/>
  <c r="AK48" i="4"/>
  <c r="AL48" i="4" s="1"/>
  <c r="AJ48" i="4"/>
  <c r="AI48" i="4"/>
  <c r="AH48" i="4"/>
  <c r="AG48" i="4"/>
  <c r="AF48" i="4"/>
  <c r="AE48" i="4"/>
  <c r="AD48" i="4"/>
  <c r="AC48" i="4"/>
  <c r="AB48" i="4"/>
  <c r="AA48" i="4"/>
  <c r="AO47" i="4"/>
  <c r="AN47" i="4"/>
  <c r="AK47" i="4"/>
  <c r="AL47" i="4" s="1"/>
  <c r="AJ47" i="4"/>
  <c r="AI47" i="4"/>
  <c r="AH47" i="4"/>
  <c r="AG47" i="4"/>
  <c r="AF47" i="4"/>
  <c r="AE47" i="4"/>
  <c r="AD47" i="4"/>
  <c r="AC47" i="4"/>
  <c r="AB47" i="4"/>
  <c r="AA47" i="4"/>
  <c r="AO46" i="4"/>
  <c r="AN46" i="4"/>
  <c r="AK46" i="4"/>
  <c r="AL46" i="4" s="1"/>
  <c r="AJ46" i="4"/>
  <c r="AI46" i="4"/>
  <c r="AH46" i="4"/>
  <c r="AG46" i="4"/>
  <c r="AF46" i="4"/>
  <c r="AE46" i="4"/>
  <c r="AD46" i="4"/>
  <c r="AC46" i="4"/>
  <c r="AB46" i="4"/>
  <c r="AA46" i="4"/>
  <c r="AO45" i="4"/>
  <c r="AN45" i="4"/>
  <c r="AK45" i="4"/>
  <c r="AL45" i="4" s="1"/>
  <c r="AJ45" i="4"/>
  <c r="AI45" i="4"/>
  <c r="AH45" i="4"/>
  <c r="AG45" i="4"/>
  <c r="AF45" i="4"/>
  <c r="AE45" i="4"/>
  <c r="AD45" i="4"/>
  <c r="AC45" i="4"/>
  <c r="AB45" i="4"/>
  <c r="AA45" i="4"/>
  <c r="AO44" i="4"/>
  <c r="AN44" i="4"/>
  <c r="AK44" i="4"/>
  <c r="AL44" i="4" s="1"/>
  <c r="AJ44" i="4"/>
  <c r="AI44" i="4"/>
  <c r="AH44" i="4"/>
  <c r="AG44" i="4"/>
  <c r="AF44" i="4"/>
  <c r="AE44" i="4"/>
  <c r="AD44" i="4"/>
  <c r="AC44" i="4"/>
  <c r="AB44" i="4"/>
  <c r="AA44" i="4"/>
  <c r="AO43" i="4"/>
  <c r="AN43" i="4"/>
  <c r="AK43" i="4"/>
  <c r="AL43" i="4" s="1"/>
  <c r="AJ43" i="4"/>
  <c r="AI43" i="4"/>
  <c r="AH43" i="4"/>
  <c r="AG43" i="4"/>
  <c r="AF43" i="4"/>
  <c r="AE43" i="4"/>
  <c r="AD43" i="4"/>
  <c r="AC43" i="4"/>
  <c r="AB43" i="4"/>
  <c r="AA43" i="4"/>
  <c r="AO42" i="4"/>
  <c r="AN42" i="4"/>
  <c r="AK42" i="4"/>
  <c r="AL42" i="4" s="1"/>
  <c r="AJ42" i="4"/>
  <c r="AI42" i="4"/>
  <c r="AH42" i="4"/>
  <c r="AG42" i="4"/>
  <c r="AF42" i="4"/>
  <c r="AE42" i="4"/>
  <c r="AD42" i="4"/>
  <c r="AC42" i="4"/>
  <c r="AB42" i="4"/>
  <c r="AA42" i="4"/>
  <c r="AO41" i="4"/>
  <c r="AN41" i="4"/>
  <c r="AK41" i="4"/>
  <c r="AL41" i="4" s="1"/>
  <c r="AJ41" i="4"/>
  <c r="AI41" i="4"/>
  <c r="AH41" i="4"/>
  <c r="AG41" i="4"/>
  <c r="AF41" i="4"/>
  <c r="AE41" i="4"/>
  <c r="AD41" i="4"/>
  <c r="AC41" i="4"/>
  <c r="AB41" i="4"/>
  <c r="AA41" i="4"/>
  <c r="AO40" i="4"/>
  <c r="AN40" i="4"/>
  <c r="AK40" i="4"/>
  <c r="AL40" i="4" s="1"/>
  <c r="AJ40" i="4"/>
  <c r="AI40" i="4"/>
  <c r="AH40" i="4"/>
  <c r="AG40" i="4"/>
  <c r="AF40" i="4"/>
  <c r="AE40" i="4"/>
  <c r="AD40" i="4"/>
  <c r="AC40" i="4"/>
  <c r="AB40" i="4"/>
  <c r="AA40" i="4"/>
  <c r="AO39" i="4"/>
  <c r="AN39" i="4"/>
  <c r="AK39" i="4"/>
  <c r="AL39" i="4" s="1"/>
  <c r="AJ39" i="4"/>
  <c r="AI39" i="4"/>
  <c r="AH39" i="4"/>
  <c r="AG39" i="4"/>
  <c r="AF39" i="4"/>
  <c r="AE39" i="4"/>
  <c r="AD39" i="4"/>
  <c r="AC39" i="4"/>
  <c r="AB39" i="4"/>
  <c r="AA39" i="4"/>
  <c r="AO38" i="4"/>
  <c r="AN38" i="4"/>
  <c r="AK38" i="4"/>
  <c r="AL38" i="4" s="1"/>
  <c r="AJ38" i="4"/>
  <c r="AI38" i="4"/>
  <c r="AH38" i="4"/>
  <c r="AG38" i="4"/>
  <c r="AF38" i="4"/>
  <c r="AE38" i="4"/>
  <c r="AD38" i="4"/>
  <c r="AC38" i="4"/>
  <c r="AB38" i="4"/>
  <c r="AA38" i="4"/>
  <c r="AO37" i="4"/>
  <c r="AN37" i="4"/>
  <c r="AK37" i="4"/>
  <c r="AL37" i="4" s="1"/>
  <c r="AJ37" i="4"/>
  <c r="AI37" i="4"/>
  <c r="AH37" i="4"/>
  <c r="AG37" i="4"/>
  <c r="AF37" i="4"/>
  <c r="AE37" i="4"/>
  <c r="AD37" i="4"/>
  <c r="AC37" i="4"/>
  <c r="AB37" i="4"/>
  <c r="AA37" i="4"/>
  <c r="AO36" i="4"/>
  <c r="AN36" i="4"/>
  <c r="AK36" i="4"/>
  <c r="AL36" i="4" s="1"/>
  <c r="AJ36" i="4"/>
  <c r="AI36" i="4"/>
  <c r="AH36" i="4"/>
  <c r="AG36" i="4"/>
  <c r="AF36" i="4"/>
  <c r="AE36" i="4"/>
  <c r="AD36" i="4"/>
  <c r="AC36" i="4"/>
  <c r="AB36" i="4"/>
  <c r="AA36" i="4"/>
  <c r="AO35" i="4"/>
  <c r="AN35" i="4"/>
  <c r="AK35" i="4"/>
  <c r="AL35" i="4" s="1"/>
  <c r="AJ35" i="4"/>
  <c r="AI35" i="4"/>
  <c r="AH35" i="4"/>
  <c r="AG35" i="4"/>
  <c r="AF35" i="4"/>
  <c r="AE35" i="4"/>
  <c r="AD35" i="4"/>
  <c r="AC35" i="4"/>
  <c r="AB35" i="4"/>
  <c r="AA35" i="4"/>
  <c r="AO34" i="4"/>
  <c r="AN34" i="4"/>
  <c r="AK34" i="4"/>
  <c r="AL34" i="4" s="1"/>
  <c r="AJ34" i="4"/>
  <c r="AI34" i="4"/>
  <c r="AH34" i="4"/>
  <c r="AG34" i="4"/>
  <c r="AF34" i="4"/>
  <c r="AE34" i="4"/>
  <c r="AD34" i="4"/>
  <c r="AC34" i="4"/>
  <c r="AB34" i="4"/>
  <c r="AA34" i="4"/>
  <c r="AO33" i="4"/>
  <c r="AN33" i="4"/>
  <c r="AK33" i="4"/>
  <c r="AL33" i="4" s="1"/>
  <c r="AJ33" i="4"/>
  <c r="AI33" i="4"/>
  <c r="AH33" i="4"/>
  <c r="AG33" i="4"/>
  <c r="AF33" i="4"/>
  <c r="AE33" i="4"/>
  <c r="AD33" i="4"/>
  <c r="AC33" i="4"/>
  <c r="AB33" i="4"/>
  <c r="AA33" i="4"/>
  <c r="AO32" i="4"/>
  <c r="AN32" i="4"/>
  <c r="AK32" i="4"/>
  <c r="AL32" i="4" s="1"/>
  <c r="AJ32" i="4"/>
  <c r="AI32" i="4"/>
  <c r="AH32" i="4"/>
  <c r="AG32" i="4"/>
  <c r="AF32" i="4"/>
  <c r="AE32" i="4"/>
  <c r="AD32" i="4"/>
  <c r="AC32" i="4"/>
  <c r="AB32" i="4"/>
  <c r="AA32" i="4"/>
  <c r="AO31" i="4"/>
  <c r="AN31" i="4"/>
  <c r="AK31" i="4"/>
  <c r="AL31" i="4" s="1"/>
  <c r="AJ31" i="4"/>
  <c r="AI31" i="4"/>
  <c r="AH31" i="4"/>
  <c r="AG31" i="4"/>
  <c r="AF31" i="4"/>
  <c r="AE31" i="4"/>
  <c r="AD31" i="4"/>
  <c r="AC31" i="4"/>
  <c r="AB31" i="4"/>
  <c r="AA31" i="4"/>
  <c r="AO30" i="4"/>
  <c r="AN30" i="4"/>
  <c r="AK30" i="4"/>
  <c r="AL30" i="4" s="1"/>
  <c r="AJ30" i="4"/>
  <c r="AI30" i="4"/>
  <c r="AH30" i="4"/>
  <c r="AG30" i="4"/>
  <c r="AF30" i="4"/>
  <c r="AE30" i="4"/>
  <c r="AD30" i="4"/>
  <c r="AC30" i="4"/>
  <c r="AB30" i="4"/>
  <c r="AA30" i="4"/>
  <c r="AO29" i="4"/>
  <c r="AN29" i="4"/>
  <c r="AK29" i="4"/>
  <c r="AL29" i="4" s="1"/>
  <c r="AJ29" i="4"/>
  <c r="AI29" i="4"/>
  <c r="AH29" i="4"/>
  <c r="AG29" i="4"/>
  <c r="AF29" i="4"/>
  <c r="AE29" i="4"/>
  <c r="AD29" i="4"/>
  <c r="AC29" i="4"/>
  <c r="AB29" i="4"/>
  <c r="AA29" i="4"/>
  <c r="H29" i="4"/>
  <c r="AO28" i="4"/>
  <c r="AN28" i="4"/>
  <c r="AK28" i="4"/>
  <c r="AL28" i="4" s="1"/>
  <c r="AJ28" i="4"/>
  <c r="AI28" i="4"/>
  <c r="AH28" i="4"/>
  <c r="AG28" i="4"/>
  <c r="AF28" i="4"/>
  <c r="AE28" i="4"/>
  <c r="AD28" i="4"/>
  <c r="AC28" i="4"/>
  <c r="AB28" i="4"/>
  <c r="AA28" i="4"/>
  <c r="H28" i="4"/>
  <c r="G28" i="4"/>
  <c r="AO27" i="4"/>
  <c r="AN27" i="4"/>
  <c r="AK27" i="4"/>
  <c r="AL27" i="4" s="1"/>
  <c r="AJ27" i="4"/>
  <c r="AI27" i="4"/>
  <c r="AH27" i="4"/>
  <c r="AG27" i="4"/>
  <c r="AF27" i="4"/>
  <c r="AE27" i="4"/>
  <c r="AD27" i="4"/>
  <c r="AC27" i="4"/>
  <c r="AB27" i="4"/>
  <c r="AA27" i="4"/>
  <c r="H27" i="4"/>
  <c r="G27" i="4"/>
  <c r="AO26" i="4"/>
  <c r="AN26" i="4"/>
  <c r="AK26" i="4"/>
  <c r="AL26" i="4" s="1"/>
  <c r="AJ26" i="4"/>
  <c r="AI26" i="4"/>
  <c r="AH26" i="4"/>
  <c r="AG26" i="4"/>
  <c r="AF26" i="4"/>
  <c r="AE26" i="4"/>
  <c r="AD26" i="4"/>
  <c r="AC26" i="4"/>
  <c r="AB26" i="4"/>
  <c r="AA26" i="4"/>
  <c r="H26" i="4"/>
  <c r="G26" i="4"/>
  <c r="AO25" i="4"/>
  <c r="AN25" i="4"/>
  <c r="AK25" i="4"/>
  <c r="AL25" i="4" s="1"/>
  <c r="AJ25" i="4"/>
  <c r="AI25" i="4"/>
  <c r="AH25" i="4"/>
  <c r="AG25" i="4"/>
  <c r="AF25" i="4"/>
  <c r="AE25" i="4"/>
  <c r="AD25" i="4"/>
  <c r="AC25" i="4"/>
  <c r="AB25" i="4"/>
  <c r="AA25" i="4"/>
  <c r="H25" i="4"/>
  <c r="G25" i="4"/>
  <c r="AO24" i="4"/>
  <c r="AN24" i="4"/>
  <c r="AK24" i="4"/>
  <c r="AL24" i="4" s="1"/>
  <c r="AJ24" i="4"/>
  <c r="AI24" i="4"/>
  <c r="AH24" i="4"/>
  <c r="AG24" i="4"/>
  <c r="AF24" i="4"/>
  <c r="AE24" i="4"/>
  <c r="AD24" i="4"/>
  <c r="AC24" i="4"/>
  <c r="AB24" i="4"/>
  <c r="AA24" i="4"/>
  <c r="H24" i="4"/>
  <c r="G24" i="4"/>
  <c r="AO6" i="4"/>
  <c r="AN6" i="4"/>
  <c r="AK6" i="4"/>
  <c r="AL6" i="4" s="1"/>
  <c r="AJ6" i="4"/>
  <c r="AI6" i="4"/>
  <c r="AH6" i="4"/>
  <c r="AG6" i="4"/>
  <c r="AF6" i="4"/>
  <c r="AE6" i="4"/>
  <c r="AD6" i="4"/>
  <c r="AC6" i="4"/>
  <c r="AB6" i="4"/>
  <c r="AA6" i="4"/>
  <c r="H6" i="4"/>
  <c r="G6" i="4"/>
  <c r="AO23" i="4"/>
  <c r="AN23" i="4"/>
  <c r="AK23" i="4"/>
  <c r="AL23" i="4" s="1"/>
  <c r="AJ23" i="4"/>
  <c r="AI23" i="4"/>
  <c r="AH23" i="4"/>
  <c r="AG23" i="4"/>
  <c r="AF23" i="4"/>
  <c r="AE23" i="4"/>
  <c r="AD23" i="4"/>
  <c r="AC23" i="4"/>
  <c r="AB23" i="4"/>
  <c r="AA23" i="4"/>
  <c r="H23" i="4"/>
  <c r="G23" i="4"/>
  <c r="AO22" i="4"/>
  <c r="AN22" i="4"/>
  <c r="AK22" i="4"/>
  <c r="AL22" i="4" s="1"/>
  <c r="AJ22" i="4"/>
  <c r="AI22" i="4"/>
  <c r="AH22" i="4"/>
  <c r="AG22" i="4"/>
  <c r="AF22" i="4"/>
  <c r="AE22" i="4"/>
  <c r="AD22" i="4"/>
  <c r="AC22" i="4"/>
  <c r="AB22" i="4"/>
  <c r="AA22" i="4"/>
  <c r="H22" i="4"/>
  <c r="G22" i="4"/>
  <c r="AO5" i="4"/>
  <c r="AN5" i="4"/>
  <c r="AK5" i="4"/>
  <c r="AL5" i="4" s="1"/>
  <c r="AJ5" i="4"/>
  <c r="AI5" i="4"/>
  <c r="AH5" i="4"/>
  <c r="AG5" i="4"/>
  <c r="AF5" i="4"/>
  <c r="AE5" i="4"/>
  <c r="AD5" i="4"/>
  <c r="AC5" i="4"/>
  <c r="AB5" i="4"/>
  <c r="AA5" i="4"/>
  <c r="H5" i="4"/>
  <c r="G5" i="4"/>
  <c r="AO4" i="4"/>
  <c r="AN4" i="4"/>
  <c r="AK4" i="4"/>
  <c r="AL4" i="4" s="1"/>
  <c r="AJ4" i="4"/>
  <c r="AI4" i="4"/>
  <c r="AH4" i="4"/>
  <c r="AG4" i="4"/>
  <c r="AF4" i="4"/>
  <c r="AE4" i="4"/>
  <c r="AD4" i="4"/>
  <c r="AC4" i="4"/>
  <c r="AB4" i="4"/>
  <c r="AA4" i="4"/>
  <c r="H4" i="4"/>
  <c r="G4" i="4"/>
  <c r="AO21" i="4"/>
  <c r="AN21" i="4"/>
  <c r="AK21" i="4"/>
  <c r="AL21" i="4" s="1"/>
  <c r="AJ21" i="4"/>
  <c r="AI21" i="4"/>
  <c r="AH21" i="4"/>
  <c r="AG21" i="4"/>
  <c r="AF21" i="4"/>
  <c r="AE21" i="4"/>
  <c r="AD21" i="4"/>
  <c r="AC21" i="4"/>
  <c r="AB21" i="4"/>
  <c r="AA21" i="4"/>
  <c r="H21" i="4"/>
  <c r="G21" i="4"/>
  <c r="AO20" i="4"/>
  <c r="AN20" i="4"/>
  <c r="AK20" i="4"/>
  <c r="AL20" i="4" s="1"/>
  <c r="AJ20" i="4"/>
  <c r="AI20" i="4"/>
  <c r="AH20" i="4"/>
  <c r="AG20" i="4"/>
  <c r="AF20" i="4"/>
  <c r="AE20" i="4"/>
  <c r="AD20" i="4"/>
  <c r="AC20" i="4"/>
  <c r="AB20" i="4"/>
  <c r="AA20" i="4"/>
  <c r="H20" i="4"/>
  <c r="G20" i="4"/>
  <c r="AO3" i="4"/>
  <c r="AN3" i="4"/>
  <c r="AK3" i="4"/>
  <c r="AL3" i="4" s="1"/>
  <c r="AJ3" i="4"/>
  <c r="AI3" i="4"/>
  <c r="AH3" i="4"/>
  <c r="AG3" i="4"/>
  <c r="AF3" i="4"/>
  <c r="AE3" i="4"/>
  <c r="AD3" i="4"/>
  <c r="AC3" i="4"/>
  <c r="AB3" i="4"/>
  <c r="AA3" i="4"/>
  <c r="H3" i="4"/>
  <c r="G3" i="4"/>
  <c r="AO19" i="4"/>
  <c r="AN19" i="4"/>
  <c r="AK19" i="4"/>
  <c r="AL19" i="4" s="1"/>
  <c r="AJ19" i="4"/>
  <c r="AI19" i="4"/>
  <c r="AH19" i="4"/>
  <c r="AG19" i="4"/>
  <c r="AF19" i="4"/>
  <c r="AE19" i="4"/>
  <c r="AD19" i="4"/>
  <c r="AC19" i="4"/>
  <c r="AB19" i="4"/>
  <c r="AA19" i="4"/>
  <c r="H19" i="4"/>
  <c r="G19" i="4"/>
  <c r="AO18" i="4"/>
  <c r="AN18" i="4"/>
  <c r="AK18" i="4"/>
  <c r="AL18" i="4" s="1"/>
  <c r="AJ18" i="4"/>
  <c r="AI18" i="4"/>
  <c r="AH18" i="4"/>
  <c r="AG18" i="4"/>
  <c r="AF18" i="4"/>
  <c r="AE18" i="4"/>
  <c r="AD18" i="4"/>
  <c r="AC18" i="4"/>
  <c r="AB18" i="4"/>
  <c r="AA18" i="4"/>
  <c r="H18" i="4"/>
  <c r="G18" i="4"/>
  <c r="AO17" i="4"/>
  <c r="AN17" i="4"/>
  <c r="AK17" i="4"/>
  <c r="AL17" i="4" s="1"/>
  <c r="AJ17" i="4"/>
  <c r="AI17" i="4"/>
  <c r="AH17" i="4"/>
  <c r="AG17" i="4"/>
  <c r="AF17" i="4"/>
  <c r="AE17" i="4"/>
  <c r="AD17" i="4"/>
  <c r="AC17" i="4"/>
  <c r="AB17" i="4"/>
  <c r="AA17" i="4"/>
  <c r="H17" i="4"/>
  <c r="G17" i="4"/>
  <c r="AO16" i="4"/>
  <c r="AN16" i="4"/>
  <c r="AK16" i="4"/>
  <c r="AL16" i="4" s="1"/>
  <c r="AJ16" i="4"/>
  <c r="AI16" i="4"/>
  <c r="AH16" i="4"/>
  <c r="AG16" i="4"/>
  <c r="AF16" i="4"/>
  <c r="AE16" i="4"/>
  <c r="AD16" i="4"/>
  <c r="AC16" i="4"/>
  <c r="AB16" i="4"/>
  <c r="AA16" i="4"/>
  <c r="H16" i="4"/>
  <c r="G16" i="4"/>
  <c r="AO15" i="4"/>
  <c r="AN15" i="4"/>
  <c r="AK15" i="4"/>
  <c r="AL15" i="4" s="1"/>
  <c r="AJ15" i="4"/>
  <c r="AI15" i="4"/>
  <c r="AH15" i="4"/>
  <c r="AG15" i="4"/>
  <c r="AF15" i="4"/>
  <c r="AE15" i="4"/>
  <c r="AD15" i="4"/>
  <c r="AC15" i="4"/>
  <c r="AB15" i="4"/>
  <c r="AA15" i="4"/>
  <c r="H15" i="4"/>
  <c r="G15" i="4"/>
  <c r="AO14" i="4"/>
  <c r="AN14" i="4"/>
  <c r="AK14" i="4"/>
  <c r="AL14" i="4" s="1"/>
  <c r="AJ14" i="4"/>
  <c r="AI14" i="4"/>
  <c r="AH14" i="4"/>
  <c r="AG14" i="4"/>
  <c r="AF14" i="4"/>
  <c r="AE14" i="4"/>
  <c r="AD14" i="4"/>
  <c r="AC14" i="4"/>
  <c r="AB14" i="4"/>
  <c r="AA14" i="4"/>
  <c r="H14" i="4"/>
  <c r="G14" i="4"/>
  <c r="AO13" i="4"/>
  <c r="AN13" i="4"/>
  <c r="AK13" i="4"/>
  <c r="AL13" i="4" s="1"/>
  <c r="AJ13" i="4"/>
  <c r="AI13" i="4"/>
  <c r="AH13" i="4"/>
  <c r="AG13" i="4"/>
  <c r="AF13" i="4"/>
  <c r="AE13" i="4"/>
  <c r="AD13" i="4"/>
  <c r="AC13" i="4"/>
  <c r="AB13" i="4"/>
  <c r="AA13" i="4"/>
  <c r="H13" i="4"/>
  <c r="G13" i="4"/>
  <c r="AO12" i="4"/>
  <c r="AN12" i="4"/>
  <c r="AK12" i="4"/>
  <c r="AL12" i="4" s="1"/>
  <c r="AJ12" i="4"/>
  <c r="AI12" i="4"/>
  <c r="AH12" i="4"/>
  <c r="AG12" i="4"/>
  <c r="AF12" i="4"/>
  <c r="AE12" i="4"/>
  <c r="AD12" i="4"/>
  <c r="AC12" i="4"/>
  <c r="AB12" i="4"/>
  <c r="AA12" i="4"/>
  <c r="H12" i="4"/>
  <c r="G12" i="4"/>
  <c r="AO11" i="4"/>
  <c r="AN11" i="4"/>
  <c r="AK11" i="4"/>
  <c r="AL11" i="4" s="1"/>
  <c r="AJ11" i="4"/>
  <c r="AI11" i="4"/>
  <c r="AH11" i="4"/>
  <c r="AG11" i="4"/>
  <c r="AF11" i="4"/>
  <c r="AE11" i="4"/>
  <c r="AD11" i="4"/>
  <c r="AC11" i="4"/>
  <c r="AB11" i="4"/>
  <c r="AA11" i="4"/>
  <c r="H11" i="4"/>
  <c r="G11" i="4"/>
  <c r="AO10" i="4"/>
  <c r="AN10" i="4"/>
  <c r="AK10" i="4"/>
  <c r="AL10" i="4" s="1"/>
  <c r="AJ10" i="4"/>
  <c r="AI10" i="4"/>
  <c r="AH10" i="4"/>
  <c r="AG10" i="4"/>
  <c r="AF10" i="4"/>
  <c r="AE10" i="4"/>
  <c r="AD10" i="4"/>
  <c r="AC10" i="4"/>
  <c r="AB10" i="4"/>
  <c r="AA10" i="4"/>
  <c r="H10" i="4"/>
  <c r="G10" i="4"/>
  <c r="AO9" i="4"/>
  <c r="AN9" i="4"/>
  <c r="AK9" i="4"/>
  <c r="AL9" i="4" s="1"/>
  <c r="AJ9" i="4"/>
  <c r="AI9" i="4"/>
  <c r="AH9" i="4"/>
  <c r="AG9" i="4"/>
  <c r="AF9" i="4"/>
  <c r="AE9" i="4"/>
  <c r="AD9" i="4"/>
  <c r="AC9" i="4"/>
  <c r="AB9" i="4"/>
  <c r="AA9" i="4"/>
  <c r="H9" i="4"/>
  <c r="G9" i="4"/>
  <c r="AO8" i="4"/>
  <c r="AN8" i="4"/>
  <c r="AK8" i="4"/>
  <c r="AL8" i="4" s="1"/>
  <c r="AJ8" i="4"/>
  <c r="AI8" i="4"/>
  <c r="AH8" i="4"/>
  <c r="AG8" i="4"/>
  <c r="AF8" i="4"/>
  <c r="AE8" i="4"/>
  <c r="AD8" i="4"/>
  <c r="AC8" i="4"/>
  <c r="AB8" i="4"/>
  <c r="AA8" i="4"/>
  <c r="H8" i="4"/>
  <c r="G8" i="4"/>
  <c r="AO7" i="4"/>
  <c r="AK7" i="4"/>
  <c r="AL7" i="4" s="1"/>
  <c r="AJ7" i="4"/>
  <c r="AI7" i="4"/>
  <c r="AH7" i="4"/>
  <c r="AG7" i="4"/>
  <c r="AF7" i="4"/>
  <c r="AE7" i="4"/>
  <c r="AD7" i="4"/>
  <c r="AC7" i="4"/>
  <c r="AB7" i="4"/>
  <c r="AA7" i="4"/>
  <c r="H7" i="4"/>
  <c r="G7" i="4"/>
  <c r="AM1" i="4"/>
  <c r="H892" i="3"/>
  <c r="G892" i="3"/>
  <c r="H891" i="3"/>
  <c r="G891" i="3"/>
  <c r="H890" i="3"/>
  <c r="G890" i="3"/>
  <c r="H889" i="3"/>
  <c r="G889" i="3"/>
  <c r="H888" i="3"/>
  <c r="G888" i="3"/>
  <c r="H887" i="3"/>
  <c r="G887" i="3"/>
  <c r="H886" i="3"/>
  <c r="G886" i="3"/>
  <c r="H885" i="3"/>
  <c r="G885" i="3"/>
  <c r="H884" i="3"/>
  <c r="G884" i="3"/>
  <c r="H883" i="3"/>
  <c r="G883" i="3"/>
  <c r="H882" i="3"/>
  <c r="G882" i="3"/>
  <c r="H881" i="3"/>
  <c r="G881" i="3"/>
  <c r="H880" i="3"/>
  <c r="G880" i="3"/>
  <c r="H879" i="3"/>
  <c r="G879" i="3"/>
  <c r="H878" i="3"/>
  <c r="G878" i="3"/>
  <c r="H877" i="3"/>
  <c r="G877" i="3"/>
  <c r="H876" i="3"/>
  <c r="G876" i="3"/>
  <c r="H875" i="3"/>
  <c r="G875" i="3"/>
  <c r="H874" i="3"/>
  <c r="G874" i="3"/>
  <c r="H873" i="3"/>
  <c r="G873" i="3"/>
  <c r="H872" i="3"/>
  <c r="G872" i="3"/>
  <c r="H871" i="3"/>
  <c r="G871" i="3"/>
  <c r="H870" i="3"/>
  <c r="G870" i="3"/>
  <c r="H869" i="3"/>
  <c r="G869" i="3"/>
  <c r="H868" i="3"/>
  <c r="G868" i="3"/>
  <c r="H867" i="3"/>
  <c r="G867" i="3"/>
  <c r="H866" i="3"/>
  <c r="G866" i="3"/>
  <c r="H865" i="3"/>
  <c r="G865" i="3"/>
  <c r="H864" i="3"/>
  <c r="G864" i="3"/>
  <c r="H863" i="3"/>
  <c r="G863" i="3"/>
  <c r="H862" i="3"/>
  <c r="G862" i="3"/>
  <c r="H861" i="3"/>
  <c r="G861" i="3"/>
  <c r="H860" i="3"/>
  <c r="G860" i="3"/>
  <c r="H859" i="3"/>
  <c r="G859" i="3"/>
  <c r="H858" i="3"/>
  <c r="G858" i="3"/>
  <c r="H857" i="3"/>
  <c r="G857" i="3"/>
  <c r="H856" i="3"/>
  <c r="G856" i="3"/>
  <c r="H855" i="3"/>
  <c r="G855" i="3"/>
  <c r="H854" i="3"/>
  <c r="G854" i="3"/>
  <c r="H853" i="3"/>
  <c r="G853" i="3"/>
  <c r="H852" i="3"/>
  <c r="G852" i="3"/>
  <c r="H851" i="3"/>
  <c r="G851" i="3"/>
  <c r="H850" i="3"/>
  <c r="G850" i="3"/>
  <c r="H849" i="3"/>
  <c r="G849" i="3"/>
  <c r="H848" i="3"/>
  <c r="G848" i="3"/>
  <c r="H847" i="3"/>
  <c r="G847" i="3"/>
  <c r="H846" i="3"/>
  <c r="G846" i="3"/>
  <c r="H845" i="3"/>
  <c r="G845" i="3"/>
  <c r="H844" i="3"/>
  <c r="G844" i="3"/>
  <c r="H843" i="3"/>
  <c r="G843" i="3"/>
  <c r="H842" i="3"/>
  <c r="G842" i="3"/>
  <c r="H841" i="3"/>
  <c r="G841" i="3"/>
  <c r="H840" i="3"/>
  <c r="G840" i="3"/>
  <c r="H839" i="3"/>
  <c r="G839" i="3"/>
  <c r="H838" i="3"/>
  <c r="G838" i="3"/>
  <c r="H837" i="3"/>
  <c r="G837" i="3"/>
  <c r="H836" i="3"/>
  <c r="G836" i="3"/>
  <c r="H835" i="3"/>
  <c r="G835" i="3"/>
  <c r="H834" i="3"/>
  <c r="G834" i="3"/>
  <c r="H833" i="3"/>
  <c r="G833" i="3"/>
  <c r="H832" i="3"/>
  <c r="G832" i="3"/>
  <c r="H831" i="3"/>
  <c r="G831" i="3"/>
  <c r="H830" i="3"/>
  <c r="G830" i="3"/>
  <c r="H829" i="3"/>
  <c r="G829" i="3"/>
  <c r="H828" i="3"/>
  <c r="G828" i="3"/>
  <c r="H827" i="3"/>
  <c r="G827" i="3"/>
  <c r="H826" i="3"/>
  <c r="G826" i="3"/>
  <c r="H825" i="3"/>
  <c r="G825" i="3"/>
  <c r="H824" i="3"/>
  <c r="G824" i="3"/>
  <c r="H823" i="3"/>
  <c r="G823" i="3"/>
  <c r="H822" i="3"/>
  <c r="G822" i="3"/>
  <c r="H821" i="3"/>
  <c r="G821" i="3"/>
  <c r="H820" i="3"/>
  <c r="G820" i="3"/>
  <c r="H819" i="3"/>
  <c r="G819" i="3"/>
  <c r="H818" i="3"/>
  <c r="G818" i="3"/>
  <c r="H817" i="3"/>
  <c r="G817" i="3"/>
  <c r="H816" i="3"/>
  <c r="G816" i="3"/>
  <c r="H815" i="3"/>
  <c r="G815" i="3"/>
  <c r="H814" i="3"/>
  <c r="G814" i="3"/>
  <c r="H813" i="3"/>
  <c r="G813" i="3"/>
  <c r="H812" i="3"/>
  <c r="G812" i="3"/>
  <c r="H811" i="3"/>
  <c r="G811" i="3"/>
  <c r="H810" i="3"/>
  <c r="G810" i="3"/>
  <c r="H809" i="3"/>
  <c r="G809" i="3"/>
  <c r="H808" i="3"/>
  <c r="G808" i="3"/>
  <c r="H807" i="3"/>
  <c r="G807" i="3"/>
  <c r="H806" i="3"/>
  <c r="G806" i="3"/>
  <c r="H805" i="3"/>
  <c r="G805" i="3"/>
  <c r="H804" i="3"/>
  <c r="G804" i="3"/>
  <c r="H803" i="3"/>
  <c r="G803" i="3"/>
  <c r="H802" i="3"/>
  <c r="G802" i="3"/>
  <c r="H801" i="3"/>
  <c r="G801" i="3"/>
  <c r="H800" i="3"/>
  <c r="G800" i="3"/>
  <c r="H799" i="3"/>
  <c r="G799" i="3"/>
  <c r="H798" i="3"/>
  <c r="G798" i="3"/>
  <c r="H797" i="3"/>
  <c r="G797" i="3"/>
  <c r="H796" i="3"/>
  <c r="G796" i="3"/>
  <c r="H795" i="3"/>
  <c r="G795" i="3"/>
  <c r="H794" i="3"/>
  <c r="G794" i="3"/>
  <c r="H793" i="3"/>
  <c r="G793" i="3"/>
  <c r="H792" i="3"/>
  <c r="G792" i="3"/>
  <c r="H791" i="3"/>
  <c r="G791" i="3"/>
  <c r="H790" i="3"/>
  <c r="G790" i="3"/>
  <c r="H789" i="3"/>
  <c r="G789" i="3"/>
  <c r="H788" i="3"/>
  <c r="G788" i="3"/>
  <c r="H787" i="3"/>
  <c r="G787" i="3"/>
  <c r="H786" i="3"/>
  <c r="G786" i="3"/>
  <c r="H785" i="3"/>
  <c r="G785" i="3"/>
  <c r="H784" i="3"/>
  <c r="G784" i="3"/>
  <c r="H783" i="3"/>
  <c r="G783" i="3"/>
  <c r="H782" i="3"/>
  <c r="G782" i="3"/>
  <c r="H781" i="3"/>
  <c r="G781" i="3"/>
  <c r="H780" i="3"/>
  <c r="G780" i="3"/>
  <c r="H779" i="3"/>
  <c r="G779" i="3"/>
  <c r="H778" i="3"/>
  <c r="G778" i="3"/>
  <c r="H777" i="3"/>
  <c r="G777" i="3"/>
  <c r="H776" i="3"/>
  <c r="G776" i="3"/>
  <c r="H775" i="3"/>
  <c r="G775" i="3"/>
  <c r="H774" i="3"/>
  <c r="G774" i="3"/>
  <c r="H773" i="3"/>
  <c r="G773" i="3"/>
  <c r="H772" i="3"/>
  <c r="G772" i="3"/>
  <c r="H771" i="3"/>
  <c r="G771" i="3"/>
  <c r="H770" i="3"/>
  <c r="G770" i="3"/>
  <c r="H769" i="3"/>
  <c r="G769" i="3"/>
  <c r="H768" i="3"/>
  <c r="G768" i="3"/>
  <c r="H767" i="3"/>
  <c r="G767" i="3"/>
  <c r="H766" i="3"/>
  <c r="G766" i="3"/>
  <c r="H765" i="3"/>
  <c r="G765" i="3"/>
  <c r="H764" i="3"/>
  <c r="G764" i="3"/>
  <c r="H763" i="3"/>
  <c r="G763" i="3"/>
  <c r="H762" i="3"/>
  <c r="G762" i="3"/>
  <c r="H761" i="3"/>
  <c r="G761" i="3"/>
  <c r="H760" i="3"/>
  <c r="G760" i="3"/>
  <c r="H759" i="3"/>
  <c r="G759" i="3"/>
  <c r="H758" i="3"/>
  <c r="G758" i="3"/>
  <c r="H757" i="3"/>
  <c r="G757" i="3"/>
  <c r="H756" i="3"/>
  <c r="G756" i="3"/>
  <c r="H755" i="3"/>
  <c r="G755" i="3"/>
  <c r="H754" i="3"/>
  <c r="G754" i="3"/>
  <c r="H753" i="3"/>
  <c r="G753" i="3"/>
  <c r="H752" i="3"/>
  <c r="G752" i="3"/>
  <c r="H751" i="3"/>
  <c r="G751" i="3"/>
  <c r="H750" i="3"/>
  <c r="G750" i="3"/>
  <c r="H749" i="3"/>
  <c r="G749" i="3"/>
  <c r="H748" i="3"/>
  <c r="G748" i="3"/>
  <c r="H747" i="3"/>
  <c r="G747" i="3"/>
  <c r="H746" i="3"/>
  <c r="G746" i="3"/>
  <c r="H745" i="3"/>
  <c r="G745" i="3"/>
  <c r="H744" i="3"/>
  <c r="G744" i="3"/>
  <c r="H743" i="3"/>
  <c r="G743" i="3"/>
  <c r="H742" i="3"/>
  <c r="G742" i="3"/>
  <c r="H741" i="3"/>
  <c r="G741" i="3"/>
  <c r="H740" i="3"/>
  <c r="G740" i="3"/>
  <c r="H739" i="3"/>
  <c r="G739" i="3"/>
  <c r="H738" i="3"/>
  <c r="G738" i="3"/>
  <c r="H737" i="3"/>
  <c r="G737" i="3"/>
  <c r="H736" i="3"/>
  <c r="G736" i="3"/>
  <c r="H735" i="3"/>
  <c r="G735" i="3"/>
  <c r="H734" i="3"/>
  <c r="G734" i="3"/>
  <c r="H733" i="3"/>
  <c r="G733" i="3"/>
  <c r="H732" i="3"/>
  <c r="G732" i="3"/>
  <c r="H731" i="3"/>
  <c r="G731" i="3"/>
  <c r="H730" i="3"/>
  <c r="G730" i="3"/>
  <c r="H729" i="3"/>
  <c r="G729" i="3"/>
  <c r="H728" i="3"/>
  <c r="G728" i="3"/>
  <c r="H727" i="3"/>
  <c r="G727" i="3"/>
  <c r="H726" i="3"/>
  <c r="G726" i="3"/>
  <c r="H725" i="3"/>
  <c r="G725" i="3"/>
  <c r="H724" i="3"/>
  <c r="G724" i="3"/>
  <c r="H723" i="3"/>
  <c r="G723" i="3"/>
  <c r="H722" i="3"/>
  <c r="G722" i="3"/>
  <c r="H721" i="3"/>
  <c r="G721" i="3"/>
  <c r="H720" i="3"/>
  <c r="G720" i="3"/>
  <c r="H719" i="3"/>
  <c r="G719" i="3"/>
  <c r="H718" i="3"/>
  <c r="G718" i="3"/>
  <c r="H717" i="3"/>
  <c r="G717" i="3"/>
  <c r="H716" i="3"/>
  <c r="G716" i="3"/>
  <c r="H715" i="3"/>
  <c r="G715" i="3"/>
  <c r="H714" i="3"/>
  <c r="G714" i="3"/>
  <c r="H713" i="3"/>
  <c r="G713" i="3"/>
  <c r="H712" i="3"/>
  <c r="G712" i="3"/>
  <c r="H711" i="3"/>
  <c r="G711" i="3"/>
  <c r="H710" i="3"/>
  <c r="G710" i="3"/>
  <c r="H709" i="3"/>
  <c r="G709" i="3"/>
  <c r="H708" i="3"/>
  <c r="G708" i="3"/>
  <c r="H707" i="3"/>
  <c r="G707" i="3"/>
  <c r="H706" i="3"/>
  <c r="G706" i="3"/>
  <c r="H705" i="3"/>
  <c r="G705" i="3"/>
  <c r="H704" i="3"/>
  <c r="G704" i="3"/>
  <c r="H703" i="3"/>
  <c r="G703" i="3"/>
  <c r="H702" i="3"/>
  <c r="G702" i="3"/>
  <c r="H701" i="3"/>
  <c r="G701" i="3"/>
  <c r="H700" i="3"/>
  <c r="G700" i="3"/>
  <c r="H699" i="3"/>
  <c r="G699" i="3"/>
  <c r="H698" i="3"/>
  <c r="G698" i="3"/>
  <c r="H697" i="3"/>
  <c r="G697" i="3"/>
  <c r="H696" i="3"/>
  <c r="G696" i="3"/>
  <c r="H695" i="3"/>
  <c r="G695" i="3"/>
  <c r="H694" i="3"/>
  <c r="G694" i="3"/>
  <c r="H693" i="3"/>
  <c r="G693" i="3"/>
  <c r="H692" i="3"/>
  <c r="G692" i="3"/>
  <c r="H691" i="3"/>
  <c r="G691" i="3"/>
  <c r="H690" i="3"/>
  <c r="G690" i="3"/>
  <c r="H689" i="3"/>
  <c r="G689" i="3"/>
  <c r="H688" i="3"/>
  <c r="G688" i="3"/>
  <c r="H687" i="3"/>
  <c r="G687" i="3"/>
  <c r="H686" i="3"/>
  <c r="G686" i="3"/>
  <c r="H685" i="3"/>
  <c r="G685" i="3"/>
  <c r="H684" i="3"/>
  <c r="G684" i="3"/>
  <c r="H683" i="3"/>
  <c r="G683" i="3"/>
  <c r="H682" i="3"/>
  <c r="G682" i="3"/>
  <c r="H681" i="3"/>
  <c r="G681" i="3"/>
  <c r="H680" i="3"/>
  <c r="G680" i="3"/>
  <c r="H679" i="3"/>
  <c r="G679" i="3"/>
  <c r="H678" i="3"/>
  <c r="G678" i="3"/>
  <c r="H677" i="3"/>
  <c r="G677" i="3"/>
  <c r="H676" i="3"/>
  <c r="G676" i="3"/>
  <c r="H675" i="3"/>
  <c r="G675" i="3"/>
  <c r="H674" i="3"/>
  <c r="G674" i="3"/>
  <c r="H673" i="3"/>
  <c r="G673" i="3"/>
  <c r="H672" i="3"/>
  <c r="G672" i="3"/>
  <c r="H671" i="3"/>
  <c r="G671" i="3"/>
  <c r="H670" i="3"/>
  <c r="G670" i="3"/>
  <c r="H669" i="3"/>
  <c r="G669" i="3"/>
  <c r="H668" i="3"/>
  <c r="G668" i="3"/>
  <c r="H667" i="3"/>
  <c r="G667" i="3"/>
  <c r="H666" i="3"/>
  <c r="G666" i="3"/>
  <c r="H665" i="3"/>
  <c r="G665" i="3"/>
  <c r="H664" i="3"/>
  <c r="G664" i="3"/>
  <c r="H663" i="3"/>
  <c r="G663" i="3"/>
  <c r="H662" i="3"/>
  <c r="G662" i="3"/>
  <c r="H661" i="3"/>
  <c r="G661" i="3"/>
  <c r="H660" i="3"/>
  <c r="G660" i="3"/>
  <c r="H659" i="3"/>
  <c r="G659" i="3"/>
  <c r="H658" i="3"/>
  <c r="G658" i="3"/>
  <c r="H657" i="3"/>
  <c r="G657" i="3"/>
  <c r="H656" i="3"/>
  <c r="G656" i="3"/>
  <c r="H655" i="3"/>
  <c r="G655" i="3"/>
  <c r="H654" i="3"/>
  <c r="G654" i="3"/>
  <c r="H653" i="3"/>
  <c r="G653" i="3"/>
  <c r="H652" i="3"/>
  <c r="G652" i="3"/>
  <c r="H651" i="3"/>
  <c r="G651" i="3"/>
  <c r="H650" i="3"/>
  <c r="G650" i="3"/>
  <c r="H649" i="3"/>
  <c r="G649" i="3"/>
  <c r="H648" i="3"/>
  <c r="G648" i="3"/>
  <c r="H647" i="3"/>
  <c r="G647" i="3"/>
  <c r="H646" i="3"/>
  <c r="G646" i="3"/>
  <c r="H645" i="3"/>
  <c r="G645" i="3"/>
  <c r="H644" i="3"/>
  <c r="G644" i="3"/>
  <c r="H643" i="3"/>
  <c r="G643" i="3"/>
  <c r="H642" i="3"/>
  <c r="G642" i="3"/>
  <c r="H641" i="3"/>
  <c r="G641" i="3"/>
  <c r="H640" i="3"/>
  <c r="G640" i="3"/>
  <c r="H639" i="3"/>
  <c r="G639" i="3"/>
  <c r="H638" i="3"/>
  <c r="G638" i="3"/>
  <c r="H637" i="3"/>
  <c r="G637" i="3"/>
  <c r="H636" i="3"/>
  <c r="G636" i="3"/>
  <c r="H635" i="3"/>
  <c r="G635" i="3"/>
  <c r="H634" i="3"/>
  <c r="G634" i="3"/>
  <c r="H633" i="3"/>
  <c r="G633" i="3"/>
  <c r="H632" i="3"/>
  <c r="G632" i="3"/>
  <c r="H631" i="3"/>
  <c r="G631" i="3"/>
  <c r="H630" i="3"/>
  <c r="G630" i="3"/>
  <c r="H629" i="3"/>
  <c r="G629" i="3"/>
  <c r="H628" i="3"/>
  <c r="G628" i="3"/>
  <c r="H627" i="3"/>
  <c r="G627" i="3"/>
  <c r="H626" i="3"/>
  <c r="G626" i="3"/>
  <c r="H625" i="3"/>
  <c r="G625" i="3"/>
  <c r="H624" i="3"/>
  <c r="G624" i="3"/>
  <c r="H623" i="3"/>
  <c r="G623" i="3"/>
  <c r="H622" i="3"/>
  <c r="G622" i="3"/>
  <c r="H621" i="3"/>
  <c r="G621" i="3"/>
  <c r="H620" i="3"/>
  <c r="G620" i="3"/>
  <c r="H619" i="3"/>
  <c r="G619" i="3"/>
  <c r="H618" i="3"/>
  <c r="G618" i="3"/>
  <c r="H617" i="3"/>
  <c r="G617" i="3"/>
  <c r="H616" i="3"/>
  <c r="G616" i="3"/>
  <c r="H615" i="3"/>
  <c r="G615" i="3"/>
  <c r="H614" i="3"/>
  <c r="G614" i="3"/>
  <c r="H613" i="3"/>
  <c r="G613" i="3"/>
  <c r="H612" i="3"/>
  <c r="G612" i="3"/>
  <c r="H611" i="3"/>
  <c r="G611" i="3"/>
  <c r="H610" i="3"/>
  <c r="G610" i="3"/>
  <c r="H609" i="3"/>
  <c r="G609" i="3"/>
  <c r="H608" i="3"/>
  <c r="G608" i="3"/>
  <c r="H607" i="3"/>
  <c r="G607" i="3"/>
  <c r="H606" i="3"/>
  <c r="G606" i="3"/>
  <c r="H605" i="3"/>
  <c r="G605" i="3"/>
  <c r="H604" i="3"/>
  <c r="G604" i="3"/>
  <c r="H603" i="3"/>
  <c r="G603" i="3"/>
  <c r="H602" i="3"/>
  <c r="G602" i="3"/>
  <c r="H601" i="3"/>
  <c r="G601" i="3"/>
  <c r="H600" i="3"/>
  <c r="G600" i="3"/>
  <c r="H599" i="3"/>
  <c r="G599" i="3"/>
  <c r="H598" i="3"/>
  <c r="G598" i="3"/>
  <c r="H597" i="3"/>
  <c r="G597" i="3"/>
  <c r="H596" i="3"/>
  <c r="G596" i="3"/>
  <c r="H595" i="3"/>
  <c r="G595" i="3"/>
  <c r="H594" i="3"/>
  <c r="G594" i="3"/>
  <c r="H593" i="3"/>
  <c r="G593" i="3"/>
  <c r="H592" i="3"/>
  <c r="G592" i="3"/>
  <c r="H591" i="3"/>
  <c r="G591" i="3"/>
  <c r="H590" i="3"/>
  <c r="G590" i="3"/>
  <c r="H589" i="3"/>
  <c r="G589" i="3"/>
  <c r="H588" i="3"/>
  <c r="G588" i="3"/>
  <c r="H587" i="3"/>
  <c r="G587" i="3"/>
  <c r="H586" i="3"/>
  <c r="G586" i="3"/>
  <c r="H585" i="3"/>
  <c r="G585" i="3"/>
  <c r="H584" i="3"/>
  <c r="G584" i="3"/>
  <c r="H583" i="3"/>
  <c r="G583" i="3"/>
  <c r="H582" i="3"/>
  <c r="G582" i="3"/>
  <c r="H581" i="3"/>
  <c r="G581" i="3"/>
  <c r="H580" i="3"/>
  <c r="G580" i="3"/>
  <c r="H579" i="3"/>
  <c r="G579" i="3"/>
  <c r="H578" i="3"/>
  <c r="G578" i="3"/>
  <c r="H577" i="3"/>
  <c r="G577" i="3"/>
  <c r="H576" i="3"/>
  <c r="G576" i="3"/>
  <c r="H575" i="3"/>
  <c r="G575" i="3"/>
  <c r="H574" i="3"/>
  <c r="G574" i="3"/>
  <c r="H573" i="3"/>
  <c r="G573" i="3"/>
  <c r="H572" i="3"/>
  <c r="G572" i="3"/>
  <c r="H571" i="3"/>
  <c r="G571" i="3"/>
  <c r="H570" i="3"/>
  <c r="G570" i="3"/>
  <c r="H569" i="3"/>
  <c r="G569" i="3"/>
  <c r="H568" i="3"/>
  <c r="G568" i="3"/>
  <c r="H567" i="3"/>
  <c r="G567" i="3"/>
  <c r="H566" i="3"/>
  <c r="G566" i="3"/>
  <c r="H565" i="3"/>
  <c r="G565" i="3"/>
  <c r="H564" i="3"/>
  <c r="G564" i="3"/>
  <c r="H563" i="3"/>
  <c r="G563" i="3"/>
  <c r="H562" i="3"/>
  <c r="G562" i="3"/>
  <c r="H561" i="3"/>
  <c r="G561" i="3"/>
  <c r="H560" i="3"/>
  <c r="G560" i="3"/>
  <c r="H559" i="3"/>
  <c r="G559" i="3"/>
  <c r="H558" i="3"/>
  <c r="G558" i="3"/>
  <c r="H557" i="3"/>
  <c r="G557" i="3"/>
  <c r="H556" i="3"/>
  <c r="G556" i="3"/>
  <c r="H555" i="3"/>
  <c r="G555" i="3"/>
  <c r="H554" i="3"/>
  <c r="G554" i="3"/>
  <c r="H553" i="3"/>
  <c r="G553" i="3"/>
  <c r="H552" i="3"/>
  <c r="G552" i="3"/>
  <c r="H551" i="3"/>
  <c r="G551" i="3"/>
  <c r="H550" i="3"/>
  <c r="G550" i="3"/>
  <c r="H549" i="3"/>
  <c r="G549" i="3"/>
  <c r="H548" i="3"/>
  <c r="G548" i="3"/>
  <c r="H547" i="3"/>
  <c r="G547" i="3"/>
  <c r="H546" i="3"/>
  <c r="G546" i="3"/>
  <c r="H545" i="3"/>
  <c r="G545" i="3"/>
  <c r="H544" i="3"/>
  <c r="G544" i="3"/>
  <c r="H543" i="3"/>
  <c r="G543" i="3"/>
  <c r="H542" i="3"/>
  <c r="G542" i="3"/>
  <c r="H541" i="3"/>
  <c r="G541" i="3"/>
  <c r="H540" i="3"/>
  <c r="G540" i="3"/>
  <c r="H539" i="3"/>
  <c r="G539" i="3"/>
  <c r="H538" i="3"/>
  <c r="G538" i="3"/>
  <c r="H537" i="3"/>
  <c r="G537" i="3"/>
  <c r="H536" i="3"/>
  <c r="G536" i="3"/>
  <c r="H535" i="3"/>
  <c r="G535" i="3"/>
  <c r="H534" i="3"/>
  <c r="G534" i="3"/>
  <c r="H533" i="3"/>
  <c r="G533" i="3"/>
  <c r="H532" i="3"/>
  <c r="G532" i="3"/>
  <c r="H531" i="3"/>
  <c r="G531" i="3"/>
  <c r="H530" i="3"/>
  <c r="G530" i="3"/>
  <c r="H529" i="3"/>
  <c r="G529" i="3"/>
  <c r="H528" i="3"/>
  <c r="G528" i="3"/>
  <c r="H527" i="3"/>
  <c r="G527" i="3"/>
  <c r="H526" i="3"/>
  <c r="G526" i="3"/>
  <c r="H525" i="3"/>
  <c r="G525" i="3"/>
  <c r="H524" i="3"/>
  <c r="G524" i="3"/>
  <c r="H523" i="3"/>
  <c r="G523" i="3"/>
  <c r="H522" i="3"/>
  <c r="G522" i="3"/>
  <c r="H521" i="3"/>
  <c r="G521" i="3"/>
  <c r="H520" i="3"/>
  <c r="G520" i="3"/>
  <c r="H519" i="3"/>
  <c r="G519" i="3"/>
  <c r="H518" i="3"/>
  <c r="G518" i="3"/>
  <c r="H517" i="3"/>
  <c r="G517" i="3"/>
  <c r="H516" i="3"/>
  <c r="G516" i="3"/>
  <c r="H515" i="3"/>
  <c r="G515" i="3"/>
  <c r="H514" i="3"/>
  <c r="G514" i="3"/>
  <c r="H513" i="3"/>
  <c r="G513" i="3"/>
  <c r="H512" i="3"/>
  <c r="G512" i="3"/>
  <c r="H511" i="3"/>
  <c r="G511" i="3"/>
  <c r="H510" i="3"/>
  <c r="G510" i="3"/>
  <c r="H509" i="3"/>
  <c r="G509" i="3"/>
  <c r="H508" i="3"/>
  <c r="G508" i="3"/>
  <c r="H507" i="3"/>
  <c r="G507" i="3"/>
  <c r="H506" i="3"/>
  <c r="G506" i="3"/>
  <c r="H505" i="3"/>
  <c r="G505" i="3"/>
  <c r="H504" i="3"/>
  <c r="G504" i="3"/>
  <c r="H503" i="3"/>
  <c r="G503" i="3"/>
  <c r="H502" i="3"/>
  <c r="G502" i="3"/>
  <c r="H501" i="3"/>
  <c r="G501" i="3"/>
  <c r="H500" i="3"/>
  <c r="G500" i="3"/>
  <c r="H499" i="3"/>
  <c r="G499" i="3"/>
  <c r="H498" i="3"/>
  <c r="G498" i="3"/>
  <c r="H497" i="3"/>
  <c r="G497" i="3"/>
  <c r="H496" i="3"/>
  <c r="G496" i="3"/>
  <c r="H495" i="3"/>
  <c r="G495" i="3"/>
  <c r="H494" i="3"/>
  <c r="G494" i="3"/>
  <c r="H493" i="3"/>
  <c r="G493" i="3"/>
  <c r="H492" i="3"/>
  <c r="G492" i="3"/>
  <c r="H491" i="3"/>
  <c r="G491" i="3"/>
  <c r="H490" i="3"/>
  <c r="G490" i="3"/>
  <c r="H489" i="3"/>
  <c r="G489" i="3"/>
  <c r="H488" i="3"/>
  <c r="G488" i="3"/>
  <c r="H487" i="3"/>
  <c r="G487" i="3"/>
  <c r="H486" i="3"/>
  <c r="G486" i="3"/>
  <c r="H485" i="3"/>
  <c r="G485" i="3"/>
  <c r="H484" i="3"/>
  <c r="G484" i="3"/>
  <c r="H483" i="3"/>
  <c r="G483" i="3"/>
  <c r="H482" i="3"/>
  <c r="G482" i="3"/>
  <c r="H481" i="3"/>
  <c r="G481" i="3"/>
  <c r="H480" i="3"/>
  <c r="G480" i="3"/>
  <c r="H479" i="3"/>
  <c r="G479" i="3"/>
  <c r="H478" i="3"/>
  <c r="G478" i="3"/>
  <c r="H477" i="3"/>
  <c r="G477" i="3"/>
  <c r="H476" i="3"/>
  <c r="G476" i="3"/>
  <c r="H475" i="3"/>
  <c r="G475" i="3"/>
  <c r="H474" i="3"/>
  <c r="G474" i="3"/>
  <c r="H473" i="3"/>
  <c r="G473" i="3"/>
  <c r="H472" i="3"/>
  <c r="G472" i="3"/>
  <c r="H471" i="3"/>
  <c r="G471" i="3"/>
  <c r="H470" i="3"/>
  <c r="G470" i="3"/>
  <c r="H469" i="3"/>
  <c r="G469" i="3"/>
  <c r="H468" i="3"/>
  <c r="G468" i="3"/>
  <c r="H467" i="3"/>
  <c r="G467" i="3"/>
  <c r="H466" i="3"/>
  <c r="G466" i="3"/>
  <c r="H465" i="3"/>
  <c r="G465" i="3"/>
  <c r="H464" i="3"/>
  <c r="G464" i="3"/>
  <c r="H463" i="3"/>
  <c r="G463" i="3"/>
  <c r="H462" i="3"/>
  <c r="G462" i="3"/>
  <c r="H461" i="3"/>
  <c r="G461" i="3"/>
  <c r="H460" i="3"/>
  <c r="G460" i="3"/>
  <c r="H459" i="3"/>
  <c r="G459" i="3"/>
  <c r="H458" i="3"/>
  <c r="G458" i="3"/>
  <c r="H457" i="3"/>
  <c r="G457" i="3"/>
  <c r="H456" i="3"/>
  <c r="G456" i="3"/>
  <c r="H455" i="3"/>
  <c r="G455" i="3"/>
  <c r="H454" i="3"/>
  <c r="G454" i="3"/>
  <c r="H453" i="3"/>
  <c r="G453" i="3"/>
  <c r="H452" i="3"/>
  <c r="G452" i="3"/>
  <c r="H451" i="3"/>
  <c r="G451" i="3"/>
  <c r="H450" i="3"/>
  <c r="G450" i="3"/>
  <c r="H449" i="3"/>
  <c r="G449" i="3"/>
  <c r="H448" i="3"/>
  <c r="G448" i="3"/>
  <c r="H447" i="3"/>
  <c r="G447" i="3"/>
  <c r="H446" i="3"/>
  <c r="G446" i="3"/>
  <c r="H445" i="3"/>
  <c r="G445" i="3"/>
  <c r="H444" i="3"/>
  <c r="G444" i="3"/>
  <c r="H443" i="3"/>
  <c r="G443" i="3"/>
  <c r="H442" i="3"/>
  <c r="G442" i="3"/>
  <c r="H441" i="3"/>
  <c r="G441" i="3"/>
  <c r="H440" i="3"/>
  <c r="G440" i="3"/>
  <c r="H439" i="3"/>
  <c r="G439" i="3"/>
  <c r="H438" i="3"/>
  <c r="G438" i="3"/>
  <c r="H437" i="3"/>
  <c r="G437" i="3"/>
  <c r="H436" i="3"/>
  <c r="G436" i="3"/>
  <c r="H435" i="3"/>
  <c r="G435" i="3"/>
  <c r="H434" i="3"/>
  <c r="G434" i="3"/>
  <c r="H433" i="3"/>
  <c r="G433" i="3"/>
  <c r="H432" i="3"/>
  <c r="G432" i="3"/>
  <c r="H431" i="3"/>
  <c r="G431" i="3"/>
  <c r="H430" i="3"/>
  <c r="G430" i="3"/>
  <c r="H429" i="3"/>
  <c r="G429" i="3"/>
  <c r="H428" i="3"/>
  <c r="G428" i="3"/>
  <c r="H427" i="3"/>
  <c r="G427" i="3"/>
  <c r="H426" i="3"/>
  <c r="G426" i="3"/>
  <c r="H425" i="3"/>
  <c r="G425" i="3"/>
  <c r="H424" i="3"/>
  <c r="G424" i="3"/>
  <c r="H423" i="3"/>
  <c r="G423" i="3"/>
  <c r="H422" i="3"/>
  <c r="G422" i="3"/>
  <c r="H421" i="3"/>
  <c r="G421" i="3"/>
  <c r="H420" i="3"/>
  <c r="G420" i="3"/>
  <c r="H419" i="3"/>
  <c r="G419" i="3"/>
  <c r="H418" i="3"/>
  <c r="G418" i="3"/>
  <c r="H417" i="3"/>
  <c r="G417" i="3"/>
  <c r="H416" i="3"/>
  <c r="G416" i="3"/>
  <c r="H415" i="3"/>
  <c r="G415" i="3"/>
  <c r="H414" i="3"/>
  <c r="G414" i="3"/>
  <c r="H413" i="3"/>
  <c r="G413" i="3"/>
  <c r="H412" i="3"/>
  <c r="G412" i="3"/>
  <c r="H411" i="3"/>
  <c r="G411" i="3"/>
  <c r="H410" i="3"/>
  <c r="G410" i="3"/>
  <c r="H409" i="3"/>
  <c r="G409" i="3"/>
  <c r="H408" i="3"/>
  <c r="G408" i="3"/>
  <c r="H407" i="3"/>
  <c r="G407" i="3"/>
  <c r="H406" i="3"/>
  <c r="G406" i="3"/>
  <c r="H405" i="3"/>
  <c r="G405" i="3"/>
  <c r="H404" i="3"/>
  <c r="G404" i="3"/>
  <c r="H403" i="3"/>
  <c r="G403" i="3"/>
  <c r="H402" i="3"/>
  <c r="G402" i="3"/>
  <c r="H401" i="3"/>
  <c r="G401" i="3"/>
  <c r="H400" i="3"/>
  <c r="G400" i="3"/>
  <c r="H399" i="3"/>
  <c r="G399" i="3"/>
  <c r="H398" i="3"/>
  <c r="G398" i="3"/>
  <c r="H397" i="3"/>
  <c r="G397" i="3"/>
  <c r="H396" i="3"/>
  <c r="G396" i="3"/>
  <c r="H395" i="3"/>
  <c r="G395" i="3"/>
  <c r="H394" i="3"/>
  <c r="G394" i="3"/>
  <c r="H393" i="3"/>
  <c r="G393" i="3"/>
  <c r="H392" i="3"/>
  <c r="G392" i="3"/>
  <c r="H391" i="3"/>
  <c r="G391" i="3"/>
  <c r="H390" i="3"/>
  <c r="G390" i="3"/>
  <c r="H389" i="3"/>
  <c r="G389" i="3"/>
  <c r="H388" i="3"/>
  <c r="G388" i="3"/>
  <c r="H387" i="3"/>
  <c r="G387" i="3"/>
  <c r="H386" i="3"/>
  <c r="G386" i="3"/>
  <c r="H385" i="3"/>
  <c r="G385" i="3"/>
  <c r="H384" i="3"/>
  <c r="G384" i="3"/>
  <c r="H383" i="3"/>
  <c r="G383" i="3"/>
  <c r="H382" i="3"/>
  <c r="G382" i="3"/>
  <c r="H381" i="3"/>
  <c r="G381" i="3"/>
  <c r="H380" i="3"/>
  <c r="G380" i="3"/>
  <c r="H379" i="3"/>
  <c r="G379" i="3"/>
  <c r="H378" i="3"/>
  <c r="G378" i="3"/>
  <c r="H377" i="3"/>
  <c r="G377" i="3"/>
  <c r="H376" i="3"/>
  <c r="G376" i="3"/>
  <c r="H375" i="3"/>
  <c r="G375" i="3"/>
  <c r="H374" i="3"/>
  <c r="G374" i="3"/>
  <c r="H373" i="3"/>
  <c r="G373" i="3"/>
  <c r="H372" i="3"/>
  <c r="G372" i="3"/>
  <c r="H371" i="3"/>
  <c r="G371" i="3"/>
  <c r="H370" i="3"/>
  <c r="G370" i="3"/>
  <c r="H369" i="3"/>
  <c r="G369" i="3"/>
  <c r="H368" i="3"/>
  <c r="G368" i="3"/>
  <c r="H367" i="3"/>
  <c r="G367" i="3"/>
  <c r="H366" i="3"/>
  <c r="G366" i="3"/>
  <c r="H365" i="3"/>
  <c r="G365" i="3"/>
  <c r="H364" i="3"/>
  <c r="G364" i="3"/>
  <c r="H363" i="3"/>
  <c r="G363" i="3"/>
  <c r="H362" i="3"/>
  <c r="G362" i="3"/>
  <c r="H361" i="3"/>
  <c r="G361" i="3"/>
  <c r="H360" i="3"/>
  <c r="G360" i="3"/>
  <c r="H359" i="3"/>
  <c r="G359" i="3"/>
  <c r="H358" i="3"/>
  <c r="G358" i="3"/>
  <c r="H357" i="3"/>
  <c r="G357" i="3"/>
  <c r="H356" i="3"/>
  <c r="G356" i="3"/>
  <c r="H355" i="3"/>
  <c r="G355" i="3"/>
  <c r="H354" i="3"/>
  <c r="G354" i="3"/>
  <c r="H353" i="3"/>
  <c r="G353" i="3"/>
  <c r="H352" i="3"/>
  <c r="G352" i="3"/>
  <c r="H351" i="3"/>
  <c r="G351" i="3"/>
  <c r="H350" i="3"/>
  <c r="G350" i="3"/>
  <c r="H349" i="3"/>
  <c r="G349" i="3"/>
  <c r="H348" i="3"/>
  <c r="G348" i="3"/>
  <c r="H347" i="3"/>
  <c r="G347" i="3"/>
  <c r="H346" i="3"/>
  <c r="G346" i="3"/>
  <c r="H345" i="3"/>
  <c r="G345" i="3"/>
  <c r="H344" i="3"/>
  <c r="G344" i="3"/>
  <c r="H343" i="3"/>
  <c r="G343" i="3"/>
  <c r="H342" i="3"/>
  <c r="G342" i="3"/>
  <c r="H341" i="3"/>
  <c r="G341" i="3"/>
  <c r="H340" i="3"/>
  <c r="G340" i="3"/>
  <c r="H339" i="3"/>
  <c r="G339" i="3"/>
  <c r="H338" i="3"/>
  <c r="G338" i="3"/>
  <c r="H337" i="3"/>
  <c r="G337" i="3"/>
  <c r="H336" i="3"/>
  <c r="G336" i="3"/>
  <c r="H335" i="3"/>
  <c r="G335" i="3"/>
  <c r="H334" i="3"/>
  <c r="G334" i="3"/>
  <c r="H333" i="3"/>
  <c r="G333" i="3"/>
  <c r="H332" i="3"/>
  <c r="G332" i="3"/>
  <c r="H331" i="3"/>
  <c r="G331" i="3"/>
  <c r="H330" i="3"/>
  <c r="G330" i="3"/>
  <c r="H329" i="3"/>
  <c r="G329" i="3"/>
  <c r="H328" i="3"/>
  <c r="G328" i="3"/>
  <c r="H327" i="3"/>
  <c r="G327" i="3"/>
  <c r="H326" i="3"/>
  <c r="G326" i="3"/>
  <c r="H325" i="3"/>
  <c r="G325" i="3"/>
  <c r="H324" i="3"/>
  <c r="G324" i="3"/>
  <c r="H323" i="3"/>
  <c r="G323" i="3"/>
  <c r="H322" i="3"/>
  <c r="G322" i="3"/>
  <c r="H321" i="3"/>
  <c r="G321" i="3"/>
  <c r="H320" i="3"/>
  <c r="G320" i="3"/>
  <c r="H319" i="3"/>
  <c r="G319" i="3"/>
  <c r="H318" i="3"/>
  <c r="G318" i="3"/>
  <c r="H317" i="3"/>
  <c r="G317" i="3"/>
  <c r="H316" i="3"/>
  <c r="G316" i="3"/>
  <c r="H315" i="3"/>
  <c r="G315" i="3"/>
  <c r="H314" i="3"/>
  <c r="G314" i="3"/>
  <c r="H313" i="3"/>
  <c r="G313" i="3"/>
  <c r="H312" i="3"/>
  <c r="G312" i="3"/>
  <c r="H311" i="3"/>
  <c r="G311" i="3"/>
  <c r="H310" i="3"/>
  <c r="G310" i="3"/>
  <c r="H309" i="3"/>
  <c r="G309" i="3"/>
  <c r="H308" i="3"/>
  <c r="G308" i="3"/>
  <c r="H307" i="3"/>
  <c r="G307" i="3"/>
  <c r="H306" i="3"/>
  <c r="G306" i="3"/>
  <c r="H305" i="3"/>
  <c r="G305" i="3"/>
  <c r="H304" i="3"/>
  <c r="G304" i="3"/>
  <c r="H303" i="3"/>
  <c r="G303" i="3"/>
  <c r="H302" i="3"/>
  <c r="G302" i="3"/>
  <c r="H301" i="3"/>
  <c r="G301" i="3"/>
  <c r="H300" i="3"/>
  <c r="G300" i="3"/>
  <c r="H299" i="3"/>
  <c r="G299" i="3"/>
  <c r="H298" i="3"/>
  <c r="G298" i="3"/>
  <c r="H297" i="3"/>
  <c r="G297" i="3"/>
  <c r="H296" i="3"/>
  <c r="G296" i="3"/>
  <c r="H295" i="3"/>
  <c r="G295" i="3"/>
  <c r="H294" i="3"/>
  <c r="G294" i="3"/>
  <c r="H293" i="3"/>
  <c r="G293" i="3"/>
  <c r="H292" i="3"/>
  <c r="G292" i="3"/>
  <c r="H291" i="3"/>
  <c r="G291" i="3"/>
  <c r="H290" i="3"/>
  <c r="G290" i="3"/>
  <c r="H289" i="3"/>
  <c r="G289" i="3"/>
  <c r="H288" i="3"/>
  <c r="G288" i="3"/>
  <c r="H287" i="3"/>
  <c r="G287" i="3"/>
  <c r="H286" i="3"/>
  <c r="G286" i="3"/>
  <c r="H285" i="3"/>
  <c r="G285" i="3"/>
  <c r="H284" i="3"/>
  <c r="G284" i="3"/>
  <c r="H283" i="3"/>
  <c r="G283" i="3"/>
  <c r="H282" i="3"/>
  <c r="G282" i="3"/>
  <c r="H281" i="3"/>
  <c r="G281" i="3"/>
  <c r="H280" i="3"/>
  <c r="G280" i="3"/>
  <c r="H279" i="3"/>
  <c r="G279" i="3"/>
  <c r="H278" i="3"/>
  <c r="G278" i="3"/>
  <c r="H277" i="3"/>
  <c r="G277" i="3"/>
  <c r="H276" i="3"/>
  <c r="G276" i="3"/>
  <c r="H275" i="3"/>
  <c r="G275" i="3"/>
  <c r="H274" i="3"/>
  <c r="G274" i="3"/>
  <c r="H273" i="3"/>
  <c r="G273" i="3"/>
  <c r="H272" i="3"/>
  <c r="G272" i="3"/>
  <c r="H271" i="3"/>
  <c r="G271" i="3"/>
  <c r="H270" i="3"/>
  <c r="G270" i="3"/>
  <c r="H269" i="3"/>
  <c r="G269" i="3"/>
  <c r="H268" i="3"/>
  <c r="G268" i="3"/>
  <c r="H267" i="3"/>
  <c r="G267" i="3"/>
  <c r="H266" i="3"/>
  <c r="G266" i="3"/>
  <c r="H265" i="3"/>
  <c r="G265" i="3"/>
  <c r="H264" i="3"/>
  <c r="G264" i="3"/>
  <c r="H263" i="3"/>
  <c r="G263" i="3"/>
  <c r="H262" i="3"/>
  <c r="G262" i="3"/>
  <c r="H261" i="3"/>
  <c r="G261" i="3"/>
  <c r="H260" i="3"/>
  <c r="G260" i="3"/>
  <c r="H259" i="3"/>
  <c r="G259" i="3"/>
  <c r="H258" i="3"/>
  <c r="G258" i="3"/>
  <c r="H257" i="3"/>
  <c r="G257" i="3"/>
  <c r="H256" i="3"/>
  <c r="G256" i="3"/>
  <c r="H255" i="3"/>
  <c r="G255" i="3"/>
  <c r="H254" i="3"/>
  <c r="G254" i="3"/>
  <c r="H253" i="3"/>
  <c r="G253" i="3"/>
  <c r="H252" i="3"/>
  <c r="G252" i="3"/>
  <c r="H251" i="3"/>
  <c r="G251" i="3"/>
  <c r="H250" i="3"/>
  <c r="G250" i="3"/>
  <c r="H249" i="3"/>
  <c r="G249" i="3"/>
  <c r="H248" i="3"/>
  <c r="G248" i="3"/>
  <c r="H247" i="3"/>
  <c r="G247" i="3"/>
  <c r="H246" i="3"/>
  <c r="G246" i="3"/>
  <c r="H245" i="3"/>
  <c r="G245" i="3"/>
  <c r="H244" i="3"/>
  <c r="G244" i="3"/>
  <c r="H243" i="3"/>
  <c r="G243" i="3"/>
  <c r="H242" i="3"/>
  <c r="G242" i="3"/>
  <c r="H241" i="3"/>
  <c r="G241" i="3"/>
  <c r="H240" i="3"/>
  <c r="G240" i="3"/>
  <c r="H239" i="3"/>
  <c r="G239" i="3"/>
  <c r="H238" i="3"/>
  <c r="G238" i="3"/>
  <c r="H237" i="3"/>
  <c r="G237" i="3"/>
  <c r="H236" i="3"/>
  <c r="G236" i="3"/>
  <c r="H235" i="3"/>
  <c r="G235" i="3"/>
  <c r="H234" i="3"/>
  <c r="G234" i="3"/>
  <c r="H233" i="3"/>
  <c r="G233" i="3"/>
  <c r="H232" i="3"/>
  <c r="G232" i="3"/>
  <c r="H231" i="3"/>
  <c r="G231" i="3"/>
  <c r="H230" i="3"/>
  <c r="G230" i="3"/>
  <c r="H229" i="3"/>
  <c r="G229" i="3"/>
  <c r="H228" i="3"/>
  <c r="G228" i="3"/>
  <c r="H227" i="3"/>
  <c r="G227" i="3"/>
  <c r="H226" i="3"/>
  <c r="G226" i="3"/>
  <c r="H225" i="3"/>
  <c r="G225" i="3"/>
  <c r="H224" i="3"/>
  <c r="G224" i="3"/>
  <c r="H223" i="3"/>
  <c r="G223" i="3"/>
  <c r="H222" i="3"/>
  <c r="G222" i="3"/>
  <c r="H221" i="3"/>
  <c r="G221" i="3"/>
  <c r="H220" i="3"/>
  <c r="G220" i="3"/>
  <c r="H219" i="3"/>
  <c r="G219" i="3"/>
  <c r="H218" i="3"/>
  <c r="G218" i="3"/>
  <c r="H217" i="3"/>
  <c r="G217" i="3"/>
  <c r="H216" i="3"/>
  <c r="G216" i="3"/>
  <c r="H215" i="3"/>
  <c r="G215" i="3"/>
  <c r="H214" i="3"/>
  <c r="G214" i="3"/>
  <c r="H213" i="3"/>
  <c r="G213" i="3"/>
  <c r="H212" i="3"/>
  <c r="G212" i="3"/>
  <c r="H211" i="3"/>
  <c r="G211" i="3"/>
  <c r="H210" i="3"/>
  <c r="G210" i="3"/>
  <c r="H209" i="3"/>
  <c r="G209" i="3"/>
  <c r="H208" i="3"/>
  <c r="G208" i="3"/>
  <c r="H207" i="3"/>
  <c r="G207" i="3"/>
  <c r="H206" i="3"/>
  <c r="G206" i="3"/>
  <c r="H205" i="3"/>
  <c r="G205" i="3"/>
  <c r="H204" i="3"/>
  <c r="G204" i="3"/>
  <c r="H203" i="3"/>
  <c r="G203" i="3"/>
  <c r="H202" i="3"/>
  <c r="G202" i="3"/>
  <c r="H201" i="3"/>
  <c r="G201" i="3"/>
  <c r="H200" i="3"/>
  <c r="G200" i="3"/>
  <c r="H199" i="3"/>
  <c r="G199" i="3"/>
  <c r="H198" i="3"/>
  <c r="G198" i="3"/>
  <c r="H197" i="3"/>
  <c r="G197" i="3"/>
  <c r="H196" i="3"/>
  <c r="G196" i="3"/>
  <c r="H195" i="3"/>
  <c r="G195" i="3"/>
  <c r="H194" i="3"/>
  <c r="G194" i="3"/>
  <c r="H193" i="3"/>
  <c r="G193" i="3"/>
  <c r="H192" i="3"/>
  <c r="G192" i="3"/>
  <c r="H191" i="3"/>
  <c r="G191" i="3"/>
  <c r="H190" i="3"/>
  <c r="G190" i="3"/>
  <c r="H189" i="3"/>
  <c r="G189" i="3"/>
  <c r="H188" i="3"/>
  <c r="G188" i="3"/>
  <c r="H187" i="3"/>
  <c r="G187" i="3"/>
  <c r="H186" i="3"/>
  <c r="G186" i="3"/>
  <c r="H185" i="3"/>
  <c r="G185" i="3"/>
  <c r="H184" i="3"/>
  <c r="G184" i="3"/>
  <c r="H183" i="3"/>
  <c r="G183" i="3"/>
  <c r="H182" i="3"/>
  <c r="G182" i="3"/>
  <c r="H181" i="3"/>
  <c r="G181" i="3"/>
  <c r="H180" i="3"/>
  <c r="G180" i="3"/>
  <c r="H179" i="3"/>
  <c r="G179" i="3"/>
  <c r="H178" i="3"/>
  <c r="G178" i="3"/>
  <c r="H177" i="3"/>
  <c r="G177" i="3"/>
  <c r="H176" i="3"/>
  <c r="G176" i="3"/>
  <c r="H175" i="3"/>
  <c r="G175" i="3"/>
  <c r="H174" i="3"/>
  <c r="G174" i="3"/>
  <c r="H173" i="3"/>
  <c r="G173" i="3"/>
  <c r="H172" i="3"/>
  <c r="G172" i="3"/>
  <c r="H171" i="3"/>
  <c r="G171" i="3"/>
  <c r="H170" i="3"/>
  <c r="G170" i="3"/>
  <c r="H169" i="3"/>
  <c r="G169" i="3"/>
  <c r="H168" i="3"/>
  <c r="G168" i="3"/>
  <c r="H167" i="3"/>
  <c r="G167" i="3"/>
  <c r="H166" i="3"/>
  <c r="G166" i="3"/>
  <c r="H165" i="3"/>
  <c r="G165" i="3"/>
  <c r="H164" i="3"/>
  <c r="G164" i="3"/>
  <c r="H163" i="3"/>
  <c r="G163" i="3"/>
  <c r="H162" i="3"/>
  <c r="G162" i="3"/>
  <c r="H161" i="3"/>
  <c r="G161" i="3"/>
  <c r="H160" i="3"/>
  <c r="G160" i="3"/>
  <c r="H159" i="3"/>
  <c r="G159" i="3"/>
  <c r="H158" i="3"/>
  <c r="G158" i="3"/>
  <c r="H157" i="3"/>
  <c r="G157" i="3"/>
  <c r="H156" i="3"/>
  <c r="G156" i="3"/>
  <c r="H155" i="3"/>
  <c r="G155" i="3"/>
  <c r="H154" i="3"/>
  <c r="G154" i="3"/>
  <c r="H153" i="3"/>
  <c r="G153" i="3"/>
  <c r="H152" i="3"/>
  <c r="G152" i="3"/>
  <c r="H151" i="3"/>
  <c r="G151" i="3"/>
  <c r="H150" i="3"/>
  <c r="G150" i="3"/>
  <c r="H149" i="3"/>
  <c r="G149" i="3"/>
  <c r="H148" i="3"/>
  <c r="G148" i="3"/>
  <c r="H147" i="3"/>
  <c r="G147" i="3"/>
  <c r="H146" i="3"/>
  <c r="G146" i="3"/>
  <c r="H145" i="3"/>
  <c r="G145" i="3"/>
  <c r="H144" i="3"/>
  <c r="G144" i="3"/>
  <c r="H143" i="3"/>
  <c r="G143" i="3"/>
  <c r="H142" i="3"/>
  <c r="G142" i="3"/>
  <c r="H141" i="3"/>
  <c r="G141" i="3"/>
  <c r="H140" i="3"/>
  <c r="G140" i="3"/>
  <c r="H139" i="3"/>
  <c r="G139" i="3"/>
  <c r="H138" i="3"/>
  <c r="G138" i="3"/>
  <c r="H137" i="3"/>
  <c r="G137" i="3"/>
  <c r="H136" i="3"/>
  <c r="G136" i="3"/>
  <c r="H135" i="3"/>
  <c r="G135" i="3"/>
  <c r="H134" i="3"/>
  <c r="G134" i="3"/>
  <c r="H133" i="3"/>
  <c r="G133" i="3"/>
  <c r="H132" i="3"/>
  <c r="G132" i="3"/>
  <c r="H131" i="3"/>
  <c r="G131" i="3"/>
  <c r="H130" i="3"/>
  <c r="G130" i="3"/>
  <c r="H129" i="3"/>
  <c r="G129" i="3"/>
  <c r="H128" i="3"/>
  <c r="G128" i="3"/>
  <c r="H127" i="3"/>
  <c r="G127" i="3"/>
  <c r="H126" i="3"/>
  <c r="G126" i="3"/>
  <c r="H125" i="3"/>
  <c r="G125" i="3"/>
  <c r="H124" i="3"/>
  <c r="G124" i="3"/>
  <c r="H123" i="3"/>
  <c r="G123" i="3"/>
  <c r="H122" i="3"/>
  <c r="G122" i="3"/>
  <c r="H121" i="3"/>
  <c r="G121" i="3"/>
  <c r="H120" i="3"/>
  <c r="G120" i="3"/>
  <c r="H119" i="3"/>
  <c r="G119" i="3"/>
  <c r="H118" i="3"/>
  <c r="G118" i="3"/>
  <c r="H117" i="3"/>
  <c r="G117" i="3"/>
  <c r="H116" i="3"/>
  <c r="G116" i="3"/>
  <c r="H115" i="3"/>
  <c r="G115" i="3"/>
  <c r="H114" i="3"/>
  <c r="G114" i="3"/>
  <c r="H113" i="3"/>
  <c r="G113" i="3"/>
  <c r="H112" i="3"/>
  <c r="G112" i="3"/>
  <c r="H111" i="3"/>
  <c r="G111" i="3"/>
  <c r="H110" i="3"/>
  <c r="G110" i="3"/>
  <c r="H109" i="3"/>
  <c r="G109" i="3"/>
  <c r="H108" i="3"/>
  <c r="G108" i="3"/>
  <c r="H107" i="3"/>
  <c r="G107" i="3"/>
  <c r="H106" i="3"/>
  <c r="G106" i="3"/>
  <c r="H105" i="3"/>
  <c r="G105" i="3"/>
  <c r="H104" i="3"/>
  <c r="G104" i="3"/>
  <c r="H103" i="3"/>
  <c r="G103" i="3"/>
  <c r="H102" i="3"/>
  <c r="G102" i="3"/>
  <c r="H101" i="3"/>
  <c r="G101" i="3"/>
  <c r="H100" i="3"/>
  <c r="G100" i="3"/>
  <c r="H99" i="3"/>
  <c r="G99" i="3"/>
  <c r="H98" i="3"/>
  <c r="G98" i="3"/>
  <c r="H97" i="3"/>
  <c r="G97" i="3"/>
  <c r="H96" i="3"/>
  <c r="G96" i="3"/>
  <c r="H95" i="3"/>
  <c r="G95" i="3"/>
  <c r="H94" i="3"/>
  <c r="G94" i="3"/>
  <c r="H93" i="3"/>
  <c r="G93" i="3"/>
  <c r="H92" i="3"/>
  <c r="G92" i="3"/>
  <c r="H91" i="3"/>
  <c r="G91" i="3"/>
  <c r="H90" i="3"/>
  <c r="G90" i="3"/>
  <c r="H89" i="3"/>
  <c r="G89" i="3"/>
  <c r="H88" i="3"/>
  <c r="G88" i="3"/>
  <c r="H87" i="3"/>
  <c r="G87" i="3"/>
  <c r="H86" i="3"/>
  <c r="G86" i="3"/>
  <c r="H85" i="3"/>
  <c r="G85" i="3"/>
  <c r="H84" i="3"/>
  <c r="G84" i="3"/>
  <c r="H83" i="3"/>
  <c r="G83" i="3"/>
  <c r="H82" i="3"/>
  <c r="G82" i="3"/>
  <c r="H81" i="3"/>
  <c r="G81" i="3"/>
  <c r="H80" i="3"/>
  <c r="G80" i="3"/>
  <c r="H79" i="3"/>
  <c r="G79" i="3"/>
  <c r="H78" i="3"/>
  <c r="G78" i="3"/>
  <c r="H77" i="3"/>
  <c r="G77" i="3"/>
  <c r="H76" i="3"/>
  <c r="G76" i="3"/>
  <c r="H75" i="3"/>
  <c r="G75" i="3"/>
  <c r="H74" i="3"/>
  <c r="G74" i="3"/>
  <c r="H73" i="3"/>
  <c r="G73" i="3"/>
  <c r="H72" i="3"/>
  <c r="G72" i="3"/>
  <c r="H71" i="3"/>
  <c r="G71" i="3"/>
  <c r="H70" i="3"/>
  <c r="G70" i="3"/>
  <c r="H69" i="3"/>
  <c r="G69" i="3"/>
  <c r="H68" i="3"/>
  <c r="G68" i="3"/>
  <c r="H67" i="3"/>
  <c r="G67" i="3"/>
  <c r="H66" i="3"/>
  <c r="G66" i="3"/>
  <c r="H65" i="3"/>
  <c r="G65" i="3"/>
  <c r="H64" i="3"/>
  <c r="G64" i="3"/>
  <c r="H63" i="3"/>
  <c r="G63" i="3"/>
  <c r="H62" i="3"/>
  <c r="G62" i="3"/>
  <c r="H61" i="3"/>
  <c r="G61" i="3"/>
  <c r="H60" i="3"/>
  <c r="G60" i="3"/>
  <c r="H59" i="3"/>
  <c r="G59" i="3"/>
  <c r="H58" i="3"/>
  <c r="G58" i="3"/>
  <c r="H57" i="3"/>
  <c r="G57" i="3"/>
  <c r="H56" i="3"/>
  <c r="G56" i="3"/>
  <c r="H55" i="3"/>
  <c r="G55" i="3"/>
  <c r="H54" i="3"/>
  <c r="G54" i="3"/>
  <c r="H53" i="3"/>
  <c r="G53" i="3"/>
  <c r="H52" i="3"/>
  <c r="G52" i="3"/>
  <c r="H51" i="3"/>
  <c r="G51" i="3"/>
  <c r="H50" i="3"/>
  <c r="G50" i="3"/>
  <c r="H49" i="3"/>
  <c r="G49" i="3"/>
  <c r="H48" i="3"/>
  <c r="G48" i="3"/>
  <c r="H47" i="3"/>
  <c r="G47" i="3"/>
  <c r="H46" i="3"/>
  <c r="G46" i="3"/>
  <c r="H45" i="3"/>
  <c r="G45" i="3"/>
  <c r="H44" i="3"/>
  <c r="G44" i="3"/>
  <c r="H43" i="3"/>
  <c r="G43" i="3"/>
  <c r="H42" i="3"/>
  <c r="G42" i="3"/>
  <c r="H41" i="3"/>
  <c r="G41" i="3"/>
  <c r="H40" i="3"/>
  <c r="G40" i="3"/>
  <c r="H39" i="3"/>
  <c r="G39" i="3"/>
  <c r="H38" i="3"/>
  <c r="G38" i="3"/>
  <c r="H37" i="3"/>
  <c r="G37" i="3"/>
  <c r="H36" i="3"/>
  <c r="G36" i="3"/>
  <c r="H35" i="3"/>
  <c r="G35" i="3"/>
  <c r="H34" i="3"/>
  <c r="G34" i="3"/>
  <c r="H33" i="3"/>
  <c r="G33" i="3"/>
  <c r="H32" i="3"/>
  <c r="G32" i="3"/>
  <c r="H31" i="3"/>
  <c r="G31" i="3"/>
  <c r="H30" i="3"/>
  <c r="G30" i="3"/>
  <c r="H29" i="3"/>
  <c r="G29" i="3"/>
  <c r="H28" i="3"/>
  <c r="G28" i="3"/>
  <c r="H27" i="3"/>
  <c r="G27" i="3"/>
  <c r="H26" i="3"/>
  <c r="G26" i="3"/>
  <c r="H25" i="3"/>
  <c r="G25" i="3"/>
  <c r="H24" i="3"/>
  <c r="G24" i="3"/>
  <c r="H23" i="3"/>
  <c r="G23" i="3"/>
  <c r="H22" i="3"/>
  <c r="G22" i="3"/>
  <c r="H21" i="3"/>
  <c r="G21" i="3"/>
  <c r="H20" i="3"/>
  <c r="G20" i="3"/>
  <c r="H19" i="3"/>
  <c r="G19" i="3"/>
  <c r="H18" i="3"/>
  <c r="G18" i="3"/>
  <c r="H17" i="3"/>
  <c r="G17" i="3"/>
  <c r="H16" i="3"/>
  <c r="G16" i="3"/>
  <c r="H15" i="3"/>
  <c r="G15" i="3"/>
  <c r="H14" i="3"/>
  <c r="G14" i="3"/>
  <c r="H13" i="3"/>
  <c r="G13" i="3"/>
  <c r="H12" i="3"/>
  <c r="G12" i="3"/>
  <c r="H11" i="3"/>
  <c r="G11" i="3"/>
  <c r="H10" i="3"/>
  <c r="G10" i="3"/>
  <c r="H9" i="3"/>
  <c r="G9" i="3"/>
  <c r="H8" i="3"/>
  <c r="G8" i="3"/>
  <c r="H7" i="3"/>
  <c r="G7" i="3"/>
  <c r="H6" i="3"/>
  <c r="G6" i="3"/>
  <c r="H5" i="3"/>
  <c r="G5" i="3"/>
  <c r="H4" i="3"/>
  <c r="G4" i="3"/>
  <c r="AV544" i="2"/>
  <c r="AU544" i="2"/>
  <c r="AT544" i="2"/>
  <c r="G544" i="2"/>
  <c r="F544" i="2"/>
  <c r="AV543" i="2"/>
  <c r="AU543" i="2"/>
  <c r="AT543" i="2"/>
  <c r="G543" i="2"/>
  <c r="F543" i="2"/>
  <c r="AV542" i="2"/>
  <c r="AU542" i="2"/>
  <c r="AT542" i="2"/>
  <c r="G542" i="2"/>
  <c r="F542" i="2"/>
  <c r="AV541" i="2"/>
  <c r="AU541" i="2"/>
  <c r="AT541" i="2"/>
  <c r="G541" i="2"/>
  <c r="F541" i="2"/>
  <c r="AV540" i="2"/>
  <c r="AU540" i="2"/>
  <c r="AT540" i="2"/>
  <c r="G540" i="2"/>
  <c r="F540" i="2"/>
  <c r="AV539" i="2"/>
  <c r="AU539" i="2"/>
  <c r="AT539" i="2"/>
  <c r="G539" i="2"/>
  <c r="F539" i="2"/>
  <c r="AV538" i="2"/>
  <c r="AU538" i="2"/>
  <c r="AT538" i="2"/>
  <c r="G538" i="2"/>
  <c r="F538" i="2"/>
  <c r="AV537" i="2"/>
  <c r="AU537" i="2"/>
  <c r="AT537" i="2"/>
  <c r="G537" i="2"/>
  <c r="F537" i="2"/>
  <c r="AV536" i="2"/>
  <c r="AU536" i="2"/>
  <c r="AT536" i="2"/>
  <c r="G536" i="2"/>
  <c r="F536" i="2"/>
  <c r="AV535" i="2"/>
  <c r="AU535" i="2"/>
  <c r="AT535" i="2"/>
  <c r="G535" i="2"/>
  <c r="F535" i="2"/>
  <c r="AV534" i="2"/>
  <c r="AU534" i="2"/>
  <c r="AT534" i="2"/>
  <c r="G534" i="2"/>
  <c r="F534" i="2"/>
  <c r="AV533" i="2"/>
  <c r="AU533" i="2"/>
  <c r="AT533" i="2"/>
  <c r="G533" i="2"/>
  <c r="F533" i="2"/>
  <c r="AV532" i="2"/>
  <c r="AU532" i="2"/>
  <c r="AT532" i="2"/>
  <c r="G532" i="2"/>
  <c r="F532" i="2"/>
  <c r="AV531" i="2"/>
  <c r="AU531" i="2"/>
  <c r="AT531" i="2"/>
  <c r="G531" i="2"/>
  <c r="F531" i="2"/>
  <c r="AV530" i="2"/>
  <c r="AU530" i="2"/>
  <c r="AT530" i="2"/>
  <c r="G530" i="2"/>
  <c r="F530" i="2"/>
  <c r="AV529" i="2"/>
  <c r="AU529" i="2"/>
  <c r="AT529" i="2"/>
  <c r="G529" i="2"/>
  <c r="F529" i="2"/>
  <c r="AV528" i="2"/>
  <c r="AU528" i="2"/>
  <c r="AT528" i="2"/>
  <c r="G528" i="2"/>
  <c r="F528" i="2"/>
  <c r="AV527" i="2"/>
  <c r="AU527" i="2"/>
  <c r="AT527" i="2"/>
  <c r="G527" i="2"/>
  <c r="F527" i="2"/>
  <c r="AV526" i="2"/>
  <c r="AU526" i="2"/>
  <c r="AT526" i="2"/>
  <c r="G526" i="2"/>
  <c r="F526" i="2"/>
  <c r="AV525" i="2"/>
  <c r="AU525" i="2"/>
  <c r="AT525" i="2"/>
  <c r="G525" i="2"/>
  <c r="F525" i="2"/>
  <c r="AV524" i="2"/>
  <c r="AU524" i="2"/>
  <c r="AT524" i="2"/>
  <c r="G524" i="2"/>
  <c r="F524" i="2"/>
  <c r="AV523" i="2"/>
  <c r="AU523" i="2"/>
  <c r="AT523" i="2"/>
  <c r="G523" i="2"/>
  <c r="F523" i="2"/>
  <c r="AV522" i="2"/>
  <c r="AU522" i="2"/>
  <c r="AT522" i="2"/>
  <c r="G522" i="2"/>
  <c r="F522" i="2"/>
  <c r="AV521" i="2"/>
  <c r="AU521" i="2"/>
  <c r="AT521" i="2"/>
  <c r="G521" i="2"/>
  <c r="F521" i="2"/>
  <c r="AV520" i="2"/>
  <c r="AU520" i="2"/>
  <c r="AT520" i="2"/>
  <c r="G520" i="2"/>
  <c r="F520" i="2"/>
  <c r="AV519" i="2"/>
  <c r="AU519" i="2"/>
  <c r="AT519" i="2"/>
  <c r="G519" i="2"/>
  <c r="F519" i="2"/>
  <c r="AV518" i="2"/>
  <c r="AU518" i="2"/>
  <c r="AT518" i="2"/>
  <c r="G518" i="2"/>
  <c r="F518" i="2"/>
  <c r="AV517" i="2"/>
  <c r="AU517" i="2"/>
  <c r="AT517" i="2"/>
  <c r="G517" i="2"/>
  <c r="F517" i="2"/>
  <c r="AV516" i="2"/>
  <c r="AU516" i="2"/>
  <c r="AT516" i="2"/>
  <c r="G516" i="2"/>
  <c r="F516" i="2"/>
  <c r="AV515" i="2"/>
  <c r="AU515" i="2"/>
  <c r="AT515" i="2"/>
  <c r="G515" i="2"/>
  <c r="F515" i="2"/>
  <c r="AV514" i="2"/>
  <c r="AU514" i="2"/>
  <c r="AT514" i="2"/>
  <c r="G514" i="2"/>
  <c r="F514" i="2"/>
  <c r="AV513" i="2"/>
  <c r="AU513" i="2"/>
  <c r="AT513" i="2"/>
  <c r="G513" i="2"/>
  <c r="F513" i="2"/>
  <c r="AV512" i="2"/>
  <c r="AU512" i="2"/>
  <c r="AT512" i="2"/>
  <c r="G512" i="2"/>
  <c r="F512" i="2"/>
  <c r="AV511" i="2"/>
  <c r="AU511" i="2"/>
  <c r="AT511" i="2"/>
  <c r="G511" i="2"/>
  <c r="F511" i="2"/>
  <c r="AV510" i="2"/>
  <c r="AU510" i="2"/>
  <c r="AT510" i="2"/>
  <c r="G510" i="2"/>
  <c r="F510" i="2"/>
  <c r="AV509" i="2"/>
  <c r="AU509" i="2"/>
  <c r="AT509" i="2"/>
  <c r="G509" i="2"/>
  <c r="F509" i="2"/>
  <c r="AV508" i="2"/>
  <c r="AU508" i="2"/>
  <c r="AT508" i="2"/>
  <c r="G508" i="2"/>
  <c r="F508" i="2"/>
  <c r="AV507" i="2"/>
  <c r="AU507" i="2"/>
  <c r="AT507" i="2"/>
  <c r="G507" i="2"/>
  <c r="F507" i="2"/>
  <c r="AV506" i="2"/>
  <c r="AU506" i="2"/>
  <c r="AT506" i="2"/>
  <c r="G506" i="2"/>
  <c r="F506" i="2"/>
  <c r="AV505" i="2"/>
  <c r="AU505" i="2"/>
  <c r="AT505" i="2"/>
  <c r="G505" i="2"/>
  <c r="F505" i="2"/>
  <c r="AV504" i="2"/>
  <c r="AU504" i="2"/>
  <c r="AT504" i="2"/>
  <c r="G504" i="2"/>
  <c r="F504" i="2"/>
  <c r="AV503" i="2"/>
  <c r="AU503" i="2"/>
  <c r="AT503" i="2"/>
  <c r="G503" i="2"/>
  <c r="F503" i="2"/>
  <c r="AV502" i="2"/>
  <c r="AU502" i="2"/>
  <c r="AT502" i="2"/>
  <c r="G502" i="2"/>
  <c r="F502" i="2"/>
  <c r="AV501" i="2"/>
  <c r="AU501" i="2"/>
  <c r="AT501" i="2"/>
  <c r="G501" i="2"/>
  <c r="F501" i="2"/>
  <c r="AV500" i="2"/>
  <c r="AU500" i="2"/>
  <c r="AT500" i="2"/>
  <c r="G500" i="2"/>
  <c r="F500" i="2"/>
  <c r="AV499" i="2"/>
  <c r="AU499" i="2"/>
  <c r="AT499" i="2"/>
  <c r="G499" i="2"/>
  <c r="F499" i="2"/>
  <c r="AV498" i="2"/>
  <c r="AU498" i="2"/>
  <c r="AT498" i="2"/>
  <c r="G498" i="2"/>
  <c r="F498" i="2"/>
  <c r="AV497" i="2"/>
  <c r="AU497" i="2"/>
  <c r="AT497" i="2"/>
  <c r="G497" i="2"/>
  <c r="F497" i="2"/>
  <c r="AV496" i="2"/>
  <c r="AU496" i="2"/>
  <c r="AT496" i="2"/>
  <c r="G496" i="2"/>
  <c r="F496" i="2"/>
  <c r="AV495" i="2"/>
  <c r="AU495" i="2"/>
  <c r="AT495" i="2"/>
  <c r="G495" i="2"/>
  <c r="F495" i="2"/>
  <c r="AV494" i="2"/>
  <c r="AU494" i="2"/>
  <c r="AT494" i="2"/>
  <c r="G494" i="2"/>
  <c r="F494" i="2"/>
  <c r="AV493" i="2"/>
  <c r="AU493" i="2"/>
  <c r="AT493" i="2"/>
  <c r="G493" i="2"/>
  <c r="F493" i="2"/>
  <c r="AV492" i="2"/>
  <c r="AU492" i="2"/>
  <c r="AT492" i="2"/>
  <c r="G492" i="2"/>
  <c r="F492" i="2"/>
  <c r="AV491" i="2"/>
  <c r="AU491" i="2"/>
  <c r="AT491" i="2"/>
  <c r="G491" i="2"/>
  <c r="F491" i="2"/>
  <c r="AV490" i="2"/>
  <c r="AU490" i="2"/>
  <c r="AT490" i="2"/>
  <c r="G490" i="2"/>
  <c r="F490" i="2"/>
  <c r="AV489" i="2"/>
  <c r="AU489" i="2"/>
  <c r="AT489" i="2"/>
  <c r="G489" i="2"/>
  <c r="F489" i="2"/>
  <c r="AV488" i="2"/>
  <c r="AU488" i="2"/>
  <c r="AT488" i="2"/>
  <c r="G488" i="2"/>
  <c r="F488" i="2"/>
  <c r="AV487" i="2"/>
  <c r="AU487" i="2"/>
  <c r="AT487" i="2"/>
  <c r="G487" i="2"/>
  <c r="F487" i="2"/>
  <c r="AV486" i="2"/>
  <c r="AU486" i="2"/>
  <c r="AT486" i="2"/>
  <c r="G486" i="2"/>
  <c r="F486" i="2"/>
  <c r="AV485" i="2"/>
  <c r="AU485" i="2"/>
  <c r="AT485" i="2"/>
  <c r="G485" i="2"/>
  <c r="F485" i="2"/>
  <c r="AV484" i="2"/>
  <c r="AU484" i="2"/>
  <c r="AT484" i="2"/>
  <c r="G484" i="2"/>
  <c r="F484" i="2"/>
  <c r="AV483" i="2"/>
  <c r="AU483" i="2"/>
  <c r="AT483" i="2"/>
  <c r="G483" i="2"/>
  <c r="F483" i="2"/>
  <c r="AV482" i="2"/>
  <c r="AU482" i="2"/>
  <c r="AT482" i="2"/>
  <c r="G482" i="2"/>
  <c r="F482" i="2"/>
  <c r="AV481" i="2"/>
  <c r="AU481" i="2"/>
  <c r="AT481" i="2"/>
  <c r="G481" i="2"/>
  <c r="F481" i="2"/>
  <c r="AV480" i="2"/>
  <c r="AU480" i="2"/>
  <c r="AT480" i="2"/>
  <c r="G480" i="2"/>
  <c r="F480" i="2"/>
  <c r="AV479" i="2"/>
  <c r="AU479" i="2"/>
  <c r="AT479" i="2"/>
  <c r="G479" i="2"/>
  <c r="F479" i="2"/>
  <c r="AV478" i="2"/>
  <c r="AU478" i="2"/>
  <c r="AT478" i="2"/>
  <c r="G478" i="2"/>
  <c r="F478" i="2"/>
  <c r="AV477" i="2"/>
  <c r="AU477" i="2"/>
  <c r="AT477" i="2"/>
  <c r="G477" i="2"/>
  <c r="F477" i="2"/>
  <c r="AV476" i="2"/>
  <c r="AU476" i="2"/>
  <c r="AT476" i="2"/>
  <c r="G476" i="2"/>
  <c r="F476" i="2"/>
  <c r="AV475" i="2"/>
  <c r="AU475" i="2"/>
  <c r="AT475" i="2"/>
  <c r="G475" i="2"/>
  <c r="F475" i="2"/>
  <c r="AV474" i="2"/>
  <c r="AU474" i="2"/>
  <c r="AT474" i="2"/>
  <c r="G474" i="2"/>
  <c r="F474" i="2"/>
  <c r="AV473" i="2"/>
  <c r="AU473" i="2"/>
  <c r="AT473" i="2"/>
  <c r="G473" i="2"/>
  <c r="F473" i="2"/>
  <c r="AV472" i="2"/>
  <c r="AU472" i="2"/>
  <c r="AT472" i="2"/>
  <c r="G472" i="2"/>
  <c r="F472" i="2"/>
  <c r="AV471" i="2"/>
  <c r="AU471" i="2"/>
  <c r="AT471" i="2"/>
  <c r="G471" i="2"/>
  <c r="F471" i="2"/>
  <c r="AV470" i="2"/>
  <c r="AU470" i="2"/>
  <c r="AT470" i="2"/>
  <c r="G470" i="2"/>
  <c r="F470" i="2"/>
  <c r="AV469" i="2"/>
  <c r="AU469" i="2"/>
  <c r="AT469" i="2"/>
  <c r="G469" i="2"/>
  <c r="F469" i="2"/>
  <c r="AV468" i="2"/>
  <c r="AU468" i="2"/>
  <c r="AT468" i="2"/>
  <c r="G468" i="2"/>
  <c r="F468" i="2"/>
  <c r="AV467" i="2"/>
  <c r="AU467" i="2"/>
  <c r="AT467" i="2"/>
  <c r="G467" i="2"/>
  <c r="F467" i="2"/>
  <c r="AV466" i="2"/>
  <c r="AU466" i="2"/>
  <c r="AT466" i="2"/>
  <c r="G466" i="2"/>
  <c r="F466" i="2"/>
  <c r="AV465" i="2"/>
  <c r="AU465" i="2"/>
  <c r="AT465" i="2"/>
  <c r="G465" i="2"/>
  <c r="F465" i="2"/>
  <c r="AV464" i="2"/>
  <c r="AU464" i="2"/>
  <c r="AT464" i="2"/>
  <c r="G464" i="2"/>
  <c r="F464" i="2"/>
  <c r="AV463" i="2"/>
  <c r="AU463" i="2"/>
  <c r="AT463" i="2"/>
  <c r="G463" i="2"/>
  <c r="F463" i="2"/>
  <c r="AV462" i="2"/>
  <c r="AU462" i="2"/>
  <c r="AT462" i="2"/>
  <c r="G462" i="2"/>
  <c r="F462" i="2"/>
  <c r="AV461" i="2"/>
  <c r="AU461" i="2"/>
  <c r="AT461" i="2"/>
  <c r="G461" i="2"/>
  <c r="F461" i="2"/>
  <c r="AV460" i="2"/>
  <c r="AU460" i="2"/>
  <c r="AT460" i="2"/>
  <c r="G460" i="2"/>
  <c r="F460" i="2"/>
  <c r="AV459" i="2"/>
  <c r="AU459" i="2"/>
  <c r="AT459" i="2"/>
  <c r="G459" i="2"/>
  <c r="F459" i="2"/>
  <c r="AV458" i="2"/>
  <c r="AU458" i="2"/>
  <c r="AT458" i="2"/>
  <c r="G458" i="2"/>
  <c r="F458" i="2"/>
  <c r="AV457" i="2"/>
  <c r="AU457" i="2"/>
  <c r="AT457" i="2"/>
  <c r="G457" i="2"/>
  <c r="F457" i="2"/>
  <c r="AV456" i="2"/>
  <c r="AU456" i="2"/>
  <c r="AT456" i="2"/>
  <c r="G456" i="2"/>
  <c r="F456" i="2"/>
  <c r="AV455" i="2"/>
  <c r="AU455" i="2"/>
  <c r="AT455" i="2"/>
  <c r="G455" i="2"/>
  <c r="F455" i="2"/>
  <c r="AV454" i="2"/>
  <c r="AU454" i="2"/>
  <c r="AT454" i="2"/>
  <c r="G454" i="2"/>
  <c r="F454" i="2"/>
  <c r="AV453" i="2"/>
  <c r="AU453" i="2"/>
  <c r="AT453" i="2"/>
  <c r="G453" i="2"/>
  <c r="F453" i="2"/>
  <c r="AV452" i="2"/>
  <c r="AU452" i="2"/>
  <c r="AT452" i="2"/>
  <c r="G452" i="2"/>
  <c r="F452" i="2"/>
  <c r="AV451" i="2"/>
  <c r="AU451" i="2"/>
  <c r="AT451" i="2"/>
  <c r="G451" i="2"/>
  <c r="F451" i="2"/>
  <c r="AV450" i="2"/>
  <c r="AU450" i="2"/>
  <c r="AT450" i="2"/>
  <c r="G450" i="2"/>
  <c r="F450" i="2"/>
  <c r="AV449" i="2"/>
  <c r="AU449" i="2"/>
  <c r="AT449" i="2"/>
  <c r="G449" i="2"/>
  <c r="F449" i="2"/>
  <c r="AV448" i="2"/>
  <c r="AU448" i="2"/>
  <c r="AT448" i="2"/>
  <c r="G448" i="2"/>
  <c r="F448" i="2"/>
  <c r="AV447" i="2"/>
  <c r="AU447" i="2"/>
  <c r="AT447" i="2"/>
  <c r="G447" i="2"/>
  <c r="F447" i="2"/>
  <c r="AV446" i="2"/>
  <c r="AU446" i="2"/>
  <c r="AT446" i="2"/>
  <c r="G446" i="2"/>
  <c r="F446" i="2"/>
  <c r="AV445" i="2"/>
  <c r="AU445" i="2"/>
  <c r="AT445" i="2"/>
  <c r="G445" i="2"/>
  <c r="F445" i="2"/>
  <c r="AV444" i="2"/>
  <c r="AU444" i="2"/>
  <c r="AT444" i="2"/>
  <c r="G444" i="2"/>
  <c r="F444" i="2"/>
  <c r="AV443" i="2"/>
  <c r="AU443" i="2"/>
  <c r="AT443" i="2"/>
  <c r="G443" i="2"/>
  <c r="F443" i="2"/>
  <c r="AV442" i="2"/>
  <c r="AU442" i="2"/>
  <c r="AT442" i="2"/>
  <c r="G442" i="2"/>
  <c r="F442" i="2"/>
  <c r="AV441" i="2"/>
  <c r="AU441" i="2"/>
  <c r="AT441" i="2"/>
  <c r="G441" i="2"/>
  <c r="F441" i="2"/>
  <c r="AV440" i="2"/>
  <c r="AU440" i="2"/>
  <c r="AT440" i="2"/>
  <c r="G440" i="2"/>
  <c r="F440" i="2"/>
  <c r="AV439" i="2"/>
  <c r="AU439" i="2"/>
  <c r="AT439" i="2"/>
  <c r="G439" i="2"/>
  <c r="F439" i="2"/>
  <c r="AV438" i="2"/>
  <c r="AU438" i="2"/>
  <c r="AT438" i="2"/>
  <c r="G438" i="2"/>
  <c r="F438" i="2"/>
  <c r="AV437" i="2"/>
  <c r="AU437" i="2"/>
  <c r="AT437" i="2"/>
  <c r="G437" i="2"/>
  <c r="F437" i="2"/>
  <c r="AV436" i="2"/>
  <c r="AU436" i="2"/>
  <c r="AT436" i="2"/>
  <c r="G436" i="2"/>
  <c r="F436" i="2"/>
  <c r="AV435" i="2"/>
  <c r="AU435" i="2"/>
  <c r="AT435" i="2"/>
  <c r="G435" i="2"/>
  <c r="F435" i="2"/>
  <c r="AV434" i="2"/>
  <c r="AU434" i="2"/>
  <c r="AT434" i="2"/>
  <c r="G434" i="2"/>
  <c r="F434" i="2"/>
  <c r="AV433" i="2"/>
  <c r="AU433" i="2"/>
  <c r="AT433" i="2"/>
  <c r="G433" i="2"/>
  <c r="F433" i="2"/>
  <c r="AV432" i="2"/>
  <c r="AU432" i="2"/>
  <c r="AT432" i="2"/>
  <c r="G432" i="2"/>
  <c r="F432" i="2"/>
  <c r="AV431" i="2"/>
  <c r="AU431" i="2"/>
  <c r="AT431" i="2"/>
  <c r="G431" i="2"/>
  <c r="F431" i="2"/>
  <c r="AV430" i="2"/>
  <c r="AU430" i="2"/>
  <c r="AT430" i="2"/>
  <c r="G430" i="2"/>
  <c r="F430" i="2"/>
  <c r="AV429" i="2"/>
  <c r="AU429" i="2"/>
  <c r="AT429" i="2"/>
  <c r="G429" i="2"/>
  <c r="F429" i="2"/>
  <c r="AV428" i="2"/>
  <c r="AU428" i="2"/>
  <c r="AT428" i="2"/>
  <c r="G428" i="2"/>
  <c r="F428" i="2"/>
  <c r="AV427" i="2"/>
  <c r="AU427" i="2"/>
  <c r="AT427" i="2"/>
  <c r="G427" i="2"/>
  <c r="F427" i="2"/>
  <c r="AV426" i="2"/>
  <c r="AU426" i="2"/>
  <c r="AT426" i="2"/>
  <c r="G426" i="2"/>
  <c r="F426" i="2"/>
  <c r="AV425" i="2"/>
  <c r="AU425" i="2"/>
  <c r="AT425" i="2"/>
  <c r="G425" i="2"/>
  <c r="F425" i="2"/>
  <c r="AV424" i="2"/>
  <c r="AU424" i="2"/>
  <c r="AT424" i="2"/>
  <c r="G424" i="2"/>
  <c r="F424" i="2"/>
  <c r="AV423" i="2"/>
  <c r="AU423" i="2"/>
  <c r="AT423" i="2"/>
  <c r="G423" i="2"/>
  <c r="F423" i="2"/>
  <c r="AV422" i="2"/>
  <c r="AU422" i="2"/>
  <c r="AT422" i="2"/>
  <c r="G422" i="2"/>
  <c r="F422" i="2"/>
  <c r="AV421" i="2"/>
  <c r="AU421" i="2"/>
  <c r="AT421" i="2"/>
  <c r="G421" i="2"/>
  <c r="F421" i="2"/>
  <c r="AV420" i="2"/>
  <c r="AU420" i="2"/>
  <c r="AT420" i="2"/>
  <c r="G420" i="2"/>
  <c r="F420" i="2"/>
  <c r="AV419" i="2"/>
  <c r="AU419" i="2"/>
  <c r="AT419" i="2"/>
  <c r="G419" i="2"/>
  <c r="F419" i="2"/>
  <c r="AV418" i="2"/>
  <c r="AU418" i="2"/>
  <c r="AT418" i="2"/>
  <c r="G418" i="2"/>
  <c r="F418" i="2"/>
  <c r="AV417" i="2"/>
  <c r="AU417" i="2"/>
  <c r="AT417" i="2"/>
  <c r="G417" i="2"/>
  <c r="F417" i="2"/>
  <c r="AV416" i="2"/>
  <c r="AU416" i="2"/>
  <c r="AT416" i="2"/>
  <c r="G416" i="2"/>
  <c r="F416" i="2"/>
  <c r="AV415" i="2"/>
  <c r="AU415" i="2"/>
  <c r="AT415" i="2"/>
  <c r="G415" i="2"/>
  <c r="F415" i="2"/>
  <c r="AV414" i="2"/>
  <c r="AU414" i="2"/>
  <c r="AT414" i="2"/>
  <c r="G414" i="2"/>
  <c r="F414" i="2"/>
  <c r="AV413" i="2"/>
  <c r="AU413" i="2"/>
  <c r="AT413" i="2"/>
  <c r="G413" i="2"/>
  <c r="F413" i="2"/>
  <c r="AV412" i="2"/>
  <c r="AU412" i="2"/>
  <c r="AT412" i="2"/>
  <c r="G412" i="2"/>
  <c r="F412" i="2"/>
  <c r="AV411" i="2"/>
  <c r="AU411" i="2"/>
  <c r="AT411" i="2"/>
  <c r="G411" i="2"/>
  <c r="F411" i="2"/>
  <c r="AV410" i="2"/>
  <c r="AU410" i="2"/>
  <c r="AT410" i="2"/>
  <c r="G410" i="2"/>
  <c r="F410" i="2"/>
  <c r="AV409" i="2"/>
  <c r="AU409" i="2"/>
  <c r="AT409" i="2"/>
  <c r="G409" i="2"/>
  <c r="F409" i="2"/>
  <c r="AV408" i="2"/>
  <c r="AU408" i="2"/>
  <c r="AT408" i="2"/>
  <c r="G408" i="2"/>
  <c r="F408" i="2"/>
  <c r="AV407" i="2"/>
  <c r="AU407" i="2"/>
  <c r="AT407" i="2"/>
  <c r="G407" i="2"/>
  <c r="F407" i="2"/>
  <c r="AV406" i="2"/>
  <c r="AU406" i="2"/>
  <c r="AT406" i="2"/>
  <c r="G406" i="2"/>
  <c r="F406" i="2"/>
  <c r="AV405" i="2"/>
  <c r="AU405" i="2"/>
  <c r="AT405" i="2"/>
  <c r="G405" i="2"/>
  <c r="F405" i="2"/>
  <c r="AV404" i="2"/>
  <c r="AU404" i="2"/>
  <c r="AT404" i="2"/>
  <c r="G404" i="2"/>
  <c r="F404" i="2"/>
  <c r="AV403" i="2"/>
  <c r="AU403" i="2"/>
  <c r="AT403" i="2"/>
  <c r="G403" i="2"/>
  <c r="F403" i="2"/>
  <c r="AV402" i="2"/>
  <c r="AU402" i="2"/>
  <c r="AT402" i="2"/>
  <c r="G402" i="2"/>
  <c r="F402" i="2"/>
  <c r="AV401" i="2"/>
  <c r="AU401" i="2"/>
  <c r="AT401" i="2"/>
  <c r="G401" i="2"/>
  <c r="F401" i="2"/>
  <c r="AV400" i="2"/>
  <c r="AU400" i="2"/>
  <c r="AT400" i="2"/>
  <c r="G400" i="2"/>
  <c r="F400" i="2"/>
  <c r="AV399" i="2"/>
  <c r="AU399" i="2"/>
  <c r="AT399" i="2"/>
  <c r="G399" i="2"/>
  <c r="F399" i="2"/>
  <c r="AV398" i="2"/>
  <c r="AU398" i="2"/>
  <c r="AT398" i="2"/>
  <c r="G398" i="2"/>
  <c r="F398" i="2"/>
  <c r="AV397" i="2"/>
  <c r="AU397" i="2"/>
  <c r="AT397" i="2"/>
  <c r="G397" i="2"/>
  <c r="F397" i="2"/>
  <c r="AV396" i="2"/>
  <c r="AU396" i="2"/>
  <c r="AT396" i="2"/>
  <c r="G396" i="2"/>
  <c r="F396" i="2"/>
  <c r="AV395" i="2"/>
  <c r="AU395" i="2"/>
  <c r="AT395" i="2"/>
  <c r="G395" i="2"/>
  <c r="F395" i="2"/>
  <c r="AV394" i="2"/>
  <c r="AU394" i="2"/>
  <c r="AT394" i="2"/>
  <c r="G394" i="2"/>
  <c r="F394" i="2"/>
  <c r="AV393" i="2"/>
  <c r="AU393" i="2"/>
  <c r="AT393" i="2"/>
  <c r="G393" i="2"/>
  <c r="F393" i="2"/>
  <c r="AV392" i="2"/>
  <c r="AU392" i="2"/>
  <c r="AT392" i="2"/>
  <c r="G392" i="2"/>
  <c r="F392" i="2"/>
  <c r="AV391" i="2"/>
  <c r="AU391" i="2"/>
  <c r="AT391" i="2"/>
  <c r="G391" i="2"/>
  <c r="F391" i="2"/>
  <c r="AV390" i="2"/>
  <c r="AU390" i="2"/>
  <c r="AT390" i="2"/>
  <c r="G390" i="2"/>
  <c r="F390" i="2"/>
  <c r="AV389" i="2"/>
  <c r="AU389" i="2"/>
  <c r="AT389" i="2"/>
  <c r="G389" i="2"/>
  <c r="F389" i="2"/>
  <c r="AV388" i="2"/>
  <c r="AU388" i="2"/>
  <c r="AT388" i="2"/>
  <c r="G388" i="2"/>
  <c r="F388" i="2"/>
  <c r="AV387" i="2"/>
  <c r="AU387" i="2"/>
  <c r="AT387" i="2"/>
  <c r="G387" i="2"/>
  <c r="F387" i="2"/>
  <c r="AV386" i="2"/>
  <c r="AU386" i="2"/>
  <c r="AT386" i="2"/>
  <c r="G386" i="2"/>
  <c r="F386" i="2"/>
  <c r="AV385" i="2"/>
  <c r="AU385" i="2"/>
  <c r="AT385" i="2"/>
  <c r="G385" i="2"/>
  <c r="F385" i="2"/>
  <c r="AV384" i="2"/>
  <c r="AU384" i="2"/>
  <c r="AT384" i="2"/>
  <c r="G384" i="2"/>
  <c r="F384" i="2"/>
  <c r="AV383" i="2"/>
  <c r="AU383" i="2"/>
  <c r="AT383" i="2"/>
  <c r="G383" i="2"/>
  <c r="F383" i="2"/>
  <c r="AV382" i="2"/>
  <c r="AU382" i="2"/>
  <c r="AT382" i="2"/>
  <c r="G382" i="2"/>
  <c r="F382" i="2"/>
  <c r="AV381" i="2"/>
  <c r="AU381" i="2"/>
  <c r="AT381" i="2"/>
  <c r="G381" i="2"/>
  <c r="F381" i="2"/>
  <c r="AV380" i="2"/>
  <c r="AU380" i="2"/>
  <c r="AT380" i="2"/>
  <c r="G380" i="2"/>
  <c r="F380" i="2"/>
  <c r="AV379" i="2"/>
  <c r="AU379" i="2"/>
  <c r="AT379" i="2"/>
  <c r="G379" i="2"/>
  <c r="F379" i="2"/>
  <c r="AV378" i="2"/>
  <c r="AU378" i="2"/>
  <c r="AT378" i="2"/>
  <c r="G378" i="2"/>
  <c r="F378" i="2"/>
  <c r="AV377" i="2"/>
  <c r="AU377" i="2"/>
  <c r="AT377" i="2"/>
  <c r="G377" i="2"/>
  <c r="F377" i="2"/>
  <c r="AV376" i="2"/>
  <c r="AU376" i="2"/>
  <c r="AT376" i="2"/>
  <c r="G376" i="2"/>
  <c r="F376" i="2"/>
  <c r="AV375" i="2"/>
  <c r="AU375" i="2"/>
  <c r="AT375" i="2"/>
  <c r="G375" i="2"/>
  <c r="F375" i="2"/>
  <c r="AV374" i="2"/>
  <c r="AU374" i="2"/>
  <c r="AT374" i="2"/>
  <c r="G374" i="2"/>
  <c r="F374" i="2"/>
  <c r="AV373" i="2"/>
  <c r="AU373" i="2"/>
  <c r="AT373" i="2"/>
  <c r="G373" i="2"/>
  <c r="F373" i="2"/>
  <c r="AV372" i="2"/>
  <c r="AU372" i="2"/>
  <c r="AT372" i="2"/>
  <c r="G372" i="2"/>
  <c r="F372" i="2"/>
  <c r="AV371" i="2"/>
  <c r="AU371" i="2"/>
  <c r="AT371" i="2"/>
  <c r="G371" i="2"/>
  <c r="F371" i="2"/>
  <c r="AV370" i="2"/>
  <c r="AU370" i="2"/>
  <c r="AT370" i="2"/>
  <c r="G370" i="2"/>
  <c r="F370" i="2"/>
  <c r="AV369" i="2"/>
  <c r="AU369" i="2"/>
  <c r="AT369" i="2"/>
  <c r="G369" i="2"/>
  <c r="F369" i="2"/>
  <c r="AV368" i="2"/>
  <c r="AU368" i="2"/>
  <c r="AT368" i="2"/>
  <c r="G368" i="2"/>
  <c r="F368" i="2"/>
  <c r="AV367" i="2"/>
  <c r="AU367" i="2"/>
  <c r="AT367" i="2"/>
  <c r="G367" i="2"/>
  <c r="F367" i="2"/>
  <c r="AV366" i="2"/>
  <c r="AU366" i="2"/>
  <c r="AT366" i="2"/>
  <c r="G366" i="2"/>
  <c r="F366" i="2"/>
  <c r="AV365" i="2"/>
  <c r="AU365" i="2"/>
  <c r="AT365" i="2"/>
  <c r="G365" i="2"/>
  <c r="F365" i="2"/>
  <c r="AV364" i="2"/>
  <c r="AU364" i="2"/>
  <c r="AT364" i="2"/>
  <c r="G364" i="2"/>
  <c r="F364" i="2"/>
  <c r="AV363" i="2"/>
  <c r="AU363" i="2"/>
  <c r="AT363" i="2"/>
  <c r="G363" i="2"/>
  <c r="F363" i="2"/>
  <c r="AV362" i="2"/>
  <c r="AU362" i="2"/>
  <c r="AT362" i="2"/>
  <c r="G362" i="2"/>
  <c r="F362" i="2"/>
  <c r="AV361" i="2"/>
  <c r="AU361" i="2"/>
  <c r="AT361" i="2"/>
  <c r="G361" i="2"/>
  <c r="F361" i="2"/>
  <c r="AV360" i="2"/>
  <c r="AU360" i="2"/>
  <c r="AT360" i="2"/>
  <c r="G360" i="2"/>
  <c r="F360" i="2"/>
  <c r="AV359" i="2"/>
  <c r="AU359" i="2"/>
  <c r="AT359" i="2"/>
  <c r="G359" i="2"/>
  <c r="F359" i="2"/>
  <c r="AV358" i="2"/>
  <c r="AU358" i="2"/>
  <c r="AT358" i="2"/>
  <c r="G358" i="2"/>
  <c r="F358" i="2"/>
  <c r="AV357" i="2"/>
  <c r="AU357" i="2"/>
  <c r="AT357" i="2"/>
  <c r="G357" i="2"/>
  <c r="F357" i="2"/>
  <c r="AV356" i="2"/>
  <c r="AU356" i="2"/>
  <c r="AT356" i="2"/>
  <c r="G356" i="2"/>
  <c r="F356" i="2"/>
  <c r="AV355" i="2"/>
  <c r="AU355" i="2"/>
  <c r="AT355" i="2"/>
  <c r="G355" i="2"/>
  <c r="F355" i="2"/>
  <c r="AV354" i="2"/>
  <c r="AU354" i="2"/>
  <c r="AT354" i="2"/>
  <c r="G354" i="2"/>
  <c r="F354" i="2"/>
  <c r="AV353" i="2"/>
  <c r="AU353" i="2"/>
  <c r="AT353" i="2"/>
  <c r="G353" i="2"/>
  <c r="F353" i="2"/>
  <c r="AV352" i="2"/>
  <c r="AU352" i="2"/>
  <c r="AT352" i="2"/>
  <c r="G352" i="2"/>
  <c r="F352" i="2"/>
  <c r="AV351" i="2"/>
  <c r="AU351" i="2"/>
  <c r="AT351" i="2"/>
  <c r="G351" i="2"/>
  <c r="F351" i="2"/>
  <c r="AV350" i="2"/>
  <c r="AU350" i="2"/>
  <c r="AT350" i="2"/>
  <c r="G350" i="2"/>
  <c r="F350" i="2"/>
  <c r="AV349" i="2"/>
  <c r="AU349" i="2"/>
  <c r="AT349" i="2"/>
  <c r="G349" i="2"/>
  <c r="F349" i="2"/>
  <c r="AV348" i="2"/>
  <c r="AU348" i="2"/>
  <c r="AT348" i="2"/>
  <c r="G348" i="2"/>
  <c r="F348" i="2"/>
  <c r="AV347" i="2"/>
  <c r="AU347" i="2"/>
  <c r="AT347" i="2"/>
  <c r="G347" i="2"/>
  <c r="F347" i="2"/>
  <c r="AV346" i="2"/>
  <c r="AU346" i="2"/>
  <c r="AT346" i="2"/>
  <c r="G346" i="2"/>
  <c r="F346" i="2"/>
  <c r="AV345" i="2"/>
  <c r="AU345" i="2"/>
  <c r="AT345" i="2"/>
  <c r="G345" i="2"/>
  <c r="F345" i="2"/>
  <c r="AV344" i="2"/>
  <c r="AU344" i="2"/>
  <c r="AT344" i="2"/>
  <c r="G344" i="2"/>
  <c r="F344" i="2"/>
  <c r="AV343" i="2"/>
  <c r="AU343" i="2"/>
  <c r="AT343" i="2"/>
  <c r="G343" i="2"/>
  <c r="F343" i="2"/>
  <c r="AV342" i="2"/>
  <c r="AU342" i="2"/>
  <c r="AT342" i="2"/>
  <c r="G342" i="2"/>
  <c r="F342" i="2"/>
  <c r="AV341" i="2"/>
  <c r="AU341" i="2"/>
  <c r="AT341" i="2"/>
  <c r="G341" i="2"/>
  <c r="F341" i="2"/>
  <c r="AV340" i="2"/>
  <c r="AU340" i="2"/>
  <c r="AT340" i="2"/>
  <c r="G340" i="2"/>
  <c r="F340" i="2"/>
  <c r="AV339" i="2"/>
  <c r="AU339" i="2"/>
  <c r="AT339" i="2"/>
  <c r="G339" i="2"/>
  <c r="F339" i="2"/>
  <c r="AV338" i="2"/>
  <c r="AU338" i="2"/>
  <c r="AT338" i="2"/>
  <c r="G338" i="2"/>
  <c r="F338" i="2"/>
  <c r="AV337" i="2"/>
  <c r="AU337" i="2"/>
  <c r="AT337" i="2"/>
  <c r="G337" i="2"/>
  <c r="F337" i="2"/>
  <c r="AV336" i="2"/>
  <c r="AU336" i="2"/>
  <c r="AT336" i="2"/>
  <c r="G336" i="2"/>
  <c r="F336" i="2"/>
  <c r="AV335" i="2"/>
  <c r="AU335" i="2"/>
  <c r="AT335" i="2"/>
  <c r="G335" i="2"/>
  <c r="F335" i="2"/>
  <c r="AV334" i="2"/>
  <c r="AU334" i="2"/>
  <c r="AT334" i="2"/>
  <c r="G334" i="2"/>
  <c r="F334" i="2"/>
  <c r="AV333" i="2"/>
  <c r="AU333" i="2"/>
  <c r="AT333" i="2"/>
  <c r="G333" i="2"/>
  <c r="F333" i="2"/>
  <c r="AV332" i="2"/>
  <c r="AU332" i="2"/>
  <c r="AT332" i="2"/>
  <c r="G332" i="2"/>
  <c r="F332" i="2"/>
  <c r="AV331" i="2"/>
  <c r="AU331" i="2"/>
  <c r="AT331" i="2"/>
  <c r="G331" i="2"/>
  <c r="F331" i="2"/>
  <c r="AV330" i="2"/>
  <c r="AU330" i="2"/>
  <c r="AT330" i="2"/>
  <c r="G330" i="2"/>
  <c r="F330" i="2"/>
  <c r="AV329" i="2"/>
  <c r="AU329" i="2"/>
  <c r="AT329" i="2"/>
  <c r="G329" i="2"/>
  <c r="F329" i="2"/>
  <c r="AV328" i="2"/>
  <c r="AU328" i="2"/>
  <c r="AT328" i="2"/>
  <c r="G328" i="2"/>
  <c r="F328" i="2"/>
  <c r="AV327" i="2"/>
  <c r="AU327" i="2"/>
  <c r="AT327" i="2"/>
  <c r="G327" i="2"/>
  <c r="F327" i="2"/>
  <c r="AV326" i="2"/>
  <c r="AU326" i="2"/>
  <c r="AT326" i="2"/>
  <c r="G326" i="2"/>
  <c r="F326" i="2"/>
  <c r="AV325" i="2"/>
  <c r="AU325" i="2"/>
  <c r="AT325" i="2"/>
  <c r="G325" i="2"/>
  <c r="F325" i="2"/>
  <c r="AV324" i="2"/>
  <c r="AU324" i="2"/>
  <c r="AT324" i="2"/>
  <c r="G324" i="2"/>
  <c r="F324" i="2"/>
  <c r="AV323" i="2"/>
  <c r="AU323" i="2"/>
  <c r="AT323" i="2"/>
  <c r="G323" i="2"/>
  <c r="F323" i="2"/>
  <c r="AV322" i="2"/>
  <c r="AU322" i="2"/>
  <c r="AT322" i="2"/>
  <c r="G322" i="2"/>
  <c r="F322" i="2"/>
  <c r="AV321" i="2"/>
  <c r="AU321" i="2"/>
  <c r="AT321" i="2"/>
  <c r="G321" i="2"/>
  <c r="F321" i="2"/>
  <c r="AV320" i="2"/>
  <c r="AU320" i="2"/>
  <c r="AT320" i="2"/>
  <c r="G320" i="2"/>
  <c r="F320" i="2"/>
  <c r="AV319" i="2"/>
  <c r="AU319" i="2"/>
  <c r="AT319" i="2"/>
  <c r="G319" i="2"/>
  <c r="F319" i="2"/>
  <c r="AV318" i="2"/>
  <c r="AU318" i="2"/>
  <c r="AT318" i="2"/>
  <c r="G318" i="2"/>
  <c r="F318" i="2"/>
  <c r="AV317" i="2"/>
  <c r="AU317" i="2"/>
  <c r="AT317" i="2"/>
  <c r="G317" i="2"/>
  <c r="F317" i="2"/>
  <c r="AV316" i="2"/>
  <c r="AU316" i="2"/>
  <c r="AT316" i="2"/>
  <c r="G316" i="2"/>
  <c r="F316" i="2"/>
  <c r="AV315" i="2"/>
  <c r="AU315" i="2"/>
  <c r="AT315" i="2"/>
  <c r="G315" i="2"/>
  <c r="F315" i="2"/>
  <c r="AV314" i="2"/>
  <c r="AU314" i="2"/>
  <c r="AT314" i="2"/>
  <c r="G314" i="2"/>
  <c r="F314" i="2"/>
  <c r="AV313" i="2"/>
  <c r="AU313" i="2"/>
  <c r="AT313" i="2"/>
  <c r="G313" i="2"/>
  <c r="F313" i="2"/>
  <c r="AV312" i="2"/>
  <c r="AU312" i="2"/>
  <c r="AT312" i="2"/>
  <c r="G312" i="2"/>
  <c r="F312" i="2"/>
  <c r="AV311" i="2"/>
  <c r="AU311" i="2"/>
  <c r="AT311" i="2"/>
  <c r="G311" i="2"/>
  <c r="F311" i="2"/>
  <c r="AV310" i="2"/>
  <c r="AU310" i="2"/>
  <c r="AT310" i="2"/>
  <c r="G310" i="2"/>
  <c r="F310" i="2"/>
  <c r="AV309" i="2"/>
  <c r="AU309" i="2"/>
  <c r="AT309" i="2"/>
  <c r="G309" i="2"/>
  <c r="F309" i="2"/>
  <c r="AV308" i="2"/>
  <c r="AU308" i="2"/>
  <c r="AT308" i="2"/>
  <c r="G308" i="2"/>
  <c r="F308" i="2"/>
  <c r="AV307" i="2"/>
  <c r="AU307" i="2"/>
  <c r="AT307" i="2"/>
  <c r="G307" i="2"/>
  <c r="F307" i="2"/>
  <c r="AV306" i="2"/>
  <c r="AU306" i="2"/>
  <c r="AT306" i="2"/>
  <c r="G306" i="2"/>
  <c r="F306" i="2"/>
  <c r="AV305" i="2"/>
  <c r="AU305" i="2"/>
  <c r="AT305" i="2"/>
  <c r="G305" i="2"/>
  <c r="F305" i="2"/>
  <c r="AV304" i="2"/>
  <c r="AU304" i="2"/>
  <c r="AT304" i="2"/>
  <c r="G304" i="2"/>
  <c r="F304" i="2"/>
  <c r="AV303" i="2"/>
  <c r="AU303" i="2"/>
  <c r="AT303" i="2"/>
  <c r="G303" i="2"/>
  <c r="F303" i="2"/>
  <c r="AV302" i="2"/>
  <c r="AU302" i="2"/>
  <c r="AT302" i="2"/>
  <c r="G302" i="2"/>
  <c r="F302" i="2"/>
  <c r="AV301" i="2"/>
  <c r="AU301" i="2"/>
  <c r="AT301" i="2"/>
  <c r="G301" i="2"/>
  <c r="F301" i="2"/>
  <c r="AV300" i="2"/>
  <c r="AU300" i="2"/>
  <c r="AT300" i="2"/>
  <c r="G300" i="2"/>
  <c r="F300" i="2"/>
  <c r="AV299" i="2"/>
  <c r="AU299" i="2"/>
  <c r="AT299" i="2"/>
  <c r="G299" i="2"/>
  <c r="F299" i="2"/>
  <c r="AV298" i="2"/>
  <c r="AU298" i="2"/>
  <c r="AT298" i="2"/>
  <c r="G298" i="2"/>
  <c r="F298" i="2"/>
  <c r="AV297" i="2"/>
  <c r="AU297" i="2"/>
  <c r="AT297" i="2"/>
  <c r="G297" i="2"/>
  <c r="F297" i="2"/>
  <c r="AV296" i="2"/>
  <c r="AU296" i="2"/>
  <c r="AT296" i="2"/>
  <c r="G296" i="2"/>
  <c r="F296" i="2"/>
  <c r="AV295" i="2"/>
  <c r="AU295" i="2"/>
  <c r="AT295" i="2"/>
  <c r="G295" i="2"/>
  <c r="F295" i="2"/>
  <c r="AV294" i="2"/>
  <c r="AU294" i="2"/>
  <c r="AT294" i="2"/>
  <c r="G294" i="2"/>
  <c r="F294" i="2"/>
  <c r="AV293" i="2"/>
  <c r="AU293" i="2"/>
  <c r="AT293" i="2"/>
  <c r="G293" i="2"/>
  <c r="F293" i="2"/>
  <c r="AV292" i="2"/>
  <c r="AU292" i="2"/>
  <c r="AT292" i="2"/>
  <c r="G292" i="2"/>
  <c r="F292" i="2"/>
  <c r="AV291" i="2"/>
  <c r="AU291" i="2"/>
  <c r="AT291" i="2"/>
  <c r="G291" i="2"/>
  <c r="F291" i="2"/>
  <c r="AV290" i="2"/>
  <c r="AU290" i="2"/>
  <c r="AT290" i="2"/>
  <c r="G290" i="2"/>
  <c r="F290" i="2"/>
  <c r="AV289" i="2"/>
  <c r="AU289" i="2"/>
  <c r="AT289" i="2"/>
  <c r="G289" i="2"/>
  <c r="F289" i="2"/>
  <c r="AV288" i="2"/>
  <c r="AU288" i="2"/>
  <c r="AT288" i="2"/>
  <c r="G288" i="2"/>
  <c r="F288" i="2"/>
  <c r="AV287" i="2"/>
  <c r="AU287" i="2"/>
  <c r="AT287" i="2"/>
  <c r="G287" i="2"/>
  <c r="F287" i="2"/>
  <c r="AV286" i="2"/>
  <c r="AU286" i="2"/>
  <c r="AT286" i="2"/>
  <c r="G286" i="2"/>
  <c r="F286" i="2"/>
  <c r="AV285" i="2"/>
  <c r="AU285" i="2"/>
  <c r="AT285" i="2"/>
  <c r="G285" i="2"/>
  <c r="F285" i="2"/>
  <c r="AV284" i="2"/>
  <c r="AU284" i="2"/>
  <c r="AT284" i="2"/>
  <c r="G284" i="2"/>
  <c r="F284" i="2"/>
  <c r="AV283" i="2"/>
  <c r="AU283" i="2"/>
  <c r="AT283" i="2"/>
  <c r="G283" i="2"/>
  <c r="F283" i="2"/>
  <c r="AV282" i="2"/>
  <c r="AU282" i="2"/>
  <c r="AT282" i="2"/>
  <c r="G282" i="2"/>
  <c r="F282" i="2"/>
  <c r="AV281" i="2"/>
  <c r="AU281" i="2"/>
  <c r="AT281" i="2"/>
  <c r="G281" i="2"/>
  <c r="F281" i="2"/>
  <c r="AV280" i="2"/>
  <c r="AU280" i="2"/>
  <c r="AT280" i="2"/>
  <c r="G280" i="2"/>
  <c r="F280" i="2"/>
  <c r="AV279" i="2"/>
  <c r="AU279" i="2"/>
  <c r="AT279" i="2"/>
  <c r="G279" i="2"/>
  <c r="F279" i="2"/>
  <c r="AV278" i="2"/>
  <c r="AU278" i="2"/>
  <c r="AT278" i="2"/>
  <c r="G278" i="2"/>
  <c r="F278" i="2"/>
  <c r="AV277" i="2"/>
  <c r="AU277" i="2"/>
  <c r="AT277" i="2"/>
  <c r="G277" i="2"/>
  <c r="F277" i="2"/>
  <c r="AV276" i="2"/>
  <c r="AU276" i="2"/>
  <c r="AT276" i="2"/>
  <c r="G276" i="2"/>
  <c r="F276" i="2"/>
  <c r="AV275" i="2"/>
  <c r="AU275" i="2"/>
  <c r="AT275" i="2"/>
  <c r="G275" i="2"/>
  <c r="F275" i="2"/>
  <c r="AV274" i="2"/>
  <c r="AU274" i="2"/>
  <c r="AT274" i="2"/>
  <c r="G274" i="2"/>
  <c r="F274" i="2"/>
  <c r="AV273" i="2"/>
  <c r="AU273" i="2"/>
  <c r="AT273" i="2"/>
  <c r="G273" i="2"/>
  <c r="F273" i="2"/>
  <c r="AV272" i="2"/>
  <c r="AU272" i="2"/>
  <c r="AT272" i="2"/>
  <c r="G272" i="2"/>
  <c r="F272" i="2"/>
  <c r="AV271" i="2"/>
  <c r="AU271" i="2"/>
  <c r="AT271" i="2"/>
  <c r="G271" i="2"/>
  <c r="F271" i="2"/>
  <c r="AV270" i="2"/>
  <c r="AU270" i="2"/>
  <c r="AT270" i="2"/>
  <c r="G270" i="2"/>
  <c r="F270" i="2"/>
  <c r="AV269" i="2"/>
  <c r="AU269" i="2"/>
  <c r="AT269" i="2"/>
  <c r="G269" i="2"/>
  <c r="F269" i="2"/>
  <c r="AV268" i="2"/>
  <c r="AU268" i="2"/>
  <c r="AT268" i="2"/>
  <c r="G268" i="2"/>
  <c r="F268" i="2"/>
  <c r="AV267" i="2"/>
  <c r="AU267" i="2"/>
  <c r="AT267" i="2"/>
  <c r="G267" i="2"/>
  <c r="F267" i="2"/>
  <c r="AV266" i="2"/>
  <c r="AU266" i="2"/>
  <c r="AT266" i="2"/>
  <c r="G266" i="2"/>
  <c r="F266" i="2"/>
  <c r="AV265" i="2"/>
  <c r="AU265" i="2"/>
  <c r="AT265" i="2"/>
  <c r="G265" i="2"/>
  <c r="F265" i="2"/>
  <c r="AV264" i="2"/>
  <c r="AU264" i="2"/>
  <c r="AT264" i="2"/>
  <c r="G264" i="2"/>
  <c r="F264" i="2"/>
  <c r="AV263" i="2"/>
  <c r="AU263" i="2"/>
  <c r="AT263" i="2"/>
  <c r="G263" i="2"/>
  <c r="F263" i="2"/>
  <c r="AV262" i="2"/>
  <c r="AU262" i="2"/>
  <c r="AT262" i="2"/>
  <c r="G262" i="2"/>
  <c r="F262" i="2"/>
  <c r="AV261" i="2"/>
  <c r="AU261" i="2"/>
  <c r="AT261" i="2"/>
  <c r="G261" i="2"/>
  <c r="F261" i="2"/>
  <c r="AV260" i="2"/>
  <c r="AU260" i="2"/>
  <c r="AT260" i="2"/>
  <c r="G260" i="2"/>
  <c r="F260" i="2"/>
  <c r="AV259" i="2"/>
  <c r="AU259" i="2"/>
  <c r="AT259" i="2"/>
  <c r="G259" i="2"/>
  <c r="F259" i="2"/>
  <c r="AV258" i="2"/>
  <c r="AU258" i="2"/>
  <c r="AT258" i="2"/>
  <c r="G258" i="2"/>
  <c r="F258" i="2"/>
  <c r="AV257" i="2"/>
  <c r="AU257" i="2"/>
  <c r="AT257" i="2"/>
  <c r="G257" i="2"/>
  <c r="F257" i="2"/>
  <c r="AV256" i="2"/>
  <c r="AU256" i="2"/>
  <c r="AT256" i="2"/>
  <c r="G256" i="2"/>
  <c r="F256" i="2"/>
  <c r="AV255" i="2"/>
  <c r="AU255" i="2"/>
  <c r="AT255" i="2"/>
  <c r="G255" i="2"/>
  <c r="F255" i="2"/>
  <c r="AV254" i="2"/>
  <c r="AU254" i="2"/>
  <c r="AT254" i="2"/>
  <c r="G254" i="2"/>
  <c r="F254" i="2"/>
  <c r="AV253" i="2"/>
  <c r="AU253" i="2"/>
  <c r="AT253" i="2"/>
  <c r="G253" i="2"/>
  <c r="F253" i="2"/>
  <c r="AV252" i="2"/>
  <c r="AU252" i="2"/>
  <c r="AT252" i="2"/>
  <c r="G252" i="2"/>
  <c r="F252" i="2"/>
  <c r="AV251" i="2"/>
  <c r="AU251" i="2"/>
  <c r="AT251" i="2"/>
  <c r="G251" i="2"/>
  <c r="F251" i="2"/>
  <c r="AV250" i="2"/>
  <c r="AU250" i="2"/>
  <c r="AT250" i="2"/>
  <c r="G250" i="2"/>
  <c r="F250" i="2"/>
  <c r="AV249" i="2"/>
  <c r="AU249" i="2"/>
  <c r="AT249" i="2"/>
  <c r="G249" i="2"/>
  <c r="F249" i="2"/>
  <c r="AV248" i="2"/>
  <c r="AU248" i="2"/>
  <c r="AT248" i="2"/>
  <c r="G248" i="2"/>
  <c r="F248" i="2"/>
  <c r="AV247" i="2"/>
  <c r="AU247" i="2"/>
  <c r="AT247" i="2"/>
  <c r="G247" i="2"/>
  <c r="F247" i="2"/>
  <c r="AV246" i="2"/>
  <c r="AU246" i="2"/>
  <c r="AT246" i="2"/>
  <c r="G246" i="2"/>
  <c r="F246" i="2"/>
  <c r="AV245" i="2"/>
  <c r="AU245" i="2"/>
  <c r="AT245" i="2"/>
  <c r="G245" i="2"/>
  <c r="F245" i="2"/>
  <c r="AV244" i="2"/>
  <c r="AU244" i="2"/>
  <c r="AT244" i="2"/>
  <c r="G244" i="2"/>
  <c r="F244" i="2"/>
  <c r="AV243" i="2"/>
  <c r="AU243" i="2"/>
  <c r="AT243" i="2"/>
  <c r="G243" i="2"/>
  <c r="F243" i="2"/>
  <c r="AV242" i="2"/>
  <c r="AU242" i="2"/>
  <c r="AT242" i="2"/>
  <c r="G242" i="2"/>
  <c r="F242" i="2"/>
  <c r="AV241" i="2"/>
  <c r="AU241" i="2"/>
  <c r="AT241" i="2"/>
  <c r="G241" i="2"/>
  <c r="F241" i="2"/>
  <c r="AV240" i="2"/>
  <c r="AU240" i="2"/>
  <c r="AT240" i="2"/>
  <c r="G240" i="2"/>
  <c r="F240" i="2"/>
  <c r="AV239" i="2"/>
  <c r="AU239" i="2"/>
  <c r="AT239" i="2"/>
  <c r="G239" i="2"/>
  <c r="F239" i="2"/>
  <c r="AV238" i="2"/>
  <c r="AU238" i="2"/>
  <c r="AT238" i="2"/>
  <c r="G238" i="2"/>
  <c r="F238" i="2"/>
  <c r="AV237" i="2"/>
  <c r="AU237" i="2"/>
  <c r="AT237" i="2"/>
  <c r="G237" i="2"/>
  <c r="F237" i="2"/>
  <c r="AV236" i="2"/>
  <c r="AU236" i="2"/>
  <c r="AT236" i="2"/>
  <c r="G236" i="2"/>
  <c r="F236" i="2"/>
  <c r="AV235" i="2"/>
  <c r="AU235" i="2"/>
  <c r="AT235" i="2"/>
  <c r="G235" i="2"/>
  <c r="F235" i="2"/>
  <c r="AV234" i="2"/>
  <c r="AU234" i="2"/>
  <c r="AT234" i="2"/>
  <c r="G234" i="2"/>
  <c r="F234" i="2"/>
  <c r="AV233" i="2"/>
  <c r="AU233" i="2"/>
  <c r="AT233" i="2"/>
  <c r="G233" i="2"/>
  <c r="F233" i="2"/>
  <c r="AV232" i="2"/>
  <c r="AU232" i="2"/>
  <c r="AT232" i="2"/>
  <c r="G232" i="2"/>
  <c r="F232" i="2"/>
  <c r="AV231" i="2"/>
  <c r="AU231" i="2"/>
  <c r="AT231" i="2"/>
  <c r="G231" i="2"/>
  <c r="F231" i="2"/>
  <c r="AV230" i="2"/>
  <c r="AU230" i="2"/>
  <c r="AT230" i="2"/>
  <c r="G230" i="2"/>
  <c r="F230" i="2"/>
  <c r="AV229" i="2"/>
  <c r="AU229" i="2"/>
  <c r="AT229" i="2"/>
  <c r="G229" i="2"/>
  <c r="F229" i="2"/>
  <c r="AV228" i="2"/>
  <c r="AU228" i="2"/>
  <c r="AT228" i="2"/>
  <c r="G228" i="2"/>
  <c r="F228" i="2"/>
  <c r="AV227" i="2"/>
  <c r="AU227" i="2"/>
  <c r="AT227" i="2"/>
  <c r="G227" i="2"/>
  <c r="F227" i="2"/>
  <c r="AV226" i="2"/>
  <c r="AU226" i="2"/>
  <c r="AT226" i="2"/>
  <c r="G226" i="2"/>
  <c r="F226" i="2"/>
  <c r="AV225" i="2"/>
  <c r="AU225" i="2"/>
  <c r="AT225" i="2"/>
  <c r="G225" i="2"/>
  <c r="F225" i="2"/>
  <c r="AV224" i="2"/>
  <c r="AU224" i="2"/>
  <c r="AT224" i="2"/>
  <c r="G224" i="2"/>
  <c r="F224" i="2"/>
  <c r="AV223" i="2"/>
  <c r="AU223" i="2"/>
  <c r="AT223" i="2"/>
  <c r="G223" i="2"/>
  <c r="F223" i="2"/>
  <c r="AV222" i="2"/>
  <c r="AU222" i="2"/>
  <c r="AT222" i="2"/>
  <c r="G222" i="2"/>
  <c r="F222" i="2"/>
  <c r="AV221" i="2"/>
  <c r="AU221" i="2"/>
  <c r="AT221" i="2"/>
  <c r="G221" i="2"/>
  <c r="F221" i="2"/>
  <c r="AV220" i="2"/>
  <c r="AU220" i="2"/>
  <c r="AT220" i="2"/>
  <c r="G220" i="2"/>
  <c r="F220" i="2"/>
  <c r="AV219" i="2"/>
  <c r="AU219" i="2"/>
  <c r="AT219" i="2"/>
  <c r="G219" i="2"/>
  <c r="F219" i="2"/>
  <c r="AV218" i="2"/>
  <c r="AU218" i="2"/>
  <c r="AT218" i="2"/>
  <c r="G218" i="2"/>
  <c r="F218" i="2"/>
  <c r="AV217" i="2"/>
  <c r="AU217" i="2"/>
  <c r="AT217" i="2"/>
  <c r="G217" i="2"/>
  <c r="F217" i="2"/>
  <c r="AV216" i="2"/>
  <c r="AU216" i="2"/>
  <c r="AT216" i="2"/>
  <c r="G216" i="2"/>
  <c r="F216" i="2"/>
  <c r="AV215" i="2"/>
  <c r="AU215" i="2"/>
  <c r="AT215" i="2"/>
  <c r="G215" i="2"/>
  <c r="F215" i="2"/>
  <c r="AV214" i="2"/>
  <c r="AU214" i="2"/>
  <c r="AT214" i="2"/>
  <c r="G214" i="2"/>
  <c r="F214" i="2"/>
  <c r="AV213" i="2"/>
  <c r="AU213" i="2"/>
  <c r="AT213" i="2"/>
  <c r="G213" i="2"/>
  <c r="F213" i="2"/>
  <c r="AV212" i="2"/>
  <c r="AU212" i="2"/>
  <c r="AT212" i="2"/>
  <c r="G212" i="2"/>
  <c r="F212" i="2"/>
  <c r="AV211" i="2"/>
  <c r="AU211" i="2"/>
  <c r="AT211" i="2"/>
  <c r="G211" i="2"/>
  <c r="F211" i="2"/>
  <c r="AV210" i="2"/>
  <c r="AU210" i="2"/>
  <c r="AT210" i="2"/>
  <c r="G210" i="2"/>
  <c r="F210" i="2"/>
  <c r="AV209" i="2"/>
  <c r="AU209" i="2"/>
  <c r="AT209" i="2"/>
  <c r="G209" i="2"/>
  <c r="F209" i="2"/>
  <c r="AV208" i="2"/>
  <c r="AU208" i="2"/>
  <c r="AT208" i="2"/>
  <c r="G208" i="2"/>
  <c r="F208" i="2"/>
  <c r="AV207" i="2"/>
  <c r="AU207" i="2"/>
  <c r="AT207" i="2"/>
  <c r="G207" i="2"/>
  <c r="F207" i="2"/>
  <c r="AV206" i="2"/>
  <c r="AU206" i="2"/>
  <c r="AT206" i="2"/>
  <c r="G206" i="2"/>
  <c r="F206" i="2"/>
  <c r="AV205" i="2"/>
  <c r="AU205" i="2"/>
  <c r="AT205" i="2"/>
  <c r="G205" i="2"/>
  <c r="F205" i="2"/>
  <c r="AV204" i="2"/>
  <c r="AU204" i="2"/>
  <c r="AT204" i="2"/>
  <c r="G204" i="2"/>
  <c r="F204" i="2"/>
  <c r="AV203" i="2"/>
  <c r="AU203" i="2"/>
  <c r="AT203" i="2"/>
  <c r="G203" i="2"/>
  <c r="F203" i="2"/>
  <c r="AV202" i="2"/>
  <c r="AU202" i="2"/>
  <c r="AT202" i="2"/>
  <c r="G202" i="2"/>
  <c r="F202" i="2"/>
  <c r="AV201" i="2"/>
  <c r="AU201" i="2"/>
  <c r="AT201" i="2"/>
  <c r="G201" i="2"/>
  <c r="F201" i="2"/>
  <c r="AV200" i="2"/>
  <c r="AU200" i="2"/>
  <c r="AT200" i="2"/>
  <c r="G200" i="2"/>
  <c r="F200" i="2"/>
  <c r="AV199" i="2"/>
  <c r="AU199" i="2"/>
  <c r="AT199" i="2"/>
  <c r="G199" i="2"/>
  <c r="F199" i="2"/>
  <c r="AV198" i="2"/>
  <c r="AU198" i="2"/>
  <c r="AT198" i="2"/>
  <c r="G198" i="2"/>
  <c r="F198" i="2"/>
  <c r="AV197" i="2"/>
  <c r="AU197" i="2"/>
  <c r="AT197" i="2"/>
  <c r="G197" i="2"/>
  <c r="F197" i="2"/>
  <c r="AV196" i="2"/>
  <c r="AU196" i="2"/>
  <c r="AT196" i="2"/>
  <c r="G196" i="2"/>
  <c r="F196" i="2"/>
  <c r="AV195" i="2"/>
  <c r="AU195" i="2"/>
  <c r="AT195" i="2"/>
  <c r="G195" i="2"/>
  <c r="F195" i="2"/>
  <c r="AV194" i="2"/>
  <c r="AU194" i="2"/>
  <c r="AT194" i="2"/>
  <c r="G194" i="2"/>
  <c r="F194" i="2"/>
  <c r="AV193" i="2"/>
  <c r="AU193" i="2"/>
  <c r="AT193" i="2"/>
  <c r="G193" i="2"/>
  <c r="F193" i="2"/>
  <c r="AV192" i="2"/>
  <c r="AU192" i="2"/>
  <c r="AT192" i="2"/>
  <c r="G192" i="2"/>
  <c r="F192" i="2"/>
  <c r="AV191" i="2"/>
  <c r="AU191" i="2"/>
  <c r="AT191" i="2"/>
  <c r="G191" i="2"/>
  <c r="F191" i="2"/>
  <c r="AV190" i="2"/>
  <c r="AU190" i="2"/>
  <c r="AT190" i="2"/>
  <c r="G190" i="2"/>
  <c r="F190" i="2"/>
  <c r="AV189" i="2"/>
  <c r="AU189" i="2"/>
  <c r="AT189" i="2"/>
  <c r="G189" i="2"/>
  <c r="F189" i="2"/>
  <c r="AV188" i="2"/>
  <c r="AU188" i="2"/>
  <c r="AT188" i="2"/>
  <c r="G188" i="2"/>
  <c r="F188" i="2"/>
  <c r="AV187" i="2"/>
  <c r="AU187" i="2"/>
  <c r="AT187" i="2"/>
  <c r="G187" i="2"/>
  <c r="F187" i="2"/>
  <c r="AV186" i="2"/>
  <c r="AU186" i="2"/>
  <c r="AT186" i="2"/>
  <c r="G186" i="2"/>
  <c r="F186" i="2"/>
  <c r="AV185" i="2"/>
  <c r="AU185" i="2"/>
  <c r="AT185" i="2"/>
  <c r="G185" i="2"/>
  <c r="F185" i="2"/>
  <c r="AV184" i="2"/>
  <c r="AU184" i="2"/>
  <c r="AT184" i="2"/>
  <c r="G184" i="2"/>
  <c r="F184" i="2"/>
  <c r="AV183" i="2"/>
  <c r="AU183" i="2"/>
  <c r="AT183" i="2"/>
  <c r="G183" i="2"/>
  <c r="F183" i="2"/>
  <c r="AV182" i="2"/>
  <c r="AU182" i="2"/>
  <c r="AT182" i="2"/>
  <c r="G182" i="2"/>
  <c r="F182" i="2"/>
  <c r="AV181" i="2"/>
  <c r="AU181" i="2"/>
  <c r="AT181" i="2"/>
  <c r="G181" i="2"/>
  <c r="F181" i="2"/>
  <c r="AV180" i="2"/>
  <c r="AU180" i="2"/>
  <c r="AT180" i="2"/>
  <c r="G180" i="2"/>
  <c r="F180" i="2"/>
  <c r="AV179" i="2"/>
  <c r="AT179" i="2"/>
  <c r="G179" i="2"/>
  <c r="F179" i="2"/>
  <c r="G157" i="2"/>
  <c r="F157" i="2"/>
  <c r="G156" i="2"/>
  <c r="F156" i="2"/>
  <c r="G155" i="2"/>
  <c r="F155" i="2"/>
  <c r="G154" i="2"/>
  <c r="F154" i="2"/>
  <c r="G153" i="2"/>
  <c r="F153" i="2"/>
  <c r="G152" i="2"/>
  <c r="F152" i="2"/>
  <c r="G151" i="2"/>
  <c r="F151" i="2"/>
  <c r="G150" i="2"/>
  <c r="F150" i="2"/>
  <c r="G149" i="2"/>
  <c r="F149" i="2"/>
  <c r="G148" i="2"/>
  <c r="F148" i="2"/>
  <c r="G147" i="2"/>
  <c r="F147" i="2"/>
  <c r="G146" i="2"/>
  <c r="F146" i="2"/>
  <c r="G145" i="2"/>
  <c r="F145" i="2"/>
  <c r="G144" i="2"/>
  <c r="F144" i="2"/>
  <c r="G143" i="2"/>
  <c r="F143" i="2"/>
  <c r="G142" i="2"/>
  <c r="F142" i="2"/>
  <c r="G141" i="2"/>
  <c r="F141" i="2"/>
  <c r="G140" i="2"/>
  <c r="F140" i="2"/>
  <c r="G139" i="2"/>
  <c r="F139" i="2"/>
  <c r="G138" i="2"/>
  <c r="F138" i="2"/>
  <c r="AS137" i="2"/>
  <c r="AT137" i="2" s="1"/>
  <c r="AR137" i="2"/>
  <c r="AQ137" i="2"/>
  <c r="G137" i="2"/>
  <c r="F137" i="2"/>
  <c r="AS136" i="2"/>
  <c r="AT136" i="2" s="1"/>
  <c r="AR136" i="2"/>
  <c r="AQ136" i="2"/>
  <c r="G136" i="2"/>
  <c r="F136" i="2"/>
  <c r="AS135" i="2"/>
  <c r="AT135" i="2" s="1"/>
  <c r="AR135" i="2"/>
  <c r="AQ135" i="2"/>
  <c r="G135" i="2"/>
  <c r="F135" i="2"/>
  <c r="AS134" i="2"/>
  <c r="AT134" i="2" s="1"/>
  <c r="AR134" i="2"/>
  <c r="AQ134" i="2"/>
  <c r="G134" i="2"/>
  <c r="F134" i="2"/>
  <c r="AS133" i="2"/>
  <c r="AT133" i="2" s="1"/>
  <c r="AR133" i="2"/>
  <c r="AQ133" i="2"/>
  <c r="G133" i="2"/>
  <c r="F133" i="2"/>
  <c r="AS132" i="2"/>
  <c r="AT132" i="2" s="1"/>
  <c r="AR132" i="2"/>
  <c r="AQ132" i="2"/>
  <c r="G132" i="2"/>
  <c r="F132" i="2"/>
  <c r="AS131" i="2"/>
  <c r="AT131" i="2" s="1"/>
  <c r="AR131" i="2"/>
  <c r="AQ131" i="2"/>
  <c r="G131" i="2"/>
  <c r="F131" i="2"/>
  <c r="AS130" i="2"/>
  <c r="AT130" i="2" s="1"/>
  <c r="AR130" i="2"/>
  <c r="AQ130" i="2"/>
  <c r="G130" i="2"/>
  <c r="F130" i="2"/>
  <c r="AS129" i="2"/>
  <c r="AT129" i="2" s="1"/>
  <c r="AR129" i="2"/>
  <c r="AQ129" i="2"/>
  <c r="G129" i="2"/>
  <c r="F129" i="2"/>
  <c r="AS14" i="2"/>
  <c r="AT14" i="2" s="1"/>
  <c r="AR14" i="2"/>
  <c r="AQ14" i="2"/>
  <c r="G14" i="2"/>
  <c r="F14" i="2"/>
  <c r="AS128" i="2"/>
  <c r="AT128" i="2" s="1"/>
  <c r="AR128" i="2"/>
  <c r="AQ128" i="2"/>
  <c r="G128" i="2"/>
  <c r="F128" i="2"/>
  <c r="AS127" i="2"/>
  <c r="AT127" i="2" s="1"/>
  <c r="AR127" i="2"/>
  <c r="AQ127" i="2"/>
  <c r="G127" i="2"/>
  <c r="F127" i="2"/>
  <c r="AS126" i="2"/>
  <c r="AT126" i="2" s="1"/>
  <c r="AR126" i="2"/>
  <c r="AQ126" i="2"/>
  <c r="G126" i="2"/>
  <c r="F126" i="2"/>
  <c r="AS125" i="2"/>
  <c r="AT125" i="2" s="1"/>
  <c r="AR125" i="2"/>
  <c r="AQ125" i="2"/>
  <c r="G125" i="2"/>
  <c r="F125" i="2"/>
  <c r="AS124" i="2"/>
  <c r="AT124" i="2" s="1"/>
  <c r="AR124" i="2"/>
  <c r="AQ124" i="2"/>
  <c r="G124" i="2"/>
  <c r="F124" i="2"/>
  <c r="AS123" i="2"/>
  <c r="AT123" i="2" s="1"/>
  <c r="AR123" i="2"/>
  <c r="AQ123" i="2"/>
  <c r="G123" i="2"/>
  <c r="F123" i="2"/>
  <c r="AS122" i="2"/>
  <c r="AT122" i="2" s="1"/>
  <c r="AR122" i="2"/>
  <c r="AQ122" i="2"/>
  <c r="G122" i="2"/>
  <c r="F122" i="2"/>
  <c r="AS121" i="2"/>
  <c r="AT121" i="2" s="1"/>
  <c r="AR121" i="2"/>
  <c r="AQ121" i="2"/>
  <c r="G121" i="2"/>
  <c r="F121" i="2"/>
  <c r="AS120" i="2"/>
  <c r="AT120" i="2" s="1"/>
  <c r="AR120" i="2"/>
  <c r="AQ120" i="2"/>
  <c r="G120" i="2"/>
  <c r="F120" i="2"/>
  <c r="AS119" i="2"/>
  <c r="AT119" i="2" s="1"/>
  <c r="AR119" i="2"/>
  <c r="AQ119" i="2"/>
  <c r="G119" i="2"/>
  <c r="F119" i="2"/>
  <c r="AS118" i="2"/>
  <c r="AT118" i="2" s="1"/>
  <c r="AR118" i="2"/>
  <c r="AQ118" i="2"/>
  <c r="G118" i="2"/>
  <c r="F118" i="2"/>
  <c r="AS117" i="2"/>
  <c r="AT117" i="2" s="1"/>
  <c r="AR117" i="2"/>
  <c r="AQ117" i="2"/>
  <c r="G117" i="2"/>
  <c r="F117" i="2"/>
  <c r="AS116" i="2"/>
  <c r="AT116" i="2" s="1"/>
  <c r="AR116" i="2"/>
  <c r="AQ116" i="2"/>
  <c r="G116" i="2"/>
  <c r="F116" i="2"/>
  <c r="AS115" i="2"/>
  <c r="AT115" i="2" s="1"/>
  <c r="AR115" i="2"/>
  <c r="AQ115" i="2"/>
  <c r="G115" i="2"/>
  <c r="F115" i="2"/>
  <c r="AS114" i="2"/>
  <c r="AT114" i="2" s="1"/>
  <c r="AR114" i="2"/>
  <c r="AQ114" i="2"/>
  <c r="G114" i="2"/>
  <c r="F114" i="2"/>
  <c r="AS113" i="2"/>
  <c r="AT113" i="2" s="1"/>
  <c r="AR113" i="2"/>
  <c r="AQ113" i="2"/>
  <c r="G113" i="2"/>
  <c r="F113" i="2"/>
  <c r="AS112" i="2"/>
  <c r="AT112" i="2" s="1"/>
  <c r="AR112" i="2"/>
  <c r="AQ112" i="2"/>
  <c r="G112" i="2"/>
  <c r="F112" i="2"/>
  <c r="AS111" i="2"/>
  <c r="AT111" i="2" s="1"/>
  <c r="AR111" i="2"/>
  <c r="AQ111" i="2"/>
  <c r="G111" i="2"/>
  <c r="F111" i="2"/>
  <c r="AS110" i="2"/>
  <c r="AT110" i="2" s="1"/>
  <c r="AR110" i="2"/>
  <c r="AQ110" i="2"/>
  <c r="G110" i="2"/>
  <c r="F110" i="2"/>
  <c r="AS109" i="2"/>
  <c r="AT109" i="2" s="1"/>
  <c r="AR109" i="2"/>
  <c r="AQ109" i="2"/>
  <c r="G109" i="2"/>
  <c r="F109" i="2"/>
  <c r="AS108" i="2"/>
  <c r="AT108" i="2" s="1"/>
  <c r="AR108" i="2"/>
  <c r="AQ108" i="2"/>
  <c r="G108" i="2"/>
  <c r="F108" i="2"/>
  <c r="AS107" i="2"/>
  <c r="AT107" i="2" s="1"/>
  <c r="AR107" i="2"/>
  <c r="AQ107" i="2"/>
  <c r="G107" i="2"/>
  <c r="F107" i="2"/>
  <c r="AS106" i="2"/>
  <c r="AT106" i="2" s="1"/>
  <c r="AR106" i="2"/>
  <c r="AQ106" i="2"/>
  <c r="G106" i="2"/>
  <c r="F106" i="2"/>
  <c r="AS105" i="2"/>
  <c r="AT105" i="2" s="1"/>
  <c r="AR105" i="2"/>
  <c r="AQ105" i="2"/>
  <c r="G105" i="2"/>
  <c r="F105" i="2"/>
  <c r="AS104" i="2"/>
  <c r="AT104" i="2" s="1"/>
  <c r="AR104" i="2"/>
  <c r="AQ104" i="2"/>
  <c r="G104" i="2"/>
  <c r="F104" i="2"/>
  <c r="AS103" i="2"/>
  <c r="AT103" i="2" s="1"/>
  <c r="AR103" i="2"/>
  <c r="AQ103" i="2"/>
  <c r="G103" i="2"/>
  <c r="F103" i="2"/>
  <c r="AS102" i="2"/>
  <c r="AT102" i="2" s="1"/>
  <c r="AR102" i="2"/>
  <c r="AQ102" i="2"/>
  <c r="G102" i="2"/>
  <c r="F102" i="2"/>
  <c r="AS101" i="2"/>
  <c r="AT101" i="2" s="1"/>
  <c r="AR101" i="2"/>
  <c r="AQ101" i="2"/>
  <c r="G101" i="2"/>
  <c r="F101" i="2"/>
  <c r="AS100" i="2"/>
  <c r="AT100" i="2" s="1"/>
  <c r="AR100" i="2"/>
  <c r="AQ100" i="2"/>
  <c r="G100" i="2"/>
  <c r="F100" i="2"/>
  <c r="AS99" i="2"/>
  <c r="AT99" i="2" s="1"/>
  <c r="AR99" i="2"/>
  <c r="AQ99" i="2"/>
  <c r="G99" i="2"/>
  <c r="F99" i="2"/>
  <c r="AS98" i="2"/>
  <c r="AT98" i="2" s="1"/>
  <c r="AR98" i="2"/>
  <c r="AQ98" i="2"/>
  <c r="G98" i="2"/>
  <c r="F98" i="2"/>
  <c r="AS97" i="2"/>
  <c r="AT97" i="2" s="1"/>
  <c r="AR97" i="2"/>
  <c r="AQ97" i="2"/>
  <c r="G97" i="2"/>
  <c r="F97" i="2"/>
  <c r="AS96" i="2"/>
  <c r="AT96" i="2" s="1"/>
  <c r="AR96" i="2"/>
  <c r="AQ96" i="2"/>
  <c r="G96" i="2"/>
  <c r="F96" i="2"/>
  <c r="AS95" i="2"/>
  <c r="AT95" i="2" s="1"/>
  <c r="AR95" i="2"/>
  <c r="AQ95" i="2"/>
  <c r="G95" i="2"/>
  <c r="F95" i="2"/>
  <c r="AS94" i="2"/>
  <c r="AT94" i="2" s="1"/>
  <c r="AR94" i="2"/>
  <c r="AQ94" i="2"/>
  <c r="G94" i="2"/>
  <c r="F94" i="2"/>
  <c r="AS93" i="2"/>
  <c r="AT93" i="2" s="1"/>
  <c r="AR93" i="2"/>
  <c r="AQ93" i="2"/>
  <c r="G93" i="2"/>
  <c r="F93" i="2"/>
  <c r="AS92" i="2"/>
  <c r="AT92" i="2" s="1"/>
  <c r="AR92" i="2"/>
  <c r="AQ92" i="2"/>
  <c r="AS91" i="2"/>
  <c r="AT91" i="2" s="1"/>
  <c r="AR91" i="2"/>
  <c r="AQ91" i="2"/>
  <c r="F91" i="2"/>
  <c r="AS90" i="2"/>
  <c r="AT90" i="2" s="1"/>
  <c r="AR90" i="2"/>
  <c r="AQ90" i="2"/>
  <c r="G90" i="2"/>
  <c r="F90" i="2"/>
  <c r="AS89" i="2"/>
  <c r="AT89" i="2" s="1"/>
  <c r="AR89" i="2"/>
  <c r="AQ89" i="2"/>
  <c r="G89" i="2"/>
  <c r="F89" i="2"/>
  <c r="AS88" i="2"/>
  <c r="AT88" i="2" s="1"/>
  <c r="AR88" i="2"/>
  <c r="AQ88" i="2"/>
  <c r="G88" i="2"/>
  <c r="F88" i="2"/>
  <c r="AS87" i="2"/>
  <c r="AT87" i="2" s="1"/>
  <c r="AR87" i="2"/>
  <c r="AQ87" i="2"/>
  <c r="G87" i="2"/>
  <c r="F87" i="2"/>
  <c r="AS86" i="2"/>
  <c r="AT86" i="2" s="1"/>
  <c r="AR86" i="2"/>
  <c r="AQ86" i="2"/>
  <c r="G86" i="2"/>
  <c r="F86" i="2"/>
  <c r="AS85" i="2"/>
  <c r="AT85" i="2" s="1"/>
  <c r="AR85" i="2"/>
  <c r="AQ85" i="2"/>
  <c r="G85" i="2"/>
  <c r="F85" i="2"/>
  <c r="AS84" i="2"/>
  <c r="AT84" i="2" s="1"/>
  <c r="AR84" i="2"/>
  <c r="AQ84" i="2"/>
  <c r="G84" i="2"/>
  <c r="F84" i="2"/>
  <c r="AS83" i="2"/>
  <c r="AT83" i="2" s="1"/>
  <c r="AR83" i="2"/>
  <c r="AQ83" i="2"/>
  <c r="G83" i="2"/>
  <c r="F83" i="2"/>
  <c r="AS82" i="2"/>
  <c r="AT82" i="2" s="1"/>
  <c r="AR82" i="2"/>
  <c r="AQ82" i="2"/>
  <c r="G82" i="2"/>
  <c r="F82" i="2"/>
  <c r="AS81" i="2"/>
  <c r="AT81" i="2" s="1"/>
  <c r="AR81" i="2"/>
  <c r="AQ81" i="2"/>
  <c r="G81" i="2"/>
  <c r="F81" i="2"/>
  <c r="AS80" i="2"/>
  <c r="AT80" i="2" s="1"/>
  <c r="AR80" i="2"/>
  <c r="AQ80" i="2"/>
  <c r="G80" i="2"/>
  <c r="F80" i="2"/>
  <c r="AS79" i="2"/>
  <c r="AT79" i="2" s="1"/>
  <c r="AR79" i="2"/>
  <c r="AQ79" i="2"/>
  <c r="G79" i="2"/>
  <c r="F79" i="2"/>
  <c r="AS78" i="2"/>
  <c r="AT78" i="2" s="1"/>
  <c r="AR78" i="2"/>
  <c r="AQ78" i="2"/>
  <c r="G78" i="2"/>
  <c r="F78" i="2"/>
  <c r="AS77" i="2"/>
  <c r="AT77" i="2" s="1"/>
  <c r="AR77" i="2"/>
  <c r="AQ77" i="2"/>
  <c r="G77" i="2"/>
  <c r="F77" i="2"/>
  <c r="AS76" i="2"/>
  <c r="AT76" i="2" s="1"/>
  <c r="AR76" i="2"/>
  <c r="AQ76" i="2"/>
  <c r="G76" i="2"/>
  <c r="F76" i="2"/>
  <c r="AS75" i="2"/>
  <c r="AT75" i="2" s="1"/>
  <c r="AR75" i="2"/>
  <c r="AQ75" i="2"/>
  <c r="G75" i="2"/>
  <c r="F75" i="2"/>
  <c r="AS74" i="2"/>
  <c r="AT74" i="2" s="1"/>
  <c r="AR74" i="2"/>
  <c r="AQ74" i="2"/>
  <c r="G74" i="2"/>
  <c r="F74" i="2"/>
  <c r="AS73" i="2"/>
  <c r="AT73" i="2" s="1"/>
  <c r="AR73" i="2"/>
  <c r="AQ73" i="2"/>
  <c r="G73" i="2"/>
  <c r="F73" i="2"/>
  <c r="AS72" i="2"/>
  <c r="AT72" i="2" s="1"/>
  <c r="AR72" i="2"/>
  <c r="AQ72" i="2"/>
  <c r="G72" i="2"/>
  <c r="F72" i="2"/>
  <c r="AS71" i="2"/>
  <c r="AT71" i="2" s="1"/>
  <c r="AR71" i="2"/>
  <c r="AQ71" i="2"/>
  <c r="G71" i="2"/>
  <c r="F71" i="2"/>
  <c r="AS70" i="2"/>
  <c r="AT70" i="2" s="1"/>
  <c r="AR70" i="2"/>
  <c r="AQ70" i="2"/>
  <c r="G70" i="2"/>
  <c r="F70" i="2"/>
  <c r="AS69" i="2"/>
  <c r="AT69" i="2" s="1"/>
  <c r="AR69" i="2"/>
  <c r="AQ69" i="2"/>
  <c r="G69" i="2"/>
  <c r="F69" i="2"/>
  <c r="AS68" i="2"/>
  <c r="AT68" i="2" s="1"/>
  <c r="AR68" i="2"/>
  <c r="AQ68" i="2"/>
  <c r="G68" i="2"/>
  <c r="F68" i="2"/>
  <c r="AS67" i="2"/>
  <c r="AT67" i="2" s="1"/>
  <c r="AR67" i="2"/>
  <c r="AQ67" i="2"/>
  <c r="G67" i="2"/>
  <c r="F67" i="2"/>
  <c r="AS66" i="2"/>
  <c r="AT66" i="2" s="1"/>
  <c r="AR66" i="2"/>
  <c r="AQ66" i="2"/>
  <c r="G66" i="2"/>
  <c r="F66" i="2"/>
  <c r="AS65" i="2"/>
  <c r="AT65" i="2" s="1"/>
  <c r="AR65" i="2"/>
  <c r="AQ65" i="2"/>
  <c r="G65" i="2"/>
  <c r="F65" i="2"/>
  <c r="AS64" i="2"/>
  <c r="AT64" i="2" s="1"/>
  <c r="AR64" i="2"/>
  <c r="AQ64" i="2"/>
  <c r="G64" i="2"/>
  <c r="F64" i="2"/>
  <c r="AS63" i="2"/>
  <c r="AT63" i="2" s="1"/>
  <c r="AR63" i="2"/>
  <c r="AQ63" i="2"/>
  <c r="G63" i="2"/>
  <c r="F63" i="2"/>
  <c r="AS62" i="2"/>
  <c r="AT62" i="2" s="1"/>
  <c r="AR62" i="2"/>
  <c r="AQ62" i="2"/>
  <c r="G62" i="2"/>
  <c r="F62" i="2"/>
  <c r="AS61" i="2"/>
  <c r="AT61" i="2" s="1"/>
  <c r="AR61" i="2"/>
  <c r="AQ61" i="2"/>
  <c r="G61" i="2"/>
  <c r="F61" i="2"/>
  <c r="AS60" i="2"/>
  <c r="AT60" i="2" s="1"/>
  <c r="AR60" i="2"/>
  <c r="AQ60" i="2"/>
  <c r="G60" i="2"/>
  <c r="F60" i="2"/>
  <c r="AS59" i="2"/>
  <c r="AT59" i="2" s="1"/>
  <c r="AR59" i="2"/>
  <c r="AQ59" i="2"/>
  <c r="G59" i="2"/>
  <c r="F59" i="2"/>
  <c r="AS58" i="2"/>
  <c r="AT58" i="2" s="1"/>
  <c r="AR58" i="2"/>
  <c r="AQ58" i="2"/>
  <c r="G58" i="2"/>
  <c r="F58" i="2"/>
  <c r="AS57" i="2"/>
  <c r="AT57" i="2" s="1"/>
  <c r="AR57" i="2"/>
  <c r="AQ57" i="2"/>
  <c r="G57" i="2"/>
  <c r="F57" i="2"/>
  <c r="AS56" i="2"/>
  <c r="AT56" i="2" s="1"/>
  <c r="AR56" i="2"/>
  <c r="AQ56" i="2"/>
  <c r="G56" i="2"/>
  <c r="F56" i="2"/>
  <c r="AS55" i="2"/>
  <c r="AT55" i="2" s="1"/>
  <c r="AR55" i="2"/>
  <c r="AQ55" i="2"/>
  <c r="G55" i="2"/>
  <c r="F55" i="2"/>
  <c r="AS54" i="2"/>
  <c r="AT54" i="2" s="1"/>
  <c r="AR54" i="2"/>
  <c r="AQ54" i="2"/>
  <c r="G54" i="2"/>
  <c r="F54" i="2"/>
  <c r="AS53" i="2"/>
  <c r="AT53" i="2" s="1"/>
  <c r="AR53" i="2"/>
  <c r="AQ53" i="2"/>
  <c r="G53" i="2"/>
  <c r="F53" i="2"/>
  <c r="AS52" i="2"/>
  <c r="AT52" i="2" s="1"/>
  <c r="AR52" i="2"/>
  <c r="AQ52" i="2"/>
  <c r="G52" i="2"/>
  <c r="F52" i="2"/>
  <c r="AS51" i="2"/>
  <c r="AT51" i="2" s="1"/>
  <c r="AR51" i="2"/>
  <c r="AQ51" i="2"/>
  <c r="G51" i="2"/>
  <c r="F51" i="2"/>
  <c r="AS50" i="2"/>
  <c r="AT50" i="2" s="1"/>
  <c r="AR50" i="2"/>
  <c r="AQ50" i="2"/>
  <c r="G50" i="2"/>
  <c r="F50" i="2"/>
  <c r="AS49" i="2"/>
  <c r="AT49" i="2" s="1"/>
  <c r="AR49" i="2"/>
  <c r="AQ49" i="2"/>
  <c r="G49" i="2"/>
  <c r="F49" i="2"/>
  <c r="AS48" i="2"/>
  <c r="AT48" i="2" s="1"/>
  <c r="AR48" i="2"/>
  <c r="AQ48" i="2"/>
  <c r="G48" i="2"/>
  <c r="F48" i="2"/>
  <c r="AS47" i="2"/>
  <c r="AT47" i="2" s="1"/>
  <c r="AR47" i="2"/>
  <c r="AQ47" i="2"/>
  <c r="G47" i="2"/>
  <c r="F47" i="2"/>
  <c r="AS13" i="2"/>
  <c r="AT13" i="2" s="1"/>
  <c r="AR13" i="2"/>
  <c r="AQ13" i="2"/>
  <c r="G13" i="2"/>
  <c r="F13" i="2"/>
  <c r="AS46" i="2"/>
  <c r="AT46" i="2" s="1"/>
  <c r="AR46" i="2"/>
  <c r="AQ46" i="2"/>
  <c r="G46" i="2"/>
  <c r="F46" i="2"/>
  <c r="AS12" i="2"/>
  <c r="AT12" i="2" s="1"/>
  <c r="AR12" i="2"/>
  <c r="AQ12" i="2"/>
  <c r="G12" i="2"/>
  <c r="F12" i="2"/>
  <c r="AS45" i="2"/>
  <c r="AT45" i="2" s="1"/>
  <c r="AR45" i="2"/>
  <c r="AQ45" i="2"/>
  <c r="G45" i="2"/>
  <c r="F45" i="2"/>
  <c r="AS44" i="2"/>
  <c r="AT44" i="2" s="1"/>
  <c r="AR44" i="2"/>
  <c r="AQ44" i="2"/>
  <c r="G44" i="2"/>
  <c r="F44" i="2"/>
  <c r="AS43" i="2"/>
  <c r="AT43" i="2" s="1"/>
  <c r="AR43" i="2"/>
  <c r="AQ43" i="2"/>
  <c r="G43" i="2"/>
  <c r="F43" i="2"/>
  <c r="AS42" i="2"/>
  <c r="AT42" i="2" s="1"/>
  <c r="AR42" i="2"/>
  <c r="AQ42" i="2"/>
  <c r="G42" i="2"/>
  <c r="F42" i="2"/>
  <c r="AS41" i="2"/>
  <c r="AT41" i="2" s="1"/>
  <c r="AR41" i="2"/>
  <c r="AQ41" i="2"/>
  <c r="G41" i="2"/>
  <c r="F41" i="2"/>
  <c r="AS11" i="2"/>
  <c r="AT11" i="2" s="1"/>
  <c r="AR11" i="2"/>
  <c r="AQ11" i="2"/>
  <c r="G11" i="2"/>
  <c r="F11" i="2"/>
  <c r="AS10" i="2"/>
  <c r="AT10" i="2" s="1"/>
  <c r="AR10" i="2"/>
  <c r="AQ10" i="2"/>
  <c r="G10" i="2"/>
  <c r="F10" i="2"/>
  <c r="AS40" i="2"/>
  <c r="AT40" i="2" s="1"/>
  <c r="AR40" i="2"/>
  <c r="AQ40" i="2"/>
  <c r="G40" i="2"/>
  <c r="F40" i="2"/>
  <c r="AS39" i="2"/>
  <c r="AT39" i="2" s="1"/>
  <c r="AR39" i="2"/>
  <c r="AQ39" i="2"/>
  <c r="G39" i="2"/>
  <c r="F39" i="2"/>
  <c r="AS38" i="2"/>
  <c r="AT38" i="2" s="1"/>
  <c r="AR38" i="2"/>
  <c r="AQ38" i="2"/>
  <c r="G38" i="2"/>
  <c r="F38" i="2"/>
  <c r="AS37" i="2"/>
  <c r="AT37" i="2" s="1"/>
  <c r="AR37" i="2"/>
  <c r="AQ37" i="2"/>
  <c r="G37" i="2"/>
  <c r="F37" i="2"/>
  <c r="AS36" i="2"/>
  <c r="AT36" i="2" s="1"/>
  <c r="AR36" i="2"/>
  <c r="AQ36" i="2"/>
  <c r="G36" i="2"/>
  <c r="F36" i="2"/>
  <c r="AS35" i="2"/>
  <c r="AT35" i="2" s="1"/>
  <c r="AR35" i="2"/>
  <c r="AQ35" i="2"/>
  <c r="G35" i="2"/>
  <c r="F35" i="2"/>
  <c r="AS34" i="2"/>
  <c r="AT34" i="2" s="1"/>
  <c r="AR34" i="2"/>
  <c r="AQ34" i="2"/>
  <c r="G34" i="2"/>
  <c r="F34" i="2"/>
  <c r="AS33" i="2"/>
  <c r="AT33" i="2" s="1"/>
  <c r="AR33" i="2"/>
  <c r="AQ33" i="2"/>
  <c r="G33" i="2"/>
  <c r="F33" i="2"/>
  <c r="AS32" i="2"/>
  <c r="AT32" i="2" s="1"/>
  <c r="AR32" i="2"/>
  <c r="AQ32" i="2"/>
  <c r="G32" i="2"/>
  <c r="F32" i="2"/>
  <c r="AS6" i="2"/>
  <c r="AT6" i="2" s="1"/>
  <c r="AR6" i="2"/>
  <c r="AQ6" i="2"/>
  <c r="F6" i="2"/>
  <c r="AS31" i="2"/>
  <c r="AT31" i="2" s="1"/>
  <c r="AR31" i="2"/>
  <c r="AQ31" i="2"/>
  <c r="G31" i="2"/>
  <c r="F31" i="2"/>
  <c r="AS30" i="2"/>
  <c r="AT30" i="2" s="1"/>
  <c r="AR30" i="2"/>
  <c r="AQ30" i="2"/>
  <c r="G30" i="2"/>
  <c r="F30" i="2"/>
  <c r="AS29" i="2"/>
  <c r="AT29" i="2" s="1"/>
  <c r="AR29" i="2"/>
  <c r="AQ29" i="2"/>
  <c r="G29" i="2"/>
  <c r="F29" i="2"/>
  <c r="AS5" i="2"/>
  <c r="AT5" i="2" s="1"/>
  <c r="AR5" i="2"/>
  <c r="AQ5" i="2"/>
  <c r="G5" i="2"/>
  <c r="F5" i="2"/>
  <c r="AS28" i="2"/>
  <c r="AT28" i="2" s="1"/>
  <c r="AR28" i="2"/>
  <c r="AQ28" i="2"/>
  <c r="AS26" i="2"/>
  <c r="AT26" i="2" s="1"/>
  <c r="AR26" i="2"/>
  <c r="AQ26" i="2"/>
  <c r="G26" i="2"/>
  <c r="F26" i="2"/>
  <c r="AS25" i="2"/>
  <c r="AT25" i="2" s="1"/>
  <c r="AR25" i="2"/>
  <c r="AQ25" i="2"/>
  <c r="G25" i="2"/>
  <c r="F25" i="2"/>
  <c r="AS24" i="2"/>
  <c r="AT24" i="2" s="1"/>
  <c r="AR24" i="2"/>
  <c r="AQ24" i="2"/>
  <c r="G24" i="2"/>
  <c r="F24" i="2"/>
  <c r="AS23" i="2"/>
  <c r="AT23" i="2" s="1"/>
  <c r="AR23" i="2"/>
  <c r="AQ23" i="2"/>
  <c r="G23" i="2"/>
  <c r="F23" i="2"/>
  <c r="AS22" i="2"/>
  <c r="AT22" i="2" s="1"/>
  <c r="AR22" i="2"/>
  <c r="AQ22" i="2"/>
  <c r="G22" i="2"/>
  <c r="F22" i="2"/>
  <c r="AS8" i="2"/>
  <c r="AT8" i="2" s="1"/>
  <c r="AR8" i="2"/>
  <c r="AQ8" i="2"/>
  <c r="G8" i="2"/>
  <c r="F8" i="2"/>
  <c r="AS21" i="2"/>
  <c r="AT21" i="2" s="1"/>
  <c r="AR21" i="2"/>
  <c r="AQ21" i="2"/>
  <c r="G21" i="2"/>
  <c r="F21" i="2"/>
  <c r="AS4" i="2"/>
  <c r="AT4" i="2" s="1"/>
  <c r="AR4" i="2"/>
  <c r="AQ4" i="2"/>
  <c r="G4" i="2"/>
  <c r="F4" i="2"/>
  <c r="AS20" i="2"/>
  <c r="AT20" i="2" s="1"/>
  <c r="AR20" i="2"/>
  <c r="AQ20" i="2"/>
  <c r="G20" i="2"/>
  <c r="F20" i="2"/>
  <c r="AS19" i="2"/>
  <c r="AT19" i="2" s="1"/>
  <c r="AR19" i="2"/>
  <c r="AQ19" i="2"/>
  <c r="G19" i="2"/>
  <c r="F19" i="2"/>
  <c r="AS18" i="2"/>
  <c r="AT18" i="2" s="1"/>
  <c r="AR18" i="2"/>
  <c r="AQ18" i="2"/>
  <c r="G18" i="2"/>
  <c r="F18" i="2"/>
  <c r="AS17" i="2"/>
  <c r="AT17" i="2" s="1"/>
  <c r="AR17" i="2"/>
  <c r="AQ17" i="2"/>
  <c r="G17" i="2"/>
  <c r="F17" i="2"/>
  <c r="AS16" i="2"/>
  <c r="AT16" i="2" s="1"/>
  <c r="AR16" i="2"/>
  <c r="AQ16" i="2"/>
  <c r="G16" i="2"/>
  <c r="F16" i="2"/>
  <c r="AS15" i="2"/>
  <c r="AT15" i="2" s="1"/>
  <c r="AR15" i="2"/>
  <c r="AQ15" i="2"/>
  <c r="G15" i="2"/>
  <c r="F15" i="2"/>
  <c r="AS3" i="2"/>
  <c r="AT3" i="2" s="1"/>
  <c r="AR3" i="2"/>
  <c r="AQ3" i="2"/>
  <c r="F3" i="2"/>
  <c r="AS7" i="2"/>
  <c r="AT7" i="2" s="1"/>
  <c r="AR7" i="2"/>
  <c r="AQ7" i="2"/>
  <c r="G7" i="2"/>
  <c r="F7" i="2"/>
  <c r="Z49" i="4" l="1"/>
  <c r="Z63" i="4"/>
  <c r="Z54" i="4"/>
  <c r="Z57" i="4"/>
  <c r="Z51" i="4"/>
  <c r="Z59" i="4"/>
  <c r="Z62" i="4"/>
  <c r="Z55" i="4"/>
  <c r="Z61" i="4"/>
  <c r="AM50" i="4"/>
  <c r="AM51" i="4"/>
  <c r="AM52" i="4"/>
  <c r="AM53" i="4"/>
  <c r="AM54" i="4"/>
  <c r="AM55" i="4"/>
  <c r="AM56" i="4"/>
  <c r="AM57" i="4"/>
  <c r="AM58" i="4"/>
  <c r="AM59" i="4"/>
  <c r="AM60" i="4"/>
  <c r="AM61" i="4"/>
  <c r="AM62" i="4"/>
  <c r="AM63" i="4"/>
  <c r="AM64" i="4"/>
  <c r="AM49" i="4"/>
  <c r="AV85" i="7"/>
  <c r="AV83" i="7"/>
  <c r="AV42" i="7"/>
  <c r="AV8" i="7"/>
  <c r="AV86" i="7"/>
  <c r="AV54" i="7"/>
  <c r="AV82" i="7"/>
  <c r="AU108" i="5"/>
  <c r="AV72" i="7"/>
  <c r="AV84" i="7"/>
  <c r="AV28" i="7"/>
  <c r="AV67" i="7"/>
  <c r="AV35" i="7"/>
  <c r="AU47" i="6"/>
  <c r="AV6" i="7"/>
  <c r="AV45" i="7"/>
  <c r="AV58" i="7"/>
  <c r="AV14" i="7"/>
  <c r="AV11" i="7"/>
  <c r="AV57" i="7"/>
  <c r="AV40" i="7"/>
  <c r="AV56" i="7"/>
  <c r="AV81" i="7"/>
  <c r="AV36" i="7"/>
  <c r="AV55" i="7"/>
  <c r="AV63" i="7"/>
  <c r="AV12" i="7"/>
  <c r="AV37" i="7"/>
  <c r="AV5" i="7"/>
  <c r="AV52" i="7"/>
  <c r="AV3" i="7"/>
  <c r="AV51" i="7"/>
  <c r="AV71" i="7"/>
  <c r="AV78" i="7"/>
  <c r="AV47" i="7"/>
  <c r="AV50" i="7"/>
  <c r="AV53" i="7"/>
  <c r="AV49" i="7"/>
  <c r="AV80" i="7"/>
  <c r="AV33" i="7"/>
  <c r="AV76" i="7"/>
  <c r="AV79" i="7"/>
  <c r="Z18" i="4"/>
  <c r="AV26" i="7"/>
  <c r="AV34" i="7"/>
  <c r="AV48" i="7"/>
  <c r="AV13" i="7"/>
  <c r="Z9" i="4"/>
  <c r="AU141" i="5"/>
  <c r="AV60" i="7"/>
  <c r="AV16" i="7"/>
  <c r="AV10" i="7"/>
  <c r="AV25" i="7"/>
  <c r="AV30" i="7"/>
  <c r="AV62" i="7"/>
  <c r="AU140" i="5"/>
  <c r="AV61" i="7"/>
  <c r="AV74" i="7"/>
  <c r="AV41" i="7"/>
  <c r="AV70" i="7"/>
  <c r="AV77" i="7"/>
  <c r="AU44" i="5"/>
  <c r="AU19" i="5"/>
  <c r="AV69" i="7"/>
  <c r="AV75" i="7"/>
  <c r="Z12" i="4"/>
  <c r="AU43" i="5"/>
  <c r="AU124" i="5"/>
  <c r="AV66" i="7"/>
  <c r="AV4" i="7"/>
  <c r="AV39" i="7"/>
  <c r="AV43" i="7"/>
  <c r="AV46" i="7"/>
  <c r="AV68" i="7"/>
  <c r="AV32" i="7"/>
  <c r="AV38" i="7"/>
  <c r="AV64" i="7"/>
  <c r="AU29" i="5"/>
  <c r="AU54" i="5"/>
  <c r="AU117" i="5"/>
  <c r="AU15" i="5"/>
  <c r="AU21" i="5"/>
  <c r="AU143" i="5"/>
  <c r="AU53" i="5"/>
  <c r="AU50" i="6"/>
  <c r="AV31" i="7"/>
  <c r="AV44" i="7"/>
  <c r="AV65" i="7"/>
  <c r="AV73" i="7"/>
  <c r="AU70" i="5"/>
  <c r="AU44" i="6"/>
  <c r="AV29" i="7"/>
  <c r="AV59" i="7"/>
  <c r="AV15" i="7"/>
  <c r="Z20" i="4"/>
  <c r="AU41" i="6"/>
  <c r="AU48" i="6"/>
  <c r="AU51" i="6"/>
  <c r="AU23" i="5"/>
  <c r="AU136" i="5"/>
  <c r="AU18" i="6"/>
  <c r="AU17" i="6"/>
  <c r="Z46" i="4"/>
  <c r="AU154" i="5"/>
  <c r="AU149" i="5"/>
  <c r="AV9" i="7"/>
  <c r="AU37" i="5"/>
  <c r="AU47" i="5"/>
  <c r="AU75" i="5"/>
  <c r="AU95" i="5"/>
  <c r="AU147" i="5"/>
  <c r="Z26" i="4"/>
  <c r="AU110" i="5"/>
  <c r="AU16" i="5"/>
  <c r="AU125" i="5"/>
  <c r="AU130" i="5"/>
  <c r="AU146" i="5"/>
  <c r="Z43" i="4"/>
  <c r="AU65" i="5"/>
  <c r="AU144" i="5"/>
  <c r="AU96" i="5"/>
  <c r="AU127" i="5"/>
  <c r="AU138" i="5"/>
  <c r="AU150" i="5"/>
  <c r="AV110" i="7"/>
  <c r="AV118" i="7"/>
  <c r="AV87" i="7"/>
  <c r="AU32" i="6"/>
  <c r="AU38" i="6"/>
  <c r="AU169" i="5"/>
  <c r="AU177" i="5"/>
  <c r="AU193" i="5"/>
  <c r="AU36" i="6"/>
  <c r="AV88" i="7"/>
  <c r="AV96" i="7"/>
  <c r="AV102" i="7"/>
  <c r="AU157" i="5"/>
  <c r="AU172" i="5"/>
  <c r="AU180" i="5"/>
  <c r="AU11" i="6"/>
  <c r="AU21" i="6"/>
  <c r="AU29" i="6"/>
  <c r="AU137" i="5"/>
  <c r="AU35" i="6"/>
  <c r="AU46" i="5"/>
  <c r="AU73" i="5"/>
  <c r="AU102" i="5"/>
  <c r="Z37" i="4"/>
  <c r="AU72" i="5"/>
  <c r="AU92" i="5"/>
  <c r="AU116" i="5"/>
  <c r="AV24" i="7"/>
  <c r="AV92" i="7"/>
  <c r="AV99" i="7"/>
  <c r="AV106" i="7"/>
  <c r="AU15" i="6"/>
  <c r="AU33" i="6"/>
  <c r="AV23" i="7"/>
  <c r="Z5" i="4"/>
  <c r="Z31" i="4"/>
  <c r="AU39" i="5"/>
  <c r="AU50" i="5"/>
  <c r="AU90" i="5"/>
  <c r="AU14" i="6"/>
  <c r="AV112" i="7"/>
  <c r="AU49" i="5"/>
  <c r="AU199" i="5"/>
  <c r="AU12" i="6"/>
  <c r="AV7" i="7"/>
  <c r="AU39" i="6"/>
  <c r="AU42" i="6"/>
  <c r="AU45" i="6"/>
  <c r="AV116" i="7"/>
  <c r="AU9" i="6"/>
  <c r="AU30" i="6"/>
  <c r="AU57" i="5"/>
  <c r="AU62" i="5"/>
  <c r="AU9" i="5"/>
  <c r="AU8" i="6"/>
  <c r="Z40" i="4"/>
  <c r="AU83" i="5"/>
  <c r="AU89" i="5"/>
  <c r="AU99" i="5"/>
  <c r="AU107" i="5"/>
  <c r="AU181" i="5"/>
  <c r="AU189" i="5"/>
  <c r="AU20" i="6"/>
  <c r="AV22" i="7"/>
  <c r="AU67" i="5"/>
  <c r="AU76" i="5"/>
  <c r="Z34" i="4"/>
  <c r="AU175" i="5"/>
  <c r="AU183" i="5"/>
  <c r="AU202" i="5"/>
  <c r="AU58" i="5"/>
  <c r="AU64" i="5"/>
  <c r="AU87" i="5"/>
  <c r="AU174" i="5"/>
  <c r="AV91" i="7"/>
  <c r="AV98" i="7"/>
  <c r="AV105" i="7"/>
  <c r="AV109" i="7"/>
  <c r="AV117" i="7"/>
  <c r="AU5" i="5"/>
  <c r="AU86" i="5"/>
  <c r="AU114" i="5"/>
  <c r="AU26" i="5"/>
  <c r="AU27" i="5"/>
  <c r="AU168" i="5"/>
  <c r="AU171" i="5"/>
  <c r="AU198" i="5"/>
  <c r="AU201" i="5"/>
  <c r="AU204" i="5"/>
  <c r="AU26" i="6"/>
  <c r="Z6" i="4"/>
  <c r="AU41" i="5"/>
  <c r="AU63" i="5"/>
  <c r="AU69" i="5"/>
  <c r="AU80" i="5"/>
  <c r="AU93" i="5"/>
  <c r="AU113" i="5"/>
  <c r="AU18" i="5"/>
  <c r="AU25" i="5"/>
  <c r="AU165" i="5"/>
  <c r="AU184" i="5"/>
  <c r="AU195" i="5"/>
  <c r="AV21" i="7"/>
  <c r="AV115" i="7"/>
  <c r="AU32" i="5"/>
  <c r="AU3" i="5"/>
  <c r="AU12" i="5"/>
  <c r="AU120" i="5"/>
  <c r="AU17" i="5"/>
  <c r="AU134" i="5"/>
  <c r="AU162" i="5"/>
  <c r="AV114" i="7"/>
  <c r="Z15" i="4"/>
  <c r="AU31" i="5"/>
  <c r="AU56" i="5"/>
  <c r="AU68" i="5"/>
  <c r="AU78" i="5"/>
  <c r="AU84" i="5"/>
  <c r="AU101" i="5"/>
  <c r="AU111" i="5"/>
  <c r="AU119" i="5"/>
  <c r="AU128" i="5"/>
  <c r="AU156" i="5"/>
  <c r="AU159" i="5"/>
  <c r="AU178" i="5"/>
  <c r="AU186" i="5"/>
  <c r="AV20" i="7"/>
  <c r="AV113" i="7"/>
  <c r="AV111" i="7"/>
  <c r="AV119" i="7"/>
  <c r="AU192" i="5"/>
  <c r="AU27" i="6"/>
  <c r="AV90" i="7"/>
  <c r="AV18" i="7"/>
  <c r="AV104" i="7"/>
  <c r="AV89" i="7"/>
  <c r="AV97" i="7"/>
  <c r="AV103" i="7"/>
  <c r="AU82" i="5"/>
  <c r="AU98" i="5"/>
  <c r="AU133" i="5"/>
  <c r="AU53" i="6"/>
  <c r="AU60" i="5"/>
  <c r="AU105" i="5"/>
  <c r="AU160" i="5"/>
  <c r="AU163" i="5"/>
  <c r="AU166" i="5"/>
  <c r="AU190" i="5"/>
  <c r="AU196" i="5"/>
  <c r="AU5" i="6"/>
  <c r="AU24" i="6"/>
  <c r="AV17" i="7"/>
  <c r="AV95" i="7"/>
  <c r="AV101" i="7"/>
  <c r="AU35" i="5"/>
  <c r="AU6" i="5"/>
  <c r="AU81" i="5"/>
  <c r="AU104" i="5"/>
  <c r="AU13" i="5"/>
  <c r="AU131" i="5"/>
  <c r="AU187" i="5"/>
  <c r="AU4" i="6"/>
  <c r="AU23" i="6"/>
  <c r="AV94" i="7"/>
  <c r="AV100" i="7"/>
  <c r="AV108" i="7"/>
  <c r="AU34" i="5"/>
  <c r="AV93" i="7"/>
  <c r="AV19" i="7"/>
  <c r="AV107" i="7"/>
  <c r="BI109" i="7"/>
  <c r="BI110" i="7"/>
  <c r="BI111" i="7"/>
  <c r="BI112" i="7"/>
  <c r="BI113" i="7"/>
  <c r="BI114" i="7"/>
  <c r="BI115" i="7"/>
  <c r="BI116" i="7"/>
  <c r="BI117" i="7"/>
  <c r="BI118" i="7"/>
  <c r="BI119" i="7"/>
  <c r="Z8" i="4"/>
  <c r="Z11" i="4"/>
  <c r="Z14" i="4"/>
  <c r="Z17" i="4"/>
  <c r="Z3" i="4"/>
  <c r="Z4" i="4"/>
  <c r="Z23" i="4"/>
  <c r="Z25" i="4"/>
  <c r="Z28" i="4"/>
  <c r="Z29" i="4"/>
  <c r="Z32" i="4"/>
  <c r="Z35" i="4"/>
  <c r="Z38" i="4"/>
  <c r="Z41" i="4"/>
  <c r="Z44" i="4"/>
  <c r="Z47" i="4"/>
  <c r="AU30" i="5"/>
  <c r="AU33" i="5"/>
  <c r="AU36" i="5"/>
  <c r="AU40" i="5"/>
  <c r="AU42" i="5"/>
  <c r="AU45" i="5"/>
  <c r="AU48" i="5"/>
  <c r="AU51" i="5"/>
  <c r="AU55" i="5"/>
  <c r="AU4" i="5"/>
  <c r="AU59" i="5"/>
  <c r="AU61" i="5"/>
  <c r="AU7" i="5"/>
  <c r="AU66" i="5"/>
  <c r="AU8" i="5"/>
  <c r="AU71" i="5"/>
  <c r="AU74" i="5"/>
  <c r="AU77" i="5"/>
  <c r="AU79" i="5"/>
  <c r="AU10" i="5"/>
  <c r="AU11" i="5"/>
  <c r="AU85" i="5"/>
  <c r="AU88" i="5"/>
  <c r="AU91" i="5"/>
  <c r="AU94" i="5"/>
  <c r="AU97" i="5"/>
  <c r="AU100" i="5"/>
  <c r="AU103" i="5"/>
  <c r="AU106" i="5"/>
  <c r="AU109" i="5"/>
  <c r="AU112" i="5"/>
  <c r="AU115" i="5"/>
  <c r="AU118" i="5"/>
  <c r="AU121" i="5"/>
  <c r="AU14" i="5"/>
  <c r="AU122" i="5"/>
  <c r="AU123" i="5"/>
  <c r="AU20" i="5"/>
  <c r="AU22" i="5"/>
  <c r="AU126" i="5"/>
  <c r="AU24" i="5"/>
  <c r="AU129" i="5"/>
  <c r="AU132" i="5"/>
  <c r="AU135" i="5"/>
  <c r="AU28" i="5"/>
  <c r="AU139" i="5"/>
  <c r="AU142" i="5"/>
  <c r="AU145" i="5"/>
  <c r="AU148" i="5"/>
  <c r="AU151" i="5"/>
  <c r="AU152" i="5"/>
  <c r="AU153" i="5"/>
  <c r="AU155" i="5"/>
  <c r="AU158" i="5"/>
  <c r="AU161" i="5"/>
  <c r="AU164" i="5"/>
  <c r="AU167" i="5"/>
  <c r="AU170" i="5"/>
  <c r="AU173" i="5"/>
  <c r="AU176" i="5"/>
  <c r="AU179" i="5"/>
  <c r="AU182" i="5"/>
  <c r="AU185" i="5"/>
  <c r="AU188" i="5"/>
  <c r="AU191" i="5"/>
  <c r="AU194" i="5"/>
  <c r="AU197" i="5"/>
  <c r="AU200" i="5"/>
  <c r="AU203" i="5"/>
  <c r="AU3" i="6"/>
  <c r="AU6" i="6"/>
  <c r="AU10" i="6"/>
  <c r="AU13" i="6"/>
  <c r="AU16" i="6"/>
  <c r="AU19" i="6"/>
  <c r="AU22" i="6"/>
  <c r="AU25" i="6"/>
  <c r="AU28" i="6"/>
  <c r="AU31" i="6"/>
  <c r="AU34" i="6"/>
  <c r="AU37" i="6"/>
  <c r="AU40" i="6"/>
  <c r="AU43" i="6"/>
  <c r="AU46" i="6"/>
  <c r="AU49" i="6"/>
  <c r="AU52" i="6"/>
  <c r="Z7" i="4"/>
  <c r="Z16" i="4"/>
  <c r="Z22" i="4"/>
  <c r="Z33" i="4"/>
  <c r="Z42" i="4"/>
  <c r="Z10" i="4"/>
  <c r="Z19" i="4"/>
  <c r="Z24" i="4"/>
  <c r="Z36" i="4"/>
  <c r="Z45" i="4"/>
  <c r="Z13" i="4"/>
  <c r="Z21" i="4"/>
  <c r="Z27" i="4"/>
  <c r="Z30" i="4"/>
  <c r="Z39" i="4"/>
  <c r="Z48" i="4"/>
  <c r="BH205" i="5"/>
  <c r="BH39" i="6"/>
  <c r="BH40" i="6"/>
  <c r="BH41" i="6"/>
  <c r="BH42" i="6"/>
  <c r="BH43" i="6"/>
  <c r="BH44" i="6"/>
  <c r="BH45" i="6"/>
  <c r="BH46" i="6"/>
  <c r="BH47" i="6"/>
  <c r="BH48" i="6"/>
  <c r="BH49" i="6"/>
  <c r="BH50" i="6"/>
  <c r="BH51" i="6"/>
  <c r="BH52" i="6"/>
  <c r="BH53" i="6"/>
  <c r="BH38" i="6"/>
  <c r="BH177" i="5"/>
  <c r="BH178" i="5"/>
  <c r="BH179" i="5"/>
  <c r="BH180" i="5"/>
  <c r="BH181" i="5"/>
  <c r="BH182" i="5"/>
  <c r="BH183" i="5"/>
  <c r="BH184" i="5"/>
  <c r="BH185" i="5"/>
  <c r="BH186" i="5"/>
  <c r="BH187" i="5"/>
  <c r="BH188" i="5"/>
  <c r="BH189" i="5"/>
  <c r="BH190" i="5"/>
  <c r="BH191" i="5"/>
  <c r="BH192" i="5"/>
  <c r="BH193" i="5"/>
  <c r="BH194" i="5"/>
  <c r="BH195" i="5"/>
  <c r="BH196" i="5"/>
  <c r="BH197" i="5"/>
  <c r="BH198" i="5"/>
  <c r="BH199" i="5"/>
  <c r="BH200" i="5"/>
  <c r="BH201" i="5"/>
  <c r="BH202" i="5"/>
  <c r="BH203" i="5"/>
  <c r="BH204" i="5"/>
  <c r="BH176" i="5"/>
  <c r="AM31" i="4"/>
  <c r="AM32" i="4"/>
  <c r="AM33" i="4"/>
  <c r="AM34" i="4"/>
  <c r="AM35" i="4"/>
  <c r="AM36" i="4"/>
  <c r="AM37" i="4"/>
  <c r="AM38" i="4"/>
  <c r="AM39" i="4"/>
  <c r="AM40" i="4"/>
  <c r="AM41" i="4"/>
  <c r="AM42" i="4"/>
  <c r="AM43" i="4"/>
  <c r="AM44" i="4"/>
  <c r="AM45" i="4"/>
  <c r="AM46" i="4"/>
  <c r="AM47" i="4"/>
  <c r="AM48" i="4"/>
  <c r="AM30" i="4"/>
  <c r="BH156" i="5"/>
  <c r="BH157" i="5"/>
  <c r="BH158" i="5"/>
  <c r="BH159" i="5"/>
  <c r="BH160" i="5"/>
  <c r="BH161" i="5"/>
  <c r="BH162" i="5"/>
  <c r="BH163" i="5"/>
  <c r="BH164" i="5"/>
  <c r="BH165" i="5"/>
  <c r="BH166" i="5"/>
  <c r="BH167" i="5"/>
  <c r="BH168" i="5"/>
  <c r="BH169" i="5"/>
  <c r="BH170" i="5"/>
  <c r="BH171" i="5"/>
  <c r="BH172" i="5"/>
  <c r="BH173" i="5"/>
  <c r="BH174" i="5"/>
  <c r="BH175" i="5"/>
  <c r="BH155" i="5"/>
  <c r="AM7" i="4"/>
  <c r="AM8" i="4"/>
  <c r="AM9" i="4"/>
  <c r="AM10" i="4"/>
  <c r="AM11" i="4"/>
  <c r="AM12" i="4"/>
  <c r="AM13" i="4"/>
  <c r="AM14" i="4"/>
  <c r="AM15" i="4"/>
  <c r="AM16" i="4"/>
  <c r="AM17" i="4"/>
  <c r="AM18" i="4"/>
  <c r="AM19" i="4"/>
  <c r="AM3" i="4"/>
  <c r="AM20" i="4"/>
  <c r="AM21" i="4"/>
  <c r="AM4" i="4"/>
  <c r="AM5" i="4"/>
  <c r="AM22" i="4"/>
  <c r="AM23" i="4"/>
  <c r="AM6" i="4"/>
  <c r="AM24" i="4"/>
  <c r="AM25" i="4"/>
  <c r="AM26" i="4"/>
  <c r="AM27" i="4"/>
  <c r="AM28" i="4"/>
  <c r="AM29" i="4"/>
  <c r="BH29" i="5"/>
  <c r="BH30" i="5"/>
  <c r="BH31" i="5"/>
  <c r="BH32" i="5"/>
  <c r="BH33" i="5"/>
  <c r="BH34" i="5"/>
  <c r="BH35" i="5"/>
  <c r="BH36" i="5"/>
  <c r="BH37" i="5"/>
  <c r="BH39" i="5"/>
  <c r="BH40" i="5"/>
  <c r="BH3" i="5"/>
  <c r="BH41" i="5"/>
  <c r="BH42" i="5"/>
  <c r="BH43" i="5"/>
  <c r="BH44" i="5"/>
  <c r="BH45" i="5"/>
  <c r="BH46" i="5"/>
  <c r="BH47" i="5"/>
  <c r="BH48" i="5"/>
  <c r="BH49" i="5"/>
  <c r="BH50" i="5"/>
  <c r="BH51" i="5"/>
  <c r="BH53" i="5"/>
  <c r="BH54" i="5"/>
  <c r="BH55" i="5"/>
  <c r="BH56" i="5"/>
  <c r="BH57" i="5"/>
  <c r="BH4" i="5"/>
  <c r="BH5" i="5"/>
  <c r="BH58" i="5"/>
  <c r="BH59" i="5"/>
  <c r="BH6" i="5"/>
  <c r="BH60" i="5"/>
  <c r="BH61" i="5"/>
  <c r="BH62" i="5"/>
  <c r="BH63" i="5"/>
  <c r="BH7" i="5"/>
  <c r="BH64" i="5"/>
  <c r="BH65" i="5"/>
  <c r="BH66" i="5"/>
  <c r="BH67" i="5"/>
  <c r="BH68" i="5"/>
  <c r="BH8" i="5"/>
  <c r="BH69" i="5"/>
  <c r="BH70" i="5"/>
  <c r="BH71" i="5"/>
  <c r="BH72" i="5"/>
  <c r="BH73" i="5"/>
  <c r="BH74" i="5"/>
  <c r="BH75" i="5"/>
  <c r="BH76" i="5"/>
  <c r="BH77" i="5"/>
  <c r="BH9" i="5"/>
  <c r="BH78" i="5"/>
  <c r="BH79" i="5"/>
  <c r="BH80" i="5"/>
  <c r="BH81" i="5"/>
  <c r="BH10" i="5"/>
  <c r="BH82" i="5"/>
  <c r="BH83" i="5"/>
  <c r="BH11" i="5"/>
  <c r="BH84" i="5"/>
  <c r="BH12" i="5"/>
  <c r="BH85" i="5"/>
  <c r="BH86" i="5"/>
  <c r="BH87" i="5"/>
  <c r="BH88" i="5"/>
  <c r="BH89" i="5"/>
  <c r="BH90" i="5"/>
  <c r="BH91" i="5"/>
  <c r="BH92" i="5"/>
  <c r="BH93" i="5"/>
  <c r="BH94" i="5"/>
  <c r="BH95" i="5"/>
  <c r="BH96" i="5"/>
  <c r="BH97" i="5"/>
  <c r="BH98" i="5"/>
  <c r="BH99" i="5"/>
  <c r="BH100" i="5"/>
  <c r="BH101" i="5"/>
  <c r="BH102" i="5"/>
  <c r="BH103" i="5"/>
  <c r="BH104" i="5"/>
  <c r="BH105" i="5"/>
  <c r="BH106" i="5"/>
  <c r="BH107" i="5"/>
  <c r="BH108" i="5"/>
  <c r="BH109" i="5"/>
  <c r="BH110" i="5"/>
  <c r="BH111" i="5"/>
  <c r="BH112" i="5"/>
  <c r="BH113" i="5"/>
  <c r="BH114" i="5"/>
  <c r="BH115" i="5"/>
  <c r="BH116" i="5"/>
  <c r="BH117" i="5"/>
  <c r="BH118" i="5"/>
  <c r="BH119" i="5"/>
  <c r="BH120" i="5"/>
  <c r="BH121" i="5"/>
  <c r="BH13" i="5"/>
  <c r="BH14" i="5"/>
  <c r="BH15" i="5"/>
  <c r="BH16" i="5"/>
  <c r="BH122" i="5"/>
  <c r="BH17" i="5"/>
  <c r="BH18" i="5"/>
  <c r="BH123" i="5"/>
  <c r="BH124" i="5"/>
  <c r="BH19" i="5"/>
  <c r="BH20" i="5"/>
  <c r="BH21" i="5"/>
  <c r="BH22" i="5"/>
  <c r="BH23" i="5"/>
  <c r="BH125" i="5"/>
  <c r="BH126" i="5"/>
  <c r="BH127" i="5"/>
  <c r="BH128" i="5"/>
  <c r="BH24" i="5"/>
  <c r="BH25" i="5"/>
  <c r="BH26" i="5"/>
  <c r="BH129" i="5"/>
  <c r="BH130" i="5"/>
  <c r="BH131" i="5"/>
  <c r="BH132" i="5"/>
  <c r="BH133" i="5"/>
  <c r="BH134" i="5"/>
  <c r="BH135" i="5"/>
  <c r="BH27" i="5"/>
  <c r="BH136" i="5"/>
  <c r="BH28" i="5"/>
  <c r="BH137" i="5"/>
  <c r="BH138" i="5"/>
  <c r="BH139" i="5"/>
  <c r="BH140" i="5"/>
  <c r="BH141" i="5"/>
  <c r="BH142" i="5"/>
  <c r="BH143" i="5"/>
  <c r="BH144" i="5"/>
  <c r="BH145" i="5"/>
  <c r="BH146" i="5"/>
  <c r="BH147" i="5"/>
  <c r="BH148" i="5"/>
  <c r="BH149" i="5"/>
  <c r="BH150" i="5"/>
  <c r="BH151" i="5"/>
  <c r="BH152" i="5"/>
  <c r="BH153" i="5"/>
  <c r="BH154" i="5"/>
  <c r="BH3" i="6"/>
  <c r="BH4" i="6"/>
  <c r="BH5" i="6"/>
  <c r="BH6" i="6"/>
  <c r="BH8" i="6"/>
  <c r="BH9" i="6"/>
  <c r="BH10" i="6"/>
  <c r="BH11" i="6"/>
  <c r="BH12" i="6"/>
  <c r="BH13" i="6"/>
  <c r="BH14" i="6"/>
  <c r="BH15" i="6"/>
  <c r="BH16" i="6"/>
  <c r="BH17" i="6"/>
  <c r="BH18" i="6"/>
  <c r="BH19" i="6"/>
  <c r="BH20" i="6"/>
  <c r="BH21" i="6"/>
  <c r="BH22" i="6"/>
  <c r="BH23" i="6"/>
  <c r="BH24" i="6"/>
  <c r="BH25" i="6"/>
  <c r="BH26" i="6"/>
  <c r="BH27" i="6"/>
  <c r="BH28" i="6"/>
  <c r="BH29" i="6"/>
  <c r="BH30" i="6"/>
  <c r="BH31" i="6"/>
  <c r="BH32" i="6"/>
  <c r="BH33" i="6"/>
  <c r="BH34" i="6"/>
  <c r="BH35" i="6"/>
  <c r="BH36" i="6"/>
  <c r="BH37" i="6"/>
  <c r="BI7" i="7"/>
  <c r="BI20" i="7"/>
  <c r="BI21" i="7"/>
  <c r="BI22" i="7"/>
  <c r="BI23" i="7"/>
  <c r="BI24" i="7"/>
  <c r="BI25" i="7"/>
  <c r="BI26" i="7"/>
  <c r="BI3" i="7"/>
  <c r="BI28" i="7"/>
  <c r="BI4" i="7"/>
  <c r="BI29" i="7"/>
  <c r="BI30" i="7"/>
  <c r="BI31" i="7"/>
  <c r="BI32" i="7"/>
  <c r="BI33" i="7"/>
  <c r="BI34" i="7"/>
  <c r="BI35" i="7"/>
  <c r="BI36" i="7"/>
  <c r="BI37" i="7"/>
  <c r="BI38" i="7"/>
  <c r="BI39" i="7"/>
  <c r="BI40" i="7"/>
  <c r="BI6" i="7"/>
  <c r="BI10" i="7"/>
  <c r="BI41" i="7"/>
  <c r="BI42" i="7"/>
  <c r="BI43" i="7"/>
  <c r="BI44" i="7"/>
  <c r="BI45" i="7"/>
  <c r="BI46" i="7"/>
  <c r="BI47" i="7"/>
  <c r="BI48" i="7"/>
  <c r="BI49" i="7"/>
  <c r="BI50" i="7"/>
  <c r="BI51" i="7"/>
  <c r="BI52" i="7"/>
  <c r="BI53" i="7"/>
  <c r="BI54" i="7"/>
  <c r="BI55" i="7"/>
  <c r="BI56" i="7"/>
  <c r="BI57" i="7"/>
  <c r="BI58" i="7"/>
  <c r="BI59" i="7"/>
  <c r="BI60" i="7"/>
  <c r="BI61" i="7"/>
  <c r="BI62" i="7"/>
  <c r="BI63" i="7"/>
  <c r="BI64" i="7"/>
  <c r="BI65" i="7"/>
  <c r="BI66" i="7"/>
  <c r="BI67" i="7"/>
  <c r="BI68" i="7"/>
  <c r="BI11" i="7"/>
  <c r="BI69" i="7"/>
  <c r="BI12" i="7"/>
  <c r="BI70" i="7"/>
  <c r="BI13" i="7"/>
  <c r="BI14" i="7"/>
  <c r="BI71" i="7"/>
  <c r="BI72" i="7"/>
  <c r="BI15" i="7"/>
  <c r="BI16" i="7"/>
  <c r="BI73" i="7"/>
  <c r="BI74" i="7"/>
  <c r="BI75" i="7"/>
  <c r="BI76" i="7"/>
  <c r="BI77" i="7"/>
  <c r="BI78" i="7"/>
  <c r="BI79" i="7"/>
  <c r="BI5" i="7"/>
  <c r="BI80" i="7"/>
  <c r="BI81" i="7"/>
  <c r="BI82" i="7"/>
  <c r="BI83" i="7"/>
  <c r="BI84" i="7"/>
  <c r="BI85" i="7"/>
  <c r="BI8" i="7"/>
  <c r="BI86" i="7"/>
  <c r="BI87" i="7"/>
  <c r="BI9" i="7"/>
  <c r="BI17" i="7"/>
  <c r="BI88" i="7"/>
  <c r="BI89" i="7"/>
  <c r="BI90" i="7"/>
  <c r="BI91" i="7"/>
  <c r="BI92" i="7"/>
  <c r="BI93" i="7"/>
  <c r="BI94" i="7"/>
  <c r="BI95" i="7"/>
  <c r="BI96" i="7"/>
  <c r="BI97" i="7"/>
  <c r="BI18" i="7"/>
  <c r="BI98" i="7"/>
  <c r="BI99" i="7"/>
  <c r="BI19" i="7"/>
  <c r="BI100" i="7"/>
  <c r="BI101" i="7"/>
  <c r="BI102" i="7"/>
  <c r="BI103" i="7"/>
  <c r="BI104" i="7"/>
  <c r="BI105" i="7"/>
  <c r="BI106" i="7"/>
  <c r="BI107" i="7"/>
  <c r="BI108" i="7"/>
</calcChain>
</file>

<file path=xl/sharedStrings.xml><?xml version="1.0" encoding="utf-8"?>
<sst xmlns="http://schemas.openxmlformats.org/spreadsheetml/2006/main" count="5498" uniqueCount="1778">
  <si>
    <t>DATOS DEL APRENDIZ</t>
  </si>
  <si>
    <t>DATOS DE LA EMPRESA</t>
  </si>
  <si>
    <t>SEGUIMIENTO ETAPA PRACTICA</t>
  </si>
  <si>
    <t xml:space="preserve"> Registro Sofia plus </t>
  </si>
  <si>
    <t xml:space="preserve">ESTADO </t>
  </si>
  <si>
    <t>Nombres del Aprendiz</t>
  </si>
  <si>
    <t>Tipo de Documento</t>
  </si>
  <si>
    <t>Numero del DI</t>
  </si>
  <si>
    <t>Ficha</t>
  </si>
  <si>
    <t>Nivel</t>
  </si>
  <si>
    <t>Titulado</t>
  </si>
  <si>
    <t>Telefono Aprendiz</t>
  </si>
  <si>
    <t>CORREO</t>
  </si>
  <si>
    <t>Municipio de residencia</t>
  </si>
  <si>
    <t>Tipo de Alternativa</t>
  </si>
  <si>
    <t>Empresa</t>
  </si>
  <si>
    <t>DIRECCION</t>
  </si>
  <si>
    <t>TELEFONO</t>
  </si>
  <si>
    <t>CIUDAD</t>
  </si>
  <si>
    <t>CORREO ELECTRONICO DE LA EMPRESA</t>
  </si>
  <si>
    <t>Fecha Inicio Productiva</t>
  </si>
  <si>
    <t>Fecha Fin Productiva</t>
  </si>
  <si>
    <t>NOVEDADES</t>
  </si>
  <si>
    <t>INSTRUCTOR SEGUIMIENTO</t>
  </si>
  <si>
    <t>SEGUIMIENTO MES DE FEBRERO</t>
  </si>
  <si>
    <t>FORMACIÓN 30/11/2022</t>
  </si>
  <si>
    <t xml:space="preserve">KAREN DAYANA ROJAS GOMEZ
</t>
  </si>
  <si>
    <t>CC</t>
  </si>
  <si>
    <t>CONTRATO DE APRENDIZAJE</t>
  </si>
  <si>
    <t xml:space="preserve">SERVICIO NACIONAL DE APRENDIZAJE, SENA
</t>
  </si>
  <si>
    <t xml:space="preserve">km 6 autopista floridablanca #50-33
</t>
  </si>
  <si>
    <t xml:space="preserve">BOGOTA D.C.
</t>
  </si>
  <si>
    <t xml:space="preserve">etovarq@sena.edu.co
</t>
  </si>
  <si>
    <t>INGRI ZULEIDA PEÑA RENDON</t>
  </si>
  <si>
    <t>311 869 1819</t>
  </si>
  <si>
    <t>zuleidapenha05@gmail.com</t>
  </si>
  <si>
    <t>Chillurco Pitalito Huila</t>
  </si>
  <si>
    <t>PASANTÍAS</t>
  </si>
  <si>
    <t>YOJAN MARTIN MENDEZ CALDERON</t>
  </si>
  <si>
    <t>321 219 7236</t>
  </si>
  <si>
    <t>yojanmartinmc@gmail.com</t>
  </si>
  <si>
    <t>Maito Tarqui Huila</t>
  </si>
  <si>
    <r>
      <rPr>
        <sz val="11"/>
        <color rgb="FF000000"/>
        <rFont val="Calibri"/>
        <family val="2"/>
      </rPr>
      <t xml:space="preserve">NO tiene legalización, inicial, FInal y bitácoras del 1 al 12... </t>
    </r>
    <r>
      <rPr>
        <sz val="11"/>
        <color rgb="FFFF0000"/>
        <rFont val="Calibri"/>
        <family val="2"/>
      </rPr>
      <t>Falta legalización, certificación</t>
    </r>
    <r>
      <rPr>
        <sz val="11"/>
        <color rgb="FF000000"/>
        <rFont val="Calibri"/>
        <family val="2"/>
      </rPr>
      <t xml:space="preserve">...Revisado 18/11/2022 </t>
    </r>
  </si>
  <si>
    <t xml:space="preserve">DAYANA PARRA POVEDA
</t>
  </si>
  <si>
    <t>NO HA INICIADO ETAPA PRODUCTIVA</t>
  </si>
  <si>
    <t>DEICY TATIANA CAMACHO ANACONA</t>
  </si>
  <si>
    <t>LUISA FERNANDA RENGIFO ORTEGA</t>
  </si>
  <si>
    <t xml:space="preserve">EMPRESAS PUBLICAS DE TIMANA S.A. E.S.P.
</t>
  </si>
  <si>
    <t>YEISSON ARTUNDUAGA DELGADO</t>
  </si>
  <si>
    <t>yeissonar035@gmail.com</t>
  </si>
  <si>
    <t>GRANJAS</t>
  </si>
  <si>
    <t>Aprendiz Tranaslado a otra ficha.</t>
  </si>
  <si>
    <t>MARIA ALEXANDRA CUELLAR TORRES</t>
  </si>
  <si>
    <t xml:space="preserve">La aprendiz tiene 11 resultados de aprendizaje de etapa lectiva sin evaluar y el resultado de etapa productiva </t>
  </si>
  <si>
    <t>ESTEFANIA VASQUEZ ERAZO</t>
  </si>
  <si>
    <t xml:space="preserve">La aprendiz tiene 12 resultados de aprendizaje de etapa lectiva sin evaluar y el resultado de etapa productiva </t>
  </si>
  <si>
    <t>JUAN DAVID ANACONA SANTIAGO</t>
  </si>
  <si>
    <t>juandasantiago05@gmail.com</t>
  </si>
  <si>
    <t>SAN AGUSTIN</t>
  </si>
  <si>
    <t xml:space="preserve">ASESORIAS Y VENTAS DE INSUMOS AGORPEVUARIOS DON HEBER </t>
  </si>
  <si>
    <t>CARRERA 12 N° 2- 29</t>
  </si>
  <si>
    <t xml:space="preserve">SAN AGUSTIN </t>
  </si>
  <si>
    <t>hevernel9416@gmail.com</t>
  </si>
  <si>
    <r>
      <rPr>
        <sz val="8"/>
        <color rgb="FF000000"/>
        <rFont val="Arial"/>
        <family val="2"/>
      </rPr>
      <t xml:space="preserve">Tiene acuerdo de voluntades, Inicial, Parcial y bitácoras 1,2,3,4,5,6,7,8,9.. </t>
    </r>
    <r>
      <rPr>
        <sz val="8"/>
        <color rgb="FFFF0000"/>
        <rFont val="Arial"/>
        <family val="2"/>
      </rPr>
      <t>Falta final, certificación y bitácoras  10,11 y 12 .</t>
    </r>
    <r>
      <rPr>
        <sz val="8"/>
        <color rgb="FF000000"/>
        <rFont val="Arial"/>
        <family val="2"/>
      </rPr>
      <t>.. Revisado 09/12/2022</t>
    </r>
  </si>
  <si>
    <t>MILDRED YULIANA PINO ORTIZ</t>
  </si>
  <si>
    <t xml:space="preserve">La aprendiz tiene 9 resultados de aprendizaje de etapa lectiva sin evaluar y el resultado de etapa productiva </t>
  </si>
  <si>
    <t>ANDRES FELIPE GUTIERREZ FERNANDEZ</t>
  </si>
  <si>
    <t>TI</t>
  </si>
  <si>
    <t>LEIDY YURANY GAVIRIA GOMEZ</t>
  </si>
  <si>
    <t>leidygaviria1523@gmail.com</t>
  </si>
  <si>
    <t>PALMARITO</t>
  </si>
  <si>
    <t xml:space="preserve">VIVERO CERSALLES DEL HUILA </t>
  </si>
  <si>
    <t xml:space="preserve">VEREDA VERSALLES </t>
  </si>
  <si>
    <t xml:space="preserve">PITALITO </t>
  </si>
  <si>
    <t xml:space="preserve">VIVEROSAS@VIVEROVERSALLES.COM
</t>
  </si>
  <si>
    <t>Tiene acuerdo de voluntades, Parcial y bitácoras 1,2,3,4,5,6.. Falta final, certificación y bitácoras  7,8,9,10,11 y 12 ... Revisado 09/12/2022</t>
  </si>
  <si>
    <t>KAROL TATIANA RUIZ</t>
  </si>
  <si>
    <t>APLAZADO  18/10/2022</t>
  </si>
  <si>
    <t>KAREN CATALINA YEPES HERNANDEZ</t>
  </si>
  <si>
    <t>KAREN ESNEYDA GOMEZ SAMBONI</t>
  </si>
  <si>
    <t>kg5669027@gmail.com</t>
  </si>
  <si>
    <t>NEIVA</t>
  </si>
  <si>
    <t>OSCAR MURCIA MUÑOZ</t>
  </si>
  <si>
    <t>VERSALLES</t>
  </si>
  <si>
    <t>PITALITO</t>
  </si>
  <si>
    <t>viversalles@hotmail.com</t>
  </si>
  <si>
    <r>
      <rPr>
        <sz val="8"/>
        <color rgb="FF000000"/>
        <rFont val="Arial"/>
        <family val="2"/>
      </rPr>
      <t xml:space="preserve">Tiene contrato de aprendizaje Parcial y bitácoras 1,2,3. </t>
    </r>
    <r>
      <rPr>
        <sz val="8"/>
        <color rgb="FFFF0000"/>
        <rFont val="Arial"/>
        <family val="2"/>
      </rPr>
      <t>Falta final, certificación y bitácoras  4,5,6,7,8,9,10,11 y 12 .</t>
    </r>
    <r>
      <rPr>
        <sz val="8"/>
        <color rgb="FF000000"/>
        <rFont val="Arial"/>
        <family val="2"/>
      </rPr>
      <t>.. Revisado 16/12/2022</t>
    </r>
  </si>
  <si>
    <t>ANDERSON JOHAN BELTRAN CARVAJAL</t>
  </si>
  <si>
    <t>AMBILAB SAS</t>
  </si>
  <si>
    <t>CLL 1A N° 4-50</t>
  </si>
  <si>
    <t>comercial@ambilab.co</t>
  </si>
  <si>
    <t>MARLY CALDERON ROJAS</t>
  </si>
  <si>
    <t>marlycalderonrojas11@gmail.com</t>
  </si>
  <si>
    <t>OPORAPA</t>
  </si>
  <si>
    <t>LOUIS DREYFUS COMPANY COLOMBIA S.A.S. - LDCC S.A.S</t>
  </si>
  <si>
    <t>Carrera 7 # 71 - 52 Torre A Ofc 1301</t>
  </si>
  <si>
    <t xml:space="preserve">BOGOTA </t>
  </si>
  <si>
    <t>comunicacion.colombia@ldc.com</t>
  </si>
  <si>
    <t>MARIA ALEJANDRA BARRIOS SANCHEZ</t>
  </si>
  <si>
    <t>mariaalejandrabarriossanchez3@gmail.com</t>
  </si>
  <si>
    <t>SOCIEDAD DE COMERCIALIZACION INTERNACIONAL AGRICOLAS UNIDAS S.A.</t>
  </si>
  <si>
    <t>Cr 43a 16a sur 38 Of 1403</t>
  </si>
  <si>
    <t>MEDELLIN</t>
  </si>
  <si>
    <t>parestrepo@frudelca.com</t>
  </si>
  <si>
    <t>MARIA FERNANDA ILES RUIZ</t>
  </si>
  <si>
    <t>mfruiz1304@gmail.com</t>
  </si>
  <si>
    <t>PALESTINA</t>
  </si>
  <si>
    <t>OLEODUCTO CENTRAL S.A</t>
  </si>
  <si>
    <t>Bogotá</t>
  </si>
  <si>
    <t>andrea.villegas@manpower.com.co</t>
  </si>
  <si>
    <t>13/12/2022</t>
  </si>
  <si>
    <t>JUAN SEBASTIAN PENAGOS MOSQUERA</t>
  </si>
  <si>
    <t>penagosmosquerajuansebastian@gmail.com</t>
  </si>
  <si>
    <t>INTERASEO S.A. E.S.P.</t>
  </si>
  <si>
    <t>CARRERA 38 # 10 -36</t>
  </si>
  <si>
    <t>SANTA MARTA</t>
  </si>
  <si>
    <t>DCARDONA@INTERASEO.COM.CO</t>
  </si>
  <si>
    <t>19/12/2022</t>
  </si>
  <si>
    <t>18/06/2023</t>
  </si>
  <si>
    <t>LAURA CAMILA BRAVO BRAVO</t>
  </si>
  <si>
    <t>bravocamila965@gmail.com</t>
  </si>
  <si>
    <t>SERVICIO NACIONAL DE APRENDIZAJE, SENA</t>
  </si>
  <si>
    <t>Calle 57 N° 8 -69</t>
  </si>
  <si>
    <t>lmolinay@sena.edu.co</t>
  </si>
  <si>
    <t>30/11/2022</t>
  </si>
  <si>
    <t>31/05/2023</t>
  </si>
  <si>
    <t>DIANA MARCELA CRUZ CRUZ</t>
  </si>
  <si>
    <t xml:space="preserve">ANURA CONSULTORES S.A.S   </t>
  </si>
  <si>
    <t xml:space="preserve">Cl 15 # 1A 15 Barrio Centro_, </t>
  </si>
  <si>
    <t>anuraconsultoressas@gmail.com</t>
  </si>
  <si>
    <r>
      <rPr>
        <sz val="8"/>
        <color rgb="FF000000"/>
        <rFont val="Arial"/>
        <family val="2"/>
      </rPr>
      <t xml:space="preserve">Tiene Acuerdo de Voluntades, Parcial y bitácoras 1,3. </t>
    </r>
    <r>
      <rPr>
        <sz val="8"/>
        <color rgb="FFFF0000"/>
        <rFont val="Arial"/>
        <family val="2"/>
      </rPr>
      <t>Falta final, certificación y bitácoras  2,4,5,6,7,8,9,10,11 y 12 .</t>
    </r>
    <r>
      <rPr>
        <sz val="8"/>
        <color rgb="FF000000"/>
        <rFont val="Arial"/>
        <family val="2"/>
      </rPr>
      <t>.. Revisado 16/12/2022</t>
    </r>
  </si>
  <si>
    <t>ANDREA YISETH PALADINEZ CERON</t>
  </si>
  <si>
    <t xml:space="preserve">Correo electrónico: </t>
  </si>
  <si>
    <t>CI MANAR FRUIT SAS</t>
  </si>
  <si>
    <t xml:space="preserve"> CRA 11 N 17 A 07</t>
  </si>
  <si>
    <t>FUSAGASUGA</t>
  </si>
  <si>
    <t>gestion.humana@manarfruit.com</t>
  </si>
  <si>
    <t>MARIA MICEYI MUÑOZ ASTUDILLO</t>
  </si>
  <si>
    <t>VALENTINA DAZA COAJI</t>
  </si>
  <si>
    <t>DURMAN COLOMBIA S.A.S.</t>
  </si>
  <si>
    <t>Km 27 Vía Fontibon – Facatativá – Los Alpes + 400 m</t>
  </si>
  <si>
    <t>MADRID</t>
  </si>
  <si>
    <t>luz.arevalo@aliaxis-la.com</t>
  </si>
  <si>
    <t>MARIA ALEJANDRA SALINAS TORO</t>
  </si>
  <si>
    <t xml:space="preserve">mariaalejandrasalinastoro90@gmail.com
</t>
  </si>
  <si>
    <t>INVERSIONES COOMOTOR S.A</t>
  </si>
  <si>
    <t>calle 2 sur No 7-30</t>
  </si>
  <si>
    <t>andrea.garrido@coomotor.com.co</t>
  </si>
  <si>
    <t>DANEYI VIA</t>
  </si>
  <si>
    <t>debe 28 resultados... Revisado 21/12/2022</t>
  </si>
  <si>
    <t>Deya Maritza Cortes</t>
  </si>
  <si>
    <t>FABIO ANDRES BENAVIDES ARCOS</t>
  </si>
  <si>
    <t>debe 27 resultados... Revisado 21/12/2022</t>
  </si>
  <si>
    <t>JHONY ALEXANDER MACIAS SALINAS</t>
  </si>
  <si>
    <t>alexsalinas2705@gmail.com</t>
  </si>
  <si>
    <t>VIVERO VERSALLES DEL HUILA S.A.S</t>
  </si>
  <si>
    <t>Vereda Versalles</t>
  </si>
  <si>
    <t>viverosas@viveroversalles.com</t>
  </si>
  <si>
    <t>31/07/2023</t>
  </si>
  <si>
    <t>debe 23 resultados... Revisado 21/12/2022</t>
  </si>
  <si>
    <t>YOHAN SEBASTIAN BURBANO MUÑOZ</t>
  </si>
  <si>
    <t>VINCULACIÓN LABORAL</t>
  </si>
  <si>
    <t>27/02/2023</t>
  </si>
  <si>
    <t>26/08/2023</t>
  </si>
  <si>
    <t>Se envio documentos para su aprobacion ya se subiron al onedrive</t>
  </si>
  <si>
    <t>YULI TATIANA OVALLE VELASQUEZ</t>
  </si>
  <si>
    <t xml:space="preserve">Para proceso deserciòn </t>
  </si>
  <si>
    <t>GLADIS ROCIO RENGIFO IMBACHI</t>
  </si>
  <si>
    <t>ARGENIS HELENA JIMENEZ LASSO</t>
  </si>
  <si>
    <t>NIYERETH GARZON VELA</t>
  </si>
  <si>
    <t>JOSE RICARDO AMBITO BAIQUE</t>
  </si>
  <si>
    <t>debe 45 resultados... Revisado 21/12/2022</t>
  </si>
  <si>
    <t>RENE FERNEY MORALES MORALES</t>
  </si>
  <si>
    <t>debe 47 resultados... Revisado 21/12/2022</t>
  </si>
  <si>
    <t>ANDRES FELIPE CHILITO BURGOS</t>
  </si>
  <si>
    <t>CARLOS ANDRES GOMEZ GONZALEZ</t>
  </si>
  <si>
    <t>debe 31 resultados... Revisado 21/12/2022</t>
  </si>
  <si>
    <t>MIRYAN YOLANDA ARCOS SANCHEZ</t>
  </si>
  <si>
    <t>LUDWING ARGUELLO MARTINEZ</t>
  </si>
  <si>
    <t>debe 43 resultados... Revisado 21/12/2022</t>
  </si>
  <si>
    <t xml:space="preserve"> </t>
  </si>
  <si>
    <t>insTRuctor asignado 30-03-2023</t>
  </si>
  <si>
    <t>Nombres del Aprediz</t>
  </si>
  <si>
    <t xml:space="preserve">INSTRUCTOR FEBRERO </t>
  </si>
  <si>
    <t>INSTRUCTOR MARZO</t>
  </si>
  <si>
    <t>SEGUIMIENTO MES DE MARZO</t>
  </si>
  <si>
    <t>INSTRUCTOR ABRIL</t>
  </si>
  <si>
    <t>SEGUIMIENTO MES DE ABRIL</t>
  </si>
  <si>
    <t>INSTRUCTOR MAYO</t>
  </si>
  <si>
    <t>SEGUIMIENTO MES DE mayo</t>
  </si>
  <si>
    <t xml:space="preserve">Junio </t>
  </si>
  <si>
    <t>SEGUIMIENTO MES DE Junio</t>
  </si>
  <si>
    <t xml:space="preserve">INSTRUCTORES JULIO </t>
  </si>
  <si>
    <t xml:space="preserve">SEGUIMIENTO MES DE jULIO </t>
  </si>
  <si>
    <t xml:space="preserve">INSTRUCTORES AGOSTO  </t>
  </si>
  <si>
    <t xml:space="preserve">SEGUIMIENTO MES DE AGOSTO </t>
  </si>
  <si>
    <t>INSTRUCTORES SEPTIEMBRE</t>
  </si>
  <si>
    <t xml:space="preserve">SEGUIMIENTO MES DE SEPTIEMBRE </t>
  </si>
  <si>
    <t xml:space="preserve">INSTRUCTORES OCTUBRE </t>
  </si>
  <si>
    <t xml:space="preserve">SEGUIMIENTO MES DE OCTUBRE </t>
  </si>
  <si>
    <t xml:space="preserve">INSTRUCTORES NOVIEMBRE </t>
  </si>
  <si>
    <t xml:space="preserve">SEGUIMIENTO MES DE NOVIEMBRE </t>
  </si>
  <si>
    <t>INSTRUCTORES DICIEMBRE</t>
  </si>
  <si>
    <t xml:space="preserve">SEGUIMIENTO MES DE DICIEMBRE </t>
  </si>
  <si>
    <t>Fecha Inicio Titulado</t>
  </si>
  <si>
    <t>Fecha Fin Lectiva</t>
  </si>
  <si>
    <t>FECHA FIN TITULADO</t>
  </si>
  <si>
    <t>FECHA CON 18 MESES</t>
  </si>
  <si>
    <t xml:space="preserve">ESTADO DE FICHA TERMINADA POR FECHA </t>
  </si>
  <si>
    <t>ESTADO DE LA FICHA</t>
  </si>
  <si>
    <t xml:space="preserve">CRISTIAN VILLA REAL </t>
  </si>
  <si>
    <t>KEVIN SANTIAGO CABRERA MOLINA</t>
  </si>
  <si>
    <t>santiagocmcabrera@gmail.com</t>
  </si>
  <si>
    <t>WILSON UNÍ COLLAZOS</t>
  </si>
  <si>
    <t>Calle 7 # 3-19 Isnos</t>
  </si>
  <si>
    <t>ISNOS</t>
  </si>
  <si>
    <t>Wilsonunicollazos@yahoo.com</t>
  </si>
  <si>
    <t>Acuerdo de voluntades, seguimiento parcial, bitácora 1, falta final, bitácora 11 y certificación...Revisado 03/02/2022</t>
  </si>
  <si>
    <t>NO tiene seguimiento ...Revisado 08/04/2022</t>
  </si>
  <si>
    <t>HAROLD ALEXIS JIMENEZ JOAQUI</t>
  </si>
  <si>
    <t>Haroldfvr13@gmail.com</t>
  </si>
  <si>
    <t>ING. JAIME ALBERTO PARRA NIETO</t>
  </si>
  <si>
    <t>Calle 2 # 2-75</t>
  </si>
  <si>
    <t>PITALITO HUILA</t>
  </si>
  <si>
    <t>haroldfvr13@hotmail.com</t>
  </si>
  <si>
    <t>No tiene seguimiento ...Revisado 25/04/2022</t>
  </si>
  <si>
    <t>ALEXA JULIETHSANCHEZ SANTANILLA</t>
  </si>
  <si>
    <t>alexajuliethsanchez19@gmail.com</t>
  </si>
  <si>
    <t xml:space="preserve">CENTRO DE GESTIÓN Y DESARROLLO SOSTENIBLE SUERCOLOMBIANO </t>
  </si>
  <si>
    <t>calle 8 No. 7-52 Barrio centro</t>
  </si>
  <si>
    <t>apinzonp@sena.edu.co</t>
  </si>
  <si>
    <t>Tiene acuerdo de voluntades, Parcial, bitácoras 1,2,3,4,5,6 y 7 ... Falta final, certificación y bitácoras 8,9,10,11 y 12 ... Revisado 21/06/2022</t>
  </si>
  <si>
    <t>JOSE MANUEL HERNANDEZ ALVAREZ</t>
  </si>
  <si>
    <t>josemanuelhernandezx@gmail.com</t>
  </si>
  <si>
    <t>CONSTRUCTORA LA SABANA SAS</t>
  </si>
  <si>
    <t>Tiene acuerdo de voluntades, falta bitácoras  y seguimiento y certificación ..Revisado 25703/2022</t>
  </si>
  <si>
    <t>DIEGO ANDRES VILORIA PADILLA</t>
  </si>
  <si>
    <t>diegoviloriapadilla@gmail.com</t>
  </si>
  <si>
    <t xml:space="preserve">ALCALDIA MUNICIPAL </t>
  </si>
  <si>
    <t>CRA 3 N°4-78</t>
  </si>
  <si>
    <t>atencionalcuidadano@alcaldiapitalito.gov.co</t>
  </si>
  <si>
    <t>BRAYAN STIVEN MORA GOMEZ</t>
  </si>
  <si>
    <t xml:space="preserve">a3175553656b@gmail.com </t>
  </si>
  <si>
    <t>15/01/2022</t>
  </si>
  <si>
    <t>16/06/20222</t>
  </si>
  <si>
    <t>Diego Fernando Calderón</t>
  </si>
  <si>
    <t>LUIS HERMIDES BURBANO BURBAN</t>
  </si>
  <si>
    <t xml:space="preserve"> luisburbano004@gmail.com</t>
  </si>
  <si>
    <t>DIELECTRICA CONSTRUCCIONES SAS</t>
  </si>
  <si>
    <t xml:space="preserve">JOSE BIESNER DAZA OVALLE
</t>
  </si>
  <si>
    <t xml:space="preserve">CONTRATO DE APRENDIZAJE </t>
  </si>
  <si>
    <t>TELEVIGILANCIA LTDA PROTECCIÓN Y SEGURIDAD</t>
  </si>
  <si>
    <t>Alexander Lugo</t>
  </si>
  <si>
    <t>No tiene seguimiento 02/05/2022</t>
  </si>
  <si>
    <t xml:space="preserve">PEDRO CHARRY MONTIEL
</t>
  </si>
  <si>
    <t>TELEVIGILANCIA LTDA PROTECCION Y SEGURIDAD</t>
  </si>
  <si>
    <t>calle6c#17-81</t>
  </si>
  <si>
    <t>jefepersonal@televigilancia.com.co</t>
  </si>
  <si>
    <t xml:space="preserve">RAUL MONTENEGRO GOLONDRINO
</t>
  </si>
  <si>
    <t>SENA YAMBORÓ</t>
  </si>
  <si>
    <t>EVER JESUS IPUZ GARCIA</t>
  </si>
  <si>
    <t>chuzo1114@gmail.com</t>
  </si>
  <si>
    <t>MULTIPROYEC GROUP S.A.S</t>
  </si>
  <si>
    <t>CRA 11 SUR N° 6-42 CONJUNTO ARRAYANES BLOQUE 7 APARAMENTO 304</t>
  </si>
  <si>
    <t>No tiene seguimiento 05/09/2022</t>
  </si>
  <si>
    <t>LEANDRO EZEQUIEL TORRES PANQUEVA</t>
  </si>
  <si>
    <t>leotorresp32@gmail.com</t>
  </si>
  <si>
    <t>EMPRESA DE SERVICIOS PUBLICOS DE FUSAGASUGA "EMSERFUSA E.S.P."</t>
  </si>
  <si>
    <t>AV. LAS PALMAS 4-66</t>
  </si>
  <si>
    <t>pu.gestionhumana@emserfusa.com.co</t>
  </si>
  <si>
    <t xml:space="preserve">  Tiene pendiente 1 resultado de aprendizaje por evaluar, Terminaron su etapa productiva en Yamboro, 05 de febrero del 2023. No hay  seguimientos y bitacoras. </t>
  </si>
  <si>
    <t>JESUS DAVID MENDEZ JIMENEZ</t>
  </si>
  <si>
    <t>jesusmendez062001@gmail.com</t>
  </si>
  <si>
    <t>JHON EDWIN MONTILLLA</t>
  </si>
  <si>
    <t>LINA MARCELA MOSQUERA PRADA</t>
  </si>
  <si>
    <t>linamarce0798@hotmail.com</t>
  </si>
  <si>
    <t xml:space="preserve">   Terminaron su etapa productiva en Yamboro, 05 de febrero del 2023. No hay  seguimientos y bitacoras. </t>
  </si>
  <si>
    <t>CARLOS ARTURO PARRA QUINTERO</t>
  </si>
  <si>
    <t>carpas88@gmail.com</t>
  </si>
  <si>
    <t xml:space="preserve">No ha iniciado su etapa productiva, resultados pendientes. </t>
  </si>
  <si>
    <t>CLAUDIA FERNANDA ARTUNDUAGA QUISABONI</t>
  </si>
  <si>
    <t>fercha2730@hotmail.com</t>
  </si>
  <si>
    <t xml:space="preserve">  Terminaron su etapa productiva en Yamboro, 05 de febrero del 2023. No hay  seguimientos y bitacoras. </t>
  </si>
  <si>
    <t>DANIEL FELIPE PALOMARES VALENCIA</t>
  </si>
  <si>
    <t>dalu3019@gmail.com</t>
  </si>
  <si>
    <t>CHELSI KATHERINE TORO DAZA</t>
  </si>
  <si>
    <t>katherine30td@hotmail.com</t>
  </si>
  <si>
    <t>ALEJANDRO OME PEÑA</t>
  </si>
  <si>
    <t>PAULA ANDREA ORTEGA PACCHA</t>
  </si>
  <si>
    <t>HEIDY NATALIA TOVAR PEREZ</t>
  </si>
  <si>
    <t>FELIPE ALONSO CARDONA CADENA</t>
  </si>
  <si>
    <t>FELIPE DANIEL GAVIRIA CAMPO</t>
  </si>
  <si>
    <t>pipeabala209@gmail.com</t>
  </si>
  <si>
    <t xml:space="preserve">DIELECTRICA CONSTRUCCIONES S.A.S </t>
  </si>
  <si>
    <t>CRA 5 # 10 - 43</t>
  </si>
  <si>
    <t xml:space="preserve">PITALITO
</t>
  </si>
  <si>
    <t xml:space="preserve">dielectricasas@hotmail.com
</t>
  </si>
  <si>
    <t>NO tiene seguimiento 23/08/2022</t>
  </si>
  <si>
    <t>ANGELA TATIANA ROJAS LUGO</t>
  </si>
  <si>
    <t>DIEGO ALEJANDRO PERDOMO LUNA</t>
  </si>
  <si>
    <t>LAURA VALENTINA ROJAS FACUNDO</t>
  </si>
  <si>
    <t>CRISTIAN FELIPE RUBIANO FRANCO</t>
  </si>
  <si>
    <t>LUIS ANGEL VALDERRAMA ORDOÑEZ</t>
  </si>
  <si>
    <t>15/01/2023</t>
  </si>
  <si>
    <t>16/06/2023</t>
  </si>
  <si>
    <t>CRISTHIAN FELIPE TRUJILLO VARGAS</t>
  </si>
  <si>
    <t xml:space="preserve">OSCAR AUGUSTO ZUÑIGA ORTIZ
</t>
  </si>
  <si>
    <t xml:space="preserve">DIDIMO ANACONA SAMBONI
</t>
  </si>
  <si>
    <t xml:space="preserve">WILSON MUÑOZ DAZA
</t>
  </si>
  <si>
    <t xml:space="preserve">JOSE YESID MENESES VARGAS
</t>
  </si>
  <si>
    <t xml:space="preserve">CESAR AGUSTO VALENCIA 
</t>
  </si>
  <si>
    <t xml:space="preserve">JOSE FIDEL ORJUELA LOPEZ
</t>
  </si>
  <si>
    <t>fidelorjuela2015@gmail.com</t>
  </si>
  <si>
    <t>COFCO INTERNATIONAL COLOMBIA S.A.S.</t>
  </si>
  <si>
    <t>CLL 54 N° 10-33 Oficina 901</t>
  </si>
  <si>
    <t xml:space="preserve">7456767 - </t>
  </si>
  <si>
    <t xml:space="preserve">marcelamazorra@cofcointernational.com
</t>
  </si>
  <si>
    <t xml:space="preserve">FERNANDO TOVAR BECERRA
</t>
  </si>
  <si>
    <t xml:space="preserve">EDIL DARIO ANDELA BECERRA
</t>
  </si>
  <si>
    <t xml:space="preserve">RAFAEL PARRA ROMERO
</t>
  </si>
  <si>
    <t xml:space="preserve">JOHN WILLIAR MARIN TAPIERO
</t>
  </si>
  <si>
    <t xml:space="preserve">YIMY ALEXANDER RIVERA SANTOS
</t>
  </si>
  <si>
    <t xml:space="preserve">FABIO NELSON CALDERON ESCOBAR
</t>
  </si>
  <si>
    <t xml:space="preserve">ROBINSON MIGUEL SOTELO HOYOS
</t>
  </si>
  <si>
    <t xml:space="preserve">RAUL IBAN ORDOÑEZ URBANO
</t>
  </si>
  <si>
    <t>JUAN PABLO PLAZAS HERNANDEZ</t>
  </si>
  <si>
    <t xml:space="preserve">CENTRO DE GETIÓN Y DESARROLLO SOSTENIBLE SUR COLOMBIANO SENA </t>
  </si>
  <si>
    <t xml:space="preserve">CALLE 8 N° 7- 52 </t>
  </si>
  <si>
    <t>JULIAN MATEO HOYOS TOVAR</t>
  </si>
  <si>
    <t>MABEL ROCIO ROJAS ESPAÑA</t>
  </si>
  <si>
    <t>JHOAN LEANDRO CLAROS ROJAS</t>
  </si>
  <si>
    <t>Cristian Ernesto Laiseca Farfan</t>
  </si>
  <si>
    <t>JHON FREDDY SUAREZ RESTREPO</t>
  </si>
  <si>
    <t>EDGAR FARID JOAQUI CHATES</t>
  </si>
  <si>
    <t>SINDY JOHANNA ROJAS YAIMES</t>
  </si>
  <si>
    <t>sindy08.rojas@gmail.com</t>
  </si>
  <si>
    <t>OMAR STEEVEN MENDEZ SAENS</t>
  </si>
  <si>
    <t>co.stivenm@gmail.com</t>
  </si>
  <si>
    <t>ARELIS GONZALEZ BELTRAN</t>
  </si>
  <si>
    <t>JHEISON ARMANDO CHILITO CHILITO</t>
  </si>
  <si>
    <t>YOHAN ESNEYDER BOLAÑOZ BURBANO</t>
  </si>
  <si>
    <t>NUMAR ESNEIDER LEVAZA PEREZ</t>
  </si>
  <si>
    <t>CARLOS ROBERTO CHAVARRO TOVAR</t>
  </si>
  <si>
    <t>SANTIAGO CHATES CHIMUNJA</t>
  </si>
  <si>
    <t>DIEGO FERNANDO IMBACHI SAMBONI</t>
  </si>
  <si>
    <t>JHON FREDY CHAVARRO TOBAR</t>
  </si>
  <si>
    <t>MAYERLY SENETH BOLAÑOS LOPEZ</t>
  </si>
  <si>
    <t>YONATAN ANTONIO CHANCHI ANACONA</t>
  </si>
  <si>
    <t>EMIDIO MACIAS ANACONA</t>
  </si>
  <si>
    <t>RODRIGO SEMANATE RAMOS</t>
  </si>
  <si>
    <t>RUBEN DARIO PAPAMIJA JOAQUI</t>
  </si>
  <si>
    <t>LUIS DILVER MADROÑEDO DELGADO</t>
  </si>
  <si>
    <t>NELSON HUMBERTO PINTO REYES</t>
  </si>
  <si>
    <t>nelsonpinto230@gmail.com</t>
  </si>
  <si>
    <t>Centro de Gestión y Desarrollo Sostenible Surcolombiano</t>
  </si>
  <si>
    <t xml:space="preserve">Tienen pendiente  un resultado de promover terminaron su etapa productiva en Yamboro, 02 de febrero del 2023. No hay  seguimientos y bitacoras. </t>
  </si>
  <si>
    <t>TALUA JULIANA ROJAS CHAVARRO</t>
  </si>
  <si>
    <t>tjrojas03@gmail.com</t>
  </si>
  <si>
    <t>LUISA FERNANDA POLANIA SIERRA</t>
  </si>
  <si>
    <t>luisafernandapolaniasierra11@gmail.com</t>
  </si>
  <si>
    <t>ANDRES FELIPE VARGAS CORREA</t>
  </si>
  <si>
    <t>correafelipe728@gmail.com</t>
  </si>
  <si>
    <t>YULIANA GUZMAN GIL</t>
  </si>
  <si>
    <t>yg591192@gmail.com</t>
  </si>
  <si>
    <t>Juan Camilo Vargas Coy</t>
  </si>
  <si>
    <t>LAURA SOFIA ANACONA CABRA</t>
  </si>
  <si>
    <t>sofiaanacona07@gmail.com</t>
  </si>
  <si>
    <t>MAIRA GISEL ROBLES URBANO</t>
  </si>
  <si>
    <t>mairarobles362@gmail.com</t>
  </si>
  <si>
    <t>JESUS DAVID CRUZ SALAZAR</t>
  </si>
  <si>
    <t>No.ing.linamariatello@gmail.com</t>
  </si>
  <si>
    <t>Ing. Civil LINA MARÍA TELLO CARVAJAL</t>
  </si>
  <si>
    <t>SEBASTIAN ZUÑIGA CHAUX</t>
  </si>
  <si>
    <t>sebastianzuñigachaux@gmail.com</t>
  </si>
  <si>
    <t>Municipio de Timaná Huila</t>
  </si>
  <si>
    <t>NATALIA RODRIGUEZ OSORIO</t>
  </si>
  <si>
    <t>natarodri.1505@gmail.com</t>
  </si>
  <si>
    <t>WILLINTON STIVEN TRUJILLO IMBACHI</t>
  </si>
  <si>
    <t>trujillostiven07@gmail.com</t>
  </si>
  <si>
    <t>LUIS FRANCISCO ESPITIA SANCHEZ</t>
  </si>
  <si>
    <t>sluis9137@gmail.com</t>
  </si>
  <si>
    <t>LAURA VALENTINA RUIZ GOMEZ</t>
  </si>
  <si>
    <t>valenruizgo14@gmail.com</t>
  </si>
  <si>
    <t>VANESSA QUINTANA MAHECHA</t>
  </si>
  <si>
    <t>mahechavane99@gmail.com</t>
  </si>
  <si>
    <t>Cristian Camilo Ome Ortiz</t>
  </si>
  <si>
    <t>DIEGO ANDRES VALDES BENAVIDES</t>
  </si>
  <si>
    <t>diegovaldes144325@gmail.com</t>
  </si>
  <si>
    <t>DANIELA PALOMARES FUENTES</t>
  </si>
  <si>
    <t>danipaloma2005@gmail.com</t>
  </si>
  <si>
    <t>WENDY JULIETH HOYOS NIETO</t>
  </si>
  <si>
    <t>Juliethnieto0209@gmail.com</t>
  </si>
  <si>
    <t>Jose Uriel Salas</t>
  </si>
  <si>
    <t>WILLIAM JAVIER NAVIA SANCHEZ</t>
  </si>
  <si>
    <t>naviawilliam7@gmail.com</t>
  </si>
  <si>
    <t>LEIDY YAMILE LARA GARCIA</t>
  </si>
  <si>
    <t>laraleidy1990@gmail.com</t>
  </si>
  <si>
    <t>JHON JAIRO ORTEGA ROJAS</t>
  </si>
  <si>
    <t>jjhonten@gmail.com</t>
  </si>
  <si>
    <t>SEGUNDO EDUARDO CHAVEZ CHAVEZ</t>
  </si>
  <si>
    <t>eduardosegundochavez@hotmail.com</t>
  </si>
  <si>
    <t>WLADEMIR LARA GARCIA</t>
  </si>
  <si>
    <t>wlalaga76@gmail.com</t>
  </si>
  <si>
    <t>HECTOR OLIVO REALPE REALPE</t>
  </si>
  <si>
    <t>realpehector7@gmail.com</t>
  </si>
  <si>
    <t>ALVARO SUAREZ ARIZA</t>
  </si>
  <si>
    <t>alvarosuarezz3456@gmail.com</t>
  </si>
  <si>
    <t>-</t>
  </si>
  <si>
    <t>BREINER DAVID ORDOÑEZ ORDOÑEZ</t>
  </si>
  <si>
    <t>debe 26 resultados... Revisado 21/12/2022</t>
  </si>
  <si>
    <t>CRISTIAN CABRERA CALDERON</t>
  </si>
  <si>
    <t>WILMER ALEXANDER QUINAYAS YUNDA</t>
  </si>
  <si>
    <t>MARIO ALEJANDRO CERON ARCOS</t>
  </si>
  <si>
    <t>PLINIO QUINAYAS PAPAMIJA</t>
  </si>
  <si>
    <t>ALBEIRO BUESACO OMEN</t>
  </si>
  <si>
    <t>ARLEY OMEN OMEN</t>
  </si>
  <si>
    <t>ELBAR ASTUDILLO RUIZ</t>
  </si>
  <si>
    <t>ROBERT ESTIVEN ORDOÑEZ ORTEGA</t>
  </si>
  <si>
    <t>SEGUNDO JOSE GERENA ARDILA</t>
  </si>
  <si>
    <t>DUBERNEY TORRES TRUJILLO</t>
  </si>
  <si>
    <t>Inversiones Laboyos</t>
  </si>
  <si>
    <t>Pitalito</t>
  </si>
  <si>
    <t>ANDERSON CASTRO BARRERA</t>
  </si>
  <si>
    <t>JOSE MANUEL MORALES CASTAÑO</t>
  </si>
  <si>
    <t>VICTOR ALFONSO URRUTIA IPUZ</t>
  </si>
  <si>
    <t>EDWIN ADOLFO TRUJILLO MUÑOZ</t>
  </si>
  <si>
    <t>eatrujillo24@misena.edu.co</t>
  </si>
  <si>
    <t>CENTRO DE GESTIÓN Y DESARROLLO SOSTENIBLE COLOMBIANO SEDE YAMBORO - SENA</t>
  </si>
  <si>
    <t>AV.3  N° 20 SUR 21</t>
  </si>
  <si>
    <t>ALEJANDRO CARLOSAMA SANCHEZ</t>
  </si>
  <si>
    <t xml:space="preserve">acarlosama02@misena.edu.co
</t>
  </si>
  <si>
    <t>YEISON ANDRES HERNANDEZ LOPEZ</t>
  </si>
  <si>
    <t xml:space="preserve">Yeison45andres@gmail.com
</t>
  </si>
  <si>
    <t>SERGIO ALEJANDRO VALENCIANO ROJAS</t>
  </si>
  <si>
    <t xml:space="preserve">seravalenciano@misena.edu.co
</t>
  </si>
  <si>
    <t>ENEIS MANUEL AGUIRRE CALLE</t>
  </si>
  <si>
    <t xml:space="preserve">agcalle27@gmail.com
</t>
  </si>
  <si>
    <t>JHON FAIBER OSORIO ALVAREZ</t>
  </si>
  <si>
    <t>jhon3103236676@gmail.com</t>
  </si>
  <si>
    <t>SAN JOSE DE ISNOS</t>
  </si>
  <si>
    <t>TESTLAB SAS</t>
  </si>
  <si>
    <t>Carrera 68D No. 65A - 31 Piso 1</t>
  </si>
  <si>
    <t>BOGOTA D.C.</t>
  </si>
  <si>
    <t>recursoshumanos.testlab@gmail.com</t>
  </si>
  <si>
    <t>POR ASIGNAR</t>
  </si>
  <si>
    <t>JAIRO ALONSO ALVARADO AVILA</t>
  </si>
  <si>
    <t xml:space="preserve">jaalvarado0789@misena.edu.co
</t>
  </si>
  <si>
    <t>GABRIEL JAIME QUINTERO RIVERA</t>
  </si>
  <si>
    <t xml:space="preserve">gabriel.quintero17@misea.edu.co
</t>
  </si>
  <si>
    <t>FRESNEY ÑAÑEZ HIDALGO</t>
  </si>
  <si>
    <t>freaez@misena.edu.co</t>
  </si>
  <si>
    <t>LIBARDO ANACONA GOMEZ</t>
  </si>
  <si>
    <t>debe 50 resultados... Revisado 21/12/2022</t>
  </si>
  <si>
    <t>LUCAS ARIEL ORTEGA CALDERON</t>
  </si>
  <si>
    <t xml:space="preserve">laortega6024@misena.edu.co
</t>
  </si>
  <si>
    <t>Diego Muñoz</t>
  </si>
  <si>
    <t>JUAN JOSE PARRA GONZALEZ</t>
  </si>
  <si>
    <t>Pasantias</t>
  </si>
  <si>
    <t>l Centro de Gestión y Desarrollo Sostenible Sur colombiano</t>
  </si>
  <si>
    <t>debe 1 resultados... Revisado 21/12/2022</t>
  </si>
  <si>
    <t>JAIDER ALFONSO PARDO VALDES</t>
  </si>
  <si>
    <t>DANA STEFANIA BETANCOURT PUENTES</t>
  </si>
  <si>
    <t xml:space="preserve">Cristian Villareal </t>
  </si>
  <si>
    <t>FABIAN ANDRES GUALI ARREDONDO</t>
  </si>
  <si>
    <t>fabiangualy29@gmail.com</t>
  </si>
  <si>
    <t>26/01/2023</t>
  </si>
  <si>
    <t>25/07/2023</t>
  </si>
  <si>
    <t>DANNA LLYBEE BENAVIDES TAQUINAS</t>
  </si>
  <si>
    <t>debe 22 resultados... Revisado 21/12/2022</t>
  </si>
  <si>
    <t>JUAN CARLOS SALINAS PARRA</t>
  </si>
  <si>
    <t>ANGEL STEPHANY MEDINA ECHEVERRY</t>
  </si>
  <si>
    <t>JULIAN CAMILO DAVALOS PAJOY</t>
  </si>
  <si>
    <t>JOSE ESTEBAN NAVARRO MADRIGAL</t>
  </si>
  <si>
    <t>debe 7 resultados... Revisado 21/12/2022</t>
  </si>
  <si>
    <t>JORGE ESTEBAN VASQUEZ MUÑOZ</t>
  </si>
  <si>
    <t>OSCAR JAVIER IBARRA ROJAS</t>
  </si>
  <si>
    <t>WILLIAM MAURICIO RODRIGUEZ DIAZ</t>
  </si>
  <si>
    <t>CRISTIAN MAURICIO ROBAYO QUINAYAS</t>
  </si>
  <si>
    <t>DIANA MARIA MENSA ORTIZ</t>
  </si>
  <si>
    <t>OSCAR HERNANDO RIOS REAL</t>
  </si>
  <si>
    <t>JHON ALEXIS GOMEZ JURADO</t>
  </si>
  <si>
    <t>DAYANA VALENTINA BECERRA AREIZA</t>
  </si>
  <si>
    <t>DARIO SOSCUE OBANDO</t>
  </si>
  <si>
    <t>DIDIER ISIDRO JUTINICO ROJAS</t>
  </si>
  <si>
    <t>DANIEL FELIPE RUIZ DIAZ</t>
  </si>
  <si>
    <t>ERICK JULIAN ANACONA RODRIGUEZ</t>
  </si>
  <si>
    <t>ROSA ELENA DUARTE VERA</t>
  </si>
  <si>
    <t>JUAN PABLO LUGO FORERO</t>
  </si>
  <si>
    <t>DEBE 1 RESULTADO.... falta bitácoras del 6 al 12... Revisado 29/12/2022</t>
  </si>
  <si>
    <t>JUAN SEBASTIAN ABAUNZA CORDOBA</t>
  </si>
  <si>
    <t>JULIAN MUÑOZ MUÑOZ</t>
  </si>
  <si>
    <t>ALDUANY EDISSON CEBALLOS MURCIA</t>
  </si>
  <si>
    <t>FERNEY ANTONIO PUENTES CEFERINO</t>
  </si>
  <si>
    <t>JOSE ANGEL QUESADA ALFONSO</t>
  </si>
  <si>
    <t>JESUS DELGADO MUÑOZ</t>
  </si>
  <si>
    <t>ANGEL HERNANDO MORA GUZMAN</t>
  </si>
  <si>
    <t>SERAFIN CAMPOS OCHOA</t>
  </si>
  <si>
    <t>WILLIAM ANDRES PERDOMO PUENTES</t>
  </si>
  <si>
    <t>WILSON JAVIER RIVEROS CHAVARRO</t>
  </si>
  <si>
    <t>REINERIO ANDRES ARGOTE RAMIREZ</t>
  </si>
  <si>
    <t>RODRIGO LOPEZ OBANDO</t>
  </si>
  <si>
    <t>CESAR AUGUSTO PRIETO ALVAREZ</t>
  </si>
  <si>
    <t>FABIO NELSON RODRIGUEZ BARRERA</t>
  </si>
  <si>
    <t>JUAN BAUTISTA LOZANO TOLEDO</t>
  </si>
  <si>
    <t>SANTIAGO POLO LOZANO</t>
  </si>
  <si>
    <t>JESUS SANTIAGO RIVERA RIVERA</t>
  </si>
  <si>
    <t>SANTIAGO PINO MURCIA</t>
  </si>
  <si>
    <t>JOHN ANDERSON CLAROS DELGADO</t>
  </si>
  <si>
    <t>TÉCNICO</t>
  </si>
  <si>
    <t>DIBUJO ARQUITECTÓNICO</t>
  </si>
  <si>
    <t>debe 24 resultados... Revisado 29/11/2022</t>
  </si>
  <si>
    <t>KAREN YULIANA HERNANDEZ FERREIRA</t>
  </si>
  <si>
    <t>debe 14 resultados... Revisado 29/11/2022</t>
  </si>
  <si>
    <t>JOLMAN SANTIAGO GOMEZ NARANJO</t>
  </si>
  <si>
    <t>debe 20 resultados... Revisado 29/11/2022</t>
  </si>
  <si>
    <t>MOISES MONTERO HOYOS</t>
  </si>
  <si>
    <t>ANA MARIA VELEZ MUÑOZ</t>
  </si>
  <si>
    <t>LAURA VANESA TIQUE CHAGUALA</t>
  </si>
  <si>
    <t>debe 18 resultados... Revisado 29/11/2022</t>
  </si>
  <si>
    <t>YEDOSEI JAYIN HORTUA MOLANO</t>
  </si>
  <si>
    <t>debe 16 resultados... Revisado 29/11/2022</t>
  </si>
  <si>
    <t>CRISTIAN CAMILO ECHEVERRI RUIZ</t>
  </si>
  <si>
    <t>JUAN DAVID VIDAL DIAZ</t>
  </si>
  <si>
    <t>JUAN CAMILO PERDOMO RUBIANO</t>
  </si>
  <si>
    <t>LUISA FERNANDA NUÑEZ IRREÑO</t>
  </si>
  <si>
    <t>debe 25 resultados... Revisado 29/11/2022</t>
  </si>
  <si>
    <t xml:space="preserve">LEIDY LORENA ORDOÑEZ </t>
  </si>
  <si>
    <t>debe 19 resultados... Revisado 29/11/2022</t>
  </si>
  <si>
    <t>ERIKA YULIETH SENDOYA CADENA</t>
  </si>
  <si>
    <t>debe 15 resultados... Revisado 29/11/2022</t>
  </si>
  <si>
    <t>JUAN ESTEBHAN VEGA CHAVARRO</t>
  </si>
  <si>
    <t>BRAIDER ANDRES MONCAYO HOYOS</t>
  </si>
  <si>
    <t>debe 26 resultados... Revisado 29/11/2022</t>
  </si>
  <si>
    <t>WILFRAN ESTEBAN NARANJO SANCHEZ</t>
  </si>
  <si>
    <t>JADER XAVIER GOMEZ PARRA</t>
  </si>
  <si>
    <t>debe 27 resultados... Revisado 29/11/2022</t>
  </si>
  <si>
    <t>HARIJAN BERMEO ARGOTE</t>
  </si>
  <si>
    <t>GILBERTH JESUS CERON CERON</t>
  </si>
  <si>
    <t>DUBAN FELIPE RIVERA ORTIZ</t>
  </si>
  <si>
    <t>HECTOR ENRIQUE VALENCIANO ROJAS</t>
  </si>
  <si>
    <t>FECHA HOY</t>
  </si>
  <si>
    <t>INSTRUCTOR ASIGNADO 30-03-2023</t>
  </si>
  <si>
    <t>INSTRUCTOR ENERO</t>
  </si>
  <si>
    <t>SEGUIMIENTO MES DE ENERO</t>
  </si>
  <si>
    <t>INSTRUCTOR MARZO2</t>
  </si>
  <si>
    <t xml:space="preserve">SEGUIMIENTO MES DE FEBRERO </t>
  </si>
  <si>
    <t>CUMPLE EP</t>
  </si>
  <si>
    <t xml:space="preserve">ESTADO DEL APRENDIZ </t>
  </si>
  <si>
    <t xml:space="preserve">PROYECTO </t>
  </si>
  <si>
    <t>FECHA REPORTE</t>
  </si>
  <si>
    <t>RAP PROMOVER POR EVALUAR</t>
  </si>
  <si>
    <t>RAP PRODUCTIVA POR EVALUAR</t>
  </si>
  <si>
    <t>RAP INGLES POR EVALUAR</t>
  </si>
  <si>
    <t>RAP TECNICO POR EVALUAR</t>
  </si>
  <si>
    <t>TOTAL  RAPS POR EVALUAR</t>
  </si>
  <si>
    <t>SEDE</t>
  </si>
  <si>
    <t>Eduar Arley Vergara</t>
  </si>
  <si>
    <t>registrado 09/03</t>
  </si>
  <si>
    <t>LUIS MILTON GUERRERO GIRON</t>
  </si>
  <si>
    <t>luismilton1236@gmail.com</t>
  </si>
  <si>
    <t>PUBLISUR AGENCIA  CREACTIVA</t>
  </si>
  <si>
    <t>CARRERA 6-N°7-52</t>
  </si>
  <si>
    <t xml:space="preserve">Tiene acuerdo de voluntades, falta seguimiento y bitácoras..Revisado 10/03/2022, </t>
  </si>
  <si>
    <t>Diana Ávila</t>
  </si>
  <si>
    <t>No tiene seguimieto ...Revisdo 25/04/2022</t>
  </si>
  <si>
    <t xml:space="preserve"> esta asignado Eduar Arley Vergara 30 -03-2023: bede subir las evidencias </t>
  </si>
  <si>
    <t>JULIAN STIVEN SARRIA NINCO</t>
  </si>
  <si>
    <t>juliansdesigner04@gmail.com</t>
  </si>
  <si>
    <t>PUBLISUR</t>
  </si>
  <si>
    <t>6# 7-52</t>
  </si>
  <si>
    <t>312 4145794</t>
  </si>
  <si>
    <t>publisurpitalito.creative@gmail.com</t>
  </si>
  <si>
    <t xml:space="preserve">Tiene acuerdo de voluntades  falta  seguimiento y bitacoras...Revisado 16/03/2022 </t>
  </si>
  <si>
    <t>Por asignar</t>
  </si>
  <si>
    <t>Eduar Arley Vergara,</t>
  </si>
  <si>
    <t>KARLA VANESSA ECHEVERRY ARISTIZABAL</t>
  </si>
  <si>
    <t>vanesaalexandraramospimentel@gmail.com</t>
  </si>
  <si>
    <t>pitalito</t>
  </si>
  <si>
    <t>SENA - SEDE YAMBORÓ</t>
  </si>
  <si>
    <t xml:space="preserve">Carlos Alberto Bravo Zuniga </t>
  </si>
  <si>
    <t xml:space="preserve">Eduar Arley Vergara, evaluar </t>
  </si>
  <si>
    <t>YANIRA FERNANDA LEBAZA SANCHEZ</t>
  </si>
  <si>
    <t>ylebaza0612@gmail.com</t>
  </si>
  <si>
    <t>COOPERATIVA DE TRANSPORTADORES DEL HUILA LIMITADA - COOTRANSHUILA LTDA</t>
  </si>
  <si>
    <t>AVENIDA 26 N° 4 - 82</t>
  </si>
  <si>
    <t xml:space="preserve">DIANA ÁVILA - Asignada </t>
  </si>
  <si>
    <t>Diana Avila  - Subió Bitácoras del 1 al 7... revisado 07/12/2022</t>
  </si>
  <si>
    <t>SI tiene seguimineto 07/12/2022</t>
  </si>
  <si>
    <t>Juan Sebastian Ruiz</t>
  </si>
  <si>
    <t>Karlaaristizabal019@gmail.com</t>
  </si>
  <si>
    <t>Timaná</t>
  </si>
  <si>
    <t>CON.D.S INGENIERIA S.A.S</t>
  </si>
  <si>
    <t>Calle 2sur # 2-07</t>
  </si>
  <si>
    <t>ingfabianortiz@gmail.com</t>
  </si>
  <si>
    <t xml:space="preserve">Diana Avila  </t>
  </si>
  <si>
    <t>Diana Ávila - Subió Final y Bitácoras del 1 al 10... Revisado 07/12/2022</t>
  </si>
  <si>
    <t>JHERSON ALEJANDRO ROJAS CHAMORRO</t>
  </si>
  <si>
    <t>jhersonalejandro04@gmail.com</t>
  </si>
  <si>
    <t xml:space="preserve">carlos bravo </t>
  </si>
  <si>
    <t>JAROL ALBEIRO FAJARDO PERDOMO</t>
  </si>
  <si>
    <t>jafajardo8845@misena.edu.co</t>
  </si>
  <si>
    <t>JHON JADER RODIRGUEZ ZUÑIGA</t>
  </si>
  <si>
    <t>ALCALDIA MUNICIPAL DEL  MUNICIPIO DE PALESTINA</t>
  </si>
  <si>
    <t>CLL 3 N° 3-52</t>
  </si>
  <si>
    <t>8315647 EXT 102</t>
  </si>
  <si>
    <t>secretariadegobierno@palestina-huila.gov.co</t>
  </si>
  <si>
    <t>Tiene Acuerdo de Voluntades, inicial y bitácoras 1,2,3,4... Falta parcial, final certificación y bitácoras 5,6,7,8,9,10,11 y 12 ... Revisado 29/12/2022</t>
  </si>
  <si>
    <t>Diana Avila  - Subió Bitácoras 1 ... revisado 07/12/2022 - Subió Inicial y bitácoras del 1 al 4... Reviasdo 29/12/2022</t>
  </si>
  <si>
    <t>SI tiene seguimineto 29/12/2022</t>
  </si>
  <si>
    <t>CAROLINA MUÑOZ MUÑOZ</t>
  </si>
  <si>
    <t>3202975106 - 3227609991</t>
  </si>
  <si>
    <t>Cm7283155@gmail.com</t>
  </si>
  <si>
    <t>NTT DATA COLOMBIA S.A.S.</t>
  </si>
  <si>
    <t>Calle 97# 13-57 Piso 5</t>
  </si>
  <si>
    <t>gmartidu@nttdata.com</t>
  </si>
  <si>
    <t>DIEGO ANTONIO SALAZAR OSPINA</t>
  </si>
  <si>
    <t xml:space="preserve"> diegosalazae2003@gmail.com</t>
  </si>
  <si>
    <t>DANIEL STIVEN BRAVO BOLAÑOZ</t>
  </si>
  <si>
    <t>CLINICA UROS S.A.</t>
  </si>
  <si>
    <t>CLL 17 N 5 A 52</t>
  </si>
  <si>
    <t xml:space="preserve"> 3138156774-312 5365034</t>
  </si>
  <si>
    <t>auxtalentohumano@clinicauros.com</t>
  </si>
  <si>
    <t>24/11/2022</t>
  </si>
  <si>
    <t>23/05/2023</t>
  </si>
  <si>
    <t>JUAN FELIPE MORENO RAMIREZ</t>
  </si>
  <si>
    <t>cybernetjf64@gmail.com</t>
  </si>
  <si>
    <t>INFORMATION AND COMMUNICATION TECHNOLOGIES CONSULTING SERVICES ZOMAC SAS</t>
  </si>
  <si>
    <t>CALLE 4 NO 6-41 P 2</t>
  </si>
  <si>
    <t>8725400-7115</t>
  </si>
  <si>
    <t>TELLO</t>
  </si>
  <si>
    <t>Psicologa.talentohumano@clinicauros.com</t>
  </si>
  <si>
    <t>JHON ALEXANDER CASTAÑO GOMEZ</t>
  </si>
  <si>
    <t>LILIANA YISELA GOMEZ ANACONA</t>
  </si>
  <si>
    <t>gicelagomez17082020@gmail.com</t>
  </si>
  <si>
    <t>YOAN ESTIVEN BECERRA ZAMBRANO</t>
  </si>
  <si>
    <t>nospicarnal@gmail.com</t>
  </si>
  <si>
    <t>kilometro 1 salida a santa marta</t>
  </si>
  <si>
    <t>3106623685 - 3106800993</t>
  </si>
  <si>
    <t>jiguaran@interaseo.com.co; analista.ghinteraseo.com.co</t>
  </si>
  <si>
    <t>JESUS NICOLAS AYERBE GUARNIZO</t>
  </si>
  <si>
    <t xml:space="preserve"> nicoayerbe.com@gmail.com</t>
  </si>
  <si>
    <t>COMERCIAL NUTRESA S.A.S.</t>
  </si>
  <si>
    <t>Cr. 52 # 20-124</t>
  </si>
  <si>
    <t>practicanteatraccion@comercialnutresa.com.co</t>
  </si>
  <si>
    <t>JAMES SANTIAGO ORDOÑEZ QUINAYAS</t>
  </si>
  <si>
    <t>sordonez287@gmail.com</t>
  </si>
  <si>
    <t>San Agustin</t>
  </si>
  <si>
    <t xml:space="preserve">INGEAL S.A </t>
  </si>
  <si>
    <t>CRRA 13 N° 96-38</t>
  </si>
  <si>
    <t>Eduardo Triana Trujillo</t>
  </si>
  <si>
    <t>si tiene seguimiento revisado 08/03/2023</t>
  </si>
  <si>
    <t>Jesus David Calderon</t>
  </si>
  <si>
    <t>LIZETH ANDREA BUESAQUILLO LUNA</t>
  </si>
  <si>
    <t>lunnabl08@gmail.com</t>
  </si>
  <si>
    <t xml:space="preserve">EDUARTO TRIANA </t>
  </si>
  <si>
    <t>AUNER ERNEY RODRIGUEZ SANCHEZ</t>
  </si>
  <si>
    <t>3209396981 - 3176193580</t>
  </si>
  <si>
    <t>aunerrodriguez201906@gmail.com</t>
  </si>
  <si>
    <t>RONAL PEÑA CAJIBIOY</t>
  </si>
  <si>
    <t>penacajib.23@gmail.com</t>
  </si>
  <si>
    <t>YESSICA FERNANDA HOYOS NAVIA</t>
  </si>
  <si>
    <t>yeka-skate@hotmail.com</t>
  </si>
  <si>
    <t>INVERSIONES MULTISER LH S.A.S.</t>
  </si>
  <si>
    <t>30/04/2023</t>
  </si>
  <si>
    <t>Tiene Acuerdo de voluntades, Incial, Parcial y bitácoras 1,2,3,4 ... Falta final, certificación y bitácoras 5,6,7,8,9,10,11  y 12 ... . Revisado 22/12/2022</t>
  </si>
  <si>
    <t>NORMA PEREZ - Subió Parcial y bitácoras 1 y 2... Revisado 14/09/2022</t>
  </si>
  <si>
    <t>NORMA - Subió Bitácoras 3 y 4... Revisado 22/12/2022</t>
  </si>
  <si>
    <t>JHON JAIROMUÑOZ PEÑA</t>
  </si>
  <si>
    <t>cc</t>
  </si>
  <si>
    <t>jhonmupe10@gmail.com</t>
  </si>
  <si>
    <t>KEVIN CHILITO COLLAZOS</t>
  </si>
  <si>
    <t>kevinchilito202@gmail.com</t>
  </si>
  <si>
    <t>CARLOS ANDRES PALOMARES BOLAÑOS</t>
  </si>
  <si>
    <t>palomarescarlos37@gmail.com</t>
  </si>
  <si>
    <t>DANIEL FELIPE SANCHEZ ANACONA</t>
  </si>
  <si>
    <t>DIEGO ALEXIS MUÑOZ GOMEZ</t>
  </si>
  <si>
    <t>dogo12m@gmail.com</t>
  </si>
  <si>
    <t>TERMINADO</t>
  </si>
  <si>
    <t>Por inconvenientes de salud decidió cancelar el contrato de aprendizaje a partir del 30 de septiembre de 2022, ya se realizó el seguimiento de retiro con el jefe directo. Además, el aprendiz manifestó querer terminar su etapa práctica con un proyecto productivo, le dí las indicaciones del proceso que debe realizar para legalizar la modalidad y a la fecha el aprendiz no ha manifestado ningún avance en la planificación ni legalización de su proyecto. Le he marcado a su celular y  no responde.</t>
  </si>
  <si>
    <t>ANDRI YISETH OCHOA ARCOS</t>
  </si>
  <si>
    <t>andriyiseth01@gmail.com</t>
  </si>
  <si>
    <t>ANDRES FAVIAN LAVERDE MARTINEZ</t>
  </si>
  <si>
    <t>andreslaverde904@gmail.com</t>
  </si>
  <si>
    <t>Almacén Stihl Pitalito</t>
  </si>
  <si>
    <t xml:space="preserve">multiagropitalito@yahoo.com  </t>
  </si>
  <si>
    <t>CRISTIAN ALBEIRO GRIJALBA CORDOBA</t>
  </si>
  <si>
    <t>gril69@gmail.com</t>
  </si>
  <si>
    <t>MILLER ANDRES ZEMANATE JOAQUI</t>
  </si>
  <si>
    <t>anmiz24@hotmail.com</t>
  </si>
  <si>
    <t>GUSTAVO ADOLFO FIGUEROA CABRERA</t>
  </si>
  <si>
    <t>gufica05@gmail.com</t>
  </si>
  <si>
    <t>LAURA VALENTINA RIOS RODRIGUEZ</t>
  </si>
  <si>
    <t>lauravalentinarios2016@gmail.com</t>
  </si>
  <si>
    <t xml:space="preserve">CARLOS BRAVO </t>
  </si>
  <si>
    <t>MONICA LIZETH ANACONA UNI</t>
  </si>
  <si>
    <t>lizethanacona11@gmail.com</t>
  </si>
  <si>
    <t>ISNOS-HUILA</t>
  </si>
  <si>
    <t>COOPERATIVA DEPARTAMENTAL DE CAFICULTORES DEL HUILA LTDA</t>
  </si>
  <si>
    <t>Calle 4 N. 3-37</t>
  </si>
  <si>
    <t xml:space="preserve">lina.castro@cadefihuila.com
</t>
  </si>
  <si>
    <t>NORMA PEREZ</t>
  </si>
  <si>
    <t>YEFERSON SANTIA GORIVERA MUÑOZ</t>
  </si>
  <si>
    <t>CINDY TATIANA LOPEZ FORERO</t>
  </si>
  <si>
    <t>UNIDAD PRODUCTIVA</t>
  </si>
  <si>
    <t>JHOANA MARCELA ROJAS PINO</t>
  </si>
  <si>
    <t>ELIANA SAMBONI GUACA</t>
  </si>
  <si>
    <t>RONAL STIVEN RIAÑO FRANCO</t>
  </si>
  <si>
    <t>LUIS FERNANDO GIRON ROJAS</t>
  </si>
  <si>
    <t>OSCAR JAVIER REGALADO ANDRADE</t>
  </si>
  <si>
    <t>Andraejavier125@gmail.com</t>
  </si>
  <si>
    <t>CENTRO MEDICO VALLE DE ATRIZ EMPRESA UNIPERSONAL</t>
  </si>
  <si>
    <t>calle 16 N 29 63 SAN ANDRES</t>
  </si>
  <si>
    <t>PASTO</t>
  </si>
  <si>
    <t>cmva.recursohumano@gmail.com</t>
  </si>
  <si>
    <t>22/12/2022</t>
  </si>
  <si>
    <t>24/06/2023</t>
  </si>
  <si>
    <t>NELSON DAMIAN HOYOS ALVAREZ</t>
  </si>
  <si>
    <t xml:space="preserve">Alcaldia de Saladoblanco </t>
  </si>
  <si>
    <t>Saladoblanco</t>
  </si>
  <si>
    <t>SALADOBLANCO</t>
  </si>
  <si>
    <t>secretariadegobierno@saladoblanco-huila .gov.co</t>
  </si>
  <si>
    <t xml:space="preserve">Wilson Martinez </t>
  </si>
  <si>
    <t>ANYI PAOLA TULCAN ORTEGA</t>
  </si>
  <si>
    <t>YEINER ESTEBAN CORDOBA GOMEZ</t>
  </si>
  <si>
    <t xml:space="preserve">ALCALDIA MUNICIPAL DE SALADOBLANCO </t>
  </si>
  <si>
    <t xml:space="preserve">CALLE 2 N° 5-64 CENTRO </t>
  </si>
  <si>
    <t>Angela Garzon</t>
  </si>
  <si>
    <t>YERALDY CAROLAY TULCAN DAZA</t>
  </si>
  <si>
    <t>tulcanyeraldy@gmail.com</t>
  </si>
  <si>
    <t>21/02/2023</t>
  </si>
  <si>
    <t>20/08/2023</t>
  </si>
  <si>
    <t>ESNEIDER CORDOBA GOMEZ</t>
  </si>
  <si>
    <t>esneider20cargom@gmail.com</t>
  </si>
  <si>
    <t>NATALIA RUEDA BOCANEGRA</t>
  </si>
  <si>
    <t xml:space="preserve">Eduar Triana </t>
  </si>
  <si>
    <t>JHON MARIO CHILITO CALDERON</t>
  </si>
  <si>
    <t>whoaomi11@gmail.com</t>
  </si>
  <si>
    <t>INGEAL S A</t>
  </si>
  <si>
    <t xml:space="preserve">04 abril 2023, Documentos completos, se califico en Sofia Plus. </t>
  </si>
  <si>
    <t>FERLEY HOYOS</t>
  </si>
  <si>
    <t>EDINSON DAVID BARRERA LUGO</t>
  </si>
  <si>
    <t>edbarrera84@misena.edu.co</t>
  </si>
  <si>
    <t xml:space="preserve">SENTO DE GESTIÓN Y DESARROLLO SUR COLOMBIANO SENA </t>
  </si>
  <si>
    <t>No tiene seguimineto 29/06/2022</t>
  </si>
  <si>
    <t>JHON ALEJANDRO MUNERA CIFUENTES</t>
  </si>
  <si>
    <t>Diana Meliza Jimenez</t>
  </si>
  <si>
    <t>NELSON STIVEN TRIANA NARVAEZ</t>
  </si>
  <si>
    <t>NORMA VANESSA ANACONA ANACONA</t>
  </si>
  <si>
    <t>YEINERI DANIELA MACHADO SOTELO</t>
  </si>
  <si>
    <t>CORREGIMIENTO DE GUACACALLO (PITALITO).</t>
  </si>
  <si>
    <t xml:space="preserve">PROYECTO PRODUCTIVO </t>
  </si>
  <si>
    <t>RECNOPARQUE NODO PITALITO</t>
  </si>
  <si>
    <t xml:space="preserve"> Tiene Proyecto productivo, Parcial y bitácoras 2,3,4....  falta final,certificación  y bitácoras 1,5,6,7,8,10,11 y 12..Revisado 16/12/2022</t>
  </si>
  <si>
    <t>NO tiene seguimiento 26/08/2022</t>
  </si>
  <si>
    <t>EDUARTO TRIANA  - Subió Parcial y bitácoras del 2 al 4... Revisado 16/12/2022</t>
  </si>
  <si>
    <t>Si tiene seguimiento 16/12/2022</t>
  </si>
  <si>
    <t>CRISTIAN ANDRES MARTINEZ ROJAS</t>
  </si>
  <si>
    <t>JUAN FRANCISCO PLAZAS PARRA</t>
  </si>
  <si>
    <t>CANDELARIA (ISNOS).</t>
  </si>
  <si>
    <t>RED TECNOPARQUE NODO PITALITO</t>
  </si>
  <si>
    <t xml:space="preserve"> Tiene Proyecto productivo, Parcial y bitácoras 1,2,3,4....  falta final,certificación  y bitácoras 5,6,7,8,10,11 y 12..Revisado 16/12/2022</t>
  </si>
  <si>
    <t>EDUARTO TRIANA  - Subió Parcial y bitácoras del 1 al 4... Revisado 16/12/2022</t>
  </si>
  <si>
    <t>Eduardo Triana</t>
  </si>
  <si>
    <t>KAREN DAYANA SALAMANCA ORTEGA</t>
  </si>
  <si>
    <t>3212681728 / 3146126437 / 3143844207</t>
  </si>
  <si>
    <t>EL JABÓN (SAN AGUSTÍN).</t>
  </si>
  <si>
    <t>TECNOPARQUE NODO PITALITO</t>
  </si>
  <si>
    <t>ALEJANDRO CUBILLOS CONTRERAS</t>
  </si>
  <si>
    <t>cubillos891@misena.edu.co</t>
  </si>
  <si>
    <t xml:space="preserve">CENTRO DE GESTIÓN Y DESARROLLO SURCOLOMBIANO SENA </t>
  </si>
  <si>
    <t>YAMBORO</t>
  </si>
  <si>
    <t xml:space="preserve">03/abril Tiene los documentos completos para evaluar y certificar </t>
  </si>
  <si>
    <t>JOSE YANCARLOS VELA ORDOÑEZ</t>
  </si>
  <si>
    <t xml:space="preserve">ASMET SALUD EPS SAS
</t>
  </si>
  <si>
    <t xml:space="preserve">CArrera 4 #18n -46
</t>
  </si>
  <si>
    <t xml:space="preserve">POPAYAN
</t>
  </si>
  <si>
    <t xml:space="preserve">walter.pelaez@asmetsalud.com;mireya.realpe@asmetsalud.com
</t>
  </si>
  <si>
    <t xml:space="preserve"> Tiene contrato, Inicial, Parcial y bitácoras 1,2,3,4,5,6....  falta final,certificación  y bitácoras 7,8,10,11 y 12..Revisado 02/11/2022</t>
  </si>
  <si>
    <t>NORMA PEREZ  - Subió Inicial y bitácoras 1,2,3,4... Revisado 18/10/2022 - Subió Parcial y bitácoras 5 y 6 ... Revisado 02/11/2022</t>
  </si>
  <si>
    <t>Si tiene seguimiento 02/11/2022</t>
  </si>
  <si>
    <t xml:space="preserve">Norma Comunicadora </t>
  </si>
  <si>
    <t>DIANA PAOLA SOSCUE MAMIAN</t>
  </si>
  <si>
    <t>dpsoscue3@misena.edu.co</t>
  </si>
  <si>
    <t>ENTER TELECOMUNICACIONES BANDA ANCHA SAS</t>
  </si>
  <si>
    <t xml:space="preserve"> Tiene contrato, Inicial, parcial y bitácoras 1,2,4,5,6,7....  falta final,certificación  y bitácoras 3,8,10,11 y 12..Revisado 10/11/2022</t>
  </si>
  <si>
    <t>NORMA PEREZ  - Inicial y bitácoras 1,2,4,5... Revisado 27/10/2022 - Parcial y bitácoras 6 y 7.. Revisado 10/11/2022</t>
  </si>
  <si>
    <t>Si tiene seguimiento 10/11/2022</t>
  </si>
  <si>
    <t>JUAN ESTEBAN AGUILERA ARAQUE</t>
  </si>
  <si>
    <t>aguileraaraquea@gmail.com</t>
  </si>
  <si>
    <t xml:space="preserve">PASANTIA </t>
  </si>
  <si>
    <t>MARILY ZULETA ROJAS</t>
  </si>
  <si>
    <t>marily3zuleta@gmail.com</t>
  </si>
  <si>
    <t>MAINSOFT</t>
  </si>
  <si>
    <r>
      <rPr>
        <sz val="10"/>
        <color rgb="FF000000"/>
        <rFont val="Arial"/>
        <family val="2"/>
      </rPr>
      <t>Tiene Acuerdo de Voluntades, Parcial y Bitácoras 1,2,3 ...Falta Final y bitácoras 4,5,6,7,8,9,10,11 y 12...Revisado 16/09/2022</t>
    </r>
  </si>
  <si>
    <t>Eduar Triana - Subió Parcial y Bitácoras 1,2 y 3... Revisado 16/09/2022</t>
  </si>
  <si>
    <t>Si tiene seguimiento 16/09/2022</t>
  </si>
  <si>
    <t>MARYURY SABI CHARRY</t>
  </si>
  <si>
    <t>Maryurysacha@gmail.com</t>
  </si>
  <si>
    <t>GRUPO AKAES SAS - IT GLOBERS</t>
  </si>
  <si>
    <t>Carrera 72 C No. 22 A 24 Torre 2 Apto 1512</t>
  </si>
  <si>
    <t>avier@grupoakaes.com</t>
  </si>
  <si>
    <t>KAROL XIOMARA ROJAS SORIANO</t>
  </si>
  <si>
    <t>Karolxiomararojassoriano@gmail.com</t>
  </si>
  <si>
    <t>SOAIN SOFTWARE ASSOCIATES S A S</t>
  </si>
  <si>
    <t>ac. 100 # 23 - 10 Of. 302</t>
  </si>
  <si>
    <t>kandrade@soaint.com</t>
  </si>
  <si>
    <t>Si tiene seguimiento 08/03/2023</t>
  </si>
  <si>
    <t>FELIPE ROJAS REYES</t>
  </si>
  <si>
    <t>kinrojas2@gmail.com</t>
  </si>
  <si>
    <t>Universidad Coop. de Colombia</t>
  </si>
  <si>
    <t>CL 50 A 41 - 34</t>
  </si>
  <si>
    <t xml:space="preserve">Instructor `por asignar </t>
  </si>
  <si>
    <t>INGRID VANESA SABI CHARRY</t>
  </si>
  <si>
    <t>321 2571188</t>
  </si>
  <si>
    <t>ingridvanesasabicharry@gmail.com</t>
  </si>
  <si>
    <t>MONICA GAITÀN RIVERA</t>
  </si>
  <si>
    <t>riveramonny123@gmail.com</t>
  </si>
  <si>
    <t>RENUNCIA CONTRATO</t>
  </si>
  <si>
    <t>JOHAN SEBASTIAN LOPEZ MONTEALEGRE</t>
  </si>
  <si>
    <t xml:space="preserve">POR ASIGNAR </t>
  </si>
  <si>
    <t>YEISON ARLEY CABRERA BUESAQUILLO</t>
  </si>
  <si>
    <t>KEVIN STIVEN MURCIA BOLAÑOS</t>
  </si>
  <si>
    <t>JUAN FERNANDO YUCO ROJAS</t>
  </si>
  <si>
    <t>KEVIN STIVEN IJAJI LOSADA</t>
  </si>
  <si>
    <t>JORGE ARMANDO LOSADA RODRIGUEZ</t>
  </si>
  <si>
    <t>debe 23 resultados... Revisado 09/02/2023</t>
  </si>
  <si>
    <t>TANIA KARINA VALDES GOMEZ</t>
  </si>
  <si>
    <t>GERMAN DAVID SAMBONI SAMBONI</t>
  </si>
  <si>
    <t>MARIA JULIANA MUÑOZ SAMBONI</t>
  </si>
  <si>
    <t>NEIDER YESID MENESES ANACONA</t>
  </si>
  <si>
    <t>ESTEBAN MADROÑERO DOMINGUEZ</t>
  </si>
  <si>
    <t>JUAN ESTEBAN ROJAS TOVAR</t>
  </si>
  <si>
    <t>Juesrojast03@gmail.com</t>
  </si>
  <si>
    <t>Rocio Vargas</t>
  </si>
  <si>
    <t>JUAN JOSE OVIEDO RODRIGUEZ</t>
  </si>
  <si>
    <t>j.o.r.sandoval13@gmail.com</t>
  </si>
  <si>
    <t>REENCAUCHADORA SUPERIOR S A</t>
  </si>
  <si>
    <t>CALLE 14 SUR 6 -120</t>
  </si>
  <si>
    <t>reensuper@gmail.com</t>
  </si>
  <si>
    <t>CAMILA CACERES MORA</t>
  </si>
  <si>
    <t>camilacaceresmora2003@gmail.com</t>
  </si>
  <si>
    <t>YURI NATALIA TORRES BOLAÑOS</t>
  </si>
  <si>
    <t>Natalia.torrez75@gmail.com</t>
  </si>
  <si>
    <t>APOYO INVISIBLE S.A.S.</t>
  </si>
  <si>
    <t>Cra. 11B #99-25</t>
  </si>
  <si>
    <t>jennifer.suarez@elenas.la</t>
  </si>
  <si>
    <t>JUAN DAVID GUTIERREZ VIDAL</t>
  </si>
  <si>
    <t>gutirrezvidalj@gmail.com</t>
  </si>
  <si>
    <t>HANZ VARGAS DIAZ</t>
  </si>
  <si>
    <t>hanz.vargas@gmail.com</t>
  </si>
  <si>
    <t>DIEGO ALEJANDRO VILLARUEL GONZALEZ</t>
  </si>
  <si>
    <t>315 5020820</t>
  </si>
  <si>
    <t>villitagonzalez2004@gmail.com</t>
  </si>
  <si>
    <t>NELCY JUDITH RAMIREZ PERDOMO</t>
  </si>
  <si>
    <t>n_judith@hotmail.com</t>
  </si>
  <si>
    <t>CRISTIAN FABIAN ROJAS ROJAS</t>
  </si>
  <si>
    <t>Cristianfabianr328@gmail.com</t>
  </si>
  <si>
    <t>YURANI ALEJANDRA CARDOZO MONCAYO</t>
  </si>
  <si>
    <t>cardozoalejandra0803@gmail.com</t>
  </si>
  <si>
    <t>CÓNDOR SPECIALTY COFFEE S.A.S. - COMPAÑÍA COLOMBIANA AGROINDUSTRIAL SAS</t>
  </si>
  <si>
    <t>Cl 78 # 8-32</t>
  </si>
  <si>
    <t>myriam.vargas@ecomtrading.com</t>
  </si>
  <si>
    <t>Si tiene segumiento 03/03/2023</t>
  </si>
  <si>
    <t>KAREN DAYANA GARCIA CASTRO</t>
  </si>
  <si>
    <t>karda.garciacastro@gmail.com</t>
  </si>
  <si>
    <t>UNIVERSIDAD SANTO TOMAS</t>
  </si>
  <si>
    <t>Carrera 22 Calle 1 Vía Puerto López</t>
  </si>
  <si>
    <t>5878797 ext 1198</t>
  </si>
  <si>
    <t xml:space="preserve">Villavicencio </t>
  </si>
  <si>
    <t>aux.seleccion@usantotomas.edu.co</t>
  </si>
  <si>
    <t>VICTOR MANUEL MURCIA CUELLAR</t>
  </si>
  <si>
    <t>vimamucu7@gmail.com</t>
  </si>
  <si>
    <t>SURCOLOMBIANA DE GAS S.A. E.S.P. - SURGAS S.A. E.S.P</t>
  </si>
  <si>
    <t>CRA 10 No. 6 27</t>
  </si>
  <si>
    <t>8714264 - 8352592</t>
  </si>
  <si>
    <t>katherinemurcia@surgas.com</t>
  </si>
  <si>
    <t>YEIMI KATHERINE PEÑA ARIZA</t>
  </si>
  <si>
    <t>arizayeimi28@gmail.com</t>
  </si>
  <si>
    <t>CLL 6 N° 7-23</t>
  </si>
  <si>
    <t>2770189 -2770194 - EXT 103</t>
  </si>
  <si>
    <t>jiguaran@interaseo.com.co</t>
  </si>
  <si>
    <t>ANDRES FELIPE MENDEZ JIMENEZ</t>
  </si>
  <si>
    <t>fmfelinator23@gmail.com</t>
  </si>
  <si>
    <t>NTERASEO S.A. E.S.P.</t>
  </si>
  <si>
    <t>CLL 7 C N° 70 B 71</t>
  </si>
  <si>
    <t>INDUCCIÓN 30/11/2022</t>
  </si>
  <si>
    <t>JUAN DAVID LOPEZ PARDO</t>
  </si>
  <si>
    <t>MILDRETH LORENA PAPAMIJA SAMBONY</t>
  </si>
  <si>
    <t>INDIGO TECHNOLOGIES S.A.S</t>
  </si>
  <si>
    <t>Carrera 7 # 155c - 20</t>
  </si>
  <si>
    <t>avargas@indigo.tech</t>
  </si>
  <si>
    <t>HAMIR ORTIZ CRUZ</t>
  </si>
  <si>
    <t>hamirc93@gamil.com</t>
  </si>
  <si>
    <t>LUISA FERNANDA RAMIREZ MONTOYA</t>
  </si>
  <si>
    <t>luisafw123@gmail.com</t>
  </si>
  <si>
    <t>GERDI DISTRIBUCIONES SAS</t>
  </si>
  <si>
    <t>carrera 15 3 32</t>
  </si>
  <si>
    <t>gerdidistribuciones.sgsst@gmail.com</t>
  </si>
  <si>
    <t>28/01/2023</t>
  </si>
  <si>
    <t>27/07/2023</t>
  </si>
  <si>
    <t>SEBASTIAN RENDON VARGAS</t>
  </si>
  <si>
    <t>sereva8501@gmail.com</t>
  </si>
  <si>
    <t>SEBASTIAN RIVERA RIVERA</t>
  </si>
  <si>
    <t>sebascruzmusic@gmail.com</t>
  </si>
  <si>
    <t>CLÌNICA MEDILASER S.A.S</t>
  </si>
  <si>
    <t xml:space="preserve"> Calle 12 N 6-49</t>
  </si>
  <si>
    <t xml:space="preserve"> miosorioc@medilaser.com.co</t>
  </si>
  <si>
    <t>Si tiene seguimiento  revisado 03/03/2023</t>
  </si>
  <si>
    <t>MANUEL FERNANDO MACIAS DELGADO</t>
  </si>
  <si>
    <t>manuel.macias11@misena.edu.co</t>
  </si>
  <si>
    <t>CLL 47 # 1 D - 84 (NEIVA)</t>
  </si>
  <si>
    <t>YOLANDA BERMEO TRUJILLO</t>
  </si>
  <si>
    <t>yolandabermeotrujillo@gmail.com</t>
  </si>
  <si>
    <t>INTERASEO</t>
  </si>
  <si>
    <t>CALLE 6  7-23</t>
  </si>
  <si>
    <t>Jesus David Calderón</t>
  </si>
  <si>
    <t>10 MARZO 2023</t>
  </si>
  <si>
    <t>CRISTIAN CAMILO PICHICA SALAZAR</t>
  </si>
  <si>
    <t>JOHAN SEBASTIAN PINZON AYALA</t>
  </si>
  <si>
    <t>johsebtorfer@gmail.com</t>
  </si>
  <si>
    <t>Liceo Don Bosco</t>
  </si>
  <si>
    <t>salesianoliceodonbosco@gmail.com</t>
  </si>
  <si>
    <t>20/02/2023</t>
  </si>
  <si>
    <t>19/09/2023</t>
  </si>
  <si>
    <t>YERSON CERON CARVAJAL</t>
  </si>
  <si>
    <t>JUAN FELIPE IMBACHI BURBANO</t>
  </si>
  <si>
    <t>YASLEDY VARGAS CONDA</t>
  </si>
  <si>
    <t>JHON ERIK BERMUDEZ BARRERA</t>
  </si>
  <si>
    <t>JOHAN SEBASTIAN TORRES FERNANDEZ</t>
  </si>
  <si>
    <t>20/20/2023</t>
  </si>
  <si>
    <t>AUDONIAS PENAGOS SEMANATE</t>
  </si>
  <si>
    <t>audopenagos03@gmail.com</t>
  </si>
  <si>
    <t>PROINGENIERÌA S.A.S.</t>
  </si>
  <si>
    <t>AVENIDA 3 N° 18 - 55 SUR</t>
  </si>
  <si>
    <t>proingenieriadelhuila@gmail.com</t>
  </si>
  <si>
    <t>KAROL DAYANNA RAMIREZ ABAUNZA</t>
  </si>
  <si>
    <t>ka2421737@gmail.com</t>
  </si>
  <si>
    <t>ACEVEDO</t>
  </si>
  <si>
    <t>ESE HOSPITAL SAN FRANSCISCO JAVIER</t>
  </si>
  <si>
    <t>CRRA 3 9-47</t>
  </si>
  <si>
    <t>hsanfrancisco@eseacevedo-huila.gov.co</t>
  </si>
  <si>
    <t>CLAUDIA PARRA</t>
  </si>
  <si>
    <t>CRISTIAN DAVID NUÑEZ URBANO</t>
  </si>
  <si>
    <t>debe 18 resultados... Revisado 21/12/2022</t>
  </si>
  <si>
    <t>DAYANA LIZETH CLAROS CAICEDO</t>
  </si>
  <si>
    <t>claroscaicedodayana@gmail.com</t>
  </si>
  <si>
    <t xml:space="preserve">ACEVEDO </t>
  </si>
  <si>
    <t>HOSPITAL SAN FRANCISCO JAVIER.</t>
  </si>
  <si>
    <t>13/10/2022</t>
  </si>
  <si>
    <t>JAIDER GHEFREY GALINDO TUQUERRES</t>
  </si>
  <si>
    <t>jaiderghefreygalindotuquerres@gmail.com</t>
  </si>
  <si>
    <t>CONECTTIC SAS</t>
  </si>
  <si>
    <t>CALLE 4 N 1B-21</t>
  </si>
  <si>
    <t>atencionalcliente.conecttic@gmail.com</t>
  </si>
  <si>
    <t>Si tiene seguimiento  revisado 08/03/2023</t>
  </si>
  <si>
    <t>KERLY JHOANA VARGAS SALINAS</t>
  </si>
  <si>
    <t xml:space="preserve"> JHOANAVASA@GMAIL.COM</t>
  </si>
  <si>
    <t>SINERGY SOLUCIONES INTEGRALES SAS</t>
  </si>
  <si>
    <t>calle 4 N 2-28</t>
  </si>
  <si>
    <t xml:space="preserve"> recursoshumanos@sinergy.com.co</t>
  </si>
  <si>
    <t>YAMILET MENESES MENESES</t>
  </si>
  <si>
    <t>DAVID FERNANDO URBANO GOMEZ</t>
  </si>
  <si>
    <t>CRISTIAN DIAZ ORTEGA</t>
  </si>
  <si>
    <t>diazzortega10@gmail.com</t>
  </si>
  <si>
    <t xml:space="preserve"> SAN JOSE DE ISNOS</t>
  </si>
  <si>
    <t xml:space="preserve"> SISTEMAS AVANZADOS EN TELECOMUNICACIONES SAS</t>
  </si>
  <si>
    <t>CALLE 10 NO 5E - 15 LOCAL 4 CONJUNTO SANTA ANA, BARRIO CAMBULOS</t>
  </si>
  <si>
    <t>contabilidadsatsas@gmail.com</t>
  </si>
  <si>
    <t>21/12/2022</t>
  </si>
  <si>
    <t xml:space="preserve"> 20/06/2023</t>
  </si>
  <si>
    <t>KAREN TATIANA IMBACHI CANTILLO</t>
  </si>
  <si>
    <t>LYL Trámites y Servicios</t>
  </si>
  <si>
    <t>lyltramitesyservicios@outlook.com</t>
  </si>
  <si>
    <t>SANTIAGO SALAZAR ASTUDILLO</t>
  </si>
  <si>
    <t>santiagoastudillo907@gmail.com</t>
  </si>
  <si>
    <t>Carrera 11 No 3 32</t>
  </si>
  <si>
    <t>gerencia@entertelecomunicaciones.com</t>
  </si>
  <si>
    <t>NESMAR LUIGUI CHAVES LOPEZ</t>
  </si>
  <si>
    <t>Luiguichavex@gmail.com</t>
  </si>
  <si>
    <t>COMPAÑIA MULTIVENTAS S.A.S. - MULTIVENTAS S.A.S.</t>
  </si>
  <si>
    <t>CALLE 121 8 43 VIA SALADO</t>
  </si>
  <si>
    <t>FUNZA</t>
  </si>
  <si>
    <t>lurregor@dsierra.com</t>
  </si>
  <si>
    <t>17/01/2023</t>
  </si>
  <si>
    <t>16/07/2023</t>
  </si>
  <si>
    <t>INSTRUCTOR</t>
  </si>
  <si>
    <t xml:space="preserve">FECHA INICIO ETAPA LECTIVA </t>
  </si>
  <si>
    <t>FECHA FIN TITULADO CON ETAPA PRODUCTIVA</t>
  </si>
  <si>
    <t>Columna3</t>
  </si>
  <si>
    <t>Columna4</t>
  </si>
  <si>
    <t>Luis Fernando Jurado</t>
  </si>
  <si>
    <t xml:space="preserve">JUAN DAVID OBANDO CHILITO
</t>
  </si>
  <si>
    <t>jdobando506@misena.edu.co</t>
  </si>
  <si>
    <t>GUACACALLO</t>
  </si>
  <si>
    <t>GRUPO PB S.A.S</t>
  </si>
  <si>
    <t>16/05/2022</t>
  </si>
  <si>
    <t>15/08/2023</t>
  </si>
  <si>
    <t xml:space="preserve">SANTIAGO CHILITO CHILITO
</t>
  </si>
  <si>
    <t xml:space="preserve"> Schilito5@misena.edu.co</t>
  </si>
  <si>
    <t>GRUPO PB S.A.S.</t>
  </si>
  <si>
    <t>cr 6 19-93</t>
  </si>
  <si>
    <t>IBAGUE</t>
  </si>
  <si>
    <t>planbibague@gmail.com</t>
  </si>
  <si>
    <t>29/06/2022</t>
  </si>
  <si>
    <t>28/12/2022</t>
  </si>
  <si>
    <t xml:space="preserve">IRNEYI YERALDIT AGREDA IJAJI
</t>
  </si>
  <si>
    <t xml:space="preserve">PASANTÍAS </t>
  </si>
  <si>
    <t>SERVICIO NACIONAL DE APRENDIZAJE SENA</t>
  </si>
  <si>
    <t xml:space="preserve">JOSE JULIAN VARGAS VARGAS
</t>
  </si>
  <si>
    <t>jjvargas602@misena.edu.co</t>
  </si>
  <si>
    <t xml:space="preserve">CONFENALCO TOLIMA </t>
  </si>
  <si>
    <t xml:space="preserve">CARRERA 5 CALLE 37 ESQUINA </t>
  </si>
  <si>
    <t xml:space="preserve">TOLIMA </t>
  </si>
  <si>
    <t>MARIA CAMILA ARTUNDUAGA GARCIA</t>
  </si>
  <si>
    <t>Mariacamila1603@gmail.com</t>
  </si>
  <si>
    <t>KAREN DAYANA MADRIÑAN ROSERO</t>
  </si>
  <si>
    <t>karen_rosero_2004@hotmail.com</t>
  </si>
  <si>
    <t>IVANA DEL PILAR BONILLA PEREIRA</t>
  </si>
  <si>
    <t>ivanabonilla087@gmail.com</t>
  </si>
  <si>
    <t>VICTOR ALFREDO PEÑA ARANDA</t>
  </si>
  <si>
    <t>wilkersonsalazae@gmail.com</t>
  </si>
  <si>
    <t>ALEXANDRA QUIMBAYA ESPINOSA</t>
  </si>
  <si>
    <t>didierpete20@gmail.com</t>
  </si>
  <si>
    <t>FRANKITH ANDRES SALAMANCA ARTUNDUAGA</t>
  </si>
  <si>
    <t>lamanka95@gmail.com</t>
  </si>
  <si>
    <t>SAN AGUSTÍN</t>
  </si>
  <si>
    <t>CLAUDIA ALEJANDRA CALDERON BOCANEGRA</t>
  </si>
  <si>
    <t>aleja_1269@hotmail.com</t>
  </si>
  <si>
    <t>KELY DAYANNA JOVEN ROSERO</t>
  </si>
  <si>
    <t>kelly3005@outlook.es</t>
  </si>
  <si>
    <t>JUAN SEBASTIAN DUSSAN OTALVARO</t>
  </si>
  <si>
    <t>jsdussan@outlook.com</t>
  </si>
  <si>
    <t>AMPARO ANACONA PAZ</t>
  </si>
  <si>
    <t>amparoanacona3627@gmail.com</t>
  </si>
  <si>
    <t>LINDA JOHANNA CASTRO PALADINEZ</t>
  </si>
  <si>
    <t>linda.94c@gmail.com</t>
  </si>
  <si>
    <t>ANA BEATRIZ PALADINEZ STERLING</t>
  </si>
  <si>
    <t>paladinezbeatriz@gmail.com</t>
  </si>
  <si>
    <t>Nicolas Agudelo</t>
  </si>
  <si>
    <t>CONDICIONADO 30/11/2022</t>
  </si>
  <si>
    <t>CAMILO ALEJANDRO BARRERA SANCHEZ</t>
  </si>
  <si>
    <t xml:space="preserve">YUDY ALEJANDRA SILVA RODRIGUEZ
</t>
  </si>
  <si>
    <t xml:space="preserve">DUVIER SCARPETA LOZADA
</t>
  </si>
  <si>
    <t xml:space="preserve">JOSTIN ESNEYDER UNI GONZALEZ
</t>
  </si>
  <si>
    <t>ANDRES FELIPE ORDOÑEZ BURBANO</t>
  </si>
  <si>
    <t>RESTAURANTE CASA GRANDE</t>
  </si>
  <si>
    <t>VDA EL TABLON</t>
  </si>
  <si>
    <t>aldemark171@gmail.com</t>
  </si>
  <si>
    <t xml:space="preserve">JHONATAN STIVEN LASERNA ANDRADE
</t>
  </si>
  <si>
    <t>VALHALLA COFEE</t>
  </si>
  <si>
    <t>arangojhonflorez@hotmail.com</t>
  </si>
  <si>
    <t>ANDREA FERNANDA CABEZAS ANTURY</t>
  </si>
  <si>
    <t xml:space="preserve">DIANA PATRICIA GONZALEZ PRIETO
</t>
  </si>
  <si>
    <t>dianapgp12@gmail.com</t>
  </si>
  <si>
    <t xml:space="preserve"> PITALITO</t>
  </si>
  <si>
    <t>km 6 autopista floridablanca #50-33</t>
  </si>
  <si>
    <t xml:space="preserve"> etovarq@sena.edu.co</t>
  </si>
  <si>
    <t>ANDERSON SAMBONI ROJAS</t>
  </si>
  <si>
    <t>MARCELA MOLINA SCARPETTA</t>
  </si>
  <si>
    <t>molinascarpetta13@gmail.com</t>
  </si>
  <si>
    <t xml:space="preserve"> BOGOTA D.C.</t>
  </si>
  <si>
    <t>etovarq@sena.edu.co</t>
  </si>
  <si>
    <t>JUAN CARLOS LOPEZ CALDERON</t>
  </si>
  <si>
    <t>ANGEL GIOVANI VALLEJOS BOLAÑOS</t>
  </si>
  <si>
    <t>debe 2 resultados... Revisado 21/12/2022</t>
  </si>
  <si>
    <t>CRISTIAN ALEJANDRO BURBANO VARGAS</t>
  </si>
  <si>
    <t>DUVAN FELIPE PEÑA VALDERRAMA</t>
  </si>
  <si>
    <t>BREYNER ANDRES PUENTES PARRA</t>
  </si>
  <si>
    <t>debe 44 resultados... Revisado 21/12/2022</t>
  </si>
  <si>
    <t>JOHANA VALENTINA LUNA LUNA</t>
  </si>
  <si>
    <t>JUAN DIEGO ARISTIZABAL MARTINEZ</t>
  </si>
  <si>
    <t>DIDIER PAIVA JACOBO</t>
  </si>
  <si>
    <t>JHOYNER STIVEN MARTINEZ VARGAS</t>
  </si>
  <si>
    <t>LAURA JIMENA QUEZADA MANRIQUE</t>
  </si>
  <si>
    <t>JULIAN DAVID RINCON LOZANO</t>
  </si>
  <si>
    <t>ANDRES FELIPE MUÑOZ QUILINDO</t>
  </si>
  <si>
    <t>andres.felipe986335@gmail.com</t>
  </si>
  <si>
    <t>ALBA JUDITH NARVAEZ LOZADA/COLEGIO LICEO FREIRE</t>
  </si>
  <si>
    <t>km 4 via a timana</t>
  </si>
  <si>
    <t>freireliceo@gmail.com</t>
  </si>
  <si>
    <t>17/07/2023</t>
  </si>
  <si>
    <t>JAROL ESNITH ZAPATA SANCHEZ</t>
  </si>
  <si>
    <t>JUAN DIEGO CORTES OSPINA</t>
  </si>
  <si>
    <t>LAURA ISABEL CUELLAR NUÑEZ</t>
  </si>
  <si>
    <t>JUAN FELIPE CHILITO ANACONA</t>
  </si>
  <si>
    <t>debe 41 resultados... Revisado 21/12/2022</t>
  </si>
  <si>
    <t>SHIRLEY PAOLA HERRERA IPUANA</t>
  </si>
  <si>
    <t>GIAN PIERRE PARRA BUSTOS</t>
  </si>
  <si>
    <t>CARLOS CHRISTIAN DIAZ IMBACHI</t>
  </si>
  <si>
    <t>MARCELA PIEDAD RODRIGUEZ CARLOSAMA</t>
  </si>
  <si>
    <t>JHONIER FELIPE MOTTA LOPEZ</t>
  </si>
  <si>
    <t>COCINA.</t>
  </si>
  <si>
    <t>JORGE LUIS TORRENTE ROJAS</t>
  </si>
  <si>
    <t>NATALIA BEDOYA TORRES</t>
  </si>
  <si>
    <t>Pendientes resultados de etapa lectiva</t>
  </si>
  <si>
    <t>ELIZABETH SALINAS PEREZ</t>
  </si>
  <si>
    <t>DALIXON ULCUE GOMEZ</t>
  </si>
  <si>
    <t>YERLANY MARTINEZ SCARPETTA</t>
  </si>
  <si>
    <t>LINA MARIA CLAROS AGUILERA</t>
  </si>
  <si>
    <t>CARLOS SAHID HERMIDA IZQUIERDO</t>
  </si>
  <si>
    <t>YILENI SAMBONI SAMBONI</t>
  </si>
  <si>
    <t>LINDA CAMILA NUÑEZ CALDERON</t>
  </si>
  <si>
    <t>JESUS DAVID VARGAS CLAROS</t>
  </si>
  <si>
    <t>ANDRES DAMIAN RAMOS MURCIA</t>
  </si>
  <si>
    <t>ANYELI PATRICIA GASCA COLLAZOS</t>
  </si>
  <si>
    <t>CRISTIAN LEONARDO RIVERA GAVIRIA</t>
  </si>
  <si>
    <t xml:space="preserve">Heyi Fernanda Vargas </t>
  </si>
  <si>
    <t>MAYRA ALEJANDRA MUÑOZ MUÑOZ</t>
  </si>
  <si>
    <t>Munozmayraalejandra45@gmail.com</t>
  </si>
  <si>
    <t>Vereda Las Eras</t>
  </si>
  <si>
    <t>TIERRA ACTIVA TURISMO CONSCIENTE</t>
  </si>
  <si>
    <t>VEREDA PURUTAL</t>
  </si>
  <si>
    <t>30/09/2023</t>
  </si>
  <si>
    <t xml:space="preserve">04 abril, Asignaciòn instructora Heyi Fernanda Vargas </t>
  </si>
  <si>
    <t>LUIS MANUEL LOSADA MUÑOZ</t>
  </si>
  <si>
    <t>lis</t>
  </si>
  <si>
    <t>Insructor asignado 31-03-2023</t>
  </si>
  <si>
    <t>INSTRUCTORSeguimiento</t>
  </si>
  <si>
    <t xml:space="preserve">Evaluado resultado </t>
  </si>
  <si>
    <t xml:space="preserve">carlos sanches </t>
  </si>
  <si>
    <t>YESID MARQUIN BELTRAN</t>
  </si>
  <si>
    <t>3103436000 - 3223921875</t>
  </si>
  <si>
    <t>marquinbeltranyesid@gmail.com</t>
  </si>
  <si>
    <t>FINCA LA PRIMAVERA</t>
  </si>
  <si>
    <t>Vda Fundador Palestina</t>
  </si>
  <si>
    <t>Yamid Andres Viuche</t>
  </si>
  <si>
    <t>DANIEL FELIPE DIAZ VEGA</t>
  </si>
  <si>
    <t>danielfelipediazvega5@gmail.com</t>
  </si>
  <si>
    <t>APOYO A UNA INSTITUCIÓN  ESTATAL MUNICIPAL,VEREDAL, ONG</t>
  </si>
  <si>
    <t>Yamboró</t>
  </si>
  <si>
    <t>ANGIE NATALI ERAZO MURILLO</t>
  </si>
  <si>
    <t>LUZ ADRIANA ZUÑIGA ESPINOSA</t>
  </si>
  <si>
    <t>CLL 2 #1B-SS B QUINCHE</t>
  </si>
  <si>
    <t>cofedanjoaquin@gmail.com</t>
  </si>
  <si>
    <t>DIANA AVILA - Inicial y bitácoras del 1 al 6... Revisado 07/12/2022</t>
  </si>
  <si>
    <t>CRISTIAN DAVID PEREZ TORRES</t>
  </si>
  <si>
    <t>cristiandavidpereztorres@gmail.com</t>
  </si>
  <si>
    <t>Tiene   acuerdo de voluntades, falta  seguimiento,  bitácoras..Revisado 02/03/2022</t>
  </si>
  <si>
    <t>Jorge Alberto Garzón</t>
  </si>
  <si>
    <t>CAROLINA PINO LOZADA</t>
  </si>
  <si>
    <t>capilo28@hotmail.com</t>
  </si>
  <si>
    <t xml:space="preserve">cCONTRATO DE APRENDIZAJE </t>
  </si>
  <si>
    <t>CALLE 84 N° 10-33 oficina 901</t>
  </si>
  <si>
    <t>Diana Avila  - Subió Bitácoras del 1 al 5... revisado 07/12/2022</t>
  </si>
  <si>
    <t xml:space="preserve">LEYDI ASTRID TULCAN URBANO
</t>
  </si>
  <si>
    <t>astridtulcan@gmail.com</t>
  </si>
  <si>
    <t xml:space="preserve">03 abril, Los documentos estan completos, evaluada en Sofia Plus y certificar </t>
  </si>
  <si>
    <t>DIANA LORENA AVILA DUSSAN - Asignada Subió parcial, Bitácoras 1,2,3,4, y 5 ... Revisado 29/07/2022 - Subió Parcial y bitácoras del 6 al 12... Revisado 07/12/2022</t>
  </si>
  <si>
    <t>MARIA VICTORIA VARGAS VASQUEZ</t>
  </si>
  <si>
    <t>MILAN PANADERIA Y PASTELERIA</t>
  </si>
  <si>
    <t>CLL 6E N° 11B-23 BARRIO PORTAL DE MARIA FACATATIVA CUNDINAMARCA</t>
  </si>
  <si>
    <t>FACATATIVA</t>
  </si>
  <si>
    <t>fernandojavierguio@gmail.com</t>
  </si>
  <si>
    <t>Diana Avila  - Subió Bitácoras del 1 al 5... revisado 07/12/2022 - Subió Parcial y bitácorasd del 1 al 8... Revisado 29/12/2022</t>
  </si>
  <si>
    <t xml:space="preserve">asignar </t>
  </si>
  <si>
    <t xml:space="preserve">YESSICA ANDREA GAVIRIA PERDOMO
</t>
  </si>
  <si>
    <t>LE PETIT COFEE</t>
  </si>
  <si>
    <t>jhorajas@gmail.com</t>
  </si>
  <si>
    <r>
      <rPr>
        <sz val="8"/>
        <color rgb="FF000000"/>
        <rFont val="Arial"/>
        <family val="2"/>
      </rPr>
      <t>Tiene Acuerdo de Voluntades, inicial, Parcial y bitácoras 1,2,3,4,5 ,6,7,8...</t>
    </r>
    <r>
      <rPr>
        <sz val="8"/>
        <color rgb="FFFF0000"/>
        <rFont val="Arial"/>
        <family val="2"/>
      </rPr>
      <t xml:space="preserve"> Falta final certificación y bitácoras 9,10,11 y 12 .</t>
    </r>
    <r>
      <rPr>
        <sz val="8"/>
        <color rgb="FF000000"/>
        <rFont val="Arial"/>
        <family val="2"/>
      </rPr>
      <t>.. Revisado 29/12/2022</t>
    </r>
  </si>
  <si>
    <t>Diana Avila  - Subió Bitácoras del 1 al 6... revisado 07/12/2022 - Normal - Subió inical, Parcial y bitácoras del 1 al 8... Revisado 29/12/2022</t>
  </si>
  <si>
    <t xml:space="preserve">Diana Ávila- Asignada </t>
  </si>
  <si>
    <t>NO tiene seguimiento 05/09/2022</t>
  </si>
  <si>
    <t xml:space="preserve">LISA MILDRETH GRUESO RENZA
</t>
  </si>
  <si>
    <t xml:space="preserve">GALLARDIA CAFE ESPECIAL </t>
  </si>
  <si>
    <t>CARRERA 13 N° 2-06</t>
  </si>
  <si>
    <t>mega-765@hotmail.com</t>
  </si>
  <si>
    <t xml:space="preserve">FLOR YISELA SANTOFIMIO DIAZ
</t>
  </si>
  <si>
    <t xml:space="preserve">carlos sanchez </t>
  </si>
  <si>
    <t>BAIRON ESTIVEN ALVAREZ CLAROS</t>
  </si>
  <si>
    <t>alvarezestiven2409@gmail.com</t>
  </si>
  <si>
    <t>AGGRICOALDANAAAA S.A.S</t>
  </si>
  <si>
    <t>CALLE 7 N° 5 - 76</t>
  </si>
  <si>
    <t xml:space="preserve">CALLE 7 NO  5 75
</t>
  </si>
  <si>
    <r>
      <rPr>
        <sz val="10"/>
        <color rgb="FF000000"/>
        <rFont val="Arial"/>
        <family val="2"/>
      </rPr>
      <t xml:space="preserve">Tiene contrato de aprendizaje, Incial y bitácoras 1 y 2 ... </t>
    </r>
    <r>
      <rPr>
        <sz val="10"/>
        <color rgb="FFFF0000"/>
        <rFont val="Arial"/>
        <family val="2"/>
      </rPr>
      <t>Falta parcial, final, certificación y bitácoras 3,4,5,6,7,8,9,10,11 y 12</t>
    </r>
    <r>
      <rPr>
        <sz val="10"/>
        <color rgb="FF000000"/>
        <rFont val="Arial"/>
        <family val="2"/>
      </rPr>
      <t xml:space="preserve"> ... Revisado 16/08/2022 </t>
    </r>
  </si>
  <si>
    <t>Carlos Alberto Sánchez Cruz - Subió Inicial y bitácoras 1y 2 ... Revisado 16/08/2022</t>
  </si>
  <si>
    <t>SI tiene seguimiento 16/08/2022</t>
  </si>
  <si>
    <t xml:space="preserve">Carlos Alberto Sanchez Cruz
</t>
  </si>
  <si>
    <t>YEFERSON PIAMBA SANCHEZ</t>
  </si>
  <si>
    <t>jeffersonpiamba10@gmail.com</t>
  </si>
  <si>
    <t>Centro de Gestión y Desarrollo Sostenible Surcolombiano sede Yamboró - CGDSS</t>
  </si>
  <si>
    <r>
      <rPr>
        <sz val="10"/>
        <color theme="1"/>
        <rFont val="Arial"/>
        <family val="2"/>
      </rPr>
      <t>Tiene Acuerdo de Voluntades, Inicial ..</t>
    </r>
    <r>
      <rPr>
        <sz val="10"/>
        <color rgb="FFFF0000"/>
        <rFont val="Arial"/>
        <family val="2"/>
      </rPr>
      <t>. Falta parcial, final, certificación y bitácoras 1,2,3,4,5,6,7,8,9,10,11 y 12</t>
    </r>
    <r>
      <rPr>
        <sz val="10"/>
        <color theme="1"/>
        <rFont val="Arial"/>
        <family val="2"/>
      </rPr>
      <t xml:space="preserve"> ... Revisado 09/09/2022</t>
    </r>
  </si>
  <si>
    <t xml:space="preserve">Carlos Alberto Sánchez Cruz - WALTER ROBINSON HERRERA PEÑA - ASIGNADO - Subió 2 Inicial... Revisado 30/08/2022
</t>
  </si>
  <si>
    <t>SI tiene seguimiento 30/08/2022</t>
  </si>
  <si>
    <t>JUAN ESTEBAN GARCIA JIMENEZ</t>
  </si>
  <si>
    <t>juanestabangarciajimenez @gmail.com</t>
  </si>
  <si>
    <t xml:space="preserve">JESUS FERNADEZ DULCE </t>
  </si>
  <si>
    <t>PARCELA 1 VDA SAN FRANCISCO GUACA- PITALITO</t>
  </si>
  <si>
    <t>03 abril Documentos completos, evaluado Sofia plus y certificar</t>
  </si>
  <si>
    <t>Walter Robinson Herrera Peña</t>
  </si>
  <si>
    <t>No tiene seguimiento 27/07/2022</t>
  </si>
  <si>
    <t>Aprobado</t>
  </si>
  <si>
    <t>ANGIE NATALIA ORTIZ SAMBONI</t>
  </si>
  <si>
    <t>DURAZNO AGROECOLOGICO RESERVA EL PURACE S.A.S</t>
  </si>
  <si>
    <t>CLL 13B No 4-72,</t>
  </si>
  <si>
    <t xml:space="preserve">ISNOS </t>
  </si>
  <si>
    <t>Agroinsumospurace07@gmail.com</t>
  </si>
  <si>
    <t xml:space="preserve">03 abril, la aprendiz tiene todos los documentos, evaluada sofia plus y certificar </t>
  </si>
  <si>
    <t>ANA MARIA REALPE CERON</t>
  </si>
  <si>
    <t>amrealpe39@misena.edu.co</t>
  </si>
  <si>
    <t xml:space="preserve">MUNDO ANIMAL ISNOS </t>
  </si>
  <si>
    <t xml:space="preserve">CARRERA 4 N° 6- 50 LC 2 </t>
  </si>
  <si>
    <t>leosamboni2705@gmail.com</t>
  </si>
  <si>
    <r>
      <rPr>
        <sz val="10"/>
        <color rgb="FF000000"/>
        <rFont val="Arial"/>
        <family val="2"/>
      </rPr>
      <t>Tiene Acuerdo de Voluntades, Parcial ..</t>
    </r>
    <r>
      <rPr>
        <sz val="10"/>
        <color rgb="FFFF0000"/>
        <rFont val="Arial"/>
        <family val="2"/>
      </rPr>
      <t>. Falta final, certificación y bitácoras 1,2,3,4,5,6,7,8,9,10,11 y 12</t>
    </r>
    <r>
      <rPr>
        <sz val="10"/>
        <color rgb="FF000000"/>
        <rFont val="Arial"/>
        <family val="2"/>
      </rPr>
      <t xml:space="preserve"> ... Revisado 26/08/2022</t>
    </r>
  </si>
  <si>
    <t>Walter Robinson Herrera Peña - Subió Parcial  ... Revisado 26/08/2022</t>
  </si>
  <si>
    <t xml:space="preserve">SI tiene seguimiento 26/08/2022
</t>
  </si>
  <si>
    <t>OSCAR NICOLAS YEPES ORTIZ</t>
  </si>
  <si>
    <t>nicoyepes.17@gmail.com</t>
  </si>
  <si>
    <t xml:space="preserve">MULTIAGRO´S </t>
  </si>
  <si>
    <t>multiagropitalito@gmail.com</t>
  </si>
  <si>
    <t>ADRIANA CHAVARRO MOLINA</t>
  </si>
  <si>
    <t>chavarroadrigmail.com</t>
  </si>
  <si>
    <t>SALADO BLANCO</t>
  </si>
  <si>
    <t>CARLOA ALBERTO PEÑA VALENZUELA</t>
  </si>
  <si>
    <t>Cr 5 # 1-42</t>
  </si>
  <si>
    <t>3137436141-3138954028</t>
  </si>
  <si>
    <r>
      <rPr>
        <sz val="10"/>
        <color theme="1"/>
        <rFont val="Arial"/>
        <family val="2"/>
      </rPr>
      <t>Tiene Acuerdo de Voluntades, Parcial...</t>
    </r>
    <r>
      <rPr>
        <sz val="10"/>
        <color rgb="FFFF0000"/>
        <rFont val="Arial"/>
        <family val="2"/>
      </rPr>
      <t>. Falta final, certificación y bitácoras 1,2,3,4,5,6,7,8,9,10,11 y 12</t>
    </r>
    <r>
      <rPr>
        <sz val="10"/>
        <color theme="1"/>
        <rFont val="Arial"/>
        <family val="2"/>
      </rPr>
      <t xml:space="preserve"> ... Revisado 26/08/2022</t>
    </r>
  </si>
  <si>
    <t>Walter Robinson Herrera Peña - Subió Inicial ... Revisado 26/08/2022</t>
  </si>
  <si>
    <t>KAREN ANDREA ANACONA VALENCIA</t>
  </si>
  <si>
    <t>karenandreaanaconavalencia@gmail.com</t>
  </si>
  <si>
    <t xml:space="preserve">PALESTINA </t>
  </si>
  <si>
    <t>BANCO W S.A.</t>
  </si>
  <si>
    <t>03 abril, Documentos completos, evaluada Sofia plus</t>
  </si>
  <si>
    <t>Eduardo triana</t>
  </si>
  <si>
    <t xml:space="preserve">NORMA CHINCHILLA </t>
  </si>
  <si>
    <t>DANA SOLENIA LOPEZ VALENCIA</t>
  </si>
  <si>
    <t>dslopez15@misena.edu.co</t>
  </si>
  <si>
    <t>FERVICAMPO</t>
  </si>
  <si>
    <t>fervicamposas@gmail.com</t>
  </si>
  <si>
    <t>03 abril/ Ya tiene todos los documentos; evaluada sofia plus y certificar</t>
  </si>
  <si>
    <t>Walter Robinson Herrera Peña - Subió Inicial ... Revisado 26/08/2022 - Inicial corregido... Revisado 30/08/2022</t>
  </si>
  <si>
    <t xml:space="preserve">Eduardo Triana </t>
  </si>
  <si>
    <t>DANIELA FERNANDA ROJAS BUITRON</t>
  </si>
  <si>
    <t>NUTREABONOS</t>
  </si>
  <si>
    <t>nutreabonosdecolombia@gmail.com</t>
  </si>
  <si>
    <r>
      <rPr>
        <sz val="10"/>
        <color theme="1"/>
        <rFont val="Arial"/>
        <family val="2"/>
      </rPr>
      <t xml:space="preserve">Tiene acuerdo de voluntades,  Inicial, bitácora 1 .... </t>
    </r>
    <r>
      <rPr>
        <sz val="10"/>
        <color rgb="FFFF0000"/>
        <rFont val="Arial"/>
        <family val="2"/>
      </rPr>
      <t>Falta parcial, final, certificación y bitácoras 2,3,4,5,6,7,8,9,10,11 y12</t>
    </r>
    <r>
      <rPr>
        <sz val="10"/>
        <color theme="1"/>
        <rFont val="Arial"/>
        <family val="2"/>
      </rPr>
      <t xml:space="preserve"> ... Revisado 16/08/2022</t>
    </r>
  </si>
  <si>
    <t xml:space="preserve">Carlos Alberto Sánchez Cruz - Subió inicial y bitácora 1 ... Revisado 16/08/2022  Arelis Criollo- Asignada 
</t>
  </si>
  <si>
    <t>MARLEY BUITRON BUITRON</t>
  </si>
  <si>
    <t>ALMACENES GENERALES DE DEPOSITO DE CAFE S A ALMACAFE</t>
  </si>
  <si>
    <t>03 abril, Documentos completos,  evaluada y solicite el certificado</t>
  </si>
  <si>
    <t xml:space="preserve">Aprobado </t>
  </si>
  <si>
    <t>JOHAN DAVID CALDERON BUITRON</t>
  </si>
  <si>
    <t xml:space="preserve">CENTRO DE GESTIÓN Y DESARROLLO SOSTENIBLE SUR COLOMBIANO SENA </t>
  </si>
  <si>
    <t>No tiene seguimiento 03/08/2022</t>
  </si>
  <si>
    <t>TANIA ALEJANDRA MENDOZA MEDINA</t>
  </si>
  <si>
    <r>
      <rPr>
        <sz val="10"/>
        <color rgb="FF000000"/>
        <rFont val="Arial"/>
        <family val="2"/>
      </rPr>
      <t>Tiene Acuerdo de Voluntades, Inicial...</t>
    </r>
    <r>
      <rPr>
        <sz val="10"/>
        <color rgb="FFFF0000"/>
        <rFont val="Arial"/>
        <family val="2"/>
      </rPr>
      <t>. Falta parcial, final, certificación y bitácoras 1,2,3,4,5,6,7,8,9,10,11 y 12</t>
    </r>
    <r>
      <rPr>
        <sz val="10"/>
        <color rgb="FF000000"/>
        <rFont val="Arial"/>
        <family val="2"/>
      </rPr>
      <t xml:space="preserve"> ... Revisado 26/08/2022</t>
    </r>
  </si>
  <si>
    <t>Walter Robinson Herrera Peña - Subió Inicial... Revisado 26/08/2022</t>
  </si>
  <si>
    <r>
      <rPr>
        <sz val="10"/>
        <color rgb="FFEA4335"/>
        <rFont val="Arial"/>
        <family val="2"/>
      </rPr>
      <t>SI tiene seguimiento.</t>
    </r>
    <r>
      <rPr>
        <sz val="10"/>
        <color theme="1"/>
        <rFont val="Arial"/>
        <family val="2"/>
      </rPr>
      <t>.. Revisado 26/08/2022</t>
    </r>
  </si>
  <si>
    <t>SHIRLEY GONZALEZ PLAZA</t>
  </si>
  <si>
    <t xml:space="preserve">AGROINSUMOS DEL CAFE S.A </t>
  </si>
  <si>
    <t xml:space="preserve">CALLE 73 N° 8 - 113 TORRE APISO 4 </t>
  </si>
  <si>
    <t xml:space="preserve">angely.diaz@agrocafe.com
</t>
  </si>
  <si>
    <r>
      <rPr>
        <sz val="10"/>
        <color rgb="FF000000"/>
        <rFont val="Arial"/>
        <family val="2"/>
      </rPr>
      <t>Tiene Contrato del Aprendiz, inicial, bitácoras 1 y 2 ...</t>
    </r>
    <r>
      <rPr>
        <sz val="10"/>
        <color rgb="FFFF0000"/>
        <rFont val="Arial"/>
        <family val="2"/>
      </rPr>
      <t xml:space="preserve">. Falta parcial, final, certificacioin y bitácoras  3,4,5,6,7,8,9,10,11 y 12 </t>
    </r>
    <r>
      <rPr>
        <sz val="10"/>
        <color rgb="FF000000"/>
        <rFont val="Arial"/>
        <family val="2"/>
      </rPr>
      <t>... Revisado 02/08/2022.</t>
    </r>
  </si>
  <si>
    <t>ARELIS CRIOLLO - Asignada - Subió Inicial y bitácoras 1 y 2... 02/09/2022... Revisado 02/09/2022</t>
  </si>
  <si>
    <r>
      <rPr>
        <sz val="10"/>
        <color rgb="FFEA4335"/>
        <rFont val="Arial"/>
        <family val="2"/>
      </rPr>
      <t xml:space="preserve">SI tiene seguimiento </t>
    </r>
    <r>
      <rPr>
        <sz val="10"/>
        <color theme="1"/>
        <rFont val="Arial"/>
        <family val="2"/>
      </rPr>
      <t>02/09/2022</t>
    </r>
  </si>
  <si>
    <t>Arelis  Criollo Criollo</t>
  </si>
  <si>
    <t>DANIELA CUSPIAN JIMENEZ</t>
  </si>
  <si>
    <t>RAMIREZ TRUJILLO GABRIEL JAIME JOSE BERNARDO</t>
  </si>
  <si>
    <t xml:space="preserve">ARELIS CRIOLLO - Asignada </t>
  </si>
  <si>
    <t>YULEXY LORENA CUELLAR ALVAREZ</t>
  </si>
  <si>
    <t>yulexy.lo22@gmail.com</t>
  </si>
  <si>
    <t>JORGE ANDRES VIDAL CORREA</t>
  </si>
  <si>
    <t>DIEGO FERNANDO RUIZ MAMIAN</t>
  </si>
  <si>
    <t>FERNANDO CRUZ ORDOÑEZ</t>
  </si>
  <si>
    <t>APLAZADO  30/11/2022</t>
  </si>
  <si>
    <t>JEAN CARLOS MAZABEL CABRERA</t>
  </si>
  <si>
    <t>DIEGO ALEJANDRO CRUZ AMAYA</t>
  </si>
  <si>
    <t>DIEGO FERNANDO ANACONA GUAÑARITA</t>
  </si>
  <si>
    <t>nelcy</t>
  </si>
  <si>
    <t>OMAR JULIAN ROJAS RODRIGUEZ</t>
  </si>
  <si>
    <t>JUAN DIEGO BERMUDES VARGAS</t>
  </si>
  <si>
    <t>CAFÉ KMANA S.A.S</t>
  </si>
  <si>
    <t>TIMANÁ</t>
  </si>
  <si>
    <t xml:space="preserve"> 15/05/2021</t>
  </si>
  <si>
    <t>14/11/2021</t>
  </si>
  <si>
    <t>CARLOS ANDRES CARDONA BETANCURT</t>
  </si>
  <si>
    <t>ANDERSON JHAID PENAGOS RAMIEZ</t>
  </si>
  <si>
    <t>JESUS FELIPE OSORIO STERLING</t>
  </si>
  <si>
    <t>DIANA CRISTINA VARGAS SANCHEZ</t>
  </si>
  <si>
    <t>JUAN FELIPE FIGUEROA CABRERA</t>
  </si>
  <si>
    <t>NINI JOHANA MUÑOZ TORRES</t>
  </si>
  <si>
    <t>HAROLD LUIGI GAMA PEÑA</t>
  </si>
  <si>
    <t>WILFRAN ALEXANDER VARGAS OSORIO</t>
  </si>
  <si>
    <t>LINA MARIA ROJAS CASTRILLON</t>
  </si>
  <si>
    <t>ERIKA YURLANY TOVAR PERDOMO</t>
  </si>
  <si>
    <t>erikaperdomo62@gmail.com</t>
  </si>
  <si>
    <t>DORA CECILIA PAPAMIJA ANACONA</t>
  </si>
  <si>
    <t>ceciliapapamija@gmail.com</t>
  </si>
  <si>
    <t>MARLY MOLINA MUÑOZ</t>
  </si>
  <si>
    <t>marlymolina1212@gmail.com</t>
  </si>
  <si>
    <t>ANDRITH JULIETH BOLAÑOS CHAVEZ</t>
  </si>
  <si>
    <t>andrijuliet2012@hotmail.com</t>
  </si>
  <si>
    <t>YUDI JIMENA RUBIANO TIERRADENTRO</t>
  </si>
  <si>
    <t>DAIRON ALEXIS PERAFAN SOTELO</t>
  </si>
  <si>
    <t>dairon500pino@hotmail.com</t>
  </si>
  <si>
    <t>WALTER OVEIMAR CHITO ACOSTA</t>
  </si>
  <si>
    <t>MIGUEL ANGEL NOGUERA CERON</t>
  </si>
  <si>
    <t>nogueramiguel8@gmail.com</t>
  </si>
  <si>
    <t>CARLOS MANUEL VALDERRAMA SAMBONY</t>
  </si>
  <si>
    <t>valderramac912@gmail.com</t>
  </si>
  <si>
    <t>Oporapa</t>
  </si>
  <si>
    <t>VANESA ALEJANDRA GAMBOA MARTINEZ</t>
  </si>
  <si>
    <t>LAURA VALENTINA CORDOBA MOLINA</t>
  </si>
  <si>
    <t>OSCAR IVAN SILVA SALINAS</t>
  </si>
  <si>
    <t>MARIA ALEJANDRA SANCHEZ NARVAEZ</t>
  </si>
  <si>
    <t>CLAUDIA CATALINA JIMENEZ PLAZA</t>
  </si>
  <si>
    <t>CAWORKING LOS JUANAS CAFÉ SAS</t>
  </si>
  <si>
    <t>CRRA 6 N° 7-61 CENTRO</t>
  </si>
  <si>
    <t>lasjuanascafep@gmail.com</t>
  </si>
  <si>
    <t>norma - Subió Parcial y bitácoras 6,7,8.. Revisado 29/12/2022</t>
  </si>
  <si>
    <t>Diana Ávila- Subió Inicial y bitácoras del 1 al 3... Revisado 07/12/2022</t>
  </si>
  <si>
    <t>Norma Comunicadora</t>
  </si>
  <si>
    <t>PAULA TATIANA CASTRO MOLANO</t>
  </si>
  <si>
    <t>a COWORKING
LAS JUANAS CAFÉ SAS</t>
  </si>
  <si>
    <t>carrera 6 # 7-61 centro</t>
  </si>
  <si>
    <t>21/06/2023</t>
  </si>
  <si>
    <t>MAYCOL YOHAN CORDOBA MOLINA</t>
  </si>
  <si>
    <t>JEAN CARLOS ROMERO MUÑOZ</t>
  </si>
  <si>
    <t>DARLY LIZETH COLLAZOS ANACONA</t>
  </si>
  <si>
    <t>LETY KARINE ROSALES BENAVIDES</t>
  </si>
  <si>
    <t>EVER DANIEL LEYTON MUÑOZ</t>
  </si>
  <si>
    <t>GINA BANESSA CRUZ MUTIS</t>
  </si>
  <si>
    <t>SAIR ANTONIO TROAQUERO DOMINGUEZ</t>
  </si>
  <si>
    <t>OMAR ROLANDO SANDOVAL CAICEDO</t>
  </si>
  <si>
    <t xml:space="preserve">GEOVANNY ALEXANDER MORALES OCHOA
</t>
  </si>
  <si>
    <t xml:space="preserve">ANGELITH PLATA ZAMBRANO
</t>
  </si>
  <si>
    <t xml:space="preserve">ANDRES FELIPE PARRA ARTUNDUAGA
</t>
  </si>
  <si>
    <t xml:space="preserve">JHEISON ALEJANDRO VILLADIEGO SUAREZ
</t>
  </si>
  <si>
    <t xml:space="preserve">JULIAN ESTEBAN LOSADA BAQUIRO
</t>
  </si>
  <si>
    <t xml:space="preserve">YULY FERNANDA BOLAÑOS SAMBONI
</t>
  </si>
  <si>
    <t xml:space="preserve">KARINA CAVIEDES VILLEGAS
</t>
  </si>
  <si>
    <t xml:space="preserve">TATIANA MARIA TALAIGUA FERIA
</t>
  </si>
  <si>
    <t>COWORKING LAS JUANAS CAFÉ SAS</t>
  </si>
  <si>
    <r>
      <rPr>
        <sz val="8"/>
        <color rgb="FF000000"/>
        <rFont val="Arial"/>
        <family val="2"/>
      </rPr>
      <t>Tiene Acuerdo de Voluntades, Parcial y bitácoras 1,2,3,4,5,6 ...</t>
    </r>
    <r>
      <rPr>
        <sz val="8"/>
        <color rgb="FFFF0000"/>
        <rFont val="Arial"/>
        <family val="2"/>
      </rPr>
      <t xml:space="preserve"> Falta final certificación y bitácoras 7,8,9,10,11 y 12 .</t>
    </r>
    <r>
      <rPr>
        <sz val="8"/>
        <color rgb="FF000000"/>
        <rFont val="Arial"/>
        <family val="2"/>
      </rPr>
      <t>.. Revisado 29/12/2022</t>
    </r>
  </si>
  <si>
    <t>norma - Subió Parcial y bitácoras 1,2,3,4,5,6... Revisado 29/12/2022</t>
  </si>
  <si>
    <t>Diana Ávila- Subió Inicial... Revisado 07/12/2022</t>
  </si>
  <si>
    <t xml:space="preserve"> Yamid Andres Viuche</t>
  </si>
  <si>
    <t xml:space="preserve">CRISTHIAN STEVEN PLAZA GUTIERREZ
</t>
  </si>
  <si>
    <t xml:space="preserve">DANY GISELLA ORTIZ RAMIREZ
</t>
  </si>
  <si>
    <t xml:space="preserve">HERNANDO PEÑA ZUÑIGA
</t>
  </si>
  <si>
    <t xml:space="preserve">JUAN CARLOS CLAROS MOLINA
</t>
  </si>
  <si>
    <t xml:space="preserve">HUMBERTO ARIAS REYES
</t>
  </si>
  <si>
    <t xml:space="preserve">ISAIAS LEON CORDOBA
</t>
  </si>
  <si>
    <t xml:space="preserve">LEIDY VANESSA CARVAJAL GARCIA
</t>
  </si>
  <si>
    <t xml:space="preserve">LUZ ANGELA SAPUY VILLARRUEL
</t>
  </si>
  <si>
    <t>HUSBERTO MENESES PEREZ</t>
  </si>
  <si>
    <t xml:space="preserve">SANTIAGO MUÑOZ PISSO 
</t>
  </si>
  <si>
    <t xml:space="preserve">JESUS IGNACIO MALES QUIMBAYA
</t>
  </si>
  <si>
    <t xml:space="preserve">LUISA FERNANDA  MUÑOZ PISSO
</t>
  </si>
  <si>
    <t xml:space="preserve">ALCIDES QUINAYAS ORTIZ
</t>
  </si>
  <si>
    <t xml:space="preserve">KAREN TATIANA CIFUENTES RUIZ
</t>
  </si>
  <si>
    <t xml:space="preserve">JHONATAN HERNANDO RUIZ PERAFAN
</t>
  </si>
  <si>
    <t xml:space="preserve">ALBERTO HOYOS MUÑOZ
</t>
  </si>
  <si>
    <t xml:space="preserve">OSCAR IVAN HOYOS TORO
</t>
  </si>
  <si>
    <t xml:space="preserve">URIEL HERNAN ERAZO ACOSTA
</t>
  </si>
  <si>
    <t xml:space="preserve">DEIMAR GALINDEZ ORTEGA
</t>
  </si>
  <si>
    <t xml:space="preserve">CESAR AUGUSTO RUIZ SALAMANCA
</t>
  </si>
  <si>
    <t xml:space="preserve">WILDER JULIAN MUÑOZ ORTEGA
</t>
  </si>
  <si>
    <t xml:space="preserve">GLADYS  BURBANO MUÑOZ 
</t>
  </si>
  <si>
    <t xml:space="preserve">ERICK FERNANDO BRAVO URBANO
</t>
  </si>
  <si>
    <t xml:space="preserve">MERLY YULIANA  CHILITO BRAVO
</t>
  </si>
  <si>
    <t xml:space="preserve">MILTON ALEJANDRO BOLAÑOZ GALINDEZ
</t>
  </si>
  <si>
    <t xml:space="preserve">DAMIAN BOLAÑOS BOLAÑOS
</t>
  </si>
  <si>
    <t xml:space="preserve">BRAYAN ERIK CHILITO DORADO
</t>
  </si>
  <si>
    <t xml:space="preserve">YOHANA GONZALEZ GOMEZ
</t>
  </si>
  <si>
    <t xml:space="preserve">ELIANA SOFIA BENAVIDEZ MUÑOZ
</t>
  </si>
  <si>
    <t xml:space="preserve">LEIZA JOHANA BURBANO MUÑOZ
</t>
  </si>
  <si>
    <t xml:space="preserve">ANA PATRICIA HOYOS TORO
</t>
  </si>
  <si>
    <t xml:space="preserve">EDINSON MARTIN  CHITO RAMOS
</t>
  </si>
  <si>
    <t xml:space="preserve">ADRIANA LORENA  HOYOS CARLOSAMA
</t>
  </si>
  <si>
    <t xml:space="preserve">LUIS FERNANDO BENAVIDEZ GALINDEZ
</t>
  </si>
  <si>
    <t xml:space="preserve">DORLY MILDRETH ORDOÑEZ SAPUYES
</t>
  </si>
  <si>
    <t xml:space="preserve">KAREN MARYORI SALAMANCA MUÑOZ
</t>
  </si>
  <si>
    <t xml:space="preserve">OSWAL ANCISAR RODRIGUEZ IMBACHI
</t>
  </si>
  <si>
    <t xml:space="preserve">JOSE GENTIL PERALTA ORTIZ
</t>
  </si>
  <si>
    <t xml:space="preserve">PAOLA ANDREA REYES TORO
</t>
  </si>
  <si>
    <t xml:space="preserve">DISNEYDA TEJADA CULMA
</t>
  </si>
  <si>
    <t xml:space="preserve">JOSE FAIVER CHILITO BENAVIDEZ
</t>
  </si>
  <si>
    <t xml:space="preserve">HUGO WILSER MAJIN MAMIAN
</t>
  </si>
  <si>
    <t xml:space="preserve">EIMER ANTONIO URBANO MALES
</t>
  </si>
  <si>
    <t xml:space="preserve">LUIS ALFREDO CARRILLO SERRANO
</t>
  </si>
  <si>
    <t xml:space="preserve">EDISSON VERGARA JIMENEZ
</t>
  </si>
  <si>
    <t>KAREN YDALI AULLON CHILITO</t>
  </si>
  <si>
    <t>AGRO MASCOTAS SIDERENSE</t>
  </si>
  <si>
    <t>CRA 60 N° 81 SUR - 47 ESTRELLA</t>
  </si>
  <si>
    <t>LA ESTRELLA</t>
  </si>
  <si>
    <t>carlos.velez0315@gmail.com</t>
  </si>
  <si>
    <t>seguimiento urgente</t>
  </si>
  <si>
    <t>MARIA CRISTINA COLLAZOS TORRES</t>
  </si>
  <si>
    <r>
      <rPr>
        <sz val="10"/>
        <color rgb="FFFF0000"/>
        <rFont val="Arial"/>
        <family val="2"/>
      </rPr>
      <t xml:space="preserve">NO tiene legalización </t>
    </r>
    <r>
      <rPr>
        <sz val="10"/>
        <color theme="1"/>
        <rFont val="Arial"/>
        <family val="2"/>
      </rPr>
      <t xml:space="preserve">parcial .... </t>
    </r>
    <r>
      <rPr>
        <sz val="10"/>
        <color rgb="FFFF0000"/>
        <rFont val="Arial"/>
        <family val="2"/>
      </rPr>
      <t xml:space="preserve">Falta final, certificación y bitácoras 1,2,,3,4,5,6,7,8,9,10,11 y 12 </t>
    </r>
    <r>
      <rPr>
        <sz val="10"/>
        <color theme="1"/>
        <rFont val="Arial"/>
        <family val="2"/>
      </rPr>
      <t>.. Revisado 26/08/20222</t>
    </r>
  </si>
  <si>
    <t>Walter Robinson Herrera Peña - Subió Parcial .. Revisado 26/08/2022</t>
  </si>
  <si>
    <t>SI tiene seguimiento 26/08/2022</t>
  </si>
  <si>
    <t>KATERIN ZORAYA GOMEZ ESPAÑA</t>
  </si>
  <si>
    <t>GINA PAOLA MUÑOZ MEDINA</t>
  </si>
  <si>
    <t xml:space="preserve">Carlos Alberto Sánchez Cruz
</t>
  </si>
  <si>
    <t>SARA YULIETH MORALES SANABRIA</t>
  </si>
  <si>
    <t xml:space="preserve">GRUPO PRONUM S.A.S </t>
  </si>
  <si>
    <t xml:space="preserve">KM 2 BRICEÑO ZIPAQUIRA PARQUE INDUSTRIAL YIBITOC BODEGA 15 </t>
  </si>
  <si>
    <t>ZIPAQUIRÁ</t>
  </si>
  <si>
    <t xml:space="preserve">recursoshumanos@grupopronum.com
</t>
  </si>
  <si>
    <t>OSCAR DAVID VALDERRAMA TOLEDO</t>
  </si>
  <si>
    <t xml:space="preserve">ARELIS CRIOLLO </t>
  </si>
  <si>
    <t>MARIA JOSE MUÑOZ PEÑA</t>
  </si>
  <si>
    <t>DARWIN ALEXIS VARGAS QUISABONI</t>
  </si>
  <si>
    <t>vargasdarwin468@gmail.com</t>
  </si>
  <si>
    <t>MANUCHAR COLOMBIA CIA S A S</t>
  </si>
  <si>
    <t>KM 3.3 VIA FUNZA SIBERIA PARQUE EMPRESARIAL
SANTA LUCIA BODEGA 9 A</t>
  </si>
  <si>
    <r>
      <rPr>
        <sz val="10"/>
        <color rgb="FF000000"/>
        <rFont val="Arial"/>
        <family val="2"/>
      </rPr>
      <t>Tiene contrato de aprendizaje, inicial, bitácoras 1 y 2.</t>
    </r>
    <r>
      <rPr>
        <sz val="10"/>
        <color rgb="FFFF0000"/>
        <rFont val="Arial"/>
        <family val="2"/>
      </rPr>
      <t>. Falta parcial, final,   bitácoras 3,4,5,6,7,8,9,10,11 y 12</t>
    </r>
    <r>
      <rPr>
        <sz val="10"/>
        <color rgb="FF000000"/>
        <rFont val="Arial"/>
        <family val="2"/>
      </rPr>
      <t xml:space="preserve"> ... Revisado 02/09/2022</t>
    </r>
  </si>
  <si>
    <r>
      <rPr>
        <sz val="10"/>
        <color rgb="FFEA4335"/>
        <rFont val="Arial"/>
        <family val="2"/>
      </rPr>
      <t>SI tiene seguimiento.</t>
    </r>
    <r>
      <rPr>
        <sz val="10"/>
        <color theme="1"/>
        <rFont val="Arial"/>
        <family val="2"/>
      </rPr>
      <t>.. Revisado 02/09/2022</t>
    </r>
  </si>
  <si>
    <t>SI tiene seguimiento revisado 23/02/23</t>
  </si>
  <si>
    <t>CARLA GUTIERREZ ALVARADO</t>
  </si>
  <si>
    <t>kg6198680@gmail.com</t>
  </si>
  <si>
    <r>
      <rPr>
        <sz val="10"/>
        <color theme="1"/>
        <rFont val="Arial"/>
        <family val="2"/>
      </rPr>
      <t>Tiene Acuerdo de Voluntades, Inicial...</t>
    </r>
    <r>
      <rPr>
        <sz val="10"/>
        <color rgb="FFFF0000"/>
        <rFont val="Arial"/>
        <family val="2"/>
      </rPr>
      <t>. Falta parcial, final, certificación y bitácoras 1,2,3,4,5,6,7,8,9,10,11 y 12</t>
    </r>
    <r>
      <rPr>
        <sz val="10"/>
        <color theme="1"/>
        <rFont val="Arial"/>
        <family val="2"/>
      </rPr>
      <t xml:space="preserve"> ... Revisado 26/08/2022</t>
    </r>
  </si>
  <si>
    <t>Walter Robinson Herrera Peña - Asignado - Subió Inicial... Revisado 26/08/2022</t>
  </si>
  <si>
    <t>SANDRA CUCHIMBA STERLING</t>
  </si>
  <si>
    <t>sandracuchimba2001@gmail.com</t>
  </si>
  <si>
    <t>JAVIER ORLANDO ALZAMORA BRAVO</t>
  </si>
  <si>
    <t>Walter Robinson Herrera Peña -</t>
  </si>
  <si>
    <t>CARLOS ALBERTO VALENZUELA CASTRO</t>
  </si>
  <si>
    <t xml:space="preserve"> albert1105@outlook.com</t>
  </si>
  <si>
    <t>AGROVELCA S.A.S</t>
  </si>
  <si>
    <t>calle 19 sur 6-20</t>
  </si>
  <si>
    <t>seguridadysalud@agovelca.com</t>
  </si>
  <si>
    <t>29/05/2023</t>
  </si>
  <si>
    <t xml:space="preserve">ORLANDO SUAREZ </t>
  </si>
  <si>
    <t>MARIA CRISTINA ESPAÑA PINILLA</t>
  </si>
  <si>
    <t>mariaespana754@gmail.com</t>
  </si>
  <si>
    <t>Walter Robinson Herrera Peña - Asignado - Subió Incial... Revisado 26/08/2022</t>
  </si>
  <si>
    <t>DIANA PAOLA TAFUR VARGAS</t>
  </si>
  <si>
    <t>tafurpaola15@gmail.com</t>
  </si>
  <si>
    <t>INVERSIONES COSIE SAS</t>
  </si>
  <si>
    <t>CARRERA 2 N 2-51</t>
  </si>
  <si>
    <t xml:space="preserve">Walter Robinson Herrera Peña - Asignado </t>
  </si>
  <si>
    <t>NO tiene seguimineto 26/07/2022</t>
  </si>
  <si>
    <t>YULIANA CHAVARRO CLAROS</t>
  </si>
  <si>
    <t>JORGE LUIS PLAZAS ROJAS</t>
  </si>
  <si>
    <t>jorgeluisplazas69@gmail.com</t>
  </si>
  <si>
    <t>PISCICOLA H&amp;W FISHERY LTDA</t>
  </si>
  <si>
    <t xml:space="preserve"> CL 46 16-24 OF. 903</t>
  </si>
  <si>
    <t xml:space="preserve"> grupoempresarial@factory-fishery.com</t>
  </si>
  <si>
    <t>PAOLA ANDREA MAMIAN MESA</t>
  </si>
  <si>
    <t>3203814428- 3133051551</t>
  </si>
  <si>
    <t>paolamesa2098@gmail.com</t>
  </si>
  <si>
    <t>EMPRESA DE FOSFATOS DEL HUILA S.A.</t>
  </si>
  <si>
    <t>CALLE 25 3A 26</t>
  </si>
  <si>
    <t xml:space="preserve"> 8743131 - 103</t>
  </si>
  <si>
    <t>recursoshumanos@fosfatosdelhuila.com</t>
  </si>
  <si>
    <t>ANA MILENA CAMACHO TAMARA - Subió Parcial y bitácoras 1,2,3... Revisado 16/12/2022</t>
  </si>
  <si>
    <t>SI tiene seguimiento 16/12/2022</t>
  </si>
  <si>
    <t>NATALIA ARCOS PERDOMO</t>
  </si>
  <si>
    <t>PROYECTO PRODUCTIVO</t>
  </si>
  <si>
    <t xml:space="preserve">Finca Tesorito </t>
  </si>
  <si>
    <t xml:space="preserve">Vereda La Argentina </t>
  </si>
  <si>
    <t>310 853 2237</t>
  </si>
  <si>
    <t>Arcos8596@gmail.com</t>
  </si>
  <si>
    <t xml:space="preserve"> 7/12/2022</t>
  </si>
  <si>
    <t>13/06/2023</t>
  </si>
  <si>
    <t>ANA MILENA CAMACHO TAMARA</t>
  </si>
  <si>
    <t>ANDERSON ESTIVEN SOTELO GUAMANGA</t>
  </si>
  <si>
    <t>andersonsotelo619@gmail.com</t>
  </si>
  <si>
    <t>SERVIPEZ DEL HUILA SAS</t>
  </si>
  <si>
    <t>cra 5 #10-49 oficina 501 edificio plaza real</t>
  </si>
  <si>
    <t>talentohumano@botero.com.co</t>
  </si>
  <si>
    <r>
      <rPr>
        <sz val="8"/>
        <color rgb="FF000000"/>
        <rFont val="Arial"/>
        <family val="2"/>
      </rPr>
      <t xml:space="preserve">Tiene contrato de aprendizaje Parcial y bitácoras 1,2. </t>
    </r>
    <r>
      <rPr>
        <sz val="8"/>
        <color rgb="FFFF0000"/>
        <rFont val="Arial"/>
        <family val="2"/>
      </rPr>
      <t>Falta final, certificación y bitácoras  3,4,5,6,7,8,9,10,11 y 12 .</t>
    </r>
    <r>
      <rPr>
        <sz val="8"/>
        <color rgb="FF000000"/>
        <rFont val="Arial"/>
        <family val="2"/>
      </rPr>
      <t>.. Revisado 16/12/2022</t>
    </r>
  </si>
  <si>
    <t>ANA MILENA CAMACHO TAMARA - Subió Parcial y bitácoras 1,2... Revisado 16/12/2022</t>
  </si>
  <si>
    <t>YINA MARCELA ROMERO ILES</t>
  </si>
  <si>
    <t>marcelailes18@gmail.com</t>
  </si>
  <si>
    <t>CARRERA 1 N. 15-73 BARRIO SAN RAFAEL</t>
  </si>
  <si>
    <t>ghumana.icosie@gmail.com</t>
  </si>
  <si>
    <t>ANDREINA HERNANDEZ SOLIS</t>
  </si>
  <si>
    <t>DIEGO ANACONA ARTUNDUAGA</t>
  </si>
  <si>
    <t>3138225240- 3204873602</t>
  </si>
  <si>
    <t>anaconadiego74@gmail.com</t>
  </si>
  <si>
    <t>ELIAS</t>
  </si>
  <si>
    <t>GRUPO PRONUM SAS</t>
  </si>
  <si>
    <t>km 2 via briceño zipaquira parque Industrial Tibitoc. Bodega 15</t>
  </si>
  <si>
    <t>TOCANCIPA</t>
  </si>
  <si>
    <t>recursoshumanos@grupopronum.com</t>
  </si>
  <si>
    <t>SARA NATALIA SALAS TRUJILLO</t>
  </si>
  <si>
    <t>ANGELICA MARIA QUINTERO QUINTERO</t>
  </si>
  <si>
    <t>CRA 4 N° 9-88 TIMANA H</t>
  </si>
  <si>
    <t xml:space="preserve">TIMANA </t>
  </si>
  <si>
    <t>contactenos@timana-huila.gov.co</t>
  </si>
  <si>
    <t>CARMENZA SUAREZ VITECHE</t>
  </si>
  <si>
    <t>vitechecarmenza@gmail.com</t>
  </si>
  <si>
    <t>SKN CARIBECAFE S.A.S.</t>
  </si>
  <si>
    <t>Carrera 7 No. 71-21 Torre B Oficina 301</t>
  </si>
  <si>
    <t>clara.cepeda@nkg.coffee</t>
  </si>
  <si>
    <t>14/12/2022</t>
  </si>
  <si>
    <t>JAMERZON ESTIBEN NUÑEZ MUÑOZ</t>
  </si>
  <si>
    <t>123jamerzon123@gmail.com</t>
  </si>
  <si>
    <t xml:space="preserve"> km 2 via briceño zipaquira</t>
  </si>
  <si>
    <r>
      <rPr>
        <sz val="8"/>
        <color rgb="FF000000"/>
        <rFont val="Arial"/>
        <family val="2"/>
      </rPr>
      <t xml:space="preserve">Tiene contrato de aprendizaje Inicial.. </t>
    </r>
    <r>
      <rPr>
        <sz val="8"/>
        <color rgb="FFFF0000"/>
        <rFont val="Arial"/>
        <family val="2"/>
      </rPr>
      <t>Falta parcial,final, certificación y bitácoras  1,2,3,4,5,6,7,8,9,10,11 y 12 .</t>
    </r>
    <r>
      <rPr>
        <sz val="8"/>
        <color rgb="FF000000"/>
        <rFont val="Arial"/>
        <family val="2"/>
      </rPr>
      <t>.. Revisado 29/12/2022</t>
    </r>
  </si>
  <si>
    <t>ANA MILENA CAMACHO TAMARA - Subió Inicial... Revisado 29/12/2022</t>
  </si>
  <si>
    <t>SI tiene seguimiento 29/12/2022</t>
  </si>
  <si>
    <t>JUAN PABLO HERNANDEZ MEDINA</t>
  </si>
  <si>
    <t>Jhony Mesa</t>
  </si>
  <si>
    <t>CRISTIAN ALEJANDRO QUINTERO BENAVIDES</t>
  </si>
  <si>
    <t>quinterobenavidesc@gmail.com</t>
  </si>
  <si>
    <t xml:space="preserve"> SKN CARIBECAFE S.A.S.</t>
  </si>
  <si>
    <t xml:space="preserve"> Carrera 7 No. 71-21 Oficina 301 Tb</t>
  </si>
  <si>
    <t>ANDRES FELIPE BARRERA SCARPETA</t>
  </si>
  <si>
    <t>lina.castro@cadefihuila.com</t>
  </si>
  <si>
    <t>YULIANA JOVEN CABRERA</t>
  </si>
  <si>
    <t>EMERSON DAVID CALDERON PORTILLA</t>
  </si>
  <si>
    <t>EVELIO COY CARO</t>
  </si>
  <si>
    <t>Carrera 2 N.2-51</t>
  </si>
  <si>
    <t>respopnsablesgsst.op@gmail.com</t>
  </si>
  <si>
    <t>NATALIA DELGADO TORRES</t>
  </si>
  <si>
    <t>PITALITO1989@GMAIL.COM</t>
  </si>
  <si>
    <t xml:space="preserve"> clara.cepeda@nkg.coffee</t>
  </si>
  <si>
    <t>CAROLINA CARVAJAL ARANDA</t>
  </si>
  <si>
    <t>ANGELA YULIETH RIVERA VARGAS</t>
  </si>
  <si>
    <t>angelarivera0316@gmail.com</t>
  </si>
  <si>
    <t xml:space="preserve">MINERA PROVIDENCIA S.A. - MINPRO S.A.
</t>
  </si>
  <si>
    <t>Carrera 5 a Bis No. 21 a 47</t>
  </si>
  <si>
    <t>esmeralda.leiva@minpro.co</t>
  </si>
  <si>
    <t>DEYVY JULIANA TORRES PRADA</t>
  </si>
  <si>
    <t>PRODUCCIÓN DE CAFÉS ESPECIALES</t>
  </si>
  <si>
    <t xml:space="preserve">JONY MESA </t>
  </si>
  <si>
    <t>LISETH VALENTINA LOPEZ GUARNIZO</t>
  </si>
  <si>
    <t>liseth23va50@gmail.com</t>
  </si>
  <si>
    <t>19/01/2023</t>
  </si>
  <si>
    <t>JOSE TOMAS GOMEZ LOPEZ</t>
  </si>
  <si>
    <t>YEIMI YOANA CHAVARRO GUTIERREZ</t>
  </si>
  <si>
    <t>MARIA ANGELA BERMEO RAMOS</t>
  </si>
  <si>
    <t>bermeomariaramos@gmail.com</t>
  </si>
  <si>
    <t>ALEXANDRA CHILITO CHILITO</t>
  </si>
  <si>
    <t>chilitoalexa0821@gmail.com</t>
  </si>
  <si>
    <t>INVERPROYECTOS MAGNA SAS</t>
  </si>
  <si>
    <t>Cra 45 A 60 39 L120 Bod4</t>
  </si>
  <si>
    <t>3103993211 -3136145306</t>
  </si>
  <si>
    <t>ventola.admon@gmail.com</t>
  </si>
  <si>
    <t>30/01/2023</t>
  </si>
  <si>
    <t>29/07/2023</t>
  </si>
  <si>
    <t>NELCY LEONOR ROJAS ARIAS</t>
  </si>
  <si>
    <t xml:space="preserve">3172613549
</t>
  </si>
  <si>
    <t>nelcyleonorr@gmail.com</t>
  </si>
  <si>
    <t>CAMPOFERT</t>
  </si>
  <si>
    <t>29/08/2023</t>
  </si>
  <si>
    <t xml:space="preserve">Yamid Andres Viuchi </t>
  </si>
  <si>
    <t>KAREN YULIETH MUÑOZ SAMBONI</t>
  </si>
  <si>
    <t>karenyulieth556@gmail.com</t>
  </si>
  <si>
    <t>KAREN DAYANA GUTIERREZ GUZMAN</t>
  </si>
  <si>
    <t>gutierrezdayana865@gmail.com</t>
  </si>
  <si>
    <t>LAVANDERIA SUPER BLANCA NGP S.A.S.</t>
  </si>
  <si>
    <t>CALLE 16 H BIS A # 103A-47</t>
  </si>
  <si>
    <t>3212029485-4150726</t>
  </si>
  <si>
    <t>SERVICIOALCLIENTE@SUPERBLANCA.COM</t>
  </si>
  <si>
    <t>16/01/2023</t>
  </si>
  <si>
    <t>15/07/2023</t>
  </si>
  <si>
    <t>YURANY ALEXANDRA RODRIGUEZ LEAL</t>
  </si>
  <si>
    <t>alexandraleal379@gmail.com</t>
  </si>
  <si>
    <t>INVERCAFE CERRITOS SOCIEDAD POR ACCIONES SIMPLIFICADA</t>
  </si>
  <si>
    <t>Calle 10 No 17 21</t>
  </si>
  <si>
    <t>PEREIRA</t>
  </si>
  <si>
    <t>contabilidad@invercafe.com.co</t>
  </si>
  <si>
    <t>DILIAN ARYENI FIGUEROA PLAZA</t>
  </si>
  <si>
    <t>LORENA SALINAS PEREZ</t>
  </si>
  <si>
    <t>lolope91@gmail.com</t>
  </si>
  <si>
    <t>SMITH COFFE</t>
  </si>
  <si>
    <t>basmith2406@gmail.com</t>
  </si>
  <si>
    <t>pendiente de asignar instructor</t>
  </si>
  <si>
    <t>FELIPE HORTA ALVARADO</t>
  </si>
  <si>
    <t>SILVIA LORENA CLAROS MOLINA</t>
  </si>
  <si>
    <t>silviaclaros14@gmail.com</t>
  </si>
  <si>
    <t>DANIEL FELIPE BUITRON DUARTE</t>
  </si>
  <si>
    <t>PASANTIAS</t>
  </si>
  <si>
    <t>Paula Simena celis Cabrerar</t>
  </si>
  <si>
    <t>paulacelis1999@gmail.com</t>
  </si>
  <si>
    <t>19/08/2023</t>
  </si>
  <si>
    <t>NELCY YULIETH NAVIA GOMEZ</t>
  </si>
  <si>
    <t>Yamid Andres Viuchi</t>
  </si>
  <si>
    <t xml:space="preserve">NELCY LEONOR ROJAS ARIAS </t>
  </si>
  <si>
    <t xml:space="preserve"> ACEVEDO</t>
  </si>
  <si>
    <t xml:space="preserve"> CAMPOFERT S.A.S</t>
  </si>
  <si>
    <t xml:space="preserve"> 29/08/2023</t>
  </si>
  <si>
    <t>YEISY KATTERINE GONZALEZ BOSSA</t>
  </si>
  <si>
    <t xml:space="preserve"> katterinegonzalez@hotmail.com</t>
  </si>
  <si>
    <t>SEGUROS DE VIDA SURAMERICANA S.A.</t>
  </si>
  <si>
    <t>Edificio Sura</t>
  </si>
  <si>
    <t>2602100 ext 7090 opción 3</t>
  </si>
  <si>
    <t>Sdominguez@sura.com.co</t>
  </si>
  <si>
    <t>STEFANY MARTINEZ GONZALEZ</t>
  </si>
  <si>
    <t>dafebu1083@gmail.com</t>
  </si>
  <si>
    <t>ASOCIACION RIVERA DEL MAGDALENA</t>
  </si>
  <si>
    <t xml:space="preserve">VERDA BETANIA </t>
  </si>
  <si>
    <t xml:space="preserve">BERENICE RAMIREZ </t>
  </si>
  <si>
    <t>ALEIDA NAÑEZ SANCHEZ</t>
  </si>
  <si>
    <t>CRISTIAN CAMILO CLAROS DELGADO</t>
  </si>
  <si>
    <t>debe 45 resultados... Revisado 20/12/2022</t>
  </si>
  <si>
    <t>DANIEL RICARDO RAMOS ALARCON</t>
  </si>
  <si>
    <t>DIEGO ALEXANDER HENAO ROJAS</t>
  </si>
  <si>
    <t>diegohenao1010@gmail.com</t>
  </si>
  <si>
    <t>debe 1 resultados... Revisado 20/12/2022</t>
  </si>
  <si>
    <t>MARLY JULIETH VALENCIA BERMUDEZ</t>
  </si>
  <si>
    <t>312 8978273</t>
  </si>
  <si>
    <t>valenciamarly35@gmail.com</t>
  </si>
  <si>
    <t>marcelamazorra@cofcointernational.com</t>
  </si>
  <si>
    <t>23/01/2023</t>
  </si>
  <si>
    <t>22/07/2023</t>
  </si>
  <si>
    <t>JUAN MANUEL CLAROS TRUJILLO</t>
  </si>
  <si>
    <t>JHON SEBASTIAN MARTINEZ CALDERON</t>
  </si>
  <si>
    <t>debe 2 resultados... Revisado 20/12/2022</t>
  </si>
  <si>
    <t>JUAN SEBASTIAN ROJAS ROJAS</t>
  </si>
  <si>
    <t xml:space="preserve"> rojasrojasjuansebastian1802@gmail.com</t>
  </si>
  <si>
    <t>BANCA EXPORTADORA S A - BANEXPORT S A</t>
  </si>
  <si>
    <t>CRA 9 70A 35 P 5</t>
  </si>
  <si>
    <t>josefina.hurtado@banexport.com</t>
  </si>
  <si>
    <t>18/01/2023</t>
  </si>
  <si>
    <t>17/7/2023</t>
  </si>
  <si>
    <t>debe 5 resultados... Revisado 20/12/2022</t>
  </si>
  <si>
    <t>LEIDI DAYANA VELASQUEZ CLAROS</t>
  </si>
  <si>
    <t>ASOCIACIÓN DE PRODUCTORES EAT AGROECOLOGICOS</t>
  </si>
  <si>
    <t>VEREDA PALMITO</t>
  </si>
  <si>
    <t>eatagroecologicotimana@gmail.com</t>
  </si>
  <si>
    <t>ANGELA MILENA RUIZ PIMENTEL</t>
  </si>
  <si>
    <t>LUIS CARLOS PERDOMO ARIAS</t>
  </si>
  <si>
    <t>debe 27 resultados... Revisado 20/12/2022</t>
  </si>
  <si>
    <t>JUAN DIEGO ZUÑIGA BOLAÑOS</t>
  </si>
  <si>
    <t>NICOLAS HERNANDEZ PERDOMO</t>
  </si>
  <si>
    <t>JIMENA ROJAS POLANCO</t>
  </si>
  <si>
    <t>debe 6 resultados... Revisado 20/12/2022</t>
  </si>
  <si>
    <t>LEIDY CARMENZA MELO ARIAS</t>
  </si>
  <si>
    <t>CRISTIAN DAVID CLAROS IMBACHI</t>
  </si>
  <si>
    <t>ANDRES FELIPE VALDERRAMA ORTIZ</t>
  </si>
  <si>
    <t>debe 37 resultados... Revisado 20/12/2022</t>
  </si>
  <si>
    <t>JUAN STEVAN GONZALEZ CARLOSAMA</t>
  </si>
  <si>
    <t>WENDY VANESSA HOYOS GARCIA</t>
  </si>
  <si>
    <t>debe 11 resultados... Revisado 20/12/2022</t>
  </si>
  <si>
    <t>SANDY YISEL TOVAR RENZA</t>
  </si>
  <si>
    <t>ISABELA BURGOS RAMOS</t>
  </si>
  <si>
    <t>JISETH GARCIA ROJAS</t>
  </si>
  <si>
    <t>debe 3 resultados... Revisado 20/12/2022</t>
  </si>
  <si>
    <t>ANYI VALENTINA VARGAS MAMIAN</t>
  </si>
  <si>
    <t>SANDRA MILENA MENESES BASTIDAS</t>
  </si>
  <si>
    <t>CARLOS MAURICIO GOMEZ ORTEGA</t>
  </si>
  <si>
    <t>ANYI PAOLA FIGUEROA VELA</t>
  </si>
  <si>
    <t>debe 44 resultados... Revisado 20/12/2022</t>
  </si>
  <si>
    <t>EDWIN ORLANDO PINEDA CAICEDO</t>
  </si>
  <si>
    <t>debe 4 resultados... Revisado 20/12/2022</t>
  </si>
  <si>
    <t>BRAYAN LOPEZ PAPAMIJA</t>
  </si>
  <si>
    <t>bray95946@gmail.com</t>
  </si>
  <si>
    <t>Palestina</t>
  </si>
  <si>
    <t xml:space="preserve">CAFE GALILEO DEL HUILA </t>
  </si>
  <si>
    <t>CAFEGALILEO2013@GMAIL.COM</t>
  </si>
  <si>
    <t>31/08/2023</t>
  </si>
  <si>
    <t>WILLIAM ALEXANDER MARTINEZ IMBACHI</t>
  </si>
  <si>
    <t>RODRIGO HERNANDEZ HERNANDEZ</t>
  </si>
  <si>
    <t>Columna1</t>
  </si>
  <si>
    <t>Columna2</t>
  </si>
  <si>
    <t>WILMAR ALEXIS CUELLAR LARA</t>
  </si>
  <si>
    <t>N/A</t>
  </si>
  <si>
    <t>CLUB DEPORTIVO CALIDAD FUTBOL PITALITO</t>
  </si>
  <si>
    <t>ctpitalito@hotmail.com</t>
  </si>
  <si>
    <t>KAREN TATIANA MENDOZA MANZO</t>
  </si>
  <si>
    <t>kata.mm2016@gmail.com</t>
  </si>
  <si>
    <t>LIC. JHON HURTATIS ARTUNDUAGA</t>
  </si>
  <si>
    <t xml:space="preserve">DIANA MARCELA DIAZ </t>
  </si>
  <si>
    <t>ALBANI NOGUERA CABRERA</t>
  </si>
  <si>
    <t>albaninoguera2@gmail.com</t>
  </si>
  <si>
    <t>JULIETH DAYANA ROJAS LONDOÑO</t>
  </si>
  <si>
    <t>judarolo18@gmail.com</t>
  </si>
  <si>
    <t>DIEGO ANDRÉS SCALANTE CHAVARRO</t>
  </si>
  <si>
    <t>diegoscalante@gmail.com</t>
  </si>
  <si>
    <t>EAGLE</t>
  </si>
  <si>
    <t>Jhonortiz.salazar@hotmail.com</t>
  </si>
  <si>
    <t>11/marzo/2022</t>
  </si>
  <si>
    <t>11/septiembre/2022</t>
  </si>
  <si>
    <t>Entrego los documentos, pendiente calificar y certificar</t>
  </si>
  <si>
    <t>ANDERSON AUGUSTO HOYOS BELTRÁN</t>
  </si>
  <si>
    <t>hoyos7859@gmail.com</t>
  </si>
  <si>
    <t>CLUB DEPORTIVA</t>
  </si>
  <si>
    <t>MELISSA URQUINA MOSQUERA</t>
  </si>
  <si>
    <t>WILFRAN ALEXIS RAMIREZ CLAROS</t>
  </si>
  <si>
    <t>NORBEY GARCES CRISTANCHO</t>
  </si>
  <si>
    <t>ALCALDIA ACEVEDO</t>
  </si>
  <si>
    <t>CRRA 4 N° 9-02 ESQUINA</t>
  </si>
  <si>
    <t>alcaldia@acevedo-huila-gov.co</t>
  </si>
  <si>
    <t>MARIA JOSE BERNAL CASTRILLON</t>
  </si>
  <si>
    <t>YULIANA ANDREA ORTIZ CORDOBA</t>
  </si>
  <si>
    <t>INGRID DAHIANNA ORTIZ CORDOBA</t>
  </si>
  <si>
    <t>KAREN VIVIANA TOCONAS BERNAL</t>
  </si>
  <si>
    <t>ALCALDIA MUNICIPAL ACEVEDO HUILA</t>
  </si>
  <si>
    <t>alcadia@acevedo-huila-gov.co</t>
  </si>
  <si>
    <t>EMERSON REMISIO GOMEZ</t>
  </si>
  <si>
    <t>GLORIA PEDRAZA AVILA</t>
  </si>
  <si>
    <t>No tiene seguimiento ...Revisado 06/10/2022</t>
  </si>
  <si>
    <t>HAROLD HERNANDO CUELLAR ROJAS</t>
  </si>
  <si>
    <t>CRRA 3 CLLA 9 ESQUINA</t>
  </si>
  <si>
    <t>JUAN SEBASTIAN ESPAÑA PARRA</t>
  </si>
  <si>
    <t>FABER SANTIAGO RUIZ ERAZO</t>
  </si>
  <si>
    <t>LEIDER GOMEZ CUBILLOS</t>
  </si>
  <si>
    <t>LUIS CARLOS OSORIO PULIDO</t>
  </si>
  <si>
    <t>JOSE LUCIANO MARTINEZ USECHE</t>
  </si>
  <si>
    <t>ARNOL DIAZ ARAGON</t>
  </si>
  <si>
    <t>MARYI INES GARCES TORRES</t>
  </si>
  <si>
    <t>SANDER DAVID BARRIOS SILVA</t>
  </si>
  <si>
    <t>EFRAIN GIL DUCUARA</t>
  </si>
  <si>
    <t>DIANA MARCELA DIAZ - ASIGNADO</t>
  </si>
  <si>
    <t>No tiene seguimiento ...Revisado 05/09/2022</t>
  </si>
  <si>
    <t>JADERSON MANSANARES POLANIA</t>
  </si>
  <si>
    <t>RUBEN DARIO MEDINA CHAVARRO</t>
  </si>
  <si>
    <t>BREYNER STIVEN NARVAEZ BOTINA</t>
  </si>
  <si>
    <t>LEIBER SMITH MORALES GONZALEZ</t>
  </si>
  <si>
    <t>LUIS FERNANDO MENDEZ VALDERRAMA</t>
  </si>
  <si>
    <t>ANYI ROCIO COLLAZOS SOTO</t>
  </si>
  <si>
    <t>ALCALDIA MUNICIPAL</t>
  </si>
  <si>
    <t>por asignar</t>
  </si>
  <si>
    <t>ERNEY PERDOMO FIGUEROA</t>
  </si>
  <si>
    <t>DISNEY BERNAL CASTRILLON</t>
  </si>
  <si>
    <t>JOSE LIZARDO CRUZ PANQUEVA</t>
  </si>
  <si>
    <t>MILLER ZAMBRANO PERDOMO</t>
  </si>
  <si>
    <t>JAMES ADRIAN TORRES ROJAS</t>
  </si>
  <si>
    <t>EJECUCION DE PROGRAMAS DEPORTIVOS</t>
  </si>
  <si>
    <t>SANTIAGO URBANO VALDES ORDOÑEZ</t>
  </si>
  <si>
    <t>YULEIMA LOSADA MENESES</t>
  </si>
  <si>
    <t>debe 30 resultados... Revisado 21/12/2022</t>
  </si>
  <si>
    <t>STIVEN ROMERO SALAZAR</t>
  </si>
  <si>
    <t>ANGELICA PAOLA BUESAQUILLO MUÑOZ</t>
  </si>
  <si>
    <t>13-03-2023</t>
  </si>
  <si>
    <t>LUIS ALBERTO CAMAYO MANQUILLO</t>
  </si>
  <si>
    <t>KAREN LISETH TRUJILLO CALDERON</t>
  </si>
  <si>
    <t>LEIDER FABIAN ALVAREZ RIVERA</t>
  </si>
  <si>
    <t>MIGUEL ANGEL LUNA TABARES</t>
  </si>
  <si>
    <t>FELIPE ANDRES LIZARAZO VARGAS</t>
  </si>
  <si>
    <t>GANEZA VARGAS ROJAS</t>
  </si>
  <si>
    <t>DERLY JOHANNA DIAZ BUENDIA</t>
  </si>
  <si>
    <t>Colegio Liceo Leonardo Da Vinci</t>
  </si>
  <si>
    <t>liceoleoanrdodavinci@gmail.com</t>
  </si>
  <si>
    <t>JORGE EDUARDO SUAREZ MUÑOZ</t>
  </si>
  <si>
    <t>debe 24 resultados... Revisado 21/12/2022</t>
  </si>
  <si>
    <t>DANIEL FELIPE MENDIETA MURILLO</t>
  </si>
  <si>
    <t>RONAL HERLEY DUSSAN CHAVARRO</t>
  </si>
  <si>
    <t>Ronaldussan321@gmail.com</t>
  </si>
  <si>
    <t>Club Deportivo de Baloncesto “Eagles Pitalito”</t>
  </si>
  <si>
    <t>: maritzacortes1982@gmail.com</t>
  </si>
  <si>
    <t>LEIDER JAVIER SUAREZ ZAMBRANO</t>
  </si>
  <si>
    <t xml:space="preserve">SEGUIMIENTO AL APRENDIZ </t>
  </si>
  <si>
    <t>TITULADO</t>
  </si>
  <si>
    <t>SI tiene seguimiento revisado 23/02/2023</t>
  </si>
  <si>
    <t>Revisado 16/02/2023</t>
  </si>
  <si>
    <t>Numero de Identificación</t>
  </si>
  <si>
    <t>CARTA GENERAL</t>
  </si>
  <si>
    <t>TECNICO</t>
  </si>
  <si>
    <t>23-03-2023: ningun aprendiz ha solicitado seguimieto de etapa productiva y todos tiene pendiente RAP.</t>
  </si>
  <si>
    <t>LAURA SOFIA TRIANA ESPINOSA</t>
  </si>
  <si>
    <t>23-03-2023:no tiene acuerdo de voluntades firmado , no tiene segumientos firmados por instructor , solo tiene 6 bitacoras ,instructor de seguimiento Villa real ,  coordinacion determina proceso ,</t>
  </si>
  <si>
    <t xml:space="preserve">23-03-2023: con Alcaldia Municipal, no tiene seguimientos, no tiene bitacoras ,no tiene certificacion </t>
  </si>
  <si>
    <t xml:space="preserve"> Villa real </t>
  </si>
  <si>
    <t>23-03-2023: Aprendiz no cuenta con bitacoras, no tiene segumientos.</t>
  </si>
  <si>
    <t>Adriana Pinzon</t>
  </si>
  <si>
    <t>23-03-2023: no esta firmado cuerdo de voluntades , un seguimiento sin firmar, una bitacora, inst asignado villareal.</t>
  </si>
  <si>
    <t xml:space="preserve">DANA STEFANIA BETANCOURT PUENTES  </t>
  </si>
  <si>
    <t>23-03-2023: El aprendiz no cuenta con seguiminetos,  no tiene bitacoras</t>
  </si>
  <si>
    <t>ALEJANDRO MUÑOZ QUINAYAS</t>
  </si>
  <si>
    <t>23-03-2023: E.P en yamboro no esta firmado acuerdo de voluntades,ningun documento esta firmado, instasignado Villareal</t>
  </si>
  <si>
    <t>DERLY JULIETH SILVA CAMACHO</t>
  </si>
  <si>
    <t>23-03-2023: E.P.en yamboro, acuerdo sin firmas ,formato de seguimiento sin diligenciar y sin firmar, bitacoras sin firmar del jefe inmediato, inst asignado villareal, coordinacion define proceso</t>
  </si>
  <si>
    <t xml:space="preserve">23-03-2023: En yamboro no hay firmado acuerdo de voluntades, no tiene bitacora,no tiene seguimienos, no tiene ceertificado </t>
  </si>
  <si>
    <t>DAYANA VALENTIA BECERRA AREIZA</t>
  </si>
  <si>
    <t>DIANA  MARIA MENSA ORTIZ</t>
  </si>
  <si>
    <t>23-03-2023: solo un aprendiz solicito seguimiento E.P.</t>
  </si>
  <si>
    <t xml:space="preserve">23-03-2023:ficha ternada por fecha ningun aprendiz solicito seguimiento </t>
  </si>
  <si>
    <t>24-03-2023: El aprendiz no cuenta con seguiminetos,  no tiene bitacoras</t>
  </si>
  <si>
    <t>CONSTRUCCION, MANTENIMIENTO Y REPARACION DE ESTRUCTURAS EN GUADUA</t>
  </si>
  <si>
    <t>24-03-2023: Todos los aprendicez tienen la legalizacion, pero ninguno cuenta con bitacoras ni seguimientos.</t>
  </si>
  <si>
    <t>24-03-2023: Titulado con 15 aprendicez temrinado por fecha, a la mayoria les hace falta dos resultados por terminar.</t>
  </si>
  <si>
    <t>Cristian Camilo Villarreal</t>
  </si>
  <si>
    <t xml:space="preserve">Tienen pendiente , 02 de febrero del 2023. No hay  seguimientos y bitacoras. </t>
  </si>
  <si>
    <t xml:space="preserve"> Terminaron su etapa productiva  con empresa privada 28 de febrero del 2023. No hay  seguimientos y bitacoras. </t>
  </si>
  <si>
    <t>OPERARIO</t>
  </si>
  <si>
    <t xml:space="preserve">Tienen resultados pendientes de evaluar y no han iniciado su etapa productiva </t>
  </si>
  <si>
    <t>Solo tiene acuerdo de voluntades, Yamboro, termino el 16 de junio del 2022</t>
  </si>
  <si>
    <t xml:space="preserve">Termino etapa productiva el 2/3/2023 con la empresa Dielectrica, no tiene seguimientos y bitacoras. </t>
  </si>
  <si>
    <t xml:space="preserve">Esta realizando etapa productiva seguimiento Yamboro, </t>
  </si>
  <si>
    <t>30-03-2023: No ha iniciado etapa produtiva</t>
  </si>
  <si>
    <t>30-03-2023: Solo cuenta con legalización, no tiene seguimientos y no tiene bitacoras</t>
  </si>
  <si>
    <t>30-03-2023: No ha solicitado seguimiento de etapa productiva, la cual ya esta activa.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</si>
</sst>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dd/mm/yyyy"/>
    <numFmt numFmtId="166" formatCode="d/m/yyyy"/>
    <numFmt numFmtId="167" formatCode="d/mm/yyyy"/>
  </numFmts>
  <fonts count="80">
    <font>
      <sz val="10"/>
      <color rgb="FF000000"/>
      <name val="Arial"/>
      <scheme val="minor"/>
    </font>
    <font>
      <sz val="10"/>
      <color theme="1"/>
      <name val="Arial"/>
      <family val="2"/>
    </font>
    <font>
      <b/>
      <sz val="11"/>
      <color theme="1"/>
      <name val="Calibri"/>
      <family val="2"/>
    </font>
    <font>
      <b/>
      <sz val="11"/>
      <color theme="1"/>
      <name val="Arial"/>
      <family val="2"/>
    </font>
    <font>
      <sz val="10"/>
      <name val="Arial"/>
      <family val="2"/>
    </font>
    <font>
      <sz val="11"/>
      <color theme="1"/>
      <name val="Calibri"/>
      <family val="2"/>
    </font>
    <font>
      <b/>
      <sz val="8"/>
      <color theme="1"/>
      <name val="Arial"/>
      <family val="2"/>
    </font>
    <font>
      <b/>
      <sz val="12"/>
      <color theme="1"/>
      <name val="Arial"/>
      <family val="2"/>
    </font>
    <font>
      <sz val="11"/>
      <color theme="5"/>
      <name val="Calibri"/>
      <family val="2"/>
    </font>
    <font>
      <sz val="11"/>
      <color rgb="FFFF0000"/>
      <name val="Calibri"/>
      <family val="2"/>
    </font>
    <font>
      <b/>
      <sz val="8"/>
      <color rgb="FFEA4335"/>
      <name val="Arial"/>
      <family val="2"/>
    </font>
    <font>
      <sz val="11"/>
      <color rgb="FFEA4335"/>
      <name val="Calibri"/>
      <family val="2"/>
    </font>
    <font>
      <sz val="8"/>
      <color theme="1"/>
      <name val="Arial"/>
      <family val="2"/>
    </font>
    <font>
      <sz val="11"/>
      <color rgb="FF000000"/>
      <name val="Calibri"/>
      <family val="2"/>
    </font>
    <font>
      <sz val="10"/>
      <color theme="1"/>
      <name val="Arial"/>
      <family val="2"/>
      <scheme val="minor"/>
    </font>
    <font>
      <sz val="10"/>
      <color rgb="FFEA4335"/>
      <name val="Arial"/>
      <family val="2"/>
    </font>
    <font>
      <sz val="12"/>
      <color rgb="FF000000"/>
      <name val="Docs-Calibri"/>
    </font>
    <font>
      <sz val="8"/>
      <color theme="5"/>
      <name val="Arial"/>
      <family val="2"/>
    </font>
    <font>
      <b/>
      <sz val="11"/>
      <color rgb="FFFFFFFF"/>
      <name val="Arial"/>
      <family val="2"/>
    </font>
    <font>
      <sz val="10"/>
      <color rgb="FF000000"/>
      <name val="Arial"/>
      <family val="2"/>
    </font>
    <font>
      <u/>
      <sz val="11"/>
      <color rgb="FF000000"/>
      <name val="Calibri"/>
      <family val="2"/>
    </font>
    <font>
      <sz val="10"/>
      <color rgb="FF000000"/>
      <name val="Sansserif"/>
    </font>
    <font>
      <b/>
      <sz val="8"/>
      <color rgb="FFFF0000"/>
      <name val="Arial"/>
      <family val="2"/>
    </font>
    <font>
      <b/>
      <sz val="10"/>
      <color rgb="FFFF0000"/>
      <name val="Arial"/>
      <family val="2"/>
    </font>
    <font>
      <b/>
      <sz val="10"/>
      <color theme="1"/>
      <name val="Arial"/>
      <family val="2"/>
    </font>
    <font>
      <sz val="9"/>
      <color rgb="FF333333"/>
      <name val="Montserrat-Light"/>
    </font>
    <font>
      <sz val="12"/>
      <color rgb="FF000000"/>
      <name val="Calibri"/>
      <family val="2"/>
    </font>
    <font>
      <b/>
      <sz val="8"/>
      <color rgb="FF000000"/>
      <name val="Arial"/>
      <family val="2"/>
    </font>
    <font>
      <sz val="10"/>
      <color rgb="FFFF0000"/>
      <name val="Arial"/>
      <family val="2"/>
    </font>
    <font>
      <sz val="8"/>
      <color rgb="FFFF0000"/>
      <name val="Arial"/>
      <family val="2"/>
    </font>
    <font>
      <b/>
      <sz val="11"/>
      <color rgb="FFFF0000"/>
      <name val="Calibri"/>
      <family val="2"/>
    </font>
    <font>
      <sz val="10"/>
      <color theme="1"/>
      <name val="Sansserif"/>
    </font>
    <font>
      <u/>
      <sz val="11"/>
      <color rgb="FF1155CC"/>
      <name val="Calibri"/>
      <family val="2"/>
    </font>
    <font>
      <sz val="10"/>
      <color rgb="FFFF0000"/>
      <name val="Arial"/>
      <family val="2"/>
      <scheme val="minor"/>
    </font>
    <font>
      <sz val="10"/>
      <color rgb="FF222222"/>
      <name val="Arial"/>
      <family val="2"/>
    </font>
    <font>
      <sz val="8"/>
      <color rgb="FF000000"/>
      <name val="Arial"/>
      <family val="2"/>
    </font>
    <font>
      <sz val="9"/>
      <color rgb="FF333333"/>
      <name val="Arial"/>
      <family val="2"/>
    </font>
    <font>
      <b/>
      <sz val="10"/>
      <color rgb="FFEA4335"/>
      <name val="Arial"/>
      <family val="2"/>
      <scheme val="minor"/>
    </font>
    <font>
      <b/>
      <sz val="8"/>
      <color rgb="FF434343"/>
      <name val="Arial"/>
      <family val="2"/>
    </font>
    <font>
      <sz val="11"/>
      <color rgb="FF201F1E"/>
      <name val="Calibri"/>
      <family val="2"/>
    </font>
    <font>
      <b/>
      <sz val="11"/>
      <color rgb="FF000000"/>
      <name val="Calibri"/>
      <family val="2"/>
    </font>
    <font>
      <b/>
      <sz val="10"/>
      <color rgb="FF000000"/>
      <name val="Arial"/>
      <family val="2"/>
      <scheme val="minor"/>
    </font>
    <font>
      <u/>
      <sz val="10"/>
      <color rgb="FF1155CC"/>
      <name val="Arial"/>
      <family val="2"/>
    </font>
    <font>
      <sz val="11"/>
      <color theme="1"/>
      <name val="Arial"/>
      <family val="2"/>
    </font>
    <font>
      <u/>
      <sz val="10"/>
      <color rgb="FF0000FF"/>
      <name val="Arial"/>
      <family val="2"/>
    </font>
    <font>
      <sz val="11"/>
      <color rgb="FF000000"/>
      <name val="Roboto"/>
    </font>
    <font>
      <sz val="11"/>
      <color rgb="FF000000"/>
      <name val="Arial"/>
      <family val="2"/>
    </font>
    <font>
      <u/>
      <sz val="10"/>
      <color theme="10"/>
      <name val="Arial"/>
      <family val="2"/>
      <scheme val="minor"/>
    </font>
    <font>
      <sz val="9"/>
      <color rgb="FF333333"/>
      <name val="Montserrat-Light"/>
      <charset val="1"/>
    </font>
    <font>
      <sz val="11"/>
      <color rgb="FFFF0000"/>
      <name val="Arial"/>
      <family val="2"/>
      <scheme val="minor"/>
    </font>
    <font>
      <sz val="9"/>
      <color rgb="FFFF0000"/>
      <name val="Arial"/>
      <family val="2"/>
    </font>
    <font>
      <b/>
      <sz val="8"/>
      <name val="Arial"/>
      <family val="2"/>
    </font>
    <font>
      <b/>
      <sz val="8"/>
      <color theme="5"/>
      <name val="Arial"/>
      <family val="2"/>
    </font>
    <font>
      <b/>
      <sz val="9"/>
      <color theme="5"/>
      <name val="Arial"/>
      <family val="2"/>
      <scheme val="minor"/>
    </font>
    <font>
      <sz val="10"/>
      <color rgb="FFFF0000"/>
      <name val="Arial"/>
      <family val="2"/>
    </font>
    <font>
      <sz val="10"/>
      <color rgb="FF000000"/>
      <name val="Arial"/>
      <family val="2"/>
    </font>
    <font>
      <sz val="10"/>
      <color theme="1"/>
      <name val="Arial"/>
      <family val="2"/>
    </font>
    <font>
      <sz val="10"/>
      <color rgb="FF000000"/>
      <name val="Arial"/>
      <family val="2"/>
      <scheme val="minor"/>
    </font>
    <font>
      <u/>
      <sz val="10"/>
      <color rgb="FF000000"/>
      <name val="Arial"/>
      <family val="2"/>
      <scheme val="minor"/>
    </font>
    <font>
      <sz val="11"/>
      <color rgb="FF000000"/>
      <name val="Calibri"/>
      <family val="2"/>
    </font>
    <font>
      <sz val="8"/>
      <color rgb="FF000000"/>
      <name val="Arial"/>
      <family val="2"/>
    </font>
    <font>
      <sz val="9"/>
      <color rgb="FF000000"/>
      <name val="Montserrat-Light"/>
    </font>
    <font>
      <sz val="11"/>
      <color rgb="FF000000"/>
      <name val="Calibri"/>
      <family val="2"/>
      <charset val="1"/>
    </font>
    <font>
      <b/>
      <sz val="12"/>
      <color theme="1"/>
      <name val="Calibri"/>
      <family val="2"/>
    </font>
    <font>
      <sz val="12"/>
      <color theme="1"/>
      <name val="Calibri"/>
      <family val="2"/>
    </font>
    <font>
      <sz val="12"/>
      <name val="Calibri"/>
      <family val="2"/>
    </font>
    <font>
      <sz val="11"/>
      <color rgb="FF000000"/>
      <name val="Arial"/>
      <family val="2"/>
      <scheme val="minor"/>
    </font>
    <font>
      <u/>
      <sz val="11"/>
      <color rgb="FF000000"/>
      <name val="Arial"/>
      <family val="2"/>
      <scheme val="minor"/>
    </font>
    <font>
      <sz val="11"/>
      <color rgb="FF000000"/>
      <name val="Arial"/>
      <family val="2"/>
      <scheme val="minor"/>
    </font>
    <font>
      <sz val="11"/>
      <color rgb="FF000000"/>
      <name val="Montserrat-Light"/>
    </font>
    <font>
      <b/>
      <sz val="10"/>
      <color rgb="FF000000"/>
      <name val="Calibri"/>
      <family val="2"/>
    </font>
    <font>
      <b/>
      <sz val="11"/>
      <color rgb="FF000000"/>
      <name val="Calibri"/>
      <family val="2"/>
    </font>
    <font>
      <b/>
      <sz val="8"/>
      <color rgb="FF000000"/>
      <name val="Calibri"/>
      <family val="2"/>
    </font>
    <font>
      <b/>
      <sz val="12"/>
      <color rgb="FF000000"/>
      <name val="Calibri"/>
      <family val="2"/>
    </font>
    <font>
      <u/>
      <sz val="11"/>
      <color rgb="FF000000"/>
      <name val="Sansserif"/>
    </font>
    <font>
      <u/>
      <sz val="11"/>
      <color rgb="FF000000"/>
      <name val="Arial"/>
      <family val="2"/>
    </font>
    <font>
      <sz val="11"/>
      <color rgb="FF000000"/>
      <name val="Sansserif"/>
    </font>
    <font>
      <sz val="9"/>
      <color rgb="FF000000"/>
      <name val="Arial"/>
      <family val="2"/>
    </font>
    <font>
      <sz val="10"/>
      <color rgb="FF000000"/>
      <name val="Arial,Bold"/>
      <charset val="1"/>
    </font>
    <font>
      <sz val="10"/>
      <color theme="7" tint="-0.249977111117893"/>
      <name val="Sansserif"/>
    </font>
  </fonts>
  <fills count="28">
    <fill>
      <patternFill patternType="none"/>
    </fill>
    <fill>
      <patternFill patternType="gray125"/>
    </fill>
    <fill>
      <patternFill patternType="solid">
        <fgColor rgb="FFE6E6E6"/>
        <bgColor rgb="FFE6E6E6"/>
      </patternFill>
    </fill>
    <fill>
      <patternFill patternType="solid">
        <fgColor theme="0"/>
        <bgColor theme="0"/>
      </patternFill>
    </fill>
    <fill>
      <patternFill patternType="solid">
        <fgColor rgb="FF00FF00"/>
        <bgColor rgb="FF00FF00"/>
      </patternFill>
    </fill>
    <fill>
      <patternFill patternType="solid">
        <fgColor rgb="FFFFFFFF"/>
        <bgColor rgb="FFFFFFFF"/>
      </patternFill>
    </fill>
    <fill>
      <patternFill patternType="solid">
        <fgColor rgb="FFD9D9D9"/>
        <bgColor rgb="FFD9D9D9"/>
      </patternFill>
    </fill>
    <fill>
      <patternFill patternType="solid">
        <fgColor rgb="FFFFFF00"/>
        <bgColor rgb="FFFFFF00"/>
      </patternFill>
    </fill>
    <fill>
      <patternFill patternType="solid">
        <fgColor rgb="FFFF0000"/>
        <bgColor rgb="FFFF0000"/>
      </patternFill>
    </fill>
    <fill>
      <patternFill patternType="solid">
        <fgColor rgb="FF93C47D"/>
        <bgColor rgb="FF93C47D"/>
      </patternFill>
    </fill>
    <fill>
      <patternFill patternType="solid">
        <fgColor rgb="FF6FA8DC"/>
        <bgColor rgb="FF6FA8DC"/>
      </patternFill>
    </fill>
    <fill>
      <patternFill patternType="solid">
        <fgColor rgb="FFFF9900"/>
        <bgColor rgb="FFFF9900"/>
      </patternFill>
    </fill>
    <fill>
      <patternFill patternType="solid">
        <fgColor rgb="FF4F81BD"/>
        <bgColor rgb="FF4F81BD"/>
      </patternFill>
    </fill>
    <fill>
      <patternFill patternType="solid">
        <fgColor rgb="FFA5A5A5"/>
        <bgColor rgb="FFA5A5A5"/>
      </patternFill>
    </fill>
    <fill>
      <patternFill patternType="solid">
        <fgColor rgb="FF70AD47"/>
        <bgColor rgb="FF70AD47"/>
      </patternFill>
    </fill>
    <fill>
      <patternFill patternType="solid">
        <fgColor rgb="FFEAD1DC"/>
        <bgColor rgb="FFEAD1DC"/>
      </patternFill>
    </fill>
    <fill>
      <patternFill patternType="solid">
        <fgColor rgb="FF92D050"/>
        <bgColor rgb="FF92D050"/>
      </patternFill>
    </fill>
    <fill>
      <patternFill patternType="solid">
        <fgColor rgb="FFFFFFFF"/>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rgb="FF70AD47"/>
        <bgColor indexed="64"/>
      </patternFill>
    </fill>
    <fill>
      <patternFill patternType="solid">
        <fgColor rgb="FFF4B084"/>
        <bgColor indexed="64"/>
      </patternFill>
    </fill>
    <fill>
      <patternFill patternType="solid">
        <fgColor rgb="FFC6E0B4"/>
        <bgColor indexed="64"/>
      </patternFill>
    </fill>
    <fill>
      <patternFill patternType="solid">
        <fgColor rgb="FFD9D9D9"/>
        <bgColor indexed="64"/>
      </patternFill>
    </fill>
    <fill>
      <patternFill patternType="solid">
        <fgColor rgb="FFB4C6E7"/>
        <bgColor indexed="64"/>
      </patternFill>
    </fill>
    <fill>
      <patternFill patternType="solid">
        <fgColor rgb="FF00B0F0"/>
        <bgColor indexed="64"/>
      </patternFill>
    </fill>
    <fill>
      <patternFill patternType="solid">
        <fgColor rgb="FFED7D31"/>
        <bgColor indexed="64"/>
      </patternFill>
    </fill>
  </fills>
  <borders count="1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s>
  <cellStyleXfs count="2">
    <xf numFmtId="0" fontId="0" fillId="0" borderId="0"/>
    <xf numFmtId="0" fontId="47" fillId="0" borderId="0" applyNumberFormat="0" applyFill="0" applyBorder="0" applyAlignment="0" applyProtection="0"/>
  </cellStyleXfs>
  <cellXfs count="646">
    <xf numFmtId="0" fontId="0" fillId="0" borderId="0" xfId="0"/>
    <xf numFmtId="0" fontId="2" fillId="2" borderId="1" xfId="0" applyFont="1" applyFill="1" applyBorder="1"/>
    <xf numFmtId="0" fontId="2" fillId="2" borderId="0" xfId="0" applyFont="1" applyFill="1"/>
    <xf numFmtId="0" fontId="2" fillId="3" borderId="0" xfId="0" applyFont="1" applyFill="1"/>
    <xf numFmtId="0" fontId="5" fillId="3" borderId="0" xfId="0" applyFont="1" applyFill="1"/>
    <xf numFmtId="0" fontId="5" fillId="0" borderId="0" xfId="0" applyFont="1"/>
    <xf numFmtId="0" fontId="1" fillId="4" borderId="0" xfId="0" applyFont="1" applyFill="1"/>
    <xf numFmtId="164" fontId="1" fillId="4" borderId="0" xfId="0" applyNumberFormat="1" applyFont="1" applyFill="1" applyAlignment="1">
      <alignment horizontal="right"/>
    </xf>
    <xf numFmtId="0" fontId="3" fillId="2" borderId="1" xfId="0" applyFont="1" applyFill="1" applyBorder="1" applyAlignment="1">
      <alignment horizontal="center" wrapText="1"/>
    </xf>
    <xf numFmtId="0" fontId="6" fillId="2" borderId="1" xfId="0" applyFont="1" applyFill="1" applyBorder="1" applyAlignment="1">
      <alignment horizontal="center" wrapText="1"/>
    </xf>
    <xf numFmtId="0" fontId="6" fillId="5" borderId="1" xfId="0" applyFont="1" applyFill="1" applyBorder="1" applyAlignment="1">
      <alignment horizontal="center" wrapText="1"/>
    </xf>
    <xf numFmtId="0" fontId="5" fillId="0" borderId="1" xfId="0" applyFont="1" applyBorder="1"/>
    <xf numFmtId="0" fontId="7" fillId="6" borderId="1" xfId="0" applyFont="1" applyFill="1" applyBorder="1" applyAlignment="1">
      <alignment horizontal="center" wrapText="1"/>
    </xf>
    <xf numFmtId="14" fontId="2" fillId="0" borderId="1" xfId="0" applyNumberFormat="1" applyFont="1" applyBorder="1" applyAlignment="1">
      <alignment horizontal="center" wrapText="1"/>
    </xf>
    <xf numFmtId="0" fontId="2" fillId="0" borderId="1" xfId="0" applyFont="1" applyBorder="1" applyAlignment="1">
      <alignment horizontal="center" wrapText="1"/>
    </xf>
    <xf numFmtId="0" fontId="2" fillId="0" borderId="0" xfId="0" applyFont="1" applyAlignment="1">
      <alignment horizontal="center" wrapText="1"/>
    </xf>
    <xf numFmtId="0" fontId="8" fillId="5" borderId="1" xfId="0" applyFont="1" applyFill="1" applyBorder="1"/>
    <xf numFmtId="0" fontId="8" fillId="3" borderId="1" xfId="0" applyFont="1" applyFill="1" applyBorder="1"/>
    <xf numFmtId="0" fontId="1" fillId="3" borderId="1" xfId="0" applyFont="1" applyFill="1" applyBorder="1"/>
    <xf numFmtId="0" fontId="11" fillId="5" borderId="1" xfId="0" applyFont="1" applyFill="1" applyBorder="1"/>
    <xf numFmtId="14" fontId="5" fillId="0" borderId="1" xfId="0" applyNumberFormat="1" applyFont="1" applyBorder="1"/>
    <xf numFmtId="14" fontId="5" fillId="5" borderId="1" xfId="0" applyNumberFormat="1" applyFont="1" applyFill="1" applyBorder="1" applyAlignment="1">
      <alignment horizontal="right"/>
    </xf>
    <xf numFmtId="0" fontId="11" fillId="5" borderId="1" xfId="0" applyFont="1" applyFill="1" applyBorder="1" applyAlignment="1">
      <alignment horizontal="right"/>
    </xf>
    <xf numFmtId="14" fontId="11" fillId="5" borderId="1" xfId="0" applyNumberFormat="1" applyFont="1" applyFill="1" applyBorder="1" applyAlignment="1">
      <alignment horizontal="right"/>
    </xf>
    <xf numFmtId="0" fontId="5" fillId="5" borderId="1" xfId="0" applyFont="1" applyFill="1" applyBorder="1"/>
    <xf numFmtId="0" fontId="13" fillId="3" borderId="1" xfId="0" applyFont="1" applyFill="1" applyBorder="1" applyAlignment="1">
      <alignment horizontal="left"/>
    </xf>
    <xf numFmtId="0" fontId="13" fillId="3" borderId="1" xfId="0" applyFont="1" applyFill="1" applyBorder="1" applyAlignment="1">
      <alignment horizontal="center"/>
    </xf>
    <xf numFmtId="165" fontId="13" fillId="3" borderId="1" xfId="0" applyNumberFormat="1" applyFont="1" applyFill="1" applyBorder="1" applyAlignment="1">
      <alignment horizontal="left"/>
    </xf>
    <xf numFmtId="0" fontId="13" fillId="3" borderId="1" xfId="0" applyFont="1" applyFill="1" applyBorder="1"/>
    <xf numFmtId="0" fontId="5" fillId="3" borderId="1" xfId="0" applyFont="1" applyFill="1" applyBorder="1"/>
    <xf numFmtId="0" fontId="14" fillId="0" borderId="1" xfId="0" applyFont="1" applyBorder="1"/>
    <xf numFmtId="0" fontId="1" fillId="5" borderId="1" xfId="0" applyFont="1" applyFill="1" applyBorder="1"/>
    <xf numFmtId="165" fontId="1" fillId="5" borderId="1" xfId="0" applyNumberFormat="1" applyFont="1" applyFill="1" applyBorder="1"/>
    <xf numFmtId="165" fontId="5" fillId="3" borderId="1" xfId="0" applyNumberFormat="1" applyFont="1" applyFill="1" applyBorder="1"/>
    <xf numFmtId="0" fontId="13" fillId="3" borderId="1" xfId="0" applyFont="1" applyFill="1" applyBorder="1" applyAlignment="1">
      <alignment horizontal="left" wrapText="1"/>
    </xf>
    <xf numFmtId="165" fontId="13" fillId="3" borderId="1" xfId="0" applyNumberFormat="1" applyFont="1" applyFill="1" applyBorder="1" applyAlignment="1">
      <alignment horizontal="left" wrapText="1"/>
    </xf>
    <xf numFmtId="0" fontId="5" fillId="3" borderId="1" xfId="0" applyFont="1" applyFill="1" applyBorder="1" applyAlignment="1">
      <alignment wrapText="1"/>
    </xf>
    <xf numFmtId="0" fontId="13" fillId="3" borderId="1" xfId="0" applyFont="1" applyFill="1" applyBorder="1" applyAlignment="1">
      <alignment wrapText="1"/>
    </xf>
    <xf numFmtId="0" fontId="11" fillId="3" borderId="1" xfId="0" applyFont="1" applyFill="1" applyBorder="1"/>
    <xf numFmtId="0" fontId="14" fillId="0" borderId="0" xfId="0" applyFont="1" applyAlignment="1">
      <alignment horizontal="center"/>
    </xf>
    <xf numFmtId="0" fontId="14" fillId="0" borderId="0" xfId="0" applyFont="1"/>
    <xf numFmtId="0" fontId="11" fillId="5" borderId="0" xfId="0" applyFont="1" applyFill="1"/>
    <xf numFmtId="14" fontId="5" fillId="0" borderId="0" xfId="0" applyNumberFormat="1" applyFont="1"/>
    <xf numFmtId="0" fontId="11" fillId="5" borderId="0" xfId="0" applyFont="1" applyFill="1" applyAlignment="1">
      <alignment horizontal="right"/>
    </xf>
    <xf numFmtId="14" fontId="11" fillId="5" borderId="0" xfId="0" applyNumberFormat="1" applyFont="1" applyFill="1" applyAlignment="1">
      <alignment horizontal="right"/>
    </xf>
    <xf numFmtId="0" fontId="2" fillId="9" borderId="1" xfId="0" applyFont="1" applyFill="1" applyBorder="1"/>
    <xf numFmtId="0" fontId="5" fillId="9" borderId="1" xfId="0" applyFont="1" applyFill="1" applyBorder="1"/>
    <xf numFmtId="0" fontId="3" fillId="9" borderId="1" xfId="0" applyFont="1" applyFill="1" applyBorder="1" applyAlignment="1">
      <alignment horizontal="center" wrapText="1"/>
    </xf>
    <xf numFmtId="0" fontId="18" fillId="12" borderId="1" xfId="0" applyFont="1" applyFill="1" applyBorder="1" applyAlignment="1">
      <alignment horizontal="center" wrapText="1"/>
    </xf>
    <xf numFmtId="0" fontId="3" fillId="11" borderId="1" xfId="0" applyFont="1" applyFill="1" applyBorder="1" applyAlignment="1">
      <alignment horizontal="center" wrapText="1"/>
    </xf>
    <xf numFmtId="0" fontId="13" fillId="5" borderId="1" xfId="0" applyFont="1" applyFill="1" applyBorder="1" applyAlignment="1">
      <alignment horizontal="left"/>
    </xf>
    <xf numFmtId="0" fontId="13" fillId="5" borderId="1" xfId="0" applyFont="1" applyFill="1" applyBorder="1"/>
    <xf numFmtId="0" fontId="19" fillId="3" borderId="1" xfId="0" applyFont="1" applyFill="1" applyBorder="1" applyAlignment="1">
      <alignment horizontal="left" vertical="top"/>
    </xf>
    <xf numFmtId="0" fontId="21" fillId="3" borderId="1" xfId="0" applyFont="1" applyFill="1" applyBorder="1" applyAlignment="1">
      <alignment horizontal="left" vertical="top"/>
    </xf>
    <xf numFmtId="0" fontId="14" fillId="3" borderId="1" xfId="0" applyFont="1" applyFill="1" applyBorder="1"/>
    <xf numFmtId="165" fontId="1" fillId="3" borderId="1" xfId="0" applyNumberFormat="1" applyFont="1" applyFill="1" applyBorder="1"/>
    <xf numFmtId="0" fontId="19" fillId="0" borderId="1" xfId="0" applyFont="1" applyBorder="1" applyAlignment="1">
      <alignment horizontal="left" vertical="top"/>
    </xf>
    <xf numFmtId="0" fontId="21" fillId="0" borderId="1" xfId="0" applyFont="1" applyBorder="1" applyAlignment="1">
      <alignment horizontal="left" vertical="top"/>
    </xf>
    <xf numFmtId="0" fontId="13" fillId="0" borderId="1" xfId="0" applyFont="1" applyBorder="1"/>
    <xf numFmtId="0" fontId="25" fillId="3" borderId="1" xfId="0" applyFont="1" applyFill="1" applyBorder="1"/>
    <xf numFmtId="0" fontId="2" fillId="3" borderId="1" xfId="0" applyFont="1" applyFill="1" applyBorder="1"/>
    <xf numFmtId="0" fontId="26" fillId="5" borderId="1" xfId="0" applyFont="1" applyFill="1" applyBorder="1"/>
    <xf numFmtId="0" fontId="27" fillId="5" borderId="1" xfId="0" applyFont="1" applyFill="1" applyBorder="1"/>
    <xf numFmtId="0" fontId="5" fillId="7" borderId="1" xfId="0" applyFont="1" applyFill="1" applyBorder="1"/>
    <xf numFmtId="0" fontId="13" fillId="7" borderId="1" xfId="0" applyFont="1" applyFill="1" applyBorder="1"/>
    <xf numFmtId="0" fontId="30" fillId="5" borderId="1" xfId="0" applyFont="1" applyFill="1" applyBorder="1" applyAlignment="1">
      <alignment horizontal="left"/>
    </xf>
    <xf numFmtId="0" fontId="14" fillId="3" borderId="0" xfId="0" applyFont="1" applyFill="1"/>
    <xf numFmtId="0" fontId="3" fillId="3" borderId="1" xfId="0" applyFont="1" applyFill="1" applyBorder="1" applyAlignment="1">
      <alignment horizontal="center" wrapText="1"/>
    </xf>
    <xf numFmtId="14" fontId="8" fillId="3" borderId="1" xfId="0" applyNumberFormat="1" applyFont="1" applyFill="1" applyBorder="1"/>
    <xf numFmtId="0" fontId="13" fillId="4" borderId="1" xfId="0" applyFont="1" applyFill="1" applyBorder="1" applyAlignment="1">
      <alignment horizontal="left"/>
    </xf>
    <xf numFmtId="0" fontId="6" fillId="5" borderId="1" xfId="0" applyFont="1" applyFill="1" applyBorder="1"/>
    <xf numFmtId="0" fontId="1" fillId="0" borderId="1" xfId="0" applyFont="1" applyBorder="1"/>
    <xf numFmtId="0" fontId="5" fillId="3" borderId="1" xfId="0" applyFont="1" applyFill="1" applyBorder="1" applyAlignment="1">
      <alignment horizontal="center"/>
    </xf>
    <xf numFmtId="0" fontId="31" fillId="3" borderId="1" xfId="0" applyFont="1" applyFill="1" applyBorder="1" applyAlignment="1">
      <alignment horizontal="center" vertical="top"/>
    </xf>
    <xf numFmtId="0" fontId="9" fillId="3" borderId="1" xfId="0" applyFont="1" applyFill="1" applyBorder="1"/>
    <xf numFmtId="0" fontId="1" fillId="3" borderId="1" xfId="0" applyFont="1" applyFill="1" applyBorder="1" applyAlignment="1">
      <alignment vertical="top"/>
    </xf>
    <xf numFmtId="0" fontId="31" fillId="0" borderId="1" xfId="0" applyFont="1" applyBorder="1" applyAlignment="1">
      <alignment horizontal="center" vertical="top"/>
    </xf>
    <xf numFmtId="0" fontId="23" fillId="3" borderId="1" xfId="0" applyFont="1" applyFill="1" applyBorder="1" applyAlignment="1">
      <alignment horizontal="left"/>
    </xf>
    <xf numFmtId="0" fontId="5" fillId="4" borderId="1" xfId="0" applyFont="1" applyFill="1" applyBorder="1"/>
    <xf numFmtId="0" fontId="13" fillId="4" borderId="1" xfId="0" applyFont="1" applyFill="1" applyBorder="1" applyAlignment="1">
      <alignment horizontal="center"/>
    </xf>
    <xf numFmtId="165" fontId="13" fillId="4" borderId="1" xfId="0" applyNumberFormat="1" applyFont="1" applyFill="1" applyBorder="1" applyAlignment="1">
      <alignment horizontal="left"/>
    </xf>
    <xf numFmtId="0" fontId="13" fillId="4" borderId="1" xfId="0" applyFont="1" applyFill="1" applyBorder="1"/>
    <xf numFmtId="0" fontId="32" fillId="3" borderId="1" xfId="0" applyFont="1" applyFill="1" applyBorder="1" applyAlignment="1">
      <alignment horizontal="left"/>
    </xf>
    <xf numFmtId="0" fontId="33" fillId="3" borderId="1" xfId="0" applyFont="1" applyFill="1" applyBorder="1"/>
    <xf numFmtId="0" fontId="14" fillId="0" borderId="1" xfId="0" applyFont="1" applyBorder="1" applyAlignment="1">
      <alignment horizontal="center"/>
    </xf>
    <xf numFmtId="0" fontId="14" fillId="3" borderId="1" xfId="0" applyFont="1" applyFill="1" applyBorder="1" applyAlignment="1">
      <alignment horizontal="center"/>
    </xf>
    <xf numFmtId="0" fontId="34" fillId="5" borderId="1" xfId="0" applyFont="1" applyFill="1" applyBorder="1" applyAlignment="1">
      <alignment horizontal="center"/>
    </xf>
    <xf numFmtId="0" fontId="25" fillId="3" borderId="1" xfId="0" applyFont="1" applyFill="1" applyBorder="1" applyAlignment="1">
      <alignment horizontal="center"/>
    </xf>
    <xf numFmtId="165" fontId="14" fillId="0" borderId="1" xfId="0" applyNumberFormat="1" applyFont="1" applyBorder="1"/>
    <xf numFmtId="0" fontId="12" fillId="3" borderId="1" xfId="0" applyFont="1" applyFill="1" applyBorder="1" applyAlignment="1">
      <alignment horizontal="center" wrapText="1"/>
    </xf>
    <xf numFmtId="165" fontId="14" fillId="3" borderId="1" xfId="0" applyNumberFormat="1" applyFont="1" applyFill="1" applyBorder="1"/>
    <xf numFmtId="0" fontId="19" fillId="0" borderId="1" xfId="0" applyFont="1" applyBorder="1" applyAlignment="1">
      <alignment horizontal="center" vertical="top"/>
    </xf>
    <xf numFmtId="166" fontId="14" fillId="3" borderId="1" xfId="0" applyNumberFormat="1" applyFont="1" applyFill="1" applyBorder="1"/>
    <xf numFmtId="0" fontId="36" fillId="3" borderId="1" xfId="0" applyFont="1" applyFill="1" applyBorder="1" applyAlignment="1">
      <alignment horizontal="center"/>
    </xf>
    <xf numFmtId="0" fontId="36" fillId="3" borderId="1" xfId="0" applyFont="1" applyFill="1" applyBorder="1"/>
    <xf numFmtId="0" fontId="37" fillId="0" borderId="1" xfId="0" applyFont="1" applyBorder="1"/>
    <xf numFmtId="0" fontId="38" fillId="5" borderId="1" xfId="0" applyFont="1" applyFill="1" applyBorder="1"/>
    <xf numFmtId="0" fontId="14" fillId="7" borderId="1" xfId="0" applyFont="1" applyFill="1" applyBorder="1"/>
    <xf numFmtId="14" fontId="8" fillId="3" borderId="0" xfId="0" applyNumberFormat="1" applyFont="1" applyFill="1"/>
    <xf numFmtId="0" fontId="8" fillId="3" borderId="0" xfId="0" applyFont="1" applyFill="1"/>
    <xf numFmtId="0" fontId="11" fillId="3" borderId="0" xfId="0" applyFont="1" applyFill="1"/>
    <xf numFmtId="0" fontId="5" fillId="5" borderId="0" xfId="0" applyFont="1" applyFill="1"/>
    <xf numFmtId="0" fontId="5" fillId="7" borderId="0" xfId="0" applyFont="1" applyFill="1"/>
    <xf numFmtId="0" fontId="5" fillId="4" borderId="0" xfId="0" applyFont="1" applyFill="1"/>
    <xf numFmtId="0" fontId="5" fillId="8" borderId="0" xfId="0" applyFont="1" applyFill="1"/>
    <xf numFmtId="0" fontId="12" fillId="13" borderId="0" xfId="0" applyFont="1" applyFill="1" applyAlignment="1">
      <alignment horizontal="center" wrapText="1"/>
    </xf>
    <xf numFmtId="0" fontId="5" fillId="14" borderId="1" xfId="0" applyFont="1" applyFill="1" applyBorder="1"/>
    <xf numFmtId="0" fontId="5" fillId="8" borderId="1" xfId="0" applyFont="1" applyFill="1" applyBorder="1"/>
    <xf numFmtId="14" fontId="8" fillId="5" borderId="1" xfId="0" applyNumberFormat="1" applyFont="1" applyFill="1" applyBorder="1"/>
    <xf numFmtId="0" fontId="39" fillId="5" borderId="1" xfId="0" applyFont="1" applyFill="1" applyBorder="1"/>
    <xf numFmtId="14" fontId="5" fillId="5" borderId="0" xfId="0" applyNumberFormat="1" applyFont="1" applyFill="1" applyAlignment="1">
      <alignment horizontal="right"/>
    </xf>
    <xf numFmtId="0" fontId="5" fillId="15" borderId="1" xfId="0" applyFont="1" applyFill="1" applyBorder="1"/>
    <xf numFmtId="0" fontId="5" fillId="11" borderId="0" xfId="0" applyFont="1" applyFill="1"/>
    <xf numFmtId="0" fontId="41" fillId="0" borderId="1" xfId="0" applyFont="1" applyBorder="1"/>
    <xf numFmtId="0" fontId="14" fillId="0" borderId="1" xfId="0" applyFont="1" applyBorder="1" applyAlignment="1">
      <alignment horizontal="left"/>
    </xf>
    <xf numFmtId="0" fontId="33" fillId="0" borderId="1" xfId="0" applyFont="1" applyBorder="1"/>
    <xf numFmtId="0" fontId="14" fillId="3" borderId="1" xfId="0" applyFont="1" applyFill="1" applyBorder="1" applyAlignment="1">
      <alignment horizontal="left"/>
    </xf>
    <xf numFmtId="0" fontId="13" fillId="16" borderId="1" xfId="0" applyFont="1" applyFill="1" applyBorder="1"/>
    <xf numFmtId="0" fontId="31" fillId="0" borderId="1" xfId="0" applyFont="1" applyBorder="1" applyAlignment="1">
      <alignment horizontal="left" vertical="top"/>
    </xf>
    <xf numFmtId="0" fontId="5" fillId="5" borderId="1" xfId="0" applyFont="1" applyFill="1" applyBorder="1" applyAlignment="1">
      <alignment horizontal="right"/>
    </xf>
    <xf numFmtId="0" fontId="5" fillId="5" borderId="1" xfId="0" applyFont="1" applyFill="1" applyBorder="1" applyAlignment="1">
      <alignment wrapText="1"/>
    </xf>
    <xf numFmtId="0" fontId="5" fillId="5" borderId="1" xfId="0" applyFont="1" applyFill="1" applyBorder="1" applyAlignment="1">
      <alignment horizontal="right" wrapText="1"/>
    </xf>
    <xf numFmtId="165" fontId="5" fillId="5" borderId="1" xfId="0" applyNumberFormat="1" applyFont="1" applyFill="1" applyBorder="1" applyAlignment="1">
      <alignment horizontal="right" wrapText="1"/>
    </xf>
    <xf numFmtId="0" fontId="14" fillId="0" borderId="0" xfId="0" applyFont="1" applyAlignment="1">
      <alignment horizontal="left"/>
    </xf>
    <xf numFmtId="0" fontId="5" fillId="2" borderId="1" xfId="0" applyFont="1" applyFill="1" applyBorder="1"/>
    <xf numFmtId="0" fontId="5" fillId="2" borderId="4" xfId="0" applyFont="1" applyFill="1" applyBorder="1"/>
    <xf numFmtId="0" fontId="5" fillId="2" borderId="5" xfId="0" applyFont="1" applyFill="1" applyBorder="1"/>
    <xf numFmtId="0" fontId="5" fillId="2" borderId="0" xfId="0" applyFont="1" applyFill="1"/>
    <xf numFmtId="0" fontId="5" fillId="0" borderId="5" xfId="0" applyFont="1" applyBorder="1"/>
    <xf numFmtId="0" fontId="43" fillId="4" borderId="0" xfId="0" applyFont="1" applyFill="1"/>
    <xf numFmtId="164" fontId="43" fillId="4" borderId="0" xfId="0" applyNumberFormat="1" applyFont="1" applyFill="1" applyAlignment="1">
      <alignment horizontal="right"/>
    </xf>
    <xf numFmtId="0" fontId="6" fillId="2" borderId="6" xfId="0" applyFont="1" applyFill="1" applyBorder="1" applyAlignment="1">
      <alignment horizontal="center" wrapText="1"/>
    </xf>
    <xf numFmtId="0" fontId="6" fillId="2" borderId="7" xfId="0" applyFont="1" applyFill="1" applyBorder="1" applyAlignment="1">
      <alignment horizontal="center" wrapText="1"/>
    </xf>
    <xf numFmtId="0" fontId="5" fillId="2" borderId="7" xfId="0" applyFont="1" applyFill="1" applyBorder="1"/>
    <xf numFmtId="0" fontId="6" fillId="5" borderId="7" xfId="0" applyFont="1" applyFill="1" applyBorder="1" applyAlignment="1">
      <alignment horizontal="center" wrapText="1"/>
    </xf>
    <xf numFmtId="0" fontId="6" fillId="2" borderId="7" xfId="0" applyFont="1" applyFill="1" applyBorder="1" applyAlignment="1">
      <alignment wrapText="1"/>
    </xf>
    <xf numFmtId="0" fontId="6" fillId="2" borderId="8" xfId="0" applyFont="1" applyFill="1" applyBorder="1" applyAlignment="1">
      <alignment horizontal="center" wrapText="1"/>
    </xf>
    <xf numFmtId="0" fontId="6" fillId="2" borderId="0" xfId="0" applyFont="1" applyFill="1" applyAlignment="1">
      <alignment horizontal="center" wrapText="1"/>
    </xf>
    <xf numFmtId="0" fontId="7" fillId="6" borderId="0" xfId="0" applyFont="1" applyFill="1" applyAlignment="1">
      <alignment horizontal="center" wrapText="1"/>
    </xf>
    <xf numFmtId="14" fontId="2" fillId="0" borderId="0" xfId="0" applyNumberFormat="1" applyFont="1" applyAlignment="1">
      <alignment horizontal="center" wrapText="1"/>
    </xf>
    <xf numFmtId="165" fontId="14" fillId="0" borderId="0" xfId="0" applyNumberFormat="1" applyFont="1"/>
    <xf numFmtId="14" fontId="14" fillId="0" borderId="0" xfId="0" applyNumberFormat="1" applyFont="1"/>
    <xf numFmtId="0" fontId="20" fillId="0" borderId="1" xfId="0" applyFont="1" applyBorder="1"/>
    <xf numFmtId="0" fontId="20" fillId="3" borderId="1" xfId="0" applyFont="1" applyFill="1" applyBorder="1" applyAlignment="1">
      <alignment horizontal="left" wrapText="1"/>
    </xf>
    <xf numFmtId="0" fontId="44" fillId="0" borderId="0" xfId="0" applyFont="1"/>
    <xf numFmtId="0" fontId="12" fillId="17" borderId="1" xfId="0" applyFont="1" applyFill="1" applyBorder="1" applyAlignment="1">
      <alignment horizontal="center" vertical="center" wrapText="1"/>
    </xf>
    <xf numFmtId="0" fontId="5" fillId="17" borderId="1" xfId="0" applyFont="1" applyFill="1" applyBorder="1"/>
    <xf numFmtId="0" fontId="22" fillId="17" borderId="1" xfId="0" applyFont="1" applyFill="1" applyBorder="1" applyAlignment="1">
      <alignment horizontal="center" vertical="center" wrapText="1"/>
    </xf>
    <xf numFmtId="0" fontId="19" fillId="17" borderId="1" xfId="0" applyFont="1" applyFill="1" applyBorder="1" applyAlignment="1">
      <alignment horizontal="left" vertical="top"/>
    </xf>
    <xf numFmtId="0" fontId="21" fillId="17" borderId="1" xfId="0" applyFont="1" applyFill="1" applyBorder="1" applyAlignment="1">
      <alignment horizontal="left" vertical="top"/>
    </xf>
    <xf numFmtId="0" fontId="19" fillId="17" borderId="1" xfId="0" applyFont="1" applyFill="1" applyBorder="1" applyAlignment="1">
      <alignment horizontal="center" vertical="top"/>
    </xf>
    <xf numFmtId="0" fontId="34" fillId="17" borderId="1" xfId="0" applyFont="1" applyFill="1" applyBorder="1" applyAlignment="1">
      <alignment horizontal="center"/>
    </xf>
    <xf numFmtId="0" fontId="25" fillId="17" borderId="1" xfId="0" applyFont="1" applyFill="1" applyBorder="1" applyAlignment="1">
      <alignment horizontal="center"/>
    </xf>
    <xf numFmtId="0" fontId="47" fillId="17" borderId="1" xfId="1" applyFill="1" applyBorder="1" applyAlignment="1">
      <alignment horizontal="center"/>
    </xf>
    <xf numFmtId="0" fontId="14" fillId="17" borderId="1" xfId="0" applyFont="1" applyFill="1" applyBorder="1"/>
    <xf numFmtId="0" fontId="25" fillId="17" borderId="1" xfId="0" applyFont="1" applyFill="1" applyBorder="1"/>
    <xf numFmtId="165" fontId="14" fillId="17" borderId="1" xfId="0" applyNumberFormat="1" applyFont="1" applyFill="1" applyBorder="1"/>
    <xf numFmtId="166" fontId="14" fillId="17" borderId="1" xfId="0" applyNumberFormat="1" applyFont="1" applyFill="1" applyBorder="1"/>
    <xf numFmtId="0" fontId="37" fillId="17" borderId="1" xfId="0" applyFont="1" applyFill="1" applyBorder="1"/>
    <xf numFmtId="0" fontId="11" fillId="17" borderId="1" xfId="0" applyFont="1" applyFill="1" applyBorder="1"/>
    <xf numFmtId="14" fontId="5" fillId="17" borderId="1" xfId="0" applyNumberFormat="1" applyFont="1" applyFill="1" applyBorder="1"/>
    <xf numFmtId="14" fontId="5" fillId="17" borderId="1" xfId="0" applyNumberFormat="1" applyFont="1" applyFill="1" applyBorder="1" applyAlignment="1">
      <alignment horizontal="right"/>
    </xf>
    <xf numFmtId="0" fontId="11" fillId="17" borderId="1" xfId="0" applyFont="1" applyFill="1" applyBorder="1" applyAlignment="1">
      <alignment horizontal="right"/>
    </xf>
    <xf numFmtId="14" fontId="11" fillId="17" borderId="1" xfId="0" applyNumberFormat="1" applyFont="1" applyFill="1" applyBorder="1" applyAlignment="1">
      <alignment horizontal="right"/>
    </xf>
    <xf numFmtId="0" fontId="0" fillId="17" borderId="0" xfId="0" applyFill="1"/>
    <xf numFmtId="0" fontId="47" fillId="17" borderId="1" xfId="1" applyFill="1" applyBorder="1"/>
    <xf numFmtId="0" fontId="5" fillId="18" borderId="1" xfId="0" applyFont="1" applyFill="1" applyBorder="1"/>
    <xf numFmtId="0" fontId="12" fillId="18" borderId="1" xfId="0" applyFont="1" applyFill="1" applyBorder="1" applyAlignment="1">
      <alignment horizontal="center" vertical="center" wrapText="1"/>
    </xf>
    <xf numFmtId="0" fontId="13" fillId="18" borderId="1" xfId="0" applyFont="1" applyFill="1" applyBorder="1" applyAlignment="1">
      <alignment horizontal="left"/>
    </xf>
    <xf numFmtId="0" fontId="1" fillId="18" borderId="1" xfId="0" applyFont="1" applyFill="1" applyBorder="1"/>
    <xf numFmtId="165" fontId="1" fillId="18" borderId="1" xfId="0" applyNumberFormat="1" applyFont="1" applyFill="1" applyBorder="1"/>
    <xf numFmtId="166" fontId="1" fillId="18" borderId="1" xfId="0" applyNumberFormat="1" applyFont="1" applyFill="1" applyBorder="1"/>
    <xf numFmtId="0" fontId="13" fillId="18" borderId="1" xfId="0" applyFont="1" applyFill="1" applyBorder="1"/>
    <xf numFmtId="0" fontId="11" fillId="18" borderId="1" xfId="0" applyFont="1" applyFill="1" applyBorder="1"/>
    <xf numFmtId="14" fontId="5" fillId="18" borderId="1" xfId="0" applyNumberFormat="1" applyFont="1" applyFill="1" applyBorder="1"/>
    <xf numFmtId="14" fontId="5" fillId="18" borderId="1" xfId="0" applyNumberFormat="1" applyFont="1" applyFill="1" applyBorder="1" applyAlignment="1">
      <alignment horizontal="right"/>
    </xf>
    <xf numFmtId="0" fontId="11" fillId="18" borderId="1" xfId="0" applyFont="1" applyFill="1" applyBorder="1" applyAlignment="1">
      <alignment horizontal="right"/>
    </xf>
    <xf numFmtId="14" fontId="11" fillId="18" borderId="1" xfId="0" applyNumberFormat="1" applyFont="1" applyFill="1" applyBorder="1" applyAlignment="1">
      <alignment horizontal="right"/>
    </xf>
    <xf numFmtId="14" fontId="8" fillId="18" borderId="1" xfId="0" applyNumberFormat="1" applyFont="1" applyFill="1" applyBorder="1"/>
    <xf numFmtId="0" fontId="8" fillId="18" borderId="1" xfId="0" applyFont="1" applyFill="1" applyBorder="1"/>
    <xf numFmtId="0" fontId="0" fillId="18" borderId="0" xfId="0" applyFill="1"/>
    <xf numFmtId="14" fontId="14" fillId="0" borderId="1" xfId="0" applyNumberFormat="1" applyFont="1" applyBorder="1"/>
    <xf numFmtId="0" fontId="47" fillId="0" borderId="1" xfId="1" applyBorder="1"/>
    <xf numFmtId="0" fontId="14" fillId="18" borderId="1" xfId="0" applyFont="1" applyFill="1" applyBorder="1" applyAlignment="1">
      <alignment horizontal="center"/>
    </xf>
    <xf numFmtId="0" fontId="25" fillId="18" borderId="1" xfId="0" applyFont="1" applyFill="1" applyBorder="1" applyAlignment="1">
      <alignment horizontal="center"/>
    </xf>
    <xf numFmtId="0" fontId="14" fillId="18" borderId="1" xfId="0" applyFont="1" applyFill="1" applyBorder="1"/>
    <xf numFmtId="165" fontId="14" fillId="18" borderId="1" xfId="0" applyNumberFormat="1" applyFont="1" applyFill="1" applyBorder="1"/>
    <xf numFmtId="166" fontId="14" fillId="18" borderId="1" xfId="0" applyNumberFormat="1" applyFont="1" applyFill="1" applyBorder="1"/>
    <xf numFmtId="0" fontId="14" fillId="18" borderId="1" xfId="0" applyFont="1" applyFill="1" applyBorder="1" applyAlignment="1">
      <alignment horizontal="left"/>
    </xf>
    <xf numFmtId="0" fontId="25" fillId="18" borderId="1" xfId="0" applyFont="1" applyFill="1" applyBorder="1"/>
    <xf numFmtId="0" fontId="5" fillId="18" borderId="1" xfId="0" applyFont="1" applyFill="1" applyBorder="1" applyAlignment="1">
      <alignment horizontal="center"/>
    </xf>
    <xf numFmtId="0" fontId="47" fillId="5" borderId="1" xfId="1" applyFill="1" applyBorder="1"/>
    <xf numFmtId="0" fontId="41" fillId="18" borderId="1" xfId="0" applyFont="1" applyFill="1" applyBorder="1"/>
    <xf numFmtId="165" fontId="13" fillId="18" borderId="1" xfId="0" applyNumberFormat="1" applyFont="1" applyFill="1" applyBorder="1" applyAlignment="1">
      <alignment horizontal="left"/>
    </xf>
    <xf numFmtId="0" fontId="9" fillId="18" borderId="1" xfId="0" applyFont="1" applyFill="1" applyBorder="1"/>
    <xf numFmtId="0" fontId="21" fillId="18" borderId="1" xfId="0" applyFont="1" applyFill="1" applyBorder="1" applyAlignment="1">
      <alignment horizontal="left" vertical="top"/>
    </xf>
    <xf numFmtId="0" fontId="6" fillId="18" borderId="1" xfId="0" applyFont="1" applyFill="1" applyBorder="1"/>
    <xf numFmtId="0" fontId="19" fillId="18" borderId="1" xfId="0" applyFont="1" applyFill="1" applyBorder="1" applyAlignment="1">
      <alignment horizontal="left" vertical="top"/>
    </xf>
    <xf numFmtId="165" fontId="1" fillId="18" borderId="1" xfId="0" applyNumberFormat="1" applyFont="1" applyFill="1" applyBorder="1" applyAlignment="1">
      <alignment horizontal="right"/>
    </xf>
    <xf numFmtId="0" fontId="39" fillId="18" borderId="1" xfId="0" applyFont="1" applyFill="1" applyBorder="1"/>
    <xf numFmtId="0" fontId="40" fillId="18" borderId="1" xfId="0" applyFont="1" applyFill="1" applyBorder="1" applyAlignment="1">
      <alignment horizontal="left"/>
    </xf>
    <xf numFmtId="0" fontId="20" fillId="18" borderId="1" xfId="0" applyFont="1" applyFill="1" applyBorder="1"/>
    <xf numFmtId="0" fontId="33" fillId="18" borderId="1" xfId="0" applyFont="1" applyFill="1" applyBorder="1"/>
    <xf numFmtId="0" fontId="36" fillId="18" borderId="1" xfId="0" applyFont="1" applyFill="1" applyBorder="1" applyAlignment="1">
      <alignment horizontal="center"/>
    </xf>
    <xf numFmtId="0" fontId="42" fillId="18" borderId="1" xfId="0" applyFont="1" applyFill="1" applyBorder="1"/>
    <xf numFmtId="0" fontId="9" fillId="17" borderId="1" xfId="0" applyFont="1" applyFill="1" applyBorder="1"/>
    <xf numFmtId="0" fontId="1" fillId="17" borderId="1" xfId="0" applyFont="1" applyFill="1" applyBorder="1"/>
    <xf numFmtId="0" fontId="49" fillId="0" borderId="1" xfId="0" applyFont="1" applyBorder="1"/>
    <xf numFmtId="0" fontId="13" fillId="17" borderId="1" xfId="0" applyFont="1" applyFill="1" applyBorder="1" applyAlignment="1">
      <alignment horizontal="center"/>
    </xf>
    <xf numFmtId="0" fontId="50" fillId="17" borderId="1" xfId="0" applyFont="1" applyFill="1" applyBorder="1"/>
    <xf numFmtId="0" fontId="27" fillId="18" borderId="1" xfId="0" applyFont="1" applyFill="1" applyBorder="1"/>
    <xf numFmtId="0" fontId="19" fillId="18" borderId="1" xfId="0" applyFont="1" applyFill="1" applyBorder="1"/>
    <xf numFmtId="0" fontId="20" fillId="18" borderId="1" xfId="0" applyFont="1" applyFill="1" applyBorder="1" applyAlignment="1">
      <alignment horizontal="left" wrapText="1"/>
    </xf>
    <xf numFmtId="0" fontId="13" fillId="18" borderId="1" xfId="0" applyFont="1" applyFill="1" applyBorder="1" applyAlignment="1">
      <alignment horizontal="left" wrapText="1"/>
    </xf>
    <xf numFmtId="165" fontId="13" fillId="18" borderId="1" xfId="0" applyNumberFormat="1" applyFont="1" applyFill="1" applyBorder="1" applyAlignment="1">
      <alignment horizontal="left" wrapText="1"/>
    </xf>
    <xf numFmtId="0" fontId="5" fillId="18" borderId="1" xfId="0" applyFont="1" applyFill="1" applyBorder="1" applyAlignment="1">
      <alignment wrapText="1"/>
    </xf>
    <xf numFmtId="0" fontId="14" fillId="17" borderId="1" xfId="0" applyFont="1" applyFill="1" applyBorder="1" applyAlignment="1">
      <alignment horizontal="center"/>
    </xf>
    <xf numFmtId="0" fontId="21" fillId="17" borderId="1" xfId="0" applyFont="1" applyFill="1" applyBorder="1" applyAlignment="1">
      <alignment horizontal="center" vertical="top"/>
    </xf>
    <xf numFmtId="0" fontId="45" fillId="17" borderId="1" xfId="0" applyFont="1" applyFill="1" applyBorder="1" applyAlignment="1">
      <alignment horizontal="center"/>
    </xf>
    <xf numFmtId="0" fontId="47" fillId="3" borderId="1" xfId="1" applyFill="1" applyBorder="1" applyAlignment="1">
      <alignment horizontal="center"/>
    </xf>
    <xf numFmtId="0" fontId="47" fillId="3" borderId="1" xfId="1" applyFill="1" applyBorder="1"/>
    <xf numFmtId="14" fontId="14" fillId="17" borderId="1" xfId="0" applyNumberFormat="1" applyFont="1" applyFill="1" applyBorder="1"/>
    <xf numFmtId="14" fontId="14" fillId="18" borderId="1" xfId="0" applyNumberFormat="1" applyFont="1" applyFill="1" applyBorder="1"/>
    <xf numFmtId="14" fontId="0" fillId="0" borderId="0" xfId="0" applyNumberFormat="1"/>
    <xf numFmtId="0" fontId="14" fillId="0" borderId="1" xfId="0" applyFont="1" applyBorder="1" applyAlignment="1">
      <alignment wrapText="1"/>
    </xf>
    <xf numFmtId="0" fontId="12" fillId="3" borderId="1" xfId="0" applyFont="1" applyFill="1" applyBorder="1" applyAlignment="1">
      <alignment horizontal="center" vertical="center"/>
    </xf>
    <xf numFmtId="0" fontId="5" fillId="20" borderId="1" xfId="0" applyFont="1" applyFill="1" applyBorder="1"/>
    <xf numFmtId="0" fontId="12" fillId="20" borderId="1" xfId="0" applyFont="1" applyFill="1" applyBorder="1" applyAlignment="1">
      <alignment horizontal="center" vertical="center" wrapText="1"/>
    </xf>
    <xf numFmtId="0" fontId="19" fillId="20" borderId="1" xfId="0" applyFont="1" applyFill="1" applyBorder="1" applyAlignment="1">
      <alignment horizontal="left" vertical="top"/>
    </xf>
    <xf numFmtId="0" fontId="21" fillId="20" borderId="1" xfId="0" applyFont="1" applyFill="1" applyBorder="1" applyAlignment="1">
      <alignment horizontal="left" vertical="top"/>
    </xf>
    <xf numFmtId="0" fontId="19" fillId="20" borderId="1" xfId="0" applyFont="1" applyFill="1" applyBorder="1" applyAlignment="1">
      <alignment horizontal="center" vertical="top"/>
    </xf>
    <xf numFmtId="0" fontId="34" fillId="20" borderId="1" xfId="0" applyFont="1" applyFill="1" applyBorder="1" applyAlignment="1">
      <alignment horizontal="center"/>
    </xf>
    <xf numFmtId="0" fontId="25" fillId="20" borderId="1" xfId="0" applyFont="1" applyFill="1" applyBorder="1" applyAlignment="1">
      <alignment horizontal="center"/>
    </xf>
    <xf numFmtId="0" fontId="47" fillId="20" borderId="1" xfId="1" applyFill="1" applyBorder="1" applyAlignment="1">
      <alignment horizontal="center"/>
    </xf>
    <xf numFmtId="0" fontId="14" fillId="20" borderId="1" xfId="0" applyFont="1" applyFill="1" applyBorder="1"/>
    <xf numFmtId="0" fontId="25" fillId="20" borderId="1" xfId="0" applyFont="1" applyFill="1" applyBorder="1"/>
    <xf numFmtId="0" fontId="47" fillId="20" borderId="1" xfId="1" applyFill="1" applyBorder="1"/>
    <xf numFmtId="14" fontId="14" fillId="20" borderId="1" xfId="0" applyNumberFormat="1" applyFont="1" applyFill="1" applyBorder="1"/>
    <xf numFmtId="166" fontId="14" fillId="20" borderId="1" xfId="0" applyNumberFormat="1" applyFont="1" applyFill="1" applyBorder="1"/>
    <xf numFmtId="0" fontId="37" fillId="20" borderId="1" xfId="0" applyFont="1" applyFill="1" applyBorder="1"/>
    <xf numFmtId="0" fontId="11" fillId="20" borderId="1" xfId="0" applyFont="1" applyFill="1" applyBorder="1"/>
    <xf numFmtId="14" fontId="5" fillId="20" borderId="1" xfId="0" applyNumberFormat="1" applyFont="1" applyFill="1" applyBorder="1"/>
    <xf numFmtId="14" fontId="5" fillId="20" borderId="1" xfId="0" applyNumberFormat="1" applyFont="1" applyFill="1" applyBorder="1" applyAlignment="1">
      <alignment horizontal="right"/>
    </xf>
    <xf numFmtId="0" fontId="11" fillId="20" borderId="1" xfId="0" applyFont="1" applyFill="1" applyBorder="1" applyAlignment="1">
      <alignment horizontal="right"/>
    </xf>
    <xf numFmtId="14" fontId="11" fillId="20" borderId="1" xfId="0" applyNumberFormat="1" applyFont="1" applyFill="1" applyBorder="1" applyAlignment="1">
      <alignment horizontal="right"/>
    </xf>
    <xf numFmtId="0" fontId="0" fillId="20" borderId="0" xfId="0" applyFill="1"/>
    <xf numFmtId="0" fontId="47" fillId="20" borderId="0" xfId="1" applyFill="1"/>
    <xf numFmtId="165" fontId="14" fillId="20" borderId="1" xfId="0" applyNumberFormat="1" applyFont="1" applyFill="1" applyBorder="1"/>
    <xf numFmtId="0" fontId="1" fillId="20" borderId="1" xfId="0" applyFont="1" applyFill="1" applyBorder="1"/>
    <xf numFmtId="0" fontId="14" fillId="20" borderId="1" xfId="0" applyFont="1" applyFill="1" applyBorder="1" applyAlignment="1">
      <alignment horizontal="left"/>
    </xf>
    <xf numFmtId="0" fontId="20" fillId="20" borderId="1" xfId="0" applyFont="1" applyFill="1" applyBorder="1"/>
    <xf numFmtId="0" fontId="30" fillId="20" borderId="1" xfId="0" applyFont="1" applyFill="1" applyBorder="1" applyAlignment="1">
      <alignment horizontal="left"/>
    </xf>
    <xf numFmtId="14" fontId="48" fillId="0" borderId="0" xfId="0" applyNumberFormat="1" applyFont="1"/>
    <xf numFmtId="0" fontId="6" fillId="2" borderId="4" xfId="0" applyFont="1" applyFill="1" applyBorder="1" applyAlignment="1">
      <alignment horizontal="center" wrapText="1"/>
    </xf>
    <xf numFmtId="0" fontId="6" fillId="5" borderId="4" xfId="0" applyFont="1" applyFill="1" applyBorder="1" applyAlignment="1">
      <alignment horizontal="center" wrapText="1"/>
    </xf>
    <xf numFmtId="0" fontId="0" fillId="21" borderId="0" xfId="0" applyFill="1"/>
    <xf numFmtId="0" fontId="12" fillId="21" borderId="1" xfId="0" applyFont="1" applyFill="1" applyBorder="1" applyAlignment="1">
      <alignment horizontal="center" vertical="center" wrapText="1"/>
    </xf>
    <xf numFmtId="0" fontId="21" fillId="21" borderId="1" xfId="0" applyFont="1" applyFill="1" applyBorder="1" applyAlignment="1">
      <alignment horizontal="left" vertical="top"/>
    </xf>
    <xf numFmtId="0" fontId="5" fillId="21" borderId="1" xfId="0" applyFont="1" applyFill="1" applyBorder="1"/>
    <xf numFmtId="0" fontId="14" fillId="21" borderId="1" xfId="0" applyFont="1" applyFill="1" applyBorder="1"/>
    <xf numFmtId="0" fontId="11" fillId="21" borderId="1" xfId="0" applyFont="1" applyFill="1" applyBorder="1"/>
    <xf numFmtId="14" fontId="5" fillId="21" borderId="1" xfId="0" applyNumberFormat="1" applyFont="1" applyFill="1" applyBorder="1"/>
    <xf numFmtId="14" fontId="5" fillId="21" borderId="1" xfId="0" applyNumberFormat="1" applyFont="1" applyFill="1" applyBorder="1" applyAlignment="1">
      <alignment horizontal="right"/>
    </xf>
    <xf numFmtId="0" fontId="11" fillId="21" borderId="1" xfId="0" applyFont="1" applyFill="1" applyBorder="1" applyAlignment="1">
      <alignment horizontal="right"/>
    </xf>
    <xf numFmtId="14" fontId="11" fillId="21" borderId="1" xfId="0" applyNumberFormat="1" applyFont="1" applyFill="1" applyBorder="1" applyAlignment="1">
      <alignment horizontal="right"/>
    </xf>
    <xf numFmtId="0" fontId="1" fillId="21" borderId="1" xfId="0" applyFont="1" applyFill="1" applyBorder="1"/>
    <xf numFmtId="0" fontId="14" fillId="21" borderId="1" xfId="0" applyFont="1" applyFill="1" applyBorder="1" applyAlignment="1">
      <alignment horizontal="left"/>
    </xf>
    <xf numFmtId="0" fontId="20" fillId="21" borderId="1" xfId="0" applyFont="1" applyFill="1" applyBorder="1"/>
    <xf numFmtId="165" fontId="14" fillId="21" borderId="1" xfId="0" applyNumberFormat="1" applyFont="1" applyFill="1" applyBorder="1"/>
    <xf numFmtId="0" fontId="30" fillId="21" borderId="1" xfId="0" applyFont="1" applyFill="1" applyBorder="1" applyAlignment="1">
      <alignment horizontal="left"/>
    </xf>
    <xf numFmtId="0" fontId="49" fillId="18" borderId="1" xfId="0" applyFont="1" applyFill="1" applyBorder="1"/>
    <xf numFmtId="14" fontId="14" fillId="21" borderId="1" xfId="0" applyNumberFormat="1" applyFont="1" applyFill="1" applyBorder="1"/>
    <xf numFmtId="0" fontId="47" fillId="21" borderId="1" xfId="1" applyFill="1" applyBorder="1"/>
    <xf numFmtId="0" fontId="36" fillId="17" borderId="1" xfId="0" applyFont="1" applyFill="1" applyBorder="1"/>
    <xf numFmtId="0" fontId="6" fillId="17" borderId="1" xfId="0" applyFont="1" applyFill="1" applyBorder="1"/>
    <xf numFmtId="0" fontId="12" fillId="20" borderId="1" xfId="0" applyFont="1" applyFill="1" applyBorder="1" applyAlignment="1">
      <alignment horizontal="center" wrapText="1"/>
    </xf>
    <xf numFmtId="0" fontId="36" fillId="18" borderId="1" xfId="0" applyFont="1" applyFill="1" applyBorder="1"/>
    <xf numFmtId="0" fontId="12" fillId="18" borderId="1" xfId="0" applyFont="1" applyFill="1" applyBorder="1"/>
    <xf numFmtId="0" fontId="12" fillId="18" borderId="1" xfId="0" applyFont="1" applyFill="1" applyBorder="1" applyAlignment="1">
      <alignment horizontal="center" vertical="center"/>
    </xf>
    <xf numFmtId="14" fontId="3" fillId="11" borderId="1" xfId="0" applyNumberFormat="1" applyFont="1" applyFill="1" applyBorder="1" applyAlignment="1">
      <alignment horizontal="center" wrapText="1"/>
    </xf>
    <xf numFmtId="14" fontId="13" fillId="18" borderId="1" xfId="0" applyNumberFormat="1" applyFont="1" applyFill="1" applyBorder="1" applyAlignment="1">
      <alignment horizontal="left"/>
    </xf>
    <xf numFmtId="0" fontId="0" fillId="0" borderId="1" xfId="0" applyBorder="1"/>
    <xf numFmtId="0" fontId="0" fillId="0" borderId="9" xfId="0" applyBorder="1"/>
    <xf numFmtId="0" fontId="30" fillId="17" borderId="1" xfId="0" applyFont="1" applyFill="1" applyBorder="1" applyAlignment="1">
      <alignment horizontal="left"/>
    </xf>
    <xf numFmtId="0" fontId="11" fillId="17" borderId="0" xfId="0" applyFont="1" applyFill="1"/>
    <xf numFmtId="0" fontId="10" fillId="0" borderId="1" xfId="0" applyFont="1" applyBorder="1"/>
    <xf numFmtId="0" fontId="10" fillId="0" borderId="9" xfId="0" applyFont="1" applyBorder="1"/>
    <xf numFmtId="0" fontId="51" fillId="0" borderId="0" xfId="0" applyFont="1"/>
    <xf numFmtId="0" fontId="3" fillId="2" borderId="4" xfId="0" applyFont="1" applyFill="1" applyBorder="1" applyAlignment="1">
      <alignment horizontal="center" wrapText="1"/>
    </xf>
    <xf numFmtId="0" fontId="5" fillId="5" borderId="4" xfId="0" applyFont="1" applyFill="1" applyBorder="1"/>
    <xf numFmtId="0" fontId="5" fillId="3" borderId="4" xfId="0" applyFont="1" applyFill="1" applyBorder="1"/>
    <xf numFmtId="0" fontId="11" fillId="5" borderId="4" xfId="0" applyFont="1" applyFill="1" applyBorder="1"/>
    <xf numFmtId="0" fontId="11" fillId="3" borderId="4" xfId="0" applyFont="1" applyFill="1" applyBorder="1"/>
    <xf numFmtId="0" fontId="5" fillId="18" borderId="4" xfId="0" applyFont="1" applyFill="1" applyBorder="1"/>
    <xf numFmtId="0" fontId="2" fillId="0" borderId="4" xfId="0" applyFont="1" applyBorder="1" applyAlignment="1">
      <alignment horizontal="center" wrapText="1"/>
    </xf>
    <xf numFmtId="0" fontId="11" fillId="18" borderId="4" xfId="0" applyFont="1" applyFill="1" applyBorder="1"/>
    <xf numFmtId="0" fontId="52" fillId="0" borderId="0" xfId="0" applyFont="1"/>
    <xf numFmtId="0" fontId="3" fillId="9" borderId="4" xfId="0" applyFont="1" applyFill="1" applyBorder="1" applyAlignment="1">
      <alignment horizontal="center" wrapText="1"/>
    </xf>
    <xf numFmtId="0" fontId="12" fillId="17" borderId="9" xfId="0" applyFont="1" applyFill="1" applyBorder="1" applyAlignment="1">
      <alignment horizontal="center" vertical="center" wrapText="1"/>
    </xf>
    <xf numFmtId="0" fontId="5" fillId="4" borderId="4" xfId="0" applyFont="1" applyFill="1" applyBorder="1"/>
    <xf numFmtId="0" fontId="5" fillId="17" borderId="4" xfId="0" applyFont="1" applyFill="1" applyBorder="1"/>
    <xf numFmtId="0" fontId="5" fillId="20" borderId="4" xfId="0" applyFont="1" applyFill="1" applyBorder="1"/>
    <xf numFmtId="0" fontId="11" fillId="20" borderId="4" xfId="0" applyFont="1" applyFill="1" applyBorder="1"/>
    <xf numFmtId="0" fontId="17" fillId="5" borderId="1" xfId="0" applyFont="1" applyFill="1" applyBorder="1"/>
    <xf numFmtId="0" fontId="5" fillId="3" borderId="10" xfId="0" applyFont="1" applyFill="1" applyBorder="1"/>
    <xf numFmtId="0" fontId="13" fillId="3" borderId="9" xfId="0" applyFont="1" applyFill="1" applyBorder="1" applyAlignment="1">
      <alignment horizontal="left"/>
    </xf>
    <xf numFmtId="0" fontId="5" fillId="0" borderId="9" xfId="0" applyFont="1" applyBorder="1"/>
    <xf numFmtId="0" fontId="17" fillId="5" borderId="9" xfId="0" applyFont="1" applyFill="1" applyBorder="1"/>
    <xf numFmtId="0" fontId="1" fillId="5" borderId="9" xfId="0" applyFont="1" applyFill="1" applyBorder="1"/>
    <xf numFmtId="165" fontId="1" fillId="5" borderId="9" xfId="0" applyNumberFormat="1" applyFont="1" applyFill="1" applyBorder="1"/>
    <xf numFmtId="0" fontId="30" fillId="5" borderId="9" xfId="0" applyFont="1" applyFill="1" applyBorder="1" applyAlignment="1">
      <alignment horizontal="left"/>
    </xf>
    <xf numFmtId="0" fontId="13" fillId="3" borderId="9" xfId="0" applyFont="1" applyFill="1" applyBorder="1"/>
    <xf numFmtId="0" fontId="11" fillId="5" borderId="9" xfId="0" applyFont="1" applyFill="1" applyBorder="1"/>
    <xf numFmtId="14" fontId="5" fillId="0" borderId="9" xfId="0" applyNumberFormat="1" applyFont="1" applyBorder="1"/>
    <xf numFmtId="14" fontId="5" fillId="5" borderId="9" xfId="0" applyNumberFormat="1" applyFont="1" applyFill="1" applyBorder="1" applyAlignment="1">
      <alignment horizontal="right"/>
    </xf>
    <xf numFmtId="0" fontId="11" fillId="5" borderId="9" xfId="0" applyFont="1" applyFill="1" applyBorder="1" applyAlignment="1">
      <alignment horizontal="right"/>
    </xf>
    <xf numFmtId="14" fontId="11" fillId="5" borderId="9" xfId="0" applyNumberFormat="1" applyFont="1" applyFill="1" applyBorder="1" applyAlignment="1">
      <alignment horizontal="right"/>
    </xf>
    <xf numFmtId="14" fontId="8" fillId="3" borderId="9" xfId="0" applyNumberFormat="1" applyFont="1" applyFill="1" applyBorder="1"/>
    <xf numFmtId="0" fontId="8" fillId="3" borderId="9" xfId="0" applyFont="1" applyFill="1" applyBorder="1"/>
    <xf numFmtId="0" fontId="11" fillId="3" borderId="9" xfId="0" applyFont="1" applyFill="1" applyBorder="1"/>
    <xf numFmtId="0" fontId="11" fillId="21" borderId="4" xfId="0" applyFont="1" applyFill="1" applyBorder="1"/>
    <xf numFmtId="0" fontId="1" fillId="0" borderId="9" xfId="0" applyFont="1" applyBorder="1"/>
    <xf numFmtId="0" fontId="21" fillId="0" borderId="9" xfId="0" applyFont="1" applyBorder="1" applyAlignment="1">
      <alignment horizontal="left" vertical="top"/>
    </xf>
    <xf numFmtId="0" fontId="14" fillId="0" borderId="9" xfId="0" applyFont="1" applyBorder="1" applyAlignment="1">
      <alignment horizontal="left"/>
    </xf>
    <xf numFmtId="0" fontId="20" fillId="0" borderId="9" xfId="0" applyFont="1" applyBorder="1"/>
    <xf numFmtId="0" fontId="14" fillId="0" borderId="9" xfId="0" applyFont="1" applyBorder="1"/>
    <xf numFmtId="0" fontId="14" fillId="3" borderId="9" xfId="0" applyFont="1" applyFill="1" applyBorder="1"/>
    <xf numFmtId="165" fontId="14" fillId="0" borderId="9" xfId="0" applyNumberFormat="1" applyFont="1" applyBorder="1"/>
    <xf numFmtId="0" fontId="13" fillId="0" borderId="1" xfId="0" applyFont="1" applyBorder="1" applyAlignment="1">
      <alignment horizontal="left" wrapText="1"/>
    </xf>
    <xf numFmtId="0" fontId="53" fillId="3" borderId="1" xfId="0" applyFont="1" applyFill="1" applyBorder="1" applyAlignment="1">
      <alignment horizontal="left"/>
    </xf>
    <xf numFmtId="0" fontId="5" fillId="5" borderId="10" xfId="0" applyFont="1" applyFill="1" applyBorder="1"/>
    <xf numFmtId="0" fontId="13" fillId="3" borderId="9" xfId="0" applyFont="1" applyFill="1" applyBorder="1" applyAlignment="1">
      <alignment horizontal="left" wrapText="1"/>
    </xf>
    <xf numFmtId="0" fontId="53" fillId="3" borderId="9" xfId="0" applyFont="1" applyFill="1" applyBorder="1" applyAlignment="1">
      <alignment horizontal="left"/>
    </xf>
    <xf numFmtId="165" fontId="13" fillId="3" borderId="9" xfId="0" applyNumberFormat="1" applyFont="1" applyFill="1" applyBorder="1" applyAlignment="1">
      <alignment horizontal="left" wrapText="1"/>
    </xf>
    <xf numFmtId="0" fontId="5" fillId="3" borderId="9" xfId="0" applyFont="1" applyFill="1" applyBorder="1" applyAlignment="1">
      <alignment wrapText="1"/>
    </xf>
    <xf numFmtId="0" fontId="54" fillId="17" borderId="0" xfId="0" applyFont="1" applyFill="1"/>
    <xf numFmtId="0" fontId="56" fillId="0" borderId="1" xfId="0" applyFont="1" applyBorder="1"/>
    <xf numFmtId="0" fontId="13" fillId="17" borderId="1" xfId="0" applyFont="1" applyFill="1" applyBorder="1" applyAlignment="1">
      <alignment horizontal="left"/>
    </xf>
    <xf numFmtId="0" fontId="13" fillId="17" borderId="1" xfId="0" applyFont="1" applyFill="1" applyBorder="1"/>
    <xf numFmtId="14" fontId="0" fillId="0" borderId="0" xfId="0" applyNumberFormat="1" applyAlignment="1">
      <alignment horizontal="right"/>
    </xf>
    <xf numFmtId="0" fontId="11" fillId="21" borderId="0" xfId="0" applyFont="1" applyFill="1"/>
    <xf numFmtId="0" fontId="47" fillId="3" borderId="1" xfId="1" applyFill="1" applyBorder="1" applyAlignment="1">
      <alignment horizontal="left" wrapText="1"/>
    </xf>
    <xf numFmtId="0" fontId="27" fillId="0" borderId="0" xfId="0" applyFont="1"/>
    <xf numFmtId="0" fontId="47" fillId="3" borderId="1" xfId="1" applyFill="1" applyBorder="1" applyAlignment="1">
      <alignment horizontal="left"/>
    </xf>
    <xf numFmtId="165" fontId="1" fillId="5" borderId="1" xfId="0" applyNumberFormat="1" applyFont="1" applyFill="1" applyBorder="1" applyAlignment="1">
      <alignment horizontal="right"/>
    </xf>
    <xf numFmtId="0" fontId="35" fillId="5" borderId="1" xfId="0" applyFont="1" applyFill="1" applyBorder="1"/>
    <xf numFmtId="0" fontId="14" fillId="19" borderId="1" xfId="0" applyFont="1" applyFill="1" applyBorder="1" applyAlignment="1">
      <alignment horizontal="left"/>
    </xf>
    <xf numFmtId="0" fontId="52" fillId="17" borderId="0" xfId="0" applyFont="1" applyFill="1"/>
    <xf numFmtId="0" fontId="35" fillId="18" borderId="1" xfId="0" applyFont="1" applyFill="1" applyBorder="1" applyAlignment="1">
      <alignment horizontal="center" vertical="center" wrapText="1"/>
    </xf>
    <xf numFmtId="0" fontId="57" fillId="18" borderId="1" xfId="0" applyFont="1" applyFill="1" applyBorder="1"/>
    <xf numFmtId="0" fontId="48" fillId="18" borderId="1" xfId="0" applyFont="1" applyFill="1" applyBorder="1"/>
    <xf numFmtId="0" fontId="1" fillId="5" borderId="0" xfId="0" applyFont="1" applyFill="1"/>
    <xf numFmtId="14" fontId="13" fillId="5" borderId="1" xfId="0" applyNumberFormat="1" applyFont="1" applyFill="1" applyBorder="1"/>
    <xf numFmtId="14" fontId="14" fillId="18" borderId="4" xfId="0" applyNumberFormat="1" applyFont="1" applyFill="1" applyBorder="1"/>
    <xf numFmtId="0" fontId="14" fillId="17" borderId="0" xfId="0" applyFont="1" applyFill="1"/>
    <xf numFmtId="0" fontId="59" fillId="4" borderId="1" xfId="0" applyFont="1" applyFill="1" applyBorder="1" applyAlignment="1">
      <alignment horizontal="left"/>
    </xf>
    <xf numFmtId="0" fontId="56" fillId="18" borderId="1" xfId="0" applyFont="1" applyFill="1" applyBorder="1" applyAlignment="1">
      <alignment horizontal="center"/>
    </xf>
    <xf numFmtId="0" fontId="56" fillId="18" borderId="1" xfId="0" applyFont="1" applyFill="1" applyBorder="1"/>
    <xf numFmtId="0" fontId="14" fillId="18" borderId="1" xfId="0" applyFont="1" applyFill="1" applyBorder="1" applyAlignment="1">
      <alignment wrapText="1"/>
    </xf>
    <xf numFmtId="0" fontId="14" fillId="19" borderId="1" xfId="0" applyFont="1" applyFill="1" applyBorder="1"/>
    <xf numFmtId="0" fontId="14" fillId="17" borderId="1" xfId="0" applyFont="1" applyFill="1" applyBorder="1" applyAlignment="1">
      <alignment horizontal="left"/>
    </xf>
    <xf numFmtId="0" fontId="20" fillId="17" borderId="1" xfId="0" applyFont="1" applyFill="1" applyBorder="1"/>
    <xf numFmtId="0" fontId="10" fillId="17" borderId="1" xfId="0" applyFont="1" applyFill="1" applyBorder="1"/>
    <xf numFmtId="0" fontId="57" fillId="18" borderId="1" xfId="0" applyFont="1" applyFill="1" applyBorder="1" applyAlignment="1">
      <alignment horizontal="left"/>
    </xf>
    <xf numFmtId="0" fontId="58" fillId="18" borderId="1" xfId="1" applyFont="1" applyFill="1" applyBorder="1"/>
    <xf numFmtId="165" fontId="57" fillId="18" borderId="1" xfId="0" applyNumberFormat="1" applyFont="1" applyFill="1" applyBorder="1"/>
    <xf numFmtId="14" fontId="13" fillId="3" borderId="1" xfId="0" applyNumberFormat="1" applyFont="1" applyFill="1" applyBorder="1" applyAlignment="1">
      <alignment horizontal="left" wrapText="1"/>
    </xf>
    <xf numFmtId="0" fontId="14" fillId="22" borderId="1" xfId="0" applyFont="1" applyFill="1" applyBorder="1" applyAlignment="1">
      <alignment wrapText="1"/>
    </xf>
    <xf numFmtId="0" fontId="32" fillId="17" borderId="1" xfId="0" applyFont="1" applyFill="1" applyBorder="1" applyAlignment="1">
      <alignment horizontal="left"/>
    </xf>
    <xf numFmtId="165" fontId="13" fillId="17" borderId="1" xfId="0" applyNumberFormat="1" applyFont="1" applyFill="1" applyBorder="1" applyAlignment="1">
      <alignment horizontal="left"/>
    </xf>
    <xf numFmtId="0" fontId="35" fillId="23" borderId="1" xfId="0" applyFont="1" applyFill="1" applyBorder="1" applyAlignment="1">
      <alignment horizontal="center" vertical="center" wrapText="1"/>
    </xf>
    <xf numFmtId="0" fontId="19" fillId="23" borderId="1" xfId="0" applyFont="1" applyFill="1" applyBorder="1" applyAlignment="1">
      <alignment horizontal="left" vertical="top"/>
    </xf>
    <xf numFmtId="0" fontId="21" fillId="23" borderId="1" xfId="0" applyFont="1" applyFill="1" applyBorder="1" applyAlignment="1">
      <alignment horizontal="left" vertical="top"/>
    </xf>
    <xf numFmtId="0" fontId="21" fillId="23" borderId="1" xfId="0" applyFont="1" applyFill="1" applyBorder="1" applyAlignment="1">
      <alignment horizontal="center" vertical="top"/>
    </xf>
    <xf numFmtId="0" fontId="19" fillId="23" borderId="1" xfId="0" applyFont="1" applyFill="1" applyBorder="1" applyAlignment="1">
      <alignment horizontal="center"/>
    </xf>
    <xf numFmtId="0" fontId="13" fillId="23" borderId="1" xfId="0" applyFont="1" applyFill="1" applyBorder="1"/>
    <xf numFmtId="0" fontId="61" fillId="23" borderId="1" xfId="0" applyFont="1" applyFill="1" applyBorder="1" applyAlignment="1">
      <alignment horizontal="center"/>
    </xf>
    <xf numFmtId="0" fontId="61" fillId="23" borderId="1" xfId="0" applyFont="1" applyFill="1" applyBorder="1"/>
    <xf numFmtId="0" fontId="57" fillId="23" borderId="1" xfId="0" applyFont="1" applyFill="1" applyBorder="1"/>
    <xf numFmtId="165" fontId="57" fillId="23" borderId="1" xfId="0" applyNumberFormat="1" applyFont="1" applyFill="1" applyBorder="1"/>
    <xf numFmtId="0" fontId="60" fillId="23" borderId="1" xfId="0" applyFont="1" applyFill="1" applyBorder="1" applyAlignment="1">
      <alignment horizontal="center" wrapText="1"/>
    </xf>
    <xf numFmtId="0" fontId="12" fillId="23" borderId="1" xfId="0" applyFont="1" applyFill="1" applyBorder="1" applyAlignment="1">
      <alignment horizontal="center" vertical="center" wrapText="1"/>
    </xf>
    <xf numFmtId="0" fontId="34" fillId="23" borderId="1" xfId="0" applyFont="1" applyFill="1" applyBorder="1" applyAlignment="1">
      <alignment horizontal="center"/>
    </xf>
    <xf numFmtId="0" fontId="5" fillId="23" borderId="1" xfId="0" applyFont="1" applyFill="1" applyBorder="1"/>
    <xf numFmtId="0" fontId="25" fillId="23" borderId="1" xfId="0" applyFont="1" applyFill="1" applyBorder="1" applyAlignment="1">
      <alignment horizontal="center"/>
    </xf>
    <xf numFmtId="0" fontId="25" fillId="23" borderId="1" xfId="0" applyFont="1" applyFill="1" applyBorder="1"/>
    <xf numFmtId="0" fontId="14" fillId="23" borderId="1" xfId="0" applyFont="1" applyFill="1" applyBorder="1"/>
    <xf numFmtId="0" fontId="13" fillId="23" borderId="1" xfId="0" applyFont="1" applyFill="1" applyBorder="1" applyAlignment="1">
      <alignment horizontal="left"/>
    </xf>
    <xf numFmtId="165" fontId="14" fillId="23" borderId="1" xfId="0" applyNumberFormat="1" applyFont="1" applyFill="1" applyBorder="1"/>
    <xf numFmtId="0" fontId="12" fillId="23" borderId="1" xfId="0" applyFont="1" applyFill="1" applyBorder="1" applyAlignment="1">
      <alignment horizontal="center" wrapText="1"/>
    </xf>
    <xf numFmtId="0" fontId="24" fillId="24" borderId="12" xfId="0" applyFont="1" applyFill="1" applyBorder="1" applyAlignment="1">
      <alignment horizontal="center" vertical="center" wrapText="1"/>
    </xf>
    <xf numFmtId="0" fontId="24" fillId="24" borderId="9" xfId="0" applyFont="1" applyFill="1" applyBorder="1" applyAlignment="1">
      <alignment horizontal="center" vertical="center" wrapText="1"/>
    </xf>
    <xf numFmtId="0" fontId="0" fillId="0" borderId="1" xfId="0" applyBorder="1" applyAlignment="1">
      <alignment horizontal="right"/>
    </xf>
    <xf numFmtId="0" fontId="0" fillId="22" borderId="1" xfId="0" applyFill="1" applyBorder="1" applyAlignment="1">
      <alignment horizontal="right"/>
    </xf>
    <xf numFmtId="0" fontId="0" fillId="22" borderId="1" xfId="0" applyFill="1" applyBorder="1"/>
    <xf numFmtId="0" fontId="0" fillId="0" borderId="1" xfId="0" applyBorder="1" applyAlignment="1">
      <alignment horizontal="left"/>
    </xf>
    <xf numFmtId="0" fontId="0" fillId="0" borderId="9" xfId="0" applyBorder="1" applyAlignment="1">
      <alignment horizontal="left"/>
    </xf>
    <xf numFmtId="0" fontId="20" fillId="0" borderId="1" xfId="0" applyFont="1" applyBorder="1" applyAlignment="1">
      <alignment horizontal="center" vertical="center" wrapText="1"/>
    </xf>
    <xf numFmtId="0" fontId="47" fillId="0" borderId="1" xfId="1" applyBorder="1" applyAlignment="1">
      <alignment horizontal="center" vertical="center"/>
    </xf>
    <xf numFmtId="0" fontId="14" fillId="0" borderId="1" xfId="0" applyFont="1" applyBorder="1" applyAlignment="1">
      <alignment horizontal="center" vertical="center"/>
    </xf>
    <xf numFmtId="0" fontId="5" fillId="0" borderId="1" xfId="0" applyFont="1" applyBorder="1" applyAlignment="1">
      <alignment horizontal="center" vertical="center"/>
    </xf>
    <xf numFmtId="0" fontId="14" fillId="3" borderId="1" xfId="0" applyFont="1" applyFill="1" applyBorder="1" applyAlignment="1">
      <alignment horizontal="center" vertical="center"/>
    </xf>
    <xf numFmtId="0" fontId="27" fillId="0" borderId="1" xfId="0" applyFont="1" applyBorder="1" applyAlignment="1">
      <alignment horizontal="center" vertical="center"/>
    </xf>
    <xf numFmtId="165" fontId="14" fillId="0" borderId="1" xfId="0" applyNumberFormat="1" applyFont="1" applyBorder="1" applyAlignment="1">
      <alignment horizontal="center" vertical="center"/>
    </xf>
    <xf numFmtId="0" fontId="0" fillId="22" borderId="2" xfId="0" applyFill="1" applyBorder="1" applyAlignment="1">
      <alignment horizontal="center"/>
    </xf>
    <xf numFmtId="0" fontId="0" fillId="22" borderId="2" xfId="0" applyFill="1" applyBorder="1" applyAlignment="1">
      <alignment horizontal="left"/>
    </xf>
    <xf numFmtId="0" fontId="0" fillId="0" borderId="2" xfId="0" applyBorder="1" applyAlignment="1">
      <alignment horizontal="left"/>
    </xf>
    <xf numFmtId="0" fontId="0" fillId="0" borderId="14" xfId="0" applyBorder="1" applyAlignment="1">
      <alignment horizontal="left"/>
    </xf>
    <xf numFmtId="0" fontId="0" fillId="0" borderId="3" xfId="0" applyBorder="1" applyAlignment="1">
      <alignment horizontal="left"/>
    </xf>
    <xf numFmtId="0" fontId="0" fillId="22" borderId="3" xfId="0" applyFill="1" applyBorder="1" applyAlignment="1">
      <alignment horizontal="left"/>
    </xf>
    <xf numFmtId="0" fontId="62" fillId="0" borderId="1" xfId="0" applyFont="1" applyBorder="1" applyAlignment="1">
      <alignment horizontal="left"/>
    </xf>
    <xf numFmtId="0" fontId="62" fillId="22" borderId="1" xfId="0" applyFont="1" applyFill="1" applyBorder="1" applyAlignment="1">
      <alignment horizontal="left"/>
    </xf>
    <xf numFmtId="0" fontId="62" fillId="0" borderId="10" xfId="0" applyFont="1" applyBorder="1" applyAlignment="1">
      <alignment horizontal="left"/>
    </xf>
    <xf numFmtId="0" fontId="5" fillId="22" borderId="1" xfId="0" applyFont="1" applyFill="1" applyBorder="1" applyAlignment="1">
      <alignment horizontal="center"/>
    </xf>
    <xf numFmtId="0" fontId="5" fillId="21" borderId="1" xfId="0" applyFont="1" applyFill="1" applyBorder="1" applyAlignment="1">
      <alignment horizontal="center"/>
    </xf>
    <xf numFmtId="0" fontId="5" fillId="3" borderId="9" xfId="0" applyFont="1" applyFill="1" applyBorder="1" applyAlignment="1">
      <alignment horizontal="center"/>
    </xf>
    <xf numFmtId="0" fontId="0" fillId="0" borderId="1" xfId="0" applyBorder="1" applyAlignment="1">
      <alignment horizontal="center"/>
    </xf>
    <xf numFmtId="0" fontId="0" fillId="0" borderId="9" xfId="0" applyBorder="1" applyAlignment="1">
      <alignment horizontal="center"/>
    </xf>
    <xf numFmtId="0" fontId="5" fillId="17" borderId="1" xfId="0" applyFont="1" applyFill="1" applyBorder="1" applyAlignment="1">
      <alignment horizontal="center"/>
    </xf>
    <xf numFmtId="0" fontId="55" fillId="0" borderId="2" xfId="0" applyFont="1" applyBorder="1" applyAlignment="1">
      <alignment horizontal="center" wrapText="1"/>
    </xf>
    <xf numFmtId="0" fontId="0" fillId="22" borderId="1" xfId="0" applyFill="1" applyBorder="1" applyAlignment="1">
      <alignment horizontal="center"/>
    </xf>
    <xf numFmtId="0" fontId="56" fillId="3" borderId="1" xfId="0" applyFont="1" applyFill="1" applyBorder="1" applyAlignment="1">
      <alignment horizontal="center"/>
    </xf>
    <xf numFmtId="0" fontId="56" fillId="3" borderId="9" xfId="0" applyFont="1" applyFill="1" applyBorder="1" applyAlignment="1">
      <alignment horizontal="center"/>
    </xf>
    <xf numFmtId="0" fontId="0" fillId="22" borderId="9" xfId="0" applyFill="1" applyBorder="1" applyAlignment="1">
      <alignment horizontal="center"/>
    </xf>
    <xf numFmtId="0" fontId="0" fillId="0" borderId="14" xfId="0" applyBorder="1" applyAlignment="1">
      <alignment horizontal="center"/>
    </xf>
    <xf numFmtId="0" fontId="62" fillId="0" borderId="1" xfId="0" applyFont="1" applyBorder="1" applyAlignment="1">
      <alignment horizontal="center"/>
    </xf>
    <xf numFmtId="0" fontId="5" fillId="3" borderId="2" xfId="0" applyFont="1" applyFill="1" applyBorder="1" applyAlignment="1">
      <alignment horizontal="center"/>
    </xf>
    <xf numFmtId="0" fontId="0" fillId="0" borderId="2" xfId="0" applyBorder="1" applyAlignment="1">
      <alignment horizontal="center"/>
    </xf>
    <xf numFmtId="0" fontId="62" fillId="0" borderId="9" xfId="0" applyFont="1" applyBorder="1" applyAlignment="1">
      <alignment horizontal="center"/>
    </xf>
    <xf numFmtId="0" fontId="0" fillId="0" borderId="5" xfId="0" applyBorder="1" applyAlignment="1">
      <alignment horizontal="center"/>
    </xf>
    <xf numFmtId="0" fontId="0" fillId="0" borderId="0" xfId="0" applyAlignment="1">
      <alignment horizontal="center"/>
    </xf>
    <xf numFmtId="0" fontId="5" fillId="21" borderId="2" xfId="0" applyFont="1" applyFill="1" applyBorder="1" applyAlignment="1">
      <alignment horizontal="center"/>
    </xf>
    <xf numFmtId="0" fontId="0" fillId="0" borderId="0" xfId="0" applyAlignment="1">
      <alignment horizontal="left"/>
    </xf>
    <xf numFmtId="0" fontId="1" fillId="18" borderId="2" xfId="0" applyFont="1" applyFill="1" applyBorder="1" applyAlignment="1">
      <alignment horizontal="left"/>
    </xf>
    <xf numFmtId="0" fontId="0" fillId="17" borderId="1" xfId="0" applyFill="1" applyBorder="1" applyAlignment="1">
      <alignment horizontal="center"/>
    </xf>
    <xf numFmtId="0" fontId="5" fillId="22" borderId="2" xfId="0" applyFont="1" applyFill="1" applyBorder="1" applyAlignment="1">
      <alignment horizontal="center"/>
    </xf>
    <xf numFmtId="0" fontId="62" fillId="22" borderId="4" xfId="0" applyFont="1" applyFill="1" applyBorder="1" applyAlignment="1">
      <alignment horizontal="center"/>
    </xf>
    <xf numFmtId="0" fontId="5" fillId="17" borderId="4" xfId="0" applyFont="1" applyFill="1" applyBorder="1" applyAlignment="1">
      <alignment horizontal="center"/>
    </xf>
    <xf numFmtId="0" fontId="5" fillId="22" borderId="4" xfId="0" applyFont="1" applyFill="1" applyBorder="1" applyAlignment="1">
      <alignment horizontal="center"/>
    </xf>
    <xf numFmtId="0" fontId="0" fillId="17" borderId="9" xfId="0" applyFill="1" applyBorder="1" applyAlignment="1">
      <alignment horizontal="center"/>
    </xf>
    <xf numFmtId="0" fontId="5" fillId="18" borderId="2" xfId="0" applyFont="1" applyFill="1" applyBorder="1" applyAlignment="1">
      <alignment horizontal="center"/>
    </xf>
    <xf numFmtId="0" fontId="5" fillId="18" borderId="4" xfId="0" applyFont="1" applyFill="1" applyBorder="1" applyAlignment="1">
      <alignment horizontal="center"/>
    </xf>
    <xf numFmtId="0" fontId="5" fillId="0" borderId="3" xfId="0" applyFont="1" applyBorder="1" applyAlignment="1">
      <alignment horizontal="center"/>
    </xf>
    <xf numFmtId="0" fontId="5" fillId="21" borderId="3" xfId="0" applyFont="1" applyFill="1" applyBorder="1" applyAlignment="1">
      <alignment horizontal="center"/>
    </xf>
    <xf numFmtId="0" fontId="55" fillId="0" borderId="1" xfId="0" applyFont="1" applyBorder="1" applyAlignment="1">
      <alignment horizontal="center"/>
    </xf>
    <xf numFmtId="0" fontId="55" fillId="18" borderId="1" xfId="0" applyFont="1" applyFill="1" applyBorder="1" applyAlignment="1">
      <alignment horizontal="center"/>
    </xf>
    <xf numFmtId="0" fontId="55" fillId="20" borderId="1" xfId="0" applyFont="1" applyFill="1" applyBorder="1" applyAlignment="1">
      <alignment horizontal="center"/>
    </xf>
    <xf numFmtId="0" fontId="55" fillId="17" borderId="1" xfId="0" applyFont="1" applyFill="1" applyBorder="1" applyAlignment="1">
      <alignment horizontal="center"/>
    </xf>
    <xf numFmtId="0" fontId="55" fillId="0" borderId="9" xfId="0" applyFont="1" applyBorder="1" applyAlignment="1">
      <alignment horizontal="center"/>
    </xf>
    <xf numFmtId="0" fontId="55" fillId="17" borderId="9" xfId="0" applyFont="1" applyFill="1" applyBorder="1" applyAlignment="1">
      <alignment horizontal="center"/>
    </xf>
    <xf numFmtId="0" fontId="19" fillId="17" borderId="1" xfId="0" applyFont="1" applyFill="1" applyBorder="1" applyAlignment="1">
      <alignment horizontal="center"/>
    </xf>
    <xf numFmtId="0" fontId="57" fillId="17" borderId="1" xfId="0" applyFont="1" applyFill="1" applyBorder="1" applyAlignment="1">
      <alignment horizontal="center"/>
    </xf>
    <xf numFmtId="0" fontId="55" fillId="17" borderId="1" xfId="0" applyFont="1" applyFill="1" applyBorder="1" applyAlignment="1">
      <alignment horizontal="center" vertical="top"/>
    </xf>
    <xf numFmtId="0" fontId="0" fillId="0" borderId="4" xfId="0" applyBorder="1"/>
    <xf numFmtId="0" fontId="19" fillId="0" borderId="1" xfId="0" applyFont="1" applyBorder="1" applyAlignment="1">
      <alignment horizontal="center"/>
    </xf>
    <xf numFmtId="0" fontId="55" fillId="0" borderId="1" xfId="0" applyFont="1" applyBorder="1" applyAlignment="1">
      <alignment horizontal="center" vertical="top"/>
    </xf>
    <xf numFmtId="0" fontId="55" fillId="0" borderId="2" xfId="0" applyFont="1" applyBorder="1" applyAlignment="1">
      <alignment horizontal="center"/>
    </xf>
    <xf numFmtId="0" fontId="55" fillId="0" borderId="1" xfId="0" applyFont="1" applyBorder="1" applyAlignment="1">
      <alignment horizontal="center" wrapText="1"/>
    </xf>
    <xf numFmtId="0" fontId="55" fillId="0" borderId="1" xfId="0" applyFont="1" applyBorder="1" applyAlignment="1">
      <alignment horizontal="left"/>
    </xf>
    <xf numFmtId="0" fontId="16" fillId="17" borderId="1" xfId="0" applyFont="1" applyFill="1" applyBorder="1" applyAlignment="1">
      <alignment horizontal="left"/>
    </xf>
    <xf numFmtId="0" fontId="13" fillId="17" borderId="1" xfId="0" applyFont="1" applyFill="1" applyBorder="1" applyAlignment="1">
      <alignment horizontal="right"/>
    </xf>
    <xf numFmtId="14" fontId="13" fillId="17" borderId="1" xfId="0" applyNumberFormat="1" applyFont="1" applyFill="1" applyBorder="1" applyAlignment="1">
      <alignment horizontal="right"/>
    </xf>
    <xf numFmtId="14" fontId="13" fillId="17" borderId="1" xfId="0" applyNumberFormat="1" applyFont="1" applyFill="1" applyBorder="1"/>
    <xf numFmtId="0" fontId="19" fillId="17" borderId="1" xfId="0" applyFont="1" applyFill="1" applyBorder="1"/>
    <xf numFmtId="0" fontId="26" fillId="17" borderId="1" xfId="0" applyFont="1" applyFill="1" applyBorder="1" applyAlignment="1">
      <alignment horizontal="left"/>
    </xf>
    <xf numFmtId="14" fontId="14" fillId="19" borderId="1" xfId="0" applyNumberFormat="1" applyFont="1" applyFill="1" applyBorder="1"/>
    <xf numFmtId="0" fontId="19" fillId="19" borderId="1" xfId="0" applyFont="1" applyFill="1" applyBorder="1" applyAlignment="1">
      <alignment horizontal="left" vertical="top"/>
    </xf>
    <xf numFmtId="0" fontId="13" fillId="0" borderId="11" xfId="0" applyFont="1" applyBorder="1"/>
    <xf numFmtId="0" fontId="5" fillId="19" borderId="1" xfId="0" applyFont="1" applyFill="1" applyBorder="1"/>
    <xf numFmtId="0" fontId="5" fillId="25" borderId="4" xfId="0" applyFont="1" applyFill="1" applyBorder="1"/>
    <xf numFmtId="0" fontId="1" fillId="19" borderId="1" xfId="0" applyFont="1" applyFill="1" applyBorder="1"/>
    <xf numFmtId="0" fontId="21" fillId="19" borderId="1" xfId="0" applyFont="1" applyFill="1" applyBorder="1" applyAlignment="1">
      <alignment horizontal="left" vertical="top"/>
    </xf>
    <xf numFmtId="0" fontId="20" fillId="19" borderId="1" xfId="0" applyFont="1" applyFill="1" applyBorder="1"/>
    <xf numFmtId="0" fontId="1" fillId="26" borderId="1" xfId="0" applyFont="1" applyFill="1" applyBorder="1"/>
    <xf numFmtId="0" fontId="21" fillId="26" borderId="1" xfId="0" applyFont="1" applyFill="1" applyBorder="1" applyAlignment="1">
      <alignment horizontal="left" vertical="top"/>
    </xf>
    <xf numFmtId="0" fontId="14" fillId="26" borderId="1" xfId="0" applyFont="1" applyFill="1" applyBorder="1" applyAlignment="1">
      <alignment horizontal="left"/>
    </xf>
    <xf numFmtId="0" fontId="5" fillId="26" borderId="1" xfId="0" applyFont="1" applyFill="1" applyBorder="1"/>
    <xf numFmtId="0" fontId="14" fillId="26" borderId="1" xfId="0" applyFont="1" applyFill="1" applyBorder="1"/>
    <xf numFmtId="0" fontId="20" fillId="26" borderId="1" xfId="0" applyFont="1" applyFill="1" applyBorder="1"/>
    <xf numFmtId="165" fontId="14" fillId="26" borderId="1" xfId="0" applyNumberFormat="1" applyFont="1" applyFill="1" applyBorder="1"/>
    <xf numFmtId="14" fontId="14" fillId="26" borderId="1" xfId="0" applyNumberFormat="1" applyFont="1" applyFill="1" applyBorder="1"/>
    <xf numFmtId="0" fontId="41" fillId="26" borderId="1" xfId="0" applyFont="1" applyFill="1" applyBorder="1"/>
    <xf numFmtId="0" fontId="5" fillId="23" borderId="4" xfId="0" applyFont="1" applyFill="1" applyBorder="1"/>
    <xf numFmtId="0" fontId="19" fillId="26" borderId="1" xfId="0" applyFont="1" applyFill="1" applyBorder="1" applyAlignment="1">
      <alignment horizontal="left" vertical="top"/>
    </xf>
    <xf numFmtId="0" fontId="47" fillId="26" borderId="1" xfId="1" applyFill="1" applyBorder="1"/>
    <xf numFmtId="0" fontId="41" fillId="17" borderId="1" xfId="0" applyFont="1" applyFill="1" applyBorder="1"/>
    <xf numFmtId="0" fontId="5" fillId="26" borderId="4" xfId="0" applyFont="1" applyFill="1" applyBorder="1"/>
    <xf numFmtId="0" fontId="1" fillId="22" borderId="1" xfId="0" applyFont="1" applyFill="1" applyBorder="1"/>
    <xf numFmtId="0" fontId="63" fillId="27" borderId="1" xfId="0" applyFont="1" applyFill="1" applyBorder="1" applyAlignment="1">
      <alignment vertical="center"/>
    </xf>
    <xf numFmtId="0" fontId="64" fillId="27" borderId="0" xfId="0" applyFont="1" applyFill="1" applyAlignment="1">
      <alignment vertical="center"/>
    </xf>
    <xf numFmtId="0" fontId="13" fillId="17" borderId="1" xfId="0" applyFont="1" applyFill="1" applyBorder="1" applyAlignment="1">
      <alignment horizontal="left" vertical="center" wrapText="1"/>
    </xf>
    <xf numFmtId="0" fontId="13" fillId="17" borderId="1" xfId="0" applyFont="1" applyFill="1" applyBorder="1" applyAlignment="1">
      <alignment vertical="center" wrapText="1"/>
    </xf>
    <xf numFmtId="165" fontId="13" fillId="17" borderId="1" xfId="0" applyNumberFormat="1" applyFont="1" applyFill="1" applyBorder="1" applyAlignment="1">
      <alignment vertical="center" wrapText="1"/>
    </xf>
    <xf numFmtId="14" fontId="13" fillId="17" borderId="1" xfId="0" applyNumberFormat="1" applyFont="1" applyFill="1" applyBorder="1" applyAlignment="1">
      <alignment horizontal="right" vertical="center" wrapText="1"/>
    </xf>
    <xf numFmtId="14" fontId="13" fillId="17" borderId="1" xfId="0" applyNumberFormat="1" applyFont="1" applyFill="1" applyBorder="1" applyAlignment="1">
      <alignment vertical="center" wrapText="1"/>
    </xf>
    <xf numFmtId="0" fontId="46" fillId="17" borderId="1" xfId="0" applyFont="1" applyFill="1" applyBorder="1" applyAlignment="1">
      <alignment vertical="center" wrapText="1"/>
    </xf>
    <xf numFmtId="14" fontId="46" fillId="17" borderId="1" xfId="0" applyNumberFormat="1" applyFont="1" applyFill="1" applyBorder="1" applyAlignment="1">
      <alignment vertical="center" wrapText="1"/>
    </xf>
    <xf numFmtId="0" fontId="45" fillId="17" borderId="1" xfId="0" applyFont="1" applyFill="1" applyBorder="1" applyAlignment="1">
      <alignment vertical="center" wrapText="1"/>
    </xf>
    <xf numFmtId="0" fontId="66" fillId="17" borderId="1" xfId="0" applyFont="1" applyFill="1" applyBorder="1" applyAlignment="1">
      <alignment vertical="center" wrapText="1"/>
    </xf>
    <xf numFmtId="165" fontId="46" fillId="17" borderId="1" xfId="0" applyNumberFormat="1" applyFont="1" applyFill="1" applyBorder="1" applyAlignment="1">
      <alignment vertical="center" wrapText="1"/>
    </xf>
    <xf numFmtId="0" fontId="67" fillId="17" borderId="1" xfId="1" applyFont="1" applyFill="1" applyBorder="1" applyAlignment="1">
      <alignment horizontal="left" vertical="center" wrapText="1"/>
    </xf>
    <xf numFmtId="0" fontId="68" fillId="17" borderId="1" xfId="0" applyFont="1" applyFill="1" applyBorder="1" applyAlignment="1">
      <alignment vertical="center" wrapText="1"/>
    </xf>
    <xf numFmtId="0" fontId="69" fillId="17" borderId="1" xfId="0" applyFont="1" applyFill="1" applyBorder="1" applyAlignment="1">
      <alignment vertical="center" wrapText="1"/>
    </xf>
    <xf numFmtId="0" fontId="67" fillId="17" borderId="1" xfId="1" applyFont="1" applyFill="1" applyBorder="1" applyAlignment="1">
      <alignment vertical="center" wrapText="1"/>
    </xf>
    <xf numFmtId="0" fontId="63" fillId="27" borderId="9" xfId="0" applyFont="1" applyFill="1" applyBorder="1" applyAlignment="1">
      <alignment horizontal="center" vertical="center" wrapText="1"/>
    </xf>
    <xf numFmtId="0" fontId="63" fillId="27" borderId="10" xfId="0" applyFont="1" applyFill="1" applyBorder="1" applyAlignment="1">
      <alignment horizontal="center" vertical="center" wrapText="1"/>
    </xf>
    <xf numFmtId="0" fontId="63" fillId="27" borderId="9" xfId="0" applyFont="1" applyFill="1" applyBorder="1" applyAlignment="1">
      <alignment horizontal="center" vertical="center"/>
    </xf>
    <xf numFmtId="0" fontId="18" fillId="12" borderId="9" xfId="0" applyFont="1" applyFill="1" applyBorder="1" applyAlignment="1">
      <alignment horizontal="center" wrapText="1"/>
    </xf>
    <xf numFmtId="14" fontId="63" fillId="27" borderId="9" xfId="0" applyNumberFormat="1" applyFont="1" applyFill="1" applyBorder="1" applyAlignment="1">
      <alignment horizontal="center" vertical="center" wrapText="1"/>
    </xf>
    <xf numFmtId="0" fontId="6" fillId="2" borderId="9" xfId="0" applyFont="1" applyFill="1" applyBorder="1" applyAlignment="1">
      <alignment horizontal="center" wrapText="1"/>
    </xf>
    <xf numFmtId="0" fontId="6" fillId="5" borderId="9" xfId="0" applyFont="1" applyFill="1" applyBorder="1" applyAlignment="1">
      <alignment horizontal="center" wrapText="1"/>
    </xf>
    <xf numFmtId="0" fontId="70" fillId="22" borderId="0" xfId="0" applyFont="1" applyFill="1" applyAlignment="1">
      <alignment horizontal="center" vertical="center"/>
    </xf>
    <xf numFmtId="0" fontId="71" fillId="22" borderId="4" xfId="0" applyFont="1" applyFill="1" applyBorder="1" applyAlignment="1">
      <alignment horizontal="center" vertical="center" wrapText="1"/>
    </xf>
    <xf numFmtId="0" fontId="71" fillId="22" borderId="1" xfId="0" applyFont="1" applyFill="1" applyBorder="1" applyAlignment="1">
      <alignment horizontal="center" vertical="center" wrapText="1"/>
    </xf>
    <xf numFmtId="0" fontId="72" fillId="22" borderId="1" xfId="0" applyFont="1" applyFill="1" applyBorder="1" applyAlignment="1">
      <alignment horizontal="center" vertical="center" wrapText="1"/>
    </xf>
    <xf numFmtId="14" fontId="71" fillId="22" borderId="1" xfId="0" applyNumberFormat="1" applyFont="1" applyFill="1" applyBorder="1" applyAlignment="1">
      <alignment horizontal="center" vertical="center" wrapText="1"/>
    </xf>
    <xf numFmtId="0" fontId="72" fillId="22" borderId="4" xfId="0" applyFont="1" applyFill="1" applyBorder="1" applyAlignment="1">
      <alignment horizontal="center" vertical="center" wrapText="1"/>
    </xf>
    <xf numFmtId="0" fontId="73" fillId="22" borderId="1" xfId="0" applyFont="1" applyFill="1" applyBorder="1" applyAlignment="1">
      <alignment horizontal="center" vertical="center" wrapText="1"/>
    </xf>
    <xf numFmtId="14" fontId="73" fillId="22" borderId="1" xfId="0" applyNumberFormat="1" applyFont="1" applyFill="1" applyBorder="1" applyAlignment="1">
      <alignment horizontal="center" vertical="center" wrapText="1"/>
    </xf>
    <xf numFmtId="0" fontId="71" fillId="22" borderId="0" xfId="0" applyFont="1" applyFill="1" applyAlignment="1">
      <alignment horizontal="center" vertical="center" wrapText="1"/>
    </xf>
    <xf numFmtId="0" fontId="71" fillId="22" borderId="1" xfId="0" applyFont="1" applyFill="1" applyBorder="1" applyAlignment="1">
      <alignment horizontal="center" vertical="center"/>
    </xf>
    <xf numFmtId="0" fontId="71" fillId="22" borderId="0" xfId="0" applyFont="1" applyFill="1" applyAlignment="1">
      <alignment horizontal="center" vertical="center"/>
    </xf>
    <xf numFmtId="164" fontId="70" fillId="22" borderId="0" xfId="0" applyNumberFormat="1" applyFont="1" applyFill="1" applyAlignment="1">
      <alignment horizontal="center" vertical="center"/>
    </xf>
    <xf numFmtId="0" fontId="13" fillId="17" borderId="1" xfId="0" applyFont="1" applyFill="1" applyBorder="1" applyAlignment="1">
      <alignment horizontal="center" wrapText="1"/>
    </xf>
    <xf numFmtId="0" fontId="74" fillId="17" borderId="1" xfId="0" applyFont="1" applyFill="1" applyBorder="1" applyAlignment="1">
      <alignment horizontal="center" vertical="top"/>
    </xf>
    <xf numFmtId="14" fontId="57" fillId="17" borderId="1" xfId="0" applyNumberFormat="1" applyFont="1" applyFill="1" applyBorder="1" applyAlignment="1">
      <alignment horizontal="right"/>
    </xf>
    <xf numFmtId="14" fontId="57" fillId="17" borderId="1" xfId="0" applyNumberFormat="1" applyFont="1" applyFill="1" applyBorder="1" applyAlignment="1">
      <alignment horizontal="center"/>
    </xf>
    <xf numFmtId="0" fontId="57" fillId="17" borderId="1" xfId="0" applyFont="1" applyFill="1" applyBorder="1"/>
    <xf numFmtId="0" fontId="66" fillId="17" borderId="1" xfId="0" applyFont="1" applyFill="1" applyBorder="1"/>
    <xf numFmtId="0" fontId="58" fillId="17" borderId="1" xfId="1" applyFont="1" applyFill="1" applyBorder="1" applyAlignment="1">
      <alignment horizontal="center" vertical="top"/>
    </xf>
    <xf numFmtId="14" fontId="57" fillId="17" borderId="1" xfId="0" applyNumberFormat="1" applyFont="1" applyFill="1" applyBorder="1"/>
    <xf numFmtId="0" fontId="61" fillId="17" borderId="1" xfId="0" applyFont="1" applyFill="1" applyBorder="1" applyAlignment="1">
      <alignment horizontal="center"/>
    </xf>
    <xf numFmtId="0" fontId="61" fillId="17" borderId="1" xfId="0" applyFont="1" applyFill="1" applyBorder="1"/>
    <xf numFmtId="0" fontId="35" fillId="17" borderId="1" xfId="0" applyFont="1" applyFill="1" applyBorder="1" applyAlignment="1">
      <alignment horizontal="center" vertical="center"/>
    </xf>
    <xf numFmtId="0" fontId="35" fillId="17" borderId="1" xfId="0" applyFont="1" applyFill="1" applyBorder="1" applyAlignment="1">
      <alignment horizontal="center" vertical="center" wrapText="1"/>
    </xf>
    <xf numFmtId="0" fontId="77" fillId="17" borderId="1" xfId="0" applyFont="1" applyFill="1" applyBorder="1" applyAlignment="1">
      <alignment horizontal="center"/>
    </xf>
    <xf numFmtId="0" fontId="19" fillId="17" borderId="1" xfId="0" applyFont="1" applyFill="1" applyBorder="1" applyAlignment="1">
      <alignment horizontal="left"/>
    </xf>
    <xf numFmtId="0" fontId="35" fillId="17" borderId="9" xfId="0" applyFont="1" applyFill="1" applyBorder="1" applyAlignment="1">
      <alignment horizontal="center" vertical="center"/>
    </xf>
    <xf numFmtId="0" fontId="0" fillId="22" borderId="0" xfId="0" applyFill="1"/>
    <xf numFmtId="0" fontId="66" fillId="17" borderId="0" xfId="0" applyFont="1" applyFill="1"/>
    <xf numFmtId="0" fontId="35" fillId="17" borderId="4" xfId="0" applyFont="1" applyFill="1" applyBorder="1" applyAlignment="1">
      <alignment horizontal="center" vertical="center"/>
    </xf>
    <xf numFmtId="0" fontId="35" fillId="17" borderId="1" xfId="0" applyFont="1" applyFill="1" applyBorder="1" applyAlignment="1">
      <alignment horizontal="left" vertical="center"/>
    </xf>
    <xf numFmtId="0" fontId="58" fillId="17" borderId="1" xfId="1" applyFont="1" applyFill="1" applyBorder="1" applyAlignment="1">
      <alignment horizontal="center" vertical="center"/>
    </xf>
    <xf numFmtId="14" fontId="35" fillId="17" borderId="1" xfId="0" applyNumberFormat="1" applyFont="1" applyFill="1" applyBorder="1" applyAlignment="1">
      <alignment horizontal="right" vertical="center"/>
    </xf>
    <xf numFmtId="14" fontId="35" fillId="17" borderId="1" xfId="0" applyNumberFormat="1" applyFont="1" applyFill="1" applyBorder="1" applyAlignment="1">
      <alignment horizontal="center" vertical="center"/>
    </xf>
    <xf numFmtId="0" fontId="40" fillId="17" borderId="1" xfId="0" applyFont="1" applyFill="1" applyBorder="1" applyAlignment="1">
      <alignment horizontal="left"/>
    </xf>
    <xf numFmtId="14" fontId="66" fillId="17" borderId="1" xfId="0" applyNumberFormat="1" applyFont="1" applyFill="1" applyBorder="1"/>
    <xf numFmtId="0" fontId="35" fillId="17" borderId="9" xfId="0" applyFont="1" applyFill="1" applyBorder="1" applyAlignment="1">
      <alignment horizontal="center" vertical="center" wrapText="1"/>
    </xf>
    <xf numFmtId="0" fontId="35" fillId="17" borderId="9" xfId="0" applyFont="1" applyFill="1" applyBorder="1" applyAlignment="1">
      <alignment horizontal="left" vertical="center"/>
    </xf>
    <xf numFmtId="0" fontId="77" fillId="17" borderId="9" xfId="0" applyFont="1" applyFill="1" applyBorder="1" applyAlignment="1">
      <alignment horizontal="center"/>
    </xf>
    <xf numFmtId="0" fontId="61" fillId="17" borderId="9" xfId="0" applyFont="1" applyFill="1" applyBorder="1"/>
    <xf numFmtId="0" fontId="58" fillId="17" borderId="9" xfId="1" applyFont="1" applyFill="1" applyBorder="1" applyAlignment="1">
      <alignment horizontal="center" vertical="center"/>
    </xf>
    <xf numFmtId="14" fontId="35" fillId="17" borderId="9" xfId="0" applyNumberFormat="1" applyFont="1" applyFill="1" applyBorder="1" applyAlignment="1">
      <alignment horizontal="right" vertical="center"/>
    </xf>
    <xf numFmtId="14" fontId="35" fillId="17" borderId="9" xfId="0" applyNumberFormat="1" applyFont="1" applyFill="1" applyBorder="1" applyAlignment="1">
      <alignment horizontal="center" vertical="center"/>
    </xf>
    <xf numFmtId="0" fontId="40" fillId="17" borderId="9" xfId="0" applyFont="1" applyFill="1" applyBorder="1" applyAlignment="1">
      <alignment horizontal="left"/>
    </xf>
    <xf numFmtId="0" fontId="66" fillId="17" borderId="9" xfId="0" applyFont="1" applyFill="1" applyBorder="1"/>
    <xf numFmtId="0" fontId="13" fillId="17" borderId="9" xfId="0" applyFont="1" applyFill="1" applyBorder="1"/>
    <xf numFmtId="14" fontId="13" fillId="17" borderId="9" xfId="0" applyNumberFormat="1" applyFont="1" applyFill="1" applyBorder="1"/>
    <xf numFmtId="14" fontId="66" fillId="17" borderId="9" xfId="0" applyNumberFormat="1" applyFont="1" applyFill="1" applyBorder="1"/>
    <xf numFmtId="14" fontId="13" fillId="17" borderId="9" xfId="0" applyNumberFormat="1" applyFont="1" applyFill="1" applyBorder="1" applyAlignment="1">
      <alignment horizontal="right"/>
    </xf>
    <xf numFmtId="0" fontId="70" fillId="17" borderId="0" xfId="0" applyFont="1" applyFill="1" applyAlignment="1">
      <alignment horizontal="center" vertical="center"/>
    </xf>
    <xf numFmtId="0" fontId="13" fillId="17" borderId="0" xfId="0" applyFont="1" applyFill="1"/>
    <xf numFmtId="0" fontId="57" fillId="17" borderId="4" xfId="0" applyFont="1" applyFill="1" applyBorder="1" applyAlignment="1">
      <alignment horizontal="center"/>
    </xf>
    <xf numFmtId="0" fontId="57" fillId="17" borderId="1" xfId="0" applyFont="1" applyFill="1" applyBorder="1" applyAlignment="1">
      <alignment horizontal="left"/>
    </xf>
    <xf numFmtId="0" fontId="46" fillId="17" borderId="1" xfId="0" applyFont="1" applyFill="1" applyBorder="1" applyAlignment="1">
      <alignment horizontal="left"/>
    </xf>
    <xf numFmtId="0" fontId="21" fillId="17" borderId="4" xfId="0" applyFont="1" applyFill="1" applyBorder="1" applyAlignment="1">
      <alignment horizontal="center" vertical="top"/>
    </xf>
    <xf numFmtId="0" fontId="13" fillId="17" borderId="4" xfId="0" applyFont="1" applyFill="1" applyBorder="1" applyAlignment="1">
      <alignment horizontal="center"/>
    </xf>
    <xf numFmtId="0" fontId="46" fillId="17" borderId="1" xfId="0" applyFont="1" applyFill="1" applyBorder="1"/>
    <xf numFmtId="0" fontId="27" fillId="17" borderId="1" xfId="0" applyFont="1" applyFill="1" applyBorder="1"/>
    <xf numFmtId="0" fontId="58" fillId="17" borderId="1" xfId="1" applyFont="1" applyFill="1" applyBorder="1"/>
    <xf numFmtId="0" fontId="27" fillId="17" borderId="0" xfId="0" applyFont="1" applyFill="1"/>
    <xf numFmtId="0" fontId="75" fillId="17" borderId="1" xfId="0" applyFont="1" applyFill="1" applyBorder="1" applyAlignment="1">
      <alignment horizontal="center"/>
    </xf>
    <xf numFmtId="0" fontId="75" fillId="17" borderId="1" xfId="0" applyFont="1" applyFill="1" applyBorder="1" applyAlignment="1">
      <alignment horizontal="center" vertical="top"/>
    </xf>
    <xf numFmtId="0" fontId="46" fillId="17" borderId="1" xfId="0" applyFont="1" applyFill="1" applyBorder="1" applyAlignment="1">
      <alignment horizontal="center" vertical="top"/>
    </xf>
    <xf numFmtId="0" fontId="13" fillId="17" borderId="0" xfId="0" applyFont="1" applyFill="1" applyAlignment="1">
      <alignment horizontal="center"/>
    </xf>
    <xf numFmtId="0" fontId="76" fillId="17" borderId="1" xfId="0" applyFont="1" applyFill="1" applyBorder="1" applyAlignment="1">
      <alignment horizontal="center" vertical="top"/>
    </xf>
    <xf numFmtId="0" fontId="77" fillId="17" borderId="1" xfId="0" applyFont="1" applyFill="1" applyBorder="1"/>
    <xf numFmtId="0" fontId="57" fillId="17" borderId="0" xfId="0" applyFont="1" applyFill="1" applyAlignment="1">
      <alignment horizontal="center"/>
    </xf>
    <xf numFmtId="0" fontId="0" fillId="17" borderId="1" xfId="0" applyFill="1" applyBorder="1"/>
    <xf numFmtId="0" fontId="46" fillId="17" borderId="1" xfId="0" applyFont="1" applyFill="1" applyBorder="1" applyAlignment="1">
      <alignment horizontal="right"/>
    </xf>
    <xf numFmtId="0" fontId="75" fillId="17" borderId="1" xfId="0" applyFont="1" applyFill="1" applyBorder="1"/>
    <xf numFmtId="0" fontId="55" fillId="17" borderId="0" xfId="0" applyFont="1" applyFill="1"/>
    <xf numFmtId="0" fontId="57" fillId="17" borderId="0" xfId="0" applyFont="1" applyFill="1"/>
    <xf numFmtId="0" fontId="58" fillId="17" borderId="1" xfId="1" applyFont="1" applyFill="1" applyBorder="1" applyAlignment="1">
      <alignment horizontal="center"/>
    </xf>
    <xf numFmtId="0" fontId="26" fillId="17" borderId="1" xfId="0" applyFont="1" applyFill="1" applyBorder="1"/>
    <xf numFmtId="0" fontId="46" fillId="17" borderId="1" xfId="0" applyFont="1" applyFill="1" applyBorder="1" applyAlignment="1">
      <alignment horizontal="center"/>
    </xf>
    <xf numFmtId="0" fontId="45" fillId="17" borderId="1" xfId="0" applyFont="1" applyFill="1" applyBorder="1"/>
    <xf numFmtId="0" fontId="0" fillId="17" borderId="9" xfId="0" applyFill="1" applyBorder="1"/>
    <xf numFmtId="0" fontId="45" fillId="17" borderId="9" xfId="0" applyFont="1" applyFill="1" applyBorder="1"/>
    <xf numFmtId="0" fontId="57" fillId="17" borderId="0" xfId="0" applyFont="1" applyFill="1" applyAlignment="1">
      <alignment horizontal="left"/>
    </xf>
    <xf numFmtId="14" fontId="0" fillId="17" borderId="0" xfId="0" applyNumberFormat="1" applyFill="1" applyAlignment="1">
      <alignment horizontal="right"/>
    </xf>
    <xf numFmtId="14" fontId="0" fillId="17" borderId="0" xfId="0" applyNumberFormat="1" applyFill="1"/>
    <xf numFmtId="14" fontId="13" fillId="17" borderId="0" xfId="0" applyNumberFormat="1" applyFont="1" applyFill="1"/>
    <xf numFmtId="14" fontId="13" fillId="17" borderId="0" xfId="0" applyNumberFormat="1" applyFont="1" applyFill="1" applyAlignment="1">
      <alignment horizontal="right"/>
    </xf>
    <xf numFmtId="0" fontId="13" fillId="17" borderId="0" xfId="0" applyFont="1" applyFill="1" applyAlignment="1">
      <alignment horizontal="right"/>
    </xf>
    <xf numFmtId="0" fontId="58" fillId="17" borderId="0" xfId="1" applyFont="1" applyFill="1"/>
    <xf numFmtId="0" fontId="13" fillId="22" borderId="0" xfId="0" applyFont="1" applyFill="1"/>
    <xf numFmtId="0" fontId="19" fillId="22" borderId="0" xfId="0" applyFont="1" applyFill="1"/>
    <xf numFmtId="0" fontId="27" fillId="22" borderId="1" xfId="0" applyFont="1" applyFill="1" applyBorder="1" applyAlignment="1">
      <alignment horizontal="center" wrapText="1"/>
    </xf>
    <xf numFmtId="0" fontId="27" fillId="22" borderId="4" xfId="0" applyFont="1" applyFill="1" applyBorder="1" applyAlignment="1">
      <alignment horizontal="center" wrapText="1"/>
    </xf>
    <xf numFmtId="0" fontId="0" fillId="17" borderId="0" xfId="0" applyFill="1" applyAlignment="1">
      <alignment wrapText="1"/>
    </xf>
    <xf numFmtId="0" fontId="14" fillId="3" borderId="1" xfId="0" applyFont="1" applyFill="1" applyBorder="1" applyAlignment="1">
      <alignment wrapText="1"/>
    </xf>
    <xf numFmtId="167" fontId="5" fillId="0" borderId="1" xfId="0" applyNumberFormat="1" applyFont="1" applyBorder="1"/>
    <xf numFmtId="167" fontId="5" fillId="5" borderId="1" xfId="0" applyNumberFormat="1" applyFont="1" applyFill="1" applyBorder="1" applyAlignment="1">
      <alignment horizontal="right"/>
    </xf>
    <xf numFmtId="167" fontId="11" fillId="5" borderId="1" xfId="0" applyNumberFormat="1" applyFont="1" applyFill="1" applyBorder="1" applyAlignment="1">
      <alignment horizontal="right"/>
    </xf>
    <xf numFmtId="167" fontId="8" fillId="3" borderId="1" xfId="0" applyNumberFormat="1" applyFont="1" applyFill="1" applyBorder="1"/>
    <xf numFmtId="0" fontId="21" fillId="0" borderId="15" xfId="0" applyFont="1" applyBorder="1" applyAlignment="1">
      <alignment wrapText="1"/>
    </xf>
    <xf numFmtId="0" fontId="21" fillId="0" borderId="16" xfId="0" applyFont="1" applyBorder="1" applyAlignment="1">
      <alignment wrapText="1"/>
    </xf>
    <xf numFmtId="0" fontId="51" fillId="0" borderId="1" xfId="0" applyFont="1" applyBorder="1"/>
    <xf numFmtId="0" fontId="5" fillId="17" borderId="2" xfId="0" applyFont="1" applyFill="1" applyBorder="1"/>
    <xf numFmtId="0" fontId="11" fillId="5" borderId="6" xfId="0" applyFont="1" applyFill="1" applyBorder="1"/>
    <xf numFmtId="0" fontId="40" fillId="17" borderId="1" xfId="0" applyFont="1" applyFill="1" applyBorder="1"/>
    <xf numFmtId="0" fontId="21" fillId="0" borderId="15" xfId="0" applyFont="1" applyBorder="1" applyAlignment="1">
      <alignment horizontal="left" wrapText="1"/>
    </xf>
    <xf numFmtId="0" fontId="21" fillId="0" borderId="16" xfId="0" applyFont="1" applyBorder="1" applyAlignment="1">
      <alignment horizontal="left" wrapText="1"/>
    </xf>
    <xf numFmtId="0" fontId="21" fillId="17" borderId="1" xfId="0" applyFont="1" applyFill="1" applyBorder="1" applyAlignment="1">
      <alignment wrapText="1"/>
    </xf>
    <xf numFmtId="14" fontId="78" fillId="0" borderId="0" xfId="0" applyNumberFormat="1" applyFont="1"/>
    <xf numFmtId="0" fontId="13" fillId="19" borderId="1" xfId="0" applyFont="1" applyFill="1" applyBorder="1" applyAlignment="1">
      <alignment horizontal="left" vertical="center" wrapText="1"/>
    </xf>
    <xf numFmtId="0" fontId="13" fillId="19" borderId="1" xfId="0" applyFont="1" applyFill="1" applyBorder="1" applyAlignment="1">
      <alignment vertical="center" wrapText="1"/>
    </xf>
    <xf numFmtId="0" fontId="47" fillId="17" borderId="1" xfId="1" applyFill="1" applyBorder="1" applyAlignment="1">
      <alignment horizontal="left" vertical="center" wrapText="1"/>
    </xf>
    <xf numFmtId="0" fontId="79" fillId="17" borderId="1" xfId="0" applyFont="1" applyFill="1" applyBorder="1" applyAlignment="1">
      <alignment horizontal="center" vertical="top"/>
    </xf>
    <xf numFmtId="0" fontId="6" fillId="3" borderId="2" xfId="0" applyFont="1" applyFill="1" applyBorder="1" applyAlignment="1">
      <alignment horizontal="center" wrapText="1"/>
    </xf>
    <xf numFmtId="0" fontId="4" fillId="0" borderId="4" xfId="0" applyFont="1" applyBorder="1"/>
    <xf numFmtId="0" fontId="3" fillId="2" borderId="2" xfId="0" applyFont="1" applyFill="1" applyBorder="1" applyAlignment="1">
      <alignment horizontal="center" wrapText="1"/>
    </xf>
    <xf numFmtId="0" fontId="4" fillId="0" borderId="3" xfId="0" applyFont="1" applyBorder="1"/>
    <xf numFmtId="0" fontId="2" fillId="2" borderId="2" xfId="0" applyFont="1" applyFill="1" applyBorder="1" applyAlignment="1">
      <alignment horizontal="center" wrapText="1"/>
    </xf>
    <xf numFmtId="0" fontId="63" fillId="27" borderId="2" xfId="0" applyFont="1" applyFill="1" applyBorder="1" applyAlignment="1">
      <alignment horizontal="center" vertical="center" wrapText="1"/>
    </xf>
    <xf numFmtId="0" fontId="65" fillId="27" borderId="3" xfId="0" applyFont="1" applyFill="1" applyBorder="1" applyAlignment="1">
      <alignment vertical="center"/>
    </xf>
    <xf numFmtId="0" fontId="65" fillId="27" borderId="4" xfId="0" applyFont="1" applyFill="1" applyBorder="1" applyAlignment="1">
      <alignment vertical="center"/>
    </xf>
    <xf numFmtId="0" fontId="2" fillId="10" borderId="2" xfId="0" applyFont="1" applyFill="1" applyBorder="1" applyAlignment="1">
      <alignment horizontal="center" wrapText="1"/>
    </xf>
    <xf numFmtId="0" fontId="64" fillId="27" borderId="2" xfId="0" applyFont="1" applyFill="1" applyBorder="1" applyAlignment="1">
      <alignment horizontal="center" vertical="center" wrapText="1"/>
    </xf>
    <xf numFmtId="0" fontId="71" fillId="22" borderId="2" xfId="0" applyFont="1" applyFill="1" applyBorder="1" applyAlignment="1">
      <alignment horizontal="center" vertical="center" wrapText="1"/>
    </xf>
    <xf numFmtId="0" fontId="70" fillId="22" borderId="3" xfId="0" applyFont="1" applyFill="1" applyBorder="1" applyAlignment="1">
      <alignment horizontal="center" vertical="center"/>
    </xf>
    <xf numFmtId="0" fontId="70" fillId="22" borderId="4" xfId="0" applyFont="1" applyFill="1" applyBorder="1" applyAlignment="1">
      <alignment horizontal="center" vertical="center"/>
    </xf>
    <xf numFmtId="0" fontId="3" fillId="9" borderId="2" xfId="0" applyFont="1" applyFill="1" applyBorder="1" applyAlignment="1">
      <alignment horizontal="center" wrapText="1"/>
    </xf>
    <xf numFmtId="0" fontId="5" fillId="11" borderId="2" xfId="0" applyFont="1" applyFill="1" applyBorder="1" applyAlignment="1">
      <alignment horizontal="center" wrapText="1"/>
    </xf>
    <xf numFmtId="14" fontId="4" fillId="0" borderId="3" xfId="0" applyNumberFormat="1" applyFont="1" applyBorder="1"/>
    <xf numFmtId="0" fontId="5" fillId="2" borderId="3" xfId="0" applyFont="1" applyFill="1" applyBorder="1"/>
    <xf numFmtId="0" fontId="6" fillId="2" borderId="3" xfId="0" applyFont="1" applyFill="1" applyBorder="1" applyAlignment="1">
      <alignment horizontal="center" wrapText="1"/>
    </xf>
    <xf numFmtId="0" fontId="12" fillId="2" borderId="3" xfId="0" applyFont="1" applyFill="1" applyBorder="1" applyAlignment="1">
      <alignment horizontal="center" wrapText="1"/>
    </xf>
    <xf numFmtId="0" fontId="0" fillId="22" borderId="2" xfId="0" applyFill="1" applyBorder="1" applyAlignment="1">
      <alignment horizontal="center"/>
    </xf>
    <xf numFmtId="0" fontId="0" fillId="22" borderId="13" xfId="0" applyFill="1" applyBorder="1" applyAlignment="1">
      <alignment horizontal="center"/>
    </xf>
    <xf numFmtId="0" fontId="0" fillId="22" borderId="3" xfId="0" applyFill="1" applyBorder="1" applyAlignment="1">
      <alignment horizontal="center"/>
    </xf>
    <xf numFmtId="0" fontId="3" fillId="24" borderId="1" xfId="0" applyFont="1" applyFill="1" applyBorder="1" applyAlignment="1">
      <alignment horizontal="center" wrapText="1"/>
    </xf>
    <xf numFmtId="0" fontId="4" fillId="24" borderId="1" xfId="0" applyFont="1" applyFill="1" applyBorder="1"/>
    <xf numFmtId="0" fontId="2" fillId="24" borderId="5" xfId="0" applyFont="1" applyFill="1" applyBorder="1" applyAlignment="1">
      <alignment horizontal="center" wrapText="1"/>
    </xf>
    <xf numFmtId="0" fontId="0" fillId="22" borderId="4" xfId="0" applyFill="1" applyBorder="1" applyAlignment="1">
      <alignment horizontal="center"/>
    </xf>
  </cellXfs>
  <cellStyles count="2">
    <cellStyle name="Hyperlink" xfId="1" xr:uid="{00000000-000B-0000-0000-000008000000}"/>
    <cellStyle name="Normal" xfId="0" builtinId="0"/>
  </cellStyles>
  <dxfs count="315">
    <dxf>
      <fill>
        <patternFill patternType="solid">
          <fgColor rgb="FFB7E1CD"/>
          <bgColor rgb="FFB7E1CD"/>
        </patternFill>
      </fill>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5"/>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5"/>
        <name val="Calibri"/>
        <family val="2"/>
        <scheme val="none"/>
      </font>
      <numFmt numFmtId="167" formatCode="d/mm/yyyy"/>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5"/>
        <name val="Calibri"/>
        <family val="2"/>
        <scheme val="none"/>
      </font>
      <numFmt numFmtId="167" formatCode="d/mm/yyyy"/>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numFmt numFmtId="167" formatCode="d/mm/yyyy"/>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numFmt numFmtId="167" formatCode="d/mm/yyyy"/>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numFmt numFmtId="167" formatCode="d/mm/yyyy"/>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numFmt numFmtId="167" formatCode="d/mm/yyyy"/>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i val="0"/>
        <strike val="0"/>
        <condense val="0"/>
        <extend val="0"/>
        <outline val="0"/>
        <shadow val="0"/>
        <u val="none"/>
        <vertAlign val="baseline"/>
        <sz val="11"/>
        <color rgb="FFFF0000"/>
        <name val="Calibri"/>
        <family val="2"/>
        <scheme val="none"/>
      </font>
      <fill>
        <patternFill patternType="solid">
          <fgColor rgb="FFFFFFFF"/>
          <bgColor rgb="FFFFFFFF"/>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numFmt numFmtId="165" formatCode="dd/mm/yyyy"/>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numFmt numFmtId="165" formatCode="dd/mm/yyyy"/>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i val="0"/>
        <strike val="0"/>
        <condense val="0"/>
        <extend val="0"/>
        <outline val="0"/>
        <shadow val="0"/>
        <u val="none"/>
        <vertAlign val="baseline"/>
        <sz val="9"/>
        <color theme="5"/>
        <name val="Arial"/>
        <family val="2"/>
        <scheme val="minor"/>
      </font>
      <fill>
        <patternFill patternType="solid">
          <fgColor theme="0"/>
          <bgColor theme="0"/>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Sansserif"/>
        <scheme val="none"/>
      </font>
      <alignment horizontal="left" vertical="top"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Sansserif"/>
        <scheme val="none"/>
      </font>
      <alignment horizontal="left" vertical="top"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theme="1"/>
        <name val="Arial"/>
        <family val="2"/>
        <scheme val="none"/>
      </font>
      <fill>
        <patternFill patternType="solid">
          <fgColor indexed="64"/>
          <bgColor rgb="FFFFFFFF"/>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rgb="FFFFFFFF"/>
          <bgColor rgb="FFFFFFFF"/>
        </patternFill>
      </fill>
      <border diagonalUp="0" diagonalDown="0">
        <left/>
        <right style="thin">
          <color rgb="FF000000"/>
        </right>
        <top style="thin">
          <color rgb="FF000000"/>
        </top>
        <bottom style="thin">
          <color rgb="FF000000"/>
        </bottom>
        <vertical/>
        <horizontal/>
      </border>
    </dxf>
    <dxf>
      <border outline="0">
        <left style="thin">
          <color rgb="FF000000"/>
        </left>
        <right style="thin">
          <color rgb="FF000000"/>
        </right>
        <bottom style="thin">
          <color rgb="FF000000"/>
        </bottom>
      </border>
    </dxf>
    <dxf>
      <fill>
        <patternFill patternType="solid">
          <fgColor rgb="FFB7E1CD"/>
          <bgColor rgb="FFB7E1CD"/>
        </patternFill>
      </fill>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numFmt numFmtId="167" formatCode="d/mm/yyyy"/>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numFmt numFmtId="167" formatCode="d/mm/yyyy"/>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numFmt numFmtId="167" formatCode="d/mm/yyyy"/>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numFmt numFmtId="167" formatCode="d/mm/yyyy"/>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numFmt numFmtId="167" formatCode="d/mm/yyyy"/>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numFmt numFmtId="167" formatCode="d/mm/yyyy"/>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i val="0"/>
        <strike val="0"/>
        <condense val="0"/>
        <extend val="0"/>
        <outline val="0"/>
        <shadow val="0"/>
        <u val="none"/>
        <vertAlign val="baseline"/>
        <sz val="11"/>
        <color rgb="FFFF0000"/>
        <name val="Calibri"/>
        <family val="2"/>
        <scheme val="none"/>
      </font>
      <fill>
        <patternFill patternType="solid">
          <fgColor rgb="FFFFFFFF"/>
          <bgColor rgb="FFFFFFFF"/>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65" formatCode="dd/mm/yyyy"/>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65" formatCode="dd/mm/yyyy"/>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ertAlign val="baseline"/>
        <sz val="11"/>
        <color rgb="FF000000"/>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ertAlign val="baseline"/>
        <sz val="11"/>
        <color rgb="FF000000"/>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ertAlign val="baseline"/>
        <sz val="11"/>
        <color rgb="FF000000"/>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i val="0"/>
        <strike val="0"/>
        <condense val="0"/>
        <extend val="0"/>
        <outline val="0"/>
        <shadow val="0"/>
        <u val="none"/>
        <vertAlign val="baseline"/>
        <sz val="8"/>
        <color rgb="FFEA4335"/>
        <name val="Arial"/>
        <family val="2"/>
        <scheme val="none"/>
      </font>
      <fill>
        <patternFill patternType="none">
          <fgColor indexed="64"/>
          <bgColor indexed="65"/>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ertAlign val="baseline"/>
        <sz val="11"/>
        <color rgb="FF000000"/>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ertAlign val="baseline"/>
        <sz val="11"/>
        <color rgb="FF000000"/>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Sansserif"/>
        <scheme val="none"/>
      </font>
      <alignment horizontal="left" vertical="top"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Sansserif"/>
        <scheme val="none"/>
      </font>
      <alignment horizontal="left" vertical="top"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theme="1"/>
        <name val="Arial"/>
        <family val="2"/>
        <scheme val="none"/>
      </font>
      <fill>
        <patternFill patternType="solid">
          <fgColor indexed="64"/>
          <bgColor rgb="FFFFFFFF"/>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right style="thin">
          <color rgb="FF000000"/>
        </right>
        <top style="thin">
          <color rgb="FF000000"/>
        </top>
        <bottom style="thin">
          <color rgb="FF000000"/>
        </bottom>
        <vertical/>
        <horizontal/>
      </border>
    </dxf>
    <dxf>
      <fill>
        <patternFill patternType="solid">
          <fgColor rgb="FFFF0000"/>
          <bgColor indexed="65"/>
        </patternFill>
      </fill>
    </dxf>
    <dxf>
      <border outline="0">
        <left style="thin">
          <color rgb="FF000000"/>
        </left>
        <right style="thin">
          <color rgb="FF000000"/>
        </right>
        <bottom style="thin">
          <color rgb="FF000000"/>
        </bottom>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dxf>
    <dxf>
      <fill>
        <patternFill patternType="solid">
          <fgColor rgb="FFB7E1CD"/>
          <bgColor rgb="FFB7E1CD"/>
        </patternFill>
      </fill>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5"/>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5"/>
        <name val="Calibri"/>
        <family val="2"/>
        <scheme val="none"/>
      </font>
      <numFmt numFmtId="167" formatCode="d/mm/yyyy"/>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5"/>
        <name val="Calibri"/>
        <family val="2"/>
        <scheme val="none"/>
      </font>
      <numFmt numFmtId="167" formatCode="d/mm/yyyy"/>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numFmt numFmtId="167" formatCode="d/mm/yyyy"/>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numFmt numFmtId="167" formatCode="d/mm/yyyy"/>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numFmt numFmtId="167" formatCode="d/mm/yyyy"/>
      <fill>
        <patternFill patternType="solid">
          <fgColor rgb="FFFFFFFF"/>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numFmt numFmtId="167" formatCode="d/mm/yyyy"/>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EA4335"/>
        <name val="Calibri"/>
        <family val="2"/>
        <scheme val="none"/>
      </font>
      <fill>
        <patternFill patternType="solid">
          <fgColor rgb="FFFFFFFF"/>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fill>
        <patternFill patternType="solid">
          <fgColor rgb="FFFFFFFF"/>
          <bgColor rgb="FFFFFFFF"/>
        </patternFill>
      </fill>
      <border diagonalUp="0" diagonalDown="0">
        <left style="thin">
          <color rgb="FF000000"/>
        </left>
        <right style="thin">
          <color rgb="FF000000"/>
        </right>
        <top style="thin">
          <color rgb="FF000000"/>
        </top>
        <bottom style="thin">
          <color rgb="FF000000"/>
        </bottom>
        <vertical/>
        <horizontal/>
      </border>
    </dxf>
    <dxf>
      <font>
        <b/>
        <i val="0"/>
        <strike val="0"/>
        <condense val="0"/>
        <extend val="0"/>
        <outline val="0"/>
        <shadow val="0"/>
        <u val="none"/>
        <vertAlign val="baseline"/>
        <sz val="11"/>
        <color rgb="FFFF0000"/>
        <name val="Calibri"/>
        <family val="2"/>
        <scheme val="none"/>
      </font>
      <fill>
        <patternFill patternType="solid">
          <fgColor rgb="FFFFFFFF"/>
          <bgColor rgb="FFFFFFFF"/>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65" formatCode="dd/mm/yyyy"/>
      <fill>
        <patternFill patternType="solid">
          <fgColor rgb="FFFFFFFF"/>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65" formatCode="dd/mm/yyyy"/>
      <fill>
        <patternFill patternType="solid">
          <fgColor rgb="FFFFFFFF"/>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fill>
        <patternFill patternType="solid">
          <fgColor rgb="FFFFFFFF"/>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fill>
        <patternFill patternType="solid">
          <fgColor rgb="FFFFFFFF"/>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fill>
        <patternFill patternType="solid">
          <fgColor rgb="FFFFFFFF"/>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fill>
        <patternFill patternType="solid">
          <fgColor rgb="FFFFFFFF"/>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fill>
        <patternFill patternType="solid">
          <fgColor rgb="FFFFFFFF"/>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theme="5"/>
        <name val="Arial"/>
        <family val="2"/>
        <scheme val="none"/>
      </font>
      <fill>
        <patternFill patternType="solid">
          <fgColor rgb="FFFFFFFF"/>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theme="0"/>
          <bgColor theme="0"/>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theme="1"/>
        <name val="Arial"/>
        <family val="2"/>
        <scheme val="none"/>
      </font>
      <fill>
        <patternFill patternType="solid">
          <fgColor indexed="64"/>
          <bgColor rgb="FFFFFFFF"/>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right style="thin">
          <color rgb="FF000000"/>
        </right>
        <top style="thin">
          <color rgb="FF000000"/>
        </top>
        <bottom style="thin">
          <color rgb="FF000000"/>
        </bottom>
        <vertical/>
        <horizontal/>
      </border>
    </dxf>
    <dxf>
      <fill>
        <patternFill patternType="solid">
          <fgColor rgb="FFFF0000"/>
          <bgColor indexed="65"/>
        </patternFill>
      </fill>
    </dxf>
    <dxf>
      <border outline="0">
        <left style="thin">
          <color rgb="FF000000"/>
        </left>
        <right style="thin">
          <color rgb="FF000000"/>
        </right>
        <bottom style="thin">
          <color rgb="FF000000"/>
        </bottom>
      </border>
    </dxf>
    <dxf>
      <fill>
        <patternFill patternType="solid">
          <fgColor rgb="FFB7E1CD"/>
          <bgColor rgb="FFB7E1CD"/>
        </patternFill>
      </fill>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numFmt numFmtId="167" formatCode="d/mm/yyyy"/>
      <fill>
        <patternFill patternType="solid">
          <fgColor indexed="64"/>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numFmt numFmtId="167" formatCode="d/mm/yyyy"/>
      <fill>
        <patternFill patternType="solid">
          <fgColor indexed="64"/>
          <bgColor rgb="FFFFFFFF"/>
        </patternFill>
      </fill>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Arial"/>
        <family val="2"/>
        <scheme val="minor"/>
      </font>
      <numFmt numFmtId="167" formatCode="d/mm/yyyy"/>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Arial"/>
        <family val="2"/>
        <scheme val="minor"/>
      </font>
      <numFmt numFmtId="167" formatCode="d/mm/yyyy"/>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Arial"/>
        <family val="2"/>
        <scheme val="minor"/>
      </font>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Arial"/>
        <family val="2"/>
        <scheme val="minor"/>
      </font>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Arial"/>
        <family val="2"/>
        <scheme val="minor"/>
      </font>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Arial"/>
        <family val="2"/>
        <scheme val="minor"/>
      </font>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Arial"/>
        <family val="2"/>
        <scheme val="minor"/>
      </font>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numFmt numFmtId="167" formatCode="d/mm/yyyy"/>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numFmt numFmtId="167" formatCode="d/mm/yyyy"/>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Arial"/>
        <family val="2"/>
        <scheme val="minor"/>
      </font>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Roboto"/>
        <scheme val="none"/>
      </font>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color rgb="FF000000"/>
      </font>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color rgb="FF000000"/>
      </font>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i val="0"/>
        <strike val="0"/>
        <condense val="0"/>
        <extend val="0"/>
        <outline val="0"/>
        <shadow val="0"/>
        <u val="none"/>
        <vertAlign val="baseline"/>
        <sz val="11"/>
        <color rgb="FF000000"/>
        <name val="Calibri"/>
        <family val="2"/>
        <scheme val="none"/>
      </font>
      <fill>
        <patternFill patternType="solid">
          <fgColor indexed="64"/>
          <bgColor rgb="FFFFFFFF"/>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numFmt numFmtId="168" formatCode="m/d/yyyy"/>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numFmt numFmtId="168" formatCode="m/d/yyyy"/>
      <fill>
        <patternFill patternType="solid">
          <fgColor indexed="64"/>
          <bgColor rgb="FFFFFFFF"/>
        </patternFill>
      </fill>
      <alignment horizontal="righ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color rgb="FF000000"/>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Montserrat-Light"/>
        <scheme val="none"/>
      </font>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Montserrat-Light"/>
        <scheme val="none"/>
      </font>
      <fill>
        <patternFill patternType="solid">
          <fgColor indexed="64"/>
          <bgColor rgb="FFFFFFFF"/>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rgb="FF000000"/>
        <name val="Arial"/>
        <family val="2"/>
        <scheme val="none"/>
      </font>
      <fill>
        <patternFill patternType="solid">
          <fgColor indexed="64"/>
          <bgColor rgb="FFFFFFFF"/>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horizontal/>
      </border>
    </dxf>
    <dxf>
      <fill>
        <patternFill patternType="solid">
          <fgColor rgb="FFFF0000"/>
          <bgColor indexed="65"/>
        </patternFill>
      </fill>
    </dxf>
    <dxf>
      <border outline="0">
        <left style="thin">
          <color rgb="FF000000"/>
        </left>
        <bottom style="thin">
          <color rgb="FF000000"/>
        </bottom>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dxf>
    <dxf>
      <font>
        <color rgb="FF000000"/>
      </font>
      <fill>
        <patternFill patternType="solid">
          <fgColor indexed="64"/>
          <bgColor rgb="FFF4B084"/>
        </patternFill>
      </fill>
    </dxf>
    <dxf>
      <font>
        <b val="0"/>
        <i val="0"/>
        <strike val="0"/>
        <condense val="0"/>
        <extend val="0"/>
        <outline val="0"/>
        <shadow val="0"/>
        <u val="none"/>
        <vertAlign val="baseline"/>
        <sz val="11"/>
        <color rgb="FF000000"/>
        <name val="Calibri"/>
        <family val="2"/>
        <scheme val="none"/>
      </font>
      <numFmt numFmtId="167" formatCode="d/mm/yyyy"/>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horizontal="general"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Arial"/>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Arial"/>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Roboto"/>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Arial"/>
        <family val="2"/>
        <scheme val="none"/>
      </font>
      <numFmt numFmtId="165" formatCode="dd/mm/yyyy"/>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Arial"/>
        <family val="2"/>
        <scheme val="none"/>
      </font>
      <numFmt numFmtId="168" formatCode="m/d/yyyy"/>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Arial"/>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Arial"/>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Arial"/>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Arial"/>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Arial"/>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Arial"/>
        <family val="2"/>
        <scheme val="none"/>
      </font>
      <fill>
        <patternFill patternType="solid">
          <fgColor indexed="64"/>
          <bgColor rgb="FFFFFFFF"/>
        </patternFill>
      </fill>
      <alignment vertical="center" wrapText="1"/>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rgb="FFEA4335"/>
          <bgColor indexed="65"/>
        </patternFill>
      </fill>
    </dxf>
    <dxf>
      <border outline="0">
        <left style="thin">
          <color rgb="FF000000"/>
        </left>
        <right style="thin">
          <color rgb="FF000000"/>
        </right>
      </border>
    </dxf>
    <dxf>
      <font>
        <b val="0"/>
        <i val="0"/>
        <strike val="0"/>
        <condense val="0"/>
        <extend val="0"/>
        <outline val="0"/>
        <shadow val="0"/>
        <u val="none"/>
        <vertAlign val="baseline"/>
        <sz val="11"/>
        <color rgb="FF000000"/>
        <name val="Calibri"/>
        <family val="2"/>
        <scheme val="none"/>
      </font>
      <fill>
        <patternFill patternType="solid">
          <fgColor indexed="64"/>
          <bgColor rgb="FFFFFFFF"/>
        </patternFill>
      </fill>
      <alignment vertical="center" wrapText="1"/>
    </dxf>
    <dxf>
      <font>
        <b val="0"/>
        <i val="0"/>
        <strike val="0"/>
        <condense val="0"/>
        <extend val="0"/>
        <outline val="0"/>
        <shadow val="0"/>
        <u val="none"/>
        <vertAlign val="baseline"/>
        <sz val="10"/>
        <color theme="1"/>
        <name val="Arial"/>
        <family val="2"/>
        <scheme val="minor"/>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i val="0"/>
        <strike val="0"/>
        <condense val="0"/>
        <extend val="0"/>
        <outline val="0"/>
        <shadow val="0"/>
        <u val="none"/>
        <vertAlign val="baseline"/>
        <sz val="11"/>
        <color rgb="FFFF0000"/>
        <name val="Calibri"/>
        <family val="2"/>
        <scheme val="none"/>
      </font>
      <fill>
        <patternFill patternType="solid">
          <fgColor rgb="FFFFFFFF"/>
          <bgColor rgb="FFFFFFFF"/>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66" formatCode="d/m/yyyy"/>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65" formatCode="dd/mm/yyyy"/>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333333"/>
        <name val="Montserrat-Light"/>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i val="0"/>
        <strike val="0"/>
        <condense val="0"/>
        <extend val="0"/>
        <outline val="0"/>
        <shadow val="0"/>
        <u val="none"/>
        <vertAlign val="baseline"/>
        <sz val="8"/>
        <color theme="5"/>
        <name val="Arial"/>
        <family val="2"/>
        <scheme val="none"/>
      </font>
      <fill>
        <patternFill patternType="none">
          <fgColor indexed="64"/>
          <bgColor indexed="65"/>
        </patternFill>
      </fill>
    </dxf>
    <dxf>
      <font>
        <b val="0"/>
        <i val="0"/>
        <strike val="0"/>
        <condense val="0"/>
        <extend val="0"/>
        <outline val="0"/>
        <shadow val="0"/>
        <u val="none"/>
        <vertAlign val="baseline"/>
        <sz val="10"/>
        <color theme="1"/>
        <name val="Arial"/>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333333"/>
        <name val="Montserrat-Light"/>
        <scheme val="none"/>
      </font>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333333"/>
        <name val="Montserrat-Light"/>
        <scheme val="none"/>
      </font>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222222"/>
        <name val="Arial"/>
        <family val="2"/>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Arial"/>
        <family val="2"/>
        <scheme val="none"/>
      </font>
      <alignment horizontal="center" vertical="top"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Sansserif"/>
        <scheme val="none"/>
      </font>
      <alignment horizontal="left" vertical="top"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Arial"/>
        <family val="2"/>
        <scheme val="none"/>
      </font>
      <alignment horizontal="left" vertical="top"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8"/>
        <color theme="1"/>
        <name val="Arial"/>
        <family val="2"/>
        <scheme val="none"/>
      </font>
      <fill>
        <patternFill patternType="solid">
          <fgColor indexed="64"/>
          <bgColor rgb="FFFFFFFF"/>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right style="thin">
          <color rgb="FF000000"/>
        </right>
        <top style="thin">
          <color rgb="FF000000"/>
        </top>
        <bottom style="thin">
          <color rgb="FF000000"/>
        </bottom>
        <vertical/>
        <horizontal/>
      </border>
    </dxf>
    <dxf>
      <border outline="0">
        <left style="thin">
          <color rgb="FF000000"/>
        </left>
        <right style="thin">
          <color rgb="FF000000"/>
        </right>
      </border>
    </dxf>
  </dxfs>
  <tableStyles count="0" defaultTableStyle="TableStyleMedium2" defaultPivotStyle="PivotStyleLight16"/>
  <colors>
    <mruColors>
      <color rgb="FFF5E10C"/>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CAPRENDIZAJE" id="{0128A3B7-0C4E-43BF-80D8-792560036D37}"/>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CAPRENDIZAJE" id="{9702120E-E1E1-4099-8ED1-463EE03A853D}"/>
</namedSheetView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2F90AD9-2355-42CC-B38A-C28AA7103A26}" name="Contr_yam" displayName="Contr_yam" ref="A2:AV178" totalsRowShown="0" dataDxfId="291" tableBorderDxfId="290">
  <autoFilter ref="A2:AV178" xr:uid="{22F90AD9-2355-42CC-B38A-C28AA7103A26}"/>
  <sortState xmlns:xlrd2="http://schemas.microsoft.com/office/spreadsheetml/2017/richdata2" ref="A3:AV178">
    <sortCondition sortBy="cellColor" ref="B2" dxfId="289"/>
  </sortState>
  <tableColumns count="48">
    <tableColumn id="1" xr3:uid="{DDC090D2-C079-4D14-8A48-912091BB40A2}" name="insTRuctor asignado 30-03-2023" dataDxfId="288"/>
    <tableColumn id="3" xr3:uid="{255C8FF4-2EB6-43A5-A1DE-1006A169911E}" name="Nombres del Aprediz" dataDxfId="287"/>
    <tableColumn id="4" xr3:uid="{79C1AFB0-7A04-4BED-A791-1E4878101B0D}" name="Tipo de Documento" dataDxfId="286"/>
    <tableColumn id="5" xr3:uid="{0397D95F-13B4-4850-A339-7557320A0CC9}" name="Numero del DI" dataDxfId="285"/>
    <tableColumn id="6" xr3:uid="{8B3FFD08-8CB2-4BD8-8432-9B74BA58CD62}" name="Ficha" dataDxfId="284"/>
    <tableColumn id="7" xr3:uid="{ECA4E5BE-631D-4678-81F5-3B901BAFB36D}" name="Nivel" dataDxfId="283"/>
    <tableColumn id="8" xr3:uid="{D2380284-9817-4989-95C0-A8A0BB8C8109}" name="Titulado" dataDxfId="282"/>
    <tableColumn id="9" xr3:uid="{F6FD94A1-9434-4281-8B32-43881AC33E12}" name="Telefono Aprendiz" dataDxfId="281"/>
    <tableColumn id="10" xr3:uid="{EC46B6CD-FBEF-477E-BF34-C2C895AF91FB}" name="CORREO" dataDxfId="280"/>
    <tableColumn id="11" xr3:uid="{45D8AD0E-C731-463E-8D0C-D8C67A9A8F0A}" name="Municipio de residencia" dataDxfId="279"/>
    <tableColumn id="12" xr3:uid="{507BB52A-4D36-4BE5-9C34-05E71A86956F}" name="Tipo de Alternativa" dataDxfId="278"/>
    <tableColumn id="13" xr3:uid="{74E34385-2E91-4156-BEF5-5F8B56BD8E7C}" name="Empresa" dataDxfId="277"/>
    <tableColumn id="14" xr3:uid="{711008E9-E61F-46F7-A87E-7FE08931DB92}" name="DIRECCION" dataDxfId="276"/>
    <tableColumn id="15" xr3:uid="{E5044684-E8F6-4FAC-AA29-FCBB3402D537}" name="TELEFONO" dataDxfId="275"/>
    <tableColumn id="16" xr3:uid="{24CF3894-1324-4196-94BA-79E0751F523D}" name="CIUDAD" dataDxfId="274"/>
    <tableColumn id="17" xr3:uid="{D3A5C1F6-1E83-4907-8D70-6B3185E98F40}" name="CORREO ELECTRONICO DE LA EMPRESA" dataDxfId="273"/>
    <tableColumn id="18" xr3:uid="{FBDDABE1-BF2C-47ED-ADB7-7B2AD8C45C40}" name="Fecha Inicio Productiva" dataDxfId="272"/>
    <tableColumn id="19" xr3:uid="{B6893F6E-8440-4BB8-A1D0-B4206EAF409B}" name="Fecha Fin Productiva" dataDxfId="271"/>
    <tableColumn id="20" xr3:uid="{11CAD75D-D4C8-4393-9A76-4D34B3175468}" name="NOVEDADES" dataDxfId="270"/>
    <tableColumn id="21" xr3:uid="{3A91AAC6-E128-4C95-9D2C-79E434D4501A}" name="INSTRUCTOR FEBRERO " dataDxfId="269"/>
    <tableColumn id="22" xr3:uid="{1EC12AD4-65FE-423C-B640-28A5D5F8ECDF}" name="SEGUIMIENTO MES DE FEBRERO" dataDxfId="268"/>
    <tableColumn id="23" xr3:uid="{B8387D5A-8528-4CFE-BB48-65AE3BDCE55F}" name="INSTRUCTOR MARZO" dataDxfId="267"/>
    <tableColumn id="24" xr3:uid="{A1341CA4-AEFE-446A-BADB-18F4BFA9F802}" name="SEGUIMIENTO MES DE MARZO" dataDxfId="266"/>
    <tableColumn id="25" xr3:uid="{CAF1568F-17F7-4894-914E-234B9BCA343A}" name="INSTRUCTOR ABRIL" dataDxfId="265"/>
    <tableColumn id="26" xr3:uid="{FF31A01A-B013-4EA8-93A3-1294E95234D0}" name="SEGUIMIENTO MES DE ABRIL" dataDxfId="264"/>
    <tableColumn id="27" xr3:uid="{DEA14D0B-2E93-4672-AEED-43F64E49D7E2}" name="INSTRUCTOR MAYO" dataDxfId="263"/>
    <tableColumn id="28" xr3:uid="{894C061F-A100-42E3-9BFF-0799C8E46927}" name="SEGUIMIENTO MES DE mayo" dataDxfId="262"/>
    <tableColumn id="29" xr3:uid="{3549A95F-48BD-42FA-8D06-E19AAEBB10BB}" name="Junio " dataDxfId="261"/>
    <tableColumn id="30" xr3:uid="{7396AEE8-81E6-4B47-B724-6B7A3D9BAEC4}" name="SEGUIMIENTO MES DE Junio" dataDxfId="260"/>
    <tableColumn id="31" xr3:uid="{9D8A8F6A-67B8-48E5-BEFA-A26E6F039A39}" name="INSTRUCTORES JULIO " dataDxfId="259"/>
    <tableColumn id="32" xr3:uid="{CAB7D69D-F171-4FB0-99E1-0204D7D9FB8B}" name="SEGUIMIENTO MES DE jULIO " dataDxfId="258"/>
    <tableColumn id="33" xr3:uid="{B3799DBC-089D-41E0-8C28-03C3C66C60D7}" name="INSTRUCTORES AGOSTO  " dataDxfId="257"/>
    <tableColumn id="34" xr3:uid="{47BA11D7-1B8B-445A-8A5F-4ABC876D2E2B}" name="SEGUIMIENTO MES DE AGOSTO " dataDxfId="256"/>
    <tableColumn id="35" xr3:uid="{390BCD8C-1D32-463F-B3A7-CE25987A0259}" name="INSTRUCTORES SEPTIEMBRE" dataDxfId="255"/>
    <tableColumn id="36" xr3:uid="{85068B7B-208A-4B33-9FC5-51EB5901CE88}" name="SEGUIMIENTO MES DE SEPTIEMBRE " dataDxfId="254"/>
    <tableColumn id="37" xr3:uid="{7E251875-0452-41F1-BA8F-1D922DCFB7AF}" name="INSTRUCTORES OCTUBRE " dataDxfId="253"/>
    <tableColumn id="38" xr3:uid="{542779D1-3107-4385-A028-B11F05FF89B8}" name="SEGUIMIENTO MES DE OCTUBRE " dataDxfId="252"/>
    <tableColumn id="39" xr3:uid="{6D11908C-B0ED-4836-8CAB-5F6F2BCDA8B5}" name="INSTRUCTORES NOVIEMBRE " dataDxfId="251"/>
    <tableColumn id="40" xr3:uid="{BF1DD872-C5B7-4323-98CD-6203CCC87EB5}" name="SEGUIMIENTO MES DE NOVIEMBRE " dataDxfId="250"/>
    <tableColumn id="41" xr3:uid="{B9A0BCF3-C88A-4FCF-B131-7C5B660F1B95}" name="INSTRUCTORES DICIEMBRE" dataDxfId="249"/>
    <tableColumn id="42" xr3:uid="{5954880F-FB8E-4596-9147-F0B29C7077A8}" name="SEGUIMIENTO MES DE DICIEMBRE " dataDxfId="248"/>
    <tableColumn id="43" xr3:uid="{0718EA20-7C65-45E6-B5EC-E7ABFC005281}" name="INSTRUCTOR SEGUIMIENTO" dataDxfId="247"/>
    <tableColumn id="44" xr3:uid="{62D25CBB-B343-4AC9-9D03-F359F8941D26}" name="Fecha Inicio Titulado" dataDxfId="246"/>
    <tableColumn id="45" xr3:uid="{58506596-CD50-4AE2-BD02-695FAB013D3E}" name="Fecha Fin Lectiva" dataDxfId="245"/>
    <tableColumn id="46" xr3:uid="{95C02322-730D-46A4-9605-9816CD594708}" name="FECHA FIN TITULADO" dataDxfId="244"/>
    <tableColumn id="47" xr3:uid="{1152E686-FBDE-4947-A2D9-7E1A36A467FE}" name="FECHA CON 18 MESES" dataDxfId="243">
      <calculatedColumnFormula>IF(#REF!&gt;0,IF(AND(#REF!=1,#REF!=1),"Procede_E_P","NO_CUMPLE"),"")</calculatedColumnFormula>
    </tableColumn>
    <tableColumn id="48" xr3:uid="{9EC79B6B-35E6-4CB4-A67D-46212C0C7F02}" name="ESTADO DE FICHA TERMINADA POR FECHA " dataDxfId="242"/>
    <tableColumn id="49" xr3:uid="{FFBB7B4F-2C7F-4722-8C1E-226361D08ADB}" name="ESTADO DE LA FICHA" dataDxfId="24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29D34B7-4E9C-4115-9043-6A44E7FF97C4}" name="Ambiental_Yam" displayName="Ambiental_Yam" ref="A2:V42" totalsRowShown="0" tableBorderDxfId="314">
  <autoFilter ref="A2:V42" xr:uid="{729D34B7-4E9C-4115-9043-6A44E7FF97C4}">
    <filterColumn colId="11">
      <filters>
        <filter val="NO HA INICIADO ETAPA PRODUCTIVA"/>
      </filters>
    </filterColumn>
  </autoFilter>
  <tableColumns count="22">
    <tableColumn id="1" xr3:uid="{07F9D888-681A-4F80-9191-737C90397E56}" name=" Registro Sofia plus " dataDxfId="313"/>
    <tableColumn id="2" xr3:uid="{74B0873A-4A49-496A-BC85-216EBBC1CD44}" name="ESTADO " dataDxfId="312"/>
    <tableColumn id="3" xr3:uid="{650BD8E2-0A8F-4130-9931-5B57082CF798}" name="Nombres del Aprendiz" dataDxfId="311"/>
    <tableColumn id="4" xr3:uid="{B0D93540-5203-418B-8B40-99E2C8DC3446}" name="Tipo de Documento" dataDxfId="310"/>
    <tableColumn id="5" xr3:uid="{AD527C73-A717-4C7C-8AB3-A9DD0C0B5A18}" name="Numero del DI" dataDxfId="309"/>
    <tableColumn id="6" xr3:uid="{59A479A0-B2BC-47AB-8253-F52463B32E4F}" name="Ficha" dataDxfId="308"/>
    <tableColumn id="7" xr3:uid="{CDAFF8FC-BCEE-41C0-A3C4-7D20A5BE5777}" name="Nivel" dataDxfId="307"/>
    <tableColumn id="8" xr3:uid="{5CA081F5-B891-4766-A6F6-9641A00A708F}" name="Titulado" dataDxfId="306"/>
    <tableColumn id="9" xr3:uid="{2EE1F713-C3EE-4501-BDD3-0E31E87AF3DE}" name="Telefono Aprendiz" dataDxfId="305"/>
    <tableColumn id="10" xr3:uid="{7ECE706E-2C99-47C1-92D3-FB15AB74286A}" name="CORREO" dataDxfId="304"/>
    <tableColumn id="11" xr3:uid="{F7230F5B-CF7E-4000-8512-565C73B1C83E}" name="Municipio de residencia" dataDxfId="303"/>
    <tableColumn id="12" xr3:uid="{488C5656-0D6E-4284-9BF9-397CCCE4427A}" name="Tipo de Alternativa" dataDxfId="302"/>
    <tableColumn id="13" xr3:uid="{EE362FB2-620C-4521-8ACB-AA2C6AAEF789}" name="Empresa" dataDxfId="301"/>
    <tableColumn id="14" xr3:uid="{8977DB1A-A018-4ECB-909E-62BBDB4200E9}" name="DIRECCION" dataDxfId="300"/>
    <tableColumn id="15" xr3:uid="{34E1015F-696B-4DC6-BCEA-7BAD2F6F2AAE}" name="TELEFONO" dataDxfId="299"/>
    <tableColumn id="16" xr3:uid="{8AE433AC-AF38-4D45-88DE-216115B9C24F}" name="CIUDAD" dataDxfId="298"/>
    <tableColumn id="17" xr3:uid="{3849C280-557E-4FDB-BE43-319CD65DF954}" name="CORREO ELECTRONICO DE LA EMPRESA" dataDxfId="297"/>
    <tableColumn id="18" xr3:uid="{543EA96A-32DF-4B59-9105-D182C3AD5860}" name="Fecha Inicio Productiva" dataDxfId="296"/>
    <tableColumn id="19" xr3:uid="{52178388-CF58-41F0-B6BF-C78898932CCC}" name="Fecha Fin Productiva" dataDxfId="295"/>
    <tableColumn id="20" xr3:uid="{2E5A88B8-0532-4008-9D96-554F8130D590}" name="NOVEDADES" dataDxfId="294"/>
    <tableColumn id="21" xr3:uid="{6EBECA8B-B398-4DA0-9FE8-354E430ECEBF}" name="INSTRUCTOR SEGUIMIENTO" dataDxfId="293"/>
    <tableColumn id="22" xr3:uid="{1962922A-9108-4554-AB24-6B05B2E48515}" name="SEGUIMIENTO MES DE FEBRERO" dataDxfId="29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8A5A059-A3F0-42AE-9ADD-263B3196E49F}" name="Tic_cys" displayName="Tic_cys" ref="B2:BK119" totalsRowShown="0" headerRowDxfId="240" dataDxfId="239" tableBorderDxfId="238">
  <autoFilter ref="B2:BK119" xr:uid="{78A5A059-A3F0-42AE-9ADD-263B3196E49F}"/>
  <sortState xmlns:xlrd2="http://schemas.microsoft.com/office/spreadsheetml/2017/richdata2" ref="B3:BK119">
    <sortCondition sortBy="cellColor" ref="D2" dxfId="237"/>
  </sortState>
  <tableColumns count="62">
    <tableColumn id="1" xr3:uid="{7502C772-0A35-4267-B5AC-9F094F8AA01E}" name=" Registro Sofia plus " dataDxfId="236"/>
    <tableColumn id="2" xr3:uid="{7A953468-26DB-4913-96E3-43CF7D589AC4}" name="ESTADO " dataDxfId="235"/>
    <tableColumn id="3" xr3:uid="{FF586E19-74E3-409D-B9DC-571E223B5BE1}" name="Nombres del Aprediz" dataDxfId="234"/>
    <tableColumn id="4" xr3:uid="{D96D31A9-05CA-4D54-AF69-8866470F0439}" name="Tipo de Documento" dataDxfId="233"/>
    <tableColumn id="5" xr3:uid="{9C2094C0-85A4-4DA3-B396-6D3F2C62AC7A}" name="Numero del DI" dataDxfId="232"/>
    <tableColumn id="6" xr3:uid="{2040E00A-CBE2-45AC-94E7-221E34E5C080}" name="Ficha" dataDxfId="231"/>
    <tableColumn id="7" xr3:uid="{5F150934-63F3-4711-A4C5-9014B61AE6BE}" name="Nivel" dataDxfId="230"/>
    <tableColumn id="8" xr3:uid="{BEF3F4D9-5A7C-42F7-B7A8-4017D24AEF8A}" name="Titulado" dataDxfId="229"/>
    <tableColumn id="9" xr3:uid="{E7F6CA0E-EE0C-49AF-9755-67A287C0A6DD}" name="Telefono Aprendiz" dataDxfId="228"/>
    <tableColumn id="10" xr3:uid="{D42D0DDB-1DFB-4866-83BC-1D9B67D71A80}" name="CORREO" dataDxfId="227"/>
    <tableColumn id="11" xr3:uid="{2412168B-198D-4FFA-BC2B-5C6DD1EF17FD}" name="Municipio de residencia" dataDxfId="226"/>
    <tableColumn id="12" xr3:uid="{04F1DAD7-B2AF-440D-A542-4E583550C1A5}" name="Tipo de Alternativa" dataDxfId="225"/>
    <tableColumn id="13" xr3:uid="{32C53DC7-32B2-437D-8DAF-20A39ABA3D22}" name="Empresa" dataDxfId="224"/>
    <tableColumn id="14" xr3:uid="{434A3F40-9352-4A68-B599-FA019EB3E4E1}" name="DIRECCION" dataDxfId="223"/>
    <tableColumn id="15" xr3:uid="{876DB388-9D28-4DFC-88DC-365FA04CD737}" name="TELEFONO" dataDxfId="222"/>
    <tableColumn id="16" xr3:uid="{701DAF69-14F0-431F-A03E-0F041E5918E5}" name="CIUDAD" dataDxfId="221"/>
    <tableColumn id="17" xr3:uid="{AAF1ED03-D154-46B2-B988-793EAC95D304}" name="CORREO ELECTRONICO DE LA EMPRESA" dataDxfId="220" dataCellStyle="Hyperlink"/>
    <tableColumn id="18" xr3:uid="{AAFC85B2-C984-4854-B37A-06E0746A64A2}" name="Fecha Inicio Productiva" dataDxfId="219"/>
    <tableColumn id="19" xr3:uid="{ACBF55F7-5C1C-44C2-AB95-BC8B887CCB0D}" name="Fecha Fin Productiva" dataDxfId="218"/>
    <tableColumn id="20" xr3:uid="{B8360372-8C1F-4CEE-932F-ED51A815A6E4}" name="NOVEDADES" dataDxfId="217"/>
    <tableColumn id="21" xr3:uid="{468FE7B0-AA1C-4221-8F1F-83431242D491}" name="INSTRUCTOR FEBRERO " dataDxfId="216"/>
    <tableColumn id="22" xr3:uid="{1317FAD6-D701-4E43-9E81-68690C05FBCC}" name="SEGUIMIENTO MES DE FEBRERO" dataDxfId="215"/>
    <tableColumn id="23" xr3:uid="{0218AA2E-F5C8-4FDA-9DE8-B4499DC28E99}" name="INSTRUCTOR MARZO" dataDxfId="214"/>
    <tableColumn id="24" xr3:uid="{38433C6E-7464-405D-8AFE-26EA89840982}" name="SEGUIMIENTO MES DE MARZO" dataDxfId="213"/>
    <tableColumn id="25" xr3:uid="{95E12B2F-9107-4155-8EC6-3B200F8DBE18}" name="INSTRUCTOR ABRIL" dataDxfId="212"/>
    <tableColumn id="26" xr3:uid="{CF80041F-CA63-40F8-8B85-46B9067F0F5D}" name="SEGUIMIENTO MES DE ABRIL" dataDxfId="211"/>
    <tableColumn id="27" xr3:uid="{F4CA761C-7819-4E2A-AA0B-71C3E50B6A1F}" name="INSTRUCTOR MAYO" dataDxfId="210"/>
    <tableColumn id="28" xr3:uid="{29D66BF7-6B5D-4C43-8A68-92BCC80C19B1}" name="SEGUIMIENTO MES DE mayo" dataDxfId="209"/>
    <tableColumn id="29" xr3:uid="{AE9DB8A8-C187-43C1-9AFB-3E773090CD4F}" name="Junio " dataDxfId="208"/>
    <tableColumn id="30" xr3:uid="{2DB6DEAE-D424-4186-B9C6-D6A447702647}" name="SEGUIMIENTO MES DE Junio" dataDxfId="207"/>
    <tableColumn id="31" xr3:uid="{339CDD8E-CF58-442D-8C59-5D23F9DE52C1}" name="INSTRUCTORES JULIO " dataDxfId="206"/>
    <tableColumn id="32" xr3:uid="{61391A69-F911-481C-A4C6-BFE2A2D2E0FE}" name="SEGUIMIENTO MES DE jULIO " dataDxfId="205"/>
    <tableColumn id="33" xr3:uid="{8F0CC3B6-D10D-4844-A657-A1C3545060D4}" name="INSTRUCTORES AGOSTO  " dataDxfId="204"/>
    <tableColumn id="34" xr3:uid="{083BEB56-6369-453E-A122-B1FFDD8D7A96}" name="SEGUIMIENTO MES DE AGOSTO " dataDxfId="203"/>
    <tableColumn id="35" xr3:uid="{C3405422-CB94-4170-BEAD-F09EB4A12815}" name="INSTRUCTORES SEPTIEMBRE" dataDxfId="202"/>
    <tableColumn id="36" xr3:uid="{4BAE9668-6104-4237-A246-8363AF60D9DB}" name="SEGUIMIENTO MES DE SEPTIEMBRE " dataDxfId="201"/>
    <tableColumn id="37" xr3:uid="{904AC4FE-56B9-4724-90CA-8DCD81D42954}" name="INSTRUCTORES OCTUBRE " dataDxfId="200"/>
    <tableColumn id="38" xr3:uid="{DBB1898B-C129-4D46-93EE-47B22AF4CBFA}" name="SEGUIMIENTO MES DE OCTUBRE " dataDxfId="199"/>
    <tableColumn id="39" xr3:uid="{5B3D8AB9-712C-4C57-92E7-A455745CDFD5}" name="INSTRUCTORES NOVIEMBRE " dataDxfId="198"/>
    <tableColumn id="40" xr3:uid="{5CC1A4DD-3135-4881-A7F5-52063162AC49}" name="SEGUIMIENTO MES DE NOVIEMBRE " dataDxfId="197"/>
    <tableColumn id="41" xr3:uid="{4F39AACD-C345-4524-8E15-53E1B3039C2F}" name="INSTRUCTORES DICIEMBRE" dataDxfId="196"/>
    <tableColumn id="42" xr3:uid="{55DC44C4-104B-4882-BED1-03A25626E303}" name="SEGUIMIENTO MES DE DICIEMBRE " dataDxfId="195"/>
    <tableColumn id="43" xr3:uid="{23B177FB-70F5-4019-A9FE-8214A3E81150}" name="INSTRUCTOR ENERO" dataDxfId="194"/>
    <tableColumn id="44" xr3:uid="{B14DEBBC-711F-470E-B503-083427E657DB}" name="SEGUIMIENTO MES DE ENERO" dataDxfId="193"/>
    <tableColumn id="45" xr3:uid="{F33D4B1A-4DBC-4EF0-942F-0D13EFB122B5}" name="INSTRUCTOR MARZO2" dataDxfId="192"/>
    <tableColumn id="46" xr3:uid="{4B05BD1A-98E0-4F6E-8D59-DB3375F7804C}" name="SEGUIMIENTO MES DE FEBRERO " dataDxfId="191"/>
    <tableColumn id="47" xr3:uid="{135EE6EB-9891-4AE0-A8C7-3274006088CE}" name="CUMPLE EP" dataDxfId="190">
      <calculatedColumnFormula>IF(F3&gt;0,IF(AND(BD3=1,BA3=1),"Procede_E_P","NO_CUMPLE"),"")</calculatedColumnFormula>
    </tableColumn>
    <tableColumn id="48" xr3:uid="{9C54D1BE-BE9D-4995-A437-B5B5C14FF2A1}" name="ESTADO DEL APRENDIZ " dataDxfId="189"/>
    <tableColumn id="49" xr3:uid="{96E0F2D1-A048-45D1-B0FF-FA35A12F62FD}" name="PROYECTO " dataDxfId="188"/>
    <tableColumn id="50" xr3:uid="{DC9A5D9F-ABD3-4129-ADB7-C031E235A2CD}" name="FECHA REPORTE" dataDxfId="187"/>
    <tableColumn id="51" xr3:uid="{E3374F1C-73FA-4A16-A668-E19EA61C064C}" name="RAP PROMOVER POR EVALUAR" dataDxfId="186"/>
    <tableColumn id="52" xr3:uid="{3D4568DB-703F-4126-B3E1-BC36D68570D2}" name="RAP PRODUCTIVA POR EVALUAR" dataDxfId="185"/>
    <tableColumn id="53" xr3:uid="{A9A2175A-1C47-458F-A906-1E6D8B57C253}" name="RAP INGLES POR EVALUAR" dataDxfId="184"/>
    <tableColumn id="54" xr3:uid="{6FC860DF-400B-4B92-A99C-E9959160F477}" name="RAP TECNICO POR EVALUAR" dataDxfId="183"/>
    <tableColumn id="55" xr3:uid="{A1989D4A-CD2C-411E-A398-C5811CCE447D}" name="TOTAL  RAPS POR EVALUAR" dataDxfId="182"/>
    <tableColumn id="56" xr3:uid="{39696589-14D5-4C52-8252-69BF9897CD2D}" name="Fecha Inicio Titulado" dataDxfId="181"/>
    <tableColumn id="57" xr3:uid="{6A14FE5D-CAD8-4573-AECA-2693F0D23F91}" name="Fecha Fin Lectiva" dataDxfId="180"/>
    <tableColumn id="58" xr3:uid="{2EB23D63-07BB-43A8-B2E1-28FBD8D8ECD2}" name="FECHA FIN TITULADO" dataDxfId="179"/>
    <tableColumn id="59" xr3:uid="{2EF66D16-D1C5-408B-AA59-A6936DD20062}" name="FECHA CON 18 MESES" dataDxfId="178">
      <calculatedColumnFormula>IF(G3&gt;0,EDATE(BG3,18),"")</calculatedColumnFormula>
    </tableColumn>
    <tableColumn id="60" xr3:uid="{BF36E6EA-CCD9-4831-9D30-0B806ACF6B27}" name="ESTADO DE FICHA TERMINADA POR FECHA " dataDxfId="177">
      <calculatedColumnFormula>IF(G3&gt;0,IF(BH3&lt;$BI$1,"FINALIZAR FICHA","FICHA EN TIEMPO-18 MESES"),"")</calculatedColumnFormula>
    </tableColumn>
    <tableColumn id="61" xr3:uid="{CF76F619-C3A9-47DB-91F3-88923E54C313}" name="ESTADO DE LA FICHA" dataDxfId="176"/>
    <tableColumn id="62" xr3:uid="{83E513E6-E26A-497A-A48A-5914B7E89C75}" name="SEDE" dataDxfId="175">
      <calculatedColumnFormula>IF(G3&gt;0,"Yamboro","")</calculatedColumnFormula>
    </tableColumn>
  </tableColumns>
  <tableStyleInfo name="TableStyleLight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43B0351-AF24-49EA-B048-E6B34F8C1806}" name="Cocina_yam" displayName="Cocina_yam" ref="A2:AO48" totalsRowShown="0" tableBorderDxfId="173">
  <autoFilter ref="A2:AO48" xr:uid="{643B0351-AF24-49EA-B048-E6B34F8C1806}">
    <filterColumn colId="37">
      <filters>
        <filter val="#¡VALOR!"/>
        <dateGroupItem year="2024" dateTimeGrouping="year"/>
        <dateGroupItem year="2023" dateTimeGrouping="year"/>
      </filters>
    </filterColumn>
  </autoFilter>
  <sortState xmlns:xlrd2="http://schemas.microsoft.com/office/spreadsheetml/2017/richdata2" ref="A3:AO48">
    <sortCondition sortBy="cellColor" ref="C2" dxfId="172"/>
  </sortState>
  <tableColumns count="41">
    <tableColumn id="1" xr3:uid="{D4B9D22C-8C07-4A59-88ED-8A83AF1EC3D1}" name=" Registro Sofia plus " dataDxfId="171"/>
    <tableColumn id="2" xr3:uid="{1900D539-2706-4015-BF00-9F3846136F62}" name="ESTADO " dataDxfId="170"/>
    <tableColumn id="3" xr3:uid="{1DCECD72-E17A-4205-91D0-83C2AD38E94B}" name="Nombres del Aprediz" dataDxfId="169"/>
    <tableColumn id="4" xr3:uid="{4659AEEE-72B6-41AE-9EDC-E1BCDD0C02C4}" name="Tipo de Documento" dataDxfId="168"/>
    <tableColumn id="5" xr3:uid="{ED59CFB0-DCAD-4BD4-AFFF-54E8C0596BED}" name="Numero del DI" dataDxfId="167"/>
    <tableColumn id="6" xr3:uid="{BB637C88-4222-4951-B099-A8CEB4E0B60A}" name="Ficha" dataDxfId="166"/>
    <tableColumn id="7" xr3:uid="{AF8F07C4-6F9B-4E07-8F8C-905309A292FD}" name="Nivel" dataDxfId="165">
      <calculatedColumnFormula>IFERROR(__xludf.DUMMYFUNCTION("IFERROR(VLOOKUP(F50,IMPORTRANGE(""https://docs.google.com/spreadsheets/d/1Kvs4KS76FHFqLFIZfrDMff4kP08nblUkihrxltoGBjg/edit#gid=934712705"",""ESENCIAL!A6:BG""),3,FALSE))"),"TÉCNICO")</calculatedColumnFormula>
    </tableColumn>
    <tableColumn id="8" xr3:uid="{249B7F8B-4D13-413C-A105-8FD79F8444EA}" name="Titulado" dataDxfId="164">
      <calculatedColumnFormula>IFERROR(__xludf.DUMMYFUNCTION("IFERROR(VLOOKUP(F50,IMPORTRANGE(""https://docs.google.com/spreadsheets/d/1Kvs4KS76FHFqLFIZfrDMff4kP08nblUkihrxltoGBjg/edit#gid=934712705"",""ESENCIAL!A6:BG""),8,FALSE))"),"COCINA.")</calculatedColumnFormula>
    </tableColumn>
    <tableColumn id="9" xr3:uid="{7A97FD69-F791-4FCB-B26A-F0944D16E2E7}" name="Telefono Aprendiz" dataDxfId="163"/>
    <tableColumn id="10" xr3:uid="{F38D37F3-08CC-490B-876C-D1DDDF42E063}" name="CORREO" dataDxfId="162"/>
    <tableColumn id="11" xr3:uid="{B50245B1-267F-4F80-9BDD-FCE2071CFC78}" name="Municipio de residencia" dataDxfId="161"/>
    <tableColumn id="12" xr3:uid="{8948B215-D252-43EA-B7BF-6FDDB33B0346}" name="Tipo de Alternativa" dataDxfId="160"/>
    <tableColumn id="13" xr3:uid="{1A3EA28E-54E5-4114-9FF3-EC25080FA91E}" name="Empresa" dataDxfId="159"/>
    <tableColumn id="14" xr3:uid="{762B9054-A5E7-404B-A00B-854E777E17A4}" name="DIRECCION" dataDxfId="158"/>
    <tableColumn id="15" xr3:uid="{B03E97D1-5B7A-4B88-A4B6-884B5954C9BB}" name="TELEFONO" dataDxfId="157"/>
    <tableColumn id="16" xr3:uid="{1A82FAF3-0E47-41F5-BE02-23895D0AE75D}" name="CIUDAD" dataDxfId="156"/>
    <tableColumn id="17" xr3:uid="{398691FA-95A4-4D8A-B122-CB24650CE820}" name="CORREO ELECTRONICO DE LA EMPRESA" dataDxfId="155"/>
    <tableColumn id="18" xr3:uid="{D3CD4628-ACA9-499A-9A64-A026C45E0165}" name="Fecha Inicio Productiva" dataDxfId="154"/>
    <tableColumn id="19" xr3:uid="{69D46ECF-C478-4669-8A3C-83CAAAA6C7C3}" name="Fecha Fin Productiva" dataDxfId="153"/>
    <tableColumn id="20" xr3:uid="{F2079DB0-39BA-4803-AD68-B3A55AF5B76B}" name="NOVEDADES" dataDxfId="152"/>
    <tableColumn id="21" xr3:uid="{6AE2013F-16FB-4C4F-8BBE-0B191C672C34}" name="INSTRUCTOR" dataDxfId="151"/>
    <tableColumn id="22" xr3:uid="{CAA91F65-B129-4BEB-BEB0-2C5222CA64F5}" name="FECHA INICIO ETAPA LECTIVA " dataDxfId="150"/>
    <tableColumn id="23" xr3:uid="{164CEC30-358B-4717-9D67-8A31EBA1B1B6}" name="FECHA FIN TITULADO CON ETAPA PRODUCTIVA" dataDxfId="149"/>
    <tableColumn id="24" xr3:uid="{8B03D77A-A275-4291-B078-8A24F1C2AC60}" name="Columna3" dataDxfId="148"/>
    <tableColumn id="25" xr3:uid="{E9063E51-F3F0-40E2-8996-5D4FAE735E28}" name="Columna4" dataDxfId="147"/>
    <tableColumn id="26" xr3:uid="{6B71664C-083E-4C21-91A7-07F0071D013A}" name="CUMPLE EP" dataDxfId="146">
      <calculatedColumnFormula>IF(E3&gt;0,IF(AND(AH3=1,AE3=1),"Procede_E_P","NO_CUMPLE"),"")</calculatedColumnFormula>
    </tableColumn>
    <tableColumn id="27" xr3:uid="{6635FB0B-FEF7-4C90-B6B0-4FB58031CF8D}" name="ESTADO DEL APRENDIZ " dataDxfId="145"/>
    <tableColumn id="28" xr3:uid="{1CF21BE0-ED30-4D62-9ABD-5D54AB6F12DC}" name="PROYECTO " dataDxfId="144"/>
    <tableColumn id="29" xr3:uid="{781C7C39-A97B-4788-B547-32C9DE206713}" name="FECHA REPORTE" dataDxfId="143"/>
    <tableColumn id="30" xr3:uid="{3AF9B860-D92A-4A0E-BEB5-C725847B6FB0}" name="RAP PROMOVER POR EVALUAR" dataDxfId="142"/>
    <tableColumn id="31" xr3:uid="{1F4FB7BF-9393-4752-943C-9105A703C304}" name="RAP PRODUCTIVA POR EVALUAR" dataDxfId="141"/>
    <tableColumn id="32" xr3:uid="{8B5B8277-0C57-488C-BDF1-B402A5D11E3D}" name="RAP INGLES POR EVALUAR" dataDxfId="140"/>
    <tableColumn id="33" xr3:uid="{5FFAD8B0-76F9-4170-8458-9CB0B53267C3}" name="RAP TECNICO POR EVALUAR" dataDxfId="139"/>
    <tableColumn id="34" xr3:uid="{4F8E4C16-6C89-4F43-80C9-D9F3F0AACAE2}" name="TOTAL  RAPS POR EVALUAR" dataDxfId="138"/>
    <tableColumn id="35" xr3:uid="{FA8C2202-5E4A-4FAA-AA7A-ABFC56DA551E}" name="Fecha Inicio Titulado" dataDxfId="137"/>
    <tableColumn id="36" xr3:uid="{BBBE89F6-1C74-445A-A42A-9902AA4B6330}" name="Fecha Fin Lectiva" dataDxfId="136"/>
    <tableColumn id="37" xr3:uid="{B239BB46-CD2B-416D-BCC4-7D5BECCD5681}" name="FECHA FIN TITULADO" dataDxfId="135"/>
    <tableColumn id="38" xr3:uid="{638696FB-E783-4FF8-A1EE-22A5FE5BBED0}" name="FECHA CON 18 MESES" dataDxfId="134">
      <calculatedColumnFormula>IF(F3&gt;0,EDATE(AK3,18),"")</calculatedColumnFormula>
    </tableColumn>
    <tableColumn id="39" xr3:uid="{FE27BA8E-C8CB-4264-86F9-C663057B8023}" name="ESTADO DE FICHA TERMINADA POR FECHA " dataDxfId="133">
      <calculatedColumnFormula>IF(F3&gt;0,IF(AL3&lt;$AM$1,"FINALIZAR FICHA","FICHA EN TIEMPO-18 MESES"),"")</calculatedColumnFormula>
    </tableColumn>
    <tableColumn id="40" xr3:uid="{B029EBE6-307E-4A74-A9B8-4E9095827770}" name="ESTADO DE LA FICHA" dataDxfId="132"/>
    <tableColumn id="41" xr3:uid="{EADC1108-1D2B-4D6E-9474-68BE6B858101}" name="SEDE" dataDxfId="131">
      <calculatedColumnFormula>IF(F3&gt;0,"Yamboro","")</calculatedColumnFormula>
    </tableColumn>
  </tableColumns>
  <tableStyleInfo name="TableStyleLight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22CD238-0D10-4F71-A80B-F604FD11357E}" name="Agropecuar_Yam" displayName="Agropecuar_Yam" ref="A2:BJ204" totalsRowShown="0" dataDxfId="129" tableBorderDxfId="128">
  <autoFilter ref="A2:BJ204" xr:uid="{022CD238-0D10-4F71-A80B-F604FD11357E}">
    <filterColumn colId="11">
      <filters>
        <filter val="CONTRATO DE APRENDIZAJE"/>
        <filter val="PASANTIAS"/>
        <filter val="PASANTÍAS"/>
        <filter val="PROYECTO PRODUCTIVO"/>
        <filter val="VINCULACIÓN LABORAL"/>
      </filters>
    </filterColumn>
  </autoFilter>
  <sortState xmlns:xlrd2="http://schemas.microsoft.com/office/spreadsheetml/2017/richdata2" ref="A3:BJ204">
    <sortCondition sortBy="cellColor" ref="C2" dxfId="127"/>
  </sortState>
  <tableColumns count="62">
    <tableColumn id="1" xr3:uid="{4FE046C0-8C39-4706-870A-06E4856E7939}" name="Insructor asignado 31-03-2023" dataDxfId="126"/>
    <tableColumn id="2" xr3:uid="{E14CF3F8-DC93-4552-8C98-944B8875ED27}" name="ESTADO " dataDxfId="125"/>
    <tableColumn id="3" xr3:uid="{EC17A81E-0B71-4982-A0C4-666226738A1F}" name="Nombres del Aprediz" dataDxfId="124"/>
    <tableColumn id="4" xr3:uid="{88024414-9E0D-4461-9DEC-F7FECA2F7E66}" name="Tipo de Documento" dataDxfId="123"/>
    <tableColumn id="5" xr3:uid="{CDD6EB03-C100-4291-8F5A-97DEFA79C77C}" name="Numero del DI" dataDxfId="122"/>
    <tableColumn id="6" xr3:uid="{F8D22440-8984-4042-B66A-09179E47E5B1}" name="Ficha" dataDxfId="121"/>
    <tableColumn id="7" xr3:uid="{40F52C5E-8D03-47A6-8921-FA6008B06DE6}" name="Nivel" dataDxfId="120">
      <calculatedColumnFormula>IFERROR(__xludf.DUMMYFUNCTION("IFERROR(VLOOKUP(F70,IMPORTRANGE(""https://docs.google.com/spreadsheets/d/1Kvs4KS76FHFqLFIZfrDMff4kP08nblUkihrxltoGBjg/edit#gid=934712705"",""ESENCIAL!A6:BG""),3,FALSE))"),"TÉCNICO")</calculatedColumnFormula>
    </tableColumn>
    <tableColumn id="8" xr3:uid="{90BB8F56-3A66-4246-A23B-1A0A6E353F78}" name="Titulado" dataDxfId="119">
      <calculatedColumnFormula>IFERROR(__xludf.DUMMYFUNCTION("IFERROR(VLOOKUP(F70,IMPORTRANGE(""https://docs.google.com/spreadsheets/d/1Kvs4KS76FHFqLFIZfrDMff4kP08nblUkihrxltoGBjg/edit#gid=934712705"",""ESENCIAL!A6:BG""),8,FALSE))"),"SERVICIOS DE BARISMO")</calculatedColumnFormula>
    </tableColumn>
    <tableColumn id="9" xr3:uid="{B05B8735-D9A5-4308-973E-DE7F34D97FC0}" name="Telefono Aprendiz" dataDxfId="118"/>
    <tableColumn id="10" xr3:uid="{D7E7CC4B-09FF-4C37-BB07-FC53A72F4E83}" name="CORREO" dataDxfId="117"/>
    <tableColumn id="11" xr3:uid="{5040B70B-AF95-43E7-8E07-393C0B2244D9}" name="Municipio de residencia" dataDxfId="116"/>
    <tableColumn id="12" xr3:uid="{D34227E9-C01C-4C03-9BEA-CB4E49F0B04F}" name="Tipo de Alternativa" dataDxfId="115"/>
    <tableColumn id="13" xr3:uid="{CA09A120-1187-430D-9DAA-642C8A4116B5}" name="Empresa" dataDxfId="114"/>
    <tableColumn id="14" xr3:uid="{1A449B65-67B4-4B57-A25C-3D79B9C75D2F}" name="DIRECCION" dataDxfId="113"/>
    <tableColumn id="15" xr3:uid="{2BC93627-5EA2-40AB-9483-79D5BAF3C375}" name="TELEFONO" dataDxfId="112"/>
    <tableColumn id="16" xr3:uid="{815610A5-8FCB-40FC-909B-349583C99A69}" name="CIUDAD" dataDxfId="111"/>
    <tableColumn id="17" xr3:uid="{6801AB44-05AD-4DCC-B174-310204082FDB}" name="CORREO ELECTRONICO DE LA EMPRESA" dataDxfId="110"/>
    <tableColumn id="18" xr3:uid="{D046F755-77B4-4E43-A124-3D6A2B7670B0}" name="Fecha Inicio Productiva" dataDxfId="109"/>
    <tableColumn id="19" xr3:uid="{9F11B688-EC7A-4AE9-AA97-0987A74039B6}" name="Fecha Fin Productiva" dataDxfId="108"/>
    <tableColumn id="20" xr3:uid="{4C6C3819-1912-4946-96D6-991E9669C7B4}" name="NOVEDADES" dataDxfId="107"/>
    <tableColumn id="21" xr3:uid="{DEF29B0F-C9AC-44C4-B774-7C49F661CE8A}" name="INSTRUCTOR FEBRERO " dataDxfId="106"/>
    <tableColumn id="22" xr3:uid="{E419A2B3-3D33-48FE-A243-E6C68B229892}" name="SEGUIMIENTO MES DE FEBRERO" dataDxfId="105"/>
    <tableColumn id="23" xr3:uid="{4D0FD912-4D3A-4249-8CFB-B0FA0749742C}" name="INSTRUCTOR MARZO" dataDxfId="104"/>
    <tableColumn id="24" xr3:uid="{D8046391-D5E1-4C3D-853C-4F269B0A2CD2}" name="SEGUIMIENTO MES DE MARZO" dataDxfId="103"/>
    <tableColumn id="25" xr3:uid="{EA88E9D0-296A-4F87-A744-D452C45FCF9F}" name="INSTRUCTOR ABRIL" dataDxfId="102"/>
    <tableColumn id="26" xr3:uid="{3D4DDF5F-8054-44F9-B472-250BA2B1A433}" name="SEGUIMIENTO MES DE ABRIL" dataDxfId="101"/>
    <tableColumn id="27" xr3:uid="{C904057A-A8CE-4618-AE01-6BDBDAB5D51D}" name="INSTRUCTOR MAYO" dataDxfId="100"/>
    <tableColumn id="28" xr3:uid="{E575DAE3-C402-4561-96BF-3C8550BA230D}" name="SEGUIMIENTO MES DE mayo" dataDxfId="99"/>
    <tableColumn id="29" xr3:uid="{ADA56BB9-5C4A-438D-A29B-4A0CA8639553}" name="Junio " dataDxfId="98"/>
    <tableColumn id="30" xr3:uid="{52060EF6-6BF1-40AC-92BC-CD6688236671}" name="SEGUIMIENTO MES DE Junio" dataDxfId="97"/>
    <tableColumn id="31" xr3:uid="{46EA01ED-8B8D-4F20-92C3-36731D269005}" name="INSTRUCTORES JULIO " dataDxfId="96"/>
    <tableColumn id="32" xr3:uid="{747CBEAC-81C6-4452-B153-4487924B8AFC}" name="SEGUIMIENTO MES DE jULIO " dataDxfId="95"/>
    <tableColumn id="33" xr3:uid="{579FD40E-358F-42C7-B3F5-FCEE00E280A0}" name="INSTRUCTORES AGOSTO  " dataDxfId="94"/>
    <tableColumn id="34" xr3:uid="{7BF9917A-B21E-4D2A-8C7E-053D066E20A7}" name="SEGUIMIENTO MES DE AGOSTO " dataDxfId="93"/>
    <tableColumn id="35" xr3:uid="{A05CC43D-72EE-4788-8E2B-A309E52CCDD9}" name="INSTRUCTORES SEPTIEMBRE" dataDxfId="92"/>
    <tableColumn id="36" xr3:uid="{BABF8F34-D766-4ABA-B7D9-46B9ECE0799D}" name="SEGUIMIENTO MES DE SEPTIEMBRE " dataDxfId="91"/>
    <tableColumn id="37" xr3:uid="{EDA82E28-ED71-4DE8-97F8-1F2E3E383D94}" name="INSTRUCTORES OCTUBRE " dataDxfId="90"/>
    <tableColumn id="38" xr3:uid="{715850C3-1F9F-41AA-BA12-97652B709998}" name="SEGUIMIENTO MES DE OCTUBRE " dataDxfId="89"/>
    <tableColumn id="39" xr3:uid="{2F6EC41A-2F0C-48A7-98AD-58752BBCE550}" name="INSTRUCTORES NOVIEMBRE " dataDxfId="88"/>
    <tableColumn id="40" xr3:uid="{D02BB4CD-3ABB-4C92-ABD8-2EA77559599F}" name="SEGUIMIENTO MES DE NOVIEMBRE " dataDxfId="87"/>
    <tableColumn id="41" xr3:uid="{E4ABBA20-6D4F-4528-B167-C11D223BFF67}" name="INSTRUCTORES DICIEMBRE" dataDxfId="86"/>
    <tableColumn id="42" xr3:uid="{43776E69-5422-43DB-A3B6-44C119B63782}" name="SEGUIMIENTO MES DE DICIEMBRE " dataDxfId="85"/>
    <tableColumn id="43" xr3:uid="{CE8B7358-14C2-4A10-B6A9-73172094C1F0}" name="INSTRUCTOR ENERO" dataDxfId="84"/>
    <tableColumn id="44" xr3:uid="{E0588EB2-5E97-4919-82F4-329EF3A11619}" name="SEGUIMIENTO MES DE ENERO" dataDxfId="83"/>
    <tableColumn id="45" xr3:uid="{0B688F89-F4F5-4422-8A2F-438EB779B842}" name="INSTRUCTORSeguimiento" dataDxfId="82"/>
    <tableColumn id="46" xr3:uid="{CA07972E-35D9-4D38-BCC6-06CF6E032378}" name="Evaluado resultado " dataDxfId="81"/>
    <tableColumn id="47" xr3:uid="{55B43A4E-E871-4AFB-95A2-132FEFA6000B}" name="CUMPLE EP" dataDxfId="80">
      <calculatedColumnFormula>IF(E3&gt;0,IF(AND(BC3=1,AZ3=1),"Procede_E_P","NO_CUMPLE"),"")</calculatedColumnFormula>
    </tableColumn>
    <tableColumn id="48" xr3:uid="{85F2105C-650E-4C5C-A996-457CC31C9322}" name="ESTADO DEL APRENDIZ " dataDxfId="79"/>
    <tableColumn id="49" xr3:uid="{966F4217-6EBC-43B2-9779-50874153CF29}" name="PROYECTO " dataDxfId="78"/>
    <tableColumn id="50" xr3:uid="{68F1B150-9ED7-42CE-B4E0-5F9E0E1BEE87}" name="FECHA REPORTE" dataDxfId="77"/>
    <tableColumn id="51" xr3:uid="{A84731B9-E5A6-4EB8-89B8-C1F82C345C31}" name="RAP PROMOVER POR EVALUAR" dataDxfId="76"/>
    <tableColumn id="52" xr3:uid="{DDDA2BE1-D15B-4E45-81BC-A8213D1070D4}" name="RAP PRODUCTIVA POR EVALUAR" dataDxfId="75"/>
    <tableColumn id="53" xr3:uid="{F1B67A61-6856-41B9-A2BA-BD2DA4FB7513}" name="RAP INGLES POR EVALUAR" dataDxfId="74"/>
    <tableColumn id="54" xr3:uid="{0BC63AC7-A648-4DDD-B3F9-974EA05B1B3F}" name="RAP TECNICO POR EVALUAR" dataDxfId="73"/>
    <tableColumn id="55" xr3:uid="{104B39D9-AFC9-4733-90F9-111B66A8CC22}" name="TOTAL  RAPS POR EVALUAR" dataDxfId="72"/>
    <tableColumn id="56" xr3:uid="{C0D31D2F-CDA5-4AF5-994D-C10FBF89B34E}" name="Fecha Inicio Titulado" dataDxfId="71"/>
    <tableColumn id="57" xr3:uid="{C85CE48E-371A-4989-8512-54C529BF92DA}" name="Fecha Fin Lectiva" dataDxfId="70"/>
    <tableColumn id="58" xr3:uid="{991E1E6A-5C69-4888-A018-62D0AFAAE14F}" name="FECHA FIN TITULADO" dataDxfId="69"/>
    <tableColumn id="59" xr3:uid="{CC6D6499-1730-4281-AB00-6510C8F8E3E8}" name="FECHA CON 18 MESES" dataDxfId="68">
      <calculatedColumnFormula>IF(F3&gt;0,EDATE(BF3,18),"")</calculatedColumnFormula>
    </tableColumn>
    <tableColumn id="60" xr3:uid="{BE1FB4A1-5FBC-4B77-BC14-3AA7C877E112}" name="ESTADO DE FICHA TERMINADA POR FECHA " dataDxfId="67">
      <calculatedColumnFormula>IF(F3&gt;0,IF(BG3&lt;$BH$1,"FINALIZAR FICHA","FICHA EN TIEMPO-18 MESES"),"")</calculatedColumnFormula>
    </tableColumn>
    <tableColumn id="61" xr3:uid="{A8718641-5196-44C3-A49E-76B783A6003F}" name="ESTADO DE LA FICHA" dataDxfId="66"/>
    <tableColumn id="62" xr3:uid="{D57CA329-F6D5-474F-821B-FC286253D821}" name="SEDE" dataDxfId="65">
      <calculatedColumnFormula>IF(F3&gt;0,"Yamboro","")</calculatedColumnFormula>
    </tableColumn>
  </tableColumns>
  <tableStyleInfo name="TableStyleLight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675488E-D646-45B3-B676-06A4DAAED057}" name="Deportes_yam" displayName="Deportes_yam" ref="A2:BJ53" totalsRowShown="0" tableBorderDxfId="63">
  <autoFilter ref="A2:BJ53" xr:uid="{8675488E-D646-45B3-B676-06A4DAAED057}"/>
  <tableColumns count="62">
    <tableColumn id="1" xr3:uid="{5F043037-3AA8-4EA1-A054-3B62AAF70B2F}" name=" Registro Sofia plus " dataDxfId="62"/>
    <tableColumn id="2" xr3:uid="{7B693E00-1C4A-4D91-9B76-93B1A44A9C74}" name="ESTADO " dataDxfId="61"/>
    <tableColumn id="3" xr3:uid="{09C9A018-C5DA-409E-B5AC-4B563E025075}" name="Nombres del Aprediz" dataDxfId="60"/>
    <tableColumn id="4" xr3:uid="{C4937BD9-D0B6-4616-A370-47EE9F062DAD}" name="Tipo de Documento" dataDxfId="59"/>
    <tableColumn id="5" xr3:uid="{0F755B49-87DF-415C-BE7D-96294A998E13}" name="Numero del DI" dataDxfId="58"/>
    <tableColumn id="6" xr3:uid="{F7977866-5B38-4F8A-A1A1-9E6B1A7D6997}" name="Ficha" dataDxfId="57"/>
    <tableColumn id="7" xr3:uid="{D4D80210-B5DA-4428-9964-F289345E26AD}" name="Nivel" dataDxfId="56"/>
    <tableColumn id="8" xr3:uid="{4347FB99-EC5E-407B-A023-D6E51BF6FC97}" name="Titulado" dataDxfId="55"/>
    <tableColumn id="9" xr3:uid="{1F4E6E89-534E-4606-885C-27B4B8F96366}" name="Telefono Aprendiz" dataDxfId="54"/>
    <tableColumn id="10" xr3:uid="{3DC5DEA8-2CAA-40E3-A762-D7A408565571}" name="CORREO" dataDxfId="53"/>
    <tableColumn id="11" xr3:uid="{43E0BAF5-49AA-4865-B245-FC6E2315927A}" name="Municipio de residencia" dataDxfId="52"/>
    <tableColumn id="12" xr3:uid="{8D450007-3986-4523-9FE7-EC0E6D6CFCC9}" name="Tipo de Alternativa" dataDxfId="51"/>
    <tableColumn id="13" xr3:uid="{5649E33D-D737-4209-BB2C-C0EC1482FC4A}" name="Empresa" dataDxfId="50"/>
    <tableColumn id="14" xr3:uid="{B7283594-2EBF-4F6F-9096-6A9B4C39FDE5}" name="DIRECCION" dataDxfId="49"/>
    <tableColumn id="15" xr3:uid="{CE587F37-0251-46B3-B78A-D6A126E3D116}" name="TELEFONO" dataDxfId="48"/>
    <tableColumn id="16" xr3:uid="{8B2172BE-4100-4A0E-B941-6F81D9CA85BC}" name="CIUDAD" dataDxfId="47"/>
    <tableColumn id="17" xr3:uid="{EC3B2D1A-AF9C-44CE-BC87-4B0CBE84B73D}" name="CORREO ELECTRONICO DE LA EMPRESA" dataDxfId="46"/>
    <tableColumn id="18" xr3:uid="{B8D7A25D-9728-4554-AF5D-AA02017176B0}" name="Fecha Inicio Productiva" dataDxfId="45"/>
    <tableColumn id="19" xr3:uid="{CA709032-874F-4ED6-8108-01350A03823A}" name="Fecha Fin Productiva" dataDxfId="44"/>
    <tableColumn id="20" xr3:uid="{EB86793C-138B-414E-B625-30F57F51110B}" name="NOVEDADES" dataDxfId="43"/>
    <tableColumn id="21" xr3:uid="{F3D40BBA-B656-4D46-A34A-2670C9B6F5BB}" name="INSTRUCTOR FEBRERO " dataDxfId="42"/>
    <tableColumn id="22" xr3:uid="{B2CE1501-EE2D-468C-A4EC-B15FC152076C}" name="SEGUIMIENTO MES DE FEBRERO" dataDxfId="41"/>
    <tableColumn id="23" xr3:uid="{4892E245-48C5-4DBF-9F73-568BE145D4EE}" name="INSTRUCTOR MARZO" dataDxfId="40"/>
    <tableColumn id="24" xr3:uid="{3EC655F0-3E13-4D51-9663-46C9C123BE28}" name="SEGUIMIENTO MES DE MARZO" dataDxfId="39"/>
    <tableColumn id="25" xr3:uid="{48FC0686-C6B8-4A92-89A1-3B20DD2DB444}" name="INSTRUCTOR ABRIL" dataDxfId="38"/>
    <tableColumn id="26" xr3:uid="{BF556F23-7C80-4FC9-B3C9-690F8D3A2C40}" name="SEGUIMIENTO MES DE ABRIL" dataDxfId="37"/>
    <tableColumn id="27" xr3:uid="{C264E339-36B1-44DF-8FC2-E21110D31089}" name="INSTRUCTOR MAYO" dataDxfId="36"/>
    <tableColumn id="28" xr3:uid="{853B3969-1CEB-4227-8886-9620D141D750}" name="SEGUIMIENTO MES DE mayo" dataDxfId="35"/>
    <tableColumn id="29" xr3:uid="{AA4A8E29-93AC-4A27-83BA-510E0A85F8CE}" name="Junio " dataDxfId="34"/>
    <tableColumn id="30" xr3:uid="{4761FF5F-D3F3-4920-8568-3B2CF5D33AD9}" name="SEGUIMIENTO MES DE Junio" dataDxfId="33"/>
    <tableColumn id="31" xr3:uid="{C839E918-FA0E-46AE-AC24-8659D382BEB4}" name="INSTRUCTORES JULIO " dataDxfId="32"/>
    <tableColumn id="32" xr3:uid="{C2538072-8844-404A-9A54-B75F917DD575}" name="SEGUIMIENTO MES DE jULIO " dataDxfId="31"/>
    <tableColumn id="33" xr3:uid="{307F0EAF-99AA-4470-8EF1-F10AFCD743F1}" name="INSTRUCTORES AGOSTO  " dataDxfId="30"/>
    <tableColumn id="34" xr3:uid="{A3B4BB1B-E886-4596-AF1E-214FA6798CA1}" name="SEGUIMIENTO MES DE AGOSTO " dataDxfId="29"/>
    <tableColumn id="35" xr3:uid="{6041603D-A89A-42E0-B197-D04824D322A6}" name="INSTRUCTORES SEPTIEMBRE" dataDxfId="28"/>
    <tableColumn id="36" xr3:uid="{0A36CC0E-7DC4-449E-BB9A-A57F8ACFCC8D}" name="SEGUIMIENTO MES DE SEPTIEMBRE " dataDxfId="27"/>
    <tableColumn id="37" xr3:uid="{4665D7E6-1810-41F5-B325-F9E08B4CA35F}" name="INSTRUCTORES OCTUBRE " dataDxfId="26"/>
    <tableColumn id="38" xr3:uid="{F254941D-7D34-4AA2-B93F-E19566ECC7B1}" name="SEGUIMIENTO MES DE OCTUBRE " dataDxfId="25"/>
    <tableColumn id="39" xr3:uid="{63288289-F202-4ABB-B93B-6B07894081F7}" name="INSTRUCTORES NOVIEMBRE " dataDxfId="24"/>
    <tableColumn id="40" xr3:uid="{D7D87FDF-951E-490D-8B2E-4F33E0AB3BFF}" name="SEGUIMIENTO MES DE NOVIEMBRE " dataDxfId="23"/>
    <tableColumn id="41" xr3:uid="{BB5009F2-4AC8-461B-A1AC-6E5484FE3C26}" name="INSTRUCTORES DICIEMBRE" dataDxfId="22"/>
    <tableColumn id="42" xr3:uid="{A9F12B5B-FC22-4D44-8F5B-281673012D48}" name="SEGUIMIENTO MES DE DICIEMBRE " dataDxfId="21"/>
    <tableColumn id="43" xr3:uid="{3B640B47-1CE4-4632-8789-B5BE476C2653}" name="Columna1" dataDxfId="20"/>
    <tableColumn id="44" xr3:uid="{6CA82E24-47A2-4C57-B425-D4C33EE4B983}" name="Columna2" dataDxfId="19"/>
    <tableColumn id="45" xr3:uid="{1963299C-D0FC-4C75-85C6-81E72640661A}" name="Columna3" dataDxfId="18"/>
    <tableColumn id="46" xr3:uid="{B2CF7EB9-03D7-4BFD-AE63-6B9E55B59DF3}" name="Columna4" dataDxfId="17"/>
    <tableColumn id="47" xr3:uid="{B5CBC653-0278-4723-BA4D-424BEFCAC932}" name="CUMPLE EP" dataDxfId="16">
      <calculatedColumnFormula>IF(E3&gt;0,IF(AND(BC3=1,AZ3=1),"Procede_E_P","NO_CUMPLE"),"")</calculatedColumnFormula>
    </tableColumn>
    <tableColumn id="48" xr3:uid="{F280EA8D-1B16-428D-9086-1C5E628715CC}" name="ESTADO DEL APRENDIZ " dataDxfId="15"/>
    <tableColumn id="49" xr3:uid="{BF25A357-71F4-449A-83BD-8435BF5F1DAE}" name="PROYECTO " dataDxfId="14"/>
    <tableColumn id="50" xr3:uid="{D43D89E1-DBEB-4C2B-871C-0C6D0762CBCC}" name="FECHA REPORTE" dataDxfId="13"/>
    <tableColumn id="51" xr3:uid="{1795C39E-2A51-4A7C-B59D-B449AC6780B4}" name="RAP PROMOVER POR EVALUAR" dataDxfId="12"/>
    <tableColumn id="52" xr3:uid="{4AEE5172-AAFB-4B7C-8FBD-43309A513237}" name="RAP PRODUCTIVA POR EVALUAR" dataDxfId="11"/>
    <tableColumn id="53" xr3:uid="{84D1B6E5-031F-401E-81AE-93410D11FB8E}" name="RAP INGLES POR EVALUAR" dataDxfId="10"/>
    <tableColumn id="54" xr3:uid="{6A5B1C11-B3A4-4CC5-9853-34AAC4187D16}" name="RAP TECNICO POR EVALUAR" dataDxfId="9"/>
    <tableColumn id="55" xr3:uid="{8D0C27F4-04BC-4B7E-A083-56F3C89EDA9B}" name="TOTAL  RAPS POR EVALUAR" dataDxfId="8"/>
    <tableColumn id="56" xr3:uid="{06CBDC18-5C6C-44E2-89EC-3A9E08E09652}" name="Fecha Inicio Titulado" dataDxfId="7"/>
    <tableColumn id="57" xr3:uid="{AE717341-D280-42E9-82BA-A2E08F5CE746}" name="Fecha Fin Lectiva" dataDxfId="6"/>
    <tableColumn id="58" xr3:uid="{79DC8EFF-B1AD-4319-AE3E-0B05B0417D67}" name="FECHA FIN TITULADO" dataDxfId="5"/>
    <tableColumn id="59" xr3:uid="{5BDC786A-0691-4FC8-BE01-D4123594DAED}" name="FECHA CON 18 MESES" dataDxfId="4">
      <calculatedColumnFormula>IF(F3&gt;0,EDATE(BF3,18),"")</calculatedColumnFormula>
    </tableColumn>
    <tableColumn id="60" xr3:uid="{C0853F80-0235-452E-8820-27D2318A6840}" name="ESTADO DE FICHA TERMINADA POR FECHA " dataDxfId="3">
      <calculatedColumnFormula>IF(F3&gt;0,IF(BG3&lt;$BH$1,"FINALIZAR FICHA","FICHA EN TIEMPO-18 MESES"),"")</calculatedColumnFormula>
    </tableColumn>
    <tableColumn id="61" xr3:uid="{0FFFE284-912B-4E26-BB6F-C9BA73EE6D2D}" name="ESTADO DE LA FICHA" dataDxfId="2"/>
    <tableColumn id="62" xr3:uid="{473DE771-5880-4859-80A4-881DF7BA9B7C}" name="SEDE" dataDxfId="1">
      <calculatedColumnFormula>IF(F3&gt;0,"Yamboro","")</calculatedColumnFormula>
    </tableColumn>
  </tableColumns>
  <tableStyleInfo name="TableStyleLight5"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apinzonp@sena.edu.co" TargetMode="External"/><Relationship Id="rId13" Type="http://schemas.openxmlformats.org/officeDocument/2006/relationships/hyperlink" Target="mailto:apinzonp@sena.edu.co" TargetMode="External"/><Relationship Id="rId3" Type="http://schemas.openxmlformats.org/officeDocument/2006/relationships/hyperlink" Target="mailto:apinzonp@sena.edu.co" TargetMode="External"/><Relationship Id="rId7" Type="http://schemas.openxmlformats.org/officeDocument/2006/relationships/hyperlink" Target="mailto:apinzonp@sena.edu.co" TargetMode="External"/><Relationship Id="rId12" Type="http://schemas.openxmlformats.org/officeDocument/2006/relationships/hyperlink" Target="mailto:apinzonp@sena.edu.co" TargetMode="External"/><Relationship Id="rId17" Type="http://schemas.openxmlformats.org/officeDocument/2006/relationships/table" Target="../tables/table1.xml"/><Relationship Id="rId2" Type="http://schemas.openxmlformats.org/officeDocument/2006/relationships/hyperlink" Target="mailto:apinzonp@sena.edu.co" TargetMode="External"/><Relationship Id="rId16" Type="http://schemas.openxmlformats.org/officeDocument/2006/relationships/hyperlink" Target="mailto:fabiangualy29@gmail.com" TargetMode="External"/><Relationship Id="rId1" Type="http://schemas.openxmlformats.org/officeDocument/2006/relationships/hyperlink" Target="mailto:apinzonp@sena.edu.co" TargetMode="External"/><Relationship Id="rId6" Type="http://schemas.openxmlformats.org/officeDocument/2006/relationships/hyperlink" Target="mailto:apinzonp@sena.edu.co" TargetMode="External"/><Relationship Id="rId11" Type="http://schemas.openxmlformats.org/officeDocument/2006/relationships/hyperlink" Target="mailto:apinzonp@sena.edu.co" TargetMode="External"/><Relationship Id="rId5" Type="http://schemas.openxmlformats.org/officeDocument/2006/relationships/hyperlink" Target="mailto:apinzonp@sena.edu.co" TargetMode="External"/><Relationship Id="rId15" Type="http://schemas.openxmlformats.org/officeDocument/2006/relationships/hyperlink" Target="mailto:chuzo1114@gmail.com" TargetMode="External"/><Relationship Id="rId10" Type="http://schemas.openxmlformats.org/officeDocument/2006/relationships/hyperlink" Target="mailto:apinzonp@sena.edu.co" TargetMode="External"/><Relationship Id="rId4" Type="http://schemas.openxmlformats.org/officeDocument/2006/relationships/hyperlink" Target="mailto:apinzonp@sena.edu.co" TargetMode="External"/><Relationship Id="rId9" Type="http://schemas.openxmlformats.org/officeDocument/2006/relationships/hyperlink" Target="mailto:apinzonp@sena.edu.co" TargetMode="External"/><Relationship Id="rId14" Type="http://schemas.openxmlformats.org/officeDocument/2006/relationships/hyperlink" Target="mailto:a3175553656b@gmail.com"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mailto:DCARDONA@INTERASEO.COM.CO" TargetMode="External"/><Relationship Id="rId3" Type="http://schemas.openxmlformats.org/officeDocument/2006/relationships/hyperlink" Target="mailto:mfruiz1304@gmail.com" TargetMode="External"/><Relationship Id="rId7" Type="http://schemas.openxmlformats.org/officeDocument/2006/relationships/hyperlink" Target="mailto:penagosmosquerajuansebastian@gmail.com" TargetMode="External"/><Relationship Id="rId12" Type="http://schemas.openxmlformats.org/officeDocument/2006/relationships/table" Target="../tables/table2.xml"/><Relationship Id="rId2" Type="http://schemas.openxmlformats.org/officeDocument/2006/relationships/hyperlink" Target="mailto:lmolinay@sena.edu.co" TargetMode="External"/><Relationship Id="rId1" Type="http://schemas.openxmlformats.org/officeDocument/2006/relationships/hyperlink" Target="mailto:bravocamila965@gmail.com" TargetMode="External"/><Relationship Id="rId6" Type="http://schemas.openxmlformats.org/officeDocument/2006/relationships/hyperlink" Target="mailto:comunicacion.colombia@ldc.com" TargetMode="External"/><Relationship Id="rId11" Type="http://schemas.openxmlformats.org/officeDocument/2006/relationships/hyperlink" Target="mailto:zuleidapenha05@gmail.com" TargetMode="External"/><Relationship Id="rId5" Type="http://schemas.openxmlformats.org/officeDocument/2006/relationships/hyperlink" Target="mailto:marlycalderonrojas11@gmail.com" TargetMode="External"/><Relationship Id="rId10" Type="http://schemas.openxmlformats.org/officeDocument/2006/relationships/hyperlink" Target="mailto:viverosas@viveroversalles.com" TargetMode="External"/><Relationship Id="rId4" Type="http://schemas.openxmlformats.org/officeDocument/2006/relationships/hyperlink" Target="mailto:andrea.villegas@manpower.com.co" TargetMode="External"/><Relationship Id="rId9" Type="http://schemas.openxmlformats.org/officeDocument/2006/relationships/hyperlink" Target="mailto:alexsalinas2705@gmail.com"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mailto:sereva8501@gmail.com" TargetMode="External"/><Relationship Id="rId18" Type="http://schemas.openxmlformats.org/officeDocument/2006/relationships/hyperlink" Target="mailto:auxtalentohumano@clinicauros.com" TargetMode="External"/><Relationship Id="rId26" Type="http://schemas.openxmlformats.org/officeDocument/2006/relationships/hyperlink" Target="mailto:palomarescarlos37@gmail.com" TargetMode="External"/><Relationship Id="rId39" Type="http://schemas.openxmlformats.org/officeDocument/2006/relationships/hyperlink" Target="mailto:salesianoliceodonbosco@gmail.com" TargetMode="External"/><Relationship Id="rId21" Type="http://schemas.openxmlformats.org/officeDocument/2006/relationships/hyperlink" Target="mailto:Andraejavier125@gmail.com" TargetMode="External"/><Relationship Id="rId34" Type="http://schemas.openxmlformats.org/officeDocument/2006/relationships/hyperlink" Target="mailto:contabilidadsatsas@gmail.com" TargetMode="External"/><Relationship Id="rId42" Type="http://schemas.openxmlformats.org/officeDocument/2006/relationships/hyperlink" Target="mailto:tulcanyeraldy@gmail.com" TargetMode="External"/><Relationship Id="rId7" Type="http://schemas.openxmlformats.org/officeDocument/2006/relationships/hyperlink" Target="mailto:nospicarnal@gmail.com" TargetMode="External"/><Relationship Id="rId2" Type="http://schemas.openxmlformats.org/officeDocument/2006/relationships/hyperlink" Target="mailto:penacajib.23@gmail.com" TargetMode="External"/><Relationship Id="rId16" Type="http://schemas.openxmlformats.org/officeDocument/2006/relationships/hyperlink" Target="mailto:sordonez287@gmail.com" TargetMode="External"/><Relationship Id="rId20" Type="http://schemas.openxmlformats.org/officeDocument/2006/relationships/hyperlink" Target="mailto:katherinemurcia@surgas.com" TargetMode="External"/><Relationship Id="rId29" Type="http://schemas.openxmlformats.org/officeDocument/2006/relationships/hyperlink" Target="mailto:audopenagos03@gmail.com" TargetMode="External"/><Relationship Id="rId41" Type="http://schemas.openxmlformats.org/officeDocument/2006/relationships/hyperlink" Target="mailto:salesianoliceodonbosco@gmail.com" TargetMode="External"/><Relationship Id="rId1" Type="http://schemas.openxmlformats.org/officeDocument/2006/relationships/hyperlink" Target="mailto:lunnabl08@gmail.com" TargetMode="External"/><Relationship Id="rId6" Type="http://schemas.openxmlformats.org/officeDocument/2006/relationships/hyperlink" Target="mailto:kinrojas2@gmail.com" TargetMode="External"/><Relationship Id="rId11" Type="http://schemas.openxmlformats.org/officeDocument/2006/relationships/hyperlink" Target="mailto:hamirc93@gamil.com" TargetMode="External"/><Relationship Id="rId24" Type="http://schemas.openxmlformats.org/officeDocument/2006/relationships/hyperlink" Target="mailto:jhonmupe10@gmail.com" TargetMode="External"/><Relationship Id="rId32" Type="http://schemas.openxmlformats.org/officeDocument/2006/relationships/hyperlink" Target="mailto:gutirrezvidalj@gmail.com" TargetMode="External"/><Relationship Id="rId37" Type="http://schemas.openxmlformats.org/officeDocument/2006/relationships/hyperlink" Target="mailto:Luiguichavex@gmail.com" TargetMode="External"/><Relationship Id="rId40" Type="http://schemas.openxmlformats.org/officeDocument/2006/relationships/hyperlink" Target="mailto:johsebtorfer@gmail.com" TargetMode="External"/><Relationship Id="rId5" Type="http://schemas.openxmlformats.org/officeDocument/2006/relationships/hyperlink" Target="mailto:Karolxiomararojassoriano@gmail.com" TargetMode="External"/><Relationship Id="rId15" Type="http://schemas.openxmlformats.org/officeDocument/2006/relationships/hyperlink" Target="mailto:manuel.macias11@misena.edu.co" TargetMode="External"/><Relationship Id="rId23" Type="http://schemas.openxmlformats.org/officeDocument/2006/relationships/hyperlink" Target="mailto:aunerrodriguez201906@gmail.com" TargetMode="External"/><Relationship Id="rId28" Type="http://schemas.openxmlformats.org/officeDocument/2006/relationships/hyperlink" Target="mailto:proingenieriadelhuila@gmail.com" TargetMode="External"/><Relationship Id="rId36" Type="http://schemas.openxmlformats.org/officeDocument/2006/relationships/hyperlink" Target="mailto:gerencia@entertelecomunicaciones.com" TargetMode="External"/><Relationship Id="rId10" Type="http://schemas.openxmlformats.org/officeDocument/2006/relationships/hyperlink" Target="mailto:fmfelinator23@gmail.com" TargetMode="External"/><Relationship Id="rId19" Type="http://schemas.openxmlformats.org/officeDocument/2006/relationships/hyperlink" Target="mailto:vimamucu7@gmail.com" TargetMode="External"/><Relationship Id="rId31" Type="http://schemas.openxmlformats.org/officeDocument/2006/relationships/hyperlink" Target="mailto:juliansdesigner04@gmail.com" TargetMode="External"/><Relationship Id="rId44" Type="http://schemas.openxmlformats.org/officeDocument/2006/relationships/table" Target="../tables/table3.xml"/><Relationship Id="rId4" Type="http://schemas.openxmlformats.org/officeDocument/2006/relationships/hyperlink" Target="mailto:aguileraaraquea@gmail.com" TargetMode="External"/><Relationship Id="rId9" Type="http://schemas.openxmlformats.org/officeDocument/2006/relationships/hyperlink" Target="mailto:karda.garciacastro@gmail.com" TargetMode="External"/><Relationship Id="rId14" Type="http://schemas.openxmlformats.org/officeDocument/2006/relationships/hyperlink" Target="mailto:sebascruzmusic@gmail.com" TargetMode="External"/><Relationship Id="rId22" Type="http://schemas.openxmlformats.org/officeDocument/2006/relationships/hyperlink" Target="mailto:cmva.recursohumano@gmail.com" TargetMode="External"/><Relationship Id="rId27" Type="http://schemas.openxmlformats.org/officeDocument/2006/relationships/hyperlink" Target="mailto:gerdidistribuciones.sgsst@gmail.com" TargetMode="External"/><Relationship Id="rId30" Type="http://schemas.openxmlformats.org/officeDocument/2006/relationships/hyperlink" Target="mailto:esneider20cargom@gmail.com" TargetMode="External"/><Relationship Id="rId35" Type="http://schemas.openxmlformats.org/officeDocument/2006/relationships/hyperlink" Target="mailto:santiagoastudillo907@gmail.com" TargetMode="External"/><Relationship Id="rId43" Type="http://schemas.openxmlformats.org/officeDocument/2006/relationships/hyperlink" Target="mailto:claroscaicedodayana@gmail.com" TargetMode="External"/><Relationship Id="rId8" Type="http://schemas.openxmlformats.org/officeDocument/2006/relationships/hyperlink" Target="mailto:cardozoalejandra0803@gmail.com" TargetMode="External"/><Relationship Id="rId3" Type="http://schemas.openxmlformats.org/officeDocument/2006/relationships/hyperlink" Target="mailto:luismilton1236@gmail.com" TargetMode="External"/><Relationship Id="rId12" Type="http://schemas.openxmlformats.org/officeDocument/2006/relationships/hyperlink" Target="mailto:luisafw123@gmail.com" TargetMode="External"/><Relationship Id="rId17" Type="http://schemas.openxmlformats.org/officeDocument/2006/relationships/hyperlink" Target="mailto:yolandabermeotrujillo@gmail.com" TargetMode="External"/><Relationship Id="rId25" Type="http://schemas.openxmlformats.org/officeDocument/2006/relationships/hyperlink" Target="mailto:kevinchilito202@gmail.com" TargetMode="External"/><Relationship Id="rId33" Type="http://schemas.openxmlformats.org/officeDocument/2006/relationships/hyperlink" Target="mailto:diazzortega10@gmail.com" TargetMode="External"/><Relationship Id="rId38" Type="http://schemas.openxmlformats.org/officeDocument/2006/relationships/hyperlink" Target="mailto:lurregor@dsierra.co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mailto:Munozmayraalejandra45@gmail.com" TargetMode="External"/><Relationship Id="rId2" Type="http://schemas.openxmlformats.org/officeDocument/2006/relationships/hyperlink" Target="mailto:freireliceo@gmail.com" TargetMode="External"/><Relationship Id="rId1" Type="http://schemas.openxmlformats.org/officeDocument/2006/relationships/hyperlink" Target="mailto:andres.felipe986335@gmail.com" TargetMode="Externa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3" Type="http://schemas.openxmlformats.org/officeDocument/2006/relationships/hyperlink" Target="mailto:lina.castro@cadefihuila.com" TargetMode="External"/><Relationship Id="rId18" Type="http://schemas.openxmlformats.org/officeDocument/2006/relationships/hyperlink" Target="mailto:recursoshumanos@grupopronum.com" TargetMode="External"/><Relationship Id="rId26" Type="http://schemas.openxmlformats.org/officeDocument/2006/relationships/hyperlink" Target="mailto:ventola.admon@gmail.com" TargetMode="External"/><Relationship Id="rId39" Type="http://schemas.openxmlformats.org/officeDocument/2006/relationships/hyperlink" Target="mailto:nelcyleonorr@gmail.com" TargetMode="External"/><Relationship Id="rId21" Type="http://schemas.openxmlformats.org/officeDocument/2006/relationships/hyperlink" Target="mailto:alexandraleal379@gmail.com" TargetMode="External"/><Relationship Id="rId34" Type="http://schemas.openxmlformats.org/officeDocument/2006/relationships/hyperlink" Target="mailto:dafebu1083@gmail.com" TargetMode="External"/><Relationship Id="rId42" Type="http://schemas.microsoft.com/office/2019/04/relationships/namedSheetView" Target="../namedSheetViews/namedSheetView1.xml"/><Relationship Id="rId7" Type="http://schemas.openxmlformats.org/officeDocument/2006/relationships/hyperlink" Target="mailto:liseth23va50@gmail.com" TargetMode="External"/><Relationship Id="rId2" Type="http://schemas.openxmlformats.org/officeDocument/2006/relationships/hyperlink" Target="mailto:apinzonp@sena.edu.co" TargetMode="External"/><Relationship Id="rId16" Type="http://schemas.openxmlformats.org/officeDocument/2006/relationships/hyperlink" Target="mailto:clara.cepeda@nkg.coffee" TargetMode="External"/><Relationship Id="rId20" Type="http://schemas.openxmlformats.org/officeDocument/2006/relationships/hyperlink" Target="mailto:eatagroecologicotimana@gmail.com" TargetMode="External"/><Relationship Id="rId29" Type="http://schemas.openxmlformats.org/officeDocument/2006/relationships/hyperlink" Target="mailto:valenciamarly35@gmail.com" TargetMode="External"/><Relationship Id="rId41" Type="http://schemas.openxmlformats.org/officeDocument/2006/relationships/table" Target="../tables/table5.xml"/><Relationship Id="rId1" Type="http://schemas.openxmlformats.org/officeDocument/2006/relationships/hyperlink" Target="mailto:danielfelipediazvega5@gmail.com" TargetMode="External"/><Relationship Id="rId6" Type="http://schemas.openxmlformats.org/officeDocument/2006/relationships/hyperlink" Target="mailto:seguridadysalud@agovelca.com" TargetMode="External"/><Relationship Id="rId11" Type="http://schemas.openxmlformats.org/officeDocument/2006/relationships/hyperlink" Target="mailto:silviaclaros14@gmail.com" TargetMode="External"/><Relationship Id="rId24" Type="http://schemas.openxmlformats.org/officeDocument/2006/relationships/hyperlink" Target="mailto:Sdominguez@sura.com.co" TargetMode="External"/><Relationship Id="rId32" Type="http://schemas.openxmlformats.org/officeDocument/2006/relationships/hyperlink" Target="mailto:eatagroecologicotimana@gmail.com" TargetMode="External"/><Relationship Id="rId37" Type="http://schemas.openxmlformats.org/officeDocument/2006/relationships/hyperlink" Target="mailto:lolope91@gmail.com" TargetMode="External"/><Relationship Id="rId40" Type="http://schemas.openxmlformats.org/officeDocument/2006/relationships/hyperlink" Target="mailto:nelcyleonorr@gmail.com" TargetMode="External"/><Relationship Id="rId5" Type="http://schemas.openxmlformats.org/officeDocument/2006/relationships/hyperlink" Target="http://chavarroadrigmail.com/" TargetMode="External"/><Relationship Id="rId15" Type="http://schemas.openxmlformats.org/officeDocument/2006/relationships/hyperlink" Target="mailto:vitechecarmenza@gmail.com" TargetMode="External"/><Relationship Id="rId23" Type="http://schemas.openxmlformats.org/officeDocument/2006/relationships/hyperlink" Target="mailto:PITALITO1989@GMAIL.COM" TargetMode="External"/><Relationship Id="rId28" Type="http://schemas.openxmlformats.org/officeDocument/2006/relationships/hyperlink" Target="mailto:SERVICIOALCLIENTE@SUPERBLANCA.COM" TargetMode="External"/><Relationship Id="rId36" Type="http://schemas.openxmlformats.org/officeDocument/2006/relationships/hyperlink" Target="mailto:CAFEGALILEO2013@GMAIL.COM" TargetMode="External"/><Relationship Id="rId10" Type="http://schemas.openxmlformats.org/officeDocument/2006/relationships/hyperlink" Target="mailto:karenyulieth556@gmail.com" TargetMode="External"/><Relationship Id="rId19" Type="http://schemas.openxmlformats.org/officeDocument/2006/relationships/hyperlink" Target="mailto:eatagroecologicotimana@gmail.com" TargetMode="External"/><Relationship Id="rId31" Type="http://schemas.openxmlformats.org/officeDocument/2006/relationships/hyperlink" Target="mailto:josefina.hurtado@banexport.com" TargetMode="External"/><Relationship Id="rId4" Type="http://schemas.openxmlformats.org/officeDocument/2006/relationships/hyperlink" Target="mailto:apinzonp@sena.edu.co" TargetMode="External"/><Relationship Id="rId9" Type="http://schemas.openxmlformats.org/officeDocument/2006/relationships/hyperlink" Target="mailto:bermeomariaramos@gmail.com" TargetMode="External"/><Relationship Id="rId14" Type="http://schemas.openxmlformats.org/officeDocument/2006/relationships/hyperlink" Target="mailto:Arcos8596@gmail.com" TargetMode="External"/><Relationship Id="rId22" Type="http://schemas.openxmlformats.org/officeDocument/2006/relationships/hyperlink" Target="mailto:contabilidad@invercafe.com.co" TargetMode="External"/><Relationship Id="rId27" Type="http://schemas.openxmlformats.org/officeDocument/2006/relationships/hyperlink" Target="mailto:gutierrezdayana865@gmail.com" TargetMode="External"/><Relationship Id="rId30" Type="http://schemas.openxmlformats.org/officeDocument/2006/relationships/hyperlink" Target="mailto:marcelamazorra@cofcointernational.com" TargetMode="External"/><Relationship Id="rId35" Type="http://schemas.openxmlformats.org/officeDocument/2006/relationships/hyperlink" Target="mailto:bray95946@gmail.com" TargetMode="External"/><Relationship Id="rId8" Type="http://schemas.openxmlformats.org/officeDocument/2006/relationships/hyperlink" Target="mailto:lmolinay@sena.edu.co" TargetMode="External"/><Relationship Id="rId3" Type="http://schemas.openxmlformats.org/officeDocument/2006/relationships/hyperlink" Target="mailto:cristiandavidpereztorres@gmail.com" TargetMode="External"/><Relationship Id="rId12" Type="http://schemas.openxmlformats.org/officeDocument/2006/relationships/hyperlink" Target="mailto:diegohenao1010@gmail.com" TargetMode="External"/><Relationship Id="rId17" Type="http://schemas.openxmlformats.org/officeDocument/2006/relationships/hyperlink" Target="mailto:123jamerzon123@gmail.com" TargetMode="External"/><Relationship Id="rId25" Type="http://schemas.openxmlformats.org/officeDocument/2006/relationships/hyperlink" Target="mailto:chilitoalexa0821@gmail.com" TargetMode="External"/><Relationship Id="rId33" Type="http://schemas.openxmlformats.org/officeDocument/2006/relationships/hyperlink" Target="mailto:paulacelis1999@gmail.com" TargetMode="External"/><Relationship Id="rId38" Type="http://schemas.openxmlformats.org/officeDocument/2006/relationships/hyperlink" Target="mailto:basmith2406@gmail.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mailto:Jhonortiz.salazar@hotmail.com" TargetMode="External"/><Relationship Id="rId3" Type="http://schemas.openxmlformats.org/officeDocument/2006/relationships/hyperlink" Target="mailto:judarolo18@gmail.com" TargetMode="External"/><Relationship Id="rId7" Type="http://schemas.openxmlformats.org/officeDocument/2006/relationships/hyperlink" Target="mailto:diegoscalante@gmail.com" TargetMode="External"/><Relationship Id="rId2" Type="http://schemas.openxmlformats.org/officeDocument/2006/relationships/hyperlink" Target="mailto:albaninoguera2@gmail.com" TargetMode="External"/><Relationship Id="rId1" Type="http://schemas.openxmlformats.org/officeDocument/2006/relationships/hyperlink" Target="mailto:kata.mm2016@gmail.com" TargetMode="External"/><Relationship Id="rId6" Type="http://schemas.openxmlformats.org/officeDocument/2006/relationships/hyperlink" Target="mailto:Ronaldussan321@gmail.com" TargetMode="External"/><Relationship Id="rId5" Type="http://schemas.openxmlformats.org/officeDocument/2006/relationships/hyperlink" Target="mailto:liceoleoanrdodavinci@gmail.com" TargetMode="External"/><Relationship Id="rId10" Type="http://schemas.microsoft.com/office/2019/04/relationships/namedSheetView" Target="../namedSheetViews/namedSheetView2.xml"/><Relationship Id="rId4" Type="http://schemas.openxmlformats.org/officeDocument/2006/relationships/hyperlink" Target="mailto:hoyos7859@gmail.com" TargetMode="External"/><Relationship Id="rId9"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hyperlink" Target="http://chavarroadri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E691"/>
  <sheetViews>
    <sheetView topLeftCell="C1" workbookViewId="0">
      <selection activeCell="K4" sqref="K4"/>
    </sheetView>
  </sheetViews>
  <sheetFormatPr baseColWidth="10" defaultColWidth="12.5" defaultRowHeight="15.75" customHeight="1"/>
  <cols>
    <col min="1" max="1" width="28.83203125" customWidth="1"/>
    <col min="2" max="2" width="33.1640625" customWidth="1"/>
    <col min="3" max="3" width="12.5" customWidth="1"/>
    <col min="4" max="4" width="14.83203125" customWidth="1"/>
    <col min="5" max="5" width="11" customWidth="1"/>
    <col min="6" max="6" width="12.5" customWidth="1"/>
    <col min="7" max="7" width="29.5" customWidth="1"/>
    <col min="8" max="8" width="16" customWidth="1"/>
    <col min="9" max="9" width="24" customWidth="1"/>
    <col min="10" max="10" width="14.33203125" customWidth="1"/>
    <col min="11" max="11" width="33" customWidth="1"/>
    <col min="12" max="12" width="12.5" hidden="1" customWidth="1"/>
    <col min="13" max="13" width="13.83203125" hidden="1" customWidth="1"/>
    <col min="14" max="14" width="15" hidden="1" customWidth="1"/>
    <col min="15" max="15" width="12.5" hidden="1" customWidth="1"/>
    <col min="16" max="16" width="46.83203125" hidden="1" customWidth="1"/>
    <col min="17" max="17" width="17" style="223" customWidth="1"/>
    <col min="18" max="18" width="16.6640625" customWidth="1"/>
    <col min="19" max="19" width="34.5" customWidth="1"/>
    <col min="20" max="20" width="32.5" hidden="1" customWidth="1"/>
    <col min="21" max="21" width="30.83203125" hidden="1" customWidth="1"/>
    <col min="22" max="22" width="26.5" hidden="1" customWidth="1"/>
    <col min="23" max="23" width="25.5" hidden="1" customWidth="1"/>
    <col min="24" max="24" width="17.83203125" hidden="1" customWidth="1"/>
    <col min="25" max="25" width="24.5" hidden="1" customWidth="1"/>
    <col min="26" max="26" width="18" hidden="1" customWidth="1"/>
    <col min="27" max="27" width="24.1640625" hidden="1" customWidth="1"/>
    <col min="28" max="28" width="0" hidden="1" customWidth="1"/>
    <col min="29" max="29" width="24.1640625" hidden="1" customWidth="1"/>
    <col min="30" max="30" width="20" hidden="1" customWidth="1"/>
    <col min="31" max="31" width="24.33203125" hidden="1" customWidth="1"/>
    <col min="32" max="32" width="22.5" hidden="1" customWidth="1"/>
    <col min="33" max="33" width="26.83203125" hidden="1" customWidth="1"/>
    <col min="34" max="34" width="24.5" hidden="1" customWidth="1"/>
    <col min="35" max="35" width="29.6640625" hidden="1" customWidth="1"/>
    <col min="36" max="36" width="22.6640625" hidden="1" customWidth="1"/>
    <col min="37" max="37" width="27.5" hidden="1" customWidth="1"/>
    <col min="38" max="38" width="24.5" hidden="1" customWidth="1"/>
    <col min="39" max="39" width="29.1640625" hidden="1" customWidth="1"/>
    <col min="40" max="40" width="23.33203125" hidden="1" customWidth="1"/>
    <col min="41" max="41" width="28.5" hidden="1" customWidth="1"/>
    <col min="42" max="42" width="20.5" customWidth="1"/>
    <col min="43" max="43" width="16.6640625" customWidth="1"/>
    <col min="45" max="45" width="18" customWidth="1"/>
    <col min="46" max="46" width="20.5" customWidth="1"/>
    <col min="47" max="47" width="30.83203125" customWidth="1"/>
    <col min="48" max="48" width="21.1640625" customWidth="1"/>
  </cols>
  <sheetData>
    <row r="1" spans="1:109" ht="16">
      <c r="A1" s="488"/>
      <c r="B1" s="625" t="s">
        <v>0</v>
      </c>
      <c r="C1" s="626"/>
      <c r="D1" s="626"/>
      <c r="E1" s="626"/>
      <c r="F1" s="626"/>
      <c r="G1" s="626"/>
      <c r="H1" s="626"/>
      <c r="I1" s="626"/>
      <c r="J1" s="626"/>
      <c r="K1" s="627"/>
      <c r="L1" s="628" t="s">
        <v>1</v>
      </c>
      <c r="M1" s="623"/>
      <c r="N1" s="623"/>
      <c r="O1" s="623"/>
      <c r="P1" s="621"/>
      <c r="Q1" s="629" t="s">
        <v>2</v>
      </c>
      <c r="R1" s="626"/>
      <c r="S1" s="627"/>
      <c r="T1" s="4"/>
      <c r="U1" s="4"/>
      <c r="V1" s="5"/>
      <c r="W1" s="5"/>
      <c r="X1" s="5"/>
      <c r="Y1" s="5"/>
      <c r="Z1" s="5"/>
      <c r="AA1" s="5"/>
      <c r="AB1" s="5"/>
      <c r="AC1" s="5"/>
      <c r="AD1" s="5"/>
      <c r="AE1" s="5"/>
      <c r="AF1" s="5"/>
      <c r="AG1" s="5"/>
      <c r="AH1" s="5"/>
      <c r="AI1" s="5"/>
      <c r="AJ1" s="5"/>
      <c r="AK1" s="5"/>
      <c r="AL1" s="5"/>
      <c r="AM1" s="5"/>
      <c r="AN1" s="5"/>
      <c r="AO1" s="5"/>
      <c r="AP1" s="489"/>
      <c r="AQ1" s="489"/>
      <c r="AR1" s="489"/>
      <c r="AS1" s="489"/>
      <c r="AT1" s="489"/>
      <c r="AU1" s="489"/>
      <c r="AV1" s="489"/>
    </row>
    <row r="2" spans="1:109" ht="34">
      <c r="A2" s="505" t="s">
        <v>181</v>
      </c>
      <c r="B2" s="504" t="s">
        <v>182</v>
      </c>
      <c r="C2" s="504" t="s">
        <v>6</v>
      </c>
      <c r="D2" s="506" t="s">
        <v>7</v>
      </c>
      <c r="E2" s="504" t="s">
        <v>8</v>
      </c>
      <c r="F2" s="504" t="s">
        <v>9</v>
      </c>
      <c r="G2" s="504" t="s">
        <v>10</v>
      </c>
      <c r="H2" s="504" t="s">
        <v>11</v>
      </c>
      <c r="I2" s="504" t="s">
        <v>12</v>
      </c>
      <c r="J2" s="504" t="s">
        <v>13</v>
      </c>
      <c r="K2" s="504" t="s">
        <v>14</v>
      </c>
      <c r="L2" s="507" t="s">
        <v>15</v>
      </c>
      <c r="M2" s="507" t="s">
        <v>16</v>
      </c>
      <c r="N2" s="507" t="s">
        <v>17</v>
      </c>
      <c r="O2" s="507" t="s">
        <v>18</v>
      </c>
      <c r="P2" s="507" t="s">
        <v>19</v>
      </c>
      <c r="Q2" s="508" t="s">
        <v>20</v>
      </c>
      <c r="R2" s="504" t="s">
        <v>21</v>
      </c>
      <c r="S2" s="504" t="s">
        <v>22</v>
      </c>
      <c r="T2" s="509" t="s">
        <v>183</v>
      </c>
      <c r="U2" s="509" t="s">
        <v>24</v>
      </c>
      <c r="V2" s="509" t="s">
        <v>184</v>
      </c>
      <c r="W2" s="509" t="s">
        <v>185</v>
      </c>
      <c r="X2" s="509" t="s">
        <v>186</v>
      </c>
      <c r="Y2" s="509" t="s">
        <v>187</v>
      </c>
      <c r="Z2" s="509" t="s">
        <v>188</v>
      </c>
      <c r="AA2" s="509" t="s">
        <v>189</v>
      </c>
      <c r="AB2" s="509" t="s">
        <v>190</v>
      </c>
      <c r="AC2" s="509" t="s">
        <v>191</v>
      </c>
      <c r="AD2" s="509" t="s">
        <v>192</v>
      </c>
      <c r="AE2" s="510" t="s">
        <v>193</v>
      </c>
      <c r="AF2" s="509" t="s">
        <v>194</v>
      </c>
      <c r="AG2" s="510" t="s">
        <v>195</v>
      </c>
      <c r="AH2" s="509" t="s">
        <v>196</v>
      </c>
      <c r="AI2" s="510" t="s">
        <v>197</v>
      </c>
      <c r="AJ2" s="509" t="s">
        <v>198</v>
      </c>
      <c r="AK2" s="510" t="s">
        <v>199</v>
      </c>
      <c r="AL2" s="509" t="s">
        <v>200</v>
      </c>
      <c r="AM2" s="510" t="s">
        <v>201</v>
      </c>
      <c r="AN2" s="509" t="s">
        <v>202</v>
      </c>
      <c r="AO2" s="510" t="s">
        <v>203</v>
      </c>
      <c r="AP2" s="505" t="s">
        <v>23</v>
      </c>
      <c r="AQ2" s="504" t="s">
        <v>204</v>
      </c>
      <c r="AR2" s="504" t="s">
        <v>205</v>
      </c>
      <c r="AS2" s="508" t="s">
        <v>206</v>
      </c>
      <c r="AT2" s="508" t="s">
        <v>207</v>
      </c>
      <c r="AU2" s="504" t="s">
        <v>208</v>
      </c>
      <c r="AV2" s="504" t="s">
        <v>209</v>
      </c>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64"/>
      <c r="CG2" s="164"/>
      <c r="CH2" s="164"/>
      <c r="CI2" s="164"/>
      <c r="CJ2" s="164"/>
      <c r="CK2" s="164"/>
      <c r="CL2" s="164"/>
      <c r="CM2" s="164"/>
      <c r="CN2" s="164"/>
      <c r="CO2" s="164"/>
      <c r="CP2" s="164"/>
      <c r="CQ2" s="164"/>
      <c r="CR2" s="164"/>
      <c r="CS2" s="164"/>
      <c r="CT2" s="164"/>
      <c r="CU2" s="164"/>
      <c r="CV2" s="164"/>
      <c r="CW2" s="164"/>
      <c r="CX2" s="164"/>
      <c r="CY2" s="164"/>
      <c r="CZ2" s="164"/>
      <c r="DA2" s="164"/>
      <c r="DB2" s="164"/>
      <c r="DC2" s="164"/>
      <c r="DD2" s="164"/>
      <c r="DE2" s="164"/>
    </row>
    <row r="3" spans="1:109" s="180" customFormat="1" ht="18" customHeight="1">
      <c r="A3" s="491" t="s">
        <v>210</v>
      </c>
      <c r="B3" s="490" t="s">
        <v>211</v>
      </c>
      <c r="C3" s="490" t="s">
        <v>27</v>
      </c>
      <c r="D3" s="490">
        <v>1007310927</v>
      </c>
      <c r="E3" s="490">
        <v>2066212</v>
      </c>
      <c r="F3" s="491" t="str">
        <f ca="1">IFERROR(__xludf.DUMMYFUNCTION("IFERROR(VLOOKUP(F28,IMPORTRANGE(""https://docs.google.com/spreadsheets/d/1Kvs4KS76FHFqLFIZfrDMff4kP08nblUkihrxltoGBjg/edit#gid=934712705"",""ESENCIAL!A6:BG""),3,FALSE))"),"TÉCNICO")</f>
        <v>TÉCNICO</v>
      </c>
      <c r="G3" s="491" t="str">
        <f ca="1">IFERROR(__xludf.DUMMYFUNCTION("IFERROR(VLOOKUP(F28,IMPORTRANGE(""https://docs.google.com/spreadsheets/d/1Kvs4KS76FHFqLFIZfrDMff4kP08nblUkihrxltoGBjg/edit#gid=934712705"",""ESENCIAL!A6:BG""),8,FALSE))"),"DIBUJO ARQUITECTÓNICO")</f>
        <v>DIBUJO ARQUITECTÓNICO</v>
      </c>
      <c r="H3" s="490">
        <v>3153397715</v>
      </c>
      <c r="I3" s="490" t="s">
        <v>212</v>
      </c>
      <c r="J3" s="490"/>
      <c r="K3" s="491" t="s">
        <v>37</v>
      </c>
      <c r="L3" s="495" t="s">
        <v>213</v>
      </c>
      <c r="M3" s="495" t="s">
        <v>214</v>
      </c>
      <c r="N3" s="495">
        <v>3112951701</v>
      </c>
      <c r="O3" s="495" t="s">
        <v>215</v>
      </c>
      <c r="P3" s="495" t="s">
        <v>216</v>
      </c>
      <c r="Q3" s="496">
        <v>44410</v>
      </c>
      <c r="R3" s="492">
        <v>44594</v>
      </c>
      <c r="S3" s="491" t="s">
        <v>217</v>
      </c>
      <c r="T3" s="497"/>
      <c r="U3" s="495" t="s">
        <v>218</v>
      </c>
      <c r="V3" s="495"/>
      <c r="W3" s="491"/>
      <c r="X3" s="491"/>
      <c r="Y3" s="491"/>
      <c r="Z3" s="491"/>
      <c r="AA3" s="491"/>
      <c r="AB3" s="491"/>
      <c r="AC3" s="491"/>
      <c r="AD3" s="491"/>
      <c r="AE3" s="491"/>
      <c r="AF3" s="491"/>
      <c r="AG3" s="491"/>
      <c r="AH3" s="491"/>
      <c r="AI3" s="491"/>
      <c r="AJ3" s="491"/>
      <c r="AK3" s="491"/>
      <c r="AL3" s="491"/>
      <c r="AM3" s="491"/>
      <c r="AN3" s="491"/>
      <c r="AO3" s="491"/>
      <c r="AP3" s="491" t="s">
        <v>210</v>
      </c>
      <c r="AQ3" s="493">
        <f ca="1">IFERROR(__xludf.DUMMYFUNCTION("IFERROR(VLOOKUP(E28&amp;F28,IMPORTRANGE(""https://docs.google.com/spreadsheets/d/1Uw7-A9f9R21vMXxHZFNpYNeKFtG8_yji4HS352LGlSQ/edit?pli=1#gid=0"",""1_ACUM!A4:S""),18,FALSE))"),43934)</f>
        <v>43934</v>
      </c>
      <c r="AR3" s="493">
        <f ca="1">IFERROR(__xludf.DUMMYFUNCTION("IFERROR(VLOOKUP(E28&amp;F28,IMPORTRANGE(""https://docs.google.com/spreadsheets/d/1Uw7-A9f9R21vMXxHZFNpYNeKFtG8_yji4HS352LGlSQ/edit?pli=1#gid=0"",""1_ACUM!A4:S""),19,FALSE))"),44147)</f>
        <v>44147</v>
      </c>
      <c r="AS3" s="493">
        <f ca="1">IFERROR(__xludf.DUMMYFUNCTION("IFERROR(VLOOKUP(F28,IMPORTRANGE(""https://docs.google.com/spreadsheets/d/1Kvs4KS76FHFqLFIZfrDMff4kP08nblUkihrxltoGBjg/edit#gid=934712705"",""ESENCIAL!A6:BG""),5,FALSE))"),44328)</f>
        <v>44328</v>
      </c>
      <c r="AT3" s="493">
        <f t="shared" ref="AT3:AT8" ca="1" si="0">IF(E3&gt;0,EDATE(AS3,18),"")</f>
        <v>44877</v>
      </c>
      <c r="AU3" s="491"/>
      <c r="AV3" s="491"/>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c r="CD3" s="164"/>
      <c r="CE3" s="164"/>
      <c r="CF3" s="164"/>
      <c r="CG3" s="164"/>
      <c r="CH3" s="164"/>
      <c r="CI3" s="164"/>
      <c r="CJ3" s="164"/>
      <c r="CK3" s="164"/>
      <c r="CL3" s="164"/>
      <c r="CM3" s="164"/>
      <c r="CN3" s="164"/>
      <c r="CO3" s="164"/>
      <c r="CP3" s="164"/>
      <c r="CQ3" s="164"/>
      <c r="CR3" s="164"/>
      <c r="CS3" s="164"/>
      <c r="CT3" s="164"/>
    </row>
    <row r="4" spans="1:109" s="180" customFormat="1" ht="18" customHeight="1">
      <c r="A4" s="491" t="s">
        <v>210</v>
      </c>
      <c r="B4" s="490" t="s">
        <v>219</v>
      </c>
      <c r="C4" s="490" t="s">
        <v>27</v>
      </c>
      <c r="D4" s="490">
        <v>1083921653</v>
      </c>
      <c r="E4" s="490">
        <v>2166552</v>
      </c>
      <c r="F4" s="491" t="str">
        <f ca="1">IFERROR(__xludf.DUMMYFUNCTION("IFERROR(VLOOKUP(F66,IMPORTRANGE(""https://docs.google.com/spreadsheets/d/1Kvs4KS76FHFqLFIZfrDMff4kP08nblUkihrxltoGBjg/edit#gid=934712705"",""ESENCIAL!A6:BG""),3,FALSE))"),"TÉCNICO")</f>
        <v>TÉCNICO</v>
      </c>
      <c r="G4" s="491" t="str">
        <f ca="1">IFERROR(__xludf.DUMMYFUNCTION("IFERROR(VLOOKUP(F66,IMPORTRANGE(""https://docs.google.com/spreadsheets/d/1Kvs4KS76FHFqLFIZfrDMff4kP08nblUkihrxltoGBjg/edit#gid=934712705"",""ESENCIAL!A6:BG""),8,FALSE))"),"DIBUJO ARQUITECTÓNICO")</f>
        <v>DIBUJO ARQUITECTÓNICO</v>
      </c>
      <c r="H4" s="490">
        <v>3135670428</v>
      </c>
      <c r="I4" s="490" t="s">
        <v>220</v>
      </c>
      <c r="J4" s="490" t="s">
        <v>84</v>
      </c>
      <c r="K4" s="491" t="s">
        <v>37</v>
      </c>
      <c r="L4" s="491" t="s">
        <v>221</v>
      </c>
      <c r="M4" s="491" t="s">
        <v>222</v>
      </c>
      <c r="N4" s="491"/>
      <c r="O4" s="491" t="s">
        <v>223</v>
      </c>
      <c r="P4" s="491" t="s">
        <v>224</v>
      </c>
      <c r="Q4" s="494">
        <v>44454</v>
      </c>
      <c r="R4" s="492">
        <v>44530</v>
      </c>
      <c r="S4" s="491"/>
      <c r="T4" s="497"/>
      <c r="U4" s="498" t="s">
        <v>225</v>
      </c>
      <c r="V4" s="495"/>
      <c r="W4" s="491"/>
      <c r="X4" s="491"/>
      <c r="Y4" s="491"/>
      <c r="Z4" s="491"/>
      <c r="AA4" s="491"/>
      <c r="AB4" s="491"/>
      <c r="AC4" s="491"/>
      <c r="AD4" s="491"/>
      <c r="AE4" s="491"/>
      <c r="AF4" s="491"/>
      <c r="AG4" s="491"/>
      <c r="AH4" s="491"/>
      <c r="AI4" s="491"/>
      <c r="AJ4" s="491"/>
      <c r="AK4" s="491"/>
      <c r="AL4" s="491"/>
      <c r="AM4" s="491"/>
      <c r="AN4" s="491"/>
      <c r="AO4" s="491"/>
      <c r="AP4" s="491" t="s">
        <v>210</v>
      </c>
      <c r="AQ4" s="493">
        <f ca="1">IFERROR(__xludf.DUMMYFUNCTION("IFERROR(VLOOKUP(E66&amp;F66,IMPORTRANGE(""https://docs.google.com/spreadsheets/d/1Uw7-A9f9R21vMXxHZFNpYNeKFtG8_yji4HS352LGlSQ/edit?pli=1#gid=0"",""1_ACUM!A4:S""),18,FALSE))"),44075)</f>
        <v>44075</v>
      </c>
      <c r="AR4" s="493">
        <f ca="1">IFERROR(__xludf.DUMMYFUNCTION("IFERROR(VLOOKUP(E66&amp;F66,IMPORTRANGE(""https://docs.google.com/spreadsheets/d/1Uw7-A9f9R21vMXxHZFNpYNeKFtG8_yji4HS352LGlSQ/edit?pli=1#gid=0"",""1_ACUM!A4:S""),19,FALSE))"),44620)</f>
        <v>44620</v>
      </c>
      <c r="AS4" s="493">
        <f ca="1">IFERROR(__xludf.DUMMYFUNCTION("IFERROR(VLOOKUP(F66,IMPORTRANGE(""https://docs.google.com/spreadsheets/d/1Kvs4KS76FHFqLFIZfrDMff4kP08nblUkihrxltoGBjg/edit#gid=934712705"",""ESENCIAL!A6:BG""),5,FALSE))"),44804)</f>
        <v>44804</v>
      </c>
      <c r="AT4" s="493">
        <f t="shared" ca="1" si="0"/>
        <v>45351</v>
      </c>
      <c r="AU4" s="491"/>
      <c r="AV4" s="491"/>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c r="CD4" s="164"/>
      <c r="CE4" s="164"/>
      <c r="CF4" s="164"/>
      <c r="CG4" s="164"/>
      <c r="CH4" s="164"/>
      <c r="CI4" s="164"/>
      <c r="CJ4" s="164"/>
      <c r="CK4" s="164"/>
      <c r="CL4" s="164"/>
      <c r="CM4" s="164"/>
      <c r="CN4" s="164"/>
      <c r="CO4" s="164"/>
      <c r="CP4" s="164"/>
      <c r="CQ4" s="164"/>
      <c r="CR4" s="164"/>
      <c r="CS4" s="164"/>
      <c r="CT4" s="164"/>
    </row>
    <row r="5" spans="1:109" s="180" customFormat="1" ht="18" customHeight="1">
      <c r="A5" s="491" t="s">
        <v>210</v>
      </c>
      <c r="B5" s="490" t="s">
        <v>226</v>
      </c>
      <c r="C5" s="490" t="s">
        <v>67</v>
      </c>
      <c r="D5" s="490">
        <v>1079534178</v>
      </c>
      <c r="E5" s="490">
        <v>2322426</v>
      </c>
      <c r="F5" s="491" t="str">
        <f ca="1">IFERROR(__xludf.DUMMYFUNCTION("IFERROR(VLOOKUP(F75,IMPORTRANGE(""https://docs.google.com/spreadsheets/d/1Kvs4KS76FHFqLFIZfrDMff4kP08nblUkihrxltoGBjg/edit#gid=934712705"",""ESENCIAL!A6:BG""),3,FALSE))"),"TÉCNICO")</f>
        <v>TÉCNICO</v>
      </c>
      <c r="G5" s="491" t="str">
        <f ca="1">IFERROR(__xludf.DUMMYFUNCTION("IFERROR(VLOOKUP(F75,IMPORTRANGE(""https://docs.google.com/spreadsheets/d/1Kvs4KS76FHFqLFIZfrDMff4kP08nblUkihrxltoGBjg/edit#gid=934712705"",""ESENCIAL!A6:BG""),8,FALSE))"),"DIBUJO ARQUITECTÓNICO")</f>
        <v>DIBUJO ARQUITECTÓNICO</v>
      </c>
      <c r="H5" s="490">
        <v>3209589234</v>
      </c>
      <c r="I5" s="490" t="s">
        <v>227</v>
      </c>
      <c r="J5" s="490"/>
      <c r="K5" s="495" t="s">
        <v>37</v>
      </c>
      <c r="L5" s="495" t="s">
        <v>228</v>
      </c>
      <c r="M5" s="495" t="s">
        <v>229</v>
      </c>
      <c r="N5" s="495"/>
      <c r="O5" s="495">
        <v>3002105865</v>
      </c>
      <c r="P5" s="495" t="s">
        <v>230</v>
      </c>
      <c r="Q5" s="496">
        <v>44576</v>
      </c>
      <c r="R5" s="499">
        <v>44758</v>
      </c>
      <c r="S5" s="495" t="s">
        <v>231</v>
      </c>
      <c r="T5" s="497"/>
      <c r="U5" s="495"/>
      <c r="V5" s="495"/>
      <c r="W5" s="491"/>
      <c r="X5" s="491"/>
      <c r="Y5" s="491"/>
      <c r="Z5" s="491"/>
      <c r="AA5" s="491"/>
      <c r="AB5" s="491"/>
      <c r="AC5" s="491"/>
      <c r="AD5" s="491"/>
      <c r="AE5" s="491"/>
      <c r="AF5" s="491"/>
      <c r="AG5" s="491"/>
      <c r="AH5" s="491"/>
      <c r="AI5" s="491"/>
      <c r="AJ5" s="491"/>
      <c r="AK5" s="491"/>
      <c r="AL5" s="491"/>
      <c r="AM5" s="491"/>
      <c r="AN5" s="491"/>
      <c r="AO5" s="491"/>
      <c r="AP5" s="491" t="s">
        <v>210</v>
      </c>
      <c r="AQ5" s="493">
        <f ca="1">IFERROR(__xludf.DUMMYFUNCTION("IFERROR(VLOOKUP(E75&amp;F75,IMPORTRANGE(""https://docs.google.com/spreadsheets/d/1Uw7-A9f9R21vMXxHZFNpYNeKFtG8_yji4HS352LGlSQ/edit?pli=1#gid=0"",""1_ACUM!A4:S""),18,FALSE))"),44348)</f>
        <v>44348</v>
      </c>
      <c r="AR5" s="493">
        <f ca="1">IFERROR(__xludf.DUMMYFUNCTION("IFERROR(VLOOKUP(E75&amp;F75,IMPORTRANGE(""https://docs.google.com/spreadsheets/d/1Uw7-A9f9R21vMXxHZFNpYNeKFtG8_yji4HS352LGlSQ/edit?pli=1#gid=0"",""1_ACUM!A4:S""),19,FALSE))"),44530)</f>
        <v>44530</v>
      </c>
      <c r="AS5" s="493">
        <f ca="1">IFERROR(__xludf.DUMMYFUNCTION("IFERROR(VLOOKUP(F75,IMPORTRANGE(""https://docs.google.com/spreadsheets/d/1Kvs4KS76FHFqLFIZfrDMff4kP08nblUkihrxltoGBjg/edit#gid=934712705"",""ESENCIAL!A6:BG""),5,FALSE))"),44712)</f>
        <v>44712</v>
      </c>
      <c r="AT5" s="493">
        <f t="shared" ca="1" si="0"/>
        <v>45260</v>
      </c>
      <c r="AU5" s="491"/>
      <c r="AV5" s="491"/>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c r="CD5" s="164"/>
      <c r="CE5" s="164"/>
      <c r="CF5" s="164"/>
      <c r="CG5" s="164"/>
      <c r="CH5" s="164"/>
      <c r="CI5" s="164"/>
      <c r="CJ5" s="164"/>
      <c r="CK5" s="164"/>
      <c r="CL5" s="164"/>
      <c r="CM5" s="164"/>
      <c r="CN5" s="164"/>
      <c r="CO5" s="164"/>
      <c r="CP5" s="164"/>
      <c r="CQ5" s="164"/>
      <c r="CR5" s="164"/>
      <c r="CS5" s="164"/>
      <c r="CT5" s="164"/>
    </row>
    <row r="6" spans="1:109" s="180" customFormat="1" ht="18" customHeight="1">
      <c r="A6" s="491" t="s">
        <v>210</v>
      </c>
      <c r="B6" s="490" t="s">
        <v>232</v>
      </c>
      <c r="C6" s="490" t="s">
        <v>27</v>
      </c>
      <c r="D6" s="490">
        <v>1083925140</v>
      </c>
      <c r="E6" s="490">
        <v>2322426</v>
      </c>
      <c r="F6" s="491" t="str">
        <f ca="1">IFERROR(__xludf.DUMMYFUNCTION("IFERROR(VLOOKUP(F79,IMPORTRANGE(""https://docs.google.com/spreadsheets/d/1Kvs4KS76FHFqLFIZfrDMff4kP08nblUkihrxltoGBjg/edit#gid=934712705"",""ESENCIAL!A6:BG""),3,FALSE))"),"TÉCNICO")</f>
        <v>TÉCNICO</v>
      </c>
      <c r="G6" s="491" t="str">
        <f ca="1">IFERROR(__xludf.DUMMYFUNCTION("IFERROR(VLOOKUP(F28,IMPORTRANGE(""https://docs.google.com/spreadsheets/d/1Kvs4KS76FHFqLFIZfrDMff4kP08nblUkihrxltoGBjg/edit#gid=934712705"",""ESENCIAL!A6:BG""),8,FALSE))"),"DIBUJO ARQUITECTÓNICO")</f>
        <v>DIBUJO ARQUITECTÓNICO</v>
      </c>
      <c r="H6" s="490"/>
      <c r="I6" s="490">
        <v>3112758789</v>
      </c>
      <c r="J6" s="490" t="s">
        <v>233</v>
      </c>
      <c r="K6" s="491" t="s">
        <v>37</v>
      </c>
      <c r="L6" s="495" t="s">
        <v>234</v>
      </c>
      <c r="M6" s="495" t="s">
        <v>84</v>
      </c>
      <c r="N6" s="495">
        <v>3102902312</v>
      </c>
      <c r="O6" s="495"/>
      <c r="P6" s="495"/>
      <c r="Q6" s="496">
        <v>44645</v>
      </c>
      <c r="R6" s="499">
        <v>44827</v>
      </c>
      <c r="S6" s="495" t="s">
        <v>235</v>
      </c>
      <c r="T6" s="497"/>
      <c r="U6" s="498" t="s">
        <v>225</v>
      </c>
      <c r="V6" s="495"/>
      <c r="W6" s="491"/>
      <c r="X6" s="491"/>
      <c r="Y6" s="491"/>
      <c r="Z6" s="491"/>
      <c r="AA6" s="491"/>
      <c r="AB6" s="491"/>
      <c r="AC6" s="491"/>
      <c r="AD6" s="491"/>
      <c r="AE6" s="491"/>
      <c r="AF6" s="491"/>
      <c r="AG6" s="491"/>
      <c r="AH6" s="491"/>
      <c r="AI6" s="491"/>
      <c r="AJ6" s="491"/>
      <c r="AK6" s="491"/>
      <c r="AL6" s="491"/>
      <c r="AM6" s="491"/>
      <c r="AN6" s="491"/>
      <c r="AO6" s="491"/>
      <c r="AP6" s="491" t="s">
        <v>210</v>
      </c>
      <c r="AQ6" s="493">
        <f ca="1">IFERROR(__xludf.DUMMYFUNCTION("IFERROR(VLOOKUP(E79&amp;F79,IMPORTRANGE(""https://docs.google.com/spreadsheets/d/1Uw7-A9f9R21vMXxHZFNpYNeKFtG8_yji4HS352LGlSQ/edit?pli=1#gid=0"",""1_ACUM!A4:S""),18,FALSE))"),44348)</f>
        <v>44348</v>
      </c>
      <c r="AR6" s="493">
        <f ca="1">IFERROR(__xludf.DUMMYFUNCTION("IFERROR(VLOOKUP(E79&amp;F79,IMPORTRANGE(""https://docs.google.com/spreadsheets/d/1Uw7-A9f9R21vMXxHZFNpYNeKFtG8_yji4HS352LGlSQ/edit?pli=1#gid=0"",""1_ACUM!A4:S""),19,FALSE))"),44530)</f>
        <v>44530</v>
      </c>
      <c r="AS6" s="493">
        <f ca="1">IFERROR(__xludf.DUMMYFUNCTION("IFERROR(VLOOKUP(F79,IMPORTRANGE(""https://docs.google.com/spreadsheets/d/1Kvs4KS76FHFqLFIZfrDMff4kP08nblUkihrxltoGBjg/edit#gid=934712705"",""ESENCIAL!A6:BG""),5,FALSE))"),44712)</f>
        <v>44712</v>
      </c>
      <c r="AT6" s="493">
        <f t="shared" ca="1" si="0"/>
        <v>45260</v>
      </c>
      <c r="AU6" s="491"/>
      <c r="AV6" s="491"/>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64"/>
      <c r="CG6" s="164"/>
      <c r="CH6" s="164"/>
      <c r="CI6" s="164"/>
      <c r="CJ6" s="164"/>
      <c r="CK6" s="164"/>
      <c r="CL6" s="164"/>
      <c r="CM6" s="164"/>
      <c r="CN6" s="164"/>
      <c r="CO6" s="164"/>
      <c r="CP6" s="164"/>
      <c r="CQ6" s="164"/>
      <c r="CR6" s="164"/>
      <c r="CS6" s="164"/>
      <c r="CT6" s="164"/>
    </row>
    <row r="7" spans="1:109" s="180" customFormat="1" ht="18" customHeight="1">
      <c r="A7" s="491" t="s">
        <v>210</v>
      </c>
      <c r="B7" s="490" t="s">
        <v>236</v>
      </c>
      <c r="C7" s="490" t="s">
        <v>27</v>
      </c>
      <c r="D7" s="490">
        <v>1001978446</v>
      </c>
      <c r="E7" s="490">
        <v>2066212</v>
      </c>
      <c r="F7" s="491" t="str">
        <f ca="1">IFERROR(__xludf.DUMMYFUNCTION("IFERROR(VLOOKUP(F27,IMPORTRANGE(""https://docs.google.com/spreadsheets/d/1Kvs4KS76FHFqLFIZfrDMff4kP08nblUkihrxltoGBjg/edit#gid=934712705"",""ESENCIAL!A6:BG""),3,FALSE))"),"TÉCNICO")</f>
        <v>TÉCNICO</v>
      </c>
      <c r="G7" s="491" t="str">
        <f ca="1">IFERROR(__xludf.DUMMYFUNCTION("IFERROR(VLOOKUP(F27,IMPORTRANGE(""https://docs.google.com/spreadsheets/d/1Kvs4KS76FHFqLFIZfrDMff4kP08nblUkihrxltoGBjg/edit#gid=934712705"",""ESENCIAL!A6:BG""),8,FALSE))"),"DIBUJO ARQUITECTÓNICO")</f>
        <v>DIBUJO ARQUITECTÓNICO</v>
      </c>
      <c r="H7" s="490">
        <v>3114146348</v>
      </c>
      <c r="I7" s="490" t="s">
        <v>237</v>
      </c>
      <c r="J7" s="490"/>
      <c r="K7" s="495" t="s">
        <v>37</v>
      </c>
      <c r="L7" s="495" t="s">
        <v>238</v>
      </c>
      <c r="M7" s="495" t="s">
        <v>239</v>
      </c>
      <c r="N7" s="495">
        <v>8360010</v>
      </c>
      <c r="O7" s="495" t="s">
        <v>73</v>
      </c>
      <c r="P7" s="495" t="s">
        <v>240</v>
      </c>
      <c r="Q7" s="496">
        <v>44657</v>
      </c>
      <c r="R7" s="499">
        <v>44839</v>
      </c>
      <c r="S7" s="495"/>
      <c r="T7" s="497"/>
      <c r="U7" s="495" t="s">
        <v>218</v>
      </c>
      <c r="V7" s="495"/>
      <c r="W7" s="491"/>
      <c r="X7" s="491"/>
      <c r="Y7" s="491"/>
      <c r="Z7" s="491"/>
      <c r="AA7" s="491"/>
      <c r="AB7" s="491"/>
      <c r="AC7" s="491"/>
      <c r="AD7" s="491"/>
      <c r="AE7" s="491"/>
      <c r="AF7" s="491"/>
      <c r="AG7" s="491"/>
      <c r="AH7" s="491"/>
      <c r="AI7" s="491"/>
      <c r="AJ7" s="491"/>
      <c r="AK7" s="491"/>
      <c r="AL7" s="491"/>
      <c r="AM7" s="491"/>
      <c r="AN7" s="491"/>
      <c r="AO7" s="491"/>
      <c r="AP7" s="491" t="s">
        <v>210</v>
      </c>
      <c r="AQ7" s="493">
        <f ca="1">IFERROR(__xludf.DUMMYFUNCTION("IFERROR(VLOOKUP(E27&amp;F27,IMPORTRANGE(""https://docs.google.com/spreadsheets/d/1Uw7-A9f9R21vMXxHZFNpYNeKFtG8_yji4HS352LGlSQ/edit?pli=1#gid=0"",""1_ACUM!A4:S""),18,FALSE))"),43934)</f>
        <v>43934</v>
      </c>
      <c r="AR7" s="493">
        <f ca="1">IFERROR(__xludf.DUMMYFUNCTION("IFERROR(VLOOKUP(E27&amp;F27,IMPORTRANGE(""https://docs.google.com/spreadsheets/d/1Uw7-A9f9R21vMXxHZFNpYNeKFtG8_yji4HS352LGlSQ/edit?pli=1#gid=0"",""1_ACUM!A4:S""),19,FALSE))"),44147)</f>
        <v>44147</v>
      </c>
      <c r="AS7" s="493">
        <f ca="1">IFERROR(__xludf.DUMMYFUNCTION("IFERROR(VLOOKUP(F27,IMPORTRANGE(""https://docs.google.com/spreadsheets/d/1Kvs4KS76FHFqLFIZfrDMff4kP08nblUkihrxltoGBjg/edit#gid=934712705"",""ESENCIAL!A6:BG""),5,FALSE))"),44328)</f>
        <v>44328</v>
      </c>
      <c r="AT7" s="493">
        <f t="shared" ca="1" si="0"/>
        <v>44877</v>
      </c>
      <c r="AU7" s="491"/>
      <c r="AV7" s="491"/>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c r="CD7" s="164"/>
      <c r="CE7" s="164"/>
      <c r="CF7" s="164"/>
      <c r="CG7" s="164"/>
      <c r="CH7" s="164"/>
      <c r="CI7" s="164"/>
      <c r="CJ7" s="164"/>
      <c r="CK7" s="164"/>
      <c r="CL7" s="164"/>
      <c r="CM7" s="164"/>
      <c r="CN7" s="164"/>
      <c r="CO7" s="164"/>
      <c r="CP7" s="164"/>
      <c r="CQ7" s="164"/>
      <c r="CR7" s="164"/>
      <c r="CS7" s="164"/>
      <c r="CT7" s="164"/>
    </row>
    <row r="8" spans="1:109" s="180" customFormat="1" ht="18" customHeight="1">
      <c r="A8" s="491" t="s">
        <v>210</v>
      </c>
      <c r="B8" s="490" t="s">
        <v>241</v>
      </c>
      <c r="C8" s="490" t="s">
        <v>27</v>
      </c>
      <c r="D8" s="490">
        <v>1004265974</v>
      </c>
      <c r="E8" s="490">
        <v>2322426</v>
      </c>
      <c r="F8" s="491" t="str">
        <f ca="1">IFERROR(__xludf.DUMMYFUNCTION("IFERROR(VLOOKUP(F68,IMPORTRANGE(""https://docs.google.com/spreadsheets/d/1Kvs4KS76FHFqLFIZfrDMff4kP08nblUkihrxltoGBjg/edit#gid=934712705"",""ESENCIAL!A6:BG""),3,FALSE))"),"TÉCNICO")</f>
        <v>TÉCNICO</v>
      </c>
      <c r="G8" s="491" t="str">
        <f ca="1">IFERROR(__xludf.DUMMYFUNCTION("IFERROR(VLOOKUP(F68,IMPORTRANGE(""https://docs.google.com/spreadsheets/d/1Kvs4KS76FHFqLFIZfrDMff4kP08nblUkihrxltoGBjg/edit#gid=934712705"",""ESENCIAL!A6:BG""),8,FALSE))"),"DIBUJO ARQUITECTÓNICO")</f>
        <v>DIBUJO ARQUITECTÓNICO</v>
      </c>
      <c r="H8" s="490">
        <v>3175553656</v>
      </c>
      <c r="I8" s="500" t="s">
        <v>242</v>
      </c>
      <c r="J8" s="490"/>
      <c r="K8" s="495" t="s">
        <v>37</v>
      </c>
      <c r="L8" s="495" t="s">
        <v>228</v>
      </c>
      <c r="M8" s="495" t="s">
        <v>229</v>
      </c>
      <c r="N8" s="495"/>
      <c r="O8" s="495"/>
      <c r="P8" s="495"/>
      <c r="Q8" s="496" t="s">
        <v>243</v>
      </c>
      <c r="R8" s="499" t="s">
        <v>244</v>
      </c>
      <c r="S8" s="495"/>
      <c r="T8" s="497"/>
      <c r="U8" s="495"/>
      <c r="V8" s="495"/>
      <c r="W8" s="491"/>
      <c r="X8" s="491"/>
      <c r="Y8" s="491"/>
      <c r="Z8" s="491"/>
      <c r="AA8" s="491"/>
      <c r="AB8" s="491"/>
      <c r="AC8" s="491"/>
      <c r="AD8" s="491"/>
      <c r="AE8" s="491"/>
      <c r="AF8" s="491"/>
      <c r="AG8" s="491"/>
      <c r="AH8" s="491"/>
      <c r="AI8" s="491"/>
      <c r="AJ8" s="491"/>
      <c r="AK8" s="491"/>
      <c r="AL8" s="491"/>
      <c r="AM8" s="491"/>
      <c r="AN8" s="491"/>
      <c r="AO8" s="491"/>
      <c r="AP8" s="491" t="s">
        <v>210</v>
      </c>
      <c r="AQ8" s="493">
        <f ca="1">IFERROR(__xludf.DUMMYFUNCTION("IFERROR(VLOOKUP(E68&amp;F68,IMPORTRANGE(""https://docs.google.com/spreadsheets/d/1Uw7-A9f9R21vMXxHZFNpYNeKFtG8_yji4HS352LGlSQ/edit?pli=1#gid=0"",""1_ACUM!A4:S""),18,FALSE))"),44348)</f>
        <v>44348</v>
      </c>
      <c r="AR8" s="493">
        <f ca="1">IFERROR(__xludf.DUMMYFUNCTION("IFERROR(VLOOKUP(E68&amp;F68,IMPORTRANGE(""https://docs.google.com/spreadsheets/d/1Uw7-A9f9R21vMXxHZFNpYNeKFtG8_yji4HS352LGlSQ/edit?pli=1#gid=0"",""1_ACUM!A4:S""),19,FALSE))"),44530)</f>
        <v>44530</v>
      </c>
      <c r="AS8" s="493">
        <f ca="1">IFERROR(__xludf.DUMMYFUNCTION("IFERROR(VLOOKUP(F68,IMPORTRANGE(""https://docs.google.com/spreadsheets/d/1Kvs4KS76FHFqLFIZfrDMff4kP08nblUkihrxltoGBjg/edit#gid=934712705"",""ESENCIAL!A6:BG""),5,FALSE))"),44712)</f>
        <v>44712</v>
      </c>
      <c r="AT8" s="493">
        <f t="shared" ca="1" si="0"/>
        <v>45260</v>
      </c>
      <c r="AU8" s="491"/>
      <c r="AV8" s="491"/>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c r="CD8" s="164"/>
      <c r="CE8" s="164"/>
      <c r="CF8" s="164"/>
      <c r="CG8" s="164"/>
      <c r="CH8" s="164"/>
      <c r="CI8" s="164"/>
      <c r="CJ8" s="164"/>
      <c r="CK8" s="164"/>
      <c r="CL8" s="164"/>
      <c r="CM8" s="164"/>
      <c r="CN8" s="164"/>
      <c r="CO8" s="164"/>
      <c r="CP8" s="164"/>
      <c r="CQ8" s="164"/>
      <c r="CR8" s="164"/>
      <c r="CS8" s="164"/>
      <c r="CT8" s="164"/>
    </row>
    <row r="9" spans="1:109" s="180" customFormat="1" ht="30" customHeight="1">
      <c r="A9" s="491" t="s">
        <v>245</v>
      </c>
      <c r="B9" s="490" t="s">
        <v>246</v>
      </c>
      <c r="C9" s="490" t="s">
        <v>27</v>
      </c>
      <c r="D9" s="490">
        <v>12181058</v>
      </c>
      <c r="E9" s="490">
        <v>2353210</v>
      </c>
      <c r="F9" s="491" t="str">
        <f ca="1">IFERROR(__xludf.DUMMYFUNCTION("IFERROR(VLOOKUP(F80,IMPORTRANGE(""https://docs.google.com/spreadsheets/d/1Kvs4KS76FHFqLFIZfrDMff4kP08nblUkihrxltoGBjg/edit#gid=934712705"",""ESENCIAL!A6:BG""),3,FALSE))"),"TÉCNICO")</f>
        <v>TÉCNICO</v>
      </c>
      <c r="G9" s="491" t="str">
        <f ca="1">IFERROR(__xludf.DUMMYFUNCTION("IFERROR(VLOOKUP(F80,IMPORTRANGE(""https://docs.google.com/spreadsheets/d/1Kvs4KS76FHFqLFIZfrDMff4kP08nblUkihrxltoGBjg/edit#gid=934712705"",""ESENCIAL!A6:BG""),8,FALSE))"),"INSTALACION DE SISTEMAS ELECTRICOS RESIDENCIALES Y COMERCIALES")</f>
        <v>INSTALACION DE SISTEMAS ELECTRICOS RESIDENCIALES Y COMERCIALES</v>
      </c>
      <c r="H9" s="490">
        <v>3103079594</v>
      </c>
      <c r="I9" s="490" t="s">
        <v>247</v>
      </c>
      <c r="J9" s="490"/>
      <c r="K9" s="495" t="s">
        <v>28</v>
      </c>
      <c r="L9" s="495" t="s">
        <v>248</v>
      </c>
      <c r="M9" s="495" t="s">
        <v>84</v>
      </c>
      <c r="N9" s="495">
        <v>3136909492</v>
      </c>
      <c r="O9" s="495"/>
      <c r="P9" s="495"/>
      <c r="Q9" s="496">
        <v>44563</v>
      </c>
      <c r="R9" s="499">
        <v>44810</v>
      </c>
      <c r="S9" s="495"/>
      <c r="T9" s="497"/>
      <c r="U9" s="495"/>
      <c r="V9" s="495"/>
      <c r="W9" s="491"/>
      <c r="X9" s="491"/>
      <c r="Y9" s="491"/>
      <c r="Z9" s="491"/>
      <c r="AA9" s="491"/>
      <c r="AB9" s="491"/>
      <c r="AC9" s="491"/>
      <c r="AD9" s="491"/>
      <c r="AE9" s="491"/>
      <c r="AF9" s="491"/>
      <c r="AG9" s="491"/>
      <c r="AH9" s="491"/>
      <c r="AI9" s="491"/>
      <c r="AJ9" s="491"/>
      <c r="AK9" s="491"/>
      <c r="AL9" s="491"/>
      <c r="AM9" s="491"/>
      <c r="AN9" s="491"/>
      <c r="AO9" s="491"/>
      <c r="AP9" s="491" t="s">
        <v>245</v>
      </c>
      <c r="AQ9" s="493"/>
      <c r="AR9" s="493"/>
      <c r="AS9" s="493"/>
      <c r="AT9" s="493"/>
      <c r="AU9" s="491"/>
      <c r="AV9" s="491"/>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c r="CD9" s="164"/>
      <c r="CE9" s="164"/>
      <c r="CF9" s="164"/>
      <c r="CG9" s="164"/>
      <c r="CH9" s="164"/>
      <c r="CI9" s="164"/>
      <c r="CJ9" s="164"/>
      <c r="CK9" s="164"/>
      <c r="CL9" s="164"/>
      <c r="CM9" s="164"/>
      <c r="CN9" s="164"/>
      <c r="CO9" s="164"/>
      <c r="CP9" s="164"/>
      <c r="CQ9" s="164"/>
      <c r="CR9" s="164"/>
      <c r="CS9" s="164"/>
      <c r="CT9" s="164"/>
    </row>
    <row r="10" spans="1:109" s="180" customFormat="1" ht="26.25" customHeight="1">
      <c r="A10" s="491" t="s">
        <v>245</v>
      </c>
      <c r="B10" s="490" t="s">
        <v>249</v>
      </c>
      <c r="C10" s="490" t="s">
        <v>27</v>
      </c>
      <c r="D10" s="490">
        <v>4929488</v>
      </c>
      <c r="E10" s="490">
        <v>2353210</v>
      </c>
      <c r="F10" s="491" t="str">
        <f ca="1">IFERROR(__xludf.DUMMYFUNCTION("IFERROR(VLOOKUP(F89,IMPORTRANGE(""https://docs.google.com/spreadsheets/d/1Kvs4KS76FHFqLFIZfrDMff4kP08nblUkihrxltoGBjg/edit#gid=934712705"",""ESENCIAL!A6:BG""),3,FALSE))"),"TÉCNICO")</f>
        <v>TÉCNICO</v>
      </c>
      <c r="G10" s="491" t="str">
        <f ca="1">IFERROR(__xludf.DUMMYFUNCTION("IFERROR(VLOOKUP(F89,IMPORTRANGE(""https://docs.google.com/spreadsheets/d/1Kvs4KS76FHFqLFIZfrDMff4kP08nblUkihrxltoGBjg/edit#gid=934712705"",""ESENCIAL!A6:BG""),8,FALSE))"),"INSTALACION DE SISTEMAS ELECTRICOS RESIDENCIALES Y COMERCIALES")</f>
        <v>INSTALACION DE SISTEMAS ELECTRICOS RESIDENCIALES Y COMERCIALES</v>
      </c>
      <c r="H10" s="490"/>
      <c r="I10" s="490"/>
      <c r="J10" s="490"/>
      <c r="K10" s="495" t="s">
        <v>250</v>
      </c>
      <c r="L10" s="495"/>
      <c r="M10" s="495" t="s">
        <v>251</v>
      </c>
      <c r="N10" s="495">
        <v>3115316269</v>
      </c>
      <c r="O10" s="495"/>
      <c r="P10" s="495"/>
      <c r="Q10" s="496">
        <v>44671</v>
      </c>
      <c r="R10" s="499">
        <v>44854</v>
      </c>
      <c r="S10" s="495"/>
      <c r="T10" s="497" t="s">
        <v>252</v>
      </c>
      <c r="U10" s="495" t="s">
        <v>253</v>
      </c>
      <c r="V10" s="495"/>
      <c r="W10" s="491"/>
      <c r="X10" s="491"/>
      <c r="Y10" s="491"/>
      <c r="Z10" s="491"/>
      <c r="AA10" s="491"/>
      <c r="AB10" s="491"/>
      <c r="AC10" s="491"/>
      <c r="AD10" s="491"/>
      <c r="AE10" s="491"/>
      <c r="AF10" s="491"/>
      <c r="AG10" s="491"/>
      <c r="AH10" s="491"/>
      <c r="AI10" s="491"/>
      <c r="AJ10" s="491"/>
      <c r="AK10" s="491"/>
      <c r="AL10" s="491"/>
      <c r="AM10" s="491"/>
      <c r="AN10" s="491"/>
      <c r="AO10" s="491"/>
      <c r="AP10" s="491" t="s">
        <v>245</v>
      </c>
      <c r="AQ10" s="493">
        <f ca="1">IFERROR(__xludf.DUMMYFUNCTION("IFERROR(VLOOKUP(E89&amp;F89,IMPORTRANGE(""https://docs.google.com/spreadsheets/d/1Uw7-A9f9R21vMXxHZFNpYNeKFtG8_yji4HS352LGlSQ/edit?pli=1#gid=0"",""1_ACUM!A4:S""),18,FALSE))"),44256)</f>
        <v>44256</v>
      </c>
      <c r="AR10" s="493">
        <f ca="1">IFERROR(__xludf.DUMMYFUNCTION("IFERROR(VLOOKUP(E89&amp;F89,IMPORTRANGE(""https://docs.google.com/spreadsheets/d/1Uw7-A9f9R21vMXxHZFNpYNeKFtG8_yji4HS352LGlSQ/edit?pli=1#gid=0"",""1_ACUM!A4:S""),19,FALSE))"),44530)</f>
        <v>44530</v>
      </c>
      <c r="AS10" s="493">
        <f ca="1">IFERROR(__xludf.DUMMYFUNCTION("IFERROR(VLOOKUP(F89,IMPORTRANGE(""https://docs.google.com/spreadsheets/d/1Kvs4KS76FHFqLFIZfrDMff4kP08nblUkihrxltoGBjg/edit#gid=934712705"",""ESENCIAL!A6:BG""),5,FALSE))"),44712)</f>
        <v>44712</v>
      </c>
      <c r="AT10" s="493">
        <f t="shared" ref="AT10:AT26" ca="1" si="1">IF(E10&gt;0,EDATE(AS10,18),"")</f>
        <v>45260</v>
      </c>
      <c r="AU10" s="491"/>
      <c r="AV10" s="491"/>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64"/>
      <c r="CE10" s="164"/>
      <c r="CF10" s="164"/>
      <c r="CG10" s="164"/>
      <c r="CH10" s="164"/>
      <c r="CI10" s="164"/>
      <c r="CJ10" s="164"/>
      <c r="CK10" s="164"/>
      <c r="CL10" s="164"/>
      <c r="CM10" s="164"/>
      <c r="CN10" s="164"/>
      <c r="CO10" s="164"/>
      <c r="CP10" s="164"/>
      <c r="CQ10" s="164"/>
      <c r="CR10" s="164"/>
      <c r="CS10" s="164"/>
      <c r="CT10" s="164"/>
    </row>
    <row r="11" spans="1:109" s="180" customFormat="1" ht="18" customHeight="1">
      <c r="A11" s="491" t="s">
        <v>245</v>
      </c>
      <c r="B11" s="490" t="s">
        <v>254</v>
      </c>
      <c r="C11" s="490" t="s">
        <v>27</v>
      </c>
      <c r="D11" s="490">
        <v>5827474</v>
      </c>
      <c r="E11" s="490">
        <v>2353210</v>
      </c>
      <c r="F11" s="491" t="str">
        <f ca="1">IFERROR(__xludf.DUMMYFUNCTION("IFERROR(VLOOKUP(F90,IMPORTRANGE(""https://docs.google.com/spreadsheets/d/1Kvs4KS76FHFqLFIZfrDMff4kP08nblUkihrxltoGBjg/edit#gid=934712705"",""ESENCIAL!A6:BG""),3,FALSE))"),"TÉCNICO")</f>
        <v>TÉCNICO</v>
      </c>
      <c r="G11" s="491" t="str">
        <f ca="1">IFERROR(__xludf.DUMMYFUNCTION("IFERROR(VLOOKUP(F90,IMPORTRANGE(""https://docs.google.com/spreadsheets/d/1Kvs4KS76FHFqLFIZfrDMff4kP08nblUkihrxltoGBjg/edit#gid=934712705"",""ESENCIAL!A6:BG""),8,FALSE))"),"INSTALACION DE SISTEMAS ELECTRICOS RESIDENCIALES Y COMERCIALES")</f>
        <v>INSTALACION DE SISTEMAS ELECTRICOS RESIDENCIALES Y COMERCIALES</v>
      </c>
      <c r="H11" s="490"/>
      <c r="I11" s="490"/>
      <c r="J11" s="490"/>
      <c r="K11" s="495" t="s">
        <v>28</v>
      </c>
      <c r="L11" s="495" t="s">
        <v>255</v>
      </c>
      <c r="M11" s="495" t="s">
        <v>256</v>
      </c>
      <c r="N11" s="495">
        <v>3115316269</v>
      </c>
      <c r="O11" s="495" t="s">
        <v>81</v>
      </c>
      <c r="P11" s="495" t="s">
        <v>257</v>
      </c>
      <c r="Q11" s="496">
        <v>44671</v>
      </c>
      <c r="R11" s="499">
        <v>44854</v>
      </c>
      <c r="S11" s="495"/>
      <c r="T11" s="497"/>
      <c r="U11" s="495"/>
      <c r="V11" s="495"/>
      <c r="W11" s="491"/>
      <c r="X11" s="491"/>
      <c r="Y11" s="491"/>
      <c r="Z11" s="491"/>
      <c r="AA11" s="491"/>
      <c r="AB11" s="491"/>
      <c r="AC11" s="491"/>
      <c r="AD11" s="491"/>
      <c r="AE11" s="491"/>
      <c r="AF11" s="491"/>
      <c r="AG11" s="491"/>
      <c r="AH11" s="491"/>
      <c r="AI11" s="491"/>
      <c r="AJ11" s="491"/>
      <c r="AK11" s="491"/>
      <c r="AL11" s="491"/>
      <c r="AM11" s="491"/>
      <c r="AN11" s="491"/>
      <c r="AO11" s="491"/>
      <c r="AP11" s="491" t="s">
        <v>245</v>
      </c>
      <c r="AQ11" s="493">
        <f ca="1">IFERROR(__xludf.DUMMYFUNCTION("IFERROR(VLOOKUP(E90&amp;F90,IMPORTRANGE(""https://docs.google.com/spreadsheets/d/1Uw7-A9f9R21vMXxHZFNpYNeKFtG8_yji4HS352LGlSQ/edit?pli=1#gid=0"",""1_ACUM!A4:S""),18,FALSE))"),44256)</f>
        <v>44256</v>
      </c>
      <c r="AR11" s="493">
        <f ca="1">IFERROR(__xludf.DUMMYFUNCTION("IFERROR(VLOOKUP(E90&amp;F90,IMPORTRANGE(""https://docs.google.com/spreadsheets/d/1Uw7-A9f9R21vMXxHZFNpYNeKFtG8_yji4HS352LGlSQ/edit?pli=1#gid=0"",""1_ACUM!A4:S""),19,FALSE))"),44530)</f>
        <v>44530</v>
      </c>
      <c r="AS11" s="493">
        <f ca="1">IFERROR(__xludf.DUMMYFUNCTION("IFERROR(VLOOKUP(F90,IMPORTRANGE(""https://docs.google.com/spreadsheets/d/1Kvs4KS76FHFqLFIZfrDMff4kP08nblUkihrxltoGBjg/edit#gid=934712705"",""ESENCIAL!A6:BG""),5,FALSE))"),44712)</f>
        <v>44712</v>
      </c>
      <c r="AT11" s="493">
        <f t="shared" ca="1" si="1"/>
        <v>45260</v>
      </c>
      <c r="AU11" s="491"/>
      <c r="AV11" s="491"/>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64"/>
      <c r="CG11" s="164"/>
      <c r="CH11" s="164"/>
      <c r="CI11" s="164"/>
      <c r="CJ11" s="164"/>
      <c r="CK11" s="164"/>
      <c r="CL11" s="164"/>
      <c r="CM11" s="164"/>
      <c r="CN11" s="164"/>
      <c r="CO11" s="164"/>
      <c r="CP11" s="164"/>
      <c r="CQ11" s="164"/>
      <c r="CR11" s="164"/>
      <c r="CS11" s="164"/>
      <c r="CT11" s="164"/>
    </row>
    <row r="12" spans="1:109" s="180" customFormat="1" ht="18" customHeight="1">
      <c r="A12" s="491" t="s">
        <v>245</v>
      </c>
      <c r="B12" s="490" t="s">
        <v>258</v>
      </c>
      <c r="C12" s="490" t="s">
        <v>27</v>
      </c>
      <c r="D12" s="490">
        <v>83041505</v>
      </c>
      <c r="E12" s="490">
        <v>2353210</v>
      </c>
      <c r="F12" s="491" t="str">
        <f ca="1">IFERROR(__xludf.DUMMYFUNCTION("IFERROR(VLOOKUP(F96,IMPORTRANGE(""https://docs.google.com/spreadsheets/d/1Kvs4KS76FHFqLFIZfrDMff4kP08nblUkihrxltoGBjg/edit#gid=934712705"",""ESENCIAL!A6:BG""),3,FALSE))"),"TÉCNICO")</f>
        <v>TÉCNICO</v>
      </c>
      <c r="G12" s="491" t="str">
        <f ca="1">IFERROR(__xludf.DUMMYFUNCTION("IFERROR(VLOOKUP(F96,IMPORTRANGE(""https://docs.google.com/spreadsheets/d/1Kvs4KS76FHFqLFIZfrDMff4kP08nblUkihrxltoGBjg/edit#gid=934712705"",""ESENCIAL!A6:BG""),8,FALSE))"),"INSTALACION DE SISTEMAS ELECTRICOS RESIDENCIALES Y COMERCIALES")</f>
        <v>INSTALACION DE SISTEMAS ELECTRICOS RESIDENCIALES Y COMERCIALES</v>
      </c>
      <c r="H12" s="490"/>
      <c r="I12" s="490"/>
      <c r="J12" s="490"/>
      <c r="K12" s="495" t="s">
        <v>37</v>
      </c>
      <c r="L12" s="495" t="s">
        <v>259</v>
      </c>
      <c r="M12" s="495"/>
      <c r="N12" s="495"/>
      <c r="O12" s="495"/>
      <c r="P12" s="495"/>
      <c r="Q12" s="496">
        <v>44627</v>
      </c>
      <c r="R12" s="499">
        <v>44813</v>
      </c>
      <c r="S12" s="495"/>
      <c r="T12" s="497"/>
      <c r="U12" s="495"/>
      <c r="V12" s="495"/>
      <c r="W12" s="491"/>
      <c r="X12" s="491"/>
      <c r="Y12" s="491"/>
      <c r="Z12" s="491"/>
      <c r="AA12" s="491"/>
      <c r="AB12" s="491"/>
      <c r="AC12" s="491"/>
      <c r="AD12" s="491"/>
      <c r="AE12" s="491"/>
      <c r="AF12" s="491"/>
      <c r="AG12" s="491"/>
      <c r="AH12" s="491"/>
      <c r="AI12" s="491"/>
      <c r="AJ12" s="491"/>
      <c r="AK12" s="491"/>
      <c r="AL12" s="491"/>
      <c r="AM12" s="491"/>
      <c r="AN12" s="491"/>
      <c r="AO12" s="491"/>
      <c r="AP12" s="491" t="s">
        <v>245</v>
      </c>
      <c r="AQ12" s="493">
        <f ca="1">IFERROR(__xludf.DUMMYFUNCTION("IFERROR(VLOOKUP(E96&amp;F96,IMPORTRANGE(""https://docs.google.com/spreadsheets/d/1Uw7-A9f9R21vMXxHZFNpYNeKFtG8_yji4HS352LGlSQ/edit?pli=1#gid=0"",""1_ACUM!A4:S""),18,FALSE))"),44256)</f>
        <v>44256</v>
      </c>
      <c r="AR12" s="493">
        <f ca="1">IFERROR(__xludf.DUMMYFUNCTION("IFERROR(VLOOKUP(E96&amp;F96,IMPORTRANGE(""https://docs.google.com/spreadsheets/d/1Uw7-A9f9R21vMXxHZFNpYNeKFtG8_yji4HS352LGlSQ/edit?pli=1#gid=0"",""1_ACUM!A4:S""),19,FALSE))"),44530)</f>
        <v>44530</v>
      </c>
      <c r="AS12" s="493">
        <f ca="1">IFERROR(__xludf.DUMMYFUNCTION("IFERROR(VLOOKUP(F96,IMPORTRANGE(""https://docs.google.com/spreadsheets/d/1Kvs4KS76FHFqLFIZfrDMff4kP08nblUkihrxltoGBjg/edit#gid=934712705"",""ESENCIAL!A6:BG""),5,FALSE))"),44712)</f>
        <v>44712</v>
      </c>
      <c r="AT12" s="493">
        <f t="shared" ca="1" si="1"/>
        <v>45260</v>
      </c>
      <c r="AU12" s="491"/>
      <c r="AV12" s="491"/>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c r="CD12" s="164"/>
      <c r="CE12" s="164"/>
      <c r="CF12" s="164"/>
      <c r="CG12" s="164"/>
      <c r="CH12" s="164"/>
      <c r="CI12" s="164"/>
      <c r="CJ12" s="164"/>
      <c r="CK12" s="164"/>
      <c r="CL12" s="164"/>
      <c r="CM12" s="164"/>
      <c r="CN12" s="164"/>
      <c r="CO12" s="164"/>
      <c r="CP12" s="164"/>
      <c r="CQ12" s="164"/>
      <c r="CR12" s="164"/>
      <c r="CS12" s="164"/>
      <c r="CT12" s="164"/>
    </row>
    <row r="13" spans="1:109" s="180" customFormat="1" ht="18" customHeight="1">
      <c r="A13" s="491" t="s">
        <v>245</v>
      </c>
      <c r="B13" s="490" t="s">
        <v>260</v>
      </c>
      <c r="C13" s="490" t="s">
        <v>27</v>
      </c>
      <c r="D13" s="490">
        <v>1003809696</v>
      </c>
      <c r="E13" s="490">
        <v>2426308</v>
      </c>
      <c r="F13" s="491" t="str">
        <f ca="1">IFERROR(__xludf.DUMMYFUNCTION("IFERROR(VLOOKUP(F98,IMPORTRANGE(""https://docs.google.com/spreadsheets/d/1Kvs4KS76FHFqLFIZfrDMff4kP08nblUkihrxltoGBjg/edit#gid=934712705"",""ESENCIAL!A6:BG""),3,FALSE))"),"TÉCNICO")</f>
        <v>TÉCNICO</v>
      </c>
      <c r="G13" s="491" t="str">
        <f ca="1">IFERROR(__xludf.DUMMYFUNCTION("IFERROR(VLOOKUP(F98,IMPORTRANGE(""https://docs.google.com/spreadsheets/d/1Kvs4KS76FHFqLFIZfrDMff4kP08nblUkihrxltoGBjg/edit#gid=934712705"",""ESENCIAL!A6:BG""),8,FALSE))"),"DIBUJO ARQUITECTÓNICO")</f>
        <v>DIBUJO ARQUITECTÓNICO</v>
      </c>
      <c r="H13" s="490"/>
      <c r="I13" s="500" t="s">
        <v>261</v>
      </c>
      <c r="J13" s="500"/>
      <c r="K13" s="495" t="s">
        <v>37</v>
      </c>
      <c r="L13" s="495" t="s">
        <v>262</v>
      </c>
      <c r="M13" s="495" t="s">
        <v>263</v>
      </c>
      <c r="N13" s="495">
        <v>8668468</v>
      </c>
      <c r="O13" s="495" t="s">
        <v>81</v>
      </c>
      <c r="P13" s="495"/>
      <c r="Q13" s="496">
        <v>44805</v>
      </c>
      <c r="R13" s="499">
        <v>44985</v>
      </c>
      <c r="S13" s="501"/>
      <c r="T13" s="497"/>
      <c r="U13" s="495" t="s">
        <v>264</v>
      </c>
      <c r="V13" s="495"/>
      <c r="W13" s="491"/>
      <c r="X13" s="491"/>
      <c r="Y13" s="491"/>
      <c r="Z13" s="491"/>
      <c r="AA13" s="491"/>
      <c r="AB13" s="491"/>
      <c r="AC13" s="491"/>
      <c r="AD13" s="491"/>
      <c r="AE13" s="491"/>
      <c r="AF13" s="491"/>
      <c r="AG13" s="491"/>
      <c r="AH13" s="491"/>
      <c r="AI13" s="491"/>
      <c r="AJ13" s="491"/>
      <c r="AK13" s="491"/>
      <c r="AL13" s="491"/>
      <c r="AM13" s="491"/>
      <c r="AN13" s="491"/>
      <c r="AO13" s="491"/>
      <c r="AP13" s="491" t="s">
        <v>245</v>
      </c>
      <c r="AQ13" s="493">
        <f ca="1">IFERROR(__xludf.DUMMYFUNCTION("IFERROR(VLOOKUP(E98&amp;F98,IMPORTRANGE(""https://docs.google.com/spreadsheets/d/1Uw7-A9f9R21vMXxHZFNpYNeKFtG8_yji4HS352LGlSQ/edit?pli=1#gid=0"",""1_ACUM!A4:S""),18,FALSE))"),44516)</f>
        <v>44516</v>
      </c>
      <c r="AR13" s="493">
        <f ca="1">IFERROR(__xludf.DUMMYFUNCTION("IFERROR(VLOOKUP(E98&amp;F98,IMPORTRANGE(""https://docs.google.com/spreadsheets/d/1Uw7-A9f9R21vMXxHZFNpYNeKFtG8_yji4HS352LGlSQ/edit?pli=1#gid=0"",""1_ACUM!A4:S""),19,FALSE))"),44757)</f>
        <v>44757</v>
      </c>
      <c r="AS13" s="493">
        <f ca="1">IFERROR(__xludf.DUMMYFUNCTION("IFERROR(VLOOKUP(F98,IMPORTRANGE(""https://docs.google.com/spreadsheets/d/1Kvs4KS76FHFqLFIZfrDMff4kP08nblUkihrxltoGBjg/edit#gid=934712705"",""ESENCIAL!A6:BG""),5,FALSE))"),44941)</f>
        <v>44941</v>
      </c>
      <c r="AT13" s="493">
        <f t="shared" ca="1" si="1"/>
        <v>45488</v>
      </c>
      <c r="AU13" s="491"/>
      <c r="AV13" s="491"/>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c r="CD13" s="164"/>
      <c r="CE13" s="164"/>
      <c r="CF13" s="164"/>
      <c r="CG13" s="164"/>
      <c r="CH13" s="164"/>
      <c r="CI13" s="164"/>
      <c r="CJ13" s="164"/>
      <c r="CK13" s="164"/>
      <c r="CL13" s="164"/>
      <c r="CM13" s="164"/>
      <c r="CN13" s="164"/>
      <c r="CO13" s="164"/>
      <c r="CP13" s="164"/>
      <c r="CQ13" s="164"/>
      <c r="CR13" s="164"/>
      <c r="CS13" s="164"/>
      <c r="CT13" s="164"/>
      <c r="CU13" s="164"/>
      <c r="CV13" s="164"/>
      <c r="CW13" s="164"/>
      <c r="CX13" s="164"/>
      <c r="CY13" s="164"/>
      <c r="CZ13" s="164"/>
      <c r="DA13" s="164"/>
      <c r="DB13" s="164"/>
      <c r="DC13" s="164"/>
      <c r="DD13" s="164"/>
      <c r="DE13" s="164"/>
    </row>
    <row r="14" spans="1:109" s="180" customFormat="1" ht="18" customHeight="1">
      <c r="A14" s="491" t="s">
        <v>210</v>
      </c>
      <c r="B14" s="490" t="s">
        <v>265</v>
      </c>
      <c r="C14" s="490" t="s">
        <v>27</v>
      </c>
      <c r="D14" s="490">
        <v>1083872747</v>
      </c>
      <c r="E14" s="490">
        <v>2500267</v>
      </c>
      <c r="F14" s="491" t="str">
        <f ca="1">IFERROR(__xludf.DUMMYFUNCTION("IFERROR(VLOOKUP(F189,IMPORTRANGE(""https://docs.google.com/spreadsheets/d/1Kvs4KS76FHFqLFIZfrDMff4kP08nblUkihrxltoGBjg/edit#gid=934712705"",""ESENCIAL!A6:BG""),3,FALSE))"),"TÉCNICO")</f>
        <v>TÉCNICO</v>
      </c>
      <c r="G14" s="491" t="str">
        <f ca="1">IFERROR(__xludf.DUMMYFUNCTION("IFERROR(VLOOKUP(F189,IMPORTRANGE(""https://docs.google.com/spreadsheets/d/1Kvs4KS76FHFqLFIZfrDMff4kP08nblUkihrxltoGBjg/edit#gid=934712705"",""ESENCIAL!A6:BG""),8,FALSE))"),"DIBUJO ARQUITECTÓNICO")</f>
        <v>DIBUJO ARQUITECTÓNICO</v>
      </c>
      <c r="H14" s="490">
        <v>313285890</v>
      </c>
      <c r="I14" s="490" t="s">
        <v>266</v>
      </c>
      <c r="J14" s="490" t="s">
        <v>84</v>
      </c>
      <c r="K14" s="495" t="s">
        <v>28</v>
      </c>
      <c r="L14" s="495" t="s">
        <v>267</v>
      </c>
      <c r="M14" s="495" t="s">
        <v>268</v>
      </c>
      <c r="N14" s="495">
        <v>8679877</v>
      </c>
      <c r="O14" s="495" t="s">
        <v>135</v>
      </c>
      <c r="P14" s="495" t="s">
        <v>269</v>
      </c>
      <c r="Q14" s="496">
        <v>44853</v>
      </c>
      <c r="R14" s="499">
        <v>44895</v>
      </c>
      <c r="S14" s="501" t="s">
        <v>270</v>
      </c>
      <c r="T14" s="497"/>
      <c r="U14" s="495"/>
      <c r="V14" s="495"/>
      <c r="W14" s="491"/>
      <c r="X14" s="491"/>
      <c r="Y14" s="491"/>
      <c r="Z14" s="491"/>
      <c r="AA14" s="491"/>
      <c r="AB14" s="491"/>
      <c r="AC14" s="491"/>
      <c r="AD14" s="491"/>
      <c r="AE14" s="491"/>
      <c r="AF14" s="491"/>
      <c r="AG14" s="491"/>
      <c r="AH14" s="491"/>
      <c r="AI14" s="491"/>
      <c r="AJ14" s="491"/>
      <c r="AK14" s="491"/>
      <c r="AL14" s="491"/>
      <c r="AM14" s="491"/>
      <c r="AN14" s="491"/>
      <c r="AO14" s="491"/>
      <c r="AP14" s="491" t="s">
        <v>210</v>
      </c>
      <c r="AQ14" s="493">
        <f ca="1">IFERROR(__xludf.DUMMYFUNCTION("IFERROR(VLOOKUP(E189&amp;F189,IMPORTRANGE(""https://docs.google.com/spreadsheets/d/1Uw7-A9f9R21vMXxHZFNpYNeKFtG8_yji4HS352LGlSQ/edit?pli=1#gid=0"",""1_ACUM!A4:S""),18,FALSE))"),44669)</f>
        <v>44669</v>
      </c>
      <c r="AR14" s="493">
        <f ca="1">IFERROR(__xludf.DUMMYFUNCTION("IFERROR(VLOOKUP(E189&amp;F189,IMPORTRANGE(""https://docs.google.com/spreadsheets/d/1Uw7-A9f9R21vMXxHZFNpYNeKFtG8_yji4HS352LGlSQ/edit?pli=1#gid=0"",""1_ACUM!A4:S""),19,FALSE))"),44851)</f>
        <v>44851</v>
      </c>
      <c r="AS14" s="493">
        <f ca="1">IFERROR(__xludf.DUMMYFUNCTION("IFERROR(VLOOKUP(F189,IMPORTRANGE(""https://docs.google.com/spreadsheets/d/1Kvs4KS76FHFqLFIZfrDMff4kP08nblUkihrxltoGBjg/edit#gid=934712705"",""ESENCIAL!A6:BG""),5,FALSE))"),45033)</f>
        <v>45033</v>
      </c>
      <c r="AT14" s="493">
        <f t="shared" ca="1" si="1"/>
        <v>45582</v>
      </c>
      <c r="AU14" s="491"/>
      <c r="AV14" s="491"/>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c r="CD14" s="164"/>
      <c r="CE14" s="164"/>
      <c r="CF14" s="164"/>
      <c r="CG14" s="164"/>
      <c r="CH14" s="164"/>
      <c r="CI14" s="164"/>
      <c r="CJ14" s="164"/>
      <c r="CK14" s="164"/>
      <c r="CL14" s="164"/>
      <c r="CM14" s="164"/>
      <c r="CN14" s="164"/>
      <c r="CO14" s="164"/>
      <c r="CP14" s="164"/>
      <c r="CQ14" s="164"/>
      <c r="CR14" s="164"/>
      <c r="CS14" s="164"/>
      <c r="CT14" s="164"/>
    </row>
    <row r="15" spans="1:109" ht="18" customHeight="1">
      <c r="A15" s="491"/>
      <c r="B15" s="490" t="s">
        <v>271</v>
      </c>
      <c r="C15" s="490" t="s">
        <v>27</v>
      </c>
      <c r="D15" s="490">
        <v>1007659432</v>
      </c>
      <c r="E15" s="490">
        <v>2166552</v>
      </c>
      <c r="F15" s="491" t="str">
        <f ca="1">IFERROR(__xludf.DUMMYFUNCTION("IFERROR(VLOOKUP(F60,IMPORTRANGE(""https://docs.google.com/spreadsheets/d/1Kvs4KS76FHFqLFIZfrDMff4kP08nblUkihrxltoGBjg/edit#gid=934712705"",""ESENCIAL!A6:BG""),3,FALSE))"),"TÉCNICO")</f>
        <v>TÉCNICO</v>
      </c>
      <c r="G15" s="491" t="str">
        <f ca="1">IFERROR(__xludf.DUMMYFUNCTION("IFERROR(VLOOKUP(F60,IMPORTRANGE(""https://docs.google.com/spreadsheets/d/1Kvs4KS76FHFqLFIZfrDMff4kP08nblUkihrxltoGBjg/edit#gid=934712705"",""ESENCIAL!A6:BG""),8,FALSE))"),"DIBUJO ARQUITECTÓNICO")</f>
        <v>DIBUJO ARQUITECTÓNICO</v>
      </c>
      <c r="H15" s="490">
        <v>3228481792</v>
      </c>
      <c r="I15" s="490" t="s">
        <v>272</v>
      </c>
      <c r="J15" s="490" t="s">
        <v>84</v>
      </c>
      <c r="K15" s="495" t="s">
        <v>44</v>
      </c>
      <c r="L15" s="495"/>
      <c r="M15" s="495"/>
      <c r="N15" s="495"/>
      <c r="O15" s="495"/>
      <c r="P15" s="495"/>
      <c r="Q15" s="496"/>
      <c r="R15" s="499"/>
      <c r="S15" s="501" t="s">
        <v>270</v>
      </c>
      <c r="T15" s="497" t="s">
        <v>273</v>
      </c>
      <c r="U15" s="495" t="s">
        <v>218</v>
      </c>
      <c r="V15" s="495"/>
      <c r="W15" s="491"/>
      <c r="X15" s="491"/>
      <c r="Y15" s="491"/>
      <c r="Z15" s="491"/>
      <c r="AA15" s="491"/>
      <c r="AB15" s="491"/>
      <c r="AC15" s="491"/>
      <c r="AD15" s="491"/>
      <c r="AE15" s="491"/>
      <c r="AF15" s="491"/>
      <c r="AG15" s="491"/>
      <c r="AH15" s="491"/>
      <c r="AI15" s="491"/>
      <c r="AJ15" s="491"/>
      <c r="AK15" s="491"/>
      <c r="AL15" s="491"/>
      <c r="AM15" s="491"/>
      <c r="AN15" s="491"/>
      <c r="AO15" s="491"/>
      <c r="AP15" s="491"/>
      <c r="AQ15" s="493">
        <f ca="1">IFERROR(__xludf.DUMMYFUNCTION("IFERROR(VLOOKUP(E60&amp;F60,IMPORTRANGE(""https://docs.google.com/spreadsheets/d/1Uw7-A9f9R21vMXxHZFNpYNeKFtG8_yji4HS352LGlSQ/edit?pli=1#gid=0"",""1_ACUM!A4:S""),18,FALSE))"),44075)</f>
        <v>44075</v>
      </c>
      <c r="AR15" s="493">
        <f ca="1">IFERROR(__xludf.DUMMYFUNCTION("IFERROR(VLOOKUP(E60&amp;F60,IMPORTRANGE(""https://docs.google.com/spreadsheets/d/1Uw7-A9f9R21vMXxHZFNpYNeKFtG8_yji4HS352LGlSQ/edit?pli=1#gid=0"",""1_ACUM!A4:S""),19,FALSE))"),44620)</f>
        <v>44620</v>
      </c>
      <c r="AS15" s="493">
        <f ca="1">IFERROR(__xludf.DUMMYFUNCTION("IFERROR(VLOOKUP(F60,IMPORTRANGE(""https://docs.google.com/spreadsheets/d/1Kvs4KS76FHFqLFIZfrDMff4kP08nblUkihrxltoGBjg/edit#gid=934712705"",""ESENCIAL!A6:BG""),5,FALSE))"),44804)</f>
        <v>44804</v>
      </c>
      <c r="AT15" s="493">
        <f t="shared" ca="1" si="1"/>
        <v>45351</v>
      </c>
      <c r="AU15" s="491"/>
      <c r="AV15" s="491"/>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c r="CD15" s="164"/>
      <c r="CE15" s="164"/>
      <c r="CF15" s="164"/>
      <c r="CG15" s="164"/>
      <c r="CH15" s="164"/>
      <c r="CI15" s="164"/>
      <c r="CJ15" s="164"/>
      <c r="CK15" s="164"/>
      <c r="CL15" s="164"/>
      <c r="CM15" s="164"/>
      <c r="CN15" s="164"/>
      <c r="CO15" s="164"/>
      <c r="CP15" s="164"/>
      <c r="CQ15" s="164"/>
      <c r="CR15" s="164"/>
      <c r="CS15" s="164"/>
      <c r="CT15" s="164"/>
    </row>
    <row r="16" spans="1:109" ht="18" customHeight="1">
      <c r="A16" s="491"/>
      <c r="B16" s="490" t="s">
        <v>274</v>
      </c>
      <c r="C16" s="490" t="s">
        <v>27</v>
      </c>
      <c r="D16" s="490">
        <v>1015476100</v>
      </c>
      <c r="E16" s="490">
        <v>2166552</v>
      </c>
      <c r="F16" s="491" t="str">
        <f ca="1">IFERROR(__xludf.DUMMYFUNCTION("IFERROR(VLOOKUP(F61,IMPORTRANGE(""https://docs.google.com/spreadsheets/d/1Kvs4KS76FHFqLFIZfrDMff4kP08nblUkihrxltoGBjg/edit#gid=934712705"",""ESENCIAL!A6:BG""),3,FALSE))"),"TÉCNICO")</f>
        <v>TÉCNICO</v>
      </c>
      <c r="G16" s="491" t="str">
        <f ca="1">IFERROR(__xludf.DUMMYFUNCTION("IFERROR(VLOOKUP(F61,IMPORTRANGE(""https://docs.google.com/spreadsheets/d/1Kvs4KS76FHFqLFIZfrDMff4kP08nblUkihrxltoGBjg/edit#gid=934712705"",""ESENCIAL!A6:BG""),8,FALSE))"),"DIBUJO ARQUITECTÓNICO")</f>
        <v>DIBUJO ARQUITECTÓNICO</v>
      </c>
      <c r="H16" s="490">
        <v>3005381626</v>
      </c>
      <c r="I16" s="490" t="s">
        <v>275</v>
      </c>
      <c r="J16" s="490"/>
      <c r="K16" s="495" t="s">
        <v>44</v>
      </c>
      <c r="L16" s="502"/>
      <c r="M16" s="495"/>
      <c r="N16" s="495"/>
      <c r="O16" s="495"/>
      <c r="P16" s="495"/>
      <c r="Q16" s="496"/>
      <c r="R16" s="499"/>
      <c r="S16" s="501" t="s">
        <v>276</v>
      </c>
      <c r="T16" s="497" t="s">
        <v>273</v>
      </c>
      <c r="U16" s="495" t="s">
        <v>218</v>
      </c>
      <c r="V16" s="495"/>
      <c r="W16" s="491"/>
      <c r="X16" s="491"/>
      <c r="Y16" s="491"/>
      <c r="Z16" s="491"/>
      <c r="AA16" s="491"/>
      <c r="AB16" s="491"/>
      <c r="AC16" s="491"/>
      <c r="AD16" s="491"/>
      <c r="AE16" s="491"/>
      <c r="AF16" s="491"/>
      <c r="AG16" s="491"/>
      <c r="AH16" s="491"/>
      <c r="AI16" s="491"/>
      <c r="AJ16" s="491"/>
      <c r="AK16" s="491"/>
      <c r="AL16" s="491"/>
      <c r="AM16" s="491"/>
      <c r="AN16" s="491"/>
      <c r="AO16" s="491"/>
      <c r="AP16" s="491"/>
      <c r="AQ16" s="493">
        <f ca="1">IFERROR(__xludf.DUMMYFUNCTION("IFERROR(VLOOKUP(E61&amp;F61,IMPORTRANGE(""https://docs.google.com/spreadsheets/d/1Uw7-A9f9R21vMXxHZFNpYNeKFtG8_yji4HS352LGlSQ/edit?pli=1#gid=0"",""1_ACUM!A4:S""),18,FALSE))"),44075)</f>
        <v>44075</v>
      </c>
      <c r="AR16" s="493">
        <f ca="1">IFERROR(__xludf.DUMMYFUNCTION("IFERROR(VLOOKUP(E61&amp;F61,IMPORTRANGE(""https://docs.google.com/spreadsheets/d/1Uw7-A9f9R21vMXxHZFNpYNeKFtG8_yji4HS352LGlSQ/edit?pli=1#gid=0"",""1_ACUM!A4:S""),19,FALSE))"),44620)</f>
        <v>44620</v>
      </c>
      <c r="AS16" s="493">
        <f ca="1">IFERROR(__xludf.DUMMYFUNCTION("IFERROR(VLOOKUP(F61,IMPORTRANGE(""https://docs.google.com/spreadsheets/d/1Kvs4KS76FHFqLFIZfrDMff4kP08nblUkihrxltoGBjg/edit#gid=934712705"",""ESENCIAL!A6:BG""),5,FALSE))"),44804)</f>
        <v>44804</v>
      </c>
      <c r="AT16" s="493">
        <f t="shared" ca="1" si="1"/>
        <v>45351</v>
      </c>
      <c r="AU16" s="491"/>
      <c r="AV16" s="491"/>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c r="CD16" s="164"/>
      <c r="CE16" s="164"/>
      <c r="CF16" s="164"/>
      <c r="CG16" s="164"/>
      <c r="CH16" s="164"/>
      <c r="CI16" s="164"/>
      <c r="CJ16" s="164"/>
      <c r="CK16" s="164"/>
      <c r="CL16" s="164"/>
      <c r="CM16" s="164"/>
      <c r="CN16" s="164"/>
      <c r="CO16" s="164"/>
      <c r="CP16" s="164"/>
      <c r="CQ16" s="164"/>
      <c r="CR16" s="164"/>
      <c r="CS16" s="164"/>
      <c r="CT16" s="164"/>
    </row>
    <row r="17" spans="1:109" ht="18" customHeight="1">
      <c r="A17" s="491"/>
      <c r="B17" s="490" t="s">
        <v>277</v>
      </c>
      <c r="C17" s="490" t="s">
        <v>27</v>
      </c>
      <c r="D17" s="490">
        <v>1053795081</v>
      </c>
      <c r="E17" s="490">
        <v>2166552</v>
      </c>
      <c r="F17" s="491" t="str">
        <f ca="1">IFERROR(__xludf.DUMMYFUNCTION("IFERROR(VLOOKUP(F62,IMPORTRANGE(""https://docs.google.com/spreadsheets/d/1Kvs4KS76FHFqLFIZfrDMff4kP08nblUkihrxltoGBjg/edit#gid=934712705"",""ESENCIAL!A6:BG""),3,FALSE))"),"TÉCNICO")</f>
        <v>TÉCNICO</v>
      </c>
      <c r="G17" s="491" t="str">
        <f ca="1">IFERROR(__xludf.DUMMYFUNCTION("IFERROR(VLOOKUP(F62,IMPORTRANGE(""https://docs.google.com/spreadsheets/d/1Kvs4KS76FHFqLFIZfrDMff4kP08nblUkihrxltoGBjg/edit#gid=934712705"",""ESENCIAL!A6:BG""),8,FALSE))"),"DIBUJO ARQUITECTÓNICO")</f>
        <v>DIBUJO ARQUITECTÓNICO</v>
      </c>
      <c r="H17" s="490">
        <v>3188210205</v>
      </c>
      <c r="I17" s="490" t="s">
        <v>278</v>
      </c>
      <c r="J17" s="490"/>
      <c r="K17" s="495" t="s">
        <v>44</v>
      </c>
      <c r="L17" s="495"/>
      <c r="M17" s="495"/>
      <c r="N17" s="495"/>
      <c r="O17" s="495"/>
      <c r="P17" s="495"/>
      <c r="Q17" s="496"/>
      <c r="R17" s="499"/>
      <c r="S17" s="501" t="s">
        <v>279</v>
      </c>
      <c r="T17" s="497" t="s">
        <v>273</v>
      </c>
      <c r="U17" s="495" t="s">
        <v>218</v>
      </c>
      <c r="V17" s="495"/>
      <c r="W17" s="491"/>
      <c r="X17" s="491"/>
      <c r="Y17" s="491"/>
      <c r="Z17" s="491"/>
      <c r="AA17" s="491"/>
      <c r="AB17" s="491"/>
      <c r="AC17" s="491"/>
      <c r="AD17" s="491"/>
      <c r="AE17" s="491"/>
      <c r="AF17" s="491"/>
      <c r="AG17" s="491"/>
      <c r="AH17" s="491"/>
      <c r="AI17" s="491"/>
      <c r="AJ17" s="491"/>
      <c r="AK17" s="491"/>
      <c r="AL17" s="491"/>
      <c r="AM17" s="491"/>
      <c r="AN17" s="491"/>
      <c r="AO17" s="491"/>
      <c r="AP17" s="491"/>
      <c r="AQ17" s="493">
        <f ca="1">IFERROR(__xludf.DUMMYFUNCTION("IFERROR(VLOOKUP(E62&amp;F62,IMPORTRANGE(""https://docs.google.com/spreadsheets/d/1Uw7-A9f9R21vMXxHZFNpYNeKFtG8_yji4HS352LGlSQ/edit?pli=1#gid=0"",""1_ACUM!A4:S""),18,FALSE))"),44075)</f>
        <v>44075</v>
      </c>
      <c r="AR17" s="493">
        <f ca="1">IFERROR(__xludf.DUMMYFUNCTION("IFERROR(VLOOKUP(E62&amp;F62,IMPORTRANGE(""https://docs.google.com/spreadsheets/d/1Uw7-A9f9R21vMXxHZFNpYNeKFtG8_yji4HS352LGlSQ/edit?pli=1#gid=0"",""1_ACUM!A4:S""),19,FALSE))"),44620)</f>
        <v>44620</v>
      </c>
      <c r="AS17" s="493">
        <f ca="1">IFERROR(__xludf.DUMMYFUNCTION("IFERROR(VLOOKUP(F62,IMPORTRANGE(""https://docs.google.com/spreadsheets/d/1Kvs4KS76FHFqLFIZfrDMff4kP08nblUkihrxltoGBjg/edit#gid=934712705"",""ESENCIAL!A6:BG""),5,FALSE))"),44804)</f>
        <v>44804</v>
      </c>
      <c r="AT17" s="493">
        <f t="shared" ca="1" si="1"/>
        <v>45351</v>
      </c>
      <c r="AU17" s="491"/>
      <c r="AV17" s="491"/>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c r="CD17" s="164"/>
      <c r="CE17" s="164"/>
      <c r="CF17" s="164"/>
      <c r="CG17" s="164"/>
      <c r="CH17" s="164"/>
      <c r="CI17" s="164"/>
      <c r="CJ17" s="164"/>
      <c r="CK17" s="164"/>
      <c r="CL17" s="164"/>
      <c r="CM17" s="164"/>
      <c r="CN17" s="164"/>
      <c r="CO17" s="164"/>
      <c r="CP17" s="164"/>
      <c r="CQ17" s="164"/>
      <c r="CR17" s="164"/>
      <c r="CS17" s="164"/>
      <c r="CT17" s="164"/>
    </row>
    <row r="18" spans="1:109" ht="9.75" customHeight="1">
      <c r="A18" s="491"/>
      <c r="B18" s="490" t="s">
        <v>280</v>
      </c>
      <c r="C18" s="490" t="s">
        <v>27</v>
      </c>
      <c r="D18" s="490">
        <v>1083866344</v>
      </c>
      <c r="E18" s="490">
        <v>2166552</v>
      </c>
      <c r="F18" s="491" t="str">
        <f ca="1">IFERROR(__xludf.DUMMYFUNCTION("IFERROR(VLOOKUP(F63,IMPORTRANGE(""https://docs.google.com/spreadsheets/d/1Kvs4KS76FHFqLFIZfrDMff4kP08nblUkihrxltoGBjg/edit#gid=934712705"",""ESENCIAL!A6:BG""),3,FALSE))"),"TÉCNICO")</f>
        <v>TÉCNICO</v>
      </c>
      <c r="G18" s="491" t="str">
        <f ca="1">IFERROR(__xludf.DUMMYFUNCTION("IFERROR(VLOOKUP(F63,IMPORTRANGE(""https://docs.google.com/spreadsheets/d/1Kvs4KS76FHFqLFIZfrDMff4kP08nblUkihrxltoGBjg/edit#gid=934712705"",""ESENCIAL!A6:BG""),8,FALSE))"),"DIBUJO ARQUITECTÓNICO")</f>
        <v>DIBUJO ARQUITECTÓNICO</v>
      </c>
      <c r="H18" s="490">
        <v>3113392379</v>
      </c>
      <c r="I18" s="490" t="s">
        <v>281</v>
      </c>
      <c r="J18" s="490"/>
      <c r="K18" s="495" t="s">
        <v>44</v>
      </c>
      <c r="L18" s="495"/>
      <c r="M18" s="495"/>
      <c r="N18" s="495"/>
      <c r="O18" s="495"/>
      <c r="P18" s="495"/>
      <c r="Q18" s="496"/>
      <c r="R18" s="499"/>
      <c r="S18" s="501" t="s">
        <v>282</v>
      </c>
      <c r="T18" s="497" t="s">
        <v>273</v>
      </c>
      <c r="U18" s="495" t="s">
        <v>218</v>
      </c>
      <c r="V18" s="495"/>
      <c r="W18" s="491"/>
      <c r="X18" s="491"/>
      <c r="Y18" s="491"/>
      <c r="Z18" s="491"/>
      <c r="AA18" s="491"/>
      <c r="AB18" s="491"/>
      <c r="AC18" s="491"/>
      <c r="AD18" s="491"/>
      <c r="AE18" s="491"/>
      <c r="AF18" s="491"/>
      <c r="AG18" s="491"/>
      <c r="AH18" s="491"/>
      <c r="AI18" s="491"/>
      <c r="AJ18" s="491"/>
      <c r="AK18" s="491"/>
      <c r="AL18" s="491"/>
      <c r="AM18" s="491"/>
      <c r="AN18" s="491"/>
      <c r="AO18" s="491"/>
      <c r="AP18" s="491"/>
      <c r="AQ18" s="493">
        <f ca="1">IFERROR(__xludf.DUMMYFUNCTION("IFERROR(VLOOKUP(E63&amp;F63,IMPORTRANGE(""https://docs.google.com/spreadsheets/d/1Uw7-A9f9R21vMXxHZFNpYNeKFtG8_yji4HS352LGlSQ/edit?pli=1#gid=0"",""1_ACUM!A4:S""),18,FALSE))"),44075)</f>
        <v>44075</v>
      </c>
      <c r="AR18" s="493">
        <f ca="1">IFERROR(__xludf.DUMMYFUNCTION("IFERROR(VLOOKUP(E63&amp;F63,IMPORTRANGE(""https://docs.google.com/spreadsheets/d/1Uw7-A9f9R21vMXxHZFNpYNeKFtG8_yji4HS352LGlSQ/edit?pli=1#gid=0"",""1_ACUM!A4:S""),19,FALSE))"),44620)</f>
        <v>44620</v>
      </c>
      <c r="AS18" s="493">
        <f ca="1">IFERROR(__xludf.DUMMYFUNCTION("IFERROR(VLOOKUP(F63,IMPORTRANGE(""https://docs.google.com/spreadsheets/d/1Kvs4KS76FHFqLFIZfrDMff4kP08nblUkihrxltoGBjg/edit#gid=934712705"",""ESENCIAL!A6:BG""),5,FALSE))"),44804)</f>
        <v>44804</v>
      </c>
      <c r="AT18" s="493">
        <f t="shared" ca="1" si="1"/>
        <v>45351</v>
      </c>
      <c r="AU18" s="491"/>
      <c r="AV18" s="491"/>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c r="CD18" s="164"/>
      <c r="CE18" s="164"/>
      <c r="CF18" s="164"/>
      <c r="CG18" s="164"/>
      <c r="CH18" s="164"/>
      <c r="CI18" s="164"/>
      <c r="CJ18" s="164"/>
      <c r="CK18" s="164"/>
      <c r="CL18" s="164"/>
      <c r="CM18" s="164"/>
      <c r="CN18" s="164"/>
      <c r="CO18" s="164"/>
      <c r="CP18" s="164"/>
      <c r="CQ18" s="164"/>
      <c r="CR18" s="164"/>
      <c r="CS18" s="164"/>
      <c r="CT18" s="164"/>
    </row>
    <row r="19" spans="1:109" ht="18" customHeight="1">
      <c r="A19" s="491" t="s">
        <v>245</v>
      </c>
      <c r="B19" s="490" t="s">
        <v>283</v>
      </c>
      <c r="C19" s="490" t="s">
        <v>27</v>
      </c>
      <c r="D19" s="490">
        <v>1083896931</v>
      </c>
      <c r="E19" s="490">
        <v>2166552</v>
      </c>
      <c r="F19" s="491" t="str">
        <f ca="1">IFERROR(__xludf.DUMMYFUNCTION("IFERROR(VLOOKUP(F64,IMPORTRANGE(""https://docs.google.com/spreadsheets/d/1Kvs4KS76FHFqLFIZfrDMff4kP08nblUkihrxltoGBjg/edit#gid=934712705"",""ESENCIAL!A6:BG""),3,FALSE))"),"TÉCNICO")</f>
        <v>TÉCNICO</v>
      </c>
      <c r="G19" s="491" t="str">
        <f ca="1">IFERROR(__xludf.DUMMYFUNCTION("IFERROR(VLOOKUP(F64,IMPORTRANGE(""https://docs.google.com/spreadsheets/d/1Kvs4KS76FHFqLFIZfrDMff4kP08nblUkihrxltoGBjg/edit#gid=934712705"",""ESENCIAL!A6:BG""),8,FALSE))"),"DIBUJO ARQUITECTÓNICO")</f>
        <v>DIBUJO ARQUITECTÓNICO</v>
      </c>
      <c r="H19" s="490"/>
      <c r="I19" s="490" t="s">
        <v>284</v>
      </c>
      <c r="J19" s="490"/>
      <c r="K19" s="495" t="s">
        <v>37</v>
      </c>
      <c r="L19" s="495" t="s">
        <v>228</v>
      </c>
      <c r="M19" s="495" t="s">
        <v>229</v>
      </c>
      <c r="N19" s="495"/>
      <c r="O19" s="495"/>
      <c r="P19" s="495"/>
      <c r="Q19" s="496">
        <v>44572</v>
      </c>
      <c r="R19" s="499">
        <v>44931</v>
      </c>
      <c r="S19" s="501" t="s">
        <v>279</v>
      </c>
      <c r="T19" s="497" t="s">
        <v>273</v>
      </c>
      <c r="U19" s="495" t="s">
        <v>218</v>
      </c>
      <c r="V19" s="495"/>
      <c r="W19" s="491"/>
      <c r="X19" s="491"/>
      <c r="Y19" s="491"/>
      <c r="Z19" s="491"/>
      <c r="AA19" s="491"/>
      <c r="AB19" s="491"/>
      <c r="AC19" s="491"/>
      <c r="AD19" s="491"/>
      <c r="AE19" s="491"/>
      <c r="AF19" s="491"/>
      <c r="AG19" s="491"/>
      <c r="AH19" s="491"/>
      <c r="AI19" s="491"/>
      <c r="AJ19" s="491"/>
      <c r="AK19" s="491"/>
      <c r="AL19" s="491"/>
      <c r="AM19" s="491"/>
      <c r="AN19" s="491"/>
      <c r="AO19" s="491"/>
      <c r="AP19" s="491" t="s">
        <v>245</v>
      </c>
      <c r="AQ19" s="493">
        <f ca="1">IFERROR(__xludf.DUMMYFUNCTION("IFERROR(VLOOKUP(E64&amp;F64,IMPORTRANGE(""https://docs.google.com/spreadsheets/d/1Uw7-A9f9R21vMXxHZFNpYNeKFtG8_yji4HS352LGlSQ/edit?pli=1#gid=0"",""1_ACUM!A4:S""),18,FALSE))"),44075)</f>
        <v>44075</v>
      </c>
      <c r="AR19" s="493">
        <f ca="1">IFERROR(__xludf.DUMMYFUNCTION("IFERROR(VLOOKUP(E64&amp;F64,IMPORTRANGE(""https://docs.google.com/spreadsheets/d/1Uw7-A9f9R21vMXxHZFNpYNeKFtG8_yji4HS352LGlSQ/edit?pli=1#gid=0"",""1_ACUM!A4:S""),19,FALSE))"),44620)</f>
        <v>44620</v>
      </c>
      <c r="AS19" s="493">
        <f ca="1">IFERROR(__xludf.DUMMYFUNCTION("IFERROR(VLOOKUP(F64,IMPORTRANGE(""https://docs.google.com/spreadsheets/d/1Kvs4KS76FHFqLFIZfrDMff4kP08nblUkihrxltoGBjg/edit#gid=934712705"",""ESENCIAL!A6:BG""),5,FALSE))"),44804)</f>
        <v>44804</v>
      </c>
      <c r="AT19" s="493">
        <f t="shared" ca="1" si="1"/>
        <v>45351</v>
      </c>
      <c r="AU19" s="491"/>
      <c r="AV19" s="491"/>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c r="CD19" s="164"/>
      <c r="CE19" s="164"/>
      <c r="CF19" s="164"/>
      <c r="CG19" s="164"/>
      <c r="CH19" s="164"/>
      <c r="CI19" s="164"/>
      <c r="CJ19" s="164"/>
      <c r="CK19" s="164"/>
      <c r="CL19" s="164"/>
      <c r="CM19" s="164"/>
      <c r="CN19" s="164"/>
      <c r="CO19" s="164"/>
      <c r="CP19" s="164"/>
      <c r="CQ19" s="164"/>
      <c r="CR19" s="164"/>
      <c r="CS19" s="164"/>
      <c r="CT19" s="164"/>
      <c r="CU19" s="164"/>
      <c r="CV19" s="164"/>
      <c r="CW19" s="164"/>
      <c r="CX19" s="164"/>
      <c r="CY19" s="164"/>
      <c r="CZ19" s="164"/>
      <c r="DA19" s="164"/>
      <c r="DB19" s="164"/>
      <c r="DC19" s="164"/>
      <c r="DD19" s="164"/>
      <c r="DE19" s="164"/>
    </row>
    <row r="20" spans="1:109" ht="18" customHeight="1">
      <c r="A20" s="491"/>
      <c r="B20" s="490" t="s">
        <v>285</v>
      </c>
      <c r="C20" s="490" t="s">
        <v>27</v>
      </c>
      <c r="D20" s="490">
        <v>1083915799</v>
      </c>
      <c r="E20" s="490">
        <v>2166552</v>
      </c>
      <c r="F20" s="491" t="str">
        <f ca="1">IFERROR(__xludf.DUMMYFUNCTION("IFERROR(VLOOKUP(F65,IMPORTRANGE(""https://docs.google.com/spreadsheets/d/1Kvs4KS76FHFqLFIZfrDMff4kP08nblUkihrxltoGBjg/edit#gid=934712705"",""ESENCIAL!A6:BG""),3,FALSE))"),"TÉCNICO")</f>
        <v>TÉCNICO</v>
      </c>
      <c r="G20" s="491" t="str">
        <f ca="1">IFERROR(__xludf.DUMMYFUNCTION("IFERROR(VLOOKUP(F65,IMPORTRANGE(""https://docs.google.com/spreadsheets/d/1Kvs4KS76FHFqLFIZfrDMff4kP08nblUkihrxltoGBjg/edit#gid=934712705"",""ESENCIAL!A6:BG""),8,FALSE))"),"DIBUJO ARQUITECTÓNICO")</f>
        <v>DIBUJO ARQUITECTÓNICO</v>
      </c>
      <c r="H20" s="490">
        <v>3173604604</v>
      </c>
      <c r="I20" s="490" t="s">
        <v>286</v>
      </c>
      <c r="J20" s="490"/>
      <c r="K20" s="495" t="s">
        <v>44</v>
      </c>
      <c r="L20" s="495"/>
      <c r="M20" s="495"/>
      <c r="N20" s="495"/>
      <c r="O20" s="495"/>
      <c r="P20" s="495"/>
      <c r="Q20" s="496"/>
      <c r="R20" s="499"/>
      <c r="S20" s="501" t="s">
        <v>282</v>
      </c>
      <c r="T20" s="497" t="s">
        <v>273</v>
      </c>
      <c r="U20" s="495" t="s">
        <v>218</v>
      </c>
      <c r="V20" s="495"/>
      <c r="W20" s="491"/>
      <c r="X20" s="491"/>
      <c r="Y20" s="491"/>
      <c r="Z20" s="491"/>
      <c r="AA20" s="491"/>
      <c r="AB20" s="491"/>
      <c r="AC20" s="491"/>
      <c r="AD20" s="491"/>
      <c r="AE20" s="491"/>
      <c r="AF20" s="491"/>
      <c r="AG20" s="491"/>
      <c r="AH20" s="491"/>
      <c r="AI20" s="491"/>
      <c r="AJ20" s="491"/>
      <c r="AK20" s="491"/>
      <c r="AL20" s="491"/>
      <c r="AM20" s="491"/>
      <c r="AN20" s="491"/>
      <c r="AO20" s="491"/>
      <c r="AP20" s="491"/>
      <c r="AQ20" s="493">
        <f ca="1">IFERROR(__xludf.DUMMYFUNCTION("IFERROR(VLOOKUP(E65&amp;F65,IMPORTRANGE(""https://docs.google.com/spreadsheets/d/1Uw7-A9f9R21vMXxHZFNpYNeKFtG8_yji4HS352LGlSQ/edit?pli=1#gid=0"",""1_ACUM!A4:S""),18,FALSE))"),44075)</f>
        <v>44075</v>
      </c>
      <c r="AR20" s="493">
        <f ca="1">IFERROR(__xludf.DUMMYFUNCTION("IFERROR(VLOOKUP(E65&amp;F65,IMPORTRANGE(""https://docs.google.com/spreadsheets/d/1Uw7-A9f9R21vMXxHZFNpYNeKFtG8_yji4HS352LGlSQ/edit?pli=1#gid=0"",""1_ACUM!A4:S""),19,FALSE))"),44620)</f>
        <v>44620</v>
      </c>
      <c r="AS20" s="493">
        <f ca="1">IFERROR(__xludf.DUMMYFUNCTION("IFERROR(VLOOKUP(F65,IMPORTRANGE(""https://docs.google.com/spreadsheets/d/1Kvs4KS76FHFqLFIZfrDMff4kP08nblUkihrxltoGBjg/edit#gid=934712705"",""ESENCIAL!A6:BG""),5,FALSE))"),44804)</f>
        <v>44804</v>
      </c>
      <c r="AT20" s="493">
        <f t="shared" ca="1" si="1"/>
        <v>45351</v>
      </c>
      <c r="AU20" s="491"/>
      <c r="AV20" s="491"/>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c r="CD20" s="164"/>
      <c r="CE20" s="164"/>
      <c r="CF20" s="164"/>
      <c r="CG20" s="164"/>
      <c r="CH20" s="164"/>
      <c r="CI20" s="164"/>
      <c r="CJ20" s="164"/>
      <c r="CK20" s="164"/>
      <c r="CL20" s="164"/>
      <c r="CM20" s="164"/>
      <c r="CN20" s="164"/>
      <c r="CO20" s="164"/>
      <c r="CP20" s="164"/>
      <c r="CQ20" s="164"/>
      <c r="CR20" s="164"/>
      <c r="CS20" s="164"/>
      <c r="CT20" s="164"/>
    </row>
    <row r="21" spans="1:109" ht="18" customHeight="1">
      <c r="A21" s="491"/>
      <c r="B21" s="490" t="s">
        <v>287</v>
      </c>
      <c r="C21" s="490" t="s">
        <v>27</v>
      </c>
      <c r="D21" s="490">
        <v>1004083218</v>
      </c>
      <c r="E21" s="490">
        <v>2322426</v>
      </c>
      <c r="F21" s="491" t="str">
        <f ca="1">IFERROR(__xludf.DUMMYFUNCTION("IFERROR(VLOOKUP(F67,IMPORTRANGE(""https://docs.google.com/spreadsheets/d/1Kvs4KS76FHFqLFIZfrDMff4kP08nblUkihrxltoGBjg/edit#gid=934712705"",""ESENCIAL!A6:BG""),3,FALSE))"),"TÉCNICO")</f>
        <v>TÉCNICO</v>
      </c>
      <c r="G21" s="491" t="str">
        <f ca="1">IFERROR(__xludf.DUMMYFUNCTION("IFERROR(VLOOKUP(F67,IMPORTRANGE(""https://docs.google.com/spreadsheets/d/1Kvs4KS76FHFqLFIZfrDMff4kP08nblUkihrxltoGBjg/edit#gid=934712705"",""ESENCIAL!A6:BG""),8,FALSE))"),"DIBUJO ARQUITECTÓNICO")</f>
        <v>DIBUJO ARQUITECTÓNICO</v>
      </c>
      <c r="H21" s="490"/>
      <c r="I21" s="490"/>
      <c r="J21" s="490"/>
      <c r="K21" s="495" t="s">
        <v>44</v>
      </c>
      <c r="L21" s="495"/>
      <c r="M21" s="495"/>
      <c r="N21" s="495"/>
      <c r="O21" s="495"/>
      <c r="P21" s="495"/>
      <c r="Q21" s="496"/>
      <c r="R21" s="499"/>
      <c r="S21" s="501" t="s">
        <v>282</v>
      </c>
      <c r="T21" s="497"/>
      <c r="U21" s="495"/>
      <c r="V21" s="495"/>
      <c r="W21" s="491"/>
      <c r="X21" s="491"/>
      <c r="Y21" s="491"/>
      <c r="Z21" s="491"/>
      <c r="AA21" s="491"/>
      <c r="AB21" s="491"/>
      <c r="AC21" s="491"/>
      <c r="AD21" s="491"/>
      <c r="AE21" s="491"/>
      <c r="AF21" s="491"/>
      <c r="AG21" s="491"/>
      <c r="AH21" s="491"/>
      <c r="AI21" s="491"/>
      <c r="AJ21" s="491"/>
      <c r="AK21" s="491"/>
      <c r="AL21" s="491"/>
      <c r="AM21" s="491"/>
      <c r="AN21" s="491"/>
      <c r="AO21" s="491"/>
      <c r="AP21" s="491"/>
      <c r="AQ21" s="493">
        <f ca="1">IFERROR(__xludf.DUMMYFUNCTION("IFERROR(VLOOKUP(E67&amp;F67,IMPORTRANGE(""https://docs.google.com/spreadsheets/d/1Uw7-A9f9R21vMXxHZFNpYNeKFtG8_yji4HS352LGlSQ/edit?pli=1#gid=0"",""1_ACUM!A4:S""),18,FALSE))"),44348)</f>
        <v>44348</v>
      </c>
      <c r="AR21" s="493">
        <f ca="1">IFERROR(__xludf.DUMMYFUNCTION("IFERROR(VLOOKUP(E67&amp;F67,IMPORTRANGE(""https://docs.google.com/spreadsheets/d/1Uw7-A9f9R21vMXxHZFNpYNeKFtG8_yji4HS352LGlSQ/edit?pli=1#gid=0"",""1_ACUM!A4:S""),19,FALSE))"),44530)</f>
        <v>44530</v>
      </c>
      <c r="AS21" s="493">
        <f ca="1">IFERROR(__xludf.DUMMYFUNCTION("IFERROR(VLOOKUP(F67,IMPORTRANGE(""https://docs.google.com/spreadsheets/d/1Kvs4KS76FHFqLFIZfrDMff4kP08nblUkihrxltoGBjg/edit#gid=934712705"",""ESENCIAL!A6:BG""),5,FALSE))"),44712)</f>
        <v>44712</v>
      </c>
      <c r="AT21" s="493">
        <f t="shared" ca="1" si="1"/>
        <v>45260</v>
      </c>
      <c r="AU21" s="491"/>
      <c r="AV21" s="491"/>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64"/>
      <c r="CG21" s="164"/>
      <c r="CH21" s="164"/>
      <c r="CI21" s="164"/>
      <c r="CJ21" s="164"/>
      <c r="CK21" s="164"/>
      <c r="CL21" s="164"/>
      <c r="CM21" s="164"/>
      <c r="CN21" s="164"/>
      <c r="CO21" s="164"/>
      <c r="CP21" s="164"/>
      <c r="CQ21" s="164"/>
      <c r="CR21" s="164"/>
      <c r="CS21" s="164"/>
      <c r="CT21" s="164"/>
    </row>
    <row r="22" spans="1:109" ht="18" customHeight="1">
      <c r="A22" s="491"/>
      <c r="B22" s="490" t="s">
        <v>288</v>
      </c>
      <c r="C22" s="490" t="s">
        <v>67</v>
      </c>
      <c r="D22" s="490">
        <v>1004440806</v>
      </c>
      <c r="E22" s="490">
        <v>2322426</v>
      </c>
      <c r="F22" s="491" t="str">
        <f ca="1">IFERROR(__xludf.DUMMYFUNCTION("IFERROR(VLOOKUP(F69,IMPORTRANGE(""https://docs.google.com/spreadsheets/d/1Kvs4KS76FHFqLFIZfrDMff4kP08nblUkihrxltoGBjg/edit#gid=934712705"",""ESENCIAL!A6:BG""),3,FALSE))"),"TÉCNICO")</f>
        <v>TÉCNICO</v>
      </c>
      <c r="G22" s="491" t="str">
        <f ca="1">IFERROR(__xludf.DUMMYFUNCTION("IFERROR(VLOOKUP(F69,IMPORTRANGE(""https://docs.google.com/spreadsheets/d/1Kvs4KS76FHFqLFIZfrDMff4kP08nblUkihrxltoGBjg/edit#gid=934712705"",""ESENCIAL!A6:BG""),8,FALSE))"),"DIBUJO ARQUITECTÓNICO")</f>
        <v>DIBUJO ARQUITECTÓNICO</v>
      </c>
      <c r="H22" s="490"/>
      <c r="I22" s="490"/>
      <c r="J22" s="490"/>
      <c r="K22" s="495" t="s">
        <v>44</v>
      </c>
      <c r="L22" s="495"/>
      <c r="M22" s="495"/>
      <c r="N22" s="495"/>
      <c r="O22" s="495"/>
      <c r="P22" s="495"/>
      <c r="Q22" s="496"/>
      <c r="R22" s="499"/>
      <c r="S22" s="501" t="s">
        <v>282</v>
      </c>
      <c r="T22" s="497"/>
      <c r="U22" s="495"/>
      <c r="V22" s="495"/>
      <c r="W22" s="491"/>
      <c r="X22" s="491"/>
      <c r="Y22" s="491"/>
      <c r="Z22" s="491"/>
      <c r="AA22" s="491"/>
      <c r="AB22" s="491"/>
      <c r="AC22" s="491"/>
      <c r="AD22" s="491"/>
      <c r="AE22" s="491"/>
      <c r="AF22" s="491"/>
      <c r="AG22" s="491"/>
      <c r="AH22" s="491"/>
      <c r="AI22" s="491"/>
      <c r="AJ22" s="491"/>
      <c r="AK22" s="491"/>
      <c r="AL22" s="491"/>
      <c r="AM22" s="491"/>
      <c r="AN22" s="491"/>
      <c r="AO22" s="491"/>
      <c r="AP22" s="491"/>
      <c r="AQ22" s="493">
        <f ca="1">IFERROR(__xludf.DUMMYFUNCTION("IFERROR(VLOOKUP(E69&amp;F69,IMPORTRANGE(""https://docs.google.com/spreadsheets/d/1Uw7-A9f9R21vMXxHZFNpYNeKFtG8_yji4HS352LGlSQ/edit?pli=1#gid=0"",""1_ACUM!A4:S""),18,FALSE))"),44348)</f>
        <v>44348</v>
      </c>
      <c r="AR22" s="493">
        <f ca="1">IFERROR(__xludf.DUMMYFUNCTION("IFERROR(VLOOKUP(E69&amp;F69,IMPORTRANGE(""https://docs.google.com/spreadsheets/d/1Uw7-A9f9R21vMXxHZFNpYNeKFtG8_yji4HS352LGlSQ/edit?pli=1#gid=0"",""1_ACUM!A4:S""),19,FALSE))"),44530)</f>
        <v>44530</v>
      </c>
      <c r="AS22" s="493">
        <f ca="1">IFERROR(__xludf.DUMMYFUNCTION("IFERROR(VLOOKUP(F69,IMPORTRANGE(""https://docs.google.com/spreadsheets/d/1Kvs4KS76FHFqLFIZfrDMff4kP08nblUkihrxltoGBjg/edit#gid=934712705"",""ESENCIAL!A6:BG""),5,FALSE))"),44712)</f>
        <v>44712</v>
      </c>
      <c r="AT22" s="493">
        <f t="shared" ca="1" si="1"/>
        <v>45260</v>
      </c>
      <c r="AU22" s="491"/>
      <c r="AV22" s="491"/>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c r="CD22" s="164"/>
      <c r="CE22" s="164"/>
      <c r="CF22" s="164"/>
      <c r="CG22" s="164"/>
      <c r="CH22" s="164"/>
      <c r="CI22" s="164"/>
      <c r="CJ22" s="164"/>
      <c r="CK22" s="164"/>
      <c r="CL22" s="164"/>
      <c r="CM22" s="164"/>
      <c r="CN22" s="164"/>
      <c r="CO22" s="164"/>
      <c r="CP22" s="164"/>
      <c r="CQ22" s="164"/>
      <c r="CR22" s="164"/>
      <c r="CS22" s="164"/>
      <c r="CT22" s="164"/>
    </row>
    <row r="23" spans="1:109" s="255" customFormat="1" ht="18" customHeight="1">
      <c r="A23" s="491"/>
      <c r="B23" s="490" t="s">
        <v>289</v>
      </c>
      <c r="C23" s="490" t="s">
        <v>27</v>
      </c>
      <c r="D23" s="490">
        <v>1007431155</v>
      </c>
      <c r="E23" s="490">
        <v>2322426</v>
      </c>
      <c r="F23" s="491" t="str">
        <f ca="1">IFERROR(__xludf.DUMMYFUNCTION("IFERROR(VLOOKUP(F70,IMPORTRANGE(""https://docs.google.com/spreadsheets/d/1Kvs4KS76FHFqLFIZfrDMff4kP08nblUkihrxltoGBjg/edit#gid=934712705"",""ESENCIAL!A6:BG""),3,FALSE))"),"TÉCNICO")</f>
        <v>TÉCNICO</v>
      </c>
      <c r="G23" s="491" t="str">
        <f ca="1">IFERROR(__xludf.DUMMYFUNCTION("IFERROR(VLOOKUP(F70,IMPORTRANGE(""https://docs.google.com/spreadsheets/d/1Kvs4KS76FHFqLFIZfrDMff4kP08nblUkihrxltoGBjg/edit#gid=934712705"",""ESENCIAL!A6:BG""),8,FALSE))"),"DIBUJO ARQUITECTÓNICO")</f>
        <v>DIBUJO ARQUITECTÓNICO</v>
      </c>
      <c r="H23" s="490"/>
      <c r="I23" s="490"/>
      <c r="J23" s="490"/>
      <c r="K23" s="495" t="s">
        <v>44</v>
      </c>
      <c r="L23" s="495"/>
      <c r="M23" s="495"/>
      <c r="N23" s="495"/>
      <c r="O23" s="495"/>
      <c r="P23" s="495"/>
      <c r="Q23" s="496"/>
      <c r="R23" s="499"/>
      <c r="S23" s="495"/>
      <c r="T23" s="497"/>
      <c r="U23" s="495"/>
      <c r="V23" s="495"/>
      <c r="W23" s="491"/>
      <c r="X23" s="491"/>
      <c r="Y23" s="491"/>
      <c r="Z23" s="491"/>
      <c r="AA23" s="491"/>
      <c r="AB23" s="491"/>
      <c r="AC23" s="491"/>
      <c r="AD23" s="491"/>
      <c r="AE23" s="491"/>
      <c r="AF23" s="491"/>
      <c r="AG23" s="491"/>
      <c r="AH23" s="491"/>
      <c r="AI23" s="491"/>
      <c r="AJ23" s="491"/>
      <c r="AK23" s="491"/>
      <c r="AL23" s="491"/>
      <c r="AM23" s="491"/>
      <c r="AN23" s="491"/>
      <c r="AO23" s="491"/>
      <c r="AP23" s="491"/>
      <c r="AQ23" s="493">
        <f ca="1">IFERROR(__xludf.DUMMYFUNCTION("IFERROR(VLOOKUP(E70&amp;F70,IMPORTRANGE(""https://docs.google.com/spreadsheets/d/1Uw7-A9f9R21vMXxHZFNpYNeKFtG8_yji4HS352LGlSQ/edit?pli=1#gid=0"",""1_ACUM!A4:S""),18,FALSE))"),44348)</f>
        <v>44348</v>
      </c>
      <c r="AR23" s="493">
        <f ca="1">IFERROR(__xludf.DUMMYFUNCTION("IFERROR(VLOOKUP(E70&amp;F70,IMPORTRANGE(""https://docs.google.com/spreadsheets/d/1Uw7-A9f9R21vMXxHZFNpYNeKFtG8_yji4HS352LGlSQ/edit?pli=1#gid=0"",""1_ACUM!A4:S""),19,FALSE))"),44530)</f>
        <v>44530</v>
      </c>
      <c r="AS23" s="493">
        <f ca="1">IFERROR(__xludf.DUMMYFUNCTION("IFERROR(VLOOKUP(F70,IMPORTRANGE(""https://docs.google.com/spreadsheets/d/1Kvs4KS76FHFqLFIZfrDMff4kP08nblUkihrxltoGBjg/edit#gid=934712705"",""ESENCIAL!A6:BG""),5,FALSE))"),44712)</f>
        <v>44712</v>
      </c>
      <c r="AT23" s="493">
        <f t="shared" ca="1" si="1"/>
        <v>45260</v>
      </c>
      <c r="AU23" s="491"/>
      <c r="AV23" s="491"/>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c r="CD23" s="164"/>
      <c r="CE23" s="164"/>
      <c r="CF23" s="164"/>
      <c r="CG23" s="164"/>
      <c r="CH23" s="164"/>
      <c r="CI23" s="164"/>
      <c r="CJ23" s="164"/>
      <c r="CK23" s="164"/>
      <c r="CL23" s="164"/>
      <c r="CM23" s="164"/>
      <c r="CN23" s="164"/>
      <c r="CO23" s="164"/>
      <c r="CP23" s="164"/>
      <c r="CQ23" s="164"/>
      <c r="CR23" s="164"/>
      <c r="CS23" s="164"/>
      <c r="CT23" s="164"/>
    </row>
    <row r="24" spans="1:109" ht="18" customHeight="1">
      <c r="A24" s="491"/>
      <c r="B24" s="490" t="s">
        <v>290</v>
      </c>
      <c r="C24" s="490" t="s">
        <v>27</v>
      </c>
      <c r="D24" s="490">
        <v>1007502855</v>
      </c>
      <c r="E24" s="490">
        <v>2322426</v>
      </c>
      <c r="F24" s="491" t="str">
        <f ca="1">IFERROR(__xludf.DUMMYFUNCTION("IFERROR(VLOOKUP(F71,IMPORTRANGE(""https://docs.google.com/spreadsheets/d/1Kvs4KS76FHFqLFIZfrDMff4kP08nblUkihrxltoGBjg/edit#gid=934712705"",""ESENCIAL!A6:BG""),3,FALSE))"),"TÉCNICO")</f>
        <v>TÉCNICO</v>
      </c>
      <c r="G24" s="491" t="str">
        <f ca="1">IFERROR(__xludf.DUMMYFUNCTION("IFERROR(VLOOKUP(F71,IMPORTRANGE(""https://docs.google.com/spreadsheets/d/1Kvs4KS76FHFqLFIZfrDMff4kP08nblUkihrxltoGBjg/edit#gid=934712705"",""ESENCIAL!A6:BG""),8,FALSE))"),"DIBUJO ARQUITECTÓNICO")</f>
        <v>DIBUJO ARQUITECTÓNICO</v>
      </c>
      <c r="H24" s="490"/>
      <c r="I24" s="490"/>
      <c r="J24" s="490"/>
      <c r="K24" s="495" t="s">
        <v>44</v>
      </c>
      <c r="L24" s="495"/>
      <c r="M24" s="495"/>
      <c r="N24" s="495"/>
      <c r="O24" s="495"/>
      <c r="P24" s="495"/>
      <c r="Q24" s="496"/>
      <c r="R24" s="499"/>
      <c r="S24" s="495"/>
      <c r="T24" s="497"/>
      <c r="U24" s="495"/>
      <c r="V24" s="495"/>
      <c r="W24" s="491"/>
      <c r="X24" s="491"/>
      <c r="Y24" s="491"/>
      <c r="Z24" s="491"/>
      <c r="AA24" s="491"/>
      <c r="AB24" s="491"/>
      <c r="AC24" s="491"/>
      <c r="AD24" s="491"/>
      <c r="AE24" s="491"/>
      <c r="AF24" s="491"/>
      <c r="AG24" s="491"/>
      <c r="AH24" s="491"/>
      <c r="AI24" s="491"/>
      <c r="AJ24" s="491"/>
      <c r="AK24" s="491"/>
      <c r="AL24" s="491"/>
      <c r="AM24" s="491"/>
      <c r="AN24" s="491"/>
      <c r="AO24" s="491"/>
      <c r="AP24" s="491"/>
      <c r="AQ24" s="493">
        <f ca="1">IFERROR(__xludf.DUMMYFUNCTION("IFERROR(VLOOKUP(E71&amp;F71,IMPORTRANGE(""https://docs.google.com/spreadsheets/d/1Uw7-A9f9R21vMXxHZFNpYNeKFtG8_yji4HS352LGlSQ/edit?pli=1#gid=0"",""1_ACUM!A4:S""),18,FALSE))"),44348)</f>
        <v>44348</v>
      </c>
      <c r="AR24" s="493">
        <f ca="1">IFERROR(__xludf.DUMMYFUNCTION("IFERROR(VLOOKUP(E71&amp;F71,IMPORTRANGE(""https://docs.google.com/spreadsheets/d/1Uw7-A9f9R21vMXxHZFNpYNeKFtG8_yji4HS352LGlSQ/edit?pli=1#gid=0"",""1_ACUM!A4:S""),19,FALSE))"),44530)</f>
        <v>44530</v>
      </c>
      <c r="AS24" s="493">
        <f ca="1">IFERROR(__xludf.DUMMYFUNCTION("IFERROR(VLOOKUP(F71,IMPORTRANGE(""https://docs.google.com/spreadsheets/d/1Kvs4KS76FHFqLFIZfrDMff4kP08nblUkihrxltoGBjg/edit#gid=934712705"",""ESENCIAL!A6:BG""),5,FALSE))"),44712)</f>
        <v>44712</v>
      </c>
      <c r="AT24" s="493">
        <f t="shared" ca="1" si="1"/>
        <v>45260</v>
      </c>
      <c r="AU24" s="491"/>
      <c r="AV24" s="491"/>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c r="CD24" s="164"/>
      <c r="CE24" s="164"/>
      <c r="CF24" s="164"/>
      <c r="CG24" s="164"/>
      <c r="CH24" s="164"/>
      <c r="CI24" s="164"/>
      <c r="CJ24" s="164"/>
      <c r="CK24" s="164"/>
      <c r="CL24" s="164"/>
      <c r="CM24" s="164"/>
      <c r="CN24" s="164"/>
      <c r="CO24" s="164"/>
      <c r="CP24" s="164"/>
      <c r="CQ24" s="164"/>
      <c r="CR24" s="164"/>
      <c r="CS24" s="164"/>
      <c r="CT24" s="164"/>
    </row>
    <row r="25" spans="1:109" ht="18" customHeight="1">
      <c r="A25" s="491" t="s">
        <v>245</v>
      </c>
      <c r="B25" s="490" t="s">
        <v>291</v>
      </c>
      <c r="C25" s="490" t="s">
        <v>27</v>
      </c>
      <c r="D25" s="490">
        <v>1007502936</v>
      </c>
      <c r="E25" s="490">
        <v>2322426</v>
      </c>
      <c r="F25" s="491" t="str">
        <f ca="1">IFERROR(__xludf.DUMMYFUNCTION("IFERROR(VLOOKUP(F72,IMPORTRANGE(""https://docs.google.com/spreadsheets/d/1Kvs4KS76FHFqLFIZfrDMff4kP08nblUkihrxltoGBjg/edit#gid=934712705"",""ESENCIAL!A6:BG""),3,FALSE))"),"TÉCNICO")</f>
        <v>TÉCNICO</v>
      </c>
      <c r="G25" s="491" t="str">
        <f ca="1">IFERROR(__xludf.DUMMYFUNCTION("IFERROR(VLOOKUP(F72,IMPORTRANGE(""https://docs.google.com/spreadsheets/d/1Kvs4KS76FHFqLFIZfrDMff4kP08nblUkihrxltoGBjg/edit#gid=934712705"",""ESENCIAL!A6:BG""),8,FALSE))"),"DIBUJO ARQUITECTÓNICO")</f>
        <v>DIBUJO ARQUITECTÓNICO</v>
      </c>
      <c r="H25" s="490"/>
      <c r="I25" s="490">
        <v>3108648235</v>
      </c>
      <c r="J25" s="490" t="s">
        <v>292</v>
      </c>
      <c r="K25" s="495" t="s">
        <v>28</v>
      </c>
      <c r="L25" s="495" t="s">
        <v>293</v>
      </c>
      <c r="M25" s="495" t="s">
        <v>294</v>
      </c>
      <c r="N25" s="495" t="s">
        <v>295</v>
      </c>
      <c r="O25" s="495">
        <v>3136909492</v>
      </c>
      <c r="P25" s="495" t="s">
        <v>296</v>
      </c>
      <c r="Q25" s="496">
        <v>44777</v>
      </c>
      <c r="R25" s="499">
        <v>44960</v>
      </c>
      <c r="S25" s="495"/>
      <c r="T25" s="491"/>
      <c r="U25" s="495" t="s">
        <v>297</v>
      </c>
      <c r="V25" s="495"/>
      <c r="W25" s="491"/>
      <c r="X25" s="491"/>
      <c r="Y25" s="491"/>
      <c r="Z25" s="491"/>
      <c r="AA25" s="491"/>
      <c r="AB25" s="491"/>
      <c r="AC25" s="491"/>
      <c r="AD25" s="491"/>
      <c r="AE25" s="491"/>
      <c r="AF25" s="491"/>
      <c r="AG25" s="491"/>
      <c r="AH25" s="491"/>
      <c r="AI25" s="491"/>
      <c r="AJ25" s="491"/>
      <c r="AK25" s="491"/>
      <c r="AL25" s="491"/>
      <c r="AM25" s="491"/>
      <c r="AN25" s="491"/>
      <c r="AO25" s="491"/>
      <c r="AP25" s="491" t="s">
        <v>245</v>
      </c>
      <c r="AQ25" s="493">
        <f ca="1">IFERROR(__xludf.DUMMYFUNCTION("IFERROR(VLOOKUP(E72&amp;F72,IMPORTRANGE(""https://docs.google.com/spreadsheets/d/1Uw7-A9f9R21vMXxHZFNpYNeKFtG8_yji4HS352LGlSQ/edit?pli=1#gid=0"",""1_ACUM!A4:S""),18,FALSE))"),44348)</f>
        <v>44348</v>
      </c>
      <c r="AR25" s="493">
        <f ca="1">IFERROR(__xludf.DUMMYFUNCTION("IFERROR(VLOOKUP(E72&amp;F72,IMPORTRANGE(""https://docs.google.com/spreadsheets/d/1Uw7-A9f9R21vMXxHZFNpYNeKFtG8_yji4HS352LGlSQ/edit?pli=1#gid=0"",""1_ACUM!A4:S""),19,FALSE))"),44530)</f>
        <v>44530</v>
      </c>
      <c r="AS25" s="493">
        <f ca="1">IFERROR(__xludf.DUMMYFUNCTION("IFERROR(VLOOKUP(F72,IMPORTRANGE(""https://docs.google.com/spreadsheets/d/1Kvs4KS76FHFqLFIZfrDMff4kP08nblUkihrxltoGBjg/edit#gid=934712705"",""ESENCIAL!A6:BG""),5,FALSE))"),44712)</f>
        <v>44712</v>
      </c>
      <c r="AT25" s="493">
        <f t="shared" ca="1" si="1"/>
        <v>45260</v>
      </c>
      <c r="AU25" s="491"/>
      <c r="AV25" s="491"/>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c r="CE25" s="164"/>
      <c r="CF25" s="164"/>
      <c r="CG25" s="164"/>
      <c r="CH25" s="164"/>
      <c r="CI25" s="164"/>
      <c r="CJ25" s="164"/>
      <c r="CK25" s="164"/>
      <c r="CL25" s="164"/>
      <c r="CM25" s="164"/>
      <c r="CN25" s="164"/>
      <c r="CO25" s="164"/>
      <c r="CP25" s="164"/>
      <c r="CQ25" s="164"/>
      <c r="CR25" s="164"/>
      <c r="CS25" s="164"/>
      <c r="CT25" s="164"/>
      <c r="CU25" s="164"/>
      <c r="CV25" s="164"/>
      <c r="CW25" s="164"/>
      <c r="CX25" s="164"/>
      <c r="CY25" s="164"/>
      <c r="CZ25" s="164"/>
      <c r="DA25" s="164"/>
      <c r="DB25" s="164"/>
      <c r="DC25" s="164"/>
      <c r="DD25" s="164"/>
      <c r="DE25" s="164"/>
    </row>
    <row r="26" spans="1:109" ht="18" customHeight="1">
      <c r="A26" s="491"/>
      <c r="B26" s="490" t="s">
        <v>298</v>
      </c>
      <c r="C26" s="490" t="s">
        <v>27</v>
      </c>
      <c r="D26" s="490">
        <v>1007502944</v>
      </c>
      <c r="E26" s="490">
        <v>2322426</v>
      </c>
      <c r="F26" s="491" t="str">
        <f ca="1">IFERROR(__xludf.DUMMYFUNCTION("IFERROR(VLOOKUP(F73,IMPORTRANGE(""https://docs.google.com/spreadsheets/d/1Kvs4KS76FHFqLFIZfrDMff4kP08nblUkihrxltoGBjg/edit#gid=934712705"",""ESENCIAL!A6:BG""),3,FALSE))"),"TÉCNICO")</f>
        <v>TÉCNICO</v>
      </c>
      <c r="G26" s="491" t="str">
        <f ca="1">IFERROR(__xludf.DUMMYFUNCTION("IFERROR(VLOOKUP(F73,IMPORTRANGE(""https://docs.google.com/spreadsheets/d/1Kvs4KS76FHFqLFIZfrDMff4kP08nblUkihrxltoGBjg/edit#gid=934712705"",""ESENCIAL!A6:BG""),8,FALSE))"),"DIBUJO ARQUITECTÓNICO")</f>
        <v>DIBUJO ARQUITECTÓNICO</v>
      </c>
      <c r="H26" s="490"/>
      <c r="I26" s="490"/>
      <c r="J26" s="490"/>
      <c r="K26" s="495" t="s">
        <v>44</v>
      </c>
      <c r="L26" s="495"/>
      <c r="M26" s="495"/>
      <c r="N26" s="495"/>
      <c r="O26" s="495"/>
      <c r="P26" s="495"/>
      <c r="Q26" s="496"/>
      <c r="R26" s="499"/>
      <c r="S26" s="495"/>
      <c r="T26" s="497"/>
      <c r="U26" s="495"/>
      <c r="V26" s="495"/>
      <c r="W26" s="491"/>
      <c r="X26" s="491"/>
      <c r="Y26" s="491"/>
      <c r="Z26" s="491"/>
      <c r="AA26" s="491"/>
      <c r="AB26" s="491"/>
      <c r="AC26" s="491"/>
      <c r="AD26" s="491"/>
      <c r="AE26" s="491"/>
      <c r="AF26" s="491"/>
      <c r="AG26" s="491"/>
      <c r="AH26" s="491"/>
      <c r="AI26" s="491"/>
      <c r="AJ26" s="491"/>
      <c r="AK26" s="491"/>
      <c r="AL26" s="491"/>
      <c r="AM26" s="491"/>
      <c r="AN26" s="491"/>
      <c r="AO26" s="491"/>
      <c r="AP26" s="491"/>
      <c r="AQ26" s="493">
        <f ca="1">IFERROR(__xludf.DUMMYFUNCTION("IFERROR(VLOOKUP(E73&amp;F73,IMPORTRANGE(""https://docs.google.com/spreadsheets/d/1Uw7-A9f9R21vMXxHZFNpYNeKFtG8_yji4HS352LGlSQ/edit?pli=1#gid=0"",""1_ACUM!A4:S""),18,FALSE))"),44348)</f>
        <v>44348</v>
      </c>
      <c r="AR26" s="493">
        <f ca="1">IFERROR(__xludf.DUMMYFUNCTION("IFERROR(VLOOKUP(E73&amp;F73,IMPORTRANGE(""https://docs.google.com/spreadsheets/d/1Uw7-A9f9R21vMXxHZFNpYNeKFtG8_yji4HS352LGlSQ/edit?pli=1#gid=0"",""1_ACUM!A4:S""),19,FALSE))"),44530)</f>
        <v>44530</v>
      </c>
      <c r="AS26" s="493">
        <f ca="1">IFERROR(__xludf.DUMMYFUNCTION("IFERROR(VLOOKUP(F73,IMPORTRANGE(""https://docs.google.com/spreadsheets/d/1Kvs4KS76FHFqLFIZfrDMff4kP08nblUkihrxltoGBjg/edit#gid=934712705"",""ESENCIAL!A6:BG""),5,FALSE))"),44712)</f>
        <v>44712</v>
      </c>
      <c r="AT26" s="493">
        <f t="shared" ca="1" si="1"/>
        <v>45260</v>
      </c>
      <c r="AU26" s="491"/>
      <c r="AV26" s="491"/>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c r="CD26" s="164"/>
      <c r="CE26" s="164"/>
      <c r="CF26" s="164"/>
      <c r="CG26" s="164"/>
      <c r="CH26" s="164"/>
      <c r="CI26" s="164"/>
      <c r="CJ26" s="164"/>
      <c r="CK26" s="164"/>
      <c r="CL26" s="164"/>
      <c r="CM26" s="164"/>
      <c r="CN26" s="164"/>
      <c r="CO26" s="164"/>
      <c r="CP26" s="164"/>
      <c r="CQ26" s="164"/>
      <c r="CR26" s="164"/>
      <c r="CS26" s="164"/>
      <c r="CT26" s="164"/>
    </row>
    <row r="27" spans="1:109" s="180" customFormat="1" ht="18" customHeight="1">
      <c r="A27" s="491"/>
      <c r="B27" s="490" t="s">
        <v>299</v>
      </c>
      <c r="C27" s="490" t="s">
        <v>27</v>
      </c>
      <c r="D27" s="490">
        <v>1007745429</v>
      </c>
      <c r="E27" s="490">
        <v>2322426</v>
      </c>
      <c r="F27" s="491" t="str">
        <f ca="1">IFERROR(__xludf.DUMMYFUNCTION("IFERROR(VLOOKUP(F73,IMPORTRANGE(""https://docs.google.com/spreadsheets/d/1Kvs4KS76FHFqLFIZfrDMff4kP08nblUkihrxltoGBjg/edit#gid=934712705"",""ESENCIAL!A6:BG""),3,FALSE))"),"TÉCNICO")</f>
        <v>TÉCNICO</v>
      </c>
      <c r="G27" s="491" t="str">
        <f ca="1">IFERROR(__xludf.DUMMYFUNCTION("IFERROR(VLOOKUP(F73,IMPORTRANGE(""https://docs.google.com/spreadsheets/d/1Kvs4KS76FHFqLFIZfrDMff4kP08nblUkihrxltoGBjg/edit#gid=934712705"",""ESENCIAL!A6:BG""),8,FALSE))"),"DIBUJO ARQUITECTÓNICO")</f>
        <v>DIBUJO ARQUITECTÓNICO</v>
      </c>
      <c r="H27" s="490"/>
      <c r="I27" s="490"/>
      <c r="J27" s="490"/>
      <c r="K27" s="495" t="s">
        <v>44</v>
      </c>
      <c r="L27" s="495"/>
      <c r="M27" s="495"/>
      <c r="N27" s="495"/>
      <c r="O27" s="495"/>
      <c r="P27" s="495"/>
      <c r="Q27" s="496"/>
      <c r="R27" s="499"/>
      <c r="S27" s="495"/>
      <c r="T27" s="497"/>
      <c r="U27" s="495"/>
      <c r="V27" s="495"/>
      <c r="W27" s="491"/>
      <c r="X27" s="491"/>
      <c r="Y27" s="491"/>
      <c r="Z27" s="491"/>
      <c r="AA27" s="491"/>
      <c r="AB27" s="491"/>
      <c r="AC27" s="491"/>
      <c r="AD27" s="491"/>
      <c r="AE27" s="491"/>
      <c r="AF27" s="491"/>
      <c r="AG27" s="491"/>
      <c r="AH27" s="491"/>
      <c r="AI27" s="491"/>
      <c r="AJ27" s="491"/>
      <c r="AK27" s="491"/>
      <c r="AL27" s="491"/>
      <c r="AM27" s="491"/>
      <c r="AN27" s="491"/>
      <c r="AO27" s="491"/>
      <c r="AP27" s="491"/>
      <c r="AQ27" s="493"/>
      <c r="AR27" s="493"/>
      <c r="AS27" s="493"/>
      <c r="AT27" s="493"/>
      <c r="AU27" s="491"/>
      <c r="AV27" s="491"/>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c r="CD27" s="164"/>
      <c r="CE27" s="164"/>
      <c r="CF27" s="164"/>
      <c r="CG27" s="164"/>
      <c r="CH27" s="164"/>
      <c r="CI27" s="164"/>
      <c r="CJ27" s="164"/>
      <c r="CK27" s="164"/>
      <c r="CL27" s="164"/>
      <c r="CM27" s="164"/>
      <c r="CN27" s="164"/>
      <c r="CO27" s="164"/>
      <c r="CP27" s="164"/>
      <c r="CQ27" s="164"/>
      <c r="CR27" s="164"/>
      <c r="CS27" s="164"/>
      <c r="CT27" s="164"/>
    </row>
    <row r="28" spans="1:109" ht="18" customHeight="1">
      <c r="A28" s="491"/>
      <c r="B28" s="490" t="s">
        <v>300</v>
      </c>
      <c r="C28" s="490" t="s">
        <v>27</v>
      </c>
      <c r="D28" s="490">
        <v>1007871124</v>
      </c>
      <c r="E28" s="490">
        <v>2322426</v>
      </c>
      <c r="F28" s="491" t="str">
        <f ca="1">IFERROR(__xludf.DUMMYFUNCTION("IFERROR(VLOOKUP(F73,IMPORTRANGE(""https://docs.google.com/spreadsheets/d/1Kvs4KS76FHFqLFIZfrDMff4kP08nblUkihrxltoGBjg/edit#gid=934712705"",""ESENCIAL!A6:BG""),3,FALSE))"),"TÉCNICO")</f>
        <v>TÉCNICO</v>
      </c>
      <c r="G28" s="491" t="str">
        <f ca="1">IFERROR(__xludf.DUMMYFUNCTION("IFERROR(VLOOKUP(F73,IMPORTRANGE(""https://docs.google.com/spreadsheets/d/1Kvs4KS76FHFqLFIZfrDMff4kP08nblUkihrxltoGBjg/edit#gid=934712705"",""ESENCIAL!A6:BG""),8,FALSE))"),"DIBUJO ARQUITECTÓNICO")</f>
        <v>DIBUJO ARQUITECTÓNICO</v>
      </c>
      <c r="H28" s="490"/>
      <c r="I28" s="490"/>
      <c r="J28" s="490"/>
      <c r="K28" s="495" t="s">
        <v>44</v>
      </c>
      <c r="L28" s="495"/>
      <c r="M28" s="495"/>
      <c r="N28" s="495"/>
      <c r="O28" s="495"/>
      <c r="P28" s="495"/>
      <c r="Q28" s="496"/>
      <c r="R28" s="499"/>
      <c r="S28" s="495"/>
      <c r="T28" s="497"/>
      <c r="U28" s="495"/>
      <c r="V28" s="495"/>
      <c r="W28" s="491"/>
      <c r="X28" s="491"/>
      <c r="Y28" s="491"/>
      <c r="Z28" s="491"/>
      <c r="AA28" s="491"/>
      <c r="AB28" s="491"/>
      <c r="AC28" s="491"/>
      <c r="AD28" s="491"/>
      <c r="AE28" s="491"/>
      <c r="AF28" s="491"/>
      <c r="AG28" s="491"/>
      <c r="AH28" s="491"/>
      <c r="AI28" s="491"/>
      <c r="AJ28" s="491"/>
      <c r="AK28" s="491"/>
      <c r="AL28" s="491"/>
      <c r="AM28" s="491"/>
      <c r="AN28" s="491"/>
      <c r="AO28" s="491"/>
      <c r="AP28" s="491"/>
      <c r="AQ28" s="493">
        <f ca="1">IFERROR(__xludf.DUMMYFUNCTION("IFERROR(VLOOKUP(E74&amp;F74,IMPORTRANGE(""https://docs.google.com/spreadsheets/d/1Uw7-A9f9R21vMXxHZFNpYNeKFtG8_yji4HS352LGlSQ/edit?pli=1#gid=0"",""1_ACUM!A4:S""),18,FALSE))"),44348)</f>
        <v>44348</v>
      </c>
      <c r="AR28" s="493">
        <f ca="1">IFERROR(__xludf.DUMMYFUNCTION("IFERROR(VLOOKUP(E74&amp;F74,IMPORTRANGE(""https://docs.google.com/spreadsheets/d/1Uw7-A9f9R21vMXxHZFNpYNeKFtG8_yji4HS352LGlSQ/edit?pli=1#gid=0"",""1_ACUM!A4:S""),19,FALSE))"),44530)</f>
        <v>44530</v>
      </c>
      <c r="AS28" s="493">
        <f ca="1">IFERROR(__xludf.DUMMYFUNCTION("IFERROR(VLOOKUP(F74,IMPORTRANGE(""https://docs.google.com/spreadsheets/d/1Kvs4KS76FHFqLFIZfrDMff4kP08nblUkihrxltoGBjg/edit#gid=934712705"",""ESENCIAL!A6:BG""),5,FALSE))"),44712)</f>
        <v>44712</v>
      </c>
      <c r="AT28" s="493">
        <f t="shared" ref="AT28:AT59" ca="1" si="2">IF(E28&gt;0,EDATE(AS28,18),"")</f>
        <v>45260</v>
      </c>
      <c r="AU28" s="491"/>
      <c r="AV28" s="491"/>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c r="CD28" s="164"/>
      <c r="CE28" s="164"/>
      <c r="CF28" s="164"/>
      <c r="CG28" s="164"/>
      <c r="CH28" s="164"/>
      <c r="CI28" s="164"/>
      <c r="CJ28" s="164"/>
      <c r="CK28" s="164"/>
      <c r="CL28" s="164"/>
      <c r="CM28" s="164"/>
      <c r="CN28" s="164"/>
      <c r="CO28" s="164"/>
      <c r="CP28" s="164"/>
      <c r="CQ28" s="164"/>
      <c r="CR28" s="164"/>
      <c r="CS28" s="164"/>
      <c r="CT28" s="164"/>
    </row>
    <row r="29" spans="1:109" ht="18" customHeight="1">
      <c r="A29" s="491"/>
      <c r="B29" s="490" t="s">
        <v>301</v>
      </c>
      <c r="C29" s="490" t="s">
        <v>27</v>
      </c>
      <c r="D29" s="490">
        <v>1081418370</v>
      </c>
      <c r="E29" s="490">
        <v>2322426</v>
      </c>
      <c r="F29" s="491" t="str">
        <f ca="1">IFERROR(__xludf.DUMMYFUNCTION("IFERROR(VLOOKUP(F76,IMPORTRANGE(""https://docs.google.com/spreadsheets/d/1Kvs4KS76FHFqLFIZfrDMff4kP08nblUkihrxltoGBjg/edit#gid=934712705"",""ESENCIAL!A6:BG""),3,FALSE))"),"TÉCNICO")</f>
        <v>TÉCNICO</v>
      </c>
      <c r="G29" s="491" t="str">
        <f ca="1">IFERROR(__xludf.DUMMYFUNCTION("IFERROR(VLOOKUP(F76,IMPORTRANGE(""https://docs.google.com/spreadsheets/d/1Kvs4KS76FHFqLFIZfrDMff4kP08nblUkihrxltoGBjg/edit#gid=934712705"",""ESENCIAL!A6:BG""),8,FALSE))"),"DIBUJO ARQUITECTÓNICO")</f>
        <v>DIBUJO ARQUITECTÓNICO</v>
      </c>
      <c r="H29" s="490"/>
      <c r="I29" s="490"/>
      <c r="J29" s="490"/>
      <c r="K29" s="495" t="s">
        <v>44</v>
      </c>
      <c r="L29" s="495"/>
      <c r="M29" s="495"/>
      <c r="N29" s="495"/>
      <c r="O29" s="495"/>
      <c r="P29" s="495"/>
      <c r="Q29" s="496"/>
      <c r="R29" s="499"/>
      <c r="S29" s="495"/>
      <c r="T29" s="497"/>
      <c r="U29" s="495"/>
      <c r="V29" s="495"/>
      <c r="W29" s="491"/>
      <c r="X29" s="491"/>
      <c r="Y29" s="491"/>
      <c r="Z29" s="491"/>
      <c r="AA29" s="491"/>
      <c r="AB29" s="491"/>
      <c r="AC29" s="491"/>
      <c r="AD29" s="491"/>
      <c r="AE29" s="491"/>
      <c r="AF29" s="491"/>
      <c r="AG29" s="491"/>
      <c r="AH29" s="491"/>
      <c r="AI29" s="491"/>
      <c r="AJ29" s="491"/>
      <c r="AK29" s="491"/>
      <c r="AL29" s="491"/>
      <c r="AM29" s="491"/>
      <c r="AN29" s="491"/>
      <c r="AO29" s="491"/>
      <c r="AP29" s="491"/>
      <c r="AQ29" s="493">
        <f ca="1">IFERROR(__xludf.DUMMYFUNCTION("IFERROR(VLOOKUP(E76&amp;F76,IMPORTRANGE(""https://docs.google.com/spreadsheets/d/1Uw7-A9f9R21vMXxHZFNpYNeKFtG8_yji4HS352LGlSQ/edit?pli=1#gid=0"",""1_ACUM!A4:S""),18,FALSE))"),44348)</f>
        <v>44348</v>
      </c>
      <c r="AR29" s="493">
        <f ca="1">IFERROR(__xludf.DUMMYFUNCTION("IFERROR(VLOOKUP(E76&amp;F76,IMPORTRANGE(""https://docs.google.com/spreadsheets/d/1Uw7-A9f9R21vMXxHZFNpYNeKFtG8_yji4HS352LGlSQ/edit?pli=1#gid=0"",""1_ACUM!A4:S""),19,FALSE))"),44530)</f>
        <v>44530</v>
      </c>
      <c r="AS29" s="493">
        <f ca="1">IFERROR(__xludf.DUMMYFUNCTION("IFERROR(VLOOKUP(F76,IMPORTRANGE(""https://docs.google.com/spreadsheets/d/1Kvs4KS76FHFqLFIZfrDMff4kP08nblUkihrxltoGBjg/edit#gid=934712705"",""ESENCIAL!A6:BG""),5,FALSE))"),44712)</f>
        <v>44712</v>
      </c>
      <c r="AT29" s="493">
        <f t="shared" ca="1" si="2"/>
        <v>45260</v>
      </c>
      <c r="AU29" s="491"/>
      <c r="AV29" s="491"/>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c r="CD29" s="164"/>
      <c r="CE29" s="164"/>
      <c r="CF29" s="164"/>
      <c r="CG29" s="164"/>
      <c r="CH29" s="164"/>
      <c r="CI29" s="164"/>
      <c r="CJ29" s="164"/>
      <c r="CK29" s="164"/>
      <c r="CL29" s="164"/>
      <c r="CM29" s="164"/>
      <c r="CN29" s="164"/>
      <c r="CO29" s="164"/>
      <c r="CP29" s="164"/>
      <c r="CQ29" s="164"/>
      <c r="CR29" s="164"/>
      <c r="CS29" s="164"/>
      <c r="CT29" s="164"/>
    </row>
    <row r="30" spans="1:109" ht="18" customHeight="1">
      <c r="A30" s="491" t="s">
        <v>245</v>
      </c>
      <c r="B30" s="490" t="s">
        <v>302</v>
      </c>
      <c r="C30" s="490" t="s">
        <v>67</v>
      </c>
      <c r="D30" s="490">
        <v>1081699610</v>
      </c>
      <c r="E30" s="490">
        <v>2322426</v>
      </c>
      <c r="F30" s="491" t="str">
        <f ca="1">IFERROR(__xludf.DUMMYFUNCTION("IFERROR(VLOOKUP(F77,IMPORTRANGE(""https://docs.google.com/spreadsheets/d/1Kvs4KS76FHFqLFIZfrDMff4kP08nblUkihrxltoGBjg/edit#gid=934712705"",""ESENCIAL!A6:BG""),3,FALSE))"),"TÉCNICO")</f>
        <v>TÉCNICO</v>
      </c>
      <c r="G30" s="491" t="str">
        <f ca="1">IFERROR(__xludf.DUMMYFUNCTION("IFERROR(VLOOKUP(F77,IMPORTRANGE(""https://docs.google.com/spreadsheets/d/1Kvs4KS76FHFqLFIZfrDMff4kP08nblUkihrxltoGBjg/edit#gid=934712705"",""ESENCIAL!A6:BG""),8,FALSE))"),"DIBUJO ARQUITECTÓNICO")</f>
        <v>DIBUJO ARQUITECTÓNICO</v>
      </c>
      <c r="H30" s="490"/>
      <c r="I30" s="490"/>
      <c r="J30" s="490"/>
      <c r="K30" s="495" t="s">
        <v>37</v>
      </c>
      <c r="L30" s="495" t="s">
        <v>228</v>
      </c>
      <c r="M30" s="495" t="s">
        <v>229</v>
      </c>
      <c r="N30" s="495"/>
      <c r="O30" s="495">
        <v>3002105865</v>
      </c>
      <c r="P30" s="495" t="s">
        <v>230</v>
      </c>
      <c r="Q30" s="496" t="s">
        <v>303</v>
      </c>
      <c r="R30" s="499" t="s">
        <v>304</v>
      </c>
      <c r="S30" s="495"/>
      <c r="T30" s="497"/>
      <c r="U30" s="495"/>
      <c r="V30" s="495"/>
      <c r="W30" s="491"/>
      <c r="X30" s="491"/>
      <c r="Y30" s="491"/>
      <c r="Z30" s="491"/>
      <c r="AA30" s="491"/>
      <c r="AB30" s="491"/>
      <c r="AC30" s="491"/>
      <c r="AD30" s="491"/>
      <c r="AE30" s="491"/>
      <c r="AF30" s="491"/>
      <c r="AG30" s="491"/>
      <c r="AH30" s="491"/>
      <c r="AI30" s="491"/>
      <c r="AJ30" s="491"/>
      <c r="AK30" s="491"/>
      <c r="AL30" s="491"/>
      <c r="AM30" s="491"/>
      <c r="AN30" s="491"/>
      <c r="AO30" s="491"/>
      <c r="AP30" s="491" t="s">
        <v>245</v>
      </c>
      <c r="AQ30" s="493">
        <f ca="1">IFERROR(__xludf.DUMMYFUNCTION("IFERROR(VLOOKUP(E77&amp;F77,IMPORTRANGE(""https://docs.google.com/spreadsheets/d/1Uw7-A9f9R21vMXxHZFNpYNeKFtG8_yji4HS352LGlSQ/edit?pli=1#gid=0"",""1_ACUM!A4:S""),18,FALSE))"),44348)</f>
        <v>44348</v>
      </c>
      <c r="AR30" s="493">
        <f ca="1">IFERROR(__xludf.DUMMYFUNCTION("IFERROR(VLOOKUP(E77&amp;F77,IMPORTRANGE(""https://docs.google.com/spreadsheets/d/1Uw7-A9f9R21vMXxHZFNpYNeKFtG8_yji4HS352LGlSQ/edit?pli=1#gid=0"",""1_ACUM!A4:S""),19,FALSE))"),44530)</f>
        <v>44530</v>
      </c>
      <c r="AS30" s="493">
        <f ca="1">IFERROR(__xludf.DUMMYFUNCTION("IFERROR(VLOOKUP(F77,IMPORTRANGE(""https://docs.google.com/spreadsheets/d/1Kvs4KS76FHFqLFIZfrDMff4kP08nblUkihrxltoGBjg/edit#gid=934712705"",""ESENCIAL!A6:BG""),5,FALSE))"),44712)</f>
        <v>44712</v>
      </c>
      <c r="AT30" s="493">
        <f t="shared" ca="1" si="2"/>
        <v>45260</v>
      </c>
      <c r="AU30" s="491"/>
      <c r="AV30" s="491"/>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c r="CD30" s="164"/>
      <c r="CE30" s="164"/>
      <c r="CF30" s="164"/>
      <c r="CG30" s="164"/>
      <c r="CH30" s="164"/>
      <c r="CI30" s="164"/>
      <c r="CJ30" s="164"/>
      <c r="CK30" s="164"/>
      <c r="CL30" s="164"/>
      <c r="CM30" s="164"/>
      <c r="CN30" s="164"/>
      <c r="CO30" s="164"/>
      <c r="CP30" s="164"/>
      <c r="CQ30" s="164"/>
      <c r="CR30" s="164"/>
      <c r="CS30" s="164"/>
      <c r="CT30" s="164"/>
      <c r="CU30" s="164"/>
      <c r="CV30" s="164"/>
      <c r="CW30" s="164"/>
      <c r="CX30" s="164"/>
      <c r="CY30" s="164"/>
      <c r="CZ30" s="164"/>
      <c r="DA30" s="164"/>
      <c r="DB30" s="164"/>
      <c r="DC30" s="164"/>
      <c r="DD30" s="164"/>
      <c r="DE30" s="164"/>
    </row>
    <row r="31" spans="1:109" ht="18" customHeight="1">
      <c r="A31" s="491"/>
      <c r="B31" s="490" t="s">
        <v>305</v>
      </c>
      <c r="C31" s="490" t="s">
        <v>27</v>
      </c>
      <c r="D31" s="490">
        <v>1083909309</v>
      </c>
      <c r="E31" s="490">
        <v>2322426</v>
      </c>
      <c r="F31" s="491" t="str">
        <f ca="1">IFERROR(__xludf.DUMMYFUNCTION("IFERROR(VLOOKUP(F78,IMPORTRANGE(""https://docs.google.com/spreadsheets/d/1Kvs4KS76FHFqLFIZfrDMff4kP08nblUkihrxltoGBjg/edit#gid=934712705"",""ESENCIAL!A6:BG""),3,FALSE))"),"TÉCNICO")</f>
        <v>TÉCNICO</v>
      </c>
      <c r="G31" s="491" t="str">
        <f ca="1">IFERROR(__xludf.DUMMYFUNCTION("IFERROR(VLOOKUP(F78,IMPORTRANGE(""https://docs.google.com/spreadsheets/d/1Kvs4KS76FHFqLFIZfrDMff4kP08nblUkihrxltoGBjg/edit#gid=934712705"",""ESENCIAL!A6:BG""),8,FALSE))"),"DIBUJO ARQUITECTÓNICO")</f>
        <v>DIBUJO ARQUITECTÓNICO</v>
      </c>
      <c r="H31" s="490"/>
      <c r="I31" s="490"/>
      <c r="J31" s="490"/>
      <c r="K31" s="495" t="s">
        <v>44</v>
      </c>
      <c r="L31" s="495"/>
      <c r="M31" s="495"/>
      <c r="N31" s="495"/>
      <c r="O31" s="495"/>
      <c r="P31" s="495"/>
      <c r="Q31" s="496"/>
      <c r="R31" s="499"/>
      <c r="S31" s="495"/>
      <c r="T31" s="497"/>
      <c r="U31" s="495"/>
      <c r="V31" s="495"/>
      <c r="W31" s="491"/>
      <c r="X31" s="491"/>
      <c r="Y31" s="491"/>
      <c r="Z31" s="491"/>
      <c r="AA31" s="491"/>
      <c r="AB31" s="491"/>
      <c r="AC31" s="491"/>
      <c r="AD31" s="491"/>
      <c r="AE31" s="491"/>
      <c r="AF31" s="491"/>
      <c r="AG31" s="491"/>
      <c r="AH31" s="491"/>
      <c r="AI31" s="491"/>
      <c r="AJ31" s="491"/>
      <c r="AK31" s="491"/>
      <c r="AL31" s="491"/>
      <c r="AM31" s="491"/>
      <c r="AN31" s="491"/>
      <c r="AO31" s="491"/>
      <c r="AP31" s="491"/>
      <c r="AQ31" s="493">
        <f ca="1">IFERROR(__xludf.DUMMYFUNCTION("IFERROR(VLOOKUP(E78&amp;F78,IMPORTRANGE(""https://docs.google.com/spreadsheets/d/1Uw7-A9f9R21vMXxHZFNpYNeKFtG8_yji4HS352LGlSQ/edit?pli=1#gid=0"",""1_ACUM!A4:S""),18,FALSE))"),44348)</f>
        <v>44348</v>
      </c>
      <c r="AR31" s="493">
        <f ca="1">IFERROR(__xludf.DUMMYFUNCTION("IFERROR(VLOOKUP(E78&amp;F78,IMPORTRANGE(""https://docs.google.com/spreadsheets/d/1Uw7-A9f9R21vMXxHZFNpYNeKFtG8_yji4HS352LGlSQ/edit?pli=1#gid=0"",""1_ACUM!A4:S""),19,FALSE))"),44530)</f>
        <v>44530</v>
      </c>
      <c r="AS31" s="493">
        <f ca="1">IFERROR(__xludf.DUMMYFUNCTION("IFERROR(VLOOKUP(F78,IMPORTRANGE(""https://docs.google.com/spreadsheets/d/1Kvs4KS76FHFqLFIZfrDMff4kP08nblUkihrxltoGBjg/edit#gid=934712705"",""ESENCIAL!A6:BG""),5,FALSE))"),44712)</f>
        <v>44712</v>
      </c>
      <c r="AT31" s="493">
        <f t="shared" ca="1" si="2"/>
        <v>45260</v>
      </c>
      <c r="AU31" s="491"/>
      <c r="AV31" s="491"/>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c r="CE31" s="164"/>
      <c r="CF31" s="164"/>
      <c r="CG31" s="164"/>
      <c r="CH31" s="164"/>
      <c r="CI31" s="164"/>
      <c r="CJ31" s="164"/>
      <c r="CK31" s="164"/>
      <c r="CL31" s="164"/>
      <c r="CM31" s="164"/>
      <c r="CN31" s="164"/>
      <c r="CO31" s="164"/>
      <c r="CP31" s="164"/>
      <c r="CQ31" s="164"/>
      <c r="CR31" s="164"/>
      <c r="CS31" s="164"/>
      <c r="CT31" s="164"/>
    </row>
    <row r="32" spans="1:109" ht="18" customHeight="1">
      <c r="A32" s="491"/>
      <c r="B32" s="490" t="s">
        <v>306</v>
      </c>
      <c r="C32" s="490" t="s">
        <v>27</v>
      </c>
      <c r="D32" s="490">
        <v>10315397</v>
      </c>
      <c r="E32" s="490">
        <v>2353210</v>
      </c>
      <c r="F32" s="491" t="str">
        <f ca="1">IFERROR(__xludf.DUMMYFUNCTION("IFERROR(VLOOKUP(F80,IMPORTRANGE(""https://docs.google.com/spreadsheets/d/1Kvs4KS76FHFqLFIZfrDMff4kP08nblUkihrxltoGBjg/edit#gid=934712705"",""ESENCIAL!A6:BG""),3,FALSE))"),"TÉCNICO")</f>
        <v>TÉCNICO</v>
      </c>
      <c r="G32" s="491" t="str">
        <f ca="1">IFERROR(__xludf.DUMMYFUNCTION("IFERROR(VLOOKUP(F80,IMPORTRANGE(""https://docs.google.com/spreadsheets/d/1Kvs4KS76FHFqLFIZfrDMff4kP08nblUkihrxltoGBjg/edit#gid=934712705"",""ESENCIAL!A6:BG""),8,FALSE))"),"INSTALACION DE SISTEMAS ELECTRICOS RESIDENCIALES Y COMERCIALES")</f>
        <v>INSTALACION DE SISTEMAS ELECTRICOS RESIDENCIALES Y COMERCIALES</v>
      </c>
      <c r="H32" s="490"/>
      <c r="I32" s="490"/>
      <c r="J32" s="490"/>
      <c r="K32" s="495" t="s">
        <v>44</v>
      </c>
      <c r="L32" s="495"/>
      <c r="M32" s="495"/>
      <c r="N32" s="495"/>
      <c r="O32" s="495"/>
      <c r="P32" s="495"/>
      <c r="Q32" s="496"/>
      <c r="R32" s="499"/>
      <c r="S32" s="495"/>
      <c r="T32" s="497"/>
      <c r="U32" s="495"/>
      <c r="V32" s="495"/>
      <c r="W32" s="491"/>
      <c r="X32" s="491"/>
      <c r="Y32" s="491"/>
      <c r="Z32" s="491"/>
      <c r="AA32" s="491"/>
      <c r="AB32" s="491"/>
      <c r="AC32" s="491"/>
      <c r="AD32" s="491"/>
      <c r="AE32" s="491"/>
      <c r="AF32" s="491"/>
      <c r="AG32" s="491"/>
      <c r="AH32" s="491"/>
      <c r="AI32" s="491"/>
      <c r="AJ32" s="491"/>
      <c r="AK32" s="491"/>
      <c r="AL32" s="491"/>
      <c r="AM32" s="491"/>
      <c r="AN32" s="491"/>
      <c r="AO32" s="491"/>
      <c r="AP32" s="491"/>
      <c r="AQ32" s="493">
        <f ca="1">IFERROR(__xludf.DUMMYFUNCTION("IFERROR(VLOOKUP(E80&amp;F80,IMPORTRANGE(""https://docs.google.com/spreadsheets/d/1Uw7-A9f9R21vMXxHZFNpYNeKFtG8_yji4HS352LGlSQ/edit?pli=1#gid=0"",""1_ACUM!A4:S""),18,FALSE))"),44256)</f>
        <v>44256</v>
      </c>
      <c r="AR32" s="493">
        <f ca="1">IFERROR(__xludf.DUMMYFUNCTION("IFERROR(VLOOKUP(E80&amp;F80,IMPORTRANGE(""https://docs.google.com/spreadsheets/d/1Uw7-A9f9R21vMXxHZFNpYNeKFtG8_yji4HS352LGlSQ/edit?pli=1#gid=0"",""1_ACUM!A4:S""),19,FALSE))"),44530)</f>
        <v>44530</v>
      </c>
      <c r="AS32" s="493">
        <f ca="1">IFERROR(__xludf.DUMMYFUNCTION("IFERROR(VLOOKUP(F80,IMPORTRANGE(""https://docs.google.com/spreadsheets/d/1Kvs4KS76FHFqLFIZfrDMff4kP08nblUkihrxltoGBjg/edit#gid=934712705"",""ESENCIAL!A6:BG""),5,FALSE))"),44712)</f>
        <v>44712</v>
      </c>
      <c r="AT32" s="493">
        <f t="shared" ca="1" si="2"/>
        <v>45260</v>
      </c>
      <c r="AU32" s="491"/>
      <c r="AV32" s="491"/>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c r="CD32" s="164"/>
      <c r="CE32" s="164"/>
      <c r="CF32" s="164"/>
      <c r="CG32" s="164"/>
      <c r="CH32" s="164"/>
      <c r="CI32" s="164"/>
      <c r="CJ32" s="164"/>
      <c r="CK32" s="164"/>
      <c r="CL32" s="164"/>
      <c r="CM32" s="164"/>
      <c r="CN32" s="164"/>
      <c r="CO32" s="164"/>
      <c r="CP32" s="164"/>
      <c r="CQ32" s="164"/>
      <c r="CR32" s="164"/>
      <c r="CS32" s="164"/>
      <c r="CT32" s="164"/>
    </row>
    <row r="33" spans="1:109" ht="18" customHeight="1">
      <c r="A33" s="491"/>
      <c r="B33" s="490" t="s">
        <v>307</v>
      </c>
      <c r="C33" s="490" t="s">
        <v>27</v>
      </c>
      <c r="D33" s="490">
        <v>12181368</v>
      </c>
      <c r="E33" s="490">
        <v>2353210</v>
      </c>
      <c r="F33" s="491" t="str">
        <f ca="1">IFERROR(__xludf.DUMMYFUNCTION("IFERROR(VLOOKUP(F81,IMPORTRANGE(""https://docs.google.com/spreadsheets/d/1Kvs4KS76FHFqLFIZfrDMff4kP08nblUkihrxltoGBjg/edit#gid=934712705"",""ESENCIAL!A6:BG""),3,FALSE))"),"TÉCNICO")</f>
        <v>TÉCNICO</v>
      </c>
      <c r="G33" s="491" t="str">
        <f ca="1">IFERROR(__xludf.DUMMYFUNCTION("IFERROR(VLOOKUP(F81,IMPORTRANGE(""https://docs.google.com/spreadsheets/d/1Kvs4KS76FHFqLFIZfrDMff4kP08nblUkihrxltoGBjg/edit#gid=934712705"",""ESENCIAL!A6:BG""),8,FALSE))"),"INSTALACION DE SISTEMAS ELECTRICOS RESIDENCIALES Y COMERCIALES")</f>
        <v>INSTALACION DE SISTEMAS ELECTRICOS RESIDENCIALES Y COMERCIALES</v>
      </c>
      <c r="H33" s="490"/>
      <c r="I33" s="490"/>
      <c r="J33" s="490"/>
      <c r="K33" s="495" t="s">
        <v>44</v>
      </c>
      <c r="L33" s="495"/>
      <c r="M33" s="495"/>
      <c r="N33" s="495"/>
      <c r="O33" s="495"/>
      <c r="P33" s="495"/>
      <c r="Q33" s="496"/>
      <c r="R33" s="499"/>
      <c r="S33" s="495"/>
      <c r="T33" s="497"/>
      <c r="U33" s="495"/>
      <c r="V33" s="495"/>
      <c r="W33" s="491"/>
      <c r="X33" s="491"/>
      <c r="Y33" s="491"/>
      <c r="Z33" s="491"/>
      <c r="AA33" s="491"/>
      <c r="AB33" s="491"/>
      <c r="AC33" s="491"/>
      <c r="AD33" s="491"/>
      <c r="AE33" s="491"/>
      <c r="AF33" s="491"/>
      <c r="AG33" s="491"/>
      <c r="AH33" s="491"/>
      <c r="AI33" s="491"/>
      <c r="AJ33" s="491"/>
      <c r="AK33" s="491"/>
      <c r="AL33" s="491"/>
      <c r="AM33" s="491"/>
      <c r="AN33" s="491"/>
      <c r="AO33" s="491"/>
      <c r="AP33" s="491"/>
      <c r="AQ33" s="493">
        <f ca="1">IFERROR(__xludf.DUMMYFUNCTION("IFERROR(VLOOKUP(E81&amp;F81,IMPORTRANGE(""https://docs.google.com/spreadsheets/d/1Uw7-A9f9R21vMXxHZFNpYNeKFtG8_yji4HS352LGlSQ/edit?pli=1#gid=0"",""1_ACUM!A4:S""),18,FALSE))"),44256)</f>
        <v>44256</v>
      </c>
      <c r="AR33" s="493">
        <f ca="1">IFERROR(__xludf.DUMMYFUNCTION("IFERROR(VLOOKUP(E81&amp;F81,IMPORTRANGE(""https://docs.google.com/spreadsheets/d/1Uw7-A9f9R21vMXxHZFNpYNeKFtG8_yji4HS352LGlSQ/edit?pli=1#gid=0"",""1_ACUM!A4:S""),19,FALSE))"),44530)</f>
        <v>44530</v>
      </c>
      <c r="AS33" s="493">
        <f ca="1">IFERROR(__xludf.DUMMYFUNCTION("IFERROR(VLOOKUP(F81,IMPORTRANGE(""https://docs.google.com/spreadsheets/d/1Kvs4KS76FHFqLFIZfrDMff4kP08nblUkihrxltoGBjg/edit#gid=934712705"",""ESENCIAL!A6:BG""),5,FALSE))"),44712)</f>
        <v>44712</v>
      </c>
      <c r="AT33" s="493">
        <f t="shared" ca="1" si="2"/>
        <v>45260</v>
      </c>
      <c r="AU33" s="491"/>
      <c r="AV33" s="491"/>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c r="CD33" s="164"/>
      <c r="CE33" s="164"/>
      <c r="CF33" s="164"/>
      <c r="CG33" s="164"/>
      <c r="CH33" s="164"/>
      <c r="CI33" s="164"/>
      <c r="CJ33" s="164"/>
      <c r="CK33" s="164"/>
      <c r="CL33" s="164"/>
      <c r="CM33" s="164"/>
      <c r="CN33" s="164"/>
      <c r="CO33" s="164"/>
      <c r="CP33" s="164"/>
      <c r="CQ33" s="164"/>
      <c r="CR33" s="164"/>
      <c r="CS33" s="164"/>
      <c r="CT33" s="164"/>
    </row>
    <row r="34" spans="1:109" ht="18" customHeight="1">
      <c r="A34" s="491"/>
      <c r="B34" s="490" t="s">
        <v>308</v>
      </c>
      <c r="C34" s="490" t="s">
        <v>27</v>
      </c>
      <c r="D34" s="490">
        <v>12264558</v>
      </c>
      <c r="E34" s="490">
        <v>2353210</v>
      </c>
      <c r="F34" s="491" t="str">
        <f ca="1">IFERROR(__xludf.DUMMYFUNCTION("IFERROR(VLOOKUP(F82,IMPORTRANGE(""https://docs.google.com/spreadsheets/d/1Kvs4KS76FHFqLFIZfrDMff4kP08nblUkihrxltoGBjg/edit#gid=934712705"",""ESENCIAL!A6:BG""),3,FALSE))"),"TÉCNICO")</f>
        <v>TÉCNICO</v>
      </c>
      <c r="G34" s="491" t="str">
        <f ca="1">IFERROR(__xludf.DUMMYFUNCTION("IFERROR(VLOOKUP(F82,IMPORTRANGE(""https://docs.google.com/spreadsheets/d/1Kvs4KS76FHFqLFIZfrDMff4kP08nblUkihrxltoGBjg/edit#gid=934712705"",""ESENCIAL!A6:BG""),8,FALSE))"),"INSTALACION DE SISTEMAS ELECTRICOS RESIDENCIALES Y COMERCIALES")</f>
        <v>INSTALACION DE SISTEMAS ELECTRICOS RESIDENCIALES Y COMERCIALES</v>
      </c>
      <c r="H34" s="490"/>
      <c r="I34" s="490"/>
      <c r="J34" s="490"/>
      <c r="K34" s="495" t="s">
        <v>44</v>
      </c>
      <c r="L34" s="495"/>
      <c r="M34" s="495"/>
      <c r="N34" s="495"/>
      <c r="O34" s="495"/>
      <c r="P34" s="495"/>
      <c r="Q34" s="496"/>
      <c r="R34" s="499"/>
      <c r="S34" s="495"/>
      <c r="T34" s="497"/>
      <c r="U34" s="495"/>
      <c r="V34" s="495"/>
      <c r="W34" s="491"/>
      <c r="X34" s="491"/>
      <c r="Y34" s="491"/>
      <c r="Z34" s="491"/>
      <c r="AA34" s="491"/>
      <c r="AB34" s="491"/>
      <c r="AC34" s="491"/>
      <c r="AD34" s="491"/>
      <c r="AE34" s="491"/>
      <c r="AF34" s="491"/>
      <c r="AG34" s="491"/>
      <c r="AH34" s="491"/>
      <c r="AI34" s="491"/>
      <c r="AJ34" s="491"/>
      <c r="AK34" s="491"/>
      <c r="AL34" s="491"/>
      <c r="AM34" s="491"/>
      <c r="AN34" s="491"/>
      <c r="AO34" s="491"/>
      <c r="AP34" s="491"/>
      <c r="AQ34" s="493">
        <f ca="1">IFERROR(__xludf.DUMMYFUNCTION("IFERROR(VLOOKUP(E82&amp;F82,IMPORTRANGE(""https://docs.google.com/spreadsheets/d/1Uw7-A9f9R21vMXxHZFNpYNeKFtG8_yji4HS352LGlSQ/edit?pli=1#gid=0"",""1_ACUM!A4:S""),18,FALSE))"),44256)</f>
        <v>44256</v>
      </c>
      <c r="AR34" s="493">
        <f ca="1">IFERROR(__xludf.DUMMYFUNCTION("IFERROR(VLOOKUP(E82&amp;F82,IMPORTRANGE(""https://docs.google.com/spreadsheets/d/1Uw7-A9f9R21vMXxHZFNpYNeKFtG8_yji4HS352LGlSQ/edit?pli=1#gid=0"",""1_ACUM!A4:S""),19,FALSE))"),44530)</f>
        <v>44530</v>
      </c>
      <c r="AS34" s="493">
        <f ca="1">IFERROR(__xludf.DUMMYFUNCTION("IFERROR(VLOOKUP(F82,IMPORTRANGE(""https://docs.google.com/spreadsheets/d/1Kvs4KS76FHFqLFIZfrDMff4kP08nblUkihrxltoGBjg/edit#gid=934712705"",""ESENCIAL!A6:BG""),5,FALSE))"),44712)</f>
        <v>44712</v>
      </c>
      <c r="AT34" s="493">
        <f t="shared" ca="1" si="2"/>
        <v>45260</v>
      </c>
      <c r="AU34" s="491"/>
      <c r="AV34" s="491"/>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c r="CD34" s="164"/>
      <c r="CE34" s="164"/>
      <c r="CF34" s="164"/>
      <c r="CG34" s="164"/>
      <c r="CH34" s="164"/>
      <c r="CI34" s="164"/>
      <c r="CJ34" s="164"/>
      <c r="CK34" s="164"/>
      <c r="CL34" s="164"/>
      <c r="CM34" s="164"/>
      <c r="CN34" s="164"/>
      <c r="CO34" s="164"/>
      <c r="CP34" s="164"/>
      <c r="CQ34" s="164"/>
      <c r="CR34" s="164"/>
      <c r="CS34" s="164"/>
      <c r="CT34" s="164"/>
    </row>
    <row r="35" spans="1:109" ht="18" customHeight="1">
      <c r="A35" s="491"/>
      <c r="B35" s="490" t="s">
        <v>309</v>
      </c>
      <c r="C35" s="490" t="s">
        <v>27</v>
      </c>
      <c r="D35" s="490">
        <v>12265948</v>
      </c>
      <c r="E35" s="490">
        <v>2353210</v>
      </c>
      <c r="F35" s="491" t="str">
        <f ca="1">IFERROR(__xludf.DUMMYFUNCTION("IFERROR(VLOOKUP(F83,IMPORTRANGE(""https://docs.google.com/spreadsheets/d/1Kvs4KS76FHFqLFIZfrDMff4kP08nblUkihrxltoGBjg/edit#gid=934712705"",""ESENCIAL!A6:BG""),3,FALSE))"),"TÉCNICO")</f>
        <v>TÉCNICO</v>
      </c>
      <c r="G35" s="491" t="str">
        <f ca="1">IFERROR(__xludf.DUMMYFUNCTION("IFERROR(VLOOKUP(F83,IMPORTRANGE(""https://docs.google.com/spreadsheets/d/1Kvs4KS76FHFqLFIZfrDMff4kP08nblUkihrxltoGBjg/edit#gid=934712705"",""ESENCIAL!A6:BG""),8,FALSE))"),"INSTALACION DE SISTEMAS ELECTRICOS RESIDENCIALES Y COMERCIALES")</f>
        <v>INSTALACION DE SISTEMAS ELECTRICOS RESIDENCIALES Y COMERCIALES</v>
      </c>
      <c r="H35" s="490"/>
      <c r="I35" s="490"/>
      <c r="J35" s="490"/>
      <c r="K35" s="495" t="s">
        <v>44</v>
      </c>
      <c r="L35" s="495"/>
      <c r="M35" s="495"/>
      <c r="N35" s="495"/>
      <c r="O35" s="495"/>
      <c r="P35" s="495"/>
      <c r="Q35" s="496"/>
      <c r="R35" s="499"/>
      <c r="S35" s="495"/>
      <c r="T35" s="497"/>
      <c r="U35" s="495"/>
      <c r="V35" s="495"/>
      <c r="W35" s="491"/>
      <c r="X35" s="491"/>
      <c r="Y35" s="491"/>
      <c r="Z35" s="491"/>
      <c r="AA35" s="491"/>
      <c r="AB35" s="491"/>
      <c r="AC35" s="491"/>
      <c r="AD35" s="491"/>
      <c r="AE35" s="491"/>
      <c r="AF35" s="491"/>
      <c r="AG35" s="491"/>
      <c r="AH35" s="491"/>
      <c r="AI35" s="491"/>
      <c r="AJ35" s="491"/>
      <c r="AK35" s="491"/>
      <c r="AL35" s="491"/>
      <c r="AM35" s="491"/>
      <c r="AN35" s="491"/>
      <c r="AO35" s="491"/>
      <c r="AP35" s="491"/>
      <c r="AQ35" s="493">
        <f ca="1">IFERROR(__xludf.DUMMYFUNCTION("IFERROR(VLOOKUP(E83&amp;F83,IMPORTRANGE(""https://docs.google.com/spreadsheets/d/1Uw7-A9f9R21vMXxHZFNpYNeKFtG8_yji4HS352LGlSQ/edit?pli=1#gid=0"",""1_ACUM!A4:S""),18,FALSE))"),44256)</f>
        <v>44256</v>
      </c>
      <c r="AR35" s="493">
        <f ca="1">IFERROR(__xludf.DUMMYFUNCTION("IFERROR(VLOOKUP(E83&amp;F83,IMPORTRANGE(""https://docs.google.com/spreadsheets/d/1Uw7-A9f9R21vMXxHZFNpYNeKFtG8_yji4HS352LGlSQ/edit?pli=1#gid=0"",""1_ACUM!A4:S""),19,FALSE))"),44530)</f>
        <v>44530</v>
      </c>
      <c r="AS35" s="493">
        <f ca="1">IFERROR(__xludf.DUMMYFUNCTION("IFERROR(VLOOKUP(F83,IMPORTRANGE(""https://docs.google.com/spreadsheets/d/1Kvs4KS76FHFqLFIZfrDMff4kP08nblUkihrxltoGBjg/edit#gid=934712705"",""ESENCIAL!A6:BG""),5,FALSE))"),44712)</f>
        <v>44712</v>
      </c>
      <c r="AT35" s="493">
        <f t="shared" ca="1" si="2"/>
        <v>45260</v>
      </c>
      <c r="AU35" s="491"/>
      <c r="AV35" s="491"/>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c r="CD35" s="164"/>
      <c r="CE35" s="164"/>
      <c r="CF35" s="164"/>
      <c r="CG35" s="164"/>
      <c r="CH35" s="164"/>
      <c r="CI35" s="164"/>
      <c r="CJ35" s="164"/>
      <c r="CK35" s="164"/>
      <c r="CL35" s="164"/>
      <c r="CM35" s="164"/>
      <c r="CN35" s="164"/>
      <c r="CO35" s="164"/>
      <c r="CP35" s="164"/>
      <c r="CQ35" s="164"/>
      <c r="CR35" s="164"/>
      <c r="CS35" s="164"/>
      <c r="CT35" s="164"/>
    </row>
    <row r="36" spans="1:109" s="180" customFormat="1" ht="18" customHeight="1">
      <c r="A36" s="491"/>
      <c r="B36" s="490" t="s">
        <v>310</v>
      </c>
      <c r="C36" s="490" t="s">
        <v>27</v>
      </c>
      <c r="D36" s="490">
        <v>12266171</v>
      </c>
      <c r="E36" s="490">
        <v>2353210</v>
      </c>
      <c r="F36" s="491" t="str">
        <f ca="1">IFERROR(__xludf.DUMMYFUNCTION("IFERROR(VLOOKUP(F84,IMPORTRANGE(""https://docs.google.com/spreadsheets/d/1Kvs4KS76FHFqLFIZfrDMff4kP08nblUkihrxltoGBjg/edit#gid=934712705"",""ESENCIAL!A6:BG""),3,FALSE))"),"TÉCNICO")</f>
        <v>TÉCNICO</v>
      </c>
      <c r="G36" s="491" t="str">
        <f ca="1">IFERROR(__xludf.DUMMYFUNCTION("IFERROR(VLOOKUP(F84,IMPORTRANGE(""https://docs.google.com/spreadsheets/d/1Kvs4KS76FHFqLFIZfrDMff4kP08nblUkihrxltoGBjg/edit#gid=934712705"",""ESENCIAL!A6:BG""),8,FALSE))"),"INSTALACION DE SISTEMAS ELECTRICOS RESIDENCIALES Y COMERCIALES")</f>
        <v>INSTALACION DE SISTEMAS ELECTRICOS RESIDENCIALES Y COMERCIALES</v>
      </c>
      <c r="H36" s="490"/>
      <c r="I36" s="490"/>
      <c r="J36" s="490"/>
      <c r="K36" s="495" t="s">
        <v>44</v>
      </c>
      <c r="L36" s="495"/>
      <c r="M36" s="495"/>
      <c r="N36" s="495"/>
      <c r="O36" s="495"/>
      <c r="P36" s="495"/>
      <c r="Q36" s="496"/>
      <c r="R36" s="499"/>
      <c r="S36" s="495"/>
      <c r="T36" s="497"/>
      <c r="U36" s="495"/>
      <c r="V36" s="495"/>
      <c r="W36" s="491"/>
      <c r="X36" s="491"/>
      <c r="Y36" s="491"/>
      <c r="Z36" s="491"/>
      <c r="AA36" s="491"/>
      <c r="AB36" s="491"/>
      <c r="AC36" s="491"/>
      <c r="AD36" s="491"/>
      <c r="AE36" s="491"/>
      <c r="AF36" s="491"/>
      <c r="AG36" s="491"/>
      <c r="AH36" s="491"/>
      <c r="AI36" s="491"/>
      <c r="AJ36" s="491"/>
      <c r="AK36" s="491"/>
      <c r="AL36" s="491"/>
      <c r="AM36" s="491"/>
      <c r="AN36" s="491"/>
      <c r="AO36" s="491"/>
      <c r="AP36" s="491"/>
      <c r="AQ36" s="493">
        <f ca="1">IFERROR(__xludf.DUMMYFUNCTION("IFERROR(VLOOKUP(E84&amp;F84,IMPORTRANGE(""https://docs.google.com/spreadsheets/d/1Uw7-A9f9R21vMXxHZFNpYNeKFtG8_yji4HS352LGlSQ/edit?pli=1#gid=0"",""1_ACUM!A4:S""),18,FALSE))"),44256)</f>
        <v>44256</v>
      </c>
      <c r="AR36" s="493">
        <f ca="1">IFERROR(__xludf.DUMMYFUNCTION("IFERROR(VLOOKUP(E84&amp;F84,IMPORTRANGE(""https://docs.google.com/spreadsheets/d/1Uw7-A9f9R21vMXxHZFNpYNeKFtG8_yji4HS352LGlSQ/edit?pli=1#gid=0"",""1_ACUM!A4:S""),19,FALSE))"),44530)</f>
        <v>44530</v>
      </c>
      <c r="AS36" s="493">
        <f ca="1">IFERROR(__xludf.DUMMYFUNCTION("IFERROR(VLOOKUP(F84,IMPORTRANGE(""https://docs.google.com/spreadsheets/d/1Kvs4KS76FHFqLFIZfrDMff4kP08nblUkihrxltoGBjg/edit#gid=934712705"",""ESENCIAL!A6:BG""),5,FALSE))"),44712)</f>
        <v>44712</v>
      </c>
      <c r="AT36" s="493">
        <f t="shared" ca="1" si="2"/>
        <v>45260</v>
      </c>
      <c r="AU36" s="491"/>
      <c r="AV36" s="491"/>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c r="CD36" s="164"/>
      <c r="CE36" s="164"/>
      <c r="CF36" s="164"/>
      <c r="CG36" s="164"/>
      <c r="CH36" s="164"/>
      <c r="CI36" s="164"/>
      <c r="CJ36" s="164"/>
      <c r="CK36" s="164"/>
      <c r="CL36" s="164"/>
      <c r="CM36" s="164"/>
      <c r="CN36" s="164"/>
      <c r="CO36" s="164"/>
      <c r="CP36" s="164"/>
      <c r="CQ36" s="164"/>
      <c r="CR36" s="164"/>
      <c r="CS36" s="164"/>
      <c r="CT36" s="164"/>
    </row>
    <row r="37" spans="1:109" s="180" customFormat="1" ht="18" customHeight="1">
      <c r="A37" s="491" t="s">
        <v>245</v>
      </c>
      <c r="B37" s="490" t="s">
        <v>311</v>
      </c>
      <c r="C37" s="490" t="s">
        <v>27</v>
      </c>
      <c r="D37" s="490">
        <v>12266585</v>
      </c>
      <c r="E37" s="490">
        <v>2353210</v>
      </c>
      <c r="F37" s="491" t="str">
        <f ca="1">IFERROR(__xludf.DUMMYFUNCTION("IFERROR(VLOOKUP(F85,IMPORTRANGE(""https://docs.google.com/spreadsheets/d/1Kvs4KS76FHFqLFIZfrDMff4kP08nblUkihrxltoGBjg/edit#gid=934712705"",""ESENCIAL!A6:BG""),3,FALSE))"),"TÉCNICO")</f>
        <v>TÉCNICO</v>
      </c>
      <c r="G37" s="491" t="str">
        <f ca="1">IFERROR(__xludf.DUMMYFUNCTION("IFERROR(VLOOKUP(F85,IMPORTRANGE(""https://docs.google.com/spreadsheets/d/1Kvs4KS76FHFqLFIZfrDMff4kP08nblUkihrxltoGBjg/edit#gid=934712705"",""ESENCIAL!A6:BG""),8,FALSE))"),"INSTALACION DE SISTEMAS ELECTRICOS RESIDENCIALES Y COMERCIALES")</f>
        <v>INSTALACION DE SISTEMAS ELECTRICOS RESIDENCIALES Y COMERCIALES</v>
      </c>
      <c r="H37" s="490">
        <v>3209150279</v>
      </c>
      <c r="I37" s="490" t="s">
        <v>312</v>
      </c>
      <c r="J37" s="490" t="s">
        <v>84</v>
      </c>
      <c r="K37" s="495" t="s">
        <v>28</v>
      </c>
      <c r="L37" s="495" t="s">
        <v>313</v>
      </c>
      <c r="M37" s="495" t="s">
        <v>314</v>
      </c>
      <c r="N37" s="495" t="s">
        <v>315</v>
      </c>
      <c r="O37" s="495" t="s">
        <v>96</v>
      </c>
      <c r="P37" s="495" t="s">
        <v>316</v>
      </c>
      <c r="Q37" s="496">
        <v>44852</v>
      </c>
      <c r="R37" s="499">
        <v>45033</v>
      </c>
      <c r="S37" s="495"/>
      <c r="T37" s="497" t="s">
        <v>252</v>
      </c>
      <c r="U37" s="495"/>
      <c r="V37" s="495"/>
      <c r="W37" s="491"/>
      <c r="X37" s="491"/>
      <c r="Y37" s="491"/>
      <c r="Z37" s="491"/>
      <c r="AA37" s="491"/>
      <c r="AB37" s="491"/>
      <c r="AC37" s="491"/>
      <c r="AD37" s="491"/>
      <c r="AE37" s="491"/>
      <c r="AF37" s="491"/>
      <c r="AG37" s="491"/>
      <c r="AH37" s="491"/>
      <c r="AI37" s="491"/>
      <c r="AJ37" s="491"/>
      <c r="AK37" s="491"/>
      <c r="AL37" s="491"/>
      <c r="AM37" s="491"/>
      <c r="AN37" s="491"/>
      <c r="AO37" s="491"/>
      <c r="AP37" s="491" t="s">
        <v>245</v>
      </c>
      <c r="AQ37" s="493">
        <f ca="1">IFERROR(__xludf.DUMMYFUNCTION("IFERROR(VLOOKUP(E85&amp;F85,IMPORTRANGE(""https://docs.google.com/spreadsheets/d/1Uw7-A9f9R21vMXxHZFNpYNeKFtG8_yji4HS352LGlSQ/edit?pli=1#gid=0"",""1_ACUM!A4:S""),18,FALSE))"),44256)</f>
        <v>44256</v>
      </c>
      <c r="AR37" s="493">
        <f ca="1">IFERROR(__xludf.DUMMYFUNCTION("IFERROR(VLOOKUP(E85&amp;F85,IMPORTRANGE(""https://docs.google.com/spreadsheets/d/1Uw7-A9f9R21vMXxHZFNpYNeKFtG8_yji4HS352LGlSQ/edit?pli=1#gid=0"",""1_ACUM!A4:S""),19,FALSE))"),44530)</f>
        <v>44530</v>
      </c>
      <c r="AS37" s="493">
        <f ca="1">IFERROR(__xludf.DUMMYFUNCTION("IFERROR(VLOOKUP(F85,IMPORTRANGE(""https://docs.google.com/spreadsheets/d/1Kvs4KS76FHFqLFIZfrDMff4kP08nblUkihrxltoGBjg/edit#gid=934712705"",""ESENCIAL!A6:BG""),5,FALSE))"),44712)</f>
        <v>44712</v>
      </c>
      <c r="AT37" s="493">
        <f t="shared" ca="1" si="2"/>
        <v>45260</v>
      </c>
      <c r="AU37" s="491"/>
      <c r="AV37" s="491"/>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c r="CD37" s="164"/>
      <c r="CE37" s="164"/>
      <c r="CF37" s="164"/>
      <c r="CG37" s="164"/>
      <c r="CH37" s="164"/>
      <c r="CI37" s="164"/>
      <c r="CJ37" s="164"/>
      <c r="CK37" s="164"/>
      <c r="CL37" s="164"/>
      <c r="CM37" s="164"/>
      <c r="CN37" s="164"/>
      <c r="CO37" s="164"/>
      <c r="CP37" s="164"/>
      <c r="CQ37" s="164"/>
      <c r="CR37" s="164"/>
      <c r="CS37" s="164"/>
      <c r="CT37" s="164"/>
      <c r="CU37" s="164"/>
      <c r="CV37" s="164"/>
      <c r="CW37" s="164"/>
      <c r="CX37" s="164"/>
      <c r="CY37" s="164"/>
      <c r="CZ37" s="164"/>
      <c r="DA37" s="164"/>
      <c r="DB37" s="164"/>
      <c r="DC37" s="164"/>
      <c r="DD37" s="164"/>
      <c r="DE37" s="164"/>
    </row>
    <row r="38" spans="1:109" ht="18" customHeight="1">
      <c r="A38" s="491"/>
      <c r="B38" s="490" t="s">
        <v>317</v>
      </c>
      <c r="C38" s="490" t="s">
        <v>27</v>
      </c>
      <c r="D38" s="490">
        <v>12266614</v>
      </c>
      <c r="E38" s="490">
        <v>2353210</v>
      </c>
      <c r="F38" s="491" t="str">
        <f ca="1">IFERROR(__xludf.DUMMYFUNCTION("IFERROR(VLOOKUP(F86,IMPORTRANGE(""https://docs.google.com/spreadsheets/d/1Kvs4KS76FHFqLFIZfrDMff4kP08nblUkihrxltoGBjg/edit#gid=934712705"",""ESENCIAL!A6:BG""),3,FALSE))"),"TÉCNICO")</f>
        <v>TÉCNICO</v>
      </c>
      <c r="G38" s="491" t="str">
        <f ca="1">IFERROR(__xludf.DUMMYFUNCTION("IFERROR(VLOOKUP(F86,IMPORTRANGE(""https://docs.google.com/spreadsheets/d/1Kvs4KS76FHFqLFIZfrDMff4kP08nblUkihrxltoGBjg/edit#gid=934712705"",""ESENCIAL!A6:BG""),8,FALSE))"),"INSTALACION DE SISTEMAS ELECTRICOS RESIDENCIALES Y COMERCIALES")</f>
        <v>INSTALACION DE SISTEMAS ELECTRICOS RESIDENCIALES Y COMERCIALES</v>
      </c>
      <c r="H38" s="490"/>
      <c r="I38" s="490"/>
      <c r="J38" s="490"/>
      <c r="K38" s="495" t="s">
        <v>44</v>
      </c>
      <c r="L38" s="495"/>
      <c r="M38" s="495"/>
      <c r="N38" s="495"/>
      <c r="O38" s="495"/>
      <c r="P38" s="495"/>
      <c r="Q38" s="496"/>
      <c r="R38" s="499"/>
      <c r="S38" s="495"/>
      <c r="T38" s="497"/>
      <c r="U38" s="495"/>
      <c r="V38" s="495"/>
      <c r="W38" s="491"/>
      <c r="X38" s="491"/>
      <c r="Y38" s="491"/>
      <c r="Z38" s="491"/>
      <c r="AA38" s="491"/>
      <c r="AB38" s="491"/>
      <c r="AC38" s="491"/>
      <c r="AD38" s="491"/>
      <c r="AE38" s="491"/>
      <c r="AF38" s="491"/>
      <c r="AG38" s="491"/>
      <c r="AH38" s="491"/>
      <c r="AI38" s="491"/>
      <c r="AJ38" s="491"/>
      <c r="AK38" s="491"/>
      <c r="AL38" s="491"/>
      <c r="AM38" s="491"/>
      <c r="AN38" s="491"/>
      <c r="AO38" s="491"/>
      <c r="AP38" s="491"/>
      <c r="AQ38" s="493">
        <f ca="1">IFERROR(__xludf.DUMMYFUNCTION("IFERROR(VLOOKUP(E86&amp;F86,IMPORTRANGE(""https://docs.google.com/spreadsheets/d/1Uw7-A9f9R21vMXxHZFNpYNeKFtG8_yji4HS352LGlSQ/edit?pli=1#gid=0"",""1_ACUM!A4:S""),18,FALSE))"),44256)</f>
        <v>44256</v>
      </c>
      <c r="AR38" s="493">
        <f ca="1">IFERROR(__xludf.DUMMYFUNCTION("IFERROR(VLOOKUP(E86&amp;F86,IMPORTRANGE(""https://docs.google.com/spreadsheets/d/1Uw7-A9f9R21vMXxHZFNpYNeKFtG8_yji4HS352LGlSQ/edit?pli=1#gid=0"",""1_ACUM!A4:S""),19,FALSE))"),44530)</f>
        <v>44530</v>
      </c>
      <c r="AS38" s="493">
        <f ca="1">IFERROR(__xludf.DUMMYFUNCTION("IFERROR(VLOOKUP(F86,IMPORTRANGE(""https://docs.google.com/spreadsheets/d/1Kvs4KS76FHFqLFIZfrDMff4kP08nblUkihrxltoGBjg/edit#gid=934712705"",""ESENCIAL!A6:BG""),5,FALSE))"),44712)</f>
        <v>44712</v>
      </c>
      <c r="AT38" s="493">
        <f t="shared" ca="1" si="2"/>
        <v>45260</v>
      </c>
      <c r="AU38" s="491"/>
      <c r="AV38" s="491"/>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c r="CD38" s="164"/>
      <c r="CE38" s="164"/>
      <c r="CF38" s="164"/>
      <c r="CG38" s="164"/>
      <c r="CH38" s="164"/>
      <c r="CI38" s="164"/>
      <c r="CJ38" s="164"/>
      <c r="CK38" s="164"/>
      <c r="CL38" s="164"/>
      <c r="CM38" s="164"/>
      <c r="CN38" s="164"/>
      <c r="CO38" s="164"/>
      <c r="CP38" s="164"/>
      <c r="CQ38" s="164"/>
      <c r="CR38" s="164"/>
      <c r="CS38" s="164"/>
      <c r="CT38" s="164"/>
    </row>
    <row r="39" spans="1:109" ht="18" customHeight="1">
      <c r="A39" s="491"/>
      <c r="B39" s="490" t="s">
        <v>318</v>
      </c>
      <c r="C39" s="490" t="s">
        <v>27</v>
      </c>
      <c r="D39" s="490">
        <v>12266987</v>
      </c>
      <c r="E39" s="490">
        <v>2353210</v>
      </c>
      <c r="F39" s="491" t="str">
        <f ca="1">IFERROR(__xludf.DUMMYFUNCTION("IFERROR(VLOOKUP(F87,IMPORTRANGE(""https://docs.google.com/spreadsheets/d/1Kvs4KS76FHFqLFIZfrDMff4kP08nblUkihrxltoGBjg/edit#gid=934712705"",""ESENCIAL!A6:BG""),3,FALSE))"),"TÉCNICO")</f>
        <v>TÉCNICO</v>
      </c>
      <c r="G39" s="491" t="str">
        <f ca="1">IFERROR(__xludf.DUMMYFUNCTION("IFERROR(VLOOKUP(F87,IMPORTRANGE(""https://docs.google.com/spreadsheets/d/1Kvs4KS76FHFqLFIZfrDMff4kP08nblUkihrxltoGBjg/edit#gid=934712705"",""ESENCIAL!A6:BG""),8,FALSE))"),"INSTALACION DE SISTEMAS ELECTRICOS RESIDENCIALES Y COMERCIALES")</f>
        <v>INSTALACION DE SISTEMAS ELECTRICOS RESIDENCIALES Y COMERCIALES</v>
      </c>
      <c r="H39" s="490"/>
      <c r="I39" s="490"/>
      <c r="J39" s="490"/>
      <c r="K39" s="495" t="s">
        <v>44</v>
      </c>
      <c r="L39" s="495"/>
      <c r="M39" s="495"/>
      <c r="N39" s="495"/>
      <c r="O39" s="495"/>
      <c r="P39" s="495"/>
      <c r="Q39" s="496"/>
      <c r="R39" s="499"/>
      <c r="S39" s="495"/>
      <c r="T39" s="497"/>
      <c r="U39" s="495"/>
      <c r="V39" s="495"/>
      <c r="W39" s="491"/>
      <c r="X39" s="491"/>
      <c r="Y39" s="491"/>
      <c r="Z39" s="491"/>
      <c r="AA39" s="491"/>
      <c r="AB39" s="491"/>
      <c r="AC39" s="491"/>
      <c r="AD39" s="491"/>
      <c r="AE39" s="491"/>
      <c r="AF39" s="491"/>
      <c r="AG39" s="491"/>
      <c r="AH39" s="491"/>
      <c r="AI39" s="491"/>
      <c r="AJ39" s="491"/>
      <c r="AK39" s="491"/>
      <c r="AL39" s="491"/>
      <c r="AM39" s="491"/>
      <c r="AN39" s="491"/>
      <c r="AO39" s="491"/>
      <c r="AP39" s="491"/>
      <c r="AQ39" s="493">
        <f ca="1">IFERROR(__xludf.DUMMYFUNCTION("IFERROR(VLOOKUP(E87&amp;F87,IMPORTRANGE(""https://docs.google.com/spreadsheets/d/1Uw7-A9f9R21vMXxHZFNpYNeKFtG8_yji4HS352LGlSQ/edit?pli=1#gid=0"",""1_ACUM!A4:S""),18,FALSE))"),44256)</f>
        <v>44256</v>
      </c>
      <c r="AR39" s="493">
        <f ca="1">IFERROR(__xludf.DUMMYFUNCTION("IFERROR(VLOOKUP(E87&amp;F87,IMPORTRANGE(""https://docs.google.com/spreadsheets/d/1Uw7-A9f9R21vMXxHZFNpYNeKFtG8_yji4HS352LGlSQ/edit?pli=1#gid=0"",""1_ACUM!A4:S""),19,FALSE))"),44530)</f>
        <v>44530</v>
      </c>
      <c r="AS39" s="493">
        <f ca="1">IFERROR(__xludf.DUMMYFUNCTION("IFERROR(VLOOKUP(F87,IMPORTRANGE(""https://docs.google.com/spreadsheets/d/1Kvs4KS76FHFqLFIZfrDMff4kP08nblUkihrxltoGBjg/edit#gid=934712705"",""ESENCIAL!A6:BG""),5,FALSE))"),44712)</f>
        <v>44712</v>
      </c>
      <c r="AT39" s="493">
        <f t="shared" ca="1" si="2"/>
        <v>45260</v>
      </c>
      <c r="AU39" s="491"/>
      <c r="AV39" s="491"/>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c r="CD39" s="164"/>
      <c r="CE39" s="164"/>
      <c r="CF39" s="164"/>
      <c r="CG39" s="164"/>
      <c r="CH39" s="164"/>
      <c r="CI39" s="164"/>
      <c r="CJ39" s="164"/>
      <c r="CK39" s="164"/>
      <c r="CL39" s="164"/>
      <c r="CM39" s="164"/>
      <c r="CN39" s="164"/>
      <c r="CO39" s="164"/>
      <c r="CP39" s="164"/>
      <c r="CQ39" s="164"/>
      <c r="CR39" s="164"/>
      <c r="CS39" s="164"/>
      <c r="CT39" s="164"/>
    </row>
    <row r="40" spans="1:109" ht="18" customHeight="1">
      <c r="A40" s="491"/>
      <c r="B40" s="490" t="s">
        <v>319</v>
      </c>
      <c r="C40" s="490" t="s">
        <v>27</v>
      </c>
      <c r="D40" s="490">
        <v>15620823</v>
      </c>
      <c r="E40" s="490">
        <v>2353210</v>
      </c>
      <c r="F40" s="491" t="str">
        <f ca="1">IFERROR(__xludf.DUMMYFUNCTION("IFERROR(VLOOKUP(F88,IMPORTRANGE(""https://docs.google.com/spreadsheets/d/1Kvs4KS76FHFqLFIZfrDMff4kP08nblUkihrxltoGBjg/edit#gid=934712705"",""ESENCIAL!A6:BG""),3,FALSE))"),"TÉCNICO")</f>
        <v>TÉCNICO</v>
      </c>
      <c r="G40" s="491" t="str">
        <f ca="1">IFERROR(__xludf.DUMMYFUNCTION("IFERROR(VLOOKUP(F88,IMPORTRANGE(""https://docs.google.com/spreadsheets/d/1Kvs4KS76FHFqLFIZfrDMff4kP08nblUkihrxltoGBjg/edit#gid=934712705"",""ESENCIAL!A6:BG""),8,FALSE))"),"INSTALACION DE SISTEMAS ELECTRICOS RESIDENCIALES Y COMERCIALES")</f>
        <v>INSTALACION DE SISTEMAS ELECTRICOS RESIDENCIALES Y COMERCIALES</v>
      </c>
      <c r="H40" s="490"/>
      <c r="I40" s="490"/>
      <c r="J40" s="490"/>
      <c r="K40" s="495" t="s">
        <v>44</v>
      </c>
      <c r="L40" s="495"/>
      <c r="M40" s="495"/>
      <c r="N40" s="495"/>
      <c r="O40" s="495"/>
      <c r="P40" s="495"/>
      <c r="Q40" s="496"/>
      <c r="R40" s="499"/>
      <c r="S40" s="495"/>
      <c r="T40" s="497"/>
      <c r="U40" s="495"/>
      <c r="V40" s="495"/>
      <c r="W40" s="491"/>
      <c r="X40" s="491"/>
      <c r="Y40" s="491"/>
      <c r="Z40" s="491"/>
      <c r="AA40" s="491"/>
      <c r="AB40" s="491"/>
      <c r="AC40" s="491"/>
      <c r="AD40" s="491"/>
      <c r="AE40" s="491"/>
      <c r="AF40" s="491"/>
      <c r="AG40" s="491"/>
      <c r="AH40" s="491"/>
      <c r="AI40" s="491"/>
      <c r="AJ40" s="491"/>
      <c r="AK40" s="491"/>
      <c r="AL40" s="491"/>
      <c r="AM40" s="491"/>
      <c r="AN40" s="491"/>
      <c r="AO40" s="491"/>
      <c r="AP40" s="491"/>
      <c r="AQ40" s="493">
        <f ca="1">IFERROR(__xludf.DUMMYFUNCTION("IFERROR(VLOOKUP(E88&amp;F88,IMPORTRANGE(""https://docs.google.com/spreadsheets/d/1Uw7-A9f9R21vMXxHZFNpYNeKFtG8_yji4HS352LGlSQ/edit?pli=1#gid=0"",""1_ACUM!A4:S""),18,FALSE))"),44256)</f>
        <v>44256</v>
      </c>
      <c r="AR40" s="493">
        <f ca="1">IFERROR(__xludf.DUMMYFUNCTION("IFERROR(VLOOKUP(E88&amp;F88,IMPORTRANGE(""https://docs.google.com/spreadsheets/d/1Uw7-A9f9R21vMXxHZFNpYNeKFtG8_yji4HS352LGlSQ/edit?pli=1#gid=0"",""1_ACUM!A4:S""),19,FALSE))"),44530)</f>
        <v>44530</v>
      </c>
      <c r="AS40" s="493">
        <f ca="1">IFERROR(__xludf.DUMMYFUNCTION("IFERROR(VLOOKUP(F88,IMPORTRANGE(""https://docs.google.com/spreadsheets/d/1Kvs4KS76FHFqLFIZfrDMff4kP08nblUkihrxltoGBjg/edit#gid=934712705"",""ESENCIAL!A6:BG""),5,FALSE))"),44712)</f>
        <v>44712</v>
      </c>
      <c r="AT40" s="493">
        <f t="shared" ca="1" si="2"/>
        <v>45260</v>
      </c>
      <c r="AU40" s="491"/>
      <c r="AV40" s="491"/>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c r="CE40" s="164"/>
      <c r="CF40" s="164"/>
      <c r="CG40" s="164"/>
      <c r="CH40" s="164"/>
      <c r="CI40" s="164"/>
      <c r="CJ40" s="164"/>
      <c r="CK40" s="164"/>
      <c r="CL40" s="164"/>
      <c r="CM40" s="164"/>
      <c r="CN40" s="164"/>
      <c r="CO40" s="164"/>
      <c r="CP40" s="164"/>
      <c r="CQ40" s="164"/>
      <c r="CR40" s="164"/>
      <c r="CS40" s="164"/>
      <c r="CT40" s="164"/>
    </row>
    <row r="41" spans="1:109" ht="18" customHeight="1">
      <c r="A41" s="491"/>
      <c r="B41" s="490" t="s">
        <v>320</v>
      </c>
      <c r="C41" s="490" t="s">
        <v>27</v>
      </c>
      <c r="D41" s="490">
        <v>5827843</v>
      </c>
      <c r="E41" s="490">
        <v>2353210</v>
      </c>
      <c r="F41" s="491" t="str">
        <f ca="1">IFERROR(__xludf.DUMMYFUNCTION("IFERROR(VLOOKUP(F91,IMPORTRANGE(""https://docs.google.com/spreadsheets/d/1Kvs4KS76FHFqLFIZfrDMff4kP08nblUkihrxltoGBjg/edit#gid=934712705"",""ESENCIAL!A6:BG""),3,FALSE))"),"TÉCNICO")</f>
        <v>TÉCNICO</v>
      </c>
      <c r="G41" s="491" t="str">
        <f ca="1">IFERROR(__xludf.DUMMYFUNCTION("IFERROR(VLOOKUP(F91,IMPORTRANGE(""https://docs.google.com/spreadsheets/d/1Kvs4KS76FHFqLFIZfrDMff4kP08nblUkihrxltoGBjg/edit#gid=934712705"",""ESENCIAL!A6:BG""),8,FALSE))"),"INSTALACION DE SISTEMAS ELECTRICOS RESIDENCIALES Y COMERCIALES")</f>
        <v>INSTALACION DE SISTEMAS ELECTRICOS RESIDENCIALES Y COMERCIALES</v>
      </c>
      <c r="H41" s="490"/>
      <c r="I41" s="490"/>
      <c r="J41" s="490"/>
      <c r="K41" s="495" t="s">
        <v>44</v>
      </c>
      <c r="L41" s="495"/>
      <c r="M41" s="495"/>
      <c r="N41" s="495"/>
      <c r="O41" s="495"/>
      <c r="P41" s="495"/>
      <c r="Q41" s="496"/>
      <c r="R41" s="499"/>
      <c r="S41" s="495"/>
      <c r="T41" s="497"/>
      <c r="U41" s="495"/>
      <c r="V41" s="495"/>
      <c r="W41" s="491"/>
      <c r="X41" s="491"/>
      <c r="Y41" s="491"/>
      <c r="Z41" s="491"/>
      <c r="AA41" s="491"/>
      <c r="AB41" s="491"/>
      <c r="AC41" s="491"/>
      <c r="AD41" s="491"/>
      <c r="AE41" s="491"/>
      <c r="AF41" s="491"/>
      <c r="AG41" s="491"/>
      <c r="AH41" s="491"/>
      <c r="AI41" s="491"/>
      <c r="AJ41" s="491"/>
      <c r="AK41" s="491"/>
      <c r="AL41" s="491"/>
      <c r="AM41" s="491"/>
      <c r="AN41" s="491"/>
      <c r="AO41" s="491"/>
      <c r="AP41" s="491"/>
      <c r="AQ41" s="493">
        <f ca="1">IFERROR(__xludf.DUMMYFUNCTION("IFERROR(VLOOKUP(E91&amp;F91,IMPORTRANGE(""https://docs.google.com/spreadsheets/d/1Uw7-A9f9R21vMXxHZFNpYNeKFtG8_yji4HS352LGlSQ/edit?pli=1#gid=0"",""1_ACUM!A4:S""),18,FALSE))"),44256)</f>
        <v>44256</v>
      </c>
      <c r="AR41" s="493">
        <f ca="1">IFERROR(__xludf.DUMMYFUNCTION("IFERROR(VLOOKUP(E91&amp;F91,IMPORTRANGE(""https://docs.google.com/spreadsheets/d/1Uw7-A9f9R21vMXxHZFNpYNeKFtG8_yji4HS352LGlSQ/edit?pli=1#gid=0"",""1_ACUM!A4:S""),19,FALSE))"),44530)</f>
        <v>44530</v>
      </c>
      <c r="AS41" s="493">
        <f ca="1">IFERROR(__xludf.DUMMYFUNCTION("IFERROR(VLOOKUP(F91,IMPORTRANGE(""https://docs.google.com/spreadsheets/d/1Kvs4KS76FHFqLFIZfrDMff4kP08nblUkihrxltoGBjg/edit#gid=934712705"",""ESENCIAL!A6:BG""),5,FALSE))"),44712)</f>
        <v>44712</v>
      </c>
      <c r="AT41" s="493">
        <f t="shared" ca="1" si="2"/>
        <v>45260</v>
      </c>
      <c r="AU41" s="491"/>
      <c r="AV41" s="491"/>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c r="CD41" s="164"/>
      <c r="CE41" s="164"/>
      <c r="CF41" s="164"/>
      <c r="CG41" s="164"/>
      <c r="CH41" s="164"/>
      <c r="CI41" s="164"/>
      <c r="CJ41" s="164"/>
      <c r="CK41" s="164"/>
      <c r="CL41" s="164"/>
      <c r="CM41" s="164"/>
      <c r="CN41" s="164"/>
      <c r="CO41" s="164"/>
      <c r="CP41" s="164"/>
      <c r="CQ41" s="164"/>
      <c r="CR41" s="164"/>
      <c r="CS41" s="164"/>
      <c r="CT41" s="164"/>
    </row>
    <row r="42" spans="1:109" ht="18" customHeight="1">
      <c r="A42" s="491"/>
      <c r="B42" s="490" t="s">
        <v>321</v>
      </c>
      <c r="C42" s="490" t="s">
        <v>27</v>
      </c>
      <c r="D42" s="490">
        <v>74366000</v>
      </c>
      <c r="E42" s="490">
        <v>2353210</v>
      </c>
      <c r="F42" s="491" t="str">
        <f ca="1">IFERROR(__xludf.DUMMYFUNCTION("IFERROR(VLOOKUP(F92,IMPORTRANGE(""https://docs.google.com/spreadsheets/d/1Kvs4KS76FHFqLFIZfrDMff4kP08nblUkihrxltoGBjg/edit#gid=934712705"",""ESENCIAL!A6:BG""),3,FALSE))"),"TÉCNICO")</f>
        <v>TÉCNICO</v>
      </c>
      <c r="G42" s="491" t="str">
        <f ca="1">IFERROR(__xludf.DUMMYFUNCTION("IFERROR(VLOOKUP(F92,IMPORTRANGE(""https://docs.google.com/spreadsheets/d/1Kvs4KS76FHFqLFIZfrDMff4kP08nblUkihrxltoGBjg/edit#gid=934712705"",""ESENCIAL!A6:BG""),8,FALSE))"),"INSTALACION DE SISTEMAS ELECTRICOS RESIDENCIALES Y COMERCIALES")</f>
        <v>INSTALACION DE SISTEMAS ELECTRICOS RESIDENCIALES Y COMERCIALES</v>
      </c>
      <c r="H42" s="490"/>
      <c r="I42" s="490"/>
      <c r="J42" s="490"/>
      <c r="K42" s="495" t="s">
        <v>44</v>
      </c>
      <c r="L42" s="495"/>
      <c r="M42" s="495"/>
      <c r="N42" s="495"/>
      <c r="O42" s="495"/>
      <c r="P42" s="495"/>
      <c r="Q42" s="496"/>
      <c r="R42" s="499"/>
      <c r="S42" s="495"/>
      <c r="T42" s="497"/>
      <c r="U42" s="495"/>
      <c r="V42" s="495"/>
      <c r="W42" s="491"/>
      <c r="X42" s="491"/>
      <c r="Y42" s="491"/>
      <c r="Z42" s="491"/>
      <c r="AA42" s="491"/>
      <c r="AB42" s="491"/>
      <c r="AC42" s="491"/>
      <c r="AD42" s="491"/>
      <c r="AE42" s="491"/>
      <c r="AF42" s="491"/>
      <c r="AG42" s="491"/>
      <c r="AH42" s="491"/>
      <c r="AI42" s="491"/>
      <c r="AJ42" s="491"/>
      <c r="AK42" s="491"/>
      <c r="AL42" s="491"/>
      <c r="AM42" s="491"/>
      <c r="AN42" s="491"/>
      <c r="AO42" s="491"/>
      <c r="AP42" s="491"/>
      <c r="AQ42" s="493">
        <f ca="1">IFERROR(__xludf.DUMMYFUNCTION("IFERROR(VLOOKUP(E92&amp;F92,IMPORTRANGE(""https://docs.google.com/spreadsheets/d/1Uw7-A9f9R21vMXxHZFNpYNeKFtG8_yji4HS352LGlSQ/edit?pli=1#gid=0"",""1_ACUM!A4:S""),18,FALSE))"),44256)</f>
        <v>44256</v>
      </c>
      <c r="AR42" s="493">
        <f ca="1">IFERROR(__xludf.DUMMYFUNCTION("IFERROR(VLOOKUP(E92&amp;F92,IMPORTRANGE(""https://docs.google.com/spreadsheets/d/1Uw7-A9f9R21vMXxHZFNpYNeKFtG8_yji4HS352LGlSQ/edit?pli=1#gid=0"",""1_ACUM!A4:S""),19,FALSE))"),44530)</f>
        <v>44530</v>
      </c>
      <c r="AS42" s="493">
        <f ca="1">IFERROR(__xludf.DUMMYFUNCTION("IFERROR(VLOOKUP(F92,IMPORTRANGE(""https://docs.google.com/spreadsheets/d/1Kvs4KS76FHFqLFIZfrDMff4kP08nblUkihrxltoGBjg/edit#gid=934712705"",""ESENCIAL!A6:BG""),5,FALSE))"),44712)</f>
        <v>44712</v>
      </c>
      <c r="AT42" s="493">
        <f t="shared" ca="1" si="2"/>
        <v>45260</v>
      </c>
      <c r="AU42" s="491"/>
      <c r="AV42" s="491"/>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64"/>
      <c r="CG42" s="164"/>
      <c r="CH42" s="164"/>
      <c r="CI42" s="164"/>
      <c r="CJ42" s="164"/>
      <c r="CK42" s="164"/>
      <c r="CL42" s="164"/>
      <c r="CM42" s="164"/>
      <c r="CN42" s="164"/>
      <c r="CO42" s="164"/>
      <c r="CP42" s="164"/>
      <c r="CQ42" s="164"/>
      <c r="CR42" s="164"/>
      <c r="CS42" s="164"/>
      <c r="CT42" s="164"/>
    </row>
    <row r="43" spans="1:109" s="180" customFormat="1" ht="18" customHeight="1">
      <c r="A43" s="491"/>
      <c r="B43" s="490" t="s">
        <v>322</v>
      </c>
      <c r="C43" s="490" t="s">
        <v>27</v>
      </c>
      <c r="D43" s="490">
        <v>7722162</v>
      </c>
      <c r="E43" s="490">
        <v>2353210</v>
      </c>
      <c r="F43" s="491" t="str">
        <f ca="1">IFERROR(__xludf.DUMMYFUNCTION("IFERROR(VLOOKUP(F93,IMPORTRANGE(""https://docs.google.com/spreadsheets/d/1Kvs4KS76FHFqLFIZfrDMff4kP08nblUkihrxltoGBjg/edit#gid=934712705"",""ESENCIAL!A6:BG""),3,FALSE))"),"TÉCNICO")</f>
        <v>TÉCNICO</v>
      </c>
      <c r="G43" s="491" t="str">
        <f ca="1">IFERROR(__xludf.DUMMYFUNCTION("IFERROR(VLOOKUP(F93,IMPORTRANGE(""https://docs.google.com/spreadsheets/d/1Kvs4KS76FHFqLFIZfrDMff4kP08nblUkihrxltoGBjg/edit#gid=934712705"",""ESENCIAL!A6:BG""),8,FALSE))"),"INSTALACION DE SISTEMAS ELECTRICOS RESIDENCIALES Y COMERCIALES")</f>
        <v>INSTALACION DE SISTEMAS ELECTRICOS RESIDENCIALES Y COMERCIALES</v>
      </c>
      <c r="H43" s="490"/>
      <c r="I43" s="490">
        <v>1004209154</v>
      </c>
      <c r="J43" s="490"/>
      <c r="K43" s="495" t="s">
        <v>44</v>
      </c>
      <c r="L43" s="495"/>
      <c r="M43" s="495"/>
      <c r="N43" s="495"/>
      <c r="O43" s="495"/>
      <c r="P43" s="495"/>
      <c r="Q43" s="496"/>
      <c r="R43" s="499"/>
      <c r="S43" s="495"/>
      <c r="T43" s="497"/>
      <c r="U43" s="495"/>
      <c r="V43" s="495"/>
      <c r="W43" s="491"/>
      <c r="X43" s="491"/>
      <c r="Y43" s="491"/>
      <c r="Z43" s="491"/>
      <c r="AA43" s="491"/>
      <c r="AB43" s="491"/>
      <c r="AC43" s="491"/>
      <c r="AD43" s="491"/>
      <c r="AE43" s="491"/>
      <c r="AF43" s="491"/>
      <c r="AG43" s="491"/>
      <c r="AH43" s="491"/>
      <c r="AI43" s="491"/>
      <c r="AJ43" s="491"/>
      <c r="AK43" s="491"/>
      <c r="AL43" s="491"/>
      <c r="AM43" s="491"/>
      <c r="AN43" s="491"/>
      <c r="AO43" s="491"/>
      <c r="AP43" s="491"/>
      <c r="AQ43" s="493">
        <f ca="1">IFERROR(__xludf.DUMMYFUNCTION("IFERROR(VLOOKUP(E93&amp;F93,IMPORTRANGE(""https://docs.google.com/spreadsheets/d/1Uw7-A9f9R21vMXxHZFNpYNeKFtG8_yji4HS352LGlSQ/edit?pli=1#gid=0"",""1_ACUM!A4:S""),18,FALSE))"),44256)</f>
        <v>44256</v>
      </c>
      <c r="AR43" s="493">
        <f ca="1">IFERROR(__xludf.DUMMYFUNCTION("IFERROR(VLOOKUP(E93&amp;F93,IMPORTRANGE(""https://docs.google.com/spreadsheets/d/1Uw7-A9f9R21vMXxHZFNpYNeKFtG8_yji4HS352LGlSQ/edit?pli=1#gid=0"",""1_ACUM!A4:S""),19,FALSE))"),44530)</f>
        <v>44530</v>
      </c>
      <c r="AS43" s="493">
        <f ca="1">IFERROR(__xludf.DUMMYFUNCTION("IFERROR(VLOOKUP(F93,IMPORTRANGE(""https://docs.google.com/spreadsheets/d/1Kvs4KS76FHFqLFIZfrDMff4kP08nblUkihrxltoGBjg/edit#gid=934712705"",""ESENCIAL!A6:BG""),5,FALSE))"),44712)</f>
        <v>44712</v>
      </c>
      <c r="AT43" s="493">
        <f t="shared" ca="1" si="2"/>
        <v>45260</v>
      </c>
      <c r="AU43" s="491"/>
      <c r="AV43" s="491"/>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c r="CD43" s="164"/>
      <c r="CE43" s="164"/>
      <c r="CF43" s="164"/>
      <c r="CG43" s="164"/>
      <c r="CH43" s="164"/>
      <c r="CI43" s="164"/>
      <c r="CJ43" s="164"/>
      <c r="CK43" s="164"/>
      <c r="CL43" s="164"/>
      <c r="CM43" s="164"/>
      <c r="CN43" s="164"/>
      <c r="CO43" s="164"/>
      <c r="CP43" s="164"/>
      <c r="CQ43" s="164"/>
      <c r="CR43" s="164"/>
      <c r="CS43" s="164"/>
      <c r="CT43" s="164"/>
    </row>
    <row r="44" spans="1:109" ht="18" customHeight="1">
      <c r="A44" s="491"/>
      <c r="B44" s="490" t="s">
        <v>323</v>
      </c>
      <c r="C44" s="490" t="s">
        <v>27</v>
      </c>
      <c r="D44" s="490">
        <v>78768010</v>
      </c>
      <c r="E44" s="490">
        <v>2353210</v>
      </c>
      <c r="F44" s="491" t="str">
        <f ca="1">IFERROR(__xludf.DUMMYFUNCTION("IFERROR(VLOOKUP(F94,IMPORTRANGE(""https://docs.google.com/spreadsheets/d/1Kvs4KS76FHFqLFIZfrDMff4kP08nblUkihrxltoGBjg/edit#gid=934712705"",""ESENCIAL!A6:BG""),3,FALSE))"),"TÉCNICO")</f>
        <v>TÉCNICO</v>
      </c>
      <c r="G44" s="491" t="str">
        <f ca="1">IFERROR(__xludf.DUMMYFUNCTION("IFERROR(VLOOKUP(F94,IMPORTRANGE(""https://docs.google.com/spreadsheets/d/1Kvs4KS76FHFqLFIZfrDMff4kP08nblUkihrxltoGBjg/edit#gid=934712705"",""ESENCIAL!A6:BG""),8,FALSE))"),"INSTALACION DE SISTEMAS ELECTRICOS RESIDENCIALES Y COMERCIALES")</f>
        <v>INSTALACION DE SISTEMAS ELECTRICOS RESIDENCIALES Y COMERCIALES</v>
      </c>
      <c r="H44" s="490"/>
      <c r="I44" s="490"/>
      <c r="J44" s="490"/>
      <c r="K44" s="495" t="s">
        <v>44</v>
      </c>
      <c r="L44" s="495"/>
      <c r="M44" s="495"/>
      <c r="N44" s="495"/>
      <c r="O44" s="495"/>
      <c r="P44" s="495"/>
      <c r="Q44" s="496"/>
      <c r="R44" s="499"/>
      <c r="S44" s="495"/>
      <c r="T44" s="497"/>
      <c r="U44" s="495"/>
      <c r="V44" s="495"/>
      <c r="W44" s="491"/>
      <c r="X44" s="491"/>
      <c r="Y44" s="491"/>
      <c r="Z44" s="491"/>
      <c r="AA44" s="491"/>
      <c r="AB44" s="491"/>
      <c r="AC44" s="491"/>
      <c r="AD44" s="491"/>
      <c r="AE44" s="491"/>
      <c r="AF44" s="491"/>
      <c r="AG44" s="491"/>
      <c r="AH44" s="491"/>
      <c r="AI44" s="491"/>
      <c r="AJ44" s="491"/>
      <c r="AK44" s="491"/>
      <c r="AL44" s="491"/>
      <c r="AM44" s="491"/>
      <c r="AN44" s="491"/>
      <c r="AO44" s="491"/>
      <c r="AP44" s="491"/>
      <c r="AQ44" s="493">
        <f ca="1">IFERROR(__xludf.DUMMYFUNCTION("IFERROR(VLOOKUP(E94&amp;F94,IMPORTRANGE(""https://docs.google.com/spreadsheets/d/1Uw7-A9f9R21vMXxHZFNpYNeKFtG8_yji4HS352LGlSQ/edit?pli=1#gid=0"",""1_ACUM!A4:S""),18,FALSE))"),44256)</f>
        <v>44256</v>
      </c>
      <c r="AR44" s="493">
        <f ca="1">IFERROR(__xludf.DUMMYFUNCTION("IFERROR(VLOOKUP(E94&amp;F94,IMPORTRANGE(""https://docs.google.com/spreadsheets/d/1Uw7-A9f9R21vMXxHZFNpYNeKFtG8_yji4HS352LGlSQ/edit?pli=1#gid=0"",""1_ACUM!A4:S""),19,FALSE))"),44530)</f>
        <v>44530</v>
      </c>
      <c r="AS44" s="493">
        <f ca="1">IFERROR(__xludf.DUMMYFUNCTION("IFERROR(VLOOKUP(F94,IMPORTRANGE(""https://docs.google.com/spreadsheets/d/1Kvs4KS76FHFqLFIZfrDMff4kP08nblUkihrxltoGBjg/edit#gid=934712705"",""ESENCIAL!A6:BG""),5,FALSE))"),44712)</f>
        <v>44712</v>
      </c>
      <c r="AT44" s="493">
        <f t="shared" ca="1" si="2"/>
        <v>45260</v>
      </c>
      <c r="AU44" s="491"/>
      <c r="AV44" s="491"/>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c r="CD44" s="164"/>
      <c r="CE44" s="164"/>
      <c r="CF44" s="164"/>
      <c r="CG44" s="164"/>
      <c r="CH44" s="164"/>
      <c r="CI44" s="164"/>
      <c r="CJ44" s="164"/>
      <c r="CK44" s="164"/>
      <c r="CL44" s="164"/>
      <c r="CM44" s="164"/>
      <c r="CN44" s="164"/>
      <c r="CO44" s="164"/>
      <c r="CP44" s="164"/>
      <c r="CQ44" s="164"/>
      <c r="CR44" s="164"/>
      <c r="CS44" s="164"/>
      <c r="CT44" s="164"/>
    </row>
    <row r="45" spans="1:109" s="180" customFormat="1" ht="48">
      <c r="A45" s="491"/>
      <c r="B45" s="490" t="s">
        <v>324</v>
      </c>
      <c r="C45" s="490" t="s">
        <v>27</v>
      </c>
      <c r="D45" s="490">
        <v>83029505</v>
      </c>
      <c r="E45" s="490">
        <v>2353210</v>
      </c>
      <c r="F45" s="491" t="str">
        <f ca="1">IFERROR(__xludf.DUMMYFUNCTION("IFERROR(VLOOKUP(F95,IMPORTRANGE(""https://docs.google.com/spreadsheets/d/1Kvs4KS76FHFqLFIZfrDMff4kP08nblUkihrxltoGBjg/edit#gid=934712705"",""ESENCIAL!A6:BG""),3,FALSE))"),"TÉCNICO")</f>
        <v>TÉCNICO</v>
      </c>
      <c r="G45" s="491" t="str">
        <f ca="1">IFERROR(__xludf.DUMMYFUNCTION("IFERROR(VLOOKUP(F95,IMPORTRANGE(""https://docs.google.com/spreadsheets/d/1Kvs4KS76FHFqLFIZfrDMff4kP08nblUkihrxltoGBjg/edit#gid=934712705"",""ESENCIAL!A6:BG""),8,FALSE))"),"INSTALACION DE SISTEMAS ELECTRICOS RESIDENCIALES Y COMERCIALES")</f>
        <v>INSTALACION DE SISTEMAS ELECTRICOS RESIDENCIALES Y COMERCIALES</v>
      </c>
      <c r="H45" s="490"/>
      <c r="I45" s="490"/>
      <c r="J45" s="490"/>
      <c r="K45" s="495" t="s">
        <v>44</v>
      </c>
      <c r="L45" s="495"/>
      <c r="M45" s="495"/>
      <c r="N45" s="495"/>
      <c r="O45" s="495"/>
      <c r="P45" s="495"/>
      <c r="Q45" s="496"/>
      <c r="R45" s="499"/>
      <c r="S45" s="495"/>
      <c r="T45" s="497"/>
      <c r="U45" s="495"/>
      <c r="V45" s="495"/>
      <c r="W45" s="491"/>
      <c r="X45" s="491"/>
      <c r="Y45" s="491"/>
      <c r="Z45" s="491"/>
      <c r="AA45" s="491"/>
      <c r="AB45" s="491"/>
      <c r="AC45" s="491"/>
      <c r="AD45" s="491"/>
      <c r="AE45" s="491"/>
      <c r="AF45" s="491"/>
      <c r="AG45" s="491"/>
      <c r="AH45" s="491"/>
      <c r="AI45" s="491"/>
      <c r="AJ45" s="491"/>
      <c r="AK45" s="491"/>
      <c r="AL45" s="491"/>
      <c r="AM45" s="491"/>
      <c r="AN45" s="491"/>
      <c r="AO45" s="491"/>
      <c r="AP45" s="491"/>
      <c r="AQ45" s="493">
        <f ca="1">IFERROR(__xludf.DUMMYFUNCTION("IFERROR(VLOOKUP(E95&amp;F95,IMPORTRANGE(""https://docs.google.com/spreadsheets/d/1Uw7-A9f9R21vMXxHZFNpYNeKFtG8_yji4HS352LGlSQ/edit?pli=1#gid=0"",""1_ACUM!A4:S""),18,FALSE))"),44256)</f>
        <v>44256</v>
      </c>
      <c r="AR45" s="493">
        <f ca="1">IFERROR(__xludf.DUMMYFUNCTION("IFERROR(VLOOKUP(E95&amp;F95,IMPORTRANGE(""https://docs.google.com/spreadsheets/d/1Uw7-A9f9R21vMXxHZFNpYNeKFtG8_yji4HS352LGlSQ/edit?pli=1#gid=0"",""1_ACUM!A4:S""),19,FALSE))"),44530)</f>
        <v>44530</v>
      </c>
      <c r="AS45" s="493">
        <f ca="1">IFERROR(__xludf.DUMMYFUNCTION("IFERROR(VLOOKUP(F95,IMPORTRANGE(""https://docs.google.com/spreadsheets/d/1Kvs4KS76FHFqLFIZfrDMff4kP08nblUkihrxltoGBjg/edit#gid=934712705"",""ESENCIAL!A6:BG""),5,FALSE))"),44712)</f>
        <v>44712</v>
      </c>
      <c r="AT45" s="493">
        <f t="shared" ca="1" si="2"/>
        <v>45260</v>
      </c>
      <c r="AU45" s="491"/>
      <c r="AV45" s="491"/>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c r="CD45" s="164"/>
      <c r="CE45" s="164"/>
      <c r="CF45" s="164"/>
      <c r="CG45" s="164"/>
      <c r="CH45" s="164"/>
      <c r="CI45" s="164"/>
      <c r="CJ45" s="164"/>
      <c r="CK45" s="164"/>
      <c r="CL45" s="164"/>
      <c r="CM45" s="164"/>
      <c r="CN45" s="164"/>
      <c r="CO45" s="164"/>
      <c r="CP45" s="164"/>
      <c r="CQ45" s="164"/>
      <c r="CR45" s="164"/>
      <c r="CS45" s="164"/>
      <c r="CT45" s="164"/>
    </row>
    <row r="46" spans="1:109" ht="120">
      <c r="A46" s="491" t="s">
        <v>245</v>
      </c>
      <c r="B46" s="490" t="s">
        <v>325</v>
      </c>
      <c r="C46" s="490" t="s">
        <v>27</v>
      </c>
      <c r="D46" s="490">
        <v>1001201149</v>
      </c>
      <c r="E46" s="490">
        <v>2426308</v>
      </c>
      <c r="F46" s="491" t="str">
        <f ca="1">IFERROR(__xludf.DUMMYFUNCTION("IFERROR(VLOOKUP(F97,IMPORTRANGE(""https://docs.google.com/spreadsheets/d/1Kvs4KS76FHFqLFIZfrDMff4kP08nblUkihrxltoGBjg/edit#gid=934712705"",""ESENCIAL!A6:BG""),3,FALSE))"),"TÉCNICO")</f>
        <v>TÉCNICO</v>
      </c>
      <c r="G46" s="491" t="str">
        <f ca="1">IFERROR(__xludf.DUMMYFUNCTION("IFERROR(VLOOKUP(F97,IMPORTRANGE(""https://docs.google.com/spreadsheets/d/1Kvs4KS76FHFqLFIZfrDMff4kP08nblUkihrxltoGBjg/edit#gid=934712705"",""ESENCIAL!A6:BG""),8,FALSE))"),"DIBUJO ARQUITECTÓNICO")</f>
        <v>DIBUJO ARQUITECTÓNICO</v>
      </c>
      <c r="H46" s="490"/>
      <c r="I46" s="490"/>
      <c r="J46" s="490"/>
      <c r="K46" s="495" t="s">
        <v>37</v>
      </c>
      <c r="L46" s="495" t="s">
        <v>326</v>
      </c>
      <c r="M46" s="495" t="s">
        <v>327</v>
      </c>
      <c r="N46" s="495">
        <v>3002105865</v>
      </c>
      <c r="O46" s="495" t="s">
        <v>73</v>
      </c>
      <c r="P46" s="495" t="s">
        <v>230</v>
      </c>
      <c r="Q46" s="496">
        <v>44778</v>
      </c>
      <c r="R46" s="499">
        <v>44962</v>
      </c>
      <c r="S46" s="495"/>
      <c r="T46" s="497"/>
      <c r="U46" s="495"/>
      <c r="V46" s="495"/>
      <c r="W46" s="491"/>
      <c r="X46" s="491"/>
      <c r="Y46" s="491"/>
      <c r="Z46" s="491"/>
      <c r="AA46" s="491"/>
      <c r="AB46" s="491"/>
      <c r="AC46" s="491"/>
      <c r="AD46" s="491"/>
      <c r="AE46" s="491"/>
      <c r="AF46" s="491"/>
      <c r="AG46" s="491"/>
      <c r="AH46" s="491"/>
      <c r="AI46" s="491"/>
      <c r="AJ46" s="491"/>
      <c r="AK46" s="491"/>
      <c r="AL46" s="491"/>
      <c r="AM46" s="491"/>
      <c r="AN46" s="491"/>
      <c r="AO46" s="491"/>
      <c r="AP46" s="491" t="s">
        <v>245</v>
      </c>
      <c r="AQ46" s="493">
        <f ca="1">IFERROR(__xludf.DUMMYFUNCTION("IFERROR(VLOOKUP(E97&amp;F97,IMPORTRANGE(""https://docs.google.com/spreadsheets/d/1Uw7-A9f9R21vMXxHZFNpYNeKFtG8_yji4HS352LGlSQ/edit?pli=1#gid=0"",""1_ACUM!A4:S""),18,FALSE))"),44516)</f>
        <v>44516</v>
      </c>
      <c r="AR46" s="493">
        <f ca="1">IFERROR(__xludf.DUMMYFUNCTION("IFERROR(VLOOKUP(E97&amp;F97,IMPORTRANGE(""https://docs.google.com/spreadsheets/d/1Uw7-A9f9R21vMXxHZFNpYNeKFtG8_yji4HS352LGlSQ/edit?pli=1#gid=0"",""1_ACUM!A4:S""),19,FALSE))"),44757)</f>
        <v>44757</v>
      </c>
      <c r="AS46" s="493">
        <f ca="1">IFERROR(__xludf.DUMMYFUNCTION("IFERROR(VLOOKUP(F97,IMPORTRANGE(""https://docs.google.com/spreadsheets/d/1Kvs4KS76FHFqLFIZfrDMff4kP08nblUkihrxltoGBjg/edit#gid=934712705"",""ESENCIAL!A6:BG""),5,FALSE))"),44941)</f>
        <v>44941</v>
      </c>
      <c r="AT46" s="493">
        <f t="shared" ca="1" si="2"/>
        <v>45488</v>
      </c>
      <c r="AU46" s="491"/>
      <c r="AV46" s="491"/>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c r="CD46" s="164"/>
      <c r="CE46" s="164"/>
      <c r="CF46" s="164"/>
      <c r="CG46" s="164"/>
      <c r="CH46" s="164"/>
      <c r="CI46" s="164"/>
      <c r="CJ46" s="164"/>
      <c r="CK46" s="164"/>
      <c r="CL46" s="164"/>
      <c r="CM46" s="164"/>
      <c r="CN46" s="164"/>
      <c r="CO46" s="164"/>
      <c r="CP46" s="164"/>
      <c r="CQ46" s="164"/>
      <c r="CR46" s="164"/>
      <c r="CS46" s="164"/>
      <c r="CT46" s="164"/>
      <c r="CU46" s="164"/>
      <c r="CV46" s="164"/>
      <c r="CW46" s="164"/>
      <c r="CX46" s="164"/>
      <c r="CY46" s="164"/>
      <c r="CZ46" s="164"/>
      <c r="DA46" s="164"/>
      <c r="DB46" s="164"/>
      <c r="DC46" s="164"/>
      <c r="DD46" s="164"/>
      <c r="DE46" s="164"/>
    </row>
    <row r="47" spans="1:109" ht="120">
      <c r="A47" s="491" t="s">
        <v>245</v>
      </c>
      <c r="B47" s="490" t="s">
        <v>328</v>
      </c>
      <c r="C47" s="490" t="s">
        <v>27</v>
      </c>
      <c r="D47" s="490">
        <v>1004083443</v>
      </c>
      <c r="E47" s="490">
        <v>2426308</v>
      </c>
      <c r="F47" s="491" t="str">
        <f ca="1">IFERROR(__xludf.DUMMYFUNCTION("IFERROR(VLOOKUP(F99,IMPORTRANGE(""https://docs.google.com/spreadsheets/d/1Kvs4KS76FHFqLFIZfrDMff4kP08nblUkihrxltoGBjg/edit#gid=934712705"",""ESENCIAL!A6:BG""),3,FALSE))"),"TÉCNICO")</f>
        <v>TÉCNICO</v>
      </c>
      <c r="G47" s="491" t="str">
        <f ca="1">IFERROR(__xludf.DUMMYFUNCTION("IFERROR(VLOOKUP(F99,IMPORTRANGE(""https://docs.google.com/spreadsheets/d/1Kvs4KS76FHFqLFIZfrDMff4kP08nblUkihrxltoGBjg/edit#gid=934712705"",""ESENCIAL!A6:BG""),8,FALSE))"),"DIBUJO ARQUITECTÓNICO")</f>
        <v>DIBUJO ARQUITECTÓNICO</v>
      </c>
      <c r="H47" s="490"/>
      <c r="I47" s="490"/>
      <c r="J47" s="490"/>
      <c r="K47" s="495" t="s">
        <v>37</v>
      </c>
      <c r="L47" s="495" t="s">
        <v>326</v>
      </c>
      <c r="M47" s="495" t="s">
        <v>327</v>
      </c>
      <c r="N47" s="495">
        <v>3002105865</v>
      </c>
      <c r="O47" s="495" t="s">
        <v>73</v>
      </c>
      <c r="P47" s="495" t="s">
        <v>230</v>
      </c>
      <c r="Q47" s="496">
        <v>44778</v>
      </c>
      <c r="R47" s="499">
        <v>44962</v>
      </c>
      <c r="S47" s="495"/>
      <c r="T47" s="497"/>
      <c r="U47" s="495"/>
      <c r="V47" s="495"/>
      <c r="W47" s="491"/>
      <c r="X47" s="491"/>
      <c r="Y47" s="491"/>
      <c r="Z47" s="491"/>
      <c r="AA47" s="491"/>
      <c r="AB47" s="491"/>
      <c r="AC47" s="491"/>
      <c r="AD47" s="491"/>
      <c r="AE47" s="491"/>
      <c r="AF47" s="491"/>
      <c r="AG47" s="491"/>
      <c r="AH47" s="491"/>
      <c r="AI47" s="491"/>
      <c r="AJ47" s="491"/>
      <c r="AK47" s="491"/>
      <c r="AL47" s="491"/>
      <c r="AM47" s="491"/>
      <c r="AN47" s="491"/>
      <c r="AO47" s="491"/>
      <c r="AP47" s="491" t="s">
        <v>245</v>
      </c>
      <c r="AQ47" s="493">
        <f ca="1">IFERROR(__xludf.DUMMYFUNCTION("IFERROR(VLOOKUP(E99&amp;F99,IMPORTRANGE(""https://docs.google.com/spreadsheets/d/1Uw7-A9f9R21vMXxHZFNpYNeKFtG8_yji4HS352LGlSQ/edit?pli=1#gid=0"",""1_ACUM!A4:S""),18,FALSE))"),44516)</f>
        <v>44516</v>
      </c>
      <c r="AR47" s="493">
        <f ca="1">IFERROR(__xludf.DUMMYFUNCTION("IFERROR(VLOOKUP(E99&amp;F99,IMPORTRANGE(""https://docs.google.com/spreadsheets/d/1Uw7-A9f9R21vMXxHZFNpYNeKFtG8_yji4HS352LGlSQ/edit?pli=1#gid=0"",""1_ACUM!A4:S""),19,FALSE))"),44757)</f>
        <v>44757</v>
      </c>
      <c r="AS47" s="493">
        <f ca="1">IFERROR(__xludf.DUMMYFUNCTION("IFERROR(VLOOKUP(F99,IMPORTRANGE(""https://docs.google.com/spreadsheets/d/1Kvs4KS76FHFqLFIZfrDMff4kP08nblUkihrxltoGBjg/edit#gid=934712705"",""ESENCIAL!A6:BG""),5,FALSE))"),44941)</f>
        <v>44941</v>
      </c>
      <c r="AT47" s="493">
        <f t="shared" ca="1" si="2"/>
        <v>45488</v>
      </c>
      <c r="AU47" s="491"/>
      <c r="AV47" s="491"/>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c r="CD47" s="164"/>
      <c r="CE47" s="164"/>
      <c r="CF47" s="164"/>
      <c r="CG47" s="164"/>
      <c r="CH47" s="164"/>
      <c r="CI47" s="164"/>
      <c r="CJ47" s="164"/>
      <c r="CK47" s="164"/>
      <c r="CL47" s="164"/>
      <c r="CM47" s="164"/>
      <c r="CN47" s="164"/>
      <c r="CO47" s="164"/>
      <c r="CP47" s="164"/>
      <c r="CQ47" s="164"/>
      <c r="CR47" s="164"/>
      <c r="CS47" s="164"/>
      <c r="CT47" s="164"/>
      <c r="CU47" s="164"/>
      <c r="CV47" s="164"/>
      <c r="CW47" s="164"/>
      <c r="CX47" s="164"/>
      <c r="CY47" s="164"/>
      <c r="CZ47" s="164"/>
      <c r="DA47" s="164"/>
      <c r="DB47" s="164"/>
      <c r="DC47" s="164"/>
      <c r="DD47" s="164"/>
      <c r="DE47" s="164"/>
    </row>
    <row r="48" spans="1:109" ht="120">
      <c r="A48" s="491" t="s">
        <v>245</v>
      </c>
      <c r="B48" s="490" t="s">
        <v>329</v>
      </c>
      <c r="C48" s="490" t="s">
        <v>27</v>
      </c>
      <c r="D48" s="490">
        <v>1004209154</v>
      </c>
      <c r="E48" s="490">
        <v>2426308</v>
      </c>
      <c r="F48" s="491" t="str">
        <f ca="1">IFERROR(__xludf.DUMMYFUNCTION("IFERROR(VLOOKUP(F100,IMPORTRANGE(""https://docs.google.com/spreadsheets/d/1Kvs4KS76FHFqLFIZfrDMff4kP08nblUkihrxltoGBjg/edit#gid=934712705"",""ESENCIAL!A6:BG""),3,FALSE))"),"TÉCNICO")</f>
        <v>TÉCNICO</v>
      </c>
      <c r="G48" s="491" t="str">
        <f ca="1">IFERROR(__xludf.DUMMYFUNCTION("IFERROR(VLOOKUP(F100,IMPORTRANGE(""https://docs.google.com/spreadsheets/d/1Kvs4KS76FHFqLFIZfrDMff4kP08nblUkihrxltoGBjg/edit#gid=934712705"",""ESENCIAL!A6:BG""),8,FALSE))"),"DIBUJO ARQUITECTÓNICO")</f>
        <v>DIBUJO ARQUITECTÓNICO</v>
      </c>
      <c r="H48" s="490"/>
      <c r="I48" s="490"/>
      <c r="J48" s="490"/>
      <c r="K48" s="495" t="s">
        <v>37</v>
      </c>
      <c r="L48" s="495" t="s">
        <v>326</v>
      </c>
      <c r="M48" s="495" t="s">
        <v>327</v>
      </c>
      <c r="N48" s="495">
        <v>3002105865</v>
      </c>
      <c r="O48" s="495" t="s">
        <v>73</v>
      </c>
      <c r="P48" s="495" t="s">
        <v>230</v>
      </c>
      <c r="Q48" s="496">
        <v>44778</v>
      </c>
      <c r="R48" s="499">
        <v>44962</v>
      </c>
      <c r="S48" s="495"/>
      <c r="T48" s="497"/>
      <c r="U48" s="495"/>
      <c r="V48" s="495"/>
      <c r="W48" s="491"/>
      <c r="X48" s="491"/>
      <c r="Y48" s="491"/>
      <c r="Z48" s="491"/>
      <c r="AA48" s="491"/>
      <c r="AB48" s="491"/>
      <c r="AC48" s="491"/>
      <c r="AD48" s="491"/>
      <c r="AE48" s="491"/>
      <c r="AF48" s="491"/>
      <c r="AG48" s="491"/>
      <c r="AH48" s="491"/>
      <c r="AI48" s="491"/>
      <c r="AJ48" s="491"/>
      <c r="AK48" s="491"/>
      <c r="AL48" s="491"/>
      <c r="AM48" s="491"/>
      <c r="AN48" s="491"/>
      <c r="AO48" s="491"/>
      <c r="AP48" s="491" t="s">
        <v>245</v>
      </c>
      <c r="AQ48" s="493">
        <f ca="1">IFERROR(__xludf.DUMMYFUNCTION("IFERROR(VLOOKUP(E100&amp;F100,IMPORTRANGE(""https://docs.google.com/spreadsheets/d/1Uw7-A9f9R21vMXxHZFNpYNeKFtG8_yji4HS352LGlSQ/edit?pli=1#gid=0"",""1_ACUM!A4:S""),18,FALSE))"),44516)</f>
        <v>44516</v>
      </c>
      <c r="AR48" s="493">
        <f ca="1">IFERROR(__xludf.DUMMYFUNCTION("IFERROR(VLOOKUP(E100&amp;F100,IMPORTRANGE(""https://docs.google.com/spreadsheets/d/1Uw7-A9f9R21vMXxHZFNpYNeKFtG8_yji4HS352LGlSQ/edit?pli=1#gid=0"",""1_ACUM!A4:S""),19,FALSE))"),44757)</f>
        <v>44757</v>
      </c>
      <c r="AS48" s="493">
        <f ca="1">IFERROR(__xludf.DUMMYFUNCTION("IFERROR(VLOOKUP(F100,IMPORTRANGE(""https://docs.google.com/spreadsheets/d/1Kvs4KS76FHFqLFIZfrDMff4kP08nblUkihrxltoGBjg/edit#gid=934712705"",""ESENCIAL!A6:BG""),5,FALSE))"),44941)</f>
        <v>44941</v>
      </c>
      <c r="AT48" s="493">
        <f t="shared" ca="1" si="2"/>
        <v>45488</v>
      </c>
      <c r="AU48" s="491"/>
      <c r="AV48" s="491"/>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c r="CD48" s="164"/>
      <c r="CE48" s="164"/>
      <c r="CF48" s="164"/>
      <c r="CG48" s="164"/>
      <c r="CH48" s="164"/>
      <c r="CI48" s="164"/>
      <c r="CJ48" s="164"/>
      <c r="CK48" s="164"/>
      <c r="CL48" s="164"/>
      <c r="CM48" s="164"/>
      <c r="CN48" s="164"/>
      <c r="CO48" s="164"/>
      <c r="CP48" s="164"/>
      <c r="CQ48" s="164"/>
      <c r="CR48" s="164"/>
      <c r="CS48" s="164"/>
      <c r="CT48" s="164"/>
      <c r="CU48" s="164"/>
      <c r="CV48" s="164"/>
      <c r="CW48" s="164"/>
      <c r="CX48" s="164"/>
      <c r="CY48" s="164"/>
      <c r="CZ48" s="164"/>
      <c r="DA48" s="164"/>
      <c r="DB48" s="164"/>
      <c r="DC48" s="164"/>
      <c r="DD48" s="164"/>
      <c r="DE48" s="164"/>
    </row>
    <row r="49" spans="1:98" ht="30">
      <c r="A49" s="491"/>
      <c r="B49" s="490" t="s">
        <v>330</v>
      </c>
      <c r="C49" s="490" t="s">
        <v>27</v>
      </c>
      <c r="D49" s="490">
        <v>1007563060</v>
      </c>
      <c r="E49" s="490">
        <v>2426308</v>
      </c>
      <c r="F49" s="491" t="str">
        <f ca="1">IFERROR(__xludf.DUMMYFUNCTION("IFERROR(VLOOKUP(F101,IMPORTRANGE(""https://docs.google.com/spreadsheets/d/1Kvs4KS76FHFqLFIZfrDMff4kP08nblUkihrxltoGBjg/edit#gid=934712705"",""ESENCIAL!A6:BG""),3,FALSE))"),"TÉCNICO")</f>
        <v>TÉCNICO</v>
      </c>
      <c r="G49" s="491" t="str">
        <f ca="1">IFERROR(__xludf.DUMMYFUNCTION("IFERROR(VLOOKUP(F101,IMPORTRANGE(""https://docs.google.com/spreadsheets/d/1Kvs4KS76FHFqLFIZfrDMff4kP08nblUkihrxltoGBjg/edit#gid=934712705"",""ESENCIAL!A6:BG""),8,FALSE))"),"DIBUJO ARQUITECTÓNICO")</f>
        <v>DIBUJO ARQUITECTÓNICO</v>
      </c>
      <c r="H49" s="490"/>
      <c r="I49" s="490"/>
      <c r="J49" s="490"/>
      <c r="K49" s="495" t="s">
        <v>44</v>
      </c>
      <c r="L49" s="495"/>
      <c r="M49" s="495"/>
      <c r="N49" s="495"/>
      <c r="O49" s="495"/>
      <c r="P49" s="495"/>
      <c r="Q49" s="496"/>
      <c r="R49" s="499"/>
      <c r="S49" s="495"/>
      <c r="T49" s="497"/>
      <c r="U49" s="495"/>
      <c r="V49" s="495"/>
      <c r="W49" s="491"/>
      <c r="X49" s="491"/>
      <c r="Y49" s="491"/>
      <c r="Z49" s="491"/>
      <c r="AA49" s="491"/>
      <c r="AB49" s="491"/>
      <c r="AC49" s="491"/>
      <c r="AD49" s="491"/>
      <c r="AE49" s="491"/>
      <c r="AF49" s="491"/>
      <c r="AG49" s="491"/>
      <c r="AH49" s="491"/>
      <c r="AI49" s="491"/>
      <c r="AJ49" s="491"/>
      <c r="AK49" s="491"/>
      <c r="AL49" s="491"/>
      <c r="AM49" s="491"/>
      <c r="AN49" s="491"/>
      <c r="AO49" s="491"/>
      <c r="AP49" s="491"/>
      <c r="AQ49" s="493">
        <f ca="1">IFERROR(__xludf.DUMMYFUNCTION("IFERROR(VLOOKUP(E101&amp;F101,IMPORTRANGE(""https://docs.google.com/spreadsheets/d/1Uw7-A9f9R21vMXxHZFNpYNeKFtG8_yji4HS352LGlSQ/edit?pli=1#gid=0"",""1_ACUM!A4:S""),18,FALSE))"),44516)</f>
        <v>44516</v>
      </c>
      <c r="AR49" s="493">
        <f ca="1">IFERROR(__xludf.DUMMYFUNCTION("IFERROR(VLOOKUP(E101&amp;F101,IMPORTRANGE(""https://docs.google.com/spreadsheets/d/1Uw7-A9f9R21vMXxHZFNpYNeKFtG8_yji4HS352LGlSQ/edit?pli=1#gid=0"",""1_ACUM!A4:S""),19,FALSE))"),44757)</f>
        <v>44757</v>
      </c>
      <c r="AS49" s="493">
        <f ca="1">IFERROR(__xludf.DUMMYFUNCTION("IFERROR(VLOOKUP(F101,IMPORTRANGE(""https://docs.google.com/spreadsheets/d/1Kvs4KS76FHFqLFIZfrDMff4kP08nblUkihrxltoGBjg/edit#gid=934712705"",""ESENCIAL!A6:BG""),5,FALSE))"),44941)</f>
        <v>44941</v>
      </c>
      <c r="AT49" s="493">
        <f t="shared" ca="1" si="2"/>
        <v>45488</v>
      </c>
      <c r="AU49" s="491"/>
      <c r="AV49" s="491"/>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c r="CD49" s="164"/>
      <c r="CE49" s="164"/>
      <c r="CF49" s="164"/>
      <c r="CG49" s="164"/>
      <c r="CH49" s="164"/>
      <c r="CI49" s="164"/>
      <c r="CJ49" s="164"/>
      <c r="CK49" s="164"/>
      <c r="CL49" s="164"/>
      <c r="CM49" s="164"/>
      <c r="CN49" s="164"/>
      <c r="CO49" s="164"/>
      <c r="CP49" s="164"/>
      <c r="CQ49" s="164"/>
      <c r="CR49" s="164"/>
      <c r="CS49" s="164"/>
      <c r="CT49" s="164"/>
    </row>
    <row r="50" spans="1:98" ht="120">
      <c r="A50" s="491" t="s">
        <v>331</v>
      </c>
      <c r="B50" s="490" t="s">
        <v>332</v>
      </c>
      <c r="C50" s="490" t="s">
        <v>27</v>
      </c>
      <c r="D50" s="490">
        <v>1007705577</v>
      </c>
      <c r="E50" s="490">
        <v>2426308</v>
      </c>
      <c r="F50" s="491" t="str">
        <f ca="1">IFERROR(__xludf.DUMMYFUNCTION("IFERROR(VLOOKUP(F102,IMPORTRANGE(""https://docs.google.com/spreadsheets/d/1Kvs4KS76FHFqLFIZfrDMff4kP08nblUkihrxltoGBjg/edit#gid=934712705"",""ESENCIAL!A6:BG""),3,FALSE))"),"TÉCNICO")</f>
        <v>TÉCNICO</v>
      </c>
      <c r="G50" s="491" t="str">
        <f ca="1">IFERROR(__xludf.DUMMYFUNCTION("IFERROR(VLOOKUP(F102,IMPORTRANGE(""https://docs.google.com/spreadsheets/d/1Kvs4KS76FHFqLFIZfrDMff4kP08nblUkihrxltoGBjg/edit#gid=934712705"",""ESENCIAL!A6:BG""),8,FALSE))"),"DIBUJO ARQUITECTÓNICO")</f>
        <v>DIBUJO ARQUITECTÓNICO</v>
      </c>
      <c r="H50" s="490"/>
      <c r="I50" s="490"/>
      <c r="J50" s="490"/>
      <c r="K50" s="495" t="s">
        <v>37</v>
      </c>
      <c r="L50" s="495" t="s">
        <v>326</v>
      </c>
      <c r="M50" s="495" t="s">
        <v>327</v>
      </c>
      <c r="N50" s="495">
        <v>3002105865</v>
      </c>
      <c r="O50" s="495" t="s">
        <v>73</v>
      </c>
      <c r="P50" s="495" t="s">
        <v>230</v>
      </c>
      <c r="Q50" s="496">
        <v>44778</v>
      </c>
      <c r="R50" s="499">
        <v>44962</v>
      </c>
      <c r="S50" s="495"/>
      <c r="T50" s="497"/>
      <c r="U50" s="495"/>
      <c r="V50" s="495"/>
      <c r="W50" s="491"/>
      <c r="X50" s="491"/>
      <c r="Y50" s="491"/>
      <c r="Z50" s="491"/>
      <c r="AA50" s="491"/>
      <c r="AB50" s="491"/>
      <c r="AC50" s="491"/>
      <c r="AD50" s="491"/>
      <c r="AE50" s="491"/>
      <c r="AF50" s="491"/>
      <c r="AG50" s="491"/>
      <c r="AH50" s="491"/>
      <c r="AI50" s="491"/>
      <c r="AJ50" s="491"/>
      <c r="AK50" s="491"/>
      <c r="AL50" s="491"/>
      <c r="AM50" s="491"/>
      <c r="AN50" s="491"/>
      <c r="AO50" s="491"/>
      <c r="AP50" s="491" t="s">
        <v>331</v>
      </c>
      <c r="AQ50" s="493">
        <f ca="1">IFERROR(__xludf.DUMMYFUNCTION("IFERROR(VLOOKUP(E102&amp;F102,IMPORTRANGE(""https://docs.google.com/spreadsheets/d/1Uw7-A9f9R21vMXxHZFNpYNeKFtG8_yji4HS352LGlSQ/edit?pli=1#gid=0"",""1_ACUM!A4:S""),18,FALSE))"),44516)</f>
        <v>44516</v>
      </c>
      <c r="AR50" s="493">
        <f ca="1">IFERROR(__xludf.DUMMYFUNCTION("IFERROR(VLOOKUP(E102&amp;F102,IMPORTRANGE(""https://docs.google.com/spreadsheets/d/1Uw7-A9f9R21vMXxHZFNpYNeKFtG8_yji4HS352LGlSQ/edit?pli=1#gid=0"",""1_ACUM!A4:S""),19,FALSE))"),44757)</f>
        <v>44757</v>
      </c>
      <c r="AS50" s="493">
        <f ca="1">IFERROR(__xludf.DUMMYFUNCTION("IFERROR(VLOOKUP(F102,IMPORTRANGE(""https://docs.google.com/spreadsheets/d/1Kvs4KS76FHFqLFIZfrDMff4kP08nblUkihrxltoGBjg/edit#gid=934712705"",""ESENCIAL!A6:BG""),5,FALSE))"),44941)</f>
        <v>44941</v>
      </c>
      <c r="AT50" s="493">
        <f t="shared" ca="1" si="2"/>
        <v>45488</v>
      </c>
      <c r="AU50" s="491"/>
      <c r="AV50" s="491"/>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64"/>
      <c r="CG50" s="164"/>
      <c r="CH50" s="164"/>
      <c r="CI50" s="164"/>
      <c r="CJ50" s="164"/>
      <c r="CK50" s="164"/>
      <c r="CL50" s="164"/>
      <c r="CM50" s="164"/>
      <c r="CN50" s="164"/>
      <c r="CO50" s="164"/>
      <c r="CP50" s="164"/>
      <c r="CQ50" s="164"/>
      <c r="CR50" s="164"/>
      <c r="CS50" s="164"/>
      <c r="CT50" s="164"/>
    </row>
    <row r="51" spans="1:98" ht="30">
      <c r="A51" s="491"/>
      <c r="B51" s="490" t="s">
        <v>333</v>
      </c>
      <c r="C51" s="490" t="s">
        <v>27</v>
      </c>
      <c r="D51" s="490">
        <v>1083864126</v>
      </c>
      <c r="E51" s="490">
        <v>2426308</v>
      </c>
      <c r="F51" s="491" t="str">
        <f ca="1">IFERROR(__xludf.DUMMYFUNCTION("IFERROR(VLOOKUP(F103,IMPORTRANGE(""https://docs.google.com/spreadsheets/d/1Kvs4KS76FHFqLFIZfrDMff4kP08nblUkihrxltoGBjg/edit#gid=934712705"",""ESENCIAL!A6:BG""),3,FALSE))"),"TÉCNICO")</f>
        <v>TÉCNICO</v>
      </c>
      <c r="G51" s="491" t="str">
        <f ca="1">IFERROR(__xludf.DUMMYFUNCTION("IFERROR(VLOOKUP(F103,IMPORTRANGE(""https://docs.google.com/spreadsheets/d/1Kvs4KS76FHFqLFIZfrDMff4kP08nblUkihrxltoGBjg/edit#gid=934712705"",""ESENCIAL!A6:BG""),8,FALSE))"),"DIBUJO ARQUITECTÓNICO")</f>
        <v>DIBUJO ARQUITECTÓNICO</v>
      </c>
      <c r="H51" s="490"/>
      <c r="I51" s="490"/>
      <c r="J51" s="490"/>
      <c r="K51" s="495" t="s">
        <v>44</v>
      </c>
      <c r="L51" s="495"/>
      <c r="M51" s="495"/>
      <c r="N51" s="495"/>
      <c r="O51" s="495"/>
      <c r="P51" s="495"/>
      <c r="Q51" s="496"/>
      <c r="R51" s="499"/>
      <c r="S51" s="495"/>
      <c r="T51" s="497"/>
      <c r="U51" s="495"/>
      <c r="V51" s="495"/>
      <c r="W51" s="491"/>
      <c r="X51" s="491"/>
      <c r="Y51" s="491"/>
      <c r="Z51" s="491"/>
      <c r="AA51" s="491"/>
      <c r="AB51" s="491"/>
      <c r="AC51" s="491"/>
      <c r="AD51" s="491"/>
      <c r="AE51" s="491"/>
      <c r="AF51" s="491"/>
      <c r="AG51" s="491"/>
      <c r="AH51" s="491"/>
      <c r="AI51" s="491"/>
      <c r="AJ51" s="491"/>
      <c r="AK51" s="491"/>
      <c r="AL51" s="491"/>
      <c r="AM51" s="491"/>
      <c r="AN51" s="491"/>
      <c r="AO51" s="491"/>
      <c r="AP51" s="491"/>
      <c r="AQ51" s="493">
        <f ca="1">IFERROR(__xludf.DUMMYFUNCTION("IFERROR(VLOOKUP(E103&amp;F103,IMPORTRANGE(""https://docs.google.com/spreadsheets/d/1Uw7-A9f9R21vMXxHZFNpYNeKFtG8_yji4HS352LGlSQ/edit?pli=1#gid=0"",""1_ACUM!A4:S""),18,FALSE))"),44516)</f>
        <v>44516</v>
      </c>
      <c r="AR51" s="493">
        <f ca="1">IFERROR(__xludf.DUMMYFUNCTION("IFERROR(VLOOKUP(E103&amp;F103,IMPORTRANGE(""https://docs.google.com/spreadsheets/d/1Uw7-A9f9R21vMXxHZFNpYNeKFtG8_yji4HS352LGlSQ/edit?pli=1#gid=0"",""1_ACUM!A4:S""),19,FALSE))"),44757)</f>
        <v>44757</v>
      </c>
      <c r="AS51" s="493">
        <f ca="1">IFERROR(__xludf.DUMMYFUNCTION("IFERROR(VLOOKUP(F103,IMPORTRANGE(""https://docs.google.com/spreadsheets/d/1Kvs4KS76FHFqLFIZfrDMff4kP08nblUkihrxltoGBjg/edit#gid=934712705"",""ESENCIAL!A6:BG""),5,FALSE))"),44941)</f>
        <v>44941</v>
      </c>
      <c r="AT51" s="493">
        <f t="shared" ca="1" si="2"/>
        <v>45488</v>
      </c>
      <c r="AU51" s="491"/>
      <c r="AV51" s="491"/>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c r="CD51" s="164"/>
      <c r="CE51" s="164"/>
      <c r="CF51" s="164"/>
      <c r="CG51" s="164"/>
      <c r="CH51" s="164"/>
      <c r="CI51" s="164"/>
      <c r="CJ51" s="164"/>
      <c r="CK51" s="164"/>
      <c r="CL51" s="164"/>
      <c r="CM51" s="164"/>
      <c r="CN51" s="164"/>
      <c r="CO51" s="164"/>
      <c r="CP51" s="164"/>
      <c r="CQ51" s="164"/>
      <c r="CR51" s="164"/>
      <c r="CS51" s="164"/>
      <c r="CT51" s="164"/>
    </row>
    <row r="52" spans="1:98" ht="120">
      <c r="A52" s="491" t="s">
        <v>331</v>
      </c>
      <c r="B52" s="490" t="s">
        <v>334</v>
      </c>
      <c r="C52" s="490" t="s">
        <v>67</v>
      </c>
      <c r="D52" s="490">
        <v>1083867897</v>
      </c>
      <c r="E52" s="490">
        <v>2426308</v>
      </c>
      <c r="F52" s="491" t="str">
        <f ca="1">IFERROR(__xludf.DUMMYFUNCTION("IFERROR(VLOOKUP(F104,IMPORTRANGE(""https://docs.google.com/spreadsheets/d/1Kvs4KS76FHFqLFIZfrDMff4kP08nblUkihrxltoGBjg/edit#gid=934712705"",""ESENCIAL!A6:BG""),3,FALSE))"),"TÉCNICO")</f>
        <v>TÉCNICO</v>
      </c>
      <c r="G52" s="491" t="str">
        <f ca="1">IFERROR(__xludf.DUMMYFUNCTION("IFERROR(VLOOKUP(F104,IMPORTRANGE(""https://docs.google.com/spreadsheets/d/1Kvs4KS76FHFqLFIZfrDMff4kP08nblUkihrxltoGBjg/edit#gid=934712705"",""ESENCIAL!A6:BG""),8,FALSE))"),"DIBUJO ARQUITECTÓNICO")</f>
        <v>DIBUJO ARQUITECTÓNICO</v>
      </c>
      <c r="H52" s="490">
        <v>3177680016</v>
      </c>
      <c r="I52" s="490" t="s">
        <v>335</v>
      </c>
      <c r="J52" s="490"/>
      <c r="K52" s="495" t="s">
        <v>37</v>
      </c>
      <c r="L52" s="495" t="s">
        <v>326</v>
      </c>
      <c r="M52" s="495" t="s">
        <v>327</v>
      </c>
      <c r="N52" s="495">
        <v>3002105865</v>
      </c>
      <c r="O52" s="495" t="s">
        <v>73</v>
      </c>
      <c r="P52" s="495" t="s">
        <v>230</v>
      </c>
      <c r="Q52" s="496">
        <v>44778</v>
      </c>
      <c r="R52" s="499">
        <v>44962</v>
      </c>
      <c r="S52" s="495"/>
      <c r="T52" s="497"/>
      <c r="U52" s="495"/>
      <c r="V52" s="495"/>
      <c r="W52" s="491"/>
      <c r="X52" s="491"/>
      <c r="Y52" s="491"/>
      <c r="Z52" s="491"/>
      <c r="AA52" s="491"/>
      <c r="AB52" s="491"/>
      <c r="AC52" s="491"/>
      <c r="AD52" s="491"/>
      <c r="AE52" s="491"/>
      <c r="AF52" s="491"/>
      <c r="AG52" s="491"/>
      <c r="AH52" s="491"/>
      <c r="AI52" s="491"/>
      <c r="AJ52" s="491"/>
      <c r="AK52" s="491"/>
      <c r="AL52" s="491"/>
      <c r="AM52" s="491"/>
      <c r="AN52" s="491"/>
      <c r="AO52" s="491"/>
      <c r="AP52" s="491" t="s">
        <v>331</v>
      </c>
      <c r="AQ52" s="493">
        <f ca="1">IFERROR(__xludf.DUMMYFUNCTION("IFERROR(VLOOKUP(E104&amp;F104,IMPORTRANGE(""https://docs.google.com/spreadsheets/d/1Uw7-A9f9R21vMXxHZFNpYNeKFtG8_yji4HS352LGlSQ/edit?pli=1#gid=0"",""1_ACUM!A4:S""),18,FALSE))"),44516)</f>
        <v>44516</v>
      </c>
      <c r="AR52" s="493">
        <f ca="1">IFERROR(__xludf.DUMMYFUNCTION("IFERROR(VLOOKUP(E104&amp;F104,IMPORTRANGE(""https://docs.google.com/spreadsheets/d/1Uw7-A9f9R21vMXxHZFNpYNeKFtG8_yji4HS352LGlSQ/edit?pli=1#gid=0"",""1_ACUM!A4:S""),19,FALSE))"),44757)</f>
        <v>44757</v>
      </c>
      <c r="AS52" s="493">
        <f ca="1">IFERROR(__xludf.DUMMYFUNCTION("IFERROR(VLOOKUP(F104,IMPORTRANGE(""https://docs.google.com/spreadsheets/d/1Kvs4KS76FHFqLFIZfrDMff4kP08nblUkihrxltoGBjg/edit#gid=934712705"",""ESENCIAL!A6:BG""),5,FALSE))"),44941)</f>
        <v>44941</v>
      </c>
      <c r="AT52" s="493">
        <f t="shared" ca="1" si="2"/>
        <v>45488</v>
      </c>
      <c r="AU52" s="491"/>
      <c r="AV52" s="491"/>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4"/>
      <c r="CK52" s="164"/>
      <c r="CL52" s="164"/>
      <c r="CM52" s="164"/>
      <c r="CN52" s="164"/>
      <c r="CO52" s="164"/>
      <c r="CP52" s="164"/>
      <c r="CQ52" s="164"/>
      <c r="CR52" s="164"/>
      <c r="CS52" s="164"/>
      <c r="CT52" s="164"/>
    </row>
    <row r="53" spans="1:98" ht="120">
      <c r="A53" s="491" t="s">
        <v>331</v>
      </c>
      <c r="B53" s="490" t="s">
        <v>336</v>
      </c>
      <c r="C53" s="490" t="s">
        <v>27</v>
      </c>
      <c r="D53" s="490">
        <v>1083929900</v>
      </c>
      <c r="E53" s="490">
        <v>2426308</v>
      </c>
      <c r="F53" s="491" t="str">
        <f ca="1">IFERROR(__xludf.DUMMYFUNCTION("IFERROR(VLOOKUP(F105,IMPORTRANGE(""https://docs.google.com/spreadsheets/d/1Kvs4KS76FHFqLFIZfrDMff4kP08nblUkihrxltoGBjg/edit#gid=934712705"",""ESENCIAL!A6:BG""),3,FALSE))"),"TÉCNICO")</f>
        <v>TÉCNICO</v>
      </c>
      <c r="G53" s="491" t="str">
        <f ca="1">IFERROR(__xludf.DUMMYFUNCTION("IFERROR(VLOOKUP(F105,IMPORTRANGE(""https://docs.google.com/spreadsheets/d/1Kvs4KS76FHFqLFIZfrDMff4kP08nblUkihrxltoGBjg/edit#gid=934712705"",""ESENCIAL!A6:BG""),8,FALSE))"),"DIBUJO ARQUITECTÓNICO")</f>
        <v>DIBUJO ARQUITECTÓNICO</v>
      </c>
      <c r="H53" s="490">
        <v>3103395754</v>
      </c>
      <c r="I53" s="490" t="s">
        <v>337</v>
      </c>
      <c r="J53" s="490"/>
      <c r="K53" s="495" t="s">
        <v>37</v>
      </c>
      <c r="L53" s="495" t="s">
        <v>326</v>
      </c>
      <c r="M53" s="495" t="s">
        <v>327</v>
      </c>
      <c r="N53" s="495">
        <v>3002105865</v>
      </c>
      <c r="O53" s="495" t="s">
        <v>73</v>
      </c>
      <c r="P53" s="495" t="s">
        <v>230</v>
      </c>
      <c r="Q53" s="496">
        <v>44778</v>
      </c>
      <c r="R53" s="499">
        <v>44962</v>
      </c>
      <c r="S53" s="495"/>
      <c r="T53" s="497"/>
      <c r="U53" s="495"/>
      <c r="V53" s="495"/>
      <c r="W53" s="491"/>
      <c r="X53" s="491"/>
      <c r="Y53" s="491"/>
      <c r="Z53" s="491"/>
      <c r="AA53" s="491"/>
      <c r="AB53" s="491"/>
      <c r="AC53" s="491"/>
      <c r="AD53" s="491"/>
      <c r="AE53" s="491"/>
      <c r="AF53" s="491"/>
      <c r="AG53" s="491"/>
      <c r="AH53" s="491"/>
      <c r="AI53" s="491"/>
      <c r="AJ53" s="491"/>
      <c r="AK53" s="491"/>
      <c r="AL53" s="491"/>
      <c r="AM53" s="491"/>
      <c r="AN53" s="491"/>
      <c r="AO53" s="491"/>
      <c r="AP53" s="491" t="s">
        <v>331</v>
      </c>
      <c r="AQ53" s="493">
        <f ca="1">IFERROR(__xludf.DUMMYFUNCTION("IFERROR(VLOOKUP(E105&amp;F105,IMPORTRANGE(""https://docs.google.com/spreadsheets/d/1Uw7-A9f9R21vMXxHZFNpYNeKFtG8_yji4HS352LGlSQ/edit?pli=1#gid=0"",""1_ACUM!A4:S""),18,FALSE))"),44516)</f>
        <v>44516</v>
      </c>
      <c r="AR53" s="493">
        <f ca="1">IFERROR(__xludf.DUMMYFUNCTION("IFERROR(VLOOKUP(E105&amp;F105,IMPORTRANGE(""https://docs.google.com/spreadsheets/d/1Uw7-A9f9R21vMXxHZFNpYNeKFtG8_yji4HS352LGlSQ/edit?pli=1#gid=0"",""1_ACUM!A4:S""),19,FALSE))"),44757)</f>
        <v>44757</v>
      </c>
      <c r="AS53" s="493">
        <f ca="1">IFERROR(__xludf.DUMMYFUNCTION("IFERROR(VLOOKUP(F105,IMPORTRANGE(""https://docs.google.com/spreadsheets/d/1Kvs4KS76FHFqLFIZfrDMff4kP08nblUkihrxltoGBjg/edit#gid=934712705"",""ESENCIAL!A6:BG""),5,FALSE))"),44941)</f>
        <v>44941</v>
      </c>
      <c r="AT53" s="493">
        <f t="shared" ca="1" si="2"/>
        <v>45488</v>
      </c>
      <c r="AU53" s="491"/>
      <c r="AV53" s="491"/>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c r="CD53" s="164"/>
      <c r="CE53" s="164"/>
      <c r="CF53" s="164"/>
      <c r="CG53" s="164"/>
      <c r="CH53" s="164"/>
      <c r="CI53" s="164"/>
      <c r="CJ53" s="164"/>
      <c r="CK53" s="164"/>
      <c r="CL53" s="164"/>
      <c r="CM53" s="164"/>
      <c r="CN53" s="164"/>
      <c r="CO53" s="164"/>
      <c r="CP53" s="164"/>
      <c r="CQ53" s="164"/>
      <c r="CR53" s="164"/>
      <c r="CS53" s="164"/>
      <c r="CT53" s="164"/>
    </row>
    <row r="54" spans="1:98" ht="120">
      <c r="A54" s="491" t="s">
        <v>331</v>
      </c>
      <c r="B54" s="490" t="s">
        <v>338</v>
      </c>
      <c r="C54" s="490" t="s">
        <v>67</v>
      </c>
      <c r="D54" s="490">
        <v>1124242185</v>
      </c>
      <c r="E54" s="490">
        <v>2426308</v>
      </c>
      <c r="F54" s="491" t="str">
        <f ca="1">IFERROR(__xludf.DUMMYFUNCTION("IFERROR(VLOOKUP(F106,IMPORTRANGE(""https://docs.google.com/spreadsheets/d/1Kvs4KS76FHFqLFIZfrDMff4kP08nblUkihrxltoGBjg/edit#gid=934712705"",""ESENCIAL!A6:BG""),3,FALSE))"),"TÉCNICO")</f>
        <v>TÉCNICO</v>
      </c>
      <c r="G54" s="491" t="str">
        <f ca="1">IFERROR(__xludf.DUMMYFUNCTION("IFERROR(VLOOKUP(F106,IMPORTRANGE(""https://docs.google.com/spreadsheets/d/1Kvs4KS76FHFqLFIZfrDMff4kP08nblUkihrxltoGBjg/edit#gid=934712705"",""ESENCIAL!A6:BG""),8,FALSE))"),"DIBUJO ARQUITECTÓNICO")</f>
        <v>DIBUJO ARQUITECTÓNICO</v>
      </c>
      <c r="H54" s="490"/>
      <c r="I54" s="490"/>
      <c r="J54" s="490"/>
      <c r="K54" s="495" t="s">
        <v>37</v>
      </c>
      <c r="L54" s="495" t="s">
        <v>326</v>
      </c>
      <c r="M54" s="495" t="s">
        <v>327</v>
      </c>
      <c r="N54" s="495">
        <v>3002105865</v>
      </c>
      <c r="O54" s="495" t="s">
        <v>73</v>
      </c>
      <c r="P54" s="495" t="s">
        <v>230</v>
      </c>
      <c r="Q54" s="496">
        <v>44778</v>
      </c>
      <c r="R54" s="499">
        <v>44962</v>
      </c>
      <c r="S54" s="495"/>
      <c r="T54" s="497"/>
      <c r="U54" s="495"/>
      <c r="V54" s="495"/>
      <c r="W54" s="491"/>
      <c r="X54" s="491"/>
      <c r="Y54" s="491"/>
      <c r="Z54" s="491"/>
      <c r="AA54" s="491"/>
      <c r="AB54" s="491"/>
      <c r="AC54" s="491"/>
      <c r="AD54" s="491"/>
      <c r="AE54" s="491"/>
      <c r="AF54" s="491"/>
      <c r="AG54" s="491"/>
      <c r="AH54" s="491"/>
      <c r="AI54" s="491"/>
      <c r="AJ54" s="491"/>
      <c r="AK54" s="491"/>
      <c r="AL54" s="491"/>
      <c r="AM54" s="491"/>
      <c r="AN54" s="491"/>
      <c r="AO54" s="491"/>
      <c r="AP54" s="491" t="s">
        <v>331</v>
      </c>
      <c r="AQ54" s="493">
        <f ca="1">IFERROR(__xludf.DUMMYFUNCTION("IFERROR(VLOOKUP(E106&amp;F106,IMPORTRANGE(""https://docs.google.com/spreadsheets/d/1Uw7-A9f9R21vMXxHZFNpYNeKFtG8_yji4HS352LGlSQ/edit?pli=1#gid=0"",""1_ACUM!A4:S""),18,FALSE))"),44516)</f>
        <v>44516</v>
      </c>
      <c r="AR54" s="493">
        <f ca="1">IFERROR(__xludf.DUMMYFUNCTION("IFERROR(VLOOKUP(E106&amp;F106,IMPORTRANGE(""https://docs.google.com/spreadsheets/d/1Uw7-A9f9R21vMXxHZFNpYNeKFtG8_yji4HS352LGlSQ/edit?pli=1#gid=0"",""1_ACUM!A4:S""),19,FALSE))"),44757)</f>
        <v>44757</v>
      </c>
      <c r="AS54" s="493">
        <f ca="1">IFERROR(__xludf.DUMMYFUNCTION("IFERROR(VLOOKUP(F106,IMPORTRANGE(""https://docs.google.com/spreadsheets/d/1Kvs4KS76FHFqLFIZfrDMff4kP08nblUkihrxltoGBjg/edit#gid=934712705"",""ESENCIAL!A6:BG""),5,FALSE))"),44941)</f>
        <v>44941</v>
      </c>
      <c r="AT54" s="493">
        <f t="shared" ca="1" si="2"/>
        <v>45488</v>
      </c>
      <c r="AU54" s="491"/>
      <c r="AV54" s="491"/>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c r="CD54" s="164"/>
      <c r="CE54" s="164"/>
      <c r="CF54" s="164"/>
      <c r="CG54" s="164"/>
      <c r="CH54" s="164"/>
      <c r="CI54" s="164"/>
      <c r="CJ54" s="164"/>
      <c r="CK54" s="164"/>
      <c r="CL54" s="164"/>
      <c r="CM54" s="164"/>
      <c r="CN54" s="164"/>
      <c r="CO54" s="164"/>
      <c r="CP54" s="164"/>
      <c r="CQ54" s="164"/>
      <c r="CR54" s="164"/>
      <c r="CS54" s="164"/>
      <c r="CT54" s="164"/>
    </row>
    <row r="55" spans="1:98" ht="48">
      <c r="A55" s="491"/>
      <c r="B55" s="490" t="s">
        <v>339</v>
      </c>
      <c r="C55" s="490" t="s">
        <v>27</v>
      </c>
      <c r="D55" s="490">
        <v>1002976231</v>
      </c>
      <c r="E55" s="490">
        <v>2206479</v>
      </c>
      <c r="F55" s="491" t="str">
        <f ca="1">IFERROR(__xludf.DUMMYFUNCTION("IFERROR(VLOOKUP(F107,IMPORTRANGE(""https://docs.google.com/spreadsheets/d/1Kvs4KS76FHFqLFIZfrDMff4kP08nblUkihrxltoGBjg/edit#gid=934712705"",""ESENCIAL!A6:BG""),3,FALSE))"),"TÉCNICO")</f>
        <v>TÉCNICO</v>
      </c>
      <c r="G55" s="491" t="str">
        <f ca="1">IFERROR(__xludf.DUMMYFUNCTION("IFERROR(VLOOKUP(F107,IMPORTRANGE(""https://docs.google.com/spreadsheets/d/1Kvs4KS76FHFqLFIZfrDMff4kP08nblUkihrxltoGBjg/edit#gid=934712705"",""ESENCIAL!A6:BG""),8,FALSE))"),"CONSTRUCCION, MANTENIMIENTO Y REPARACION DE ESTRUCTURAS EN GUADUA")</f>
        <v>CONSTRUCCION, MANTENIMIENTO Y REPARACION DE ESTRUCTURAS EN GUADUA</v>
      </c>
      <c r="H55" s="490"/>
      <c r="I55" s="490"/>
      <c r="J55" s="490"/>
      <c r="K55" s="495" t="s">
        <v>44</v>
      </c>
      <c r="L55" s="495"/>
      <c r="M55" s="495"/>
      <c r="N55" s="495"/>
      <c r="O55" s="495"/>
      <c r="P55" s="495"/>
      <c r="Q55" s="496"/>
      <c r="R55" s="499"/>
      <c r="S55" s="495"/>
      <c r="T55" s="497"/>
      <c r="U55" s="495"/>
      <c r="V55" s="495"/>
      <c r="W55" s="491"/>
      <c r="X55" s="491"/>
      <c r="Y55" s="491"/>
      <c r="Z55" s="491"/>
      <c r="AA55" s="491"/>
      <c r="AB55" s="491"/>
      <c r="AC55" s="491"/>
      <c r="AD55" s="491"/>
      <c r="AE55" s="491"/>
      <c r="AF55" s="491"/>
      <c r="AG55" s="491"/>
      <c r="AH55" s="491"/>
      <c r="AI55" s="491"/>
      <c r="AJ55" s="491"/>
      <c r="AK55" s="491"/>
      <c r="AL55" s="491"/>
      <c r="AM55" s="491"/>
      <c r="AN55" s="491"/>
      <c r="AO55" s="491"/>
      <c r="AP55" s="491"/>
      <c r="AQ55" s="493">
        <f ca="1">IFERROR(__xludf.DUMMYFUNCTION("IFERROR(VLOOKUP(E107&amp;F107,IMPORTRANGE(""https://docs.google.com/spreadsheets/d/1Uw7-A9f9R21vMXxHZFNpYNeKFtG8_yji4HS352LGlSQ/edit?pli=1#gid=0"",""1_ACUM!A4:S""),18,FALSE))"),44094)</f>
        <v>44094</v>
      </c>
      <c r="AR55" s="493">
        <f ca="1">IFERROR(__xludf.DUMMYFUNCTION("IFERROR(VLOOKUP(E107&amp;F107,IMPORTRANGE(""https://docs.google.com/spreadsheets/d/1Uw7-A9f9R21vMXxHZFNpYNeKFtG8_yji4HS352LGlSQ/edit?pli=1#gid=0"",""1_ACUM!A4:S""),19,FALSE))"),44367)</f>
        <v>44367</v>
      </c>
      <c r="AS55" s="493">
        <f ca="1">IFERROR(__xludf.DUMMYFUNCTION("IFERROR(VLOOKUP(F107,IMPORTRANGE(""https://docs.google.com/spreadsheets/d/1Kvs4KS76FHFqLFIZfrDMff4kP08nblUkihrxltoGBjg/edit#gid=934712705"",""ESENCIAL!A6:BG""),5,FALSE))"),44550)</f>
        <v>44550</v>
      </c>
      <c r="AT55" s="493">
        <f t="shared" ca="1" si="2"/>
        <v>45097</v>
      </c>
      <c r="AU55" s="491"/>
      <c r="AV55" s="491"/>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c r="CD55" s="164"/>
      <c r="CE55" s="164"/>
      <c r="CF55" s="164"/>
      <c r="CG55" s="164"/>
      <c r="CH55" s="164"/>
      <c r="CI55" s="164"/>
      <c r="CJ55" s="164"/>
      <c r="CK55" s="164"/>
      <c r="CL55" s="164"/>
      <c r="CM55" s="164"/>
      <c r="CN55" s="164"/>
      <c r="CO55" s="164"/>
      <c r="CP55" s="164"/>
      <c r="CQ55" s="164"/>
      <c r="CR55" s="164"/>
      <c r="CS55" s="164"/>
      <c r="CT55" s="164"/>
    </row>
    <row r="56" spans="1:98" ht="48">
      <c r="A56" s="491"/>
      <c r="B56" s="490" t="s">
        <v>340</v>
      </c>
      <c r="C56" s="490" t="s">
        <v>27</v>
      </c>
      <c r="D56" s="490">
        <v>1004419094</v>
      </c>
      <c r="E56" s="490">
        <v>2206479</v>
      </c>
      <c r="F56" s="491" t="str">
        <f ca="1">IFERROR(__xludf.DUMMYFUNCTION("IFERROR(VLOOKUP(F108,IMPORTRANGE(""https://docs.google.com/spreadsheets/d/1Kvs4KS76FHFqLFIZfrDMff4kP08nblUkihrxltoGBjg/edit#gid=934712705"",""ESENCIAL!A6:BG""),3,FALSE))"),"TÉCNICO")</f>
        <v>TÉCNICO</v>
      </c>
      <c r="G56" s="491" t="str">
        <f ca="1">IFERROR(__xludf.DUMMYFUNCTION("IFERROR(VLOOKUP(F108,IMPORTRANGE(""https://docs.google.com/spreadsheets/d/1Kvs4KS76FHFqLFIZfrDMff4kP08nblUkihrxltoGBjg/edit#gid=934712705"",""ESENCIAL!A6:BG""),8,FALSE))"),"CONSTRUCCION, MANTENIMIENTO Y REPARACION DE ESTRUCTURAS EN GUADUA")</f>
        <v>CONSTRUCCION, MANTENIMIENTO Y REPARACION DE ESTRUCTURAS EN GUADUA</v>
      </c>
      <c r="H56" s="490"/>
      <c r="I56" s="490"/>
      <c r="J56" s="490"/>
      <c r="K56" s="495" t="s">
        <v>44</v>
      </c>
      <c r="L56" s="495"/>
      <c r="M56" s="495"/>
      <c r="N56" s="495"/>
      <c r="O56" s="495"/>
      <c r="P56" s="495"/>
      <c r="Q56" s="496"/>
      <c r="R56" s="499"/>
      <c r="S56" s="495"/>
      <c r="T56" s="497"/>
      <c r="U56" s="495"/>
      <c r="V56" s="495"/>
      <c r="W56" s="491"/>
      <c r="X56" s="491"/>
      <c r="Y56" s="491"/>
      <c r="Z56" s="491"/>
      <c r="AA56" s="491"/>
      <c r="AB56" s="491"/>
      <c r="AC56" s="491"/>
      <c r="AD56" s="491"/>
      <c r="AE56" s="491"/>
      <c r="AF56" s="491"/>
      <c r="AG56" s="491"/>
      <c r="AH56" s="491"/>
      <c r="AI56" s="491"/>
      <c r="AJ56" s="491"/>
      <c r="AK56" s="491"/>
      <c r="AL56" s="491"/>
      <c r="AM56" s="491"/>
      <c r="AN56" s="491"/>
      <c r="AO56" s="491"/>
      <c r="AP56" s="491"/>
      <c r="AQ56" s="493">
        <f ca="1">IFERROR(__xludf.DUMMYFUNCTION("IFERROR(VLOOKUP(E108&amp;F108,IMPORTRANGE(""https://docs.google.com/spreadsheets/d/1Uw7-A9f9R21vMXxHZFNpYNeKFtG8_yji4HS352LGlSQ/edit?pli=1#gid=0"",""1_ACUM!A4:S""),18,FALSE))"),44094)</f>
        <v>44094</v>
      </c>
      <c r="AR56" s="493">
        <f ca="1">IFERROR(__xludf.DUMMYFUNCTION("IFERROR(VLOOKUP(E108&amp;F108,IMPORTRANGE(""https://docs.google.com/spreadsheets/d/1Uw7-A9f9R21vMXxHZFNpYNeKFtG8_yji4HS352LGlSQ/edit?pli=1#gid=0"",""1_ACUM!A4:S""),19,FALSE))"),44367)</f>
        <v>44367</v>
      </c>
      <c r="AS56" s="493">
        <f ca="1">IFERROR(__xludf.DUMMYFUNCTION("IFERROR(VLOOKUP(F108,IMPORTRANGE(""https://docs.google.com/spreadsheets/d/1Kvs4KS76FHFqLFIZfrDMff4kP08nblUkihrxltoGBjg/edit#gid=934712705"",""ESENCIAL!A6:BG""),5,FALSE))"),44550)</f>
        <v>44550</v>
      </c>
      <c r="AT56" s="493">
        <f t="shared" ca="1" si="2"/>
        <v>45097</v>
      </c>
      <c r="AU56" s="491"/>
      <c r="AV56" s="491"/>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c r="CD56" s="164"/>
      <c r="CE56" s="164"/>
      <c r="CF56" s="164"/>
      <c r="CG56" s="164"/>
      <c r="CH56" s="164"/>
      <c r="CI56" s="164"/>
      <c r="CJ56" s="164"/>
      <c r="CK56" s="164"/>
      <c r="CL56" s="164"/>
      <c r="CM56" s="164"/>
      <c r="CN56" s="164"/>
      <c r="CO56" s="164"/>
      <c r="CP56" s="164"/>
      <c r="CQ56" s="164"/>
      <c r="CR56" s="164"/>
      <c r="CS56" s="164"/>
      <c r="CT56" s="164"/>
    </row>
    <row r="57" spans="1:98" ht="48">
      <c r="A57" s="491"/>
      <c r="B57" s="490" t="s">
        <v>341</v>
      </c>
      <c r="C57" s="490" t="s">
        <v>27</v>
      </c>
      <c r="D57" s="490">
        <v>1007392341</v>
      </c>
      <c r="E57" s="490">
        <v>2206479</v>
      </c>
      <c r="F57" s="491" t="str">
        <f ca="1">IFERROR(__xludf.DUMMYFUNCTION("IFERROR(VLOOKUP(F110,IMPORTRANGE(""https://docs.google.com/spreadsheets/d/1Kvs4KS76FHFqLFIZfrDMff4kP08nblUkihrxltoGBjg/edit#gid=934712705"",""ESENCIAL!A6:BG""),3,FALSE))"),"TÉCNICO")</f>
        <v>TÉCNICO</v>
      </c>
      <c r="G57" s="491" t="str">
        <f ca="1">IFERROR(__xludf.DUMMYFUNCTION("IFERROR(VLOOKUP(F110,IMPORTRANGE(""https://docs.google.com/spreadsheets/d/1Kvs4KS76FHFqLFIZfrDMff4kP08nblUkihrxltoGBjg/edit#gid=934712705"",""ESENCIAL!A6:BG""),8,FALSE))"),"CONSTRUCCION, MANTENIMIENTO Y REPARACION DE ESTRUCTURAS EN GUADUA")</f>
        <v>CONSTRUCCION, MANTENIMIENTO Y REPARACION DE ESTRUCTURAS EN GUADUA</v>
      </c>
      <c r="H57" s="490"/>
      <c r="I57" s="490"/>
      <c r="J57" s="490"/>
      <c r="K57" s="495" t="s">
        <v>44</v>
      </c>
      <c r="L57" s="495"/>
      <c r="M57" s="495"/>
      <c r="N57" s="495"/>
      <c r="O57" s="495"/>
      <c r="P57" s="495"/>
      <c r="Q57" s="496"/>
      <c r="R57" s="499"/>
      <c r="S57" s="495"/>
      <c r="T57" s="497"/>
      <c r="U57" s="495"/>
      <c r="V57" s="495"/>
      <c r="W57" s="491"/>
      <c r="X57" s="491"/>
      <c r="Y57" s="491"/>
      <c r="Z57" s="491"/>
      <c r="AA57" s="491"/>
      <c r="AB57" s="491"/>
      <c r="AC57" s="491"/>
      <c r="AD57" s="491"/>
      <c r="AE57" s="491"/>
      <c r="AF57" s="491"/>
      <c r="AG57" s="491"/>
      <c r="AH57" s="491"/>
      <c r="AI57" s="491"/>
      <c r="AJ57" s="491"/>
      <c r="AK57" s="491"/>
      <c r="AL57" s="491"/>
      <c r="AM57" s="491"/>
      <c r="AN57" s="491"/>
      <c r="AO57" s="491"/>
      <c r="AP57" s="491"/>
      <c r="AQ57" s="493">
        <f ca="1">IFERROR(__xludf.DUMMYFUNCTION("IFERROR(VLOOKUP(E110&amp;F110,IMPORTRANGE(""https://docs.google.com/spreadsheets/d/1Uw7-A9f9R21vMXxHZFNpYNeKFtG8_yji4HS352LGlSQ/edit?pli=1#gid=0"",""1_ACUM!A4:S""),18,FALSE))"),44094)</f>
        <v>44094</v>
      </c>
      <c r="AR57" s="493">
        <f ca="1">IFERROR(__xludf.DUMMYFUNCTION("IFERROR(VLOOKUP(E110&amp;F110,IMPORTRANGE(""https://docs.google.com/spreadsheets/d/1Uw7-A9f9R21vMXxHZFNpYNeKFtG8_yji4HS352LGlSQ/edit?pli=1#gid=0"",""1_ACUM!A4:S""),19,FALSE))"),44367)</f>
        <v>44367</v>
      </c>
      <c r="AS57" s="493">
        <f ca="1">IFERROR(__xludf.DUMMYFUNCTION("IFERROR(VLOOKUP(F110,IMPORTRANGE(""https://docs.google.com/spreadsheets/d/1Kvs4KS76FHFqLFIZfrDMff4kP08nblUkihrxltoGBjg/edit#gid=934712705"",""ESENCIAL!A6:BG""),5,FALSE))"),44550)</f>
        <v>44550</v>
      </c>
      <c r="AT57" s="493">
        <f t="shared" ca="1" si="2"/>
        <v>45097</v>
      </c>
      <c r="AU57" s="491"/>
      <c r="AV57" s="491"/>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c r="CD57" s="164"/>
      <c r="CE57" s="164"/>
      <c r="CF57" s="164"/>
      <c r="CG57" s="164"/>
      <c r="CH57" s="164"/>
      <c r="CI57" s="164"/>
      <c r="CJ57" s="164"/>
      <c r="CK57" s="164"/>
      <c r="CL57" s="164"/>
      <c r="CM57" s="164"/>
      <c r="CN57" s="164"/>
      <c r="CO57" s="164"/>
      <c r="CP57" s="164"/>
      <c r="CQ57" s="164"/>
      <c r="CR57" s="164"/>
      <c r="CS57" s="164"/>
      <c r="CT57" s="164"/>
    </row>
    <row r="58" spans="1:98" ht="48">
      <c r="A58" s="491"/>
      <c r="B58" s="490" t="s">
        <v>342</v>
      </c>
      <c r="C58" s="490" t="s">
        <v>27</v>
      </c>
      <c r="D58" s="490">
        <v>1082775179</v>
      </c>
      <c r="E58" s="490">
        <v>2206479</v>
      </c>
      <c r="F58" s="491" t="str">
        <f ca="1">IFERROR(__xludf.DUMMYFUNCTION("IFERROR(VLOOKUP(F113,IMPORTRANGE(""https://docs.google.com/spreadsheets/d/1Kvs4KS76FHFqLFIZfrDMff4kP08nblUkihrxltoGBjg/edit#gid=934712705"",""ESENCIAL!A6:BG""),3,FALSE))"),"TÉCNICO")</f>
        <v>TÉCNICO</v>
      </c>
      <c r="G58" s="491" t="str">
        <f ca="1">IFERROR(__xludf.DUMMYFUNCTION("IFERROR(VLOOKUP(F113,IMPORTRANGE(""https://docs.google.com/spreadsheets/d/1Kvs4KS76FHFqLFIZfrDMff4kP08nblUkihrxltoGBjg/edit#gid=934712705"",""ESENCIAL!A6:BG""),8,FALSE))"),"CONSTRUCCION, MANTENIMIENTO Y REPARACION DE ESTRUCTURAS EN GUADUA")</f>
        <v>CONSTRUCCION, MANTENIMIENTO Y REPARACION DE ESTRUCTURAS EN GUADUA</v>
      </c>
      <c r="H58" s="490"/>
      <c r="I58" s="490"/>
      <c r="J58" s="490"/>
      <c r="K58" s="495" t="s">
        <v>44</v>
      </c>
      <c r="L58" s="495"/>
      <c r="M58" s="495"/>
      <c r="N58" s="495"/>
      <c r="O58" s="495"/>
      <c r="P58" s="495"/>
      <c r="Q58" s="496"/>
      <c r="R58" s="499"/>
      <c r="S58" s="495"/>
      <c r="T58" s="497"/>
      <c r="U58" s="495"/>
      <c r="V58" s="495"/>
      <c r="W58" s="491"/>
      <c r="X58" s="491"/>
      <c r="Y58" s="491"/>
      <c r="Z58" s="491"/>
      <c r="AA58" s="491"/>
      <c r="AB58" s="491"/>
      <c r="AC58" s="491"/>
      <c r="AD58" s="491"/>
      <c r="AE58" s="491"/>
      <c r="AF58" s="491"/>
      <c r="AG58" s="491"/>
      <c r="AH58" s="491"/>
      <c r="AI58" s="491"/>
      <c r="AJ58" s="491"/>
      <c r="AK58" s="491"/>
      <c r="AL58" s="491"/>
      <c r="AM58" s="491"/>
      <c r="AN58" s="491"/>
      <c r="AO58" s="491"/>
      <c r="AP58" s="491"/>
      <c r="AQ58" s="493">
        <f ca="1">IFERROR(__xludf.DUMMYFUNCTION("IFERROR(VLOOKUP(E113&amp;F113,IMPORTRANGE(""https://docs.google.com/spreadsheets/d/1Uw7-A9f9R21vMXxHZFNpYNeKFtG8_yji4HS352LGlSQ/edit?pli=1#gid=0"",""1_ACUM!A4:S""),18,FALSE))"),44094)</f>
        <v>44094</v>
      </c>
      <c r="AR58" s="493">
        <f ca="1">IFERROR(__xludf.DUMMYFUNCTION("IFERROR(VLOOKUP(E113&amp;F113,IMPORTRANGE(""https://docs.google.com/spreadsheets/d/1Uw7-A9f9R21vMXxHZFNpYNeKFtG8_yji4HS352LGlSQ/edit?pli=1#gid=0"",""1_ACUM!A4:S""),19,FALSE))"),44367)</f>
        <v>44367</v>
      </c>
      <c r="AS58" s="493">
        <f ca="1">IFERROR(__xludf.DUMMYFUNCTION("IFERROR(VLOOKUP(F113,IMPORTRANGE(""https://docs.google.com/spreadsheets/d/1Kvs4KS76FHFqLFIZfrDMff4kP08nblUkihrxltoGBjg/edit#gid=934712705"",""ESENCIAL!A6:BG""),5,FALSE))"),44550)</f>
        <v>44550</v>
      </c>
      <c r="AT58" s="493">
        <f t="shared" ca="1" si="2"/>
        <v>45097</v>
      </c>
      <c r="AU58" s="491"/>
      <c r="AV58" s="491"/>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c r="CD58" s="164"/>
      <c r="CE58" s="164"/>
      <c r="CF58" s="164"/>
      <c r="CG58" s="164"/>
      <c r="CH58" s="164"/>
      <c r="CI58" s="164"/>
      <c r="CJ58" s="164"/>
      <c r="CK58" s="164"/>
      <c r="CL58" s="164"/>
      <c r="CM58" s="164"/>
      <c r="CN58" s="164"/>
      <c r="CO58" s="164"/>
      <c r="CP58" s="164"/>
      <c r="CQ58" s="164"/>
      <c r="CR58" s="164"/>
      <c r="CS58" s="164"/>
      <c r="CT58" s="164"/>
    </row>
    <row r="59" spans="1:98" ht="48">
      <c r="A59" s="491"/>
      <c r="B59" s="490" t="s">
        <v>343</v>
      </c>
      <c r="C59" s="490" t="s">
        <v>27</v>
      </c>
      <c r="D59" s="490">
        <v>1082779843</v>
      </c>
      <c r="E59" s="490">
        <v>2206479</v>
      </c>
      <c r="F59" s="491" t="str">
        <f ca="1">IFERROR(__xludf.DUMMYFUNCTION("IFERROR(VLOOKUP(F115,IMPORTRANGE(""https://docs.google.com/spreadsheets/d/1Kvs4KS76FHFqLFIZfrDMff4kP08nblUkihrxltoGBjg/edit#gid=934712705"",""ESENCIAL!A6:BG""),3,FALSE))"),"TÉCNICO")</f>
        <v>TÉCNICO</v>
      </c>
      <c r="G59" s="491" t="str">
        <f ca="1">IFERROR(__xludf.DUMMYFUNCTION("IFERROR(VLOOKUP(F115,IMPORTRANGE(""https://docs.google.com/spreadsheets/d/1Kvs4KS76FHFqLFIZfrDMff4kP08nblUkihrxltoGBjg/edit#gid=934712705"",""ESENCIAL!A6:BG""),8,FALSE))"),"CONSTRUCCION, MANTENIMIENTO Y REPARACION DE ESTRUCTURAS EN GUADUA")</f>
        <v>CONSTRUCCION, MANTENIMIENTO Y REPARACION DE ESTRUCTURAS EN GUADUA</v>
      </c>
      <c r="H59" s="490"/>
      <c r="I59" s="490"/>
      <c r="J59" s="490"/>
      <c r="K59" s="495" t="s">
        <v>44</v>
      </c>
      <c r="L59" s="495"/>
      <c r="M59" s="495"/>
      <c r="N59" s="495"/>
      <c r="O59" s="495"/>
      <c r="P59" s="495"/>
      <c r="Q59" s="496"/>
      <c r="R59" s="499"/>
      <c r="S59" s="495"/>
      <c r="T59" s="497"/>
      <c r="U59" s="495"/>
      <c r="V59" s="495"/>
      <c r="W59" s="491"/>
      <c r="X59" s="491"/>
      <c r="Y59" s="491"/>
      <c r="Z59" s="491"/>
      <c r="AA59" s="491"/>
      <c r="AB59" s="491"/>
      <c r="AC59" s="491"/>
      <c r="AD59" s="491"/>
      <c r="AE59" s="491"/>
      <c r="AF59" s="491"/>
      <c r="AG59" s="491"/>
      <c r="AH59" s="491"/>
      <c r="AI59" s="491"/>
      <c r="AJ59" s="491"/>
      <c r="AK59" s="491"/>
      <c r="AL59" s="491"/>
      <c r="AM59" s="491"/>
      <c r="AN59" s="491"/>
      <c r="AO59" s="491"/>
      <c r="AP59" s="491"/>
      <c r="AQ59" s="493">
        <f ca="1">IFERROR(__xludf.DUMMYFUNCTION("IFERROR(VLOOKUP(E115&amp;F115,IMPORTRANGE(""https://docs.google.com/spreadsheets/d/1Uw7-A9f9R21vMXxHZFNpYNeKFtG8_yji4HS352LGlSQ/edit?pli=1#gid=0"",""1_ACUM!A4:S""),18,FALSE))"),44094)</f>
        <v>44094</v>
      </c>
      <c r="AR59" s="493">
        <f ca="1">IFERROR(__xludf.DUMMYFUNCTION("IFERROR(VLOOKUP(E115&amp;F115,IMPORTRANGE(""https://docs.google.com/spreadsheets/d/1Uw7-A9f9R21vMXxHZFNpYNeKFtG8_yji4HS352LGlSQ/edit?pli=1#gid=0"",""1_ACUM!A4:S""),19,FALSE))"),44367)</f>
        <v>44367</v>
      </c>
      <c r="AS59" s="493">
        <f ca="1">IFERROR(__xludf.DUMMYFUNCTION("IFERROR(VLOOKUP(F115,IMPORTRANGE(""https://docs.google.com/spreadsheets/d/1Kvs4KS76FHFqLFIZfrDMff4kP08nblUkihrxltoGBjg/edit#gid=934712705"",""ESENCIAL!A6:BG""),5,FALSE))"),44550)</f>
        <v>44550</v>
      </c>
      <c r="AT59" s="493">
        <f t="shared" ca="1" si="2"/>
        <v>45097</v>
      </c>
      <c r="AU59" s="491"/>
      <c r="AV59" s="491"/>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c r="CD59" s="164"/>
      <c r="CE59" s="164"/>
      <c r="CF59" s="164"/>
      <c r="CG59" s="164"/>
      <c r="CH59" s="164"/>
      <c r="CI59" s="164"/>
      <c r="CJ59" s="164"/>
      <c r="CK59" s="164"/>
      <c r="CL59" s="164"/>
      <c r="CM59" s="164"/>
      <c r="CN59" s="164"/>
      <c r="CO59" s="164"/>
      <c r="CP59" s="164"/>
      <c r="CQ59" s="164"/>
      <c r="CR59" s="164"/>
      <c r="CS59" s="164"/>
      <c r="CT59" s="164"/>
    </row>
    <row r="60" spans="1:98" ht="48">
      <c r="A60" s="491"/>
      <c r="B60" s="490" t="s">
        <v>344</v>
      </c>
      <c r="C60" s="490" t="s">
        <v>27</v>
      </c>
      <c r="D60" s="490">
        <v>1082780239</v>
      </c>
      <c r="E60" s="490">
        <v>2206479</v>
      </c>
      <c r="F60" s="491" t="str">
        <f ca="1">IFERROR(__xludf.DUMMYFUNCTION("IFERROR(VLOOKUP(F116,IMPORTRANGE(""https://docs.google.com/spreadsheets/d/1Kvs4KS76FHFqLFIZfrDMff4kP08nblUkihrxltoGBjg/edit#gid=934712705"",""ESENCIAL!A6:BG""),3,FALSE))"),"TÉCNICO")</f>
        <v>TÉCNICO</v>
      </c>
      <c r="G60" s="491" t="str">
        <f ca="1">IFERROR(__xludf.DUMMYFUNCTION("IFERROR(VLOOKUP(F116,IMPORTRANGE(""https://docs.google.com/spreadsheets/d/1Kvs4KS76FHFqLFIZfrDMff4kP08nblUkihrxltoGBjg/edit#gid=934712705"",""ESENCIAL!A6:BG""),8,FALSE))"),"CONSTRUCCION, MANTENIMIENTO Y REPARACION DE ESTRUCTURAS EN GUADUA")</f>
        <v>CONSTRUCCION, MANTENIMIENTO Y REPARACION DE ESTRUCTURAS EN GUADUA</v>
      </c>
      <c r="H60" s="490"/>
      <c r="I60" s="490"/>
      <c r="J60" s="490"/>
      <c r="K60" s="495" t="s">
        <v>44</v>
      </c>
      <c r="L60" s="495"/>
      <c r="M60" s="495"/>
      <c r="N60" s="495"/>
      <c r="O60" s="495"/>
      <c r="P60" s="495"/>
      <c r="Q60" s="496"/>
      <c r="R60" s="499"/>
      <c r="S60" s="495"/>
      <c r="T60" s="497"/>
      <c r="U60" s="495"/>
      <c r="V60" s="495"/>
      <c r="W60" s="491"/>
      <c r="X60" s="491"/>
      <c r="Y60" s="491"/>
      <c r="Z60" s="491"/>
      <c r="AA60" s="491"/>
      <c r="AB60" s="491"/>
      <c r="AC60" s="491"/>
      <c r="AD60" s="491"/>
      <c r="AE60" s="491"/>
      <c r="AF60" s="491"/>
      <c r="AG60" s="491"/>
      <c r="AH60" s="491"/>
      <c r="AI60" s="491"/>
      <c r="AJ60" s="491"/>
      <c r="AK60" s="491"/>
      <c r="AL60" s="491"/>
      <c r="AM60" s="491"/>
      <c r="AN60" s="491"/>
      <c r="AO60" s="491"/>
      <c r="AP60" s="491"/>
      <c r="AQ60" s="493">
        <f ca="1">IFERROR(__xludf.DUMMYFUNCTION("IFERROR(VLOOKUP(E116&amp;F116,IMPORTRANGE(""https://docs.google.com/spreadsheets/d/1Uw7-A9f9R21vMXxHZFNpYNeKFtG8_yji4HS352LGlSQ/edit?pli=1#gid=0"",""1_ACUM!A4:S""),18,FALSE))"),44094)</f>
        <v>44094</v>
      </c>
      <c r="AR60" s="493">
        <f ca="1">IFERROR(__xludf.DUMMYFUNCTION("IFERROR(VLOOKUP(E116&amp;F116,IMPORTRANGE(""https://docs.google.com/spreadsheets/d/1Uw7-A9f9R21vMXxHZFNpYNeKFtG8_yji4HS352LGlSQ/edit?pli=1#gid=0"",""1_ACUM!A4:S""),19,FALSE))"),44367)</f>
        <v>44367</v>
      </c>
      <c r="AS60" s="493">
        <f ca="1">IFERROR(__xludf.DUMMYFUNCTION("IFERROR(VLOOKUP(F116,IMPORTRANGE(""https://docs.google.com/spreadsheets/d/1Kvs4KS76FHFqLFIZfrDMff4kP08nblUkihrxltoGBjg/edit#gid=934712705"",""ESENCIAL!A6:BG""),5,FALSE))"),44550)</f>
        <v>44550</v>
      </c>
      <c r="AT60" s="493">
        <f t="shared" ref="AT60:AT91" ca="1" si="3">IF(E60&gt;0,EDATE(AS60,18),"")</f>
        <v>45097</v>
      </c>
      <c r="AU60" s="491"/>
      <c r="AV60" s="491"/>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c r="CD60" s="164"/>
      <c r="CE60" s="164"/>
      <c r="CF60" s="164"/>
      <c r="CG60" s="164"/>
      <c r="CH60" s="164"/>
      <c r="CI60" s="164"/>
      <c r="CJ60" s="164"/>
      <c r="CK60" s="164"/>
      <c r="CL60" s="164"/>
      <c r="CM60" s="164"/>
      <c r="CN60" s="164"/>
      <c r="CO60" s="164"/>
      <c r="CP60" s="164"/>
      <c r="CQ60" s="164"/>
      <c r="CR60" s="164"/>
      <c r="CS60" s="164"/>
      <c r="CT60" s="164"/>
    </row>
    <row r="61" spans="1:98" ht="48">
      <c r="A61" s="491"/>
      <c r="B61" s="490" t="s">
        <v>345</v>
      </c>
      <c r="C61" s="490" t="s">
        <v>27</v>
      </c>
      <c r="D61" s="490">
        <v>1082780500</v>
      </c>
      <c r="E61" s="490">
        <v>2206479</v>
      </c>
      <c r="F61" s="491" t="str">
        <f ca="1">IFERROR(__xludf.DUMMYFUNCTION("IFERROR(VLOOKUP(F117,IMPORTRANGE(""https://docs.google.com/spreadsheets/d/1Kvs4KS76FHFqLFIZfrDMff4kP08nblUkihrxltoGBjg/edit#gid=934712705"",""ESENCIAL!A6:BG""),3,FALSE))"),"TÉCNICO")</f>
        <v>TÉCNICO</v>
      </c>
      <c r="G61" s="491" t="str">
        <f ca="1">IFERROR(__xludf.DUMMYFUNCTION("IFERROR(VLOOKUP(F117,IMPORTRANGE(""https://docs.google.com/spreadsheets/d/1Kvs4KS76FHFqLFIZfrDMff4kP08nblUkihrxltoGBjg/edit#gid=934712705"",""ESENCIAL!A6:BG""),8,FALSE))"),"CONSTRUCCION, MANTENIMIENTO Y REPARACION DE ESTRUCTURAS EN GUADUA")</f>
        <v>CONSTRUCCION, MANTENIMIENTO Y REPARACION DE ESTRUCTURAS EN GUADUA</v>
      </c>
      <c r="H61" s="490"/>
      <c r="I61" s="490"/>
      <c r="J61" s="490"/>
      <c r="K61" s="495" t="s">
        <v>44</v>
      </c>
      <c r="L61" s="495"/>
      <c r="M61" s="495"/>
      <c r="N61" s="495"/>
      <c r="O61" s="495"/>
      <c r="P61" s="495"/>
      <c r="Q61" s="496"/>
      <c r="R61" s="499"/>
      <c r="S61" s="495"/>
      <c r="T61" s="497"/>
      <c r="U61" s="495"/>
      <c r="V61" s="495"/>
      <c r="W61" s="491"/>
      <c r="X61" s="491"/>
      <c r="Y61" s="491"/>
      <c r="Z61" s="491"/>
      <c r="AA61" s="491"/>
      <c r="AB61" s="491"/>
      <c r="AC61" s="491"/>
      <c r="AD61" s="491"/>
      <c r="AE61" s="491"/>
      <c r="AF61" s="491"/>
      <c r="AG61" s="491"/>
      <c r="AH61" s="491"/>
      <c r="AI61" s="491"/>
      <c r="AJ61" s="491"/>
      <c r="AK61" s="491"/>
      <c r="AL61" s="491"/>
      <c r="AM61" s="491"/>
      <c r="AN61" s="491"/>
      <c r="AO61" s="491"/>
      <c r="AP61" s="491"/>
      <c r="AQ61" s="493">
        <f ca="1">IFERROR(__xludf.DUMMYFUNCTION("IFERROR(VLOOKUP(E117&amp;F117,IMPORTRANGE(""https://docs.google.com/spreadsheets/d/1Uw7-A9f9R21vMXxHZFNpYNeKFtG8_yji4HS352LGlSQ/edit?pli=1#gid=0"",""1_ACUM!A4:S""),18,FALSE))"),44094)</f>
        <v>44094</v>
      </c>
      <c r="AR61" s="493">
        <f ca="1">IFERROR(__xludf.DUMMYFUNCTION("IFERROR(VLOOKUP(E117&amp;F117,IMPORTRANGE(""https://docs.google.com/spreadsheets/d/1Uw7-A9f9R21vMXxHZFNpYNeKFtG8_yji4HS352LGlSQ/edit?pli=1#gid=0"",""1_ACUM!A4:S""),19,FALSE))"),44367)</f>
        <v>44367</v>
      </c>
      <c r="AS61" s="493">
        <f ca="1">IFERROR(__xludf.DUMMYFUNCTION("IFERROR(VLOOKUP(F117,IMPORTRANGE(""https://docs.google.com/spreadsheets/d/1Kvs4KS76FHFqLFIZfrDMff4kP08nblUkihrxltoGBjg/edit#gid=934712705"",""ESENCIAL!A6:BG""),5,FALSE))"),44550)</f>
        <v>44550</v>
      </c>
      <c r="AT61" s="493">
        <f t="shared" ca="1" si="3"/>
        <v>45097</v>
      </c>
      <c r="AU61" s="491"/>
      <c r="AV61" s="491"/>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c r="CD61" s="164"/>
      <c r="CE61" s="164"/>
      <c r="CF61" s="164"/>
      <c r="CG61" s="164"/>
      <c r="CH61" s="164"/>
      <c r="CI61" s="164"/>
      <c r="CJ61" s="164"/>
      <c r="CK61" s="164"/>
      <c r="CL61" s="164"/>
      <c r="CM61" s="164"/>
      <c r="CN61" s="164"/>
      <c r="CO61" s="164"/>
      <c r="CP61" s="164"/>
      <c r="CQ61" s="164"/>
      <c r="CR61" s="164"/>
      <c r="CS61" s="164"/>
      <c r="CT61" s="164"/>
    </row>
    <row r="62" spans="1:98" ht="48">
      <c r="A62" s="491"/>
      <c r="B62" s="490" t="s">
        <v>346</v>
      </c>
      <c r="C62" s="490" t="s">
        <v>27</v>
      </c>
      <c r="D62" s="490">
        <v>1082781409</v>
      </c>
      <c r="E62" s="490">
        <v>2206479</v>
      </c>
      <c r="F62" s="491" t="str">
        <f ca="1">IFERROR(__xludf.DUMMYFUNCTION("IFERROR(VLOOKUP(F119,IMPORTRANGE(""https://docs.google.com/spreadsheets/d/1Kvs4KS76FHFqLFIZfrDMff4kP08nblUkihrxltoGBjg/edit#gid=934712705"",""ESENCIAL!A6:BG""),3,FALSE))"),"TÉCNICO")</f>
        <v>TÉCNICO</v>
      </c>
      <c r="G62" s="491" t="str">
        <f ca="1">IFERROR(__xludf.DUMMYFUNCTION("IFERROR(VLOOKUP(F119,IMPORTRANGE(""https://docs.google.com/spreadsheets/d/1Kvs4KS76FHFqLFIZfrDMff4kP08nblUkihrxltoGBjg/edit#gid=934712705"",""ESENCIAL!A6:BG""),8,FALSE))"),"CONSTRUCCION, MANTENIMIENTO Y REPARACION DE ESTRUCTURAS EN GUADUA")</f>
        <v>CONSTRUCCION, MANTENIMIENTO Y REPARACION DE ESTRUCTURAS EN GUADUA</v>
      </c>
      <c r="H62" s="490"/>
      <c r="I62" s="490"/>
      <c r="J62" s="490"/>
      <c r="K62" s="495" t="s">
        <v>44</v>
      </c>
      <c r="L62" s="495"/>
      <c r="M62" s="495"/>
      <c r="N62" s="495"/>
      <c r="O62" s="495"/>
      <c r="P62" s="495"/>
      <c r="Q62" s="496"/>
      <c r="R62" s="499"/>
      <c r="S62" s="495"/>
      <c r="T62" s="497"/>
      <c r="U62" s="495"/>
      <c r="V62" s="495"/>
      <c r="W62" s="491"/>
      <c r="X62" s="491"/>
      <c r="Y62" s="491"/>
      <c r="Z62" s="491"/>
      <c r="AA62" s="491"/>
      <c r="AB62" s="491"/>
      <c r="AC62" s="491"/>
      <c r="AD62" s="491"/>
      <c r="AE62" s="491"/>
      <c r="AF62" s="491"/>
      <c r="AG62" s="491"/>
      <c r="AH62" s="491"/>
      <c r="AI62" s="491"/>
      <c r="AJ62" s="491"/>
      <c r="AK62" s="491"/>
      <c r="AL62" s="491"/>
      <c r="AM62" s="491"/>
      <c r="AN62" s="491"/>
      <c r="AO62" s="491"/>
      <c r="AP62" s="491"/>
      <c r="AQ62" s="493">
        <f ca="1">IFERROR(__xludf.DUMMYFUNCTION("IFERROR(VLOOKUP(E119&amp;F119,IMPORTRANGE(""https://docs.google.com/spreadsheets/d/1Uw7-A9f9R21vMXxHZFNpYNeKFtG8_yji4HS352LGlSQ/edit?pli=1#gid=0"",""1_ACUM!A4:S""),18,FALSE))"),44094)</f>
        <v>44094</v>
      </c>
      <c r="AR62" s="493">
        <f ca="1">IFERROR(__xludf.DUMMYFUNCTION("IFERROR(VLOOKUP(E119&amp;F119,IMPORTRANGE(""https://docs.google.com/spreadsheets/d/1Uw7-A9f9R21vMXxHZFNpYNeKFtG8_yji4HS352LGlSQ/edit?pli=1#gid=0"",""1_ACUM!A4:S""),19,FALSE))"),44367)</f>
        <v>44367</v>
      </c>
      <c r="AS62" s="493">
        <f ca="1">IFERROR(__xludf.DUMMYFUNCTION("IFERROR(VLOOKUP(F119,IMPORTRANGE(""https://docs.google.com/spreadsheets/d/1Kvs4KS76FHFqLFIZfrDMff4kP08nblUkihrxltoGBjg/edit#gid=934712705"",""ESENCIAL!A6:BG""),5,FALSE))"),44550)</f>
        <v>44550</v>
      </c>
      <c r="AT62" s="493">
        <f t="shared" ca="1" si="3"/>
        <v>45097</v>
      </c>
      <c r="AU62" s="491"/>
      <c r="AV62" s="491"/>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c r="CD62" s="164"/>
      <c r="CE62" s="164"/>
      <c r="CF62" s="164"/>
      <c r="CG62" s="164"/>
      <c r="CH62" s="164"/>
      <c r="CI62" s="164"/>
      <c r="CJ62" s="164"/>
      <c r="CK62" s="164"/>
      <c r="CL62" s="164"/>
      <c r="CM62" s="164"/>
      <c r="CN62" s="164"/>
      <c r="CO62" s="164"/>
      <c r="CP62" s="164"/>
      <c r="CQ62" s="164"/>
      <c r="CR62" s="164"/>
      <c r="CS62" s="164"/>
      <c r="CT62" s="164"/>
    </row>
    <row r="63" spans="1:98" ht="48">
      <c r="A63" s="491"/>
      <c r="B63" s="490" t="s">
        <v>347</v>
      </c>
      <c r="C63" s="490" t="s">
        <v>27</v>
      </c>
      <c r="D63" s="490">
        <v>1193134987</v>
      </c>
      <c r="E63" s="490">
        <v>2206479</v>
      </c>
      <c r="F63" s="491" t="str">
        <f ca="1">IFERROR(__xludf.DUMMYFUNCTION("IFERROR(VLOOKUP(F120,IMPORTRANGE(""https://docs.google.com/spreadsheets/d/1Kvs4KS76FHFqLFIZfrDMff4kP08nblUkihrxltoGBjg/edit#gid=934712705"",""ESENCIAL!A6:BG""),3,FALSE))"),"TÉCNICO")</f>
        <v>TÉCNICO</v>
      </c>
      <c r="G63" s="491" t="str">
        <f ca="1">IFERROR(__xludf.DUMMYFUNCTION("IFERROR(VLOOKUP(F120,IMPORTRANGE(""https://docs.google.com/spreadsheets/d/1Kvs4KS76FHFqLFIZfrDMff4kP08nblUkihrxltoGBjg/edit#gid=934712705"",""ESENCIAL!A6:BG""),8,FALSE))"),"CONSTRUCCION, MANTENIMIENTO Y REPARACION DE ESTRUCTURAS EN GUADUA")</f>
        <v>CONSTRUCCION, MANTENIMIENTO Y REPARACION DE ESTRUCTURAS EN GUADUA</v>
      </c>
      <c r="H63" s="490"/>
      <c r="I63" s="490"/>
      <c r="J63" s="490"/>
      <c r="K63" s="495" t="s">
        <v>44</v>
      </c>
      <c r="L63" s="495"/>
      <c r="M63" s="495"/>
      <c r="N63" s="495"/>
      <c r="O63" s="495"/>
      <c r="P63" s="495"/>
      <c r="Q63" s="496"/>
      <c r="R63" s="499"/>
      <c r="S63" s="495"/>
      <c r="T63" s="497"/>
      <c r="U63" s="495"/>
      <c r="V63" s="495"/>
      <c r="W63" s="491"/>
      <c r="X63" s="491"/>
      <c r="Y63" s="491"/>
      <c r="Z63" s="491"/>
      <c r="AA63" s="491"/>
      <c r="AB63" s="491"/>
      <c r="AC63" s="491"/>
      <c r="AD63" s="491"/>
      <c r="AE63" s="491"/>
      <c r="AF63" s="491"/>
      <c r="AG63" s="491"/>
      <c r="AH63" s="491"/>
      <c r="AI63" s="491"/>
      <c r="AJ63" s="491"/>
      <c r="AK63" s="491"/>
      <c r="AL63" s="491"/>
      <c r="AM63" s="491"/>
      <c r="AN63" s="491"/>
      <c r="AO63" s="491"/>
      <c r="AP63" s="491"/>
      <c r="AQ63" s="493">
        <f ca="1">IFERROR(__xludf.DUMMYFUNCTION("IFERROR(VLOOKUP(E120&amp;F120,IMPORTRANGE(""https://docs.google.com/spreadsheets/d/1Uw7-A9f9R21vMXxHZFNpYNeKFtG8_yji4HS352LGlSQ/edit?pli=1#gid=0"",""1_ACUM!A4:S""),18,FALSE))"),44094)</f>
        <v>44094</v>
      </c>
      <c r="AR63" s="493">
        <f ca="1">IFERROR(__xludf.DUMMYFUNCTION("IFERROR(VLOOKUP(E120&amp;F120,IMPORTRANGE(""https://docs.google.com/spreadsheets/d/1Uw7-A9f9R21vMXxHZFNpYNeKFtG8_yji4HS352LGlSQ/edit?pli=1#gid=0"",""1_ACUM!A4:S""),19,FALSE))"),44367)</f>
        <v>44367</v>
      </c>
      <c r="AS63" s="493">
        <f ca="1">IFERROR(__xludf.DUMMYFUNCTION("IFERROR(VLOOKUP(F120,IMPORTRANGE(""https://docs.google.com/spreadsheets/d/1Kvs4KS76FHFqLFIZfrDMff4kP08nblUkihrxltoGBjg/edit#gid=934712705"",""ESENCIAL!A6:BG""),5,FALSE))"),44550)</f>
        <v>44550</v>
      </c>
      <c r="AT63" s="493">
        <f t="shared" ca="1" si="3"/>
        <v>45097</v>
      </c>
      <c r="AU63" s="491"/>
      <c r="AV63" s="491"/>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c r="CD63" s="164"/>
      <c r="CE63" s="164"/>
      <c r="CF63" s="164"/>
      <c r="CG63" s="164"/>
      <c r="CH63" s="164"/>
      <c r="CI63" s="164"/>
      <c r="CJ63" s="164"/>
      <c r="CK63" s="164"/>
      <c r="CL63" s="164"/>
      <c r="CM63" s="164"/>
      <c r="CN63" s="164"/>
      <c r="CO63" s="164"/>
      <c r="CP63" s="164"/>
      <c r="CQ63" s="164"/>
      <c r="CR63" s="164"/>
      <c r="CS63" s="164"/>
      <c r="CT63" s="164"/>
    </row>
    <row r="64" spans="1:98" ht="48">
      <c r="A64" s="491"/>
      <c r="B64" s="490" t="s">
        <v>348</v>
      </c>
      <c r="C64" s="490" t="s">
        <v>27</v>
      </c>
      <c r="D64" s="490">
        <v>12143261</v>
      </c>
      <c r="E64" s="490">
        <v>2206479</v>
      </c>
      <c r="F64" s="491" t="str">
        <f ca="1">IFERROR(__xludf.DUMMYFUNCTION("IFERROR(VLOOKUP(F122,IMPORTRANGE(""https://docs.google.com/spreadsheets/d/1Kvs4KS76FHFqLFIZfrDMff4kP08nblUkihrxltoGBjg/edit#gid=934712705"",""ESENCIAL!A6:BG""),3,FALSE))"),"TÉCNICO")</f>
        <v>TÉCNICO</v>
      </c>
      <c r="G64" s="491" t="str">
        <f ca="1">IFERROR(__xludf.DUMMYFUNCTION("IFERROR(VLOOKUP(F122,IMPORTRANGE(""https://docs.google.com/spreadsheets/d/1Kvs4KS76FHFqLFIZfrDMff4kP08nblUkihrxltoGBjg/edit#gid=934712705"",""ESENCIAL!A6:BG""),8,FALSE))"),"CONSTRUCCION, MANTENIMIENTO Y REPARACION DE ESTRUCTURAS EN GUADUA")</f>
        <v>CONSTRUCCION, MANTENIMIENTO Y REPARACION DE ESTRUCTURAS EN GUADUA</v>
      </c>
      <c r="H64" s="490"/>
      <c r="I64" s="490"/>
      <c r="J64" s="490"/>
      <c r="K64" s="495" t="s">
        <v>44</v>
      </c>
      <c r="L64" s="495"/>
      <c r="M64" s="495"/>
      <c r="N64" s="495"/>
      <c r="O64" s="495"/>
      <c r="P64" s="495"/>
      <c r="Q64" s="496"/>
      <c r="R64" s="499"/>
      <c r="S64" s="495"/>
      <c r="T64" s="497"/>
      <c r="U64" s="495"/>
      <c r="V64" s="495"/>
      <c r="W64" s="491"/>
      <c r="X64" s="491"/>
      <c r="Y64" s="491"/>
      <c r="Z64" s="491"/>
      <c r="AA64" s="491"/>
      <c r="AB64" s="491"/>
      <c r="AC64" s="491"/>
      <c r="AD64" s="491"/>
      <c r="AE64" s="491"/>
      <c r="AF64" s="491"/>
      <c r="AG64" s="491"/>
      <c r="AH64" s="491"/>
      <c r="AI64" s="491"/>
      <c r="AJ64" s="491"/>
      <c r="AK64" s="491"/>
      <c r="AL64" s="491"/>
      <c r="AM64" s="491"/>
      <c r="AN64" s="491"/>
      <c r="AO64" s="491"/>
      <c r="AP64" s="491"/>
      <c r="AQ64" s="493">
        <f ca="1">IFERROR(__xludf.DUMMYFUNCTION("IFERROR(VLOOKUP(E122&amp;F122,IMPORTRANGE(""https://docs.google.com/spreadsheets/d/1Uw7-A9f9R21vMXxHZFNpYNeKFtG8_yji4HS352LGlSQ/edit?pli=1#gid=0"",""1_ACUM!A4:S""),18,FALSE))"),44094)</f>
        <v>44094</v>
      </c>
      <c r="AR64" s="493">
        <f ca="1">IFERROR(__xludf.DUMMYFUNCTION("IFERROR(VLOOKUP(E122&amp;F122,IMPORTRANGE(""https://docs.google.com/spreadsheets/d/1Uw7-A9f9R21vMXxHZFNpYNeKFtG8_yji4HS352LGlSQ/edit?pli=1#gid=0"",""1_ACUM!A4:S""),19,FALSE))"),44367)</f>
        <v>44367</v>
      </c>
      <c r="AS64" s="493">
        <f ca="1">IFERROR(__xludf.DUMMYFUNCTION("IFERROR(VLOOKUP(F122,IMPORTRANGE(""https://docs.google.com/spreadsheets/d/1Kvs4KS76FHFqLFIZfrDMff4kP08nblUkihrxltoGBjg/edit#gid=934712705"",""ESENCIAL!A6:BG""),5,FALSE))"),44550)</f>
        <v>44550</v>
      </c>
      <c r="AT64" s="493">
        <f t="shared" ca="1" si="3"/>
        <v>45097</v>
      </c>
      <c r="AU64" s="491"/>
      <c r="AV64" s="491"/>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c r="CD64" s="164"/>
      <c r="CE64" s="164"/>
      <c r="CF64" s="164"/>
      <c r="CG64" s="164"/>
      <c r="CH64" s="164"/>
      <c r="CI64" s="164"/>
      <c r="CJ64" s="164"/>
      <c r="CK64" s="164"/>
      <c r="CL64" s="164"/>
      <c r="CM64" s="164"/>
      <c r="CN64" s="164"/>
      <c r="CO64" s="164"/>
      <c r="CP64" s="164"/>
      <c r="CQ64" s="164"/>
      <c r="CR64" s="164"/>
      <c r="CS64" s="164"/>
      <c r="CT64" s="164"/>
    </row>
    <row r="65" spans="1:98" ht="48">
      <c r="A65" s="491"/>
      <c r="B65" s="490" t="s">
        <v>349</v>
      </c>
      <c r="C65" s="490" t="s">
        <v>27</v>
      </c>
      <c r="D65" s="490">
        <v>12143523</v>
      </c>
      <c r="E65" s="490">
        <v>2206479</v>
      </c>
      <c r="F65" s="491" t="str">
        <f ca="1">IFERROR(__xludf.DUMMYFUNCTION("IFERROR(VLOOKUP(F124,IMPORTRANGE(""https://docs.google.com/spreadsheets/d/1Kvs4KS76FHFqLFIZfrDMff4kP08nblUkihrxltoGBjg/edit#gid=934712705"",""ESENCIAL!A6:BG""),3,FALSE))"),"TÉCNICO")</f>
        <v>TÉCNICO</v>
      </c>
      <c r="G65" s="491" t="str">
        <f ca="1">IFERROR(__xludf.DUMMYFUNCTION("IFERROR(VLOOKUP(F124,IMPORTRANGE(""https://docs.google.com/spreadsheets/d/1Kvs4KS76FHFqLFIZfrDMff4kP08nblUkihrxltoGBjg/edit#gid=934712705"",""ESENCIAL!A6:BG""),8,FALSE))"),"CONSTRUCCION, MANTENIMIENTO Y REPARACION DE ESTRUCTURAS EN GUADUA")</f>
        <v>CONSTRUCCION, MANTENIMIENTO Y REPARACION DE ESTRUCTURAS EN GUADUA</v>
      </c>
      <c r="H65" s="490"/>
      <c r="I65" s="490"/>
      <c r="J65" s="490"/>
      <c r="K65" s="495" t="s">
        <v>44</v>
      </c>
      <c r="L65" s="495"/>
      <c r="M65" s="495"/>
      <c r="N65" s="495"/>
      <c r="O65" s="495"/>
      <c r="P65" s="495"/>
      <c r="Q65" s="496"/>
      <c r="R65" s="499"/>
      <c r="S65" s="495"/>
      <c r="T65" s="497"/>
      <c r="U65" s="495"/>
      <c r="V65" s="495"/>
      <c r="W65" s="491"/>
      <c r="X65" s="491"/>
      <c r="Y65" s="491"/>
      <c r="Z65" s="491"/>
      <c r="AA65" s="491"/>
      <c r="AB65" s="491"/>
      <c r="AC65" s="491"/>
      <c r="AD65" s="491"/>
      <c r="AE65" s="491"/>
      <c r="AF65" s="491"/>
      <c r="AG65" s="491"/>
      <c r="AH65" s="491"/>
      <c r="AI65" s="491"/>
      <c r="AJ65" s="491"/>
      <c r="AK65" s="491"/>
      <c r="AL65" s="491"/>
      <c r="AM65" s="491"/>
      <c r="AN65" s="491"/>
      <c r="AO65" s="491"/>
      <c r="AP65" s="491"/>
      <c r="AQ65" s="493">
        <f ca="1">IFERROR(__xludf.DUMMYFUNCTION("IFERROR(VLOOKUP(E124&amp;F124,IMPORTRANGE(""https://docs.google.com/spreadsheets/d/1Uw7-A9f9R21vMXxHZFNpYNeKFtG8_yji4HS352LGlSQ/edit?pli=1#gid=0"",""1_ACUM!A4:S""),18,FALSE))"),44094)</f>
        <v>44094</v>
      </c>
      <c r="AR65" s="493">
        <f ca="1">IFERROR(__xludf.DUMMYFUNCTION("IFERROR(VLOOKUP(E124&amp;F124,IMPORTRANGE(""https://docs.google.com/spreadsheets/d/1Uw7-A9f9R21vMXxHZFNpYNeKFtG8_yji4HS352LGlSQ/edit?pli=1#gid=0"",""1_ACUM!A4:S""),19,FALSE))"),44367)</f>
        <v>44367</v>
      </c>
      <c r="AS65" s="493">
        <f ca="1">IFERROR(__xludf.DUMMYFUNCTION("IFERROR(VLOOKUP(F124,IMPORTRANGE(""https://docs.google.com/spreadsheets/d/1Kvs4KS76FHFqLFIZfrDMff4kP08nblUkihrxltoGBjg/edit#gid=934712705"",""ESENCIAL!A6:BG""),5,FALSE))"),44550)</f>
        <v>44550</v>
      </c>
      <c r="AT65" s="493">
        <f t="shared" ca="1" si="3"/>
        <v>45097</v>
      </c>
      <c r="AU65" s="491"/>
      <c r="AV65" s="491"/>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c r="CD65" s="164"/>
      <c r="CE65" s="164"/>
      <c r="CF65" s="164"/>
      <c r="CG65" s="164"/>
      <c r="CH65" s="164"/>
      <c r="CI65" s="164"/>
      <c r="CJ65" s="164"/>
      <c r="CK65" s="164"/>
      <c r="CL65" s="164"/>
      <c r="CM65" s="164"/>
      <c r="CN65" s="164"/>
      <c r="CO65" s="164"/>
      <c r="CP65" s="164"/>
      <c r="CQ65" s="164"/>
      <c r="CR65" s="164"/>
      <c r="CS65" s="164"/>
      <c r="CT65" s="164"/>
    </row>
    <row r="66" spans="1:98" ht="48">
      <c r="A66" s="491"/>
      <c r="B66" s="490" t="s">
        <v>350</v>
      </c>
      <c r="C66" s="490" t="s">
        <v>27</v>
      </c>
      <c r="D66" s="490">
        <v>12182400</v>
      </c>
      <c r="E66" s="490">
        <v>2206479</v>
      </c>
      <c r="F66" s="491" t="str">
        <f ca="1">IFERROR(__xludf.DUMMYFUNCTION("IFERROR(VLOOKUP(F126,IMPORTRANGE(""https://docs.google.com/spreadsheets/d/1Kvs4KS76FHFqLFIZfrDMff4kP08nblUkihrxltoGBjg/edit#gid=934712705"",""ESENCIAL!A6:BG""),3,FALSE))"),"TÉCNICO")</f>
        <v>TÉCNICO</v>
      </c>
      <c r="G66" s="491" t="str">
        <f ca="1">IFERROR(__xludf.DUMMYFUNCTION("IFERROR(VLOOKUP(F126,IMPORTRANGE(""https://docs.google.com/spreadsheets/d/1Kvs4KS76FHFqLFIZfrDMff4kP08nblUkihrxltoGBjg/edit#gid=934712705"",""ESENCIAL!A6:BG""),8,FALSE))"),"CONSTRUCCION, MANTENIMIENTO Y REPARACION DE ESTRUCTURAS EN GUADUA")</f>
        <v>CONSTRUCCION, MANTENIMIENTO Y REPARACION DE ESTRUCTURAS EN GUADUA</v>
      </c>
      <c r="H66" s="490"/>
      <c r="I66" s="490"/>
      <c r="J66" s="490"/>
      <c r="K66" s="495" t="s">
        <v>44</v>
      </c>
      <c r="L66" s="495"/>
      <c r="M66" s="495"/>
      <c r="N66" s="495"/>
      <c r="O66" s="495"/>
      <c r="P66" s="495"/>
      <c r="Q66" s="496"/>
      <c r="R66" s="499"/>
      <c r="S66" s="495"/>
      <c r="T66" s="497"/>
      <c r="U66" s="495"/>
      <c r="V66" s="495"/>
      <c r="W66" s="491"/>
      <c r="X66" s="491"/>
      <c r="Y66" s="491"/>
      <c r="Z66" s="491"/>
      <c r="AA66" s="491"/>
      <c r="AB66" s="491"/>
      <c r="AC66" s="491"/>
      <c r="AD66" s="491"/>
      <c r="AE66" s="491"/>
      <c r="AF66" s="491"/>
      <c r="AG66" s="491"/>
      <c r="AH66" s="491"/>
      <c r="AI66" s="491"/>
      <c r="AJ66" s="491"/>
      <c r="AK66" s="491"/>
      <c r="AL66" s="491"/>
      <c r="AM66" s="491"/>
      <c r="AN66" s="491"/>
      <c r="AO66" s="491"/>
      <c r="AP66" s="491"/>
      <c r="AQ66" s="493">
        <f ca="1">IFERROR(__xludf.DUMMYFUNCTION("IFERROR(VLOOKUP(E126&amp;F126,IMPORTRANGE(""https://docs.google.com/spreadsheets/d/1Uw7-A9f9R21vMXxHZFNpYNeKFtG8_yji4HS352LGlSQ/edit?pli=1#gid=0"",""1_ACUM!A4:S""),18,FALSE))"),44094)</f>
        <v>44094</v>
      </c>
      <c r="AR66" s="493">
        <f ca="1">IFERROR(__xludf.DUMMYFUNCTION("IFERROR(VLOOKUP(E126&amp;F126,IMPORTRANGE(""https://docs.google.com/spreadsheets/d/1Uw7-A9f9R21vMXxHZFNpYNeKFtG8_yji4HS352LGlSQ/edit?pli=1#gid=0"",""1_ACUM!A4:S""),19,FALSE))"),44367)</f>
        <v>44367</v>
      </c>
      <c r="AS66" s="493">
        <f ca="1">IFERROR(__xludf.DUMMYFUNCTION("IFERROR(VLOOKUP(F126,IMPORTRANGE(""https://docs.google.com/spreadsheets/d/1Kvs4KS76FHFqLFIZfrDMff4kP08nblUkihrxltoGBjg/edit#gid=934712705"",""ESENCIAL!A6:BG""),5,FALSE))"),44550)</f>
        <v>44550</v>
      </c>
      <c r="AT66" s="493">
        <f t="shared" ca="1" si="3"/>
        <v>45097</v>
      </c>
      <c r="AU66" s="491"/>
      <c r="AV66" s="491"/>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c r="CD66" s="164"/>
      <c r="CE66" s="164"/>
      <c r="CF66" s="164"/>
      <c r="CG66" s="164"/>
      <c r="CH66" s="164"/>
      <c r="CI66" s="164"/>
      <c r="CJ66" s="164"/>
      <c r="CK66" s="164"/>
      <c r="CL66" s="164"/>
      <c r="CM66" s="164"/>
      <c r="CN66" s="164"/>
      <c r="CO66" s="164"/>
      <c r="CP66" s="164"/>
      <c r="CQ66" s="164"/>
      <c r="CR66" s="164"/>
      <c r="CS66" s="164"/>
      <c r="CT66" s="164"/>
    </row>
    <row r="67" spans="1:98" ht="48">
      <c r="A67" s="491"/>
      <c r="B67" s="490" t="s">
        <v>351</v>
      </c>
      <c r="C67" s="490" t="s">
        <v>27</v>
      </c>
      <c r="D67" s="490">
        <v>1007576233</v>
      </c>
      <c r="E67" s="490">
        <v>2206479</v>
      </c>
      <c r="F67" s="491" t="str">
        <f ca="1">IFERROR(__xludf.DUMMYFUNCTION("IFERROR(VLOOKUP(F127,IMPORTRANGE(""https://docs.google.com/spreadsheets/d/1Kvs4KS76FHFqLFIZfrDMff4kP08nblUkihrxltoGBjg/edit#gid=934712705"",""ESENCIAL!A6:BG""),3,FALSE))"),"TÉCNICO")</f>
        <v>TÉCNICO</v>
      </c>
      <c r="G67" s="491" t="str">
        <f ca="1">IFERROR(__xludf.DUMMYFUNCTION("IFERROR(VLOOKUP(F127,IMPORTRANGE(""https://docs.google.com/spreadsheets/d/1Kvs4KS76FHFqLFIZfrDMff4kP08nblUkihrxltoGBjg/edit#gid=934712705"",""ESENCIAL!A6:BG""),8,FALSE))"),"CONSTRUCCION, MANTENIMIENTO Y REPARACION DE ESTRUCTURAS EN GUADUA")</f>
        <v>CONSTRUCCION, MANTENIMIENTO Y REPARACION DE ESTRUCTURAS EN GUADUA</v>
      </c>
      <c r="H67" s="490"/>
      <c r="I67" s="490"/>
      <c r="J67" s="490"/>
      <c r="K67" s="495" t="s">
        <v>44</v>
      </c>
      <c r="L67" s="495"/>
      <c r="M67" s="495"/>
      <c r="N67" s="495"/>
      <c r="O67" s="495"/>
      <c r="P67" s="495"/>
      <c r="Q67" s="496"/>
      <c r="R67" s="499"/>
      <c r="S67" s="495"/>
      <c r="T67" s="497"/>
      <c r="U67" s="495"/>
      <c r="V67" s="495"/>
      <c r="W67" s="491"/>
      <c r="X67" s="491"/>
      <c r="Y67" s="491"/>
      <c r="Z67" s="491"/>
      <c r="AA67" s="491"/>
      <c r="AB67" s="491"/>
      <c r="AC67" s="491"/>
      <c r="AD67" s="491"/>
      <c r="AE67" s="491"/>
      <c r="AF67" s="491"/>
      <c r="AG67" s="491"/>
      <c r="AH67" s="491"/>
      <c r="AI67" s="491"/>
      <c r="AJ67" s="491"/>
      <c r="AK67" s="491"/>
      <c r="AL67" s="491"/>
      <c r="AM67" s="491"/>
      <c r="AN67" s="491"/>
      <c r="AO67" s="491"/>
      <c r="AP67" s="491"/>
      <c r="AQ67" s="493">
        <f ca="1">IFERROR(__xludf.DUMMYFUNCTION("IFERROR(VLOOKUP(E127&amp;F127,IMPORTRANGE(""https://docs.google.com/spreadsheets/d/1Uw7-A9f9R21vMXxHZFNpYNeKFtG8_yji4HS352LGlSQ/edit?pli=1#gid=0"",""1_ACUM!A4:S""),18,FALSE))"),44094)</f>
        <v>44094</v>
      </c>
      <c r="AR67" s="493">
        <f ca="1">IFERROR(__xludf.DUMMYFUNCTION("IFERROR(VLOOKUP(E127&amp;F127,IMPORTRANGE(""https://docs.google.com/spreadsheets/d/1Uw7-A9f9R21vMXxHZFNpYNeKFtG8_yji4HS352LGlSQ/edit?pli=1#gid=0"",""1_ACUM!A4:S""),19,FALSE))"),44367)</f>
        <v>44367</v>
      </c>
      <c r="AS67" s="493">
        <f ca="1">IFERROR(__xludf.DUMMYFUNCTION("IFERROR(VLOOKUP(F127,IMPORTRANGE(""https://docs.google.com/spreadsheets/d/1Kvs4KS76FHFqLFIZfrDMff4kP08nblUkihrxltoGBjg/edit#gid=934712705"",""ESENCIAL!A6:BG""),5,FALSE))"),44550)</f>
        <v>44550</v>
      </c>
      <c r="AT67" s="493">
        <f t="shared" ca="1" si="3"/>
        <v>45097</v>
      </c>
      <c r="AU67" s="491"/>
      <c r="AV67" s="491"/>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c r="CE67" s="164"/>
      <c r="CF67" s="164"/>
      <c r="CG67" s="164"/>
      <c r="CH67" s="164"/>
      <c r="CI67" s="164"/>
      <c r="CJ67" s="164"/>
      <c r="CK67" s="164"/>
      <c r="CL67" s="164"/>
      <c r="CM67" s="164"/>
      <c r="CN67" s="164"/>
      <c r="CO67" s="164"/>
      <c r="CP67" s="164"/>
      <c r="CQ67" s="164"/>
      <c r="CR67" s="164"/>
      <c r="CS67" s="164"/>
      <c r="CT67" s="164"/>
    </row>
    <row r="68" spans="1:98" ht="90">
      <c r="A68" s="491" t="s">
        <v>210</v>
      </c>
      <c r="B68" s="490" t="s">
        <v>352</v>
      </c>
      <c r="C68" s="490" t="s">
        <v>27</v>
      </c>
      <c r="D68" s="490">
        <v>1003804280</v>
      </c>
      <c r="E68" s="490">
        <v>2451001</v>
      </c>
      <c r="F68" s="491" t="str">
        <f ca="1">IFERROR(__xludf.DUMMYFUNCTION("IFERROR(VLOOKUP(F128,IMPORTRANGE(""https://docs.google.com/spreadsheets/d/1Kvs4KS76FHFqLFIZfrDMff4kP08nblUkihrxltoGBjg/edit#gid=934712705"",""ESENCIAL!A6:BG""),3,FALSE))"),"TÉCNICO")</f>
        <v>TÉCNICO</v>
      </c>
      <c r="G68" s="491" t="str">
        <f ca="1">IFERROR(__xludf.DUMMYFUNCTION("IFERROR(VLOOKUP(F128,IMPORTRANGE(""https://docs.google.com/spreadsheets/d/1Kvs4KS76FHFqLFIZfrDMff4kP08nblUkihrxltoGBjg/edit#gid=934712705"",""ESENCIAL!A6:BG""),8,FALSE))"),"DIBUJO ARQUITECTÓNICO")</f>
        <v>DIBUJO ARQUITECTÓNICO</v>
      </c>
      <c r="H68" s="490">
        <v>3167873339</v>
      </c>
      <c r="I68" s="490" t="s">
        <v>353</v>
      </c>
      <c r="J68" s="490"/>
      <c r="K68" s="495" t="s">
        <v>37</v>
      </c>
      <c r="L68" s="495" t="s">
        <v>354</v>
      </c>
      <c r="M68" s="495"/>
      <c r="N68" s="495"/>
      <c r="O68" s="495"/>
      <c r="P68" s="495"/>
      <c r="Q68" s="496">
        <v>44778</v>
      </c>
      <c r="R68" s="499">
        <v>44963</v>
      </c>
      <c r="S68" s="495" t="s">
        <v>355</v>
      </c>
      <c r="T68" s="497"/>
      <c r="U68" s="495"/>
      <c r="V68" s="495"/>
      <c r="W68" s="491"/>
      <c r="X68" s="491"/>
      <c r="Y68" s="491"/>
      <c r="Z68" s="491"/>
      <c r="AA68" s="491"/>
      <c r="AB68" s="491"/>
      <c r="AC68" s="491"/>
      <c r="AD68" s="491"/>
      <c r="AE68" s="491"/>
      <c r="AF68" s="491"/>
      <c r="AG68" s="491"/>
      <c r="AH68" s="491"/>
      <c r="AI68" s="491"/>
      <c r="AJ68" s="491"/>
      <c r="AK68" s="491"/>
      <c r="AL68" s="491"/>
      <c r="AM68" s="491"/>
      <c r="AN68" s="491"/>
      <c r="AO68" s="491"/>
      <c r="AP68" s="491" t="s">
        <v>210</v>
      </c>
      <c r="AQ68" s="493">
        <f ca="1">IFERROR(__xludf.DUMMYFUNCTION("IFERROR(VLOOKUP(E128&amp;F128,IMPORTRANGE(""https://docs.google.com/spreadsheets/d/1Uw7-A9f9R21vMXxHZFNpYNeKFtG8_yji4HS352LGlSQ/edit?pli=1#gid=0"",""1_ACUM!A4:S""),18,FALSE))"),44585)</f>
        <v>44585</v>
      </c>
      <c r="AR68" s="493">
        <f ca="1">IFERROR(__xludf.DUMMYFUNCTION("IFERROR(VLOOKUP(E128&amp;F128,IMPORTRANGE(""https://docs.google.com/spreadsheets/d/1Uw7-A9f9R21vMXxHZFNpYNeKFtG8_yji4HS352LGlSQ/edit?pli=1#gid=0"",""1_ACUM!A4:S""),19,FALSE))"),44765)</f>
        <v>44765</v>
      </c>
      <c r="AS68" s="493">
        <f ca="1">IFERROR(__xludf.DUMMYFUNCTION("IFERROR(VLOOKUP(F128,IMPORTRANGE(""https://docs.google.com/spreadsheets/d/1Kvs4KS76FHFqLFIZfrDMff4kP08nblUkihrxltoGBjg/edit#gid=934712705"",""ESENCIAL!A6:BG""),5,FALSE))"),44949)</f>
        <v>44949</v>
      </c>
      <c r="AT68" s="493">
        <f t="shared" ca="1" si="3"/>
        <v>45496</v>
      </c>
      <c r="AU68" s="491"/>
      <c r="AV68" s="491"/>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c r="CD68" s="164"/>
      <c r="CE68" s="164"/>
      <c r="CF68" s="164"/>
      <c r="CG68" s="164"/>
      <c r="CH68" s="164"/>
      <c r="CI68" s="164"/>
      <c r="CJ68" s="164"/>
      <c r="CK68" s="164"/>
      <c r="CL68" s="164"/>
      <c r="CM68" s="164"/>
      <c r="CN68" s="164"/>
      <c r="CO68" s="164"/>
      <c r="CP68" s="164"/>
      <c r="CQ68" s="164"/>
      <c r="CR68" s="164"/>
      <c r="CS68" s="164"/>
      <c r="CT68" s="164"/>
    </row>
    <row r="69" spans="1:98" ht="90">
      <c r="A69" s="491" t="s">
        <v>210</v>
      </c>
      <c r="B69" s="490" t="s">
        <v>356</v>
      </c>
      <c r="C69" s="490" t="s">
        <v>27</v>
      </c>
      <c r="D69" s="490">
        <v>1004418281</v>
      </c>
      <c r="E69" s="490">
        <v>2451001</v>
      </c>
      <c r="F69" s="491" t="str">
        <f ca="1">IFERROR(__xludf.DUMMYFUNCTION("IFERROR(VLOOKUP(F129,IMPORTRANGE(""https://docs.google.com/spreadsheets/d/1Kvs4KS76FHFqLFIZfrDMff4kP08nblUkihrxltoGBjg/edit#gid=934712705"",""ESENCIAL!A6:BG""),3,FALSE))"),"TÉCNICO")</f>
        <v>TÉCNICO</v>
      </c>
      <c r="G69" s="491" t="str">
        <f ca="1">IFERROR(__xludf.DUMMYFUNCTION("IFERROR(VLOOKUP(F129,IMPORTRANGE(""https://docs.google.com/spreadsheets/d/1Kvs4KS76FHFqLFIZfrDMff4kP08nblUkihrxltoGBjg/edit#gid=934712705"",""ESENCIAL!A6:BG""),8,FALSE))"),"DIBUJO ARQUITECTÓNICO")</f>
        <v>DIBUJO ARQUITECTÓNICO</v>
      </c>
      <c r="H69" s="490">
        <v>3178182114</v>
      </c>
      <c r="I69" s="490" t="s">
        <v>357</v>
      </c>
      <c r="J69" s="490"/>
      <c r="K69" s="495" t="s">
        <v>37</v>
      </c>
      <c r="L69" s="495" t="s">
        <v>354</v>
      </c>
      <c r="M69" s="495"/>
      <c r="N69" s="495"/>
      <c r="O69" s="495"/>
      <c r="P69" s="495"/>
      <c r="Q69" s="496">
        <v>44778</v>
      </c>
      <c r="R69" s="499">
        <v>44963</v>
      </c>
      <c r="S69" s="495" t="s">
        <v>355</v>
      </c>
      <c r="T69" s="497"/>
      <c r="U69" s="495"/>
      <c r="V69" s="495"/>
      <c r="W69" s="491"/>
      <c r="X69" s="491"/>
      <c r="Y69" s="491"/>
      <c r="Z69" s="491"/>
      <c r="AA69" s="491"/>
      <c r="AB69" s="491"/>
      <c r="AC69" s="491"/>
      <c r="AD69" s="491"/>
      <c r="AE69" s="491"/>
      <c r="AF69" s="491"/>
      <c r="AG69" s="491"/>
      <c r="AH69" s="491"/>
      <c r="AI69" s="491"/>
      <c r="AJ69" s="491"/>
      <c r="AK69" s="491"/>
      <c r="AL69" s="491"/>
      <c r="AM69" s="491"/>
      <c r="AN69" s="491"/>
      <c r="AO69" s="491"/>
      <c r="AP69" s="491" t="s">
        <v>210</v>
      </c>
      <c r="AQ69" s="493">
        <f ca="1">IFERROR(__xludf.DUMMYFUNCTION("IFERROR(VLOOKUP(E129&amp;F129,IMPORTRANGE(""https://docs.google.com/spreadsheets/d/1Uw7-A9f9R21vMXxHZFNpYNeKFtG8_yji4HS352LGlSQ/edit?pli=1#gid=0"",""1_ACUM!A4:S""),18,FALSE))"),44585)</f>
        <v>44585</v>
      </c>
      <c r="AR69" s="493">
        <f ca="1">IFERROR(__xludf.DUMMYFUNCTION("IFERROR(VLOOKUP(E129&amp;F129,IMPORTRANGE(""https://docs.google.com/spreadsheets/d/1Uw7-A9f9R21vMXxHZFNpYNeKFtG8_yji4HS352LGlSQ/edit?pli=1#gid=0"",""1_ACUM!A4:S""),19,FALSE))"),44765)</f>
        <v>44765</v>
      </c>
      <c r="AS69" s="493">
        <f ca="1">IFERROR(__xludf.DUMMYFUNCTION("IFERROR(VLOOKUP(F129,IMPORTRANGE(""https://docs.google.com/spreadsheets/d/1Kvs4KS76FHFqLFIZfrDMff4kP08nblUkihrxltoGBjg/edit#gid=934712705"",""ESENCIAL!A6:BG""),5,FALSE))"),44949)</f>
        <v>44949</v>
      </c>
      <c r="AT69" s="493">
        <f t="shared" ca="1" si="3"/>
        <v>45496</v>
      </c>
      <c r="AU69" s="491"/>
      <c r="AV69" s="491"/>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c r="CD69" s="164"/>
      <c r="CE69" s="164"/>
      <c r="CF69" s="164"/>
      <c r="CG69" s="164"/>
      <c r="CH69" s="164"/>
      <c r="CI69" s="164"/>
      <c r="CJ69" s="164"/>
      <c r="CK69" s="164"/>
      <c r="CL69" s="164"/>
      <c r="CM69" s="164"/>
      <c r="CN69" s="164"/>
      <c r="CO69" s="164"/>
      <c r="CP69" s="164"/>
      <c r="CQ69" s="164"/>
      <c r="CR69" s="164"/>
      <c r="CS69" s="164"/>
      <c r="CT69" s="164"/>
    </row>
    <row r="70" spans="1:98" ht="90">
      <c r="A70" s="491" t="s">
        <v>210</v>
      </c>
      <c r="B70" s="490" t="s">
        <v>358</v>
      </c>
      <c r="C70" s="490" t="s">
        <v>27</v>
      </c>
      <c r="D70" s="490">
        <v>1004418425</v>
      </c>
      <c r="E70" s="490">
        <v>2451001</v>
      </c>
      <c r="F70" s="491" t="str">
        <f ca="1">IFERROR(__xludf.DUMMYFUNCTION("IFERROR(VLOOKUP(F130,IMPORTRANGE(""https://docs.google.com/spreadsheets/d/1Kvs4KS76FHFqLFIZfrDMff4kP08nblUkihrxltoGBjg/edit#gid=934712705"",""ESENCIAL!A6:BG""),3,FALSE))"),"TÉCNICO")</f>
        <v>TÉCNICO</v>
      </c>
      <c r="G70" s="491" t="str">
        <f ca="1">IFERROR(__xludf.DUMMYFUNCTION("IFERROR(VLOOKUP(F130,IMPORTRANGE(""https://docs.google.com/spreadsheets/d/1Kvs4KS76FHFqLFIZfrDMff4kP08nblUkihrxltoGBjg/edit#gid=934712705"",""ESENCIAL!A6:BG""),8,FALSE))"),"DIBUJO ARQUITECTÓNICO")</f>
        <v>DIBUJO ARQUITECTÓNICO</v>
      </c>
      <c r="H70" s="490">
        <v>3112920521</v>
      </c>
      <c r="I70" s="490" t="s">
        <v>359</v>
      </c>
      <c r="J70" s="490"/>
      <c r="K70" s="495" t="s">
        <v>37</v>
      </c>
      <c r="L70" s="495" t="s">
        <v>354</v>
      </c>
      <c r="M70" s="495"/>
      <c r="N70" s="495"/>
      <c r="O70" s="495"/>
      <c r="P70" s="495"/>
      <c r="Q70" s="496">
        <v>44778</v>
      </c>
      <c r="R70" s="499">
        <v>44963</v>
      </c>
      <c r="S70" s="495" t="s">
        <v>355</v>
      </c>
      <c r="T70" s="497"/>
      <c r="U70" s="495"/>
      <c r="V70" s="495"/>
      <c r="W70" s="491"/>
      <c r="X70" s="491"/>
      <c r="Y70" s="491"/>
      <c r="Z70" s="491"/>
      <c r="AA70" s="491"/>
      <c r="AB70" s="491"/>
      <c r="AC70" s="491"/>
      <c r="AD70" s="491"/>
      <c r="AE70" s="491"/>
      <c r="AF70" s="491"/>
      <c r="AG70" s="491"/>
      <c r="AH70" s="491"/>
      <c r="AI70" s="491"/>
      <c r="AJ70" s="491"/>
      <c r="AK70" s="491"/>
      <c r="AL70" s="491"/>
      <c r="AM70" s="491"/>
      <c r="AN70" s="491"/>
      <c r="AO70" s="491"/>
      <c r="AP70" s="491" t="s">
        <v>210</v>
      </c>
      <c r="AQ70" s="493">
        <f ca="1">IFERROR(__xludf.DUMMYFUNCTION("IFERROR(VLOOKUP(E130&amp;F130,IMPORTRANGE(""https://docs.google.com/spreadsheets/d/1Uw7-A9f9R21vMXxHZFNpYNeKFtG8_yji4HS352LGlSQ/edit?pli=1#gid=0"",""1_ACUM!A4:S""),18,FALSE))"),44585)</f>
        <v>44585</v>
      </c>
      <c r="AR70" s="493">
        <f ca="1">IFERROR(__xludf.DUMMYFUNCTION("IFERROR(VLOOKUP(E130&amp;F130,IMPORTRANGE(""https://docs.google.com/spreadsheets/d/1Uw7-A9f9R21vMXxHZFNpYNeKFtG8_yji4HS352LGlSQ/edit?pli=1#gid=0"",""1_ACUM!A4:S""),19,FALSE))"),44765)</f>
        <v>44765</v>
      </c>
      <c r="AS70" s="493">
        <f ca="1">IFERROR(__xludf.DUMMYFUNCTION("IFERROR(VLOOKUP(F130,IMPORTRANGE(""https://docs.google.com/spreadsheets/d/1Kvs4KS76FHFqLFIZfrDMff4kP08nblUkihrxltoGBjg/edit#gid=934712705"",""ESENCIAL!A6:BG""),5,FALSE))"),44949)</f>
        <v>44949</v>
      </c>
      <c r="AT70" s="493">
        <f t="shared" ca="1" si="3"/>
        <v>45496</v>
      </c>
      <c r="AU70" s="491"/>
      <c r="AV70" s="491"/>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c r="CD70" s="164"/>
      <c r="CE70" s="164"/>
      <c r="CF70" s="164"/>
      <c r="CG70" s="164"/>
      <c r="CH70" s="164"/>
      <c r="CI70" s="164"/>
      <c r="CJ70" s="164"/>
      <c r="CK70" s="164"/>
      <c r="CL70" s="164"/>
      <c r="CM70" s="164"/>
      <c r="CN70" s="164"/>
      <c r="CO70" s="164"/>
      <c r="CP70" s="164"/>
      <c r="CQ70" s="164"/>
      <c r="CR70" s="164"/>
      <c r="CS70" s="164"/>
      <c r="CT70" s="164"/>
    </row>
    <row r="71" spans="1:98" ht="90">
      <c r="A71" s="491" t="s">
        <v>210</v>
      </c>
      <c r="B71" s="490" t="s">
        <v>360</v>
      </c>
      <c r="C71" s="490" t="s">
        <v>27</v>
      </c>
      <c r="D71" s="490">
        <v>1004442136</v>
      </c>
      <c r="E71" s="490">
        <v>2451001</v>
      </c>
      <c r="F71" s="491" t="str">
        <f ca="1">IFERROR(__xludf.DUMMYFUNCTION("IFERROR(VLOOKUP(F131,IMPORTRANGE(""https://docs.google.com/spreadsheets/d/1Kvs4KS76FHFqLFIZfrDMff4kP08nblUkihrxltoGBjg/edit#gid=934712705"",""ESENCIAL!A6:BG""),3,FALSE))"),"TÉCNICO")</f>
        <v>TÉCNICO</v>
      </c>
      <c r="G71" s="491" t="str">
        <f ca="1">IFERROR(__xludf.DUMMYFUNCTION("IFERROR(VLOOKUP(F131,IMPORTRANGE(""https://docs.google.com/spreadsheets/d/1Kvs4KS76FHFqLFIZfrDMff4kP08nblUkihrxltoGBjg/edit#gid=934712705"",""ESENCIAL!A6:BG""),8,FALSE))"),"DIBUJO ARQUITECTÓNICO")</f>
        <v>DIBUJO ARQUITECTÓNICO</v>
      </c>
      <c r="H71" s="490">
        <v>3209774611</v>
      </c>
      <c r="I71" s="490" t="s">
        <v>361</v>
      </c>
      <c r="J71" s="490"/>
      <c r="K71" s="495" t="s">
        <v>37</v>
      </c>
      <c r="L71" s="495" t="s">
        <v>354</v>
      </c>
      <c r="M71" s="495"/>
      <c r="N71" s="495"/>
      <c r="O71" s="495"/>
      <c r="P71" s="495"/>
      <c r="Q71" s="496">
        <v>44778</v>
      </c>
      <c r="R71" s="499">
        <v>44963</v>
      </c>
      <c r="S71" s="495" t="s">
        <v>355</v>
      </c>
      <c r="T71" s="497"/>
      <c r="U71" s="495"/>
      <c r="V71" s="495"/>
      <c r="W71" s="491"/>
      <c r="X71" s="491"/>
      <c r="Y71" s="491"/>
      <c r="Z71" s="491"/>
      <c r="AA71" s="491"/>
      <c r="AB71" s="491"/>
      <c r="AC71" s="491"/>
      <c r="AD71" s="491"/>
      <c r="AE71" s="491"/>
      <c r="AF71" s="491"/>
      <c r="AG71" s="491"/>
      <c r="AH71" s="491"/>
      <c r="AI71" s="491"/>
      <c r="AJ71" s="491"/>
      <c r="AK71" s="491"/>
      <c r="AL71" s="491"/>
      <c r="AM71" s="491"/>
      <c r="AN71" s="491"/>
      <c r="AO71" s="491"/>
      <c r="AP71" s="491" t="s">
        <v>210</v>
      </c>
      <c r="AQ71" s="493">
        <f ca="1">IFERROR(__xludf.DUMMYFUNCTION("IFERROR(VLOOKUP(E131&amp;F131,IMPORTRANGE(""https://docs.google.com/spreadsheets/d/1Uw7-A9f9R21vMXxHZFNpYNeKFtG8_yji4HS352LGlSQ/edit?pli=1#gid=0"",""1_ACUM!A4:S""),18,FALSE))"),44585)</f>
        <v>44585</v>
      </c>
      <c r="AR71" s="493">
        <f ca="1">IFERROR(__xludf.DUMMYFUNCTION("IFERROR(VLOOKUP(E131&amp;F131,IMPORTRANGE(""https://docs.google.com/spreadsheets/d/1Uw7-A9f9R21vMXxHZFNpYNeKFtG8_yji4HS352LGlSQ/edit?pli=1#gid=0"",""1_ACUM!A4:S""),19,FALSE))"),44765)</f>
        <v>44765</v>
      </c>
      <c r="AS71" s="493">
        <f ca="1">IFERROR(__xludf.DUMMYFUNCTION("IFERROR(VLOOKUP(F131,IMPORTRANGE(""https://docs.google.com/spreadsheets/d/1Kvs4KS76FHFqLFIZfrDMff4kP08nblUkihrxltoGBjg/edit#gid=934712705"",""ESENCIAL!A6:BG""),5,FALSE))"),44949)</f>
        <v>44949</v>
      </c>
      <c r="AT71" s="493">
        <f t="shared" ca="1" si="3"/>
        <v>45496</v>
      </c>
      <c r="AU71" s="491"/>
      <c r="AV71" s="491"/>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c r="CD71" s="164"/>
      <c r="CE71" s="164"/>
      <c r="CF71" s="164"/>
      <c r="CG71" s="164"/>
      <c r="CH71" s="164"/>
      <c r="CI71" s="164"/>
      <c r="CJ71" s="164"/>
      <c r="CK71" s="164"/>
      <c r="CL71" s="164"/>
      <c r="CM71" s="164"/>
      <c r="CN71" s="164"/>
      <c r="CO71" s="164"/>
      <c r="CP71" s="164"/>
      <c r="CQ71" s="164"/>
      <c r="CR71" s="164"/>
      <c r="CS71" s="164"/>
      <c r="CT71" s="164"/>
    </row>
    <row r="72" spans="1:98" ht="90">
      <c r="A72" s="491" t="s">
        <v>210</v>
      </c>
      <c r="B72" s="490" t="s">
        <v>362</v>
      </c>
      <c r="C72" s="490" t="s">
        <v>27</v>
      </c>
      <c r="D72" s="490">
        <v>1004446438</v>
      </c>
      <c r="E72" s="490">
        <v>2451001</v>
      </c>
      <c r="F72" s="491" t="str">
        <f ca="1">IFERROR(__xludf.DUMMYFUNCTION("IFERROR(VLOOKUP(F132,IMPORTRANGE(""https://docs.google.com/spreadsheets/d/1Kvs4KS76FHFqLFIZfrDMff4kP08nblUkihrxltoGBjg/edit#gid=934712705"",""ESENCIAL!A6:BG""),3,FALSE))"),"TÉCNICO")</f>
        <v>TÉCNICO</v>
      </c>
      <c r="G72" s="491" t="str">
        <f ca="1">IFERROR(__xludf.DUMMYFUNCTION("IFERROR(VLOOKUP(F132,IMPORTRANGE(""https://docs.google.com/spreadsheets/d/1Kvs4KS76FHFqLFIZfrDMff4kP08nblUkihrxltoGBjg/edit#gid=934712705"",""ESENCIAL!A6:BG""),8,FALSE))"),"DIBUJO ARQUITECTÓNICO")</f>
        <v>DIBUJO ARQUITECTÓNICO</v>
      </c>
      <c r="H72" s="490">
        <v>3232270316</v>
      </c>
      <c r="I72" s="490" t="s">
        <v>363</v>
      </c>
      <c r="J72" s="490"/>
      <c r="K72" s="495" t="s">
        <v>37</v>
      </c>
      <c r="L72" s="495" t="s">
        <v>354</v>
      </c>
      <c r="M72" s="495"/>
      <c r="N72" s="495"/>
      <c r="O72" s="495"/>
      <c r="P72" s="495"/>
      <c r="Q72" s="496">
        <v>44778</v>
      </c>
      <c r="R72" s="499">
        <v>44963</v>
      </c>
      <c r="S72" s="495" t="s">
        <v>355</v>
      </c>
      <c r="T72" s="497"/>
      <c r="U72" s="495"/>
      <c r="V72" s="495"/>
      <c r="W72" s="491"/>
      <c r="X72" s="491"/>
      <c r="Y72" s="491"/>
      <c r="Z72" s="491"/>
      <c r="AA72" s="491"/>
      <c r="AB72" s="491"/>
      <c r="AC72" s="491"/>
      <c r="AD72" s="491"/>
      <c r="AE72" s="491"/>
      <c r="AF72" s="491"/>
      <c r="AG72" s="491"/>
      <c r="AH72" s="491"/>
      <c r="AI72" s="491"/>
      <c r="AJ72" s="491"/>
      <c r="AK72" s="491"/>
      <c r="AL72" s="491"/>
      <c r="AM72" s="491"/>
      <c r="AN72" s="491"/>
      <c r="AO72" s="491"/>
      <c r="AP72" s="491" t="s">
        <v>210</v>
      </c>
      <c r="AQ72" s="493">
        <f ca="1">IFERROR(__xludf.DUMMYFUNCTION("IFERROR(VLOOKUP(E132&amp;F132,IMPORTRANGE(""https://docs.google.com/spreadsheets/d/1Uw7-A9f9R21vMXxHZFNpYNeKFtG8_yji4HS352LGlSQ/edit?pli=1#gid=0"",""1_ACUM!A4:S""),18,FALSE))"),44585)</f>
        <v>44585</v>
      </c>
      <c r="AR72" s="493">
        <f ca="1">IFERROR(__xludf.DUMMYFUNCTION("IFERROR(VLOOKUP(E132&amp;F132,IMPORTRANGE(""https://docs.google.com/spreadsheets/d/1Uw7-A9f9R21vMXxHZFNpYNeKFtG8_yji4HS352LGlSQ/edit?pli=1#gid=0"",""1_ACUM!A4:S""),19,FALSE))"),44765)</f>
        <v>44765</v>
      </c>
      <c r="AS72" s="493">
        <f ca="1">IFERROR(__xludf.DUMMYFUNCTION("IFERROR(VLOOKUP(F132,IMPORTRANGE(""https://docs.google.com/spreadsheets/d/1Kvs4KS76FHFqLFIZfrDMff4kP08nblUkihrxltoGBjg/edit#gid=934712705"",""ESENCIAL!A6:BG""),5,FALSE))"),44949)</f>
        <v>44949</v>
      </c>
      <c r="AT72" s="493">
        <f t="shared" ca="1" si="3"/>
        <v>45496</v>
      </c>
      <c r="AU72" s="491"/>
      <c r="AV72" s="491"/>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c r="CD72" s="164"/>
      <c r="CE72" s="164"/>
      <c r="CF72" s="164"/>
      <c r="CG72" s="164"/>
      <c r="CH72" s="164"/>
      <c r="CI72" s="164"/>
      <c r="CJ72" s="164"/>
      <c r="CK72" s="164"/>
      <c r="CL72" s="164"/>
      <c r="CM72" s="164"/>
      <c r="CN72" s="164"/>
      <c r="CO72" s="164"/>
      <c r="CP72" s="164"/>
      <c r="CQ72" s="164"/>
      <c r="CR72" s="164"/>
      <c r="CS72" s="164"/>
      <c r="CT72" s="164"/>
    </row>
    <row r="73" spans="1:98" ht="90">
      <c r="A73" s="491" t="s">
        <v>364</v>
      </c>
      <c r="B73" s="490" t="s">
        <v>365</v>
      </c>
      <c r="C73" s="490" t="s">
        <v>67</v>
      </c>
      <c r="D73" s="490">
        <v>1031644105</v>
      </c>
      <c r="E73" s="490">
        <v>2451001</v>
      </c>
      <c r="F73" s="491" t="str">
        <f ca="1">IFERROR(__xludf.DUMMYFUNCTION("IFERROR(VLOOKUP(F133,IMPORTRANGE(""https://docs.google.com/spreadsheets/d/1Kvs4KS76FHFqLFIZfrDMff4kP08nblUkihrxltoGBjg/edit#gid=934712705"",""ESENCIAL!A6:BG""),3,FALSE))"),"TÉCNICO")</f>
        <v>TÉCNICO</v>
      </c>
      <c r="G73" s="491" t="str">
        <f ca="1">IFERROR(__xludf.DUMMYFUNCTION("IFERROR(VLOOKUP(F133,IMPORTRANGE(""https://docs.google.com/spreadsheets/d/1Kvs4KS76FHFqLFIZfrDMff4kP08nblUkihrxltoGBjg/edit#gid=934712705"",""ESENCIAL!A6:BG""),8,FALSE))"),"DIBUJO ARQUITECTÓNICO")</f>
        <v>DIBUJO ARQUITECTÓNICO</v>
      </c>
      <c r="H73" s="490">
        <v>3213840677</v>
      </c>
      <c r="I73" s="490" t="s">
        <v>366</v>
      </c>
      <c r="J73" s="490"/>
      <c r="K73" s="495" t="s">
        <v>37</v>
      </c>
      <c r="L73" s="495" t="s">
        <v>354</v>
      </c>
      <c r="M73" s="495"/>
      <c r="N73" s="495"/>
      <c r="O73" s="495"/>
      <c r="P73" s="495"/>
      <c r="Q73" s="496">
        <v>44778</v>
      </c>
      <c r="R73" s="499">
        <v>44963</v>
      </c>
      <c r="S73" s="495" t="s">
        <v>355</v>
      </c>
      <c r="T73" s="497"/>
      <c r="U73" s="495"/>
      <c r="V73" s="495"/>
      <c r="W73" s="491"/>
      <c r="X73" s="491"/>
      <c r="Y73" s="491"/>
      <c r="Z73" s="491"/>
      <c r="AA73" s="491"/>
      <c r="AB73" s="491"/>
      <c r="AC73" s="491"/>
      <c r="AD73" s="491"/>
      <c r="AE73" s="491"/>
      <c r="AF73" s="491"/>
      <c r="AG73" s="491"/>
      <c r="AH73" s="491"/>
      <c r="AI73" s="491"/>
      <c r="AJ73" s="491"/>
      <c r="AK73" s="491"/>
      <c r="AL73" s="491"/>
      <c r="AM73" s="491"/>
      <c r="AN73" s="491"/>
      <c r="AO73" s="491"/>
      <c r="AP73" s="491" t="s">
        <v>364</v>
      </c>
      <c r="AQ73" s="493">
        <f ca="1">IFERROR(__xludf.DUMMYFUNCTION("IFERROR(VLOOKUP(E133&amp;F133,IMPORTRANGE(""https://docs.google.com/spreadsheets/d/1Uw7-A9f9R21vMXxHZFNpYNeKFtG8_yji4HS352LGlSQ/edit?pli=1#gid=0"",""1_ACUM!A4:S""),18,FALSE))"),44585)</f>
        <v>44585</v>
      </c>
      <c r="AR73" s="493">
        <f ca="1">IFERROR(__xludf.DUMMYFUNCTION("IFERROR(VLOOKUP(E133&amp;F133,IMPORTRANGE(""https://docs.google.com/spreadsheets/d/1Uw7-A9f9R21vMXxHZFNpYNeKFtG8_yji4HS352LGlSQ/edit?pli=1#gid=0"",""1_ACUM!A4:S""),19,FALSE))"),44765)</f>
        <v>44765</v>
      </c>
      <c r="AS73" s="493">
        <f ca="1">IFERROR(__xludf.DUMMYFUNCTION("IFERROR(VLOOKUP(F133,IMPORTRANGE(""https://docs.google.com/spreadsheets/d/1Kvs4KS76FHFqLFIZfrDMff4kP08nblUkihrxltoGBjg/edit#gid=934712705"",""ESENCIAL!A6:BG""),5,FALSE))"),44949)</f>
        <v>44949</v>
      </c>
      <c r="AT73" s="493">
        <f t="shared" ca="1" si="3"/>
        <v>45496</v>
      </c>
      <c r="AU73" s="491"/>
      <c r="AV73" s="491"/>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c r="CD73" s="164"/>
      <c r="CE73" s="164"/>
      <c r="CF73" s="164"/>
      <c r="CG73" s="164"/>
      <c r="CH73" s="164"/>
      <c r="CI73" s="164"/>
      <c r="CJ73" s="164"/>
      <c r="CK73" s="164"/>
      <c r="CL73" s="164"/>
      <c r="CM73" s="164"/>
      <c r="CN73" s="164"/>
      <c r="CO73" s="164"/>
      <c r="CP73" s="164"/>
      <c r="CQ73" s="164"/>
      <c r="CR73" s="164"/>
      <c r="CS73" s="164"/>
      <c r="CT73" s="164"/>
    </row>
    <row r="74" spans="1:98" ht="90">
      <c r="A74" s="491" t="s">
        <v>364</v>
      </c>
      <c r="B74" s="490" t="s">
        <v>367</v>
      </c>
      <c r="C74" s="490" t="s">
        <v>67</v>
      </c>
      <c r="D74" s="490">
        <v>1058962010</v>
      </c>
      <c r="E74" s="490">
        <v>2451001</v>
      </c>
      <c r="F74" s="491" t="str">
        <f ca="1">IFERROR(__xludf.DUMMYFUNCTION("IFERROR(VLOOKUP(F134,IMPORTRANGE(""https://docs.google.com/spreadsheets/d/1Kvs4KS76FHFqLFIZfrDMff4kP08nblUkihrxltoGBjg/edit#gid=934712705"",""ESENCIAL!A6:BG""),3,FALSE))"),"TÉCNICO")</f>
        <v>TÉCNICO</v>
      </c>
      <c r="G74" s="491" t="str">
        <f ca="1">IFERROR(__xludf.DUMMYFUNCTION("IFERROR(VLOOKUP(F134,IMPORTRANGE(""https://docs.google.com/spreadsheets/d/1Kvs4KS76FHFqLFIZfrDMff4kP08nblUkihrxltoGBjg/edit#gid=934712705"",""ESENCIAL!A6:BG""),8,FALSE))"),"DIBUJO ARQUITECTÓNICO")</f>
        <v>DIBUJO ARQUITECTÓNICO</v>
      </c>
      <c r="H74" s="490">
        <v>3222491933</v>
      </c>
      <c r="I74" s="490" t="s">
        <v>368</v>
      </c>
      <c r="J74" s="490"/>
      <c r="K74" s="495" t="s">
        <v>37</v>
      </c>
      <c r="L74" s="495" t="s">
        <v>354</v>
      </c>
      <c r="M74" s="495"/>
      <c r="N74" s="495"/>
      <c r="O74" s="495"/>
      <c r="P74" s="495"/>
      <c r="Q74" s="496">
        <v>44778</v>
      </c>
      <c r="R74" s="499">
        <v>44963</v>
      </c>
      <c r="S74" s="495" t="s">
        <v>355</v>
      </c>
      <c r="T74" s="497"/>
      <c r="U74" s="495"/>
      <c r="V74" s="495"/>
      <c r="W74" s="491"/>
      <c r="X74" s="491"/>
      <c r="Y74" s="491"/>
      <c r="Z74" s="491"/>
      <c r="AA74" s="491"/>
      <c r="AB74" s="491"/>
      <c r="AC74" s="491"/>
      <c r="AD74" s="491"/>
      <c r="AE74" s="491"/>
      <c r="AF74" s="491"/>
      <c r="AG74" s="491"/>
      <c r="AH74" s="491"/>
      <c r="AI74" s="491"/>
      <c r="AJ74" s="491"/>
      <c r="AK74" s="491"/>
      <c r="AL74" s="491"/>
      <c r="AM74" s="491"/>
      <c r="AN74" s="491"/>
      <c r="AO74" s="491"/>
      <c r="AP74" s="491" t="s">
        <v>364</v>
      </c>
      <c r="AQ74" s="493">
        <f ca="1">IFERROR(__xludf.DUMMYFUNCTION("IFERROR(VLOOKUP(E134&amp;F134,IMPORTRANGE(""https://docs.google.com/spreadsheets/d/1Uw7-A9f9R21vMXxHZFNpYNeKFtG8_yji4HS352LGlSQ/edit?pli=1#gid=0"",""1_ACUM!A4:S""),18,FALSE))"),44585)</f>
        <v>44585</v>
      </c>
      <c r="AR74" s="493">
        <f ca="1">IFERROR(__xludf.DUMMYFUNCTION("IFERROR(VLOOKUP(E134&amp;F134,IMPORTRANGE(""https://docs.google.com/spreadsheets/d/1Uw7-A9f9R21vMXxHZFNpYNeKFtG8_yji4HS352LGlSQ/edit?pli=1#gid=0"",""1_ACUM!A4:S""),19,FALSE))"),44765)</f>
        <v>44765</v>
      </c>
      <c r="AS74" s="493">
        <f ca="1">IFERROR(__xludf.DUMMYFUNCTION("IFERROR(VLOOKUP(F134,IMPORTRANGE(""https://docs.google.com/spreadsheets/d/1Kvs4KS76FHFqLFIZfrDMff4kP08nblUkihrxltoGBjg/edit#gid=934712705"",""ESENCIAL!A6:BG""),5,FALSE))"),44949)</f>
        <v>44949</v>
      </c>
      <c r="AT74" s="493">
        <f t="shared" ca="1" si="3"/>
        <v>45496</v>
      </c>
      <c r="AU74" s="491"/>
      <c r="AV74" s="491"/>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c r="CD74" s="164"/>
      <c r="CE74" s="164"/>
      <c r="CF74" s="164"/>
      <c r="CG74" s="164"/>
      <c r="CH74" s="164"/>
      <c r="CI74" s="164"/>
      <c r="CJ74" s="164"/>
      <c r="CK74" s="164"/>
      <c r="CL74" s="164"/>
      <c r="CM74" s="164"/>
      <c r="CN74" s="164"/>
      <c r="CO74" s="164"/>
      <c r="CP74" s="164"/>
      <c r="CQ74" s="164"/>
      <c r="CR74" s="164"/>
      <c r="CS74" s="164"/>
      <c r="CT74" s="164"/>
    </row>
    <row r="75" spans="1:98" ht="75">
      <c r="A75" s="491" t="s">
        <v>364</v>
      </c>
      <c r="B75" s="490" t="s">
        <v>369</v>
      </c>
      <c r="C75" s="490" t="s">
        <v>67</v>
      </c>
      <c r="D75" s="490">
        <v>1077226632</v>
      </c>
      <c r="E75" s="490">
        <v>2451001</v>
      </c>
      <c r="F75" s="491" t="str">
        <f ca="1">IFERROR(__xludf.DUMMYFUNCTION("IFERROR(VLOOKUP(F135,IMPORTRANGE(""https://docs.google.com/spreadsheets/d/1Kvs4KS76FHFqLFIZfrDMff4kP08nblUkihrxltoGBjg/edit#gid=934712705"",""ESENCIAL!A6:BG""),3,FALSE))"),"TÉCNICO")</f>
        <v>TÉCNICO</v>
      </c>
      <c r="G75" s="491" t="str">
        <f ca="1">IFERROR(__xludf.DUMMYFUNCTION("IFERROR(VLOOKUP(F135,IMPORTRANGE(""https://docs.google.com/spreadsheets/d/1Kvs4KS76FHFqLFIZfrDMff4kP08nblUkihrxltoGBjg/edit#gid=934712705"",""ESENCIAL!A6:BG""),8,FALSE))"),"DIBUJO ARQUITECTÓNICO")</f>
        <v>DIBUJO ARQUITECTÓNICO</v>
      </c>
      <c r="H75" s="490">
        <v>3138274907</v>
      </c>
      <c r="I75" s="490" t="s">
        <v>370</v>
      </c>
      <c r="J75" s="490"/>
      <c r="K75" s="495" t="s">
        <v>37</v>
      </c>
      <c r="L75" s="495" t="s">
        <v>371</v>
      </c>
      <c r="M75" s="495"/>
      <c r="N75" s="495"/>
      <c r="O75" s="495"/>
      <c r="P75" s="495"/>
      <c r="Q75" s="496">
        <v>44806</v>
      </c>
      <c r="R75" s="499">
        <v>44960</v>
      </c>
      <c r="S75" s="495" t="s">
        <v>355</v>
      </c>
      <c r="T75" s="497"/>
      <c r="U75" s="495"/>
      <c r="V75" s="495"/>
      <c r="W75" s="491"/>
      <c r="X75" s="491"/>
      <c r="Y75" s="491"/>
      <c r="Z75" s="491"/>
      <c r="AA75" s="491"/>
      <c r="AB75" s="491"/>
      <c r="AC75" s="491"/>
      <c r="AD75" s="491"/>
      <c r="AE75" s="491"/>
      <c r="AF75" s="491"/>
      <c r="AG75" s="491"/>
      <c r="AH75" s="491"/>
      <c r="AI75" s="491"/>
      <c r="AJ75" s="491"/>
      <c r="AK75" s="491"/>
      <c r="AL75" s="491"/>
      <c r="AM75" s="491"/>
      <c r="AN75" s="491"/>
      <c r="AO75" s="491"/>
      <c r="AP75" s="491" t="s">
        <v>364</v>
      </c>
      <c r="AQ75" s="493">
        <f ca="1">IFERROR(__xludf.DUMMYFUNCTION("IFERROR(VLOOKUP(E135&amp;F135,IMPORTRANGE(""https://docs.google.com/spreadsheets/d/1Uw7-A9f9R21vMXxHZFNpYNeKFtG8_yji4HS352LGlSQ/edit?pli=1#gid=0"",""1_ACUM!A4:S""),18,FALSE))"),44585)</f>
        <v>44585</v>
      </c>
      <c r="AR75" s="493">
        <f ca="1">IFERROR(__xludf.DUMMYFUNCTION("IFERROR(VLOOKUP(E135&amp;F135,IMPORTRANGE(""https://docs.google.com/spreadsheets/d/1Uw7-A9f9R21vMXxHZFNpYNeKFtG8_yji4HS352LGlSQ/edit?pli=1#gid=0"",""1_ACUM!A4:S""),19,FALSE))"),44765)</f>
        <v>44765</v>
      </c>
      <c r="AS75" s="493">
        <f ca="1">IFERROR(__xludf.DUMMYFUNCTION("IFERROR(VLOOKUP(F135,IMPORTRANGE(""https://docs.google.com/spreadsheets/d/1Kvs4KS76FHFqLFIZfrDMff4kP08nblUkihrxltoGBjg/edit#gid=934712705"",""ESENCIAL!A6:BG""),5,FALSE))"),44949)</f>
        <v>44949</v>
      </c>
      <c r="AT75" s="493">
        <f t="shared" ca="1" si="3"/>
        <v>45496</v>
      </c>
      <c r="AU75" s="491"/>
      <c r="AV75" s="491"/>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c r="CD75" s="164"/>
      <c r="CE75" s="164"/>
      <c r="CF75" s="164"/>
      <c r="CG75" s="164"/>
      <c r="CH75" s="164"/>
      <c r="CI75" s="164"/>
      <c r="CJ75" s="164"/>
      <c r="CK75" s="164"/>
      <c r="CL75" s="164"/>
      <c r="CM75" s="164"/>
      <c r="CN75" s="164"/>
      <c r="CO75" s="164"/>
      <c r="CP75" s="164"/>
      <c r="CQ75" s="164"/>
      <c r="CR75" s="164"/>
      <c r="CS75" s="164"/>
      <c r="CT75" s="164"/>
    </row>
    <row r="76" spans="1:98" ht="75">
      <c r="A76" s="491" t="s">
        <v>364</v>
      </c>
      <c r="B76" s="490" t="s">
        <v>372</v>
      </c>
      <c r="C76" s="490" t="s">
        <v>27</v>
      </c>
      <c r="D76" s="490">
        <v>1080930325</v>
      </c>
      <c r="E76" s="490">
        <v>2451001</v>
      </c>
      <c r="F76" s="491" t="str">
        <f ca="1">IFERROR(__xludf.DUMMYFUNCTION("IFERROR(VLOOKUP(F136,IMPORTRANGE(""https://docs.google.com/spreadsheets/d/1Kvs4KS76FHFqLFIZfrDMff4kP08nblUkihrxltoGBjg/edit#gid=934712705"",""ESENCIAL!A6:BG""),3,FALSE))"),"TÉCNICO")</f>
        <v>TÉCNICO</v>
      </c>
      <c r="G76" s="491" t="str">
        <f ca="1">IFERROR(__xludf.DUMMYFUNCTION("IFERROR(VLOOKUP(F136,IMPORTRANGE(""https://docs.google.com/spreadsheets/d/1Kvs4KS76FHFqLFIZfrDMff4kP08nblUkihrxltoGBjg/edit#gid=934712705"",""ESENCIAL!A6:BG""),8,FALSE))"),"DIBUJO ARQUITECTÓNICO")</f>
        <v>DIBUJO ARQUITECTÓNICO</v>
      </c>
      <c r="H76" s="490">
        <v>3185680539</v>
      </c>
      <c r="I76" s="490" t="s">
        <v>373</v>
      </c>
      <c r="J76" s="490"/>
      <c r="K76" s="495" t="s">
        <v>37</v>
      </c>
      <c r="L76" s="495" t="s">
        <v>374</v>
      </c>
      <c r="M76" s="495"/>
      <c r="N76" s="495"/>
      <c r="O76" s="495"/>
      <c r="P76" s="495"/>
      <c r="Q76" s="496">
        <v>44781</v>
      </c>
      <c r="R76" s="499">
        <v>44963</v>
      </c>
      <c r="S76" s="495" t="s">
        <v>355</v>
      </c>
      <c r="T76" s="497"/>
      <c r="U76" s="495"/>
      <c r="V76" s="495"/>
      <c r="W76" s="491"/>
      <c r="X76" s="491"/>
      <c r="Y76" s="491"/>
      <c r="Z76" s="491"/>
      <c r="AA76" s="491"/>
      <c r="AB76" s="491"/>
      <c r="AC76" s="491"/>
      <c r="AD76" s="491"/>
      <c r="AE76" s="491"/>
      <c r="AF76" s="491"/>
      <c r="AG76" s="491"/>
      <c r="AH76" s="491"/>
      <c r="AI76" s="491"/>
      <c r="AJ76" s="491"/>
      <c r="AK76" s="491"/>
      <c r="AL76" s="491"/>
      <c r="AM76" s="491"/>
      <c r="AN76" s="491"/>
      <c r="AO76" s="491"/>
      <c r="AP76" s="491" t="s">
        <v>364</v>
      </c>
      <c r="AQ76" s="493">
        <f ca="1">IFERROR(__xludf.DUMMYFUNCTION("IFERROR(VLOOKUP(E136&amp;F136,IMPORTRANGE(""https://docs.google.com/spreadsheets/d/1Uw7-A9f9R21vMXxHZFNpYNeKFtG8_yji4HS352LGlSQ/edit?pli=1#gid=0"",""1_ACUM!A4:S""),18,FALSE))"),44585)</f>
        <v>44585</v>
      </c>
      <c r="AR76" s="493">
        <f ca="1">IFERROR(__xludf.DUMMYFUNCTION("IFERROR(VLOOKUP(E136&amp;F136,IMPORTRANGE(""https://docs.google.com/spreadsheets/d/1Uw7-A9f9R21vMXxHZFNpYNeKFtG8_yji4HS352LGlSQ/edit?pli=1#gid=0"",""1_ACUM!A4:S""),19,FALSE))"),44765)</f>
        <v>44765</v>
      </c>
      <c r="AS76" s="493">
        <f ca="1">IFERROR(__xludf.DUMMYFUNCTION("IFERROR(VLOOKUP(F136,IMPORTRANGE(""https://docs.google.com/spreadsheets/d/1Kvs4KS76FHFqLFIZfrDMff4kP08nblUkihrxltoGBjg/edit#gid=934712705"",""ESENCIAL!A6:BG""),5,FALSE))"),44949)</f>
        <v>44949</v>
      </c>
      <c r="AT76" s="493">
        <f t="shared" ca="1" si="3"/>
        <v>45496</v>
      </c>
      <c r="AU76" s="491"/>
      <c r="AV76" s="491"/>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c r="CD76" s="164"/>
      <c r="CE76" s="164"/>
      <c r="CF76" s="164"/>
      <c r="CG76" s="164"/>
      <c r="CH76" s="164"/>
      <c r="CI76" s="164"/>
      <c r="CJ76" s="164"/>
      <c r="CK76" s="164"/>
      <c r="CL76" s="164"/>
      <c r="CM76" s="164"/>
      <c r="CN76" s="164"/>
      <c r="CO76" s="164"/>
      <c r="CP76" s="164"/>
      <c r="CQ76" s="164"/>
      <c r="CR76" s="164"/>
      <c r="CS76" s="164"/>
      <c r="CT76" s="164"/>
    </row>
    <row r="77" spans="1:98" ht="90">
      <c r="A77" s="491" t="s">
        <v>364</v>
      </c>
      <c r="B77" s="490" t="s">
        <v>375</v>
      </c>
      <c r="C77" s="490" t="s">
        <v>67</v>
      </c>
      <c r="D77" s="490">
        <v>1080931418</v>
      </c>
      <c r="E77" s="490">
        <v>2451001</v>
      </c>
      <c r="F77" s="491" t="str">
        <f ca="1">IFERROR(__xludf.DUMMYFUNCTION("IFERROR(VLOOKUP(F137,IMPORTRANGE(""https://docs.google.com/spreadsheets/d/1Kvs4KS76FHFqLFIZfrDMff4kP08nblUkihrxltoGBjg/edit#gid=934712705"",""ESENCIAL!A6:BG""),3,FALSE))"),"TÉCNICO")</f>
        <v>TÉCNICO</v>
      </c>
      <c r="G77" s="491" t="str">
        <f ca="1">IFERROR(__xludf.DUMMYFUNCTION("IFERROR(VLOOKUP(F137,IMPORTRANGE(""https://docs.google.com/spreadsheets/d/1Kvs4KS76FHFqLFIZfrDMff4kP08nblUkihrxltoGBjg/edit#gid=934712705"",""ESENCIAL!A6:BG""),8,FALSE))"),"DIBUJO ARQUITECTÓNICO")</f>
        <v>DIBUJO ARQUITECTÓNICO</v>
      </c>
      <c r="H77" s="490">
        <v>3209539198</v>
      </c>
      <c r="I77" s="490" t="s">
        <v>376</v>
      </c>
      <c r="J77" s="490"/>
      <c r="K77" s="495" t="s">
        <v>37</v>
      </c>
      <c r="L77" s="495" t="s">
        <v>354</v>
      </c>
      <c r="M77" s="495"/>
      <c r="N77" s="495"/>
      <c r="O77" s="495"/>
      <c r="P77" s="495"/>
      <c r="Q77" s="496">
        <v>44778</v>
      </c>
      <c r="R77" s="499">
        <v>44963</v>
      </c>
      <c r="S77" s="495" t="s">
        <v>355</v>
      </c>
      <c r="T77" s="497"/>
      <c r="U77" s="495"/>
      <c r="V77" s="495"/>
      <c r="W77" s="491"/>
      <c r="X77" s="491"/>
      <c r="Y77" s="491"/>
      <c r="Z77" s="491"/>
      <c r="AA77" s="491"/>
      <c r="AB77" s="491"/>
      <c r="AC77" s="491"/>
      <c r="AD77" s="491"/>
      <c r="AE77" s="491"/>
      <c r="AF77" s="491"/>
      <c r="AG77" s="491"/>
      <c r="AH77" s="491"/>
      <c r="AI77" s="491"/>
      <c r="AJ77" s="491"/>
      <c r="AK77" s="491"/>
      <c r="AL77" s="491"/>
      <c r="AM77" s="491"/>
      <c r="AN77" s="491"/>
      <c r="AO77" s="491"/>
      <c r="AP77" s="491" t="s">
        <v>364</v>
      </c>
      <c r="AQ77" s="493">
        <f ca="1">IFERROR(__xludf.DUMMYFUNCTION("IFERROR(VLOOKUP(E137&amp;F137,IMPORTRANGE(""https://docs.google.com/spreadsheets/d/1Uw7-A9f9R21vMXxHZFNpYNeKFtG8_yji4HS352LGlSQ/edit?pli=1#gid=0"",""1_ACUM!A4:S""),18,FALSE))"),44585)</f>
        <v>44585</v>
      </c>
      <c r="AR77" s="493">
        <f ca="1">IFERROR(__xludf.DUMMYFUNCTION("IFERROR(VLOOKUP(E137&amp;F137,IMPORTRANGE(""https://docs.google.com/spreadsheets/d/1Uw7-A9f9R21vMXxHZFNpYNeKFtG8_yji4HS352LGlSQ/edit?pli=1#gid=0"",""1_ACUM!A4:S""),19,FALSE))"),44765)</f>
        <v>44765</v>
      </c>
      <c r="AS77" s="493">
        <f ca="1">IFERROR(__xludf.DUMMYFUNCTION("IFERROR(VLOOKUP(F137,IMPORTRANGE(""https://docs.google.com/spreadsheets/d/1Kvs4KS76FHFqLFIZfrDMff4kP08nblUkihrxltoGBjg/edit#gid=934712705"",""ESENCIAL!A6:BG""),5,FALSE))"),44949)</f>
        <v>44949</v>
      </c>
      <c r="AT77" s="493">
        <f t="shared" ca="1" si="3"/>
        <v>45496</v>
      </c>
      <c r="AU77" s="491"/>
      <c r="AV77" s="491"/>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c r="CD77" s="164"/>
      <c r="CE77" s="164"/>
      <c r="CF77" s="164"/>
      <c r="CG77" s="164"/>
      <c r="CH77" s="164"/>
      <c r="CI77" s="164"/>
      <c r="CJ77" s="164"/>
      <c r="CK77" s="164"/>
      <c r="CL77" s="164"/>
      <c r="CM77" s="164"/>
      <c r="CN77" s="164"/>
      <c r="CO77" s="164"/>
      <c r="CP77" s="164"/>
      <c r="CQ77" s="164"/>
      <c r="CR77" s="164"/>
      <c r="CS77" s="164"/>
      <c r="CT77" s="164"/>
    </row>
    <row r="78" spans="1:98" ht="90">
      <c r="A78" s="491" t="s">
        <v>364</v>
      </c>
      <c r="B78" s="490" t="s">
        <v>377</v>
      </c>
      <c r="C78" s="490" t="s">
        <v>67</v>
      </c>
      <c r="D78" s="490">
        <v>1081699614</v>
      </c>
      <c r="E78" s="490">
        <v>2451001</v>
      </c>
      <c r="F78" s="491" t="str">
        <f ca="1">IFERROR(__xludf.DUMMYFUNCTION("IFERROR(VLOOKUP(F138,IMPORTRANGE(""https://docs.google.com/spreadsheets/d/1Kvs4KS76FHFqLFIZfrDMff4kP08nblUkihrxltoGBjg/edit#gid=934712705"",""ESENCIAL!A6:BG""),3,FALSE))"),"TÉCNICO")</f>
        <v>TÉCNICO</v>
      </c>
      <c r="G78" s="491" t="str">
        <f ca="1">IFERROR(__xludf.DUMMYFUNCTION("IFERROR(VLOOKUP(F138,IMPORTRANGE(""https://docs.google.com/spreadsheets/d/1Kvs4KS76FHFqLFIZfrDMff4kP08nblUkihrxltoGBjg/edit#gid=934712705"",""ESENCIAL!A6:BG""),8,FALSE))"),"DIBUJO ARQUITECTÓNICO")</f>
        <v>DIBUJO ARQUITECTÓNICO</v>
      </c>
      <c r="H78" s="490">
        <v>3209671025</v>
      </c>
      <c r="I78" s="490" t="s">
        <v>378</v>
      </c>
      <c r="J78" s="490"/>
      <c r="K78" s="495" t="s">
        <v>37</v>
      </c>
      <c r="L78" s="495" t="s">
        <v>354</v>
      </c>
      <c r="M78" s="495"/>
      <c r="N78" s="495"/>
      <c r="O78" s="495"/>
      <c r="P78" s="495"/>
      <c r="Q78" s="496">
        <v>44778</v>
      </c>
      <c r="R78" s="499">
        <v>44963</v>
      </c>
      <c r="S78" s="495" t="s">
        <v>355</v>
      </c>
      <c r="T78" s="497"/>
      <c r="U78" s="495"/>
      <c r="V78" s="495"/>
      <c r="W78" s="491"/>
      <c r="X78" s="491"/>
      <c r="Y78" s="491"/>
      <c r="Z78" s="491"/>
      <c r="AA78" s="491"/>
      <c r="AB78" s="491"/>
      <c r="AC78" s="491"/>
      <c r="AD78" s="491"/>
      <c r="AE78" s="491"/>
      <c r="AF78" s="491"/>
      <c r="AG78" s="491"/>
      <c r="AH78" s="491"/>
      <c r="AI78" s="491"/>
      <c r="AJ78" s="491"/>
      <c r="AK78" s="491"/>
      <c r="AL78" s="491"/>
      <c r="AM78" s="491"/>
      <c r="AN78" s="491"/>
      <c r="AO78" s="491"/>
      <c r="AP78" s="491" t="s">
        <v>364</v>
      </c>
      <c r="AQ78" s="493">
        <f ca="1">IFERROR(__xludf.DUMMYFUNCTION("IFERROR(VLOOKUP(E138&amp;F138,IMPORTRANGE(""https://docs.google.com/spreadsheets/d/1Uw7-A9f9R21vMXxHZFNpYNeKFtG8_yji4HS352LGlSQ/edit?pli=1#gid=0"",""1_ACUM!A4:S""),18,FALSE))"),44585)</f>
        <v>44585</v>
      </c>
      <c r="AR78" s="493">
        <f ca="1">IFERROR(__xludf.DUMMYFUNCTION("IFERROR(VLOOKUP(E138&amp;F138,IMPORTRANGE(""https://docs.google.com/spreadsheets/d/1Uw7-A9f9R21vMXxHZFNpYNeKFtG8_yji4HS352LGlSQ/edit?pli=1#gid=0"",""1_ACUM!A4:S""),19,FALSE))"),44765)</f>
        <v>44765</v>
      </c>
      <c r="AS78" s="493">
        <f ca="1">IFERROR(__xludf.DUMMYFUNCTION("IFERROR(VLOOKUP(F138,IMPORTRANGE(""https://docs.google.com/spreadsheets/d/1Kvs4KS76FHFqLFIZfrDMff4kP08nblUkihrxltoGBjg/edit#gid=934712705"",""ESENCIAL!A6:BG""),5,FALSE))"),44949)</f>
        <v>44949</v>
      </c>
      <c r="AT78" s="493">
        <f t="shared" ca="1" si="3"/>
        <v>45496</v>
      </c>
      <c r="AU78" s="491"/>
      <c r="AV78" s="491"/>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c r="CD78" s="164"/>
      <c r="CE78" s="164"/>
      <c r="CF78" s="164"/>
      <c r="CG78" s="164"/>
      <c r="CH78" s="164"/>
      <c r="CI78" s="164"/>
      <c r="CJ78" s="164"/>
      <c r="CK78" s="164"/>
      <c r="CL78" s="164"/>
      <c r="CM78" s="164"/>
      <c r="CN78" s="164"/>
      <c r="CO78" s="164"/>
      <c r="CP78" s="164"/>
      <c r="CQ78" s="164"/>
      <c r="CR78" s="164"/>
      <c r="CS78" s="164"/>
      <c r="CT78" s="164"/>
    </row>
    <row r="79" spans="1:98" ht="90">
      <c r="A79" s="491" t="s">
        <v>364</v>
      </c>
      <c r="B79" s="490" t="s">
        <v>379</v>
      </c>
      <c r="C79" s="490" t="s">
        <v>67</v>
      </c>
      <c r="D79" s="490">
        <v>1083864335</v>
      </c>
      <c r="E79" s="490">
        <v>2451001</v>
      </c>
      <c r="F79" s="491" t="str">
        <f ca="1">IFERROR(__xludf.DUMMYFUNCTION("IFERROR(VLOOKUP(F139,IMPORTRANGE(""https://docs.google.com/spreadsheets/d/1Kvs4KS76FHFqLFIZfrDMff4kP08nblUkihrxltoGBjg/edit#gid=934712705"",""ESENCIAL!A6:BG""),3,FALSE))"),"TÉCNICO")</f>
        <v>TÉCNICO</v>
      </c>
      <c r="G79" s="491" t="str">
        <f ca="1">IFERROR(__xludf.DUMMYFUNCTION("IFERROR(VLOOKUP(F139,IMPORTRANGE(""https://docs.google.com/spreadsheets/d/1Kvs4KS76FHFqLFIZfrDMff4kP08nblUkihrxltoGBjg/edit#gid=934712705"",""ESENCIAL!A6:BG""),8,FALSE))"),"DIBUJO ARQUITECTÓNICO")</f>
        <v>DIBUJO ARQUITECTÓNICO</v>
      </c>
      <c r="H79" s="490">
        <v>3224239208</v>
      </c>
      <c r="I79" s="490" t="s">
        <v>380</v>
      </c>
      <c r="J79" s="490"/>
      <c r="K79" s="495" t="s">
        <v>37</v>
      </c>
      <c r="L79" s="495" t="s">
        <v>354</v>
      </c>
      <c r="M79" s="495"/>
      <c r="N79" s="495"/>
      <c r="O79" s="495"/>
      <c r="P79" s="495"/>
      <c r="Q79" s="496">
        <v>44778</v>
      </c>
      <c r="R79" s="499">
        <v>44963</v>
      </c>
      <c r="S79" s="495" t="s">
        <v>355</v>
      </c>
      <c r="T79" s="497"/>
      <c r="U79" s="495"/>
      <c r="V79" s="495"/>
      <c r="W79" s="491"/>
      <c r="X79" s="491"/>
      <c r="Y79" s="491"/>
      <c r="Z79" s="491"/>
      <c r="AA79" s="491"/>
      <c r="AB79" s="491"/>
      <c r="AC79" s="491"/>
      <c r="AD79" s="491"/>
      <c r="AE79" s="491"/>
      <c r="AF79" s="491"/>
      <c r="AG79" s="491"/>
      <c r="AH79" s="491"/>
      <c r="AI79" s="491"/>
      <c r="AJ79" s="491"/>
      <c r="AK79" s="491"/>
      <c r="AL79" s="491"/>
      <c r="AM79" s="491"/>
      <c r="AN79" s="491"/>
      <c r="AO79" s="491"/>
      <c r="AP79" s="491" t="s">
        <v>364</v>
      </c>
      <c r="AQ79" s="493">
        <f ca="1">IFERROR(__xludf.DUMMYFUNCTION("IFERROR(VLOOKUP(E139&amp;F139,IMPORTRANGE(""https://docs.google.com/spreadsheets/d/1Uw7-A9f9R21vMXxHZFNpYNeKFtG8_yji4HS352LGlSQ/edit?pli=1#gid=0"",""1_ACUM!A4:S""),18,FALSE))"),44585)</f>
        <v>44585</v>
      </c>
      <c r="AR79" s="493">
        <f ca="1">IFERROR(__xludf.DUMMYFUNCTION("IFERROR(VLOOKUP(E139&amp;F139,IMPORTRANGE(""https://docs.google.com/spreadsheets/d/1Uw7-A9f9R21vMXxHZFNpYNeKFtG8_yji4HS352LGlSQ/edit?pli=1#gid=0"",""1_ACUM!A4:S""),19,FALSE))"),44765)</f>
        <v>44765</v>
      </c>
      <c r="AS79" s="493">
        <f ca="1">IFERROR(__xludf.DUMMYFUNCTION("IFERROR(VLOOKUP(F139,IMPORTRANGE(""https://docs.google.com/spreadsheets/d/1Kvs4KS76FHFqLFIZfrDMff4kP08nblUkihrxltoGBjg/edit#gid=934712705"",""ESENCIAL!A6:BG""),5,FALSE))"),44949)</f>
        <v>44949</v>
      </c>
      <c r="AT79" s="493">
        <f t="shared" ca="1" si="3"/>
        <v>45496</v>
      </c>
      <c r="AU79" s="491"/>
      <c r="AV79" s="491"/>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c r="CD79" s="164"/>
      <c r="CE79" s="164"/>
      <c r="CF79" s="164"/>
      <c r="CG79" s="164"/>
      <c r="CH79" s="164"/>
      <c r="CI79" s="164"/>
      <c r="CJ79" s="164"/>
      <c r="CK79" s="164"/>
      <c r="CL79" s="164"/>
      <c r="CM79" s="164"/>
      <c r="CN79" s="164"/>
      <c r="CO79" s="164"/>
      <c r="CP79" s="164"/>
      <c r="CQ79" s="164"/>
      <c r="CR79" s="164"/>
      <c r="CS79" s="164"/>
      <c r="CT79" s="164"/>
    </row>
    <row r="80" spans="1:98" ht="90">
      <c r="A80" s="491" t="s">
        <v>364</v>
      </c>
      <c r="B80" s="490" t="s">
        <v>381</v>
      </c>
      <c r="C80" s="490" t="s">
        <v>67</v>
      </c>
      <c r="D80" s="490">
        <v>1083866960</v>
      </c>
      <c r="E80" s="490">
        <v>2451001</v>
      </c>
      <c r="F80" s="491" t="str">
        <f ca="1">IFERROR(__xludf.DUMMYFUNCTION("IFERROR(VLOOKUP(F140,IMPORTRANGE(""https://docs.google.com/spreadsheets/d/1Kvs4KS76FHFqLFIZfrDMff4kP08nblUkihrxltoGBjg/edit#gid=934712705"",""ESENCIAL!A6:BG""),3,FALSE))"),"TÉCNICO")</f>
        <v>TÉCNICO</v>
      </c>
      <c r="G80" s="491" t="str">
        <f ca="1">IFERROR(__xludf.DUMMYFUNCTION("IFERROR(VLOOKUP(F140,IMPORTRANGE(""https://docs.google.com/spreadsheets/d/1Kvs4KS76FHFqLFIZfrDMff4kP08nblUkihrxltoGBjg/edit#gid=934712705"",""ESENCIAL!A6:BG""),8,FALSE))"),"DIBUJO ARQUITECTÓNICO")</f>
        <v>DIBUJO ARQUITECTÓNICO</v>
      </c>
      <c r="H80" s="490">
        <v>3209444103</v>
      </c>
      <c r="I80" s="490" t="s">
        <v>382</v>
      </c>
      <c r="J80" s="490"/>
      <c r="K80" s="495" t="s">
        <v>37</v>
      </c>
      <c r="L80" s="495" t="s">
        <v>354</v>
      </c>
      <c r="M80" s="495"/>
      <c r="N80" s="495"/>
      <c r="O80" s="495"/>
      <c r="P80" s="495"/>
      <c r="Q80" s="496">
        <v>44778</v>
      </c>
      <c r="R80" s="499">
        <v>44963</v>
      </c>
      <c r="S80" s="495" t="s">
        <v>355</v>
      </c>
      <c r="T80" s="497"/>
      <c r="U80" s="495"/>
      <c r="V80" s="495"/>
      <c r="W80" s="491"/>
      <c r="X80" s="491"/>
      <c r="Y80" s="491"/>
      <c r="Z80" s="491"/>
      <c r="AA80" s="491"/>
      <c r="AB80" s="491"/>
      <c r="AC80" s="491"/>
      <c r="AD80" s="491"/>
      <c r="AE80" s="491"/>
      <c r="AF80" s="491"/>
      <c r="AG80" s="491"/>
      <c r="AH80" s="491"/>
      <c r="AI80" s="491"/>
      <c r="AJ80" s="491"/>
      <c r="AK80" s="491"/>
      <c r="AL80" s="491"/>
      <c r="AM80" s="491"/>
      <c r="AN80" s="491"/>
      <c r="AO80" s="491"/>
      <c r="AP80" s="491" t="s">
        <v>364</v>
      </c>
      <c r="AQ80" s="493">
        <f ca="1">IFERROR(__xludf.DUMMYFUNCTION("IFERROR(VLOOKUP(E140&amp;F140,IMPORTRANGE(""https://docs.google.com/spreadsheets/d/1Uw7-A9f9R21vMXxHZFNpYNeKFtG8_yji4HS352LGlSQ/edit?pli=1#gid=0"",""1_ACUM!A4:S""),18,FALSE))"),44585)</f>
        <v>44585</v>
      </c>
      <c r="AR80" s="493">
        <f ca="1">IFERROR(__xludf.DUMMYFUNCTION("IFERROR(VLOOKUP(E140&amp;F140,IMPORTRANGE(""https://docs.google.com/spreadsheets/d/1Uw7-A9f9R21vMXxHZFNpYNeKFtG8_yji4HS352LGlSQ/edit?pli=1#gid=0"",""1_ACUM!A4:S""),19,FALSE))"),44765)</f>
        <v>44765</v>
      </c>
      <c r="AS80" s="493">
        <f ca="1">IFERROR(__xludf.DUMMYFUNCTION("IFERROR(VLOOKUP(F140,IMPORTRANGE(""https://docs.google.com/spreadsheets/d/1Kvs4KS76FHFqLFIZfrDMff4kP08nblUkihrxltoGBjg/edit#gid=934712705"",""ESENCIAL!A6:BG""),5,FALSE))"),44949)</f>
        <v>44949</v>
      </c>
      <c r="AT80" s="493">
        <f t="shared" ca="1" si="3"/>
        <v>45496</v>
      </c>
      <c r="AU80" s="491"/>
      <c r="AV80" s="491"/>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c r="CD80" s="164"/>
      <c r="CE80" s="164"/>
      <c r="CF80" s="164"/>
      <c r="CG80" s="164"/>
      <c r="CH80" s="164"/>
      <c r="CI80" s="164"/>
      <c r="CJ80" s="164"/>
      <c r="CK80" s="164"/>
      <c r="CL80" s="164"/>
      <c r="CM80" s="164"/>
      <c r="CN80" s="164"/>
      <c r="CO80" s="164"/>
      <c r="CP80" s="164"/>
      <c r="CQ80" s="164"/>
      <c r="CR80" s="164"/>
      <c r="CS80" s="164"/>
      <c r="CT80" s="164"/>
    </row>
    <row r="81" spans="1:98" ht="75">
      <c r="A81" s="491" t="s">
        <v>364</v>
      </c>
      <c r="B81" s="490" t="s">
        <v>383</v>
      </c>
      <c r="C81" s="490" t="s">
        <v>27</v>
      </c>
      <c r="D81" s="490">
        <v>1083917926</v>
      </c>
      <c r="E81" s="490">
        <v>2451001</v>
      </c>
      <c r="F81" s="491" t="str">
        <f ca="1">IFERROR(__xludf.DUMMYFUNCTION("IFERROR(VLOOKUP(F141,IMPORTRANGE(""https://docs.google.com/spreadsheets/d/1Kvs4KS76FHFqLFIZfrDMff4kP08nblUkihrxltoGBjg/edit#gid=934712705"",""ESENCIAL!A6:BG""),3,FALSE))"),"TÉCNICO")</f>
        <v>TÉCNICO</v>
      </c>
      <c r="G81" s="491" t="str">
        <f ca="1">IFERROR(__xludf.DUMMYFUNCTION("IFERROR(VLOOKUP(F141,IMPORTRANGE(""https://docs.google.com/spreadsheets/d/1Kvs4KS76FHFqLFIZfrDMff4kP08nblUkihrxltoGBjg/edit#gid=934712705"",""ESENCIAL!A6:BG""),8,FALSE))"),"DIBUJO ARQUITECTÓNICO")</f>
        <v>DIBUJO ARQUITECTÓNICO</v>
      </c>
      <c r="H81" s="490">
        <v>3123483426</v>
      </c>
      <c r="I81" s="490" t="s">
        <v>384</v>
      </c>
      <c r="J81" s="490"/>
      <c r="K81" s="495" t="s">
        <v>37</v>
      </c>
      <c r="L81" s="495" t="s">
        <v>385</v>
      </c>
      <c r="M81" s="495"/>
      <c r="N81" s="495"/>
      <c r="O81" s="495"/>
      <c r="P81" s="495"/>
      <c r="Q81" s="496">
        <v>44789</v>
      </c>
      <c r="R81" s="499">
        <v>44974</v>
      </c>
      <c r="S81" s="495" t="s">
        <v>355</v>
      </c>
      <c r="T81" s="497"/>
      <c r="U81" s="495"/>
      <c r="V81" s="495"/>
      <c r="W81" s="491"/>
      <c r="X81" s="491"/>
      <c r="Y81" s="491"/>
      <c r="Z81" s="491"/>
      <c r="AA81" s="491"/>
      <c r="AB81" s="491"/>
      <c r="AC81" s="491"/>
      <c r="AD81" s="491"/>
      <c r="AE81" s="491"/>
      <c r="AF81" s="491"/>
      <c r="AG81" s="491"/>
      <c r="AH81" s="491"/>
      <c r="AI81" s="491"/>
      <c r="AJ81" s="491"/>
      <c r="AK81" s="491"/>
      <c r="AL81" s="491"/>
      <c r="AM81" s="491"/>
      <c r="AN81" s="491"/>
      <c r="AO81" s="491"/>
      <c r="AP81" s="491" t="s">
        <v>364</v>
      </c>
      <c r="AQ81" s="493">
        <f ca="1">IFERROR(__xludf.DUMMYFUNCTION("IFERROR(VLOOKUP(E141&amp;F141,IMPORTRANGE(""https://docs.google.com/spreadsheets/d/1Uw7-A9f9R21vMXxHZFNpYNeKFtG8_yji4HS352LGlSQ/edit?pli=1#gid=0"",""1_ACUM!A4:S""),18,FALSE))"),44585)</f>
        <v>44585</v>
      </c>
      <c r="AR81" s="493">
        <f ca="1">IFERROR(__xludf.DUMMYFUNCTION("IFERROR(VLOOKUP(E141&amp;F141,IMPORTRANGE(""https://docs.google.com/spreadsheets/d/1Uw7-A9f9R21vMXxHZFNpYNeKFtG8_yji4HS352LGlSQ/edit?pli=1#gid=0"",""1_ACUM!A4:S""),19,FALSE))"),44765)</f>
        <v>44765</v>
      </c>
      <c r="AS81" s="493">
        <f ca="1">IFERROR(__xludf.DUMMYFUNCTION("IFERROR(VLOOKUP(F141,IMPORTRANGE(""https://docs.google.com/spreadsheets/d/1Kvs4KS76FHFqLFIZfrDMff4kP08nblUkihrxltoGBjg/edit#gid=934712705"",""ESENCIAL!A6:BG""),5,FALSE))"),44949)</f>
        <v>44949</v>
      </c>
      <c r="AT81" s="493">
        <f t="shared" ca="1" si="3"/>
        <v>45496</v>
      </c>
      <c r="AU81" s="491"/>
      <c r="AV81" s="491"/>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c r="CD81" s="164"/>
      <c r="CE81" s="164"/>
      <c r="CF81" s="164"/>
      <c r="CG81" s="164"/>
      <c r="CH81" s="164"/>
      <c r="CI81" s="164"/>
      <c r="CJ81" s="164"/>
      <c r="CK81" s="164"/>
      <c r="CL81" s="164"/>
      <c r="CM81" s="164"/>
      <c r="CN81" s="164"/>
      <c r="CO81" s="164"/>
      <c r="CP81" s="164"/>
      <c r="CQ81" s="164"/>
      <c r="CR81" s="164"/>
      <c r="CS81" s="164"/>
      <c r="CT81" s="164"/>
    </row>
    <row r="82" spans="1:98" ht="90">
      <c r="A82" s="491" t="s">
        <v>364</v>
      </c>
      <c r="B82" s="490" t="s">
        <v>386</v>
      </c>
      <c r="C82" s="490" t="s">
        <v>67</v>
      </c>
      <c r="D82" s="490">
        <v>1084330239</v>
      </c>
      <c r="E82" s="490">
        <v>2451001</v>
      </c>
      <c r="F82" s="491" t="str">
        <f ca="1">IFERROR(__xludf.DUMMYFUNCTION("IFERROR(VLOOKUP(F142,IMPORTRANGE(""https://docs.google.com/spreadsheets/d/1Kvs4KS76FHFqLFIZfrDMff4kP08nblUkihrxltoGBjg/edit#gid=934712705"",""ESENCIAL!A6:BG""),3,FALSE))"),"TÉCNICO")</f>
        <v>TÉCNICO</v>
      </c>
      <c r="G82" s="491" t="str">
        <f ca="1">IFERROR(__xludf.DUMMYFUNCTION("IFERROR(VLOOKUP(F142,IMPORTRANGE(""https://docs.google.com/spreadsheets/d/1Kvs4KS76FHFqLFIZfrDMff4kP08nblUkihrxltoGBjg/edit#gid=934712705"",""ESENCIAL!A6:BG""),8,FALSE))"),"DIBUJO ARQUITECTÓNICO")</f>
        <v>DIBUJO ARQUITECTÓNICO</v>
      </c>
      <c r="H82" s="490">
        <v>3223699501</v>
      </c>
      <c r="I82" s="490" t="s">
        <v>387</v>
      </c>
      <c r="J82" s="490"/>
      <c r="K82" s="495" t="s">
        <v>37</v>
      </c>
      <c r="L82" s="495" t="s">
        <v>354</v>
      </c>
      <c r="M82" s="495"/>
      <c r="N82" s="495"/>
      <c r="O82" s="495"/>
      <c r="P82" s="495"/>
      <c r="Q82" s="496">
        <v>44778</v>
      </c>
      <c r="R82" s="499">
        <v>44963</v>
      </c>
      <c r="S82" s="495" t="s">
        <v>355</v>
      </c>
      <c r="T82" s="497"/>
      <c r="U82" s="495"/>
      <c r="V82" s="495"/>
      <c r="W82" s="491"/>
      <c r="X82" s="491"/>
      <c r="Y82" s="491"/>
      <c r="Z82" s="491"/>
      <c r="AA82" s="491"/>
      <c r="AB82" s="491"/>
      <c r="AC82" s="491"/>
      <c r="AD82" s="491"/>
      <c r="AE82" s="491"/>
      <c r="AF82" s="491"/>
      <c r="AG82" s="491"/>
      <c r="AH82" s="491"/>
      <c r="AI82" s="491"/>
      <c r="AJ82" s="491"/>
      <c r="AK82" s="491"/>
      <c r="AL82" s="491"/>
      <c r="AM82" s="491"/>
      <c r="AN82" s="491"/>
      <c r="AO82" s="491"/>
      <c r="AP82" s="491" t="s">
        <v>364</v>
      </c>
      <c r="AQ82" s="493">
        <f ca="1">IFERROR(__xludf.DUMMYFUNCTION("IFERROR(VLOOKUP(E142&amp;F142,IMPORTRANGE(""https://docs.google.com/spreadsheets/d/1Uw7-A9f9R21vMXxHZFNpYNeKFtG8_yji4HS352LGlSQ/edit?pli=1#gid=0"",""1_ACUM!A4:S""),18,FALSE))"),44585)</f>
        <v>44585</v>
      </c>
      <c r="AR82" s="493">
        <f ca="1">IFERROR(__xludf.DUMMYFUNCTION("IFERROR(VLOOKUP(E142&amp;F142,IMPORTRANGE(""https://docs.google.com/spreadsheets/d/1Uw7-A9f9R21vMXxHZFNpYNeKFtG8_yji4HS352LGlSQ/edit?pli=1#gid=0"",""1_ACUM!A4:S""),19,FALSE))"),44765)</f>
        <v>44765</v>
      </c>
      <c r="AS82" s="493">
        <f ca="1">IFERROR(__xludf.DUMMYFUNCTION("IFERROR(VLOOKUP(F142,IMPORTRANGE(""https://docs.google.com/spreadsheets/d/1Kvs4KS76FHFqLFIZfrDMff4kP08nblUkihrxltoGBjg/edit#gid=934712705"",""ESENCIAL!A6:BG""),5,FALSE))"),44949)</f>
        <v>44949</v>
      </c>
      <c r="AT82" s="493">
        <f t="shared" ca="1" si="3"/>
        <v>45496</v>
      </c>
      <c r="AU82" s="491"/>
      <c r="AV82" s="491"/>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c r="CD82" s="164"/>
      <c r="CE82" s="164"/>
      <c r="CF82" s="164"/>
      <c r="CG82" s="164"/>
      <c r="CH82" s="164"/>
      <c r="CI82" s="164"/>
      <c r="CJ82" s="164"/>
      <c r="CK82" s="164"/>
      <c r="CL82" s="164"/>
      <c r="CM82" s="164"/>
      <c r="CN82" s="164"/>
      <c r="CO82" s="164"/>
      <c r="CP82" s="164"/>
      <c r="CQ82" s="164"/>
      <c r="CR82" s="164"/>
      <c r="CS82" s="164"/>
      <c r="CT82" s="164"/>
    </row>
    <row r="83" spans="1:98" ht="90">
      <c r="A83" s="491" t="s">
        <v>364</v>
      </c>
      <c r="B83" s="490" t="s">
        <v>388</v>
      </c>
      <c r="C83" s="490" t="s">
        <v>67</v>
      </c>
      <c r="D83" s="490">
        <v>1084330977</v>
      </c>
      <c r="E83" s="490">
        <v>2451001</v>
      </c>
      <c r="F83" s="491" t="str">
        <f ca="1">IFERROR(__xludf.DUMMYFUNCTION("IFERROR(VLOOKUP(F143,IMPORTRANGE(""https://docs.google.com/spreadsheets/d/1Kvs4KS76FHFqLFIZfrDMff4kP08nblUkihrxltoGBjg/edit#gid=934712705"",""ESENCIAL!A6:BG""),3,FALSE))"),"TÉCNICO")</f>
        <v>TÉCNICO</v>
      </c>
      <c r="G83" s="491" t="str">
        <f ca="1">IFERROR(__xludf.DUMMYFUNCTION("IFERROR(VLOOKUP(F143,IMPORTRANGE(""https://docs.google.com/spreadsheets/d/1Kvs4KS76FHFqLFIZfrDMff4kP08nblUkihrxltoGBjg/edit#gid=934712705"",""ESENCIAL!A6:BG""),8,FALSE))"),"DIBUJO ARQUITECTÓNICO")</f>
        <v>DIBUJO ARQUITECTÓNICO</v>
      </c>
      <c r="H83" s="490">
        <v>3103395754</v>
      </c>
      <c r="I83" s="490" t="s">
        <v>389</v>
      </c>
      <c r="J83" s="490"/>
      <c r="K83" s="495" t="s">
        <v>37</v>
      </c>
      <c r="L83" s="495" t="s">
        <v>354</v>
      </c>
      <c r="M83" s="495"/>
      <c r="N83" s="495"/>
      <c r="O83" s="495"/>
      <c r="P83" s="495"/>
      <c r="Q83" s="496">
        <v>44778</v>
      </c>
      <c r="R83" s="499">
        <v>44963</v>
      </c>
      <c r="S83" s="495" t="s">
        <v>355</v>
      </c>
      <c r="T83" s="497"/>
      <c r="U83" s="495"/>
      <c r="V83" s="495"/>
      <c r="W83" s="491"/>
      <c r="X83" s="491"/>
      <c r="Y83" s="491"/>
      <c r="Z83" s="491"/>
      <c r="AA83" s="491"/>
      <c r="AB83" s="491"/>
      <c r="AC83" s="491"/>
      <c r="AD83" s="491"/>
      <c r="AE83" s="491"/>
      <c r="AF83" s="491"/>
      <c r="AG83" s="491"/>
      <c r="AH83" s="491"/>
      <c r="AI83" s="491"/>
      <c r="AJ83" s="491"/>
      <c r="AK83" s="491"/>
      <c r="AL83" s="491"/>
      <c r="AM83" s="491"/>
      <c r="AN83" s="491"/>
      <c r="AO83" s="491"/>
      <c r="AP83" s="491" t="s">
        <v>364</v>
      </c>
      <c r="AQ83" s="493">
        <f ca="1">IFERROR(__xludf.DUMMYFUNCTION("IFERROR(VLOOKUP(E143&amp;F143,IMPORTRANGE(""https://docs.google.com/spreadsheets/d/1Uw7-A9f9R21vMXxHZFNpYNeKFtG8_yji4HS352LGlSQ/edit?pli=1#gid=0"",""1_ACUM!A4:S""),18,FALSE))"),44585)</f>
        <v>44585</v>
      </c>
      <c r="AR83" s="493">
        <f ca="1">IFERROR(__xludf.DUMMYFUNCTION("IFERROR(VLOOKUP(E143&amp;F143,IMPORTRANGE(""https://docs.google.com/spreadsheets/d/1Uw7-A9f9R21vMXxHZFNpYNeKFtG8_yji4HS352LGlSQ/edit?pli=1#gid=0"",""1_ACUM!A4:S""),19,FALSE))"),44765)</f>
        <v>44765</v>
      </c>
      <c r="AS83" s="493">
        <f ca="1">IFERROR(__xludf.DUMMYFUNCTION("IFERROR(VLOOKUP(F143,IMPORTRANGE(""https://docs.google.com/spreadsheets/d/1Kvs4KS76FHFqLFIZfrDMff4kP08nblUkihrxltoGBjg/edit#gid=934712705"",""ESENCIAL!A6:BG""),5,FALSE))"),44949)</f>
        <v>44949</v>
      </c>
      <c r="AT83" s="493">
        <f t="shared" ca="1" si="3"/>
        <v>45496</v>
      </c>
      <c r="AU83" s="491"/>
      <c r="AV83" s="491"/>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c r="CD83" s="164"/>
      <c r="CE83" s="164"/>
      <c r="CF83" s="164"/>
      <c r="CG83" s="164"/>
      <c r="CH83" s="164"/>
      <c r="CI83" s="164"/>
      <c r="CJ83" s="164"/>
      <c r="CK83" s="164"/>
      <c r="CL83" s="164"/>
      <c r="CM83" s="164"/>
      <c r="CN83" s="164"/>
      <c r="CO83" s="164"/>
      <c r="CP83" s="164"/>
      <c r="CQ83" s="164"/>
      <c r="CR83" s="164"/>
      <c r="CS83" s="164"/>
      <c r="CT83" s="164"/>
    </row>
    <row r="84" spans="1:98" ht="90">
      <c r="A84" s="491" t="s">
        <v>364</v>
      </c>
      <c r="B84" s="490" t="s">
        <v>390</v>
      </c>
      <c r="C84" s="490" t="s">
        <v>67</v>
      </c>
      <c r="D84" s="490">
        <v>1125179600</v>
      </c>
      <c r="E84" s="490">
        <v>2451001</v>
      </c>
      <c r="F84" s="491" t="str">
        <f ca="1">IFERROR(__xludf.DUMMYFUNCTION("IFERROR(VLOOKUP(F144,IMPORTRANGE(""https://docs.google.com/spreadsheets/d/1Kvs4KS76FHFqLFIZfrDMff4kP08nblUkihrxltoGBjg/edit#gid=934712705"",""ESENCIAL!A6:BG""),3,FALSE))"),"TÉCNICO")</f>
        <v>TÉCNICO</v>
      </c>
      <c r="G84" s="491" t="str">
        <f ca="1">IFERROR(__xludf.DUMMYFUNCTION("IFERROR(VLOOKUP(F144,IMPORTRANGE(""https://docs.google.com/spreadsheets/d/1Kvs4KS76FHFqLFIZfrDMff4kP08nblUkihrxltoGBjg/edit#gid=934712705"",""ESENCIAL!A6:BG""),8,FALSE))"),"DIBUJO ARQUITECTÓNICO")</f>
        <v>DIBUJO ARQUITECTÓNICO</v>
      </c>
      <c r="H84" s="490">
        <v>3195461953</v>
      </c>
      <c r="I84" s="490" t="s">
        <v>391</v>
      </c>
      <c r="J84" s="490"/>
      <c r="K84" s="495" t="s">
        <v>37</v>
      </c>
      <c r="L84" s="495" t="s">
        <v>354</v>
      </c>
      <c r="M84" s="495"/>
      <c r="N84" s="495"/>
      <c r="O84" s="495"/>
      <c r="P84" s="495"/>
      <c r="Q84" s="496">
        <v>44778</v>
      </c>
      <c r="R84" s="499">
        <v>44963</v>
      </c>
      <c r="S84" s="495" t="s">
        <v>355</v>
      </c>
      <c r="T84" s="497"/>
      <c r="U84" s="495"/>
      <c r="V84" s="495"/>
      <c r="W84" s="491"/>
      <c r="X84" s="491"/>
      <c r="Y84" s="491"/>
      <c r="Z84" s="491"/>
      <c r="AA84" s="491"/>
      <c r="AB84" s="491"/>
      <c r="AC84" s="491"/>
      <c r="AD84" s="491"/>
      <c r="AE84" s="491"/>
      <c r="AF84" s="491"/>
      <c r="AG84" s="491"/>
      <c r="AH84" s="491"/>
      <c r="AI84" s="491"/>
      <c r="AJ84" s="491"/>
      <c r="AK84" s="491"/>
      <c r="AL84" s="491"/>
      <c r="AM84" s="491"/>
      <c r="AN84" s="491"/>
      <c r="AO84" s="491"/>
      <c r="AP84" s="491" t="s">
        <v>364</v>
      </c>
      <c r="AQ84" s="493">
        <f ca="1">IFERROR(__xludf.DUMMYFUNCTION("IFERROR(VLOOKUP(E144&amp;F144,IMPORTRANGE(""https://docs.google.com/spreadsheets/d/1Uw7-A9f9R21vMXxHZFNpYNeKFtG8_yji4HS352LGlSQ/edit?pli=1#gid=0"",""1_ACUM!A4:S""),18,FALSE))"),44585)</f>
        <v>44585</v>
      </c>
      <c r="AR84" s="493">
        <f ca="1">IFERROR(__xludf.DUMMYFUNCTION("IFERROR(VLOOKUP(E144&amp;F144,IMPORTRANGE(""https://docs.google.com/spreadsheets/d/1Uw7-A9f9R21vMXxHZFNpYNeKFtG8_yji4HS352LGlSQ/edit?pli=1#gid=0"",""1_ACUM!A4:S""),19,FALSE))"),44765)</f>
        <v>44765</v>
      </c>
      <c r="AS84" s="493">
        <f ca="1">IFERROR(__xludf.DUMMYFUNCTION("IFERROR(VLOOKUP(F144,IMPORTRANGE(""https://docs.google.com/spreadsheets/d/1Kvs4KS76FHFqLFIZfrDMff4kP08nblUkihrxltoGBjg/edit#gid=934712705"",""ESENCIAL!A6:BG""),5,FALSE))"),44949)</f>
        <v>44949</v>
      </c>
      <c r="AT84" s="493">
        <f t="shared" ca="1" si="3"/>
        <v>45496</v>
      </c>
      <c r="AU84" s="491"/>
      <c r="AV84" s="491"/>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c r="CD84" s="164"/>
      <c r="CE84" s="164"/>
      <c r="CF84" s="164"/>
      <c r="CG84" s="164"/>
      <c r="CH84" s="164"/>
      <c r="CI84" s="164"/>
      <c r="CJ84" s="164"/>
      <c r="CK84" s="164"/>
      <c r="CL84" s="164"/>
      <c r="CM84" s="164"/>
      <c r="CN84" s="164"/>
      <c r="CO84" s="164"/>
      <c r="CP84" s="164"/>
      <c r="CQ84" s="164"/>
      <c r="CR84" s="164"/>
      <c r="CS84" s="164"/>
      <c r="CT84" s="164"/>
    </row>
    <row r="85" spans="1:98" ht="120">
      <c r="A85" s="491" t="s">
        <v>392</v>
      </c>
      <c r="B85" s="490" t="s">
        <v>393</v>
      </c>
      <c r="C85" s="490" t="s">
        <v>27</v>
      </c>
      <c r="D85" s="490">
        <v>1084254443</v>
      </c>
      <c r="E85" s="490">
        <v>2464124</v>
      </c>
      <c r="F85" s="491" t="str">
        <f ca="1">IFERROR(__xludf.DUMMYFUNCTION("IFERROR(VLOOKUP(F145,IMPORTRANGE(""https://docs.google.com/spreadsheets/d/1Kvs4KS76FHFqLFIZfrDMff4kP08nblUkihrxltoGBjg/edit#gid=934712705"",""ESENCIAL!A6:BG""),3,FALSE))"),"TÉCNICO")</f>
        <v>TÉCNICO</v>
      </c>
      <c r="G85" s="491" t="str">
        <f ca="1">IFERROR(__xludf.DUMMYFUNCTION("IFERROR(VLOOKUP(F145,IMPORTRANGE(""https://docs.google.com/spreadsheets/d/1Kvs4KS76FHFqLFIZfrDMff4kP08nblUkihrxltoGBjg/edit#gid=934712705"",""ESENCIAL!A6:BG""),8,FALSE))"),"CONSTRUCCION, MANTENIMIENTO Y REPARACION DE ESTRUCTURAS EN GUADUA")</f>
        <v>CONSTRUCCION, MANTENIMIENTO Y REPARACION DE ESTRUCTURAS EN GUADUA</v>
      </c>
      <c r="H85" s="490">
        <v>3125072629</v>
      </c>
      <c r="I85" s="490" t="s">
        <v>394</v>
      </c>
      <c r="J85" s="490"/>
      <c r="K85" s="495" t="s">
        <v>37</v>
      </c>
      <c r="L85" s="495" t="s">
        <v>326</v>
      </c>
      <c r="M85" s="495" t="s">
        <v>327</v>
      </c>
      <c r="N85" s="495">
        <v>3002105865</v>
      </c>
      <c r="O85" s="495" t="s">
        <v>73</v>
      </c>
      <c r="P85" s="495" t="s">
        <v>230</v>
      </c>
      <c r="Q85" s="496">
        <v>44805</v>
      </c>
      <c r="R85" s="499">
        <v>44985</v>
      </c>
      <c r="S85" s="495"/>
      <c r="T85" s="497"/>
      <c r="U85" s="495"/>
      <c r="V85" s="495"/>
      <c r="W85" s="491"/>
      <c r="X85" s="491"/>
      <c r="Y85" s="491"/>
      <c r="Z85" s="491"/>
      <c r="AA85" s="491"/>
      <c r="AB85" s="491"/>
      <c r="AC85" s="491"/>
      <c r="AD85" s="491"/>
      <c r="AE85" s="491"/>
      <c r="AF85" s="491"/>
      <c r="AG85" s="491"/>
      <c r="AH85" s="491"/>
      <c r="AI85" s="491"/>
      <c r="AJ85" s="491"/>
      <c r="AK85" s="491"/>
      <c r="AL85" s="491"/>
      <c r="AM85" s="491"/>
      <c r="AN85" s="491"/>
      <c r="AO85" s="491"/>
      <c r="AP85" s="491" t="s">
        <v>392</v>
      </c>
      <c r="AQ85" s="493">
        <f ca="1">IFERROR(__xludf.DUMMYFUNCTION("IFERROR(VLOOKUP(E145&amp;F145,IMPORTRANGE(""https://docs.google.com/spreadsheets/d/1Uw7-A9f9R21vMXxHZFNpYNeKFtG8_yji4HS352LGlSQ/edit?pli=1#gid=0"",""1_ACUM!A4:S""),18,FALSE))"),44535)</f>
        <v>44535</v>
      </c>
      <c r="AR85" s="493">
        <f ca="1">IFERROR(__xludf.DUMMYFUNCTION("IFERROR(VLOOKUP(E145&amp;F145,IMPORTRANGE(""https://docs.google.com/spreadsheets/d/1Uw7-A9f9R21vMXxHZFNpYNeKFtG8_yji4HS352LGlSQ/edit?pli=1#gid=0"",""1_ACUM!A4:S""),19,FALSE))"),44808)</f>
        <v>44808</v>
      </c>
      <c r="AS85" s="493">
        <f ca="1">IFERROR(__xludf.DUMMYFUNCTION("IFERROR(VLOOKUP(F145,IMPORTRANGE(""https://docs.google.com/spreadsheets/d/1Kvs4KS76FHFqLFIZfrDMff4kP08nblUkihrxltoGBjg/edit#gid=934712705"",""ESENCIAL!A6:BG""),5,FALSE))"),44989)</f>
        <v>44989</v>
      </c>
      <c r="AT85" s="493">
        <f t="shared" ca="1" si="3"/>
        <v>45539</v>
      </c>
      <c r="AU85" s="491"/>
      <c r="AV85" s="491"/>
    </row>
    <row r="86" spans="1:98" ht="120">
      <c r="A86" s="491" t="s">
        <v>392</v>
      </c>
      <c r="B86" s="490" t="s">
        <v>395</v>
      </c>
      <c r="C86" s="490" t="s">
        <v>27</v>
      </c>
      <c r="D86" s="490">
        <v>1084254480</v>
      </c>
      <c r="E86" s="490">
        <v>2464124</v>
      </c>
      <c r="F86" s="491" t="str">
        <f ca="1">IFERROR(__xludf.DUMMYFUNCTION("IFERROR(VLOOKUP(F146,IMPORTRANGE(""https://docs.google.com/spreadsheets/d/1Kvs4KS76FHFqLFIZfrDMff4kP08nblUkihrxltoGBjg/edit#gid=934712705"",""ESENCIAL!A6:BG""),3,FALSE))"),"TÉCNICO")</f>
        <v>TÉCNICO</v>
      </c>
      <c r="G86" s="491" t="str">
        <f ca="1">IFERROR(__xludf.DUMMYFUNCTION("IFERROR(VLOOKUP(F146,IMPORTRANGE(""https://docs.google.com/spreadsheets/d/1Kvs4KS76FHFqLFIZfrDMff4kP08nblUkihrxltoGBjg/edit#gid=934712705"",""ESENCIAL!A6:BG""),8,FALSE))"),"CONSTRUCCION, MANTENIMIENTO Y REPARACION DE ESTRUCTURAS EN GUADUA")</f>
        <v>CONSTRUCCION, MANTENIMIENTO Y REPARACION DE ESTRUCTURAS EN GUADUA</v>
      </c>
      <c r="H86" s="490">
        <v>3232042482</v>
      </c>
      <c r="I86" s="490" t="s">
        <v>396</v>
      </c>
      <c r="J86" s="490"/>
      <c r="K86" s="495" t="s">
        <v>37</v>
      </c>
      <c r="L86" s="495" t="s">
        <v>326</v>
      </c>
      <c r="M86" s="495" t="s">
        <v>327</v>
      </c>
      <c r="N86" s="495">
        <v>3002105865</v>
      </c>
      <c r="O86" s="495" t="s">
        <v>73</v>
      </c>
      <c r="P86" s="495" t="s">
        <v>230</v>
      </c>
      <c r="Q86" s="496">
        <v>44805</v>
      </c>
      <c r="R86" s="499">
        <v>44985</v>
      </c>
      <c r="S86" s="495"/>
      <c r="T86" s="497"/>
      <c r="U86" s="495"/>
      <c r="V86" s="495"/>
      <c r="W86" s="491"/>
      <c r="X86" s="491"/>
      <c r="Y86" s="491"/>
      <c r="Z86" s="491"/>
      <c r="AA86" s="491"/>
      <c r="AB86" s="491"/>
      <c r="AC86" s="491"/>
      <c r="AD86" s="491"/>
      <c r="AE86" s="491"/>
      <c r="AF86" s="491"/>
      <c r="AG86" s="491"/>
      <c r="AH86" s="491"/>
      <c r="AI86" s="491"/>
      <c r="AJ86" s="491"/>
      <c r="AK86" s="491"/>
      <c r="AL86" s="491"/>
      <c r="AM86" s="491"/>
      <c r="AN86" s="491"/>
      <c r="AO86" s="491"/>
      <c r="AP86" s="491" t="s">
        <v>392</v>
      </c>
      <c r="AQ86" s="493">
        <f ca="1">IFERROR(__xludf.DUMMYFUNCTION("IFERROR(VLOOKUP(E146&amp;F146,IMPORTRANGE(""https://docs.google.com/spreadsheets/d/1Uw7-A9f9R21vMXxHZFNpYNeKFtG8_yji4HS352LGlSQ/edit?pli=1#gid=0"",""1_ACUM!A4:S""),18,FALSE))"),44535)</f>
        <v>44535</v>
      </c>
      <c r="AR86" s="493">
        <f ca="1">IFERROR(__xludf.DUMMYFUNCTION("IFERROR(VLOOKUP(E146&amp;F146,IMPORTRANGE(""https://docs.google.com/spreadsheets/d/1Uw7-A9f9R21vMXxHZFNpYNeKFtG8_yji4HS352LGlSQ/edit?pli=1#gid=0"",""1_ACUM!A4:S""),19,FALSE))"),44808)</f>
        <v>44808</v>
      </c>
      <c r="AS86" s="493">
        <f ca="1">IFERROR(__xludf.DUMMYFUNCTION("IFERROR(VLOOKUP(F146,IMPORTRANGE(""https://docs.google.com/spreadsheets/d/1Kvs4KS76FHFqLFIZfrDMff4kP08nblUkihrxltoGBjg/edit#gid=934712705"",""ESENCIAL!A6:BG""),5,FALSE))"),44989)</f>
        <v>44989</v>
      </c>
      <c r="AT86" s="493">
        <f t="shared" ca="1" si="3"/>
        <v>45539</v>
      </c>
      <c r="AU86" s="491"/>
      <c r="AV86" s="491"/>
    </row>
    <row r="87" spans="1:98" ht="120">
      <c r="A87" s="491" t="s">
        <v>392</v>
      </c>
      <c r="B87" s="490" t="s">
        <v>397</v>
      </c>
      <c r="C87" s="490" t="s">
        <v>27</v>
      </c>
      <c r="D87" s="490">
        <v>1084256890</v>
      </c>
      <c r="E87" s="490">
        <v>2464124</v>
      </c>
      <c r="F87" s="491" t="str">
        <f ca="1">IFERROR(__xludf.DUMMYFUNCTION("IFERROR(VLOOKUP(F147,IMPORTRANGE(""https://docs.google.com/spreadsheets/d/1Kvs4KS76FHFqLFIZfrDMff4kP08nblUkihrxltoGBjg/edit#gid=934712705"",""ESENCIAL!A6:BG""),3,FALSE))"),"TÉCNICO")</f>
        <v>TÉCNICO</v>
      </c>
      <c r="G87" s="491" t="str">
        <f ca="1">IFERROR(__xludf.DUMMYFUNCTION("IFERROR(VLOOKUP(F147,IMPORTRANGE(""https://docs.google.com/spreadsheets/d/1Kvs4KS76FHFqLFIZfrDMff4kP08nblUkihrxltoGBjg/edit#gid=934712705"",""ESENCIAL!A6:BG""),8,FALSE))"),"CONSTRUCCION, MANTENIMIENTO Y REPARACION DE ESTRUCTURAS EN GUADUA")</f>
        <v>CONSTRUCCION, MANTENIMIENTO Y REPARACION DE ESTRUCTURAS EN GUADUA</v>
      </c>
      <c r="H87" s="490">
        <v>3144724710</v>
      </c>
      <c r="I87" s="490" t="s">
        <v>398</v>
      </c>
      <c r="J87" s="490"/>
      <c r="K87" s="495" t="s">
        <v>37</v>
      </c>
      <c r="L87" s="495" t="s">
        <v>326</v>
      </c>
      <c r="M87" s="495" t="s">
        <v>327</v>
      </c>
      <c r="N87" s="495">
        <v>3002105865</v>
      </c>
      <c r="O87" s="495" t="s">
        <v>73</v>
      </c>
      <c r="P87" s="495" t="s">
        <v>230</v>
      </c>
      <c r="Q87" s="496">
        <v>44805</v>
      </c>
      <c r="R87" s="499">
        <v>44985</v>
      </c>
      <c r="S87" s="495"/>
      <c r="T87" s="497"/>
      <c r="U87" s="495"/>
      <c r="V87" s="495"/>
      <c r="W87" s="491"/>
      <c r="X87" s="491"/>
      <c r="Y87" s="491"/>
      <c r="Z87" s="491"/>
      <c r="AA87" s="491"/>
      <c r="AB87" s="491"/>
      <c r="AC87" s="491"/>
      <c r="AD87" s="491"/>
      <c r="AE87" s="491"/>
      <c r="AF87" s="491"/>
      <c r="AG87" s="491"/>
      <c r="AH87" s="491"/>
      <c r="AI87" s="491"/>
      <c r="AJ87" s="491"/>
      <c r="AK87" s="491"/>
      <c r="AL87" s="491"/>
      <c r="AM87" s="491"/>
      <c r="AN87" s="491"/>
      <c r="AO87" s="491"/>
      <c r="AP87" s="491" t="s">
        <v>392</v>
      </c>
      <c r="AQ87" s="493">
        <f ca="1">IFERROR(__xludf.DUMMYFUNCTION("IFERROR(VLOOKUP(E147&amp;F147,IMPORTRANGE(""https://docs.google.com/spreadsheets/d/1Uw7-A9f9R21vMXxHZFNpYNeKFtG8_yji4HS352LGlSQ/edit?pli=1#gid=0"",""1_ACUM!A4:S""),18,FALSE))"),44535)</f>
        <v>44535</v>
      </c>
      <c r="AR87" s="493">
        <f ca="1">IFERROR(__xludf.DUMMYFUNCTION("IFERROR(VLOOKUP(E147&amp;F147,IMPORTRANGE(""https://docs.google.com/spreadsheets/d/1Uw7-A9f9R21vMXxHZFNpYNeKFtG8_yji4HS352LGlSQ/edit?pli=1#gid=0"",""1_ACUM!A4:S""),19,FALSE))"),44808)</f>
        <v>44808</v>
      </c>
      <c r="AS87" s="493">
        <f ca="1">IFERROR(__xludf.DUMMYFUNCTION("IFERROR(VLOOKUP(F147,IMPORTRANGE(""https://docs.google.com/spreadsheets/d/1Kvs4KS76FHFqLFIZfrDMff4kP08nblUkihrxltoGBjg/edit#gid=934712705"",""ESENCIAL!A6:BG""),5,FALSE))"),44989)</f>
        <v>44989</v>
      </c>
      <c r="AT87" s="493">
        <f t="shared" ca="1" si="3"/>
        <v>45539</v>
      </c>
      <c r="AU87" s="491"/>
      <c r="AV87" s="491"/>
    </row>
    <row r="88" spans="1:98" ht="120">
      <c r="A88" s="491" t="s">
        <v>392</v>
      </c>
      <c r="B88" s="490" t="s">
        <v>399</v>
      </c>
      <c r="C88" s="490" t="s">
        <v>27</v>
      </c>
      <c r="D88" s="490">
        <v>12168629</v>
      </c>
      <c r="E88" s="490">
        <v>2464124</v>
      </c>
      <c r="F88" s="491" t="str">
        <f ca="1">IFERROR(__xludf.DUMMYFUNCTION("IFERROR(VLOOKUP(F148,IMPORTRANGE(""https://docs.google.com/spreadsheets/d/1Kvs4KS76FHFqLFIZfrDMff4kP08nblUkihrxltoGBjg/edit#gid=934712705"",""ESENCIAL!A6:BG""),3,FALSE))"),"TÉCNICO")</f>
        <v>TÉCNICO</v>
      </c>
      <c r="G88" s="491" t="str">
        <f ca="1">IFERROR(__xludf.DUMMYFUNCTION("IFERROR(VLOOKUP(F148,IMPORTRANGE(""https://docs.google.com/spreadsheets/d/1Kvs4KS76FHFqLFIZfrDMff4kP08nblUkihrxltoGBjg/edit#gid=934712705"",""ESENCIAL!A6:BG""),8,FALSE))"),"CONSTRUCCION, MANTENIMIENTO Y REPARACION DE ESTRUCTURAS EN GUADUA")</f>
        <v>CONSTRUCCION, MANTENIMIENTO Y REPARACION DE ESTRUCTURAS EN GUADUA</v>
      </c>
      <c r="H88" s="490">
        <v>3103122530</v>
      </c>
      <c r="I88" s="490" t="s">
        <v>400</v>
      </c>
      <c r="J88" s="490"/>
      <c r="K88" s="495" t="s">
        <v>37</v>
      </c>
      <c r="L88" s="495" t="s">
        <v>326</v>
      </c>
      <c r="M88" s="495" t="s">
        <v>327</v>
      </c>
      <c r="N88" s="495">
        <v>3002105865</v>
      </c>
      <c r="O88" s="495" t="s">
        <v>73</v>
      </c>
      <c r="P88" s="495" t="s">
        <v>230</v>
      </c>
      <c r="Q88" s="496">
        <v>44805</v>
      </c>
      <c r="R88" s="499">
        <v>44985</v>
      </c>
      <c r="S88" s="495"/>
      <c r="T88" s="497"/>
      <c r="U88" s="495"/>
      <c r="V88" s="495"/>
      <c r="W88" s="491"/>
      <c r="X88" s="491"/>
      <c r="Y88" s="491"/>
      <c r="Z88" s="491"/>
      <c r="AA88" s="491"/>
      <c r="AB88" s="491"/>
      <c r="AC88" s="491"/>
      <c r="AD88" s="491"/>
      <c r="AE88" s="491"/>
      <c r="AF88" s="491"/>
      <c r="AG88" s="491"/>
      <c r="AH88" s="491"/>
      <c r="AI88" s="491"/>
      <c r="AJ88" s="491"/>
      <c r="AK88" s="491"/>
      <c r="AL88" s="491"/>
      <c r="AM88" s="491"/>
      <c r="AN88" s="491"/>
      <c r="AO88" s="491"/>
      <c r="AP88" s="491" t="s">
        <v>392</v>
      </c>
      <c r="AQ88" s="493">
        <f ca="1">IFERROR(__xludf.DUMMYFUNCTION("IFERROR(VLOOKUP(E148&amp;F148,IMPORTRANGE(""https://docs.google.com/spreadsheets/d/1Uw7-A9f9R21vMXxHZFNpYNeKFtG8_yji4HS352LGlSQ/edit?pli=1#gid=0"",""1_ACUM!A4:S""),18,FALSE))"),44535)</f>
        <v>44535</v>
      </c>
      <c r="AR88" s="493">
        <f ca="1">IFERROR(__xludf.DUMMYFUNCTION("IFERROR(VLOOKUP(E148&amp;F148,IMPORTRANGE(""https://docs.google.com/spreadsheets/d/1Uw7-A9f9R21vMXxHZFNpYNeKFtG8_yji4HS352LGlSQ/edit?pli=1#gid=0"",""1_ACUM!A4:S""),19,FALSE))"),44808)</f>
        <v>44808</v>
      </c>
      <c r="AS88" s="493">
        <f ca="1">IFERROR(__xludf.DUMMYFUNCTION("IFERROR(VLOOKUP(F148,IMPORTRANGE(""https://docs.google.com/spreadsheets/d/1Kvs4KS76FHFqLFIZfrDMff4kP08nblUkihrxltoGBjg/edit#gid=934712705"",""ESENCIAL!A6:BG""),5,FALSE))"),44989)</f>
        <v>44989</v>
      </c>
      <c r="AT88" s="493">
        <f t="shared" ca="1" si="3"/>
        <v>45539</v>
      </c>
      <c r="AU88" s="491"/>
      <c r="AV88" s="491"/>
    </row>
    <row r="89" spans="1:98" ht="120">
      <c r="A89" s="491" t="s">
        <v>392</v>
      </c>
      <c r="B89" s="490" t="s">
        <v>401</v>
      </c>
      <c r="C89" s="490" t="s">
        <v>27</v>
      </c>
      <c r="D89" s="490">
        <v>12169668</v>
      </c>
      <c r="E89" s="490">
        <v>2464124</v>
      </c>
      <c r="F89" s="491" t="str">
        <f ca="1">IFERROR(__xludf.DUMMYFUNCTION("IFERROR(VLOOKUP(F149,IMPORTRANGE(""https://docs.google.com/spreadsheets/d/1Kvs4KS76FHFqLFIZfrDMff4kP08nblUkihrxltoGBjg/edit#gid=934712705"",""ESENCIAL!A6:BG""),3,FALSE))"),"TÉCNICO")</f>
        <v>TÉCNICO</v>
      </c>
      <c r="G89" s="491" t="str">
        <f ca="1">IFERROR(__xludf.DUMMYFUNCTION("IFERROR(VLOOKUP(F149,IMPORTRANGE(""https://docs.google.com/spreadsheets/d/1Kvs4KS76FHFqLFIZfrDMff4kP08nblUkihrxltoGBjg/edit#gid=934712705"",""ESENCIAL!A6:BG""),8,FALSE))"),"CONSTRUCCION, MANTENIMIENTO Y REPARACION DE ESTRUCTURAS EN GUADUA")</f>
        <v>CONSTRUCCION, MANTENIMIENTO Y REPARACION DE ESTRUCTURAS EN GUADUA</v>
      </c>
      <c r="H89" s="490">
        <v>3177052749</v>
      </c>
      <c r="I89" s="490" t="s">
        <v>402</v>
      </c>
      <c r="J89" s="490"/>
      <c r="K89" s="495" t="s">
        <v>37</v>
      </c>
      <c r="L89" s="495" t="s">
        <v>326</v>
      </c>
      <c r="M89" s="495" t="s">
        <v>327</v>
      </c>
      <c r="N89" s="495">
        <v>3002105865</v>
      </c>
      <c r="O89" s="495" t="s">
        <v>73</v>
      </c>
      <c r="P89" s="495" t="s">
        <v>230</v>
      </c>
      <c r="Q89" s="496">
        <v>44805</v>
      </c>
      <c r="R89" s="499">
        <v>44985</v>
      </c>
      <c r="S89" s="495"/>
      <c r="T89" s="497"/>
      <c r="U89" s="495"/>
      <c r="V89" s="495"/>
      <c r="W89" s="491"/>
      <c r="X89" s="491"/>
      <c r="Y89" s="491"/>
      <c r="Z89" s="491"/>
      <c r="AA89" s="491"/>
      <c r="AB89" s="491"/>
      <c r="AC89" s="491"/>
      <c r="AD89" s="491"/>
      <c r="AE89" s="491"/>
      <c r="AF89" s="491"/>
      <c r="AG89" s="491"/>
      <c r="AH89" s="491"/>
      <c r="AI89" s="491"/>
      <c r="AJ89" s="491"/>
      <c r="AK89" s="491"/>
      <c r="AL89" s="491"/>
      <c r="AM89" s="491"/>
      <c r="AN89" s="491"/>
      <c r="AO89" s="491"/>
      <c r="AP89" s="491" t="s">
        <v>392</v>
      </c>
      <c r="AQ89" s="493">
        <f ca="1">IFERROR(__xludf.DUMMYFUNCTION("IFERROR(VLOOKUP(E149&amp;F149,IMPORTRANGE(""https://docs.google.com/spreadsheets/d/1Uw7-A9f9R21vMXxHZFNpYNeKFtG8_yji4HS352LGlSQ/edit?pli=1#gid=0"",""1_ACUM!A4:S""),18,FALSE))"),44535)</f>
        <v>44535</v>
      </c>
      <c r="AR89" s="493">
        <f ca="1">IFERROR(__xludf.DUMMYFUNCTION("IFERROR(VLOOKUP(E149&amp;F149,IMPORTRANGE(""https://docs.google.com/spreadsheets/d/1Uw7-A9f9R21vMXxHZFNpYNeKFtG8_yji4HS352LGlSQ/edit?pli=1#gid=0"",""1_ACUM!A4:S""),19,FALSE))"),44808)</f>
        <v>44808</v>
      </c>
      <c r="AS89" s="493">
        <f ca="1">IFERROR(__xludf.DUMMYFUNCTION("IFERROR(VLOOKUP(F149,IMPORTRANGE(""https://docs.google.com/spreadsheets/d/1Kvs4KS76FHFqLFIZfrDMff4kP08nblUkihrxltoGBjg/edit#gid=934712705"",""ESENCIAL!A6:BG""),5,FALSE))"),44989)</f>
        <v>44989</v>
      </c>
      <c r="AT89" s="493">
        <f t="shared" ca="1" si="3"/>
        <v>45539</v>
      </c>
      <c r="AU89" s="491"/>
      <c r="AV89" s="491"/>
    </row>
    <row r="90" spans="1:98" ht="120">
      <c r="A90" s="491" t="s">
        <v>392</v>
      </c>
      <c r="B90" s="490" t="s">
        <v>403</v>
      </c>
      <c r="C90" s="490" t="s">
        <v>27</v>
      </c>
      <c r="D90" s="490">
        <v>12197764</v>
      </c>
      <c r="E90" s="490">
        <v>2464124</v>
      </c>
      <c r="F90" s="491" t="str">
        <f ca="1">IFERROR(__xludf.DUMMYFUNCTION("IFERROR(VLOOKUP(F150,IMPORTRANGE(""https://docs.google.com/spreadsheets/d/1Kvs4KS76FHFqLFIZfrDMff4kP08nblUkihrxltoGBjg/edit#gid=934712705"",""ESENCIAL!A6:BG""),3,FALSE))"),"TÉCNICO")</f>
        <v>TÉCNICO</v>
      </c>
      <c r="G90" s="491" t="str">
        <f ca="1">IFERROR(__xludf.DUMMYFUNCTION("IFERROR(VLOOKUP(F150,IMPORTRANGE(""https://docs.google.com/spreadsheets/d/1Kvs4KS76FHFqLFIZfrDMff4kP08nblUkihrxltoGBjg/edit#gid=934712705"",""ESENCIAL!A6:BG""),8,FALSE))"),"CONSTRUCCION, MANTENIMIENTO Y REPARACION DE ESTRUCTURAS EN GUADUA")</f>
        <v>CONSTRUCCION, MANTENIMIENTO Y REPARACION DE ESTRUCTURAS EN GUADUA</v>
      </c>
      <c r="H90" s="490">
        <v>3134888808</v>
      </c>
      <c r="I90" s="490" t="s">
        <v>404</v>
      </c>
      <c r="J90" s="490"/>
      <c r="K90" s="495" t="s">
        <v>37</v>
      </c>
      <c r="L90" s="495" t="s">
        <v>326</v>
      </c>
      <c r="M90" s="495" t="s">
        <v>327</v>
      </c>
      <c r="N90" s="495">
        <v>3002105865</v>
      </c>
      <c r="O90" s="495" t="s">
        <v>73</v>
      </c>
      <c r="P90" s="495" t="s">
        <v>230</v>
      </c>
      <c r="Q90" s="496">
        <v>44805</v>
      </c>
      <c r="R90" s="499">
        <v>44985</v>
      </c>
      <c r="S90" s="495"/>
      <c r="T90" s="497"/>
      <c r="U90" s="495"/>
      <c r="V90" s="495"/>
      <c r="W90" s="491"/>
      <c r="X90" s="491"/>
      <c r="Y90" s="491"/>
      <c r="Z90" s="491"/>
      <c r="AA90" s="491"/>
      <c r="AB90" s="491"/>
      <c r="AC90" s="491"/>
      <c r="AD90" s="491"/>
      <c r="AE90" s="491"/>
      <c r="AF90" s="491"/>
      <c r="AG90" s="491"/>
      <c r="AH90" s="491"/>
      <c r="AI90" s="491"/>
      <c r="AJ90" s="491"/>
      <c r="AK90" s="491"/>
      <c r="AL90" s="491"/>
      <c r="AM90" s="491"/>
      <c r="AN90" s="491"/>
      <c r="AO90" s="491"/>
      <c r="AP90" s="491" t="s">
        <v>392</v>
      </c>
      <c r="AQ90" s="493">
        <f ca="1">IFERROR(__xludf.DUMMYFUNCTION("IFERROR(VLOOKUP(E150&amp;F150,IMPORTRANGE(""https://docs.google.com/spreadsheets/d/1Uw7-A9f9R21vMXxHZFNpYNeKFtG8_yji4HS352LGlSQ/edit?pli=1#gid=0"",""1_ACUM!A4:S""),18,FALSE))"),44535)</f>
        <v>44535</v>
      </c>
      <c r="AR90" s="493">
        <f ca="1">IFERROR(__xludf.DUMMYFUNCTION("IFERROR(VLOOKUP(E150&amp;F150,IMPORTRANGE(""https://docs.google.com/spreadsheets/d/1Uw7-A9f9R21vMXxHZFNpYNeKFtG8_yji4HS352LGlSQ/edit?pli=1#gid=0"",""1_ACUM!A4:S""),19,FALSE))"),44808)</f>
        <v>44808</v>
      </c>
      <c r="AS90" s="493">
        <f ca="1">IFERROR(__xludf.DUMMYFUNCTION("IFERROR(VLOOKUP(F150,IMPORTRANGE(""https://docs.google.com/spreadsheets/d/1Kvs4KS76FHFqLFIZfrDMff4kP08nblUkihrxltoGBjg/edit#gid=934712705"",""ESENCIAL!A6:BG""),5,FALSE))"),44989)</f>
        <v>44989</v>
      </c>
      <c r="AT90" s="493">
        <f t="shared" ca="1" si="3"/>
        <v>45539</v>
      </c>
      <c r="AU90" s="491"/>
      <c r="AV90" s="491"/>
    </row>
    <row r="91" spans="1:98" ht="120">
      <c r="A91" s="491" t="s">
        <v>392</v>
      </c>
      <c r="B91" s="490" t="s">
        <v>405</v>
      </c>
      <c r="C91" s="490" t="s">
        <v>27</v>
      </c>
      <c r="D91" s="490">
        <v>19245621</v>
      </c>
      <c r="E91" s="490">
        <v>2464124</v>
      </c>
      <c r="F91" s="491" t="str">
        <f ca="1">IFERROR(__xludf.DUMMYFUNCTION("IFERROR(VLOOKUP(F151,IMPORTRANGE(""https://docs.google.com/spreadsheets/d/1Kvs4KS76FHFqLFIZfrDMff4kP08nblUkihrxltoGBjg/edit#gid=934712705"",""ESENCIAL!A6:BG""),3,FALSE))"),"TÉCNICO")</f>
        <v>TÉCNICO</v>
      </c>
      <c r="G91" s="491" t="str">
        <f ca="1">IFERROR(__xludf.DUMMYFUNCTION("IFERROR(VLOOKUP(F151,IMPORTRANGE(""https://docs.google.com/spreadsheets/d/1Kvs4KS76FHFqLFIZfrDMff4kP08nblUkihrxltoGBjg/edit#gid=934712705"",""ESENCIAL!A6:BG""),8,FALSE))"),"CONSTRUCCION, MANTENIMIENTO Y REPARACION DE ESTRUCTURAS EN GUADUA")</f>
        <v>CONSTRUCCION, MANTENIMIENTO Y REPARACION DE ESTRUCTURAS EN GUADUA</v>
      </c>
      <c r="H91" s="490">
        <v>3138471778</v>
      </c>
      <c r="I91" s="490" t="s">
        <v>406</v>
      </c>
      <c r="J91" s="490"/>
      <c r="K91" s="495" t="s">
        <v>37</v>
      </c>
      <c r="L91" s="495" t="s">
        <v>326</v>
      </c>
      <c r="M91" s="495" t="s">
        <v>327</v>
      </c>
      <c r="N91" s="495">
        <v>3002105865</v>
      </c>
      <c r="O91" s="495" t="s">
        <v>73</v>
      </c>
      <c r="P91" s="495" t="s">
        <v>230</v>
      </c>
      <c r="Q91" s="496">
        <v>44805</v>
      </c>
      <c r="R91" s="499">
        <v>44985</v>
      </c>
      <c r="S91" s="495"/>
      <c r="T91" s="497"/>
      <c r="U91" s="495"/>
      <c r="V91" s="495"/>
      <c r="W91" s="491"/>
      <c r="X91" s="491"/>
      <c r="Y91" s="491"/>
      <c r="Z91" s="491"/>
      <c r="AA91" s="491"/>
      <c r="AB91" s="491"/>
      <c r="AC91" s="491"/>
      <c r="AD91" s="491"/>
      <c r="AE91" s="491"/>
      <c r="AF91" s="491"/>
      <c r="AG91" s="491"/>
      <c r="AH91" s="491"/>
      <c r="AI91" s="491"/>
      <c r="AJ91" s="491"/>
      <c r="AK91" s="491"/>
      <c r="AL91" s="491"/>
      <c r="AM91" s="491"/>
      <c r="AN91" s="491"/>
      <c r="AO91" s="491"/>
      <c r="AP91" s="491" t="s">
        <v>392</v>
      </c>
      <c r="AQ91" s="493">
        <f ca="1">IFERROR(__xludf.DUMMYFUNCTION("IFERROR(VLOOKUP(E151&amp;F151,IMPORTRANGE(""https://docs.google.com/spreadsheets/d/1Uw7-A9f9R21vMXxHZFNpYNeKFtG8_yji4HS352LGlSQ/edit?pli=1#gid=0"",""1_ACUM!A4:S""),18,FALSE))"),44535)</f>
        <v>44535</v>
      </c>
      <c r="AR91" s="493">
        <f ca="1">IFERROR(__xludf.DUMMYFUNCTION("IFERROR(VLOOKUP(E151&amp;F151,IMPORTRANGE(""https://docs.google.com/spreadsheets/d/1Uw7-A9f9R21vMXxHZFNpYNeKFtG8_yji4HS352LGlSQ/edit?pli=1#gid=0"",""1_ACUM!A4:S""),19,FALSE))"),44808)</f>
        <v>44808</v>
      </c>
      <c r="AS91" s="493">
        <f ca="1">IFERROR(__xludf.DUMMYFUNCTION("IFERROR(VLOOKUP(F151,IMPORTRANGE(""https://docs.google.com/spreadsheets/d/1Kvs4KS76FHFqLFIZfrDMff4kP08nblUkihrxltoGBjg/edit#gid=934712705"",""ESENCIAL!A6:BG""),5,FALSE))"),44989)</f>
        <v>44989</v>
      </c>
      <c r="AT91" s="493">
        <f t="shared" ca="1" si="3"/>
        <v>45539</v>
      </c>
      <c r="AU91" s="491"/>
      <c r="AV91" s="491"/>
    </row>
    <row r="92" spans="1:98" ht="48">
      <c r="A92" s="491" t="s">
        <v>407</v>
      </c>
      <c r="B92" s="490" t="s">
        <v>408</v>
      </c>
      <c r="C92" s="490" t="s">
        <v>27</v>
      </c>
      <c r="D92" s="490">
        <v>1003084857</v>
      </c>
      <c r="E92" s="490">
        <v>2468752</v>
      </c>
      <c r="F92" s="491" t="str">
        <f ca="1">IFERROR(__xludf.DUMMYFUNCTION("IFERROR(VLOOKUP(F152,IMPORTRANGE(""https://docs.google.com/spreadsheets/d/1Kvs4KS76FHFqLFIZfrDMff4kP08nblUkihrxltoGBjg/edit#gid=934712705"",""ESENCIAL!A6:BG""),3,FALSE))"),"TÉCNICO")</f>
        <v>TÉCNICO</v>
      </c>
      <c r="G92" s="491" t="str">
        <f ca="1">IFERROR(__xludf.DUMMYFUNCTION("IFERROR(VLOOKUP(F152,IMPORTRANGE(""https://docs.google.com/spreadsheets/d/1Kvs4KS76FHFqLFIZfrDMff4kP08nblUkihrxltoGBjg/edit#gid=934712705"",""ESENCIAL!A6:BG""),8,FALSE))"),"CONSTRUCCION, MANTENIMIENTO Y REPARACION DE ESTRUCTURAS EN GUADUA")</f>
        <v>CONSTRUCCION, MANTENIMIENTO Y REPARACION DE ESTRUCTURAS EN GUADUA</v>
      </c>
      <c r="H92" s="490"/>
      <c r="I92" s="490"/>
      <c r="J92" s="490"/>
      <c r="K92" s="495" t="s">
        <v>44</v>
      </c>
      <c r="L92" s="495"/>
      <c r="M92" s="495"/>
      <c r="N92" s="495"/>
      <c r="O92" s="495"/>
      <c r="P92" s="495"/>
      <c r="Q92" s="496"/>
      <c r="R92" s="499"/>
      <c r="S92" s="490" t="s">
        <v>409</v>
      </c>
      <c r="T92" s="497"/>
      <c r="U92" s="495"/>
      <c r="V92" s="495"/>
      <c r="W92" s="491"/>
      <c r="X92" s="491"/>
      <c r="Y92" s="491"/>
      <c r="Z92" s="491"/>
      <c r="AA92" s="491"/>
      <c r="AB92" s="491"/>
      <c r="AC92" s="491"/>
      <c r="AD92" s="491"/>
      <c r="AE92" s="491"/>
      <c r="AF92" s="491"/>
      <c r="AG92" s="491"/>
      <c r="AH92" s="491"/>
      <c r="AI92" s="491"/>
      <c r="AJ92" s="491"/>
      <c r="AK92" s="491"/>
      <c r="AL92" s="491"/>
      <c r="AM92" s="491"/>
      <c r="AN92" s="491"/>
      <c r="AO92" s="491"/>
      <c r="AP92" s="491" t="s">
        <v>407</v>
      </c>
      <c r="AQ92" s="493">
        <f ca="1">IFERROR(__xludf.DUMMYFUNCTION("IFERROR(VLOOKUP(E152&amp;F152,IMPORTRANGE(""https://docs.google.com/spreadsheets/d/1Uw7-A9f9R21vMXxHZFNpYNeKFtG8_yji4HS352LGlSQ/edit?pli=1#gid=0"",""1_ACUM!A4:S""),18,FALSE))"),44545)</f>
        <v>44545</v>
      </c>
      <c r="AR92" s="493">
        <f ca="1">IFERROR(__xludf.DUMMYFUNCTION("IFERROR(VLOOKUP(E152&amp;F152,IMPORTRANGE(""https://docs.google.com/spreadsheets/d/1Uw7-A9f9R21vMXxHZFNpYNeKFtG8_yji4HS352LGlSQ/edit?pli=1#gid=0"",""1_ACUM!A4:S""),19,FALSE))"),44818)</f>
        <v>44818</v>
      </c>
      <c r="AS92" s="493">
        <f ca="1">IFERROR(__xludf.DUMMYFUNCTION("IFERROR(VLOOKUP(F152,IMPORTRANGE(""https://docs.google.com/spreadsheets/d/1Kvs4KS76FHFqLFIZfrDMff4kP08nblUkihrxltoGBjg/edit#gid=934712705"",""ESENCIAL!A6:BG""),5,FALSE))"),44999)</f>
        <v>44999</v>
      </c>
      <c r="AT92" s="493">
        <f t="shared" ref="AT92:AT123" ca="1" si="4">IF(E92&gt;0,EDATE(AS92,18),"")</f>
        <v>45549</v>
      </c>
      <c r="AU92" s="491"/>
      <c r="AV92" s="491"/>
    </row>
    <row r="93" spans="1:98" ht="48">
      <c r="A93" s="491" t="s">
        <v>407</v>
      </c>
      <c r="B93" s="490" t="s">
        <v>410</v>
      </c>
      <c r="C93" s="490" t="s">
        <v>27</v>
      </c>
      <c r="D93" s="490">
        <v>1006516377</v>
      </c>
      <c r="E93" s="490">
        <v>2468752</v>
      </c>
      <c r="F93" s="491" t="str">
        <f ca="1">IFERROR(__xludf.DUMMYFUNCTION("IFERROR(VLOOKUP(F153,IMPORTRANGE(""https://docs.google.com/spreadsheets/d/1Kvs4KS76FHFqLFIZfrDMff4kP08nblUkihrxltoGBjg/edit#gid=934712705"",""ESENCIAL!A6:BG""),3,FALSE))"),"TÉCNICO")</f>
        <v>TÉCNICO</v>
      </c>
      <c r="G93" s="491" t="str">
        <f ca="1">IFERROR(__xludf.DUMMYFUNCTION("IFERROR(VLOOKUP(F153,IMPORTRANGE(""https://docs.google.com/spreadsheets/d/1Kvs4KS76FHFqLFIZfrDMff4kP08nblUkihrxltoGBjg/edit#gid=934712705"",""ESENCIAL!A6:BG""),8,FALSE))"),"CONSTRUCCION, MANTENIMIENTO Y REPARACION DE ESTRUCTURAS EN GUADUA")</f>
        <v>CONSTRUCCION, MANTENIMIENTO Y REPARACION DE ESTRUCTURAS EN GUADUA</v>
      </c>
      <c r="H93" s="490"/>
      <c r="I93" s="490"/>
      <c r="J93" s="490"/>
      <c r="K93" s="495" t="s">
        <v>44</v>
      </c>
      <c r="L93" s="495"/>
      <c r="M93" s="495"/>
      <c r="N93" s="495"/>
      <c r="O93" s="495"/>
      <c r="P93" s="495"/>
      <c r="Q93" s="496"/>
      <c r="R93" s="499"/>
      <c r="S93" s="490" t="s">
        <v>409</v>
      </c>
      <c r="T93" s="497"/>
      <c r="U93" s="495"/>
      <c r="V93" s="495"/>
      <c r="W93" s="491"/>
      <c r="X93" s="491"/>
      <c r="Y93" s="491"/>
      <c r="Z93" s="491"/>
      <c r="AA93" s="491"/>
      <c r="AB93" s="491"/>
      <c r="AC93" s="491"/>
      <c r="AD93" s="491"/>
      <c r="AE93" s="491"/>
      <c r="AF93" s="491"/>
      <c r="AG93" s="491"/>
      <c r="AH93" s="491"/>
      <c r="AI93" s="491"/>
      <c r="AJ93" s="491"/>
      <c r="AK93" s="491"/>
      <c r="AL93" s="491"/>
      <c r="AM93" s="491"/>
      <c r="AN93" s="491"/>
      <c r="AO93" s="491"/>
      <c r="AP93" s="491" t="s">
        <v>407</v>
      </c>
      <c r="AQ93" s="493">
        <f ca="1">IFERROR(__xludf.DUMMYFUNCTION("IFERROR(VLOOKUP(E153&amp;F153,IMPORTRANGE(""https://docs.google.com/spreadsheets/d/1Uw7-A9f9R21vMXxHZFNpYNeKFtG8_yji4HS352LGlSQ/edit?pli=1#gid=0"",""1_ACUM!A4:S""),18,FALSE))"),44545)</f>
        <v>44545</v>
      </c>
      <c r="AR93" s="493">
        <f ca="1">IFERROR(__xludf.DUMMYFUNCTION("IFERROR(VLOOKUP(E153&amp;F153,IMPORTRANGE(""https://docs.google.com/spreadsheets/d/1Uw7-A9f9R21vMXxHZFNpYNeKFtG8_yji4HS352LGlSQ/edit?pli=1#gid=0"",""1_ACUM!A4:S""),19,FALSE))"),44818)</f>
        <v>44818</v>
      </c>
      <c r="AS93" s="493">
        <f ca="1">IFERROR(__xludf.DUMMYFUNCTION("IFERROR(VLOOKUP(F153,IMPORTRANGE(""https://docs.google.com/spreadsheets/d/1Kvs4KS76FHFqLFIZfrDMff4kP08nblUkihrxltoGBjg/edit#gid=934712705"",""ESENCIAL!A6:BG""),5,FALSE))"),44999)</f>
        <v>44999</v>
      </c>
      <c r="AT93" s="493">
        <f t="shared" ca="1" si="4"/>
        <v>45549</v>
      </c>
      <c r="AU93" s="491"/>
      <c r="AV93" s="491"/>
    </row>
    <row r="94" spans="1:98" ht="48">
      <c r="A94" s="491" t="s">
        <v>407</v>
      </c>
      <c r="B94" s="490" t="s">
        <v>411</v>
      </c>
      <c r="C94" s="490" t="s">
        <v>27</v>
      </c>
      <c r="D94" s="490">
        <v>1082777050</v>
      </c>
      <c r="E94" s="490">
        <v>2468752</v>
      </c>
      <c r="F94" s="491" t="str">
        <f ca="1">IFERROR(__xludf.DUMMYFUNCTION("IFERROR(VLOOKUP(F154,IMPORTRANGE(""https://docs.google.com/spreadsheets/d/1Kvs4KS76FHFqLFIZfrDMff4kP08nblUkihrxltoGBjg/edit#gid=934712705"",""ESENCIAL!A6:BG""),3,FALSE))"),"TÉCNICO")</f>
        <v>TÉCNICO</v>
      </c>
      <c r="G94" s="491" t="str">
        <f ca="1">IFERROR(__xludf.DUMMYFUNCTION("IFERROR(VLOOKUP(F154,IMPORTRANGE(""https://docs.google.com/spreadsheets/d/1Kvs4KS76FHFqLFIZfrDMff4kP08nblUkihrxltoGBjg/edit#gid=934712705"",""ESENCIAL!A6:BG""),8,FALSE))"),"CONSTRUCCION, MANTENIMIENTO Y REPARACION DE ESTRUCTURAS EN GUADUA")</f>
        <v>CONSTRUCCION, MANTENIMIENTO Y REPARACION DE ESTRUCTURAS EN GUADUA</v>
      </c>
      <c r="H94" s="490"/>
      <c r="I94" s="490"/>
      <c r="J94" s="490"/>
      <c r="K94" s="495" t="s">
        <v>44</v>
      </c>
      <c r="L94" s="495"/>
      <c r="M94" s="495"/>
      <c r="N94" s="495"/>
      <c r="O94" s="495"/>
      <c r="P94" s="495"/>
      <c r="Q94" s="496"/>
      <c r="R94" s="499"/>
      <c r="S94" s="490" t="s">
        <v>409</v>
      </c>
      <c r="T94" s="497"/>
      <c r="U94" s="495"/>
      <c r="V94" s="495"/>
      <c r="W94" s="491"/>
      <c r="X94" s="491"/>
      <c r="Y94" s="491"/>
      <c r="Z94" s="491"/>
      <c r="AA94" s="491"/>
      <c r="AB94" s="491"/>
      <c r="AC94" s="491"/>
      <c r="AD94" s="491"/>
      <c r="AE94" s="491"/>
      <c r="AF94" s="491"/>
      <c r="AG94" s="491"/>
      <c r="AH94" s="491"/>
      <c r="AI94" s="491"/>
      <c r="AJ94" s="491"/>
      <c r="AK94" s="491"/>
      <c r="AL94" s="491"/>
      <c r="AM94" s="491"/>
      <c r="AN94" s="491"/>
      <c r="AO94" s="491"/>
      <c r="AP94" s="491" t="s">
        <v>407</v>
      </c>
      <c r="AQ94" s="493">
        <f ca="1">IFERROR(__xludf.DUMMYFUNCTION("IFERROR(VLOOKUP(E154&amp;F154,IMPORTRANGE(""https://docs.google.com/spreadsheets/d/1Uw7-A9f9R21vMXxHZFNpYNeKFtG8_yji4HS352LGlSQ/edit?pli=1#gid=0"",""1_ACUM!A4:S""),18,FALSE))"),44545)</f>
        <v>44545</v>
      </c>
      <c r="AR94" s="493">
        <f ca="1">IFERROR(__xludf.DUMMYFUNCTION("IFERROR(VLOOKUP(E154&amp;F154,IMPORTRANGE(""https://docs.google.com/spreadsheets/d/1Uw7-A9f9R21vMXxHZFNpYNeKFtG8_yji4HS352LGlSQ/edit?pli=1#gid=0"",""1_ACUM!A4:S""),19,FALSE))"),44818)</f>
        <v>44818</v>
      </c>
      <c r="AS94" s="493">
        <f ca="1">IFERROR(__xludf.DUMMYFUNCTION("IFERROR(VLOOKUP(F154,IMPORTRANGE(""https://docs.google.com/spreadsheets/d/1Kvs4KS76FHFqLFIZfrDMff4kP08nblUkihrxltoGBjg/edit#gid=934712705"",""ESENCIAL!A6:BG""),5,FALSE))"),44999)</f>
        <v>44999</v>
      </c>
      <c r="AT94" s="493">
        <f t="shared" ca="1" si="4"/>
        <v>45549</v>
      </c>
      <c r="AU94" s="491"/>
      <c r="AV94" s="491"/>
    </row>
    <row r="95" spans="1:98" ht="48">
      <c r="A95" s="491" t="s">
        <v>407</v>
      </c>
      <c r="B95" s="490" t="s">
        <v>412</v>
      </c>
      <c r="C95" s="490" t="s">
        <v>27</v>
      </c>
      <c r="D95" s="490">
        <v>1082777407</v>
      </c>
      <c r="E95" s="490">
        <v>2468752</v>
      </c>
      <c r="F95" s="491" t="str">
        <f ca="1">IFERROR(__xludf.DUMMYFUNCTION("IFERROR(VLOOKUP(F155,IMPORTRANGE(""https://docs.google.com/spreadsheets/d/1Kvs4KS76FHFqLFIZfrDMff4kP08nblUkihrxltoGBjg/edit#gid=934712705"",""ESENCIAL!A6:BG""),3,FALSE))"),"TÉCNICO")</f>
        <v>TÉCNICO</v>
      </c>
      <c r="G95" s="491" t="str">
        <f ca="1">IFERROR(__xludf.DUMMYFUNCTION("IFERROR(VLOOKUP(F155,IMPORTRANGE(""https://docs.google.com/spreadsheets/d/1Kvs4KS76FHFqLFIZfrDMff4kP08nblUkihrxltoGBjg/edit#gid=934712705"",""ESENCIAL!A6:BG""),8,FALSE))"),"CONSTRUCCION, MANTENIMIENTO Y REPARACION DE ESTRUCTURAS EN GUADUA")</f>
        <v>CONSTRUCCION, MANTENIMIENTO Y REPARACION DE ESTRUCTURAS EN GUADUA</v>
      </c>
      <c r="H95" s="490"/>
      <c r="I95" s="490"/>
      <c r="J95" s="490"/>
      <c r="K95" s="495" t="s">
        <v>44</v>
      </c>
      <c r="L95" s="495"/>
      <c r="M95" s="495"/>
      <c r="N95" s="495"/>
      <c r="O95" s="495"/>
      <c r="P95" s="495"/>
      <c r="Q95" s="496"/>
      <c r="R95" s="499"/>
      <c r="S95" s="490" t="s">
        <v>409</v>
      </c>
      <c r="T95" s="497"/>
      <c r="U95" s="495"/>
      <c r="V95" s="495"/>
      <c r="W95" s="491"/>
      <c r="X95" s="491"/>
      <c r="Y95" s="491"/>
      <c r="Z95" s="491"/>
      <c r="AA95" s="491"/>
      <c r="AB95" s="491"/>
      <c r="AC95" s="491"/>
      <c r="AD95" s="491"/>
      <c r="AE95" s="491"/>
      <c r="AF95" s="491"/>
      <c r="AG95" s="491"/>
      <c r="AH95" s="491"/>
      <c r="AI95" s="491"/>
      <c r="AJ95" s="491"/>
      <c r="AK95" s="491"/>
      <c r="AL95" s="491"/>
      <c r="AM95" s="491"/>
      <c r="AN95" s="491"/>
      <c r="AO95" s="491"/>
      <c r="AP95" s="491" t="s">
        <v>407</v>
      </c>
      <c r="AQ95" s="493">
        <f ca="1">IFERROR(__xludf.DUMMYFUNCTION("IFERROR(VLOOKUP(E155&amp;F155,IMPORTRANGE(""https://docs.google.com/spreadsheets/d/1Uw7-A9f9R21vMXxHZFNpYNeKFtG8_yji4HS352LGlSQ/edit?pli=1#gid=0"",""1_ACUM!A4:S""),18,FALSE))"),44545)</f>
        <v>44545</v>
      </c>
      <c r="AR95" s="493">
        <f ca="1">IFERROR(__xludf.DUMMYFUNCTION("IFERROR(VLOOKUP(E155&amp;F155,IMPORTRANGE(""https://docs.google.com/spreadsheets/d/1Uw7-A9f9R21vMXxHZFNpYNeKFtG8_yji4HS352LGlSQ/edit?pli=1#gid=0"",""1_ACUM!A4:S""),19,FALSE))"),44818)</f>
        <v>44818</v>
      </c>
      <c r="AS95" s="493">
        <f ca="1">IFERROR(__xludf.DUMMYFUNCTION("IFERROR(VLOOKUP(F155,IMPORTRANGE(""https://docs.google.com/spreadsheets/d/1Kvs4KS76FHFqLFIZfrDMff4kP08nblUkihrxltoGBjg/edit#gid=934712705"",""ESENCIAL!A6:BG""),5,FALSE))"),44999)</f>
        <v>44999</v>
      </c>
      <c r="AT95" s="493">
        <f t="shared" ca="1" si="4"/>
        <v>45549</v>
      </c>
      <c r="AU95" s="491"/>
      <c r="AV95" s="491"/>
    </row>
    <row r="96" spans="1:98" ht="48">
      <c r="A96" s="491" t="s">
        <v>407</v>
      </c>
      <c r="B96" s="490" t="s">
        <v>413</v>
      </c>
      <c r="C96" s="490" t="s">
        <v>27</v>
      </c>
      <c r="D96" s="490">
        <v>12142483</v>
      </c>
      <c r="E96" s="490">
        <v>2468752</v>
      </c>
      <c r="F96" s="491" t="str">
        <f ca="1">IFERROR(__xludf.DUMMYFUNCTION("IFERROR(VLOOKUP(F156,IMPORTRANGE(""https://docs.google.com/spreadsheets/d/1Kvs4KS76FHFqLFIZfrDMff4kP08nblUkihrxltoGBjg/edit#gid=934712705"",""ESENCIAL!A6:BG""),3,FALSE))"),"TÉCNICO")</f>
        <v>TÉCNICO</v>
      </c>
      <c r="G96" s="491" t="str">
        <f ca="1">IFERROR(__xludf.DUMMYFUNCTION("IFERROR(VLOOKUP(F156,IMPORTRANGE(""https://docs.google.com/spreadsheets/d/1Kvs4KS76FHFqLFIZfrDMff4kP08nblUkihrxltoGBjg/edit#gid=934712705"",""ESENCIAL!A6:BG""),8,FALSE))"),"CONSTRUCCION, MANTENIMIENTO Y REPARACION DE ESTRUCTURAS EN GUADUA")</f>
        <v>CONSTRUCCION, MANTENIMIENTO Y REPARACION DE ESTRUCTURAS EN GUADUA</v>
      </c>
      <c r="H96" s="490"/>
      <c r="I96" s="490"/>
      <c r="J96" s="490"/>
      <c r="K96" s="495" t="s">
        <v>44</v>
      </c>
      <c r="L96" s="495"/>
      <c r="M96" s="495"/>
      <c r="N96" s="495"/>
      <c r="O96" s="495"/>
      <c r="P96" s="495"/>
      <c r="Q96" s="496"/>
      <c r="R96" s="499"/>
      <c r="S96" s="490" t="s">
        <v>409</v>
      </c>
      <c r="T96" s="497"/>
      <c r="U96" s="495"/>
      <c r="V96" s="495"/>
      <c r="W96" s="491"/>
      <c r="X96" s="491"/>
      <c r="Y96" s="491"/>
      <c r="Z96" s="491"/>
      <c r="AA96" s="491"/>
      <c r="AB96" s="491"/>
      <c r="AC96" s="491"/>
      <c r="AD96" s="491"/>
      <c r="AE96" s="491"/>
      <c r="AF96" s="491"/>
      <c r="AG96" s="491"/>
      <c r="AH96" s="491"/>
      <c r="AI96" s="491"/>
      <c r="AJ96" s="491"/>
      <c r="AK96" s="491"/>
      <c r="AL96" s="491"/>
      <c r="AM96" s="491"/>
      <c r="AN96" s="491"/>
      <c r="AO96" s="491"/>
      <c r="AP96" s="491" t="s">
        <v>407</v>
      </c>
      <c r="AQ96" s="493">
        <f ca="1">IFERROR(__xludf.DUMMYFUNCTION("IFERROR(VLOOKUP(E156&amp;F156,IMPORTRANGE(""https://docs.google.com/spreadsheets/d/1Uw7-A9f9R21vMXxHZFNpYNeKFtG8_yji4HS352LGlSQ/edit?pli=1#gid=0"",""1_ACUM!A4:S""),18,FALSE))"),44545)</f>
        <v>44545</v>
      </c>
      <c r="AR96" s="493">
        <f ca="1">IFERROR(__xludf.DUMMYFUNCTION("IFERROR(VLOOKUP(E156&amp;F156,IMPORTRANGE(""https://docs.google.com/spreadsheets/d/1Uw7-A9f9R21vMXxHZFNpYNeKFtG8_yji4HS352LGlSQ/edit?pli=1#gid=0"",""1_ACUM!A4:S""),19,FALSE))"),44818)</f>
        <v>44818</v>
      </c>
      <c r="AS96" s="493">
        <f ca="1">IFERROR(__xludf.DUMMYFUNCTION("IFERROR(VLOOKUP(F156,IMPORTRANGE(""https://docs.google.com/spreadsheets/d/1Kvs4KS76FHFqLFIZfrDMff4kP08nblUkihrxltoGBjg/edit#gid=934712705"",""ESENCIAL!A6:BG""),5,FALSE))"),44999)</f>
        <v>44999</v>
      </c>
      <c r="AT96" s="493">
        <f t="shared" ca="1" si="4"/>
        <v>45549</v>
      </c>
      <c r="AU96" s="491"/>
      <c r="AV96" s="491"/>
    </row>
    <row r="97" spans="1:48" ht="48">
      <c r="A97" s="491" t="s">
        <v>407</v>
      </c>
      <c r="B97" s="490" t="s">
        <v>414</v>
      </c>
      <c r="C97" s="490" t="s">
        <v>27</v>
      </c>
      <c r="D97" s="490">
        <v>12180505</v>
      </c>
      <c r="E97" s="490">
        <v>2468752</v>
      </c>
      <c r="F97" s="491" t="str">
        <f ca="1">IFERROR(__xludf.DUMMYFUNCTION("IFERROR(VLOOKUP(F157,IMPORTRANGE(""https://docs.google.com/spreadsheets/d/1Kvs4KS76FHFqLFIZfrDMff4kP08nblUkihrxltoGBjg/edit#gid=934712705"",""ESENCIAL!A6:BG""),3,FALSE))"),"TÉCNICO")</f>
        <v>TÉCNICO</v>
      </c>
      <c r="G97" s="491" t="str">
        <f ca="1">IFERROR(__xludf.DUMMYFUNCTION("IFERROR(VLOOKUP(F157,IMPORTRANGE(""https://docs.google.com/spreadsheets/d/1Kvs4KS76FHFqLFIZfrDMff4kP08nblUkihrxltoGBjg/edit#gid=934712705"",""ESENCIAL!A6:BG""),8,FALSE))"),"CONSTRUCCION, MANTENIMIENTO Y REPARACION DE ESTRUCTURAS EN GUADUA")</f>
        <v>CONSTRUCCION, MANTENIMIENTO Y REPARACION DE ESTRUCTURAS EN GUADUA</v>
      </c>
      <c r="H97" s="490"/>
      <c r="I97" s="490"/>
      <c r="J97" s="490"/>
      <c r="K97" s="495" t="s">
        <v>44</v>
      </c>
      <c r="L97" s="495"/>
      <c r="M97" s="495"/>
      <c r="N97" s="495"/>
      <c r="O97" s="495"/>
      <c r="P97" s="495"/>
      <c r="Q97" s="496"/>
      <c r="R97" s="499"/>
      <c r="S97" s="490" t="s">
        <v>409</v>
      </c>
      <c r="T97" s="497"/>
      <c r="U97" s="495"/>
      <c r="V97" s="495"/>
      <c r="W97" s="491"/>
      <c r="X97" s="491"/>
      <c r="Y97" s="491"/>
      <c r="Z97" s="491"/>
      <c r="AA97" s="491"/>
      <c r="AB97" s="491"/>
      <c r="AC97" s="491"/>
      <c r="AD97" s="491"/>
      <c r="AE97" s="491"/>
      <c r="AF97" s="491"/>
      <c r="AG97" s="491"/>
      <c r="AH97" s="491"/>
      <c r="AI97" s="491"/>
      <c r="AJ97" s="491"/>
      <c r="AK97" s="491"/>
      <c r="AL97" s="491"/>
      <c r="AM97" s="491"/>
      <c r="AN97" s="491"/>
      <c r="AO97" s="491"/>
      <c r="AP97" s="491" t="s">
        <v>407</v>
      </c>
      <c r="AQ97" s="493">
        <f ca="1">IFERROR(__xludf.DUMMYFUNCTION("IFERROR(VLOOKUP(E157&amp;F157,IMPORTRANGE(""https://docs.google.com/spreadsheets/d/1Uw7-A9f9R21vMXxHZFNpYNeKFtG8_yji4HS352LGlSQ/edit?pli=1#gid=0"",""1_ACUM!A4:S""),18,FALSE))"),44545)</f>
        <v>44545</v>
      </c>
      <c r="AR97" s="493">
        <f ca="1">IFERROR(__xludf.DUMMYFUNCTION("IFERROR(VLOOKUP(E157&amp;F157,IMPORTRANGE(""https://docs.google.com/spreadsheets/d/1Uw7-A9f9R21vMXxHZFNpYNeKFtG8_yji4HS352LGlSQ/edit?pli=1#gid=0"",""1_ACUM!A4:S""),19,FALSE))"),44818)</f>
        <v>44818</v>
      </c>
      <c r="AS97" s="493">
        <f ca="1">IFERROR(__xludf.DUMMYFUNCTION("IFERROR(VLOOKUP(F157,IMPORTRANGE(""https://docs.google.com/spreadsheets/d/1Kvs4KS76FHFqLFIZfrDMff4kP08nblUkihrxltoGBjg/edit#gid=934712705"",""ESENCIAL!A6:BG""),5,FALSE))"),44999)</f>
        <v>44999</v>
      </c>
      <c r="AT97" s="493">
        <f t="shared" ca="1" si="4"/>
        <v>45549</v>
      </c>
      <c r="AU97" s="491"/>
      <c r="AV97" s="491"/>
    </row>
    <row r="98" spans="1:48" ht="48">
      <c r="A98" s="491" t="s">
        <v>407</v>
      </c>
      <c r="B98" s="490" t="s">
        <v>415</v>
      </c>
      <c r="C98" s="490" t="s">
        <v>27</v>
      </c>
      <c r="D98" s="490">
        <v>12181543</v>
      </c>
      <c r="E98" s="490">
        <v>2468752</v>
      </c>
      <c r="F98" s="491" t="str">
        <f ca="1">IFERROR(__xludf.DUMMYFUNCTION("IFERROR(VLOOKUP(F158,IMPORTRANGE(""https://docs.google.com/spreadsheets/d/1Kvs4KS76FHFqLFIZfrDMff4kP08nblUkihrxltoGBjg/edit#gid=934712705"",""ESENCIAL!A6:BG""),3,FALSE))"),"TÉCNICO")</f>
        <v>TÉCNICO</v>
      </c>
      <c r="G98" s="491" t="str">
        <f ca="1">IFERROR(__xludf.DUMMYFUNCTION("IFERROR(VLOOKUP(F158,IMPORTRANGE(""https://docs.google.com/spreadsheets/d/1Kvs4KS76FHFqLFIZfrDMff4kP08nblUkihrxltoGBjg/edit#gid=934712705"",""ESENCIAL!A6:BG""),8,FALSE))"),"CONSTRUCCION, MANTENIMIENTO Y REPARACION DE ESTRUCTURAS EN GUADUA")</f>
        <v>CONSTRUCCION, MANTENIMIENTO Y REPARACION DE ESTRUCTURAS EN GUADUA</v>
      </c>
      <c r="H98" s="490"/>
      <c r="I98" s="490"/>
      <c r="J98" s="490"/>
      <c r="K98" s="495" t="s">
        <v>44</v>
      </c>
      <c r="L98" s="495"/>
      <c r="M98" s="495"/>
      <c r="N98" s="495"/>
      <c r="O98" s="495"/>
      <c r="P98" s="495"/>
      <c r="Q98" s="496"/>
      <c r="R98" s="499"/>
      <c r="S98" s="490" t="s">
        <v>409</v>
      </c>
      <c r="T98" s="497"/>
      <c r="U98" s="495"/>
      <c r="V98" s="495"/>
      <c r="W98" s="491"/>
      <c r="X98" s="491"/>
      <c r="Y98" s="491"/>
      <c r="Z98" s="491"/>
      <c r="AA98" s="491"/>
      <c r="AB98" s="491"/>
      <c r="AC98" s="491"/>
      <c r="AD98" s="491"/>
      <c r="AE98" s="491"/>
      <c r="AF98" s="491"/>
      <c r="AG98" s="491"/>
      <c r="AH98" s="491"/>
      <c r="AI98" s="491"/>
      <c r="AJ98" s="491"/>
      <c r="AK98" s="491"/>
      <c r="AL98" s="491"/>
      <c r="AM98" s="491"/>
      <c r="AN98" s="491"/>
      <c r="AO98" s="491"/>
      <c r="AP98" s="491" t="s">
        <v>407</v>
      </c>
      <c r="AQ98" s="493">
        <f ca="1">IFERROR(__xludf.DUMMYFUNCTION("IFERROR(VLOOKUP(E158&amp;F158,IMPORTRANGE(""https://docs.google.com/spreadsheets/d/1Uw7-A9f9R21vMXxHZFNpYNeKFtG8_yji4HS352LGlSQ/edit?pli=1#gid=0"",""1_ACUM!A4:S""),18,FALSE))"),44545)</f>
        <v>44545</v>
      </c>
      <c r="AR98" s="493">
        <f ca="1">IFERROR(__xludf.DUMMYFUNCTION("IFERROR(VLOOKUP(E158&amp;F158,IMPORTRANGE(""https://docs.google.com/spreadsheets/d/1Uw7-A9f9R21vMXxHZFNpYNeKFtG8_yji4HS352LGlSQ/edit?pli=1#gid=0"",""1_ACUM!A4:S""),19,FALSE))"),44818)</f>
        <v>44818</v>
      </c>
      <c r="AS98" s="493">
        <f ca="1">IFERROR(__xludf.DUMMYFUNCTION("IFERROR(VLOOKUP(F158,IMPORTRANGE(""https://docs.google.com/spreadsheets/d/1Kvs4KS76FHFqLFIZfrDMff4kP08nblUkihrxltoGBjg/edit#gid=934712705"",""ESENCIAL!A6:BG""),5,FALSE))"),44999)</f>
        <v>44999</v>
      </c>
      <c r="AT98" s="493">
        <f t="shared" ca="1" si="4"/>
        <v>45549</v>
      </c>
      <c r="AU98" s="491"/>
      <c r="AV98" s="491"/>
    </row>
    <row r="99" spans="1:48" ht="48">
      <c r="A99" s="491" t="s">
        <v>407</v>
      </c>
      <c r="B99" s="490" t="s">
        <v>416</v>
      </c>
      <c r="C99" s="490" t="s">
        <v>27</v>
      </c>
      <c r="D99" s="490">
        <v>12182345</v>
      </c>
      <c r="E99" s="490">
        <v>2468752</v>
      </c>
      <c r="F99" s="491" t="str">
        <f ca="1">IFERROR(__xludf.DUMMYFUNCTION("IFERROR(VLOOKUP(F159,IMPORTRANGE(""https://docs.google.com/spreadsheets/d/1Kvs4KS76FHFqLFIZfrDMff4kP08nblUkihrxltoGBjg/edit#gid=934712705"",""ESENCIAL!A6:BG""),3,FALSE))"),"TÉCNICO")</f>
        <v>TÉCNICO</v>
      </c>
      <c r="G99" s="491" t="str">
        <f ca="1">IFERROR(__xludf.DUMMYFUNCTION("IFERROR(VLOOKUP(F159,IMPORTRANGE(""https://docs.google.com/spreadsheets/d/1Kvs4KS76FHFqLFIZfrDMff4kP08nblUkihrxltoGBjg/edit#gid=934712705"",""ESENCIAL!A6:BG""),8,FALSE))"),"CONSTRUCCION, MANTENIMIENTO Y REPARACION DE ESTRUCTURAS EN GUADUA")</f>
        <v>CONSTRUCCION, MANTENIMIENTO Y REPARACION DE ESTRUCTURAS EN GUADUA</v>
      </c>
      <c r="H99" s="490"/>
      <c r="I99" s="490"/>
      <c r="J99" s="490"/>
      <c r="K99" s="495" t="s">
        <v>44</v>
      </c>
      <c r="L99" s="495"/>
      <c r="M99" s="495"/>
      <c r="N99" s="495"/>
      <c r="O99" s="495"/>
      <c r="P99" s="495"/>
      <c r="Q99" s="496"/>
      <c r="R99" s="499"/>
      <c r="S99" s="490" t="s">
        <v>409</v>
      </c>
      <c r="T99" s="497"/>
      <c r="U99" s="495"/>
      <c r="V99" s="495"/>
      <c r="W99" s="491"/>
      <c r="X99" s="491"/>
      <c r="Y99" s="491"/>
      <c r="Z99" s="491"/>
      <c r="AA99" s="491"/>
      <c r="AB99" s="491"/>
      <c r="AC99" s="491"/>
      <c r="AD99" s="491"/>
      <c r="AE99" s="491"/>
      <c r="AF99" s="491"/>
      <c r="AG99" s="491"/>
      <c r="AH99" s="491"/>
      <c r="AI99" s="491"/>
      <c r="AJ99" s="491"/>
      <c r="AK99" s="491"/>
      <c r="AL99" s="491"/>
      <c r="AM99" s="491"/>
      <c r="AN99" s="491"/>
      <c r="AO99" s="491"/>
      <c r="AP99" s="491" t="s">
        <v>407</v>
      </c>
      <c r="AQ99" s="493">
        <f ca="1">IFERROR(__xludf.DUMMYFUNCTION("IFERROR(VLOOKUP(E159&amp;F159,IMPORTRANGE(""https://docs.google.com/spreadsheets/d/1Uw7-A9f9R21vMXxHZFNpYNeKFtG8_yji4HS352LGlSQ/edit?pli=1#gid=0"",""1_ACUM!A4:S""),18,FALSE))"),44545)</f>
        <v>44545</v>
      </c>
      <c r="AR99" s="493">
        <f ca="1">IFERROR(__xludf.DUMMYFUNCTION("IFERROR(VLOOKUP(E159&amp;F159,IMPORTRANGE(""https://docs.google.com/spreadsheets/d/1Uw7-A9f9R21vMXxHZFNpYNeKFtG8_yji4HS352LGlSQ/edit?pli=1#gid=0"",""1_ACUM!A4:S""),19,FALSE))"),44818)</f>
        <v>44818</v>
      </c>
      <c r="AS99" s="493">
        <f ca="1">IFERROR(__xludf.DUMMYFUNCTION("IFERROR(VLOOKUP(F159,IMPORTRANGE(""https://docs.google.com/spreadsheets/d/1Kvs4KS76FHFqLFIZfrDMff4kP08nblUkihrxltoGBjg/edit#gid=934712705"",""ESENCIAL!A6:BG""),5,FALSE))"),44999)</f>
        <v>44999</v>
      </c>
      <c r="AT99" s="493">
        <f t="shared" ca="1" si="4"/>
        <v>45549</v>
      </c>
      <c r="AU99" s="491"/>
      <c r="AV99" s="491"/>
    </row>
    <row r="100" spans="1:48" ht="48">
      <c r="A100" s="491" t="s">
        <v>407</v>
      </c>
      <c r="B100" s="490" t="s">
        <v>417</v>
      </c>
      <c r="C100" s="490" t="s">
        <v>27</v>
      </c>
      <c r="D100" s="490">
        <v>12182397</v>
      </c>
      <c r="E100" s="490">
        <v>2468752</v>
      </c>
      <c r="F100" s="491" t="str">
        <f ca="1">IFERROR(__xludf.DUMMYFUNCTION("IFERROR(VLOOKUP(F160,IMPORTRANGE(""https://docs.google.com/spreadsheets/d/1Kvs4KS76FHFqLFIZfrDMff4kP08nblUkihrxltoGBjg/edit#gid=934712705"",""ESENCIAL!A6:BG""),3,FALSE))"),"TÉCNICO")</f>
        <v>TÉCNICO</v>
      </c>
      <c r="G100" s="491" t="str">
        <f ca="1">IFERROR(__xludf.DUMMYFUNCTION("IFERROR(VLOOKUP(F160,IMPORTRANGE(""https://docs.google.com/spreadsheets/d/1Kvs4KS76FHFqLFIZfrDMff4kP08nblUkihrxltoGBjg/edit#gid=934712705"",""ESENCIAL!A6:BG""),8,FALSE))"),"CONSTRUCCION, MANTENIMIENTO Y REPARACION DE ESTRUCTURAS EN GUADUA")</f>
        <v>CONSTRUCCION, MANTENIMIENTO Y REPARACION DE ESTRUCTURAS EN GUADUA</v>
      </c>
      <c r="H100" s="490"/>
      <c r="I100" s="490"/>
      <c r="J100" s="490"/>
      <c r="K100" s="495" t="s">
        <v>44</v>
      </c>
      <c r="L100" s="495"/>
      <c r="M100" s="495"/>
      <c r="N100" s="495"/>
      <c r="O100" s="495"/>
      <c r="P100" s="495"/>
      <c r="Q100" s="496"/>
      <c r="R100" s="499"/>
      <c r="S100" s="490" t="s">
        <v>409</v>
      </c>
      <c r="T100" s="497"/>
      <c r="U100" s="495"/>
      <c r="V100" s="495"/>
      <c r="W100" s="491"/>
      <c r="X100" s="491"/>
      <c r="Y100" s="491"/>
      <c r="Z100" s="491"/>
      <c r="AA100" s="491"/>
      <c r="AB100" s="491"/>
      <c r="AC100" s="491"/>
      <c r="AD100" s="491"/>
      <c r="AE100" s="491"/>
      <c r="AF100" s="491"/>
      <c r="AG100" s="491"/>
      <c r="AH100" s="491"/>
      <c r="AI100" s="491"/>
      <c r="AJ100" s="491"/>
      <c r="AK100" s="491"/>
      <c r="AL100" s="491"/>
      <c r="AM100" s="491"/>
      <c r="AN100" s="491"/>
      <c r="AO100" s="491"/>
      <c r="AP100" s="491" t="s">
        <v>407</v>
      </c>
      <c r="AQ100" s="493">
        <f ca="1">IFERROR(__xludf.DUMMYFUNCTION("IFERROR(VLOOKUP(E160&amp;F160,IMPORTRANGE(""https://docs.google.com/spreadsheets/d/1Uw7-A9f9R21vMXxHZFNpYNeKFtG8_yji4HS352LGlSQ/edit?pli=1#gid=0"",""1_ACUM!A4:S""),18,FALSE))"),44545)</f>
        <v>44545</v>
      </c>
      <c r="AR100" s="493">
        <f ca="1">IFERROR(__xludf.DUMMYFUNCTION("IFERROR(VLOOKUP(E160&amp;F160,IMPORTRANGE(""https://docs.google.com/spreadsheets/d/1Uw7-A9f9R21vMXxHZFNpYNeKFtG8_yji4HS352LGlSQ/edit?pli=1#gid=0"",""1_ACUM!A4:S""),19,FALSE))"),44818)</f>
        <v>44818</v>
      </c>
      <c r="AS100" s="493">
        <f ca="1">IFERROR(__xludf.DUMMYFUNCTION("IFERROR(VLOOKUP(F160,IMPORTRANGE(""https://docs.google.com/spreadsheets/d/1Kvs4KS76FHFqLFIZfrDMff4kP08nblUkihrxltoGBjg/edit#gid=934712705"",""ESENCIAL!A6:BG""),5,FALSE))"),44999)</f>
        <v>44999</v>
      </c>
      <c r="AT100" s="493">
        <f t="shared" ca="1" si="4"/>
        <v>45549</v>
      </c>
      <c r="AU100" s="491"/>
      <c r="AV100" s="491"/>
    </row>
    <row r="101" spans="1:48" ht="48">
      <c r="A101" s="491" t="s">
        <v>407</v>
      </c>
      <c r="B101" s="490" t="s">
        <v>418</v>
      </c>
      <c r="C101" s="490" t="s">
        <v>27</v>
      </c>
      <c r="D101" s="490">
        <v>19425315</v>
      </c>
      <c r="E101" s="490">
        <v>2468752</v>
      </c>
      <c r="F101" s="491" t="str">
        <f ca="1">IFERROR(__xludf.DUMMYFUNCTION("IFERROR(VLOOKUP(F161,IMPORTRANGE(""https://docs.google.com/spreadsheets/d/1Kvs4KS76FHFqLFIZfrDMff4kP08nblUkihrxltoGBjg/edit#gid=934712705"",""ESENCIAL!A6:BG""),3,FALSE))"),"TÉCNICO")</f>
        <v>TÉCNICO</v>
      </c>
      <c r="G101" s="491" t="str">
        <f ca="1">IFERROR(__xludf.DUMMYFUNCTION("IFERROR(VLOOKUP(F161,IMPORTRANGE(""https://docs.google.com/spreadsheets/d/1Kvs4KS76FHFqLFIZfrDMff4kP08nblUkihrxltoGBjg/edit#gid=934712705"",""ESENCIAL!A6:BG""),8,FALSE))"),"CONSTRUCCION, MANTENIMIENTO Y REPARACION DE ESTRUCTURAS EN GUADUA")</f>
        <v>CONSTRUCCION, MANTENIMIENTO Y REPARACION DE ESTRUCTURAS EN GUADUA</v>
      </c>
      <c r="H101" s="490"/>
      <c r="I101" s="490"/>
      <c r="J101" s="490"/>
      <c r="K101" s="495" t="s">
        <v>44</v>
      </c>
      <c r="L101" s="495"/>
      <c r="M101" s="495"/>
      <c r="N101" s="495"/>
      <c r="O101" s="495"/>
      <c r="P101" s="495"/>
      <c r="Q101" s="496"/>
      <c r="R101" s="499"/>
      <c r="S101" s="490" t="s">
        <v>409</v>
      </c>
      <c r="T101" s="497"/>
      <c r="U101" s="495"/>
      <c r="V101" s="495"/>
      <c r="W101" s="491"/>
      <c r="X101" s="491"/>
      <c r="Y101" s="491"/>
      <c r="Z101" s="491"/>
      <c r="AA101" s="491"/>
      <c r="AB101" s="491"/>
      <c r="AC101" s="491"/>
      <c r="AD101" s="491"/>
      <c r="AE101" s="491"/>
      <c r="AF101" s="491"/>
      <c r="AG101" s="491"/>
      <c r="AH101" s="491"/>
      <c r="AI101" s="491"/>
      <c r="AJ101" s="491"/>
      <c r="AK101" s="491"/>
      <c r="AL101" s="491"/>
      <c r="AM101" s="491"/>
      <c r="AN101" s="491"/>
      <c r="AO101" s="491"/>
      <c r="AP101" s="491" t="s">
        <v>407</v>
      </c>
      <c r="AQ101" s="493">
        <f ca="1">IFERROR(__xludf.DUMMYFUNCTION("IFERROR(VLOOKUP(E161&amp;F161,IMPORTRANGE(""https://docs.google.com/spreadsheets/d/1Uw7-A9f9R21vMXxHZFNpYNeKFtG8_yji4HS352LGlSQ/edit?pli=1#gid=0"",""1_ACUM!A4:S""),18,FALSE))"),44545)</f>
        <v>44545</v>
      </c>
      <c r="AR101" s="493">
        <f ca="1">IFERROR(__xludf.DUMMYFUNCTION("IFERROR(VLOOKUP(E161&amp;F161,IMPORTRANGE(""https://docs.google.com/spreadsheets/d/1Uw7-A9f9R21vMXxHZFNpYNeKFtG8_yji4HS352LGlSQ/edit?pli=1#gid=0"",""1_ACUM!A4:S""),19,FALSE))"),44818)</f>
        <v>44818</v>
      </c>
      <c r="AS101" s="493">
        <f ca="1">IFERROR(__xludf.DUMMYFUNCTION("IFERROR(VLOOKUP(F161,IMPORTRANGE(""https://docs.google.com/spreadsheets/d/1Kvs4KS76FHFqLFIZfrDMff4kP08nblUkihrxltoGBjg/edit#gid=934712705"",""ESENCIAL!A6:BG""),5,FALSE))"),44999)</f>
        <v>44999</v>
      </c>
      <c r="AT101" s="493">
        <f t="shared" ca="1" si="4"/>
        <v>45549</v>
      </c>
      <c r="AU101" s="491"/>
      <c r="AV101" s="491"/>
    </row>
    <row r="102" spans="1:48" ht="48">
      <c r="A102" s="491" t="s">
        <v>392</v>
      </c>
      <c r="B102" s="490" t="s">
        <v>419</v>
      </c>
      <c r="C102" s="490" t="s">
        <v>27</v>
      </c>
      <c r="D102" s="490">
        <v>1004034070</v>
      </c>
      <c r="E102" s="490">
        <v>2451011</v>
      </c>
      <c r="F102" s="491" t="str">
        <f ca="1">IFERROR(__xludf.DUMMYFUNCTION("IFERROR(VLOOKUP(F162,IMPORTRANGE(""https://docs.google.com/spreadsheets/d/1Kvs4KS76FHFqLFIZfrDMff4kP08nblUkihrxltoGBjg/edit#gid=934712705"",""ESENCIAL!A6:BG""),3,FALSE))"),"TÉCNICO")</f>
        <v>TÉCNICO</v>
      </c>
      <c r="G102" s="491" t="str">
        <f ca="1">IFERROR(__xludf.DUMMYFUNCTION("IFERROR(VLOOKUP(F162,IMPORTRANGE(""https://docs.google.com/spreadsheets/d/1Kvs4KS76FHFqLFIZfrDMff4kP08nblUkihrxltoGBjg/edit#gid=934712705"",""ESENCIAL!A6:BG""),8,FALSE))"),"INSTALACION DE SISTEMAS ELECTRICOS RESIDENCIALES Y COMERCIALES")</f>
        <v>INSTALACION DE SISTEMAS ELECTRICOS RESIDENCIALES Y COMERCIALES</v>
      </c>
      <c r="H102" s="490"/>
      <c r="I102" s="490"/>
      <c r="J102" s="490"/>
      <c r="K102" s="495" t="s">
        <v>37</v>
      </c>
      <c r="L102" s="495" t="s">
        <v>420</v>
      </c>
      <c r="M102" s="495" t="s">
        <v>421</v>
      </c>
      <c r="N102" s="495">
        <v>3183879337</v>
      </c>
      <c r="O102" s="495" t="s">
        <v>421</v>
      </c>
      <c r="P102" s="495"/>
      <c r="Q102" s="496">
        <v>44869</v>
      </c>
      <c r="R102" s="499">
        <v>45050</v>
      </c>
      <c r="S102" s="490"/>
      <c r="T102" s="497"/>
      <c r="U102" s="495"/>
      <c r="V102" s="495"/>
      <c r="W102" s="491"/>
      <c r="X102" s="491"/>
      <c r="Y102" s="491"/>
      <c r="Z102" s="491"/>
      <c r="AA102" s="491"/>
      <c r="AB102" s="491"/>
      <c r="AC102" s="491"/>
      <c r="AD102" s="491"/>
      <c r="AE102" s="491"/>
      <c r="AF102" s="491"/>
      <c r="AG102" s="491"/>
      <c r="AH102" s="491"/>
      <c r="AI102" s="491"/>
      <c r="AJ102" s="491"/>
      <c r="AK102" s="491"/>
      <c r="AL102" s="491"/>
      <c r="AM102" s="491"/>
      <c r="AN102" s="491"/>
      <c r="AO102" s="491"/>
      <c r="AP102" s="491" t="s">
        <v>392</v>
      </c>
      <c r="AQ102" s="493">
        <f ca="1">IFERROR(__xludf.DUMMYFUNCTION("IFERROR(VLOOKUP(E162&amp;F162,IMPORTRANGE(""https://docs.google.com/spreadsheets/d/1Uw7-A9f9R21vMXxHZFNpYNeKFtG8_yji4HS352LGlSQ/edit?pli=1#gid=0"",""1_ACUM!A4:S""),18,FALSE))"),44585)</f>
        <v>44585</v>
      </c>
      <c r="AR102" s="493">
        <f ca="1">IFERROR(__xludf.DUMMYFUNCTION("IFERROR(VLOOKUP(E162&amp;F162,IMPORTRANGE(""https://docs.google.com/spreadsheets/d/1Uw7-A9f9R21vMXxHZFNpYNeKFtG8_yji4HS352LGlSQ/edit?pli=1#gid=0"",""1_ACUM!A4:S""),19,FALSE))"),44857)</f>
        <v>44857</v>
      </c>
      <c r="AS102" s="493">
        <f ca="1">IFERROR(__xludf.DUMMYFUNCTION("IFERROR(VLOOKUP(F162,IMPORTRANGE(""https://docs.google.com/spreadsheets/d/1Kvs4KS76FHFqLFIZfrDMff4kP08nblUkihrxltoGBjg/edit#gid=934712705"",""ESENCIAL!A6:BG""),5,FALSE))"),45039)</f>
        <v>45039</v>
      </c>
      <c r="AT102" s="493">
        <f t="shared" ca="1" si="4"/>
        <v>45588</v>
      </c>
      <c r="AU102" s="491"/>
      <c r="AV102" s="491"/>
    </row>
    <row r="103" spans="1:48" ht="48">
      <c r="A103" s="491" t="s">
        <v>392</v>
      </c>
      <c r="B103" s="490" t="s">
        <v>422</v>
      </c>
      <c r="C103" s="490" t="s">
        <v>27</v>
      </c>
      <c r="D103" s="490">
        <v>1007587017</v>
      </c>
      <c r="E103" s="490">
        <v>2451011</v>
      </c>
      <c r="F103" s="491" t="str">
        <f ca="1">IFERROR(__xludf.DUMMYFUNCTION("IFERROR(VLOOKUP(F163,IMPORTRANGE(""https://docs.google.com/spreadsheets/d/1Kvs4KS76FHFqLFIZfrDMff4kP08nblUkihrxltoGBjg/edit#gid=934712705"",""ESENCIAL!A6:BG""),3,FALSE))"),"TÉCNICO")</f>
        <v>TÉCNICO</v>
      </c>
      <c r="G103" s="491" t="str">
        <f ca="1">IFERROR(__xludf.DUMMYFUNCTION("IFERROR(VLOOKUP(F163,IMPORTRANGE(""https://docs.google.com/spreadsheets/d/1Kvs4KS76FHFqLFIZfrDMff4kP08nblUkihrxltoGBjg/edit#gid=934712705"",""ESENCIAL!A6:BG""),8,FALSE))"),"INSTALACION DE SISTEMAS ELECTRICOS RESIDENCIALES Y COMERCIALES")</f>
        <v>INSTALACION DE SISTEMAS ELECTRICOS RESIDENCIALES Y COMERCIALES</v>
      </c>
      <c r="H103" s="490"/>
      <c r="I103" s="490"/>
      <c r="J103" s="490"/>
      <c r="K103" s="495" t="s">
        <v>37</v>
      </c>
      <c r="L103" s="495" t="s">
        <v>420</v>
      </c>
      <c r="M103" s="495" t="s">
        <v>421</v>
      </c>
      <c r="N103" s="495">
        <v>3183879337</v>
      </c>
      <c r="O103" s="495" t="s">
        <v>421</v>
      </c>
      <c r="P103" s="495"/>
      <c r="Q103" s="496">
        <v>44869</v>
      </c>
      <c r="R103" s="499">
        <v>45050</v>
      </c>
      <c r="S103" s="490"/>
      <c r="T103" s="497"/>
      <c r="U103" s="495"/>
      <c r="V103" s="495"/>
      <c r="W103" s="491"/>
      <c r="X103" s="491"/>
      <c r="Y103" s="491"/>
      <c r="Z103" s="491"/>
      <c r="AA103" s="491"/>
      <c r="AB103" s="491"/>
      <c r="AC103" s="491"/>
      <c r="AD103" s="491"/>
      <c r="AE103" s="491"/>
      <c r="AF103" s="491"/>
      <c r="AG103" s="491"/>
      <c r="AH103" s="491"/>
      <c r="AI103" s="491"/>
      <c r="AJ103" s="491"/>
      <c r="AK103" s="491"/>
      <c r="AL103" s="491"/>
      <c r="AM103" s="491"/>
      <c r="AN103" s="491"/>
      <c r="AO103" s="491"/>
      <c r="AP103" s="491" t="s">
        <v>392</v>
      </c>
      <c r="AQ103" s="493">
        <f ca="1">IFERROR(__xludf.DUMMYFUNCTION("IFERROR(VLOOKUP(E163&amp;F163,IMPORTRANGE(""https://docs.google.com/spreadsheets/d/1Uw7-A9f9R21vMXxHZFNpYNeKFtG8_yji4HS352LGlSQ/edit?pli=1#gid=0"",""1_ACUM!A4:S""),18,FALSE))"),44585)</f>
        <v>44585</v>
      </c>
      <c r="AR103" s="493">
        <f ca="1">IFERROR(__xludf.DUMMYFUNCTION("IFERROR(VLOOKUP(E163&amp;F163,IMPORTRANGE(""https://docs.google.com/spreadsheets/d/1Uw7-A9f9R21vMXxHZFNpYNeKFtG8_yji4HS352LGlSQ/edit?pli=1#gid=0"",""1_ACUM!A4:S""),19,FALSE))"),44857)</f>
        <v>44857</v>
      </c>
      <c r="AS103" s="493">
        <f ca="1">IFERROR(__xludf.DUMMYFUNCTION("IFERROR(VLOOKUP(F163,IMPORTRANGE(""https://docs.google.com/spreadsheets/d/1Kvs4KS76FHFqLFIZfrDMff4kP08nblUkihrxltoGBjg/edit#gid=934712705"",""ESENCIAL!A6:BG""),5,FALSE))"),45039)</f>
        <v>45039</v>
      </c>
      <c r="AT103" s="493">
        <f t="shared" ca="1" si="4"/>
        <v>45588</v>
      </c>
      <c r="AU103" s="491"/>
      <c r="AV103" s="491"/>
    </row>
    <row r="104" spans="1:48" ht="48">
      <c r="A104" s="491" t="s">
        <v>392</v>
      </c>
      <c r="B104" s="490" t="s">
        <v>423</v>
      </c>
      <c r="C104" s="490" t="s">
        <v>67</v>
      </c>
      <c r="D104" s="490">
        <v>1079534283</v>
      </c>
      <c r="E104" s="490">
        <v>2451011</v>
      </c>
      <c r="F104" s="491" t="str">
        <f ca="1">IFERROR(__xludf.DUMMYFUNCTION("IFERROR(VLOOKUP(F164,IMPORTRANGE(""https://docs.google.com/spreadsheets/d/1Kvs4KS76FHFqLFIZfrDMff4kP08nblUkihrxltoGBjg/edit#gid=934712705"",""ESENCIAL!A6:BG""),3,FALSE))"),"TÉCNICO")</f>
        <v>TÉCNICO</v>
      </c>
      <c r="G104" s="491" t="str">
        <f ca="1">IFERROR(__xludf.DUMMYFUNCTION("IFERROR(VLOOKUP(F164,IMPORTRANGE(""https://docs.google.com/spreadsheets/d/1Kvs4KS76FHFqLFIZfrDMff4kP08nblUkihrxltoGBjg/edit#gid=934712705"",""ESENCIAL!A6:BG""),8,FALSE))"),"INSTALACION DE SISTEMAS ELECTRICOS RESIDENCIALES Y COMERCIALES")</f>
        <v>INSTALACION DE SISTEMAS ELECTRICOS RESIDENCIALES Y COMERCIALES</v>
      </c>
      <c r="H104" s="490"/>
      <c r="I104" s="490"/>
      <c r="J104" s="490"/>
      <c r="K104" s="495" t="s">
        <v>37</v>
      </c>
      <c r="L104" s="495" t="s">
        <v>420</v>
      </c>
      <c r="M104" s="495" t="s">
        <v>421</v>
      </c>
      <c r="N104" s="495">
        <v>3183879337</v>
      </c>
      <c r="O104" s="495" t="s">
        <v>421</v>
      </c>
      <c r="P104" s="495"/>
      <c r="Q104" s="496">
        <v>44869</v>
      </c>
      <c r="R104" s="499">
        <v>45050</v>
      </c>
      <c r="S104" s="490"/>
      <c r="T104" s="497"/>
      <c r="U104" s="495"/>
      <c r="V104" s="495"/>
      <c r="W104" s="491"/>
      <c r="X104" s="491"/>
      <c r="Y104" s="491"/>
      <c r="Z104" s="491"/>
      <c r="AA104" s="491"/>
      <c r="AB104" s="491"/>
      <c r="AC104" s="491"/>
      <c r="AD104" s="491"/>
      <c r="AE104" s="491"/>
      <c r="AF104" s="491"/>
      <c r="AG104" s="491"/>
      <c r="AH104" s="491"/>
      <c r="AI104" s="491"/>
      <c r="AJ104" s="491"/>
      <c r="AK104" s="491"/>
      <c r="AL104" s="491"/>
      <c r="AM104" s="491"/>
      <c r="AN104" s="491"/>
      <c r="AO104" s="491"/>
      <c r="AP104" s="491" t="s">
        <v>392</v>
      </c>
      <c r="AQ104" s="493">
        <f ca="1">IFERROR(__xludf.DUMMYFUNCTION("IFERROR(VLOOKUP(E164&amp;F164,IMPORTRANGE(""https://docs.google.com/spreadsheets/d/1Uw7-A9f9R21vMXxHZFNpYNeKFtG8_yji4HS352LGlSQ/edit?pli=1#gid=0"",""1_ACUM!A4:S""),18,FALSE))"),44585)</f>
        <v>44585</v>
      </c>
      <c r="AR104" s="493">
        <f ca="1">IFERROR(__xludf.DUMMYFUNCTION("IFERROR(VLOOKUP(E164&amp;F164,IMPORTRANGE(""https://docs.google.com/spreadsheets/d/1Uw7-A9f9R21vMXxHZFNpYNeKFtG8_yji4HS352LGlSQ/edit?pli=1#gid=0"",""1_ACUM!A4:S""),19,FALSE))"),44857)</f>
        <v>44857</v>
      </c>
      <c r="AS104" s="493">
        <f ca="1">IFERROR(__xludf.DUMMYFUNCTION("IFERROR(VLOOKUP(F164,IMPORTRANGE(""https://docs.google.com/spreadsheets/d/1Kvs4KS76FHFqLFIZfrDMff4kP08nblUkihrxltoGBjg/edit#gid=934712705"",""ESENCIAL!A6:BG""),5,FALSE))"),45039)</f>
        <v>45039</v>
      </c>
      <c r="AT104" s="493">
        <f t="shared" ca="1" si="4"/>
        <v>45588</v>
      </c>
      <c r="AU104" s="491"/>
      <c r="AV104" s="491"/>
    </row>
    <row r="105" spans="1:48" ht="48">
      <c r="A105" s="491"/>
      <c r="B105" s="490" t="s">
        <v>424</v>
      </c>
      <c r="C105" s="490" t="s">
        <v>27</v>
      </c>
      <c r="D105" s="490">
        <v>1082778443</v>
      </c>
      <c r="E105" s="490">
        <v>2451011</v>
      </c>
      <c r="F105" s="491" t="str">
        <f ca="1">IFERROR(__xludf.DUMMYFUNCTION("IFERROR(VLOOKUP(F165,IMPORTRANGE(""https://docs.google.com/spreadsheets/d/1Kvs4KS76FHFqLFIZfrDMff4kP08nblUkihrxltoGBjg/edit#gid=934712705"",""ESENCIAL!A6:BG""),3,FALSE))"),"TÉCNICO")</f>
        <v>TÉCNICO</v>
      </c>
      <c r="G105" s="491" t="str">
        <f ca="1">IFERROR(__xludf.DUMMYFUNCTION("IFERROR(VLOOKUP(F165,IMPORTRANGE(""https://docs.google.com/spreadsheets/d/1Kvs4KS76FHFqLFIZfrDMff4kP08nblUkihrxltoGBjg/edit#gid=934712705"",""ESENCIAL!A6:BG""),8,FALSE))"),"INSTALACION DE SISTEMAS ELECTRICOS RESIDENCIALES Y COMERCIALES")</f>
        <v>INSTALACION DE SISTEMAS ELECTRICOS RESIDENCIALES Y COMERCIALES</v>
      </c>
      <c r="H105" s="490"/>
      <c r="I105" s="490"/>
      <c r="J105" s="490"/>
      <c r="K105" s="495" t="s">
        <v>44</v>
      </c>
      <c r="L105" s="495"/>
      <c r="M105" s="495"/>
      <c r="N105" s="495"/>
      <c r="O105" s="495"/>
      <c r="P105" s="495"/>
      <c r="Q105" s="496"/>
      <c r="R105" s="499"/>
      <c r="S105" s="490"/>
      <c r="T105" s="497"/>
      <c r="U105" s="495"/>
      <c r="V105" s="495"/>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3">
        <f ca="1">IFERROR(__xludf.DUMMYFUNCTION("IFERROR(VLOOKUP(E165&amp;F165,IMPORTRANGE(""https://docs.google.com/spreadsheets/d/1Uw7-A9f9R21vMXxHZFNpYNeKFtG8_yji4HS352LGlSQ/edit?pli=1#gid=0"",""1_ACUM!A4:S""),18,FALSE))"),44585)</f>
        <v>44585</v>
      </c>
      <c r="AR105" s="493">
        <f ca="1">IFERROR(__xludf.DUMMYFUNCTION("IFERROR(VLOOKUP(E165&amp;F165,IMPORTRANGE(""https://docs.google.com/spreadsheets/d/1Uw7-A9f9R21vMXxHZFNpYNeKFtG8_yji4HS352LGlSQ/edit?pli=1#gid=0"",""1_ACUM!A4:S""),19,FALSE))"),44857)</f>
        <v>44857</v>
      </c>
      <c r="AS105" s="493">
        <f ca="1">IFERROR(__xludf.DUMMYFUNCTION("IFERROR(VLOOKUP(F165,IMPORTRANGE(""https://docs.google.com/spreadsheets/d/1Kvs4KS76FHFqLFIZfrDMff4kP08nblUkihrxltoGBjg/edit#gid=934712705"",""ESENCIAL!A6:BG""),5,FALSE))"),45039)</f>
        <v>45039</v>
      </c>
      <c r="AT105" s="493">
        <f t="shared" ca="1" si="4"/>
        <v>45588</v>
      </c>
      <c r="AU105" s="491"/>
      <c r="AV105" s="491"/>
    </row>
    <row r="106" spans="1:48" ht="150">
      <c r="A106" s="491" t="s">
        <v>392</v>
      </c>
      <c r="B106" s="490" t="s">
        <v>425</v>
      </c>
      <c r="C106" s="490" t="s">
        <v>67</v>
      </c>
      <c r="D106" s="490">
        <v>1083869142</v>
      </c>
      <c r="E106" s="490">
        <v>2451011</v>
      </c>
      <c r="F106" s="491" t="str">
        <f ca="1">IFERROR(__xludf.DUMMYFUNCTION("IFERROR(VLOOKUP(F166,IMPORTRANGE(""https://docs.google.com/spreadsheets/d/1Kvs4KS76FHFqLFIZfrDMff4kP08nblUkihrxltoGBjg/edit#gid=934712705"",""ESENCIAL!A6:BG""),3,FALSE))"),"TÉCNICO")</f>
        <v>TÉCNICO</v>
      </c>
      <c r="G106" s="491" t="str">
        <f ca="1">IFERROR(__xludf.DUMMYFUNCTION("IFERROR(VLOOKUP(F166,IMPORTRANGE(""https://docs.google.com/spreadsheets/d/1Kvs4KS76FHFqLFIZfrDMff4kP08nblUkihrxltoGBjg/edit#gid=934712705"",""ESENCIAL!A6:BG""),8,FALSE))"),"INSTALACION DE SISTEMAS ELECTRICOS RESIDENCIALES Y COMERCIALES")</f>
        <v>INSTALACION DE SISTEMAS ELECTRICOS RESIDENCIALES Y COMERCIALES</v>
      </c>
      <c r="H106" s="490">
        <v>3225327176</v>
      </c>
      <c r="I106" s="490" t="s">
        <v>426</v>
      </c>
      <c r="J106" s="490"/>
      <c r="K106" s="495" t="s">
        <v>37</v>
      </c>
      <c r="L106" s="495" t="s">
        <v>427</v>
      </c>
      <c r="M106" s="495" t="s">
        <v>428</v>
      </c>
      <c r="N106" s="495"/>
      <c r="O106" s="495" t="s">
        <v>84</v>
      </c>
      <c r="P106" s="495"/>
      <c r="Q106" s="496">
        <v>44866</v>
      </c>
      <c r="R106" s="499">
        <v>45047</v>
      </c>
      <c r="S106" s="490"/>
      <c r="T106" s="497"/>
      <c r="U106" s="495"/>
      <c r="V106" s="495"/>
      <c r="W106" s="491"/>
      <c r="X106" s="491"/>
      <c r="Y106" s="491"/>
      <c r="Z106" s="491"/>
      <c r="AA106" s="491"/>
      <c r="AB106" s="491"/>
      <c r="AC106" s="491"/>
      <c r="AD106" s="491"/>
      <c r="AE106" s="491"/>
      <c r="AF106" s="491"/>
      <c r="AG106" s="491"/>
      <c r="AH106" s="491"/>
      <c r="AI106" s="491"/>
      <c r="AJ106" s="491"/>
      <c r="AK106" s="491"/>
      <c r="AL106" s="491"/>
      <c r="AM106" s="491"/>
      <c r="AN106" s="491"/>
      <c r="AO106" s="491"/>
      <c r="AP106" s="491" t="s">
        <v>392</v>
      </c>
      <c r="AQ106" s="493">
        <f ca="1">IFERROR(__xludf.DUMMYFUNCTION("IFERROR(VLOOKUP(E166&amp;F166,IMPORTRANGE(""https://docs.google.com/spreadsheets/d/1Uw7-A9f9R21vMXxHZFNpYNeKFtG8_yji4HS352LGlSQ/edit?pli=1#gid=0"",""1_ACUM!A4:S""),18,FALSE))"),44585)</f>
        <v>44585</v>
      </c>
      <c r="AR106" s="493">
        <f ca="1">IFERROR(__xludf.DUMMYFUNCTION("IFERROR(VLOOKUP(E166&amp;F166,IMPORTRANGE(""https://docs.google.com/spreadsheets/d/1Uw7-A9f9R21vMXxHZFNpYNeKFtG8_yji4HS352LGlSQ/edit?pli=1#gid=0"",""1_ACUM!A4:S""),19,FALSE))"),44857)</f>
        <v>44857</v>
      </c>
      <c r="AS106" s="493">
        <f ca="1">IFERROR(__xludf.DUMMYFUNCTION("IFERROR(VLOOKUP(F166,IMPORTRANGE(""https://docs.google.com/spreadsheets/d/1Kvs4KS76FHFqLFIZfrDMff4kP08nblUkihrxltoGBjg/edit#gid=934712705"",""ESENCIAL!A6:BG""),5,FALSE))"),45039)</f>
        <v>45039</v>
      </c>
      <c r="AT106" s="493">
        <f t="shared" ca="1" si="4"/>
        <v>45588</v>
      </c>
      <c r="AU106" s="491"/>
      <c r="AV106" s="491"/>
    </row>
    <row r="107" spans="1:48" ht="150">
      <c r="A107" s="491" t="s">
        <v>392</v>
      </c>
      <c r="B107" s="490" t="s">
        <v>429</v>
      </c>
      <c r="C107" s="490" t="s">
        <v>27</v>
      </c>
      <c r="D107" s="490">
        <v>1083873820</v>
      </c>
      <c r="E107" s="490">
        <v>2451011</v>
      </c>
      <c r="F107" s="491" t="str">
        <f ca="1">IFERROR(__xludf.DUMMYFUNCTION("IFERROR(VLOOKUP(F167,IMPORTRANGE(""https://docs.google.com/spreadsheets/d/1Kvs4KS76FHFqLFIZfrDMff4kP08nblUkihrxltoGBjg/edit#gid=934712705"",""ESENCIAL!A6:BG""),3,FALSE))"),"TÉCNICO")</f>
        <v>TÉCNICO</v>
      </c>
      <c r="G107" s="491" t="str">
        <f ca="1">IFERROR(__xludf.DUMMYFUNCTION("IFERROR(VLOOKUP(F167,IMPORTRANGE(""https://docs.google.com/spreadsheets/d/1Kvs4KS76FHFqLFIZfrDMff4kP08nblUkihrxltoGBjg/edit#gid=934712705"",""ESENCIAL!A6:BG""),8,FALSE))"),"INSTALACION DE SISTEMAS ELECTRICOS RESIDENCIALES Y COMERCIALES")</f>
        <v>INSTALACION DE SISTEMAS ELECTRICOS RESIDENCIALES Y COMERCIALES</v>
      </c>
      <c r="H107" s="490">
        <v>573128134716</v>
      </c>
      <c r="I107" s="490" t="s">
        <v>430</v>
      </c>
      <c r="J107" s="490"/>
      <c r="K107" s="495" t="s">
        <v>37</v>
      </c>
      <c r="L107" s="495" t="s">
        <v>427</v>
      </c>
      <c r="M107" s="495" t="s">
        <v>428</v>
      </c>
      <c r="N107" s="495"/>
      <c r="O107" s="495" t="s">
        <v>84</v>
      </c>
      <c r="P107" s="495"/>
      <c r="Q107" s="496">
        <v>44866</v>
      </c>
      <c r="R107" s="499">
        <v>45047</v>
      </c>
      <c r="S107" s="490"/>
      <c r="T107" s="497"/>
      <c r="U107" s="495"/>
      <c r="V107" s="495"/>
      <c r="W107" s="491"/>
      <c r="X107" s="491"/>
      <c r="Y107" s="491"/>
      <c r="Z107" s="491"/>
      <c r="AA107" s="491"/>
      <c r="AB107" s="491"/>
      <c r="AC107" s="491"/>
      <c r="AD107" s="491"/>
      <c r="AE107" s="491"/>
      <c r="AF107" s="491"/>
      <c r="AG107" s="491"/>
      <c r="AH107" s="491"/>
      <c r="AI107" s="491"/>
      <c r="AJ107" s="491"/>
      <c r="AK107" s="491"/>
      <c r="AL107" s="491"/>
      <c r="AM107" s="491"/>
      <c r="AN107" s="491"/>
      <c r="AO107" s="491"/>
      <c r="AP107" s="491" t="s">
        <v>392</v>
      </c>
      <c r="AQ107" s="493">
        <f ca="1">IFERROR(__xludf.DUMMYFUNCTION("IFERROR(VLOOKUP(E167&amp;F167,IMPORTRANGE(""https://docs.google.com/spreadsheets/d/1Uw7-A9f9R21vMXxHZFNpYNeKFtG8_yji4HS352LGlSQ/edit?pli=1#gid=0"",""1_ACUM!A4:S""),18,FALSE))"),44585)</f>
        <v>44585</v>
      </c>
      <c r="AR107" s="493">
        <f ca="1">IFERROR(__xludf.DUMMYFUNCTION("IFERROR(VLOOKUP(E167&amp;F167,IMPORTRANGE(""https://docs.google.com/spreadsheets/d/1Uw7-A9f9R21vMXxHZFNpYNeKFtG8_yji4HS352LGlSQ/edit?pli=1#gid=0"",""1_ACUM!A4:S""),19,FALSE))"),44857)</f>
        <v>44857</v>
      </c>
      <c r="AS107" s="493">
        <f ca="1">IFERROR(__xludf.DUMMYFUNCTION("IFERROR(VLOOKUP(F167,IMPORTRANGE(""https://docs.google.com/spreadsheets/d/1Kvs4KS76FHFqLFIZfrDMff4kP08nblUkihrxltoGBjg/edit#gid=934712705"",""ESENCIAL!A6:BG""),5,FALSE))"),45039)</f>
        <v>45039</v>
      </c>
      <c r="AT107" s="493">
        <f t="shared" ca="1" si="4"/>
        <v>45588</v>
      </c>
      <c r="AU107" s="491"/>
      <c r="AV107" s="491"/>
    </row>
    <row r="108" spans="1:48" ht="150">
      <c r="A108" s="491" t="s">
        <v>331</v>
      </c>
      <c r="B108" s="490" t="s">
        <v>431</v>
      </c>
      <c r="C108" s="490" t="s">
        <v>27</v>
      </c>
      <c r="D108" s="490">
        <v>1083927587</v>
      </c>
      <c r="E108" s="490">
        <v>2451011</v>
      </c>
      <c r="F108" s="491" t="str">
        <f ca="1">IFERROR(__xludf.DUMMYFUNCTION("IFERROR(VLOOKUP(F168,IMPORTRANGE(""https://docs.google.com/spreadsheets/d/1Kvs4KS76FHFqLFIZfrDMff4kP08nblUkihrxltoGBjg/edit#gid=934712705"",""ESENCIAL!A6:BG""),3,FALSE))"),"TÉCNICO")</f>
        <v>TÉCNICO</v>
      </c>
      <c r="G108" s="491" t="str">
        <f ca="1">IFERROR(__xludf.DUMMYFUNCTION("IFERROR(VLOOKUP(F168,IMPORTRANGE(""https://docs.google.com/spreadsheets/d/1Kvs4KS76FHFqLFIZfrDMff4kP08nblUkihrxltoGBjg/edit#gid=934712705"",""ESENCIAL!A6:BG""),8,FALSE))"),"INSTALACION DE SISTEMAS ELECTRICOS RESIDENCIALES Y COMERCIALES")</f>
        <v>INSTALACION DE SISTEMAS ELECTRICOS RESIDENCIALES Y COMERCIALES</v>
      </c>
      <c r="H108" s="490">
        <v>3222733961</v>
      </c>
      <c r="I108" s="490" t="s">
        <v>432</v>
      </c>
      <c r="J108" s="490"/>
      <c r="K108" s="495" t="s">
        <v>37</v>
      </c>
      <c r="L108" s="495" t="s">
        <v>427</v>
      </c>
      <c r="M108" s="495" t="s">
        <v>428</v>
      </c>
      <c r="N108" s="495"/>
      <c r="O108" s="495" t="s">
        <v>84</v>
      </c>
      <c r="P108" s="495"/>
      <c r="Q108" s="496">
        <v>44866</v>
      </c>
      <c r="R108" s="499">
        <v>45047</v>
      </c>
      <c r="S108" s="490"/>
      <c r="T108" s="497"/>
      <c r="U108" s="495"/>
      <c r="V108" s="495"/>
      <c r="W108" s="491"/>
      <c r="X108" s="491"/>
      <c r="Y108" s="491"/>
      <c r="Z108" s="491"/>
      <c r="AA108" s="491"/>
      <c r="AB108" s="491"/>
      <c r="AC108" s="491"/>
      <c r="AD108" s="491"/>
      <c r="AE108" s="491"/>
      <c r="AF108" s="491"/>
      <c r="AG108" s="491"/>
      <c r="AH108" s="491"/>
      <c r="AI108" s="491"/>
      <c r="AJ108" s="491"/>
      <c r="AK108" s="491"/>
      <c r="AL108" s="491"/>
      <c r="AM108" s="491"/>
      <c r="AN108" s="491"/>
      <c r="AO108" s="491"/>
      <c r="AP108" s="491" t="s">
        <v>331</v>
      </c>
      <c r="AQ108" s="493">
        <f ca="1">IFERROR(__xludf.DUMMYFUNCTION("IFERROR(VLOOKUP(E168&amp;F168,IMPORTRANGE(""https://docs.google.com/spreadsheets/d/1Uw7-A9f9R21vMXxHZFNpYNeKFtG8_yji4HS352LGlSQ/edit?pli=1#gid=0"",""1_ACUM!A4:S""),18,FALSE))"),44585)</f>
        <v>44585</v>
      </c>
      <c r="AR108" s="493">
        <f ca="1">IFERROR(__xludf.DUMMYFUNCTION("IFERROR(VLOOKUP(E168&amp;F168,IMPORTRANGE(""https://docs.google.com/spreadsheets/d/1Uw7-A9f9R21vMXxHZFNpYNeKFtG8_yji4HS352LGlSQ/edit?pli=1#gid=0"",""1_ACUM!A4:S""),19,FALSE))"),44857)</f>
        <v>44857</v>
      </c>
      <c r="AS108" s="493">
        <f ca="1">IFERROR(__xludf.DUMMYFUNCTION("IFERROR(VLOOKUP(F168,IMPORTRANGE(""https://docs.google.com/spreadsheets/d/1Kvs4KS76FHFqLFIZfrDMff4kP08nblUkihrxltoGBjg/edit#gid=934712705"",""ESENCIAL!A6:BG""),5,FALSE))"),45039)</f>
        <v>45039</v>
      </c>
      <c r="AT108" s="493">
        <f t="shared" ca="1" si="4"/>
        <v>45588</v>
      </c>
      <c r="AU108" s="491"/>
      <c r="AV108" s="491"/>
    </row>
    <row r="109" spans="1:48" ht="150">
      <c r="A109" s="491" t="s">
        <v>331</v>
      </c>
      <c r="B109" s="490" t="s">
        <v>433</v>
      </c>
      <c r="C109" s="490" t="s">
        <v>27</v>
      </c>
      <c r="D109" s="490">
        <v>1084900947</v>
      </c>
      <c r="E109" s="490">
        <v>2451011</v>
      </c>
      <c r="F109" s="491" t="str">
        <f ca="1">IFERROR(__xludf.DUMMYFUNCTION("IFERROR(VLOOKUP(F169,IMPORTRANGE(""https://docs.google.com/spreadsheets/d/1Kvs4KS76FHFqLFIZfrDMff4kP08nblUkihrxltoGBjg/edit#gid=934712705"",""ESENCIAL!A6:BG""),3,FALSE))"),"TÉCNICO")</f>
        <v>TÉCNICO</v>
      </c>
      <c r="G109" s="491" t="str">
        <f ca="1">IFERROR(__xludf.DUMMYFUNCTION("IFERROR(VLOOKUP(F169,IMPORTRANGE(""https://docs.google.com/spreadsheets/d/1Kvs4KS76FHFqLFIZfrDMff4kP08nblUkihrxltoGBjg/edit#gid=934712705"",""ESENCIAL!A6:BG""),8,FALSE))"),"INSTALACION DE SISTEMAS ELECTRICOS RESIDENCIALES Y COMERCIALES")</f>
        <v>INSTALACION DE SISTEMAS ELECTRICOS RESIDENCIALES Y COMERCIALES</v>
      </c>
      <c r="H109" s="490">
        <v>3103222486</v>
      </c>
      <c r="I109" s="490" t="s">
        <v>434</v>
      </c>
      <c r="J109" s="490"/>
      <c r="K109" s="495" t="s">
        <v>37</v>
      </c>
      <c r="L109" s="495" t="s">
        <v>427</v>
      </c>
      <c r="M109" s="495" t="s">
        <v>428</v>
      </c>
      <c r="N109" s="495"/>
      <c r="O109" s="495" t="s">
        <v>84</v>
      </c>
      <c r="P109" s="495"/>
      <c r="Q109" s="496">
        <v>44866</v>
      </c>
      <c r="R109" s="499">
        <v>45047</v>
      </c>
      <c r="S109" s="490"/>
      <c r="T109" s="497"/>
      <c r="U109" s="495"/>
      <c r="V109" s="495"/>
      <c r="W109" s="491"/>
      <c r="X109" s="491"/>
      <c r="Y109" s="491"/>
      <c r="Z109" s="491"/>
      <c r="AA109" s="491"/>
      <c r="AB109" s="491"/>
      <c r="AC109" s="491"/>
      <c r="AD109" s="491"/>
      <c r="AE109" s="491"/>
      <c r="AF109" s="491"/>
      <c r="AG109" s="491"/>
      <c r="AH109" s="491"/>
      <c r="AI109" s="491"/>
      <c r="AJ109" s="491"/>
      <c r="AK109" s="491"/>
      <c r="AL109" s="491"/>
      <c r="AM109" s="491"/>
      <c r="AN109" s="491"/>
      <c r="AO109" s="491"/>
      <c r="AP109" s="491" t="s">
        <v>331</v>
      </c>
      <c r="AQ109" s="493">
        <f ca="1">IFERROR(__xludf.DUMMYFUNCTION("IFERROR(VLOOKUP(E169&amp;F169,IMPORTRANGE(""https://docs.google.com/spreadsheets/d/1Uw7-A9f9R21vMXxHZFNpYNeKFtG8_yji4HS352LGlSQ/edit?pli=1#gid=0"",""1_ACUM!A4:S""),18,FALSE))"),44585)</f>
        <v>44585</v>
      </c>
      <c r="AR109" s="493">
        <f ca="1">IFERROR(__xludf.DUMMYFUNCTION("IFERROR(VLOOKUP(E169&amp;F169,IMPORTRANGE(""https://docs.google.com/spreadsheets/d/1Uw7-A9f9R21vMXxHZFNpYNeKFtG8_yji4HS352LGlSQ/edit?pli=1#gid=0"",""1_ACUM!A4:S""),19,FALSE))"),44857)</f>
        <v>44857</v>
      </c>
      <c r="AS109" s="493">
        <f ca="1">IFERROR(__xludf.DUMMYFUNCTION("IFERROR(VLOOKUP(F169,IMPORTRANGE(""https://docs.google.com/spreadsheets/d/1Kvs4KS76FHFqLFIZfrDMff4kP08nblUkihrxltoGBjg/edit#gid=934712705"",""ESENCIAL!A6:BG""),5,FALSE))"),45039)</f>
        <v>45039</v>
      </c>
      <c r="AT109" s="493">
        <f t="shared" ca="1" si="4"/>
        <v>45588</v>
      </c>
      <c r="AU109" s="491"/>
      <c r="AV109" s="491"/>
    </row>
    <row r="110" spans="1:48" ht="150">
      <c r="A110" s="491" t="s">
        <v>331</v>
      </c>
      <c r="B110" s="490" t="s">
        <v>435</v>
      </c>
      <c r="C110" s="490" t="s">
        <v>27</v>
      </c>
      <c r="D110" s="490">
        <v>11105302</v>
      </c>
      <c r="E110" s="490">
        <v>2451011</v>
      </c>
      <c r="F110" s="491" t="str">
        <f ca="1">IFERROR(__xludf.DUMMYFUNCTION("IFERROR(VLOOKUP(F170,IMPORTRANGE(""https://docs.google.com/spreadsheets/d/1Kvs4KS76FHFqLFIZfrDMff4kP08nblUkihrxltoGBjg/edit#gid=934712705"",""ESENCIAL!A6:BG""),3,FALSE))"),"TÉCNICO")</f>
        <v>TÉCNICO</v>
      </c>
      <c r="G110" s="491" t="str">
        <f ca="1">IFERROR(__xludf.DUMMYFUNCTION("IFERROR(VLOOKUP(F170,IMPORTRANGE(""https://docs.google.com/spreadsheets/d/1Kvs4KS76FHFqLFIZfrDMff4kP08nblUkihrxltoGBjg/edit#gid=934712705"",""ESENCIAL!A6:BG""),8,FALSE))"),"INSTALACION DE SISTEMAS ELECTRICOS RESIDENCIALES Y COMERCIALES")</f>
        <v>INSTALACION DE SISTEMAS ELECTRICOS RESIDENCIALES Y COMERCIALES</v>
      </c>
      <c r="H110" s="490">
        <v>3208416885</v>
      </c>
      <c r="I110" s="490" t="s">
        <v>436</v>
      </c>
      <c r="J110" s="490"/>
      <c r="K110" s="495" t="s">
        <v>37</v>
      </c>
      <c r="L110" s="495" t="s">
        <v>427</v>
      </c>
      <c r="M110" s="495" t="s">
        <v>428</v>
      </c>
      <c r="N110" s="495"/>
      <c r="O110" s="495" t="s">
        <v>84</v>
      </c>
      <c r="P110" s="495"/>
      <c r="Q110" s="496">
        <v>44866</v>
      </c>
      <c r="R110" s="499">
        <v>45047</v>
      </c>
      <c r="S110" s="490"/>
      <c r="T110" s="497"/>
      <c r="U110" s="495"/>
      <c r="V110" s="495"/>
      <c r="W110" s="491"/>
      <c r="X110" s="491"/>
      <c r="Y110" s="491"/>
      <c r="Z110" s="491"/>
      <c r="AA110" s="491"/>
      <c r="AB110" s="491"/>
      <c r="AC110" s="491"/>
      <c r="AD110" s="491"/>
      <c r="AE110" s="491"/>
      <c r="AF110" s="491"/>
      <c r="AG110" s="491"/>
      <c r="AH110" s="491"/>
      <c r="AI110" s="491"/>
      <c r="AJ110" s="491"/>
      <c r="AK110" s="491"/>
      <c r="AL110" s="491"/>
      <c r="AM110" s="491"/>
      <c r="AN110" s="491"/>
      <c r="AO110" s="491"/>
      <c r="AP110" s="491" t="s">
        <v>331</v>
      </c>
      <c r="AQ110" s="493">
        <f ca="1">IFERROR(__xludf.DUMMYFUNCTION("IFERROR(VLOOKUP(E170&amp;F170,IMPORTRANGE(""https://docs.google.com/spreadsheets/d/1Uw7-A9f9R21vMXxHZFNpYNeKFtG8_yji4HS352LGlSQ/edit?pli=1#gid=0"",""1_ACUM!A4:S""),18,FALSE))"),44585)</f>
        <v>44585</v>
      </c>
      <c r="AR110" s="493">
        <f ca="1">IFERROR(__xludf.DUMMYFUNCTION("IFERROR(VLOOKUP(E170&amp;F170,IMPORTRANGE(""https://docs.google.com/spreadsheets/d/1Uw7-A9f9R21vMXxHZFNpYNeKFtG8_yji4HS352LGlSQ/edit?pli=1#gid=0"",""1_ACUM!A4:S""),19,FALSE))"),44857)</f>
        <v>44857</v>
      </c>
      <c r="AS110" s="493">
        <f ca="1">IFERROR(__xludf.DUMMYFUNCTION("IFERROR(VLOOKUP(F170,IMPORTRANGE(""https://docs.google.com/spreadsheets/d/1Kvs4KS76FHFqLFIZfrDMff4kP08nblUkihrxltoGBjg/edit#gid=934712705"",""ESENCIAL!A6:BG""),5,FALSE))"),45039)</f>
        <v>45039</v>
      </c>
      <c r="AT110" s="493">
        <f t="shared" ca="1" si="4"/>
        <v>45588</v>
      </c>
      <c r="AU110" s="491"/>
      <c r="AV110" s="491"/>
    </row>
    <row r="111" spans="1:48" ht="48">
      <c r="A111" s="491" t="s">
        <v>331</v>
      </c>
      <c r="B111" s="490" t="s">
        <v>437</v>
      </c>
      <c r="C111" s="490" t="s">
        <v>27</v>
      </c>
      <c r="D111" s="490">
        <v>1193476840</v>
      </c>
      <c r="E111" s="490">
        <v>2451011</v>
      </c>
      <c r="F111" s="491" t="str">
        <f ca="1">IFERROR(__xludf.DUMMYFUNCTION("IFERROR(VLOOKUP(F171,IMPORTRANGE(""https://docs.google.com/spreadsheets/d/1Kvs4KS76FHFqLFIZfrDMff4kP08nblUkihrxltoGBjg/edit#gid=934712705"",""ESENCIAL!A6:BG""),3,FALSE))"),"TÉCNICO")</f>
        <v>TÉCNICO</v>
      </c>
      <c r="G111" s="491" t="str">
        <f ca="1">IFERROR(__xludf.DUMMYFUNCTION("IFERROR(VLOOKUP(F171,IMPORTRANGE(""https://docs.google.com/spreadsheets/d/1Kvs4KS76FHFqLFIZfrDMff4kP08nblUkihrxltoGBjg/edit#gid=934712705"",""ESENCIAL!A6:BG""),8,FALSE))"),"INSTALACION DE SISTEMAS ELECTRICOS RESIDENCIALES Y COMERCIALES")</f>
        <v>INSTALACION DE SISTEMAS ELECTRICOS RESIDENCIALES Y COMERCIALES</v>
      </c>
      <c r="H111" s="490">
        <v>3227495870</v>
      </c>
      <c r="I111" s="490" t="s">
        <v>438</v>
      </c>
      <c r="J111" s="490" t="s">
        <v>439</v>
      </c>
      <c r="K111" s="495" t="s">
        <v>28</v>
      </c>
      <c r="L111" s="495" t="s">
        <v>440</v>
      </c>
      <c r="M111" s="495" t="s">
        <v>441</v>
      </c>
      <c r="N111" s="495">
        <v>3115031602</v>
      </c>
      <c r="O111" s="495" t="s">
        <v>442</v>
      </c>
      <c r="P111" s="495" t="s">
        <v>443</v>
      </c>
      <c r="Q111" s="496">
        <v>44682</v>
      </c>
      <c r="R111" s="499">
        <v>45039</v>
      </c>
      <c r="S111" s="490"/>
      <c r="T111" s="497" t="s">
        <v>444</v>
      </c>
      <c r="U111" s="495"/>
      <c r="V111" s="495"/>
      <c r="W111" s="491"/>
      <c r="X111" s="491"/>
      <c r="Y111" s="491"/>
      <c r="Z111" s="491"/>
      <c r="AA111" s="491"/>
      <c r="AB111" s="491"/>
      <c r="AC111" s="491"/>
      <c r="AD111" s="491"/>
      <c r="AE111" s="491"/>
      <c r="AF111" s="491"/>
      <c r="AG111" s="491"/>
      <c r="AH111" s="491"/>
      <c r="AI111" s="491"/>
      <c r="AJ111" s="491"/>
      <c r="AK111" s="491"/>
      <c r="AL111" s="491"/>
      <c r="AM111" s="491"/>
      <c r="AN111" s="491"/>
      <c r="AO111" s="491"/>
      <c r="AP111" s="491" t="s">
        <v>331</v>
      </c>
      <c r="AQ111" s="493">
        <f ca="1">IFERROR(__xludf.DUMMYFUNCTION("IFERROR(VLOOKUP(E171&amp;F171,IMPORTRANGE(""https://docs.google.com/spreadsheets/d/1Uw7-A9f9R21vMXxHZFNpYNeKFtG8_yji4HS352LGlSQ/edit?pli=1#gid=0"",""1_ACUM!A4:S""),18,FALSE))"),44585)</f>
        <v>44585</v>
      </c>
      <c r="AR111" s="493">
        <f ca="1">IFERROR(__xludf.DUMMYFUNCTION("IFERROR(VLOOKUP(E171&amp;F171,IMPORTRANGE(""https://docs.google.com/spreadsheets/d/1Uw7-A9f9R21vMXxHZFNpYNeKFtG8_yji4HS352LGlSQ/edit?pli=1#gid=0"",""1_ACUM!A4:S""),19,FALSE))"),44857)</f>
        <v>44857</v>
      </c>
      <c r="AS111" s="493">
        <f ca="1">IFERROR(__xludf.DUMMYFUNCTION("IFERROR(VLOOKUP(F171,IMPORTRANGE(""https://docs.google.com/spreadsheets/d/1Kvs4KS76FHFqLFIZfrDMff4kP08nblUkihrxltoGBjg/edit#gid=934712705"",""ESENCIAL!A6:BG""),5,FALSE))"),45039)</f>
        <v>45039</v>
      </c>
      <c r="AT111" s="493">
        <f t="shared" ca="1" si="4"/>
        <v>45588</v>
      </c>
      <c r="AU111" s="491"/>
      <c r="AV111" s="491"/>
    </row>
    <row r="112" spans="1:48" ht="150">
      <c r="A112" s="491" t="s">
        <v>331</v>
      </c>
      <c r="B112" s="490" t="s">
        <v>445</v>
      </c>
      <c r="C112" s="490" t="s">
        <v>27</v>
      </c>
      <c r="D112" s="490">
        <v>4179870</v>
      </c>
      <c r="E112" s="490">
        <v>2451011</v>
      </c>
      <c r="F112" s="491" t="str">
        <f ca="1">IFERROR(__xludf.DUMMYFUNCTION("IFERROR(VLOOKUP(F172,IMPORTRANGE(""https://docs.google.com/spreadsheets/d/1Kvs4KS76FHFqLFIZfrDMff4kP08nblUkihrxltoGBjg/edit#gid=934712705"",""ESENCIAL!A6:BG""),3,FALSE))"),"TÉCNICO")</f>
        <v>TÉCNICO</v>
      </c>
      <c r="G112" s="491" t="str">
        <f ca="1">IFERROR(__xludf.DUMMYFUNCTION("IFERROR(VLOOKUP(F172,IMPORTRANGE(""https://docs.google.com/spreadsheets/d/1Kvs4KS76FHFqLFIZfrDMff4kP08nblUkihrxltoGBjg/edit#gid=934712705"",""ESENCIAL!A6:BG""),8,FALSE))"),"INSTALACION DE SISTEMAS ELECTRICOS RESIDENCIALES Y COMERCIALES")</f>
        <v>INSTALACION DE SISTEMAS ELECTRICOS RESIDENCIALES Y COMERCIALES</v>
      </c>
      <c r="H112" s="490">
        <v>3222706075</v>
      </c>
      <c r="I112" s="490" t="s">
        <v>446</v>
      </c>
      <c r="J112" s="490"/>
      <c r="K112" s="495" t="s">
        <v>37</v>
      </c>
      <c r="L112" s="495" t="s">
        <v>427</v>
      </c>
      <c r="M112" s="495" t="s">
        <v>428</v>
      </c>
      <c r="N112" s="495"/>
      <c r="O112" s="495" t="s">
        <v>84</v>
      </c>
      <c r="P112" s="495"/>
      <c r="Q112" s="496">
        <v>44866</v>
      </c>
      <c r="R112" s="499">
        <v>45047</v>
      </c>
      <c r="S112" s="490"/>
      <c r="T112" s="497"/>
      <c r="U112" s="495"/>
      <c r="V112" s="495"/>
      <c r="W112" s="491"/>
      <c r="X112" s="491"/>
      <c r="Y112" s="491"/>
      <c r="Z112" s="491"/>
      <c r="AA112" s="491"/>
      <c r="AB112" s="491"/>
      <c r="AC112" s="491"/>
      <c r="AD112" s="491"/>
      <c r="AE112" s="491"/>
      <c r="AF112" s="491"/>
      <c r="AG112" s="491"/>
      <c r="AH112" s="491"/>
      <c r="AI112" s="491"/>
      <c r="AJ112" s="491"/>
      <c r="AK112" s="491"/>
      <c r="AL112" s="491"/>
      <c r="AM112" s="491"/>
      <c r="AN112" s="491"/>
      <c r="AO112" s="491"/>
      <c r="AP112" s="491" t="s">
        <v>331</v>
      </c>
      <c r="AQ112" s="493">
        <f ca="1">IFERROR(__xludf.DUMMYFUNCTION("IFERROR(VLOOKUP(E172&amp;F172,IMPORTRANGE(""https://docs.google.com/spreadsheets/d/1Uw7-A9f9R21vMXxHZFNpYNeKFtG8_yji4HS352LGlSQ/edit?pli=1#gid=0"",""1_ACUM!A4:S""),18,FALSE))"),44585)</f>
        <v>44585</v>
      </c>
      <c r="AR112" s="493">
        <f ca="1">IFERROR(__xludf.DUMMYFUNCTION("IFERROR(VLOOKUP(E172&amp;F172,IMPORTRANGE(""https://docs.google.com/spreadsheets/d/1Uw7-A9f9R21vMXxHZFNpYNeKFtG8_yji4HS352LGlSQ/edit?pli=1#gid=0"",""1_ACUM!A4:S""),19,FALSE))"),44857)</f>
        <v>44857</v>
      </c>
      <c r="AS112" s="493">
        <f ca="1">IFERROR(__xludf.DUMMYFUNCTION("IFERROR(VLOOKUP(F172,IMPORTRANGE(""https://docs.google.com/spreadsheets/d/1Kvs4KS76FHFqLFIZfrDMff4kP08nblUkihrxltoGBjg/edit#gid=934712705"",""ESENCIAL!A6:BG""),5,FALSE))"),45039)</f>
        <v>45039</v>
      </c>
      <c r="AT112" s="493">
        <f t="shared" ca="1" si="4"/>
        <v>45588</v>
      </c>
      <c r="AU112" s="491"/>
      <c r="AV112" s="491"/>
    </row>
    <row r="113" spans="1:48" ht="150">
      <c r="A113" s="491" t="s">
        <v>331</v>
      </c>
      <c r="B113" s="490" t="s">
        <v>447</v>
      </c>
      <c r="C113" s="490" t="s">
        <v>27</v>
      </c>
      <c r="D113" s="490">
        <v>8127163</v>
      </c>
      <c r="E113" s="490">
        <v>2451011</v>
      </c>
      <c r="F113" s="491" t="str">
        <f ca="1">IFERROR(__xludf.DUMMYFUNCTION("IFERROR(VLOOKUP(F173,IMPORTRANGE(""https://docs.google.com/spreadsheets/d/1Kvs4KS76FHFqLFIZfrDMff4kP08nblUkihrxltoGBjg/edit#gid=934712705"",""ESENCIAL!A6:BG""),3,FALSE))"),"TÉCNICO")</f>
        <v>TÉCNICO</v>
      </c>
      <c r="G113" s="491" t="str">
        <f ca="1">IFERROR(__xludf.DUMMYFUNCTION("IFERROR(VLOOKUP(F173,IMPORTRANGE(""https://docs.google.com/spreadsheets/d/1Kvs4KS76FHFqLFIZfrDMff4kP08nblUkihrxltoGBjg/edit#gid=934712705"",""ESENCIAL!A6:BG""),8,FALSE))"),"INSTALACION DE SISTEMAS ELECTRICOS RESIDENCIALES Y COMERCIALES")</f>
        <v>INSTALACION DE SISTEMAS ELECTRICOS RESIDENCIALES Y COMERCIALES</v>
      </c>
      <c r="H113" s="490">
        <v>3103263046</v>
      </c>
      <c r="I113" s="490" t="s">
        <v>448</v>
      </c>
      <c r="J113" s="490"/>
      <c r="K113" s="495" t="s">
        <v>37</v>
      </c>
      <c r="L113" s="495" t="s">
        <v>427</v>
      </c>
      <c r="M113" s="495" t="s">
        <v>428</v>
      </c>
      <c r="N113" s="495"/>
      <c r="O113" s="495" t="s">
        <v>84</v>
      </c>
      <c r="P113" s="495"/>
      <c r="Q113" s="496">
        <v>44866</v>
      </c>
      <c r="R113" s="499">
        <v>45047</v>
      </c>
      <c r="S113" s="490"/>
      <c r="T113" s="497"/>
      <c r="U113" s="495"/>
      <c r="V113" s="495"/>
      <c r="W113" s="491"/>
      <c r="X113" s="491"/>
      <c r="Y113" s="491"/>
      <c r="Z113" s="491"/>
      <c r="AA113" s="491"/>
      <c r="AB113" s="491"/>
      <c r="AC113" s="491"/>
      <c r="AD113" s="491"/>
      <c r="AE113" s="491"/>
      <c r="AF113" s="491"/>
      <c r="AG113" s="491"/>
      <c r="AH113" s="491"/>
      <c r="AI113" s="491"/>
      <c r="AJ113" s="491"/>
      <c r="AK113" s="491"/>
      <c r="AL113" s="491"/>
      <c r="AM113" s="491"/>
      <c r="AN113" s="491"/>
      <c r="AO113" s="491"/>
      <c r="AP113" s="491" t="s">
        <v>331</v>
      </c>
      <c r="AQ113" s="493">
        <f ca="1">IFERROR(__xludf.DUMMYFUNCTION("IFERROR(VLOOKUP(E173&amp;F173,IMPORTRANGE(""https://docs.google.com/spreadsheets/d/1Uw7-A9f9R21vMXxHZFNpYNeKFtG8_yji4HS352LGlSQ/edit?pli=1#gid=0"",""1_ACUM!A4:S""),18,FALSE))"),44585)</f>
        <v>44585</v>
      </c>
      <c r="AR113" s="493">
        <f ca="1">IFERROR(__xludf.DUMMYFUNCTION("IFERROR(VLOOKUP(E173&amp;F173,IMPORTRANGE(""https://docs.google.com/spreadsheets/d/1Uw7-A9f9R21vMXxHZFNpYNeKFtG8_yji4HS352LGlSQ/edit?pli=1#gid=0"",""1_ACUM!A4:S""),19,FALSE))"),44857)</f>
        <v>44857</v>
      </c>
      <c r="AS113" s="493">
        <f ca="1">IFERROR(__xludf.DUMMYFUNCTION("IFERROR(VLOOKUP(F173,IMPORTRANGE(""https://docs.google.com/spreadsheets/d/1Kvs4KS76FHFqLFIZfrDMff4kP08nblUkihrxltoGBjg/edit#gid=934712705"",""ESENCIAL!A6:BG""),5,FALSE))"),45039)</f>
        <v>45039</v>
      </c>
      <c r="AT113" s="493">
        <f t="shared" ca="1" si="4"/>
        <v>45588</v>
      </c>
      <c r="AU113" s="491"/>
      <c r="AV113" s="491"/>
    </row>
    <row r="114" spans="1:48" ht="150">
      <c r="A114" s="491" t="s">
        <v>331</v>
      </c>
      <c r="B114" s="490" t="s">
        <v>449</v>
      </c>
      <c r="C114" s="490" t="s">
        <v>27</v>
      </c>
      <c r="D114" s="490">
        <v>83043263</v>
      </c>
      <c r="E114" s="490">
        <v>2451011</v>
      </c>
      <c r="F114" s="491" t="str">
        <f ca="1">IFERROR(__xludf.DUMMYFUNCTION("IFERROR(VLOOKUP(F174,IMPORTRANGE(""https://docs.google.com/spreadsheets/d/1Kvs4KS76FHFqLFIZfrDMff4kP08nblUkihrxltoGBjg/edit#gid=934712705"",""ESENCIAL!A6:BG""),3,FALSE))"),"TÉCNICO")</f>
        <v>TÉCNICO</v>
      </c>
      <c r="G114" s="491" t="str">
        <f ca="1">IFERROR(__xludf.DUMMYFUNCTION("IFERROR(VLOOKUP(F174,IMPORTRANGE(""https://docs.google.com/spreadsheets/d/1Kvs4KS76FHFqLFIZfrDMff4kP08nblUkihrxltoGBjg/edit#gid=934712705"",""ESENCIAL!A6:BG""),8,FALSE))"),"INSTALACION DE SISTEMAS ELECTRICOS RESIDENCIALES Y COMERCIALES")</f>
        <v>INSTALACION DE SISTEMAS ELECTRICOS RESIDENCIALES Y COMERCIALES</v>
      </c>
      <c r="H114" s="490">
        <v>3222183329</v>
      </c>
      <c r="I114" s="490" t="s">
        <v>450</v>
      </c>
      <c r="J114" s="490"/>
      <c r="K114" s="495" t="s">
        <v>37</v>
      </c>
      <c r="L114" s="495" t="s">
        <v>427</v>
      </c>
      <c r="M114" s="495" t="s">
        <v>428</v>
      </c>
      <c r="N114" s="495"/>
      <c r="O114" s="495" t="s">
        <v>84</v>
      </c>
      <c r="P114" s="495"/>
      <c r="Q114" s="496">
        <v>44866</v>
      </c>
      <c r="R114" s="499">
        <v>45047</v>
      </c>
      <c r="S114" s="490"/>
      <c r="T114" s="497"/>
      <c r="U114" s="495"/>
      <c r="V114" s="495"/>
      <c r="W114" s="491"/>
      <c r="X114" s="491"/>
      <c r="Y114" s="491"/>
      <c r="Z114" s="491"/>
      <c r="AA114" s="491"/>
      <c r="AB114" s="491"/>
      <c r="AC114" s="491"/>
      <c r="AD114" s="491"/>
      <c r="AE114" s="491"/>
      <c r="AF114" s="491"/>
      <c r="AG114" s="491"/>
      <c r="AH114" s="491"/>
      <c r="AI114" s="491"/>
      <c r="AJ114" s="491"/>
      <c r="AK114" s="491"/>
      <c r="AL114" s="491"/>
      <c r="AM114" s="491"/>
      <c r="AN114" s="491"/>
      <c r="AO114" s="491"/>
      <c r="AP114" s="491" t="s">
        <v>331</v>
      </c>
      <c r="AQ114" s="493">
        <f ca="1">IFERROR(__xludf.DUMMYFUNCTION("IFERROR(VLOOKUP(E174&amp;F174,IMPORTRANGE(""https://docs.google.com/spreadsheets/d/1Uw7-A9f9R21vMXxHZFNpYNeKFtG8_yji4HS352LGlSQ/edit?pli=1#gid=0"",""1_ACUM!A4:S""),18,FALSE))"),44585)</f>
        <v>44585</v>
      </c>
      <c r="AR114" s="493">
        <f ca="1">IFERROR(__xludf.DUMMYFUNCTION("IFERROR(VLOOKUP(E174&amp;F174,IMPORTRANGE(""https://docs.google.com/spreadsheets/d/1Uw7-A9f9R21vMXxHZFNpYNeKFtG8_yji4HS352LGlSQ/edit?pli=1#gid=0"",""1_ACUM!A4:S""),19,FALSE))"),44857)</f>
        <v>44857</v>
      </c>
      <c r="AS114" s="493">
        <f ca="1">IFERROR(__xludf.DUMMYFUNCTION("IFERROR(VLOOKUP(F174,IMPORTRANGE(""https://docs.google.com/spreadsheets/d/1Kvs4KS76FHFqLFIZfrDMff4kP08nblUkihrxltoGBjg/edit#gid=934712705"",""ESENCIAL!A6:BG""),5,FALSE))"),45039)</f>
        <v>45039</v>
      </c>
      <c r="AT114" s="493">
        <f t="shared" ca="1" si="4"/>
        <v>45588</v>
      </c>
      <c r="AU114" s="491"/>
      <c r="AV114" s="491"/>
    </row>
    <row r="115" spans="1:48" ht="48">
      <c r="A115" s="491"/>
      <c r="B115" s="490" t="s">
        <v>451</v>
      </c>
      <c r="C115" s="490" t="s">
        <v>27</v>
      </c>
      <c r="D115" s="490">
        <v>83043585</v>
      </c>
      <c r="E115" s="490">
        <v>2451011</v>
      </c>
      <c r="F115" s="491" t="str">
        <f ca="1">IFERROR(__xludf.DUMMYFUNCTION("IFERROR(VLOOKUP(F175,IMPORTRANGE(""https://docs.google.com/spreadsheets/d/1Kvs4KS76FHFqLFIZfrDMff4kP08nblUkihrxltoGBjg/edit#gid=934712705"",""ESENCIAL!A6:BG""),3,FALSE))"),"TÉCNICO")</f>
        <v>TÉCNICO</v>
      </c>
      <c r="G115" s="491" t="str">
        <f ca="1">IFERROR(__xludf.DUMMYFUNCTION("IFERROR(VLOOKUP(F175,IMPORTRANGE(""https://docs.google.com/spreadsheets/d/1Kvs4KS76FHFqLFIZfrDMff4kP08nblUkihrxltoGBjg/edit#gid=934712705"",""ESENCIAL!A6:BG""),8,FALSE))"),"INSTALACION DE SISTEMAS ELECTRICOS RESIDENCIALES Y COMERCIALES")</f>
        <v>INSTALACION DE SISTEMAS ELECTRICOS RESIDENCIALES Y COMERCIALES</v>
      </c>
      <c r="H115" s="490"/>
      <c r="I115" s="490"/>
      <c r="J115" s="490"/>
      <c r="K115" s="495" t="s">
        <v>44</v>
      </c>
      <c r="L115" s="495"/>
      <c r="M115" s="495"/>
      <c r="N115" s="495"/>
      <c r="O115" s="495"/>
      <c r="P115" s="495"/>
      <c r="Q115" s="496"/>
      <c r="R115" s="499"/>
      <c r="S115" s="490" t="s">
        <v>452</v>
      </c>
      <c r="T115" s="497"/>
      <c r="U115" s="495"/>
      <c r="V115" s="495"/>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3">
        <f ca="1">IFERROR(__xludf.DUMMYFUNCTION("IFERROR(VLOOKUP(E175&amp;F175,IMPORTRANGE(""https://docs.google.com/spreadsheets/d/1Uw7-A9f9R21vMXxHZFNpYNeKFtG8_yji4HS352LGlSQ/edit?pli=1#gid=0"",""1_ACUM!A4:S""),18,FALSE))"),44585)</f>
        <v>44585</v>
      </c>
      <c r="AR115" s="493">
        <f ca="1">IFERROR(__xludf.DUMMYFUNCTION("IFERROR(VLOOKUP(E175&amp;F175,IMPORTRANGE(""https://docs.google.com/spreadsheets/d/1Uw7-A9f9R21vMXxHZFNpYNeKFtG8_yji4HS352LGlSQ/edit?pli=1#gid=0"",""1_ACUM!A4:S""),19,FALSE))"),44857)</f>
        <v>44857</v>
      </c>
      <c r="AS115" s="493">
        <f ca="1">IFERROR(__xludf.DUMMYFUNCTION("IFERROR(VLOOKUP(F175,IMPORTRANGE(""https://docs.google.com/spreadsheets/d/1Kvs4KS76FHFqLFIZfrDMff4kP08nblUkihrxltoGBjg/edit#gid=934712705"",""ESENCIAL!A6:BG""),5,FALSE))"),45039)</f>
        <v>45039</v>
      </c>
      <c r="AT115" s="493">
        <f t="shared" ca="1" si="4"/>
        <v>45588</v>
      </c>
      <c r="AU115" s="491"/>
      <c r="AV115" s="491"/>
    </row>
    <row r="116" spans="1:48" ht="150">
      <c r="A116" s="491" t="s">
        <v>331</v>
      </c>
      <c r="B116" s="490" t="s">
        <v>453</v>
      </c>
      <c r="C116" s="490" t="s">
        <v>27</v>
      </c>
      <c r="D116" s="490">
        <v>83044206</v>
      </c>
      <c r="E116" s="490">
        <v>2451011</v>
      </c>
      <c r="F116" s="491" t="str">
        <f ca="1">IFERROR(__xludf.DUMMYFUNCTION("IFERROR(VLOOKUP(F176,IMPORTRANGE(""https://docs.google.com/spreadsheets/d/1Kvs4KS76FHFqLFIZfrDMff4kP08nblUkihrxltoGBjg/edit#gid=934712705"",""ESENCIAL!A6:BG""),3,FALSE))"),"TÉCNICO")</f>
        <v>TÉCNICO</v>
      </c>
      <c r="G116" s="491" t="str">
        <f ca="1">IFERROR(__xludf.DUMMYFUNCTION("IFERROR(VLOOKUP(F176,IMPORTRANGE(""https://docs.google.com/spreadsheets/d/1Kvs4KS76FHFqLFIZfrDMff4kP08nblUkihrxltoGBjg/edit#gid=934712705"",""ESENCIAL!A6:BG""),8,FALSE))"),"INSTALACION DE SISTEMAS ELECTRICOS RESIDENCIALES Y COMERCIALES")</f>
        <v>INSTALACION DE SISTEMAS ELECTRICOS RESIDENCIALES Y COMERCIALES</v>
      </c>
      <c r="H116" s="490">
        <v>3225200541</v>
      </c>
      <c r="I116" s="490" t="s">
        <v>454</v>
      </c>
      <c r="J116" s="490"/>
      <c r="K116" s="495" t="s">
        <v>37</v>
      </c>
      <c r="L116" s="495" t="s">
        <v>427</v>
      </c>
      <c r="M116" s="495" t="s">
        <v>428</v>
      </c>
      <c r="N116" s="495"/>
      <c r="O116" s="495" t="s">
        <v>84</v>
      </c>
      <c r="P116" s="495"/>
      <c r="Q116" s="496">
        <v>44866</v>
      </c>
      <c r="R116" s="499">
        <v>45047</v>
      </c>
      <c r="S116" s="490"/>
      <c r="T116" s="497"/>
      <c r="U116" s="495"/>
      <c r="V116" s="495"/>
      <c r="W116" s="491"/>
      <c r="X116" s="491"/>
      <c r="Y116" s="491"/>
      <c r="Z116" s="491"/>
      <c r="AA116" s="491"/>
      <c r="AB116" s="491"/>
      <c r="AC116" s="491"/>
      <c r="AD116" s="491"/>
      <c r="AE116" s="491"/>
      <c r="AF116" s="491"/>
      <c r="AG116" s="491"/>
      <c r="AH116" s="491"/>
      <c r="AI116" s="491"/>
      <c r="AJ116" s="491"/>
      <c r="AK116" s="491"/>
      <c r="AL116" s="491"/>
      <c r="AM116" s="491"/>
      <c r="AN116" s="491"/>
      <c r="AO116" s="491"/>
      <c r="AP116" s="491" t="s">
        <v>331</v>
      </c>
      <c r="AQ116" s="493">
        <f ca="1">IFERROR(__xludf.DUMMYFUNCTION("IFERROR(VLOOKUP(E176&amp;F176,IMPORTRANGE(""https://docs.google.com/spreadsheets/d/1Uw7-A9f9R21vMXxHZFNpYNeKFtG8_yji4HS352LGlSQ/edit?pli=1#gid=0"",""1_ACUM!A4:S""),18,FALSE))"),44585)</f>
        <v>44585</v>
      </c>
      <c r="AR116" s="493">
        <f ca="1">IFERROR(__xludf.DUMMYFUNCTION("IFERROR(VLOOKUP(E176&amp;F176,IMPORTRANGE(""https://docs.google.com/spreadsheets/d/1Uw7-A9f9R21vMXxHZFNpYNeKFtG8_yji4HS352LGlSQ/edit?pli=1#gid=0"",""1_ACUM!A4:S""),19,FALSE))"),44857)</f>
        <v>44857</v>
      </c>
      <c r="AS116" s="493">
        <f ca="1">IFERROR(__xludf.DUMMYFUNCTION("IFERROR(VLOOKUP(F176,IMPORTRANGE(""https://docs.google.com/spreadsheets/d/1Kvs4KS76FHFqLFIZfrDMff4kP08nblUkihrxltoGBjg/edit#gid=934712705"",""ESENCIAL!A6:BG""),5,FALSE))"),45039)</f>
        <v>45039</v>
      </c>
      <c r="AT116" s="493">
        <f t="shared" ca="1" si="4"/>
        <v>45588</v>
      </c>
      <c r="AU116" s="491"/>
      <c r="AV116" s="491"/>
    </row>
    <row r="117" spans="1:48" ht="90">
      <c r="A117" s="491" t="s">
        <v>455</v>
      </c>
      <c r="B117" s="490" t="s">
        <v>456</v>
      </c>
      <c r="C117" s="490" t="s">
        <v>27</v>
      </c>
      <c r="D117" s="490">
        <v>1003587606</v>
      </c>
      <c r="E117" s="490">
        <v>2500267</v>
      </c>
      <c r="F117" s="491" t="str">
        <f ca="1">IFERROR(__xludf.DUMMYFUNCTION("IFERROR(VLOOKUP(F177,IMPORTRANGE(""https://docs.google.com/spreadsheets/d/1Kvs4KS76FHFqLFIZfrDMff4kP08nblUkihrxltoGBjg/edit#gid=934712705"",""ESENCIAL!A6:BG""),3,FALSE))"),"TÉCNICO")</f>
        <v>TÉCNICO</v>
      </c>
      <c r="G117" s="491" t="str">
        <f ca="1">IFERROR(__xludf.DUMMYFUNCTION("IFERROR(VLOOKUP(F177,IMPORTRANGE(""https://docs.google.com/spreadsheets/d/1Kvs4KS76FHFqLFIZfrDMff4kP08nblUkihrxltoGBjg/edit#gid=934712705"",""ESENCIAL!A6:BG""),8,FALSE))"),"DIBUJO ARQUITECTÓNICO")</f>
        <v>DIBUJO ARQUITECTÓNICO</v>
      </c>
      <c r="H117" s="490"/>
      <c r="I117" s="490"/>
      <c r="J117" s="490"/>
      <c r="K117" s="495" t="s">
        <v>457</v>
      </c>
      <c r="L117" s="495" t="s">
        <v>458</v>
      </c>
      <c r="M117" s="495" t="s">
        <v>229</v>
      </c>
      <c r="N117" s="495">
        <v>3002105865</v>
      </c>
      <c r="O117" s="495" t="s">
        <v>84</v>
      </c>
      <c r="P117" s="503" t="s">
        <v>230</v>
      </c>
      <c r="Q117" s="496">
        <v>44846</v>
      </c>
      <c r="R117" s="496">
        <v>45205</v>
      </c>
      <c r="S117" s="490" t="s">
        <v>459</v>
      </c>
      <c r="T117" s="497"/>
      <c r="U117" s="495"/>
      <c r="V117" s="495"/>
      <c r="W117" s="491"/>
      <c r="X117" s="491"/>
      <c r="Y117" s="491"/>
      <c r="Z117" s="491"/>
      <c r="AA117" s="491"/>
      <c r="AB117" s="491"/>
      <c r="AC117" s="491"/>
      <c r="AD117" s="491"/>
      <c r="AE117" s="491"/>
      <c r="AF117" s="491"/>
      <c r="AG117" s="491"/>
      <c r="AH117" s="491"/>
      <c r="AI117" s="491"/>
      <c r="AJ117" s="491"/>
      <c r="AK117" s="491"/>
      <c r="AL117" s="491"/>
      <c r="AM117" s="491"/>
      <c r="AN117" s="491"/>
      <c r="AO117" s="491"/>
      <c r="AP117" s="491" t="s">
        <v>455</v>
      </c>
      <c r="AQ117" s="493">
        <f ca="1">IFERROR(__xludf.DUMMYFUNCTION("IFERROR(VLOOKUP(E177&amp;F177,IMPORTRANGE(""https://docs.google.com/spreadsheets/d/1Uw7-A9f9R21vMXxHZFNpYNeKFtG8_yji4HS352LGlSQ/edit?pli=1#gid=0"",""1_ACUM!A4:S""),18,FALSE))"),44669)</f>
        <v>44669</v>
      </c>
      <c r="AR117" s="493">
        <f ca="1">IFERROR(__xludf.DUMMYFUNCTION("IFERROR(VLOOKUP(E177&amp;F177,IMPORTRANGE(""https://docs.google.com/spreadsheets/d/1Uw7-A9f9R21vMXxHZFNpYNeKFtG8_yji4HS352LGlSQ/edit?pli=1#gid=0"",""1_ACUM!A4:S""),19,FALSE))"),44851)</f>
        <v>44851</v>
      </c>
      <c r="AS117" s="493">
        <f ca="1">IFERROR(__xludf.DUMMYFUNCTION("IFERROR(VLOOKUP(F177,IMPORTRANGE(""https://docs.google.com/spreadsheets/d/1Kvs4KS76FHFqLFIZfrDMff4kP08nblUkihrxltoGBjg/edit#gid=934712705"",""ESENCIAL!A6:BG""),5,FALSE))"),45033)</f>
        <v>45033</v>
      </c>
      <c r="AT117" s="493">
        <f t="shared" ca="1" si="4"/>
        <v>45582</v>
      </c>
      <c r="AU117" s="491"/>
      <c r="AV117" s="491"/>
    </row>
    <row r="118" spans="1:48" ht="90">
      <c r="A118" s="491" t="s">
        <v>455</v>
      </c>
      <c r="B118" s="490" t="s">
        <v>460</v>
      </c>
      <c r="C118" s="490" t="s">
        <v>27</v>
      </c>
      <c r="D118" s="490">
        <v>1004083241</v>
      </c>
      <c r="E118" s="490">
        <v>2500267</v>
      </c>
      <c r="F118" s="491" t="str">
        <f ca="1">IFERROR(__xludf.DUMMYFUNCTION("IFERROR(VLOOKUP(F178,IMPORTRANGE(""https://docs.google.com/spreadsheets/d/1Kvs4KS76FHFqLFIZfrDMff4kP08nblUkihrxltoGBjg/edit#gid=934712705"",""ESENCIAL!A6:BG""),3,FALSE))"),"TÉCNICO")</f>
        <v>TÉCNICO</v>
      </c>
      <c r="G118" s="491" t="str">
        <f ca="1">IFERROR(__xludf.DUMMYFUNCTION("IFERROR(VLOOKUP(F178,IMPORTRANGE(""https://docs.google.com/spreadsheets/d/1Kvs4KS76FHFqLFIZfrDMff4kP08nblUkihrxltoGBjg/edit#gid=934712705"",""ESENCIAL!A6:BG""),8,FALSE))"),"DIBUJO ARQUITECTÓNICO")</f>
        <v>DIBUJO ARQUITECTÓNICO</v>
      </c>
      <c r="H118" s="490"/>
      <c r="I118" s="490"/>
      <c r="J118" s="490"/>
      <c r="K118" s="495" t="s">
        <v>457</v>
      </c>
      <c r="L118" s="495" t="s">
        <v>458</v>
      </c>
      <c r="M118" s="495" t="s">
        <v>229</v>
      </c>
      <c r="N118" s="495">
        <v>3002105865</v>
      </c>
      <c r="O118" s="495" t="s">
        <v>84</v>
      </c>
      <c r="P118" s="503" t="s">
        <v>230</v>
      </c>
      <c r="Q118" s="496">
        <v>44846</v>
      </c>
      <c r="R118" s="496">
        <v>45205</v>
      </c>
      <c r="S118" s="490" t="s">
        <v>459</v>
      </c>
      <c r="T118" s="497"/>
      <c r="U118" s="495"/>
      <c r="V118" s="495"/>
      <c r="W118" s="491"/>
      <c r="X118" s="491"/>
      <c r="Y118" s="491"/>
      <c r="Z118" s="491"/>
      <c r="AA118" s="491"/>
      <c r="AB118" s="491"/>
      <c r="AC118" s="491"/>
      <c r="AD118" s="491"/>
      <c r="AE118" s="491"/>
      <c r="AF118" s="491"/>
      <c r="AG118" s="491"/>
      <c r="AH118" s="491"/>
      <c r="AI118" s="491"/>
      <c r="AJ118" s="491"/>
      <c r="AK118" s="491"/>
      <c r="AL118" s="491"/>
      <c r="AM118" s="491"/>
      <c r="AN118" s="491"/>
      <c r="AO118" s="491"/>
      <c r="AP118" s="491" t="s">
        <v>455</v>
      </c>
      <c r="AQ118" s="493">
        <f ca="1">IFERROR(__xludf.DUMMYFUNCTION("IFERROR(VLOOKUP(E178&amp;F178,IMPORTRANGE(""https://docs.google.com/spreadsheets/d/1Uw7-A9f9R21vMXxHZFNpYNeKFtG8_yji4HS352LGlSQ/edit?pli=1#gid=0"",""1_ACUM!A4:S""),18,FALSE))"),44669)</f>
        <v>44669</v>
      </c>
      <c r="AR118" s="493">
        <f ca="1">IFERROR(__xludf.DUMMYFUNCTION("IFERROR(VLOOKUP(E178&amp;F178,IMPORTRANGE(""https://docs.google.com/spreadsheets/d/1Uw7-A9f9R21vMXxHZFNpYNeKFtG8_yji4HS352LGlSQ/edit?pli=1#gid=0"",""1_ACUM!A4:S""),19,FALSE))"),44851)</f>
        <v>44851</v>
      </c>
      <c r="AS118" s="493">
        <f ca="1">IFERROR(__xludf.DUMMYFUNCTION("IFERROR(VLOOKUP(F178,IMPORTRANGE(""https://docs.google.com/spreadsheets/d/1Kvs4KS76FHFqLFIZfrDMff4kP08nblUkihrxltoGBjg/edit#gid=934712705"",""ESENCIAL!A6:BG""),5,FALSE))"),45033)</f>
        <v>45033</v>
      </c>
      <c r="AT118" s="493">
        <f t="shared" ca="1" si="4"/>
        <v>45582</v>
      </c>
      <c r="AU118" s="491"/>
      <c r="AV118" s="491"/>
    </row>
    <row r="119" spans="1:48" ht="90">
      <c r="A119" s="491" t="s">
        <v>455</v>
      </c>
      <c r="B119" s="490" t="s">
        <v>461</v>
      </c>
      <c r="C119" s="490" t="s">
        <v>27</v>
      </c>
      <c r="D119" s="490">
        <v>1004083428</v>
      </c>
      <c r="E119" s="490">
        <v>2500267</v>
      </c>
      <c r="F119" s="491" t="str">
        <f ca="1">IFERROR(__xludf.DUMMYFUNCTION("IFERROR(VLOOKUP(F179,IMPORTRANGE(""https://docs.google.com/spreadsheets/d/1Kvs4KS76FHFqLFIZfrDMff4kP08nblUkihrxltoGBjg/edit#gid=934712705"",""ESENCIAL!A6:BG""),3,FALSE))"),"TÉCNICO")</f>
        <v>TÉCNICO</v>
      </c>
      <c r="G119" s="491" t="str">
        <f ca="1">IFERROR(__xludf.DUMMYFUNCTION("IFERROR(VLOOKUP(F179,IMPORTRANGE(""https://docs.google.com/spreadsheets/d/1Kvs4KS76FHFqLFIZfrDMff4kP08nblUkihrxltoGBjg/edit#gid=934712705"",""ESENCIAL!A6:BG""),8,FALSE))"),"DIBUJO ARQUITECTÓNICO")</f>
        <v>DIBUJO ARQUITECTÓNICO</v>
      </c>
      <c r="H119" s="490"/>
      <c r="I119" s="490"/>
      <c r="J119" s="490"/>
      <c r="K119" s="495" t="s">
        <v>457</v>
      </c>
      <c r="L119" s="495" t="s">
        <v>458</v>
      </c>
      <c r="M119" s="495" t="s">
        <v>229</v>
      </c>
      <c r="N119" s="495">
        <v>3002105865</v>
      </c>
      <c r="O119" s="495" t="s">
        <v>84</v>
      </c>
      <c r="P119" s="503" t="s">
        <v>230</v>
      </c>
      <c r="Q119" s="496">
        <v>44846</v>
      </c>
      <c r="R119" s="496">
        <v>45205</v>
      </c>
      <c r="S119" s="490" t="s">
        <v>459</v>
      </c>
      <c r="T119" s="497"/>
      <c r="U119" s="495"/>
      <c r="V119" s="495"/>
      <c r="W119" s="491"/>
      <c r="X119" s="491"/>
      <c r="Y119" s="491"/>
      <c r="Z119" s="491"/>
      <c r="AA119" s="491"/>
      <c r="AB119" s="491"/>
      <c r="AC119" s="491"/>
      <c r="AD119" s="491"/>
      <c r="AE119" s="491"/>
      <c r="AF119" s="491"/>
      <c r="AG119" s="491"/>
      <c r="AH119" s="491"/>
      <c r="AI119" s="491"/>
      <c r="AJ119" s="491"/>
      <c r="AK119" s="491"/>
      <c r="AL119" s="491"/>
      <c r="AM119" s="491"/>
      <c r="AN119" s="491"/>
      <c r="AO119" s="491"/>
      <c r="AP119" s="491" t="s">
        <v>455</v>
      </c>
      <c r="AQ119" s="493">
        <f ca="1">IFERROR(__xludf.DUMMYFUNCTION("IFERROR(VLOOKUP(E179&amp;F179,IMPORTRANGE(""https://docs.google.com/spreadsheets/d/1Uw7-A9f9R21vMXxHZFNpYNeKFtG8_yji4HS352LGlSQ/edit?pli=1#gid=0"",""1_ACUM!A4:S""),18,FALSE))"),44669)</f>
        <v>44669</v>
      </c>
      <c r="AR119" s="493">
        <f ca="1">IFERROR(__xludf.DUMMYFUNCTION("IFERROR(VLOOKUP(E179&amp;F179,IMPORTRANGE(""https://docs.google.com/spreadsheets/d/1Uw7-A9f9R21vMXxHZFNpYNeKFtG8_yji4HS352LGlSQ/edit?pli=1#gid=0"",""1_ACUM!A4:S""),19,FALSE))"),44851)</f>
        <v>44851</v>
      </c>
      <c r="AS119" s="493">
        <f ca="1">IFERROR(__xludf.DUMMYFUNCTION("IFERROR(VLOOKUP(F179,IMPORTRANGE(""https://docs.google.com/spreadsheets/d/1Kvs4KS76FHFqLFIZfrDMff4kP08nblUkihrxltoGBjg/edit#gid=934712705"",""ESENCIAL!A6:BG""),5,FALSE))"),45033)</f>
        <v>45033</v>
      </c>
      <c r="AT119" s="493">
        <f t="shared" ca="1" si="4"/>
        <v>45582</v>
      </c>
      <c r="AU119" s="491"/>
      <c r="AV119" s="491"/>
    </row>
    <row r="120" spans="1:48" ht="16">
      <c r="A120" s="491" t="s">
        <v>462</v>
      </c>
      <c r="B120" s="616" t="s">
        <v>463</v>
      </c>
      <c r="C120" s="616" t="s">
        <v>27</v>
      </c>
      <c r="D120" s="616">
        <v>1004446242</v>
      </c>
      <c r="E120" s="616">
        <v>2500267</v>
      </c>
      <c r="F120" s="617" t="str">
        <f ca="1">IFERROR(__xludf.DUMMYFUNCTION("IFERROR(VLOOKUP(F180,IMPORTRANGE(""https://docs.google.com/spreadsheets/d/1Kvs4KS76FHFqLFIZfrDMff4kP08nblUkihrxltoGBjg/edit#gid=934712705"",""ESENCIAL!A6:BG""),3,FALSE))"),"TÉCNICO")</f>
        <v>TÉCNICO</v>
      </c>
      <c r="G120" s="617" t="str">
        <f ca="1">IFERROR(__xludf.DUMMYFUNCTION("IFERROR(VLOOKUP(F180,IMPORTRANGE(""https://docs.google.com/spreadsheets/d/1Kvs4KS76FHFqLFIZfrDMff4kP08nblUkihrxltoGBjg/edit#gid=934712705"",""ESENCIAL!A6:BG""),8,FALSE))"),"DIBUJO ARQUITECTÓNICO")</f>
        <v>DIBUJO ARQUITECTÓNICO</v>
      </c>
      <c r="H120" s="490">
        <v>3166508143</v>
      </c>
      <c r="I120" s="618" t="s">
        <v>464</v>
      </c>
      <c r="J120" s="490" t="s">
        <v>421</v>
      </c>
      <c r="K120" s="495" t="s">
        <v>37</v>
      </c>
      <c r="L120" s="495"/>
      <c r="M120" s="495"/>
      <c r="N120" s="495"/>
      <c r="O120" s="495"/>
      <c r="P120" s="495"/>
      <c r="Q120" s="496" t="s">
        <v>465</v>
      </c>
      <c r="R120" s="499" t="s">
        <v>466</v>
      </c>
      <c r="S120" s="616" t="s">
        <v>459</v>
      </c>
      <c r="T120" s="497"/>
      <c r="U120" s="495"/>
      <c r="V120" s="495"/>
      <c r="W120" s="491"/>
      <c r="X120" s="491"/>
      <c r="Y120" s="491"/>
      <c r="Z120" s="491"/>
      <c r="AA120" s="491"/>
      <c r="AB120" s="491"/>
      <c r="AC120" s="491"/>
      <c r="AD120" s="491"/>
      <c r="AE120" s="491"/>
      <c r="AF120" s="491"/>
      <c r="AG120" s="491"/>
      <c r="AH120" s="491"/>
      <c r="AI120" s="491"/>
      <c r="AJ120" s="491"/>
      <c r="AK120" s="491"/>
      <c r="AL120" s="491"/>
      <c r="AM120" s="491"/>
      <c r="AN120" s="491"/>
      <c r="AO120" s="491"/>
      <c r="AP120" s="617" t="s">
        <v>462</v>
      </c>
      <c r="AQ120" s="493">
        <f ca="1">IFERROR(__xludf.DUMMYFUNCTION("IFERROR(VLOOKUP(E180&amp;F180,IMPORTRANGE(""https://docs.google.com/spreadsheets/d/1Uw7-A9f9R21vMXxHZFNpYNeKFtG8_yji4HS352LGlSQ/edit?pli=1#gid=0"",""1_ACUM!A4:S""),18,FALSE))"),44669)</f>
        <v>44669</v>
      </c>
      <c r="AR120" s="493">
        <f ca="1">IFERROR(__xludf.DUMMYFUNCTION("IFERROR(VLOOKUP(E180&amp;F180,IMPORTRANGE(""https://docs.google.com/spreadsheets/d/1Uw7-A9f9R21vMXxHZFNpYNeKFtG8_yji4HS352LGlSQ/edit?pli=1#gid=0"",""1_ACUM!A4:S""),19,FALSE))"),44851)</f>
        <v>44851</v>
      </c>
      <c r="AS120" s="493">
        <f ca="1">IFERROR(__xludf.DUMMYFUNCTION("IFERROR(VLOOKUP(F180,IMPORTRANGE(""https://docs.google.com/spreadsheets/d/1Kvs4KS76FHFqLFIZfrDMff4kP08nblUkihrxltoGBjg/edit#gid=934712705"",""ESENCIAL!A6:BG""),5,FALSE))"),45033)</f>
        <v>45033</v>
      </c>
      <c r="AT120" s="493">
        <f t="shared" ca="1" si="4"/>
        <v>45582</v>
      </c>
      <c r="AU120" s="491"/>
      <c r="AV120" s="491"/>
    </row>
    <row r="121" spans="1:48" ht="30">
      <c r="A121" s="491"/>
      <c r="B121" s="490" t="s">
        <v>467</v>
      </c>
      <c r="C121" s="490" t="s">
        <v>27</v>
      </c>
      <c r="D121" s="490">
        <v>1006996169</v>
      </c>
      <c r="E121" s="490">
        <v>2500267</v>
      </c>
      <c r="F121" s="491" t="str">
        <f ca="1">IFERROR(__xludf.DUMMYFUNCTION("IFERROR(VLOOKUP(F181,IMPORTRANGE(""https://docs.google.com/spreadsheets/d/1Kvs4KS76FHFqLFIZfrDMff4kP08nblUkihrxltoGBjg/edit#gid=934712705"",""ESENCIAL!A6:BG""),3,FALSE))"),"TÉCNICO")</f>
        <v>TÉCNICO</v>
      </c>
      <c r="G121" s="491" t="str">
        <f ca="1">IFERROR(__xludf.DUMMYFUNCTION("IFERROR(VLOOKUP(F181,IMPORTRANGE(""https://docs.google.com/spreadsheets/d/1Kvs4KS76FHFqLFIZfrDMff4kP08nblUkihrxltoGBjg/edit#gid=934712705"",""ESENCIAL!A6:BG""),8,FALSE))"),"DIBUJO ARQUITECTÓNICO")</f>
        <v>DIBUJO ARQUITECTÓNICO</v>
      </c>
      <c r="H121" s="490"/>
      <c r="I121" s="490"/>
      <c r="J121" s="490"/>
      <c r="K121" s="495" t="s">
        <v>44</v>
      </c>
      <c r="L121" s="495"/>
      <c r="M121" s="495"/>
      <c r="N121" s="495"/>
      <c r="O121" s="495"/>
      <c r="P121" s="495"/>
      <c r="Q121" s="496"/>
      <c r="R121" s="499"/>
      <c r="S121" s="490" t="s">
        <v>468</v>
      </c>
      <c r="T121" s="497"/>
      <c r="U121" s="495"/>
      <c r="V121" s="495"/>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3">
        <f ca="1">IFERROR(__xludf.DUMMYFUNCTION("IFERROR(VLOOKUP(E181&amp;F181,IMPORTRANGE(""https://docs.google.com/spreadsheets/d/1Uw7-A9f9R21vMXxHZFNpYNeKFtG8_yji4HS352LGlSQ/edit?pli=1#gid=0"",""1_ACUM!A4:S""),18,FALSE))"),44669)</f>
        <v>44669</v>
      </c>
      <c r="AR121" s="493">
        <f ca="1">IFERROR(__xludf.DUMMYFUNCTION("IFERROR(VLOOKUP(E181&amp;F181,IMPORTRANGE(""https://docs.google.com/spreadsheets/d/1Uw7-A9f9R21vMXxHZFNpYNeKFtG8_yji4HS352LGlSQ/edit?pli=1#gid=0"",""1_ACUM!A4:S""),19,FALSE))"),44851)</f>
        <v>44851</v>
      </c>
      <c r="AS121" s="493">
        <f ca="1">IFERROR(__xludf.DUMMYFUNCTION("IFERROR(VLOOKUP(F181,IMPORTRANGE(""https://docs.google.com/spreadsheets/d/1Kvs4KS76FHFqLFIZfrDMff4kP08nblUkihrxltoGBjg/edit#gid=934712705"",""ESENCIAL!A6:BG""),5,FALSE))"),45033)</f>
        <v>45033</v>
      </c>
      <c r="AT121" s="493">
        <f t="shared" ca="1" si="4"/>
        <v>45582</v>
      </c>
      <c r="AU121" s="491"/>
      <c r="AV121" s="491"/>
    </row>
    <row r="122" spans="1:48" ht="30">
      <c r="A122" s="491"/>
      <c r="B122" s="490" t="s">
        <v>469</v>
      </c>
      <c r="C122" s="490" t="s">
        <v>27</v>
      </c>
      <c r="D122" s="490">
        <v>1007745539</v>
      </c>
      <c r="E122" s="490">
        <v>2500267</v>
      </c>
      <c r="F122" s="491" t="str">
        <f ca="1">IFERROR(__xludf.DUMMYFUNCTION("IFERROR(VLOOKUP(F182,IMPORTRANGE(""https://docs.google.com/spreadsheets/d/1Kvs4KS76FHFqLFIZfrDMff4kP08nblUkihrxltoGBjg/edit#gid=934712705"",""ESENCIAL!A6:BG""),3,FALSE))"),"TÉCNICO")</f>
        <v>TÉCNICO</v>
      </c>
      <c r="G122" s="491" t="str">
        <f ca="1">IFERROR(__xludf.DUMMYFUNCTION("IFERROR(VLOOKUP(F182,IMPORTRANGE(""https://docs.google.com/spreadsheets/d/1Kvs4KS76FHFqLFIZfrDMff4kP08nblUkihrxltoGBjg/edit#gid=934712705"",""ESENCIAL!A6:BG""),8,FALSE))"),"DIBUJO ARQUITECTÓNICO")</f>
        <v>DIBUJO ARQUITECTÓNICO</v>
      </c>
      <c r="H122" s="490"/>
      <c r="I122" s="490"/>
      <c r="J122" s="490"/>
      <c r="K122" s="495" t="s">
        <v>44</v>
      </c>
      <c r="L122" s="495"/>
      <c r="M122" s="495"/>
      <c r="N122" s="495"/>
      <c r="O122" s="495"/>
      <c r="P122" s="495"/>
      <c r="Q122" s="496"/>
      <c r="R122" s="499"/>
      <c r="S122" s="490" t="s">
        <v>459</v>
      </c>
      <c r="T122" s="497"/>
      <c r="U122" s="495"/>
      <c r="V122" s="495"/>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3">
        <f ca="1">IFERROR(__xludf.DUMMYFUNCTION("IFERROR(VLOOKUP(E182&amp;F182,IMPORTRANGE(""https://docs.google.com/spreadsheets/d/1Uw7-A9f9R21vMXxHZFNpYNeKFtG8_yji4HS352LGlSQ/edit?pli=1#gid=0"",""1_ACUM!A4:S""),18,FALSE))"),44669)</f>
        <v>44669</v>
      </c>
      <c r="AR122" s="493">
        <f ca="1">IFERROR(__xludf.DUMMYFUNCTION("IFERROR(VLOOKUP(E182&amp;F182,IMPORTRANGE(""https://docs.google.com/spreadsheets/d/1Uw7-A9f9R21vMXxHZFNpYNeKFtG8_yji4HS352LGlSQ/edit?pli=1#gid=0"",""1_ACUM!A4:S""),19,FALSE))"),44851)</f>
        <v>44851</v>
      </c>
      <c r="AS122" s="493">
        <f ca="1">IFERROR(__xludf.DUMMYFUNCTION("IFERROR(VLOOKUP(F182,IMPORTRANGE(""https://docs.google.com/spreadsheets/d/1Kvs4KS76FHFqLFIZfrDMff4kP08nblUkihrxltoGBjg/edit#gid=934712705"",""ESENCIAL!A6:BG""),5,FALSE))"),45033)</f>
        <v>45033</v>
      </c>
      <c r="AT122" s="493">
        <f t="shared" ca="1" si="4"/>
        <v>45582</v>
      </c>
      <c r="AU122" s="491"/>
      <c r="AV122" s="491"/>
    </row>
    <row r="123" spans="1:48" ht="90">
      <c r="A123" s="491" t="s">
        <v>455</v>
      </c>
      <c r="B123" s="490" t="s">
        <v>470</v>
      </c>
      <c r="C123" s="490" t="s">
        <v>67</v>
      </c>
      <c r="D123" s="490">
        <v>1079534328</v>
      </c>
      <c r="E123" s="490">
        <v>2500267</v>
      </c>
      <c r="F123" s="491" t="str">
        <f ca="1">IFERROR(__xludf.DUMMYFUNCTION("IFERROR(VLOOKUP(F183,IMPORTRANGE(""https://docs.google.com/spreadsheets/d/1Kvs4KS76FHFqLFIZfrDMff4kP08nblUkihrxltoGBjg/edit#gid=934712705"",""ESENCIAL!A6:BG""),3,FALSE))"),"TÉCNICO")</f>
        <v>TÉCNICO</v>
      </c>
      <c r="G123" s="491" t="str">
        <f ca="1">IFERROR(__xludf.DUMMYFUNCTION("IFERROR(VLOOKUP(F183,IMPORTRANGE(""https://docs.google.com/spreadsheets/d/1Kvs4KS76FHFqLFIZfrDMff4kP08nblUkihrxltoGBjg/edit#gid=934712705"",""ESENCIAL!A6:BG""),8,FALSE))"),"DIBUJO ARQUITECTÓNICO")</f>
        <v>DIBUJO ARQUITECTÓNICO</v>
      </c>
      <c r="H123" s="490"/>
      <c r="I123" s="490"/>
      <c r="J123" s="490"/>
      <c r="K123" s="495" t="s">
        <v>457</v>
      </c>
      <c r="L123" s="495" t="s">
        <v>458</v>
      </c>
      <c r="M123" s="495" t="s">
        <v>229</v>
      </c>
      <c r="N123" s="495">
        <v>3002105865</v>
      </c>
      <c r="O123" s="495" t="s">
        <v>84</v>
      </c>
      <c r="P123" s="503" t="s">
        <v>230</v>
      </c>
      <c r="Q123" s="496">
        <v>44846</v>
      </c>
      <c r="R123" s="496">
        <v>45205</v>
      </c>
      <c r="S123" s="490" t="s">
        <v>459</v>
      </c>
      <c r="T123" s="497"/>
      <c r="U123" s="495"/>
      <c r="V123" s="495"/>
      <c r="W123" s="491"/>
      <c r="X123" s="491"/>
      <c r="Y123" s="491"/>
      <c r="Z123" s="491"/>
      <c r="AA123" s="491"/>
      <c r="AB123" s="491"/>
      <c r="AC123" s="491"/>
      <c r="AD123" s="491"/>
      <c r="AE123" s="491"/>
      <c r="AF123" s="491"/>
      <c r="AG123" s="491"/>
      <c r="AH123" s="491"/>
      <c r="AI123" s="491"/>
      <c r="AJ123" s="491"/>
      <c r="AK123" s="491"/>
      <c r="AL123" s="491"/>
      <c r="AM123" s="491"/>
      <c r="AN123" s="491"/>
      <c r="AO123" s="491"/>
      <c r="AP123" s="491" t="s">
        <v>455</v>
      </c>
      <c r="AQ123" s="493">
        <f ca="1">IFERROR(__xludf.DUMMYFUNCTION("IFERROR(VLOOKUP(E183&amp;F183,IMPORTRANGE(""https://docs.google.com/spreadsheets/d/1Uw7-A9f9R21vMXxHZFNpYNeKFtG8_yji4HS352LGlSQ/edit?pli=1#gid=0"",""1_ACUM!A4:S""),18,FALSE))"),44669)</f>
        <v>44669</v>
      </c>
      <c r="AR123" s="493">
        <f ca="1">IFERROR(__xludf.DUMMYFUNCTION("IFERROR(VLOOKUP(E183&amp;F183,IMPORTRANGE(""https://docs.google.com/spreadsheets/d/1Uw7-A9f9R21vMXxHZFNpYNeKFtG8_yji4HS352LGlSQ/edit?pli=1#gid=0"",""1_ACUM!A4:S""),19,FALSE))"),44851)</f>
        <v>44851</v>
      </c>
      <c r="AS123" s="493">
        <f ca="1">IFERROR(__xludf.DUMMYFUNCTION("IFERROR(VLOOKUP(F183,IMPORTRANGE(""https://docs.google.com/spreadsheets/d/1Kvs4KS76FHFqLFIZfrDMff4kP08nblUkihrxltoGBjg/edit#gid=934712705"",""ESENCIAL!A6:BG""),5,FALSE))"),45033)</f>
        <v>45033</v>
      </c>
      <c r="AT123" s="493">
        <f t="shared" ca="1" si="4"/>
        <v>45582</v>
      </c>
      <c r="AU123" s="491"/>
      <c r="AV123" s="491"/>
    </row>
    <row r="124" spans="1:48" ht="90">
      <c r="A124" s="491" t="s">
        <v>455</v>
      </c>
      <c r="B124" s="490" t="s">
        <v>471</v>
      </c>
      <c r="C124" s="490" t="s">
        <v>67</v>
      </c>
      <c r="D124" s="490">
        <v>1081394466</v>
      </c>
      <c r="E124" s="490">
        <v>2500267</v>
      </c>
      <c r="F124" s="491" t="str">
        <f ca="1">IFERROR(__xludf.DUMMYFUNCTION("IFERROR(VLOOKUP(F184,IMPORTRANGE(""https://docs.google.com/spreadsheets/d/1Kvs4KS76FHFqLFIZfrDMff4kP08nblUkihrxltoGBjg/edit#gid=934712705"",""ESENCIAL!A6:BG""),3,FALSE))"),"TÉCNICO")</f>
        <v>TÉCNICO</v>
      </c>
      <c r="G124" s="491" t="str">
        <f ca="1">IFERROR(__xludf.DUMMYFUNCTION("IFERROR(VLOOKUP(F184,IMPORTRANGE(""https://docs.google.com/spreadsheets/d/1Kvs4KS76FHFqLFIZfrDMff4kP08nblUkihrxltoGBjg/edit#gid=934712705"",""ESENCIAL!A6:BG""),8,FALSE))"),"DIBUJO ARQUITECTÓNICO")</f>
        <v>DIBUJO ARQUITECTÓNICO</v>
      </c>
      <c r="H124" s="490"/>
      <c r="I124" s="490"/>
      <c r="J124" s="490"/>
      <c r="K124" s="495" t="s">
        <v>457</v>
      </c>
      <c r="L124" s="495" t="s">
        <v>458</v>
      </c>
      <c r="M124" s="495" t="s">
        <v>229</v>
      </c>
      <c r="N124" s="495">
        <v>3002105865</v>
      </c>
      <c r="O124" s="495" t="s">
        <v>84</v>
      </c>
      <c r="P124" s="503" t="s">
        <v>230</v>
      </c>
      <c r="Q124" s="496">
        <v>44846</v>
      </c>
      <c r="R124" s="496">
        <v>45205</v>
      </c>
      <c r="S124" s="490" t="s">
        <v>459</v>
      </c>
      <c r="T124" s="497"/>
      <c r="U124" s="495"/>
      <c r="V124" s="495"/>
      <c r="W124" s="491"/>
      <c r="X124" s="491"/>
      <c r="Y124" s="491"/>
      <c r="Z124" s="491"/>
      <c r="AA124" s="491"/>
      <c r="AB124" s="491"/>
      <c r="AC124" s="491"/>
      <c r="AD124" s="491"/>
      <c r="AE124" s="491"/>
      <c r="AF124" s="491"/>
      <c r="AG124" s="491"/>
      <c r="AH124" s="491"/>
      <c r="AI124" s="491"/>
      <c r="AJ124" s="491"/>
      <c r="AK124" s="491"/>
      <c r="AL124" s="491"/>
      <c r="AM124" s="491"/>
      <c r="AN124" s="491"/>
      <c r="AO124" s="491"/>
      <c r="AP124" s="491" t="s">
        <v>455</v>
      </c>
      <c r="AQ124" s="493">
        <f ca="1">IFERROR(__xludf.DUMMYFUNCTION("IFERROR(VLOOKUP(E184&amp;F184,IMPORTRANGE(""https://docs.google.com/spreadsheets/d/1Uw7-A9f9R21vMXxHZFNpYNeKFtG8_yji4HS352LGlSQ/edit?pli=1#gid=0"",""1_ACUM!A4:S""),18,FALSE))"),44669)</f>
        <v>44669</v>
      </c>
      <c r="AR124" s="493">
        <f ca="1">IFERROR(__xludf.DUMMYFUNCTION("IFERROR(VLOOKUP(E184&amp;F184,IMPORTRANGE(""https://docs.google.com/spreadsheets/d/1Uw7-A9f9R21vMXxHZFNpYNeKFtG8_yji4HS352LGlSQ/edit?pli=1#gid=0"",""1_ACUM!A4:S""),19,FALSE))"),44851)</f>
        <v>44851</v>
      </c>
      <c r="AS124" s="493">
        <f ca="1">IFERROR(__xludf.DUMMYFUNCTION("IFERROR(VLOOKUP(F184,IMPORTRANGE(""https://docs.google.com/spreadsheets/d/1Kvs4KS76FHFqLFIZfrDMff4kP08nblUkihrxltoGBjg/edit#gid=934712705"",""ESENCIAL!A6:BG""),5,FALSE))"),45033)</f>
        <v>45033</v>
      </c>
      <c r="AT124" s="493">
        <f t="shared" ref="AT124:AT155" ca="1" si="5">IF(E124&gt;0,EDATE(AS124,18),"")</f>
        <v>45582</v>
      </c>
      <c r="AU124" s="491"/>
      <c r="AV124" s="491"/>
    </row>
    <row r="125" spans="1:48" ht="30">
      <c r="A125" s="491"/>
      <c r="B125" s="490" t="s">
        <v>472</v>
      </c>
      <c r="C125" s="490" t="s">
        <v>27</v>
      </c>
      <c r="D125" s="490">
        <v>1083864186</v>
      </c>
      <c r="E125" s="490">
        <v>2500267</v>
      </c>
      <c r="F125" s="491" t="str">
        <f ca="1">IFERROR(__xludf.DUMMYFUNCTION("IFERROR(VLOOKUP(F185,IMPORTRANGE(""https://docs.google.com/spreadsheets/d/1Kvs4KS76FHFqLFIZfrDMff4kP08nblUkihrxltoGBjg/edit#gid=934712705"",""ESENCIAL!A6:BG""),3,FALSE))"),"TÉCNICO")</f>
        <v>TÉCNICO</v>
      </c>
      <c r="G125" s="491" t="str">
        <f ca="1">IFERROR(__xludf.DUMMYFUNCTION("IFERROR(VLOOKUP(F185,IMPORTRANGE(""https://docs.google.com/spreadsheets/d/1Kvs4KS76FHFqLFIZfrDMff4kP08nblUkihrxltoGBjg/edit#gid=934712705"",""ESENCIAL!A6:BG""),8,FALSE))"),"DIBUJO ARQUITECTÓNICO")</f>
        <v>DIBUJO ARQUITECTÓNICO</v>
      </c>
      <c r="H125" s="490"/>
      <c r="I125" s="490"/>
      <c r="J125" s="490"/>
      <c r="K125" s="495" t="s">
        <v>44</v>
      </c>
      <c r="L125" s="495"/>
      <c r="M125" s="495"/>
      <c r="N125" s="495"/>
      <c r="O125" s="495"/>
      <c r="P125" s="495"/>
      <c r="Q125" s="496"/>
      <c r="R125" s="499"/>
      <c r="S125" s="490" t="s">
        <v>473</v>
      </c>
      <c r="T125" s="497"/>
      <c r="U125" s="495"/>
      <c r="V125" s="495"/>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3">
        <f ca="1">IFERROR(__xludf.DUMMYFUNCTION("IFERROR(VLOOKUP(E185&amp;F185,IMPORTRANGE(""https://docs.google.com/spreadsheets/d/1Uw7-A9f9R21vMXxHZFNpYNeKFtG8_yji4HS352LGlSQ/edit?pli=1#gid=0"",""1_ACUM!A4:S""),18,FALSE))"),44669)</f>
        <v>44669</v>
      </c>
      <c r="AR125" s="493">
        <f ca="1">IFERROR(__xludf.DUMMYFUNCTION("IFERROR(VLOOKUP(E185&amp;F185,IMPORTRANGE(""https://docs.google.com/spreadsheets/d/1Uw7-A9f9R21vMXxHZFNpYNeKFtG8_yji4HS352LGlSQ/edit?pli=1#gid=0"",""1_ACUM!A4:S""),19,FALSE))"),44851)</f>
        <v>44851</v>
      </c>
      <c r="AS125" s="493">
        <f ca="1">IFERROR(__xludf.DUMMYFUNCTION("IFERROR(VLOOKUP(F185,IMPORTRANGE(""https://docs.google.com/spreadsheets/d/1Kvs4KS76FHFqLFIZfrDMff4kP08nblUkihrxltoGBjg/edit#gid=934712705"",""ESENCIAL!A6:BG""),5,FALSE))"),45033)</f>
        <v>45033</v>
      </c>
      <c r="AT125" s="493">
        <f t="shared" ca="1" si="5"/>
        <v>45582</v>
      </c>
      <c r="AU125" s="491"/>
      <c r="AV125" s="491"/>
    </row>
    <row r="126" spans="1:48" ht="30">
      <c r="A126" s="491"/>
      <c r="B126" s="490" t="s">
        <v>474</v>
      </c>
      <c r="C126" s="490" t="s">
        <v>27</v>
      </c>
      <c r="D126" s="490">
        <v>1083864251</v>
      </c>
      <c r="E126" s="490">
        <v>2500267</v>
      </c>
      <c r="F126" s="491" t="str">
        <f ca="1">IFERROR(__xludf.DUMMYFUNCTION("IFERROR(VLOOKUP(F186,IMPORTRANGE(""https://docs.google.com/spreadsheets/d/1Kvs4KS76FHFqLFIZfrDMff4kP08nblUkihrxltoGBjg/edit#gid=934712705"",""ESENCIAL!A6:BG""),3,FALSE))"),"TÉCNICO")</f>
        <v>TÉCNICO</v>
      </c>
      <c r="G126" s="491" t="str">
        <f ca="1">IFERROR(__xludf.DUMMYFUNCTION("IFERROR(VLOOKUP(F186,IMPORTRANGE(""https://docs.google.com/spreadsheets/d/1Kvs4KS76FHFqLFIZfrDMff4kP08nblUkihrxltoGBjg/edit#gid=934712705"",""ESENCIAL!A6:BG""),8,FALSE))"),"DIBUJO ARQUITECTÓNICO")</f>
        <v>DIBUJO ARQUITECTÓNICO</v>
      </c>
      <c r="H126" s="490"/>
      <c r="I126" s="490"/>
      <c r="J126" s="490"/>
      <c r="K126" s="495" t="s">
        <v>44</v>
      </c>
      <c r="L126" s="495"/>
      <c r="M126" s="495"/>
      <c r="N126" s="495"/>
      <c r="O126" s="495"/>
      <c r="P126" s="495"/>
      <c r="Q126" s="496"/>
      <c r="R126" s="499"/>
      <c r="S126" s="490" t="s">
        <v>459</v>
      </c>
      <c r="T126" s="497"/>
      <c r="U126" s="495"/>
      <c r="V126" s="495"/>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3">
        <f ca="1">IFERROR(__xludf.DUMMYFUNCTION("IFERROR(VLOOKUP(E186&amp;F186,IMPORTRANGE(""https://docs.google.com/spreadsheets/d/1Uw7-A9f9R21vMXxHZFNpYNeKFtG8_yji4HS352LGlSQ/edit?pli=1#gid=0"",""1_ACUM!A4:S""),18,FALSE))"),44669)</f>
        <v>44669</v>
      </c>
      <c r="AR126" s="493">
        <f ca="1">IFERROR(__xludf.DUMMYFUNCTION("IFERROR(VLOOKUP(E186&amp;F186,IMPORTRANGE(""https://docs.google.com/spreadsheets/d/1Uw7-A9f9R21vMXxHZFNpYNeKFtG8_yji4HS352LGlSQ/edit?pli=1#gid=0"",""1_ACUM!A4:S""),19,FALSE))"),44851)</f>
        <v>44851</v>
      </c>
      <c r="AS126" s="493">
        <f ca="1">IFERROR(__xludf.DUMMYFUNCTION("IFERROR(VLOOKUP(F186,IMPORTRANGE(""https://docs.google.com/spreadsheets/d/1Kvs4KS76FHFqLFIZfrDMff4kP08nblUkihrxltoGBjg/edit#gid=934712705"",""ESENCIAL!A6:BG""),5,FALSE))"),45033)</f>
        <v>45033</v>
      </c>
      <c r="AT126" s="493">
        <f t="shared" ca="1" si="5"/>
        <v>45582</v>
      </c>
      <c r="AU126" s="491"/>
      <c r="AV126" s="491"/>
    </row>
    <row r="127" spans="1:48" ht="90">
      <c r="A127" s="491" t="s">
        <v>455</v>
      </c>
      <c r="B127" s="490" t="s">
        <v>475</v>
      </c>
      <c r="C127" s="490" t="s">
        <v>27</v>
      </c>
      <c r="D127" s="490">
        <v>1083864269</v>
      </c>
      <c r="E127" s="490">
        <v>2500267</v>
      </c>
      <c r="F127" s="491" t="str">
        <f ca="1">IFERROR(__xludf.DUMMYFUNCTION("IFERROR(VLOOKUP(F187,IMPORTRANGE(""https://docs.google.com/spreadsheets/d/1Kvs4KS76FHFqLFIZfrDMff4kP08nblUkihrxltoGBjg/edit#gid=934712705"",""ESENCIAL!A6:BG""),3,FALSE))"),"TÉCNICO")</f>
        <v>TÉCNICO</v>
      </c>
      <c r="G127" s="491" t="str">
        <f ca="1">IFERROR(__xludf.DUMMYFUNCTION("IFERROR(VLOOKUP(F187,IMPORTRANGE(""https://docs.google.com/spreadsheets/d/1Kvs4KS76FHFqLFIZfrDMff4kP08nblUkihrxltoGBjg/edit#gid=934712705"",""ESENCIAL!A6:BG""),8,FALSE))"),"DIBUJO ARQUITECTÓNICO")</f>
        <v>DIBUJO ARQUITECTÓNICO</v>
      </c>
      <c r="H127" s="490"/>
      <c r="I127" s="490"/>
      <c r="J127" s="490"/>
      <c r="K127" s="495" t="s">
        <v>457</v>
      </c>
      <c r="L127" s="495" t="s">
        <v>458</v>
      </c>
      <c r="M127" s="495" t="s">
        <v>229</v>
      </c>
      <c r="N127" s="495">
        <v>3002105865</v>
      </c>
      <c r="O127" s="495" t="s">
        <v>84</v>
      </c>
      <c r="P127" s="503" t="s">
        <v>230</v>
      </c>
      <c r="Q127" s="496">
        <v>44846</v>
      </c>
      <c r="R127" s="496">
        <v>45205</v>
      </c>
      <c r="S127" s="490" t="s">
        <v>459</v>
      </c>
      <c r="T127" s="497"/>
      <c r="U127" s="495"/>
      <c r="V127" s="495"/>
      <c r="W127" s="491"/>
      <c r="X127" s="491"/>
      <c r="Y127" s="491"/>
      <c r="Z127" s="491"/>
      <c r="AA127" s="491"/>
      <c r="AB127" s="491"/>
      <c r="AC127" s="491"/>
      <c r="AD127" s="491"/>
      <c r="AE127" s="491"/>
      <c r="AF127" s="491"/>
      <c r="AG127" s="491"/>
      <c r="AH127" s="491"/>
      <c r="AI127" s="491"/>
      <c r="AJ127" s="491"/>
      <c r="AK127" s="491"/>
      <c r="AL127" s="491"/>
      <c r="AM127" s="491"/>
      <c r="AN127" s="491"/>
      <c r="AO127" s="491"/>
      <c r="AP127" s="491" t="s">
        <v>455</v>
      </c>
      <c r="AQ127" s="493">
        <f ca="1">IFERROR(__xludf.DUMMYFUNCTION("IFERROR(VLOOKUP(E187&amp;F187,IMPORTRANGE(""https://docs.google.com/spreadsheets/d/1Uw7-A9f9R21vMXxHZFNpYNeKFtG8_yji4HS352LGlSQ/edit?pli=1#gid=0"",""1_ACUM!A4:S""),18,FALSE))"),44669)</f>
        <v>44669</v>
      </c>
      <c r="AR127" s="493">
        <f ca="1">IFERROR(__xludf.DUMMYFUNCTION("IFERROR(VLOOKUP(E187&amp;F187,IMPORTRANGE(""https://docs.google.com/spreadsheets/d/1Uw7-A9f9R21vMXxHZFNpYNeKFtG8_yji4HS352LGlSQ/edit?pli=1#gid=0"",""1_ACUM!A4:S""),19,FALSE))"),44851)</f>
        <v>44851</v>
      </c>
      <c r="AS127" s="493">
        <f ca="1">IFERROR(__xludf.DUMMYFUNCTION("IFERROR(VLOOKUP(F187,IMPORTRANGE(""https://docs.google.com/spreadsheets/d/1Kvs4KS76FHFqLFIZfrDMff4kP08nblUkihrxltoGBjg/edit#gid=934712705"",""ESENCIAL!A6:BG""),5,FALSE))"),45033)</f>
        <v>45033</v>
      </c>
      <c r="AT127" s="493">
        <f t="shared" ca="1" si="5"/>
        <v>45582</v>
      </c>
      <c r="AU127" s="491"/>
      <c r="AV127" s="491"/>
    </row>
    <row r="128" spans="1:48" s="180" customFormat="1" ht="90">
      <c r="A128" s="491" t="s">
        <v>455</v>
      </c>
      <c r="B128" s="490" t="s">
        <v>476</v>
      </c>
      <c r="C128" s="490" t="s">
        <v>67</v>
      </c>
      <c r="D128" s="490">
        <v>1083870541</v>
      </c>
      <c r="E128" s="490">
        <v>2500267</v>
      </c>
      <c r="F128" s="491" t="str">
        <f ca="1">IFERROR(__xludf.DUMMYFUNCTION("IFERROR(VLOOKUP(F188,IMPORTRANGE(""https://docs.google.com/spreadsheets/d/1Kvs4KS76FHFqLFIZfrDMff4kP08nblUkihrxltoGBjg/edit#gid=934712705"",""ESENCIAL!A6:BG""),3,FALSE))"),"TÉCNICO")</f>
        <v>TÉCNICO</v>
      </c>
      <c r="G128" s="491" t="str">
        <f ca="1">IFERROR(__xludf.DUMMYFUNCTION("IFERROR(VLOOKUP(F188,IMPORTRANGE(""https://docs.google.com/spreadsheets/d/1Kvs4KS76FHFqLFIZfrDMff4kP08nblUkihrxltoGBjg/edit#gid=934712705"",""ESENCIAL!A6:BG""),8,FALSE))"),"DIBUJO ARQUITECTÓNICO")</f>
        <v>DIBUJO ARQUITECTÓNICO</v>
      </c>
      <c r="H128" s="490"/>
      <c r="I128" s="490"/>
      <c r="J128" s="490"/>
      <c r="K128" s="495" t="s">
        <v>457</v>
      </c>
      <c r="L128" s="495" t="s">
        <v>458</v>
      </c>
      <c r="M128" s="495" t="s">
        <v>229</v>
      </c>
      <c r="N128" s="495">
        <v>3002105865</v>
      </c>
      <c r="O128" s="495" t="s">
        <v>84</v>
      </c>
      <c r="P128" s="503" t="s">
        <v>230</v>
      </c>
      <c r="Q128" s="496">
        <v>44846</v>
      </c>
      <c r="R128" s="496">
        <v>45205</v>
      </c>
      <c r="S128" s="490" t="s">
        <v>459</v>
      </c>
      <c r="T128" s="497"/>
      <c r="U128" s="495"/>
      <c r="V128" s="495"/>
      <c r="W128" s="491"/>
      <c r="X128" s="491"/>
      <c r="Y128" s="491"/>
      <c r="Z128" s="491"/>
      <c r="AA128" s="491"/>
      <c r="AB128" s="491"/>
      <c r="AC128" s="491"/>
      <c r="AD128" s="491"/>
      <c r="AE128" s="491"/>
      <c r="AF128" s="491"/>
      <c r="AG128" s="491"/>
      <c r="AH128" s="491"/>
      <c r="AI128" s="491"/>
      <c r="AJ128" s="491"/>
      <c r="AK128" s="491"/>
      <c r="AL128" s="491"/>
      <c r="AM128" s="491"/>
      <c r="AN128" s="491"/>
      <c r="AO128" s="491"/>
      <c r="AP128" s="491" t="s">
        <v>455</v>
      </c>
      <c r="AQ128" s="493">
        <f ca="1">IFERROR(__xludf.DUMMYFUNCTION("IFERROR(VLOOKUP(E188&amp;F188,IMPORTRANGE(""https://docs.google.com/spreadsheets/d/1Uw7-A9f9R21vMXxHZFNpYNeKFtG8_yji4HS352LGlSQ/edit?pli=1#gid=0"",""1_ACUM!A4:S""),18,FALSE))"),44669)</f>
        <v>44669</v>
      </c>
      <c r="AR128" s="493">
        <f ca="1">IFERROR(__xludf.DUMMYFUNCTION("IFERROR(VLOOKUP(E188&amp;F188,IMPORTRANGE(""https://docs.google.com/spreadsheets/d/1Uw7-A9f9R21vMXxHZFNpYNeKFtG8_yji4HS352LGlSQ/edit?pli=1#gid=0"",""1_ACUM!A4:S""),19,FALSE))"),44851)</f>
        <v>44851</v>
      </c>
      <c r="AS128" s="493">
        <f ca="1">IFERROR(__xludf.DUMMYFUNCTION("IFERROR(VLOOKUP(F188,IMPORTRANGE(""https://docs.google.com/spreadsheets/d/1Kvs4KS76FHFqLFIZfrDMff4kP08nblUkihrxltoGBjg/edit#gid=934712705"",""ESENCIAL!A6:BG""),5,FALSE))"),45033)</f>
        <v>45033</v>
      </c>
      <c r="AT128" s="493">
        <f t="shared" ca="1" si="5"/>
        <v>45582</v>
      </c>
      <c r="AU128" s="491"/>
      <c r="AV128" s="491"/>
    </row>
    <row r="129" spans="1:48" ht="30">
      <c r="A129" s="491"/>
      <c r="B129" s="490" t="s">
        <v>477</v>
      </c>
      <c r="C129" s="490" t="s">
        <v>27</v>
      </c>
      <c r="D129" s="490">
        <v>1083887611</v>
      </c>
      <c r="E129" s="490">
        <v>2500267</v>
      </c>
      <c r="F129" s="491" t="str">
        <f ca="1">IFERROR(__xludf.DUMMYFUNCTION("IFERROR(VLOOKUP(F190,IMPORTRANGE(""https://docs.google.com/spreadsheets/d/1Kvs4KS76FHFqLFIZfrDMff4kP08nblUkihrxltoGBjg/edit#gid=934712705"",""ESENCIAL!A6:BG""),3,FALSE))"),"TÉCNICO")</f>
        <v>TÉCNICO</v>
      </c>
      <c r="G129" s="491" t="str">
        <f ca="1">IFERROR(__xludf.DUMMYFUNCTION("IFERROR(VLOOKUP(F190,IMPORTRANGE(""https://docs.google.com/spreadsheets/d/1Kvs4KS76FHFqLFIZfrDMff4kP08nblUkihrxltoGBjg/edit#gid=934712705"",""ESENCIAL!A6:BG""),8,FALSE))"),"DIBUJO ARQUITECTÓNICO")</f>
        <v>DIBUJO ARQUITECTÓNICO</v>
      </c>
      <c r="H129" s="490"/>
      <c r="I129" s="490"/>
      <c r="J129" s="490"/>
      <c r="K129" s="495" t="s">
        <v>44</v>
      </c>
      <c r="L129" s="495"/>
      <c r="M129" s="495"/>
      <c r="N129" s="495"/>
      <c r="O129" s="495"/>
      <c r="P129" s="495"/>
      <c r="Q129" s="496"/>
      <c r="R129" s="499"/>
      <c r="S129" s="490" t="s">
        <v>149</v>
      </c>
      <c r="T129" s="497"/>
      <c r="U129" s="495"/>
      <c r="V129" s="495"/>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3">
        <f ca="1">IFERROR(__xludf.DUMMYFUNCTION("IFERROR(VLOOKUP(E190&amp;F190,IMPORTRANGE(""https://docs.google.com/spreadsheets/d/1Uw7-A9f9R21vMXxHZFNpYNeKFtG8_yji4HS352LGlSQ/edit?pli=1#gid=0"",""1_ACUM!A4:S""),18,FALSE))"),44669)</f>
        <v>44669</v>
      </c>
      <c r="AR129" s="493">
        <f ca="1">IFERROR(__xludf.DUMMYFUNCTION("IFERROR(VLOOKUP(E190&amp;F190,IMPORTRANGE(""https://docs.google.com/spreadsheets/d/1Uw7-A9f9R21vMXxHZFNpYNeKFtG8_yji4HS352LGlSQ/edit?pli=1#gid=0"",""1_ACUM!A4:S""),19,FALSE))"),44851)</f>
        <v>44851</v>
      </c>
      <c r="AS129" s="493">
        <f ca="1">IFERROR(__xludf.DUMMYFUNCTION("IFERROR(VLOOKUP(F190,IMPORTRANGE(""https://docs.google.com/spreadsheets/d/1Kvs4KS76FHFqLFIZfrDMff4kP08nblUkihrxltoGBjg/edit#gid=934712705"",""ESENCIAL!A6:BG""),5,FALSE))"),45033)</f>
        <v>45033</v>
      </c>
      <c r="AT129" s="493">
        <f t="shared" ca="1" si="5"/>
        <v>45582</v>
      </c>
      <c r="AU129" s="491"/>
      <c r="AV129" s="491"/>
    </row>
    <row r="130" spans="1:48" ht="90">
      <c r="A130" s="491" t="s">
        <v>455</v>
      </c>
      <c r="B130" s="490" t="s">
        <v>478</v>
      </c>
      <c r="C130" s="490" t="s">
        <v>27</v>
      </c>
      <c r="D130" s="490">
        <v>1083897794</v>
      </c>
      <c r="E130" s="490">
        <v>2500267</v>
      </c>
      <c r="F130" s="491" t="str">
        <f ca="1">IFERROR(__xludf.DUMMYFUNCTION("IFERROR(VLOOKUP(F191,IMPORTRANGE(""https://docs.google.com/spreadsheets/d/1Kvs4KS76FHFqLFIZfrDMff4kP08nblUkihrxltoGBjg/edit#gid=934712705"",""ESENCIAL!A6:BG""),3,FALSE))"),"TÉCNICO")</f>
        <v>TÉCNICO</v>
      </c>
      <c r="G130" s="491" t="str">
        <f ca="1">IFERROR(__xludf.DUMMYFUNCTION("IFERROR(VLOOKUP(F191,IMPORTRANGE(""https://docs.google.com/spreadsheets/d/1Kvs4KS76FHFqLFIZfrDMff4kP08nblUkihrxltoGBjg/edit#gid=934712705"",""ESENCIAL!A6:BG""),8,FALSE))"),"DIBUJO ARQUITECTÓNICO")</f>
        <v>DIBUJO ARQUITECTÓNICO</v>
      </c>
      <c r="H130" s="490"/>
      <c r="I130" s="490"/>
      <c r="J130" s="490"/>
      <c r="K130" s="495" t="s">
        <v>457</v>
      </c>
      <c r="L130" s="495" t="s">
        <v>458</v>
      </c>
      <c r="M130" s="495" t="s">
        <v>229</v>
      </c>
      <c r="N130" s="495">
        <v>3002105865</v>
      </c>
      <c r="O130" s="495" t="s">
        <v>84</v>
      </c>
      <c r="P130" s="503" t="s">
        <v>230</v>
      </c>
      <c r="Q130" s="496">
        <v>44846</v>
      </c>
      <c r="R130" s="496">
        <v>45205</v>
      </c>
      <c r="S130" s="490" t="s">
        <v>459</v>
      </c>
      <c r="T130" s="497"/>
      <c r="U130" s="495"/>
      <c r="V130" s="495"/>
      <c r="W130" s="491"/>
      <c r="X130" s="491"/>
      <c r="Y130" s="491"/>
      <c r="Z130" s="491"/>
      <c r="AA130" s="491"/>
      <c r="AB130" s="491"/>
      <c r="AC130" s="491"/>
      <c r="AD130" s="491"/>
      <c r="AE130" s="491"/>
      <c r="AF130" s="491"/>
      <c r="AG130" s="491"/>
      <c r="AH130" s="491"/>
      <c r="AI130" s="491"/>
      <c r="AJ130" s="491"/>
      <c r="AK130" s="491"/>
      <c r="AL130" s="491"/>
      <c r="AM130" s="491"/>
      <c r="AN130" s="491"/>
      <c r="AO130" s="491"/>
      <c r="AP130" s="491" t="s">
        <v>455</v>
      </c>
      <c r="AQ130" s="493">
        <f ca="1">IFERROR(__xludf.DUMMYFUNCTION("IFERROR(VLOOKUP(E191&amp;F191,IMPORTRANGE(""https://docs.google.com/spreadsheets/d/1Uw7-A9f9R21vMXxHZFNpYNeKFtG8_yji4HS352LGlSQ/edit?pli=1#gid=0"",""1_ACUM!A4:S""),18,FALSE))"),44669)</f>
        <v>44669</v>
      </c>
      <c r="AR130" s="493">
        <f ca="1">IFERROR(__xludf.DUMMYFUNCTION("IFERROR(VLOOKUP(E191&amp;F191,IMPORTRANGE(""https://docs.google.com/spreadsheets/d/1Uw7-A9f9R21vMXxHZFNpYNeKFtG8_yji4HS352LGlSQ/edit?pli=1#gid=0"",""1_ACUM!A4:S""),19,FALSE))"),44851)</f>
        <v>44851</v>
      </c>
      <c r="AS130" s="493">
        <f ca="1">IFERROR(__xludf.DUMMYFUNCTION("IFERROR(VLOOKUP(F191,IMPORTRANGE(""https://docs.google.com/spreadsheets/d/1Kvs4KS76FHFqLFIZfrDMff4kP08nblUkihrxltoGBjg/edit#gid=934712705"",""ESENCIAL!A6:BG""),5,FALSE))"),45033)</f>
        <v>45033</v>
      </c>
      <c r="AT130" s="493">
        <f t="shared" ca="1" si="5"/>
        <v>45582</v>
      </c>
      <c r="AU130" s="491"/>
      <c r="AV130" s="491"/>
    </row>
    <row r="131" spans="1:48" ht="30">
      <c r="A131" s="491"/>
      <c r="B131" s="490" t="s">
        <v>479</v>
      </c>
      <c r="C131" s="490" t="s">
        <v>27</v>
      </c>
      <c r="D131" s="490">
        <v>1083925927</v>
      </c>
      <c r="E131" s="490">
        <v>2500267</v>
      </c>
      <c r="F131" s="491" t="str">
        <f ca="1">IFERROR(__xludf.DUMMYFUNCTION("IFERROR(VLOOKUP(F192,IMPORTRANGE(""https://docs.google.com/spreadsheets/d/1Kvs4KS76FHFqLFIZfrDMff4kP08nblUkihrxltoGBjg/edit#gid=934712705"",""ESENCIAL!A6:BG""),3,FALSE))"),"TÉCNICO")</f>
        <v>TÉCNICO</v>
      </c>
      <c r="G131" s="491" t="str">
        <f ca="1">IFERROR(__xludf.DUMMYFUNCTION("IFERROR(VLOOKUP(F192,IMPORTRANGE(""https://docs.google.com/spreadsheets/d/1Kvs4KS76FHFqLFIZfrDMff4kP08nblUkihrxltoGBjg/edit#gid=934712705"",""ESENCIAL!A6:BG""),8,FALSE))"),"DIBUJO ARQUITECTÓNICO")</f>
        <v>DIBUJO ARQUITECTÓNICO</v>
      </c>
      <c r="H131" s="490"/>
      <c r="I131" s="490"/>
      <c r="J131" s="490"/>
      <c r="K131" s="495" t="s">
        <v>44</v>
      </c>
      <c r="L131" s="495"/>
      <c r="M131" s="495"/>
      <c r="N131" s="495"/>
      <c r="O131" s="495"/>
      <c r="P131" s="495"/>
      <c r="Q131" s="496"/>
      <c r="R131" s="499"/>
      <c r="S131" s="490" t="s">
        <v>149</v>
      </c>
      <c r="T131" s="497"/>
      <c r="U131" s="495"/>
      <c r="V131" s="495"/>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3">
        <f ca="1">IFERROR(__xludf.DUMMYFUNCTION("IFERROR(VLOOKUP(E192&amp;F192,IMPORTRANGE(""https://docs.google.com/spreadsheets/d/1Uw7-A9f9R21vMXxHZFNpYNeKFtG8_yji4HS352LGlSQ/edit?pli=1#gid=0"",""1_ACUM!A4:S""),18,FALSE))"),44669)</f>
        <v>44669</v>
      </c>
      <c r="AR131" s="493">
        <f ca="1">IFERROR(__xludf.DUMMYFUNCTION("IFERROR(VLOOKUP(E192&amp;F192,IMPORTRANGE(""https://docs.google.com/spreadsheets/d/1Uw7-A9f9R21vMXxHZFNpYNeKFtG8_yji4HS352LGlSQ/edit?pli=1#gid=0"",""1_ACUM!A4:S""),19,FALSE))"),44851)</f>
        <v>44851</v>
      </c>
      <c r="AS131" s="493">
        <f ca="1">IFERROR(__xludf.DUMMYFUNCTION("IFERROR(VLOOKUP(F192,IMPORTRANGE(""https://docs.google.com/spreadsheets/d/1Kvs4KS76FHFqLFIZfrDMff4kP08nblUkihrxltoGBjg/edit#gid=934712705"",""ESENCIAL!A6:BG""),5,FALSE))"),45033)</f>
        <v>45033</v>
      </c>
      <c r="AT131" s="493">
        <f t="shared" ca="1" si="5"/>
        <v>45582</v>
      </c>
      <c r="AU131" s="491"/>
      <c r="AV131" s="491"/>
    </row>
    <row r="132" spans="1:48" ht="90">
      <c r="A132" s="491" t="s">
        <v>455</v>
      </c>
      <c r="B132" s="490" t="s">
        <v>480</v>
      </c>
      <c r="C132" s="490" t="s">
        <v>67</v>
      </c>
      <c r="D132" s="490">
        <v>1084251450</v>
      </c>
      <c r="E132" s="490">
        <v>2500267</v>
      </c>
      <c r="F132" s="491" t="str">
        <f ca="1">IFERROR(__xludf.DUMMYFUNCTION("IFERROR(VLOOKUP(F193,IMPORTRANGE(""https://docs.google.com/spreadsheets/d/1Kvs4KS76FHFqLFIZfrDMff4kP08nblUkihrxltoGBjg/edit#gid=934712705"",""ESENCIAL!A6:BG""),3,FALSE))"),"TÉCNICO")</f>
        <v>TÉCNICO</v>
      </c>
      <c r="G132" s="491" t="str">
        <f ca="1">IFERROR(__xludf.DUMMYFUNCTION("IFERROR(VLOOKUP(F193,IMPORTRANGE(""https://docs.google.com/spreadsheets/d/1Kvs4KS76FHFqLFIZfrDMff4kP08nblUkihrxltoGBjg/edit#gid=934712705"",""ESENCIAL!A6:BG""),8,FALSE))"),"DIBUJO ARQUITECTÓNICO")</f>
        <v>DIBUJO ARQUITECTÓNICO</v>
      </c>
      <c r="H132" s="490"/>
      <c r="I132" s="490"/>
      <c r="J132" s="490"/>
      <c r="K132" s="495" t="s">
        <v>457</v>
      </c>
      <c r="L132" s="495" t="s">
        <v>458</v>
      </c>
      <c r="M132" s="495" t="s">
        <v>229</v>
      </c>
      <c r="N132" s="495">
        <v>3002105865</v>
      </c>
      <c r="O132" s="495" t="s">
        <v>84</v>
      </c>
      <c r="P132" s="503" t="s">
        <v>230</v>
      </c>
      <c r="Q132" s="496">
        <v>44846</v>
      </c>
      <c r="R132" s="496">
        <v>45205</v>
      </c>
      <c r="S132" s="490" t="s">
        <v>459</v>
      </c>
      <c r="T132" s="497"/>
      <c r="U132" s="495"/>
      <c r="V132" s="495"/>
      <c r="W132" s="491"/>
      <c r="X132" s="491"/>
      <c r="Y132" s="491"/>
      <c r="Z132" s="491"/>
      <c r="AA132" s="491"/>
      <c r="AB132" s="491"/>
      <c r="AC132" s="491"/>
      <c r="AD132" s="491"/>
      <c r="AE132" s="491"/>
      <c r="AF132" s="491"/>
      <c r="AG132" s="491"/>
      <c r="AH132" s="491"/>
      <c r="AI132" s="491"/>
      <c r="AJ132" s="491"/>
      <c r="AK132" s="491"/>
      <c r="AL132" s="491"/>
      <c r="AM132" s="491"/>
      <c r="AN132" s="491"/>
      <c r="AO132" s="491"/>
      <c r="AP132" s="491" t="s">
        <v>455</v>
      </c>
      <c r="AQ132" s="493">
        <f ca="1">IFERROR(__xludf.DUMMYFUNCTION("IFERROR(VLOOKUP(E193&amp;F193,IMPORTRANGE(""https://docs.google.com/spreadsheets/d/1Uw7-A9f9R21vMXxHZFNpYNeKFtG8_yji4HS352LGlSQ/edit?pli=1#gid=0"",""1_ACUM!A4:S""),18,FALSE))"),44669)</f>
        <v>44669</v>
      </c>
      <c r="AR132" s="493">
        <f ca="1">IFERROR(__xludf.DUMMYFUNCTION("IFERROR(VLOOKUP(E193&amp;F193,IMPORTRANGE(""https://docs.google.com/spreadsheets/d/1Uw7-A9f9R21vMXxHZFNpYNeKFtG8_yji4HS352LGlSQ/edit?pli=1#gid=0"",""1_ACUM!A4:S""),19,FALSE))"),44851)</f>
        <v>44851</v>
      </c>
      <c r="AS132" s="493">
        <f ca="1">IFERROR(__xludf.DUMMYFUNCTION("IFERROR(VLOOKUP(F193,IMPORTRANGE(""https://docs.google.com/spreadsheets/d/1Kvs4KS76FHFqLFIZfrDMff4kP08nblUkihrxltoGBjg/edit#gid=934712705"",""ESENCIAL!A6:BG""),5,FALSE))"),45033)</f>
        <v>45033</v>
      </c>
      <c r="AT132" s="493">
        <f t="shared" ca="1" si="5"/>
        <v>45582</v>
      </c>
      <c r="AU132" s="491"/>
      <c r="AV132" s="491"/>
    </row>
    <row r="133" spans="1:48" ht="90">
      <c r="A133" s="491" t="s">
        <v>455</v>
      </c>
      <c r="B133" s="490" t="s">
        <v>481</v>
      </c>
      <c r="C133" s="490" t="s">
        <v>67</v>
      </c>
      <c r="D133" s="490">
        <v>1084330630</v>
      </c>
      <c r="E133" s="490">
        <v>2500267</v>
      </c>
      <c r="F133" s="491" t="str">
        <f ca="1">IFERROR(__xludf.DUMMYFUNCTION("IFERROR(VLOOKUP(F194,IMPORTRANGE(""https://docs.google.com/spreadsheets/d/1Kvs4KS76FHFqLFIZfrDMff4kP08nblUkihrxltoGBjg/edit#gid=934712705"",""ESENCIAL!A6:BG""),3,FALSE))"),"TÉCNICO")</f>
        <v>TÉCNICO</v>
      </c>
      <c r="G133" s="491" t="str">
        <f ca="1">IFERROR(__xludf.DUMMYFUNCTION("IFERROR(VLOOKUP(F194,IMPORTRANGE(""https://docs.google.com/spreadsheets/d/1Kvs4KS76FHFqLFIZfrDMff4kP08nblUkihrxltoGBjg/edit#gid=934712705"",""ESENCIAL!A6:BG""),8,FALSE))"),"DIBUJO ARQUITECTÓNICO")</f>
        <v>DIBUJO ARQUITECTÓNICO</v>
      </c>
      <c r="H133" s="490"/>
      <c r="I133" s="490"/>
      <c r="J133" s="490"/>
      <c r="K133" s="495" t="s">
        <v>457</v>
      </c>
      <c r="L133" s="495" t="s">
        <v>458</v>
      </c>
      <c r="M133" s="495" t="s">
        <v>229</v>
      </c>
      <c r="N133" s="495">
        <v>3002105865</v>
      </c>
      <c r="O133" s="495" t="s">
        <v>84</v>
      </c>
      <c r="P133" s="503" t="s">
        <v>230</v>
      </c>
      <c r="Q133" s="496">
        <v>44846</v>
      </c>
      <c r="R133" s="496">
        <v>45205</v>
      </c>
      <c r="S133" s="490" t="s">
        <v>459</v>
      </c>
      <c r="T133" s="497"/>
      <c r="U133" s="495"/>
      <c r="V133" s="495"/>
      <c r="W133" s="491"/>
      <c r="X133" s="491"/>
      <c r="Y133" s="491"/>
      <c r="Z133" s="491"/>
      <c r="AA133" s="491"/>
      <c r="AB133" s="491"/>
      <c r="AC133" s="491"/>
      <c r="AD133" s="491"/>
      <c r="AE133" s="491"/>
      <c r="AF133" s="491"/>
      <c r="AG133" s="491"/>
      <c r="AH133" s="491"/>
      <c r="AI133" s="491"/>
      <c r="AJ133" s="491"/>
      <c r="AK133" s="491"/>
      <c r="AL133" s="491"/>
      <c r="AM133" s="491"/>
      <c r="AN133" s="491"/>
      <c r="AO133" s="491"/>
      <c r="AP133" s="491" t="s">
        <v>455</v>
      </c>
      <c r="AQ133" s="493">
        <f ca="1">IFERROR(__xludf.DUMMYFUNCTION("IFERROR(VLOOKUP(E194&amp;F194,IMPORTRANGE(""https://docs.google.com/spreadsheets/d/1Uw7-A9f9R21vMXxHZFNpYNeKFtG8_yji4HS352LGlSQ/edit?pli=1#gid=0"",""1_ACUM!A4:S""),18,FALSE))"),44669)</f>
        <v>44669</v>
      </c>
      <c r="AR133" s="493">
        <f ca="1">IFERROR(__xludf.DUMMYFUNCTION("IFERROR(VLOOKUP(E194&amp;F194,IMPORTRANGE(""https://docs.google.com/spreadsheets/d/1Uw7-A9f9R21vMXxHZFNpYNeKFtG8_yji4HS352LGlSQ/edit?pli=1#gid=0"",""1_ACUM!A4:S""),19,FALSE))"),44851)</f>
        <v>44851</v>
      </c>
      <c r="AS133" s="493">
        <f ca="1">IFERROR(__xludf.DUMMYFUNCTION("IFERROR(VLOOKUP(F194,IMPORTRANGE(""https://docs.google.com/spreadsheets/d/1Kvs4KS76FHFqLFIZfrDMff4kP08nblUkihrxltoGBjg/edit#gid=934712705"",""ESENCIAL!A6:BG""),5,FALSE))"),45033)</f>
        <v>45033</v>
      </c>
      <c r="AT133" s="493">
        <f t="shared" ca="1" si="5"/>
        <v>45582</v>
      </c>
      <c r="AU133" s="491"/>
      <c r="AV133" s="491"/>
    </row>
    <row r="134" spans="1:48" ht="90">
      <c r="A134" s="491" t="s">
        <v>455</v>
      </c>
      <c r="B134" s="490" t="s">
        <v>482</v>
      </c>
      <c r="C134" s="490" t="s">
        <v>27</v>
      </c>
      <c r="D134" s="490">
        <v>1089478152</v>
      </c>
      <c r="E134" s="490">
        <v>2500267</v>
      </c>
      <c r="F134" s="491" t="str">
        <f ca="1">IFERROR(__xludf.DUMMYFUNCTION("IFERROR(VLOOKUP(F195,IMPORTRANGE(""https://docs.google.com/spreadsheets/d/1Kvs4KS76FHFqLFIZfrDMff4kP08nblUkihrxltoGBjg/edit#gid=934712705"",""ESENCIAL!A6:BG""),3,FALSE))"),"TÉCNICO")</f>
        <v>TÉCNICO</v>
      </c>
      <c r="G134" s="491" t="str">
        <f ca="1">IFERROR(__xludf.DUMMYFUNCTION("IFERROR(VLOOKUP(F195,IMPORTRANGE(""https://docs.google.com/spreadsheets/d/1Kvs4KS76FHFqLFIZfrDMff4kP08nblUkihrxltoGBjg/edit#gid=934712705"",""ESENCIAL!A6:BG""),8,FALSE))"),"DIBUJO ARQUITECTÓNICO")</f>
        <v>DIBUJO ARQUITECTÓNICO</v>
      </c>
      <c r="H134" s="490"/>
      <c r="I134" s="490"/>
      <c r="J134" s="490"/>
      <c r="K134" s="495" t="s">
        <v>457</v>
      </c>
      <c r="L134" s="495" t="s">
        <v>458</v>
      </c>
      <c r="M134" s="495" t="s">
        <v>229</v>
      </c>
      <c r="N134" s="495">
        <v>3002105865</v>
      </c>
      <c r="O134" s="495" t="s">
        <v>84</v>
      </c>
      <c r="P134" s="503" t="s">
        <v>230</v>
      </c>
      <c r="Q134" s="496">
        <v>44846</v>
      </c>
      <c r="R134" s="496">
        <v>45205</v>
      </c>
      <c r="S134" s="490" t="s">
        <v>459</v>
      </c>
      <c r="T134" s="497"/>
      <c r="U134" s="495"/>
      <c r="V134" s="495"/>
      <c r="W134" s="491"/>
      <c r="X134" s="491"/>
      <c r="Y134" s="491"/>
      <c r="Z134" s="491"/>
      <c r="AA134" s="491"/>
      <c r="AB134" s="491"/>
      <c r="AC134" s="491"/>
      <c r="AD134" s="491"/>
      <c r="AE134" s="491"/>
      <c r="AF134" s="491"/>
      <c r="AG134" s="491"/>
      <c r="AH134" s="491"/>
      <c r="AI134" s="491"/>
      <c r="AJ134" s="491"/>
      <c r="AK134" s="491"/>
      <c r="AL134" s="491"/>
      <c r="AM134" s="491"/>
      <c r="AN134" s="491"/>
      <c r="AO134" s="491"/>
      <c r="AP134" s="491" t="s">
        <v>455</v>
      </c>
      <c r="AQ134" s="493">
        <f ca="1">IFERROR(__xludf.DUMMYFUNCTION("IFERROR(VLOOKUP(E195&amp;F195,IMPORTRANGE(""https://docs.google.com/spreadsheets/d/1Uw7-A9f9R21vMXxHZFNpYNeKFtG8_yji4HS352LGlSQ/edit?pli=1#gid=0"",""1_ACUM!A4:S""),18,FALSE))"),44669)</f>
        <v>44669</v>
      </c>
      <c r="AR134" s="493">
        <f ca="1">IFERROR(__xludf.DUMMYFUNCTION("IFERROR(VLOOKUP(E195&amp;F195,IMPORTRANGE(""https://docs.google.com/spreadsheets/d/1Uw7-A9f9R21vMXxHZFNpYNeKFtG8_yji4HS352LGlSQ/edit?pli=1#gid=0"",""1_ACUM!A4:S""),19,FALSE))"),44851)</f>
        <v>44851</v>
      </c>
      <c r="AS134" s="493">
        <f ca="1">IFERROR(__xludf.DUMMYFUNCTION("IFERROR(VLOOKUP(F195,IMPORTRANGE(""https://docs.google.com/spreadsheets/d/1Kvs4KS76FHFqLFIZfrDMff4kP08nblUkihrxltoGBjg/edit#gid=934712705"",""ESENCIAL!A6:BG""),5,FALSE))"),45033)</f>
        <v>45033</v>
      </c>
      <c r="AT134" s="493">
        <f t="shared" ca="1" si="5"/>
        <v>45582</v>
      </c>
      <c r="AU134" s="491"/>
      <c r="AV134" s="491"/>
    </row>
    <row r="135" spans="1:48" ht="30">
      <c r="A135" s="491"/>
      <c r="B135" s="490" t="s">
        <v>483</v>
      </c>
      <c r="C135" s="490" t="s">
        <v>67</v>
      </c>
      <c r="D135" s="490">
        <v>1099342287</v>
      </c>
      <c r="E135" s="490">
        <v>2500267</v>
      </c>
      <c r="F135" s="491" t="str">
        <f ca="1">IFERROR(__xludf.DUMMYFUNCTION("IFERROR(VLOOKUP(F196,IMPORTRANGE(""https://docs.google.com/spreadsheets/d/1Kvs4KS76FHFqLFIZfrDMff4kP08nblUkihrxltoGBjg/edit#gid=934712705"",""ESENCIAL!A6:BG""),3,FALSE))"),"TÉCNICO")</f>
        <v>TÉCNICO</v>
      </c>
      <c r="G135" s="491" t="str">
        <f ca="1">IFERROR(__xludf.DUMMYFUNCTION("IFERROR(VLOOKUP(F196,IMPORTRANGE(""https://docs.google.com/spreadsheets/d/1Kvs4KS76FHFqLFIZfrDMff4kP08nblUkihrxltoGBjg/edit#gid=934712705"",""ESENCIAL!A6:BG""),8,FALSE))"),"DIBUJO ARQUITECTÓNICO")</f>
        <v>DIBUJO ARQUITECTÓNICO</v>
      </c>
      <c r="H135" s="490"/>
      <c r="I135" s="490"/>
      <c r="J135" s="490"/>
      <c r="K135" s="495" t="s">
        <v>44</v>
      </c>
      <c r="L135" s="495"/>
      <c r="M135" s="495"/>
      <c r="N135" s="495"/>
      <c r="O135" s="495"/>
      <c r="P135" s="495"/>
      <c r="Q135" s="496"/>
      <c r="R135" s="499"/>
      <c r="S135" s="490" t="s">
        <v>159</v>
      </c>
      <c r="T135" s="497"/>
      <c r="U135" s="495"/>
      <c r="V135" s="495"/>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3">
        <f ca="1">IFERROR(__xludf.DUMMYFUNCTION("IFERROR(VLOOKUP(E196&amp;F196,IMPORTRANGE(""https://docs.google.com/spreadsheets/d/1Uw7-A9f9R21vMXxHZFNpYNeKFtG8_yji4HS352LGlSQ/edit?pli=1#gid=0"",""1_ACUM!A4:S""),18,FALSE))"),44669)</f>
        <v>44669</v>
      </c>
      <c r="AR135" s="493">
        <f ca="1">IFERROR(__xludf.DUMMYFUNCTION("IFERROR(VLOOKUP(E196&amp;F196,IMPORTRANGE(""https://docs.google.com/spreadsheets/d/1Uw7-A9f9R21vMXxHZFNpYNeKFtG8_yji4HS352LGlSQ/edit?pli=1#gid=0"",""1_ACUM!A4:S""),19,FALSE))"),44851)</f>
        <v>44851</v>
      </c>
      <c r="AS135" s="493">
        <f ca="1">IFERROR(__xludf.DUMMYFUNCTION("IFERROR(VLOOKUP(F196,IMPORTRANGE(""https://docs.google.com/spreadsheets/d/1Kvs4KS76FHFqLFIZfrDMff4kP08nblUkihrxltoGBjg/edit#gid=934712705"",""ESENCIAL!A6:BG""),5,FALSE))"),45033)</f>
        <v>45033</v>
      </c>
      <c r="AT135" s="493">
        <f t="shared" ca="1" si="5"/>
        <v>45582</v>
      </c>
      <c r="AU135" s="491"/>
      <c r="AV135" s="491"/>
    </row>
    <row r="136" spans="1:48" ht="90">
      <c r="A136" s="491" t="s">
        <v>455</v>
      </c>
      <c r="B136" s="490" t="s">
        <v>484</v>
      </c>
      <c r="C136" s="490" t="s">
        <v>27</v>
      </c>
      <c r="D136" s="490">
        <v>1193031688</v>
      </c>
      <c r="E136" s="490">
        <v>2500267</v>
      </c>
      <c r="F136" s="491" t="str">
        <f ca="1">IFERROR(__xludf.DUMMYFUNCTION("IFERROR(VLOOKUP(F197,IMPORTRANGE(""https://docs.google.com/spreadsheets/d/1Kvs4KS76FHFqLFIZfrDMff4kP08nblUkihrxltoGBjg/edit#gid=934712705"",""ESENCIAL!A6:BG""),3,FALSE))"),"TÉCNICO")</f>
        <v>TÉCNICO</v>
      </c>
      <c r="G136" s="491" t="str">
        <f ca="1">IFERROR(__xludf.DUMMYFUNCTION("IFERROR(VLOOKUP(F197,IMPORTRANGE(""https://docs.google.com/spreadsheets/d/1Kvs4KS76FHFqLFIZfrDMff4kP08nblUkihrxltoGBjg/edit#gid=934712705"",""ESENCIAL!A6:BG""),8,FALSE))"),"DIBUJO ARQUITECTÓNICO")</f>
        <v>DIBUJO ARQUITECTÓNICO</v>
      </c>
      <c r="H136" s="490"/>
      <c r="I136" s="490"/>
      <c r="J136" s="490"/>
      <c r="K136" s="495" t="s">
        <v>457</v>
      </c>
      <c r="L136" s="495" t="s">
        <v>458</v>
      </c>
      <c r="M136" s="495" t="s">
        <v>229</v>
      </c>
      <c r="N136" s="495">
        <v>3002105865</v>
      </c>
      <c r="O136" s="495" t="s">
        <v>84</v>
      </c>
      <c r="P136" s="503" t="s">
        <v>230</v>
      </c>
      <c r="Q136" s="496">
        <v>44846</v>
      </c>
      <c r="R136" s="496">
        <v>45205</v>
      </c>
      <c r="S136" s="490"/>
      <c r="T136" s="497"/>
      <c r="U136" s="495"/>
      <c r="V136" s="495"/>
      <c r="W136" s="491"/>
      <c r="X136" s="491"/>
      <c r="Y136" s="491"/>
      <c r="Z136" s="491"/>
      <c r="AA136" s="491"/>
      <c r="AB136" s="491"/>
      <c r="AC136" s="491"/>
      <c r="AD136" s="491"/>
      <c r="AE136" s="491"/>
      <c r="AF136" s="491"/>
      <c r="AG136" s="491"/>
      <c r="AH136" s="491"/>
      <c r="AI136" s="491"/>
      <c r="AJ136" s="491"/>
      <c r="AK136" s="491"/>
      <c r="AL136" s="491"/>
      <c r="AM136" s="491"/>
      <c r="AN136" s="491"/>
      <c r="AO136" s="491"/>
      <c r="AP136" s="491" t="s">
        <v>455</v>
      </c>
      <c r="AQ136" s="493">
        <f ca="1">IFERROR(__xludf.DUMMYFUNCTION("IFERROR(VLOOKUP(E197&amp;F197,IMPORTRANGE(""https://docs.google.com/spreadsheets/d/1Uw7-A9f9R21vMXxHZFNpYNeKFtG8_yji4HS352LGlSQ/edit?pli=1#gid=0"",""1_ACUM!A4:S""),18,FALSE))"),44669)</f>
        <v>44669</v>
      </c>
      <c r="AR136" s="493">
        <f ca="1">IFERROR(__xludf.DUMMYFUNCTION("IFERROR(VLOOKUP(E197&amp;F197,IMPORTRANGE(""https://docs.google.com/spreadsheets/d/1Uw7-A9f9R21vMXxHZFNpYNeKFtG8_yji4HS352LGlSQ/edit?pli=1#gid=0"",""1_ACUM!A4:S""),19,FALSE))"),44851)</f>
        <v>44851</v>
      </c>
      <c r="AS136" s="493">
        <f ca="1">IFERROR(__xludf.DUMMYFUNCTION("IFERROR(VLOOKUP(F197,IMPORTRANGE(""https://docs.google.com/spreadsheets/d/1Kvs4KS76FHFqLFIZfrDMff4kP08nblUkihrxltoGBjg/edit#gid=934712705"",""ESENCIAL!A6:BG""),5,FALSE))"),45033)</f>
        <v>45033</v>
      </c>
      <c r="AT136" s="493">
        <f t="shared" ca="1" si="5"/>
        <v>45582</v>
      </c>
      <c r="AU136" s="491"/>
      <c r="AV136" s="491"/>
    </row>
    <row r="137" spans="1:48" ht="90">
      <c r="A137" s="491"/>
      <c r="B137" s="490" t="s">
        <v>485</v>
      </c>
      <c r="C137" s="490" t="s">
        <v>27</v>
      </c>
      <c r="D137" s="490">
        <v>1193572095</v>
      </c>
      <c r="E137" s="490">
        <v>2500267</v>
      </c>
      <c r="F137" s="491" t="str">
        <f ca="1">IFERROR(__xludf.DUMMYFUNCTION("IFERROR(VLOOKUP(F198,IMPORTRANGE(""https://docs.google.com/spreadsheets/d/1Kvs4KS76FHFqLFIZfrDMff4kP08nblUkihrxltoGBjg/edit#gid=934712705"",""ESENCIAL!A6:BG""),3,FALSE))"),"TÉCNICO")</f>
        <v>TÉCNICO</v>
      </c>
      <c r="G137" s="491" t="str">
        <f ca="1">IFERROR(__xludf.DUMMYFUNCTION("IFERROR(VLOOKUP(F198,IMPORTRANGE(""https://docs.google.com/spreadsheets/d/1Kvs4KS76FHFqLFIZfrDMff4kP08nblUkihrxltoGBjg/edit#gid=934712705"",""ESENCIAL!A6:BG""),8,FALSE))"),"DIBUJO ARQUITECTÓNICO")</f>
        <v>DIBUJO ARQUITECTÓNICO</v>
      </c>
      <c r="H137" s="490"/>
      <c r="I137" s="490"/>
      <c r="J137" s="490"/>
      <c r="K137" s="495" t="s">
        <v>457</v>
      </c>
      <c r="L137" s="495" t="s">
        <v>458</v>
      </c>
      <c r="M137" s="495" t="s">
        <v>229</v>
      </c>
      <c r="N137" s="495">
        <v>3002105865</v>
      </c>
      <c r="O137" s="495" t="s">
        <v>84</v>
      </c>
      <c r="P137" s="503" t="s">
        <v>230</v>
      </c>
      <c r="Q137" s="496">
        <v>44846</v>
      </c>
      <c r="R137" s="496">
        <v>45205</v>
      </c>
      <c r="S137" s="490"/>
      <c r="T137" s="497"/>
      <c r="U137" s="495"/>
      <c r="V137" s="495"/>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3">
        <f ca="1">IFERROR(__xludf.DUMMYFUNCTION("IFERROR(VLOOKUP(E198&amp;F198,IMPORTRANGE(""https://docs.google.com/spreadsheets/d/1Uw7-A9f9R21vMXxHZFNpYNeKFtG8_yji4HS352LGlSQ/edit?pli=1#gid=0"",""1_ACUM!A4:S""),18,FALSE))"),44669)</f>
        <v>44669</v>
      </c>
      <c r="AR137" s="493">
        <f ca="1">IFERROR(__xludf.DUMMYFUNCTION("IFERROR(VLOOKUP(E198&amp;F198,IMPORTRANGE(""https://docs.google.com/spreadsheets/d/1Uw7-A9f9R21vMXxHZFNpYNeKFtG8_yji4HS352LGlSQ/edit?pli=1#gid=0"",""1_ACUM!A4:S""),19,FALSE))"),44851)</f>
        <v>44851</v>
      </c>
      <c r="AS137" s="493">
        <f ca="1">IFERROR(__xludf.DUMMYFUNCTION("IFERROR(VLOOKUP(F198,IMPORTRANGE(""https://docs.google.com/spreadsheets/d/1Kvs4KS76FHFqLFIZfrDMff4kP08nblUkihrxltoGBjg/edit#gid=934712705"",""ESENCIAL!A6:BG""),5,FALSE))"),45033)</f>
        <v>45033</v>
      </c>
      <c r="AT137" s="493">
        <f t="shared" ca="1" si="5"/>
        <v>45582</v>
      </c>
      <c r="AU137" s="491"/>
      <c r="AV137" s="491"/>
    </row>
    <row r="138" spans="1:48" ht="30">
      <c r="A138" s="491"/>
      <c r="B138" s="490" t="s">
        <v>486</v>
      </c>
      <c r="C138" s="490" t="s">
        <v>27</v>
      </c>
      <c r="D138" s="490">
        <v>36292791</v>
      </c>
      <c r="E138" s="490">
        <v>2500267</v>
      </c>
      <c r="F138" s="491" t="str">
        <f ca="1">IFERROR(__xludf.DUMMYFUNCTION("IFERROR(VLOOKUP(F199,IMPORTRANGE(""https://docs.google.com/spreadsheets/d/1Kvs4KS76FHFqLFIZfrDMff4kP08nblUkihrxltoGBjg/edit#gid=934712705"",""ESENCIAL!A6:BG""),3,FALSE))"),"TÉCNICO")</f>
        <v>TÉCNICO</v>
      </c>
      <c r="G138" s="491" t="str">
        <f ca="1">IFERROR(__xludf.DUMMYFUNCTION("IFERROR(VLOOKUP(F199,IMPORTRANGE(""https://docs.google.com/spreadsheets/d/1Kvs4KS76FHFqLFIZfrDMff4kP08nblUkihrxltoGBjg/edit#gid=934712705"",""ESENCIAL!A6:BG""),8,FALSE))"),"DIBUJO ARQUITECTÓNICO")</f>
        <v>DIBUJO ARQUITECTÓNICO</v>
      </c>
      <c r="H138" s="490"/>
      <c r="I138" s="490"/>
      <c r="J138" s="490"/>
      <c r="K138" s="495" t="s">
        <v>44</v>
      </c>
      <c r="L138" s="495"/>
      <c r="M138" s="495"/>
      <c r="N138" s="495"/>
      <c r="O138" s="495"/>
      <c r="P138" s="495"/>
      <c r="Q138" s="496"/>
      <c r="R138" s="499"/>
      <c r="S138" s="490" t="s">
        <v>149</v>
      </c>
      <c r="T138" s="497"/>
      <c r="U138" s="495"/>
      <c r="V138" s="495"/>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4"/>
    </row>
    <row r="139" spans="1:48" ht="32">
      <c r="A139" s="491"/>
      <c r="B139" s="490" t="s">
        <v>487</v>
      </c>
      <c r="C139" s="490" t="s">
        <v>27</v>
      </c>
      <c r="D139" s="490">
        <v>1014857478</v>
      </c>
      <c r="E139" s="490">
        <v>2383072</v>
      </c>
      <c r="F139" s="491" t="str">
        <f ca="1">IFERROR(__xludf.DUMMYFUNCTION("IFERROR(VLOOKUP(F200,IMPORTRANGE(""https://docs.google.com/spreadsheets/d/1Kvs4KS76FHFqLFIZfrDMff4kP08nblUkihrxltoGBjg/edit#gid=934712705"",""ESENCIAL!A6:BG""),3,FALSE))"),"OPERARIO")</f>
        <v>OPERARIO</v>
      </c>
      <c r="G139" s="491" t="str">
        <f ca="1">IFERROR(__xludf.DUMMYFUNCTION("IFERROR(VLOOKUP(F200,IMPORTRANGE(""https://docs.google.com/spreadsheets/d/1Kvs4KS76FHFqLFIZfrDMff4kP08nblUkihrxltoGBjg/edit#gid=934712705"",""ESENCIAL!A6:BG""),8,FALSE))"),"INSTALACIONES ELECTRICAS PARA VIVIENDAS")</f>
        <v>INSTALACIONES ELECTRICAS PARA VIVIENDAS</v>
      </c>
      <c r="H139" s="490"/>
      <c r="I139" s="490"/>
      <c r="J139" s="490"/>
      <c r="K139" s="495" t="s">
        <v>37</v>
      </c>
      <c r="L139" s="495"/>
      <c r="M139" s="495"/>
      <c r="N139" s="495"/>
      <c r="O139" s="495"/>
      <c r="P139" s="495"/>
      <c r="Q139" s="496"/>
      <c r="R139" s="499"/>
      <c r="S139" s="490" t="s">
        <v>488</v>
      </c>
      <c r="T139" s="497"/>
      <c r="U139" s="495"/>
      <c r="V139" s="495"/>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4"/>
    </row>
    <row r="140" spans="1:48" ht="32">
      <c r="A140" s="491"/>
      <c r="B140" s="490" t="s">
        <v>489</v>
      </c>
      <c r="C140" s="490" t="s">
        <v>27</v>
      </c>
      <c r="D140" s="490">
        <v>1083864152</v>
      </c>
      <c r="E140" s="490">
        <v>2383072</v>
      </c>
      <c r="F140" s="491" t="str">
        <f ca="1">IFERROR(__xludf.DUMMYFUNCTION("IFERROR(VLOOKUP(F201,IMPORTRANGE(""https://docs.google.com/spreadsheets/d/1Kvs4KS76FHFqLFIZfrDMff4kP08nblUkihrxltoGBjg/edit#gid=934712705"",""ESENCIAL!A6:BG""),3,FALSE))"),"OPERARIO")</f>
        <v>OPERARIO</v>
      </c>
      <c r="G140" s="491" t="str">
        <f ca="1">IFERROR(__xludf.DUMMYFUNCTION("IFERROR(VLOOKUP(F201,IMPORTRANGE(""https://docs.google.com/spreadsheets/d/1Kvs4KS76FHFqLFIZfrDMff4kP08nblUkihrxltoGBjg/edit#gid=934712705"",""ESENCIAL!A6:BG""),8,FALSE))"),"INSTALACIONES ELECTRICAS PARA VIVIENDAS")</f>
        <v>INSTALACIONES ELECTRICAS PARA VIVIENDAS</v>
      </c>
      <c r="H140" s="490"/>
      <c r="I140" s="490"/>
      <c r="J140" s="490"/>
      <c r="K140" s="495" t="s">
        <v>44</v>
      </c>
      <c r="L140" s="495"/>
      <c r="M140" s="495"/>
      <c r="N140" s="495"/>
      <c r="O140" s="495"/>
      <c r="P140" s="495"/>
      <c r="Q140" s="496"/>
      <c r="R140" s="499"/>
      <c r="S140" s="490"/>
      <c r="T140" s="497"/>
      <c r="U140" s="495"/>
      <c r="V140" s="495"/>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4"/>
    </row>
    <row r="141" spans="1:48" ht="32">
      <c r="A141" s="491"/>
      <c r="B141" s="490" t="s">
        <v>490</v>
      </c>
      <c r="C141" s="490" t="s">
        <v>27</v>
      </c>
      <c r="D141" s="490">
        <v>1083911398</v>
      </c>
      <c r="E141" s="490">
        <v>2383072</v>
      </c>
      <c r="F141" s="491" t="str">
        <f ca="1">IFERROR(__xludf.DUMMYFUNCTION("IFERROR(VLOOKUP(F202,IMPORTRANGE(""https://docs.google.com/spreadsheets/d/1Kvs4KS76FHFqLFIZfrDMff4kP08nblUkihrxltoGBjg/edit#gid=934712705"",""ESENCIAL!A6:BG""),3,FALSE))"),"OPERARIO")</f>
        <v>OPERARIO</v>
      </c>
      <c r="G141" s="491" t="str">
        <f ca="1">IFERROR(__xludf.DUMMYFUNCTION("IFERROR(VLOOKUP(F202,IMPORTRANGE(""https://docs.google.com/spreadsheets/d/1Kvs4KS76FHFqLFIZfrDMff4kP08nblUkihrxltoGBjg/edit#gid=934712705"",""ESENCIAL!A6:BG""),8,FALSE))"),"INSTALACIONES ELECTRICAS PARA VIVIENDAS")</f>
        <v>INSTALACIONES ELECTRICAS PARA VIVIENDAS</v>
      </c>
      <c r="H141" s="490"/>
      <c r="I141" s="490"/>
      <c r="J141" s="490"/>
      <c r="K141" s="495" t="s">
        <v>44</v>
      </c>
      <c r="L141" s="495"/>
      <c r="M141" s="495"/>
      <c r="N141" s="495"/>
      <c r="O141" s="495"/>
      <c r="P141" s="495"/>
      <c r="Q141" s="496"/>
      <c r="R141" s="499"/>
      <c r="S141" s="490"/>
      <c r="T141" s="497"/>
      <c r="U141" s="495"/>
      <c r="V141" s="495"/>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4"/>
    </row>
    <row r="142" spans="1:48" ht="32">
      <c r="A142" s="491"/>
      <c r="B142" s="490" t="s">
        <v>491</v>
      </c>
      <c r="C142" s="490" t="s">
        <v>27</v>
      </c>
      <c r="D142" s="490">
        <v>12170923</v>
      </c>
      <c r="E142" s="490">
        <v>2383072</v>
      </c>
      <c r="F142" s="491" t="str">
        <f ca="1">IFERROR(__xludf.DUMMYFUNCTION("IFERROR(VLOOKUP(F203,IMPORTRANGE(""https://docs.google.com/spreadsheets/d/1Kvs4KS76FHFqLFIZfrDMff4kP08nblUkihrxltoGBjg/edit#gid=934712705"",""ESENCIAL!A6:BG""),3,FALSE))"),"OPERARIO")</f>
        <v>OPERARIO</v>
      </c>
      <c r="G142" s="491" t="str">
        <f ca="1">IFERROR(__xludf.DUMMYFUNCTION("IFERROR(VLOOKUP(F203,IMPORTRANGE(""https://docs.google.com/spreadsheets/d/1Kvs4KS76FHFqLFIZfrDMff4kP08nblUkihrxltoGBjg/edit#gid=934712705"",""ESENCIAL!A6:BG""),8,FALSE))"),"INSTALACIONES ELECTRICAS PARA VIVIENDAS")</f>
        <v>INSTALACIONES ELECTRICAS PARA VIVIENDAS</v>
      </c>
      <c r="H142" s="490"/>
      <c r="I142" s="490"/>
      <c r="J142" s="490"/>
      <c r="K142" s="495" t="s">
        <v>44</v>
      </c>
      <c r="L142" s="495"/>
      <c r="M142" s="495"/>
      <c r="N142" s="495"/>
      <c r="O142" s="495"/>
      <c r="P142" s="495"/>
      <c r="Q142" s="496"/>
      <c r="R142" s="499"/>
      <c r="S142" s="490"/>
      <c r="T142" s="497"/>
      <c r="U142" s="495"/>
      <c r="V142" s="495"/>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4"/>
    </row>
    <row r="143" spans="1:48" ht="32">
      <c r="A143" s="491"/>
      <c r="B143" s="490" t="s">
        <v>492</v>
      </c>
      <c r="C143" s="490" t="s">
        <v>27</v>
      </c>
      <c r="D143" s="490">
        <v>12258730</v>
      </c>
      <c r="E143" s="490">
        <v>2383072</v>
      </c>
      <c r="F143" s="491" t="str">
        <f ca="1">IFERROR(__xludf.DUMMYFUNCTION("IFERROR(VLOOKUP(F204,IMPORTRANGE(""https://docs.google.com/spreadsheets/d/1Kvs4KS76FHFqLFIZfrDMff4kP08nblUkihrxltoGBjg/edit#gid=934712705"",""ESENCIAL!A6:BG""),3,FALSE))"),"OPERARIO")</f>
        <v>OPERARIO</v>
      </c>
      <c r="G143" s="491" t="str">
        <f ca="1">IFERROR(__xludf.DUMMYFUNCTION("IFERROR(VLOOKUP(F204,IMPORTRANGE(""https://docs.google.com/spreadsheets/d/1Kvs4KS76FHFqLFIZfrDMff4kP08nblUkihrxltoGBjg/edit#gid=934712705"",""ESENCIAL!A6:BG""),8,FALSE))"),"INSTALACIONES ELECTRICAS PARA VIVIENDAS")</f>
        <v>INSTALACIONES ELECTRICAS PARA VIVIENDAS</v>
      </c>
      <c r="H143" s="490"/>
      <c r="I143" s="490"/>
      <c r="J143" s="490"/>
      <c r="K143" s="495" t="s">
        <v>44</v>
      </c>
      <c r="L143" s="495"/>
      <c r="M143" s="495"/>
      <c r="N143" s="495"/>
      <c r="O143" s="495"/>
      <c r="P143" s="495"/>
      <c r="Q143" s="496"/>
      <c r="R143" s="499"/>
      <c r="S143" s="490"/>
      <c r="T143" s="497"/>
      <c r="U143" s="495"/>
      <c r="V143" s="495"/>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4"/>
    </row>
    <row r="144" spans="1:48" ht="32">
      <c r="A144" s="491"/>
      <c r="B144" s="490" t="s">
        <v>493</v>
      </c>
      <c r="C144" s="490" t="s">
        <v>27</v>
      </c>
      <c r="D144" s="490">
        <v>2957075</v>
      </c>
      <c r="E144" s="490">
        <v>2383072</v>
      </c>
      <c r="F144" s="491" t="str">
        <f ca="1">IFERROR(__xludf.DUMMYFUNCTION("IFERROR(VLOOKUP(F205,IMPORTRANGE(""https://docs.google.com/spreadsheets/d/1Kvs4KS76FHFqLFIZfrDMff4kP08nblUkihrxltoGBjg/edit#gid=934712705"",""ESENCIAL!A6:BG""),3,FALSE))"),"OPERARIO")</f>
        <v>OPERARIO</v>
      </c>
      <c r="G144" s="491" t="str">
        <f ca="1">IFERROR(__xludf.DUMMYFUNCTION("IFERROR(VLOOKUP(F205,IMPORTRANGE(""https://docs.google.com/spreadsheets/d/1Kvs4KS76FHFqLFIZfrDMff4kP08nblUkihrxltoGBjg/edit#gid=934712705"",""ESENCIAL!A6:BG""),8,FALSE))"),"INSTALACIONES ELECTRICAS PARA VIVIENDAS")</f>
        <v>INSTALACIONES ELECTRICAS PARA VIVIENDAS</v>
      </c>
      <c r="H144" s="490"/>
      <c r="I144" s="490"/>
      <c r="J144" s="490"/>
      <c r="K144" s="495" t="s">
        <v>44</v>
      </c>
      <c r="L144" s="495"/>
      <c r="M144" s="495"/>
      <c r="N144" s="495"/>
      <c r="O144" s="495"/>
      <c r="P144" s="495"/>
      <c r="Q144" s="496"/>
      <c r="R144" s="499"/>
      <c r="S144" s="490"/>
      <c r="T144" s="497"/>
      <c r="U144" s="495"/>
      <c r="V144" s="495"/>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4"/>
    </row>
    <row r="145" spans="1:48" ht="32">
      <c r="A145" s="491"/>
      <c r="B145" s="490" t="s">
        <v>494</v>
      </c>
      <c r="C145" s="490" t="s">
        <v>27</v>
      </c>
      <c r="D145" s="490">
        <v>4929237</v>
      </c>
      <c r="E145" s="490">
        <v>2383072</v>
      </c>
      <c r="F145" s="491" t="str">
        <f ca="1">IFERROR(__xludf.DUMMYFUNCTION("IFERROR(VLOOKUP(F206,IMPORTRANGE(""https://docs.google.com/spreadsheets/d/1Kvs4KS76FHFqLFIZfrDMff4kP08nblUkihrxltoGBjg/edit#gid=934712705"",""ESENCIAL!A6:BG""),3,FALSE))"),"OPERARIO")</f>
        <v>OPERARIO</v>
      </c>
      <c r="G145" s="491" t="str">
        <f ca="1">IFERROR(__xludf.DUMMYFUNCTION("IFERROR(VLOOKUP(F206,IMPORTRANGE(""https://docs.google.com/spreadsheets/d/1Kvs4KS76FHFqLFIZfrDMff4kP08nblUkihrxltoGBjg/edit#gid=934712705"",""ESENCIAL!A6:BG""),8,FALSE))"),"INSTALACIONES ELECTRICAS PARA VIVIENDAS")</f>
        <v>INSTALACIONES ELECTRICAS PARA VIVIENDAS</v>
      </c>
      <c r="H145" s="490"/>
      <c r="I145" s="490"/>
      <c r="J145" s="490"/>
      <c r="K145" s="495" t="s">
        <v>44</v>
      </c>
      <c r="L145" s="495"/>
      <c r="M145" s="495"/>
      <c r="N145" s="495"/>
      <c r="O145" s="495"/>
      <c r="P145" s="495"/>
      <c r="Q145" s="496"/>
      <c r="R145" s="499"/>
      <c r="S145" s="490"/>
      <c r="T145" s="497"/>
      <c r="U145" s="495"/>
      <c r="V145" s="495"/>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4"/>
    </row>
    <row r="146" spans="1:48" ht="32">
      <c r="A146" s="491"/>
      <c r="B146" s="490" t="s">
        <v>495</v>
      </c>
      <c r="C146" s="490" t="s">
        <v>27</v>
      </c>
      <c r="D146" s="490">
        <v>5820699</v>
      </c>
      <c r="E146" s="490">
        <v>2383072</v>
      </c>
      <c r="F146" s="491" t="str">
        <f ca="1">IFERROR(__xludf.DUMMYFUNCTION("IFERROR(VLOOKUP(F207,IMPORTRANGE(""https://docs.google.com/spreadsheets/d/1Kvs4KS76FHFqLFIZfrDMff4kP08nblUkihrxltoGBjg/edit#gid=934712705"",""ESENCIAL!A6:BG""),3,FALSE))"),"OPERARIO")</f>
        <v>OPERARIO</v>
      </c>
      <c r="G146" s="491" t="str">
        <f ca="1">IFERROR(__xludf.DUMMYFUNCTION("IFERROR(VLOOKUP(F207,IMPORTRANGE(""https://docs.google.com/spreadsheets/d/1Kvs4KS76FHFqLFIZfrDMff4kP08nblUkihrxltoGBjg/edit#gid=934712705"",""ESENCIAL!A6:BG""),8,FALSE))"),"INSTALACIONES ELECTRICAS PARA VIVIENDAS")</f>
        <v>INSTALACIONES ELECTRICAS PARA VIVIENDAS</v>
      </c>
      <c r="H146" s="490"/>
      <c r="I146" s="490"/>
      <c r="J146" s="490"/>
      <c r="K146" s="495" t="s">
        <v>44</v>
      </c>
      <c r="L146" s="495"/>
      <c r="M146" s="495"/>
      <c r="N146" s="495"/>
      <c r="O146" s="495"/>
      <c r="P146" s="495"/>
      <c r="Q146" s="496"/>
      <c r="R146" s="499"/>
      <c r="S146" s="490"/>
      <c r="T146" s="497"/>
      <c r="U146" s="495"/>
      <c r="V146" s="495"/>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4"/>
    </row>
    <row r="147" spans="1:48" ht="32">
      <c r="A147" s="491"/>
      <c r="B147" s="490" t="s">
        <v>496</v>
      </c>
      <c r="C147" s="490" t="s">
        <v>27</v>
      </c>
      <c r="D147" s="490">
        <v>7720226</v>
      </c>
      <c r="E147" s="490">
        <v>2383072</v>
      </c>
      <c r="F147" s="491" t="str">
        <f ca="1">IFERROR(__xludf.DUMMYFUNCTION("IFERROR(VLOOKUP(F208,IMPORTRANGE(""https://docs.google.com/spreadsheets/d/1Kvs4KS76FHFqLFIZfrDMff4kP08nblUkihrxltoGBjg/edit#gid=934712705"",""ESENCIAL!A6:BG""),3,FALSE))"),"OPERARIO")</f>
        <v>OPERARIO</v>
      </c>
      <c r="G147" s="491" t="str">
        <f ca="1">IFERROR(__xludf.DUMMYFUNCTION("IFERROR(VLOOKUP(F208,IMPORTRANGE(""https://docs.google.com/spreadsheets/d/1Kvs4KS76FHFqLFIZfrDMff4kP08nblUkihrxltoGBjg/edit#gid=934712705"",""ESENCIAL!A6:BG""),8,FALSE))"),"INSTALACIONES ELECTRICAS PARA VIVIENDAS")</f>
        <v>INSTALACIONES ELECTRICAS PARA VIVIENDAS</v>
      </c>
      <c r="H147" s="490"/>
      <c r="I147" s="490"/>
      <c r="J147" s="490"/>
      <c r="K147" s="495" t="s">
        <v>44</v>
      </c>
      <c r="L147" s="495"/>
      <c r="M147" s="495"/>
      <c r="N147" s="495"/>
      <c r="O147" s="495"/>
      <c r="P147" s="495"/>
      <c r="Q147" s="496"/>
      <c r="R147" s="499"/>
      <c r="S147" s="490"/>
      <c r="T147" s="497"/>
      <c r="U147" s="495"/>
      <c r="V147" s="495"/>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4"/>
    </row>
    <row r="148" spans="1:48" ht="32">
      <c r="A148" s="491"/>
      <c r="B148" s="490" t="s">
        <v>497</v>
      </c>
      <c r="C148" s="490" t="s">
        <v>27</v>
      </c>
      <c r="D148" s="490">
        <v>7723305</v>
      </c>
      <c r="E148" s="490">
        <v>2383072</v>
      </c>
      <c r="F148" s="491" t="str">
        <f ca="1">IFERROR(__xludf.DUMMYFUNCTION("IFERROR(VLOOKUP(F209,IMPORTRANGE(""https://docs.google.com/spreadsheets/d/1Kvs4KS76FHFqLFIZfrDMff4kP08nblUkihrxltoGBjg/edit#gid=934712705"",""ESENCIAL!A6:BG""),3,FALSE))"),"OPERARIO")</f>
        <v>OPERARIO</v>
      </c>
      <c r="G148" s="491" t="str">
        <f ca="1">IFERROR(__xludf.DUMMYFUNCTION("IFERROR(VLOOKUP(F209,IMPORTRANGE(""https://docs.google.com/spreadsheets/d/1Kvs4KS76FHFqLFIZfrDMff4kP08nblUkihrxltoGBjg/edit#gid=934712705"",""ESENCIAL!A6:BG""),8,FALSE))"),"INSTALACIONES ELECTRICAS PARA VIVIENDAS")</f>
        <v>INSTALACIONES ELECTRICAS PARA VIVIENDAS</v>
      </c>
      <c r="H148" s="490"/>
      <c r="I148" s="490"/>
      <c r="J148" s="490"/>
      <c r="K148" s="495" t="s">
        <v>44</v>
      </c>
      <c r="L148" s="495"/>
      <c r="M148" s="495"/>
      <c r="N148" s="495"/>
      <c r="O148" s="495"/>
      <c r="P148" s="495"/>
      <c r="Q148" s="496"/>
      <c r="R148" s="499"/>
      <c r="S148" s="490"/>
      <c r="T148" s="497"/>
      <c r="U148" s="495"/>
      <c r="V148" s="495"/>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4"/>
    </row>
    <row r="149" spans="1:48" ht="32">
      <c r="A149" s="491"/>
      <c r="B149" s="490" t="s">
        <v>498</v>
      </c>
      <c r="C149" s="490" t="s">
        <v>27</v>
      </c>
      <c r="D149" s="490">
        <v>83041379</v>
      </c>
      <c r="E149" s="490">
        <v>2383072</v>
      </c>
      <c r="F149" s="491" t="str">
        <f ca="1">IFERROR(__xludf.DUMMYFUNCTION("IFERROR(VLOOKUP(F210,IMPORTRANGE(""https://docs.google.com/spreadsheets/d/1Kvs4KS76FHFqLFIZfrDMff4kP08nblUkihrxltoGBjg/edit#gid=934712705"",""ESENCIAL!A6:BG""),3,FALSE))"),"OPERARIO")</f>
        <v>OPERARIO</v>
      </c>
      <c r="G149" s="491" t="str">
        <f ca="1">IFERROR(__xludf.DUMMYFUNCTION("IFERROR(VLOOKUP(F210,IMPORTRANGE(""https://docs.google.com/spreadsheets/d/1Kvs4KS76FHFqLFIZfrDMff4kP08nblUkihrxltoGBjg/edit#gid=934712705"",""ESENCIAL!A6:BG""),8,FALSE))"),"INSTALACIONES ELECTRICAS PARA VIVIENDAS")</f>
        <v>INSTALACIONES ELECTRICAS PARA VIVIENDAS</v>
      </c>
      <c r="H149" s="490"/>
      <c r="I149" s="490"/>
      <c r="J149" s="490"/>
      <c r="K149" s="495" t="s">
        <v>44</v>
      </c>
      <c r="L149" s="495"/>
      <c r="M149" s="495"/>
      <c r="N149" s="495"/>
      <c r="O149" s="495"/>
      <c r="P149" s="495"/>
      <c r="Q149" s="496"/>
      <c r="R149" s="499"/>
      <c r="S149" s="490"/>
      <c r="T149" s="497"/>
      <c r="U149" s="495"/>
      <c r="V149" s="495"/>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4"/>
    </row>
    <row r="150" spans="1:48" ht="32">
      <c r="A150" s="491"/>
      <c r="B150" s="490" t="s">
        <v>499</v>
      </c>
      <c r="C150" s="490" t="s">
        <v>27</v>
      </c>
      <c r="D150" s="490">
        <v>83041559</v>
      </c>
      <c r="E150" s="490">
        <v>2383072</v>
      </c>
      <c r="F150" s="491" t="str">
        <f ca="1">IFERROR(__xludf.DUMMYFUNCTION("IFERROR(VLOOKUP(F211,IMPORTRANGE(""https://docs.google.com/spreadsheets/d/1Kvs4KS76FHFqLFIZfrDMff4kP08nblUkihrxltoGBjg/edit#gid=934712705"",""ESENCIAL!A6:BG""),3,FALSE))"),"OPERARIO")</f>
        <v>OPERARIO</v>
      </c>
      <c r="G150" s="491" t="str">
        <f ca="1">IFERROR(__xludf.DUMMYFUNCTION("IFERROR(VLOOKUP(F211,IMPORTRANGE(""https://docs.google.com/spreadsheets/d/1Kvs4KS76FHFqLFIZfrDMff4kP08nblUkihrxltoGBjg/edit#gid=934712705"",""ESENCIAL!A6:BG""),8,FALSE))"),"INSTALACIONES ELECTRICAS PARA VIVIENDAS")</f>
        <v>INSTALACIONES ELECTRICAS PARA VIVIENDAS</v>
      </c>
      <c r="H150" s="490"/>
      <c r="I150" s="490"/>
      <c r="J150" s="490"/>
      <c r="K150" s="495" t="s">
        <v>44</v>
      </c>
      <c r="L150" s="495"/>
      <c r="M150" s="495"/>
      <c r="N150" s="495"/>
      <c r="O150" s="495"/>
      <c r="P150" s="495"/>
      <c r="Q150" s="496"/>
      <c r="R150" s="499"/>
      <c r="S150" s="490"/>
      <c r="T150" s="497"/>
      <c r="U150" s="495"/>
      <c r="V150" s="495"/>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4"/>
    </row>
    <row r="151" spans="1:48" ht="32">
      <c r="A151" s="491"/>
      <c r="B151" s="490" t="s">
        <v>500</v>
      </c>
      <c r="C151" s="490" t="s">
        <v>27</v>
      </c>
      <c r="D151" s="490">
        <v>83041720</v>
      </c>
      <c r="E151" s="490">
        <v>2383072</v>
      </c>
      <c r="F151" s="491" t="str">
        <f ca="1">IFERROR(__xludf.DUMMYFUNCTION("IFERROR(VLOOKUP(F212,IMPORTRANGE(""https://docs.google.com/spreadsheets/d/1Kvs4KS76FHFqLFIZfrDMff4kP08nblUkihrxltoGBjg/edit#gid=934712705"",""ESENCIAL!A6:BG""),3,FALSE))"),"OPERARIO")</f>
        <v>OPERARIO</v>
      </c>
      <c r="G151" s="491" t="str">
        <f ca="1">IFERROR(__xludf.DUMMYFUNCTION("IFERROR(VLOOKUP(F212,IMPORTRANGE(""https://docs.google.com/spreadsheets/d/1Kvs4KS76FHFqLFIZfrDMff4kP08nblUkihrxltoGBjg/edit#gid=934712705"",""ESENCIAL!A6:BG""),8,FALSE))"),"INSTALACIONES ELECTRICAS PARA VIVIENDAS")</f>
        <v>INSTALACIONES ELECTRICAS PARA VIVIENDAS</v>
      </c>
      <c r="H151" s="490"/>
      <c r="I151" s="490"/>
      <c r="J151" s="490"/>
      <c r="K151" s="495" t="s">
        <v>44</v>
      </c>
      <c r="L151" s="495"/>
      <c r="M151" s="495"/>
      <c r="N151" s="495"/>
      <c r="O151" s="495"/>
      <c r="P151" s="495"/>
      <c r="Q151" s="496"/>
      <c r="R151" s="499"/>
      <c r="S151" s="490"/>
      <c r="T151" s="497"/>
      <c r="U151" s="495"/>
      <c r="V151" s="495"/>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4"/>
    </row>
    <row r="152" spans="1:48" ht="32">
      <c r="A152" s="491"/>
      <c r="B152" s="490" t="s">
        <v>501</v>
      </c>
      <c r="C152" s="490" t="s">
        <v>27</v>
      </c>
      <c r="D152" s="490">
        <v>83041951</v>
      </c>
      <c r="E152" s="490">
        <v>2383072</v>
      </c>
      <c r="F152" s="491" t="str">
        <f ca="1">IFERROR(__xludf.DUMMYFUNCTION("IFERROR(VLOOKUP(F213,IMPORTRANGE(""https://docs.google.com/spreadsheets/d/1Kvs4KS76FHFqLFIZfrDMff4kP08nblUkihrxltoGBjg/edit#gid=934712705"",""ESENCIAL!A6:BG""),3,FALSE))"),"OPERARIO")</f>
        <v>OPERARIO</v>
      </c>
      <c r="G152" s="491" t="str">
        <f ca="1">IFERROR(__xludf.DUMMYFUNCTION("IFERROR(VLOOKUP(F213,IMPORTRANGE(""https://docs.google.com/spreadsheets/d/1Kvs4KS76FHFqLFIZfrDMff4kP08nblUkihrxltoGBjg/edit#gid=934712705"",""ESENCIAL!A6:BG""),8,FALSE))"),"INSTALACIONES ELECTRICAS PARA VIVIENDAS")</f>
        <v>INSTALACIONES ELECTRICAS PARA VIVIENDAS</v>
      </c>
      <c r="H152" s="490"/>
      <c r="I152" s="490"/>
      <c r="J152" s="490"/>
      <c r="K152" s="495" t="s">
        <v>44</v>
      </c>
      <c r="L152" s="495"/>
      <c r="M152" s="495"/>
      <c r="N152" s="495"/>
      <c r="O152" s="495"/>
      <c r="P152" s="495"/>
      <c r="Q152" s="496"/>
      <c r="R152" s="499"/>
      <c r="S152" s="490"/>
      <c r="T152" s="497"/>
      <c r="U152" s="495"/>
      <c r="V152" s="495"/>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4"/>
    </row>
    <row r="153" spans="1:48" ht="32">
      <c r="A153" s="491"/>
      <c r="B153" s="490" t="s">
        <v>502</v>
      </c>
      <c r="C153" s="490" t="s">
        <v>27</v>
      </c>
      <c r="D153" s="490">
        <v>83166558</v>
      </c>
      <c r="E153" s="490">
        <v>2383072</v>
      </c>
      <c r="F153" s="491" t="str">
        <f ca="1">IFERROR(__xludf.DUMMYFUNCTION("IFERROR(VLOOKUP(F214,IMPORTRANGE(""https://docs.google.com/spreadsheets/d/1Kvs4KS76FHFqLFIZfrDMff4kP08nblUkihrxltoGBjg/edit#gid=934712705"",""ESENCIAL!A6:BG""),3,FALSE))"),"OPERARIO")</f>
        <v>OPERARIO</v>
      </c>
      <c r="G153" s="491" t="str">
        <f ca="1">IFERROR(__xludf.DUMMYFUNCTION("IFERROR(VLOOKUP(F214,IMPORTRANGE(""https://docs.google.com/spreadsheets/d/1Kvs4KS76FHFqLFIZfrDMff4kP08nblUkihrxltoGBjg/edit#gid=934712705"",""ESENCIAL!A6:BG""),8,FALSE))"),"INSTALACIONES ELECTRICAS PARA VIVIENDAS")</f>
        <v>INSTALACIONES ELECTRICAS PARA VIVIENDAS</v>
      </c>
      <c r="H153" s="490"/>
      <c r="I153" s="490"/>
      <c r="J153" s="490"/>
      <c r="K153" s="495" t="s">
        <v>44</v>
      </c>
      <c r="L153" s="495"/>
      <c r="M153" s="495"/>
      <c r="N153" s="495"/>
      <c r="O153" s="495"/>
      <c r="P153" s="495"/>
      <c r="Q153" s="496"/>
      <c r="R153" s="499"/>
      <c r="S153" s="490"/>
      <c r="T153" s="497"/>
      <c r="U153" s="495"/>
      <c r="V153" s="495"/>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4"/>
    </row>
    <row r="154" spans="1:48" ht="32">
      <c r="A154" s="491"/>
      <c r="B154" s="490" t="s">
        <v>503</v>
      </c>
      <c r="C154" s="490" t="s">
        <v>27</v>
      </c>
      <c r="D154" s="490">
        <v>83232976</v>
      </c>
      <c r="E154" s="490">
        <v>2383072</v>
      </c>
      <c r="F154" s="491" t="str">
        <f ca="1">IFERROR(__xludf.DUMMYFUNCTION("IFERROR(VLOOKUP(F215,IMPORTRANGE(""https://docs.google.com/spreadsheets/d/1Kvs4KS76FHFqLFIZfrDMff4kP08nblUkihrxltoGBjg/edit#gid=934712705"",""ESENCIAL!A6:BG""),3,FALSE))"),"OPERARIO")</f>
        <v>OPERARIO</v>
      </c>
      <c r="G154" s="491" t="str">
        <f ca="1">IFERROR(__xludf.DUMMYFUNCTION("IFERROR(VLOOKUP(F215,IMPORTRANGE(""https://docs.google.com/spreadsheets/d/1Kvs4KS76FHFqLFIZfrDMff4kP08nblUkihrxltoGBjg/edit#gid=934712705"",""ESENCIAL!A6:BG""),8,FALSE))"),"INSTALACIONES ELECTRICAS PARA VIVIENDAS")</f>
        <v>INSTALACIONES ELECTRICAS PARA VIVIENDAS</v>
      </c>
      <c r="H154" s="490"/>
      <c r="I154" s="490"/>
      <c r="J154" s="490"/>
      <c r="K154" s="495" t="s">
        <v>44</v>
      </c>
      <c r="L154" s="495"/>
      <c r="M154" s="495"/>
      <c r="N154" s="495"/>
      <c r="O154" s="495"/>
      <c r="P154" s="495"/>
      <c r="Q154" s="496"/>
      <c r="R154" s="499"/>
      <c r="S154" s="490"/>
      <c r="T154" s="497"/>
      <c r="U154" s="495"/>
      <c r="V154" s="495"/>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4"/>
    </row>
    <row r="155" spans="1:48" ht="32">
      <c r="A155" s="491"/>
      <c r="B155" s="490" t="s">
        <v>504</v>
      </c>
      <c r="C155" s="490" t="s">
        <v>67</v>
      </c>
      <c r="D155" s="490">
        <v>1076500238</v>
      </c>
      <c r="E155" s="490">
        <v>2383072</v>
      </c>
      <c r="F155" s="491" t="str">
        <f ca="1">IFERROR(__xludf.DUMMYFUNCTION("IFERROR(VLOOKUP(F216,IMPORTRANGE(""https://docs.google.com/spreadsheets/d/1Kvs4KS76FHFqLFIZfrDMff4kP08nblUkihrxltoGBjg/edit#gid=934712705"",""ESENCIAL!A6:BG""),3,FALSE))"),"OPERARIO")</f>
        <v>OPERARIO</v>
      </c>
      <c r="G155" s="491" t="str">
        <f ca="1">IFERROR(__xludf.DUMMYFUNCTION("IFERROR(VLOOKUP(F216,IMPORTRANGE(""https://docs.google.com/spreadsheets/d/1Kvs4KS76FHFqLFIZfrDMff4kP08nblUkihrxltoGBjg/edit#gid=934712705"",""ESENCIAL!A6:BG""),8,FALSE))"),"INSTALACIONES ELECTRICAS PARA VIVIENDAS")</f>
        <v>INSTALACIONES ELECTRICAS PARA VIVIENDAS</v>
      </c>
      <c r="H155" s="490"/>
      <c r="I155" s="490"/>
      <c r="J155" s="490"/>
      <c r="K155" s="495" t="s">
        <v>44</v>
      </c>
      <c r="L155" s="495"/>
      <c r="M155" s="495"/>
      <c r="N155" s="495"/>
      <c r="O155" s="495"/>
      <c r="P155" s="495"/>
      <c r="Q155" s="496"/>
      <c r="R155" s="499"/>
      <c r="S155" s="490"/>
      <c r="T155" s="497"/>
      <c r="U155" s="495"/>
      <c r="V155" s="495"/>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4"/>
    </row>
    <row r="156" spans="1:48" ht="32">
      <c r="A156" s="491"/>
      <c r="B156" s="490" t="s">
        <v>505</v>
      </c>
      <c r="C156" s="490" t="s">
        <v>67</v>
      </c>
      <c r="D156" s="490">
        <v>1076500283</v>
      </c>
      <c r="E156" s="490">
        <v>2383072</v>
      </c>
      <c r="F156" s="491" t="str">
        <f ca="1">IFERROR(__xludf.DUMMYFUNCTION("IFERROR(VLOOKUP(F217,IMPORTRANGE(""https://docs.google.com/spreadsheets/d/1Kvs4KS76FHFqLFIZfrDMff4kP08nblUkihrxltoGBjg/edit#gid=934712705"",""ESENCIAL!A6:BG""),3,FALSE))"),"OPERARIO")</f>
        <v>OPERARIO</v>
      </c>
      <c r="G156" s="491" t="str">
        <f ca="1">IFERROR(__xludf.DUMMYFUNCTION("IFERROR(VLOOKUP(F217,IMPORTRANGE(""https://docs.google.com/spreadsheets/d/1Kvs4KS76FHFqLFIZfrDMff4kP08nblUkihrxltoGBjg/edit#gid=934712705"",""ESENCIAL!A6:BG""),8,FALSE))"),"INSTALACIONES ELECTRICAS PARA VIVIENDAS")</f>
        <v>INSTALACIONES ELECTRICAS PARA VIVIENDAS</v>
      </c>
      <c r="H156" s="490"/>
      <c r="I156" s="490"/>
      <c r="J156" s="490"/>
      <c r="K156" s="495" t="s">
        <v>44</v>
      </c>
      <c r="L156" s="495"/>
      <c r="M156" s="495"/>
      <c r="N156" s="495"/>
      <c r="O156" s="495"/>
      <c r="P156" s="495"/>
      <c r="Q156" s="496"/>
      <c r="R156" s="499"/>
      <c r="S156" s="490"/>
      <c r="T156" s="497"/>
      <c r="U156" s="495"/>
      <c r="V156" s="495"/>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4"/>
    </row>
    <row r="157" spans="1:48" ht="32">
      <c r="A157" s="491"/>
      <c r="B157" s="490" t="s">
        <v>506</v>
      </c>
      <c r="C157" s="490" t="s">
        <v>67</v>
      </c>
      <c r="D157" s="490">
        <v>1084331935</v>
      </c>
      <c r="E157" s="490">
        <v>2383072</v>
      </c>
      <c r="F157" s="491" t="str">
        <f ca="1">IFERROR(__xludf.DUMMYFUNCTION("IFERROR(VLOOKUP(F218,IMPORTRANGE(""https://docs.google.com/spreadsheets/d/1Kvs4KS76FHFqLFIZfrDMff4kP08nblUkihrxltoGBjg/edit#gid=934712705"",""ESENCIAL!A6:BG""),3,FALSE))"),"OPERARIO")</f>
        <v>OPERARIO</v>
      </c>
      <c r="G157" s="491" t="str">
        <f ca="1">IFERROR(__xludf.DUMMYFUNCTION("IFERROR(VLOOKUP(F218,IMPORTRANGE(""https://docs.google.com/spreadsheets/d/1Kvs4KS76FHFqLFIZfrDMff4kP08nblUkihrxltoGBjg/edit#gid=934712705"",""ESENCIAL!A6:BG""),8,FALSE))"),"INSTALACIONES ELECTRICAS PARA VIVIENDAS")</f>
        <v>INSTALACIONES ELECTRICAS PARA VIVIENDAS</v>
      </c>
      <c r="H157" s="490"/>
      <c r="I157" s="490"/>
      <c r="J157" s="490"/>
      <c r="K157" s="495" t="s">
        <v>44</v>
      </c>
      <c r="L157" s="495"/>
      <c r="M157" s="495"/>
      <c r="N157" s="495"/>
      <c r="O157" s="495"/>
      <c r="P157" s="495"/>
      <c r="Q157" s="496"/>
      <c r="R157" s="499"/>
      <c r="S157" s="490"/>
      <c r="T157" s="497"/>
      <c r="U157" s="495"/>
      <c r="V157" s="495"/>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4"/>
    </row>
    <row r="158" spans="1:48" ht="30">
      <c r="A158" s="491"/>
      <c r="B158" s="490" t="s">
        <v>507</v>
      </c>
      <c r="C158" s="490" t="s">
        <v>27</v>
      </c>
      <c r="D158" s="490">
        <v>1000862796</v>
      </c>
      <c r="E158" s="490">
        <v>2557397</v>
      </c>
      <c r="F158" s="491" t="s">
        <v>508</v>
      </c>
      <c r="G158" s="491" t="s">
        <v>509</v>
      </c>
      <c r="H158" s="490"/>
      <c r="I158" s="490"/>
      <c r="J158" s="490"/>
      <c r="K158" s="495" t="s">
        <v>44</v>
      </c>
      <c r="L158" s="495"/>
      <c r="M158" s="495"/>
      <c r="N158" s="495"/>
      <c r="O158" s="495"/>
      <c r="P158" s="495"/>
      <c r="Q158" s="496"/>
      <c r="R158" s="499"/>
      <c r="S158" s="490" t="s">
        <v>510</v>
      </c>
      <c r="T158" s="497"/>
      <c r="U158" s="495"/>
      <c r="V158" s="495"/>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4"/>
    </row>
    <row r="159" spans="1:48" ht="30">
      <c r="A159" s="491"/>
      <c r="B159" s="490" t="s">
        <v>511</v>
      </c>
      <c r="C159" s="490" t="s">
        <v>27</v>
      </c>
      <c r="D159" s="490">
        <v>1003950880</v>
      </c>
      <c r="E159" s="490">
        <v>2557397</v>
      </c>
      <c r="F159" s="491" t="s">
        <v>508</v>
      </c>
      <c r="G159" s="491" t="s">
        <v>509</v>
      </c>
      <c r="H159" s="490"/>
      <c r="I159" s="490"/>
      <c r="J159" s="490"/>
      <c r="K159" s="495" t="s">
        <v>44</v>
      </c>
      <c r="L159" s="495"/>
      <c r="M159" s="495"/>
      <c r="N159" s="495"/>
      <c r="O159" s="495"/>
      <c r="P159" s="495"/>
      <c r="Q159" s="496"/>
      <c r="R159" s="499"/>
      <c r="S159" s="490" t="s">
        <v>512</v>
      </c>
      <c r="T159" s="497"/>
      <c r="U159" s="495"/>
      <c r="V159" s="495"/>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4"/>
    </row>
    <row r="160" spans="1:48" ht="30">
      <c r="A160" s="491"/>
      <c r="B160" s="490" t="s">
        <v>513</v>
      </c>
      <c r="C160" s="490" t="s">
        <v>27</v>
      </c>
      <c r="D160" s="490">
        <v>1004083512</v>
      </c>
      <c r="E160" s="490">
        <v>2557397</v>
      </c>
      <c r="F160" s="491" t="s">
        <v>508</v>
      </c>
      <c r="G160" s="491" t="s">
        <v>509</v>
      </c>
      <c r="H160" s="490"/>
      <c r="I160" s="490"/>
      <c r="J160" s="490"/>
      <c r="K160" s="495" t="s">
        <v>44</v>
      </c>
      <c r="L160" s="495"/>
      <c r="M160" s="495"/>
      <c r="N160" s="495"/>
      <c r="O160" s="495"/>
      <c r="P160" s="495"/>
      <c r="Q160" s="496"/>
      <c r="R160" s="499"/>
      <c r="S160" s="490" t="s">
        <v>514</v>
      </c>
      <c r="T160" s="497"/>
      <c r="U160" s="495"/>
      <c r="V160" s="495"/>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4"/>
    </row>
    <row r="161" spans="1:48" ht="30">
      <c r="A161" s="491"/>
      <c r="B161" s="490" t="s">
        <v>515</v>
      </c>
      <c r="C161" s="490" t="s">
        <v>27</v>
      </c>
      <c r="D161" s="490">
        <v>1004441158</v>
      </c>
      <c r="E161" s="490">
        <v>2557397</v>
      </c>
      <c r="F161" s="491" t="s">
        <v>508</v>
      </c>
      <c r="G161" s="491" t="s">
        <v>509</v>
      </c>
      <c r="H161" s="490"/>
      <c r="I161" s="490"/>
      <c r="J161" s="490"/>
      <c r="K161" s="495" t="s">
        <v>44</v>
      </c>
      <c r="L161" s="495"/>
      <c r="M161" s="495"/>
      <c r="N161" s="495"/>
      <c r="O161" s="495"/>
      <c r="P161" s="495"/>
      <c r="Q161" s="496"/>
      <c r="R161" s="499"/>
      <c r="S161" s="490" t="s">
        <v>510</v>
      </c>
      <c r="T161" s="497"/>
      <c r="U161" s="495"/>
      <c r="V161" s="495"/>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4"/>
    </row>
    <row r="162" spans="1:48" ht="30">
      <c r="A162" s="491"/>
      <c r="B162" s="490" t="s">
        <v>516</v>
      </c>
      <c r="C162" s="490" t="s">
        <v>27</v>
      </c>
      <c r="D162" s="490">
        <v>1004735901</v>
      </c>
      <c r="E162" s="490">
        <v>2557397</v>
      </c>
      <c r="F162" s="491" t="s">
        <v>508</v>
      </c>
      <c r="G162" s="491" t="s">
        <v>509</v>
      </c>
      <c r="H162" s="490"/>
      <c r="I162" s="490"/>
      <c r="J162" s="490"/>
      <c r="K162" s="495" t="s">
        <v>44</v>
      </c>
      <c r="L162" s="495"/>
      <c r="M162" s="495"/>
      <c r="N162" s="495"/>
      <c r="O162" s="495"/>
      <c r="P162" s="495"/>
      <c r="Q162" s="496"/>
      <c r="R162" s="499"/>
      <c r="S162" s="490" t="s">
        <v>512</v>
      </c>
      <c r="T162" s="497"/>
      <c r="U162" s="495"/>
      <c r="V162" s="495"/>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4"/>
    </row>
    <row r="163" spans="1:48" ht="30">
      <c r="A163" s="491"/>
      <c r="B163" s="490" t="s">
        <v>517</v>
      </c>
      <c r="C163" s="490" t="s">
        <v>27</v>
      </c>
      <c r="D163" s="490">
        <v>1005718414</v>
      </c>
      <c r="E163" s="490">
        <v>2557397</v>
      </c>
      <c r="F163" s="491" t="s">
        <v>508</v>
      </c>
      <c r="G163" s="491" t="s">
        <v>509</v>
      </c>
      <c r="H163" s="490"/>
      <c r="I163" s="490"/>
      <c r="J163" s="490"/>
      <c r="K163" s="495" t="s">
        <v>44</v>
      </c>
      <c r="L163" s="495"/>
      <c r="M163" s="495"/>
      <c r="N163" s="495"/>
      <c r="O163" s="495"/>
      <c r="P163" s="495"/>
      <c r="Q163" s="496"/>
      <c r="R163" s="499"/>
      <c r="S163" s="490" t="s">
        <v>518</v>
      </c>
      <c r="T163" s="497"/>
      <c r="U163" s="495"/>
      <c r="V163" s="495"/>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4"/>
    </row>
    <row r="164" spans="1:48" ht="30">
      <c r="A164" s="491"/>
      <c r="B164" s="490" t="s">
        <v>519</v>
      </c>
      <c r="C164" s="490" t="s">
        <v>27</v>
      </c>
      <c r="D164" s="490">
        <v>1007163553</v>
      </c>
      <c r="E164" s="490">
        <v>2557397</v>
      </c>
      <c r="F164" s="491" t="s">
        <v>508</v>
      </c>
      <c r="G164" s="491" t="s">
        <v>509</v>
      </c>
      <c r="H164" s="490"/>
      <c r="I164" s="490"/>
      <c r="J164" s="490"/>
      <c r="K164" s="495" t="s">
        <v>44</v>
      </c>
      <c r="L164" s="495"/>
      <c r="M164" s="495"/>
      <c r="N164" s="495"/>
      <c r="O164" s="495"/>
      <c r="P164" s="495"/>
      <c r="Q164" s="496"/>
      <c r="R164" s="499"/>
      <c r="S164" s="490" t="s">
        <v>520</v>
      </c>
      <c r="T164" s="497"/>
      <c r="U164" s="495"/>
      <c r="V164" s="495"/>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4"/>
    </row>
    <row r="165" spans="1:48" ht="30">
      <c r="A165" s="491"/>
      <c r="B165" s="490" t="s">
        <v>521</v>
      </c>
      <c r="C165" s="490" t="s">
        <v>27</v>
      </c>
      <c r="D165" s="490">
        <v>1007431258</v>
      </c>
      <c r="E165" s="490">
        <v>2557397</v>
      </c>
      <c r="F165" s="491" t="s">
        <v>508</v>
      </c>
      <c r="G165" s="491" t="s">
        <v>509</v>
      </c>
      <c r="H165" s="490"/>
      <c r="I165" s="490"/>
      <c r="J165" s="490"/>
      <c r="K165" s="495" t="s">
        <v>44</v>
      </c>
      <c r="L165" s="495"/>
      <c r="M165" s="495"/>
      <c r="N165" s="495"/>
      <c r="O165" s="495"/>
      <c r="P165" s="495"/>
      <c r="Q165" s="496"/>
      <c r="R165" s="499"/>
      <c r="S165" s="490" t="s">
        <v>512</v>
      </c>
      <c r="T165" s="497"/>
      <c r="U165" s="495"/>
      <c r="V165" s="495"/>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4"/>
    </row>
    <row r="166" spans="1:48" ht="30">
      <c r="A166" s="491"/>
      <c r="B166" s="490" t="s">
        <v>522</v>
      </c>
      <c r="C166" s="490" t="s">
        <v>27</v>
      </c>
      <c r="D166" s="490">
        <v>1007562829</v>
      </c>
      <c r="E166" s="490">
        <v>2557397</v>
      </c>
      <c r="F166" s="491" t="s">
        <v>508</v>
      </c>
      <c r="G166" s="491" t="s">
        <v>509</v>
      </c>
      <c r="H166" s="490"/>
      <c r="I166" s="490"/>
      <c r="J166" s="490"/>
      <c r="K166" s="495" t="s">
        <v>44</v>
      </c>
      <c r="L166" s="495"/>
      <c r="M166" s="495"/>
      <c r="N166" s="495"/>
      <c r="O166" s="495"/>
      <c r="P166" s="495"/>
      <c r="Q166" s="496"/>
      <c r="R166" s="499"/>
      <c r="S166" s="490" t="s">
        <v>512</v>
      </c>
      <c r="T166" s="497"/>
      <c r="U166" s="495"/>
      <c r="V166" s="495"/>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4"/>
    </row>
    <row r="167" spans="1:48" ht="30">
      <c r="A167" s="491"/>
      <c r="B167" s="490" t="s">
        <v>523</v>
      </c>
      <c r="C167" s="490" t="s">
        <v>27</v>
      </c>
      <c r="D167" s="490">
        <v>1007562931</v>
      </c>
      <c r="E167" s="490">
        <v>2557397</v>
      </c>
      <c r="F167" s="491" t="s">
        <v>508</v>
      </c>
      <c r="G167" s="491" t="s">
        <v>509</v>
      </c>
      <c r="H167" s="490"/>
      <c r="I167" s="490"/>
      <c r="J167" s="490"/>
      <c r="K167" s="495" t="s">
        <v>44</v>
      </c>
      <c r="L167" s="495"/>
      <c r="M167" s="495"/>
      <c r="N167" s="495"/>
      <c r="O167" s="495"/>
      <c r="P167" s="495"/>
      <c r="Q167" s="496"/>
      <c r="R167" s="499"/>
      <c r="S167" s="490" t="s">
        <v>512</v>
      </c>
      <c r="T167" s="497"/>
      <c r="U167" s="495"/>
      <c r="V167" s="495"/>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4"/>
    </row>
    <row r="168" spans="1:48" ht="30">
      <c r="A168" s="491"/>
      <c r="B168" s="490" t="s">
        <v>524</v>
      </c>
      <c r="C168" s="490" t="s">
        <v>67</v>
      </c>
      <c r="D168" s="490">
        <v>1010057022</v>
      </c>
      <c r="E168" s="490">
        <v>2557397</v>
      </c>
      <c r="F168" s="491" t="s">
        <v>508</v>
      </c>
      <c r="G168" s="491" t="s">
        <v>509</v>
      </c>
      <c r="H168" s="490"/>
      <c r="I168" s="490"/>
      <c r="J168" s="490"/>
      <c r="K168" s="495" t="s">
        <v>44</v>
      </c>
      <c r="L168" s="495"/>
      <c r="M168" s="495"/>
      <c r="N168" s="495"/>
      <c r="O168" s="495"/>
      <c r="P168" s="495"/>
      <c r="Q168" s="496"/>
      <c r="R168" s="499"/>
      <c r="S168" s="490" t="s">
        <v>525</v>
      </c>
      <c r="T168" s="497"/>
      <c r="U168" s="495"/>
      <c r="V168" s="495"/>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4"/>
    </row>
    <row r="169" spans="1:48" ht="30">
      <c r="A169" s="491"/>
      <c r="B169" s="490" t="s">
        <v>526</v>
      </c>
      <c r="C169" s="490" t="s">
        <v>27</v>
      </c>
      <c r="D169" s="490">
        <v>1026306591</v>
      </c>
      <c r="E169" s="490">
        <v>2557397</v>
      </c>
      <c r="F169" s="491" t="s">
        <v>508</v>
      </c>
      <c r="G169" s="491" t="s">
        <v>509</v>
      </c>
      <c r="H169" s="490"/>
      <c r="I169" s="490"/>
      <c r="J169" s="490"/>
      <c r="K169" s="495" t="s">
        <v>44</v>
      </c>
      <c r="L169" s="495"/>
      <c r="M169" s="495"/>
      <c r="N169" s="495"/>
      <c r="O169" s="495"/>
      <c r="P169" s="495"/>
      <c r="Q169" s="496"/>
      <c r="R169" s="499"/>
      <c r="S169" s="490" t="s">
        <v>527</v>
      </c>
      <c r="T169" s="497"/>
      <c r="U169" s="495"/>
      <c r="V169" s="495"/>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4"/>
    </row>
    <row r="170" spans="1:48" ht="30">
      <c r="A170" s="491"/>
      <c r="B170" s="490" t="s">
        <v>528</v>
      </c>
      <c r="C170" s="490" t="s">
        <v>67</v>
      </c>
      <c r="D170" s="490">
        <v>1078246214</v>
      </c>
      <c r="E170" s="490">
        <v>2557397</v>
      </c>
      <c r="F170" s="491" t="s">
        <v>508</v>
      </c>
      <c r="G170" s="491" t="s">
        <v>509</v>
      </c>
      <c r="H170" s="490"/>
      <c r="I170" s="490"/>
      <c r="J170" s="490"/>
      <c r="K170" s="495" t="s">
        <v>44</v>
      </c>
      <c r="L170" s="495"/>
      <c r="M170" s="495"/>
      <c r="N170" s="495"/>
      <c r="O170" s="495"/>
      <c r="P170" s="495"/>
      <c r="Q170" s="496"/>
      <c r="R170" s="499"/>
      <c r="S170" s="490" t="s">
        <v>529</v>
      </c>
      <c r="T170" s="497"/>
      <c r="U170" s="495"/>
      <c r="V170" s="495"/>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4"/>
    </row>
    <row r="171" spans="1:48" ht="30">
      <c r="A171" s="491"/>
      <c r="B171" s="490" t="s">
        <v>530</v>
      </c>
      <c r="C171" s="490" t="s">
        <v>67</v>
      </c>
      <c r="D171" s="490">
        <v>1079534378</v>
      </c>
      <c r="E171" s="490">
        <v>2557397</v>
      </c>
      <c r="F171" s="491" t="s">
        <v>508</v>
      </c>
      <c r="G171" s="491" t="s">
        <v>509</v>
      </c>
      <c r="H171" s="490"/>
      <c r="I171" s="490"/>
      <c r="J171" s="490"/>
      <c r="K171" s="495" t="s">
        <v>44</v>
      </c>
      <c r="L171" s="495"/>
      <c r="M171" s="495"/>
      <c r="N171" s="495"/>
      <c r="O171" s="495"/>
      <c r="P171" s="495"/>
      <c r="Q171" s="496"/>
      <c r="R171" s="499"/>
      <c r="S171" s="490" t="s">
        <v>520</v>
      </c>
      <c r="T171" s="497"/>
      <c r="U171" s="495"/>
      <c r="V171" s="495"/>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4"/>
    </row>
    <row r="172" spans="1:48" ht="30">
      <c r="A172" s="491"/>
      <c r="B172" s="490" t="s">
        <v>531</v>
      </c>
      <c r="C172" s="490" t="s">
        <v>27</v>
      </c>
      <c r="D172" s="490">
        <v>1081699536</v>
      </c>
      <c r="E172" s="490">
        <v>2557397</v>
      </c>
      <c r="F172" s="491" t="s">
        <v>508</v>
      </c>
      <c r="G172" s="491" t="s">
        <v>509</v>
      </c>
      <c r="H172" s="490"/>
      <c r="I172" s="490"/>
      <c r="J172" s="490"/>
      <c r="K172" s="495" t="s">
        <v>44</v>
      </c>
      <c r="L172" s="495"/>
      <c r="M172" s="495"/>
      <c r="N172" s="495"/>
      <c r="O172" s="495"/>
      <c r="P172" s="495"/>
      <c r="Q172" s="496"/>
      <c r="R172" s="499"/>
      <c r="S172" s="490" t="s">
        <v>532</v>
      </c>
      <c r="T172" s="497"/>
      <c r="U172" s="495"/>
      <c r="V172" s="495"/>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4"/>
    </row>
    <row r="173" spans="1:48" ht="30">
      <c r="A173" s="491"/>
      <c r="B173" s="490" t="s">
        <v>533</v>
      </c>
      <c r="C173" s="490" t="s">
        <v>67</v>
      </c>
      <c r="D173" s="490">
        <v>1083868201</v>
      </c>
      <c r="E173" s="490">
        <v>2557397</v>
      </c>
      <c r="F173" s="491" t="s">
        <v>508</v>
      </c>
      <c r="G173" s="491" t="s">
        <v>509</v>
      </c>
      <c r="H173" s="490"/>
      <c r="I173" s="490"/>
      <c r="J173" s="490"/>
      <c r="K173" s="495" t="s">
        <v>44</v>
      </c>
      <c r="L173" s="495"/>
      <c r="M173" s="495"/>
      <c r="N173" s="495"/>
      <c r="O173" s="495"/>
      <c r="P173" s="495"/>
      <c r="Q173" s="496"/>
      <c r="R173" s="499"/>
      <c r="S173" s="490" t="s">
        <v>529</v>
      </c>
      <c r="T173" s="497"/>
      <c r="U173" s="495"/>
      <c r="V173" s="495"/>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4" t="str">
        <f ca="1">IFERROR(__xludf.DUMMYFUNCTION("IFERROR(VLOOKUP(F234,IMPORTRANGE(""https://docs.google.com/spreadsheets/d/1Kvs4KS76FHFqLFIZfrDMff4kP08nblUkihrxltoGBjg/edit#gid=934712705"",""ESENCIAL!A6:BG""),15,FALSE))"),"")</f>
        <v/>
      </c>
    </row>
    <row r="174" spans="1:48" ht="30">
      <c r="A174" s="491"/>
      <c r="B174" s="490" t="s">
        <v>534</v>
      </c>
      <c r="C174" s="490" t="s">
        <v>27</v>
      </c>
      <c r="D174" s="490">
        <v>1083894162</v>
      </c>
      <c r="E174" s="490">
        <v>2557397</v>
      </c>
      <c r="F174" s="491" t="s">
        <v>508</v>
      </c>
      <c r="G174" s="491" t="s">
        <v>509</v>
      </c>
      <c r="H174" s="490"/>
      <c r="I174" s="490"/>
      <c r="J174" s="490"/>
      <c r="K174" s="495" t="s">
        <v>44</v>
      </c>
      <c r="L174" s="495"/>
      <c r="M174" s="495"/>
      <c r="N174" s="495"/>
      <c r="O174" s="495"/>
      <c r="P174" s="495"/>
      <c r="Q174" s="496"/>
      <c r="R174" s="499"/>
      <c r="S174" s="490" t="s">
        <v>535</v>
      </c>
      <c r="T174" s="497"/>
      <c r="U174" s="495"/>
      <c r="V174" s="495"/>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4" t="str">
        <f ca="1">IFERROR(__xludf.DUMMYFUNCTION("IFERROR(VLOOKUP(F235,IMPORTRANGE(""https://docs.google.com/spreadsheets/d/1Kvs4KS76FHFqLFIZfrDMff4kP08nblUkihrxltoGBjg/edit#gid=934712705"",""ESENCIAL!A6:BG""),15,FALSE))"),"")</f>
        <v/>
      </c>
    </row>
    <row r="175" spans="1:48" ht="30">
      <c r="A175" s="491"/>
      <c r="B175" s="490" t="s">
        <v>536</v>
      </c>
      <c r="C175" s="490" t="s">
        <v>27</v>
      </c>
      <c r="D175" s="490">
        <v>1083919045</v>
      </c>
      <c r="E175" s="490">
        <v>2557397</v>
      </c>
      <c r="F175" s="491" t="s">
        <v>508</v>
      </c>
      <c r="G175" s="491" t="s">
        <v>509</v>
      </c>
      <c r="H175" s="490"/>
      <c r="I175" s="490"/>
      <c r="J175" s="490"/>
      <c r="K175" s="495" t="s">
        <v>44</v>
      </c>
      <c r="L175" s="495"/>
      <c r="M175" s="495"/>
      <c r="N175" s="495"/>
      <c r="O175" s="495"/>
      <c r="P175" s="495"/>
      <c r="Q175" s="496"/>
      <c r="R175" s="499"/>
      <c r="S175" s="490" t="s">
        <v>512</v>
      </c>
      <c r="T175" s="497"/>
      <c r="U175" s="495"/>
      <c r="V175" s="495"/>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4" t="str">
        <f ca="1">IFERROR(__xludf.DUMMYFUNCTION("IFERROR(VLOOKUP(F236,IMPORTRANGE(""https://docs.google.com/spreadsheets/d/1Kvs4KS76FHFqLFIZfrDMff4kP08nblUkihrxltoGBjg/edit#gid=934712705"",""ESENCIAL!A6:BG""),15,FALSE))"),"")</f>
        <v/>
      </c>
    </row>
    <row r="176" spans="1:48" ht="30">
      <c r="A176" s="491"/>
      <c r="B176" s="490" t="s">
        <v>537</v>
      </c>
      <c r="C176" s="490" t="s">
        <v>27</v>
      </c>
      <c r="D176" s="490">
        <v>1083929533</v>
      </c>
      <c r="E176" s="490">
        <v>2557397</v>
      </c>
      <c r="F176" s="491" t="s">
        <v>508</v>
      </c>
      <c r="G176" s="491" t="s">
        <v>509</v>
      </c>
      <c r="H176" s="490"/>
      <c r="I176" s="490"/>
      <c r="J176" s="490"/>
      <c r="K176" s="495" t="s">
        <v>44</v>
      </c>
      <c r="L176" s="495"/>
      <c r="M176" s="495"/>
      <c r="N176" s="495"/>
      <c r="O176" s="495"/>
      <c r="P176" s="495"/>
      <c r="Q176" s="496"/>
      <c r="R176" s="499"/>
      <c r="S176" s="490" t="s">
        <v>512</v>
      </c>
      <c r="T176" s="497"/>
      <c r="U176" s="495"/>
      <c r="V176" s="495"/>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4" t="str">
        <f ca="1">IFERROR(__xludf.DUMMYFUNCTION("IFERROR(VLOOKUP(F237,IMPORTRANGE(""https://docs.google.com/spreadsheets/d/1Kvs4KS76FHFqLFIZfrDMff4kP08nblUkihrxltoGBjg/edit#gid=934712705"",""ESENCIAL!A6:BG""),15,FALSE))"),"")</f>
        <v/>
      </c>
    </row>
    <row r="177" spans="1:48" ht="30">
      <c r="A177" s="491"/>
      <c r="B177" s="490" t="s">
        <v>538</v>
      </c>
      <c r="C177" s="490" t="s">
        <v>27</v>
      </c>
      <c r="D177" s="490">
        <v>1083930457</v>
      </c>
      <c r="E177" s="490">
        <v>2557397</v>
      </c>
      <c r="F177" s="491" t="s">
        <v>508</v>
      </c>
      <c r="G177" s="491" t="s">
        <v>509</v>
      </c>
      <c r="H177" s="490"/>
      <c r="I177" s="490"/>
      <c r="J177" s="490"/>
      <c r="K177" s="495" t="s">
        <v>44</v>
      </c>
      <c r="L177" s="495"/>
      <c r="M177" s="495"/>
      <c r="N177" s="495"/>
      <c r="O177" s="495"/>
      <c r="P177" s="495"/>
      <c r="Q177" s="496"/>
      <c r="R177" s="499"/>
      <c r="S177" s="490" t="s">
        <v>512</v>
      </c>
      <c r="T177" s="497"/>
      <c r="U177" s="495"/>
      <c r="V177" s="495"/>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4" t="str">
        <f ca="1">IFERROR(__xludf.DUMMYFUNCTION("IFERROR(VLOOKUP(F238,IMPORTRANGE(""https://docs.google.com/spreadsheets/d/1Kvs4KS76FHFqLFIZfrDMff4kP08nblUkihrxltoGBjg/edit#gid=934712705"",""ESENCIAL!A6:BG""),15,FALSE))"),"")</f>
        <v/>
      </c>
    </row>
    <row r="178" spans="1:48" ht="30">
      <c r="A178" s="491"/>
      <c r="B178" s="490" t="s">
        <v>539</v>
      </c>
      <c r="C178" s="490" t="s">
        <v>27</v>
      </c>
      <c r="D178" s="490">
        <v>1084898853</v>
      </c>
      <c r="E178" s="490">
        <v>2557397</v>
      </c>
      <c r="F178" s="491" t="s">
        <v>508</v>
      </c>
      <c r="G178" s="491" t="s">
        <v>509</v>
      </c>
      <c r="H178" s="490"/>
      <c r="I178" s="490"/>
      <c r="J178" s="490"/>
      <c r="K178" s="495" t="s">
        <v>44</v>
      </c>
      <c r="L178" s="495"/>
      <c r="M178" s="495"/>
      <c r="N178" s="495"/>
      <c r="O178" s="495"/>
      <c r="P178" s="495"/>
      <c r="Q178" s="496"/>
      <c r="R178" s="499"/>
      <c r="S178" s="490" t="s">
        <v>512</v>
      </c>
      <c r="T178" s="497"/>
      <c r="U178" s="495"/>
      <c r="V178" s="495"/>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4" t="str">
        <f ca="1">IFERROR(__xludf.DUMMYFUNCTION("IFERROR(VLOOKUP(F239,IMPORTRANGE(""https://docs.google.com/spreadsheets/d/1Kvs4KS76FHFqLFIZfrDMff4kP08nblUkihrxltoGBjg/edit#gid=934712705"",""ESENCIAL!A6:BG""),15,FALSE))"),"")</f>
        <v/>
      </c>
    </row>
    <row r="179" spans="1:48" ht="15">
      <c r="A179" s="5"/>
      <c r="E179" s="66"/>
      <c r="F179" s="5" t="str">
        <f ca="1">IFERROR(__xludf.DUMMYFUNCTION("IFERROR(VLOOKUP(F240,IMPORTRANGE(""https://docs.google.com/spreadsheets/d/1Kvs4KS76FHFqLFIZfrDMff4kP08nblUkihrxltoGBjg/edit#gid=934712705"",""ESENCIAL!A6:BG""),3,FALSE))"),"")</f>
        <v/>
      </c>
      <c r="G179" s="5" t="str">
        <f ca="1">IFERROR(__xludf.DUMMYFUNCTION("IFERROR(VLOOKUP(F240,IMPORTRANGE(""https://docs.google.com/spreadsheets/d/1Kvs4KS76FHFqLFIZfrDMff4kP08nblUkihrxltoGBjg/edit#gid=934712705"",""ESENCIAL!A6:BG""),8,FALSE))"),"")</f>
        <v/>
      </c>
      <c r="K179" s="287"/>
      <c r="S179" s="66"/>
      <c r="T179" s="66"/>
      <c r="U179" s="66"/>
      <c r="AT179" s="41" t="str">
        <f>IF(D179&gt;0,IF(AND(#REF!=1,#REF!=1),"Procede_E_P","NO_CUMPLE"),"")</f>
        <v/>
      </c>
      <c r="AU179" s="5"/>
      <c r="AV179" s="42" t="str">
        <f ca="1">IFERROR(__xludf.DUMMYFUNCTION("IFERROR(VLOOKUP(F240,IMPORTRANGE(""https://docs.google.com/spreadsheets/d/1Kvs4KS76FHFqLFIZfrDMff4kP08nblUkihrxltoGBjg/edit#gid=934712705"",""ESENCIAL!A6:BG""),15,FALSE))"),"")</f>
        <v/>
      </c>
    </row>
    <row r="180" spans="1:48" ht="15">
      <c r="A180" s="5"/>
      <c r="E180" s="66"/>
      <c r="F180" s="5" t="str">
        <f ca="1">IFERROR(__xludf.DUMMYFUNCTION("IFERROR(VLOOKUP(F241,IMPORTRANGE(""https://docs.google.com/spreadsheets/d/1Kvs4KS76FHFqLFIZfrDMff4kP08nblUkihrxltoGBjg/edit#gid=934712705"",""ESENCIAL!A6:BG""),3,FALSE))"),"")</f>
        <v/>
      </c>
      <c r="G180" s="5" t="str">
        <f ca="1">IFERROR(__xludf.DUMMYFUNCTION("IFERROR(VLOOKUP(F241,IMPORTRANGE(""https://docs.google.com/spreadsheets/d/1Kvs4KS76FHFqLFIZfrDMff4kP08nblUkihrxltoGBjg/edit#gid=934712705"",""ESENCIAL!A6:BG""),8,FALSE))"),"")</f>
        <v/>
      </c>
      <c r="K180" s="287"/>
      <c r="S180" s="66"/>
      <c r="T180" s="66"/>
      <c r="U180" s="66"/>
      <c r="AT180" s="41" t="str">
        <f>IF(D180&gt;0,IF(AND(#REF!=1,#REF!=1),"Procede_E_P","NO_CUMPLE"),"")</f>
        <v/>
      </c>
      <c r="AU180" s="5" t="str">
        <f ca="1">IFERROR(__xludf.DUMMYFUNCTION("IFERROR(VLOOKUP(E241&amp;F241,IMPORTRANGE(""https://docs.google.com/spreadsheets/d/1Uw7-A9f9R21vMXxHZFNpYNeKFtG8_yji4HS352LGlSQ/edit?pli=1#gid=0"",""1_ACUM!A4:S""),11,FALSE))"),"")</f>
        <v/>
      </c>
      <c r="AV180" s="42" t="str">
        <f ca="1">IFERROR(__xludf.DUMMYFUNCTION("IFERROR(VLOOKUP(F241,IMPORTRANGE(""https://docs.google.com/spreadsheets/d/1Kvs4KS76FHFqLFIZfrDMff4kP08nblUkihrxltoGBjg/edit#gid=934712705"",""ESENCIAL!A6:BG""),15,FALSE))"),"")</f>
        <v/>
      </c>
    </row>
    <row r="181" spans="1:48" ht="15">
      <c r="A181" s="5"/>
      <c r="E181" s="66"/>
      <c r="F181" s="5" t="str">
        <f ca="1">IFERROR(__xludf.DUMMYFUNCTION("IFERROR(VLOOKUP(F242,IMPORTRANGE(""https://docs.google.com/spreadsheets/d/1Kvs4KS76FHFqLFIZfrDMff4kP08nblUkihrxltoGBjg/edit#gid=934712705"",""ESENCIAL!A6:BG""),3,FALSE))"),"")</f>
        <v/>
      </c>
      <c r="G181" s="5" t="str">
        <f ca="1">IFERROR(__xludf.DUMMYFUNCTION("IFERROR(VLOOKUP(F242,IMPORTRANGE(""https://docs.google.com/spreadsheets/d/1Kvs4KS76FHFqLFIZfrDMff4kP08nblUkihrxltoGBjg/edit#gid=934712705"",""ESENCIAL!A6:BG""),8,FALSE))"),"")</f>
        <v/>
      </c>
      <c r="K181" s="287"/>
      <c r="S181" s="66"/>
      <c r="T181" s="66"/>
      <c r="U181" s="66"/>
      <c r="AT181" s="41" t="str">
        <f>IF(D181&gt;0,IF(AND(#REF!=1,#REF!=1),"Procede_E_P","NO_CUMPLE"),"")</f>
        <v/>
      </c>
      <c r="AU181" s="5" t="str">
        <f ca="1">IFERROR(__xludf.DUMMYFUNCTION("IFERROR(VLOOKUP(E242&amp;F242,IMPORTRANGE(""https://docs.google.com/spreadsheets/d/1Uw7-A9f9R21vMXxHZFNpYNeKFtG8_yji4HS352LGlSQ/edit?pli=1#gid=0"",""1_ACUM!A4:S""),11,FALSE))"),"")</f>
        <v/>
      </c>
      <c r="AV181" s="42" t="str">
        <f ca="1">IFERROR(__xludf.DUMMYFUNCTION("IFERROR(VLOOKUP(F242,IMPORTRANGE(""https://docs.google.com/spreadsheets/d/1Kvs4KS76FHFqLFIZfrDMff4kP08nblUkihrxltoGBjg/edit#gid=934712705"",""ESENCIAL!A6:BG""),15,FALSE))"),"")</f>
        <v/>
      </c>
    </row>
    <row r="182" spans="1:48" ht="15">
      <c r="A182" s="5"/>
      <c r="E182" s="66"/>
      <c r="F182" s="5" t="str">
        <f ca="1">IFERROR(__xludf.DUMMYFUNCTION("IFERROR(VLOOKUP(F243,IMPORTRANGE(""https://docs.google.com/spreadsheets/d/1Kvs4KS76FHFqLFIZfrDMff4kP08nblUkihrxltoGBjg/edit#gid=934712705"",""ESENCIAL!A6:BG""),3,FALSE))"),"")</f>
        <v/>
      </c>
      <c r="G182" s="5" t="str">
        <f ca="1">IFERROR(__xludf.DUMMYFUNCTION("IFERROR(VLOOKUP(F243,IMPORTRANGE(""https://docs.google.com/spreadsheets/d/1Kvs4KS76FHFqLFIZfrDMff4kP08nblUkihrxltoGBjg/edit#gid=934712705"",""ESENCIAL!A6:BG""),8,FALSE))"),"")</f>
        <v/>
      </c>
      <c r="K182" s="287"/>
      <c r="S182" s="66"/>
      <c r="T182" s="66"/>
      <c r="U182" s="66"/>
      <c r="AT182" s="41" t="str">
        <f>IF(D182&gt;0,IF(AND(#REF!=1,#REF!=1),"Procede_E_P","NO_CUMPLE"),"")</f>
        <v/>
      </c>
      <c r="AU182" s="5" t="str">
        <f ca="1">IFERROR(__xludf.DUMMYFUNCTION("IFERROR(VLOOKUP(E243&amp;F243,IMPORTRANGE(""https://docs.google.com/spreadsheets/d/1Uw7-A9f9R21vMXxHZFNpYNeKFtG8_yji4HS352LGlSQ/edit?pli=1#gid=0"",""1_ACUM!A4:S""),11,FALSE))"),"")</f>
        <v/>
      </c>
      <c r="AV182" s="42" t="str">
        <f ca="1">IFERROR(__xludf.DUMMYFUNCTION("IFERROR(VLOOKUP(F243,IMPORTRANGE(""https://docs.google.com/spreadsheets/d/1Kvs4KS76FHFqLFIZfrDMff4kP08nblUkihrxltoGBjg/edit#gid=934712705"",""ESENCIAL!A6:BG""),15,FALSE))"),"")</f>
        <v/>
      </c>
    </row>
    <row r="183" spans="1:48" ht="15">
      <c r="A183" s="5"/>
      <c r="E183" s="66"/>
      <c r="F183" s="5" t="str">
        <f ca="1">IFERROR(__xludf.DUMMYFUNCTION("IFERROR(VLOOKUP(F244,IMPORTRANGE(""https://docs.google.com/spreadsheets/d/1Kvs4KS76FHFqLFIZfrDMff4kP08nblUkihrxltoGBjg/edit#gid=934712705"",""ESENCIAL!A6:BG""),3,FALSE))"),"")</f>
        <v/>
      </c>
      <c r="G183" s="5" t="str">
        <f ca="1">IFERROR(__xludf.DUMMYFUNCTION("IFERROR(VLOOKUP(F244,IMPORTRANGE(""https://docs.google.com/spreadsheets/d/1Kvs4KS76FHFqLFIZfrDMff4kP08nblUkihrxltoGBjg/edit#gid=934712705"",""ESENCIAL!A6:BG""),8,FALSE))"),"")</f>
        <v/>
      </c>
      <c r="K183" s="287"/>
      <c r="S183" s="66"/>
      <c r="T183" s="66"/>
      <c r="U183" s="66"/>
      <c r="AT183" s="41" t="str">
        <f>IF(D183&gt;0,IF(AND(#REF!=1,#REF!=1),"Procede_E_P","NO_CUMPLE"),"")</f>
        <v/>
      </c>
      <c r="AU183" s="5" t="str">
        <f ca="1">IFERROR(__xludf.DUMMYFUNCTION("IFERROR(VLOOKUP(E244&amp;F244,IMPORTRANGE(""https://docs.google.com/spreadsheets/d/1Uw7-A9f9R21vMXxHZFNpYNeKFtG8_yji4HS352LGlSQ/edit?pli=1#gid=0"",""1_ACUM!A4:S""),11,FALSE))"),"")</f>
        <v/>
      </c>
      <c r="AV183" s="42" t="str">
        <f ca="1">IFERROR(__xludf.DUMMYFUNCTION("IFERROR(VLOOKUP(F244,IMPORTRANGE(""https://docs.google.com/spreadsheets/d/1Kvs4KS76FHFqLFIZfrDMff4kP08nblUkihrxltoGBjg/edit#gid=934712705"",""ESENCIAL!A6:BG""),15,FALSE))"),"")</f>
        <v/>
      </c>
    </row>
    <row r="184" spans="1:48" ht="15">
      <c r="A184" s="5"/>
      <c r="E184" s="66"/>
      <c r="F184" s="5" t="str">
        <f ca="1">IFERROR(__xludf.DUMMYFUNCTION("IFERROR(VLOOKUP(F245,IMPORTRANGE(""https://docs.google.com/spreadsheets/d/1Kvs4KS76FHFqLFIZfrDMff4kP08nblUkihrxltoGBjg/edit#gid=934712705"",""ESENCIAL!A6:BG""),3,FALSE))"),"")</f>
        <v/>
      </c>
      <c r="G184" s="5" t="str">
        <f ca="1">IFERROR(__xludf.DUMMYFUNCTION("IFERROR(VLOOKUP(F245,IMPORTRANGE(""https://docs.google.com/spreadsheets/d/1Kvs4KS76FHFqLFIZfrDMff4kP08nblUkihrxltoGBjg/edit#gid=934712705"",""ESENCIAL!A6:BG""),8,FALSE))"),"")</f>
        <v/>
      </c>
      <c r="K184" s="287"/>
      <c r="S184" s="66"/>
      <c r="T184" s="66"/>
      <c r="U184" s="66"/>
      <c r="AT184" s="41" t="str">
        <f>IF(D184&gt;0,IF(AND(#REF!=1,#REF!=1),"Procede_E_P","NO_CUMPLE"),"")</f>
        <v/>
      </c>
      <c r="AU184" s="5" t="str">
        <f ca="1">IFERROR(__xludf.DUMMYFUNCTION("IFERROR(VLOOKUP(E245&amp;F245,IMPORTRANGE(""https://docs.google.com/spreadsheets/d/1Uw7-A9f9R21vMXxHZFNpYNeKFtG8_yji4HS352LGlSQ/edit?pli=1#gid=0"",""1_ACUM!A4:S""),11,FALSE))"),"")</f>
        <v/>
      </c>
      <c r="AV184" s="42" t="str">
        <f ca="1">IFERROR(__xludf.DUMMYFUNCTION("IFERROR(VLOOKUP(F245,IMPORTRANGE(""https://docs.google.com/spreadsheets/d/1Kvs4KS76FHFqLFIZfrDMff4kP08nblUkihrxltoGBjg/edit#gid=934712705"",""ESENCIAL!A6:BG""),15,FALSE))"),"")</f>
        <v/>
      </c>
    </row>
    <row r="185" spans="1:48" ht="15">
      <c r="A185" s="5"/>
      <c r="E185" s="66"/>
      <c r="F185" s="5" t="str">
        <f ca="1">IFERROR(__xludf.DUMMYFUNCTION("IFERROR(VLOOKUP(F246,IMPORTRANGE(""https://docs.google.com/spreadsheets/d/1Kvs4KS76FHFqLFIZfrDMff4kP08nblUkihrxltoGBjg/edit#gid=934712705"",""ESENCIAL!A6:BG""),3,FALSE))"),"")</f>
        <v/>
      </c>
      <c r="G185" s="5" t="str">
        <f ca="1">IFERROR(__xludf.DUMMYFUNCTION("IFERROR(VLOOKUP(F246,IMPORTRANGE(""https://docs.google.com/spreadsheets/d/1Kvs4KS76FHFqLFIZfrDMff4kP08nblUkihrxltoGBjg/edit#gid=934712705"",""ESENCIAL!A6:BG""),8,FALSE))"),"")</f>
        <v/>
      </c>
      <c r="K185" s="287"/>
      <c r="S185" s="66"/>
      <c r="T185" s="66"/>
      <c r="U185" s="66"/>
      <c r="AT185" s="41" t="str">
        <f>IF(D185&gt;0,IF(AND(#REF!=1,#REF!=1),"Procede_E_P","NO_CUMPLE"),"")</f>
        <v/>
      </c>
      <c r="AU185" s="5" t="str">
        <f ca="1">IFERROR(__xludf.DUMMYFUNCTION("IFERROR(VLOOKUP(E246&amp;F246,IMPORTRANGE(""https://docs.google.com/spreadsheets/d/1Uw7-A9f9R21vMXxHZFNpYNeKFtG8_yji4HS352LGlSQ/edit?pli=1#gid=0"",""1_ACUM!A4:S""),11,FALSE))"),"")</f>
        <v/>
      </c>
      <c r="AV185" s="42" t="str">
        <f ca="1">IFERROR(__xludf.DUMMYFUNCTION("IFERROR(VLOOKUP(F246,IMPORTRANGE(""https://docs.google.com/spreadsheets/d/1Kvs4KS76FHFqLFIZfrDMff4kP08nblUkihrxltoGBjg/edit#gid=934712705"",""ESENCIAL!A6:BG""),15,FALSE))"),"")</f>
        <v/>
      </c>
    </row>
    <row r="186" spans="1:48" ht="15">
      <c r="A186" s="5"/>
      <c r="E186" s="66"/>
      <c r="F186" s="5" t="str">
        <f ca="1">IFERROR(__xludf.DUMMYFUNCTION("IFERROR(VLOOKUP(F247,IMPORTRANGE(""https://docs.google.com/spreadsheets/d/1Kvs4KS76FHFqLFIZfrDMff4kP08nblUkihrxltoGBjg/edit#gid=934712705"",""ESENCIAL!A6:BG""),3,FALSE))"),"")</f>
        <v/>
      </c>
      <c r="G186" s="5" t="str">
        <f ca="1">IFERROR(__xludf.DUMMYFUNCTION("IFERROR(VLOOKUP(F247,IMPORTRANGE(""https://docs.google.com/spreadsheets/d/1Kvs4KS76FHFqLFIZfrDMff4kP08nblUkihrxltoGBjg/edit#gid=934712705"",""ESENCIAL!A6:BG""),8,FALSE))"),"")</f>
        <v/>
      </c>
      <c r="K186" s="287"/>
      <c r="S186" s="66"/>
      <c r="T186" s="66"/>
      <c r="U186" s="66"/>
      <c r="AT186" s="41" t="str">
        <f>IF(D186&gt;0,IF(AND(#REF!=1,#REF!=1),"Procede_E_P","NO_CUMPLE"),"")</f>
        <v/>
      </c>
      <c r="AU186" s="5" t="str">
        <f ca="1">IFERROR(__xludf.DUMMYFUNCTION("IFERROR(VLOOKUP(E247&amp;F247,IMPORTRANGE(""https://docs.google.com/spreadsheets/d/1Uw7-A9f9R21vMXxHZFNpYNeKFtG8_yji4HS352LGlSQ/edit?pli=1#gid=0"",""1_ACUM!A4:S""),11,FALSE))"),"")</f>
        <v/>
      </c>
      <c r="AV186" s="42" t="str">
        <f ca="1">IFERROR(__xludf.DUMMYFUNCTION("IFERROR(VLOOKUP(F247,IMPORTRANGE(""https://docs.google.com/spreadsheets/d/1Kvs4KS76FHFqLFIZfrDMff4kP08nblUkihrxltoGBjg/edit#gid=934712705"",""ESENCIAL!A6:BG""),15,FALSE))"),"")</f>
        <v/>
      </c>
    </row>
    <row r="187" spans="1:48" ht="15">
      <c r="A187" s="5"/>
      <c r="E187" s="66"/>
      <c r="F187" s="5" t="str">
        <f ca="1">IFERROR(__xludf.DUMMYFUNCTION("IFERROR(VLOOKUP(F248,IMPORTRANGE(""https://docs.google.com/spreadsheets/d/1Kvs4KS76FHFqLFIZfrDMff4kP08nblUkihrxltoGBjg/edit#gid=934712705"",""ESENCIAL!A6:BG""),3,FALSE))"),"")</f>
        <v/>
      </c>
      <c r="G187" s="5" t="str">
        <f ca="1">IFERROR(__xludf.DUMMYFUNCTION("IFERROR(VLOOKUP(F248,IMPORTRANGE(""https://docs.google.com/spreadsheets/d/1Kvs4KS76FHFqLFIZfrDMff4kP08nblUkihrxltoGBjg/edit#gid=934712705"",""ESENCIAL!A6:BG""),8,FALSE))"),"")</f>
        <v/>
      </c>
      <c r="K187" s="287"/>
      <c r="S187" s="66"/>
      <c r="T187" s="66"/>
      <c r="U187" s="66"/>
      <c r="AT187" s="41" t="str">
        <f>IF(D187&gt;0,IF(AND(#REF!=1,#REF!=1),"Procede_E_P","NO_CUMPLE"),"")</f>
        <v/>
      </c>
      <c r="AU187" s="5" t="str">
        <f ca="1">IFERROR(__xludf.DUMMYFUNCTION("IFERROR(VLOOKUP(E248&amp;F248,IMPORTRANGE(""https://docs.google.com/spreadsheets/d/1Uw7-A9f9R21vMXxHZFNpYNeKFtG8_yji4HS352LGlSQ/edit?pli=1#gid=0"",""1_ACUM!A4:S""),11,FALSE))"),"")</f>
        <v/>
      </c>
      <c r="AV187" s="42" t="str">
        <f ca="1">IFERROR(__xludf.DUMMYFUNCTION("IFERROR(VLOOKUP(F248,IMPORTRANGE(""https://docs.google.com/spreadsheets/d/1Kvs4KS76FHFqLFIZfrDMff4kP08nblUkihrxltoGBjg/edit#gid=934712705"",""ESENCIAL!A6:BG""),15,FALSE))"),"")</f>
        <v/>
      </c>
    </row>
    <row r="188" spans="1:48" ht="15">
      <c r="A188" s="5"/>
      <c r="E188" s="66"/>
      <c r="F188" s="5" t="str">
        <f ca="1">IFERROR(__xludf.DUMMYFUNCTION("IFERROR(VLOOKUP(F249,IMPORTRANGE(""https://docs.google.com/spreadsheets/d/1Kvs4KS76FHFqLFIZfrDMff4kP08nblUkihrxltoGBjg/edit#gid=934712705"",""ESENCIAL!A6:BG""),3,FALSE))"),"")</f>
        <v/>
      </c>
      <c r="G188" s="5" t="str">
        <f ca="1">IFERROR(__xludf.DUMMYFUNCTION("IFERROR(VLOOKUP(F249,IMPORTRANGE(""https://docs.google.com/spreadsheets/d/1Kvs4KS76FHFqLFIZfrDMff4kP08nblUkihrxltoGBjg/edit#gid=934712705"",""ESENCIAL!A6:BG""),8,FALSE))"),"")</f>
        <v/>
      </c>
      <c r="K188" s="287"/>
      <c r="S188" s="66"/>
      <c r="T188" s="66"/>
      <c r="U188" s="66"/>
      <c r="AT188" s="41" t="str">
        <f>IF(D188&gt;0,IF(AND(#REF!=1,#REF!=1),"Procede_E_P","NO_CUMPLE"),"")</f>
        <v/>
      </c>
      <c r="AU188" s="5" t="str">
        <f ca="1">IFERROR(__xludf.DUMMYFUNCTION("IFERROR(VLOOKUP(E249&amp;F249,IMPORTRANGE(""https://docs.google.com/spreadsheets/d/1Uw7-A9f9R21vMXxHZFNpYNeKFtG8_yji4HS352LGlSQ/edit?pli=1#gid=0"",""1_ACUM!A4:S""),11,FALSE))"),"")</f>
        <v/>
      </c>
      <c r="AV188" s="42" t="str">
        <f ca="1">IFERROR(__xludf.DUMMYFUNCTION("IFERROR(VLOOKUP(F249,IMPORTRANGE(""https://docs.google.com/spreadsheets/d/1Kvs4KS76FHFqLFIZfrDMff4kP08nblUkihrxltoGBjg/edit#gid=934712705"",""ESENCIAL!A6:BG""),15,FALSE))"),"")</f>
        <v/>
      </c>
    </row>
    <row r="189" spans="1:48" ht="15">
      <c r="A189" s="5"/>
      <c r="E189" s="66"/>
      <c r="F189" s="5" t="str">
        <f ca="1">IFERROR(__xludf.DUMMYFUNCTION("IFERROR(VLOOKUP(F250,IMPORTRANGE(""https://docs.google.com/spreadsheets/d/1Kvs4KS76FHFqLFIZfrDMff4kP08nblUkihrxltoGBjg/edit#gid=934712705"",""ESENCIAL!A6:BG""),3,FALSE))"),"")</f>
        <v/>
      </c>
      <c r="G189" s="5" t="str">
        <f ca="1">IFERROR(__xludf.DUMMYFUNCTION("IFERROR(VLOOKUP(F250,IMPORTRANGE(""https://docs.google.com/spreadsheets/d/1Kvs4KS76FHFqLFIZfrDMff4kP08nblUkihrxltoGBjg/edit#gid=934712705"",""ESENCIAL!A6:BG""),8,FALSE))"),"")</f>
        <v/>
      </c>
      <c r="K189" s="287"/>
      <c r="S189" s="66"/>
      <c r="T189" s="66"/>
      <c r="U189" s="66"/>
      <c r="AT189" s="41" t="str">
        <f>IF(D189&gt;0,IF(AND(#REF!=1,#REF!=1),"Procede_E_P","NO_CUMPLE"),"")</f>
        <v/>
      </c>
      <c r="AU189" s="5" t="str">
        <f ca="1">IFERROR(__xludf.DUMMYFUNCTION("IFERROR(VLOOKUP(E250&amp;F250,IMPORTRANGE(""https://docs.google.com/spreadsheets/d/1Uw7-A9f9R21vMXxHZFNpYNeKFtG8_yji4HS352LGlSQ/edit?pli=1#gid=0"",""1_ACUM!A4:S""),11,FALSE))"),"")</f>
        <v/>
      </c>
      <c r="AV189" s="42" t="str">
        <f ca="1">IFERROR(__xludf.DUMMYFUNCTION("IFERROR(VLOOKUP(F250,IMPORTRANGE(""https://docs.google.com/spreadsheets/d/1Kvs4KS76FHFqLFIZfrDMff4kP08nblUkihrxltoGBjg/edit#gid=934712705"",""ESENCIAL!A6:BG""),15,FALSE))"),"")</f>
        <v/>
      </c>
    </row>
    <row r="190" spans="1:48" ht="15">
      <c r="A190" s="5"/>
      <c r="E190" s="66"/>
      <c r="F190" s="5" t="str">
        <f ca="1">IFERROR(__xludf.DUMMYFUNCTION("IFERROR(VLOOKUP(F251,IMPORTRANGE(""https://docs.google.com/spreadsheets/d/1Kvs4KS76FHFqLFIZfrDMff4kP08nblUkihrxltoGBjg/edit#gid=934712705"",""ESENCIAL!A6:BG""),3,FALSE))"),"")</f>
        <v/>
      </c>
      <c r="G190" s="5" t="str">
        <f ca="1">IFERROR(__xludf.DUMMYFUNCTION("IFERROR(VLOOKUP(F251,IMPORTRANGE(""https://docs.google.com/spreadsheets/d/1Kvs4KS76FHFqLFIZfrDMff4kP08nblUkihrxltoGBjg/edit#gid=934712705"",""ESENCIAL!A6:BG""),8,FALSE))"),"")</f>
        <v/>
      </c>
      <c r="K190" s="287"/>
      <c r="S190" s="66"/>
      <c r="T190" s="66"/>
      <c r="U190" s="66"/>
      <c r="AT190" s="41" t="str">
        <f>IF(D190&gt;0,IF(AND(#REF!=1,#REF!=1),"Procede_E_P","NO_CUMPLE"),"")</f>
        <v/>
      </c>
      <c r="AU190" s="5" t="str">
        <f ca="1">IFERROR(__xludf.DUMMYFUNCTION("IFERROR(VLOOKUP(E251&amp;F251,IMPORTRANGE(""https://docs.google.com/spreadsheets/d/1Uw7-A9f9R21vMXxHZFNpYNeKFtG8_yji4HS352LGlSQ/edit?pli=1#gid=0"",""1_ACUM!A4:S""),11,FALSE))"),"")</f>
        <v/>
      </c>
      <c r="AV190" s="42" t="str">
        <f ca="1">IFERROR(__xludf.DUMMYFUNCTION("IFERROR(VLOOKUP(F251,IMPORTRANGE(""https://docs.google.com/spreadsheets/d/1Kvs4KS76FHFqLFIZfrDMff4kP08nblUkihrxltoGBjg/edit#gid=934712705"",""ESENCIAL!A6:BG""),15,FALSE))"),"")</f>
        <v/>
      </c>
    </row>
    <row r="191" spans="1:48" ht="15">
      <c r="A191" s="5"/>
      <c r="E191" s="66"/>
      <c r="F191" s="5" t="str">
        <f ca="1">IFERROR(__xludf.DUMMYFUNCTION("IFERROR(VLOOKUP(F252,IMPORTRANGE(""https://docs.google.com/spreadsheets/d/1Kvs4KS76FHFqLFIZfrDMff4kP08nblUkihrxltoGBjg/edit#gid=934712705"",""ESENCIAL!A6:BG""),3,FALSE))"),"")</f>
        <v/>
      </c>
      <c r="G191" s="5" t="str">
        <f ca="1">IFERROR(__xludf.DUMMYFUNCTION("IFERROR(VLOOKUP(F252,IMPORTRANGE(""https://docs.google.com/spreadsheets/d/1Kvs4KS76FHFqLFIZfrDMff4kP08nblUkihrxltoGBjg/edit#gid=934712705"",""ESENCIAL!A6:BG""),8,FALSE))"),"")</f>
        <v/>
      </c>
      <c r="K191" s="287"/>
      <c r="S191" s="66"/>
      <c r="T191" s="66"/>
      <c r="U191" s="66"/>
      <c r="AT191" s="41" t="str">
        <f>IF(D191&gt;0,IF(AND(#REF!=1,#REF!=1),"Procede_E_P","NO_CUMPLE"),"")</f>
        <v/>
      </c>
      <c r="AU191" s="5" t="str">
        <f ca="1">IFERROR(__xludf.DUMMYFUNCTION("IFERROR(VLOOKUP(E252&amp;F252,IMPORTRANGE(""https://docs.google.com/spreadsheets/d/1Uw7-A9f9R21vMXxHZFNpYNeKFtG8_yji4HS352LGlSQ/edit?pli=1#gid=0"",""1_ACUM!A4:S""),11,FALSE))"),"")</f>
        <v/>
      </c>
      <c r="AV191" s="42" t="str">
        <f ca="1">IFERROR(__xludf.DUMMYFUNCTION("IFERROR(VLOOKUP(F252,IMPORTRANGE(""https://docs.google.com/spreadsheets/d/1Kvs4KS76FHFqLFIZfrDMff4kP08nblUkihrxltoGBjg/edit#gid=934712705"",""ESENCIAL!A6:BG""),15,FALSE))"),"")</f>
        <v/>
      </c>
    </row>
    <row r="192" spans="1:48" ht="15">
      <c r="A192" s="5"/>
      <c r="E192" s="66"/>
      <c r="F192" s="5" t="str">
        <f ca="1">IFERROR(__xludf.DUMMYFUNCTION("IFERROR(VLOOKUP(F253,IMPORTRANGE(""https://docs.google.com/spreadsheets/d/1Kvs4KS76FHFqLFIZfrDMff4kP08nblUkihrxltoGBjg/edit#gid=934712705"",""ESENCIAL!A6:BG""),3,FALSE))"),"")</f>
        <v/>
      </c>
      <c r="G192" s="5" t="str">
        <f ca="1">IFERROR(__xludf.DUMMYFUNCTION("IFERROR(VLOOKUP(F253,IMPORTRANGE(""https://docs.google.com/spreadsheets/d/1Kvs4KS76FHFqLFIZfrDMff4kP08nblUkihrxltoGBjg/edit#gid=934712705"",""ESENCIAL!A6:BG""),8,FALSE))"),"")</f>
        <v/>
      </c>
      <c r="K192" s="287"/>
      <c r="S192" s="66"/>
      <c r="T192" s="66"/>
      <c r="U192" s="66"/>
      <c r="AT192" s="41" t="str">
        <f>IF(D192&gt;0,IF(AND(#REF!=1,#REF!=1),"Procede_E_P","NO_CUMPLE"),"")</f>
        <v/>
      </c>
      <c r="AU192" s="5" t="str">
        <f ca="1">IFERROR(__xludf.DUMMYFUNCTION("IFERROR(VLOOKUP(E253&amp;F253,IMPORTRANGE(""https://docs.google.com/spreadsheets/d/1Uw7-A9f9R21vMXxHZFNpYNeKFtG8_yji4HS352LGlSQ/edit?pli=1#gid=0"",""1_ACUM!A4:S""),11,FALSE))"),"")</f>
        <v/>
      </c>
      <c r="AV192" s="42" t="str">
        <f ca="1">IFERROR(__xludf.DUMMYFUNCTION("IFERROR(VLOOKUP(F253,IMPORTRANGE(""https://docs.google.com/spreadsheets/d/1Kvs4KS76FHFqLFIZfrDMff4kP08nblUkihrxltoGBjg/edit#gid=934712705"",""ESENCIAL!A6:BG""),15,FALSE))"),"")</f>
        <v/>
      </c>
    </row>
    <row r="193" spans="1:48" ht="15">
      <c r="A193" s="5"/>
      <c r="E193" s="66"/>
      <c r="F193" s="5" t="str">
        <f ca="1">IFERROR(__xludf.DUMMYFUNCTION("IFERROR(VLOOKUP(F254,IMPORTRANGE(""https://docs.google.com/spreadsheets/d/1Kvs4KS76FHFqLFIZfrDMff4kP08nblUkihrxltoGBjg/edit#gid=934712705"",""ESENCIAL!A6:BG""),3,FALSE))"),"")</f>
        <v/>
      </c>
      <c r="G193" s="5" t="str">
        <f ca="1">IFERROR(__xludf.DUMMYFUNCTION("IFERROR(VLOOKUP(F254,IMPORTRANGE(""https://docs.google.com/spreadsheets/d/1Kvs4KS76FHFqLFIZfrDMff4kP08nblUkihrxltoGBjg/edit#gid=934712705"",""ESENCIAL!A6:BG""),8,FALSE))"),"")</f>
        <v/>
      </c>
      <c r="K193" s="287"/>
      <c r="S193" s="66"/>
      <c r="T193" s="66"/>
      <c r="U193" s="66"/>
      <c r="AT193" s="41" t="str">
        <f>IF(D193&gt;0,IF(AND(#REF!=1,#REF!=1),"Procede_E_P","NO_CUMPLE"),"")</f>
        <v/>
      </c>
      <c r="AU193" s="5" t="str">
        <f ca="1">IFERROR(__xludf.DUMMYFUNCTION("IFERROR(VLOOKUP(E254&amp;F254,IMPORTRANGE(""https://docs.google.com/spreadsheets/d/1Uw7-A9f9R21vMXxHZFNpYNeKFtG8_yji4HS352LGlSQ/edit?pli=1#gid=0"",""1_ACUM!A4:S""),11,FALSE))"),"")</f>
        <v/>
      </c>
      <c r="AV193" s="42" t="str">
        <f ca="1">IFERROR(__xludf.DUMMYFUNCTION("IFERROR(VLOOKUP(F254,IMPORTRANGE(""https://docs.google.com/spreadsheets/d/1Kvs4KS76FHFqLFIZfrDMff4kP08nblUkihrxltoGBjg/edit#gid=934712705"",""ESENCIAL!A6:BG""),15,FALSE))"),"")</f>
        <v/>
      </c>
    </row>
    <row r="194" spans="1:48" ht="15">
      <c r="A194" s="5"/>
      <c r="E194" s="66"/>
      <c r="F194" s="5" t="str">
        <f ca="1">IFERROR(__xludf.DUMMYFUNCTION("IFERROR(VLOOKUP(F255,IMPORTRANGE(""https://docs.google.com/spreadsheets/d/1Kvs4KS76FHFqLFIZfrDMff4kP08nblUkihrxltoGBjg/edit#gid=934712705"",""ESENCIAL!A6:BG""),3,FALSE))"),"")</f>
        <v/>
      </c>
      <c r="G194" s="5" t="str">
        <f ca="1">IFERROR(__xludf.DUMMYFUNCTION("IFERROR(VLOOKUP(F255,IMPORTRANGE(""https://docs.google.com/spreadsheets/d/1Kvs4KS76FHFqLFIZfrDMff4kP08nblUkihrxltoGBjg/edit#gid=934712705"",""ESENCIAL!A6:BG""),8,FALSE))"),"")</f>
        <v/>
      </c>
      <c r="K194" s="287"/>
      <c r="S194" s="66"/>
      <c r="T194" s="66"/>
      <c r="U194" s="66"/>
      <c r="AT194" s="41" t="str">
        <f>IF(D194&gt;0,IF(AND(#REF!=1,#REF!=1),"Procede_E_P","NO_CUMPLE"),"")</f>
        <v/>
      </c>
      <c r="AU194" s="5" t="str">
        <f ca="1">IFERROR(__xludf.DUMMYFUNCTION("IFERROR(VLOOKUP(E255&amp;F255,IMPORTRANGE(""https://docs.google.com/spreadsheets/d/1Uw7-A9f9R21vMXxHZFNpYNeKFtG8_yji4HS352LGlSQ/edit?pli=1#gid=0"",""1_ACUM!A4:S""),11,FALSE))"),"")</f>
        <v/>
      </c>
      <c r="AV194" s="42" t="str">
        <f ca="1">IFERROR(__xludf.DUMMYFUNCTION("IFERROR(VLOOKUP(F255,IMPORTRANGE(""https://docs.google.com/spreadsheets/d/1Kvs4KS76FHFqLFIZfrDMff4kP08nblUkihrxltoGBjg/edit#gid=934712705"",""ESENCIAL!A6:BG""),15,FALSE))"),"")</f>
        <v/>
      </c>
    </row>
    <row r="195" spans="1:48" ht="15">
      <c r="A195" s="5"/>
      <c r="E195" s="66"/>
      <c r="F195" s="5" t="str">
        <f ca="1">IFERROR(__xludf.DUMMYFUNCTION("IFERROR(VLOOKUP(F256,IMPORTRANGE(""https://docs.google.com/spreadsheets/d/1Kvs4KS76FHFqLFIZfrDMff4kP08nblUkihrxltoGBjg/edit#gid=934712705"",""ESENCIAL!A6:BG""),3,FALSE))"),"")</f>
        <v/>
      </c>
      <c r="G195" s="5" t="str">
        <f ca="1">IFERROR(__xludf.DUMMYFUNCTION("IFERROR(VLOOKUP(F256,IMPORTRANGE(""https://docs.google.com/spreadsheets/d/1Kvs4KS76FHFqLFIZfrDMff4kP08nblUkihrxltoGBjg/edit#gid=934712705"",""ESENCIAL!A6:BG""),8,FALSE))"),"")</f>
        <v/>
      </c>
      <c r="K195" s="287"/>
      <c r="S195" s="66"/>
      <c r="T195" s="66"/>
      <c r="U195" s="66"/>
      <c r="AT195" s="41" t="str">
        <f>IF(D195&gt;0,IF(AND(#REF!=1,#REF!=1),"Procede_E_P","NO_CUMPLE"),"")</f>
        <v/>
      </c>
      <c r="AU195" s="5" t="str">
        <f ca="1">IFERROR(__xludf.DUMMYFUNCTION("IFERROR(VLOOKUP(E256&amp;F256,IMPORTRANGE(""https://docs.google.com/spreadsheets/d/1Uw7-A9f9R21vMXxHZFNpYNeKFtG8_yji4HS352LGlSQ/edit?pli=1#gid=0"",""1_ACUM!A4:S""),11,FALSE))"),"")</f>
        <v/>
      </c>
      <c r="AV195" s="42" t="str">
        <f ca="1">IFERROR(__xludf.DUMMYFUNCTION("IFERROR(VLOOKUP(F256,IMPORTRANGE(""https://docs.google.com/spreadsheets/d/1Kvs4KS76FHFqLFIZfrDMff4kP08nblUkihrxltoGBjg/edit#gid=934712705"",""ESENCIAL!A6:BG""),15,FALSE))"),"")</f>
        <v/>
      </c>
    </row>
    <row r="196" spans="1:48" ht="15">
      <c r="A196" s="5"/>
      <c r="E196" s="66"/>
      <c r="F196" s="5" t="str">
        <f ca="1">IFERROR(__xludf.DUMMYFUNCTION("IFERROR(VLOOKUP(F257,IMPORTRANGE(""https://docs.google.com/spreadsheets/d/1Kvs4KS76FHFqLFIZfrDMff4kP08nblUkihrxltoGBjg/edit#gid=934712705"",""ESENCIAL!A6:BG""),3,FALSE))"),"")</f>
        <v/>
      </c>
      <c r="G196" s="5" t="str">
        <f ca="1">IFERROR(__xludf.DUMMYFUNCTION("IFERROR(VLOOKUP(F257,IMPORTRANGE(""https://docs.google.com/spreadsheets/d/1Kvs4KS76FHFqLFIZfrDMff4kP08nblUkihrxltoGBjg/edit#gid=934712705"",""ESENCIAL!A6:BG""),8,FALSE))"),"")</f>
        <v/>
      </c>
      <c r="K196" s="287"/>
      <c r="S196" s="66"/>
      <c r="T196" s="66"/>
      <c r="U196" s="66"/>
      <c r="AT196" s="41" t="str">
        <f>IF(D196&gt;0,IF(AND(#REF!=1,#REF!=1),"Procede_E_P","NO_CUMPLE"),"")</f>
        <v/>
      </c>
      <c r="AU196" s="5" t="str">
        <f ca="1">IFERROR(__xludf.DUMMYFUNCTION("IFERROR(VLOOKUP(E257&amp;F257,IMPORTRANGE(""https://docs.google.com/spreadsheets/d/1Uw7-A9f9R21vMXxHZFNpYNeKFtG8_yji4HS352LGlSQ/edit?pli=1#gid=0"",""1_ACUM!A4:S""),11,FALSE))"),"")</f>
        <v/>
      </c>
      <c r="AV196" s="42" t="str">
        <f ca="1">IFERROR(__xludf.DUMMYFUNCTION("IFERROR(VLOOKUP(F257,IMPORTRANGE(""https://docs.google.com/spreadsheets/d/1Kvs4KS76FHFqLFIZfrDMff4kP08nblUkihrxltoGBjg/edit#gid=934712705"",""ESENCIAL!A6:BG""),15,FALSE))"),"")</f>
        <v/>
      </c>
    </row>
    <row r="197" spans="1:48" ht="15">
      <c r="A197" s="5"/>
      <c r="E197" s="66"/>
      <c r="F197" s="5" t="str">
        <f ca="1">IFERROR(__xludf.DUMMYFUNCTION("IFERROR(VLOOKUP(F258,IMPORTRANGE(""https://docs.google.com/spreadsheets/d/1Kvs4KS76FHFqLFIZfrDMff4kP08nblUkihrxltoGBjg/edit#gid=934712705"",""ESENCIAL!A6:BG""),3,FALSE))"),"")</f>
        <v/>
      </c>
      <c r="G197" s="5" t="str">
        <f ca="1">IFERROR(__xludf.DUMMYFUNCTION("IFERROR(VLOOKUP(F258,IMPORTRANGE(""https://docs.google.com/spreadsheets/d/1Kvs4KS76FHFqLFIZfrDMff4kP08nblUkihrxltoGBjg/edit#gid=934712705"",""ESENCIAL!A6:BG""),8,FALSE))"),"")</f>
        <v/>
      </c>
      <c r="K197" s="287"/>
      <c r="S197" s="66"/>
      <c r="T197" s="66"/>
      <c r="U197" s="66"/>
      <c r="AT197" s="41" t="str">
        <f>IF(D197&gt;0,IF(AND(#REF!=1,#REF!=1),"Procede_E_P","NO_CUMPLE"),"")</f>
        <v/>
      </c>
      <c r="AU197" s="5" t="str">
        <f ca="1">IFERROR(__xludf.DUMMYFUNCTION("IFERROR(VLOOKUP(E258&amp;F258,IMPORTRANGE(""https://docs.google.com/spreadsheets/d/1Uw7-A9f9R21vMXxHZFNpYNeKFtG8_yji4HS352LGlSQ/edit?pli=1#gid=0"",""1_ACUM!A4:S""),11,FALSE))"),"")</f>
        <v/>
      </c>
      <c r="AV197" s="42" t="str">
        <f ca="1">IFERROR(__xludf.DUMMYFUNCTION("IFERROR(VLOOKUP(F258,IMPORTRANGE(""https://docs.google.com/spreadsheets/d/1Kvs4KS76FHFqLFIZfrDMff4kP08nblUkihrxltoGBjg/edit#gid=934712705"",""ESENCIAL!A6:BG""),15,FALSE))"),"")</f>
        <v/>
      </c>
    </row>
    <row r="198" spans="1:48" ht="15">
      <c r="A198" s="5"/>
      <c r="E198" s="66"/>
      <c r="F198" s="5" t="str">
        <f ca="1">IFERROR(__xludf.DUMMYFUNCTION("IFERROR(VLOOKUP(F259,IMPORTRANGE(""https://docs.google.com/spreadsheets/d/1Kvs4KS76FHFqLFIZfrDMff4kP08nblUkihrxltoGBjg/edit#gid=934712705"",""ESENCIAL!A6:BG""),3,FALSE))"),"")</f>
        <v/>
      </c>
      <c r="G198" s="5" t="str">
        <f ca="1">IFERROR(__xludf.DUMMYFUNCTION("IFERROR(VLOOKUP(F259,IMPORTRANGE(""https://docs.google.com/spreadsheets/d/1Kvs4KS76FHFqLFIZfrDMff4kP08nblUkihrxltoGBjg/edit#gid=934712705"",""ESENCIAL!A6:BG""),8,FALSE))"),"")</f>
        <v/>
      </c>
      <c r="K198" s="287"/>
      <c r="S198" s="66"/>
      <c r="T198" s="66"/>
      <c r="U198" s="66"/>
      <c r="AT198" s="41" t="str">
        <f>IF(D198&gt;0,IF(AND(#REF!=1,#REF!=1),"Procede_E_P","NO_CUMPLE"),"")</f>
        <v/>
      </c>
      <c r="AU198" s="5" t="str">
        <f ca="1">IFERROR(__xludf.DUMMYFUNCTION("IFERROR(VLOOKUP(E259&amp;F259,IMPORTRANGE(""https://docs.google.com/spreadsheets/d/1Uw7-A9f9R21vMXxHZFNpYNeKFtG8_yji4HS352LGlSQ/edit?pli=1#gid=0"",""1_ACUM!A4:S""),11,FALSE))"),"")</f>
        <v/>
      </c>
      <c r="AV198" s="42" t="str">
        <f ca="1">IFERROR(__xludf.DUMMYFUNCTION("IFERROR(VLOOKUP(F259,IMPORTRANGE(""https://docs.google.com/spreadsheets/d/1Kvs4KS76FHFqLFIZfrDMff4kP08nblUkihrxltoGBjg/edit#gid=934712705"",""ESENCIAL!A6:BG""),15,FALSE))"),"")</f>
        <v/>
      </c>
    </row>
    <row r="199" spans="1:48" ht="15">
      <c r="A199" s="5"/>
      <c r="E199" s="66"/>
      <c r="F199" s="5" t="str">
        <f ca="1">IFERROR(__xludf.DUMMYFUNCTION("IFERROR(VLOOKUP(F260,IMPORTRANGE(""https://docs.google.com/spreadsheets/d/1Kvs4KS76FHFqLFIZfrDMff4kP08nblUkihrxltoGBjg/edit#gid=934712705"",""ESENCIAL!A6:BG""),3,FALSE))"),"")</f>
        <v/>
      </c>
      <c r="G199" s="5" t="str">
        <f ca="1">IFERROR(__xludf.DUMMYFUNCTION("IFERROR(VLOOKUP(F260,IMPORTRANGE(""https://docs.google.com/spreadsheets/d/1Kvs4KS76FHFqLFIZfrDMff4kP08nblUkihrxltoGBjg/edit#gid=934712705"",""ESENCIAL!A6:BG""),8,FALSE))"),"")</f>
        <v/>
      </c>
      <c r="K199" s="287"/>
      <c r="S199" s="66"/>
      <c r="T199" s="66"/>
      <c r="U199" s="66"/>
      <c r="AT199" s="41" t="str">
        <f>IF(D199&gt;0,IF(AND(#REF!=1,#REF!=1),"Procede_E_P","NO_CUMPLE"),"")</f>
        <v/>
      </c>
      <c r="AU199" s="5" t="str">
        <f ca="1">IFERROR(__xludf.DUMMYFUNCTION("IFERROR(VLOOKUP(E260&amp;F260,IMPORTRANGE(""https://docs.google.com/spreadsheets/d/1Uw7-A9f9R21vMXxHZFNpYNeKFtG8_yji4HS352LGlSQ/edit?pli=1#gid=0"",""1_ACUM!A4:S""),11,FALSE))"),"")</f>
        <v/>
      </c>
      <c r="AV199" s="42" t="str">
        <f ca="1">IFERROR(__xludf.DUMMYFUNCTION("IFERROR(VLOOKUP(F260,IMPORTRANGE(""https://docs.google.com/spreadsheets/d/1Kvs4KS76FHFqLFIZfrDMff4kP08nblUkihrxltoGBjg/edit#gid=934712705"",""ESENCIAL!A6:BG""),15,FALSE))"),"")</f>
        <v/>
      </c>
    </row>
    <row r="200" spans="1:48" ht="15">
      <c r="A200" s="5"/>
      <c r="E200" s="66"/>
      <c r="F200" s="5" t="str">
        <f ca="1">IFERROR(__xludf.DUMMYFUNCTION("IFERROR(VLOOKUP(F261,IMPORTRANGE(""https://docs.google.com/spreadsheets/d/1Kvs4KS76FHFqLFIZfrDMff4kP08nblUkihrxltoGBjg/edit#gid=934712705"",""ESENCIAL!A6:BG""),3,FALSE))"),"")</f>
        <v/>
      </c>
      <c r="G200" s="5" t="str">
        <f ca="1">IFERROR(__xludf.DUMMYFUNCTION("IFERROR(VLOOKUP(F261,IMPORTRANGE(""https://docs.google.com/spreadsheets/d/1Kvs4KS76FHFqLFIZfrDMff4kP08nblUkihrxltoGBjg/edit#gid=934712705"",""ESENCIAL!A6:BG""),8,FALSE))"),"")</f>
        <v/>
      </c>
      <c r="K200" s="287"/>
      <c r="S200" s="66"/>
      <c r="T200" s="66"/>
      <c r="U200" s="66"/>
      <c r="AT200" s="41" t="str">
        <f>IF(D200&gt;0,IF(AND(#REF!=1,#REF!=1),"Procede_E_P","NO_CUMPLE"),"")</f>
        <v/>
      </c>
      <c r="AU200" s="5" t="str">
        <f ca="1">IFERROR(__xludf.DUMMYFUNCTION("IFERROR(VLOOKUP(E261&amp;F261,IMPORTRANGE(""https://docs.google.com/spreadsheets/d/1Uw7-A9f9R21vMXxHZFNpYNeKFtG8_yji4HS352LGlSQ/edit?pli=1#gid=0"",""1_ACUM!A4:S""),11,FALSE))"),"")</f>
        <v/>
      </c>
      <c r="AV200" s="42" t="str">
        <f ca="1">IFERROR(__xludf.DUMMYFUNCTION("IFERROR(VLOOKUP(F261,IMPORTRANGE(""https://docs.google.com/spreadsheets/d/1Kvs4KS76FHFqLFIZfrDMff4kP08nblUkihrxltoGBjg/edit#gid=934712705"",""ESENCIAL!A6:BG""),15,FALSE))"),"")</f>
        <v/>
      </c>
    </row>
    <row r="201" spans="1:48" ht="15">
      <c r="A201" s="5"/>
      <c r="E201" s="66"/>
      <c r="F201" s="5" t="str">
        <f ca="1">IFERROR(__xludf.DUMMYFUNCTION("IFERROR(VLOOKUP(F262,IMPORTRANGE(""https://docs.google.com/spreadsheets/d/1Kvs4KS76FHFqLFIZfrDMff4kP08nblUkihrxltoGBjg/edit#gid=934712705"",""ESENCIAL!A6:BG""),3,FALSE))"),"")</f>
        <v/>
      </c>
      <c r="G201" s="5" t="str">
        <f ca="1">IFERROR(__xludf.DUMMYFUNCTION("IFERROR(VLOOKUP(F262,IMPORTRANGE(""https://docs.google.com/spreadsheets/d/1Kvs4KS76FHFqLFIZfrDMff4kP08nblUkihrxltoGBjg/edit#gid=934712705"",""ESENCIAL!A6:BG""),8,FALSE))"),"")</f>
        <v/>
      </c>
      <c r="K201" s="287"/>
      <c r="S201" s="66"/>
      <c r="T201" s="66"/>
      <c r="U201" s="66"/>
      <c r="AT201" s="41" t="str">
        <f>IF(D201&gt;0,IF(AND(#REF!=1,#REF!=1),"Procede_E_P","NO_CUMPLE"),"")</f>
        <v/>
      </c>
      <c r="AU201" s="5" t="str">
        <f ca="1">IFERROR(__xludf.DUMMYFUNCTION("IFERROR(VLOOKUP(E262&amp;F262,IMPORTRANGE(""https://docs.google.com/spreadsheets/d/1Uw7-A9f9R21vMXxHZFNpYNeKFtG8_yji4HS352LGlSQ/edit?pli=1#gid=0"",""1_ACUM!A4:S""),11,FALSE))"),"")</f>
        <v/>
      </c>
      <c r="AV201" s="42" t="str">
        <f ca="1">IFERROR(__xludf.DUMMYFUNCTION("IFERROR(VLOOKUP(F262,IMPORTRANGE(""https://docs.google.com/spreadsheets/d/1Kvs4KS76FHFqLFIZfrDMff4kP08nblUkihrxltoGBjg/edit#gid=934712705"",""ESENCIAL!A6:BG""),15,FALSE))"),"")</f>
        <v/>
      </c>
    </row>
    <row r="202" spans="1:48" ht="15">
      <c r="A202" s="5"/>
      <c r="E202" s="66"/>
      <c r="F202" s="5" t="str">
        <f ca="1">IFERROR(__xludf.DUMMYFUNCTION("IFERROR(VLOOKUP(F263,IMPORTRANGE(""https://docs.google.com/spreadsheets/d/1Kvs4KS76FHFqLFIZfrDMff4kP08nblUkihrxltoGBjg/edit#gid=934712705"",""ESENCIAL!A6:BG""),3,FALSE))"),"")</f>
        <v/>
      </c>
      <c r="G202" s="5" t="str">
        <f ca="1">IFERROR(__xludf.DUMMYFUNCTION("IFERROR(VLOOKUP(F263,IMPORTRANGE(""https://docs.google.com/spreadsheets/d/1Kvs4KS76FHFqLFIZfrDMff4kP08nblUkihrxltoGBjg/edit#gid=934712705"",""ESENCIAL!A6:BG""),8,FALSE))"),"")</f>
        <v/>
      </c>
      <c r="K202" s="287"/>
      <c r="S202" s="66"/>
      <c r="T202" s="66"/>
      <c r="U202" s="66"/>
      <c r="AT202" s="41" t="str">
        <f>IF(D202&gt;0,IF(AND(#REF!=1,#REF!=1),"Procede_E_P","NO_CUMPLE"),"")</f>
        <v/>
      </c>
      <c r="AU202" s="5" t="str">
        <f ca="1">IFERROR(__xludf.DUMMYFUNCTION("IFERROR(VLOOKUP(E263&amp;F263,IMPORTRANGE(""https://docs.google.com/spreadsheets/d/1Uw7-A9f9R21vMXxHZFNpYNeKFtG8_yji4HS352LGlSQ/edit?pli=1#gid=0"",""1_ACUM!A4:S""),11,FALSE))"),"")</f>
        <v/>
      </c>
      <c r="AV202" s="42" t="str">
        <f ca="1">IFERROR(__xludf.DUMMYFUNCTION("IFERROR(VLOOKUP(F263,IMPORTRANGE(""https://docs.google.com/spreadsheets/d/1Kvs4KS76FHFqLFIZfrDMff4kP08nblUkihrxltoGBjg/edit#gid=934712705"",""ESENCIAL!A6:BG""),15,FALSE))"),"")</f>
        <v/>
      </c>
    </row>
    <row r="203" spans="1:48" ht="15">
      <c r="A203" s="5"/>
      <c r="E203" s="66"/>
      <c r="F203" s="5" t="str">
        <f ca="1">IFERROR(__xludf.DUMMYFUNCTION("IFERROR(VLOOKUP(F264,IMPORTRANGE(""https://docs.google.com/spreadsheets/d/1Kvs4KS76FHFqLFIZfrDMff4kP08nblUkihrxltoGBjg/edit#gid=934712705"",""ESENCIAL!A6:BG""),3,FALSE))"),"")</f>
        <v/>
      </c>
      <c r="G203" s="5" t="str">
        <f ca="1">IFERROR(__xludf.DUMMYFUNCTION("IFERROR(VLOOKUP(F264,IMPORTRANGE(""https://docs.google.com/spreadsheets/d/1Kvs4KS76FHFqLFIZfrDMff4kP08nblUkihrxltoGBjg/edit#gid=934712705"",""ESENCIAL!A6:BG""),8,FALSE))"),"")</f>
        <v/>
      </c>
      <c r="K203" s="287"/>
      <c r="S203" s="66"/>
      <c r="T203" s="66"/>
      <c r="U203" s="66"/>
      <c r="AT203" s="41" t="str">
        <f>IF(D203&gt;0,IF(AND(#REF!=1,#REF!=1),"Procede_E_P","NO_CUMPLE"),"")</f>
        <v/>
      </c>
      <c r="AU203" s="5" t="str">
        <f ca="1">IFERROR(__xludf.DUMMYFUNCTION("IFERROR(VLOOKUP(E264&amp;F264,IMPORTRANGE(""https://docs.google.com/spreadsheets/d/1Uw7-A9f9R21vMXxHZFNpYNeKFtG8_yji4HS352LGlSQ/edit?pli=1#gid=0"",""1_ACUM!A4:S""),11,FALSE))"),"")</f>
        <v/>
      </c>
      <c r="AV203" s="42" t="str">
        <f ca="1">IFERROR(__xludf.DUMMYFUNCTION("IFERROR(VLOOKUP(F264,IMPORTRANGE(""https://docs.google.com/spreadsheets/d/1Kvs4KS76FHFqLFIZfrDMff4kP08nblUkihrxltoGBjg/edit#gid=934712705"",""ESENCIAL!A6:BG""),15,FALSE))"),"")</f>
        <v/>
      </c>
    </row>
    <row r="204" spans="1:48" ht="15">
      <c r="A204" s="5"/>
      <c r="E204" s="66"/>
      <c r="F204" s="5" t="str">
        <f ca="1">IFERROR(__xludf.DUMMYFUNCTION("IFERROR(VLOOKUP(F265,IMPORTRANGE(""https://docs.google.com/spreadsheets/d/1Kvs4KS76FHFqLFIZfrDMff4kP08nblUkihrxltoGBjg/edit#gid=934712705"",""ESENCIAL!A6:BG""),3,FALSE))"),"")</f>
        <v/>
      </c>
      <c r="G204" s="5" t="str">
        <f ca="1">IFERROR(__xludf.DUMMYFUNCTION("IFERROR(VLOOKUP(F265,IMPORTRANGE(""https://docs.google.com/spreadsheets/d/1Kvs4KS76FHFqLFIZfrDMff4kP08nblUkihrxltoGBjg/edit#gid=934712705"",""ESENCIAL!A6:BG""),8,FALSE))"),"")</f>
        <v/>
      </c>
      <c r="K204" s="287"/>
      <c r="S204" s="66"/>
      <c r="T204" s="66"/>
      <c r="U204" s="66"/>
      <c r="AT204" s="41" t="str">
        <f>IF(D204&gt;0,IF(AND(#REF!=1,#REF!=1),"Procede_E_P","NO_CUMPLE"),"")</f>
        <v/>
      </c>
      <c r="AU204" s="5" t="str">
        <f ca="1">IFERROR(__xludf.DUMMYFUNCTION("IFERROR(VLOOKUP(E265&amp;F265,IMPORTRANGE(""https://docs.google.com/spreadsheets/d/1Uw7-A9f9R21vMXxHZFNpYNeKFtG8_yji4HS352LGlSQ/edit?pli=1#gid=0"",""1_ACUM!A4:S""),11,FALSE))"),"")</f>
        <v/>
      </c>
      <c r="AV204" s="42" t="str">
        <f ca="1">IFERROR(__xludf.DUMMYFUNCTION("IFERROR(VLOOKUP(F265,IMPORTRANGE(""https://docs.google.com/spreadsheets/d/1Kvs4KS76FHFqLFIZfrDMff4kP08nblUkihrxltoGBjg/edit#gid=934712705"",""ESENCIAL!A6:BG""),15,FALSE))"),"")</f>
        <v/>
      </c>
    </row>
    <row r="205" spans="1:48" ht="15">
      <c r="A205" s="5"/>
      <c r="E205" s="66"/>
      <c r="F205" s="5" t="str">
        <f ca="1">IFERROR(__xludf.DUMMYFUNCTION("IFERROR(VLOOKUP(F266,IMPORTRANGE(""https://docs.google.com/spreadsheets/d/1Kvs4KS76FHFqLFIZfrDMff4kP08nblUkihrxltoGBjg/edit#gid=934712705"",""ESENCIAL!A6:BG""),3,FALSE))"),"")</f>
        <v/>
      </c>
      <c r="G205" s="5" t="str">
        <f ca="1">IFERROR(__xludf.DUMMYFUNCTION("IFERROR(VLOOKUP(F266,IMPORTRANGE(""https://docs.google.com/spreadsheets/d/1Kvs4KS76FHFqLFIZfrDMff4kP08nblUkihrxltoGBjg/edit#gid=934712705"",""ESENCIAL!A6:BG""),8,FALSE))"),"")</f>
        <v/>
      </c>
      <c r="K205" s="287"/>
      <c r="S205" s="66"/>
      <c r="T205" s="66"/>
      <c r="U205" s="66"/>
      <c r="AT205" s="41" t="str">
        <f>IF(D205&gt;0,IF(AND(#REF!=1,#REF!=1),"Procede_E_P","NO_CUMPLE"),"")</f>
        <v/>
      </c>
      <c r="AU205" s="5" t="str">
        <f ca="1">IFERROR(__xludf.DUMMYFUNCTION("IFERROR(VLOOKUP(E266&amp;F266,IMPORTRANGE(""https://docs.google.com/spreadsheets/d/1Uw7-A9f9R21vMXxHZFNpYNeKFtG8_yji4HS352LGlSQ/edit?pli=1#gid=0"",""1_ACUM!A4:S""),11,FALSE))"),"")</f>
        <v/>
      </c>
      <c r="AV205" s="42" t="str">
        <f ca="1">IFERROR(__xludf.DUMMYFUNCTION("IFERROR(VLOOKUP(F266,IMPORTRANGE(""https://docs.google.com/spreadsheets/d/1Kvs4KS76FHFqLFIZfrDMff4kP08nblUkihrxltoGBjg/edit#gid=934712705"",""ESENCIAL!A6:BG""),15,FALSE))"),"")</f>
        <v/>
      </c>
    </row>
    <row r="206" spans="1:48" ht="15">
      <c r="A206" s="5"/>
      <c r="E206" s="66"/>
      <c r="F206" s="5" t="str">
        <f ca="1">IFERROR(__xludf.DUMMYFUNCTION("IFERROR(VLOOKUP(F267,IMPORTRANGE(""https://docs.google.com/spreadsheets/d/1Kvs4KS76FHFqLFIZfrDMff4kP08nblUkihrxltoGBjg/edit#gid=934712705"",""ESENCIAL!A6:BG""),3,FALSE))"),"")</f>
        <v/>
      </c>
      <c r="G206" s="5" t="str">
        <f ca="1">IFERROR(__xludf.DUMMYFUNCTION("IFERROR(VLOOKUP(F267,IMPORTRANGE(""https://docs.google.com/spreadsheets/d/1Kvs4KS76FHFqLFIZfrDMff4kP08nblUkihrxltoGBjg/edit#gid=934712705"",""ESENCIAL!A6:BG""),8,FALSE))"),"")</f>
        <v/>
      </c>
      <c r="K206" s="287"/>
      <c r="S206" s="66"/>
      <c r="T206" s="66"/>
      <c r="U206" s="66"/>
      <c r="AT206" s="41" t="str">
        <f>IF(D206&gt;0,IF(AND(#REF!=1,#REF!=1),"Procede_E_P","NO_CUMPLE"),"")</f>
        <v/>
      </c>
      <c r="AU206" s="5" t="str">
        <f ca="1">IFERROR(__xludf.DUMMYFUNCTION("IFERROR(VLOOKUP(E267&amp;F267,IMPORTRANGE(""https://docs.google.com/spreadsheets/d/1Uw7-A9f9R21vMXxHZFNpYNeKFtG8_yji4HS352LGlSQ/edit?pli=1#gid=0"",""1_ACUM!A4:S""),11,FALSE))"),"")</f>
        <v/>
      </c>
      <c r="AV206" s="42" t="str">
        <f ca="1">IFERROR(__xludf.DUMMYFUNCTION("IFERROR(VLOOKUP(F267,IMPORTRANGE(""https://docs.google.com/spreadsheets/d/1Kvs4KS76FHFqLFIZfrDMff4kP08nblUkihrxltoGBjg/edit#gid=934712705"",""ESENCIAL!A6:BG""),15,FALSE))"),"")</f>
        <v/>
      </c>
    </row>
    <row r="207" spans="1:48" ht="15">
      <c r="A207" s="5"/>
      <c r="E207" s="66"/>
      <c r="F207" s="5" t="str">
        <f ca="1">IFERROR(__xludf.DUMMYFUNCTION("IFERROR(VLOOKUP(F268,IMPORTRANGE(""https://docs.google.com/spreadsheets/d/1Kvs4KS76FHFqLFIZfrDMff4kP08nblUkihrxltoGBjg/edit#gid=934712705"",""ESENCIAL!A6:BG""),3,FALSE))"),"")</f>
        <v/>
      </c>
      <c r="G207" s="5" t="str">
        <f ca="1">IFERROR(__xludf.DUMMYFUNCTION("IFERROR(VLOOKUP(F268,IMPORTRANGE(""https://docs.google.com/spreadsheets/d/1Kvs4KS76FHFqLFIZfrDMff4kP08nblUkihrxltoGBjg/edit#gid=934712705"",""ESENCIAL!A6:BG""),8,FALSE))"),"")</f>
        <v/>
      </c>
      <c r="K207" s="287"/>
      <c r="S207" s="66"/>
      <c r="T207" s="66"/>
      <c r="U207" s="66"/>
      <c r="AT207" s="41" t="str">
        <f>IF(D207&gt;0,IF(AND(#REF!=1,#REF!=1),"Procede_E_P","NO_CUMPLE"),"")</f>
        <v/>
      </c>
      <c r="AU207" s="5" t="str">
        <f ca="1">IFERROR(__xludf.DUMMYFUNCTION("IFERROR(VLOOKUP(E268&amp;F268,IMPORTRANGE(""https://docs.google.com/spreadsheets/d/1Uw7-A9f9R21vMXxHZFNpYNeKFtG8_yji4HS352LGlSQ/edit?pli=1#gid=0"",""1_ACUM!A4:S""),11,FALSE))"),"")</f>
        <v/>
      </c>
      <c r="AV207" s="42" t="str">
        <f ca="1">IFERROR(__xludf.DUMMYFUNCTION("IFERROR(VLOOKUP(F268,IMPORTRANGE(""https://docs.google.com/spreadsheets/d/1Kvs4KS76FHFqLFIZfrDMff4kP08nblUkihrxltoGBjg/edit#gid=934712705"",""ESENCIAL!A6:BG""),15,FALSE))"),"")</f>
        <v/>
      </c>
    </row>
    <row r="208" spans="1:48" ht="15">
      <c r="A208" s="5"/>
      <c r="E208" s="66"/>
      <c r="F208" s="5" t="str">
        <f ca="1">IFERROR(__xludf.DUMMYFUNCTION("IFERROR(VLOOKUP(F269,IMPORTRANGE(""https://docs.google.com/spreadsheets/d/1Kvs4KS76FHFqLFIZfrDMff4kP08nblUkihrxltoGBjg/edit#gid=934712705"",""ESENCIAL!A6:BG""),3,FALSE))"),"")</f>
        <v/>
      </c>
      <c r="G208" s="5" t="str">
        <f ca="1">IFERROR(__xludf.DUMMYFUNCTION("IFERROR(VLOOKUP(F269,IMPORTRANGE(""https://docs.google.com/spreadsheets/d/1Kvs4KS76FHFqLFIZfrDMff4kP08nblUkihrxltoGBjg/edit#gid=934712705"",""ESENCIAL!A6:BG""),8,FALSE))"),"")</f>
        <v/>
      </c>
      <c r="K208" s="287"/>
      <c r="S208" s="66"/>
      <c r="T208" s="66"/>
      <c r="U208" s="66"/>
      <c r="AT208" s="41" t="str">
        <f>IF(D208&gt;0,IF(AND(#REF!=1,#REF!=1),"Procede_E_P","NO_CUMPLE"),"")</f>
        <v/>
      </c>
      <c r="AU208" s="5" t="str">
        <f ca="1">IFERROR(__xludf.DUMMYFUNCTION("IFERROR(VLOOKUP(E269&amp;F269,IMPORTRANGE(""https://docs.google.com/spreadsheets/d/1Uw7-A9f9R21vMXxHZFNpYNeKFtG8_yji4HS352LGlSQ/edit?pli=1#gid=0"",""1_ACUM!A4:S""),11,FALSE))"),"")</f>
        <v/>
      </c>
      <c r="AV208" s="42" t="str">
        <f ca="1">IFERROR(__xludf.DUMMYFUNCTION("IFERROR(VLOOKUP(F269,IMPORTRANGE(""https://docs.google.com/spreadsheets/d/1Kvs4KS76FHFqLFIZfrDMff4kP08nblUkihrxltoGBjg/edit#gid=934712705"",""ESENCIAL!A6:BG""),15,FALSE))"),"")</f>
        <v/>
      </c>
    </row>
    <row r="209" spans="1:48" ht="15">
      <c r="A209" s="5"/>
      <c r="E209" s="66"/>
      <c r="F209" s="5" t="str">
        <f ca="1">IFERROR(__xludf.DUMMYFUNCTION("IFERROR(VLOOKUP(F270,IMPORTRANGE(""https://docs.google.com/spreadsheets/d/1Kvs4KS76FHFqLFIZfrDMff4kP08nblUkihrxltoGBjg/edit#gid=934712705"",""ESENCIAL!A6:BG""),3,FALSE))"),"")</f>
        <v/>
      </c>
      <c r="G209" s="5" t="str">
        <f ca="1">IFERROR(__xludf.DUMMYFUNCTION("IFERROR(VLOOKUP(F270,IMPORTRANGE(""https://docs.google.com/spreadsheets/d/1Kvs4KS76FHFqLFIZfrDMff4kP08nblUkihrxltoGBjg/edit#gid=934712705"",""ESENCIAL!A6:BG""),8,FALSE))"),"")</f>
        <v/>
      </c>
      <c r="K209" s="287"/>
      <c r="S209" s="66"/>
      <c r="T209" s="66"/>
      <c r="U209" s="66"/>
      <c r="AT209" s="41" t="str">
        <f>IF(D209&gt;0,IF(AND(#REF!=1,#REF!=1),"Procede_E_P","NO_CUMPLE"),"")</f>
        <v/>
      </c>
      <c r="AU209" s="5" t="str">
        <f ca="1">IFERROR(__xludf.DUMMYFUNCTION("IFERROR(VLOOKUP(E270&amp;F270,IMPORTRANGE(""https://docs.google.com/spreadsheets/d/1Uw7-A9f9R21vMXxHZFNpYNeKFtG8_yji4HS352LGlSQ/edit?pli=1#gid=0"",""1_ACUM!A4:S""),11,FALSE))"),"")</f>
        <v/>
      </c>
      <c r="AV209" s="42" t="str">
        <f ca="1">IFERROR(__xludf.DUMMYFUNCTION("IFERROR(VLOOKUP(F270,IMPORTRANGE(""https://docs.google.com/spreadsheets/d/1Kvs4KS76FHFqLFIZfrDMff4kP08nblUkihrxltoGBjg/edit#gid=934712705"",""ESENCIAL!A6:BG""),15,FALSE))"),"")</f>
        <v/>
      </c>
    </row>
    <row r="210" spans="1:48" ht="15">
      <c r="A210" s="5"/>
      <c r="E210" s="66"/>
      <c r="F210" s="5" t="str">
        <f ca="1">IFERROR(__xludf.DUMMYFUNCTION("IFERROR(VLOOKUP(F271,IMPORTRANGE(""https://docs.google.com/spreadsheets/d/1Kvs4KS76FHFqLFIZfrDMff4kP08nblUkihrxltoGBjg/edit#gid=934712705"",""ESENCIAL!A6:BG""),3,FALSE))"),"")</f>
        <v/>
      </c>
      <c r="G210" s="5" t="str">
        <f ca="1">IFERROR(__xludf.DUMMYFUNCTION("IFERROR(VLOOKUP(F271,IMPORTRANGE(""https://docs.google.com/spreadsheets/d/1Kvs4KS76FHFqLFIZfrDMff4kP08nblUkihrxltoGBjg/edit#gid=934712705"",""ESENCIAL!A6:BG""),8,FALSE))"),"")</f>
        <v/>
      </c>
      <c r="K210" s="287"/>
      <c r="S210" s="66"/>
      <c r="T210" s="66"/>
      <c r="U210" s="66"/>
      <c r="AT210" s="41" t="str">
        <f>IF(D210&gt;0,IF(AND(#REF!=1,#REF!=1),"Procede_E_P","NO_CUMPLE"),"")</f>
        <v/>
      </c>
      <c r="AU210" s="5" t="str">
        <f ca="1">IFERROR(__xludf.DUMMYFUNCTION("IFERROR(VLOOKUP(E271&amp;F271,IMPORTRANGE(""https://docs.google.com/spreadsheets/d/1Uw7-A9f9R21vMXxHZFNpYNeKFtG8_yji4HS352LGlSQ/edit?pli=1#gid=0"",""1_ACUM!A4:S""),11,FALSE))"),"")</f>
        <v/>
      </c>
      <c r="AV210" s="42" t="str">
        <f ca="1">IFERROR(__xludf.DUMMYFUNCTION("IFERROR(VLOOKUP(F271,IMPORTRANGE(""https://docs.google.com/spreadsheets/d/1Kvs4KS76FHFqLFIZfrDMff4kP08nblUkihrxltoGBjg/edit#gid=934712705"",""ESENCIAL!A6:BG""),15,FALSE))"),"")</f>
        <v/>
      </c>
    </row>
    <row r="211" spans="1:48" ht="15">
      <c r="A211" s="5"/>
      <c r="E211" s="66"/>
      <c r="F211" s="5" t="str">
        <f ca="1">IFERROR(__xludf.DUMMYFUNCTION("IFERROR(VLOOKUP(F272,IMPORTRANGE(""https://docs.google.com/spreadsheets/d/1Kvs4KS76FHFqLFIZfrDMff4kP08nblUkihrxltoGBjg/edit#gid=934712705"",""ESENCIAL!A6:BG""),3,FALSE))"),"")</f>
        <v/>
      </c>
      <c r="G211" s="5" t="str">
        <f ca="1">IFERROR(__xludf.DUMMYFUNCTION("IFERROR(VLOOKUP(F272,IMPORTRANGE(""https://docs.google.com/spreadsheets/d/1Kvs4KS76FHFqLFIZfrDMff4kP08nblUkihrxltoGBjg/edit#gid=934712705"",""ESENCIAL!A6:BG""),8,FALSE))"),"")</f>
        <v/>
      </c>
      <c r="K211" s="287"/>
      <c r="S211" s="66"/>
      <c r="T211" s="66"/>
      <c r="U211" s="66"/>
      <c r="AT211" s="41" t="str">
        <f>IF(D211&gt;0,IF(AND(#REF!=1,#REF!=1),"Procede_E_P","NO_CUMPLE"),"")</f>
        <v/>
      </c>
      <c r="AU211" s="5" t="str">
        <f ca="1">IFERROR(__xludf.DUMMYFUNCTION("IFERROR(VLOOKUP(E272&amp;F272,IMPORTRANGE(""https://docs.google.com/spreadsheets/d/1Uw7-A9f9R21vMXxHZFNpYNeKFtG8_yji4HS352LGlSQ/edit?pli=1#gid=0"",""1_ACUM!A4:S""),11,FALSE))"),"")</f>
        <v/>
      </c>
      <c r="AV211" s="42" t="str">
        <f ca="1">IFERROR(__xludf.DUMMYFUNCTION("IFERROR(VLOOKUP(F272,IMPORTRANGE(""https://docs.google.com/spreadsheets/d/1Kvs4KS76FHFqLFIZfrDMff4kP08nblUkihrxltoGBjg/edit#gid=934712705"",""ESENCIAL!A6:BG""),15,FALSE))"),"")</f>
        <v/>
      </c>
    </row>
    <row r="212" spans="1:48" ht="15">
      <c r="A212" s="5"/>
      <c r="E212" s="66"/>
      <c r="F212" s="5" t="str">
        <f ca="1">IFERROR(__xludf.DUMMYFUNCTION("IFERROR(VLOOKUP(F273,IMPORTRANGE(""https://docs.google.com/spreadsheets/d/1Kvs4KS76FHFqLFIZfrDMff4kP08nblUkihrxltoGBjg/edit#gid=934712705"",""ESENCIAL!A6:BG""),3,FALSE))"),"")</f>
        <v/>
      </c>
      <c r="G212" s="5" t="str">
        <f ca="1">IFERROR(__xludf.DUMMYFUNCTION("IFERROR(VLOOKUP(F273,IMPORTRANGE(""https://docs.google.com/spreadsheets/d/1Kvs4KS76FHFqLFIZfrDMff4kP08nblUkihrxltoGBjg/edit#gid=934712705"",""ESENCIAL!A6:BG""),8,FALSE))"),"")</f>
        <v/>
      </c>
      <c r="K212" s="287"/>
      <c r="S212" s="66"/>
      <c r="T212" s="66"/>
      <c r="U212" s="66"/>
      <c r="AT212" s="41" t="str">
        <f>IF(D212&gt;0,IF(AND(#REF!=1,#REF!=1),"Procede_E_P","NO_CUMPLE"),"")</f>
        <v/>
      </c>
      <c r="AU212" s="5" t="str">
        <f ca="1">IFERROR(__xludf.DUMMYFUNCTION("IFERROR(VLOOKUP(E273&amp;F273,IMPORTRANGE(""https://docs.google.com/spreadsheets/d/1Uw7-A9f9R21vMXxHZFNpYNeKFtG8_yji4HS352LGlSQ/edit?pli=1#gid=0"",""1_ACUM!A4:S""),11,FALSE))"),"")</f>
        <v/>
      </c>
      <c r="AV212" s="42" t="str">
        <f ca="1">IFERROR(__xludf.DUMMYFUNCTION("IFERROR(VLOOKUP(F273,IMPORTRANGE(""https://docs.google.com/spreadsheets/d/1Kvs4KS76FHFqLFIZfrDMff4kP08nblUkihrxltoGBjg/edit#gid=934712705"",""ESENCIAL!A6:BG""),15,FALSE))"),"")</f>
        <v/>
      </c>
    </row>
    <row r="213" spans="1:48" ht="15">
      <c r="A213" s="5"/>
      <c r="E213" s="66"/>
      <c r="F213" s="5" t="str">
        <f ca="1">IFERROR(__xludf.DUMMYFUNCTION("IFERROR(VLOOKUP(F274,IMPORTRANGE(""https://docs.google.com/spreadsheets/d/1Kvs4KS76FHFqLFIZfrDMff4kP08nblUkihrxltoGBjg/edit#gid=934712705"",""ESENCIAL!A6:BG""),3,FALSE))"),"")</f>
        <v/>
      </c>
      <c r="G213" s="5" t="str">
        <f ca="1">IFERROR(__xludf.DUMMYFUNCTION("IFERROR(VLOOKUP(F274,IMPORTRANGE(""https://docs.google.com/spreadsheets/d/1Kvs4KS76FHFqLFIZfrDMff4kP08nblUkihrxltoGBjg/edit#gid=934712705"",""ESENCIAL!A6:BG""),8,FALSE))"),"")</f>
        <v/>
      </c>
      <c r="K213" s="287"/>
      <c r="S213" s="66"/>
      <c r="T213" s="66"/>
      <c r="U213" s="66"/>
      <c r="AT213" s="41" t="str">
        <f>IF(D213&gt;0,IF(AND(#REF!=1,#REF!=1),"Procede_E_P","NO_CUMPLE"),"")</f>
        <v/>
      </c>
      <c r="AU213" s="5" t="str">
        <f ca="1">IFERROR(__xludf.DUMMYFUNCTION("IFERROR(VLOOKUP(E274&amp;F274,IMPORTRANGE(""https://docs.google.com/spreadsheets/d/1Uw7-A9f9R21vMXxHZFNpYNeKFtG8_yji4HS352LGlSQ/edit?pli=1#gid=0"",""1_ACUM!A4:S""),11,FALSE))"),"")</f>
        <v/>
      </c>
      <c r="AV213" s="42" t="str">
        <f ca="1">IFERROR(__xludf.DUMMYFUNCTION("IFERROR(VLOOKUP(F274,IMPORTRANGE(""https://docs.google.com/spreadsheets/d/1Kvs4KS76FHFqLFIZfrDMff4kP08nblUkihrxltoGBjg/edit#gid=934712705"",""ESENCIAL!A6:BG""),15,FALSE))"),"")</f>
        <v/>
      </c>
    </row>
    <row r="214" spans="1:48" ht="15">
      <c r="A214" s="5"/>
      <c r="E214" s="66"/>
      <c r="F214" s="5" t="str">
        <f ca="1">IFERROR(__xludf.DUMMYFUNCTION("IFERROR(VLOOKUP(F275,IMPORTRANGE(""https://docs.google.com/spreadsheets/d/1Kvs4KS76FHFqLFIZfrDMff4kP08nblUkihrxltoGBjg/edit#gid=934712705"",""ESENCIAL!A6:BG""),3,FALSE))"),"")</f>
        <v/>
      </c>
      <c r="G214" s="5" t="str">
        <f ca="1">IFERROR(__xludf.DUMMYFUNCTION("IFERROR(VLOOKUP(F275,IMPORTRANGE(""https://docs.google.com/spreadsheets/d/1Kvs4KS76FHFqLFIZfrDMff4kP08nblUkihrxltoGBjg/edit#gid=934712705"",""ESENCIAL!A6:BG""),8,FALSE))"),"")</f>
        <v/>
      </c>
      <c r="K214" s="287"/>
      <c r="S214" s="66"/>
      <c r="T214" s="66"/>
      <c r="U214" s="66"/>
      <c r="AT214" s="41" t="str">
        <f>IF(D214&gt;0,IF(AND(#REF!=1,#REF!=1),"Procede_E_P","NO_CUMPLE"),"")</f>
        <v/>
      </c>
      <c r="AU214" s="5" t="str">
        <f ca="1">IFERROR(__xludf.DUMMYFUNCTION("IFERROR(VLOOKUP(E275&amp;F275,IMPORTRANGE(""https://docs.google.com/spreadsheets/d/1Uw7-A9f9R21vMXxHZFNpYNeKFtG8_yji4HS352LGlSQ/edit?pli=1#gid=0"",""1_ACUM!A4:S""),11,FALSE))"),"")</f>
        <v/>
      </c>
      <c r="AV214" s="42" t="str">
        <f ca="1">IFERROR(__xludf.DUMMYFUNCTION("IFERROR(VLOOKUP(F275,IMPORTRANGE(""https://docs.google.com/spreadsheets/d/1Kvs4KS76FHFqLFIZfrDMff4kP08nblUkihrxltoGBjg/edit#gid=934712705"",""ESENCIAL!A6:BG""),15,FALSE))"),"")</f>
        <v/>
      </c>
    </row>
    <row r="215" spans="1:48" ht="15">
      <c r="A215" s="5"/>
      <c r="E215" s="66"/>
      <c r="F215" s="5" t="str">
        <f ca="1">IFERROR(__xludf.DUMMYFUNCTION("IFERROR(VLOOKUP(F276,IMPORTRANGE(""https://docs.google.com/spreadsheets/d/1Kvs4KS76FHFqLFIZfrDMff4kP08nblUkihrxltoGBjg/edit#gid=934712705"",""ESENCIAL!A6:BG""),3,FALSE))"),"")</f>
        <v/>
      </c>
      <c r="G215" s="5" t="str">
        <f ca="1">IFERROR(__xludf.DUMMYFUNCTION("IFERROR(VLOOKUP(F276,IMPORTRANGE(""https://docs.google.com/spreadsheets/d/1Kvs4KS76FHFqLFIZfrDMff4kP08nblUkihrxltoGBjg/edit#gid=934712705"",""ESENCIAL!A6:BG""),8,FALSE))"),"")</f>
        <v/>
      </c>
      <c r="K215" s="287"/>
      <c r="S215" s="66"/>
      <c r="T215" s="66"/>
      <c r="U215" s="66"/>
      <c r="AT215" s="41" t="str">
        <f>IF(D215&gt;0,IF(AND(#REF!=1,#REF!=1),"Procede_E_P","NO_CUMPLE"),"")</f>
        <v/>
      </c>
      <c r="AU215" s="5" t="str">
        <f ca="1">IFERROR(__xludf.DUMMYFUNCTION("IFERROR(VLOOKUP(E276&amp;F276,IMPORTRANGE(""https://docs.google.com/spreadsheets/d/1Uw7-A9f9R21vMXxHZFNpYNeKFtG8_yji4HS352LGlSQ/edit?pli=1#gid=0"",""1_ACUM!A4:S""),11,FALSE))"),"")</f>
        <v/>
      </c>
      <c r="AV215" s="42" t="str">
        <f ca="1">IFERROR(__xludf.DUMMYFUNCTION("IFERROR(VLOOKUP(F276,IMPORTRANGE(""https://docs.google.com/spreadsheets/d/1Kvs4KS76FHFqLFIZfrDMff4kP08nblUkihrxltoGBjg/edit#gid=934712705"",""ESENCIAL!A6:BG""),15,FALSE))"),"")</f>
        <v/>
      </c>
    </row>
    <row r="216" spans="1:48" ht="15">
      <c r="A216" s="5"/>
      <c r="E216" s="66"/>
      <c r="F216" s="5" t="str">
        <f ca="1">IFERROR(__xludf.DUMMYFUNCTION("IFERROR(VLOOKUP(F277,IMPORTRANGE(""https://docs.google.com/spreadsheets/d/1Kvs4KS76FHFqLFIZfrDMff4kP08nblUkihrxltoGBjg/edit#gid=934712705"",""ESENCIAL!A6:BG""),3,FALSE))"),"")</f>
        <v/>
      </c>
      <c r="G216" s="5" t="str">
        <f ca="1">IFERROR(__xludf.DUMMYFUNCTION("IFERROR(VLOOKUP(F277,IMPORTRANGE(""https://docs.google.com/spreadsheets/d/1Kvs4KS76FHFqLFIZfrDMff4kP08nblUkihrxltoGBjg/edit#gid=934712705"",""ESENCIAL!A6:BG""),8,FALSE))"),"")</f>
        <v/>
      </c>
      <c r="K216" s="287"/>
      <c r="S216" s="66"/>
      <c r="T216" s="66"/>
      <c r="U216" s="66"/>
      <c r="AT216" s="41" t="str">
        <f>IF(D216&gt;0,IF(AND(#REF!=1,#REF!=1),"Procede_E_P","NO_CUMPLE"),"")</f>
        <v/>
      </c>
      <c r="AU216" s="5" t="str">
        <f ca="1">IFERROR(__xludf.DUMMYFUNCTION("IFERROR(VLOOKUP(E277&amp;F277,IMPORTRANGE(""https://docs.google.com/spreadsheets/d/1Uw7-A9f9R21vMXxHZFNpYNeKFtG8_yji4HS352LGlSQ/edit?pli=1#gid=0"",""1_ACUM!A4:S""),11,FALSE))"),"")</f>
        <v/>
      </c>
      <c r="AV216" s="42" t="str">
        <f ca="1">IFERROR(__xludf.DUMMYFUNCTION("IFERROR(VLOOKUP(F277,IMPORTRANGE(""https://docs.google.com/spreadsheets/d/1Kvs4KS76FHFqLFIZfrDMff4kP08nblUkihrxltoGBjg/edit#gid=934712705"",""ESENCIAL!A6:BG""),15,FALSE))"),"")</f>
        <v/>
      </c>
    </row>
    <row r="217" spans="1:48" ht="15">
      <c r="A217" s="5"/>
      <c r="E217" s="66"/>
      <c r="F217" s="5" t="str">
        <f ca="1">IFERROR(__xludf.DUMMYFUNCTION("IFERROR(VLOOKUP(F278,IMPORTRANGE(""https://docs.google.com/spreadsheets/d/1Kvs4KS76FHFqLFIZfrDMff4kP08nblUkihrxltoGBjg/edit#gid=934712705"",""ESENCIAL!A6:BG""),3,FALSE))"),"")</f>
        <v/>
      </c>
      <c r="G217" s="5" t="str">
        <f ca="1">IFERROR(__xludf.DUMMYFUNCTION("IFERROR(VLOOKUP(F278,IMPORTRANGE(""https://docs.google.com/spreadsheets/d/1Kvs4KS76FHFqLFIZfrDMff4kP08nblUkihrxltoGBjg/edit#gid=934712705"",""ESENCIAL!A6:BG""),8,FALSE))"),"")</f>
        <v/>
      </c>
      <c r="K217" s="287"/>
      <c r="S217" s="66"/>
      <c r="T217" s="66"/>
      <c r="U217" s="66"/>
      <c r="AT217" s="41" t="str">
        <f>IF(D217&gt;0,IF(AND(#REF!=1,#REF!=1),"Procede_E_P","NO_CUMPLE"),"")</f>
        <v/>
      </c>
      <c r="AU217" s="5" t="str">
        <f ca="1">IFERROR(__xludf.DUMMYFUNCTION("IFERROR(VLOOKUP(E278&amp;F278,IMPORTRANGE(""https://docs.google.com/spreadsheets/d/1Uw7-A9f9R21vMXxHZFNpYNeKFtG8_yji4HS352LGlSQ/edit?pli=1#gid=0"",""1_ACUM!A4:S""),11,FALSE))"),"")</f>
        <v/>
      </c>
      <c r="AV217" s="42" t="str">
        <f ca="1">IFERROR(__xludf.DUMMYFUNCTION("IFERROR(VLOOKUP(F278,IMPORTRANGE(""https://docs.google.com/spreadsheets/d/1Kvs4KS76FHFqLFIZfrDMff4kP08nblUkihrxltoGBjg/edit#gid=934712705"",""ESENCIAL!A6:BG""),15,FALSE))"),"")</f>
        <v/>
      </c>
    </row>
    <row r="218" spans="1:48" ht="15">
      <c r="A218" s="5"/>
      <c r="E218" s="66"/>
      <c r="F218" s="5" t="str">
        <f ca="1">IFERROR(__xludf.DUMMYFUNCTION("IFERROR(VLOOKUP(F279,IMPORTRANGE(""https://docs.google.com/spreadsheets/d/1Kvs4KS76FHFqLFIZfrDMff4kP08nblUkihrxltoGBjg/edit#gid=934712705"",""ESENCIAL!A6:BG""),3,FALSE))"),"")</f>
        <v/>
      </c>
      <c r="G218" s="5" t="str">
        <f ca="1">IFERROR(__xludf.DUMMYFUNCTION("IFERROR(VLOOKUP(F279,IMPORTRANGE(""https://docs.google.com/spreadsheets/d/1Kvs4KS76FHFqLFIZfrDMff4kP08nblUkihrxltoGBjg/edit#gid=934712705"",""ESENCIAL!A6:BG""),8,FALSE))"),"")</f>
        <v/>
      </c>
      <c r="K218" s="287"/>
      <c r="S218" s="66"/>
      <c r="T218" s="66"/>
      <c r="U218" s="66"/>
      <c r="AT218" s="41" t="str">
        <f>IF(D218&gt;0,IF(AND(#REF!=1,#REF!=1),"Procede_E_P","NO_CUMPLE"),"")</f>
        <v/>
      </c>
      <c r="AU218" s="5" t="str">
        <f ca="1">IFERROR(__xludf.DUMMYFUNCTION("IFERROR(VLOOKUP(E279&amp;F279,IMPORTRANGE(""https://docs.google.com/spreadsheets/d/1Uw7-A9f9R21vMXxHZFNpYNeKFtG8_yji4HS352LGlSQ/edit?pli=1#gid=0"",""1_ACUM!A4:S""),11,FALSE))"),"")</f>
        <v/>
      </c>
      <c r="AV218" s="42" t="str">
        <f ca="1">IFERROR(__xludf.DUMMYFUNCTION("IFERROR(VLOOKUP(F279,IMPORTRANGE(""https://docs.google.com/spreadsheets/d/1Kvs4KS76FHFqLFIZfrDMff4kP08nblUkihrxltoGBjg/edit#gid=934712705"",""ESENCIAL!A6:BG""),15,FALSE))"),"")</f>
        <v/>
      </c>
    </row>
    <row r="219" spans="1:48" ht="15">
      <c r="A219" s="5"/>
      <c r="E219" s="66"/>
      <c r="F219" s="5" t="str">
        <f ca="1">IFERROR(__xludf.DUMMYFUNCTION("IFERROR(VLOOKUP(F280,IMPORTRANGE(""https://docs.google.com/spreadsheets/d/1Kvs4KS76FHFqLFIZfrDMff4kP08nblUkihrxltoGBjg/edit#gid=934712705"",""ESENCIAL!A6:BG""),3,FALSE))"),"")</f>
        <v/>
      </c>
      <c r="G219" s="5" t="str">
        <f ca="1">IFERROR(__xludf.DUMMYFUNCTION("IFERROR(VLOOKUP(F280,IMPORTRANGE(""https://docs.google.com/spreadsheets/d/1Kvs4KS76FHFqLFIZfrDMff4kP08nblUkihrxltoGBjg/edit#gid=934712705"",""ESENCIAL!A6:BG""),8,FALSE))"),"")</f>
        <v/>
      </c>
      <c r="K219" s="287"/>
      <c r="S219" s="66"/>
      <c r="T219" s="66"/>
      <c r="U219" s="66"/>
      <c r="AT219" s="41" t="str">
        <f>IF(D219&gt;0,IF(AND(#REF!=1,#REF!=1),"Procede_E_P","NO_CUMPLE"),"")</f>
        <v/>
      </c>
      <c r="AU219" s="5" t="str">
        <f ca="1">IFERROR(__xludf.DUMMYFUNCTION("IFERROR(VLOOKUP(E280&amp;F280,IMPORTRANGE(""https://docs.google.com/spreadsheets/d/1Uw7-A9f9R21vMXxHZFNpYNeKFtG8_yji4HS352LGlSQ/edit?pli=1#gid=0"",""1_ACUM!A4:S""),11,FALSE))"),"")</f>
        <v/>
      </c>
      <c r="AV219" s="42" t="str">
        <f ca="1">IFERROR(__xludf.DUMMYFUNCTION("IFERROR(VLOOKUP(F280,IMPORTRANGE(""https://docs.google.com/spreadsheets/d/1Kvs4KS76FHFqLFIZfrDMff4kP08nblUkihrxltoGBjg/edit#gid=934712705"",""ESENCIAL!A6:BG""),15,FALSE))"),"")</f>
        <v/>
      </c>
    </row>
    <row r="220" spans="1:48" ht="15">
      <c r="A220" s="5"/>
      <c r="E220" s="66"/>
      <c r="F220" s="5" t="str">
        <f ca="1">IFERROR(__xludf.DUMMYFUNCTION("IFERROR(VLOOKUP(F281,IMPORTRANGE(""https://docs.google.com/spreadsheets/d/1Kvs4KS76FHFqLFIZfrDMff4kP08nblUkihrxltoGBjg/edit#gid=934712705"",""ESENCIAL!A6:BG""),3,FALSE))"),"")</f>
        <v/>
      </c>
      <c r="G220" s="5" t="str">
        <f ca="1">IFERROR(__xludf.DUMMYFUNCTION("IFERROR(VLOOKUP(F281,IMPORTRANGE(""https://docs.google.com/spreadsheets/d/1Kvs4KS76FHFqLFIZfrDMff4kP08nblUkihrxltoGBjg/edit#gid=934712705"",""ESENCIAL!A6:BG""),8,FALSE))"),"")</f>
        <v/>
      </c>
      <c r="K220" s="287"/>
      <c r="S220" s="66"/>
      <c r="T220" s="66"/>
      <c r="U220" s="66"/>
      <c r="AT220" s="41" t="str">
        <f>IF(D220&gt;0,IF(AND(#REF!=1,#REF!=1),"Procede_E_P","NO_CUMPLE"),"")</f>
        <v/>
      </c>
      <c r="AU220" s="5" t="str">
        <f ca="1">IFERROR(__xludf.DUMMYFUNCTION("IFERROR(VLOOKUP(E281&amp;F281,IMPORTRANGE(""https://docs.google.com/spreadsheets/d/1Uw7-A9f9R21vMXxHZFNpYNeKFtG8_yji4HS352LGlSQ/edit?pli=1#gid=0"",""1_ACUM!A4:S""),11,FALSE))"),"")</f>
        <v/>
      </c>
      <c r="AV220" s="42" t="str">
        <f ca="1">IFERROR(__xludf.DUMMYFUNCTION("IFERROR(VLOOKUP(F281,IMPORTRANGE(""https://docs.google.com/spreadsheets/d/1Kvs4KS76FHFqLFIZfrDMff4kP08nblUkihrxltoGBjg/edit#gid=934712705"",""ESENCIAL!A6:BG""),15,FALSE))"),"")</f>
        <v/>
      </c>
    </row>
    <row r="221" spans="1:48" ht="15">
      <c r="A221" s="5"/>
      <c r="E221" s="66"/>
      <c r="F221" s="5" t="str">
        <f ca="1">IFERROR(__xludf.DUMMYFUNCTION("IFERROR(VLOOKUP(F282,IMPORTRANGE(""https://docs.google.com/spreadsheets/d/1Kvs4KS76FHFqLFIZfrDMff4kP08nblUkihrxltoGBjg/edit#gid=934712705"",""ESENCIAL!A6:BG""),3,FALSE))"),"")</f>
        <v/>
      </c>
      <c r="G221" s="5" t="str">
        <f ca="1">IFERROR(__xludf.DUMMYFUNCTION("IFERROR(VLOOKUP(F282,IMPORTRANGE(""https://docs.google.com/spreadsheets/d/1Kvs4KS76FHFqLFIZfrDMff4kP08nblUkihrxltoGBjg/edit#gid=934712705"",""ESENCIAL!A6:BG""),8,FALSE))"),"")</f>
        <v/>
      </c>
      <c r="K221" s="287"/>
      <c r="S221" s="66"/>
      <c r="T221" s="66"/>
      <c r="U221" s="66"/>
      <c r="AT221" s="41" t="str">
        <f>IF(D221&gt;0,IF(AND(#REF!=1,#REF!=1),"Procede_E_P","NO_CUMPLE"),"")</f>
        <v/>
      </c>
      <c r="AU221" s="5" t="str">
        <f ca="1">IFERROR(__xludf.DUMMYFUNCTION("IFERROR(VLOOKUP(E282&amp;F282,IMPORTRANGE(""https://docs.google.com/spreadsheets/d/1Uw7-A9f9R21vMXxHZFNpYNeKFtG8_yji4HS352LGlSQ/edit?pli=1#gid=0"",""1_ACUM!A4:S""),11,FALSE))"),"")</f>
        <v/>
      </c>
      <c r="AV221" s="42" t="str">
        <f ca="1">IFERROR(__xludf.DUMMYFUNCTION("IFERROR(VLOOKUP(F282,IMPORTRANGE(""https://docs.google.com/spreadsheets/d/1Kvs4KS76FHFqLFIZfrDMff4kP08nblUkihrxltoGBjg/edit#gid=934712705"",""ESENCIAL!A6:BG""),15,FALSE))"),"")</f>
        <v/>
      </c>
    </row>
    <row r="222" spans="1:48" ht="15">
      <c r="A222" s="5"/>
      <c r="E222" s="66"/>
      <c r="F222" s="5" t="str">
        <f ca="1">IFERROR(__xludf.DUMMYFUNCTION("IFERROR(VLOOKUP(F283,IMPORTRANGE(""https://docs.google.com/spreadsheets/d/1Kvs4KS76FHFqLFIZfrDMff4kP08nblUkihrxltoGBjg/edit#gid=934712705"",""ESENCIAL!A6:BG""),3,FALSE))"),"")</f>
        <v/>
      </c>
      <c r="G222" s="5" t="str">
        <f ca="1">IFERROR(__xludf.DUMMYFUNCTION("IFERROR(VLOOKUP(F283,IMPORTRANGE(""https://docs.google.com/spreadsheets/d/1Kvs4KS76FHFqLFIZfrDMff4kP08nblUkihrxltoGBjg/edit#gid=934712705"",""ESENCIAL!A6:BG""),8,FALSE))"),"")</f>
        <v/>
      </c>
      <c r="K222" s="287"/>
      <c r="S222" s="66"/>
      <c r="T222" s="66"/>
      <c r="U222" s="66"/>
      <c r="AT222" s="41" t="str">
        <f>IF(D222&gt;0,IF(AND(#REF!=1,#REF!=1),"Procede_E_P","NO_CUMPLE"),"")</f>
        <v/>
      </c>
      <c r="AU222" s="5" t="str">
        <f ca="1">IFERROR(__xludf.DUMMYFUNCTION("IFERROR(VLOOKUP(E283&amp;F283,IMPORTRANGE(""https://docs.google.com/spreadsheets/d/1Uw7-A9f9R21vMXxHZFNpYNeKFtG8_yji4HS352LGlSQ/edit?pli=1#gid=0"",""1_ACUM!A4:S""),11,FALSE))"),"")</f>
        <v/>
      </c>
      <c r="AV222" s="42" t="str">
        <f ca="1">IFERROR(__xludf.DUMMYFUNCTION("IFERROR(VLOOKUP(F283,IMPORTRANGE(""https://docs.google.com/spreadsheets/d/1Kvs4KS76FHFqLFIZfrDMff4kP08nblUkihrxltoGBjg/edit#gid=934712705"",""ESENCIAL!A6:BG""),15,FALSE))"),"")</f>
        <v/>
      </c>
    </row>
    <row r="223" spans="1:48" ht="15">
      <c r="A223" s="5"/>
      <c r="E223" s="66"/>
      <c r="F223" s="5" t="str">
        <f ca="1">IFERROR(__xludf.DUMMYFUNCTION("IFERROR(VLOOKUP(F284,IMPORTRANGE(""https://docs.google.com/spreadsheets/d/1Kvs4KS76FHFqLFIZfrDMff4kP08nblUkihrxltoGBjg/edit#gid=934712705"",""ESENCIAL!A6:BG""),3,FALSE))"),"")</f>
        <v/>
      </c>
      <c r="G223" s="5" t="str">
        <f ca="1">IFERROR(__xludf.DUMMYFUNCTION("IFERROR(VLOOKUP(F284,IMPORTRANGE(""https://docs.google.com/spreadsheets/d/1Kvs4KS76FHFqLFIZfrDMff4kP08nblUkihrxltoGBjg/edit#gid=934712705"",""ESENCIAL!A6:BG""),8,FALSE))"),"")</f>
        <v/>
      </c>
      <c r="K223" s="287"/>
      <c r="S223" s="66"/>
      <c r="T223" s="66"/>
      <c r="U223" s="66"/>
      <c r="AT223" s="41" t="str">
        <f>IF(D223&gt;0,IF(AND(#REF!=1,#REF!=1),"Procede_E_P","NO_CUMPLE"),"")</f>
        <v/>
      </c>
      <c r="AU223" s="5" t="str">
        <f ca="1">IFERROR(__xludf.DUMMYFUNCTION("IFERROR(VLOOKUP(E284&amp;F284,IMPORTRANGE(""https://docs.google.com/spreadsheets/d/1Uw7-A9f9R21vMXxHZFNpYNeKFtG8_yji4HS352LGlSQ/edit?pli=1#gid=0"",""1_ACUM!A4:S""),11,FALSE))"),"")</f>
        <v/>
      </c>
      <c r="AV223" s="42" t="str">
        <f ca="1">IFERROR(__xludf.DUMMYFUNCTION("IFERROR(VLOOKUP(F284,IMPORTRANGE(""https://docs.google.com/spreadsheets/d/1Kvs4KS76FHFqLFIZfrDMff4kP08nblUkihrxltoGBjg/edit#gid=934712705"",""ESENCIAL!A6:BG""),15,FALSE))"),"")</f>
        <v/>
      </c>
    </row>
    <row r="224" spans="1:48" ht="15">
      <c r="A224" s="5"/>
      <c r="E224" s="66"/>
      <c r="F224" s="5" t="str">
        <f ca="1">IFERROR(__xludf.DUMMYFUNCTION("IFERROR(VLOOKUP(F285,IMPORTRANGE(""https://docs.google.com/spreadsheets/d/1Kvs4KS76FHFqLFIZfrDMff4kP08nblUkihrxltoGBjg/edit#gid=934712705"",""ESENCIAL!A6:BG""),3,FALSE))"),"")</f>
        <v/>
      </c>
      <c r="G224" s="5" t="str">
        <f ca="1">IFERROR(__xludf.DUMMYFUNCTION("IFERROR(VLOOKUP(F285,IMPORTRANGE(""https://docs.google.com/spreadsheets/d/1Kvs4KS76FHFqLFIZfrDMff4kP08nblUkihrxltoGBjg/edit#gid=934712705"",""ESENCIAL!A6:BG""),8,FALSE))"),"")</f>
        <v/>
      </c>
      <c r="K224" s="287"/>
      <c r="S224" s="66"/>
      <c r="T224" s="66"/>
      <c r="U224" s="66"/>
      <c r="AT224" s="41" t="str">
        <f>IF(D224&gt;0,IF(AND(#REF!=1,#REF!=1),"Procede_E_P","NO_CUMPLE"),"")</f>
        <v/>
      </c>
      <c r="AU224" s="5" t="str">
        <f ca="1">IFERROR(__xludf.DUMMYFUNCTION("IFERROR(VLOOKUP(E285&amp;F285,IMPORTRANGE(""https://docs.google.com/spreadsheets/d/1Uw7-A9f9R21vMXxHZFNpYNeKFtG8_yji4HS352LGlSQ/edit?pli=1#gid=0"",""1_ACUM!A4:S""),11,FALSE))"),"")</f>
        <v/>
      </c>
      <c r="AV224" s="42" t="str">
        <f ca="1">IFERROR(__xludf.DUMMYFUNCTION("IFERROR(VLOOKUP(F285,IMPORTRANGE(""https://docs.google.com/spreadsheets/d/1Kvs4KS76FHFqLFIZfrDMff4kP08nblUkihrxltoGBjg/edit#gid=934712705"",""ESENCIAL!A6:BG""),15,FALSE))"),"")</f>
        <v/>
      </c>
    </row>
    <row r="225" spans="1:48" ht="15">
      <c r="A225" s="5"/>
      <c r="E225" s="66"/>
      <c r="F225" s="5" t="str">
        <f ca="1">IFERROR(__xludf.DUMMYFUNCTION("IFERROR(VLOOKUP(F286,IMPORTRANGE(""https://docs.google.com/spreadsheets/d/1Kvs4KS76FHFqLFIZfrDMff4kP08nblUkihrxltoGBjg/edit#gid=934712705"",""ESENCIAL!A6:BG""),3,FALSE))"),"")</f>
        <v/>
      </c>
      <c r="G225" s="5" t="str">
        <f ca="1">IFERROR(__xludf.DUMMYFUNCTION("IFERROR(VLOOKUP(F286,IMPORTRANGE(""https://docs.google.com/spreadsheets/d/1Kvs4KS76FHFqLFIZfrDMff4kP08nblUkihrxltoGBjg/edit#gid=934712705"",""ESENCIAL!A6:BG""),8,FALSE))"),"")</f>
        <v/>
      </c>
      <c r="K225" s="287"/>
      <c r="S225" s="66"/>
      <c r="T225" s="66"/>
      <c r="U225" s="66"/>
      <c r="AT225" s="41" t="str">
        <f>IF(D225&gt;0,IF(AND(#REF!=1,#REF!=1),"Procede_E_P","NO_CUMPLE"),"")</f>
        <v/>
      </c>
      <c r="AU225" s="5" t="str">
        <f ca="1">IFERROR(__xludf.DUMMYFUNCTION("IFERROR(VLOOKUP(E286&amp;F286,IMPORTRANGE(""https://docs.google.com/spreadsheets/d/1Uw7-A9f9R21vMXxHZFNpYNeKFtG8_yji4HS352LGlSQ/edit?pli=1#gid=0"",""1_ACUM!A4:S""),11,FALSE))"),"")</f>
        <v/>
      </c>
      <c r="AV225" s="42" t="str">
        <f ca="1">IFERROR(__xludf.DUMMYFUNCTION("IFERROR(VLOOKUP(F286,IMPORTRANGE(""https://docs.google.com/spreadsheets/d/1Kvs4KS76FHFqLFIZfrDMff4kP08nblUkihrxltoGBjg/edit#gid=934712705"",""ESENCIAL!A6:BG""),15,FALSE))"),"")</f>
        <v/>
      </c>
    </row>
    <row r="226" spans="1:48" ht="15">
      <c r="A226" s="5"/>
      <c r="E226" s="66"/>
      <c r="F226" s="5" t="str">
        <f ca="1">IFERROR(__xludf.DUMMYFUNCTION("IFERROR(VLOOKUP(F287,IMPORTRANGE(""https://docs.google.com/spreadsheets/d/1Kvs4KS76FHFqLFIZfrDMff4kP08nblUkihrxltoGBjg/edit#gid=934712705"",""ESENCIAL!A6:BG""),3,FALSE))"),"")</f>
        <v/>
      </c>
      <c r="G226" s="5" t="str">
        <f ca="1">IFERROR(__xludf.DUMMYFUNCTION("IFERROR(VLOOKUP(F287,IMPORTRANGE(""https://docs.google.com/spreadsheets/d/1Kvs4KS76FHFqLFIZfrDMff4kP08nblUkihrxltoGBjg/edit#gid=934712705"",""ESENCIAL!A6:BG""),8,FALSE))"),"")</f>
        <v/>
      </c>
      <c r="K226" s="287"/>
      <c r="S226" s="66"/>
      <c r="T226" s="66"/>
      <c r="U226" s="66"/>
      <c r="AT226" s="41" t="str">
        <f>IF(D226&gt;0,IF(AND(#REF!=1,#REF!=1),"Procede_E_P","NO_CUMPLE"),"")</f>
        <v/>
      </c>
      <c r="AU226" s="5" t="str">
        <f ca="1">IFERROR(__xludf.DUMMYFUNCTION("IFERROR(VLOOKUP(E287&amp;F287,IMPORTRANGE(""https://docs.google.com/spreadsheets/d/1Uw7-A9f9R21vMXxHZFNpYNeKFtG8_yji4HS352LGlSQ/edit?pli=1#gid=0"",""1_ACUM!A4:S""),11,FALSE))"),"")</f>
        <v/>
      </c>
      <c r="AV226" s="42" t="str">
        <f ca="1">IFERROR(__xludf.DUMMYFUNCTION("IFERROR(VLOOKUP(F287,IMPORTRANGE(""https://docs.google.com/spreadsheets/d/1Kvs4KS76FHFqLFIZfrDMff4kP08nblUkihrxltoGBjg/edit#gid=934712705"",""ESENCIAL!A6:BG""),15,FALSE))"),"")</f>
        <v/>
      </c>
    </row>
    <row r="227" spans="1:48" ht="15">
      <c r="A227" s="5"/>
      <c r="E227" s="66"/>
      <c r="F227" s="5" t="str">
        <f ca="1">IFERROR(__xludf.DUMMYFUNCTION("IFERROR(VLOOKUP(F288,IMPORTRANGE(""https://docs.google.com/spreadsheets/d/1Kvs4KS76FHFqLFIZfrDMff4kP08nblUkihrxltoGBjg/edit#gid=934712705"",""ESENCIAL!A6:BG""),3,FALSE))"),"")</f>
        <v/>
      </c>
      <c r="G227" s="5" t="str">
        <f ca="1">IFERROR(__xludf.DUMMYFUNCTION("IFERROR(VLOOKUP(F288,IMPORTRANGE(""https://docs.google.com/spreadsheets/d/1Kvs4KS76FHFqLFIZfrDMff4kP08nblUkihrxltoGBjg/edit#gid=934712705"",""ESENCIAL!A6:BG""),8,FALSE))"),"")</f>
        <v/>
      </c>
      <c r="K227" s="287"/>
      <c r="S227" s="66"/>
      <c r="T227" s="66"/>
      <c r="U227" s="66"/>
      <c r="AT227" s="41" t="str">
        <f>IF(D227&gt;0,IF(AND(#REF!=1,#REF!=1),"Procede_E_P","NO_CUMPLE"),"")</f>
        <v/>
      </c>
      <c r="AU227" s="5" t="str">
        <f ca="1">IFERROR(__xludf.DUMMYFUNCTION("IFERROR(VLOOKUP(E288&amp;F288,IMPORTRANGE(""https://docs.google.com/spreadsheets/d/1Uw7-A9f9R21vMXxHZFNpYNeKFtG8_yji4HS352LGlSQ/edit?pli=1#gid=0"",""1_ACUM!A4:S""),11,FALSE))"),"")</f>
        <v/>
      </c>
      <c r="AV227" s="42" t="str">
        <f ca="1">IFERROR(__xludf.DUMMYFUNCTION("IFERROR(VLOOKUP(F288,IMPORTRANGE(""https://docs.google.com/spreadsheets/d/1Kvs4KS76FHFqLFIZfrDMff4kP08nblUkihrxltoGBjg/edit#gid=934712705"",""ESENCIAL!A6:BG""),15,FALSE))"),"")</f>
        <v/>
      </c>
    </row>
    <row r="228" spans="1:48" ht="15">
      <c r="A228" s="5"/>
      <c r="E228" s="66"/>
      <c r="F228" s="5" t="str">
        <f ca="1">IFERROR(__xludf.DUMMYFUNCTION("IFERROR(VLOOKUP(F289,IMPORTRANGE(""https://docs.google.com/spreadsheets/d/1Kvs4KS76FHFqLFIZfrDMff4kP08nblUkihrxltoGBjg/edit#gid=934712705"",""ESENCIAL!A6:BG""),3,FALSE))"),"")</f>
        <v/>
      </c>
      <c r="G228" s="5" t="str">
        <f ca="1">IFERROR(__xludf.DUMMYFUNCTION("IFERROR(VLOOKUP(F289,IMPORTRANGE(""https://docs.google.com/spreadsheets/d/1Kvs4KS76FHFqLFIZfrDMff4kP08nblUkihrxltoGBjg/edit#gid=934712705"",""ESENCIAL!A6:BG""),8,FALSE))"),"")</f>
        <v/>
      </c>
      <c r="K228" s="287"/>
      <c r="S228" s="66"/>
      <c r="T228" s="66"/>
      <c r="U228" s="66"/>
      <c r="AT228" s="41" t="str">
        <f>IF(D228&gt;0,IF(AND(#REF!=1,#REF!=1),"Procede_E_P","NO_CUMPLE"),"")</f>
        <v/>
      </c>
      <c r="AU228" s="5" t="str">
        <f ca="1">IFERROR(__xludf.DUMMYFUNCTION("IFERROR(VLOOKUP(E289&amp;F289,IMPORTRANGE(""https://docs.google.com/spreadsheets/d/1Uw7-A9f9R21vMXxHZFNpYNeKFtG8_yji4HS352LGlSQ/edit?pli=1#gid=0"",""1_ACUM!A4:S""),11,FALSE))"),"")</f>
        <v/>
      </c>
      <c r="AV228" s="42" t="str">
        <f ca="1">IFERROR(__xludf.DUMMYFUNCTION("IFERROR(VLOOKUP(F289,IMPORTRANGE(""https://docs.google.com/spreadsheets/d/1Kvs4KS76FHFqLFIZfrDMff4kP08nblUkihrxltoGBjg/edit#gid=934712705"",""ESENCIAL!A6:BG""),15,FALSE))"),"")</f>
        <v/>
      </c>
    </row>
    <row r="229" spans="1:48" ht="15">
      <c r="A229" s="5"/>
      <c r="E229" s="66"/>
      <c r="F229" s="5" t="str">
        <f ca="1">IFERROR(__xludf.DUMMYFUNCTION("IFERROR(VLOOKUP(F290,IMPORTRANGE(""https://docs.google.com/spreadsheets/d/1Kvs4KS76FHFqLFIZfrDMff4kP08nblUkihrxltoGBjg/edit#gid=934712705"",""ESENCIAL!A6:BG""),3,FALSE))"),"")</f>
        <v/>
      </c>
      <c r="G229" s="5" t="str">
        <f ca="1">IFERROR(__xludf.DUMMYFUNCTION("IFERROR(VLOOKUP(F290,IMPORTRANGE(""https://docs.google.com/spreadsheets/d/1Kvs4KS76FHFqLFIZfrDMff4kP08nblUkihrxltoGBjg/edit#gid=934712705"",""ESENCIAL!A6:BG""),8,FALSE))"),"")</f>
        <v/>
      </c>
      <c r="K229" s="287"/>
      <c r="S229" s="66"/>
      <c r="T229" s="66"/>
      <c r="U229" s="66"/>
      <c r="AT229" s="41" t="str">
        <f>IF(D229&gt;0,IF(AND(#REF!=1,#REF!=1),"Procede_E_P","NO_CUMPLE"),"")</f>
        <v/>
      </c>
      <c r="AU229" s="5" t="str">
        <f ca="1">IFERROR(__xludf.DUMMYFUNCTION("IFERROR(VLOOKUP(E290&amp;F290,IMPORTRANGE(""https://docs.google.com/spreadsheets/d/1Uw7-A9f9R21vMXxHZFNpYNeKFtG8_yji4HS352LGlSQ/edit?pli=1#gid=0"",""1_ACUM!A4:S""),11,FALSE))"),"")</f>
        <v/>
      </c>
      <c r="AV229" s="42" t="str">
        <f ca="1">IFERROR(__xludf.DUMMYFUNCTION("IFERROR(VLOOKUP(F290,IMPORTRANGE(""https://docs.google.com/spreadsheets/d/1Kvs4KS76FHFqLFIZfrDMff4kP08nblUkihrxltoGBjg/edit#gid=934712705"",""ESENCIAL!A6:BG""),15,FALSE))"),"")</f>
        <v/>
      </c>
    </row>
    <row r="230" spans="1:48" ht="15">
      <c r="A230" s="5"/>
      <c r="E230" s="66"/>
      <c r="F230" s="5" t="str">
        <f ca="1">IFERROR(__xludf.DUMMYFUNCTION("IFERROR(VLOOKUP(F291,IMPORTRANGE(""https://docs.google.com/spreadsheets/d/1Kvs4KS76FHFqLFIZfrDMff4kP08nblUkihrxltoGBjg/edit#gid=934712705"",""ESENCIAL!A6:BG""),3,FALSE))"),"")</f>
        <v/>
      </c>
      <c r="G230" s="5" t="str">
        <f ca="1">IFERROR(__xludf.DUMMYFUNCTION("IFERROR(VLOOKUP(F291,IMPORTRANGE(""https://docs.google.com/spreadsheets/d/1Kvs4KS76FHFqLFIZfrDMff4kP08nblUkihrxltoGBjg/edit#gid=934712705"",""ESENCIAL!A6:BG""),8,FALSE))"),"")</f>
        <v/>
      </c>
      <c r="K230" s="287"/>
      <c r="S230" s="66"/>
      <c r="T230" s="66"/>
      <c r="U230" s="66"/>
      <c r="AT230" s="41" t="str">
        <f>IF(D230&gt;0,IF(AND(#REF!=1,#REF!=1),"Procede_E_P","NO_CUMPLE"),"")</f>
        <v/>
      </c>
      <c r="AU230" s="5" t="str">
        <f ca="1">IFERROR(__xludf.DUMMYFUNCTION("IFERROR(VLOOKUP(E291&amp;F291,IMPORTRANGE(""https://docs.google.com/spreadsheets/d/1Uw7-A9f9R21vMXxHZFNpYNeKFtG8_yji4HS352LGlSQ/edit?pli=1#gid=0"",""1_ACUM!A4:S""),11,FALSE))"),"")</f>
        <v/>
      </c>
      <c r="AV230" s="42" t="str">
        <f ca="1">IFERROR(__xludf.DUMMYFUNCTION("IFERROR(VLOOKUP(F291,IMPORTRANGE(""https://docs.google.com/spreadsheets/d/1Kvs4KS76FHFqLFIZfrDMff4kP08nblUkihrxltoGBjg/edit#gid=934712705"",""ESENCIAL!A6:BG""),15,FALSE))"),"")</f>
        <v/>
      </c>
    </row>
    <row r="231" spans="1:48" ht="15">
      <c r="A231" s="5"/>
      <c r="E231" s="66"/>
      <c r="F231" s="5" t="str">
        <f ca="1">IFERROR(__xludf.DUMMYFUNCTION("IFERROR(VLOOKUP(F292,IMPORTRANGE(""https://docs.google.com/spreadsheets/d/1Kvs4KS76FHFqLFIZfrDMff4kP08nblUkihrxltoGBjg/edit#gid=934712705"",""ESENCIAL!A6:BG""),3,FALSE))"),"")</f>
        <v/>
      </c>
      <c r="G231" s="5" t="str">
        <f ca="1">IFERROR(__xludf.DUMMYFUNCTION("IFERROR(VLOOKUP(F292,IMPORTRANGE(""https://docs.google.com/spreadsheets/d/1Kvs4KS76FHFqLFIZfrDMff4kP08nblUkihrxltoGBjg/edit#gid=934712705"",""ESENCIAL!A6:BG""),8,FALSE))"),"")</f>
        <v/>
      </c>
      <c r="K231" s="287"/>
      <c r="S231" s="66"/>
      <c r="T231" s="66"/>
      <c r="U231" s="66"/>
      <c r="AT231" s="41" t="str">
        <f>IF(D231&gt;0,IF(AND(#REF!=1,#REF!=1),"Procede_E_P","NO_CUMPLE"),"")</f>
        <v/>
      </c>
      <c r="AU231" s="5" t="str">
        <f ca="1">IFERROR(__xludf.DUMMYFUNCTION("IFERROR(VLOOKUP(E292&amp;F292,IMPORTRANGE(""https://docs.google.com/spreadsheets/d/1Uw7-A9f9R21vMXxHZFNpYNeKFtG8_yji4HS352LGlSQ/edit?pli=1#gid=0"",""1_ACUM!A4:S""),11,FALSE))"),"")</f>
        <v/>
      </c>
      <c r="AV231" s="42" t="str">
        <f ca="1">IFERROR(__xludf.DUMMYFUNCTION("IFERROR(VLOOKUP(F292,IMPORTRANGE(""https://docs.google.com/spreadsheets/d/1Kvs4KS76FHFqLFIZfrDMff4kP08nblUkihrxltoGBjg/edit#gid=934712705"",""ESENCIAL!A6:BG""),15,FALSE))"),"")</f>
        <v/>
      </c>
    </row>
    <row r="232" spans="1:48" ht="15">
      <c r="A232" s="5"/>
      <c r="E232" s="66"/>
      <c r="F232" s="5" t="str">
        <f ca="1">IFERROR(__xludf.DUMMYFUNCTION("IFERROR(VLOOKUP(F293,IMPORTRANGE(""https://docs.google.com/spreadsheets/d/1Kvs4KS76FHFqLFIZfrDMff4kP08nblUkihrxltoGBjg/edit#gid=934712705"",""ESENCIAL!A6:BG""),3,FALSE))"),"")</f>
        <v/>
      </c>
      <c r="G232" s="5" t="str">
        <f ca="1">IFERROR(__xludf.DUMMYFUNCTION("IFERROR(VLOOKUP(F293,IMPORTRANGE(""https://docs.google.com/spreadsheets/d/1Kvs4KS76FHFqLFIZfrDMff4kP08nblUkihrxltoGBjg/edit#gid=934712705"",""ESENCIAL!A6:BG""),8,FALSE))"),"")</f>
        <v/>
      </c>
      <c r="K232" s="287"/>
      <c r="S232" s="66"/>
      <c r="T232" s="66"/>
      <c r="U232" s="66"/>
      <c r="AT232" s="41" t="str">
        <f>IF(D232&gt;0,IF(AND(#REF!=1,#REF!=1),"Procede_E_P","NO_CUMPLE"),"")</f>
        <v/>
      </c>
      <c r="AU232" s="5" t="str">
        <f ca="1">IFERROR(__xludf.DUMMYFUNCTION("IFERROR(VLOOKUP(E293&amp;F293,IMPORTRANGE(""https://docs.google.com/spreadsheets/d/1Uw7-A9f9R21vMXxHZFNpYNeKFtG8_yji4HS352LGlSQ/edit?pli=1#gid=0"",""1_ACUM!A4:S""),11,FALSE))"),"")</f>
        <v/>
      </c>
      <c r="AV232" s="42" t="str">
        <f ca="1">IFERROR(__xludf.DUMMYFUNCTION("IFERROR(VLOOKUP(F293,IMPORTRANGE(""https://docs.google.com/spreadsheets/d/1Kvs4KS76FHFqLFIZfrDMff4kP08nblUkihrxltoGBjg/edit#gid=934712705"",""ESENCIAL!A6:BG""),15,FALSE))"),"")</f>
        <v/>
      </c>
    </row>
    <row r="233" spans="1:48" ht="15">
      <c r="A233" s="5"/>
      <c r="E233" s="66"/>
      <c r="F233" s="5" t="str">
        <f ca="1">IFERROR(__xludf.DUMMYFUNCTION("IFERROR(VLOOKUP(F294,IMPORTRANGE(""https://docs.google.com/spreadsheets/d/1Kvs4KS76FHFqLFIZfrDMff4kP08nblUkihrxltoGBjg/edit#gid=934712705"",""ESENCIAL!A6:BG""),3,FALSE))"),"")</f>
        <v/>
      </c>
      <c r="G233" s="5" t="str">
        <f ca="1">IFERROR(__xludf.DUMMYFUNCTION("IFERROR(VLOOKUP(F294,IMPORTRANGE(""https://docs.google.com/spreadsheets/d/1Kvs4KS76FHFqLFIZfrDMff4kP08nblUkihrxltoGBjg/edit#gid=934712705"",""ESENCIAL!A6:BG""),8,FALSE))"),"")</f>
        <v/>
      </c>
      <c r="K233" s="287"/>
      <c r="S233" s="66"/>
      <c r="T233" s="66"/>
      <c r="U233" s="66"/>
      <c r="AT233" s="41" t="str">
        <f>IF(D233&gt;0,IF(AND(#REF!=1,#REF!=1),"Procede_E_P","NO_CUMPLE"),"")</f>
        <v/>
      </c>
      <c r="AU233" s="5" t="str">
        <f ca="1">IFERROR(__xludf.DUMMYFUNCTION("IFERROR(VLOOKUP(E294&amp;F294,IMPORTRANGE(""https://docs.google.com/spreadsheets/d/1Uw7-A9f9R21vMXxHZFNpYNeKFtG8_yji4HS352LGlSQ/edit?pli=1#gid=0"",""1_ACUM!A4:S""),11,FALSE))"),"")</f>
        <v/>
      </c>
      <c r="AV233" s="42" t="str">
        <f ca="1">IFERROR(__xludf.DUMMYFUNCTION("IFERROR(VLOOKUP(F294,IMPORTRANGE(""https://docs.google.com/spreadsheets/d/1Kvs4KS76FHFqLFIZfrDMff4kP08nblUkihrxltoGBjg/edit#gid=934712705"",""ESENCIAL!A6:BG""),15,FALSE))"),"")</f>
        <v/>
      </c>
    </row>
    <row r="234" spans="1:48" ht="15">
      <c r="A234" s="5"/>
      <c r="E234" s="66"/>
      <c r="F234" s="5" t="str">
        <f ca="1">IFERROR(__xludf.DUMMYFUNCTION("IFERROR(VLOOKUP(F295,IMPORTRANGE(""https://docs.google.com/spreadsheets/d/1Kvs4KS76FHFqLFIZfrDMff4kP08nblUkihrxltoGBjg/edit#gid=934712705"",""ESENCIAL!A6:BG""),3,FALSE))"),"")</f>
        <v/>
      </c>
      <c r="G234" s="5" t="str">
        <f ca="1">IFERROR(__xludf.DUMMYFUNCTION("IFERROR(VLOOKUP(F295,IMPORTRANGE(""https://docs.google.com/spreadsheets/d/1Kvs4KS76FHFqLFIZfrDMff4kP08nblUkihrxltoGBjg/edit#gid=934712705"",""ESENCIAL!A6:BG""),8,FALSE))"),"")</f>
        <v/>
      </c>
      <c r="K234" s="287"/>
      <c r="S234" s="66"/>
      <c r="T234" s="66"/>
      <c r="U234" s="66"/>
      <c r="AT234" s="41" t="str">
        <f>IF(D234&gt;0,IF(AND(#REF!=1,#REF!=1),"Procede_E_P","NO_CUMPLE"),"")</f>
        <v/>
      </c>
      <c r="AU234" s="5" t="str">
        <f ca="1">IFERROR(__xludf.DUMMYFUNCTION("IFERROR(VLOOKUP(E295&amp;F295,IMPORTRANGE(""https://docs.google.com/spreadsheets/d/1Uw7-A9f9R21vMXxHZFNpYNeKFtG8_yji4HS352LGlSQ/edit?pli=1#gid=0"",""1_ACUM!A4:S""),11,FALSE))"),"")</f>
        <v/>
      </c>
      <c r="AV234" s="42" t="str">
        <f ca="1">IFERROR(__xludf.DUMMYFUNCTION("IFERROR(VLOOKUP(F295,IMPORTRANGE(""https://docs.google.com/spreadsheets/d/1Kvs4KS76FHFqLFIZfrDMff4kP08nblUkihrxltoGBjg/edit#gid=934712705"",""ESENCIAL!A6:BG""),15,FALSE))"),"")</f>
        <v/>
      </c>
    </row>
    <row r="235" spans="1:48" ht="15">
      <c r="A235" s="5"/>
      <c r="E235" s="66"/>
      <c r="F235" s="5" t="str">
        <f ca="1">IFERROR(__xludf.DUMMYFUNCTION("IFERROR(VLOOKUP(F296,IMPORTRANGE(""https://docs.google.com/spreadsheets/d/1Kvs4KS76FHFqLFIZfrDMff4kP08nblUkihrxltoGBjg/edit#gid=934712705"",""ESENCIAL!A6:BG""),3,FALSE))"),"")</f>
        <v/>
      </c>
      <c r="G235" s="5" t="str">
        <f ca="1">IFERROR(__xludf.DUMMYFUNCTION("IFERROR(VLOOKUP(F296,IMPORTRANGE(""https://docs.google.com/spreadsheets/d/1Kvs4KS76FHFqLFIZfrDMff4kP08nblUkihrxltoGBjg/edit#gid=934712705"",""ESENCIAL!A6:BG""),8,FALSE))"),"")</f>
        <v/>
      </c>
      <c r="K235" s="287"/>
      <c r="S235" s="66"/>
      <c r="T235" s="66"/>
      <c r="U235" s="66"/>
      <c r="AT235" s="41" t="str">
        <f>IF(D235&gt;0,IF(AND(#REF!=1,#REF!=1),"Procede_E_P","NO_CUMPLE"),"")</f>
        <v/>
      </c>
      <c r="AU235" s="5" t="str">
        <f ca="1">IFERROR(__xludf.DUMMYFUNCTION("IFERROR(VLOOKUP(E296&amp;F296,IMPORTRANGE(""https://docs.google.com/spreadsheets/d/1Uw7-A9f9R21vMXxHZFNpYNeKFtG8_yji4HS352LGlSQ/edit?pli=1#gid=0"",""1_ACUM!A4:S""),11,FALSE))"),"")</f>
        <v/>
      </c>
      <c r="AV235" s="42" t="str">
        <f ca="1">IFERROR(__xludf.DUMMYFUNCTION("IFERROR(VLOOKUP(F296,IMPORTRANGE(""https://docs.google.com/spreadsheets/d/1Kvs4KS76FHFqLFIZfrDMff4kP08nblUkihrxltoGBjg/edit#gid=934712705"",""ESENCIAL!A6:BG""),15,FALSE))"),"")</f>
        <v/>
      </c>
    </row>
    <row r="236" spans="1:48" ht="15">
      <c r="A236" s="5"/>
      <c r="E236" s="66"/>
      <c r="F236" s="5" t="str">
        <f ca="1">IFERROR(__xludf.DUMMYFUNCTION("IFERROR(VLOOKUP(F297,IMPORTRANGE(""https://docs.google.com/spreadsheets/d/1Kvs4KS76FHFqLFIZfrDMff4kP08nblUkihrxltoGBjg/edit#gid=934712705"",""ESENCIAL!A6:BG""),3,FALSE))"),"")</f>
        <v/>
      </c>
      <c r="G236" s="5" t="str">
        <f ca="1">IFERROR(__xludf.DUMMYFUNCTION("IFERROR(VLOOKUP(F297,IMPORTRANGE(""https://docs.google.com/spreadsheets/d/1Kvs4KS76FHFqLFIZfrDMff4kP08nblUkihrxltoGBjg/edit#gid=934712705"",""ESENCIAL!A6:BG""),8,FALSE))"),"")</f>
        <v/>
      </c>
      <c r="K236" s="287"/>
      <c r="S236" s="66"/>
      <c r="T236" s="66"/>
      <c r="U236" s="66"/>
      <c r="AT236" s="41" t="str">
        <f>IF(D236&gt;0,IF(AND(#REF!=1,#REF!=1),"Procede_E_P","NO_CUMPLE"),"")</f>
        <v/>
      </c>
      <c r="AU236" s="5" t="str">
        <f ca="1">IFERROR(__xludf.DUMMYFUNCTION("IFERROR(VLOOKUP(E297&amp;F297,IMPORTRANGE(""https://docs.google.com/spreadsheets/d/1Uw7-A9f9R21vMXxHZFNpYNeKFtG8_yji4HS352LGlSQ/edit?pli=1#gid=0"",""1_ACUM!A4:S""),11,FALSE))"),"")</f>
        <v/>
      </c>
      <c r="AV236" s="42" t="str">
        <f ca="1">IFERROR(__xludf.DUMMYFUNCTION("IFERROR(VLOOKUP(F297,IMPORTRANGE(""https://docs.google.com/spreadsheets/d/1Kvs4KS76FHFqLFIZfrDMff4kP08nblUkihrxltoGBjg/edit#gid=934712705"",""ESENCIAL!A6:BG""),15,FALSE))"),"")</f>
        <v/>
      </c>
    </row>
    <row r="237" spans="1:48" ht="15">
      <c r="A237" s="5"/>
      <c r="E237" s="66"/>
      <c r="F237" s="5" t="str">
        <f ca="1">IFERROR(__xludf.DUMMYFUNCTION("IFERROR(VLOOKUP(F298,IMPORTRANGE(""https://docs.google.com/spreadsheets/d/1Kvs4KS76FHFqLFIZfrDMff4kP08nblUkihrxltoGBjg/edit#gid=934712705"",""ESENCIAL!A6:BG""),3,FALSE))"),"")</f>
        <v/>
      </c>
      <c r="G237" s="5" t="str">
        <f ca="1">IFERROR(__xludf.DUMMYFUNCTION("IFERROR(VLOOKUP(F298,IMPORTRANGE(""https://docs.google.com/spreadsheets/d/1Kvs4KS76FHFqLFIZfrDMff4kP08nblUkihrxltoGBjg/edit#gid=934712705"",""ESENCIAL!A6:BG""),8,FALSE))"),"")</f>
        <v/>
      </c>
      <c r="K237" s="287"/>
      <c r="S237" s="66"/>
      <c r="T237" s="66"/>
      <c r="U237" s="66"/>
      <c r="AT237" s="41" t="str">
        <f>IF(D237&gt;0,IF(AND(#REF!=1,#REF!=1),"Procede_E_P","NO_CUMPLE"),"")</f>
        <v/>
      </c>
      <c r="AU237" s="5" t="str">
        <f ca="1">IFERROR(__xludf.DUMMYFUNCTION("IFERROR(VLOOKUP(E298&amp;F298,IMPORTRANGE(""https://docs.google.com/spreadsheets/d/1Uw7-A9f9R21vMXxHZFNpYNeKFtG8_yji4HS352LGlSQ/edit?pli=1#gid=0"",""1_ACUM!A4:S""),11,FALSE))"),"")</f>
        <v/>
      </c>
      <c r="AV237" s="42" t="str">
        <f ca="1">IFERROR(__xludf.DUMMYFUNCTION("IFERROR(VLOOKUP(F298,IMPORTRANGE(""https://docs.google.com/spreadsheets/d/1Kvs4KS76FHFqLFIZfrDMff4kP08nblUkihrxltoGBjg/edit#gid=934712705"",""ESENCIAL!A6:BG""),15,FALSE))"),"")</f>
        <v/>
      </c>
    </row>
    <row r="238" spans="1:48" ht="15">
      <c r="A238" s="5"/>
      <c r="E238" s="66"/>
      <c r="F238" s="5" t="str">
        <f ca="1">IFERROR(__xludf.DUMMYFUNCTION("IFERROR(VLOOKUP(F299,IMPORTRANGE(""https://docs.google.com/spreadsheets/d/1Kvs4KS76FHFqLFIZfrDMff4kP08nblUkihrxltoGBjg/edit#gid=934712705"",""ESENCIAL!A6:BG""),3,FALSE))"),"")</f>
        <v/>
      </c>
      <c r="G238" s="5" t="str">
        <f ca="1">IFERROR(__xludf.DUMMYFUNCTION("IFERROR(VLOOKUP(F299,IMPORTRANGE(""https://docs.google.com/spreadsheets/d/1Kvs4KS76FHFqLFIZfrDMff4kP08nblUkihrxltoGBjg/edit#gid=934712705"",""ESENCIAL!A6:BG""),8,FALSE))"),"")</f>
        <v/>
      </c>
      <c r="K238" s="287"/>
      <c r="S238" s="66"/>
      <c r="T238" s="66"/>
      <c r="U238" s="66"/>
      <c r="AT238" s="41" t="str">
        <f>IF(D238&gt;0,IF(AND(#REF!=1,#REF!=1),"Procede_E_P","NO_CUMPLE"),"")</f>
        <v/>
      </c>
      <c r="AU238" s="5" t="str">
        <f ca="1">IFERROR(__xludf.DUMMYFUNCTION("IFERROR(VLOOKUP(E299&amp;F299,IMPORTRANGE(""https://docs.google.com/spreadsheets/d/1Uw7-A9f9R21vMXxHZFNpYNeKFtG8_yji4HS352LGlSQ/edit?pli=1#gid=0"",""1_ACUM!A4:S""),11,FALSE))"),"")</f>
        <v/>
      </c>
      <c r="AV238" s="42" t="str">
        <f ca="1">IFERROR(__xludf.DUMMYFUNCTION("IFERROR(VLOOKUP(F299,IMPORTRANGE(""https://docs.google.com/spreadsheets/d/1Kvs4KS76FHFqLFIZfrDMff4kP08nblUkihrxltoGBjg/edit#gid=934712705"",""ESENCIAL!A6:BG""),15,FALSE))"),"")</f>
        <v/>
      </c>
    </row>
    <row r="239" spans="1:48" ht="15">
      <c r="A239" s="5"/>
      <c r="E239" s="66"/>
      <c r="F239" s="5" t="str">
        <f ca="1">IFERROR(__xludf.DUMMYFUNCTION("IFERROR(VLOOKUP(F300,IMPORTRANGE(""https://docs.google.com/spreadsheets/d/1Kvs4KS76FHFqLFIZfrDMff4kP08nblUkihrxltoGBjg/edit#gid=934712705"",""ESENCIAL!A6:BG""),3,FALSE))"),"")</f>
        <v/>
      </c>
      <c r="G239" s="5" t="str">
        <f ca="1">IFERROR(__xludf.DUMMYFUNCTION("IFERROR(VLOOKUP(F300,IMPORTRANGE(""https://docs.google.com/spreadsheets/d/1Kvs4KS76FHFqLFIZfrDMff4kP08nblUkihrxltoGBjg/edit#gid=934712705"",""ESENCIAL!A6:BG""),8,FALSE))"),"")</f>
        <v/>
      </c>
      <c r="K239" s="287"/>
      <c r="S239" s="66"/>
      <c r="T239" s="66"/>
      <c r="U239" s="66"/>
      <c r="AT239" s="41" t="str">
        <f>IF(D239&gt;0,IF(AND(#REF!=1,#REF!=1),"Procede_E_P","NO_CUMPLE"),"")</f>
        <v/>
      </c>
      <c r="AU239" s="5" t="str">
        <f ca="1">IFERROR(__xludf.DUMMYFUNCTION("IFERROR(VLOOKUP(E300&amp;F300,IMPORTRANGE(""https://docs.google.com/spreadsheets/d/1Uw7-A9f9R21vMXxHZFNpYNeKFtG8_yji4HS352LGlSQ/edit?pli=1#gid=0"",""1_ACUM!A4:S""),11,FALSE))"),"")</f>
        <v/>
      </c>
      <c r="AV239" s="42" t="str">
        <f ca="1">IFERROR(__xludf.DUMMYFUNCTION("IFERROR(VLOOKUP(F300,IMPORTRANGE(""https://docs.google.com/spreadsheets/d/1Kvs4KS76FHFqLFIZfrDMff4kP08nblUkihrxltoGBjg/edit#gid=934712705"",""ESENCIAL!A6:BG""),15,FALSE))"),"")</f>
        <v/>
      </c>
    </row>
    <row r="240" spans="1:48" ht="15">
      <c r="A240" s="5"/>
      <c r="E240" s="66"/>
      <c r="F240" s="5" t="str">
        <f ca="1">IFERROR(__xludf.DUMMYFUNCTION("IFERROR(VLOOKUP(F301,IMPORTRANGE(""https://docs.google.com/spreadsheets/d/1Kvs4KS76FHFqLFIZfrDMff4kP08nblUkihrxltoGBjg/edit#gid=934712705"",""ESENCIAL!A6:BG""),3,FALSE))"),"")</f>
        <v/>
      </c>
      <c r="G240" s="5" t="str">
        <f ca="1">IFERROR(__xludf.DUMMYFUNCTION("IFERROR(VLOOKUP(F301,IMPORTRANGE(""https://docs.google.com/spreadsheets/d/1Kvs4KS76FHFqLFIZfrDMff4kP08nblUkihrxltoGBjg/edit#gid=934712705"",""ESENCIAL!A6:BG""),8,FALSE))"),"")</f>
        <v/>
      </c>
      <c r="K240" s="287"/>
      <c r="S240" s="66"/>
      <c r="T240" s="66"/>
      <c r="U240" s="66"/>
      <c r="AT240" s="41" t="str">
        <f>IF(D240&gt;0,IF(AND(#REF!=1,#REF!=1),"Procede_E_P","NO_CUMPLE"),"")</f>
        <v/>
      </c>
      <c r="AU240" s="5" t="str">
        <f ca="1">IFERROR(__xludf.DUMMYFUNCTION("IFERROR(VLOOKUP(E301&amp;F301,IMPORTRANGE(""https://docs.google.com/spreadsheets/d/1Uw7-A9f9R21vMXxHZFNpYNeKFtG8_yji4HS352LGlSQ/edit?pli=1#gid=0"",""1_ACUM!A4:S""),11,FALSE))"),"")</f>
        <v/>
      </c>
      <c r="AV240" s="42" t="str">
        <f ca="1">IFERROR(__xludf.DUMMYFUNCTION("IFERROR(VLOOKUP(F301,IMPORTRANGE(""https://docs.google.com/spreadsheets/d/1Kvs4KS76FHFqLFIZfrDMff4kP08nblUkihrxltoGBjg/edit#gid=934712705"",""ESENCIAL!A6:BG""),15,FALSE))"),"")</f>
        <v/>
      </c>
    </row>
    <row r="241" spans="1:48" ht="15">
      <c r="A241" s="5"/>
      <c r="E241" s="66"/>
      <c r="F241" s="5" t="str">
        <f ca="1">IFERROR(__xludf.DUMMYFUNCTION("IFERROR(VLOOKUP(F302,IMPORTRANGE(""https://docs.google.com/spreadsheets/d/1Kvs4KS76FHFqLFIZfrDMff4kP08nblUkihrxltoGBjg/edit#gid=934712705"",""ESENCIAL!A6:BG""),3,FALSE))"),"")</f>
        <v/>
      </c>
      <c r="G241" s="5" t="str">
        <f ca="1">IFERROR(__xludf.DUMMYFUNCTION("IFERROR(VLOOKUP(F302,IMPORTRANGE(""https://docs.google.com/spreadsheets/d/1Kvs4KS76FHFqLFIZfrDMff4kP08nblUkihrxltoGBjg/edit#gid=934712705"",""ESENCIAL!A6:BG""),8,FALSE))"),"")</f>
        <v/>
      </c>
      <c r="K241" s="287"/>
      <c r="S241" s="66"/>
      <c r="T241" s="66"/>
      <c r="U241" s="66"/>
      <c r="AT241" s="41" t="str">
        <f>IF(D241&gt;0,IF(AND(#REF!=1,#REF!=1),"Procede_E_P","NO_CUMPLE"),"")</f>
        <v/>
      </c>
      <c r="AU241" s="5" t="str">
        <f ca="1">IFERROR(__xludf.DUMMYFUNCTION("IFERROR(VLOOKUP(E302&amp;F302,IMPORTRANGE(""https://docs.google.com/spreadsheets/d/1Uw7-A9f9R21vMXxHZFNpYNeKFtG8_yji4HS352LGlSQ/edit?pli=1#gid=0"",""1_ACUM!A4:S""),11,FALSE))"),"")</f>
        <v/>
      </c>
      <c r="AV241" s="42" t="str">
        <f ca="1">IFERROR(__xludf.DUMMYFUNCTION("IFERROR(VLOOKUP(F302,IMPORTRANGE(""https://docs.google.com/spreadsheets/d/1Kvs4KS76FHFqLFIZfrDMff4kP08nblUkihrxltoGBjg/edit#gid=934712705"",""ESENCIAL!A6:BG""),15,FALSE))"),"")</f>
        <v/>
      </c>
    </row>
    <row r="242" spans="1:48" ht="15">
      <c r="A242" s="5"/>
      <c r="E242" s="66"/>
      <c r="F242" s="5" t="str">
        <f ca="1">IFERROR(__xludf.DUMMYFUNCTION("IFERROR(VLOOKUP(F303,IMPORTRANGE(""https://docs.google.com/spreadsheets/d/1Kvs4KS76FHFqLFIZfrDMff4kP08nblUkihrxltoGBjg/edit#gid=934712705"",""ESENCIAL!A6:BG""),3,FALSE))"),"")</f>
        <v/>
      </c>
      <c r="G242" s="5" t="str">
        <f ca="1">IFERROR(__xludf.DUMMYFUNCTION("IFERROR(VLOOKUP(F303,IMPORTRANGE(""https://docs.google.com/spreadsheets/d/1Kvs4KS76FHFqLFIZfrDMff4kP08nblUkihrxltoGBjg/edit#gid=934712705"",""ESENCIAL!A6:BG""),8,FALSE))"),"")</f>
        <v/>
      </c>
      <c r="K242" s="287"/>
      <c r="S242" s="66"/>
      <c r="T242" s="66"/>
      <c r="U242" s="66"/>
      <c r="AT242" s="41" t="str">
        <f>IF(D242&gt;0,IF(AND(#REF!=1,#REF!=1),"Procede_E_P","NO_CUMPLE"),"")</f>
        <v/>
      </c>
      <c r="AU242" s="5" t="str">
        <f ca="1">IFERROR(__xludf.DUMMYFUNCTION("IFERROR(VLOOKUP(E303&amp;F303,IMPORTRANGE(""https://docs.google.com/spreadsheets/d/1Uw7-A9f9R21vMXxHZFNpYNeKFtG8_yji4HS352LGlSQ/edit?pli=1#gid=0"",""1_ACUM!A4:S""),11,FALSE))"),"")</f>
        <v/>
      </c>
      <c r="AV242" s="42" t="str">
        <f ca="1">IFERROR(__xludf.DUMMYFUNCTION("IFERROR(VLOOKUP(F303,IMPORTRANGE(""https://docs.google.com/spreadsheets/d/1Kvs4KS76FHFqLFIZfrDMff4kP08nblUkihrxltoGBjg/edit#gid=934712705"",""ESENCIAL!A6:BG""),15,FALSE))"),"")</f>
        <v/>
      </c>
    </row>
    <row r="243" spans="1:48" ht="15">
      <c r="A243" s="5"/>
      <c r="E243" s="66"/>
      <c r="F243" s="5" t="str">
        <f ca="1">IFERROR(__xludf.DUMMYFUNCTION("IFERROR(VLOOKUP(F304,IMPORTRANGE(""https://docs.google.com/spreadsheets/d/1Kvs4KS76FHFqLFIZfrDMff4kP08nblUkihrxltoGBjg/edit#gid=934712705"",""ESENCIAL!A6:BG""),3,FALSE))"),"")</f>
        <v/>
      </c>
      <c r="G243" s="5" t="str">
        <f ca="1">IFERROR(__xludf.DUMMYFUNCTION("IFERROR(VLOOKUP(F304,IMPORTRANGE(""https://docs.google.com/spreadsheets/d/1Kvs4KS76FHFqLFIZfrDMff4kP08nblUkihrxltoGBjg/edit#gid=934712705"",""ESENCIAL!A6:BG""),8,FALSE))"),"")</f>
        <v/>
      </c>
      <c r="K243" s="287"/>
      <c r="S243" s="66"/>
      <c r="T243" s="66"/>
      <c r="U243" s="66"/>
      <c r="AT243" s="41" t="str">
        <f>IF(D243&gt;0,IF(AND(#REF!=1,#REF!=1),"Procede_E_P","NO_CUMPLE"),"")</f>
        <v/>
      </c>
      <c r="AU243" s="5" t="str">
        <f ca="1">IFERROR(__xludf.DUMMYFUNCTION("IFERROR(VLOOKUP(E304&amp;F304,IMPORTRANGE(""https://docs.google.com/spreadsheets/d/1Uw7-A9f9R21vMXxHZFNpYNeKFtG8_yji4HS352LGlSQ/edit?pli=1#gid=0"",""1_ACUM!A4:S""),11,FALSE))"),"")</f>
        <v/>
      </c>
      <c r="AV243" s="42" t="str">
        <f ca="1">IFERROR(__xludf.DUMMYFUNCTION("IFERROR(VLOOKUP(F304,IMPORTRANGE(""https://docs.google.com/spreadsheets/d/1Kvs4KS76FHFqLFIZfrDMff4kP08nblUkihrxltoGBjg/edit#gid=934712705"",""ESENCIAL!A6:BG""),15,FALSE))"),"")</f>
        <v/>
      </c>
    </row>
    <row r="244" spans="1:48" ht="15">
      <c r="A244" s="5"/>
      <c r="E244" s="66"/>
      <c r="F244" s="5" t="str">
        <f ca="1">IFERROR(__xludf.DUMMYFUNCTION("IFERROR(VLOOKUP(F305,IMPORTRANGE(""https://docs.google.com/spreadsheets/d/1Kvs4KS76FHFqLFIZfrDMff4kP08nblUkihrxltoGBjg/edit#gid=934712705"",""ESENCIAL!A6:BG""),3,FALSE))"),"")</f>
        <v/>
      </c>
      <c r="G244" s="5" t="str">
        <f ca="1">IFERROR(__xludf.DUMMYFUNCTION("IFERROR(VLOOKUP(F305,IMPORTRANGE(""https://docs.google.com/spreadsheets/d/1Kvs4KS76FHFqLFIZfrDMff4kP08nblUkihrxltoGBjg/edit#gid=934712705"",""ESENCIAL!A6:BG""),8,FALSE))"),"")</f>
        <v/>
      </c>
      <c r="K244" s="287"/>
      <c r="S244" s="66"/>
      <c r="T244" s="66"/>
      <c r="U244" s="66"/>
      <c r="AT244" s="41" t="str">
        <f>IF(D244&gt;0,IF(AND(#REF!=1,#REF!=1),"Procede_E_P","NO_CUMPLE"),"")</f>
        <v/>
      </c>
      <c r="AU244" s="5" t="str">
        <f ca="1">IFERROR(__xludf.DUMMYFUNCTION("IFERROR(VLOOKUP(E305&amp;F305,IMPORTRANGE(""https://docs.google.com/spreadsheets/d/1Uw7-A9f9R21vMXxHZFNpYNeKFtG8_yji4HS352LGlSQ/edit?pli=1#gid=0"",""1_ACUM!A4:S""),11,FALSE))"),"")</f>
        <v/>
      </c>
      <c r="AV244" s="42" t="str">
        <f ca="1">IFERROR(__xludf.DUMMYFUNCTION("IFERROR(VLOOKUP(F305,IMPORTRANGE(""https://docs.google.com/spreadsheets/d/1Kvs4KS76FHFqLFIZfrDMff4kP08nblUkihrxltoGBjg/edit#gid=934712705"",""ESENCIAL!A6:BG""),15,FALSE))"),"")</f>
        <v/>
      </c>
    </row>
    <row r="245" spans="1:48" ht="15">
      <c r="A245" s="5"/>
      <c r="E245" s="66"/>
      <c r="F245" s="5" t="str">
        <f ca="1">IFERROR(__xludf.DUMMYFUNCTION("IFERROR(VLOOKUP(F306,IMPORTRANGE(""https://docs.google.com/spreadsheets/d/1Kvs4KS76FHFqLFIZfrDMff4kP08nblUkihrxltoGBjg/edit#gid=934712705"",""ESENCIAL!A6:BG""),3,FALSE))"),"")</f>
        <v/>
      </c>
      <c r="G245" s="5" t="str">
        <f ca="1">IFERROR(__xludf.DUMMYFUNCTION("IFERROR(VLOOKUP(F306,IMPORTRANGE(""https://docs.google.com/spreadsheets/d/1Kvs4KS76FHFqLFIZfrDMff4kP08nblUkihrxltoGBjg/edit#gid=934712705"",""ESENCIAL!A6:BG""),8,FALSE))"),"")</f>
        <v/>
      </c>
      <c r="K245" s="287"/>
      <c r="S245" s="66"/>
      <c r="T245" s="66"/>
      <c r="U245" s="66"/>
      <c r="AT245" s="41" t="str">
        <f>IF(D245&gt;0,IF(AND(#REF!=1,#REF!=1),"Procede_E_P","NO_CUMPLE"),"")</f>
        <v/>
      </c>
      <c r="AU245" s="5" t="str">
        <f ca="1">IFERROR(__xludf.DUMMYFUNCTION("IFERROR(VLOOKUP(E306&amp;F306,IMPORTRANGE(""https://docs.google.com/spreadsheets/d/1Uw7-A9f9R21vMXxHZFNpYNeKFtG8_yji4HS352LGlSQ/edit?pli=1#gid=0"",""1_ACUM!A4:S""),11,FALSE))"),"")</f>
        <v/>
      </c>
      <c r="AV245" s="42" t="str">
        <f ca="1">IFERROR(__xludf.DUMMYFUNCTION("IFERROR(VLOOKUP(F306,IMPORTRANGE(""https://docs.google.com/spreadsheets/d/1Kvs4KS76FHFqLFIZfrDMff4kP08nblUkihrxltoGBjg/edit#gid=934712705"",""ESENCIAL!A6:BG""),15,FALSE))"),"")</f>
        <v/>
      </c>
    </row>
    <row r="246" spans="1:48" ht="15">
      <c r="A246" s="5"/>
      <c r="E246" s="66"/>
      <c r="F246" s="5" t="str">
        <f ca="1">IFERROR(__xludf.DUMMYFUNCTION("IFERROR(VLOOKUP(F307,IMPORTRANGE(""https://docs.google.com/spreadsheets/d/1Kvs4KS76FHFqLFIZfrDMff4kP08nblUkihrxltoGBjg/edit#gid=934712705"",""ESENCIAL!A6:BG""),3,FALSE))"),"")</f>
        <v/>
      </c>
      <c r="G246" s="5" t="str">
        <f ca="1">IFERROR(__xludf.DUMMYFUNCTION("IFERROR(VLOOKUP(F307,IMPORTRANGE(""https://docs.google.com/spreadsheets/d/1Kvs4KS76FHFqLFIZfrDMff4kP08nblUkihrxltoGBjg/edit#gid=934712705"",""ESENCIAL!A6:BG""),8,FALSE))"),"")</f>
        <v/>
      </c>
      <c r="K246" s="287"/>
      <c r="S246" s="66"/>
      <c r="T246" s="66"/>
      <c r="U246" s="66"/>
      <c r="AT246" s="41" t="str">
        <f>IF(D246&gt;0,IF(AND(#REF!=1,#REF!=1),"Procede_E_P","NO_CUMPLE"),"")</f>
        <v/>
      </c>
      <c r="AU246" s="5" t="str">
        <f ca="1">IFERROR(__xludf.DUMMYFUNCTION("IFERROR(VLOOKUP(E307&amp;F307,IMPORTRANGE(""https://docs.google.com/spreadsheets/d/1Uw7-A9f9R21vMXxHZFNpYNeKFtG8_yji4HS352LGlSQ/edit?pli=1#gid=0"",""1_ACUM!A4:S""),11,FALSE))"),"")</f>
        <v/>
      </c>
      <c r="AV246" s="42" t="str">
        <f ca="1">IFERROR(__xludf.DUMMYFUNCTION("IFERROR(VLOOKUP(F307,IMPORTRANGE(""https://docs.google.com/spreadsheets/d/1Kvs4KS76FHFqLFIZfrDMff4kP08nblUkihrxltoGBjg/edit#gid=934712705"",""ESENCIAL!A6:BG""),15,FALSE))"),"")</f>
        <v/>
      </c>
    </row>
    <row r="247" spans="1:48" ht="15">
      <c r="A247" s="5"/>
      <c r="E247" s="66"/>
      <c r="F247" s="5" t="str">
        <f ca="1">IFERROR(__xludf.DUMMYFUNCTION("IFERROR(VLOOKUP(F308,IMPORTRANGE(""https://docs.google.com/spreadsheets/d/1Kvs4KS76FHFqLFIZfrDMff4kP08nblUkihrxltoGBjg/edit#gid=934712705"",""ESENCIAL!A6:BG""),3,FALSE))"),"")</f>
        <v/>
      </c>
      <c r="G247" s="5" t="str">
        <f ca="1">IFERROR(__xludf.DUMMYFUNCTION("IFERROR(VLOOKUP(F308,IMPORTRANGE(""https://docs.google.com/spreadsheets/d/1Kvs4KS76FHFqLFIZfrDMff4kP08nblUkihrxltoGBjg/edit#gid=934712705"",""ESENCIAL!A6:BG""),8,FALSE))"),"")</f>
        <v/>
      </c>
      <c r="K247" s="287"/>
      <c r="S247" s="66"/>
      <c r="T247" s="66"/>
      <c r="U247" s="66"/>
      <c r="AT247" s="41" t="str">
        <f>IF(D247&gt;0,IF(AND(#REF!=1,#REF!=1),"Procede_E_P","NO_CUMPLE"),"")</f>
        <v/>
      </c>
      <c r="AU247" s="5" t="str">
        <f ca="1">IFERROR(__xludf.DUMMYFUNCTION("IFERROR(VLOOKUP(E308&amp;F308,IMPORTRANGE(""https://docs.google.com/spreadsheets/d/1Uw7-A9f9R21vMXxHZFNpYNeKFtG8_yji4HS352LGlSQ/edit?pli=1#gid=0"",""1_ACUM!A4:S""),11,FALSE))"),"")</f>
        <v/>
      </c>
      <c r="AV247" s="42" t="str">
        <f ca="1">IFERROR(__xludf.DUMMYFUNCTION("IFERROR(VLOOKUP(F308,IMPORTRANGE(""https://docs.google.com/spreadsheets/d/1Kvs4KS76FHFqLFIZfrDMff4kP08nblUkihrxltoGBjg/edit#gid=934712705"",""ESENCIAL!A6:BG""),15,FALSE))"),"")</f>
        <v/>
      </c>
    </row>
    <row r="248" spans="1:48" ht="15">
      <c r="A248" s="5"/>
      <c r="E248" s="66"/>
      <c r="F248" s="5" t="str">
        <f ca="1">IFERROR(__xludf.DUMMYFUNCTION("IFERROR(VLOOKUP(F309,IMPORTRANGE(""https://docs.google.com/spreadsheets/d/1Kvs4KS76FHFqLFIZfrDMff4kP08nblUkihrxltoGBjg/edit#gid=934712705"",""ESENCIAL!A6:BG""),3,FALSE))"),"")</f>
        <v/>
      </c>
      <c r="G248" s="5" t="str">
        <f ca="1">IFERROR(__xludf.DUMMYFUNCTION("IFERROR(VLOOKUP(F309,IMPORTRANGE(""https://docs.google.com/spreadsheets/d/1Kvs4KS76FHFqLFIZfrDMff4kP08nblUkihrxltoGBjg/edit#gid=934712705"",""ESENCIAL!A6:BG""),8,FALSE))"),"")</f>
        <v/>
      </c>
      <c r="K248" s="287"/>
      <c r="S248" s="66"/>
      <c r="T248" s="66"/>
      <c r="U248" s="66"/>
      <c r="AT248" s="41" t="str">
        <f>IF(D248&gt;0,IF(AND(#REF!=1,#REF!=1),"Procede_E_P","NO_CUMPLE"),"")</f>
        <v/>
      </c>
      <c r="AU248" s="5" t="str">
        <f ca="1">IFERROR(__xludf.DUMMYFUNCTION("IFERROR(VLOOKUP(E309&amp;F309,IMPORTRANGE(""https://docs.google.com/spreadsheets/d/1Uw7-A9f9R21vMXxHZFNpYNeKFtG8_yji4HS352LGlSQ/edit?pli=1#gid=0"",""1_ACUM!A4:S""),11,FALSE))"),"")</f>
        <v/>
      </c>
      <c r="AV248" s="42" t="str">
        <f ca="1">IFERROR(__xludf.DUMMYFUNCTION("IFERROR(VLOOKUP(F309,IMPORTRANGE(""https://docs.google.com/spreadsheets/d/1Kvs4KS76FHFqLFIZfrDMff4kP08nblUkihrxltoGBjg/edit#gid=934712705"",""ESENCIAL!A6:BG""),15,FALSE))"),"")</f>
        <v/>
      </c>
    </row>
    <row r="249" spans="1:48" ht="15">
      <c r="A249" s="5"/>
      <c r="E249" s="66"/>
      <c r="F249" s="5" t="str">
        <f ca="1">IFERROR(__xludf.DUMMYFUNCTION("IFERROR(VLOOKUP(F310,IMPORTRANGE(""https://docs.google.com/spreadsheets/d/1Kvs4KS76FHFqLFIZfrDMff4kP08nblUkihrxltoGBjg/edit#gid=934712705"",""ESENCIAL!A6:BG""),3,FALSE))"),"")</f>
        <v/>
      </c>
      <c r="G249" s="5" t="str">
        <f ca="1">IFERROR(__xludf.DUMMYFUNCTION("IFERROR(VLOOKUP(F310,IMPORTRANGE(""https://docs.google.com/spreadsheets/d/1Kvs4KS76FHFqLFIZfrDMff4kP08nblUkihrxltoGBjg/edit#gid=934712705"",""ESENCIAL!A6:BG""),8,FALSE))"),"")</f>
        <v/>
      </c>
      <c r="K249" s="287"/>
      <c r="S249" s="66"/>
      <c r="T249" s="66"/>
      <c r="U249" s="66"/>
      <c r="AT249" s="41" t="str">
        <f>IF(D249&gt;0,IF(AND(#REF!=1,#REF!=1),"Procede_E_P","NO_CUMPLE"),"")</f>
        <v/>
      </c>
      <c r="AU249" s="5" t="str">
        <f ca="1">IFERROR(__xludf.DUMMYFUNCTION("IFERROR(VLOOKUP(E310&amp;F310,IMPORTRANGE(""https://docs.google.com/spreadsheets/d/1Uw7-A9f9R21vMXxHZFNpYNeKFtG8_yji4HS352LGlSQ/edit?pli=1#gid=0"",""1_ACUM!A4:S""),11,FALSE))"),"")</f>
        <v/>
      </c>
      <c r="AV249" s="42" t="str">
        <f ca="1">IFERROR(__xludf.DUMMYFUNCTION("IFERROR(VLOOKUP(F310,IMPORTRANGE(""https://docs.google.com/spreadsheets/d/1Kvs4KS76FHFqLFIZfrDMff4kP08nblUkihrxltoGBjg/edit#gid=934712705"",""ESENCIAL!A6:BG""),15,FALSE))"),"")</f>
        <v/>
      </c>
    </row>
    <row r="250" spans="1:48" ht="15">
      <c r="A250" s="5"/>
      <c r="E250" s="66"/>
      <c r="F250" s="5" t="str">
        <f ca="1">IFERROR(__xludf.DUMMYFUNCTION("IFERROR(VLOOKUP(F311,IMPORTRANGE(""https://docs.google.com/spreadsheets/d/1Kvs4KS76FHFqLFIZfrDMff4kP08nblUkihrxltoGBjg/edit#gid=934712705"",""ESENCIAL!A6:BG""),3,FALSE))"),"")</f>
        <v/>
      </c>
      <c r="G250" s="5" t="str">
        <f ca="1">IFERROR(__xludf.DUMMYFUNCTION("IFERROR(VLOOKUP(F311,IMPORTRANGE(""https://docs.google.com/spreadsheets/d/1Kvs4KS76FHFqLFIZfrDMff4kP08nblUkihrxltoGBjg/edit#gid=934712705"",""ESENCIAL!A6:BG""),8,FALSE))"),"")</f>
        <v/>
      </c>
      <c r="K250" s="287"/>
      <c r="S250" s="66"/>
      <c r="T250" s="66"/>
      <c r="U250" s="66"/>
      <c r="AT250" s="41" t="str">
        <f>IF(D250&gt;0,IF(AND(#REF!=1,#REF!=1),"Procede_E_P","NO_CUMPLE"),"")</f>
        <v/>
      </c>
      <c r="AU250" s="5" t="str">
        <f ca="1">IFERROR(__xludf.DUMMYFUNCTION("IFERROR(VLOOKUP(E311&amp;F311,IMPORTRANGE(""https://docs.google.com/spreadsheets/d/1Uw7-A9f9R21vMXxHZFNpYNeKFtG8_yji4HS352LGlSQ/edit?pli=1#gid=0"",""1_ACUM!A4:S""),11,FALSE))"),"")</f>
        <v/>
      </c>
      <c r="AV250" s="42" t="str">
        <f ca="1">IFERROR(__xludf.DUMMYFUNCTION("IFERROR(VLOOKUP(F311,IMPORTRANGE(""https://docs.google.com/spreadsheets/d/1Kvs4KS76FHFqLFIZfrDMff4kP08nblUkihrxltoGBjg/edit#gid=934712705"",""ESENCIAL!A6:BG""),15,FALSE))"),"")</f>
        <v/>
      </c>
    </row>
    <row r="251" spans="1:48" ht="15">
      <c r="A251" s="5"/>
      <c r="E251" s="66"/>
      <c r="F251" s="5" t="str">
        <f ca="1">IFERROR(__xludf.DUMMYFUNCTION("IFERROR(VLOOKUP(F312,IMPORTRANGE(""https://docs.google.com/spreadsheets/d/1Kvs4KS76FHFqLFIZfrDMff4kP08nblUkihrxltoGBjg/edit#gid=934712705"",""ESENCIAL!A6:BG""),3,FALSE))"),"")</f>
        <v/>
      </c>
      <c r="G251" s="5" t="str">
        <f ca="1">IFERROR(__xludf.DUMMYFUNCTION("IFERROR(VLOOKUP(F312,IMPORTRANGE(""https://docs.google.com/spreadsheets/d/1Kvs4KS76FHFqLFIZfrDMff4kP08nblUkihrxltoGBjg/edit#gid=934712705"",""ESENCIAL!A6:BG""),8,FALSE))"),"")</f>
        <v/>
      </c>
      <c r="K251" s="287"/>
      <c r="S251" s="66"/>
      <c r="T251" s="66"/>
      <c r="U251" s="66"/>
      <c r="AT251" s="41" t="str">
        <f>IF(D251&gt;0,IF(AND(#REF!=1,#REF!=1),"Procede_E_P","NO_CUMPLE"),"")</f>
        <v/>
      </c>
      <c r="AU251" s="5" t="str">
        <f ca="1">IFERROR(__xludf.DUMMYFUNCTION("IFERROR(VLOOKUP(E312&amp;F312,IMPORTRANGE(""https://docs.google.com/spreadsheets/d/1Uw7-A9f9R21vMXxHZFNpYNeKFtG8_yji4HS352LGlSQ/edit?pli=1#gid=0"",""1_ACUM!A4:S""),11,FALSE))"),"")</f>
        <v/>
      </c>
      <c r="AV251" s="42" t="str">
        <f ca="1">IFERROR(__xludf.DUMMYFUNCTION("IFERROR(VLOOKUP(F312,IMPORTRANGE(""https://docs.google.com/spreadsheets/d/1Kvs4KS76FHFqLFIZfrDMff4kP08nblUkihrxltoGBjg/edit#gid=934712705"",""ESENCIAL!A6:BG""),15,FALSE))"),"")</f>
        <v/>
      </c>
    </row>
    <row r="252" spans="1:48" ht="15">
      <c r="A252" s="5"/>
      <c r="E252" s="66"/>
      <c r="F252" s="5" t="str">
        <f ca="1">IFERROR(__xludf.DUMMYFUNCTION("IFERROR(VLOOKUP(F313,IMPORTRANGE(""https://docs.google.com/spreadsheets/d/1Kvs4KS76FHFqLFIZfrDMff4kP08nblUkihrxltoGBjg/edit#gid=934712705"",""ESENCIAL!A6:BG""),3,FALSE))"),"")</f>
        <v/>
      </c>
      <c r="G252" s="5" t="str">
        <f ca="1">IFERROR(__xludf.DUMMYFUNCTION("IFERROR(VLOOKUP(F313,IMPORTRANGE(""https://docs.google.com/spreadsheets/d/1Kvs4KS76FHFqLFIZfrDMff4kP08nblUkihrxltoGBjg/edit#gid=934712705"",""ESENCIAL!A6:BG""),8,FALSE))"),"")</f>
        <v/>
      </c>
      <c r="K252" s="287"/>
      <c r="S252" s="66"/>
      <c r="T252" s="66"/>
      <c r="U252" s="66"/>
      <c r="AT252" s="41" t="str">
        <f>IF(D252&gt;0,IF(AND(#REF!=1,#REF!=1),"Procede_E_P","NO_CUMPLE"),"")</f>
        <v/>
      </c>
      <c r="AU252" s="5" t="str">
        <f ca="1">IFERROR(__xludf.DUMMYFUNCTION("IFERROR(VLOOKUP(E313&amp;F313,IMPORTRANGE(""https://docs.google.com/spreadsheets/d/1Uw7-A9f9R21vMXxHZFNpYNeKFtG8_yji4HS352LGlSQ/edit?pli=1#gid=0"",""1_ACUM!A4:S""),11,FALSE))"),"")</f>
        <v/>
      </c>
      <c r="AV252" s="42" t="str">
        <f ca="1">IFERROR(__xludf.DUMMYFUNCTION("IFERROR(VLOOKUP(F313,IMPORTRANGE(""https://docs.google.com/spreadsheets/d/1Kvs4KS76FHFqLFIZfrDMff4kP08nblUkihrxltoGBjg/edit#gid=934712705"",""ESENCIAL!A6:BG""),15,FALSE))"),"")</f>
        <v/>
      </c>
    </row>
    <row r="253" spans="1:48" ht="15">
      <c r="A253" s="5"/>
      <c r="E253" s="66"/>
      <c r="F253" s="5" t="str">
        <f ca="1">IFERROR(__xludf.DUMMYFUNCTION("IFERROR(VLOOKUP(F314,IMPORTRANGE(""https://docs.google.com/spreadsheets/d/1Kvs4KS76FHFqLFIZfrDMff4kP08nblUkihrxltoGBjg/edit#gid=934712705"",""ESENCIAL!A6:BG""),3,FALSE))"),"")</f>
        <v/>
      </c>
      <c r="G253" s="5" t="str">
        <f ca="1">IFERROR(__xludf.DUMMYFUNCTION("IFERROR(VLOOKUP(F314,IMPORTRANGE(""https://docs.google.com/spreadsheets/d/1Kvs4KS76FHFqLFIZfrDMff4kP08nblUkihrxltoGBjg/edit#gid=934712705"",""ESENCIAL!A6:BG""),8,FALSE))"),"")</f>
        <v/>
      </c>
      <c r="K253" s="287"/>
      <c r="S253" s="66"/>
      <c r="T253" s="66"/>
      <c r="U253" s="66"/>
      <c r="AT253" s="41" t="str">
        <f>IF(D253&gt;0,IF(AND(#REF!=1,#REF!=1),"Procede_E_P","NO_CUMPLE"),"")</f>
        <v/>
      </c>
      <c r="AU253" s="5" t="str">
        <f ca="1">IFERROR(__xludf.DUMMYFUNCTION("IFERROR(VLOOKUP(E314&amp;F314,IMPORTRANGE(""https://docs.google.com/spreadsheets/d/1Uw7-A9f9R21vMXxHZFNpYNeKFtG8_yji4HS352LGlSQ/edit?pli=1#gid=0"",""1_ACUM!A4:S""),11,FALSE))"),"")</f>
        <v/>
      </c>
      <c r="AV253" s="42" t="str">
        <f ca="1">IFERROR(__xludf.DUMMYFUNCTION("IFERROR(VLOOKUP(F314,IMPORTRANGE(""https://docs.google.com/spreadsheets/d/1Kvs4KS76FHFqLFIZfrDMff4kP08nblUkihrxltoGBjg/edit#gid=934712705"",""ESENCIAL!A6:BG""),15,FALSE))"),"")</f>
        <v/>
      </c>
    </row>
    <row r="254" spans="1:48" ht="15">
      <c r="A254" s="5"/>
      <c r="E254" s="66"/>
      <c r="F254" s="5" t="str">
        <f ca="1">IFERROR(__xludf.DUMMYFUNCTION("IFERROR(VLOOKUP(F315,IMPORTRANGE(""https://docs.google.com/spreadsheets/d/1Kvs4KS76FHFqLFIZfrDMff4kP08nblUkihrxltoGBjg/edit#gid=934712705"",""ESENCIAL!A6:BG""),3,FALSE))"),"")</f>
        <v/>
      </c>
      <c r="G254" s="5" t="str">
        <f ca="1">IFERROR(__xludf.DUMMYFUNCTION("IFERROR(VLOOKUP(F315,IMPORTRANGE(""https://docs.google.com/spreadsheets/d/1Kvs4KS76FHFqLFIZfrDMff4kP08nblUkihrxltoGBjg/edit#gid=934712705"",""ESENCIAL!A6:BG""),8,FALSE))"),"")</f>
        <v/>
      </c>
      <c r="K254" s="287"/>
      <c r="S254" s="66"/>
      <c r="T254" s="66"/>
      <c r="U254" s="66"/>
      <c r="AT254" s="41" t="str">
        <f>IF(D254&gt;0,IF(AND(#REF!=1,#REF!=1),"Procede_E_P","NO_CUMPLE"),"")</f>
        <v/>
      </c>
      <c r="AU254" s="5" t="str">
        <f ca="1">IFERROR(__xludf.DUMMYFUNCTION("IFERROR(VLOOKUP(E315&amp;F315,IMPORTRANGE(""https://docs.google.com/spreadsheets/d/1Uw7-A9f9R21vMXxHZFNpYNeKFtG8_yji4HS352LGlSQ/edit?pli=1#gid=0"",""1_ACUM!A4:S""),11,FALSE))"),"")</f>
        <v/>
      </c>
      <c r="AV254" s="42" t="str">
        <f ca="1">IFERROR(__xludf.DUMMYFUNCTION("IFERROR(VLOOKUP(F315,IMPORTRANGE(""https://docs.google.com/spreadsheets/d/1Kvs4KS76FHFqLFIZfrDMff4kP08nblUkihrxltoGBjg/edit#gid=934712705"",""ESENCIAL!A6:BG""),15,FALSE))"),"")</f>
        <v/>
      </c>
    </row>
    <row r="255" spans="1:48" ht="15">
      <c r="A255" s="5"/>
      <c r="E255" s="66"/>
      <c r="F255" s="5" t="str">
        <f ca="1">IFERROR(__xludf.DUMMYFUNCTION("IFERROR(VLOOKUP(F316,IMPORTRANGE(""https://docs.google.com/spreadsheets/d/1Kvs4KS76FHFqLFIZfrDMff4kP08nblUkihrxltoGBjg/edit#gid=934712705"",""ESENCIAL!A6:BG""),3,FALSE))"),"")</f>
        <v/>
      </c>
      <c r="G255" s="5" t="str">
        <f ca="1">IFERROR(__xludf.DUMMYFUNCTION("IFERROR(VLOOKUP(F316,IMPORTRANGE(""https://docs.google.com/spreadsheets/d/1Kvs4KS76FHFqLFIZfrDMff4kP08nblUkihrxltoGBjg/edit#gid=934712705"",""ESENCIAL!A6:BG""),8,FALSE))"),"")</f>
        <v/>
      </c>
      <c r="K255" s="287"/>
      <c r="S255" s="66"/>
      <c r="T255" s="66"/>
      <c r="U255" s="66"/>
      <c r="AT255" s="41" t="str">
        <f>IF(D255&gt;0,IF(AND(#REF!=1,#REF!=1),"Procede_E_P","NO_CUMPLE"),"")</f>
        <v/>
      </c>
      <c r="AU255" s="5" t="str">
        <f ca="1">IFERROR(__xludf.DUMMYFUNCTION("IFERROR(VLOOKUP(E316&amp;F316,IMPORTRANGE(""https://docs.google.com/spreadsheets/d/1Uw7-A9f9R21vMXxHZFNpYNeKFtG8_yji4HS352LGlSQ/edit?pli=1#gid=0"",""1_ACUM!A4:S""),11,FALSE))"),"")</f>
        <v/>
      </c>
      <c r="AV255" s="42" t="str">
        <f ca="1">IFERROR(__xludf.DUMMYFUNCTION("IFERROR(VLOOKUP(F316,IMPORTRANGE(""https://docs.google.com/spreadsheets/d/1Kvs4KS76FHFqLFIZfrDMff4kP08nblUkihrxltoGBjg/edit#gid=934712705"",""ESENCIAL!A6:BG""),15,FALSE))"),"")</f>
        <v/>
      </c>
    </row>
    <row r="256" spans="1:48" ht="15">
      <c r="A256" s="5"/>
      <c r="E256" s="66"/>
      <c r="F256" s="5" t="str">
        <f ca="1">IFERROR(__xludf.DUMMYFUNCTION("IFERROR(VLOOKUP(F317,IMPORTRANGE(""https://docs.google.com/spreadsheets/d/1Kvs4KS76FHFqLFIZfrDMff4kP08nblUkihrxltoGBjg/edit#gid=934712705"",""ESENCIAL!A6:BG""),3,FALSE))"),"")</f>
        <v/>
      </c>
      <c r="G256" s="5" t="str">
        <f ca="1">IFERROR(__xludf.DUMMYFUNCTION("IFERROR(VLOOKUP(F317,IMPORTRANGE(""https://docs.google.com/spreadsheets/d/1Kvs4KS76FHFqLFIZfrDMff4kP08nblUkihrxltoGBjg/edit#gid=934712705"",""ESENCIAL!A6:BG""),8,FALSE))"),"")</f>
        <v/>
      </c>
      <c r="K256" s="287"/>
      <c r="S256" s="66"/>
      <c r="T256" s="66"/>
      <c r="U256" s="66"/>
      <c r="AT256" s="41" t="str">
        <f>IF(D256&gt;0,IF(AND(#REF!=1,#REF!=1),"Procede_E_P","NO_CUMPLE"),"")</f>
        <v/>
      </c>
      <c r="AU256" s="5" t="str">
        <f ca="1">IFERROR(__xludf.DUMMYFUNCTION("IFERROR(VLOOKUP(E317&amp;F317,IMPORTRANGE(""https://docs.google.com/spreadsheets/d/1Uw7-A9f9R21vMXxHZFNpYNeKFtG8_yji4HS352LGlSQ/edit?pli=1#gid=0"",""1_ACUM!A4:S""),11,FALSE))"),"")</f>
        <v/>
      </c>
      <c r="AV256" s="42" t="str">
        <f ca="1">IFERROR(__xludf.DUMMYFUNCTION("IFERROR(VLOOKUP(F317,IMPORTRANGE(""https://docs.google.com/spreadsheets/d/1Kvs4KS76FHFqLFIZfrDMff4kP08nblUkihrxltoGBjg/edit#gid=934712705"",""ESENCIAL!A6:BG""),15,FALSE))"),"")</f>
        <v/>
      </c>
    </row>
    <row r="257" spans="1:48" ht="15">
      <c r="A257" s="5"/>
      <c r="E257" s="66"/>
      <c r="F257" s="5" t="str">
        <f ca="1">IFERROR(__xludf.DUMMYFUNCTION("IFERROR(VLOOKUP(F318,IMPORTRANGE(""https://docs.google.com/spreadsheets/d/1Kvs4KS76FHFqLFIZfrDMff4kP08nblUkihrxltoGBjg/edit#gid=934712705"",""ESENCIAL!A6:BG""),3,FALSE))"),"")</f>
        <v/>
      </c>
      <c r="G257" s="5" t="str">
        <f ca="1">IFERROR(__xludf.DUMMYFUNCTION("IFERROR(VLOOKUP(F318,IMPORTRANGE(""https://docs.google.com/spreadsheets/d/1Kvs4KS76FHFqLFIZfrDMff4kP08nblUkihrxltoGBjg/edit#gid=934712705"",""ESENCIAL!A6:BG""),8,FALSE))"),"")</f>
        <v/>
      </c>
      <c r="K257" s="287"/>
      <c r="S257" s="66"/>
      <c r="T257" s="66"/>
      <c r="U257" s="66"/>
      <c r="AT257" s="41" t="str">
        <f>IF(D257&gt;0,IF(AND(#REF!=1,#REF!=1),"Procede_E_P","NO_CUMPLE"),"")</f>
        <v/>
      </c>
      <c r="AU257" s="5" t="str">
        <f ca="1">IFERROR(__xludf.DUMMYFUNCTION("IFERROR(VLOOKUP(E318&amp;F318,IMPORTRANGE(""https://docs.google.com/spreadsheets/d/1Uw7-A9f9R21vMXxHZFNpYNeKFtG8_yji4HS352LGlSQ/edit?pli=1#gid=0"",""1_ACUM!A4:S""),11,FALSE))"),"")</f>
        <v/>
      </c>
      <c r="AV257" s="42" t="str">
        <f ca="1">IFERROR(__xludf.DUMMYFUNCTION("IFERROR(VLOOKUP(F318,IMPORTRANGE(""https://docs.google.com/spreadsheets/d/1Kvs4KS76FHFqLFIZfrDMff4kP08nblUkihrxltoGBjg/edit#gid=934712705"",""ESENCIAL!A6:BG""),15,FALSE))"),"")</f>
        <v/>
      </c>
    </row>
    <row r="258" spans="1:48" ht="15">
      <c r="A258" s="5"/>
      <c r="E258" s="66"/>
      <c r="F258" s="5" t="str">
        <f ca="1">IFERROR(__xludf.DUMMYFUNCTION("IFERROR(VLOOKUP(F319,IMPORTRANGE(""https://docs.google.com/spreadsheets/d/1Kvs4KS76FHFqLFIZfrDMff4kP08nblUkihrxltoGBjg/edit#gid=934712705"",""ESENCIAL!A6:BG""),3,FALSE))"),"")</f>
        <v/>
      </c>
      <c r="G258" s="5" t="str">
        <f ca="1">IFERROR(__xludf.DUMMYFUNCTION("IFERROR(VLOOKUP(F319,IMPORTRANGE(""https://docs.google.com/spreadsheets/d/1Kvs4KS76FHFqLFIZfrDMff4kP08nblUkihrxltoGBjg/edit#gid=934712705"",""ESENCIAL!A6:BG""),8,FALSE))"),"")</f>
        <v/>
      </c>
      <c r="K258" s="287"/>
      <c r="S258" s="66"/>
      <c r="T258" s="66"/>
      <c r="U258" s="66"/>
      <c r="AT258" s="41" t="str">
        <f>IF(D258&gt;0,IF(AND(#REF!=1,#REF!=1),"Procede_E_P","NO_CUMPLE"),"")</f>
        <v/>
      </c>
      <c r="AU258" s="5" t="str">
        <f ca="1">IFERROR(__xludf.DUMMYFUNCTION("IFERROR(VLOOKUP(E319&amp;F319,IMPORTRANGE(""https://docs.google.com/spreadsheets/d/1Uw7-A9f9R21vMXxHZFNpYNeKFtG8_yji4HS352LGlSQ/edit?pli=1#gid=0"",""1_ACUM!A4:S""),11,FALSE))"),"")</f>
        <v/>
      </c>
      <c r="AV258" s="42" t="str">
        <f ca="1">IFERROR(__xludf.DUMMYFUNCTION("IFERROR(VLOOKUP(F319,IMPORTRANGE(""https://docs.google.com/spreadsheets/d/1Kvs4KS76FHFqLFIZfrDMff4kP08nblUkihrxltoGBjg/edit#gid=934712705"",""ESENCIAL!A6:BG""),15,FALSE))"),"")</f>
        <v/>
      </c>
    </row>
    <row r="259" spans="1:48" ht="15">
      <c r="A259" s="5"/>
      <c r="E259" s="66"/>
      <c r="F259" s="5" t="str">
        <f ca="1">IFERROR(__xludf.DUMMYFUNCTION("IFERROR(VLOOKUP(F320,IMPORTRANGE(""https://docs.google.com/spreadsheets/d/1Kvs4KS76FHFqLFIZfrDMff4kP08nblUkihrxltoGBjg/edit#gid=934712705"",""ESENCIAL!A6:BG""),3,FALSE))"),"")</f>
        <v/>
      </c>
      <c r="G259" s="5" t="str">
        <f ca="1">IFERROR(__xludf.DUMMYFUNCTION("IFERROR(VLOOKUP(F320,IMPORTRANGE(""https://docs.google.com/spreadsheets/d/1Kvs4KS76FHFqLFIZfrDMff4kP08nblUkihrxltoGBjg/edit#gid=934712705"",""ESENCIAL!A6:BG""),8,FALSE))"),"")</f>
        <v/>
      </c>
      <c r="K259" s="287"/>
      <c r="S259" s="66"/>
      <c r="T259" s="66"/>
      <c r="U259" s="66"/>
      <c r="AT259" s="41" t="str">
        <f>IF(D259&gt;0,IF(AND(#REF!=1,#REF!=1),"Procede_E_P","NO_CUMPLE"),"")</f>
        <v/>
      </c>
      <c r="AU259" s="5" t="str">
        <f ca="1">IFERROR(__xludf.DUMMYFUNCTION("IFERROR(VLOOKUP(E320&amp;F320,IMPORTRANGE(""https://docs.google.com/spreadsheets/d/1Uw7-A9f9R21vMXxHZFNpYNeKFtG8_yji4HS352LGlSQ/edit?pli=1#gid=0"",""1_ACUM!A4:S""),11,FALSE))"),"")</f>
        <v/>
      </c>
      <c r="AV259" s="42" t="str">
        <f ca="1">IFERROR(__xludf.DUMMYFUNCTION("IFERROR(VLOOKUP(F320,IMPORTRANGE(""https://docs.google.com/spreadsheets/d/1Kvs4KS76FHFqLFIZfrDMff4kP08nblUkihrxltoGBjg/edit#gid=934712705"",""ESENCIAL!A6:BG""),15,FALSE))"),"")</f>
        <v/>
      </c>
    </row>
    <row r="260" spans="1:48" ht="15">
      <c r="A260" s="5"/>
      <c r="E260" s="66"/>
      <c r="F260" s="5" t="str">
        <f ca="1">IFERROR(__xludf.DUMMYFUNCTION("IFERROR(VLOOKUP(F321,IMPORTRANGE(""https://docs.google.com/spreadsheets/d/1Kvs4KS76FHFqLFIZfrDMff4kP08nblUkihrxltoGBjg/edit#gid=934712705"",""ESENCIAL!A6:BG""),3,FALSE))"),"")</f>
        <v/>
      </c>
      <c r="G260" s="5" t="str">
        <f ca="1">IFERROR(__xludf.DUMMYFUNCTION("IFERROR(VLOOKUP(F321,IMPORTRANGE(""https://docs.google.com/spreadsheets/d/1Kvs4KS76FHFqLFIZfrDMff4kP08nblUkihrxltoGBjg/edit#gid=934712705"",""ESENCIAL!A6:BG""),8,FALSE))"),"")</f>
        <v/>
      </c>
      <c r="K260" s="287"/>
      <c r="S260" s="66"/>
      <c r="T260" s="66"/>
      <c r="U260" s="66"/>
      <c r="AT260" s="41" t="str">
        <f>IF(D260&gt;0,IF(AND(#REF!=1,#REF!=1),"Procede_E_P","NO_CUMPLE"),"")</f>
        <v/>
      </c>
      <c r="AU260" s="5" t="str">
        <f ca="1">IFERROR(__xludf.DUMMYFUNCTION("IFERROR(VLOOKUP(E321&amp;F321,IMPORTRANGE(""https://docs.google.com/spreadsheets/d/1Uw7-A9f9R21vMXxHZFNpYNeKFtG8_yji4HS352LGlSQ/edit?pli=1#gid=0"",""1_ACUM!A4:S""),11,FALSE))"),"")</f>
        <v/>
      </c>
      <c r="AV260" s="42" t="str">
        <f ca="1">IFERROR(__xludf.DUMMYFUNCTION("IFERROR(VLOOKUP(F321,IMPORTRANGE(""https://docs.google.com/spreadsheets/d/1Kvs4KS76FHFqLFIZfrDMff4kP08nblUkihrxltoGBjg/edit#gid=934712705"",""ESENCIAL!A6:BG""),15,FALSE))"),"")</f>
        <v/>
      </c>
    </row>
    <row r="261" spans="1:48" ht="15">
      <c r="A261" s="5"/>
      <c r="E261" s="66"/>
      <c r="F261" s="5" t="str">
        <f ca="1">IFERROR(__xludf.DUMMYFUNCTION("IFERROR(VLOOKUP(F322,IMPORTRANGE(""https://docs.google.com/spreadsheets/d/1Kvs4KS76FHFqLFIZfrDMff4kP08nblUkihrxltoGBjg/edit#gid=934712705"",""ESENCIAL!A6:BG""),3,FALSE))"),"")</f>
        <v/>
      </c>
      <c r="G261" s="5" t="str">
        <f ca="1">IFERROR(__xludf.DUMMYFUNCTION("IFERROR(VLOOKUP(F322,IMPORTRANGE(""https://docs.google.com/spreadsheets/d/1Kvs4KS76FHFqLFIZfrDMff4kP08nblUkihrxltoGBjg/edit#gid=934712705"",""ESENCIAL!A6:BG""),8,FALSE))"),"")</f>
        <v/>
      </c>
      <c r="K261" s="287"/>
      <c r="S261" s="66"/>
      <c r="T261" s="66"/>
      <c r="U261" s="66"/>
      <c r="AT261" s="41" t="str">
        <f>IF(D261&gt;0,IF(AND(#REF!=1,#REF!=1),"Procede_E_P","NO_CUMPLE"),"")</f>
        <v/>
      </c>
      <c r="AU261" s="5" t="str">
        <f ca="1">IFERROR(__xludf.DUMMYFUNCTION("IFERROR(VLOOKUP(E322&amp;F322,IMPORTRANGE(""https://docs.google.com/spreadsheets/d/1Uw7-A9f9R21vMXxHZFNpYNeKFtG8_yji4HS352LGlSQ/edit?pli=1#gid=0"",""1_ACUM!A4:S""),11,FALSE))"),"")</f>
        <v/>
      </c>
      <c r="AV261" s="42" t="str">
        <f ca="1">IFERROR(__xludf.DUMMYFUNCTION("IFERROR(VLOOKUP(F322,IMPORTRANGE(""https://docs.google.com/spreadsheets/d/1Kvs4KS76FHFqLFIZfrDMff4kP08nblUkihrxltoGBjg/edit#gid=934712705"",""ESENCIAL!A6:BG""),15,FALSE))"),"")</f>
        <v/>
      </c>
    </row>
    <row r="262" spans="1:48" ht="15">
      <c r="A262" s="5"/>
      <c r="E262" s="66"/>
      <c r="F262" s="5" t="str">
        <f ca="1">IFERROR(__xludf.DUMMYFUNCTION("IFERROR(VLOOKUP(F323,IMPORTRANGE(""https://docs.google.com/spreadsheets/d/1Kvs4KS76FHFqLFIZfrDMff4kP08nblUkihrxltoGBjg/edit#gid=934712705"",""ESENCIAL!A6:BG""),3,FALSE))"),"")</f>
        <v/>
      </c>
      <c r="G262" s="5" t="str">
        <f ca="1">IFERROR(__xludf.DUMMYFUNCTION("IFERROR(VLOOKUP(F323,IMPORTRANGE(""https://docs.google.com/spreadsheets/d/1Kvs4KS76FHFqLFIZfrDMff4kP08nblUkihrxltoGBjg/edit#gid=934712705"",""ESENCIAL!A6:BG""),8,FALSE))"),"")</f>
        <v/>
      </c>
      <c r="K262" s="287"/>
      <c r="S262" s="66"/>
      <c r="T262" s="66"/>
      <c r="U262" s="66"/>
      <c r="AT262" s="41" t="str">
        <f>IF(D262&gt;0,IF(AND(#REF!=1,#REF!=1),"Procede_E_P","NO_CUMPLE"),"")</f>
        <v/>
      </c>
      <c r="AU262" s="5" t="str">
        <f ca="1">IFERROR(__xludf.DUMMYFUNCTION("IFERROR(VLOOKUP(E323&amp;F323,IMPORTRANGE(""https://docs.google.com/spreadsheets/d/1Uw7-A9f9R21vMXxHZFNpYNeKFtG8_yji4HS352LGlSQ/edit?pli=1#gid=0"",""1_ACUM!A4:S""),11,FALSE))"),"")</f>
        <v/>
      </c>
      <c r="AV262" s="42" t="str">
        <f ca="1">IFERROR(__xludf.DUMMYFUNCTION("IFERROR(VLOOKUP(F323,IMPORTRANGE(""https://docs.google.com/spreadsheets/d/1Kvs4KS76FHFqLFIZfrDMff4kP08nblUkihrxltoGBjg/edit#gid=934712705"",""ESENCIAL!A6:BG""),15,FALSE))"),"")</f>
        <v/>
      </c>
    </row>
    <row r="263" spans="1:48" ht="15">
      <c r="A263" s="5"/>
      <c r="E263" s="66"/>
      <c r="F263" s="5" t="str">
        <f ca="1">IFERROR(__xludf.DUMMYFUNCTION("IFERROR(VLOOKUP(F324,IMPORTRANGE(""https://docs.google.com/spreadsheets/d/1Kvs4KS76FHFqLFIZfrDMff4kP08nblUkihrxltoGBjg/edit#gid=934712705"",""ESENCIAL!A6:BG""),3,FALSE))"),"")</f>
        <v/>
      </c>
      <c r="G263" s="5" t="str">
        <f ca="1">IFERROR(__xludf.DUMMYFUNCTION("IFERROR(VLOOKUP(F324,IMPORTRANGE(""https://docs.google.com/spreadsheets/d/1Kvs4KS76FHFqLFIZfrDMff4kP08nblUkihrxltoGBjg/edit#gid=934712705"",""ESENCIAL!A6:BG""),8,FALSE))"),"")</f>
        <v/>
      </c>
      <c r="K263" s="287"/>
      <c r="S263" s="66"/>
      <c r="T263" s="66"/>
      <c r="U263" s="66"/>
      <c r="AT263" s="41" t="str">
        <f>IF(D263&gt;0,IF(AND(#REF!=1,#REF!=1),"Procede_E_P","NO_CUMPLE"),"")</f>
        <v/>
      </c>
      <c r="AU263" s="5" t="str">
        <f ca="1">IFERROR(__xludf.DUMMYFUNCTION("IFERROR(VLOOKUP(E324&amp;F324,IMPORTRANGE(""https://docs.google.com/spreadsheets/d/1Uw7-A9f9R21vMXxHZFNpYNeKFtG8_yji4HS352LGlSQ/edit?pli=1#gid=0"",""1_ACUM!A4:S""),11,FALSE))"),"")</f>
        <v/>
      </c>
      <c r="AV263" s="42" t="str">
        <f ca="1">IFERROR(__xludf.DUMMYFUNCTION("IFERROR(VLOOKUP(F324,IMPORTRANGE(""https://docs.google.com/spreadsheets/d/1Kvs4KS76FHFqLFIZfrDMff4kP08nblUkihrxltoGBjg/edit#gid=934712705"",""ESENCIAL!A6:BG""),15,FALSE))"),"")</f>
        <v/>
      </c>
    </row>
    <row r="264" spans="1:48" ht="15">
      <c r="A264" s="5"/>
      <c r="E264" s="66"/>
      <c r="F264" s="5" t="str">
        <f ca="1">IFERROR(__xludf.DUMMYFUNCTION("IFERROR(VLOOKUP(F325,IMPORTRANGE(""https://docs.google.com/spreadsheets/d/1Kvs4KS76FHFqLFIZfrDMff4kP08nblUkihrxltoGBjg/edit#gid=934712705"",""ESENCIAL!A6:BG""),3,FALSE))"),"")</f>
        <v/>
      </c>
      <c r="G264" s="5" t="str">
        <f ca="1">IFERROR(__xludf.DUMMYFUNCTION("IFERROR(VLOOKUP(F325,IMPORTRANGE(""https://docs.google.com/spreadsheets/d/1Kvs4KS76FHFqLFIZfrDMff4kP08nblUkihrxltoGBjg/edit#gid=934712705"",""ESENCIAL!A6:BG""),8,FALSE))"),"")</f>
        <v/>
      </c>
      <c r="K264" s="287"/>
      <c r="S264" s="66"/>
      <c r="T264" s="66"/>
      <c r="U264" s="66"/>
      <c r="AT264" s="41" t="str">
        <f>IF(D264&gt;0,IF(AND(#REF!=1,#REF!=1),"Procede_E_P","NO_CUMPLE"),"")</f>
        <v/>
      </c>
      <c r="AU264" s="5" t="str">
        <f ca="1">IFERROR(__xludf.DUMMYFUNCTION("IFERROR(VLOOKUP(E325&amp;F325,IMPORTRANGE(""https://docs.google.com/spreadsheets/d/1Uw7-A9f9R21vMXxHZFNpYNeKFtG8_yji4HS352LGlSQ/edit?pli=1#gid=0"",""1_ACUM!A4:S""),11,FALSE))"),"")</f>
        <v/>
      </c>
      <c r="AV264" s="42" t="str">
        <f ca="1">IFERROR(__xludf.DUMMYFUNCTION("IFERROR(VLOOKUP(F325,IMPORTRANGE(""https://docs.google.com/spreadsheets/d/1Kvs4KS76FHFqLFIZfrDMff4kP08nblUkihrxltoGBjg/edit#gid=934712705"",""ESENCIAL!A6:BG""),15,FALSE))"),"")</f>
        <v/>
      </c>
    </row>
    <row r="265" spans="1:48" ht="15">
      <c r="A265" s="5"/>
      <c r="E265" s="66"/>
      <c r="F265" s="5" t="str">
        <f ca="1">IFERROR(__xludf.DUMMYFUNCTION("IFERROR(VLOOKUP(F326,IMPORTRANGE(""https://docs.google.com/spreadsheets/d/1Kvs4KS76FHFqLFIZfrDMff4kP08nblUkihrxltoGBjg/edit#gid=934712705"",""ESENCIAL!A6:BG""),3,FALSE))"),"")</f>
        <v/>
      </c>
      <c r="G265" s="5" t="str">
        <f ca="1">IFERROR(__xludf.DUMMYFUNCTION("IFERROR(VLOOKUP(F326,IMPORTRANGE(""https://docs.google.com/spreadsheets/d/1Kvs4KS76FHFqLFIZfrDMff4kP08nblUkihrxltoGBjg/edit#gid=934712705"",""ESENCIAL!A6:BG""),8,FALSE))"),"")</f>
        <v/>
      </c>
      <c r="K265" s="287"/>
      <c r="S265" s="66"/>
      <c r="T265" s="66"/>
      <c r="U265" s="66"/>
      <c r="AT265" s="41" t="str">
        <f>IF(D265&gt;0,IF(AND(#REF!=1,#REF!=1),"Procede_E_P","NO_CUMPLE"),"")</f>
        <v/>
      </c>
      <c r="AU265" s="5" t="str">
        <f ca="1">IFERROR(__xludf.DUMMYFUNCTION("IFERROR(VLOOKUP(E326&amp;F326,IMPORTRANGE(""https://docs.google.com/spreadsheets/d/1Uw7-A9f9R21vMXxHZFNpYNeKFtG8_yji4HS352LGlSQ/edit?pli=1#gid=0"",""1_ACUM!A4:S""),11,FALSE))"),"")</f>
        <v/>
      </c>
      <c r="AV265" s="42" t="str">
        <f ca="1">IFERROR(__xludf.DUMMYFUNCTION("IFERROR(VLOOKUP(F326,IMPORTRANGE(""https://docs.google.com/spreadsheets/d/1Kvs4KS76FHFqLFIZfrDMff4kP08nblUkihrxltoGBjg/edit#gid=934712705"",""ESENCIAL!A6:BG""),15,FALSE))"),"")</f>
        <v/>
      </c>
    </row>
    <row r="266" spans="1:48" ht="15">
      <c r="A266" s="5"/>
      <c r="E266" s="66"/>
      <c r="F266" s="5" t="str">
        <f ca="1">IFERROR(__xludf.DUMMYFUNCTION("IFERROR(VLOOKUP(F327,IMPORTRANGE(""https://docs.google.com/spreadsheets/d/1Kvs4KS76FHFqLFIZfrDMff4kP08nblUkihrxltoGBjg/edit#gid=934712705"",""ESENCIAL!A6:BG""),3,FALSE))"),"")</f>
        <v/>
      </c>
      <c r="G266" s="5" t="str">
        <f ca="1">IFERROR(__xludf.DUMMYFUNCTION("IFERROR(VLOOKUP(F327,IMPORTRANGE(""https://docs.google.com/spreadsheets/d/1Kvs4KS76FHFqLFIZfrDMff4kP08nblUkihrxltoGBjg/edit#gid=934712705"",""ESENCIAL!A6:BG""),8,FALSE))"),"")</f>
        <v/>
      </c>
      <c r="K266" s="287"/>
      <c r="S266" s="66"/>
      <c r="T266" s="66"/>
      <c r="U266" s="66"/>
      <c r="AT266" s="41" t="str">
        <f>IF(D266&gt;0,IF(AND(#REF!=1,#REF!=1),"Procede_E_P","NO_CUMPLE"),"")</f>
        <v/>
      </c>
      <c r="AU266" s="5" t="str">
        <f ca="1">IFERROR(__xludf.DUMMYFUNCTION("IFERROR(VLOOKUP(E327&amp;F327,IMPORTRANGE(""https://docs.google.com/spreadsheets/d/1Uw7-A9f9R21vMXxHZFNpYNeKFtG8_yji4HS352LGlSQ/edit?pli=1#gid=0"",""1_ACUM!A4:S""),11,FALSE))"),"")</f>
        <v/>
      </c>
      <c r="AV266" s="42" t="str">
        <f ca="1">IFERROR(__xludf.DUMMYFUNCTION("IFERROR(VLOOKUP(F327,IMPORTRANGE(""https://docs.google.com/spreadsheets/d/1Kvs4KS76FHFqLFIZfrDMff4kP08nblUkihrxltoGBjg/edit#gid=934712705"",""ESENCIAL!A6:BG""),15,FALSE))"),"")</f>
        <v/>
      </c>
    </row>
    <row r="267" spans="1:48" ht="15">
      <c r="A267" s="5"/>
      <c r="E267" s="66"/>
      <c r="F267" s="5" t="str">
        <f ca="1">IFERROR(__xludf.DUMMYFUNCTION("IFERROR(VLOOKUP(F328,IMPORTRANGE(""https://docs.google.com/spreadsheets/d/1Kvs4KS76FHFqLFIZfrDMff4kP08nblUkihrxltoGBjg/edit#gid=934712705"",""ESENCIAL!A6:BG""),3,FALSE))"),"")</f>
        <v/>
      </c>
      <c r="G267" s="5" t="str">
        <f ca="1">IFERROR(__xludf.DUMMYFUNCTION("IFERROR(VLOOKUP(F328,IMPORTRANGE(""https://docs.google.com/spreadsheets/d/1Kvs4KS76FHFqLFIZfrDMff4kP08nblUkihrxltoGBjg/edit#gid=934712705"",""ESENCIAL!A6:BG""),8,FALSE))"),"")</f>
        <v/>
      </c>
      <c r="K267" s="287"/>
      <c r="S267" s="66"/>
      <c r="T267" s="66"/>
      <c r="U267" s="66"/>
      <c r="AT267" s="41" t="str">
        <f>IF(D267&gt;0,IF(AND(#REF!=1,#REF!=1),"Procede_E_P","NO_CUMPLE"),"")</f>
        <v/>
      </c>
      <c r="AU267" s="5" t="str">
        <f ca="1">IFERROR(__xludf.DUMMYFUNCTION("IFERROR(VLOOKUP(E328&amp;F328,IMPORTRANGE(""https://docs.google.com/spreadsheets/d/1Uw7-A9f9R21vMXxHZFNpYNeKFtG8_yji4HS352LGlSQ/edit?pli=1#gid=0"",""1_ACUM!A4:S""),11,FALSE))"),"")</f>
        <v/>
      </c>
      <c r="AV267" s="42" t="str">
        <f ca="1">IFERROR(__xludf.DUMMYFUNCTION("IFERROR(VLOOKUP(F328,IMPORTRANGE(""https://docs.google.com/spreadsheets/d/1Kvs4KS76FHFqLFIZfrDMff4kP08nblUkihrxltoGBjg/edit#gid=934712705"",""ESENCIAL!A6:BG""),15,FALSE))"),"")</f>
        <v/>
      </c>
    </row>
    <row r="268" spans="1:48" ht="15">
      <c r="A268" s="5"/>
      <c r="E268" s="66"/>
      <c r="F268" s="5" t="str">
        <f ca="1">IFERROR(__xludf.DUMMYFUNCTION("IFERROR(VLOOKUP(F329,IMPORTRANGE(""https://docs.google.com/spreadsheets/d/1Kvs4KS76FHFqLFIZfrDMff4kP08nblUkihrxltoGBjg/edit#gid=934712705"",""ESENCIAL!A6:BG""),3,FALSE))"),"")</f>
        <v/>
      </c>
      <c r="G268" s="5" t="str">
        <f ca="1">IFERROR(__xludf.DUMMYFUNCTION("IFERROR(VLOOKUP(F329,IMPORTRANGE(""https://docs.google.com/spreadsheets/d/1Kvs4KS76FHFqLFIZfrDMff4kP08nblUkihrxltoGBjg/edit#gid=934712705"",""ESENCIAL!A6:BG""),8,FALSE))"),"")</f>
        <v/>
      </c>
      <c r="K268" s="287"/>
      <c r="S268" s="66"/>
      <c r="T268" s="66"/>
      <c r="U268" s="66"/>
      <c r="AT268" s="41" t="str">
        <f>IF(D268&gt;0,IF(AND(#REF!=1,#REF!=1),"Procede_E_P","NO_CUMPLE"),"")</f>
        <v/>
      </c>
      <c r="AU268" s="5" t="str">
        <f ca="1">IFERROR(__xludf.DUMMYFUNCTION("IFERROR(VLOOKUP(E329&amp;F329,IMPORTRANGE(""https://docs.google.com/spreadsheets/d/1Uw7-A9f9R21vMXxHZFNpYNeKFtG8_yji4HS352LGlSQ/edit?pli=1#gid=0"",""1_ACUM!A4:S""),11,FALSE))"),"")</f>
        <v/>
      </c>
      <c r="AV268" s="42" t="str">
        <f ca="1">IFERROR(__xludf.DUMMYFUNCTION("IFERROR(VLOOKUP(F329,IMPORTRANGE(""https://docs.google.com/spreadsheets/d/1Kvs4KS76FHFqLFIZfrDMff4kP08nblUkihrxltoGBjg/edit#gid=934712705"",""ESENCIAL!A6:BG""),15,FALSE))"),"")</f>
        <v/>
      </c>
    </row>
    <row r="269" spans="1:48" ht="15">
      <c r="A269" s="5"/>
      <c r="E269" s="66"/>
      <c r="F269" s="5" t="str">
        <f ca="1">IFERROR(__xludf.DUMMYFUNCTION("IFERROR(VLOOKUP(F330,IMPORTRANGE(""https://docs.google.com/spreadsheets/d/1Kvs4KS76FHFqLFIZfrDMff4kP08nblUkihrxltoGBjg/edit#gid=934712705"",""ESENCIAL!A6:BG""),3,FALSE))"),"")</f>
        <v/>
      </c>
      <c r="G269" s="5" t="str">
        <f ca="1">IFERROR(__xludf.DUMMYFUNCTION("IFERROR(VLOOKUP(F330,IMPORTRANGE(""https://docs.google.com/spreadsheets/d/1Kvs4KS76FHFqLFIZfrDMff4kP08nblUkihrxltoGBjg/edit#gid=934712705"",""ESENCIAL!A6:BG""),8,FALSE))"),"")</f>
        <v/>
      </c>
      <c r="K269" s="287"/>
      <c r="S269" s="66"/>
      <c r="T269" s="66"/>
      <c r="U269" s="66"/>
      <c r="AT269" s="41" t="str">
        <f>IF(D269&gt;0,IF(AND(#REF!=1,#REF!=1),"Procede_E_P","NO_CUMPLE"),"")</f>
        <v/>
      </c>
      <c r="AU269" s="5" t="str">
        <f ca="1">IFERROR(__xludf.DUMMYFUNCTION("IFERROR(VLOOKUP(E330&amp;F330,IMPORTRANGE(""https://docs.google.com/spreadsheets/d/1Uw7-A9f9R21vMXxHZFNpYNeKFtG8_yji4HS352LGlSQ/edit?pli=1#gid=0"",""1_ACUM!A4:S""),11,FALSE))"),"")</f>
        <v/>
      </c>
      <c r="AV269" s="42" t="str">
        <f ca="1">IFERROR(__xludf.DUMMYFUNCTION("IFERROR(VLOOKUP(F330,IMPORTRANGE(""https://docs.google.com/spreadsheets/d/1Kvs4KS76FHFqLFIZfrDMff4kP08nblUkihrxltoGBjg/edit#gid=934712705"",""ESENCIAL!A6:BG""),15,FALSE))"),"")</f>
        <v/>
      </c>
    </row>
    <row r="270" spans="1:48" ht="15">
      <c r="A270" s="5"/>
      <c r="E270" s="66"/>
      <c r="F270" s="5" t="str">
        <f ca="1">IFERROR(__xludf.DUMMYFUNCTION("IFERROR(VLOOKUP(F331,IMPORTRANGE(""https://docs.google.com/spreadsheets/d/1Kvs4KS76FHFqLFIZfrDMff4kP08nblUkihrxltoGBjg/edit#gid=934712705"",""ESENCIAL!A6:BG""),3,FALSE))"),"")</f>
        <v/>
      </c>
      <c r="G270" s="5" t="str">
        <f ca="1">IFERROR(__xludf.DUMMYFUNCTION("IFERROR(VLOOKUP(F331,IMPORTRANGE(""https://docs.google.com/spreadsheets/d/1Kvs4KS76FHFqLFIZfrDMff4kP08nblUkihrxltoGBjg/edit#gid=934712705"",""ESENCIAL!A6:BG""),8,FALSE))"),"")</f>
        <v/>
      </c>
      <c r="K270" s="287"/>
      <c r="S270" s="66"/>
      <c r="T270" s="66"/>
      <c r="U270" s="66"/>
      <c r="AT270" s="41" t="str">
        <f>IF(D270&gt;0,IF(AND(#REF!=1,#REF!=1),"Procede_E_P","NO_CUMPLE"),"")</f>
        <v/>
      </c>
      <c r="AU270" s="5" t="str">
        <f ca="1">IFERROR(__xludf.DUMMYFUNCTION("IFERROR(VLOOKUP(E331&amp;F331,IMPORTRANGE(""https://docs.google.com/spreadsheets/d/1Uw7-A9f9R21vMXxHZFNpYNeKFtG8_yji4HS352LGlSQ/edit?pli=1#gid=0"",""1_ACUM!A4:S""),11,FALSE))"),"")</f>
        <v/>
      </c>
      <c r="AV270" s="42" t="str">
        <f ca="1">IFERROR(__xludf.DUMMYFUNCTION("IFERROR(VLOOKUP(F331,IMPORTRANGE(""https://docs.google.com/spreadsheets/d/1Kvs4KS76FHFqLFIZfrDMff4kP08nblUkihrxltoGBjg/edit#gid=934712705"",""ESENCIAL!A6:BG""),15,FALSE))"),"")</f>
        <v/>
      </c>
    </row>
    <row r="271" spans="1:48" ht="15">
      <c r="A271" s="5"/>
      <c r="E271" s="66"/>
      <c r="F271" s="5" t="str">
        <f ca="1">IFERROR(__xludf.DUMMYFUNCTION("IFERROR(VLOOKUP(F332,IMPORTRANGE(""https://docs.google.com/spreadsheets/d/1Kvs4KS76FHFqLFIZfrDMff4kP08nblUkihrxltoGBjg/edit#gid=934712705"",""ESENCIAL!A6:BG""),3,FALSE))"),"")</f>
        <v/>
      </c>
      <c r="G271" s="5" t="str">
        <f ca="1">IFERROR(__xludf.DUMMYFUNCTION("IFERROR(VLOOKUP(F332,IMPORTRANGE(""https://docs.google.com/spreadsheets/d/1Kvs4KS76FHFqLFIZfrDMff4kP08nblUkihrxltoGBjg/edit#gid=934712705"",""ESENCIAL!A6:BG""),8,FALSE))"),"")</f>
        <v/>
      </c>
      <c r="K271" s="287"/>
      <c r="S271" s="66"/>
      <c r="T271" s="66"/>
      <c r="U271" s="66"/>
      <c r="AT271" s="41" t="str">
        <f>IF(D271&gt;0,IF(AND(#REF!=1,#REF!=1),"Procede_E_P","NO_CUMPLE"),"")</f>
        <v/>
      </c>
      <c r="AU271" s="5" t="str">
        <f ca="1">IFERROR(__xludf.DUMMYFUNCTION("IFERROR(VLOOKUP(E332&amp;F332,IMPORTRANGE(""https://docs.google.com/spreadsheets/d/1Uw7-A9f9R21vMXxHZFNpYNeKFtG8_yji4HS352LGlSQ/edit?pli=1#gid=0"",""1_ACUM!A4:S""),11,FALSE))"),"")</f>
        <v/>
      </c>
      <c r="AV271" s="42" t="str">
        <f ca="1">IFERROR(__xludf.DUMMYFUNCTION("IFERROR(VLOOKUP(F332,IMPORTRANGE(""https://docs.google.com/spreadsheets/d/1Kvs4KS76FHFqLFIZfrDMff4kP08nblUkihrxltoGBjg/edit#gid=934712705"",""ESENCIAL!A6:BG""),15,FALSE))"),"")</f>
        <v/>
      </c>
    </row>
    <row r="272" spans="1:48" ht="15">
      <c r="A272" s="5"/>
      <c r="E272" s="66"/>
      <c r="F272" s="5" t="str">
        <f ca="1">IFERROR(__xludf.DUMMYFUNCTION("IFERROR(VLOOKUP(F333,IMPORTRANGE(""https://docs.google.com/spreadsheets/d/1Kvs4KS76FHFqLFIZfrDMff4kP08nblUkihrxltoGBjg/edit#gid=934712705"",""ESENCIAL!A6:BG""),3,FALSE))"),"")</f>
        <v/>
      </c>
      <c r="G272" s="5" t="str">
        <f ca="1">IFERROR(__xludf.DUMMYFUNCTION("IFERROR(VLOOKUP(F333,IMPORTRANGE(""https://docs.google.com/spreadsheets/d/1Kvs4KS76FHFqLFIZfrDMff4kP08nblUkihrxltoGBjg/edit#gid=934712705"",""ESENCIAL!A6:BG""),8,FALSE))"),"")</f>
        <v/>
      </c>
      <c r="K272" s="287"/>
      <c r="S272" s="66"/>
      <c r="T272" s="66"/>
      <c r="U272" s="66"/>
      <c r="AT272" s="41" t="str">
        <f>IF(D272&gt;0,IF(AND(#REF!=1,#REF!=1),"Procede_E_P","NO_CUMPLE"),"")</f>
        <v/>
      </c>
      <c r="AU272" s="5" t="str">
        <f ca="1">IFERROR(__xludf.DUMMYFUNCTION("IFERROR(VLOOKUP(E333&amp;F333,IMPORTRANGE(""https://docs.google.com/spreadsheets/d/1Uw7-A9f9R21vMXxHZFNpYNeKFtG8_yji4HS352LGlSQ/edit?pli=1#gid=0"",""1_ACUM!A4:S""),11,FALSE))"),"")</f>
        <v/>
      </c>
      <c r="AV272" s="42" t="str">
        <f ca="1">IFERROR(__xludf.DUMMYFUNCTION("IFERROR(VLOOKUP(F333,IMPORTRANGE(""https://docs.google.com/spreadsheets/d/1Kvs4KS76FHFqLFIZfrDMff4kP08nblUkihrxltoGBjg/edit#gid=934712705"",""ESENCIAL!A6:BG""),15,FALSE))"),"")</f>
        <v/>
      </c>
    </row>
    <row r="273" spans="1:48" ht="15">
      <c r="A273" s="5"/>
      <c r="E273" s="66"/>
      <c r="F273" s="5" t="str">
        <f ca="1">IFERROR(__xludf.DUMMYFUNCTION("IFERROR(VLOOKUP(F334,IMPORTRANGE(""https://docs.google.com/spreadsheets/d/1Kvs4KS76FHFqLFIZfrDMff4kP08nblUkihrxltoGBjg/edit#gid=934712705"",""ESENCIAL!A6:BG""),3,FALSE))"),"")</f>
        <v/>
      </c>
      <c r="G273" s="5" t="str">
        <f ca="1">IFERROR(__xludf.DUMMYFUNCTION("IFERROR(VLOOKUP(F334,IMPORTRANGE(""https://docs.google.com/spreadsheets/d/1Kvs4KS76FHFqLFIZfrDMff4kP08nblUkihrxltoGBjg/edit#gid=934712705"",""ESENCIAL!A6:BG""),8,FALSE))"),"")</f>
        <v/>
      </c>
      <c r="K273" s="287"/>
      <c r="S273" s="66"/>
      <c r="T273" s="66"/>
      <c r="U273" s="66"/>
      <c r="AT273" s="41" t="str">
        <f>IF(D273&gt;0,IF(AND(#REF!=1,#REF!=1),"Procede_E_P","NO_CUMPLE"),"")</f>
        <v/>
      </c>
      <c r="AU273" s="5" t="str">
        <f ca="1">IFERROR(__xludf.DUMMYFUNCTION("IFERROR(VLOOKUP(E334&amp;F334,IMPORTRANGE(""https://docs.google.com/spreadsheets/d/1Uw7-A9f9R21vMXxHZFNpYNeKFtG8_yji4HS352LGlSQ/edit?pli=1#gid=0"",""1_ACUM!A4:S""),11,FALSE))"),"")</f>
        <v/>
      </c>
      <c r="AV273" s="42" t="str">
        <f ca="1">IFERROR(__xludf.DUMMYFUNCTION("IFERROR(VLOOKUP(F334,IMPORTRANGE(""https://docs.google.com/spreadsheets/d/1Kvs4KS76FHFqLFIZfrDMff4kP08nblUkihrxltoGBjg/edit#gid=934712705"",""ESENCIAL!A6:BG""),15,FALSE))"),"")</f>
        <v/>
      </c>
    </row>
    <row r="274" spans="1:48" ht="15">
      <c r="A274" s="5"/>
      <c r="E274" s="66"/>
      <c r="F274" s="5" t="str">
        <f ca="1">IFERROR(__xludf.DUMMYFUNCTION("IFERROR(VLOOKUP(F335,IMPORTRANGE(""https://docs.google.com/spreadsheets/d/1Kvs4KS76FHFqLFIZfrDMff4kP08nblUkihrxltoGBjg/edit#gid=934712705"",""ESENCIAL!A6:BG""),3,FALSE))"),"")</f>
        <v/>
      </c>
      <c r="G274" s="5" t="str">
        <f ca="1">IFERROR(__xludf.DUMMYFUNCTION("IFERROR(VLOOKUP(F335,IMPORTRANGE(""https://docs.google.com/spreadsheets/d/1Kvs4KS76FHFqLFIZfrDMff4kP08nblUkihrxltoGBjg/edit#gid=934712705"",""ESENCIAL!A6:BG""),8,FALSE))"),"")</f>
        <v/>
      </c>
      <c r="K274" s="287"/>
      <c r="S274" s="66"/>
      <c r="T274" s="66"/>
      <c r="U274" s="66"/>
      <c r="AT274" s="41" t="str">
        <f>IF(D274&gt;0,IF(AND(#REF!=1,#REF!=1),"Procede_E_P","NO_CUMPLE"),"")</f>
        <v/>
      </c>
      <c r="AU274" s="5" t="str">
        <f ca="1">IFERROR(__xludf.DUMMYFUNCTION("IFERROR(VLOOKUP(E335&amp;F335,IMPORTRANGE(""https://docs.google.com/spreadsheets/d/1Uw7-A9f9R21vMXxHZFNpYNeKFtG8_yji4HS352LGlSQ/edit?pli=1#gid=0"",""1_ACUM!A4:S""),11,FALSE))"),"")</f>
        <v/>
      </c>
      <c r="AV274" s="42" t="str">
        <f ca="1">IFERROR(__xludf.DUMMYFUNCTION("IFERROR(VLOOKUP(F335,IMPORTRANGE(""https://docs.google.com/spreadsheets/d/1Kvs4KS76FHFqLFIZfrDMff4kP08nblUkihrxltoGBjg/edit#gid=934712705"",""ESENCIAL!A6:BG""),15,FALSE))"),"")</f>
        <v/>
      </c>
    </row>
    <row r="275" spans="1:48" ht="15">
      <c r="A275" s="5"/>
      <c r="E275" s="66"/>
      <c r="F275" s="5" t="str">
        <f ca="1">IFERROR(__xludf.DUMMYFUNCTION("IFERROR(VLOOKUP(F336,IMPORTRANGE(""https://docs.google.com/spreadsheets/d/1Kvs4KS76FHFqLFIZfrDMff4kP08nblUkihrxltoGBjg/edit#gid=934712705"",""ESENCIAL!A6:BG""),3,FALSE))"),"")</f>
        <v/>
      </c>
      <c r="G275" s="5" t="str">
        <f ca="1">IFERROR(__xludf.DUMMYFUNCTION("IFERROR(VLOOKUP(F336,IMPORTRANGE(""https://docs.google.com/spreadsheets/d/1Kvs4KS76FHFqLFIZfrDMff4kP08nblUkihrxltoGBjg/edit#gid=934712705"",""ESENCIAL!A6:BG""),8,FALSE))"),"")</f>
        <v/>
      </c>
      <c r="K275" s="287"/>
      <c r="S275" s="66"/>
      <c r="T275" s="66"/>
      <c r="U275" s="66"/>
      <c r="AT275" s="41" t="str">
        <f>IF(D275&gt;0,IF(AND(#REF!=1,#REF!=1),"Procede_E_P","NO_CUMPLE"),"")</f>
        <v/>
      </c>
      <c r="AU275" s="5" t="str">
        <f ca="1">IFERROR(__xludf.DUMMYFUNCTION("IFERROR(VLOOKUP(E336&amp;F336,IMPORTRANGE(""https://docs.google.com/spreadsheets/d/1Uw7-A9f9R21vMXxHZFNpYNeKFtG8_yji4HS352LGlSQ/edit?pli=1#gid=0"",""1_ACUM!A4:S""),11,FALSE))"),"")</f>
        <v/>
      </c>
      <c r="AV275" s="42" t="str">
        <f ca="1">IFERROR(__xludf.DUMMYFUNCTION("IFERROR(VLOOKUP(F336,IMPORTRANGE(""https://docs.google.com/spreadsheets/d/1Kvs4KS76FHFqLFIZfrDMff4kP08nblUkihrxltoGBjg/edit#gid=934712705"",""ESENCIAL!A6:BG""),15,FALSE))"),"")</f>
        <v/>
      </c>
    </row>
    <row r="276" spans="1:48" ht="15">
      <c r="A276" s="5"/>
      <c r="E276" s="66"/>
      <c r="F276" s="5" t="str">
        <f ca="1">IFERROR(__xludf.DUMMYFUNCTION("IFERROR(VLOOKUP(F337,IMPORTRANGE(""https://docs.google.com/spreadsheets/d/1Kvs4KS76FHFqLFIZfrDMff4kP08nblUkihrxltoGBjg/edit#gid=934712705"",""ESENCIAL!A6:BG""),3,FALSE))"),"")</f>
        <v/>
      </c>
      <c r="G276" s="5" t="str">
        <f ca="1">IFERROR(__xludf.DUMMYFUNCTION("IFERROR(VLOOKUP(F337,IMPORTRANGE(""https://docs.google.com/spreadsheets/d/1Kvs4KS76FHFqLFIZfrDMff4kP08nblUkihrxltoGBjg/edit#gid=934712705"",""ESENCIAL!A6:BG""),8,FALSE))"),"")</f>
        <v/>
      </c>
      <c r="K276" s="287"/>
      <c r="S276" s="66"/>
      <c r="T276" s="66"/>
      <c r="U276" s="66"/>
      <c r="AT276" s="41" t="str">
        <f>IF(D276&gt;0,IF(AND(#REF!=1,#REF!=1),"Procede_E_P","NO_CUMPLE"),"")</f>
        <v/>
      </c>
      <c r="AU276" s="5" t="str">
        <f ca="1">IFERROR(__xludf.DUMMYFUNCTION("IFERROR(VLOOKUP(E337&amp;F337,IMPORTRANGE(""https://docs.google.com/spreadsheets/d/1Uw7-A9f9R21vMXxHZFNpYNeKFtG8_yji4HS352LGlSQ/edit?pli=1#gid=0"",""1_ACUM!A4:S""),11,FALSE))"),"")</f>
        <v/>
      </c>
      <c r="AV276" s="42" t="str">
        <f ca="1">IFERROR(__xludf.DUMMYFUNCTION("IFERROR(VLOOKUP(F337,IMPORTRANGE(""https://docs.google.com/spreadsheets/d/1Kvs4KS76FHFqLFIZfrDMff4kP08nblUkihrxltoGBjg/edit#gid=934712705"",""ESENCIAL!A6:BG""),15,FALSE))"),"")</f>
        <v/>
      </c>
    </row>
    <row r="277" spans="1:48" ht="15">
      <c r="A277" s="5"/>
      <c r="E277" s="66"/>
      <c r="F277" s="5" t="str">
        <f ca="1">IFERROR(__xludf.DUMMYFUNCTION("IFERROR(VLOOKUP(F338,IMPORTRANGE(""https://docs.google.com/spreadsheets/d/1Kvs4KS76FHFqLFIZfrDMff4kP08nblUkihrxltoGBjg/edit#gid=934712705"",""ESENCIAL!A6:BG""),3,FALSE))"),"")</f>
        <v/>
      </c>
      <c r="G277" s="5" t="str">
        <f ca="1">IFERROR(__xludf.DUMMYFUNCTION("IFERROR(VLOOKUP(F338,IMPORTRANGE(""https://docs.google.com/spreadsheets/d/1Kvs4KS76FHFqLFIZfrDMff4kP08nblUkihrxltoGBjg/edit#gid=934712705"",""ESENCIAL!A6:BG""),8,FALSE))"),"")</f>
        <v/>
      </c>
      <c r="K277" s="287"/>
      <c r="S277" s="66"/>
      <c r="T277" s="66"/>
      <c r="U277" s="66"/>
      <c r="AT277" s="41" t="str">
        <f>IF(D277&gt;0,IF(AND(#REF!=1,#REF!=1),"Procede_E_P","NO_CUMPLE"),"")</f>
        <v/>
      </c>
      <c r="AU277" s="5" t="str">
        <f ca="1">IFERROR(__xludf.DUMMYFUNCTION("IFERROR(VLOOKUP(E338&amp;F338,IMPORTRANGE(""https://docs.google.com/spreadsheets/d/1Uw7-A9f9R21vMXxHZFNpYNeKFtG8_yji4HS352LGlSQ/edit?pli=1#gid=0"",""1_ACUM!A4:S""),11,FALSE))"),"")</f>
        <v/>
      </c>
      <c r="AV277" s="42" t="str">
        <f ca="1">IFERROR(__xludf.DUMMYFUNCTION("IFERROR(VLOOKUP(F338,IMPORTRANGE(""https://docs.google.com/spreadsheets/d/1Kvs4KS76FHFqLFIZfrDMff4kP08nblUkihrxltoGBjg/edit#gid=934712705"",""ESENCIAL!A6:BG""),15,FALSE))"),"")</f>
        <v/>
      </c>
    </row>
    <row r="278" spans="1:48" ht="15">
      <c r="A278" s="5"/>
      <c r="E278" s="66"/>
      <c r="F278" s="5" t="str">
        <f ca="1">IFERROR(__xludf.DUMMYFUNCTION("IFERROR(VLOOKUP(F339,IMPORTRANGE(""https://docs.google.com/spreadsheets/d/1Kvs4KS76FHFqLFIZfrDMff4kP08nblUkihrxltoGBjg/edit#gid=934712705"",""ESENCIAL!A6:BG""),3,FALSE))"),"")</f>
        <v/>
      </c>
      <c r="G278" s="5" t="str">
        <f ca="1">IFERROR(__xludf.DUMMYFUNCTION("IFERROR(VLOOKUP(F339,IMPORTRANGE(""https://docs.google.com/spreadsheets/d/1Kvs4KS76FHFqLFIZfrDMff4kP08nblUkihrxltoGBjg/edit#gid=934712705"",""ESENCIAL!A6:BG""),8,FALSE))"),"")</f>
        <v/>
      </c>
      <c r="K278" s="287"/>
      <c r="S278" s="66"/>
      <c r="T278" s="66"/>
      <c r="U278" s="66"/>
      <c r="AT278" s="41" t="str">
        <f>IF(D278&gt;0,IF(AND(#REF!=1,#REF!=1),"Procede_E_P","NO_CUMPLE"),"")</f>
        <v/>
      </c>
      <c r="AU278" s="5" t="str">
        <f ca="1">IFERROR(__xludf.DUMMYFUNCTION("IFERROR(VLOOKUP(E339&amp;F339,IMPORTRANGE(""https://docs.google.com/spreadsheets/d/1Uw7-A9f9R21vMXxHZFNpYNeKFtG8_yji4HS352LGlSQ/edit?pli=1#gid=0"",""1_ACUM!A4:S""),11,FALSE))"),"")</f>
        <v/>
      </c>
      <c r="AV278" s="42" t="str">
        <f ca="1">IFERROR(__xludf.DUMMYFUNCTION("IFERROR(VLOOKUP(F339,IMPORTRANGE(""https://docs.google.com/spreadsheets/d/1Kvs4KS76FHFqLFIZfrDMff4kP08nblUkihrxltoGBjg/edit#gid=934712705"",""ESENCIAL!A6:BG""),15,FALSE))"),"")</f>
        <v/>
      </c>
    </row>
    <row r="279" spans="1:48" ht="15">
      <c r="A279" s="5"/>
      <c r="E279" s="66"/>
      <c r="F279" s="5" t="str">
        <f ca="1">IFERROR(__xludf.DUMMYFUNCTION("IFERROR(VLOOKUP(F340,IMPORTRANGE(""https://docs.google.com/spreadsheets/d/1Kvs4KS76FHFqLFIZfrDMff4kP08nblUkihrxltoGBjg/edit#gid=934712705"",""ESENCIAL!A6:BG""),3,FALSE))"),"")</f>
        <v/>
      </c>
      <c r="G279" s="5" t="str">
        <f ca="1">IFERROR(__xludf.DUMMYFUNCTION("IFERROR(VLOOKUP(F340,IMPORTRANGE(""https://docs.google.com/spreadsheets/d/1Kvs4KS76FHFqLFIZfrDMff4kP08nblUkihrxltoGBjg/edit#gid=934712705"",""ESENCIAL!A6:BG""),8,FALSE))"),"")</f>
        <v/>
      </c>
      <c r="K279" s="287"/>
      <c r="S279" s="66"/>
      <c r="T279" s="66"/>
      <c r="U279" s="66"/>
      <c r="AT279" s="41" t="str">
        <f>IF(D279&gt;0,IF(AND(#REF!=1,#REF!=1),"Procede_E_P","NO_CUMPLE"),"")</f>
        <v/>
      </c>
      <c r="AU279" s="5" t="str">
        <f ca="1">IFERROR(__xludf.DUMMYFUNCTION("IFERROR(VLOOKUP(E340&amp;F340,IMPORTRANGE(""https://docs.google.com/spreadsheets/d/1Uw7-A9f9R21vMXxHZFNpYNeKFtG8_yji4HS352LGlSQ/edit?pli=1#gid=0"",""1_ACUM!A4:S""),11,FALSE))"),"")</f>
        <v/>
      </c>
      <c r="AV279" s="42" t="str">
        <f ca="1">IFERROR(__xludf.DUMMYFUNCTION("IFERROR(VLOOKUP(F340,IMPORTRANGE(""https://docs.google.com/spreadsheets/d/1Kvs4KS76FHFqLFIZfrDMff4kP08nblUkihrxltoGBjg/edit#gid=934712705"",""ESENCIAL!A6:BG""),15,FALSE))"),"")</f>
        <v/>
      </c>
    </row>
    <row r="280" spans="1:48" ht="15">
      <c r="A280" s="5"/>
      <c r="E280" s="66"/>
      <c r="F280" s="5" t="str">
        <f ca="1">IFERROR(__xludf.DUMMYFUNCTION("IFERROR(VLOOKUP(F341,IMPORTRANGE(""https://docs.google.com/spreadsheets/d/1Kvs4KS76FHFqLFIZfrDMff4kP08nblUkihrxltoGBjg/edit#gid=934712705"",""ESENCIAL!A6:BG""),3,FALSE))"),"")</f>
        <v/>
      </c>
      <c r="G280" s="5" t="str">
        <f ca="1">IFERROR(__xludf.DUMMYFUNCTION("IFERROR(VLOOKUP(F341,IMPORTRANGE(""https://docs.google.com/spreadsheets/d/1Kvs4KS76FHFqLFIZfrDMff4kP08nblUkihrxltoGBjg/edit#gid=934712705"",""ESENCIAL!A6:BG""),8,FALSE))"),"")</f>
        <v/>
      </c>
      <c r="K280" s="287"/>
      <c r="S280" s="66"/>
      <c r="T280" s="66"/>
      <c r="U280" s="66"/>
      <c r="AT280" s="41" t="str">
        <f>IF(D280&gt;0,IF(AND(#REF!=1,#REF!=1),"Procede_E_P","NO_CUMPLE"),"")</f>
        <v/>
      </c>
      <c r="AU280" s="5" t="str">
        <f ca="1">IFERROR(__xludf.DUMMYFUNCTION("IFERROR(VLOOKUP(E341&amp;F341,IMPORTRANGE(""https://docs.google.com/spreadsheets/d/1Uw7-A9f9R21vMXxHZFNpYNeKFtG8_yji4HS352LGlSQ/edit?pli=1#gid=0"",""1_ACUM!A4:S""),11,FALSE))"),"")</f>
        <v/>
      </c>
      <c r="AV280" s="42" t="str">
        <f ca="1">IFERROR(__xludf.DUMMYFUNCTION("IFERROR(VLOOKUP(F341,IMPORTRANGE(""https://docs.google.com/spreadsheets/d/1Kvs4KS76FHFqLFIZfrDMff4kP08nblUkihrxltoGBjg/edit#gid=934712705"",""ESENCIAL!A6:BG""),15,FALSE))"),"")</f>
        <v/>
      </c>
    </row>
    <row r="281" spans="1:48" ht="15">
      <c r="A281" s="5"/>
      <c r="E281" s="66"/>
      <c r="F281" s="5" t="str">
        <f ca="1">IFERROR(__xludf.DUMMYFUNCTION("IFERROR(VLOOKUP(F342,IMPORTRANGE(""https://docs.google.com/spreadsheets/d/1Kvs4KS76FHFqLFIZfrDMff4kP08nblUkihrxltoGBjg/edit#gid=934712705"",""ESENCIAL!A6:BG""),3,FALSE))"),"")</f>
        <v/>
      </c>
      <c r="G281" s="5" t="str">
        <f ca="1">IFERROR(__xludf.DUMMYFUNCTION("IFERROR(VLOOKUP(F342,IMPORTRANGE(""https://docs.google.com/spreadsheets/d/1Kvs4KS76FHFqLFIZfrDMff4kP08nblUkihrxltoGBjg/edit#gid=934712705"",""ESENCIAL!A6:BG""),8,FALSE))"),"")</f>
        <v/>
      </c>
      <c r="K281" s="287"/>
      <c r="S281" s="66"/>
      <c r="T281" s="66"/>
      <c r="U281" s="66"/>
      <c r="AT281" s="41" t="str">
        <f>IF(D281&gt;0,IF(AND(#REF!=1,#REF!=1),"Procede_E_P","NO_CUMPLE"),"")</f>
        <v/>
      </c>
      <c r="AU281" s="5" t="str">
        <f ca="1">IFERROR(__xludf.DUMMYFUNCTION("IFERROR(VLOOKUP(E342&amp;F342,IMPORTRANGE(""https://docs.google.com/spreadsheets/d/1Uw7-A9f9R21vMXxHZFNpYNeKFtG8_yji4HS352LGlSQ/edit?pli=1#gid=0"",""1_ACUM!A4:S""),11,FALSE))"),"")</f>
        <v/>
      </c>
      <c r="AV281" s="42" t="str">
        <f ca="1">IFERROR(__xludf.DUMMYFUNCTION("IFERROR(VLOOKUP(F342,IMPORTRANGE(""https://docs.google.com/spreadsheets/d/1Kvs4KS76FHFqLFIZfrDMff4kP08nblUkihrxltoGBjg/edit#gid=934712705"",""ESENCIAL!A6:BG""),15,FALSE))"),"")</f>
        <v/>
      </c>
    </row>
    <row r="282" spans="1:48" ht="15">
      <c r="A282" s="5"/>
      <c r="E282" s="66"/>
      <c r="F282" s="5" t="str">
        <f ca="1">IFERROR(__xludf.DUMMYFUNCTION("IFERROR(VLOOKUP(F343,IMPORTRANGE(""https://docs.google.com/spreadsheets/d/1Kvs4KS76FHFqLFIZfrDMff4kP08nblUkihrxltoGBjg/edit#gid=934712705"",""ESENCIAL!A6:BG""),3,FALSE))"),"")</f>
        <v/>
      </c>
      <c r="G282" s="5" t="str">
        <f ca="1">IFERROR(__xludf.DUMMYFUNCTION("IFERROR(VLOOKUP(F343,IMPORTRANGE(""https://docs.google.com/spreadsheets/d/1Kvs4KS76FHFqLFIZfrDMff4kP08nblUkihrxltoGBjg/edit#gid=934712705"",""ESENCIAL!A6:BG""),8,FALSE))"),"")</f>
        <v/>
      </c>
      <c r="K282" s="287"/>
      <c r="S282" s="66"/>
      <c r="T282" s="66"/>
      <c r="U282" s="66"/>
      <c r="AT282" s="41" t="str">
        <f>IF(D282&gt;0,IF(AND(#REF!=1,#REF!=1),"Procede_E_P","NO_CUMPLE"),"")</f>
        <v/>
      </c>
      <c r="AU282" s="5" t="str">
        <f ca="1">IFERROR(__xludf.DUMMYFUNCTION("IFERROR(VLOOKUP(E343&amp;F343,IMPORTRANGE(""https://docs.google.com/spreadsheets/d/1Uw7-A9f9R21vMXxHZFNpYNeKFtG8_yji4HS352LGlSQ/edit?pli=1#gid=0"",""1_ACUM!A4:S""),11,FALSE))"),"")</f>
        <v/>
      </c>
      <c r="AV282" s="42" t="str">
        <f ca="1">IFERROR(__xludf.DUMMYFUNCTION("IFERROR(VLOOKUP(F343,IMPORTRANGE(""https://docs.google.com/spreadsheets/d/1Kvs4KS76FHFqLFIZfrDMff4kP08nblUkihrxltoGBjg/edit#gid=934712705"",""ESENCIAL!A6:BG""),15,FALSE))"),"")</f>
        <v/>
      </c>
    </row>
    <row r="283" spans="1:48" ht="15">
      <c r="A283" s="5"/>
      <c r="E283" s="66"/>
      <c r="F283" s="5" t="str">
        <f ca="1">IFERROR(__xludf.DUMMYFUNCTION("IFERROR(VLOOKUP(F344,IMPORTRANGE(""https://docs.google.com/spreadsheets/d/1Kvs4KS76FHFqLFIZfrDMff4kP08nblUkihrxltoGBjg/edit#gid=934712705"",""ESENCIAL!A6:BG""),3,FALSE))"),"")</f>
        <v/>
      </c>
      <c r="G283" s="5" t="str">
        <f ca="1">IFERROR(__xludf.DUMMYFUNCTION("IFERROR(VLOOKUP(F344,IMPORTRANGE(""https://docs.google.com/spreadsheets/d/1Kvs4KS76FHFqLFIZfrDMff4kP08nblUkihrxltoGBjg/edit#gid=934712705"",""ESENCIAL!A6:BG""),8,FALSE))"),"")</f>
        <v/>
      </c>
      <c r="K283" s="287"/>
      <c r="S283" s="66"/>
      <c r="T283" s="66"/>
      <c r="U283" s="66"/>
      <c r="AT283" s="41" t="str">
        <f>IF(D283&gt;0,IF(AND(#REF!=1,#REF!=1),"Procede_E_P","NO_CUMPLE"),"")</f>
        <v/>
      </c>
      <c r="AU283" s="5" t="str">
        <f ca="1">IFERROR(__xludf.DUMMYFUNCTION("IFERROR(VLOOKUP(E344&amp;F344,IMPORTRANGE(""https://docs.google.com/spreadsheets/d/1Uw7-A9f9R21vMXxHZFNpYNeKFtG8_yji4HS352LGlSQ/edit?pli=1#gid=0"",""1_ACUM!A4:S""),11,FALSE))"),"")</f>
        <v/>
      </c>
      <c r="AV283" s="42" t="str">
        <f ca="1">IFERROR(__xludf.DUMMYFUNCTION("IFERROR(VLOOKUP(F344,IMPORTRANGE(""https://docs.google.com/spreadsheets/d/1Kvs4KS76FHFqLFIZfrDMff4kP08nblUkihrxltoGBjg/edit#gid=934712705"",""ESENCIAL!A6:BG""),15,FALSE))"),"")</f>
        <v/>
      </c>
    </row>
    <row r="284" spans="1:48" ht="15">
      <c r="A284" s="5"/>
      <c r="E284" s="66"/>
      <c r="F284" s="5" t="str">
        <f ca="1">IFERROR(__xludf.DUMMYFUNCTION("IFERROR(VLOOKUP(F345,IMPORTRANGE(""https://docs.google.com/spreadsheets/d/1Kvs4KS76FHFqLFIZfrDMff4kP08nblUkihrxltoGBjg/edit#gid=934712705"",""ESENCIAL!A6:BG""),3,FALSE))"),"")</f>
        <v/>
      </c>
      <c r="G284" s="5" t="str">
        <f ca="1">IFERROR(__xludf.DUMMYFUNCTION("IFERROR(VLOOKUP(F345,IMPORTRANGE(""https://docs.google.com/spreadsheets/d/1Kvs4KS76FHFqLFIZfrDMff4kP08nblUkihrxltoGBjg/edit#gid=934712705"",""ESENCIAL!A6:BG""),8,FALSE))"),"")</f>
        <v/>
      </c>
      <c r="K284" s="287"/>
      <c r="S284" s="66"/>
      <c r="T284" s="66"/>
      <c r="U284" s="66"/>
      <c r="AT284" s="41" t="str">
        <f>IF(D284&gt;0,IF(AND(#REF!=1,#REF!=1),"Procede_E_P","NO_CUMPLE"),"")</f>
        <v/>
      </c>
      <c r="AU284" s="5" t="str">
        <f ca="1">IFERROR(__xludf.DUMMYFUNCTION("IFERROR(VLOOKUP(E345&amp;F345,IMPORTRANGE(""https://docs.google.com/spreadsheets/d/1Uw7-A9f9R21vMXxHZFNpYNeKFtG8_yji4HS352LGlSQ/edit?pli=1#gid=0"",""1_ACUM!A4:S""),11,FALSE))"),"")</f>
        <v/>
      </c>
      <c r="AV284" s="42" t="str">
        <f ca="1">IFERROR(__xludf.DUMMYFUNCTION("IFERROR(VLOOKUP(F345,IMPORTRANGE(""https://docs.google.com/spreadsheets/d/1Kvs4KS76FHFqLFIZfrDMff4kP08nblUkihrxltoGBjg/edit#gid=934712705"",""ESENCIAL!A6:BG""),15,FALSE))"),"")</f>
        <v/>
      </c>
    </row>
    <row r="285" spans="1:48" ht="15">
      <c r="A285" s="5"/>
      <c r="E285" s="66"/>
      <c r="F285" s="5" t="str">
        <f ca="1">IFERROR(__xludf.DUMMYFUNCTION("IFERROR(VLOOKUP(F346,IMPORTRANGE(""https://docs.google.com/spreadsheets/d/1Kvs4KS76FHFqLFIZfrDMff4kP08nblUkihrxltoGBjg/edit#gid=934712705"",""ESENCIAL!A6:BG""),3,FALSE))"),"")</f>
        <v/>
      </c>
      <c r="G285" s="5" t="str">
        <f ca="1">IFERROR(__xludf.DUMMYFUNCTION("IFERROR(VLOOKUP(F346,IMPORTRANGE(""https://docs.google.com/spreadsheets/d/1Kvs4KS76FHFqLFIZfrDMff4kP08nblUkihrxltoGBjg/edit#gid=934712705"",""ESENCIAL!A6:BG""),8,FALSE))"),"")</f>
        <v/>
      </c>
      <c r="K285" s="287"/>
      <c r="S285" s="66"/>
      <c r="T285" s="66"/>
      <c r="U285" s="66"/>
      <c r="AT285" s="41" t="str">
        <f>IF(D285&gt;0,IF(AND(#REF!=1,#REF!=1),"Procede_E_P","NO_CUMPLE"),"")</f>
        <v/>
      </c>
      <c r="AU285" s="5" t="str">
        <f ca="1">IFERROR(__xludf.DUMMYFUNCTION("IFERROR(VLOOKUP(E346&amp;F346,IMPORTRANGE(""https://docs.google.com/spreadsheets/d/1Uw7-A9f9R21vMXxHZFNpYNeKFtG8_yji4HS352LGlSQ/edit?pli=1#gid=0"",""1_ACUM!A4:S""),11,FALSE))"),"")</f>
        <v/>
      </c>
      <c r="AV285" s="42" t="str">
        <f ca="1">IFERROR(__xludf.DUMMYFUNCTION("IFERROR(VLOOKUP(F346,IMPORTRANGE(""https://docs.google.com/spreadsheets/d/1Kvs4KS76FHFqLFIZfrDMff4kP08nblUkihrxltoGBjg/edit#gid=934712705"",""ESENCIAL!A6:BG""),15,FALSE))"),"")</f>
        <v/>
      </c>
    </row>
    <row r="286" spans="1:48" ht="15">
      <c r="A286" s="5"/>
      <c r="E286" s="66"/>
      <c r="F286" s="5" t="str">
        <f ca="1">IFERROR(__xludf.DUMMYFUNCTION("IFERROR(VLOOKUP(F347,IMPORTRANGE(""https://docs.google.com/spreadsheets/d/1Kvs4KS76FHFqLFIZfrDMff4kP08nblUkihrxltoGBjg/edit#gid=934712705"",""ESENCIAL!A6:BG""),3,FALSE))"),"")</f>
        <v/>
      </c>
      <c r="G286" s="5" t="str">
        <f ca="1">IFERROR(__xludf.DUMMYFUNCTION("IFERROR(VLOOKUP(F347,IMPORTRANGE(""https://docs.google.com/spreadsheets/d/1Kvs4KS76FHFqLFIZfrDMff4kP08nblUkihrxltoGBjg/edit#gid=934712705"",""ESENCIAL!A6:BG""),8,FALSE))"),"")</f>
        <v/>
      </c>
      <c r="K286" s="287"/>
      <c r="S286" s="66"/>
      <c r="T286" s="66"/>
      <c r="U286" s="66"/>
      <c r="AT286" s="41" t="str">
        <f>IF(D286&gt;0,IF(AND(#REF!=1,#REF!=1),"Procede_E_P","NO_CUMPLE"),"")</f>
        <v/>
      </c>
      <c r="AU286" s="5" t="str">
        <f ca="1">IFERROR(__xludf.DUMMYFUNCTION("IFERROR(VLOOKUP(E347&amp;F347,IMPORTRANGE(""https://docs.google.com/spreadsheets/d/1Uw7-A9f9R21vMXxHZFNpYNeKFtG8_yji4HS352LGlSQ/edit?pli=1#gid=0"",""1_ACUM!A4:S""),11,FALSE))"),"")</f>
        <v/>
      </c>
      <c r="AV286" s="42" t="str">
        <f ca="1">IFERROR(__xludf.DUMMYFUNCTION("IFERROR(VLOOKUP(F347,IMPORTRANGE(""https://docs.google.com/spreadsheets/d/1Kvs4KS76FHFqLFIZfrDMff4kP08nblUkihrxltoGBjg/edit#gid=934712705"",""ESENCIAL!A6:BG""),15,FALSE))"),"")</f>
        <v/>
      </c>
    </row>
    <row r="287" spans="1:48" ht="15">
      <c r="A287" s="5"/>
      <c r="E287" s="66"/>
      <c r="F287" s="5" t="str">
        <f ca="1">IFERROR(__xludf.DUMMYFUNCTION("IFERROR(VLOOKUP(F348,IMPORTRANGE(""https://docs.google.com/spreadsheets/d/1Kvs4KS76FHFqLFIZfrDMff4kP08nblUkihrxltoGBjg/edit#gid=934712705"",""ESENCIAL!A6:BG""),3,FALSE))"),"")</f>
        <v/>
      </c>
      <c r="G287" s="5" t="str">
        <f ca="1">IFERROR(__xludf.DUMMYFUNCTION("IFERROR(VLOOKUP(F348,IMPORTRANGE(""https://docs.google.com/spreadsheets/d/1Kvs4KS76FHFqLFIZfrDMff4kP08nblUkihrxltoGBjg/edit#gid=934712705"",""ESENCIAL!A6:BG""),8,FALSE))"),"")</f>
        <v/>
      </c>
      <c r="K287" s="287"/>
      <c r="S287" s="66"/>
      <c r="T287" s="66"/>
      <c r="U287" s="66"/>
      <c r="AT287" s="41" t="str">
        <f>IF(D287&gt;0,IF(AND(#REF!=1,#REF!=1),"Procede_E_P","NO_CUMPLE"),"")</f>
        <v/>
      </c>
      <c r="AU287" s="5" t="str">
        <f ca="1">IFERROR(__xludf.DUMMYFUNCTION("IFERROR(VLOOKUP(E348&amp;F348,IMPORTRANGE(""https://docs.google.com/spreadsheets/d/1Uw7-A9f9R21vMXxHZFNpYNeKFtG8_yji4HS352LGlSQ/edit?pli=1#gid=0"",""1_ACUM!A4:S""),11,FALSE))"),"")</f>
        <v/>
      </c>
      <c r="AV287" s="42" t="str">
        <f ca="1">IFERROR(__xludf.DUMMYFUNCTION("IFERROR(VLOOKUP(F348,IMPORTRANGE(""https://docs.google.com/spreadsheets/d/1Kvs4KS76FHFqLFIZfrDMff4kP08nblUkihrxltoGBjg/edit#gid=934712705"",""ESENCIAL!A6:BG""),15,FALSE))"),"")</f>
        <v/>
      </c>
    </row>
    <row r="288" spans="1:48" ht="15">
      <c r="A288" s="5"/>
      <c r="E288" s="66"/>
      <c r="F288" s="5" t="str">
        <f ca="1">IFERROR(__xludf.DUMMYFUNCTION("IFERROR(VLOOKUP(F349,IMPORTRANGE(""https://docs.google.com/spreadsheets/d/1Kvs4KS76FHFqLFIZfrDMff4kP08nblUkihrxltoGBjg/edit#gid=934712705"",""ESENCIAL!A6:BG""),3,FALSE))"),"")</f>
        <v/>
      </c>
      <c r="G288" s="5" t="str">
        <f ca="1">IFERROR(__xludf.DUMMYFUNCTION("IFERROR(VLOOKUP(F349,IMPORTRANGE(""https://docs.google.com/spreadsheets/d/1Kvs4KS76FHFqLFIZfrDMff4kP08nblUkihrxltoGBjg/edit#gid=934712705"",""ESENCIAL!A6:BG""),8,FALSE))"),"")</f>
        <v/>
      </c>
      <c r="K288" s="287"/>
      <c r="S288" s="66"/>
      <c r="T288" s="66"/>
      <c r="U288" s="66"/>
      <c r="AT288" s="41" t="str">
        <f>IF(D288&gt;0,IF(AND(#REF!=1,#REF!=1),"Procede_E_P","NO_CUMPLE"),"")</f>
        <v/>
      </c>
      <c r="AU288" s="5" t="str">
        <f ca="1">IFERROR(__xludf.DUMMYFUNCTION("IFERROR(VLOOKUP(E349&amp;F349,IMPORTRANGE(""https://docs.google.com/spreadsheets/d/1Uw7-A9f9R21vMXxHZFNpYNeKFtG8_yji4HS352LGlSQ/edit?pli=1#gid=0"",""1_ACUM!A4:S""),11,FALSE))"),"")</f>
        <v/>
      </c>
      <c r="AV288" s="42" t="str">
        <f ca="1">IFERROR(__xludf.DUMMYFUNCTION("IFERROR(VLOOKUP(F349,IMPORTRANGE(""https://docs.google.com/spreadsheets/d/1Kvs4KS76FHFqLFIZfrDMff4kP08nblUkihrxltoGBjg/edit#gid=934712705"",""ESENCIAL!A6:BG""),15,FALSE))"),"")</f>
        <v/>
      </c>
    </row>
    <row r="289" spans="1:48" ht="15">
      <c r="A289" s="5"/>
      <c r="E289" s="66"/>
      <c r="F289" s="5" t="str">
        <f ca="1">IFERROR(__xludf.DUMMYFUNCTION("IFERROR(VLOOKUP(F350,IMPORTRANGE(""https://docs.google.com/spreadsheets/d/1Kvs4KS76FHFqLFIZfrDMff4kP08nblUkihrxltoGBjg/edit#gid=934712705"",""ESENCIAL!A6:BG""),3,FALSE))"),"")</f>
        <v/>
      </c>
      <c r="G289" s="5" t="str">
        <f ca="1">IFERROR(__xludf.DUMMYFUNCTION("IFERROR(VLOOKUP(F350,IMPORTRANGE(""https://docs.google.com/spreadsheets/d/1Kvs4KS76FHFqLFIZfrDMff4kP08nblUkihrxltoGBjg/edit#gid=934712705"",""ESENCIAL!A6:BG""),8,FALSE))"),"")</f>
        <v/>
      </c>
      <c r="K289" s="287"/>
      <c r="S289" s="66"/>
      <c r="T289" s="66"/>
      <c r="U289" s="66"/>
      <c r="AT289" s="41" t="str">
        <f>IF(D289&gt;0,IF(AND(#REF!=1,#REF!=1),"Procede_E_P","NO_CUMPLE"),"")</f>
        <v/>
      </c>
      <c r="AU289" s="5" t="str">
        <f ca="1">IFERROR(__xludf.DUMMYFUNCTION("IFERROR(VLOOKUP(E350&amp;F350,IMPORTRANGE(""https://docs.google.com/spreadsheets/d/1Uw7-A9f9R21vMXxHZFNpYNeKFtG8_yji4HS352LGlSQ/edit?pli=1#gid=0"",""1_ACUM!A4:S""),11,FALSE))"),"")</f>
        <v/>
      </c>
      <c r="AV289" s="42" t="str">
        <f ca="1">IFERROR(__xludf.DUMMYFUNCTION("IFERROR(VLOOKUP(F350,IMPORTRANGE(""https://docs.google.com/spreadsheets/d/1Kvs4KS76FHFqLFIZfrDMff4kP08nblUkihrxltoGBjg/edit#gid=934712705"",""ESENCIAL!A6:BG""),15,FALSE))"),"")</f>
        <v/>
      </c>
    </row>
    <row r="290" spans="1:48" ht="15">
      <c r="A290" s="5"/>
      <c r="E290" s="66"/>
      <c r="F290" s="5" t="str">
        <f ca="1">IFERROR(__xludf.DUMMYFUNCTION("IFERROR(VLOOKUP(F351,IMPORTRANGE(""https://docs.google.com/spreadsheets/d/1Kvs4KS76FHFqLFIZfrDMff4kP08nblUkihrxltoGBjg/edit#gid=934712705"",""ESENCIAL!A6:BG""),3,FALSE))"),"")</f>
        <v/>
      </c>
      <c r="G290" s="5" t="str">
        <f ca="1">IFERROR(__xludf.DUMMYFUNCTION("IFERROR(VLOOKUP(F351,IMPORTRANGE(""https://docs.google.com/spreadsheets/d/1Kvs4KS76FHFqLFIZfrDMff4kP08nblUkihrxltoGBjg/edit#gid=934712705"",""ESENCIAL!A6:BG""),8,FALSE))"),"")</f>
        <v/>
      </c>
      <c r="K290" s="287"/>
      <c r="S290" s="66"/>
      <c r="T290" s="66"/>
      <c r="U290" s="66"/>
      <c r="AT290" s="41" t="str">
        <f>IF(D290&gt;0,IF(AND(#REF!=1,#REF!=1),"Procede_E_P","NO_CUMPLE"),"")</f>
        <v/>
      </c>
      <c r="AU290" s="5" t="str">
        <f ca="1">IFERROR(__xludf.DUMMYFUNCTION("IFERROR(VLOOKUP(E351&amp;F351,IMPORTRANGE(""https://docs.google.com/spreadsheets/d/1Uw7-A9f9R21vMXxHZFNpYNeKFtG8_yji4HS352LGlSQ/edit?pli=1#gid=0"",""1_ACUM!A4:S""),11,FALSE))"),"")</f>
        <v/>
      </c>
      <c r="AV290" s="42" t="str">
        <f ca="1">IFERROR(__xludf.DUMMYFUNCTION("IFERROR(VLOOKUP(F351,IMPORTRANGE(""https://docs.google.com/spreadsheets/d/1Kvs4KS76FHFqLFIZfrDMff4kP08nblUkihrxltoGBjg/edit#gid=934712705"",""ESENCIAL!A6:BG""),15,FALSE))"),"")</f>
        <v/>
      </c>
    </row>
    <row r="291" spans="1:48" ht="15">
      <c r="A291" s="5"/>
      <c r="E291" s="66"/>
      <c r="F291" s="5" t="str">
        <f ca="1">IFERROR(__xludf.DUMMYFUNCTION("IFERROR(VLOOKUP(F352,IMPORTRANGE(""https://docs.google.com/spreadsheets/d/1Kvs4KS76FHFqLFIZfrDMff4kP08nblUkihrxltoGBjg/edit#gid=934712705"",""ESENCIAL!A6:BG""),3,FALSE))"),"")</f>
        <v/>
      </c>
      <c r="G291" s="5" t="str">
        <f ca="1">IFERROR(__xludf.DUMMYFUNCTION("IFERROR(VLOOKUP(F352,IMPORTRANGE(""https://docs.google.com/spreadsheets/d/1Kvs4KS76FHFqLFIZfrDMff4kP08nblUkihrxltoGBjg/edit#gid=934712705"",""ESENCIAL!A6:BG""),8,FALSE))"),"")</f>
        <v/>
      </c>
      <c r="K291" s="287"/>
      <c r="S291" s="66"/>
      <c r="T291" s="66"/>
      <c r="U291" s="66"/>
      <c r="AT291" s="41" t="str">
        <f>IF(D291&gt;0,IF(AND(#REF!=1,#REF!=1),"Procede_E_P","NO_CUMPLE"),"")</f>
        <v/>
      </c>
      <c r="AU291" s="5" t="str">
        <f ca="1">IFERROR(__xludf.DUMMYFUNCTION("IFERROR(VLOOKUP(E352&amp;F352,IMPORTRANGE(""https://docs.google.com/spreadsheets/d/1Uw7-A9f9R21vMXxHZFNpYNeKFtG8_yji4HS352LGlSQ/edit?pli=1#gid=0"",""1_ACUM!A4:S""),11,FALSE))"),"")</f>
        <v/>
      </c>
      <c r="AV291" s="42" t="str">
        <f ca="1">IFERROR(__xludf.DUMMYFUNCTION("IFERROR(VLOOKUP(F352,IMPORTRANGE(""https://docs.google.com/spreadsheets/d/1Kvs4KS76FHFqLFIZfrDMff4kP08nblUkihrxltoGBjg/edit#gid=934712705"",""ESENCIAL!A6:BG""),15,FALSE))"),"")</f>
        <v/>
      </c>
    </row>
    <row r="292" spans="1:48" ht="15">
      <c r="A292" s="5"/>
      <c r="E292" s="66"/>
      <c r="F292" s="5" t="str">
        <f ca="1">IFERROR(__xludf.DUMMYFUNCTION("IFERROR(VLOOKUP(F353,IMPORTRANGE(""https://docs.google.com/spreadsheets/d/1Kvs4KS76FHFqLFIZfrDMff4kP08nblUkihrxltoGBjg/edit#gid=934712705"",""ESENCIAL!A6:BG""),3,FALSE))"),"")</f>
        <v/>
      </c>
      <c r="G292" s="5" t="str">
        <f ca="1">IFERROR(__xludf.DUMMYFUNCTION("IFERROR(VLOOKUP(F353,IMPORTRANGE(""https://docs.google.com/spreadsheets/d/1Kvs4KS76FHFqLFIZfrDMff4kP08nblUkihrxltoGBjg/edit#gid=934712705"",""ESENCIAL!A6:BG""),8,FALSE))"),"")</f>
        <v/>
      </c>
      <c r="K292" s="287"/>
      <c r="S292" s="66"/>
      <c r="T292" s="66"/>
      <c r="U292" s="66"/>
      <c r="AT292" s="41" t="str">
        <f>IF(D292&gt;0,IF(AND(#REF!=1,#REF!=1),"Procede_E_P","NO_CUMPLE"),"")</f>
        <v/>
      </c>
      <c r="AU292" s="5" t="str">
        <f ca="1">IFERROR(__xludf.DUMMYFUNCTION("IFERROR(VLOOKUP(E353&amp;F353,IMPORTRANGE(""https://docs.google.com/spreadsheets/d/1Uw7-A9f9R21vMXxHZFNpYNeKFtG8_yji4HS352LGlSQ/edit?pli=1#gid=0"",""1_ACUM!A4:S""),11,FALSE))"),"")</f>
        <v/>
      </c>
      <c r="AV292" s="42" t="str">
        <f ca="1">IFERROR(__xludf.DUMMYFUNCTION("IFERROR(VLOOKUP(F353,IMPORTRANGE(""https://docs.google.com/spreadsheets/d/1Kvs4KS76FHFqLFIZfrDMff4kP08nblUkihrxltoGBjg/edit#gid=934712705"",""ESENCIAL!A6:BG""),15,FALSE))"),"")</f>
        <v/>
      </c>
    </row>
    <row r="293" spans="1:48" ht="15">
      <c r="A293" s="5"/>
      <c r="E293" s="66"/>
      <c r="F293" s="5" t="str">
        <f ca="1">IFERROR(__xludf.DUMMYFUNCTION("IFERROR(VLOOKUP(F354,IMPORTRANGE(""https://docs.google.com/spreadsheets/d/1Kvs4KS76FHFqLFIZfrDMff4kP08nblUkihrxltoGBjg/edit#gid=934712705"",""ESENCIAL!A6:BG""),3,FALSE))"),"")</f>
        <v/>
      </c>
      <c r="G293" s="5" t="str">
        <f ca="1">IFERROR(__xludf.DUMMYFUNCTION("IFERROR(VLOOKUP(F354,IMPORTRANGE(""https://docs.google.com/spreadsheets/d/1Kvs4KS76FHFqLFIZfrDMff4kP08nblUkihrxltoGBjg/edit#gid=934712705"",""ESENCIAL!A6:BG""),8,FALSE))"),"")</f>
        <v/>
      </c>
      <c r="K293" s="287"/>
      <c r="S293" s="66"/>
      <c r="T293" s="66"/>
      <c r="U293" s="66"/>
      <c r="AT293" s="41" t="str">
        <f>IF(D293&gt;0,IF(AND(#REF!=1,#REF!=1),"Procede_E_P","NO_CUMPLE"),"")</f>
        <v/>
      </c>
      <c r="AU293" s="5" t="str">
        <f ca="1">IFERROR(__xludf.DUMMYFUNCTION("IFERROR(VLOOKUP(E354&amp;F354,IMPORTRANGE(""https://docs.google.com/spreadsheets/d/1Uw7-A9f9R21vMXxHZFNpYNeKFtG8_yji4HS352LGlSQ/edit?pli=1#gid=0"",""1_ACUM!A4:S""),11,FALSE))"),"")</f>
        <v/>
      </c>
      <c r="AV293" s="42" t="str">
        <f ca="1">IFERROR(__xludf.DUMMYFUNCTION("IFERROR(VLOOKUP(F354,IMPORTRANGE(""https://docs.google.com/spreadsheets/d/1Kvs4KS76FHFqLFIZfrDMff4kP08nblUkihrxltoGBjg/edit#gid=934712705"",""ESENCIAL!A6:BG""),15,FALSE))"),"")</f>
        <v/>
      </c>
    </row>
    <row r="294" spans="1:48" ht="15">
      <c r="A294" s="5"/>
      <c r="E294" s="66"/>
      <c r="F294" s="5" t="str">
        <f ca="1">IFERROR(__xludf.DUMMYFUNCTION("IFERROR(VLOOKUP(F355,IMPORTRANGE(""https://docs.google.com/spreadsheets/d/1Kvs4KS76FHFqLFIZfrDMff4kP08nblUkihrxltoGBjg/edit#gid=934712705"",""ESENCIAL!A6:BG""),3,FALSE))"),"")</f>
        <v/>
      </c>
      <c r="G294" s="5" t="str">
        <f ca="1">IFERROR(__xludf.DUMMYFUNCTION("IFERROR(VLOOKUP(F355,IMPORTRANGE(""https://docs.google.com/spreadsheets/d/1Kvs4KS76FHFqLFIZfrDMff4kP08nblUkihrxltoGBjg/edit#gid=934712705"",""ESENCIAL!A6:BG""),8,FALSE))"),"")</f>
        <v/>
      </c>
      <c r="K294" s="287"/>
      <c r="S294" s="66"/>
      <c r="T294" s="66"/>
      <c r="U294" s="66"/>
      <c r="AT294" s="41" t="str">
        <f>IF(D294&gt;0,IF(AND(#REF!=1,#REF!=1),"Procede_E_P","NO_CUMPLE"),"")</f>
        <v/>
      </c>
      <c r="AU294" s="5" t="str">
        <f ca="1">IFERROR(__xludf.DUMMYFUNCTION("IFERROR(VLOOKUP(E355&amp;F355,IMPORTRANGE(""https://docs.google.com/spreadsheets/d/1Uw7-A9f9R21vMXxHZFNpYNeKFtG8_yji4HS352LGlSQ/edit?pli=1#gid=0"",""1_ACUM!A4:S""),11,FALSE))"),"")</f>
        <v/>
      </c>
      <c r="AV294" s="42" t="str">
        <f ca="1">IFERROR(__xludf.DUMMYFUNCTION("IFERROR(VLOOKUP(F355,IMPORTRANGE(""https://docs.google.com/spreadsheets/d/1Kvs4KS76FHFqLFIZfrDMff4kP08nblUkihrxltoGBjg/edit#gid=934712705"",""ESENCIAL!A6:BG""),15,FALSE))"),"")</f>
        <v/>
      </c>
    </row>
    <row r="295" spans="1:48" ht="15">
      <c r="A295" s="5"/>
      <c r="E295" s="66"/>
      <c r="F295" s="5" t="str">
        <f ca="1">IFERROR(__xludf.DUMMYFUNCTION("IFERROR(VLOOKUP(F356,IMPORTRANGE(""https://docs.google.com/spreadsheets/d/1Kvs4KS76FHFqLFIZfrDMff4kP08nblUkihrxltoGBjg/edit#gid=934712705"",""ESENCIAL!A6:BG""),3,FALSE))"),"")</f>
        <v/>
      </c>
      <c r="G295" s="5" t="str">
        <f ca="1">IFERROR(__xludf.DUMMYFUNCTION("IFERROR(VLOOKUP(F356,IMPORTRANGE(""https://docs.google.com/spreadsheets/d/1Kvs4KS76FHFqLFIZfrDMff4kP08nblUkihrxltoGBjg/edit#gid=934712705"",""ESENCIAL!A6:BG""),8,FALSE))"),"")</f>
        <v/>
      </c>
      <c r="K295" s="287"/>
      <c r="S295" s="66"/>
      <c r="T295" s="66"/>
      <c r="U295" s="66"/>
      <c r="AT295" s="41" t="str">
        <f>IF(D295&gt;0,IF(AND(#REF!=1,#REF!=1),"Procede_E_P","NO_CUMPLE"),"")</f>
        <v/>
      </c>
      <c r="AU295" s="5" t="str">
        <f ca="1">IFERROR(__xludf.DUMMYFUNCTION("IFERROR(VLOOKUP(E356&amp;F356,IMPORTRANGE(""https://docs.google.com/spreadsheets/d/1Uw7-A9f9R21vMXxHZFNpYNeKFtG8_yji4HS352LGlSQ/edit?pli=1#gid=0"",""1_ACUM!A4:S""),11,FALSE))"),"")</f>
        <v/>
      </c>
      <c r="AV295" s="42" t="str">
        <f ca="1">IFERROR(__xludf.DUMMYFUNCTION("IFERROR(VLOOKUP(F356,IMPORTRANGE(""https://docs.google.com/spreadsheets/d/1Kvs4KS76FHFqLFIZfrDMff4kP08nblUkihrxltoGBjg/edit#gid=934712705"",""ESENCIAL!A6:BG""),15,FALSE))"),"")</f>
        <v/>
      </c>
    </row>
    <row r="296" spans="1:48" ht="15">
      <c r="A296" s="5"/>
      <c r="E296" s="66"/>
      <c r="F296" s="5" t="str">
        <f ca="1">IFERROR(__xludf.DUMMYFUNCTION("IFERROR(VLOOKUP(F357,IMPORTRANGE(""https://docs.google.com/spreadsheets/d/1Kvs4KS76FHFqLFIZfrDMff4kP08nblUkihrxltoGBjg/edit#gid=934712705"",""ESENCIAL!A6:BG""),3,FALSE))"),"")</f>
        <v/>
      </c>
      <c r="G296" s="5" t="str">
        <f ca="1">IFERROR(__xludf.DUMMYFUNCTION("IFERROR(VLOOKUP(F357,IMPORTRANGE(""https://docs.google.com/spreadsheets/d/1Kvs4KS76FHFqLFIZfrDMff4kP08nblUkihrxltoGBjg/edit#gid=934712705"",""ESENCIAL!A6:BG""),8,FALSE))"),"")</f>
        <v/>
      </c>
      <c r="K296" s="287"/>
      <c r="S296" s="66"/>
      <c r="T296" s="66"/>
      <c r="U296" s="66"/>
      <c r="AT296" s="41" t="str">
        <f>IF(D296&gt;0,IF(AND(#REF!=1,#REF!=1),"Procede_E_P","NO_CUMPLE"),"")</f>
        <v/>
      </c>
      <c r="AU296" s="5" t="str">
        <f ca="1">IFERROR(__xludf.DUMMYFUNCTION("IFERROR(VLOOKUP(E357&amp;F357,IMPORTRANGE(""https://docs.google.com/spreadsheets/d/1Uw7-A9f9R21vMXxHZFNpYNeKFtG8_yji4HS352LGlSQ/edit?pli=1#gid=0"",""1_ACUM!A4:S""),11,FALSE))"),"")</f>
        <v/>
      </c>
      <c r="AV296" s="42" t="str">
        <f ca="1">IFERROR(__xludf.DUMMYFUNCTION("IFERROR(VLOOKUP(F357,IMPORTRANGE(""https://docs.google.com/spreadsheets/d/1Kvs4KS76FHFqLFIZfrDMff4kP08nblUkihrxltoGBjg/edit#gid=934712705"",""ESENCIAL!A6:BG""),15,FALSE))"),"")</f>
        <v/>
      </c>
    </row>
    <row r="297" spans="1:48" ht="15">
      <c r="A297" s="5"/>
      <c r="E297" s="66"/>
      <c r="F297" s="5" t="str">
        <f ca="1">IFERROR(__xludf.DUMMYFUNCTION("IFERROR(VLOOKUP(F358,IMPORTRANGE(""https://docs.google.com/spreadsheets/d/1Kvs4KS76FHFqLFIZfrDMff4kP08nblUkihrxltoGBjg/edit#gid=934712705"",""ESENCIAL!A6:BG""),3,FALSE))"),"")</f>
        <v/>
      </c>
      <c r="G297" s="5" t="str">
        <f ca="1">IFERROR(__xludf.DUMMYFUNCTION("IFERROR(VLOOKUP(F358,IMPORTRANGE(""https://docs.google.com/spreadsheets/d/1Kvs4KS76FHFqLFIZfrDMff4kP08nblUkihrxltoGBjg/edit#gid=934712705"",""ESENCIAL!A6:BG""),8,FALSE))"),"")</f>
        <v/>
      </c>
      <c r="K297" s="287"/>
      <c r="S297" s="66"/>
      <c r="T297" s="66"/>
      <c r="U297" s="66"/>
      <c r="AT297" s="41" t="str">
        <f>IF(D297&gt;0,IF(AND(#REF!=1,#REF!=1),"Procede_E_P","NO_CUMPLE"),"")</f>
        <v/>
      </c>
      <c r="AU297" s="5" t="str">
        <f ca="1">IFERROR(__xludf.DUMMYFUNCTION("IFERROR(VLOOKUP(E358&amp;F358,IMPORTRANGE(""https://docs.google.com/spreadsheets/d/1Uw7-A9f9R21vMXxHZFNpYNeKFtG8_yji4HS352LGlSQ/edit?pli=1#gid=0"",""1_ACUM!A4:S""),11,FALSE))"),"")</f>
        <v/>
      </c>
      <c r="AV297" s="42" t="str">
        <f ca="1">IFERROR(__xludf.DUMMYFUNCTION("IFERROR(VLOOKUP(F358,IMPORTRANGE(""https://docs.google.com/spreadsheets/d/1Kvs4KS76FHFqLFIZfrDMff4kP08nblUkihrxltoGBjg/edit#gid=934712705"",""ESENCIAL!A6:BG""),15,FALSE))"),"")</f>
        <v/>
      </c>
    </row>
    <row r="298" spans="1:48" ht="15">
      <c r="A298" s="5"/>
      <c r="E298" s="66"/>
      <c r="F298" s="5" t="str">
        <f ca="1">IFERROR(__xludf.DUMMYFUNCTION("IFERROR(VLOOKUP(F359,IMPORTRANGE(""https://docs.google.com/spreadsheets/d/1Kvs4KS76FHFqLFIZfrDMff4kP08nblUkihrxltoGBjg/edit#gid=934712705"",""ESENCIAL!A6:BG""),3,FALSE))"),"")</f>
        <v/>
      </c>
      <c r="G298" s="5" t="str">
        <f ca="1">IFERROR(__xludf.DUMMYFUNCTION("IFERROR(VLOOKUP(F359,IMPORTRANGE(""https://docs.google.com/spreadsheets/d/1Kvs4KS76FHFqLFIZfrDMff4kP08nblUkihrxltoGBjg/edit#gid=934712705"",""ESENCIAL!A6:BG""),8,FALSE))"),"")</f>
        <v/>
      </c>
      <c r="K298" s="287"/>
      <c r="S298" s="66"/>
      <c r="T298" s="66"/>
      <c r="U298" s="66"/>
      <c r="AT298" s="41" t="str">
        <f>IF(D298&gt;0,IF(AND(#REF!=1,#REF!=1),"Procede_E_P","NO_CUMPLE"),"")</f>
        <v/>
      </c>
      <c r="AU298" s="5" t="str">
        <f ca="1">IFERROR(__xludf.DUMMYFUNCTION("IFERROR(VLOOKUP(E359&amp;F359,IMPORTRANGE(""https://docs.google.com/spreadsheets/d/1Uw7-A9f9R21vMXxHZFNpYNeKFtG8_yji4HS352LGlSQ/edit?pli=1#gid=0"",""1_ACUM!A4:S""),11,FALSE))"),"")</f>
        <v/>
      </c>
      <c r="AV298" s="42" t="str">
        <f ca="1">IFERROR(__xludf.DUMMYFUNCTION("IFERROR(VLOOKUP(F359,IMPORTRANGE(""https://docs.google.com/spreadsheets/d/1Kvs4KS76FHFqLFIZfrDMff4kP08nblUkihrxltoGBjg/edit#gid=934712705"",""ESENCIAL!A6:BG""),15,FALSE))"),"")</f>
        <v/>
      </c>
    </row>
    <row r="299" spans="1:48" ht="15">
      <c r="A299" s="5"/>
      <c r="E299" s="66"/>
      <c r="F299" s="5" t="str">
        <f ca="1">IFERROR(__xludf.DUMMYFUNCTION("IFERROR(VLOOKUP(F360,IMPORTRANGE(""https://docs.google.com/spreadsheets/d/1Kvs4KS76FHFqLFIZfrDMff4kP08nblUkihrxltoGBjg/edit#gid=934712705"",""ESENCIAL!A6:BG""),3,FALSE))"),"")</f>
        <v/>
      </c>
      <c r="G299" s="5" t="str">
        <f ca="1">IFERROR(__xludf.DUMMYFUNCTION("IFERROR(VLOOKUP(F360,IMPORTRANGE(""https://docs.google.com/spreadsheets/d/1Kvs4KS76FHFqLFIZfrDMff4kP08nblUkihrxltoGBjg/edit#gid=934712705"",""ESENCIAL!A6:BG""),8,FALSE))"),"")</f>
        <v/>
      </c>
      <c r="K299" s="287"/>
      <c r="S299" s="66"/>
      <c r="T299" s="66"/>
      <c r="U299" s="66"/>
      <c r="AT299" s="41" t="str">
        <f>IF(D299&gt;0,IF(AND(#REF!=1,#REF!=1),"Procede_E_P","NO_CUMPLE"),"")</f>
        <v/>
      </c>
      <c r="AU299" s="5" t="str">
        <f ca="1">IFERROR(__xludf.DUMMYFUNCTION("IFERROR(VLOOKUP(E360&amp;F360,IMPORTRANGE(""https://docs.google.com/spreadsheets/d/1Uw7-A9f9R21vMXxHZFNpYNeKFtG8_yji4HS352LGlSQ/edit?pli=1#gid=0"",""1_ACUM!A4:S""),11,FALSE))"),"")</f>
        <v/>
      </c>
      <c r="AV299" s="42" t="str">
        <f ca="1">IFERROR(__xludf.DUMMYFUNCTION("IFERROR(VLOOKUP(F360,IMPORTRANGE(""https://docs.google.com/spreadsheets/d/1Kvs4KS76FHFqLFIZfrDMff4kP08nblUkihrxltoGBjg/edit#gid=934712705"",""ESENCIAL!A6:BG""),15,FALSE))"),"")</f>
        <v/>
      </c>
    </row>
    <row r="300" spans="1:48" ht="15">
      <c r="A300" s="5"/>
      <c r="E300" s="66"/>
      <c r="F300" s="5" t="str">
        <f ca="1">IFERROR(__xludf.DUMMYFUNCTION("IFERROR(VLOOKUP(F361,IMPORTRANGE(""https://docs.google.com/spreadsheets/d/1Kvs4KS76FHFqLFIZfrDMff4kP08nblUkihrxltoGBjg/edit#gid=934712705"",""ESENCIAL!A6:BG""),3,FALSE))"),"")</f>
        <v/>
      </c>
      <c r="G300" s="5" t="str">
        <f ca="1">IFERROR(__xludf.DUMMYFUNCTION("IFERROR(VLOOKUP(F361,IMPORTRANGE(""https://docs.google.com/spreadsheets/d/1Kvs4KS76FHFqLFIZfrDMff4kP08nblUkihrxltoGBjg/edit#gid=934712705"",""ESENCIAL!A6:BG""),8,FALSE))"),"")</f>
        <v/>
      </c>
      <c r="K300" s="287"/>
      <c r="S300" s="66"/>
      <c r="T300" s="66"/>
      <c r="U300" s="66"/>
      <c r="AT300" s="41" t="str">
        <f>IF(D300&gt;0,IF(AND(#REF!=1,#REF!=1),"Procede_E_P","NO_CUMPLE"),"")</f>
        <v/>
      </c>
      <c r="AU300" s="5" t="str">
        <f ca="1">IFERROR(__xludf.DUMMYFUNCTION("IFERROR(VLOOKUP(E361&amp;F361,IMPORTRANGE(""https://docs.google.com/spreadsheets/d/1Uw7-A9f9R21vMXxHZFNpYNeKFtG8_yji4HS352LGlSQ/edit?pli=1#gid=0"",""1_ACUM!A4:S""),11,FALSE))"),"")</f>
        <v/>
      </c>
      <c r="AV300" s="42" t="str">
        <f ca="1">IFERROR(__xludf.DUMMYFUNCTION("IFERROR(VLOOKUP(F361,IMPORTRANGE(""https://docs.google.com/spreadsheets/d/1Kvs4KS76FHFqLFIZfrDMff4kP08nblUkihrxltoGBjg/edit#gid=934712705"",""ESENCIAL!A6:BG""),15,FALSE))"),"")</f>
        <v/>
      </c>
    </row>
    <row r="301" spans="1:48" ht="15">
      <c r="A301" s="5"/>
      <c r="E301" s="66"/>
      <c r="F301" s="5" t="str">
        <f ca="1">IFERROR(__xludf.DUMMYFUNCTION("IFERROR(VLOOKUP(F362,IMPORTRANGE(""https://docs.google.com/spreadsheets/d/1Kvs4KS76FHFqLFIZfrDMff4kP08nblUkihrxltoGBjg/edit#gid=934712705"",""ESENCIAL!A6:BG""),3,FALSE))"),"")</f>
        <v/>
      </c>
      <c r="G301" s="5" t="str">
        <f ca="1">IFERROR(__xludf.DUMMYFUNCTION("IFERROR(VLOOKUP(F362,IMPORTRANGE(""https://docs.google.com/spreadsheets/d/1Kvs4KS76FHFqLFIZfrDMff4kP08nblUkihrxltoGBjg/edit#gid=934712705"",""ESENCIAL!A6:BG""),8,FALSE))"),"")</f>
        <v/>
      </c>
      <c r="K301" s="287"/>
      <c r="S301" s="66"/>
      <c r="T301" s="66"/>
      <c r="U301" s="66"/>
      <c r="AT301" s="41" t="str">
        <f>IF(D301&gt;0,IF(AND(#REF!=1,#REF!=1),"Procede_E_P","NO_CUMPLE"),"")</f>
        <v/>
      </c>
      <c r="AU301" s="5" t="str">
        <f ca="1">IFERROR(__xludf.DUMMYFUNCTION("IFERROR(VLOOKUP(E362&amp;F362,IMPORTRANGE(""https://docs.google.com/spreadsheets/d/1Uw7-A9f9R21vMXxHZFNpYNeKFtG8_yji4HS352LGlSQ/edit?pli=1#gid=0"",""1_ACUM!A4:S""),11,FALSE))"),"")</f>
        <v/>
      </c>
      <c r="AV301" s="42" t="str">
        <f ca="1">IFERROR(__xludf.DUMMYFUNCTION("IFERROR(VLOOKUP(F362,IMPORTRANGE(""https://docs.google.com/spreadsheets/d/1Kvs4KS76FHFqLFIZfrDMff4kP08nblUkihrxltoGBjg/edit#gid=934712705"",""ESENCIAL!A6:BG""),15,FALSE))"),"")</f>
        <v/>
      </c>
    </row>
    <row r="302" spans="1:48" ht="15">
      <c r="A302" s="5"/>
      <c r="E302" s="66"/>
      <c r="F302" s="5" t="str">
        <f ca="1">IFERROR(__xludf.DUMMYFUNCTION("IFERROR(VLOOKUP(F363,IMPORTRANGE(""https://docs.google.com/spreadsheets/d/1Kvs4KS76FHFqLFIZfrDMff4kP08nblUkihrxltoGBjg/edit#gid=934712705"",""ESENCIAL!A6:BG""),3,FALSE))"),"")</f>
        <v/>
      </c>
      <c r="G302" s="5" t="str">
        <f ca="1">IFERROR(__xludf.DUMMYFUNCTION("IFERROR(VLOOKUP(F363,IMPORTRANGE(""https://docs.google.com/spreadsheets/d/1Kvs4KS76FHFqLFIZfrDMff4kP08nblUkihrxltoGBjg/edit#gid=934712705"",""ESENCIAL!A6:BG""),8,FALSE))"),"")</f>
        <v/>
      </c>
      <c r="K302" s="287"/>
      <c r="S302" s="66"/>
      <c r="T302" s="66"/>
      <c r="U302" s="66"/>
      <c r="AT302" s="41" t="str">
        <f>IF(D302&gt;0,IF(AND(#REF!=1,#REF!=1),"Procede_E_P","NO_CUMPLE"),"")</f>
        <v/>
      </c>
      <c r="AU302" s="5" t="str">
        <f ca="1">IFERROR(__xludf.DUMMYFUNCTION("IFERROR(VLOOKUP(E363&amp;F363,IMPORTRANGE(""https://docs.google.com/spreadsheets/d/1Uw7-A9f9R21vMXxHZFNpYNeKFtG8_yji4HS352LGlSQ/edit?pli=1#gid=0"",""1_ACUM!A4:S""),11,FALSE))"),"")</f>
        <v/>
      </c>
      <c r="AV302" s="42" t="str">
        <f ca="1">IFERROR(__xludf.DUMMYFUNCTION("IFERROR(VLOOKUP(F363,IMPORTRANGE(""https://docs.google.com/spreadsheets/d/1Kvs4KS76FHFqLFIZfrDMff4kP08nblUkihrxltoGBjg/edit#gid=934712705"",""ESENCIAL!A6:BG""),15,FALSE))"),"")</f>
        <v/>
      </c>
    </row>
    <row r="303" spans="1:48" ht="15">
      <c r="A303" s="5"/>
      <c r="E303" s="66"/>
      <c r="F303" s="5" t="str">
        <f ca="1">IFERROR(__xludf.DUMMYFUNCTION("IFERROR(VLOOKUP(F364,IMPORTRANGE(""https://docs.google.com/spreadsheets/d/1Kvs4KS76FHFqLFIZfrDMff4kP08nblUkihrxltoGBjg/edit#gid=934712705"",""ESENCIAL!A6:BG""),3,FALSE))"),"")</f>
        <v/>
      </c>
      <c r="G303" s="5" t="str">
        <f ca="1">IFERROR(__xludf.DUMMYFUNCTION("IFERROR(VLOOKUP(F364,IMPORTRANGE(""https://docs.google.com/spreadsheets/d/1Kvs4KS76FHFqLFIZfrDMff4kP08nblUkihrxltoGBjg/edit#gid=934712705"",""ESENCIAL!A6:BG""),8,FALSE))"),"")</f>
        <v/>
      </c>
      <c r="K303" s="287"/>
      <c r="S303" s="66"/>
      <c r="T303" s="66"/>
      <c r="U303" s="66"/>
      <c r="AT303" s="41" t="str">
        <f>IF(D303&gt;0,IF(AND(#REF!=1,#REF!=1),"Procede_E_P","NO_CUMPLE"),"")</f>
        <v/>
      </c>
      <c r="AU303" s="5" t="str">
        <f ca="1">IFERROR(__xludf.DUMMYFUNCTION("IFERROR(VLOOKUP(E364&amp;F364,IMPORTRANGE(""https://docs.google.com/spreadsheets/d/1Uw7-A9f9R21vMXxHZFNpYNeKFtG8_yji4HS352LGlSQ/edit?pli=1#gid=0"",""1_ACUM!A4:S""),11,FALSE))"),"")</f>
        <v/>
      </c>
      <c r="AV303" s="42" t="str">
        <f ca="1">IFERROR(__xludf.DUMMYFUNCTION("IFERROR(VLOOKUP(F364,IMPORTRANGE(""https://docs.google.com/spreadsheets/d/1Kvs4KS76FHFqLFIZfrDMff4kP08nblUkihrxltoGBjg/edit#gid=934712705"",""ESENCIAL!A6:BG""),15,FALSE))"),"")</f>
        <v/>
      </c>
    </row>
    <row r="304" spans="1:48" ht="15">
      <c r="A304" s="5"/>
      <c r="E304" s="66"/>
      <c r="F304" s="5" t="str">
        <f ca="1">IFERROR(__xludf.DUMMYFUNCTION("IFERROR(VLOOKUP(F365,IMPORTRANGE(""https://docs.google.com/spreadsheets/d/1Kvs4KS76FHFqLFIZfrDMff4kP08nblUkihrxltoGBjg/edit#gid=934712705"",""ESENCIAL!A6:BG""),3,FALSE))"),"")</f>
        <v/>
      </c>
      <c r="G304" s="5" t="str">
        <f ca="1">IFERROR(__xludf.DUMMYFUNCTION("IFERROR(VLOOKUP(F365,IMPORTRANGE(""https://docs.google.com/spreadsheets/d/1Kvs4KS76FHFqLFIZfrDMff4kP08nblUkihrxltoGBjg/edit#gid=934712705"",""ESENCIAL!A6:BG""),8,FALSE))"),"")</f>
        <v/>
      </c>
      <c r="K304" s="287"/>
      <c r="S304" s="66"/>
      <c r="T304" s="66"/>
      <c r="U304" s="66"/>
      <c r="AT304" s="41" t="str">
        <f>IF(D304&gt;0,IF(AND(#REF!=1,#REF!=1),"Procede_E_P","NO_CUMPLE"),"")</f>
        <v/>
      </c>
      <c r="AU304" s="5" t="str">
        <f ca="1">IFERROR(__xludf.DUMMYFUNCTION("IFERROR(VLOOKUP(E365&amp;F365,IMPORTRANGE(""https://docs.google.com/spreadsheets/d/1Uw7-A9f9R21vMXxHZFNpYNeKFtG8_yji4HS352LGlSQ/edit?pli=1#gid=0"",""1_ACUM!A4:S""),11,FALSE))"),"")</f>
        <v/>
      </c>
      <c r="AV304" s="42" t="str">
        <f ca="1">IFERROR(__xludf.DUMMYFUNCTION("IFERROR(VLOOKUP(F365,IMPORTRANGE(""https://docs.google.com/spreadsheets/d/1Kvs4KS76FHFqLFIZfrDMff4kP08nblUkihrxltoGBjg/edit#gid=934712705"",""ESENCIAL!A6:BG""),15,FALSE))"),"")</f>
        <v/>
      </c>
    </row>
    <row r="305" spans="1:48" ht="15">
      <c r="A305" s="5"/>
      <c r="E305" s="66"/>
      <c r="F305" s="5" t="str">
        <f ca="1">IFERROR(__xludf.DUMMYFUNCTION("IFERROR(VLOOKUP(F366,IMPORTRANGE(""https://docs.google.com/spreadsheets/d/1Kvs4KS76FHFqLFIZfrDMff4kP08nblUkihrxltoGBjg/edit#gid=934712705"",""ESENCIAL!A6:BG""),3,FALSE))"),"")</f>
        <v/>
      </c>
      <c r="G305" s="5" t="str">
        <f ca="1">IFERROR(__xludf.DUMMYFUNCTION("IFERROR(VLOOKUP(F366,IMPORTRANGE(""https://docs.google.com/spreadsheets/d/1Kvs4KS76FHFqLFIZfrDMff4kP08nblUkihrxltoGBjg/edit#gid=934712705"",""ESENCIAL!A6:BG""),8,FALSE))"),"")</f>
        <v/>
      </c>
      <c r="K305" s="287"/>
      <c r="S305" s="66"/>
      <c r="T305" s="66"/>
      <c r="U305" s="66"/>
      <c r="AT305" s="41" t="str">
        <f>IF(D305&gt;0,IF(AND(#REF!=1,#REF!=1),"Procede_E_P","NO_CUMPLE"),"")</f>
        <v/>
      </c>
      <c r="AU305" s="5" t="str">
        <f ca="1">IFERROR(__xludf.DUMMYFUNCTION("IFERROR(VLOOKUP(E366&amp;F366,IMPORTRANGE(""https://docs.google.com/spreadsheets/d/1Uw7-A9f9R21vMXxHZFNpYNeKFtG8_yji4HS352LGlSQ/edit?pli=1#gid=0"",""1_ACUM!A4:S""),11,FALSE))"),"")</f>
        <v/>
      </c>
      <c r="AV305" s="42" t="str">
        <f ca="1">IFERROR(__xludf.DUMMYFUNCTION("IFERROR(VLOOKUP(F366,IMPORTRANGE(""https://docs.google.com/spreadsheets/d/1Kvs4KS76FHFqLFIZfrDMff4kP08nblUkihrxltoGBjg/edit#gid=934712705"",""ESENCIAL!A6:BG""),15,FALSE))"),"")</f>
        <v/>
      </c>
    </row>
    <row r="306" spans="1:48" ht="15">
      <c r="A306" s="5"/>
      <c r="E306" s="66"/>
      <c r="F306" s="5" t="str">
        <f ca="1">IFERROR(__xludf.DUMMYFUNCTION("IFERROR(VLOOKUP(F367,IMPORTRANGE(""https://docs.google.com/spreadsheets/d/1Kvs4KS76FHFqLFIZfrDMff4kP08nblUkihrxltoGBjg/edit#gid=934712705"",""ESENCIAL!A6:BG""),3,FALSE))"),"")</f>
        <v/>
      </c>
      <c r="G306" s="5" t="str">
        <f ca="1">IFERROR(__xludf.DUMMYFUNCTION("IFERROR(VLOOKUP(F367,IMPORTRANGE(""https://docs.google.com/spreadsheets/d/1Kvs4KS76FHFqLFIZfrDMff4kP08nblUkihrxltoGBjg/edit#gid=934712705"",""ESENCIAL!A6:BG""),8,FALSE))"),"")</f>
        <v/>
      </c>
      <c r="K306" s="287"/>
      <c r="S306" s="66"/>
      <c r="T306" s="66"/>
      <c r="U306" s="66"/>
      <c r="AT306" s="41" t="str">
        <f>IF(D306&gt;0,IF(AND(#REF!=1,#REF!=1),"Procede_E_P","NO_CUMPLE"),"")</f>
        <v/>
      </c>
      <c r="AU306" s="5" t="str">
        <f ca="1">IFERROR(__xludf.DUMMYFUNCTION("IFERROR(VLOOKUP(E367&amp;F367,IMPORTRANGE(""https://docs.google.com/spreadsheets/d/1Uw7-A9f9R21vMXxHZFNpYNeKFtG8_yji4HS352LGlSQ/edit?pli=1#gid=0"",""1_ACUM!A4:S""),11,FALSE))"),"")</f>
        <v/>
      </c>
      <c r="AV306" s="42" t="str">
        <f ca="1">IFERROR(__xludf.DUMMYFUNCTION("IFERROR(VLOOKUP(F367,IMPORTRANGE(""https://docs.google.com/spreadsheets/d/1Kvs4KS76FHFqLFIZfrDMff4kP08nblUkihrxltoGBjg/edit#gid=934712705"",""ESENCIAL!A6:BG""),15,FALSE))"),"")</f>
        <v/>
      </c>
    </row>
    <row r="307" spans="1:48" ht="15">
      <c r="A307" s="5"/>
      <c r="E307" s="66"/>
      <c r="F307" s="5" t="str">
        <f ca="1">IFERROR(__xludf.DUMMYFUNCTION("IFERROR(VLOOKUP(F368,IMPORTRANGE(""https://docs.google.com/spreadsheets/d/1Kvs4KS76FHFqLFIZfrDMff4kP08nblUkihrxltoGBjg/edit#gid=934712705"",""ESENCIAL!A6:BG""),3,FALSE))"),"")</f>
        <v/>
      </c>
      <c r="G307" s="5" t="str">
        <f ca="1">IFERROR(__xludf.DUMMYFUNCTION("IFERROR(VLOOKUP(F368,IMPORTRANGE(""https://docs.google.com/spreadsheets/d/1Kvs4KS76FHFqLFIZfrDMff4kP08nblUkihrxltoGBjg/edit#gid=934712705"",""ESENCIAL!A6:BG""),8,FALSE))"),"")</f>
        <v/>
      </c>
      <c r="K307" s="287"/>
      <c r="S307" s="66"/>
      <c r="T307" s="66"/>
      <c r="U307" s="66"/>
      <c r="AT307" s="41" t="str">
        <f>IF(D307&gt;0,IF(AND(#REF!=1,#REF!=1),"Procede_E_P","NO_CUMPLE"),"")</f>
        <v/>
      </c>
      <c r="AU307" s="5" t="str">
        <f ca="1">IFERROR(__xludf.DUMMYFUNCTION("IFERROR(VLOOKUP(E368&amp;F368,IMPORTRANGE(""https://docs.google.com/spreadsheets/d/1Uw7-A9f9R21vMXxHZFNpYNeKFtG8_yji4HS352LGlSQ/edit?pli=1#gid=0"",""1_ACUM!A4:S""),11,FALSE))"),"")</f>
        <v/>
      </c>
      <c r="AV307" s="42" t="str">
        <f ca="1">IFERROR(__xludf.DUMMYFUNCTION("IFERROR(VLOOKUP(F368,IMPORTRANGE(""https://docs.google.com/spreadsheets/d/1Kvs4KS76FHFqLFIZfrDMff4kP08nblUkihrxltoGBjg/edit#gid=934712705"",""ESENCIAL!A6:BG""),15,FALSE))"),"")</f>
        <v/>
      </c>
    </row>
    <row r="308" spans="1:48" ht="15">
      <c r="A308" s="5"/>
      <c r="E308" s="66"/>
      <c r="F308" s="5" t="str">
        <f ca="1">IFERROR(__xludf.DUMMYFUNCTION("IFERROR(VLOOKUP(F369,IMPORTRANGE(""https://docs.google.com/spreadsheets/d/1Kvs4KS76FHFqLFIZfrDMff4kP08nblUkihrxltoGBjg/edit#gid=934712705"",""ESENCIAL!A6:BG""),3,FALSE))"),"")</f>
        <v/>
      </c>
      <c r="G308" s="5" t="str">
        <f ca="1">IFERROR(__xludf.DUMMYFUNCTION("IFERROR(VLOOKUP(F369,IMPORTRANGE(""https://docs.google.com/spreadsheets/d/1Kvs4KS76FHFqLFIZfrDMff4kP08nblUkihrxltoGBjg/edit#gid=934712705"",""ESENCIAL!A6:BG""),8,FALSE))"),"")</f>
        <v/>
      </c>
      <c r="K308" s="287"/>
      <c r="S308" s="66"/>
      <c r="T308" s="66"/>
      <c r="U308" s="66"/>
      <c r="AT308" s="41" t="str">
        <f>IF(D308&gt;0,IF(AND(#REF!=1,#REF!=1),"Procede_E_P","NO_CUMPLE"),"")</f>
        <v/>
      </c>
      <c r="AU308" s="5" t="str">
        <f ca="1">IFERROR(__xludf.DUMMYFUNCTION("IFERROR(VLOOKUP(E369&amp;F369,IMPORTRANGE(""https://docs.google.com/spreadsheets/d/1Uw7-A9f9R21vMXxHZFNpYNeKFtG8_yji4HS352LGlSQ/edit?pli=1#gid=0"",""1_ACUM!A4:S""),11,FALSE))"),"")</f>
        <v/>
      </c>
      <c r="AV308" s="42" t="str">
        <f ca="1">IFERROR(__xludf.DUMMYFUNCTION("IFERROR(VLOOKUP(F369,IMPORTRANGE(""https://docs.google.com/spreadsheets/d/1Kvs4KS76FHFqLFIZfrDMff4kP08nblUkihrxltoGBjg/edit#gid=934712705"",""ESENCIAL!A6:BG""),15,FALSE))"),"")</f>
        <v/>
      </c>
    </row>
    <row r="309" spans="1:48" ht="15">
      <c r="A309" s="5"/>
      <c r="E309" s="66"/>
      <c r="F309" s="5" t="str">
        <f ca="1">IFERROR(__xludf.DUMMYFUNCTION("IFERROR(VLOOKUP(F370,IMPORTRANGE(""https://docs.google.com/spreadsheets/d/1Kvs4KS76FHFqLFIZfrDMff4kP08nblUkihrxltoGBjg/edit#gid=934712705"",""ESENCIAL!A6:BG""),3,FALSE))"),"")</f>
        <v/>
      </c>
      <c r="G309" s="5" t="str">
        <f ca="1">IFERROR(__xludf.DUMMYFUNCTION("IFERROR(VLOOKUP(F370,IMPORTRANGE(""https://docs.google.com/spreadsheets/d/1Kvs4KS76FHFqLFIZfrDMff4kP08nblUkihrxltoGBjg/edit#gid=934712705"",""ESENCIAL!A6:BG""),8,FALSE))"),"")</f>
        <v/>
      </c>
      <c r="K309" s="287"/>
      <c r="S309" s="66"/>
      <c r="T309" s="66"/>
      <c r="U309" s="66"/>
      <c r="AT309" s="41" t="str">
        <f>IF(D309&gt;0,IF(AND(#REF!=1,#REF!=1),"Procede_E_P","NO_CUMPLE"),"")</f>
        <v/>
      </c>
      <c r="AU309" s="5" t="str">
        <f ca="1">IFERROR(__xludf.DUMMYFUNCTION("IFERROR(VLOOKUP(E370&amp;F370,IMPORTRANGE(""https://docs.google.com/spreadsheets/d/1Uw7-A9f9R21vMXxHZFNpYNeKFtG8_yji4HS352LGlSQ/edit?pli=1#gid=0"",""1_ACUM!A4:S""),11,FALSE))"),"")</f>
        <v/>
      </c>
      <c r="AV309" s="42" t="str">
        <f ca="1">IFERROR(__xludf.DUMMYFUNCTION("IFERROR(VLOOKUP(F370,IMPORTRANGE(""https://docs.google.com/spreadsheets/d/1Kvs4KS76FHFqLFIZfrDMff4kP08nblUkihrxltoGBjg/edit#gid=934712705"",""ESENCIAL!A6:BG""),15,FALSE))"),"")</f>
        <v/>
      </c>
    </row>
    <row r="310" spans="1:48" ht="15">
      <c r="A310" s="5"/>
      <c r="E310" s="66"/>
      <c r="F310" s="5" t="str">
        <f ca="1">IFERROR(__xludf.DUMMYFUNCTION("IFERROR(VLOOKUP(F371,IMPORTRANGE(""https://docs.google.com/spreadsheets/d/1Kvs4KS76FHFqLFIZfrDMff4kP08nblUkihrxltoGBjg/edit#gid=934712705"",""ESENCIAL!A6:BG""),3,FALSE))"),"")</f>
        <v/>
      </c>
      <c r="G310" s="5" t="str">
        <f ca="1">IFERROR(__xludf.DUMMYFUNCTION("IFERROR(VLOOKUP(F371,IMPORTRANGE(""https://docs.google.com/spreadsheets/d/1Kvs4KS76FHFqLFIZfrDMff4kP08nblUkihrxltoGBjg/edit#gid=934712705"",""ESENCIAL!A6:BG""),8,FALSE))"),"")</f>
        <v/>
      </c>
      <c r="K310" s="287"/>
      <c r="S310" s="66"/>
      <c r="T310" s="66"/>
      <c r="U310" s="66"/>
      <c r="AT310" s="41" t="str">
        <f>IF(D310&gt;0,IF(AND(#REF!=1,#REF!=1),"Procede_E_P","NO_CUMPLE"),"")</f>
        <v/>
      </c>
      <c r="AU310" s="5" t="str">
        <f ca="1">IFERROR(__xludf.DUMMYFUNCTION("IFERROR(VLOOKUP(E371&amp;F371,IMPORTRANGE(""https://docs.google.com/spreadsheets/d/1Uw7-A9f9R21vMXxHZFNpYNeKFtG8_yji4HS352LGlSQ/edit?pli=1#gid=0"",""1_ACUM!A4:S""),11,FALSE))"),"")</f>
        <v/>
      </c>
      <c r="AV310" s="42" t="str">
        <f ca="1">IFERROR(__xludf.DUMMYFUNCTION("IFERROR(VLOOKUP(F371,IMPORTRANGE(""https://docs.google.com/spreadsheets/d/1Kvs4KS76FHFqLFIZfrDMff4kP08nblUkihrxltoGBjg/edit#gid=934712705"",""ESENCIAL!A6:BG""),15,FALSE))"),"")</f>
        <v/>
      </c>
    </row>
    <row r="311" spans="1:48" ht="15">
      <c r="A311" s="5"/>
      <c r="E311" s="66"/>
      <c r="F311" s="5" t="str">
        <f ca="1">IFERROR(__xludf.DUMMYFUNCTION("IFERROR(VLOOKUP(F372,IMPORTRANGE(""https://docs.google.com/spreadsheets/d/1Kvs4KS76FHFqLFIZfrDMff4kP08nblUkihrxltoGBjg/edit#gid=934712705"",""ESENCIAL!A6:BG""),3,FALSE))"),"")</f>
        <v/>
      </c>
      <c r="G311" s="5" t="str">
        <f ca="1">IFERROR(__xludf.DUMMYFUNCTION("IFERROR(VLOOKUP(F372,IMPORTRANGE(""https://docs.google.com/spreadsheets/d/1Kvs4KS76FHFqLFIZfrDMff4kP08nblUkihrxltoGBjg/edit#gid=934712705"",""ESENCIAL!A6:BG""),8,FALSE))"),"")</f>
        <v/>
      </c>
      <c r="K311" s="287"/>
      <c r="S311" s="66"/>
      <c r="T311" s="66"/>
      <c r="U311" s="66"/>
      <c r="AT311" s="41" t="str">
        <f>IF(D311&gt;0,IF(AND(#REF!=1,#REF!=1),"Procede_E_P","NO_CUMPLE"),"")</f>
        <v/>
      </c>
      <c r="AU311" s="5" t="str">
        <f ca="1">IFERROR(__xludf.DUMMYFUNCTION("IFERROR(VLOOKUP(E372&amp;F372,IMPORTRANGE(""https://docs.google.com/spreadsheets/d/1Uw7-A9f9R21vMXxHZFNpYNeKFtG8_yji4HS352LGlSQ/edit?pli=1#gid=0"",""1_ACUM!A4:S""),11,FALSE))"),"")</f>
        <v/>
      </c>
      <c r="AV311" s="42" t="str">
        <f ca="1">IFERROR(__xludf.DUMMYFUNCTION("IFERROR(VLOOKUP(F372,IMPORTRANGE(""https://docs.google.com/spreadsheets/d/1Kvs4KS76FHFqLFIZfrDMff4kP08nblUkihrxltoGBjg/edit#gid=934712705"",""ESENCIAL!A6:BG""),15,FALSE))"),"")</f>
        <v/>
      </c>
    </row>
    <row r="312" spans="1:48" ht="15">
      <c r="A312" s="5"/>
      <c r="E312" s="66"/>
      <c r="F312" s="5" t="str">
        <f ca="1">IFERROR(__xludf.DUMMYFUNCTION("IFERROR(VLOOKUP(F373,IMPORTRANGE(""https://docs.google.com/spreadsheets/d/1Kvs4KS76FHFqLFIZfrDMff4kP08nblUkihrxltoGBjg/edit#gid=934712705"",""ESENCIAL!A6:BG""),3,FALSE))"),"")</f>
        <v/>
      </c>
      <c r="G312" s="5" t="str">
        <f ca="1">IFERROR(__xludf.DUMMYFUNCTION("IFERROR(VLOOKUP(F373,IMPORTRANGE(""https://docs.google.com/spreadsheets/d/1Kvs4KS76FHFqLFIZfrDMff4kP08nblUkihrxltoGBjg/edit#gid=934712705"",""ESENCIAL!A6:BG""),8,FALSE))"),"")</f>
        <v/>
      </c>
      <c r="K312" s="287"/>
      <c r="S312" s="66"/>
      <c r="T312" s="66"/>
      <c r="U312" s="66"/>
      <c r="AT312" s="41" t="str">
        <f>IF(D312&gt;0,IF(AND(#REF!=1,#REF!=1),"Procede_E_P","NO_CUMPLE"),"")</f>
        <v/>
      </c>
      <c r="AU312" s="5" t="str">
        <f ca="1">IFERROR(__xludf.DUMMYFUNCTION("IFERROR(VLOOKUP(E373&amp;F373,IMPORTRANGE(""https://docs.google.com/spreadsheets/d/1Uw7-A9f9R21vMXxHZFNpYNeKFtG8_yji4HS352LGlSQ/edit?pli=1#gid=0"",""1_ACUM!A4:S""),11,FALSE))"),"")</f>
        <v/>
      </c>
      <c r="AV312" s="42" t="str">
        <f ca="1">IFERROR(__xludf.DUMMYFUNCTION("IFERROR(VLOOKUP(F373,IMPORTRANGE(""https://docs.google.com/spreadsheets/d/1Kvs4KS76FHFqLFIZfrDMff4kP08nblUkihrxltoGBjg/edit#gid=934712705"",""ESENCIAL!A6:BG""),15,FALSE))"),"")</f>
        <v/>
      </c>
    </row>
    <row r="313" spans="1:48" ht="15">
      <c r="A313" s="5"/>
      <c r="E313" s="66"/>
      <c r="F313" s="5" t="str">
        <f ca="1">IFERROR(__xludf.DUMMYFUNCTION("IFERROR(VLOOKUP(F374,IMPORTRANGE(""https://docs.google.com/spreadsheets/d/1Kvs4KS76FHFqLFIZfrDMff4kP08nblUkihrxltoGBjg/edit#gid=934712705"",""ESENCIAL!A6:BG""),3,FALSE))"),"")</f>
        <v/>
      </c>
      <c r="G313" s="5" t="str">
        <f ca="1">IFERROR(__xludf.DUMMYFUNCTION("IFERROR(VLOOKUP(F374,IMPORTRANGE(""https://docs.google.com/spreadsheets/d/1Kvs4KS76FHFqLFIZfrDMff4kP08nblUkihrxltoGBjg/edit#gid=934712705"",""ESENCIAL!A6:BG""),8,FALSE))"),"")</f>
        <v/>
      </c>
      <c r="K313" s="287"/>
      <c r="S313" s="66"/>
      <c r="T313" s="66"/>
      <c r="U313" s="66"/>
      <c r="AT313" s="41" t="str">
        <f>IF(D313&gt;0,IF(AND(#REF!=1,#REF!=1),"Procede_E_P","NO_CUMPLE"),"")</f>
        <v/>
      </c>
      <c r="AU313" s="5" t="str">
        <f ca="1">IFERROR(__xludf.DUMMYFUNCTION("IFERROR(VLOOKUP(E374&amp;F374,IMPORTRANGE(""https://docs.google.com/spreadsheets/d/1Uw7-A9f9R21vMXxHZFNpYNeKFtG8_yji4HS352LGlSQ/edit?pli=1#gid=0"",""1_ACUM!A4:S""),11,FALSE))"),"")</f>
        <v/>
      </c>
      <c r="AV313" s="42" t="str">
        <f ca="1">IFERROR(__xludf.DUMMYFUNCTION("IFERROR(VLOOKUP(F374,IMPORTRANGE(""https://docs.google.com/spreadsheets/d/1Kvs4KS76FHFqLFIZfrDMff4kP08nblUkihrxltoGBjg/edit#gid=934712705"",""ESENCIAL!A6:BG""),15,FALSE))"),"")</f>
        <v/>
      </c>
    </row>
    <row r="314" spans="1:48" ht="15">
      <c r="A314" s="5"/>
      <c r="E314" s="66"/>
      <c r="F314" s="5" t="str">
        <f ca="1">IFERROR(__xludf.DUMMYFUNCTION("IFERROR(VLOOKUP(F375,IMPORTRANGE(""https://docs.google.com/spreadsheets/d/1Kvs4KS76FHFqLFIZfrDMff4kP08nblUkihrxltoGBjg/edit#gid=934712705"",""ESENCIAL!A6:BG""),3,FALSE))"),"")</f>
        <v/>
      </c>
      <c r="G314" s="5" t="str">
        <f ca="1">IFERROR(__xludf.DUMMYFUNCTION("IFERROR(VLOOKUP(F375,IMPORTRANGE(""https://docs.google.com/spreadsheets/d/1Kvs4KS76FHFqLFIZfrDMff4kP08nblUkihrxltoGBjg/edit#gid=934712705"",""ESENCIAL!A6:BG""),8,FALSE))"),"")</f>
        <v/>
      </c>
      <c r="K314" s="287"/>
      <c r="S314" s="66"/>
      <c r="T314" s="66"/>
      <c r="U314" s="66"/>
      <c r="AT314" s="41" t="str">
        <f>IF(D314&gt;0,IF(AND(#REF!=1,#REF!=1),"Procede_E_P","NO_CUMPLE"),"")</f>
        <v/>
      </c>
      <c r="AU314" s="5" t="str">
        <f ca="1">IFERROR(__xludf.DUMMYFUNCTION("IFERROR(VLOOKUP(E375&amp;F375,IMPORTRANGE(""https://docs.google.com/spreadsheets/d/1Uw7-A9f9R21vMXxHZFNpYNeKFtG8_yji4HS352LGlSQ/edit?pli=1#gid=0"",""1_ACUM!A4:S""),11,FALSE))"),"")</f>
        <v/>
      </c>
      <c r="AV314" s="42" t="str">
        <f ca="1">IFERROR(__xludf.DUMMYFUNCTION("IFERROR(VLOOKUP(F375,IMPORTRANGE(""https://docs.google.com/spreadsheets/d/1Kvs4KS76FHFqLFIZfrDMff4kP08nblUkihrxltoGBjg/edit#gid=934712705"",""ESENCIAL!A6:BG""),15,FALSE))"),"")</f>
        <v/>
      </c>
    </row>
    <row r="315" spans="1:48" ht="15">
      <c r="A315" s="5"/>
      <c r="E315" s="66"/>
      <c r="F315" s="5" t="str">
        <f ca="1">IFERROR(__xludf.DUMMYFUNCTION("IFERROR(VLOOKUP(F376,IMPORTRANGE(""https://docs.google.com/spreadsheets/d/1Kvs4KS76FHFqLFIZfrDMff4kP08nblUkihrxltoGBjg/edit#gid=934712705"",""ESENCIAL!A6:BG""),3,FALSE))"),"")</f>
        <v/>
      </c>
      <c r="G315" s="5" t="str">
        <f ca="1">IFERROR(__xludf.DUMMYFUNCTION("IFERROR(VLOOKUP(F376,IMPORTRANGE(""https://docs.google.com/spreadsheets/d/1Kvs4KS76FHFqLFIZfrDMff4kP08nblUkihrxltoGBjg/edit#gid=934712705"",""ESENCIAL!A6:BG""),8,FALSE))"),"")</f>
        <v/>
      </c>
      <c r="K315" s="287"/>
      <c r="S315" s="66"/>
      <c r="T315" s="66"/>
      <c r="U315" s="66"/>
      <c r="AT315" s="41" t="str">
        <f>IF(D315&gt;0,IF(AND(#REF!=1,#REF!=1),"Procede_E_P","NO_CUMPLE"),"")</f>
        <v/>
      </c>
      <c r="AU315" s="5" t="str">
        <f ca="1">IFERROR(__xludf.DUMMYFUNCTION("IFERROR(VLOOKUP(E376&amp;F376,IMPORTRANGE(""https://docs.google.com/spreadsheets/d/1Uw7-A9f9R21vMXxHZFNpYNeKFtG8_yji4HS352LGlSQ/edit?pli=1#gid=0"",""1_ACUM!A4:S""),11,FALSE))"),"")</f>
        <v/>
      </c>
      <c r="AV315" s="42" t="str">
        <f ca="1">IFERROR(__xludf.DUMMYFUNCTION("IFERROR(VLOOKUP(F376,IMPORTRANGE(""https://docs.google.com/spreadsheets/d/1Kvs4KS76FHFqLFIZfrDMff4kP08nblUkihrxltoGBjg/edit#gid=934712705"",""ESENCIAL!A6:BG""),15,FALSE))"),"")</f>
        <v/>
      </c>
    </row>
    <row r="316" spans="1:48" ht="15">
      <c r="A316" s="5"/>
      <c r="E316" s="66"/>
      <c r="F316" s="5" t="str">
        <f ca="1">IFERROR(__xludf.DUMMYFUNCTION("IFERROR(VLOOKUP(F377,IMPORTRANGE(""https://docs.google.com/spreadsheets/d/1Kvs4KS76FHFqLFIZfrDMff4kP08nblUkihrxltoGBjg/edit#gid=934712705"",""ESENCIAL!A6:BG""),3,FALSE))"),"")</f>
        <v/>
      </c>
      <c r="G316" s="5" t="str">
        <f ca="1">IFERROR(__xludf.DUMMYFUNCTION("IFERROR(VLOOKUP(F377,IMPORTRANGE(""https://docs.google.com/spreadsheets/d/1Kvs4KS76FHFqLFIZfrDMff4kP08nblUkihrxltoGBjg/edit#gid=934712705"",""ESENCIAL!A6:BG""),8,FALSE))"),"")</f>
        <v/>
      </c>
      <c r="K316" s="287"/>
      <c r="S316" s="66"/>
      <c r="T316" s="66"/>
      <c r="U316" s="66"/>
      <c r="AT316" s="41" t="str">
        <f>IF(D316&gt;0,IF(AND(#REF!=1,#REF!=1),"Procede_E_P","NO_CUMPLE"),"")</f>
        <v/>
      </c>
      <c r="AU316" s="5" t="str">
        <f ca="1">IFERROR(__xludf.DUMMYFUNCTION("IFERROR(VLOOKUP(E377&amp;F377,IMPORTRANGE(""https://docs.google.com/spreadsheets/d/1Uw7-A9f9R21vMXxHZFNpYNeKFtG8_yji4HS352LGlSQ/edit?pli=1#gid=0"",""1_ACUM!A4:S""),11,FALSE))"),"")</f>
        <v/>
      </c>
      <c r="AV316" s="42" t="str">
        <f ca="1">IFERROR(__xludf.DUMMYFUNCTION("IFERROR(VLOOKUP(F377,IMPORTRANGE(""https://docs.google.com/spreadsheets/d/1Kvs4KS76FHFqLFIZfrDMff4kP08nblUkihrxltoGBjg/edit#gid=934712705"",""ESENCIAL!A6:BG""),15,FALSE))"),"")</f>
        <v/>
      </c>
    </row>
    <row r="317" spans="1:48" ht="15">
      <c r="A317" s="5"/>
      <c r="E317" s="66"/>
      <c r="F317" s="5" t="str">
        <f ca="1">IFERROR(__xludf.DUMMYFUNCTION("IFERROR(VLOOKUP(F378,IMPORTRANGE(""https://docs.google.com/spreadsheets/d/1Kvs4KS76FHFqLFIZfrDMff4kP08nblUkihrxltoGBjg/edit#gid=934712705"",""ESENCIAL!A6:BG""),3,FALSE))"),"")</f>
        <v/>
      </c>
      <c r="G317" s="5" t="str">
        <f ca="1">IFERROR(__xludf.DUMMYFUNCTION("IFERROR(VLOOKUP(F378,IMPORTRANGE(""https://docs.google.com/spreadsheets/d/1Kvs4KS76FHFqLFIZfrDMff4kP08nblUkihrxltoGBjg/edit#gid=934712705"",""ESENCIAL!A6:BG""),8,FALSE))"),"")</f>
        <v/>
      </c>
      <c r="K317" s="287"/>
      <c r="S317" s="66"/>
      <c r="T317" s="66"/>
      <c r="U317" s="66"/>
      <c r="AT317" s="41" t="str">
        <f>IF(D317&gt;0,IF(AND(#REF!=1,#REF!=1),"Procede_E_P","NO_CUMPLE"),"")</f>
        <v/>
      </c>
      <c r="AU317" s="5" t="str">
        <f ca="1">IFERROR(__xludf.DUMMYFUNCTION("IFERROR(VLOOKUP(E378&amp;F378,IMPORTRANGE(""https://docs.google.com/spreadsheets/d/1Uw7-A9f9R21vMXxHZFNpYNeKFtG8_yji4HS352LGlSQ/edit?pli=1#gid=0"",""1_ACUM!A4:S""),11,FALSE))"),"")</f>
        <v/>
      </c>
      <c r="AV317" s="42" t="str">
        <f ca="1">IFERROR(__xludf.DUMMYFUNCTION("IFERROR(VLOOKUP(F378,IMPORTRANGE(""https://docs.google.com/spreadsheets/d/1Kvs4KS76FHFqLFIZfrDMff4kP08nblUkihrxltoGBjg/edit#gid=934712705"",""ESENCIAL!A6:BG""),15,FALSE))"),"")</f>
        <v/>
      </c>
    </row>
    <row r="318" spans="1:48" ht="15">
      <c r="A318" s="5"/>
      <c r="E318" s="66"/>
      <c r="F318" s="5" t="str">
        <f ca="1">IFERROR(__xludf.DUMMYFUNCTION("IFERROR(VLOOKUP(F379,IMPORTRANGE(""https://docs.google.com/spreadsheets/d/1Kvs4KS76FHFqLFIZfrDMff4kP08nblUkihrxltoGBjg/edit#gid=934712705"",""ESENCIAL!A6:BG""),3,FALSE))"),"")</f>
        <v/>
      </c>
      <c r="G318" s="5" t="str">
        <f ca="1">IFERROR(__xludf.DUMMYFUNCTION("IFERROR(VLOOKUP(F379,IMPORTRANGE(""https://docs.google.com/spreadsheets/d/1Kvs4KS76FHFqLFIZfrDMff4kP08nblUkihrxltoGBjg/edit#gid=934712705"",""ESENCIAL!A6:BG""),8,FALSE))"),"")</f>
        <v/>
      </c>
      <c r="K318" s="287"/>
      <c r="S318" s="66"/>
      <c r="T318" s="66"/>
      <c r="U318" s="66"/>
      <c r="AT318" s="41" t="str">
        <f>IF(D318&gt;0,IF(AND(#REF!=1,#REF!=1),"Procede_E_P","NO_CUMPLE"),"")</f>
        <v/>
      </c>
      <c r="AU318" s="5" t="str">
        <f ca="1">IFERROR(__xludf.DUMMYFUNCTION("IFERROR(VLOOKUP(E379&amp;F379,IMPORTRANGE(""https://docs.google.com/spreadsheets/d/1Uw7-A9f9R21vMXxHZFNpYNeKFtG8_yji4HS352LGlSQ/edit?pli=1#gid=0"",""1_ACUM!A4:S""),11,FALSE))"),"")</f>
        <v/>
      </c>
      <c r="AV318" s="42" t="str">
        <f ca="1">IFERROR(__xludf.DUMMYFUNCTION("IFERROR(VLOOKUP(F379,IMPORTRANGE(""https://docs.google.com/spreadsheets/d/1Kvs4KS76FHFqLFIZfrDMff4kP08nblUkihrxltoGBjg/edit#gid=934712705"",""ESENCIAL!A6:BG""),15,FALSE))"),"")</f>
        <v/>
      </c>
    </row>
    <row r="319" spans="1:48" ht="15">
      <c r="A319" s="5"/>
      <c r="E319" s="66"/>
      <c r="F319" s="5" t="str">
        <f ca="1">IFERROR(__xludf.DUMMYFUNCTION("IFERROR(VLOOKUP(F380,IMPORTRANGE(""https://docs.google.com/spreadsheets/d/1Kvs4KS76FHFqLFIZfrDMff4kP08nblUkihrxltoGBjg/edit#gid=934712705"",""ESENCIAL!A6:BG""),3,FALSE))"),"")</f>
        <v/>
      </c>
      <c r="G319" s="5" t="str">
        <f ca="1">IFERROR(__xludf.DUMMYFUNCTION("IFERROR(VLOOKUP(F380,IMPORTRANGE(""https://docs.google.com/spreadsheets/d/1Kvs4KS76FHFqLFIZfrDMff4kP08nblUkihrxltoGBjg/edit#gid=934712705"",""ESENCIAL!A6:BG""),8,FALSE))"),"")</f>
        <v/>
      </c>
      <c r="K319" s="287"/>
      <c r="S319" s="66"/>
      <c r="T319" s="66"/>
      <c r="U319" s="66"/>
      <c r="AT319" s="41" t="str">
        <f>IF(D319&gt;0,IF(AND(#REF!=1,#REF!=1),"Procede_E_P","NO_CUMPLE"),"")</f>
        <v/>
      </c>
      <c r="AU319" s="5" t="str">
        <f ca="1">IFERROR(__xludf.DUMMYFUNCTION("IFERROR(VLOOKUP(E380&amp;F380,IMPORTRANGE(""https://docs.google.com/spreadsheets/d/1Uw7-A9f9R21vMXxHZFNpYNeKFtG8_yji4HS352LGlSQ/edit?pli=1#gid=0"",""1_ACUM!A4:S""),11,FALSE))"),"")</f>
        <v/>
      </c>
      <c r="AV319" s="42" t="str">
        <f ca="1">IFERROR(__xludf.DUMMYFUNCTION("IFERROR(VLOOKUP(F380,IMPORTRANGE(""https://docs.google.com/spreadsheets/d/1Kvs4KS76FHFqLFIZfrDMff4kP08nblUkihrxltoGBjg/edit#gid=934712705"",""ESENCIAL!A6:BG""),15,FALSE))"),"")</f>
        <v/>
      </c>
    </row>
    <row r="320" spans="1:48" ht="15">
      <c r="A320" s="5"/>
      <c r="E320" s="66"/>
      <c r="F320" s="5" t="str">
        <f ca="1">IFERROR(__xludf.DUMMYFUNCTION("IFERROR(VLOOKUP(F381,IMPORTRANGE(""https://docs.google.com/spreadsheets/d/1Kvs4KS76FHFqLFIZfrDMff4kP08nblUkihrxltoGBjg/edit#gid=934712705"",""ESENCIAL!A6:BG""),3,FALSE))"),"")</f>
        <v/>
      </c>
      <c r="G320" s="5" t="str">
        <f ca="1">IFERROR(__xludf.DUMMYFUNCTION("IFERROR(VLOOKUP(F381,IMPORTRANGE(""https://docs.google.com/spreadsheets/d/1Kvs4KS76FHFqLFIZfrDMff4kP08nblUkihrxltoGBjg/edit#gid=934712705"",""ESENCIAL!A6:BG""),8,FALSE))"),"")</f>
        <v/>
      </c>
      <c r="K320" s="287"/>
      <c r="S320" s="66"/>
      <c r="T320" s="66"/>
      <c r="U320" s="66"/>
      <c r="AT320" s="41" t="str">
        <f>IF(D320&gt;0,IF(AND(#REF!=1,#REF!=1),"Procede_E_P","NO_CUMPLE"),"")</f>
        <v/>
      </c>
      <c r="AU320" s="5" t="str">
        <f ca="1">IFERROR(__xludf.DUMMYFUNCTION("IFERROR(VLOOKUP(E381&amp;F381,IMPORTRANGE(""https://docs.google.com/spreadsheets/d/1Uw7-A9f9R21vMXxHZFNpYNeKFtG8_yji4HS352LGlSQ/edit?pli=1#gid=0"",""1_ACUM!A4:S""),11,FALSE))"),"")</f>
        <v/>
      </c>
      <c r="AV320" s="42" t="str">
        <f ca="1">IFERROR(__xludf.DUMMYFUNCTION("IFERROR(VLOOKUP(F381,IMPORTRANGE(""https://docs.google.com/spreadsheets/d/1Kvs4KS76FHFqLFIZfrDMff4kP08nblUkihrxltoGBjg/edit#gid=934712705"",""ESENCIAL!A6:BG""),15,FALSE))"),"")</f>
        <v/>
      </c>
    </row>
    <row r="321" spans="1:48" ht="15">
      <c r="A321" s="5"/>
      <c r="E321" s="66"/>
      <c r="F321" s="5" t="str">
        <f ca="1">IFERROR(__xludf.DUMMYFUNCTION("IFERROR(VLOOKUP(F382,IMPORTRANGE(""https://docs.google.com/spreadsheets/d/1Kvs4KS76FHFqLFIZfrDMff4kP08nblUkihrxltoGBjg/edit#gid=934712705"",""ESENCIAL!A6:BG""),3,FALSE))"),"")</f>
        <v/>
      </c>
      <c r="G321" s="5" t="str">
        <f ca="1">IFERROR(__xludf.DUMMYFUNCTION("IFERROR(VLOOKUP(F382,IMPORTRANGE(""https://docs.google.com/spreadsheets/d/1Kvs4KS76FHFqLFIZfrDMff4kP08nblUkihrxltoGBjg/edit#gid=934712705"",""ESENCIAL!A6:BG""),8,FALSE))"),"")</f>
        <v/>
      </c>
      <c r="K321" s="287"/>
      <c r="S321" s="66"/>
      <c r="T321" s="66"/>
      <c r="U321" s="66"/>
      <c r="AT321" s="41" t="str">
        <f>IF(D321&gt;0,IF(AND(#REF!=1,#REF!=1),"Procede_E_P","NO_CUMPLE"),"")</f>
        <v/>
      </c>
      <c r="AU321" s="5" t="str">
        <f ca="1">IFERROR(__xludf.DUMMYFUNCTION("IFERROR(VLOOKUP(E382&amp;F382,IMPORTRANGE(""https://docs.google.com/spreadsheets/d/1Uw7-A9f9R21vMXxHZFNpYNeKFtG8_yji4HS352LGlSQ/edit?pli=1#gid=0"",""1_ACUM!A4:S""),11,FALSE))"),"")</f>
        <v/>
      </c>
      <c r="AV321" s="42" t="str">
        <f ca="1">IFERROR(__xludf.DUMMYFUNCTION("IFERROR(VLOOKUP(F382,IMPORTRANGE(""https://docs.google.com/spreadsheets/d/1Kvs4KS76FHFqLFIZfrDMff4kP08nblUkihrxltoGBjg/edit#gid=934712705"",""ESENCIAL!A6:BG""),15,FALSE))"),"")</f>
        <v/>
      </c>
    </row>
    <row r="322" spans="1:48" ht="15">
      <c r="A322" s="5"/>
      <c r="E322" s="66"/>
      <c r="F322" s="5" t="str">
        <f ca="1">IFERROR(__xludf.DUMMYFUNCTION("IFERROR(VLOOKUP(F383,IMPORTRANGE(""https://docs.google.com/spreadsheets/d/1Kvs4KS76FHFqLFIZfrDMff4kP08nblUkihrxltoGBjg/edit#gid=934712705"",""ESENCIAL!A6:BG""),3,FALSE))"),"")</f>
        <v/>
      </c>
      <c r="G322" s="5" t="str">
        <f ca="1">IFERROR(__xludf.DUMMYFUNCTION("IFERROR(VLOOKUP(F383,IMPORTRANGE(""https://docs.google.com/spreadsheets/d/1Kvs4KS76FHFqLFIZfrDMff4kP08nblUkihrxltoGBjg/edit#gid=934712705"",""ESENCIAL!A6:BG""),8,FALSE))"),"")</f>
        <v/>
      </c>
      <c r="K322" s="287"/>
      <c r="S322" s="66"/>
      <c r="T322" s="66"/>
      <c r="U322" s="66"/>
      <c r="AT322" s="41" t="str">
        <f>IF(D322&gt;0,IF(AND(#REF!=1,#REF!=1),"Procede_E_P","NO_CUMPLE"),"")</f>
        <v/>
      </c>
      <c r="AU322" s="5" t="str">
        <f ca="1">IFERROR(__xludf.DUMMYFUNCTION("IFERROR(VLOOKUP(E383&amp;F383,IMPORTRANGE(""https://docs.google.com/spreadsheets/d/1Uw7-A9f9R21vMXxHZFNpYNeKFtG8_yji4HS352LGlSQ/edit?pli=1#gid=0"",""1_ACUM!A4:S""),11,FALSE))"),"")</f>
        <v/>
      </c>
      <c r="AV322" s="42" t="str">
        <f ca="1">IFERROR(__xludf.DUMMYFUNCTION("IFERROR(VLOOKUP(F383,IMPORTRANGE(""https://docs.google.com/spreadsheets/d/1Kvs4KS76FHFqLFIZfrDMff4kP08nblUkihrxltoGBjg/edit#gid=934712705"",""ESENCIAL!A6:BG""),15,FALSE))"),"")</f>
        <v/>
      </c>
    </row>
    <row r="323" spans="1:48" ht="15">
      <c r="A323" s="5"/>
      <c r="E323" s="66"/>
      <c r="F323" s="5" t="str">
        <f ca="1">IFERROR(__xludf.DUMMYFUNCTION("IFERROR(VLOOKUP(F384,IMPORTRANGE(""https://docs.google.com/spreadsheets/d/1Kvs4KS76FHFqLFIZfrDMff4kP08nblUkihrxltoGBjg/edit#gid=934712705"",""ESENCIAL!A6:BG""),3,FALSE))"),"")</f>
        <v/>
      </c>
      <c r="G323" s="5" t="str">
        <f ca="1">IFERROR(__xludf.DUMMYFUNCTION("IFERROR(VLOOKUP(F384,IMPORTRANGE(""https://docs.google.com/spreadsheets/d/1Kvs4KS76FHFqLFIZfrDMff4kP08nblUkihrxltoGBjg/edit#gid=934712705"",""ESENCIAL!A6:BG""),8,FALSE))"),"")</f>
        <v/>
      </c>
      <c r="K323" s="287"/>
      <c r="S323" s="66"/>
      <c r="T323" s="66"/>
      <c r="U323" s="66"/>
      <c r="AT323" s="41" t="str">
        <f>IF(D323&gt;0,IF(AND(#REF!=1,#REF!=1),"Procede_E_P","NO_CUMPLE"),"")</f>
        <v/>
      </c>
      <c r="AU323" s="5" t="str">
        <f ca="1">IFERROR(__xludf.DUMMYFUNCTION("IFERROR(VLOOKUP(E384&amp;F384,IMPORTRANGE(""https://docs.google.com/spreadsheets/d/1Uw7-A9f9R21vMXxHZFNpYNeKFtG8_yji4HS352LGlSQ/edit?pli=1#gid=0"",""1_ACUM!A4:S""),11,FALSE))"),"")</f>
        <v/>
      </c>
      <c r="AV323" s="42" t="str">
        <f ca="1">IFERROR(__xludf.DUMMYFUNCTION("IFERROR(VLOOKUP(F384,IMPORTRANGE(""https://docs.google.com/spreadsheets/d/1Kvs4KS76FHFqLFIZfrDMff4kP08nblUkihrxltoGBjg/edit#gid=934712705"",""ESENCIAL!A6:BG""),15,FALSE))"),"")</f>
        <v/>
      </c>
    </row>
    <row r="324" spans="1:48" ht="15">
      <c r="A324" s="5"/>
      <c r="E324" s="66"/>
      <c r="F324" s="5" t="str">
        <f ca="1">IFERROR(__xludf.DUMMYFUNCTION("IFERROR(VLOOKUP(F385,IMPORTRANGE(""https://docs.google.com/spreadsheets/d/1Kvs4KS76FHFqLFIZfrDMff4kP08nblUkihrxltoGBjg/edit#gid=934712705"",""ESENCIAL!A6:BG""),3,FALSE))"),"")</f>
        <v/>
      </c>
      <c r="G324" s="5" t="str">
        <f ca="1">IFERROR(__xludf.DUMMYFUNCTION("IFERROR(VLOOKUP(F385,IMPORTRANGE(""https://docs.google.com/spreadsheets/d/1Kvs4KS76FHFqLFIZfrDMff4kP08nblUkihrxltoGBjg/edit#gid=934712705"",""ESENCIAL!A6:BG""),8,FALSE))"),"")</f>
        <v/>
      </c>
      <c r="K324" s="287"/>
      <c r="S324" s="66"/>
      <c r="T324" s="66"/>
      <c r="U324" s="66"/>
      <c r="AT324" s="41" t="str">
        <f>IF(D324&gt;0,IF(AND(#REF!=1,#REF!=1),"Procede_E_P","NO_CUMPLE"),"")</f>
        <v/>
      </c>
      <c r="AU324" s="5" t="str">
        <f ca="1">IFERROR(__xludf.DUMMYFUNCTION("IFERROR(VLOOKUP(E385&amp;F385,IMPORTRANGE(""https://docs.google.com/spreadsheets/d/1Uw7-A9f9R21vMXxHZFNpYNeKFtG8_yji4HS352LGlSQ/edit?pli=1#gid=0"",""1_ACUM!A4:S""),11,FALSE))"),"")</f>
        <v/>
      </c>
      <c r="AV324" s="42" t="str">
        <f ca="1">IFERROR(__xludf.DUMMYFUNCTION("IFERROR(VLOOKUP(F385,IMPORTRANGE(""https://docs.google.com/spreadsheets/d/1Kvs4KS76FHFqLFIZfrDMff4kP08nblUkihrxltoGBjg/edit#gid=934712705"",""ESENCIAL!A6:BG""),15,FALSE))"),"")</f>
        <v/>
      </c>
    </row>
    <row r="325" spans="1:48" ht="15">
      <c r="A325" s="5"/>
      <c r="E325" s="66"/>
      <c r="F325" s="5" t="str">
        <f ca="1">IFERROR(__xludf.DUMMYFUNCTION("IFERROR(VLOOKUP(F386,IMPORTRANGE(""https://docs.google.com/spreadsheets/d/1Kvs4KS76FHFqLFIZfrDMff4kP08nblUkihrxltoGBjg/edit#gid=934712705"",""ESENCIAL!A6:BG""),3,FALSE))"),"")</f>
        <v/>
      </c>
      <c r="G325" s="5" t="str">
        <f ca="1">IFERROR(__xludf.DUMMYFUNCTION("IFERROR(VLOOKUP(F386,IMPORTRANGE(""https://docs.google.com/spreadsheets/d/1Kvs4KS76FHFqLFIZfrDMff4kP08nblUkihrxltoGBjg/edit#gid=934712705"",""ESENCIAL!A6:BG""),8,FALSE))"),"")</f>
        <v/>
      </c>
      <c r="K325" s="287"/>
      <c r="S325" s="66"/>
      <c r="T325" s="66"/>
      <c r="U325" s="66"/>
      <c r="AT325" s="41" t="str">
        <f>IF(D325&gt;0,IF(AND(#REF!=1,#REF!=1),"Procede_E_P","NO_CUMPLE"),"")</f>
        <v/>
      </c>
      <c r="AU325" s="5" t="str">
        <f ca="1">IFERROR(__xludf.DUMMYFUNCTION("IFERROR(VLOOKUP(E386&amp;F386,IMPORTRANGE(""https://docs.google.com/spreadsheets/d/1Uw7-A9f9R21vMXxHZFNpYNeKFtG8_yji4HS352LGlSQ/edit?pli=1#gid=0"",""1_ACUM!A4:S""),11,FALSE))"),"")</f>
        <v/>
      </c>
      <c r="AV325" s="42" t="str">
        <f ca="1">IFERROR(__xludf.DUMMYFUNCTION("IFERROR(VLOOKUP(F386,IMPORTRANGE(""https://docs.google.com/spreadsheets/d/1Kvs4KS76FHFqLFIZfrDMff4kP08nblUkihrxltoGBjg/edit#gid=934712705"",""ESENCIAL!A6:BG""),15,FALSE))"),"")</f>
        <v/>
      </c>
    </row>
    <row r="326" spans="1:48" ht="15">
      <c r="A326" s="5"/>
      <c r="E326" s="66"/>
      <c r="F326" s="5" t="str">
        <f ca="1">IFERROR(__xludf.DUMMYFUNCTION("IFERROR(VLOOKUP(F387,IMPORTRANGE(""https://docs.google.com/spreadsheets/d/1Kvs4KS76FHFqLFIZfrDMff4kP08nblUkihrxltoGBjg/edit#gid=934712705"",""ESENCIAL!A6:BG""),3,FALSE))"),"")</f>
        <v/>
      </c>
      <c r="G326" s="5" t="str">
        <f ca="1">IFERROR(__xludf.DUMMYFUNCTION("IFERROR(VLOOKUP(F387,IMPORTRANGE(""https://docs.google.com/spreadsheets/d/1Kvs4KS76FHFqLFIZfrDMff4kP08nblUkihrxltoGBjg/edit#gid=934712705"",""ESENCIAL!A6:BG""),8,FALSE))"),"")</f>
        <v/>
      </c>
      <c r="K326" s="287"/>
      <c r="S326" s="66"/>
      <c r="T326" s="66"/>
      <c r="U326" s="66"/>
      <c r="AT326" s="41" t="str">
        <f>IF(D326&gt;0,IF(AND(#REF!=1,#REF!=1),"Procede_E_P","NO_CUMPLE"),"")</f>
        <v/>
      </c>
      <c r="AU326" s="5" t="str">
        <f ca="1">IFERROR(__xludf.DUMMYFUNCTION("IFERROR(VLOOKUP(E387&amp;F387,IMPORTRANGE(""https://docs.google.com/spreadsheets/d/1Uw7-A9f9R21vMXxHZFNpYNeKFtG8_yji4HS352LGlSQ/edit?pli=1#gid=0"",""1_ACUM!A4:S""),11,FALSE))"),"")</f>
        <v/>
      </c>
      <c r="AV326" s="42" t="str">
        <f ca="1">IFERROR(__xludf.DUMMYFUNCTION("IFERROR(VLOOKUP(F387,IMPORTRANGE(""https://docs.google.com/spreadsheets/d/1Kvs4KS76FHFqLFIZfrDMff4kP08nblUkihrxltoGBjg/edit#gid=934712705"",""ESENCIAL!A6:BG""),15,FALSE))"),"")</f>
        <v/>
      </c>
    </row>
    <row r="327" spans="1:48" ht="15">
      <c r="A327" s="5"/>
      <c r="E327" s="66"/>
      <c r="F327" s="5" t="str">
        <f ca="1">IFERROR(__xludf.DUMMYFUNCTION("IFERROR(VLOOKUP(F388,IMPORTRANGE(""https://docs.google.com/spreadsheets/d/1Kvs4KS76FHFqLFIZfrDMff4kP08nblUkihrxltoGBjg/edit#gid=934712705"",""ESENCIAL!A6:BG""),3,FALSE))"),"")</f>
        <v/>
      </c>
      <c r="G327" s="5" t="str">
        <f ca="1">IFERROR(__xludf.DUMMYFUNCTION("IFERROR(VLOOKUP(F388,IMPORTRANGE(""https://docs.google.com/spreadsheets/d/1Kvs4KS76FHFqLFIZfrDMff4kP08nblUkihrxltoGBjg/edit#gid=934712705"",""ESENCIAL!A6:BG""),8,FALSE))"),"")</f>
        <v/>
      </c>
      <c r="K327" s="287"/>
      <c r="S327" s="66"/>
      <c r="T327" s="66"/>
      <c r="U327" s="66"/>
      <c r="AT327" s="41" t="str">
        <f>IF(D327&gt;0,IF(AND(#REF!=1,#REF!=1),"Procede_E_P","NO_CUMPLE"),"")</f>
        <v/>
      </c>
      <c r="AU327" s="5" t="str">
        <f ca="1">IFERROR(__xludf.DUMMYFUNCTION("IFERROR(VLOOKUP(E388&amp;F388,IMPORTRANGE(""https://docs.google.com/spreadsheets/d/1Uw7-A9f9R21vMXxHZFNpYNeKFtG8_yji4HS352LGlSQ/edit?pli=1#gid=0"",""1_ACUM!A4:S""),11,FALSE))"),"")</f>
        <v/>
      </c>
      <c r="AV327" s="42" t="str">
        <f ca="1">IFERROR(__xludf.DUMMYFUNCTION("IFERROR(VLOOKUP(F388,IMPORTRANGE(""https://docs.google.com/spreadsheets/d/1Kvs4KS76FHFqLFIZfrDMff4kP08nblUkihrxltoGBjg/edit#gid=934712705"",""ESENCIAL!A6:BG""),15,FALSE))"),"")</f>
        <v/>
      </c>
    </row>
    <row r="328" spans="1:48" ht="15">
      <c r="A328" s="5"/>
      <c r="E328" s="66"/>
      <c r="F328" s="5" t="str">
        <f ca="1">IFERROR(__xludf.DUMMYFUNCTION("IFERROR(VLOOKUP(F389,IMPORTRANGE(""https://docs.google.com/spreadsheets/d/1Kvs4KS76FHFqLFIZfrDMff4kP08nblUkihrxltoGBjg/edit#gid=934712705"",""ESENCIAL!A6:BG""),3,FALSE))"),"")</f>
        <v/>
      </c>
      <c r="G328" s="5" t="str">
        <f ca="1">IFERROR(__xludf.DUMMYFUNCTION("IFERROR(VLOOKUP(F389,IMPORTRANGE(""https://docs.google.com/spreadsheets/d/1Kvs4KS76FHFqLFIZfrDMff4kP08nblUkihrxltoGBjg/edit#gid=934712705"",""ESENCIAL!A6:BG""),8,FALSE))"),"")</f>
        <v/>
      </c>
      <c r="K328" s="287"/>
      <c r="S328" s="66"/>
      <c r="T328" s="66"/>
      <c r="U328" s="66"/>
      <c r="AT328" s="41" t="str">
        <f>IF(D328&gt;0,IF(AND(#REF!=1,#REF!=1),"Procede_E_P","NO_CUMPLE"),"")</f>
        <v/>
      </c>
      <c r="AU328" s="5" t="str">
        <f ca="1">IFERROR(__xludf.DUMMYFUNCTION("IFERROR(VLOOKUP(E389&amp;F389,IMPORTRANGE(""https://docs.google.com/spreadsheets/d/1Uw7-A9f9R21vMXxHZFNpYNeKFtG8_yji4HS352LGlSQ/edit?pli=1#gid=0"",""1_ACUM!A4:S""),11,FALSE))"),"")</f>
        <v/>
      </c>
      <c r="AV328" s="42" t="str">
        <f ca="1">IFERROR(__xludf.DUMMYFUNCTION("IFERROR(VLOOKUP(F389,IMPORTRANGE(""https://docs.google.com/spreadsheets/d/1Kvs4KS76FHFqLFIZfrDMff4kP08nblUkihrxltoGBjg/edit#gid=934712705"",""ESENCIAL!A6:BG""),15,FALSE))"),"")</f>
        <v/>
      </c>
    </row>
    <row r="329" spans="1:48" ht="15">
      <c r="A329" s="5"/>
      <c r="E329" s="66"/>
      <c r="F329" s="5" t="str">
        <f ca="1">IFERROR(__xludf.DUMMYFUNCTION("IFERROR(VLOOKUP(F390,IMPORTRANGE(""https://docs.google.com/spreadsheets/d/1Kvs4KS76FHFqLFIZfrDMff4kP08nblUkihrxltoGBjg/edit#gid=934712705"",""ESENCIAL!A6:BG""),3,FALSE))"),"")</f>
        <v/>
      </c>
      <c r="G329" s="5" t="str">
        <f ca="1">IFERROR(__xludf.DUMMYFUNCTION("IFERROR(VLOOKUP(F390,IMPORTRANGE(""https://docs.google.com/spreadsheets/d/1Kvs4KS76FHFqLFIZfrDMff4kP08nblUkihrxltoGBjg/edit#gid=934712705"",""ESENCIAL!A6:BG""),8,FALSE))"),"")</f>
        <v/>
      </c>
      <c r="K329" s="287"/>
      <c r="S329" s="66"/>
      <c r="T329" s="66"/>
      <c r="U329" s="66"/>
      <c r="AT329" s="41" t="str">
        <f>IF(D329&gt;0,IF(AND(#REF!=1,#REF!=1),"Procede_E_P","NO_CUMPLE"),"")</f>
        <v/>
      </c>
      <c r="AU329" s="5" t="str">
        <f ca="1">IFERROR(__xludf.DUMMYFUNCTION("IFERROR(VLOOKUP(E390&amp;F390,IMPORTRANGE(""https://docs.google.com/spreadsheets/d/1Uw7-A9f9R21vMXxHZFNpYNeKFtG8_yji4HS352LGlSQ/edit?pli=1#gid=0"",""1_ACUM!A4:S""),11,FALSE))"),"")</f>
        <v/>
      </c>
      <c r="AV329" s="42" t="str">
        <f ca="1">IFERROR(__xludf.DUMMYFUNCTION("IFERROR(VLOOKUP(F390,IMPORTRANGE(""https://docs.google.com/spreadsheets/d/1Kvs4KS76FHFqLFIZfrDMff4kP08nblUkihrxltoGBjg/edit#gid=934712705"",""ESENCIAL!A6:BG""),15,FALSE))"),"")</f>
        <v/>
      </c>
    </row>
    <row r="330" spans="1:48" ht="15">
      <c r="A330" s="5"/>
      <c r="E330" s="66"/>
      <c r="F330" s="5" t="str">
        <f ca="1">IFERROR(__xludf.DUMMYFUNCTION("IFERROR(VLOOKUP(F391,IMPORTRANGE(""https://docs.google.com/spreadsheets/d/1Kvs4KS76FHFqLFIZfrDMff4kP08nblUkihrxltoGBjg/edit#gid=934712705"",""ESENCIAL!A6:BG""),3,FALSE))"),"")</f>
        <v/>
      </c>
      <c r="G330" s="5" t="str">
        <f ca="1">IFERROR(__xludf.DUMMYFUNCTION("IFERROR(VLOOKUP(F391,IMPORTRANGE(""https://docs.google.com/spreadsheets/d/1Kvs4KS76FHFqLFIZfrDMff4kP08nblUkihrxltoGBjg/edit#gid=934712705"",""ESENCIAL!A6:BG""),8,FALSE))"),"")</f>
        <v/>
      </c>
      <c r="K330" s="287"/>
      <c r="S330" s="66"/>
      <c r="T330" s="66"/>
      <c r="U330" s="66"/>
      <c r="AT330" s="41" t="str">
        <f>IF(D330&gt;0,IF(AND(#REF!=1,#REF!=1),"Procede_E_P","NO_CUMPLE"),"")</f>
        <v/>
      </c>
      <c r="AU330" s="5" t="str">
        <f ca="1">IFERROR(__xludf.DUMMYFUNCTION("IFERROR(VLOOKUP(E391&amp;F391,IMPORTRANGE(""https://docs.google.com/spreadsheets/d/1Uw7-A9f9R21vMXxHZFNpYNeKFtG8_yji4HS352LGlSQ/edit?pli=1#gid=0"",""1_ACUM!A4:S""),11,FALSE))"),"")</f>
        <v/>
      </c>
      <c r="AV330" s="42" t="str">
        <f ca="1">IFERROR(__xludf.DUMMYFUNCTION("IFERROR(VLOOKUP(F391,IMPORTRANGE(""https://docs.google.com/spreadsheets/d/1Kvs4KS76FHFqLFIZfrDMff4kP08nblUkihrxltoGBjg/edit#gid=934712705"",""ESENCIAL!A6:BG""),15,FALSE))"),"")</f>
        <v/>
      </c>
    </row>
    <row r="331" spans="1:48" ht="15">
      <c r="A331" s="5"/>
      <c r="E331" s="66"/>
      <c r="F331" s="5" t="str">
        <f ca="1">IFERROR(__xludf.DUMMYFUNCTION("IFERROR(VLOOKUP(F392,IMPORTRANGE(""https://docs.google.com/spreadsheets/d/1Kvs4KS76FHFqLFIZfrDMff4kP08nblUkihrxltoGBjg/edit#gid=934712705"",""ESENCIAL!A6:BG""),3,FALSE))"),"")</f>
        <v/>
      </c>
      <c r="G331" s="5" t="str">
        <f ca="1">IFERROR(__xludf.DUMMYFUNCTION("IFERROR(VLOOKUP(F392,IMPORTRANGE(""https://docs.google.com/spreadsheets/d/1Kvs4KS76FHFqLFIZfrDMff4kP08nblUkihrxltoGBjg/edit#gid=934712705"",""ESENCIAL!A6:BG""),8,FALSE))"),"")</f>
        <v/>
      </c>
      <c r="K331" s="287"/>
      <c r="S331" s="66"/>
      <c r="T331" s="66"/>
      <c r="U331" s="66"/>
      <c r="AT331" s="41" t="str">
        <f>IF(D331&gt;0,IF(AND(#REF!=1,#REF!=1),"Procede_E_P","NO_CUMPLE"),"")</f>
        <v/>
      </c>
      <c r="AU331" s="5" t="str">
        <f ca="1">IFERROR(__xludf.DUMMYFUNCTION("IFERROR(VLOOKUP(E392&amp;F392,IMPORTRANGE(""https://docs.google.com/spreadsheets/d/1Uw7-A9f9R21vMXxHZFNpYNeKFtG8_yji4HS352LGlSQ/edit?pli=1#gid=0"",""1_ACUM!A4:S""),11,FALSE))"),"")</f>
        <v/>
      </c>
      <c r="AV331" s="42" t="str">
        <f ca="1">IFERROR(__xludf.DUMMYFUNCTION("IFERROR(VLOOKUP(F392,IMPORTRANGE(""https://docs.google.com/spreadsheets/d/1Kvs4KS76FHFqLFIZfrDMff4kP08nblUkihrxltoGBjg/edit#gid=934712705"",""ESENCIAL!A6:BG""),15,FALSE))"),"")</f>
        <v/>
      </c>
    </row>
    <row r="332" spans="1:48" ht="15">
      <c r="A332" s="5"/>
      <c r="E332" s="66"/>
      <c r="F332" s="5" t="str">
        <f ca="1">IFERROR(__xludf.DUMMYFUNCTION("IFERROR(VLOOKUP(F393,IMPORTRANGE(""https://docs.google.com/spreadsheets/d/1Kvs4KS76FHFqLFIZfrDMff4kP08nblUkihrxltoGBjg/edit#gid=934712705"",""ESENCIAL!A6:BG""),3,FALSE))"),"")</f>
        <v/>
      </c>
      <c r="G332" s="5" t="str">
        <f ca="1">IFERROR(__xludf.DUMMYFUNCTION("IFERROR(VLOOKUP(F393,IMPORTRANGE(""https://docs.google.com/spreadsheets/d/1Kvs4KS76FHFqLFIZfrDMff4kP08nblUkihrxltoGBjg/edit#gid=934712705"",""ESENCIAL!A6:BG""),8,FALSE))"),"")</f>
        <v/>
      </c>
      <c r="K332" s="287"/>
      <c r="S332" s="66"/>
      <c r="T332" s="66"/>
      <c r="U332" s="66"/>
      <c r="AT332" s="41" t="str">
        <f>IF(D332&gt;0,IF(AND(#REF!=1,#REF!=1),"Procede_E_P","NO_CUMPLE"),"")</f>
        <v/>
      </c>
      <c r="AU332" s="5" t="str">
        <f ca="1">IFERROR(__xludf.DUMMYFUNCTION("IFERROR(VLOOKUP(E393&amp;F393,IMPORTRANGE(""https://docs.google.com/spreadsheets/d/1Uw7-A9f9R21vMXxHZFNpYNeKFtG8_yji4HS352LGlSQ/edit?pli=1#gid=0"",""1_ACUM!A4:S""),11,FALSE))"),"")</f>
        <v/>
      </c>
      <c r="AV332" s="42" t="str">
        <f ca="1">IFERROR(__xludf.DUMMYFUNCTION("IFERROR(VLOOKUP(F393,IMPORTRANGE(""https://docs.google.com/spreadsheets/d/1Kvs4KS76FHFqLFIZfrDMff4kP08nblUkihrxltoGBjg/edit#gid=934712705"",""ESENCIAL!A6:BG""),15,FALSE))"),"")</f>
        <v/>
      </c>
    </row>
    <row r="333" spans="1:48" ht="15">
      <c r="A333" s="5"/>
      <c r="E333" s="66"/>
      <c r="F333" s="5" t="str">
        <f ca="1">IFERROR(__xludf.DUMMYFUNCTION("IFERROR(VLOOKUP(F394,IMPORTRANGE(""https://docs.google.com/spreadsheets/d/1Kvs4KS76FHFqLFIZfrDMff4kP08nblUkihrxltoGBjg/edit#gid=934712705"",""ESENCIAL!A6:BG""),3,FALSE))"),"")</f>
        <v/>
      </c>
      <c r="G333" s="5" t="str">
        <f ca="1">IFERROR(__xludf.DUMMYFUNCTION("IFERROR(VLOOKUP(F394,IMPORTRANGE(""https://docs.google.com/spreadsheets/d/1Kvs4KS76FHFqLFIZfrDMff4kP08nblUkihrxltoGBjg/edit#gid=934712705"",""ESENCIAL!A6:BG""),8,FALSE))"),"")</f>
        <v/>
      </c>
      <c r="K333" s="287"/>
      <c r="S333" s="66"/>
      <c r="T333" s="66"/>
      <c r="U333" s="66"/>
      <c r="AT333" s="41" t="str">
        <f>IF(D333&gt;0,IF(AND(#REF!=1,#REF!=1),"Procede_E_P","NO_CUMPLE"),"")</f>
        <v/>
      </c>
      <c r="AU333" s="5" t="str">
        <f ca="1">IFERROR(__xludf.DUMMYFUNCTION("IFERROR(VLOOKUP(E394&amp;F394,IMPORTRANGE(""https://docs.google.com/spreadsheets/d/1Uw7-A9f9R21vMXxHZFNpYNeKFtG8_yji4HS352LGlSQ/edit?pli=1#gid=0"",""1_ACUM!A4:S""),11,FALSE))"),"")</f>
        <v/>
      </c>
      <c r="AV333" s="42" t="str">
        <f ca="1">IFERROR(__xludf.DUMMYFUNCTION("IFERROR(VLOOKUP(F394,IMPORTRANGE(""https://docs.google.com/spreadsheets/d/1Kvs4KS76FHFqLFIZfrDMff4kP08nblUkihrxltoGBjg/edit#gid=934712705"",""ESENCIAL!A6:BG""),15,FALSE))"),"")</f>
        <v/>
      </c>
    </row>
    <row r="334" spans="1:48" ht="15">
      <c r="A334" s="5"/>
      <c r="E334" s="66"/>
      <c r="F334" s="5" t="str">
        <f ca="1">IFERROR(__xludf.DUMMYFUNCTION("IFERROR(VLOOKUP(F395,IMPORTRANGE(""https://docs.google.com/spreadsheets/d/1Kvs4KS76FHFqLFIZfrDMff4kP08nblUkihrxltoGBjg/edit#gid=934712705"",""ESENCIAL!A6:BG""),3,FALSE))"),"")</f>
        <v/>
      </c>
      <c r="G334" s="5" t="str">
        <f ca="1">IFERROR(__xludf.DUMMYFUNCTION("IFERROR(VLOOKUP(F395,IMPORTRANGE(""https://docs.google.com/spreadsheets/d/1Kvs4KS76FHFqLFIZfrDMff4kP08nblUkihrxltoGBjg/edit#gid=934712705"",""ESENCIAL!A6:BG""),8,FALSE))"),"")</f>
        <v/>
      </c>
      <c r="K334" s="287"/>
      <c r="S334" s="66"/>
      <c r="T334" s="66"/>
      <c r="U334" s="66"/>
      <c r="AT334" s="41" t="str">
        <f>IF(D334&gt;0,IF(AND(#REF!=1,#REF!=1),"Procede_E_P","NO_CUMPLE"),"")</f>
        <v/>
      </c>
      <c r="AU334" s="5" t="str">
        <f ca="1">IFERROR(__xludf.DUMMYFUNCTION("IFERROR(VLOOKUP(E395&amp;F395,IMPORTRANGE(""https://docs.google.com/spreadsheets/d/1Uw7-A9f9R21vMXxHZFNpYNeKFtG8_yji4HS352LGlSQ/edit?pli=1#gid=0"",""1_ACUM!A4:S""),11,FALSE))"),"")</f>
        <v/>
      </c>
      <c r="AV334" s="42" t="str">
        <f ca="1">IFERROR(__xludf.DUMMYFUNCTION("IFERROR(VLOOKUP(F395,IMPORTRANGE(""https://docs.google.com/spreadsheets/d/1Kvs4KS76FHFqLFIZfrDMff4kP08nblUkihrxltoGBjg/edit#gid=934712705"",""ESENCIAL!A6:BG""),15,FALSE))"),"")</f>
        <v/>
      </c>
    </row>
    <row r="335" spans="1:48" ht="15">
      <c r="A335" s="5"/>
      <c r="E335" s="66"/>
      <c r="F335" s="5" t="str">
        <f ca="1">IFERROR(__xludf.DUMMYFUNCTION("IFERROR(VLOOKUP(F396,IMPORTRANGE(""https://docs.google.com/spreadsheets/d/1Kvs4KS76FHFqLFIZfrDMff4kP08nblUkihrxltoGBjg/edit#gid=934712705"",""ESENCIAL!A6:BG""),3,FALSE))"),"")</f>
        <v/>
      </c>
      <c r="G335" s="5" t="str">
        <f ca="1">IFERROR(__xludf.DUMMYFUNCTION("IFERROR(VLOOKUP(F396,IMPORTRANGE(""https://docs.google.com/spreadsheets/d/1Kvs4KS76FHFqLFIZfrDMff4kP08nblUkihrxltoGBjg/edit#gid=934712705"",""ESENCIAL!A6:BG""),8,FALSE))"),"")</f>
        <v/>
      </c>
      <c r="K335" s="287"/>
      <c r="S335" s="66"/>
      <c r="T335" s="66"/>
      <c r="U335" s="66"/>
      <c r="AT335" s="41" t="str">
        <f>IF(D335&gt;0,IF(AND(#REF!=1,#REF!=1),"Procede_E_P","NO_CUMPLE"),"")</f>
        <v/>
      </c>
      <c r="AU335" s="5" t="str">
        <f ca="1">IFERROR(__xludf.DUMMYFUNCTION("IFERROR(VLOOKUP(E396&amp;F396,IMPORTRANGE(""https://docs.google.com/spreadsheets/d/1Uw7-A9f9R21vMXxHZFNpYNeKFtG8_yji4HS352LGlSQ/edit?pli=1#gid=0"",""1_ACUM!A4:S""),11,FALSE))"),"")</f>
        <v/>
      </c>
      <c r="AV335" s="42" t="str">
        <f ca="1">IFERROR(__xludf.DUMMYFUNCTION("IFERROR(VLOOKUP(F396,IMPORTRANGE(""https://docs.google.com/spreadsheets/d/1Kvs4KS76FHFqLFIZfrDMff4kP08nblUkihrxltoGBjg/edit#gid=934712705"",""ESENCIAL!A6:BG""),15,FALSE))"),"")</f>
        <v/>
      </c>
    </row>
    <row r="336" spans="1:48" ht="15">
      <c r="A336" s="5"/>
      <c r="E336" s="66"/>
      <c r="F336" s="5" t="str">
        <f ca="1">IFERROR(__xludf.DUMMYFUNCTION("IFERROR(VLOOKUP(F397,IMPORTRANGE(""https://docs.google.com/spreadsheets/d/1Kvs4KS76FHFqLFIZfrDMff4kP08nblUkihrxltoGBjg/edit#gid=934712705"",""ESENCIAL!A6:BG""),3,FALSE))"),"")</f>
        <v/>
      </c>
      <c r="G336" s="5" t="str">
        <f ca="1">IFERROR(__xludf.DUMMYFUNCTION("IFERROR(VLOOKUP(F397,IMPORTRANGE(""https://docs.google.com/spreadsheets/d/1Kvs4KS76FHFqLFIZfrDMff4kP08nblUkihrxltoGBjg/edit#gid=934712705"",""ESENCIAL!A6:BG""),8,FALSE))"),"")</f>
        <v/>
      </c>
      <c r="K336" s="287"/>
      <c r="S336" s="66"/>
      <c r="T336" s="66"/>
      <c r="U336" s="66"/>
      <c r="AT336" s="41" t="str">
        <f>IF(D336&gt;0,IF(AND(#REF!=1,#REF!=1),"Procede_E_P","NO_CUMPLE"),"")</f>
        <v/>
      </c>
      <c r="AU336" s="5" t="str">
        <f ca="1">IFERROR(__xludf.DUMMYFUNCTION("IFERROR(VLOOKUP(E397&amp;F397,IMPORTRANGE(""https://docs.google.com/spreadsheets/d/1Uw7-A9f9R21vMXxHZFNpYNeKFtG8_yji4HS352LGlSQ/edit?pli=1#gid=0"",""1_ACUM!A4:S""),11,FALSE))"),"")</f>
        <v/>
      </c>
      <c r="AV336" s="42" t="str">
        <f ca="1">IFERROR(__xludf.DUMMYFUNCTION("IFERROR(VLOOKUP(F397,IMPORTRANGE(""https://docs.google.com/spreadsheets/d/1Kvs4KS76FHFqLFIZfrDMff4kP08nblUkihrxltoGBjg/edit#gid=934712705"",""ESENCIAL!A6:BG""),15,FALSE))"),"")</f>
        <v/>
      </c>
    </row>
    <row r="337" spans="1:48" ht="15">
      <c r="A337" s="5"/>
      <c r="E337" s="66"/>
      <c r="F337" s="5" t="str">
        <f ca="1">IFERROR(__xludf.DUMMYFUNCTION("IFERROR(VLOOKUP(F398,IMPORTRANGE(""https://docs.google.com/spreadsheets/d/1Kvs4KS76FHFqLFIZfrDMff4kP08nblUkihrxltoGBjg/edit#gid=934712705"",""ESENCIAL!A6:BG""),3,FALSE))"),"")</f>
        <v/>
      </c>
      <c r="G337" s="5" t="str">
        <f ca="1">IFERROR(__xludf.DUMMYFUNCTION("IFERROR(VLOOKUP(F398,IMPORTRANGE(""https://docs.google.com/spreadsheets/d/1Kvs4KS76FHFqLFIZfrDMff4kP08nblUkihrxltoGBjg/edit#gid=934712705"",""ESENCIAL!A6:BG""),8,FALSE))"),"")</f>
        <v/>
      </c>
      <c r="K337" s="287"/>
      <c r="S337" s="66"/>
      <c r="T337" s="66"/>
      <c r="U337" s="66"/>
      <c r="AT337" s="41" t="str">
        <f>IF(D337&gt;0,IF(AND(#REF!=1,#REF!=1),"Procede_E_P","NO_CUMPLE"),"")</f>
        <v/>
      </c>
      <c r="AU337" s="5" t="str">
        <f ca="1">IFERROR(__xludf.DUMMYFUNCTION("IFERROR(VLOOKUP(E398&amp;F398,IMPORTRANGE(""https://docs.google.com/spreadsheets/d/1Uw7-A9f9R21vMXxHZFNpYNeKFtG8_yji4HS352LGlSQ/edit?pli=1#gid=0"",""1_ACUM!A4:S""),11,FALSE))"),"")</f>
        <v/>
      </c>
      <c r="AV337" s="42" t="str">
        <f ca="1">IFERROR(__xludf.DUMMYFUNCTION("IFERROR(VLOOKUP(F398,IMPORTRANGE(""https://docs.google.com/spreadsheets/d/1Kvs4KS76FHFqLFIZfrDMff4kP08nblUkihrxltoGBjg/edit#gid=934712705"",""ESENCIAL!A6:BG""),15,FALSE))"),"")</f>
        <v/>
      </c>
    </row>
    <row r="338" spans="1:48" ht="15">
      <c r="A338" s="5"/>
      <c r="E338" s="66"/>
      <c r="F338" s="5" t="str">
        <f ca="1">IFERROR(__xludf.DUMMYFUNCTION("IFERROR(VLOOKUP(F399,IMPORTRANGE(""https://docs.google.com/spreadsheets/d/1Kvs4KS76FHFqLFIZfrDMff4kP08nblUkihrxltoGBjg/edit#gid=934712705"",""ESENCIAL!A6:BG""),3,FALSE))"),"")</f>
        <v/>
      </c>
      <c r="G338" s="5" t="str">
        <f ca="1">IFERROR(__xludf.DUMMYFUNCTION("IFERROR(VLOOKUP(F399,IMPORTRANGE(""https://docs.google.com/spreadsheets/d/1Kvs4KS76FHFqLFIZfrDMff4kP08nblUkihrxltoGBjg/edit#gid=934712705"",""ESENCIAL!A6:BG""),8,FALSE))"),"")</f>
        <v/>
      </c>
      <c r="K338" s="287"/>
      <c r="S338" s="66"/>
      <c r="T338" s="66"/>
      <c r="U338" s="66"/>
      <c r="AT338" s="41" t="str">
        <f>IF(D338&gt;0,IF(AND(#REF!=1,#REF!=1),"Procede_E_P","NO_CUMPLE"),"")</f>
        <v/>
      </c>
      <c r="AU338" s="5" t="str">
        <f ca="1">IFERROR(__xludf.DUMMYFUNCTION("IFERROR(VLOOKUP(E399&amp;F399,IMPORTRANGE(""https://docs.google.com/spreadsheets/d/1Uw7-A9f9R21vMXxHZFNpYNeKFtG8_yji4HS352LGlSQ/edit?pli=1#gid=0"",""1_ACUM!A4:S""),11,FALSE))"),"")</f>
        <v/>
      </c>
      <c r="AV338" s="42" t="str">
        <f ca="1">IFERROR(__xludf.DUMMYFUNCTION("IFERROR(VLOOKUP(F399,IMPORTRANGE(""https://docs.google.com/spreadsheets/d/1Kvs4KS76FHFqLFIZfrDMff4kP08nblUkihrxltoGBjg/edit#gid=934712705"",""ESENCIAL!A6:BG""),15,FALSE))"),"")</f>
        <v/>
      </c>
    </row>
    <row r="339" spans="1:48" ht="15">
      <c r="A339" s="5"/>
      <c r="E339" s="66"/>
      <c r="F339" s="5" t="str">
        <f ca="1">IFERROR(__xludf.DUMMYFUNCTION("IFERROR(VLOOKUP(F400,IMPORTRANGE(""https://docs.google.com/spreadsheets/d/1Kvs4KS76FHFqLFIZfrDMff4kP08nblUkihrxltoGBjg/edit#gid=934712705"",""ESENCIAL!A6:BG""),3,FALSE))"),"")</f>
        <v/>
      </c>
      <c r="G339" s="5" t="str">
        <f ca="1">IFERROR(__xludf.DUMMYFUNCTION("IFERROR(VLOOKUP(F400,IMPORTRANGE(""https://docs.google.com/spreadsheets/d/1Kvs4KS76FHFqLFIZfrDMff4kP08nblUkihrxltoGBjg/edit#gid=934712705"",""ESENCIAL!A6:BG""),8,FALSE))"),"")</f>
        <v/>
      </c>
      <c r="K339" s="287"/>
      <c r="S339" s="66"/>
      <c r="T339" s="66"/>
      <c r="U339" s="66"/>
      <c r="AT339" s="41" t="str">
        <f>IF(D339&gt;0,IF(AND(#REF!=1,#REF!=1),"Procede_E_P","NO_CUMPLE"),"")</f>
        <v/>
      </c>
      <c r="AU339" s="5" t="str">
        <f ca="1">IFERROR(__xludf.DUMMYFUNCTION("IFERROR(VLOOKUP(E400&amp;F400,IMPORTRANGE(""https://docs.google.com/spreadsheets/d/1Uw7-A9f9R21vMXxHZFNpYNeKFtG8_yji4HS352LGlSQ/edit?pli=1#gid=0"",""1_ACUM!A4:S""),11,FALSE))"),"")</f>
        <v/>
      </c>
      <c r="AV339" s="42" t="str">
        <f ca="1">IFERROR(__xludf.DUMMYFUNCTION("IFERROR(VLOOKUP(F400,IMPORTRANGE(""https://docs.google.com/spreadsheets/d/1Kvs4KS76FHFqLFIZfrDMff4kP08nblUkihrxltoGBjg/edit#gid=934712705"",""ESENCIAL!A6:BG""),15,FALSE))"),"")</f>
        <v/>
      </c>
    </row>
    <row r="340" spans="1:48" ht="15">
      <c r="A340" s="5"/>
      <c r="E340" s="66"/>
      <c r="F340" s="5" t="str">
        <f ca="1">IFERROR(__xludf.DUMMYFUNCTION("IFERROR(VLOOKUP(F401,IMPORTRANGE(""https://docs.google.com/spreadsheets/d/1Kvs4KS76FHFqLFIZfrDMff4kP08nblUkihrxltoGBjg/edit#gid=934712705"",""ESENCIAL!A6:BG""),3,FALSE))"),"")</f>
        <v/>
      </c>
      <c r="G340" s="5" t="str">
        <f ca="1">IFERROR(__xludf.DUMMYFUNCTION("IFERROR(VLOOKUP(F401,IMPORTRANGE(""https://docs.google.com/spreadsheets/d/1Kvs4KS76FHFqLFIZfrDMff4kP08nblUkihrxltoGBjg/edit#gid=934712705"",""ESENCIAL!A6:BG""),8,FALSE))"),"")</f>
        <v/>
      </c>
      <c r="K340" s="287"/>
      <c r="S340" s="66"/>
      <c r="T340" s="66"/>
      <c r="U340" s="66"/>
      <c r="AT340" s="41" t="str">
        <f>IF(D340&gt;0,IF(AND(#REF!=1,#REF!=1),"Procede_E_P","NO_CUMPLE"),"")</f>
        <v/>
      </c>
      <c r="AU340" s="5" t="str">
        <f ca="1">IFERROR(__xludf.DUMMYFUNCTION("IFERROR(VLOOKUP(E401&amp;F401,IMPORTRANGE(""https://docs.google.com/spreadsheets/d/1Uw7-A9f9R21vMXxHZFNpYNeKFtG8_yji4HS352LGlSQ/edit?pli=1#gid=0"",""1_ACUM!A4:S""),11,FALSE))"),"")</f>
        <v/>
      </c>
      <c r="AV340" s="42" t="str">
        <f ca="1">IFERROR(__xludf.DUMMYFUNCTION("IFERROR(VLOOKUP(F401,IMPORTRANGE(""https://docs.google.com/spreadsheets/d/1Kvs4KS76FHFqLFIZfrDMff4kP08nblUkihrxltoGBjg/edit#gid=934712705"",""ESENCIAL!A6:BG""),15,FALSE))"),"")</f>
        <v/>
      </c>
    </row>
    <row r="341" spans="1:48" ht="15">
      <c r="A341" s="5"/>
      <c r="E341" s="66"/>
      <c r="F341" s="5" t="str">
        <f ca="1">IFERROR(__xludf.DUMMYFUNCTION("IFERROR(VLOOKUP(F402,IMPORTRANGE(""https://docs.google.com/spreadsheets/d/1Kvs4KS76FHFqLFIZfrDMff4kP08nblUkihrxltoGBjg/edit#gid=934712705"",""ESENCIAL!A6:BG""),3,FALSE))"),"")</f>
        <v/>
      </c>
      <c r="G341" s="5" t="str">
        <f ca="1">IFERROR(__xludf.DUMMYFUNCTION("IFERROR(VLOOKUP(F402,IMPORTRANGE(""https://docs.google.com/spreadsheets/d/1Kvs4KS76FHFqLFIZfrDMff4kP08nblUkihrxltoGBjg/edit#gid=934712705"",""ESENCIAL!A6:BG""),8,FALSE))"),"")</f>
        <v/>
      </c>
      <c r="K341" s="287"/>
      <c r="S341" s="66"/>
      <c r="T341" s="66"/>
      <c r="U341" s="66"/>
      <c r="AT341" s="41" t="str">
        <f>IF(D341&gt;0,IF(AND(#REF!=1,#REF!=1),"Procede_E_P","NO_CUMPLE"),"")</f>
        <v/>
      </c>
      <c r="AU341" s="5" t="str">
        <f ca="1">IFERROR(__xludf.DUMMYFUNCTION("IFERROR(VLOOKUP(E402&amp;F402,IMPORTRANGE(""https://docs.google.com/spreadsheets/d/1Uw7-A9f9R21vMXxHZFNpYNeKFtG8_yji4HS352LGlSQ/edit?pli=1#gid=0"",""1_ACUM!A4:S""),11,FALSE))"),"")</f>
        <v/>
      </c>
      <c r="AV341" s="42" t="str">
        <f ca="1">IFERROR(__xludf.DUMMYFUNCTION("IFERROR(VLOOKUP(F402,IMPORTRANGE(""https://docs.google.com/spreadsheets/d/1Kvs4KS76FHFqLFIZfrDMff4kP08nblUkihrxltoGBjg/edit#gid=934712705"",""ESENCIAL!A6:BG""),15,FALSE))"),"")</f>
        <v/>
      </c>
    </row>
    <row r="342" spans="1:48" ht="15">
      <c r="A342" s="5"/>
      <c r="E342" s="66"/>
      <c r="F342" s="5" t="str">
        <f ca="1">IFERROR(__xludf.DUMMYFUNCTION("IFERROR(VLOOKUP(F403,IMPORTRANGE(""https://docs.google.com/spreadsheets/d/1Kvs4KS76FHFqLFIZfrDMff4kP08nblUkihrxltoGBjg/edit#gid=934712705"",""ESENCIAL!A6:BG""),3,FALSE))"),"")</f>
        <v/>
      </c>
      <c r="G342" s="5" t="str">
        <f ca="1">IFERROR(__xludf.DUMMYFUNCTION("IFERROR(VLOOKUP(F403,IMPORTRANGE(""https://docs.google.com/spreadsheets/d/1Kvs4KS76FHFqLFIZfrDMff4kP08nblUkihrxltoGBjg/edit#gid=934712705"",""ESENCIAL!A6:BG""),8,FALSE))"),"")</f>
        <v/>
      </c>
      <c r="K342" s="287"/>
      <c r="S342" s="66"/>
      <c r="T342" s="66"/>
      <c r="U342" s="66"/>
      <c r="AT342" s="41" t="str">
        <f>IF(D342&gt;0,IF(AND(#REF!=1,#REF!=1),"Procede_E_P","NO_CUMPLE"),"")</f>
        <v/>
      </c>
      <c r="AU342" s="5" t="str">
        <f ca="1">IFERROR(__xludf.DUMMYFUNCTION("IFERROR(VLOOKUP(E403&amp;F403,IMPORTRANGE(""https://docs.google.com/spreadsheets/d/1Uw7-A9f9R21vMXxHZFNpYNeKFtG8_yji4HS352LGlSQ/edit?pli=1#gid=0"",""1_ACUM!A4:S""),11,FALSE))"),"")</f>
        <v/>
      </c>
      <c r="AV342" s="42" t="str">
        <f ca="1">IFERROR(__xludf.DUMMYFUNCTION("IFERROR(VLOOKUP(F403,IMPORTRANGE(""https://docs.google.com/spreadsheets/d/1Kvs4KS76FHFqLFIZfrDMff4kP08nblUkihrxltoGBjg/edit#gid=934712705"",""ESENCIAL!A6:BG""),15,FALSE))"),"")</f>
        <v/>
      </c>
    </row>
    <row r="343" spans="1:48" ht="15">
      <c r="A343" s="5"/>
      <c r="E343" s="66"/>
      <c r="F343" s="5" t="str">
        <f ca="1">IFERROR(__xludf.DUMMYFUNCTION("IFERROR(VLOOKUP(F404,IMPORTRANGE(""https://docs.google.com/spreadsheets/d/1Kvs4KS76FHFqLFIZfrDMff4kP08nblUkihrxltoGBjg/edit#gid=934712705"",""ESENCIAL!A6:BG""),3,FALSE))"),"")</f>
        <v/>
      </c>
      <c r="G343" s="5" t="str">
        <f ca="1">IFERROR(__xludf.DUMMYFUNCTION("IFERROR(VLOOKUP(F404,IMPORTRANGE(""https://docs.google.com/spreadsheets/d/1Kvs4KS76FHFqLFIZfrDMff4kP08nblUkihrxltoGBjg/edit#gid=934712705"",""ESENCIAL!A6:BG""),8,FALSE))"),"")</f>
        <v/>
      </c>
      <c r="K343" s="287"/>
      <c r="S343" s="66"/>
      <c r="T343" s="66"/>
      <c r="U343" s="66"/>
      <c r="AT343" s="41" t="str">
        <f>IF(D343&gt;0,IF(AND(#REF!=1,#REF!=1),"Procede_E_P","NO_CUMPLE"),"")</f>
        <v/>
      </c>
      <c r="AU343" s="5" t="str">
        <f ca="1">IFERROR(__xludf.DUMMYFUNCTION("IFERROR(VLOOKUP(E404&amp;F404,IMPORTRANGE(""https://docs.google.com/spreadsheets/d/1Uw7-A9f9R21vMXxHZFNpYNeKFtG8_yji4HS352LGlSQ/edit?pli=1#gid=0"",""1_ACUM!A4:S""),11,FALSE))"),"")</f>
        <v/>
      </c>
      <c r="AV343" s="42" t="str">
        <f ca="1">IFERROR(__xludf.DUMMYFUNCTION("IFERROR(VLOOKUP(F404,IMPORTRANGE(""https://docs.google.com/spreadsheets/d/1Kvs4KS76FHFqLFIZfrDMff4kP08nblUkihrxltoGBjg/edit#gid=934712705"",""ESENCIAL!A6:BG""),15,FALSE))"),"")</f>
        <v/>
      </c>
    </row>
    <row r="344" spans="1:48" ht="15">
      <c r="A344" s="5"/>
      <c r="E344" s="66"/>
      <c r="F344" s="5" t="str">
        <f ca="1">IFERROR(__xludf.DUMMYFUNCTION("IFERROR(VLOOKUP(F405,IMPORTRANGE(""https://docs.google.com/spreadsheets/d/1Kvs4KS76FHFqLFIZfrDMff4kP08nblUkihrxltoGBjg/edit#gid=934712705"",""ESENCIAL!A6:BG""),3,FALSE))"),"")</f>
        <v/>
      </c>
      <c r="G344" s="5" t="str">
        <f ca="1">IFERROR(__xludf.DUMMYFUNCTION("IFERROR(VLOOKUP(F405,IMPORTRANGE(""https://docs.google.com/spreadsheets/d/1Kvs4KS76FHFqLFIZfrDMff4kP08nblUkihrxltoGBjg/edit#gid=934712705"",""ESENCIAL!A6:BG""),8,FALSE))"),"")</f>
        <v/>
      </c>
      <c r="K344" s="287"/>
      <c r="S344" s="66"/>
      <c r="T344" s="66"/>
      <c r="U344" s="66"/>
      <c r="AT344" s="41" t="str">
        <f>IF(D344&gt;0,IF(AND(#REF!=1,#REF!=1),"Procede_E_P","NO_CUMPLE"),"")</f>
        <v/>
      </c>
      <c r="AU344" s="5" t="str">
        <f ca="1">IFERROR(__xludf.DUMMYFUNCTION("IFERROR(VLOOKUP(E405&amp;F405,IMPORTRANGE(""https://docs.google.com/spreadsheets/d/1Uw7-A9f9R21vMXxHZFNpYNeKFtG8_yji4HS352LGlSQ/edit?pli=1#gid=0"",""1_ACUM!A4:S""),11,FALSE))"),"")</f>
        <v/>
      </c>
      <c r="AV344" s="42" t="str">
        <f ca="1">IFERROR(__xludf.DUMMYFUNCTION("IFERROR(VLOOKUP(F405,IMPORTRANGE(""https://docs.google.com/spreadsheets/d/1Kvs4KS76FHFqLFIZfrDMff4kP08nblUkihrxltoGBjg/edit#gid=934712705"",""ESENCIAL!A6:BG""),15,FALSE))"),"")</f>
        <v/>
      </c>
    </row>
    <row r="345" spans="1:48" ht="15">
      <c r="A345" s="5"/>
      <c r="E345" s="66"/>
      <c r="F345" s="5" t="str">
        <f ca="1">IFERROR(__xludf.DUMMYFUNCTION("IFERROR(VLOOKUP(F406,IMPORTRANGE(""https://docs.google.com/spreadsheets/d/1Kvs4KS76FHFqLFIZfrDMff4kP08nblUkihrxltoGBjg/edit#gid=934712705"",""ESENCIAL!A6:BG""),3,FALSE))"),"")</f>
        <v/>
      </c>
      <c r="G345" s="5" t="str">
        <f ca="1">IFERROR(__xludf.DUMMYFUNCTION("IFERROR(VLOOKUP(F406,IMPORTRANGE(""https://docs.google.com/spreadsheets/d/1Kvs4KS76FHFqLFIZfrDMff4kP08nblUkihrxltoGBjg/edit#gid=934712705"",""ESENCIAL!A6:BG""),8,FALSE))"),"")</f>
        <v/>
      </c>
      <c r="K345" s="287"/>
      <c r="S345" s="66"/>
      <c r="T345" s="66"/>
      <c r="U345" s="66"/>
      <c r="AT345" s="41" t="str">
        <f>IF(D345&gt;0,IF(AND(#REF!=1,#REF!=1),"Procede_E_P","NO_CUMPLE"),"")</f>
        <v/>
      </c>
      <c r="AU345" s="5" t="str">
        <f ca="1">IFERROR(__xludf.DUMMYFUNCTION("IFERROR(VLOOKUP(E406&amp;F406,IMPORTRANGE(""https://docs.google.com/spreadsheets/d/1Uw7-A9f9R21vMXxHZFNpYNeKFtG8_yji4HS352LGlSQ/edit?pli=1#gid=0"",""1_ACUM!A4:S""),11,FALSE))"),"")</f>
        <v/>
      </c>
      <c r="AV345" s="42" t="str">
        <f ca="1">IFERROR(__xludf.DUMMYFUNCTION("IFERROR(VLOOKUP(F406,IMPORTRANGE(""https://docs.google.com/spreadsheets/d/1Kvs4KS76FHFqLFIZfrDMff4kP08nblUkihrxltoGBjg/edit#gid=934712705"",""ESENCIAL!A6:BG""),15,FALSE))"),"")</f>
        <v/>
      </c>
    </row>
    <row r="346" spans="1:48" ht="15">
      <c r="A346" s="5"/>
      <c r="E346" s="66"/>
      <c r="F346" s="5" t="str">
        <f ca="1">IFERROR(__xludf.DUMMYFUNCTION("IFERROR(VLOOKUP(F407,IMPORTRANGE(""https://docs.google.com/spreadsheets/d/1Kvs4KS76FHFqLFIZfrDMff4kP08nblUkihrxltoGBjg/edit#gid=934712705"",""ESENCIAL!A6:BG""),3,FALSE))"),"")</f>
        <v/>
      </c>
      <c r="G346" s="5" t="str">
        <f ca="1">IFERROR(__xludf.DUMMYFUNCTION("IFERROR(VLOOKUP(F407,IMPORTRANGE(""https://docs.google.com/spreadsheets/d/1Kvs4KS76FHFqLFIZfrDMff4kP08nblUkihrxltoGBjg/edit#gid=934712705"",""ESENCIAL!A6:BG""),8,FALSE))"),"")</f>
        <v/>
      </c>
      <c r="K346" s="287"/>
      <c r="S346" s="66"/>
      <c r="T346" s="66"/>
      <c r="U346" s="66"/>
      <c r="AT346" s="41" t="str">
        <f>IF(D346&gt;0,IF(AND(#REF!=1,#REF!=1),"Procede_E_P","NO_CUMPLE"),"")</f>
        <v/>
      </c>
      <c r="AU346" s="5" t="str">
        <f ca="1">IFERROR(__xludf.DUMMYFUNCTION("IFERROR(VLOOKUP(E407&amp;F407,IMPORTRANGE(""https://docs.google.com/spreadsheets/d/1Uw7-A9f9R21vMXxHZFNpYNeKFtG8_yji4HS352LGlSQ/edit?pli=1#gid=0"",""1_ACUM!A4:S""),11,FALSE))"),"")</f>
        <v/>
      </c>
      <c r="AV346" s="42" t="str">
        <f ca="1">IFERROR(__xludf.DUMMYFUNCTION("IFERROR(VLOOKUP(F407,IMPORTRANGE(""https://docs.google.com/spreadsheets/d/1Kvs4KS76FHFqLFIZfrDMff4kP08nblUkihrxltoGBjg/edit#gid=934712705"",""ESENCIAL!A6:BG""),15,FALSE))"),"")</f>
        <v/>
      </c>
    </row>
    <row r="347" spans="1:48" ht="15">
      <c r="A347" s="5"/>
      <c r="E347" s="66"/>
      <c r="F347" s="5" t="str">
        <f ca="1">IFERROR(__xludf.DUMMYFUNCTION("IFERROR(VLOOKUP(F408,IMPORTRANGE(""https://docs.google.com/spreadsheets/d/1Kvs4KS76FHFqLFIZfrDMff4kP08nblUkihrxltoGBjg/edit#gid=934712705"",""ESENCIAL!A6:BG""),3,FALSE))"),"")</f>
        <v/>
      </c>
      <c r="G347" s="5" t="str">
        <f ca="1">IFERROR(__xludf.DUMMYFUNCTION("IFERROR(VLOOKUP(F408,IMPORTRANGE(""https://docs.google.com/spreadsheets/d/1Kvs4KS76FHFqLFIZfrDMff4kP08nblUkihrxltoGBjg/edit#gid=934712705"",""ESENCIAL!A6:BG""),8,FALSE))"),"")</f>
        <v/>
      </c>
      <c r="K347" s="287"/>
      <c r="S347" s="66"/>
      <c r="T347" s="66"/>
      <c r="U347" s="66"/>
      <c r="AT347" s="41" t="str">
        <f>IF(D347&gt;0,IF(AND(#REF!=1,#REF!=1),"Procede_E_P","NO_CUMPLE"),"")</f>
        <v/>
      </c>
      <c r="AU347" s="5" t="str">
        <f ca="1">IFERROR(__xludf.DUMMYFUNCTION("IFERROR(VLOOKUP(E408&amp;F408,IMPORTRANGE(""https://docs.google.com/spreadsheets/d/1Uw7-A9f9R21vMXxHZFNpYNeKFtG8_yji4HS352LGlSQ/edit?pli=1#gid=0"",""1_ACUM!A4:S""),11,FALSE))"),"")</f>
        <v/>
      </c>
      <c r="AV347" s="42" t="str">
        <f ca="1">IFERROR(__xludf.DUMMYFUNCTION("IFERROR(VLOOKUP(F408,IMPORTRANGE(""https://docs.google.com/spreadsheets/d/1Kvs4KS76FHFqLFIZfrDMff4kP08nblUkihrxltoGBjg/edit#gid=934712705"",""ESENCIAL!A6:BG""),15,FALSE))"),"")</f>
        <v/>
      </c>
    </row>
    <row r="348" spans="1:48" ht="15">
      <c r="A348" s="5"/>
      <c r="E348" s="66"/>
      <c r="F348" s="5" t="str">
        <f ca="1">IFERROR(__xludf.DUMMYFUNCTION("IFERROR(VLOOKUP(F409,IMPORTRANGE(""https://docs.google.com/spreadsheets/d/1Kvs4KS76FHFqLFIZfrDMff4kP08nblUkihrxltoGBjg/edit#gid=934712705"",""ESENCIAL!A6:BG""),3,FALSE))"),"")</f>
        <v/>
      </c>
      <c r="G348" s="5" t="str">
        <f ca="1">IFERROR(__xludf.DUMMYFUNCTION("IFERROR(VLOOKUP(F409,IMPORTRANGE(""https://docs.google.com/spreadsheets/d/1Kvs4KS76FHFqLFIZfrDMff4kP08nblUkihrxltoGBjg/edit#gid=934712705"",""ESENCIAL!A6:BG""),8,FALSE))"),"")</f>
        <v/>
      </c>
      <c r="K348" s="287"/>
      <c r="S348" s="66"/>
      <c r="T348" s="66"/>
      <c r="U348" s="66"/>
      <c r="AT348" s="41" t="str">
        <f>IF(D348&gt;0,IF(AND(#REF!=1,#REF!=1),"Procede_E_P","NO_CUMPLE"),"")</f>
        <v/>
      </c>
      <c r="AU348" s="5" t="str">
        <f ca="1">IFERROR(__xludf.DUMMYFUNCTION("IFERROR(VLOOKUP(E409&amp;F409,IMPORTRANGE(""https://docs.google.com/spreadsheets/d/1Uw7-A9f9R21vMXxHZFNpYNeKFtG8_yji4HS352LGlSQ/edit?pli=1#gid=0"",""1_ACUM!A4:S""),11,FALSE))"),"")</f>
        <v/>
      </c>
      <c r="AV348" s="42" t="str">
        <f ca="1">IFERROR(__xludf.DUMMYFUNCTION("IFERROR(VLOOKUP(F409,IMPORTRANGE(""https://docs.google.com/spreadsheets/d/1Kvs4KS76FHFqLFIZfrDMff4kP08nblUkihrxltoGBjg/edit#gid=934712705"",""ESENCIAL!A6:BG""),15,FALSE))"),"")</f>
        <v/>
      </c>
    </row>
    <row r="349" spans="1:48" ht="15">
      <c r="A349" s="5"/>
      <c r="E349" s="66"/>
      <c r="F349" s="5" t="str">
        <f ca="1">IFERROR(__xludf.DUMMYFUNCTION("IFERROR(VLOOKUP(F410,IMPORTRANGE(""https://docs.google.com/spreadsheets/d/1Kvs4KS76FHFqLFIZfrDMff4kP08nblUkihrxltoGBjg/edit#gid=934712705"",""ESENCIAL!A6:BG""),3,FALSE))"),"")</f>
        <v/>
      </c>
      <c r="G349" s="5" t="str">
        <f ca="1">IFERROR(__xludf.DUMMYFUNCTION("IFERROR(VLOOKUP(F410,IMPORTRANGE(""https://docs.google.com/spreadsheets/d/1Kvs4KS76FHFqLFIZfrDMff4kP08nblUkihrxltoGBjg/edit#gid=934712705"",""ESENCIAL!A6:BG""),8,FALSE))"),"")</f>
        <v/>
      </c>
      <c r="K349" s="287"/>
      <c r="S349" s="66"/>
      <c r="T349" s="66"/>
      <c r="U349" s="66"/>
      <c r="AT349" s="41" t="str">
        <f>IF(D349&gt;0,IF(AND(#REF!=1,#REF!=1),"Procede_E_P","NO_CUMPLE"),"")</f>
        <v/>
      </c>
      <c r="AU349" s="5" t="str">
        <f ca="1">IFERROR(__xludf.DUMMYFUNCTION("IFERROR(VLOOKUP(E410&amp;F410,IMPORTRANGE(""https://docs.google.com/spreadsheets/d/1Uw7-A9f9R21vMXxHZFNpYNeKFtG8_yji4HS352LGlSQ/edit?pli=1#gid=0"",""1_ACUM!A4:S""),11,FALSE))"),"")</f>
        <v/>
      </c>
      <c r="AV349" s="42" t="str">
        <f ca="1">IFERROR(__xludf.DUMMYFUNCTION("IFERROR(VLOOKUP(F410,IMPORTRANGE(""https://docs.google.com/spreadsheets/d/1Kvs4KS76FHFqLFIZfrDMff4kP08nblUkihrxltoGBjg/edit#gid=934712705"",""ESENCIAL!A6:BG""),15,FALSE))"),"")</f>
        <v/>
      </c>
    </row>
    <row r="350" spans="1:48" ht="15">
      <c r="A350" s="5"/>
      <c r="E350" s="66"/>
      <c r="F350" s="5" t="str">
        <f ca="1">IFERROR(__xludf.DUMMYFUNCTION("IFERROR(VLOOKUP(F411,IMPORTRANGE(""https://docs.google.com/spreadsheets/d/1Kvs4KS76FHFqLFIZfrDMff4kP08nblUkihrxltoGBjg/edit#gid=934712705"",""ESENCIAL!A6:BG""),3,FALSE))"),"")</f>
        <v/>
      </c>
      <c r="G350" s="5" t="str">
        <f ca="1">IFERROR(__xludf.DUMMYFUNCTION("IFERROR(VLOOKUP(F411,IMPORTRANGE(""https://docs.google.com/spreadsheets/d/1Kvs4KS76FHFqLFIZfrDMff4kP08nblUkihrxltoGBjg/edit#gid=934712705"",""ESENCIAL!A6:BG""),8,FALSE))"),"")</f>
        <v/>
      </c>
      <c r="K350" s="287"/>
      <c r="S350" s="66"/>
      <c r="T350" s="66"/>
      <c r="U350" s="66"/>
      <c r="AT350" s="41" t="str">
        <f>IF(D350&gt;0,IF(AND(#REF!=1,#REF!=1),"Procede_E_P","NO_CUMPLE"),"")</f>
        <v/>
      </c>
      <c r="AU350" s="5" t="str">
        <f ca="1">IFERROR(__xludf.DUMMYFUNCTION("IFERROR(VLOOKUP(E411&amp;F411,IMPORTRANGE(""https://docs.google.com/spreadsheets/d/1Uw7-A9f9R21vMXxHZFNpYNeKFtG8_yji4HS352LGlSQ/edit?pli=1#gid=0"",""1_ACUM!A4:S""),11,FALSE))"),"")</f>
        <v/>
      </c>
      <c r="AV350" s="42" t="str">
        <f ca="1">IFERROR(__xludf.DUMMYFUNCTION("IFERROR(VLOOKUP(F411,IMPORTRANGE(""https://docs.google.com/spreadsheets/d/1Kvs4KS76FHFqLFIZfrDMff4kP08nblUkihrxltoGBjg/edit#gid=934712705"",""ESENCIAL!A6:BG""),15,FALSE))"),"")</f>
        <v/>
      </c>
    </row>
    <row r="351" spans="1:48" ht="15">
      <c r="A351" s="5"/>
      <c r="E351" s="66"/>
      <c r="F351" s="5" t="str">
        <f ca="1">IFERROR(__xludf.DUMMYFUNCTION("IFERROR(VLOOKUP(F412,IMPORTRANGE(""https://docs.google.com/spreadsheets/d/1Kvs4KS76FHFqLFIZfrDMff4kP08nblUkihrxltoGBjg/edit#gid=934712705"",""ESENCIAL!A6:BG""),3,FALSE))"),"")</f>
        <v/>
      </c>
      <c r="G351" s="5" t="str">
        <f ca="1">IFERROR(__xludf.DUMMYFUNCTION("IFERROR(VLOOKUP(F412,IMPORTRANGE(""https://docs.google.com/spreadsheets/d/1Kvs4KS76FHFqLFIZfrDMff4kP08nblUkihrxltoGBjg/edit#gid=934712705"",""ESENCIAL!A6:BG""),8,FALSE))"),"")</f>
        <v/>
      </c>
      <c r="K351" s="287"/>
      <c r="S351" s="66"/>
      <c r="T351" s="66"/>
      <c r="U351" s="66"/>
      <c r="AT351" s="41" t="str">
        <f>IF(D351&gt;0,IF(AND(#REF!=1,#REF!=1),"Procede_E_P","NO_CUMPLE"),"")</f>
        <v/>
      </c>
      <c r="AU351" s="5" t="str">
        <f ca="1">IFERROR(__xludf.DUMMYFUNCTION("IFERROR(VLOOKUP(E412&amp;F412,IMPORTRANGE(""https://docs.google.com/spreadsheets/d/1Uw7-A9f9R21vMXxHZFNpYNeKFtG8_yji4HS352LGlSQ/edit?pli=1#gid=0"",""1_ACUM!A4:S""),11,FALSE))"),"")</f>
        <v/>
      </c>
      <c r="AV351" s="42" t="str">
        <f ca="1">IFERROR(__xludf.DUMMYFUNCTION("IFERROR(VLOOKUP(F412,IMPORTRANGE(""https://docs.google.com/spreadsheets/d/1Kvs4KS76FHFqLFIZfrDMff4kP08nblUkihrxltoGBjg/edit#gid=934712705"",""ESENCIAL!A6:BG""),15,FALSE))"),"")</f>
        <v/>
      </c>
    </row>
    <row r="352" spans="1:48" ht="15">
      <c r="A352" s="5"/>
      <c r="E352" s="66"/>
      <c r="F352" s="5" t="str">
        <f ca="1">IFERROR(__xludf.DUMMYFUNCTION("IFERROR(VLOOKUP(F413,IMPORTRANGE(""https://docs.google.com/spreadsheets/d/1Kvs4KS76FHFqLFIZfrDMff4kP08nblUkihrxltoGBjg/edit#gid=934712705"",""ESENCIAL!A6:BG""),3,FALSE))"),"")</f>
        <v/>
      </c>
      <c r="G352" s="5" t="str">
        <f ca="1">IFERROR(__xludf.DUMMYFUNCTION("IFERROR(VLOOKUP(F413,IMPORTRANGE(""https://docs.google.com/spreadsheets/d/1Kvs4KS76FHFqLFIZfrDMff4kP08nblUkihrxltoGBjg/edit#gid=934712705"",""ESENCIAL!A6:BG""),8,FALSE))"),"")</f>
        <v/>
      </c>
      <c r="K352" s="287"/>
      <c r="S352" s="66"/>
      <c r="T352" s="66"/>
      <c r="U352" s="66"/>
      <c r="AT352" s="41" t="str">
        <f>IF(D352&gt;0,IF(AND(#REF!=1,#REF!=1),"Procede_E_P","NO_CUMPLE"),"")</f>
        <v/>
      </c>
      <c r="AU352" s="5" t="str">
        <f ca="1">IFERROR(__xludf.DUMMYFUNCTION("IFERROR(VLOOKUP(E413&amp;F413,IMPORTRANGE(""https://docs.google.com/spreadsheets/d/1Uw7-A9f9R21vMXxHZFNpYNeKFtG8_yji4HS352LGlSQ/edit?pli=1#gid=0"",""1_ACUM!A4:S""),11,FALSE))"),"")</f>
        <v/>
      </c>
      <c r="AV352" s="42" t="str">
        <f ca="1">IFERROR(__xludf.DUMMYFUNCTION("IFERROR(VLOOKUP(F413,IMPORTRANGE(""https://docs.google.com/spreadsheets/d/1Kvs4KS76FHFqLFIZfrDMff4kP08nblUkihrxltoGBjg/edit#gid=934712705"",""ESENCIAL!A6:BG""),15,FALSE))"),"")</f>
        <v/>
      </c>
    </row>
    <row r="353" spans="1:48" ht="15">
      <c r="A353" s="5"/>
      <c r="E353" s="66"/>
      <c r="F353" s="5" t="str">
        <f ca="1">IFERROR(__xludf.DUMMYFUNCTION("IFERROR(VLOOKUP(F414,IMPORTRANGE(""https://docs.google.com/spreadsheets/d/1Kvs4KS76FHFqLFIZfrDMff4kP08nblUkihrxltoGBjg/edit#gid=934712705"",""ESENCIAL!A6:BG""),3,FALSE))"),"")</f>
        <v/>
      </c>
      <c r="G353" s="5" t="str">
        <f ca="1">IFERROR(__xludf.DUMMYFUNCTION("IFERROR(VLOOKUP(F414,IMPORTRANGE(""https://docs.google.com/spreadsheets/d/1Kvs4KS76FHFqLFIZfrDMff4kP08nblUkihrxltoGBjg/edit#gid=934712705"",""ESENCIAL!A6:BG""),8,FALSE))"),"")</f>
        <v/>
      </c>
      <c r="K353" s="287"/>
      <c r="S353" s="66"/>
      <c r="T353" s="66"/>
      <c r="U353" s="66"/>
      <c r="AT353" s="41" t="str">
        <f>IF(D353&gt;0,IF(AND(#REF!=1,#REF!=1),"Procede_E_P","NO_CUMPLE"),"")</f>
        <v/>
      </c>
      <c r="AU353" s="5" t="str">
        <f ca="1">IFERROR(__xludf.DUMMYFUNCTION("IFERROR(VLOOKUP(E414&amp;F414,IMPORTRANGE(""https://docs.google.com/spreadsheets/d/1Uw7-A9f9R21vMXxHZFNpYNeKFtG8_yji4HS352LGlSQ/edit?pli=1#gid=0"",""1_ACUM!A4:S""),11,FALSE))"),"")</f>
        <v/>
      </c>
      <c r="AV353" s="42" t="str">
        <f ca="1">IFERROR(__xludf.DUMMYFUNCTION("IFERROR(VLOOKUP(F414,IMPORTRANGE(""https://docs.google.com/spreadsheets/d/1Kvs4KS76FHFqLFIZfrDMff4kP08nblUkihrxltoGBjg/edit#gid=934712705"",""ESENCIAL!A6:BG""),15,FALSE))"),"")</f>
        <v/>
      </c>
    </row>
    <row r="354" spans="1:48" ht="15">
      <c r="A354" s="5"/>
      <c r="E354" s="66"/>
      <c r="F354" s="5" t="str">
        <f ca="1">IFERROR(__xludf.DUMMYFUNCTION("IFERROR(VLOOKUP(F415,IMPORTRANGE(""https://docs.google.com/spreadsheets/d/1Kvs4KS76FHFqLFIZfrDMff4kP08nblUkihrxltoGBjg/edit#gid=934712705"",""ESENCIAL!A6:BG""),3,FALSE))"),"")</f>
        <v/>
      </c>
      <c r="G354" s="5" t="str">
        <f ca="1">IFERROR(__xludf.DUMMYFUNCTION("IFERROR(VLOOKUP(F415,IMPORTRANGE(""https://docs.google.com/spreadsheets/d/1Kvs4KS76FHFqLFIZfrDMff4kP08nblUkihrxltoGBjg/edit#gid=934712705"",""ESENCIAL!A6:BG""),8,FALSE))"),"")</f>
        <v/>
      </c>
      <c r="K354" s="287"/>
      <c r="S354" s="66"/>
      <c r="T354" s="66"/>
      <c r="U354" s="66"/>
      <c r="AT354" s="41" t="str">
        <f>IF(D354&gt;0,IF(AND(#REF!=1,#REF!=1),"Procede_E_P","NO_CUMPLE"),"")</f>
        <v/>
      </c>
      <c r="AU354" s="5" t="str">
        <f ca="1">IFERROR(__xludf.DUMMYFUNCTION("IFERROR(VLOOKUP(E415&amp;F415,IMPORTRANGE(""https://docs.google.com/spreadsheets/d/1Uw7-A9f9R21vMXxHZFNpYNeKFtG8_yji4HS352LGlSQ/edit?pli=1#gid=0"",""1_ACUM!A4:S""),11,FALSE))"),"")</f>
        <v/>
      </c>
      <c r="AV354" s="42" t="str">
        <f ca="1">IFERROR(__xludf.DUMMYFUNCTION("IFERROR(VLOOKUP(F415,IMPORTRANGE(""https://docs.google.com/spreadsheets/d/1Kvs4KS76FHFqLFIZfrDMff4kP08nblUkihrxltoGBjg/edit#gid=934712705"",""ESENCIAL!A6:BG""),15,FALSE))"),"")</f>
        <v/>
      </c>
    </row>
    <row r="355" spans="1:48" ht="15">
      <c r="A355" s="5"/>
      <c r="E355" s="66"/>
      <c r="F355" s="5" t="str">
        <f ca="1">IFERROR(__xludf.DUMMYFUNCTION("IFERROR(VLOOKUP(F416,IMPORTRANGE(""https://docs.google.com/spreadsheets/d/1Kvs4KS76FHFqLFIZfrDMff4kP08nblUkihrxltoGBjg/edit#gid=934712705"",""ESENCIAL!A6:BG""),3,FALSE))"),"")</f>
        <v/>
      </c>
      <c r="G355" s="5" t="str">
        <f ca="1">IFERROR(__xludf.DUMMYFUNCTION("IFERROR(VLOOKUP(F416,IMPORTRANGE(""https://docs.google.com/spreadsheets/d/1Kvs4KS76FHFqLFIZfrDMff4kP08nblUkihrxltoGBjg/edit#gid=934712705"",""ESENCIAL!A6:BG""),8,FALSE))"),"")</f>
        <v/>
      </c>
      <c r="K355" s="287"/>
      <c r="S355" s="66"/>
      <c r="T355" s="66"/>
      <c r="U355" s="66"/>
      <c r="AT355" s="41" t="str">
        <f>IF(D355&gt;0,IF(AND(#REF!=1,#REF!=1),"Procede_E_P","NO_CUMPLE"),"")</f>
        <v/>
      </c>
      <c r="AU355" s="5" t="str">
        <f ca="1">IFERROR(__xludf.DUMMYFUNCTION("IFERROR(VLOOKUP(E416&amp;F416,IMPORTRANGE(""https://docs.google.com/spreadsheets/d/1Uw7-A9f9R21vMXxHZFNpYNeKFtG8_yji4HS352LGlSQ/edit?pli=1#gid=0"",""1_ACUM!A4:S""),11,FALSE))"),"")</f>
        <v/>
      </c>
      <c r="AV355" s="42" t="str">
        <f ca="1">IFERROR(__xludf.DUMMYFUNCTION("IFERROR(VLOOKUP(F416,IMPORTRANGE(""https://docs.google.com/spreadsheets/d/1Kvs4KS76FHFqLFIZfrDMff4kP08nblUkihrxltoGBjg/edit#gid=934712705"",""ESENCIAL!A6:BG""),15,FALSE))"),"")</f>
        <v/>
      </c>
    </row>
    <row r="356" spans="1:48" ht="15">
      <c r="A356" s="5"/>
      <c r="E356" s="66"/>
      <c r="F356" s="5" t="str">
        <f ca="1">IFERROR(__xludf.DUMMYFUNCTION("IFERROR(VLOOKUP(F417,IMPORTRANGE(""https://docs.google.com/spreadsheets/d/1Kvs4KS76FHFqLFIZfrDMff4kP08nblUkihrxltoGBjg/edit#gid=934712705"",""ESENCIAL!A6:BG""),3,FALSE))"),"")</f>
        <v/>
      </c>
      <c r="G356" s="5" t="str">
        <f ca="1">IFERROR(__xludf.DUMMYFUNCTION("IFERROR(VLOOKUP(F417,IMPORTRANGE(""https://docs.google.com/spreadsheets/d/1Kvs4KS76FHFqLFIZfrDMff4kP08nblUkihrxltoGBjg/edit#gid=934712705"",""ESENCIAL!A6:BG""),8,FALSE))"),"")</f>
        <v/>
      </c>
      <c r="K356" s="287"/>
      <c r="S356" s="66"/>
      <c r="T356" s="66"/>
      <c r="U356" s="66"/>
      <c r="AT356" s="41" t="str">
        <f>IF(D356&gt;0,IF(AND(#REF!=1,#REF!=1),"Procede_E_P","NO_CUMPLE"),"")</f>
        <v/>
      </c>
      <c r="AU356" s="5" t="str">
        <f ca="1">IFERROR(__xludf.DUMMYFUNCTION("IFERROR(VLOOKUP(E417&amp;F417,IMPORTRANGE(""https://docs.google.com/spreadsheets/d/1Uw7-A9f9R21vMXxHZFNpYNeKFtG8_yji4HS352LGlSQ/edit?pli=1#gid=0"",""1_ACUM!A4:S""),11,FALSE))"),"")</f>
        <v/>
      </c>
      <c r="AV356" s="42" t="str">
        <f ca="1">IFERROR(__xludf.DUMMYFUNCTION("IFERROR(VLOOKUP(F417,IMPORTRANGE(""https://docs.google.com/spreadsheets/d/1Kvs4KS76FHFqLFIZfrDMff4kP08nblUkihrxltoGBjg/edit#gid=934712705"",""ESENCIAL!A6:BG""),15,FALSE))"),"")</f>
        <v/>
      </c>
    </row>
    <row r="357" spans="1:48" ht="15">
      <c r="A357" s="5"/>
      <c r="E357" s="66"/>
      <c r="F357" s="5" t="str">
        <f ca="1">IFERROR(__xludf.DUMMYFUNCTION("IFERROR(VLOOKUP(F418,IMPORTRANGE(""https://docs.google.com/spreadsheets/d/1Kvs4KS76FHFqLFIZfrDMff4kP08nblUkihrxltoGBjg/edit#gid=934712705"",""ESENCIAL!A6:BG""),3,FALSE))"),"")</f>
        <v/>
      </c>
      <c r="G357" s="5" t="str">
        <f ca="1">IFERROR(__xludf.DUMMYFUNCTION("IFERROR(VLOOKUP(F418,IMPORTRANGE(""https://docs.google.com/spreadsheets/d/1Kvs4KS76FHFqLFIZfrDMff4kP08nblUkihrxltoGBjg/edit#gid=934712705"",""ESENCIAL!A6:BG""),8,FALSE))"),"")</f>
        <v/>
      </c>
      <c r="K357" s="287"/>
      <c r="S357" s="66"/>
      <c r="T357" s="66"/>
      <c r="U357" s="66"/>
      <c r="AT357" s="41" t="str">
        <f>IF(D357&gt;0,IF(AND(#REF!=1,#REF!=1),"Procede_E_P","NO_CUMPLE"),"")</f>
        <v/>
      </c>
      <c r="AU357" s="5" t="str">
        <f ca="1">IFERROR(__xludf.DUMMYFUNCTION("IFERROR(VLOOKUP(E418&amp;F418,IMPORTRANGE(""https://docs.google.com/spreadsheets/d/1Uw7-A9f9R21vMXxHZFNpYNeKFtG8_yji4HS352LGlSQ/edit?pli=1#gid=0"",""1_ACUM!A4:S""),11,FALSE))"),"")</f>
        <v/>
      </c>
      <c r="AV357" s="42" t="str">
        <f ca="1">IFERROR(__xludf.DUMMYFUNCTION("IFERROR(VLOOKUP(F418,IMPORTRANGE(""https://docs.google.com/spreadsheets/d/1Kvs4KS76FHFqLFIZfrDMff4kP08nblUkihrxltoGBjg/edit#gid=934712705"",""ESENCIAL!A6:BG""),15,FALSE))"),"")</f>
        <v/>
      </c>
    </row>
    <row r="358" spans="1:48" ht="15">
      <c r="A358" s="5"/>
      <c r="E358" s="66"/>
      <c r="F358" s="5" t="str">
        <f ca="1">IFERROR(__xludf.DUMMYFUNCTION("IFERROR(VLOOKUP(F419,IMPORTRANGE(""https://docs.google.com/spreadsheets/d/1Kvs4KS76FHFqLFIZfrDMff4kP08nblUkihrxltoGBjg/edit#gid=934712705"",""ESENCIAL!A6:BG""),3,FALSE))"),"")</f>
        <v/>
      </c>
      <c r="G358" s="5" t="str">
        <f ca="1">IFERROR(__xludf.DUMMYFUNCTION("IFERROR(VLOOKUP(F419,IMPORTRANGE(""https://docs.google.com/spreadsheets/d/1Kvs4KS76FHFqLFIZfrDMff4kP08nblUkihrxltoGBjg/edit#gid=934712705"",""ESENCIAL!A6:BG""),8,FALSE))"),"")</f>
        <v/>
      </c>
      <c r="K358" s="287"/>
      <c r="S358" s="66"/>
      <c r="T358" s="66"/>
      <c r="U358" s="66"/>
      <c r="AT358" s="41" t="str">
        <f>IF(D358&gt;0,IF(AND(#REF!=1,#REF!=1),"Procede_E_P","NO_CUMPLE"),"")</f>
        <v/>
      </c>
      <c r="AU358" s="5" t="str">
        <f ca="1">IFERROR(__xludf.DUMMYFUNCTION("IFERROR(VLOOKUP(E419&amp;F419,IMPORTRANGE(""https://docs.google.com/spreadsheets/d/1Uw7-A9f9R21vMXxHZFNpYNeKFtG8_yji4HS352LGlSQ/edit?pli=1#gid=0"",""1_ACUM!A4:S""),11,FALSE))"),"")</f>
        <v/>
      </c>
      <c r="AV358" s="42" t="str">
        <f ca="1">IFERROR(__xludf.DUMMYFUNCTION("IFERROR(VLOOKUP(F419,IMPORTRANGE(""https://docs.google.com/spreadsheets/d/1Kvs4KS76FHFqLFIZfrDMff4kP08nblUkihrxltoGBjg/edit#gid=934712705"",""ESENCIAL!A6:BG""),15,FALSE))"),"")</f>
        <v/>
      </c>
    </row>
    <row r="359" spans="1:48" ht="15">
      <c r="A359" s="5"/>
      <c r="E359" s="66"/>
      <c r="F359" s="5" t="str">
        <f ca="1">IFERROR(__xludf.DUMMYFUNCTION("IFERROR(VLOOKUP(F420,IMPORTRANGE(""https://docs.google.com/spreadsheets/d/1Kvs4KS76FHFqLFIZfrDMff4kP08nblUkihrxltoGBjg/edit#gid=934712705"",""ESENCIAL!A6:BG""),3,FALSE))"),"")</f>
        <v/>
      </c>
      <c r="G359" s="5" t="str">
        <f ca="1">IFERROR(__xludf.DUMMYFUNCTION("IFERROR(VLOOKUP(F420,IMPORTRANGE(""https://docs.google.com/spreadsheets/d/1Kvs4KS76FHFqLFIZfrDMff4kP08nblUkihrxltoGBjg/edit#gid=934712705"",""ESENCIAL!A6:BG""),8,FALSE))"),"")</f>
        <v/>
      </c>
      <c r="K359" s="287"/>
      <c r="S359" s="66"/>
      <c r="T359" s="66"/>
      <c r="U359" s="66"/>
      <c r="AT359" s="41" t="str">
        <f>IF(D359&gt;0,IF(AND(#REF!=1,#REF!=1),"Procede_E_P","NO_CUMPLE"),"")</f>
        <v/>
      </c>
      <c r="AU359" s="5" t="str">
        <f ca="1">IFERROR(__xludf.DUMMYFUNCTION("IFERROR(VLOOKUP(E420&amp;F420,IMPORTRANGE(""https://docs.google.com/spreadsheets/d/1Uw7-A9f9R21vMXxHZFNpYNeKFtG8_yji4HS352LGlSQ/edit?pli=1#gid=0"",""1_ACUM!A4:S""),11,FALSE))"),"")</f>
        <v/>
      </c>
      <c r="AV359" s="42" t="str">
        <f ca="1">IFERROR(__xludf.DUMMYFUNCTION("IFERROR(VLOOKUP(F420,IMPORTRANGE(""https://docs.google.com/spreadsheets/d/1Kvs4KS76FHFqLFIZfrDMff4kP08nblUkihrxltoGBjg/edit#gid=934712705"",""ESENCIAL!A6:BG""),15,FALSE))"),"")</f>
        <v/>
      </c>
    </row>
    <row r="360" spans="1:48" ht="15">
      <c r="A360" s="5"/>
      <c r="E360" s="66"/>
      <c r="F360" s="5" t="str">
        <f ca="1">IFERROR(__xludf.DUMMYFUNCTION("IFERROR(VLOOKUP(F421,IMPORTRANGE(""https://docs.google.com/spreadsheets/d/1Kvs4KS76FHFqLFIZfrDMff4kP08nblUkihrxltoGBjg/edit#gid=934712705"",""ESENCIAL!A6:BG""),3,FALSE))"),"")</f>
        <v/>
      </c>
      <c r="G360" s="5" t="str">
        <f ca="1">IFERROR(__xludf.DUMMYFUNCTION("IFERROR(VLOOKUP(F421,IMPORTRANGE(""https://docs.google.com/spreadsheets/d/1Kvs4KS76FHFqLFIZfrDMff4kP08nblUkihrxltoGBjg/edit#gid=934712705"",""ESENCIAL!A6:BG""),8,FALSE))"),"")</f>
        <v/>
      </c>
      <c r="K360" s="287"/>
      <c r="S360" s="66"/>
      <c r="T360" s="66"/>
      <c r="U360" s="66"/>
      <c r="AT360" s="41" t="str">
        <f>IF(D360&gt;0,IF(AND(#REF!=1,#REF!=1),"Procede_E_P","NO_CUMPLE"),"")</f>
        <v/>
      </c>
      <c r="AU360" s="5" t="str">
        <f ca="1">IFERROR(__xludf.DUMMYFUNCTION("IFERROR(VLOOKUP(E421&amp;F421,IMPORTRANGE(""https://docs.google.com/spreadsheets/d/1Uw7-A9f9R21vMXxHZFNpYNeKFtG8_yji4HS352LGlSQ/edit?pli=1#gid=0"",""1_ACUM!A4:S""),11,FALSE))"),"")</f>
        <v/>
      </c>
      <c r="AV360" s="42" t="str">
        <f ca="1">IFERROR(__xludf.DUMMYFUNCTION("IFERROR(VLOOKUP(F421,IMPORTRANGE(""https://docs.google.com/spreadsheets/d/1Kvs4KS76FHFqLFIZfrDMff4kP08nblUkihrxltoGBjg/edit#gid=934712705"",""ESENCIAL!A6:BG""),15,FALSE))"),"")</f>
        <v/>
      </c>
    </row>
    <row r="361" spans="1:48" ht="15">
      <c r="A361" s="5"/>
      <c r="E361" s="66"/>
      <c r="F361" s="5" t="str">
        <f ca="1">IFERROR(__xludf.DUMMYFUNCTION("IFERROR(VLOOKUP(F422,IMPORTRANGE(""https://docs.google.com/spreadsheets/d/1Kvs4KS76FHFqLFIZfrDMff4kP08nblUkihrxltoGBjg/edit#gid=934712705"",""ESENCIAL!A6:BG""),3,FALSE))"),"")</f>
        <v/>
      </c>
      <c r="G361" s="5" t="str">
        <f ca="1">IFERROR(__xludf.DUMMYFUNCTION("IFERROR(VLOOKUP(F422,IMPORTRANGE(""https://docs.google.com/spreadsheets/d/1Kvs4KS76FHFqLFIZfrDMff4kP08nblUkihrxltoGBjg/edit#gid=934712705"",""ESENCIAL!A6:BG""),8,FALSE))"),"")</f>
        <v/>
      </c>
      <c r="K361" s="287"/>
      <c r="S361" s="66"/>
      <c r="T361" s="66"/>
      <c r="U361" s="66"/>
      <c r="AT361" s="41" t="str">
        <f>IF(D361&gt;0,IF(AND(#REF!=1,#REF!=1),"Procede_E_P","NO_CUMPLE"),"")</f>
        <v/>
      </c>
      <c r="AU361" s="5" t="str">
        <f ca="1">IFERROR(__xludf.DUMMYFUNCTION("IFERROR(VLOOKUP(E422&amp;F422,IMPORTRANGE(""https://docs.google.com/spreadsheets/d/1Uw7-A9f9R21vMXxHZFNpYNeKFtG8_yji4HS352LGlSQ/edit?pli=1#gid=0"",""1_ACUM!A4:S""),11,FALSE))"),"")</f>
        <v/>
      </c>
      <c r="AV361" s="42" t="str">
        <f ca="1">IFERROR(__xludf.DUMMYFUNCTION("IFERROR(VLOOKUP(F422,IMPORTRANGE(""https://docs.google.com/spreadsheets/d/1Kvs4KS76FHFqLFIZfrDMff4kP08nblUkihrxltoGBjg/edit#gid=934712705"",""ESENCIAL!A6:BG""),15,FALSE))"),"")</f>
        <v/>
      </c>
    </row>
    <row r="362" spans="1:48" ht="15">
      <c r="A362" s="5"/>
      <c r="E362" s="66"/>
      <c r="F362" s="5" t="str">
        <f ca="1">IFERROR(__xludf.DUMMYFUNCTION("IFERROR(VLOOKUP(F423,IMPORTRANGE(""https://docs.google.com/spreadsheets/d/1Kvs4KS76FHFqLFIZfrDMff4kP08nblUkihrxltoGBjg/edit#gid=934712705"",""ESENCIAL!A6:BG""),3,FALSE))"),"")</f>
        <v/>
      </c>
      <c r="G362" s="5" t="str">
        <f ca="1">IFERROR(__xludf.DUMMYFUNCTION("IFERROR(VLOOKUP(F423,IMPORTRANGE(""https://docs.google.com/spreadsheets/d/1Kvs4KS76FHFqLFIZfrDMff4kP08nblUkihrxltoGBjg/edit#gid=934712705"",""ESENCIAL!A6:BG""),8,FALSE))"),"")</f>
        <v/>
      </c>
      <c r="K362" s="287"/>
      <c r="S362" s="66"/>
      <c r="T362" s="66"/>
      <c r="U362" s="66"/>
      <c r="AT362" s="41" t="str">
        <f>IF(D362&gt;0,IF(AND(#REF!=1,#REF!=1),"Procede_E_P","NO_CUMPLE"),"")</f>
        <v/>
      </c>
      <c r="AU362" s="5" t="str">
        <f ca="1">IFERROR(__xludf.DUMMYFUNCTION("IFERROR(VLOOKUP(E423&amp;F423,IMPORTRANGE(""https://docs.google.com/spreadsheets/d/1Uw7-A9f9R21vMXxHZFNpYNeKFtG8_yji4HS352LGlSQ/edit?pli=1#gid=0"",""1_ACUM!A4:S""),11,FALSE))"),"")</f>
        <v/>
      </c>
      <c r="AV362" s="42" t="str">
        <f ca="1">IFERROR(__xludf.DUMMYFUNCTION("IFERROR(VLOOKUP(F423,IMPORTRANGE(""https://docs.google.com/spreadsheets/d/1Kvs4KS76FHFqLFIZfrDMff4kP08nblUkihrxltoGBjg/edit#gid=934712705"",""ESENCIAL!A6:BG""),15,FALSE))"),"")</f>
        <v/>
      </c>
    </row>
    <row r="363" spans="1:48" ht="15">
      <c r="A363" s="5"/>
      <c r="E363" s="66"/>
      <c r="F363" s="5" t="str">
        <f ca="1">IFERROR(__xludf.DUMMYFUNCTION("IFERROR(VLOOKUP(F424,IMPORTRANGE(""https://docs.google.com/spreadsheets/d/1Kvs4KS76FHFqLFIZfrDMff4kP08nblUkihrxltoGBjg/edit#gid=934712705"",""ESENCIAL!A6:BG""),3,FALSE))"),"")</f>
        <v/>
      </c>
      <c r="G363" s="5" t="str">
        <f ca="1">IFERROR(__xludf.DUMMYFUNCTION("IFERROR(VLOOKUP(F424,IMPORTRANGE(""https://docs.google.com/spreadsheets/d/1Kvs4KS76FHFqLFIZfrDMff4kP08nblUkihrxltoGBjg/edit#gid=934712705"",""ESENCIAL!A6:BG""),8,FALSE))"),"")</f>
        <v/>
      </c>
      <c r="K363" s="287"/>
      <c r="S363" s="66"/>
      <c r="T363" s="66"/>
      <c r="U363" s="66"/>
      <c r="AT363" s="41" t="str">
        <f>IF(D363&gt;0,IF(AND(#REF!=1,#REF!=1),"Procede_E_P","NO_CUMPLE"),"")</f>
        <v/>
      </c>
      <c r="AU363" s="5" t="str">
        <f ca="1">IFERROR(__xludf.DUMMYFUNCTION("IFERROR(VLOOKUP(E424&amp;F424,IMPORTRANGE(""https://docs.google.com/spreadsheets/d/1Uw7-A9f9R21vMXxHZFNpYNeKFtG8_yji4HS352LGlSQ/edit?pli=1#gid=0"",""1_ACUM!A4:S""),11,FALSE))"),"")</f>
        <v/>
      </c>
      <c r="AV363" s="42" t="str">
        <f ca="1">IFERROR(__xludf.DUMMYFUNCTION("IFERROR(VLOOKUP(F424,IMPORTRANGE(""https://docs.google.com/spreadsheets/d/1Kvs4KS76FHFqLFIZfrDMff4kP08nblUkihrxltoGBjg/edit#gid=934712705"",""ESENCIAL!A6:BG""),15,FALSE))"),"")</f>
        <v/>
      </c>
    </row>
    <row r="364" spans="1:48" ht="15">
      <c r="A364" s="5"/>
      <c r="E364" s="66"/>
      <c r="F364" s="5" t="str">
        <f ca="1">IFERROR(__xludf.DUMMYFUNCTION("IFERROR(VLOOKUP(F425,IMPORTRANGE(""https://docs.google.com/spreadsheets/d/1Kvs4KS76FHFqLFIZfrDMff4kP08nblUkihrxltoGBjg/edit#gid=934712705"",""ESENCIAL!A6:BG""),3,FALSE))"),"")</f>
        <v/>
      </c>
      <c r="G364" s="5" t="str">
        <f ca="1">IFERROR(__xludf.DUMMYFUNCTION("IFERROR(VLOOKUP(F425,IMPORTRANGE(""https://docs.google.com/spreadsheets/d/1Kvs4KS76FHFqLFIZfrDMff4kP08nblUkihrxltoGBjg/edit#gid=934712705"",""ESENCIAL!A6:BG""),8,FALSE))"),"")</f>
        <v/>
      </c>
      <c r="K364" s="287"/>
      <c r="S364" s="66"/>
      <c r="T364" s="66"/>
      <c r="U364" s="66"/>
      <c r="AT364" s="41" t="str">
        <f>IF(D364&gt;0,IF(AND(#REF!=1,#REF!=1),"Procede_E_P","NO_CUMPLE"),"")</f>
        <v/>
      </c>
      <c r="AU364" s="5" t="str">
        <f ca="1">IFERROR(__xludf.DUMMYFUNCTION("IFERROR(VLOOKUP(E425&amp;F425,IMPORTRANGE(""https://docs.google.com/spreadsheets/d/1Uw7-A9f9R21vMXxHZFNpYNeKFtG8_yji4HS352LGlSQ/edit?pli=1#gid=0"",""1_ACUM!A4:S""),11,FALSE))"),"")</f>
        <v/>
      </c>
      <c r="AV364" s="42" t="str">
        <f ca="1">IFERROR(__xludf.DUMMYFUNCTION("IFERROR(VLOOKUP(F425,IMPORTRANGE(""https://docs.google.com/spreadsheets/d/1Kvs4KS76FHFqLFIZfrDMff4kP08nblUkihrxltoGBjg/edit#gid=934712705"",""ESENCIAL!A6:BG""),15,FALSE))"),"")</f>
        <v/>
      </c>
    </row>
    <row r="365" spans="1:48" ht="15">
      <c r="A365" s="5"/>
      <c r="E365" s="66"/>
      <c r="F365" s="5" t="str">
        <f ca="1">IFERROR(__xludf.DUMMYFUNCTION("IFERROR(VLOOKUP(F426,IMPORTRANGE(""https://docs.google.com/spreadsheets/d/1Kvs4KS76FHFqLFIZfrDMff4kP08nblUkihrxltoGBjg/edit#gid=934712705"",""ESENCIAL!A6:BG""),3,FALSE))"),"")</f>
        <v/>
      </c>
      <c r="G365" s="5" t="str">
        <f ca="1">IFERROR(__xludf.DUMMYFUNCTION("IFERROR(VLOOKUP(F426,IMPORTRANGE(""https://docs.google.com/spreadsheets/d/1Kvs4KS76FHFqLFIZfrDMff4kP08nblUkihrxltoGBjg/edit#gid=934712705"",""ESENCIAL!A6:BG""),8,FALSE))"),"")</f>
        <v/>
      </c>
      <c r="K365" s="287"/>
      <c r="S365" s="66"/>
      <c r="T365" s="66"/>
      <c r="U365" s="66"/>
      <c r="AT365" s="41" t="str">
        <f>IF(D365&gt;0,IF(AND(#REF!=1,#REF!=1),"Procede_E_P","NO_CUMPLE"),"")</f>
        <v/>
      </c>
      <c r="AU365" s="5" t="str">
        <f ca="1">IFERROR(__xludf.DUMMYFUNCTION("IFERROR(VLOOKUP(E426&amp;F426,IMPORTRANGE(""https://docs.google.com/spreadsheets/d/1Uw7-A9f9R21vMXxHZFNpYNeKFtG8_yji4HS352LGlSQ/edit?pli=1#gid=0"",""1_ACUM!A4:S""),11,FALSE))"),"")</f>
        <v/>
      </c>
      <c r="AV365" s="42" t="str">
        <f ca="1">IFERROR(__xludf.DUMMYFUNCTION("IFERROR(VLOOKUP(F426,IMPORTRANGE(""https://docs.google.com/spreadsheets/d/1Kvs4KS76FHFqLFIZfrDMff4kP08nblUkihrxltoGBjg/edit#gid=934712705"",""ESENCIAL!A6:BG""),15,FALSE))"),"")</f>
        <v/>
      </c>
    </row>
    <row r="366" spans="1:48" ht="15">
      <c r="A366" s="5"/>
      <c r="E366" s="66"/>
      <c r="F366" s="5" t="str">
        <f ca="1">IFERROR(__xludf.DUMMYFUNCTION("IFERROR(VLOOKUP(F427,IMPORTRANGE(""https://docs.google.com/spreadsheets/d/1Kvs4KS76FHFqLFIZfrDMff4kP08nblUkihrxltoGBjg/edit#gid=934712705"",""ESENCIAL!A6:BG""),3,FALSE))"),"")</f>
        <v/>
      </c>
      <c r="G366" s="5" t="str">
        <f ca="1">IFERROR(__xludf.DUMMYFUNCTION("IFERROR(VLOOKUP(F427,IMPORTRANGE(""https://docs.google.com/spreadsheets/d/1Kvs4KS76FHFqLFIZfrDMff4kP08nblUkihrxltoGBjg/edit#gid=934712705"",""ESENCIAL!A6:BG""),8,FALSE))"),"")</f>
        <v/>
      </c>
      <c r="K366" s="287"/>
      <c r="S366" s="66"/>
      <c r="T366" s="66"/>
      <c r="U366" s="66"/>
      <c r="AT366" s="41" t="str">
        <f>IF(D366&gt;0,IF(AND(#REF!=1,#REF!=1),"Procede_E_P","NO_CUMPLE"),"")</f>
        <v/>
      </c>
      <c r="AU366" s="5" t="str">
        <f ca="1">IFERROR(__xludf.DUMMYFUNCTION("IFERROR(VLOOKUP(E427&amp;F427,IMPORTRANGE(""https://docs.google.com/spreadsheets/d/1Uw7-A9f9R21vMXxHZFNpYNeKFtG8_yji4HS352LGlSQ/edit?pli=1#gid=0"",""1_ACUM!A4:S""),11,FALSE))"),"")</f>
        <v/>
      </c>
      <c r="AV366" s="42" t="str">
        <f ca="1">IFERROR(__xludf.DUMMYFUNCTION("IFERROR(VLOOKUP(F427,IMPORTRANGE(""https://docs.google.com/spreadsheets/d/1Kvs4KS76FHFqLFIZfrDMff4kP08nblUkihrxltoGBjg/edit#gid=934712705"",""ESENCIAL!A6:BG""),15,FALSE))"),"")</f>
        <v/>
      </c>
    </row>
    <row r="367" spans="1:48" ht="15">
      <c r="A367" s="5"/>
      <c r="E367" s="66"/>
      <c r="F367" s="5" t="str">
        <f ca="1">IFERROR(__xludf.DUMMYFUNCTION("IFERROR(VLOOKUP(F428,IMPORTRANGE(""https://docs.google.com/spreadsheets/d/1Kvs4KS76FHFqLFIZfrDMff4kP08nblUkihrxltoGBjg/edit#gid=934712705"",""ESENCIAL!A6:BG""),3,FALSE))"),"")</f>
        <v/>
      </c>
      <c r="G367" s="5" t="str">
        <f ca="1">IFERROR(__xludf.DUMMYFUNCTION("IFERROR(VLOOKUP(F428,IMPORTRANGE(""https://docs.google.com/spreadsheets/d/1Kvs4KS76FHFqLFIZfrDMff4kP08nblUkihrxltoGBjg/edit#gid=934712705"",""ESENCIAL!A6:BG""),8,FALSE))"),"")</f>
        <v/>
      </c>
      <c r="K367" s="287"/>
      <c r="S367" s="66"/>
      <c r="T367" s="66"/>
      <c r="U367" s="66"/>
      <c r="AT367" s="41" t="str">
        <f>IF(D367&gt;0,IF(AND(#REF!=1,#REF!=1),"Procede_E_P","NO_CUMPLE"),"")</f>
        <v/>
      </c>
      <c r="AU367" s="5" t="str">
        <f ca="1">IFERROR(__xludf.DUMMYFUNCTION("IFERROR(VLOOKUP(E428&amp;F428,IMPORTRANGE(""https://docs.google.com/spreadsheets/d/1Uw7-A9f9R21vMXxHZFNpYNeKFtG8_yji4HS352LGlSQ/edit?pli=1#gid=0"",""1_ACUM!A4:S""),11,FALSE))"),"")</f>
        <v/>
      </c>
      <c r="AV367" s="42" t="str">
        <f ca="1">IFERROR(__xludf.DUMMYFUNCTION("IFERROR(VLOOKUP(F428,IMPORTRANGE(""https://docs.google.com/spreadsheets/d/1Kvs4KS76FHFqLFIZfrDMff4kP08nblUkihrxltoGBjg/edit#gid=934712705"",""ESENCIAL!A6:BG""),15,FALSE))"),"")</f>
        <v/>
      </c>
    </row>
    <row r="368" spans="1:48" ht="15">
      <c r="A368" s="5"/>
      <c r="E368" s="66"/>
      <c r="F368" s="5" t="str">
        <f ca="1">IFERROR(__xludf.DUMMYFUNCTION("IFERROR(VLOOKUP(F429,IMPORTRANGE(""https://docs.google.com/spreadsheets/d/1Kvs4KS76FHFqLFIZfrDMff4kP08nblUkihrxltoGBjg/edit#gid=934712705"",""ESENCIAL!A6:BG""),3,FALSE))"),"")</f>
        <v/>
      </c>
      <c r="G368" s="5" t="str">
        <f ca="1">IFERROR(__xludf.DUMMYFUNCTION("IFERROR(VLOOKUP(F429,IMPORTRANGE(""https://docs.google.com/spreadsheets/d/1Kvs4KS76FHFqLFIZfrDMff4kP08nblUkihrxltoGBjg/edit#gid=934712705"",""ESENCIAL!A6:BG""),8,FALSE))"),"")</f>
        <v/>
      </c>
      <c r="K368" s="287"/>
      <c r="S368" s="66"/>
      <c r="T368" s="66"/>
      <c r="U368" s="66"/>
      <c r="AT368" s="41" t="str">
        <f>IF(D368&gt;0,IF(AND(#REF!=1,#REF!=1),"Procede_E_P","NO_CUMPLE"),"")</f>
        <v/>
      </c>
      <c r="AU368" s="5" t="str">
        <f ca="1">IFERROR(__xludf.DUMMYFUNCTION("IFERROR(VLOOKUP(E429&amp;F429,IMPORTRANGE(""https://docs.google.com/spreadsheets/d/1Uw7-A9f9R21vMXxHZFNpYNeKFtG8_yji4HS352LGlSQ/edit?pli=1#gid=0"",""1_ACUM!A4:S""),11,FALSE))"),"")</f>
        <v/>
      </c>
      <c r="AV368" s="42" t="str">
        <f ca="1">IFERROR(__xludf.DUMMYFUNCTION("IFERROR(VLOOKUP(F429,IMPORTRANGE(""https://docs.google.com/spreadsheets/d/1Kvs4KS76FHFqLFIZfrDMff4kP08nblUkihrxltoGBjg/edit#gid=934712705"",""ESENCIAL!A6:BG""),15,FALSE))"),"")</f>
        <v/>
      </c>
    </row>
    <row r="369" spans="1:48" ht="15">
      <c r="A369" s="5"/>
      <c r="E369" s="66"/>
      <c r="F369" s="5" t="str">
        <f ca="1">IFERROR(__xludf.DUMMYFUNCTION("IFERROR(VLOOKUP(F430,IMPORTRANGE(""https://docs.google.com/spreadsheets/d/1Kvs4KS76FHFqLFIZfrDMff4kP08nblUkihrxltoGBjg/edit#gid=934712705"",""ESENCIAL!A6:BG""),3,FALSE))"),"")</f>
        <v/>
      </c>
      <c r="G369" s="5" t="str">
        <f ca="1">IFERROR(__xludf.DUMMYFUNCTION("IFERROR(VLOOKUP(F430,IMPORTRANGE(""https://docs.google.com/spreadsheets/d/1Kvs4KS76FHFqLFIZfrDMff4kP08nblUkihrxltoGBjg/edit#gid=934712705"",""ESENCIAL!A6:BG""),8,FALSE))"),"")</f>
        <v/>
      </c>
      <c r="K369" s="287"/>
      <c r="S369" s="66"/>
      <c r="T369" s="66"/>
      <c r="U369" s="66"/>
      <c r="AT369" s="41" t="str">
        <f>IF(D369&gt;0,IF(AND(#REF!=1,#REF!=1),"Procede_E_P","NO_CUMPLE"),"")</f>
        <v/>
      </c>
      <c r="AU369" s="5" t="str">
        <f ca="1">IFERROR(__xludf.DUMMYFUNCTION("IFERROR(VLOOKUP(E430&amp;F430,IMPORTRANGE(""https://docs.google.com/spreadsheets/d/1Uw7-A9f9R21vMXxHZFNpYNeKFtG8_yji4HS352LGlSQ/edit?pli=1#gid=0"",""1_ACUM!A4:S""),11,FALSE))"),"")</f>
        <v/>
      </c>
      <c r="AV369" s="42" t="str">
        <f ca="1">IFERROR(__xludf.DUMMYFUNCTION("IFERROR(VLOOKUP(F430,IMPORTRANGE(""https://docs.google.com/spreadsheets/d/1Kvs4KS76FHFqLFIZfrDMff4kP08nblUkihrxltoGBjg/edit#gid=934712705"",""ESENCIAL!A6:BG""),15,FALSE))"),"")</f>
        <v/>
      </c>
    </row>
    <row r="370" spans="1:48" ht="15">
      <c r="A370" s="5"/>
      <c r="E370" s="66"/>
      <c r="F370" s="5" t="str">
        <f ca="1">IFERROR(__xludf.DUMMYFUNCTION("IFERROR(VLOOKUP(F431,IMPORTRANGE(""https://docs.google.com/spreadsheets/d/1Kvs4KS76FHFqLFIZfrDMff4kP08nblUkihrxltoGBjg/edit#gid=934712705"",""ESENCIAL!A6:BG""),3,FALSE))"),"")</f>
        <v/>
      </c>
      <c r="G370" s="5" t="str">
        <f ca="1">IFERROR(__xludf.DUMMYFUNCTION("IFERROR(VLOOKUP(F431,IMPORTRANGE(""https://docs.google.com/spreadsheets/d/1Kvs4KS76FHFqLFIZfrDMff4kP08nblUkihrxltoGBjg/edit#gid=934712705"",""ESENCIAL!A6:BG""),8,FALSE))"),"")</f>
        <v/>
      </c>
      <c r="K370" s="287"/>
      <c r="S370" s="66"/>
      <c r="T370" s="66"/>
      <c r="U370" s="66"/>
      <c r="AT370" s="41" t="str">
        <f>IF(D370&gt;0,IF(AND(#REF!=1,#REF!=1),"Procede_E_P","NO_CUMPLE"),"")</f>
        <v/>
      </c>
      <c r="AU370" s="5" t="str">
        <f ca="1">IFERROR(__xludf.DUMMYFUNCTION("IFERROR(VLOOKUP(E431&amp;F431,IMPORTRANGE(""https://docs.google.com/spreadsheets/d/1Uw7-A9f9R21vMXxHZFNpYNeKFtG8_yji4HS352LGlSQ/edit?pli=1#gid=0"",""1_ACUM!A4:S""),11,FALSE))"),"")</f>
        <v/>
      </c>
      <c r="AV370" s="42" t="str">
        <f ca="1">IFERROR(__xludf.DUMMYFUNCTION("IFERROR(VLOOKUP(F431,IMPORTRANGE(""https://docs.google.com/spreadsheets/d/1Kvs4KS76FHFqLFIZfrDMff4kP08nblUkihrxltoGBjg/edit#gid=934712705"",""ESENCIAL!A6:BG""),15,FALSE))"),"")</f>
        <v/>
      </c>
    </row>
    <row r="371" spans="1:48" ht="15">
      <c r="A371" s="5"/>
      <c r="E371" s="66"/>
      <c r="F371" s="5" t="str">
        <f ca="1">IFERROR(__xludf.DUMMYFUNCTION("IFERROR(VLOOKUP(F432,IMPORTRANGE(""https://docs.google.com/spreadsheets/d/1Kvs4KS76FHFqLFIZfrDMff4kP08nblUkihrxltoGBjg/edit#gid=934712705"",""ESENCIAL!A6:BG""),3,FALSE))"),"")</f>
        <v/>
      </c>
      <c r="G371" s="5" t="str">
        <f ca="1">IFERROR(__xludf.DUMMYFUNCTION("IFERROR(VLOOKUP(F432,IMPORTRANGE(""https://docs.google.com/spreadsheets/d/1Kvs4KS76FHFqLFIZfrDMff4kP08nblUkihrxltoGBjg/edit#gid=934712705"",""ESENCIAL!A6:BG""),8,FALSE))"),"")</f>
        <v/>
      </c>
      <c r="K371" s="287"/>
      <c r="S371" s="66"/>
      <c r="T371" s="66"/>
      <c r="U371" s="66"/>
      <c r="AT371" s="41" t="str">
        <f>IF(D371&gt;0,IF(AND(#REF!=1,#REF!=1),"Procede_E_P","NO_CUMPLE"),"")</f>
        <v/>
      </c>
      <c r="AU371" s="5" t="str">
        <f ca="1">IFERROR(__xludf.DUMMYFUNCTION("IFERROR(VLOOKUP(E432&amp;F432,IMPORTRANGE(""https://docs.google.com/spreadsheets/d/1Uw7-A9f9R21vMXxHZFNpYNeKFtG8_yji4HS352LGlSQ/edit?pli=1#gid=0"",""1_ACUM!A4:S""),11,FALSE))"),"")</f>
        <v/>
      </c>
      <c r="AV371" s="42" t="str">
        <f ca="1">IFERROR(__xludf.DUMMYFUNCTION("IFERROR(VLOOKUP(F432,IMPORTRANGE(""https://docs.google.com/spreadsheets/d/1Kvs4KS76FHFqLFIZfrDMff4kP08nblUkihrxltoGBjg/edit#gid=934712705"",""ESENCIAL!A6:BG""),15,FALSE))"),"")</f>
        <v/>
      </c>
    </row>
    <row r="372" spans="1:48" ht="15">
      <c r="A372" s="5"/>
      <c r="E372" s="66"/>
      <c r="F372" s="5" t="str">
        <f ca="1">IFERROR(__xludf.DUMMYFUNCTION("IFERROR(VLOOKUP(F433,IMPORTRANGE(""https://docs.google.com/spreadsheets/d/1Kvs4KS76FHFqLFIZfrDMff4kP08nblUkihrxltoGBjg/edit#gid=934712705"",""ESENCIAL!A6:BG""),3,FALSE))"),"")</f>
        <v/>
      </c>
      <c r="G372" s="5" t="str">
        <f ca="1">IFERROR(__xludf.DUMMYFUNCTION("IFERROR(VLOOKUP(F433,IMPORTRANGE(""https://docs.google.com/spreadsheets/d/1Kvs4KS76FHFqLFIZfrDMff4kP08nblUkihrxltoGBjg/edit#gid=934712705"",""ESENCIAL!A6:BG""),8,FALSE))"),"")</f>
        <v/>
      </c>
      <c r="K372" s="287"/>
      <c r="S372" s="66"/>
      <c r="T372" s="66"/>
      <c r="U372" s="66"/>
      <c r="AT372" s="41" t="str">
        <f>IF(D372&gt;0,IF(AND(#REF!=1,#REF!=1),"Procede_E_P","NO_CUMPLE"),"")</f>
        <v/>
      </c>
      <c r="AU372" s="5" t="str">
        <f ca="1">IFERROR(__xludf.DUMMYFUNCTION("IFERROR(VLOOKUP(E433&amp;F433,IMPORTRANGE(""https://docs.google.com/spreadsheets/d/1Uw7-A9f9R21vMXxHZFNpYNeKFtG8_yji4HS352LGlSQ/edit?pli=1#gid=0"",""1_ACUM!A4:S""),11,FALSE))"),"")</f>
        <v/>
      </c>
      <c r="AV372" s="42" t="str">
        <f ca="1">IFERROR(__xludf.DUMMYFUNCTION("IFERROR(VLOOKUP(F433,IMPORTRANGE(""https://docs.google.com/spreadsheets/d/1Kvs4KS76FHFqLFIZfrDMff4kP08nblUkihrxltoGBjg/edit#gid=934712705"",""ESENCIAL!A6:BG""),15,FALSE))"),"")</f>
        <v/>
      </c>
    </row>
    <row r="373" spans="1:48" ht="15">
      <c r="A373" s="5"/>
      <c r="E373" s="66"/>
      <c r="F373" s="5" t="str">
        <f ca="1">IFERROR(__xludf.DUMMYFUNCTION("IFERROR(VLOOKUP(F434,IMPORTRANGE(""https://docs.google.com/spreadsheets/d/1Kvs4KS76FHFqLFIZfrDMff4kP08nblUkihrxltoGBjg/edit#gid=934712705"",""ESENCIAL!A6:BG""),3,FALSE))"),"")</f>
        <v/>
      </c>
      <c r="G373" s="5" t="str">
        <f ca="1">IFERROR(__xludf.DUMMYFUNCTION("IFERROR(VLOOKUP(F434,IMPORTRANGE(""https://docs.google.com/spreadsheets/d/1Kvs4KS76FHFqLFIZfrDMff4kP08nblUkihrxltoGBjg/edit#gid=934712705"",""ESENCIAL!A6:BG""),8,FALSE))"),"")</f>
        <v/>
      </c>
      <c r="K373" s="287"/>
      <c r="S373" s="66"/>
      <c r="T373" s="66"/>
      <c r="U373" s="66"/>
      <c r="AT373" s="41" t="str">
        <f>IF(D373&gt;0,IF(AND(#REF!=1,#REF!=1),"Procede_E_P","NO_CUMPLE"),"")</f>
        <v/>
      </c>
      <c r="AU373" s="5" t="str">
        <f ca="1">IFERROR(__xludf.DUMMYFUNCTION("IFERROR(VLOOKUP(E434&amp;F434,IMPORTRANGE(""https://docs.google.com/spreadsheets/d/1Uw7-A9f9R21vMXxHZFNpYNeKFtG8_yji4HS352LGlSQ/edit?pli=1#gid=0"",""1_ACUM!A4:S""),11,FALSE))"),"")</f>
        <v/>
      </c>
      <c r="AV373" s="42" t="str">
        <f ca="1">IFERROR(__xludf.DUMMYFUNCTION("IFERROR(VLOOKUP(F434,IMPORTRANGE(""https://docs.google.com/spreadsheets/d/1Kvs4KS76FHFqLFIZfrDMff4kP08nblUkihrxltoGBjg/edit#gid=934712705"",""ESENCIAL!A6:BG""),15,FALSE))"),"")</f>
        <v/>
      </c>
    </row>
    <row r="374" spans="1:48" ht="15">
      <c r="A374" s="5"/>
      <c r="E374" s="66"/>
      <c r="F374" s="5" t="str">
        <f ca="1">IFERROR(__xludf.DUMMYFUNCTION("IFERROR(VLOOKUP(F435,IMPORTRANGE(""https://docs.google.com/spreadsheets/d/1Kvs4KS76FHFqLFIZfrDMff4kP08nblUkihrxltoGBjg/edit#gid=934712705"",""ESENCIAL!A6:BG""),3,FALSE))"),"")</f>
        <v/>
      </c>
      <c r="G374" s="5" t="str">
        <f ca="1">IFERROR(__xludf.DUMMYFUNCTION("IFERROR(VLOOKUP(F435,IMPORTRANGE(""https://docs.google.com/spreadsheets/d/1Kvs4KS76FHFqLFIZfrDMff4kP08nblUkihrxltoGBjg/edit#gid=934712705"",""ESENCIAL!A6:BG""),8,FALSE))"),"")</f>
        <v/>
      </c>
      <c r="K374" s="287"/>
      <c r="S374" s="66"/>
      <c r="T374" s="66"/>
      <c r="U374" s="66"/>
      <c r="AT374" s="41" t="str">
        <f>IF(D374&gt;0,IF(AND(#REF!=1,#REF!=1),"Procede_E_P","NO_CUMPLE"),"")</f>
        <v/>
      </c>
      <c r="AU374" s="5" t="str">
        <f ca="1">IFERROR(__xludf.DUMMYFUNCTION("IFERROR(VLOOKUP(E435&amp;F435,IMPORTRANGE(""https://docs.google.com/spreadsheets/d/1Uw7-A9f9R21vMXxHZFNpYNeKFtG8_yji4HS352LGlSQ/edit?pli=1#gid=0"",""1_ACUM!A4:S""),11,FALSE))"),"")</f>
        <v/>
      </c>
      <c r="AV374" s="42" t="str">
        <f ca="1">IFERROR(__xludf.DUMMYFUNCTION("IFERROR(VLOOKUP(F435,IMPORTRANGE(""https://docs.google.com/spreadsheets/d/1Kvs4KS76FHFqLFIZfrDMff4kP08nblUkihrxltoGBjg/edit#gid=934712705"",""ESENCIAL!A6:BG""),15,FALSE))"),"")</f>
        <v/>
      </c>
    </row>
    <row r="375" spans="1:48" ht="15">
      <c r="A375" s="5"/>
      <c r="E375" s="66"/>
      <c r="F375" s="5" t="str">
        <f ca="1">IFERROR(__xludf.DUMMYFUNCTION("IFERROR(VLOOKUP(F436,IMPORTRANGE(""https://docs.google.com/spreadsheets/d/1Kvs4KS76FHFqLFIZfrDMff4kP08nblUkihrxltoGBjg/edit#gid=934712705"",""ESENCIAL!A6:BG""),3,FALSE))"),"")</f>
        <v/>
      </c>
      <c r="G375" s="5" t="str">
        <f ca="1">IFERROR(__xludf.DUMMYFUNCTION("IFERROR(VLOOKUP(F436,IMPORTRANGE(""https://docs.google.com/spreadsheets/d/1Kvs4KS76FHFqLFIZfrDMff4kP08nblUkihrxltoGBjg/edit#gid=934712705"",""ESENCIAL!A6:BG""),8,FALSE))"),"")</f>
        <v/>
      </c>
      <c r="K375" s="287"/>
      <c r="S375" s="66"/>
      <c r="T375" s="66"/>
      <c r="U375" s="66"/>
      <c r="AT375" s="41" t="str">
        <f>IF(D375&gt;0,IF(AND(#REF!=1,#REF!=1),"Procede_E_P","NO_CUMPLE"),"")</f>
        <v/>
      </c>
      <c r="AU375" s="5" t="str">
        <f ca="1">IFERROR(__xludf.DUMMYFUNCTION("IFERROR(VLOOKUP(E436&amp;F436,IMPORTRANGE(""https://docs.google.com/spreadsheets/d/1Uw7-A9f9R21vMXxHZFNpYNeKFtG8_yji4HS352LGlSQ/edit?pli=1#gid=0"",""1_ACUM!A4:S""),11,FALSE))"),"")</f>
        <v/>
      </c>
      <c r="AV375" s="42" t="str">
        <f ca="1">IFERROR(__xludf.DUMMYFUNCTION("IFERROR(VLOOKUP(F436,IMPORTRANGE(""https://docs.google.com/spreadsheets/d/1Kvs4KS76FHFqLFIZfrDMff4kP08nblUkihrxltoGBjg/edit#gid=934712705"",""ESENCIAL!A6:BG""),15,FALSE))"),"")</f>
        <v/>
      </c>
    </row>
    <row r="376" spans="1:48" ht="15">
      <c r="A376" s="5"/>
      <c r="E376" s="66"/>
      <c r="F376" s="5" t="str">
        <f ca="1">IFERROR(__xludf.DUMMYFUNCTION("IFERROR(VLOOKUP(F437,IMPORTRANGE(""https://docs.google.com/spreadsheets/d/1Kvs4KS76FHFqLFIZfrDMff4kP08nblUkihrxltoGBjg/edit#gid=934712705"",""ESENCIAL!A6:BG""),3,FALSE))"),"")</f>
        <v/>
      </c>
      <c r="G376" s="5" t="str">
        <f ca="1">IFERROR(__xludf.DUMMYFUNCTION("IFERROR(VLOOKUP(F437,IMPORTRANGE(""https://docs.google.com/spreadsheets/d/1Kvs4KS76FHFqLFIZfrDMff4kP08nblUkihrxltoGBjg/edit#gid=934712705"",""ESENCIAL!A6:BG""),8,FALSE))"),"")</f>
        <v/>
      </c>
      <c r="K376" s="287"/>
      <c r="S376" s="66"/>
      <c r="T376" s="66"/>
      <c r="U376" s="66"/>
      <c r="AT376" s="41" t="str">
        <f>IF(D376&gt;0,IF(AND(#REF!=1,#REF!=1),"Procede_E_P","NO_CUMPLE"),"")</f>
        <v/>
      </c>
      <c r="AU376" s="5" t="str">
        <f ca="1">IFERROR(__xludf.DUMMYFUNCTION("IFERROR(VLOOKUP(E437&amp;F437,IMPORTRANGE(""https://docs.google.com/spreadsheets/d/1Uw7-A9f9R21vMXxHZFNpYNeKFtG8_yji4HS352LGlSQ/edit?pli=1#gid=0"",""1_ACUM!A4:S""),11,FALSE))"),"")</f>
        <v/>
      </c>
      <c r="AV376" s="42" t="str">
        <f ca="1">IFERROR(__xludf.DUMMYFUNCTION("IFERROR(VLOOKUP(F437,IMPORTRANGE(""https://docs.google.com/spreadsheets/d/1Kvs4KS76FHFqLFIZfrDMff4kP08nblUkihrxltoGBjg/edit#gid=934712705"",""ESENCIAL!A6:BG""),15,FALSE))"),"")</f>
        <v/>
      </c>
    </row>
    <row r="377" spans="1:48" ht="15">
      <c r="A377" s="5"/>
      <c r="E377" s="66"/>
      <c r="F377" s="5" t="str">
        <f ca="1">IFERROR(__xludf.DUMMYFUNCTION("IFERROR(VLOOKUP(F438,IMPORTRANGE(""https://docs.google.com/spreadsheets/d/1Kvs4KS76FHFqLFIZfrDMff4kP08nblUkihrxltoGBjg/edit#gid=934712705"",""ESENCIAL!A6:BG""),3,FALSE))"),"")</f>
        <v/>
      </c>
      <c r="G377" s="5" t="str">
        <f ca="1">IFERROR(__xludf.DUMMYFUNCTION("IFERROR(VLOOKUP(F438,IMPORTRANGE(""https://docs.google.com/spreadsheets/d/1Kvs4KS76FHFqLFIZfrDMff4kP08nblUkihrxltoGBjg/edit#gid=934712705"",""ESENCIAL!A6:BG""),8,FALSE))"),"")</f>
        <v/>
      </c>
      <c r="K377" s="287"/>
      <c r="S377" s="66"/>
      <c r="T377" s="66"/>
      <c r="U377" s="66"/>
      <c r="AT377" s="41" t="str">
        <f>IF(D377&gt;0,IF(AND(#REF!=1,#REF!=1),"Procede_E_P","NO_CUMPLE"),"")</f>
        <v/>
      </c>
      <c r="AU377" s="5" t="str">
        <f ca="1">IFERROR(__xludf.DUMMYFUNCTION("IFERROR(VLOOKUP(E438&amp;F438,IMPORTRANGE(""https://docs.google.com/spreadsheets/d/1Uw7-A9f9R21vMXxHZFNpYNeKFtG8_yji4HS352LGlSQ/edit?pli=1#gid=0"",""1_ACUM!A4:S""),11,FALSE))"),"")</f>
        <v/>
      </c>
      <c r="AV377" s="42" t="str">
        <f ca="1">IFERROR(__xludf.DUMMYFUNCTION("IFERROR(VLOOKUP(F438,IMPORTRANGE(""https://docs.google.com/spreadsheets/d/1Kvs4KS76FHFqLFIZfrDMff4kP08nblUkihrxltoGBjg/edit#gid=934712705"",""ESENCIAL!A6:BG""),15,FALSE))"),"")</f>
        <v/>
      </c>
    </row>
    <row r="378" spans="1:48" ht="15">
      <c r="A378" s="5"/>
      <c r="E378" s="66"/>
      <c r="F378" s="5" t="str">
        <f ca="1">IFERROR(__xludf.DUMMYFUNCTION("IFERROR(VLOOKUP(F439,IMPORTRANGE(""https://docs.google.com/spreadsheets/d/1Kvs4KS76FHFqLFIZfrDMff4kP08nblUkihrxltoGBjg/edit#gid=934712705"",""ESENCIAL!A6:BG""),3,FALSE))"),"")</f>
        <v/>
      </c>
      <c r="G378" s="5" t="str">
        <f ca="1">IFERROR(__xludf.DUMMYFUNCTION("IFERROR(VLOOKUP(F439,IMPORTRANGE(""https://docs.google.com/spreadsheets/d/1Kvs4KS76FHFqLFIZfrDMff4kP08nblUkihrxltoGBjg/edit#gid=934712705"",""ESENCIAL!A6:BG""),8,FALSE))"),"")</f>
        <v/>
      </c>
      <c r="K378" s="287"/>
      <c r="S378" s="66"/>
      <c r="T378" s="66"/>
      <c r="U378" s="66"/>
      <c r="AT378" s="41" t="str">
        <f>IF(D378&gt;0,IF(AND(#REF!=1,#REF!=1),"Procede_E_P","NO_CUMPLE"),"")</f>
        <v/>
      </c>
      <c r="AU378" s="5" t="str">
        <f ca="1">IFERROR(__xludf.DUMMYFUNCTION("IFERROR(VLOOKUP(E439&amp;F439,IMPORTRANGE(""https://docs.google.com/spreadsheets/d/1Uw7-A9f9R21vMXxHZFNpYNeKFtG8_yji4HS352LGlSQ/edit?pli=1#gid=0"",""1_ACUM!A4:S""),11,FALSE))"),"")</f>
        <v/>
      </c>
      <c r="AV378" s="42" t="str">
        <f ca="1">IFERROR(__xludf.DUMMYFUNCTION("IFERROR(VLOOKUP(F439,IMPORTRANGE(""https://docs.google.com/spreadsheets/d/1Kvs4KS76FHFqLFIZfrDMff4kP08nblUkihrxltoGBjg/edit#gid=934712705"",""ESENCIAL!A6:BG""),15,FALSE))"),"")</f>
        <v/>
      </c>
    </row>
    <row r="379" spans="1:48" ht="15">
      <c r="A379" s="5"/>
      <c r="E379" s="66"/>
      <c r="F379" s="5" t="str">
        <f ca="1">IFERROR(__xludf.DUMMYFUNCTION("IFERROR(VLOOKUP(F440,IMPORTRANGE(""https://docs.google.com/spreadsheets/d/1Kvs4KS76FHFqLFIZfrDMff4kP08nblUkihrxltoGBjg/edit#gid=934712705"",""ESENCIAL!A6:BG""),3,FALSE))"),"")</f>
        <v/>
      </c>
      <c r="G379" s="5" t="str">
        <f ca="1">IFERROR(__xludf.DUMMYFUNCTION("IFERROR(VLOOKUP(F440,IMPORTRANGE(""https://docs.google.com/spreadsheets/d/1Kvs4KS76FHFqLFIZfrDMff4kP08nblUkihrxltoGBjg/edit#gid=934712705"",""ESENCIAL!A6:BG""),8,FALSE))"),"")</f>
        <v/>
      </c>
      <c r="K379" s="287"/>
      <c r="S379" s="66"/>
      <c r="T379" s="66"/>
      <c r="U379" s="66"/>
      <c r="AT379" s="41" t="str">
        <f>IF(D379&gt;0,IF(AND(#REF!=1,#REF!=1),"Procede_E_P","NO_CUMPLE"),"")</f>
        <v/>
      </c>
      <c r="AU379" s="5" t="str">
        <f ca="1">IFERROR(__xludf.DUMMYFUNCTION("IFERROR(VLOOKUP(E440&amp;F440,IMPORTRANGE(""https://docs.google.com/spreadsheets/d/1Uw7-A9f9R21vMXxHZFNpYNeKFtG8_yji4HS352LGlSQ/edit?pli=1#gid=0"",""1_ACUM!A4:S""),11,FALSE))"),"")</f>
        <v/>
      </c>
      <c r="AV379" s="42" t="str">
        <f ca="1">IFERROR(__xludf.DUMMYFUNCTION("IFERROR(VLOOKUP(F440,IMPORTRANGE(""https://docs.google.com/spreadsheets/d/1Kvs4KS76FHFqLFIZfrDMff4kP08nblUkihrxltoGBjg/edit#gid=934712705"",""ESENCIAL!A6:BG""),15,FALSE))"),"")</f>
        <v/>
      </c>
    </row>
    <row r="380" spans="1:48" ht="15">
      <c r="A380" s="5"/>
      <c r="E380" s="66"/>
      <c r="F380" s="5" t="str">
        <f ca="1">IFERROR(__xludf.DUMMYFUNCTION("IFERROR(VLOOKUP(F441,IMPORTRANGE(""https://docs.google.com/spreadsheets/d/1Kvs4KS76FHFqLFIZfrDMff4kP08nblUkihrxltoGBjg/edit#gid=934712705"",""ESENCIAL!A6:BG""),3,FALSE))"),"")</f>
        <v/>
      </c>
      <c r="G380" s="5" t="str">
        <f ca="1">IFERROR(__xludf.DUMMYFUNCTION("IFERROR(VLOOKUP(F441,IMPORTRANGE(""https://docs.google.com/spreadsheets/d/1Kvs4KS76FHFqLFIZfrDMff4kP08nblUkihrxltoGBjg/edit#gid=934712705"",""ESENCIAL!A6:BG""),8,FALSE))"),"")</f>
        <v/>
      </c>
      <c r="K380" s="287"/>
      <c r="S380" s="66"/>
      <c r="T380" s="66"/>
      <c r="U380" s="66"/>
      <c r="AT380" s="41" t="str">
        <f>IF(D380&gt;0,IF(AND(#REF!=1,#REF!=1),"Procede_E_P","NO_CUMPLE"),"")</f>
        <v/>
      </c>
      <c r="AU380" s="5" t="str">
        <f ca="1">IFERROR(__xludf.DUMMYFUNCTION("IFERROR(VLOOKUP(E441&amp;F441,IMPORTRANGE(""https://docs.google.com/spreadsheets/d/1Uw7-A9f9R21vMXxHZFNpYNeKFtG8_yji4HS352LGlSQ/edit?pli=1#gid=0"",""1_ACUM!A4:S""),11,FALSE))"),"")</f>
        <v/>
      </c>
      <c r="AV380" s="42" t="str">
        <f ca="1">IFERROR(__xludf.DUMMYFUNCTION("IFERROR(VLOOKUP(F441,IMPORTRANGE(""https://docs.google.com/spreadsheets/d/1Kvs4KS76FHFqLFIZfrDMff4kP08nblUkihrxltoGBjg/edit#gid=934712705"",""ESENCIAL!A6:BG""),15,FALSE))"),"")</f>
        <v/>
      </c>
    </row>
    <row r="381" spans="1:48" ht="15">
      <c r="A381" s="5"/>
      <c r="E381" s="66"/>
      <c r="F381" s="5" t="str">
        <f ca="1">IFERROR(__xludf.DUMMYFUNCTION("IFERROR(VLOOKUP(F442,IMPORTRANGE(""https://docs.google.com/spreadsheets/d/1Kvs4KS76FHFqLFIZfrDMff4kP08nblUkihrxltoGBjg/edit#gid=934712705"",""ESENCIAL!A6:BG""),3,FALSE))"),"")</f>
        <v/>
      </c>
      <c r="G381" s="5" t="str">
        <f ca="1">IFERROR(__xludf.DUMMYFUNCTION("IFERROR(VLOOKUP(F442,IMPORTRANGE(""https://docs.google.com/spreadsheets/d/1Kvs4KS76FHFqLFIZfrDMff4kP08nblUkihrxltoGBjg/edit#gid=934712705"",""ESENCIAL!A6:BG""),8,FALSE))"),"")</f>
        <v/>
      </c>
      <c r="K381" s="287"/>
      <c r="S381" s="66"/>
      <c r="T381" s="66"/>
      <c r="U381" s="66"/>
      <c r="AT381" s="41" t="str">
        <f>IF(D381&gt;0,IF(AND(#REF!=1,#REF!=1),"Procede_E_P","NO_CUMPLE"),"")</f>
        <v/>
      </c>
      <c r="AU381" s="5" t="str">
        <f ca="1">IFERROR(__xludf.DUMMYFUNCTION("IFERROR(VLOOKUP(E442&amp;F442,IMPORTRANGE(""https://docs.google.com/spreadsheets/d/1Uw7-A9f9R21vMXxHZFNpYNeKFtG8_yji4HS352LGlSQ/edit?pli=1#gid=0"",""1_ACUM!A4:S""),11,FALSE))"),"")</f>
        <v/>
      </c>
      <c r="AV381" s="42" t="str">
        <f ca="1">IFERROR(__xludf.DUMMYFUNCTION("IFERROR(VLOOKUP(F442,IMPORTRANGE(""https://docs.google.com/spreadsheets/d/1Kvs4KS76FHFqLFIZfrDMff4kP08nblUkihrxltoGBjg/edit#gid=934712705"",""ESENCIAL!A6:BG""),15,FALSE))"),"")</f>
        <v/>
      </c>
    </row>
    <row r="382" spans="1:48" ht="15">
      <c r="A382" s="5"/>
      <c r="E382" s="66"/>
      <c r="F382" s="5" t="str">
        <f ca="1">IFERROR(__xludf.DUMMYFUNCTION("IFERROR(VLOOKUP(F443,IMPORTRANGE(""https://docs.google.com/spreadsheets/d/1Kvs4KS76FHFqLFIZfrDMff4kP08nblUkihrxltoGBjg/edit#gid=934712705"",""ESENCIAL!A6:BG""),3,FALSE))"),"")</f>
        <v/>
      </c>
      <c r="G382" s="5" t="str">
        <f ca="1">IFERROR(__xludf.DUMMYFUNCTION("IFERROR(VLOOKUP(F443,IMPORTRANGE(""https://docs.google.com/spreadsheets/d/1Kvs4KS76FHFqLFIZfrDMff4kP08nblUkihrxltoGBjg/edit#gid=934712705"",""ESENCIAL!A6:BG""),8,FALSE))"),"")</f>
        <v/>
      </c>
      <c r="K382" s="287"/>
      <c r="S382" s="66"/>
      <c r="T382" s="66"/>
      <c r="U382" s="66"/>
      <c r="AT382" s="41" t="str">
        <f>IF(D382&gt;0,IF(AND(#REF!=1,#REF!=1),"Procede_E_P","NO_CUMPLE"),"")</f>
        <v/>
      </c>
      <c r="AU382" s="5" t="str">
        <f ca="1">IFERROR(__xludf.DUMMYFUNCTION("IFERROR(VLOOKUP(E443&amp;F443,IMPORTRANGE(""https://docs.google.com/spreadsheets/d/1Uw7-A9f9R21vMXxHZFNpYNeKFtG8_yji4HS352LGlSQ/edit?pli=1#gid=0"",""1_ACUM!A4:S""),11,FALSE))"),"")</f>
        <v/>
      </c>
      <c r="AV382" s="42" t="str">
        <f ca="1">IFERROR(__xludf.DUMMYFUNCTION("IFERROR(VLOOKUP(F443,IMPORTRANGE(""https://docs.google.com/spreadsheets/d/1Kvs4KS76FHFqLFIZfrDMff4kP08nblUkihrxltoGBjg/edit#gid=934712705"",""ESENCIAL!A6:BG""),15,FALSE))"),"")</f>
        <v/>
      </c>
    </row>
    <row r="383" spans="1:48" ht="15">
      <c r="A383" s="5"/>
      <c r="E383" s="66"/>
      <c r="F383" s="5" t="str">
        <f ca="1">IFERROR(__xludf.DUMMYFUNCTION("IFERROR(VLOOKUP(F444,IMPORTRANGE(""https://docs.google.com/spreadsheets/d/1Kvs4KS76FHFqLFIZfrDMff4kP08nblUkihrxltoGBjg/edit#gid=934712705"",""ESENCIAL!A6:BG""),3,FALSE))"),"")</f>
        <v/>
      </c>
      <c r="G383" s="5" t="str">
        <f ca="1">IFERROR(__xludf.DUMMYFUNCTION("IFERROR(VLOOKUP(F444,IMPORTRANGE(""https://docs.google.com/spreadsheets/d/1Kvs4KS76FHFqLFIZfrDMff4kP08nblUkihrxltoGBjg/edit#gid=934712705"",""ESENCIAL!A6:BG""),8,FALSE))"),"")</f>
        <v/>
      </c>
      <c r="K383" s="287"/>
      <c r="S383" s="66"/>
      <c r="T383" s="66"/>
      <c r="U383" s="66"/>
      <c r="AT383" s="41" t="str">
        <f>IF(D383&gt;0,IF(AND(#REF!=1,#REF!=1),"Procede_E_P","NO_CUMPLE"),"")</f>
        <v/>
      </c>
      <c r="AU383" s="5" t="str">
        <f ca="1">IFERROR(__xludf.DUMMYFUNCTION("IFERROR(VLOOKUP(E444&amp;F444,IMPORTRANGE(""https://docs.google.com/spreadsheets/d/1Uw7-A9f9R21vMXxHZFNpYNeKFtG8_yji4HS352LGlSQ/edit?pli=1#gid=0"",""1_ACUM!A4:S""),11,FALSE))"),"")</f>
        <v/>
      </c>
      <c r="AV383" s="42" t="str">
        <f ca="1">IFERROR(__xludf.DUMMYFUNCTION("IFERROR(VLOOKUP(F444,IMPORTRANGE(""https://docs.google.com/spreadsheets/d/1Kvs4KS76FHFqLFIZfrDMff4kP08nblUkihrxltoGBjg/edit#gid=934712705"",""ESENCIAL!A6:BG""),15,FALSE))"),"")</f>
        <v/>
      </c>
    </row>
    <row r="384" spans="1:48" ht="15">
      <c r="A384" s="5"/>
      <c r="E384" s="66"/>
      <c r="F384" s="5" t="str">
        <f ca="1">IFERROR(__xludf.DUMMYFUNCTION("IFERROR(VLOOKUP(F445,IMPORTRANGE(""https://docs.google.com/spreadsheets/d/1Kvs4KS76FHFqLFIZfrDMff4kP08nblUkihrxltoGBjg/edit#gid=934712705"",""ESENCIAL!A6:BG""),3,FALSE))"),"")</f>
        <v/>
      </c>
      <c r="G384" s="5" t="str">
        <f ca="1">IFERROR(__xludf.DUMMYFUNCTION("IFERROR(VLOOKUP(F445,IMPORTRANGE(""https://docs.google.com/spreadsheets/d/1Kvs4KS76FHFqLFIZfrDMff4kP08nblUkihrxltoGBjg/edit#gid=934712705"",""ESENCIAL!A6:BG""),8,FALSE))"),"")</f>
        <v/>
      </c>
      <c r="K384" s="287"/>
      <c r="S384" s="66"/>
      <c r="T384" s="66"/>
      <c r="U384" s="66"/>
      <c r="AT384" s="41" t="str">
        <f>IF(D384&gt;0,IF(AND(#REF!=1,#REF!=1),"Procede_E_P","NO_CUMPLE"),"")</f>
        <v/>
      </c>
      <c r="AU384" s="5" t="str">
        <f ca="1">IFERROR(__xludf.DUMMYFUNCTION("IFERROR(VLOOKUP(E445&amp;F445,IMPORTRANGE(""https://docs.google.com/spreadsheets/d/1Uw7-A9f9R21vMXxHZFNpYNeKFtG8_yji4HS352LGlSQ/edit?pli=1#gid=0"",""1_ACUM!A4:S""),11,FALSE))"),"")</f>
        <v/>
      </c>
      <c r="AV384" s="42" t="str">
        <f ca="1">IFERROR(__xludf.DUMMYFUNCTION("IFERROR(VLOOKUP(F445,IMPORTRANGE(""https://docs.google.com/spreadsheets/d/1Kvs4KS76FHFqLFIZfrDMff4kP08nblUkihrxltoGBjg/edit#gid=934712705"",""ESENCIAL!A6:BG""),15,FALSE))"),"")</f>
        <v/>
      </c>
    </row>
    <row r="385" spans="1:48" ht="15">
      <c r="A385" s="5"/>
      <c r="E385" s="66"/>
      <c r="F385" s="5" t="str">
        <f ca="1">IFERROR(__xludf.DUMMYFUNCTION("IFERROR(VLOOKUP(F446,IMPORTRANGE(""https://docs.google.com/spreadsheets/d/1Kvs4KS76FHFqLFIZfrDMff4kP08nblUkihrxltoGBjg/edit#gid=934712705"",""ESENCIAL!A6:BG""),3,FALSE))"),"")</f>
        <v/>
      </c>
      <c r="G385" s="5" t="str">
        <f ca="1">IFERROR(__xludf.DUMMYFUNCTION("IFERROR(VLOOKUP(F446,IMPORTRANGE(""https://docs.google.com/spreadsheets/d/1Kvs4KS76FHFqLFIZfrDMff4kP08nblUkihrxltoGBjg/edit#gid=934712705"",""ESENCIAL!A6:BG""),8,FALSE))"),"")</f>
        <v/>
      </c>
      <c r="K385" s="287"/>
      <c r="S385" s="66"/>
      <c r="T385" s="66"/>
      <c r="U385" s="66"/>
      <c r="AT385" s="41" t="str">
        <f>IF(D385&gt;0,IF(AND(#REF!=1,#REF!=1),"Procede_E_P","NO_CUMPLE"),"")</f>
        <v/>
      </c>
      <c r="AU385" s="5" t="str">
        <f ca="1">IFERROR(__xludf.DUMMYFUNCTION("IFERROR(VLOOKUP(E446&amp;F446,IMPORTRANGE(""https://docs.google.com/spreadsheets/d/1Uw7-A9f9R21vMXxHZFNpYNeKFtG8_yji4HS352LGlSQ/edit?pli=1#gid=0"",""1_ACUM!A4:S""),11,FALSE))"),"")</f>
        <v/>
      </c>
      <c r="AV385" s="42" t="str">
        <f ca="1">IFERROR(__xludf.DUMMYFUNCTION("IFERROR(VLOOKUP(F446,IMPORTRANGE(""https://docs.google.com/spreadsheets/d/1Kvs4KS76FHFqLFIZfrDMff4kP08nblUkihrxltoGBjg/edit#gid=934712705"",""ESENCIAL!A6:BG""),15,FALSE))"),"")</f>
        <v/>
      </c>
    </row>
    <row r="386" spans="1:48" ht="15">
      <c r="A386" s="5"/>
      <c r="E386" s="66"/>
      <c r="F386" s="5" t="str">
        <f ca="1">IFERROR(__xludf.DUMMYFUNCTION("IFERROR(VLOOKUP(F447,IMPORTRANGE(""https://docs.google.com/spreadsheets/d/1Kvs4KS76FHFqLFIZfrDMff4kP08nblUkihrxltoGBjg/edit#gid=934712705"",""ESENCIAL!A6:BG""),3,FALSE))"),"")</f>
        <v/>
      </c>
      <c r="G386" s="5" t="str">
        <f ca="1">IFERROR(__xludf.DUMMYFUNCTION("IFERROR(VLOOKUP(F447,IMPORTRANGE(""https://docs.google.com/spreadsheets/d/1Kvs4KS76FHFqLFIZfrDMff4kP08nblUkihrxltoGBjg/edit#gid=934712705"",""ESENCIAL!A6:BG""),8,FALSE))"),"")</f>
        <v/>
      </c>
      <c r="K386" s="287"/>
      <c r="S386" s="66"/>
      <c r="T386" s="66"/>
      <c r="U386" s="66"/>
      <c r="AT386" s="41" t="str">
        <f>IF(D386&gt;0,IF(AND(#REF!=1,#REF!=1),"Procede_E_P","NO_CUMPLE"),"")</f>
        <v/>
      </c>
      <c r="AU386" s="5" t="str">
        <f ca="1">IFERROR(__xludf.DUMMYFUNCTION("IFERROR(VLOOKUP(E447&amp;F447,IMPORTRANGE(""https://docs.google.com/spreadsheets/d/1Uw7-A9f9R21vMXxHZFNpYNeKFtG8_yji4HS352LGlSQ/edit?pli=1#gid=0"",""1_ACUM!A4:S""),11,FALSE))"),"")</f>
        <v/>
      </c>
      <c r="AV386" s="42" t="str">
        <f ca="1">IFERROR(__xludf.DUMMYFUNCTION("IFERROR(VLOOKUP(F447,IMPORTRANGE(""https://docs.google.com/spreadsheets/d/1Kvs4KS76FHFqLFIZfrDMff4kP08nblUkihrxltoGBjg/edit#gid=934712705"",""ESENCIAL!A6:BG""),15,FALSE))"),"")</f>
        <v/>
      </c>
    </row>
    <row r="387" spans="1:48" ht="15">
      <c r="A387" s="5"/>
      <c r="E387" s="66"/>
      <c r="F387" s="5" t="str">
        <f ca="1">IFERROR(__xludf.DUMMYFUNCTION("IFERROR(VLOOKUP(F448,IMPORTRANGE(""https://docs.google.com/spreadsheets/d/1Kvs4KS76FHFqLFIZfrDMff4kP08nblUkihrxltoGBjg/edit#gid=934712705"",""ESENCIAL!A6:BG""),3,FALSE))"),"")</f>
        <v/>
      </c>
      <c r="G387" s="5" t="str">
        <f ca="1">IFERROR(__xludf.DUMMYFUNCTION("IFERROR(VLOOKUP(F448,IMPORTRANGE(""https://docs.google.com/spreadsheets/d/1Kvs4KS76FHFqLFIZfrDMff4kP08nblUkihrxltoGBjg/edit#gid=934712705"",""ESENCIAL!A6:BG""),8,FALSE))"),"")</f>
        <v/>
      </c>
      <c r="K387" s="287"/>
      <c r="S387" s="66"/>
      <c r="T387" s="66"/>
      <c r="U387" s="66"/>
      <c r="AT387" s="41" t="str">
        <f>IF(D387&gt;0,IF(AND(#REF!=1,#REF!=1),"Procede_E_P","NO_CUMPLE"),"")</f>
        <v/>
      </c>
      <c r="AU387" s="5" t="str">
        <f ca="1">IFERROR(__xludf.DUMMYFUNCTION("IFERROR(VLOOKUP(E448&amp;F448,IMPORTRANGE(""https://docs.google.com/spreadsheets/d/1Uw7-A9f9R21vMXxHZFNpYNeKFtG8_yji4HS352LGlSQ/edit?pli=1#gid=0"",""1_ACUM!A4:S""),11,FALSE))"),"")</f>
        <v/>
      </c>
      <c r="AV387" s="42" t="str">
        <f ca="1">IFERROR(__xludf.DUMMYFUNCTION("IFERROR(VLOOKUP(F448,IMPORTRANGE(""https://docs.google.com/spreadsheets/d/1Kvs4KS76FHFqLFIZfrDMff4kP08nblUkihrxltoGBjg/edit#gid=934712705"",""ESENCIAL!A6:BG""),15,FALSE))"),"")</f>
        <v/>
      </c>
    </row>
    <row r="388" spans="1:48" ht="15">
      <c r="A388" s="5"/>
      <c r="E388" s="66"/>
      <c r="F388" s="5" t="str">
        <f ca="1">IFERROR(__xludf.DUMMYFUNCTION("IFERROR(VLOOKUP(F449,IMPORTRANGE(""https://docs.google.com/spreadsheets/d/1Kvs4KS76FHFqLFIZfrDMff4kP08nblUkihrxltoGBjg/edit#gid=934712705"",""ESENCIAL!A6:BG""),3,FALSE))"),"")</f>
        <v/>
      </c>
      <c r="G388" s="5" t="str">
        <f ca="1">IFERROR(__xludf.DUMMYFUNCTION("IFERROR(VLOOKUP(F449,IMPORTRANGE(""https://docs.google.com/spreadsheets/d/1Kvs4KS76FHFqLFIZfrDMff4kP08nblUkihrxltoGBjg/edit#gid=934712705"",""ESENCIAL!A6:BG""),8,FALSE))"),"")</f>
        <v/>
      </c>
      <c r="K388" s="287"/>
      <c r="S388" s="66"/>
      <c r="T388" s="66"/>
      <c r="U388" s="66"/>
      <c r="AT388" s="41" t="str">
        <f>IF(D388&gt;0,IF(AND(#REF!=1,#REF!=1),"Procede_E_P","NO_CUMPLE"),"")</f>
        <v/>
      </c>
      <c r="AU388" s="5" t="str">
        <f ca="1">IFERROR(__xludf.DUMMYFUNCTION("IFERROR(VLOOKUP(E449&amp;F449,IMPORTRANGE(""https://docs.google.com/spreadsheets/d/1Uw7-A9f9R21vMXxHZFNpYNeKFtG8_yji4HS352LGlSQ/edit?pli=1#gid=0"",""1_ACUM!A4:S""),11,FALSE))"),"")</f>
        <v/>
      </c>
      <c r="AV388" s="42" t="str">
        <f ca="1">IFERROR(__xludf.DUMMYFUNCTION("IFERROR(VLOOKUP(F449,IMPORTRANGE(""https://docs.google.com/spreadsheets/d/1Kvs4KS76FHFqLFIZfrDMff4kP08nblUkihrxltoGBjg/edit#gid=934712705"",""ESENCIAL!A6:BG""),15,FALSE))"),"")</f>
        <v/>
      </c>
    </row>
    <row r="389" spans="1:48" ht="15">
      <c r="A389" s="5"/>
      <c r="E389" s="66"/>
      <c r="F389" s="5" t="str">
        <f ca="1">IFERROR(__xludf.DUMMYFUNCTION("IFERROR(VLOOKUP(F450,IMPORTRANGE(""https://docs.google.com/spreadsheets/d/1Kvs4KS76FHFqLFIZfrDMff4kP08nblUkihrxltoGBjg/edit#gid=934712705"",""ESENCIAL!A6:BG""),3,FALSE))"),"")</f>
        <v/>
      </c>
      <c r="G389" s="5" t="str">
        <f ca="1">IFERROR(__xludf.DUMMYFUNCTION("IFERROR(VLOOKUP(F450,IMPORTRANGE(""https://docs.google.com/spreadsheets/d/1Kvs4KS76FHFqLFIZfrDMff4kP08nblUkihrxltoGBjg/edit#gid=934712705"",""ESENCIAL!A6:BG""),8,FALSE))"),"")</f>
        <v/>
      </c>
      <c r="K389" s="287"/>
      <c r="S389" s="66"/>
      <c r="T389" s="66"/>
      <c r="U389" s="66"/>
      <c r="AT389" s="41" t="str">
        <f>IF(D389&gt;0,IF(AND(#REF!=1,#REF!=1),"Procede_E_P","NO_CUMPLE"),"")</f>
        <v/>
      </c>
      <c r="AU389" s="5" t="str">
        <f ca="1">IFERROR(__xludf.DUMMYFUNCTION("IFERROR(VLOOKUP(E450&amp;F450,IMPORTRANGE(""https://docs.google.com/spreadsheets/d/1Uw7-A9f9R21vMXxHZFNpYNeKFtG8_yji4HS352LGlSQ/edit?pli=1#gid=0"",""1_ACUM!A4:S""),11,FALSE))"),"")</f>
        <v/>
      </c>
      <c r="AV389" s="42" t="str">
        <f ca="1">IFERROR(__xludf.DUMMYFUNCTION("IFERROR(VLOOKUP(F450,IMPORTRANGE(""https://docs.google.com/spreadsheets/d/1Kvs4KS76FHFqLFIZfrDMff4kP08nblUkihrxltoGBjg/edit#gid=934712705"",""ESENCIAL!A6:BG""),15,FALSE))"),"")</f>
        <v/>
      </c>
    </row>
    <row r="390" spans="1:48" ht="15">
      <c r="A390" s="5"/>
      <c r="E390" s="66"/>
      <c r="F390" s="5" t="str">
        <f ca="1">IFERROR(__xludf.DUMMYFUNCTION("IFERROR(VLOOKUP(F451,IMPORTRANGE(""https://docs.google.com/spreadsheets/d/1Kvs4KS76FHFqLFIZfrDMff4kP08nblUkihrxltoGBjg/edit#gid=934712705"",""ESENCIAL!A6:BG""),3,FALSE))"),"")</f>
        <v/>
      </c>
      <c r="G390" s="5" t="str">
        <f ca="1">IFERROR(__xludf.DUMMYFUNCTION("IFERROR(VLOOKUP(F451,IMPORTRANGE(""https://docs.google.com/spreadsheets/d/1Kvs4KS76FHFqLFIZfrDMff4kP08nblUkihrxltoGBjg/edit#gid=934712705"",""ESENCIAL!A6:BG""),8,FALSE))"),"")</f>
        <v/>
      </c>
      <c r="K390" s="287"/>
      <c r="S390" s="66"/>
      <c r="T390" s="66"/>
      <c r="U390" s="66"/>
      <c r="AT390" s="41" t="str">
        <f>IF(D390&gt;0,IF(AND(#REF!=1,#REF!=1),"Procede_E_P","NO_CUMPLE"),"")</f>
        <v/>
      </c>
      <c r="AU390" s="5" t="str">
        <f ca="1">IFERROR(__xludf.DUMMYFUNCTION("IFERROR(VLOOKUP(E451&amp;F451,IMPORTRANGE(""https://docs.google.com/spreadsheets/d/1Uw7-A9f9R21vMXxHZFNpYNeKFtG8_yji4HS352LGlSQ/edit?pli=1#gid=0"",""1_ACUM!A4:S""),11,FALSE))"),"")</f>
        <v/>
      </c>
      <c r="AV390" s="42" t="str">
        <f ca="1">IFERROR(__xludf.DUMMYFUNCTION("IFERROR(VLOOKUP(F451,IMPORTRANGE(""https://docs.google.com/spreadsheets/d/1Kvs4KS76FHFqLFIZfrDMff4kP08nblUkihrxltoGBjg/edit#gid=934712705"",""ESENCIAL!A6:BG""),15,FALSE))"),"")</f>
        <v/>
      </c>
    </row>
    <row r="391" spans="1:48" ht="15">
      <c r="A391" s="5"/>
      <c r="E391" s="66"/>
      <c r="F391" s="5" t="str">
        <f ca="1">IFERROR(__xludf.DUMMYFUNCTION("IFERROR(VLOOKUP(F452,IMPORTRANGE(""https://docs.google.com/spreadsheets/d/1Kvs4KS76FHFqLFIZfrDMff4kP08nblUkihrxltoGBjg/edit#gid=934712705"",""ESENCIAL!A6:BG""),3,FALSE))"),"")</f>
        <v/>
      </c>
      <c r="G391" s="5" t="str">
        <f ca="1">IFERROR(__xludf.DUMMYFUNCTION("IFERROR(VLOOKUP(F452,IMPORTRANGE(""https://docs.google.com/spreadsheets/d/1Kvs4KS76FHFqLFIZfrDMff4kP08nblUkihrxltoGBjg/edit#gid=934712705"",""ESENCIAL!A6:BG""),8,FALSE))"),"")</f>
        <v/>
      </c>
      <c r="K391" s="287"/>
      <c r="S391" s="66"/>
      <c r="T391" s="66"/>
      <c r="U391" s="66"/>
      <c r="AT391" s="41" t="str">
        <f>IF(D391&gt;0,IF(AND(#REF!=1,#REF!=1),"Procede_E_P","NO_CUMPLE"),"")</f>
        <v/>
      </c>
      <c r="AU391" s="5" t="str">
        <f ca="1">IFERROR(__xludf.DUMMYFUNCTION("IFERROR(VLOOKUP(E452&amp;F452,IMPORTRANGE(""https://docs.google.com/spreadsheets/d/1Uw7-A9f9R21vMXxHZFNpYNeKFtG8_yji4HS352LGlSQ/edit?pli=1#gid=0"",""1_ACUM!A4:S""),11,FALSE))"),"")</f>
        <v/>
      </c>
      <c r="AV391" s="42" t="str">
        <f ca="1">IFERROR(__xludf.DUMMYFUNCTION("IFERROR(VLOOKUP(F452,IMPORTRANGE(""https://docs.google.com/spreadsheets/d/1Kvs4KS76FHFqLFIZfrDMff4kP08nblUkihrxltoGBjg/edit#gid=934712705"",""ESENCIAL!A6:BG""),15,FALSE))"),"")</f>
        <v/>
      </c>
    </row>
    <row r="392" spans="1:48" ht="15">
      <c r="A392" s="5"/>
      <c r="E392" s="66"/>
      <c r="F392" s="5" t="str">
        <f ca="1">IFERROR(__xludf.DUMMYFUNCTION("IFERROR(VLOOKUP(F453,IMPORTRANGE(""https://docs.google.com/spreadsheets/d/1Kvs4KS76FHFqLFIZfrDMff4kP08nblUkihrxltoGBjg/edit#gid=934712705"",""ESENCIAL!A6:BG""),3,FALSE))"),"")</f>
        <v/>
      </c>
      <c r="G392" s="5" t="str">
        <f ca="1">IFERROR(__xludf.DUMMYFUNCTION("IFERROR(VLOOKUP(F453,IMPORTRANGE(""https://docs.google.com/spreadsheets/d/1Kvs4KS76FHFqLFIZfrDMff4kP08nblUkihrxltoGBjg/edit#gid=934712705"",""ESENCIAL!A6:BG""),8,FALSE))"),"")</f>
        <v/>
      </c>
      <c r="K392" s="287"/>
      <c r="S392" s="66"/>
      <c r="T392" s="66"/>
      <c r="U392" s="66"/>
      <c r="AT392" s="41" t="str">
        <f>IF(D392&gt;0,IF(AND(#REF!=1,#REF!=1),"Procede_E_P","NO_CUMPLE"),"")</f>
        <v/>
      </c>
      <c r="AU392" s="5" t="str">
        <f ca="1">IFERROR(__xludf.DUMMYFUNCTION("IFERROR(VLOOKUP(E453&amp;F453,IMPORTRANGE(""https://docs.google.com/spreadsheets/d/1Uw7-A9f9R21vMXxHZFNpYNeKFtG8_yji4HS352LGlSQ/edit?pli=1#gid=0"",""1_ACUM!A4:S""),11,FALSE))"),"")</f>
        <v/>
      </c>
      <c r="AV392" s="42" t="str">
        <f ca="1">IFERROR(__xludf.DUMMYFUNCTION("IFERROR(VLOOKUP(F453,IMPORTRANGE(""https://docs.google.com/spreadsheets/d/1Kvs4KS76FHFqLFIZfrDMff4kP08nblUkihrxltoGBjg/edit#gid=934712705"",""ESENCIAL!A6:BG""),15,FALSE))"),"")</f>
        <v/>
      </c>
    </row>
    <row r="393" spans="1:48" ht="15">
      <c r="A393" s="5"/>
      <c r="E393" s="66"/>
      <c r="F393" s="5" t="str">
        <f ca="1">IFERROR(__xludf.DUMMYFUNCTION("IFERROR(VLOOKUP(F454,IMPORTRANGE(""https://docs.google.com/spreadsheets/d/1Kvs4KS76FHFqLFIZfrDMff4kP08nblUkihrxltoGBjg/edit#gid=934712705"",""ESENCIAL!A6:BG""),3,FALSE))"),"")</f>
        <v/>
      </c>
      <c r="G393" s="5" t="str">
        <f ca="1">IFERROR(__xludf.DUMMYFUNCTION("IFERROR(VLOOKUP(F454,IMPORTRANGE(""https://docs.google.com/spreadsheets/d/1Kvs4KS76FHFqLFIZfrDMff4kP08nblUkihrxltoGBjg/edit#gid=934712705"",""ESENCIAL!A6:BG""),8,FALSE))"),"")</f>
        <v/>
      </c>
      <c r="K393" s="287"/>
      <c r="S393" s="66"/>
      <c r="T393" s="66"/>
      <c r="U393" s="66"/>
      <c r="AT393" s="41" t="str">
        <f>IF(D393&gt;0,IF(AND(#REF!=1,#REF!=1),"Procede_E_P","NO_CUMPLE"),"")</f>
        <v/>
      </c>
      <c r="AU393" s="5" t="str">
        <f ca="1">IFERROR(__xludf.DUMMYFUNCTION("IFERROR(VLOOKUP(E454&amp;F454,IMPORTRANGE(""https://docs.google.com/spreadsheets/d/1Uw7-A9f9R21vMXxHZFNpYNeKFtG8_yji4HS352LGlSQ/edit?pli=1#gid=0"",""1_ACUM!A4:S""),11,FALSE))"),"")</f>
        <v/>
      </c>
      <c r="AV393" s="42" t="str">
        <f ca="1">IFERROR(__xludf.DUMMYFUNCTION("IFERROR(VLOOKUP(F454,IMPORTRANGE(""https://docs.google.com/spreadsheets/d/1Kvs4KS76FHFqLFIZfrDMff4kP08nblUkihrxltoGBjg/edit#gid=934712705"",""ESENCIAL!A6:BG""),15,FALSE))"),"")</f>
        <v/>
      </c>
    </row>
    <row r="394" spans="1:48" ht="15">
      <c r="A394" s="5"/>
      <c r="E394" s="66"/>
      <c r="F394" s="5" t="str">
        <f ca="1">IFERROR(__xludf.DUMMYFUNCTION("IFERROR(VLOOKUP(F455,IMPORTRANGE(""https://docs.google.com/spreadsheets/d/1Kvs4KS76FHFqLFIZfrDMff4kP08nblUkihrxltoGBjg/edit#gid=934712705"",""ESENCIAL!A6:BG""),3,FALSE))"),"")</f>
        <v/>
      </c>
      <c r="G394" s="5" t="str">
        <f ca="1">IFERROR(__xludf.DUMMYFUNCTION("IFERROR(VLOOKUP(F455,IMPORTRANGE(""https://docs.google.com/spreadsheets/d/1Kvs4KS76FHFqLFIZfrDMff4kP08nblUkihrxltoGBjg/edit#gid=934712705"",""ESENCIAL!A6:BG""),8,FALSE))"),"")</f>
        <v/>
      </c>
      <c r="K394" s="287"/>
      <c r="S394" s="66"/>
      <c r="T394" s="66"/>
      <c r="U394" s="66"/>
      <c r="AT394" s="41" t="str">
        <f>IF(D394&gt;0,IF(AND(#REF!=1,#REF!=1),"Procede_E_P","NO_CUMPLE"),"")</f>
        <v/>
      </c>
      <c r="AU394" s="5" t="str">
        <f ca="1">IFERROR(__xludf.DUMMYFUNCTION("IFERROR(VLOOKUP(E455&amp;F455,IMPORTRANGE(""https://docs.google.com/spreadsheets/d/1Uw7-A9f9R21vMXxHZFNpYNeKFtG8_yji4HS352LGlSQ/edit?pli=1#gid=0"",""1_ACUM!A4:S""),11,FALSE))"),"")</f>
        <v/>
      </c>
      <c r="AV394" s="42" t="str">
        <f ca="1">IFERROR(__xludf.DUMMYFUNCTION("IFERROR(VLOOKUP(F455,IMPORTRANGE(""https://docs.google.com/spreadsheets/d/1Kvs4KS76FHFqLFIZfrDMff4kP08nblUkihrxltoGBjg/edit#gid=934712705"",""ESENCIAL!A6:BG""),15,FALSE))"),"")</f>
        <v/>
      </c>
    </row>
    <row r="395" spans="1:48" ht="15">
      <c r="A395" s="5"/>
      <c r="E395" s="66"/>
      <c r="F395" s="5" t="str">
        <f ca="1">IFERROR(__xludf.DUMMYFUNCTION("IFERROR(VLOOKUP(F456,IMPORTRANGE(""https://docs.google.com/spreadsheets/d/1Kvs4KS76FHFqLFIZfrDMff4kP08nblUkihrxltoGBjg/edit#gid=934712705"",""ESENCIAL!A6:BG""),3,FALSE))"),"")</f>
        <v/>
      </c>
      <c r="G395" s="5" t="str">
        <f ca="1">IFERROR(__xludf.DUMMYFUNCTION("IFERROR(VLOOKUP(F456,IMPORTRANGE(""https://docs.google.com/spreadsheets/d/1Kvs4KS76FHFqLFIZfrDMff4kP08nblUkihrxltoGBjg/edit#gid=934712705"",""ESENCIAL!A6:BG""),8,FALSE))"),"")</f>
        <v/>
      </c>
      <c r="K395" s="287"/>
      <c r="S395" s="66"/>
      <c r="T395" s="66"/>
      <c r="U395" s="66"/>
      <c r="AT395" s="41" t="str">
        <f>IF(D395&gt;0,IF(AND(#REF!=1,#REF!=1),"Procede_E_P","NO_CUMPLE"),"")</f>
        <v/>
      </c>
      <c r="AU395" s="5" t="str">
        <f ca="1">IFERROR(__xludf.DUMMYFUNCTION("IFERROR(VLOOKUP(E456&amp;F456,IMPORTRANGE(""https://docs.google.com/spreadsheets/d/1Uw7-A9f9R21vMXxHZFNpYNeKFtG8_yji4HS352LGlSQ/edit?pli=1#gid=0"",""1_ACUM!A4:S""),11,FALSE))"),"")</f>
        <v/>
      </c>
      <c r="AV395" s="42" t="str">
        <f ca="1">IFERROR(__xludf.DUMMYFUNCTION("IFERROR(VLOOKUP(F456,IMPORTRANGE(""https://docs.google.com/spreadsheets/d/1Kvs4KS76FHFqLFIZfrDMff4kP08nblUkihrxltoGBjg/edit#gid=934712705"",""ESENCIAL!A6:BG""),15,FALSE))"),"")</f>
        <v/>
      </c>
    </row>
    <row r="396" spans="1:48" ht="15">
      <c r="A396" s="5"/>
      <c r="E396" s="66"/>
      <c r="F396" s="5" t="str">
        <f ca="1">IFERROR(__xludf.DUMMYFUNCTION("IFERROR(VLOOKUP(F457,IMPORTRANGE(""https://docs.google.com/spreadsheets/d/1Kvs4KS76FHFqLFIZfrDMff4kP08nblUkihrxltoGBjg/edit#gid=934712705"",""ESENCIAL!A6:BG""),3,FALSE))"),"")</f>
        <v/>
      </c>
      <c r="G396" s="5" t="str">
        <f ca="1">IFERROR(__xludf.DUMMYFUNCTION("IFERROR(VLOOKUP(F457,IMPORTRANGE(""https://docs.google.com/spreadsheets/d/1Kvs4KS76FHFqLFIZfrDMff4kP08nblUkihrxltoGBjg/edit#gid=934712705"",""ESENCIAL!A6:BG""),8,FALSE))"),"")</f>
        <v/>
      </c>
      <c r="K396" s="287"/>
      <c r="S396" s="66"/>
      <c r="T396" s="66"/>
      <c r="U396" s="66"/>
      <c r="AT396" s="41" t="str">
        <f>IF(D396&gt;0,IF(AND(#REF!=1,#REF!=1),"Procede_E_P","NO_CUMPLE"),"")</f>
        <v/>
      </c>
      <c r="AU396" s="5" t="str">
        <f ca="1">IFERROR(__xludf.DUMMYFUNCTION("IFERROR(VLOOKUP(E457&amp;F457,IMPORTRANGE(""https://docs.google.com/spreadsheets/d/1Uw7-A9f9R21vMXxHZFNpYNeKFtG8_yji4HS352LGlSQ/edit?pli=1#gid=0"",""1_ACUM!A4:S""),11,FALSE))"),"")</f>
        <v/>
      </c>
      <c r="AV396" s="42" t="str">
        <f ca="1">IFERROR(__xludf.DUMMYFUNCTION("IFERROR(VLOOKUP(F457,IMPORTRANGE(""https://docs.google.com/spreadsheets/d/1Kvs4KS76FHFqLFIZfrDMff4kP08nblUkihrxltoGBjg/edit#gid=934712705"",""ESENCIAL!A6:BG""),15,FALSE))"),"")</f>
        <v/>
      </c>
    </row>
    <row r="397" spans="1:48" ht="15">
      <c r="A397" s="5"/>
      <c r="E397" s="66"/>
      <c r="F397" s="5" t="str">
        <f ca="1">IFERROR(__xludf.DUMMYFUNCTION("IFERROR(VLOOKUP(F458,IMPORTRANGE(""https://docs.google.com/spreadsheets/d/1Kvs4KS76FHFqLFIZfrDMff4kP08nblUkihrxltoGBjg/edit#gid=934712705"",""ESENCIAL!A6:BG""),3,FALSE))"),"")</f>
        <v/>
      </c>
      <c r="G397" s="5" t="str">
        <f ca="1">IFERROR(__xludf.DUMMYFUNCTION("IFERROR(VLOOKUP(F458,IMPORTRANGE(""https://docs.google.com/spreadsheets/d/1Kvs4KS76FHFqLFIZfrDMff4kP08nblUkihrxltoGBjg/edit#gid=934712705"",""ESENCIAL!A6:BG""),8,FALSE))"),"")</f>
        <v/>
      </c>
      <c r="K397" s="287"/>
      <c r="S397" s="66"/>
      <c r="T397" s="66"/>
      <c r="U397" s="66"/>
      <c r="AT397" s="41" t="str">
        <f>IF(D397&gt;0,IF(AND(#REF!=1,#REF!=1),"Procede_E_P","NO_CUMPLE"),"")</f>
        <v/>
      </c>
      <c r="AU397" s="5" t="str">
        <f ca="1">IFERROR(__xludf.DUMMYFUNCTION("IFERROR(VLOOKUP(E458&amp;F458,IMPORTRANGE(""https://docs.google.com/spreadsheets/d/1Uw7-A9f9R21vMXxHZFNpYNeKFtG8_yji4HS352LGlSQ/edit?pli=1#gid=0"",""1_ACUM!A4:S""),11,FALSE))"),"")</f>
        <v/>
      </c>
      <c r="AV397" s="42" t="str">
        <f ca="1">IFERROR(__xludf.DUMMYFUNCTION("IFERROR(VLOOKUP(F458,IMPORTRANGE(""https://docs.google.com/spreadsheets/d/1Kvs4KS76FHFqLFIZfrDMff4kP08nblUkihrxltoGBjg/edit#gid=934712705"",""ESENCIAL!A6:BG""),15,FALSE))"),"")</f>
        <v/>
      </c>
    </row>
    <row r="398" spans="1:48" ht="15">
      <c r="A398" s="5"/>
      <c r="E398" s="66"/>
      <c r="F398" s="5" t="str">
        <f ca="1">IFERROR(__xludf.DUMMYFUNCTION("IFERROR(VLOOKUP(F459,IMPORTRANGE(""https://docs.google.com/spreadsheets/d/1Kvs4KS76FHFqLFIZfrDMff4kP08nblUkihrxltoGBjg/edit#gid=934712705"",""ESENCIAL!A6:BG""),3,FALSE))"),"")</f>
        <v/>
      </c>
      <c r="G398" s="5" t="str">
        <f ca="1">IFERROR(__xludf.DUMMYFUNCTION("IFERROR(VLOOKUP(F459,IMPORTRANGE(""https://docs.google.com/spreadsheets/d/1Kvs4KS76FHFqLFIZfrDMff4kP08nblUkihrxltoGBjg/edit#gid=934712705"",""ESENCIAL!A6:BG""),8,FALSE))"),"")</f>
        <v/>
      </c>
      <c r="K398" s="287"/>
      <c r="S398" s="66"/>
      <c r="T398" s="66"/>
      <c r="U398" s="66"/>
      <c r="AT398" s="41" t="str">
        <f>IF(D398&gt;0,IF(AND(#REF!=1,#REF!=1),"Procede_E_P","NO_CUMPLE"),"")</f>
        <v/>
      </c>
      <c r="AU398" s="5" t="str">
        <f ca="1">IFERROR(__xludf.DUMMYFUNCTION("IFERROR(VLOOKUP(E459&amp;F459,IMPORTRANGE(""https://docs.google.com/spreadsheets/d/1Uw7-A9f9R21vMXxHZFNpYNeKFtG8_yji4HS352LGlSQ/edit?pli=1#gid=0"",""1_ACUM!A4:S""),11,FALSE))"),"")</f>
        <v/>
      </c>
      <c r="AV398" s="42" t="str">
        <f ca="1">IFERROR(__xludf.DUMMYFUNCTION("IFERROR(VLOOKUP(F459,IMPORTRANGE(""https://docs.google.com/spreadsheets/d/1Kvs4KS76FHFqLFIZfrDMff4kP08nblUkihrxltoGBjg/edit#gid=934712705"",""ESENCIAL!A6:BG""),15,FALSE))"),"")</f>
        <v/>
      </c>
    </row>
    <row r="399" spans="1:48" ht="15">
      <c r="A399" s="5"/>
      <c r="E399" s="66"/>
      <c r="F399" s="5" t="str">
        <f ca="1">IFERROR(__xludf.DUMMYFUNCTION("IFERROR(VLOOKUP(F460,IMPORTRANGE(""https://docs.google.com/spreadsheets/d/1Kvs4KS76FHFqLFIZfrDMff4kP08nblUkihrxltoGBjg/edit#gid=934712705"",""ESENCIAL!A6:BG""),3,FALSE))"),"")</f>
        <v/>
      </c>
      <c r="G399" s="5" t="str">
        <f ca="1">IFERROR(__xludf.DUMMYFUNCTION("IFERROR(VLOOKUP(F460,IMPORTRANGE(""https://docs.google.com/spreadsheets/d/1Kvs4KS76FHFqLFIZfrDMff4kP08nblUkihrxltoGBjg/edit#gid=934712705"",""ESENCIAL!A6:BG""),8,FALSE))"),"")</f>
        <v/>
      </c>
      <c r="K399" s="287"/>
      <c r="S399" s="66"/>
      <c r="T399" s="66"/>
      <c r="U399" s="66"/>
      <c r="AT399" s="41" t="str">
        <f>IF(D399&gt;0,IF(AND(#REF!=1,#REF!=1),"Procede_E_P","NO_CUMPLE"),"")</f>
        <v/>
      </c>
      <c r="AU399" s="5" t="str">
        <f ca="1">IFERROR(__xludf.DUMMYFUNCTION("IFERROR(VLOOKUP(E460&amp;F460,IMPORTRANGE(""https://docs.google.com/spreadsheets/d/1Uw7-A9f9R21vMXxHZFNpYNeKFtG8_yji4HS352LGlSQ/edit?pli=1#gid=0"",""1_ACUM!A4:S""),11,FALSE))"),"")</f>
        <v/>
      </c>
      <c r="AV399" s="42" t="str">
        <f ca="1">IFERROR(__xludf.DUMMYFUNCTION("IFERROR(VLOOKUP(F460,IMPORTRANGE(""https://docs.google.com/spreadsheets/d/1Kvs4KS76FHFqLFIZfrDMff4kP08nblUkihrxltoGBjg/edit#gid=934712705"",""ESENCIAL!A6:BG""),15,FALSE))"),"")</f>
        <v/>
      </c>
    </row>
    <row r="400" spans="1:48" ht="15">
      <c r="A400" s="5"/>
      <c r="E400" s="66"/>
      <c r="F400" s="5" t="str">
        <f ca="1">IFERROR(__xludf.DUMMYFUNCTION("IFERROR(VLOOKUP(F461,IMPORTRANGE(""https://docs.google.com/spreadsheets/d/1Kvs4KS76FHFqLFIZfrDMff4kP08nblUkihrxltoGBjg/edit#gid=934712705"",""ESENCIAL!A6:BG""),3,FALSE))"),"")</f>
        <v/>
      </c>
      <c r="G400" s="5" t="str">
        <f ca="1">IFERROR(__xludf.DUMMYFUNCTION("IFERROR(VLOOKUP(F461,IMPORTRANGE(""https://docs.google.com/spreadsheets/d/1Kvs4KS76FHFqLFIZfrDMff4kP08nblUkihrxltoGBjg/edit#gid=934712705"",""ESENCIAL!A6:BG""),8,FALSE))"),"")</f>
        <v/>
      </c>
      <c r="K400" s="287"/>
      <c r="S400" s="66"/>
      <c r="T400" s="66"/>
      <c r="U400" s="66"/>
      <c r="AT400" s="41" t="str">
        <f>IF(D400&gt;0,IF(AND(#REF!=1,#REF!=1),"Procede_E_P","NO_CUMPLE"),"")</f>
        <v/>
      </c>
      <c r="AU400" s="5" t="str">
        <f ca="1">IFERROR(__xludf.DUMMYFUNCTION("IFERROR(VLOOKUP(E461&amp;F461,IMPORTRANGE(""https://docs.google.com/spreadsheets/d/1Uw7-A9f9R21vMXxHZFNpYNeKFtG8_yji4HS352LGlSQ/edit?pli=1#gid=0"",""1_ACUM!A4:S""),11,FALSE))"),"")</f>
        <v/>
      </c>
      <c r="AV400" s="42" t="str">
        <f ca="1">IFERROR(__xludf.DUMMYFUNCTION("IFERROR(VLOOKUP(F461,IMPORTRANGE(""https://docs.google.com/spreadsheets/d/1Kvs4KS76FHFqLFIZfrDMff4kP08nblUkihrxltoGBjg/edit#gid=934712705"",""ESENCIAL!A6:BG""),15,FALSE))"),"")</f>
        <v/>
      </c>
    </row>
    <row r="401" spans="1:48" ht="15">
      <c r="A401" s="5"/>
      <c r="E401" s="66"/>
      <c r="F401" s="5" t="str">
        <f ca="1">IFERROR(__xludf.DUMMYFUNCTION("IFERROR(VLOOKUP(F462,IMPORTRANGE(""https://docs.google.com/spreadsheets/d/1Kvs4KS76FHFqLFIZfrDMff4kP08nblUkihrxltoGBjg/edit#gid=934712705"",""ESENCIAL!A6:BG""),3,FALSE))"),"")</f>
        <v/>
      </c>
      <c r="G401" s="5" t="str">
        <f ca="1">IFERROR(__xludf.DUMMYFUNCTION("IFERROR(VLOOKUP(F462,IMPORTRANGE(""https://docs.google.com/spreadsheets/d/1Kvs4KS76FHFqLFIZfrDMff4kP08nblUkihrxltoGBjg/edit#gid=934712705"",""ESENCIAL!A6:BG""),8,FALSE))"),"")</f>
        <v/>
      </c>
      <c r="K401" s="287"/>
      <c r="S401" s="66"/>
      <c r="T401" s="66"/>
      <c r="U401" s="66"/>
      <c r="AT401" s="41" t="str">
        <f>IF(D401&gt;0,IF(AND(#REF!=1,#REF!=1),"Procede_E_P","NO_CUMPLE"),"")</f>
        <v/>
      </c>
      <c r="AU401" s="5" t="str">
        <f ca="1">IFERROR(__xludf.DUMMYFUNCTION("IFERROR(VLOOKUP(E462&amp;F462,IMPORTRANGE(""https://docs.google.com/spreadsheets/d/1Uw7-A9f9R21vMXxHZFNpYNeKFtG8_yji4HS352LGlSQ/edit?pli=1#gid=0"",""1_ACUM!A4:S""),11,FALSE))"),"")</f>
        <v/>
      </c>
      <c r="AV401" s="42" t="str">
        <f ca="1">IFERROR(__xludf.DUMMYFUNCTION("IFERROR(VLOOKUP(F462,IMPORTRANGE(""https://docs.google.com/spreadsheets/d/1Kvs4KS76FHFqLFIZfrDMff4kP08nblUkihrxltoGBjg/edit#gid=934712705"",""ESENCIAL!A6:BG""),15,FALSE))"),"")</f>
        <v/>
      </c>
    </row>
    <row r="402" spans="1:48" ht="15">
      <c r="A402" s="5"/>
      <c r="E402" s="66"/>
      <c r="F402" s="5" t="str">
        <f ca="1">IFERROR(__xludf.DUMMYFUNCTION("IFERROR(VLOOKUP(F463,IMPORTRANGE(""https://docs.google.com/spreadsheets/d/1Kvs4KS76FHFqLFIZfrDMff4kP08nblUkihrxltoGBjg/edit#gid=934712705"",""ESENCIAL!A6:BG""),3,FALSE))"),"")</f>
        <v/>
      </c>
      <c r="G402" s="5" t="str">
        <f ca="1">IFERROR(__xludf.DUMMYFUNCTION("IFERROR(VLOOKUP(F463,IMPORTRANGE(""https://docs.google.com/spreadsheets/d/1Kvs4KS76FHFqLFIZfrDMff4kP08nblUkihrxltoGBjg/edit#gid=934712705"",""ESENCIAL!A6:BG""),8,FALSE))"),"")</f>
        <v/>
      </c>
      <c r="K402" s="287"/>
      <c r="S402" s="66"/>
      <c r="T402" s="66"/>
      <c r="U402" s="66"/>
      <c r="AT402" s="41" t="str">
        <f>IF(D402&gt;0,IF(AND(#REF!=1,#REF!=1),"Procede_E_P","NO_CUMPLE"),"")</f>
        <v/>
      </c>
      <c r="AU402" s="5" t="str">
        <f ca="1">IFERROR(__xludf.DUMMYFUNCTION("IFERROR(VLOOKUP(E463&amp;F463,IMPORTRANGE(""https://docs.google.com/spreadsheets/d/1Uw7-A9f9R21vMXxHZFNpYNeKFtG8_yji4HS352LGlSQ/edit?pli=1#gid=0"",""1_ACUM!A4:S""),11,FALSE))"),"")</f>
        <v/>
      </c>
      <c r="AV402" s="42" t="str">
        <f ca="1">IFERROR(__xludf.DUMMYFUNCTION("IFERROR(VLOOKUP(F463,IMPORTRANGE(""https://docs.google.com/spreadsheets/d/1Kvs4KS76FHFqLFIZfrDMff4kP08nblUkihrxltoGBjg/edit#gid=934712705"",""ESENCIAL!A6:BG""),15,FALSE))"),"")</f>
        <v/>
      </c>
    </row>
    <row r="403" spans="1:48" ht="15">
      <c r="A403" s="5"/>
      <c r="E403" s="66"/>
      <c r="F403" s="5" t="str">
        <f ca="1">IFERROR(__xludf.DUMMYFUNCTION("IFERROR(VLOOKUP(F464,IMPORTRANGE(""https://docs.google.com/spreadsheets/d/1Kvs4KS76FHFqLFIZfrDMff4kP08nblUkihrxltoGBjg/edit#gid=934712705"",""ESENCIAL!A6:BG""),3,FALSE))"),"")</f>
        <v/>
      </c>
      <c r="G403" s="5" t="str">
        <f ca="1">IFERROR(__xludf.DUMMYFUNCTION("IFERROR(VLOOKUP(F464,IMPORTRANGE(""https://docs.google.com/spreadsheets/d/1Kvs4KS76FHFqLFIZfrDMff4kP08nblUkihrxltoGBjg/edit#gid=934712705"",""ESENCIAL!A6:BG""),8,FALSE))"),"")</f>
        <v/>
      </c>
      <c r="K403" s="287"/>
      <c r="S403" s="66"/>
      <c r="T403" s="66"/>
      <c r="U403" s="66"/>
      <c r="AT403" s="41" t="str">
        <f>IF(D403&gt;0,IF(AND(#REF!=1,#REF!=1),"Procede_E_P","NO_CUMPLE"),"")</f>
        <v/>
      </c>
      <c r="AU403" s="5" t="str">
        <f ca="1">IFERROR(__xludf.DUMMYFUNCTION("IFERROR(VLOOKUP(E464&amp;F464,IMPORTRANGE(""https://docs.google.com/spreadsheets/d/1Uw7-A9f9R21vMXxHZFNpYNeKFtG8_yji4HS352LGlSQ/edit?pli=1#gid=0"",""1_ACUM!A4:S""),11,FALSE))"),"")</f>
        <v/>
      </c>
      <c r="AV403" s="42" t="str">
        <f ca="1">IFERROR(__xludf.DUMMYFUNCTION("IFERROR(VLOOKUP(F464,IMPORTRANGE(""https://docs.google.com/spreadsheets/d/1Kvs4KS76FHFqLFIZfrDMff4kP08nblUkihrxltoGBjg/edit#gid=934712705"",""ESENCIAL!A6:BG""),15,FALSE))"),"")</f>
        <v/>
      </c>
    </row>
    <row r="404" spans="1:48" ht="15">
      <c r="A404" s="5"/>
      <c r="E404" s="66"/>
      <c r="F404" s="5" t="str">
        <f ca="1">IFERROR(__xludf.DUMMYFUNCTION("IFERROR(VLOOKUP(F465,IMPORTRANGE(""https://docs.google.com/spreadsheets/d/1Kvs4KS76FHFqLFIZfrDMff4kP08nblUkihrxltoGBjg/edit#gid=934712705"",""ESENCIAL!A6:BG""),3,FALSE))"),"")</f>
        <v/>
      </c>
      <c r="G404" s="5" t="str">
        <f ca="1">IFERROR(__xludf.DUMMYFUNCTION("IFERROR(VLOOKUP(F465,IMPORTRANGE(""https://docs.google.com/spreadsheets/d/1Kvs4KS76FHFqLFIZfrDMff4kP08nblUkihrxltoGBjg/edit#gid=934712705"",""ESENCIAL!A6:BG""),8,FALSE))"),"")</f>
        <v/>
      </c>
      <c r="K404" s="287"/>
      <c r="S404" s="66"/>
      <c r="T404" s="66"/>
      <c r="U404" s="66"/>
      <c r="AT404" s="41" t="str">
        <f>IF(D404&gt;0,IF(AND(#REF!=1,#REF!=1),"Procede_E_P","NO_CUMPLE"),"")</f>
        <v/>
      </c>
      <c r="AU404" s="5" t="str">
        <f ca="1">IFERROR(__xludf.DUMMYFUNCTION("IFERROR(VLOOKUP(E465&amp;F465,IMPORTRANGE(""https://docs.google.com/spreadsheets/d/1Uw7-A9f9R21vMXxHZFNpYNeKFtG8_yji4HS352LGlSQ/edit?pli=1#gid=0"",""1_ACUM!A4:S""),11,FALSE))"),"")</f>
        <v/>
      </c>
      <c r="AV404" s="42" t="str">
        <f ca="1">IFERROR(__xludf.DUMMYFUNCTION("IFERROR(VLOOKUP(F465,IMPORTRANGE(""https://docs.google.com/spreadsheets/d/1Kvs4KS76FHFqLFIZfrDMff4kP08nblUkihrxltoGBjg/edit#gid=934712705"",""ESENCIAL!A6:BG""),15,FALSE))"),"")</f>
        <v/>
      </c>
    </row>
    <row r="405" spans="1:48" ht="15">
      <c r="A405" s="5"/>
      <c r="E405" s="66"/>
      <c r="F405" s="5" t="str">
        <f ca="1">IFERROR(__xludf.DUMMYFUNCTION("IFERROR(VLOOKUP(F466,IMPORTRANGE(""https://docs.google.com/spreadsheets/d/1Kvs4KS76FHFqLFIZfrDMff4kP08nblUkihrxltoGBjg/edit#gid=934712705"",""ESENCIAL!A6:BG""),3,FALSE))"),"")</f>
        <v/>
      </c>
      <c r="G405" s="5" t="str">
        <f ca="1">IFERROR(__xludf.DUMMYFUNCTION("IFERROR(VLOOKUP(F466,IMPORTRANGE(""https://docs.google.com/spreadsheets/d/1Kvs4KS76FHFqLFIZfrDMff4kP08nblUkihrxltoGBjg/edit#gid=934712705"",""ESENCIAL!A6:BG""),8,FALSE))"),"")</f>
        <v/>
      </c>
      <c r="K405" s="287"/>
      <c r="S405" s="66"/>
      <c r="T405" s="66"/>
      <c r="U405" s="66"/>
      <c r="AT405" s="41" t="str">
        <f>IF(D405&gt;0,IF(AND(#REF!=1,#REF!=1),"Procede_E_P","NO_CUMPLE"),"")</f>
        <v/>
      </c>
      <c r="AU405" s="5" t="str">
        <f ca="1">IFERROR(__xludf.DUMMYFUNCTION("IFERROR(VLOOKUP(E466&amp;F466,IMPORTRANGE(""https://docs.google.com/spreadsheets/d/1Uw7-A9f9R21vMXxHZFNpYNeKFtG8_yji4HS352LGlSQ/edit?pli=1#gid=0"",""1_ACUM!A4:S""),11,FALSE))"),"")</f>
        <v/>
      </c>
      <c r="AV405" s="42" t="str">
        <f ca="1">IFERROR(__xludf.DUMMYFUNCTION("IFERROR(VLOOKUP(F466,IMPORTRANGE(""https://docs.google.com/spreadsheets/d/1Kvs4KS76FHFqLFIZfrDMff4kP08nblUkihrxltoGBjg/edit#gid=934712705"",""ESENCIAL!A6:BG""),15,FALSE))"),"")</f>
        <v/>
      </c>
    </row>
    <row r="406" spans="1:48" ht="15">
      <c r="A406" s="5"/>
      <c r="E406" s="66"/>
      <c r="F406" s="5" t="str">
        <f ca="1">IFERROR(__xludf.DUMMYFUNCTION("IFERROR(VLOOKUP(F467,IMPORTRANGE(""https://docs.google.com/spreadsheets/d/1Kvs4KS76FHFqLFIZfrDMff4kP08nblUkihrxltoGBjg/edit#gid=934712705"",""ESENCIAL!A6:BG""),3,FALSE))"),"")</f>
        <v/>
      </c>
      <c r="G406" s="5" t="str">
        <f ca="1">IFERROR(__xludf.DUMMYFUNCTION("IFERROR(VLOOKUP(F467,IMPORTRANGE(""https://docs.google.com/spreadsheets/d/1Kvs4KS76FHFqLFIZfrDMff4kP08nblUkihrxltoGBjg/edit#gid=934712705"",""ESENCIAL!A6:BG""),8,FALSE))"),"")</f>
        <v/>
      </c>
      <c r="K406" s="287"/>
      <c r="S406" s="66"/>
      <c r="T406" s="66"/>
      <c r="U406" s="66"/>
      <c r="AT406" s="41" t="str">
        <f>IF(D406&gt;0,IF(AND(#REF!=1,#REF!=1),"Procede_E_P","NO_CUMPLE"),"")</f>
        <v/>
      </c>
      <c r="AU406" s="5" t="str">
        <f ca="1">IFERROR(__xludf.DUMMYFUNCTION("IFERROR(VLOOKUP(E467&amp;F467,IMPORTRANGE(""https://docs.google.com/spreadsheets/d/1Uw7-A9f9R21vMXxHZFNpYNeKFtG8_yji4HS352LGlSQ/edit?pli=1#gid=0"",""1_ACUM!A4:S""),11,FALSE))"),"")</f>
        <v/>
      </c>
      <c r="AV406" s="42" t="str">
        <f ca="1">IFERROR(__xludf.DUMMYFUNCTION("IFERROR(VLOOKUP(F467,IMPORTRANGE(""https://docs.google.com/spreadsheets/d/1Kvs4KS76FHFqLFIZfrDMff4kP08nblUkihrxltoGBjg/edit#gid=934712705"",""ESENCIAL!A6:BG""),15,FALSE))"),"")</f>
        <v/>
      </c>
    </row>
    <row r="407" spans="1:48" ht="15">
      <c r="A407" s="5"/>
      <c r="E407" s="66"/>
      <c r="F407" s="5" t="str">
        <f ca="1">IFERROR(__xludf.DUMMYFUNCTION("IFERROR(VLOOKUP(F468,IMPORTRANGE(""https://docs.google.com/spreadsheets/d/1Kvs4KS76FHFqLFIZfrDMff4kP08nblUkihrxltoGBjg/edit#gid=934712705"",""ESENCIAL!A6:BG""),3,FALSE))"),"")</f>
        <v/>
      </c>
      <c r="G407" s="5" t="str">
        <f ca="1">IFERROR(__xludf.DUMMYFUNCTION("IFERROR(VLOOKUP(F468,IMPORTRANGE(""https://docs.google.com/spreadsheets/d/1Kvs4KS76FHFqLFIZfrDMff4kP08nblUkihrxltoGBjg/edit#gid=934712705"",""ESENCIAL!A6:BG""),8,FALSE))"),"")</f>
        <v/>
      </c>
      <c r="K407" s="287"/>
      <c r="S407" s="66"/>
      <c r="T407" s="66"/>
      <c r="U407" s="66"/>
      <c r="AT407" s="41" t="str">
        <f>IF(D407&gt;0,IF(AND(#REF!=1,#REF!=1),"Procede_E_P","NO_CUMPLE"),"")</f>
        <v/>
      </c>
      <c r="AU407" s="5" t="str">
        <f ca="1">IFERROR(__xludf.DUMMYFUNCTION("IFERROR(VLOOKUP(E468&amp;F468,IMPORTRANGE(""https://docs.google.com/spreadsheets/d/1Uw7-A9f9R21vMXxHZFNpYNeKFtG8_yji4HS352LGlSQ/edit?pli=1#gid=0"",""1_ACUM!A4:S""),11,FALSE))"),"")</f>
        <v/>
      </c>
      <c r="AV407" s="42" t="str">
        <f ca="1">IFERROR(__xludf.DUMMYFUNCTION("IFERROR(VLOOKUP(F468,IMPORTRANGE(""https://docs.google.com/spreadsheets/d/1Kvs4KS76FHFqLFIZfrDMff4kP08nblUkihrxltoGBjg/edit#gid=934712705"",""ESENCIAL!A6:BG""),15,FALSE))"),"")</f>
        <v/>
      </c>
    </row>
    <row r="408" spans="1:48" ht="15">
      <c r="A408" s="5"/>
      <c r="E408" s="66"/>
      <c r="F408" s="5" t="str">
        <f ca="1">IFERROR(__xludf.DUMMYFUNCTION("IFERROR(VLOOKUP(F469,IMPORTRANGE(""https://docs.google.com/spreadsheets/d/1Kvs4KS76FHFqLFIZfrDMff4kP08nblUkihrxltoGBjg/edit#gid=934712705"",""ESENCIAL!A6:BG""),3,FALSE))"),"")</f>
        <v/>
      </c>
      <c r="G408" s="5" t="str">
        <f ca="1">IFERROR(__xludf.DUMMYFUNCTION("IFERROR(VLOOKUP(F469,IMPORTRANGE(""https://docs.google.com/spreadsheets/d/1Kvs4KS76FHFqLFIZfrDMff4kP08nblUkihrxltoGBjg/edit#gid=934712705"",""ESENCIAL!A6:BG""),8,FALSE))"),"")</f>
        <v/>
      </c>
      <c r="K408" s="287"/>
      <c r="S408" s="66"/>
      <c r="T408" s="66"/>
      <c r="U408" s="66"/>
      <c r="AT408" s="41" t="str">
        <f>IF(D408&gt;0,IF(AND(#REF!=1,#REF!=1),"Procede_E_P","NO_CUMPLE"),"")</f>
        <v/>
      </c>
      <c r="AU408" s="5" t="str">
        <f ca="1">IFERROR(__xludf.DUMMYFUNCTION("IFERROR(VLOOKUP(E469&amp;F469,IMPORTRANGE(""https://docs.google.com/spreadsheets/d/1Uw7-A9f9R21vMXxHZFNpYNeKFtG8_yji4HS352LGlSQ/edit?pli=1#gid=0"",""1_ACUM!A4:S""),11,FALSE))"),"")</f>
        <v/>
      </c>
      <c r="AV408" s="42" t="str">
        <f ca="1">IFERROR(__xludf.DUMMYFUNCTION("IFERROR(VLOOKUP(F469,IMPORTRANGE(""https://docs.google.com/spreadsheets/d/1Kvs4KS76FHFqLFIZfrDMff4kP08nblUkihrxltoGBjg/edit#gid=934712705"",""ESENCIAL!A6:BG""),15,FALSE))"),"")</f>
        <v/>
      </c>
    </row>
    <row r="409" spans="1:48" ht="15">
      <c r="A409" s="5"/>
      <c r="E409" s="66"/>
      <c r="F409" s="5" t="str">
        <f ca="1">IFERROR(__xludf.DUMMYFUNCTION("IFERROR(VLOOKUP(F470,IMPORTRANGE(""https://docs.google.com/spreadsheets/d/1Kvs4KS76FHFqLFIZfrDMff4kP08nblUkihrxltoGBjg/edit#gid=934712705"",""ESENCIAL!A6:BG""),3,FALSE))"),"")</f>
        <v/>
      </c>
      <c r="G409" s="5" t="str">
        <f ca="1">IFERROR(__xludf.DUMMYFUNCTION("IFERROR(VLOOKUP(F470,IMPORTRANGE(""https://docs.google.com/spreadsheets/d/1Kvs4KS76FHFqLFIZfrDMff4kP08nblUkihrxltoGBjg/edit#gid=934712705"",""ESENCIAL!A6:BG""),8,FALSE))"),"")</f>
        <v/>
      </c>
      <c r="K409" s="287"/>
      <c r="S409" s="66"/>
      <c r="T409" s="66"/>
      <c r="U409" s="66"/>
      <c r="AT409" s="41" t="str">
        <f>IF(D409&gt;0,IF(AND(#REF!=1,#REF!=1),"Procede_E_P","NO_CUMPLE"),"")</f>
        <v/>
      </c>
      <c r="AU409" s="5" t="str">
        <f ca="1">IFERROR(__xludf.DUMMYFUNCTION("IFERROR(VLOOKUP(E470&amp;F470,IMPORTRANGE(""https://docs.google.com/spreadsheets/d/1Uw7-A9f9R21vMXxHZFNpYNeKFtG8_yji4HS352LGlSQ/edit?pli=1#gid=0"",""1_ACUM!A4:S""),11,FALSE))"),"")</f>
        <v/>
      </c>
      <c r="AV409" s="42" t="str">
        <f ca="1">IFERROR(__xludf.DUMMYFUNCTION("IFERROR(VLOOKUP(F470,IMPORTRANGE(""https://docs.google.com/spreadsheets/d/1Kvs4KS76FHFqLFIZfrDMff4kP08nblUkihrxltoGBjg/edit#gid=934712705"",""ESENCIAL!A6:BG""),15,FALSE))"),"")</f>
        <v/>
      </c>
    </row>
    <row r="410" spans="1:48" ht="15">
      <c r="A410" s="5"/>
      <c r="E410" s="66"/>
      <c r="F410" s="5" t="str">
        <f ca="1">IFERROR(__xludf.DUMMYFUNCTION("IFERROR(VLOOKUP(F471,IMPORTRANGE(""https://docs.google.com/spreadsheets/d/1Kvs4KS76FHFqLFIZfrDMff4kP08nblUkihrxltoGBjg/edit#gid=934712705"",""ESENCIAL!A6:BG""),3,FALSE))"),"")</f>
        <v/>
      </c>
      <c r="G410" s="5" t="str">
        <f ca="1">IFERROR(__xludf.DUMMYFUNCTION("IFERROR(VLOOKUP(F471,IMPORTRANGE(""https://docs.google.com/spreadsheets/d/1Kvs4KS76FHFqLFIZfrDMff4kP08nblUkihrxltoGBjg/edit#gid=934712705"",""ESENCIAL!A6:BG""),8,FALSE))"),"")</f>
        <v/>
      </c>
      <c r="K410" s="287"/>
      <c r="S410" s="66"/>
      <c r="T410" s="66"/>
      <c r="U410" s="66"/>
      <c r="AT410" s="41" t="str">
        <f>IF(D410&gt;0,IF(AND(#REF!=1,#REF!=1),"Procede_E_P","NO_CUMPLE"),"")</f>
        <v/>
      </c>
      <c r="AU410" s="5" t="str">
        <f ca="1">IFERROR(__xludf.DUMMYFUNCTION("IFERROR(VLOOKUP(E471&amp;F471,IMPORTRANGE(""https://docs.google.com/spreadsheets/d/1Uw7-A9f9R21vMXxHZFNpYNeKFtG8_yji4HS352LGlSQ/edit?pli=1#gid=0"",""1_ACUM!A4:S""),11,FALSE))"),"")</f>
        <v/>
      </c>
      <c r="AV410" s="42" t="str">
        <f ca="1">IFERROR(__xludf.DUMMYFUNCTION("IFERROR(VLOOKUP(F471,IMPORTRANGE(""https://docs.google.com/spreadsheets/d/1Kvs4KS76FHFqLFIZfrDMff4kP08nblUkihrxltoGBjg/edit#gid=934712705"",""ESENCIAL!A6:BG""),15,FALSE))"),"")</f>
        <v/>
      </c>
    </row>
    <row r="411" spans="1:48" ht="15">
      <c r="A411" s="5"/>
      <c r="E411" s="66"/>
      <c r="F411" s="5" t="str">
        <f ca="1">IFERROR(__xludf.DUMMYFUNCTION("IFERROR(VLOOKUP(F472,IMPORTRANGE(""https://docs.google.com/spreadsheets/d/1Kvs4KS76FHFqLFIZfrDMff4kP08nblUkihrxltoGBjg/edit#gid=934712705"",""ESENCIAL!A6:BG""),3,FALSE))"),"")</f>
        <v/>
      </c>
      <c r="G411" s="5" t="str">
        <f ca="1">IFERROR(__xludf.DUMMYFUNCTION("IFERROR(VLOOKUP(F472,IMPORTRANGE(""https://docs.google.com/spreadsheets/d/1Kvs4KS76FHFqLFIZfrDMff4kP08nblUkihrxltoGBjg/edit#gid=934712705"",""ESENCIAL!A6:BG""),8,FALSE))"),"")</f>
        <v/>
      </c>
      <c r="K411" s="287"/>
      <c r="S411" s="66"/>
      <c r="T411" s="66"/>
      <c r="U411" s="66"/>
      <c r="AT411" s="41" t="str">
        <f>IF(D411&gt;0,IF(AND(#REF!=1,#REF!=1),"Procede_E_P","NO_CUMPLE"),"")</f>
        <v/>
      </c>
      <c r="AU411" s="5" t="str">
        <f ca="1">IFERROR(__xludf.DUMMYFUNCTION("IFERROR(VLOOKUP(E472&amp;F472,IMPORTRANGE(""https://docs.google.com/spreadsheets/d/1Uw7-A9f9R21vMXxHZFNpYNeKFtG8_yji4HS352LGlSQ/edit?pli=1#gid=0"",""1_ACUM!A4:S""),11,FALSE))"),"")</f>
        <v/>
      </c>
      <c r="AV411" s="42" t="str">
        <f ca="1">IFERROR(__xludf.DUMMYFUNCTION("IFERROR(VLOOKUP(F472,IMPORTRANGE(""https://docs.google.com/spreadsheets/d/1Kvs4KS76FHFqLFIZfrDMff4kP08nblUkihrxltoGBjg/edit#gid=934712705"",""ESENCIAL!A6:BG""),15,FALSE))"),"")</f>
        <v/>
      </c>
    </row>
    <row r="412" spans="1:48" ht="15">
      <c r="A412" s="5"/>
      <c r="E412" s="66"/>
      <c r="F412" s="5" t="str">
        <f ca="1">IFERROR(__xludf.DUMMYFUNCTION("IFERROR(VLOOKUP(F473,IMPORTRANGE(""https://docs.google.com/spreadsheets/d/1Kvs4KS76FHFqLFIZfrDMff4kP08nblUkihrxltoGBjg/edit#gid=934712705"",""ESENCIAL!A6:BG""),3,FALSE))"),"")</f>
        <v/>
      </c>
      <c r="G412" s="5" t="str">
        <f ca="1">IFERROR(__xludf.DUMMYFUNCTION("IFERROR(VLOOKUP(F473,IMPORTRANGE(""https://docs.google.com/spreadsheets/d/1Kvs4KS76FHFqLFIZfrDMff4kP08nblUkihrxltoGBjg/edit#gid=934712705"",""ESENCIAL!A6:BG""),8,FALSE))"),"")</f>
        <v/>
      </c>
      <c r="K412" s="287"/>
      <c r="S412" s="66"/>
      <c r="T412" s="66"/>
      <c r="U412" s="66"/>
      <c r="AT412" s="41" t="str">
        <f>IF(D412&gt;0,IF(AND(#REF!=1,#REF!=1),"Procede_E_P","NO_CUMPLE"),"")</f>
        <v/>
      </c>
      <c r="AU412" s="5" t="str">
        <f ca="1">IFERROR(__xludf.DUMMYFUNCTION("IFERROR(VLOOKUP(E473&amp;F473,IMPORTRANGE(""https://docs.google.com/spreadsheets/d/1Uw7-A9f9R21vMXxHZFNpYNeKFtG8_yji4HS352LGlSQ/edit?pli=1#gid=0"",""1_ACUM!A4:S""),11,FALSE))"),"")</f>
        <v/>
      </c>
      <c r="AV412" s="42" t="str">
        <f ca="1">IFERROR(__xludf.DUMMYFUNCTION("IFERROR(VLOOKUP(F473,IMPORTRANGE(""https://docs.google.com/spreadsheets/d/1Kvs4KS76FHFqLFIZfrDMff4kP08nblUkihrxltoGBjg/edit#gid=934712705"",""ESENCIAL!A6:BG""),15,FALSE))"),"")</f>
        <v/>
      </c>
    </row>
    <row r="413" spans="1:48" ht="15">
      <c r="A413" s="5"/>
      <c r="E413" s="66"/>
      <c r="F413" s="5" t="str">
        <f ca="1">IFERROR(__xludf.DUMMYFUNCTION("IFERROR(VLOOKUP(F474,IMPORTRANGE(""https://docs.google.com/spreadsheets/d/1Kvs4KS76FHFqLFIZfrDMff4kP08nblUkihrxltoGBjg/edit#gid=934712705"",""ESENCIAL!A6:BG""),3,FALSE))"),"")</f>
        <v/>
      </c>
      <c r="G413" s="5" t="str">
        <f ca="1">IFERROR(__xludf.DUMMYFUNCTION("IFERROR(VLOOKUP(F474,IMPORTRANGE(""https://docs.google.com/spreadsheets/d/1Kvs4KS76FHFqLFIZfrDMff4kP08nblUkihrxltoGBjg/edit#gid=934712705"",""ESENCIAL!A6:BG""),8,FALSE))"),"")</f>
        <v/>
      </c>
      <c r="K413" s="287"/>
      <c r="S413" s="66"/>
      <c r="T413" s="66"/>
      <c r="U413" s="66"/>
      <c r="AT413" s="41" t="str">
        <f>IF(D413&gt;0,IF(AND(#REF!=1,#REF!=1),"Procede_E_P","NO_CUMPLE"),"")</f>
        <v/>
      </c>
      <c r="AU413" s="5" t="str">
        <f ca="1">IFERROR(__xludf.DUMMYFUNCTION("IFERROR(VLOOKUP(E474&amp;F474,IMPORTRANGE(""https://docs.google.com/spreadsheets/d/1Uw7-A9f9R21vMXxHZFNpYNeKFtG8_yji4HS352LGlSQ/edit?pli=1#gid=0"",""1_ACUM!A4:S""),11,FALSE))"),"")</f>
        <v/>
      </c>
      <c r="AV413" s="42" t="str">
        <f ca="1">IFERROR(__xludf.DUMMYFUNCTION("IFERROR(VLOOKUP(F474,IMPORTRANGE(""https://docs.google.com/spreadsheets/d/1Kvs4KS76FHFqLFIZfrDMff4kP08nblUkihrxltoGBjg/edit#gid=934712705"",""ESENCIAL!A6:BG""),15,FALSE))"),"")</f>
        <v/>
      </c>
    </row>
    <row r="414" spans="1:48" ht="15">
      <c r="A414" s="5"/>
      <c r="E414" s="66"/>
      <c r="F414" s="5" t="str">
        <f ca="1">IFERROR(__xludf.DUMMYFUNCTION("IFERROR(VLOOKUP(F475,IMPORTRANGE(""https://docs.google.com/spreadsheets/d/1Kvs4KS76FHFqLFIZfrDMff4kP08nblUkihrxltoGBjg/edit#gid=934712705"",""ESENCIAL!A6:BG""),3,FALSE))"),"")</f>
        <v/>
      </c>
      <c r="G414" s="5" t="str">
        <f ca="1">IFERROR(__xludf.DUMMYFUNCTION("IFERROR(VLOOKUP(F475,IMPORTRANGE(""https://docs.google.com/spreadsheets/d/1Kvs4KS76FHFqLFIZfrDMff4kP08nblUkihrxltoGBjg/edit#gid=934712705"",""ESENCIAL!A6:BG""),8,FALSE))"),"")</f>
        <v/>
      </c>
      <c r="K414" s="287"/>
      <c r="S414" s="66"/>
      <c r="T414" s="66"/>
      <c r="U414" s="66"/>
      <c r="AT414" s="41" t="str">
        <f>IF(D414&gt;0,IF(AND(#REF!=1,#REF!=1),"Procede_E_P","NO_CUMPLE"),"")</f>
        <v/>
      </c>
      <c r="AU414" s="5" t="str">
        <f ca="1">IFERROR(__xludf.DUMMYFUNCTION("IFERROR(VLOOKUP(E475&amp;F475,IMPORTRANGE(""https://docs.google.com/spreadsheets/d/1Uw7-A9f9R21vMXxHZFNpYNeKFtG8_yji4HS352LGlSQ/edit?pli=1#gid=0"",""1_ACUM!A4:S""),11,FALSE))"),"")</f>
        <v/>
      </c>
      <c r="AV414" s="42" t="str">
        <f ca="1">IFERROR(__xludf.DUMMYFUNCTION("IFERROR(VLOOKUP(F475,IMPORTRANGE(""https://docs.google.com/spreadsheets/d/1Kvs4KS76FHFqLFIZfrDMff4kP08nblUkihrxltoGBjg/edit#gid=934712705"",""ESENCIAL!A6:BG""),15,FALSE))"),"")</f>
        <v/>
      </c>
    </row>
    <row r="415" spans="1:48" ht="15">
      <c r="A415" s="5"/>
      <c r="E415" s="66"/>
      <c r="F415" s="5" t="str">
        <f ca="1">IFERROR(__xludf.DUMMYFUNCTION("IFERROR(VLOOKUP(F476,IMPORTRANGE(""https://docs.google.com/spreadsheets/d/1Kvs4KS76FHFqLFIZfrDMff4kP08nblUkihrxltoGBjg/edit#gid=934712705"",""ESENCIAL!A6:BG""),3,FALSE))"),"")</f>
        <v/>
      </c>
      <c r="G415" s="5" t="str">
        <f ca="1">IFERROR(__xludf.DUMMYFUNCTION("IFERROR(VLOOKUP(F476,IMPORTRANGE(""https://docs.google.com/spreadsheets/d/1Kvs4KS76FHFqLFIZfrDMff4kP08nblUkihrxltoGBjg/edit#gid=934712705"",""ESENCIAL!A6:BG""),8,FALSE))"),"")</f>
        <v/>
      </c>
      <c r="K415" s="287"/>
      <c r="S415" s="66"/>
      <c r="T415" s="66"/>
      <c r="U415" s="66"/>
      <c r="AT415" s="41" t="str">
        <f>IF(D415&gt;0,IF(AND(#REF!=1,#REF!=1),"Procede_E_P","NO_CUMPLE"),"")</f>
        <v/>
      </c>
      <c r="AU415" s="5" t="str">
        <f ca="1">IFERROR(__xludf.DUMMYFUNCTION("IFERROR(VLOOKUP(E476&amp;F476,IMPORTRANGE(""https://docs.google.com/spreadsheets/d/1Uw7-A9f9R21vMXxHZFNpYNeKFtG8_yji4HS352LGlSQ/edit?pli=1#gid=0"",""1_ACUM!A4:S""),11,FALSE))"),"")</f>
        <v/>
      </c>
      <c r="AV415" s="42" t="str">
        <f ca="1">IFERROR(__xludf.DUMMYFUNCTION("IFERROR(VLOOKUP(F476,IMPORTRANGE(""https://docs.google.com/spreadsheets/d/1Kvs4KS76FHFqLFIZfrDMff4kP08nblUkihrxltoGBjg/edit#gid=934712705"",""ESENCIAL!A6:BG""),15,FALSE))"),"")</f>
        <v/>
      </c>
    </row>
    <row r="416" spans="1:48" ht="15">
      <c r="A416" s="5"/>
      <c r="E416" s="66"/>
      <c r="F416" s="5" t="str">
        <f ca="1">IFERROR(__xludf.DUMMYFUNCTION("IFERROR(VLOOKUP(F477,IMPORTRANGE(""https://docs.google.com/spreadsheets/d/1Kvs4KS76FHFqLFIZfrDMff4kP08nblUkihrxltoGBjg/edit#gid=934712705"",""ESENCIAL!A6:BG""),3,FALSE))"),"")</f>
        <v/>
      </c>
      <c r="G416" s="5" t="str">
        <f ca="1">IFERROR(__xludf.DUMMYFUNCTION("IFERROR(VLOOKUP(F477,IMPORTRANGE(""https://docs.google.com/spreadsheets/d/1Kvs4KS76FHFqLFIZfrDMff4kP08nblUkihrxltoGBjg/edit#gid=934712705"",""ESENCIAL!A6:BG""),8,FALSE))"),"")</f>
        <v/>
      </c>
      <c r="K416" s="287"/>
      <c r="S416" s="66"/>
      <c r="T416" s="66"/>
      <c r="U416" s="66"/>
      <c r="AT416" s="41" t="str">
        <f>IF(D416&gt;0,IF(AND(#REF!=1,#REF!=1),"Procede_E_P","NO_CUMPLE"),"")</f>
        <v/>
      </c>
      <c r="AU416" s="5" t="str">
        <f ca="1">IFERROR(__xludf.DUMMYFUNCTION("IFERROR(VLOOKUP(E477&amp;F477,IMPORTRANGE(""https://docs.google.com/spreadsheets/d/1Uw7-A9f9R21vMXxHZFNpYNeKFtG8_yji4HS352LGlSQ/edit?pli=1#gid=0"",""1_ACUM!A4:S""),11,FALSE))"),"")</f>
        <v/>
      </c>
      <c r="AV416" s="42" t="str">
        <f ca="1">IFERROR(__xludf.DUMMYFUNCTION("IFERROR(VLOOKUP(F477,IMPORTRANGE(""https://docs.google.com/spreadsheets/d/1Kvs4KS76FHFqLFIZfrDMff4kP08nblUkihrxltoGBjg/edit#gid=934712705"",""ESENCIAL!A6:BG""),15,FALSE))"),"")</f>
        <v/>
      </c>
    </row>
    <row r="417" spans="1:48" ht="15">
      <c r="A417" s="5"/>
      <c r="E417" s="66"/>
      <c r="F417" s="5" t="str">
        <f ca="1">IFERROR(__xludf.DUMMYFUNCTION("IFERROR(VLOOKUP(F478,IMPORTRANGE(""https://docs.google.com/spreadsheets/d/1Kvs4KS76FHFqLFIZfrDMff4kP08nblUkihrxltoGBjg/edit#gid=934712705"",""ESENCIAL!A6:BG""),3,FALSE))"),"")</f>
        <v/>
      </c>
      <c r="G417" s="5" t="str">
        <f ca="1">IFERROR(__xludf.DUMMYFUNCTION("IFERROR(VLOOKUP(F478,IMPORTRANGE(""https://docs.google.com/spreadsheets/d/1Kvs4KS76FHFqLFIZfrDMff4kP08nblUkihrxltoGBjg/edit#gid=934712705"",""ESENCIAL!A6:BG""),8,FALSE))"),"")</f>
        <v/>
      </c>
      <c r="K417" s="287"/>
      <c r="S417" s="66"/>
      <c r="T417" s="66"/>
      <c r="U417" s="66"/>
      <c r="AT417" s="41" t="str">
        <f>IF(D417&gt;0,IF(AND(#REF!=1,#REF!=1),"Procede_E_P","NO_CUMPLE"),"")</f>
        <v/>
      </c>
      <c r="AU417" s="5" t="str">
        <f ca="1">IFERROR(__xludf.DUMMYFUNCTION("IFERROR(VLOOKUP(E478&amp;F478,IMPORTRANGE(""https://docs.google.com/spreadsheets/d/1Uw7-A9f9R21vMXxHZFNpYNeKFtG8_yji4HS352LGlSQ/edit?pli=1#gid=0"",""1_ACUM!A4:S""),11,FALSE))"),"")</f>
        <v/>
      </c>
      <c r="AV417" s="42" t="str">
        <f ca="1">IFERROR(__xludf.DUMMYFUNCTION("IFERROR(VLOOKUP(F478,IMPORTRANGE(""https://docs.google.com/spreadsheets/d/1Kvs4KS76FHFqLFIZfrDMff4kP08nblUkihrxltoGBjg/edit#gid=934712705"",""ESENCIAL!A6:BG""),15,FALSE))"),"")</f>
        <v/>
      </c>
    </row>
    <row r="418" spans="1:48" ht="15">
      <c r="A418" s="5"/>
      <c r="E418" s="66"/>
      <c r="F418" s="5" t="str">
        <f ca="1">IFERROR(__xludf.DUMMYFUNCTION("IFERROR(VLOOKUP(F479,IMPORTRANGE(""https://docs.google.com/spreadsheets/d/1Kvs4KS76FHFqLFIZfrDMff4kP08nblUkihrxltoGBjg/edit#gid=934712705"",""ESENCIAL!A6:BG""),3,FALSE))"),"")</f>
        <v/>
      </c>
      <c r="G418" s="5" t="str">
        <f ca="1">IFERROR(__xludf.DUMMYFUNCTION("IFERROR(VLOOKUP(F479,IMPORTRANGE(""https://docs.google.com/spreadsheets/d/1Kvs4KS76FHFqLFIZfrDMff4kP08nblUkihrxltoGBjg/edit#gid=934712705"",""ESENCIAL!A6:BG""),8,FALSE))"),"")</f>
        <v/>
      </c>
      <c r="K418" s="287"/>
      <c r="S418" s="66"/>
      <c r="T418" s="66"/>
      <c r="U418" s="66"/>
      <c r="AT418" s="41" t="str">
        <f>IF(D418&gt;0,IF(AND(#REF!=1,#REF!=1),"Procede_E_P","NO_CUMPLE"),"")</f>
        <v/>
      </c>
      <c r="AU418" s="5" t="str">
        <f ca="1">IFERROR(__xludf.DUMMYFUNCTION("IFERROR(VLOOKUP(E479&amp;F479,IMPORTRANGE(""https://docs.google.com/spreadsheets/d/1Uw7-A9f9R21vMXxHZFNpYNeKFtG8_yji4HS352LGlSQ/edit?pli=1#gid=0"",""1_ACUM!A4:S""),11,FALSE))"),"")</f>
        <v/>
      </c>
      <c r="AV418" s="42" t="str">
        <f ca="1">IFERROR(__xludf.DUMMYFUNCTION("IFERROR(VLOOKUP(F479,IMPORTRANGE(""https://docs.google.com/spreadsheets/d/1Kvs4KS76FHFqLFIZfrDMff4kP08nblUkihrxltoGBjg/edit#gid=934712705"",""ESENCIAL!A6:BG""),15,FALSE))"),"")</f>
        <v/>
      </c>
    </row>
    <row r="419" spans="1:48" ht="15">
      <c r="A419" s="5"/>
      <c r="E419" s="66"/>
      <c r="F419" s="5" t="str">
        <f ca="1">IFERROR(__xludf.DUMMYFUNCTION("IFERROR(VLOOKUP(F480,IMPORTRANGE(""https://docs.google.com/spreadsheets/d/1Kvs4KS76FHFqLFIZfrDMff4kP08nblUkihrxltoGBjg/edit#gid=934712705"",""ESENCIAL!A6:BG""),3,FALSE))"),"")</f>
        <v/>
      </c>
      <c r="G419" s="5" t="str">
        <f ca="1">IFERROR(__xludf.DUMMYFUNCTION("IFERROR(VLOOKUP(F480,IMPORTRANGE(""https://docs.google.com/spreadsheets/d/1Kvs4KS76FHFqLFIZfrDMff4kP08nblUkihrxltoGBjg/edit#gid=934712705"",""ESENCIAL!A6:BG""),8,FALSE))"),"")</f>
        <v/>
      </c>
      <c r="K419" s="287"/>
      <c r="S419" s="66"/>
      <c r="T419" s="66"/>
      <c r="U419" s="66"/>
      <c r="AT419" s="41" t="str">
        <f>IF(D419&gt;0,IF(AND(#REF!=1,#REF!=1),"Procede_E_P","NO_CUMPLE"),"")</f>
        <v/>
      </c>
      <c r="AU419" s="5" t="str">
        <f ca="1">IFERROR(__xludf.DUMMYFUNCTION("IFERROR(VLOOKUP(E480&amp;F480,IMPORTRANGE(""https://docs.google.com/spreadsheets/d/1Uw7-A9f9R21vMXxHZFNpYNeKFtG8_yji4HS352LGlSQ/edit?pli=1#gid=0"",""1_ACUM!A4:S""),11,FALSE))"),"")</f>
        <v/>
      </c>
      <c r="AV419" s="42" t="str">
        <f ca="1">IFERROR(__xludf.DUMMYFUNCTION("IFERROR(VLOOKUP(F480,IMPORTRANGE(""https://docs.google.com/spreadsheets/d/1Kvs4KS76FHFqLFIZfrDMff4kP08nblUkihrxltoGBjg/edit#gid=934712705"",""ESENCIAL!A6:BG""),15,FALSE))"),"")</f>
        <v/>
      </c>
    </row>
    <row r="420" spans="1:48" ht="15">
      <c r="A420" s="5"/>
      <c r="E420" s="66"/>
      <c r="F420" s="5" t="str">
        <f ca="1">IFERROR(__xludf.DUMMYFUNCTION("IFERROR(VLOOKUP(F481,IMPORTRANGE(""https://docs.google.com/spreadsheets/d/1Kvs4KS76FHFqLFIZfrDMff4kP08nblUkihrxltoGBjg/edit#gid=934712705"",""ESENCIAL!A6:BG""),3,FALSE))"),"")</f>
        <v/>
      </c>
      <c r="G420" s="5" t="str">
        <f ca="1">IFERROR(__xludf.DUMMYFUNCTION("IFERROR(VLOOKUP(F481,IMPORTRANGE(""https://docs.google.com/spreadsheets/d/1Kvs4KS76FHFqLFIZfrDMff4kP08nblUkihrxltoGBjg/edit#gid=934712705"",""ESENCIAL!A6:BG""),8,FALSE))"),"")</f>
        <v/>
      </c>
      <c r="K420" s="287"/>
      <c r="S420" s="66"/>
      <c r="T420" s="66"/>
      <c r="U420" s="66"/>
      <c r="AT420" s="41" t="str">
        <f>IF(D420&gt;0,IF(AND(#REF!=1,#REF!=1),"Procede_E_P","NO_CUMPLE"),"")</f>
        <v/>
      </c>
      <c r="AU420" s="5" t="str">
        <f ca="1">IFERROR(__xludf.DUMMYFUNCTION("IFERROR(VLOOKUP(E481&amp;F481,IMPORTRANGE(""https://docs.google.com/spreadsheets/d/1Uw7-A9f9R21vMXxHZFNpYNeKFtG8_yji4HS352LGlSQ/edit?pli=1#gid=0"",""1_ACUM!A4:S""),11,FALSE))"),"")</f>
        <v/>
      </c>
      <c r="AV420" s="42" t="str">
        <f ca="1">IFERROR(__xludf.DUMMYFUNCTION("IFERROR(VLOOKUP(F481,IMPORTRANGE(""https://docs.google.com/spreadsheets/d/1Kvs4KS76FHFqLFIZfrDMff4kP08nblUkihrxltoGBjg/edit#gid=934712705"",""ESENCIAL!A6:BG""),15,FALSE))"),"")</f>
        <v/>
      </c>
    </row>
    <row r="421" spans="1:48" ht="15">
      <c r="A421" s="5"/>
      <c r="E421" s="66"/>
      <c r="F421" s="5" t="str">
        <f ca="1">IFERROR(__xludf.DUMMYFUNCTION("IFERROR(VLOOKUP(F482,IMPORTRANGE(""https://docs.google.com/spreadsheets/d/1Kvs4KS76FHFqLFIZfrDMff4kP08nblUkihrxltoGBjg/edit#gid=934712705"",""ESENCIAL!A6:BG""),3,FALSE))"),"")</f>
        <v/>
      </c>
      <c r="G421" s="5" t="str">
        <f ca="1">IFERROR(__xludf.DUMMYFUNCTION("IFERROR(VLOOKUP(F482,IMPORTRANGE(""https://docs.google.com/spreadsheets/d/1Kvs4KS76FHFqLFIZfrDMff4kP08nblUkihrxltoGBjg/edit#gid=934712705"",""ESENCIAL!A6:BG""),8,FALSE))"),"")</f>
        <v/>
      </c>
      <c r="K421" s="287"/>
      <c r="S421" s="66"/>
      <c r="T421" s="66"/>
      <c r="U421" s="66"/>
      <c r="AT421" s="41" t="str">
        <f>IF(D421&gt;0,IF(AND(#REF!=1,#REF!=1),"Procede_E_P","NO_CUMPLE"),"")</f>
        <v/>
      </c>
      <c r="AU421" s="5" t="str">
        <f ca="1">IFERROR(__xludf.DUMMYFUNCTION("IFERROR(VLOOKUP(E482&amp;F482,IMPORTRANGE(""https://docs.google.com/spreadsheets/d/1Uw7-A9f9R21vMXxHZFNpYNeKFtG8_yji4HS352LGlSQ/edit?pli=1#gid=0"",""1_ACUM!A4:S""),11,FALSE))"),"")</f>
        <v/>
      </c>
      <c r="AV421" s="42" t="str">
        <f ca="1">IFERROR(__xludf.DUMMYFUNCTION("IFERROR(VLOOKUP(F482,IMPORTRANGE(""https://docs.google.com/spreadsheets/d/1Kvs4KS76FHFqLFIZfrDMff4kP08nblUkihrxltoGBjg/edit#gid=934712705"",""ESENCIAL!A6:BG""),15,FALSE))"),"")</f>
        <v/>
      </c>
    </row>
    <row r="422" spans="1:48" ht="15">
      <c r="A422" s="5"/>
      <c r="E422" s="66"/>
      <c r="F422" s="5" t="str">
        <f ca="1">IFERROR(__xludf.DUMMYFUNCTION("IFERROR(VLOOKUP(F483,IMPORTRANGE(""https://docs.google.com/spreadsheets/d/1Kvs4KS76FHFqLFIZfrDMff4kP08nblUkihrxltoGBjg/edit#gid=934712705"",""ESENCIAL!A6:BG""),3,FALSE))"),"")</f>
        <v/>
      </c>
      <c r="G422" s="5" t="str">
        <f ca="1">IFERROR(__xludf.DUMMYFUNCTION("IFERROR(VLOOKUP(F483,IMPORTRANGE(""https://docs.google.com/spreadsheets/d/1Kvs4KS76FHFqLFIZfrDMff4kP08nblUkihrxltoGBjg/edit#gid=934712705"",""ESENCIAL!A6:BG""),8,FALSE))"),"")</f>
        <v/>
      </c>
      <c r="K422" s="287"/>
      <c r="S422" s="66"/>
      <c r="T422" s="66"/>
      <c r="U422" s="66"/>
      <c r="AT422" s="41" t="str">
        <f>IF(D422&gt;0,IF(AND(#REF!=1,#REF!=1),"Procede_E_P","NO_CUMPLE"),"")</f>
        <v/>
      </c>
      <c r="AU422" s="5" t="str">
        <f ca="1">IFERROR(__xludf.DUMMYFUNCTION("IFERROR(VLOOKUP(E483&amp;F483,IMPORTRANGE(""https://docs.google.com/spreadsheets/d/1Uw7-A9f9R21vMXxHZFNpYNeKFtG8_yji4HS352LGlSQ/edit?pli=1#gid=0"",""1_ACUM!A4:S""),11,FALSE))"),"")</f>
        <v/>
      </c>
      <c r="AV422" s="42" t="str">
        <f ca="1">IFERROR(__xludf.DUMMYFUNCTION("IFERROR(VLOOKUP(F483,IMPORTRANGE(""https://docs.google.com/spreadsheets/d/1Kvs4KS76FHFqLFIZfrDMff4kP08nblUkihrxltoGBjg/edit#gid=934712705"",""ESENCIAL!A6:BG""),15,FALSE))"),"")</f>
        <v/>
      </c>
    </row>
    <row r="423" spans="1:48" ht="15">
      <c r="A423" s="5"/>
      <c r="E423" s="66"/>
      <c r="F423" s="5" t="str">
        <f ca="1">IFERROR(__xludf.DUMMYFUNCTION("IFERROR(VLOOKUP(F484,IMPORTRANGE(""https://docs.google.com/spreadsheets/d/1Kvs4KS76FHFqLFIZfrDMff4kP08nblUkihrxltoGBjg/edit#gid=934712705"",""ESENCIAL!A6:BG""),3,FALSE))"),"")</f>
        <v/>
      </c>
      <c r="G423" s="5" t="str">
        <f ca="1">IFERROR(__xludf.DUMMYFUNCTION("IFERROR(VLOOKUP(F484,IMPORTRANGE(""https://docs.google.com/spreadsheets/d/1Kvs4KS76FHFqLFIZfrDMff4kP08nblUkihrxltoGBjg/edit#gid=934712705"",""ESENCIAL!A6:BG""),8,FALSE))"),"")</f>
        <v/>
      </c>
      <c r="K423" s="287"/>
      <c r="S423" s="66"/>
      <c r="T423" s="66"/>
      <c r="U423" s="66"/>
      <c r="AT423" s="41" t="str">
        <f>IF(D423&gt;0,IF(AND(#REF!=1,#REF!=1),"Procede_E_P","NO_CUMPLE"),"")</f>
        <v/>
      </c>
      <c r="AU423" s="5" t="str">
        <f ca="1">IFERROR(__xludf.DUMMYFUNCTION("IFERROR(VLOOKUP(E484&amp;F484,IMPORTRANGE(""https://docs.google.com/spreadsheets/d/1Uw7-A9f9R21vMXxHZFNpYNeKFtG8_yji4HS352LGlSQ/edit?pli=1#gid=0"",""1_ACUM!A4:S""),11,FALSE))"),"")</f>
        <v/>
      </c>
      <c r="AV423" s="42" t="str">
        <f ca="1">IFERROR(__xludf.DUMMYFUNCTION("IFERROR(VLOOKUP(F484,IMPORTRANGE(""https://docs.google.com/spreadsheets/d/1Kvs4KS76FHFqLFIZfrDMff4kP08nblUkihrxltoGBjg/edit#gid=934712705"",""ESENCIAL!A6:BG""),15,FALSE))"),"")</f>
        <v/>
      </c>
    </row>
    <row r="424" spans="1:48" ht="15">
      <c r="A424" s="5"/>
      <c r="E424" s="66"/>
      <c r="F424" s="5" t="str">
        <f ca="1">IFERROR(__xludf.DUMMYFUNCTION("IFERROR(VLOOKUP(F485,IMPORTRANGE(""https://docs.google.com/spreadsheets/d/1Kvs4KS76FHFqLFIZfrDMff4kP08nblUkihrxltoGBjg/edit#gid=934712705"",""ESENCIAL!A6:BG""),3,FALSE))"),"")</f>
        <v/>
      </c>
      <c r="G424" s="5" t="str">
        <f ca="1">IFERROR(__xludf.DUMMYFUNCTION("IFERROR(VLOOKUP(F485,IMPORTRANGE(""https://docs.google.com/spreadsheets/d/1Kvs4KS76FHFqLFIZfrDMff4kP08nblUkihrxltoGBjg/edit#gid=934712705"",""ESENCIAL!A6:BG""),8,FALSE))"),"")</f>
        <v/>
      </c>
      <c r="K424" s="287"/>
      <c r="S424" s="66"/>
      <c r="T424" s="66"/>
      <c r="U424" s="66"/>
      <c r="AT424" s="41" t="str">
        <f>IF(D424&gt;0,IF(AND(#REF!=1,#REF!=1),"Procede_E_P","NO_CUMPLE"),"")</f>
        <v/>
      </c>
      <c r="AU424" s="5" t="str">
        <f ca="1">IFERROR(__xludf.DUMMYFUNCTION("IFERROR(VLOOKUP(E485&amp;F485,IMPORTRANGE(""https://docs.google.com/spreadsheets/d/1Uw7-A9f9R21vMXxHZFNpYNeKFtG8_yji4HS352LGlSQ/edit?pli=1#gid=0"",""1_ACUM!A4:S""),11,FALSE))"),"")</f>
        <v/>
      </c>
      <c r="AV424" s="42" t="str">
        <f ca="1">IFERROR(__xludf.DUMMYFUNCTION("IFERROR(VLOOKUP(F485,IMPORTRANGE(""https://docs.google.com/spreadsheets/d/1Kvs4KS76FHFqLFIZfrDMff4kP08nblUkihrxltoGBjg/edit#gid=934712705"",""ESENCIAL!A6:BG""),15,FALSE))"),"")</f>
        <v/>
      </c>
    </row>
    <row r="425" spans="1:48" ht="15">
      <c r="A425" s="5"/>
      <c r="E425" s="66"/>
      <c r="F425" s="5" t="str">
        <f ca="1">IFERROR(__xludf.DUMMYFUNCTION("IFERROR(VLOOKUP(F486,IMPORTRANGE(""https://docs.google.com/spreadsheets/d/1Kvs4KS76FHFqLFIZfrDMff4kP08nblUkihrxltoGBjg/edit#gid=934712705"",""ESENCIAL!A6:BG""),3,FALSE))"),"")</f>
        <v/>
      </c>
      <c r="G425" s="5" t="str">
        <f ca="1">IFERROR(__xludf.DUMMYFUNCTION("IFERROR(VLOOKUP(F486,IMPORTRANGE(""https://docs.google.com/spreadsheets/d/1Kvs4KS76FHFqLFIZfrDMff4kP08nblUkihrxltoGBjg/edit#gid=934712705"",""ESENCIAL!A6:BG""),8,FALSE))"),"")</f>
        <v/>
      </c>
      <c r="K425" s="287"/>
      <c r="S425" s="66"/>
      <c r="T425" s="66"/>
      <c r="U425" s="66"/>
      <c r="AT425" s="41" t="str">
        <f>IF(D425&gt;0,IF(AND(#REF!=1,#REF!=1),"Procede_E_P","NO_CUMPLE"),"")</f>
        <v/>
      </c>
      <c r="AU425" s="5" t="str">
        <f ca="1">IFERROR(__xludf.DUMMYFUNCTION("IFERROR(VLOOKUP(E486&amp;F486,IMPORTRANGE(""https://docs.google.com/spreadsheets/d/1Uw7-A9f9R21vMXxHZFNpYNeKFtG8_yji4HS352LGlSQ/edit?pli=1#gid=0"",""1_ACUM!A4:S""),11,FALSE))"),"")</f>
        <v/>
      </c>
      <c r="AV425" s="42" t="str">
        <f ca="1">IFERROR(__xludf.DUMMYFUNCTION("IFERROR(VLOOKUP(F486,IMPORTRANGE(""https://docs.google.com/spreadsheets/d/1Kvs4KS76FHFqLFIZfrDMff4kP08nblUkihrxltoGBjg/edit#gid=934712705"",""ESENCIAL!A6:BG""),15,FALSE))"),"")</f>
        <v/>
      </c>
    </row>
    <row r="426" spans="1:48" ht="15">
      <c r="A426" s="5"/>
      <c r="E426" s="66"/>
      <c r="F426" s="5" t="str">
        <f ca="1">IFERROR(__xludf.DUMMYFUNCTION("IFERROR(VLOOKUP(F487,IMPORTRANGE(""https://docs.google.com/spreadsheets/d/1Kvs4KS76FHFqLFIZfrDMff4kP08nblUkihrxltoGBjg/edit#gid=934712705"",""ESENCIAL!A6:BG""),3,FALSE))"),"")</f>
        <v/>
      </c>
      <c r="G426" s="5" t="str">
        <f ca="1">IFERROR(__xludf.DUMMYFUNCTION("IFERROR(VLOOKUP(F487,IMPORTRANGE(""https://docs.google.com/spreadsheets/d/1Kvs4KS76FHFqLFIZfrDMff4kP08nblUkihrxltoGBjg/edit#gid=934712705"",""ESENCIAL!A6:BG""),8,FALSE))"),"")</f>
        <v/>
      </c>
      <c r="K426" s="287"/>
      <c r="S426" s="66"/>
      <c r="T426" s="66"/>
      <c r="U426" s="66"/>
      <c r="AT426" s="41" t="str">
        <f>IF(D426&gt;0,IF(AND(#REF!=1,#REF!=1),"Procede_E_P","NO_CUMPLE"),"")</f>
        <v/>
      </c>
      <c r="AU426" s="5" t="str">
        <f ca="1">IFERROR(__xludf.DUMMYFUNCTION("IFERROR(VLOOKUP(E487&amp;F487,IMPORTRANGE(""https://docs.google.com/spreadsheets/d/1Uw7-A9f9R21vMXxHZFNpYNeKFtG8_yji4HS352LGlSQ/edit?pli=1#gid=0"",""1_ACUM!A4:S""),11,FALSE))"),"")</f>
        <v/>
      </c>
      <c r="AV426" s="42" t="str">
        <f ca="1">IFERROR(__xludf.DUMMYFUNCTION("IFERROR(VLOOKUP(F487,IMPORTRANGE(""https://docs.google.com/spreadsheets/d/1Kvs4KS76FHFqLFIZfrDMff4kP08nblUkihrxltoGBjg/edit#gid=934712705"",""ESENCIAL!A6:BG""),15,FALSE))"),"")</f>
        <v/>
      </c>
    </row>
    <row r="427" spans="1:48" ht="15">
      <c r="A427" s="5"/>
      <c r="E427" s="66"/>
      <c r="F427" s="5" t="str">
        <f ca="1">IFERROR(__xludf.DUMMYFUNCTION("IFERROR(VLOOKUP(F488,IMPORTRANGE(""https://docs.google.com/spreadsheets/d/1Kvs4KS76FHFqLFIZfrDMff4kP08nblUkihrxltoGBjg/edit#gid=934712705"",""ESENCIAL!A6:BG""),3,FALSE))"),"")</f>
        <v/>
      </c>
      <c r="G427" s="5" t="str">
        <f ca="1">IFERROR(__xludf.DUMMYFUNCTION("IFERROR(VLOOKUP(F488,IMPORTRANGE(""https://docs.google.com/spreadsheets/d/1Kvs4KS76FHFqLFIZfrDMff4kP08nblUkihrxltoGBjg/edit#gid=934712705"",""ESENCIAL!A6:BG""),8,FALSE))"),"")</f>
        <v/>
      </c>
      <c r="K427" s="287"/>
      <c r="S427" s="66"/>
      <c r="T427" s="66"/>
      <c r="U427" s="66"/>
      <c r="AT427" s="41" t="str">
        <f>IF(D427&gt;0,IF(AND(#REF!=1,#REF!=1),"Procede_E_P","NO_CUMPLE"),"")</f>
        <v/>
      </c>
      <c r="AU427" s="5" t="str">
        <f ca="1">IFERROR(__xludf.DUMMYFUNCTION("IFERROR(VLOOKUP(E488&amp;F488,IMPORTRANGE(""https://docs.google.com/spreadsheets/d/1Uw7-A9f9R21vMXxHZFNpYNeKFtG8_yji4HS352LGlSQ/edit?pli=1#gid=0"",""1_ACUM!A4:S""),11,FALSE))"),"")</f>
        <v/>
      </c>
      <c r="AV427" s="42" t="str">
        <f ca="1">IFERROR(__xludf.DUMMYFUNCTION("IFERROR(VLOOKUP(F488,IMPORTRANGE(""https://docs.google.com/spreadsheets/d/1Kvs4KS76FHFqLFIZfrDMff4kP08nblUkihrxltoGBjg/edit#gid=934712705"",""ESENCIAL!A6:BG""),15,FALSE))"),"")</f>
        <v/>
      </c>
    </row>
    <row r="428" spans="1:48" ht="15">
      <c r="A428" s="5"/>
      <c r="E428" s="66"/>
      <c r="F428" s="5" t="str">
        <f ca="1">IFERROR(__xludf.DUMMYFUNCTION("IFERROR(VLOOKUP(F489,IMPORTRANGE(""https://docs.google.com/spreadsheets/d/1Kvs4KS76FHFqLFIZfrDMff4kP08nblUkihrxltoGBjg/edit#gid=934712705"",""ESENCIAL!A6:BG""),3,FALSE))"),"")</f>
        <v/>
      </c>
      <c r="G428" s="5" t="str">
        <f ca="1">IFERROR(__xludf.DUMMYFUNCTION("IFERROR(VLOOKUP(F489,IMPORTRANGE(""https://docs.google.com/spreadsheets/d/1Kvs4KS76FHFqLFIZfrDMff4kP08nblUkihrxltoGBjg/edit#gid=934712705"",""ESENCIAL!A6:BG""),8,FALSE))"),"")</f>
        <v/>
      </c>
      <c r="K428" s="287"/>
      <c r="S428" s="66"/>
      <c r="T428" s="66"/>
      <c r="U428" s="66"/>
      <c r="AT428" s="41" t="str">
        <f>IF(D428&gt;0,IF(AND(#REF!=1,#REF!=1),"Procede_E_P","NO_CUMPLE"),"")</f>
        <v/>
      </c>
      <c r="AU428" s="5" t="str">
        <f ca="1">IFERROR(__xludf.DUMMYFUNCTION("IFERROR(VLOOKUP(E489&amp;F489,IMPORTRANGE(""https://docs.google.com/spreadsheets/d/1Uw7-A9f9R21vMXxHZFNpYNeKFtG8_yji4HS352LGlSQ/edit?pli=1#gid=0"",""1_ACUM!A4:S""),11,FALSE))"),"")</f>
        <v/>
      </c>
      <c r="AV428" s="42" t="str">
        <f ca="1">IFERROR(__xludf.DUMMYFUNCTION("IFERROR(VLOOKUP(F489,IMPORTRANGE(""https://docs.google.com/spreadsheets/d/1Kvs4KS76FHFqLFIZfrDMff4kP08nblUkihrxltoGBjg/edit#gid=934712705"",""ESENCIAL!A6:BG""),15,FALSE))"),"")</f>
        <v/>
      </c>
    </row>
    <row r="429" spans="1:48" ht="15">
      <c r="A429" s="5"/>
      <c r="E429" s="66"/>
      <c r="F429" s="5" t="str">
        <f ca="1">IFERROR(__xludf.DUMMYFUNCTION("IFERROR(VLOOKUP(F490,IMPORTRANGE(""https://docs.google.com/spreadsheets/d/1Kvs4KS76FHFqLFIZfrDMff4kP08nblUkihrxltoGBjg/edit#gid=934712705"",""ESENCIAL!A6:BG""),3,FALSE))"),"")</f>
        <v/>
      </c>
      <c r="G429" s="5" t="str">
        <f ca="1">IFERROR(__xludf.DUMMYFUNCTION("IFERROR(VLOOKUP(F490,IMPORTRANGE(""https://docs.google.com/spreadsheets/d/1Kvs4KS76FHFqLFIZfrDMff4kP08nblUkihrxltoGBjg/edit#gid=934712705"",""ESENCIAL!A6:BG""),8,FALSE))"),"")</f>
        <v/>
      </c>
      <c r="K429" s="287"/>
      <c r="S429" s="66"/>
      <c r="T429" s="66"/>
      <c r="U429" s="66"/>
      <c r="AT429" s="41" t="str">
        <f>IF(D429&gt;0,IF(AND(#REF!=1,#REF!=1),"Procede_E_P","NO_CUMPLE"),"")</f>
        <v/>
      </c>
      <c r="AU429" s="5" t="str">
        <f ca="1">IFERROR(__xludf.DUMMYFUNCTION("IFERROR(VLOOKUP(E490&amp;F490,IMPORTRANGE(""https://docs.google.com/spreadsheets/d/1Uw7-A9f9R21vMXxHZFNpYNeKFtG8_yji4HS352LGlSQ/edit?pli=1#gid=0"",""1_ACUM!A4:S""),11,FALSE))"),"")</f>
        <v/>
      </c>
      <c r="AV429" s="42" t="str">
        <f ca="1">IFERROR(__xludf.DUMMYFUNCTION("IFERROR(VLOOKUP(F490,IMPORTRANGE(""https://docs.google.com/spreadsheets/d/1Kvs4KS76FHFqLFIZfrDMff4kP08nblUkihrxltoGBjg/edit#gid=934712705"",""ESENCIAL!A6:BG""),15,FALSE))"),"")</f>
        <v/>
      </c>
    </row>
    <row r="430" spans="1:48" ht="15">
      <c r="A430" s="5"/>
      <c r="E430" s="66"/>
      <c r="F430" s="5" t="str">
        <f ca="1">IFERROR(__xludf.DUMMYFUNCTION("IFERROR(VLOOKUP(F491,IMPORTRANGE(""https://docs.google.com/spreadsheets/d/1Kvs4KS76FHFqLFIZfrDMff4kP08nblUkihrxltoGBjg/edit#gid=934712705"",""ESENCIAL!A6:BG""),3,FALSE))"),"")</f>
        <v/>
      </c>
      <c r="G430" s="5" t="str">
        <f ca="1">IFERROR(__xludf.DUMMYFUNCTION("IFERROR(VLOOKUP(F491,IMPORTRANGE(""https://docs.google.com/spreadsheets/d/1Kvs4KS76FHFqLFIZfrDMff4kP08nblUkihrxltoGBjg/edit#gid=934712705"",""ESENCIAL!A6:BG""),8,FALSE))"),"")</f>
        <v/>
      </c>
      <c r="K430" s="287"/>
      <c r="S430" s="66"/>
      <c r="T430" s="66"/>
      <c r="U430" s="66"/>
      <c r="AT430" s="41" t="str">
        <f>IF(D430&gt;0,IF(AND(#REF!=1,#REF!=1),"Procede_E_P","NO_CUMPLE"),"")</f>
        <v/>
      </c>
      <c r="AU430" s="5" t="str">
        <f ca="1">IFERROR(__xludf.DUMMYFUNCTION("IFERROR(VLOOKUP(E491&amp;F491,IMPORTRANGE(""https://docs.google.com/spreadsheets/d/1Uw7-A9f9R21vMXxHZFNpYNeKFtG8_yji4HS352LGlSQ/edit?pli=1#gid=0"",""1_ACUM!A4:S""),11,FALSE))"),"")</f>
        <v/>
      </c>
      <c r="AV430" s="42" t="str">
        <f ca="1">IFERROR(__xludf.DUMMYFUNCTION("IFERROR(VLOOKUP(F491,IMPORTRANGE(""https://docs.google.com/spreadsheets/d/1Kvs4KS76FHFqLFIZfrDMff4kP08nblUkihrxltoGBjg/edit#gid=934712705"",""ESENCIAL!A6:BG""),15,FALSE))"),"")</f>
        <v/>
      </c>
    </row>
    <row r="431" spans="1:48" ht="15">
      <c r="A431" s="5"/>
      <c r="E431" s="66"/>
      <c r="F431" s="5" t="str">
        <f ca="1">IFERROR(__xludf.DUMMYFUNCTION("IFERROR(VLOOKUP(F492,IMPORTRANGE(""https://docs.google.com/spreadsheets/d/1Kvs4KS76FHFqLFIZfrDMff4kP08nblUkihrxltoGBjg/edit#gid=934712705"",""ESENCIAL!A6:BG""),3,FALSE))"),"")</f>
        <v/>
      </c>
      <c r="G431" s="5" t="str">
        <f ca="1">IFERROR(__xludf.DUMMYFUNCTION("IFERROR(VLOOKUP(F492,IMPORTRANGE(""https://docs.google.com/spreadsheets/d/1Kvs4KS76FHFqLFIZfrDMff4kP08nblUkihrxltoGBjg/edit#gid=934712705"",""ESENCIAL!A6:BG""),8,FALSE))"),"")</f>
        <v/>
      </c>
      <c r="K431" s="287"/>
      <c r="S431" s="66"/>
      <c r="T431" s="66"/>
      <c r="U431" s="66"/>
      <c r="AT431" s="41" t="str">
        <f>IF(D431&gt;0,IF(AND(#REF!=1,#REF!=1),"Procede_E_P","NO_CUMPLE"),"")</f>
        <v/>
      </c>
      <c r="AU431" s="5" t="str">
        <f ca="1">IFERROR(__xludf.DUMMYFUNCTION("IFERROR(VLOOKUP(E492&amp;F492,IMPORTRANGE(""https://docs.google.com/spreadsheets/d/1Uw7-A9f9R21vMXxHZFNpYNeKFtG8_yji4HS352LGlSQ/edit?pli=1#gid=0"",""1_ACUM!A4:S""),11,FALSE))"),"")</f>
        <v/>
      </c>
      <c r="AV431" s="42" t="str">
        <f ca="1">IFERROR(__xludf.DUMMYFUNCTION("IFERROR(VLOOKUP(F492,IMPORTRANGE(""https://docs.google.com/spreadsheets/d/1Kvs4KS76FHFqLFIZfrDMff4kP08nblUkihrxltoGBjg/edit#gid=934712705"",""ESENCIAL!A6:BG""),15,FALSE))"),"")</f>
        <v/>
      </c>
    </row>
    <row r="432" spans="1:48" ht="15">
      <c r="A432" s="5"/>
      <c r="E432" s="66"/>
      <c r="F432" s="5" t="str">
        <f ca="1">IFERROR(__xludf.DUMMYFUNCTION("IFERROR(VLOOKUP(F493,IMPORTRANGE(""https://docs.google.com/spreadsheets/d/1Kvs4KS76FHFqLFIZfrDMff4kP08nblUkihrxltoGBjg/edit#gid=934712705"",""ESENCIAL!A6:BG""),3,FALSE))"),"")</f>
        <v/>
      </c>
      <c r="G432" s="5" t="str">
        <f ca="1">IFERROR(__xludf.DUMMYFUNCTION("IFERROR(VLOOKUP(F493,IMPORTRANGE(""https://docs.google.com/spreadsheets/d/1Kvs4KS76FHFqLFIZfrDMff4kP08nblUkihrxltoGBjg/edit#gid=934712705"",""ESENCIAL!A6:BG""),8,FALSE))"),"")</f>
        <v/>
      </c>
      <c r="K432" s="287"/>
      <c r="S432" s="66"/>
      <c r="T432" s="66"/>
      <c r="U432" s="66"/>
      <c r="AT432" s="41" t="str">
        <f>IF(D432&gt;0,IF(AND(#REF!=1,#REF!=1),"Procede_E_P","NO_CUMPLE"),"")</f>
        <v/>
      </c>
      <c r="AU432" s="5" t="str">
        <f ca="1">IFERROR(__xludf.DUMMYFUNCTION("IFERROR(VLOOKUP(E493&amp;F493,IMPORTRANGE(""https://docs.google.com/spreadsheets/d/1Uw7-A9f9R21vMXxHZFNpYNeKFtG8_yji4HS352LGlSQ/edit?pli=1#gid=0"",""1_ACUM!A4:S""),11,FALSE))"),"")</f>
        <v/>
      </c>
      <c r="AV432" s="42" t="str">
        <f ca="1">IFERROR(__xludf.DUMMYFUNCTION("IFERROR(VLOOKUP(F493,IMPORTRANGE(""https://docs.google.com/spreadsheets/d/1Kvs4KS76FHFqLFIZfrDMff4kP08nblUkihrxltoGBjg/edit#gid=934712705"",""ESENCIAL!A6:BG""),15,FALSE))"),"")</f>
        <v/>
      </c>
    </row>
    <row r="433" spans="1:48" ht="15">
      <c r="A433" s="5"/>
      <c r="E433" s="66"/>
      <c r="F433" s="5" t="str">
        <f ca="1">IFERROR(__xludf.DUMMYFUNCTION("IFERROR(VLOOKUP(F494,IMPORTRANGE(""https://docs.google.com/spreadsheets/d/1Kvs4KS76FHFqLFIZfrDMff4kP08nblUkihrxltoGBjg/edit#gid=934712705"",""ESENCIAL!A6:BG""),3,FALSE))"),"")</f>
        <v/>
      </c>
      <c r="G433" s="5" t="str">
        <f ca="1">IFERROR(__xludf.DUMMYFUNCTION("IFERROR(VLOOKUP(F494,IMPORTRANGE(""https://docs.google.com/spreadsheets/d/1Kvs4KS76FHFqLFIZfrDMff4kP08nblUkihrxltoGBjg/edit#gid=934712705"",""ESENCIAL!A6:BG""),8,FALSE))"),"")</f>
        <v/>
      </c>
      <c r="K433" s="287"/>
      <c r="S433" s="66"/>
      <c r="T433" s="66"/>
      <c r="U433" s="66"/>
      <c r="AT433" s="41" t="str">
        <f>IF(D433&gt;0,IF(AND(#REF!=1,#REF!=1),"Procede_E_P","NO_CUMPLE"),"")</f>
        <v/>
      </c>
      <c r="AU433" s="5" t="str">
        <f ca="1">IFERROR(__xludf.DUMMYFUNCTION("IFERROR(VLOOKUP(E494&amp;F494,IMPORTRANGE(""https://docs.google.com/spreadsheets/d/1Uw7-A9f9R21vMXxHZFNpYNeKFtG8_yji4HS352LGlSQ/edit?pli=1#gid=0"",""1_ACUM!A4:S""),11,FALSE))"),"")</f>
        <v/>
      </c>
      <c r="AV433" s="42" t="str">
        <f ca="1">IFERROR(__xludf.DUMMYFUNCTION("IFERROR(VLOOKUP(F494,IMPORTRANGE(""https://docs.google.com/spreadsheets/d/1Kvs4KS76FHFqLFIZfrDMff4kP08nblUkihrxltoGBjg/edit#gid=934712705"",""ESENCIAL!A6:BG""),15,FALSE))"),"")</f>
        <v/>
      </c>
    </row>
    <row r="434" spans="1:48" ht="15">
      <c r="A434" s="5"/>
      <c r="E434" s="66"/>
      <c r="F434" s="5" t="str">
        <f ca="1">IFERROR(__xludf.DUMMYFUNCTION("IFERROR(VLOOKUP(F495,IMPORTRANGE(""https://docs.google.com/spreadsheets/d/1Kvs4KS76FHFqLFIZfrDMff4kP08nblUkihrxltoGBjg/edit#gid=934712705"",""ESENCIAL!A6:BG""),3,FALSE))"),"")</f>
        <v/>
      </c>
      <c r="G434" s="5" t="str">
        <f ca="1">IFERROR(__xludf.DUMMYFUNCTION("IFERROR(VLOOKUP(F495,IMPORTRANGE(""https://docs.google.com/spreadsheets/d/1Kvs4KS76FHFqLFIZfrDMff4kP08nblUkihrxltoGBjg/edit#gid=934712705"",""ESENCIAL!A6:BG""),8,FALSE))"),"")</f>
        <v/>
      </c>
      <c r="K434" s="287"/>
      <c r="S434" s="66"/>
      <c r="T434" s="66"/>
      <c r="U434" s="66"/>
      <c r="AT434" s="41" t="str">
        <f>IF(D434&gt;0,IF(AND(#REF!=1,#REF!=1),"Procede_E_P","NO_CUMPLE"),"")</f>
        <v/>
      </c>
      <c r="AU434" s="5" t="str">
        <f ca="1">IFERROR(__xludf.DUMMYFUNCTION("IFERROR(VLOOKUP(E495&amp;F495,IMPORTRANGE(""https://docs.google.com/spreadsheets/d/1Uw7-A9f9R21vMXxHZFNpYNeKFtG8_yji4HS352LGlSQ/edit?pli=1#gid=0"",""1_ACUM!A4:S""),11,FALSE))"),"")</f>
        <v/>
      </c>
      <c r="AV434" s="42" t="str">
        <f ca="1">IFERROR(__xludf.DUMMYFUNCTION("IFERROR(VLOOKUP(F495,IMPORTRANGE(""https://docs.google.com/spreadsheets/d/1Kvs4KS76FHFqLFIZfrDMff4kP08nblUkihrxltoGBjg/edit#gid=934712705"",""ESENCIAL!A6:BG""),15,FALSE))"),"")</f>
        <v/>
      </c>
    </row>
    <row r="435" spans="1:48" ht="15">
      <c r="A435" s="5"/>
      <c r="E435" s="66"/>
      <c r="F435" s="5" t="str">
        <f ca="1">IFERROR(__xludf.DUMMYFUNCTION("IFERROR(VLOOKUP(F496,IMPORTRANGE(""https://docs.google.com/spreadsheets/d/1Kvs4KS76FHFqLFIZfrDMff4kP08nblUkihrxltoGBjg/edit#gid=934712705"",""ESENCIAL!A6:BG""),3,FALSE))"),"")</f>
        <v/>
      </c>
      <c r="G435" s="5" t="str">
        <f ca="1">IFERROR(__xludf.DUMMYFUNCTION("IFERROR(VLOOKUP(F496,IMPORTRANGE(""https://docs.google.com/spreadsheets/d/1Kvs4KS76FHFqLFIZfrDMff4kP08nblUkihrxltoGBjg/edit#gid=934712705"",""ESENCIAL!A6:BG""),8,FALSE))"),"")</f>
        <v/>
      </c>
      <c r="K435" s="287"/>
      <c r="S435" s="66"/>
      <c r="T435" s="66"/>
      <c r="U435" s="66"/>
      <c r="AT435" s="41" t="str">
        <f>IF(D435&gt;0,IF(AND(#REF!=1,#REF!=1),"Procede_E_P","NO_CUMPLE"),"")</f>
        <v/>
      </c>
      <c r="AU435" s="5" t="str">
        <f ca="1">IFERROR(__xludf.DUMMYFUNCTION("IFERROR(VLOOKUP(E496&amp;F496,IMPORTRANGE(""https://docs.google.com/spreadsheets/d/1Uw7-A9f9R21vMXxHZFNpYNeKFtG8_yji4HS352LGlSQ/edit?pli=1#gid=0"",""1_ACUM!A4:S""),11,FALSE))"),"")</f>
        <v/>
      </c>
      <c r="AV435" s="42" t="str">
        <f ca="1">IFERROR(__xludf.DUMMYFUNCTION("IFERROR(VLOOKUP(F496,IMPORTRANGE(""https://docs.google.com/spreadsheets/d/1Kvs4KS76FHFqLFIZfrDMff4kP08nblUkihrxltoGBjg/edit#gid=934712705"",""ESENCIAL!A6:BG""),15,FALSE))"),"")</f>
        <v/>
      </c>
    </row>
    <row r="436" spans="1:48" ht="15">
      <c r="A436" s="5"/>
      <c r="E436" s="66"/>
      <c r="F436" s="5" t="str">
        <f ca="1">IFERROR(__xludf.DUMMYFUNCTION("IFERROR(VLOOKUP(F497,IMPORTRANGE(""https://docs.google.com/spreadsheets/d/1Kvs4KS76FHFqLFIZfrDMff4kP08nblUkihrxltoGBjg/edit#gid=934712705"",""ESENCIAL!A6:BG""),3,FALSE))"),"")</f>
        <v/>
      </c>
      <c r="G436" s="5" t="str">
        <f ca="1">IFERROR(__xludf.DUMMYFUNCTION("IFERROR(VLOOKUP(F497,IMPORTRANGE(""https://docs.google.com/spreadsheets/d/1Kvs4KS76FHFqLFIZfrDMff4kP08nblUkihrxltoGBjg/edit#gid=934712705"",""ESENCIAL!A6:BG""),8,FALSE))"),"")</f>
        <v/>
      </c>
      <c r="K436" s="287"/>
      <c r="S436" s="66"/>
      <c r="T436" s="66"/>
      <c r="U436" s="66"/>
      <c r="AT436" s="41" t="str">
        <f>IF(D436&gt;0,IF(AND(#REF!=1,#REF!=1),"Procede_E_P","NO_CUMPLE"),"")</f>
        <v/>
      </c>
      <c r="AU436" s="5" t="str">
        <f ca="1">IFERROR(__xludf.DUMMYFUNCTION("IFERROR(VLOOKUP(E497&amp;F497,IMPORTRANGE(""https://docs.google.com/spreadsheets/d/1Uw7-A9f9R21vMXxHZFNpYNeKFtG8_yji4HS352LGlSQ/edit?pli=1#gid=0"",""1_ACUM!A4:S""),11,FALSE))"),"")</f>
        <v/>
      </c>
      <c r="AV436" s="42" t="str">
        <f ca="1">IFERROR(__xludf.DUMMYFUNCTION("IFERROR(VLOOKUP(F497,IMPORTRANGE(""https://docs.google.com/spreadsheets/d/1Kvs4KS76FHFqLFIZfrDMff4kP08nblUkihrxltoGBjg/edit#gid=934712705"",""ESENCIAL!A6:BG""),15,FALSE))"),"")</f>
        <v/>
      </c>
    </row>
    <row r="437" spans="1:48" ht="15">
      <c r="A437" s="5"/>
      <c r="E437" s="66"/>
      <c r="F437" s="5" t="str">
        <f ca="1">IFERROR(__xludf.DUMMYFUNCTION("IFERROR(VLOOKUP(F498,IMPORTRANGE(""https://docs.google.com/spreadsheets/d/1Kvs4KS76FHFqLFIZfrDMff4kP08nblUkihrxltoGBjg/edit#gid=934712705"",""ESENCIAL!A6:BG""),3,FALSE))"),"")</f>
        <v/>
      </c>
      <c r="G437" s="5" t="str">
        <f ca="1">IFERROR(__xludf.DUMMYFUNCTION("IFERROR(VLOOKUP(F498,IMPORTRANGE(""https://docs.google.com/spreadsheets/d/1Kvs4KS76FHFqLFIZfrDMff4kP08nblUkihrxltoGBjg/edit#gid=934712705"",""ESENCIAL!A6:BG""),8,FALSE))"),"")</f>
        <v/>
      </c>
      <c r="K437" s="287"/>
      <c r="S437" s="66"/>
      <c r="T437" s="66"/>
      <c r="U437" s="66"/>
      <c r="AT437" s="41" t="str">
        <f>IF(D437&gt;0,IF(AND(#REF!=1,#REF!=1),"Procede_E_P","NO_CUMPLE"),"")</f>
        <v/>
      </c>
      <c r="AU437" s="5" t="str">
        <f ca="1">IFERROR(__xludf.DUMMYFUNCTION("IFERROR(VLOOKUP(E498&amp;F498,IMPORTRANGE(""https://docs.google.com/spreadsheets/d/1Uw7-A9f9R21vMXxHZFNpYNeKFtG8_yji4HS352LGlSQ/edit?pli=1#gid=0"",""1_ACUM!A4:S""),11,FALSE))"),"")</f>
        <v/>
      </c>
      <c r="AV437" s="42" t="str">
        <f ca="1">IFERROR(__xludf.DUMMYFUNCTION("IFERROR(VLOOKUP(F498,IMPORTRANGE(""https://docs.google.com/spreadsheets/d/1Kvs4KS76FHFqLFIZfrDMff4kP08nblUkihrxltoGBjg/edit#gid=934712705"",""ESENCIAL!A6:BG""),15,FALSE))"),"")</f>
        <v/>
      </c>
    </row>
    <row r="438" spans="1:48" ht="15">
      <c r="A438" s="5"/>
      <c r="E438" s="66"/>
      <c r="F438" s="5" t="str">
        <f ca="1">IFERROR(__xludf.DUMMYFUNCTION("IFERROR(VLOOKUP(F499,IMPORTRANGE(""https://docs.google.com/spreadsheets/d/1Kvs4KS76FHFqLFIZfrDMff4kP08nblUkihrxltoGBjg/edit#gid=934712705"",""ESENCIAL!A6:BG""),3,FALSE))"),"")</f>
        <v/>
      </c>
      <c r="G438" s="5" t="str">
        <f ca="1">IFERROR(__xludf.DUMMYFUNCTION("IFERROR(VLOOKUP(F499,IMPORTRANGE(""https://docs.google.com/spreadsheets/d/1Kvs4KS76FHFqLFIZfrDMff4kP08nblUkihrxltoGBjg/edit#gid=934712705"",""ESENCIAL!A6:BG""),8,FALSE))"),"")</f>
        <v/>
      </c>
      <c r="K438" s="287"/>
      <c r="S438" s="66"/>
      <c r="T438" s="66"/>
      <c r="U438" s="66"/>
      <c r="AT438" s="41" t="str">
        <f>IF(D438&gt;0,IF(AND(#REF!=1,#REF!=1),"Procede_E_P","NO_CUMPLE"),"")</f>
        <v/>
      </c>
      <c r="AU438" s="5" t="str">
        <f ca="1">IFERROR(__xludf.DUMMYFUNCTION("IFERROR(VLOOKUP(E499&amp;F499,IMPORTRANGE(""https://docs.google.com/spreadsheets/d/1Uw7-A9f9R21vMXxHZFNpYNeKFtG8_yji4HS352LGlSQ/edit?pli=1#gid=0"",""1_ACUM!A4:S""),11,FALSE))"),"")</f>
        <v/>
      </c>
      <c r="AV438" s="42" t="str">
        <f ca="1">IFERROR(__xludf.DUMMYFUNCTION("IFERROR(VLOOKUP(F499,IMPORTRANGE(""https://docs.google.com/spreadsheets/d/1Kvs4KS76FHFqLFIZfrDMff4kP08nblUkihrxltoGBjg/edit#gid=934712705"",""ESENCIAL!A6:BG""),15,FALSE))"),"")</f>
        <v/>
      </c>
    </row>
    <row r="439" spans="1:48" ht="15">
      <c r="A439" s="5"/>
      <c r="E439" s="66"/>
      <c r="F439" s="5" t="str">
        <f ca="1">IFERROR(__xludf.DUMMYFUNCTION("IFERROR(VLOOKUP(F500,IMPORTRANGE(""https://docs.google.com/spreadsheets/d/1Kvs4KS76FHFqLFIZfrDMff4kP08nblUkihrxltoGBjg/edit#gid=934712705"",""ESENCIAL!A6:BG""),3,FALSE))"),"")</f>
        <v/>
      </c>
      <c r="G439" s="5" t="str">
        <f ca="1">IFERROR(__xludf.DUMMYFUNCTION("IFERROR(VLOOKUP(F500,IMPORTRANGE(""https://docs.google.com/spreadsheets/d/1Kvs4KS76FHFqLFIZfrDMff4kP08nblUkihrxltoGBjg/edit#gid=934712705"",""ESENCIAL!A6:BG""),8,FALSE))"),"")</f>
        <v/>
      </c>
      <c r="K439" s="287"/>
      <c r="S439" s="66"/>
      <c r="T439" s="66"/>
      <c r="U439" s="66"/>
      <c r="AT439" s="41" t="str">
        <f>IF(D439&gt;0,IF(AND(#REF!=1,#REF!=1),"Procede_E_P","NO_CUMPLE"),"")</f>
        <v/>
      </c>
      <c r="AU439" s="5" t="str">
        <f ca="1">IFERROR(__xludf.DUMMYFUNCTION("IFERROR(VLOOKUP(E500&amp;F500,IMPORTRANGE(""https://docs.google.com/spreadsheets/d/1Uw7-A9f9R21vMXxHZFNpYNeKFtG8_yji4HS352LGlSQ/edit?pli=1#gid=0"",""1_ACUM!A4:S""),11,FALSE))"),"")</f>
        <v/>
      </c>
      <c r="AV439" s="42" t="str">
        <f ca="1">IFERROR(__xludf.DUMMYFUNCTION("IFERROR(VLOOKUP(F500,IMPORTRANGE(""https://docs.google.com/spreadsheets/d/1Kvs4KS76FHFqLFIZfrDMff4kP08nblUkihrxltoGBjg/edit#gid=934712705"",""ESENCIAL!A6:BG""),15,FALSE))"),"")</f>
        <v/>
      </c>
    </row>
    <row r="440" spans="1:48" ht="15">
      <c r="A440" s="5"/>
      <c r="E440" s="66"/>
      <c r="F440" s="5" t="str">
        <f ca="1">IFERROR(__xludf.DUMMYFUNCTION("IFERROR(VLOOKUP(F501,IMPORTRANGE(""https://docs.google.com/spreadsheets/d/1Kvs4KS76FHFqLFIZfrDMff4kP08nblUkihrxltoGBjg/edit#gid=934712705"",""ESENCIAL!A6:BG""),3,FALSE))"),"")</f>
        <v/>
      </c>
      <c r="G440" s="5" t="str">
        <f ca="1">IFERROR(__xludf.DUMMYFUNCTION("IFERROR(VLOOKUP(F501,IMPORTRANGE(""https://docs.google.com/spreadsheets/d/1Kvs4KS76FHFqLFIZfrDMff4kP08nblUkihrxltoGBjg/edit#gid=934712705"",""ESENCIAL!A6:BG""),8,FALSE))"),"")</f>
        <v/>
      </c>
      <c r="K440" s="287"/>
      <c r="S440" s="66"/>
      <c r="T440" s="66"/>
      <c r="U440" s="66"/>
      <c r="AT440" s="41" t="str">
        <f>IF(D440&gt;0,IF(AND(#REF!=1,#REF!=1),"Procede_E_P","NO_CUMPLE"),"")</f>
        <v/>
      </c>
      <c r="AU440" s="5" t="str">
        <f ca="1">IFERROR(__xludf.DUMMYFUNCTION("IFERROR(VLOOKUP(E501&amp;F501,IMPORTRANGE(""https://docs.google.com/spreadsheets/d/1Uw7-A9f9R21vMXxHZFNpYNeKFtG8_yji4HS352LGlSQ/edit?pli=1#gid=0"",""1_ACUM!A4:S""),11,FALSE))"),"")</f>
        <v/>
      </c>
      <c r="AV440" s="42" t="str">
        <f ca="1">IFERROR(__xludf.DUMMYFUNCTION("IFERROR(VLOOKUP(F501,IMPORTRANGE(""https://docs.google.com/spreadsheets/d/1Kvs4KS76FHFqLFIZfrDMff4kP08nblUkihrxltoGBjg/edit#gid=934712705"",""ESENCIAL!A6:BG""),15,FALSE))"),"")</f>
        <v/>
      </c>
    </row>
    <row r="441" spans="1:48" ht="15">
      <c r="A441" s="5"/>
      <c r="E441" s="66"/>
      <c r="F441" s="5" t="str">
        <f ca="1">IFERROR(__xludf.DUMMYFUNCTION("IFERROR(VLOOKUP(F502,IMPORTRANGE(""https://docs.google.com/spreadsheets/d/1Kvs4KS76FHFqLFIZfrDMff4kP08nblUkihrxltoGBjg/edit#gid=934712705"",""ESENCIAL!A6:BG""),3,FALSE))"),"")</f>
        <v/>
      </c>
      <c r="G441" s="5" t="str">
        <f ca="1">IFERROR(__xludf.DUMMYFUNCTION("IFERROR(VLOOKUP(F502,IMPORTRANGE(""https://docs.google.com/spreadsheets/d/1Kvs4KS76FHFqLFIZfrDMff4kP08nblUkihrxltoGBjg/edit#gid=934712705"",""ESENCIAL!A6:BG""),8,FALSE))"),"")</f>
        <v/>
      </c>
      <c r="K441" s="287"/>
      <c r="S441" s="66"/>
      <c r="T441" s="66"/>
      <c r="U441" s="66"/>
      <c r="AT441" s="41" t="str">
        <f>IF(D441&gt;0,IF(AND(#REF!=1,#REF!=1),"Procede_E_P","NO_CUMPLE"),"")</f>
        <v/>
      </c>
      <c r="AU441" s="5" t="str">
        <f ca="1">IFERROR(__xludf.DUMMYFUNCTION("IFERROR(VLOOKUP(E502&amp;F502,IMPORTRANGE(""https://docs.google.com/spreadsheets/d/1Uw7-A9f9R21vMXxHZFNpYNeKFtG8_yji4HS352LGlSQ/edit?pli=1#gid=0"",""1_ACUM!A4:S""),11,FALSE))"),"")</f>
        <v/>
      </c>
      <c r="AV441" s="42" t="str">
        <f ca="1">IFERROR(__xludf.DUMMYFUNCTION("IFERROR(VLOOKUP(F502,IMPORTRANGE(""https://docs.google.com/spreadsheets/d/1Kvs4KS76FHFqLFIZfrDMff4kP08nblUkihrxltoGBjg/edit#gid=934712705"",""ESENCIAL!A6:BG""),15,FALSE))"),"")</f>
        <v/>
      </c>
    </row>
    <row r="442" spans="1:48" ht="15">
      <c r="A442" s="5"/>
      <c r="E442" s="66"/>
      <c r="F442" s="5" t="str">
        <f ca="1">IFERROR(__xludf.DUMMYFUNCTION("IFERROR(VLOOKUP(F503,IMPORTRANGE(""https://docs.google.com/spreadsheets/d/1Kvs4KS76FHFqLFIZfrDMff4kP08nblUkihrxltoGBjg/edit#gid=934712705"",""ESENCIAL!A6:BG""),3,FALSE))"),"")</f>
        <v/>
      </c>
      <c r="G442" s="5" t="str">
        <f ca="1">IFERROR(__xludf.DUMMYFUNCTION("IFERROR(VLOOKUP(F503,IMPORTRANGE(""https://docs.google.com/spreadsheets/d/1Kvs4KS76FHFqLFIZfrDMff4kP08nblUkihrxltoGBjg/edit#gid=934712705"",""ESENCIAL!A6:BG""),8,FALSE))"),"")</f>
        <v/>
      </c>
      <c r="K442" s="287"/>
      <c r="S442" s="66"/>
      <c r="T442" s="66"/>
      <c r="U442" s="66"/>
      <c r="AT442" s="41" t="str">
        <f>IF(D442&gt;0,IF(AND(#REF!=1,#REF!=1),"Procede_E_P","NO_CUMPLE"),"")</f>
        <v/>
      </c>
      <c r="AU442" s="5" t="str">
        <f ca="1">IFERROR(__xludf.DUMMYFUNCTION("IFERROR(VLOOKUP(E503&amp;F503,IMPORTRANGE(""https://docs.google.com/spreadsheets/d/1Uw7-A9f9R21vMXxHZFNpYNeKFtG8_yji4HS352LGlSQ/edit?pli=1#gid=0"",""1_ACUM!A4:S""),11,FALSE))"),"")</f>
        <v/>
      </c>
      <c r="AV442" s="42" t="str">
        <f ca="1">IFERROR(__xludf.DUMMYFUNCTION("IFERROR(VLOOKUP(F503,IMPORTRANGE(""https://docs.google.com/spreadsheets/d/1Kvs4KS76FHFqLFIZfrDMff4kP08nblUkihrxltoGBjg/edit#gid=934712705"",""ESENCIAL!A6:BG""),15,FALSE))"),"")</f>
        <v/>
      </c>
    </row>
    <row r="443" spans="1:48" ht="15">
      <c r="A443" s="5"/>
      <c r="E443" s="66"/>
      <c r="F443" s="5" t="str">
        <f ca="1">IFERROR(__xludf.DUMMYFUNCTION("IFERROR(VLOOKUP(F504,IMPORTRANGE(""https://docs.google.com/spreadsheets/d/1Kvs4KS76FHFqLFIZfrDMff4kP08nblUkihrxltoGBjg/edit#gid=934712705"",""ESENCIAL!A6:BG""),3,FALSE))"),"")</f>
        <v/>
      </c>
      <c r="G443" s="5" t="str">
        <f ca="1">IFERROR(__xludf.DUMMYFUNCTION("IFERROR(VLOOKUP(F504,IMPORTRANGE(""https://docs.google.com/spreadsheets/d/1Kvs4KS76FHFqLFIZfrDMff4kP08nblUkihrxltoGBjg/edit#gid=934712705"",""ESENCIAL!A6:BG""),8,FALSE))"),"")</f>
        <v/>
      </c>
      <c r="K443" s="287"/>
      <c r="S443" s="66"/>
      <c r="T443" s="66"/>
      <c r="U443" s="66"/>
      <c r="AT443" s="41" t="str">
        <f>IF(D443&gt;0,IF(AND(#REF!=1,#REF!=1),"Procede_E_P","NO_CUMPLE"),"")</f>
        <v/>
      </c>
      <c r="AU443" s="5" t="str">
        <f ca="1">IFERROR(__xludf.DUMMYFUNCTION("IFERROR(VLOOKUP(E504&amp;F504,IMPORTRANGE(""https://docs.google.com/spreadsheets/d/1Uw7-A9f9R21vMXxHZFNpYNeKFtG8_yji4HS352LGlSQ/edit?pli=1#gid=0"",""1_ACUM!A4:S""),11,FALSE))"),"")</f>
        <v/>
      </c>
      <c r="AV443" s="42" t="str">
        <f ca="1">IFERROR(__xludf.DUMMYFUNCTION("IFERROR(VLOOKUP(F504,IMPORTRANGE(""https://docs.google.com/spreadsheets/d/1Kvs4KS76FHFqLFIZfrDMff4kP08nblUkihrxltoGBjg/edit#gid=934712705"",""ESENCIAL!A6:BG""),15,FALSE))"),"")</f>
        <v/>
      </c>
    </row>
    <row r="444" spans="1:48" ht="15">
      <c r="A444" s="5"/>
      <c r="E444" s="66"/>
      <c r="F444" s="5" t="str">
        <f ca="1">IFERROR(__xludf.DUMMYFUNCTION("IFERROR(VLOOKUP(F505,IMPORTRANGE(""https://docs.google.com/spreadsheets/d/1Kvs4KS76FHFqLFIZfrDMff4kP08nblUkihrxltoGBjg/edit#gid=934712705"",""ESENCIAL!A6:BG""),3,FALSE))"),"")</f>
        <v/>
      </c>
      <c r="G444" s="5" t="str">
        <f ca="1">IFERROR(__xludf.DUMMYFUNCTION("IFERROR(VLOOKUP(F505,IMPORTRANGE(""https://docs.google.com/spreadsheets/d/1Kvs4KS76FHFqLFIZfrDMff4kP08nblUkihrxltoGBjg/edit#gid=934712705"",""ESENCIAL!A6:BG""),8,FALSE))"),"")</f>
        <v/>
      </c>
      <c r="K444" s="287"/>
      <c r="S444" s="66"/>
      <c r="T444" s="66"/>
      <c r="U444" s="66"/>
      <c r="AT444" s="41" t="str">
        <f>IF(D444&gt;0,IF(AND(#REF!=1,#REF!=1),"Procede_E_P","NO_CUMPLE"),"")</f>
        <v/>
      </c>
      <c r="AU444" s="5" t="str">
        <f ca="1">IFERROR(__xludf.DUMMYFUNCTION("IFERROR(VLOOKUP(E505&amp;F505,IMPORTRANGE(""https://docs.google.com/spreadsheets/d/1Uw7-A9f9R21vMXxHZFNpYNeKFtG8_yji4HS352LGlSQ/edit?pli=1#gid=0"",""1_ACUM!A4:S""),11,FALSE))"),"")</f>
        <v/>
      </c>
      <c r="AV444" s="42" t="str">
        <f ca="1">IFERROR(__xludf.DUMMYFUNCTION("IFERROR(VLOOKUP(F505,IMPORTRANGE(""https://docs.google.com/spreadsheets/d/1Kvs4KS76FHFqLFIZfrDMff4kP08nblUkihrxltoGBjg/edit#gid=934712705"",""ESENCIAL!A6:BG""),15,FALSE))"),"")</f>
        <v/>
      </c>
    </row>
    <row r="445" spans="1:48" ht="15">
      <c r="A445" s="5"/>
      <c r="E445" s="66"/>
      <c r="F445" s="5" t="str">
        <f ca="1">IFERROR(__xludf.DUMMYFUNCTION("IFERROR(VLOOKUP(F506,IMPORTRANGE(""https://docs.google.com/spreadsheets/d/1Kvs4KS76FHFqLFIZfrDMff4kP08nblUkihrxltoGBjg/edit#gid=934712705"",""ESENCIAL!A6:BG""),3,FALSE))"),"")</f>
        <v/>
      </c>
      <c r="G445" s="5" t="str">
        <f ca="1">IFERROR(__xludf.DUMMYFUNCTION("IFERROR(VLOOKUP(F506,IMPORTRANGE(""https://docs.google.com/spreadsheets/d/1Kvs4KS76FHFqLFIZfrDMff4kP08nblUkihrxltoGBjg/edit#gid=934712705"",""ESENCIAL!A6:BG""),8,FALSE))"),"")</f>
        <v/>
      </c>
      <c r="K445" s="287"/>
      <c r="S445" s="66"/>
      <c r="T445" s="66"/>
      <c r="U445" s="66"/>
      <c r="AT445" s="41" t="str">
        <f>IF(D445&gt;0,IF(AND(#REF!=1,#REF!=1),"Procede_E_P","NO_CUMPLE"),"")</f>
        <v/>
      </c>
      <c r="AU445" s="5" t="str">
        <f ca="1">IFERROR(__xludf.DUMMYFUNCTION("IFERROR(VLOOKUP(E506&amp;F506,IMPORTRANGE(""https://docs.google.com/spreadsheets/d/1Uw7-A9f9R21vMXxHZFNpYNeKFtG8_yji4HS352LGlSQ/edit?pli=1#gid=0"",""1_ACUM!A4:S""),11,FALSE))"),"")</f>
        <v/>
      </c>
      <c r="AV445" s="42" t="str">
        <f ca="1">IFERROR(__xludf.DUMMYFUNCTION("IFERROR(VLOOKUP(F506,IMPORTRANGE(""https://docs.google.com/spreadsheets/d/1Kvs4KS76FHFqLFIZfrDMff4kP08nblUkihrxltoGBjg/edit#gid=934712705"",""ESENCIAL!A6:BG""),15,FALSE))"),"")</f>
        <v/>
      </c>
    </row>
    <row r="446" spans="1:48" ht="15">
      <c r="A446" s="5"/>
      <c r="E446" s="66"/>
      <c r="F446" s="5" t="str">
        <f ca="1">IFERROR(__xludf.DUMMYFUNCTION("IFERROR(VLOOKUP(F507,IMPORTRANGE(""https://docs.google.com/spreadsheets/d/1Kvs4KS76FHFqLFIZfrDMff4kP08nblUkihrxltoGBjg/edit#gid=934712705"",""ESENCIAL!A6:BG""),3,FALSE))"),"")</f>
        <v/>
      </c>
      <c r="G446" s="5" t="str">
        <f ca="1">IFERROR(__xludf.DUMMYFUNCTION("IFERROR(VLOOKUP(F507,IMPORTRANGE(""https://docs.google.com/spreadsheets/d/1Kvs4KS76FHFqLFIZfrDMff4kP08nblUkihrxltoGBjg/edit#gid=934712705"",""ESENCIAL!A6:BG""),8,FALSE))"),"")</f>
        <v/>
      </c>
      <c r="K446" s="287"/>
      <c r="S446" s="66"/>
      <c r="T446" s="66"/>
      <c r="U446" s="66"/>
      <c r="AT446" s="41" t="str">
        <f>IF(D446&gt;0,IF(AND(#REF!=1,#REF!=1),"Procede_E_P","NO_CUMPLE"),"")</f>
        <v/>
      </c>
      <c r="AU446" s="5" t="str">
        <f ca="1">IFERROR(__xludf.DUMMYFUNCTION("IFERROR(VLOOKUP(E507&amp;F507,IMPORTRANGE(""https://docs.google.com/spreadsheets/d/1Uw7-A9f9R21vMXxHZFNpYNeKFtG8_yji4HS352LGlSQ/edit?pli=1#gid=0"",""1_ACUM!A4:S""),11,FALSE))"),"")</f>
        <v/>
      </c>
      <c r="AV446" s="42" t="str">
        <f ca="1">IFERROR(__xludf.DUMMYFUNCTION("IFERROR(VLOOKUP(F507,IMPORTRANGE(""https://docs.google.com/spreadsheets/d/1Kvs4KS76FHFqLFIZfrDMff4kP08nblUkihrxltoGBjg/edit#gid=934712705"",""ESENCIAL!A6:BG""),15,FALSE))"),"")</f>
        <v/>
      </c>
    </row>
    <row r="447" spans="1:48" ht="15">
      <c r="A447" s="5"/>
      <c r="E447" s="66"/>
      <c r="F447" s="5" t="str">
        <f ca="1">IFERROR(__xludf.DUMMYFUNCTION("IFERROR(VLOOKUP(F508,IMPORTRANGE(""https://docs.google.com/spreadsheets/d/1Kvs4KS76FHFqLFIZfrDMff4kP08nblUkihrxltoGBjg/edit#gid=934712705"",""ESENCIAL!A6:BG""),3,FALSE))"),"")</f>
        <v/>
      </c>
      <c r="G447" s="5" t="str">
        <f ca="1">IFERROR(__xludf.DUMMYFUNCTION("IFERROR(VLOOKUP(F508,IMPORTRANGE(""https://docs.google.com/spreadsheets/d/1Kvs4KS76FHFqLFIZfrDMff4kP08nblUkihrxltoGBjg/edit#gid=934712705"",""ESENCIAL!A6:BG""),8,FALSE))"),"")</f>
        <v/>
      </c>
      <c r="K447" s="287"/>
      <c r="S447" s="66"/>
      <c r="T447" s="66"/>
      <c r="U447" s="66"/>
      <c r="AT447" s="41" t="str">
        <f>IF(D447&gt;0,IF(AND(#REF!=1,#REF!=1),"Procede_E_P","NO_CUMPLE"),"")</f>
        <v/>
      </c>
      <c r="AU447" s="5" t="str">
        <f ca="1">IFERROR(__xludf.DUMMYFUNCTION("IFERROR(VLOOKUP(E508&amp;F508,IMPORTRANGE(""https://docs.google.com/spreadsheets/d/1Uw7-A9f9R21vMXxHZFNpYNeKFtG8_yji4HS352LGlSQ/edit?pli=1#gid=0"",""1_ACUM!A4:S""),11,FALSE))"),"")</f>
        <v/>
      </c>
      <c r="AV447" s="42" t="str">
        <f ca="1">IFERROR(__xludf.DUMMYFUNCTION("IFERROR(VLOOKUP(F508,IMPORTRANGE(""https://docs.google.com/spreadsheets/d/1Kvs4KS76FHFqLFIZfrDMff4kP08nblUkihrxltoGBjg/edit#gid=934712705"",""ESENCIAL!A6:BG""),15,FALSE))"),"")</f>
        <v/>
      </c>
    </row>
    <row r="448" spans="1:48" ht="15">
      <c r="A448" s="5"/>
      <c r="E448" s="66"/>
      <c r="F448" s="5" t="str">
        <f ca="1">IFERROR(__xludf.DUMMYFUNCTION("IFERROR(VLOOKUP(F509,IMPORTRANGE(""https://docs.google.com/spreadsheets/d/1Kvs4KS76FHFqLFIZfrDMff4kP08nblUkihrxltoGBjg/edit#gid=934712705"",""ESENCIAL!A6:BG""),3,FALSE))"),"")</f>
        <v/>
      </c>
      <c r="G448" s="5" t="str">
        <f ca="1">IFERROR(__xludf.DUMMYFUNCTION("IFERROR(VLOOKUP(F509,IMPORTRANGE(""https://docs.google.com/spreadsheets/d/1Kvs4KS76FHFqLFIZfrDMff4kP08nblUkihrxltoGBjg/edit#gid=934712705"",""ESENCIAL!A6:BG""),8,FALSE))"),"")</f>
        <v/>
      </c>
      <c r="K448" s="287"/>
      <c r="S448" s="66"/>
      <c r="T448" s="66"/>
      <c r="U448" s="66"/>
      <c r="AT448" s="41" t="str">
        <f>IF(D448&gt;0,IF(AND(#REF!=1,#REF!=1),"Procede_E_P","NO_CUMPLE"),"")</f>
        <v/>
      </c>
      <c r="AU448" s="5" t="str">
        <f ca="1">IFERROR(__xludf.DUMMYFUNCTION("IFERROR(VLOOKUP(E509&amp;F509,IMPORTRANGE(""https://docs.google.com/spreadsheets/d/1Uw7-A9f9R21vMXxHZFNpYNeKFtG8_yji4HS352LGlSQ/edit?pli=1#gid=0"",""1_ACUM!A4:S""),11,FALSE))"),"")</f>
        <v/>
      </c>
      <c r="AV448" s="42" t="str">
        <f ca="1">IFERROR(__xludf.DUMMYFUNCTION("IFERROR(VLOOKUP(F509,IMPORTRANGE(""https://docs.google.com/spreadsheets/d/1Kvs4KS76FHFqLFIZfrDMff4kP08nblUkihrxltoGBjg/edit#gid=934712705"",""ESENCIAL!A6:BG""),15,FALSE))"),"")</f>
        <v/>
      </c>
    </row>
    <row r="449" spans="1:48" ht="15">
      <c r="A449" s="5"/>
      <c r="E449" s="66"/>
      <c r="F449" s="5" t="str">
        <f ca="1">IFERROR(__xludf.DUMMYFUNCTION("IFERROR(VLOOKUP(F510,IMPORTRANGE(""https://docs.google.com/spreadsheets/d/1Kvs4KS76FHFqLFIZfrDMff4kP08nblUkihrxltoGBjg/edit#gid=934712705"",""ESENCIAL!A6:BG""),3,FALSE))"),"")</f>
        <v/>
      </c>
      <c r="G449" s="5" t="str">
        <f ca="1">IFERROR(__xludf.DUMMYFUNCTION("IFERROR(VLOOKUP(F510,IMPORTRANGE(""https://docs.google.com/spreadsheets/d/1Kvs4KS76FHFqLFIZfrDMff4kP08nblUkihrxltoGBjg/edit#gid=934712705"",""ESENCIAL!A6:BG""),8,FALSE))"),"")</f>
        <v/>
      </c>
      <c r="K449" s="287"/>
      <c r="S449" s="66"/>
      <c r="T449" s="66"/>
      <c r="U449" s="66"/>
      <c r="AT449" s="41" t="str">
        <f>IF(D449&gt;0,IF(AND(#REF!=1,#REF!=1),"Procede_E_P","NO_CUMPLE"),"")</f>
        <v/>
      </c>
      <c r="AU449" s="5" t="str">
        <f ca="1">IFERROR(__xludf.DUMMYFUNCTION("IFERROR(VLOOKUP(E510&amp;F510,IMPORTRANGE(""https://docs.google.com/spreadsheets/d/1Uw7-A9f9R21vMXxHZFNpYNeKFtG8_yji4HS352LGlSQ/edit?pli=1#gid=0"",""1_ACUM!A4:S""),11,FALSE))"),"")</f>
        <v/>
      </c>
      <c r="AV449" s="42" t="str">
        <f ca="1">IFERROR(__xludf.DUMMYFUNCTION("IFERROR(VLOOKUP(F510,IMPORTRANGE(""https://docs.google.com/spreadsheets/d/1Kvs4KS76FHFqLFIZfrDMff4kP08nblUkihrxltoGBjg/edit#gid=934712705"",""ESENCIAL!A6:BG""),15,FALSE))"),"")</f>
        <v/>
      </c>
    </row>
    <row r="450" spans="1:48" ht="15">
      <c r="A450" s="5"/>
      <c r="E450" s="66"/>
      <c r="F450" s="5" t="str">
        <f ca="1">IFERROR(__xludf.DUMMYFUNCTION("IFERROR(VLOOKUP(F511,IMPORTRANGE(""https://docs.google.com/spreadsheets/d/1Kvs4KS76FHFqLFIZfrDMff4kP08nblUkihrxltoGBjg/edit#gid=934712705"",""ESENCIAL!A6:BG""),3,FALSE))"),"")</f>
        <v/>
      </c>
      <c r="G450" s="5" t="str">
        <f ca="1">IFERROR(__xludf.DUMMYFUNCTION("IFERROR(VLOOKUP(F511,IMPORTRANGE(""https://docs.google.com/spreadsheets/d/1Kvs4KS76FHFqLFIZfrDMff4kP08nblUkihrxltoGBjg/edit#gid=934712705"",""ESENCIAL!A6:BG""),8,FALSE))"),"")</f>
        <v/>
      </c>
      <c r="K450" s="287"/>
      <c r="S450" s="66"/>
      <c r="T450" s="66"/>
      <c r="U450" s="66"/>
      <c r="AT450" s="41" t="str">
        <f>IF(D450&gt;0,IF(AND(#REF!=1,#REF!=1),"Procede_E_P","NO_CUMPLE"),"")</f>
        <v/>
      </c>
      <c r="AU450" s="5" t="str">
        <f ca="1">IFERROR(__xludf.DUMMYFUNCTION("IFERROR(VLOOKUP(E511&amp;F511,IMPORTRANGE(""https://docs.google.com/spreadsheets/d/1Uw7-A9f9R21vMXxHZFNpYNeKFtG8_yji4HS352LGlSQ/edit?pli=1#gid=0"",""1_ACUM!A4:S""),11,FALSE))"),"")</f>
        <v/>
      </c>
      <c r="AV450" s="42" t="str">
        <f ca="1">IFERROR(__xludf.DUMMYFUNCTION("IFERROR(VLOOKUP(F511,IMPORTRANGE(""https://docs.google.com/spreadsheets/d/1Kvs4KS76FHFqLFIZfrDMff4kP08nblUkihrxltoGBjg/edit#gid=934712705"",""ESENCIAL!A6:BG""),15,FALSE))"),"")</f>
        <v/>
      </c>
    </row>
    <row r="451" spans="1:48" ht="15">
      <c r="A451" s="5"/>
      <c r="E451" s="66"/>
      <c r="F451" s="5" t="str">
        <f ca="1">IFERROR(__xludf.DUMMYFUNCTION("IFERROR(VLOOKUP(F512,IMPORTRANGE(""https://docs.google.com/spreadsheets/d/1Kvs4KS76FHFqLFIZfrDMff4kP08nblUkihrxltoGBjg/edit#gid=934712705"",""ESENCIAL!A6:BG""),3,FALSE))"),"")</f>
        <v/>
      </c>
      <c r="G451" s="5" t="str">
        <f ca="1">IFERROR(__xludf.DUMMYFUNCTION("IFERROR(VLOOKUP(F512,IMPORTRANGE(""https://docs.google.com/spreadsheets/d/1Kvs4KS76FHFqLFIZfrDMff4kP08nblUkihrxltoGBjg/edit#gid=934712705"",""ESENCIAL!A6:BG""),8,FALSE))"),"")</f>
        <v/>
      </c>
      <c r="K451" s="287"/>
      <c r="S451" s="66"/>
      <c r="T451" s="66"/>
      <c r="U451" s="66"/>
      <c r="AT451" s="41" t="str">
        <f>IF(D451&gt;0,IF(AND(#REF!=1,#REF!=1),"Procede_E_P","NO_CUMPLE"),"")</f>
        <v/>
      </c>
      <c r="AU451" s="5" t="str">
        <f ca="1">IFERROR(__xludf.DUMMYFUNCTION("IFERROR(VLOOKUP(E512&amp;F512,IMPORTRANGE(""https://docs.google.com/spreadsheets/d/1Uw7-A9f9R21vMXxHZFNpYNeKFtG8_yji4HS352LGlSQ/edit?pli=1#gid=0"",""1_ACUM!A4:S""),11,FALSE))"),"")</f>
        <v/>
      </c>
      <c r="AV451" s="42" t="str">
        <f ca="1">IFERROR(__xludf.DUMMYFUNCTION("IFERROR(VLOOKUP(F512,IMPORTRANGE(""https://docs.google.com/spreadsheets/d/1Kvs4KS76FHFqLFIZfrDMff4kP08nblUkihrxltoGBjg/edit#gid=934712705"",""ESENCIAL!A6:BG""),15,FALSE))"),"")</f>
        <v/>
      </c>
    </row>
    <row r="452" spans="1:48" ht="15">
      <c r="A452" s="5"/>
      <c r="E452" s="66"/>
      <c r="F452" s="5" t="str">
        <f ca="1">IFERROR(__xludf.DUMMYFUNCTION("IFERROR(VLOOKUP(F513,IMPORTRANGE(""https://docs.google.com/spreadsheets/d/1Kvs4KS76FHFqLFIZfrDMff4kP08nblUkihrxltoGBjg/edit#gid=934712705"",""ESENCIAL!A6:BG""),3,FALSE))"),"")</f>
        <v/>
      </c>
      <c r="G452" s="5" t="str">
        <f ca="1">IFERROR(__xludf.DUMMYFUNCTION("IFERROR(VLOOKUP(F513,IMPORTRANGE(""https://docs.google.com/spreadsheets/d/1Kvs4KS76FHFqLFIZfrDMff4kP08nblUkihrxltoGBjg/edit#gid=934712705"",""ESENCIAL!A6:BG""),8,FALSE))"),"")</f>
        <v/>
      </c>
      <c r="K452" s="287"/>
      <c r="S452" s="66"/>
      <c r="T452" s="66"/>
      <c r="U452" s="66"/>
      <c r="AT452" s="41" t="str">
        <f>IF(D452&gt;0,IF(AND(#REF!=1,#REF!=1),"Procede_E_P","NO_CUMPLE"),"")</f>
        <v/>
      </c>
      <c r="AU452" s="5" t="str">
        <f ca="1">IFERROR(__xludf.DUMMYFUNCTION("IFERROR(VLOOKUP(E513&amp;F513,IMPORTRANGE(""https://docs.google.com/spreadsheets/d/1Uw7-A9f9R21vMXxHZFNpYNeKFtG8_yji4HS352LGlSQ/edit?pli=1#gid=0"",""1_ACUM!A4:S""),11,FALSE))"),"")</f>
        <v/>
      </c>
      <c r="AV452" s="42" t="str">
        <f ca="1">IFERROR(__xludf.DUMMYFUNCTION("IFERROR(VLOOKUP(F513,IMPORTRANGE(""https://docs.google.com/spreadsheets/d/1Kvs4KS76FHFqLFIZfrDMff4kP08nblUkihrxltoGBjg/edit#gid=934712705"",""ESENCIAL!A6:BG""),15,FALSE))"),"")</f>
        <v/>
      </c>
    </row>
    <row r="453" spans="1:48" ht="15">
      <c r="A453" s="5"/>
      <c r="E453" s="66"/>
      <c r="F453" s="5" t="str">
        <f ca="1">IFERROR(__xludf.DUMMYFUNCTION("IFERROR(VLOOKUP(F514,IMPORTRANGE(""https://docs.google.com/spreadsheets/d/1Kvs4KS76FHFqLFIZfrDMff4kP08nblUkihrxltoGBjg/edit#gid=934712705"",""ESENCIAL!A6:BG""),3,FALSE))"),"")</f>
        <v/>
      </c>
      <c r="G453" s="5" t="str">
        <f ca="1">IFERROR(__xludf.DUMMYFUNCTION("IFERROR(VLOOKUP(F514,IMPORTRANGE(""https://docs.google.com/spreadsheets/d/1Kvs4KS76FHFqLFIZfrDMff4kP08nblUkihrxltoGBjg/edit#gid=934712705"",""ESENCIAL!A6:BG""),8,FALSE))"),"")</f>
        <v/>
      </c>
      <c r="K453" s="287"/>
      <c r="S453" s="66"/>
      <c r="T453" s="66"/>
      <c r="U453" s="66"/>
      <c r="AT453" s="41" t="str">
        <f>IF(D453&gt;0,IF(AND(#REF!=1,#REF!=1),"Procede_E_P","NO_CUMPLE"),"")</f>
        <v/>
      </c>
      <c r="AU453" s="5" t="str">
        <f ca="1">IFERROR(__xludf.DUMMYFUNCTION("IFERROR(VLOOKUP(E514&amp;F514,IMPORTRANGE(""https://docs.google.com/spreadsheets/d/1Uw7-A9f9R21vMXxHZFNpYNeKFtG8_yji4HS352LGlSQ/edit?pli=1#gid=0"",""1_ACUM!A4:S""),11,FALSE))"),"")</f>
        <v/>
      </c>
      <c r="AV453" s="42" t="str">
        <f ca="1">IFERROR(__xludf.DUMMYFUNCTION("IFERROR(VLOOKUP(F514,IMPORTRANGE(""https://docs.google.com/spreadsheets/d/1Kvs4KS76FHFqLFIZfrDMff4kP08nblUkihrxltoGBjg/edit#gid=934712705"",""ESENCIAL!A6:BG""),15,FALSE))"),"")</f>
        <v/>
      </c>
    </row>
    <row r="454" spans="1:48" ht="15">
      <c r="A454" s="5"/>
      <c r="E454" s="66"/>
      <c r="F454" s="5" t="str">
        <f ca="1">IFERROR(__xludf.DUMMYFUNCTION("IFERROR(VLOOKUP(F515,IMPORTRANGE(""https://docs.google.com/spreadsheets/d/1Kvs4KS76FHFqLFIZfrDMff4kP08nblUkihrxltoGBjg/edit#gid=934712705"",""ESENCIAL!A6:BG""),3,FALSE))"),"")</f>
        <v/>
      </c>
      <c r="G454" s="5" t="str">
        <f ca="1">IFERROR(__xludf.DUMMYFUNCTION("IFERROR(VLOOKUP(F515,IMPORTRANGE(""https://docs.google.com/spreadsheets/d/1Kvs4KS76FHFqLFIZfrDMff4kP08nblUkihrxltoGBjg/edit#gid=934712705"",""ESENCIAL!A6:BG""),8,FALSE))"),"")</f>
        <v/>
      </c>
      <c r="K454" s="287"/>
      <c r="S454" s="66"/>
      <c r="T454" s="66"/>
      <c r="U454" s="66"/>
      <c r="AT454" s="41" t="str">
        <f>IF(D454&gt;0,IF(AND(#REF!=1,#REF!=1),"Procede_E_P","NO_CUMPLE"),"")</f>
        <v/>
      </c>
      <c r="AU454" s="5" t="str">
        <f ca="1">IFERROR(__xludf.DUMMYFUNCTION("IFERROR(VLOOKUP(E515&amp;F515,IMPORTRANGE(""https://docs.google.com/spreadsheets/d/1Uw7-A9f9R21vMXxHZFNpYNeKFtG8_yji4HS352LGlSQ/edit?pli=1#gid=0"",""1_ACUM!A4:S""),11,FALSE))"),"")</f>
        <v/>
      </c>
      <c r="AV454" s="42" t="str">
        <f ca="1">IFERROR(__xludf.DUMMYFUNCTION("IFERROR(VLOOKUP(F515,IMPORTRANGE(""https://docs.google.com/spreadsheets/d/1Kvs4KS76FHFqLFIZfrDMff4kP08nblUkihrxltoGBjg/edit#gid=934712705"",""ESENCIAL!A6:BG""),15,FALSE))"),"")</f>
        <v/>
      </c>
    </row>
    <row r="455" spans="1:48" ht="15">
      <c r="A455" s="5"/>
      <c r="E455" s="66"/>
      <c r="F455" s="5" t="str">
        <f ca="1">IFERROR(__xludf.DUMMYFUNCTION("IFERROR(VLOOKUP(F516,IMPORTRANGE(""https://docs.google.com/spreadsheets/d/1Kvs4KS76FHFqLFIZfrDMff4kP08nblUkihrxltoGBjg/edit#gid=934712705"",""ESENCIAL!A6:BG""),3,FALSE))"),"")</f>
        <v/>
      </c>
      <c r="G455" s="5" t="str">
        <f ca="1">IFERROR(__xludf.DUMMYFUNCTION("IFERROR(VLOOKUP(F516,IMPORTRANGE(""https://docs.google.com/spreadsheets/d/1Kvs4KS76FHFqLFIZfrDMff4kP08nblUkihrxltoGBjg/edit#gid=934712705"",""ESENCIAL!A6:BG""),8,FALSE))"),"")</f>
        <v/>
      </c>
      <c r="K455" s="287"/>
      <c r="S455" s="66"/>
      <c r="T455" s="66"/>
      <c r="U455" s="66"/>
      <c r="AT455" s="41" t="str">
        <f>IF(D455&gt;0,IF(AND(#REF!=1,#REF!=1),"Procede_E_P","NO_CUMPLE"),"")</f>
        <v/>
      </c>
      <c r="AU455" s="5" t="str">
        <f ca="1">IFERROR(__xludf.DUMMYFUNCTION("IFERROR(VLOOKUP(E516&amp;F516,IMPORTRANGE(""https://docs.google.com/spreadsheets/d/1Uw7-A9f9R21vMXxHZFNpYNeKFtG8_yji4HS352LGlSQ/edit?pli=1#gid=0"",""1_ACUM!A4:S""),11,FALSE))"),"")</f>
        <v/>
      </c>
      <c r="AV455" s="42" t="str">
        <f ca="1">IFERROR(__xludf.DUMMYFUNCTION("IFERROR(VLOOKUP(F516,IMPORTRANGE(""https://docs.google.com/spreadsheets/d/1Kvs4KS76FHFqLFIZfrDMff4kP08nblUkihrxltoGBjg/edit#gid=934712705"",""ESENCIAL!A6:BG""),15,FALSE))"),"")</f>
        <v/>
      </c>
    </row>
    <row r="456" spans="1:48" ht="15">
      <c r="A456" s="5"/>
      <c r="E456" s="66"/>
      <c r="F456" s="5" t="str">
        <f ca="1">IFERROR(__xludf.DUMMYFUNCTION("IFERROR(VLOOKUP(F517,IMPORTRANGE(""https://docs.google.com/spreadsheets/d/1Kvs4KS76FHFqLFIZfrDMff4kP08nblUkihrxltoGBjg/edit#gid=934712705"",""ESENCIAL!A6:BG""),3,FALSE))"),"")</f>
        <v/>
      </c>
      <c r="G456" s="5" t="str">
        <f ca="1">IFERROR(__xludf.DUMMYFUNCTION("IFERROR(VLOOKUP(F517,IMPORTRANGE(""https://docs.google.com/spreadsheets/d/1Kvs4KS76FHFqLFIZfrDMff4kP08nblUkihrxltoGBjg/edit#gid=934712705"",""ESENCIAL!A6:BG""),8,FALSE))"),"")</f>
        <v/>
      </c>
      <c r="K456" s="287"/>
      <c r="S456" s="66"/>
      <c r="T456" s="66"/>
      <c r="U456" s="66"/>
      <c r="AT456" s="41" t="str">
        <f>IF(D456&gt;0,IF(AND(#REF!=1,#REF!=1),"Procede_E_P","NO_CUMPLE"),"")</f>
        <v/>
      </c>
      <c r="AU456" s="5" t="str">
        <f ca="1">IFERROR(__xludf.DUMMYFUNCTION("IFERROR(VLOOKUP(E517&amp;F517,IMPORTRANGE(""https://docs.google.com/spreadsheets/d/1Uw7-A9f9R21vMXxHZFNpYNeKFtG8_yji4HS352LGlSQ/edit?pli=1#gid=0"",""1_ACUM!A4:S""),11,FALSE))"),"")</f>
        <v/>
      </c>
      <c r="AV456" s="42" t="str">
        <f ca="1">IFERROR(__xludf.DUMMYFUNCTION("IFERROR(VLOOKUP(F517,IMPORTRANGE(""https://docs.google.com/spreadsheets/d/1Kvs4KS76FHFqLFIZfrDMff4kP08nblUkihrxltoGBjg/edit#gid=934712705"",""ESENCIAL!A6:BG""),15,FALSE))"),"")</f>
        <v/>
      </c>
    </row>
    <row r="457" spans="1:48" ht="15">
      <c r="A457" s="5"/>
      <c r="E457" s="66"/>
      <c r="F457" s="5" t="str">
        <f ca="1">IFERROR(__xludf.DUMMYFUNCTION("IFERROR(VLOOKUP(F518,IMPORTRANGE(""https://docs.google.com/spreadsheets/d/1Kvs4KS76FHFqLFIZfrDMff4kP08nblUkihrxltoGBjg/edit#gid=934712705"",""ESENCIAL!A6:BG""),3,FALSE))"),"")</f>
        <v/>
      </c>
      <c r="G457" s="5" t="str">
        <f ca="1">IFERROR(__xludf.DUMMYFUNCTION("IFERROR(VLOOKUP(F518,IMPORTRANGE(""https://docs.google.com/spreadsheets/d/1Kvs4KS76FHFqLFIZfrDMff4kP08nblUkihrxltoGBjg/edit#gid=934712705"",""ESENCIAL!A6:BG""),8,FALSE))"),"")</f>
        <v/>
      </c>
      <c r="K457" s="287"/>
      <c r="S457" s="66"/>
      <c r="T457" s="66"/>
      <c r="U457" s="66"/>
      <c r="AT457" s="41" t="str">
        <f>IF(D457&gt;0,IF(AND(#REF!=1,#REF!=1),"Procede_E_P","NO_CUMPLE"),"")</f>
        <v/>
      </c>
      <c r="AU457" s="5" t="str">
        <f ca="1">IFERROR(__xludf.DUMMYFUNCTION("IFERROR(VLOOKUP(E518&amp;F518,IMPORTRANGE(""https://docs.google.com/spreadsheets/d/1Uw7-A9f9R21vMXxHZFNpYNeKFtG8_yji4HS352LGlSQ/edit?pli=1#gid=0"",""1_ACUM!A4:S""),11,FALSE))"),"")</f>
        <v/>
      </c>
      <c r="AV457" s="42" t="str">
        <f ca="1">IFERROR(__xludf.DUMMYFUNCTION("IFERROR(VLOOKUP(F518,IMPORTRANGE(""https://docs.google.com/spreadsheets/d/1Kvs4KS76FHFqLFIZfrDMff4kP08nblUkihrxltoGBjg/edit#gid=934712705"",""ESENCIAL!A6:BG""),15,FALSE))"),"")</f>
        <v/>
      </c>
    </row>
    <row r="458" spans="1:48" ht="15">
      <c r="A458" s="5"/>
      <c r="E458" s="66"/>
      <c r="F458" s="5" t="str">
        <f ca="1">IFERROR(__xludf.DUMMYFUNCTION("IFERROR(VLOOKUP(F519,IMPORTRANGE(""https://docs.google.com/spreadsheets/d/1Kvs4KS76FHFqLFIZfrDMff4kP08nblUkihrxltoGBjg/edit#gid=934712705"",""ESENCIAL!A6:BG""),3,FALSE))"),"")</f>
        <v/>
      </c>
      <c r="G458" s="5" t="str">
        <f ca="1">IFERROR(__xludf.DUMMYFUNCTION("IFERROR(VLOOKUP(F519,IMPORTRANGE(""https://docs.google.com/spreadsheets/d/1Kvs4KS76FHFqLFIZfrDMff4kP08nblUkihrxltoGBjg/edit#gid=934712705"",""ESENCIAL!A6:BG""),8,FALSE))"),"")</f>
        <v/>
      </c>
      <c r="K458" s="287"/>
      <c r="S458" s="66"/>
      <c r="T458" s="66"/>
      <c r="U458" s="66"/>
      <c r="AT458" s="41" t="str">
        <f>IF(D458&gt;0,IF(AND(#REF!=1,#REF!=1),"Procede_E_P","NO_CUMPLE"),"")</f>
        <v/>
      </c>
      <c r="AU458" s="5" t="str">
        <f ca="1">IFERROR(__xludf.DUMMYFUNCTION("IFERROR(VLOOKUP(E519&amp;F519,IMPORTRANGE(""https://docs.google.com/spreadsheets/d/1Uw7-A9f9R21vMXxHZFNpYNeKFtG8_yji4HS352LGlSQ/edit?pli=1#gid=0"",""1_ACUM!A4:S""),11,FALSE))"),"")</f>
        <v/>
      </c>
      <c r="AV458" s="42" t="str">
        <f ca="1">IFERROR(__xludf.DUMMYFUNCTION("IFERROR(VLOOKUP(F519,IMPORTRANGE(""https://docs.google.com/spreadsheets/d/1Kvs4KS76FHFqLFIZfrDMff4kP08nblUkihrxltoGBjg/edit#gid=934712705"",""ESENCIAL!A6:BG""),15,FALSE))"),"")</f>
        <v/>
      </c>
    </row>
    <row r="459" spans="1:48" ht="15">
      <c r="A459" s="5"/>
      <c r="E459" s="66"/>
      <c r="F459" s="5" t="str">
        <f ca="1">IFERROR(__xludf.DUMMYFUNCTION("IFERROR(VLOOKUP(F520,IMPORTRANGE(""https://docs.google.com/spreadsheets/d/1Kvs4KS76FHFqLFIZfrDMff4kP08nblUkihrxltoGBjg/edit#gid=934712705"",""ESENCIAL!A6:BG""),3,FALSE))"),"")</f>
        <v/>
      </c>
      <c r="G459" s="5" t="str">
        <f ca="1">IFERROR(__xludf.DUMMYFUNCTION("IFERROR(VLOOKUP(F520,IMPORTRANGE(""https://docs.google.com/spreadsheets/d/1Kvs4KS76FHFqLFIZfrDMff4kP08nblUkihrxltoGBjg/edit#gid=934712705"",""ESENCIAL!A6:BG""),8,FALSE))"),"")</f>
        <v/>
      </c>
      <c r="K459" s="287"/>
      <c r="S459" s="66"/>
      <c r="T459" s="66"/>
      <c r="U459" s="66"/>
      <c r="AT459" s="41" t="str">
        <f>IF(D459&gt;0,IF(AND(#REF!=1,#REF!=1),"Procede_E_P","NO_CUMPLE"),"")</f>
        <v/>
      </c>
      <c r="AU459" s="5" t="str">
        <f ca="1">IFERROR(__xludf.DUMMYFUNCTION("IFERROR(VLOOKUP(E520&amp;F520,IMPORTRANGE(""https://docs.google.com/spreadsheets/d/1Uw7-A9f9R21vMXxHZFNpYNeKFtG8_yji4HS352LGlSQ/edit?pli=1#gid=0"",""1_ACUM!A4:S""),11,FALSE))"),"")</f>
        <v/>
      </c>
      <c r="AV459" s="42" t="str">
        <f ca="1">IFERROR(__xludf.DUMMYFUNCTION("IFERROR(VLOOKUP(F520,IMPORTRANGE(""https://docs.google.com/spreadsheets/d/1Kvs4KS76FHFqLFIZfrDMff4kP08nblUkihrxltoGBjg/edit#gid=934712705"",""ESENCIAL!A6:BG""),15,FALSE))"),"")</f>
        <v/>
      </c>
    </row>
    <row r="460" spans="1:48" ht="15">
      <c r="A460" s="5"/>
      <c r="E460" s="66"/>
      <c r="F460" s="5" t="str">
        <f ca="1">IFERROR(__xludf.DUMMYFUNCTION("IFERROR(VLOOKUP(F521,IMPORTRANGE(""https://docs.google.com/spreadsheets/d/1Kvs4KS76FHFqLFIZfrDMff4kP08nblUkihrxltoGBjg/edit#gid=934712705"",""ESENCIAL!A6:BG""),3,FALSE))"),"")</f>
        <v/>
      </c>
      <c r="G460" s="5" t="str">
        <f ca="1">IFERROR(__xludf.DUMMYFUNCTION("IFERROR(VLOOKUP(F521,IMPORTRANGE(""https://docs.google.com/spreadsheets/d/1Kvs4KS76FHFqLFIZfrDMff4kP08nblUkihrxltoGBjg/edit#gid=934712705"",""ESENCIAL!A6:BG""),8,FALSE))"),"")</f>
        <v/>
      </c>
      <c r="K460" s="287"/>
      <c r="S460" s="66"/>
      <c r="T460" s="66"/>
      <c r="U460" s="66"/>
      <c r="AT460" s="41" t="str">
        <f>IF(D460&gt;0,IF(AND(#REF!=1,#REF!=1),"Procede_E_P","NO_CUMPLE"),"")</f>
        <v/>
      </c>
      <c r="AU460" s="5" t="str">
        <f ca="1">IFERROR(__xludf.DUMMYFUNCTION("IFERROR(VLOOKUP(E521&amp;F521,IMPORTRANGE(""https://docs.google.com/spreadsheets/d/1Uw7-A9f9R21vMXxHZFNpYNeKFtG8_yji4HS352LGlSQ/edit?pli=1#gid=0"",""1_ACUM!A4:S""),11,FALSE))"),"")</f>
        <v/>
      </c>
      <c r="AV460" s="42" t="str">
        <f ca="1">IFERROR(__xludf.DUMMYFUNCTION("IFERROR(VLOOKUP(F521,IMPORTRANGE(""https://docs.google.com/spreadsheets/d/1Kvs4KS76FHFqLFIZfrDMff4kP08nblUkihrxltoGBjg/edit#gid=934712705"",""ESENCIAL!A6:BG""),15,FALSE))"),"")</f>
        <v/>
      </c>
    </row>
    <row r="461" spans="1:48" ht="15">
      <c r="A461" s="5"/>
      <c r="E461" s="66"/>
      <c r="F461" s="5" t="str">
        <f ca="1">IFERROR(__xludf.DUMMYFUNCTION("IFERROR(VLOOKUP(F522,IMPORTRANGE(""https://docs.google.com/spreadsheets/d/1Kvs4KS76FHFqLFIZfrDMff4kP08nblUkihrxltoGBjg/edit#gid=934712705"",""ESENCIAL!A6:BG""),3,FALSE))"),"")</f>
        <v/>
      </c>
      <c r="G461" s="5" t="str">
        <f ca="1">IFERROR(__xludf.DUMMYFUNCTION("IFERROR(VLOOKUP(F522,IMPORTRANGE(""https://docs.google.com/spreadsheets/d/1Kvs4KS76FHFqLFIZfrDMff4kP08nblUkihrxltoGBjg/edit#gid=934712705"",""ESENCIAL!A6:BG""),8,FALSE))"),"")</f>
        <v/>
      </c>
      <c r="K461" s="287"/>
      <c r="S461" s="66"/>
      <c r="T461" s="66"/>
      <c r="U461" s="66"/>
      <c r="AT461" s="41" t="str">
        <f>IF(D461&gt;0,IF(AND(#REF!=1,#REF!=1),"Procede_E_P","NO_CUMPLE"),"")</f>
        <v/>
      </c>
      <c r="AU461" s="5" t="str">
        <f ca="1">IFERROR(__xludf.DUMMYFUNCTION("IFERROR(VLOOKUP(E522&amp;F522,IMPORTRANGE(""https://docs.google.com/spreadsheets/d/1Uw7-A9f9R21vMXxHZFNpYNeKFtG8_yji4HS352LGlSQ/edit?pli=1#gid=0"",""1_ACUM!A4:S""),11,FALSE))"),"")</f>
        <v/>
      </c>
      <c r="AV461" s="42" t="str">
        <f ca="1">IFERROR(__xludf.DUMMYFUNCTION("IFERROR(VLOOKUP(F522,IMPORTRANGE(""https://docs.google.com/spreadsheets/d/1Kvs4KS76FHFqLFIZfrDMff4kP08nblUkihrxltoGBjg/edit#gid=934712705"",""ESENCIAL!A6:BG""),15,FALSE))"),"")</f>
        <v/>
      </c>
    </row>
    <row r="462" spans="1:48" ht="15">
      <c r="A462" s="5"/>
      <c r="E462" s="66"/>
      <c r="F462" s="5" t="str">
        <f ca="1">IFERROR(__xludf.DUMMYFUNCTION("IFERROR(VLOOKUP(F523,IMPORTRANGE(""https://docs.google.com/spreadsheets/d/1Kvs4KS76FHFqLFIZfrDMff4kP08nblUkihrxltoGBjg/edit#gid=934712705"",""ESENCIAL!A6:BG""),3,FALSE))"),"")</f>
        <v/>
      </c>
      <c r="G462" s="5" t="str">
        <f ca="1">IFERROR(__xludf.DUMMYFUNCTION("IFERROR(VLOOKUP(F523,IMPORTRANGE(""https://docs.google.com/spreadsheets/d/1Kvs4KS76FHFqLFIZfrDMff4kP08nblUkihrxltoGBjg/edit#gid=934712705"",""ESENCIAL!A6:BG""),8,FALSE))"),"")</f>
        <v/>
      </c>
      <c r="K462" s="287"/>
      <c r="S462" s="66"/>
      <c r="T462" s="66"/>
      <c r="U462" s="66"/>
      <c r="AT462" s="41" t="str">
        <f>IF(D462&gt;0,IF(AND(#REF!=1,#REF!=1),"Procede_E_P","NO_CUMPLE"),"")</f>
        <v/>
      </c>
      <c r="AU462" s="5" t="str">
        <f ca="1">IFERROR(__xludf.DUMMYFUNCTION("IFERROR(VLOOKUP(E523&amp;F523,IMPORTRANGE(""https://docs.google.com/spreadsheets/d/1Uw7-A9f9R21vMXxHZFNpYNeKFtG8_yji4HS352LGlSQ/edit?pli=1#gid=0"",""1_ACUM!A4:S""),11,FALSE))"),"")</f>
        <v/>
      </c>
      <c r="AV462" s="42" t="str">
        <f ca="1">IFERROR(__xludf.DUMMYFUNCTION("IFERROR(VLOOKUP(F523,IMPORTRANGE(""https://docs.google.com/spreadsheets/d/1Kvs4KS76FHFqLFIZfrDMff4kP08nblUkihrxltoGBjg/edit#gid=934712705"",""ESENCIAL!A6:BG""),15,FALSE))"),"")</f>
        <v/>
      </c>
    </row>
    <row r="463" spans="1:48" ht="15">
      <c r="A463" s="5"/>
      <c r="E463" s="66"/>
      <c r="F463" s="5" t="str">
        <f ca="1">IFERROR(__xludf.DUMMYFUNCTION("IFERROR(VLOOKUP(F524,IMPORTRANGE(""https://docs.google.com/spreadsheets/d/1Kvs4KS76FHFqLFIZfrDMff4kP08nblUkihrxltoGBjg/edit#gid=934712705"",""ESENCIAL!A6:BG""),3,FALSE))"),"")</f>
        <v/>
      </c>
      <c r="G463" s="5" t="str">
        <f ca="1">IFERROR(__xludf.DUMMYFUNCTION("IFERROR(VLOOKUP(F524,IMPORTRANGE(""https://docs.google.com/spreadsheets/d/1Kvs4KS76FHFqLFIZfrDMff4kP08nblUkihrxltoGBjg/edit#gid=934712705"",""ESENCIAL!A6:BG""),8,FALSE))"),"")</f>
        <v/>
      </c>
      <c r="K463" s="287"/>
      <c r="S463" s="66"/>
      <c r="T463" s="66"/>
      <c r="U463" s="66"/>
      <c r="AT463" s="41" t="str">
        <f>IF(D463&gt;0,IF(AND(#REF!=1,#REF!=1),"Procede_E_P","NO_CUMPLE"),"")</f>
        <v/>
      </c>
      <c r="AU463" s="5" t="str">
        <f ca="1">IFERROR(__xludf.DUMMYFUNCTION("IFERROR(VLOOKUP(E524&amp;F524,IMPORTRANGE(""https://docs.google.com/spreadsheets/d/1Uw7-A9f9R21vMXxHZFNpYNeKFtG8_yji4HS352LGlSQ/edit?pli=1#gid=0"",""1_ACUM!A4:S""),11,FALSE))"),"")</f>
        <v/>
      </c>
      <c r="AV463" s="42" t="str">
        <f ca="1">IFERROR(__xludf.DUMMYFUNCTION("IFERROR(VLOOKUP(F524,IMPORTRANGE(""https://docs.google.com/spreadsheets/d/1Kvs4KS76FHFqLFIZfrDMff4kP08nblUkihrxltoGBjg/edit#gid=934712705"",""ESENCIAL!A6:BG""),15,FALSE))"),"")</f>
        <v/>
      </c>
    </row>
    <row r="464" spans="1:48" ht="15">
      <c r="A464" s="5"/>
      <c r="E464" s="66"/>
      <c r="F464" s="5" t="str">
        <f ca="1">IFERROR(__xludf.DUMMYFUNCTION("IFERROR(VLOOKUP(F525,IMPORTRANGE(""https://docs.google.com/spreadsheets/d/1Kvs4KS76FHFqLFIZfrDMff4kP08nblUkihrxltoGBjg/edit#gid=934712705"",""ESENCIAL!A6:BG""),3,FALSE))"),"")</f>
        <v/>
      </c>
      <c r="G464" s="5" t="str">
        <f ca="1">IFERROR(__xludf.DUMMYFUNCTION("IFERROR(VLOOKUP(F525,IMPORTRANGE(""https://docs.google.com/spreadsheets/d/1Kvs4KS76FHFqLFIZfrDMff4kP08nblUkihrxltoGBjg/edit#gid=934712705"",""ESENCIAL!A6:BG""),8,FALSE))"),"")</f>
        <v/>
      </c>
      <c r="K464" s="287"/>
      <c r="S464" s="66"/>
      <c r="T464" s="66"/>
      <c r="U464" s="66"/>
      <c r="AT464" s="41" t="str">
        <f>IF(D464&gt;0,IF(AND(#REF!=1,#REF!=1),"Procede_E_P","NO_CUMPLE"),"")</f>
        <v/>
      </c>
      <c r="AU464" s="5" t="str">
        <f ca="1">IFERROR(__xludf.DUMMYFUNCTION("IFERROR(VLOOKUP(E525&amp;F525,IMPORTRANGE(""https://docs.google.com/spreadsheets/d/1Uw7-A9f9R21vMXxHZFNpYNeKFtG8_yji4HS352LGlSQ/edit?pli=1#gid=0"",""1_ACUM!A4:S""),11,FALSE))"),"")</f>
        <v/>
      </c>
      <c r="AV464" s="42" t="str">
        <f ca="1">IFERROR(__xludf.DUMMYFUNCTION("IFERROR(VLOOKUP(F525,IMPORTRANGE(""https://docs.google.com/spreadsheets/d/1Kvs4KS76FHFqLFIZfrDMff4kP08nblUkihrxltoGBjg/edit#gid=934712705"",""ESENCIAL!A6:BG""),15,FALSE))"),"")</f>
        <v/>
      </c>
    </row>
    <row r="465" spans="1:48" ht="15">
      <c r="A465" s="5"/>
      <c r="E465" s="66"/>
      <c r="F465" s="5" t="str">
        <f ca="1">IFERROR(__xludf.DUMMYFUNCTION("IFERROR(VLOOKUP(F526,IMPORTRANGE(""https://docs.google.com/spreadsheets/d/1Kvs4KS76FHFqLFIZfrDMff4kP08nblUkihrxltoGBjg/edit#gid=934712705"",""ESENCIAL!A6:BG""),3,FALSE))"),"")</f>
        <v/>
      </c>
      <c r="G465" s="5" t="str">
        <f ca="1">IFERROR(__xludf.DUMMYFUNCTION("IFERROR(VLOOKUP(F526,IMPORTRANGE(""https://docs.google.com/spreadsheets/d/1Kvs4KS76FHFqLFIZfrDMff4kP08nblUkihrxltoGBjg/edit#gid=934712705"",""ESENCIAL!A6:BG""),8,FALSE))"),"")</f>
        <v/>
      </c>
      <c r="K465" s="287"/>
      <c r="S465" s="66"/>
      <c r="T465" s="66"/>
      <c r="U465" s="66"/>
      <c r="AT465" s="41" t="str">
        <f>IF(D465&gt;0,IF(AND(#REF!=1,#REF!=1),"Procede_E_P","NO_CUMPLE"),"")</f>
        <v/>
      </c>
      <c r="AU465" s="5" t="str">
        <f ca="1">IFERROR(__xludf.DUMMYFUNCTION("IFERROR(VLOOKUP(E526&amp;F526,IMPORTRANGE(""https://docs.google.com/spreadsheets/d/1Uw7-A9f9R21vMXxHZFNpYNeKFtG8_yji4HS352LGlSQ/edit?pli=1#gid=0"",""1_ACUM!A4:S""),11,FALSE))"),"")</f>
        <v/>
      </c>
      <c r="AV465" s="42" t="str">
        <f ca="1">IFERROR(__xludf.DUMMYFUNCTION("IFERROR(VLOOKUP(F526,IMPORTRANGE(""https://docs.google.com/spreadsheets/d/1Kvs4KS76FHFqLFIZfrDMff4kP08nblUkihrxltoGBjg/edit#gid=934712705"",""ESENCIAL!A6:BG""),15,FALSE))"),"")</f>
        <v/>
      </c>
    </row>
    <row r="466" spans="1:48" ht="15">
      <c r="A466" s="5"/>
      <c r="E466" s="66"/>
      <c r="F466" s="5" t="str">
        <f ca="1">IFERROR(__xludf.DUMMYFUNCTION("IFERROR(VLOOKUP(F527,IMPORTRANGE(""https://docs.google.com/spreadsheets/d/1Kvs4KS76FHFqLFIZfrDMff4kP08nblUkihrxltoGBjg/edit#gid=934712705"",""ESENCIAL!A6:BG""),3,FALSE))"),"")</f>
        <v/>
      </c>
      <c r="G466" s="5" t="str">
        <f ca="1">IFERROR(__xludf.DUMMYFUNCTION("IFERROR(VLOOKUP(F527,IMPORTRANGE(""https://docs.google.com/spreadsheets/d/1Kvs4KS76FHFqLFIZfrDMff4kP08nblUkihrxltoGBjg/edit#gid=934712705"",""ESENCIAL!A6:BG""),8,FALSE))"),"")</f>
        <v/>
      </c>
      <c r="K466" s="287"/>
      <c r="S466" s="66"/>
      <c r="T466" s="66"/>
      <c r="U466" s="66"/>
      <c r="AT466" s="41" t="str">
        <f>IF(D466&gt;0,IF(AND(#REF!=1,#REF!=1),"Procede_E_P","NO_CUMPLE"),"")</f>
        <v/>
      </c>
      <c r="AU466" s="5" t="str">
        <f ca="1">IFERROR(__xludf.DUMMYFUNCTION("IFERROR(VLOOKUP(E527&amp;F527,IMPORTRANGE(""https://docs.google.com/spreadsheets/d/1Uw7-A9f9R21vMXxHZFNpYNeKFtG8_yji4HS352LGlSQ/edit?pli=1#gid=0"",""1_ACUM!A4:S""),11,FALSE))"),"")</f>
        <v/>
      </c>
      <c r="AV466" s="42" t="str">
        <f ca="1">IFERROR(__xludf.DUMMYFUNCTION("IFERROR(VLOOKUP(F527,IMPORTRANGE(""https://docs.google.com/spreadsheets/d/1Kvs4KS76FHFqLFIZfrDMff4kP08nblUkihrxltoGBjg/edit#gid=934712705"",""ESENCIAL!A6:BG""),15,FALSE))"),"")</f>
        <v/>
      </c>
    </row>
    <row r="467" spans="1:48" ht="15">
      <c r="A467" s="5"/>
      <c r="E467" s="66"/>
      <c r="F467" s="5" t="str">
        <f ca="1">IFERROR(__xludf.DUMMYFUNCTION("IFERROR(VLOOKUP(F528,IMPORTRANGE(""https://docs.google.com/spreadsheets/d/1Kvs4KS76FHFqLFIZfrDMff4kP08nblUkihrxltoGBjg/edit#gid=934712705"",""ESENCIAL!A6:BG""),3,FALSE))"),"")</f>
        <v/>
      </c>
      <c r="G467" s="5" t="str">
        <f ca="1">IFERROR(__xludf.DUMMYFUNCTION("IFERROR(VLOOKUP(F528,IMPORTRANGE(""https://docs.google.com/spreadsheets/d/1Kvs4KS76FHFqLFIZfrDMff4kP08nblUkihrxltoGBjg/edit#gid=934712705"",""ESENCIAL!A6:BG""),8,FALSE))"),"")</f>
        <v/>
      </c>
      <c r="K467" s="287"/>
      <c r="S467" s="66"/>
      <c r="T467" s="66"/>
      <c r="U467" s="66"/>
      <c r="AT467" s="41" t="str">
        <f>IF(D467&gt;0,IF(AND(#REF!=1,#REF!=1),"Procede_E_P","NO_CUMPLE"),"")</f>
        <v/>
      </c>
      <c r="AU467" s="5" t="str">
        <f ca="1">IFERROR(__xludf.DUMMYFUNCTION("IFERROR(VLOOKUP(E528&amp;F528,IMPORTRANGE(""https://docs.google.com/spreadsheets/d/1Uw7-A9f9R21vMXxHZFNpYNeKFtG8_yji4HS352LGlSQ/edit?pli=1#gid=0"",""1_ACUM!A4:S""),11,FALSE))"),"")</f>
        <v/>
      </c>
      <c r="AV467" s="42" t="str">
        <f ca="1">IFERROR(__xludf.DUMMYFUNCTION("IFERROR(VLOOKUP(F528,IMPORTRANGE(""https://docs.google.com/spreadsheets/d/1Kvs4KS76FHFqLFIZfrDMff4kP08nblUkihrxltoGBjg/edit#gid=934712705"",""ESENCIAL!A6:BG""),15,FALSE))"),"")</f>
        <v/>
      </c>
    </row>
    <row r="468" spans="1:48" ht="15">
      <c r="A468" s="5"/>
      <c r="E468" s="66"/>
      <c r="F468" s="5" t="str">
        <f ca="1">IFERROR(__xludf.DUMMYFUNCTION("IFERROR(VLOOKUP(F529,IMPORTRANGE(""https://docs.google.com/spreadsheets/d/1Kvs4KS76FHFqLFIZfrDMff4kP08nblUkihrxltoGBjg/edit#gid=934712705"",""ESENCIAL!A6:BG""),3,FALSE))"),"")</f>
        <v/>
      </c>
      <c r="G468" s="5" t="str">
        <f ca="1">IFERROR(__xludf.DUMMYFUNCTION("IFERROR(VLOOKUP(F529,IMPORTRANGE(""https://docs.google.com/spreadsheets/d/1Kvs4KS76FHFqLFIZfrDMff4kP08nblUkihrxltoGBjg/edit#gid=934712705"",""ESENCIAL!A6:BG""),8,FALSE))"),"")</f>
        <v/>
      </c>
      <c r="K468" s="287"/>
      <c r="S468" s="66"/>
      <c r="T468" s="66"/>
      <c r="U468" s="66"/>
      <c r="AT468" s="41" t="str">
        <f>IF(D468&gt;0,IF(AND(#REF!=1,#REF!=1),"Procede_E_P","NO_CUMPLE"),"")</f>
        <v/>
      </c>
      <c r="AU468" s="5" t="str">
        <f ca="1">IFERROR(__xludf.DUMMYFUNCTION("IFERROR(VLOOKUP(E529&amp;F529,IMPORTRANGE(""https://docs.google.com/spreadsheets/d/1Uw7-A9f9R21vMXxHZFNpYNeKFtG8_yji4HS352LGlSQ/edit?pli=1#gid=0"",""1_ACUM!A4:S""),11,FALSE))"),"")</f>
        <v/>
      </c>
      <c r="AV468" s="42" t="str">
        <f ca="1">IFERROR(__xludf.DUMMYFUNCTION("IFERROR(VLOOKUP(F529,IMPORTRANGE(""https://docs.google.com/spreadsheets/d/1Kvs4KS76FHFqLFIZfrDMff4kP08nblUkihrxltoGBjg/edit#gid=934712705"",""ESENCIAL!A6:BG""),15,FALSE))"),"")</f>
        <v/>
      </c>
    </row>
    <row r="469" spans="1:48" ht="15">
      <c r="A469" s="5"/>
      <c r="E469" s="66"/>
      <c r="F469" s="5" t="str">
        <f ca="1">IFERROR(__xludf.DUMMYFUNCTION("IFERROR(VLOOKUP(F530,IMPORTRANGE(""https://docs.google.com/spreadsheets/d/1Kvs4KS76FHFqLFIZfrDMff4kP08nblUkihrxltoGBjg/edit#gid=934712705"",""ESENCIAL!A6:BG""),3,FALSE))"),"")</f>
        <v/>
      </c>
      <c r="G469" s="5" t="str">
        <f ca="1">IFERROR(__xludf.DUMMYFUNCTION("IFERROR(VLOOKUP(F530,IMPORTRANGE(""https://docs.google.com/spreadsheets/d/1Kvs4KS76FHFqLFIZfrDMff4kP08nblUkihrxltoGBjg/edit#gid=934712705"",""ESENCIAL!A6:BG""),8,FALSE))"),"")</f>
        <v/>
      </c>
      <c r="K469" s="287"/>
      <c r="S469" s="66"/>
      <c r="T469" s="66"/>
      <c r="U469" s="66"/>
      <c r="AT469" s="41" t="str">
        <f>IF(D469&gt;0,IF(AND(#REF!=1,#REF!=1),"Procede_E_P","NO_CUMPLE"),"")</f>
        <v/>
      </c>
      <c r="AU469" s="5" t="str">
        <f ca="1">IFERROR(__xludf.DUMMYFUNCTION("IFERROR(VLOOKUP(E530&amp;F530,IMPORTRANGE(""https://docs.google.com/spreadsheets/d/1Uw7-A9f9R21vMXxHZFNpYNeKFtG8_yji4HS352LGlSQ/edit?pli=1#gid=0"",""1_ACUM!A4:S""),11,FALSE))"),"")</f>
        <v/>
      </c>
      <c r="AV469" s="42" t="str">
        <f ca="1">IFERROR(__xludf.DUMMYFUNCTION("IFERROR(VLOOKUP(F530,IMPORTRANGE(""https://docs.google.com/spreadsheets/d/1Kvs4KS76FHFqLFIZfrDMff4kP08nblUkihrxltoGBjg/edit#gid=934712705"",""ESENCIAL!A6:BG""),15,FALSE))"),"")</f>
        <v/>
      </c>
    </row>
    <row r="470" spans="1:48" ht="15">
      <c r="A470" s="5"/>
      <c r="E470" s="66"/>
      <c r="F470" s="5" t="str">
        <f ca="1">IFERROR(__xludf.DUMMYFUNCTION("IFERROR(VLOOKUP(F531,IMPORTRANGE(""https://docs.google.com/spreadsheets/d/1Kvs4KS76FHFqLFIZfrDMff4kP08nblUkihrxltoGBjg/edit#gid=934712705"",""ESENCIAL!A6:BG""),3,FALSE))"),"")</f>
        <v/>
      </c>
      <c r="G470" s="5" t="str">
        <f ca="1">IFERROR(__xludf.DUMMYFUNCTION("IFERROR(VLOOKUP(F531,IMPORTRANGE(""https://docs.google.com/spreadsheets/d/1Kvs4KS76FHFqLFIZfrDMff4kP08nblUkihrxltoGBjg/edit#gid=934712705"",""ESENCIAL!A6:BG""),8,FALSE))"),"")</f>
        <v/>
      </c>
      <c r="K470" s="287"/>
      <c r="S470" s="66"/>
      <c r="T470" s="66"/>
      <c r="U470" s="66"/>
      <c r="AT470" s="41" t="str">
        <f>IF(D470&gt;0,IF(AND(#REF!=1,#REF!=1),"Procede_E_P","NO_CUMPLE"),"")</f>
        <v/>
      </c>
      <c r="AU470" s="5" t="str">
        <f ca="1">IFERROR(__xludf.DUMMYFUNCTION("IFERROR(VLOOKUP(E531&amp;F531,IMPORTRANGE(""https://docs.google.com/spreadsheets/d/1Uw7-A9f9R21vMXxHZFNpYNeKFtG8_yji4HS352LGlSQ/edit?pli=1#gid=0"",""1_ACUM!A4:S""),11,FALSE))"),"")</f>
        <v/>
      </c>
      <c r="AV470" s="42" t="str">
        <f ca="1">IFERROR(__xludf.DUMMYFUNCTION("IFERROR(VLOOKUP(F531,IMPORTRANGE(""https://docs.google.com/spreadsheets/d/1Kvs4KS76FHFqLFIZfrDMff4kP08nblUkihrxltoGBjg/edit#gid=934712705"",""ESENCIAL!A6:BG""),15,FALSE))"),"")</f>
        <v/>
      </c>
    </row>
    <row r="471" spans="1:48" ht="15">
      <c r="A471" s="5"/>
      <c r="E471" s="66"/>
      <c r="F471" s="5" t="str">
        <f ca="1">IFERROR(__xludf.DUMMYFUNCTION("IFERROR(VLOOKUP(F532,IMPORTRANGE(""https://docs.google.com/spreadsheets/d/1Kvs4KS76FHFqLFIZfrDMff4kP08nblUkihrxltoGBjg/edit#gid=934712705"",""ESENCIAL!A6:BG""),3,FALSE))"),"")</f>
        <v/>
      </c>
      <c r="G471" s="5" t="str">
        <f ca="1">IFERROR(__xludf.DUMMYFUNCTION("IFERROR(VLOOKUP(F532,IMPORTRANGE(""https://docs.google.com/spreadsheets/d/1Kvs4KS76FHFqLFIZfrDMff4kP08nblUkihrxltoGBjg/edit#gid=934712705"",""ESENCIAL!A6:BG""),8,FALSE))"),"")</f>
        <v/>
      </c>
      <c r="K471" s="287"/>
      <c r="S471" s="66"/>
      <c r="T471" s="66"/>
      <c r="U471" s="66"/>
      <c r="AT471" s="41" t="str">
        <f>IF(D471&gt;0,IF(AND(#REF!=1,#REF!=1),"Procede_E_P","NO_CUMPLE"),"")</f>
        <v/>
      </c>
      <c r="AU471" s="5" t="str">
        <f ca="1">IFERROR(__xludf.DUMMYFUNCTION("IFERROR(VLOOKUP(E532&amp;F532,IMPORTRANGE(""https://docs.google.com/spreadsheets/d/1Uw7-A9f9R21vMXxHZFNpYNeKFtG8_yji4HS352LGlSQ/edit?pli=1#gid=0"",""1_ACUM!A4:S""),11,FALSE))"),"")</f>
        <v/>
      </c>
      <c r="AV471" s="42" t="str">
        <f ca="1">IFERROR(__xludf.DUMMYFUNCTION("IFERROR(VLOOKUP(F532,IMPORTRANGE(""https://docs.google.com/spreadsheets/d/1Kvs4KS76FHFqLFIZfrDMff4kP08nblUkihrxltoGBjg/edit#gid=934712705"",""ESENCIAL!A6:BG""),15,FALSE))"),"")</f>
        <v/>
      </c>
    </row>
    <row r="472" spans="1:48" ht="15">
      <c r="A472" s="5"/>
      <c r="E472" s="66"/>
      <c r="F472" s="5" t="str">
        <f ca="1">IFERROR(__xludf.DUMMYFUNCTION("IFERROR(VLOOKUP(F533,IMPORTRANGE(""https://docs.google.com/spreadsheets/d/1Kvs4KS76FHFqLFIZfrDMff4kP08nblUkihrxltoGBjg/edit#gid=934712705"",""ESENCIAL!A6:BG""),3,FALSE))"),"")</f>
        <v/>
      </c>
      <c r="G472" s="5" t="str">
        <f ca="1">IFERROR(__xludf.DUMMYFUNCTION("IFERROR(VLOOKUP(F533,IMPORTRANGE(""https://docs.google.com/spreadsheets/d/1Kvs4KS76FHFqLFIZfrDMff4kP08nblUkihrxltoGBjg/edit#gid=934712705"",""ESENCIAL!A6:BG""),8,FALSE))"),"")</f>
        <v/>
      </c>
      <c r="K472" s="287"/>
      <c r="S472" s="66"/>
      <c r="T472" s="66"/>
      <c r="U472" s="66"/>
      <c r="AT472" s="41" t="str">
        <f>IF(D472&gt;0,IF(AND(#REF!=1,#REF!=1),"Procede_E_P","NO_CUMPLE"),"")</f>
        <v/>
      </c>
      <c r="AU472" s="5" t="str">
        <f ca="1">IFERROR(__xludf.DUMMYFUNCTION("IFERROR(VLOOKUP(E533&amp;F533,IMPORTRANGE(""https://docs.google.com/spreadsheets/d/1Uw7-A9f9R21vMXxHZFNpYNeKFtG8_yji4HS352LGlSQ/edit?pli=1#gid=0"",""1_ACUM!A4:S""),11,FALSE))"),"")</f>
        <v/>
      </c>
      <c r="AV472" s="42" t="str">
        <f ca="1">IFERROR(__xludf.DUMMYFUNCTION("IFERROR(VLOOKUP(F533,IMPORTRANGE(""https://docs.google.com/spreadsheets/d/1Kvs4KS76FHFqLFIZfrDMff4kP08nblUkihrxltoGBjg/edit#gid=934712705"",""ESENCIAL!A6:BG""),15,FALSE))"),"")</f>
        <v/>
      </c>
    </row>
    <row r="473" spans="1:48" ht="15">
      <c r="A473" s="5"/>
      <c r="E473" s="66"/>
      <c r="F473" s="5" t="str">
        <f ca="1">IFERROR(__xludf.DUMMYFUNCTION("IFERROR(VLOOKUP(F534,IMPORTRANGE(""https://docs.google.com/spreadsheets/d/1Kvs4KS76FHFqLFIZfrDMff4kP08nblUkihrxltoGBjg/edit#gid=934712705"",""ESENCIAL!A6:BG""),3,FALSE))"),"")</f>
        <v/>
      </c>
      <c r="G473" s="5" t="str">
        <f ca="1">IFERROR(__xludf.DUMMYFUNCTION("IFERROR(VLOOKUP(F534,IMPORTRANGE(""https://docs.google.com/spreadsheets/d/1Kvs4KS76FHFqLFIZfrDMff4kP08nblUkihrxltoGBjg/edit#gid=934712705"",""ESENCIAL!A6:BG""),8,FALSE))"),"")</f>
        <v/>
      </c>
      <c r="K473" s="287"/>
      <c r="S473" s="66"/>
      <c r="T473" s="66"/>
      <c r="U473" s="66"/>
      <c r="AT473" s="41" t="str">
        <f>IF(D473&gt;0,IF(AND(#REF!=1,#REF!=1),"Procede_E_P","NO_CUMPLE"),"")</f>
        <v/>
      </c>
      <c r="AU473" s="5" t="str">
        <f ca="1">IFERROR(__xludf.DUMMYFUNCTION("IFERROR(VLOOKUP(E534&amp;F534,IMPORTRANGE(""https://docs.google.com/spreadsheets/d/1Uw7-A9f9R21vMXxHZFNpYNeKFtG8_yji4HS352LGlSQ/edit?pli=1#gid=0"",""1_ACUM!A4:S""),11,FALSE))"),"")</f>
        <v/>
      </c>
      <c r="AV473" s="42" t="str">
        <f ca="1">IFERROR(__xludf.DUMMYFUNCTION("IFERROR(VLOOKUP(F534,IMPORTRANGE(""https://docs.google.com/spreadsheets/d/1Kvs4KS76FHFqLFIZfrDMff4kP08nblUkihrxltoGBjg/edit#gid=934712705"",""ESENCIAL!A6:BG""),15,FALSE))"),"")</f>
        <v/>
      </c>
    </row>
    <row r="474" spans="1:48" ht="15">
      <c r="A474" s="5"/>
      <c r="E474" s="66"/>
      <c r="F474" s="5" t="str">
        <f ca="1">IFERROR(__xludf.DUMMYFUNCTION("IFERROR(VLOOKUP(F535,IMPORTRANGE(""https://docs.google.com/spreadsheets/d/1Kvs4KS76FHFqLFIZfrDMff4kP08nblUkihrxltoGBjg/edit#gid=934712705"",""ESENCIAL!A6:BG""),3,FALSE))"),"")</f>
        <v/>
      </c>
      <c r="G474" s="5" t="str">
        <f ca="1">IFERROR(__xludf.DUMMYFUNCTION("IFERROR(VLOOKUP(F535,IMPORTRANGE(""https://docs.google.com/spreadsheets/d/1Kvs4KS76FHFqLFIZfrDMff4kP08nblUkihrxltoGBjg/edit#gid=934712705"",""ESENCIAL!A6:BG""),8,FALSE))"),"")</f>
        <v/>
      </c>
      <c r="K474" s="287"/>
      <c r="S474" s="66"/>
      <c r="T474" s="66"/>
      <c r="U474" s="66"/>
      <c r="AT474" s="41" t="str">
        <f>IF(D474&gt;0,IF(AND(#REF!=1,#REF!=1),"Procede_E_P","NO_CUMPLE"),"")</f>
        <v/>
      </c>
      <c r="AU474" s="5" t="str">
        <f ca="1">IFERROR(__xludf.DUMMYFUNCTION("IFERROR(VLOOKUP(E535&amp;F535,IMPORTRANGE(""https://docs.google.com/spreadsheets/d/1Uw7-A9f9R21vMXxHZFNpYNeKFtG8_yji4HS352LGlSQ/edit?pli=1#gid=0"",""1_ACUM!A4:S""),11,FALSE))"),"")</f>
        <v/>
      </c>
      <c r="AV474" s="42" t="str">
        <f ca="1">IFERROR(__xludf.DUMMYFUNCTION("IFERROR(VLOOKUP(F535,IMPORTRANGE(""https://docs.google.com/spreadsheets/d/1Kvs4KS76FHFqLFIZfrDMff4kP08nblUkihrxltoGBjg/edit#gid=934712705"",""ESENCIAL!A6:BG""),15,FALSE))"),"")</f>
        <v/>
      </c>
    </row>
    <row r="475" spans="1:48" ht="15">
      <c r="A475" s="5"/>
      <c r="E475" s="66"/>
      <c r="F475" s="5" t="str">
        <f ca="1">IFERROR(__xludf.DUMMYFUNCTION("IFERROR(VLOOKUP(F536,IMPORTRANGE(""https://docs.google.com/spreadsheets/d/1Kvs4KS76FHFqLFIZfrDMff4kP08nblUkihrxltoGBjg/edit#gid=934712705"",""ESENCIAL!A6:BG""),3,FALSE))"),"")</f>
        <v/>
      </c>
      <c r="G475" s="5" t="str">
        <f ca="1">IFERROR(__xludf.DUMMYFUNCTION("IFERROR(VLOOKUP(F536,IMPORTRANGE(""https://docs.google.com/spreadsheets/d/1Kvs4KS76FHFqLFIZfrDMff4kP08nblUkihrxltoGBjg/edit#gid=934712705"",""ESENCIAL!A6:BG""),8,FALSE))"),"")</f>
        <v/>
      </c>
      <c r="K475" s="287"/>
      <c r="S475" s="66"/>
      <c r="T475" s="66"/>
      <c r="U475" s="66"/>
      <c r="AT475" s="41" t="str">
        <f>IF(D475&gt;0,IF(AND(#REF!=1,#REF!=1),"Procede_E_P","NO_CUMPLE"),"")</f>
        <v/>
      </c>
      <c r="AU475" s="5" t="str">
        <f ca="1">IFERROR(__xludf.DUMMYFUNCTION("IFERROR(VLOOKUP(E536&amp;F536,IMPORTRANGE(""https://docs.google.com/spreadsheets/d/1Uw7-A9f9R21vMXxHZFNpYNeKFtG8_yji4HS352LGlSQ/edit?pli=1#gid=0"",""1_ACUM!A4:S""),11,FALSE))"),"")</f>
        <v/>
      </c>
      <c r="AV475" s="42" t="str">
        <f ca="1">IFERROR(__xludf.DUMMYFUNCTION("IFERROR(VLOOKUP(F536,IMPORTRANGE(""https://docs.google.com/spreadsheets/d/1Kvs4KS76FHFqLFIZfrDMff4kP08nblUkihrxltoGBjg/edit#gid=934712705"",""ESENCIAL!A6:BG""),15,FALSE))"),"")</f>
        <v/>
      </c>
    </row>
    <row r="476" spans="1:48" ht="15">
      <c r="A476" s="5"/>
      <c r="E476" s="66"/>
      <c r="F476" s="5" t="str">
        <f ca="1">IFERROR(__xludf.DUMMYFUNCTION("IFERROR(VLOOKUP(F537,IMPORTRANGE(""https://docs.google.com/spreadsheets/d/1Kvs4KS76FHFqLFIZfrDMff4kP08nblUkihrxltoGBjg/edit#gid=934712705"",""ESENCIAL!A6:BG""),3,FALSE))"),"")</f>
        <v/>
      </c>
      <c r="G476" s="5" t="str">
        <f ca="1">IFERROR(__xludf.DUMMYFUNCTION("IFERROR(VLOOKUP(F537,IMPORTRANGE(""https://docs.google.com/spreadsheets/d/1Kvs4KS76FHFqLFIZfrDMff4kP08nblUkihrxltoGBjg/edit#gid=934712705"",""ESENCIAL!A6:BG""),8,FALSE))"),"")</f>
        <v/>
      </c>
      <c r="K476" s="287"/>
      <c r="S476" s="66"/>
      <c r="T476" s="66"/>
      <c r="U476" s="66"/>
      <c r="AT476" s="41" t="str">
        <f>IF(D476&gt;0,IF(AND(#REF!=1,#REF!=1),"Procede_E_P","NO_CUMPLE"),"")</f>
        <v/>
      </c>
      <c r="AU476" s="5" t="str">
        <f ca="1">IFERROR(__xludf.DUMMYFUNCTION("IFERROR(VLOOKUP(E537&amp;F537,IMPORTRANGE(""https://docs.google.com/spreadsheets/d/1Uw7-A9f9R21vMXxHZFNpYNeKFtG8_yji4HS352LGlSQ/edit?pli=1#gid=0"",""1_ACUM!A4:S""),11,FALSE))"),"")</f>
        <v/>
      </c>
      <c r="AV476" s="42" t="str">
        <f ca="1">IFERROR(__xludf.DUMMYFUNCTION("IFERROR(VLOOKUP(F537,IMPORTRANGE(""https://docs.google.com/spreadsheets/d/1Kvs4KS76FHFqLFIZfrDMff4kP08nblUkihrxltoGBjg/edit#gid=934712705"",""ESENCIAL!A6:BG""),15,FALSE))"),"")</f>
        <v/>
      </c>
    </row>
    <row r="477" spans="1:48" ht="15">
      <c r="A477" s="5"/>
      <c r="E477" s="66"/>
      <c r="F477" s="5" t="str">
        <f ca="1">IFERROR(__xludf.DUMMYFUNCTION("IFERROR(VLOOKUP(F538,IMPORTRANGE(""https://docs.google.com/spreadsheets/d/1Kvs4KS76FHFqLFIZfrDMff4kP08nblUkihrxltoGBjg/edit#gid=934712705"",""ESENCIAL!A6:BG""),3,FALSE))"),"")</f>
        <v/>
      </c>
      <c r="G477" s="5" t="str">
        <f ca="1">IFERROR(__xludf.DUMMYFUNCTION("IFERROR(VLOOKUP(F538,IMPORTRANGE(""https://docs.google.com/spreadsheets/d/1Kvs4KS76FHFqLFIZfrDMff4kP08nblUkihrxltoGBjg/edit#gid=934712705"",""ESENCIAL!A6:BG""),8,FALSE))"),"")</f>
        <v/>
      </c>
      <c r="K477" s="287"/>
      <c r="S477" s="66"/>
      <c r="T477" s="66"/>
      <c r="U477" s="66"/>
      <c r="AT477" s="41" t="str">
        <f>IF(D477&gt;0,IF(AND(#REF!=1,#REF!=1),"Procede_E_P","NO_CUMPLE"),"")</f>
        <v/>
      </c>
      <c r="AU477" s="5" t="str">
        <f ca="1">IFERROR(__xludf.DUMMYFUNCTION("IFERROR(VLOOKUP(E538&amp;F538,IMPORTRANGE(""https://docs.google.com/spreadsheets/d/1Uw7-A9f9R21vMXxHZFNpYNeKFtG8_yji4HS352LGlSQ/edit?pli=1#gid=0"",""1_ACUM!A4:S""),11,FALSE))"),"")</f>
        <v/>
      </c>
      <c r="AV477" s="42" t="str">
        <f ca="1">IFERROR(__xludf.DUMMYFUNCTION("IFERROR(VLOOKUP(F538,IMPORTRANGE(""https://docs.google.com/spreadsheets/d/1Kvs4KS76FHFqLFIZfrDMff4kP08nblUkihrxltoGBjg/edit#gid=934712705"",""ESENCIAL!A6:BG""),15,FALSE))"),"")</f>
        <v/>
      </c>
    </row>
    <row r="478" spans="1:48" ht="15">
      <c r="A478" s="5"/>
      <c r="E478" s="66"/>
      <c r="F478" s="5" t="str">
        <f ca="1">IFERROR(__xludf.DUMMYFUNCTION("IFERROR(VLOOKUP(F539,IMPORTRANGE(""https://docs.google.com/spreadsheets/d/1Kvs4KS76FHFqLFIZfrDMff4kP08nblUkihrxltoGBjg/edit#gid=934712705"",""ESENCIAL!A6:BG""),3,FALSE))"),"")</f>
        <v/>
      </c>
      <c r="G478" s="5" t="str">
        <f ca="1">IFERROR(__xludf.DUMMYFUNCTION("IFERROR(VLOOKUP(F539,IMPORTRANGE(""https://docs.google.com/spreadsheets/d/1Kvs4KS76FHFqLFIZfrDMff4kP08nblUkihrxltoGBjg/edit#gid=934712705"",""ESENCIAL!A6:BG""),8,FALSE))"),"")</f>
        <v/>
      </c>
      <c r="K478" s="287"/>
      <c r="S478" s="66"/>
      <c r="T478" s="66"/>
      <c r="U478" s="66"/>
      <c r="AT478" s="41" t="str">
        <f>IF(D478&gt;0,IF(AND(#REF!=1,#REF!=1),"Procede_E_P","NO_CUMPLE"),"")</f>
        <v/>
      </c>
      <c r="AU478" s="5" t="str">
        <f ca="1">IFERROR(__xludf.DUMMYFUNCTION("IFERROR(VLOOKUP(E539&amp;F539,IMPORTRANGE(""https://docs.google.com/spreadsheets/d/1Uw7-A9f9R21vMXxHZFNpYNeKFtG8_yji4HS352LGlSQ/edit?pli=1#gid=0"",""1_ACUM!A4:S""),11,FALSE))"),"")</f>
        <v/>
      </c>
      <c r="AV478" s="42" t="str">
        <f ca="1">IFERROR(__xludf.DUMMYFUNCTION("IFERROR(VLOOKUP(F539,IMPORTRANGE(""https://docs.google.com/spreadsheets/d/1Kvs4KS76FHFqLFIZfrDMff4kP08nblUkihrxltoGBjg/edit#gid=934712705"",""ESENCIAL!A6:BG""),15,FALSE))"),"")</f>
        <v/>
      </c>
    </row>
    <row r="479" spans="1:48" ht="15">
      <c r="A479" s="5"/>
      <c r="E479" s="66"/>
      <c r="F479" s="5" t="str">
        <f ca="1">IFERROR(__xludf.DUMMYFUNCTION("IFERROR(VLOOKUP(F540,IMPORTRANGE(""https://docs.google.com/spreadsheets/d/1Kvs4KS76FHFqLFIZfrDMff4kP08nblUkihrxltoGBjg/edit#gid=934712705"",""ESENCIAL!A6:BG""),3,FALSE))"),"")</f>
        <v/>
      </c>
      <c r="G479" s="5" t="str">
        <f ca="1">IFERROR(__xludf.DUMMYFUNCTION("IFERROR(VLOOKUP(F540,IMPORTRANGE(""https://docs.google.com/spreadsheets/d/1Kvs4KS76FHFqLFIZfrDMff4kP08nblUkihrxltoGBjg/edit#gid=934712705"",""ESENCIAL!A6:BG""),8,FALSE))"),"")</f>
        <v/>
      </c>
      <c r="K479" s="287"/>
      <c r="S479" s="66"/>
      <c r="T479" s="66"/>
      <c r="U479" s="66"/>
      <c r="AT479" s="41" t="str">
        <f>IF(D479&gt;0,IF(AND(#REF!=1,#REF!=1),"Procede_E_P","NO_CUMPLE"),"")</f>
        <v/>
      </c>
      <c r="AU479" s="5" t="str">
        <f ca="1">IFERROR(__xludf.DUMMYFUNCTION("IFERROR(VLOOKUP(E540&amp;F540,IMPORTRANGE(""https://docs.google.com/spreadsheets/d/1Uw7-A9f9R21vMXxHZFNpYNeKFtG8_yji4HS352LGlSQ/edit?pli=1#gid=0"",""1_ACUM!A4:S""),11,FALSE))"),"")</f>
        <v/>
      </c>
      <c r="AV479" s="42" t="str">
        <f ca="1">IFERROR(__xludf.DUMMYFUNCTION("IFERROR(VLOOKUP(F540,IMPORTRANGE(""https://docs.google.com/spreadsheets/d/1Kvs4KS76FHFqLFIZfrDMff4kP08nblUkihrxltoGBjg/edit#gid=934712705"",""ESENCIAL!A6:BG""),15,FALSE))"),"")</f>
        <v/>
      </c>
    </row>
    <row r="480" spans="1:48" ht="15">
      <c r="A480" s="5"/>
      <c r="E480" s="66"/>
      <c r="F480" s="5" t="str">
        <f ca="1">IFERROR(__xludf.DUMMYFUNCTION("IFERROR(VLOOKUP(F541,IMPORTRANGE(""https://docs.google.com/spreadsheets/d/1Kvs4KS76FHFqLFIZfrDMff4kP08nblUkihrxltoGBjg/edit#gid=934712705"",""ESENCIAL!A6:BG""),3,FALSE))"),"")</f>
        <v/>
      </c>
      <c r="G480" s="5" t="str">
        <f ca="1">IFERROR(__xludf.DUMMYFUNCTION("IFERROR(VLOOKUP(F541,IMPORTRANGE(""https://docs.google.com/spreadsheets/d/1Kvs4KS76FHFqLFIZfrDMff4kP08nblUkihrxltoGBjg/edit#gid=934712705"",""ESENCIAL!A6:BG""),8,FALSE))"),"")</f>
        <v/>
      </c>
      <c r="K480" s="287"/>
      <c r="S480" s="66"/>
      <c r="T480" s="66"/>
      <c r="U480" s="66"/>
      <c r="AT480" s="41" t="str">
        <f>IF(D480&gt;0,IF(AND(#REF!=1,#REF!=1),"Procede_E_P","NO_CUMPLE"),"")</f>
        <v/>
      </c>
      <c r="AU480" s="5" t="str">
        <f ca="1">IFERROR(__xludf.DUMMYFUNCTION("IFERROR(VLOOKUP(E541&amp;F541,IMPORTRANGE(""https://docs.google.com/spreadsheets/d/1Uw7-A9f9R21vMXxHZFNpYNeKFtG8_yji4HS352LGlSQ/edit?pli=1#gid=0"",""1_ACUM!A4:S""),11,FALSE))"),"")</f>
        <v/>
      </c>
      <c r="AV480" s="42" t="str">
        <f ca="1">IFERROR(__xludf.DUMMYFUNCTION("IFERROR(VLOOKUP(F541,IMPORTRANGE(""https://docs.google.com/spreadsheets/d/1Kvs4KS76FHFqLFIZfrDMff4kP08nblUkihrxltoGBjg/edit#gid=934712705"",""ESENCIAL!A6:BG""),15,FALSE))"),"")</f>
        <v/>
      </c>
    </row>
    <row r="481" spans="1:48" ht="15">
      <c r="A481" s="5"/>
      <c r="E481" s="66"/>
      <c r="F481" s="5" t="str">
        <f ca="1">IFERROR(__xludf.DUMMYFUNCTION("IFERROR(VLOOKUP(F542,IMPORTRANGE(""https://docs.google.com/spreadsheets/d/1Kvs4KS76FHFqLFIZfrDMff4kP08nblUkihrxltoGBjg/edit#gid=934712705"",""ESENCIAL!A6:BG""),3,FALSE))"),"")</f>
        <v/>
      </c>
      <c r="G481" s="5" t="str">
        <f ca="1">IFERROR(__xludf.DUMMYFUNCTION("IFERROR(VLOOKUP(F542,IMPORTRANGE(""https://docs.google.com/spreadsheets/d/1Kvs4KS76FHFqLFIZfrDMff4kP08nblUkihrxltoGBjg/edit#gid=934712705"",""ESENCIAL!A6:BG""),8,FALSE))"),"")</f>
        <v/>
      </c>
      <c r="K481" s="287"/>
      <c r="S481" s="66"/>
      <c r="T481" s="66"/>
      <c r="U481" s="66"/>
      <c r="AT481" s="41" t="str">
        <f>IF(D481&gt;0,IF(AND(#REF!=1,#REF!=1),"Procede_E_P","NO_CUMPLE"),"")</f>
        <v/>
      </c>
      <c r="AU481" s="5" t="str">
        <f ca="1">IFERROR(__xludf.DUMMYFUNCTION("IFERROR(VLOOKUP(E542&amp;F542,IMPORTRANGE(""https://docs.google.com/spreadsheets/d/1Uw7-A9f9R21vMXxHZFNpYNeKFtG8_yji4HS352LGlSQ/edit?pli=1#gid=0"",""1_ACUM!A4:S""),11,FALSE))"),"")</f>
        <v/>
      </c>
      <c r="AV481" s="42" t="str">
        <f ca="1">IFERROR(__xludf.DUMMYFUNCTION("IFERROR(VLOOKUP(F542,IMPORTRANGE(""https://docs.google.com/spreadsheets/d/1Kvs4KS76FHFqLFIZfrDMff4kP08nblUkihrxltoGBjg/edit#gid=934712705"",""ESENCIAL!A6:BG""),15,FALSE))"),"")</f>
        <v/>
      </c>
    </row>
    <row r="482" spans="1:48" ht="15">
      <c r="A482" s="5"/>
      <c r="E482" s="66"/>
      <c r="F482" s="5" t="str">
        <f ca="1">IFERROR(__xludf.DUMMYFUNCTION("IFERROR(VLOOKUP(F543,IMPORTRANGE(""https://docs.google.com/spreadsheets/d/1Kvs4KS76FHFqLFIZfrDMff4kP08nblUkihrxltoGBjg/edit#gid=934712705"",""ESENCIAL!A6:BG""),3,FALSE))"),"")</f>
        <v/>
      </c>
      <c r="G482" s="5" t="str">
        <f ca="1">IFERROR(__xludf.DUMMYFUNCTION("IFERROR(VLOOKUP(F543,IMPORTRANGE(""https://docs.google.com/spreadsheets/d/1Kvs4KS76FHFqLFIZfrDMff4kP08nblUkihrxltoGBjg/edit#gid=934712705"",""ESENCIAL!A6:BG""),8,FALSE))"),"")</f>
        <v/>
      </c>
      <c r="K482" s="287"/>
      <c r="S482" s="66"/>
      <c r="T482" s="66"/>
      <c r="U482" s="66"/>
      <c r="AT482" s="41" t="str">
        <f>IF(D482&gt;0,IF(AND(#REF!=1,#REF!=1),"Procede_E_P","NO_CUMPLE"),"")</f>
        <v/>
      </c>
      <c r="AU482" s="5" t="str">
        <f ca="1">IFERROR(__xludf.DUMMYFUNCTION("IFERROR(VLOOKUP(E543&amp;F543,IMPORTRANGE(""https://docs.google.com/spreadsheets/d/1Uw7-A9f9R21vMXxHZFNpYNeKFtG8_yji4HS352LGlSQ/edit?pli=1#gid=0"",""1_ACUM!A4:S""),11,FALSE))"),"")</f>
        <v/>
      </c>
      <c r="AV482" s="42" t="str">
        <f ca="1">IFERROR(__xludf.DUMMYFUNCTION("IFERROR(VLOOKUP(F543,IMPORTRANGE(""https://docs.google.com/spreadsheets/d/1Kvs4KS76FHFqLFIZfrDMff4kP08nblUkihrxltoGBjg/edit#gid=934712705"",""ESENCIAL!A6:BG""),15,FALSE))"),"")</f>
        <v/>
      </c>
    </row>
    <row r="483" spans="1:48" ht="15">
      <c r="A483" s="5"/>
      <c r="E483" s="66"/>
      <c r="F483" s="5" t="str">
        <f ca="1">IFERROR(__xludf.DUMMYFUNCTION("IFERROR(VLOOKUP(F544,IMPORTRANGE(""https://docs.google.com/spreadsheets/d/1Kvs4KS76FHFqLFIZfrDMff4kP08nblUkihrxltoGBjg/edit#gid=934712705"",""ESENCIAL!A6:BG""),3,FALSE))"),"")</f>
        <v/>
      </c>
      <c r="G483" s="5" t="str">
        <f ca="1">IFERROR(__xludf.DUMMYFUNCTION("IFERROR(VLOOKUP(F544,IMPORTRANGE(""https://docs.google.com/spreadsheets/d/1Kvs4KS76FHFqLFIZfrDMff4kP08nblUkihrxltoGBjg/edit#gid=934712705"",""ESENCIAL!A6:BG""),8,FALSE))"),"")</f>
        <v/>
      </c>
      <c r="K483" s="287"/>
      <c r="S483" s="66"/>
      <c r="T483" s="66"/>
      <c r="U483" s="66"/>
      <c r="AT483" s="41" t="str">
        <f>IF(D483&gt;0,IF(AND(#REF!=1,#REF!=1),"Procede_E_P","NO_CUMPLE"),"")</f>
        <v/>
      </c>
      <c r="AU483" s="5" t="str">
        <f ca="1">IFERROR(__xludf.DUMMYFUNCTION("IFERROR(VLOOKUP(E544&amp;F544,IMPORTRANGE(""https://docs.google.com/spreadsheets/d/1Uw7-A9f9R21vMXxHZFNpYNeKFtG8_yji4HS352LGlSQ/edit?pli=1#gid=0"",""1_ACUM!A4:S""),11,FALSE))"),"")</f>
        <v/>
      </c>
      <c r="AV483" s="42" t="str">
        <f ca="1">IFERROR(__xludf.DUMMYFUNCTION("IFERROR(VLOOKUP(F544,IMPORTRANGE(""https://docs.google.com/spreadsheets/d/1Kvs4KS76FHFqLFIZfrDMff4kP08nblUkihrxltoGBjg/edit#gid=934712705"",""ESENCIAL!A6:BG""),15,FALSE))"),"")</f>
        <v/>
      </c>
    </row>
    <row r="484" spans="1:48" ht="15">
      <c r="A484" s="5"/>
      <c r="E484" s="66"/>
      <c r="F484" s="5" t="str">
        <f ca="1">IFERROR(__xludf.DUMMYFUNCTION("IFERROR(VLOOKUP(F545,IMPORTRANGE(""https://docs.google.com/spreadsheets/d/1Kvs4KS76FHFqLFIZfrDMff4kP08nblUkihrxltoGBjg/edit#gid=934712705"",""ESENCIAL!A6:BG""),3,FALSE))"),"")</f>
        <v/>
      </c>
      <c r="G484" s="5" t="str">
        <f ca="1">IFERROR(__xludf.DUMMYFUNCTION("IFERROR(VLOOKUP(F545,IMPORTRANGE(""https://docs.google.com/spreadsheets/d/1Kvs4KS76FHFqLFIZfrDMff4kP08nblUkihrxltoGBjg/edit#gid=934712705"",""ESENCIAL!A6:BG""),8,FALSE))"),"")</f>
        <v/>
      </c>
      <c r="K484" s="287"/>
      <c r="S484" s="66"/>
      <c r="T484" s="66"/>
      <c r="U484" s="66"/>
      <c r="AT484" s="41" t="str">
        <f>IF(D484&gt;0,IF(AND(#REF!=1,#REF!=1),"Procede_E_P","NO_CUMPLE"),"")</f>
        <v/>
      </c>
      <c r="AU484" s="5" t="str">
        <f ca="1">IFERROR(__xludf.DUMMYFUNCTION("IFERROR(VLOOKUP(E545&amp;F545,IMPORTRANGE(""https://docs.google.com/spreadsheets/d/1Uw7-A9f9R21vMXxHZFNpYNeKFtG8_yji4HS352LGlSQ/edit?pli=1#gid=0"",""1_ACUM!A4:S""),11,FALSE))"),"")</f>
        <v/>
      </c>
      <c r="AV484" s="42" t="str">
        <f ca="1">IFERROR(__xludf.DUMMYFUNCTION("IFERROR(VLOOKUP(F545,IMPORTRANGE(""https://docs.google.com/spreadsheets/d/1Kvs4KS76FHFqLFIZfrDMff4kP08nblUkihrxltoGBjg/edit#gid=934712705"",""ESENCIAL!A6:BG""),15,FALSE))"),"")</f>
        <v/>
      </c>
    </row>
    <row r="485" spans="1:48" ht="15">
      <c r="A485" s="5"/>
      <c r="E485" s="66"/>
      <c r="F485" s="5" t="str">
        <f ca="1">IFERROR(__xludf.DUMMYFUNCTION("IFERROR(VLOOKUP(F546,IMPORTRANGE(""https://docs.google.com/spreadsheets/d/1Kvs4KS76FHFqLFIZfrDMff4kP08nblUkihrxltoGBjg/edit#gid=934712705"",""ESENCIAL!A6:BG""),3,FALSE))"),"")</f>
        <v/>
      </c>
      <c r="G485" s="5" t="str">
        <f ca="1">IFERROR(__xludf.DUMMYFUNCTION("IFERROR(VLOOKUP(F546,IMPORTRANGE(""https://docs.google.com/spreadsheets/d/1Kvs4KS76FHFqLFIZfrDMff4kP08nblUkihrxltoGBjg/edit#gid=934712705"",""ESENCIAL!A6:BG""),8,FALSE))"),"")</f>
        <v/>
      </c>
      <c r="K485" s="287"/>
      <c r="S485" s="66"/>
      <c r="T485" s="66"/>
      <c r="U485" s="66"/>
      <c r="AT485" s="41" t="str">
        <f>IF(D485&gt;0,IF(AND(#REF!=1,#REF!=1),"Procede_E_P","NO_CUMPLE"),"")</f>
        <v/>
      </c>
      <c r="AU485" s="5" t="str">
        <f ca="1">IFERROR(__xludf.DUMMYFUNCTION("IFERROR(VLOOKUP(E546&amp;F546,IMPORTRANGE(""https://docs.google.com/spreadsheets/d/1Uw7-A9f9R21vMXxHZFNpYNeKFtG8_yji4HS352LGlSQ/edit?pli=1#gid=0"",""1_ACUM!A4:S""),11,FALSE))"),"")</f>
        <v/>
      </c>
      <c r="AV485" s="42" t="str">
        <f ca="1">IFERROR(__xludf.DUMMYFUNCTION("IFERROR(VLOOKUP(F546,IMPORTRANGE(""https://docs.google.com/spreadsheets/d/1Kvs4KS76FHFqLFIZfrDMff4kP08nblUkihrxltoGBjg/edit#gid=934712705"",""ESENCIAL!A6:BG""),15,FALSE))"),"")</f>
        <v/>
      </c>
    </row>
    <row r="486" spans="1:48" ht="15">
      <c r="A486" s="5"/>
      <c r="E486" s="66"/>
      <c r="F486" s="5" t="str">
        <f ca="1">IFERROR(__xludf.DUMMYFUNCTION("IFERROR(VLOOKUP(F547,IMPORTRANGE(""https://docs.google.com/spreadsheets/d/1Kvs4KS76FHFqLFIZfrDMff4kP08nblUkihrxltoGBjg/edit#gid=934712705"",""ESENCIAL!A6:BG""),3,FALSE))"),"")</f>
        <v/>
      </c>
      <c r="G486" s="5" t="str">
        <f ca="1">IFERROR(__xludf.DUMMYFUNCTION("IFERROR(VLOOKUP(F547,IMPORTRANGE(""https://docs.google.com/spreadsheets/d/1Kvs4KS76FHFqLFIZfrDMff4kP08nblUkihrxltoGBjg/edit#gid=934712705"",""ESENCIAL!A6:BG""),8,FALSE))"),"")</f>
        <v/>
      </c>
      <c r="K486" s="287"/>
      <c r="S486" s="66"/>
      <c r="T486" s="66"/>
      <c r="U486" s="66"/>
      <c r="AT486" s="41" t="str">
        <f>IF(D486&gt;0,IF(AND(#REF!=1,#REF!=1),"Procede_E_P","NO_CUMPLE"),"")</f>
        <v/>
      </c>
      <c r="AU486" s="5" t="str">
        <f ca="1">IFERROR(__xludf.DUMMYFUNCTION("IFERROR(VLOOKUP(E547&amp;F547,IMPORTRANGE(""https://docs.google.com/spreadsheets/d/1Uw7-A9f9R21vMXxHZFNpYNeKFtG8_yji4HS352LGlSQ/edit?pli=1#gid=0"",""1_ACUM!A4:S""),11,FALSE))"),"")</f>
        <v/>
      </c>
      <c r="AV486" s="42" t="str">
        <f ca="1">IFERROR(__xludf.DUMMYFUNCTION("IFERROR(VLOOKUP(F547,IMPORTRANGE(""https://docs.google.com/spreadsheets/d/1Kvs4KS76FHFqLFIZfrDMff4kP08nblUkihrxltoGBjg/edit#gid=934712705"",""ESENCIAL!A6:BG""),15,FALSE))"),"")</f>
        <v/>
      </c>
    </row>
    <row r="487" spans="1:48" ht="15">
      <c r="A487" s="5"/>
      <c r="E487" s="66"/>
      <c r="F487" s="5" t="str">
        <f ca="1">IFERROR(__xludf.DUMMYFUNCTION("IFERROR(VLOOKUP(F548,IMPORTRANGE(""https://docs.google.com/spreadsheets/d/1Kvs4KS76FHFqLFIZfrDMff4kP08nblUkihrxltoGBjg/edit#gid=934712705"",""ESENCIAL!A6:BG""),3,FALSE))"),"")</f>
        <v/>
      </c>
      <c r="G487" s="5" t="str">
        <f ca="1">IFERROR(__xludf.DUMMYFUNCTION("IFERROR(VLOOKUP(F548,IMPORTRANGE(""https://docs.google.com/spreadsheets/d/1Kvs4KS76FHFqLFIZfrDMff4kP08nblUkihrxltoGBjg/edit#gid=934712705"",""ESENCIAL!A6:BG""),8,FALSE))"),"")</f>
        <v/>
      </c>
      <c r="K487" s="287"/>
      <c r="S487" s="66"/>
      <c r="T487" s="66"/>
      <c r="U487" s="66"/>
      <c r="AT487" s="41" t="str">
        <f>IF(D487&gt;0,IF(AND(#REF!=1,#REF!=1),"Procede_E_P","NO_CUMPLE"),"")</f>
        <v/>
      </c>
      <c r="AU487" s="5" t="str">
        <f ca="1">IFERROR(__xludf.DUMMYFUNCTION("IFERROR(VLOOKUP(E548&amp;F548,IMPORTRANGE(""https://docs.google.com/spreadsheets/d/1Uw7-A9f9R21vMXxHZFNpYNeKFtG8_yji4HS352LGlSQ/edit?pli=1#gid=0"",""1_ACUM!A4:S""),11,FALSE))"),"")</f>
        <v/>
      </c>
      <c r="AV487" s="42" t="str">
        <f ca="1">IFERROR(__xludf.DUMMYFUNCTION("IFERROR(VLOOKUP(F548,IMPORTRANGE(""https://docs.google.com/spreadsheets/d/1Kvs4KS76FHFqLFIZfrDMff4kP08nblUkihrxltoGBjg/edit#gid=934712705"",""ESENCIAL!A6:BG""),15,FALSE))"),"")</f>
        <v/>
      </c>
    </row>
    <row r="488" spans="1:48" ht="15">
      <c r="A488" s="5"/>
      <c r="E488" s="66"/>
      <c r="F488" s="5" t="str">
        <f ca="1">IFERROR(__xludf.DUMMYFUNCTION("IFERROR(VLOOKUP(F549,IMPORTRANGE(""https://docs.google.com/spreadsheets/d/1Kvs4KS76FHFqLFIZfrDMff4kP08nblUkihrxltoGBjg/edit#gid=934712705"",""ESENCIAL!A6:BG""),3,FALSE))"),"")</f>
        <v/>
      </c>
      <c r="G488" s="5" t="str">
        <f ca="1">IFERROR(__xludf.DUMMYFUNCTION("IFERROR(VLOOKUP(F549,IMPORTRANGE(""https://docs.google.com/spreadsheets/d/1Kvs4KS76FHFqLFIZfrDMff4kP08nblUkihrxltoGBjg/edit#gid=934712705"",""ESENCIAL!A6:BG""),8,FALSE))"),"")</f>
        <v/>
      </c>
      <c r="K488" s="287"/>
      <c r="S488" s="66"/>
      <c r="T488" s="66"/>
      <c r="U488" s="66"/>
      <c r="AT488" s="41" t="str">
        <f>IF(D488&gt;0,IF(AND(#REF!=1,#REF!=1),"Procede_E_P","NO_CUMPLE"),"")</f>
        <v/>
      </c>
      <c r="AU488" s="5" t="str">
        <f ca="1">IFERROR(__xludf.DUMMYFUNCTION("IFERROR(VLOOKUP(E549&amp;F549,IMPORTRANGE(""https://docs.google.com/spreadsheets/d/1Uw7-A9f9R21vMXxHZFNpYNeKFtG8_yji4HS352LGlSQ/edit?pli=1#gid=0"",""1_ACUM!A4:S""),11,FALSE))"),"")</f>
        <v/>
      </c>
      <c r="AV488" s="42" t="str">
        <f ca="1">IFERROR(__xludf.DUMMYFUNCTION("IFERROR(VLOOKUP(F549,IMPORTRANGE(""https://docs.google.com/spreadsheets/d/1Kvs4KS76FHFqLFIZfrDMff4kP08nblUkihrxltoGBjg/edit#gid=934712705"",""ESENCIAL!A6:BG""),15,FALSE))"),"")</f>
        <v/>
      </c>
    </row>
    <row r="489" spans="1:48" ht="15">
      <c r="A489" s="5"/>
      <c r="E489" s="66"/>
      <c r="F489" s="5" t="str">
        <f ca="1">IFERROR(__xludf.DUMMYFUNCTION("IFERROR(VLOOKUP(F550,IMPORTRANGE(""https://docs.google.com/spreadsheets/d/1Kvs4KS76FHFqLFIZfrDMff4kP08nblUkihrxltoGBjg/edit#gid=934712705"",""ESENCIAL!A6:BG""),3,FALSE))"),"")</f>
        <v/>
      </c>
      <c r="G489" s="5" t="str">
        <f ca="1">IFERROR(__xludf.DUMMYFUNCTION("IFERROR(VLOOKUP(F550,IMPORTRANGE(""https://docs.google.com/spreadsheets/d/1Kvs4KS76FHFqLFIZfrDMff4kP08nblUkihrxltoGBjg/edit#gid=934712705"",""ESENCIAL!A6:BG""),8,FALSE))"),"")</f>
        <v/>
      </c>
      <c r="K489" s="287"/>
      <c r="S489" s="66"/>
      <c r="T489" s="66"/>
      <c r="U489" s="66"/>
      <c r="AT489" s="41" t="str">
        <f>IF(D489&gt;0,IF(AND(#REF!=1,#REF!=1),"Procede_E_P","NO_CUMPLE"),"")</f>
        <v/>
      </c>
      <c r="AU489" s="5" t="str">
        <f ca="1">IFERROR(__xludf.DUMMYFUNCTION("IFERROR(VLOOKUP(E550&amp;F550,IMPORTRANGE(""https://docs.google.com/spreadsheets/d/1Uw7-A9f9R21vMXxHZFNpYNeKFtG8_yji4HS352LGlSQ/edit?pli=1#gid=0"",""1_ACUM!A4:S""),11,FALSE))"),"")</f>
        <v/>
      </c>
      <c r="AV489" s="42" t="str">
        <f ca="1">IFERROR(__xludf.DUMMYFUNCTION("IFERROR(VLOOKUP(F550,IMPORTRANGE(""https://docs.google.com/spreadsheets/d/1Kvs4KS76FHFqLFIZfrDMff4kP08nblUkihrxltoGBjg/edit#gid=934712705"",""ESENCIAL!A6:BG""),15,FALSE))"),"")</f>
        <v/>
      </c>
    </row>
    <row r="490" spans="1:48" ht="15">
      <c r="A490" s="5"/>
      <c r="E490" s="66"/>
      <c r="F490" s="5" t="str">
        <f ca="1">IFERROR(__xludf.DUMMYFUNCTION("IFERROR(VLOOKUP(F551,IMPORTRANGE(""https://docs.google.com/spreadsheets/d/1Kvs4KS76FHFqLFIZfrDMff4kP08nblUkihrxltoGBjg/edit#gid=934712705"",""ESENCIAL!A6:BG""),3,FALSE))"),"")</f>
        <v/>
      </c>
      <c r="G490" s="5" t="str">
        <f ca="1">IFERROR(__xludf.DUMMYFUNCTION("IFERROR(VLOOKUP(F551,IMPORTRANGE(""https://docs.google.com/spreadsheets/d/1Kvs4KS76FHFqLFIZfrDMff4kP08nblUkihrxltoGBjg/edit#gid=934712705"",""ESENCIAL!A6:BG""),8,FALSE))"),"")</f>
        <v/>
      </c>
      <c r="K490" s="287"/>
      <c r="S490" s="66"/>
      <c r="T490" s="66"/>
      <c r="U490" s="66"/>
      <c r="AT490" s="41" t="str">
        <f>IF(D490&gt;0,IF(AND(#REF!=1,#REF!=1),"Procede_E_P","NO_CUMPLE"),"")</f>
        <v/>
      </c>
      <c r="AU490" s="5" t="str">
        <f ca="1">IFERROR(__xludf.DUMMYFUNCTION("IFERROR(VLOOKUP(E551&amp;F551,IMPORTRANGE(""https://docs.google.com/spreadsheets/d/1Uw7-A9f9R21vMXxHZFNpYNeKFtG8_yji4HS352LGlSQ/edit?pli=1#gid=0"",""1_ACUM!A4:S""),11,FALSE))"),"")</f>
        <v/>
      </c>
      <c r="AV490" s="42" t="str">
        <f ca="1">IFERROR(__xludf.DUMMYFUNCTION("IFERROR(VLOOKUP(F551,IMPORTRANGE(""https://docs.google.com/spreadsheets/d/1Kvs4KS76FHFqLFIZfrDMff4kP08nblUkihrxltoGBjg/edit#gid=934712705"",""ESENCIAL!A6:BG""),15,FALSE))"),"")</f>
        <v/>
      </c>
    </row>
    <row r="491" spans="1:48" ht="15">
      <c r="A491" s="5"/>
      <c r="E491" s="66"/>
      <c r="F491" s="5" t="str">
        <f ca="1">IFERROR(__xludf.DUMMYFUNCTION("IFERROR(VLOOKUP(F552,IMPORTRANGE(""https://docs.google.com/spreadsheets/d/1Kvs4KS76FHFqLFIZfrDMff4kP08nblUkihrxltoGBjg/edit#gid=934712705"",""ESENCIAL!A6:BG""),3,FALSE))"),"")</f>
        <v/>
      </c>
      <c r="G491" s="5" t="str">
        <f ca="1">IFERROR(__xludf.DUMMYFUNCTION("IFERROR(VLOOKUP(F552,IMPORTRANGE(""https://docs.google.com/spreadsheets/d/1Kvs4KS76FHFqLFIZfrDMff4kP08nblUkihrxltoGBjg/edit#gid=934712705"",""ESENCIAL!A6:BG""),8,FALSE))"),"")</f>
        <v/>
      </c>
      <c r="K491" s="287"/>
      <c r="S491" s="66"/>
      <c r="T491" s="66"/>
      <c r="U491" s="66"/>
      <c r="AT491" s="41" t="str">
        <f>IF(D491&gt;0,IF(AND(#REF!=1,#REF!=1),"Procede_E_P","NO_CUMPLE"),"")</f>
        <v/>
      </c>
      <c r="AU491" s="5" t="str">
        <f ca="1">IFERROR(__xludf.DUMMYFUNCTION("IFERROR(VLOOKUP(E552&amp;F552,IMPORTRANGE(""https://docs.google.com/spreadsheets/d/1Uw7-A9f9R21vMXxHZFNpYNeKFtG8_yji4HS352LGlSQ/edit?pli=1#gid=0"",""1_ACUM!A4:S""),11,FALSE))"),"")</f>
        <v/>
      </c>
      <c r="AV491" s="42" t="str">
        <f ca="1">IFERROR(__xludf.DUMMYFUNCTION("IFERROR(VLOOKUP(F552,IMPORTRANGE(""https://docs.google.com/spreadsheets/d/1Kvs4KS76FHFqLFIZfrDMff4kP08nblUkihrxltoGBjg/edit#gid=934712705"",""ESENCIAL!A6:BG""),15,FALSE))"),"")</f>
        <v/>
      </c>
    </row>
    <row r="492" spans="1:48" ht="15">
      <c r="A492" s="5"/>
      <c r="E492" s="66"/>
      <c r="F492" s="5" t="str">
        <f ca="1">IFERROR(__xludf.DUMMYFUNCTION("IFERROR(VLOOKUP(F553,IMPORTRANGE(""https://docs.google.com/spreadsheets/d/1Kvs4KS76FHFqLFIZfrDMff4kP08nblUkihrxltoGBjg/edit#gid=934712705"",""ESENCIAL!A6:BG""),3,FALSE))"),"")</f>
        <v/>
      </c>
      <c r="G492" s="5" t="str">
        <f ca="1">IFERROR(__xludf.DUMMYFUNCTION("IFERROR(VLOOKUP(F553,IMPORTRANGE(""https://docs.google.com/spreadsheets/d/1Kvs4KS76FHFqLFIZfrDMff4kP08nblUkihrxltoGBjg/edit#gid=934712705"",""ESENCIAL!A6:BG""),8,FALSE))"),"")</f>
        <v/>
      </c>
      <c r="K492" s="287"/>
      <c r="S492" s="66"/>
      <c r="T492" s="66"/>
      <c r="U492" s="66"/>
      <c r="AT492" s="41" t="str">
        <f>IF(D492&gt;0,IF(AND(#REF!=1,#REF!=1),"Procede_E_P","NO_CUMPLE"),"")</f>
        <v/>
      </c>
      <c r="AU492" s="5" t="str">
        <f ca="1">IFERROR(__xludf.DUMMYFUNCTION("IFERROR(VLOOKUP(E553&amp;F553,IMPORTRANGE(""https://docs.google.com/spreadsheets/d/1Uw7-A9f9R21vMXxHZFNpYNeKFtG8_yji4HS352LGlSQ/edit?pli=1#gid=0"",""1_ACUM!A4:S""),11,FALSE))"),"")</f>
        <v/>
      </c>
      <c r="AV492" s="42" t="str">
        <f ca="1">IFERROR(__xludf.DUMMYFUNCTION("IFERROR(VLOOKUP(F553,IMPORTRANGE(""https://docs.google.com/spreadsheets/d/1Kvs4KS76FHFqLFIZfrDMff4kP08nblUkihrxltoGBjg/edit#gid=934712705"",""ESENCIAL!A6:BG""),15,FALSE))"),"")</f>
        <v/>
      </c>
    </row>
    <row r="493" spans="1:48" ht="15">
      <c r="A493" s="5"/>
      <c r="E493" s="66"/>
      <c r="F493" s="5" t="str">
        <f ca="1">IFERROR(__xludf.DUMMYFUNCTION("IFERROR(VLOOKUP(F554,IMPORTRANGE(""https://docs.google.com/spreadsheets/d/1Kvs4KS76FHFqLFIZfrDMff4kP08nblUkihrxltoGBjg/edit#gid=934712705"",""ESENCIAL!A6:BG""),3,FALSE))"),"")</f>
        <v/>
      </c>
      <c r="G493" s="5" t="str">
        <f ca="1">IFERROR(__xludf.DUMMYFUNCTION("IFERROR(VLOOKUP(F554,IMPORTRANGE(""https://docs.google.com/spreadsheets/d/1Kvs4KS76FHFqLFIZfrDMff4kP08nblUkihrxltoGBjg/edit#gid=934712705"",""ESENCIAL!A6:BG""),8,FALSE))"),"")</f>
        <v/>
      </c>
      <c r="K493" s="287"/>
      <c r="S493" s="66"/>
      <c r="T493" s="66"/>
      <c r="U493" s="66"/>
      <c r="AT493" s="41" t="str">
        <f>IF(D493&gt;0,IF(AND(#REF!=1,#REF!=1),"Procede_E_P","NO_CUMPLE"),"")</f>
        <v/>
      </c>
      <c r="AU493" s="5" t="str">
        <f ca="1">IFERROR(__xludf.DUMMYFUNCTION("IFERROR(VLOOKUP(E554&amp;F554,IMPORTRANGE(""https://docs.google.com/spreadsheets/d/1Uw7-A9f9R21vMXxHZFNpYNeKFtG8_yji4HS352LGlSQ/edit?pli=1#gid=0"",""1_ACUM!A4:S""),11,FALSE))"),"")</f>
        <v/>
      </c>
      <c r="AV493" s="42" t="str">
        <f ca="1">IFERROR(__xludf.DUMMYFUNCTION("IFERROR(VLOOKUP(F554,IMPORTRANGE(""https://docs.google.com/spreadsheets/d/1Kvs4KS76FHFqLFIZfrDMff4kP08nblUkihrxltoGBjg/edit#gid=934712705"",""ESENCIAL!A6:BG""),15,FALSE))"),"")</f>
        <v/>
      </c>
    </row>
    <row r="494" spans="1:48" ht="15">
      <c r="A494" s="5"/>
      <c r="E494" s="66"/>
      <c r="F494" s="5" t="str">
        <f ca="1">IFERROR(__xludf.DUMMYFUNCTION("IFERROR(VLOOKUP(F555,IMPORTRANGE(""https://docs.google.com/spreadsheets/d/1Kvs4KS76FHFqLFIZfrDMff4kP08nblUkihrxltoGBjg/edit#gid=934712705"",""ESENCIAL!A6:BG""),3,FALSE))"),"")</f>
        <v/>
      </c>
      <c r="G494" s="5" t="str">
        <f ca="1">IFERROR(__xludf.DUMMYFUNCTION("IFERROR(VLOOKUP(F555,IMPORTRANGE(""https://docs.google.com/spreadsheets/d/1Kvs4KS76FHFqLFIZfrDMff4kP08nblUkihrxltoGBjg/edit#gid=934712705"",""ESENCIAL!A6:BG""),8,FALSE))"),"")</f>
        <v/>
      </c>
      <c r="K494" s="287"/>
      <c r="S494" s="66"/>
      <c r="T494" s="66"/>
      <c r="U494" s="66"/>
      <c r="AT494" s="41" t="str">
        <f>IF(D494&gt;0,IF(AND(#REF!=1,#REF!=1),"Procede_E_P","NO_CUMPLE"),"")</f>
        <v/>
      </c>
      <c r="AU494" s="5" t="str">
        <f ca="1">IFERROR(__xludf.DUMMYFUNCTION("IFERROR(VLOOKUP(E555&amp;F555,IMPORTRANGE(""https://docs.google.com/spreadsheets/d/1Uw7-A9f9R21vMXxHZFNpYNeKFtG8_yji4HS352LGlSQ/edit?pli=1#gid=0"",""1_ACUM!A4:S""),11,FALSE))"),"")</f>
        <v/>
      </c>
      <c r="AV494" s="42" t="str">
        <f ca="1">IFERROR(__xludf.DUMMYFUNCTION("IFERROR(VLOOKUP(F555,IMPORTRANGE(""https://docs.google.com/spreadsheets/d/1Kvs4KS76FHFqLFIZfrDMff4kP08nblUkihrxltoGBjg/edit#gid=934712705"",""ESENCIAL!A6:BG""),15,FALSE))"),"")</f>
        <v/>
      </c>
    </row>
    <row r="495" spans="1:48" ht="15">
      <c r="A495" s="5"/>
      <c r="E495" s="66"/>
      <c r="F495" s="5" t="str">
        <f ca="1">IFERROR(__xludf.DUMMYFUNCTION("IFERROR(VLOOKUP(F556,IMPORTRANGE(""https://docs.google.com/spreadsheets/d/1Kvs4KS76FHFqLFIZfrDMff4kP08nblUkihrxltoGBjg/edit#gid=934712705"",""ESENCIAL!A6:BG""),3,FALSE))"),"")</f>
        <v/>
      </c>
      <c r="G495" s="5" t="str">
        <f ca="1">IFERROR(__xludf.DUMMYFUNCTION("IFERROR(VLOOKUP(F556,IMPORTRANGE(""https://docs.google.com/spreadsheets/d/1Kvs4KS76FHFqLFIZfrDMff4kP08nblUkihrxltoGBjg/edit#gid=934712705"",""ESENCIAL!A6:BG""),8,FALSE))"),"")</f>
        <v/>
      </c>
      <c r="K495" s="287"/>
      <c r="S495" s="66"/>
      <c r="T495" s="66"/>
      <c r="U495" s="66"/>
      <c r="AT495" s="41" t="str">
        <f>IF(D495&gt;0,IF(AND(#REF!=1,#REF!=1),"Procede_E_P","NO_CUMPLE"),"")</f>
        <v/>
      </c>
      <c r="AU495" s="5" t="str">
        <f ca="1">IFERROR(__xludf.DUMMYFUNCTION("IFERROR(VLOOKUP(E556&amp;F556,IMPORTRANGE(""https://docs.google.com/spreadsheets/d/1Uw7-A9f9R21vMXxHZFNpYNeKFtG8_yji4HS352LGlSQ/edit?pli=1#gid=0"",""1_ACUM!A4:S""),11,FALSE))"),"")</f>
        <v/>
      </c>
      <c r="AV495" s="42" t="str">
        <f ca="1">IFERROR(__xludf.DUMMYFUNCTION("IFERROR(VLOOKUP(F556,IMPORTRANGE(""https://docs.google.com/spreadsheets/d/1Kvs4KS76FHFqLFIZfrDMff4kP08nblUkihrxltoGBjg/edit#gid=934712705"",""ESENCIAL!A6:BG""),15,FALSE))"),"")</f>
        <v/>
      </c>
    </row>
    <row r="496" spans="1:48" ht="15">
      <c r="A496" s="5"/>
      <c r="E496" s="66"/>
      <c r="F496" s="5" t="str">
        <f ca="1">IFERROR(__xludf.DUMMYFUNCTION("IFERROR(VLOOKUP(F557,IMPORTRANGE(""https://docs.google.com/spreadsheets/d/1Kvs4KS76FHFqLFIZfrDMff4kP08nblUkihrxltoGBjg/edit#gid=934712705"",""ESENCIAL!A6:BG""),3,FALSE))"),"")</f>
        <v/>
      </c>
      <c r="G496" s="5" t="str">
        <f ca="1">IFERROR(__xludf.DUMMYFUNCTION("IFERROR(VLOOKUP(F557,IMPORTRANGE(""https://docs.google.com/spreadsheets/d/1Kvs4KS76FHFqLFIZfrDMff4kP08nblUkihrxltoGBjg/edit#gid=934712705"",""ESENCIAL!A6:BG""),8,FALSE))"),"")</f>
        <v/>
      </c>
      <c r="K496" s="287"/>
      <c r="S496" s="66"/>
      <c r="T496" s="66"/>
      <c r="U496" s="66"/>
      <c r="AT496" s="41" t="str">
        <f>IF(D496&gt;0,IF(AND(#REF!=1,#REF!=1),"Procede_E_P","NO_CUMPLE"),"")</f>
        <v/>
      </c>
      <c r="AU496" s="5" t="str">
        <f ca="1">IFERROR(__xludf.DUMMYFUNCTION("IFERROR(VLOOKUP(E557&amp;F557,IMPORTRANGE(""https://docs.google.com/spreadsheets/d/1Uw7-A9f9R21vMXxHZFNpYNeKFtG8_yji4HS352LGlSQ/edit?pli=1#gid=0"",""1_ACUM!A4:S""),11,FALSE))"),"")</f>
        <v/>
      </c>
      <c r="AV496" s="42" t="str">
        <f ca="1">IFERROR(__xludf.DUMMYFUNCTION("IFERROR(VLOOKUP(F557,IMPORTRANGE(""https://docs.google.com/spreadsheets/d/1Kvs4KS76FHFqLFIZfrDMff4kP08nblUkihrxltoGBjg/edit#gid=934712705"",""ESENCIAL!A6:BG""),15,FALSE))"),"")</f>
        <v/>
      </c>
    </row>
    <row r="497" spans="1:48" ht="15">
      <c r="A497" s="5"/>
      <c r="E497" s="66"/>
      <c r="F497" s="5" t="str">
        <f ca="1">IFERROR(__xludf.DUMMYFUNCTION("IFERROR(VLOOKUP(F558,IMPORTRANGE(""https://docs.google.com/spreadsheets/d/1Kvs4KS76FHFqLFIZfrDMff4kP08nblUkihrxltoGBjg/edit#gid=934712705"",""ESENCIAL!A6:BG""),3,FALSE))"),"")</f>
        <v/>
      </c>
      <c r="G497" s="5" t="str">
        <f ca="1">IFERROR(__xludf.DUMMYFUNCTION("IFERROR(VLOOKUP(F558,IMPORTRANGE(""https://docs.google.com/spreadsheets/d/1Kvs4KS76FHFqLFIZfrDMff4kP08nblUkihrxltoGBjg/edit#gid=934712705"",""ESENCIAL!A6:BG""),8,FALSE))"),"")</f>
        <v/>
      </c>
      <c r="K497" s="287"/>
      <c r="S497" s="66"/>
      <c r="T497" s="66"/>
      <c r="U497" s="66"/>
      <c r="AT497" s="41" t="str">
        <f>IF(D497&gt;0,IF(AND(#REF!=1,#REF!=1),"Procede_E_P","NO_CUMPLE"),"")</f>
        <v/>
      </c>
      <c r="AU497" s="5" t="str">
        <f ca="1">IFERROR(__xludf.DUMMYFUNCTION("IFERROR(VLOOKUP(E558&amp;F558,IMPORTRANGE(""https://docs.google.com/spreadsheets/d/1Uw7-A9f9R21vMXxHZFNpYNeKFtG8_yji4HS352LGlSQ/edit?pli=1#gid=0"",""1_ACUM!A4:S""),11,FALSE))"),"")</f>
        <v/>
      </c>
      <c r="AV497" s="42" t="str">
        <f ca="1">IFERROR(__xludf.DUMMYFUNCTION("IFERROR(VLOOKUP(F558,IMPORTRANGE(""https://docs.google.com/spreadsheets/d/1Kvs4KS76FHFqLFIZfrDMff4kP08nblUkihrxltoGBjg/edit#gid=934712705"",""ESENCIAL!A6:BG""),15,FALSE))"),"")</f>
        <v/>
      </c>
    </row>
    <row r="498" spans="1:48" ht="15">
      <c r="A498" s="5"/>
      <c r="E498" s="66"/>
      <c r="F498" s="5" t="str">
        <f ca="1">IFERROR(__xludf.DUMMYFUNCTION("IFERROR(VLOOKUP(F559,IMPORTRANGE(""https://docs.google.com/spreadsheets/d/1Kvs4KS76FHFqLFIZfrDMff4kP08nblUkihrxltoGBjg/edit#gid=934712705"",""ESENCIAL!A6:BG""),3,FALSE))"),"")</f>
        <v/>
      </c>
      <c r="G498" s="5" t="str">
        <f ca="1">IFERROR(__xludf.DUMMYFUNCTION("IFERROR(VLOOKUP(F559,IMPORTRANGE(""https://docs.google.com/spreadsheets/d/1Kvs4KS76FHFqLFIZfrDMff4kP08nblUkihrxltoGBjg/edit#gid=934712705"",""ESENCIAL!A6:BG""),8,FALSE))"),"")</f>
        <v/>
      </c>
      <c r="K498" s="287"/>
      <c r="S498" s="66"/>
      <c r="T498" s="66"/>
      <c r="U498" s="66"/>
      <c r="AT498" s="41" t="str">
        <f>IF(D498&gt;0,IF(AND(#REF!=1,#REF!=1),"Procede_E_P","NO_CUMPLE"),"")</f>
        <v/>
      </c>
      <c r="AU498" s="5" t="str">
        <f ca="1">IFERROR(__xludf.DUMMYFUNCTION("IFERROR(VLOOKUP(E559&amp;F559,IMPORTRANGE(""https://docs.google.com/spreadsheets/d/1Uw7-A9f9R21vMXxHZFNpYNeKFtG8_yji4HS352LGlSQ/edit?pli=1#gid=0"",""1_ACUM!A4:S""),11,FALSE))"),"")</f>
        <v/>
      </c>
      <c r="AV498" s="42" t="str">
        <f ca="1">IFERROR(__xludf.DUMMYFUNCTION("IFERROR(VLOOKUP(F559,IMPORTRANGE(""https://docs.google.com/spreadsheets/d/1Kvs4KS76FHFqLFIZfrDMff4kP08nblUkihrxltoGBjg/edit#gid=934712705"",""ESENCIAL!A6:BG""),15,FALSE))"),"")</f>
        <v/>
      </c>
    </row>
    <row r="499" spans="1:48" ht="15">
      <c r="A499" s="5"/>
      <c r="E499" s="66"/>
      <c r="F499" s="5" t="str">
        <f ca="1">IFERROR(__xludf.DUMMYFUNCTION("IFERROR(VLOOKUP(F560,IMPORTRANGE(""https://docs.google.com/spreadsheets/d/1Kvs4KS76FHFqLFIZfrDMff4kP08nblUkihrxltoGBjg/edit#gid=934712705"",""ESENCIAL!A6:BG""),3,FALSE))"),"")</f>
        <v/>
      </c>
      <c r="G499" s="5" t="str">
        <f ca="1">IFERROR(__xludf.DUMMYFUNCTION("IFERROR(VLOOKUP(F560,IMPORTRANGE(""https://docs.google.com/spreadsheets/d/1Kvs4KS76FHFqLFIZfrDMff4kP08nblUkihrxltoGBjg/edit#gid=934712705"",""ESENCIAL!A6:BG""),8,FALSE))"),"")</f>
        <v/>
      </c>
      <c r="K499" s="287"/>
      <c r="S499" s="66"/>
      <c r="T499" s="66"/>
      <c r="U499" s="66"/>
      <c r="AT499" s="41" t="str">
        <f>IF(D499&gt;0,IF(AND(#REF!=1,#REF!=1),"Procede_E_P","NO_CUMPLE"),"")</f>
        <v/>
      </c>
      <c r="AU499" s="5" t="str">
        <f ca="1">IFERROR(__xludf.DUMMYFUNCTION("IFERROR(VLOOKUP(E560&amp;F560,IMPORTRANGE(""https://docs.google.com/spreadsheets/d/1Uw7-A9f9R21vMXxHZFNpYNeKFtG8_yji4HS352LGlSQ/edit?pli=1#gid=0"",""1_ACUM!A4:S""),11,FALSE))"),"")</f>
        <v/>
      </c>
      <c r="AV499" s="42" t="str">
        <f ca="1">IFERROR(__xludf.DUMMYFUNCTION("IFERROR(VLOOKUP(F560,IMPORTRANGE(""https://docs.google.com/spreadsheets/d/1Kvs4KS76FHFqLFIZfrDMff4kP08nblUkihrxltoGBjg/edit#gid=934712705"",""ESENCIAL!A6:BG""),15,FALSE))"),"")</f>
        <v/>
      </c>
    </row>
    <row r="500" spans="1:48" ht="15">
      <c r="A500" s="5"/>
      <c r="E500" s="66"/>
      <c r="F500" s="5" t="str">
        <f ca="1">IFERROR(__xludf.DUMMYFUNCTION("IFERROR(VLOOKUP(F561,IMPORTRANGE(""https://docs.google.com/spreadsheets/d/1Kvs4KS76FHFqLFIZfrDMff4kP08nblUkihrxltoGBjg/edit#gid=934712705"",""ESENCIAL!A6:BG""),3,FALSE))"),"")</f>
        <v/>
      </c>
      <c r="G500" s="5" t="str">
        <f ca="1">IFERROR(__xludf.DUMMYFUNCTION("IFERROR(VLOOKUP(F561,IMPORTRANGE(""https://docs.google.com/spreadsheets/d/1Kvs4KS76FHFqLFIZfrDMff4kP08nblUkihrxltoGBjg/edit#gid=934712705"",""ESENCIAL!A6:BG""),8,FALSE))"),"")</f>
        <v/>
      </c>
      <c r="K500" s="287"/>
      <c r="S500" s="66"/>
      <c r="T500" s="66"/>
      <c r="U500" s="66"/>
      <c r="AT500" s="41" t="str">
        <f>IF(D500&gt;0,IF(AND(#REF!=1,#REF!=1),"Procede_E_P","NO_CUMPLE"),"")</f>
        <v/>
      </c>
      <c r="AU500" s="5" t="str">
        <f ca="1">IFERROR(__xludf.DUMMYFUNCTION("IFERROR(VLOOKUP(E561&amp;F561,IMPORTRANGE(""https://docs.google.com/spreadsheets/d/1Uw7-A9f9R21vMXxHZFNpYNeKFtG8_yji4HS352LGlSQ/edit?pli=1#gid=0"",""1_ACUM!A4:S""),11,FALSE))"),"")</f>
        <v/>
      </c>
      <c r="AV500" s="42" t="str">
        <f ca="1">IFERROR(__xludf.DUMMYFUNCTION("IFERROR(VLOOKUP(F561,IMPORTRANGE(""https://docs.google.com/spreadsheets/d/1Kvs4KS76FHFqLFIZfrDMff4kP08nblUkihrxltoGBjg/edit#gid=934712705"",""ESENCIAL!A6:BG""),15,FALSE))"),"")</f>
        <v/>
      </c>
    </row>
    <row r="501" spans="1:48" ht="15">
      <c r="A501" s="5"/>
      <c r="E501" s="66"/>
      <c r="F501" s="5" t="str">
        <f ca="1">IFERROR(__xludf.DUMMYFUNCTION("IFERROR(VLOOKUP(F562,IMPORTRANGE(""https://docs.google.com/spreadsheets/d/1Kvs4KS76FHFqLFIZfrDMff4kP08nblUkihrxltoGBjg/edit#gid=934712705"",""ESENCIAL!A6:BG""),3,FALSE))"),"")</f>
        <v/>
      </c>
      <c r="G501" s="5" t="str">
        <f ca="1">IFERROR(__xludf.DUMMYFUNCTION("IFERROR(VLOOKUP(F562,IMPORTRANGE(""https://docs.google.com/spreadsheets/d/1Kvs4KS76FHFqLFIZfrDMff4kP08nblUkihrxltoGBjg/edit#gid=934712705"",""ESENCIAL!A6:BG""),8,FALSE))"),"")</f>
        <v/>
      </c>
      <c r="K501" s="287"/>
      <c r="S501" s="66"/>
      <c r="T501" s="66"/>
      <c r="U501" s="66"/>
      <c r="AT501" s="41" t="str">
        <f>IF(D501&gt;0,IF(AND(#REF!=1,#REF!=1),"Procede_E_P","NO_CUMPLE"),"")</f>
        <v/>
      </c>
      <c r="AU501" s="5" t="str">
        <f ca="1">IFERROR(__xludf.DUMMYFUNCTION("IFERROR(VLOOKUP(E562&amp;F562,IMPORTRANGE(""https://docs.google.com/spreadsheets/d/1Uw7-A9f9R21vMXxHZFNpYNeKFtG8_yji4HS352LGlSQ/edit?pli=1#gid=0"",""1_ACUM!A4:S""),11,FALSE))"),"")</f>
        <v/>
      </c>
      <c r="AV501" s="42" t="str">
        <f ca="1">IFERROR(__xludf.DUMMYFUNCTION("IFERROR(VLOOKUP(F562,IMPORTRANGE(""https://docs.google.com/spreadsheets/d/1Kvs4KS76FHFqLFIZfrDMff4kP08nblUkihrxltoGBjg/edit#gid=934712705"",""ESENCIAL!A6:BG""),15,FALSE))"),"")</f>
        <v/>
      </c>
    </row>
    <row r="502" spans="1:48" ht="15">
      <c r="A502" s="5"/>
      <c r="E502" s="66"/>
      <c r="F502" s="5" t="str">
        <f ca="1">IFERROR(__xludf.DUMMYFUNCTION("IFERROR(VLOOKUP(F563,IMPORTRANGE(""https://docs.google.com/spreadsheets/d/1Kvs4KS76FHFqLFIZfrDMff4kP08nblUkihrxltoGBjg/edit#gid=934712705"",""ESENCIAL!A6:BG""),3,FALSE))"),"")</f>
        <v/>
      </c>
      <c r="G502" s="5" t="str">
        <f ca="1">IFERROR(__xludf.DUMMYFUNCTION("IFERROR(VLOOKUP(F563,IMPORTRANGE(""https://docs.google.com/spreadsheets/d/1Kvs4KS76FHFqLFIZfrDMff4kP08nblUkihrxltoGBjg/edit#gid=934712705"",""ESENCIAL!A6:BG""),8,FALSE))"),"")</f>
        <v/>
      </c>
      <c r="K502" s="287"/>
      <c r="S502" s="66"/>
      <c r="T502" s="66"/>
      <c r="U502" s="66"/>
      <c r="AT502" s="41" t="str">
        <f>IF(D502&gt;0,IF(AND(#REF!=1,#REF!=1),"Procede_E_P","NO_CUMPLE"),"")</f>
        <v/>
      </c>
      <c r="AU502" s="5" t="str">
        <f ca="1">IFERROR(__xludf.DUMMYFUNCTION("IFERROR(VLOOKUP(E563&amp;F563,IMPORTRANGE(""https://docs.google.com/spreadsheets/d/1Uw7-A9f9R21vMXxHZFNpYNeKFtG8_yji4HS352LGlSQ/edit?pli=1#gid=0"",""1_ACUM!A4:S""),11,FALSE))"),"")</f>
        <v/>
      </c>
      <c r="AV502" s="42" t="str">
        <f ca="1">IFERROR(__xludf.DUMMYFUNCTION("IFERROR(VLOOKUP(F563,IMPORTRANGE(""https://docs.google.com/spreadsheets/d/1Kvs4KS76FHFqLFIZfrDMff4kP08nblUkihrxltoGBjg/edit#gid=934712705"",""ESENCIAL!A6:BG""),15,FALSE))"),"")</f>
        <v/>
      </c>
    </row>
    <row r="503" spans="1:48" ht="15">
      <c r="A503" s="5"/>
      <c r="E503" s="66"/>
      <c r="F503" s="5" t="str">
        <f ca="1">IFERROR(__xludf.DUMMYFUNCTION("IFERROR(VLOOKUP(F564,IMPORTRANGE(""https://docs.google.com/spreadsheets/d/1Kvs4KS76FHFqLFIZfrDMff4kP08nblUkihrxltoGBjg/edit#gid=934712705"",""ESENCIAL!A6:BG""),3,FALSE))"),"")</f>
        <v/>
      </c>
      <c r="G503" s="5" t="str">
        <f ca="1">IFERROR(__xludf.DUMMYFUNCTION("IFERROR(VLOOKUP(F564,IMPORTRANGE(""https://docs.google.com/spreadsheets/d/1Kvs4KS76FHFqLFIZfrDMff4kP08nblUkihrxltoGBjg/edit#gid=934712705"",""ESENCIAL!A6:BG""),8,FALSE))"),"")</f>
        <v/>
      </c>
      <c r="K503" s="287"/>
      <c r="S503" s="66"/>
      <c r="T503" s="66"/>
      <c r="U503" s="66"/>
      <c r="AT503" s="41" t="str">
        <f>IF(D503&gt;0,IF(AND(#REF!=1,#REF!=1),"Procede_E_P","NO_CUMPLE"),"")</f>
        <v/>
      </c>
      <c r="AU503" s="5" t="str">
        <f ca="1">IFERROR(__xludf.DUMMYFUNCTION("IFERROR(VLOOKUP(E564&amp;F564,IMPORTRANGE(""https://docs.google.com/spreadsheets/d/1Uw7-A9f9R21vMXxHZFNpYNeKFtG8_yji4HS352LGlSQ/edit?pli=1#gid=0"",""1_ACUM!A4:S""),11,FALSE))"),"")</f>
        <v/>
      </c>
      <c r="AV503" s="42" t="str">
        <f ca="1">IFERROR(__xludf.DUMMYFUNCTION("IFERROR(VLOOKUP(F564,IMPORTRANGE(""https://docs.google.com/spreadsheets/d/1Kvs4KS76FHFqLFIZfrDMff4kP08nblUkihrxltoGBjg/edit#gid=934712705"",""ESENCIAL!A6:BG""),15,FALSE))"),"")</f>
        <v/>
      </c>
    </row>
    <row r="504" spans="1:48" ht="15">
      <c r="A504" s="5"/>
      <c r="E504" s="66"/>
      <c r="F504" s="5" t="str">
        <f ca="1">IFERROR(__xludf.DUMMYFUNCTION("IFERROR(VLOOKUP(F565,IMPORTRANGE(""https://docs.google.com/spreadsheets/d/1Kvs4KS76FHFqLFIZfrDMff4kP08nblUkihrxltoGBjg/edit#gid=934712705"",""ESENCIAL!A6:BG""),3,FALSE))"),"")</f>
        <v/>
      </c>
      <c r="G504" s="5" t="str">
        <f ca="1">IFERROR(__xludf.DUMMYFUNCTION("IFERROR(VLOOKUP(F565,IMPORTRANGE(""https://docs.google.com/spreadsheets/d/1Kvs4KS76FHFqLFIZfrDMff4kP08nblUkihrxltoGBjg/edit#gid=934712705"",""ESENCIAL!A6:BG""),8,FALSE))"),"")</f>
        <v/>
      </c>
      <c r="K504" s="287"/>
      <c r="S504" s="66"/>
      <c r="T504" s="66"/>
      <c r="U504" s="66"/>
      <c r="AT504" s="41" t="str">
        <f>IF(D504&gt;0,IF(AND(#REF!=1,#REF!=1),"Procede_E_P","NO_CUMPLE"),"")</f>
        <v/>
      </c>
      <c r="AU504" s="5" t="str">
        <f ca="1">IFERROR(__xludf.DUMMYFUNCTION("IFERROR(VLOOKUP(E565&amp;F565,IMPORTRANGE(""https://docs.google.com/spreadsheets/d/1Uw7-A9f9R21vMXxHZFNpYNeKFtG8_yji4HS352LGlSQ/edit?pli=1#gid=0"",""1_ACUM!A4:S""),11,FALSE))"),"")</f>
        <v/>
      </c>
      <c r="AV504" s="42" t="str">
        <f ca="1">IFERROR(__xludf.DUMMYFUNCTION("IFERROR(VLOOKUP(F565,IMPORTRANGE(""https://docs.google.com/spreadsheets/d/1Kvs4KS76FHFqLFIZfrDMff4kP08nblUkihrxltoGBjg/edit#gid=934712705"",""ESENCIAL!A6:BG""),15,FALSE))"),"")</f>
        <v/>
      </c>
    </row>
    <row r="505" spans="1:48" ht="15">
      <c r="A505" s="5"/>
      <c r="E505" s="66"/>
      <c r="F505" s="5" t="str">
        <f ca="1">IFERROR(__xludf.DUMMYFUNCTION("IFERROR(VLOOKUP(F566,IMPORTRANGE(""https://docs.google.com/spreadsheets/d/1Kvs4KS76FHFqLFIZfrDMff4kP08nblUkihrxltoGBjg/edit#gid=934712705"",""ESENCIAL!A6:BG""),3,FALSE))"),"")</f>
        <v/>
      </c>
      <c r="G505" s="5" t="str">
        <f ca="1">IFERROR(__xludf.DUMMYFUNCTION("IFERROR(VLOOKUP(F566,IMPORTRANGE(""https://docs.google.com/spreadsheets/d/1Kvs4KS76FHFqLFIZfrDMff4kP08nblUkihrxltoGBjg/edit#gid=934712705"",""ESENCIAL!A6:BG""),8,FALSE))"),"")</f>
        <v/>
      </c>
      <c r="K505" s="287"/>
      <c r="S505" s="66"/>
      <c r="T505" s="66"/>
      <c r="U505" s="66"/>
      <c r="AT505" s="41" t="str">
        <f>IF(D505&gt;0,IF(AND(#REF!=1,#REF!=1),"Procede_E_P","NO_CUMPLE"),"")</f>
        <v/>
      </c>
      <c r="AU505" s="5" t="str">
        <f ca="1">IFERROR(__xludf.DUMMYFUNCTION("IFERROR(VLOOKUP(E566&amp;F566,IMPORTRANGE(""https://docs.google.com/spreadsheets/d/1Uw7-A9f9R21vMXxHZFNpYNeKFtG8_yji4HS352LGlSQ/edit?pli=1#gid=0"",""1_ACUM!A4:S""),11,FALSE))"),"")</f>
        <v/>
      </c>
      <c r="AV505" s="42" t="str">
        <f ca="1">IFERROR(__xludf.DUMMYFUNCTION("IFERROR(VLOOKUP(F566,IMPORTRANGE(""https://docs.google.com/spreadsheets/d/1Kvs4KS76FHFqLFIZfrDMff4kP08nblUkihrxltoGBjg/edit#gid=934712705"",""ESENCIAL!A6:BG""),15,FALSE))"),"")</f>
        <v/>
      </c>
    </row>
    <row r="506" spans="1:48" ht="15">
      <c r="A506" s="5"/>
      <c r="E506" s="66"/>
      <c r="F506" s="5" t="str">
        <f ca="1">IFERROR(__xludf.DUMMYFUNCTION("IFERROR(VLOOKUP(F567,IMPORTRANGE(""https://docs.google.com/spreadsheets/d/1Kvs4KS76FHFqLFIZfrDMff4kP08nblUkihrxltoGBjg/edit#gid=934712705"",""ESENCIAL!A6:BG""),3,FALSE))"),"")</f>
        <v/>
      </c>
      <c r="G506" s="5" t="str">
        <f ca="1">IFERROR(__xludf.DUMMYFUNCTION("IFERROR(VLOOKUP(F567,IMPORTRANGE(""https://docs.google.com/spreadsheets/d/1Kvs4KS76FHFqLFIZfrDMff4kP08nblUkihrxltoGBjg/edit#gid=934712705"",""ESENCIAL!A6:BG""),8,FALSE))"),"")</f>
        <v/>
      </c>
      <c r="K506" s="287"/>
      <c r="S506" s="66"/>
      <c r="T506" s="66"/>
      <c r="U506" s="66"/>
      <c r="AT506" s="41" t="str">
        <f>IF(D506&gt;0,IF(AND(#REF!=1,#REF!=1),"Procede_E_P","NO_CUMPLE"),"")</f>
        <v/>
      </c>
      <c r="AU506" s="5" t="str">
        <f ca="1">IFERROR(__xludf.DUMMYFUNCTION("IFERROR(VLOOKUP(E567&amp;F567,IMPORTRANGE(""https://docs.google.com/spreadsheets/d/1Uw7-A9f9R21vMXxHZFNpYNeKFtG8_yji4HS352LGlSQ/edit?pli=1#gid=0"",""1_ACUM!A4:S""),11,FALSE))"),"")</f>
        <v/>
      </c>
      <c r="AV506" s="42" t="str">
        <f ca="1">IFERROR(__xludf.DUMMYFUNCTION("IFERROR(VLOOKUP(F567,IMPORTRANGE(""https://docs.google.com/spreadsheets/d/1Kvs4KS76FHFqLFIZfrDMff4kP08nblUkihrxltoGBjg/edit#gid=934712705"",""ESENCIAL!A6:BG""),15,FALSE))"),"")</f>
        <v/>
      </c>
    </row>
    <row r="507" spans="1:48" ht="15">
      <c r="A507" s="5"/>
      <c r="E507" s="66"/>
      <c r="F507" s="5" t="str">
        <f ca="1">IFERROR(__xludf.DUMMYFUNCTION("IFERROR(VLOOKUP(F568,IMPORTRANGE(""https://docs.google.com/spreadsheets/d/1Kvs4KS76FHFqLFIZfrDMff4kP08nblUkihrxltoGBjg/edit#gid=934712705"",""ESENCIAL!A6:BG""),3,FALSE))"),"")</f>
        <v/>
      </c>
      <c r="G507" s="5" t="str">
        <f ca="1">IFERROR(__xludf.DUMMYFUNCTION("IFERROR(VLOOKUP(F568,IMPORTRANGE(""https://docs.google.com/spreadsheets/d/1Kvs4KS76FHFqLFIZfrDMff4kP08nblUkihrxltoGBjg/edit#gid=934712705"",""ESENCIAL!A6:BG""),8,FALSE))"),"")</f>
        <v/>
      </c>
      <c r="K507" s="287"/>
      <c r="S507" s="66"/>
      <c r="T507" s="66"/>
      <c r="U507" s="66"/>
      <c r="AT507" s="41" t="str">
        <f>IF(D507&gt;0,IF(AND(#REF!=1,#REF!=1),"Procede_E_P","NO_CUMPLE"),"")</f>
        <v/>
      </c>
      <c r="AU507" s="5" t="str">
        <f ca="1">IFERROR(__xludf.DUMMYFUNCTION("IFERROR(VLOOKUP(E568&amp;F568,IMPORTRANGE(""https://docs.google.com/spreadsheets/d/1Uw7-A9f9R21vMXxHZFNpYNeKFtG8_yji4HS352LGlSQ/edit?pli=1#gid=0"",""1_ACUM!A4:S""),11,FALSE))"),"")</f>
        <v/>
      </c>
      <c r="AV507" s="42" t="str">
        <f ca="1">IFERROR(__xludf.DUMMYFUNCTION("IFERROR(VLOOKUP(F568,IMPORTRANGE(""https://docs.google.com/spreadsheets/d/1Kvs4KS76FHFqLFIZfrDMff4kP08nblUkihrxltoGBjg/edit#gid=934712705"",""ESENCIAL!A6:BG""),15,FALSE))"),"")</f>
        <v/>
      </c>
    </row>
    <row r="508" spans="1:48" ht="15">
      <c r="A508" s="5"/>
      <c r="E508" s="66"/>
      <c r="F508" s="5" t="str">
        <f ca="1">IFERROR(__xludf.DUMMYFUNCTION("IFERROR(VLOOKUP(F569,IMPORTRANGE(""https://docs.google.com/spreadsheets/d/1Kvs4KS76FHFqLFIZfrDMff4kP08nblUkihrxltoGBjg/edit#gid=934712705"",""ESENCIAL!A6:BG""),3,FALSE))"),"")</f>
        <v/>
      </c>
      <c r="G508" s="5" t="str">
        <f ca="1">IFERROR(__xludf.DUMMYFUNCTION("IFERROR(VLOOKUP(F569,IMPORTRANGE(""https://docs.google.com/spreadsheets/d/1Kvs4KS76FHFqLFIZfrDMff4kP08nblUkihrxltoGBjg/edit#gid=934712705"",""ESENCIAL!A6:BG""),8,FALSE))"),"")</f>
        <v/>
      </c>
      <c r="K508" s="287"/>
      <c r="S508" s="66"/>
      <c r="T508" s="66"/>
      <c r="U508" s="66"/>
      <c r="AT508" s="41" t="str">
        <f>IF(D508&gt;0,IF(AND(#REF!=1,#REF!=1),"Procede_E_P","NO_CUMPLE"),"")</f>
        <v/>
      </c>
      <c r="AU508" s="5" t="str">
        <f ca="1">IFERROR(__xludf.DUMMYFUNCTION("IFERROR(VLOOKUP(E569&amp;F569,IMPORTRANGE(""https://docs.google.com/spreadsheets/d/1Uw7-A9f9R21vMXxHZFNpYNeKFtG8_yji4HS352LGlSQ/edit?pli=1#gid=0"",""1_ACUM!A4:S""),11,FALSE))"),"")</f>
        <v/>
      </c>
      <c r="AV508" s="42" t="str">
        <f ca="1">IFERROR(__xludf.DUMMYFUNCTION("IFERROR(VLOOKUP(F569,IMPORTRANGE(""https://docs.google.com/spreadsheets/d/1Kvs4KS76FHFqLFIZfrDMff4kP08nblUkihrxltoGBjg/edit#gid=934712705"",""ESENCIAL!A6:BG""),15,FALSE))"),"")</f>
        <v/>
      </c>
    </row>
    <row r="509" spans="1:48" ht="15">
      <c r="A509" s="5"/>
      <c r="E509" s="66"/>
      <c r="F509" s="5" t="str">
        <f ca="1">IFERROR(__xludf.DUMMYFUNCTION("IFERROR(VLOOKUP(F570,IMPORTRANGE(""https://docs.google.com/spreadsheets/d/1Kvs4KS76FHFqLFIZfrDMff4kP08nblUkihrxltoGBjg/edit#gid=934712705"",""ESENCIAL!A6:BG""),3,FALSE))"),"")</f>
        <v/>
      </c>
      <c r="G509" s="5" t="str">
        <f ca="1">IFERROR(__xludf.DUMMYFUNCTION("IFERROR(VLOOKUP(F570,IMPORTRANGE(""https://docs.google.com/spreadsheets/d/1Kvs4KS76FHFqLFIZfrDMff4kP08nblUkihrxltoGBjg/edit#gid=934712705"",""ESENCIAL!A6:BG""),8,FALSE))"),"")</f>
        <v/>
      </c>
      <c r="K509" s="287"/>
      <c r="S509" s="66"/>
      <c r="T509" s="66"/>
      <c r="U509" s="66"/>
      <c r="AT509" s="41" t="str">
        <f>IF(D509&gt;0,IF(AND(#REF!=1,#REF!=1),"Procede_E_P","NO_CUMPLE"),"")</f>
        <v/>
      </c>
      <c r="AU509" s="5" t="str">
        <f ca="1">IFERROR(__xludf.DUMMYFUNCTION("IFERROR(VLOOKUP(E570&amp;F570,IMPORTRANGE(""https://docs.google.com/spreadsheets/d/1Uw7-A9f9R21vMXxHZFNpYNeKFtG8_yji4HS352LGlSQ/edit?pli=1#gid=0"",""1_ACUM!A4:S""),11,FALSE))"),"")</f>
        <v/>
      </c>
      <c r="AV509" s="42" t="str">
        <f ca="1">IFERROR(__xludf.DUMMYFUNCTION("IFERROR(VLOOKUP(F570,IMPORTRANGE(""https://docs.google.com/spreadsheets/d/1Kvs4KS76FHFqLFIZfrDMff4kP08nblUkihrxltoGBjg/edit#gid=934712705"",""ESENCIAL!A6:BG""),15,FALSE))"),"")</f>
        <v/>
      </c>
    </row>
    <row r="510" spans="1:48" ht="15">
      <c r="A510" s="5"/>
      <c r="E510" s="66"/>
      <c r="F510" s="5" t="str">
        <f ca="1">IFERROR(__xludf.DUMMYFUNCTION("IFERROR(VLOOKUP(F571,IMPORTRANGE(""https://docs.google.com/spreadsheets/d/1Kvs4KS76FHFqLFIZfrDMff4kP08nblUkihrxltoGBjg/edit#gid=934712705"",""ESENCIAL!A6:BG""),3,FALSE))"),"")</f>
        <v/>
      </c>
      <c r="G510" s="5" t="str">
        <f ca="1">IFERROR(__xludf.DUMMYFUNCTION("IFERROR(VLOOKUP(F571,IMPORTRANGE(""https://docs.google.com/spreadsheets/d/1Kvs4KS76FHFqLFIZfrDMff4kP08nblUkihrxltoGBjg/edit#gid=934712705"",""ESENCIAL!A6:BG""),8,FALSE))"),"")</f>
        <v/>
      </c>
      <c r="K510" s="287"/>
      <c r="S510" s="66"/>
      <c r="T510" s="66"/>
      <c r="U510" s="66"/>
      <c r="AT510" s="41" t="str">
        <f>IF(D510&gt;0,IF(AND(#REF!=1,#REF!=1),"Procede_E_P","NO_CUMPLE"),"")</f>
        <v/>
      </c>
      <c r="AU510" s="5" t="str">
        <f ca="1">IFERROR(__xludf.DUMMYFUNCTION("IFERROR(VLOOKUP(E571&amp;F571,IMPORTRANGE(""https://docs.google.com/spreadsheets/d/1Uw7-A9f9R21vMXxHZFNpYNeKFtG8_yji4HS352LGlSQ/edit?pli=1#gid=0"",""1_ACUM!A4:S""),11,FALSE))"),"")</f>
        <v/>
      </c>
      <c r="AV510" s="42" t="str">
        <f ca="1">IFERROR(__xludf.DUMMYFUNCTION("IFERROR(VLOOKUP(F571,IMPORTRANGE(""https://docs.google.com/spreadsheets/d/1Kvs4KS76FHFqLFIZfrDMff4kP08nblUkihrxltoGBjg/edit#gid=934712705"",""ESENCIAL!A6:BG""),15,FALSE))"),"")</f>
        <v/>
      </c>
    </row>
    <row r="511" spans="1:48" ht="15">
      <c r="A511" s="5"/>
      <c r="E511" s="66"/>
      <c r="F511" s="5" t="str">
        <f ca="1">IFERROR(__xludf.DUMMYFUNCTION("IFERROR(VLOOKUP(F572,IMPORTRANGE(""https://docs.google.com/spreadsheets/d/1Kvs4KS76FHFqLFIZfrDMff4kP08nblUkihrxltoGBjg/edit#gid=934712705"",""ESENCIAL!A6:BG""),3,FALSE))"),"")</f>
        <v/>
      </c>
      <c r="G511" s="5" t="str">
        <f ca="1">IFERROR(__xludf.DUMMYFUNCTION("IFERROR(VLOOKUP(F572,IMPORTRANGE(""https://docs.google.com/spreadsheets/d/1Kvs4KS76FHFqLFIZfrDMff4kP08nblUkihrxltoGBjg/edit#gid=934712705"",""ESENCIAL!A6:BG""),8,FALSE))"),"")</f>
        <v/>
      </c>
      <c r="K511" s="287"/>
      <c r="S511" s="66"/>
      <c r="T511" s="66"/>
      <c r="U511" s="66"/>
      <c r="AT511" s="41" t="str">
        <f>IF(D511&gt;0,IF(AND(#REF!=1,#REF!=1),"Procede_E_P","NO_CUMPLE"),"")</f>
        <v/>
      </c>
      <c r="AU511" s="5" t="str">
        <f ca="1">IFERROR(__xludf.DUMMYFUNCTION("IFERROR(VLOOKUP(E572&amp;F572,IMPORTRANGE(""https://docs.google.com/spreadsheets/d/1Uw7-A9f9R21vMXxHZFNpYNeKFtG8_yji4HS352LGlSQ/edit?pli=1#gid=0"",""1_ACUM!A4:S""),11,FALSE))"),"")</f>
        <v/>
      </c>
      <c r="AV511" s="42" t="str">
        <f ca="1">IFERROR(__xludf.DUMMYFUNCTION("IFERROR(VLOOKUP(F572,IMPORTRANGE(""https://docs.google.com/spreadsheets/d/1Kvs4KS76FHFqLFIZfrDMff4kP08nblUkihrxltoGBjg/edit#gid=934712705"",""ESENCIAL!A6:BG""),15,FALSE))"),"")</f>
        <v/>
      </c>
    </row>
    <row r="512" spans="1:48" ht="15">
      <c r="A512" s="5"/>
      <c r="E512" s="66"/>
      <c r="F512" s="5" t="str">
        <f ca="1">IFERROR(__xludf.DUMMYFUNCTION("IFERROR(VLOOKUP(F573,IMPORTRANGE(""https://docs.google.com/spreadsheets/d/1Kvs4KS76FHFqLFIZfrDMff4kP08nblUkihrxltoGBjg/edit#gid=934712705"",""ESENCIAL!A6:BG""),3,FALSE))"),"")</f>
        <v/>
      </c>
      <c r="G512" s="5" t="str">
        <f ca="1">IFERROR(__xludf.DUMMYFUNCTION("IFERROR(VLOOKUP(F573,IMPORTRANGE(""https://docs.google.com/spreadsheets/d/1Kvs4KS76FHFqLFIZfrDMff4kP08nblUkihrxltoGBjg/edit#gid=934712705"",""ESENCIAL!A6:BG""),8,FALSE))"),"")</f>
        <v/>
      </c>
      <c r="K512" s="287"/>
      <c r="S512" s="66"/>
      <c r="T512" s="66"/>
      <c r="U512" s="66"/>
      <c r="AT512" s="41" t="str">
        <f>IF(D512&gt;0,IF(AND(#REF!=1,#REF!=1),"Procede_E_P","NO_CUMPLE"),"")</f>
        <v/>
      </c>
      <c r="AU512" s="5" t="str">
        <f ca="1">IFERROR(__xludf.DUMMYFUNCTION("IFERROR(VLOOKUP(E573&amp;F573,IMPORTRANGE(""https://docs.google.com/spreadsheets/d/1Uw7-A9f9R21vMXxHZFNpYNeKFtG8_yji4HS352LGlSQ/edit?pli=1#gid=0"",""1_ACUM!A4:S""),11,FALSE))"),"")</f>
        <v/>
      </c>
      <c r="AV512" s="42" t="str">
        <f ca="1">IFERROR(__xludf.DUMMYFUNCTION("IFERROR(VLOOKUP(F573,IMPORTRANGE(""https://docs.google.com/spreadsheets/d/1Kvs4KS76FHFqLFIZfrDMff4kP08nblUkihrxltoGBjg/edit#gid=934712705"",""ESENCIAL!A6:BG""),15,FALSE))"),"")</f>
        <v/>
      </c>
    </row>
    <row r="513" spans="1:48" ht="15">
      <c r="A513" s="5"/>
      <c r="E513" s="66"/>
      <c r="F513" s="5" t="str">
        <f ca="1">IFERROR(__xludf.DUMMYFUNCTION("IFERROR(VLOOKUP(F574,IMPORTRANGE(""https://docs.google.com/spreadsheets/d/1Kvs4KS76FHFqLFIZfrDMff4kP08nblUkihrxltoGBjg/edit#gid=934712705"",""ESENCIAL!A6:BG""),3,FALSE))"),"")</f>
        <v/>
      </c>
      <c r="G513" s="5" t="str">
        <f ca="1">IFERROR(__xludf.DUMMYFUNCTION("IFERROR(VLOOKUP(F574,IMPORTRANGE(""https://docs.google.com/spreadsheets/d/1Kvs4KS76FHFqLFIZfrDMff4kP08nblUkihrxltoGBjg/edit#gid=934712705"",""ESENCIAL!A6:BG""),8,FALSE))"),"")</f>
        <v/>
      </c>
      <c r="K513" s="287"/>
      <c r="S513" s="66"/>
      <c r="T513" s="66"/>
      <c r="U513" s="66"/>
      <c r="AT513" s="41" t="str">
        <f>IF(D513&gt;0,IF(AND(#REF!=1,#REF!=1),"Procede_E_P","NO_CUMPLE"),"")</f>
        <v/>
      </c>
      <c r="AU513" s="5" t="str">
        <f ca="1">IFERROR(__xludf.DUMMYFUNCTION("IFERROR(VLOOKUP(E574&amp;F574,IMPORTRANGE(""https://docs.google.com/spreadsheets/d/1Uw7-A9f9R21vMXxHZFNpYNeKFtG8_yji4HS352LGlSQ/edit?pli=1#gid=0"",""1_ACUM!A4:S""),11,FALSE))"),"")</f>
        <v/>
      </c>
      <c r="AV513" s="42" t="str">
        <f ca="1">IFERROR(__xludf.DUMMYFUNCTION("IFERROR(VLOOKUP(F574,IMPORTRANGE(""https://docs.google.com/spreadsheets/d/1Kvs4KS76FHFqLFIZfrDMff4kP08nblUkihrxltoGBjg/edit#gid=934712705"",""ESENCIAL!A6:BG""),15,FALSE))"),"")</f>
        <v/>
      </c>
    </row>
    <row r="514" spans="1:48" ht="15">
      <c r="A514" s="5"/>
      <c r="E514" s="66"/>
      <c r="F514" s="5" t="str">
        <f ca="1">IFERROR(__xludf.DUMMYFUNCTION("IFERROR(VLOOKUP(F575,IMPORTRANGE(""https://docs.google.com/spreadsheets/d/1Kvs4KS76FHFqLFIZfrDMff4kP08nblUkihrxltoGBjg/edit#gid=934712705"",""ESENCIAL!A6:BG""),3,FALSE))"),"")</f>
        <v/>
      </c>
      <c r="G514" s="5" t="str">
        <f ca="1">IFERROR(__xludf.DUMMYFUNCTION("IFERROR(VLOOKUP(F575,IMPORTRANGE(""https://docs.google.com/spreadsheets/d/1Kvs4KS76FHFqLFIZfrDMff4kP08nblUkihrxltoGBjg/edit#gid=934712705"",""ESENCIAL!A6:BG""),8,FALSE))"),"")</f>
        <v/>
      </c>
      <c r="K514" s="287"/>
      <c r="S514" s="66"/>
      <c r="T514" s="66"/>
      <c r="U514" s="66"/>
      <c r="AT514" s="41" t="str">
        <f>IF(D514&gt;0,IF(AND(#REF!=1,#REF!=1),"Procede_E_P","NO_CUMPLE"),"")</f>
        <v/>
      </c>
      <c r="AU514" s="5" t="str">
        <f ca="1">IFERROR(__xludf.DUMMYFUNCTION("IFERROR(VLOOKUP(E575&amp;F575,IMPORTRANGE(""https://docs.google.com/spreadsheets/d/1Uw7-A9f9R21vMXxHZFNpYNeKFtG8_yji4HS352LGlSQ/edit?pli=1#gid=0"",""1_ACUM!A4:S""),11,FALSE))"),"")</f>
        <v/>
      </c>
      <c r="AV514" s="42" t="str">
        <f ca="1">IFERROR(__xludf.DUMMYFUNCTION("IFERROR(VLOOKUP(F575,IMPORTRANGE(""https://docs.google.com/spreadsheets/d/1Kvs4KS76FHFqLFIZfrDMff4kP08nblUkihrxltoGBjg/edit#gid=934712705"",""ESENCIAL!A6:BG""),15,FALSE))"),"")</f>
        <v/>
      </c>
    </row>
    <row r="515" spans="1:48" ht="15">
      <c r="A515" s="5"/>
      <c r="E515" s="66"/>
      <c r="F515" s="5" t="str">
        <f ca="1">IFERROR(__xludf.DUMMYFUNCTION("IFERROR(VLOOKUP(F576,IMPORTRANGE(""https://docs.google.com/spreadsheets/d/1Kvs4KS76FHFqLFIZfrDMff4kP08nblUkihrxltoGBjg/edit#gid=934712705"",""ESENCIAL!A6:BG""),3,FALSE))"),"")</f>
        <v/>
      </c>
      <c r="G515" s="5" t="str">
        <f ca="1">IFERROR(__xludf.DUMMYFUNCTION("IFERROR(VLOOKUP(F576,IMPORTRANGE(""https://docs.google.com/spreadsheets/d/1Kvs4KS76FHFqLFIZfrDMff4kP08nblUkihrxltoGBjg/edit#gid=934712705"",""ESENCIAL!A6:BG""),8,FALSE))"),"")</f>
        <v/>
      </c>
      <c r="K515" s="287"/>
      <c r="S515" s="66"/>
      <c r="T515" s="66"/>
      <c r="U515" s="66"/>
      <c r="AT515" s="41" t="str">
        <f>IF(D515&gt;0,IF(AND(#REF!=1,#REF!=1),"Procede_E_P","NO_CUMPLE"),"")</f>
        <v/>
      </c>
      <c r="AU515" s="5" t="str">
        <f ca="1">IFERROR(__xludf.DUMMYFUNCTION("IFERROR(VLOOKUP(E576&amp;F576,IMPORTRANGE(""https://docs.google.com/spreadsheets/d/1Uw7-A9f9R21vMXxHZFNpYNeKFtG8_yji4HS352LGlSQ/edit?pli=1#gid=0"",""1_ACUM!A4:S""),11,FALSE))"),"")</f>
        <v/>
      </c>
      <c r="AV515" s="42" t="str">
        <f ca="1">IFERROR(__xludf.DUMMYFUNCTION("IFERROR(VLOOKUP(F576,IMPORTRANGE(""https://docs.google.com/spreadsheets/d/1Kvs4KS76FHFqLFIZfrDMff4kP08nblUkihrxltoGBjg/edit#gid=934712705"",""ESENCIAL!A6:BG""),15,FALSE))"),"")</f>
        <v/>
      </c>
    </row>
    <row r="516" spans="1:48" ht="15">
      <c r="A516" s="5"/>
      <c r="E516" s="66"/>
      <c r="F516" s="5" t="str">
        <f ca="1">IFERROR(__xludf.DUMMYFUNCTION("IFERROR(VLOOKUP(F577,IMPORTRANGE(""https://docs.google.com/spreadsheets/d/1Kvs4KS76FHFqLFIZfrDMff4kP08nblUkihrxltoGBjg/edit#gid=934712705"",""ESENCIAL!A6:BG""),3,FALSE))"),"")</f>
        <v/>
      </c>
      <c r="G516" s="5" t="str">
        <f ca="1">IFERROR(__xludf.DUMMYFUNCTION("IFERROR(VLOOKUP(F577,IMPORTRANGE(""https://docs.google.com/spreadsheets/d/1Kvs4KS76FHFqLFIZfrDMff4kP08nblUkihrxltoGBjg/edit#gid=934712705"",""ESENCIAL!A6:BG""),8,FALSE))"),"")</f>
        <v/>
      </c>
      <c r="K516" s="287"/>
      <c r="S516" s="66"/>
      <c r="T516" s="66"/>
      <c r="U516" s="66"/>
      <c r="AT516" s="41" t="str">
        <f>IF(D516&gt;0,IF(AND(#REF!=1,#REF!=1),"Procede_E_P","NO_CUMPLE"),"")</f>
        <v/>
      </c>
      <c r="AU516" s="5" t="str">
        <f ca="1">IFERROR(__xludf.DUMMYFUNCTION("IFERROR(VLOOKUP(E577&amp;F577,IMPORTRANGE(""https://docs.google.com/spreadsheets/d/1Uw7-A9f9R21vMXxHZFNpYNeKFtG8_yji4HS352LGlSQ/edit?pli=1#gid=0"",""1_ACUM!A4:S""),11,FALSE))"),"")</f>
        <v/>
      </c>
      <c r="AV516" s="42" t="str">
        <f ca="1">IFERROR(__xludf.DUMMYFUNCTION("IFERROR(VLOOKUP(F577,IMPORTRANGE(""https://docs.google.com/spreadsheets/d/1Kvs4KS76FHFqLFIZfrDMff4kP08nblUkihrxltoGBjg/edit#gid=934712705"",""ESENCIAL!A6:BG""),15,FALSE))"),"")</f>
        <v/>
      </c>
    </row>
    <row r="517" spans="1:48" ht="15">
      <c r="A517" s="5"/>
      <c r="E517" s="66"/>
      <c r="F517" s="5" t="str">
        <f ca="1">IFERROR(__xludf.DUMMYFUNCTION("IFERROR(VLOOKUP(F578,IMPORTRANGE(""https://docs.google.com/spreadsheets/d/1Kvs4KS76FHFqLFIZfrDMff4kP08nblUkihrxltoGBjg/edit#gid=934712705"",""ESENCIAL!A6:BG""),3,FALSE))"),"")</f>
        <v/>
      </c>
      <c r="G517" s="5" t="str">
        <f ca="1">IFERROR(__xludf.DUMMYFUNCTION("IFERROR(VLOOKUP(F578,IMPORTRANGE(""https://docs.google.com/spreadsheets/d/1Kvs4KS76FHFqLFIZfrDMff4kP08nblUkihrxltoGBjg/edit#gid=934712705"",""ESENCIAL!A6:BG""),8,FALSE))"),"")</f>
        <v/>
      </c>
      <c r="K517" s="287"/>
      <c r="S517" s="66"/>
      <c r="T517" s="66"/>
      <c r="U517" s="66"/>
      <c r="AT517" s="41" t="str">
        <f>IF(D517&gt;0,IF(AND(#REF!=1,#REF!=1),"Procede_E_P","NO_CUMPLE"),"")</f>
        <v/>
      </c>
      <c r="AU517" s="5" t="str">
        <f ca="1">IFERROR(__xludf.DUMMYFUNCTION("IFERROR(VLOOKUP(E578&amp;F578,IMPORTRANGE(""https://docs.google.com/spreadsheets/d/1Uw7-A9f9R21vMXxHZFNpYNeKFtG8_yji4HS352LGlSQ/edit?pli=1#gid=0"",""1_ACUM!A4:S""),11,FALSE))"),"")</f>
        <v/>
      </c>
      <c r="AV517" s="42" t="str">
        <f ca="1">IFERROR(__xludf.DUMMYFUNCTION("IFERROR(VLOOKUP(F578,IMPORTRANGE(""https://docs.google.com/spreadsheets/d/1Kvs4KS76FHFqLFIZfrDMff4kP08nblUkihrxltoGBjg/edit#gid=934712705"",""ESENCIAL!A6:BG""),15,FALSE))"),"")</f>
        <v/>
      </c>
    </row>
    <row r="518" spans="1:48" ht="15">
      <c r="A518" s="5"/>
      <c r="E518" s="66"/>
      <c r="F518" s="5" t="str">
        <f ca="1">IFERROR(__xludf.DUMMYFUNCTION("IFERROR(VLOOKUP(F579,IMPORTRANGE(""https://docs.google.com/spreadsheets/d/1Kvs4KS76FHFqLFIZfrDMff4kP08nblUkihrxltoGBjg/edit#gid=934712705"",""ESENCIAL!A6:BG""),3,FALSE))"),"")</f>
        <v/>
      </c>
      <c r="G518" s="5" t="str">
        <f ca="1">IFERROR(__xludf.DUMMYFUNCTION("IFERROR(VLOOKUP(F579,IMPORTRANGE(""https://docs.google.com/spreadsheets/d/1Kvs4KS76FHFqLFIZfrDMff4kP08nblUkihrxltoGBjg/edit#gid=934712705"",""ESENCIAL!A6:BG""),8,FALSE))"),"")</f>
        <v/>
      </c>
      <c r="K518" s="287"/>
      <c r="S518" s="66"/>
      <c r="T518" s="66"/>
      <c r="U518" s="66"/>
      <c r="AT518" s="41" t="str">
        <f>IF(D518&gt;0,IF(AND(#REF!=1,#REF!=1),"Procede_E_P","NO_CUMPLE"),"")</f>
        <v/>
      </c>
      <c r="AU518" s="5" t="str">
        <f ca="1">IFERROR(__xludf.DUMMYFUNCTION("IFERROR(VLOOKUP(E579&amp;F579,IMPORTRANGE(""https://docs.google.com/spreadsheets/d/1Uw7-A9f9R21vMXxHZFNpYNeKFtG8_yji4HS352LGlSQ/edit?pli=1#gid=0"",""1_ACUM!A4:S""),11,FALSE))"),"")</f>
        <v/>
      </c>
      <c r="AV518" s="42" t="str">
        <f ca="1">IFERROR(__xludf.DUMMYFUNCTION("IFERROR(VLOOKUP(F579,IMPORTRANGE(""https://docs.google.com/spreadsheets/d/1Kvs4KS76FHFqLFIZfrDMff4kP08nblUkihrxltoGBjg/edit#gid=934712705"",""ESENCIAL!A6:BG""),15,FALSE))"),"")</f>
        <v/>
      </c>
    </row>
    <row r="519" spans="1:48" ht="15">
      <c r="A519" s="5"/>
      <c r="E519" s="66"/>
      <c r="F519" s="5" t="str">
        <f ca="1">IFERROR(__xludf.DUMMYFUNCTION("IFERROR(VLOOKUP(F580,IMPORTRANGE(""https://docs.google.com/spreadsheets/d/1Kvs4KS76FHFqLFIZfrDMff4kP08nblUkihrxltoGBjg/edit#gid=934712705"",""ESENCIAL!A6:BG""),3,FALSE))"),"")</f>
        <v/>
      </c>
      <c r="G519" s="5" t="str">
        <f ca="1">IFERROR(__xludf.DUMMYFUNCTION("IFERROR(VLOOKUP(F580,IMPORTRANGE(""https://docs.google.com/spreadsheets/d/1Kvs4KS76FHFqLFIZfrDMff4kP08nblUkihrxltoGBjg/edit#gid=934712705"",""ESENCIAL!A6:BG""),8,FALSE))"),"")</f>
        <v/>
      </c>
      <c r="K519" s="287"/>
      <c r="S519" s="66"/>
      <c r="T519" s="66"/>
      <c r="U519" s="66"/>
      <c r="AT519" s="41" t="str">
        <f>IF(D519&gt;0,IF(AND(#REF!=1,#REF!=1),"Procede_E_P","NO_CUMPLE"),"")</f>
        <v/>
      </c>
      <c r="AU519" s="5" t="str">
        <f ca="1">IFERROR(__xludf.DUMMYFUNCTION("IFERROR(VLOOKUP(E580&amp;F580,IMPORTRANGE(""https://docs.google.com/spreadsheets/d/1Uw7-A9f9R21vMXxHZFNpYNeKFtG8_yji4HS352LGlSQ/edit?pli=1#gid=0"",""1_ACUM!A4:S""),11,FALSE))"),"")</f>
        <v/>
      </c>
      <c r="AV519" s="42" t="str">
        <f ca="1">IFERROR(__xludf.DUMMYFUNCTION("IFERROR(VLOOKUP(F580,IMPORTRANGE(""https://docs.google.com/spreadsheets/d/1Kvs4KS76FHFqLFIZfrDMff4kP08nblUkihrxltoGBjg/edit#gid=934712705"",""ESENCIAL!A6:BG""),15,FALSE))"),"")</f>
        <v/>
      </c>
    </row>
    <row r="520" spans="1:48" ht="15">
      <c r="A520" s="5"/>
      <c r="E520" s="66"/>
      <c r="F520" s="5" t="str">
        <f ca="1">IFERROR(__xludf.DUMMYFUNCTION("IFERROR(VLOOKUP(F581,IMPORTRANGE(""https://docs.google.com/spreadsheets/d/1Kvs4KS76FHFqLFIZfrDMff4kP08nblUkihrxltoGBjg/edit#gid=934712705"",""ESENCIAL!A6:BG""),3,FALSE))"),"")</f>
        <v/>
      </c>
      <c r="G520" s="5" t="str">
        <f ca="1">IFERROR(__xludf.DUMMYFUNCTION("IFERROR(VLOOKUP(F581,IMPORTRANGE(""https://docs.google.com/spreadsheets/d/1Kvs4KS76FHFqLFIZfrDMff4kP08nblUkihrxltoGBjg/edit#gid=934712705"",""ESENCIAL!A6:BG""),8,FALSE))"),"")</f>
        <v/>
      </c>
      <c r="K520" s="287"/>
      <c r="S520" s="66"/>
      <c r="T520" s="66"/>
      <c r="U520" s="66"/>
      <c r="AT520" s="41" t="str">
        <f>IF(D520&gt;0,IF(AND(#REF!=1,#REF!=1),"Procede_E_P","NO_CUMPLE"),"")</f>
        <v/>
      </c>
      <c r="AU520" s="5" t="str">
        <f ca="1">IFERROR(__xludf.DUMMYFUNCTION("IFERROR(VLOOKUP(E581&amp;F581,IMPORTRANGE(""https://docs.google.com/spreadsheets/d/1Uw7-A9f9R21vMXxHZFNpYNeKFtG8_yji4HS352LGlSQ/edit?pli=1#gid=0"",""1_ACUM!A4:S""),11,FALSE))"),"")</f>
        <v/>
      </c>
      <c r="AV520" s="42" t="str">
        <f ca="1">IFERROR(__xludf.DUMMYFUNCTION("IFERROR(VLOOKUP(F581,IMPORTRANGE(""https://docs.google.com/spreadsheets/d/1Kvs4KS76FHFqLFIZfrDMff4kP08nblUkihrxltoGBjg/edit#gid=934712705"",""ESENCIAL!A6:BG""),15,FALSE))"),"")</f>
        <v/>
      </c>
    </row>
    <row r="521" spans="1:48" ht="15">
      <c r="A521" s="5"/>
      <c r="E521" s="66"/>
      <c r="F521" s="5" t="str">
        <f ca="1">IFERROR(__xludf.DUMMYFUNCTION("IFERROR(VLOOKUP(F582,IMPORTRANGE(""https://docs.google.com/spreadsheets/d/1Kvs4KS76FHFqLFIZfrDMff4kP08nblUkihrxltoGBjg/edit#gid=934712705"",""ESENCIAL!A6:BG""),3,FALSE))"),"")</f>
        <v/>
      </c>
      <c r="G521" s="5" t="str">
        <f ca="1">IFERROR(__xludf.DUMMYFUNCTION("IFERROR(VLOOKUP(F582,IMPORTRANGE(""https://docs.google.com/spreadsheets/d/1Kvs4KS76FHFqLFIZfrDMff4kP08nblUkihrxltoGBjg/edit#gid=934712705"",""ESENCIAL!A6:BG""),8,FALSE))"),"")</f>
        <v/>
      </c>
      <c r="K521" s="287"/>
      <c r="S521" s="66"/>
      <c r="T521" s="66"/>
      <c r="U521" s="66"/>
      <c r="AT521" s="41" t="str">
        <f>IF(D521&gt;0,IF(AND(#REF!=1,#REF!=1),"Procede_E_P","NO_CUMPLE"),"")</f>
        <v/>
      </c>
      <c r="AU521" s="5" t="str">
        <f ca="1">IFERROR(__xludf.DUMMYFUNCTION("IFERROR(VLOOKUP(E582&amp;F582,IMPORTRANGE(""https://docs.google.com/spreadsheets/d/1Uw7-A9f9R21vMXxHZFNpYNeKFtG8_yji4HS352LGlSQ/edit?pli=1#gid=0"",""1_ACUM!A4:S""),11,FALSE))"),"")</f>
        <v/>
      </c>
      <c r="AV521" s="42" t="str">
        <f ca="1">IFERROR(__xludf.DUMMYFUNCTION("IFERROR(VLOOKUP(F582,IMPORTRANGE(""https://docs.google.com/spreadsheets/d/1Kvs4KS76FHFqLFIZfrDMff4kP08nblUkihrxltoGBjg/edit#gid=934712705"",""ESENCIAL!A6:BG""),15,FALSE))"),"")</f>
        <v/>
      </c>
    </row>
    <row r="522" spans="1:48" ht="15">
      <c r="A522" s="5"/>
      <c r="E522" s="66"/>
      <c r="F522" s="5" t="str">
        <f ca="1">IFERROR(__xludf.DUMMYFUNCTION("IFERROR(VLOOKUP(F583,IMPORTRANGE(""https://docs.google.com/spreadsheets/d/1Kvs4KS76FHFqLFIZfrDMff4kP08nblUkihrxltoGBjg/edit#gid=934712705"",""ESENCIAL!A6:BG""),3,FALSE))"),"")</f>
        <v/>
      </c>
      <c r="G522" s="5" t="str">
        <f ca="1">IFERROR(__xludf.DUMMYFUNCTION("IFERROR(VLOOKUP(F583,IMPORTRANGE(""https://docs.google.com/spreadsheets/d/1Kvs4KS76FHFqLFIZfrDMff4kP08nblUkihrxltoGBjg/edit#gid=934712705"",""ESENCIAL!A6:BG""),8,FALSE))"),"")</f>
        <v/>
      </c>
      <c r="K522" s="287"/>
      <c r="S522" s="66"/>
      <c r="T522" s="66"/>
      <c r="U522" s="66"/>
      <c r="AT522" s="41" t="str">
        <f>IF(D522&gt;0,IF(AND(#REF!=1,#REF!=1),"Procede_E_P","NO_CUMPLE"),"")</f>
        <v/>
      </c>
      <c r="AU522" s="5" t="str">
        <f ca="1">IFERROR(__xludf.DUMMYFUNCTION("IFERROR(VLOOKUP(E583&amp;F583,IMPORTRANGE(""https://docs.google.com/spreadsheets/d/1Uw7-A9f9R21vMXxHZFNpYNeKFtG8_yji4HS352LGlSQ/edit?pli=1#gid=0"",""1_ACUM!A4:S""),11,FALSE))"),"")</f>
        <v/>
      </c>
      <c r="AV522" s="42" t="str">
        <f ca="1">IFERROR(__xludf.DUMMYFUNCTION("IFERROR(VLOOKUP(F583,IMPORTRANGE(""https://docs.google.com/spreadsheets/d/1Kvs4KS76FHFqLFIZfrDMff4kP08nblUkihrxltoGBjg/edit#gid=934712705"",""ESENCIAL!A6:BG""),15,FALSE))"),"")</f>
        <v/>
      </c>
    </row>
    <row r="523" spans="1:48" ht="15">
      <c r="A523" s="5"/>
      <c r="E523" s="66"/>
      <c r="F523" s="5" t="str">
        <f ca="1">IFERROR(__xludf.DUMMYFUNCTION("IFERROR(VLOOKUP(F584,IMPORTRANGE(""https://docs.google.com/spreadsheets/d/1Kvs4KS76FHFqLFIZfrDMff4kP08nblUkihrxltoGBjg/edit#gid=934712705"",""ESENCIAL!A6:BG""),3,FALSE))"),"")</f>
        <v/>
      </c>
      <c r="G523" s="5" t="str">
        <f ca="1">IFERROR(__xludf.DUMMYFUNCTION("IFERROR(VLOOKUP(F584,IMPORTRANGE(""https://docs.google.com/spreadsheets/d/1Kvs4KS76FHFqLFIZfrDMff4kP08nblUkihrxltoGBjg/edit#gid=934712705"",""ESENCIAL!A6:BG""),8,FALSE))"),"")</f>
        <v/>
      </c>
      <c r="K523" s="287"/>
      <c r="S523" s="66"/>
      <c r="T523" s="66"/>
      <c r="U523" s="66"/>
      <c r="AT523" s="41" t="str">
        <f>IF(D523&gt;0,IF(AND(#REF!=1,#REF!=1),"Procede_E_P","NO_CUMPLE"),"")</f>
        <v/>
      </c>
      <c r="AU523" s="5" t="str">
        <f ca="1">IFERROR(__xludf.DUMMYFUNCTION("IFERROR(VLOOKUP(E584&amp;F584,IMPORTRANGE(""https://docs.google.com/spreadsheets/d/1Uw7-A9f9R21vMXxHZFNpYNeKFtG8_yji4HS352LGlSQ/edit?pli=1#gid=0"",""1_ACUM!A4:S""),11,FALSE))"),"")</f>
        <v/>
      </c>
      <c r="AV523" s="42" t="str">
        <f ca="1">IFERROR(__xludf.DUMMYFUNCTION("IFERROR(VLOOKUP(F584,IMPORTRANGE(""https://docs.google.com/spreadsheets/d/1Kvs4KS76FHFqLFIZfrDMff4kP08nblUkihrxltoGBjg/edit#gid=934712705"",""ESENCIAL!A6:BG""),15,FALSE))"),"")</f>
        <v/>
      </c>
    </row>
    <row r="524" spans="1:48" ht="15">
      <c r="A524" s="5"/>
      <c r="E524" s="66"/>
      <c r="F524" s="5" t="str">
        <f ca="1">IFERROR(__xludf.DUMMYFUNCTION("IFERROR(VLOOKUP(F585,IMPORTRANGE(""https://docs.google.com/spreadsheets/d/1Kvs4KS76FHFqLFIZfrDMff4kP08nblUkihrxltoGBjg/edit#gid=934712705"",""ESENCIAL!A6:BG""),3,FALSE))"),"")</f>
        <v/>
      </c>
      <c r="G524" s="5" t="str">
        <f ca="1">IFERROR(__xludf.DUMMYFUNCTION("IFERROR(VLOOKUP(F585,IMPORTRANGE(""https://docs.google.com/spreadsheets/d/1Kvs4KS76FHFqLFIZfrDMff4kP08nblUkihrxltoGBjg/edit#gid=934712705"",""ESENCIAL!A6:BG""),8,FALSE))"),"")</f>
        <v/>
      </c>
      <c r="K524" s="287"/>
      <c r="S524" s="66"/>
      <c r="T524" s="66"/>
      <c r="U524" s="66"/>
      <c r="AT524" s="41" t="str">
        <f>IF(D524&gt;0,IF(AND(#REF!=1,#REF!=1),"Procede_E_P","NO_CUMPLE"),"")</f>
        <v/>
      </c>
      <c r="AU524" s="5" t="str">
        <f ca="1">IFERROR(__xludf.DUMMYFUNCTION("IFERROR(VLOOKUP(E585&amp;F585,IMPORTRANGE(""https://docs.google.com/spreadsheets/d/1Uw7-A9f9R21vMXxHZFNpYNeKFtG8_yji4HS352LGlSQ/edit?pli=1#gid=0"",""1_ACUM!A4:S""),11,FALSE))"),"")</f>
        <v/>
      </c>
      <c r="AV524" s="42" t="str">
        <f ca="1">IFERROR(__xludf.DUMMYFUNCTION("IFERROR(VLOOKUP(F585,IMPORTRANGE(""https://docs.google.com/spreadsheets/d/1Kvs4KS76FHFqLFIZfrDMff4kP08nblUkihrxltoGBjg/edit#gid=934712705"",""ESENCIAL!A6:BG""),15,FALSE))"),"")</f>
        <v/>
      </c>
    </row>
    <row r="525" spans="1:48" ht="15">
      <c r="A525" s="5"/>
      <c r="E525" s="66"/>
      <c r="F525" s="5" t="str">
        <f ca="1">IFERROR(__xludf.DUMMYFUNCTION("IFERROR(VLOOKUP(F586,IMPORTRANGE(""https://docs.google.com/spreadsheets/d/1Kvs4KS76FHFqLFIZfrDMff4kP08nblUkihrxltoGBjg/edit#gid=934712705"",""ESENCIAL!A6:BG""),3,FALSE))"),"")</f>
        <v/>
      </c>
      <c r="G525" s="5" t="str">
        <f ca="1">IFERROR(__xludf.DUMMYFUNCTION("IFERROR(VLOOKUP(F586,IMPORTRANGE(""https://docs.google.com/spreadsheets/d/1Kvs4KS76FHFqLFIZfrDMff4kP08nblUkihrxltoGBjg/edit#gid=934712705"",""ESENCIAL!A6:BG""),8,FALSE))"),"")</f>
        <v/>
      </c>
      <c r="K525" s="287"/>
      <c r="S525" s="66"/>
      <c r="T525" s="66"/>
      <c r="U525" s="66"/>
      <c r="AT525" s="41" t="str">
        <f>IF(D525&gt;0,IF(AND(#REF!=1,#REF!=1),"Procede_E_P","NO_CUMPLE"),"")</f>
        <v/>
      </c>
      <c r="AU525" s="5" t="str">
        <f ca="1">IFERROR(__xludf.DUMMYFUNCTION("IFERROR(VLOOKUP(E586&amp;F586,IMPORTRANGE(""https://docs.google.com/spreadsheets/d/1Uw7-A9f9R21vMXxHZFNpYNeKFtG8_yji4HS352LGlSQ/edit?pli=1#gid=0"",""1_ACUM!A4:S""),11,FALSE))"),"")</f>
        <v/>
      </c>
      <c r="AV525" s="42" t="str">
        <f ca="1">IFERROR(__xludf.DUMMYFUNCTION("IFERROR(VLOOKUP(F586,IMPORTRANGE(""https://docs.google.com/spreadsheets/d/1Kvs4KS76FHFqLFIZfrDMff4kP08nblUkihrxltoGBjg/edit#gid=934712705"",""ESENCIAL!A6:BG""),15,FALSE))"),"")</f>
        <v/>
      </c>
    </row>
    <row r="526" spans="1:48" ht="15">
      <c r="A526" s="5"/>
      <c r="E526" s="66"/>
      <c r="F526" s="5" t="str">
        <f ca="1">IFERROR(__xludf.DUMMYFUNCTION("IFERROR(VLOOKUP(F587,IMPORTRANGE(""https://docs.google.com/spreadsheets/d/1Kvs4KS76FHFqLFIZfrDMff4kP08nblUkihrxltoGBjg/edit#gid=934712705"",""ESENCIAL!A6:BG""),3,FALSE))"),"")</f>
        <v/>
      </c>
      <c r="G526" s="5" t="str">
        <f ca="1">IFERROR(__xludf.DUMMYFUNCTION("IFERROR(VLOOKUP(F587,IMPORTRANGE(""https://docs.google.com/spreadsheets/d/1Kvs4KS76FHFqLFIZfrDMff4kP08nblUkihrxltoGBjg/edit#gid=934712705"",""ESENCIAL!A6:BG""),8,FALSE))"),"")</f>
        <v/>
      </c>
      <c r="K526" s="287"/>
      <c r="S526" s="66"/>
      <c r="T526" s="66"/>
      <c r="U526" s="66"/>
      <c r="AT526" s="41" t="str">
        <f>IF(D526&gt;0,IF(AND(#REF!=1,#REF!=1),"Procede_E_P","NO_CUMPLE"),"")</f>
        <v/>
      </c>
      <c r="AU526" s="5" t="str">
        <f ca="1">IFERROR(__xludf.DUMMYFUNCTION("IFERROR(VLOOKUP(E587&amp;F587,IMPORTRANGE(""https://docs.google.com/spreadsheets/d/1Uw7-A9f9R21vMXxHZFNpYNeKFtG8_yji4HS352LGlSQ/edit?pli=1#gid=0"",""1_ACUM!A4:S""),11,FALSE))"),"")</f>
        <v/>
      </c>
      <c r="AV526" s="42" t="str">
        <f ca="1">IFERROR(__xludf.DUMMYFUNCTION("IFERROR(VLOOKUP(F587,IMPORTRANGE(""https://docs.google.com/spreadsheets/d/1Kvs4KS76FHFqLFIZfrDMff4kP08nblUkihrxltoGBjg/edit#gid=934712705"",""ESENCIAL!A6:BG""),15,FALSE))"),"")</f>
        <v/>
      </c>
    </row>
    <row r="527" spans="1:48" ht="15">
      <c r="A527" s="5"/>
      <c r="E527" s="66"/>
      <c r="F527" s="5" t="str">
        <f ca="1">IFERROR(__xludf.DUMMYFUNCTION("IFERROR(VLOOKUP(F588,IMPORTRANGE(""https://docs.google.com/spreadsheets/d/1Kvs4KS76FHFqLFIZfrDMff4kP08nblUkihrxltoGBjg/edit#gid=934712705"",""ESENCIAL!A6:BG""),3,FALSE))"),"")</f>
        <v/>
      </c>
      <c r="G527" s="5" t="str">
        <f ca="1">IFERROR(__xludf.DUMMYFUNCTION("IFERROR(VLOOKUP(F588,IMPORTRANGE(""https://docs.google.com/spreadsheets/d/1Kvs4KS76FHFqLFIZfrDMff4kP08nblUkihrxltoGBjg/edit#gid=934712705"",""ESENCIAL!A6:BG""),8,FALSE))"),"")</f>
        <v/>
      </c>
      <c r="K527" s="287"/>
      <c r="S527" s="66"/>
      <c r="T527" s="66"/>
      <c r="U527" s="66"/>
      <c r="AT527" s="41" t="str">
        <f>IF(D527&gt;0,IF(AND(#REF!=1,#REF!=1),"Procede_E_P","NO_CUMPLE"),"")</f>
        <v/>
      </c>
      <c r="AU527" s="5" t="str">
        <f ca="1">IFERROR(__xludf.DUMMYFUNCTION("IFERROR(VLOOKUP(E588&amp;F588,IMPORTRANGE(""https://docs.google.com/spreadsheets/d/1Uw7-A9f9R21vMXxHZFNpYNeKFtG8_yji4HS352LGlSQ/edit?pli=1#gid=0"",""1_ACUM!A4:S""),11,FALSE))"),"")</f>
        <v/>
      </c>
      <c r="AV527" s="42" t="str">
        <f ca="1">IFERROR(__xludf.DUMMYFUNCTION("IFERROR(VLOOKUP(F588,IMPORTRANGE(""https://docs.google.com/spreadsheets/d/1Kvs4KS76FHFqLFIZfrDMff4kP08nblUkihrxltoGBjg/edit#gid=934712705"",""ESENCIAL!A6:BG""),15,FALSE))"),"")</f>
        <v/>
      </c>
    </row>
    <row r="528" spans="1:48" ht="15">
      <c r="A528" s="5"/>
      <c r="E528" s="66"/>
      <c r="F528" s="5" t="str">
        <f ca="1">IFERROR(__xludf.DUMMYFUNCTION("IFERROR(VLOOKUP(F589,IMPORTRANGE(""https://docs.google.com/spreadsheets/d/1Kvs4KS76FHFqLFIZfrDMff4kP08nblUkihrxltoGBjg/edit#gid=934712705"",""ESENCIAL!A6:BG""),3,FALSE))"),"")</f>
        <v/>
      </c>
      <c r="G528" s="5" t="str">
        <f ca="1">IFERROR(__xludf.DUMMYFUNCTION("IFERROR(VLOOKUP(F589,IMPORTRANGE(""https://docs.google.com/spreadsheets/d/1Kvs4KS76FHFqLFIZfrDMff4kP08nblUkihrxltoGBjg/edit#gid=934712705"",""ESENCIAL!A6:BG""),8,FALSE))"),"")</f>
        <v/>
      </c>
      <c r="K528" s="287"/>
      <c r="S528" s="66"/>
      <c r="T528" s="66"/>
      <c r="U528" s="66"/>
      <c r="AT528" s="41" t="str">
        <f>IF(D528&gt;0,IF(AND(#REF!=1,#REF!=1),"Procede_E_P","NO_CUMPLE"),"")</f>
        <v/>
      </c>
      <c r="AU528" s="5" t="str">
        <f ca="1">IFERROR(__xludf.DUMMYFUNCTION("IFERROR(VLOOKUP(E589&amp;F589,IMPORTRANGE(""https://docs.google.com/spreadsheets/d/1Uw7-A9f9R21vMXxHZFNpYNeKFtG8_yji4HS352LGlSQ/edit?pli=1#gid=0"",""1_ACUM!A4:S""),11,FALSE))"),"")</f>
        <v/>
      </c>
      <c r="AV528" s="42" t="str">
        <f ca="1">IFERROR(__xludf.DUMMYFUNCTION("IFERROR(VLOOKUP(F589,IMPORTRANGE(""https://docs.google.com/spreadsheets/d/1Kvs4KS76FHFqLFIZfrDMff4kP08nblUkihrxltoGBjg/edit#gid=934712705"",""ESENCIAL!A6:BG""),15,FALSE))"),"")</f>
        <v/>
      </c>
    </row>
    <row r="529" spans="1:48" ht="15">
      <c r="A529" s="5"/>
      <c r="E529" s="66"/>
      <c r="F529" s="5" t="str">
        <f ca="1">IFERROR(__xludf.DUMMYFUNCTION("IFERROR(VLOOKUP(F590,IMPORTRANGE(""https://docs.google.com/spreadsheets/d/1Kvs4KS76FHFqLFIZfrDMff4kP08nblUkihrxltoGBjg/edit#gid=934712705"",""ESENCIAL!A6:BG""),3,FALSE))"),"")</f>
        <v/>
      </c>
      <c r="G529" s="5" t="str">
        <f ca="1">IFERROR(__xludf.DUMMYFUNCTION("IFERROR(VLOOKUP(F590,IMPORTRANGE(""https://docs.google.com/spreadsheets/d/1Kvs4KS76FHFqLFIZfrDMff4kP08nblUkihrxltoGBjg/edit#gid=934712705"",""ESENCIAL!A6:BG""),8,FALSE))"),"")</f>
        <v/>
      </c>
      <c r="K529" s="287"/>
      <c r="S529" s="66"/>
      <c r="T529" s="66"/>
      <c r="U529" s="66"/>
      <c r="AT529" s="41" t="str">
        <f>IF(D529&gt;0,IF(AND(#REF!=1,#REF!=1),"Procede_E_P","NO_CUMPLE"),"")</f>
        <v/>
      </c>
      <c r="AU529" s="5" t="str">
        <f ca="1">IFERROR(__xludf.DUMMYFUNCTION("IFERROR(VLOOKUP(E590&amp;F590,IMPORTRANGE(""https://docs.google.com/spreadsheets/d/1Uw7-A9f9R21vMXxHZFNpYNeKFtG8_yji4HS352LGlSQ/edit?pli=1#gid=0"",""1_ACUM!A4:S""),11,FALSE))"),"")</f>
        <v/>
      </c>
      <c r="AV529" s="42" t="str">
        <f ca="1">IFERROR(__xludf.DUMMYFUNCTION("IFERROR(VLOOKUP(F590,IMPORTRANGE(""https://docs.google.com/spreadsheets/d/1Kvs4KS76FHFqLFIZfrDMff4kP08nblUkihrxltoGBjg/edit#gid=934712705"",""ESENCIAL!A6:BG""),15,FALSE))"),"")</f>
        <v/>
      </c>
    </row>
    <row r="530" spans="1:48" ht="15">
      <c r="A530" s="5"/>
      <c r="E530" s="66"/>
      <c r="F530" s="5" t="str">
        <f ca="1">IFERROR(__xludf.DUMMYFUNCTION("IFERROR(VLOOKUP(F591,IMPORTRANGE(""https://docs.google.com/spreadsheets/d/1Kvs4KS76FHFqLFIZfrDMff4kP08nblUkihrxltoGBjg/edit#gid=934712705"",""ESENCIAL!A6:BG""),3,FALSE))"),"")</f>
        <v/>
      </c>
      <c r="G530" s="5" t="str">
        <f ca="1">IFERROR(__xludf.DUMMYFUNCTION("IFERROR(VLOOKUP(F591,IMPORTRANGE(""https://docs.google.com/spreadsheets/d/1Kvs4KS76FHFqLFIZfrDMff4kP08nblUkihrxltoGBjg/edit#gid=934712705"",""ESENCIAL!A6:BG""),8,FALSE))"),"")</f>
        <v/>
      </c>
      <c r="K530" s="287"/>
      <c r="S530" s="66"/>
      <c r="T530" s="66"/>
      <c r="U530" s="66"/>
      <c r="AT530" s="41" t="str">
        <f>IF(D530&gt;0,IF(AND(#REF!=1,#REF!=1),"Procede_E_P","NO_CUMPLE"),"")</f>
        <v/>
      </c>
      <c r="AU530" s="5" t="str">
        <f ca="1">IFERROR(__xludf.DUMMYFUNCTION("IFERROR(VLOOKUP(E591&amp;F591,IMPORTRANGE(""https://docs.google.com/spreadsheets/d/1Uw7-A9f9R21vMXxHZFNpYNeKFtG8_yji4HS352LGlSQ/edit?pli=1#gid=0"",""1_ACUM!A4:S""),11,FALSE))"),"")</f>
        <v/>
      </c>
      <c r="AV530" s="42" t="str">
        <f ca="1">IFERROR(__xludf.DUMMYFUNCTION("IFERROR(VLOOKUP(F591,IMPORTRANGE(""https://docs.google.com/spreadsheets/d/1Kvs4KS76FHFqLFIZfrDMff4kP08nblUkihrxltoGBjg/edit#gid=934712705"",""ESENCIAL!A6:BG""),15,FALSE))"),"")</f>
        <v/>
      </c>
    </row>
    <row r="531" spans="1:48" ht="15">
      <c r="A531" s="5"/>
      <c r="E531" s="66"/>
      <c r="F531" s="5" t="str">
        <f ca="1">IFERROR(__xludf.DUMMYFUNCTION("IFERROR(VLOOKUP(F592,IMPORTRANGE(""https://docs.google.com/spreadsheets/d/1Kvs4KS76FHFqLFIZfrDMff4kP08nblUkihrxltoGBjg/edit#gid=934712705"",""ESENCIAL!A6:BG""),3,FALSE))"),"")</f>
        <v/>
      </c>
      <c r="G531" s="5" t="str">
        <f ca="1">IFERROR(__xludf.DUMMYFUNCTION("IFERROR(VLOOKUP(F592,IMPORTRANGE(""https://docs.google.com/spreadsheets/d/1Kvs4KS76FHFqLFIZfrDMff4kP08nblUkihrxltoGBjg/edit#gid=934712705"",""ESENCIAL!A6:BG""),8,FALSE))"),"")</f>
        <v/>
      </c>
      <c r="K531" s="287"/>
      <c r="S531" s="66"/>
      <c r="T531" s="66"/>
      <c r="U531" s="66"/>
      <c r="AT531" s="41" t="str">
        <f>IF(D531&gt;0,IF(AND(#REF!=1,#REF!=1),"Procede_E_P","NO_CUMPLE"),"")</f>
        <v/>
      </c>
      <c r="AU531" s="5" t="str">
        <f ca="1">IFERROR(__xludf.DUMMYFUNCTION("IFERROR(VLOOKUP(E592&amp;F592,IMPORTRANGE(""https://docs.google.com/spreadsheets/d/1Uw7-A9f9R21vMXxHZFNpYNeKFtG8_yji4HS352LGlSQ/edit?pli=1#gid=0"",""1_ACUM!A4:S""),11,FALSE))"),"")</f>
        <v/>
      </c>
      <c r="AV531" s="42" t="str">
        <f ca="1">IFERROR(__xludf.DUMMYFUNCTION("IFERROR(VLOOKUP(F592,IMPORTRANGE(""https://docs.google.com/spreadsheets/d/1Kvs4KS76FHFqLFIZfrDMff4kP08nblUkihrxltoGBjg/edit#gid=934712705"",""ESENCIAL!A6:BG""),15,FALSE))"),"")</f>
        <v/>
      </c>
    </row>
    <row r="532" spans="1:48" ht="15">
      <c r="A532" s="5"/>
      <c r="E532" s="66"/>
      <c r="F532" s="5" t="str">
        <f ca="1">IFERROR(__xludf.DUMMYFUNCTION("IFERROR(VLOOKUP(F593,IMPORTRANGE(""https://docs.google.com/spreadsheets/d/1Kvs4KS76FHFqLFIZfrDMff4kP08nblUkihrxltoGBjg/edit#gid=934712705"",""ESENCIAL!A6:BG""),3,FALSE))"),"")</f>
        <v/>
      </c>
      <c r="G532" s="5" t="str">
        <f ca="1">IFERROR(__xludf.DUMMYFUNCTION("IFERROR(VLOOKUP(F593,IMPORTRANGE(""https://docs.google.com/spreadsheets/d/1Kvs4KS76FHFqLFIZfrDMff4kP08nblUkihrxltoGBjg/edit#gid=934712705"",""ESENCIAL!A6:BG""),8,FALSE))"),"")</f>
        <v/>
      </c>
      <c r="K532" s="287"/>
      <c r="S532" s="66"/>
      <c r="T532" s="66"/>
      <c r="U532" s="66"/>
      <c r="AT532" s="41" t="str">
        <f>IF(D532&gt;0,IF(AND(#REF!=1,#REF!=1),"Procede_E_P","NO_CUMPLE"),"")</f>
        <v/>
      </c>
      <c r="AU532" s="5" t="str">
        <f ca="1">IFERROR(__xludf.DUMMYFUNCTION("IFERROR(VLOOKUP(E593&amp;F593,IMPORTRANGE(""https://docs.google.com/spreadsheets/d/1Uw7-A9f9R21vMXxHZFNpYNeKFtG8_yji4HS352LGlSQ/edit?pli=1#gid=0"",""1_ACUM!A4:S""),11,FALSE))"),"")</f>
        <v/>
      </c>
      <c r="AV532" s="42" t="str">
        <f ca="1">IFERROR(__xludf.DUMMYFUNCTION("IFERROR(VLOOKUP(F593,IMPORTRANGE(""https://docs.google.com/spreadsheets/d/1Kvs4KS76FHFqLFIZfrDMff4kP08nblUkihrxltoGBjg/edit#gid=934712705"",""ESENCIAL!A6:BG""),15,FALSE))"),"")</f>
        <v/>
      </c>
    </row>
    <row r="533" spans="1:48" ht="15">
      <c r="A533" s="5"/>
      <c r="E533" s="66"/>
      <c r="F533" s="5" t="str">
        <f ca="1">IFERROR(__xludf.DUMMYFUNCTION("IFERROR(VLOOKUP(F594,IMPORTRANGE(""https://docs.google.com/spreadsheets/d/1Kvs4KS76FHFqLFIZfrDMff4kP08nblUkihrxltoGBjg/edit#gid=934712705"",""ESENCIAL!A6:BG""),3,FALSE))"),"")</f>
        <v/>
      </c>
      <c r="G533" s="5" t="str">
        <f ca="1">IFERROR(__xludf.DUMMYFUNCTION("IFERROR(VLOOKUP(F594,IMPORTRANGE(""https://docs.google.com/spreadsheets/d/1Kvs4KS76FHFqLFIZfrDMff4kP08nblUkihrxltoGBjg/edit#gid=934712705"",""ESENCIAL!A6:BG""),8,FALSE))"),"")</f>
        <v/>
      </c>
      <c r="K533" s="287"/>
      <c r="S533" s="66"/>
      <c r="T533" s="66"/>
      <c r="U533" s="66"/>
      <c r="AT533" s="41" t="str">
        <f>IF(D533&gt;0,IF(AND(#REF!=1,#REF!=1),"Procede_E_P","NO_CUMPLE"),"")</f>
        <v/>
      </c>
      <c r="AU533" s="5" t="str">
        <f ca="1">IFERROR(__xludf.DUMMYFUNCTION("IFERROR(VLOOKUP(E594&amp;F594,IMPORTRANGE(""https://docs.google.com/spreadsheets/d/1Uw7-A9f9R21vMXxHZFNpYNeKFtG8_yji4HS352LGlSQ/edit?pli=1#gid=0"",""1_ACUM!A4:S""),11,FALSE))"),"")</f>
        <v/>
      </c>
      <c r="AV533" s="42" t="str">
        <f ca="1">IFERROR(__xludf.DUMMYFUNCTION("IFERROR(VLOOKUP(F594,IMPORTRANGE(""https://docs.google.com/spreadsheets/d/1Kvs4KS76FHFqLFIZfrDMff4kP08nblUkihrxltoGBjg/edit#gid=934712705"",""ESENCIAL!A6:BG""),15,FALSE))"),"")</f>
        <v/>
      </c>
    </row>
    <row r="534" spans="1:48" ht="15">
      <c r="A534" s="5"/>
      <c r="E534" s="66"/>
      <c r="F534" s="5" t="str">
        <f ca="1">IFERROR(__xludf.DUMMYFUNCTION("IFERROR(VLOOKUP(F595,IMPORTRANGE(""https://docs.google.com/spreadsheets/d/1Kvs4KS76FHFqLFIZfrDMff4kP08nblUkihrxltoGBjg/edit#gid=934712705"",""ESENCIAL!A6:BG""),3,FALSE))"),"")</f>
        <v/>
      </c>
      <c r="G534" s="5" t="str">
        <f ca="1">IFERROR(__xludf.DUMMYFUNCTION("IFERROR(VLOOKUP(F595,IMPORTRANGE(""https://docs.google.com/spreadsheets/d/1Kvs4KS76FHFqLFIZfrDMff4kP08nblUkihrxltoGBjg/edit#gid=934712705"",""ESENCIAL!A6:BG""),8,FALSE))"),"")</f>
        <v/>
      </c>
      <c r="K534" s="287"/>
      <c r="S534" s="66"/>
      <c r="T534" s="66"/>
      <c r="U534" s="66"/>
      <c r="AT534" s="41" t="str">
        <f>IF(D534&gt;0,IF(AND(#REF!=1,#REF!=1),"Procede_E_P","NO_CUMPLE"),"")</f>
        <v/>
      </c>
      <c r="AU534" s="5" t="str">
        <f ca="1">IFERROR(__xludf.DUMMYFUNCTION("IFERROR(VLOOKUP(E595&amp;F595,IMPORTRANGE(""https://docs.google.com/spreadsheets/d/1Uw7-A9f9R21vMXxHZFNpYNeKFtG8_yji4HS352LGlSQ/edit?pli=1#gid=0"",""1_ACUM!A4:S""),11,FALSE))"),"")</f>
        <v/>
      </c>
      <c r="AV534" s="42" t="str">
        <f ca="1">IFERROR(__xludf.DUMMYFUNCTION("IFERROR(VLOOKUP(F595,IMPORTRANGE(""https://docs.google.com/spreadsheets/d/1Kvs4KS76FHFqLFIZfrDMff4kP08nblUkihrxltoGBjg/edit#gid=934712705"",""ESENCIAL!A6:BG""),15,FALSE))"),"")</f>
        <v/>
      </c>
    </row>
    <row r="535" spans="1:48" ht="15">
      <c r="A535" s="5"/>
      <c r="E535" s="66"/>
      <c r="F535" s="5" t="str">
        <f ca="1">IFERROR(__xludf.DUMMYFUNCTION("IFERROR(VLOOKUP(F596,IMPORTRANGE(""https://docs.google.com/spreadsheets/d/1Kvs4KS76FHFqLFIZfrDMff4kP08nblUkihrxltoGBjg/edit#gid=934712705"",""ESENCIAL!A6:BG""),3,FALSE))"),"")</f>
        <v/>
      </c>
      <c r="G535" s="5" t="str">
        <f ca="1">IFERROR(__xludf.DUMMYFUNCTION("IFERROR(VLOOKUP(F596,IMPORTRANGE(""https://docs.google.com/spreadsheets/d/1Kvs4KS76FHFqLFIZfrDMff4kP08nblUkihrxltoGBjg/edit#gid=934712705"",""ESENCIAL!A6:BG""),8,FALSE))"),"")</f>
        <v/>
      </c>
      <c r="K535" s="287"/>
      <c r="S535" s="66"/>
      <c r="T535" s="66"/>
      <c r="U535" s="66"/>
      <c r="AT535" s="41" t="str">
        <f>IF(D535&gt;0,IF(AND(#REF!=1,#REF!=1),"Procede_E_P","NO_CUMPLE"),"")</f>
        <v/>
      </c>
      <c r="AU535" s="5" t="str">
        <f ca="1">IFERROR(__xludf.DUMMYFUNCTION("IFERROR(VLOOKUP(E596&amp;F596,IMPORTRANGE(""https://docs.google.com/spreadsheets/d/1Uw7-A9f9R21vMXxHZFNpYNeKFtG8_yji4HS352LGlSQ/edit?pli=1#gid=0"",""1_ACUM!A4:S""),11,FALSE))"),"")</f>
        <v/>
      </c>
      <c r="AV535" s="42" t="str">
        <f ca="1">IFERROR(__xludf.DUMMYFUNCTION("IFERROR(VLOOKUP(F596,IMPORTRANGE(""https://docs.google.com/spreadsheets/d/1Kvs4KS76FHFqLFIZfrDMff4kP08nblUkihrxltoGBjg/edit#gid=934712705"",""ESENCIAL!A6:BG""),15,FALSE))"),"")</f>
        <v/>
      </c>
    </row>
    <row r="536" spans="1:48" ht="15">
      <c r="A536" s="5"/>
      <c r="E536" s="66"/>
      <c r="F536" s="5" t="str">
        <f ca="1">IFERROR(__xludf.DUMMYFUNCTION("IFERROR(VLOOKUP(F597,IMPORTRANGE(""https://docs.google.com/spreadsheets/d/1Kvs4KS76FHFqLFIZfrDMff4kP08nblUkihrxltoGBjg/edit#gid=934712705"",""ESENCIAL!A6:BG""),3,FALSE))"),"")</f>
        <v/>
      </c>
      <c r="G536" s="5" t="str">
        <f ca="1">IFERROR(__xludf.DUMMYFUNCTION("IFERROR(VLOOKUP(F597,IMPORTRANGE(""https://docs.google.com/spreadsheets/d/1Kvs4KS76FHFqLFIZfrDMff4kP08nblUkihrxltoGBjg/edit#gid=934712705"",""ESENCIAL!A6:BG""),8,FALSE))"),"")</f>
        <v/>
      </c>
      <c r="K536" s="287"/>
      <c r="S536" s="66"/>
      <c r="T536" s="66"/>
      <c r="U536" s="66"/>
      <c r="AT536" s="41" t="str">
        <f>IF(D536&gt;0,IF(AND(#REF!=1,#REF!=1),"Procede_E_P","NO_CUMPLE"),"")</f>
        <v/>
      </c>
      <c r="AU536" s="5" t="str">
        <f ca="1">IFERROR(__xludf.DUMMYFUNCTION("IFERROR(VLOOKUP(E597&amp;F597,IMPORTRANGE(""https://docs.google.com/spreadsheets/d/1Uw7-A9f9R21vMXxHZFNpYNeKFtG8_yji4HS352LGlSQ/edit?pli=1#gid=0"",""1_ACUM!A4:S""),11,FALSE))"),"")</f>
        <v/>
      </c>
      <c r="AV536" s="42" t="str">
        <f ca="1">IFERROR(__xludf.DUMMYFUNCTION("IFERROR(VLOOKUP(F597,IMPORTRANGE(""https://docs.google.com/spreadsheets/d/1Kvs4KS76FHFqLFIZfrDMff4kP08nblUkihrxltoGBjg/edit#gid=934712705"",""ESENCIAL!A6:BG""),15,FALSE))"),"")</f>
        <v/>
      </c>
    </row>
    <row r="537" spans="1:48" ht="15">
      <c r="A537" s="5"/>
      <c r="E537" s="66"/>
      <c r="F537" s="5" t="str">
        <f ca="1">IFERROR(__xludf.DUMMYFUNCTION("IFERROR(VLOOKUP(F598,IMPORTRANGE(""https://docs.google.com/spreadsheets/d/1Kvs4KS76FHFqLFIZfrDMff4kP08nblUkihrxltoGBjg/edit#gid=934712705"",""ESENCIAL!A6:BG""),3,FALSE))"),"")</f>
        <v/>
      </c>
      <c r="G537" s="5" t="str">
        <f ca="1">IFERROR(__xludf.DUMMYFUNCTION("IFERROR(VLOOKUP(F598,IMPORTRANGE(""https://docs.google.com/spreadsheets/d/1Kvs4KS76FHFqLFIZfrDMff4kP08nblUkihrxltoGBjg/edit#gid=934712705"",""ESENCIAL!A6:BG""),8,FALSE))"),"")</f>
        <v/>
      </c>
      <c r="K537" s="287"/>
      <c r="S537" s="66"/>
      <c r="T537" s="66"/>
      <c r="U537" s="66"/>
      <c r="AT537" s="41" t="str">
        <f>IF(D537&gt;0,IF(AND(#REF!=1,#REF!=1),"Procede_E_P","NO_CUMPLE"),"")</f>
        <v/>
      </c>
      <c r="AU537" s="5" t="str">
        <f ca="1">IFERROR(__xludf.DUMMYFUNCTION("IFERROR(VLOOKUP(E598&amp;F598,IMPORTRANGE(""https://docs.google.com/spreadsheets/d/1Uw7-A9f9R21vMXxHZFNpYNeKFtG8_yji4HS352LGlSQ/edit?pli=1#gid=0"",""1_ACUM!A4:S""),11,FALSE))"),"")</f>
        <v/>
      </c>
      <c r="AV537" s="42" t="str">
        <f ca="1">IFERROR(__xludf.DUMMYFUNCTION("IFERROR(VLOOKUP(F598,IMPORTRANGE(""https://docs.google.com/spreadsheets/d/1Kvs4KS76FHFqLFIZfrDMff4kP08nblUkihrxltoGBjg/edit#gid=934712705"",""ESENCIAL!A6:BG""),15,FALSE))"),"")</f>
        <v/>
      </c>
    </row>
    <row r="538" spans="1:48" ht="15">
      <c r="A538" s="5"/>
      <c r="E538" s="66"/>
      <c r="F538" s="5" t="str">
        <f ca="1">IFERROR(__xludf.DUMMYFUNCTION("IFERROR(VLOOKUP(F599,IMPORTRANGE(""https://docs.google.com/spreadsheets/d/1Kvs4KS76FHFqLFIZfrDMff4kP08nblUkihrxltoGBjg/edit#gid=934712705"",""ESENCIAL!A6:BG""),3,FALSE))"),"")</f>
        <v/>
      </c>
      <c r="G538" s="5" t="str">
        <f ca="1">IFERROR(__xludf.DUMMYFUNCTION("IFERROR(VLOOKUP(F599,IMPORTRANGE(""https://docs.google.com/spreadsheets/d/1Kvs4KS76FHFqLFIZfrDMff4kP08nblUkihrxltoGBjg/edit#gid=934712705"",""ESENCIAL!A6:BG""),8,FALSE))"),"")</f>
        <v/>
      </c>
      <c r="K538" s="287"/>
      <c r="S538" s="66"/>
      <c r="T538" s="66"/>
      <c r="U538" s="66"/>
      <c r="AT538" s="41" t="str">
        <f>IF(D538&gt;0,IF(AND(#REF!=1,#REF!=1),"Procede_E_P","NO_CUMPLE"),"")</f>
        <v/>
      </c>
      <c r="AU538" s="5" t="str">
        <f ca="1">IFERROR(__xludf.DUMMYFUNCTION("IFERROR(VLOOKUP(E599&amp;F599,IMPORTRANGE(""https://docs.google.com/spreadsheets/d/1Uw7-A9f9R21vMXxHZFNpYNeKFtG8_yji4HS352LGlSQ/edit?pli=1#gid=0"",""1_ACUM!A4:S""),11,FALSE))"),"")</f>
        <v/>
      </c>
      <c r="AV538" s="42" t="str">
        <f ca="1">IFERROR(__xludf.DUMMYFUNCTION("IFERROR(VLOOKUP(F599,IMPORTRANGE(""https://docs.google.com/spreadsheets/d/1Kvs4KS76FHFqLFIZfrDMff4kP08nblUkihrxltoGBjg/edit#gid=934712705"",""ESENCIAL!A6:BG""),15,FALSE))"),"")</f>
        <v/>
      </c>
    </row>
    <row r="539" spans="1:48" ht="15">
      <c r="A539" s="5"/>
      <c r="E539" s="66"/>
      <c r="F539" s="5" t="str">
        <f ca="1">IFERROR(__xludf.DUMMYFUNCTION("IFERROR(VLOOKUP(F600,IMPORTRANGE(""https://docs.google.com/spreadsheets/d/1Kvs4KS76FHFqLFIZfrDMff4kP08nblUkihrxltoGBjg/edit#gid=934712705"",""ESENCIAL!A6:BG""),3,FALSE))"),"")</f>
        <v/>
      </c>
      <c r="G539" s="5" t="str">
        <f ca="1">IFERROR(__xludf.DUMMYFUNCTION("IFERROR(VLOOKUP(F600,IMPORTRANGE(""https://docs.google.com/spreadsheets/d/1Kvs4KS76FHFqLFIZfrDMff4kP08nblUkihrxltoGBjg/edit#gid=934712705"",""ESENCIAL!A6:BG""),8,FALSE))"),"")</f>
        <v/>
      </c>
      <c r="K539" s="287"/>
      <c r="S539" s="66"/>
      <c r="T539" s="66"/>
      <c r="U539" s="66"/>
      <c r="AT539" s="41" t="str">
        <f>IF(D539&gt;0,IF(AND(#REF!=1,#REF!=1),"Procede_E_P","NO_CUMPLE"),"")</f>
        <v/>
      </c>
      <c r="AU539" s="5" t="str">
        <f ca="1">IFERROR(__xludf.DUMMYFUNCTION("IFERROR(VLOOKUP(E600&amp;F600,IMPORTRANGE(""https://docs.google.com/spreadsheets/d/1Uw7-A9f9R21vMXxHZFNpYNeKFtG8_yji4HS352LGlSQ/edit?pli=1#gid=0"",""1_ACUM!A4:S""),11,FALSE))"),"")</f>
        <v/>
      </c>
      <c r="AV539" s="42" t="str">
        <f ca="1">IFERROR(__xludf.DUMMYFUNCTION("IFERROR(VLOOKUP(F600,IMPORTRANGE(""https://docs.google.com/spreadsheets/d/1Kvs4KS76FHFqLFIZfrDMff4kP08nblUkihrxltoGBjg/edit#gid=934712705"",""ESENCIAL!A6:BG""),15,FALSE))"),"")</f>
        <v/>
      </c>
    </row>
    <row r="540" spans="1:48" ht="15">
      <c r="A540" s="5"/>
      <c r="E540" s="66"/>
      <c r="F540" s="5" t="str">
        <f ca="1">IFERROR(__xludf.DUMMYFUNCTION("IFERROR(VLOOKUP(F601,IMPORTRANGE(""https://docs.google.com/spreadsheets/d/1Kvs4KS76FHFqLFIZfrDMff4kP08nblUkihrxltoGBjg/edit#gid=934712705"",""ESENCIAL!A6:BG""),3,FALSE))"),"")</f>
        <v/>
      </c>
      <c r="G540" s="5" t="str">
        <f ca="1">IFERROR(__xludf.DUMMYFUNCTION("IFERROR(VLOOKUP(F601,IMPORTRANGE(""https://docs.google.com/spreadsheets/d/1Kvs4KS76FHFqLFIZfrDMff4kP08nblUkihrxltoGBjg/edit#gid=934712705"",""ESENCIAL!A6:BG""),8,FALSE))"),"")</f>
        <v/>
      </c>
      <c r="K540" s="287"/>
      <c r="S540" s="66"/>
      <c r="T540" s="66"/>
      <c r="U540" s="66"/>
      <c r="AT540" s="41" t="str">
        <f>IF(D540&gt;0,IF(AND(#REF!=1,#REF!=1),"Procede_E_P","NO_CUMPLE"),"")</f>
        <v/>
      </c>
      <c r="AU540" s="5" t="str">
        <f ca="1">IFERROR(__xludf.DUMMYFUNCTION("IFERROR(VLOOKUP(E601&amp;F601,IMPORTRANGE(""https://docs.google.com/spreadsheets/d/1Uw7-A9f9R21vMXxHZFNpYNeKFtG8_yji4HS352LGlSQ/edit?pli=1#gid=0"",""1_ACUM!A4:S""),11,FALSE))"),"")</f>
        <v/>
      </c>
      <c r="AV540" s="42" t="str">
        <f ca="1">IFERROR(__xludf.DUMMYFUNCTION("IFERROR(VLOOKUP(F601,IMPORTRANGE(""https://docs.google.com/spreadsheets/d/1Kvs4KS76FHFqLFIZfrDMff4kP08nblUkihrxltoGBjg/edit#gid=934712705"",""ESENCIAL!A6:BG""),15,FALSE))"),"")</f>
        <v/>
      </c>
    </row>
    <row r="541" spans="1:48" ht="15">
      <c r="A541" s="5"/>
      <c r="E541" s="66"/>
      <c r="F541" s="5" t="str">
        <f ca="1">IFERROR(__xludf.DUMMYFUNCTION("IFERROR(VLOOKUP(F602,IMPORTRANGE(""https://docs.google.com/spreadsheets/d/1Kvs4KS76FHFqLFIZfrDMff4kP08nblUkihrxltoGBjg/edit#gid=934712705"",""ESENCIAL!A6:BG""),3,FALSE))"),"")</f>
        <v/>
      </c>
      <c r="G541" s="5" t="str">
        <f ca="1">IFERROR(__xludf.DUMMYFUNCTION("IFERROR(VLOOKUP(F602,IMPORTRANGE(""https://docs.google.com/spreadsheets/d/1Kvs4KS76FHFqLFIZfrDMff4kP08nblUkihrxltoGBjg/edit#gid=934712705"",""ESENCIAL!A6:BG""),8,FALSE))"),"")</f>
        <v/>
      </c>
      <c r="K541" s="287"/>
      <c r="S541" s="66"/>
      <c r="T541" s="66"/>
      <c r="U541" s="66"/>
      <c r="AT541" s="41" t="str">
        <f>IF(D541&gt;0,IF(AND(#REF!=1,#REF!=1),"Procede_E_P","NO_CUMPLE"),"")</f>
        <v/>
      </c>
      <c r="AU541" s="5" t="str">
        <f ca="1">IFERROR(__xludf.DUMMYFUNCTION("IFERROR(VLOOKUP(E602&amp;F602,IMPORTRANGE(""https://docs.google.com/spreadsheets/d/1Uw7-A9f9R21vMXxHZFNpYNeKFtG8_yji4HS352LGlSQ/edit?pli=1#gid=0"",""1_ACUM!A4:S""),11,FALSE))"),"")</f>
        <v/>
      </c>
      <c r="AV541" s="42" t="str">
        <f ca="1">IFERROR(__xludf.DUMMYFUNCTION("IFERROR(VLOOKUP(F602,IMPORTRANGE(""https://docs.google.com/spreadsheets/d/1Kvs4KS76FHFqLFIZfrDMff4kP08nblUkihrxltoGBjg/edit#gid=934712705"",""ESENCIAL!A6:BG""),15,FALSE))"),"")</f>
        <v/>
      </c>
    </row>
    <row r="542" spans="1:48" ht="15">
      <c r="A542" s="5"/>
      <c r="E542" s="66"/>
      <c r="F542" s="5" t="str">
        <f ca="1">IFERROR(__xludf.DUMMYFUNCTION("IFERROR(VLOOKUP(F603,IMPORTRANGE(""https://docs.google.com/spreadsheets/d/1Kvs4KS76FHFqLFIZfrDMff4kP08nblUkihrxltoGBjg/edit#gid=934712705"",""ESENCIAL!A6:BG""),3,FALSE))"),"")</f>
        <v/>
      </c>
      <c r="G542" s="5" t="str">
        <f ca="1">IFERROR(__xludf.DUMMYFUNCTION("IFERROR(VLOOKUP(F603,IMPORTRANGE(""https://docs.google.com/spreadsheets/d/1Kvs4KS76FHFqLFIZfrDMff4kP08nblUkihrxltoGBjg/edit#gid=934712705"",""ESENCIAL!A6:BG""),8,FALSE))"),"")</f>
        <v/>
      </c>
      <c r="K542" s="287"/>
      <c r="S542" s="66"/>
      <c r="T542" s="66"/>
      <c r="U542" s="66"/>
      <c r="AT542" s="41" t="str">
        <f>IF(D542&gt;0,IF(AND(#REF!=1,#REF!=1),"Procede_E_P","NO_CUMPLE"),"")</f>
        <v/>
      </c>
      <c r="AU542" s="5" t="str">
        <f ca="1">IFERROR(__xludf.DUMMYFUNCTION("IFERROR(VLOOKUP(E603&amp;F603,IMPORTRANGE(""https://docs.google.com/spreadsheets/d/1Uw7-A9f9R21vMXxHZFNpYNeKFtG8_yji4HS352LGlSQ/edit?pli=1#gid=0"",""1_ACUM!A4:S""),11,FALSE))"),"")</f>
        <v/>
      </c>
      <c r="AV542" s="42" t="str">
        <f ca="1">IFERROR(__xludf.DUMMYFUNCTION("IFERROR(VLOOKUP(F603,IMPORTRANGE(""https://docs.google.com/spreadsheets/d/1Kvs4KS76FHFqLFIZfrDMff4kP08nblUkihrxltoGBjg/edit#gid=934712705"",""ESENCIAL!A6:BG""),15,FALSE))"),"")</f>
        <v/>
      </c>
    </row>
    <row r="543" spans="1:48" ht="15">
      <c r="A543" s="5"/>
      <c r="E543" s="66"/>
      <c r="F543" s="5" t="str">
        <f ca="1">IFERROR(__xludf.DUMMYFUNCTION("IFERROR(VLOOKUP(F604,IMPORTRANGE(""https://docs.google.com/spreadsheets/d/1Kvs4KS76FHFqLFIZfrDMff4kP08nblUkihrxltoGBjg/edit#gid=934712705"",""ESENCIAL!A6:BG""),3,FALSE))"),"")</f>
        <v/>
      </c>
      <c r="G543" s="5" t="str">
        <f ca="1">IFERROR(__xludf.DUMMYFUNCTION("IFERROR(VLOOKUP(F604,IMPORTRANGE(""https://docs.google.com/spreadsheets/d/1Kvs4KS76FHFqLFIZfrDMff4kP08nblUkihrxltoGBjg/edit#gid=934712705"",""ESENCIAL!A6:BG""),8,FALSE))"),"")</f>
        <v/>
      </c>
      <c r="K543" s="287"/>
      <c r="S543" s="66"/>
      <c r="T543" s="66"/>
      <c r="U543" s="66"/>
      <c r="AT543" s="41" t="str">
        <f>IF(D543&gt;0,IF(AND(#REF!=1,#REF!=1),"Procede_E_P","NO_CUMPLE"),"")</f>
        <v/>
      </c>
      <c r="AU543" s="5" t="str">
        <f ca="1">IFERROR(__xludf.DUMMYFUNCTION("IFERROR(VLOOKUP(E604&amp;F604,IMPORTRANGE(""https://docs.google.com/spreadsheets/d/1Uw7-A9f9R21vMXxHZFNpYNeKFtG8_yji4HS352LGlSQ/edit?pli=1#gid=0"",""1_ACUM!A4:S""),11,FALSE))"),"")</f>
        <v/>
      </c>
      <c r="AV543" s="42" t="str">
        <f ca="1">IFERROR(__xludf.DUMMYFUNCTION("IFERROR(VLOOKUP(F604,IMPORTRANGE(""https://docs.google.com/spreadsheets/d/1Kvs4KS76FHFqLFIZfrDMff4kP08nblUkihrxltoGBjg/edit#gid=934712705"",""ESENCIAL!A6:BG""),15,FALSE))"),"")</f>
        <v/>
      </c>
    </row>
    <row r="544" spans="1:48" ht="15">
      <c r="A544" s="5"/>
      <c r="E544" s="66"/>
      <c r="F544" s="5" t="str">
        <f ca="1">IFERROR(__xludf.DUMMYFUNCTION("IFERROR(VLOOKUP(F605,IMPORTRANGE(""https://docs.google.com/spreadsheets/d/1Kvs4KS76FHFqLFIZfrDMff4kP08nblUkihrxltoGBjg/edit#gid=934712705"",""ESENCIAL!A6:BG""),3,FALSE))"),"")</f>
        <v/>
      </c>
      <c r="G544" s="5" t="str">
        <f ca="1">IFERROR(__xludf.DUMMYFUNCTION("IFERROR(VLOOKUP(F605,IMPORTRANGE(""https://docs.google.com/spreadsheets/d/1Kvs4KS76FHFqLFIZfrDMff4kP08nblUkihrxltoGBjg/edit#gid=934712705"",""ESENCIAL!A6:BG""),8,FALSE))"),"")</f>
        <v/>
      </c>
      <c r="K544" s="287"/>
      <c r="S544" s="66"/>
      <c r="T544" s="66"/>
      <c r="U544" s="66"/>
      <c r="AT544" s="41" t="str">
        <f>IF(D544&gt;0,IF(AND(#REF!=1,#REF!=1),"Procede_E_P","NO_CUMPLE"),"")</f>
        <v/>
      </c>
      <c r="AU544" s="5" t="str">
        <f ca="1">IFERROR(__xludf.DUMMYFUNCTION("IFERROR(VLOOKUP(E605&amp;F605,IMPORTRANGE(""https://docs.google.com/spreadsheets/d/1Uw7-A9f9R21vMXxHZFNpYNeKFtG8_yji4HS352LGlSQ/edit?pli=1#gid=0"",""1_ACUM!A4:S""),11,FALSE))"),"")</f>
        <v/>
      </c>
      <c r="AV544" s="42" t="str">
        <f ca="1">IFERROR(__xludf.DUMMYFUNCTION("IFERROR(VLOOKUP(F605,IMPORTRANGE(""https://docs.google.com/spreadsheets/d/1Kvs4KS76FHFqLFIZfrDMff4kP08nblUkihrxltoGBjg/edit#gid=934712705"",""ESENCIAL!A6:BG""),15,FALSE))"),"")</f>
        <v/>
      </c>
    </row>
    <row r="545" spans="11:11" ht="15.75" customHeight="1">
      <c r="K545" s="287"/>
    </row>
    <row r="546" spans="11:11" ht="15.75" customHeight="1">
      <c r="K546" s="287"/>
    </row>
    <row r="547" spans="11:11" ht="15.75" customHeight="1">
      <c r="K547" s="287"/>
    </row>
    <row r="548" spans="11:11" ht="15.75" customHeight="1">
      <c r="K548" s="287"/>
    </row>
    <row r="549" spans="11:11" ht="15.75" customHeight="1">
      <c r="K549" s="287"/>
    </row>
    <row r="550" spans="11:11" ht="15.75" customHeight="1">
      <c r="K550" s="287"/>
    </row>
    <row r="551" spans="11:11" ht="15.75" customHeight="1">
      <c r="K551" s="287"/>
    </row>
    <row r="552" spans="11:11" ht="15.75" customHeight="1">
      <c r="K552" s="287"/>
    </row>
    <row r="553" spans="11:11" ht="15.75" customHeight="1">
      <c r="K553" s="287"/>
    </row>
    <row r="554" spans="11:11" ht="15.75" customHeight="1">
      <c r="K554" s="287"/>
    </row>
    <row r="555" spans="11:11" ht="15.75" customHeight="1">
      <c r="K555" s="287"/>
    </row>
    <row r="556" spans="11:11" ht="15.75" customHeight="1">
      <c r="K556" s="287"/>
    </row>
    <row r="557" spans="11:11" ht="15.75" customHeight="1">
      <c r="K557" s="287"/>
    </row>
    <row r="558" spans="11:11" ht="15.75" customHeight="1">
      <c r="K558" s="287"/>
    </row>
    <row r="559" spans="11:11" ht="15.75" customHeight="1">
      <c r="K559" s="287"/>
    </row>
    <row r="560" spans="11:11" ht="15.75" customHeight="1">
      <c r="K560" s="287"/>
    </row>
    <row r="561" spans="11:11" ht="15.75" customHeight="1">
      <c r="K561" s="287"/>
    </row>
    <row r="562" spans="11:11" ht="15.75" customHeight="1">
      <c r="K562" s="287"/>
    </row>
    <row r="563" spans="11:11" ht="15.75" customHeight="1">
      <c r="K563" s="287"/>
    </row>
    <row r="564" spans="11:11" ht="15.75" customHeight="1">
      <c r="K564" s="287"/>
    </row>
    <row r="565" spans="11:11" ht="15.75" customHeight="1">
      <c r="K565" s="287"/>
    </row>
    <row r="566" spans="11:11" ht="15.75" customHeight="1">
      <c r="K566" s="287"/>
    </row>
    <row r="567" spans="11:11" ht="15.75" customHeight="1">
      <c r="K567" s="287"/>
    </row>
    <row r="568" spans="11:11" ht="15.75" customHeight="1">
      <c r="K568" s="287"/>
    </row>
    <row r="569" spans="11:11" ht="15.75" customHeight="1">
      <c r="K569" s="287"/>
    </row>
    <row r="570" spans="11:11" ht="15.75" customHeight="1">
      <c r="K570" s="287"/>
    </row>
    <row r="571" spans="11:11" ht="15.75" customHeight="1">
      <c r="K571" s="287"/>
    </row>
    <row r="572" spans="11:11" ht="15.75" customHeight="1">
      <c r="K572" s="287"/>
    </row>
    <row r="573" spans="11:11" ht="15.75" customHeight="1">
      <c r="K573" s="287"/>
    </row>
    <row r="574" spans="11:11" ht="15.75" customHeight="1">
      <c r="K574" s="287"/>
    </row>
    <row r="575" spans="11:11" ht="15.75" customHeight="1">
      <c r="K575" s="287"/>
    </row>
    <row r="576" spans="11:11" ht="15.75" customHeight="1">
      <c r="K576" s="287"/>
    </row>
    <row r="577" spans="11:11" ht="15.75" customHeight="1">
      <c r="K577" s="287"/>
    </row>
    <row r="578" spans="11:11" ht="15.75" customHeight="1">
      <c r="K578" s="287"/>
    </row>
    <row r="579" spans="11:11" ht="15.75" customHeight="1">
      <c r="K579" s="287"/>
    </row>
    <row r="580" spans="11:11" ht="15.75" customHeight="1">
      <c r="K580" s="287"/>
    </row>
    <row r="581" spans="11:11" ht="15.75" customHeight="1">
      <c r="K581" s="287"/>
    </row>
    <row r="582" spans="11:11" ht="15.75" customHeight="1">
      <c r="K582" s="287"/>
    </row>
    <row r="583" spans="11:11" ht="15.75" customHeight="1">
      <c r="K583" s="287"/>
    </row>
    <row r="584" spans="11:11" ht="15.75" customHeight="1">
      <c r="K584" s="287"/>
    </row>
    <row r="585" spans="11:11" ht="15.75" customHeight="1">
      <c r="K585" s="287"/>
    </row>
    <row r="586" spans="11:11" ht="15.75" customHeight="1">
      <c r="K586" s="287"/>
    </row>
    <row r="587" spans="11:11" ht="15.75" customHeight="1">
      <c r="K587" s="287"/>
    </row>
    <row r="588" spans="11:11" ht="15.75" customHeight="1">
      <c r="K588" s="287"/>
    </row>
    <row r="589" spans="11:11" ht="15.75" customHeight="1">
      <c r="K589" s="287"/>
    </row>
    <row r="590" spans="11:11" ht="15.75" customHeight="1">
      <c r="K590" s="287"/>
    </row>
    <row r="591" spans="11:11" ht="15.75" customHeight="1">
      <c r="K591" s="287"/>
    </row>
    <row r="592" spans="11:11" ht="15.75" customHeight="1">
      <c r="K592" s="287"/>
    </row>
    <row r="593" spans="11:11" ht="15.75" customHeight="1">
      <c r="K593" s="287"/>
    </row>
    <row r="594" spans="11:11" ht="15.75" customHeight="1">
      <c r="K594" s="287"/>
    </row>
    <row r="595" spans="11:11" ht="15.75" customHeight="1">
      <c r="K595" s="287"/>
    </row>
    <row r="596" spans="11:11" ht="15.75" customHeight="1">
      <c r="K596" s="287"/>
    </row>
    <row r="597" spans="11:11" ht="15.75" customHeight="1">
      <c r="K597" s="287"/>
    </row>
    <row r="598" spans="11:11" ht="15.75" customHeight="1">
      <c r="K598" s="287"/>
    </row>
    <row r="599" spans="11:11" ht="15.75" customHeight="1">
      <c r="K599" s="287"/>
    </row>
    <row r="600" spans="11:11" ht="15.75" customHeight="1">
      <c r="K600" s="287"/>
    </row>
    <row r="601" spans="11:11" ht="15.75" customHeight="1">
      <c r="K601" s="287"/>
    </row>
    <row r="602" spans="11:11" ht="15.75" customHeight="1">
      <c r="K602" s="287"/>
    </row>
    <row r="603" spans="11:11" ht="15.75" customHeight="1">
      <c r="K603" s="287"/>
    </row>
    <row r="604" spans="11:11" ht="15.75" customHeight="1">
      <c r="K604" s="287"/>
    </row>
    <row r="605" spans="11:11" ht="15.75" customHeight="1">
      <c r="K605" s="287"/>
    </row>
    <row r="606" spans="11:11" ht="15.75" customHeight="1">
      <c r="K606" s="287"/>
    </row>
    <row r="607" spans="11:11" ht="15.75" customHeight="1">
      <c r="K607" s="287"/>
    </row>
    <row r="608" spans="11:11" ht="15.75" customHeight="1">
      <c r="K608" s="287"/>
    </row>
    <row r="609" spans="11:11" ht="15.75" customHeight="1">
      <c r="K609" s="287"/>
    </row>
    <row r="610" spans="11:11" ht="15.75" customHeight="1">
      <c r="K610" s="287"/>
    </row>
    <row r="611" spans="11:11" ht="15.75" customHeight="1">
      <c r="K611" s="287"/>
    </row>
    <row r="612" spans="11:11" ht="15.75" customHeight="1">
      <c r="K612" s="287"/>
    </row>
    <row r="613" spans="11:11" ht="15.75" customHeight="1">
      <c r="K613" s="287"/>
    </row>
    <row r="614" spans="11:11" ht="15.75" customHeight="1">
      <c r="K614" s="287"/>
    </row>
    <row r="615" spans="11:11" ht="15.75" customHeight="1">
      <c r="K615" s="287"/>
    </row>
    <row r="616" spans="11:11" ht="15.75" customHeight="1">
      <c r="K616" s="287"/>
    </row>
    <row r="617" spans="11:11" ht="15.75" customHeight="1">
      <c r="K617" s="287"/>
    </row>
    <row r="618" spans="11:11" ht="15.75" customHeight="1">
      <c r="K618" s="287"/>
    </row>
    <row r="619" spans="11:11" ht="15.75" customHeight="1">
      <c r="K619" s="287"/>
    </row>
    <row r="620" spans="11:11" ht="15.75" customHeight="1">
      <c r="K620" s="287"/>
    </row>
    <row r="621" spans="11:11" ht="15.75" customHeight="1">
      <c r="K621" s="287"/>
    </row>
    <row r="622" spans="11:11" ht="15.75" customHeight="1">
      <c r="K622" s="287"/>
    </row>
    <row r="623" spans="11:11" ht="15.75" customHeight="1">
      <c r="K623" s="287"/>
    </row>
    <row r="624" spans="11:11" ht="15.75" customHeight="1">
      <c r="K624" s="287"/>
    </row>
    <row r="625" spans="11:11" ht="15.75" customHeight="1">
      <c r="K625" s="287"/>
    </row>
    <row r="626" spans="11:11" ht="15.75" customHeight="1">
      <c r="K626" s="287"/>
    </row>
    <row r="627" spans="11:11" ht="15.75" customHeight="1">
      <c r="K627" s="287"/>
    </row>
    <row r="628" spans="11:11" ht="15.75" customHeight="1">
      <c r="K628" s="287"/>
    </row>
    <row r="629" spans="11:11" ht="15.75" customHeight="1">
      <c r="K629" s="287"/>
    </row>
    <row r="630" spans="11:11" ht="15.75" customHeight="1">
      <c r="K630" s="287"/>
    </row>
    <row r="631" spans="11:11" ht="15.75" customHeight="1">
      <c r="K631" s="287"/>
    </row>
    <row r="632" spans="11:11" ht="15.75" customHeight="1">
      <c r="K632" s="287"/>
    </row>
    <row r="633" spans="11:11" ht="15.75" customHeight="1">
      <c r="K633" s="287"/>
    </row>
    <row r="634" spans="11:11" ht="15.75" customHeight="1">
      <c r="K634" s="287"/>
    </row>
    <row r="635" spans="11:11" ht="15.75" customHeight="1">
      <c r="K635" s="287"/>
    </row>
    <row r="636" spans="11:11" ht="15.75" customHeight="1">
      <c r="K636" s="287"/>
    </row>
    <row r="637" spans="11:11" ht="15.75" customHeight="1">
      <c r="K637" s="287"/>
    </row>
    <row r="638" spans="11:11" ht="15.75" customHeight="1">
      <c r="K638" s="287"/>
    </row>
    <row r="639" spans="11:11" ht="15.75" customHeight="1">
      <c r="K639" s="287"/>
    </row>
    <row r="640" spans="11:11" ht="15.75" customHeight="1">
      <c r="K640" s="287"/>
    </row>
    <row r="641" spans="11:11" ht="15.75" customHeight="1">
      <c r="K641" s="287"/>
    </row>
    <row r="642" spans="11:11" ht="15.75" customHeight="1">
      <c r="K642" s="287"/>
    </row>
    <row r="643" spans="11:11" ht="15.75" customHeight="1">
      <c r="K643" s="287"/>
    </row>
    <row r="644" spans="11:11" ht="15.75" customHeight="1">
      <c r="K644" s="287"/>
    </row>
    <row r="645" spans="11:11" ht="15.75" customHeight="1">
      <c r="K645" s="287"/>
    </row>
    <row r="646" spans="11:11" ht="15.75" customHeight="1">
      <c r="K646" s="287"/>
    </row>
    <row r="647" spans="11:11" ht="15.75" customHeight="1">
      <c r="K647" s="287"/>
    </row>
    <row r="648" spans="11:11" ht="15.75" customHeight="1">
      <c r="K648" s="287"/>
    </row>
    <row r="649" spans="11:11" ht="15.75" customHeight="1">
      <c r="K649" s="287"/>
    </row>
    <row r="650" spans="11:11" ht="15.75" customHeight="1">
      <c r="K650" s="287"/>
    </row>
    <row r="651" spans="11:11" ht="15.75" customHeight="1">
      <c r="K651" s="287"/>
    </row>
    <row r="652" spans="11:11" ht="15.75" customHeight="1">
      <c r="K652" s="287"/>
    </row>
    <row r="653" spans="11:11" ht="15.75" customHeight="1">
      <c r="K653" s="287"/>
    </row>
    <row r="654" spans="11:11" ht="15.75" customHeight="1">
      <c r="K654" s="287"/>
    </row>
    <row r="655" spans="11:11" ht="15.75" customHeight="1">
      <c r="K655" s="287"/>
    </row>
    <row r="656" spans="11:11" ht="15.75" customHeight="1">
      <c r="K656" s="287"/>
    </row>
    <row r="657" spans="11:11" ht="15.75" customHeight="1">
      <c r="K657" s="287"/>
    </row>
    <row r="658" spans="11:11" ht="15.75" customHeight="1">
      <c r="K658" s="287"/>
    </row>
    <row r="659" spans="11:11" ht="15.75" customHeight="1">
      <c r="K659" s="287"/>
    </row>
    <row r="660" spans="11:11" ht="15.75" customHeight="1">
      <c r="K660" s="287"/>
    </row>
    <row r="661" spans="11:11" ht="15.75" customHeight="1">
      <c r="K661" s="287"/>
    </row>
    <row r="662" spans="11:11" ht="15.75" customHeight="1">
      <c r="K662" s="287"/>
    </row>
    <row r="663" spans="11:11" ht="15.75" customHeight="1">
      <c r="K663" s="287"/>
    </row>
    <row r="664" spans="11:11" ht="15.75" customHeight="1">
      <c r="K664" s="287"/>
    </row>
    <row r="665" spans="11:11" ht="15.75" customHeight="1">
      <c r="K665" s="287"/>
    </row>
    <row r="666" spans="11:11" ht="15.75" customHeight="1">
      <c r="K666" s="287"/>
    </row>
    <row r="667" spans="11:11" ht="15.75" customHeight="1">
      <c r="K667" s="287"/>
    </row>
    <row r="668" spans="11:11" ht="15.75" customHeight="1">
      <c r="K668" s="287"/>
    </row>
    <row r="669" spans="11:11" ht="15.75" customHeight="1">
      <c r="K669" s="287"/>
    </row>
    <row r="670" spans="11:11" ht="15.75" customHeight="1">
      <c r="K670" s="287"/>
    </row>
    <row r="671" spans="11:11" ht="15.75" customHeight="1">
      <c r="K671" s="287"/>
    </row>
    <row r="672" spans="11:11" ht="15.75" customHeight="1">
      <c r="K672" s="287"/>
    </row>
    <row r="673" spans="11:11" ht="15.75" customHeight="1">
      <c r="K673" s="287"/>
    </row>
    <row r="674" spans="11:11" ht="15.75" customHeight="1">
      <c r="K674" s="287"/>
    </row>
    <row r="675" spans="11:11" ht="15.75" customHeight="1">
      <c r="K675" s="287"/>
    </row>
    <row r="676" spans="11:11" ht="15.75" customHeight="1">
      <c r="K676" s="287"/>
    </row>
    <row r="677" spans="11:11" ht="15.75" customHeight="1">
      <c r="K677" s="287"/>
    </row>
    <row r="678" spans="11:11" ht="15.75" customHeight="1">
      <c r="K678" s="287"/>
    </row>
    <row r="679" spans="11:11" ht="15.75" customHeight="1">
      <c r="K679" s="287"/>
    </row>
    <row r="680" spans="11:11" ht="15.75" customHeight="1">
      <c r="K680" s="287"/>
    </row>
    <row r="681" spans="11:11" ht="15.75" customHeight="1">
      <c r="K681" s="287"/>
    </row>
    <row r="682" spans="11:11" ht="15.75" customHeight="1">
      <c r="K682" s="287"/>
    </row>
    <row r="683" spans="11:11" ht="15.75" customHeight="1">
      <c r="K683" s="287"/>
    </row>
    <row r="684" spans="11:11" ht="15.75" customHeight="1">
      <c r="K684" s="287"/>
    </row>
    <row r="685" spans="11:11" ht="15.75" customHeight="1">
      <c r="K685" s="287"/>
    </row>
    <row r="686" spans="11:11" ht="15.75" customHeight="1">
      <c r="K686" s="287"/>
    </row>
    <row r="687" spans="11:11" ht="15.75" customHeight="1">
      <c r="K687" s="287"/>
    </row>
    <row r="688" spans="11:11" ht="15.75" customHeight="1">
      <c r="K688" s="287"/>
    </row>
    <row r="689" spans="11:11" ht="15.75" customHeight="1">
      <c r="K689" s="287"/>
    </row>
    <row r="690" spans="11:11" ht="15.75" customHeight="1">
      <c r="K690" s="287"/>
    </row>
    <row r="691" spans="11:11" ht="15.75" customHeight="1">
      <c r="K691" s="287"/>
    </row>
  </sheetData>
  <customSheetViews>
    <customSheetView guid="{1595741D-5B83-4B67-A5B8-38E51C4A1B31}" filter="1" showAutoFilter="1">
      <pageMargins left="0" right="0" top="0" bottom="0" header="0" footer="0"/>
      <autoFilter ref="A2:BA605" xr:uid="{060B30E1-62EE-A546-83FD-0710E33E6CC0}">
        <filterColumn colId="3">
          <filters blank="1">
            <filter val="TI"/>
          </filters>
        </filterColumn>
        <filterColumn colId="11">
          <filters blank="1">
            <filter val="NO HA INICIADO ETAPA PRODUCTIVA"/>
            <filter val="NO TIENE LEGALIZACIÓN"/>
          </filters>
        </filterColumn>
      </autoFilter>
    </customSheetView>
    <customSheetView guid="{58B89FF3-C647-47FD-9CC2-FAEF34225D14}" filter="1" showAutoFilter="1">
      <pageMargins left="0" right="0" top="0" bottom="0" header="0" footer="0"/>
      <autoFilter ref="A2:BA605" xr:uid="{FC0FFE66-8179-6540-AE43-0625F0912AC8}"/>
    </customSheetView>
    <customSheetView guid="{EAC82E0D-75FA-41B7-8B62-97FB6A6849EA}" filter="1" showAutoFilter="1">
      <pageMargins left="0" right="0" top="0" bottom="0" header="0" footer="0"/>
      <autoFilter ref="A2:BA605" xr:uid="{2087010B-A63E-5F45-908C-01397E177BF8}">
        <sortState xmlns:xlrd2="http://schemas.microsoft.com/office/spreadsheetml/2017/richdata2" ref="A2:BA605">
          <sortCondition descending="1" sortBy="cellColor" ref="C2:C605"/>
        </sortState>
      </autoFilter>
    </customSheetView>
    <customSheetView guid="{F538DE6E-16F6-4729-8AE2-7E15099C785E}" filter="1" showAutoFilter="1">
      <pageMargins left="0" right="0" top="0" bottom="0" header="0" footer="0"/>
      <autoFilter ref="A2:BA605" xr:uid="{1DA067A6-3A83-C74C-8372-02863DA6234D}">
        <filterColumn colId="3">
          <filters>
            <filter val="CC"/>
            <filter val="TI"/>
          </filters>
        </filterColumn>
        <filterColumn colId="11">
          <filters blank="1">
            <filter val="NO HA INICIADO ETAPA PRODUCTIVA"/>
            <filter val="NO TIENE LEGALIZACIÓN"/>
          </filters>
        </filterColumn>
      </autoFilter>
    </customSheetView>
    <customSheetView guid="{84E55A85-4999-488C-B8FB-CF76BA148A0B}" filter="1" showAutoFilter="1">
      <pageMargins left="0" right="0" top="0" bottom="0" header="0" footer="0"/>
      <autoFilter ref="A2:BA605" xr:uid="{4F8CE5FB-6C6B-A344-9926-02D6A9DD226E}">
        <filterColumn colId="11">
          <filters blank="1">
            <filter val="CONTRATO DE APRENDIZAJE"/>
            <filter val="NO HA INICIADO ETAPA PRODUCTIVA"/>
            <filter val="NO TIENE LEGALIZACIÓN"/>
          </filters>
        </filterColumn>
      </autoFilter>
    </customSheetView>
  </customSheetViews>
  <mergeCells count="3">
    <mergeCell ref="B1:K1"/>
    <mergeCell ref="L1:P1"/>
    <mergeCell ref="Q1:S1"/>
  </mergeCells>
  <dataValidations count="2">
    <dataValidation type="list" allowBlank="1" showInputMessage="1" showErrorMessage="1" prompt="Haz clic e introduce un valor de la lista de elementos" sqref="K115 K105:K113 K101:K103 K128 K67:K90 K11 K17 K21 K25 K32 K36:K37 K43:K47 K49 K51:K53 K3:K4" xr:uid="{00000000-0002-0000-0100-000000000000}">
      <formula1>"UNIDAD PRODUCTIVA,CONTRATO DE APRENDIZAJE,NO HA INICIADO ETAPA PRODUCTIVA,NO TIENE LEGALIZACIÓN,NO VA A RELIZAR ETAPA PRODUCTIVA,PASANTÍAS,PENDIENTE,PROYECTO PRODUCTIVO,PRODUCTIVO,RENUNCIO A CONTRATO DE APRENDIZAJE,RETIRO DE SU ETAPA PRODUCTIVA,RETIRO VOL"&amp;"UNTARIO,SI REALIZO PRACTICAS,TERMINADO,TERMINO CONTRATO DE APRENDIZAJE,TRABAJADOR(A) INDEPENDIENTE,VINCULACIÓN LABORAL"</formula1>
    </dataValidation>
    <dataValidation type="list" allowBlank="1" showInputMessage="1" showErrorMessage="1" sqref="K5:K10 K12:K16 K18:K20 K22:K24 K26:K31 K33:K35 K38:K42 K48 K50 K91:K100 K104 K114 K119:K121 K124:K125 K129 K131 K135 K138:K691 K54:K66" xr:uid="{5A5D6C7D-6FF8-42A9-B42A-0B8BE28A5CCA}">
      <formula1>"CONTRATO DE APRENDIZAJE,NO HA INICIADO ETAPA PRODUCTIVA,PASANTÍAS,PROYECTO PRODUCTIVO,RENUNCIO A CONTRATO DE APRENDIZAJE,TERMINADO,TERMINADO EL CONTRATO,VINCULACIÓN LABORAL"</formula1>
    </dataValidation>
  </dataValidations>
  <hyperlinks>
    <hyperlink ref="P117" r:id="rId1" xr:uid="{E02A474A-B272-44E7-A0CC-BE4DCC37DA5D}"/>
    <hyperlink ref="P118" r:id="rId2" xr:uid="{A67EBED8-01F0-48AB-9252-C4D1B128DFBF}"/>
    <hyperlink ref="P119" r:id="rId3" xr:uid="{EF7C2F84-CDB2-4209-8C23-21EE6240F71B}"/>
    <hyperlink ref="P123" r:id="rId4" xr:uid="{28CE68C2-B428-4AF5-A1F3-ACD0ABC990F3}"/>
    <hyperlink ref="P124" r:id="rId5" xr:uid="{0D46D28F-A1A8-4A38-BDE5-E097F35D3BFF}"/>
    <hyperlink ref="P127" r:id="rId6" xr:uid="{32D4F68B-8C1E-4042-9D40-E7BE4152E4E6}"/>
    <hyperlink ref="P128" r:id="rId7" xr:uid="{5763FAA6-8F21-4DF6-A63E-0B779E81890E}"/>
    <hyperlink ref="P130" r:id="rId8" xr:uid="{89F191C5-22BF-4BA8-85CC-C8F52498B6AF}"/>
    <hyperlink ref="P132" r:id="rId9" xr:uid="{B3E1F95E-5F2E-4F08-8F1D-259F43FCE3DF}"/>
    <hyperlink ref="P133" r:id="rId10" xr:uid="{DEA399B4-7CAC-4DE6-A17C-2688A10EE0AA}"/>
    <hyperlink ref="P134" r:id="rId11" xr:uid="{B4663E57-2F4A-4D20-B015-34E287DDEBD2}"/>
    <hyperlink ref="P136" r:id="rId12" xr:uid="{7181C68D-A652-435F-9D29-F734781F6122}"/>
    <hyperlink ref="P137" r:id="rId13" xr:uid="{FD783E9C-80F0-428E-B423-BDC0E66DFA6B}"/>
    <hyperlink ref="I8" r:id="rId14" xr:uid="{A41AC57C-75E5-40C3-9878-65F5CC33A271}"/>
    <hyperlink ref="I13" r:id="rId15" xr:uid="{F805A2EC-2383-4EAA-9927-EAC5F4FA33F2}"/>
    <hyperlink ref="I120" r:id="rId16" xr:uid="{39230531-BE1A-4955-A8F8-E010E680C37B}"/>
  </hyperlinks>
  <pageMargins left="0" right="0" top="0" bottom="0" header="0" footer="0"/>
  <tableParts count="1">
    <tablePart r:id="rId1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V957"/>
  <sheetViews>
    <sheetView workbookViewId="0">
      <selection activeCell="C7" sqref="C7"/>
    </sheetView>
  </sheetViews>
  <sheetFormatPr baseColWidth="10" defaultColWidth="12.5" defaultRowHeight="15.75" customHeight="1"/>
  <cols>
    <col min="1" max="1" width="23.5" customWidth="1"/>
    <col min="2" max="2" width="12.5" customWidth="1"/>
    <col min="3" max="3" width="33.5" customWidth="1"/>
    <col min="4" max="4" width="6.83203125" customWidth="1"/>
    <col min="5" max="5" width="17.5" customWidth="1"/>
    <col min="6" max="7" width="14.1640625" customWidth="1"/>
    <col min="8" max="8" width="34.83203125" customWidth="1"/>
    <col min="9" max="9" width="21.83203125" customWidth="1"/>
    <col min="10" max="10" width="26.5" customWidth="1"/>
    <col min="11" max="11" width="27.33203125" customWidth="1"/>
    <col min="12" max="12" width="26.33203125" customWidth="1"/>
    <col min="13" max="13" width="39.5" customWidth="1"/>
    <col min="14" max="14" width="26.83203125" customWidth="1"/>
    <col min="15" max="15" width="18.5" customWidth="1"/>
    <col min="16" max="16" width="22" customWidth="1"/>
    <col min="17" max="17" width="46.83203125" customWidth="1"/>
    <col min="18" max="18" width="26.83203125" customWidth="1"/>
    <col min="19" max="19" width="24.5" customWidth="1"/>
    <col min="20" max="20" width="52.5" customWidth="1"/>
    <col min="21" max="21" width="25.33203125" customWidth="1"/>
    <col min="22" max="22" width="26.5" customWidth="1"/>
  </cols>
  <sheetData>
    <row r="1" spans="1:22" ht="15">
      <c r="A1" s="1"/>
      <c r="B1" s="60"/>
      <c r="C1" s="622" t="s">
        <v>0</v>
      </c>
      <c r="D1" s="623"/>
      <c r="E1" s="623"/>
      <c r="F1" s="623"/>
      <c r="G1" s="623"/>
      <c r="H1" s="623"/>
      <c r="I1" s="623"/>
      <c r="J1" s="623"/>
      <c r="K1" s="623"/>
      <c r="L1" s="621"/>
      <c r="M1" s="624" t="s">
        <v>1</v>
      </c>
      <c r="N1" s="623"/>
      <c r="O1" s="623"/>
      <c r="P1" s="623"/>
      <c r="Q1" s="621"/>
      <c r="R1" s="624" t="s">
        <v>2</v>
      </c>
      <c r="S1" s="623"/>
      <c r="T1" s="621"/>
      <c r="U1" s="2"/>
      <c r="V1" s="3"/>
    </row>
    <row r="2" spans="1:22" ht="60">
      <c r="A2" s="288" t="s">
        <v>3</v>
      </c>
      <c r="B2" s="67" t="s">
        <v>4</v>
      </c>
      <c r="C2" s="8" t="s">
        <v>5</v>
      </c>
      <c r="D2" s="8" t="s">
        <v>6</v>
      </c>
      <c r="E2" s="8" t="s">
        <v>7</v>
      </c>
      <c r="F2" s="67" t="s">
        <v>8</v>
      </c>
      <c r="G2" s="9" t="s">
        <v>9</v>
      </c>
      <c r="H2" s="9" t="s">
        <v>10</v>
      </c>
      <c r="I2" s="8" t="s">
        <v>11</v>
      </c>
      <c r="J2" s="8" t="s">
        <v>12</v>
      </c>
      <c r="K2" s="8" t="s">
        <v>13</v>
      </c>
      <c r="L2" s="8" t="s">
        <v>14</v>
      </c>
      <c r="M2" s="8" t="s">
        <v>15</v>
      </c>
      <c r="N2" s="8" t="s">
        <v>16</v>
      </c>
      <c r="O2" s="8" t="s">
        <v>17</v>
      </c>
      <c r="P2" s="8" t="s">
        <v>18</v>
      </c>
      <c r="Q2" s="8" t="s">
        <v>19</v>
      </c>
      <c r="R2" s="8" t="s">
        <v>20</v>
      </c>
      <c r="S2" s="8" t="s">
        <v>21</v>
      </c>
      <c r="T2" s="9" t="s">
        <v>22</v>
      </c>
      <c r="U2" s="9" t="s">
        <v>23</v>
      </c>
      <c r="V2" s="9" t="s">
        <v>24</v>
      </c>
    </row>
    <row r="3" spans="1:22" ht="18" hidden="1" customHeight="1">
      <c r="A3" s="289"/>
      <c r="B3" s="145" t="s">
        <v>25</v>
      </c>
      <c r="C3" s="75" t="s">
        <v>26</v>
      </c>
      <c r="D3" s="24" t="s">
        <v>27</v>
      </c>
      <c r="E3" s="76">
        <v>1003904586</v>
      </c>
      <c r="F3" s="72">
        <v>2067423</v>
      </c>
      <c r="G3" s="11" t="str">
        <f ca="1">IFERROR(__xludf.DUMMYFUNCTION("IFERROR(VLOOKUP(F20,IMPORTRANGE(""https://docs.google.com/spreadsheets/d/1Kvs4KS76FHFqLFIZfrDMff4kP08nblUkihrxltoGBjg/edit#gid=934712705"",""ESENCIAL!A6:BG""),3,FALSE))"),"TECNÓLOGO")</f>
        <v>TECNÓLOGO</v>
      </c>
      <c r="H3" s="11" t="str">
        <f ca="1">IFERROR(__xludf.DUMMYFUNCTION("IFERROR(VLOOKUP(F20,IMPORTRANGE(""https://docs.google.com/spreadsheets/d/1Kvs4KS76FHFqLFIZfrDMff4kP08nblUkihrxltoGBjg/edit#gid=934712705"",""ESENCIAL!A6:BG""),8,FALSE))"),"GESTIÓN DE RECURSOS NATURALES")</f>
        <v>GESTIÓN DE RECURSOS NATURALES</v>
      </c>
      <c r="I3" s="24"/>
      <c r="J3" s="24"/>
      <c r="K3" s="24"/>
      <c r="L3" s="70" t="s">
        <v>28</v>
      </c>
      <c r="M3" s="24" t="s">
        <v>29</v>
      </c>
      <c r="N3" s="24" t="s">
        <v>30</v>
      </c>
      <c r="O3" s="24">
        <v>3115696128</v>
      </c>
      <c r="P3" s="24" t="s">
        <v>31</v>
      </c>
      <c r="Q3" s="24" t="s">
        <v>32</v>
      </c>
      <c r="R3" s="32">
        <v>44782</v>
      </c>
      <c r="S3" s="32">
        <v>44942</v>
      </c>
      <c r="T3" s="24"/>
      <c r="U3" s="28"/>
      <c r="V3" s="29"/>
    </row>
    <row r="4" spans="1:22" ht="18" hidden="1" customHeight="1">
      <c r="A4" s="290"/>
      <c r="B4" s="145" t="s">
        <v>25</v>
      </c>
      <c r="C4" s="25" t="s">
        <v>33</v>
      </c>
      <c r="D4" s="25" t="s">
        <v>27</v>
      </c>
      <c r="E4" s="26">
        <v>1007163117</v>
      </c>
      <c r="F4" s="26">
        <v>2067423</v>
      </c>
      <c r="G4" s="11" t="str">
        <f ca="1">IFERROR(__xludf.DUMMYFUNCTION("IFERROR(VLOOKUP(F21,IMPORTRANGE(""https://docs.google.com/spreadsheets/d/1Kvs4KS76FHFqLFIZfrDMff4kP08nblUkihrxltoGBjg/edit#gid=934712705"",""ESENCIAL!A6:BG""),3,FALSE))"),"TECNÓLOGO")</f>
        <v>TECNÓLOGO</v>
      </c>
      <c r="H4" s="11" t="str">
        <f ca="1">IFERROR(__xludf.DUMMYFUNCTION("IFERROR(VLOOKUP(F21,IMPORTRANGE(""https://docs.google.com/spreadsheets/d/1Kvs4KS76FHFqLFIZfrDMff4kP08nblUkihrxltoGBjg/edit#gid=934712705"",""ESENCIAL!A6:BG""),8,FALSE))"),"GESTIÓN DE RECURSOS NATURALES")</f>
        <v>GESTIÓN DE RECURSOS NATURALES</v>
      </c>
      <c r="I4" s="25" t="s">
        <v>34</v>
      </c>
      <c r="J4" s="343" t="s">
        <v>35</v>
      </c>
      <c r="K4" s="25" t="s">
        <v>36</v>
      </c>
      <c r="L4" s="296" t="s">
        <v>37</v>
      </c>
      <c r="M4" s="34" t="s">
        <v>29</v>
      </c>
      <c r="N4" s="25"/>
      <c r="O4" s="25"/>
      <c r="P4" s="25"/>
      <c r="Q4" s="25"/>
      <c r="R4" s="27"/>
      <c r="S4" s="27"/>
      <c r="T4" s="77"/>
      <c r="U4" s="28"/>
      <c r="V4" s="29"/>
    </row>
    <row r="5" spans="1:22" ht="18" hidden="1" customHeight="1">
      <c r="A5" s="299"/>
      <c r="B5" s="145" t="s">
        <v>25</v>
      </c>
      <c r="C5" s="69" t="s">
        <v>38</v>
      </c>
      <c r="D5" s="69" t="s">
        <v>27</v>
      </c>
      <c r="E5" s="79">
        <v>1007613800</v>
      </c>
      <c r="F5" s="79">
        <v>2067423</v>
      </c>
      <c r="G5" s="78" t="str">
        <f ca="1">IFERROR(__xludf.DUMMYFUNCTION("IFERROR(VLOOKUP(F23,IMPORTRANGE(""https://docs.google.com/spreadsheets/d/1Kvs4KS76FHFqLFIZfrDMff4kP08nblUkihrxltoGBjg/edit#gid=934712705"",""ESENCIAL!A6:BG""),3,FALSE))"),"TECNÓLOGO")</f>
        <v>TECNÓLOGO</v>
      </c>
      <c r="H5" s="78" t="str">
        <f ca="1">IFERROR(__xludf.DUMMYFUNCTION("IFERROR(VLOOKUP(F23,IMPORTRANGE(""https://docs.google.com/spreadsheets/d/1Kvs4KS76FHFqLFIZfrDMff4kP08nblUkihrxltoGBjg/edit#gid=934712705"",""ESENCIAL!A6:BG""),8,FALSE))"),"GESTIÓN DE RECURSOS NATURALES")</f>
        <v>GESTIÓN DE RECURSOS NATURALES</v>
      </c>
      <c r="I5" s="69" t="s">
        <v>39</v>
      </c>
      <c r="J5" s="69" t="s">
        <v>40</v>
      </c>
      <c r="K5" s="69" t="s">
        <v>41</v>
      </c>
      <c r="L5" s="69" t="s">
        <v>37</v>
      </c>
      <c r="M5" s="69"/>
      <c r="N5" s="69"/>
      <c r="O5" s="69"/>
      <c r="P5" s="69"/>
      <c r="Q5" s="69"/>
      <c r="R5" s="80"/>
      <c r="S5" s="80"/>
      <c r="T5" s="355" t="s">
        <v>42</v>
      </c>
      <c r="U5" s="81"/>
      <c r="V5" s="78"/>
    </row>
    <row r="6" spans="1:22" ht="21" customHeight="1">
      <c r="A6" s="290"/>
      <c r="B6" s="145" t="s">
        <v>25</v>
      </c>
      <c r="C6" s="75" t="s">
        <v>43</v>
      </c>
      <c r="D6" s="57" t="s">
        <v>27</v>
      </c>
      <c r="E6" s="73">
        <v>1010152375</v>
      </c>
      <c r="F6" s="72">
        <v>2067423</v>
      </c>
      <c r="G6" s="11" t="str">
        <f ca="1">IFERROR(__xludf.DUMMYFUNCTION("IFERROR(VLOOKUP(F24,IMPORTRANGE(""https://docs.google.com/spreadsheets/d/1Kvs4KS76FHFqLFIZfrDMff4kP08nblUkihrxltoGBjg/edit#gid=934712705"",""ESENCIAL!A6:BG""),3,FALSE))"),"TECNÓLOGO")</f>
        <v>TECNÓLOGO</v>
      </c>
      <c r="H6" s="11" t="str">
        <f ca="1">IFERROR(__xludf.DUMMYFUNCTION("IFERROR(VLOOKUP(F24,IMPORTRANGE(""https://docs.google.com/spreadsheets/d/1Kvs4KS76FHFqLFIZfrDMff4kP08nblUkihrxltoGBjg/edit#gid=934712705"",""ESENCIAL!A6:BG""),8,FALSE))"),"GESTIÓN DE RECURSOS NATURALES")</f>
        <v>GESTIÓN DE RECURSOS NATURALES</v>
      </c>
      <c r="I6" s="29"/>
      <c r="J6" s="29"/>
      <c r="K6" s="29"/>
      <c r="L6" s="296" t="s">
        <v>44</v>
      </c>
      <c r="M6" s="29"/>
      <c r="N6" s="29"/>
      <c r="O6" s="29"/>
      <c r="P6" s="29"/>
      <c r="Q6" s="29"/>
      <c r="R6" s="55"/>
      <c r="S6" s="55"/>
      <c r="T6" s="29"/>
      <c r="U6" s="28"/>
      <c r="V6" s="29"/>
    </row>
    <row r="7" spans="1:22" ht="24">
      <c r="A7" s="290"/>
      <c r="B7" s="145" t="s">
        <v>25</v>
      </c>
      <c r="C7" s="56" t="s">
        <v>45</v>
      </c>
      <c r="D7" s="57" t="s">
        <v>27</v>
      </c>
      <c r="E7" s="84">
        <v>1081702460</v>
      </c>
      <c r="F7" s="85">
        <v>2166549</v>
      </c>
      <c r="G7" s="11" t="str">
        <f ca="1">IFERROR(__xludf.DUMMYFUNCTION("IFERROR(VLOOKUP(F27,IMPORTRANGE(""https://docs.google.com/spreadsheets/d/1Kvs4KS76FHFqLFIZfrDMff4kP08nblUkihrxltoGBjg/edit#gid=934712705"",""ESENCIAL!A6:BG""),3,FALSE))"),"TECNÓLOGO")</f>
        <v>TECNÓLOGO</v>
      </c>
      <c r="H7" s="11" t="str">
        <f ca="1">IFERROR(__xludf.DUMMYFUNCTION("IFERROR(VLOOKUP(F27,IMPORTRANGE(""https://docs.google.com/spreadsheets/d/1Kvs4KS76FHFqLFIZfrDMff4kP08nblUkihrxltoGBjg/edit#gid=934712705"",""ESENCIAL!A6:BG""),8,FALSE))"),"GESTIÓN DE RECURSOS NATURALES")</f>
        <v>GESTIÓN DE RECURSOS NATURALES</v>
      </c>
      <c r="I7" s="30"/>
      <c r="J7" s="30"/>
      <c r="K7" s="30"/>
      <c r="L7" s="296" t="s">
        <v>44</v>
      </c>
      <c r="M7" s="30"/>
      <c r="N7" s="30"/>
      <c r="O7" s="30"/>
      <c r="P7" s="30"/>
      <c r="Q7" s="30"/>
      <c r="R7" s="30"/>
      <c r="S7" s="30"/>
      <c r="T7" s="30"/>
      <c r="U7" s="30"/>
      <c r="V7" s="54"/>
    </row>
    <row r="8" spans="1:22" s="164" customFormat="1" ht="24" hidden="1">
      <c r="A8" s="300"/>
      <c r="B8" s="145" t="s">
        <v>25</v>
      </c>
      <c r="C8" s="206" t="s">
        <v>46</v>
      </c>
      <c r="D8" s="149" t="s">
        <v>27</v>
      </c>
      <c r="E8" s="217">
        <v>1083917771</v>
      </c>
      <c r="F8" s="216">
        <v>2166549</v>
      </c>
      <c r="G8" s="146" t="str">
        <f ca="1">IFERROR(__xludf.DUMMYFUNCTION("IFERROR(VLOOKUP(F28,IMPORTRANGE(""https://docs.google.com/spreadsheets/d/1Kvs4KS76FHFqLFIZfrDMff4kP08nblUkihrxltoGBjg/edit#gid=934712705"",""ESENCIAL!A6:BG""),3,FALSE))"),"TECNÓLOGO")</f>
        <v>TECNÓLOGO</v>
      </c>
      <c r="H8" s="146" t="str">
        <f ca="1">IFERROR(__xludf.DUMMYFUNCTION("IFERROR(VLOOKUP(F28,IMPORTRANGE(""https://docs.google.com/spreadsheets/d/1Kvs4KS76FHFqLFIZfrDMff4kP08nblUkihrxltoGBjg/edit#gid=934712705"",""ESENCIAL!A6:BG""),8,FALSE))"),"GESTIÓN DE RECURSOS NATURALES")</f>
        <v>GESTIÓN DE RECURSOS NATURALES</v>
      </c>
      <c r="I8" s="154"/>
      <c r="J8" s="154"/>
      <c r="K8" s="154"/>
      <c r="L8" s="274" t="s">
        <v>28</v>
      </c>
      <c r="M8" s="154" t="s">
        <v>47</v>
      </c>
      <c r="N8" s="154"/>
      <c r="O8" s="154"/>
      <c r="P8" s="154"/>
      <c r="Q8" s="154"/>
      <c r="R8" s="157">
        <v>44818</v>
      </c>
      <c r="S8" s="157">
        <v>45015</v>
      </c>
      <c r="T8" s="154"/>
      <c r="U8" s="154"/>
      <c r="V8" s="154"/>
    </row>
    <row r="9" spans="1:22" ht="30" customHeight="1">
      <c r="A9" s="289"/>
      <c r="B9" s="145" t="s">
        <v>25</v>
      </c>
      <c r="C9" s="148" t="s">
        <v>48</v>
      </c>
      <c r="D9" s="149" t="s">
        <v>27</v>
      </c>
      <c r="E9" s="217">
        <v>1004675333</v>
      </c>
      <c r="F9" s="151">
        <v>2252406</v>
      </c>
      <c r="G9" s="146" t="str">
        <f ca="1">IFERROR(__xludf.DUMMYFUNCTION("IFERROR(VLOOKUP(F31,IMPORTRANGE(""https://docs.google.com/spreadsheets/d/1Kvs4KS76FHFqLFIZfrDMff4kP08nblUkihrxltoGBjg/edit#gid=934712705"",""ESENCIAL!A6:BG""),3,FALSE))"),"TECNÓLOGO")</f>
        <v>TECNÓLOGO</v>
      </c>
      <c r="H9" s="146" t="str">
        <f ca="1">IFERROR(__xludf.DUMMYFUNCTION("IFERROR(VLOOKUP(F31,IMPORTRANGE(""https://docs.google.com/spreadsheets/d/1Kvs4KS76FHFqLFIZfrDMff4kP08nblUkihrxltoGBjg/edit#gid=934712705"",""ESENCIAL!A6:BG""),8,FALSE))"),"GESTIÓN DE RECURSOS NATURALES")</f>
        <v>GESTIÓN DE RECURSOS NATURALES</v>
      </c>
      <c r="I9" s="152">
        <v>3112075342</v>
      </c>
      <c r="J9" s="152" t="s">
        <v>49</v>
      </c>
      <c r="K9" s="155" t="s">
        <v>50</v>
      </c>
      <c r="L9" s="347" t="s">
        <v>44</v>
      </c>
      <c r="M9" s="154"/>
      <c r="N9" s="154"/>
      <c r="O9" s="154"/>
      <c r="P9" s="154"/>
      <c r="Q9" s="154"/>
      <c r="R9" s="154"/>
      <c r="S9" s="154"/>
      <c r="T9" s="30" t="s">
        <v>51</v>
      </c>
      <c r="U9" s="30"/>
      <c r="V9" s="54"/>
    </row>
    <row r="10" spans="1:22" ht="30" customHeight="1">
      <c r="A10" s="289"/>
      <c r="B10" s="145" t="s">
        <v>25</v>
      </c>
      <c r="C10" s="148" t="s">
        <v>52</v>
      </c>
      <c r="D10" s="149" t="s">
        <v>27</v>
      </c>
      <c r="E10" s="217">
        <v>1007162968</v>
      </c>
      <c r="F10" s="151">
        <v>2252406</v>
      </c>
      <c r="G10" s="146" t="str">
        <f ca="1">IFERROR(__xludf.DUMMYFUNCTION("IFERROR(VLOOKUP(F32,IMPORTRANGE(""https://docs.google.com/spreadsheets/d/1Kvs4KS76FHFqLFIZfrDMff4kP08nblUkihrxltoGBjg/edit#gid=934712705"",""ESENCIAL!A6:BG""),3,FALSE))"),"TECNÓLOGO")</f>
        <v>TECNÓLOGO</v>
      </c>
      <c r="H10" s="146" t="str">
        <f ca="1">IFERROR(__xludf.DUMMYFUNCTION("IFERROR(VLOOKUP(F32,IMPORTRANGE(""https://docs.google.com/spreadsheets/d/1Kvs4KS76FHFqLFIZfrDMff4kP08nblUkihrxltoGBjg/edit#gid=934712705"",""ESENCIAL!A6:BG""),8,FALSE))"),"GESTIÓN DE RECURSOS NATURALES")</f>
        <v>GESTIÓN DE RECURSOS NATURALES</v>
      </c>
      <c r="I10" s="154"/>
      <c r="J10" s="154"/>
      <c r="K10" s="154"/>
      <c r="L10" s="347" t="s">
        <v>44</v>
      </c>
      <c r="M10" s="154"/>
      <c r="N10" s="154"/>
      <c r="O10" s="154"/>
      <c r="P10" s="154"/>
      <c r="Q10" s="154"/>
      <c r="R10" s="154"/>
      <c r="S10" s="154"/>
      <c r="T10" s="367" t="s">
        <v>53</v>
      </c>
      <c r="U10" s="30"/>
      <c r="V10" s="54"/>
    </row>
    <row r="11" spans="1:22" ht="41.25" customHeight="1">
      <c r="A11" s="289"/>
      <c r="B11" s="145" t="s">
        <v>25</v>
      </c>
      <c r="C11" s="148" t="s">
        <v>54</v>
      </c>
      <c r="D11" s="149" t="s">
        <v>27</v>
      </c>
      <c r="E11" s="217">
        <v>1007562859</v>
      </c>
      <c r="F11" s="151">
        <v>2252406</v>
      </c>
      <c r="G11" s="146" t="str">
        <f ca="1">IFERROR(__xludf.DUMMYFUNCTION("IFERROR(VLOOKUP(F33,IMPORTRANGE(""https://docs.google.com/spreadsheets/d/1Kvs4KS76FHFqLFIZfrDMff4kP08nblUkihrxltoGBjg/edit#gid=934712705"",""ESENCIAL!A6:BG""),3,FALSE))"),"TECNÓLOGO")</f>
        <v>TECNÓLOGO</v>
      </c>
      <c r="H11" s="146" t="str">
        <f ca="1">IFERROR(__xludf.DUMMYFUNCTION("IFERROR(VLOOKUP(F33,IMPORTRANGE(""https://docs.google.com/spreadsheets/d/1Kvs4KS76FHFqLFIZfrDMff4kP08nblUkihrxltoGBjg/edit#gid=934712705"",""ESENCIAL!A6:BG""),8,FALSE))"),"GESTIÓN DE RECURSOS NATURALES")</f>
        <v>GESTIÓN DE RECURSOS NATURALES</v>
      </c>
      <c r="I11" s="154"/>
      <c r="J11" s="154"/>
      <c r="K11" s="154"/>
      <c r="L11" s="347" t="s">
        <v>44</v>
      </c>
      <c r="M11" s="154"/>
      <c r="N11" s="154"/>
      <c r="O11" s="154"/>
      <c r="P11" s="154"/>
      <c r="Q11" s="154"/>
      <c r="R11" s="154"/>
      <c r="S11" s="154"/>
      <c r="T11" s="367" t="s">
        <v>55</v>
      </c>
      <c r="U11" s="30"/>
      <c r="V11" s="54"/>
    </row>
    <row r="12" spans="1:22" ht="42.75" hidden="1" customHeight="1">
      <c r="A12" s="289"/>
      <c r="B12" s="381" t="s">
        <v>25</v>
      </c>
      <c r="C12" s="371" t="s">
        <v>56</v>
      </c>
      <c r="D12" s="372" t="s">
        <v>27</v>
      </c>
      <c r="E12" s="373">
        <v>1007583029</v>
      </c>
      <c r="F12" s="382">
        <v>2252406</v>
      </c>
      <c r="G12" s="383" t="str">
        <f ca="1">IFERROR(__xludf.DUMMYFUNCTION("IFERROR(VLOOKUP(F34,IMPORTRANGE(""https://docs.google.com/spreadsheets/d/1Kvs4KS76FHFqLFIZfrDMff4kP08nblUkihrxltoGBjg/edit#gid=934712705"",""ESENCIAL!A6:BG""),3,FALSE))"),"TECNÓLOGO")</f>
        <v>TECNÓLOGO</v>
      </c>
      <c r="H12" s="383" t="str">
        <f ca="1">IFERROR(__xludf.DUMMYFUNCTION("IFERROR(VLOOKUP(F34,IMPORTRANGE(""https://docs.google.com/spreadsheets/d/1Kvs4KS76FHFqLFIZfrDMff4kP08nblUkihrxltoGBjg/edit#gid=934712705"",""ESENCIAL!A6:BG""),8,FALSE))"),"GESTIÓN DE RECURSOS NATURALES")</f>
        <v>GESTIÓN DE RECURSOS NATURALES</v>
      </c>
      <c r="I12" s="384">
        <v>3132067880</v>
      </c>
      <c r="J12" s="384" t="s">
        <v>57</v>
      </c>
      <c r="K12" s="385" t="s">
        <v>58</v>
      </c>
      <c r="L12" s="386" t="s">
        <v>37</v>
      </c>
      <c r="M12" s="386" t="s">
        <v>59</v>
      </c>
      <c r="N12" s="386" t="s">
        <v>60</v>
      </c>
      <c r="O12" s="386">
        <v>3204883387</v>
      </c>
      <c r="P12" s="387" t="s">
        <v>61</v>
      </c>
      <c r="Q12" s="386" t="s">
        <v>62</v>
      </c>
      <c r="R12" s="388">
        <v>44774</v>
      </c>
      <c r="S12" s="388">
        <v>44957</v>
      </c>
      <c r="T12" s="389" t="s">
        <v>63</v>
      </c>
      <c r="U12" s="386"/>
      <c r="V12" s="209"/>
    </row>
    <row r="13" spans="1:22" ht="42" customHeight="1">
      <c r="A13" s="289"/>
      <c r="B13" s="145" t="s">
        <v>25</v>
      </c>
      <c r="C13" s="148" t="s">
        <v>64</v>
      </c>
      <c r="D13" s="149" t="s">
        <v>27</v>
      </c>
      <c r="E13" s="217">
        <v>1007600481</v>
      </c>
      <c r="F13" s="151">
        <v>2252406</v>
      </c>
      <c r="G13" s="146" t="str">
        <f ca="1">IFERROR(__xludf.DUMMYFUNCTION("IFERROR(VLOOKUP(F35,IMPORTRANGE(""https://docs.google.com/spreadsheets/d/1Kvs4KS76FHFqLFIZfrDMff4kP08nblUkihrxltoGBjg/edit#gid=934712705"",""ESENCIAL!A6:BG""),3,FALSE))"),"TECNÓLOGO")</f>
        <v>TECNÓLOGO</v>
      </c>
      <c r="H13" s="146" t="str">
        <f ca="1">IFERROR(__xludf.DUMMYFUNCTION("IFERROR(VLOOKUP(F35,IMPORTRANGE(""https://docs.google.com/spreadsheets/d/1Kvs4KS76FHFqLFIZfrDMff4kP08nblUkihrxltoGBjg/edit#gid=934712705"",""ESENCIAL!A6:BG""),8,FALSE))"),"GESTIÓN DE RECURSOS NATURALES")</f>
        <v>GESTIÓN DE RECURSOS NATURALES</v>
      </c>
      <c r="I13" s="154"/>
      <c r="J13" s="154"/>
      <c r="K13" s="154"/>
      <c r="L13" s="347" t="s">
        <v>44</v>
      </c>
      <c r="M13" s="154"/>
      <c r="N13" s="154"/>
      <c r="O13" s="154"/>
      <c r="P13" s="154"/>
      <c r="Q13" s="154"/>
      <c r="R13" s="154"/>
      <c r="S13" s="154"/>
      <c r="T13" s="367" t="s">
        <v>65</v>
      </c>
      <c r="U13" s="30"/>
      <c r="V13" s="54"/>
    </row>
    <row r="14" spans="1:22" ht="44.25" customHeight="1">
      <c r="A14" s="290"/>
      <c r="B14" s="145" t="s">
        <v>25</v>
      </c>
      <c r="C14" s="148" t="s">
        <v>66</v>
      </c>
      <c r="D14" s="149" t="s">
        <v>67</v>
      </c>
      <c r="E14" s="217">
        <v>1079534041</v>
      </c>
      <c r="F14" s="151">
        <v>2252406</v>
      </c>
      <c r="G14" s="146" t="str">
        <f ca="1">IFERROR(__xludf.DUMMYFUNCTION("IFERROR(VLOOKUP(F36,IMPORTRANGE(""https://docs.google.com/spreadsheets/d/1Kvs4KS76FHFqLFIZfrDMff4kP08nblUkihrxltoGBjg/edit#gid=934712705"",""ESENCIAL!A6:BG""),3,FALSE))"),"TECNÓLOGO")</f>
        <v>TECNÓLOGO</v>
      </c>
      <c r="H14" s="146" t="str">
        <f ca="1">IFERROR(__xludf.DUMMYFUNCTION("IFERROR(VLOOKUP(F36,IMPORTRANGE(""https://docs.google.com/spreadsheets/d/1Kvs4KS76FHFqLFIZfrDMff4kP08nblUkihrxltoGBjg/edit#gid=934712705"",""ESENCIAL!A6:BG""),8,FALSE))"),"GESTIÓN DE RECURSOS NATURALES")</f>
        <v>GESTIÓN DE RECURSOS NATURALES</v>
      </c>
      <c r="I14" s="154"/>
      <c r="J14" s="154"/>
      <c r="K14" s="154"/>
      <c r="L14" s="347" t="s">
        <v>44</v>
      </c>
      <c r="M14" s="154"/>
      <c r="N14" s="154"/>
      <c r="O14" s="154"/>
      <c r="P14" s="154"/>
      <c r="Q14" s="154"/>
      <c r="R14" s="154"/>
      <c r="S14" s="154"/>
      <c r="T14" s="367" t="s">
        <v>65</v>
      </c>
      <c r="U14" s="54"/>
      <c r="V14" s="54"/>
    </row>
    <row r="15" spans="1:22" ht="35.25" hidden="1" customHeight="1">
      <c r="A15" s="290"/>
      <c r="B15" s="370" t="s">
        <v>25</v>
      </c>
      <c r="C15" s="371" t="s">
        <v>68</v>
      </c>
      <c r="D15" s="372" t="s">
        <v>67</v>
      </c>
      <c r="E15" s="373">
        <v>1079536524</v>
      </c>
      <c r="F15" s="374">
        <v>2252406</v>
      </c>
      <c r="G15" s="375" t="str">
        <f ca="1">IFERROR(__xludf.DUMMYFUNCTION("IFERROR(VLOOKUP(F37,IMPORTRANGE(""https://docs.google.com/spreadsheets/d/1Kvs4KS76FHFqLFIZfrDMff4kP08nblUkihrxltoGBjg/edit#gid=934712705"",""ESENCIAL!A6:BG""),3,FALSE))"),"TECNÓLOGO")</f>
        <v>TECNÓLOGO</v>
      </c>
      <c r="H15" s="375" t="str">
        <f ca="1">IFERROR(__xludf.DUMMYFUNCTION("IFERROR(VLOOKUP(F37,IMPORTRANGE(""https://docs.google.com/spreadsheets/d/1Kvs4KS76FHFqLFIZfrDMff4kP08nblUkihrxltoGBjg/edit#gid=934712705"",""ESENCIAL!A6:BG""),8,FALSE))"),"GESTIÓN DE RECURSOS NATURALES")</f>
        <v>GESTIÓN DE RECURSOS NATURALES</v>
      </c>
      <c r="I15" s="376">
        <v>3144749699</v>
      </c>
      <c r="J15" s="376" t="s">
        <v>69</v>
      </c>
      <c r="K15" s="377" t="s">
        <v>70</v>
      </c>
      <c r="L15" s="378" t="s">
        <v>28</v>
      </c>
      <c r="M15" s="378" t="s">
        <v>71</v>
      </c>
      <c r="N15" s="378" t="s">
        <v>72</v>
      </c>
      <c r="O15" s="378">
        <v>3208021865</v>
      </c>
      <c r="P15" s="378" t="s">
        <v>73</v>
      </c>
      <c r="Q15" s="378" t="s">
        <v>74</v>
      </c>
      <c r="R15" s="379">
        <v>44774</v>
      </c>
      <c r="S15" s="379">
        <v>44957</v>
      </c>
      <c r="T15" s="380" t="s">
        <v>75</v>
      </c>
      <c r="U15" s="378" t="s">
        <v>76</v>
      </c>
      <c r="V15" s="54"/>
    </row>
    <row r="16" spans="1:22" ht="33" customHeight="1">
      <c r="A16" s="290"/>
      <c r="B16" s="147" t="s">
        <v>77</v>
      </c>
      <c r="C16" s="337" t="s">
        <v>78</v>
      </c>
      <c r="D16" s="149" t="s">
        <v>67</v>
      </c>
      <c r="E16" s="149">
        <v>1004446162</v>
      </c>
      <c r="F16" s="208">
        <v>2252406</v>
      </c>
      <c r="G16" s="146" t="str">
        <f ca="1">IFERROR(__xludf.DUMMYFUNCTION("IFERROR(VLOOKUP(F39,IMPORTRANGE(""https://docs.google.com/spreadsheets/d/1Kvs4KS76FHFqLFIZfrDMff4kP08nblUkihrxltoGBjg/edit#gid=934712705"",""ESENCIAL!A6:BG""),3,FALSE))"),"TECNÓLOGO")</f>
        <v>TECNÓLOGO</v>
      </c>
      <c r="H16" s="146" t="str">
        <f ca="1">IFERROR(__xludf.DUMMYFUNCTION("IFERROR(VLOOKUP(F39,IMPORTRANGE(""https://docs.google.com/spreadsheets/d/1Kvs4KS76FHFqLFIZfrDMff4kP08nblUkihrxltoGBjg/edit#gid=934712705"",""ESENCIAL!A6:BG""),8,FALSE))"),"GESTIÓN DE RECURSOS NATURALES")</f>
        <v>GESTIÓN DE RECURSOS NATURALES</v>
      </c>
      <c r="I16" s="337"/>
      <c r="J16" s="368"/>
      <c r="K16" s="337"/>
      <c r="L16" s="347" t="s">
        <v>44</v>
      </c>
      <c r="M16" s="155"/>
      <c r="N16" s="337"/>
      <c r="O16" s="337"/>
      <c r="P16" s="337"/>
      <c r="Q16" s="337"/>
      <c r="R16" s="369"/>
      <c r="S16" s="369"/>
      <c r="T16" s="25"/>
      <c r="U16" s="28"/>
      <c r="V16" s="29"/>
    </row>
    <row r="17" spans="1:22" ht="18.75" hidden="1" customHeight="1">
      <c r="A17" s="290"/>
      <c r="B17" s="145" t="s">
        <v>25</v>
      </c>
      <c r="C17" s="56" t="s">
        <v>79</v>
      </c>
      <c r="D17" s="57" t="s">
        <v>27</v>
      </c>
      <c r="E17" s="91">
        <v>1003084761</v>
      </c>
      <c r="F17" s="86">
        <v>2280196</v>
      </c>
      <c r="G17" s="11" t="str">
        <f ca="1">IFERROR(__xludf.DUMMYFUNCTION("IFERROR(VLOOKUP(F40,IMPORTRANGE(""https://docs.google.com/spreadsheets/d/1Kvs4KS76FHFqLFIZfrDMff4kP08nblUkihrxltoGBjg/edit#gid=934712705"",""ESENCIAL!A6:BG""),3,FALSE))"),"TECNÓLOGO")</f>
        <v>TECNÓLOGO</v>
      </c>
      <c r="H17" s="11" t="str">
        <f ca="1">IFERROR(__xludf.DUMMYFUNCTION("IFERROR(VLOOKUP(F40,IMPORTRANGE(""https://docs.google.com/spreadsheets/d/1Kvs4KS76FHFqLFIZfrDMff4kP08nblUkihrxltoGBjg/edit#gid=934712705"",""ESENCIAL!A6:BG""),8,FALSE))"),"GESTIÓN DE RECURSOS NATURALES")</f>
        <v>GESTIÓN DE RECURSOS NATURALES</v>
      </c>
      <c r="I17" s="93">
        <v>3138437505</v>
      </c>
      <c r="J17" s="93" t="s">
        <v>80</v>
      </c>
      <c r="K17" s="30" t="s">
        <v>81</v>
      </c>
      <c r="L17" s="62" t="s">
        <v>28</v>
      </c>
      <c r="M17" s="94" t="s">
        <v>82</v>
      </c>
      <c r="N17" s="30" t="s">
        <v>83</v>
      </c>
      <c r="O17" s="54">
        <v>3208021865</v>
      </c>
      <c r="P17" s="54" t="s">
        <v>84</v>
      </c>
      <c r="Q17" s="54" t="s">
        <v>85</v>
      </c>
      <c r="R17" s="92">
        <v>44858</v>
      </c>
      <c r="S17" s="90">
        <v>45039</v>
      </c>
      <c r="T17" s="89" t="s">
        <v>86</v>
      </c>
      <c r="U17" s="154"/>
      <c r="V17" s="209"/>
    </row>
    <row r="18" spans="1:22" ht="18.75" hidden="1" customHeight="1">
      <c r="A18" s="290"/>
      <c r="B18" s="145" t="s">
        <v>25</v>
      </c>
      <c r="C18" s="56" t="s">
        <v>87</v>
      </c>
      <c r="D18" s="57" t="s">
        <v>27</v>
      </c>
      <c r="E18" s="91">
        <v>1004440489</v>
      </c>
      <c r="F18" s="86">
        <v>2280196</v>
      </c>
      <c r="G18" s="11" t="str">
        <f ca="1">IFERROR(__xludf.DUMMYFUNCTION("IFERROR(VLOOKUP(F41,IMPORTRANGE(""https://docs.google.com/spreadsheets/d/1Kvs4KS76FHFqLFIZfrDMff4kP08nblUkihrxltoGBjg/edit#gid=934712705"",""ESENCIAL!A6:BG""),3,FALSE))"),"TECNÓLOGO")</f>
        <v>TECNÓLOGO</v>
      </c>
      <c r="H18" s="11" t="str">
        <f ca="1">IFERROR(__xludf.DUMMYFUNCTION("IFERROR(VLOOKUP(F41,IMPORTRANGE(""https://docs.google.com/spreadsheets/d/1Kvs4KS76FHFqLFIZfrDMff4kP08nblUkihrxltoGBjg/edit#gid=934712705"",""ESENCIAL!A6:BG""),8,FALSE))"),"GESTIÓN DE RECURSOS NATURALES")</f>
        <v>GESTIÓN DE RECURSOS NATURALES</v>
      </c>
      <c r="I18" s="87"/>
      <c r="J18" s="87"/>
      <c r="K18" s="30"/>
      <c r="L18" s="30" t="s">
        <v>37</v>
      </c>
      <c r="M18" s="94" t="s">
        <v>88</v>
      </c>
      <c r="N18" s="30" t="s">
        <v>89</v>
      </c>
      <c r="O18" s="54">
        <v>3204887265</v>
      </c>
      <c r="P18" s="54" t="s">
        <v>84</v>
      </c>
      <c r="Q18" s="54" t="s">
        <v>90</v>
      </c>
      <c r="R18" s="90">
        <v>44872</v>
      </c>
      <c r="S18" s="92">
        <v>45052</v>
      </c>
      <c r="T18" s="95"/>
      <c r="U18" s="54"/>
      <c r="V18" s="54"/>
    </row>
    <row r="19" spans="1:22" s="245" customFormat="1" ht="18.75" hidden="1" customHeight="1">
      <c r="A19" s="301"/>
      <c r="B19" s="227" t="s">
        <v>25</v>
      </c>
      <c r="C19" s="228" t="s">
        <v>91</v>
      </c>
      <c r="D19" s="229" t="s">
        <v>27</v>
      </c>
      <c r="E19" s="230">
        <v>1004492967</v>
      </c>
      <c r="F19" s="231">
        <v>2280196</v>
      </c>
      <c r="G19" s="226" t="str">
        <f ca="1">IFERROR(__xludf.DUMMYFUNCTION("IFERROR(VLOOKUP(F42,IMPORTRANGE(""https://docs.google.com/spreadsheets/d/1Kvs4KS76FHFqLFIZfrDMff4kP08nblUkihrxltoGBjg/edit#gid=934712705"",""ESENCIAL!A6:BG""),3,FALSE))"),"TECNÓLOGO")</f>
        <v>TECNÓLOGO</v>
      </c>
      <c r="H19" s="226" t="str">
        <f ca="1">IFERROR(__xludf.DUMMYFUNCTION("IFERROR(VLOOKUP(F42,IMPORTRANGE(""https://docs.google.com/spreadsheets/d/1Kvs4KS76FHFqLFIZfrDMff4kP08nblUkihrxltoGBjg/edit#gid=934712705"",""ESENCIAL!A6:BG""),8,FALSE))"),"GESTIÓN DE RECURSOS NATURALES")</f>
        <v>GESTIÓN DE RECURSOS NATURALES</v>
      </c>
      <c r="I19" s="232">
        <v>3134332429</v>
      </c>
      <c r="J19" s="233" t="s">
        <v>92</v>
      </c>
      <c r="K19" s="234" t="s">
        <v>93</v>
      </c>
      <c r="L19" s="235" t="s">
        <v>28</v>
      </c>
      <c r="M19" s="235" t="s">
        <v>94</v>
      </c>
      <c r="N19" s="234" t="s">
        <v>95</v>
      </c>
      <c r="O19" s="234">
        <v>3173705144</v>
      </c>
      <c r="P19" s="234" t="s">
        <v>96</v>
      </c>
      <c r="Q19" s="236" t="s">
        <v>97</v>
      </c>
      <c r="R19" s="237">
        <v>44754</v>
      </c>
      <c r="S19" s="238">
        <v>45083</v>
      </c>
      <c r="T19" s="239"/>
      <c r="U19" s="234"/>
      <c r="V19" s="234"/>
    </row>
    <row r="20" spans="1:22" ht="18.75" hidden="1" customHeight="1">
      <c r="A20" s="290"/>
      <c r="B20" s="145" t="s">
        <v>25</v>
      </c>
      <c r="C20" s="56" t="s">
        <v>98</v>
      </c>
      <c r="D20" s="57" t="s">
        <v>27</v>
      </c>
      <c r="E20" s="91">
        <v>1006148286</v>
      </c>
      <c r="F20" s="86">
        <v>2280196</v>
      </c>
      <c r="G20" s="11" t="str">
        <f ca="1">IFERROR(__xludf.DUMMYFUNCTION("IFERROR(VLOOKUP(F43,IMPORTRANGE(""https://docs.google.com/spreadsheets/d/1Kvs4KS76FHFqLFIZfrDMff4kP08nblUkihrxltoGBjg/edit#gid=934712705"",""ESENCIAL!A6:BG""),3,FALSE))"),"TECNÓLOGO")</f>
        <v>TECNÓLOGO</v>
      </c>
      <c r="H20" s="11" t="str">
        <f ca="1">IFERROR(__xludf.DUMMYFUNCTION("IFERROR(VLOOKUP(F43,IMPORTRANGE(""https://docs.google.com/spreadsheets/d/1Kvs4KS76FHFqLFIZfrDMff4kP08nblUkihrxltoGBjg/edit#gid=934712705"",""ESENCIAL!A6:BG""),8,FALSE))"),"GESTIÓN DE RECURSOS NATURALES")</f>
        <v>GESTIÓN DE RECURSOS NATURALES</v>
      </c>
      <c r="I20" s="93">
        <v>573118797216</v>
      </c>
      <c r="J20" s="87" t="s">
        <v>99</v>
      </c>
      <c r="K20" s="30" t="s">
        <v>84</v>
      </c>
      <c r="L20" s="96" t="s">
        <v>28</v>
      </c>
      <c r="M20" s="94" t="s">
        <v>100</v>
      </c>
      <c r="N20" s="30" t="s">
        <v>101</v>
      </c>
      <c r="O20" s="54">
        <v>3135712</v>
      </c>
      <c r="P20" s="54" t="s">
        <v>102</v>
      </c>
      <c r="Q20" s="54" t="s">
        <v>103</v>
      </c>
      <c r="R20" s="90">
        <v>44868</v>
      </c>
      <c r="S20" s="92">
        <v>45048</v>
      </c>
      <c r="T20" s="95"/>
      <c r="U20" s="54"/>
      <c r="V20" s="54"/>
    </row>
    <row r="21" spans="1:22" ht="18.75" hidden="1" customHeight="1">
      <c r="A21" s="290"/>
      <c r="B21" s="145" t="s">
        <v>25</v>
      </c>
      <c r="C21" s="56" t="s">
        <v>104</v>
      </c>
      <c r="D21" s="57" t="s">
        <v>27</v>
      </c>
      <c r="E21" s="91">
        <v>1007163022</v>
      </c>
      <c r="F21" s="86">
        <v>2280196</v>
      </c>
      <c r="G21" s="11" t="str">
        <f ca="1">IFERROR(__xludf.DUMMYFUNCTION("IFERROR(VLOOKUP(F44,IMPORTRANGE(""https://docs.google.com/spreadsheets/d/1Kvs4KS76FHFqLFIZfrDMff4kP08nblUkihrxltoGBjg/edit#gid=934712705"",""ESENCIAL!A6:BG""),3,FALSE))"),"TECNÓLOGO")</f>
        <v>TECNÓLOGO</v>
      </c>
      <c r="H21" s="11" t="str">
        <f ca="1">IFERROR(__xludf.DUMMYFUNCTION("IFERROR(VLOOKUP(F44,IMPORTRANGE(""https://docs.google.com/spreadsheets/d/1Kvs4KS76FHFqLFIZfrDMff4kP08nblUkihrxltoGBjg/edit#gid=934712705"",""ESENCIAL!A6:BG""),8,FALSE))"),"GESTIÓN DE RECURSOS NATURALES")</f>
        <v>GESTIÓN DE RECURSOS NATURALES</v>
      </c>
      <c r="I21" s="87">
        <v>3213829236</v>
      </c>
      <c r="J21" s="219" t="s">
        <v>105</v>
      </c>
      <c r="K21" s="30" t="s">
        <v>106</v>
      </c>
      <c r="L21" s="96" t="s">
        <v>28</v>
      </c>
      <c r="M21" s="59" t="s">
        <v>107</v>
      </c>
      <c r="N21" s="30" t="s">
        <v>108</v>
      </c>
      <c r="O21" s="54">
        <v>3145850919</v>
      </c>
      <c r="P21" s="54" t="s">
        <v>96</v>
      </c>
      <c r="Q21" s="220" t="s">
        <v>109</v>
      </c>
      <c r="R21" s="90" t="s">
        <v>110</v>
      </c>
      <c r="S21" s="92">
        <v>45266</v>
      </c>
      <c r="T21" s="95"/>
      <c r="U21" s="54"/>
      <c r="V21" s="54"/>
    </row>
    <row r="22" spans="1:22" s="245" customFormat="1" ht="18.75" hidden="1" customHeight="1">
      <c r="A22" s="301"/>
      <c r="B22" s="227" t="s">
        <v>25</v>
      </c>
      <c r="C22" s="228" t="s">
        <v>111</v>
      </c>
      <c r="D22" s="229" t="s">
        <v>27</v>
      </c>
      <c r="E22" s="230">
        <v>1007163198</v>
      </c>
      <c r="F22" s="231">
        <v>2280196</v>
      </c>
      <c r="G22" s="226" t="str">
        <f ca="1">IFERROR(__xludf.DUMMYFUNCTION("IFERROR(VLOOKUP(F45,IMPORTRANGE(""https://docs.google.com/spreadsheets/d/1Kvs4KS76FHFqLFIZfrDMff4kP08nblUkihrxltoGBjg/edit#gid=934712705"",""ESENCIAL!A6:BG""),3,FALSE))"),"TECNÓLOGO")</f>
        <v>TECNÓLOGO</v>
      </c>
      <c r="H22" s="226" t="str">
        <f ca="1">IFERROR(__xludf.DUMMYFUNCTION("IFERROR(VLOOKUP(F45,IMPORTRANGE(""https://docs.google.com/spreadsheets/d/1Kvs4KS76FHFqLFIZfrDMff4kP08nblUkihrxltoGBjg/edit#gid=934712705"",""ESENCIAL!A6:BG""),8,FALSE))"),"GESTIÓN DE RECURSOS NATURALES")</f>
        <v>GESTIÓN DE RECURSOS NATURALES</v>
      </c>
      <c r="I22" s="232">
        <v>3144616532</v>
      </c>
      <c r="J22" s="233" t="s">
        <v>112</v>
      </c>
      <c r="K22" s="234" t="s">
        <v>81</v>
      </c>
      <c r="L22" s="235" t="s">
        <v>28</v>
      </c>
      <c r="M22" s="235" t="s">
        <v>113</v>
      </c>
      <c r="N22" s="234" t="s">
        <v>114</v>
      </c>
      <c r="O22" s="234">
        <v>3222188226</v>
      </c>
      <c r="P22" s="234" t="s">
        <v>115</v>
      </c>
      <c r="Q22" s="246" t="s">
        <v>116</v>
      </c>
      <c r="R22" s="247" t="s">
        <v>117</v>
      </c>
      <c r="S22" s="238" t="s">
        <v>118</v>
      </c>
      <c r="T22" s="239"/>
      <c r="U22" s="234"/>
      <c r="V22" s="234"/>
    </row>
    <row r="23" spans="1:22" s="164" customFormat="1" ht="18.75" hidden="1" customHeight="1">
      <c r="A23" s="300"/>
      <c r="B23" s="145" t="s">
        <v>25</v>
      </c>
      <c r="C23" s="148" t="s">
        <v>119</v>
      </c>
      <c r="D23" s="149" t="s">
        <v>27</v>
      </c>
      <c r="E23" s="150">
        <v>1007194201</v>
      </c>
      <c r="F23" s="151">
        <v>2280196</v>
      </c>
      <c r="G23" s="146" t="str">
        <f ca="1">IFERROR(__xludf.DUMMYFUNCTION("IFERROR(VLOOKUP(F46,IMPORTRANGE(""https://docs.google.com/spreadsheets/d/1Kvs4KS76FHFqLFIZfrDMff4kP08nblUkihrxltoGBjg/edit#gid=934712705"",""ESENCIAL!A6:BG""),3,FALSE))"),"TECNÓLOGO")</f>
        <v>TECNÓLOGO</v>
      </c>
      <c r="H23" s="146" t="str">
        <f ca="1">IFERROR(__xludf.DUMMYFUNCTION("IFERROR(VLOOKUP(F46,IMPORTRANGE(""https://docs.google.com/spreadsheets/d/1Kvs4KS76FHFqLFIZfrDMff4kP08nblUkihrxltoGBjg/edit#gid=934712705"",""ESENCIAL!A6:BG""),8,FALSE))"),"GESTIÓN DE RECURSOS NATURALES")</f>
        <v>GESTIÓN DE RECURSOS NATURALES</v>
      </c>
      <c r="I23" s="152">
        <v>571835363</v>
      </c>
      <c r="J23" s="153" t="s">
        <v>120</v>
      </c>
      <c r="K23" s="154" t="s">
        <v>84</v>
      </c>
      <c r="L23" s="155" t="s">
        <v>28</v>
      </c>
      <c r="M23" s="155" t="s">
        <v>121</v>
      </c>
      <c r="N23" s="154" t="s">
        <v>122</v>
      </c>
      <c r="O23" s="154">
        <v>5461500</v>
      </c>
      <c r="P23" s="154" t="s">
        <v>96</v>
      </c>
      <c r="Q23" s="165" t="s">
        <v>123</v>
      </c>
      <c r="R23" s="156" t="s">
        <v>124</v>
      </c>
      <c r="S23" s="157" t="s">
        <v>125</v>
      </c>
      <c r="T23" s="158"/>
      <c r="U23" s="154"/>
      <c r="V23" s="154"/>
    </row>
    <row r="24" spans="1:22" ht="18.75" hidden="1" customHeight="1">
      <c r="A24" s="290"/>
      <c r="B24" s="145" t="s">
        <v>25</v>
      </c>
      <c r="C24" s="56" t="s">
        <v>126</v>
      </c>
      <c r="D24" s="57" t="s">
        <v>27</v>
      </c>
      <c r="E24" s="91">
        <v>1007328066</v>
      </c>
      <c r="F24" s="86">
        <v>2280196</v>
      </c>
      <c r="G24" s="11" t="str">
        <f ca="1">IFERROR(__xludf.DUMMYFUNCTION("IFERROR(VLOOKUP(F47,IMPORTRANGE(""https://docs.google.com/spreadsheets/d/1Kvs4KS76FHFqLFIZfrDMff4kP08nblUkihrxltoGBjg/edit#gid=934712705"",""ESENCIAL!A6:BG""),3,FALSE))"),"TECNÓLOGO")</f>
        <v>TECNÓLOGO</v>
      </c>
      <c r="H24" s="11" t="str">
        <f ca="1">IFERROR(__xludf.DUMMYFUNCTION("IFERROR(VLOOKUP(F47,IMPORTRANGE(""https://docs.google.com/spreadsheets/d/1Kvs4KS76FHFqLFIZfrDMff4kP08nblUkihrxltoGBjg/edit#gid=934712705"",""ESENCIAL!A6:BG""),8,FALSE))"),"GESTIÓN DE RECURSOS NATURALES")</f>
        <v>GESTIÓN DE RECURSOS NATURALES</v>
      </c>
      <c r="I24" s="87"/>
      <c r="J24" s="87"/>
      <c r="K24" s="30"/>
      <c r="L24" s="30" t="s">
        <v>37</v>
      </c>
      <c r="M24" s="59" t="s">
        <v>127</v>
      </c>
      <c r="N24" s="30" t="s">
        <v>128</v>
      </c>
      <c r="O24" s="54">
        <v>3186497425</v>
      </c>
      <c r="P24" s="54" t="s">
        <v>84</v>
      </c>
      <c r="Q24" s="54" t="s">
        <v>129</v>
      </c>
      <c r="R24" s="90">
        <v>44883</v>
      </c>
      <c r="S24" s="92">
        <v>45063</v>
      </c>
      <c r="T24" s="89" t="s">
        <v>130</v>
      </c>
      <c r="U24" s="154"/>
      <c r="V24" s="209"/>
    </row>
    <row r="25" spans="1:22" ht="18.75" hidden="1" customHeight="1">
      <c r="A25" s="290"/>
      <c r="B25" s="145" t="s">
        <v>25</v>
      </c>
      <c r="C25" s="56" t="s">
        <v>131</v>
      </c>
      <c r="D25" s="57" t="s">
        <v>27</v>
      </c>
      <c r="E25" s="91">
        <v>1007361298</v>
      </c>
      <c r="F25" s="86">
        <v>2280196</v>
      </c>
      <c r="G25" s="11" t="str">
        <f ca="1">IFERROR(__xludf.DUMMYFUNCTION("IFERROR(VLOOKUP(F48,IMPORTRANGE(""https://docs.google.com/spreadsheets/d/1Kvs4KS76FHFqLFIZfrDMff4kP08nblUkihrxltoGBjg/edit#gid=934712705"",""ESENCIAL!A6:BG""),3,FALSE))"),"TECNÓLOGO")</f>
        <v>TECNÓLOGO</v>
      </c>
      <c r="H25" s="11" t="str">
        <f ca="1">IFERROR(__xludf.DUMMYFUNCTION("IFERROR(VLOOKUP(F48,IMPORTRANGE(""https://docs.google.com/spreadsheets/d/1Kvs4KS76FHFqLFIZfrDMff4kP08nblUkihrxltoGBjg/edit#gid=934712705"",""ESENCIAL!A6:BG""),8,FALSE))"),"GESTIÓN DE RECURSOS NATURALES")</f>
        <v>GESTIÓN DE RECURSOS NATURALES</v>
      </c>
      <c r="I25" s="87"/>
      <c r="J25" s="87" t="s">
        <v>132</v>
      </c>
      <c r="K25" s="30"/>
      <c r="L25" s="62" t="s">
        <v>28</v>
      </c>
      <c r="M25" s="94" t="s">
        <v>133</v>
      </c>
      <c r="N25" s="30" t="s">
        <v>134</v>
      </c>
      <c r="O25" s="54">
        <v>3132783431</v>
      </c>
      <c r="P25" s="54" t="s">
        <v>135</v>
      </c>
      <c r="Q25" s="54" t="s">
        <v>136</v>
      </c>
      <c r="R25" s="90">
        <v>44847</v>
      </c>
      <c r="S25" s="92">
        <v>45030</v>
      </c>
      <c r="T25" s="95"/>
      <c r="U25" s="54"/>
      <c r="V25" s="54"/>
    </row>
    <row r="26" spans="1:22" ht="18.75" customHeight="1">
      <c r="A26" s="290"/>
      <c r="B26" s="145" t="s">
        <v>25</v>
      </c>
      <c r="C26" s="56" t="s">
        <v>137</v>
      </c>
      <c r="D26" s="57" t="s">
        <v>27</v>
      </c>
      <c r="E26" s="91">
        <v>1060296006</v>
      </c>
      <c r="F26" s="86">
        <v>2280196</v>
      </c>
      <c r="G26" s="11" t="str">
        <f ca="1">IFERROR(__xludf.DUMMYFUNCTION("IFERROR(VLOOKUP(F49,IMPORTRANGE(""https://docs.google.com/spreadsheets/d/1Kvs4KS76FHFqLFIZfrDMff4kP08nblUkihrxltoGBjg/edit#gid=934712705"",""ESENCIAL!A6:BG""),3,FALSE))"),"TECNÓLOGO")</f>
        <v>TECNÓLOGO</v>
      </c>
      <c r="H26" s="11" t="str">
        <f ca="1">IFERROR(__xludf.DUMMYFUNCTION("IFERROR(VLOOKUP(F49,IMPORTRANGE(""https://docs.google.com/spreadsheets/d/1Kvs4KS76FHFqLFIZfrDMff4kP08nblUkihrxltoGBjg/edit#gid=934712705"",""ESENCIAL!A6:BG""),8,FALSE))"),"GESTIÓN DE RECURSOS NATURALES")</f>
        <v>GESTIÓN DE RECURSOS NATURALES</v>
      </c>
      <c r="I26" s="87"/>
      <c r="J26" s="87"/>
      <c r="K26" s="30"/>
      <c r="L26" s="296" t="s">
        <v>44</v>
      </c>
      <c r="M26" s="59"/>
      <c r="N26" s="30"/>
      <c r="O26" s="54"/>
      <c r="P26" s="54"/>
      <c r="Q26" s="54"/>
      <c r="R26" s="90"/>
      <c r="S26" s="92"/>
      <c r="T26" s="95"/>
      <c r="U26" s="54"/>
      <c r="V26" s="54"/>
    </row>
    <row r="27" spans="1:22" ht="18.75" hidden="1" customHeight="1">
      <c r="A27" s="290"/>
      <c r="B27" s="145" t="s">
        <v>25</v>
      </c>
      <c r="C27" s="56" t="s">
        <v>138</v>
      </c>
      <c r="D27" s="57" t="s">
        <v>27</v>
      </c>
      <c r="E27" s="91">
        <v>1080260084</v>
      </c>
      <c r="F27" s="86">
        <v>2280196</v>
      </c>
      <c r="G27" s="11" t="str">
        <f ca="1">IFERROR(__xludf.DUMMYFUNCTION("IFERROR(VLOOKUP(F50,IMPORTRANGE(""https://docs.google.com/spreadsheets/d/1Kvs4KS76FHFqLFIZfrDMff4kP08nblUkihrxltoGBjg/edit#gid=934712705"",""ESENCIAL!A6:BG""),3,FALSE))"),"TECNÓLOGO")</f>
        <v>TECNÓLOGO</v>
      </c>
      <c r="H27" s="11" t="str">
        <f ca="1">IFERROR(__xludf.DUMMYFUNCTION("IFERROR(VLOOKUP(F50,IMPORTRANGE(""https://docs.google.com/spreadsheets/d/1Kvs4KS76FHFqLFIZfrDMff4kP08nblUkihrxltoGBjg/edit#gid=934712705"",""ESENCIAL!A6:BG""),8,FALSE))"),"GESTIÓN DE RECURSOS NATURALES")</f>
        <v>GESTIÓN DE RECURSOS NATURALES</v>
      </c>
      <c r="I27" s="87"/>
      <c r="J27" s="87"/>
      <c r="K27" s="30"/>
      <c r="L27" s="62" t="s">
        <v>28</v>
      </c>
      <c r="M27" s="94" t="s">
        <v>139</v>
      </c>
      <c r="N27" s="30" t="s">
        <v>140</v>
      </c>
      <c r="O27" s="54">
        <v>3508479150</v>
      </c>
      <c r="P27" s="54" t="s">
        <v>141</v>
      </c>
      <c r="Q27" s="54" t="s">
        <v>142</v>
      </c>
      <c r="R27" s="90">
        <v>44859</v>
      </c>
      <c r="S27" s="92">
        <v>45040</v>
      </c>
      <c r="T27" s="95"/>
      <c r="U27" s="154"/>
      <c r="V27" s="54"/>
    </row>
    <row r="28" spans="1:22" ht="18.75" hidden="1" customHeight="1">
      <c r="A28" s="290"/>
      <c r="B28" s="145" t="s">
        <v>25</v>
      </c>
      <c r="C28" s="56" t="s">
        <v>143</v>
      </c>
      <c r="D28" s="57" t="s">
        <v>27</v>
      </c>
      <c r="E28" s="91">
        <v>1083867012</v>
      </c>
      <c r="F28" s="86">
        <v>2280196</v>
      </c>
      <c r="G28" s="11" t="str">
        <f ca="1">IFERROR(__xludf.DUMMYFUNCTION("IFERROR(VLOOKUP(F51,IMPORTRANGE(""https://docs.google.com/spreadsheets/d/1Kvs4KS76FHFqLFIZfrDMff4kP08nblUkihrxltoGBjg/edit#gid=934712705"",""ESENCIAL!A6:BG""),3,FALSE))"),"TECNÓLOGO")</f>
        <v>TECNÓLOGO</v>
      </c>
      <c r="H28" s="11" t="str">
        <f ca="1">IFERROR(__xludf.DUMMYFUNCTION("IFERROR(VLOOKUP(F51,IMPORTRANGE(""https://docs.google.com/spreadsheets/d/1Kvs4KS76FHFqLFIZfrDMff4kP08nblUkihrxltoGBjg/edit#gid=934712705"",""ESENCIAL!A6:BG""),8,FALSE))"),"GESTIÓN DE RECURSOS NATURALES")</f>
        <v>GESTIÓN DE RECURSOS NATURALES</v>
      </c>
      <c r="I28" s="93">
        <v>573152565626</v>
      </c>
      <c r="J28" s="93" t="s">
        <v>144</v>
      </c>
      <c r="K28" s="30" t="s">
        <v>81</v>
      </c>
      <c r="L28" s="96" t="s">
        <v>28</v>
      </c>
      <c r="M28" s="94" t="s">
        <v>145</v>
      </c>
      <c r="N28" s="30" t="s">
        <v>146</v>
      </c>
      <c r="O28" s="54">
        <v>8734113</v>
      </c>
      <c r="P28" s="54" t="s">
        <v>81</v>
      </c>
      <c r="Q28" s="54" t="s">
        <v>147</v>
      </c>
      <c r="R28" s="90">
        <v>44867</v>
      </c>
      <c r="S28" s="92">
        <v>45047</v>
      </c>
      <c r="T28" s="95"/>
      <c r="U28" s="54"/>
      <c r="V28" s="54"/>
    </row>
    <row r="29" spans="1:22" ht="18" customHeight="1">
      <c r="A29" s="290"/>
      <c r="B29" s="145" t="s">
        <v>25</v>
      </c>
      <c r="C29" s="25" t="s">
        <v>148</v>
      </c>
      <c r="D29" s="57" t="s">
        <v>27</v>
      </c>
      <c r="E29" s="57">
        <v>36286569</v>
      </c>
      <c r="F29" s="26">
        <v>2280196</v>
      </c>
      <c r="G29" s="11" t="str">
        <f ca="1">IFERROR(__xludf.DUMMYFUNCTION("IFERROR(VLOOKUP(F52,IMPORTRANGE(""https://docs.google.com/spreadsheets/d/1Kvs4KS76FHFqLFIZfrDMff4kP08nblUkihrxltoGBjg/edit#gid=934712705"",""ESENCIAL!A6:BG""),3,FALSE))"),"TECNÓLOGO")</f>
        <v>TECNÓLOGO</v>
      </c>
      <c r="H29" s="11" t="str">
        <f ca="1">IFERROR(__xludf.DUMMYFUNCTION("IFERROR(VLOOKUP(F52,IMPORTRANGE(""https://docs.google.com/spreadsheets/d/1Kvs4KS76FHFqLFIZfrDMff4kP08nblUkihrxltoGBjg/edit#gid=934712705"",""ESENCIAL!A6:BG""),8,FALSE))"),"GESTIÓN DE RECURSOS NATURALES")</f>
        <v>GESTIÓN DE RECURSOS NATURALES</v>
      </c>
      <c r="I29" s="25"/>
      <c r="J29" s="82"/>
      <c r="K29" s="25"/>
      <c r="L29" s="296" t="s">
        <v>44</v>
      </c>
      <c r="M29" s="59"/>
      <c r="N29" s="25"/>
      <c r="O29" s="25"/>
      <c r="P29" s="25"/>
      <c r="Q29" s="25"/>
      <c r="R29" s="27"/>
      <c r="S29" s="27"/>
      <c r="T29" s="65" t="s">
        <v>149</v>
      </c>
      <c r="U29" s="28"/>
      <c r="V29" s="29"/>
    </row>
    <row r="30" spans="1:22" ht="18.75" customHeight="1">
      <c r="A30" s="290" t="s">
        <v>150</v>
      </c>
      <c r="B30" s="145" t="s">
        <v>25</v>
      </c>
      <c r="C30" s="56" t="s">
        <v>151</v>
      </c>
      <c r="D30" s="57" t="s">
        <v>27</v>
      </c>
      <c r="E30" s="91">
        <v>1000351207</v>
      </c>
      <c r="F30" s="86">
        <v>2541039</v>
      </c>
      <c r="G30" s="11" t="str">
        <f ca="1">IFERROR(__xludf.DUMMYFUNCTION("IFERROR(VLOOKUP(F53,IMPORTRANGE(""https://docs.google.com/spreadsheets/d/1Kvs4KS76FHFqLFIZfrDMff4kP08nblUkihrxltoGBjg/edit#gid=934712705"",""ESENCIAL!A6:BG""),3,FALSE))"),"TÉCNICO")</f>
        <v>TÉCNICO</v>
      </c>
      <c r="H30" s="11" t="str">
        <f ca="1">IFERROR(__xludf.DUMMYFUNCTION("IFERROR(VLOOKUP(F53,IMPORTRANGE(""https://docs.google.com/spreadsheets/d/1Kvs4KS76FHFqLFIZfrDMff4kP08nblUkihrxltoGBjg/edit#gid=934712705"",""ESENCIAL!A6:BG""),8,FALSE))"),"MONITOREO AMBIENTAL")</f>
        <v>MONITOREO AMBIENTAL</v>
      </c>
      <c r="I30" s="87"/>
      <c r="J30" s="87"/>
      <c r="K30" s="30"/>
      <c r="L30" s="296" t="s">
        <v>44</v>
      </c>
      <c r="M30" s="59"/>
      <c r="N30" s="30"/>
      <c r="O30" s="54"/>
      <c r="P30" s="54"/>
      <c r="Q30" s="54"/>
      <c r="R30" s="90"/>
      <c r="S30" s="92"/>
      <c r="T30" s="65" t="s">
        <v>152</v>
      </c>
      <c r="U30" s="54"/>
      <c r="V30" s="54"/>
    </row>
    <row r="31" spans="1:22" ht="18.75" hidden="1" customHeight="1">
      <c r="A31" s="290" t="s">
        <v>150</v>
      </c>
      <c r="B31" s="145" t="s">
        <v>25</v>
      </c>
      <c r="C31" s="56" t="s">
        <v>153</v>
      </c>
      <c r="D31" s="57" t="s">
        <v>27</v>
      </c>
      <c r="E31" s="91">
        <v>1004417474</v>
      </c>
      <c r="F31" s="86">
        <v>2541039</v>
      </c>
      <c r="G31" s="11" t="str">
        <f ca="1">IFERROR(__xludf.DUMMYFUNCTION("IFERROR(VLOOKUP(F54,IMPORTRANGE(""https://docs.google.com/spreadsheets/d/1Kvs4KS76FHFqLFIZfrDMff4kP08nblUkihrxltoGBjg/edit#gid=934712705"",""ESENCIAL!A6:BG""),3,FALSE))"),"TÉCNICO")</f>
        <v>TÉCNICO</v>
      </c>
      <c r="H31" s="11" t="str">
        <f ca="1">IFERROR(__xludf.DUMMYFUNCTION("IFERROR(VLOOKUP(F54,IMPORTRANGE(""https://docs.google.com/spreadsheets/d/1Kvs4KS76FHFqLFIZfrDMff4kP08nblUkihrxltoGBjg/edit#gid=934712705"",""ESENCIAL!A6:BG""),8,FALSE))"),"MONITOREO AMBIENTAL")</f>
        <v>MONITOREO AMBIENTAL</v>
      </c>
      <c r="I31" s="87">
        <v>3177995220</v>
      </c>
      <c r="J31" s="219" t="s">
        <v>154</v>
      </c>
      <c r="K31" s="154" t="s">
        <v>84</v>
      </c>
      <c r="L31" s="342" t="s">
        <v>28</v>
      </c>
      <c r="M31" s="59" t="s">
        <v>155</v>
      </c>
      <c r="N31" s="30" t="s">
        <v>156</v>
      </c>
      <c r="O31" s="54">
        <v>3208021865</v>
      </c>
      <c r="P31" s="54" t="s">
        <v>84</v>
      </c>
      <c r="Q31" s="220" t="s">
        <v>157</v>
      </c>
      <c r="R31" s="90">
        <v>44928</v>
      </c>
      <c r="S31" s="92" t="s">
        <v>158</v>
      </c>
      <c r="T31" s="65" t="s">
        <v>159</v>
      </c>
      <c r="U31" s="54"/>
      <c r="V31" s="54"/>
    </row>
    <row r="32" spans="1:22" ht="18.75" hidden="1" customHeight="1">
      <c r="A32" s="290"/>
      <c r="B32" s="145" t="s">
        <v>25</v>
      </c>
      <c r="C32" s="56" t="s">
        <v>160</v>
      </c>
      <c r="D32" s="57" t="s">
        <v>27</v>
      </c>
      <c r="E32" s="91">
        <v>1007328233</v>
      </c>
      <c r="F32" s="86">
        <v>2541039</v>
      </c>
      <c r="G32" s="11" t="str">
        <f ca="1">IFERROR(__xludf.DUMMYFUNCTION("IFERROR(VLOOKUP(F55,IMPORTRANGE(""https://docs.google.com/spreadsheets/d/1Kvs4KS76FHFqLFIZfrDMff4kP08nblUkihrxltoGBjg/edit#gid=934712705"",""ESENCIAL!A6:BG""),3,FALSE))"),"TÉCNICO")</f>
        <v>TÉCNICO</v>
      </c>
      <c r="H32" s="11" t="str">
        <f ca="1">IFERROR(__xludf.DUMMYFUNCTION("IFERROR(VLOOKUP(F55,IMPORTRANGE(""https://docs.google.com/spreadsheets/d/1Kvs4KS76FHFqLFIZfrDMff4kP08nblUkihrxltoGBjg/edit#gid=934712705"",""ESENCIAL!A6:BG""),8,FALSE))"),"MONITOREO AMBIENTAL")</f>
        <v>MONITOREO AMBIENTAL</v>
      </c>
      <c r="I32" s="87"/>
      <c r="J32" s="87"/>
      <c r="K32" s="30"/>
      <c r="L32" s="342" t="s">
        <v>161</v>
      </c>
      <c r="M32" s="59" t="s">
        <v>113</v>
      </c>
      <c r="N32" s="30" t="s">
        <v>73</v>
      </c>
      <c r="O32" s="54"/>
      <c r="P32" s="54" t="s">
        <v>84</v>
      </c>
      <c r="Q32" s="54"/>
      <c r="R32" s="90" t="s">
        <v>162</v>
      </c>
      <c r="S32" s="92" t="s">
        <v>163</v>
      </c>
      <c r="T32" s="65" t="s">
        <v>164</v>
      </c>
      <c r="U32" s="54"/>
      <c r="V32" s="54"/>
    </row>
    <row r="33" spans="1:22" ht="18.75" customHeight="1">
      <c r="A33" s="290"/>
      <c r="B33" s="145" t="s">
        <v>25</v>
      </c>
      <c r="C33" s="56" t="s">
        <v>165</v>
      </c>
      <c r="D33" s="57" t="s">
        <v>27</v>
      </c>
      <c r="E33" s="91">
        <v>1033685881</v>
      </c>
      <c r="F33" s="86">
        <v>2541039</v>
      </c>
      <c r="G33" s="11" t="str">
        <f ca="1">IFERROR(__xludf.DUMMYFUNCTION("IFERROR(VLOOKUP(F56,IMPORTRANGE(""https://docs.google.com/spreadsheets/d/1Kvs4KS76FHFqLFIZfrDMff4kP08nblUkihrxltoGBjg/edit#gid=934712705"",""ESENCIAL!A6:BG""),3,FALSE))"),"TÉCNICO")</f>
        <v>TÉCNICO</v>
      </c>
      <c r="H33" s="11" t="str">
        <f ca="1">IFERROR(__xludf.DUMMYFUNCTION("IFERROR(VLOOKUP(F56,IMPORTRANGE(""https://docs.google.com/spreadsheets/d/1Kvs4KS76FHFqLFIZfrDMff4kP08nblUkihrxltoGBjg/edit#gid=934712705"",""ESENCIAL!A6:BG""),8,FALSE))"),"MONITOREO AMBIENTAL")</f>
        <v>MONITOREO AMBIENTAL</v>
      </c>
      <c r="I33" s="87"/>
      <c r="J33" s="87"/>
      <c r="K33" s="30"/>
      <c r="L33" s="296" t="s">
        <v>44</v>
      </c>
      <c r="M33" s="59"/>
      <c r="N33" s="30"/>
      <c r="O33" s="54"/>
      <c r="P33" s="54"/>
      <c r="Q33" s="54"/>
      <c r="R33" s="90"/>
      <c r="S33" s="92"/>
      <c r="T33" s="65" t="s">
        <v>166</v>
      </c>
      <c r="U33" s="54"/>
      <c r="V33" s="54"/>
    </row>
    <row r="34" spans="1:22" ht="18.75" customHeight="1">
      <c r="A34" s="290"/>
      <c r="B34" s="145" t="s">
        <v>25</v>
      </c>
      <c r="C34" s="56" t="s">
        <v>167</v>
      </c>
      <c r="D34" s="57" t="s">
        <v>27</v>
      </c>
      <c r="E34" s="91">
        <v>1081700247</v>
      </c>
      <c r="F34" s="86">
        <v>2541039</v>
      </c>
      <c r="G34" s="11" t="str">
        <f ca="1">IFERROR(__xludf.DUMMYFUNCTION("IFERROR(VLOOKUP(F57,IMPORTRANGE(""https://docs.google.com/spreadsheets/d/1Kvs4KS76FHFqLFIZfrDMff4kP08nblUkihrxltoGBjg/edit#gid=934712705"",""ESENCIAL!A6:BG""),3,FALSE))"),"TÉCNICO")</f>
        <v>TÉCNICO</v>
      </c>
      <c r="H34" s="11" t="str">
        <f ca="1">IFERROR(__xludf.DUMMYFUNCTION("IFERROR(VLOOKUP(F57,IMPORTRANGE(""https://docs.google.com/spreadsheets/d/1Kvs4KS76FHFqLFIZfrDMff4kP08nblUkihrxltoGBjg/edit#gid=934712705"",""ESENCIAL!A6:BG""),8,FALSE))"),"MONITOREO AMBIENTAL")</f>
        <v>MONITOREO AMBIENTAL</v>
      </c>
      <c r="I34" s="87"/>
      <c r="J34" s="87"/>
      <c r="K34" s="30"/>
      <c r="L34" s="296" t="s">
        <v>44</v>
      </c>
      <c r="M34" s="59"/>
      <c r="N34" s="30"/>
      <c r="O34" s="54"/>
      <c r="P34" s="54"/>
      <c r="Q34" s="54"/>
      <c r="R34" s="90"/>
      <c r="S34" s="92"/>
      <c r="T34" s="65" t="s">
        <v>159</v>
      </c>
      <c r="U34" s="54"/>
      <c r="V34" s="54"/>
    </row>
    <row r="35" spans="1:22" ht="18.75" customHeight="1">
      <c r="A35" s="290" t="s">
        <v>150</v>
      </c>
      <c r="B35" s="145" t="s">
        <v>25</v>
      </c>
      <c r="C35" s="56" t="s">
        <v>168</v>
      </c>
      <c r="D35" s="57" t="s">
        <v>27</v>
      </c>
      <c r="E35" s="91">
        <v>1083864774</v>
      </c>
      <c r="F35" s="86">
        <v>2541039</v>
      </c>
      <c r="G35" s="11" t="str">
        <f ca="1">IFERROR(__xludf.DUMMYFUNCTION("IFERROR(VLOOKUP(F58,IMPORTRANGE(""https://docs.google.com/spreadsheets/d/1Kvs4KS76FHFqLFIZfrDMff4kP08nblUkihrxltoGBjg/edit#gid=934712705"",""ESENCIAL!A6:BG""),3,FALSE))"),"TÉCNICO")</f>
        <v>TÉCNICO</v>
      </c>
      <c r="H35" s="11" t="str">
        <f ca="1">IFERROR(__xludf.DUMMYFUNCTION("IFERROR(VLOOKUP(F58,IMPORTRANGE(""https://docs.google.com/spreadsheets/d/1Kvs4KS76FHFqLFIZfrDMff4kP08nblUkihrxltoGBjg/edit#gid=934712705"",""ESENCIAL!A6:BG""),8,FALSE))"),"MONITOREO AMBIENTAL")</f>
        <v>MONITOREO AMBIENTAL</v>
      </c>
      <c r="I35" s="87"/>
      <c r="J35" s="87"/>
      <c r="K35" s="30"/>
      <c r="L35" s="296" t="s">
        <v>44</v>
      </c>
      <c r="M35" s="59"/>
      <c r="N35" s="30"/>
      <c r="O35" s="54"/>
      <c r="P35" s="54"/>
      <c r="Q35" s="54"/>
      <c r="R35" s="90"/>
      <c r="S35" s="92"/>
      <c r="T35" s="65" t="s">
        <v>159</v>
      </c>
      <c r="U35" s="54"/>
      <c r="V35" s="54"/>
    </row>
    <row r="36" spans="1:22" ht="18.75" hidden="1" customHeight="1">
      <c r="A36" s="290" t="s">
        <v>150</v>
      </c>
      <c r="B36" s="145" t="s">
        <v>25</v>
      </c>
      <c r="C36" s="56" t="s">
        <v>169</v>
      </c>
      <c r="D36" s="57" t="s">
        <v>27</v>
      </c>
      <c r="E36" s="91">
        <v>1083865760</v>
      </c>
      <c r="F36" s="86">
        <v>2541039</v>
      </c>
      <c r="G36" s="11" t="str">
        <f ca="1">IFERROR(__xludf.DUMMYFUNCTION("IFERROR(VLOOKUP(F59,IMPORTRANGE(""https://docs.google.com/spreadsheets/d/1Kvs4KS76FHFqLFIZfrDMff4kP08nblUkihrxltoGBjg/edit#gid=934712705"",""ESENCIAL!A6:BG""),3,FALSE))"),"TÉCNICO")</f>
        <v>TÉCNICO</v>
      </c>
      <c r="H36" s="11" t="str">
        <f ca="1">IFERROR(__xludf.DUMMYFUNCTION("IFERROR(VLOOKUP(F59,IMPORTRANGE(""https://docs.google.com/spreadsheets/d/1Kvs4KS76FHFqLFIZfrDMff4kP08nblUkihrxltoGBjg/edit#gid=934712705"",""ESENCIAL!A6:BG""),8,FALSE))"),"MONITOREO AMBIENTAL")</f>
        <v>MONITOREO AMBIENTAL</v>
      </c>
      <c r="I36" s="87"/>
      <c r="J36" s="87"/>
      <c r="K36" s="30"/>
      <c r="L36" s="342" t="s">
        <v>161</v>
      </c>
      <c r="M36" s="59" t="s">
        <v>113</v>
      </c>
      <c r="N36" s="30" t="s">
        <v>73</v>
      </c>
      <c r="O36" s="54"/>
      <c r="P36" s="54" t="s">
        <v>84</v>
      </c>
      <c r="Q36" s="54"/>
      <c r="R36" s="90" t="s">
        <v>162</v>
      </c>
      <c r="S36" s="92" t="s">
        <v>163</v>
      </c>
      <c r="T36" s="65" t="s">
        <v>164</v>
      </c>
      <c r="U36" s="54"/>
      <c r="V36" s="54"/>
    </row>
    <row r="37" spans="1:22" ht="18.75" customHeight="1">
      <c r="A37" s="290"/>
      <c r="B37" s="145" t="s">
        <v>25</v>
      </c>
      <c r="C37" s="56" t="s">
        <v>170</v>
      </c>
      <c r="D37" s="57" t="s">
        <v>27</v>
      </c>
      <c r="E37" s="91">
        <v>1083869585</v>
      </c>
      <c r="F37" s="86">
        <v>2541039</v>
      </c>
      <c r="G37" s="11" t="str">
        <f ca="1">IFERROR(__xludf.DUMMYFUNCTION("IFERROR(VLOOKUP(F60,IMPORTRANGE(""https://docs.google.com/spreadsheets/d/1Kvs4KS76FHFqLFIZfrDMff4kP08nblUkihrxltoGBjg/edit#gid=934712705"",""ESENCIAL!A6:BG""),3,FALSE))"),"TÉCNICO")</f>
        <v>TÉCNICO</v>
      </c>
      <c r="H37" s="11" t="str">
        <f ca="1">IFERROR(__xludf.DUMMYFUNCTION("IFERROR(VLOOKUP(F60,IMPORTRANGE(""https://docs.google.com/spreadsheets/d/1Kvs4KS76FHFqLFIZfrDMff4kP08nblUkihrxltoGBjg/edit#gid=934712705"",""ESENCIAL!A6:BG""),8,FALSE))"),"MONITOREO AMBIENTAL")</f>
        <v>MONITOREO AMBIENTAL</v>
      </c>
      <c r="I37" s="87"/>
      <c r="J37" s="87"/>
      <c r="K37" s="30"/>
      <c r="L37" s="296" t="s">
        <v>44</v>
      </c>
      <c r="M37" s="59"/>
      <c r="N37" s="30"/>
      <c r="O37" s="54"/>
      <c r="P37" s="54"/>
      <c r="Q37" s="54"/>
      <c r="R37" s="90"/>
      <c r="S37" s="92"/>
      <c r="T37" s="65" t="s">
        <v>171</v>
      </c>
      <c r="U37" s="54"/>
      <c r="V37" s="54"/>
    </row>
    <row r="38" spans="1:22" ht="18.75" customHeight="1">
      <c r="A38" s="290"/>
      <c r="B38" s="145" t="s">
        <v>25</v>
      </c>
      <c r="C38" s="56" t="s">
        <v>172</v>
      </c>
      <c r="D38" s="57" t="s">
        <v>27</v>
      </c>
      <c r="E38" s="91">
        <v>1083872557</v>
      </c>
      <c r="F38" s="86">
        <v>2541039</v>
      </c>
      <c r="G38" s="11" t="str">
        <f ca="1">IFERROR(__xludf.DUMMYFUNCTION("IFERROR(VLOOKUP(F61,IMPORTRANGE(""https://docs.google.com/spreadsheets/d/1Kvs4KS76FHFqLFIZfrDMff4kP08nblUkihrxltoGBjg/edit#gid=934712705"",""ESENCIAL!A6:BG""),3,FALSE))"),"TÉCNICO")</f>
        <v>TÉCNICO</v>
      </c>
      <c r="H38" s="11" t="str">
        <f ca="1">IFERROR(__xludf.DUMMYFUNCTION("IFERROR(VLOOKUP(F61,IMPORTRANGE(""https://docs.google.com/spreadsheets/d/1Kvs4KS76FHFqLFIZfrDMff4kP08nblUkihrxltoGBjg/edit#gid=934712705"",""ESENCIAL!A6:BG""),8,FALSE))"),"MONITOREO AMBIENTAL")</f>
        <v>MONITOREO AMBIENTAL</v>
      </c>
      <c r="I38" s="87"/>
      <c r="J38" s="87"/>
      <c r="K38" s="30"/>
      <c r="L38" s="296" t="s">
        <v>44</v>
      </c>
      <c r="M38" s="59"/>
      <c r="N38" s="30"/>
      <c r="O38" s="54"/>
      <c r="P38" s="54"/>
      <c r="Q38" s="54"/>
      <c r="R38" s="90"/>
      <c r="S38" s="92"/>
      <c r="T38" s="65" t="s">
        <v>173</v>
      </c>
      <c r="U38" s="54"/>
      <c r="V38" s="54"/>
    </row>
    <row r="39" spans="1:22" ht="18.75" customHeight="1">
      <c r="A39" s="290"/>
      <c r="B39" s="145" t="s">
        <v>25</v>
      </c>
      <c r="C39" s="56" t="s">
        <v>174</v>
      </c>
      <c r="D39" s="57" t="s">
        <v>27</v>
      </c>
      <c r="E39" s="91">
        <v>1083931431</v>
      </c>
      <c r="F39" s="86">
        <v>2541039</v>
      </c>
      <c r="G39" s="11" t="str">
        <f ca="1">IFERROR(__xludf.DUMMYFUNCTION("IFERROR(VLOOKUP(F62,IMPORTRANGE(""https://docs.google.com/spreadsheets/d/1Kvs4KS76FHFqLFIZfrDMff4kP08nblUkihrxltoGBjg/edit#gid=934712705"",""ESENCIAL!A6:BG""),3,FALSE))"),"TÉCNICO")</f>
        <v>TÉCNICO</v>
      </c>
      <c r="H39" s="11" t="str">
        <f ca="1">IFERROR(__xludf.DUMMYFUNCTION("IFERROR(VLOOKUP(F62,IMPORTRANGE(""https://docs.google.com/spreadsheets/d/1Kvs4KS76FHFqLFIZfrDMff4kP08nblUkihrxltoGBjg/edit#gid=934712705"",""ESENCIAL!A6:BG""),8,FALSE))"),"MONITOREO AMBIENTAL")</f>
        <v>MONITOREO AMBIENTAL</v>
      </c>
      <c r="I39" s="87"/>
      <c r="J39" s="87"/>
      <c r="K39" s="30"/>
      <c r="L39" s="296" t="s">
        <v>44</v>
      </c>
      <c r="M39" s="59"/>
      <c r="N39" s="30"/>
      <c r="O39" s="54"/>
      <c r="P39" s="54"/>
      <c r="Q39" s="54"/>
      <c r="R39" s="90"/>
      <c r="S39" s="92"/>
      <c r="T39" s="65" t="s">
        <v>171</v>
      </c>
      <c r="U39" s="54"/>
      <c r="V39" s="54"/>
    </row>
    <row r="40" spans="1:22" ht="18.75" customHeight="1">
      <c r="A40" s="290"/>
      <c r="B40" s="145" t="s">
        <v>25</v>
      </c>
      <c r="C40" s="56" t="s">
        <v>175</v>
      </c>
      <c r="D40" s="57" t="s">
        <v>27</v>
      </c>
      <c r="E40" s="91">
        <v>1117839291</v>
      </c>
      <c r="F40" s="86">
        <v>2541039</v>
      </c>
      <c r="G40" s="11" t="str">
        <f ca="1">IFERROR(__xludf.DUMMYFUNCTION("IFERROR(VLOOKUP(F63,IMPORTRANGE(""https://docs.google.com/spreadsheets/d/1Kvs4KS76FHFqLFIZfrDMff4kP08nblUkihrxltoGBjg/edit#gid=934712705"",""ESENCIAL!A6:BG""),3,FALSE))"),"TÉCNICO")</f>
        <v>TÉCNICO</v>
      </c>
      <c r="H40" s="11" t="str">
        <f ca="1">IFERROR(__xludf.DUMMYFUNCTION("IFERROR(VLOOKUP(F63,IMPORTRANGE(""https://docs.google.com/spreadsheets/d/1Kvs4KS76FHFqLFIZfrDMff4kP08nblUkihrxltoGBjg/edit#gid=934712705"",""ESENCIAL!A6:BG""),8,FALSE))"),"MONITOREO AMBIENTAL")</f>
        <v>MONITOREO AMBIENTAL</v>
      </c>
      <c r="I40" s="87"/>
      <c r="J40" s="87"/>
      <c r="K40" s="30"/>
      <c r="L40" s="296" t="s">
        <v>44</v>
      </c>
      <c r="M40" s="59"/>
      <c r="N40" s="30"/>
      <c r="O40" s="54"/>
      <c r="P40" s="54"/>
      <c r="Q40" s="54"/>
      <c r="R40" s="90"/>
      <c r="S40" s="92"/>
      <c r="T40" s="65" t="s">
        <v>176</v>
      </c>
      <c r="U40" s="54"/>
      <c r="V40" s="54"/>
    </row>
    <row r="41" spans="1:22" ht="18.75" customHeight="1">
      <c r="A41" s="290"/>
      <c r="B41" s="145" t="s">
        <v>25</v>
      </c>
      <c r="C41" s="56" t="s">
        <v>177</v>
      </c>
      <c r="D41" s="57" t="s">
        <v>27</v>
      </c>
      <c r="E41" s="91">
        <v>39820248</v>
      </c>
      <c r="F41" s="86">
        <v>2541039</v>
      </c>
      <c r="G41" s="11" t="str">
        <f ca="1">IFERROR(__xludf.DUMMYFUNCTION("IFERROR(VLOOKUP(F64,IMPORTRANGE(""https://docs.google.com/spreadsheets/d/1Kvs4KS76FHFqLFIZfrDMff4kP08nblUkihrxltoGBjg/edit#gid=934712705"",""ESENCIAL!A6:BG""),3,FALSE))"),"TÉCNICO")</f>
        <v>TÉCNICO</v>
      </c>
      <c r="H41" s="11" t="str">
        <f ca="1">IFERROR(__xludf.DUMMYFUNCTION("IFERROR(VLOOKUP(F64,IMPORTRANGE(""https://docs.google.com/spreadsheets/d/1Kvs4KS76FHFqLFIZfrDMff4kP08nblUkihrxltoGBjg/edit#gid=934712705"",""ESENCIAL!A6:BG""),8,FALSE))"),"MONITOREO AMBIENTAL")</f>
        <v>MONITOREO AMBIENTAL</v>
      </c>
      <c r="I41" s="87"/>
      <c r="J41" s="87"/>
      <c r="K41" s="30"/>
      <c r="L41" s="296" t="s">
        <v>44</v>
      </c>
      <c r="M41" s="59"/>
      <c r="N41" s="30"/>
      <c r="O41" s="54"/>
      <c r="P41" s="54"/>
      <c r="Q41" s="54"/>
      <c r="R41" s="90"/>
      <c r="S41" s="92"/>
      <c r="T41" s="65" t="s">
        <v>159</v>
      </c>
      <c r="U41" s="54"/>
      <c r="V41" s="54"/>
    </row>
    <row r="42" spans="1:22" ht="18.75" customHeight="1">
      <c r="A42" s="290"/>
      <c r="B42" s="145" t="s">
        <v>25</v>
      </c>
      <c r="C42" s="56" t="s">
        <v>178</v>
      </c>
      <c r="D42" s="57" t="s">
        <v>27</v>
      </c>
      <c r="E42" s="91">
        <v>80149579</v>
      </c>
      <c r="F42" s="86">
        <v>2541039</v>
      </c>
      <c r="G42" s="11" t="str">
        <f ca="1">IFERROR(__xludf.DUMMYFUNCTION("IFERROR(VLOOKUP(F65,IMPORTRANGE(""https://docs.google.com/spreadsheets/d/1Kvs4KS76FHFqLFIZfrDMff4kP08nblUkihrxltoGBjg/edit#gid=934712705"",""ESENCIAL!A6:BG""),3,FALSE))"),"TÉCNICO")</f>
        <v>TÉCNICO</v>
      </c>
      <c r="H42" s="11" t="str">
        <f ca="1">IFERROR(__xludf.DUMMYFUNCTION("IFERROR(VLOOKUP(F65,IMPORTRANGE(""https://docs.google.com/spreadsheets/d/1Kvs4KS76FHFqLFIZfrDMff4kP08nblUkihrxltoGBjg/edit#gid=934712705"",""ESENCIAL!A6:BG""),8,FALSE))"),"MONITOREO AMBIENTAL")</f>
        <v>MONITOREO AMBIENTAL</v>
      </c>
      <c r="I42" s="87"/>
      <c r="J42" s="87"/>
      <c r="K42" s="30"/>
      <c r="L42" s="296" t="s">
        <v>44</v>
      </c>
      <c r="M42" s="59"/>
      <c r="N42" s="30"/>
      <c r="O42" s="54"/>
      <c r="P42" s="54"/>
      <c r="Q42" s="54"/>
      <c r="R42" s="90"/>
      <c r="S42" s="92"/>
      <c r="T42" s="65" t="s">
        <v>179</v>
      </c>
      <c r="U42" s="54"/>
      <c r="V42" s="54"/>
    </row>
    <row r="43" spans="1:22" ht="15">
      <c r="A43" s="101"/>
      <c r="B43" s="4"/>
      <c r="F43" s="66"/>
      <c r="G43" s="5" t="str">
        <f ca="1">IFERROR(__xludf.DUMMYFUNCTION("IFERROR(VLOOKUP(F81,IMPORTRANGE(""https://docs.google.com/spreadsheets/d/1Kvs4KS76FHFqLFIZfrDMff4kP08nblUkihrxltoGBjg/edit#gid=934712705"",""ESENCIAL!A6:BG""),3,FALSE))"),"")</f>
        <v/>
      </c>
      <c r="H43" s="5" t="str">
        <f ca="1">IFERROR(__xludf.DUMMYFUNCTION("IFERROR(VLOOKUP(F81,IMPORTRANGE(""https://docs.google.com/spreadsheets/d/1Kvs4KS76FHFqLFIZfrDMff4kP08nblUkihrxltoGBjg/edit#gid=934712705"",""ESENCIAL!A6:BG""),8,FALSE))"),"")</f>
        <v/>
      </c>
      <c r="L43" s="287"/>
      <c r="V43" s="66"/>
    </row>
    <row r="44" spans="1:22" ht="15">
      <c r="A44" s="101"/>
      <c r="B44" s="4"/>
      <c r="F44" s="66"/>
      <c r="G44" s="5" t="str">
        <f ca="1">IFERROR(__xludf.DUMMYFUNCTION("IFERROR(VLOOKUP(F82,IMPORTRANGE(""https://docs.google.com/spreadsheets/d/1Kvs4KS76FHFqLFIZfrDMff4kP08nblUkihrxltoGBjg/edit#gid=934712705"",""ESENCIAL!A6:BG""),3,FALSE))"),"")</f>
        <v/>
      </c>
      <c r="H44" s="5" t="str">
        <f ca="1">IFERROR(__xludf.DUMMYFUNCTION("IFERROR(VLOOKUP(F82,IMPORTRANGE(""https://docs.google.com/spreadsheets/d/1Kvs4KS76FHFqLFIZfrDMff4kP08nblUkihrxltoGBjg/edit#gid=934712705"",""ESENCIAL!A6:BG""),8,FALSE))"),"")</f>
        <v/>
      </c>
      <c r="L44" s="287"/>
      <c r="V44" s="66"/>
    </row>
    <row r="45" spans="1:22" ht="15">
      <c r="A45" s="101"/>
      <c r="B45" s="4"/>
      <c r="F45" s="66"/>
      <c r="G45" s="5" t="str">
        <f ca="1">IFERROR(__xludf.DUMMYFUNCTION("IFERROR(VLOOKUP(F83,IMPORTRANGE(""https://docs.google.com/spreadsheets/d/1Kvs4KS76FHFqLFIZfrDMff4kP08nblUkihrxltoGBjg/edit#gid=934712705"",""ESENCIAL!A6:BG""),3,FALSE))"),"")</f>
        <v/>
      </c>
      <c r="H45" s="5" t="str">
        <f ca="1">IFERROR(__xludf.DUMMYFUNCTION("IFERROR(VLOOKUP(F83,IMPORTRANGE(""https://docs.google.com/spreadsheets/d/1Kvs4KS76FHFqLFIZfrDMff4kP08nblUkihrxltoGBjg/edit#gid=934712705"",""ESENCIAL!A6:BG""),8,FALSE))"),"")</f>
        <v/>
      </c>
      <c r="I45" t="s">
        <v>180</v>
      </c>
      <c r="L45" s="287"/>
      <c r="V45" s="66"/>
    </row>
    <row r="46" spans="1:22" ht="15">
      <c r="A46" s="101"/>
      <c r="B46" s="4"/>
      <c r="F46" s="66"/>
      <c r="G46" s="5" t="str">
        <f ca="1">IFERROR(__xludf.DUMMYFUNCTION("IFERROR(VLOOKUP(F84,IMPORTRANGE(""https://docs.google.com/spreadsheets/d/1Kvs4KS76FHFqLFIZfrDMff4kP08nblUkihrxltoGBjg/edit#gid=934712705"",""ESENCIAL!A6:BG""),3,FALSE))"),"")</f>
        <v/>
      </c>
      <c r="H46" s="5" t="str">
        <f ca="1">IFERROR(__xludf.DUMMYFUNCTION("IFERROR(VLOOKUP(F84,IMPORTRANGE(""https://docs.google.com/spreadsheets/d/1Kvs4KS76FHFqLFIZfrDMff4kP08nblUkihrxltoGBjg/edit#gid=934712705"",""ESENCIAL!A6:BG""),8,FALSE))"),"")</f>
        <v/>
      </c>
      <c r="L46" s="287"/>
      <c r="V46" s="66"/>
    </row>
    <row r="47" spans="1:22" ht="15">
      <c r="A47" s="101"/>
      <c r="B47" s="4"/>
      <c r="F47" s="66"/>
      <c r="G47" s="5" t="str">
        <f ca="1">IFERROR(__xludf.DUMMYFUNCTION("IFERROR(VLOOKUP(F85,IMPORTRANGE(""https://docs.google.com/spreadsheets/d/1Kvs4KS76FHFqLFIZfrDMff4kP08nblUkihrxltoGBjg/edit#gid=934712705"",""ESENCIAL!A6:BG""),3,FALSE))"),"")</f>
        <v/>
      </c>
      <c r="H47" s="5" t="str">
        <f ca="1">IFERROR(__xludf.DUMMYFUNCTION("IFERROR(VLOOKUP(F85,IMPORTRANGE(""https://docs.google.com/spreadsheets/d/1Kvs4KS76FHFqLFIZfrDMff4kP08nblUkihrxltoGBjg/edit#gid=934712705"",""ESENCIAL!A6:BG""),8,FALSE))"),"")</f>
        <v/>
      </c>
      <c r="L47" s="287"/>
      <c r="V47" s="66"/>
    </row>
    <row r="48" spans="1:22" ht="15">
      <c r="A48" s="101"/>
      <c r="B48" s="4"/>
      <c r="F48" s="66"/>
      <c r="G48" s="5" t="str">
        <f ca="1">IFERROR(__xludf.DUMMYFUNCTION("IFERROR(VLOOKUP(F86,IMPORTRANGE(""https://docs.google.com/spreadsheets/d/1Kvs4KS76FHFqLFIZfrDMff4kP08nblUkihrxltoGBjg/edit#gid=934712705"",""ESENCIAL!A6:BG""),3,FALSE))"),"")</f>
        <v/>
      </c>
      <c r="H48" s="5" t="str">
        <f ca="1">IFERROR(__xludf.DUMMYFUNCTION("IFERROR(VLOOKUP(F86,IMPORTRANGE(""https://docs.google.com/spreadsheets/d/1Kvs4KS76FHFqLFIZfrDMff4kP08nblUkihrxltoGBjg/edit#gid=934712705"",""ESENCIAL!A6:BG""),8,FALSE))"),"")</f>
        <v/>
      </c>
      <c r="L48" s="287"/>
      <c r="V48" s="66"/>
    </row>
    <row r="49" spans="1:22" ht="15">
      <c r="A49" s="101"/>
      <c r="B49" s="4"/>
      <c r="F49" s="66"/>
      <c r="G49" s="5" t="str">
        <f ca="1">IFERROR(__xludf.DUMMYFUNCTION("IFERROR(VLOOKUP(F87,IMPORTRANGE(""https://docs.google.com/spreadsheets/d/1Kvs4KS76FHFqLFIZfrDMff4kP08nblUkihrxltoGBjg/edit#gid=934712705"",""ESENCIAL!A6:BG""),3,FALSE))"),"")</f>
        <v/>
      </c>
      <c r="H49" s="5" t="str">
        <f ca="1">IFERROR(__xludf.DUMMYFUNCTION("IFERROR(VLOOKUP(F87,IMPORTRANGE(""https://docs.google.com/spreadsheets/d/1Kvs4KS76FHFqLFIZfrDMff4kP08nblUkihrxltoGBjg/edit#gid=934712705"",""ESENCIAL!A6:BG""),8,FALSE))"),"")</f>
        <v/>
      </c>
      <c r="L49" s="287"/>
      <c r="V49" s="66"/>
    </row>
    <row r="50" spans="1:22" ht="15">
      <c r="A50" s="101"/>
      <c r="B50" s="4"/>
      <c r="F50" s="66"/>
      <c r="G50" s="5" t="str">
        <f ca="1">IFERROR(__xludf.DUMMYFUNCTION("IFERROR(VLOOKUP(F88,IMPORTRANGE(""https://docs.google.com/spreadsheets/d/1Kvs4KS76FHFqLFIZfrDMff4kP08nblUkihrxltoGBjg/edit#gid=934712705"",""ESENCIAL!A6:BG""),3,FALSE))"),"")</f>
        <v/>
      </c>
      <c r="H50" s="5" t="str">
        <f ca="1">IFERROR(__xludf.DUMMYFUNCTION("IFERROR(VLOOKUP(F88,IMPORTRANGE(""https://docs.google.com/spreadsheets/d/1Kvs4KS76FHFqLFIZfrDMff4kP08nblUkihrxltoGBjg/edit#gid=934712705"",""ESENCIAL!A6:BG""),8,FALSE))"),"")</f>
        <v/>
      </c>
      <c r="L50" s="287"/>
      <c r="V50" s="66"/>
    </row>
    <row r="51" spans="1:22" ht="15">
      <c r="A51" s="101"/>
      <c r="B51" s="4"/>
      <c r="F51" s="66"/>
      <c r="G51" s="5" t="str">
        <f ca="1">IFERROR(__xludf.DUMMYFUNCTION("IFERROR(VLOOKUP(F89,IMPORTRANGE(""https://docs.google.com/spreadsheets/d/1Kvs4KS76FHFqLFIZfrDMff4kP08nblUkihrxltoGBjg/edit#gid=934712705"",""ESENCIAL!A6:BG""),3,FALSE))"),"")</f>
        <v/>
      </c>
      <c r="H51" s="5" t="str">
        <f ca="1">IFERROR(__xludf.DUMMYFUNCTION("IFERROR(VLOOKUP(F89,IMPORTRANGE(""https://docs.google.com/spreadsheets/d/1Kvs4KS76FHFqLFIZfrDMff4kP08nblUkihrxltoGBjg/edit#gid=934712705"",""ESENCIAL!A6:BG""),8,FALSE))"),"")</f>
        <v/>
      </c>
      <c r="L51" s="287"/>
      <c r="V51" s="66"/>
    </row>
    <row r="52" spans="1:22" ht="15">
      <c r="A52" s="101"/>
      <c r="B52" s="4"/>
      <c r="F52" s="66"/>
      <c r="G52" s="5" t="str">
        <f ca="1">IFERROR(__xludf.DUMMYFUNCTION("IFERROR(VLOOKUP(F90,IMPORTRANGE(""https://docs.google.com/spreadsheets/d/1Kvs4KS76FHFqLFIZfrDMff4kP08nblUkihrxltoGBjg/edit#gid=934712705"",""ESENCIAL!A6:BG""),3,FALSE))"),"")</f>
        <v/>
      </c>
      <c r="H52" s="5" t="str">
        <f ca="1">IFERROR(__xludf.DUMMYFUNCTION("IFERROR(VLOOKUP(F90,IMPORTRANGE(""https://docs.google.com/spreadsheets/d/1Kvs4KS76FHFqLFIZfrDMff4kP08nblUkihrxltoGBjg/edit#gid=934712705"",""ESENCIAL!A6:BG""),8,FALSE))"),"")</f>
        <v/>
      </c>
      <c r="L52" s="287"/>
      <c r="V52" s="66"/>
    </row>
    <row r="53" spans="1:22" ht="15">
      <c r="A53" s="101"/>
      <c r="B53" s="4"/>
      <c r="F53" s="66"/>
      <c r="G53" s="5" t="str">
        <f ca="1">IFERROR(__xludf.DUMMYFUNCTION("IFERROR(VLOOKUP(F91,IMPORTRANGE(""https://docs.google.com/spreadsheets/d/1Kvs4KS76FHFqLFIZfrDMff4kP08nblUkihrxltoGBjg/edit#gid=934712705"",""ESENCIAL!A6:BG""),3,FALSE))"),"")</f>
        <v/>
      </c>
      <c r="H53" s="5" t="str">
        <f ca="1">IFERROR(__xludf.DUMMYFUNCTION("IFERROR(VLOOKUP(F91,IMPORTRANGE(""https://docs.google.com/spreadsheets/d/1Kvs4KS76FHFqLFIZfrDMff4kP08nblUkihrxltoGBjg/edit#gid=934712705"",""ESENCIAL!A6:BG""),8,FALSE))"),"")</f>
        <v/>
      </c>
      <c r="L53" s="287"/>
      <c r="V53" s="66"/>
    </row>
    <row r="54" spans="1:22" ht="15">
      <c r="A54" s="101"/>
      <c r="B54" s="4"/>
      <c r="F54" s="66"/>
      <c r="G54" s="5" t="str">
        <f ca="1">IFERROR(__xludf.DUMMYFUNCTION("IFERROR(VLOOKUP(F92,IMPORTRANGE(""https://docs.google.com/spreadsheets/d/1Kvs4KS76FHFqLFIZfrDMff4kP08nblUkihrxltoGBjg/edit#gid=934712705"",""ESENCIAL!A6:BG""),3,FALSE))"),"")</f>
        <v/>
      </c>
      <c r="H54" s="5" t="str">
        <f ca="1">IFERROR(__xludf.DUMMYFUNCTION("IFERROR(VLOOKUP(F92,IMPORTRANGE(""https://docs.google.com/spreadsheets/d/1Kvs4KS76FHFqLFIZfrDMff4kP08nblUkihrxltoGBjg/edit#gid=934712705"",""ESENCIAL!A6:BG""),8,FALSE))"),"")</f>
        <v/>
      </c>
      <c r="L54" s="287"/>
      <c r="V54" s="66"/>
    </row>
    <row r="55" spans="1:22" ht="15">
      <c r="A55" s="101"/>
      <c r="B55" s="4"/>
      <c r="F55" s="66"/>
      <c r="G55" s="5" t="str">
        <f ca="1">IFERROR(__xludf.DUMMYFUNCTION("IFERROR(VLOOKUP(F93,IMPORTRANGE(""https://docs.google.com/spreadsheets/d/1Kvs4KS76FHFqLFIZfrDMff4kP08nblUkihrxltoGBjg/edit#gid=934712705"",""ESENCIAL!A6:BG""),3,FALSE))"),"")</f>
        <v/>
      </c>
      <c r="H55" s="5" t="str">
        <f ca="1">IFERROR(__xludf.DUMMYFUNCTION("IFERROR(VLOOKUP(F93,IMPORTRANGE(""https://docs.google.com/spreadsheets/d/1Kvs4KS76FHFqLFIZfrDMff4kP08nblUkihrxltoGBjg/edit#gid=934712705"",""ESENCIAL!A6:BG""),8,FALSE))"),"")</f>
        <v/>
      </c>
      <c r="L55" s="287"/>
      <c r="V55" s="66"/>
    </row>
    <row r="56" spans="1:22" ht="15">
      <c r="A56" s="101"/>
      <c r="B56" s="4"/>
      <c r="F56" s="66"/>
      <c r="G56" s="5" t="str">
        <f ca="1">IFERROR(__xludf.DUMMYFUNCTION("IFERROR(VLOOKUP(F94,IMPORTRANGE(""https://docs.google.com/spreadsheets/d/1Kvs4KS76FHFqLFIZfrDMff4kP08nblUkihrxltoGBjg/edit#gid=934712705"",""ESENCIAL!A6:BG""),3,FALSE))"),"")</f>
        <v/>
      </c>
      <c r="H56" s="5" t="str">
        <f ca="1">IFERROR(__xludf.DUMMYFUNCTION("IFERROR(VLOOKUP(F94,IMPORTRANGE(""https://docs.google.com/spreadsheets/d/1Kvs4KS76FHFqLFIZfrDMff4kP08nblUkihrxltoGBjg/edit#gid=934712705"",""ESENCIAL!A6:BG""),8,FALSE))"),"")</f>
        <v/>
      </c>
      <c r="L56" s="287"/>
      <c r="V56" s="66"/>
    </row>
    <row r="57" spans="1:22" ht="15">
      <c r="A57" s="101"/>
      <c r="B57" s="4"/>
      <c r="F57" s="66"/>
      <c r="G57" s="5" t="str">
        <f ca="1">IFERROR(__xludf.DUMMYFUNCTION("IFERROR(VLOOKUP(F95,IMPORTRANGE(""https://docs.google.com/spreadsheets/d/1Kvs4KS76FHFqLFIZfrDMff4kP08nblUkihrxltoGBjg/edit#gid=934712705"",""ESENCIAL!A6:BG""),3,FALSE))"),"")</f>
        <v/>
      </c>
      <c r="H57" s="5" t="str">
        <f ca="1">IFERROR(__xludf.DUMMYFUNCTION("IFERROR(VLOOKUP(F95,IMPORTRANGE(""https://docs.google.com/spreadsheets/d/1Kvs4KS76FHFqLFIZfrDMff4kP08nblUkihrxltoGBjg/edit#gid=934712705"",""ESENCIAL!A6:BG""),8,FALSE))"),"")</f>
        <v/>
      </c>
      <c r="L57" s="287"/>
      <c r="V57" s="66"/>
    </row>
    <row r="58" spans="1:22" ht="15">
      <c r="A58" s="101"/>
      <c r="B58" s="4"/>
      <c r="F58" s="66"/>
      <c r="G58" s="5" t="str">
        <f ca="1">IFERROR(__xludf.DUMMYFUNCTION("IFERROR(VLOOKUP(F96,IMPORTRANGE(""https://docs.google.com/spreadsheets/d/1Kvs4KS76FHFqLFIZfrDMff4kP08nblUkihrxltoGBjg/edit#gid=934712705"",""ESENCIAL!A6:BG""),3,FALSE))"),"")</f>
        <v/>
      </c>
      <c r="H58" s="5" t="str">
        <f ca="1">IFERROR(__xludf.DUMMYFUNCTION("IFERROR(VLOOKUP(F96,IMPORTRANGE(""https://docs.google.com/spreadsheets/d/1Kvs4KS76FHFqLFIZfrDMff4kP08nblUkihrxltoGBjg/edit#gid=934712705"",""ESENCIAL!A6:BG""),8,FALSE))"),"")</f>
        <v/>
      </c>
      <c r="L58" s="287"/>
      <c r="V58" s="66"/>
    </row>
    <row r="59" spans="1:22" ht="15">
      <c r="A59" s="101"/>
      <c r="B59" s="4"/>
      <c r="F59" s="66"/>
      <c r="G59" s="5" t="str">
        <f ca="1">IFERROR(__xludf.DUMMYFUNCTION("IFERROR(VLOOKUP(F97,IMPORTRANGE(""https://docs.google.com/spreadsheets/d/1Kvs4KS76FHFqLFIZfrDMff4kP08nblUkihrxltoGBjg/edit#gid=934712705"",""ESENCIAL!A6:BG""),3,FALSE))"),"")</f>
        <v/>
      </c>
      <c r="H59" s="5" t="str">
        <f ca="1">IFERROR(__xludf.DUMMYFUNCTION("IFERROR(VLOOKUP(F97,IMPORTRANGE(""https://docs.google.com/spreadsheets/d/1Kvs4KS76FHFqLFIZfrDMff4kP08nblUkihrxltoGBjg/edit#gid=934712705"",""ESENCIAL!A6:BG""),8,FALSE))"),"")</f>
        <v/>
      </c>
      <c r="L59" s="287"/>
      <c r="V59" s="66"/>
    </row>
    <row r="60" spans="1:22" ht="15">
      <c r="A60" s="101"/>
      <c r="B60" s="4"/>
      <c r="F60" s="66"/>
      <c r="G60" s="5" t="str">
        <f ca="1">IFERROR(__xludf.DUMMYFUNCTION("IFERROR(VLOOKUP(F98,IMPORTRANGE(""https://docs.google.com/spreadsheets/d/1Kvs4KS76FHFqLFIZfrDMff4kP08nblUkihrxltoGBjg/edit#gid=934712705"",""ESENCIAL!A6:BG""),3,FALSE))"),"")</f>
        <v/>
      </c>
      <c r="H60" s="5" t="str">
        <f ca="1">IFERROR(__xludf.DUMMYFUNCTION("IFERROR(VLOOKUP(F98,IMPORTRANGE(""https://docs.google.com/spreadsheets/d/1Kvs4KS76FHFqLFIZfrDMff4kP08nblUkihrxltoGBjg/edit#gid=934712705"",""ESENCIAL!A6:BG""),8,FALSE))"),"")</f>
        <v/>
      </c>
      <c r="L60" s="287"/>
      <c r="V60" s="66"/>
    </row>
    <row r="61" spans="1:22" ht="15">
      <c r="A61" s="101"/>
      <c r="B61" s="4"/>
      <c r="F61" s="66"/>
      <c r="G61" s="5" t="str">
        <f ca="1">IFERROR(__xludf.DUMMYFUNCTION("IFERROR(VLOOKUP(F99,IMPORTRANGE(""https://docs.google.com/spreadsheets/d/1Kvs4KS76FHFqLFIZfrDMff4kP08nblUkihrxltoGBjg/edit#gid=934712705"",""ESENCIAL!A6:BG""),3,FALSE))"),"")</f>
        <v/>
      </c>
      <c r="H61" s="5" t="str">
        <f ca="1">IFERROR(__xludf.DUMMYFUNCTION("IFERROR(VLOOKUP(F99,IMPORTRANGE(""https://docs.google.com/spreadsheets/d/1Kvs4KS76FHFqLFIZfrDMff4kP08nblUkihrxltoGBjg/edit#gid=934712705"",""ESENCIAL!A6:BG""),8,FALSE))"),"")</f>
        <v/>
      </c>
      <c r="L61" s="287"/>
      <c r="V61" s="66"/>
    </row>
    <row r="62" spans="1:22" ht="15">
      <c r="A62" s="101"/>
      <c r="B62" s="4"/>
      <c r="F62" s="66"/>
      <c r="G62" s="5" t="str">
        <f ca="1">IFERROR(__xludf.DUMMYFUNCTION("IFERROR(VLOOKUP(F100,IMPORTRANGE(""https://docs.google.com/spreadsheets/d/1Kvs4KS76FHFqLFIZfrDMff4kP08nblUkihrxltoGBjg/edit#gid=934712705"",""ESENCIAL!A6:BG""),3,FALSE))"),"")</f>
        <v/>
      </c>
      <c r="H62" s="5" t="str">
        <f ca="1">IFERROR(__xludf.DUMMYFUNCTION("IFERROR(VLOOKUP(F100,IMPORTRANGE(""https://docs.google.com/spreadsheets/d/1Kvs4KS76FHFqLFIZfrDMff4kP08nblUkihrxltoGBjg/edit#gid=934712705"",""ESENCIAL!A6:BG""),8,FALSE))"),"")</f>
        <v/>
      </c>
      <c r="L62" s="287"/>
      <c r="V62" s="66"/>
    </row>
    <row r="63" spans="1:22" ht="15">
      <c r="A63" s="101"/>
      <c r="B63" s="4"/>
      <c r="F63" s="66"/>
      <c r="G63" s="5" t="str">
        <f ca="1">IFERROR(__xludf.DUMMYFUNCTION("IFERROR(VLOOKUP(F101,IMPORTRANGE(""https://docs.google.com/spreadsheets/d/1Kvs4KS76FHFqLFIZfrDMff4kP08nblUkihrxltoGBjg/edit#gid=934712705"",""ESENCIAL!A6:BG""),3,FALSE))"),"")</f>
        <v/>
      </c>
      <c r="H63" s="5" t="str">
        <f ca="1">IFERROR(__xludf.DUMMYFUNCTION("IFERROR(VLOOKUP(F101,IMPORTRANGE(""https://docs.google.com/spreadsheets/d/1Kvs4KS76FHFqLFIZfrDMff4kP08nblUkihrxltoGBjg/edit#gid=934712705"",""ESENCIAL!A6:BG""),8,FALSE))"),"")</f>
        <v/>
      </c>
      <c r="L63" s="287"/>
      <c r="V63" s="66"/>
    </row>
    <row r="64" spans="1:22" ht="15">
      <c r="A64" s="101"/>
      <c r="B64" s="4"/>
      <c r="F64" s="66"/>
      <c r="G64" s="5" t="str">
        <f ca="1">IFERROR(__xludf.DUMMYFUNCTION("IFERROR(VLOOKUP(F102,IMPORTRANGE(""https://docs.google.com/spreadsheets/d/1Kvs4KS76FHFqLFIZfrDMff4kP08nblUkihrxltoGBjg/edit#gid=934712705"",""ESENCIAL!A6:BG""),3,FALSE))"),"")</f>
        <v/>
      </c>
      <c r="H64" s="5" t="str">
        <f ca="1">IFERROR(__xludf.DUMMYFUNCTION("IFERROR(VLOOKUP(F102,IMPORTRANGE(""https://docs.google.com/spreadsheets/d/1Kvs4KS76FHFqLFIZfrDMff4kP08nblUkihrxltoGBjg/edit#gid=934712705"",""ESENCIAL!A6:BG""),8,FALSE))"),"")</f>
        <v/>
      </c>
      <c r="L64" s="287"/>
      <c r="V64" s="66"/>
    </row>
    <row r="65" spans="1:22" ht="15">
      <c r="A65" s="101"/>
      <c r="B65" s="4"/>
      <c r="F65" s="66"/>
      <c r="G65" s="5" t="str">
        <f ca="1">IFERROR(__xludf.DUMMYFUNCTION("IFERROR(VLOOKUP(F103,IMPORTRANGE(""https://docs.google.com/spreadsheets/d/1Kvs4KS76FHFqLFIZfrDMff4kP08nblUkihrxltoGBjg/edit#gid=934712705"",""ESENCIAL!A6:BG""),3,FALSE))"),"")</f>
        <v/>
      </c>
      <c r="H65" s="5" t="str">
        <f ca="1">IFERROR(__xludf.DUMMYFUNCTION("IFERROR(VLOOKUP(F103,IMPORTRANGE(""https://docs.google.com/spreadsheets/d/1Kvs4KS76FHFqLFIZfrDMff4kP08nblUkihrxltoGBjg/edit#gid=934712705"",""ESENCIAL!A6:BG""),8,FALSE))"),"")</f>
        <v/>
      </c>
      <c r="L65" s="287"/>
      <c r="V65" s="66"/>
    </row>
    <row r="66" spans="1:22" ht="15">
      <c r="A66" s="101"/>
      <c r="B66" s="4"/>
      <c r="F66" s="66"/>
      <c r="G66" s="5" t="str">
        <f ca="1">IFERROR(__xludf.DUMMYFUNCTION("IFERROR(VLOOKUP(F104,IMPORTRANGE(""https://docs.google.com/spreadsheets/d/1Kvs4KS76FHFqLFIZfrDMff4kP08nblUkihrxltoGBjg/edit#gid=934712705"",""ESENCIAL!A6:BG""),3,FALSE))"),"")</f>
        <v/>
      </c>
      <c r="H66" s="5" t="str">
        <f ca="1">IFERROR(__xludf.DUMMYFUNCTION("IFERROR(VLOOKUP(F104,IMPORTRANGE(""https://docs.google.com/spreadsheets/d/1Kvs4KS76FHFqLFIZfrDMff4kP08nblUkihrxltoGBjg/edit#gid=934712705"",""ESENCIAL!A6:BG""),8,FALSE))"),"")</f>
        <v/>
      </c>
      <c r="L66" s="287"/>
      <c r="V66" s="66"/>
    </row>
    <row r="67" spans="1:22" ht="15">
      <c r="A67" s="101"/>
      <c r="B67" s="4"/>
      <c r="F67" s="66"/>
      <c r="G67" s="5" t="str">
        <f ca="1">IFERROR(__xludf.DUMMYFUNCTION("IFERROR(VLOOKUP(F105,IMPORTRANGE(""https://docs.google.com/spreadsheets/d/1Kvs4KS76FHFqLFIZfrDMff4kP08nblUkihrxltoGBjg/edit#gid=934712705"",""ESENCIAL!A6:BG""),3,FALSE))"),"")</f>
        <v/>
      </c>
      <c r="H67" s="5" t="str">
        <f ca="1">IFERROR(__xludf.DUMMYFUNCTION("IFERROR(VLOOKUP(F105,IMPORTRANGE(""https://docs.google.com/spreadsheets/d/1Kvs4KS76FHFqLFIZfrDMff4kP08nblUkihrxltoGBjg/edit#gid=934712705"",""ESENCIAL!A6:BG""),8,FALSE))"),"")</f>
        <v/>
      </c>
      <c r="L67" s="287"/>
      <c r="V67" s="66"/>
    </row>
    <row r="68" spans="1:22" ht="15">
      <c r="A68" s="101"/>
      <c r="B68" s="4"/>
      <c r="F68" s="66"/>
      <c r="G68" s="5" t="str">
        <f ca="1">IFERROR(__xludf.DUMMYFUNCTION("IFERROR(VLOOKUP(F106,IMPORTRANGE(""https://docs.google.com/spreadsheets/d/1Kvs4KS76FHFqLFIZfrDMff4kP08nblUkihrxltoGBjg/edit#gid=934712705"",""ESENCIAL!A6:BG""),3,FALSE))"),"")</f>
        <v/>
      </c>
      <c r="H68" s="5" t="str">
        <f ca="1">IFERROR(__xludf.DUMMYFUNCTION("IFERROR(VLOOKUP(F106,IMPORTRANGE(""https://docs.google.com/spreadsheets/d/1Kvs4KS76FHFqLFIZfrDMff4kP08nblUkihrxltoGBjg/edit#gid=934712705"",""ESENCIAL!A6:BG""),8,FALSE))"),"")</f>
        <v/>
      </c>
      <c r="L68" s="287"/>
      <c r="V68" s="66"/>
    </row>
    <row r="69" spans="1:22" ht="15">
      <c r="A69" s="101"/>
      <c r="B69" s="4"/>
      <c r="F69" s="66"/>
      <c r="G69" s="5" t="str">
        <f ca="1">IFERROR(__xludf.DUMMYFUNCTION("IFERROR(VLOOKUP(F107,IMPORTRANGE(""https://docs.google.com/spreadsheets/d/1Kvs4KS76FHFqLFIZfrDMff4kP08nblUkihrxltoGBjg/edit#gid=934712705"",""ESENCIAL!A6:BG""),3,FALSE))"),"")</f>
        <v/>
      </c>
      <c r="H69" s="5" t="str">
        <f ca="1">IFERROR(__xludf.DUMMYFUNCTION("IFERROR(VLOOKUP(F107,IMPORTRANGE(""https://docs.google.com/spreadsheets/d/1Kvs4KS76FHFqLFIZfrDMff4kP08nblUkihrxltoGBjg/edit#gid=934712705"",""ESENCIAL!A6:BG""),8,FALSE))"),"")</f>
        <v/>
      </c>
      <c r="L69" s="287"/>
      <c r="V69" s="66"/>
    </row>
    <row r="70" spans="1:22" ht="15">
      <c r="A70" s="101"/>
      <c r="B70" s="4"/>
      <c r="F70" s="66"/>
      <c r="G70" s="5" t="str">
        <f ca="1">IFERROR(__xludf.DUMMYFUNCTION("IFERROR(VLOOKUP(F108,IMPORTRANGE(""https://docs.google.com/spreadsheets/d/1Kvs4KS76FHFqLFIZfrDMff4kP08nblUkihrxltoGBjg/edit#gid=934712705"",""ESENCIAL!A6:BG""),3,FALSE))"),"")</f>
        <v/>
      </c>
      <c r="H70" s="5" t="str">
        <f ca="1">IFERROR(__xludf.DUMMYFUNCTION("IFERROR(VLOOKUP(F108,IMPORTRANGE(""https://docs.google.com/spreadsheets/d/1Kvs4KS76FHFqLFIZfrDMff4kP08nblUkihrxltoGBjg/edit#gid=934712705"",""ESENCIAL!A6:BG""),8,FALSE))"),"")</f>
        <v/>
      </c>
      <c r="L70" s="287"/>
      <c r="V70" s="66"/>
    </row>
    <row r="71" spans="1:22" ht="15">
      <c r="A71" s="101"/>
      <c r="B71" s="4"/>
      <c r="F71" s="66"/>
      <c r="G71" s="5" t="str">
        <f ca="1">IFERROR(__xludf.DUMMYFUNCTION("IFERROR(VLOOKUP(F109,IMPORTRANGE(""https://docs.google.com/spreadsheets/d/1Kvs4KS76FHFqLFIZfrDMff4kP08nblUkihrxltoGBjg/edit#gid=934712705"",""ESENCIAL!A6:BG""),3,FALSE))"),"")</f>
        <v/>
      </c>
      <c r="H71" s="5" t="str">
        <f ca="1">IFERROR(__xludf.DUMMYFUNCTION("IFERROR(VLOOKUP(F109,IMPORTRANGE(""https://docs.google.com/spreadsheets/d/1Kvs4KS76FHFqLFIZfrDMff4kP08nblUkihrxltoGBjg/edit#gid=934712705"",""ESENCIAL!A6:BG""),8,FALSE))"),"")</f>
        <v/>
      </c>
      <c r="L71" s="287"/>
      <c r="V71" s="66"/>
    </row>
    <row r="72" spans="1:22" ht="15">
      <c r="A72" s="4"/>
      <c r="B72" s="4"/>
      <c r="F72" s="66"/>
      <c r="G72" s="5" t="str">
        <f ca="1">IFERROR(__xludf.DUMMYFUNCTION("IFERROR(VLOOKUP(F110,IMPORTRANGE(""https://docs.google.com/spreadsheets/d/1Kvs4KS76FHFqLFIZfrDMff4kP08nblUkihrxltoGBjg/edit#gid=934712705"",""ESENCIAL!A6:BG""),3,FALSE))"),"")</f>
        <v/>
      </c>
      <c r="H72" s="5" t="str">
        <f ca="1">IFERROR(__xludf.DUMMYFUNCTION("IFERROR(VLOOKUP(F110,IMPORTRANGE(""https://docs.google.com/spreadsheets/d/1Kvs4KS76FHFqLFIZfrDMff4kP08nblUkihrxltoGBjg/edit#gid=934712705"",""ESENCIAL!A6:BG""),8,FALSE))"),"")</f>
        <v/>
      </c>
      <c r="L72" s="287"/>
      <c r="V72" s="66"/>
    </row>
    <row r="73" spans="1:22" ht="15">
      <c r="A73" s="4"/>
      <c r="B73" s="4"/>
      <c r="F73" s="66"/>
      <c r="G73" s="5" t="str">
        <f ca="1">IFERROR(__xludf.DUMMYFUNCTION("IFERROR(VLOOKUP(F111,IMPORTRANGE(""https://docs.google.com/spreadsheets/d/1Kvs4KS76FHFqLFIZfrDMff4kP08nblUkihrxltoGBjg/edit#gid=934712705"",""ESENCIAL!A6:BG""),3,FALSE))"),"")</f>
        <v/>
      </c>
      <c r="H73" s="5" t="str">
        <f ca="1">IFERROR(__xludf.DUMMYFUNCTION("IFERROR(VLOOKUP(F111,IMPORTRANGE(""https://docs.google.com/spreadsheets/d/1Kvs4KS76FHFqLFIZfrDMff4kP08nblUkihrxltoGBjg/edit#gid=934712705"",""ESENCIAL!A6:BG""),8,FALSE))"),"")</f>
        <v/>
      </c>
      <c r="L73" s="287"/>
      <c r="V73" s="66"/>
    </row>
    <row r="74" spans="1:22" ht="15">
      <c r="A74" s="4"/>
      <c r="B74" s="4"/>
      <c r="F74" s="66"/>
      <c r="G74" s="5" t="str">
        <f ca="1">IFERROR(__xludf.DUMMYFUNCTION("IFERROR(VLOOKUP(F112,IMPORTRANGE(""https://docs.google.com/spreadsheets/d/1Kvs4KS76FHFqLFIZfrDMff4kP08nblUkihrxltoGBjg/edit#gid=934712705"",""ESENCIAL!A6:BG""),3,FALSE))"),"")</f>
        <v/>
      </c>
      <c r="H74" s="5" t="str">
        <f ca="1">IFERROR(__xludf.DUMMYFUNCTION("IFERROR(VLOOKUP(F112,IMPORTRANGE(""https://docs.google.com/spreadsheets/d/1Kvs4KS76FHFqLFIZfrDMff4kP08nblUkihrxltoGBjg/edit#gid=934712705"",""ESENCIAL!A6:BG""),8,FALSE))"),"")</f>
        <v/>
      </c>
      <c r="L74" s="287"/>
      <c r="V74" s="66"/>
    </row>
    <row r="75" spans="1:22" ht="15">
      <c r="A75" s="4"/>
      <c r="B75" s="4"/>
      <c r="F75" s="66"/>
      <c r="G75" s="5" t="str">
        <f ca="1">IFERROR(__xludf.DUMMYFUNCTION("IFERROR(VLOOKUP(F113,IMPORTRANGE(""https://docs.google.com/spreadsheets/d/1Kvs4KS76FHFqLFIZfrDMff4kP08nblUkihrxltoGBjg/edit#gid=934712705"",""ESENCIAL!A6:BG""),3,FALSE))"),"")</f>
        <v/>
      </c>
      <c r="H75" s="5" t="str">
        <f ca="1">IFERROR(__xludf.DUMMYFUNCTION("IFERROR(VLOOKUP(F113,IMPORTRANGE(""https://docs.google.com/spreadsheets/d/1Kvs4KS76FHFqLFIZfrDMff4kP08nblUkihrxltoGBjg/edit#gid=934712705"",""ESENCIAL!A6:BG""),8,FALSE))"),"")</f>
        <v/>
      </c>
      <c r="L75" s="287"/>
      <c r="V75" s="66"/>
    </row>
    <row r="76" spans="1:22" ht="15">
      <c r="A76" s="4"/>
      <c r="B76" s="4"/>
      <c r="F76" s="66"/>
      <c r="G76" s="5" t="str">
        <f ca="1">IFERROR(__xludf.DUMMYFUNCTION("IFERROR(VLOOKUP(F114,IMPORTRANGE(""https://docs.google.com/spreadsheets/d/1Kvs4KS76FHFqLFIZfrDMff4kP08nblUkihrxltoGBjg/edit#gid=934712705"",""ESENCIAL!A6:BG""),3,FALSE))"),"")</f>
        <v/>
      </c>
      <c r="H76" s="5" t="str">
        <f ca="1">IFERROR(__xludf.DUMMYFUNCTION("IFERROR(VLOOKUP(F114,IMPORTRANGE(""https://docs.google.com/spreadsheets/d/1Kvs4KS76FHFqLFIZfrDMff4kP08nblUkihrxltoGBjg/edit#gid=934712705"",""ESENCIAL!A6:BG""),8,FALSE))"),"")</f>
        <v/>
      </c>
      <c r="L76" s="287"/>
      <c r="V76" s="66"/>
    </row>
    <row r="77" spans="1:22" ht="15">
      <c r="A77" s="4"/>
      <c r="B77" s="4"/>
      <c r="F77" s="66"/>
      <c r="G77" s="5" t="str">
        <f ca="1">IFERROR(__xludf.DUMMYFUNCTION("IFERROR(VLOOKUP(F115,IMPORTRANGE(""https://docs.google.com/spreadsheets/d/1Kvs4KS76FHFqLFIZfrDMff4kP08nblUkihrxltoGBjg/edit#gid=934712705"",""ESENCIAL!A6:BG""),3,FALSE))"),"")</f>
        <v/>
      </c>
      <c r="H77" s="5" t="str">
        <f ca="1">IFERROR(__xludf.DUMMYFUNCTION("IFERROR(VLOOKUP(F115,IMPORTRANGE(""https://docs.google.com/spreadsheets/d/1Kvs4KS76FHFqLFIZfrDMff4kP08nblUkihrxltoGBjg/edit#gid=934712705"",""ESENCIAL!A6:BG""),8,FALSE))"),"")</f>
        <v/>
      </c>
      <c r="L77" s="287"/>
      <c r="V77" s="66"/>
    </row>
    <row r="78" spans="1:22" ht="15">
      <c r="A78" s="4"/>
      <c r="B78" s="4"/>
      <c r="F78" s="66"/>
      <c r="G78" s="5" t="str">
        <f ca="1">IFERROR(__xludf.DUMMYFUNCTION("IFERROR(VLOOKUP(F116,IMPORTRANGE(""https://docs.google.com/spreadsheets/d/1Kvs4KS76FHFqLFIZfrDMff4kP08nblUkihrxltoGBjg/edit#gid=934712705"",""ESENCIAL!A6:BG""),3,FALSE))"),"")</f>
        <v/>
      </c>
      <c r="H78" s="5" t="str">
        <f ca="1">IFERROR(__xludf.DUMMYFUNCTION("IFERROR(VLOOKUP(F116,IMPORTRANGE(""https://docs.google.com/spreadsheets/d/1Kvs4KS76FHFqLFIZfrDMff4kP08nblUkihrxltoGBjg/edit#gid=934712705"",""ESENCIAL!A6:BG""),8,FALSE))"),"")</f>
        <v/>
      </c>
      <c r="L78" s="287"/>
      <c r="V78" s="66"/>
    </row>
    <row r="79" spans="1:22" ht="15">
      <c r="A79" s="4"/>
      <c r="B79" s="4"/>
      <c r="F79" s="66"/>
      <c r="G79" s="5" t="str">
        <f ca="1">IFERROR(__xludf.DUMMYFUNCTION("IFERROR(VLOOKUP(F117,IMPORTRANGE(""https://docs.google.com/spreadsheets/d/1Kvs4KS76FHFqLFIZfrDMff4kP08nblUkihrxltoGBjg/edit#gid=934712705"",""ESENCIAL!A6:BG""),3,FALSE))"),"")</f>
        <v/>
      </c>
      <c r="H79" s="5" t="str">
        <f ca="1">IFERROR(__xludf.DUMMYFUNCTION("IFERROR(VLOOKUP(F117,IMPORTRANGE(""https://docs.google.com/spreadsheets/d/1Kvs4KS76FHFqLFIZfrDMff4kP08nblUkihrxltoGBjg/edit#gid=934712705"",""ESENCIAL!A6:BG""),8,FALSE))"),"")</f>
        <v/>
      </c>
      <c r="L79" s="287"/>
      <c r="V79" s="66"/>
    </row>
    <row r="80" spans="1:22" ht="15">
      <c r="A80" s="4"/>
      <c r="B80" s="4"/>
      <c r="F80" s="66"/>
      <c r="G80" s="5" t="str">
        <f ca="1">IFERROR(__xludf.DUMMYFUNCTION("IFERROR(VLOOKUP(F118,IMPORTRANGE(""https://docs.google.com/spreadsheets/d/1Kvs4KS76FHFqLFIZfrDMff4kP08nblUkihrxltoGBjg/edit#gid=934712705"",""ESENCIAL!A6:BG""),3,FALSE))"),"")</f>
        <v/>
      </c>
      <c r="H80" s="5" t="str">
        <f ca="1">IFERROR(__xludf.DUMMYFUNCTION("IFERROR(VLOOKUP(F118,IMPORTRANGE(""https://docs.google.com/spreadsheets/d/1Kvs4KS76FHFqLFIZfrDMff4kP08nblUkihrxltoGBjg/edit#gid=934712705"",""ESENCIAL!A6:BG""),8,FALSE))"),"")</f>
        <v/>
      </c>
      <c r="L80" s="287"/>
      <c r="V80" s="66"/>
    </row>
    <row r="81" spans="1:22" ht="15">
      <c r="A81" s="4"/>
      <c r="B81" s="4"/>
      <c r="F81" s="66"/>
      <c r="G81" s="5" t="str">
        <f ca="1">IFERROR(__xludf.DUMMYFUNCTION("IFERROR(VLOOKUP(F119,IMPORTRANGE(""https://docs.google.com/spreadsheets/d/1Kvs4KS76FHFqLFIZfrDMff4kP08nblUkihrxltoGBjg/edit#gid=934712705"",""ESENCIAL!A6:BG""),3,FALSE))"),"")</f>
        <v/>
      </c>
      <c r="H81" s="5" t="str">
        <f ca="1">IFERROR(__xludf.DUMMYFUNCTION("IFERROR(VLOOKUP(F119,IMPORTRANGE(""https://docs.google.com/spreadsheets/d/1Kvs4KS76FHFqLFIZfrDMff4kP08nblUkihrxltoGBjg/edit#gid=934712705"",""ESENCIAL!A6:BG""),8,FALSE))"),"")</f>
        <v/>
      </c>
      <c r="L81" s="287"/>
      <c r="V81" s="66"/>
    </row>
    <row r="82" spans="1:22" ht="15">
      <c r="A82" s="4"/>
      <c r="B82" s="4"/>
      <c r="F82" s="66"/>
      <c r="G82" s="5" t="str">
        <f ca="1">IFERROR(__xludf.DUMMYFUNCTION("IFERROR(VLOOKUP(F120,IMPORTRANGE(""https://docs.google.com/spreadsheets/d/1Kvs4KS76FHFqLFIZfrDMff4kP08nblUkihrxltoGBjg/edit#gid=934712705"",""ESENCIAL!A6:BG""),3,FALSE))"),"")</f>
        <v/>
      </c>
      <c r="H82" s="5" t="str">
        <f ca="1">IFERROR(__xludf.DUMMYFUNCTION("IFERROR(VLOOKUP(F120,IMPORTRANGE(""https://docs.google.com/spreadsheets/d/1Kvs4KS76FHFqLFIZfrDMff4kP08nblUkihrxltoGBjg/edit#gid=934712705"",""ESENCIAL!A6:BG""),8,FALSE))"),"")</f>
        <v/>
      </c>
      <c r="L82" s="287"/>
      <c r="V82" s="66"/>
    </row>
    <row r="83" spans="1:22" ht="15">
      <c r="A83" s="4"/>
      <c r="B83" s="4"/>
      <c r="F83" s="66"/>
      <c r="G83" s="5" t="str">
        <f ca="1">IFERROR(__xludf.DUMMYFUNCTION("IFERROR(VLOOKUP(F121,IMPORTRANGE(""https://docs.google.com/spreadsheets/d/1Kvs4KS76FHFqLFIZfrDMff4kP08nblUkihrxltoGBjg/edit#gid=934712705"",""ESENCIAL!A6:BG""),3,FALSE))"),"")</f>
        <v/>
      </c>
      <c r="H83" s="5" t="str">
        <f ca="1">IFERROR(__xludf.DUMMYFUNCTION("IFERROR(VLOOKUP(F121,IMPORTRANGE(""https://docs.google.com/spreadsheets/d/1Kvs4KS76FHFqLFIZfrDMff4kP08nblUkihrxltoGBjg/edit#gid=934712705"",""ESENCIAL!A6:BG""),8,FALSE))"),"")</f>
        <v/>
      </c>
      <c r="L83" s="287"/>
      <c r="V83" s="66"/>
    </row>
    <row r="84" spans="1:22" ht="15">
      <c r="A84" s="4"/>
      <c r="B84" s="4"/>
      <c r="F84" s="66"/>
      <c r="G84" s="5" t="str">
        <f ca="1">IFERROR(__xludf.DUMMYFUNCTION("IFERROR(VLOOKUP(F122,IMPORTRANGE(""https://docs.google.com/spreadsheets/d/1Kvs4KS76FHFqLFIZfrDMff4kP08nblUkihrxltoGBjg/edit#gid=934712705"",""ESENCIAL!A6:BG""),3,FALSE))"),"")</f>
        <v/>
      </c>
      <c r="H84" s="5" t="str">
        <f ca="1">IFERROR(__xludf.DUMMYFUNCTION("IFERROR(VLOOKUP(F122,IMPORTRANGE(""https://docs.google.com/spreadsheets/d/1Kvs4KS76FHFqLFIZfrDMff4kP08nblUkihrxltoGBjg/edit#gid=934712705"",""ESENCIAL!A6:BG""),8,FALSE))"),"")</f>
        <v/>
      </c>
      <c r="L84" s="287"/>
      <c r="V84" s="66"/>
    </row>
    <row r="85" spans="1:22" ht="15">
      <c r="A85" s="4"/>
      <c r="B85" s="4"/>
      <c r="F85" s="66"/>
      <c r="G85" s="5" t="str">
        <f ca="1">IFERROR(__xludf.DUMMYFUNCTION("IFERROR(VLOOKUP(F123,IMPORTRANGE(""https://docs.google.com/spreadsheets/d/1Kvs4KS76FHFqLFIZfrDMff4kP08nblUkihrxltoGBjg/edit#gid=934712705"",""ESENCIAL!A6:BG""),3,FALSE))"),"")</f>
        <v/>
      </c>
      <c r="H85" s="5" t="str">
        <f ca="1">IFERROR(__xludf.DUMMYFUNCTION("IFERROR(VLOOKUP(F123,IMPORTRANGE(""https://docs.google.com/spreadsheets/d/1Kvs4KS76FHFqLFIZfrDMff4kP08nblUkihrxltoGBjg/edit#gid=934712705"",""ESENCIAL!A6:BG""),8,FALSE))"),"")</f>
        <v/>
      </c>
      <c r="L85" s="287"/>
      <c r="V85" s="66"/>
    </row>
    <row r="86" spans="1:22" ht="15">
      <c r="A86" s="4"/>
      <c r="B86" s="4"/>
      <c r="F86" s="66"/>
      <c r="G86" s="5" t="str">
        <f ca="1">IFERROR(__xludf.DUMMYFUNCTION("IFERROR(VLOOKUP(F124,IMPORTRANGE(""https://docs.google.com/spreadsheets/d/1Kvs4KS76FHFqLFIZfrDMff4kP08nblUkihrxltoGBjg/edit#gid=934712705"",""ESENCIAL!A6:BG""),3,FALSE))"),"")</f>
        <v/>
      </c>
      <c r="H86" s="5" t="str">
        <f ca="1">IFERROR(__xludf.DUMMYFUNCTION("IFERROR(VLOOKUP(F124,IMPORTRANGE(""https://docs.google.com/spreadsheets/d/1Kvs4KS76FHFqLFIZfrDMff4kP08nblUkihrxltoGBjg/edit#gid=934712705"",""ESENCIAL!A6:BG""),8,FALSE))"),"")</f>
        <v/>
      </c>
      <c r="L86" s="287"/>
      <c r="V86" s="66"/>
    </row>
    <row r="87" spans="1:22" ht="15">
      <c r="A87" s="101"/>
      <c r="B87" s="4"/>
      <c r="F87" s="66"/>
      <c r="G87" s="5" t="str">
        <f ca="1">IFERROR(__xludf.DUMMYFUNCTION("IFERROR(VLOOKUP(F125,IMPORTRANGE(""https://docs.google.com/spreadsheets/d/1Kvs4KS76FHFqLFIZfrDMff4kP08nblUkihrxltoGBjg/edit#gid=934712705"",""ESENCIAL!A6:BG""),3,FALSE))"),"")</f>
        <v/>
      </c>
      <c r="H87" s="5" t="str">
        <f ca="1">IFERROR(__xludf.DUMMYFUNCTION("IFERROR(VLOOKUP(F125,IMPORTRANGE(""https://docs.google.com/spreadsheets/d/1Kvs4KS76FHFqLFIZfrDMff4kP08nblUkihrxltoGBjg/edit#gid=934712705"",""ESENCIAL!A6:BG""),8,FALSE))"),"")</f>
        <v/>
      </c>
      <c r="L87" s="287"/>
      <c r="V87" s="66"/>
    </row>
    <row r="88" spans="1:22" ht="15">
      <c r="A88" s="101"/>
      <c r="B88" s="4"/>
      <c r="F88" s="66"/>
      <c r="G88" s="5" t="str">
        <f ca="1">IFERROR(__xludf.DUMMYFUNCTION("IFERROR(VLOOKUP(F126,IMPORTRANGE(""https://docs.google.com/spreadsheets/d/1Kvs4KS76FHFqLFIZfrDMff4kP08nblUkihrxltoGBjg/edit#gid=934712705"",""ESENCIAL!A6:BG""),3,FALSE))"),"")</f>
        <v/>
      </c>
      <c r="H88" s="5" t="str">
        <f ca="1">IFERROR(__xludf.DUMMYFUNCTION("IFERROR(VLOOKUP(F126,IMPORTRANGE(""https://docs.google.com/spreadsheets/d/1Kvs4KS76FHFqLFIZfrDMff4kP08nblUkihrxltoGBjg/edit#gid=934712705"",""ESENCIAL!A6:BG""),8,FALSE))"),"")</f>
        <v/>
      </c>
      <c r="L88" s="287"/>
      <c r="V88" s="66"/>
    </row>
    <row r="89" spans="1:22" ht="15">
      <c r="A89" s="101"/>
      <c r="B89" s="4"/>
      <c r="F89" s="66"/>
      <c r="G89" s="5" t="str">
        <f ca="1">IFERROR(__xludf.DUMMYFUNCTION("IFERROR(VLOOKUP(F127,IMPORTRANGE(""https://docs.google.com/spreadsheets/d/1Kvs4KS76FHFqLFIZfrDMff4kP08nblUkihrxltoGBjg/edit#gid=934712705"",""ESENCIAL!A6:BG""),3,FALSE))"),"")</f>
        <v/>
      </c>
      <c r="H89" s="5" t="str">
        <f ca="1">IFERROR(__xludf.DUMMYFUNCTION("IFERROR(VLOOKUP(F127,IMPORTRANGE(""https://docs.google.com/spreadsheets/d/1Kvs4KS76FHFqLFIZfrDMff4kP08nblUkihrxltoGBjg/edit#gid=934712705"",""ESENCIAL!A6:BG""),8,FALSE))"),"")</f>
        <v/>
      </c>
      <c r="L89" s="287"/>
      <c r="V89" s="66"/>
    </row>
    <row r="90" spans="1:22" ht="15">
      <c r="A90" s="101"/>
      <c r="B90" s="4"/>
      <c r="F90" s="66"/>
      <c r="G90" s="5" t="str">
        <f ca="1">IFERROR(__xludf.DUMMYFUNCTION("IFERROR(VLOOKUP(F128,IMPORTRANGE(""https://docs.google.com/spreadsheets/d/1Kvs4KS76FHFqLFIZfrDMff4kP08nblUkihrxltoGBjg/edit#gid=934712705"",""ESENCIAL!A6:BG""),3,FALSE))"),"")</f>
        <v/>
      </c>
      <c r="H90" s="5" t="str">
        <f ca="1">IFERROR(__xludf.DUMMYFUNCTION("IFERROR(VLOOKUP(F128,IMPORTRANGE(""https://docs.google.com/spreadsheets/d/1Kvs4KS76FHFqLFIZfrDMff4kP08nblUkihrxltoGBjg/edit#gid=934712705"",""ESENCIAL!A6:BG""),8,FALSE))"),"")</f>
        <v/>
      </c>
      <c r="L90" s="287"/>
      <c r="V90" s="66"/>
    </row>
    <row r="91" spans="1:22" ht="15">
      <c r="A91" s="101"/>
      <c r="B91" s="4"/>
      <c r="F91" s="66"/>
      <c r="G91" s="5" t="str">
        <f ca="1">IFERROR(__xludf.DUMMYFUNCTION("IFERROR(VLOOKUP(F129,IMPORTRANGE(""https://docs.google.com/spreadsheets/d/1Kvs4KS76FHFqLFIZfrDMff4kP08nblUkihrxltoGBjg/edit#gid=934712705"",""ESENCIAL!A6:BG""),3,FALSE))"),"")</f>
        <v/>
      </c>
      <c r="H91" s="5" t="str">
        <f ca="1">IFERROR(__xludf.DUMMYFUNCTION("IFERROR(VLOOKUP(F129,IMPORTRANGE(""https://docs.google.com/spreadsheets/d/1Kvs4KS76FHFqLFIZfrDMff4kP08nblUkihrxltoGBjg/edit#gid=934712705"",""ESENCIAL!A6:BG""),8,FALSE))"),"")</f>
        <v/>
      </c>
      <c r="L91" s="287"/>
      <c r="V91" s="66"/>
    </row>
    <row r="92" spans="1:22" ht="15">
      <c r="A92" s="101"/>
      <c r="B92" s="4"/>
      <c r="F92" s="66"/>
      <c r="G92" s="5" t="str">
        <f ca="1">IFERROR(__xludf.DUMMYFUNCTION("IFERROR(VLOOKUP(F130,IMPORTRANGE(""https://docs.google.com/spreadsheets/d/1Kvs4KS76FHFqLFIZfrDMff4kP08nblUkihrxltoGBjg/edit#gid=934712705"",""ESENCIAL!A6:BG""),3,FALSE))"),"")</f>
        <v/>
      </c>
      <c r="H92" s="5" t="str">
        <f ca="1">IFERROR(__xludf.DUMMYFUNCTION("IFERROR(VLOOKUP(F130,IMPORTRANGE(""https://docs.google.com/spreadsheets/d/1Kvs4KS76FHFqLFIZfrDMff4kP08nblUkihrxltoGBjg/edit#gid=934712705"",""ESENCIAL!A6:BG""),8,FALSE))"),"")</f>
        <v/>
      </c>
      <c r="L92" s="287"/>
      <c r="V92" s="66"/>
    </row>
    <row r="93" spans="1:22" ht="15">
      <c r="A93" s="101"/>
      <c r="B93" s="4"/>
      <c r="F93" s="66"/>
      <c r="G93" s="5" t="str">
        <f ca="1">IFERROR(__xludf.DUMMYFUNCTION("IFERROR(VLOOKUP(F131,IMPORTRANGE(""https://docs.google.com/spreadsheets/d/1Kvs4KS76FHFqLFIZfrDMff4kP08nblUkihrxltoGBjg/edit#gid=934712705"",""ESENCIAL!A6:BG""),3,FALSE))"),"")</f>
        <v/>
      </c>
      <c r="H93" s="5" t="str">
        <f ca="1">IFERROR(__xludf.DUMMYFUNCTION("IFERROR(VLOOKUP(F131,IMPORTRANGE(""https://docs.google.com/spreadsheets/d/1Kvs4KS76FHFqLFIZfrDMff4kP08nblUkihrxltoGBjg/edit#gid=934712705"",""ESENCIAL!A6:BG""),8,FALSE))"),"")</f>
        <v/>
      </c>
      <c r="L93" s="287"/>
      <c r="V93" s="66"/>
    </row>
    <row r="94" spans="1:22" ht="15">
      <c r="A94" s="101"/>
      <c r="B94" s="4"/>
      <c r="F94" s="66"/>
      <c r="G94" s="5" t="str">
        <f ca="1">IFERROR(__xludf.DUMMYFUNCTION("IFERROR(VLOOKUP(F132,IMPORTRANGE(""https://docs.google.com/spreadsheets/d/1Kvs4KS76FHFqLFIZfrDMff4kP08nblUkihrxltoGBjg/edit#gid=934712705"",""ESENCIAL!A6:BG""),3,FALSE))"),"")</f>
        <v/>
      </c>
      <c r="H94" s="5" t="str">
        <f ca="1">IFERROR(__xludf.DUMMYFUNCTION("IFERROR(VLOOKUP(F132,IMPORTRANGE(""https://docs.google.com/spreadsheets/d/1Kvs4KS76FHFqLFIZfrDMff4kP08nblUkihrxltoGBjg/edit#gid=934712705"",""ESENCIAL!A6:BG""),8,FALSE))"),"")</f>
        <v/>
      </c>
      <c r="L94" s="287"/>
      <c r="V94" s="66"/>
    </row>
    <row r="95" spans="1:22" ht="15">
      <c r="A95" s="101"/>
      <c r="B95" s="4"/>
      <c r="F95" s="66"/>
      <c r="G95" s="5" t="str">
        <f ca="1">IFERROR(__xludf.DUMMYFUNCTION("IFERROR(VLOOKUP(F133,IMPORTRANGE(""https://docs.google.com/spreadsheets/d/1Kvs4KS76FHFqLFIZfrDMff4kP08nblUkihrxltoGBjg/edit#gid=934712705"",""ESENCIAL!A6:BG""),3,FALSE))"),"")</f>
        <v/>
      </c>
      <c r="H95" s="5" t="str">
        <f ca="1">IFERROR(__xludf.DUMMYFUNCTION("IFERROR(VLOOKUP(F133,IMPORTRANGE(""https://docs.google.com/spreadsheets/d/1Kvs4KS76FHFqLFIZfrDMff4kP08nblUkihrxltoGBjg/edit#gid=934712705"",""ESENCIAL!A6:BG""),8,FALSE))"),"")</f>
        <v/>
      </c>
      <c r="L95" s="287"/>
      <c r="V95" s="66"/>
    </row>
    <row r="96" spans="1:22" ht="15">
      <c r="A96" s="101"/>
      <c r="B96" s="4"/>
      <c r="F96" s="66"/>
      <c r="G96" s="5" t="str">
        <f ca="1">IFERROR(__xludf.DUMMYFUNCTION("IFERROR(VLOOKUP(F134,IMPORTRANGE(""https://docs.google.com/spreadsheets/d/1Kvs4KS76FHFqLFIZfrDMff4kP08nblUkihrxltoGBjg/edit#gid=934712705"",""ESENCIAL!A6:BG""),3,FALSE))"),"")</f>
        <v/>
      </c>
      <c r="H96" s="5" t="str">
        <f ca="1">IFERROR(__xludf.DUMMYFUNCTION("IFERROR(VLOOKUP(F134,IMPORTRANGE(""https://docs.google.com/spreadsheets/d/1Kvs4KS76FHFqLFIZfrDMff4kP08nblUkihrxltoGBjg/edit#gid=934712705"",""ESENCIAL!A6:BG""),8,FALSE))"),"")</f>
        <v/>
      </c>
      <c r="L96" s="287"/>
      <c r="V96" s="66"/>
    </row>
    <row r="97" spans="1:22" ht="15">
      <c r="A97" s="101"/>
      <c r="B97" s="4"/>
      <c r="F97" s="66"/>
      <c r="G97" s="5" t="str">
        <f ca="1">IFERROR(__xludf.DUMMYFUNCTION("IFERROR(VLOOKUP(F135,IMPORTRANGE(""https://docs.google.com/spreadsheets/d/1Kvs4KS76FHFqLFIZfrDMff4kP08nblUkihrxltoGBjg/edit#gid=934712705"",""ESENCIAL!A6:BG""),3,FALSE))"),"")</f>
        <v/>
      </c>
      <c r="H97" s="5" t="str">
        <f ca="1">IFERROR(__xludf.DUMMYFUNCTION("IFERROR(VLOOKUP(F135,IMPORTRANGE(""https://docs.google.com/spreadsheets/d/1Kvs4KS76FHFqLFIZfrDMff4kP08nblUkihrxltoGBjg/edit#gid=934712705"",""ESENCIAL!A6:BG""),8,FALSE))"),"")</f>
        <v/>
      </c>
      <c r="L97" s="287"/>
      <c r="V97" s="66"/>
    </row>
    <row r="98" spans="1:22" ht="15">
      <c r="A98" s="101"/>
      <c r="B98" s="4"/>
      <c r="F98" s="66"/>
      <c r="G98" s="5" t="str">
        <f ca="1">IFERROR(__xludf.DUMMYFUNCTION("IFERROR(VLOOKUP(F136,IMPORTRANGE(""https://docs.google.com/spreadsheets/d/1Kvs4KS76FHFqLFIZfrDMff4kP08nblUkihrxltoGBjg/edit#gid=934712705"",""ESENCIAL!A6:BG""),3,FALSE))"),"")</f>
        <v/>
      </c>
      <c r="H98" s="5" t="str">
        <f ca="1">IFERROR(__xludf.DUMMYFUNCTION("IFERROR(VLOOKUP(F136,IMPORTRANGE(""https://docs.google.com/spreadsheets/d/1Kvs4KS76FHFqLFIZfrDMff4kP08nblUkihrxltoGBjg/edit#gid=934712705"",""ESENCIAL!A6:BG""),8,FALSE))"),"")</f>
        <v/>
      </c>
      <c r="L98" s="287"/>
      <c r="V98" s="66"/>
    </row>
    <row r="99" spans="1:22" ht="15">
      <c r="A99" s="101"/>
      <c r="B99" s="4"/>
      <c r="F99" s="66"/>
      <c r="G99" s="5" t="str">
        <f ca="1">IFERROR(__xludf.DUMMYFUNCTION("IFERROR(VLOOKUP(F137,IMPORTRANGE(""https://docs.google.com/spreadsheets/d/1Kvs4KS76FHFqLFIZfrDMff4kP08nblUkihrxltoGBjg/edit#gid=934712705"",""ESENCIAL!A6:BG""),3,FALSE))"),"")</f>
        <v/>
      </c>
      <c r="H99" s="5" t="str">
        <f ca="1">IFERROR(__xludf.DUMMYFUNCTION("IFERROR(VLOOKUP(F137,IMPORTRANGE(""https://docs.google.com/spreadsheets/d/1Kvs4KS76FHFqLFIZfrDMff4kP08nblUkihrxltoGBjg/edit#gid=934712705"",""ESENCIAL!A6:BG""),8,FALSE))"),"")</f>
        <v/>
      </c>
      <c r="L99" s="287"/>
      <c r="V99" s="66"/>
    </row>
    <row r="100" spans="1:22" ht="15">
      <c r="A100" s="101"/>
      <c r="B100" s="4"/>
      <c r="F100" s="66"/>
      <c r="G100" s="5" t="str">
        <f ca="1">IFERROR(__xludf.DUMMYFUNCTION("IFERROR(VLOOKUP(F138,IMPORTRANGE(""https://docs.google.com/spreadsheets/d/1Kvs4KS76FHFqLFIZfrDMff4kP08nblUkihrxltoGBjg/edit#gid=934712705"",""ESENCIAL!A6:BG""),3,FALSE))"),"")</f>
        <v/>
      </c>
      <c r="H100" s="5" t="str">
        <f ca="1">IFERROR(__xludf.DUMMYFUNCTION("IFERROR(VLOOKUP(F138,IMPORTRANGE(""https://docs.google.com/spreadsheets/d/1Kvs4KS76FHFqLFIZfrDMff4kP08nblUkihrxltoGBjg/edit#gid=934712705"",""ESENCIAL!A6:BG""),8,FALSE))"),"")</f>
        <v/>
      </c>
      <c r="L100" s="287"/>
      <c r="V100" s="66"/>
    </row>
    <row r="101" spans="1:22" ht="15">
      <c r="A101" s="101"/>
      <c r="B101" s="4"/>
      <c r="F101" s="66"/>
      <c r="G101" s="5" t="str">
        <f ca="1">IFERROR(__xludf.DUMMYFUNCTION("IFERROR(VLOOKUP(F139,IMPORTRANGE(""https://docs.google.com/spreadsheets/d/1Kvs4KS76FHFqLFIZfrDMff4kP08nblUkihrxltoGBjg/edit#gid=934712705"",""ESENCIAL!A6:BG""),3,FALSE))"),"")</f>
        <v/>
      </c>
      <c r="H101" s="5" t="str">
        <f ca="1">IFERROR(__xludf.DUMMYFUNCTION("IFERROR(VLOOKUP(F139,IMPORTRANGE(""https://docs.google.com/spreadsheets/d/1Kvs4KS76FHFqLFIZfrDMff4kP08nblUkihrxltoGBjg/edit#gid=934712705"",""ESENCIAL!A6:BG""),8,FALSE))"),"")</f>
        <v/>
      </c>
      <c r="L101" s="287"/>
      <c r="V101" s="66"/>
    </row>
    <row r="102" spans="1:22" ht="15">
      <c r="A102" s="101"/>
      <c r="B102" s="4"/>
      <c r="F102" s="66"/>
      <c r="G102" s="5" t="str">
        <f ca="1">IFERROR(__xludf.DUMMYFUNCTION("IFERROR(VLOOKUP(F140,IMPORTRANGE(""https://docs.google.com/spreadsheets/d/1Kvs4KS76FHFqLFIZfrDMff4kP08nblUkihrxltoGBjg/edit#gid=934712705"",""ESENCIAL!A6:BG""),3,FALSE))"),"")</f>
        <v/>
      </c>
      <c r="H102" s="5" t="str">
        <f ca="1">IFERROR(__xludf.DUMMYFUNCTION("IFERROR(VLOOKUP(F140,IMPORTRANGE(""https://docs.google.com/spreadsheets/d/1Kvs4KS76FHFqLFIZfrDMff4kP08nblUkihrxltoGBjg/edit#gid=934712705"",""ESENCIAL!A6:BG""),8,FALSE))"),"")</f>
        <v/>
      </c>
      <c r="L102" s="287"/>
      <c r="V102" s="66"/>
    </row>
    <row r="103" spans="1:22" ht="15">
      <c r="A103" s="101"/>
      <c r="B103" s="4"/>
      <c r="F103" s="66"/>
      <c r="G103" s="5" t="str">
        <f ca="1">IFERROR(__xludf.DUMMYFUNCTION("IFERROR(VLOOKUP(F141,IMPORTRANGE(""https://docs.google.com/spreadsheets/d/1Kvs4KS76FHFqLFIZfrDMff4kP08nblUkihrxltoGBjg/edit#gid=934712705"",""ESENCIAL!A6:BG""),3,FALSE))"),"")</f>
        <v/>
      </c>
      <c r="H103" s="5" t="str">
        <f ca="1">IFERROR(__xludf.DUMMYFUNCTION("IFERROR(VLOOKUP(F141,IMPORTRANGE(""https://docs.google.com/spreadsheets/d/1Kvs4KS76FHFqLFIZfrDMff4kP08nblUkihrxltoGBjg/edit#gid=934712705"",""ESENCIAL!A6:BG""),8,FALSE))"),"")</f>
        <v/>
      </c>
      <c r="L103" s="287"/>
      <c r="V103" s="66"/>
    </row>
    <row r="104" spans="1:22" ht="15">
      <c r="A104" s="101"/>
      <c r="B104" s="4"/>
      <c r="F104" s="66"/>
      <c r="G104" s="5" t="str">
        <f ca="1">IFERROR(__xludf.DUMMYFUNCTION("IFERROR(VLOOKUP(F142,IMPORTRANGE(""https://docs.google.com/spreadsheets/d/1Kvs4KS76FHFqLFIZfrDMff4kP08nblUkihrxltoGBjg/edit#gid=934712705"",""ESENCIAL!A6:BG""),3,FALSE))"),"")</f>
        <v/>
      </c>
      <c r="H104" s="5" t="str">
        <f ca="1">IFERROR(__xludf.DUMMYFUNCTION("IFERROR(VLOOKUP(F142,IMPORTRANGE(""https://docs.google.com/spreadsheets/d/1Kvs4KS76FHFqLFIZfrDMff4kP08nblUkihrxltoGBjg/edit#gid=934712705"",""ESENCIAL!A6:BG""),8,FALSE))"),"")</f>
        <v/>
      </c>
      <c r="L104" s="287"/>
      <c r="V104" s="66"/>
    </row>
    <row r="105" spans="1:22" ht="15">
      <c r="A105" s="101"/>
      <c r="B105" s="4"/>
      <c r="F105" s="66"/>
      <c r="G105" s="5" t="str">
        <f ca="1">IFERROR(__xludf.DUMMYFUNCTION("IFERROR(VLOOKUP(F143,IMPORTRANGE(""https://docs.google.com/spreadsheets/d/1Kvs4KS76FHFqLFIZfrDMff4kP08nblUkihrxltoGBjg/edit#gid=934712705"",""ESENCIAL!A6:BG""),3,FALSE))"),"")</f>
        <v/>
      </c>
      <c r="H105" s="5" t="str">
        <f ca="1">IFERROR(__xludf.DUMMYFUNCTION("IFERROR(VLOOKUP(F143,IMPORTRANGE(""https://docs.google.com/spreadsheets/d/1Kvs4KS76FHFqLFIZfrDMff4kP08nblUkihrxltoGBjg/edit#gid=934712705"",""ESENCIAL!A6:BG""),8,FALSE))"),"")</f>
        <v/>
      </c>
      <c r="L105" s="287"/>
      <c r="V105" s="66"/>
    </row>
    <row r="106" spans="1:22" ht="15">
      <c r="A106" s="101"/>
      <c r="B106" s="4"/>
      <c r="F106" s="66"/>
      <c r="G106" s="5" t="str">
        <f ca="1">IFERROR(__xludf.DUMMYFUNCTION("IFERROR(VLOOKUP(F144,IMPORTRANGE(""https://docs.google.com/spreadsheets/d/1Kvs4KS76FHFqLFIZfrDMff4kP08nblUkihrxltoGBjg/edit#gid=934712705"",""ESENCIAL!A6:BG""),3,FALSE))"),"")</f>
        <v/>
      </c>
      <c r="H106" s="5" t="str">
        <f ca="1">IFERROR(__xludf.DUMMYFUNCTION("IFERROR(VLOOKUP(F144,IMPORTRANGE(""https://docs.google.com/spreadsheets/d/1Kvs4KS76FHFqLFIZfrDMff4kP08nblUkihrxltoGBjg/edit#gid=934712705"",""ESENCIAL!A6:BG""),8,FALSE))"),"")</f>
        <v/>
      </c>
      <c r="L106" s="287"/>
      <c r="V106" s="66"/>
    </row>
    <row r="107" spans="1:22" ht="15">
      <c r="A107" s="101"/>
      <c r="B107" s="4"/>
      <c r="F107" s="66"/>
      <c r="G107" s="5" t="str">
        <f ca="1">IFERROR(__xludf.DUMMYFUNCTION("IFERROR(VLOOKUP(F145,IMPORTRANGE(""https://docs.google.com/spreadsheets/d/1Kvs4KS76FHFqLFIZfrDMff4kP08nblUkihrxltoGBjg/edit#gid=934712705"",""ESENCIAL!A6:BG""),3,FALSE))"),"")</f>
        <v/>
      </c>
      <c r="H107" s="5" t="str">
        <f ca="1">IFERROR(__xludf.DUMMYFUNCTION("IFERROR(VLOOKUP(F145,IMPORTRANGE(""https://docs.google.com/spreadsheets/d/1Kvs4KS76FHFqLFIZfrDMff4kP08nblUkihrxltoGBjg/edit#gid=934712705"",""ESENCIAL!A6:BG""),8,FALSE))"),"")</f>
        <v/>
      </c>
      <c r="L107" s="287"/>
      <c r="V107" s="66"/>
    </row>
    <row r="108" spans="1:22" ht="15">
      <c r="A108" s="101"/>
      <c r="B108" s="4"/>
      <c r="F108" s="66"/>
      <c r="G108" s="5" t="str">
        <f ca="1">IFERROR(__xludf.DUMMYFUNCTION("IFERROR(VLOOKUP(F146,IMPORTRANGE(""https://docs.google.com/spreadsheets/d/1Kvs4KS76FHFqLFIZfrDMff4kP08nblUkihrxltoGBjg/edit#gid=934712705"",""ESENCIAL!A6:BG""),3,FALSE))"),"")</f>
        <v/>
      </c>
      <c r="H108" s="5" t="str">
        <f ca="1">IFERROR(__xludf.DUMMYFUNCTION("IFERROR(VLOOKUP(F146,IMPORTRANGE(""https://docs.google.com/spreadsheets/d/1Kvs4KS76FHFqLFIZfrDMff4kP08nblUkihrxltoGBjg/edit#gid=934712705"",""ESENCIAL!A6:BG""),8,FALSE))"),"")</f>
        <v/>
      </c>
      <c r="L108" s="287"/>
      <c r="V108" s="66"/>
    </row>
    <row r="109" spans="1:22" ht="15">
      <c r="A109" s="101"/>
      <c r="B109" s="4"/>
      <c r="F109" s="66"/>
      <c r="G109" s="5" t="str">
        <f ca="1">IFERROR(__xludf.DUMMYFUNCTION("IFERROR(VLOOKUP(F147,IMPORTRANGE(""https://docs.google.com/spreadsheets/d/1Kvs4KS76FHFqLFIZfrDMff4kP08nblUkihrxltoGBjg/edit#gid=934712705"",""ESENCIAL!A6:BG""),3,FALSE))"),"")</f>
        <v/>
      </c>
      <c r="H109" s="5" t="str">
        <f ca="1">IFERROR(__xludf.DUMMYFUNCTION("IFERROR(VLOOKUP(F147,IMPORTRANGE(""https://docs.google.com/spreadsheets/d/1Kvs4KS76FHFqLFIZfrDMff4kP08nblUkihrxltoGBjg/edit#gid=934712705"",""ESENCIAL!A6:BG""),8,FALSE))"),"")</f>
        <v/>
      </c>
      <c r="L109" s="287"/>
      <c r="V109" s="66"/>
    </row>
    <row r="110" spans="1:22" ht="15">
      <c r="A110" s="101"/>
      <c r="B110" s="4"/>
      <c r="F110" s="66"/>
      <c r="G110" s="5" t="str">
        <f ca="1">IFERROR(__xludf.DUMMYFUNCTION("IFERROR(VLOOKUP(F148,IMPORTRANGE(""https://docs.google.com/spreadsheets/d/1Kvs4KS76FHFqLFIZfrDMff4kP08nblUkihrxltoGBjg/edit#gid=934712705"",""ESENCIAL!A6:BG""),3,FALSE))"),"")</f>
        <v/>
      </c>
      <c r="H110" s="5" t="str">
        <f ca="1">IFERROR(__xludf.DUMMYFUNCTION("IFERROR(VLOOKUP(F148,IMPORTRANGE(""https://docs.google.com/spreadsheets/d/1Kvs4KS76FHFqLFIZfrDMff4kP08nblUkihrxltoGBjg/edit#gid=934712705"",""ESENCIAL!A6:BG""),8,FALSE))"),"")</f>
        <v/>
      </c>
      <c r="L110" s="287"/>
      <c r="V110" s="66"/>
    </row>
    <row r="111" spans="1:22" ht="15">
      <c r="A111" s="101"/>
      <c r="B111" s="4"/>
      <c r="F111" s="66"/>
      <c r="G111" s="5" t="str">
        <f ca="1">IFERROR(__xludf.DUMMYFUNCTION("IFERROR(VLOOKUP(F149,IMPORTRANGE(""https://docs.google.com/spreadsheets/d/1Kvs4KS76FHFqLFIZfrDMff4kP08nblUkihrxltoGBjg/edit#gid=934712705"",""ESENCIAL!A6:BG""),3,FALSE))"),"")</f>
        <v/>
      </c>
      <c r="H111" s="5" t="str">
        <f ca="1">IFERROR(__xludf.DUMMYFUNCTION("IFERROR(VLOOKUP(F149,IMPORTRANGE(""https://docs.google.com/spreadsheets/d/1Kvs4KS76FHFqLFIZfrDMff4kP08nblUkihrxltoGBjg/edit#gid=934712705"",""ESENCIAL!A6:BG""),8,FALSE))"),"")</f>
        <v/>
      </c>
      <c r="L111" s="287"/>
      <c r="V111" s="66"/>
    </row>
    <row r="112" spans="1:22" ht="15">
      <c r="A112" s="101"/>
      <c r="B112" s="4"/>
      <c r="F112" s="66"/>
      <c r="G112" s="5" t="str">
        <f ca="1">IFERROR(__xludf.DUMMYFUNCTION("IFERROR(VLOOKUP(F150,IMPORTRANGE(""https://docs.google.com/spreadsheets/d/1Kvs4KS76FHFqLFIZfrDMff4kP08nblUkihrxltoGBjg/edit#gid=934712705"",""ESENCIAL!A6:BG""),3,FALSE))"),"")</f>
        <v/>
      </c>
      <c r="H112" s="5" t="str">
        <f ca="1">IFERROR(__xludf.DUMMYFUNCTION("IFERROR(VLOOKUP(F150,IMPORTRANGE(""https://docs.google.com/spreadsheets/d/1Kvs4KS76FHFqLFIZfrDMff4kP08nblUkihrxltoGBjg/edit#gid=934712705"",""ESENCIAL!A6:BG""),8,FALSE))"),"")</f>
        <v/>
      </c>
      <c r="L112" s="287"/>
      <c r="V112" s="66"/>
    </row>
    <row r="113" spans="1:22" ht="15">
      <c r="A113" s="101"/>
      <c r="B113" s="4"/>
      <c r="F113" s="66"/>
      <c r="G113" s="5" t="str">
        <f ca="1">IFERROR(__xludf.DUMMYFUNCTION("IFERROR(VLOOKUP(F151,IMPORTRANGE(""https://docs.google.com/spreadsheets/d/1Kvs4KS76FHFqLFIZfrDMff4kP08nblUkihrxltoGBjg/edit#gid=934712705"",""ESENCIAL!A6:BG""),3,FALSE))"),"")</f>
        <v/>
      </c>
      <c r="H113" s="5" t="str">
        <f ca="1">IFERROR(__xludf.DUMMYFUNCTION("IFERROR(VLOOKUP(F151,IMPORTRANGE(""https://docs.google.com/spreadsheets/d/1Kvs4KS76FHFqLFIZfrDMff4kP08nblUkihrxltoGBjg/edit#gid=934712705"",""ESENCIAL!A6:BG""),8,FALSE))"),"")</f>
        <v/>
      </c>
      <c r="L113" s="287"/>
      <c r="V113" s="66"/>
    </row>
    <row r="114" spans="1:22" ht="15">
      <c r="A114" s="101"/>
      <c r="B114" s="4"/>
      <c r="F114" s="66"/>
      <c r="G114" s="5" t="str">
        <f ca="1">IFERROR(__xludf.DUMMYFUNCTION("IFERROR(VLOOKUP(F152,IMPORTRANGE(""https://docs.google.com/spreadsheets/d/1Kvs4KS76FHFqLFIZfrDMff4kP08nblUkihrxltoGBjg/edit#gid=934712705"",""ESENCIAL!A6:BG""),3,FALSE))"),"")</f>
        <v/>
      </c>
      <c r="H114" s="5" t="str">
        <f ca="1">IFERROR(__xludf.DUMMYFUNCTION("IFERROR(VLOOKUP(F152,IMPORTRANGE(""https://docs.google.com/spreadsheets/d/1Kvs4KS76FHFqLFIZfrDMff4kP08nblUkihrxltoGBjg/edit#gid=934712705"",""ESENCIAL!A6:BG""),8,FALSE))"),"")</f>
        <v/>
      </c>
      <c r="L114" s="287"/>
      <c r="V114" s="66"/>
    </row>
    <row r="115" spans="1:22" ht="15">
      <c r="A115" s="101"/>
      <c r="B115" s="4"/>
      <c r="F115" s="66"/>
      <c r="G115" s="5" t="str">
        <f ca="1">IFERROR(__xludf.DUMMYFUNCTION("IFERROR(VLOOKUP(F153,IMPORTRANGE(""https://docs.google.com/spreadsheets/d/1Kvs4KS76FHFqLFIZfrDMff4kP08nblUkihrxltoGBjg/edit#gid=934712705"",""ESENCIAL!A6:BG""),3,FALSE))"),"")</f>
        <v/>
      </c>
      <c r="H115" s="5" t="str">
        <f ca="1">IFERROR(__xludf.DUMMYFUNCTION("IFERROR(VLOOKUP(F153,IMPORTRANGE(""https://docs.google.com/spreadsheets/d/1Kvs4KS76FHFqLFIZfrDMff4kP08nblUkihrxltoGBjg/edit#gid=934712705"",""ESENCIAL!A6:BG""),8,FALSE))"),"")</f>
        <v/>
      </c>
      <c r="L115" s="287"/>
      <c r="V115" s="66"/>
    </row>
    <row r="116" spans="1:22" ht="15">
      <c r="A116" s="101"/>
      <c r="B116" s="4"/>
      <c r="F116" s="66"/>
      <c r="G116" s="5" t="str">
        <f ca="1">IFERROR(__xludf.DUMMYFUNCTION("IFERROR(VLOOKUP(F154,IMPORTRANGE(""https://docs.google.com/spreadsheets/d/1Kvs4KS76FHFqLFIZfrDMff4kP08nblUkihrxltoGBjg/edit#gid=934712705"",""ESENCIAL!A6:BG""),3,FALSE))"),"")</f>
        <v/>
      </c>
      <c r="H116" s="5" t="str">
        <f ca="1">IFERROR(__xludf.DUMMYFUNCTION("IFERROR(VLOOKUP(F154,IMPORTRANGE(""https://docs.google.com/spreadsheets/d/1Kvs4KS76FHFqLFIZfrDMff4kP08nblUkihrxltoGBjg/edit#gid=934712705"",""ESENCIAL!A6:BG""),8,FALSE))"),"")</f>
        <v/>
      </c>
      <c r="L116" s="287"/>
      <c r="V116" s="66"/>
    </row>
    <row r="117" spans="1:22" ht="15">
      <c r="A117" s="101"/>
      <c r="B117" s="4"/>
      <c r="F117" s="66"/>
      <c r="G117" s="5" t="str">
        <f ca="1">IFERROR(__xludf.DUMMYFUNCTION("IFERROR(VLOOKUP(F155,IMPORTRANGE(""https://docs.google.com/spreadsheets/d/1Kvs4KS76FHFqLFIZfrDMff4kP08nblUkihrxltoGBjg/edit#gid=934712705"",""ESENCIAL!A6:BG""),3,FALSE))"),"")</f>
        <v/>
      </c>
      <c r="H117" s="5" t="str">
        <f ca="1">IFERROR(__xludf.DUMMYFUNCTION("IFERROR(VLOOKUP(F155,IMPORTRANGE(""https://docs.google.com/spreadsheets/d/1Kvs4KS76FHFqLFIZfrDMff4kP08nblUkihrxltoGBjg/edit#gid=934712705"",""ESENCIAL!A6:BG""),8,FALSE))"),"")</f>
        <v/>
      </c>
      <c r="L117" s="287"/>
      <c r="V117" s="66"/>
    </row>
    <row r="118" spans="1:22" ht="15">
      <c r="A118" s="101"/>
      <c r="B118" s="4"/>
      <c r="F118" s="66"/>
      <c r="G118" s="5" t="str">
        <f ca="1">IFERROR(__xludf.DUMMYFUNCTION("IFERROR(VLOOKUP(F156,IMPORTRANGE(""https://docs.google.com/spreadsheets/d/1Kvs4KS76FHFqLFIZfrDMff4kP08nblUkihrxltoGBjg/edit#gid=934712705"",""ESENCIAL!A6:BG""),3,FALSE))"),"")</f>
        <v/>
      </c>
      <c r="H118" s="5" t="str">
        <f ca="1">IFERROR(__xludf.DUMMYFUNCTION("IFERROR(VLOOKUP(F156,IMPORTRANGE(""https://docs.google.com/spreadsheets/d/1Kvs4KS76FHFqLFIZfrDMff4kP08nblUkihrxltoGBjg/edit#gid=934712705"",""ESENCIAL!A6:BG""),8,FALSE))"),"")</f>
        <v/>
      </c>
      <c r="L118" s="287"/>
      <c r="V118" s="66"/>
    </row>
    <row r="119" spans="1:22" ht="15">
      <c r="A119" s="101"/>
      <c r="B119" s="4"/>
      <c r="F119" s="66"/>
      <c r="G119" s="5" t="str">
        <f ca="1">IFERROR(__xludf.DUMMYFUNCTION("IFERROR(VLOOKUP(F157,IMPORTRANGE(""https://docs.google.com/spreadsheets/d/1Kvs4KS76FHFqLFIZfrDMff4kP08nblUkihrxltoGBjg/edit#gid=934712705"",""ESENCIAL!A6:BG""),3,FALSE))"),"")</f>
        <v/>
      </c>
      <c r="H119" s="5" t="str">
        <f ca="1">IFERROR(__xludf.DUMMYFUNCTION("IFERROR(VLOOKUP(F157,IMPORTRANGE(""https://docs.google.com/spreadsheets/d/1Kvs4KS76FHFqLFIZfrDMff4kP08nblUkihrxltoGBjg/edit#gid=934712705"",""ESENCIAL!A6:BG""),8,FALSE))"),"")</f>
        <v/>
      </c>
      <c r="L119" s="287"/>
      <c r="V119" s="66"/>
    </row>
    <row r="120" spans="1:22" ht="15">
      <c r="A120" s="101"/>
      <c r="B120" s="4"/>
      <c r="F120" s="66"/>
      <c r="G120" s="5" t="str">
        <f ca="1">IFERROR(__xludf.DUMMYFUNCTION("IFERROR(VLOOKUP(F158,IMPORTRANGE(""https://docs.google.com/spreadsheets/d/1Kvs4KS76FHFqLFIZfrDMff4kP08nblUkihrxltoGBjg/edit#gid=934712705"",""ESENCIAL!A6:BG""),3,FALSE))"),"")</f>
        <v/>
      </c>
      <c r="H120" s="5" t="str">
        <f ca="1">IFERROR(__xludf.DUMMYFUNCTION("IFERROR(VLOOKUP(F158,IMPORTRANGE(""https://docs.google.com/spreadsheets/d/1Kvs4KS76FHFqLFIZfrDMff4kP08nblUkihrxltoGBjg/edit#gid=934712705"",""ESENCIAL!A6:BG""),8,FALSE))"),"")</f>
        <v/>
      </c>
      <c r="L120" s="287"/>
      <c r="V120" s="66"/>
    </row>
    <row r="121" spans="1:22" ht="15">
      <c r="A121" s="101"/>
      <c r="B121" s="4"/>
      <c r="F121" s="66"/>
      <c r="G121" s="5" t="str">
        <f ca="1">IFERROR(__xludf.DUMMYFUNCTION("IFERROR(VLOOKUP(F159,IMPORTRANGE(""https://docs.google.com/spreadsheets/d/1Kvs4KS76FHFqLFIZfrDMff4kP08nblUkihrxltoGBjg/edit#gid=934712705"",""ESENCIAL!A6:BG""),3,FALSE))"),"")</f>
        <v/>
      </c>
      <c r="H121" s="5" t="str">
        <f ca="1">IFERROR(__xludf.DUMMYFUNCTION("IFERROR(VLOOKUP(F159,IMPORTRANGE(""https://docs.google.com/spreadsheets/d/1Kvs4KS76FHFqLFIZfrDMff4kP08nblUkihrxltoGBjg/edit#gid=934712705"",""ESENCIAL!A6:BG""),8,FALSE))"),"")</f>
        <v/>
      </c>
      <c r="L121" s="287"/>
      <c r="V121" s="66"/>
    </row>
    <row r="122" spans="1:22" ht="15">
      <c r="A122" s="101"/>
      <c r="B122" s="4"/>
      <c r="F122" s="66"/>
      <c r="G122" s="5" t="str">
        <f ca="1">IFERROR(__xludf.DUMMYFUNCTION("IFERROR(VLOOKUP(F160,IMPORTRANGE(""https://docs.google.com/spreadsheets/d/1Kvs4KS76FHFqLFIZfrDMff4kP08nblUkihrxltoGBjg/edit#gid=934712705"",""ESENCIAL!A6:BG""),3,FALSE))"),"")</f>
        <v/>
      </c>
      <c r="H122" s="5" t="str">
        <f ca="1">IFERROR(__xludf.DUMMYFUNCTION("IFERROR(VLOOKUP(F160,IMPORTRANGE(""https://docs.google.com/spreadsheets/d/1Kvs4KS76FHFqLFIZfrDMff4kP08nblUkihrxltoGBjg/edit#gid=934712705"",""ESENCIAL!A6:BG""),8,FALSE))"),"")</f>
        <v/>
      </c>
      <c r="L122" s="287"/>
      <c r="V122" s="66"/>
    </row>
    <row r="123" spans="1:22" ht="15">
      <c r="A123" s="101"/>
      <c r="B123" s="4"/>
      <c r="F123" s="66"/>
      <c r="G123" s="5" t="str">
        <f ca="1">IFERROR(__xludf.DUMMYFUNCTION("IFERROR(VLOOKUP(F161,IMPORTRANGE(""https://docs.google.com/spreadsheets/d/1Kvs4KS76FHFqLFIZfrDMff4kP08nblUkihrxltoGBjg/edit#gid=934712705"",""ESENCIAL!A6:BG""),3,FALSE))"),"")</f>
        <v/>
      </c>
      <c r="H123" s="5" t="str">
        <f ca="1">IFERROR(__xludf.DUMMYFUNCTION("IFERROR(VLOOKUP(F161,IMPORTRANGE(""https://docs.google.com/spreadsheets/d/1Kvs4KS76FHFqLFIZfrDMff4kP08nblUkihrxltoGBjg/edit#gid=934712705"",""ESENCIAL!A6:BG""),8,FALSE))"),"")</f>
        <v/>
      </c>
      <c r="L123" s="287"/>
      <c r="V123" s="66"/>
    </row>
    <row r="124" spans="1:22" ht="15">
      <c r="A124" s="101"/>
      <c r="B124" s="4"/>
      <c r="F124" s="66"/>
      <c r="G124" s="5" t="str">
        <f ca="1">IFERROR(__xludf.DUMMYFUNCTION("IFERROR(VLOOKUP(F162,IMPORTRANGE(""https://docs.google.com/spreadsheets/d/1Kvs4KS76FHFqLFIZfrDMff4kP08nblUkihrxltoGBjg/edit#gid=934712705"",""ESENCIAL!A6:BG""),3,FALSE))"),"")</f>
        <v/>
      </c>
      <c r="H124" s="5" t="str">
        <f ca="1">IFERROR(__xludf.DUMMYFUNCTION("IFERROR(VLOOKUP(F162,IMPORTRANGE(""https://docs.google.com/spreadsheets/d/1Kvs4KS76FHFqLFIZfrDMff4kP08nblUkihrxltoGBjg/edit#gid=934712705"",""ESENCIAL!A6:BG""),8,FALSE))"),"")</f>
        <v/>
      </c>
      <c r="L124" s="287"/>
      <c r="V124" s="66"/>
    </row>
    <row r="125" spans="1:22" ht="15">
      <c r="A125" s="101"/>
      <c r="B125" s="4"/>
      <c r="F125" s="66"/>
      <c r="G125" s="5" t="str">
        <f ca="1">IFERROR(__xludf.DUMMYFUNCTION("IFERROR(VLOOKUP(F163,IMPORTRANGE(""https://docs.google.com/spreadsheets/d/1Kvs4KS76FHFqLFIZfrDMff4kP08nblUkihrxltoGBjg/edit#gid=934712705"",""ESENCIAL!A6:BG""),3,FALSE))"),"")</f>
        <v/>
      </c>
      <c r="H125" s="5" t="str">
        <f ca="1">IFERROR(__xludf.DUMMYFUNCTION("IFERROR(VLOOKUP(F163,IMPORTRANGE(""https://docs.google.com/spreadsheets/d/1Kvs4KS76FHFqLFIZfrDMff4kP08nblUkihrxltoGBjg/edit#gid=934712705"",""ESENCIAL!A6:BG""),8,FALSE))"),"")</f>
        <v/>
      </c>
      <c r="L125" s="287"/>
      <c r="V125" s="66"/>
    </row>
    <row r="126" spans="1:22" ht="15">
      <c r="A126" s="101"/>
      <c r="B126" s="4"/>
      <c r="F126" s="66"/>
      <c r="G126" s="5" t="str">
        <f ca="1">IFERROR(__xludf.DUMMYFUNCTION("IFERROR(VLOOKUP(F164,IMPORTRANGE(""https://docs.google.com/spreadsheets/d/1Kvs4KS76FHFqLFIZfrDMff4kP08nblUkihrxltoGBjg/edit#gid=934712705"",""ESENCIAL!A6:BG""),3,FALSE))"),"")</f>
        <v/>
      </c>
      <c r="H126" s="5" t="str">
        <f ca="1">IFERROR(__xludf.DUMMYFUNCTION("IFERROR(VLOOKUP(F164,IMPORTRANGE(""https://docs.google.com/spreadsheets/d/1Kvs4KS76FHFqLFIZfrDMff4kP08nblUkihrxltoGBjg/edit#gid=934712705"",""ESENCIAL!A6:BG""),8,FALSE))"),"")</f>
        <v/>
      </c>
      <c r="L126" s="287"/>
      <c r="V126" s="66"/>
    </row>
    <row r="127" spans="1:22" ht="15">
      <c r="A127" s="101"/>
      <c r="B127" s="4"/>
      <c r="F127" s="66"/>
      <c r="G127" s="5" t="str">
        <f ca="1">IFERROR(__xludf.DUMMYFUNCTION("IFERROR(VLOOKUP(F165,IMPORTRANGE(""https://docs.google.com/spreadsheets/d/1Kvs4KS76FHFqLFIZfrDMff4kP08nblUkihrxltoGBjg/edit#gid=934712705"",""ESENCIAL!A6:BG""),3,FALSE))"),"")</f>
        <v/>
      </c>
      <c r="H127" s="5" t="str">
        <f ca="1">IFERROR(__xludf.DUMMYFUNCTION("IFERROR(VLOOKUP(F165,IMPORTRANGE(""https://docs.google.com/spreadsheets/d/1Kvs4KS76FHFqLFIZfrDMff4kP08nblUkihrxltoGBjg/edit#gid=934712705"",""ESENCIAL!A6:BG""),8,FALSE))"),"")</f>
        <v/>
      </c>
      <c r="L127" s="287"/>
      <c r="V127" s="66"/>
    </row>
    <row r="128" spans="1:22" ht="15">
      <c r="A128" s="101"/>
      <c r="B128" s="4"/>
      <c r="F128" s="66"/>
      <c r="G128" s="5" t="str">
        <f ca="1">IFERROR(__xludf.DUMMYFUNCTION("IFERROR(VLOOKUP(F166,IMPORTRANGE(""https://docs.google.com/spreadsheets/d/1Kvs4KS76FHFqLFIZfrDMff4kP08nblUkihrxltoGBjg/edit#gid=934712705"",""ESENCIAL!A6:BG""),3,FALSE))"),"")</f>
        <v/>
      </c>
      <c r="H128" s="5" t="str">
        <f ca="1">IFERROR(__xludf.DUMMYFUNCTION("IFERROR(VLOOKUP(F166,IMPORTRANGE(""https://docs.google.com/spreadsheets/d/1Kvs4KS76FHFqLFIZfrDMff4kP08nblUkihrxltoGBjg/edit#gid=934712705"",""ESENCIAL!A6:BG""),8,FALSE))"),"")</f>
        <v/>
      </c>
      <c r="L128" s="287"/>
      <c r="V128" s="66"/>
    </row>
    <row r="129" spans="1:22" ht="15">
      <c r="A129" s="102"/>
      <c r="B129" s="4"/>
      <c r="F129" s="66"/>
      <c r="G129" s="5" t="str">
        <f ca="1">IFERROR(__xludf.DUMMYFUNCTION("IFERROR(VLOOKUP(F167,IMPORTRANGE(""https://docs.google.com/spreadsheets/d/1Kvs4KS76FHFqLFIZfrDMff4kP08nblUkihrxltoGBjg/edit#gid=934712705"",""ESENCIAL!A6:BG""),3,FALSE))"),"")</f>
        <v/>
      </c>
      <c r="H129" s="5" t="str">
        <f ca="1">IFERROR(__xludf.DUMMYFUNCTION("IFERROR(VLOOKUP(F167,IMPORTRANGE(""https://docs.google.com/spreadsheets/d/1Kvs4KS76FHFqLFIZfrDMff4kP08nblUkihrxltoGBjg/edit#gid=934712705"",""ESENCIAL!A6:BG""),8,FALSE))"),"")</f>
        <v/>
      </c>
      <c r="L129" s="287"/>
      <c r="V129" s="66"/>
    </row>
    <row r="130" spans="1:22" ht="15">
      <c r="A130" s="101"/>
      <c r="B130" s="4"/>
      <c r="F130" s="66"/>
      <c r="G130" s="5" t="str">
        <f ca="1">IFERROR(__xludf.DUMMYFUNCTION("IFERROR(VLOOKUP(F168,IMPORTRANGE(""https://docs.google.com/spreadsheets/d/1Kvs4KS76FHFqLFIZfrDMff4kP08nblUkihrxltoGBjg/edit#gid=934712705"",""ESENCIAL!A6:BG""),3,FALSE))"),"")</f>
        <v/>
      </c>
      <c r="H130" s="5" t="str">
        <f ca="1">IFERROR(__xludf.DUMMYFUNCTION("IFERROR(VLOOKUP(F168,IMPORTRANGE(""https://docs.google.com/spreadsheets/d/1Kvs4KS76FHFqLFIZfrDMff4kP08nblUkihrxltoGBjg/edit#gid=934712705"",""ESENCIAL!A6:BG""),8,FALSE))"),"")</f>
        <v/>
      </c>
      <c r="L130" s="287"/>
      <c r="V130" s="66"/>
    </row>
    <row r="131" spans="1:22" ht="15">
      <c r="A131" s="101"/>
      <c r="B131" s="4"/>
      <c r="F131" s="66"/>
      <c r="G131" s="5" t="str">
        <f ca="1">IFERROR(__xludf.DUMMYFUNCTION("IFERROR(VLOOKUP(F169,IMPORTRANGE(""https://docs.google.com/spreadsheets/d/1Kvs4KS76FHFqLFIZfrDMff4kP08nblUkihrxltoGBjg/edit#gid=934712705"",""ESENCIAL!A6:BG""),3,FALSE))"),"")</f>
        <v/>
      </c>
      <c r="H131" s="5" t="str">
        <f ca="1">IFERROR(__xludf.DUMMYFUNCTION("IFERROR(VLOOKUP(F169,IMPORTRANGE(""https://docs.google.com/spreadsheets/d/1Kvs4KS76FHFqLFIZfrDMff4kP08nblUkihrxltoGBjg/edit#gid=934712705"",""ESENCIAL!A6:BG""),8,FALSE))"),"")</f>
        <v/>
      </c>
      <c r="L131" s="287"/>
      <c r="V131" s="66"/>
    </row>
    <row r="132" spans="1:22" ht="15">
      <c r="A132" s="101"/>
      <c r="B132" s="4"/>
      <c r="F132" s="66"/>
      <c r="G132" s="5" t="str">
        <f ca="1">IFERROR(__xludf.DUMMYFUNCTION("IFERROR(VLOOKUP(F170,IMPORTRANGE(""https://docs.google.com/spreadsheets/d/1Kvs4KS76FHFqLFIZfrDMff4kP08nblUkihrxltoGBjg/edit#gid=934712705"",""ESENCIAL!A6:BG""),3,FALSE))"),"")</f>
        <v/>
      </c>
      <c r="H132" s="5" t="str">
        <f ca="1">IFERROR(__xludf.DUMMYFUNCTION("IFERROR(VLOOKUP(F170,IMPORTRANGE(""https://docs.google.com/spreadsheets/d/1Kvs4KS76FHFqLFIZfrDMff4kP08nblUkihrxltoGBjg/edit#gid=934712705"",""ESENCIAL!A6:BG""),8,FALSE))"),"")</f>
        <v/>
      </c>
      <c r="L132" s="287"/>
      <c r="V132" s="66"/>
    </row>
    <row r="133" spans="1:22" ht="15">
      <c r="A133" s="101"/>
      <c r="B133" s="4"/>
      <c r="F133" s="66"/>
      <c r="G133" s="5" t="str">
        <f ca="1">IFERROR(__xludf.DUMMYFUNCTION("IFERROR(VLOOKUP(F171,IMPORTRANGE(""https://docs.google.com/spreadsheets/d/1Kvs4KS76FHFqLFIZfrDMff4kP08nblUkihrxltoGBjg/edit#gid=934712705"",""ESENCIAL!A6:BG""),3,FALSE))"),"")</f>
        <v/>
      </c>
      <c r="H133" s="5" t="str">
        <f ca="1">IFERROR(__xludf.DUMMYFUNCTION("IFERROR(VLOOKUP(F171,IMPORTRANGE(""https://docs.google.com/spreadsheets/d/1Kvs4KS76FHFqLFIZfrDMff4kP08nblUkihrxltoGBjg/edit#gid=934712705"",""ESENCIAL!A6:BG""),8,FALSE))"),"")</f>
        <v/>
      </c>
      <c r="L133" s="287"/>
      <c r="V133" s="66"/>
    </row>
    <row r="134" spans="1:22" ht="15">
      <c r="A134" s="101"/>
      <c r="B134" s="4"/>
      <c r="F134" s="66"/>
      <c r="G134" s="5" t="str">
        <f ca="1">IFERROR(__xludf.DUMMYFUNCTION("IFERROR(VLOOKUP(F172,IMPORTRANGE(""https://docs.google.com/spreadsheets/d/1Kvs4KS76FHFqLFIZfrDMff4kP08nblUkihrxltoGBjg/edit#gid=934712705"",""ESENCIAL!A6:BG""),3,FALSE))"),"")</f>
        <v/>
      </c>
      <c r="H134" s="5" t="str">
        <f ca="1">IFERROR(__xludf.DUMMYFUNCTION("IFERROR(VLOOKUP(F172,IMPORTRANGE(""https://docs.google.com/spreadsheets/d/1Kvs4KS76FHFqLFIZfrDMff4kP08nblUkihrxltoGBjg/edit#gid=934712705"",""ESENCIAL!A6:BG""),8,FALSE))"),"")</f>
        <v/>
      </c>
      <c r="L134" s="287"/>
      <c r="V134" s="66"/>
    </row>
    <row r="135" spans="1:22" ht="15">
      <c r="A135" s="101"/>
      <c r="B135" s="4"/>
      <c r="F135" s="66"/>
      <c r="G135" s="5" t="str">
        <f ca="1">IFERROR(__xludf.DUMMYFUNCTION("IFERROR(VLOOKUP(F173,IMPORTRANGE(""https://docs.google.com/spreadsheets/d/1Kvs4KS76FHFqLFIZfrDMff4kP08nblUkihrxltoGBjg/edit#gid=934712705"",""ESENCIAL!A6:BG""),3,FALSE))"),"")</f>
        <v/>
      </c>
      <c r="H135" s="5" t="str">
        <f ca="1">IFERROR(__xludf.DUMMYFUNCTION("IFERROR(VLOOKUP(F173,IMPORTRANGE(""https://docs.google.com/spreadsheets/d/1Kvs4KS76FHFqLFIZfrDMff4kP08nblUkihrxltoGBjg/edit#gid=934712705"",""ESENCIAL!A6:BG""),8,FALSE))"),"")</f>
        <v/>
      </c>
      <c r="L135" s="287"/>
      <c r="V135" s="66"/>
    </row>
    <row r="136" spans="1:22" ht="15">
      <c r="A136" s="101"/>
      <c r="B136" s="4"/>
      <c r="F136" s="66"/>
      <c r="G136" s="5" t="str">
        <f ca="1">IFERROR(__xludf.DUMMYFUNCTION("IFERROR(VLOOKUP(F174,IMPORTRANGE(""https://docs.google.com/spreadsheets/d/1Kvs4KS76FHFqLFIZfrDMff4kP08nblUkihrxltoGBjg/edit#gid=934712705"",""ESENCIAL!A6:BG""),3,FALSE))"),"")</f>
        <v/>
      </c>
      <c r="H136" s="5" t="str">
        <f ca="1">IFERROR(__xludf.DUMMYFUNCTION("IFERROR(VLOOKUP(F174,IMPORTRANGE(""https://docs.google.com/spreadsheets/d/1Kvs4KS76FHFqLFIZfrDMff4kP08nblUkihrxltoGBjg/edit#gid=934712705"",""ESENCIAL!A6:BG""),8,FALSE))"),"")</f>
        <v/>
      </c>
      <c r="L136" s="287"/>
      <c r="V136" s="66"/>
    </row>
    <row r="137" spans="1:22" ht="15">
      <c r="A137" s="101"/>
      <c r="B137" s="4"/>
      <c r="F137" s="66"/>
      <c r="G137" s="5" t="str">
        <f ca="1">IFERROR(__xludf.DUMMYFUNCTION("IFERROR(VLOOKUP(F175,IMPORTRANGE(""https://docs.google.com/spreadsheets/d/1Kvs4KS76FHFqLFIZfrDMff4kP08nblUkihrxltoGBjg/edit#gid=934712705"",""ESENCIAL!A6:BG""),3,FALSE))"),"")</f>
        <v/>
      </c>
      <c r="H137" s="5" t="str">
        <f ca="1">IFERROR(__xludf.DUMMYFUNCTION("IFERROR(VLOOKUP(F175,IMPORTRANGE(""https://docs.google.com/spreadsheets/d/1Kvs4KS76FHFqLFIZfrDMff4kP08nblUkihrxltoGBjg/edit#gid=934712705"",""ESENCIAL!A6:BG""),8,FALSE))"),"")</f>
        <v/>
      </c>
      <c r="L137" s="287"/>
      <c r="V137" s="66"/>
    </row>
    <row r="138" spans="1:22" ht="15">
      <c r="A138" s="101"/>
      <c r="B138" s="4"/>
      <c r="F138" s="66"/>
      <c r="G138" s="5" t="str">
        <f ca="1">IFERROR(__xludf.DUMMYFUNCTION("IFERROR(VLOOKUP(F176,IMPORTRANGE(""https://docs.google.com/spreadsheets/d/1Kvs4KS76FHFqLFIZfrDMff4kP08nblUkihrxltoGBjg/edit#gid=934712705"",""ESENCIAL!A6:BG""),3,FALSE))"),"")</f>
        <v/>
      </c>
      <c r="H138" s="5" t="str">
        <f ca="1">IFERROR(__xludf.DUMMYFUNCTION("IFERROR(VLOOKUP(F176,IMPORTRANGE(""https://docs.google.com/spreadsheets/d/1Kvs4KS76FHFqLFIZfrDMff4kP08nblUkihrxltoGBjg/edit#gid=934712705"",""ESENCIAL!A6:BG""),8,FALSE))"),"")</f>
        <v/>
      </c>
      <c r="L138" s="287"/>
      <c r="V138" s="66"/>
    </row>
    <row r="139" spans="1:22" ht="15">
      <c r="A139" s="101"/>
      <c r="B139" s="4"/>
      <c r="F139" s="66"/>
      <c r="G139" s="5" t="str">
        <f ca="1">IFERROR(__xludf.DUMMYFUNCTION("IFERROR(VLOOKUP(F177,IMPORTRANGE(""https://docs.google.com/spreadsheets/d/1Kvs4KS76FHFqLFIZfrDMff4kP08nblUkihrxltoGBjg/edit#gid=934712705"",""ESENCIAL!A6:BG""),3,FALSE))"),"")</f>
        <v/>
      </c>
      <c r="H139" s="5" t="str">
        <f ca="1">IFERROR(__xludf.DUMMYFUNCTION("IFERROR(VLOOKUP(F177,IMPORTRANGE(""https://docs.google.com/spreadsheets/d/1Kvs4KS76FHFqLFIZfrDMff4kP08nblUkihrxltoGBjg/edit#gid=934712705"",""ESENCIAL!A6:BG""),8,FALSE))"),"")</f>
        <v/>
      </c>
      <c r="L139" s="287"/>
      <c r="V139" s="66"/>
    </row>
    <row r="140" spans="1:22" ht="15">
      <c r="A140" s="101"/>
      <c r="B140" s="4"/>
      <c r="F140" s="66"/>
      <c r="G140" s="5" t="str">
        <f ca="1">IFERROR(__xludf.DUMMYFUNCTION("IFERROR(VLOOKUP(F178,IMPORTRANGE(""https://docs.google.com/spreadsheets/d/1Kvs4KS76FHFqLFIZfrDMff4kP08nblUkihrxltoGBjg/edit#gid=934712705"",""ESENCIAL!A6:BG""),3,FALSE))"),"")</f>
        <v/>
      </c>
      <c r="H140" s="5" t="str">
        <f ca="1">IFERROR(__xludf.DUMMYFUNCTION("IFERROR(VLOOKUP(F178,IMPORTRANGE(""https://docs.google.com/spreadsheets/d/1Kvs4KS76FHFqLFIZfrDMff4kP08nblUkihrxltoGBjg/edit#gid=934712705"",""ESENCIAL!A6:BG""),8,FALSE))"),"")</f>
        <v/>
      </c>
      <c r="L140" s="287"/>
      <c r="V140" s="66"/>
    </row>
    <row r="141" spans="1:22" ht="15">
      <c r="A141" s="101"/>
      <c r="B141" s="4"/>
      <c r="F141" s="66"/>
      <c r="G141" s="5" t="str">
        <f ca="1">IFERROR(__xludf.DUMMYFUNCTION("IFERROR(VLOOKUP(F179,IMPORTRANGE(""https://docs.google.com/spreadsheets/d/1Kvs4KS76FHFqLFIZfrDMff4kP08nblUkihrxltoGBjg/edit#gid=934712705"",""ESENCIAL!A6:BG""),3,FALSE))"),"")</f>
        <v/>
      </c>
      <c r="H141" s="5" t="str">
        <f ca="1">IFERROR(__xludf.DUMMYFUNCTION("IFERROR(VLOOKUP(F179,IMPORTRANGE(""https://docs.google.com/spreadsheets/d/1Kvs4KS76FHFqLFIZfrDMff4kP08nblUkihrxltoGBjg/edit#gid=934712705"",""ESENCIAL!A6:BG""),8,FALSE))"),"")</f>
        <v/>
      </c>
      <c r="L141" s="287"/>
      <c r="V141" s="66"/>
    </row>
    <row r="142" spans="1:22" ht="15">
      <c r="A142" s="101"/>
      <c r="B142" s="4"/>
      <c r="F142" s="66"/>
      <c r="G142" s="5" t="str">
        <f ca="1">IFERROR(__xludf.DUMMYFUNCTION("IFERROR(VLOOKUP(F180,IMPORTRANGE(""https://docs.google.com/spreadsheets/d/1Kvs4KS76FHFqLFIZfrDMff4kP08nblUkihrxltoGBjg/edit#gid=934712705"",""ESENCIAL!A6:BG""),3,FALSE))"),"")</f>
        <v/>
      </c>
      <c r="H142" s="5" t="str">
        <f ca="1">IFERROR(__xludf.DUMMYFUNCTION("IFERROR(VLOOKUP(F180,IMPORTRANGE(""https://docs.google.com/spreadsheets/d/1Kvs4KS76FHFqLFIZfrDMff4kP08nblUkihrxltoGBjg/edit#gid=934712705"",""ESENCIAL!A6:BG""),8,FALSE))"),"")</f>
        <v/>
      </c>
      <c r="L142" s="287"/>
      <c r="V142" s="66"/>
    </row>
    <row r="143" spans="1:22" ht="15">
      <c r="A143" s="101"/>
      <c r="B143" s="4"/>
      <c r="F143" s="66"/>
      <c r="G143" s="5" t="str">
        <f ca="1">IFERROR(__xludf.DUMMYFUNCTION("IFERROR(VLOOKUP(F181,IMPORTRANGE(""https://docs.google.com/spreadsheets/d/1Kvs4KS76FHFqLFIZfrDMff4kP08nblUkihrxltoGBjg/edit#gid=934712705"",""ESENCIAL!A6:BG""),3,FALSE))"),"")</f>
        <v/>
      </c>
      <c r="H143" s="5" t="str">
        <f ca="1">IFERROR(__xludf.DUMMYFUNCTION("IFERROR(VLOOKUP(F181,IMPORTRANGE(""https://docs.google.com/spreadsheets/d/1Kvs4KS76FHFqLFIZfrDMff4kP08nblUkihrxltoGBjg/edit#gid=934712705"",""ESENCIAL!A6:BG""),8,FALSE))"),"")</f>
        <v/>
      </c>
      <c r="L143" s="287"/>
      <c r="V143" s="66"/>
    </row>
    <row r="144" spans="1:22" ht="15">
      <c r="A144" s="101"/>
      <c r="B144" s="4"/>
      <c r="F144" s="66"/>
      <c r="G144" s="5" t="str">
        <f ca="1">IFERROR(__xludf.DUMMYFUNCTION("IFERROR(VLOOKUP(F182,IMPORTRANGE(""https://docs.google.com/spreadsheets/d/1Kvs4KS76FHFqLFIZfrDMff4kP08nblUkihrxltoGBjg/edit#gid=934712705"",""ESENCIAL!A6:BG""),3,FALSE))"),"")</f>
        <v/>
      </c>
      <c r="H144" s="5" t="str">
        <f ca="1">IFERROR(__xludf.DUMMYFUNCTION("IFERROR(VLOOKUP(F182,IMPORTRANGE(""https://docs.google.com/spreadsheets/d/1Kvs4KS76FHFqLFIZfrDMff4kP08nblUkihrxltoGBjg/edit#gid=934712705"",""ESENCIAL!A6:BG""),8,FALSE))"),"")</f>
        <v/>
      </c>
      <c r="L144" s="287"/>
      <c r="V144" s="66"/>
    </row>
    <row r="145" spans="1:22" ht="15">
      <c r="A145" s="101"/>
      <c r="B145" s="4"/>
      <c r="F145" s="66"/>
      <c r="G145" s="5" t="str">
        <f ca="1">IFERROR(__xludf.DUMMYFUNCTION("IFERROR(VLOOKUP(F183,IMPORTRANGE(""https://docs.google.com/spreadsheets/d/1Kvs4KS76FHFqLFIZfrDMff4kP08nblUkihrxltoGBjg/edit#gid=934712705"",""ESENCIAL!A6:BG""),3,FALSE))"),"")</f>
        <v/>
      </c>
      <c r="H145" s="5" t="str">
        <f ca="1">IFERROR(__xludf.DUMMYFUNCTION("IFERROR(VLOOKUP(F183,IMPORTRANGE(""https://docs.google.com/spreadsheets/d/1Kvs4KS76FHFqLFIZfrDMff4kP08nblUkihrxltoGBjg/edit#gid=934712705"",""ESENCIAL!A6:BG""),8,FALSE))"),"")</f>
        <v/>
      </c>
      <c r="L145" s="287"/>
      <c r="V145" s="66"/>
    </row>
    <row r="146" spans="1:22" ht="15">
      <c r="A146" s="101"/>
      <c r="B146" s="4"/>
      <c r="F146" s="66"/>
      <c r="G146" s="5" t="str">
        <f ca="1">IFERROR(__xludf.DUMMYFUNCTION("IFERROR(VLOOKUP(F184,IMPORTRANGE(""https://docs.google.com/spreadsheets/d/1Kvs4KS76FHFqLFIZfrDMff4kP08nblUkihrxltoGBjg/edit#gid=934712705"",""ESENCIAL!A6:BG""),3,FALSE))"),"")</f>
        <v/>
      </c>
      <c r="H146" s="5" t="str">
        <f ca="1">IFERROR(__xludf.DUMMYFUNCTION("IFERROR(VLOOKUP(F184,IMPORTRANGE(""https://docs.google.com/spreadsheets/d/1Kvs4KS76FHFqLFIZfrDMff4kP08nblUkihrxltoGBjg/edit#gid=934712705"",""ESENCIAL!A6:BG""),8,FALSE))"),"")</f>
        <v/>
      </c>
      <c r="L146" s="287"/>
      <c r="V146" s="66"/>
    </row>
    <row r="147" spans="1:22" ht="15">
      <c r="A147" s="101"/>
      <c r="B147" s="4"/>
      <c r="F147" s="66"/>
      <c r="G147" s="5" t="str">
        <f ca="1">IFERROR(__xludf.DUMMYFUNCTION("IFERROR(VLOOKUP(F185,IMPORTRANGE(""https://docs.google.com/spreadsheets/d/1Kvs4KS76FHFqLFIZfrDMff4kP08nblUkihrxltoGBjg/edit#gid=934712705"",""ESENCIAL!A6:BG""),3,FALSE))"),"")</f>
        <v/>
      </c>
      <c r="H147" s="5" t="str">
        <f ca="1">IFERROR(__xludf.DUMMYFUNCTION("IFERROR(VLOOKUP(F185,IMPORTRANGE(""https://docs.google.com/spreadsheets/d/1Kvs4KS76FHFqLFIZfrDMff4kP08nblUkihrxltoGBjg/edit#gid=934712705"",""ESENCIAL!A6:BG""),8,FALSE))"),"")</f>
        <v/>
      </c>
      <c r="L147" s="287"/>
      <c r="V147" s="66"/>
    </row>
    <row r="148" spans="1:22" ht="15">
      <c r="A148" s="101"/>
      <c r="B148" s="4"/>
      <c r="F148" s="66"/>
      <c r="G148" s="5" t="str">
        <f ca="1">IFERROR(__xludf.DUMMYFUNCTION("IFERROR(VLOOKUP(F186,IMPORTRANGE(""https://docs.google.com/spreadsheets/d/1Kvs4KS76FHFqLFIZfrDMff4kP08nblUkihrxltoGBjg/edit#gid=934712705"",""ESENCIAL!A6:BG""),3,FALSE))"),"")</f>
        <v/>
      </c>
      <c r="H148" s="5" t="str">
        <f ca="1">IFERROR(__xludf.DUMMYFUNCTION("IFERROR(VLOOKUP(F186,IMPORTRANGE(""https://docs.google.com/spreadsheets/d/1Kvs4KS76FHFqLFIZfrDMff4kP08nblUkihrxltoGBjg/edit#gid=934712705"",""ESENCIAL!A6:BG""),8,FALSE))"),"")</f>
        <v/>
      </c>
      <c r="L148" s="287"/>
      <c r="V148" s="66"/>
    </row>
    <row r="149" spans="1:22" ht="15">
      <c r="A149" s="103"/>
      <c r="B149" s="4"/>
      <c r="F149" s="66"/>
      <c r="G149" s="5" t="str">
        <f ca="1">IFERROR(__xludf.DUMMYFUNCTION("IFERROR(VLOOKUP(F187,IMPORTRANGE(""https://docs.google.com/spreadsheets/d/1Kvs4KS76FHFqLFIZfrDMff4kP08nblUkihrxltoGBjg/edit#gid=934712705"",""ESENCIAL!A6:BG""),3,FALSE))"),"")</f>
        <v/>
      </c>
      <c r="H149" s="5" t="str">
        <f ca="1">IFERROR(__xludf.DUMMYFUNCTION("IFERROR(VLOOKUP(F187,IMPORTRANGE(""https://docs.google.com/spreadsheets/d/1Kvs4KS76FHFqLFIZfrDMff4kP08nblUkihrxltoGBjg/edit#gid=934712705"",""ESENCIAL!A6:BG""),8,FALSE))"),"")</f>
        <v/>
      </c>
      <c r="L149" s="287"/>
      <c r="V149" s="66"/>
    </row>
    <row r="150" spans="1:22" ht="15">
      <c r="A150" s="101"/>
      <c r="B150" s="4"/>
      <c r="F150" s="66"/>
      <c r="G150" s="5" t="str">
        <f ca="1">IFERROR(__xludf.DUMMYFUNCTION("IFERROR(VLOOKUP(F188,IMPORTRANGE(""https://docs.google.com/spreadsheets/d/1Kvs4KS76FHFqLFIZfrDMff4kP08nblUkihrxltoGBjg/edit#gid=934712705"",""ESENCIAL!A6:BG""),3,FALSE))"),"")</f>
        <v/>
      </c>
      <c r="H150" s="5" t="str">
        <f ca="1">IFERROR(__xludf.DUMMYFUNCTION("IFERROR(VLOOKUP(F188,IMPORTRANGE(""https://docs.google.com/spreadsheets/d/1Kvs4KS76FHFqLFIZfrDMff4kP08nblUkihrxltoGBjg/edit#gid=934712705"",""ESENCIAL!A6:BG""),8,FALSE))"),"")</f>
        <v/>
      </c>
      <c r="L150" s="287"/>
      <c r="V150" s="66"/>
    </row>
    <row r="151" spans="1:22" ht="15">
      <c r="A151" s="101"/>
      <c r="B151" s="4"/>
      <c r="F151" s="66"/>
      <c r="G151" s="5" t="str">
        <f ca="1">IFERROR(__xludf.DUMMYFUNCTION("IFERROR(VLOOKUP(F189,IMPORTRANGE(""https://docs.google.com/spreadsheets/d/1Kvs4KS76FHFqLFIZfrDMff4kP08nblUkihrxltoGBjg/edit#gid=934712705"",""ESENCIAL!A6:BG""),3,FALSE))"),"")</f>
        <v/>
      </c>
      <c r="H151" s="5" t="str">
        <f ca="1">IFERROR(__xludf.DUMMYFUNCTION("IFERROR(VLOOKUP(F189,IMPORTRANGE(""https://docs.google.com/spreadsheets/d/1Kvs4KS76FHFqLFIZfrDMff4kP08nblUkihrxltoGBjg/edit#gid=934712705"",""ESENCIAL!A6:BG""),8,FALSE))"),"")</f>
        <v/>
      </c>
      <c r="L151" s="287"/>
      <c r="V151" s="66"/>
    </row>
    <row r="152" spans="1:22" ht="15">
      <c r="A152" s="101"/>
      <c r="B152" s="4"/>
      <c r="F152" s="66"/>
      <c r="G152" s="5" t="str">
        <f ca="1">IFERROR(__xludf.DUMMYFUNCTION("IFERROR(VLOOKUP(F190,IMPORTRANGE(""https://docs.google.com/spreadsheets/d/1Kvs4KS76FHFqLFIZfrDMff4kP08nblUkihrxltoGBjg/edit#gid=934712705"",""ESENCIAL!A6:BG""),3,FALSE))"),"")</f>
        <v/>
      </c>
      <c r="H152" s="5" t="str">
        <f ca="1">IFERROR(__xludf.DUMMYFUNCTION("IFERROR(VLOOKUP(F190,IMPORTRANGE(""https://docs.google.com/spreadsheets/d/1Kvs4KS76FHFqLFIZfrDMff4kP08nblUkihrxltoGBjg/edit#gid=934712705"",""ESENCIAL!A6:BG""),8,FALSE))"),"")</f>
        <v/>
      </c>
      <c r="L152" s="287"/>
      <c r="V152" s="66"/>
    </row>
    <row r="153" spans="1:22" ht="15">
      <c r="A153" s="101"/>
      <c r="B153" s="4"/>
      <c r="F153" s="66"/>
      <c r="G153" s="5" t="str">
        <f ca="1">IFERROR(__xludf.DUMMYFUNCTION("IFERROR(VLOOKUP(F191,IMPORTRANGE(""https://docs.google.com/spreadsheets/d/1Kvs4KS76FHFqLFIZfrDMff4kP08nblUkihrxltoGBjg/edit#gid=934712705"",""ESENCIAL!A6:BG""),3,FALSE))"),"")</f>
        <v/>
      </c>
      <c r="H153" s="5" t="str">
        <f ca="1">IFERROR(__xludf.DUMMYFUNCTION("IFERROR(VLOOKUP(F191,IMPORTRANGE(""https://docs.google.com/spreadsheets/d/1Kvs4KS76FHFqLFIZfrDMff4kP08nblUkihrxltoGBjg/edit#gid=934712705"",""ESENCIAL!A6:BG""),8,FALSE))"),"")</f>
        <v/>
      </c>
      <c r="L153" s="287"/>
      <c r="V153" s="66"/>
    </row>
    <row r="154" spans="1:22" ht="15">
      <c r="A154" s="101"/>
      <c r="B154" s="4"/>
      <c r="F154" s="66"/>
      <c r="G154" s="5" t="str">
        <f ca="1">IFERROR(__xludf.DUMMYFUNCTION("IFERROR(VLOOKUP(F192,IMPORTRANGE(""https://docs.google.com/spreadsheets/d/1Kvs4KS76FHFqLFIZfrDMff4kP08nblUkihrxltoGBjg/edit#gid=934712705"",""ESENCIAL!A6:BG""),3,FALSE))"),"")</f>
        <v/>
      </c>
      <c r="H154" s="5" t="str">
        <f ca="1">IFERROR(__xludf.DUMMYFUNCTION("IFERROR(VLOOKUP(F192,IMPORTRANGE(""https://docs.google.com/spreadsheets/d/1Kvs4KS76FHFqLFIZfrDMff4kP08nblUkihrxltoGBjg/edit#gid=934712705"",""ESENCIAL!A6:BG""),8,FALSE))"),"")</f>
        <v/>
      </c>
      <c r="L154" s="287"/>
      <c r="V154" s="66"/>
    </row>
    <row r="155" spans="1:22" ht="15">
      <c r="A155" s="101"/>
      <c r="B155" s="4"/>
      <c r="F155" s="66"/>
      <c r="G155" s="5" t="str">
        <f ca="1">IFERROR(__xludf.DUMMYFUNCTION("IFERROR(VLOOKUP(F193,IMPORTRANGE(""https://docs.google.com/spreadsheets/d/1Kvs4KS76FHFqLFIZfrDMff4kP08nblUkihrxltoGBjg/edit#gid=934712705"",""ESENCIAL!A6:BG""),3,FALSE))"),"")</f>
        <v/>
      </c>
      <c r="H155" s="5" t="str">
        <f ca="1">IFERROR(__xludf.DUMMYFUNCTION("IFERROR(VLOOKUP(F193,IMPORTRANGE(""https://docs.google.com/spreadsheets/d/1Kvs4KS76FHFqLFIZfrDMff4kP08nblUkihrxltoGBjg/edit#gid=934712705"",""ESENCIAL!A6:BG""),8,FALSE))"),"")</f>
        <v/>
      </c>
      <c r="L155" s="287"/>
      <c r="V155" s="66"/>
    </row>
    <row r="156" spans="1:22" ht="15">
      <c r="A156" s="101"/>
      <c r="B156" s="4"/>
      <c r="F156" s="66"/>
      <c r="G156" s="5" t="str">
        <f ca="1">IFERROR(__xludf.DUMMYFUNCTION("IFERROR(VLOOKUP(F194,IMPORTRANGE(""https://docs.google.com/spreadsheets/d/1Kvs4KS76FHFqLFIZfrDMff4kP08nblUkihrxltoGBjg/edit#gid=934712705"",""ESENCIAL!A6:BG""),3,FALSE))"),"")</f>
        <v/>
      </c>
      <c r="H156" s="5" t="str">
        <f ca="1">IFERROR(__xludf.DUMMYFUNCTION("IFERROR(VLOOKUP(F194,IMPORTRANGE(""https://docs.google.com/spreadsheets/d/1Kvs4KS76FHFqLFIZfrDMff4kP08nblUkihrxltoGBjg/edit#gid=934712705"",""ESENCIAL!A6:BG""),8,FALSE))"),"")</f>
        <v/>
      </c>
      <c r="L156" s="287"/>
      <c r="V156" s="66"/>
    </row>
    <row r="157" spans="1:22" ht="15">
      <c r="A157" s="101"/>
      <c r="B157" s="4"/>
      <c r="F157" s="66"/>
      <c r="G157" s="5" t="str">
        <f ca="1">IFERROR(__xludf.DUMMYFUNCTION("IFERROR(VLOOKUP(F195,IMPORTRANGE(""https://docs.google.com/spreadsheets/d/1Kvs4KS76FHFqLFIZfrDMff4kP08nblUkihrxltoGBjg/edit#gid=934712705"",""ESENCIAL!A6:BG""),3,FALSE))"),"")</f>
        <v/>
      </c>
      <c r="H157" s="5" t="str">
        <f ca="1">IFERROR(__xludf.DUMMYFUNCTION("IFERROR(VLOOKUP(F195,IMPORTRANGE(""https://docs.google.com/spreadsheets/d/1Kvs4KS76FHFqLFIZfrDMff4kP08nblUkihrxltoGBjg/edit#gid=934712705"",""ESENCIAL!A6:BG""),8,FALSE))"),"")</f>
        <v/>
      </c>
      <c r="L157" s="287"/>
      <c r="V157" s="66"/>
    </row>
    <row r="158" spans="1:22" ht="15">
      <c r="A158" s="101"/>
      <c r="B158" s="4"/>
      <c r="F158" s="66"/>
      <c r="G158" s="5" t="str">
        <f ca="1">IFERROR(__xludf.DUMMYFUNCTION("IFERROR(VLOOKUP(F196,IMPORTRANGE(""https://docs.google.com/spreadsheets/d/1Kvs4KS76FHFqLFIZfrDMff4kP08nblUkihrxltoGBjg/edit#gid=934712705"",""ESENCIAL!A6:BG""),3,FALSE))"),"")</f>
        <v/>
      </c>
      <c r="H158" s="5" t="str">
        <f ca="1">IFERROR(__xludf.DUMMYFUNCTION("IFERROR(VLOOKUP(F196,IMPORTRANGE(""https://docs.google.com/spreadsheets/d/1Kvs4KS76FHFqLFIZfrDMff4kP08nblUkihrxltoGBjg/edit#gid=934712705"",""ESENCIAL!A6:BG""),8,FALSE))"),"")</f>
        <v/>
      </c>
      <c r="L158" s="287"/>
      <c r="V158" s="66"/>
    </row>
    <row r="159" spans="1:22" ht="15">
      <c r="A159" s="101"/>
      <c r="B159" s="4"/>
      <c r="F159" s="66"/>
      <c r="G159" s="5" t="str">
        <f ca="1">IFERROR(__xludf.DUMMYFUNCTION("IFERROR(VLOOKUP(F197,IMPORTRANGE(""https://docs.google.com/spreadsheets/d/1Kvs4KS76FHFqLFIZfrDMff4kP08nblUkihrxltoGBjg/edit#gid=934712705"",""ESENCIAL!A6:BG""),3,FALSE))"),"")</f>
        <v/>
      </c>
      <c r="H159" s="5" t="str">
        <f ca="1">IFERROR(__xludf.DUMMYFUNCTION("IFERROR(VLOOKUP(F197,IMPORTRANGE(""https://docs.google.com/spreadsheets/d/1Kvs4KS76FHFqLFIZfrDMff4kP08nblUkihrxltoGBjg/edit#gid=934712705"",""ESENCIAL!A6:BG""),8,FALSE))"),"")</f>
        <v/>
      </c>
      <c r="L159" s="287"/>
      <c r="V159" s="66"/>
    </row>
    <row r="160" spans="1:22" ht="15">
      <c r="A160" s="101"/>
      <c r="B160" s="4"/>
      <c r="F160" s="66"/>
      <c r="G160" s="5" t="str">
        <f ca="1">IFERROR(__xludf.DUMMYFUNCTION("IFERROR(VLOOKUP(F198,IMPORTRANGE(""https://docs.google.com/spreadsheets/d/1Kvs4KS76FHFqLFIZfrDMff4kP08nblUkihrxltoGBjg/edit#gid=934712705"",""ESENCIAL!A6:BG""),3,FALSE))"),"")</f>
        <v/>
      </c>
      <c r="H160" s="5" t="str">
        <f ca="1">IFERROR(__xludf.DUMMYFUNCTION("IFERROR(VLOOKUP(F198,IMPORTRANGE(""https://docs.google.com/spreadsheets/d/1Kvs4KS76FHFqLFIZfrDMff4kP08nblUkihrxltoGBjg/edit#gid=934712705"",""ESENCIAL!A6:BG""),8,FALSE))"),"")</f>
        <v/>
      </c>
      <c r="L160" s="287"/>
      <c r="V160" s="66"/>
    </row>
    <row r="161" spans="1:22" ht="15">
      <c r="A161" s="101"/>
      <c r="B161" s="4"/>
      <c r="F161" s="66"/>
      <c r="G161" s="5" t="str">
        <f ca="1">IFERROR(__xludf.DUMMYFUNCTION("IFERROR(VLOOKUP(F199,IMPORTRANGE(""https://docs.google.com/spreadsheets/d/1Kvs4KS76FHFqLFIZfrDMff4kP08nblUkihrxltoGBjg/edit#gid=934712705"",""ESENCIAL!A6:BG""),3,FALSE))"),"")</f>
        <v/>
      </c>
      <c r="H161" s="5" t="str">
        <f ca="1">IFERROR(__xludf.DUMMYFUNCTION("IFERROR(VLOOKUP(F199,IMPORTRANGE(""https://docs.google.com/spreadsheets/d/1Kvs4KS76FHFqLFIZfrDMff4kP08nblUkihrxltoGBjg/edit#gid=934712705"",""ESENCIAL!A6:BG""),8,FALSE))"),"")</f>
        <v/>
      </c>
      <c r="L161" s="287"/>
      <c r="V161" s="66"/>
    </row>
    <row r="162" spans="1:22" ht="15">
      <c r="A162" s="101"/>
      <c r="B162" s="4"/>
      <c r="F162" s="66"/>
      <c r="G162" s="5" t="str">
        <f ca="1">IFERROR(__xludf.DUMMYFUNCTION("IFERROR(VLOOKUP(F200,IMPORTRANGE(""https://docs.google.com/spreadsheets/d/1Kvs4KS76FHFqLFIZfrDMff4kP08nblUkihrxltoGBjg/edit#gid=934712705"",""ESENCIAL!A6:BG""),3,FALSE))"),"")</f>
        <v/>
      </c>
      <c r="H162" s="5" t="str">
        <f ca="1">IFERROR(__xludf.DUMMYFUNCTION("IFERROR(VLOOKUP(F200,IMPORTRANGE(""https://docs.google.com/spreadsheets/d/1Kvs4KS76FHFqLFIZfrDMff4kP08nblUkihrxltoGBjg/edit#gid=934712705"",""ESENCIAL!A6:BG""),8,FALSE))"),"")</f>
        <v/>
      </c>
      <c r="L162" s="287"/>
      <c r="V162" s="66"/>
    </row>
    <row r="163" spans="1:22" ht="15">
      <c r="A163" s="101"/>
      <c r="B163" s="4"/>
      <c r="F163" s="66"/>
      <c r="G163" s="5" t="str">
        <f ca="1">IFERROR(__xludf.DUMMYFUNCTION("IFERROR(VLOOKUP(F201,IMPORTRANGE(""https://docs.google.com/spreadsheets/d/1Kvs4KS76FHFqLFIZfrDMff4kP08nblUkihrxltoGBjg/edit#gid=934712705"",""ESENCIAL!A6:BG""),3,FALSE))"),"")</f>
        <v/>
      </c>
      <c r="H163" s="5" t="str">
        <f ca="1">IFERROR(__xludf.DUMMYFUNCTION("IFERROR(VLOOKUP(F201,IMPORTRANGE(""https://docs.google.com/spreadsheets/d/1Kvs4KS76FHFqLFIZfrDMff4kP08nblUkihrxltoGBjg/edit#gid=934712705"",""ESENCIAL!A6:BG""),8,FALSE))"),"")</f>
        <v/>
      </c>
      <c r="L163" s="287"/>
      <c r="V163" s="66"/>
    </row>
    <row r="164" spans="1:22" ht="15">
      <c r="A164" s="101"/>
      <c r="B164" s="4"/>
      <c r="F164" s="66"/>
      <c r="G164" s="5" t="str">
        <f ca="1">IFERROR(__xludf.DUMMYFUNCTION("IFERROR(VLOOKUP(F202,IMPORTRANGE(""https://docs.google.com/spreadsheets/d/1Kvs4KS76FHFqLFIZfrDMff4kP08nblUkihrxltoGBjg/edit#gid=934712705"",""ESENCIAL!A6:BG""),3,FALSE))"),"")</f>
        <v/>
      </c>
      <c r="H164" s="5" t="str">
        <f ca="1">IFERROR(__xludf.DUMMYFUNCTION("IFERROR(VLOOKUP(F202,IMPORTRANGE(""https://docs.google.com/spreadsheets/d/1Kvs4KS76FHFqLFIZfrDMff4kP08nblUkihrxltoGBjg/edit#gid=934712705"",""ESENCIAL!A6:BG""),8,FALSE))"),"")</f>
        <v/>
      </c>
      <c r="L164" s="287"/>
      <c r="V164" s="66"/>
    </row>
    <row r="165" spans="1:22" ht="15">
      <c r="A165" s="101"/>
      <c r="B165" s="4"/>
      <c r="F165" s="66"/>
      <c r="G165" s="5" t="str">
        <f ca="1">IFERROR(__xludf.DUMMYFUNCTION("IFERROR(VLOOKUP(F203,IMPORTRANGE(""https://docs.google.com/spreadsheets/d/1Kvs4KS76FHFqLFIZfrDMff4kP08nblUkihrxltoGBjg/edit#gid=934712705"",""ESENCIAL!A6:BG""),3,FALSE))"),"")</f>
        <v/>
      </c>
      <c r="H165" s="5" t="str">
        <f ca="1">IFERROR(__xludf.DUMMYFUNCTION("IFERROR(VLOOKUP(F203,IMPORTRANGE(""https://docs.google.com/spreadsheets/d/1Kvs4KS76FHFqLFIZfrDMff4kP08nblUkihrxltoGBjg/edit#gid=934712705"",""ESENCIAL!A6:BG""),8,FALSE))"),"")</f>
        <v/>
      </c>
      <c r="L165" s="287"/>
      <c r="V165" s="66"/>
    </row>
    <row r="166" spans="1:22" ht="15">
      <c r="A166" s="101"/>
      <c r="B166" s="4"/>
      <c r="F166" s="66"/>
      <c r="G166" s="5" t="str">
        <f ca="1">IFERROR(__xludf.DUMMYFUNCTION("IFERROR(VLOOKUP(F204,IMPORTRANGE(""https://docs.google.com/spreadsheets/d/1Kvs4KS76FHFqLFIZfrDMff4kP08nblUkihrxltoGBjg/edit#gid=934712705"",""ESENCIAL!A6:BG""),3,FALSE))"),"")</f>
        <v/>
      </c>
      <c r="H166" s="5" t="str">
        <f ca="1">IFERROR(__xludf.DUMMYFUNCTION("IFERROR(VLOOKUP(F204,IMPORTRANGE(""https://docs.google.com/spreadsheets/d/1Kvs4KS76FHFqLFIZfrDMff4kP08nblUkihrxltoGBjg/edit#gid=934712705"",""ESENCIAL!A6:BG""),8,FALSE))"),"")</f>
        <v/>
      </c>
      <c r="L166" s="287"/>
      <c r="V166" s="66"/>
    </row>
    <row r="167" spans="1:22" ht="15">
      <c r="A167" s="101"/>
      <c r="B167" s="4"/>
      <c r="F167" s="66"/>
      <c r="G167" s="5" t="str">
        <f ca="1">IFERROR(__xludf.DUMMYFUNCTION("IFERROR(VLOOKUP(F205,IMPORTRANGE(""https://docs.google.com/spreadsheets/d/1Kvs4KS76FHFqLFIZfrDMff4kP08nblUkihrxltoGBjg/edit#gid=934712705"",""ESENCIAL!A6:BG""),3,FALSE))"),"")</f>
        <v/>
      </c>
      <c r="H167" s="5" t="str">
        <f ca="1">IFERROR(__xludf.DUMMYFUNCTION("IFERROR(VLOOKUP(F205,IMPORTRANGE(""https://docs.google.com/spreadsheets/d/1Kvs4KS76FHFqLFIZfrDMff4kP08nblUkihrxltoGBjg/edit#gid=934712705"",""ESENCIAL!A6:BG""),8,FALSE))"),"")</f>
        <v/>
      </c>
      <c r="L167" s="287"/>
      <c r="V167" s="66"/>
    </row>
    <row r="168" spans="1:22" ht="15">
      <c r="A168" s="101"/>
      <c r="B168" s="4"/>
      <c r="F168" s="66"/>
      <c r="G168" s="5" t="str">
        <f ca="1">IFERROR(__xludf.DUMMYFUNCTION("IFERROR(VLOOKUP(F206,IMPORTRANGE(""https://docs.google.com/spreadsheets/d/1Kvs4KS76FHFqLFIZfrDMff4kP08nblUkihrxltoGBjg/edit#gid=934712705"",""ESENCIAL!A6:BG""),3,FALSE))"),"")</f>
        <v/>
      </c>
      <c r="H168" s="5" t="str">
        <f ca="1">IFERROR(__xludf.DUMMYFUNCTION("IFERROR(VLOOKUP(F206,IMPORTRANGE(""https://docs.google.com/spreadsheets/d/1Kvs4KS76FHFqLFIZfrDMff4kP08nblUkihrxltoGBjg/edit#gid=934712705"",""ESENCIAL!A6:BG""),8,FALSE))"),"")</f>
        <v/>
      </c>
      <c r="L168" s="287"/>
      <c r="V168" s="66"/>
    </row>
    <row r="169" spans="1:22" ht="15">
      <c r="A169" s="101"/>
      <c r="B169" s="4"/>
      <c r="F169" s="66"/>
      <c r="G169" s="5" t="str">
        <f ca="1">IFERROR(__xludf.DUMMYFUNCTION("IFERROR(VLOOKUP(F207,IMPORTRANGE(""https://docs.google.com/spreadsheets/d/1Kvs4KS76FHFqLFIZfrDMff4kP08nblUkihrxltoGBjg/edit#gid=934712705"",""ESENCIAL!A6:BG""),3,FALSE))"),"")</f>
        <v/>
      </c>
      <c r="H169" s="5" t="str">
        <f ca="1">IFERROR(__xludf.DUMMYFUNCTION("IFERROR(VLOOKUP(F207,IMPORTRANGE(""https://docs.google.com/spreadsheets/d/1Kvs4KS76FHFqLFIZfrDMff4kP08nblUkihrxltoGBjg/edit#gid=934712705"",""ESENCIAL!A6:BG""),8,FALSE))"),"")</f>
        <v/>
      </c>
      <c r="L169" s="287"/>
      <c r="V169" s="66"/>
    </row>
    <row r="170" spans="1:22" ht="15">
      <c r="A170" s="101"/>
      <c r="B170" s="4"/>
      <c r="F170" s="66"/>
      <c r="G170" s="5" t="str">
        <f ca="1">IFERROR(__xludf.DUMMYFUNCTION("IFERROR(VLOOKUP(F208,IMPORTRANGE(""https://docs.google.com/spreadsheets/d/1Kvs4KS76FHFqLFIZfrDMff4kP08nblUkihrxltoGBjg/edit#gid=934712705"",""ESENCIAL!A6:BG""),3,FALSE))"),"")</f>
        <v/>
      </c>
      <c r="H170" s="5" t="str">
        <f ca="1">IFERROR(__xludf.DUMMYFUNCTION("IFERROR(VLOOKUP(F208,IMPORTRANGE(""https://docs.google.com/spreadsheets/d/1Kvs4KS76FHFqLFIZfrDMff4kP08nblUkihrxltoGBjg/edit#gid=934712705"",""ESENCIAL!A6:BG""),8,FALSE))"),"")</f>
        <v/>
      </c>
      <c r="L170" s="287"/>
      <c r="V170" s="66"/>
    </row>
    <row r="171" spans="1:22" ht="15">
      <c r="A171" s="101"/>
      <c r="B171" s="4"/>
      <c r="F171" s="66"/>
      <c r="G171" s="5" t="str">
        <f ca="1">IFERROR(__xludf.DUMMYFUNCTION("IFERROR(VLOOKUP(F209,IMPORTRANGE(""https://docs.google.com/spreadsheets/d/1Kvs4KS76FHFqLFIZfrDMff4kP08nblUkihrxltoGBjg/edit#gid=934712705"",""ESENCIAL!A6:BG""),3,FALSE))"),"")</f>
        <v/>
      </c>
      <c r="H171" s="5" t="str">
        <f ca="1">IFERROR(__xludf.DUMMYFUNCTION("IFERROR(VLOOKUP(F209,IMPORTRANGE(""https://docs.google.com/spreadsheets/d/1Kvs4KS76FHFqLFIZfrDMff4kP08nblUkihrxltoGBjg/edit#gid=934712705"",""ESENCIAL!A6:BG""),8,FALSE))"),"")</f>
        <v/>
      </c>
      <c r="L171" s="287"/>
      <c r="V171" s="66"/>
    </row>
    <row r="172" spans="1:22" ht="15">
      <c r="A172" s="101"/>
      <c r="B172" s="4"/>
      <c r="F172" s="66"/>
      <c r="G172" s="5" t="str">
        <f ca="1">IFERROR(__xludf.DUMMYFUNCTION("IFERROR(VLOOKUP(F210,IMPORTRANGE(""https://docs.google.com/spreadsheets/d/1Kvs4KS76FHFqLFIZfrDMff4kP08nblUkihrxltoGBjg/edit#gid=934712705"",""ESENCIAL!A6:BG""),3,FALSE))"),"")</f>
        <v/>
      </c>
      <c r="H172" s="5" t="str">
        <f ca="1">IFERROR(__xludf.DUMMYFUNCTION("IFERROR(VLOOKUP(F210,IMPORTRANGE(""https://docs.google.com/spreadsheets/d/1Kvs4KS76FHFqLFIZfrDMff4kP08nblUkihrxltoGBjg/edit#gid=934712705"",""ESENCIAL!A6:BG""),8,FALSE))"),"")</f>
        <v/>
      </c>
      <c r="L172" s="287"/>
      <c r="V172" s="66"/>
    </row>
    <row r="173" spans="1:22" ht="15">
      <c r="A173" s="101"/>
      <c r="B173" s="4"/>
      <c r="F173" s="66"/>
      <c r="G173" s="5" t="str">
        <f ca="1">IFERROR(__xludf.DUMMYFUNCTION("IFERROR(VLOOKUP(F211,IMPORTRANGE(""https://docs.google.com/spreadsheets/d/1Kvs4KS76FHFqLFIZfrDMff4kP08nblUkihrxltoGBjg/edit#gid=934712705"",""ESENCIAL!A6:BG""),3,FALSE))"),"")</f>
        <v/>
      </c>
      <c r="H173" s="5" t="str">
        <f ca="1">IFERROR(__xludf.DUMMYFUNCTION("IFERROR(VLOOKUP(F211,IMPORTRANGE(""https://docs.google.com/spreadsheets/d/1Kvs4KS76FHFqLFIZfrDMff4kP08nblUkihrxltoGBjg/edit#gid=934712705"",""ESENCIAL!A6:BG""),8,FALSE))"),"")</f>
        <v/>
      </c>
      <c r="L173" s="287"/>
      <c r="V173" s="66"/>
    </row>
    <row r="174" spans="1:22" ht="15">
      <c r="A174" s="101"/>
      <c r="B174" s="4"/>
      <c r="F174" s="66"/>
      <c r="G174" s="5" t="str">
        <f ca="1">IFERROR(__xludf.DUMMYFUNCTION("IFERROR(VLOOKUP(F212,IMPORTRANGE(""https://docs.google.com/spreadsheets/d/1Kvs4KS76FHFqLFIZfrDMff4kP08nblUkihrxltoGBjg/edit#gid=934712705"",""ESENCIAL!A6:BG""),3,FALSE))"),"")</f>
        <v/>
      </c>
      <c r="H174" s="5" t="str">
        <f ca="1">IFERROR(__xludf.DUMMYFUNCTION("IFERROR(VLOOKUP(F212,IMPORTRANGE(""https://docs.google.com/spreadsheets/d/1Kvs4KS76FHFqLFIZfrDMff4kP08nblUkihrxltoGBjg/edit#gid=934712705"",""ESENCIAL!A6:BG""),8,FALSE))"),"")</f>
        <v/>
      </c>
      <c r="L174" s="287"/>
      <c r="V174" s="66"/>
    </row>
    <row r="175" spans="1:22" ht="15">
      <c r="A175" s="101"/>
      <c r="B175" s="4"/>
      <c r="F175" s="66"/>
      <c r="G175" s="5" t="str">
        <f ca="1">IFERROR(__xludf.DUMMYFUNCTION("IFERROR(VLOOKUP(F213,IMPORTRANGE(""https://docs.google.com/spreadsheets/d/1Kvs4KS76FHFqLFIZfrDMff4kP08nblUkihrxltoGBjg/edit#gid=934712705"",""ESENCIAL!A6:BG""),3,FALSE))"),"")</f>
        <v/>
      </c>
      <c r="H175" s="5" t="str">
        <f ca="1">IFERROR(__xludf.DUMMYFUNCTION("IFERROR(VLOOKUP(F213,IMPORTRANGE(""https://docs.google.com/spreadsheets/d/1Kvs4KS76FHFqLFIZfrDMff4kP08nblUkihrxltoGBjg/edit#gid=934712705"",""ESENCIAL!A6:BG""),8,FALSE))"),"")</f>
        <v/>
      </c>
      <c r="L175" s="287"/>
      <c r="V175" s="66"/>
    </row>
    <row r="176" spans="1:22" ht="15">
      <c r="A176" s="101"/>
      <c r="B176" s="4"/>
      <c r="F176" s="66"/>
      <c r="G176" s="5" t="str">
        <f ca="1">IFERROR(__xludf.DUMMYFUNCTION("IFERROR(VLOOKUP(F214,IMPORTRANGE(""https://docs.google.com/spreadsheets/d/1Kvs4KS76FHFqLFIZfrDMff4kP08nblUkihrxltoGBjg/edit#gid=934712705"",""ESENCIAL!A6:BG""),3,FALSE))"),"")</f>
        <v/>
      </c>
      <c r="H176" s="5" t="str">
        <f ca="1">IFERROR(__xludf.DUMMYFUNCTION("IFERROR(VLOOKUP(F214,IMPORTRANGE(""https://docs.google.com/spreadsheets/d/1Kvs4KS76FHFqLFIZfrDMff4kP08nblUkihrxltoGBjg/edit#gid=934712705"",""ESENCIAL!A6:BG""),8,FALSE))"),"")</f>
        <v/>
      </c>
      <c r="L176" s="287"/>
      <c r="V176" s="66"/>
    </row>
    <row r="177" spans="1:22" ht="15">
      <c r="A177" s="101"/>
      <c r="B177" s="4"/>
      <c r="F177" s="66"/>
      <c r="G177" s="5" t="str">
        <f ca="1">IFERROR(__xludf.DUMMYFUNCTION("IFERROR(VLOOKUP(F215,IMPORTRANGE(""https://docs.google.com/spreadsheets/d/1Kvs4KS76FHFqLFIZfrDMff4kP08nblUkihrxltoGBjg/edit#gid=934712705"",""ESENCIAL!A6:BG""),3,FALSE))"),"")</f>
        <v/>
      </c>
      <c r="H177" s="5" t="str">
        <f ca="1">IFERROR(__xludf.DUMMYFUNCTION("IFERROR(VLOOKUP(F215,IMPORTRANGE(""https://docs.google.com/spreadsheets/d/1Kvs4KS76FHFqLFIZfrDMff4kP08nblUkihrxltoGBjg/edit#gid=934712705"",""ESENCIAL!A6:BG""),8,FALSE))"),"")</f>
        <v/>
      </c>
      <c r="L177" s="287"/>
      <c r="V177" s="66"/>
    </row>
    <row r="178" spans="1:22" ht="15">
      <c r="A178" s="101"/>
      <c r="B178" s="4"/>
      <c r="F178" s="66"/>
      <c r="G178" s="5" t="str">
        <f ca="1">IFERROR(__xludf.DUMMYFUNCTION("IFERROR(VLOOKUP(F216,IMPORTRANGE(""https://docs.google.com/spreadsheets/d/1Kvs4KS76FHFqLFIZfrDMff4kP08nblUkihrxltoGBjg/edit#gid=934712705"",""ESENCIAL!A6:BG""),3,FALSE))"),"")</f>
        <v/>
      </c>
      <c r="H178" s="5" t="str">
        <f ca="1">IFERROR(__xludf.DUMMYFUNCTION("IFERROR(VLOOKUP(F216,IMPORTRANGE(""https://docs.google.com/spreadsheets/d/1Kvs4KS76FHFqLFIZfrDMff4kP08nblUkihrxltoGBjg/edit#gid=934712705"",""ESENCIAL!A6:BG""),8,FALSE))"),"")</f>
        <v/>
      </c>
      <c r="L178" s="287"/>
      <c r="V178" s="66"/>
    </row>
    <row r="179" spans="1:22" ht="15">
      <c r="A179" s="101"/>
      <c r="B179" s="4"/>
      <c r="F179" s="66"/>
      <c r="G179" s="5" t="str">
        <f ca="1">IFERROR(__xludf.DUMMYFUNCTION("IFERROR(VLOOKUP(F217,IMPORTRANGE(""https://docs.google.com/spreadsheets/d/1Kvs4KS76FHFqLFIZfrDMff4kP08nblUkihrxltoGBjg/edit#gid=934712705"",""ESENCIAL!A6:BG""),3,FALSE))"),"")</f>
        <v/>
      </c>
      <c r="H179" s="5" t="str">
        <f ca="1">IFERROR(__xludf.DUMMYFUNCTION("IFERROR(VLOOKUP(F217,IMPORTRANGE(""https://docs.google.com/spreadsheets/d/1Kvs4KS76FHFqLFIZfrDMff4kP08nblUkihrxltoGBjg/edit#gid=934712705"",""ESENCIAL!A6:BG""),8,FALSE))"),"")</f>
        <v/>
      </c>
      <c r="L179" s="287"/>
      <c r="V179" s="66"/>
    </row>
    <row r="180" spans="1:22" ht="15">
      <c r="A180" s="101"/>
      <c r="B180" s="4"/>
      <c r="F180" s="66"/>
      <c r="G180" s="5" t="str">
        <f ca="1">IFERROR(__xludf.DUMMYFUNCTION("IFERROR(VLOOKUP(F218,IMPORTRANGE(""https://docs.google.com/spreadsheets/d/1Kvs4KS76FHFqLFIZfrDMff4kP08nblUkihrxltoGBjg/edit#gid=934712705"",""ESENCIAL!A6:BG""),3,FALSE))"),"")</f>
        <v/>
      </c>
      <c r="H180" s="5" t="str">
        <f ca="1">IFERROR(__xludf.DUMMYFUNCTION("IFERROR(VLOOKUP(F218,IMPORTRANGE(""https://docs.google.com/spreadsheets/d/1Kvs4KS76FHFqLFIZfrDMff4kP08nblUkihrxltoGBjg/edit#gid=934712705"",""ESENCIAL!A6:BG""),8,FALSE))"),"")</f>
        <v/>
      </c>
      <c r="L180" s="287"/>
      <c r="V180" s="66"/>
    </row>
    <row r="181" spans="1:22" ht="15">
      <c r="A181" s="101"/>
      <c r="B181" s="4"/>
      <c r="F181" s="66"/>
      <c r="G181" s="5" t="str">
        <f ca="1">IFERROR(__xludf.DUMMYFUNCTION("IFERROR(VLOOKUP(F219,IMPORTRANGE(""https://docs.google.com/spreadsheets/d/1Kvs4KS76FHFqLFIZfrDMff4kP08nblUkihrxltoGBjg/edit#gid=934712705"",""ESENCIAL!A6:BG""),3,FALSE))"),"")</f>
        <v/>
      </c>
      <c r="H181" s="5" t="str">
        <f ca="1">IFERROR(__xludf.DUMMYFUNCTION("IFERROR(VLOOKUP(F219,IMPORTRANGE(""https://docs.google.com/spreadsheets/d/1Kvs4KS76FHFqLFIZfrDMff4kP08nblUkihrxltoGBjg/edit#gid=934712705"",""ESENCIAL!A6:BG""),8,FALSE))"),"")</f>
        <v/>
      </c>
      <c r="L181" s="287"/>
      <c r="V181" s="66"/>
    </row>
    <row r="182" spans="1:22" ht="15">
      <c r="A182" s="101"/>
      <c r="B182" s="4"/>
      <c r="F182" s="66"/>
      <c r="G182" s="5" t="str">
        <f ca="1">IFERROR(__xludf.DUMMYFUNCTION("IFERROR(VLOOKUP(F220,IMPORTRANGE(""https://docs.google.com/spreadsheets/d/1Kvs4KS76FHFqLFIZfrDMff4kP08nblUkihrxltoGBjg/edit#gid=934712705"",""ESENCIAL!A6:BG""),3,FALSE))"),"")</f>
        <v/>
      </c>
      <c r="H182" s="5" t="str">
        <f ca="1">IFERROR(__xludf.DUMMYFUNCTION("IFERROR(VLOOKUP(F220,IMPORTRANGE(""https://docs.google.com/spreadsheets/d/1Kvs4KS76FHFqLFIZfrDMff4kP08nblUkihrxltoGBjg/edit#gid=934712705"",""ESENCIAL!A6:BG""),8,FALSE))"),"")</f>
        <v/>
      </c>
      <c r="L182" s="287"/>
      <c r="V182" s="66"/>
    </row>
    <row r="183" spans="1:22" ht="15">
      <c r="A183" s="101"/>
      <c r="B183" s="4"/>
      <c r="F183" s="66"/>
      <c r="G183" s="5" t="str">
        <f ca="1">IFERROR(__xludf.DUMMYFUNCTION("IFERROR(VLOOKUP(F221,IMPORTRANGE(""https://docs.google.com/spreadsheets/d/1Kvs4KS76FHFqLFIZfrDMff4kP08nblUkihrxltoGBjg/edit#gid=934712705"",""ESENCIAL!A6:BG""),3,FALSE))"),"")</f>
        <v/>
      </c>
      <c r="H183" s="5" t="str">
        <f ca="1">IFERROR(__xludf.DUMMYFUNCTION("IFERROR(VLOOKUP(F221,IMPORTRANGE(""https://docs.google.com/spreadsheets/d/1Kvs4KS76FHFqLFIZfrDMff4kP08nblUkihrxltoGBjg/edit#gid=934712705"",""ESENCIAL!A6:BG""),8,FALSE))"),"")</f>
        <v/>
      </c>
      <c r="L183" s="287"/>
      <c r="V183" s="66"/>
    </row>
    <row r="184" spans="1:22" ht="15">
      <c r="A184" s="101"/>
      <c r="B184" s="4"/>
      <c r="F184" s="66"/>
      <c r="G184" s="5" t="str">
        <f ca="1">IFERROR(__xludf.DUMMYFUNCTION("IFERROR(VLOOKUP(F222,IMPORTRANGE(""https://docs.google.com/spreadsheets/d/1Kvs4KS76FHFqLFIZfrDMff4kP08nblUkihrxltoGBjg/edit#gid=934712705"",""ESENCIAL!A6:BG""),3,FALSE))"),"")</f>
        <v/>
      </c>
      <c r="H184" s="5" t="str">
        <f ca="1">IFERROR(__xludf.DUMMYFUNCTION("IFERROR(VLOOKUP(F222,IMPORTRANGE(""https://docs.google.com/spreadsheets/d/1Kvs4KS76FHFqLFIZfrDMff4kP08nblUkihrxltoGBjg/edit#gid=934712705"",""ESENCIAL!A6:BG""),8,FALSE))"),"")</f>
        <v/>
      </c>
      <c r="L184" s="287"/>
      <c r="V184" s="66"/>
    </row>
    <row r="185" spans="1:22" ht="15">
      <c r="A185" s="101"/>
      <c r="B185" s="4"/>
      <c r="F185" s="66"/>
      <c r="G185" s="5" t="str">
        <f ca="1">IFERROR(__xludf.DUMMYFUNCTION("IFERROR(VLOOKUP(F223,IMPORTRANGE(""https://docs.google.com/spreadsheets/d/1Kvs4KS76FHFqLFIZfrDMff4kP08nblUkihrxltoGBjg/edit#gid=934712705"",""ESENCIAL!A6:BG""),3,FALSE))"),"")</f>
        <v/>
      </c>
      <c r="H185" s="5" t="str">
        <f ca="1">IFERROR(__xludf.DUMMYFUNCTION("IFERROR(VLOOKUP(F223,IMPORTRANGE(""https://docs.google.com/spreadsheets/d/1Kvs4KS76FHFqLFIZfrDMff4kP08nblUkihrxltoGBjg/edit#gid=934712705"",""ESENCIAL!A6:BG""),8,FALSE))"),"")</f>
        <v/>
      </c>
      <c r="L185" s="287"/>
      <c r="V185" s="66"/>
    </row>
    <row r="186" spans="1:22" ht="15">
      <c r="A186" s="101"/>
      <c r="B186" s="4"/>
      <c r="F186" s="66"/>
      <c r="G186" s="5" t="str">
        <f ca="1">IFERROR(__xludf.DUMMYFUNCTION("IFERROR(VLOOKUP(F224,IMPORTRANGE(""https://docs.google.com/spreadsheets/d/1Kvs4KS76FHFqLFIZfrDMff4kP08nblUkihrxltoGBjg/edit#gid=934712705"",""ESENCIAL!A6:BG""),3,FALSE))"),"")</f>
        <v/>
      </c>
      <c r="H186" s="5" t="str">
        <f ca="1">IFERROR(__xludf.DUMMYFUNCTION("IFERROR(VLOOKUP(F224,IMPORTRANGE(""https://docs.google.com/spreadsheets/d/1Kvs4KS76FHFqLFIZfrDMff4kP08nblUkihrxltoGBjg/edit#gid=934712705"",""ESENCIAL!A6:BG""),8,FALSE))"),"")</f>
        <v/>
      </c>
      <c r="L186" s="287"/>
      <c r="V186" s="66"/>
    </row>
    <row r="187" spans="1:22" ht="15">
      <c r="A187" s="101"/>
      <c r="B187" s="4"/>
      <c r="F187" s="66"/>
      <c r="G187" s="5" t="str">
        <f ca="1">IFERROR(__xludf.DUMMYFUNCTION("IFERROR(VLOOKUP(F225,IMPORTRANGE(""https://docs.google.com/spreadsheets/d/1Kvs4KS76FHFqLFIZfrDMff4kP08nblUkihrxltoGBjg/edit#gid=934712705"",""ESENCIAL!A6:BG""),3,FALSE))"),"")</f>
        <v/>
      </c>
      <c r="H187" s="5" t="str">
        <f ca="1">IFERROR(__xludf.DUMMYFUNCTION("IFERROR(VLOOKUP(F225,IMPORTRANGE(""https://docs.google.com/spreadsheets/d/1Kvs4KS76FHFqLFIZfrDMff4kP08nblUkihrxltoGBjg/edit#gid=934712705"",""ESENCIAL!A6:BG""),8,FALSE))"),"")</f>
        <v/>
      </c>
      <c r="L187" s="287"/>
      <c r="V187" s="66"/>
    </row>
    <row r="188" spans="1:22" ht="15">
      <c r="A188" s="101"/>
      <c r="B188" s="4"/>
      <c r="F188" s="66"/>
      <c r="G188" s="5" t="str">
        <f ca="1">IFERROR(__xludf.DUMMYFUNCTION("IFERROR(VLOOKUP(F226,IMPORTRANGE(""https://docs.google.com/spreadsheets/d/1Kvs4KS76FHFqLFIZfrDMff4kP08nblUkihrxltoGBjg/edit#gid=934712705"",""ESENCIAL!A6:BG""),3,FALSE))"),"")</f>
        <v/>
      </c>
      <c r="H188" s="5" t="str">
        <f ca="1">IFERROR(__xludf.DUMMYFUNCTION("IFERROR(VLOOKUP(F226,IMPORTRANGE(""https://docs.google.com/spreadsheets/d/1Kvs4KS76FHFqLFIZfrDMff4kP08nblUkihrxltoGBjg/edit#gid=934712705"",""ESENCIAL!A6:BG""),8,FALSE))"),"")</f>
        <v/>
      </c>
      <c r="L188" s="287"/>
      <c r="V188" s="66"/>
    </row>
    <row r="189" spans="1:22" ht="15">
      <c r="A189" s="101"/>
      <c r="B189" s="4"/>
      <c r="F189" s="66"/>
      <c r="G189" s="5" t="str">
        <f ca="1">IFERROR(__xludf.DUMMYFUNCTION("IFERROR(VLOOKUP(F227,IMPORTRANGE(""https://docs.google.com/spreadsheets/d/1Kvs4KS76FHFqLFIZfrDMff4kP08nblUkihrxltoGBjg/edit#gid=934712705"",""ESENCIAL!A6:BG""),3,FALSE))"),"")</f>
        <v/>
      </c>
      <c r="H189" s="5" t="str">
        <f ca="1">IFERROR(__xludf.DUMMYFUNCTION("IFERROR(VLOOKUP(F227,IMPORTRANGE(""https://docs.google.com/spreadsheets/d/1Kvs4KS76FHFqLFIZfrDMff4kP08nblUkihrxltoGBjg/edit#gid=934712705"",""ESENCIAL!A6:BG""),8,FALSE))"),"")</f>
        <v/>
      </c>
      <c r="L189" s="287"/>
      <c r="V189" s="66"/>
    </row>
    <row r="190" spans="1:22" ht="15">
      <c r="A190" s="101"/>
      <c r="B190" s="4"/>
      <c r="F190" s="66"/>
      <c r="G190" s="5" t="str">
        <f ca="1">IFERROR(__xludf.DUMMYFUNCTION("IFERROR(VLOOKUP(F228,IMPORTRANGE(""https://docs.google.com/spreadsheets/d/1Kvs4KS76FHFqLFIZfrDMff4kP08nblUkihrxltoGBjg/edit#gid=934712705"",""ESENCIAL!A6:BG""),3,FALSE))"),"")</f>
        <v/>
      </c>
      <c r="H190" s="5" t="str">
        <f ca="1">IFERROR(__xludf.DUMMYFUNCTION("IFERROR(VLOOKUP(F228,IMPORTRANGE(""https://docs.google.com/spreadsheets/d/1Kvs4KS76FHFqLFIZfrDMff4kP08nblUkihrxltoGBjg/edit#gid=934712705"",""ESENCIAL!A6:BG""),8,FALSE))"),"")</f>
        <v/>
      </c>
      <c r="L190" s="287"/>
      <c r="V190" s="66"/>
    </row>
    <row r="191" spans="1:22" ht="15">
      <c r="A191" s="101"/>
      <c r="B191" s="4"/>
      <c r="F191" s="66"/>
      <c r="G191" s="5" t="str">
        <f ca="1">IFERROR(__xludf.DUMMYFUNCTION("IFERROR(VLOOKUP(F229,IMPORTRANGE(""https://docs.google.com/spreadsheets/d/1Kvs4KS76FHFqLFIZfrDMff4kP08nblUkihrxltoGBjg/edit#gid=934712705"",""ESENCIAL!A6:BG""),3,FALSE))"),"")</f>
        <v/>
      </c>
      <c r="H191" s="5" t="str">
        <f ca="1">IFERROR(__xludf.DUMMYFUNCTION("IFERROR(VLOOKUP(F229,IMPORTRANGE(""https://docs.google.com/spreadsheets/d/1Kvs4KS76FHFqLFIZfrDMff4kP08nblUkihrxltoGBjg/edit#gid=934712705"",""ESENCIAL!A6:BG""),8,FALSE))"),"")</f>
        <v/>
      </c>
      <c r="L191" s="287"/>
      <c r="V191" s="66"/>
    </row>
    <row r="192" spans="1:22" ht="15">
      <c r="A192" s="101"/>
      <c r="B192" s="4"/>
      <c r="F192" s="66"/>
      <c r="G192" s="5" t="str">
        <f ca="1">IFERROR(__xludf.DUMMYFUNCTION("IFERROR(VLOOKUP(F230,IMPORTRANGE(""https://docs.google.com/spreadsheets/d/1Kvs4KS76FHFqLFIZfrDMff4kP08nblUkihrxltoGBjg/edit#gid=934712705"",""ESENCIAL!A6:BG""),3,FALSE))"),"")</f>
        <v/>
      </c>
      <c r="H192" s="5" t="str">
        <f ca="1">IFERROR(__xludf.DUMMYFUNCTION("IFERROR(VLOOKUP(F230,IMPORTRANGE(""https://docs.google.com/spreadsheets/d/1Kvs4KS76FHFqLFIZfrDMff4kP08nblUkihrxltoGBjg/edit#gid=934712705"",""ESENCIAL!A6:BG""),8,FALSE))"),"")</f>
        <v/>
      </c>
      <c r="L192" s="287"/>
      <c r="V192" s="66"/>
    </row>
    <row r="193" spans="1:22" ht="15">
      <c r="A193" s="101"/>
      <c r="B193" s="4"/>
      <c r="F193" s="66"/>
      <c r="G193" s="5" t="str">
        <f ca="1">IFERROR(__xludf.DUMMYFUNCTION("IFERROR(VLOOKUP(F231,IMPORTRANGE(""https://docs.google.com/spreadsheets/d/1Kvs4KS76FHFqLFIZfrDMff4kP08nblUkihrxltoGBjg/edit#gid=934712705"",""ESENCIAL!A6:BG""),3,FALSE))"),"")</f>
        <v/>
      </c>
      <c r="H193" s="5" t="str">
        <f ca="1">IFERROR(__xludf.DUMMYFUNCTION("IFERROR(VLOOKUP(F231,IMPORTRANGE(""https://docs.google.com/spreadsheets/d/1Kvs4KS76FHFqLFIZfrDMff4kP08nblUkihrxltoGBjg/edit#gid=934712705"",""ESENCIAL!A6:BG""),8,FALSE))"),"")</f>
        <v/>
      </c>
      <c r="L193" s="287"/>
      <c r="V193" s="66"/>
    </row>
    <row r="194" spans="1:22" ht="15">
      <c r="A194" s="101"/>
      <c r="B194" s="4"/>
      <c r="F194" s="66"/>
      <c r="G194" s="5" t="str">
        <f ca="1">IFERROR(__xludf.DUMMYFUNCTION("IFERROR(VLOOKUP(F232,IMPORTRANGE(""https://docs.google.com/spreadsheets/d/1Kvs4KS76FHFqLFIZfrDMff4kP08nblUkihrxltoGBjg/edit#gid=934712705"",""ESENCIAL!A6:BG""),3,FALSE))"),"")</f>
        <v/>
      </c>
      <c r="H194" s="5" t="str">
        <f ca="1">IFERROR(__xludf.DUMMYFUNCTION("IFERROR(VLOOKUP(F232,IMPORTRANGE(""https://docs.google.com/spreadsheets/d/1Kvs4KS76FHFqLFIZfrDMff4kP08nblUkihrxltoGBjg/edit#gid=934712705"",""ESENCIAL!A6:BG""),8,FALSE))"),"")</f>
        <v/>
      </c>
      <c r="L194" s="287"/>
      <c r="V194" s="66"/>
    </row>
    <row r="195" spans="1:22" ht="15">
      <c r="A195" s="101"/>
      <c r="B195" s="4"/>
      <c r="F195" s="66"/>
      <c r="G195" s="5" t="str">
        <f ca="1">IFERROR(__xludf.DUMMYFUNCTION("IFERROR(VLOOKUP(F233,IMPORTRANGE(""https://docs.google.com/spreadsheets/d/1Kvs4KS76FHFqLFIZfrDMff4kP08nblUkihrxltoGBjg/edit#gid=934712705"",""ESENCIAL!A6:BG""),3,FALSE))"),"")</f>
        <v/>
      </c>
      <c r="H195" s="5" t="str">
        <f ca="1">IFERROR(__xludf.DUMMYFUNCTION("IFERROR(VLOOKUP(F233,IMPORTRANGE(""https://docs.google.com/spreadsheets/d/1Kvs4KS76FHFqLFIZfrDMff4kP08nblUkihrxltoGBjg/edit#gid=934712705"",""ESENCIAL!A6:BG""),8,FALSE))"),"")</f>
        <v/>
      </c>
      <c r="L195" s="287"/>
      <c r="V195" s="66"/>
    </row>
    <row r="196" spans="1:22" ht="15">
      <c r="A196" s="101"/>
      <c r="B196" s="4"/>
      <c r="F196" s="66"/>
      <c r="G196" s="5" t="str">
        <f ca="1">IFERROR(__xludf.DUMMYFUNCTION("IFERROR(VLOOKUP(F234,IMPORTRANGE(""https://docs.google.com/spreadsheets/d/1Kvs4KS76FHFqLFIZfrDMff4kP08nblUkihrxltoGBjg/edit#gid=934712705"",""ESENCIAL!A6:BG""),3,FALSE))"),"")</f>
        <v/>
      </c>
      <c r="H196" s="5" t="str">
        <f ca="1">IFERROR(__xludf.DUMMYFUNCTION("IFERROR(VLOOKUP(F234,IMPORTRANGE(""https://docs.google.com/spreadsheets/d/1Kvs4KS76FHFqLFIZfrDMff4kP08nblUkihrxltoGBjg/edit#gid=934712705"",""ESENCIAL!A6:BG""),8,FALSE))"),"")</f>
        <v/>
      </c>
      <c r="L196" s="287"/>
      <c r="V196" s="66"/>
    </row>
    <row r="197" spans="1:22" ht="15">
      <c r="A197" s="101"/>
      <c r="B197" s="4"/>
      <c r="F197" s="66"/>
      <c r="G197" s="5" t="str">
        <f ca="1">IFERROR(__xludf.DUMMYFUNCTION("IFERROR(VLOOKUP(F235,IMPORTRANGE(""https://docs.google.com/spreadsheets/d/1Kvs4KS76FHFqLFIZfrDMff4kP08nblUkihrxltoGBjg/edit#gid=934712705"",""ESENCIAL!A6:BG""),3,FALSE))"),"")</f>
        <v/>
      </c>
      <c r="H197" s="5" t="str">
        <f ca="1">IFERROR(__xludf.DUMMYFUNCTION("IFERROR(VLOOKUP(F235,IMPORTRANGE(""https://docs.google.com/spreadsheets/d/1Kvs4KS76FHFqLFIZfrDMff4kP08nblUkihrxltoGBjg/edit#gid=934712705"",""ESENCIAL!A6:BG""),8,FALSE))"),"")</f>
        <v/>
      </c>
      <c r="L197" s="287"/>
      <c r="V197" s="66"/>
    </row>
    <row r="198" spans="1:22" ht="15">
      <c r="A198" s="101"/>
      <c r="B198" s="4"/>
      <c r="F198" s="66"/>
      <c r="G198" s="5" t="str">
        <f ca="1">IFERROR(__xludf.DUMMYFUNCTION("IFERROR(VLOOKUP(F236,IMPORTRANGE(""https://docs.google.com/spreadsheets/d/1Kvs4KS76FHFqLFIZfrDMff4kP08nblUkihrxltoGBjg/edit#gid=934712705"",""ESENCIAL!A6:BG""),3,FALSE))"),"")</f>
        <v/>
      </c>
      <c r="H198" s="5" t="str">
        <f ca="1">IFERROR(__xludf.DUMMYFUNCTION("IFERROR(VLOOKUP(F236,IMPORTRANGE(""https://docs.google.com/spreadsheets/d/1Kvs4KS76FHFqLFIZfrDMff4kP08nblUkihrxltoGBjg/edit#gid=934712705"",""ESENCIAL!A6:BG""),8,FALSE))"),"")</f>
        <v/>
      </c>
      <c r="L198" s="287"/>
      <c r="V198" s="66"/>
    </row>
    <row r="199" spans="1:22" ht="15">
      <c r="A199" s="101"/>
      <c r="B199" s="4"/>
      <c r="F199" s="66"/>
      <c r="G199" s="5" t="str">
        <f ca="1">IFERROR(__xludf.DUMMYFUNCTION("IFERROR(VLOOKUP(F237,IMPORTRANGE(""https://docs.google.com/spreadsheets/d/1Kvs4KS76FHFqLFIZfrDMff4kP08nblUkihrxltoGBjg/edit#gid=934712705"",""ESENCIAL!A6:BG""),3,FALSE))"),"")</f>
        <v/>
      </c>
      <c r="H199" s="5" t="str">
        <f ca="1">IFERROR(__xludf.DUMMYFUNCTION("IFERROR(VLOOKUP(F237,IMPORTRANGE(""https://docs.google.com/spreadsheets/d/1Kvs4KS76FHFqLFIZfrDMff4kP08nblUkihrxltoGBjg/edit#gid=934712705"",""ESENCIAL!A6:BG""),8,FALSE))"),"")</f>
        <v/>
      </c>
      <c r="L199" s="287"/>
      <c r="V199" s="66"/>
    </row>
    <row r="200" spans="1:22" ht="15">
      <c r="A200" s="101"/>
      <c r="B200" s="4"/>
      <c r="F200" s="66"/>
      <c r="G200" s="5" t="str">
        <f ca="1">IFERROR(__xludf.DUMMYFUNCTION("IFERROR(VLOOKUP(F238,IMPORTRANGE(""https://docs.google.com/spreadsheets/d/1Kvs4KS76FHFqLFIZfrDMff4kP08nblUkihrxltoGBjg/edit#gid=934712705"",""ESENCIAL!A6:BG""),3,FALSE))"),"")</f>
        <v/>
      </c>
      <c r="H200" s="5" t="str">
        <f ca="1">IFERROR(__xludf.DUMMYFUNCTION("IFERROR(VLOOKUP(F238,IMPORTRANGE(""https://docs.google.com/spreadsheets/d/1Kvs4KS76FHFqLFIZfrDMff4kP08nblUkihrxltoGBjg/edit#gid=934712705"",""ESENCIAL!A6:BG""),8,FALSE))"),"")</f>
        <v/>
      </c>
      <c r="L200" s="287"/>
      <c r="V200" s="66"/>
    </row>
    <row r="201" spans="1:22" ht="15">
      <c r="A201" s="101"/>
      <c r="B201" s="4"/>
      <c r="F201" s="66"/>
      <c r="G201" s="5" t="str">
        <f ca="1">IFERROR(__xludf.DUMMYFUNCTION("IFERROR(VLOOKUP(F239,IMPORTRANGE(""https://docs.google.com/spreadsheets/d/1Kvs4KS76FHFqLFIZfrDMff4kP08nblUkihrxltoGBjg/edit#gid=934712705"",""ESENCIAL!A6:BG""),3,FALSE))"),"")</f>
        <v/>
      </c>
      <c r="H201" s="5" t="str">
        <f ca="1">IFERROR(__xludf.DUMMYFUNCTION("IFERROR(VLOOKUP(F239,IMPORTRANGE(""https://docs.google.com/spreadsheets/d/1Kvs4KS76FHFqLFIZfrDMff4kP08nblUkihrxltoGBjg/edit#gid=934712705"",""ESENCIAL!A6:BG""),8,FALSE))"),"")</f>
        <v/>
      </c>
      <c r="L201" s="287"/>
      <c r="V201" s="66"/>
    </row>
    <row r="202" spans="1:22" ht="15">
      <c r="A202" s="101"/>
      <c r="B202" s="4"/>
      <c r="F202" s="66"/>
      <c r="G202" s="5" t="str">
        <f ca="1">IFERROR(__xludf.DUMMYFUNCTION("IFERROR(VLOOKUP(F240,IMPORTRANGE(""https://docs.google.com/spreadsheets/d/1Kvs4KS76FHFqLFIZfrDMff4kP08nblUkihrxltoGBjg/edit#gid=934712705"",""ESENCIAL!A6:BG""),3,FALSE))"),"")</f>
        <v/>
      </c>
      <c r="H202" s="5" t="str">
        <f ca="1">IFERROR(__xludf.DUMMYFUNCTION("IFERROR(VLOOKUP(F240,IMPORTRANGE(""https://docs.google.com/spreadsheets/d/1Kvs4KS76FHFqLFIZfrDMff4kP08nblUkihrxltoGBjg/edit#gid=934712705"",""ESENCIAL!A6:BG""),8,FALSE))"),"")</f>
        <v/>
      </c>
      <c r="L202" s="287"/>
      <c r="V202" s="66"/>
    </row>
    <row r="203" spans="1:22" ht="15">
      <c r="A203" s="101"/>
      <c r="B203" s="4"/>
      <c r="F203" s="66"/>
      <c r="G203" s="5" t="str">
        <f ca="1">IFERROR(__xludf.DUMMYFUNCTION("IFERROR(VLOOKUP(F241,IMPORTRANGE(""https://docs.google.com/spreadsheets/d/1Kvs4KS76FHFqLFIZfrDMff4kP08nblUkihrxltoGBjg/edit#gid=934712705"",""ESENCIAL!A6:BG""),3,FALSE))"),"")</f>
        <v/>
      </c>
      <c r="H203" s="5" t="str">
        <f ca="1">IFERROR(__xludf.DUMMYFUNCTION("IFERROR(VLOOKUP(F241,IMPORTRANGE(""https://docs.google.com/spreadsheets/d/1Kvs4KS76FHFqLFIZfrDMff4kP08nblUkihrxltoGBjg/edit#gid=934712705"",""ESENCIAL!A6:BG""),8,FALSE))"),"")</f>
        <v/>
      </c>
      <c r="L203" s="287"/>
      <c r="V203" s="66"/>
    </row>
    <row r="204" spans="1:22" ht="15">
      <c r="A204" s="101"/>
      <c r="B204" s="4"/>
      <c r="F204" s="66"/>
      <c r="G204" s="5" t="str">
        <f ca="1">IFERROR(__xludf.DUMMYFUNCTION("IFERROR(VLOOKUP(F242,IMPORTRANGE(""https://docs.google.com/spreadsheets/d/1Kvs4KS76FHFqLFIZfrDMff4kP08nblUkihrxltoGBjg/edit#gid=934712705"",""ESENCIAL!A6:BG""),3,FALSE))"),"")</f>
        <v/>
      </c>
      <c r="H204" s="5" t="str">
        <f ca="1">IFERROR(__xludf.DUMMYFUNCTION("IFERROR(VLOOKUP(F242,IMPORTRANGE(""https://docs.google.com/spreadsheets/d/1Kvs4KS76FHFqLFIZfrDMff4kP08nblUkihrxltoGBjg/edit#gid=934712705"",""ESENCIAL!A6:BG""),8,FALSE))"),"")</f>
        <v/>
      </c>
      <c r="L204" s="287"/>
      <c r="V204" s="66"/>
    </row>
    <row r="205" spans="1:22" ht="15">
      <c r="A205" s="101"/>
      <c r="B205" s="4"/>
      <c r="F205" s="66"/>
      <c r="G205" s="5" t="str">
        <f ca="1">IFERROR(__xludf.DUMMYFUNCTION("IFERROR(VLOOKUP(F243,IMPORTRANGE(""https://docs.google.com/spreadsheets/d/1Kvs4KS76FHFqLFIZfrDMff4kP08nblUkihrxltoGBjg/edit#gid=934712705"",""ESENCIAL!A6:BG""),3,FALSE))"),"")</f>
        <v/>
      </c>
      <c r="H205" s="5" t="str">
        <f ca="1">IFERROR(__xludf.DUMMYFUNCTION("IFERROR(VLOOKUP(F243,IMPORTRANGE(""https://docs.google.com/spreadsheets/d/1Kvs4KS76FHFqLFIZfrDMff4kP08nblUkihrxltoGBjg/edit#gid=934712705"",""ESENCIAL!A6:BG""),8,FALSE))"),"")</f>
        <v/>
      </c>
      <c r="L205" s="287"/>
      <c r="V205" s="66"/>
    </row>
    <row r="206" spans="1:22" ht="15">
      <c r="A206" s="101"/>
      <c r="B206" s="4"/>
      <c r="F206" s="66"/>
      <c r="G206" s="5" t="str">
        <f ca="1">IFERROR(__xludf.DUMMYFUNCTION("IFERROR(VLOOKUP(F244,IMPORTRANGE(""https://docs.google.com/spreadsheets/d/1Kvs4KS76FHFqLFIZfrDMff4kP08nblUkihrxltoGBjg/edit#gid=934712705"",""ESENCIAL!A6:BG""),3,FALSE))"),"")</f>
        <v/>
      </c>
      <c r="H206" s="5" t="str">
        <f ca="1">IFERROR(__xludf.DUMMYFUNCTION("IFERROR(VLOOKUP(F244,IMPORTRANGE(""https://docs.google.com/spreadsheets/d/1Kvs4KS76FHFqLFIZfrDMff4kP08nblUkihrxltoGBjg/edit#gid=934712705"",""ESENCIAL!A6:BG""),8,FALSE))"),"")</f>
        <v/>
      </c>
      <c r="L206" s="287"/>
      <c r="V206" s="66"/>
    </row>
    <row r="207" spans="1:22" ht="15">
      <c r="A207" s="101"/>
      <c r="B207" s="4"/>
      <c r="F207" s="66"/>
      <c r="G207" s="5" t="str">
        <f ca="1">IFERROR(__xludf.DUMMYFUNCTION("IFERROR(VLOOKUP(F245,IMPORTRANGE(""https://docs.google.com/spreadsheets/d/1Kvs4KS76FHFqLFIZfrDMff4kP08nblUkihrxltoGBjg/edit#gid=934712705"",""ESENCIAL!A6:BG""),3,FALSE))"),"")</f>
        <v/>
      </c>
      <c r="H207" s="5" t="str">
        <f ca="1">IFERROR(__xludf.DUMMYFUNCTION("IFERROR(VLOOKUP(F245,IMPORTRANGE(""https://docs.google.com/spreadsheets/d/1Kvs4KS76FHFqLFIZfrDMff4kP08nblUkihrxltoGBjg/edit#gid=934712705"",""ESENCIAL!A6:BG""),8,FALSE))"),"")</f>
        <v/>
      </c>
      <c r="L207" s="287"/>
      <c r="V207" s="66"/>
    </row>
    <row r="208" spans="1:22" ht="15">
      <c r="A208" s="101"/>
      <c r="B208" s="4"/>
      <c r="F208" s="66"/>
      <c r="G208" s="5" t="str">
        <f ca="1">IFERROR(__xludf.DUMMYFUNCTION("IFERROR(VLOOKUP(F246,IMPORTRANGE(""https://docs.google.com/spreadsheets/d/1Kvs4KS76FHFqLFIZfrDMff4kP08nblUkihrxltoGBjg/edit#gid=934712705"",""ESENCIAL!A6:BG""),3,FALSE))"),"")</f>
        <v/>
      </c>
      <c r="H208" s="5" t="str">
        <f ca="1">IFERROR(__xludf.DUMMYFUNCTION("IFERROR(VLOOKUP(F246,IMPORTRANGE(""https://docs.google.com/spreadsheets/d/1Kvs4KS76FHFqLFIZfrDMff4kP08nblUkihrxltoGBjg/edit#gid=934712705"",""ESENCIAL!A6:BG""),8,FALSE))"),"")</f>
        <v/>
      </c>
      <c r="L208" s="287"/>
      <c r="V208" s="66"/>
    </row>
    <row r="209" spans="1:22" ht="15">
      <c r="A209" s="101"/>
      <c r="B209" s="4"/>
      <c r="F209" s="66"/>
      <c r="G209" s="5" t="str">
        <f ca="1">IFERROR(__xludf.DUMMYFUNCTION("IFERROR(VLOOKUP(F247,IMPORTRANGE(""https://docs.google.com/spreadsheets/d/1Kvs4KS76FHFqLFIZfrDMff4kP08nblUkihrxltoGBjg/edit#gid=934712705"",""ESENCIAL!A6:BG""),3,FALSE))"),"")</f>
        <v/>
      </c>
      <c r="H209" s="5" t="str">
        <f ca="1">IFERROR(__xludf.DUMMYFUNCTION("IFERROR(VLOOKUP(F247,IMPORTRANGE(""https://docs.google.com/spreadsheets/d/1Kvs4KS76FHFqLFIZfrDMff4kP08nblUkihrxltoGBjg/edit#gid=934712705"",""ESENCIAL!A6:BG""),8,FALSE))"),"")</f>
        <v/>
      </c>
      <c r="L209" s="287"/>
      <c r="V209" s="66"/>
    </row>
    <row r="210" spans="1:22" ht="15">
      <c r="A210" s="101"/>
      <c r="B210" s="4"/>
      <c r="F210" s="66"/>
      <c r="G210" s="5" t="str">
        <f ca="1">IFERROR(__xludf.DUMMYFUNCTION("IFERROR(VLOOKUP(F248,IMPORTRANGE(""https://docs.google.com/spreadsheets/d/1Kvs4KS76FHFqLFIZfrDMff4kP08nblUkihrxltoGBjg/edit#gid=934712705"",""ESENCIAL!A6:BG""),3,FALSE))"),"")</f>
        <v/>
      </c>
      <c r="H210" s="5" t="str">
        <f ca="1">IFERROR(__xludf.DUMMYFUNCTION("IFERROR(VLOOKUP(F248,IMPORTRANGE(""https://docs.google.com/spreadsheets/d/1Kvs4KS76FHFqLFIZfrDMff4kP08nblUkihrxltoGBjg/edit#gid=934712705"",""ESENCIAL!A6:BG""),8,FALSE))"),"")</f>
        <v/>
      </c>
      <c r="L210" s="287"/>
      <c r="V210" s="66"/>
    </row>
    <row r="211" spans="1:22" ht="15">
      <c r="A211" s="101"/>
      <c r="B211" s="4"/>
      <c r="F211" s="66"/>
      <c r="G211" s="5" t="str">
        <f ca="1">IFERROR(__xludf.DUMMYFUNCTION("IFERROR(VLOOKUP(F249,IMPORTRANGE(""https://docs.google.com/spreadsheets/d/1Kvs4KS76FHFqLFIZfrDMff4kP08nblUkihrxltoGBjg/edit#gid=934712705"",""ESENCIAL!A6:BG""),3,FALSE))"),"")</f>
        <v/>
      </c>
      <c r="H211" s="5" t="str">
        <f ca="1">IFERROR(__xludf.DUMMYFUNCTION("IFERROR(VLOOKUP(F249,IMPORTRANGE(""https://docs.google.com/spreadsheets/d/1Kvs4KS76FHFqLFIZfrDMff4kP08nblUkihrxltoGBjg/edit#gid=934712705"",""ESENCIAL!A6:BG""),8,FALSE))"),"")</f>
        <v/>
      </c>
      <c r="L211" s="287"/>
      <c r="V211" s="66"/>
    </row>
    <row r="212" spans="1:22" ht="15">
      <c r="A212" s="101"/>
      <c r="B212" s="4"/>
      <c r="F212" s="66"/>
      <c r="G212" s="5" t="str">
        <f ca="1">IFERROR(__xludf.DUMMYFUNCTION("IFERROR(VLOOKUP(F250,IMPORTRANGE(""https://docs.google.com/spreadsheets/d/1Kvs4KS76FHFqLFIZfrDMff4kP08nblUkihrxltoGBjg/edit#gid=934712705"",""ESENCIAL!A6:BG""),3,FALSE))"),"")</f>
        <v/>
      </c>
      <c r="H212" s="5" t="str">
        <f ca="1">IFERROR(__xludf.DUMMYFUNCTION("IFERROR(VLOOKUP(F250,IMPORTRANGE(""https://docs.google.com/spreadsheets/d/1Kvs4KS76FHFqLFIZfrDMff4kP08nblUkihrxltoGBjg/edit#gid=934712705"",""ESENCIAL!A6:BG""),8,FALSE))"),"")</f>
        <v/>
      </c>
      <c r="L212" s="287"/>
      <c r="V212" s="66"/>
    </row>
    <row r="213" spans="1:22" ht="15">
      <c r="A213" s="101"/>
      <c r="B213" s="4"/>
      <c r="F213" s="66"/>
      <c r="G213" s="5" t="str">
        <f ca="1">IFERROR(__xludf.DUMMYFUNCTION("IFERROR(VLOOKUP(F251,IMPORTRANGE(""https://docs.google.com/spreadsheets/d/1Kvs4KS76FHFqLFIZfrDMff4kP08nblUkihrxltoGBjg/edit#gid=934712705"",""ESENCIAL!A6:BG""),3,FALSE))"),"")</f>
        <v/>
      </c>
      <c r="H213" s="5" t="str">
        <f ca="1">IFERROR(__xludf.DUMMYFUNCTION("IFERROR(VLOOKUP(F251,IMPORTRANGE(""https://docs.google.com/spreadsheets/d/1Kvs4KS76FHFqLFIZfrDMff4kP08nblUkihrxltoGBjg/edit#gid=934712705"",""ESENCIAL!A6:BG""),8,FALSE))"),"")</f>
        <v/>
      </c>
      <c r="L213" s="287"/>
      <c r="V213" s="66"/>
    </row>
    <row r="214" spans="1:22" ht="15">
      <c r="A214" s="101"/>
      <c r="B214" s="29"/>
      <c r="F214" s="66"/>
      <c r="G214" s="5" t="str">
        <f ca="1">IFERROR(__xludf.DUMMYFUNCTION("IFERROR(VLOOKUP(F252,IMPORTRANGE(""https://docs.google.com/spreadsheets/d/1Kvs4KS76FHFqLFIZfrDMff4kP08nblUkihrxltoGBjg/edit#gid=934712705"",""ESENCIAL!A6:BG""),3,FALSE))"),"")</f>
        <v/>
      </c>
      <c r="H214" s="5" t="str">
        <f ca="1">IFERROR(__xludf.DUMMYFUNCTION("IFERROR(VLOOKUP(F252,IMPORTRANGE(""https://docs.google.com/spreadsheets/d/1Kvs4KS76FHFqLFIZfrDMff4kP08nblUkihrxltoGBjg/edit#gid=934712705"",""ESENCIAL!A6:BG""),8,FALSE))"),"")</f>
        <v/>
      </c>
      <c r="L214" s="287"/>
      <c r="V214" s="66"/>
    </row>
    <row r="215" spans="1:22" ht="15">
      <c r="A215" s="101"/>
      <c r="B215" s="29"/>
      <c r="F215" s="66"/>
      <c r="G215" s="5" t="str">
        <f ca="1">IFERROR(__xludf.DUMMYFUNCTION("IFERROR(VLOOKUP(F253,IMPORTRANGE(""https://docs.google.com/spreadsheets/d/1Kvs4KS76FHFqLFIZfrDMff4kP08nblUkihrxltoGBjg/edit#gid=934712705"",""ESENCIAL!A6:BG""),3,FALSE))"),"")</f>
        <v/>
      </c>
      <c r="H215" s="5" t="str">
        <f ca="1">IFERROR(__xludf.DUMMYFUNCTION("IFERROR(VLOOKUP(F253,IMPORTRANGE(""https://docs.google.com/spreadsheets/d/1Kvs4KS76FHFqLFIZfrDMff4kP08nblUkihrxltoGBjg/edit#gid=934712705"",""ESENCIAL!A6:BG""),8,FALSE))"),"")</f>
        <v/>
      </c>
      <c r="L215" s="287"/>
      <c r="V215" s="66"/>
    </row>
    <row r="216" spans="1:22" ht="15">
      <c r="A216" s="101"/>
      <c r="B216" s="4"/>
      <c r="F216" s="66"/>
      <c r="G216" s="5" t="str">
        <f ca="1">IFERROR(__xludf.DUMMYFUNCTION("IFERROR(VLOOKUP(F254,IMPORTRANGE(""https://docs.google.com/spreadsheets/d/1Kvs4KS76FHFqLFIZfrDMff4kP08nblUkihrxltoGBjg/edit#gid=934712705"",""ESENCIAL!A6:BG""),3,FALSE))"),"")</f>
        <v/>
      </c>
      <c r="H216" s="5" t="str">
        <f ca="1">IFERROR(__xludf.DUMMYFUNCTION("IFERROR(VLOOKUP(F254,IMPORTRANGE(""https://docs.google.com/spreadsheets/d/1Kvs4KS76FHFqLFIZfrDMff4kP08nblUkihrxltoGBjg/edit#gid=934712705"",""ESENCIAL!A6:BG""),8,FALSE))"),"")</f>
        <v/>
      </c>
      <c r="L216" s="287"/>
      <c r="V216" s="66"/>
    </row>
    <row r="217" spans="1:22" ht="15">
      <c r="A217" s="101"/>
      <c r="B217" s="4"/>
      <c r="F217" s="66"/>
      <c r="G217" s="5" t="str">
        <f ca="1">IFERROR(__xludf.DUMMYFUNCTION("IFERROR(VLOOKUP(F255,IMPORTRANGE(""https://docs.google.com/spreadsheets/d/1Kvs4KS76FHFqLFIZfrDMff4kP08nblUkihrxltoGBjg/edit#gid=934712705"",""ESENCIAL!A6:BG""),3,FALSE))"),"")</f>
        <v/>
      </c>
      <c r="H217" s="5" t="str">
        <f ca="1">IFERROR(__xludf.DUMMYFUNCTION("IFERROR(VLOOKUP(F255,IMPORTRANGE(""https://docs.google.com/spreadsheets/d/1Kvs4KS76FHFqLFIZfrDMff4kP08nblUkihrxltoGBjg/edit#gid=934712705"",""ESENCIAL!A6:BG""),8,FALSE))"),"")</f>
        <v/>
      </c>
      <c r="L217" s="287"/>
      <c r="V217" s="66"/>
    </row>
    <row r="218" spans="1:22" ht="15">
      <c r="A218" s="101"/>
      <c r="B218" s="4"/>
      <c r="F218" s="66"/>
      <c r="G218" s="5" t="str">
        <f ca="1">IFERROR(__xludf.DUMMYFUNCTION("IFERROR(VLOOKUP(F256,IMPORTRANGE(""https://docs.google.com/spreadsheets/d/1Kvs4KS76FHFqLFIZfrDMff4kP08nblUkihrxltoGBjg/edit#gid=934712705"",""ESENCIAL!A6:BG""),3,FALSE))"),"")</f>
        <v/>
      </c>
      <c r="H218" s="5" t="str">
        <f ca="1">IFERROR(__xludf.DUMMYFUNCTION("IFERROR(VLOOKUP(F256,IMPORTRANGE(""https://docs.google.com/spreadsheets/d/1Kvs4KS76FHFqLFIZfrDMff4kP08nblUkihrxltoGBjg/edit#gid=934712705"",""ESENCIAL!A6:BG""),8,FALSE))"),"")</f>
        <v/>
      </c>
      <c r="L218" s="287"/>
      <c r="V218" s="66"/>
    </row>
    <row r="219" spans="1:22" ht="15">
      <c r="A219" s="101"/>
      <c r="B219" s="4"/>
      <c r="F219" s="66"/>
      <c r="G219" s="5" t="str">
        <f ca="1">IFERROR(__xludf.DUMMYFUNCTION("IFERROR(VLOOKUP(F257,IMPORTRANGE(""https://docs.google.com/spreadsheets/d/1Kvs4KS76FHFqLFIZfrDMff4kP08nblUkihrxltoGBjg/edit#gid=934712705"",""ESENCIAL!A6:BG""),3,FALSE))"),"")</f>
        <v/>
      </c>
      <c r="H219" s="5" t="str">
        <f ca="1">IFERROR(__xludf.DUMMYFUNCTION("IFERROR(VLOOKUP(F257,IMPORTRANGE(""https://docs.google.com/spreadsheets/d/1Kvs4KS76FHFqLFIZfrDMff4kP08nblUkihrxltoGBjg/edit#gid=934712705"",""ESENCIAL!A6:BG""),8,FALSE))"),"")</f>
        <v/>
      </c>
      <c r="L219" s="287"/>
      <c r="V219" s="66"/>
    </row>
    <row r="220" spans="1:22" ht="15">
      <c r="A220" s="101"/>
      <c r="B220" s="4"/>
      <c r="F220" s="66"/>
      <c r="G220" s="5" t="str">
        <f ca="1">IFERROR(__xludf.DUMMYFUNCTION("IFERROR(VLOOKUP(F258,IMPORTRANGE(""https://docs.google.com/spreadsheets/d/1Kvs4KS76FHFqLFIZfrDMff4kP08nblUkihrxltoGBjg/edit#gid=934712705"",""ESENCIAL!A6:BG""),3,FALSE))"),"")</f>
        <v/>
      </c>
      <c r="H220" s="5" t="str">
        <f ca="1">IFERROR(__xludf.DUMMYFUNCTION("IFERROR(VLOOKUP(F258,IMPORTRANGE(""https://docs.google.com/spreadsheets/d/1Kvs4KS76FHFqLFIZfrDMff4kP08nblUkihrxltoGBjg/edit#gid=934712705"",""ESENCIAL!A6:BG""),8,FALSE))"),"")</f>
        <v/>
      </c>
      <c r="L220" s="287"/>
      <c r="V220" s="66"/>
    </row>
    <row r="221" spans="1:22" ht="15">
      <c r="A221" s="101"/>
      <c r="B221" s="4"/>
      <c r="F221" s="66"/>
      <c r="G221" s="5" t="str">
        <f ca="1">IFERROR(__xludf.DUMMYFUNCTION("IFERROR(VLOOKUP(F259,IMPORTRANGE(""https://docs.google.com/spreadsheets/d/1Kvs4KS76FHFqLFIZfrDMff4kP08nblUkihrxltoGBjg/edit#gid=934712705"",""ESENCIAL!A6:BG""),3,FALSE))"),"")</f>
        <v/>
      </c>
      <c r="H221" s="5" t="str">
        <f ca="1">IFERROR(__xludf.DUMMYFUNCTION("IFERROR(VLOOKUP(F259,IMPORTRANGE(""https://docs.google.com/spreadsheets/d/1Kvs4KS76FHFqLFIZfrDMff4kP08nblUkihrxltoGBjg/edit#gid=934712705"",""ESENCIAL!A6:BG""),8,FALSE))"),"")</f>
        <v/>
      </c>
      <c r="L221" s="287"/>
      <c r="V221" s="66"/>
    </row>
    <row r="222" spans="1:22" ht="15">
      <c r="A222" s="101"/>
      <c r="B222" s="4"/>
      <c r="F222" s="66"/>
      <c r="G222" s="5" t="str">
        <f ca="1">IFERROR(__xludf.DUMMYFUNCTION("IFERROR(VLOOKUP(F260,IMPORTRANGE(""https://docs.google.com/spreadsheets/d/1Kvs4KS76FHFqLFIZfrDMff4kP08nblUkihrxltoGBjg/edit#gid=934712705"",""ESENCIAL!A6:BG""),3,FALSE))"),"")</f>
        <v/>
      </c>
      <c r="H222" s="5" t="str">
        <f ca="1">IFERROR(__xludf.DUMMYFUNCTION("IFERROR(VLOOKUP(F260,IMPORTRANGE(""https://docs.google.com/spreadsheets/d/1Kvs4KS76FHFqLFIZfrDMff4kP08nblUkihrxltoGBjg/edit#gid=934712705"",""ESENCIAL!A6:BG""),8,FALSE))"),"")</f>
        <v/>
      </c>
      <c r="L222" s="287"/>
      <c r="V222" s="66"/>
    </row>
    <row r="223" spans="1:22" ht="15">
      <c r="A223" s="101"/>
      <c r="B223" s="4"/>
      <c r="F223" s="66"/>
      <c r="G223" s="5" t="str">
        <f ca="1">IFERROR(__xludf.DUMMYFUNCTION("IFERROR(VLOOKUP(F261,IMPORTRANGE(""https://docs.google.com/spreadsheets/d/1Kvs4KS76FHFqLFIZfrDMff4kP08nblUkihrxltoGBjg/edit#gid=934712705"",""ESENCIAL!A6:BG""),3,FALSE))"),"")</f>
        <v/>
      </c>
      <c r="H223" s="5" t="str">
        <f ca="1">IFERROR(__xludf.DUMMYFUNCTION("IFERROR(VLOOKUP(F261,IMPORTRANGE(""https://docs.google.com/spreadsheets/d/1Kvs4KS76FHFqLFIZfrDMff4kP08nblUkihrxltoGBjg/edit#gid=934712705"",""ESENCIAL!A6:BG""),8,FALSE))"),"")</f>
        <v/>
      </c>
      <c r="L223" s="287"/>
      <c r="V223" s="66"/>
    </row>
    <row r="224" spans="1:22" ht="15">
      <c r="A224" s="101"/>
      <c r="B224" s="4"/>
      <c r="F224" s="66"/>
      <c r="G224" s="5" t="str">
        <f ca="1">IFERROR(__xludf.DUMMYFUNCTION("IFERROR(VLOOKUP(F262,IMPORTRANGE(""https://docs.google.com/spreadsheets/d/1Kvs4KS76FHFqLFIZfrDMff4kP08nblUkihrxltoGBjg/edit#gid=934712705"",""ESENCIAL!A6:BG""),3,FALSE))"),"")</f>
        <v/>
      </c>
      <c r="H224" s="5" t="str">
        <f ca="1">IFERROR(__xludf.DUMMYFUNCTION("IFERROR(VLOOKUP(F262,IMPORTRANGE(""https://docs.google.com/spreadsheets/d/1Kvs4KS76FHFqLFIZfrDMff4kP08nblUkihrxltoGBjg/edit#gid=934712705"",""ESENCIAL!A6:BG""),8,FALSE))"),"")</f>
        <v/>
      </c>
      <c r="L224" s="287"/>
      <c r="V224" s="66"/>
    </row>
    <row r="225" spans="1:22" ht="15">
      <c r="A225" s="101"/>
      <c r="B225" s="4"/>
      <c r="F225" s="66"/>
      <c r="G225" s="5" t="str">
        <f ca="1">IFERROR(__xludf.DUMMYFUNCTION("IFERROR(VLOOKUP(F263,IMPORTRANGE(""https://docs.google.com/spreadsheets/d/1Kvs4KS76FHFqLFIZfrDMff4kP08nblUkihrxltoGBjg/edit#gid=934712705"",""ESENCIAL!A6:BG""),3,FALSE))"),"")</f>
        <v/>
      </c>
      <c r="H225" s="5" t="str">
        <f ca="1">IFERROR(__xludf.DUMMYFUNCTION("IFERROR(VLOOKUP(F263,IMPORTRANGE(""https://docs.google.com/spreadsheets/d/1Kvs4KS76FHFqLFIZfrDMff4kP08nblUkihrxltoGBjg/edit#gid=934712705"",""ESENCIAL!A6:BG""),8,FALSE))"),"")</f>
        <v/>
      </c>
      <c r="L225" s="287"/>
      <c r="V225" s="66"/>
    </row>
    <row r="226" spans="1:22" ht="15">
      <c r="A226" s="101"/>
      <c r="B226" s="29"/>
      <c r="F226" s="66"/>
      <c r="G226" s="5" t="str">
        <f ca="1">IFERROR(__xludf.DUMMYFUNCTION("IFERROR(VLOOKUP(F264,IMPORTRANGE(""https://docs.google.com/spreadsheets/d/1Kvs4KS76FHFqLFIZfrDMff4kP08nblUkihrxltoGBjg/edit#gid=934712705"",""ESENCIAL!A6:BG""),3,FALSE))"),"")</f>
        <v/>
      </c>
      <c r="H226" s="5" t="str">
        <f ca="1">IFERROR(__xludf.DUMMYFUNCTION("IFERROR(VLOOKUP(F264,IMPORTRANGE(""https://docs.google.com/spreadsheets/d/1Kvs4KS76FHFqLFIZfrDMff4kP08nblUkihrxltoGBjg/edit#gid=934712705"",""ESENCIAL!A6:BG""),8,FALSE))"),"")</f>
        <v/>
      </c>
      <c r="L226" s="287"/>
      <c r="V226" s="66"/>
    </row>
    <row r="227" spans="1:22" ht="15">
      <c r="A227" s="101"/>
      <c r="B227" s="29"/>
      <c r="F227" s="66"/>
      <c r="G227" s="5" t="str">
        <f ca="1">IFERROR(__xludf.DUMMYFUNCTION("IFERROR(VLOOKUP(F265,IMPORTRANGE(""https://docs.google.com/spreadsheets/d/1Kvs4KS76FHFqLFIZfrDMff4kP08nblUkihrxltoGBjg/edit#gid=934712705"",""ESENCIAL!A6:BG""),3,FALSE))"),"")</f>
        <v/>
      </c>
      <c r="H227" s="5" t="str">
        <f ca="1">IFERROR(__xludf.DUMMYFUNCTION("IFERROR(VLOOKUP(F265,IMPORTRANGE(""https://docs.google.com/spreadsheets/d/1Kvs4KS76FHFqLFIZfrDMff4kP08nblUkihrxltoGBjg/edit#gid=934712705"",""ESENCIAL!A6:BG""),8,FALSE))"),"")</f>
        <v/>
      </c>
      <c r="L227" s="287"/>
      <c r="V227" s="66"/>
    </row>
    <row r="228" spans="1:22" ht="15">
      <c r="A228" s="101"/>
      <c r="B228" s="4"/>
      <c r="F228" s="66"/>
      <c r="G228" s="5" t="str">
        <f ca="1">IFERROR(__xludf.DUMMYFUNCTION("IFERROR(VLOOKUP(F266,IMPORTRANGE(""https://docs.google.com/spreadsheets/d/1Kvs4KS76FHFqLFIZfrDMff4kP08nblUkihrxltoGBjg/edit#gid=934712705"",""ESENCIAL!A6:BG""),3,FALSE))"),"")</f>
        <v/>
      </c>
      <c r="H228" s="5" t="str">
        <f ca="1">IFERROR(__xludf.DUMMYFUNCTION("IFERROR(VLOOKUP(F266,IMPORTRANGE(""https://docs.google.com/spreadsheets/d/1Kvs4KS76FHFqLFIZfrDMff4kP08nblUkihrxltoGBjg/edit#gid=934712705"",""ESENCIAL!A6:BG""),8,FALSE))"),"")</f>
        <v/>
      </c>
      <c r="L228" s="287"/>
      <c r="V228" s="66"/>
    </row>
    <row r="229" spans="1:22" ht="15">
      <c r="A229" s="101"/>
      <c r="B229" s="4"/>
      <c r="F229" s="66"/>
      <c r="G229" s="5" t="str">
        <f ca="1">IFERROR(__xludf.DUMMYFUNCTION("IFERROR(VLOOKUP(F267,IMPORTRANGE(""https://docs.google.com/spreadsheets/d/1Kvs4KS76FHFqLFIZfrDMff4kP08nblUkihrxltoGBjg/edit#gid=934712705"",""ESENCIAL!A6:BG""),3,FALSE))"),"")</f>
        <v/>
      </c>
      <c r="H229" s="5" t="str">
        <f ca="1">IFERROR(__xludf.DUMMYFUNCTION("IFERROR(VLOOKUP(F267,IMPORTRANGE(""https://docs.google.com/spreadsheets/d/1Kvs4KS76FHFqLFIZfrDMff4kP08nblUkihrxltoGBjg/edit#gid=934712705"",""ESENCIAL!A6:BG""),8,FALSE))"),"")</f>
        <v/>
      </c>
      <c r="L229" s="287"/>
      <c r="V229" s="66"/>
    </row>
    <row r="230" spans="1:22" ht="15">
      <c r="A230" s="101"/>
      <c r="B230" s="4"/>
      <c r="F230" s="66"/>
      <c r="G230" s="5" t="str">
        <f ca="1">IFERROR(__xludf.DUMMYFUNCTION("IFERROR(VLOOKUP(F268,IMPORTRANGE(""https://docs.google.com/spreadsheets/d/1Kvs4KS76FHFqLFIZfrDMff4kP08nblUkihrxltoGBjg/edit#gid=934712705"",""ESENCIAL!A6:BG""),3,FALSE))"),"")</f>
        <v/>
      </c>
      <c r="H230" s="5" t="str">
        <f ca="1">IFERROR(__xludf.DUMMYFUNCTION("IFERROR(VLOOKUP(F268,IMPORTRANGE(""https://docs.google.com/spreadsheets/d/1Kvs4KS76FHFqLFIZfrDMff4kP08nblUkihrxltoGBjg/edit#gid=934712705"",""ESENCIAL!A6:BG""),8,FALSE))"),"")</f>
        <v/>
      </c>
      <c r="L230" s="287"/>
      <c r="V230" s="66"/>
    </row>
    <row r="231" spans="1:22" ht="15">
      <c r="A231" s="101"/>
      <c r="B231" s="4"/>
      <c r="F231" s="66"/>
      <c r="G231" s="5" t="str">
        <f ca="1">IFERROR(__xludf.DUMMYFUNCTION("IFERROR(VLOOKUP(F269,IMPORTRANGE(""https://docs.google.com/spreadsheets/d/1Kvs4KS76FHFqLFIZfrDMff4kP08nblUkihrxltoGBjg/edit#gid=934712705"",""ESENCIAL!A6:BG""),3,FALSE))"),"")</f>
        <v/>
      </c>
      <c r="H231" s="5" t="str">
        <f ca="1">IFERROR(__xludf.DUMMYFUNCTION("IFERROR(VLOOKUP(F269,IMPORTRANGE(""https://docs.google.com/spreadsheets/d/1Kvs4KS76FHFqLFIZfrDMff4kP08nblUkihrxltoGBjg/edit#gid=934712705"",""ESENCIAL!A6:BG""),8,FALSE))"),"")</f>
        <v/>
      </c>
      <c r="L231" s="287"/>
      <c r="V231" s="66"/>
    </row>
    <row r="232" spans="1:22" ht="15">
      <c r="A232" s="101"/>
      <c r="B232" s="4"/>
      <c r="F232" s="66"/>
      <c r="G232" s="5" t="str">
        <f ca="1">IFERROR(__xludf.DUMMYFUNCTION("IFERROR(VLOOKUP(F270,IMPORTRANGE(""https://docs.google.com/spreadsheets/d/1Kvs4KS76FHFqLFIZfrDMff4kP08nblUkihrxltoGBjg/edit#gid=934712705"",""ESENCIAL!A6:BG""),3,FALSE))"),"")</f>
        <v/>
      </c>
      <c r="H232" s="5" t="str">
        <f ca="1">IFERROR(__xludf.DUMMYFUNCTION("IFERROR(VLOOKUP(F270,IMPORTRANGE(""https://docs.google.com/spreadsheets/d/1Kvs4KS76FHFqLFIZfrDMff4kP08nblUkihrxltoGBjg/edit#gid=934712705"",""ESENCIAL!A6:BG""),8,FALSE))"),"")</f>
        <v/>
      </c>
      <c r="L232" s="287"/>
      <c r="V232" s="66"/>
    </row>
    <row r="233" spans="1:22" ht="15">
      <c r="A233" s="101"/>
      <c r="B233" s="4"/>
      <c r="F233" s="66"/>
      <c r="G233" s="5" t="str">
        <f ca="1">IFERROR(__xludf.DUMMYFUNCTION("IFERROR(VLOOKUP(F271,IMPORTRANGE(""https://docs.google.com/spreadsheets/d/1Kvs4KS76FHFqLFIZfrDMff4kP08nblUkihrxltoGBjg/edit#gid=934712705"",""ESENCIAL!A6:BG""),3,FALSE))"),"")</f>
        <v/>
      </c>
      <c r="H233" s="5" t="str">
        <f ca="1">IFERROR(__xludf.DUMMYFUNCTION("IFERROR(VLOOKUP(F271,IMPORTRANGE(""https://docs.google.com/spreadsheets/d/1Kvs4KS76FHFqLFIZfrDMff4kP08nblUkihrxltoGBjg/edit#gid=934712705"",""ESENCIAL!A6:BG""),8,FALSE))"),"")</f>
        <v/>
      </c>
      <c r="L233" s="287"/>
      <c r="V233" s="66"/>
    </row>
    <row r="234" spans="1:22" ht="15">
      <c r="A234" s="101"/>
      <c r="B234" s="4"/>
      <c r="F234" s="66"/>
      <c r="G234" s="5" t="str">
        <f ca="1">IFERROR(__xludf.DUMMYFUNCTION("IFERROR(VLOOKUP(F272,IMPORTRANGE(""https://docs.google.com/spreadsheets/d/1Kvs4KS76FHFqLFIZfrDMff4kP08nblUkihrxltoGBjg/edit#gid=934712705"",""ESENCIAL!A6:BG""),3,FALSE))"),"")</f>
        <v/>
      </c>
      <c r="H234" s="5" t="str">
        <f ca="1">IFERROR(__xludf.DUMMYFUNCTION("IFERROR(VLOOKUP(F272,IMPORTRANGE(""https://docs.google.com/spreadsheets/d/1Kvs4KS76FHFqLFIZfrDMff4kP08nblUkihrxltoGBjg/edit#gid=934712705"",""ESENCIAL!A6:BG""),8,FALSE))"),"")</f>
        <v/>
      </c>
      <c r="L234" s="287"/>
      <c r="V234" s="66"/>
    </row>
    <row r="235" spans="1:22" ht="15">
      <c r="A235" s="101"/>
      <c r="B235" s="4"/>
      <c r="F235" s="66"/>
      <c r="G235" s="5" t="str">
        <f ca="1">IFERROR(__xludf.DUMMYFUNCTION("IFERROR(VLOOKUP(F273,IMPORTRANGE(""https://docs.google.com/spreadsheets/d/1Kvs4KS76FHFqLFIZfrDMff4kP08nblUkihrxltoGBjg/edit#gid=934712705"",""ESENCIAL!A6:BG""),3,FALSE))"),"")</f>
        <v/>
      </c>
      <c r="H235" s="5" t="str">
        <f ca="1">IFERROR(__xludf.DUMMYFUNCTION("IFERROR(VLOOKUP(F273,IMPORTRANGE(""https://docs.google.com/spreadsheets/d/1Kvs4KS76FHFqLFIZfrDMff4kP08nblUkihrxltoGBjg/edit#gid=934712705"",""ESENCIAL!A6:BG""),8,FALSE))"),"")</f>
        <v/>
      </c>
      <c r="L235" s="287"/>
      <c r="V235" s="66"/>
    </row>
    <row r="236" spans="1:22" ht="15">
      <c r="A236" s="101"/>
      <c r="B236" s="4"/>
      <c r="F236" s="66"/>
      <c r="G236" s="5" t="str">
        <f ca="1">IFERROR(__xludf.DUMMYFUNCTION("IFERROR(VLOOKUP(F274,IMPORTRANGE(""https://docs.google.com/spreadsheets/d/1Kvs4KS76FHFqLFIZfrDMff4kP08nblUkihrxltoGBjg/edit#gid=934712705"",""ESENCIAL!A6:BG""),3,FALSE))"),"")</f>
        <v/>
      </c>
      <c r="H236" s="5" t="str">
        <f ca="1">IFERROR(__xludf.DUMMYFUNCTION("IFERROR(VLOOKUP(F274,IMPORTRANGE(""https://docs.google.com/spreadsheets/d/1Kvs4KS76FHFqLFIZfrDMff4kP08nblUkihrxltoGBjg/edit#gid=934712705"",""ESENCIAL!A6:BG""),8,FALSE))"),"")</f>
        <v/>
      </c>
      <c r="L236" s="287"/>
      <c r="V236" s="66"/>
    </row>
    <row r="237" spans="1:22" ht="15">
      <c r="A237" s="101"/>
      <c r="B237" s="4"/>
      <c r="F237" s="66"/>
      <c r="G237" s="5" t="str">
        <f ca="1">IFERROR(__xludf.DUMMYFUNCTION("IFERROR(VLOOKUP(F275,IMPORTRANGE(""https://docs.google.com/spreadsheets/d/1Kvs4KS76FHFqLFIZfrDMff4kP08nblUkihrxltoGBjg/edit#gid=934712705"",""ESENCIAL!A6:BG""),3,FALSE))"),"")</f>
        <v/>
      </c>
      <c r="H237" s="5" t="str">
        <f ca="1">IFERROR(__xludf.DUMMYFUNCTION("IFERROR(VLOOKUP(F275,IMPORTRANGE(""https://docs.google.com/spreadsheets/d/1Kvs4KS76FHFqLFIZfrDMff4kP08nblUkihrxltoGBjg/edit#gid=934712705"",""ESENCIAL!A6:BG""),8,FALSE))"),"")</f>
        <v/>
      </c>
      <c r="L237" s="287"/>
      <c r="V237" s="66"/>
    </row>
    <row r="238" spans="1:22" ht="15">
      <c r="A238" s="101"/>
      <c r="B238" s="4"/>
      <c r="F238" s="66"/>
      <c r="G238" s="5" t="str">
        <f ca="1">IFERROR(__xludf.DUMMYFUNCTION("IFERROR(VLOOKUP(F276,IMPORTRANGE(""https://docs.google.com/spreadsheets/d/1Kvs4KS76FHFqLFIZfrDMff4kP08nblUkihrxltoGBjg/edit#gid=934712705"",""ESENCIAL!A6:BG""),3,FALSE))"),"")</f>
        <v/>
      </c>
      <c r="H238" s="5" t="str">
        <f ca="1">IFERROR(__xludf.DUMMYFUNCTION("IFERROR(VLOOKUP(F276,IMPORTRANGE(""https://docs.google.com/spreadsheets/d/1Kvs4KS76FHFqLFIZfrDMff4kP08nblUkihrxltoGBjg/edit#gid=934712705"",""ESENCIAL!A6:BG""),8,FALSE))"),"")</f>
        <v/>
      </c>
      <c r="L238" s="287"/>
      <c r="V238" s="66"/>
    </row>
    <row r="239" spans="1:22" ht="15">
      <c r="A239" s="101"/>
      <c r="B239" s="4"/>
      <c r="F239" s="66"/>
      <c r="G239" s="5" t="str">
        <f ca="1">IFERROR(__xludf.DUMMYFUNCTION("IFERROR(VLOOKUP(F277,IMPORTRANGE(""https://docs.google.com/spreadsheets/d/1Kvs4KS76FHFqLFIZfrDMff4kP08nblUkihrxltoGBjg/edit#gid=934712705"",""ESENCIAL!A6:BG""),3,FALSE))"),"")</f>
        <v/>
      </c>
      <c r="H239" s="5" t="str">
        <f ca="1">IFERROR(__xludf.DUMMYFUNCTION("IFERROR(VLOOKUP(F277,IMPORTRANGE(""https://docs.google.com/spreadsheets/d/1Kvs4KS76FHFqLFIZfrDMff4kP08nblUkihrxltoGBjg/edit#gid=934712705"",""ESENCIAL!A6:BG""),8,FALSE))"),"")</f>
        <v/>
      </c>
      <c r="L239" s="287"/>
      <c r="V239" s="66"/>
    </row>
    <row r="240" spans="1:22" ht="15">
      <c r="A240" s="101"/>
      <c r="B240" s="4"/>
      <c r="F240" s="66"/>
      <c r="G240" s="5" t="str">
        <f ca="1">IFERROR(__xludf.DUMMYFUNCTION("IFERROR(VLOOKUP(F278,IMPORTRANGE(""https://docs.google.com/spreadsheets/d/1Kvs4KS76FHFqLFIZfrDMff4kP08nblUkihrxltoGBjg/edit#gid=934712705"",""ESENCIAL!A6:BG""),3,FALSE))"),"")</f>
        <v/>
      </c>
      <c r="H240" s="5" t="str">
        <f ca="1">IFERROR(__xludf.DUMMYFUNCTION("IFERROR(VLOOKUP(F278,IMPORTRANGE(""https://docs.google.com/spreadsheets/d/1Kvs4KS76FHFqLFIZfrDMff4kP08nblUkihrxltoGBjg/edit#gid=934712705"",""ESENCIAL!A6:BG""),8,FALSE))"),"")</f>
        <v/>
      </c>
      <c r="L240" s="287"/>
      <c r="V240" s="66"/>
    </row>
    <row r="241" spans="1:22" ht="15">
      <c r="A241" s="101"/>
      <c r="B241" s="4"/>
      <c r="F241" s="66"/>
      <c r="G241" s="5" t="str">
        <f ca="1">IFERROR(__xludf.DUMMYFUNCTION("IFERROR(VLOOKUP(F279,IMPORTRANGE(""https://docs.google.com/spreadsheets/d/1Kvs4KS76FHFqLFIZfrDMff4kP08nblUkihrxltoGBjg/edit#gid=934712705"",""ESENCIAL!A6:BG""),3,FALSE))"),"")</f>
        <v/>
      </c>
      <c r="H241" s="5" t="str">
        <f ca="1">IFERROR(__xludf.DUMMYFUNCTION("IFERROR(VLOOKUP(F279,IMPORTRANGE(""https://docs.google.com/spreadsheets/d/1Kvs4KS76FHFqLFIZfrDMff4kP08nblUkihrxltoGBjg/edit#gid=934712705"",""ESENCIAL!A6:BG""),8,FALSE))"),"")</f>
        <v/>
      </c>
      <c r="L241" s="287"/>
      <c r="V241" s="66"/>
    </row>
    <row r="242" spans="1:22" ht="15">
      <c r="A242" s="101"/>
      <c r="B242" s="4"/>
      <c r="F242" s="66"/>
      <c r="G242" s="5" t="str">
        <f ca="1">IFERROR(__xludf.DUMMYFUNCTION("IFERROR(VLOOKUP(F280,IMPORTRANGE(""https://docs.google.com/spreadsheets/d/1Kvs4KS76FHFqLFIZfrDMff4kP08nblUkihrxltoGBjg/edit#gid=934712705"",""ESENCIAL!A6:BG""),3,FALSE))"),"")</f>
        <v/>
      </c>
      <c r="H242" s="5" t="str">
        <f ca="1">IFERROR(__xludf.DUMMYFUNCTION("IFERROR(VLOOKUP(F280,IMPORTRANGE(""https://docs.google.com/spreadsheets/d/1Kvs4KS76FHFqLFIZfrDMff4kP08nblUkihrxltoGBjg/edit#gid=934712705"",""ESENCIAL!A6:BG""),8,FALSE))"),"")</f>
        <v/>
      </c>
      <c r="L242" s="287"/>
      <c r="V242" s="66"/>
    </row>
    <row r="243" spans="1:22" ht="15">
      <c r="A243" s="101"/>
      <c r="B243" s="4"/>
      <c r="F243" s="66"/>
      <c r="G243" s="5" t="str">
        <f ca="1">IFERROR(__xludf.DUMMYFUNCTION("IFERROR(VLOOKUP(F281,IMPORTRANGE(""https://docs.google.com/spreadsheets/d/1Kvs4KS76FHFqLFIZfrDMff4kP08nblUkihrxltoGBjg/edit#gid=934712705"",""ESENCIAL!A6:BG""),3,FALSE))"),"")</f>
        <v/>
      </c>
      <c r="H243" s="5" t="str">
        <f ca="1">IFERROR(__xludf.DUMMYFUNCTION("IFERROR(VLOOKUP(F281,IMPORTRANGE(""https://docs.google.com/spreadsheets/d/1Kvs4KS76FHFqLFIZfrDMff4kP08nblUkihrxltoGBjg/edit#gid=934712705"",""ESENCIAL!A6:BG""),8,FALSE))"),"")</f>
        <v/>
      </c>
      <c r="L243" s="287"/>
      <c r="V243" s="66"/>
    </row>
    <row r="244" spans="1:22" ht="15">
      <c r="A244" s="101"/>
      <c r="B244" s="4"/>
      <c r="F244" s="66"/>
      <c r="G244" s="5" t="str">
        <f ca="1">IFERROR(__xludf.DUMMYFUNCTION("IFERROR(VLOOKUP(F282,IMPORTRANGE(""https://docs.google.com/spreadsheets/d/1Kvs4KS76FHFqLFIZfrDMff4kP08nblUkihrxltoGBjg/edit#gid=934712705"",""ESENCIAL!A6:BG""),3,FALSE))"),"")</f>
        <v/>
      </c>
      <c r="H244" s="5" t="str">
        <f ca="1">IFERROR(__xludf.DUMMYFUNCTION("IFERROR(VLOOKUP(F282,IMPORTRANGE(""https://docs.google.com/spreadsheets/d/1Kvs4KS76FHFqLFIZfrDMff4kP08nblUkihrxltoGBjg/edit#gid=934712705"",""ESENCIAL!A6:BG""),8,FALSE))"),"")</f>
        <v/>
      </c>
      <c r="L244" s="287"/>
      <c r="V244" s="66"/>
    </row>
    <row r="245" spans="1:22" ht="15">
      <c r="A245" s="101"/>
      <c r="B245" s="4"/>
      <c r="F245" s="66"/>
      <c r="G245" s="5" t="str">
        <f ca="1">IFERROR(__xludf.DUMMYFUNCTION("IFERROR(VLOOKUP(F283,IMPORTRANGE(""https://docs.google.com/spreadsheets/d/1Kvs4KS76FHFqLFIZfrDMff4kP08nblUkihrxltoGBjg/edit#gid=934712705"",""ESENCIAL!A6:BG""),3,FALSE))"),"")</f>
        <v/>
      </c>
      <c r="H245" s="5" t="str">
        <f ca="1">IFERROR(__xludf.DUMMYFUNCTION("IFERROR(VLOOKUP(F283,IMPORTRANGE(""https://docs.google.com/spreadsheets/d/1Kvs4KS76FHFqLFIZfrDMff4kP08nblUkihrxltoGBjg/edit#gid=934712705"",""ESENCIAL!A6:BG""),8,FALSE))"),"")</f>
        <v/>
      </c>
      <c r="L245" s="287"/>
      <c r="V245" s="66"/>
    </row>
    <row r="246" spans="1:22" ht="15">
      <c r="A246" s="101"/>
      <c r="B246" s="4"/>
      <c r="F246" s="66"/>
      <c r="G246" s="5" t="str">
        <f ca="1">IFERROR(__xludf.DUMMYFUNCTION("IFERROR(VLOOKUP(F284,IMPORTRANGE(""https://docs.google.com/spreadsheets/d/1Kvs4KS76FHFqLFIZfrDMff4kP08nblUkihrxltoGBjg/edit#gid=934712705"",""ESENCIAL!A6:BG""),3,FALSE))"),"")</f>
        <v/>
      </c>
      <c r="H246" s="5" t="str">
        <f ca="1">IFERROR(__xludf.DUMMYFUNCTION("IFERROR(VLOOKUP(F284,IMPORTRANGE(""https://docs.google.com/spreadsheets/d/1Kvs4KS76FHFqLFIZfrDMff4kP08nblUkihrxltoGBjg/edit#gid=934712705"",""ESENCIAL!A6:BG""),8,FALSE))"),"")</f>
        <v/>
      </c>
      <c r="L246" s="287"/>
      <c r="V246" s="66"/>
    </row>
    <row r="247" spans="1:22" ht="15">
      <c r="A247" s="101"/>
      <c r="B247" s="4"/>
      <c r="F247" s="66"/>
      <c r="G247" s="5" t="str">
        <f ca="1">IFERROR(__xludf.DUMMYFUNCTION("IFERROR(VLOOKUP(F285,IMPORTRANGE(""https://docs.google.com/spreadsheets/d/1Kvs4KS76FHFqLFIZfrDMff4kP08nblUkihrxltoGBjg/edit#gid=934712705"",""ESENCIAL!A6:BG""),3,FALSE))"),"")</f>
        <v/>
      </c>
      <c r="H247" s="5" t="str">
        <f ca="1">IFERROR(__xludf.DUMMYFUNCTION("IFERROR(VLOOKUP(F285,IMPORTRANGE(""https://docs.google.com/spreadsheets/d/1Kvs4KS76FHFqLFIZfrDMff4kP08nblUkihrxltoGBjg/edit#gid=934712705"",""ESENCIAL!A6:BG""),8,FALSE))"),"")</f>
        <v/>
      </c>
      <c r="L247" s="287"/>
      <c r="V247" s="66"/>
    </row>
    <row r="248" spans="1:22" ht="15">
      <c r="A248" s="101"/>
      <c r="B248" s="4"/>
      <c r="F248" s="66"/>
      <c r="G248" s="5" t="str">
        <f ca="1">IFERROR(__xludf.DUMMYFUNCTION("IFERROR(VLOOKUP(F286,IMPORTRANGE(""https://docs.google.com/spreadsheets/d/1Kvs4KS76FHFqLFIZfrDMff4kP08nblUkihrxltoGBjg/edit#gid=934712705"",""ESENCIAL!A6:BG""),3,FALSE))"),"")</f>
        <v/>
      </c>
      <c r="H248" s="5" t="str">
        <f ca="1">IFERROR(__xludf.DUMMYFUNCTION("IFERROR(VLOOKUP(F286,IMPORTRANGE(""https://docs.google.com/spreadsheets/d/1Kvs4KS76FHFqLFIZfrDMff4kP08nblUkihrxltoGBjg/edit#gid=934712705"",""ESENCIAL!A6:BG""),8,FALSE))"),"")</f>
        <v/>
      </c>
      <c r="L248" s="287"/>
      <c r="V248" s="66"/>
    </row>
    <row r="249" spans="1:22" ht="15">
      <c r="A249" s="101"/>
      <c r="B249" s="4"/>
      <c r="F249" s="66"/>
      <c r="G249" s="5" t="str">
        <f ca="1">IFERROR(__xludf.DUMMYFUNCTION("IFERROR(VLOOKUP(F287,IMPORTRANGE(""https://docs.google.com/spreadsheets/d/1Kvs4KS76FHFqLFIZfrDMff4kP08nblUkihrxltoGBjg/edit#gid=934712705"",""ESENCIAL!A6:BG""),3,FALSE))"),"")</f>
        <v/>
      </c>
      <c r="H249" s="5" t="str">
        <f ca="1">IFERROR(__xludf.DUMMYFUNCTION("IFERROR(VLOOKUP(F287,IMPORTRANGE(""https://docs.google.com/spreadsheets/d/1Kvs4KS76FHFqLFIZfrDMff4kP08nblUkihrxltoGBjg/edit#gid=934712705"",""ESENCIAL!A6:BG""),8,FALSE))"),"")</f>
        <v/>
      </c>
      <c r="L249" s="287"/>
      <c r="V249" s="66"/>
    </row>
    <row r="250" spans="1:22" ht="15">
      <c r="A250" s="101"/>
      <c r="B250" s="4"/>
      <c r="F250" s="66"/>
      <c r="G250" s="5" t="str">
        <f ca="1">IFERROR(__xludf.DUMMYFUNCTION("IFERROR(VLOOKUP(F288,IMPORTRANGE(""https://docs.google.com/spreadsheets/d/1Kvs4KS76FHFqLFIZfrDMff4kP08nblUkihrxltoGBjg/edit#gid=934712705"",""ESENCIAL!A6:BG""),3,FALSE))"),"")</f>
        <v/>
      </c>
      <c r="H250" s="5" t="str">
        <f ca="1">IFERROR(__xludf.DUMMYFUNCTION("IFERROR(VLOOKUP(F288,IMPORTRANGE(""https://docs.google.com/spreadsheets/d/1Kvs4KS76FHFqLFIZfrDMff4kP08nblUkihrxltoGBjg/edit#gid=934712705"",""ESENCIAL!A6:BG""),8,FALSE))"),"")</f>
        <v/>
      </c>
      <c r="L250" s="287"/>
      <c r="V250" s="66"/>
    </row>
    <row r="251" spans="1:22" ht="15">
      <c r="A251" s="101"/>
      <c r="B251" s="4"/>
      <c r="F251" s="66"/>
      <c r="G251" s="5" t="str">
        <f ca="1">IFERROR(__xludf.DUMMYFUNCTION("IFERROR(VLOOKUP(F289,IMPORTRANGE(""https://docs.google.com/spreadsheets/d/1Kvs4KS76FHFqLFIZfrDMff4kP08nblUkihrxltoGBjg/edit#gid=934712705"",""ESENCIAL!A6:BG""),3,FALSE))"),"")</f>
        <v/>
      </c>
      <c r="H251" s="5" t="str">
        <f ca="1">IFERROR(__xludf.DUMMYFUNCTION("IFERROR(VLOOKUP(F289,IMPORTRANGE(""https://docs.google.com/spreadsheets/d/1Kvs4KS76FHFqLFIZfrDMff4kP08nblUkihrxltoGBjg/edit#gid=934712705"",""ESENCIAL!A6:BG""),8,FALSE))"),"")</f>
        <v/>
      </c>
      <c r="L251" s="287"/>
      <c r="V251" s="66"/>
    </row>
    <row r="252" spans="1:22" ht="15">
      <c r="A252" s="101"/>
      <c r="B252" s="4"/>
      <c r="F252" s="66"/>
      <c r="G252" s="5" t="str">
        <f ca="1">IFERROR(__xludf.DUMMYFUNCTION("IFERROR(VLOOKUP(F290,IMPORTRANGE(""https://docs.google.com/spreadsheets/d/1Kvs4KS76FHFqLFIZfrDMff4kP08nblUkihrxltoGBjg/edit#gid=934712705"",""ESENCIAL!A6:BG""),3,FALSE))"),"")</f>
        <v/>
      </c>
      <c r="H252" s="5" t="str">
        <f ca="1">IFERROR(__xludf.DUMMYFUNCTION("IFERROR(VLOOKUP(F290,IMPORTRANGE(""https://docs.google.com/spreadsheets/d/1Kvs4KS76FHFqLFIZfrDMff4kP08nblUkihrxltoGBjg/edit#gid=934712705"",""ESENCIAL!A6:BG""),8,FALSE))"),"")</f>
        <v/>
      </c>
      <c r="L252" s="287"/>
      <c r="V252" s="66"/>
    </row>
    <row r="253" spans="1:22" ht="15">
      <c r="A253" s="101"/>
      <c r="B253" s="4"/>
      <c r="F253" s="66"/>
      <c r="G253" s="5" t="str">
        <f ca="1">IFERROR(__xludf.DUMMYFUNCTION("IFERROR(VLOOKUP(F291,IMPORTRANGE(""https://docs.google.com/spreadsheets/d/1Kvs4KS76FHFqLFIZfrDMff4kP08nblUkihrxltoGBjg/edit#gid=934712705"",""ESENCIAL!A6:BG""),3,FALSE))"),"")</f>
        <v/>
      </c>
      <c r="H253" s="5" t="str">
        <f ca="1">IFERROR(__xludf.DUMMYFUNCTION("IFERROR(VLOOKUP(F291,IMPORTRANGE(""https://docs.google.com/spreadsheets/d/1Kvs4KS76FHFqLFIZfrDMff4kP08nblUkihrxltoGBjg/edit#gid=934712705"",""ESENCIAL!A6:BG""),8,FALSE))"),"")</f>
        <v/>
      </c>
      <c r="L253" s="287"/>
      <c r="V253" s="66"/>
    </row>
    <row r="254" spans="1:22" ht="15">
      <c r="A254" s="101"/>
      <c r="B254" s="4"/>
      <c r="F254" s="66"/>
      <c r="G254" s="5" t="str">
        <f ca="1">IFERROR(__xludf.DUMMYFUNCTION("IFERROR(VLOOKUP(F292,IMPORTRANGE(""https://docs.google.com/spreadsheets/d/1Kvs4KS76FHFqLFIZfrDMff4kP08nblUkihrxltoGBjg/edit#gid=934712705"",""ESENCIAL!A6:BG""),3,FALSE))"),"")</f>
        <v/>
      </c>
      <c r="H254" s="5" t="str">
        <f ca="1">IFERROR(__xludf.DUMMYFUNCTION("IFERROR(VLOOKUP(F292,IMPORTRANGE(""https://docs.google.com/spreadsheets/d/1Kvs4KS76FHFqLFIZfrDMff4kP08nblUkihrxltoGBjg/edit#gid=934712705"",""ESENCIAL!A6:BG""),8,FALSE))"),"")</f>
        <v/>
      </c>
      <c r="L254" s="287"/>
      <c r="V254" s="66"/>
    </row>
    <row r="255" spans="1:22" ht="15">
      <c r="A255" s="101"/>
      <c r="B255" s="4"/>
      <c r="F255" s="66"/>
      <c r="G255" s="5" t="str">
        <f ca="1">IFERROR(__xludf.DUMMYFUNCTION("IFERROR(VLOOKUP(F293,IMPORTRANGE(""https://docs.google.com/spreadsheets/d/1Kvs4KS76FHFqLFIZfrDMff4kP08nblUkihrxltoGBjg/edit#gid=934712705"",""ESENCIAL!A6:BG""),3,FALSE))"),"")</f>
        <v/>
      </c>
      <c r="H255" s="5" t="str">
        <f ca="1">IFERROR(__xludf.DUMMYFUNCTION("IFERROR(VLOOKUP(F293,IMPORTRANGE(""https://docs.google.com/spreadsheets/d/1Kvs4KS76FHFqLFIZfrDMff4kP08nblUkihrxltoGBjg/edit#gid=934712705"",""ESENCIAL!A6:BG""),8,FALSE))"),"")</f>
        <v/>
      </c>
      <c r="L255" s="287"/>
      <c r="V255" s="66"/>
    </row>
    <row r="256" spans="1:22" ht="15">
      <c r="A256" s="101"/>
      <c r="B256" s="4"/>
      <c r="F256" s="66"/>
      <c r="G256" s="5" t="str">
        <f ca="1">IFERROR(__xludf.DUMMYFUNCTION("IFERROR(VLOOKUP(F294,IMPORTRANGE(""https://docs.google.com/spreadsheets/d/1Kvs4KS76FHFqLFIZfrDMff4kP08nblUkihrxltoGBjg/edit#gid=934712705"",""ESENCIAL!A6:BG""),3,FALSE))"),"")</f>
        <v/>
      </c>
      <c r="H256" s="5" t="str">
        <f ca="1">IFERROR(__xludf.DUMMYFUNCTION("IFERROR(VLOOKUP(F294,IMPORTRANGE(""https://docs.google.com/spreadsheets/d/1Kvs4KS76FHFqLFIZfrDMff4kP08nblUkihrxltoGBjg/edit#gid=934712705"",""ESENCIAL!A6:BG""),8,FALSE))"),"")</f>
        <v/>
      </c>
      <c r="L256" s="287"/>
      <c r="V256" s="66"/>
    </row>
    <row r="257" spans="1:22" ht="15">
      <c r="A257" s="101"/>
      <c r="B257" s="4"/>
      <c r="F257" s="66"/>
      <c r="G257" s="5" t="str">
        <f ca="1">IFERROR(__xludf.DUMMYFUNCTION("IFERROR(VLOOKUP(F295,IMPORTRANGE(""https://docs.google.com/spreadsheets/d/1Kvs4KS76FHFqLFIZfrDMff4kP08nblUkihrxltoGBjg/edit#gid=934712705"",""ESENCIAL!A6:BG""),3,FALSE))"),"")</f>
        <v/>
      </c>
      <c r="H257" s="5" t="str">
        <f ca="1">IFERROR(__xludf.DUMMYFUNCTION("IFERROR(VLOOKUP(F295,IMPORTRANGE(""https://docs.google.com/spreadsheets/d/1Kvs4KS76FHFqLFIZfrDMff4kP08nblUkihrxltoGBjg/edit#gid=934712705"",""ESENCIAL!A6:BG""),8,FALSE))"),"")</f>
        <v/>
      </c>
      <c r="L257" s="287"/>
      <c r="V257" s="66"/>
    </row>
    <row r="258" spans="1:22" ht="15">
      <c r="A258" s="101"/>
      <c r="B258" s="4"/>
      <c r="F258" s="66"/>
      <c r="G258" s="5" t="str">
        <f ca="1">IFERROR(__xludf.DUMMYFUNCTION("IFERROR(VLOOKUP(F296,IMPORTRANGE(""https://docs.google.com/spreadsheets/d/1Kvs4KS76FHFqLFIZfrDMff4kP08nblUkihrxltoGBjg/edit#gid=934712705"",""ESENCIAL!A6:BG""),3,FALSE))"),"")</f>
        <v/>
      </c>
      <c r="H258" s="5" t="str">
        <f ca="1">IFERROR(__xludf.DUMMYFUNCTION("IFERROR(VLOOKUP(F296,IMPORTRANGE(""https://docs.google.com/spreadsheets/d/1Kvs4KS76FHFqLFIZfrDMff4kP08nblUkihrxltoGBjg/edit#gid=934712705"",""ESENCIAL!A6:BG""),8,FALSE))"),"")</f>
        <v/>
      </c>
      <c r="L258" s="287"/>
      <c r="V258" s="66"/>
    </row>
    <row r="259" spans="1:22" ht="15">
      <c r="A259" s="101"/>
      <c r="B259" s="4"/>
      <c r="F259" s="66"/>
      <c r="G259" s="5" t="str">
        <f ca="1">IFERROR(__xludf.DUMMYFUNCTION("IFERROR(VLOOKUP(F297,IMPORTRANGE(""https://docs.google.com/spreadsheets/d/1Kvs4KS76FHFqLFIZfrDMff4kP08nblUkihrxltoGBjg/edit#gid=934712705"",""ESENCIAL!A6:BG""),3,FALSE))"),"")</f>
        <v/>
      </c>
      <c r="H259" s="5" t="str">
        <f ca="1">IFERROR(__xludf.DUMMYFUNCTION("IFERROR(VLOOKUP(F297,IMPORTRANGE(""https://docs.google.com/spreadsheets/d/1Kvs4KS76FHFqLFIZfrDMff4kP08nblUkihrxltoGBjg/edit#gid=934712705"",""ESENCIAL!A6:BG""),8,FALSE))"),"")</f>
        <v/>
      </c>
      <c r="L259" s="287"/>
      <c r="V259" s="66"/>
    </row>
    <row r="260" spans="1:22" ht="15">
      <c r="A260" s="101"/>
      <c r="B260" s="4"/>
      <c r="F260" s="66"/>
      <c r="G260" s="5" t="str">
        <f ca="1">IFERROR(__xludf.DUMMYFUNCTION("IFERROR(VLOOKUP(F298,IMPORTRANGE(""https://docs.google.com/spreadsheets/d/1Kvs4KS76FHFqLFIZfrDMff4kP08nblUkihrxltoGBjg/edit#gid=934712705"",""ESENCIAL!A6:BG""),3,FALSE))"),"")</f>
        <v/>
      </c>
      <c r="H260" s="5" t="str">
        <f ca="1">IFERROR(__xludf.DUMMYFUNCTION("IFERROR(VLOOKUP(F298,IMPORTRANGE(""https://docs.google.com/spreadsheets/d/1Kvs4KS76FHFqLFIZfrDMff4kP08nblUkihrxltoGBjg/edit#gid=934712705"",""ESENCIAL!A6:BG""),8,FALSE))"),"")</f>
        <v/>
      </c>
      <c r="L260" s="287"/>
      <c r="V260" s="66"/>
    </row>
    <row r="261" spans="1:22" ht="15">
      <c r="A261" s="101"/>
      <c r="B261" s="4"/>
      <c r="F261" s="66"/>
      <c r="G261" s="5" t="str">
        <f ca="1">IFERROR(__xludf.DUMMYFUNCTION("IFERROR(VLOOKUP(F299,IMPORTRANGE(""https://docs.google.com/spreadsheets/d/1Kvs4KS76FHFqLFIZfrDMff4kP08nblUkihrxltoGBjg/edit#gid=934712705"",""ESENCIAL!A6:BG""),3,FALSE))"),"")</f>
        <v/>
      </c>
      <c r="H261" s="5" t="str">
        <f ca="1">IFERROR(__xludf.DUMMYFUNCTION("IFERROR(VLOOKUP(F299,IMPORTRANGE(""https://docs.google.com/spreadsheets/d/1Kvs4KS76FHFqLFIZfrDMff4kP08nblUkihrxltoGBjg/edit#gid=934712705"",""ESENCIAL!A6:BG""),8,FALSE))"),"")</f>
        <v/>
      </c>
      <c r="L261" s="287"/>
      <c r="V261" s="66"/>
    </row>
    <row r="262" spans="1:22" ht="15">
      <c r="A262" s="101"/>
      <c r="B262" s="4"/>
      <c r="F262" s="66"/>
      <c r="G262" s="5" t="str">
        <f ca="1">IFERROR(__xludf.DUMMYFUNCTION("IFERROR(VLOOKUP(F300,IMPORTRANGE(""https://docs.google.com/spreadsheets/d/1Kvs4KS76FHFqLFIZfrDMff4kP08nblUkihrxltoGBjg/edit#gid=934712705"",""ESENCIAL!A6:BG""),3,FALSE))"),"")</f>
        <v/>
      </c>
      <c r="H262" s="5" t="str">
        <f ca="1">IFERROR(__xludf.DUMMYFUNCTION("IFERROR(VLOOKUP(F300,IMPORTRANGE(""https://docs.google.com/spreadsheets/d/1Kvs4KS76FHFqLFIZfrDMff4kP08nblUkihrxltoGBjg/edit#gid=934712705"",""ESENCIAL!A6:BG""),8,FALSE))"),"")</f>
        <v/>
      </c>
      <c r="L262" s="287"/>
      <c r="V262" s="66"/>
    </row>
    <row r="263" spans="1:22" ht="15">
      <c r="A263" s="101"/>
      <c r="B263" s="4"/>
      <c r="F263" s="66"/>
      <c r="G263" s="5" t="str">
        <f ca="1">IFERROR(__xludf.DUMMYFUNCTION("IFERROR(VLOOKUP(F301,IMPORTRANGE(""https://docs.google.com/spreadsheets/d/1Kvs4KS76FHFqLFIZfrDMff4kP08nblUkihrxltoGBjg/edit#gid=934712705"",""ESENCIAL!A6:BG""),3,FALSE))"),"")</f>
        <v/>
      </c>
      <c r="H263" s="5" t="str">
        <f ca="1">IFERROR(__xludf.DUMMYFUNCTION("IFERROR(VLOOKUP(F301,IMPORTRANGE(""https://docs.google.com/spreadsheets/d/1Kvs4KS76FHFqLFIZfrDMff4kP08nblUkihrxltoGBjg/edit#gid=934712705"",""ESENCIAL!A6:BG""),8,FALSE))"),"")</f>
        <v/>
      </c>
      <c r="L263" s="287"/>
      <c r="V263" s="66"/>
    </row>
    <row r="264" spans="1:22" ht="15">
      <c r="A264" s="101"/>
      <c r="B264" s="4"/>
      <c r="F264" s="66"/>
      <c r="G264" s="5" t="str">
        <f ca="1">IFERROR(__xludf.DUMMYFUNCTION("IFERROR(VLOOKUP(F302,IMPORTRANGE(""https://docs.google.com/spreadsheets/d/1Kvs4KS76FHFqLFIZfrDMff4kP08nblUkihrxltoGBjg/edit#gid=934712705"",""ESENCIAL!A6:BG""),3,FALSE))"),"")</f>
        <v/>
      </c>
      <c r="H264" s="5" t="str">
        <f ca="1">IFERROR(__xludf.DUMMYFUNCTION("IFERROR(VLOOKUP(F302,IMPORTRANGE(""https://docs.google.com/spreadsheets/d/1Kvs4KS76FHFqLFIZfrDMff4kP08nblUkihrxltoGBjg/edit#gid=934712705"",""ESENCIAL!A6:BG""),8,FALSE))"),"")</f>
        <v/>
      </c>
      <c r="L264" s="287"/>
      <c r="V264" s="66"/>
    </row>
    <row r="265" spans="1:22" ht="15">
      <c r="A265" s="101"/>
      <c r="B265" s="4"/>
      <c r="F265" s="66"/>
      <c r="G265" s="5" t="str">
        <f ca="1">IFERROR(__xludf.DUMMYFUNCTION("IFERROR(VLOOKUP(F303,IMPORTRANGE(""https://docs.google.com/spreadsheets/d/1Kvs4KS76FHFqLFIZfrDMff4kP08nblUkihrxltoGBjg/edit#gid=934712705"",""ESENCIAL!A6:BG""),3,FALSE))"),"")</f>
        <v/>
      </c>
      <c r="H265" s="5" t="str">
        <f ca="1">IFERROR(__xludf.DUMMYFUNCTION("IFERROR(VLOOKUP(F303,IMPORTRANGE(""https://docs.google.com/spreadsheets/d/1Kvs4KS76FHFqLFIZfrDMff4kP08nblUkihrxltoGBjg/edit#gid=934712705"",""ESENCIAL!A6:BG""),8,FALSE))"),"")</f>
        <v/>
      </c>
      <c r="L265" s="287"/>
      <c r="V265" s="66"/>
    </row>
    <row r="266" spans="1:22" ht="15">
      <c r="A266" s="101"/>
      <c r="B266" s="4"/>
      <c r="F266" s="66"/>
      <c r="G266" s="5" t="str">
        <f ca="1">IFERROR(__xludf.DUMMYFUNCTION("IFERROR(VLOOKUP(F304,IMPORTRANGE(""https://docs.google.com/spreadsheets/d/1Kvs4KS76FHFqLFIZfrDMff4kP08nblUkihrxltoGBjg/edit#gid=934712705"",""ESENCIAL!A6:BG""),3,FALSE))"),"")</f>
        <v/>
      </c>
      <c r="H266" s="5" t="str">
        <f ca="1">IFERROR(__xludf.DUMMYFUNCTION("IFERROR(VLOOKUP(F304,IMPORTRANGE(""https://docs.google.com/spreadsheets/d/1Kvs4KS76FHFqLFIZfrDMff4kP08nblUkihrxltoGBjg/edit#gid=934712705"",""ESENCIAL!A6:BG""),8,FALSE))"),"")</f>
        <v/>
      </c>
      <c r="L266" s="287"/>
      <c r="V266" s="66"/>
    </row>
    <row r="267" spans="1:22" ht="15">
      <c r="A267" s="101"/>
      <c r="B267" s="4"/>
      <c r="F267" s="66"/>
      <c r="G267" s="5" t="str">
        <f ca="1">IFERROR(__xludf.DUMMYFUNCTION("IFERROR(VLOOKUP(F305,IMPORTRANGE(""https://docs.google.com/spreadsheets/d/1Kvs4KS76FHFqLFIZfrDMff4kP08nblUkihrxltoGBjg/edit#gid=934712705"",""ESENCIAL!A6:BG""),3,FALSE))"),"")</f>
        <v/>
      </c>
      <c r="H267" s="5" t="str">
        <f ca="1">IFERROR(__xludf.DUMMYFUNCTION("IFERROR(VLOOKUP(F305,IMPORTRANGE(""https://docs.google.com/spreadsheets/d/1Kvs4KS76FHFqLFIZfrDMff4kP08nblUkihrxltoGBjg/edit#gid=934712705"",""ESENCIAL!A6:BG""),8,FALSE))"),"")</f>
        <v/>
      </c>
      <c r="L267" s="287"/>
      <c r="V267" s="66"/>
    </row>
    <row r="268" spans="1:22" ht="15">
      <c r="A268" s="101"/>
      <c r="B268" s="4"/>
      <c r="F268" s="66"/>
      <c r="G268" s="5" t="str">
        <f ca="1">IFERROR(__xludf.DUMMYFUNCTION("IFERROR(VLOOKUP(F306,IMPORTRANGE(""https://docs.google.com/spreadsheets/d/1Kvs4KS76FHFqLFIZfrDMff4kP08nblUkihrxltoGBjg/edit#gid=934712705"",""ESENCIAL!A6:BG""),3,FALSE))"),"")</f>
        <v/>
      </c>
      <c r="H268" s="5" t="str">
        <f ca="1">IFERROR(__xludf.DUMMYFUNCTION("IFERROR(VLOOKUP(F306,IMPORTRANGE(""https://docs.google.com/spreadsheets/d/1Kvs4KS76FHFqLFIZfrDMff4kP08nblUkihrxltoGBjg/edit#gid=934712705"",""ESENCIAL!A6:BG""),8,FALSE))"),"")</f>
        <v/>
      </c>
      <c r="L268" s="287"/>
      <c r="V268" s="66"/>
    </row>
    <row r="269" spans="1:22" ht="15">
      <c r="A269" s="101"/>
      <c r="B269" s="4"/>
      <c r="F269" s="66"/>
      <c r="G269" s="5" t="str">
        <f ca="1">IFERROR(__xludf.DUMMYFUNCTION("IFERROR(VLOOKUP(F307,IMPORTRANGE(""https://docs.google.com/spreadsheets/d/1Kvs4KS76FHFqLFIZfrDMff4kP08nblUkihrxltoGBjg/edit#gid=934712705"",""ESENCIAL!A6:BG""),3,FALSE))"),"")</f>
        <v/>
      </c>
      <c r="H269" s="5" t="str">
        <f ca="1">IFERROR(__xludf.DUMMYFUNCTION("IFERROR(VLOOKUP(F307,IMPORTRANGE(""https://docs.google.com/spreadsheets/d/1Kvs4KS76FHFqLFIZfrDMff4kP08nblUkihrxltoGBjg/edit#gid=934712705"",""ESENCIAL!A6:BG""),8,FALSE))"),"")</f>
        <v/>
      </c>
      <c r="L269" s="287"/>
      <c r="V269" s="66"/>
    </row>
    <row r="270" spans="1:22" ht="15">
      <c r="A270" s="101"/>
      <c r="B270" s="4"/>
      <c r="F270" s="66"/>
      <c r="G270" s="5" t="str">
        <f ca="1">IFERROR(__xludf.DUMMYFUNCTION("IFERROR(VLOOKUP(F308,IMPORTRANGE(""https://docs.google.com/spreadsheets/d/1Kvs4KS76FHFqLFIZfrDMff4kP08nblUkihrxltoGBjg/edit#gid=934712705"",""ESENCIAL!A6:BG""),3,FALSE))"),"")</f>
        <v/>
      </c>
      <c r="H270" s="5" t="str">
        <f ca="1">IFERROR(__xludf.DUMMYFUNCTION("IFERROR(VLOOKUP(F308,IMPORTRANGE(""https://docs.google.com/spreadsheets/d/1Kvs4KS76FHFqLFIZfrDMff4kP08nblUkihrxltoGBjg/edit#gid=934712705"",""ESENCIAL!A6:BG""),8,FALSE))"),"")</f>
        <v/>
      </c>
      <c r="L270" s="287"/>
      <c r="V270" s="66"/>
    </row>
    <row r="271" spans="1:22" ht="15">
      <c r="A271" s="101"/>
      <c r="B271" s="4"/>
      <c r="F271" s="66"/>
      <c r="G271" s="5" t="str">
        <f ca="1">IFERROR(__xludf.DUMMYFUNCTION("IFERROR(VLOOKUP(F309,IMPORTRANGE(""https://docs.google.com/spreadsheets/d/1Kvs4KS76FHFqLFIZfrDMff4kP08nblUkihrxltoGBjg/edit#gid=934712705"",""ESENCIAL!A6:BG""),3,FALSE))"),"")</f>
        <v/>
      </c>
      <c r="H271" s="5" t="str">
        <f ca="1">IFERROR(__xludf.DUMMYFUNCTION("IFERROR(VLOOKUP(F309,IMPORTRANGE(""https://docs.google.com/spreadsheets/d/1Kvs4KS76FHFqLFIZfrDMff4kP08nblUkihrxltoGBjg/edit#gid=934712705"",""ESENCIAL!A6:BG""),8,FALSE))"),"")</f>
        <v/>
      </c>
      <c r="L271" s="287"/>
      <c r="V271" s="66"/>
    </row>
    <row r="272" spans="1:22" ht="15">
      <c r="A272" s="101"/>
      <c r="B272" s="4"/>
      <c r="F272" s="66"/>
      <c r="G272" s="5" t="str">
        <f ca="1">IFERROR(__xludf.DUMMYFUNCTION("IFERROR(VLOOKUP(F310,IMPORTRANGE(""https://docs.google.com/spreadsheets/d/1Kvs4KS76FHFqLFIZfrDMff4kP08nblUkihrxltoGBjg/edit#gid=934712705"",""ESENCIAL!A6:BG""),3,FALSE))"),"")</f>
        <v/>
      </c>
      <c r="H272" s="5" t="str">
        <f ca="1">IFERROR(__xludf.DUMMYFUNCTION("IFERROR(VLOOKUP(F310,IMPORTRANGE(""https://docs.google.com/spreadsheets/d/1Kvs4KS76FHFqLFIZfrDMff4kP08nblUkihrxltoGBjg/edit#gid=934712705"",""ESENCIAL!A6:BG""),8,FALSE))"),"")</f>
        <v/>
      </c>
      <c r="L272" s="287"/>
      <c r="V272" s="66"/>
    </row>
    <row r="273" spans="1:22" ht="15">
      <c r="A273" s="101"/>
      <c r="B273" s="4"/>
      <c r="F273" s="66"/>
      <c r="G273" s="5" t="str">
        <f ca="1">IFERROR(__xludf.DUMMYFUNCTION("IFERROR(VLOOKUP(F311,IMPORTRANGE(""https://docs.google.com/spreadsheets/d/1Kvs4KS76FHFqLFIZfrDMff4kP08nblUkihrxltoGBjg/edit#gid=934712705"",""ESENCIAL!A6:BG""),3,FALSE))"),"")</f>
        <v/>
      </c>
      <c r="H273" s="5" t="str">
        <f ca="1">IFERROR(__xludf.DUMMYFUNCTION("IFERROR(VLOOKUP(F311,IMPORTRANGE(""https://docs.google.com/spreadsheets/d/1Kvs4KS76FHFqLFIZfrDMff4kP08nblUkihrxltoGBjg/edit#gid=934712705"",""ESENCIAL!A6:BG""),8,FALSE))"),"")</f>
        <v/>
      </c>
      <c r="L273" s="287"/>
      <c r="V273" s="66"/>
    </row>
    <row r="274" spans="1:22" ht="15">
      <c r="A274" s="101"/>
      <c r="B274" s="4"/>
      <c r="F274" s="66"/>
      <c r="G274" s="5" t="str">
        <f ca="1">IFERROR(__xludf.DUMMYFUNCTION("IFERROR(VLOOKUP(F312,IMPORTRANGE(""https://docs.google.com/spreadsheets/d/1Kvs4KS76FHFqLFIZfrDMff4kP08nblUkihrxltoGBjg/edit#gid=934712705"",""ESENCIAL!A6:BG""),3,FALSE))"),"")</f>
        <v/>
      </c>
      <c r="H274" s="5" t="str">
        <f ca="1">IFERROR(__xludf.DUMMYFUNCTION("IFERROR(VLOOKUP(F312,IMPORTRANGE(""https://docs.google.com/spreadsheets/d/1Kvs4KS76FHFqLFIZfrDMff4kP08nblUkihrxltoGBjg/edit#gid=934712705"",""ESENCIAL!A6:BG""),8,FALSE))"),"")</f>
        <v/>
      </c>
      <c r="L274" s="287"/>
      <c r="V274" s="66"/>
    </row>
    <row r="275" spans="1:22" ht="15">
      <c r="A275" s="101"/>
      <c r="B275" s="4"/>
      <c r="F275" s="66"/>
      <c r="G275" s="5" t="str">
        <f ca="1">IFERROR(__xludf.DUMMYFUNCTION("IFERROR(VLOOKUP(F313,IMPORTRANGE(""https://docs.google.com/spreadsheets/d/1Kvs4KS76FHFqLFIZfrDMff4kP08nblUkihrxltoGBjg/edit#gid=934712705"",""ESENCIAL!A6:BG""),3,FALSE))"),"")</f>
        <v/>
      </c>
      <c r="H275" s="5" t="str">
        <f ca="1">IFERROR(__xludf.DUMMYFUNCTION("IFERROR(VLOOKUP(F313,IMPORTRANGE(""https://docs.google.com/spreadsheets/d/1Kvs4KS76FHFqLFIZfrDMff4kP08nblUkihrxltoGBjg/edit#gid=934712705"",""ESENCIAL!A6:BG""),8,FALSE))"),"")</f>
        <v/>
      </c>
      <c r="L275" s="287"/>
      <c r="V275" s="66"/>
    </row>
    <row r="276" spans="1:22" ht="15">
      <c r="A276" s="101"/>
      <c r="B276" s="4"/>
      <c r="F276" s="66"/>
      <c r="G276" s="5" t="str">
        <f ca="1">IFERROR(__xludf.DUMMYFUNCTION("IFERROR(VLOOKUP(F314,IMPORTRANGE(""https://docs.google.com/spreadsheets/d/1Kvs4KS76FHFqLFIZfrDMff4kP08nblUkihrxltoGBjg/edit#gid=934712705"",""ESENCIAL!A6:BG""),3,FALSE))"),"")</f>
        <v/>
      </c>
      <c r="H276" s="5" t="str">
        <f ca="1">IFERROR(__xludf.DUMMYFUNCTION("IFERROR(VLOOKUP(F314,IMPORTRANGE(""https://docs.google.com/spreadsheets/d/1Kvs4KS76FHFqLFIZfrDMff4kP08nblUkihrxltoGBjg/edit#gid=934712705"",""ESENCIAL!A6:BG""),8,FALSE))"),"")</f>
        <v/>
      </c>
      <c r="L276" s="287"/>
      <c r="V276" s="66"/>
    </row>
    <row r="277" spans="1:22" ht="15">
      <c r="A277" s="101"/>
      <c r="B277" s="4"/>
      <c r="F277" s="66"/>
      <c r="G277" s="5" t="str">
        <f ca="1">IFERROR(__xludf.DUMMYFUNCTION("IFERROR(VLOOKUP(F315,IMPORTRANGE(""https://docs.google.com/spreadsheets/d/1Kvs4KS76FHFqLFIZfrDMff4kP08nblUkihrxltoGBjg/edit#gid=934712705"",""ESENCIAL!A6:BG""),3,FALSE))"),"")</f>
        <v/>
      </c>
      <c r="H277" s="5" t="str">
        <f ca="1">IFERROR(__xludf.DUMMYFUNCTION("IFERROR(VLOOKUP(F315,IMPORTRANGE(""https://docs.google.com/spreadsheets/d/1Kvs4KS76FHFqLFIZfrDMff4kP08nblUkihrxltoGBjg/edit#gid=934712705"",""ESENCIAL!A6:BG""),8,FALSE))"),"")</f>
        <v/>
      </c>
      <c r="L277" s="287"/>
      <c r="V277" s="66"/>
    </row>
    <row r="278" spans="1:22" ht="15">
      <c r="A278" s="101"/>
      <c r="B278" s="4"/>
      <c r="F278" s="66"/>
      <c r="G278" s="5" t="str">
        <f ca="1">IFERROR(__xludf.DUMMYFUNCTION("IFERROR(VLOOKUP(F316,IMPORTRANGE(""https://docs.google.com/spreadsheets/d/1Kvs4KS76FHFqLFIZfrDMff4kP08nblUkihrxltoGBjg/edit#gid=934712705"",""ESENCIAL!A6:BG""),3,FALSE))"),"")</f>
        <v/>
      </c>
      <c r="H278" s="5" t="str">
        <f ca="1">IFERROR(__xludf.DUMMYFUNCTION("IFERROR(VLOOKUP(F316,IMPORTRANGE(""https://docs.google.com/spreadsheets/d/1Kvs4KS76FHFqLFIZfrDMff4kP08nblUkihrxltoGBjg/edit#gid=934712705"",""ESENCIAL!A6:BG""),8,FALSE))"),"")</f>
        <v/>
      </c>
      <c r="L278" s="287"/>
      <c r="V278" s="66"/>
    </row>
    <row r="279" spans="1:22" ht="15">
      <c r="A279" s="101"/>
      <c r="B279" s="4"/>
      <c r="F279" s="66"/>
      <c r="G279" s="5" t="str">
        <f ca="1">IFERROR(__xludf.DUMMYFUNCTION("IFERROR(VLOOKUP(F317,IMPORTRANGE(""https://docs.google.com/spreadsheets/d/1Kvs4KS76FHFqLFIZfrDMff4kP08nblUkihrxltoGBjg/edit#gid=934712705"",""ESENCIAL!A6:BG""),3,FALSE))"),"")</f>
        <v/>
      </c>
      <c r="H279" s="5" t="str">
        <f ca="1">IFERROR(__xludf.DUMMYFUNCTION("IFERROR(VLOOKUP(F317,IMPORTRANGE(""https://docs.google.com/spreadsheets/d/1Kvs4KS76FHFqLFIZfrDMff4kP08nblUkihrxltoGBjg/edit#gid=934712705"",""ESENCIAL!A6:BG""),8,FALSE))"),"")</f>
        <v/>
      </c>
      <c r="L279" s="287"/>
      <c r="V279" s="66"/>
    </row>
    <row r="280" spans="1:22" ht="15">
      <c r="A280" s="101"/>
      <c r="B280" s="4"/>
      <c r="F280" s="66"/>
      <c r="G280" s="5" t="str">
        <f ca="1">IFERROR(__xludf.DUMMYFUNCTION("IFERROR(VLOOKUP(F318,IMPORTRANGE(""https://docs.google.com/spreadsheets/d/1Kvs4KS76FHFqLFIZfrDMff4kP08nblUkihrxltoGBjg/edit#gid=934712705"",""ESENCIAL!A6:BG""),3,FALSE))"),"")</f>
        <v/>
      </c>
      <c r="H280" s="5" t="str">
        <f ca="1">IFERROR(__xludf.DUMMYFUNCTION("IFERROR(VLOOKUP(F318,IMPORTRANGE(""https://docs.google.com/spreadsheets/d/1Kvs4KS76FHFqLFIZfrDMff4kP08nblUkihrxltoGBjg/edit#gid=934712705"",""ESENCIAL!A6:BG""),8,FALSE))"),"")</f>
        <v/>
      </c>
      <c r="L280" s="287"/>
      <c r="V280" s="66"/>
    </row>
    <row r="281" spans="1:22" ht="15">
      <c r="A281" s="101"/>
      <c r="B281" s="4"/>
      <c r="F281" s="66"/>
      <c r="G281" s="5" t="str">
        <f ca="1">IFERROR(__xludf.DUMMYFUNCTION("IFERROR(VLOOKUP(F319,IMPORTRANGE(""https://docs.google.com/spreadsheets/d/1Kvs4KS76FHFqLFIZfrDMff4kP08nblUkihrxltoGBjg/edit#gid=934712705"",""ESENCIAL!A6:BG""),3,FALSE))"),"")</f>
        <v/>
      </c>
      <c r="H281" s="5" t="str">
        <f ca="1">IFERROR(__xludf.DUMMYFUNCTION("IFERROR(VLOOKUP(F319,IMPORTRANGE(""https://docs.google.com/spreadsheets/d/1Kvs4KS76FHFqLFIZfrDMff4kP08nblUkihrxltoGBjg/edit#gid=934712705"",""ESENCIAL!A6:BG""),8,FALSE))"),"")</f>
        <v/>
      </c>
      <c r="L281" s="287"/>
      <c r="V281" s="66"/>
    </row>
    <row r="282" spans="1:22" ht="15">
      <c r="A282" s="101"/>
      <c r="B282" s="4"/>
      <c r="F282" s="66"/>
      <c r="G282" s="5" t="str">
        <f ca="1">IFERROR(__xludf.DUMMYFUNCTION("IFERROR(VLOOKUP(F320,IMPORTRANGE(""https://docs.google.com/spreadsheets/d/1Kvs4KS76FHFqLFIZfrDMff4kP08nblUkihrxltoGBjg/edit#gid=934712705"",""ESENCIAL!A6:BG""),3,FALSE))"),"")</f>
        <v/>
      </c>
      <c r="H282" s="5" t="str">
        <f ca="1">IFERROR(__xludf.DUMMYFUNCTION("IFERROR(VLOOKUP(F320,IMPORTRANGE(""https://docs.google.com/spreadsheets/d/1Kvs4KS76FHFqLFIZfrDMff4kP08nblUkihrxltoGBjg/edit#gid=934712705"",""ESENCIAL!A6:BG""),8,FALSE))"),"")</f>
        <v/>
      </c>
      <c r="L282" s="287"/>
      <c r="V282" s="66"/>
    </row>
    <row r="283" spans="1:22" ht="15">
      <c r="A283" s="101"/>
      <c r="B283" s="4"/>
      <c r="F283" s="66"/>
      <c r="G283" s="5" t="str">
        <f ca="1">IFERROR(__xludf.DUMMYFUNCTION("IFERROR(VLOOKUP(F321,IMPORTRANGE(""https://docs.google.com/spreadsheets/d/1Kvs4KS76FHFqLFIZfrDMff4kP08nblUkihrxltoGBjg/edit#gid=934712705"",""ESENCIAL!A6:BG""),3,FALSE))"),"")</f>
        <v/>
      </c>
      <c r="H283" s="5" t="str">
        <f ca="1">IFERROR(__xludf.DUMMYFUNCTION("IFERROR(VLOOKUP(F321,IMPORTRANGE(""https://docs.google.com/spreadsheets/d/1Kvs4KS76FHFqLFIZfrDMff4kP08nblUkihrxltoGBjg/edit#gid=934712705"",""ESENCIAL!A6:BG""),8,FALSE))"),"")</f>
        <v/>
      </c>
      <c r="L283" s="287"/>
      <c r="V283" s="66"/>
    </row>
    <row r="284" spans="1:22" ht="15">
      <c r="A284" s="101"/>
      <c r="B284" s="4"/>
      <c r="F284" s="66"/>
      <c r="G284" s="5" t="str">
        <f ca="1">IFERROR(__xludf.DUMMYFUNCTION("IFERROR(VLOOKUP(F322,IMPORTRANGE(""https://docs.google.com/spreadsheets/d/1Kvs4KS76FHFqLFIZfrDMff4kP08nblUkihrxltoGBjg/edit#gid=934712705"",""ESENCIAL!A6:BG""),3,FALSE))"),"")</f>
        <v/>
      </c>
      <c r="H284" s="5" t="str">
        <f ca="1">IFERROR(__xludf.DUMMYFUNCTION("IFERROR(VLOOKUP(F322,IMPORTRANGE(""https://docs.google.com/spreadsheets/d/1Kvs4KS76FHFqLFIZfrDMff4kP08nblUkihrxltoGBjg/edit#gid=934712705"",""ESENCIAL!A6:BG""),8,FALSE))"),"")</f>
        <v/>
      </c>
      <c r="L284" s="287"/>
      <c r="V284" s="66"/>
    </row>
    <row r="285" spans="1:22" ht="15">
      <c r="A285" s="104"/>
      <c r="B285" s="4"/>
      <c r="F285" s="66"/>
      <c r="G285" s="5" t="str">
        <f ca="1">IFERROR(__xludf.DUMMYFUNCTION("IFERROR(VLOOKUP(F323,IMPORTRANGE(""https://docs.google.com/spreadsheets/d/1Kvs4KS76FHFqLFIZfrDMff4kP08nblUkihrxltoGBjg/edit#gid=934712705"",""ESENCIAL!A6:BG""),3,FALSE))"),"")</f>
        <v/>
      </c>
      <c r="H285" s="5" t="str">
        <f ca="1">IFERROR(__xludf.DUMMYFUNCTION("IFERROR(VLOOKUP(F323,IMPORTRANGE(""https://docs.google.com/spreadsheets/d/1Kvs4KS76FHFqLFIZfrDMff4kP08nblUkihrxltoGBjg/edit#gid=934712705"",""ESENCIAL!A6:BG""),8,FALSE))"),"")</f>
        <v/>
      </c>
      <c r="L285" s="287"/>
      <c r="V285" s="66"/>
    </row>
    <row r="286" spans="1:22" ht="15">
      <c r="A286" s="101"/>
      <c r="B286" s="4"/>
      <c r="F286" s="66"/>
      <c r="G286" s="5" t="str">
        <f ca="1">IFERROR(__xludf.DUMMYFUNCTION("IFERROR(VLOOKUP(F324,IMPORTRANGE(""https://docs.google.com/spreadsheets/d/1Kvs4KS76FHFqLFIZfrDMff4kP08nblUkihrxltoGBjg/edit#gid=934712705"",""ESENCIAL!A6:BG""),3,FALSE))"),"")</f>
        <v/>
      </c>
      <c r="H286" s="5" t="str">
        <f ca="1">IFERROR(__xludf.DUMMYFUNCTION("IFERROR(VLOOKUP(F324,IMPORTRANGE(""https://docs.google.com/spreadsheets/d/1Kvs4KS76FHFqLFIZfrDMff4kP08nblUkihrxltoGBjg/edit#gid=934712705"",""ESENCIAL!A6:BG""),8,FALSE))"),"")</f>
        <v/>
      </c>
      <c r="L286" s="287"/>
      <c r="V286" s="66"/>
    </row>
    <row r="287" spans="1:22" ht="15">
      <c r="A287" s="101"/>
      <c r="B287" s="4"/>
      <c r="F287" s="66"/>
      <c r="G287" s="5" t="str">
        <f ca="1">IFERROR(__xludf.DUMMYFUNCTION("IFERROR(VLOOKUP(F325,IMPORTRANGE(""https://docs.google.com/spreadsheets/d/1Kvs4KS76FHFqLFIZfrDMff4kP08nblUkihrxltoGBjg/edit#gid=934712705"",""ESENCIAL!A6:BG""),3,FALSE))"),"")</f>
        <v/>
      </c>
      <c r="H287" s="5" t="str">
        <f ca="1">IFERROR(__xludf.DUMMYFUNCTION("IFERROR(VLOOKUP(F325,IMPORTRANGE(""https://docs.google.com/spreadsheets/d/1Kvs4KS76FHFqLFIZfrDMff4kP08nblUkihrxltoGBjg/edit#gid=934712705"",""ESENCIAL!A6:BG""),8,FALSE))"),"")</f>
        <v/>
      </c>
      <c r="L287" s="287"/>
      <c r="V287" s="66"/>
    </row>
    <row r="288" spans="1:22" ht="15">
      <c r="A288" s="101"/>
      <c r="B288" s="4"/>
      <c r="F288" s="66"/>
      <c r="G288" s="5" t="str">
        <f ca="1">IFERROR(__xludf.DUMMYFUNCTION("IFERROR(VLOOKUP(F326,IMPORTRANGE(""https://docs.google.com/spreadsheets/d/1Kvs4KS76FHFqLFIZfrDMff4kP08nblUkihrxltoGBjg/edit#gid=934712705"",""ESENCIAL!A6:BG""),3,FALSE))"),"")</f>
        <v/>
      </c>
      <c r="H288" s="5" t="str">
        <f ca="1">IFERROR(__xludf.DUMMYFUNCTION("IFERROR(VLOOKUP(F326,IMPORTRANGE(""https://docs.google.com/spreadsheets/d/1Kvs4KS76FHFqLFIZfrDMff4kP08nblUkihrxltoGBjg/edit#gid=934712705"",""ESENCIAL!A6:BG""),8,FALSE))"),"")</f>
        <v/>
      </c>
      <c r="L288" s="287"/>
      <c r="V288" s="66"/>
    </row>
    <row r="289" spans="1:22" ht="15">
      <c r="A289" s="101"/>
      <c r="B289" s="4"/>
      <c r="F289" s="66"/>
      <c r="G289" s="5" t="str">
        <f ca="1">IFERROR(__xludf.DUMMYFUNCTION("IFERROR(VLOOKUP(F327,IMPORTRANGE(""https://docs.google.com/spreadsheets/d/1Kvs4KS76FHFqLFIZfrDMff4kP08nblUkihrxltoGBjg/edit#gid=934712705"",""ESENCIAL!A6:BG""),3,FALSE))"),"")</f>
        <v/>
      </c>
      <c r="H289" s="5" t="str">
        <f ca="1">IFERROR(__xludf.DUMMYFUNCTION("IFERROR(VLOOKUP(F327,IMPORTRANGE(""https://docs.google.com/spreadsheets/d/1Kvs4KS76FHFqLFIZfrDMff4kP08nblUkihrxltoGBjg/edit#gid=934712705"",""ESENCIAL!A6:BG""),8,FALSE))"),"")</f>
        <v/>
      </c>
      <c r="L289" s="287"/>
      <c r="V289" s="66"/>
    </row>
    <row r="290" spans="1:22" ht="15">
      <c r="A290" s="101"/>
      <c r="B290" s="4"/>
      <c r="F290" s="66"/>
      <c r="G290" s="5" t="str">
        <f ca="1">IFERROR(__xludf.DUMMYFUNCTION("IFERROR(VLOOKUP(F328,IMPORTRANGE(""https://docs.google.com/spreadsheets/d/1Kvs4KS76FHFqLFIZfrDMff4kP08nblUkihrxltoGBjg/edit#gid=934712705"",""ESENCIAL!A6:BG""),3,FALSE))"),"")</f>
        <v/>
      </c>
      <c r="H290" s="5" t="str">
        <f ca="1">IFERROR(__xludf.DUMMYFUNCTION("IFERROR(VLOOKUP(F328,IMPORTRANGE(""https://docs.google.com/spreadsheets/d/1Kvs4KS76FHFqLFIZfrDMff4kP08nblUkihrxltoGBjg/edit#gid=934712705"",""ESENCIAL!A6:BG""),8,FALSE))"),"")</f>
        <v/>
      </c>
      <c r="L290" s="287"/>
      <c r="V290" s="66"/>
    </row>
    <row r="291" spans="1:22" ht="15">
      <c r="A291" s="101"/>
      <c r="B291" s="4"/>
      <c r="F291" s="66"/>
      <c r="G291" s="5" t="str">
        <f ca="1">IFERROR(__xludf.DUMMYFUNCTION("IFERROR(VLOOKUP(F329,IMPORTRANGE(""https://docs.google.com/spreadsheets/d/1Kvs4KS76FHFqLFIZfrDMff4kP08nblUkihrxltoGBjg/edit#gid=934712705"",""ESENCIAL!A6:BG""),3,FALSE))"),"")</f>
        <v/>
      </c>
      <c r="H291" s="5" t="str">
        <f ca="1">IFERROR(__xludf.DUMMYFUNCTION("IFERROR(VLOOKUP(F329,IMPORTRANGE(""https://docs.google.com/spreadsheets/d/1Kvs4KS76FHFqLFIZfrDMff4kP08nblUkihrxltoGBjg/edit#gid=934712705"",""ESENCIAL!A6:BG""),8,FALSE))"),"")</f>
        <v/>
      </c>
      <c r="L291" s="287"/>
      <c r="V291" s="66"/>
    </row>
    <row r="292" spans="1:22" ht="15">
      <c r="A292" s="101"/>
      <c r="B292" s="4"/>
      <c r="F292" s="66"/>
      <c r="G292" s="5" t="str">
        <f ca="1">IFERROR(__xludf.DUMMYFUNCTION("IFERROR(VLOOKUP(F330,IMPORTRANGE(""https://docs.google.com/spreadsheets/d/1Kvs4KS76FHFqLFIZfrDMff4kP08nblUkihrxltoGBjg/edit#gid=934712705"",""ESENCIAL!A6:BG""),3,FALSE))"),"")</f>
        <v/>
      </c>
      <c r="H292" s="5" t="str">
        <f ca="1">IFERROR(__xludf.DUMMYFUNCTION("IFERROR(VLOOKUP(F330,IMPORTRANGE(""https://docs.google.com/spreadsheets/d/1Kvs4KS76FHFqLFIZfrDMff4kP08nblUkihrxltoGBjg/edit#gid=934712705"",""ESENCIAL!A6:BG""),8,FALSE))"),"")</f>
        <v/>
      </c>
      <c r="L292" s="287"/>
      <c r="V292" s="66"/>
    </row>
    <row r="293" spans="1:22" ht="15">
      <c r="A293" s="101"/>
      <c r="B293" s="4"/>
      <c r="F293" s="66"/>
      <c r="G293" s="5" t="str">
        <f ca="1">IFERROR(__xludf.DUMMYFUNCTION("IFERROR(VLOOKUP(F331,IMPORTRANGE(""https://docs.google.com/spreadsheets/d/1Kvs4KS76FHFqLFIZfrDMff4kP08nblUkihrxltoGBjg/edit#gid=934712705"",""ESENCIAL!A6:BG""),3,FALSE))"),"")</f>
        <v/>
      </c>
      <c r="H293" s="5" t="str">
        <f ca="1">IFERROR(__xludf.DUMMYFUNCTION("IFERROR(VLOOKUP(F331,IMPORTRANGE(""https://docs.google.com/spreadsheets/d/1Kvs4KS76FHFqLFIZfrDMff4kP08nblUkihrxltoGBjg/edit#gid=934712705"",""ESENCIAL!A6:BG""),8,FALSE))"),"")</f>
        <v/>
      </c>
      <c r="L293" s="287"/>
      <c r="V293" s="66"/>
    </row>
    <row r="294" spans="1:22" ht="15">
      <c r="A294" s="101"/>
      <c r="B294" s="4"/>
      <c r="F294" s="66"/>
      <c r="G294" s="5" t="str">
        <f ca="1">IFERROR(__xludf.DUMMYFUNCTION("IFERROR(VLOOKUP(F332,IMPORTRANGE(""https://docs.google.com/spreadsheets/d/1Kvs4KS76FHFqLFIZfrDMff4kP08nblUkihrxltoGBjg/edit#gid=934712705"",""ESENCIAL!A6:BG""),3,FALSE))"),"")</f>
        <v/>
      </c>
      <c r="H294" s="5" t="str">
        <f ca="1">IFERROR(__xludf.DUMMYFUNCTION("IFERROR(VLOOKUP(F332,IMPORTRANGE(""https://docs.google.com/spreadsheets/d/1Kvs4KS76FHFqLFIZfrDMff4kP08nblUkihrxltoGBjg/edit#gid=934712705"",""ESENCIAL!A6:BG""),8,FALSE))"),"")</f>
        <v/>
      </c>
      <c r="L294" s="287"/>
      <c r="V294" s="66"/>
    </row>
    <row r="295" spans="1:22" ht="15">
      <c r="A295" s="101"/>
      <c r="B295" s="4"/>
      <c r="F295" s="66"/>
      <c r="G295" s="5" t="str">
        <f ca="1">IFERROR(__xludf.DUMMYFUNCTION("IFERROR(VLOOKUP(F333,IMPORTRANGE(""https://docs.google.com/spreadsheets/d/1Kvs4KS76FHFqLFIZfrDMff4kP08nblUkihrxltoGBjg/edit#gid=934712705"",""ESENCIAL!A6:BG""),3,FALSE))"),"")</f>
        <v/>
      </c>
      <c r="H295" s="5" t="str">
        <f ca="1">IFERROR(__xludf.DUMMYFUNCTION("IFERROR(VLOOKUP(F333,IMPORTRANGE(""https://docs.google.com/spreadsheets/d/1Kvs4KS76FHFqLFIZfrDMff4kP08nblUkihrxltoGBjg/edit#gid=934712705"",""ESENCIAL!A6:BG""),8,FALSE))"),"")</f>
        <v/>
      </c>
      <c r="L295" s="287"/>
      <c r="V295" s="66"/>
    </row>
    <row r="296" spans="1:22" ht="15">
      <c r="A296" s="101"/>
      <c r="B296" s="4"/>
      <c r="F296" s="66"/>
      <c r="G296" s="5" t="str">
        <f ca="1">IFERROR(__xludf.DUMMYFUNCTION("IFERROR(VLOOKUP(F334,IMPORTRANGE(""https://docs.google.com/spreadsheets/d/1Kvs4KS76FHFqLFIZfrDMff4kP08nblUkihrxltoGBjg/edit#gid=934712705"",""ESENCIAL!A6:BG""),3,FALSE))"),"")</f>
        <v/>
      </c>
      <c r="H296" s="5" t="str">
        <f ca="1">IFERROR(__xludf.DUMMYFUNCTION("IFERROR(VLOOKUP(F334,IMPORTRANGE(""https://docs.google.com/spreadsheets/d/1Kvs4KS76FHFqLFIZfrDMff4kP08nblUkihrxltoGBjg/edit#gid=934712705"",""ESENCIAL!A6:BG""),8,FALSE))"),"")</f>
        <v/>
      </c>
      <c r="L296" s="287"/>
      <c r="V296" s="66"/>
    </row>
    <row r="297" spans="1:22" ht="15">
      <c r="A297" s="101"/>
      <c r="B297" s="4"/>
      <c r="F297" s="66"/>
      <c r="G297" s="5" t="str">
        <f ca="1">IFERROR(__xludf.DUMMYFUNCTION("IFERROR(VLOOKUP(F335,IMPORTRANGE(""https://docs.google.com/spreadsheets/d/1Kvs4KS76FHFqLFIZfrDMff4kP08nblUkihrxltoGBjg/edit#gid=934712705"",""ESENCIAL!A6:BG""),3,FALSE))"),"")</f>
        <v/>
      </c>
      <c r="H297" s="5" t="str">
        <f ca="1">IFERROR(__xludf.DUMMYFUNCTION("IFERROR(VLOOKUP(F335,IMPORTRANGE(""https://docs.google.com/spreadsheets/d/1Kvs4KS76FHFqLFIZfrDMff4kP08nblUkihrxltoGBjg/edit#gid=934712705"",""ESENCIAL!A6:BG""),8,FALSE))"),"")</f>
        <v/>
      </c>
      <c r="L297" s="287"/>
      <c r="V297" s="66"/>
    </row>
    <row r="298" spans="1:22" ht="15">
      <c r="A298" s="101"/>
      <c r="B298" s="4"/>
      <c r="F298" s="66"/>
      <c r="G298" s="5" t="str">
        <f ca="1">IFERROR(__xludf.DUMMYFUNCTION("IFERROR(VLOOKUP(F336,IMPORTRANGE(""https://docs.google.com/spreadsheets/d/1Kvs4KS76FHFqLFIZfrDMff4kP08nblUkihrxltoGBjg/edit#gid=934712705"",""ESENCIAL!A6:BG""),3,FALSE))"),"")</f>
        <v/>
      </c>
      <c r="H298" s="5" t="str">
        <f ca="1">IFERROR(__xludf.DUMMYFUNCTION("IFERROR(VLOOKUP(F336,IMPORTRANGE(""https://docs.google.com/spreadsheets/d/1Kvs4KS76FHFqLFIZfrDMff4kP08nblUkihrxltoGBjg/edit#gid=934712705"",""ESENCIAL!A6:BG""),8,FALSE))"),"")</f>
        <v/>
      </c>
      <c r="L298" s="287"/>
      <c r="V298" s="66"/>
    </row>
    <row r="299" spans="1:22" ht="15">
      <c r="A299" s="101"/>
      <c r="B299" s="4"/>
      <c r="F299" s="66"/>
      <c r="G299" s="5" t="str">
        <f ca="1">IFERROR(__xludf.DUMMYFUNCTION("IFERROR(VLOOKUP(F337,IMPORTRANGE(""https://docs.google.com/spreadsheets/d/1Kvs4KS76FHFqLFIZfrDMff4kP08nblUkihrxltoGBjg/edit#gid=934712705"",""ESENCIAL!A6:BG""),3,FALSE))"),"")</f>
        <v/>
      </c>
      <c r="H299" s="5" t="str">
        <f ca="1">IFERROR(__xludf.DUMMYFUNCTION("IFERROR(VLOOKUP(F337,IMPORTRANGE(""https://docs.google.com/spreadsheets/d/1Kvs4KS76FHFqLFIZfrDMff4kP08nblUkihrxltoGBjg/edit#gid=934712705"",""ESENCIAL!A6:BG""),8,FALSE))"),"")</f>
        <v/>
      </c>
      <c r="L299" s="287"/>
      <c r="V299" s="66"/>
    </row>
    <row r="300" spans="1:22" ht="15">
      <c r="A300" s="101"/>
      <c r="B300" s="4"/>
      <c r="F300" s="66"/>
      <c r="G300" s="5" t="str">
        <f ca="1">IFERROR(__xludf.DUMMYFUNCTION("IFERROR(VLOOKUP(F338,IMPORTRANGE(""https://docs.google.com/spreadsheets/d/1Kvs4KS76FHFqLFIZfrDMff4kP08nblUkihrxltoGBjg/edit#gid=934712705"",""ESENCIAL!A6:BG""),3,FALSE))"),"")</f>
        <v/>
      </c>
      <c r="H300" s="5" t="str">
        <f ca="1">IFERROR(__xludf.DUMMYFUNCTION("IFERROR(VLOOKUP(F338,IMPORTRANGE(""https://docs.google.com/spreadsheets/d/1Kvs4KS76FHFqLFIZfrDMff4kP08nblUkihrxltoGBjg/edit#gid=934712705"",""ESENCIAL!A6:BG""),8,FALSE))"),"")</f>
        <v/>
      </c>
      <c r="L300" s="287"/>
      <c r="V300" s="66"/>
    </row>
    <row r="301" spans="1:22" ht="15">
      <c r="A301" s="101"/>
      <c r="B301" s="4"/>
      <c r="F301" s="66"/>
      <c r="G301" s="5" t="str">
        <f ca="1">IFERROR(__xludf.DUMMYFUNCTION("IFERROR(VLOOKUP(F339,IMPORTRANGE(""https://docs.google.com/spreadsheets/d/1Kvs4KS76FHFqLFIZfrDMff4kP08nblUkihrxltoGBjg/edit#gid=934712705"",""ESENCIAL!A6:BG""),3,FALSE))"),"")</f>
        <v/>
      </c>
      <c r="H301" s="5" t="str">
        <f ca="1">IFERROR(__xludf.DUMMYFUNCTION("IFERROR(VLOOKUP(F339,IMPORTRANGE(""https://docs.google.com/spreadsheets/d/1Kvs4KS76FHFqLFIZfrDMff4kP08nblUkihrxltoGBjg/edit#gid=934712705"",""ESENCIAL!A6:BG""),8,FALSE))"),"")</f>
        <v/>
      </c>
      <c r="L301" s="287"/>
      <c r="V301" s="66"/>
    </row>
    <row r="302" spans="1:22" ht="15">
      <c r="A302" s="101"/>
      <c r="B302" s="4"/>
      <c r="F302" s="66"/>
      <c r="G302" s="5" t="str">
        <f ca="1">IFERROR(__xludf.DUMMYFUNCTION("IFERROR(VLOOKUP(F340,IMPORTRANGE(""https://docs.google.com/spreadsheets/d/1Kvs4KS76FHFqLFIZfrDMff4kP08nblUkihrxltoGBjg/edit#gid=934712705"",""ESENCIAL!A6:BG""),3,FALSE))"),"")</f>
        <v/>
      </c>
      <c r="H302" s="5" t="str">
        <f ca="1">IFERROR(__xludf.DUMMYFUNCTION("IFERROR(VLOOKUP(F340,IMPORTRANGE(""https://docs.google.com/spreadsheets/d/1Kvs4KS76FHFqLFIZfrDMff4kP08nblUkihrxltoGBjg/edit#gid=934712705"",""ESENCIAL!A6:BG""),8,FALSE))"),"")</f>
        <v/>
      </c>
      <c r="L302" s="287"/>
      <c r="V302" s="66"/>
    </row>
    <row r="303" spans="1:22" ht="15">
      <c r="A303" s="101"/>
      <c r="B303" s="4"/>
      <c r="F303" s="66"/>
      <c r="G303" s="5" t="str">
        <f ca="1">IFERROR(__xludf.DUMMYFUNCTION("IFERROR(VLOOKUP(F341,IMPORTRANGE(""https://docs.google.com/spreadsheets/d/1Kvs4KS76FHFqLFIZfrDMff4kP08nblUkihrxltoGBjg/edit#gid=934712705"",""ESENCIAL!A6:BG""),3,FALSE))"),"")</f>
        <v/>
      </c>
      <c r="H303" s="5" t="str">
        <f ca="1">IFERROR(__xludf.DUMMYFUNCTION("IFERROR(VLOOKUP(F341,IMPORTRANGE(""https://docs.google.com/spreadsheets/d/1Kvs4KS76FHFqLFIZfrDMff4kP08nblUkihrxltoGBjg/edit#gid=934712705"",""ESENCIAL!A6:BG""),8,FALSE))"),"")</f>
        <v/>
      </c>
      <c r="L303" s="287"/>
      <c r="V303" s="66"/>
    </row>
    <row r="304" spans="1:22" ht="15">
      <c r="A304" s="101"/>
      <c r="B304" s="4"/>
      <c r="F304" s="66"/>
      <c r="G304" s="5" t="str">
        <f ca="1">IFERROR(__xludf.DUMMYFUNCTION("IFERROR(VLOOKUP(F342,IMPORTRANGE(""https://docs.google.com/spreadsheets/d/1Kvs4KS76FHFqLFIZfrDMff4kP08nblUkihrxltoGBjg/edit#gid=934712705"",""ESENCIAL!A6:BG""),3,FALSE))"),"")</f>
        <v/>
      </c>
      <c r="H304" s="5" t="str">
        <f ca="1">IFERROR(__xludf.DUMMYFUNCTION("IFERROR(VLOOKUP(F342,IMPORTRANGE(""https://docs.google.com/spreadsheets/d/1Kvs4KS76FHFqLFIZfrDMff4kP08nblUkihrxltoGBjg/edit#gid=934712705"",""ESENCIAL!A6:BG""),8,FALSE))"),"")</f>
        <v/>
      </c>
      <c r="L304" s="287"/>
      <c r="V304" s="66"/>
    </row>
    <row r="305" spans="1:22" ht="15">
      <c r="A305" s="101"/>
      <c r="B305" s="4"/>
      <c r="F305" s="66"/>
      <c r="G305" s="5" t="str">
        <f ca="1">IFERROR(__xludf.DUMMYFUNCTION("IFERROR(VLOOKUP(F343,IMPORTRANGE(""https://docs.google.com/spreadsheets/d/1Kvs4KS76FHFqLFIZfrDMff4kP08nblUkihrxltoGBjg/edit#gid=934712705"",""ESENCIAL!A6:BG""),3,FALSE))"),"")</f>
        <v/>
      </c>
      <c r="H305" s="5" t="str">
        <f ca="1">IFERROR(__xludf.DUMMYFUNCTION("IFERROR(VLOOKUP(F343,IMPORTRANGE(""https://docs.google.com/spreadsheets/d/1Kvs4KS76FHFqLFIZfrDMff4kP08nblUkihrxltoGBjg/edit#gid=934712705"",""ESENCIAL!A6:BG""),8,FALSE))"),"")</f>
        <v/>
      </c>
      <c r="L305" s="287"/>
      <c r="V305" s="66"/>
    </row>
    <row r="306" spans="1:22" ht="15">
      <c r="A306" s="101"/>
      <c r="B306" s="4"/>
      <c r="F306" s="66"/>
      <c r="G306" s="5" t="str">
        <f ca="1">IFERROR(__xludf.DUMMYFUNCTION("IFERROR(VLOOKUP(F344,IMPORTRANGE(""https://docs.google.com/spreadsheets/d/1Kvs4KS76FHFqLFIZfrDMff4kP08nblUkihrxltoGBjg/edit#gid=934712705"",""ESENCIAL!A6:BG""),3,FALSE))"),"")</f>
        <v/>
      </c>
      <c r="H306" s="5" t="str">
        <f ca="1">IFERROR(__xludf.DUMMYFUNCTION("IFERROR(VLOOKUP(F344,IMPORTRANGE(""https://docs.google.com/spreadsheets/d/1Kvs4KS76FHFqLFIZfrDMff4kP08nblUkihrxltoGBjg/edit#gid=934712705"",""ESENCIAL!A6:BG""),8,FALSE))"),"")</f>
        <v/>
      </c>
      <c r="L306" s="287"/>
      <c r="V306" s="66"/>
    </row>
    <row r="307" spans="1:22" ht="15">
      <c r="A307" s="101"/>
      <c r="B307" s="4"/>
      <c r="F307" s="66"/>
      <c r="G307" s="5" t="str">
        <f ca="1">IFERROR(__xludf.DUMMYFUNCTION("IFERROR(VLOOKUP(F345,IMPORTRANGE(""https://docs.google.com/spreadsheets/d/1Kvs4KS76FHFqLFIZfrDMff4kP08nblUkihrxltoGBjg/edit#gid=934712705"",""ESENCIAL!A6:BG""),3,FALSE))"),"")</f>
        <v/>
      </c>
      <c r="H307" s="5" t="str">
        <f ca="1">IFERROR(__xludf.DUMMYFUNCTION("IFERROR(VLOOKUP(F345,IMPORTRANGE(""https://docs.google.com/spreadsheets/d/1Kvs4KS76FHFqLFIZfrDMff4kP08nblUkihrxltoGBjg/edit#gid=934712705"",""ESENCIAL!A6:BG""),8,FALSE))"),"")</f>
        <v/>
      </c>
      <c r="L307" s="287"/>
      <c r="V307" s="66"/>
    </row>
    <row r="308" spans="1:22" ht="15">
      <c r="A308" s="101"/>
      <c r="B308" s="4"/>
      <c r="F308" s="66"/>
      <c r="G308" s="5" t="str">
        <f ca="1">IFERROR(__xludf.DUMMYFUNCTION("IFERROR(VLOOKUP(F346,IMPORTRANGE(""https://docs.google.com/spreadsheets/d/1Kvs4KS76FHFqLFIZfrDMff4kP08nblUkihrxltoGBjg/edit#gid=934712705"",""ESENCIAL!A6:BG""),3,FALSE))"),"")</f>
        <v/>
      </c>
      <c r="H308" s="5" t="str">
        <f ca="1">IFERROR(__xludf.DUMMYFUNCTION("IFERROR(VLOOKUP(F346,IMPORTRANGE(""https://docs.google.com/spreadsheets/d/1Kvs4KS76FHFqLFIZfrDMff4kP08nblUkihrxltoGBjg/edit#gid=934712705"",""ESENCIAL!A6:BG""),8,FALSE))"),"")</f>
        <v/>
      </c>
      <c r="L308" s="287"/>
      <c r="V308" s="66"/>
    </row>
    <row r="309" spans="1:22" ht="15">
      <c r="A309" s="101"/>
      <c r="B309" s="4"/>
      <c r="F309" s="66"/>
      <c r="G309" s="5" t="str">
        <f ca="1">IFERROR(__xludf.DUMMYFUNCTION("IFERROR(VLOOKUP(F347,IMPORTRANGE(""https://docs.google.com/spreadsheets/d/1Kvs4KS76FHFqLFIZfrDMff4kP08nblUkihrxltoGBjg/edit#gid=934712705"",""ESENCIAL!A6:BG""),3,FALSE))"),"")</f>
        <v/>
      </c>
      <c r="H309" s="5" t="str">
        <f ca="1">IFERROR(__xludf.DUMMYFUNCTION("IFERROR(VLOOKUP(F347,IMPORTRANGE(""https://docs.google.com/spreadsheets/d/1Kvs4KS76FHFqLFIZfrDMff4kP08nblUkihrxltoGBjg/edit#gid=934712705"",""ESENCIAL!A6:BG""),8,FALSE))"),"")</f>
        <v/>
      </c>
      <c r="L309" s="287"/>
      <c r="V309" s="66"/>
    </row>
    <row r="310" spans="1:22" ht="15">
      <c r="A310" s="101"/>
      <c r="B310" s="4"/>
      <c r="F310" s="66"/>
      <c r="G310" s="5" t="str">
        <f ca="1">IFERROR(__xludf.DUMMYFUNCTION("IFERROR(VLOOKUP(F348,IMPORTRANGE(""https://docs.google.com/spreadsheets/d/1Kvs4KS76FHFqLFIZfrDMff4kP08nblUkihrxltoGBjg/edit#gid=934712705"",""ESENCIAL!A6:BG""),3,FALSE))"),"")</f>
        <v/>
      </c>
      <c r="H310" s="5" t="str">
        <f ca="1">IFERROR(__xludf.DUMMYFUNCTION("IFERROR(VLOOKUP(F348,IMPORTRANGE(""https://docs.google.com/spreadsheets/d/1Kvs4KS76FHFqLFIZfrDMff4kP08nblUkihrxltoGBjg/edit#gid=934712705"",""ESENCIAL!A6:BG""),8,FALSE))"),"")</f>
        <v/>
      </c>
      <c r="L310" s="287"/>
      <c r="V310" s="66"/>
    </row>
    <row r="311" spans="1:22" ht="15">
      <c r="A311" s="101"/>
      <c r="B311" s="4"/>
      <c r="F311" s="66"/>
      <c r="G311" s="5" t="str">
        <f ca="1">IFERROR(__xludf.DUMMYFUNCTION("IFERROR(VLOOKUP(F349,IMPORTRANGE(""https://docs.google.com/spreadsheets/d/1Kvs4KS76FHFqLFIZfrDMff4kP08nblUkihrxltoGBjg/edit#gid=934712705"",""ESENCIAL!A6:BG""),3,FALSE))"),"")</f>
        <v/>
      </c>
      <c r="H311" s="5" t="str">
        <f ca="1">IFERROR(__xludf.DUMMYFUNCTION("IFERROR(VLOOKUP(F349,IMPORTRANGE(""https://docs.google.com/spreadsheets/d/1Kvs4KS76FHFqLFIZfrDMff4kP08nblUkihrxltoGBjg/edit#gid=934712705"",""ESENCIAL!A6:BG""),8,FALSE))"),"")</f>
        <v/>
      </c>
      <c r="L311" s="287"/>
      <c r="V311" s="66"/>
    </row>
    <row r="312" spans="1:22" ht="15">
      <c r="A312" s="101"/>
      <c r="B312" s="4"/>
      <c r="F312" s="66"/>
      <c r="G312" s="5" t="str">
        <f ca="1">IFERROR(__xludf.DUMMYFUNCTION("IFERROR(VLOOKUP(F350,IMPORTRANGE(""https://docs.google.com/spreadsheets/d/1Kvs4KS76FHFqLFIZfrDMff4kP08nblUkihrxltoGBjg/edit#gid=934712705"",""ESENCIAL!A6:BG""),3,FALSE))"),"")</f>
        <v/>
      </c>
      <c r="H312" s="5" t="str">
        <f ca="1">IFERROR(__xludf.DUMMYFUNCTION("IFERROR(VLOOKUP(F350,IMPORTRANGE(""https://docs.google.com/spreadsheets/d/1Kvs4KS76FHFqLFIZfrDMff4kP08nblUkihrxltoGBjg/edit#gid=934712705"",""ESENCIAL!A6:BG""),8,FALSE))"),"")</f>
        <v/>
      </c>
      <c r="L312" s="287"/>
      <c r="V312" s="66"/>
    </row>
    <row r="313" spans="1:22" ht="15">
      <c r="A313" s="101"/>
      <c r="B313" s="4"/>
      <c r="F313" s="66"/>
      <c r="G313" s="5" t="str">
        <f ca="1">IFERROR(__xludf.DUMMYFUNCTION("IFERROR(VLOOKUP(F351,IMPORTRANGE(""https://docs.google.com/spreadsheets/d/1Kvs4KS76FHFqLFIZfrDMff4kP08nblUkihrxltoGBjg/edit#gid=934712705"",""ESENCIAL!A6:BG""),3,FALSE))"),"")</f>
        <v/>
      </c>
      <c r="H313" s="5" t="str">
        <f ca="1">IFERROR(__xludf.DUMMYFUNCTION("IFERROR(VLOOKUP(F351,IMPORTRANGE(""https://docs.google.com/spreadsheets/d/1Kvs4KS76FHFqLFIZfrDMff4kP08nblUkihrxltoGBjg/edit#gid=934712705"",""ESENCIAL!A6:BG""),8,FALSE))"),"")</f>
        <v/>
      </c>
      <c r="L313" s="287"/>
      <c r="V313" s="66"/>
    </row>
    <row r="314" spans="1:22" ht="15">
      <c r="A314" s="101"/>
      <c r="B314" s="4"/>
      <c r="F314" s="66"/>
      <c r="G314" s="5" t="str">
        <f ca="1">IFERROR(__xludf.DUMMYFUNCTION("IFERROR(VLOOKUP(F352,IMPORTRANGE(""https://docs.google.com/spreadsheets/d/1Kvs4KS76FHFqLFIZfrDMff4kP08nblUkihrxltoGBjg/edit#gid=934712705"",""ESENCIAL!A6:BG""),3,FALSE))"),"")</f>
        <v/>
      </c>
      <c r="H314" s="5" t="str">
        <f ca="1">IFERROR(__xludf.DUMMYFUNCTION("IFERROR(VLOOKUP(F352,IMPORTRANGE(""https://docs.google.com/spreadsheets/d/1Kvs4KS76FHFqLFIZfrDMff4kP08nblUkihrxltoGBjg/edit#gid=934712705"",""ESENCIAL!A6:BG""),8,FALSE))"),"")</f>
        <v/>
      </c>
      <c r="L314" s="287"/>
      <c r="V314" s="66"/>
    </row>
    <row r="315" spans="1:22" ht="15">
      <c r="A315" s="101"/>
      <c r="B315" s="4"/>
      <c r="F315" s="66"/>
      <c r="G315" s="5" t="str">
        <f ca="1">IFERROR(__xludf.DUMMYFUNCTION("IFERROR(VLOOKUP(F353,IMPORTRANGE(""https://docs.google.com/spreadsheets/d/1Kvs4KS76FHFqLFIZfrDMff4kP08nblUkihrxltoGBjg/edit#gid=934712705"",""ESENCIAL!A6:BG""),3,FALSE))"),"")</f>
        <v/>
      </c>
      <c r="H315" s="5" t="str">
        <f ca="1">IFERROR(__xludf.DUMMYFUNCTION("IFERROR(VLOOKUP(F353,IMPORTRANGE(""https://docs.google.com/spreadsheets/d/1Kvs4KS76FHFqLFIZfrDMff4kP08nblUkihrxltoGBjg/edit#gid=934712705"",""ESENCIAL!A6:BG""),8,FALSE))"),"")</f>
        <v/>
      </c>
      <c r="L315" s="287"/>
      <c r="V315" s="66"/>
    </row>
    <row r="316" spans="1:22" ht="15">
      <c r="A316" s="101"/>
      <c r="B316" s="4"/>
      <c r="F316" s="66"/>
      <c r="G316" s="5" t="str">
        <f ca="1">IFERROR(__xludf.DUMMYFUNCTION("IFERROR(VLOOKUP(F354,IMPORTRANGE(""https://docs.google.com/spreadsheets/d/1Kvs4KS76FHFqLFIZfrDMff4kP08nblUkihrxltoGBjg/edit#gid=934712705"",""ESENCIAL!A6:BG""),3,FALSE))"),"")</f>
        <v/>
      </c>
      <c r="H316" s="5" t="str">
        <f ca="1">IFERROR(__xludf.DUMMYFUNCTION("IFERROR(VLOOKUP(F354,IMPORTRANGE(""https://docs.google.com/spreadsheets/d/1Kvs4KS76FHFqLFIZfrDMff4kP08nblUkihrxltoGBjg/edit#gid=934712705"",""ESENCIAL!A6:BG""),8,FALSE))"),"")</f>
        <v/>
      </c>
      <c r="L316" s="287"/>
      <c r="V316" s="66"/>
    </row>
    <row r="317" spans="1:22" ht="15">
      <c r="A317" s="101"/>
      <c r="B317" s="4"/>
      <c r="F317" s="66"/>
      <c r="G317" s="5" t="str">
        <f ca="1">IFERROR(__xludf.DUMMYFUNCTION("IFERROR(VLOOKUP(F355,IMPORTRANGE(""https://docs.google.com/spreadsheets/d/1Kvs4KS76FHFqLFIZfrDMff4kP08nblUkihrxltoGBjg/edit#gid=934712705"",""ESENCIAL!A6:BG""),3,FALSE))"),"")</f>
        <v/>
      </c>
      <c r="H317" s="5" t="str">
        <f ca="1">IFERROR(__xludf.DUMMYFUNCTION("IFERROR(VLOOKUP(F355,IMPORTRANGE(""https://docs.google.com/spreadsheets/d/1Kvs4KS76FHFqLFIZfrDMff4kP08nblUkihrxltoGBjg/edit#gid=934712705"",""ESENCIAL!A6:BG""),8,FALSE))"),"")</f>
        <v/>
      </c>
      <c r="L317" s="287"/>
      <c r="V317" s="66"/>
    </row>
    <row r="318" spans="1:22" ht="15">
      <c r="A318" s="101"/>
      <c r="B318" s="4"/>
      <c r="F318" s="66"/>
      <c r="G318" s="5" t="str">
        <f ca="1">IFERROR(__xludf.DUMMYFUNCTION("IFERROR(VLOOKUP(F356,IMPORTRANGE(""https://docs.google.com/spreadsheets/d/1Kvs4KS76FHFqLFIZfrDMff4kP08nblUkihrxltoGBjg/edit#gid=934712705"",""ESENCIAL!A6:BG""),3,FALSE))"),"")</f>
        <v/>
      </c>
      <c r="H318" s="5" t="str">
        <f ca="1">IFERROR(__xludf.DUMMYFUNCTION("IFERROR(VLOOKUP(F356,IMPORTRANGE(""https://docs.google.com/spreadsheets/d/1Kvs4KS76FHFqLFIZfrDMff4kP08nblUkihrxltoGBjg/edit#gid=934712705"",""ESENCIAL!A6:BG""),8,FALSE))"),"")</f>
        <v/>
      </c>
      <c r="L318" s="287"/>
      <c r="V318" s="66"/>
    </row>
    <row r="319" spans="1:22" ht="15">
      <c r="A319" s="101"/>
      <c r="B319" s="4"/>
      <c r="F319" s="66"/>
      <c r="G319" s="5" t="str">
        <f ca="1">IFERROR(__xludf.DUMMYFUNCTION("IFERROR(VLOOKUP(F357,IMPORTRANGE(""https://docs.google.com/spreadsheets/d/1Kvs4KS76FHFqLFIZfrDMff4kP08nblUkihrxltoGBjg/edit#gid=934712705"",""ESENCIAL!A6:BG""),3,FALSE))"),"")</f>
        <v/>
      </c>
      <c r="H319" s="5" t="str">
        <f ca="1">IFERROR(__xludf.DUMMYFUNCTION("IFERROR(VLOOKUP(F357,IMPORTRANGE(""https://docs.google.com/spreadsheets/d/1Kvs4KS76FHFqLFIZfrDMff4kP08nblUkihrxltoGBjg/edit#gid=934712705"",""ESENCIAL!A6:BG""),8,FALSE))"),"")</f>
        <v/>
      </c>
      <c r="L319" s="287"/>
      <c r="V319" s="66"/>
    </row>
    <row r="320" spans="1:22" ht="15">
      <c r="A320" s="101"/>
      <c r="B320" s="4"/>
      <c r="F320" s="66"/>
      <c r="G320" s="5" t="str">
        <f ca="1">IFERROR(__xludf.DUMMYFUNCTION("IFERROR(VLOOKUP(F358,IMPORTRANGE(""https://docs.google.com/spreadsheets/d/1Kvs4KS76FHFqLFIZfrDMff4kP08nblUkihrxltoGBjg/edit#gid=934712705"",""ESENCIAL!A6:BG""),3,FALSE))"),"")</f>
        <v/>
      </c>
      <c r="H320" s="5" t="str">
        <f ca="1">IFERROR(__xludf.DUMMYFUNCTION("IFERROR(VLOOKUP(F358,IMPORTRANGE(""https://docs.google.com/spreadsheets/d/1Kvs4KS76FHFqLFIZfrDMff4kP08nblUkihrxltoGBjg/edit#gid=934712705"",""ESENCIAL!A6:BG""),8,FALSE))"),"")</f>
        <v/>
      </c>
      <c r="L320" s="287"/>
      <c r="V320" s="66"/>
    </row>
    <row r="321" spans="1:22" ht="15">
      <c r="A321" s="101"/>
      <c r="B321" s="4"/>
      <c r="F321" s="66"/>
      <c r="G321" s="5" t="str">
        <f ca="1">IFERROR(__xludf.DUMMYFUNCTION("IFERROR(VLOOKUP(F359,IMPORTRANGE(""https://docs.google.com/spreadsheets/d/1Kvs4KS76FHFqLFIZfrDMff4kP08nblUkihrxltoGBjg/edit#gid=934712705"",""ESENCIAL!A6:BG""),3,FALSE))"),"")</f>
        <v/>
      </c>
      <c r="H321" s="5" t="str">
        <f ca="1">IFERROR(__xludf.DUMMYFUNCTION("IFERROR(VLOOKUP(F359,IMPORTRANGE(""https://docs.google.com/spreadsheets/d/1Kvs4KS76FHFqLFIZfrDMff4kP08nblUkihrxltoGBjg/edit#gid=934712705"",""ESENCIAL!A6:BG""),8,FALSE))"),"")</f>
        <v/>
      </c>
      <c r="L321" s="287"/>
      <c r="V321" s="66"/>
    </row>
    <row r="322" spans="1:22" ht="15">
      <c r="A322" s="101"/>
      <c r="B322" s="4"/>
      <c r="F322" s="66"/>
      <c r="G322" s="5" t="str">
        <f ca="1">IFERROR(__xludf.DUMMYFUNCTION("IFERROR(VLOOKUP(F360,IMPORTRANGE(""https://docs.google.com/spreadsheets/d/1Kvs4KS76FHFqLFIZfrDMff4kP08nblUkihrxltoGBjg/edit#gid=934712705"",""ESENCIAL!A6:BG""),3,FALSE))"),"")</f>
        <v/>
      </c>
      <c r="H322" s="5" t="str">
        <f ca="1">IFERROR(__xludf.DUMMYFUNCTION("IFERROR(VLOOKUP(F360,IMPORTRANGE(""https://docs.google.com/spreadsheets/d/1Kvs4KS76FHFqLFIZfrDMff4kP08nblUkihrxltoGBjg/edit#gid=934712705"",""ESENCIAL!A6:BG""),8,FALSE))"),"")</f>
        <v/>
      </c>
      <c r="L322" s="287"/>
      <c r="V322" s="66"/>
    </row>
    <row r="323" spans="1:22" ht="15">
      <c r="A323" s="101"/>
      <c r="B323" s="4"/>
      <c r="F323" s="66"/>
      <c r="G323" s="5" t="str">
        <f ca="1">IFERROR(__xludf.DUMMYFUNCTION("IFERROR(VLOOKUP(F361,IMPORTRANGE(""https://docs.google.com/spreadsheets/d/1Kvs4KS76FHFqLFIZfrDMff4kP08nblUkihrxltoGBjg/edit#gid=934712705"",""ESENCIAL!A6:BG""),3,FALSE))"),"")</f>
        <v/>
      </c>
      <c r="H323" s="5" t="str">
        <f ca="1">IFERROR(__xludf.DUMMYFUNCTION("IFERROR(VLOOKUP(F361,IMPORTRANGE(""https://docs.google.com/spreadsheets/d/1Kvs4KS76FHFqLFIZfrDMff4kP08nblUkihrxltoGBjg/edit#gid=934712705"",""ESENCIAL!A6:BG""),8,FALSE))"),"")</f>
        <v/>
      </c>
      <c r="L323" s="287"/>
      <c r="V323" s="66"/>
    </row>
    <row r="324" spans="1:22" ht="15">
      <c r="A324" s="101"/>
      <c r="B324" s="4"/>
      <c r="F324" s="66"/>
      <c r="G324" s="5" t="str">
        <f ca="1">IFERROR(__xludf.DUMMYFUNCTION("IFERROR(VLOOKUP(F362,IMPORTRANGE(""https://docs.google.com/spreadsheets/d/1Kvs4KS76FHFqLFIZfrDMff4kP08nblUkihrxltoGBjg/edit#gid=934712705"",""ESENCIAL!A6:BG""),3,FALSE))"),"")</f>
        <v/>
      </c>
      <c r="H324" s="5" t="str">
        <f ca="1">IFERROR(__xludf.DUMMYFUNCTION("IFERROR(VLOOKUP(F362,IMPORTRANGE(""https://docs.google.com/spreadsheets/d/1Kvs4KS76FHFqLFIZfrDMff4kP08nblUkihrxltoGBjg/edit#gid=934712705"",""ESENCIAL!A6:BG""),8,FALSE))"),"")</f>
        <v/>
      </c>
      <c r="L324" s="287"/>
      <c r="V324" s="66"/>
    </row>
    <row r="325" spans="1:22" ht="15">
      <c r="A325" s="101"/>
      <c r="B325" s="4"/>
      <c r="F325" s="66"/>
      <c r="G325" s="5" t="str">
        <f ca="1">IFERROR(__xludf.DUMMYFUNCTION("IFERROR(VLOOKUP(F363,IMPORTRANGE(""https://docs.google.com/spreadsheets/d/1Kvs4KS76FHFqLFIZfrDMff4kP08nblUkihrxltoGBjg/edit#gid=934712705"",""ESENCIAL!A6:BG""),3,FALSE))"),"")</f>
        <v/>
      </c>
      <c r="H325" s="5" t="str">
        <f ca="1">IFERROR(__xludf.DUMMYFUNCTION("IFERROR(VLOOKUP(F363,IMPORTRANGE(""https://docs.google.com/spreadsheets/d/1Kvs4KS76FHFqLFIZfrDMff4kP08nblUkihrxltoGBjg/edit#gid=934712705"",""ESENCIAL!A6:BG""),8,FALSE))"),"")</f>
        <v/>
      </c>
      <c r="L325" s="287"/>
      <c r="V325" s="66"/>
    </row>
    <row r="326" spans="1:22" ht="15">
      <c r="A326" s="101"/>
      <c r="B326" s="4"/>
      <c r="F326" s="66"/>
      <c r="G326" s="5" t="str">
        <f ca="1">IFERROR(__xludf.DUMMYFUNCTION("IFERROR(VLOOKUP(F364,IMPORTRANGE(""https://docs.google.com/spreadsheets/d/1Kvs4KS76FHFqLFIZfrDMff4kP08nblUkihrxltoGBjg/edit#gid=934712705"",""ESENCIAL!A6:BG""),3,FALSE))"),"")</f>
        <v/>
      </c>
      <c r="H326" s="5" t="str">
        <f ca="1">IFERROR(__xludf.DUMMYFUNCTION("IFERROR(VLOOKUP(F364,IMPORTRANGE(""https://docs.google.com/spreadsheets/d/1Kvs4KS76FHFqLFIZfrDMff4kP08nblUkihrxltoGBjg/edit#gid=934712705"",""ESENCIAL!A6:BG""),8,FALSE))"),"")</f>
        <v/>
      </c>
      <c r="L326" s="287"/>
      <c r="V326" s="66"/>
    </row>
    <row r="327" spans="1:22" ht="15">
      <c r="A327" s="101"/>
      <c r="B327" s="4"/>
      <c r="F327" s="66"/>
      <c r="G327" s="5" t="str">
        <f ca="1">IFERROR(__xludf.DUMMYFUNCTION("IFERROR(VLOOKUP(F365,IMPORTRANGE(""https://docs.google.com/spreadsheets/d/1Kvs4KS76FHFqLFIZfrDMff4kP08nblUkihrxltoGBjg/edit#gid=934712705"",""ESENCIAL!A6:BG""),3,FALSE))"),"")</f>
        <v/>
      </c>
      <c r="H327" s="5" t="str">
        <f ca="1">IFERROR(__xludf.DUMMYFUNCTION("IFERROR(VLOOKUP(F365,IMPORTRANGE(""https://docs.google.com/spreadsheets/d/1Kvs4KS76FHFqLFIZfrDMff4kP08nblUkihrxltoGBjg/edit#gid=934712705"",""ESENCIAL!A6:BG""),8,FALSE))"),"")</f>
        <v/>
      </c>
      <c r="L327" s="287"/>
      <c r="V327" s="66"/>
    </row>
    <row r="328" spans="1:22" ht="15">
      <c r="A328" s="101"/>
      <c r="B328" s="4"/>
      <c r="F328" s="66"/>
      <c r="G328" s="5" t="str">
        <f ca="1">IFERROR(__xludf.DUMMYFUNCTION("IFERROR(VLOOKUP(F366,IMPORTRANGE(""https://docs.google.com/spreadsheets/d/1Kvs4KS76FHFqLFIZfrDMff4kP08nblUkihrxltoGBjg/edit#gid=934712705"",""ESENCIAL!A6:BG""),3,FALSE))"),"")</f>
        <v/>
      </c>
      <c r="H328" s="5" t="str">
        <f ca="1">IFERROR(__xludf.DUMMYFUNCTION("IFERROR(VLOOKUP(F366,IMPORTRANGE(""https://docs.google.com/spreadsheets/d/1Kvs4KS76FHFqLFIZfrDMff4kP08nblUkihrxltoGBjg/edit#gid=934712705"",""ESENCIAL!A6:BG""),8,FALSE))"),"")</f>
        <v/>
      </c>
      <c r="L328" s="287"/>
      <c r="V328" s="66"/>
    </row>
    <row r="329" spans="1:22" ht="15">
      <c r="A329" s="101"/>
      <c r="B329" s="4"/>
      <c r="F329" s="66"/>
      <c r="G329" s="5" t="str">
        <f ca="1">IFERROR(__xludf.DUMMYFUNCTION("IFERROR(VLOOKUP(F367,IMPORTRANGE(""https://docs.google.com/spreadsheets/d/1Kvs4KS76FHFqLFIZfrDMff4kP08nblUkihrxltoGBjg/edit#gid=934712705"",""ESENCIAL!A6:BG""),3,FALSE))"),"")</f>
        <v/>
      </c>
      <c r="H329" s="5" t="str">
        <f ca="1">IFERROR(__xludf.DUMMYFUNCTION("IFERROR(VLOOKUP(F367,IMPORTRANGE(""https://docs.google.com/spreadsheets/d/1Kvs4KS76FHFqLFIZfrDMff4kP08nblUkihrxltoGBjg/edit#gid=934712705"",""ESENCIAL!A6:BG""),8,FALSE))"),"")</f>
        <v/>
      </c>
      <c r="L329" s="287"/>
      <c r="V329" s="66"/>
    </row>
    <row r="330" spans="1:22" ht="15">
      <c r="A330" s="101"/>
      <c r="B330" s="4"/>
      <c r="F330" s="66"/>
      <c r="G330" s="5" t="str">
        <f ca="1">IFERROR(__xludf.DUMMYFUNCTION("IFERROR(VLOOKUP(F368,IMPORTRANGE(""https://docs.google.com/spreadsheets/d/1Kvs4KS76FHFqLFIZfrDMff4kP08nblUkihrxltoGBjg/edit#gid=934712705"",""ESENCIAL!A6:BG""),3,FALSE))"),"")</f>
        <v/>
      </c>
      <c r="H330" s="5" t="str">
        <f ca="1">IFERROR(__xludf.DUMMYFUNCTION("IFERROR(VLOOKUP(F368,IMPORTRANGE(""https://docs.google.com/spreadsheets/d/1Kvs4KS76FHFqLFIZfrDMff4kP08nblUkihrxltoGBjg/edit#gid=934712705"",""ESENCIAL!A6:BG""),8,FALSE))"),"")</f>
        <v/>
      </c>
      <c r="L330" s="287"/>
      <c r="V330" s="66"/>
    </row>
    <row r="331" spans="1:22" ht="15">
      <c r="A331" s="101"/>
      <c r="B331" s="4"/>
      <c r="F331" s="66"/>
      <c r="G331" s="5" t="str">
        <f ca="1">IFERROR(__xludf.DUMMYFUNCTION("IFERROR(VLOOKUP(F369,IMPORTRANGE(""https://docs.google.com/spreadsheets/d/1Kvs4KS76FHFqLFIZfrDMff4kP08nblUkihrxltoGBjg/edit#gid=934712705"",""ESENCIAL!A6:BG""),3,FALSE))"),"")</f>
        <v/>
      </c>
      <c r="H331" s="5" t="str">
        <f ca="1">IFERROR(__xludf.DUMMYFUNCTION("IFERROR(VLOOKUP(F369,IMPORTRANGE(""https://docs.google.com/spreadsheets/d/1Kvs4KS76FHFqLFIZfrDMff4kP08nblUkihrxltoGBjg/edit#gid=934712705"",""ESENCIAL!A6:BG""),8,FALSE))"),"")</f>
        <v/>
      </c>
      <c r="L331" s="287"/>
      <c r="V331" s="66"/>
    </row>
    <row r="332" spans="1:22" ht="15">
      <c r="A332" s="101"/>
      <c r="B332" s="4"/>
      <c r="F332" s="66"/>
      <c r="G332" s="5" t="str">
        <f ca="1">IFERROR(__xludf.DUMMYFUNCTION("IFERROR(VLOOKUP(F370,IMPORTRANGE(""https://docs.google.com/spreadsheets/d/1Kvs4KS76FHFqLFIZfrDMff4kP08nblUkihrxltoGBjg/edit#gid=934712705"",""ESENCIAL!A6:BG""),3,FALSE))"),"")</f>
        <v/>
      </c>
      <c r="H332" s="5" t="str">
        <f ca="1">IFERROR(__xludf.DUMMYFUNCTION("IFERROR(VLOOKUP(F370,IMPORTRANGE(""https://docs.google.com/spreadsheets/d/1Kvs4KS76FHFqLFIZfrDMff4kP08nblUkihrxltoGBjg/edit#gid=934712705"",""ESENCIAL!A6:BG""),8,FALSE))"),"")</f>
        <v/>
      </c>
      <c r="L332" s="287"/>
      <c r="V332" s="66"/>
    </row>
    <row r="333" spans="1:22" ht="15">
      <c r="A333" s="101"/>
      <c r="B333" s="4"/>
      <c r="F333" s="66"/>
      <c r="G333" s="5" t="str">
        <f ca="1">IFERROR(__xludf.DUMMYFUNCTION("IFERROR(VLOOKUP(F371,IMPORTRANGE(""https://docs.google.com/spreadsheets/d/1Kvs4KS76FHFqLFIZfrDMff4kP08nblUkihrxltoGBjg/edit#gid=934712705"",""ESENCIAL!A6:BG""),3,FALSE))"),"")</f>
        <v/>
      </c>
      <c r="H333" s="5" t="str">
        <f ca="1">IFERROR(__xludf.DUMMYFUNCTION("IFERROR(VLOOKUP(F371,IMPORTRANGE(""https://docs.google.com/spreadsheets/d/1Kvs4KS76FHFqLFIZfrDMff4kP08nblUkihrxltoGBjg/edit#gid=934712705"",""ESENCIAL!A6:BG""),8,FALSE))"),"")</f>
        <v/>
      </c>
      <c r="L333" s="287"/>
      <c r="V333" s="66"/>
    </row>
    <row r="334" spans="1:22" ht="15">
      <c r="A334" s="101"/>
      <c r="B334" s="4"/>
      <c r="F334" s="66"/>
      <c r="G334" s="5" t="str">
        <f ca="1">IFERROR(__xludf.DUMMYFUNCTION("IFERROR(VLOOKUP(F372,IMPORTRANGE(""https://docs.google.com/spreadsheets/d/1Kvs4KS76FHFqLFIZfrDMff4kP08nblUkihrxltoGBjg/edit#gid=934712705"",""ESENCIAL!A6:BG""),3,FALSE))"),"")</f>
        <v/>
      </c>
      <c r="H334" s="5" t="str">
        <f ca="1">IFERROR(__xludf.DUMMYFUNCTION("IFERROR(VLOOKUP(F372,IMPORTRANGE(""https://docs.google.com/spreadsheets/d/1Kvs4KS76FHFqLFIZfrDMff4kP08nblUkihrxltoGBjg/edit#gid=934712705"",""ESENCIAL!A6:BG""),8,FALSE))"),"")</f>
        <v/>
      </c>
      <c r="L334" s="287"/>
      <c r="V334" s="66"/>
    </row>
    <row r="335" spans="1:22" ht="15">
      <c r="A335" s="101"/>
      <c r="B335" s="4"/>
      <c r="F335" s="66"/>
      <c r="G335" s="5" t="str">
        <f ca="1">IFERROR(__xludf.DUMMYFUNCTION("IFERROR(VLOOKUP(F373,IMPORTRANGE(""https://docs.google.com/spreadsheets/d/1Kvs4KS76FHFqLFIZfrDMff4kP08nblUkihrxltoGBjg/edit#gid=934712705"",""ESENCIAL!A6:BG""),3,FALSE))"),"")</f>
        <v/>
      </c>
      <c r="H335" s="5" t="str">
        <f ca="1">IFERROR(__xludf.DUMMYFUNCTION("IFERROR(VLOOKUP(F373,IMPORTRANGE(""https://docs.google.com/spreadsheets/d/1Kvs4KS76FHFqLFIZfrDMff4kP08nblUkihrxltoGBjg/edit#gid=934712705"",""ESENCIAL!A6:BG""),8,FALSE))"),"")</f>
        <v/>
      </c>
      <c r="L335" s="287"/>
      <c r="V335" s="66"/>
    </row>
    <row r="336" spans="1:22" ht="15">
      <c r="A336" s="101"/>
      <c r="B336" s="4"/>
      <c r="F336" s="66"/>
      <c r="G336" s="5" t="str">
        <f ca="1">IFERROR(__xludf.DUMMYFUNCTION("IFERROR(VLOOKUP(F374,IMPORTRANGE(""https://docs.google.com/spreadsheets/d/1Kvs4KS76FHFqLFIZfrDMff4kP08nblUkihrxltoGBjg/edit#gid=934712705"",""ESENCIAL!A6:BG""),3,FALSE))"),"")</f>
        <v/>
      </c>
      <c r="H336" s="5" t="str">
        <f ca="1">IFERROR(__xludf.DUMMYFUNCTION("IFERROR(VLOOKUP(F374,IMPORTRANGE(""https://docs.google.com/spreadsheets/d/1Kvs4KS76FHFqLFIZfrDMff4kP08nblUkihrxltoGBjg/edit#gid=934712705"",""ESENCIAL!A6:BG""),8,FALSE))"),"")</f>
        <v/>
      </c>
      <c r="L336" s="287"/>
      <c r="V336" s="66"/>
    </row>
    <row r="337" spans="1:22" ht="15">
      <c r="A337" s="101"/>
      <c r="B337" s="4"/>
      <c r="F337" s="66"/>
      <c r="G337" s="5" t="str">
        <f ca="1">IFERROR(__xludf.DUMMYFUNCTION("IFERROR(VLOOKUP(F375,IMPORTRANGE(""https://docs.google.com/spreadsheets/d/1Kvs4KS76FHFqLFIZfrDMff4kP08nblUkihrxltoGBjg/edit#gid=934712705"",""ESENCIAL!A6:BG""),3,FALSE))"),"")</f>
        <v/>
      </c>
      <c r="H337" s="5" t="str">
        <f ca="1">IFERROR(__xludf.DUMMYFUNCTION("IFERROR(VLOOKUP(F375,IMPORTRANGE(""https://docs.google.com/spreadsheets/d/1Kvs4KS76FHFqLFIZfrDMff4kP08nblUkihrxltoGBjg/edit#gid=934712705"",""ESENCIAL!A6:BG""),8,FALSE))"),"")</f>
        <v/>
      </c>
      <c r="L337" s="287"/>
      <c r="V337" s="66"/>
    </row>
    <row r="338" spans="1:22" ht="15">
      <c r="A338" s="101"/>
      <c r="B338" s="4"/>
      <c r="F338" s="66"/>
      <c r="G338" s="5" t="str">
        <f ca="1">IFERROR(__xludf.DUMMYFUNCTION("IFERROR(VLOOKUP(F376,IMPORTRANGE(""https://docs.google.com/spreadsheets/d/1Kvs4KS76FHFqLFIZfrDMff4kP08nblUkihrxltoGBjg/edit#gid=934712705"",""ESENCIAL!A6:BG""),3,FALSE))"),"")</f>
        <v/>
      </c>
      <c r="H338" s="5" t="str">
        <f ca="1">IFERROR(__xludf.DUMMYFUNCTION("IFERROR(VLOOKUP(F376,IMPORTRANGE(""https://docs.google.com/spreadsheets/d/1Kvs4KS76FHFqLFIZfrDMff4kP08nblUkihrxltoGBjg/edit#gid=934712705"",""ESENCIAL!A6:BG""),8,FALSE))"),"")</f>
        <v/>
      </c>
      <c r="L338" s="287"/>
      <c r="V338" s="66"/>
    </row>
    <row r="339" spans="1:22" ht="15">
      <c r="A339" s="101"/>
      <c r="B339" s="4"/>
      <c r="F339" s="66"/>
      <c r="G339" s="5" t="str">
        <f ca="1">IFERROR(__xludf.DUMMYFUNCTION("IFERROR(VLOOKUP(F377,IMPORTRANGE(""https://docs.google.com/spreadsheets/d/1Kvs4KS76FHFqLFIZfrDMff4kP08nblUkihrxltoGBjg/edit#gid=934712705"",""ESENCIAL!A6:BG""),3,FALSE))"),"")</f>
        <v/>
      </c>
      <c r="H339" s="5" t="str">
        <f ca="1">IFERROR(__xludf.DUMMYFUNCTION("IFERROR(VLOOKUP(F377,IMPORTRANGE(""https://docs.google.com/spreadsheets/d/1Kvs4KS76FHFqLFIZfrDMff4kP08nblUkihrxltoGBjg/edit#gid=934712705"",""ESENCIAL!A6:BG""),8,FALSE))"),"")</f>
        <v/>
      </c>
      <c r="L339" s="287"/>
      <c r="V339" s="66"/>
    </row>
    <row r="340" spans="1:22" ht="15">
      <c r="A340" s="101"/>
      <c r="B340" s="4"/>
      <c r="F340" s="66"/>
      <c r="G340" s="5" t="str">
        <f ca="1">IFERROR(__xludf.DUMMYFUNCTION("IFERROR(VLOOKUP(F378,IMPORTRANGE(""https://docs.google.com/spreadsheets/d/1Kvs4KS76FHFqLFIZfrDMff4kP08nblUkihrxltoGBjg/edit#gid=934712705"",""ESENCIAL!A6:BG""),3,FALSE))"),"")</f>
        <v/>
      </c>
      <c r="H340" s="5" t="str">
        <f ca="1">IFERROR(__xludf.DUMMYFUNCTION("IFERROR(VLOOKUP(F378,IMPORTRANGE(""https://docs.google.com/spreadsheets/d/1Kvs4KS76FHFqLFIZfrDMff4kP08nblUkihrxltoGBjg/edit#gid=934712705"",""ESENCIAL!A6:BG""),8,FALSE))"),"")</f>
        <v/>
      </c>
      <c r="L340" s="287"/>
      <c r="V340" s="66"/>
    </row>
    <row r="341" spans="1:22" ht="15">
      <c r="A341" s="101"/>
      <c r="B341" s="4"/>
      <c r="F341" s="66"/>
      <c r="G341" s="5" t="str">
        <f ca="1">IFERROR(__xludf.DUMMYFUNCTION("IFERROR(VLOOKUP(F379,IMPORTRANGE(""https://docs.google.com/spreadsheets/d/1Kvs4KS76FHFqLFIZfrDMff4kP08nblUkihrxltoGBjg/edit#gid=934712705"",""ESENCIAL!A6:BG""),3,FALSE))"),"")</f>
        <v/>
      </c>
      <c r="H341" s="5" t="str">
        <f ca="1">IFERROR(__xludf.DUMMYFUNCTION("IFERROR(VLOOKUP(F379,IMPORTRANGE(""https://docs.google.com/spreadsheets/d/1Kvs4KS76FHFqLFIZfrDMff4kP08nblUkihrxltoGBjg/edit#gid=934712705"",""ESENCIAL!A6:BG""),8,FALSE))"),"")</f>
        <v/>
      </c>
      <c r="L341" s="287"/>
      <c r="V341" s="66"/>
    </row>
    <row r="342" spans="1:22" ht="15">
      <c r="A342" s="101"/>
      <c r="B342" s="4"/>
      <c r="F342" s="66"/>
      <c r="G342" s="5" t="str">
        <f ca="1">IFERROR(__xludf.DUMMYFUNCTION("IFERROR(VLOOKUP(F380,IMPORTRANGE(""https://docs.google.com/spreadsheets/d/1Kvs4KS76FHFqLFIZfrDMff4kP08nblUkihrxltoGBjg/edit#gid=934712705"",""ESENCIAL!A6:BG""),3,FALSE))"),"")</f>
        <v/>
      </c>
      <c r="H342" s="5" t="str">
        <f ca="1">IFERROR(__xludf.DUMMYFUNCTION("IFERROR(VLOOKUP(F380,IMPORTRANGE(""https://docs.google.com/spreadsheets/d/1Kvs4KS76FHFqLFIZfrDMff4kP08nblUkihrxltoGBjg/edit#gid=934712705"",""ESENCIAL!A6:BG""),8,FALSE))"),"")</f>
        <v/>
      </c>
      <c r="L342" s="287"/>
      <c r="V342" s="66"/>
    </row>
    <row r="343" spans="1:22" ht="15">
      <c r="A343" s="101"/>
      <c r="B343" s="4"/>
      <c r="F343" s="66"/>
      <c r="G343" s="5" t="str">
        <f ca="1">IFERROR(__xludf.DUMMYFUNCTION("IFERROR(VLOOKUP(F381,IMPORTRANGE(""https://docs.google.com/spreadsheets/d/1Kvs4KS76FHFqLFIZfrDMff4kP08nblUkihrxltoGBjg/edit#gid=934712705"",""ESENCIAL!A6:BG""),3,FALSE))"),"")</f>
        <v/>
      </c>
      <c r="H343" s="5" t="str">
        <f ca="1">IFERROR(__xludf.DUMMYFUNCTION("IFERROR(VLOOKUP(F381,IMPORTRANGE(""https://docs.google.com/spreadsheets/d/1Kvs4KS76FHFqLFIZfrDMff4kP08nblUkihrxltoGBjg/edit#gid=934712705"",""ESENCIAL!A6:BG""),8,FALSE))"),"")</f>
        <v/>
      </c>
      <c r="L343" s="287"/>
      <c r="V343" s="66"/>
    </row>
    <row r="344" spans="1:22" ht="15">
      <c r="A344" s="101"/>
      <c r="B344" s="4"/>
      <c r="F344" s="66"/>
      <c r="G344" s="5" t="str">
        <f ca="1">IFERROR(__xludf.DUMMYFUNCTION("IFERROR(VLOOKUP(F382,IMPORTRANGE(""https://docs.google.com/spreadsheets/d/1Kvs4KS76FHFqLFIZfrDMff4kP08nblUkihrxltoGBjg/edit#gid=934712705"",""ESENCIAL!A6:BG""),3,FALSE))"),"")</f>
        <v/>
      </c>
      <c r="H344" s="5" t="str">
        <f ca="1">IFERROR(__xludf.DUMMYFUNCTION("IFERROR(VLOOKUP(F382,IMPORTRANGE(""https://docs.google.com/spreadsheets/d/1Kvs4KS76FHFqLFIZfrDMff4kP08nblUkihrxltoGBjg/edit#gid=934712705"",""ESENCIAL!A6:BG""),8,FALSE))"),"")</f>
        <v/>
      </c>
      <c r="L344" s="287"/>
      <c r="V344" s="66"/>
    </row>
    <row r="345" spans="1:22" ht="15">
      <c r="A345" s="101"/>
      <c r="B345" s="4"/>
      <c r="F345" s="66"/>
      <c r="G345" s="5" t="str">
        <f ca="1">IFERROR(__xludf.DUMMYFUNCTION("IFERROR(VLOOKUP(F383,IMPORTRANGE(""https://docs.google.com/spreadsheets/d/1Kvs4KS76FHFqLFIZfrDMff4kP08nblUkihrxltoGBjg/edit#gid=934712705"",""ESENCIAL!A6:BG""),3,FALSE))"),"")</f>
        <v/>
      </c>
      <c r="H345" s="5" t="str">
        <f ca="1">IFERROR(__xludf.DUMMYFUNCTION("IFERROR(VLOOKUP(F383,IMPORTRANGE(""https://docs.google.com/spreadsheets/d/1Kvs4KS76FHFqLFIZfrDMff4kP08nblUkihrxltoGBjg/edit#gid=934712705"",""ESENCIAL!A6:BG""),8,FALSE))"),"")</f>
        <v/>
      </c>
      <c r="L345" s="287"/>
      <c r="V345" s="66"/>
    </row>
    <row r="346" spans="1:22" ht="15">
      <c r="A346" s="101"/>
      <c r="B346" s="4"/>
      <c r="F346" s="66"/>
      <c r="G346" s="5" t="str">
        <f ca="1">IFERROR(__xludf.DUMMYFUNCTION("IFERROR(VLOOKUP(F384,IMPORTRANGE(""https://docs.google.com/spreadsheets/d/1Kvs4KS76FHFqLFIZfrDMff4kP08nblUkihrxltoGBjg/edit#gid=934712705"",""ESENCIAL!A6:BG""),3,FALSE))"),"")</f>
        <v/>
      </c>
      <c r="H346" s="5" t="str">
        <f ca="1">IFERROR(__xludf.DUMMYFUNCTION("IFERROR(VLOOKUP(F384,IMPORTRANGE(""https://docs.google.com/spreadsheets/d/1Kvs4KS76FHFqLFIZfrDMff4kP08nblUkihrxltoGBjg/edit#gid=934712705"",""ESENCIAL!A6:BG""),8,FALSE))"),"")</f>
        <v/>
      </c>
      <c r="L346" s="287"/>
      <c r="V346" s="66"/>
    </row>
    <row r="347" spans="1:22" ht="15">
      <c r="A347" s="101"/>
      <c r="B347" s="4"/>
      <c r="F347" s="66"/>
      <c r="G347" s="5" t="str">
        <f ca="1">IFERROR(__xludf.DUMMYFUNCTION("IFERROR(VLOOKUP(F385,IMPORTRANGE(""https://docs.google.com/spreadsheets/d/1Kvs4KS76FHFqLFIZfrDMff4kP08nblUkihrxltoGBjg/edit#gid=934712705"",""ESENCIAL!A6:BG""),3,FALSE))"),"")</f>
        <v/>
      </c>
      <c r="H347" s="5" t="str">
        <f ca="1">IFERROR(__xludf.DUMMYFUNCTION("IFERROR(VLOOKUP(F385,IMPORTRANGE(""https://docs.google.com/spreadsheets/d/1Kvs4KS76FHFqLFIZfrDMff4kP08nblUkihrxltoGBjg/edit#gid=934712705"",""ESENCIAL!A6:BG""),8,FALSE))"),"")</f>
        <v/>
      </c>
      <c r="L347" s="287"/>
      <c r="V347" s="66"/>
    </row>
    <row r="348" spans="1:22" ht="15">
      <c r="A348" s="101"/>
      <c r="B348" s="4"/>
      <c r="F348" s="66"/>
      <c r="G348" s="5" t="str">
        <f ca="1">IFERROR(__xludf.DUMMYFUNCTION("IFERROR(VLOOKUP(F386,IMPORTRANGE(""https://docs.google.com/spreadsheets/d/1Kvs4KS76FHFqLFIZfrDMff4kP08nblUkihrxltoGBjg/edit#gid=934712705"",""ESENCIAL!A6:BG""),3,FALSE))"),"")</f>
        <v/>
      </c>
      <c r="H348" s="5" t="str">
        <f ca="1">IFERROR(__xludf.DUMMYFUNCTION("IFERROR(VLOOKUP(F386,IMPORTRANGE(""https://docs.google.com/spreadsheets/d/1Kvs4KS76FHFqLFIZfrDMff4kP08nblUkihrxltoGBjg/edit#gid=934712705"",""ESENCIAL!A6:BG""),8,FALSE))"),"")</f>
        <v/>
      </c>
      <c r="L348" s="287"/>
      <c r="V348" s="66"/>
    </row>
    <row r="349" spans="1:22" ht="15">
      <c r="A349" s="101"/>
      <c r="B349" s="4"/>
      <c r="F349" s="66"/>
      <c r="G349" s="5" t="str">
        <f ca="1">IFERROR(__xludf.DUMMYFUNCTION("IFERROR(VLOOKUP(F387,IMPORTRANGE(""https://docs.google.com/spreadsheets/d/1Kvs4KS76FHFqLFIZfrDMff4kP08nblUkihrxltoGBjg/edit#gid=934712705"",""ESENCIAL!A6:BG""),3,FALSE))"),"")</f>
        <v/>
      </c>
      <c r="H349" s="5" t="str">
        <f ca="1">IFERROR(__xludf.DUMMYFUNCTION("IFERROR(VLOOKUP(F387,IMPORTRANGE(""https://docs.google.com/spreadsheets/d/1Kvs4KS76FHFqLFIZfrDMff4kP08nblUkihrxltoGBjg/edit#gid=934712705"",""ESENCIAL!A6:BG""),8,FALSE))"),"")</f>
        <v/>
      </c>
      <c r="L349" s="287"/>
      <c r="V349" s="66"/>
    </row>
    <row r="350" spans="1:22" ht="15">
      <c r="A350" s="101"/>
      <c r="B350" s="4"/>
      <c r="F350" s="66"/>
      <c r="G350" s="5" t="str">
        <f ca="1">IFERROR(__xludf.DUMMYFUNCTION("IFERROR(VLOOKUP(F388,IMPORTRANGE(""https://docs.google.com/spreadsheets/d/1Kvs4KS76FHFqLFIZfrDMff4kP08nblUkihrxltoGBjg/edit#gid=934712705"",""ESENCIAL!A6:BG""),3,FALSE))"),"")</f>
        <v/>
      </c>
      <c r="H350" s="5" t="str">
        <f ca="1">IFERROR(__xludf.DUMMYFUNCTION("IFERROR(VLOOKUP(F388,IMPORTRANGE(""https://docs.google.com/spreadsheets/d/1Kvs4KS76FHFqLFIZfrDMff4kP08nblUkihrxltoGBjg/edit#gid=934712705"",""ESENCIAL!A6:BG""),8,FALSE))"),"")</f>
        <v/>
      </c>
      <c r="L350" s="287"/>
      <c r="V350" s="66"/>
    </row>
    <row r="351" spans="1:22" ht="15">
      <c r="A351" s="5"/>
      <c r="B351" s="4"/>
      <c r="F351" s="66"/>
      <c r="G351" s="5" t="str">
        <f ca="1">IFERROR(__xludf.DUMMYFUNCTION("IFERROR(VLOOKUP(F389,IMPORTRANGE(""https://docs.google.com/spreadsheets/d/1Kvs4KS76FHFqLFIZfrDMff4kP08nblUkihrxltoGBjg/edit#gid=934712705"",""ESENCIAL!A6:BG""),3,FALSE))"),"")</f>
        <v/>
      </c>
      <c r="H351" s="5" t="str">
        <f ca="1">IFERROR(__xludf.DUMMYFUNCTION("IFERROR(VLOOKUP(F389,IMPORTRANGE(""https://docs.google.com/spreadsheets/d/1Kvs4KS76FHFqLFIZfrDMff4kP08nblUkihrxltoGBjg/edit#gid=934712705"",""ESENCIAL!A6:BG""),8,FALSE))"),"")</f>
        <v/>
      </c>
      <c r="L351" s="287"/>
      <c r="V351" s="66"/>
    </row>
    <row r="352" spans="1:22" ht="15">
      <c r="A352" s="5"/>
      <c r="B352" s="4"/>
      <c r="F352" s="66"/>
      <c r="G352" s="5" t="str">
        <f ca="1">IFERROR(__xludf.DUMMYFUNCTION("IFERROR(VLOOKUP(F390,IMPORTRANGE(""https://docs.google.com/spreadsheets/d/1Kvs4KS76FHFqLFIZfrDMff4kP08nblUkihrxltoGBjg/edit#gid=934712705"",""ESENCIAL!A6:BG""),3,FALSE))"),"")</f>
        <v/>
      </c>
      <c r="H352" s="5" t="str">
        <f ca="1">IFERROR(__xludf.DUMMYFUNCTION("IFERROR(VLOOKUP(F390,IMPORTRANGE(""https://docs.google.com/spreadsheets/d/1Kvs4KS76FHFqLFIZfrDMff4kP08nblUkihrxltoGBjg/edit#gid=934712705"",""ESENCIAL!A6:BG""),8,FALSE))"),"")</f>
        <v/>
      </c>
      <c r="L352" s="287"/>
      <c r="V352" s="66"/>
    </row>
    <row r="353" spans="1:22" ht="15">
      <c r="A353" s="5"/>
      <c r="B353" s="4"/>
      <c r="F353" s="66"/>
      <c r="G353" s="5" t="str">
        <f ca="1">IFERROR(__xludf.DUMMYFUNCTION("IFERROR(VLOOKUP(F391,IMPORTRANGE(""https://docs.google.com/spreadsheets/d/1Kvs4KS76FHFqLFIZfrDMff4kP08nblUkihrxltoGBjg/edit#gid=934712705"",""ESENCIAL!A6:BG""),3,FALSE))"),"")</f>
        <v/>
      </c>
      <c r="H353" s="5" t="str">
        <f ca="1">IFERROR(__xludf.DUMMYFUNCTION("IFERROR(VLOOKUP(F391,IMPORTRANGE(""https://docs.google.com/spreadsheets/d/1Kvs4KS76FHFqLFIZfrDMff4kP08nblUkihrxltoGBjg/edit#gid=934712705"",""ESENCIAL!A6:BG""),8,FALSE))"),"")</f>
        <v/>
      </c>
      <c r="L353" s="287"/>
      <c r="V353" s="66"/>
    </row>
    <row r="354" spans="1:22" ht="15">
      <c r="A354" s="5"/>
      <c r="B354" s="4"/>
      <c r="F354" s="66"/>
      <c r="G354" s="5" t="str">
        <f ca="1">IFERROR(__xludf.DUMMYFUNCTION("IFERROR(VLOOKUP(F392,IMPORTRANGE(""https://docs.google.com/spreadsheets/d/1Kvs4KS76FHFqLFIZfrDMff4kP08nblUkihrxltoGBjg/edit#gid=934712705"",""ESENCIAL!A6:BG""),3,FALSE))"),"")</f>
        <v/>
      </c>
      <c r="H354" s="5" t="str">
        <f ca="1">IFERROR(__xludf.DUMMYFUNCTION("IFERROR(VLOOKUP(F392,IMPORTRANGE(""https://docs.google.com/spreadsheets/d/1Kvs4KS76FHFqLFIZfrDMff4kP08nblUkihrxltoGBjg/edit#gid=934712705"",""ESENCIAL!A6:BG""),8,FALSE))"),"")</f>
        <v/>
      </c>
      <c r="L354" s="287"/>
      <c r="V354" s="66"/>
    </row>
    <row r="355" spans="1:22" ht="15">
      <c r="A355" s="5"/>
      <c r="B355" s="4"/>
      <c r="F355" s="66"/>
      <c r="G355" s="5" t="str">
        <f ca="1">IFERROR(__xludf.DUMMYFUNCTION("IFERROR(VLOOKUP(F393,IMPORTRANGE(""https://docs.google.com/spreadsheets/d/1Kvs4KS76FHFqLFIZfrDMff4kP08nblUkihrxltoGBjg/edit#gid=934712705"",""ESENCIAL!A6:BG""),3,FALSE))"),"")</f>
        <v/>
      </c>
      <c r="H355" s="5" t="str">
        <f ca="1">IFERROR(__xludf.DUMMYFUNCTION("IFERROR(VLOOKUP(F393,IMPORTRANGE(""https://docs.google.com/spreadsheets/d/1Kvs4KS76FHFqLFIZfrDMff4kP08nblUkihrxltoGBjg/edit#gid=934712705"",""ESENCIAL!A6:BG""),8,FALSE))"),"")</f>
        <v/>
      </c>
      <c r="L355" s="287"/>
      <c r="V355" s="66"/>
    </row>
    <row r="356" spans="1:22" ht="15">
      <c r="A356" s="5"/>
      <c r="B356" s="4"/>
      <c r="F356" s="66"/>
      <c r="G356" s="5" t="str">
        <f ca="1">IFERROR(__xludf.DUMMYFUNCTION("IFERROR(VLOOKUP(F394,IMPORTRANGE(""https://docs.google.com/spreadsheets/d/1Kvs4KS76FHFqLFIZfrDMff4kP08nblUkihrxltoGBjg/edit#gid=934712705"",""ESENCIAL!A6:BG""),3,FALSE))"),"")</f>
        <v/>
      </c>
      <c r="H356" s="5" t="str">
        <f ca="1">IFERROR(__xludf.DUMMYFUNCTION("IFERROR(VLOOKUP(F394,IMPORTRANGE(""https://docs.google.com/spreadsheets/d/1Kvs4KS76FHFqLFIZfrDMff4kP08nblUkihrxltoGBjg/edit#gid=934712705"",""ESENCIAL!A6:BG""),8,FALSE))"),"")</f>
        <v/>
      </c>
      <c r="L356" s="287"/>
      <c r="V356" s="66"/>
    </row>
    <row r="357" spans="1:22" ht="15">
      <c r="A357" s="5"/>
      <c r="B357" s="4"/>
      <c r="F357" s="66"/>
      <c r="G357" s="5" t="str">
        <f ca="1">IFERROR(__xludf.DUMMYFUNCTION("IFERROR(VLOOKUP(F395,IMPORTRANGE(""https://docs.google.com/spreadsheets/d/1Kvs4KS76FHFqLFIZfrDMff4kP08nblUkihrxltoGBjg/edit#gid=934712705"",""ESENCIAL!A6:BG""),3,FALSE))"),"")</f>
        <v/>
      </c>
      <c r="H357" s="5" t="str">
        <f ca="1">IFERROR(__xludf.DUMMYFUNCTION("IFERROR(VLOOKUP(F395,IMPORTRANGE(""https://docs.google.com/spreadsheets/d/1Kvs4KS76FHFqLFIZfrDMff4kP08nblUkihrxltoGBjg/edit#gid=934712705"",""ESENCIAL!A6:BG""),8,FALSE))"),"")</f>
        <v/>
      </c>
      <c r="L357" s="287"/>
      <c r="V357" s="66"/>
    </row>
    <row r="358" spans="1:22" ht="15">
      <c r="A358" s="5"/>
      <c r="B358" s="4"/>
      <c r="F358" s="66"/>
      <c r="G358" s="5" t="str">
        <f ca="1">IFERROR(__xludf.DUMMYFUNCTION("IFERROR(VLOOKUP(F396,IMPORTRANGE(""https://docs.google.com/spreadsheets/d/1Kvs4KS76FHFqLFIZfrDMff4kP08nblUkihrxltoGBjg/edit#gid=934712705"",""ESENCIAL!A6:BG""),3,FALSE))"),"")</f>
        <v/>
      </c>
      <c r="H358" s="5" t="str">
        <f ca="1">IFERROR(__xludf.DUMMYFUNCTION("IFERROR(VLOOKUP(F396,IMPORTRANGE(""https://docs.google.com/spreadsheets/d/1Kvs4KS76FHFqLFIZfrDMff4kP08nblUkihrxltoGBjg/edit#gid=934712705"",""ESENCIAL!A6:BG""),8,FALSE))"),"")</f>
        <v/>
      </c>
      <c r="L358" s="287"/>
      <c r="V358" s="66"/>
    </row>
    <row r="359" spans="1:22" ht="15">
      <c r="A359" s="5"/>
      <c r="B359" s="4"/>
      <c r="F359" s="66"/>
      <c r="G359" s="5" t="str">
        <f ca="1">IFERROR(__xludf.DUMMYFUNCTION("IFERROR(VLOOKUP(F397,IMPORTRANGE(""https://docs.google.com/spreadsheets/d/1Kvs4KS76FHFqLFIZfrDMff4kP08nblUkihrxltoGBjg/edit#gid=934712705"",""ESENCIAL!A6:BG""),3,FALSE))"),"")</f>
        <v/>
      </c>
      <c r="H359" s="5" t="str">
        <f ca="1">IFERROR(__xludf.DUMMYFUNCTION("IFERROR(VLOOKUP(F397,IMPORTRANGE(""https://docs.google.com/spreadsheets/d/1Kvs4KS76FHFqLFIZfrDMff4kP08nblUkihrxltoGBjg/edit#gid=934712705"",""ESENCIAL!A6:BG""),8,FALSE))"),"")</f>
        <v/>
      </c>
      <c r="L359" s="287"/>
      <c r="V359" s="66"/>
    </row>
    <row r="360" spans="1:22" ht="15">
      <c r="A360" s="5"/>
      <c r="B360" s="4"/>
      <c r="F360" s="66"/>
      <c r="G360" s="5" t="str">
        <f ca="1">IFERROR(__xludf.DUMMYFUNCTION("IFERROR(VLOOKUP(F398,IMPORTRANGE(""https://docs.google.com/spreadsheets/d/1Kvs4KS76FHFqLFIZfrDMff4kP08nblUkihrxltoGBjg/edit#gid=934712705"",""ESENCIAL!A6:BG""),3,FALSE))"),"")</f>
        <v/>
      </c>
      <c r="H360" s="5" t="str">
        <f ca="1">IFERROR(__xludf.DUMMYFUNCTION("IFERROR(VLOOKUP(F398,IMPORTRANGE(""https://docs.google.com/spreadsheets/d/1Kvs4KS76FHFqLFIZfrDMff4kP08nblUkihrxltoGBjg/edit#gid=934712705"",""ESENCIAL!A6:BG""),8,FALSE))"),"")</f>
        <v/>
      </c>
      <c r="L360" s="287"/>
      <c r="V360" s="66"/>
    </row>
    <row r="361" spans="1:22" ht="15">
      <c r="A361" s="5"/>
      <c r="B361" s="4"/>
      <c r="F361" s="66"/>
      <c r="G361" s="5" t="str">
        <f ca="1">IFERROR(__xludf.DUMMYFUNCTION("IFERROR(VLOOKUP(F399,IMPORTRANGE(""https://docs.google.com/spreadsheets/d/1Kvs4KS76FHFqLFIZfrDMff4kP08nblUkihrxltoGBjg/edit#gid=934712705"",""ESENCIAL!A6:BG""),3,FALSE))"),"")</f>
        <v/>
      </c>
      <c r="H361" s="5" t="str">
        <f ca="1">IFERROR(__xludf.DUMMYFUNCTION("IFERROR(VLOOKUP(F399,IMPORTRANGE(""https://docs.google.com/spreadsheets/d/1Kvs4KS76FHFqLFIZfrDMff4kP08nblUkihrxltoGBjg/edit#gid=934712705"",""ESENCIAL!A6:BG""),8,FALSE))"),"")</f>
        <v/>
      </c>
      <c r="L361" s="287"/>
      <c r="V361" s="66"/>
    </row>
    <row r="362" spans="1:22" ht="15">
      <c r="A362" s="5"/>
      <c r="B362" s="4"/>
      <c r="F362" s="66"/>
      <c r="G362" s="5" t="str">
        <f ca="1">IFERROR(__xludf.DUMMYFUNCTION("IFERROR(VLOOKUP(F400,IMPORTRANGE(""https://docs.google.com/spreadsheets/d/1Kvs4KS76FHFqLFIZfrDMff4kP08nblUkihrxltoGBjg/edit#gid=934712705"",""ESENCIAL!A6:BG""),3,FALSE))"),"")</f>
        <v/>
      </c>
      <c r="H362" s="5" t="str">
        <f ca="1">IFERROR(__xludf.DUMMYFUNCTION("IFERROR(VLOOKUP(F400,IMPORTRANGE(""https://docs.google.com/spreadsheets/d/1Kvs4KS76FHFqLFIZfrDMff4kP08nblUkihrxltoGBjg/edit#gid=934712705"",""ESENCIAL!A6:BG""),8,FALSE))"),"")</f>
        <v/>
      </c>
      <c r="L362" s="287"/>
      <c r="V362" s="66"/>
    </row>
    <row r="363" spans="1:22" ht="15">
      <c r="A363" s="5"/>
      <c r="B363" s="4"/>
      <c r="F363" s="66"/>
      <c r="G363" s="5" t="str">
        <f ca="1">IFERROR(__xludf.DUMMYFUNCTION("IFERROR(VLOOKUP(F401,IMPORTRANGE(""https://docs.google.com/spreadsheets/d/1Kvs4KS76FHFqLFIZfrDMff4kP08nblUkihrxltoGBjg/edit#gid=934712705"",""ESENCIAL!A6:BG""),3,FALSE))"),"")</f>
        <v/>
      </c>
      <c r="H363" s="5" t="str">
        <f ca="1">IFERROR(__xludf.DUMMYFUNCTION("IFERROR(VLOOKUP(F401,IMPORTRANGE(""https://docs.google.com/spreadsheets/d/1Kvs4KS76FHFqLFIZfrDMff4kP08nblUkihrxltoGBjg/edit#gid=934712705"",""ESENCIAL!A6:BG""),8,FALSE))"),"")</f>
        <v/>
      </c>
      <c r="L363" s="287"/>
      <c r="V363" s="66"/>
    </row>
    <row r="364" spans="1:22" ht="15">
      <c r="A364" s="5"/>
      <c r="B364" s="4"/>
      <c r="F364" s="66"/>
      <c r="G364" s="5" t="str">
        <f ca="1">IFERROR(__xludf.DUMMYFUNCTION("IFERROR(VLOOKUP(F402,IMPORTRANGE(""https://docs.google.com/spreadsheets/d/1Kvs4KS76FHFqLFIZfrDMff4kP08nblUkihrxltoGBjg/edit#gid=934712705"",""ESENCIAL!A6:BG""),3,FALSE))"),"")</f>
        <v/>
      </c>
      <c r="H364" s="5" t="str">
        <f ca="1">IFERROR(__xludf.DUMMYFUNCTION("IFERROR(VLOOKUP(F402,IMPORTRANGE(""https://docs.google.com/spreadsheets/d/1Kvs4KS76FHFqLFIZfrDMff4kP08nblUkihrxltoGBjg/edit#gid=934712705"",""ESENCIAL!A6:BG""),8,FALSE))"),"")</f>
        <v/>
      </c>
      <c r="L364" s="287"/>
      <c r="V364" s="66"/>
    </row>
    <row r="365" spans="1:22" ht="15">
      <c r="A365" s="5"/>
      <c r="B365" s="4"/>
      <c r="F365" s="66"/>
      <c r="G365" s="5" t="str">
        <f ca="1">IFERROR(__xludf.DUMMYFUNCTION("IFERROR(VLOOKUP(F403,IMPORTRANGE(""https://docs.google.com/spreadsheets/d/1Kvs4KS76FHFqLFIZfrDMff4kP08nblUkihrxltoGBjg/edit#gid=934712705"",""ESENCIAL!A6:BG""),3,FALSE))"),"")</f>
        <v/>
      </c>
      <c r="H365" s="5" t="str">
        <f ca="1">IFERROR(__xludf.DUMMYFUNCTION("IFERROR(VLOOKUP(F403,IMPORTRANGE(""https://docs.google.com/spreadsheets/d/1Kvs4KS76FHFqLFIZfrDMff4kP08nblUkihrxltoGBjg/edit#gid=934712705"",""ESENCIAL!A6:BG""),8,FALSE))"),"")</f>
        <v/>
      </c>
      <c r="L365" s="287"/>
      <c r="V365" s="66"/>
    </row>
    <row r="366" spans="1:22" ht="15">
      <c r="A366" s="5"/>
      <c r="B366" s="4"/>
      <c r="F366" s="66"/>
      <c r="G366" s="5" t="str">
        <f ca="1">IFERROR(__xludf.DUMMYFUNCTION("IFERROR(VLOOKUP(F404,IMPORTRANGE(""https://docs.google.com/spreadsheets/d/1Kvs4KS76FHFqLFIZfrDMff4kP08nblUkihrxltoGBjg/edit#gid=934712705"",""ESENCIAL!A6:BG""),3,FALSE))"),"")</f>
        <v/>
      </c>
      <c r="H366" s="5" t="str">
        <f ca="1">IFERROR(__xludf.DUMMYFUNCTION("IFERROR(VLOOKUP(F404,IMPORTRANGE(""https://docs.google.com/spreadsheets/d/1Kvs4KS76FHFqLFIZfrDMff4kP08nblUkihrxltoGBjg/edit#gid=934712705"",""ESENCIAL!A6:BG""),8,FALSE))"),"")</f>
        <v/>
      </c>
      <c r="L366" s="287"/>
      <c r="V366" s="66"/>
    </row>
    <row r="367" spans="1:22" ht="15">
      <c r="A367" s="5"/>
      <c r="B367" s="4"/>
      <c r="F367" s="66"/>
      <c r="G367" s="5" t="str">
        <f ca="1">IFERROR(__xludf.DUMMYFUNCTION("IFERROR(VLOOKUP(F405,IMPORTRANGE(""https://docs.google.com/spreadsheets/d/1Kvs4KS76FHFqLFIZfrDMff4kP08nblUkihrxltoGBjg/edit#gid=934712705"",""ESENCIAL!A6:BG""),3,FALSE))"),"")</f>
        <v/>
      </c>
      <c r="H367" s="5" t="str">
        <f ca="1">IFERROR(__xludf.DUMMYFUNCTION("IFERROR(VLOOKUP(F405,IMPORTRANGE(""https://docs.google.com/spreadsheets/d/1Kvs4KS76FHFqLFIZfrDMff4kP08nblUkihrxltoGBjg/edit#gid=934712705"",""ESENCIAL!A6:BG""),8,FALSE))"),"")</f>
        <v/>
      </c>
      <c r="L367" s="287"/>
      <c r="V367" s="66"/>
    </row>
    <row r="368" spans="1:22" ht="15">
      <c r="A368" s="5"/>
      <c r="B368" s="4"/>
      <c r="F368" s="66"/>
      <c r="G368" s="5" t="str">
        <f ca="1">IFERROR(__xludf.DUMMYFUNCTION("IFERROR(VLOOKUP(F406,IMPORTRANGE(""https://docs.google.com/spreadsheets/d/1Kvs4KS76FHFqLFIZfrDMff4kP08nblUkihrxltoGBjg/edit#gid=934712705"",""ESENCIAL!A6:BG""),3,FALSE))"),"")</f>
        <v/>
      </c>
      <c r="H368" s="5" t="str">
        <f ca="1">IFERROR(__xludf.DUMMYFUNCTION("IFERROR(VLOOKUP(F406,IMPORTRANGE(""https://docs.google.com/spreadsheets/d/1Kvs4KS76FHFqLFIZfrDMff4kP08nblUkihrxltoGBjg/edit#gid=934712705"",""ESENCIAL!A6:BG""),8,FALSE))"),"")</f>
        <v/>
      </c>
      <c r="L368" s="287"/>
      <c r="V368" s="66"/>
    </row>
    <row r="369" spans="1:22" ht="15">
      <c r="A369" s="5"/>
      <c r="B369" s="4"/>
      <c r="F369" s="66"/>
      <c r="G369" s="5" t="str">
        <f ca="1">IFERROR(__xludf.DUMMYFUNCTION("IFERROR(VLOOKUP(F407,IMPORTRANGE(""https://docs.google.com/spreadsheets/d/1Kvs4KS76FHFqLFIZfrDMff4kP08nblUkihrxltoGBjg/edit#gid=934712705"",""ESENCIAL!A6:BG""),3,FALSE))"),"")</f>
        <v/>
      </c>
      <c r="H369" s="5" t="str">
        <f ca="1">IFERROR(__xludf.DUMMYFUNCTION("IFERROR(VLOOKUP(F407,IMPORTRANGE(""https://docs.google.com/spreadsheets/d/1Kvs4KS76FHFqLFIZfrDMff4kP08nblUkihrxltoGBjg/edit#gid=934712705"",""ESENCIAL!A6:BG""),8,FALSE))"),"")</f>
        <v/>
      </c>
      <c r="L369" s="287"/>
      <c r="V369" s="66"/>
    </row>
    <row r="370" spans="1:22" ht="15">
      <c r="A370" s="5"/>
      <c r="B370" s="4"/>
      <c r="F370" s="66"/>
      <c r="G370" s="5" t="str">
        <f ca="1">IFERROR(__xludf.DUMMYFUNCTION("IFERROR(VLOOKUP(F408,IMPORTRANGE(""https://docs.google.com/spreadsheets/d/1Kvs4KS76FHFqLFIZfrDMff4kP08nblUkihrxltoGBjg/edit#gid=934712705"",""ESENCIAL!A6:BG""),3,FALSE))"),"")</f>
        <v/>
      </c>
      <c r="H370" s="5" t="str">
        <f ca="1">IFERROR(__xludf.DUMMYFUNCTION("IFERROR(VLOOKUP(F408,IMPORTRANGE(""https://docs.google.com/spreadsheets/d/1Kvs4KS76FHFqLFIZfrDMff4kP08nblUkihrxltoGBjg/edit#gid=934712705"",""ESENCIAL!A6:BG""),8,FALSE))"),"")</f>
        <v/>
      </c>
      <c r="L370" s="287"/>
      <c r="V370" s="66"/>
    </row>
    <row r="371" spans="1:22" ht="15">
      <c r="A371" s="5"/>
      <c r="B371" s="4"/>
      <c r="F371" s="66"/>
      <c r="G371" s="5" t="str">
        <f ca="1">IFERROR(__xludf.DUMMYFUNCTION("IFERROR(VLOOKUP(F409,IMPORTRANGE(""https://docs.google.com/spreadsheets/d/1Kvs4KS76FHFqLFIZfrDMff4kP08nblUkihrxltoGBjg/edit#gid=934712705"",""ESENCIAL!A6:BG""),3,FALSE))"),"")</f>
        <v/>
      </c>
      <c r="H371" s="5" t="str">
        <f ca="1">IFERROR(__xludf.DUMMYFUNCTION("IFERROR(VLOOKUP(F409,IMPORTRANGE(""https://docs.google.com/spreadsheets/d/1Kvs4KS76FHFqLFIZfrDMff4kP08nblUkihrxltoGBjg/edit#gid=934712705"",""ESENCIAL!A6:BG""),8,FALSE))"),"")</f>
        <v/>
      </c>
      <c r="L371" s="287"/>
      <c r="V371" s="66"/>
    </row>
    <row r="372" spans="1:22" ht="15">
      <c r="A372" s="5"/>
      <c r="B372" s="4"/>
      <c r="F372" s="66"/>
      <c r="G372" s="5" t="str">
        <f ca="1">IFERROR(__xludf.DUMMYFUNCTION("IFERROR(VLOOKUP(F410,IMPORTRANGE(""https://docs.google.com/spreadsheets/d/1Kvs4KS76FHFqLFIZfrDMff4kP08nblUkihrxltoGBjg/edit#gid=934712705"",""ESENCIAL!A6:BG""),3,FALSE))"),"")</f>
        <v/>
      </c>
      <c r="H372" s="5" t="str">
        <f ca="1">IFERROR(__xludf.DUMMYFUNCTION("IFERROR(VLOOKUP(F410,IMPORTRANGE(""https://docs.google.com/spreadsheets/d/1Kvs4KS76FHFqLFIZfrDMff4kP08nblUkihrxltoGBjg/edit#gid=934712705"",""ESENCIAL!A6:BG""),8,FALSE))"),"")</f>
        <v/>
      </c>
      <c r="L372" s="287"/>
      <c r="V372" s="66"/>
    </row>
    <row r="373" spans="1:22" ht="15">
      <c r="A373" s="5"/>
      <c r="B373" s="4"/>
      <c r="F373" s="66"/>
      <c r="G373" s="5" t="str">
        <f ca="1">IFERROR(__xludf.DUMMYFUNCTION("IFERROR(VLOOKUP(F411,IMPORTRANGE(""https://docs.google.com/spreadsheets/d/1Kvs4KS76FHFqLFIZfrDMff4kP08nblUkihrxltoGBjg/edit#gid=934712705"",""ESENCIAL!A6:BG""),3,FALSE))"),"")</f>
        <v/>
      </c>
      <c r="H373" s="5" t="str">
        <f ca="1">IFERROR(__xludf.DUMMYFUNCTION("IFERROR(VLOOKUP(F411,IMPORTRANGE(""https://docs.google.com/spreadsheets/d/1Kvs4KS76FHFqLFIZfrDMff4kP08nblUkihrxltoGBjg/edit#gid=934712705"",""ESENCIAL!A6:BG""),8,FALSE))"),"")</f>
        <v/>
      </c>
      <c r="L373" s="287"/>
      <c r="V373" s="66"/>
    </row>
    <row r="374" spans="1:22" ht="15">
      <c r="A374" s="5"/>
      <c r="B374" s="4"/>
      <c r="F374" s="66"/>
      <c r="G374" s="5" t="str">
        <f ca="1">IFERROR(__xludf.DUMMYFUNCTION("IFERROR(VLOOKUP(F412,IMPORTRANGE(""https://docs.google.com/spreadsheets/d/1Kvs4KS76FHFqLFIZfrDMff4kP08nblUkihrxltoGBjg/edit#gid=934712705"",""ESENCIAL!A6:BG""),3,FALSE))"),"")</f>
        <v/>
      </c>
      <c r="H374" s="5" t="str">
        <f ca="1">IFERROR(__xludf.DUMMYFUNCTION("IFERROR(VLOOKUP(F412,IMPORTRANGE(""https://docs.google.com/spreadsheets/d/1Kvs4KS76FHFqLFIZfrDMff4kP08nblUkihrxltoGBjg/edit#gid=934712705"",""ESENCIAL!A6:BG""),8,FALSE))"),"")</f>
        <v/>
      </c>
      <c r="L374" s="287"/>
      <c r="V374" s="66"/>
    </row>
    <row r="375" spans="1:22" ht="15">
      <c r="A375" s="5"/>
      <c r="B375" s="4"/>
      <c r="F375" s="66"/>
      <c r="G375" s="5" t="str">
        <f ca="1">IFERROR(__xludf.DUMMYFUNCTION("IFERROR(VLOOKUP(F413,IMPORTRANGE(""https://docs.google.com/spreadsheets/d/1Kvs4KS76FHFqLFIZfrDMff4kP08nblUkihrxltoGBjg/edit#gid=934712705"",""ESENCIAL!A6:BG""),3,FALSE))"),"")</f>
        <v/>
      </c>
      <c r="H375" s="5" t="str">
        <f ca="1">IFERROR(__xludf.DUMMYFUNCTION("IFERROR(VLOOKUP(F413,IMPORTRANGE(""https://docs.google.com/spreadsheets/d/1Kvs4KS76FHFqLFIZfrDMff4kP08nblUkihrxltoGBjg/edit#gid=934712705"",""ESENCIAL!A6:BG""),8,FALSE))"),"")</f>
        <v/>
      </c>
      <c r="L375" s="287"/>
      <c r="V375" s="66"/>
    </row>
    <row r="376" spans="1:22" ht="15">
      <c r="A376" s="5"/>
      <c r="B376" s="4"/>
      <c r="F376" s="66"/>
      <c r="G376" s="5" t="str">
        <f ca="1">IFERROR(__xludf.DUMMYFUNCTION("IFERROR(VLOOKUP(F414,IMPORTRANGE(""https://docs.google.com/spreadsheets/d/1Kvs4KS76FHFqLFIZfrDMff4kP08nblUkihrxltoGBjg/edit#gid=934712705"",""ESENCIAL!A6:BG""),3,FALSE))"),"")</f>
        <v/>
      </c>
      <c r="H376" s="5" t="str">
        <f ca="1">IFERROR(__xludf.DUMMYFUNCTION("IFERROR(VLOOKUP(F414,IMPORTRANGE(""https://docs.google.com/spreadsheets/d/1Kvs4KS76FHFqLFIZfrDMff4kP08nblUkihrxltoGBjg/edit#gid=934712705"",""ESENCIAL!A6:BG""),8,FALSE))"),"")</f>
        <v/>
      </c>
      <c r="L376" s="287"/>
      <c r="V376" s="66"/>
    </row>
    <row r="377" spans="1:22" ht="15">
      <c r="A377" s="5"/>
      <c r="B377" s="4"/>
      <c r="F377" s="66"/>
      <c r="G377" s="5" t="str">
        <f ca="1">IFERROR(__xludf.DUMMYFUNCTION("IFERROR(VLOOKUP(F415,IMPORTRANGE(""https://docs.google.com/spreadsheets/d/1Kvs4KS76FHFqLFIZfrDMff4kP08nblUkihrxltoGBjg/edit#gid=934712705"",""ESENCIAL!A6:BG""),3,FALSE))"),"")</f>
        <v/>
      </c>
      <c r="H377" s="5" t="str">
        <f ca="1">IFERROR(__xludf.DUMMYFUNCTION("IFERROR(VLOOKUP(F415,IMPORTRANGE(""https://docs.google.com/spreadsheets/d/1Kvs4KS76FHFqLFIZfrDMff4kP08nblUkihrxltoGBjg/edit#gid=934712705"",""ESENCIAL!A6:BG""),8,FALSE))"),"")</f>
        <v/>
      </c>
      <c r="L377" s="287"/>
      <c r="V377" s="66"/>
    </row>
    <row r="378" spans="1:22" ht="15">
      <c r="A378" s="5"/>
      <c r="B378" s="4"/>
      <c r="F378" s="66"/>
      <c r="G378" s="5" t="str">
        <f ca="1">IFERROR(__xludf.DUMMYFUNCTION("IFERROR(VLOOKUP(F416,IMPORTRANGE(""https://docs.google.com/spreadsheets/d/1Kvs4KS76FHFqLFIZfrDMff4kP08nblUkihrxltoGBjg/edit#gid=934712705"",""ESENCIAL!A6:BG""),3,FALSE))"),"")</f>
        <v/>
      </c>
      <c r="H378" s="5" t="str">
        <f ca="1">IFERROR(__xludf.DUMMYFUNCTION("IFERROR(VLOOKUP(F416,IMPORTRANGE(""https://docs.google.com/spreadsheets/d/1Kvs4KS76FHFqLFIZfrDMff4kP08nblUkihrxltoGBjg/edit#gid=934712705"",""ESENCIAL!A6:BG""),8,FALSE))"),"")</f>
        <v/>
      </c>
      <c r="L378" s="287"/>
      <c r="V378" s="66"/>
    </row>
    <row r="379" spans="1:22" ht="15">
      <c r="A379" s="5"/>
      <c r="B379" s="4"/>
      <c r="F379" s="66"/>
      <c r="G379" s="5" t="str">
        <f ca="1">IFERROR(__xludf.DUMMYFUNCTION("IFERROR(VLOOKUP(F417,IMPORTRANGE(""https://docs.google.com/spreadsheets/d/1Kvs4KS76FHFqLFIZfrDMff4kP08nblUkihrxltoGBjg/edit#gid=934712705"",""ESENCIAL!A6:BG""),3,FALSE))"),"")</f>
        <v/>
      </c>
      <c r="H379" s="5" t="str">
        <f ca="1">IFERROR(__xludf.DUMMYFUNCTION("IFERROR(VLOOKUP(F417,IMPORTRANGE(""https://docs.google.com/spreadsheets/d/1Kvs4KS76FHFqLFIZfrDMff4kP08nblUkihrxltoGBjg/edit#gid=934712705"",""ESENCIAL!A6:BG""),8,FALSE))"),"")</f>
        <v/>
      </c>
      <c r="L379" s="287"/>
      <c r="V379" s="66"/>
    </row>
    <row r="380" spans="1:22" ht="15">
      <c r="A380" s="5"/>
      <c r="B380" s="4"/>
      <c r="F380" s="66"/>
      <c r="G380" s="5" t="str">
        <f ca="1">IFERROR(__xludf.DUMMYFUNCTION("IFERROR(VLOOKUP(F418,IMPORTRANGE(""https://docs.google.com/spreadsheets/d/1Kvs4KS76FHFqLFIZfrDMff4kP08nblUkihrxltoGBjg/edit#gid=934712705"",""ESENCIAL!A6:BG""),3,FALSE))"),"")</f>
        <v/>
      </c>
      <c r="H380" s="5" t="str">
        <f ca="1">IFERROR(__xludf.DUMMYFUNCTION("IFERROR(VLOOKUP(F418,IMPORTRANGE(""https://docs.google.com/spreadsheets/d/1Kvs4KS76FHFqLFIZfrDMff4kP08nblUkihrxltoGBjg/edit#gid=934712705"",""ESENCIAL!A6:BG""),8,FALSE))"),"")</f>
        <v/>
      </c>
      <c r="L380" s="287"/>
      <c r="V380" s="66"/>
    </row>
    <row r="381" spans="1:22" ht="15">
      <c r="A381" s="5"/>
      <c r="B381" s="4"/>
      <c r="F381" s="66"/>
      <c r="G381" s="5" t="str">
        <f ca="1">IFERROR(__xludf.DUMMYFUNCTION("IFERROR(VLOOKUP(F419,IMPORTRANGE(""https://docs.google.com/spreadsheets/d/1Kvs4KS76FHFqLFIZfrDMff4kP08nblUkihrxltoGBjg/edit#gid=934712705"",""ESENCIAL!A6:BG""),3,FALSE))"),"")</f>
        <v/>
      </c>
      <c r="H381" s="5" t="str">
        <f ca="1">IFERROR(__xludf.DUMMYFUNCTION("IFERROR(VLOOKUP(F419,IMPORTRANGE(""https://docs.google.com/spreadsheets/d/1Kvs4KS76FHFqLFIZfrDMff4kP08nblUkihrxltoGBjg/edit#gid=934712705"",""ESENCIAL!A6:BG""),8,FALSE))"),"")</f>
        <v/>
      </c>
      <c r="L381" s="287"/>
      <c r="V381" s="66"/>
    </row>
    <row r="382" spans="1:22" ht="15">
      <c r="A382" s="5"/>
      <c r="B382" s="4"/>
      <c r="F382" s="66"/>
      <c r="G382" s="5" t="str">
        <f ca="1">IFERROR(__xludf.DUMMYFUNCTION("IFERROR(VLOOKUP(F420,IMPORTRANGE(""https://docs.google.com/spreadsheets/d/1Kvs4KS76FHFqLFIZfrDMff4kP08nblUkihrxltoGBjg/edit#gid=934712705"",""ESENCIAL!A6:BG""),3,FALSE))"),"")</f>
        <v/>
      </c>
      <c r="H382" s="5" t="str">
        <f ca="1">IFERROR(__xludf.DUMMYFUNCTION("IFERROR(VLOOKUP(F420,IMPORTRANGE(""https://docs.google.com/spreadsheets/d/1Kvs4KS76FHFqLFIZfrDMff4kP08nblUkihrxltoGBjg/edit#gid=934712705"",""ESENCIAL!A6:BG""),8,FALSE))"),"")</f>
        <v/>
      </c>
      <c r="L382" s="287"/>
      <c r="V382" s="66"/>
    </row>
    <row r="383" spans="1:22" ht="15">
      <c r="A383" s="5"/>
      <c r="B383" s="4"/>
      <c r="F383" s="66"/>
      <c r="G383" s="5" t="str">
        <f ca="1">IFERROR(__xludf.DUMMYFUNCTION("IFERROR(VLOOKUP(F421,IMPORTRANGE(""https://docs.google.com/spreadsheets/d/1Kvs4KS76FHFqLFIZfrDMff4kP08nblUkihrxltoGBjg/edit#gid=934712705"",""ESENCIAL!A6:BG""),3,FALSE))"),"")</f>
        <v/>
      </c>
      <c r="H383" s="5" t="str">
        <f ca="1">IFERROR(__xludf.DUMMYFUNCTION("IFERROR(VLOOKUP(F421,IMPORTRANGE(""https://docs.google.com/spreadsheets/d/1Kvs4KS76FHFqLFIZfrDMff4kP08nblUkihrxltoGBjg/edit#gid=934712705"",""ESENCIAL!A6:BG""),8,FALSE))"),"")</f>
        <v/>
      </c>
      <c r="L383" s="287"/>
      <c r="V383" s="66"/>
    </row>
    <row r="384" spans="1:22" ht="15">
      <c r="A384" s="5"/>
      <c r="B384" s="4"/>
      <c r="F384" s="66"/>
      <c r="G384" s="5" t="str">
        <f ca="1">IFERROR(__xludf.DUMMYFUNCTION("IFERROR(VLOOKUP(F422,IMPORTRANGE(""https://docs.google.com/spreadsheets/d/1Kvs4KS76FHFqLFIZfrDMff4kP08nblUkihrxltoGBjg/edit#gid=934712705"",""ESENCIAL!A6:BG""),3,FALSE))"),"")</f>
        <v/>
      </c>
      <c r="H384" s="5" t="str">
        <f ca="1">IFERROR(__xludf.DUMMYFUNCTION("IFERROR(VLOOKUP(F422,IMPORTRANGE(""https://docs.google.com/spreadsheets/d/1Kvs4KS76FHFqLFIZfrDMff4kP08nblUkihrxltoGBjg/edit#gid=934712705"",""ESENCIAL!A6:BG""),8,FALSE))"),"")</f>
        <v/>
      </c>
      <c r="L384" s="287"/>
      <c r="V384" s="66"/>
    </row>
    <row r="385" spans="1:22" ht="15">
      <c r="A385" s="5"/>
      <c r="B385" s="4"/>
      <c r="F385" s="66"/>
      <c r="G385" s="5" t="str">
        <f ca="1">IFERROR(__xludf.DUMMYFUNCTION("IFERROR(VLOOKUP(F423,IMPORTRANGE(""https://docs.google.com/spreadsheets/d/1Kvs4KS76FHFqLFIZfrDMff4kP08nblUkihrxltoGBjg/edit#gid=934712705"",""ESENCIAL!A6:BG""),3,FALSE))"),"")</f>
        <v/>
      </c>
      <c r="H385" s="5" t="str">
        <f ca="1">IFERROR(__xludf.DUMMYFUNCTION("IFERROR(VLOOKUP(F423,IMPORTRANGE(""https://docs.google.com/spreadsheets/d/1Kvs4KS76FHFqLFIZfrDMff4kP08nblUkihrxltoGBjg/edit#gid=934712705"",""ESENCIAL!A6:BG""),8,FALSE))"),"")</f>
        <v/>
      </c>
      <c r="L385" s="287"/>
      <c r="V385" s="66"/>
    </row>
    <row r="386" spans="1:22" ht="15">
      <c r="A386" s="5"/>
      <c r="B386" s="4"/>
      <c r="F386" s="66"/>
      <c r="G386" s="5" t="str">
        <f ca="1">IFERROR(__xludf.DUMMYFUNCTION("IFERROR(VLOOKUP(F424,IMPORTRANGE(""https://docs.google.com/spreadsheets/d/1Kvs4KS76FHFqLFIZfrDMff4kP08nblUkihrxltoGBjg/edit#gid=934712705"",""ESENCIAL!A6:BG""),3,FALSE))"),"")</f>
        <v/>
      </c>
      <c r="H386" s="5" t="str">
        <f ca="1">IFERROR(__xludf.DUMMYFUNCTION("IFERROR(VLOOKUP(F424,IMPORTRANGE(""https://docs.google.com/spreadsheets/d/1Kvs4KS76FHFqLFIZfrDMff4kP08nblUkihrxltoGBjg/edit#gid=934712705"",""ESENCIAL!A6:BG""),8,FALSE))"),"")</f>
        <v/>
      </c>
      <c r="L386" s="287"/>
      <c r="V386" s="66"/>
    </row>
    <row r="387" spans="1:22" ht="15">
      <c r="A387" s="5"/>
      <c r="B387" s="4"/>
      <c r="F387" s="66"/>
      <c r="G387" s="5" t="str">
        <f ca="1">IFERROR(__xludf.DUMMYFUNCTION("IFERROR(VLOOKUP(F425,IMPORTRANGE(""https://docs.google.com/spreadsheets/d/1Kvs4KS76FHFqLFIZfrDMff4kP08nblUkihrxltoGBjg/edit#gid=934712705"",""ESENCIAL!A6:BG""),3,FALSE))"),"")</f>
        <v/>
      </c>
      <c r="H387" s="5" t="str">
        <f ca="1">IFERROR(__xludf.DUMMYFUNCTION("IFERROR(VLOOKUP(F425,IMPORTRANGE(""https://docs.google.com/spreadsheets/d/1Kvs4KS76FHFqLFIZfrDMff4kP08nblUkihrxltoGBjg/edit#gid=934712705"",""ESENCIAL!A6:BG""),8,FALSE))"),"")</f>
        <v/>
      </c>
      <c r="L387" s="287"/>
      <c r="V387" s="66"/>
    </row>
    <row r="388" spans="1:22" ht="15">
      <c r="A388" s="5"/>
      <c r="B388" s="4"/>
      <c r="F388" s="66"/>
      <c r="G388" s="5" t="str">
        <f ca="1">IFERROR(__xludf.DUMMYFUNCTION("IFERROR(VLOOKUP(F426,IMPORTRANGE(""https://docs.google.com/spreadsheets/d/1Kvs4KS76FHFqLFIZfrDMff4kP08nblUkihrxltoGBjg/edit#gid=934712705"",""ESENCIAL!A6:BG""),3,FALSE))"),"")</f>
        <v/>
      </c>
      <c r="H388" s="5" t="str">
        <f ca="1">IFERROR(__xludf.DUMMYFUNCTION("IFERROR(VLOOKUP(F426,IMPORTRANGE(""https://docs.google.com/spreadsheets/d/1Kvs4KS76FHFqLFIZfrDMff4kP08nblUkihrxltoGBjg/edit#gid=934712705"",""ESENCIAL!A6:BG""),8,FALSE))"),"")</f>
        <v/>
      </c>
      <c r="L388" s="287"/>
      <c r="V388" s="66"/>
    </row>
    <row r="389" spans="1:22" ht="15">
      <c r="A389" s="5"/>
      <c r="B389" s="4"/>
      <c r="F389" s="66"/>
      <c r="G389" s="5" t="str">
        <f ca="1">IFERROR(__xludf.DUMMYFUNCTION("IFERROR(VLOOKUP(F427,IMPORTRANGE(""https://docs.google.com/spreadsheets/d/1Kvs4KS76FHFqLFIZfrDMff4kP08nblUkihrxltoGBjg/edit#gid=934712705"",""ESENCIAL!A6:BG""),3,FALSE))"),"")</f>
        <v/>
      </c>
      <c r="H389" s="5" t="str">
        <f ca="1">IFERROR(__xludf.DUMMYFUNCTION("IFERROR(VLOOKUP(F427,IMPORTRANGE(""https://docs.google.com/spreadsheets/d/1Kvs4KS76FHFqLFIZfrDMff4kP08nblUkihrxltoGBjg/edit#gid=934712705"",""ESENCIAL!A6:BG""),8,FALSE))"),"")</f>
        <v/>
      </c>
      <c r="L389" s="287"/>
      <c r="V389" s="66"/>
    </row>
    <row r="390" spans="1:22" ht="15">
      <c r="A390" s="5"/>
      <c r="B390" s="4"/>
      <c r="F390" s="66"/>
      <c r="G390" s="5" t="str">
        <f ca="1">IFERROR(__xludf.DUMMYFUNCTION("IFERROR(VLOOKUP(F428,IMPORTRANGE(""https://docs.google.com/spreadsheets/d/1Kvs4KS76FHFqLFIZfrDMff4kP08nblUkihrxltoGBjg/edit#gid=934712705"",""ESENCIAL!A6:BG""),3,FALSE))"),"")</f>
        <v/>
      </c>
      <c r="H390" s="5" t="str">
        <f ca="1">IFERROR(__xludf.DUMMYFUNCTION("IFERROR(VLOOKUP(F428,IMPORTRANGE(""https://docs.google.com/spreadsheets/d/1Kvs4KS76FHFqLFIZfrDMff4kP08nblUkihrxltoGBjg/edit#gid=934712705"",""ESENCIAL!A6:BG""),8,FALSE))"),"")</f>
        <v/>
      </c>
      <c r="L390" s="287"/>
      <c r="V390" s="66"/>
    </row>
    <row r="391" spans="1:22" ht="15">
      <c r="A391" s="5"/>
      <c r="B391" s="4"/>
      <c r="F391" s="66"/>
      <c r="G391" s="5" t="str">
        <f ca="1">IFERROR(__xludf.DUMMYFUNCTION("IFERROR(VLOOKUP(F429,IMPORTRANGE(""https://docs.google.com/spreadsheets/d/1Kvs4KS76FHFqLFIZfrDMff4kP08nblUkihrxltoGBjg/edit#gid=934712705"",""ESENCIAL!A6:BG""),3,FALSE))"),"")</f>
        <v/>
      </c>
      <c r="H391" s="5" t="str">
        <f ca="1">IFERROR(__xludf.DUMMYFUNCTION("IFERROR(VLOOKUP(F429,IMPORTRANGE(""https://docs.google.com/spreadsheets/d/1Kvs4KS76FHFqLFIZfrDMff4kP08nblUkihrxltoGBjg/edit#gid=934712705"",""ESENCIAL!A6:BG""),8,FALSE))"),"")</f>
        <v/>
      </c>
      <c r="L391" s="287"/>
      <c r="V391" s="66"/>
    </row>
    <row r="392" spans="1:22" ht="15">
      <c r="A392" s="5"/>
      <c r="B392" s="4"/>
      <c r="F392" s="66"/>
      <c r="G392" s="5" t="str">
        <f ca="1">IFERROR(__xludf.DUMMYFUNCTION("IFERROR(VLOOKUP(F430,IMPORTRANGE(""https://docs.google.com/spreadsheets/d/1Kvs4KS76FHFqLFIZfrDMff4kP08nblUkihrxltoGBjg/edit#gid=934712705"",""ESENCIAL!A6:BG""),3,FALSE))"),"")</f>
        <v/>
      </c>
      <c r="H392" s="5" t="str">
        <f ca="1">IFERROR(__xludf.DUMMYFUNCTION("IFERROR(VLOOKUP(F430,IMPORTRANGE(""https://docs.google.com/spreadsheets/d/1Kvs4KS76FHFqLFIZfrDMff4kP08nblUkihrxltoGBjg/edit#gid=934712705"",""ESENCIAL!A6:BG""),8,FALSE))"),"")</f>
        <v/>
      </c>
      <c r="L392" s="287"/>
      <c r="V392" s="66"/>
    </row>
    <row r="393" spans="1:22" ht="15">
      <c r="A393" s="5"/>
      <c r="B393" s="4"/>
      <c r="F393" s="66"/>
      <c r="G393" s="5" t="str">
        <f ca="1">IFERROR(__xludf.DUMMYFUNCTION("IFERROR(VLOOKUP(F431,IMPORTRANGE(""https://docs.google.com/spreadsheets/d/1Kvs4KS76FHFqLFIZfrDMff4kP08nblUkihrxltoGBjg/edit#gid=934712705"",""ESENCIAL!A6:BG""),3,FALSE))"),"")</f>
        <v/>
      </c>
      <c r="H393" s="5" t="str">
        <f ca="1">IFERROR(__xludf.DUMMYFUNCTION("IFERROR(VLOOKUP(F431,IMPORTRANGE(""https://docs.google.com/spreadsheets/d/1Kvs4KS76FHFqLFIZfrDMff4kP08nblUkihrxltoGBjg/edit#gid=934712705"",""ESENCIAL!A6:BG""),8,FALSE))"),"")</f>
        <v/>
      </c>
      <c r="L393" s="287"/>
      <c r="V393" s="66"/>
    </row>
    <row r="394" spans="1:22" ht="15">
      <c r="A394" s="5"/>
      <c r="B394" s="4"/>
      <c r="F394" s="66"/>
      <c r="G394" s="5" t="str">
        <f ca="1">IFERROR(__xludf.DUMMYFUNCTION("IFERROR(VLOOKUP(F432,IMPORTRANGE(""https://docs.google.com/spreadsheets/d/1Kvs4KS76FHFqLFIZfrDMff4kP08nblUkihrxltoGBjg/edit#gid=934712705"",""ESENCIAL!A6:BG""),3,FALSE))"),"")</f>
        <v/>
      </c>
      <c r="H394" s="5" t="str">
        <f ca="1">IFERROR(__xludf.DUMMYFUNCTION("IFERROR(VLOOKUP(F432,IMPORTRANGE(""https://docs.google.com/spreadsheets/d/1Kvs4KS76FHFqLFIZfrDMff4kP08nblUkihrxltoGBjg/edit#gid=934712705"",""ESENCIAL!A6:BG""),8,FALSE))"),"")</f>
        <v/>
      </c>
      <c r="L394" s="287"/>
      <c r="V394" s="66"/>
    </row>
    <row r="395" spans="1:22" ht="15">
      <c r="A395" s="5"/>
      <c r="B395" s="4"/>
      <c r="F395" s="66"/>
      <c r="G395" s="5" t="str">
        <f ca="1">IFERROR(__xludf.DUMMYFUNCTION("IFERROR(VLOOKUP(F433,IMPORTRANGE(""https://docs.google.com/spreadsheets/d/1Kvs4KS76FHFqLFIZfrDMff4kP08nblUkihrxltoGBjg/edit#gid=934712705"",""ESENCIAL!A6:BG""),3,FALSE))"),"")</f>
        <v/>
      </c>
      <c r="H395" s="5" t="str">
        <f ca="1">IFERROR(__xludf.DUMMYFUNCTION("IFERROR(VLOOKUP(F433,IMPORTRANGE(""https://docs.google.com/spreadsheets/d/1Kvs4KS76FHFqLFIZfrDMff4kP08nblUkihrxltoGBjg/edit#gid=934712705"",""ESENCIAL!A6:BG""),8,FALSE))"),"")</f>
        <v/>
      </c>
      <c r="L395" s="287"/>
      <c r="V395" s="66"/>
    </row>
    <row r="396" spans="1:22" ht="15">
      <c r="A396" s="5"/>
      <c r="B396" s="4"/>
      <c r="F396" s="66"/>
      <c r="G396" s="5" t="str">
        <f ca="1">IFERROR(__xludf.DUMMYFUNCTION("IFERROR(VLOOKUP(F434,IMPORTRANGE(""https://docs.google.com/spreadsheets/d/1Kvs4KS76FHFqLFIZfrDMff4kP08nblUkihrxltoGBjg/edit#gid=934712705"",""ESENCIAL!A6:BG""),3,FALSE))"),"")</f>
        <v/>
      </c>
      <c r="H396" s="5" t="str">
        <f ca="1">IFERROR(__xludf.DUMMYFUNCTION("IFERROR(VLOOKUP(F434,IMPORTRANGE(""https://docs.google.com/spreadsheets/d/1Kvs4KS76FHFqLFIZfrDMff4kP08nblUkihrxltoGBjg/edit#gid=934712705"",""ESENCIAL!A6:BG""),8,FALSE))"),"")</f>
        <v/>
      </c>
      <c r="L396" s="287"/>
      <c r="V396" s="66"/>
    </row>
    <row r="397" spans="1:22" ht="15">
      <c r="A397" s="5"/>
      <c r="B397" s="4"/>
      <c r="F397" s="66"/>
      <c r="G397" s="5" t="str">
        <f ca="1">IFERROR(__xludf.DUMMYFUNCTION("IFERROR(VLOOKUP(F435,IMPORTRANGE(""https://docs.google.com/spreadsheets/d/1Kvs4KS76FHFqLFIZfrDMff4kP08nblUkihrxltoGBjg/edit#gid=934712705"",""ESENCIAL!A6:BG""),3,FALSE))"),"")</f>
        <v/>
      </c>
      <c r="H397" s="5" t="str">
        <f ca="1">IFERROR(__xludf.DUMMYFUNCTION("IFERROR(VLOOKUP(F435,IMPORTRANGE(""https://docs.google.com/spreadsheets/d/1Kvs4KS76FHFqLFIZfrDMff4kP08nblUkihrxltoGBjg/edit#gid=934712705"",""ESENCIAL!A6:BG""),8,FALSE))"),"")</f>
        <v/>
      </c>
      <c r="L397" s="287"/>
      <c r="V397" s="66"/>
    </row>
    <row r="398" spans="1:22" ht="15">
      <c r="A398" s="5"/>
      <c r="B398" s="4"/>
      <c r="F398" s="66"/>
      <c r="G398" s="5" t="str">
        <f ca="1">IFERROR(__xludf.DUMMYFUNCTION("IFERROR(VLOOKUP(F436,IMPORTRANGE(""https://docs.google.com/spreadsheets/d/1Kvs4KS76FHFqLFIZfrDMff4kP08nblUkihrxltoGBjg/edit#gid=934712705"",""ESENCIAL!A6:BG""),3,FALSE))"),"")</f>
        <v/>
      </c>
      <c r="H398" s="5" t="str">
        <f ca="1">IFERROR(__xludf.DUMMYFUNCTION("IFERROR(VLOOKUP(F436,IMPORTRANGE(""https://docs.google.com/spreadsheets/d/1Kvs4KS76FHFqLFIZfrDMff4kP08nblUkihrxltoGBjg/edit#gid=934712705"",""ESENCIAL!A6:BG""),8,FALSE))"),"")</f>
        <v/>
      </c>
      <c r="L398" s="287"/>
      <c r="V398" s="66"/>
    </row>
    <row r="399" spans="1:22" ht="15">
      <c r="A399" s="5"/>
      <c r="B399" s="4"/>
      <c r="F399" s="66"/>
      <c r="G399" s="5" t="str">
        <f ca="1">IFERROR(__xludf.DUMMYFUNCTION("IFERROR(VLOOKUP(F437,IMPORTRANGE(""https://docs.google.com/spreadsheets/d/1Kvs4KS76FHFqLFIZfrDMff4kP08nblUkihrxltoGBjg/edit#gid=934712705"",""ESENCIAL!A6:BG""),3,FALSE))"),"")</f>
        <v/>
      </c>
      <c r="H399" s="5" t="str">
        <f ca="1">IFERROR(__xludf.DUMMYFUNCTION("IFERROR(VLOOKUP(F437,IMPORTRANGE(""https://docs.google.com/spreadsheets/d/1Kvs4KS76FHFqLFIZfrDMff4kP08nblUkihrxltoGBjg/edit#gid=934712705"",""ESENCIAL!A6:BG""),8,FALSE))"),"")</f>
        <v/>
      </c>
      <c r="L399" s="287"/>
      <c r="V399" s="66"/>
    </row>
    <row r="400" spans="1:22" ht="15">
      <c r="A400" s="5"/>
      <c r="B400" s="4"/>
      <c r="F400" s="66"/>
      <c r="G400" s="5" t="str">
        <f ca="1">IFERROR(__xludf.DUMMYFUNCTION("IFERROR(VLOOKUP(F438,IMPORTRANGE(""https://docs.google.com/spreadsheets/d/1Kvs4KS76FHFqLFIZfrDMff4kP08nblUkihrxltoGBjg/edit#gid=934712705"",""ESENCIAL!A6:BG""),3,FALSE))"),"")</f>
        <v/>
      </c>
      <c r="H400" s="5" t="str">
        <f ca="1">IFERROR(__xludf.DUMMYFUNCTION("IFERROR(VLOOKUP(F438,IMPORTRANGE(""https://docs.google.com/spreadsheets/d/1Kvs4KS76FHFqLFIZfrDMff4kP08nblUkihrxltoGBjg/edit#gid=934712705"",""ESENCIAL!A6:BG""),8,FALSE))"),"")</f>
        <v/>
      </c>
      <c r="L400" s="287"/>
      <c r="V400" s="66"/>
    </row>
    <row r="401" spans="1:22" ht="15">
      <c r="A401" s="5"/>
      <c r="B401" s="4"/>
      <c r="F401" s="66"/>
      <c r="G401" s="5" t="str">
        <f ca="1">IFERROR(__xludf.DUMMYFUNCTION("IFERROR(VLOOKUP(F439,IMPORTRANGE(""https://docs.google.com/spreadsheets/d/1Kvs4KS76FHFqLFIZfrDMff4kP08nblUkihrxltoGBjg/edit#gid=934712705"",""ESENCIAL!A6:BG""),3,FALSE))"),"")</f>
        <v/>
      </c>
      <c r="H401" s="5" t="str">
        <f ca="1">IFERROR(__xludf.DUMMYFUNCTION("IFERROR(VLOOKUP(F439,IMPORTRANGE(""https://docs.google.com/spreadsheets/d/1Kvs4KS76FHFqLFIZfrDMff4kP08nblUkihrxltoGBjg/edit#gid=934712705"",""ESENCIAL!A6:BG""),8,FALSE))"),"")</f>
        <v/>
      </c>
      <c r="L401" s="287"/>
      <c r="V401" s="66"/>
    </row>
    <row r="402" spans="1:22" ht="15">
      <c r="A402" s="5"/>
      <c r="B402" s="4"/>
      <c r="F402" s="66"/>
      <c r="G402" s="5" t="str">
        <f ca="1">IFERROR(__xludf.DUMMYFUNCTION("IFERROR(VLOOKUP(F440,IMPORTRANGE(""https://docs.google.com/spreadsheets/d/1Kvs4KS76FHFqLFIZfrDMff4kP08nblUkihrxltoGBjg/edit#gid=934712705"",""ESENCIAL!A6:BG""),3,FALSE))"),"")</f>
        <v/>
      </c>
      <c r="H402" s="5" t="str">
        <f ca="1">IFERROR(__xludf.DUMMYFUNCTION("IFERROR(VLOOKUP(F440,IMPORTRANGE(""https://docs.google.com/spreadsheets/d/1Kvs4KS76FHFqLFIZfrDMff4kP08nblUkihrxltoGBjg/edit#gid=934712705"",""ESENCIAL!A6:BG""),8,FALSE))"),"")</f>
        <v/>
      </c>
      <c r="L402" s="287"/>
      <c r="V402" s="66"/>
    </row>
    <row r="403" spans="1:22" ht="15">
      <c r="A403" s="5"/>
      <c r="B403" s="4"/>
      <c r="F403" s="66"/>
      <c r="G403" s="5" t="str">
        <f ca="1">IFERROR(__xludf.DUMMYFUNCTION("IFERROR(VLOOKUP(F441,IMPORTRANGE(""https://docs.google.com/spreadsheets/d/1Kvs4KS76FHFqLFIZfrDMff4kP08nblUkihrxltoGBjg/edit#gid=934712705"",""ESENCIAL!A6:BG""),3,FALSE))"),"")</f>
        <v/>
      </c>
      <c r="H403" s="5" t="str">
        <f ca="1">IFERROR(__xludf.DUMMYFUNCTION("IFERROR(VLOOKUP(F441,IMPORTRANGE(""https://docs.google.com/spreadsheets/d/1Kvs4KS76FHFqLFIZfrDMff4kP08nblUkihrxltoGBjg/edit#gid=934712705"",""ESENCIAL!A6:BG""),8,FALSE))"),"")</f>
        <v/>
      </c>
      <c r="L403" s="287"/>
      <c r="V403" s="66"/>
    </row>
    <row r="404" spans="1:22" ht="15">
      <c r="A404" s="5"/>
      <c r="B404" s="4"/>
      <c r="F404" s="66"/>
      <c r="G404" s="5" t="str">
        <f ca="1">IFERROR(__xludf.DUMMYFUNCTION("IFERROR(VLOOKUP(F442,IMPORTRANGE(""https://docs.google.com/spreadsheets/d/1Kvs4KS76FHFqLFIZfrDMff4kP08nblUkihrxltoGBjg/edit#gid=934712705"",""ESENCIAL!A6:BG""),3,FALSE))"),"")</f>
        <v/>
      </c>
      <c r="H404" s="5" t="str">
        <f ca="1">IFERROR(__xludf.DUMMYFUNCTION("IFERROR(VLOOKUP(F442,IMPORTRANGE(""https://docs.google.com/spreadsheets/d/1Kvs4KS76FHFqLFIZfrDMff4kP08nblUkihrxltoGBjg/edit#gid=934712705"",""ESENCIAL!A6:BG""),8,FALSE))"),"")</f>
        <v/>
      </c>
      <c r="L404" s="287"/>
      <c r="V404" s="66"/>
    </row>
    <row r="405" spans="1:22" ht="15">
      <c r="A405" s="5"/>
      <c r="B405" s="4"/>
      <c r="F405" s="66"/>
      <c r="G405" s="5" t="str">
        <f ca="1">IFERROR(__xludf.DUMMYFUNCTION("IFERROR(VLOOKUP(F443,IMPORTRANGE(""https://docs.google.com/spreadsheets/d/1Kvs4KS76FHFqLFIZfrDMff4kP08nblUkihrxltoGBjg/edit#gid=934712705"",""ESENCIAL!A6:BG""),3,FALSE))"),"")</f>
        <v/>
      </c>
      <c r="H405" s="5" t="str">
        <f ca="1">IFERROR(__xludf.DUMMYFUNCTION("IFERROR(VLOOKUP(F443,IMPORTRANGE(""https://docs.google.com/spreadsheets/d/1Kvs4KS76FHFqLFIZfrDMff4kP08nblUkihrxltoGBjg/edit#gid=934712705"",""ESENCIAL!A6:BG""),8,FALSE))"),"")</f>
        <v/>
      </c>
      <c r="L405" s="287"/>
      <c r="V405" s="66"/>
    </row>
    <row r="406" spans="1:22" ht="15">
      <c r="A406" s="5"/>
      <c r="B406" s="4"/>
      <c r="F406" s="66"/>
      <c r="G406" s="5" t="str">
        <f ca="1">IFERROR(__xludf.DUMMYFUNCTION("IFERROR(VLOOKUP(F444,IMPORTRANGE(""https://docs.google.com/spreadsheets/d/1Kvs4KS76FHFqLFIZfrDMff4kP08nblUkihrxltoGBjg/edit#gid=934712705"",""ESENCIAL!A6:BG""),3,FALSE))"),"")</f>
        <v/>
      </c>
      <c r="H406" s="5" t="str">
        <f ca="1">IFERROR(__xludf.DUMMYFUNCTION("IFERROR(VLOOKUP(F444,IMPORTRANGE(""https://docs.google.com/spreadsheets/d/1Kvs4KS76FHFqLFIZfrDMff4kP08nblUkihrxltoGBjg/edit#gid=934712705"",""ESENCIAL!A6:BG""),8,FALSE))"),"")</f>
        <v/>
      </c>
      <c r="L406" s="287"/>
      <c r="V406" s="66"/>
    </row>
    <row r="407" spans="1:22" ht="15">
      <c r="A407" s="5"/>
      <c r="B407" s="4"/>
      <c r="F407" s="66"/>
      <c r="G407" s="5" t="str">
        <f ca="1">IFERROR(__xludf.DUMMYFUNCTION("IFERROR(VLOOKUP(F445,IMPORTRANGE(""https://docs.google.com/spreadsheets/d/1Kvs4KS76FHFqLFIZfrDMff4kP08nblUkihrxltoGBjg/edit#gid=934712705"",""ESENCIAL!A6:BG""),3,FALSE))"),"")</f>
        <v/>
      </c>
      <c r="H407" s="5" t="str">
        <f ca="1">IFERROR(__xludf.DUMMYFUNCTION("IFERROR(VLOOKUP(F445,IMPORTRANGE(""https://docs.google.com/spreadsheets/d/1Kvs4KS76FHFqLFIZfrDMff4kP08nblUkihrxltoGBjg/edit#gid=934712705"",""ESENCIAL!A6:BG""),8,FALSE))"),"")</f>
        <v/>
      </c>
      <c r="L407" s="287"/>
      <c r="V407" s="66"/>
    </row>
    <row r="408" spans="1:22" ht="15">
      <c r="A408" s="5"/>
      <c r="B408" s="4"/>
      <c r="F408" s="66"/>
      <c r="G408" s="5" t="str">
        <f ca="1">IFERROR(__xludf.DUMMYFUNCTION("IFERROR(VLOOKUP(F446,IMPORTRANGE(""https://docs.google.com/spreadsheets/d/1Kvs4KS76FHFqLFIZfrDMff4kP08nblUkihrxltoGBjg/edit#gid=934712705"",""ESENCIAL!A6:BG""),3,FALSE))"),"")</f>
        <v/>
      </c>
      <c r="H408" s="5" t="str">
        <f ca="1">IFERROR(__xludf.DUMMYFUNCTION("IFERROR(VLOOKUP(F446,IMPORTRANGE(""https://docs.google.com/spreadsheets/d/1Kvs4KS76FHFqLFIZfrDMff4kP08nblUkihrxltoGBjg/edit#gid=934712705"",""ESENCIAL!A6:BG""),8,FALSE))"),"")</f>
        <v/>
      </c>
      <c r="L408" s="287"/>
      <c r="V408" s="66"/>
    </row>
    <row r="409" spans="1:22" ht="15">
      <c r="A409" s="5"/>
      <c r="B409" s="4"/>
      <c r="F409" s="66"/>
      <c r="G409" s="5" t="str">
        <f ca="1">IFERROR(__xludf.DUMMYFUNCTION("IFERROR(VLOOKUP(F447,IMPORTRANGE(""https://docs.google.com/spreadsheets/d/1Kvs4KS76FHFqLFIZfrDMff4kP08nblUkihrxltoGBjg/edit#gid=934712705"",""ESENCIAL!A6:BG""),3,FALSE))"),"")</f>
        <v/>
      </c>
      <c r="H409" s="5" t="str">
        <f ca="1">IFERROR(__xludf.DUMMYFUNCTION("IFERROR(VLOOKUP(F447,IMPORTRANGE(""https://docs.google.com/spreadsheets/d/1Kvs4KS76FHFqLFIZfrDMff4kP08nblUkihrxltoGBjg/edit#gid=934712705"",""ESENCIAL!A6:BG""),8,FALSE))"),"")</f>
        <v/>
      </c>
      <c r="L409" s="287"/>
      <c r="V409" s="66"/>
    </row>
    <row r="410" spans="1:22" ht="15">
      <c r="A410" s="5"/>
      <c r="B410" s="4"/>
      <c r="F410" s="66"/>
      <c r="G410" s="5" t="str">
        <f ca="1">IFERROR(__xludf.DUMMYFUNCTION("IFERROR(VLOOKUP(F448,IMPORTRANGE(""https://docs.google.com/spreadsheets/d/1Kvs4KS76FHFqLFIZfrDMff4kP08nblUkihrxltoGBjg/edit#gid=934712705"",""ESENCIAL!A6:BG""),3,FALSE))"),"")</f>
        <v/>
      </c>
      <c r="H410" s="5" t="str">
        <f ca="1">IFERROR(__xludf.DUMMYFUNCTION("IFERROR(VLOOKUP(F448,IMPORTRANGE(""https://docs.google.com/spreadsheets/d/1Kvs4KS76FHFqLFIZfrDMff4kP08nblUkihrxltoGBjg/edit#gid=934712705"",""ESENCIAL!A6:BG""),8,FALSE))"),"")</f>
        <v/>
      </c>
      <c r="L410" s="287"/>
      <c r="V410" s="66"/>
    </row>
    <row r="411" spans="1:22" ht="15">
      <c r="A411" s="5"/>
      <c r="B411" s="4"/>
      <c r="F411" s="66"/>
      <c r="G411" s="5" t="str">
        <f ca="1">IFERROR(__xludf.DUMMYFUNCTION("IFERROR(VLOOKUP(F449,IMPORTRANGE(""https://docs.google.com/spreadsheets/d/1Kvs4KS76FHFqLFIZfrDMff4kP08nblUkihrxltoGBjg/edit#gid=934712705"",""ESENCIAL!A6:BG""),3,FALSE))"),"")</f>
        <v/>
      </c>
      <c r="H411" s="5" t="str">
        <f ca="1">IFERROR(__xludf.DUMMYFUNCTION("IFERROR(VLOOKUP(F449,IMPORTRANGE(""https://docs.google.com/spreadsheets/d/1Kvs4KS76FHFqLFIZfrDMff4kP08nblUkihrxltoGBjg/edit#gid=934712705"",""ESENCIAL!A6:BG""),8,FALSE))"),"")</f>
        <v/>
      </c>
      <c r="L411" s="287"/>
      <c r="V411" s="66"/>
    </row>
    <row r="412" spans="1:22" ht="15">
      <c r="A412" s="5"/>
      <c r="B412" s="4"/>
      <c r="F412" s="66"/>
      <c r="G412" s="5" t="str">
        <f ca="1">IFERROR(__xludf.DUMMYFUNCTION("IFERROR(VLOOKUP(F450,IMPORTRANGE(""https://docs.google.com/spreadsheets/d/1Kvs4KS76FHFqLFIZfrDMff4kP08nblUkihrxltoGBjg/edit#gid=934712705"",""ESENCIAL!A6:BG""),3,FALSE))"),"")</f>
        <v/>
      </c>
      <c r="H412" s="5" t="str">
        <f ca="1">IFERROR(__xludf.DUMMYFUNCTION("IFERROR(VLOOKUP(F450,IMPORTRANGE(""https://docs.google.com/spreadsheets/d/1Kvs4KS76FHFqLFIZfrDMff4kP08nblUkihrxltoGBjg/edit#gid=934712705"",""ESENCIAL!A6:BG""),8,FALSE))"),"")</f>
        <v/>
      </c>
      <c r="L412" s="287"/>
      <c r="V412" s="66"/>
    </row>
    <row r="413" spans="1:22" ht="15">
      <c r="A413" s="5"/>
      <c r="B413" s="4"/>
      <c r="F413" s="66"/>
      <c r="G413" s="5" t="str">
        <f ca="1">IFERROR(__xludf.DUMMYFUNCTION("IFERROR(VLOOKUP(F451,IMPORTRANGE(""https://docs.google.com/spreadsheets/d/1Kvs4KS76FHFqLFIZfrDMff4kP08nblUkihrxltoGBjg/edit#gid=934712705"",""ESENCIAL!A6:BG""),3,FALSE))"),"")</f>
        <v/>
      </c>
      <c r="H413" s="5" t="str">
        <f ca="1">IFERROR(__xludf.DUMMYFUNCTION("IFERROR(VLOOKUP(F451,IMPORTRANGE(""https://docs.google.com/spreadsheets/d/1Kvs4KS76FHFqLFIZfrDMff4kP08nblUkihrxltoGBjg/edit#gid=934712705"",""ESENCIAL!A6:BG""),8,FALSE))"),"")</f>
        <v/>
      </c>
      <c r="L413" s="287"/>
      <c r="V413" s="66"/>
    </row>
    <row r="414" spans="1:22" ht="15">
      <c r="A414" s="5"/>
      <c r="B414" s="4"/>
      <c r="F414" s="66"/>
      <c r="G414" s="5" t="str">
        <f ca="1">IFERROR(__xludf.DUMMYFUNCTION("IFERROR(VLOOKUP(F452,IMPORTRANGE(""https://docs.google.com/spreadsheets/d/1Kvs4KS76FHFqLFIZfrDMff4kP08nblUkihrxltoGBjg/edit#gid=934712705"",""ESENCIAL!A6:BG""),3,FALSE))"),"")</f>
        <v/>
      </c>
      <c r="H414" s="5" t="str">
        <f ca="1">IFERROR(__xludf.DUMMYFUNCTION("IFERROR(VLOOKUP(F452,IMPORTRANGE(""https://docs.google.com/spreadsheets/d/1Kvs4KS76FHFqLFIZfrDMff4kP08nblUkihrxltoGBjg/edit#gid=934712705"",""ESENCIAL!A6:BG""),8,FALSE))"),"")</f>
        <v/>
      </c>
      <c r="L414" s="287"/>
      <c r="V414" s="66"/>
    </row>
    <row r="415" spans="1:22" ht="15">
      <c r="A415" s="5"/>
      <c r="B415" s="4"/>
      <c r="F415" s="66"/>
      <c r="G415" s="5" t="str">
        <f ca="1">IFERROR(__xludf.DUMMYFUNCTION("IFERROR(VLOOKUP(F453,IMPORTRANGE(""https://docs.google.com/spreadsheets/d/1Kvs4KS76FHFqLFIZfrDMff4kP08nblUkihrxltoGBjg/edit#gid=934712705"",""ESENCIAL!A6:BG""),3,FALSE))"),"")</f>
        <v/>
      </c>
      <c r="H415" s="5" t="str">
        <f ca="1">IFERROR(__xludf.DUMMYFUNCTION("IFERROR(VLOOKUP(F453,IMPORTRANGE(""https://docs.google.com/spreadsheets/d/1Kvs4KS76FHFqLFIZfrDMff4kP08nblUkihrxltoGBjg/edit#gid=934712705"",""ESENCIAL!A6:BG""),8,FALSE))"),"")</f>
        <v/>
      </c>
      <c r="L415" s="287"/>
      <c r="V415" s="66"/>
    </row>
    <row r="416" spans="1:22" ht="15">
      <c r="A416" s="5"/>
      <c r="B416" s="4"/>
      <c r="F416" s="66"/>
      <c r="G416" s="5" t="str">
        <f ca="1">IFERROR(__xludf.DUMMYFUNCTION("IFERROR(VLOOKUP(F454,IMPORTRANGE(""https://docs.google.com/spreadsheets/d/1Kvs4KS76FHFqLFIZfrDMff4kP08nblUkihrxltoGBjg/edit#gid=934712705"",""ESENCIAL!A6:BG""),3,FALSE))"),"")</f>
        <v/>
      </c>
      <c r="H416" s="5" t="str">
        <f ca="1">IFERROR(__xludf.DUMMYFUNCTION("IFERROR(VLOOKUP(F454,IMPORTRANGE(""https://docs.google.com/spreadsheets/d/1Kvs4KS76FHFqLFIZfrDMff4kP08nblUkihrxltoGBjg/edit#gid=934712705"",""ESENCIAL!A6:BG""),8,FALSE))"),"")</f>
        <v/>
      </c>
      <c r="L416" s="287"/>
      <c r="V416" s="66"/>
    </row>
    <row r="417" spans="1:22" ht="15">
      <c r="A417" s="5"/>
      <c r="B417" s="4"/>
      <c r="F417" s="66"/>
      <c r="G417" s="5" t="str">
        <f ca="1">IFERROR(__xludf.DUMMYFUNCTION("IFERROR(VLOOKUP(F455,IMPORTRANGE(""https://docs.google.com/spreadsheets/d/1Kvs4KS76FHFqLFIZfrDMff4kP08nblUkihrxltoGBjg/edit#gid=934712705"",""ESENCIAL!A6:BG""),3,FALSE))"),"")</f>
        <v/>
      </c>
      <c r="H417" s="5" t="str">
        <f ca="1">IFERROR(__xludf.DUMMYFUNCTION("IFERROR(VLOOKUP(F455,IMPORTRANGE(""https://docs.google.com/spreadsheets/d/1Kvs4KS76FHFqLFIZfrDMff4kP08nblUkihrxltoGBjg/edit#gid=934712705"",""ESENCIAL!A6:BG""),8,FALSE))"),"")</f>
        <v/>
      </c>
      <c r="L417" s="287"/>
      <c r="V417" s="66"/>
    </row>
    <row r="418" spans="1:22" ht="15">
      <c r="A418" s="5"/>
      <c r="B418" s="4"/>
      <c r="F418" s="66"/>
      <c r="G418" s="5" t="str">
        <f ca="1">IFERROR(__xludf.DUMMYFUNCTION("IFERROR(VLOOKUP(F456,IMPORTRANGE(""https://docs.google.com/spreadsheets/d/1Kvs4KS76FHFqLFIZfrDMff4kP08nblUkihrxltoGBjg/edit#gid=934712705"",""ESENCIAL!A6:BG""),3,FALSE))"),"")</f>
        <v/>
      </c>
      <c r="H418" s="5" t="str">
        <f ca="1">IFERROR(__xludf.DUMMYFUNCTION("IFERROR(VLOOKUP(F456,IMPORTRANGE(""https://docs.google.com/spreadsheets/d/1Kvs4KS76FHFqLFIZfrDMff4kP08nblUkihrxltoGBjg/edit#gid=934712705"",""ESENCIAL!A6:BG""),8,FALSE))"),"")</f>
        <v/>
      </c>
      <c r="L418" s="287"/>
      <c r="V418" s="66"/>
    </row>
    <row r="419" spans="1:22" ht="15">
      <c r="A419" s="5"/>
      <c r="B419" s="4"/>
      <c r="F419" s="66"/>
      <c r="G419" s="5" t="str">
        <f ca="1">IFERROR(__xludf.DUMMYFUNCTION("IFERROR(VLOOKUP(F457,IMPORTRANGE(""https://docs.google.com/spreadsheets/d/1Kvs4KS76FHFqLFIZfrDMff4kP08nblUkihrxltoGBjg/edit#gid=934712705"",""ESENCIAL!A6:BG""),3,FALSE))"),"")</f>
        <v/>
      </c>
      <c r="H419" s="5" t="str">
        <f ca="1">IFERROR(__xludf.DUMMYFUNCTION("IFERROR(VLOOKUP(F457,IMPORTRANGE(""https://docs.google.com/spreadsheets/d/1Kvs4KS76FHFqLFIZfrDMff4kP08nblUkihrxltoGBjg/edit#gid=934712705"",""ESENCIAL!A6:BG""),8,FALSE))"),"")</f>
        <v/>
      </c>
      <c r="L419" s="287"/>
      <c r="V419" s="66"/>
    </row>
    <row r="420" spans="1:22" ht="15">
      <c r="A420" s="5"/>
      <c r="B420" s="4"/>
      <c r="F420" s="66"/>
      <c r="G420" s="5" t="str">
        <f ca="1">IFERROR(__xludf.DUMMYFUNCTION("IFERROR(VLOOKUP(F458,IMPORTRANGE(""https://docs.google.com/spreadsheets/d/1Kvs4KS76FHFqLFIZfrDMff4kP08nblUkihrxltoGBjg/edit#gid=934712705"",""ESENCIAL!A6:BG""),3,FALSE))"),"")</f>
        <v/>
      </c>
      <c r="H420" s="5" t="str">
        <f ca="1">IFERROR(__xludf.DUMMYFUNCTION("IFERROR(VLOOKUP(F458,IMPORTRANGE(""https://docs.google.com/spreadsheets/d/1Kvs4KS76FHFqLFIZfrDMff4kP08nblUkihrxltoGBjg/edit#gid=934712705"",""ESENCIAL!A6:BG""),8,FALSE))"),"")</f>
        <v/>
      </c>
      <c r="L420" s="287"/>
      <c r="V420" s="66"/>
    </row>
    <row r="421" spans="1:22" ht="15">
      <c r="A421" s="5"/>
      <c r="B421" s="4"/>
      <c r="F421" s="66"/>
      <c r="G421" s="5" t="str">
        <f ca="1">IFERROR(__xludf.DUMMYFUNCTION("IFERROR(VLOOKUP(F459,IMPORTRANGE(""https://docs.google.com/spreadsheets/d/1Kvs4KS76FHFqLFIZfrDMff4kP08nblUkihrxltoGBjg/edit#gid=934712705"",""ESENCIAL!A6:BG""),3,FALSE))"),"")</f>
        <v/>
      </c>
      <c r="H421" s="5" t="str">
        <f ca="1">IFERROR(__xludf.DUMMYFUNCTION("IFERROR(VLOOKUP(F459,IMPORTRANGE(""https://docs.google.com/spreadsheets/d/1Kvs4KS76FHFqLFIZfrDMff4kP08nblUkihrxltoGBjg/edit#gid=934712705"",""ESENCIAL!A6:BG""),8,FALSE))"),"")</f>
        <v/>
      </c>
      <c r="L421" s="287"/>
      <c r="V421" s="66"/>
    </row>
    <row r="422" spans="1:22" ht="15">
      <c r="A422" s="5"/>
      <c r="B422" s="4"/>
      <c r="F422" s="66"/>
      <c r="G422" s="5" t="str">
        <f ca="1">IFERROR(__xludf.DUMMYFUNCTION("IFERROR(VLOOKUP(F460,IMPORTRANGE(""https://docs.google.com/spreadsheets/d/1Kvs4KS76FHFqLFIZfrDMff4kP08nblUkihrxltoGBjg/edit#gid=934712705"",""ESENCIAL!A6:BG""),3,FALSE))"),"")</f>
        <v/>
      </c>
      <c r="H422" s="5" t="str">
        <f ca="1">IFERROR(__xludf.DUMMYFUNCTION("IFERROR(VLOOKUP(F460,IMPORTRANGE(""https://docs.google.com/spreadsheets/d/1Kvs4KS76FHFqLFIZfrDMff4kP08nblUkihrxltoGBjg/edit#gid=934712705"",""ESENCIAL!A6:BG""),8,FALSE))"),"")</f>
        <v/>
      </c>
      <c r="L422" s="287"/>
      <c r="V422" s="66"/>
    </row>
    <row r="423" spans="1:22" ht="15">
      <c r="A423" s="5"/>
      <c r="B423" s="4"/>
      <c r="F423" s="66"/>
      <c r="G423" s="5" t="str">
        <f ca="1">IFERROR(__xludf.DUMMYFUNCTION("IFERROR(VLOOKUP(F461,IMPORTRANGE(""https://docs.google.com/spreadsheets/d/1Kvs4KS76FHFqLFIZfrDMff4kP08nblUkihrxltoGBjg/edit#gid=934712705"",""ESENCIAL!A6:BG""),3,FALSE))"),"")</f>
        <v/>
      </c>
      <c r="H423" s="5" t="str">
        <f ca="1">IFERROR(__xludf.DUMMYFUNCTION("IFERROR(VLOOKUP(F461,IMPORTRANGE(""https://docs.google.com/spreadsheets/d/1Kvs4KS76FHFqLFIZfrDMff4kP08nblUkihrxltoGBjg/edit#gid=934712705"",""ESENCIAL!A6:BG""),8,FALSE))"),"")</f>
        <v/>
      </c>
      <c r="L423" s="287"/>
      <c r="V423" s="66"/>
    </row>
    <row r="424" spans="1:22" ht="15">
      <c r="A424" s="5"/>
      <c r="B424" s="4"/>
      <c r="F424" s="66"/>
      <c r="G424" s="5" t="str">
        <f ca="1">IFERROR(__xludf.DUMMYFUNCTION("IFERROR(VLOOKUP(F462,IMPORTRANGE(""https://docs.google.com/spreadsheets/d/1Kvs4KS76FHFqLFIZfrDMff4kP08nblUkihrxltoGBjg/edit#gid=934712705"",""ESENCIAL!A6:BG""),3,FALSE))"),"")</f>
        <v/>
      </c>
      <c r="H424" s="5" t="str">
        <f ca="1">IFERROR(__xludf.DUMMYFUNCTION("IFERROR(VLOOKUP(F462,IMPORTRANGE(""https://docs.google.com/spreadsheets/d/1Kvs4KS76FHFqLFIZfrDMff4kP08nblUkihrxltoGBjg/edit#gid=934712705"",""ESENCIAL!A6:BG""),8,FALSE))"),"")</f>
        <v/>
      </c>
      <c r="L424" s="287"/>
      <c r="V424" s="66"/>
    </row>
    <row r="425" spans="1:22" ht="15">
      <c r="A425" s="5"/>
      <c r="B425" s="4"/>
      <c r="F425" s="66"/>
      <c r="G425" s="5" t="str">
        <f ca="1">IFERROR(__xludf.DUMMYFUNCTION("IFERROR(VLOOKUP(F463,IMPORTRANGE(""https://docs.google.com/spreadsheets/d/1Kvs4KS76FHFqLFIZfrDMff4kP08nblUkihrxltoGBjg/edit#gid=934712705"",""ESENCIAL!A6:BG""),3,FALSE))"),"")</f>
        <v/>
      </c>
      <c r="H425" s="5" t="str">
        <f ca="1">IFERROR(__xludf.DUMMYFUNCTION("IFERROR(VLOOKUP(F463,IMPORTRANGE(""https://docs.google.com/spreadsheets/d/1Kvs4KS76FHFqLFIZfrDMff4kP08nblUkihrxltoGBjg/edit#gid=934712705"",""ESENCIAL!A6:BG""),8,FALSE))"),"")</f>
        <v/>
      </c>
      <c r="L425" s="287"/>
      <c r="V425" s="66"/>
    </row>
    <row r="426" spans="1:22" ht="15">
      <c r="A426" s="5"/>
      <c r="B426" s="4"/>
      <c r="F426" s="66"/>
      <c r="G426" s="5" t="str">
        <f ca="1">IFERROR(__xludf.DUMMYFUNCTION("IFERROR(VLOOKUP(F464,IMPORTRANGE(""https://docs.google.com/spreadsheets/d/1Kvs4KS76FHFqLFIZfrDMff4kP08nblUkihrxltoGBjg/edit#gid=934712705"",""ESENCIAL!A6:BG""),3,FALSE))"),"")</f>
        <v/>
      </c>
      <c r="H426" s="5" t="str">
        <f ca="1">IFERROR(__xludf.DUMMYFUNCTION("IFERROR(VLOOKUP(F464,IMPORTRANGE(""https://docs.google.com/spreadsheets/d/1Kvs4KS76FHFqLFIZfrDMff4kP08nblUkihrxltoGBjg/edit#gid=934712705"",""ESENCIAL!A6:BG""),8,FALSE))"),"")</f>
        <v/>
      </c>
      <c r="L426" s="287"/>
      <c r="V426" s="66"/>
    </row>
    <row r="427" spans="1:22" ht="15">
      <c r="A427" s="5"/>
      <c r="B427" s="4"/>
      <c r="F427" s="66"/>
      <c r="G427" s="5" t="str">
        <f ca="1">IFERROR(__xludf.DUMMYFUNCTION("IFERROR(VLOOKUP(F465,IMPORTRANGE(""https://docs.google.com/spreadsheets/d/1Kvs4KS76FHFqLFIZfrDMff4kP08nblUkihrxltoGBjg/edit#gid=934712705"",""ESENCIAL!A6:BG""),3,FALSE))"),"")</f>
        <v/>
      </c>
      <c r="H427" s="5" t="str">
        <f ca="1">IFERROR(__xludf.DUMMYFUNCTION("IFERROR(VLOOKUP(F465,IMPORTRANGE(""https://docs.google.com/spreadsheets/d/1Kvs4KS76FHFqLFIZfrDMff4kP08nblUkihrxltoGBjg/edit#gid=934712705"",""ESENCIAL!A6:BG""),8,FALSE))"),"")</f>
        <v/>
      </c>
      <c r="L427" s="287"/>
      <c r="V427" s="66"/>
    </row>
    <row r="428" spans="1:22" ht="15">
      <c r="A428" s="5"/>
      <c r="B428" s="4"/>
      <c r="F428" s="66"/>
      <c r="G428" s="5" t="str">
        <f ca="1">IFERROR(__xludf.DUMMYFUNCTION("IFERROR(VLOOKUP(F466,IMPORTRANGE(""https://docs.google.com/spreadsheets/d/1Kvs4KS76FHFqLFIZfrDMff4kP08nblUkihrxltoGBjg/edit#gid=934712705"",""ESENCIAL!A6:BG""),3,FALSE))"),"")</f>
        <v/>
      </c>
      <c r="H428" s="5" t="str">
        <f ca="1">IFERROR(__xludf.DUMMYFUNCTION("IFERROR(VLOOKUP(F466,IMPORTRANGE(""https://docs.google.com/spreadsheets/d/1Kvs4KS76FHFqLFIZfrDMff4kP08nblUkihrxltoGBjg/edit#gid=934712705"",""ESENCIAL!A6:BG""),8,FALSE))"),"")</f>
        <v/>
      </c>
      <c r="L428" s="287"/>
      <c r="V428" s="66"/>
    </row>
    <row r="429" spans="1:22" ht="15">
      <c r="A429" s="5"/>
      <c r="B429" s="4"/>
      <c r="F429" s="66"/>
      <c r="G429" s="5" t="str">
        <f ca="1">IFERROR(__xludf.DUMMYFUNCTION("IFERROR(VLOOKUP(F467,IMPORTRANGE(""https://docs.google.com/spreadsheets/d/1Kvs4KS76FHFqLFIZfrDMff4kP08nblUkihrxltoGBjg/edit#gid=934712705"",""ESENCIAL!A6:BG""),3,FALSE))"),"")</f>
        <v/>
      </c>
      <c r="H429" s="5" t="str">
        <f ca="1">IFERROR(__xludf.DUMMYFUNCTION("IFERROR(VLOOKUP(F467,IMPORTRANGE(""https://docs.google.com/spreadsheets/d/1Kvs4KS76FHFqLFIZfrDMff4kP08nblUkihrxltoGBjg/edit#gid=934712705"",""ESENCIAL!A6:BG""),8,FALSE))"),"")</f>
        <v/>
      </c>
      <c r="L429" s="287"/>
      <c r="V429" s="66"/>
    </row>
    <row r="430" spans="1:22" ht="15">
      <c r="A430" s="5"/>
      <c r="B430" s="4"/>
      <c r="F430" s="66"/>
      <c r="G430" s="5" t="str">
        <f ca="1">IFERROR(__xludf.DUMMYFUNCTION("IFERROR(VLOOKUP(F468,IMPORTRANGE(""https://docs.google.com/spreadsheets/d/1Kvs4KS76FHFqLFIZfrDMff4kP08nblUkihrxltoGBjg/edit#gid=934712705"",""ESENCIAL!A6:BG""),3,FALSE))"),"")</f>
        <v/>
      </c>
      <c r="H430" s="5" t="str">
        <f ca="1">IFERROR(__xludf.DUMMYFUNCTION("IFERROR(VLOOKUP(F468,IMPORTRANGE(""https://docs.google.com/spreadsheets/d/1Kvs4KS76FHFqLFIZfrDMff4kP08nblUkihrxltoGBjg/edit#gid=934712705"",""ESENCIAL!A6:BG""),8,FALSE))"),"")</f>
        <v/>
      </c>
      <c r="L430" s="287"/>
      <c r="V430" s="66"/>
    </row>
    <row r="431" spans="1:22" ht="15">
      <c r="A431" s="5"/>
      <c r="B431" s="4"/>
      <c r="F431" s="66"/>
      <c r="G431" s="5" t="str">
        <f ca="1">IFERROR(__xludf.DUMMYFUNCTION("IFERROR(VLOOKUP(F469,IMPORTRANGE(""https://docs.google.com/spreadsheets/d/1Kvs4KS76FHFqLFIZfrDMff4kP08nblUkihrxltoGBjg/edit#gid=934712705"",""ESENCIAL!A6:BG""),3,FALSE))"),"")</f>
        <v/>
      </c>
      <c r="H431" s="5" t="str">
        <f ca="1">IFERROR(__xludf.DUMMYFUNCTION("IFERROR(VLOOKUP(F469,IMPORTRANGE(""https://docs.google.com/spreadsheets/d/1Kvs4KS76FHFqLFIZfrDMff4kP08nblUkihrxltoGBjg/edit#gid=934712705"",""ESENCIAL!A6:BG""),8,FALSE))"),"")</f>
        <v/>
      </c>
      <c r="L431" s="287"/>
      <c r="V431" s="66"/>
    </row>
    <row r="432" spans="1:22" ht="15">
      <c r="A432" s="5"/>
      <c r="B432" s="4"/>
      <c r="F432" s="66"/>
      <c r="G432" s="5" t="str">
        <f ca="1">IFERROR(__xludf.DUMMYFUNCTION("IFERROR(VLOOKUP(F470,IMPORTRANGE(""https://docs.google.com/spreadsheets/d/1Kvs4KS76FHFqLFIZfrDMff4kP08nblUkihrxltoGBjg/edit#gid=934712705"",""ESENCIAL!A6:BG""),3,FALSE))"),"")</f>
        <v/>
      </c>
      <c r="H432" s="5" t="str">
        <f ca="1">IFERROR(__xludf.DUMMYFUNCTION("IFERROR(VLOOKUP(F470,IMPORTRANGE(""https://docs.google.com/spreadsheets/d/1Kvs4KS76FHFqLFIZfrDMff4kP08nblUkihrxltoGBjg/edit#gid=934712705"",""ESENCIAL!A6:BG""),8,FALSE))"),"")</f>
        <v/>
      </c>
      <c r="L432" s="287"/>
      <c r="V432" s="66"/>
    </row>
    <row r="433" spans="1:22" ht="15">
      <c r="A433" s="5"/>
      <c r="B433" s="4"/>
      <c r="F433" s="66"/>
      <c r="G433" s="5" t="str">
        <f ca="1">IFERROR(__xludf.DUMMYFUNCTION("IFERROR(VLOOKUP(F471,IMPORTRANGE(""https://docs.google.com/spreadsheets/d/1Kvs4KS76FHFqLFIZfrDMff4kP08nblUkihrxltoGBjg/edit#gid=934712705"",""ESENCIAL!A6:BG""),3,FALSE))"),"")</f>
        <v/>
      </c>
      <c r="H433" s="5" t="str">
        <f ca="1">IFERROR(__xludf.DUMMYFUNCTION("IFERROR(VLOOKUP(F471,IMPORTRANGE(""https://docs.google.com/spreadsheets/d/1Kvs4KS76FHFqLFIZfrDMff4kP08nblUkihrxltoGBjg/edit#gid=934712705"",""ESENCIAL!A6:BG""),8,FALSE))"),"")</f>
        <v/>
      </c>
      <c r="L433" s="287"/>
      <c r="V433" s="66"/>
    </row>
    <row r="434" spans="1:22" ht="15">
      <c r="A434" s="5"/>
      <c r="B434" s="4"/>
      <c r="F434" s="66"/>
      <c r="G434" s="5" t="str">
        <f ca="1">IFERROR(__xludf.DUMMYFUNCTION("IFERROR(VLOOKUP(F472,IMPORTRANGE(""https://docs.google.com/spreadsheets/d/1Kvs4KS76FHFqLFIZfrDMff4kP08nblUkihrxltoGBjg/edit#gid=934712705"",""ESENCIAL!A6:BG""),3,FALSE))"),"")</f>
        <v/>
      </c>
      <c r="H434" s="5" t="str">
        <f ca="1">IFERROR(__xludf.DUMMYFUNCTION("IFERROR(VLOOKUP(F472,IMPORTRANGE(""https://docs.google.com/spreadsheets/d/1Kvs4KS76FHFqLFIZfrDMff4kP08nblUkihrxltoGBjg/edit#gid=934712705"",""ESENCIAL!A6:BG""),8,FALSE))"),"")</f>
        <v/>
      </c>
      <c r="L434" s="287"/>
      <c r="V434" s="66"/>
    </row>
    <row r="435" spans="1:22" ht="15">
      <c r="A435" s="5"/>
      <c r="B435" s="4"/>
      <c r="F435" s="66"/>
      <c r="G435" s="5" t="str">
        <f ca="1">IFERROR(__xludf.DUMMYFUNCTION("IFERROR(VLOOKUP(F473,IMPORTRANGE(""https://docs.google.com/spreadsheets/d/1Kvs4KS76FHFqLFIZfrDMff4kP08nblUkihrxltoGBjg/edit#gid=934712705"",""ESENCIAL!A6:BG""),3,FALSE))"),"")</f>
        <v/>
      </c>
      <c r="H435" s="5" t="str">
        <f ca="1">IFERROR(__xludf.DUMMYFUNCTION("IFERROR(VLOOKUP(F473,IMPORTRANGE(""https://docs.google.com/spreadsheets/d/1Kvs4KS76FHFqLFIZfrDMff4kP08nblUkihrxltoGBjg/edit#gid=934712705"",""ESENCIAL!A6:BG""),8,FALSE))"),"")</f>
        <v/>
      </c>
      <c r="L435" s="287"/>
      <c r="V435" s="66"/>
    </row>
    <row r="436" spans="1:22" ht="15">
      <c r="A436" s="5"/>
      <c r="B436" s="4"/>
      <c r="F436" s="66"/>
      <c r="G436" s="5" t="str">
        <f ca="1">IFERROR(__xludf.DUMMYFUNCTION("IFERROR(VLOOKUP(F474,IMPORTRANGE(""https://docs.google.com/spreadsheets/d/1Kvs4KS76FHFqLFIZfrDMff4kP08nblUkihrxltoGBjg/edit#gid=934712705"",""ESENCIAL!A6:BG""),3,FALSE))"),"")</f>
        <v/>
      </c>
      <c r="H436" s="5" t="str">
        <f ca="1">IFERROR(__xludf.DUMMYFUNCTION("IFERROR(VLOOKUP(F474,IMPORTRANGE(""https://docs.google.com/spreadsheets/d/1Kvs4KS76FHFqLFIZfrDMff4kP08nblUkihrxltoGBjg/edit#gid=934712705"",""ESENCIAL!A6:BG""),8,FALSE))"),"")</f>
        <v/>
      </c>
      <c r="L436" s="287"/>
      <c r="V436" s="66"/>
    </row>
    <row r="437" spans="1:22" ht="15">
      <c r="A437" s="5"/>
      <c r="B437" s="4"/>
      <c r="F437" s="66"/>
      <c r="G437" s="5" t="str">
        <f ca="1">IFERROR(__xludf.DUMMYFUNCTION("IFERROR(VLOOKUP(F475,IMPORTRANGE(""https://docs.google.com/spreadsheets/d/1Kvs4KS76FHFqLFIZfrDMff4kP08nblUkihrxltoGBjg/edit#gid=934712705"",""ESENCIAL!A6:BG""),3,FALSE))"),"")</f>
        <v/>
      </c>
      <c r="H437" s="5" t="str">
        <f ca="1">IFERROR(__xludf.DUMMYFUNCTION("IFERROR(VLOOKUP(F475,IMPORTRANGE(""https://docs.google.com/spreadsheets/d/1Kvs4KS76FHFqLFIZfrDMff4kP08nblUkihrxltoGBjg/edit#gid=934712705"",""ESENCIAL!A6:BG""),8,FALSE))"),"")</f>
        <v/>
      </c>
      <c r="L437" s="287"/>
      <c r="V437" s="66"/>
    </row>
    <row r="438" spans="1:22" ht="15">
      <c r="A438" s="5"/>
      <c r="B438" s="4"/>
      <c r="F438" s="66"/>
      <c r="G438" s="5" t="str">
        <f ca="1">IFERROR(__xludf.DUMMYFUNCTION("IFERROR(VLOOKUP(F476,IMPORTRANGE(""https://docs.google.com/spreadsheets/d/1Kvs4KS76FHFqLFIZfrDMff4kP08nblUkihrxltoGBjg/edit#gid=934712705"",""ESENCIAL!A6:BG""),3,FALSE))"),"")</f>
        <v/>
      </c>
      <c r="H438" s="5" t="str">
        <f ca="1">IFERROR(__xludf.DUMMYFUNCTION("IFERROR(VLOOKUP(F476,IMPORTRANGE(""https://docs.google.com/spreadsheets/d/1Kvs4KS76FHFqLFIZfrDMff4kP08nblUkihrxltoGBjg/edit#gid=934712705"",""ESENCIAL!A6:BG""),8,FALSE))"),"")</f>
        <v/>
      </c>
      <c r="L438" s="287"/>
      <c r="V438" s="66"/>
    </row>
    <row r="439" spans="1:22" ht="15">
      <c r="A439" s="5"/>
      <c r="B439" s="4"/>
      <c r="F439" s="66"/>
      <c r="G439" s="5" t="str">
        <f ca="1">IFERROR(__xludf.DUMMYFUNCTION("IFERROR(VLOOKUP(F477,IMPORTRANGE(""https://docs.google.com/spreadsheets/d/1Kvs4KS76FHFqLFIZfrDMff4kP08nblUkihrxltoGBjg/edit#gid=934712705"",""ESENCIAL!A6:BG""),3,FALSE))"),"")</f>
        <v/>
      </c>
      <c r="H439" s="5" t="str">
        <f ca="1">IFERROR(__xludf.DUMMYFUNCTION("IFERROR(VLOOKUP(F477,IMPORTRANGE(""https://docs.google.com/spreadsheets/d/1Kvs4KS76FHFqLFIZfrDMff4kP08nblUkihrxltoGBjg/edit#gid=934712705"",""ESENCIAL!A6:BG""),8,FALSE))"),"")</f>
        <v/>
      </c>
      <c r="L439" s="287"/>
      <c r="V439" s="66"/>
    </row>
    <row r="440" spans="1:22" ht="15">
      <c r="A440" s="5"/>
      <c r="B440" s="4"/>
      <c r="F440" s="66"/>
      <c r="G440" s="5" t="str">
        <f ca="1">IFERROR(__xludf.DUMMYFUNCTION("IFERROR(VLOOKUP(F478,IMPORTRANGE(""https://docs.google.com/spreadsheets/d/1Kvs4KS76FHFqLFIZfrDMff4kP08nblUkihrxltoGBjg/edit#gid=934712705"",""ESENCIAL!A6:BG""),3,FALSE))"),"")</f>
        <v/>
      </c>
      <c r="H440" s="5" t="str">
        <f ca="1">IFERROR(__xludf.DUMMYFUNCTION("IFERROR(VLOOKUP(F478,IMPORTRANGE(""https://docs.google.com/spreadsheets/d/1Kvs4KS76FHFqLFIZfrDMff4kP08nblUkihrxltoGBjg/edit#gid=934712705"",""ESENCIAL!A6:BG""),8,FALSE))"),"")</f>
        <v/>
      </c>
      <c r="L440" s="287"/>
      <c r="V440" s="66"/>
    </row>
    <row r="441" spans="1:22" ht="15">
      <c r="A441" s="5"/>
      <c r="B441" s="4"/>
      <c r="F441" s="66"/>
      <c r="G441" s="5" t="str">
        <f ca="1">IFERROR(__xludf.DUMMYFUNCTION("IFERROR(VLOOKUP(F479,IMPORTRANGE(""https://docs.google.com/spreadsheets/d/1Kvs4KS76FHFqLFIZfrDMff4kP08nblUkihrxltoGBjg/edit#gid=934712705"",""ESENCIAL!A6:BG""),3,FALSE))"),"")</f>
        <v/>
      </c>
      <c r="H441" s="5" t="str">
        <f ca="1">IFERROR(__xludf.DUMMYFUNCTION("IFERROR(VLOOKUP(F479,IMPORTRANGE(""https://docs.google.com/spreadsheets/d/1Kvs4KS76FHFqLFIZfrDMff4kP08nblUkihrxltoGBjg/edit#gid=934712705"",""ESENCIAL!A6:BG""),8,FALSE))"),"")</f>
        <v/>
      </c>
      <c r="L441" s="287"/>
      <c r="V441" s="66"/>
    </row>
    <row r="442" spans="1:22" ht="15">
      <c r="A442" s="5"/>
      <c r="B442" s="4"/>
      <c r="F442" s="66"/>
      <c r="G442" s="5" t="str">
        <f ca="1">IFERROR(__xludf.DUMMYFUNCTION("IFERROR(VLOOKUP(F480,IMPORTRANGE(""https://docs.google.com/spreadsheets/d/1Kvs4KS76FHFqLFIZfrDMff4kP08nblUkihrxltoGBjg/edit#gid=934712705"",""ESENCIAL!A6:BG""),3,FALSE))"),"")</f>
        <v/>
      </c>
      <c r="H442" s="5" t="str">
        <f ca="1">IFERROR(__xludf.DUMMYFUNCTION("IFERROR(VLOOKUP(F480,IMPORTRANGE(""https://docs.google.com/spreadsheets/d/1Kvs4KS76FHFqLFIZfrDMff4kP08nblUkihrxltoGBjg/edit#gid=934712705"",""ESENCIAL!A6:BG""),8,FALSE))"),"")</f>
        <v/>
      </c>
      <c r="L442" s="287"/>
      <c r="V442" s="66"/>
    </row>
    <row r="443" spans="1:22" ht="15">
      <c r="A443" s="5"/>
      <c r="B443" s="4"/>
      <c r="F443" s="66"/>
      <c r="G443" s="5" t="str">
        <f ca="1">IFERROR(__xludf.DUMMYFUNCTION("IFERROR(VLOOKUP(F481,IMPORTRANGE(""https://docs.google.com/spreadsheets/d/1Kvs4KS76FHFqLFIZfrDMff4kP08nblUkihrxltoGBjg/edit#gid=934712705"",""ESENCIAL!A6:BG""),3,FALSE))"),"")</f>
        <v/>
      </c>
      <c r="H443" s="5" t="str">
        <f ca="1">IFERROR(__xludf.DUMMYFUNCTION("IFERROR(VLOOKUP(F481,IMPORTRANGE(""https://docs.google.com/spreadsheets/d/1Kvs4KS76FHFqLFIZfrDMff4kP08nblUkihrxltoGBjg/edit#gid=934712705"",""ESENCIAL!A6:BG""),8,FALSE))"),"")</f>
        <v/>
      </c>
      <c r="L443" s="287"/>
      <c r="V443" s="66"/>
    </row>
    <row r="444" spans="1:22" ht="15">
      <c r="A444" s="5"/>
      <c r="B444" s="4"/>
      <c r="F444" s="66"/>
      <c r="G444" s="5" t="str">
        <f ca="1">IFERROR(__xludf.DUMMYFUNCTION("IFERROR(VLOOKUP(F482,IMPORTRANGE(""https://docs.google.com/spreadsheets/d/1Kvs4KS76FHFqLFIZfrDMff4kP08nblUkihrxltoGBjg/edit#gid=934712705"",""ESENCIAL!A6:BG""),3,FALSE))"),"")</f>
        <v/>
      </c>
      <c r="H444" s="5" t="str">
        <f ca="1">IFERROR(__xludf.DUMMYFUNCTION("IFERROR(VLOOKUP(F482,IMPORTRANGE(""https://docs.google.com/spreadsheets/d/1Kvs4KS76FHFqLFIZfrDMff4kP08nblUkihrxltoGBjg/edit#gid=934712705"",""ESENCIAL!A6:BG""),8,FALSE))"),"")</f>
        <v/>
      </c>
      <c r="L444" s="287"/>
      <c r="V444" s="66"/>
    </row>
    <row r="445" spans="1:22" ht="15">
      <c r="A445" s="5"/>
      <c r="B445" s="4"/>
      <c r="F445" s="66"/>
      <c r="G445" s="5" t="str">
        <f ca="1">IFERROR(__xludf.DUMMYFUNCTION("IFERROR(VLOOKUP(F483,IMPORTRANGE(""https://docs.google.com/spreadsheets/d/1Kvs4KS76FHFqLFIZfrDMff4kP08nblUkihrxltoGBjg/edit#gid=934712705"",""ESENCIAL!A6:BG""),3,FALSE))"),"")</f>
        <v/>
      </c>
      <c r="H445" s="5" t="str">
        <f ca="1">IFERROR(__xludf.DUMMYFUNCTION("IFERROR(VLOOKUP(F483,IMPORTRANGE(""https://docs.google.com/spreadsheets/d/1Kvs4KS76FHFqLFIZfrDMff4kP08nblUkihrxltoGBjg/edit#gid=934712705"",""ESENCIAL!A6:BG""),8,FALSE))"),"")</f>
        <v/>
      </c>
      <c r="L445" s="287"/>
      <c r="V445" s="66"/>
    </row>
    <row r="446" spans="1:22" ht="15">
      <c r="A446" s="5"/>
      <c r="B446" s="4"/>
      <c r="F446" s="66"/>
      <c r="G446" s="5" t="str">
        <f ca="1">IFERROR(__xludf.DUMMYFUNCTION("IFERROR(VLOOKUP(F484,IMPORTRANGE(""https://docs.google.com/spreadsheets/d/1Kvs4KS76FHFqLFIZfrDMff4kP08nblUkihrxltoGBjg/edit#gid=934712705"",""ESENCIAL!A6:BG""),3,FALSE))"),"")</f>
        <v/>
      </c>
      <c r="H446" s="5" t="str">
        <f ca="1">IFERROR(__xludf.DUMMYFUNCTION("IFERROR(VLOOKUP(F484,IMPORTRANGE(""https://docs.google.com/spreadsheets/d/1Kvs4KS76FHFqLFIZfrDMff4kP08nblUkihrxltoGBjg/edit#gid=934712705"",""ESENCIAL!A6:BG""),8,FALSE))"),"")</f>
        <v/>
      </c>
      <c r="L446" s="287"/>
      <c r="V446" s="66"/>
    </row>
    <row r="447" spans="1:22" ht="15">
      <c r="A447" s="5"/>
      <c r="B447" s="4"/>
      <c r="F447" s="66"/>
      <c r="G447" s="5" t="str">
        <f ca="1">IFERROR(__xludf.DUMMYFUNCTION("IFERROR(VLOOKUP(F485,IMPORTRANGE(""https://docs.google.com/spreadsheets/d/1Kvs4KS76FHFqLFIZfrDMff4kP08nblUkihrxltoGBjg/edit#gid=934712705"",""ESENCIAL!A6:BG""),3,FALSE))"),"")</f>
        <v/>
      </c>
      <c r="H447" s="5" t="str">
        <f ca="1">IFERROR(__xludf.DUMMYFUNCTION("IFERROR(VLOOKUP(F485,IMPORTRANGE(""https://docs.google.com/spreadsheets/d/1Kvs4KS76FHFqLFIZfrDMff4kP08nblUkihrxltoGBjg/edit#gid=934712705"",""ESENCIAL!A6:BG""),8,FALSE))"),"")</f>
        <v/>
      </c>
      <c r="L447" s="287"/>
      <c r="V447" s="66"/>
    </row>
    <row r="448" spans="1:22" ht="15">
      <c r="A448" s="5"/>
      <c r="B448" s="4"/>
      <c r="F448" s="66"/>
      <c r="G448" s="5" t="str">
        <f ca="1">IFERROR(__xludf.DUMMYFUNCTION("IFERROR(VLOOKUP(F486,IMPORTRANGE(""https://docs.google.com/spreadsheets/d/1Kvs4KS76FHFqLFIZfrDMff4kP08nblUkihrxltoGBjg/edit#gid=934712705"",""ESENCIAL!A6:BG""),3,FALSE))"),"")</f>
        <v/>
      </c>
      <c r="H448" s="5" t="str">
        <f ca="1">IFERROR(__xludf.DUMMYFUNCTION("IFERROR(VLOOKUP(F486,IMPORTRANGE(""https://docs.google.com/spreadsheets/d/1Kvs4KS76FHFqLFIZfrDMff4kP08nblUkihrxltoGBjg/edit#gid=934712705"",""ESENCIAL!A6:BG""),8,FALSE))"),"")</f>
        <v/>
      </c>
      <c r="L448" s="287"/>
      <c r="V448" s="66"/>
    </row>
    <row r="449" spans="1:22" ht="15">
      <c r="A449" s="5"/>
      <c r="B449" s="4"/>
      <c r="F449" s="66"/>
      <c r="G449" s="5" t="str">
        <f ca="1">IFERROR(__xludf.DUMMYFUNCTION("IFERROR(VLOOKUP(F487,IMPORTRANGE(""https://docs.google.com/spreadsheets/d/1Kvs4KS76FHFqLFIZfrDMff4kP08nblUkihrxltoGBjg/edit#gid=934712705"",""ESENCIAL!A6:BG""),3,FALSE))"),"")</f>
        <v/>
      </c>
      <c r="H449" s="5" t="str">
        <f ca="1">IFERROR(__xludf.DUMMYFUNCTION("IFERROR(VLOOKUP(F487,IMPORTRANGE(""https://docs.google.com/spreadsheets/d/1Kvs4KS76FHFqLFIZfrDMff4kP08nblUkihrxltoGBjg/edit#gid=934712705"",""ESENCIAL!A6:BG""),8,FALSE))"),"")</f>
        <v/>
      </c>
      <c r="L449" s="287"/>
      <c r="V449" s="66"/>
    </row>
    <row r="450" spans="1:22" ht="15">
      <c r="A450" s="5"/>
      <c r="B450" s="4"/>
      <c r="F450" s="66"/>
      <c r="G450" s="5" t="str">
        <f ca="1">IFERROR(__xludf.DUMMYFUNCTION("IFERROR(VLOOKUP(F488,IMPORTRANGE(""https://docs.google.com/spreadsheets/d/1Kvs4KS76FHFqLFIZfrDMff4kP08nblUkihrxltoGBjg/edit#gid=934712705"",""ESENCIAL!A6:BG""),3,FALSE))"),"")</f>
        <v/>
      </c>
      <c r="H450" s="5" t="str">
        <f ca="1">IFERROR(__xludf.DUMMYFUNCTION("IFERROR(VLOOKUP(F488,IMPORTRANGE(""https://docs.google.com/spreadsheets/d/1Kvs4KS76FHFqLFIZfrDMff4kP08nblUkihrxltoGBjg/edit#gid=934712705"",""ESENCIAL!A6:BG""),8,FALSE))"),"")</f>
        <v/>
      </c>
      <c r="L450" s="287"/>
      <c r="V450" s="66"/>
    </row>
    <row r="451" spans="1:22" ht="15">
      <c r="A451" s="5"/>
      <c r="B451" s="4"/>
      <c r="F451" s="66"/>
      <c r="G451" s="5" t="str">
        <f ca="1">IFERROR(__xludf.DUMMYFUNCTION("IFERROR(VLOOKUP(F489,IMPORTRANGE(""https://docs.google.com/spreadsheets/d/1Kvs4KS76FHFqLFIZfrDMff4kP08nblUkihrxltoGBjg/edit#gid=934712705"",""ESENCIAL!A6:BG""),3,FALSE))"),"")</f>
        <v/>
      </c>
      <c r="H451" s="5" t="str">
        <f ca="1">IFERROR(__xludf.DUMMYFUNCTION("IFERROR(VLOOKUP(F489,IMPORTRANGE(""https://docs.google.com/spreadsheets/d/1Kvs4KS76FHFqLFIZfrDMff4kP08nblUkihrxltoGBjg/edit#gid=934712705"",""ESENCIAL!A6:BG""),8,FALSE))"),"")</f>
        <v/>
      </c>
      <c r="L451" s="287"/>
      <c r="V451" s="66"/>
    </row>
    <row r="452" spans="1:22" ht="15">
      <c r="A452" s="5"/>
      <c r="B452" s="4"/>
      <c r="F452" s="66"/>
      <c r="G452" s="5" t="str">
        <f ca="1">IFERROR(__xludf.DUMMYFUNCTION("IFERROR(VLOOKUP(F490,IMPORTRANGE(""https://docs.google.com/spreadsheets/d/1Kvs4KS76FHFqLFIZfrDMff4kP08nblUkihrxltoGBjg/edit#gid=934712705"",""ESENCIAL!A6:BG""),3,FALSE))"),"")</f>
        <v/>
      </c>
      <c r="H452" s="5" t="str">
        <f ca="1">IFERROR(__xludf.DUMMYFUNCTION("IFERROR(VLOOKUP(F490,IMPORTRANGE(""https://docs.google.com/spreadsheets/d/1Kvs4KS76FHFqLFIZfrDMff4kP08nblUkihrxltoGBjg/edit#gid=934712705"",""ESENCIAL!A6:BG""),8,FALSE))"),"")</f>
        <v/>
      </c>
      <c r="L452" s="287"/>
      <c r="V452" s="66"/>
    </row>
    <row r="453" spans="1:22" ht="15">
      <c r="A453" s="5"/>
      <c r="B453" s="4"/>
      <c r="F453" s="66"/>
      <c r="G453" s="5" t="str">
        <f ca="1">IFERROR(__xludf.DUMMYFUNCTION("IFERROR(VLOOKUP(F491,IMPORTRANGE(""https://docs.google.com/spreadsheets/d/1Kvs4KS76FHFqLFIZfrDMff4kP08nblUkihrxltoGBjg/edit#gid=934712705"",""ESENCIAL!A6:BG""),3,FALSE))"),"")</f>
        <v/>
      </c>
      <c r="H453" s="5" t="str">
        <f ca="1">IFERROR(__xludf.DUMMYFUNCTION("IFERROR(VLOOKUP(F491,IMPORTRANGE(""https://docs.google.com/spreadsheets/d/1Kvs4KS76FHFqLFIZfrDMff4kP08nblUkihrxltoGBjg/edit#gid=934712705"",""ESENCIAL!A6:BG""),8,FALSE))"),"")</f>
        <v/>
      </c>
      <c r="L453" s="287"/>
      <c r="V453" s="66"/>
    </row>
    <row r="454" spans="1:22" ht="15">
      <c r="A454" s="5"/>
      <c r="B454" s="4"/>
      <c r="F454" s="66"/>
      <c r="G454" s="5" t="str">
        <f ca="1">IFERROR(__xludf.DUMMYFUNCTION("IFERROR(VLOOKUP(F492,IMPORTRANGE(""https://docs.google.com/spreadsheets/d/1Kvs4KS76FHFqLFIZfrDMff4kP08nblUkihrxltoGBjg/edit#gid=934712705"",""ESENCIAL!A6:BG""),3,FALSE))"),"")</f>
        <v/>
      </c>
      <c r="H454" s="5" t="str">
        <f ca="1">IFERROR(__xludf.DUMMYFUNCTION("IFERROR(VLOOKUP(F492,IMPORTRANGE(""https://docs.google.com/spreadsheets/d/1Kvs4KS76FHFqLFIZfrDMff4kP08nblUkihrxltoGBjg/edit#gid=934712705"",""ESENCIAL!A6:BG""),8,FALSE))"),"")</f>
        <v/>
      </c>
      <c r="L454" s="287"/>
      <c r="V454" s="66"/>
    </row>
    <row r="455" spans="1:22" ht="15">
      <c r="A455" s="5"/>
      <c r="B455" s="4"/>
      <c r="F455" s="66"/>
      <c r="G455" s="5" t="str">
        <f ca="1">IFERROR(__xludf.DUMMYFUNCTION("IFERROR(VLOOKUP(F493,IMPORTRANGE(""https://docs.google.com/spreadsheets/d/1Kvs4KS76FHFqLFIZfrDMff4kP08nblUkihrxltoGBjg/edit#gid=934712705"",""ESENCIAL!A6:BG""),3,FALSE))"),"")</f>
        <v/>
      </c>
      <c r="H455" s="5" t="str">
        <f ca="1">IFERROR(__xludf.DUMMYFUNCTION("IFERROR(VLOOKUP(F493,IMPORTRANGE(""https://docs.google.com/spreadsheets/d/1Kvs4KS76FHFqLFIZfrDMff4kP08nblUkihrxltoGBjg/edit#gid=934712705"",""ESENCIAL!A6:BG""),8,FALSE))"),"")</f>
        <v/>
      </c>
      <c r="L455" s="287"/>
      <c r="V455" s="66"/>
    </row>
    <row r="456" spans="1:22" ht="15">
      <c r="A456" s="5"/>
      <c r="B456" s="4"/>
      <c r="F456" s="66"/>
      <c r="G456" s="5" t="str">
        <f ca="1">IFERROR(__xludf.DUMMYFUNCTION("IFERROR(VLOOKUP(F494,IMPORTRANGE(""https://docs.google.com/spreadsheets/d/1Kvs4KS76FHFqLFIZfrDMff4kP08nblUkihrxltoGBjg/edit#gid=934712705"",""ESENCIAL!A6:BG""),3,FALSE))"),"")</f>
        <v/>
      </c>
      <c r="H456" s="5" t="str">
        <f ca="1">IFERROR(__xludf.DUMMYFUNCTION("IFERROR(VLOOKUP(F494,IMPORTRANGE(""https://docs.google.com/spreadsheets/d/1Kvs4KS76FHFqLFIZfrDMff4kP08nblUkihrxltoGBjg/edit#gid=934712705"",""ESENCIAL!A6:BG""),8,FALSE))"),"")</f>
        <v/>
      </c>
      <c r="L456" s="287"/>
      <c r="V456" s="66"/>
    </row>
    <row r="457" spans="1:22" ht="15">
      <c r="A457" s="5"/>
      <c r="B457" s="4"/>
      <c r="F457" s="66"/>
      <c r="G457" s="5" t="str">
        <f ca="1">IFERROR(__xludf.DUMMYFUNCTION("IFERROR(VLOOKUP(F495,IMPORTRANGE(""https://docs.google.com/spreadsheets/d/1Kvs4KS76FHFqLFIZfrDMff4kP08nblUkihrxltoGBjg/edit#gid=934712705"",""ESENCIAL!A6:BG""),3,FALSE))"),"")</f>
        <v/>
      </c>
      <c r="H457" s="5" t="str">
        <f ca="1">IFERROR(__xludf.DUMMYFUNCTION("IFERROR(VLOOKUP(F495,IMPORTRANGE(""https://docs.google.com/spreadsheets/d/1Kvs4KS76FHFqLFIZfrDMff4kP08nblUkihrxltoGBjg/edit#gid=934712705"",""ESENCIAL!A6:BG""),8,FALSE))"),"")</f>
        <v/>
      </c>
      <c r="L457" s="287"/>
      <c r="V457" s="66"/>
    </row>
    <row r="458" spans="1:22" ht="15">
      <c r="A458" s="5"/>
      <c r="B458" s="4"/>
      <c r="F458" s="66"/>
      <c r="G458" s="5" t="str">
        <f ca="1">IFERROR(__xludf.DUMMYFUNCTION("IFERROR(VLOOKUP(F496,IMPORTRANGE(""https://docs.google.com/spreadsheets/d/1Kvs4KS76FHFqLFIZfrDMff4kP08nblUkihrxltoGBjg/edit#gid=934712705"",""ESENCIAL!A6:BG""),3,FALSE))"),"")</f>
        <v/>
      </c>
      <c r="H458" s="5" t="str">
        <f ca="1">IFERROR(__xludf.DUMMYFUNCTION("IFERROR(VLOOKUP(F496,IMPORTRANGE(""https://docs.google.com/spreadsheets/d/1Kvs4KS76FHFqLFIZfrDMff4kP08nblUkihrxltoGBjg/edit#gid=934712705"",""ESENCIAL!A6:BG""),8,FALSE))"),"")</f>
        <v/>
      </c>
      <c r="L458" s="287"/>
      <c r="V458" s="66"/>
    </row>
    <row r="459" spans="1:22" ht="15">
      <c r="A459" s="5"/>
      <c r="B459" s="4"/>
      <c r="F459" s="66"/>
      <c r="G459" s="5" t="str">
        <f ca="1">IFERROR(__xludf.DUMMYFUNCTION("IFERROR(VLOOKUP(F497,IMPORTRANGE(""https://docs.google.com/spreadsheets/d/1Kvs4KS76FHFqLFIZfrDMff4kP08nblUkihrxltoGBjg/edit#gid=934712705"",""ESENCIAL!A6:BG""),3,FALSE))"),"")</f>
        <v/>
      </c>
      <c r="H459" s="5" t="str">
        <f ca="1">IFERROR(__xludf.DUMMYFUNCTION("IFERROR(VLOOKUP(F497,IMPORTRANGE(""https://docs.google.com/spreadsheets/d/1Kvs4KS76FHFqLFIZfrDMff4kP08nblUkihrxltoGBjg/edit#gid=934712705"",""ESENCIAL!A6:BG""),8,FALSE))"),"")</f>
        <v/>
      </c>
      <c r="L459" s="287"/>
      <c r="V459" s="66"/>
    </row>
    <row r="460" spans="1:22" ht="15">
      <c r="A460" s="5"/>
      <c r="B460" s="4"/>
      <c r="F460" s="66"/>
      <c r="G460" s="5" t="str">
        <f ca="1">IFERROR(__xludf.DUMMYFUNCTION("IFERROR(VLOOKUP(F498,IMPORTRANGE(""https://docs.google.com/spreadsheets/d/1Kvs4KS76FHFqLFIZfrDMff4kP08nblUkihrxltoGBjg/edit#gid=934712705"",""ESENCIAL!A6:BG""),3,FALSE))"),"")</f>
        <v/>
      </c>
      <c r="H460" s="5" t="str">
        <f ca="1">IFERROR(__xludf.DUMMYFUNCTION("IFERROR(VLOOKUP(F498,IMPORTRANGE(""https://docs.google.com/spreadsheets/d/1Kvs4KS76FHFqLFIZfrDMff4kP08nblUkihrxltoGBjg/edit#gid=934712705"",""ESENCIAL!A6:BG""),8,FALSE))"),"")</f>
        <v/>
      </c>
      <c r="L460" s="287"/>
      <c r="V460" s="66"/>
    </row>
    <row r="461" spans="1:22" ht="15">
      <c r="A461" s="5"/>
      <c r="B461" s="4"/>
      <c r="F461" s="66"/>
      <c r="G461" s="5" t="str">
        <f ca="1">IFERROR(__xludf.DUMMYFUNCTION("IFERROR(VLOOKUP(F499,IMPORTRANGE(""https://docs.google.com/spreadsheets/d/1Kvs4KS76FHFqLFIZfrDMff4kP08nblUkihrxltoGBjg/edit#gid=934712705"",""ESENCIAL!A6:BG""),3,FALSE))"),"")</f>
        <v/>
      </c>
      <c r="H461" s="5" t="str">
        <f ca="1">IFERROR(__xludf.DUMMYFUNCTION("IFERROR(VLOOKUP(F499,IMPORTRANGE(""https://docs.google.com/spreadsheets/d/1Kvs4KS76FHFqLFIZfrDMff4kP08nblUkihrxltoGBjg/edit#gid=934712705"",""ESENCIAL!A6:BG""),8,FALSE))"),"")</f>
        <v/>
      </c>
      <c r="L461" s="287"/>
      <c r="V461" s="66"/>
    </row>
    <row r="462" spans="1:22" ht="15">
      <c r="A462" s="5"/>
      <c r="B462" s="4"/>
      <c r="F462" s="66"/>
      <c r="G462" s="5" t="str">
        <f ca="1">IFERROR(__xludf.DUMMYFUNCTION("IFERROR(VLOOKUP(F500,IMPORTRANGE(""https://docs.google.com/spreadsheets/d/1Kvs4KS76FHFqLFIZfrDMff4kP08nblUkihrxltoGBjg/edit#gid=934712705"",""ESENCIAL!A6:BG""),3,FALSE))"),"")</f>
        <v/>
      </c>
      <c r="H462" s="5" t="str">
        <f ca="1">IFERROR(__xludf.DUMMYFUNCTION("IFERROR(VLOOKUP(F500,IMPORTRANGE(""https://docs.google.com/spreadsheets/d/1Kvs4KS76FHFqLFIZfrDMff4kP08nblUkihrxltoGBjg/edit#gid=934712705"",""ESENCIAL!A6:BG""),8,FALSE))"),"")</f>
        <v/>
      </c>
      <c r="L462" s="287"/>
      <c r="V462" s="66"/>
    </row>
    <row r="463" spans="1:22" ht="15">
      <c r="A463" s="5"/>
      <c r="B463" s="4"/>
      <c r="F463" s="66"/>
      <c r="G463" s="5" t="str">
        <f ca="1">IFERROR(__xludf.DUMMYFUNCTION("IFERROR(VLOOKUP(F501,IMPORTRANGE(""https://docs.google.com/spreadsheets/d/1Kvs4KS76FHFqLFIZfrDMff4kP08nblUkihrxltoGBjg/edit#gid=934712705"",""ESENCIAL!A6:BG""),3,FALSE))"),"")</f>
        <v/>
      </c>
      <c r="H463" s="5" t="str">
        <f ca="1">IFERROR(__xludf.DUMMYFUNCTION("IFERROR(VLOOKUP(F501,IMPORTRANGE(""https://docs.google.com/spreadsheets/d/1Kvs4KS76FHFqLFIZfrDMff4kP08nblUkihrxltoGBjg/edit#gid=934712705"",""ESENCIAL!A6:BG""),8,FALSE))"),"")</f>
        <v/>
      </c>
      <c r="L463" s="287"/>
      <c r="V463" s="66"/>
    </row>
    <row r="464" spans="1:22" ht="15">
      <c r="A464" s="5"/>
      <c r="B464" s="4"/>
      <c r="F464" s="66"/>
      <c r="G464" s="5" t="str">
        <f ca="1">IFERROR(__xludf.DUMMYFUNCTION("IFERROR(VLOOKUP(F502,IMPORTRANGE(""https://docs.google.com/spreadsheets/d/1Kvs4KS76FHFqLFIZfrDMff4kP08nblUkihrxltoGBjg/edit#gid=934712705"",""ESENCIAL!A6:BG""),3,FALSE))"),"")</f>
        <v/>
      </c>
      <c r="H464" s="5" t="str">
        <f ca="1">IFERROR(__xludf.DUMMYFUNCTION("IFERROR(VLOOKUP(F502,IMPORTRANGE(""https://docs.google.com/spreadsheets/d/1Kvs4KS76FHFqLFIZfrDMff4kP08nblUkihrxltoGBjg/edit#gid=934712705"",""ESENCIAL!A6:BG""),8,FALSE))"),"")</f>
        <v/>
      </c>
      <c r="L464" s="287"/>
      <c r="V464" s="66"/>
    </row>
    <row r="465" spans="1:22" ht="15">
      <c r="A465" s="5"/>
      <c r="B465" s="4"/>
      <c r="F465" s="66"/>
      <c r="G465" s="5" t="str">
        <f ca="1">IFERROR(__xludf.DUMMYFUNCTION("IFERROR(VLOOKUP(F503,IMPORTRANGE(""https://docs.google.com/spreadsheets/d/1Kvs4KS76FHFqLFIZfrDMff4kP08nblUkihrxltoGBjg/edit#gid=934712705"",""ESENCIAL!A6:BG""),3,FALSE))"),"")</f>
        <v/>
      </c>
      <c r="H465" s="5" t="str">
        <f ca="1">IFERROR(__xludf.DUMMYFUNCTION("IFERROR(VLOOKUP(F503,IMPORTRANGE(""https://docs.google.com/spreadsheets/d/1Kvs4KS76FHFqLFIZfrDMff4kP08nblUkihrxltoGBjg/edit#gid=934712705"",""ESENCIAL!A6:BG""),8,FALSE))"),"")</f>
        <v/>
      </c>
      <c r="L465" s="287"/>
      <c r="V465" s="66"/>
    </row>
    <row r="466" spans="1:22" ht="15">
      <c r="A466" s="5"/>
      <c r="B466" s="4"/>
      <c r="F466" s="66"/>
      <c r="G466" s="5" t="str">
        <f ca="1">IFERROR(__xludf.DUMMYFUNCTION("IFERROR(VLOOKUP(F504,IMPORTRANGE(""https://docs.google.com/spreadsheets/d/1Kvs4KS76FHFqLFIZfrDMff4kP08nblUkihrxltoGBjg/edit#gid=934712705"",""ESENCIAL!A6:BG""),3,FALSE))"),"")</f>
        <v/>
      </c>
      <c r="H466" s="5" t="str">
        <f ca="1">IFERROR(__xludf.DUMMYFUNCTION("IFERROR(VLOOKUP(F504,IMPORTRANGE(""https://docs.google.com/spreadsheets/d/1Kvs4KS76FHFqLFIZfrDMff4kP08nblUkihrxltoGBjg/edit#gid=934712705"",""ESENCIAL!A6:BG""),8,FALSE))"),"")</f>
        <v/>
      </c>
      <c r="L466" s="287"/>
      <c r="V466" s="66"/>
    </row>
    <row r="467" spans="1:22" ht="15">
      <c r="A467" s="5"/>
      <c r="B467" s="4"/>
      <c r="F467" s="66"/>
      <c r="G467" s="5" t="str">
        <f ca="1">IFERROR(__xludf.DUMMYFUNCTION("IFERROR(VLOOKUP(F505,IMPORTRANGE(""https://docs.google.com/spreadsheets/d/1Kvs4KS76FHFqLFIZfrDMff4kP08nblUkihrxltoGBjg/edit#gid=934712705"",""ESENCIAL!A6:BG""),3,FALSE))"),"")</f>
        <v/>
      </c>
      <c r="H467" s="5" t="str">
        <f ca="1">IFERROR(__xludf.DUMMYFUNCTION("IFERROR(VLOOKUP(F505,IMPORTRANGE(""https://docs.google.com/spreadsheets/d/1Kvs4KS76FHFqLFIZfrDMff4kP08nblUkihrxltoGBjg/edit#gid=934712705"",""ESENCIAL!A6:BG""),8,FALSE))"),"")</f>
        <v/>
      </c>
      <c r="L467" s="287"/>
      <c r="V467" s="66"/>
    </row>
    <row r="468" spans="1:22" ht="15">
      <c r="A468" s="5"/>
      <c r="B468" s="4"/>
      <c r="F468" s="66"/>
      <c r="G468" s="5" t="str">
        <f ca="1">IFERROR(__xludf.DUMMYFUNCTION("IFERROR(VLOOKUP(F506,IMPORTRANGE(""https://docs.google.com/spreadsheets/d/1Kvs4KS76FHFqLFIZfrDMff4kP08nblUkihrxltoGBjg/edit#gid=934712705"",""ESENCIAL!A6:BG""),3,FALSE))"),"")</f>
        <v/>
      </c>
      <c r="H468" s="5" t="str">
        <f ca="1">IFERROR(__xludf.DUMMYFUNCTION("IFERROR(VLOOKUP(F506,IMPORTRANGE(""https://docs.google.com/spreadsheets/d/1Kvs4KS76FHFqLFIZfrDMff4kP08nblUkihrxltoGBjg/edit#gid=934712705"",""ESENCIAL!A6:BG""),8,FALSE))"),"")</f>
        <v/>
      </c>
      <c r="L468" s="287"/>
      <c r="V468" s="66"/>
    </row>
    <row r="469" spans="1:22" ht="15">
      <c r="A469" s="5"/>
      <c r="B469" s="4"/>
      <c r="F469" s="66"/>
      <c r="G469" s="5" t="str">
        <f ca="1">IFERROR(__xludf.DUMMYFUNCTION("IFERROR(VLOOKUP(F507,IMPORTRANGE(""https://docs.google.com/spreadsheets/d/1Kvs4KS76FHFqLFIZfrDMff4kP08nblUkihrxltoGBjg/edit#gid=934712705"",""ESENCIAL!A6:BG""),3,FALSE))"),"")</f>
        <v/>
      </c>
      <c r="H469" s="5" t="str">
        <f ca="1">IFERROR(__xludf.DUMMYFUNCTION("IFERROR(VLOOKUP(F507,IMPORTRANGE(""https://docs.google.com/spreadsheets/d/1Kvs4KS76FHFqLFIZfrDMff4kP08nblUkihrxltoGBjg/edit#gid=934712705"",""ESENCIAL!A6:BG""),8,FALSE))"),"")</f>
        <v/>
      </c>
      <c r="L469" s="287"/>
      <c r="V469" s="66"/>
    </row>
    <row r="470" spans="1:22" ht="15">
      <c r="A470" s="5"/>
      <c r="B470" s="4"/>
      <c r="F470" s="66"/>
      <c r="G470" s="5" t="str">
        <f ca="1">IFERROR(__xludf.DUMMYFUNCTION("IFERROR(VLOOKUP(F508,IMPORTRANGE(""https://docs.google.com/spreadsheets/d/1Kvs4KS76FHFqLFIZfrDMff4kP08nblUkihrxltoGBjg/edit#gid=934712705"",""ESENCIAL!A6:BG""),3,FALSE))"),"")</f>
        <v/>
      </c>
      <c r="H470" s="5" t="str">
        <f ca="1">IFERROR(__xludf.DUMMYFUNCTION("IFERROR(VLOOKUP(F508,IMPORTRANGE(""https://docs.google.com/spreadsheets/d/1Kvs4KS76FHFqLFIZfrDMff4kP08nblUkihrxltoGBjg/edit#gid=934712705"",""ESENCIAL!A6:BG""),8,FALSE))"),"")</f>
        <v/>
      </c>
      <c r="L470" s="287"/>
      <c r="V470" s="66"/>
    </row>
    <row r="471" spans="1:22" ht="15">
      <c r="A471" s="5"/>
      <c r="B471" s="4"/>
      <c r="F471" s="66"/>
      <c r="G471" s="5" t="str">
        <f ca="1">IFERROR(__xludf.DUMMYFUNCTION("IFERROR(VLOOKUP(F509,IMPORTRANGE(""https://docs.google.com/spreadsheets/d/1Kvs4KS76FHFqLFIZfrDMff4kP08nblUkihrxltoGBjg/edit#gid=934712705"",""ESENCIAL!A6:BG""),3,FALSE))"),"")</f>
        <v/>
      </c>
      <c r="H471" s="5" t="str">
        <f ca="1">IFERROR(__xludf.DUMMYFUNCTION("IFERROR(VLOOKUP(F509,IMPORTRANGE(""https://docs.google.com/spreadsheets/d/1Kvs4KS76FHFqLFIZfrDMff4kP08nblUkihrxltoGBjg/edit#gid=934712705"",""ESENCIAL!A6:BG""),8,FALSE))"),"")</f>
        <v/>
      </c>
      <c r="L471" s="287"/>
      <c r="V471" s="66"/>
    </row>
    <row r="472" spans="1:22" ht="15">
      <c r="A472" s="5"/>
      <c r="B472" s="4"/>
      <c r="F472" s="66"/>
      <c r="G472" s="5" t="str">
        <f ca="1">IFERROR(__xludf.DUMMYFUNCTION("IFERROR(VLOOKUP(F510,IMPORTRANGE(""https://docs.google.com/spreadsheets/d/1Kvs4KS76FHFqLFIZfrDMff4kP08nblUkihrxltoGBjg/edit#gid=934712705"",""ESENCIAL!A6:BG""),3,FALSE))"),"")</f>
        <v/>
      </c>
      <c r="H472" s="5" t="str">
        <f ca="1">IFERROR(__xludf.DUMMYFUNCTION("IFERROR(VLOOKUP(F510,IMPORTRANGE(""https://docs.google.com/spreadsheets/d/1Kvs4KS76FHFqLFIZfrDMff4kP08nblUkihrxltoGBjg/edit#gid=934712705"",""ESENCIAL!A6:BG""),8,FALSE))"),"")</f>
        <v/>
      </c>
      <c r="L472" s="287"/>
      <c r="V472" s="66"/>
    </row>
    <row r="473" spans="1:22" ht="15">
      <c r="A473" s="5"/>
      <c r="B473" s="4"/>
      <c r="F473" s="66"/>
      <c r="G473" s="5" t="str">
        <f ca="1">IFERROR(__xludf.DUMMYFUNCTION("IFERROR(VLOOKUP(F511,IMPORTRANGE(""https://docs.google.com/spreadsheets/d/1Kvs4KS76FHFqLFIZfrDMff4kP08nblUkihrxltoGBjg/edit#gid=934712705"",""ESENCIAL!A6:BG""),3,FALSE))"),"")</f>
        <v/>
      </c>
      <c r="H473" s="5" t="str">
        <f ca="1">IFERROR(__xludf.DUMMYFUNCTION("IFERROR(VLOOKUP(F511,IMPORTRANGE(""https://docs.google.com/spreadsheets/d/1Kvs4KS76FHFqLFIZfrDMff4kP08nblUkihrxltoGBjg/edit#gid=934712705"",""ESENCIAL!A6:BG""),8,FALSE))"),"")</f>
        <v/>
      </c>
      <c r="L473" s="287"/>
      <c r="V473" s="66"/>
    </row>
    <row r="474" spans="1:22" ht="15">
      <c r="A474" s="5"/>
      <c r="B474" s="4"/>
      <c r="F474" s="66"/>
      <c r="G474" s="5" t="str">
        <f ca="1">IFERROR(__xludf.DUMMYFUNCTION("IFERROR(VLOOKUP(F512,IMPORTRANGE(""https://docs.google.com/spreadsheets/d/1Kvs4KS76FHFqLFIZfrDMff4kP08nblUkihrxltoGBjg/edit#gid=934712705"",""ESENCIAL!A6:BG""),3,FALSE))"),"")</f>
        <v/>
      </c>
      <c r="H474" s="5" t="str">
        <f ca="1">IFERROR(__xludf.DUMMYFUNCTION("IFERROR(VLOOKUP(F512,IMPORTRANGE(""https://docs.google.com/spreadsheets/d/1Kvs4KS76FHFqLFIZfrDMff4kP08nblUkihrxltoGBjg/edit#gid=934712705"",""ESENCIAL!A6:BG""),8,FALSE))"),"")</f>
        <v/>
      </c>
      <c r="L474" s="287"/>
      <c r="V474" s="66"/>
    </row>
    <row r="475" spans="1:22" ht="15">
      <c r="A475" s="5"/>
      <c r="B475" s="4"/>
      <c r="F475" s="66"/>
      <c r="G475" s="5" t="str">
        <f ca="1">IFERROR(__xludf.DUMMYFUNCTION("IFERROR(VLOOKUP(F513,IMPORTRANGE(""https://docs.google.com/spreadsheets/d/1Kvs4KS76FHFqLFIZfrDMff4kP08nblUkihrxltoGBjg/edit#gid=934712705"",""ESENCIAL!A6:BG""),3,FALSE))"),"")</f>
        <v/>
      </c>
      <c r="H475" s="5" t="str">
        <f ca="1">IFERROR(__xludf.DUMMYFUNCTION("IFERROR(VLOOKUP(F513,IMPORTRANGE(""https://docs.google.com/spreadsheets/d/1Kvs4KS76FHFqLFIZfrDMff4kP08nblUkihrxltoGBjg/edit#gid=934712705"",""ESENCIAL!A6:BG""),8,FALSE))"),"")</f>
        <v/>
      </c>
      <c r="L475" s="287"/>
      <c r="V475" s="66"/>
    </row>
    <row r="476" spans="1:22" ht="15">
      <c r="A476" s="5"/>
      <c r="B476" s="4"/>
      <c r="F476" s="66"/>
      <c r="G476" s="5" t="str">
        <f ca="1">IFERROR(__xludf.DUMMYFUNCTION("IFERROR(VLOOKUP(F514,IMPORTRANGE(""https://docs.google.com/spreadsheets/d/1Kvs4KS76FHFqLFIZfrDMff4kP08nblUkihrxltoGBjg/edit#gid=934712705"",""ESENCIAL!A6:BG""),3,FALSE))"),"")</f>
        <v/>
      </c>
      <c r="H476" s="5" t="str">
        <f ca="1">IFERROR(__xludf.DUMMYFUNCTION("IFERROR(VLOOKUP(F514,IMPORTRANGE(""https://docs.google.com/spreadsheets/d/1Kvs4KS76FHFqLFIZfrDMff4kP08nblUkihrxltoGBjg/edit#gid=934712705"",""ESENCIAL!A6:BG""),8,FALSE))"),"")</f>
        <v/>
      </c>
      <c r="L476" s="287"/>
      <c r="V476" s="66"/>
    </row>
    <row r="477" spans="1:22" ht="15">
      <c r="A477" s="5"/>
      <c r="B477" s="4"/>
      <c r="F477" s="66"/>
      <c r="G477" s="5" t="str">
        <f ca="1">IFERROR(__xludf.DUMMYFUNCTION("IFERROR(VLOOKUP(F515,IMPORTRANGE(""https://docs.google.com/spreadsheets/d/1Kvs4KS76FHFqLFIZfrDMff4kP08nblUkihrxltoGBjg/edit#gid=934712705"",""ESENCIAL!A6:BG""),3,FALSE))"),"")</f>
        <v/>
      </c>
      <c r="H477" s="5" t="str">
        <f ca="1">IFERROR(__xludf.DUMMYFUNCTION("IFERROR(VLOOKUP(F515,IMPORTRANGE(""https://docs.google.com/spreadsheets/d/1Kvs4KS76FHFqLFIZfrDMff4kP08nblUkihrxltoGBjg/edit#gid=934712705"",""ESENCIAL!A6:BG""),8,FALSE))"),"")</f>
        <v/>
      </c>
      <c r="L477" s="287"/>
      <c r="V477" s="66"/>
    </row>
    <row r="478" spans="1:22" ht="15">
      <c r="A478" s="5"/>
      <c r="B478" s="4"/>
      <c r="F478" s="66"/>
      <c r="G478" s="5" t="str">
        <f ca="1">IFERROR(__xludf.DUMMYFUNCTION("IFERROR(VLOOKUP(F516,IMPORTRANGE(""https://docs.google.com/spreadsheets/d/1Kvs4KS76FHFqLFIZfrDMff4kP08nblUkihrxltoGBjg/edit#gid=934712705"",""ESENCIAL!A6:BG""),3,FALSE))"),"")</f>
        <v/>
      </c>
      <c r="H478" s="5" t="str">
        <f ca="1">IFERROR(__xludf.DUMMYFUNCTION("IFERROR(VLOOKUP(F516,IMPORTRANGE(""https://docs.google.com/spreadsheets/d/1Kvs4KS76FHFqLFIZfrDMff4kP08nblUkihrxltoGBjg/edit#gid=934712705"",""ESENCIAL!A6:BG""),8,FALSE))"),"")</f>
        <v/>
      </c>
      <c r="L478" s="287"/>
      <c r="V478" s="66"/>
    </row>
    <row r="479" spans="1:22" ht="15">
      <c r="A479" s="5"/>
      <c r="B479" s="4"/>
      <c r="F479" s="66"/>
      <c r="G479" s="5" t="str">
        <f ca="1">IFERROR(__xludf.DUMMYFUNCTION("IFERROR(VLOOKUP(F517,IMPORTRANGE(""https://docs.google.com/spreadsheets/d/1Kvs4KS76FHFqLFIZfrDMff4kP08nblUkihrxltoGBjg/edit#gid=934712705"",""ESENCIAL!A6:BG""),3,FALSE))"),"")</f>
        <v/>
      </c>
      <c r="H479" s="5" t="str">
        <f ca="1">IFERROR(__xludf.DUMMYFUNCTION("IFERROR(VLOOKUP(F517,IMPORTRANGE(""https://docs.google.com/spreadsheets/d/1Kvs4KS76FHFqLFIZfrDMff4kP08nblUkihrxltoGBjg/edit#gid=934712705"",""ESENCIAL!A6:BG""),8,FALSE))"),"")</f>
        <v/>
      </c>
      <c r="L479" s="287"/>
      <c r="V479" s="66"/>
    </row>
    <row r="480" spans="1:22" ht="15">
      <c r="A480" s="5"/>
      <c r="B480" s="4"/>
      <c r="F480" s="66"/>
      <c r="G480" s="5" t="str">
        <f ca="1">IFERROR(__xludf.DUMMYFUNCTION("IFERROR(VLOOKUP(F518,IMPORTRANGE(""https://docs.google.com/spreadsheets/d/1Kvs4KS76FHFqLFIZfrDMff4kP08nblUkihrxltoGBjg/edit#gid=934712705"",""ESENCIAL!A6:BG""),3,FALSE))"),"")</f>
        <v/>
      </c>
      <c r="H480" s="5" t="str">
        <f ca="1">IFERROR(__xludf.DUMMYFUNCTION("IFERROR(VLOOKUP(F518,IMPORTRANGE(""https://docs.google.com/spreadsheets/d/1Kvs4KS76FHFqLFIZfrDMff4kP08nblUkihrxltoGBjg/edit#gid=934712705"",""ESENCIAL!A6:BG""),8,FALSE))"),"")</f>
        <v/>
      </c>
      <c r="L480" s="287"/>
      <c r="V480" s="66"/>
    </row>
    <row r="481" spans="1:22" ht="15">
      <c r="A481" s="5"/>
      <c r="B481" s="4"/>
      <c r="F481" s="66"/>
      <c r="G481" s="5" t="str">
        <f ca="1">IFERROR(__xludf.DUMMYFUNCTION("IFERROR(VLOOKUP(F519,IMPORTRANGE(""https://docs.google.com/spreadsheets/d/1Kvs4KS76FHFqLFIZfrDMff4kP08nblUkihrxltoGBjg/edit#gid=934712705"",""ESENCIAL!A6:BG""),3,FALSE))"),"")</f>
        <v/>
      </c>
      <c r="H481" s="5" t="str">
        <f ca="1">IFERROR(__xludf.DUMMYFUNCTION("IFERROR(VLOOKUP(F519,IMPORTRANGE(""https://docs.google.com/spreadsheets/d/1Kvs4KS76FHFqLFIZfrDMff4kP08nblUkihrxltoGBjg/edit#gid=934712705"",""ESENCIAL!A6:BG""),8,FALSE))"),"")</f>
        <v/>
      </c>
      <c r="L481" s="287"/>
      <c r="V481" s="66"/>
    </row>
    <row r="482" spans="1:22" ht="15">
      <c r="A482" s="5"/>
      <c r="B482" s="4"/>
      <c r="F482" s="66"/>
      <c r="G482" s="5" t="str">
        <f ca="1">IFERROR(__xludf.DUMMYFUNCTION("IFERROR(VLOOKUP(F520,IMPORTRANGE(""https://docs.google.com/spreadsheets/d/1Kvs4KS76FHFqLFIZfrDMff4kP08nblUkihrxltoGBjg/edit#gid=934712705"",""ESENCIAL!A6:BG""),3,FALSE))"),"")</f>
        <v/>
      </c>
      <c r="H482" s="5" t="str">
        <f ca="1">IFERROR(__xludf.DUMMYFUNCTION("IFERROR(VLOOKUP(F520,IMPORTRANGE(""https://docs.google.com/spreadsheets/d/1Kvs4KS76FHFqLFIZfrDMff4kP08nblUkihrxltoGBjg/edit#gid=934712705"",""ESENCIAL!A6:BG""),8,FALSE))"),"")</f>
        <v/>
      </c>
      <c r="L482" s="287"/>
      <c r="V482" s="66"/>
    </row>
    <row r="483" spans="1:22" ht="15">
      <c r="A483" s="5"/>
      <c r="B483" s="4"/>
      <c r="F483" s="66"/>
      <c r="G483" s="5" t="str">
        <f ca="1">IFERROR(__xludf.DUMMYFUNCTION("IFERROR(VLOOKUP(F521,IMPORTRANGE(""https://docs.google.com/spreadsheets/d/1Kvs4KS76FHFqLFIZfrDMff4kP08nblUkihrxltoGBjg/edit#gid=934712705"",""ESENCIAL!A6:BG""),3,FALSE))"),"")</f>
        <v/>
      </c>
      <c r="H483" s="5" t="str">
        <f ca="1">IFERROR(__xludf.DUMMYFUNCTION("IFERROR(VLOOKUP(F521,IMPORTRANGE(""https://docs.google.com/spreadsheets/d/1Kvs4KS76FHFqLFIZfrDMff4kP08nblUkihrxltoGBjg/edit#gid=934712705"",""ESENCIAL!A6:BG""),8,FALSE))"),"")</f>
        <v/>
      </c>
      <c r="L483" s="287"/>
      <c r="V483" s="66"/>
    </row>
    <row r="484" spans="1:22" ht="15">
      <c r="A484" s="5"/>
      <c r="B484" s="4"/>
      <c r="F484" s="66"/>
      <c r="G484" s="5" t="str">
        <f ca="1">IFERROR(__xludf.DUMMYFUNCTION("IFERROR(VLOOKUP(F522,IMPORTRANGE(""https://docs.google.com/spreadsheets/d/1Kvs4KS76FHFqLFIZfrDMff4kP08nblUkihrxltoGBjg/edit#gid=934712705"",""ESENCIAL!A6:BG""),3,FALSE))"),"")</f>
        <v/>
      </c>
      <c r="H484" s="5" t="str">
        <f ca="1">IFERROR(__xludf.DUMMYFUNCTION("IFERROR(VLOOKUP(F522,IMPORTRANGE(""https://docs.google.com/spreadsheets/d/1Kvs4KS76FHFqLFIZfrDMff4kP08nblUkihrxltoGBjg/edit#gid=934712705"",""ESENCIAL!A6:BG""),8,FALSE))"),"")</f>
        <v/>
      </c>
      <c r="L484" s="287"/>
      <c r="V484" s="66"/>
    </row>
    <row r="485" spans="1:22" ht="15">
      <c r="A485" s="5"/>
      <c r="B485" s="4"/>
      <c r="F485" s="66"/>
      <c r="G485" s="5" t="str">
        <f ca="1">IFERROR(__xludf.DUMMYFUNCTION("IFERROR(VLOOKUP(F523,IMPORTRANGE(""https://docs.google.com/spreadsheets/d/1Kvs4KS76FHFqLFIZfrDMff4kP08nblUkihrxltoGBjg/edit#gid=934712705"",""ESENCIAL!A6:BG""),3,FALSE))"),"")</f>
        <v/>
      </c>
      <c r="H485" s="5" t="str">
        <f ca="1">IFERROR(__xludf.DUMMYFUNCTION("IFERROR(VLOOKUP(F523,IMPORTRANGE(""https://docs.google.com/spreadsheets/d/1Kvs4KS76FHFqLFIZfrDMff4kP08nblUkihrxltoGBjg/edit#gid=934712705"",""ESENCIAL!A6:BG""),8,FALSE))"),"")</f>
        <v/>
      </c>
      <c r="L485" s="287"/>
      <c r="V485" s="66"/>
    </row>
    <row r="486" spans="1:22" ht="15">
      <c r="A486" s="5"/>
      <c r="B486" s="4"/>
      <c r="F486" s="66"/>
      <c r="G486" s="5" t="str">
        <f ca="1">IFERROR(__xludf.DUMMYFUNCTION("IFERROR(VLOOKUP(F524,IMPORTRANGE(""https://docs.google.com/spreadsheets/d/1Kvs4KS76FHFqLFIZfrDMff4kP08nblUkihrxltoGBjg/edit#gid=934712705"",""ESENCIAL!A6:BG""),3,FALSE))"),"")</f>
        <v/>
      </c>
      <c r="H486" s="5" t="str">
        <f ca="1">IFERROR(__xludf.DUMMYFUNCTION("IFERROR(VLOOKUP(F524,IMPORTRANGE(""https://docs.google.com/spreadsheets/d/1Kvs4KS76FHFqLFIZfrDMff4kP08nblUkihrxltoGBjg/edit#gid=934712705"",""ESENCIAL!A6:BG""),8,FALSE))"),"")</f>
        <v/>
      </c>
      <c r="L486" s="287"/>
      <c r="V486" s="66"/>
    </row>
    <row r="487" spans="1:22" ht="15">
      <c r="A487" s="5"/>
      <c r="B487" s="4"/>
      <c r="F487" s="66"/>
      <c r="G487" s="5" t="str">
        <f ca="1">IFERROR(__xludf.DUMMYFUNCTION("IFERROR(VLOOKUP(F525,IMPORTRANGE(""https://docs.google.com/spreadsheets/d/1Kvs4KS76FHFqLFIZfrDMff4kP08nblUkihrxltoGBjg/edit#gid=934712705"",""ESENCIAL!A6:BG""),3,FALSE))"),"")</f>
        <v/>
      </c>
      <c r="H487" s="5" t="str">
        <f ca="1">IFERROR(__xludf.DUMMYFUNCTION("IFERROR(VLOOKUP(F525,IMPORTRANGE(""https://docs.google.com/spreadsheets/d/1Kvs4KS76FHFqLFIZfrDMff4kP08nblUkihrxltoGBjg/edit#gid=934712705"",""ESENCIAL!A6:BG""),8,FALSE))"),"")</f>
        <v/>
      </c>
      <c r="L487" s="287"/>
      <c r="V487" s="66"/>
    </row>
    <row r="488" spans="1:22" ht="15">
      <c r="A488" s="5"/>
      <c r="B488" s="4"/>
      <c r="F488" s="66"/>
      <c r="G488" s="5" t="str">
        <f ca="1">IFERROR(__xludf.DUMMYFUNCTION("IFERROR(VLOOKUP(F526,IMPORTRANGE(""https://docs.google.com/spreadsheets/d/1Kvs4KS76FHFqLFIZfrDMff4kP08nblUkihrxltoGBjg/edit#gid=934712705"",""ESENCIAL!A6:BG""),3,FALSE))"),"")</f>
        <v/>
      </c>
      <c r="H488" s="5" t="str">
        <f ca="1">IFERROR(__xludf.DUMMYFUNCTION("IFERROR(VLOOKUP(F526,IMPORTRANGE(""https://docs.google.com/spreadsheets/d/1Kvs4KS76FHFqLFIZfrDMff4kP08nblUkihrxltoGBjg/edit#gid=934712705"",""ESENCIAL!A6:BG""),8,FALSE))"),"")</f>
        <v/>
      </c>
      <c r="L488" s="287"/>
      <c r="V488" s="66"/>
    </row>
    <row r="489" spans="1:22" ht="15">
      <c r="A489" s="5"/>
      <c r="B489" s="4"/>
      <c r="F489" s="66"/>
      <c r="G489" s="5" t="str">
        <f ca="1">IFERROR(__xludf.DUMMYFUNCTION("IFERROR(VLOOKUP(F527,IMPORTRANGE(""https://docs.google.com/spreadsheets/d/1Kvs4KS76FHFqLFIZfrDMff4kP08nblUkihrxltoGBjg/edit#gid=934712705"",""ESENCIAL!A6:BG""),3,FALSE))"),"")</f>
        <v/>
      </c>
      <c r="H489" s="5" t="str">
        <f ca="1">IFERROR(__xludf.DUMMYFUNCTION("IFERROR(VLOOKUP(F527,IMPORTRANGE(""https://docs.google.com/spreadsheets/d/1Kvs4KS76FHFqLFIZfrDMff4kP08nblUkihrxltoGBjg/edit#gid=934712705"",""ESENCIAL!A6:BG""),8,FALSE))"),"")</f>
        <v/>
      </c>
      <c r="L489" s="287"/>
      <c r="V489" s="66"/>
    </row>
    <row r="490" spans="1:22" ht="15">
      <c r="A490" s="5"/>
      <c r="B490" s="4"/>
      <c r="F490" s="66"/>
      <c r="G490" s="5" t="str">
        <f ca="1">IFERROR(__xludf.DUMMYFUNCTION("IFERROR(VLOOKUP(F528,IMPORTRANGE(""https://docs.google.com/spreadsheets/d/1Kvs4KS76FHFqLFIZfrDMff4kP08nblUkihrxltoGBjg/edit#gid=934712705"",""ESENCIAL!A6:BG""),3,FALSE))"),"")</f>
        <v/>
      </c>
      <c r="H490" s="5" t="str">
        <f ca="1">IFERROR(__xludf.DUMMYFUNCTION("IFERROR(VLOOKUP(F528,IMPORTRANGE(""https://docs.google.com/spreadsheets/d/1Kvs4KS76FHFqLFIZfrDMff4kP08nblUkihrxltoGBjg/edit#gid=934712705"",""ESENCIAL!A6:BG""),8,FALSE))"),"")</f>
        <v/>
      </c>
      <c r="L490" s="287"/>
      <c r="V490" s="66"/>
    </row>
    <row r="491" spans="1:22" ht="15">
      <c r="A491" s="5"/>
      <c r="B491" s="4"/>
      <c r="F491" s="66"/>
      <c r="G491" s="5" t="str">
        <f ca="1">IFERROR(__xludf.DUMMYFUNCTION("IFERROR(VLOOKUP(F529,IMPORTRANGE(""https://docs.google.com/spreadsheets/d/1Kvs4KS76FHFqLFIZfrDMff4kP08nblUkihrxltoGBjg/edit#gid=934712705"",""ESENCIAL!A6:BG""),3,FALSE))"),"")</f>
        <v/>
      </c>
      <c r="H491" s="5" t="str">
        <f ca="1">IFERROR(__xludf.DUMMYFUNCTION("IFERROR(VLOOKUP(F529,IMPORTRANGE(""https://docs.google.com/spreadsheets/d/1Kvs4KS76FHFqLFIZfrDMff4kP08nblUkihrxltoGBjg/edit#gid=934712705"",""ESENCIAL!A6:BG""),8,FALSE))"),"")</f>
        <v/>
      </c>
      <c r="L491" s="287"/>
      <c r="V491" s="66"/>
    </row>
    <row r="492" spans="1:22" ht="15">
      <c r="A492" s="5"/>
      <c r="B492" s="4"/>
      <c r="F492" s="66"/>
      <c r="G492" s="5" t="str">
        <f ca="1">IFERROR(__xludf.DUMMYFUNCTION("IFERROR(VLOOKUP(F530,IMPORTRANGE(""https://docs.google.com/spreadsheets/d/1Kvs4KS76FHFqLFIZfrDMff4kP08nblUkihrxltoGBjg/edit#gid=934712705"",""ESENCIAL!A6:BG""),3,FALSE))"),"")</f>
        <v/>
      </c>
      <c r="H492" s="5" t="str">
        <f ca="1">IFERROR(__xludf.DUMMYFUNCTION("IFERROR(VLOOKUP(F530,IMPORTRANGE(""https://docs.google.com/spreadsheets/d/1Kvs4KS76FHFqLFIZfrDMff4kP08nblUkihrxltoGBjg/edit#gid=934712705"",""ESENCIAL!A6:BG""),8,FALSE))"),"")</f>
        <v/>
      </c>
      <c r="L492" s="287"/>
      <c r="V492" s="66"/>
    </row>
    <row r="493" spans="1:22" ht="15">
      <c r="A493" s="5"/>
      <c r="B493" s="4"/>
      <c r="F493" s="66"/>
      <c r="G493" s="5" t="str">
        <f ca="1">IFERROR(__xludf.DUMMYFUNCTION("IFERROR(VLOOKUP(F531,IMPORTRANGE(""https://docs.google.com/spreadsheets/d/1Kvs4KS76FHFqLFIZfrDMff4kP08nblUkihrxltoGBjg/edit#gid=934712705"",""ESENCIAL!A6:BG""),3,FALSE))"),"")</f>
        <v/>
      </c>
      <c r="H493" s="5" t="str">
        <f ca="1">IFERROR(__xludf.DUMMYFUNCTION("IFERROR(VLOOKUP(F531,IMPORTRANGE(""https://docs.google.com/spreadsheets/d/1Kvs4KS76FHFqLFIZfrDMff4kP08nblUkihrxltoGBjg/edit#gid=934712705"",""ESENCIAL!A6:BG""),8,FALSE))"),"")</f>
        <v/>
      </c>
      <c r="L493" s="287"/>
      <c r="V493" s="66"/>
    </row>
    <row r="494" spans="1:22" ht="15">
      <c r="A494" s="5"/>
      <c r="B494" s="4"/>
      <c r="F494" s="66"/>
      <c r="G494" s="5" t="str">
        <f ca="1">IFERROR(__xludf.DUMMYFUNCTION("IFERROR(VLOOKUP(F532,IMPORTRANGE(""https://docs.google.com/spreadsheets/d/1Kvs4KS76FHFqLFIZfrDMff4kP08nblUkihrxltoGBjg/edit#gid=934712705"",""ESENCIAL!A6:BG""),3,FALSE))"),"")</f>
        <v/>
      </c>
      <c r="H494" s="5" t="str">
        <f ca="1">IFERROR(__xludf.DUMMYFUNCTION("IFERROR(VLOOKUP(F532,IMPORTRANGE(""https://docs.google.com/spreadsheets/d/1Kvs4KS76FHFqLFIZfrDMff4kP08nblUkihrxltoGBjg/edit#gid=934712705"",""ESENCIAL!A6:BG""),8,FALSE))"),"")</f>
        <v/>
      </c>
      <c r="L494" s="287"/>
      <c r="V494" s="66"/>
    </row>
    <row r="495" spans="1:22" ht="15">
      <c r="A495" s="5"/>
      <c r="B495" s="4"/>
      <c r="F495" s="66"/>
      <c r="G495" s="5" t="str">
        <f ca="1">IFERROR(__xludf.DUMMYFUNCTION("IFERROR(VLOOKUP(F533,IMPORTRANGE(""https://docs.google.com/spreadsheets/d/1Kvs4KS76FHFqLFIZfrDMff4kP08nblUkihrxltoGBjg/edit#gid=934712705"",""ESENCIAL!A6:BG""),3,FALSE))"),"")</f>
        <v/>
      </c>
      <c r="H495" s="5" t="str">
        <f ca="1">IFERROR(__xludf.DUMMYFUNCTION("IFERROR(VLOOKUP(F533,IMPORTRANGE(""https://docs.google.com/spreadsheets/d/1Kvs4KS76FHFqLFIZfrDMff4kP08nblUkihrxltoGBjg/edit#gid=934712705"",""ESENCIAL!A6:BG""),8,FALSE))"),"")</f>
        <v/>
      </c>
      <c r="L495" s="287"/>
      <c r="V495" s="66"/>
    </row>
    <row r="496" spans="1:22" ht="15">
      <c r="A496" s="5"/>
      <c r="B496" s="4"/>
      <c r="F496" s="66"/>
      <c r="G496" s="5" t="str">
        <f ca="1">IFERROR(__xludf.DUMMYFUNCTION("IFERROR(VLOOKUP(F534,IMPORTRANGE(""https://docs.google.com/spreadsheets/d/1Kvs4KS76FHFqLFIZfrDMff4kP08nblUkihrxltoGBjg/edit#gid=934712705"",""ESENCIAL!A6:BG""),3,FALSE))"),"")</f>
        <v/>
      </c>
      <c r="H496" s="5" t="str">
        <f ca="1">IFERROR(__xludf.DUMMYFUNCTION("IFERROR(VLOOKUP(F534,IMPORTRANGE(""https://docs.google.com/spreadsheets/d/1Kvs4KS76FHFqLFIZfrDMff4kP08nblUkihrxltoGBjg/edit#gid=934712705"",""ESENCIAL!A6:BG""),8,FALSE))"),"")</f>
        <v/>
      </c>
      <c r="L496" s="287"/>
      <c r="V496" s="66"/>
    </row>
    <row r="497" spans="1:22" ht="15">
      <c r="A497" s="5"/>
      <c r="B497" s="4"/>
      <c r="F497" s="66"/>
      <c r="G497" s="5" t="str">
        <f ca="1">IFERROR(__xludf.DUMMYFUNCTION("IFERROR(VLOOKUP(F535,IMPORTRANGE(""https://docs.google.com/spreadsheets/d/1Kvs4KS76FHFqLFIZfrDMff4kP08nblUkihrxltoGBjg/edit#gid=934712705"",""ESENCIAL!A6:BG""),3,FALSE))"),"")</f>
        <v/>
      </c>
      <c r="H497" s="5" t="str">
        <f ca="1">IFERROR(__xludf.DUMMYFUNCTION("IFERROR(VLOOKUP(F535,IMPORTRANGE(""https://docs.google.com/spreadsheets/d/1Kvs4KS76FHFqLFIZfrDMff4kP08nblUkihrxltoGBjg/edit#gid=934712705"",""ESENCIAL!A6:BG""),8,FALSE))"),"")</f>
        <v/>
      </c>
      <c r="L497" s="287"/>
      <c r="V497" s="66"/>
    </row>
    <row r="498" spans="1:22" ht="15">
      <c r="A498" s="5"/>
      <c r="B498" s="4"/>
      <c r="F498" s="66"/>
      <c r="G498" s="5" t="str">
        <f ca="1">IFERROR(__xludf.DUMMYFUNCTION("IFERROR(VLOOKUP(F536,IMPORTRANGE(""https://docs.google.com/spreadsheets/d/1Kvs4KS76FHFqLFIZfrDMff4kP08nblUkihrxltoGBjg/edit#gid=934712705"",""ESENCIAL!A6:BG""),3,FALSE))"),"")</f>
        <v/>
      </c>
      <c r="H498" s="5" t="str">
        <f ca="1">IFERROR(__xludf.DUMMYFUNCTION("IFERROR(VLOOKUP(F536,IMPORTRANGE(""https://docs.google.com/spreadsheets/d/1Kvs4KS76FHFqLFIZfrDMff4kP08nblUkihrxltoGBjg/edit#gid=934712705"",""ESENCIAL!A6:BG""),8,FALSE))"),"")</f>
        <v/>
      </c>
      <c r="L498" s="287"/>
      <c r="V498" s="66"/>
    </row>
    <row r="499" spans="1:22" ht="15">
      <c r="A499" s="5"/>
      <c r="B499" s="4"/>
      <c r="F499" s="66"/>
      <c r="G499" s="5" t="str">
        <f ca="1">IFERROR(__xludf.DUMMYFUNCTION("IFERROR(VLOOKUP(F537,IMPORTRANGE(""https://docs.google.com/spreadsheets/d/1Kvs4KS76FHFqLFIZfrDMff4kP08nblUkihrxltoGBjg/edit#gid=934712705"",""ESENCIAL!A6:BG""),3,FALSE))"),"")</f>
        <v/>
      </c>
      <c r="H499" s="5" t="str">
        <f ca="1">IFERROR(__xludf.DUMMYFUNCTION("IFERROR(VLOOKUP(F537,IMPORTRANGE(""https://docs.google.com/spreadsheets/d/1Kvs4KS76FHFqLFIZfrDMff4kP08nblUkihrxltoGBjg/edit#gid=934712705"",""ESENCIAL!A6:BG""),8,FALSE))"),"")</f>
        <v/>
      </c>
      <c r="L499" s="287"/>
      <c r="V499" s="66"/>
    </row>
    <row r="500" spans="1:22" ht="15">
      <c r="A500" s="5"/>
      <c r="B500" s="4"/>
      <c r="F500" s="66"/>
      <c r="G500" s="5" t="str">
        <f ca="1">IFERROR(__xludf.DUMMYFUNCTION("IFERROR(VLOOKUP(F538,IMPORTRANGE(""https://docs.google.com/spreadsheets/d/1Kvs4KS76FHFqLFIZfrDMff4kP08nblUkihrxltoGBjg/edit#gid=934712705"",""ESENCIAL!A6:BG""),3,FALSE))"),"")</f>
        <v/>
      </c>
      <c r="H500" s="5" t="str">
        <f ca="1">IFERROR(__xludf.DUMMYFUNCTION("IFERROR(VLOOKUP(F538,IMPORTRANGE(""https://docs.google.com/spreadsheets/d/1Kvs4KS76FHFqLFIZfrDMff4kP08nblUkihrxltoGBjg/edit#gid=934712705"",""ESENCIAL!A6:BG""),8,FALSE))"),"")</f>
        <v/>
      </c>
      <c r="L500" s="287"/>
      <c r="V500" s="66"/>
    </row>
    <row r="501" spans="1:22" ht="15">
      <c r="A501" s="5"/>
      <c r="B501" s="4"/>
      <c r="F501" s="66"/>
      <c r="G501" s="5" t="str">
        <f ca="1">IFERROR(__xludf.DUMMYFUNCTION("IFERROR(VLOOKUP(F539,IMPORTRANGE(""https://docs.google.com/spreadsheets/d/1Kvs4KS76FHFqLFIZfrDMff4kP08nblUkihrxltoGBjg/edit#gid=934712705"",""ESENCIAL!A6:BG""),3,FALSE))"),"")</f>
        <v/>
      </c>
      <c r="H501" s="5" t="str">
        <f ca="1">IFERROR(__xludf.DUMMYFUNCTION("IFERROR(VLOOKUP(F539,IMPORTRANGE(""https://docs.google.com/spreadsheets/d/1Kvs4KS76FHFqLFIZfrDMff4kP08nblUkihrxltoGBjg/edit#gid=934712705"",""ESENCIAL!A6:BG""),8,FALSE))"),"")</f>
        <v/>
      </c>
      <c r="L501" s="287"/>
      <c r="V501" s="66"/>
    </row>
    <row r="502" spans="1:22" ht="15">
      <c r="A502" s="5"/>
      <c r="B502" s="4"/>
      <c r="F502" s="66"/>
      <c r="G502" s="5" t="str">
        <f ca="1">IFERROR(__xludf.DUMMYFUNCTION("IFERROR(VLOOKUP(F540,IMPORTRANGE(""https://docs.google.com/spreadsheets/d/1Kvs4KS76FHFqLFIZfrDMff4kP08nblUkihrxltoGBjg/edit#gid=934712705"",""ESENCIAL!A6:BG""),3,FALSE))"),"")</f>
        <v/>
      </c>
      <c r="H502" s="5" t="str">
        <f ca="1">IFERROR(__xludf.DUMMYFUNCTION("IFERROR(VLOOKUP(F540,IMPORTRANGE(""https://docs.google.com/spreadsheets/d/1Kvs4KS76FHFqLFIZfrDMff4kP08nblUkihrxltoGBjg/edit#gid=934712705"",""ESENCIAL!A6:BG""),8,FALSE))"),"")</f>
        <v/>
      </c>
      <c r="L502" s="287"/>
      <c r="V502" s="66"/>
    </row>
    <row r="503" spans="1:22" ht="15">
      <c r="A503" s="5"/>
      <c r="B503" s="4"/>
      <c r="F503" s="66"/>
      <c r="G503" s="5" t="str">
        <f ca="1">IFERROR(__xludf.DUMMYFUNCTION("IFERROR(VLOOKUP(F541,IMPORTRANGE(""https://docs.google.com/spreadsheets/d/1Kvs4KS76FHFqLFIZfrDMff4kP08nblUkihrxltoGBjg/edit#gid=934712705"",""ESENCIAL!A6:BG""),3,FALSE))"),"")</f>
        <v/>
      </c>
      <c r="H503" s="5" t="str">
        <f ca="1">IFERROR(__xludf.DUMMYFUNCTION("IFERROR(VLOOKUP(F541,IMPORTRANGE(""https://docs.google.com/spreadsheets/d/1Kvs4KS76FHFqLFIZfrDMff4kP08nblUkihrxltoGBjg/edit#gid=934712705"",""ESENCIAL!A6:BG""),8,FALSE))"),"")</f>
        <v/>
      </c>
      <c r="L503" s="287"/>
      <c r="V503" s="66"/>
    </row>
    <row r="504" spans="1:22" ht="15">
      <c r="A504" s="5"/>
      <c r="B504" s="4"/>
      <c r="F504" s="66"/>
      <c r="G504" s="5" t="str">
        <f ca="1">IFERROR(__xludf.DUMMYFUNCTION("IFERROR(VLOOKUP(F542,IMPORTRANGE(""https://docs.google.com/spreadsheets/d/1Kvs4KS76FHFqLFIZfrDMff4kP08nblUkihrxltoGBjg/edit#gid=934712705"",""ESENCIAL!A6:BG""),3,FALSE))"),"")</f>
        <v/>
      </c>
      <c r="H504" s="5" t="str">
        <f ca="1">IFERROR(__xludf.DUMMYFUNCTION("IFERROR(VLOOKUP(F542,IMPORTRANGE(""https://docs.google.com/spreadsheets/d/1Kvs4KS76FHFqLFIZfrDMff4kP08nblUkihrxltoGBjg/edit#gid=934712705"",""ESENCIAL!A6:BG""),8,FALSE))"),"")</f>
        <v/>
      </c>
      <c r="L504" s="287"/>
      <c r="V504" s="66"/>
    </row>
    <row r="505" spans="1:22" ht="15">
      <c r="A505" s="5"/>
      <c r="B505" s="4"/>
      <c r="F505" s="66"/>
      <c r="G505" s="5" t="str">
        <f ca="1">IFERROR(__xludf.DUMMYFUNCTION("IFERROR(VLOOKUP(F543,IMPORTRANGE(""https://docs.google.com/spreadsheets/d/1Kvs4KS76FHFqLFIZfrDMff4kP08nblUkihrxltoGBjg/edit#gid=934712705"",""ESENCIAL!A6:BG""),3,FALSE))"),"")</f>
        <v/>
      </c>
      <c r="H505" s="5" t="str">
        <f ca="1">IFERROR(__xludf.DUMMYFUNCTION("IFERROR(VLOOKUP(F543,IMPORTRANGE(""https://docs.google.com/spreadsheets/d/1Kvs4KS76FHFqLFIZfrDMff4kP08nblUkihrxltoGBjg/edit#gid=934712705"",""ESENCIAL!A6:BG""),8,FALSE))"),"")</f>
        <v/>
      </c>
      <c r="L505" s="287"/>
      <c r="V505" s="66"/>
    </row>
    <row r="506" spans="1:22" ht="15">
      <c r="A506" s="5"/>
      <c r="B506" s="4"/>
      <c r="F506" s="66"/>
      <c r="G506" s="5" t="str">
        <f ca="1">IFERROR(__xludf.DUMMYFUNCTION("IFERROR(VLOOKUP(F544,IMPORTRANGE(""https://docs.google.com/spreadsheets/d/1Kvs4KS76FHFqLFIZfrDMff4kP08nblUkihrxltoGBjg/edit#gid=934712705"",""ESENCIAL!A6:BG""),3,FALSE))"),"")</f>
        <v/>
      </c>
      <c r="H506" s="5" t="str">
        <f ca="1">IFERROR(__xludf.DUMMYFUNCTION("IFERROR(VLOOKUP(F544,IMPORTRANGE(""https://docs.google.com/spreadsheets/d/1Kvs4KS76FHFqLFIZfrDMff4kP08nblUkihrxltoGBjg/edit#gid=934712705"",""ESENCIAL!A6:BG""),8,FALSE))"),"")</f>
        <v/>
      </c>
      <c r="L506" s="287"/>
      <c r="V506" s="66"/>
    </row>
    <row r="507" spans="1:22" ht="15">
      <c r="A507" s="5"/>
      <c r="B507" s="4"/>
      <c r="F507" s="66"/>
      <c r="G507" s="5" t="str">
        <f ca="1">IFERROR(__xludf.DUMMYFUNCTION("IFERROR(VLOOKUP(F545,IMPORTRANGE(""https://docs.google.com/spreadsheets/d/1Kvs4KS76FHFqLFIZfrDMff4kP08nblUkihrxltoGBjg/edit#gid=934712705"",""ESENCIAL!A6:BG""),3,FALSE))"),"")</f>
        <v/>
      </c>
      <c r="H507" s="5" t="str">
        <f ca="1">IFERROR(__xludf.DUMMYFUNCTION("IFERROR(VLOOKUP(F545,IMPORTRANGE(""https://docs.google.com/spreadsheets/d/1Kvs4KS76FHFqLFIZfrDMff4kP08nblUkihrxltoGBjg/edit#gid=934712705"",""ESENCIAL!A6:BG""),8,FALSE))"),"")</f>
        <v/>
      </c>
      <c r="L507" s="287"/>
      <c r="V507" s="66"/>
    </row>
    <row r="508" spans="1:22" ht="15">
      <c r="A508" s="5"/>
      <c r="B508" s="4"/>
      <c r="F508" s="66"/>
      <c r="G508" s="5" t="str">
        <f ca="1">IFERROR(__xludf.DUMMYFUNCTION("IFERROR(VLOOKUP(F546,IMPORTRANGE(""https://docs.google.com/spreadsheets/d/1Kvs4KS76FHFqLFIZfrDMff4kP08nblUkihrxltoGBjg/edit#gid=934712705"",""ESENCIAL!A6:BG""),3,FALSE))"),"")</f>
        <v/>
      </c>
      <c r="H508" s="5" t="str">
        <f ca="1">IFERROR(__xludf.DUMMYFUNCTION("IFERROR(VLOOKUP(F546,IMPORTRANGE(""https://docs.google.com/spreadsheets/d/1Kvs4KS76FHFqLFIZfrDMff4kP08nblUkihrxltoGBjg/edit#gid=934712705"",""ESENCIAL!A6:BG""),8,FALSE))"),"")</f>
        <v/>
      </c>
      <c r="L508" s="287"/>
      <c r="V508" s="66"/>
    </row>
    <row r="509" spans="1:22" ht="15">
      <c r="A509" s="5"/>
      <c r="B509" s="4"/>
      <c r="F509" s="66"/>
      <c r="G509" s="5" t="str">
        <f ca="1">IFERROR(__xludf.DUMMYFUNCTION("IFERROR(VLOOKUP(F547,IMPORTRANGE(""https://docs.google.com/spreadsheets/d/1Kvs4KS76FHFqLFIZfrDMff4kP08nblUkihrxltoGBjg/edit#gid=934712705"",""ESENCIAL!A6:BG""),3,FALSE))"),"")</f>
        <v/>
      </c>
      <c r="H509" s="5" t="str">
        <f ca="1">IFERROR(__xludf.DUMMYFUNCTION("IFERROR(VLOOKUP(F547,IMPORTRANGE(""https://docs.google.com/spreadsheets/d/1Kvs4KS76FHFqLFIZfrDMff4kP08nblUkihrxltoGBjg/edit#gid=934712705"",""ESENCIAL!A6:BG""),8,FALSE))"),"")</f>
        <v/>
      </c>
      <c r="L509" s="287"/>
      <c r="V509" s="66"/>
    </row>
    <row r="510" spans="1:22" ht="15">
      <c r="A510" s="5"/>
      <c r="B510" s="4"/>
      <c r="F510" s="66"/>
      <c r="G510" s="5" t="str">
        <f ca="1">IFERROR(__xludf.DUMMYFUNCTION("IFERROR(VLOOKUP(F548,IMPORTRANGE(""https://docs.google.com/spreadsheets/d/1Kvs4KS76FHFqLFIZfrDMff4kP08nblUkihrxltoGBjg/edit#gid=934712705"",""ESENCIAL!A6:BG""),3,FALSE))"),"")</f>
        <v/>
      </c>
      <c r="H510" s="5" t="str">
        <f ca="1">IFERROR(__xludf.DUMMYFUNCTION("IFERROR(VLOOKUP(F548,IMPORTRANGE(""https://docs.google.com/spreadsheets/d/1Kvs4KS76FHFqLFIZfrDMff4kP08nblUkihrxltoGBjg/edit#gid=934712705"",""ESENCIAL!A6:BG""),8,FALSE))"),"")</f>
        <v/>
      </c>
      <c r="L510" s="287"/>
      <c r="V510" s="66"/>
    </row>
    <row r="511" spans="1:22" ht="15">
      <c r="A511" s="5"/>
      <c r="B511" s="4"/>
      <c r="F511" s="66"/>
      <c r="G511" s="5" t="str">
        <f ca="1">IFERROR(__xludf.DUMMYFUNCTION("IFERROR(VLOOKUP(F549,IMPORTRANGE(""https://docs.google.com/spreadsheets/d/1Kvs4KS76FHFqLFIZfrDMff4kP08nblUkihrxltoGBjg/edit#gid=934712705"",""ESENCIAL!A6:BG""),3,FALSE))"),"")</f>
        <v/>
      </c>
      <c r="H511" s="5" t="str">
        <f ca="1">IFERROR(__xludf.DUMMYFUNCTION("IFERROR(VLOOKUP(F549,IMPORTRANGE(""https://docs.google.com/spreadsheets/d/1Kvs4KS76FHFqLFIZfrDMff4kP08nblUkihrxltoGBjg/edit#gid=934712705"",""ESENCIAL!A6:BG""),8,FALSE))"),"")</f>
        <v/>
      </c>
      <c r="L511" s="287"/>
      <c r="V511" s="66"/>
    </row>
    <row r="512" spans="1:22" ht="15">
      <c r="A512" s="5"/>
      <c r="B512" s="4"/>
      <c r="F512" s="66"/>
      <c r="G512" s="5" t="str">
        <f ca="1">IFERROR(__xludf.DUMMYFUNCTION("IFERROR(VLOOKUP(F550,IMPORTRANGE(""https://docs.google.com/spreadsheets/d/1Kvs4KS76FHFqLFIZfrDMff4kP08nblUkihrxltoGBjg/edit#gid=934712705"",""ESENCIAL!A6:BG""),3,FALSE))"),"")</f>
        <v/>
      </c>
      <c r="H512" s="5" t="str">
        <f ca="1">IFERROR(__xludf.DUMMYFUNCTION("IFERROR(VLOOKUP(F550,IMPORTRANGE(""https://docs.google.com/spreadsheets/d/1Kvs4KS76FHFqLFIZfrDMff4kP08nblUkihrxltoGBjg/edit#gid=934712705"",""ESENCIAL!A6:BG""),8,FALSE))"),"")</f>
        <v/>
      </c>
      <c r="L512" s="287"/>
      <c r="V512" s="66"/>
    </row>
    <row r="513" spans="1:22" ht="15">
      <c r="A513" s="5"/>
      <c r="B513" s="4"/>
      <c r="F513" s="66"/>
      <c r="G513" s="5" t="str">
        <f ca="1">IFERROR(__xludf.DUMMYFUNCTION("IFERROR(VLOOKUP(F551,IMPORTRANGE(""https://docs.google.com/spreadsheets/d/1Kvs4KS76FHFqLFIZfrDMff4kP08nblUkihrxltoGBjg/edit#gid=934712705"",""ESENCIAL!A6:BG""),3,FALSE))"),"")</f>
        <v/>
      </c>
      <c r="H513" s="5" t="str">
        <f ca="1">IFERROR(__xludf.DUMMYFUNCTION("IFERROR(VLOOKUP(F551,IMPORTRANGE(""https://docs.google.com/spreadsheets/d/1Kvs4KS76FHFqLFIZfrDMff4kP08nblUkihrxltoGBjg/edit#gid=934712705"",""ESENCIAL!A6:BG""),8,FALSE))"),"")</f>
        <v/>
      </c>
      <c r="L513" s="287"/>
      <c r="V513" s="66"/>
    </row>
    <row r="514" spans="1:22" ht="15">
      <c r="A514" s="5"/>
      <c r="B514" s="4"/>
      <c r="F514" s="66"/>
      <c r="G514" s="5" t="str">
        <f ca="1">IFERROR(__xludf.DUMMYFUNCTION("IFERROR(VLOOKUP(F552,IMPORTRANGE(""https://docs.google.com/spreadsheets/d/1Kvs4KS76FHFqLFIZfrDMff4kP08nblUkihrxltoGBjg/edit#gid=934712705"",""ESENCIAL!A6:BG""),3,FALSE))"),"")</f>
        <v/>
      </c>
      <c r="H514" s="5" t="str">
        <f ca="1">IFERROR(__xludf.DUMMYFUNCTION("IFERROR(VLOOKUP(F552,IMPORTRANGE(""https://docs.google.com/spreadsheets/d/1Kvs4KS76FHFqLFIZfrDMff4kP08nblUkihrxltoGBjg/edit#gid=934712705"",""ESENCIAL!A6:BG""),8,FALSE))"),"")</f>
        <v/>
      </c>
      <c r="L514" s="287"/>
      <c r="V514" s="66"/>
    </row>
    <row r="515" spans="1:22" ht="15">
      <c r="A515" s="5"/>
      <c r="B515" s="4"/>
      <c r="F515" s="66"/>
      <c r="G515" s="5" t="str">
        <f ca="1">IFERROR(__xludf.DUMMYFUNCTION("IFERROR(VLOOKUP(F553,IMPORTRANGE(""https://docs.google.com/spreadsheets/d/1Kvs4KS76FHFqLFIZfrDMff4kP08nblUkihrxltoGBjg/edit#gid=934712705"",""ESENCIAL!A6:BG""),3,FALSE))"),"")</f>
        <v/>
      </c>
      <c r="H515" s="5" t="str">
        <f ca="1">IFERROR(__xludf.DUMMYFUNCTION("IFERROR(VLOOKUP(F553,IMPORTRANGE(""https://docs.google.com/spreadsheets/d/1Kvs4KS76FHFqLFIZfrDMff4kP08nblUkihrxltoGBjg/edit#gid=934712705"",""ESENCIAL!A6:BG""),8,FALSE))"),"")</f>
        <v/>
      </c>
      <c r="L515" s="287"/>
      <c r="V515" s="66"/>
    </row>
    <row r="516" spans="1:22" ht="15">
      <c r="A516" s="5"/>
      <c r="B516" s="4"/>
      <c r="F516" s="66"/>
      <c r="G516" s="5" t="str">
        <f ca="1">IFERROR(__xludf.DUMMYFUNCTION("IFERROR(VLOOKUP(F554,IMPORTRANGE(""https://docs.google.com/spreadsheets/d/1Kvs4KS76FHFqLFIZfrDMff4kP08nblUkihrxltoGBjg/edit#gid=934712705"",""ESENCIAL!A6:BG""),3,FALSE))"),"")</f>
        <v/>
      </c>
      <c r="H516" s="5" t="str">
        <f ca="1">IFERROR(__xludf.DUMMYFUNCTION("IFERROR(VLOOKUP(F554,IMPORTRANGE(""https://docs.google.com/spreadsheets/d/1Kvs4KS76FHFqLFIZfrDMff4kP08nblUkihrxltoGBjg/edit#gid=934712705"",""ESENCIAL!A6:BG""),8,FALSE))"),"")</f>
        <v/>
      </c>
      <c r="L516" s="287"/>
      <c r="V516" s="66"/>
    </row>
    <row r="517" spans="1:22" ht="15">
      <c r="A517" s="5"/>
      <c r="B517" s="4"/>
      <c r="F517" s="66"/>
      <c r="G517" s="5" t="str">
        <f ca="1">IFERROR(__xludf.DUMMYFUNCTION("IFERROR(VLOOKUP(F555,IMPORTRANGE(""https://docs.google.com/spreadsheets/d/1Kvs4KS76FHFqLFIZfrDMff4kP08nblUkihrxltoGBjg/edit#gid=934712705"",""ESENCIAL!A6:BG""),3,FALSE))"),"")</f>
        <v/>
      </c>
      <c r="H517" s="5" t="str">
        <f ca="1">IFERROR(__xludf.DUMMYFUNCTION("IFERROR(VLOOKUP(F555,IMPORTRANGE(""https://docs.google.com/spreadsheets/d/1Kvs4KS76FHFqLFIZfrDMff4kP08nblUkihrxltoGBjg/edit#gid=934712705"",""ESENCIAL!A6:BG""),8,FALSE))"),"")</f>
        <v/>
      </c>
      <c r="L517" s="287"/>
      <c r="V517" s="66"/>
    </row>
    <row r="518" spans="1:22" ht="15">
      <c r="A518" s="5"/>
      <c r="B518" s="4"/>
      <c r="F518" s="66"/>
      <c r="G518" s="5" t="str">
        <f ca="1">IFERROR(__xludf.DUMMYFUNCTION("IFERROR(VLOOKUP(F556,IMPORTRANGE(""https://docs.google.com/spreadsheets/d/1Kvs4KS76FHFqLFIZfrDMff4kP08nblUkihrxltoGBjg/edit#gid=934712705"",""ESENCIAL!A6:BG""),3,FALSE))"),"")</f>
        <v/>
      </c>
      <c r="H518" s="5" t="str">
        <f ca="1">IFERROR(__xludf.DUMMYFUNCTION("IFERROR(VLOOKUP(F556,IMPORTRANGE(""https://docs.google.com/spreadsheets/d/1Kvs4KS76FHFqLFIZfrDMff4kP08nblUkihrxltoGBjg/edit#gid=934712705"",""ESENCIAL!A6:BG""),8,FALSE))"),"")</f>
        <v/>
      </c>
      <c r="L518" s="287"/>
      <c r="V518" s="66"/>
    </row>
    <row r="519" spans="1:22" ht="15">
      <c r="A519" s="5"/>
      <c r="B519" s="4"/>
      <c r="F519" s="66"/>
      <c r="G519" s="5" t="str">
        <f ca="1">IFERROR(__xludf.DUMMYFUNCTION("IFERROR(VLOOKUP(F557,IMPORTRANGE(""https://docs.google.com/spreadsheets/d/1Kvs4KS76FHFqLFIZfrDMff4kP08nblUkihrxltoGBjg/edit#gid=934712705"",""ESENCIAL!A6:BG""),3,FALSE))"),"")</f>
        <v/>
      </c>
      <c r="H519" s="5" t="str">
        <f ca="1">IFERROR(__xludf.DUMMYFUNCTION("IFERROR(VLOOKUP(F557,IMPORTRANGE(""https://docs.google.com/spreadsheets/d/1Kvs4KS76FHFqLFIZfrDMff4kP08nblUkihrxltoGBjg/edit#gid=934712705"",""ESENCIAL!A6:BG""),8,FALSE))"),"")</f>
        <v/>
      </c>
      <c r="L519" s="287"/>
      <c r="V519" s="66"/>
    </row>
    <row r="520" spans="1:22" ht="15">
      <c r="A520" s="5"/>
      <c r="B520" s="4"/>
      <c r="F520" s="66"/>
      <c r="G520" s="5" t="str">
        <f ca="1">IFERROR(__xludf.DUMMYFUNCTION("IFERROR(VLOOKUP(F558,IMPORTRANGE(""https://docs.google.com/spreadsheets/d/1Kvs4KS76FHFqLFIZfrDMff4kP08nblUkihrxltoGBjg/edit#gid=934712705"",""ESENCIAL!A6:BG""),3,FALSE))"),"")</f>
        <v/>
      </c>
      <c r="H520" s="5" t="str">
        <f ca="1">IFERROR(__xludf.DUMMYFUNCTION("IFERROR(VLOOKUP(F558,IMPORTRANGE(""https://docs.google.com/spreadsheets/d/1Kvs4KS76FHFqLFIZfrDMff4kP08nblUkihrxltoGBjg/edit#gid=934712705"",""ESENCIAL!A6:BG""),8,FALSE))"),"")</f>
        <v/>
      </c>
      <c r="L520" s="287"/>
      <c r="V520" s="66"/>
    </row>
    <row r="521" spans="1:22" ht="15">
      <c r="A521" s="5"/>
      <c r="B521" s="4"/>
      <c r="F521" s="66"/>
      <c r="G521" s="5" t="str">
        <f ca="1">IFERROR(__xludf.DUMMYFUNCTION("IFERROR(VLOOKUP(F559,IMPORTRANGE(""https://docs.google.com/spreadsheets/d/1Kvs4KS76FHFqLFIZfrDMff4kP08nblUkihrxltoGBjg/edit#gid=934712705"",""ESENCIAL!A6:BG""),3,FALSE))"),"")</f>
        <v/>
      </c>
      <c r="H521" s="5" t="str">
        <f ca="1">IFERROR(__xludf.DUMMYFUNCTION("IFERROR(VLOOKUP(F559,IMPORTRANGE(""https://docs.google.com/spreadsheets/d/1Kvs4KS76FHFqLFIZfrDMff4kP08nblUkihrxltoGBjg/edit#gid=934712705"",""ESENCIAL!A6:BG""),8,FALSE))"),"")</f>
        <v/>
      </c>
      <c r="L521" s="287"/>
      <c r="V521" s="66"/>
    </row>
    <row r="522" spans="1:22" ht="15">
      <c r="A522" s="5"/>
      <c r="B522" s="4"/>
      <c r="F522" s="66"/>
      <c r="G522" s="5" t="str">
        <f ca="1">IFERROR(__xludf.DUMMYFUNCTION("IFERROR(VLOOKUP(F560,IMPORTRANGE(""https://docs.google.com/spreadsheets/d/1Kvs4KS76FHFqLFIZfrDMff4kP08nblUkihrxltoGBjg/edit#gid=934712705"",""ESENCIAL!A6:BG""),3,FALSE))"),"")</f>
        <v/>
      </c>
      <c r="H522" s="5" t="str">
        <f ca="1">IFERROR(__xludf.DUMMYFUNCTION("IFERROR(VLOOKUP(F560,IMPORTRANGE(""https://docs.google.com/spreadsheets/d/1Kvs4KS76FHFqLFIZfrDMff4kP08nblUkihrxltoGBjg/edit#gid=934712705"",""ESENCIAL!A6:BG""),8,FALSE))"),"")</f>
        <v/>
      </c>
      <c r="L522" s="287"/>
      <c r="V522" s="66"/>
    </row>
    <row r="523" spans="1:22" ht="15">
      <c r="A523" s="5"/>
      <c r="B523" s="4"/>
      <c r="F523" s="66"/>
      <c r="G523" s="5" t="str">
        <f ca="1">IFERROR(__xludf.DUMMYFUNCTION("IFERROR(VLOOKUP(F561,IMPORTRANGE(""https://docs.google.com/spreadsheets/d/1Kvs4KS76FHFqLFIZfrDMff4kP08nblUkihrxltoGBjg/edit#gid=934712705"",""ESENCIAL!A6:BG""),3,FALSE))"),"")</f>
        <v/>
      </c>
      <c r="H523" s="5" t="str">
        <f ca="1">IFERROR(__xludf.DUMMYFUNCTION("IFERROR(VLOOKUP(F561,IMPORTRANGE(""https://docs.google.com/spreadsheets/d/1Kvs4KS76FHFqLFIZfrDMff4kP08nblUkihrxltoGBjg/edit#gid=934712705"",""ESENCIAL!A6:BG""),8,FALSE))"),"")</f>
        <v/>
      </c>
      <c r="L523" s="287"/>
      <c r="V523" s="66"/>
    </row>
    <row r="524" spans="1:22" ht="15">
      <c r="A524" s="5"/>
      <c r="B524" s="4"/>
      <c r="F524" s="66"/>
      <c r="G524" s="5" t="str">
        <f ca="1">IFERROR(__xludf.DUMMYFUNCTION("IFERROR(VLOOKUP(F562,IMPORTRANGE(""https://docs.google.com/spreadsheets/d/1Kvs4KS76FHFqLFIZfrDMff4kP08nblUkihrxltoGBjg/edit#gid=934712705"",""ESENCIAL!A6:BG""),3,FALSE))"),"")</f>
        <v/>
      </c>
      <c r="H524" s="5" t="str">
        <f ca="1">IFERROR(__xludf.DUMMYFUNCTION("IFERROR(VLOOKUP(F562,IMPORTRANGE(""https://docs.google.com/spreadsheets/d/1Kvs4KS76FHFqLFIZfrDMff4kP08nblUkihrxltoGBjg/edit#gid=934712705"",""ESENCIAL!A6:BG""),8,FALSE))"),"")</f>
        <v/>
      </c>
      <c r="L524" s="287"/>
      <c r="V524" s="66"/>
    </row>
    <row r="525" spans="1:22" ht="15">
      <c r="A525" s="5"/>
      <c r="B525" s="4"/>
      <c r="F525" s="66"/>
      <c r="G525" s="5" t="str">
        <f ca="1">IFERROR(__xludf.DUMMYFUNCTION("IFERROR(VLOOKUP(F563,IMPORTRANGE(""https://docs.google.com/spreadsheets/d/1Kvs4KS76FHFqLFIZfrDMff4kP08nblUkihrxltoGBjg/edit#gid=934712705"",""ESENCIAL!A6:BG""),3,FALSE))"),"")</f>
        <v/>
      </c>
      <c r="H525" s="5" t="str">
        <f ca="1">IFERROR(__xludf.DUMMYFUNCTION("IFERROR(VLOOKUP(F563,IMPORTRANGE(""https://docs.google.com/spreadsheets/d/1Kvs4KS76FHFqLFIZfrDMff4kP08nblUkihrxltoGBjg/edit#gid=934712705"",""ESENCIAL!A6:BG""),8,FALSE))"),"")</f>
        <v/>
      </c>
      <c r="L525" s="287"/>
      <c r="V525" s="66"/>
    </row>
    <row r="526" spans="1:22" ht="15">
      <c r="A526" s="5"/>
      <c r="B526" s="4"/>
      <c r="F526" s="66"/>
      <c r="G526" s="5" t="str">
        <f ca="1">IFERROR(__xludf.DUMMYFUNCTION("IFERROR(VLOOKUP(F564,IMPORTRANGE(""https://docs.google.com/spreadsheets/d/1Kvs4KS76FHFqLFIZfrDMff4kP08nblUkihrxltoGBjg/edit#gid=934712705"",""ESENCIAL!A6:BG""),3,FALSE))"),"")</f>
        <v/>
      </c>
      <c r="H526" s="5" t="str">
        <f ca="1">IFERROR(__xludf.DUMMYFUNCTION("IFERROR(VLOOKUP(F564,IMPORTRANGE(""https://docs.google.com/spreadsheets/d/1Kvs4KS76FHFqLFIZfrDMff4kP08nblUkihrxltoGBjg/edit#gid=934712705"",""ESENCIAL!A6:BG""),8,FALSE))"),"")</f>
        <v/>
      </c>
      <c r="L526" s="287"/>
      <c r="V526" s="66"/>
    </row>
    <row r="527" spans="1:22" ht="15">
      <c r="A527" s="5"/>
      <c r="B527" s="4"/>
      <c r="F527" s="66"/>
      <c r="G527" s="5" t="str">
        <f ca="1">IFERROR(__xludf.DUMMYFUNCTION("IFERROR(VLOOKUP(F565,IMPORTRANGE(""https://docs.google.com/spreadsheets/d/1Kvs4KS76FHFqLFIZfrDMff4kP08nblUkihrxltoGBjg/edit#gid=934712705"",""ESENCIAL!A6:BG""),3,FALSE))"),"")</f>
        <v/>
      </c>
      <c r="H527" s="5" t="str">
        <f ca="1">IFERROR(__xludf.DUMMYFUNCTION("IFERROR(VLOOKUP(F565,IMPORTRANGE(""https://docs.google.com/spreadsheets/d/1Kvs4KS76FHFqLFIZfrDMff4kP08nblUkihrxltoGBjg/edit#gid=934712705"",""ESENCIAL!A6:BG""),8,FALSE))"),"")</f>
        <v/>
      </c>
      <c r="L527" s="287"/>
      <c r="V527" s="66"/>
    </row>
    <row r="528" spans="1:22" ht="15">
      <c r="A528" s="5"/>
      <c r="B528" s="4"/>
      <c r="F528" s="66"/>
      <c r="G528" s="5" t="str">
        <f ca="1">IFERROR(__xludf.DUMMYFUNCTION("IFERROR(VLOOKUP(F566,IMPORTRANGE(""https://docs.google.com/spreadsheets/d/1Kvs4KS76FHFqLFIZfrDMff4kP08nblUkihrxltoGBjg/edit#gid=934712705"",""ESENCIAL!A6:BG""),3,FALSE))"),"")</f>
        <v/>
      </c>
      <c r="H528" s="5" t="str">
        <f ca="1">IFERROR(__xludf.DUMMYFUNCTION("IFERROR(VLOOKUP(F566,IMPORTRANGE(""https://docs.google.com/spreadsheets/d/1Kvs4KS76FHFqLFIZfrDMff4kP08nblUkihrxltoGBjg/edit#gid=934712705"",""ESENCIAL!A6:BG""),8,FALSE))"),"")</f>
        <v/>
      </c>
      <c r="L528" s="287"/>
      <c r="V528" s="66"/>
    </row>
    <row r="529" spans="1:22" ht="15">
      <c r="A529" s="5"/>
      <c r="B529" s="4"/>
      <c r="F529" s="66"/>
      <c r="G529" s="5" t="str">
        <f ca="1">IFERROR(__xludf.DUMMYFUNCTION("IFERROR(VLOOKUP(F567,IMPORTRANGE(""https://docs.google.com/spreadsheets/d/1Kvs4KS76FHFqLFIZfrDMff4kP08nblUkihrxltoGBjg/edit#gid=934712705"",""ESENCIAL!A6:BG""),3,FALSE))"),"")</f>
        <v/>
      </c>
      <c r="H529" s="5" t="str">
        <f ca="1">IFERROR(__xludf.DUMMYFUNCTION("IFERROR(VLOOKUP(F567,IMPORTRANGE(""https://docs.google.com/spreadsheets/d/1Kvs4KS76FHFqLFIZfrDMff4kP08nblUkihrxltoGBjg/edit#gid=934712705"",""ESENCIAL!A6:BG""),8,FALSE))"),"")</f>
        <v/>
      </c>
      <c r="L529" s="287"/>
      <c r="V529" s="66"/>
    </row>
    <row r="530" spans="1:22" ht="15">
      <c r="A530" s="5"/>
      <c r="B530" s="4"/>
      <c r="F530" s="66"/>
      <c r="G530" s="5" t="str">
        <f ca="1">IFERROR(__xludf.DUMMYFUNCTION("IFERROR(VLOOKUP(F568,IMPORTRANGE(""https://docs.google.com/spreadsheets/d/1Kvs4KS76FHFqLFIZfrDMff4kP08nblUkihrxltoGBjg/edit#gid=934712705"",""ESENCIAL!A6:BG""),3,FALSE))"),"")</f>
        <v/>
      </c>
      <c r="H530" s="5" t="str">
        <f ca="1">IFERROR(__xludf.DUMMYFUNCTION("IFERROR(VLOOKUP(F568,IMPORTRANGE(""https://docs.google.com/spreadsheets/d/1Kvs4KS76FHFqLFIZfrDMff4kP08nblUkihrxltoGBjg/edit#gid=934712705"",""ESENCIAL!A6:BG""),8,FALSE))"),"")</f>
        <v/>
      </c>
      <c r="L530" s="287"/>
      <c r="V530" s="66"/>
    </row>
    <row r="531" spans="1:22" ht="15">
      <c r="A531" s="5"/>
      <c r="B531" s="4"/>
      <c r="F531" s="66"/>
      <c r="G531" s="5" t="str">
        <f ca="1">IFERROR(__xludf.DUMMYFUNCTION("IFERROR(VLOOKUP(F569,IMPORTRANGE(""https://docs.google.com/spreadsheets/d/1Kvs4KS76FHFqLFIZfrDMff4kP08nblUkihrxltoGBjg/edit#gid=934712705"",""ESENCIAL!A6:BG""),3,FALSE))"),"")</f>
        <v/>
      </c>
      <c r="H531" s="5" t="str">
        <f ca="1">IFERROR(__xludf.DUMMYFUNCTION("IFERROR(VLOOKUP(F569,IMPORTRANGE(""https://docs.google.com/spreadsheets/d/1Kvs4KS76FHFqLFIZfrDMff4kP08nblUkihrxltoGBjg/edit#gid=934712705"",""ESENCIAL!A6:BG""),8,FALSE))"),"")</f>
        <v/>
      </c>
      <c r="L531" s="287"/>
      <c r="V531" s="66"/>
    </row>
    <row r="532" spans="1:22" ht="15">
      <c r="A532" s="5"/>
      <c r="B532" s="4"/>
      <c r="F532" s="66"/>
      <c r="G532" s="5" t="str">
        <f ca="1">IFERROR(__xludf.DUMMYFUNCTION("IFERROR(VLOOKUP(F570,IMPORTRANGE(""https://docs.google.com/spreadsheets/d/1Kvs4KS76FHFqLFIZfrDMff4kP08nblUkihrxltoGBjg/edit#gid=934712705"",""ESENCIAL!A6:BG""),3,FALSE))"),"")</f>
        <v/>
      </c>
      <c r="H532" s="5" t="str">
        <f ca="1">IFERROR(__xludf.DUMMYFUNCTION("IFERROR(VLOOKUP(F570,IMPORTRANGE(""https://docs.google.com/spreadsheets/d/1Kvs4KS76FHFqLFIZfrDMff4kP08nblUkihrxltoGBjg/edit#gid=934712705"",""ESENCIAL!A6:BG""),8,FALSE))"),"")</f>
        <v/>
      </c>
      <c r="L532" s="287"/>
      <c r="V532" s="66"/>
    </row>
    <row r="533" spans="1:22" ht="15">
      <c r="A533" s="5"/>
      <c r="B533" s="4"/>
      <c r="F533" s="66"/>
      <c r="G533" s="5" t="str">
        <f ca="1">IFERROR(__xludf.DUMMYFUNCTION("IFERROR(VLOOKUP(F571,IMPORTRANGE(""https://docs.google.com/spreadsheets/d/1Kvs4KS76FHFqLFIZfrDMff4kP08nblUkihrxltoGBjg/edit#gid=934712705"",""ESENCIAL!A6:BG""),3,FALSE))"),"")</f>
        <v/>
      </c>
      <c r="H533" s="5" t="str">
        <f ca="1">IFERROR(__xludf.DUMMYFUNCTION("IFERROR(VLOOKUP(F571,IMPORTRANGE(""https://docs.google.com/spreadsheets/d/1Kvs4KS76FHFqLFIZfrDMff4kP08nblUkihrxltoGBjg/edit#gid=934712705"",""ESENCIAL!A6:BG""),8,FALSE))"),"")</f>
        <v/>
      </c>
      <c r="L533" s="287"/>
      <c r="V533" s="66"/>
    </row>
    <row r="534" spans="1:22" ht="15">
      <c r="A534" s="5"/>
      <c r="B534" s="4"/>
      <c r="F534" s="66"/>
      <c r="G534" s="5" t="str">
        <f ca="1">IFERROR(__xludf.DUMMYFUNCTION("IFERROR(VLOOKUP(F572,IMPORTRANGE(""https://docs.google.com/spreadsheets/d/1Kvs4KS76FHFqLFIZfrDMff4kP08nblUkihrxltoGBjg/edit#gid=934712705"",""ESENCIAL!A6:BG""),3,FALSE))"),"")</f>
        <v/>
      </c>
      <c r="H534" s="5" t="str">
        <f ca="1">IFERROR(__xludf.DUMMYFUNCTION("IFERROR(VLOOKUP(F572,IMPORTRANGE(""https://docs.google.com/spreadsheets/d/1Kvs4KS76FHFqLFIZfrDMff4kP08nblUkihrxltoGBjg/edit#gid=934712705"",""ESENCIAL!A6:BG""),8,FALSE))"),"")</f>
        <v/>
      </c>
      <c r="L534" s="287"/>
      <c r="V534" s="66"/>
    </row>
    <row r="535" spans="1:22" ht="15">
      <c r="A535" s="5"/>
      <c r="B535" s="4"/>
      <c r="F535" s="66"/>
      <c r="G535" s="5" t="str">
        <f ca="1">IFERROR(__xludf.DUMMYFUNCTION("IFERROR(VLOOKUP(F573,IMPORTRANGE(""https://docs.google.com/spreadsheets/d/1Kvs4KS76FHFqLFIZfrDMff4kP08nblUkihrxltoGBjg/edit#gid=934712705"",""ESENCIAL!A6:BG""),3,FALSE))"),"")</f>
        <v/>
      </c>
      <c r="H535" s="5" t="str">
        <f ca="1">IFERROR(__xludf.DUMMYFUNCTION("IFERROR(VLOOKUP(F573,IMPORTRANGE(""https://docs.google.com/spreadsheets/d/1Kvs4KS76FHFqLFIZfrDMff4kP08nblUkihrxltoGBjg/edit#gid=934712705"",""ESENCIAL!A6:BG""),8,FALSE))"),"")</f>
        <v/>
      </c>
      <c r="L535" s="287"/>
      <c r="V535" s="66"/>
    </row>
    <row r="536" spans="1:22" ht="15">
      <c r="A536" s="5"/>
      <c r="B536" s="4"/>
      <c r="F536" s="66"/>
      <c r="G536" s="5" t="str">
        <f ca="1">IFERROR(__xludf.DUMMYFUNCTION("IFERROR(VLOOKUP(F574,IMPORTRANGE(""https://docs.google.com/spreadsheets/d/1Kvs4KS76FHFqLFIZfrDMff4kP08nblUkihrxltoGBjg/edit#gid=934712705"",""ESENCIAL!A6:BG""),3,FALSE))"),"")</f>
        <v/>
      </c>
      <c r="H536" s="5" t="str">
        <f ca="1">IFERROR(__xludf.DUMMYFUNCTION("IFERROR(VLOOKUP(F574,IMPORTRANGE(""https://docs.google.com/spreadsheets/d/1Kvs4KS76FHFqLFIZfrDMff4kP08nblUkihrxltoGBjg/edit#gid=934712705"",""ESENCIAL!A6:BG""),8,FALSE))"),"")</f>
        <v/>
      </c>
      <c r="L536" s="287"/>
      <c r="V536" s="66"/>
    </row>
    <row r="537" spans="1:22" ht="15">
      <c r="A537" s="5"/>
      <c r="B537" s="4"/>
      <c r="F537" s="66"/>
      <c r="G537" s="5" t="str">
        <f ca="1">IFERROR(__xludf.DUMMYFUNCTION("IFERROR(VLOOKUP(F575,IMPORTRANGE(""https://docs.google.com/spreadsheets/d/1Kvs4KS76FHFqLFIZfrDMff4kP08nblUkihrxltoGBjg/edit#gid=934712705"",""ESENCIAL!A6:BG""),3,FALSE))"),"")</f>
        <v/>
      </c>
      <c r="H537" s="5" t="str">
        <f ca="1">IFERROR(__xludf.DUMMYFUNCTION("IFERROR(VLOOKUP(F575,IMPORTRANGE(""https://docs.google.com/spreadsheets/d/1Kvs4KS76FHFqLFIZfrDMff4kP08nblUkihrxltoGBjg/edit#gid=934712705"",""ESENCIAL!A6:BG""),8,FALSE))"),"")</f>
        <v/>
      </c>
      <c r="L537" s="287"/>
      <c r="V537" s="66"/>
    </row>
    <row r="538" spans="1:22" ht="15">
      <c r="A538" s="5"/>
      <c r="B538" s="4"/>
      <c r="F538" s="66"/>
      <c r="G538" s="5" t="str">
        <f ca="1">IFERROR(__xludf.DUMMYFUNCTION("IFERROR(VLOOKUP(F576,IMPORTRANGE(""https://docs.google.com/spreadsheets/d/1Kvs4KS76FHFqLFIZfrDMff4kP08nblUkihrxltoGBjg/edit#gid=934712705"",""ESENCIAL!A6:BG""),3,FALSE))"),"")</f>
        <v/>
      </c>
      <c r="H538" s="5" t="str">
        <f ca="1">IFERROR(__xludf.DUMMYFUNCTION("IFERROR(VLOOKUP(F576,IMPORTRANGE(""https://docs.google.com/spreadsheets/d/1Kvs4KS76FHFqLFIZfrDMff4kP08nblUkihrxltoGBjg/edit#gid=934712705"",""ESENCIAL!A6:BG""),8,FALSE))"),"")</f>
        <v/>
      </c>
      <c r="L538" s="287"/>
      <c r="V538" s="66"/>
    </row>
    <row r="539" spans="1:22" ht="15">
      <c r="A539" s="5"/>
      <c r="B539" s="4"/>
      <c r="F539" s="66"/>
      <c r="G539" s="5" t="str">
        <f ca="1">IFERROR(__xludf.DUMMYFUNCTION("IFERROR(VLOOKUP(F577,IMPORTRANGE(""https://docs.google.com/spreadsheets/d/1Kvs4KS76FHFqLFIZfrDMff4kP08nblUkihrxltoGBjg/edit#gid=934712705"",""ESENCIAL!A6:BG""),3,FALSE))"),"")</f>
        <v/>
      </c>
      <c r="H539" s="5" t="str">
        <f ca="1">IFERROR(__xludf.DUMMYFUNCTION("IFERROR(VLOOKUP(F577,IMPORTRANGE(""https://docs.google.com/spreadsheets/d/1Kvs4KS76FHFqLFIZfrDMff4kP08nblUkihrxltoGBjg/edit#gid=934712705"",""ESENCIAL!A6:BG""),8,FALSE))"),"")</f>
        <v/>
      </c>
      <c r="L539" s="287"/>
      <c r="V539" s="66"/>
    </row>
    <row r="540" spans="1:22" ht="15">
      <c r="A540" s="5"/>
      <c r="B540" s="4"/>
      <c r="F540" s="66"/>
      <c r="G540" s="5" t="str">
        <f ca="1">IFERROR(__xludf.DUMMYFUNCTION("IFERROR(VLOOKUP(F578,IMPORTRANGE(""https://docs.google.com/spreadsheets/d/1Kvs4KS76FHFqLFIZfrDMff4kP08nblUkihrxltoGBjg/edit#gid=934712705"",""ESENCIAL!A6:BG""),3,FALSE))"),"")</f>
        <v/>
      </c>
      <c r="H540" s="5" t="str">
        <f ca="1">IFERROR(__xludf.DUMMYFUNCTION("IFERROR(VLOOKUP(F578,IMPORTRANGE(""https://docs.google.com/spreadsheets/d/1Kvs4KS76FHFqLFIZfrDMff4kP08nblUkihrxltoGBjg/edit#gid=934712705"",""ESENCIAL!A6:BG""),8,FALSE))"),"")</f>
        <v/>
      </c>
      <c r="L540" s="287"/>
      <c r="V540" s="66"/>
    </row>
    <row r="541" spans="1:22" ht="15">
      <c r="A541" s="5"/>
      <c r="B541" s="4"/>
      <c r="F541" s="66"/>
      <c r="G541" s="5" t="str">
        <f ca="1">IFERROR(__xludf.DUMMYFUNCTION("IFERROR(VLOOKUP(F579,IMPORTRANGE(""https://docs.google.com/spreadsheets/d/1Kvs4KS76FHFqLFIZfrDMff4kP08nblUkihrxltoGBjg/edit#gid=934712705"",""ESENCIAL!A6:BG""),3,FALSE))"),"")</f>
        <v/>
      </c>
      <c r="H541" s="5" t="str">
        <f ca="1">IFERROR(__xludf.DUMMYFUNCTION("IFERROR(VLOOKUP(F579,IMPORTRANGE(""https://docs.google.com/spreadsheets/d/1Kvs4KS76FHFqLFIZfrDMff4kP08nblUkihrxltoGBjg/edit#gid=934712705"",""ESENCIAL!A6:BG""),8,FALSE))"),"")</f>
        <v/>
      </c>
      <c r="L541" s="287"/>
      <c r="V541" s="66"/>
    </row>
    <row r="542" spans="1:22" ht="15">
      <c r="A542" s="5"/>
      <c r="B542" s="4"/>
      <c r="F542" s="66"/>
      <c r="G542" s="5" t="str">
        <f ca="1">IFERROR(__xludf.DUMMYFUNCTION("IFERROR(VLOOKUP(F580,IMPORTRANGE(""https://docs.google.com/spreadsheets/d/1Kvs4KS76FHFqLFIZfrDMff4kP08nblUkihrxltoGBjg/edit#gid=934712705"",""ESENCIAL!A6:BG""),3,FALSE))"),"")</f>
        <v/>
      </c>
      <c r="H542" s="5" t="str">
        <f ca="1">IFERROR(__xludf.DUMMYFUNCTION("IFERROR(VLOOKUP(F580,IMPORTRANGE(""https://docs.google.com/spreadsheets/d/1Kvs4KS76FHFqLFIZfrDMff4kP08nblUkihrxltoGBjg/edit#gid=934712705"",""ESENCIAL!A6:BG""),8,FALSE))"),"")</f>
        <v/>
      </c>
      <c r="L542" s="287"/>
      <c r="V542" s="66"/>
    </row>
    <row r="543" spans="1:22" ht="15">
      <c r="A543" s="5"/>
      <c r="B543" s="4"/>
      <c r="F543" s="66"/>
      <c r="G543" s="5" t="str">
        <f ca="1">IFERROR(__xludf.DUMMYFUNCTION("IFERROR(VLOOKUP(F581,IMPORTRANGE(""https://docs.google.com/spreadsheets/d/1Kvs4KS76FHFqLFIZfrDMff4kP08nblUkihrxltoGBjg/edit#gid=934712705"",""ESENCIAL!A6:BG""),3,FALSE))"),"")</f>
        <v/>
      </c>
      <c r="H543" s="5" t="str">
        <f ca="1">IFERROR(__xludf.DUMMYFUNCTION("IFERROR(VLOOKUP(F581,IMPORTRANGE(""https://docs.google.com/spreadsheets/d/1Kvs4KS76FHFqLFIZfrDMff4kP08nblUkihrxltoGBjg/edit#gid=934712705"",""ESENCIAL!A6:BG""),8,FALSE))"),"")</f>
        <v/>
      </c>
      <c r="L543" s="287"/>
      <c r="V543" s="66"/>
    </row>
    <row r="544" spans="1:22" ht="15">
      <c r="A544" s="5"/>
      <c r="B544" s="4"/>
      <c r="F544" s="66"/>
      <c r="G544" s="5" t="str">
        <f ca="1">IFERROR(__xludf.DUMMYFUNCTION("IFERROR(VLOOKUP(F582,IMPORTRANGE(""https://docs.google.com/spreadsheets/d/1Kvs4KS76FHFqLFIZfrDMff4kP08nblUkihrxltoGBjg/edit#gid=934712705"",""ESENCIAL!A6:BG""),3,FALSE))"),"")</f>
        <v/>
      </c>
      <c r="H544" s="5" t="str">
        <f ca="1">IFERROR(__xludf.DUMMYFUNCTION("IFERROR(VLOOKUP(F582,IMPORTRANGE(""https://docs.google.com/spreadsheets/d/1Kvs4KS76FHFqLFIZfrDMff4kP08nblUkihrxltoGBjg/edit#gid=934712705"",""ESENCIAL!A6:BG""),8,FALSE))"),"")</f>
        <v/>
      </c>
      <c r="L544" s="287"/>
      <c r="V544" s="66"/>
    </row>
    <row r="545" spans="1:22" ht="15">
      <c r="A545" s="5"/>
      <c r="B545" s="4"/>
      <c r="F545" s="66"/>
      <c r="G545" s="5" t="str">
        <f ca="1">IFERROR(__xludf.DUMMYFUNCTION("IFERROR(VLOOKUP(F583,IMPORTRANGE(""https://docs.google.com/spreadsheets/d/1Kvs4KS76FHFqLFIZfrDMff4kP08nblUkihrxltoGBjg/edit#gid=934712705"",""ESENCIAL!A6:BG""),3,FALSE))"),"")</f>
        <v/>
      </c>
      <c r="H545" s="5" t="str">
        <f ca="1">IFERROR(__xludf.DUMMYFUNCTION("IFERROR(VLOOKUP(F583,IMPORTRANGE(""https://docs.google.com/spreadsheets/d/1Kvs4KS76FHFqLFIZfrDMff4kP08nblUkihrxltoGBjg/edit#gid=934712705"",""ESENCIAL!A6:BG""),8,FALSE))"),"")</f>
        <v/>
      </c>
      <c r="L545" s="287"/>
      <c r="V545" s="66"/>
    </row>
    <row r="546" spans="1:22" ht="15">
      <c r="A546" s="5"/>
      <c r="B546" s="4"/>
      <c r="F546" s="66"/>
      <c r="G546" s="5" t="str">
        <f ca="1">IFERROR(__xludf.DUMMYFUNCTION("IFERROR(VLOOKUP(F584,IMPORTRANGE(""https://docs.google.com/spreadsheets/d/1Kvs4KS76FHFqLFIZfrDMff4kP08nblUkihrxltoGBjg/edit#gid=934712705"",""ESENCIAL!A6:BG""),3,FALSE))"),"")</f>
        <v/>
      </c>
      <c r="H546" s="5" t="str">
        <f ca="1">IFERROR(__xludf.DUMMYFUNCTION("IFERROR(VLOOKUP(F584,IMPORTRANGE(""https://docs.google.com/spreadsheets/d/1Kvs4KS76FHFqLFIZfrDMff4kP08nblUkihrxltoGBjg/edit#gid=934712705"",""ESENCIAL!A6:BG""),8,FALSE))"),"")</f>
        <v/>
      </c>
      <c r="L546" s="287"/>
      <c r="V546" s="66"/>
    </row>
    <row r="547" spans="1:22" ht="15">
      <c r="A547" s="5"/>
      <c r="B547" s="4"/>
      <c r="F547" s="66"/>
      <c r="G547" s="5" t="str">
        <f ca="1">IFERROR(__xludf.DUMMYFUNCTION("IFERROR(VLOOKUP(F585,IMPORTRANGE(""https://docs.google.com/spreadsheets/d/1Kvs4KS76FHFqLFIZfrDMff4kP08nblUkihrxltoGBjg/edit#gid=934712705"",""ESENCIAL!A6:BG""),3,FALSE))"),"")</f>
        <v/>
      </c>
      <c r="H547" s="5" t="str">
        <f ca="1">IFERROR(__xludf.DUMMYFUNCTION("IFERROR(VLOOKUP(F585,IMPORTRANGE(""https://docs.google.com/spreadsheets/d/1Kvs4KS76FHFqLFIZfrDMff4kP08nblUkihrxltoGBjg/edit#gid=934712705"",""ESENCIAL!A6:BG""),8,FALSE))"),"")</f>
        <v/>
      </c>
      <c r="L547" s="287"/>
      <c r="V547" s="66"/>
    </row>
    <row r="548" spans="1:22" ht="15">
      <c r="A548" s="5"/>
      <c r="B548" s="4"/>
      <c r="F548" s="66"/>
      <c r="G548" s="5" t="str">
        <f ca="1">IFERROR(__xludf.DUMMYFUNCTION("IFERROR(VLOOKUP(F586,IMPORTRANGE(""https://docs.google.com/spreadsheets/d/1Kvs4KS76FHFqLFIZfrDMff4kP08nblUkihrxltoGBjg/edit#gid=934712705"",""ESENCIAL!A6:BG""),3,FALSE))"),"")</f>
        <v/>
      </c>
      <c r="H548" s="5" t="str">
        <f ca="1">IFERROR(__xludf.DUMMYFUNCTION("IFERROR(VLOOKUP(F586,IMPORTRANGE(""https://docs.google.com/spreadsheets/d/1Kvs4KS76FHFqLFIZfrDMff4kP08nblUkihrxltoGBjg/edit#gid=934712705"",""ESENCIAL!A6:BG""),8,FALSE))"),"")</f>
        <v/>
      </c>
      <c r="L548" s="287"/>
      <c r="V548" s="66"/>
    </row>
    <row r="549" spans="1:22" ht="15">
      <c r="A549" s="5"/>
      <c r="B549" s="4"/>
      <c r="F549" s="66"/>
      <c r="G549" s="5" t="str">
        <f ca="1">IFERROR(__xludf.DUMMYFUNCTION("IFERROR(VLOOKUP(F587,IMPORTRANGE(""https://docs.google.com/spreadsheets/d/1Kvs4KS76FHFqLFIZfrDMff4kP08nblUkihrxltoGBjg/edit#gid=934712705"",""ESENCIAL!A6:BG""),3,FALSE))"),"")</f>
        <v/>
      </c>
      <c r="H549" s="5" t="str">
        <f ca="1">IFERROR(__xludf.DUMMYFUNCTION("IFERROR(VLOOKUP(F587,IMPORTRANGE(""https://docs.google.com/spreadsheets/d/1Kvs4KS76FHFqLFIZfrDMff4kP08nblUkihrxltoGBjg/edit#gid=934712705"",""ESENCIAL!A6:BG""),8,FALSE))"),"")</f>
        <v/>
      </c>
      <c r="L549" s="287"/>
      <c r="V549" s="66"/>
    </row>
    <row r="550" spans="1:22" ht="15">
      <c r="A550" s="5"/>
      <c r="B550" s="4"/>
      <c r="F550" s="66"/>
      <c r="G550" s="5" t="str">
        <f ca="1">IFERROR(__xludf.DUMMYFUNCTION("IFERROR(VLOOKUP(F588,IMPORTRANGE(""https://docs.google.com/spreadsheets/d/1Kvs4KS76FHFqLFIZfrDMff4kP08nblUkihrxltoGBjg/edit#gid=934712705"",""ESENCIAL!A6:BG""),3,FALSE))"),"")</f>
        <v/>
      </c>
      <c r="H550" s="5" t="str">
        <f ca="1">IFERROR(__xludf.DUMMYFUNCTION("IFERROR(VLOOKUP(F588,IMPORTRANGE(""https://docs.google.com/spreadsheets/d/1Kvs4KS76FHFqLFIZfrDMff4kP08nblUkihrxltoGBjg/edit#gid=934712705"",""ESENCIAL!A6:BG""),8,FALSE))"),"")</f>
        <v/>
      </c>
      <c r="L550" s="287"/>
      <c r="V550" s="66"/>
    </row>
    <row r="551" spans="1:22" ht="15">
      <c r="A551" s="5"/>
      <c r="B551" s="4"/>
      <c r="F551" s="66"/>
      <c r="G551" s="5" t="str">
        <f ca="1">IFERROR(__xludf.DUMMYFUNCTION("IFERROR(VLOOKUP(F589,IMPORTRANGE(""https://docs.google.com/spreadsheets/d/1Kvs4KS76FHFqLFIZfrDMff4kP08nblUkihrxltoGBjg/edit#gid=934712705"",""ESENCIAL!A6:BG""),3,FALSE))"),"")</f>
        <v/>
      </c>
      <c r="H551" s="5" t="str">
        <f ca="1">IFERROR(__xludf.DUMMYFUNCTION("IFERROR(VLOOKUP(F589,IMPORTRANGE(""https://docs.google.com/spreadsheets/d/1Kvs4KS76FHFqLFIZfrDMff4kP08nblUkihrxltoGBjg/edit#gid=934712705"",""ESENCIAL!A6:BG""),8,FALSE))"),"")</f>
        <v/>
      </c>
      <c r="L551" s="287"/>
      <c r="V551" s="66"/>
    </row>
    <row r="552" spans="1:22" ht="15">
      <c r="A552" s="5"/>
      <c r="B552" s="4"/>
      <c r="F552" s="66"/>
      <c r="G552" s="5" t="str">
        <f ca="1">IFERROR(__xludf.DUMMYFUNCTION("IFERROR(VLOOKUP(F590,IMPORTRANGE(""https://docs.google.com/spreadsheets/d/1Kvs4KS76FHFqLFIZfrDMff4kP08nblUkihrxltoGBjg/edit#gid=934712705"",""ESENCIAL!A6:BG""),3,FALSE))"),"")</f>
        <v/>
      </c>
      <c r="H552" s="5" t="str">
        <f ca="1">IFERROR(__xludf.DUMMYFUNCTION("IFERROR(VLOOKUP(F590,IMPORTRANGE(""https://docs.google.com/spreadsheets/d/1Kvs4KS76FHFqLFIZfrDMff4kP08nblUkihrxltoGBjg/edit#gid=934712705"",""ESENCIAL!A6:BG""),8,FALSE))"),"")</f>
        <v/>
      </c>
      <c r="L552" s="287"/>
      <c r="V552" s="66"/>
    </row>
    <row r="553" spans="1:22" ht="15">
      <c r="A553" s="5"/>
      <c r="B553" s="4"/>
      <c r="F553" s="66"/>
      <c r="G553" s="5" t="str">
        <f ca="1">IFERROR(__xludf.DUMMYFUNCTION("IFERROR(VLOOKUP(F591,IMPORTRANGE(""https://docs.google.com/spreadsheets/d/1Kvs4KS76FHFqLFIZfrDMff4kP08nblUkihrxltoGBjg/edit#gid=934712705"",""ESENCIAL!A6:BG""),3,FALSE))"),"")</f>
        <v/>
      </c>
      <c r="H553" s="5" t="str">
        <f ca="1">IFERROR(__xludf.DUMMYFUNCTION("IFERROR(VLOOKUP(F591,IMPORTRANGE(""https://docs.google.com/spreadsheets/d/1Kvs4KS76FHFqLFIZfrDMff4kP08nblUkihrxltoGBjg/edit#gid=934712705"",""ESENCIAL!A6:BG""),8,FALSE))"),"")</f>
        <v/>
      </c>
      <c r="L553" s="287"/>
      <c r="V553" s="66"/>
    </row>
    <row r="554" spans="1:22" ht="15">
      <c r="A554" s="5"/>
      <c r="B554" s="4"/>
      <c r="F554" s="66"/>
      <c r="G554" s="5" t="str">
        <f ca="1">IFERROR(__xludf.DUMMYFUNCTION("IFERROR(VLOOKUP(F592,IMPORTRANGE(""https://docs.google.com/spreadsheets/d/1Kvs4KS76FHFqLFIZfrDMff4kP08nblUkihrxltoGBjg/edit#gid=934712705"",""ESENCIAL!A6:BG""),3,FALSE))"),"")</f>
        <v/>
      </c>
      <c r="H554" s="5" t="str">
        <f ca="1">IFERROR(__xludf.DUMMYFUNCTION("IFERROR(VLOOKUP(F592,IMPORTRANGE(""https://docs.google.com/spreadsheets/d/1Kvs4KS76FHFqLFIZfrDMff4kP08nblUkihrxltoGBjg/edit#gid=934712705"",""ESENCIAL!A6:BG""),8,FALSE))"),"")</f>
        <v/>
      </c>
      <c r="L554" s="287"/>
      <c r="V554" s="66"/>
    </row>
    <row r="555" spans="1:22" ht="15">
      <c r="A555" s="5"/>
      <c r="B555" s="4"/>
      <c r="F555" s="66"/>
      <c r="G555" s="5" t="str">
        <f ca="1">IFERROR(__xludf.DUMMYFUNCTION("IFERROR(VLOOKUP(F593,IMPORTRANGE(""https://docs.google.com/spreadsheets/d/1Kvs4KS76FHFqLFIZfrDMff4kP08nblUkihrxltoGBjg/edit#gid=934712705"",""ESENCIAL!A6:BG""),3,FALSE))"),"")</f>
        <v/>
      </c>
      <c r="H555" s="5" t="str">
        <f ca="1">IFERROR(__xludf.DUMMYFUNCTION("IFERROR(VLOOKUP(F593,IMPORTRANGE(""https://docs.google.com/spreadsheets/d/1Kvs4KS76FHFqLFIZfrDMff4kP08nblUkihrxltoGBjg/edit#gid=934712705"",""ESENCIAL!A6:BG""),8,FALSE))"),"")</f>
        <v/>
      </c>
      <c r="L555" s="287"/>
      <c r="V555" s="66"/>
    </row>
    <row r="556" spans="1:22" ht="15">
      <c r="A556" s="5"/>
      <c r="B556" s="4"/>
      <c r="F556" s="66"/>
      <c r="G556" s="5" t="str">
        <f ca="1">IFERROR(__xludf.DUMMYFUNCTION("IFERROR(VLOOKUP(F594,IMPORTRANGE(""https://docs.google.com/spreadsheets/d/1Kvs4KS76FHFqLFIZfrDMff4kP08nblUkihrxltoGBjg/edit#gid=934712705"",""ESENCIAL!A6:BG""),3,FALSE))"),"")</f>
        <v/>
      </c>
      <c r="H556" s="5" t="str">
        <f ca="1">IFERROR(__xludf.DUMMYFUNCTION("IFERROR(VLOOKUP(F594,IMPORTRANGE(""https://docs.google.com/spreadsheets/d/1Kvs4KS76FHFqLFIZfrDMff4kP08nblUkihrxltoGBjg/edit#gid=934712705"",""ESENCIAL!A6:BG""),8,FALSE))"),"")</f>
        <v/>
      </c>
      <c r="L556" s="287"/>
      <c r="V556" s="66"/>
    </row>
    <row r="557" spans="1:22" ht="15">
      <c r="A557" s="5"/>
      <c r="B557" s="4"/>
      <c r="F557" s="66"/>
      <c r="G557" s="5" t="str">
        <f ca="1">IFERROR(__xludf.DUMMYFUNCTION("IFERROR(VLOOKUP(F595,IMPORTRANGE(""https://docs.google.com/spreadsheets/d/1Kvs4KS76FHFqLFIZfrDMff4kP08nblUkihrxltoGBjg/edit#gid=934712705"",""ESENCIAL!A6:BG""),3,FALSE))"),"")</f>
        <v/>
      </c>
      <c r="H557" s="5" t="str">
        <f ca="1">IFERROR(__xludf.DUMMYFUNCTION("IFERROR(VLOOKUP(F595,IMPORTRANGE(""https://docs.google.com/spreadsheets/d/1Kvs4KS76FHFqLFIZfrDMff4kP08nblUkihrxltoGBjg/edit#gid=934712705"",""ESENCIAL!A6:BG""),8,FALSE))"),"")</f>
        <v/>
      </c>
      <c r="L557" s="287"/>
      <c r="V557" s="66"/>
    </row>
    <row r="558" spans="1:22" ht="15">
      <c r="A558" s="5"/>
      <c r="B558" s="4"/>
      <c r="F558" s="66"/>
      <c r="G558" s="5" t="str">
        <f ca="1">IFERROR(__xludf.DUMMYFUNCTION("IFERROR(VLOOKUP(F596,IMPORTRANGE(""https://docs.google.com/spreadsheets/d/1Kvs4KS76FHFqLFIZfrDMff4kP08nblUkihrxltoGBjg/edit#gid=934712705"",""ESENCIAL!A6:BG""),3,FALSE))"),"")</f>
        <v/>
      </c>
      <c r="H558" s="5" t="str">
        <f ca="1">IFERROR(__xludf.DUMMYFUNCTION("IFERROR(VLOOKUP(F596,IMPORTRANGE(""https://docs.google.com/spreadsheets/d/1Kvs4KS76FHFqLFIZfrDMff4kP08nblUkihrxltoGBjg/edit#gid=934712705"",""ESENCIAL!A6:BG""),8,FALSE))"),"")</f>
        <v/>
      </c>
      <c r="L558" s="287"/>
      <c r="V558" s="66"/>
    </row>
    <row r="559" spans="1:22" ht="15">
      <c r="A559" s="5"/>
      <c r="B559" s="4"/>
      <c r="F559" s="66"/>
      <c r="G559" s="5" t="str">
        <f ca="1">IFERROR(__xludf.DUMMYFUNCTION("IFERROR(VLOOKUP(F597,IMPORTRANGE(""https://docs.google.com/spreadsheets/d/1Kvs4KS76FHFqLFIZfrDMff4kP08nblUkihrxltoGBjg/edit#gid=934712705"",""ESENCIAL!A6:BG""),3,FALSE))"),"")</f>
        <v/>
      </c>
      <c r="H559" s="5" t="str">
        <f ca="1">IFERROR(__xludf.DUMMYFUNCTION("IFERROR(VLOOKUP(F597,IMPORTRANGE(""https://docs.google.com/spreadsheets/d/1Kvs4KS76FHFqLFIZfrDMff4kP08nblUkihrxltoGBjg/edit#gid=934712705"",""ESENCIAL!A6:BG""),8,FALSE))"),"")</f>
        <v/>
      </c>
      <c r="L559" s="287"/>
      <c r="V559" s="66"/>
    </row>
    <row r="560" spans="1:22" ht="15">
      <c r="A560" s="5"/>
      <c r="B560" s="4"/>
      <c r="F560" s="66"/>
      <c r="G560" s="5" t="str">
        <f ca="1">IFERROR(__xludf.DUMMYFUNCTION("IFERROR(VLOOKUP(F598,IMPORTRANGE(""https://docs.google.com/spreadsheets/d/1Kvs4KS76FHFqLFIZfrDMff4kP08nblUkihrxltoGBjg/edit#gid=934712705"",""ESENCIAL!A6:BG""),3,FALSE))"),"")</f>
        <v/>
      </c>
      <c r="H560" s="5" t="str">
        <f ca="1">IFERROR(__xludf.DUMMYFUNCTION("IFERROR(VLOOKUP(F598,IMPORTRANGE(""https://docs.google.com/spreadsheets/d/1Kvs4KS76FHFqLFIZfrDMff4kP08nblUkihrxltoGBjg/edit#gid=934712705"",""ESENCIAL!A6:BG""),8,FALSE))"),"")</f>
        <v/>
      </c>
      <c r="L560" s="287"/>
      <c r="V560" s="66"/>
    </row>
    <row r="561" spans="1:22" ht="15">
      <c r="A561" s="5"/>
      <c r="B561" s="4"/>
      <c r="F561" s="66"/>
      <c r="G561" s="5" t="str">
        <f ca="1">IFERROR(__xludf.DUMMYFUNCTION("IFERROR(VLOOKUP(F599,IMPORTRANGE(""https://docs.google.com/spreadsheets/d/1Kvs4KS76FHFqLFIZfrDMff4kP08nblUkihrxltoGBjg/edit#gid=934712705"",""ESENCIAL!A6:BG""),3,FALSE))"),"")</f>
        <v/>
      </c>
      <c r="H561" s="5" t="str">
        <f ca="1">IFERROR(__xludf.DUMMYFUNCTION("IFERROR(VLOOKUP(F599,IMPORTRANGE(""https://docs.google.com/spreadsheets/d/1Kvs4KS76FHFqLFIZfrDMff4kP08nblUkihrxltoGBjg/edit#gid=934712705"",""ESENCIAL!A6:BG""),8,FALSE))"),"")</f>
        <v/>
      </c>
      <c r="L561" s="287"/>
      <c r="V561" s="66"/>
    </row>
    <row r="562" spans="1:22" ht="15">
      <c r="A562" s="5"/>
      <c r="B562" s="4"/>
      <c r="F562" s="66"/>
      <c r="G562" s="5" t="str">
        <f ca="1">IFERROR(__xludf.DUMMYFUNCTION("IFERROR(VLOOKUP(F600,IMPORTRANGE(""https://docs.google.com/spreadsheets/d/1Kvs4KS76FHFqLFIZfrDMff4kP08nblUkihrxltoGBjg/edit#gid=934712705"",""ESENCIAL!A6:BG""),3,FALSE))"),"")</f>
        <v/>
      </c>
      <c r="H562" s="5" t="str">
        <f ca="1">IFERROR(__xludf.DUMMYFUNCTION("IFERROR(VLOOKUP(F600,IMPORTRANGE(""https://docs.google.com/spreadsheets/d/1Kvs4KS76FHFqLFIZfrDMff4kP08nblUkihrxltoGBjg/edit#gid=934712705"",""ESENCIAL!A6:BG""),8,FALSE))"),"")</f>
        <v/>
      </c>
      <c r="L562" s="287"/>
      <c r="V562" s="66"/>
    </row>
    <row r="563" spans="1:22" ht="15">
      <c r="A563" s="5"/>
      <c r="B563" s="4"/>
      <c r="F563" s="66"/>
      <c r="G563" s="5" t="str">
        <f ca="1">IFERROR(__xludf.DUMMYFUNCTION("IFERROR(VLOOKUP(F601,IMPORTRANGE(""https://docs.google.com/spreadsheets/d/1Kvs4KS76FHFqLFIZfrDMff4kP08nblUkihrxltoGBjg/edit#gid=934712705"",""ESENCIAL!A6:BG""),3,FALSE))"),"")</f>
        <v/>
      </c>
      <c r="H563" s="5" t="str">
        <f ca="1">IFERROR(__xludf.DUMMYFUNCTION("IFERROR(VLOOKUP(F601,IMPORTRANGE(""https://docs.google.com/spreadsheets/d/1Kvs4KS76FHFqLFIZfrDMff4kP08nblUkihrxltoGBjg/edit#gid=934712705"",""ESENCIAL!A6:BG""),8,FALSE))"),"")</f>
        <v/>
      </c>
      <c r="L563" s="287"/>
      <c r="V563" s="66"/>
    </row>
    <row r="564" spans="1:22" ht="15">
      <c r="A564" s="5"/>
      <c r="B564" s="4"/>
      <c r="F564" s="66"/>
      <c r="G564" s="5" t="str">
        <f ca="1">IFERROR(__xludf.DUMMYFUNCTION("IFERROR(VLOOKUP(F602,IMPORTRANGE(""https://docs.google.com/spreadsheets/d/1Kvs4KS76FHFqLFIZfrDMff4kP08nblUkihrxltoGBjg/edit#gid=934712705"",""ESENCIAL!A6:BG""),3,FALSE))"),"")</f>
        <v/>
      </c>
      <c r="H564" s="5" t="str">
        <f ca="1">IFERROR(__xludf.DUMMYFUNCTION("IFERROR(VLOOKUP(F602,IMPORTRANGE(""https://docs.google.com/spreadsheets/d/1Kvs4KS76FHFqLFIZfrDMff4kP08nblUkihrxltoGBjg/edit#gid=934712705"",""ESENCIAL!A6:BG""),8,FALSE))"),"")</f>
        <v/>
      </c>
      <c r="L564" s="287"/>
      <c r="V564" s="66"/>
    </row>
    <row r="565" spans="1:22" ht="15">
      <c r="A565" s="5"/>
      <c r="B565" s="4"/>
      <c r="F565" s="66"/>
      <c r="G565" s="5" t="str">
        <f ca="1">IFERROR(__xludf.DUMMYFUNCTION("IFERROR(VLOOKUP(F603,IMPORTRANGE(""https://docs.google.com/spreadsheets/d/1Kvs4KS76FHFqLFIZfrDMff4kP08nblUkihrxltoGBjg/edit#gid=934712705"",""ESENCIAL!A6:BG""),3,FALSE))"),"")</f>
        <v/>
      </c>
      <c r="H565" s="5" t="str">
        <f ca="1">IFERROR(__xludf.DUMMYFUNCTION("IFERROR(VLOOKUP(F603,IMPORTRANGE(""https://docs.google.com/spreadsheets/d/1Kvs4KS76FHFqLFIZfrDMff4kP08nblUkihrxltoGBjg/edit#gid=934712705"",""ESENCIAL!A6:BG""),8,FALSE))"),"")</f>
        <v/>
      </c>
      <c r="L565" s="287"/>
      <c r="V565" s="66"/>
    </row>
    <row r="566" spans="1:22" ht="15">
      <c r="A566" s="5"/>
      <c r="B566" s="4"/>
      <c r="F566" s="66"/>
      <c r="G566" s="5" t="str">
        <f ca="1">IFERROR(__xludf.DUMMYFUNCTION("IFERROR(VLOOKUP(F604,IMPORTRANGE(""https://docs.google.com/spreadsheets/d/1Kvs4KS76FHFqLFIZfrDMff4kP08nblUkihrxltoGBjg/edit#gid=934712705"",""ESENCIAL!A6:BG""),3,FALSE))"),"")</f>
        <v/>
      </c>
      <c r="H566" s="5" t="str">
        <f ca="1">IFERROR(__xludf.DUMMYFUNCTION("IFERROR(VLOOKUP(F604,IMPORTRANGE(""https://docs.google.com/spreadsheets/d/1Kvs4KS76FHFqLFIZfrDMff4kP08nblUkihrxltoGBjg/edit#gid=934712705"",""ESENCIAL!A6:BG""),8,FALSE))"),"")</f>
        <v/>
      </c>
      <c r="L566" s="287"/>
      <c r="V566" s="66"/>
    </row>
    <row r="567" spans="1:22" ht="15">
      <c r="A567" s="5"/>
      <c r="B567" s="4"/>
      <c r="F567" s="66"/>
      <c r="G567" s="5" t="str">
        <f ca="1">IFERROR(__xludf.DUMMYFUNCTION("IFERROR(VLOOKUP(F605,IMPORTRANGE(""https://docs.google.com/spreadsheets/d/1Kvs4KS76FHFqLFIZfrDMff4kP08nblUkihrxltoGBjg/edit#gid=934712705"",""ESENCIAL!A6:BG""),3,FALSE))"),"")</f>
        <v/>
      </c>
      <c r="H567" s="5" t="str">
        <f ca="1">IFERROR(__xludf.DUMMYFUNCTION("IFERROR(VLOOKUP(F605,IMPORTRANGE(""https://docs.google.com/spreadsheets/d/1Kvs4KS76FHFqLFIZfrDMff4kP08nblUkihrxltoGBjg/edit#gid=934712705"",""ESENCIAL!A6:BG""),8,FALSE))"),"")</f>
        <v/>
      </c>
      <c r="L567" s="287"/>
      <c r="V567" s="66"/>
    </row>
    <row r="568" spans="1:22" ht="15">
      <c r="A568" s="5"/>
      <c r="B568" s="4"/>
      <c r="F568" s="66"/>
      <c r="G568" s="5" t="str">
        <f ca="1">IFERROR(__xludf.DUMMYFUNCTION("IFERROR(VLOOKUP(F606,IMPORTRANGE(""https://docs.google.com/spreadsheets/d/1Kvs4KS76FHFqLFIZfrDMff4kP08nblUkihrxltoGBjg/edit#gid=934712705"",""ESENCIAL!A6:BG""),3,FALSE))"),"")</f>
        <v/>
      </c>
      <c r="H568" s="5" t="str">
        <f ca="1">IFERROR(__xludf.DUMMYFUNCTION("IFERROR(VLOOKUP(F606,IMPORTRANGE(""https://docs.google.com/spreadsheets/d/1Kvs4KS76FHFqLFIZfrDMff4kP08nblUkihrxltoGBjg/edit#gid=934712705"",""ESENCIAL!A6:BG""),8,FALSE))"),"")</f>
        <v/>
      </c>
      <c r="L568" s="287"/>
      <c r="V568" s="66"/>
    </row>
    <row r="569" spans="1:22" ht="15">
      <c r="A569" s="5"/>
      <c r="B569" s="4"/>
      <c r="F569" s="66"/>
      <c r="G569" s="5" t="str">
        <f ca="1">IFERROR(__xludf.DUMMYFUNCTION("IFERROR(VLOOKUP(F607,IMPORTRANGE(""https://docs.google.com/spreadsheets/d/1Kvs4KS76FHFqLFIZfrDMff4kP08nblUkihrxltoGBjg/edit#gid=934712705"",""ESENCIAL!A6:BG""),3,FALSE))"),"")</f>
        <v/>
      </c>
      <c r="H569" s="5" t="str">
        <f ca="1">IFERROR(__xludf.DUMMYFUNCTION("IFERROR(VLOOKUP(F607,IMPORTRANGE(""https://docs.google.com/spreadsheets/d/1Kvs4KS76FHFqLFIZfrDMff4kP08nblUkihrxltoGBjg/edit#gid=934712705"",""ESENCIAL!A6:BG""),8,FALSE))"),"")</f>
        <v/>
      </c>
      <c r="L569" s="287"/>
      <c r="V569" s="66"/>
    </row>
    <row r="570" spans="1:22" ht="15">
      <c r="A570" s="5"/>
      <c r="B570" s="4"/>
      <c r="F570" s="66"/>
      <c r="G570" s="5" t="str">
        <f ca="1">IFERROR(__xludf.DUMMYFUNCTION("IFERROR(VLOOKUP(F608,IMPORTRANGE(""https://docs.google.com/spreadsheets/d/1Kvs4KS76FHFqLFIZfrDMff4kP08nblUkihrxltoGBjg/edit#gid=934712705"",""ESENCIAL!A6:BG""),3,FALSE))"),"")</f>
        <v/>
      </c>
      <c r="H570" s="5" t="str">
        <f ca="1">IFERROR(__xludf.DUMMYFUNCTION("IFERROR(VLOOKUP(F608,IMPORTRANGE(""https://docs.google.com/spreadsheets/d/1Kvs4KS76FHFqLFIZfrDMff4kP08nblUkihrxltoGBjg/edit#gid=934712705"",""ESENCIAL!A6:BG""),8,FALSE))"),"")</f>
        <v/>
      </c>
      <c r="L570" s="287"/>
      <c r="V570" s="66"/>
    </row>
    <row r="571" spans="1:22" ht="15">
      <c r="A571" s="5"/>
      <c r="B571" s="4"/>
      <c r="F571" s="66"/>
      <c r="G571" s="5" t="str">
        <f ca="1">IFERROR(__xludf.DUMMYFUNCTION("IFERROR(VLOOKUP(F609,IMPORTRANGE(""https://docs.google.com/spreadsheets/d/1Kvs4KS76FHFqLFIZfrDMff4kP08nblUkihrxltoGBjg/edit#gid=934712705"",""ESENCIAL!A6:BG""),3,FALSE))"),"")</f>
        <v/>
      </c>
      <c r="H571" s="5" t="str">
        <f ca="1">IFERROR(__xludf.DUMMYFUNCTION("IFERROR(VLOOKUP(F609,IMPORTRANGE(""https://docs.google.com/spreadsheets/d/1Kvs4KS76FHFqLFIZfrDMff4kP08nblUkihrxltoGBjg/edit#gid=934712705"",""ESENCIAL!A6:BG""),8,FALSE))"),"")</f>
        <v/>
      </c>
      <c r="L571" s="287"/>
      <c r="V571" s="66"/>
    </row>
    <row r="572" spans="1:22" ht="15">
      <c r="A572" s="5"/>
      <c r="B572" s="4"/>
      <c r="F572" s="66"/>
      <c r="G572" s="5" t="str">
        <f ca="1">IFERROR(__xludf.DUMMYFUNCTION("IFERROR(VLOOKUP(F610,IMPORTRANGE(""https://docs.google.com/spreadsheets/d/1Kvs4KS76FHFqLFIZfrDMff4kP08nblUkihrxltoGBjg/edit#gid=934712705"",""ESENCIAL!A6:BG""),3,FALSE))"),"")</f>
        <v/>
      </c>
      <c r="H572" s="5" t="str">
        <f ca="1">IFERROR(__xludf.DUMMYFUNCTION("IFERROR(VLOOKUP(F610,IMPORTRANGE(""https://docs.google.com/spreadsheets/d/1Kvs4KS76FHFqLFIZfrDMff4kP08nblUkihrxltoGBjg/edit#gid=934712705"",""ESENCIAL!A6:BG""),8,FALSE))"),"")</f>
        <v/>
      </c>
      <c r="L572" s="287"/>
      <c r="V572" s="66"/>
    </row>
    <row r="573" spans="1:22" ht="15">
      <c r="A573" s="5"/>
      <c r="B573" s="4"/>
      <c r="F573" s="66"/>
      <c r="G573" s="5" t="str">
        <f ca="1">IFERROR(__xludf.DUMMYFUNCTION("IFERROR(VLOOKUP(F611,IMPORTRANGE(""https://docs.google.com/spreadsheets/d/1Kvs4KS76FHFqLFIZfrDMff4kP08nblUkihrxltoGBjg/edit#gid=934712705"",""ESENCIAL!A6:BG""),3,FALSE))"),"")</f>
        <v/>
      </c>
      <c r="H573" s="5" t="str">
        <f ca="1">IFERROR(__xludf.DUMMYFUNCTION("IFERROR(VLOOKUP(F611,IMPORTRANGE(""https://docs.google.com/spreadsheets/d/1Kvs4KS76FHFqLFIZfrDMff4kP08nblUkihrxltoGBjg/edit#gid=934712705"",""ESENCIAL!A6:BG""),8,FALSE))"),"")</f>
        <v/>
      </c>
      <c r="L573" s="287"/>
      <c r="V573" s="66"/>
    </row>
    <row r="574" spans="1:22" ht="15">
      <c r="A574" s="5"/>
      <c r="B574" s="4"/>
      <c r="F574" s="66"/>
      <c r="G574" s="5" t="str">
        <f ca="1">IFERROR(__xludf.DUMMYFUNCTION("IFERROR(VLOOKUP(F612,IMPORTRANGE(""https://docs.google.com/spreadsheets/d/1Kvs4KS76FHFqLFIZfrDMff4kP08nblUkihrxltoGBjg/edit#gid=934712705"",""ESENCIAL!A6:BG""),3,FALSE))"),"")</f>
        <v/>
      </c>
      <c r="H574" s="5" t="str">
        <f ca="1">IFERROR(__xludf.DUMMYFUNCTION("IFERROR(VLOOKUP(F612,IMPORTRANGE(""https://docs.google.com/spreadsheets/d/1Kvs4KS76FHFqLFIZfrDMff4kP08nblUkihrxltoGBjg/edit#gid=934712705"",""ESENCIAL!A6:BG""),8,FALSE))"),"")</f>
        <v/>
      </c>
      <c r="L574" s="287"/>
      <c r="V574" s="66"/>
    </row>
    <row r="575" spans="1:22" ht="15">
      <c r="A575" s="5"/>
      <c r="B575" s="4"/>
      <c r="F575" s="66"/>
      <c r="G575" s="5" t="str">
        <f ca="1">IFERROR(__xludf.DUMMYFUNCTION("IFERROR(VLOOKUP(F613,IMPORTRANGE(""https://docs.google.com/spreadsheets/d/1Kvs4KS76FHFqLFIZfrDMff4kP08nblUkihrxltoGBjg/edit#gid=934712705"",""ESENCIAL!A6:BG""),3,FALSE))"),"")</f>
        <v/>
      </c>
      <c r="H575" s="5" t="str">
        <f ca="1">IFERROR(__xludf.DUMMYFUNCTION("IFERROR(VLOOKUP(F613,IMPORTRANGE(""https://docs.google.com/spreadsheets/d/1Kvs4KS76FHFqLFIZfrDMff4kP08nblUkihrxltoGBjg/edit#gid=934712705"",""ESENCIAL!A6:BG""),8,FALSE))"),"")</f>
        <v/>
      </c>
      <c r="L575" s="287"/>
      <c r="V575" s="66"/>
    </row>
    <row r="576" spans="1:22" ht="15">
      <c r="A576" s="5"/>
      <c r="B576" s="4"/>
      <c r="F576" s="66"/>
      <c r="G576" s="5" t="str">
        <f ca="1">IFERROR(__xludf.DUMMYFUNCTION("IFERROR(VLOOKUP(F614,IMPORTRANGE(""https://docs.google.com/spreadsheets/d/1Kvs4KS76FHFqLFIZfrDMff4kP08nblUkihrxltoGBjg/edit#gid=934712705"",""ESENCIAL!A6:BG""),3,FALSE))"),"")</f>
        <v/>
      </c>
      <c r="H576" s="5" t="str">
        <f ca="1">IFERROR(__xludf.DUMMYFUNCTION("IFERROR(VLOOKUP(F614,IMPORTRANGE(""https://docs.google.com/spreadsheets/d/1Kvs4KS76FHFqLFIZfrDMff4kP08nblUkihrxltoGBjg/edit#gid=934712705"",""ESENCIAL!A6:BG""),8,FALSE))"),"")</f>
        <v/>
      </c>
      <c r="L576" s="287"/>
      <c r="V576" s="66"/>
    </row>
    <row r="577" spans="1:22" ht="15">
      <c r="A577" s="5"/>
      <c r="B577" s="4"/>
      <c r="F577" s="66"/>
      <c r="G577" s="5" t="str">
        <f ca="1">IFERROR(__xludf.DUMMYFUNCTION("IFERROR(VLOOKUP(F615,IMPORTRANGE(""https://docs.google.com/spreadsheets/d/1Kvs4KS76FHFqLFIZfrDMff4kP08nblUkihrxltoGBjg/edit#gid=934712705"",""ESENCIAL!A6:BG""),3,FALSE))"),"")</f>
        <v/>
      </c>
      <c r="H577" s="5" t="str">
        <f ca="1">IFERROR(__xludf.DUMMYFUNCTION("IFERROR(VLOOKUP(F615,IMPORTRANGE(""https://docs.google.com/spreadsheets/d/1Kvs4KS76FHFqLFIZfrDMff4kP08nblUkihrxltoGBjg/edit#gid=934712705"",""ESENCIAL!A6:BG""),8,FALSE))"),"")</f>
        <v/>
      </c>
      <c r="L577" s="287"/>
      <c r="V577" s="66"/>
    </row>
    <row r="578" spans="1:22" ht="15">
      <c r="A578" s="5"/>
      <c r="B578" s="4"/>
      <c r="F578" s="66"/>
      <c r="G578" s="5" t="str">
        <f ca="1">IFERROR(__xludf.DUMMYFUNCTION("IFERROR(VLOOKUP(F616,IMPORTRANGE(""https://docs.google.com/spreadsheets/d/1Kvs4KS76FHFqLFIZfrDMff4kP08nblUkihrxltoGBjg/edit#gid=934712705"",""ESENCIAL!A6:BG""),3,FALSE))"),"")</f>
        <v/>
      </c>
      <c r="H578" s="5" t="str">
        <f ca="1">IFERROR(__xludf.DUMMYFUNCTION("IFERROR(VLOOKUP(F616,IMPORTRANGE(""https://docs.google.com/spreadsheets/d/1Kvs4KS76FHFqLFIZfrDMff4kP08nblUkihrxltoGBjg/edit#gid=934712705"",""ESENCIAL!A6:BG""),8,FALSE))"),"")</f>
        <v/>
      </c>
      <c r="L578" s="287"/>
      <c r="V578" s="66"/>
    </row>
    <row r="579" spans="1:22" ht="15">
      <c r="A579" s="5"/>
      <c r="B579" s="4"/>
      <c r="F579" s="66"/>
      <c r="G579" s="5" t="str">
        <f ca="1">IFERROR(__xludf.DUMMYFUNCTION("IFERROR(VLOOKUP(F617,IMPORTRANGE(""https://docs.google.com/spreadsheets/d/1Kvs4KS76FHFqLFIZfrDMff4kP08nblUkihrxltoGBjg/edit#gid=934712705"",""ESENCIAL!A6:BG""),3,FALSE))"),"")</f>
        <v/>
      </c>
      <c r="H579" s="5" t="str">
        <f ca="1">IFERROR(__xludf.DUMMYFUNCTION("IFERROR(VLOOKUP(F617,IMPORTRANGE(""https://docs.google.com/spreadsheets/d/1Kvs4KS76FHFqLFIZfrDMff4kP08nblUkihrxltoGBjg/edit#gid=934712705"",""ESENCIAL!A6:BG""),8,FALSE))"),"")</f>
        <v/>
      </c>
      <c r="L579" s="287"/>
      <c r="V579" s="66"/>
    </row>
    <row r="580" spans="1:22" ht="15">
      <c r="A580" s="5"/>
      <c r="B580" s="4"/>
      <c r="F580" s="66"/>
      <c r="G580" s="5" t="str">
        <f ca="1">IFERROR(__xludf.DUMMYFUNCTION("IFERROR(VLOOKUP(F618,IMPORTRANGE(""https://docs.google.com/spreadsheets/d/1Kvs4KS76FHFqLFIZfrDMff4kP08nblUkihrxltoGBjg/edit#gid=934712705"",""ESENCIAL!A6:BG""),3,FALSE))"),"")</f>
        <v/>
      </c>
      <c r="H580" s="5" t="str">
        <f ca="1">IFERROR(__xludf.DUMMYFUNCTION("IFERROR(VLOOKUP(F618,IMPORTRANGE(""https://docs.google.com/spreadsheets/d/1Kvs4KS76FHFqLFIZfrDMff4kP08nblUkihrxltoGBjg/edit#gid=934712705"",""ESENCIAL!A6:BG""),8,FALSE))"),"")</f>
        <v/>
      </c>
      <c r="L580" s="287"/>
      <c r="V580" s="66"/>
    </row>
    <row r="581" spans="1:22" ht="15">
      <c r="A581" s="5"/>
      <c r="B581" s="4"/>
      <c r="F581" s="66"/>
      <c r="G581" s="5" t="str">
        <f ca="1">IFERROR(__xludf.DUMMYFUNCTION("IFERROR(VLOOKUP(F619,IMPORTRANGE(""https://docs.google.com/spreadsheets/d/1Kvs4KS76FHFqLFIZfrDMff4kP08nblUkihrxltoGBjg/edit#gid=934712705"",""ESENCIAL!A6:BG""),3,FALSE))"),"")</f>
        <v/>
      </c>
      <c r="H581" s="5" t="str">
        <f ca="1">IFERROR(__xludf.DUMMYFUNCTION("IFERROR(VLOOKUP(F619,IMPORTRANGE(""https://docs.google.com/spreadsheets/d/1Kvs4KS76FHFqLFIZfrDMff4kP08nblUkihrxltoGBjg/edit#gid=934712705"",""ESENCIAL!A6:BG""),8,FALSE))"),"")</f>
        <v/>
      </c>
      <c r="L581" s="287"/>
      <c r="V581" s="66"/>
    </row>
    <row r="582" spans="1:22" ht="15">
      <c r="A582" s="5"/>
      <c r="B582" s="4"/>
      <c r="F582" s="66"/>
      <c r="G582" s="5" t="str">
        <f ca="1">IFERROR(__xludf.DUMMYFUNCTION("IFERROR(VLOOKUP(F620,IMPORTRANGE(""https://docs.google.com/spreadsheets/d/1Kvs4KS76FHFqLFIZfrDMff4kP08nblUkihrxltoGBjg/edit#gid=934712705"",""ESENCIAL!A6:BG""),3,FALSE))"),"")</f>
        <v/>
      </c>
      <c r="H582" s="5" t="str">
        <f ca="1">IFERROR(__xludf.DUMMYFUNCTION("IFERROR(VLOOKUP(F620,IMPORTRANGE(""https://docs.google.com/spreadsheets/d/1Kvs4KS76FHFqLFIZfrDMff4kP08nblUkihrxltoGBjg/edit#gid=934712705"",""ESENCIAL!A6:BG""),8,FALSE))"),"")</f>
        <v/>
      </c>
      <c r="L582" s="287"/>
      <c r="V582" s="66"/>
    </row>
    <row r="583" spans="1:22" ht="15">
      <c r="A583" s="5"/>
      <c r="B583" s="4"/>
      <c r="F583" s="66"/>
      <c r="G583" s="5" t="str">
        <f ca="1">IFERROR(__xludf.DUMMYFUNCTION("IFERROR(VLOOKUP(F621,IMPORTRANGE(""https://docs.google.com/spreadsheets/d/1Kvs4KS76FHFqLFIZfrDMff4kP08nblUkihrxltoGBjg/edit#gid=934712705"",""ESENCIAL!A6:BG""),3,FALSE))"),"")</f>
        <v/>
      </c>
      <c r="H583" s="5" t="str">
        <f ca="1">IFERROR(__xludf.DUMMYFUNCTION("IFERROR(VLOOKUP(F621,IMPORTRANGE(""https://docs.google.com/spreadsheets/d/1Kvs4KS76FHFqLFIZfrDMff4kP08nblUkihrxltoGBjg/edit#gid=934712705"",""ESENCIAL!A6:BG""),8,FALSE))"),"")</f>
        <v/>
      </c>
      <c r="L583" s="287"/>
      <c r="V583" s="66"/>
    </row>
    <row r="584" spans="1:22" ht="15">
      <c r="A584" s="5"/>
      <c r="B584" s="4"/>
      <c r="F584" s="66"/>
      <c r="G584" s="5" t="str">
        <f ca="1">IFERROR(__xludf.DUMMYFUNCTION("IFERROR(VLOOKUP(F622,IMPORTRANGE(""https://docs.google.com/spreadsheets/d/1Kvs4KS76FHFqLFIZfrDMff4kP08nblUkihrxltoGBjg/edit#gid=934712705"",""ESENCIAL!A6:BG""),3,FALSE))"),"")</f>
        <v/>
      </c>
      <c r="H584" s="5" t="str">
        <f ca="1">IFERROR(__xludf.DUMMYFUNCTION("IFERROR(VLOOKUP(F622,IMPORTRANGE(""https://docs.google.com/spreadsheets/d/1Kvs4KS76FHFqLFIZfrDMff4kP08nblUkihrxltoGBjg/edit#gid=934712705"",""ESENCIAL!A6:BG""),8,FALSE))"),"")</f>
        <v/>
      </c>
      <c r="L584" s="287"/>
      <c r="V584" s="66"/>
    </row>
    <row r="585" spans="1:22" ht="15">
      <c r="A585" s="5"/>
      <c r="B585" s="4"/>
      <c r="F585" s="66"/>
      <c r="G585" s="5" t="str">
        <f ca="1">IFERROR(__xludf.DUMMYFUNCTION("IFERROR(VLOOKUP(F623,IMPORTRANGE(""https://docs.google.com/spreadsheets/d/1Kvs4KS76FHFqLFIZfrDMff4kP08nblUkihrxltoGBjg/edit#gid=934712705"",""ESENCIAL!A6:BG""),3,FALSE))"),"")</f>
        <v/>
      </c>
      <c r="H585" s="5" t="str">
        <f ca="1">IFERROR(__xludf.DUMMYFUNCTION("IFERROR(VLOOKUP(F623,IMPORTRANGE(""https://docs.google.com/spreadsheets/d/1Kvs4KS76FHFqLFIZfrDMff4kP08nblUkihrxltoGBjg/edit#gid=934712705"",""ESENCIAL!A6:BG""),8,FALSE))"),"")</f>
        <v/>
      </c>
      <c r="L585" s="287"/>
      <c r="V585" s="66"/>
    </row>
    <row r="586" spans="1:22" ht="15">
      <c r="A586" s="5"/>
      <c r="B586" s="4"/>
      <c r="F586" s="66"/>
      <c r="G586" s="5" t="str">
        <f ca="1">IFERROR(__xludf.DUMMYFUNCTION("IFERROR(VLOOKUP(F624,IMPORTRANGE(""https://docs.google.com/spreadsheets/d/1Kvs4KS76FHFqLFIZfrDMff4kP08nblUkihrxltoGBjg/edit#gid=934712705"",""ESENCIAL!A6:BG""),3,FALSE))"),"")</f>
        <v/>
      </c>
      <c r="H586" s="5" t="str">
        <f ca="1">IFERROR(__xludf.DUMMYFUNCTION("IFERROR(VLOOKUP(F624,IMPORTRANGE(""https://docs.google.com/spreadsheets/d/1Kvs4KS76FHFqLFIZfrDMff4kP08nblUkihrxltoGBjg/edit#gid=934712705"",""ESENCIAL!A6:BG""),8,FALSE))"),"")</f>
        <v/>
      </c>
      <c r="L586" s="287"/>
      <c r="V586" s="66"/>
    </row>
    <row r="587" spans="1:22" ht="15">
      <c r="A587" s="5"/>
      <c r="B587" s="4"/>
      <c r="F587" s="66"/>
      <c r="G587" s="5" t="str">
        <f ca="1">IFERROR(__xludf.DUMMYFUNCTION("IFERROR(VLOOKUP(F625,IMPORTRANGE(""https://docs.google.com/spreadsheets/d/1Kvs4KS76FHFqLFIZfrDMff4kP08nblUkihrxltoGBjg/edit#gid=934712705"",""ESENCIAL!A6:BG""),3,FALSE))"),"")</f>
        <v/>
      </c>
      <c r="H587" s="5" t="str">
        <f ca="1">IFERROR(__xludf.DUMMYFUNCTION("IFERROR(VLOOKUP(F625,IMPORTRANGE(""https://docs.google.com/spreadsheets/d/1Kvs4KS76FHFqLFIZfrDMff4kP08nblUkihrxltoGBjg/edit#gid=934712705"",""ESENCIAL!A6:BG""),8,FALSE))"),"")</f>
        <v/>
      </c>
      <c r="L587" s="287"/>
      <c r="V587" s="66"/>
    </row>
    <row r="588" spans="1:22" ht="15">
      <c r="A588" s="5"/>
      <c r="B588" s="4"/>
      <c r="F588" s="66"/>
      <c r="G588" s="5" t="str">
        <f ca="1">IFERROR(__xludf.DUMMYFUNCTION("IFERROR(VLOOKUP(F626,IMPORTRANGE(""https://docs.google.com/spreadsheets/d/1Kvs4KS76FHFqLFIZfrDMff4kP08nblUkihrxltoGBjg/edit#gid=934712705"",""ESENCIAL!A6:BG""),3,FALSE))"),"")</f>
        <v/>
      </c>
      <c r="H588" s="5" t="str">
        <f ca="1">IFERROR(__xludf.DUMMYFUNCTION("IFERROR(VLOOKUP(F626,IMPORTRANGE(""https://docs.google.com/spreadsheets/d/1Kvs4KS76FHFqLFIZfrDMff4kP08nblUkihrxltoGBjg/edit#gid=934712705"",""ESENCIAL!A6:BG""),8,FALSE))"),"")</f>
        <v/>
      </c>
      <c r="L588" s="287"/>
      <c r="V588" s="66"/>
    </row>
    <row r="589" spans="1:22" ht="15">
      <c r="A589" s="5"/>
      <c r="B589" s="4"/>
      <c r="F589" s="66"/>
      <c r="G589" s="5" t="str">
        <f ca="1">IFERROR(__xludf.DUMMYFUNCTION("IFERROR(VLOOKUP(F627,IMPORTRANGE(""https://docs.google.com/spreadsheets/d/1Kvs4KS76FHFqLFIZfrDMff4kP08nblUkihrxltoGBjg/edit#gid=934712705"",""ESENCIAL!A6:BG""),3,FALSE))"),"")</f>
        <v/>
      </c>
      <c r="H589" s="5" t="str">
        <f ca="1">IFERROR(__xludf.DUMMYFUNCTION("IFERROR(VLOOKUP(F627,IMPORTRANGE(""https://docs.google.com/spreadsheets/d/1Kvs4KS76FHFqLFIZfrDMff4kP08nblUkihrxltoGBjg/edit#gid=934712705"",""ESENCIAL!A6:BG""),8,FALSE))"),"")</f>
        <v/>
      </c>
      <c r="L589" s="287"/>
      <c r="V589" s="66"/>
    </row>
    <row r="590" spans="1:22" ht="15">
      <c r="A590" s="5"/>
      <c r="B590" s="4"/>
      <c r="F590" s="66"/>
      <c r="G590" s="5" t="str">
        <f ca="1">IFERROR(__xludf.DUMMYFUNCTION("IFERROR(VLOOKUP(F628,IMPORTRANGE(""https://docs.google.com/spreadsheets/d/1Kvs4KS76FHFqLFIZfrDMff4kP08nblUkihrxltoGBjg/edit#gid=934712705"",""ESENCIAL!A6:BG""),3,FALSE))"),"")</f>
        <v/>
      </c>
      <c r="H590" s="5" t="str">
        <f ca="1">IFERROR(__xludf.DUMMYFUNCTION("IFERROR(VLOOKUP(F628,IMPORTRANGE(""https://docs.google.com/spreadsheets/d/1Kvs4KS76FHFqLFIZfrDMff4kP08nblUkihrxltoGBjg/edit#gid=934712705"",""ESENCIAL!A6:BG""),8,FALSE))"),"")</f>
        <v/>
      </c>
      <c r="L590" s="287"/>
      <c r="V590" s="66"/>
    </row>
    <row r="591" spans="1:22" ht="15">
      <c r="A591" s="5"/>
      <c r="B591" s="4"/>
      <c r="F591" s="66"/>
      <c r="G591" s="5" t="str">
        <f ca="1">IFERROR(__xludf.DUMMYFUNCTION("IFERROR(VLOOKUP(F629,IMPORTRANGE(""https://docs.google.com/spreadsheets/d/1Kvs4KS76FHFqLFIZfrDMff4kP08nblUkihrxltoGBjg/edit#gid=934712705"",""ESENCIAL!A6:BG""),3,FALSE))"),"")</f>
        <v/>
      </c>
      <c r="H591" s="5" t="str">
        <f ca="1">IFERROR(__xludf.DUMMYFUNCTION("IFERROR(VLOOKUP(F629,IMPORTRANGE(""https://docs.google.com/spreadsheets/d/1Kvs4KS76FHFqLFIZfrDMff4kP08nblUkihrxltoGBjg/edit#gid=934712705"",""ESENCIAL!A6:BG""),8,FALSE))"),"")</f>
        <v/>
      </c>
      <c r="L591" s="287"/>
      <c r="V591" s="66"/>
    </row>
    <row r="592" spans="1:22" ht="15">
      <c r="A592" s="5"/>
      <c r="B592" s="4"/>
      <c r="F592" s="66"/>
      <c r="G592" s="5" t="str">
        <f ca="1">IFERROR(__xludf.DUMMYFUNCTION("IFERROR(VLOOKUP(F630,IMPORTRANGE(""https://docs.google.com/spreadsheets/d/1Kvs4KS76FHFqLFIZfrDMff4kP08nblUkihrxltoGBjg/edit#gid=934712705"",""ESENCIAL!A6:BG""),3,FALSE))"),"")</f>
        <v/>
      </c>
      <c r="H592" s="5" t="str">
        <f ca="1">IFERROR(__xludf.DUMMYFUNCTION("IFERROR(VLOOKUP(F630,IMPORTRANGE(""https://docs.google.com/spreadsheets/d/1Kvs4KS76FHFqLFIZfrDMff4kP08nblUkihrxltoGBjg/edit#gid=934712705"",""ESENCIAL!A6:BG""),8,FALSE))"),"")</f>
        <v/>
      </c>
      <c r="L592" s="287"/>
      <c r="V592" s="66"/>
    </row>
    <row r="593" spans="1:22" ht="15">
      <c r="A593" s="5"/>
      <c r="B593" s="4"/>
      <c r="F593" s="66"/>
      <c r="G593" s="5" t="str">
        <f ca="1">IFERROR(__xludf.DUMMYFUNCTION("IFERROR(VLOOKUP(F631,IMPORTRANGE(""https://docs.google.com/spreadsheets/d/1Kvs4KS76FHFqLFIZfrDMff4kP08nblUkihrxltoGBjg/edit#gid=934712705"",""ESENCIAL!A6:BG""),3,FALSE))"),"")</f>
        <v/>
      </c>
      <c r="H593" s="5" t="str">
        <f ca="1">IFERROR(__xludf.DUMMYFUNCTION("IFERROR(VLOOKUP(F631,IMPORTRANGE(""https://docs.google.com/spreadsheets/d/1Kvs4KS76FHFqLFIZfrDMff4kP08nblUkihrxltoGBjg/edit#gid=934712705"",""ESENCIAL!A6:BG""),8,FALSE))"),"")</f>
        <v/>
      </c>
      <c r="L593" s="287"/>
      <c r="V593" s="66"/>
    </row>
    <row r="594" spans="1:22" ht="15">
      <c r="A594" s="5"/>
      <c r="B594" s="4"/>
      <c r="F594" s="66"/>
      <c r="G594" s="5" t="str">
        <f ca="1">IFERROR(__xludf.DUMMYFUNCTION("IFERROR(VLOOKUP(F632,IMPORTRANGE(""https://docs.google.com/spreadsheets/d/1Kvs4KS76FHFqLFIZfrDMff4kP08nblUkihrxltoGBjg/edit#gid=934712705"",""ESENCIAL!A6:BG""),3,FALSE))"),"")</f>
        <v/>
      </c>
      <c r="H594" s="5" t="str">
        <f ca="1">IFERROR(__xludf.DUMMYFUNCTION("IFERROR(VLOOKUP(F632,IMPORTRANGE(""https://docs.google.com/spreadsheets/d/1Kvs4KS76FHFqLFIZfrDMff4kP08nblUkihrxltoGBjg/edit#gid=934712705"",""ESENCIAL!A6:BG""),8,FALSE))"),"")</f>
        <v/>
      </c>
      <c r="L594" s="287"/>
      <c r="V594" s="66"/>
    </row>
    <row r="595" spans="1:22" ht="15">
      <c r="A595" s="5"/>
      <c r="B595" s="4"/>
      <c r="F595" s="66"/>
      <c r="G595" s="5" t="str">
        <f ca="1">IFERROR(__xludf.DUMMYFUNCTION("IFERROR(VLOOKUP(F633,IMPORTRANGE(""https://docs.google.com/spreadsheets/d/1Kvs4KS76FHFqLFIZfrDMff4kP08nblUkihrxltoGBjg/edit#gid=934712705"",""ESENCIAL!A6:BG""),3,FALSE))"),"")</f>
        <v/>
      </c>
      <c r="H595" s="5" t="str">
        <f ca="1">IFERROR(__xludf.DUMMYFUNCTION("IFERROR(VLOOKUP(F633,IMPORTRANGE(""https://docs.google.com/spreadsheets/d/1Kvs4KS76FHFqLFIZfrDMff4kP08nblUkihrxltoGBjg/edit#gid=934712705"",""ESENCIAL!A6:BG""),8,FALSE))"),"")</f>
        <v/>
      </c>
      <c r="L595" s="287"/>
      <c r="V595" s="66"/>
    </row>
    <row r="596" spans="1:22" ht="15">
      <c r="A596" s="5"/>
      <c r="B596" s="4"/>
      <c r="F596" s="66"/>
      <c r="G596" s="5" t="str">
        <f ca="1">IFERROR(__xludf.DUMMYFUNCTION("IFERROR(VLOOKUP(F634,IMPORTRANGE(""https://docs.google.com/spreadsheets/d/1Kvs4KS76FHFqLFIZfrDMff4kP08nblUkihrxltoGBjg/edit#gid=934712705"",""ESENCIAL!A6:BG""),3,FALSE))"),"")</f>
        <v/>
      </c>
      <c r="H596" s="5" t="str">
        <f ca="1">IFERROR(__xludf.DUMMYFUNCTION("IFERROR(VLOOKUP(F634,IMPORTRANGE(""https://docs.google.com/spreadsheets/d/1Kvs4KS76FHFqLFIZfrDMff4kP08nblUkihrxltoGBjg/edit#gid=934712705"",""ESENCIAL!A6:BG""),8,FALSE))"),"")</f>
        <v/>
      </c>
      <c r="L596" s="287"/>
      <c r="V596" s="66"/>
    </row>
    <row r="597" spans="1:22" ht="15">
      <c r="A597" s="5"/>
      <c r="B597" s="4"/>
      <c r="F597" s="66"/>
      <c r="G597" s="5" t="str">
        <f ca="1">IFERROR(__xludf.DUMMYFUNCTION("IFERROR(VLOOKUP(F635,IMPORTRANGE(""https://docs.google.com/spreadsheets/d/1Kvs4KS76FHFqLFIZfrDMff4kP08nblUkihrxltoGBjg/edit#gid=934712705"",""ESENCIAL!A6:BG""),3,FALSE))"),"")</f>
        <v/>
      </c>
      <c r="H597" s="5" t="str">
        <f ca="1">IFERROR(__xludf.DUMMYFUNCTION("IFERROR(VLOOKUP(F635,IMPORTRANGE(""https://docs.google.com/spreadsheets/d/1Kvs4KS76FHFqLFIZfrDMff4kP08nblUkihrxltoGBjg/edit#gid=934712705"",""ESENCIAL!A6:BG""),8,FALSE))"),"")</f>
        <v/>
      </c>
      <c r="L597" s="287"/>
      <c r="V597" s="66"/>
    </row>
    <row r="598" spans="1:22" ht="15">
      <c r="A598" s="5"/>
      <c r="B598" s="4"/>
      <c r="F598" s="66"/>
      <c r="G598" s="5" t="str">
        <f ca="1">IFERROR(__xludf.DUMMYFUNCTION("IFERROR(VLOOKUP(F636,IMPORTRANGE(""https://docs.google.com/spreadsheets/d/1Kvs4KS76FHFqLFIZfrDMff4kP08nblUkihrxltoGBjg/edit#gid=934712705"",""ESENCIAL!A6:BG""),3,FALSE))"),"")</f>
        <v/>
      </c>
      <c r="H598" s="5" t="str">
        <f ca="1">IFERROR(__xludf.DUMMYFUNCTION("IFERROR(VLOOKUP(F636,IMPORTRANGE(""https://docs.google.com/spreadsheets/d/1Kvs4KS76FHFqLFIZfrDMff4kP08nblUkihrxltoGBjg/edit#gid=934712705"",""ESENCIAL!A6:BG""),8,FALSE))"),"")</f>
        <v/>
      </c>
      <c r="L598" s="287"/>
      <c r="V598" s="66"/>
    </row>
    <row r="599" spans="1:22" ht="15">
      <c r="A599" s="5"/>
      <c r="B599" s="4"/>
      <c r="F599" s="66"/>
      <c r="G599" s="5" t="str">
        <f ca="1">IFERROR(__xludf.DUMMYFUNCTION("IFERROR(VLOOKUP(F637,IMPORTRANGE(""https://docs.google.com/spreadsheets/d/1Kvs4KS76FHFqLFIZfrDMff4kP08nblUkihrxltoGBjg/edit#gid=934712705"",""ESENCIAL!A6:BG""),3,FALSE))"),"")</f>
        <v/>
      </c>
      <c r="H599" s="5" t="str">
        <f ca="1">IFERROR(__xludf.DUMMYFUNCTION("IFERROR(VLOOKUP(F637,IMPORTRANGE(""https://docs.google.com/spreadsheets/d/1Kvs4KS76FHFqLFIZfrDMff4kP08nblUkihrxltoGBjg/edit#gid=934712705"",""ESENCIAL!A6:BG""),8,FALSE))"),"")</f>
        <v/>
      </c>
      <c r="L599" s="287"/>
      <c r="V599" s="66"/>
    </row>
    <row r="600" spans="1:22" ht="15">
      <c r="A600" s="5"/>
      <c r="B600" s="4"/>
      <c r="F600" s="66"/>
      <c r="G600" s="5" t="str">
        <f ca="1">IFERROR(__xludf.DUMMYFUNCTION("IFERROR(VLOOKUP(F638,IMPORTRANGE(""https://docs.google.com/spreadsheets/d/1Kvs4KS76FHFqLFIZfrDMff4kP08nblUkihrxltoGBjg/edit#gid=934712705"",""ESENCIAL!A6:BG""),3,FALSE))"),"")</f>
        <v/>
      </c>
      <c r="H600" s="5" t="str">
        <f ca="1">IFERROR(__xludf.DUMMYFUNCTION("IFERROR(VLOOKUP(F638,IMPORTRANGE(""https://docs.google.com/spreadsheets/d/1Kvs4KS76FHFqLFIZfrDMff4kP08nblUkihrxltoGBjg/edit#gid=934712705"",""ESENCIAL!A6:BG""),8,FALSE))"),"")</f>
        <v/>
      </c>
      <c r="L600" s="287"/>
      <c r="V600" s="66"/>
    </row>
    <row r="601" spans="1:22" ht="15">
      <c r="A601" s="5"/>
      <c r="B601" s="4"/>
      <c r="F601" s="66"/>
      <c r="G601" s="5" t="str">
        <f ca="1">IFERROR(__xludf.DUMMYFUNCTION("IFERROR(VLOOKUP(F639,IMPORTRANGE(""https://docs.google.com/spreadsheets/d/1Kvs4KS76FHFqLFIZfrDMff4kP08nblUkihrxltoGBjg/edit#gid=934712705"",""ESENCIAL!A6:BG""),3,FALSE))"),"")</f>
        <v/>
      </c>
      <c r="H601" s="5" t="str">
        <f ca="1">IFERROR(__xludf.DUMMYFUNCTION("IFERROR(VLOOKUP(F639,IMPORTRANGE(""https://docs.google.com/spreadsheets/d/1Kvs4KS76FHFqLFIZfrDMff4kP08nblUkihrxltoGBjg/edit#gid=934712705"",""ESENCIAL!A6:BG""),8,FALSE))"),"")</f>
        <v/>
      </c>
      <c r="L601" s="287"/>
      <c r="V601" s="66"/>
    </row>
    <row r="602" spans="1:22" ht="15">
      <c r="A602" s="5"/>
      <c r="B602" s="4"/>
      <c r="F602" s="66"/>
      <c r="G602" s="5" t="str">
        <f ca="1">IFERROR(__xludf.DUMMYFUNCTION("IFERROR(VLOOKUP(F640,IMPORTRANGE(""https://docs.google.com/spreadsheets/d/1Kvs4KS76FHFqLFIZfrDMff4kP08nblUkihrxltoGBjg/edit#gid=934712705"",""ESENCIAL!A6:BG""),3,FALSE))"),"")</f>
        <v/>
      </c>
      <c r="H602" s="5" t="str">
        <f ca="1">IFERROR(__xludf.DUMMYFUNCTION("IFERROR(VLOOKUP(F640,IMPORTRANGE(""https://docs.google.com/spreadsheets/d/1Kvs4KS76FHFqLFIZfrDMff4kP08nblUkihrxltoGBjg/edit#gid=934712705"",""ESENCIAL!A6:BG""),8,FALSE))"),"")</f>
        <v/>
      </c>
      <c r="L602" s="287"/>
      <c r="V602" s="66"/>
    </row>
    <row r="603" spans="1:22" ht="15">
      <c r="A603" s="5"/>
      <c r="B603" s="4"/>
      <c r="F603" s="66"/>
      <c r="G603" s="5" t="str">
        <f ca="1">IFERROR(__xludf.DUMMYFUNCTION("IFERROR(VLOOKUP(F641,IMPORTRANGE(""https://docs.google.com/spreadsheets/d/1Kvs4KS76FHFqLFIZfrDMff4kP08nblUkihrxltoGBjg/edit#gid=934712705"",""ESENCIAL!A6:BG""),3,FALSE))"),"")</f>
        <v/>
      </c>
      <c r="H603" s="5" t="str">
        <f ca="1">IFERROR(__xludf.DUMMYFUNCTION("IFERROR(VLOOKUP(F641,IMPORTRANGE(""https://docs.google.com/spreadsheets/d/1Kvs4KS76FHFqLFIZfrDMff4kP08nblUkihrxltoGBjg/edit#gid=934712705"",""ESENCIAL!A6:BG""),8,FALSE))"),"")</f>
        <v/>
      </c>
      <c r="L603" s="287"/>
      <c r="V603" s="66"/>
    </row>
    <row r="604" spans="1:22" ht="15">
      <c r="A604" s="5"/>
      <c r="B604" s="4"/>
      <c r="F604" s="66"/>
      <c r="G604" s="5" t="str">
        <f ca="1">IFERROR(__xludf.DUMMYFUNCTION("IFERROR(VLOOKUP(F642,IMPORTRANGE(""https://docs.google.com/spreadsheets/d/1Kvs4KS76FHFqLFIZfrDMff4kP08nblUkihrxltoGBjg/edit#gid=934712705"",""ESENCIAL!A6:BG""),3,FALSE))"),"")</f>
        <v/>
      </c>
      <c r="H604" s="5" t="str">
        <f ca="1">IFERROR(__xludf.DUMMYFUNCTION("IFERROR(VLOOKUP(F642,IMPORTRANGE(""https://docs.google.com/spreadsheets/d/1Kvs4KS76FHFqLFIZfrDMff4kP08nblUkihrxltoGBjg/edit#gid=934712705"",""ESENCIAL!A6:BG""),8,FALSE))"),"")</f>
        <v/>
      </c>
      <c r="L604" s="287"/>
      <c r="V604" s="66"/>
    </row>
    <row r="605" spans="1:22" ht="15">
      <c r="A605" s="5"/>
      <c r="B605" s="4"/>
      <c r="F605" s="66"/>
      <c r="G605" s="5" t="str">
        <f ca="1">IFERROR(__xludf.DUMMYFUNCTION("IFERROR(VLOOKUP(F643,IMPORTRANGE(""https://docs.google.com/spreadsheets/d/1Kvs4KS76FHFqLFIZfrDMff4kP08nblUkihrxltoGBjg/edit#gid=934712705"",""ESENCIAL!A6:BG""),3,FALSE))"),"")</f>
        <v/>
      </c>
      <c r="H605" s="5" t="str">
        <f ca="1">IFERROR(__xludf.DUMMYFUNCTION("IFERROR(VLOOKUP(F643,IMPORTRANGE(""https://docs.google.com/spreadsheets/d/1Kvs4KS76FHFqLFIZfrDMff4kP08nblUkihrxltoGBjg/edit#gid=934712705"",""ESENCIAL!A6:BG""),8,FALSE))"),"")</f>
        <v/>
      </c>
      <c r="L605" s="287"/>
      <c r="V605" s="66"/>
    </row>
    <row r="606" spans="1:22" ht="15">
      <c r="A606" s="5"/>
      <c r="B606" s="4"/>
      <c r="F606" s="66"/>
      <c r="G606" s="5" t="str">
        <f ca="1">IFERROR(__xludf.DUMMYFUNCTION("IFERROR(VLOOKUP(F644,IMPORTRANGE(""https://docs.google.com/spreadsheets/d/1Kvs4KS76FHFqLFIZfrDMff4kP08nblUkihrxltoGBjg/edit#gid=934712705"",""ESENCIAL!A6:BG""),3,FALSE))"),"")</f>
        <v/>
      </c>
      <c r="H606" s="5" t="str">
        <f ca="1">IFERROR(__xludf.DUMMYFUNCTION("IFERROR(VLOOKUP(F644,IMPORTRANGE(""https://docs.google.com/spreadsheets/d/1Kvs4KS76FHFqLFIZfrDMff4kP08nblUkihrxltoGBjg/edit#gid=934712705"",""ESENCIAL!A6:BG""),8,FALSE))"),"")</f>
        <v/>
      </c>
      <c r="L606" s="287"/>
      <c r="V606" s="66"/>
    </row>
    <row r="607" spans="1:22" ht="15">
      <c r="A607" s="5"/>
      <c r="B607" s="4"/>
      <c r="F607" s="66"/>
      <c r="G607" s="5" t="str">
        <f ca="1">IFERROR(__xludf.DUMMYFUNCTION("IFERROR(VLOOKUP(F645,IMPORTRANGE(""https://docs.google.com/spreadsheets/d/1Kvs4KS76FHFqLFIZfrDMff4kP08nblUkihrxltoGBjg/edit#gid=934712705"",""ESENCIAL!A6:BG""),3,FALSE))"),"")</f>
        <v/>
      </c>
      <c r="H607" s="5" t="str">
        <f ca="1">IFERROR(__xludf.DUMMYFUNCTION("IFERROR(VLOOKUP(F645,IMPORTRANGE(""https://docs.google.com/spreadsheets/d/1Kvs4KS76FHFqLFIZfrDMff4kP08nblUkihrxltoGBjg/edit#gid=934712705"",""ESENCIAL!A6:BG""),8,FALSE))"),"")</f>
        <v/>
      </c>
      <c r="L607" s="287"/>
      <c r="V607" s="66"/>
    </row>
    <row r="608" spans="1:22" ht="15">
      <c r="A608" s="5"/>
      <c r="B608" s="4"/>
      <c r="F608" s="66"/>
      <c r="G608" s="5" t="str">
        <f ca="1">IFERROR(__xludf.DUMMYFUNCTION("IFERROR(VLOOKUP(F646,IMPORTRANGE(""https://docs.google.com/spreadsheets/d/1Kvs4KS76FHFqLFIZfrDMff4kP08nblUkihrxltoGBjg/edit#gid=934712705"",""ESENCIAL!A6:BG""),3,FALSE))"),"")</f>
        <v/>
      </c>
      <c r="H608" s="5" t="str">
        <f ca="1">IFERROR(__xludf.DUMMYFUNCTION("IFERROR(VLOOKUP(F646,IMPORTRANGE(""https://docs.google.com/spreadsheets/d/1Kvs4KS76FHFqLFIZfrDMff4kP08nblUkihrxltoGBjg/edit#gid=934712705"",""ESENCIAL!A6:BG""),8,FALSE))"),"")</f>
        <v/>
      </c>
      <c r="L608" s="287"/>
      <c r="V608" s="66"/>
    </row>
    <row r="609" spans="1:22" ht="15">
      <c r="A609" s="5"/>
      <c r="B609" s="4"/>
      <c r="F609" s="66"/>
      <c r="G609" s="5" t="str">
        <f ca="1">IFERROR(__xludf.DUMMYFUNCTION("IFERROR(VLOOKUP(F647,IMPORTRANGE(""https://docs.google.com/spreadsheets/d/1Kvs4KS76FHFqLFIZfrDMff4kP08nblUkihrxltoGBjg/edit#gid=934712705"",""ESENCIAL!A6:BG""),3,FALSE))"),"")</f>
        <v/>
      </c>
      <c r="H609" s="5" t="str">
        <f ca="1">IFERROR(__xludf.DUMMYFUNCTION("IFERROR(VLOOKUP(F647,IMPORTRANGE(""https://docs.google.com/spreadsheets/d/1Kvs4KS76FHFqLFIZfrDMff4kP08nblUkihrxltoGBjg/edit#gid=934712705"",""ESENCIAL!A6:BG""),8,FALSE))"),"")</f>
        <v/>
      </c>
      <c r="L609" s="287"/>
      <c r="V609" s="66"/>
    </row>
    <row r="610" spans="1:22" ht="15">
      <c r="A610" s="5"/>
      <c r="B610" s="4"/>
      <c r="F610" s="66"/>
      <c r="G610" s="5" t="str">
        <f ca="1">IFERROR(__xludf.DUMMYFUNCTION("IFERROR(VLOOKUP(F648,IMPORTRANGE(""https://docs.google.com/spreadsheets/d/1Kvs4KS76FHFqLFIZfrDMff4kP08nblUkihrxltoGBjg/edit#gid=934712705"",""ESENCIAL!A6:BG""),3,FALSE))"),"")</f>
        <v/>
      </c>
      <c r="H610" s="5" t="str">
        <f ca="1">IFERROR(__xludf.DUMMYFUNCTION("IFERROR(VLOOKUP(F648,IMPORTRANGE(""https://docs.google.com/spreadsheets/d/1Kvs4KS76FHFqLFIZfrDMff4kP08nblUkihrxltoGBjg/edit#gid=934712705"",""ESENCIAL!A6:BG""),8,FALSE))"),"")</f>
        <v/>
      </c>
      <c r="L610" s="287"/>
      <c r="V610" s="66"/>
    </row>
    <row r="611" spans="1:22" ht="15">
      <c r="A611" s="5"/>
      <c r="B611" s="4"/>
      <c r="F611" s="66"/>
      <c r="G611" s="5" t="str">
        <f ca="1">IFERROR(__xludf.DUMMYFUNCTION("IFERROR(VLOOKUP(F649,IMPORTRANGE(""https://docs.google.com/spreadsheets/d/1Kvs4KS76FHFqLFIZfrDMff4kP08nblUkihrxltoGBjg/edit#gid=934712705"",""ESENCIAL!A6:BG""),3,FALSE))"),"")</f>
        <v/>
      </c>
      <c r="H611" s="5" t="str">
        <f ca="1">IFERROR(__xludf.DUMMYFUNCTION("IFERROR(VLOOKUP(F649,IMPORTRANGE(""https://docs.google.com/spreadsheets/d/1Kvs4KS76FHFqLFIZfrDMff4kP08nblUkihrxltoGBjg/edit#gid=934712705"",""ESENCIAL!A6:BG""),8,FALSE))"),"")</f>
        <v/>
      </c>
      <c r="L611" s="287"/>
      <c r="V611" s="66"/>
    </row>
    <row r="612" spans="1:22" ht="15">
      <c r="A612" s="5"/>
      <c r="B612" s="4"/>
      <c r="F612" s="66"/>
      <c r="G612" s="5" t="str">
        <f ca="1">IFERROR(__xludf.DUMMYFUNCTION("IFERROR(VLOOKUP(F650,IMPORTRANGE(""https://docs.google.com/spreadsheets/d/1Kvs4KS76FHFqLFIZfrDMff4kP08nblUkihrxltoGBjg/edit#gid=934712705"",""ESENCIAL!A6:BG""),3,FALSE))"),"")</f>
        <v/>
      </c>
      <c r="H612" s="5" t="str">
        <f ca="1">IFERROR(__xludf.DUMMYFUNCTION("IFERROR(VLOOKUP(F650,IMPORTRANGE(""https://docs.google.com/spreadsheets/d/1Kvs4KS76FHFqLFIZfrDMff4kP08nblUkihrxltoGBjg/edit#gid=934712705"",""ESENCIAL!A6:BG""),8,FALSE))"),"")</f>
        <v/>
      </c>
      <c r="L612" s="287"/>
      <c r="V612" s="66"/>
    </row>
    <row r="613" spans="1:22" ht="15">
      <c r="A613" s="5"/>
      <c r="B613" s="4"/>
      <c r="F613" s="66"/>
      <c r="G613" s="5" t="str">
        <f ca="1">IFERROR(__xludf.DUMMYFUNCTION("IFERROR(VLOOKUP(F651,IMPORTRANGE(""https://docs.google.com/spreadsheets/d/1Kvs4KS76FHFqLFIZfrDMff4kP08nblUkihrxltoGBjg/edit#gid=934712705"",""ESENCIAL!A6:BG""),3,FALSE))"),"")</f>
        <v/>
      </c>
      <c r="H613" s="5" t="str">
        <f ca="1">IFERROR(__xludf.DUMMYFUNCTION("IFERROR(VLOOKUP(F651,IMPORTRANGE(""https://docs.google.com/spreadsheets/d/1Kvs4KS76FHFqLFIZfrDMff4kP08nblUkihrxltoGBjg/edit#gid=934712705"",""ESENCIAL!A6:BG""),8,FALSE))"),"")</f>
        <v/>
      </c>
      <c r="L613" s="287"/>
      <c r="V613" s="66"/>
    </row>
    <row r="614" spans="1:22" ht="15">
      <c r="A614" s="5"/>
      <c r="B614" s="4"/>
      <c r="F614" s="66"/>
      <c r="G614" s="5" t="str">
        <f ca="1">IFERROR(__xludf.DUMMYFUNCTION("IFERROR(VLOOKUP(F652,IMPORTRANGE(""https://docs.google.com/spreadsheets/d/1Kvs4KS76FHFqLFIZfrDMff4kP08nblUkihrxltoGBjg/edit#gid=934712705"",""ESENCIAL!A6:BG""),3,FALSE))"),"")</f>
        <v/>
      </c>
      <c r="H614" s="5" t="str">
        <f ca="1">IFERROR(__xludf.DUMMYFUNCTION("IFERROR(VLOOKUP(F652,IMPORTRANGE(""https://docs.google.com/spreadsheets/d/1Kvs4KS76FHFqLFIZfrDMff4kP08nblUkihrxltoGBjg/edit#gid=934712705"",""ESENCIAL!A6:BG""),8,FALSE))"),"")</f>
        <v/>
      </c>
      <c r="L614" s="287"/>
      <c r="V614" s="66"/>
    </row>
    <row r="615" spans="1:22" ht="15">
      <c r="A615" s="5"/>
      <c r="B615" s="4"/>
      <c r="F615" s="66"/>
      <c r="G615" s="5" t="str">
        <f ca="1">IFERROR(__xludf.DUMMYFUNCTION("IFERROR(VLOOKUP(F653,IMPORTRANGE(""https://docs.google.com/spreadsheets/d/1Kvs4KS76FHFqLFIZfrDMff4kP08nblUkihrxltoGBjg/edit#gid=934712705"",""ESENCIAL!A6:BG""),3,FALSE))"),"")</f>
        <v/>
      </c>
      <c r="H615" s="5" t="str">
        <f ca="1">IFERROR(__xludf.DUMMYFUNCTION("IFERROR(VLOOKUP(F653,IMPORTRANGE(""https://docs.google.com/spreadsheets/d/1Kvs4KS76FHFqLFIZfrDMff4kP08nblUkihrxltoGBjg/edit#gid=934712705"",""ESENCIAL!A6:BG""),8,FALSE))"),"")</f>
        <v/>
      </c>
      <c r="L615" s="287"/>
      <c r="V615" s="66"/>
    </row>
    <row r="616" spans="1:22" ht="15">
      <c r="A616" s="5"/>
      <c r="B616" s="4"/>
      <c r="F616" s="66"/>
      <c r="G616" s="5" t="str">
        <f ca="1">IFERROR(__xludf.DUMMYFUNCTION("IFERROR(VLOOKUP(F654,IMPORTRANGE(""https://docs.google.com/spreadsheets/d/1Kvs4KS76FHFqLFIZfrDMff4kP08nblUkihrxltoGBjg/edit#gid=934712705"",""ESENCIAL!A6:BG""),3,FALSE))"),"")</f>
        <v/>
      </c>
      <c r="H616" s="5" t="str">
        <f ca="1">IFERROR(__xludf.DUMMYFUNCTION("IFERROR(VLOOKUP(F654,IMPORTRANGE(""https://docs.google.com/spreadsheets/d/1Kvs4KS76FHFqLFIZfrDMff4kP08nblUkihrxltoGBjg/edit#gid=934712705"",""ESENCIAL!A6:BG""),8,FALSE))"),"")</f>
        <v/>
      </c>
      <c r="L616" s="287"/>
      <c r="V616" s="66"/>
    </row>
    <row r="617" spans="1:22" ht="15">
      <c r="A617" s="5"/>
      <c r="B617" s="4"/>
      <c r="F617" s="66"/>
      <c r="G617" s="5" t="str">
        <f ca="1">IFERROR(__xludf.DUMMYFUNCTION("IFERROR(VLOOKUP(F655,IMPORTRANGE(""https://docs.google.com/spreadsheets/d/1Kvs4KS76FHFqLFIZfrDMff4kP08nblUkihrxltoGBjg/edit#gid=934712705"",""ESENCIAL!A6:BG""),3,FALSE))"),"")</f>
        <v/>
      </c>
      <c r="H617" s="5" t="str">
        <f ca="1">IFERROR(__xludf.DUMMYFUNCTION("IFERROR(VLOOKUP(F655,IMPORTRANGE(""https://docs.google.com/spreadsheets/d/1Kvs4KS76FHFqLFIZfrDMff4kP08nblUkihrxltoGBjg/edit#gid=934712705"",""ESENCIAL!A6:BG""),8,FALSE))"),"")</f>
        <v/>
      </c>
      <c r="L617" s="287"/>
      <c r="V617" s="66"/>
    </row>
    <row r="618" spans="1:22" ht="15">
      <c r="A618" s="5"/>
      <c r="B618" s="4"/>
      <c r="F618" s="66"/>
      <c r="G618" s="5" t="str">
        <f ca="1">IFERROR(__xludf.DUMMYFUNCTION("IFERROR(VLOOKUP(F656,IMPORTRANGE(""https://docs.google.com/spreadsheets/d/1Kvs4KS76FHFqLFIZfrDMff4kP08nblUkihrxltoGBjg/edit#gid=934712705"",""ESENCIAL!A6:BG""),3,FALSE))"),"")</f>
        <v/>
      </c>
      <c r="H618" s="5" t="str">
        <f ca="1">IFERROR(__xludf.DUMMYFUNCTION("IFERROR(VLOOKUP(F656,IMPORTRANGE(""https://docs.google.com/spreadsheets/d/1Kvs4KS76FHFqLFIZfrDMff4kP08nblUkihrxltoGBjg/edit#gid=934712705"",""ESENCIAL!A6:BG""),8,FALSE))"),"")</f>
        <v/>
      </c>
      <c r="L618" s="287"/>
      <c r="V618" s="66"/>
    </row>
    <row r="619" spans="1:22" ht="15">
      <c r="A619" s="5"/>
      <c r="B619" s="4"/>
      <c r="F619" s="66"/>
      <c r="G619" s="5" t="str">
        <f ca="1">IFERROR(__xludf.DUMMYFUNCTION("IFERROR(VLOOKUP(F657,IMPORTRANGE(""https://docs.google.com/spreadsheets/d/1Kvs4KS76FHFqLFIZfrDMff4kP08nblUkihrxltoGBjg/edit#gid=934712705"",""ESENCIAL!A6:BG""),3,FALSE))"),"")</f>
        <v/>
      </c>
      <c r="H619" s="5" t="str">
        <f ca="1">IFERROR(__xludf.DUMMYFUNCTION("IFERROR(VLOOKUP(F657,IMPORTRANGE(""https://docs.google.com/spreadsheets/d/1Kvs4KS76FHFqLFIZfrDMff4kP08nblUkihrxltoGBjg/edit#gid=934712705"",""ESENCIAL!A6:BG""),8,FALSE))"),"")</f>
        <v/>
      </c>
      <c r="L619" s="287"/>
      <c r="V619" s="66"/>
    </row>
    <row r="620" spans="1:22" ht="15">
      <c r="A620" s="5"/>
      <c r="B620" s="4"/>
      <c r="F620" s="66"/>
      <c r="G620" s="5" t="str">
        <f ca="1">IFERROR(__xludf.DUMMYFUNCTION("IFERROR(VLOOKUP(F658,IMPORTRANGE(""https://docs.google.com/spreadsheets/d/1Kvs4KS76FHFqLFIZfrDMff4kP08nblUkihrxltoGBjg/edit#gid=934712705"",""ESENCIAL!A6:BG""),3,FALSE))"),"")</f>
        <v/>
      </c>
      <c r="H620" s="5" t="str">
        <f ca="1">IFERROR(__xludf.DUMMYFUNCTION("IFERROR(VLOOKUP(F658,IMPORTRANGE(""https://docs.google.com/spreadsheets/d/1Kvs4KS76FHFqLFIZfrDMff4kP08nblUkihrxltoGBjg/edit#gid=934712705"",""ESENCIAL!A6:BG""),8,FALSE))"),"")</f>
        <v/>
      </c>
      <c r="L620" s="287"/>
      <c r="V620" s="66"/>
    </row>
    <row r="621" spans="1:22" ht="15">
      <c r="A621" s="5"/>
      <c r="B621" s="4"/>
      <c r="F621" s="66"/>
      <c r="G621" s="5" t="str">
        <f ca="1">IFERROR(__xludf.DUMMYFUNCTION("IFERROR(VLOOKUP(F659,IMPORTRANGE(""https://docs.google.com/spreadsheets/d/1Kvs4KS76FHFqLFIZfrDMff4kP08nblUkihrxltoGBjg/edit#gid=934712705"",""ESENCIAL!A6:BG""),3,FALSE))"),"")</f>
        <v/>
      </c>
      <c r="H621" s="5" t="str">
        <f ca="1">IFERROR(__xludf.DUMMYFUNCTION("IFERROR(VLOOKUP(F659,IMPORTRANGE(""https://docs.google.com/spreadsheets/d/1Kvs4KS76FHFqLFIZfrDMff4kP08nblUkihrxltoGBjg/edit#gid=934712705"",""ESENCIAL!A6:BG""),8,FALSE))"),"")</f>
        <v/>
      </c>
      <c r="L621" s="287"/>
      <c r="V621" s="66"/>
    </row>
    <row r="622" spans="1:22" ht="15">
      <c r="A622" s="5"/>
      <c r="B622" s="4"/>
      <c r="F622" s="66"/>
      <c r="G622" s="5" t="str">
        <f ca="1">IFERROR(__xludf.DUMMYFUNCTION("IFERROR(VLOOKUP(F660,IMPORTRANGE(""https://docs.google.com/spreadsheets/d/1Kvs4KS76FHFqLFIZfrDMff4kP08nblUkihrxltoGBjg/edit#gid=934712705"",""ESENCIAL!A6:BG""),3,FALSE))"),"")</f>
        <v/>
      </c>
      <c r="H622" s="5" t="str">
        <f ca="1">IFERROR(__xludf.DUMMYFUNCTION("IFERROR(VLOOKUP(F660,IMPORTRANGE(""https://docs.google.com/spreadsheets/d/1Kvs4KS76FHFqLFIZfrDMff4kP08nblUkihrxltoGBjg/edit#gid=934712705"",""ESENCIAL!A6:BG""),8,FALSE))"),"")</f>
        <v/>
      </c>
      <c r="L622" s="287"/>
      <c r="V622" s="66"/>
    </row>
    <row r="623" spans="1:22" ht="15">
      <c r="A623" s="5"/>
      <c r="B623" s="4"/>
      <c r="F623" s="66"/>
      <c r="G623" s="5" t="str">
        <f ca="1">IFERROR(__xludf.DUMMYFUNCTION("IFERROR(VLOOKUP(F661,IMPORTRANGE(""https://docs.google.com/spreadsheets/d/1Kvs4KS76FHFqLFIZfrDMff4kP08nblUkihrxltoGBjg/edit#gid=934712705"",""ESENCIAL!A6:BG""),3,FALSE))"),"")</f>
        <v/>
      </c>
      <c r="H623" s="5" t="str">
        <f ca="1">IFERROR(__xludf.DUMMYFUNCTION("IFERROR(VLOOKUP(F661,IMPORTRANGE(""https://docs.google.com/spreadsheets/d/1Kvs4KS76FHFqLFIZfrDMff4kP08nblUkihrxltoGBjg/edit#gid=934712705"",""ESENCIAL!A6:BG""),8,FALSE))"),"")</f>
        <v/>
      </c>
      <c r="L623" s="287"/>
      <c r="V623" s="66"/>
    </row>
    <row r="624" spans="1:22" ht="15">
      <c r="A624" s="5"/>
      <c r="B624" s="4"/>
      <c r="F624" s="66"/>
      <c r="G624" s="5" t="str">
        <f ca="1">IFERROR(__xludf.DUMMYFUNCTION("IFERROR(VLOOKUP(F662,IMPORTRANGE(""https://docs.google.com/spreadsheets/d/1Kvs4KS76FHFqLFIZfrDMff4kP08nblUkihrxltoGBjg/edit#gid=934712705"",""ESENCIAL!A6:BG""),3,FALSE))"),"")</f>
        <v/>
      </c>
      <c r="H624" s="5" t="str">
        <f ca="1">IFERROR(__xludf.DUMMYFUNCTION("IFERROR(VLOOKUP(F662,IMPORTRANGE(""https://docs.google.com/spreadsheets/d/1Kvs4KS76FHFqLFIZfrDMff4kP08nblUkihrxltoGBjg/edit#gid=934712705"",""ESENCIAL!A6:BG""),8,FALSE))"),"")</f>
        <v/>
      </c>
      <c r="L624" s="287"/>
      <c r="V624" s="66"/>
    </row>
    <row r="625" spans="1:22" ht="15">
      <c r="A625" s="5"/>
      <c r="B625" s="4"/>
      <c r="F625" s="66"/>
      <c r="G625" s="5" t="str">
        <f ca="1">IFERROR(__xludf.DUMMYFUNCTION("IFERROR(VLOOKUP(F663,IMPORTRANGE(""https://docs.google.com/spreadsheets/d/1Kvs4KS76FHFqLFIZfrDMff4kP08nblUkihrxltoGBjg/edit#gid=934712705"",""ESENCIAL!A6:BG""),3,FALSE))"),"")</f>
        <v/>
      </c>
      <c r="H625" s="5" t="str">
        <f ca="1">IFERROR(__xludf.DUMMYFUNCTION("IFERROR(VLOOKUP(F663,IMPORTRANGE(""https://docs.google.com/spreadsheets/d/1Kvs4KS76FHFqLFIZfrDMff4kP08nblUkihrxltoGBjg/edit#gid=934712705"",""ESENCIAL!A6:BG""),8,FALSE))"),"")</f>
        <v/>
      </c>
      <c r="L625" s="287"/>
      <c r="V625" s="66"/>
    </row>
    <row r="626" spans="1:22" ht="15">
      <c r="A626" s="5"/>
      <c r="B626" s="4"/>
      <c r="F626" s="66"/>
      <c r="G626" s="5" t="str">
        <f ca="1">IFERROR(__xludf.DUMMYFUNCTION("IFERROR(VLOOKUP(F664,IMPORTRANGE(""https://docs.google.com/spreadsheets/d/1Kvs4KS76FHFqLFIZfrDMff4kP08nblUkihrxltoGBjg/edit#gid=934712705"",""ESENCIAL!A6:BG""),3,FALSE))"),"")</f>
        <v/>
      </c>
      <c r="H626" s="5" t="str">
        <f ca="1">IFERROR(__xludf.DUMMYFUNCTION("IFERROR(VLOOKUP(F664,IMPORTRANGE(""https://docs.google.com/spreadsheets/d/1Kvs4KS76FHFqLFIZfrDMff4kP08nblUkihrxltoGBjg/edit#gid=934712705"",""ESENCIAL!A6:BG""),8,FALSE))"),"")</f>
        <v/>
      </c>
      <c r="L626" s="287"/>
      <c r="V626" s="66"/>
    </row>
    <row r="627" spans="1:22" ht="15">
      <c r="A627" s="5"/>
      <c r="B627" s="4"/>
      <c r="F627" s="66"/>
      <c r="G627" s="5" t="str">
        <f ca="1">IFERROR(__xludf.DUMMYFUNCTION("IFERROR(VLOOKUP(F665,IMPORTRANGE(""https://docs.google.com/spreadsheets/d/1Kvs4KS76FHFqLFIZfrDMff4kP08nblUkihrxltoGBjg/edit#gid=934712705"",""ESENCIAL!A6:BG""),3,FALSE))"),"")</f>
        <v/>
      </c>
      <c r="H627" s="5" t="str">
        <f ca="1">IFERROR(__xludf.DUMMYFUNCTION("IFERROR(VLOOKUP(F665,IMPORTRANGE(""https://docs.google.com/spreadsheets/d/1Kvs4KS76FHFqLFIZfrDMff4kP08nblUkihrxltoGBjg/edit#gid=934712705"",""ESENCIAL!A6:BG""),8,FALSE))"),"")</f>
        <v/>
      </c>
      <c r="L627" s="287"/>
      <c r="V627" s="66"/>
    </row>
    <row r="628" spans="1:22" ht="15">
      <c r="A628" s="5"/>
      <c r="B628" s="4"/>
      <c r="F628" s="66"/>
      <c r="G628" s="5" t="str">
        <f ca="1">IFERROR(__xludf.DUMMYFUNCTION("IFERROR(VLOOKUP(F666,IMPORTRANGE(""https://docs.google.com/spreadsheets/d/1Kvs4KS76FHFqLFIZfrDMff4kP08nblUkihrxltoGBjg/edit#gid=934712705"",""ESENCIAL!A6:BG""),3,FALSE))"),"")</f>
        <v/>
      </c>
      <c r="H628" s="5" t="str">
        <f ca="1">IFERROR(__xludf.DUMMYFUNCTION("IFERROR(VLOOKUP(F666,IMPORTRANGE(""https://docs.google.com/spreadsheets/d/1Kvs4KS76FHFqLFIZfrDMff4kP08nblUkihrxltoGBjg/edit#gid=934712705"",""ESENCIAL!A6:BG""),8,FALSE))"),"")</f>
        <v/>
      </c>
      <c r="L628" s="287"/>
      <c r="V628" s="66"/>
    </row>
    <row r="629" spans="1:22" ht="15">
      <c r="A629" s="5"/>
      <c r="B629" s="4"/>
      <c r="F629" s="66"/>
      <c r="G629" s="5" t="str">
        <f ca="1">IFERROR(__xludf.DUMMYFUNCTION("IFERROR(VLOOKUP(F667,IMPORTRANGE(""https://docs.google.com/spreadsheets/d/1Kvs4KS76FHFqLFIZfrDMff4kP08nblUkihrxltoGBjg/edit#gid=934712705"",""ESENCIAL!A6:BG""),3,FALSE))"),"")</f>
        <v/>
      </c>
      <c r="H629" s="5" t="str">
        <f ca="1">IFERROR(__xludf.DUMMYFUNCTION("IFERROR(VLOOKUP(F667,IMPORTRANGE(""https://docs.google.com/spreadsheets/d/1Kvs4KS76FHFqLFIZfrDMff4kP08nblUkihrxltoGBjg/edit#gid=934712705"",""ESENCIAL!A6:BG""),8,FALSE))"),"")</f>
        <v/>
      </c>
      <c r="L629" s="287"/>
      <c r="V629" s="66"/>
    </row>
    <row r="630" spans="1:22" ht="15">
      <c r="A630" s="5"/>
      <c r="B630" s="4"/>
      <c r="F630" s="66"/>
      <c r="G630" s="5" t="str">
        <f ca="1">IFERROR(__xludf.DUMMYFUNCTION("IFERROR(VLOOKUP(F668,IMPORTRANGE(""https://docs.google.com/spreadsheets/d/1Kvs4KS76FHFqLFIZfrDMff4kP08nblUkihrxltoGBjg/edit#gid=934712705"",""ESENCIAL!A6:BG""),3,FALSE))"),"")</f>
        <v/>
      </c>
      <c r="H630" s="5" t="str">
        <f ca="1">IFERROR(__xludf.DUMMYFUNCTION("IFERROR(VLOOKUP(F668,IMPORTRANGE(""https://docs.google.com/spreadsheets/d/1Kvs4KS76FHFqLFIZfrDMff4kP08nblUkihrxltoGBjg/edit#gid=934712705"",""ESENCIAL!A6:BG""),8,FALSE))"),"")</f>
        <v/>
      </c>
      <c r="L630" s="287"/>
      <c r="V630" s="66"/>
    </row>
    <row r="631" spans="1:22" ht="15">
      <c r="A631" s="5"/>
      <c r="B631" s="4"/>
      <c r="F631" s="66"/>
      <c r="G631" s="5" t="str">
        <f ca="1">IFERROR(__xludf.DUMMYFUNCTION("IFERROR(VLOOKUP(F669,IMPORTRANGE(""https://docs.google.com/spreadsheets/d/1Kvs4KS76FHFqLFIZfrDMff4kP08nblUkihrxltoGBjg/edit#gid=934712705"",""ESENCIAL!A6:BG""),3,FALSE))"),"")</f>
        <v/>
      </c>
      <c r="H631" s="5" t="str">
        <f ca="1">IFERROR(__xludf.DUMMYFUNCTION("IFERROR(VLOOKUP(F669,IMPORTRANGE(""https://docs.google.com/spreadsheets/d/1Kvs4KS76FHFqLFIZfrDMff4kP08nblUkihrxltoGBjg/edit#gid=934712705"",""ESENCIAL!A6:BG""),8,FALSE))"),"")</f>
        <v/>
      </c>
      <c r="L631" s="287"/>
      <c r="V631" s="66"/>
    </row>
    <row r="632" spans="1:22" ht="15">
      <c r="A632" s="5"/>
      <c r="B632" s="4"/>
      <c r="F632" s="66"/>
      <c r="G632" s="5" t="str">
        <f ca="1">IFERROR(__xludf.DUMMYFUNCTION("IFERROR(VLOOKUP(F670,IMPORTRANGE(""https://docs.google.com/spreadsheets/d/1Kvs4KS76FHFqLFIZfrDMff4kP08nblUkihrxltoGBjg/edit#gid=934712705"",""ESENCIAL!A6:BG""),3,FALSE))"),"")</f>
        <v/>
      </c>
      <c r="H632" s="5" t="str">
        <f ca="1">IFERROR(__xludf.DUMMYFUNCTION("IFERROR(VLOOKUP(F670,IMPORTRANGE(""https://docs.google.com/spreadsheets/d/1Kvs4KS76FHFqLFIZfrDMff4kP08nblUkihrxltoGBjg/edit#gid=934712705"",""ESENCIAL!A6:BG""),8,FALSE))"),"")</f>
        <v/>
      </c>
      <c r="L632" s="287"/>
      <c r="V632" s="66"/>
    </row>
    <row r="633" spans="1:22" ht="15">
      <c r="A633" s="5"/>
      <c r="B633" s="4"/>
      <c r="F633" s="66"/>
      <c r="G633" s="5" t="str">
        <f ca="1">IFERROR(__xludf.DUMMYFUNCTION("IFERROR(VLOOKUP(F671,IMPORTRANGE(""https://docs.google.com/spreadsheets/d/1Kvs4KS76FHFqLFIZfrDMff4kP08nblUkihrxltoGBjg/edit#gid=934712705"",""ESENCIAL!A6:BG""),3,FALSE))"),"")</f>
        <v/>
      </c>
      <c r="H633" s="5" t="str">
        <f ca="1">IFERROR(__xludf.DUMMYFUNCTION("IFERROR(VLOOKUP(F671,IMPORTRANGE(""https://docs.google.com/spreadsheets/d/1Kvs4KS76FHFqLFIZfrDMff4kP08nblUkihrxltoGBjg/edit#gid=934712705"",""ESENCIAL!A6:BG""),8,FALSE))"),"")</f>
        <v/>
      </c>
      <c r="L633" s="287"/>
      <c r="V633" s="66"/>
    </row>
    <row r="634" spans="1:22" ht="15">
      <c r="A634" s="5"/>
      <c r="B634" s="4"/>
      <c r="F634" s="66"/>
      <c r="G634" s="5" t="str">
        <f ca="1">IFERROR(__xludf.DUMMYFUNCTION("IFERROR(VLOOKUP(F672,IMPORTRANGE(""https://docs.google.com/spreadsheets/d/1Kvs4KS76FHFqLFIZfrDMff4kP08nblUkihrxltoGBjg/edit#gid=934712705"",""ESENCIAL!A6:BG""),3,FALSE))"),"")</f>
        <v/>
      </c>
      <c r="H634" s="5" t="str">
        <f ca="1">IFERROR(__xludf.DUMMYFUNCTION("IFERROR(VLOOKUP(F672,IMPORTRANGE(""https://docs.google.com/spreadsheets/d/1Kvs4KS76FHFqLFIZfrDMff4kP08nblUkihrxltoGBjg/edit#gid=934712705"",""ESENCIAL!A6:BG""),8,FALSE))"),"")</f>
        <v/>
      </c>
      <c r="L634" s="287"/>
      <c r="V634" s="66"/>
    </row>
    <row r="635" spans="1:22" ht="15">
      <c r="A635" s="5"/>
      <c r="B635" s="4"/>
      <c r="F635" s="66"/>
      <c r="G635" s="5" t="str">
        <f ca="1">IFERROR(__xludf.DUMMYFUNCTION("IFERROR(VLOOKUP(F673,IMPORTRANGE(""https://docs.google.com/spreadsheets/d/1Kvs4KS76FHFqLFIZfrDMff4kP08nblUkihrxltoGBjg/edit#gid=934712705"",""ESENCIAL!A6:BG""),3,FALSE))"),"")</f>
        <v/>
      </c>
      <c r="H635" s="5" t="str">
        <f ca="1">IFERROR(__xludf.DUMMYFUNCTION("IFERROR(VLOOKUP(F673,IMPORTRANGE(""https://docs.google.com/spreadsheets/d/1Kvs4KS76FHFqLFIZfrDMff4kP08nblUkihrxltoGBjg/edit#gid=934712705"",""ESENCIAL!A6:BG""),8,FALSE))"),"")</f>
        <v/>
      </c>
      <c r="L635" s="287"/>
      <c r="V635" s="66"/>
    </row>
    <row r="636" spans="1:22" ht="15">
      <c r="A636" s="5"/>
      <c r="B636" s="4"/>
      <c r="F636" s="66"/>
      <c r="G636" s="5" t="str">
        <f ca="1">IFERROR(__xludf.DUMMYFUNCTION("IFERROR(VLOOKUP(F674,IMPORTRANGE(""https://docs.google.com/spreadsheets/d/1Kvs4KS76FHFqLFIZfrDMff4kP08nblUkihrxltoGBjg/edit#gid=934712705"",""ESENCIAL!A6:BG""),3,FALSE))"),"")</f>
        <v/>
      </c>
      <c r="H636" s="5" t="str">
        <f ca="1">IFERROR(__xludf.DUMMYFUNCTION("IFERROR(VLOOKUP(F674,IMPORTRANGE(""https://docs.google.com/spreadsheets/d/1Kvs4KS76FHFqLFIZfrDMff4kP08nblUkihrxltoGBjg/edit#gid=934712705"",""ESENCIAL!A6:BG""),8,FALSE))"),"")</f>
        <v/>
      </c>
      <c r="L636" s="287"/>
      <c r="V636" s="66"/>
    </row>
    <row r="637" spans="1:22" ht="15">
      <c r="A637" s="5"/>
      <c r="B637" s="4"/>
      <c r="F637" s="66"/>
      <c r="G637" s="5" t="str">
        <f ca="1">IFERROR(__xludf.DUMMYFUNCTION("IFERROR(VLOOKUP(F675,IMPORTRANGE(""https://docs.google.com/spreadsheets/d/1Kvs4KS76FHFqLFIZfrDMff4kP08nblUkihrxltoGBjg/edit#gid=934712705"",""ESENCIAL!A6:BG""),3,FALSE))"),"")</f>
        <v/>
      </c>
      <c r="H637" s="5" t="str">
        <f ca="1">IFERROR(__xludf.DUMMYFUNCTION("IFERROR(VLOOKUP(F675,IMPORTRANGE(""https://docs.google.com/spreadsheets/d/1Kvs4KS76FHFqLFIZfrDMff4kP08nblUkihrxltoGBjg/edit#gid=934712705"",""ESENCIAL!A6:BG""),8,FALSE))"),"")</f>
        <v/>
      </c>
      <c r="L637" s="287"/>
      <c r="V637" s="66"/>
    </row>
    <row r="638" spans="1:22" ht="15">
      <c r="A638" s="5"/>
      <c r="B638" s="4"/>
      <c r="F638" s="66"/>
      <c r="G638" s="5" t="str">
        <f ca="1">IFERROR(__xludf.DUMMYFUNCTION("IFERROR(VLOOKUP(F676,IMPORTRANGE(""https://docs.google.com/spreadsheets/d/1Kvs4KS76FHFqLFIZfrDMff4kP08nblUkihrxltoGBjg/edit#gid=934712705"",""ESENCIAL!A6:BG""),3,FALSE))"),"")</f>
        <v/>
      </c>
      <c r="H638" s="5" t="str">
        <f ca="1">IFERROR(__xludf.DUMMYFUNCTION("IFERROR(VLOOKUP(F676,IMPORTRANGE(""https://docs.google.com/spreadsheets/d/1Kvs4KS76FHFqLFIZfrDMff4kP08nblUkihrxltoGBjg/edit#gid=934712705"",""ESENCIAL!A6:BG""),8,FALSE))"),"")</f>
        <v/>
      </c>
      <c r="L638" s="287"/>
      <c r="V638" s="66"/>
    </row>
    <row r="639" spans="1:22" ht="15">
      <c r="A639" s="5"/>
      <c r="B639" s="4"/>
      <c r="F639" s="66"/>
      <c r="G639" s="5" t="str">
        <f ca="1">IFERROR(__xludf.DUMMYFUNCTION("IFERROR(VLOOKUP(F677,IMPORTRANGE(""https://docs.google.com/spreadsheets/d/1Kvs4KS76FHFqLFIZfrDMff4kP08nblUkihrxltoGBjg/edit#gid=934712705"",""ESENCIAL!A6:BG""),3,FALSE))"),"")</f>
        <v/>
      </c>
      <c r="H639" s="5" t="str">
        <f ca="1">IFERROR(__xludf.DUMMYFUNCTION("IFERROR(VLOOKUP(F677,IMPORTRANGE(""https://docs.google.com/spreadsheets/d/1Kvs4KS76FHFqLFIZfrDMff4kP08nblUkihrxltoGBjg/edit#gid=934712705"",""ESENCIAL!A6:BG""),8,FALSE))"),"")</f>
        <v/>
      </c>
      <c r="L639" s="287"/>
      <c r="V639" s="66"/>
    </row>
    <row r="640" spans="1:22" ht="15">
      <c r="A640" s="5"/>
      <c r="B640" s="4"/>
      <c r="F640" s="66"/>
      <c r="G640" s="5" t="str">
        <f ca="1">IFERROR(__xludf.DUMMYFUNCTION("IFERROR(VLOOKUP(F678,IMPORTRANGE(""https://docs.google.com/spreadsheets/d/1Kvs4KS76FHFqLFIZfrDMff4kP08nblUkihrxltoGBjg/edit#gid=934712705"",""ESENCIAL!A6:BG""),3,FALSE))"),"")</f>
        <v/>
      </c>
      <c r="H640" s="5" t="str">
        <f ca="1">IFERROR(__xludf.DUMMYFUNCTION("IFERROR(VLOOKUP(F678,IMPORTRANGE(""https://docs.google.com/spreadsheets/d/1Kvs4KS76FHFqLFIZfrDMff4kP08nblUkihrxltoGBjg/edit#gid=934712705"",""ESENCIAL!A6:BG""),8,FALSE))"),"")</f>
        <v/>
      </c>
      <c r="L640" s="287"/>
      <c r="V640" s="66"/>
    </row>
    <row r="641" spans="1:22" ht="15">
      <c r="A641" s="5"/>
      <c r="B641" s="4"/>
      <c r="F641" s="66"/>
      <c r="G641" s="5" t="str">
        <f ca="1">IFERROR(__xludf.DUMMYFUNCTION("IFERROR(VLOOKUP(F679,IMPORTRANGE(""https://docs.google.com/spreadsheets/d/1Kvs4KS76FHFqLFIZfrDMff4kP08nblUkihrxltoGBjg/edit#gid=934712705"",""ESENCIAL!A6:BG""),3,FALSE))"),"")</f>
        <v/>
      </c>
      <c r="H641" s="5" t="str">
        <f ca="1">IFERROR(__xludf.DUMMYFUNCTION("IFERROR(VLOOKUP(F679,IMPORTRANGE(""https://docs.google.com/spreadsheets/d/1Kvs4KS76FHFqLFIZfrDMff4kP08nblUkihrxltoGBjg/edit#gid=934712705"",""ESENCIAL!A6:BG""),8,FALSE))"),"")</f>
        <v/>
      </c>
      <c r="L641" s="287"/>
      <c r="V641" s="66"/>
    </row>
    <row r="642" spans="1:22" ht="15">
      <c r="A642" s="5"/>
      <c r="B642" s="4"/>
      <c r="F642" s="66"/>
      <c r="G642" s="5" t="str">
        <f ca="1">IFERROR(__xludf.DUMMYFUNCTION("IFERROR(VLOOKUP(F680,IMPORTRANGE(""https://docs.google.com/spreadsheets/d/1Kvs4KS76FHFqLFIZfrDMff4kP08nblUkihrxltoGBjg/edit#gid=934712705"",""ESENCIAL!A6:BG""),3,FALSE))"),"")</f>
        <v/>
      </c>
      <c r="H642" s="5" t="str">
        <f ca="1">IFERROR(__xludf.DUMMYFUNCTION("IFERROR(VLOOKUP(F680,IMPORTRANGE(""https://docs.google.com/spreadsheets/d/1Kvs4KS76FHFqLFIZfrDMff4kP08nblUkihrxltoGBjg/edit#gid=934712705"",""ESENCIAL!A6:BG""),8,FALSE))"),"")</f>
        <v/>
      </c>
      <c r="L642" s="287"/>
      <c r="V642" s="66"/>
    </row>
    <row r="643" spans="1:22" ht="15">
      <c r="A643" s="5"/>
      <c r="B643" s="4"/>
      <c r="F643" s="66"/>
      <c r="G643" s="5" t="str">
        <f ca="1">IFERROR(__xludf.DUMMYFUNCTION("IFERROR(VLOOKUP(F681,IMPORTRANGE(""https://docs.google.com/spreadsheets/d/1Kvs4KS76FHFqLFIZfrDMff4kP08nblUkihrxltoGBjg/edit#gid=934712705"",""ESENCIAL!A6:BG""),3,FALSE))"),"")</f>
        <v/>
      </c>
      <c r="H643" s="5" t="str">
        <f ca="1">IFERROR(__xludf.DUMMYFUNCTION("IFERROR(VLOOKUP(F681,IMPORTRANGE(""https://docs.google.com/spreadsheets/d/1Kvs4KS76FHFqLFIZfrDMff4kP08nblUkihrxltoGBjg/edit#gid=934712705"",""ESENCIAL!A6:BG""),8,FALSE))"),"")</f>
        <v/>
      </c>
      <c r="L643" s="287"/>
      <c r="V643" s="66"/>
    </row>
    <row r="644" spans="1:22" ht="15">
      <c r="A644" s="5"/>
      <c r="B644" s="4"/>
      <c r="F644" s="66"/>
      <c r="G644" s="5" t="str">
        <f ca="1">IFERROR(__xludf.DUMMYFUNCTION("IFERROR(VLOOKUP(F682,IMPORTRANGE(""https://docs.google.com/spreadsheets/d/1Kvs4KS76FHFqLFIZfrDMff4kP08nblUkihrxltoGBjg/edit#gid=934712705"",""ESENCIAL!A6:BG""),3,FALSE))"),"")</f>
        <v/>
      </c>
      <c r="H644" s="5" t="str">
        <f ca="1">IFERROR(__xludf.DUMMYFUNCTION("IFERROR(VLOOKUP(F682,IMPORTRANGE(""https://docs.google.com/spreadsheets/d/1Kvs4KS76FHFqLFIZfrDMff4kP08nblUkihrxltoGBjg/edit#gid=934712705"",""ESENCIAL!A6:BG""),8,FALSE))"),"")</f>
        <v/>
      </c>
      <c r="L644" s="287"/>
      <c r="V644" s="66"/>
    </row>
    <row r="645" spans="1:22" ht="15">
      <c r="A645" s="5"/>
      <c r="B645" s="4"/>
      <c r="F645" s="66"/>
      <c r="G645" s="5" t="str">
        <f ca="1">IFERROR(__xludf.DUMMYFUNCTION("IFERROR(VLOOKUP(F683,IMPORTRANGE(""https://docs.google.com/spreadsheets/d/1Kvs4KS76FHFqLFIZfrDMff4kP08nblUkihrxltoGBjg/edit#gid=934712705"",""ESENCIAL!A6:BG""),3,FALSE))"),"")</f>
        <v/>
      </c>
      <c r="H645" s="5" t="str">
        <f ca="1">IFERROR(__xludf.DUMMYFUNCTION("IFERROR(VLOOKUP(F683,IMPORTRANGE(""https://docs.google.com/spreadsheets/d/1Kvs4KS76FHFqLFIZfrDMff4kP08nblUkihrxltoGBjg/edit#gid=934712705"",""ESENCIAL!A6:BG""),8,FALSE))"),"")</f>
        <v/>
      </c>
      <c r="L645" s="287"/>
      <c r="V645" s="66"/>
    </row>
    <row r="646" spans="1:22" ht="15">
      <c r="A646" s="5"/>
      <c r="B646" s="4"/>
      <c r="F646" s="66"/>
      <c r="G646" s="5" t="str">
        <f ca="1">IFERROR(__xludf.DUMMYFUNCTION("IFERROR(VLOOKUP(F684,IMPORTRANGE(""https://docs.google.com/spreadsheets/d/1Kvs4KS76FHFqLFIZfrDMff4kP08nblUkihrxltoGBjg/edit#gid=934712705"",""ESENCIAL!A6:BG""),3,FALSE))"),"")</f>
        <v/>
      </c>
      <c r="H646" s="5" t="str">
        <f ca="1">IFERROR(__xludf.DUMMYFUNCTION("IFERROR(VLOOKUP(F684,IMPORTRANGE(""https://docs.google.com/spreadsheets/d/1Kvs4KS76FHFqLFIZfrDMff4kP08nblUkihrxltoGBjg/edit#gid=934712705"",""ESENCIAL!A6:BG""),8,FALSE))"),"")</f>
        <v/>
      </c>
      <c r="L646" s="287"/>
      <c r="V646" s="66"/>
    </row>
    <row r="647" spans="1:22" ht="15">
      <c r="A647" s="5"/>
      <c r="B647" s="4"/>
      <c r="F647" s="66"/>
      <c r="G647" s="5" t="str">
        <f ca="1">IFERROR(__xludf.DUMMYFUNCTION("IFERROR(VLOOKUP(F685,IMPORTRANGE(""https://docs.google.com/spreadsheets/d/1Kvs4KS76FHFqLFIZfrDMff4kP08nblUkihrxltoGBjg/edit#gid=934712705"",""ESENCIAL!A6:BG""),3,FALSE))"),"")</f>
        <v/>
      </c>
      <c r="H647" s="5" t="str">
        <f ca="1">IFERROR(__xludf.DUMMYFUNCTION("IFERROR(VLOOKUP(F685,IMPORTRANGE(""https://docs.google.com/spreadsheets/d/1Kvs4KS76FHFqLFIZfrDMff4kP08nblUkihrxltoGBjg/edit#gid=934712705"",""ESENCIAL!A6:BG""),8,FALSE))"),"")</f>
        <v/>
      </c>
      <c r="L647" s="287"/>
      <c r="V647" s="66"/>
    </row>
    <row r="648" spans="1:22" ht="15">
      <c r="A648" s="5"/>
      <c r="B648" s="4"/>
      <c r="F648" s="66"/>
      <c r="G648" s="5" t="str">
        <f ca="1">IFERROR(__xludf.DUMMYFUNCTION("IFERROR(VLOOKUP(F686,IMPORTRANGE(""https://docs.google.com/spreadsheets/d/1Kvs4KS76FHFqLFIZfrDMff4kP08nblUkihrxltoGBjg/edit#gid=934712705"",""ESENCIAL!A6:BG""),3,FALSE))"),"")</f>
        <v/>
      </c>
      <c r="H648" s="5" t="str">
        <f ca="1">IFERROR(__xludf.DUMMYFUNCTION("IFERROR(VLOOKUP(F686,IMPORTRANGE(""https://docs.google.com/spreadsheets/d/1Kvs4KS76FHFqLFIZfrDMff4kP08nblUkihrxltoGBjg/edit#gid=934712705"",""ESENCIAL!A6:BG""),8,FALSE))"),"")</f>
        <v/>
      </c>
      <c r="L648" s="287"/>
      <c r="V648" s="66"/>
    </row>
    <row r="649" spans="1:22" ht="15">
      <c r="A649" s="5"/>
      <c r="B649" s="4"/>
      <c r="F649" s="66"/>
      <c r="G649" s="5" t="str">
        <f ca="1">IFERROR(__xludf.DUMMYFUNCTION("IFERROR(VLOOKUP(F687,IMPORTRANGE(""https://docs.google.com/spreadsheets/d/1Kvs4KS76FHFqLFIZfrDMff4kP08nblUkihrxltoGBjg/edit#gid=934712705"",""ESENCIAL!A6:BG""),3,FALSE))"),"")</f>
        <v/>
      </c>
      <c r="H649" s="5" t="str">
        <f ca="1">IFERROR(__xludf.DUMMYFUNCTION("IFERROR(VLOOKUP(F687,IMPORTRANGE(""https://docs.google.com/spreadsheets/d/1Kvs4KS76FHFqLFIZfrDMff4kP08nblUkihrxltoGBjg/edit#gid=934712705"",""ESENCIAL!A6:BG""),8,FALSE))"),"")</f>
        <v/>
      </c>
      <c r="L649" s="287"/>
      <c r="V649" s="66"/>
    </row>
    <row r="650" spans="1:22" ht="15">
      <c r="A650" s="5"/>
      <c r="B650" s="4"/>
      <c r="F650" s="66"/>
      <c r="G650" s="5" t="str">
        <f ca="1">IFERROR(__xludf.DUMMYFUNCTION("IFERROR(VLOOKUP(F688,IMPORTRANGE(""https://docs.google.com/spreadsheets/d/1Kvs4KS76FHFqLFIZfrDMff4kP08nblUkihrxltoGBjg/edit#gid=934712705"",""ESENCIAL!A6:BG""),3,FALSE))"),"")</f>
        <v/>
      </c>
      <c r="H650" s="5" t="str">
        <f ca="1">IFERROR(__xludf.DUMMYFUNCTION("IFERROR(VLOOKUP(F688,IMPORTRANGE(""https://docs.google.com/spreadsheets/d/1Kvs4KS76FHFqLFIZfrDMff4kP08nblUkihrxltoGBjg/edit#gid=934712705"",""ESENCIAL!A6:BG""),8,FALSE))"),"")</f>
        <v/>
      </c>
      <c r="L650" s="287"/>
      <c r="V650" s="66"/>
    </row>
    <row r="651" spans="1:22" ht="15">
      <c r="A651" s="5"/>
      <c r="B651" s="4"/>
      <c r="F651" s="66"/>
      <c r="G651" s="5" t="str">
        <f ca="1">IFERROR(__xludf.DUMMYFUNCTION("IFERROR(VLOOKUP(F689,IMPORTRANGE(""https://docs.google.com/spreadsheets/d/1Kvs4KS76FHFqLFIZfrDMff4kP08nblUkihrxltoGBjg/edit#gid=934712705"",""ESENCIAL!A6:BG""),3,FALSE))"),"")</f>
        <v/>
      </c>
      <c r="H651" s="5" t="str">
        <f ca="1">IFERROR(__xludf.DUMMYFUNCTION("IFERROR(VLOOKUP(F689,IMPORTRANGE(""https://docs.google.com/spreadsheets/d/1Kvs4KS76FHFqLFIZfrDMff4kP08nblUkihrxltoGBjg/edit#gid=934712705"",""ESENCIAL!A6:BG""),8,FALSE))"),"")</f>
        <v/>
      </c>
      <c r="L651" s="287"/>
      <c r="V651" s="66"/>
    </row>
    <row r="652" spans="1:22" ht="15">
      <c r="A652" s="5"/>
      <c r="B652" s="4"/>
      <c r="F652" s="66"/>
      <c r="G652" s="5" t="str">
        <f ca="1">IFERROR(__xludf.DUMMYFUNCTION("IFERROR(VLOOKUP(F690,IMPORTRANGE(""https://docs.google.com/spreadsheets/d/1Kvs4KS76FHFqLFIZfrDMff4kP08nblUkihrxltoGBjg/edit#gid=934712705"",""ESENCIAL!A6:BG""),3,FALSE))"),"")</f>
        <v/>
      </c>
      <c r="H652" s="5" t="str">
        <f ca="1">IFERROR(__xludf.DUMMYFUNCTION("IFERROR(VLOOKUP(F690,IMPORTRANGE(""https://docs.google.com/spreadsheets/d/1Kvs4KS76FHFqLFIZfrDMff4kP08nblUkihrxltoGBjg/edit#gid=934712705"",""ESENCIAL!A6:BG""),8,FALSE))"),"")</f>
        <v/>
      </c>
      <c r="L652" s="287"/>
      <c r="V652" s="66"/>
    </row>
    <row r="653" spans="1:22" ht="15">
      <c r="A653" s="5"/>
      <c r="B653" s="4"/>
      <c r="F653" s="66"/>
      <c r="G653" s="5" t="str">
        <f ca="1">IFERROR(__xludf.DUMMYFUNCTION("IFERROR(VLOOKUP(F691,IMPORTRANGE(""https://docs.google.com/spreadsheets/d/1Kvs4KS76FHFqLFIZfrDMff4kP08nblUkihrxltoGBjg/edit#gid=934712705"",""ESENCIAL!A6:BG""),3,FALSE))"),"")</f>
        <v/>
      </c>
      <c r="H653" s="5" t="str">
        <f ca="1">IFERROR(__xludf.DUMMYFUNCTION("IFERROR(VLOOKUP(F691,IMPORTRANGE(""https://docs.google.com/spreadsheets/d/1Kvs4KS76FHFqLFIZfrDMff4kP08nblUkihrxltoGBjg/edit#gid=934712705"",""ESENCIAL!A6:BG""),8,FALSE))"),"")</f>
        <v/>
      </c>
      <c r="L653" s="287"/>
      <c r="V653" s="66"/>
    </row>
    <row r="654" spans="1:22" ht="15">
      <c r="A654" s="5"/>
      <c r="B654" s="4"/>
      <c r="F654" s="66"/>
      <c r="G654" s="5" t="str">
        <f ca="1">IFERROR(__xludf.DUMMYFUNCTION("IFERROR(VLOOKUP(F692,IMPORTRANGE(""https://docs.google.com/spreadsheets/d/1Kvs4KS76FHFqLFIZfrDMff4kP08nblUkihrxltoGBjg/edit#gid=934712705"",""ESENCIAL!A6:BG""),3,FALSE))"),"")</f>
        <v/>
      </c>
      <c r="H654" s="5" t="str">
        <f ca="1">IFERROR(__xludf.DUMMYFUNCTION("IFERROR(VLOOKUP(F692,IMPORTRANGE(""https://docs.google.com/spreadsheets/d/1Kvs4KS76FHFqLFIZfrDMff4kP08nblUkihrxltoGBjg/edit#gid=934712705"",""ESENCIAL!A6:BG""),8,FALSE))"),"")</f>
        <v/>
      </c>
      <c r="L654" s="287"/>
      <c r="V654" s="66"/>
    </row>
    <row r="655" spans="1:22" ht="15">
      <c r="A655" s="5"/>
      <c r="B655" s="4"/>
      <c r="F655" s="66"/>
      <c r="G655" s="5" t="str">
        <f ca="1">IFERROR(__xludf.DUMMYFUNCTION("IFERROR(VLOOKUP(F693,IMPORTRANGE(""https://docs.google.com/spreadsheets/d/1Kvs4KS76FHFqLFIZfrDMff4kP08nblUkihrxltoGBjg/edit#gid=934712705"",""ESENCIAL!A6:BG""),3,FALSE))"),"")</f>
        <v/>
      </c>
      <c r="H655" s="5" t="str">
        <f ca="1">IFERROR(__xludf.DUMMYFUNCTION("IFERROR(VLOOKUP(F693,IMPORTRANGE(""https://docs.google.com/spreadsheets/d/1Kvs4KS76FHFqLFIZfrDMff4kP08nblUkihrxltoGBjg/edit#gid=934712705"",""ESENCIAL!A6:BG""),8,FALSE))"),"")</f>
        <v/>
      </c>
      <c r="L655" s="287"/>
      <c r="V655" s="66"/>
    </row>
    <row r="656" spans="1:22" ht="15">
      <c r="A656" s="5"/>
      <c r="B656" s="4"/>
      <c r="F656" s="66"/>
      <c r="G656" s="5" t="str">
        <f ca="1">IFERROR(__xludf.DUMMYFUNCTION("IFERROR(VLOOKUP(F694,IMPORTRANGE(""https://docs.google.com/spreadsheets/d/1Kvs4KS76FHFqLFIZfrDMff4kP08nblUkihrxltoGBjg/edit#gid=934712705"",""ESENCIAL!A6:BG""),3,FALSE))"),"")</f>
        <v/>
      </c>
      <c r="H656" s="5" t="str">
        <f ca="1">IFERROR(__xludf.DUMMYFUNCTION("IFERROR(VLOOKUP(F694,IMPORTRANGE(""https://docs.google.com/spreadsheets/d/1Kvs4KS76FHFqLFIZfrDMff4kP08nblUkihrxltoGBjg/edit#gid=934712705"",""ESENCIAL!A6:BG""),8,FALSE))"),"")</f>
        <v/>
      </c>
      <c r="L656" s="287"/>
      <c r="V656" s="66"/>
    </row>
    <row r="657" spans="1:22" ht="15">
      <c r="A657" s="5"/>
      <c r="B657" s="4"/>
      <c r="F657" s="66"/>
      <c r="G657" s="5" t="str">
        <f ca="1">IFERROR(__xludf.DUMMYFUNCTION("IFERROR(VLOOKUP(F695,IMPORTRANGE(""https://docs.google.com/spreadsheets/d/1Kvs4KS76FHFqLFIZfrDMff4kP08nblUkihrxltoGBjg/edit#gid=934712705"",""ESENCIAL!A6:BG""),3,FALSE))"),"")</f>
        <v/>
      </c>
      <c r="H657" s="5" t="str">
        <f ca="1">IFERROR(__xludf.DUMMYFUNCTION("IFERROR(VLOOKUP(F695,IMPORTRANGE(""https://docs.google.com/spreadsheets/d/1Kvs4KS76FHFqLFIZfrDMff4kP08nblUkihrxltoGBjg/edit#gid=934712705"",""ESENCIAL!A6:BG""),8,FALSE))"),"")</f>
        <v/>
      </c>
      <c r="L657" s="287"/>
      <c r="V657" s="66"/>
    </row>
    <row r="658" spans="1:22" ht="15">
      <c r="A658" s="5"/>
      <c r="B658" s="4"/>
      <c r="F658" s="66"/>
      <c r="G658" s="5" t="str">
        <f ca="1">IFERROR(__xludf.DUMMYFUNCTION("IFERROR(VLOOKUP(F696,IMPORTRANGE(""https://docs.google.com/spreadsheets/d/1Kvs4KS76FHFqLFIZfrDMff4kP08nblUkihrxltoGBjg/edit#gid=934712705"",""ESENCIAL!A6:BG""),3,FALSE))"),"")</f>
        <v/>
      </c>
      <c r="H658" s="5" t="str">
        <f ca="1">IFERROR(__xludf.DUMMYFUNCTION("IFERROR(VLOOKUP(F696,IMPORTRANGE(""https://docs.google.com/spreadsheets/d/1Kvs4KS76FHFqLFIZfrDMff4kP08nblUkihrxltoGBjg/edit#gid=934712705"",""ESENCIAL!A6:BG""),8,FALSE))"),"")</f>
        <v/>
      </c>
      <c r="L658" s="287"/>
      <c r="V658" s="66"/>
    </row>
    <row r="659" spans="1:22" ht="15">
      <c r="A659" s="5"/>
      <c r="B659" s="4"/>
      <c r="F659" s="66"/>
      <c r="G659" s="5" t="str">
        <f ca="1">IFERROR(__xludf.DUMMYFUNCTION("IFERROR(VLOOKUP(F697,IMPORTRANGE(""https://docs.google.com/spreadsheets/d/1Kvs4KS76FHFqLFIZfrDMff4kP08nblUkihrxltoGBjg/edit#gid=934712705"",""ESENCIAL!A6:BG""),3,FALSE))"),"")</f>
        <v/>
      </c>
      <c r="H659" s="5" t="str">
        <f ca="1">IFERROR(__xludf.DUMMYFUNCTION("IFERROR(VLOOKUP(F697,IMPORTRANGE(""https://docs.google.com/spreadsheets/d/1Kvs4KS76FHFqLFIZfrDMff4kP08nblUkihrxltoGBjg/edit#gid=934712705"",""ESENCIAL!A6:BG""),8,FALSE))"),"")</f>
        <v/>
      </c>
      <c r="L659" s="287"/>
      <c r="V659" s="66"/>
    </row>
    <row r="660" spans="1:22" ht="15">
      <c r="A660" s="5"/>
      <c r="B660" s="4"/>
      <c r="F660" s="66"/>
      <c r="G660" s="5" t="str">
        <f ca="1">IFERROR(__xludf.DUMMYFUNCTION("IFERROR(VLOOKUP(F698,IMPORTRANGE(""https://docs.google.com/spreadsheets/d/1Kvs4KS76FHFqLFIZfrDMff4kP08nblUkihrxltoGBjg/edit#gid=934712705"",""ESENCIAL!A6:BG""),3,FALSE))"),"")</f>
        <v/>
      </c>
      <c r="H660" s="5" t="str">
        <f ca="1">IFERROR(__xludf.DUMMYFUNCTION("IFERROR(VLOOKUP(F698,IMPORTRANGE(""https://docs.google.com/spreadsheets/d/1Kvs4KS76FHFqLFIZfrDMff4kP08nblUkihrxltoGBjg/edit#gid=934712705"",""ESENCIAL!A6:BG""),8,FALSE))"),"")</f>
        <v/>
      </c>
      <c r="L660" s="287"/>
      <c r="V660" s="66"/>
    </row>
    <row r="661" spans="1:22" ht="15">
      <c r="A661" s="5"/>
      <c r="B661" s="4"/>
      <c r="F661" s="66"/>
      <c r="G661" s="5" t="str">
        <f ca="1">IFERROR(__xludf.DUMMYFUNCTION("IFERROR(VLOOKUP(F699,IMPORTRANGE(""https://docs.google.com/spreadsheets/d/1Kvs4KS76FHFqLFIZfrDMff4kP08nblUkihrxltoGBjg/edit#gid=934712705"",""ESENCIAL!A6:BG""),3,FALSE))"),"")</f>
        <v/>
      </c>
      <c r="H661" s="5" t="str">
        <f ca="1">IFERROR(__xludf.DUMMYFUNCTION("IFERROR(VLOOKUP(F699,IMPORTRANGE(""https://docs.google.com/spreadsheets/d/1Kvs4KS76FHFqLFIZfrDMff4kP08nblUkihrxltoGBjg/edit#gid=934712705"",""ESENCIAL!A6:BG""),8,FALSE))"),"")</f>
        <v/>
      </c>
      <c r="L661" s="287"/>
      <c r="V661" s="66"/>
    </row>
    <row r="662" spans="1:22" ht="15">
      <c r="A662" s="5"/>
      <c r="B662" s="4"/>
      <c r="F662" s="66"/>
      <c r="G662" s="5" t="str">
        <f ca="1">IFERROR(__xludf.DUMMYFUNCTION("IFERROR(VLOOKUP(F700,IMPORTRANGE(""https://docs.google.com/spreadsheets/d/1Kvs4KS76FHFqLFIZfrDMff4kP08nblUkihrxltoGBjg/edit#gid=934712705"",""ESENCIAL!A6:BG""),3,FALSE))"),"")</f>
        <v/>
      </c>
      <c r="H662" s="5" t="str">
        <f ca="1">IFERROR(__xludf.DUMMYFUNCTION("IFERROR(VLOOKUP(F700,IMPORTRANGE(""https://docs.google.com/spreadsheets/d/1Kvs4KS76FHFqLFIZfrDMff4kP08nblUkihrxltoGBjg/edit#gid=934712705"",""ESENCIAL!A6:BG""),8,FALSE))"),"")</f>
        <v/>
      </c>
      <c r="L662" s="287"/>
      <c r="V662" s="66"/>
    </row>
    <row r="663" spans="1:22" ht="15">
      <c r="A663" s="5"/>
      <c r="B663" s="4"/>
      <c r="F663" s="66"/>
      <c r="G663" s="5" t="str">
        <f ca="1">IFERROR(__xludf.DUMMYFUNCTION("IFERROR(VLOOKUP(F701,IMPORTRANGE(""https://docs.google.com/spreadsheets/d/1Kvs4KS76FHFqLFIZfrDMff4kP08nblUkihrxltoGBjg/edit#gid=934712705"",""ESENCIAL!A6:BG""),3,FALSE))"),"")</f>
        <v/>
      </c>
      <c r="H663" s="5" t="str">
        <f ca="1">IFERROR(__xludf.DUMMYFUNCTION("IFERROR(VLOOKUP(F701,IMPORTRANGE(""https://docs.google.com/spreadsheets/d/1Kvs4KS76FHFqLFIZfrDMff4kP08nblUkihrxltoGBjg/edit#gid=934712705"",""ESENCIAL!A6:BG""),8,FALSE))"),"")</f>
        <v/>
      </c>
      <c r="L663" s="287"/>
      <c r="V663" s="66"/>
    </row>
    <row r="664" spans="1:22" ht="15">
      <c r="A664" s="5"/>
      <c r="B664" s="4"/>
      <c r="F664" s="66"/>
      <c r="G664" s="5" t="str">
        <f ca="1">IFERROR(__xludf.DUMMYFUNCTION("IFERROR(VLOOKUP(F702,IMPORTRANGE(""https://docs.google.com/spreadsheets/d/1Kvs4KS76FHFqLFIZfrDMff4kP08nblUkihrxltoGBjg/edit#gid=934712705"",""ESENCIAL!A6:BG""),3,FALSE))"),"")</f>
        <v/>
      </c>
      <c r="H664" s="5" t="str">
        <f ca="1">IFERROR(__xludf.DUMMYFUNCTION("IFERROR(VLOOKUP(F702,IMPORTRANGE(""https://docs.google.com/spreadsheets/d/1Kvs4KS76FHFqLFIZfrDMff4kP08nblUkihrxltoGBjg/edit#gid=934712705"",""ESENCIAL!A6:BG""),8,FALSE))"),"")</f>
        <v/>
      </c>
      <c r="L664" s="287"/>
      <c r="V664" s="66"/>
    </row>
    <row r="665" spans="1:22" ht="15">
      <c r="A665" s="5"/>
      <c r="B665" s="4"/>
      <c r="F665" s="66"/>
      <c r="G665" s="5" t="str">
        <f ca="1">IFERROR(__xludf.DUMMYFUNCTION("IFERROR(VLOOKUP(F703,IMPORTRANGE(""https://docs.google.com/spreadsheets/d/1Kvs4KS76FHFqLFIZfrDMff4kP08nblUkihrxltoGBjg/edit#gid=934712705"",""ESENCIAL!A6:BG""),3,FALSE))"),"")</f>
        <v/>
      </c>
      <c r="H665" s="5" t="str">
        <f ca="1">IFERROR(__xludf.DUMMYFUNCTION("IFERROR(VLOOKUP(F703,IMPORTRANGE(""https://docs.google.com/spreadsheets/d/1Kvs4KS76FHFqLFIZfrDMff4kP08nblUkihrxltoGBjg/edit#gid=934712705"",""ESENCIAL!A6:BG""),8,FALSE))"),"")</f>
        <v/>
      </c>
      <c r="L665" s="287"/>
      <c r="V665" s="66"/>
    </row>
    <row r="666" spans="1:22" ht="15">
      <c r="A666" s="5"/>
      <c r="B666" s="4"/>
      <c r="F666" s="66"/>
      <c r="G666" s="5" t="str">
        <f ca="1">IFERROR(__xludf.DUMMYFUNCTION("IFERROR(VLOOKUP(F704,IMPORTRANGE(""https://docs.google.com/spreadsheets/d/1Kvs4KS76FHFqLFIZfrDMff4kP08nblUkihrxltoGBjg/edit#gid=934712705"",""ESENCIAL!A6:BG""),3,FALSE))"),"")</f>
        <v/>
      </c>
      <c r="H666" s="5" t="str">
        <f ca="1">IFERROR(__xludf.DUMMYFUNCTION("IFERROR(VLOOKUP(F704,IMPORTRANGE(""https://docs.google.com/spreadsheets/d/1Kvs4KS76FHFqLFIZfrDMff4kP08nblUkihrxltoGBjg/edit#gid=934712705"",""ESENCIAL!A6:BG""),8,FALSE))"),"")</f>
        <v/>
      </c>
      <c r="L666" s="287"/>
      <c r="V666" s="66"/>
    </row>
    <row r="667" spans="1:22" ht="15">
      <c r="A667" s="5"/>
      <c r="B667" s="4"/>
      <c r="F667" s="66"/>
      <c r="G667" s="5" t="str">
        <f ca="1">IFERROR(__xludf.DUMMYFUNCTION("IFERROR(VLOOKUP(F705,IMPORTRANGE(""https://docs.google.com/spreadsheets/d/1Kvs4KS76FHFqLFIZfrDMff4kP08nblUkihrxltoGBjg/edit#gid=934712705"",""ESENCIAL!A6:BG""),3,FALSE))"),"")</f>
        <v/>
      </c>
      <c r="H667" s="5" t="str">
        <f ca="1">IFERROR(__xludf.DUMMYFUNCTION("IFERROR(VLOOKUP(F705,IMPORTRANGE(""https://docs.google.com/spreadsheets/d/1Kvs4KS76FHFqLFIZfrDMff4kP08nblUkihrxltoGBjg/edit#gid=934712705"",""ESENCIAL!A6:BG""),8,FALSE))"),"")</f>
        <v/>
      </c>
      <c r="L667" s="287"/>
      <c r="V667" s="66"/>
    </row>
    <row r="668" spans="1:22" ht="15">
      <c r="A668" s="5"/>
      <c r="B668" s="4"/>
      <c r="F668" s="66"/>
      <c r="G668" s="5" t="str">
        <f ca="1">IFERROR(__xludf.DUMMYFUNCTION("IFERROR(VLOOKUP(F706,IMPORTRANGE(""https://docs.google.com/spreadsheets/d/1Kvs4KS76FHFqLFIZfrDMff4kP08nblUkihrxltoGBjg/edit#gid=934712705"",""ESENCIAL!A6:BG""),3,FALSE))"),"")</f>
        <v/>
      </c>
      <c r="H668" s="5" t="str">
        <f ca="1">IFERROR(__xludf.DUMMYFUNCTION("IFERROR(VLOOKUP(F706,IMPORTRANGE(""https://docs.google.com/spreadsheets/d/1Kvs4KS76FHFqLFIZfrDMff4kP08nblUkihrxltoGBjg/edit#gid=934712705"",""ESENCIAL!A6:BG""),8,FALSE))"),"")</f>
        <v/>
      </c>
      <c r="L668" s="287"/>
      <c r="V668" s="66"/>
    </row>
    <row r="669" spans="1:22" ht="15">
      <c r="A669" s="5"/>
      <c r="B669" s="4"/>
      <c r="F669" s="66"/>
      <c r="G669" s="5" t="str">
        <f ca="1">IFERROR(__xludf.DUMMYFUNCTION("IFERROR(VLOOKUP(F707,IMPORTRANGE(""https://docs.google.com/spreadsheets/d/1Kvs4KS76FHFqLFIZfrDMff4kP08nblUkihrxltoGBjg/edit#gid=934712705"",""ESENCIAL!A6:BG""),3,FALSE))"),"")</f>
        <v/>
      </c>
      <c r="H669" s="5" t="str">
        <f ca="1">IFERROR(__xludf.DUMMYFUNCTION("IFERROR(VLOOKUP(F707,IMPORTRANGE(""https://docs.google.com/spreadsheets/d/1Kvs4KS76FHFqLFIZfrDMff4kP08nblUkihrxltoGBjg/edit#gid=934712705"",""ESENCIAL!A6:BG""),8,FALSE))"),"")</f>
        <v/>
      </c>
      <c r="L669" s="287"/>
      <c r="V669" s="66"/>
    </row>
    <row r="670" spans="1:22" ht="15">
      <c r="A670" s="5"/>
      <c r="B670" s="4"/>
      <c r="F670" s="66"/>
      <c r="G670" s="5" t="str">
        <f ca="1">IFERROR(__xludf.DUMMYFUNCTION("IFERROR(VLOOKUP(F708,IMPORTRANGE(""https://docs.google.com/spreadsheets/d/1Kvs4KS76FHFqLFIZfrDMff4kP08nblUkihrxltoGBjg/edit#gid=934712705"",""ESENCIAL!A6:BG""),3,FALSE))"),"")</f>
        <v/>
      </c>
      <c r="H670" s="5" t="str">
        <f ca="1">IFERROR(__xludf.DUMMYFUNCTION("IFERROR(VLOOKUP(F708,IMPORTRANGE(""https://docs.google.com/spreadsheets/d/1Kvs4KS76FHFqLFIZfrDMff4kP08nblUkihrxltoGBjg/edit#gid=934712705"",""ESENCIAL!A6:BG""),8,FALSE))"),"")</f>
        <v/>
      </c>
      <c r="L670" s="287"/>
      <c r="V670" s="66"/>
    </row>
    <row r="671" spans="1:22" ht="15">
      <c r="A671" s="5"/>
      <c r="B671" s="4"/>
      <c r="F671" s="66"/>
      <c r="G671" s="5" t="str">
        <f ca="1">IFERROR(__xludf.DUMMYFUNCTION("IFERROR(VLOOKUP(F709,IMPORTRANGE(""https://docs.google.com/spreadsheets/d/1Kvs4KS76FHFqLFIZfrDMff4kP08nblUkihrxltoGBjg/edit#gid=934712705"",""ESENCIAL!A6:BG""),3,FALSE))"),"")</f>
        <v/>
      </c>
      <c r="H671" s="5" t="str">
        <f ca="1">IFERROR(__xludf.DUMMYFUNCTION("IFERROR(VLOOKUP(F709,IMPORTRANGE(""https://docs.google.com/spreadsheets/d/1Kvs4KS76FHFqLFIZfrDMff4kP08nblUkihrxltoGBjg/edit#gid=934712705"",""ESENCIAL!A6:BG""),8,FALSE))"),"")</f>
        <v/>
      </c>
      <c r="L671" s="287"/>
      <c r="V671" s="66"/>
    </row>
    <row r="672" spans="1:22" ht="15">
      <c r="A672" s="5"/>
      <c r="B672" s="4"/>
      <c r="F672" s="66"/>
      <c r="G672" s="5" t="str">
        <f ca="1">IFERROR(__xludf.DUMMYFUNCTION("IFERROR(VLOOKUP(F710,IMPORTRANGE(""https://docs.google.com/spreadsheets/d/1Kvs4KS76FHFqLFIZfrDMff4kP08nblUkihrxltoGBjg/edit#gid=934712705"",""ESENCIAL!A6:BG""),3,FALSE))"),"")</f>
        <v/>
      </c>
      <c r="H672" s="5" t="str">
        <f ca="1">IFERROR(__xludf.DUMMYFUNCTION("IFERROR(VLOOKUP(F710,IMPORTRANGE(""https://docs.google.com/spreadsheets/d/1Kvs4KS76FHFqLFIZfrDMff4kP08nblUkihrxltoGBjg/edit#gid=934712705"",""ESENCIAL!A6:BG""),8,FALSE))"),"")</f>
        <v/>
      </c>
      <c r="L672" s="287"/>
      <c r="V672" s="66"/>
    </row>
    <row r="673" spans="1:22" ht="15">
      <c r="A673" s="5"/>
      <c r="B673" s="4"/>
      <c r="F673" s="66"/>
      <c r="G673" s="5" t="str">
        <f ca="1">IFERROR(__xludf.DUMMYFUNCTION("IFERROR(VLOOKUP(F711,IMPORTRANGE(""https://docs.google.com/spreadsheets/d/1Kvs4KS76FHFqLFIZfrDMff4kP08nblUkihrxltoGBjg/edit#gid=934712705"",""ESENCIAL!A6:BG""),3,FALSE))"),"")</f>
        <v/>
      </c>
      <c r="H673" s="5" t="str">
        <f ca="1">IFERROR(__xludf.DUMMYFUNCTION("IFERROR(VLOOKUP(F711,IMPORTRANGE(""https://docs.google.com/spreadsheets/d/1Kvs4KS76FHFqLFIZfrDMff4kP08nblUkihrxltoGBjg/edit#gid=934712705"",""ESENCIAL!A6:BG""),8,FALSE))"),"")</f>
        <v/>
      </c>
      <c r="L673" s="287"/>
      <c r="V673" s="66"/>
    </row>
    <row r="674" spans="1:22" ht="15">
      <c r="A674" s="5"/>
      <c r="B674" s="4"/>
      <c r="F674" s="66"/>
      <c r="G674" s="5" t="str">
        <f ca="1">IFERROR(__xludf.DUMMYFUNCTION("IFERROR(VLOOKUP(F712,IMPORTRANGE(""https://docs.google.com/spreadsheets/d/1Kvs4KS76FHFqLFIZfrDMff4kP08nblUkihrxltoGBjg/edit#gid=934712705"",""ESENCIAL!A6:BG""),3,FALSE))"),"")</f>
        <v/>
      </c>
      <c r="H674" s="5" t="str">
        <f ca="1">IFERROR(__xludf.DUMMYFUNCTION("IFERROR(VLOOKUP(F712,IMPORTRANGE(""https://docs.google.com/spreadsheets/d/1Kvs4KS76FHFqLFIZfrDMff4kP08nblUkihrxltoGBjg/edit#gid=934712705"",""ESENCIAL!A6:BG""),8,FALSE))"),"")</f>
        <v/>
      </c>
      <c r="L674" s="287"/>
      <c r="V674" s="66"/>
    </row>
    <row r="675" spans="1:22" ht="15">
      <c r="A675" s="5"/>
      <c r="B675" s="4"/>
      <c r="F675" s="66"/>
      <c r="G675" s="5" t="str">
        <f ca="1">IFERROR(__xludf.DUMMYFUNCTION("IFERROR(VLOOKUP(F713,IMPORTRANGE(""https://docs.google.com/spreadsheets/d/1Kvs4KS76FHFqLFIZfrDMff4kP08nblUkihrxltoGBjg/edit#gid=934712705"",""ESENCIAL!A6:BG""),3,FALSE))"),"")</f>
        <v/>
      </c>
      <c r="H675" s="5" t="str">
        <f ca="1">IFERROR(__xludf.DUMMYFUNCTION("IFERROR(VLOOKUP(F713,IMPORTRANGE(""https://docs.google.com/spreadsheets/d/1Kvs4KS76FHFqLFIZfrDMff4kP08nblUkihrxltoGBjg/edit#gid=934712705"",""ESENCIAL!A6:BG""),8,FALSE))"),"")</f>
        <v/>
      </c>
      <c r="L675" s="287"/>
      <c r="V675" s="66"/>
    </row>
    <row r="676" spans="1:22" ht="15">
      <c r="A676" s="5"/>
      <c r="B676" s="4"/>
      <c r="F676" s="66"/>
      <c r="G676" s="5" t="str">
        <f ca="1">IFERROR(__xludf.DUMMYFUNCTION("IFERROR(VLOOKUP(F714,IMPORTRANGE(""https://docs.google.com/spreadsheets/d/1Kvs4KS76FHFqLFIZfrDMff4kP08nblUkihrxltoGBjg/edit#gid=934712705"",""ESENCIAL!A6:BG""),3,FALSE))"),"")</f>
        <v/>
      </c>
      <c r="H676" s="5" t="str">
        <f ca="1">IFERROR(__xludf.DUMMYFUNCTION("IFERROR(VLOOKUP(F714,IMPORTRANGE(""https://docs.google.com/spreadsheets/d/1Kvs4KS76FHFqLFIZfrDMff4kP08nblUkihrxltoGBjg/edit#gid=934712705"",""ESENCIAL!A6:BG""),8,FALSE))"),"")</f>
        <v/>
      </c>
      <c r="L676" s="287"/>
      <c r="V676" s="66"/>
    </row>
    <row r="677" spans="1:22" ht="15">
      <c r="A677" s="5"/>
      <c r="B677" s="4"/>
      <c r="F677" s="66"/>
      <c r="G677" s="5" t="str">
        <f ca="1">IFERROR(__xludf.DUMMYFUNCTION("IFERROR(VLOOKUP(F715,IMPORTRANGE(""https://docs.google.com/spreadsheets/d/1Kvs4KS76FHFqLFIZfrDMff4kP08nblUkihrxltoGBjg/edit#gid=934712705"",""ESENCIAL!A6:BG""),3,FALSE))"),"")</f>
        <v/>
      </c>
      <c r="H677" s="5" t="str">
        <f ca="1">IFERROR(__xludf.DUMMYFUNCTION("IFERROR(VLOOKUP(F715,IMPORTRANGE(""https://docs.google.com/spreadsheets/d/1Kvs4KS76FHFqLFIZfrDMff4kP08nblUkihrxltoGBjg/edit#gid=934712705"",""ESENCIAL!A6:BG""),8,FALSE))"),"")</f>
        <v/>
      </c>
      <c r="L677" s="287"/>
      <c r="V677" s="66"/>
    </row>
    <row r="678" spans="1:22" ht="15">
      <c r="A678" s="5"/>
      <c r="B678" s="4"/>
      <c r="F678" s="66"/>
      <c r="G678" s="5" t="str">
        <f ca="1">IFERROR(__xludf.DUMMYFUNCTION("IFERROR(VLOOKUP(F716,IMPORTRANGE(""https://docs.google.com/spreadsheets/d/1Kvs4KS76FHFqLFIZfrDMff4kP08nblUkihrxltoGBjg/edit#gid=934712705"",""ESENCIAL!A6:BG""),3,FALSE))"),"")</f>
        <v/>
      </c>
      <c r="H678" s="5" t="str">
        <f ca="1">IFERROR(__xludf.DUMMYFUNCTION("IFERROR(VLOOKUP(F716,IMPORTRANGE(""https://docs.google.com/spreadsheets/d/1Kvs4KS76FHFqLFIZfrDMff4kP08nblUkihrxltoGBjg/edit#gid=934712705"",""ESENCIAL!A6:BG""),8,FALSE))"),"")</f>
        <v/>
      </c>
      <c r="L678" s="287"/>
      <c r="V678" s="66"/>
    </row>
    <row r="679" spans="1:22" ht="15">
      <c r="A679" s="5"/>
      <c r="B679" s="4"/>
      <c r="F679" s="66"/>
      <c r="G679" s="5" t="str">
        <f ca="1">IFERROR(__xludf.DUMMYFUNCTION("IFERROR(VLOOKUP(F717,IMPORTRANGE(""https://docs.google.com/spreadsheets/d/1Kvs4KS76FHFqLFIZfrDMff4kP08nblUkihrxltoGBjg/edit#gid=934712705"",""ESENCIAL!A6:BG""),3,FALSE))"),"")</f>
        <v/>
      </c>
      <c r="H679" s="5" t="str">
        <f ca="1">IFERROR(__xludf.DUMMYFUNCTION("IFERROR(VLOOKUP(F717,IMPORTRANGE(""https://docs.google.com/spreadsheets/d/1Kvs4KS76FHFqLFIZfrDMff4kP08nblUkihrxltoGBjg/edit#gid=934712705"",""ESENCIAL!A6:BG""),8,FALSE))"),"")</f>
        <v/>
      </c>
      <c r="L679" s="287"/>
      <c r="V679" s="66"/>
    </row>
    <row r="680" spans="1:22" ht="15">
      <c r="A680" s="5"/>
      <c r="B680" s="4"/>
      <c r="F680" s="66"/>
      <c r="G680" s="5" t="str">
        <f ca="1">IFERROR(__xludf.DUMMYFUNCTION("IFERROR(VLOOKUP(F718,IMPORTRANGE(""https://docs.google.com/spreadsheets/d/1Kvs4KS76FHFqLFIZfrDMff4kP08nblUkihrxltoGBjg/edit#gid=934712705"",""ESENCIAL!A6:BG""),3,FALSE))"),"")</f>
        <v/>
      </c>
      <c r="H680" s="5" t="str">
        <f ca="1">IFERROR(__xludf.DUMMYFUNCTION("IFERROR(VLOOKUP(F718,IMPORTRANGE(""https://docs.google.com/spreadsheets/d/1Kvs4KS76FHFqLFIZfrDMff4kP08nblUkihrxltoGBjg/edit#gid=934712705"",""ESENCIAL!A6:BG""),8,FALSE))"),"")</f>
        <v/>
      </c>
      <c r="L680" s="287"/>
      <c r="V680" s="66"/>
    </row>
    <row r="681" spans="1:22" ht="15">
      <c r="A681" s="5"/>
      <c r="B681" s="4"/>
      <c r="F681" s="66"/>
      <c r="G681" s="5" t="str">
        <f ca="1">IFERROR(__xludf.DUMMYFUNCTION("IFERROR(VLOOKUP(F719,IMPORTRANGE(""https://docs.google.com/spreadsheets/d/1Kvs4KS76FHFqLFIZfrDMff4kP08nblUkihrxltoGBjg/edit#gid=934712705"",""ESENCIAL!A6:BG""),3,FALSE))"),"")</f>
        <v/>
      </c>
      <c r="H681" s="5" t="str">
        <f ca="1">IFERROR(__xludf.DUMMYFUNCTION("IFERROR(VLOOKUP(F719,IMPORTRANGE(""https://docs.google.com/spreadsheets/d/1Kvs4KS76FHFqLFIZfrDMff4kP08nblUkihrxltoGBjg/edit#gid=934712705"",""ESENCIAL!A6:BG""),8,FALSE))"),"")</f>
        <v/>
      </c>
      <c r="L681" s="287"/>
      <c r="V681" s="66"/>
    </row>
    <row r="682" spans="1:22" ht="15">
      <c r="A682" s="5"/>
      <c r="B682" s="4"/>
      <c r="F682" s="66"/>
      <c r="G682" s="5" t="str">
        <f ca="1">IFERROR(__xludf.DUMMYFUNCTION("IFERROR(VLOOKUP(F720,IMPORTRANGE(""https://docs.google.com/spreadsheets/d/1Kvs4KS76FHFqLFIZfrDMff4kP08nblUkihrxltoGBjg/edit#gid=934712705"",""ESENCIAL!A6:BG""),3,FALSE))"),"")</f>
        <v/>
      </c>
      <c r="H682" s="5" t="str">
        <f ca="1">IFERROR(__xludf.DUMMYFUNCTION("IFERROR(VLOOKUP(F720,IMPORTRANGE(""https://docs.google.com/spreadsheets/d/1Kvs4KS76FHFqLFIZfrDMff4kP08nblUkihrxltoGBjg/edit#gid=934712705"",""ESENCIAL!A6:BG""),8,FALSE))"),"")</f>
        <v/>
      </c>
      <c r="L682" s="287"/>
      <c r="V682" s="66"/>
    </row>
    <row r="683" spans="1:22" ht="15">
      <c r="A683" s="5"/>
      <c r="B683" s="4"/>
      <c r="F683" s="66"/>
      <c r="G683" s="5" t="str">
        <f ca="1">IFERROR(__xludf.DUMMYFUNCTION("IFERROR(VLOOKUP(F721,IMPORTRANGE(""https://docs.google.com/spreadsheets/d/1Kvs4KS76FHFqLFIZfrDMff4kP08nblUkihrxltoGBjg/edit#gid=934712705"",""ESENCIAL!A6:BG""),3,FALSE))"),"")</f>
        <v/>
      </c>
      <c r="H683" s="5" t="str">
        <f ca="1">IFERROR(__xludf.DUMMYFUNCTION("IFERROR(VLOOKUP(F721,IMPORTRANGE(""https://docs.google.com/spreadsheets/d/1Kvs4KS76FHFqLFIZfrDMff4kP08nblUkihrxltoGBjg/edit#gid=934712705"",""ESENCIAL!A6:BG""),8,FALSE))"),"")</f>
        <v/>
      </c>
      <c r="L683" s="287"/>
      <c r="V683" s="66"/>
    </row>
    <row r="684" spans="1:22" ht="15">
      <c r="A684" s="5"/>
      <c r="B684" s="4"/>
      <c r="F684" s="66"/>
      <c r="G684" s="5" t="str">
        <f ca="1">IFERROR(__xludf.DUMMYFUNCTION("IFERROR(VLOOKUP(F722,IMPORTRANGE(""https://docs.google.com/spreadsheets/d/1Kvs4KS76FHFqLFIZfrDMff4kP08nblUkihrxltoGBjg/edit#gid=934712705"",""ESENCIAL!A6:BG""),3,FALSE))"),"")</f>
        <v/>
      </c>
      <c r="H684" s="5" t="str">
        <f ca="1">IFERROR(__xludf.DUMMYFUNCTION("IFERROR(VLOOKUP(F722,IMPORTRANGE(""https://docs.google.com/spreadsheets/d/1Kvs4KS76FHFqLFIZfrDMff4kP08nblUkihrxltoGBjg/edit#gid=934712705"",""ESENCIAL!A6:BG""),8,FALSE))"),"")</f>
        <v/>
      </c>
      <c r="L684" s="287"/>
      <c r="V684" s="66"/>
    </row>
    <row r="685" spans="1:22" ht="15">
      <c r="A685" s="5"/>
      <c r="B685" s="4"/>
      <c r="F685" s="66"/>
      <c r="G685" s="5" t="str">
        <f ca="1">IFERROR(__xludf.DUMMYFUNCTION("IFERROR(VLOOKUP(F723,IMPORTRANGE(""https://docs.google.com/spreadsheets/d/1Kvs4KS76FHFqLFIZfrDMff4kP08nblUkihrxltoGBjg/edit#gid=934712705"",""ESENCIAL!A6:BG""),3,FALSE))"),"")</f>
        <v/>
      </c>
      <c r="H685" s="5" t="str">
        <f ca="1">IFERROR(__xludf.DUMMYFUNCTION("IFERROR(VLOOKUP(F723,IMPORTRANGE(""https://docs.google.com/spreadsheets/d/1Kvs4KS76FHFqLFIZfrDMff4kP08nblUkihrxltoGBjg/edit#gid=934712705"",""ESENCIAL!A6:BG""),8,FALSE))"),"")</f>
        <v/>
      </c>
      <c r="L685" s="287"/>
      <c r="V685" s="66"/>
    </row>
    <row r="686" spans="1:22" ht="15">
      <c r="A686" s="5"/>
      <c r="B686" s="4"/>
      <c r="F686" s="66"/>
      <c r="G686" s="5" t="str">
        <f ca="1">IFERROR(__xludf.DUMMYFUNCTION("IFERROR(VLOOKUP(F724,IMPORTRANGE(""https://docs.google.com/spreadsheets/d/1Kvs4KS76FHFqLFIZfrDMff4kP08nblUkihrxltoGBjg/edit#gid=934712705"",""ESENCIAL!A6:BG""),3,FALSE))"),"")</f>
        <v/>
      </c>
      <c r="H686" s="5" t="str">
        <f ca="1">IFERROR(__xludf.DUMMYFUNCTION("IFERROR(VLOOKUP(F724,IMPORTRANGE(""https://docs.google.com/spreadsheets/d/1Kvs4KS76FHFqLFIZfrDMff4kP08nblUkihrxltoGBjg/edit#gid=934712705"",""ESENCIAL!A6:BG""),8,FALSE))"),"")</f>
        <v/>
      </c>
      <c r="L686" s="287"/>
      <c r="V686" s="66"/>
    </row>
    <row r="687" spans="1:22" ht="15">
      <c r="A687" s="5"/>
      <c r="B687" s="4"/>
      <c r="F687" s="66"/>
      <c r="G687" s="5" t="str">
        <f ca="1">IFERROR(__xludf.DUMMYFUNCTION("IFERROR(VLOOKUP(F725,IMPORTRANGE(""https://docs.google.com/spreadsheets/d/1Kvs4KS76FHFqLFIZfrDMff4kP08nblUkihrxltoGBjg/edit#gid=934712705"",""ESENCIAL!A6:BG""),3,FALSE))"),"")</f>
        <v/>
      </c>
      <c r="H687" s="5" t="str">
        <f ca="1">IFERROR(__xludf.DUMMYFUNCTION("IFERROR(VLOOKUP(F725,IMPORTRANGE(""https://docs.google.com/spreadsheets/d/1Kvs4KS76FHFqLFIZfrDMff4kP08nblUkihrxltoGBjg/edit#gid=934712705"",""ESENCIAL!A6:BG""),8,FALSE))"),"")</f>
        <v/>
      </c>
      <c r="L687" s="287"/>
      <c r="V687" s="66"/>
    </row>
    <row r="688" spans="1:22" ht="15">
      <c r="A688" s="5"/>
      <c r="B688" s="4"/>
      <c r="F688" s="66"/>
      <c r="G688" s="5" t="str">
        <f ca="1">IFERROR(__xludf.DUMMYFUNCTION("IFERROR(VLOOKUP(F726,IMPORTRANGE(""https://docs.google.com/spreadsheets/d/1Kvs4KS76FHFqLFIZfrDMff4kP08nblUkihrxltoGBjg/edit#gid=934712705"",""ESENCIAL!A6:BG""),3,FALSE))"),"")</f>
        <v/>
      </c>
      <c r="H688" s="5" t="str">
        <f ca="1">IFERROR(__xludf.DUMMYFUNCTION("IFERROR(VLOOKUP(F726,IMPORTRANGE(""https://docs.google.com/spreadsheets/d/1Kvs4KS76FHFqLFIZfrDMff4kP08nblUkihrxltoGBjg/edit#gid=934712705"",""ESENCIAL!A6:BG""),8,FALSE))"),"")</f>
        <v/>
      </c>
      <c r="L688" s="287"/>
      <c r="V688" s="66"/>
    </row>
    <row r="689" spans="1:22" ht="15">
      <c r="A689" s="5"/>
      <c r="B689" s="4"/>
      <c r="F689" s="66"/>
      <c r="G689" s="5" t="str">
        <f ca="1">IFERROR(__xludf.DUMMYFUNCTION("IFERROR(VLOOKUP(F727,IMPORTRANGE(""https://docs.google.com/spreadsheets/d/1Kvs4KS76FHFqLFIZfrDMff4kP08nblUkihrxltoGBjg/edit#gid=934712705"",""ESENCIAL!A6:BG""),3,FALSE))"),"")</f>
        <v/>
      </c>
      <c r="H689" s="5" t="str">
        <f ca="1">IFERROR(__xludf.DUMMYFUNCTION("IFERROR(VLOOKUP(F727,IMPORTRANGE(""https://docs.google.com/spreadsheets/d/1Kvs4KS76FHFqLFIZfrDMff4kP08nblUkihrxltoGBjg/edit#gid=934712705"",""ESENCIAL!A6:BG""),8,FALSE))"),"")</f>
        <v/>
      </c>
      <c r="L689" s="287"/>
      <c r="V689" s="66"/>
    </row>
    <row r="690" spans="1:22" ht="15">
      <c r="A690" s="5"/>
      <c r="B690" s="4"/>
      <c r="F690" s="66"/>
      <c r="G690" s="5" t="str">
        <f ca="1">IFERROR(__xludf.DUMMYFUNCTION("IFERROR(VLOOKUP(F728,IMPORTRANGE(""https://docs.google.com/spreadsheets/d/1Kvs4KS76FHFqLFIZfrDMff4kP08nblUkihrxltoGBjg/edit#gid=934712705"",""ESENCIAL!A6:BG""),3,FALSE))"),"")</f>
        <v/>
      </c>
      <c r="H690" s="5" t="str">
        <f ca="1">IFERROR(__xludf.DUMMYFUNCTION("IFERROR(VLOOKUP(F728,IMPORTRANGE(""https://docs.google.com/spreadsheets/d/1Kvs4KS76FHFqLFIZfrDMff4kP08nblUkihrxltoGBjg/edit#gid=934712705"",""ESENCIAL!A6:BG""),8,FALSE))"),"")</f>
        <v/>
      </c>
      <c r="L690" s="287"/>
      <c r="V690" s="66"/>
    </row>
    <row r="691" spans="1:22" ht="15">
      <c r="A691" s="5"/>
      <c r="B691" s="4"/>
      <c r="F691" s="66"/>
      <c r="G691" s="5" t="str">
        <f ca="1">IFERROR(__xludf.DUMMYFUNCTION("IFERROR(VLOOKUP(F729,IMPORTRANGE(""https://docs.google.com/spreadsheets/d/1Kvs4KS76FHFqLFIZfrDMff4kP08nblUkihrxltoGBjg/edit#gid=934712705"",""ESENCIAL!A6:BG""),3,FALSE))"),"")</f>
        <v/>
      </c>
      <c r="H691" s="5" t="str">
        <f ca="1">IFERROR(__xludf.DUMMYFUNCTION("IFERROR(VLOOKUP(F729,IMPORTRANGE(""https://docs.google.com/spreadsheets/d/1Kvs4KS76FHFqLFIZfrDMff4kP08nblUkihrxltoGBjg/edit#gid=934712705"",""ESENCIAL!A6:BG""),8,FALSE))"),"")</f>
        <v/>
      </c>
      <c r="L691" s="287"/>
      <c r="V691" s="66"/>
    </row>
    <row r="692" spans="1:22" ht="15">
      <c r="A692" s="5"/>
      <c r="B692" s="4"/>
      <c r="F692" s="66"/>
      <c r="G692" s="5" t="str">
        <f ca="1">IFERROR(__xludf.DUMMYFUNCTION("IFERROR(VLOOKUP(F730,IMPORTRANGE(""https://docs.google.com/spreadsheets/d/1Kvs4KS76FHFqLFIZfrDMff4kP08nblUkihrxltoGBjg/edit#gid=934712705"",""ESENCIAL!A6:BG""),3,FALSE))"),"")</f>
        <v/>
      </c>
      <c r="H692" s="5" t="str">
        <f ca="1">IFERROR(__xludf.DUMMYFUNCTION("IFERROR(VLOOKUP(F730,IMPORTRANGE(""https://docs.google.com/spreadsheets/d/1Kvs4KS76FHFqLFIZfrDMff4kP08nblUkihrxltoGBjg/edit#gid=934712705"",""ESENCIAL!A6:BG""),8,FALSE))"),"")</f>
        <v/>
      </c>
      <c r="L692" s="287"/>
      <c r="V692" s="66"/>
    </row>
    <row r="693" spans="1:22" ht="15">
      <c r="A693" s="5"/>
      <c r="B693" s="4"/>
      <c r="F693" s="66"/>
      <c r="G693" s="5" t="str">
        <f ca="1">IFERROR(__xludf.DUMMYFUNCTION("IFERROR(VLOOKUP(F731,IMPORTRANGE(""https://docs.google.com/spreadsheets/d/1Kvs4KS76FHFqLFIZfrDMff4kP08nblUkihrxltoGBjg/edit#gid=934712705"",""ESENCIAL!A6:BG""),3,FALSE))"),"")</f>
        <v/>
      </c>
      <c r="H693" s="5" t="str">
        <f ca="1">IFERROR(__xludf.DUMMYFUNCTION("IFERROR(VLOOKUP(F731,IMPORTRANGE(""https://docs.google.com/spreadsheets/d/1Kvs4KS76FHFqLFIZfrDMff4kP08nblUkihrxltoGBjg/edit#gid=934712705"",""ESENCIAL!A6:BG""),8,FALSE))"),"")</f>
        <v/>
      </c>
      <c r="L693" s="287"/>
      <c r="V693" s="66"/>
    </row>
    <row r="694" spans="1:22" ht="15">
      <c r="A694" s="5"/>
      <c r="B694" s="4"/>
      <c r="F694" s="66"/>
      <c r="G694" s="5" t="str">
        <f ca="1">IFERROR(__xludf.DUMMYFUNCTION("IFERROR(VLOOKUP(F732,IMPORTRANGE(""https://docs.google.com/spreadsheets/d/1Kvs4KS76FHFqLFIZfrDMff4kP08nblUkihrxltoGBjg/edit#gid=934712705"",""ESENCIAL!A6:BG""),3,FALSE))"),"")</f>
        <v/>
      </c>
      <c r="H694" s="5" t="str">
        <f ca="1">IFERROR(__xludf.DUMMYFUNCTION("IFERROR(VLOOKUP(F732,IMPORTRANGE(""https://docs.google.com/spreadsheets/d/1Kvs4KS76FHFqLFIZfrDMff4kP08nblUkihrxltoGBjg/edit#gid=934712705"",""ESENCIAL!A6:BG""),8,FALSE))"),"")</f>
        <v/>
      </c>
      <c r="L694" s="287"/>
      <c r="V694" s="66"/>
    </row>
    <row r="695" spans="1:22" ht="15">
      <c r="A695" s="5"/>
      <c r="B695" s="4"/>
      <c r="F695" s="66"/>
      <c r="G695" s="5" t="str">
        <f ca="1">IFERROR(__xludf.DUMMYFUNCTION("IFERROR(VLOOKUP(F733,IMPORTRANGE(""https://docs.google.com/spreadsheets/d/1Kvs4KS76FHFqLFIZfrDMff4kP08nblUkihrxltoGBjg/edit#gid=934712705"",""ESENCIAL!A6:BG""),3,FALSE))"),"")</f>
        <v/>
      </c>
      <c r="H695" s="5" t="str">
        <f ca="1">IFERROR(__xludf.DUMMYFUNCTION("IFERROR(VLOOKUP(F733,IMPORTRANGE(""https://docs.google.com/spreadsheets/d/1Kvs4KS76FHFqLFIZfrDMff4kP08nblUkihrxltoGBjg/edit#gid=934712705"",""ESENCIAL!A6:BG""),8,FALSE))"),"")</f>
        <v/>
      </c>
      <c r="L695" s="287"/>
      <c r="V695" s="66"/>
    </row>
    <row r="696" spans="1:22" ht="15">
      <c r="A696" s="5"/>
      <c r="B696" s="4"/>
      <c r="F696" s="66"/>
      <c r="G696" s="5" t="str">
        <f ca="1">IFERROR(__xludf.DUMMYFUNCTION("IFERROR(VLOOKUP(F734,IMPORTRANGE(""https://docs.google.com/spreadsheets/d/1Kvs4KS76FHFqLFIZfrDMff4kP08nblUkihrxltoGBjg/edit#gid=934712705"",""ESENCIAL!A6:BG""),3,FALSE))"),"")</f>
        <v/>
      </c>
      <c r="H696" s="5" t="str">
        <f ca="1">IFERROR(__xludf.DUMMYFUNCTION("IFERROR(VLOOKUP(F734,IMPORTRANGE(""https://docs.google.com/spreadsheets/d/1Kvs4KS76FHFqLFIZfrDMff4kP08nblUkihrxltoGBjg/edit#gid=934712705"",""ESENCIAL!A6:BG""),8,FALSE))"),"")</f>
        <v/>
      </c>
      <c r="L696" s="287"/>
      <c r="V696" s="66"/>
    </row>
    <row r="697" spans="1:22" ht="15">
      <c r="A697" s="5"/>
      <c r="B697" s="4"/>
      <c r="F697" s="66"/>
      <c r="G697" s="5" t="str">
        <f ca="1">IFERROR(__xludf.DUMMYFUNCTION("IFERROR(VLOOKUP(F735,IMPORTRANGE(""https://docs.google.com/spreadsheets/d/1Kvs4KS76FHFqLFIZfrDMff4kP08nblUkihrxltoGBjg/edit#gid=934712705"",""ESENCIAL!A6:BG""),3,FALSE))"),"")</f>
        <v/>
      </c>
      <c r="H697" s="5" t="str">
        <f ca="1">IFERROR(__xludf.DUMMYFUNCTION("IFERROR(VLOOKUP(F735,IMPORTRANGE(""https://docs.google.com/spreadsheets/d/1Kvs4KS76FHFqLFIZfrDMff4kP08nblUkihrxltoGBjg/edit#gid=934712705"",""ESENCIAL!A6:BG""),8,FALSE))"),"")</f>
        <v/>
      </c>
      <c r="L697" s="287"/>
      <c r="V697" s="66"/>
    </row>
    <row r="698" spans="1:22" ht="15">
      <c r="A698" s="5"/>
      <c r="B698" s="4"/>
      <c r="F698" s="66"/>
      <c r="G698" s="5" t="str">
        <f ca="1">IFERROR(__xludf.DUMMYFUNCTION("IFERROR(VLOOKUP(F736,IMPORTRANGE(""https://docs.google.com/spreadsheets/d/1Kvs4KS76FHFqLFIZfrDMff4kP08nblUkihrxltoGBjg/edit#gid=934712705"",""ESENCIAL!A6:BG""),3,FALSE))"),"")</f>
        <v/>
      </c>
      <c r="H698" s="5" t="str">
        <f ca="1">IFERROR(__xludf.DUMMYFUNCTION("IFERROR(VLOOKUP(F736,IMPORTRANGE(""https://docs.google.com/spreadsheets/d/1Kvs4KS76FHFqLFIZfrDMff4kP08nblUkihrxltoGBjg/edit#gid=934712705"",""ESENCIAL!A6:BG""),8,FALSE))"),"")</f>
        <v/>
      </c>
      <c r="L698" s="287"/>
      <c r="V698" s="66"/>
    </row>
    <row r="699" spans="1:22" ht="15">
      <c r="A699" s="5"/>
      <c r="B699" s="4"/>
      <c r="F699" s="66"/>
      <c r="G699" s="5" t="str">
        <f ca="1">IFERROR(__xludf.DUMMYFUNCTION("IFERROR(VLOOKUP(F737,IMPORTRANGE(""https://docs.google.com/spreadsheets/d/1Kvs4KS76FHFqLFIZfrDMff4kP08nblUkihrxltoGBjg/edit#gid=934712705"",""ESENCIAL!A6:BG""),3,FALSE))"),"")</f>
        <v/>
      </c>
      <c r="H699" s="5" t="str">
        <f ca="1">IFERROR(__xludf.DUMMYFUNCTION("IFERROR(VLOOKUP(F737,IMPORTRANGE(""https://docs.google.com/spreadsheets/d/1Kvs4KS76FHFqLFIZfrDMff4kP08nblUkihrxltoGBjg/edit#gid=934712705"",""ESENCIAL!A6:BG""),8,FALSE))"),"")</f>
        <v/>
      </c>
      <c r="L699" s="287"/>
      <c r="V699" s="66"/>
    </row>
    <row r="700" spans="1:22" ht="15">
      <c r="A700" s="5"/>
      <c r="B700" s="4"/>
      <c r="F700" s="66"/>
      <c r="G700" s="5" t="str">
        <f ca="1">IFERROR(__xludf.DUMMYFUNCTION("IFERROR(VLOOKUP(F738,IMPORTRANGE(""https://docs.google.com/spreadsheets/d/1Kvs4KS76FHFqLFIZfrDMff4kP08nblUkihrxltoGBjg/edit#gid=934712705"",""ESENCIAL!A6:BG""),3,FALSE))"),"")</f>
        <v/>
      </c>
      <c r="H700" s="5" t="str">
        <f ca="1">IFERROR(__xludf.DUMMYFUNCTION("IFERROR(VLOOKUP(F738,IMPORTRANGE(""https://docs.google.com/spreadsheets/d/1Kvs4KS76FHFqLFIZfrDMff4kP08nblUkihrxltoGBjg/edit#gid=934712705"",""ESENCIAL!A6:BG""),8,FALSE))"),"")</f>
        <v/>
      </c>
      <c r="L700" s="287"/>
      <c r="V700" s="66"/>
    </row>
    <row r="701" spans="1:22" ht="15">
      <c r="A701" s="5"/>
      <c r="B701" s="4"/>
      <c r="F701" s="66"/>
      <c r="G701" s="5" t="str">
        <f ca="1">IFERROR(__xludf.DUMMYFUNCTION("IFERROR(VLOOKUP(F739,IMPORTRANGE(""https://docs.google.com/spreadsheets/d/1Kvs4KS76FHFqLFIZfrDMff4kP08nblUkihrxltoGBjg/edit#gid=934712705"",""ESENCIAL!A6:BG""),3,FALSE))"),"")</f>
        <v/>
      </c>
      <c r="H701" s="5" t="str">
        <f ca="1">IFERROR(__xludf.DUMMYFUNCTION("IFERROR(VLOOKUP(F739,IMPORTRANGE(""https://docs.google.com/spreadsheets/d/1Kvs4KS76FHFqLFIZfrDMff4kP08nblUkihrxltoGBjg/edit#gid=934712705"",""ESENCIAL!A6:BG""),8,FALSE))"),"")</f>
        <v/>
      </c>
      <c r="L701" s="287"/>
      <c r="V701" s="66"/>
    </row>
    <row r="702" spans="1:22" ht="15">
      <c r="A702" s="5"/>
      <c r="B702" s="4"/>
      <c r="F702" s="66"/>
      <c r="G702" s="5" t="str">
        <f ca="1">IFERROR(__xludf.DUMMYFUNCTION("IFERROR(VLOOKUP(F740,IMPORTRANGE(""https://docs.google.com/spreadsheets/d/1Kvs4KS76FHFqLFIZfrDMff4kP08nblUkihrxltoGBjg/edit#gid=934712705"",""ESENCIAL!A6:BG""),3,FALSE))"),"")</f>
        <v/>
      </c>
      <c r="H702" s="5" t="str">
        <f ca="1">IFERROR(__xludf.DUMMYFUNCTION("IFERROR(VLOOKUP(F740,IMPORTRANGE(""https://docs.google.com/spreadsheets/d/1Kvs4KS76FHFqLFIZfrDMff4kP08nblUkihrxltoGBjg/edit#gid=934712705"",""ESENCIAL!A6:BG""),8,FALSE))"),"")</f>
        <v/>
      </c>
      <c r="L702" s="287"/>
      <c r="V702" s="66"/>
    </row>
    <row r="703" spans="1:22" ht="15">
      <c r="A703" s="5"/>
      <c r="B703" s="4"/>
      <c r="F703" s="66"/>
      <c r="G703" s="5" t="str">
        <f ca="1">IFERROR(__xludf.DUMMYFUNCTION("IFERROR(VLOOKUP(F741,IMPORTRANGE(""https://docs.google.com/spreadsheets/d/1Kvs4KS76FHFqLFIZfrDMff4kP08nblUkihrxltoGBjg/edit#gid=934712705"",""ESENCIAL!A6:BG""),3,FALSE))"),"")</f>
        <v/>
      </c>
      <c r="H703" s="5" t="str">
        <f ca="1">IFERROR(__xludf.DUMMYFUNCTION("IFERROR(VLOOKUP(F741,IMPORTRANGE(""https://docs.google.com/spreadsheets/d/1Kvs4KS76FHFqLFIZfrDMff4kP08nblUkihrxltoGBjg/edit#gid=934712705"",""ESENCIAL!A6:BG""),8,FALSE))"),"")</f>
        <v/>
      </c>
      <c r="L703" s="287"/>
      <c r="V703" s="66"/>
    </row>
    <row r="704" spans="1:22" ht="15">
      <c r="A704" s="5"/>
      <c r="B704" s="4"/>
      <c r="F704" s="66"/>
      <c r="G704" s="5" t="str">
        <f ca="1">IFERROR(__xludf.DUMMYFUNCTION("IFERROR(VLOOKUP(F742,IMPORTRANGE(""https://docs.google.com/spreadsheets/d/1Kvs4KS76FHFqLFIZfrDMff4kP08nblUkihrxltoGBjg/edit#gid=934712705"",""ESENCIAL!A6:BG""),3,FALSE))"),"")</f>
        <v/>
      </c>
      <c r="H704" s="5" t="str">
        <f ca="1">IFERROR(__xludf.DUMMYFUNCTION("IFERROR(VLOOKUP(F742,IMPORTRANGE(""https://docs.google.com/spreadsheets/d/1Kvs4KS76FHFqLFIZfrDMff4kP08nblUkihrxltoGBjg/edit#gid=934712705"",""ESENCIAL!A6:BG""),8,FALSE))"),"")</f>
        <v/>
      </c>
      <c r="L704" s="287"/>
      <c r="V704" s="66"/>
    </row>
    <row r="705" spans="1:22" ht="15">
      <c r="A705" s="5"/>
      <c r="B705" s="4"/>
      <c r="F705" s="66"/>
      <c r="G705" s="5" t="str">
        <f ca="1">IFERROR(__xludf.DUMMYFUNCTION("IFERROR(VLOOKUP(F743,IMPORTRANGE(""https://docs.google.com/spreadsheets/d/1Kvs4KS76FHFqLFIZfrDMff4kP08nblUkihrxltoGBjg/edit#gid=934712705"",""ESENCIAL!A6:BG""),3,FALSE))"),"")</f>
        <v/>
      </c>
      <c r="H705" s="5" t="str">
        <f ca="1">IFERROR(__xludf.DUMMYFUNCTION("IFERROR(VLOOKUP(F743,IMPORTRANGE(""https://docs.google.com/spreadsheets/d/1Kvs4KS76FHFqLFIZfrDMff4kP08nblUkihrxltoGBjg/edit#gid=934712705"",""ESENCIAL!A6:BG""),8,FALSE))"),"")</f>
        <v/>
      </c>
      <c r="L705" s="287"/>
      <c r="V705" s="66"/>
    </row>
    <row r="706" spans="1:22" ht="15">
      <c r="A706" s="5"/>
      <c r="B706" s="4"/>
      <c r="F706" s="66"/>
      <c r="G706" s="5" t="str">
        <f ca="1">IFERROR(__xludf.DUMMYFUNCTION("IFERROR(VLOOKUP(F744,IMPORTRANGE(""https://docs.google.com/spreadsheets/d/1Kvs4KS76FHFqLFIZfrDMff4kP08nblUkihrxltoGBjg/edit#gid=934712705"",""ESENCIAL!A6:BG""),3,FALSE))"),"")</f>
        <v/>
      </c>
      <c r="H706" s="5" t="str">
        <f ca="1">IFERROR(__xludf.DUMMYFUNCTION("IFERROR(VLOOKUP(F744,IMPORTRANGE(""https://docs.google.com/spreadsheets/d/1Kvs4KS76FHFqLFIZfrDMff4kP08nblUkihrxltoGBjg/edit#gid=934712705"",""ESENCIAL!A6:BG""),8,FALSE))"),"")</f>
        <v/>
      </c>
      <c r="L706" s="287"/>
      <c r="V706" s="66"/>
    </row>
    <row r="707" spans="1:22" ht="15">
      <c r="A707" s="5"/>
      <c r="B707" s="4"/>
      <c r="F707" s="66"/>
      <c r="G707" s="5" t="str">
        <f ca="1">IFERROR(__xludf.DUMMYFUNCTION("IFERROR(VLOOKUP(F745,IMPORTRANGE(""https://docs.google.com/spreadsheets/d/1Kvs4KS76FHFqLFIZfrDMff4kP08nblUkihrxltoGBjg/edit#gid=934712705"",""ESENCIAL!A6:BG""),3,FALSE))"),"")</f>
        <v/>
      </c>
      <c r="H707" s="5" t="str">
        <f ca="1">IFERROR(__xludf.DUMMYFUNCTION("IFERROR(VLOOKUP(F745,IMPORTRANGE(""https://docs.google.com/spreadsheets/d/1Kvs4KS76FHFqLFIZfrDMff4kP08nblUkihrxltoGBjg/edit#gid=934712705"",""ESENCIAL!A6:BG""),8,FALSE))"),"")</f>
        <v/>
      </c>
      <c r="L707" s="287"/>
      <c r="V707" s="66"/>
    </row>
    <row r="708" spans="1:22" ht="15">
      <c r="A708" s="5"/>
      <c r="B708" s="4"/>
      <c r="F708" s="66"/>
      <c r="G708" s="5" t="str">
        <f ca="1">IFERROR(__xludf.DUMMYFUNCTION("IFERROR(VLOOKUP(F746,IMPORTRANGE(""https://docs.google.com/spreadsheets/d/1Kvs4KS76FHFqLFIZfrDMff4kP08nblUkihrxltoGBjg/edit#gid=934712705"",""ESENCIAL!A6:BG""),3,FALSE))"),"")</f>
        <v/>
      </c>
      <c r="H708" s="5" t="str">
        <f ca="1">IFERROR(__xludf.DUMMYFUNCTION("IFERROR(VLOOKUP(F746,IMPORTRANGE(""https://docs.google.com/spreadsheets/d/1Kvs4KS76FHFqLFIZfrDMff4kP08nblUkihrxltoGBjg/edit#gid=934712705"",""ESENCIAL!A6:BG""),8,FALSE))"),"")</f>
        <v/>
      </c>
      <c r="L708" s="287"/>
      <c r="V708" s="66"/>
    </row>
    <row r="709" spans="1:22" ht="15">
      <c r="A709" s="5"/>
      <c r="B709" s="4"/>
      <c r="F709" s="66"/>
      <c r="G709" s="5" t="str">
        <f ca="1">IFERROR(__xludf.DUMMYFUNCTION("IFERROR(VLOOKUP(F747,IMPORTRANGE(""https://docs.google.com/spreadsheets/d/1Kvs4KS76FHFqLFIZfrDMff4kP08nblUkihrxltoGBjg/edit#gid=934712705"",""ESENCIAL!A6:BG""),3,FALSE))"),"")</f>
        <v/>
      </c>
      <c r="H709" s="5" t="str">
        <f ca="1">IFERROR(__xludf.DUMMYFUNCTION("IFERROR(VLOOKUP(F747,IMPORTRANGE(""https://docs.google.com/spreadsheets/d/1Kvs4KS76FHFqLFIZfrDMff4kP08nblUkihrxltoGBjg/edit#gid=934712705"",""ESENCIAL!A6:BG""),8,FALSE))"),"")</f>
        <v/>
      </c>
      <c r="L709" s="287"/>
      <c r="V709" s="66"/>
    </row>
    <row r="710" spans="1:22" ht="15">
      <c r="A710" s="5"/>
      <c r="B710" s="4"/>
      <c r="F710" s="66"/>
      <c r="G710" s="5" t="str">
        <f ca="1">IFERROR(__xludf.DUMMYFUNCTION("IFERROR(VLOOKUP(F748,IMPORTRANGE(""https://docs.google.com/spreadsheets/d/1Kvs4KS76FHFqLFIZfrDMff4kP08nblUkihrxltoGBjg/edit#gid=934712705"",""ESENCIAL!A6:BG""),3,FALSE))"),"")</f>
        <v/>
      </c>
      <c r="H710" s="5" t="str">
        <f ca="1">IFERROR(__xludf.DUMMYFUNCTION("IFERROR(VLOOKUP(F748,IMPORTRANGE(""https://docs.google.com/spreadsheets/d/1Kvs4KS76FHFqLFIZfrDMff4kP08nblUkihrxltoGBjg/edit#gid=934712705"",""ESENCIAL!A6:BG""),8,FALSE))"),"")</f>
        <v/>
      </c>
      <c r="L710" s="287"/>
      <c r="V710" s="66"/>
    </row>
    <row r="711" spans="1:22" ht="15">
      <c r="A711" s="5"/>
      <c r="B711" s="4"/>
      <c r="F711" s="66"/>
      <c r="G711" s="5" t="str">
        <f ca="1">IFERROR(__xludf.DUMMYFUNCTION("IFERROR(VLOOKUP(F749,IMPORTRANGE(""https://docs.google.com/spreadsheets/d/1Kvs4KS76FHFqLFIZfrDMff4kP08nblUkihrxltoGBjg/edit#gid=934712705"",""ESENCIAL!A6:BG""),3,FALSE))"),"")</f>
        <v/>
      </c>
      <c r="H711" s="5" t="str">
        <f ca="1">IFERROR(__xludf.DUMMYFUNCTION("IFERROR(VLOOKUP(F749,IMPORTRANGE(""https://docs.google.com/spreadsheets/d/1Kvs4KS76FHFqLFIZfrDMff4kP08nblUkihrxltoGBjg/edit#gid=934712705"",""ESENCIAL!A6:BG""),8,FALSE))"),"")</f>
        <v/>
      </c>
      <c r="L711" s="287"/>
      <c r="V711" s="66"/>
    </row>
    <row r="712" spans="1:22" ht="15">
      <c r="A712" s="5"/>
      <c r="B712" s="4"/>
      <c r="F712" s="66"/>
      <c r="G712" s="5" t="str">
        <f ca="1">IFERROR(__xludf.DUMMYFUNCTION("IFERROR(VLOOKUP(F750,IMPORTRANGE(""https://docs.google.com/spreadsheets/d/1Kvs4KS76FHFqLFIZfrDMff4kP08nblUkihrxltoGBjg/edit#gid=934712705"",""ESENCIAL!A6:BG""),3,FALSE))"),"")</f>
        <v/>
      </c>
      <c r="H712" s="5" t="str">
        <f ca="1">IFERROR(__xludf.DUMMYFUNCTION("IFERROR(VLOOKUP(F750,IMPORTRANGE(""https://docs.google.com/spreadsheets/d/1Kvs4KS76FHFqLFIZfrDMff4kP08nblUkihrxltoGBjg/edit#gid=934712705"",""ESENCIAL!A6:BG""),8,FALSE))"),"")</f>
        <v/>
      </c>
      <c r="L712" s="287"/>
      <c r="V712" s="66"/>
    </row>
    <row r="713" spans="1:22" ht="15">
      <c r="A713" s="5"/>
      <c r="B713" s="4"/>
      <c r="F713" s="66"/>
      <c r="G713" s="5" t="str">
        <f ca="1">IFERROR(__xludf.DUMMYFUNCTION("IFERROR(VLOOKUP(F751,IMPORTRANGE(""https://docs.google.com/spreadsheets/d/1Kvs4KS76FHFqLFIZfrDMff4kP08nblUkihrxltoGBjg/edit#gid=934712705"",""ESENCIAL!A6:BG""),3,FALSE))"),"")</f>
        <v/>
      </c>
      <c r="H713" s="5" t="str">
        <f ca="1">IFERROR(__xludf.DUMMYFUNCTION("IFERROR(VLOOKUP(F751,IMPORTRANGE(""https://docs.google.com/spreadsheets/d/1Kvs4KS76FHFqLFIZfrDMff4kP08nblUkihrxltoGBjg/edit#gid=934712705"",""ESENCIAL!A6:BG""),8,FALSE))"),"")</f>
        <v/>
      </c>
      <c r="L713" s="287"/>
      <c r="V713" s="66"/>
    </row>
    <row r="714" spans="1:22" ht="15">
      <c r="A714" s="5"/>
      <c r="B714" s="4"/>
      <c r="F714" s="66"/>
      <c r="G714" s="5" t="str">
        <f ca="1">IFERROR(__xludf.DUMMYFUNCTION("IFERROR(VLOOKUP(F752,IMPORTRANGE(""https://docs.google.com/spreadsheets/d/1Kvs4KS76FHFqLFIZfrDMff4kP08nblUkihrxltoGBjg/edit#gid=934712705"",""ESENCIAL!A6:BG""),3,FALSE))"),"")</f>
        <v/>
      </c>
      <c r="H714" s="5" t="str">
        <f ca="1">IFERROR(__xludf.DUMMYFUNCTION("IFERROR(VLOOKUP(F752,IMPORTRANGE(""https://docs.google.com/spreadsheets/d/1Kvs4KS76FHFqLFIZfrDMff4kP08nblUkihrxltoGBjg/edit#gid=934712705"",""ESENCIAL!A6:BG""),8,FALSE))"),"")</f>
        <v/>
      </c>
      <c r="L714" s="287"/>
      <c r="V714" s="66"/>
    </row>
    <row r="715" spans="1:22" ht="15">
      <c r="A715" s="5"/>
      <c r="B715" s="4"/>
      <c r="F715" s="66"/>
      <c r="G715" s="5" t="str">
        <f ca="1">IFERROR(__xludf.DUMMYFUNCTION("IFERROR(VLOOKUP(F753,IMPORTRANGE(""https://docs.google.com/spreadsheets/d/1Kvs4KS76FHFqLFIZfrDMff4kP08nblUkihrxltoGBjg/edit#gid=934712705"",""ESENCIAL!A6:BG""),3,FALSE))"),"")</f>
        <v/>
      </c>
      <c r="H715" s="5" t="str">
        <f ca="1">IFERROR(__xludf.DUMMYFUNCTION("IFERROR(VLOOKUP(F753,IMPORTRANGE(""https://docs.google.com/spreadsheets/d/1Kvs4KS76FHFqLFIZfrDMff4kP08nblUkihrxltoGBjg/edit#gid=934712705"",""ESENCIAL!A6:BG""),8,FALSE))"),"")</f>
        <v/>
      </c>
      <c r="L715" s="287"/>
      <c r="V715" s="66"/>
    </row>
    <row r="716" spans="1:22" ht="15">
      <c r="A716" s="5"/>
      <c r="B716" s="4"/>
      <c r="F716" s="66"/>
      <c r="G716" s="5" t="str">
        <f ca="1">IFERROR(__xludf.DUMMYFUNCTION("IFERROR(VLOOKUP(F754,IMPORTRANGE(""https://docs.google.com/spreadsheets/d/1Kvs4KS76FHFqLFIZfrDMff4kP08nblUkihrxltoGBjg/edit#gid=934712705"",""ESENCIAL!A6:BG""),3,FALSE))"),"")</f>
        <v/>
      </c>
      <c r="H716" s="5" t="str">
        <f ca="1">IFERROR(__xludf.DUMMYFUNCTION("IFERROR(VLOOKUP(F754,IMPORTRANGE(""https://docs.google.com/spreadsheets/d/1Kvs4KS76FHFqLFIZfrDMff4kP08nblUkihrxltoGBjg/edit#gid=934712705"",""ESENCIAL!A6:BG""),8,FALSE))"),"")</f>
        <v/>
      </c>
      <c r="L716" s="287"/>
      <c r="V716" s="66"/>
    </row>
    <row r="717" spans="1:22" ht="15">
      <c r="A717" s="5"/>
      <c r="B717" s="4"/>
      <c r="F717" s="66"/>
      <c r="G717" s="5" t="str">
        <f ca="1">IFERROR(__xludf.DUMMYFUNCTION("IFERROR(VLOOKUP(F755,IMPORTRANGE(""https://docs.google.com/spreadsheets/d/1Kvs4KS76FHFqLFIZfrDMff4kP08nblUkihrxltoGBjg/edit#gid=934712705"",""ESENCIAL!A6:BG""),3,FALSE))"),"")</f>
        <v/>
      </c>
      <c r="H717" s="5" t="str">
        <f ca="1">IFERROR(__xludf.DUMMYFUNCTION("IFERROR(VLOOKUP(F755,IMPORTRANGE(""https://docs.google.com/spreadsheets/d/1Kvs4KS76FHFqLFIZfrDMff4kP08nblUkihrxltoGBjg/edit#gid=934712705"",""ESENCIAL!A6:BG""),8,FALSE))"),"")</f>
        <v/>
      </c>
      <c r="L717" s="287"/>
      <c r="V717" s="66"/>
    </row>
    <row r="718" spans="1:22" ht="15">
      <c r="A718" s="5"/>
      <c r="B718" s="4"/>
      <c r="F718" s="66"/>
      <c r="G718" s="5" t="str">
        <f ca="1">IFERROR(__xludf.DUMMYFUNCTION("IFERROR(VLOOKUP(F756,IMPORTRANGE(""https://docs.google.com/spreadsheets/d/1Kvs4KS76FHFqLFIZfrDMff4kP08nblUkihrxltoGBjg/edit#gid=934712705"",""ESENCIAL!A6:BG""),3,FALSE))"),"")</f>
        <v/>
      </c>
      <c r="H718" s="5" t="str">
        <f ca="1">IFERROR(__xludf.DUMMYFUNCTION("IFERROR(VLOOKUP(F756,IMPORTRANGE(""https://docs.google.com/spreadsheets/d/1Kvs4KS76FHFqLFIZfrDMff4kP08nblUkihrxltoGBjg/edit#gid=934712705"",""ESENCIAL!A6:BG""),8,FALSE))"),"")</f>
        <v/>
      </c>
      <c r="L718" s="287"/>
      <c r="V718" s="66"/>
    </row>
    <row r="719" spans="1:22" ht="15">
      <c r="A719" s="5"/>
      <c r="B719" s="4"/>
      <c r="F719" s="66"/>
      <c r="G719" s="5" t="str">
        <f ca="1">IFERROR(__xludf.DUMMYFUNCTION("IFERROR(VLOOKUP(F757,IMPORTRANGE(""https://docs.google.com/spreadsheets/d/1Kvs4KS76FHFqLFIZfrDMff4kP08nblUkihrxltoGBjg/edit#gid=934712705"",""ESENCIAL!A6:BG""),3,FALSE))"),"")</f>
        <v/>
      </c>
      <c r="H719" s="5" t="str">
        <f ca="1">IFERROR(__xludf.DUMMYFUNCTION("IFERROR(VLOOKUP(F757,IMPORTRANGE(""https://docs.google.com/spreadsheets/d/1Kvs4KS76FHFqLFIZfrDMff4kP08nblUkihrxltoGBjg/edit#gid=934712705"",""ESENCIAL!A6:BG""),8,FALSE))"),"")</f>
        <v/>
      </c>
      <c r="L719" s="287"/>
      <c r="V719" s="66"/>
    </row>
    <row r="720" spans="1:22" ht="15">
      <c r="A720" s="5"/>
      <c r="B720" s="4"/>
      <c r="F720" s="66"/>
      <c r="G720" s="5" t="str">
        <f ca="1">IFERROR(__xludf.DUMMYFUNCTION("IFERROR(VLOOKUP(F758,IMPORTRANGE(""https://docs.google.com/spreadsheets/d/1Kvs4KS76FHFqLFIZfrDMff4kP08nblUkihrxltoGBjg/edit#gid=934712705"",""ESENCIAL!A6:BG""),3,FALSE))"),"")</f>
        <v/>
      </c>
      <c r="H720" s="5" t="str">
        <f ca="1">IFERROR(__xludf.DUMMYFUNCTION("IFERROR(VLOOKUP(F758,IMPORTRANGE(""https://docs.google.com/spreadsheets/d/1Kvs4KS76FHFqLFIZfrDMff4kP08nblUkihrxltoGBjg/edit#gid=934712705"",""ESENCIAL!A6:BG""),8,FALSE))"),"")</f>
        <v/>
      </c>
      <c r="L720" s="287"/>
      <c r="V720" s="66"/>
    </row>
    <row r="721" spans="1:22" ht="15">
      <c r="A721" s="5"/>
      <c r="B721" s="4"/>
      <c r="F721" s="66"/>
      <c r="G721" s="5" t="str">
        <f ca="1">IFERROR(__xludf.DUMMYFUNCTION("IFERROR(VLOOKUP(F759,IMPORTRANGE(""https://docs.google.com/spreadsheets/d/1Kvs4KS76FHFqLFIZfrDMff4kP08nblUkihrxltoGBjg/edit#gid=934712705"",""ESENCIAL!A6:BG""),3,FALSE))"),"")</f>
        <v/>
      </c>
      <c r="H721" s="5" t="str">
        <f ca="1">IFERROR(__xludf.DUMMYFUNCTION("IFERROR(VLOOKUP(F759,IMPORTRANGE(""https://docs.google.com/spreadsheets/d/1Kvs4KS76FHFqLFIZfrDMff4kP08nblUkihrxltoGBjg/edit#gid=934712705"",""ESENCIAL!A6:BG""),8,FALSE))"),"")</f>
        <v/>
      </c>
      <c r="L721" s="287"/>
      <c r="V721" s="66"/>
    </row>
    <row r="722" spans="1:22" ht="15">
      <c r="A722" s="5"/>
      <c r="B722" s="4"/>
      <c r="F722" s="66"/>
      <c r="G722" s="5" t="str">
        <f ca="1">IFERROR(__xludf.DUMMYFUNCTION("IFERROR(VLOOKUP(F760,IMPORTRANGE(""https://docs.google.com/spreadsheets/d/1Kvs4KS76FHFqLFIZfrDMff4kP08nblUkihrxltoGBjg/edit#gid=934712705"",""ESENCIAL!A6:BG""),3,FALSE))"),"")</f>
        <v/>
      </c>
      <c r="H722" s="5" t="str">
        <f ca="1">IFERROR(__xludf.DUMMYFUNCTION("IFERROR(VLOOKUP(F760,IMPORTRANGE(""https://docs.google.com/spreadsheets/d/1Kvs4KS76FHFqLFIZfrDMff4kP08nblUkihrxltoGBjg/edit#gid=934712705"",""ESENCIAL!A6:BG""),8,FALSE))"),"")</f>
        <v/>
      </c>
      <c r="L722" s="287"/>
      <c r="V722" s="66"/>
    </row>
    <row r="723" spans="1:22" ht="15">
      <c r="A723" s="5"/>
      <c r="B723" s="4"/>
      <c r="F723" s="66"/>
      <c r="G723" s="5" t="str">
        <f ca="1">IFERROR(__xludf.DUMMYFUNCTION("IFERROR(VLOOKUP(F761,IMPORTRANGE(""https://docs.google.com/spreadsheets/d/1Kvs4KS76FHFqLFIZfrDMff4kP08nblUkihrxltoGBjg/edit#gid=934712705"",""ESENCIAL!A6:BG""),3,FALSE))"),"")</f>
        <v/>
      </c>
      <c r="H723" s="5" t="str">
        <f ca="1">IFERROR(__xludf.DUMMYFUNCTION("IFERROR(VLOOKUP(F761,IMPORTRANGE(""https://docs.google.com/spreadsheets/d/1Kvs4KS76FHFqLFIZfrDMff4kP08nblUkihrxltoGBjg/edit#gid=934712705"",""ESENCIAL!A6:BG""),8,FALSE))"),"")</f>
        <v/>
      </c>
      <c r="L723" s="287"/>
      <c r="V723" s="66"/>
    </row>
    <row r="724" spans="1:22" ht="15">
      <c r="A724" s="5"/>
      <c r="B724" s="4"/>
      <c r="F724" s="66"/>
      <c r="G724" s="5" t="str">
        <f ca="1">IFERROR(__xludf.DUMMYFUNCTION("IFERROR(VLOOKUP(F762,IMPORTRANGE(""https://docs.google.com/spreadsheets/d/1Kvs4KS76FHFqLFIZfrDMff4kP08nblUkihrxltoGBjg/edit#gid=934712705"",""ESENCIAL!A6:BG""),3,FALSE))"),"")</f>
        <v/>
      </c>
      <c r="H724" s="5" t="str">
        <f ca="1">IFERROR(__xludf.DUMMYFUNCTION("IFERROR(VLOOKUP(F762,IMPORTRANGE(""https://docs.google.com/spreadsheets/d/1Kvs4KS76FHFqLFIZfrDMff4kP08nblUkihrxltoGBjg/edit#gid=934712705"",""ESENCIAL!A6:BG""),8,FALSE))"),"")</f>
        <v/>
      </c>
      <c r="L724" s="287"/>
      <c r="V724" s="66"/>
    </row>
    <row r="725" spans="1:22" ht="15">
      <c r="A725" s="5"/>
      <c r="B725" s="4"/>
      <c r="F725" s="66"/>
      <c r="G725" s="5" t="str">
        <f ca="1">IFERROR(__xludf.DUMMYFUNCTION("IFERROR(VLOOKUP(F763,IMPORTRANGE(""https://docs.google.com/spreadsheets/d/1Kvs4KS76FHFqLFIZfrDMff4kP08nblUkihrxltoGBjg/edit#gid=934712705"",""ESENCIAL!A6:BG""),3,FALSE))"),"")</f>
        <v/>
      </c>
      <c r="H725" s="5" t="str">
        <f ca="1">IFERROR(__xludf.DUMMYFUNCTION("IFERROR(VLOOKUP(F763,IMPORTRANGE(""https://docs.google.com/spreadsheets/d/1Kvs4KS76FHFqLFIZfrDMff4kP08nblUkihrxltoGBjg/edit#gid=934712705"",""ESENCIAL!A6:BG""),8,FALSE))"),"")</f>
        <v/>
      </c>
      <c r="L725" s="287"/>
      <c r="V725" s="66"/>
    </row>
    <row r="726" spans="1:22" ht="15">
      <c r="A726" s="5"/>
      <c r="B726" s="4"/>
      <c r="F726" s="66"/>
      <c r="G726" s="5" t="str">
        <f ca="1">IFERROR(__xludf.DUMMYFUNCTION("IFERROR(VLOOKUP(F764,IMPORTRANGE(""https://docs.google.com/spreadsheets/d/1Kvs4KS76FHFqLFIZfrDMff4kP08nblUkihrxltoGBjg/edit#gid=934712705"",""ESENCIAL!A6:BG""),3,FALSE))"),"")</f>
        <v/>
      </c>
      <c r="H726" s="5" t="str">
        <f ca="1">IFERROR(__xludf.DUMMYFUNCTION("IFERROR(VLOOKUP(F764,IMPORTRANGE(""https://docs.google.com/spreadsheets/d/1Kvs4KS76FHFqLFIZfrDMff4kP08nblUkihrxltoGBjg/edit#gid=934712705"",""ESENCIAL!A6:BG""),8,FALSE))"),"")</f>
        <v/>
      </c>
      <c r="L726" s="287"/>
      <c r="V726" s="66"/>
    </row>
    <row r="727" spans="1:22" ht="15">
      <c r="A727" s="5"/>
      <c r="B727" s="4"/>
      <c r="F727" s="66"/>
      <c r="G727" s="5" t="str">
        <f ca="1">IFERROR(__xludf.DUMMYFUNCTION("IFERROR(VLOOKUP(F765,IMPORTRANGE(""https://docs.google.com/spreadsheets/d/1Kvs4KS76FHFqLFIZfrDMff4kP08nblUkihrxltoGBjg/edit#gid=934712705"",""ESENCIAL!A6:BG""),3,FALSE))"),"")</f>
        <v/>
      </c>
      <c r="H727" s="5" t="str">
        <f ca="1">IFERROR(__xludf.DUMMYFUNCTION("IFERROR(VLOOKUP(F765,IMPORTRANGE(""https://docs.google.com/spreadsheets/d/1Kvs4KS76FHFqLFIZfrDMff4kP08nblUkihrxltoGBjg/edit#gid=934712705"",""ESENCIAL!A6:BG""),8,FALSE))"),"")</f>
        <v/>
      </c>
      <c r="L727" s="287"/>
      <c r="V727" s="66"/>
    </row>
    <row r="728" spans="1:22" ht="15">
      <c r="A728" s="5"/>
      <c r="B728" s="4"/>
      <c r="F728" s="66"/>
      <c r="G728" s="5" t="str">
        <f ca="1">IFERROR(__xludf.DUMMYFUNCTION("IFERROR(VLOOKUP(F766,IMPORTRANGE(""https://docs.google.com/spreadsheets/d/1Kvs4KS76FHFqLFIZfrDMff4kP08nblUkihrxltoGBjg/edit#gid=934712705"",""ESENCIAL!A6:BG""),3,FALSE))"),"")</f>
        <v/>
      </c>
      <c r="H728" s="5" t="str">
        <f ca="1">IFERROR(__xludf.DUMMYFUNCTION("IFERROR(VLOOKUP(F766,IMPORTRANGE(""https://docs.google.com/spreadsheets/d/1Kvs4KS76FHFqLFIZfrDMff4kP08nblUkihrxltoGBjg/edit#gid=934712705"",""ESENCIAL!A6:BG""),8,FALSE))"),"")</f>
        <v/>
      </c>
      <c r="L728" s="287"/>
      <c r="V728" s="66"/>
    </row>
    <row r="729" spans="1:22" ht="15">
      <c r="A729" s="5"/>
      <c r="B729" s="4"/>
      <c r="F729" s="66"/>
      <c r="G729" s="5" t="str">
        <f ca="1">IFERROR(__xludf.DUMMYFUNCTION("IFERROR(VLOOKUP(F767,IMPORTRANGE(""https://docs.google.com/spreadsheets/d/1Kvs4KS76FHFqLFIZfrDMff4kP08nblUkihrxltoGBjg/edit#gid=934712705"",""ESENCIAL!A6:BG""),3,FALSE))"),"")</f>
        <v/>
      </c>
      <c r="H729" s="5" t="str">
        <f ca="1">IFERROR(__xludf.DUMMYFUNCTION("IFERROR(VLOOKUP(F767,IMPORTRANGE(""https://docs.google.com/spreadsheets/d/1Kvs4KS76FHFqLFIZfrDMff4kP08nblUkihrxltoGBjg/edit#gid=934712705"",""ESENCIAL!A6:BG""),8,FALSE))"),"")</f>
        <v/>
      </c>
      <c r="L729" s="287"/>
      <c r="V729" s="66"/>
    </row>
    <row r="730" spans="1:22" ht="15">
      <c r="A730" s="5"/>
      <c r="B730" s="4"/>
      <c r="F730" s="66"/>
      <c r="G730" s="5" t="str">
        <f ca="1">IFERROR(__xludf.DUMMYFUNCTION("IFERROR(VLOOKUP(F768,IMPORTRANGE(""https://docs.google.com/spreadsheets/d/1Kvs4KS76FHFqLFIZfrDMff4kP08nblUkihrxltoGBjg/edit#gid=934712705"",""ESENCIAL!A6:BG""),3,FALSE))"),"")</f>
        <v/>
      </c>
      <c r="H730" s="5" t="str">
        <f ca="1">IFERROR(__xludf.DUMMYFUNCTION("IFERROR(VLOOKUP(F768,IMPORTRANGE(""https://docs.google.com/spreadsheets/d/1Kvs4KS76FHFqLFIZfrDMff4kP08nblUkihrxltoGBjg/edit#gid=934712705"",""ESENCIAL!A6:BG""),8,FALSE))"),"")</f>
        <v/>
      </c>
      <c r="L730" s="287"/>
      <c r="V730" s="66"/>
    </row>
    <row r="731" spans="1:22" ht="15">
      <c r="A731" s="5"/>
      <c r="B731" s="4"/>
      <c r="F731" s="66"/>
      <c r="G731" s="5" t="str">
        <f ca="1">IFERROR(__xludf.DUMMYFUNCTION("IFERROR(VLOOKUP(F769,IMPORTRANGE(""https://docs.google.com/spreadsheets/d/1Kvs4KS76FHFqLFIZfrDMff4kP08nblUkihrxltoGBjg/edit#gid=934712705"",""ESENCIAL!A6:BG""),3,FALSE))"),"")</f>
        <v/>
      </c>
      <c r="H731" s="5" t="str">
        <f ca="1">IFERROR(__xludf.DUMMYFUNCTION("IFERROR(VLOOKUP(F769,IMPORTRANGE(""https://docs.google.com/spreadsheets/d/1Kvs4KS76FHFqLFIZfrDMff4kP08nblUkihrxltoGBjg/edit#gid=934712705"",""ESENCIAL!A6:BG""),8,FALSE))"),"")</f>
        <v/>
      </c>
      <c r="L731" s="287"/>
      <c r="V731" s="66"/>
    </row>
    <row r="732" spans="1:22" ht="15">
      <c r="A732" s="5"/>
      <c r="B732" s="4"/>
      <c r="F732" s="66"/>
      <c r="G732" s="5" t="str">
        <f ca="1">IFERROR(__xludf.DUMMYFUNCTION("IFERROR(VLOOKUP(F770,IMPORTRANGE(""https://docs.google.com/spreadsheets/d/1Kvs4KS76FHFqLFIZfrDMff4kP08nblUkihrxltoGBjg/edit#gid=934712705"",""ESENCIAL!A6:BG""),3,FALSE))"),"")</f>
        <v/>
      </c>
      <c r="H732" s="5" t="str">
        <f ca="1">IFERROR(__xludf.DUMMYFUNCTION("IFERROR(VLOOKUP(F770,IMPORTRANGE(""https://docs.google.com/spreadsheets/d/1Kvs4KS76FHFqLFIZfrDMff4kP08nblUkihrxltoGBjg/edit#gid=934712705"",""ESENCIAL!A6:BG""),8,FALSE))"),"")</f>
        <v/>
      </c>
      <c r="L732" s="287"/>
      <c r="V732" s="66"/>
    </row>
    <row r="733" spans="1:22" ht="15">
      <c r="A733" s="5"/>
      <c r="B733" s="4"/>
      <c r="F733" s="66"/>
      <c r="G733" s="5" t="str">
        <f ca="1">IFERROR(__xludf.DUMMYFUNCTION("IFERROR(VLOOKUP(F771,IMPORTRANGE(""https://docs.google.com/spreadsheets/d/1Kvs4KS76FHFqLFIZfrDMff4kP08nblUkihrxltoGBjg/edit#gid=934712705"",""ESENCIAL!A6:BG""),3,FALSE))"),"")</f>
        <v/>
      </c>
      <c r="H733" s="5" t="str">
        <f ca="1">IFERROR(__xludf.DUMMYFUNCTION("IFERROR(VLOOKUP(F771,IMPORTRANGE(""https://docs.google.com/spreadsheets/d/1Kvs4KS76FHFqLFIZfrDMff4kP08nblUkihrxltoGBjg/edit#gid=934712705"",""ESENCIAL!A6:BG""),8,FALSE))"),"")</f>
        <v/>
      </c>
      <c r="L733" s="287"/>
      <c r="V733" s="66"/>
    </row>
    <row r="734" spans="1:22" ht="15">
      <c r="A734" s="5"/>
      <c r="B734" s="4"/>
      <c r="F734" s="66"/>
      <c r="G734" s="5" t="str">
        <f ca="1">IFERROR(__xludf.DUMMYFUNCTION("IFERROR(VLOOKUP(F772,IMPORTRANGE(""https://docs.google.com/spreadsheets/d/1Kvs4KS76FHFqLFIZfrDMff4kP08nblUkihrxltoGBjg/edit#gid=934712705"",""ESENCIAL!A6:BG""),3,FALSE))"),"")</f>
        <v/>
      </c>
      <c r="H734" s="5" t="str">
        <f ca="1">IFERROR(__xludf.DUMMYFUNCTION("IFERROR(VLOOKUP(F772,IMPORTRANGE(""https://docs.google.com/spreadsheets/d/1Kvs4KS76FHFqLFIZfrDMff4kP08nblUkihrxltoGBjg/edit#gid=934712705"",""ESENCIAL!A6:BG""),8,FALSE))"),"")</f>
        <v/>
      </c>
      <c r="L734" s="287"/>
      <c r="V734" s="66"/>
    </row>
    <row r="735" spans="1:22" ht="15">
      <c r="A735" s="5"/>
      <c r="B735" s="4"/>
      <c r="F735" s="66"/>
      <c r="G735" s="5" t="str">
        <f ca="1">IFERROR(__xludf.DUMMYFUNCTION("IFERROR(VLOOKUP(F773,IMPORTRANGE(""https://docs.google.com/spreadsheets/d/1Kvs4KS76FHFqLFIZfrDMff4kP08nblUkihrxltoGBjg/edit#gid=934712705"",""ESENCIAL!A6:BG""),3,FALSE))"),"")</f>
        <v/>
      </c>
      <c r="H735" s="5" t="str">
        <f ca="1">IFERROR(__xludf.DUMMYFUNCTION("IFERROR(VLOOKUP(F773,IMPORTRANGE(""https://docs.google.com/spreadsheets/d/1Kvs4KS76FHFqLFIZfrDMff4kP08nblUkihrxltoGBjg/edit#gid=934712705"",""ESENCIAL!A6:BG""),8,FALSE))"),"")</f>
        <v/>
      </c>
      <c r="L735" s="287"/>
      <c r="V735" s="66"/>
    </row>
    <row r="736" spans="1:22" ht="15">
      <c r="A736" s="5"/>
      <c r="B736" s="4"/>
      <c r="F736" s="66"/>
      <c r="G736" s="5" t="str">
        <f ca="1">IFERROR(__xludf.DUMMYFUNCTION("IFERROR(VLOOKUP(F774,IMPORTRANGE(""https://docs.google.com/spreadsheets/d/1Kvs4KS76FHFqLFIZfrDMff4kP08nblUkihrxltoGBjg/edit#gid=934712705"",""ESENCIAL!A6:BG""),3,FALSE))"),"")</f>
        <v/>
      </c>
      <c r="H736" s="5" t="str">
        <f ca="1">IFERROR(__xludf.DUMMYFUNCTION("IFERROR(VLOOKUP(F774,IMPORTRANGE(""https://docs.google.com/spreadsheets/d/1Kvs4KS76FHFqLFIZfrDMff4kP08nblUkihrxltoGBjg/edit#gid=934712705"",""ESENCIAL!A6:BG""),8,FALSE))"),"")</f>
        <v/>
      </c>
      <c r="L736" s="287"/>
      <c r="V736" s="66"/>
    </row>
    <row r="737" spans="1:22" ht="15">
      <c r="A737" s="5"/>
      <c r="B737" s="4"/>
      <c r="F737" s="66"/>
      <c r="G737" s="5" t="str">
        <f ca="1">IFERROR(__xludf.DUMMYFUNCTION("IFERROR(VLOOKUP(F775,IMPORTRANGE(""https://docs.google.com/spreadsheets/d/1Kvs4KS76FHFqLFIZfrDMff4kP08nblUkihrxltoGBjg/edit#gid=934712705"",""ESENCIAL!A6:BG""),3,FALSE))"),"")</f>
        <v/>
      </c>
      <c r="H737" s="5" t="str">
        <f ca="1">IFERROR(__xludf.DUMMYFUNCTION("IFERROR(VLOOKUP(F775,IMPORTRANGE(""https://docs.google.com/spreadsheets/d/1Kvs4KS76FHFqLFIZfrDMff4kP08nblUkihrxltoGBjg/edit#gid=934712705"",""ESENCIAL!A6:BG""),8,FALSE))"),"")</f>
        <v/>
      </c>
      <c r="L737" s="287"/>
      <c r="V737" s="66"/>
    </row>
    <row r="738" spans="1:22" ht="15">
      <c r="A738" s="5"/>
      <c r="B738" s="4"/>
      <c r="F738" s="66"/>
      <c r="G738" s="5" t="str">
        <f ca="1">IFERROR(__xludf.DUMMYFUNCTION("IFERROR(VLOOKUP(F776,IMPORTRANGE(""https://docs.google.com/spreadsheets/d/1Kvs4KS76FHFqLFIZfrDMff4kP08nblUkihrxltoGBjg/edit#gid=934712705"",""ESENCIAL!A6:BG""),3,FALSE))"),"")</f>
        <v/>
      </c>
      <c r="H738" s="5" t="str">
        <f ca="1">IFERROR(__xludf.DUMMYFUNCTION("IFERROR(VLOOKUP(F776,IMPORTRANGE(""https://docs.google.com/spreadsheets/d/1Kvs4KS76FHFqLFIZfrDMff4kP08nblUkihrxltoGBjg/edit#gid=934712705"",""ESENCIAL!A6:BG""),8,FALSE))"),"")</f>
        <v/>
      </c>
      <c r="L738" s="287"/>
      <c r="V738" s="66"/>
    </row>
    <row r="739" spans="1:22" ht="15">
      <c r="A739" s="5"/>
      <c r="B739" s="4"/>
      <c r="F739" s="66"/>
      <c r="G739" s="5" t="str">
        <f ca="1">IFERROR(__xludf.DUMMYFUNCTION("IFERROR(VLOOKUP(F777,IMPORTRANGE(""https://docs.google.com/spreadsheets/d/1Kvs4KS76FHFqLFIZfrDMff4kP08nblUkihrxltoGBjg/edit#gid=934712705"",""ESENCIAL!A6:BG""),3,FALSE))"),"")</f>
        <v/>
      </c>
      <c r="H739" s="5" t="str">
        <f ca="1">IFERROR(__xludf.DUMMYFUNCTION("IFERROR(VLOOKUP(F777,IMPORTRANGE(""https://docs.google.com/spreadsheets/d/1Kvs4KS76FHFqLFIZfrDMff4kP08nblUkihrxltoGBjg/edit#gid=934712705"",""ESENCIAL!A6:BG""),8,FALSE))"),"")</f>
        <v/>
      </c>
      <c r="L739" s="287"/>
      <c r="V739" s="66"/>
    </row>
    <row r="740" spans="1:22" ht="15">
      <c r="A740" s="5"/>
      <c r="B740" s="4"/>
      <c r="F740" s="66"/>
      <c r="G740" s="5" t="str">
        <f ca="1">IFERROR(__xludf.DUMMYFUNCTION("IFERROR(VLOOKUP(F778,IMPORTRANGE(""https://docs.google.com/spreadsheets/d/1Kvs4KS76FHFqLFIZfrDMff4kP08nblUkihrxltoGBjg/edit#gid=934712705"",""ESENCIAL!A6:BG""),3,FALSE))"),"")</f>
        <v/>
      </c>
      <c r="H740" s="5" t="str">
        <f ca="1">IFERROR(__xludf.DUMMYFUNCTION("IFERROR(VLOOKUP(F778,IMPORTRANGE(""https://docs.google.com/spreadsheets/d/1Kvs4KS76FHFqLFIZfrDMff4kP08nblUkihrxltoGBjg/edit#gid=934712705"",""ESENCIAL!A6:BG""),8,FALSE))"),"")</f>
        <v/>
      </c>
      <c r="L740" s="287"/>
      <c r="V740" s="66"/>
    </row>
    <row r="741" spans="1:22" ht="15">
      <c r="A741" s="5"/>
      <c r="B741" s="4"/>
      <c r="F741" s="66"/>
      <c r="G741" s="5" t="str">
        <f ca="1">IFERROR(__xludf.DUMMYFUNCTION("IFERROR(VLOOKUP(F779,IMPORTRANGE(""https://docs.google.com/spreadsheets/d/1Kvs4KS76FHFqLFIZfrDMff4kP08nblUkihrxltoGBjg/edit#gid=934712705"",""ESENCIAL!A6:BG""),3,FALSE))"),"")</f>
        <v/>
      </c>
      <c r="H741" s="5" t="str">
        <f ca="1">IFERROR(__xludf.DUMMYFUNCTION("IFERROR(VLOOKUP(F779,IMPORTRANGE(""https://docs.google.com/spreadsheets/d/1Kvs4KS76FHFqLFIZfrDMff4kP08nblUkihrxltoGBjg/edit#gid=934712705"",""ESENCIAL!A6:BG""),8,FALSE))"),"")</f>
        <v/>
      </c>
      <c r="L741" s="287"/>
      <c r="V741" s="66"/>
    </row>
    <row r="742" spans="1:22" ht="15">
      <c r="A742" s="5"/>
      <c r="B742" s="4"/>
      <c r="F742" s="66"/>
      <c r="G742" s="5" t="str">
        <f ca="1">IFERROR(__xludf.DUMMYFUNCTION("IFERROR(VLOOKUP(F780,IMPORTRANGE(""https://docs.google.com/spreadsheets/d/1Kvs4KS76FHFqLFIZfrDMff4kP08nblUkihrxltoGBjg/edit#gid=934712705"",""ESENCIAL!A6:BG""),3,FALSE))"),"")</f>
        <v/>
      </c>
      <c r="H742" s="5" t="str">
        <f ca="1">IFERROR(__xludf.DUMMYFUNCTION("IFERROR(VLOOKUP(F780,IMPORTRANGE(""https://docs.google.com/spreadsheets/d/1Kvs4KS76FHFqLFIZfrDMff4kP08nblUkihrxltoGBjg/edit#gid=934712705"",""ESENCIAL!A6:BG""),8,FALSE))"),"")</f>
        <v/>
      </c>
      <c r="L742" s="287"/>
      <c r="V742" s="66"/>
    </row>
    <row r="743" spans="1:22" ht="15">
      <c r="A743" s="5"/>
      <c r="B743" s="4"/>
      <c r="F743" s="66"/>
      <c r="G743" s="5" t="str">
        <f ca="1">IFERROR(__xludf.DUMMYFUNCTION("IFERROR(VLOOKUP(F781,IMPORTRANGE(""https://docs.google.com/spreadsheets/d/1Kvs4KS76FHFqLFIZfrDMff4kP08nblUkihrxltoGBjg/edit#gid=934712705"",""ESENCIAL!A6:BG""),3,FALSE))"),"")</f>
        <v/>
      </c>
      <c r="H743" s="5" t="str">
        <f ca="1">IFERROR(__xludf.DUMMYFUNCTION("IFERROR(VLOOKUP(F781,IMPORTRANGE(""https://docs.google.com/spreadsheets/d/1Kvs4KS76FHFqLFIZfrDMff4kP08nblUkihrxltoGBjg/edit#gid=934712705"",""ESENCIAL!A6:BG""),8,FALSE))"),"")</f>
        <v/>
      </c>
      <c r="L743" s="287"/>
      <c r="V743" s="66"/>
    </row>
    <row r="744" spans="1:22" ht="15">
      <c r="A744" s="5"/>
      <c r="B744" s="4"/>
      <c r="F744" s="66"/>
      <c r="G744" s="5" t="str">
        <f ca="1">IFERROR(__xludf.DUMMYFUNCTION("IFERROR(VLOOKUP(F782,IMPORTRANGE(""https://docs.google.com/spreadsheets/d/1Kvs4KS76FHFqLFIZfrDMff4kP08nblUkihrxltoGBjg/edit#gid=934712705"",""ESENCIAL!A6:BG""),3,FALSE))"),"")</f>
        <v/>
      </c>
      <c r="H744" s="5" t="str">
        <f ca="1">IFERROR(__xludf.DUMMYFUNCTION("IFERROR(VLOOKUP(F782,IMPORTRANGE(""https://docs.google.com/spreadsheets/d/1Kvs4KS76FHFqLFIZfrDMff4kP08nblUkihrxltoGBjg/edit#gid=934712705"",""ESENCIAL!A6:BG""),8,FALSE))"),"")</f>
        <v/>
      </c>
      <c r="L744" s="287"/>
      <c r="V744" s="66"/>
    </row>
    <row r="745" spans="1:22" ht="15">
      <c r="A745" s="5"/>
      <c r="B745" s="4"/>
      <c r="F745" s="66"/>
      <c r="G745" s="5" t="str">
        <f ca="1">IFERROR(__xludf.DUMMYFUNCTION("IFERROR(VLOOKUP(F783,IMPORTRANGE(""https://docs.google.com/spreadsheets/d/1Kvs4KS76FHFqLFIZfrDMff4kP08nblUkihrxltoGBjg/edit#gid=934712705"",""ESENCIAL!A6:BG""),3,FALSE))"),"")</f>
        <v/>
      </c>
      <c r="H745" s="5" t="str">
        <f ca="1">IFERROR(__xludf.DUMMYFUNCTION("IFERROR(VLOOKUP(F783,IMPORTRANGE(""https://docs.google.com/spreadsheets/d/1Kvs4KS76FHFqLFIZfrDMff4kP08nblUkihrxltoGBjg/edit#gid=934712705"",""ESENCIAL!A6:BG""),8,FALSE))"),"")</f>
        <v/>
      </c>
      <c r="L745" s="287"/>
      <c r="V745" s="66"/>
    </row>
    <row r="746" spans="1:22" ht="15">
      <c r="A746" s="5"/>
      <c r="B746" s="4"/>
      <c r="F746" s="66"/>
      <c r="G746" s="5" t="str">
        <f ca="1">IFERROR(__xludf.DUMMYFUNCTION("IFERROR(VLOOKUP(F784,IMPORTRANGE(""https://docs.google.com/spreadsheets/d/1Kvs4KS76FHFqLFIZfrDMff4kP08nblUkihrxltoGBjg/edit#gid=934712705"",""ESENCIAL!A6:BG""),3,FALSE))"),"")</f>
        <v/>
      </c>
      <c r="H746" s="5" t="str">
        <f ca="1">IFERROR(__xludf.DUMMYFUNCTION("IFERROR(VLOOKUP(F784,IMPORTRANGE(""https://docs.google.com/spreadsheets/d/1Kvs4KS76FHFqLFIZfrDMff4kP08nblUkihrxltoGBjg/edit#gid=934712705"",""ESENCIAL!A6:BG""),8,FALSE))"),"")</f>
        <v/>
      </c>
      <c r="L746" s="287"/>
      <c r="V746" s="66"/>
    </row>
    <row r="747" spans="1:22" ht="15">
      <c r="A747" s="5"/>
      <c r="B747" s="4"/>
      <c r="F747" s="66"/>
      <c r="G747" s="5" t="str">
        <f ca="1">IFERROR(__xludf.DUMMYFUNCTION("IFERROR(VLOOKUP(F785,IMPORTRANGE(""https://docs.google.com/spreadsheets/d/1Kvs4KS76FHFqLFIZfrDMff4kP08nblUkihrxltoGBjg/edit#gid=934712705"",""ESENCIAL!A6:BG""),3,FALSE))"),"")</f>
        <v/>
      </c>
      <c r="H747" s="5" t="str">
        <f ca="1">IFERROR(__xludf.DUMMYFUNCTION("IFERROR(VLOOKUP(F785,IMPORTRANGE(""https://docs.google.com/spreadsheets/d/1Kvs4KS76FHFqLFIZfrDMff4kP08nblUkihrxltoGBjg/edit#gid=934712705"",""ESENCIAL!A6:BG""),8,FALSE))"),"")</f>
        <v/>
      </c>
      <c r="L747" s="287"/>
      <c r="V747" s="66"/>
    </row>
    <row r="748" spans="1:22" ht="15">
      <c r="A748" s="5"/>
      <c r="B748" s="4"/>
      <c r="F748" s="66"/>
      <c r="G748" s="5" t="str">
        <f ca="1">IFERROR(__xludf.DUMMYFUNCTION("IFERROR(VLOOKUP(F786,IMPORTRANGE(""https://docs.google.com/spreadsheets/d/1Kvs4KS76FHFqLFIZfrDMff4kP08nblUkihrxltoGBjg/edit#gid=934712705"",""ESENCIAL!A6:BG""),3,FALSE))"),"")</f>
        <v/>
      </c>
      <c r="H748" s="5" t="str">
        <f ca="1">IFERROR(__xludf.DUMMYFUNCTION("IFERROR(VLOOKUP(F786,IMPORTRANGE(""https://docs.google.com/spreadsheets/d/1Kvs4KS76FHFqLFIZfrDMff4kP08nblUkihrxltoGBjg/edit#gid=934712705"",""ESENCIAL!A6:BG""),8,FALSE))"),"")</f>
        <v/>
      </c>
      <c r="L748" s="287"/>
      <c r="V748" s="66"/>
    </row>
    <row r="749" spans="1:22" ht="15">
      <c r="A749" s="5"/>
      <c r="B749" s="4"/>
      <c r="F749" s="66"/>
      <c r="G749" s="5" t="str">
        <f ca="1">IFERROR(__xludf.DUMMYFUNCTION("IFERROR(VLOOKUP(F787,IMPORTRANGE(""https://docs.google.com/spreadsheets/d/1Kvs4KS76FHFqLFIZfrDMff4kP08nblUkihrxltoGBjg/edit#gid=934712705"",""ESENCIAL!A6:BG""),3,FALSE))"),"")</f>
        <v/>
      </c>
      <c r="H749" s="5" t="str">
        <f ca="1">IFERROR(__xludf.DUMMYFUNCTION("IFERROR(VLOOKUP(F787,IMPORTRANGE(""https://docs.google.com/spreadsheets/d/1Kvs4KS76FHFqLFIZfrDMff4kP08nblUkihrxltoGBjg/edit#gid=934712705"",""ESENCIAL!A6:BG""),8,FALSE))"),"")</f>
        <v/>
      </c>
      <c r="L749" s="287"/>
      <c r="V749" s="66"/>
    </row>
    <row r="750" spans="1:22" ht="15">
      <c r="A750" s="5"/>
      <c r="B750" s="4"/>
      <c r="F750" s="66"/>
      <c r="G750" s="5" t="str">
        <f ca="1">IFERROR(__xludf.DUMMYFUNCTION("IFERROR(VLOOKUP(F788,IMPORTRANGE(""https://docs.google.com/spreadsheets/d/1Kvs4KS76FHFqLFIZfrDMff4kP08nblUkihrxltoGBjg/edit#gid=934712705"",""ESENCIAL!A6:BG""),3,FALSE))"),"")</f>
        <v/>
      </c>
      <c r="H750" s="5" t="str">
        <f ca="1">IFERROR(__xludf.DUMMYFUNCTION("IFERROR(VLOOKUP(F788,IMPORTRANGE(""https://docs.google.com/spreadsheets/d/1Kvs4KS76FHFqLFIZfrDMff4kP08nblUkihrxltoGBjg/edit#gid=934712705"",""ESENCIAL!A6:BG""),8,FALSE))"),"")</f>
        <v/>
      </c>
      <c r="L750" s="287"/>
      <c r="V750" s="66"/>
    </row>
    <row r="751" spans="1:22" ht="15">
      <c r="A751" s="5"/>
      <c r="B751" s="4"/>
      <c r="F751" s="66"/>
      <c r="G751" s="5" t="str">
        <f ca="1">IFERROR(__xludf.DUMMYFUNCTION("IFERROR(VLOOKUP(F789,IMPORTRANGE(""https://docs.google.com/spreadsheets/d/1Kvs4KS76FHFqLFIZfrDMff4kP08nblUkihrxltoGBjg/edit#gid=934712705"",""ESENCIAL!A6:BG""),3,FALSE))"),"")</f>
        <v/>
      </c>
      <c r="H751" s="5" t="str">
        <f ca="1">IFERROR(__xludf.DUMMYFUNCTION("IFERROR(VLOOKUP(F789,IMPORTRANGE(""https://docs.google.com/spreadsheets/d/1Kvs4KS76FHFqLFIZfrDMff4kP08nblUkihrxltoGBjg/edit#gid=934712705"",""ESENCIAL!A6:BG""),8,FALSE))"),"")</f>
        <v/>
      </c>
      <c r="L751" s="287"/>
      <c r="V751" s="66"/>
    </row>
    <row r="752" spans="1:22" ht="15">
      <c r="A752" s="5"/>
      <c r="B752" s="4"/>
      <c r="F752" s="66"/>
      <c r="G752" s="5" t="str">
        <f ca="1">IFERROR(__xludf.DUMMYFUNCTION("IFERROR(VLOOKUP(F790,IMPORTRANGE(""https://docs.google.com/spreadsheets/d/1Kvs4KS76FHFqLFIZfrDMff4kP08nblUkihrxltoGBjg/edit#gid=934712705"",""ESENCIAL!A6:BG""),3,FALSE))"),"")</f>
        <v/>
      </c>
      <c r="H752" s="5" t="str">
        <f ca="1">IFERROR(__xludf.DUMMYFUNCTION("IFERROR(VLOOKUP(F790,IMPORTRANGE(""https://docs.google.com/spreadsheets/d/1Kvs4KS76FHFqLFIZfrDMff4kP08nblUkihrxltoGBjg/edit#gid=934712705"",""ESENCIAL!A6:BG""),8,FALSE))"),"")</f>
        <v/>
      </c>
      <c r="L752" s="287"/>
      <c r="V752" s="66"/>
    </row>
    <row r="753" spans="1:22" ht="15">
      <c r="A753" s="5"/>
      <c r="B753" s="4"/>
      <c r="F753" s="66"/>
      <c r="G753" s="5" t="str">
        <f ca="1">IFERROR(__xludf.DUMMYFUNCTION("IFERROR(VLOOKUP(F791,IMPORTRANGE(""https://docs.google.com/spreadsheets/d/1Kvs4KS76FHFqLFIZfrDMff4kP08nblUkihrxltoGBjg/edit#gid=934712705"",""ESENCIAL!A6:BG""),3,FALSE))"),"")</f>
        <v/>
      </c>
      <c r="H753" s="5" t="str">
        <f ca="1">IFERROR(__xludf.DUMMYFUNCTION("IFERROR(VLOOKUP(F791,IMPORTRANGE(""https://docs.google.com/spreadsheets/d/1Kvs4KS76FHFqLFIZfrDMff4kP08nblUkihrxltoGBjg/edit#gid=934712705"",""ESENCIAL!A6:BG""),8,FALSE))"),"")</f>
        <v/>
      </c>
      <c r="L753" s="287"/>
      <c r="V753" s="66"/>
    </row>
    <row r="754" spans="1:22" ht="15">
      <c r="A754" s="5"/>
      <c r="B754" s="4"/>
      <c r="F754" s="66"/>
      <c r="G754" s="5" t="str">
        <f ca="1">IFERROR(__xludf.DUMMYFUNCTION("IFERROR(VLOOKUP(F792,IMPORTRANGE(""https://docs.google.com/spreadsheets/d/1Kvs4KS76FHFqLFIZfrDMff4kP08nblUkihrxltoGBjg/edit#gid=934712705"",""ESENCIAL!A6:BG""),3,FALSE))"),"")</f>
        <v/>
      </c>
      <c r="H754" s="5" t="str">
        <f ca="1">IFERROR(__xludf.DUMMYFUNCTION("IFERROR(VLOOKUP(F792,IMPORTRANGE(""https://docs.google.com/spreadsheets/d/1Kvs4KS76FHFqLFIZfrDMff4kP08nblUkihrxltoGBjg/edit#gid=934712705"",""ESENCIAL!A6:BG""),8,FALSE))"),"")</f>
        <v/>
      </c>
      <c r="L754" s="287"/>
      <c r="V754" s="66"/>
    </row>
    <row r="755" spans="1:22" ht="15">
      <c r="A755" s="5"/>
      <c r="B755" s="4"/>
      <c r="F755" s="66"/>
      <c r="G755" s="5" t="str">
        <f ca="1">IFERROR(__xludf.DUMMYFUNCTION("IFERROR(VLOOKUP(F793,IMPORTRANGE(""https://docs.google.com/spreadsheets/d/1Kvs4KS76FHFqLFIZfrDMff4kP08nblUkihrxltoGBjg/edit#gid=934712705"",""ESENCIAL!A6:BG""),3,FALSE))"),"")</f>
        <v/>
      </c>
      <c r="H755" s="5" t="str">
        <f ca="1">IFERROR(__xludf.DUMMYFUNCTION("IFERROR(VLOOKUP(F793,IMPORTRANGE(""https://docs.google.com/spreadsheets/d/1Kvs4KS76FHFqLFIZfrDMff4kP08nblUkihrxltoGBjg/edit#gid=934712705"",""ESENCIAL!A6:BG""),8,FALSE))"),"")</f>
        <v/>
      </c>
      <c r="L755" s="287"/>
      <c r="V755" s="66"/>
    </row>
    <row r="756" spans="1:22" ht="15">
      <c r="A756" s="5"/>
      <c r="B756" s="4"/>
      <c r="F756" s="66"/>
      <c r="G756" s="5" t="str">
        <f ca="1">IFERROR(__xludf.DUMMYFUNCTION("IFERROR(VLOOKUP(F794,IMPORTRANGE(""https://docs.google.com/spreadsheets/d/1Kvs4KS76FHFqLFIZfrDMff4kP08nblUkihrxltoGBjg/edit#gid=934712705"",""ESENCIAL!A6:BG""),3,FALSE))"),"")</f>
        <v/>
      </c>
      <c r="H756" s="5" t="str">
        <f ca="1">IFERROR(__xludf.DUMMYFUNCTION("IFERROR(VLOOKUP(F794,IMPORTRANGE(""https://docs.google.com/spreadsheets/d/1Kvs4KS76FHFqLFIZfrDMff4kP08nblUkihrxltoGBjg/edit#gid=934712705"",""ESENCIAL!A6:BG""),8,FALSE))"),"")</f>
        <v/>
      </c>
      <c r="L756" s="287"/>
      <c r="V756" s="66"/>
    </row>
    <row r="757" spans="1:22" ht="15">
      <c r="A757" s="5"/>
      <c r="B757" s="4"/>
      <c r="F757" s="66"/>
      <c r="G757" s="5" t="str">
        <f ca="1">IFERROR(__xludf.DUMMYFUNCTION("IFERROR(VLOOKUP(F795,IMPORTRANGE(""https://docs.google.com/spreadsheets/d/1Kvs4KS76FHFqLFIZfrDMff4kP08nblUkihrxltoGBjg/edit#gid=934712705"",""ESENCIAL!A6:BG""),3,FALSE))"),"")</f>
        <v/>
      </c>
      <c r="H757" s="5" t="str">
        <f ca="1">IFERROR(__xludf.DUMMYFUNCTION("IFERROR(VLOOKUP(F795,IMPORTRANGE(""https://docs.google.com/spreadsheets/d/1Kvs4KS76FHFqLFIZfrDMff4kP08nblUkihrxltoGBjg/edit#gid=934712705"",""ESENCIAL!A6:BG""),8,FALSE))"),"")</f>
        <v/>
      </c>
      <c r="L757" s="287"/>
      <c r="V757" s="66"/>
    </row>
    <row r="758" spans="1:22" ht="15">
      <c r="A758" s="5"/>
      <c r="B758" s="4"/>
      <c r="F758" s="66"/>
      <c r="G758" s="5" t="str">
        <f ca="1">IFERROR(__xludf.DUMMYFUNCTION("IFERROR(VLOOKUP(F796,IMPORTRANGE(""https://docs.google.com/spreadsheets/d/1Kvs4KS76FHFqLFIZfrDMff4kP08nblUkihrxltoGBjg/edit#gid=934712705"",""ESENCIAL!A6:BG""),3,FALSE))"),"")</f>
        <v/>
      </c>
      <c r="H758" s="5" t="str">
        <f ca="1">IFERROR(__xludf.DUMMYFUNCTION("IFERROR(VLOOKUP(F796,IMPORTRANGE(""https://docs.google.com/spreadsheets/d/1Kvs4KS76FHFqLFIZfrDMff4kP08nblUkihrxltoGBjg/edit#gid=934712705"",""ESENCIAL!A6:BG""),8,FALSE))"),"")</f>
        <v/>
      </c>
      <c r="L758" s="287"/>
      <c r="V758" s="66"/>
    </row>
    <row r="759" spans="1:22" ht="15">
      <c r="A759" s="5"/>
      <c r="B759" s="4"/>
      <c r="F759" s="66"/>
      <c r="G759" s="5" t="str">
        <f ca="1">IFERROR(__xludf.DUMMYFUNCTION("IFERROR(VLOOKUP(F797,IMPORTRANGE(""https://docs.google.com/spreadsheets/d/1Kvs4KS76FHFqLFIZfrDMff4kP08nblUkihrxltoGBjg/edit#gid=934712705"",""ESENCIAL!A6:BG""),3,FALSE))"),"")</f>
        <v/>
      </c>
      <c r="H759" s="5" t="str">
        <f ca="1">IFERROR(__xludf.DUMMYFUNCTION("IFERROR(VLOOKUP(F797,IMPORTRANGE(""https://docs.google.com/spreadsheets/d/1Kvs4KS76FHFqLFIZfrDMff4kP08nblUkihrxltoGBjg/edit#gid=934712705"",""ESENCIAL!A6:BG""),8,FALSE))"),"")</f>
        <v/>
      </c>
      <c r="L759" s="287"/>
      <c r="V759" s="66"/>
    </row>
    <row r="760" spans="1:22" ht="15">
      <c r="A760" s="5"/>
      <c r="B760" s="4"/>
      <c r="F760" s="66"/>
      <c r="G760" s="5" t="str">
        <f ca="1">IFERROR(__xludf.DUMMYFUNCTION("IFERROR(VLOOKUP(F798,IMPORTRANGE(""https://docs.google.com/spreadsheets/d/1Kvs4KS76FHFqLFIZfrDMff4kP08nblUkihrxltoGBjg/edit#gid=934712705"",""ESENCIAL!A6:BG""),3,FALSE))"),"")</f>
        <v/>
      </c>
      <c r="H760" s="5" t="str">
        <f ca="1">IFERROR(__xludf.DUMMYFUNCTION("IFERROR(VLOOKUP(F798,IMPORTRANGE(""https://docs.google.com/spreadsheets/d/1Kvs4KS76FHFqLFIZfrDMff4kP08nblUkihrxltoGBjg/edit#gid=934712705"",""ESENCIAL!A6:BG""),8,FALSE))"),"")</f>
        <v/>
      </c>
      <c r="L760" s="287"/>
      <c r="V760" s="66"/>
    </row>
    <row r="761" spans="1:22" ht="15">
      <c r="A761" s="5"/>
      <c r="B761" s="4"/>
      <c r="F761" s="66"/>
      <c r="G761" s="5" t="str">
        <f ca="1">IFERROR(__xludf.DUMMYFUNCTION("IFERROR(VLOOKUP(F799,IMPORTRANGE(""https://docs.google.com/spreadsheets/d/1Kvs4KS76FHFqLFIZfrDMff4kP08nblUkihrxltoGBjg/edit#gid=934712705"",""ESENCIAL!A6:BG""),3,FALSE))"),"")</f>
        <v/>
      </c>
      <c r="H761" s="5" t="str">
        <f ca="1">IFERROR(__xludf.DUMMYFUNCTION("IFERROR(VLOOKUP(F799,IMPORTRANGE(""https://docs.google.com/spreadsheets/d/1Kvs4KS76FHFqLFIZfrDMff4kP08nblUkihrxltoGBjg/edit#gid=934712705"",""ESENCIAL!A6:BG""),8,FALSE))"),"")</f>
        <v/>
      </c>
      <c r="L761" s="287"/>
      <c r="V761" s="66"/>
    </row>
    <row r="762" spans="1:22" ht="15">
      <c r="A762" s="5"/>
      <c r="B762" s="4"/>
      <c r="F762" s="66"/>
      <c r="G762" s="5" t="str">
        <f ca="1">IFERROR(__xludf.DUMMYFUNCTION("IFERROR(VLOOKUP(F800,IMPORTRANGE(""https://docs.google.com/spreadsheets/d/1Kvs4KS76FHFqLFIZfrDMff4kP08nblUkihrxltoGBjg/edit#gid=934712705"",""ESENCIAL!A6:BG""),3,FALSE))"),"")</f>
        <v/>
      </c>
      <c r="H762" s="5" t="str">
        <f ca="1">IFERROR(__xludf.DUMMYFUNCTION("IFERROR(VLOOKUP(F800,IMPORTRANGE(""https://docs.google.com/spreadsheets/d/1Kvs4KS76FHFqLFIZfrDMff4kP08nblUkihrxltoGBjg/edit#gid=934712705"",""ESENCIAL!A6:BG""),8,FALSE))"),"")</f>
        <v/>
      </c>
      <c r="L762" s="287"/>
      <c r="V762" s="66"/>
    </row>
    <row r="763" spans="1:22" ht="15">
      <c r="A763" s="5"/>
      <c r="B763" s="4"/>
      <c r="F763" s="66"/>
      <c r="G763" s="5" t="str">
        <f ca="1">IFERROR(__xludf.DUMMYFUNCTION("IFERROR(VLOOKUP(F801,IMPORTRANGE(""https://docs.google.com/spreadsheets/d/1Kvs4KS76FHFqLFIZfrDMff4kP08nblUkihrxltoGBjg/edit#gid=934712705"",""ESENCIAL!A6:BG""),3,FALSE))"),"")</f>
        <v/>
      </c>
      <c r="H763" s="5" t="str">
        <f ca="1">IFERROR(__xludf.DUMMYFUNCTION("IFERROR(VLOOKUP(F801,IMPORTRANGE(""https://docs.google.com/spreadsheets/d/1Kvs4KS76FHFqLFIZfrDMff4kP08nblUkihrxltoGBjg/edit#gid=934712705"",""ESENCIAL!A6:BG""),8,FALSE))"),"")</f>
        <v/>
      </c>
      <c r="L763" s="287"/>
      <c r="V763" s="66"/>
    </row>
    <row r="764" spans="1:22" ht="15">
      <c r="A764" s="5"/>
      <c r="B764" s="4"/>
      <c r="F764" s="66"/>
      <c r="G764" s="5" t="str">
        <f ca="1">IFERROR(__xludf.DUMMYFUNCTION("IFERROR(VLOOKUP(F802,IMPORTRANGE(""https://docs.google.com/spreadsheets/d/1Kvs4KS76FHFqLFIZfrDMff4kP08nblUkihrxltoGBjg/edit#gid=934712705"",""ESENCIAL!A6:BG""),3,FALSE))"),"")</f>
        <v/>
      </c>
      <c r="H764" s="5" t="str">
        <f ca="1">IFERROR(__xludf.DUMMYFUNCTION("IFERROR(VLOOKUP(F802,IMPORTRANGE(""https://docs.google.com/spreadsheets/d/1Kvs4KS76FHFqLFIZfrDMff4kP08nblUkihrxltoGBjg/edit#gid=934712705"",""ESENCIAL!A6:BG""),8,FALSE))"),"")</f>
        <v/>
      </c>
      <c r="L764" s="287"/>
      <c r="V764" s="66"/>
    </row>
    <row r="765" spans="1:22" ht="15">
      <c r="A765" s="5"/>
      <c r="B765" s="4"/>
      <c r="F765" s="66"/>
      <c r="G765" s="5" t="str">
        <f ca="1">IFERROR(__xludf.DUMMYFUNCTION("IFERROR(VLOOKUP(F803,IMPORTRANGE(""https://docs.google.com/spreadsheets/d/1Kvs4KS76FHFqLFIZfrDMff4kP08nblUkihrxltoGBjg/edit#gid=934712705"",""ESENCIAL!A6:BG""),3,FALSE))"),"")</f>
        <v/>
      </c>
      <c r="H765" s="5" t="str">
        <f ca="1">IFERROR(__xludf.DUMMYFUNCTION("IFERROR(VLOOKUP(F803,IMPORTRANGE(""https://docs.google.com/spreadsheets/d/1Kvs4KS76FHFqLFIZfrDMff4kP08nblUkihrxltoGBjg/edit#gid=934712705"",""ESENCIAL!A6:BG""),8,FALSE))"),"")</f>
        <v/>
      </c>
      <c r="L765" s="287"/>
      <c r="V765" s="66"/>
    </row>
    <row r="766" spans="1:22" ht="15">
      <c r="A766" s="5"/>
      <c r="B766" s="4"/>
      <c r="F766" s="66"/>
      <c r="G766" s="5" t="str">
        <f ca="1">IFERROR(__xludf.DUMMYFUNCTION("IFERROR(VLOOKUP(F804,IMPORTRANGE(""https://docs.google.com/spreadsheets/d/1Kvs4KS76FHFqLFIZfrDMff4kP08nblUkihrxltoGBjg/edit#gid=934712705"",""ESENCIAL!A6:BG""),3,FALSE))"),"")</f>
        <v/>
      </c>
      <c r="H766" s="5" t="str">
        <f ca="1">IFERROR(__xludf.DUMMYFUNCTION("IFERROR(VLOOKUP(F804,IMPORTRANGE(""https://docs.google.com/spreadsheets/d/1Kvs4KS76FHFqLFIZfrDMff4kP08nblUkihrxltoGBjg/edit#gid=934712705"",""ESENCIAL!A6:BG""),8,FALSE))"),"")</f>
        <v/>
      </c>
      <c r="L766" s="287"/>
      <c r="V766" s="66"/>
    </row>
    <row r="767" spans="1:22" ht="15">
      <c r="A767" s="5"/>
      <c r="B767" s="4"/>
      <c r="F767" s="66"/>
      <c r="G767" s="5" t="str">
        <f ca="1">IFERROR(__xludf.DUMMYFUNCTION("IFERROR(VLOOKUP(F805,IMPORTRANGE(""https://docs.google.com/spreadsheets/d/1Kvs4KS76FHFqLFIZfrDMff4kP08nblUkihrxltoGBjg/edit#gid=934712705"",""ESENCIAL!A6:BG""),3,FALSE))"),"")</f>
        <v/>
      </c>
      <c r="H767" s="5" t="str">
        <f ca="1">IFERROR(__xludf.DUMMYFUNCTION("IFERROR(VLOOKUP(F805,IMPORTRANGE(""https://docs.google.com/spreadsheets/d/1Kvs4KS76FHFqLFIZfrDMff4kP08nblUkihrxltoGBjg/edit#gid=934712705"",""ESENCIAL!A6:BG""),8,FALSE))"),"")</f>
        <v/>
      </c>
      <c r="L767" s="287"/>
      <c r="V767" s="66"/>
    </row>
    <row r="768" spans="1:22" ht="15">
      <c r="A768" s="5"/>
      <c r="B768" s="4"/>
      <c r="F768" s="66"/>
      <c r="G768" s="5" t="str">
        <f ca="1">IFERROR(__xludf.DUMMYFUNCTION("IFERROR(VLOOKUP(F806,IMPORTRANGE(""https://docs.google.com/spreadsheets/d/1Kvs4KS76FHFqLFIZfrDMff4kP08nblUkihrxltoGBjg/edit#gid=934712705"",""ESENCIAL!A6:BG""),3,FALSE))"),"")</f>
        <v/>
      </c>
      <c r="H768" s="5" t="str">
        <f ca="1">IFERROR(__xludf.DUMMYFUNCTION("IFERROR(VLOOKUP(F806,IMPORTRANGE(""https://docs.google.com/spreadsheets/d/1Kvs4KS76FHFqLFIZfrDMff4kP08nblUkihrxltoGBjg/edit#gid=934712705"",""ESENCIAL!A6:BG""),8,FALSE))"),"")</f>
        <v/>
      </c>
      <c r="L768" s="287"/>
      <c r="V768" s="66"/>
    </row>
    <row r="769" spans="1:22" ht="15">
      <c r="A769" s="5"/>
      <c r="B769" s="4"/>
      <c r="F769" s="66"/>
      <c r="G769" s="5" t="str">
        <f ca="1">IFERROR(__xludf.DUMMYFUNCTION("IFERROR(VLOOKUP(F807,IMPORTRANGE(""https://docs.google.com/spreadsheets/d/1Kvs4KS76FHFqLFIZfrDMff4kP08nblUkihrxltoGBjg/edit#gid=934712705"",""ESENCIAL!A6:BG""),3,FALSE))"),"")</f>
        <v/>
      </c>
      <c r="H769" s="5" t="str">
        <f ca="1">IFERROR(__xludf.DUMMYFUNCTION("IFERROR(VLOOKUP(F807,IMPORTRANGE(""https://docs.google.com/spreadsheets/d/1Kvs4KS76FHFqLFIZfrDMff4kP08nblUkihrxltoGBjg/edit#gid=934712705"",""ESENCIAL!A6:BG""),8,FALSE))"),"")</f>
        <v/>
      </c>
      <c r="L769" s="287"/>
      <c r="V769" s="66"/>
    </row>
    <row r="770" spans="1:22" ht="15">
      <c r="A770" s="5"/>
      <c r="B770" s="4"/>
      <c r="F770" s="66"/>
      <c r="G770" s="5" t="str">
        <f ca="1">IFERROR(__xludf.DUMMYFUNCTION("IFERROR(VLOOKUP(F808,IMPORTRANGE(""https://docs.google.com/spreadsheets/d/1Kvs4KS76FHFqLFIZfrDMff4kP08nblUkihrxltoGBjg/edit#gid=934712705"",""ESENCIAL!A6:BG""),3,FALSE))"),"")</f>
        <v/>
      </c>
      <c r="H770" s="5" t="str">
        <f ca="1">IFERROR(__xludf.DUMMYFUNCTION("IFERROR(VLOOKUP(F808,IMPORTRANGE(""https://docs.google.com/spreadsheets/d/1Kvs4KS76FHFqLFIZfrDMff4kP08nblUkihrxltoGBjg/edit#gid=934712705"",""ESENCIAL!A6:BG""),8,FALSE))"),"")</f>
        <v/>
      </c>
      <c r="L770" s="287"/>
      <c r="V770" s="66"/>
    </row>
    <row r="771" spans="1:22" ht="15">
      <c r="A771" s="5"/>
      <c r="B771" s="4"/>
      <c r="F771" s="66"/>
      <c r="G771" s="5" t="str">
        <f ca="1">IFERROR(__xludf.DUMMYFUNCTION("IFERROR(VLOOKUP(F809,IMPORTRANGE(""https://docs.google.com/spreadsheets/d/1Kvs4KS76FHFqLFIZfrDMff4kP08nblUkihrxltoGBjg/edit#gid=934712705"",""ESENCIAL!A6:BG""),3,FALSE))"),"")</f>
        <v/>
      </c>
      <c r="H771" s="5" t="str">
        <f ca="1">IFERROR(__xludf.DUMMYFUNCTION("IFERROR(VLOOKUP(F809,IMPORTRANGE(""https://docs.google.com/spreadsheets/d/1Kvs4KS76FHFqLFIZfrDMff4kP08nblUkihrxltoGBjg/edit#gid=934712705"",""ESENCIAL!A6:BG""),8,FALSE))"),"")</f>
        <v/>
      </c>
      <c r="L771" s="287"/>
      <c r="V771" s="66"/>
    </row>
    <row r="772" spans="1:22" ht="15">
      <c r="A772" s="5"/>
      <c r="B772" s="4"/>
      <c r="F772" s="66"/>
      <c r="G772" s="5" t="str">
        <f ca="1">IFERROR(__xludf.DUMMYFUNCTION("IFERROR(VLOOKUP(F810,IMPORTRANGE(""https://docs.google.com/spreadsheets/d/1Kvs4KS76FHFqLFIZfrDMff4kP08nblUkihrxltoGBjg/edit#gid=934712705"",""ESENCIAL!A6:BG""),3,FALSE))"),"")</f>
        <v/>
      </c>
      <c r="H772" s="5" t="str">
        <f ca="1">IFERROR(__xludf.DUMMYFUNCTION("IFERROR(VLOOKUP(F810,IMPORTRANGE(""https://docs.google.com/spreadsheets/d/1Kvs4KS76FHFqLFIZfrDMff4kP08nblUkihrxltoGBjg/edit#gid=934712705"",""ESENCIAL!A6:BG""),8,FALSE))"),"")</f>
        <v/>
      </c>
      <c r="L772" s="287"/>
      <c r="V772" s="66"/>
    </row>
    <row r="773" spans="1:22" ht="15">
      <c r="A773" s="5"/>
      <c r="B773" s="4"/>
      <c r="F773" s="66"/>
      <c r="G773" s="5" t="str">
        <f ca="1">IFERROR(__xludf.DUMMYFUNCTION("IFERROR(VLOOKUP(F811,IMPORTRANGE(""https://docs.google.com/spreadsheets/d/1Kvs4KS76FHFqLFIZfrDMff4kP08nblUkihrxltoGBjg/edit#gid=934712705"",""ESENCIAL!A6:BG""),3,FALSE))"),"")</f>
        <v/>
      </c>
      <c r="H773" s="5" t="str">
        <f ca="1">IFERROR(__xludf.DUMMYFUNCTION("IFERROR(VLOOKUP(F811,IMPORTRANGE(""https://docs.google.com/spreadsheets/d/1Kvs4KS76FHFqLFIZfrDMff4kP08nblUkihrxltoGBjg/edit#gid=934712705"",""ESENCIAL!A6:BG""),8,FALSE))"),"")</f>
        <v/>
      </c>
      <c r="L773" s="287"/>
      <c r="V773" s="66"/>
    </row>
    <row r="774" spans="1:22" ht="15">
      <c r="A774" s="5"/>
      <c r="B774" s="4"/>
      <c r="F774" s="66"/>
      <c r="G774" s="5" t="str">
        <f ca="1">IFERROR(__xludf.DUMMYFUNCTION("IFERROR(VLOOKUP(F812,IMPORTRANGE(""https://docs.google.com/spreadsheets/d/1Kvs4KS76FHFqLFIZfrDMff4kP08nblUkihrxltoGBjg/edit#gid=934712705"",""ESENCIAL!A6:BG""),3,FALSE))"),"")</f>
        <v/>
      </c>
      <c r="H774" s="5" t="str">
        <f ca="1">IFERROR(__xludf.DUMMYFUNCTION("IFERROR(VLOOKUP(F812,IMPORTRANGE(""https://docs.google.com/spreadsheets/d/1Kvs4KS76FHFqLFIZfrDMff4kP08nblUkihrxltoGBjg/edit#gid=934712705"",""ESENCIAL!A6:BG""),8,FALSE))"),"")</f>
        <v/>
      </c>
      <c r="L774" s="287"/>
      <c r="V774" s="66"/>
    </row>
    <row r="775" spans="1:22" ht="15">
      <c r="A775" s="5"/>
      <c r="B775" s="4"/>
      <c r="F775" s="66"/>
      <c r="G775" s="5" t="str">
        <f ca="1">IFERROR(__xludf.DUMMYFUNCTION("IFERROR(VLOOKUP(F813,IMPORTRANGE(""https://docs.google.com/spreadsheets/d/1Kvs4KS76FHFqLFIZfrDMff4kP08nblUkihrxltoGBjg/edit#gid=934712705"",""ESENCIAL!A6:BG""),3,FALSE))"),"")</f>
        <v/>
      </c>
      <c r="H775" s="5" t="str">
        <f ca="1">IFERROR(__xludf.DUMMYFUNCTION("IFERROR(VLOOKUP(F813,IMPORTRANGE(""https://docs.google.com/spreadsheets/d/1Kvs4KS76FHFqLFIZfrDMff4kP08nblUkihrxltoGBjg/edit#gid=934712705"",""ESENCIAL!A6:BG""),8,FALSE))"),"")</f>
        <v/>
      </c>
      <c r="L775" s="287"/>
      <c r="V775" s="66"/>
    </row>
    <row r="776" spans="1:22" ht="15">
      <c r="A776" s="5"/>
      <c r="B776" s="4"/>
      <c r="F776" s="66"/>
      <c r="G776" s="5" t="str">
        <f ca="1">IFERROR(__xludf.DUMMYFUNCTION("IFERROR(VLOOKUP(F814,IMPORTRANGE(""https://docs.google.com/spreadsheets/d/1Kvs4KS76FHFqLFIZfrDMff4kP08nblUkihrxltoGBjg/edit#gid=934712705"",""ESENCIAL!A6:BG""),3,FALSE))"),"")</f>
        <v/>
      </c>
      <c r="H776" s="5" t="str">
        <f ca="1">IFERROR(__xludf.DUMMYFUNCTION("IFERROR(VLOOKUP(F814,IMPORTRANGE(""https://docs.google.com/spreadsheets/d/1Kvs4KS76FHFqLFIZfrDMff4kP08nblUkihrxltoGBjg/edit#gid=934712705"",""ESENCIAL!A6:BG""),8,FALSE))"),"")</f>
        <v/>
      </c>
      <c r="L776" s="287"/>
      <c r="V776" s="66"/>
    </row>
    <row r="777" spans="1:22" ht="15">
      <c r="A777" s="5"/>
      <c r="B777" s="4"/>
      <c r="F777" s="66"/>
      <c r="G777" s="5" t="str">
        <f ca="1">IFERROR(__xludf.DUMMYFUNCTION("IFERROR(VLOOKUP(F815,IMPORTRANGE(""https://docs.google.com/spreadsheets/d/1Kvs4KS76FHFqLFIZfrDMff4kP08nblUkihrxltoGBjg/edit#gid=934712705"",""ESENCIAL!A6:BG""),3,FALSE))"),"")</f>
        <v/>
      </c>
      <c r="H777" s="5" t="str">
        <f ca="1">IFERROR(__xludf.DUMMYFUNCTION("IFERROR(VLOOKUP(F815,IMPORTRANGE(""https://docs.google.com/spreadsheets/d/1Kvs4KS76FHFqLFIZfrDMff4kP08nblUkihrxltoGBjg/edit#gid=934712705"",""ESENCIAL!A6:BG""),8,FALSE))"),"")</f>
        <v/>
      </c>
      <c r="L777" s="287"/>
      <c r="V777" s="66"/>
    </row>
    <row r="778" spans="1:22" ht="15">
      <c r="A778" s="5"/>
      <c r="B778" s="4"/>
      <c r="F778" s="66"/>
      <c r="G778" s="5" t="str">
        <f ca="1">IFERROR(__xludf.DUMMYFUNCTION("IFERROR(VLOOKUP(F816,IMPORTRANGE(""https://docs.google.com/spreadsheets/d/1Kvs4KS76FHFqLFIZfrDMff4kP08nblUkihrxltoGBjg/edit#gid=934712705"",""ESENCIAL!A6:BG""),3,FALSE))"),"")</f>
        <v/>
      </c>
      <c r="H778" s="5" t="str">
        <f ca="1">IFERROR(__xludf.DUMMYFUNCTION("IFERROR(VLOOKUP(F816,IMPORTRANGE(""https://docs.google.com/spreadsheets/d/1Kvs4KS76FHFqLFIZfrDMff4kP08nblUkihrxltoGBjg/edit#gid=934712705"",""ESENCIAL!A6:BG""),8,FALSE))"),"")</f>
        <v/>
      </c>
      <c r="L778" s="287"/>
      <c r="V778" s="66"/>
    </row>
    <row r="779" spans="1:22" ht="15">
      <c r="A779" s="5"/>
      <c r="B779" s="4"/>
      <c r="F779" s="66"/>
      <c r="G779" s="5" t="str">
        <f ca="1">IFERROR(__xludf.DUMMYFUNCTION("IFERROR(VLOOKUP(F817,IMPORTRANGE(""https://docs.google.com/spreadsheets/d/1Kvs4KS76FHFqLFIZfrDMff4kP08nblUkihrxltoGBjg/edit#gid=934712705"",""ESENCIAL!A6:BG""),3,FALSE))"),"")</f>
        <v/>
      </c>
      <c r="H779" s="5" t="str">
        <f ca="1">IFERROR(__xludf.DUMMYFUNCTION("IFERROR(VLOOKUP(F817,IMPORTRANGE(""https://docs.google.com/spreadsheets/d/1Kvs4KS76FHFqLFIZfrDMff4kP08nblUkihrxltoGBjg/edit#gid=934712705"",""ESENCIAL!A6:BG""),8,FALSE))"),"")</f>
        <v/>
      </c>
      <c r="L779" s="287"/>
      <c r="V779" s="66"/>
    </row>
    <row r="780" spans="1:22" ht="15">
      <c r="A780" s="5"/>
      <c r="B780" s="4"/>
      <c r="F780" s="66"/>
      <c r="G780" s="5" t="str">
        <f ca="1">IFERROR(__xludf.DUMMYFUNCTION("IFERROR(VLOOKUP(F818,IMPORTRANGE(""https://docs.google.com/spreadsheets/d/1Kvs4KS76FHFqLFIZfrDMff4kP08nblUkihrxltoGBjg/edit#gid=934712705"",""ESENCIAL!A6:BG""),3,FALSE))"),"")</f>
        <v/>
      </c>
      <c r="H780" s="5" t="str">
        <f ca="1">IFERROR(__xludf.DUMMYFUNCTION("IFERROR(VLOOKUP(F818,IMPORTRANGE(""https://docs.google.com/spreadsheets/d/1Kvs4KS76FHFqLFIZfrDMff4kP08nblUkihrxltoGBjg/edit#gid=934712705"",""ESENCIAL!A6:BG""),8,FALSE))"),"")</f>
        <v/>
      </c>
      <c r="L780" s="287"/>
      <c r="V780" s="66"/>
    </row>
    <row r="781" spans="1:22" ht="15">
      <c r="A781" s="5"/>
      <c r="B781" s="4"/>
      <c r="F781" s="66"/>
      <c r="G781" s="5" t="str">
        <f ca="1">IFERROR(__xludf.DUMMYFUNCTION("IFERROR(VLOOKUP(F819,IMPORTRANGE(""https://docs.google.com/spreadsheets/d/1Kvs4KS76FHFqLFIZfrDMff4kP08nblUkihrxltoGBjg/edit#gid=934712705"",""ESENCIAL!A6:BG""),3,FALSE))"),"")</f>
        <v/>
      </c>
      <c r="H781" s="5" t="str">
        <f ca="1">IFERROR(__xludf.DUMMYFUNCTION("IFERROR(VLOOKUP(F819,IMPORTRANGE(""https://docs.google.com/spreadsheets/d/1Kvs4KS76FHFqLFIZfrDMff4kP08nblUkihrxltoGBjg/edit#gid=934712705"",""ESENCIAL!A6:BG""),8,FALSE))"),"")</f>
        <v/>
      </c>
      <c r="L781" s="287"/>
      <c r="V781" s="66"/>
    </row>
    <row r="782" spans="1:22" ht="15">
      <c r="A782" s="5"/>
      <c r="B782" s="4"/>
      <c r="F782" s="66"/>
      <c r="G782" s="5" t="str">
        <f ca="1">IFERROR(__xludf.DUMMYFUNCTION("IFERROR(VLOOKUP(F820,IMPORTRANGE(""https://docs.google.com/spreadsheets/d/1Kvs4KS76FHFqLFIZfrDMff4kP08nblUkihrxltoGBjg/edit#gid=934712705"",""ESENCIAL!A6:BG""),3,FALSE))"),"")</f>
        <v/>
      </c>
      <c r="H782" s="5" t="str">
        <f ca="1">IFERROR(__xludf.DUMMYFUNCTION("IFERROR(VLOOKUP(F820,IMPORTRANGE(""https://docs.google.com/spreadsheets/d/1Kvs4KS76FHFqLFIZfrDMff4kP08nblUkihrxltoGBjg/edit#gid=934712705"",""ESENCIAL!A6:BG""),8,FALSE))"),"")</f>
        <v/>
      </c>
      <c r="L782" s="287"/>
      <c r="V782" s="66"/>
    </row>
    <row r="783" spans="1:22" ht="15">
      <c r="A783" s="5"/>
      <c r="B783" s="4"/>
      <c r="F783" s="66"/>
      <c r="G783" s="5" t="str">
        <f ca="1">IFERROR(__xludf.DUMMYFUNCTION("IFERROR(VLOOKUP(F821,IMPORTRANGE(""https://docs.google.com/spreadsheets/d/1Kvs4KS76FHFqLFIZfrDMff4kP08nblUkihrxltoGBjg/edit#gid=934712705"",""ESENCIAL!A6:BG""),3,FALSE))"),"")</f>
        <v/>
      </c>
      <c r="H783" s="5" t="str">
        <f ca="1">IFERROR(__xludf.DUMMYFUNCTION("IFERROR(VLOOKUP(F821,IMPORTRANGE(""https://docs.google.com/spreadsheets/d/1Kvs4KS76FHFqLFIZfrDMff4kP08nblUkihrxltoGBjg/edit#gid=934712705"",""ESENCIAL!A6:BG""),8,FALSE))"),"")</f>
        <v/>
      </c>
      <c r="L783" s="287"/>
      <c r="V783" s="66"/>
    </row>
    <row r="784" spans="1:22" ht="15">
      <c r="A784" s="5"/>
      <c r="B784" s="4"/>
      <c r="F784" s="66"/>
      <c r="G784" s="5" t="str">
        <f ca="1">IFERROR(__xludf.DUMMYFUNCTION("IFERROR(VLOOKUP(F822,IMPORTRANGE(""https://docs.google.com/spreadsheets/d/1Kvs4KS76FHFqLFIZfrDMff4kP08nblUkihrxltoGBjg/edit#gid=934712705"",""ESENCIAL!A6:BG""),3,FALSE))"),"")</f>
        <v/>
      </c>
      <c r="H784" s="5" t="str">
        <f ca="1">IFERROR(__xludf.DUMMYFUNCTION("IFERROR(VLOOKUP(F822,IMPORTRANGE(""https://docs.google.com/spreadsheets/d/1Kvs4KS76FHFqLFIZfrDMff4kP08nblUkihrxltoGBjg/edit#gid=934712705"",""ESENCIAL!A6:BG""),8,FALSE))"),"")</f>
        <v/>
      </c>
      <c r="L784" s="287"/>
      <c r="V784" s="66"/>
    </row>
    <row r="785" spans="1:22" ht="15">
      <c r="A785" s="5"/>
      <c r="B785" s="4"/>
      <c r="F785" s="66"/>
      <c r="G785" s="5" t="str">
        <f ca="1">IFERROR(__xludf.DUMMYFUNCTION("IFERROR(VLOOKUP(F823,IMPORTRANGE(""https://docs.google.com/spreadsheets/d/1Kvs4KS76FHFqLFIZfrDMff4kP08nblUkihrxltoGBjg/edit#gid=934712705"",""ESENCIAL!A6:BG""),3,FALSE))"),"")</f>
        <v/>
      </c>
      <c r="H785" s="5" t="str">
        <f ca="1">IFERROR(__xludf.DUMMYFUNCTION("IFERROR(VLOOKUP(F823,IMPORTRANGE(""https://docs.google.com/spreadsheets/d/1Kvs4KS76FHFqLFIZfrDMff4kP08nblUkihrxltoGBjg/edit#gid=934712705"",""ESENCIAL!A6:BG""),8,FALSE))"),"")</f>
        <v/>
      </c>
      <c r="L785" s="287"/>
      <c r="V785" s="66"/>
    </row>
    <row r="786" spans="1:22" ht="15">
      <c r="A786" s="5"/>
      <c r="B786" s="4"/>
      <c r="F786" s="66"/>
      <c r="G786" s="5" t="str">
        <f ca="1">IFERROR(__xludf.DUMMYFUNCTION("IFERROR(VLOOKUP(F824,IMPORTRANGE(""https://docs.google.com/spreadsheets/d/1Kvs4KS76FHFqLFIZfrDMff4kP08nblUkihrxltoGBjg/edit#gid=934712705"",""ESENCIAL!A6:BG""),3,FALSE))"),"")</f>
        <v/>
      </c>
      <c r="H786" s="5" t="str">
        <f ca="1">IFERROR(__xludf.DUMMYFUNCTION("IFERROR(VLOOKUP(F824,IMPORTRANGE(""https://docs.google.com/spreadsheets/d/1Kvs4KS76FHFqLFIZfrDMff4kP08nblUkihrxltoGBjg/edit#gid=934712705"",""ESENCIAL!A6:BG""),8,FALSE))"),"")</f>
        <v/>
      </c>
      <c r="L786" s="287"/>
      <c r="V786" s="66"/>
    </row>
    <row r="787" spans="1:22" ht="15">
      <c r="A787" s="5"/>
      <c r="B787" s="4"/>
      <c r="F787" s="66"/>
      <c r="G787" s="5" t="str">
        <f ca="1">IFERROR(__xludf.DUMMYFUNCTION("IFERROR(VLOOKUP(F825,IMPORTRANGE(""https://docs.google.com/spreadsheets/d/1Kvs4KS76FHFqLFIZfrDMff4kP08nblUkihrxltoGBjg/edit#gid=934712705"",""ESENCIAL!A6:BG""),3,FALSE))"),"")</f>
        <v/>
      </c>
      <c r="H787" s="5" t="str">
        <f ca="1">IFERROR(__xludf.DUMMYFUNCTION("IFERROR(VLOOKUP(F825,IMPORTRANGE(""https://docs.google.com/spreadsheets/d/1Kvs4KS76FHFqLFIZfrDMff4kP08nblUkihrxltoGBjg/edit#gid=934712705"",""ESENCIAL!A6:BG""),8,FALSE))"),"")</f>
        <v/>
      </c>
      <c r="L787" s="287"/>
      <c r="V787" s="66"/>
    </row>
    <row r="788" spans="1:22" ht="15">
      <c r="A788" s="5"/>
      <c r="B788" s="4"/>
      <c r="F788" s="66"/>
      <c r="G788" s="5" t="str">
        <f ca="1">IFERROR(__xludf.DUMMYFUNCTION("IFERROR(VLOOKUP(F826,IMPORTRANGE(""https://docs.google.com/spreadsheets/d/1Kvs4KS76FHFqLFIZfrDMff4kP08nblUkihrxltoGBjg/edit#gid=934712705"",""ESENCIAL!A6:BG""),3,FALSE))"),"")</f>
        <v/>
      </c>
      <c r="H788" s="5" t="str">
        <f ca="1">IFERROR(__xludf.DUMMYFUNCTION("IFERROR(VLOOKUP(F826,IMPORTRANGE(""https://docs.google.com/spreadsheets/d/1Kvs4KS76FHFqLFIZfrDMff4kP08nblUkihrxltoGBjg/edit#gid=934712705"",""ESENCIAL!A6:BG""),8,FALSE))"),"")</f>
        <v/>
      </c>
      <c r="L788" s="287"/>
      <c r="V788" s="66"/>
    </row>
    <row r="789" spans="1:22" ht="15">
      <c r="A789" s="5"/>
      <c r="B789" s="4"/>
      <c r="F789" s="66"/>
      <c r="G789" s="5" t="str">
        <f ca="1">IFERROR(__xludf.DUMMYFUNCTION("IFERROR(VLOOKUP(F827,IMPORTRANGE(""https://docs.google.com/spreadsheets/d/1Kvs4KS76FHFqLFIZfrDMff4kP08nblUkihrxltoGBjg/edit#gid=934712705"",""ESENCIAL!A6:BG""),3,FALSE))"),"")</f>
        <v/>
      </c>
      <c r="H789" s="5" t="str">
        <f ca="1">IFERROR(__xludf.DUMMYFUNCTION("IFERROR(VLOOKUP(F827,IMPORTRANGE(""https://docs.google.com/spreadsheets/d/1Kvs4KS76FHFqLFIZfrDMff4kP08nblUkihrxltoGBjg/edit#gid=934712705"",""ESENCIAL!A6:BG""),8,FALSE))"),"")</f>
        <v/>
      </c>
      <c r="L789" s="287"/>
      <c r="V789" s="66"/>
    </row>
    <row r="790" spans="1:22" ht="15">
      <c r="A790" s="5"/>
      <c r="B790" s="4"/>
      <c r="F790" s="66"/>
      <c r="G790" s="5" t="str">
        <f ca="1">IFERROR(__xludf.DUMMYFUNCTION("IFERROR(VLOOKUP(F828,IMPORTRANGE(""https://docs.google.com/spreadsheets/d/1Kvs4KS76FHFqLFIZfrDMff4kP08nblUkihrxltoGBjg/edit#gid=934712705"",""ESENCIAL!A6:BG""),3,FALSE))"),"")</f>
        <v/>
      </c>
      <c r="H790" s="5" t="str">
        <f ca="1">IFERROR(__xludf.DUMMYFUNCTION("IFERROR(VLOOKUP(F828,IMPORTRANGE(""https://docs.google.com/spreadsheets/d/1Kvs4KS76FHFqLFIZfrDMff4kP08nblUkihrxltoGBjg/edit#gid=934712705"",""ESENCIAL!A6:BG""),8,FALSE))"),"")</f>
        <v/>
      </c>
      <c r="L790" s="287"/>
      <c r="V790" s="66"/>
    </row>
    <row r="791" spans="1:22" ht="15">
      <c r="A791" s="5"/>
      <c r="B791" s="4"/>
      <c r="F791" s="66"/>
      <c r="G791" s="5" t="str">
        <f ca="1">IFERROR(__xludf.DUMMYFUNCTION("IFERROR(VLOOKUP(F829,IMPORTRANGE(""https://docs.google.com/spreadsheets/d/1Kvs4KS76FHFqLFIZfrDMff4kP08nblUkihrxltoGBjg/edit#gid=934712705"",""ESENCIAL!A6:BG""),3,FALSE))"),"")</f>
        <v/>
      </c>
      <c r="H791" s="5" t="str">
        <f ca="1">IFERROR(__xludf.DUMMYFUNCTION("IFERROR(VLOOKUP(F829,IMPORTRANGE(""https://docs.google.com/spreadsheets/d/1Kvs4KS76FHFqLFIZfrDMff4kP08nblUkihrxltoGBjg/edit#gid=934712705"",""ESENCIAL!A6:BG""),8,FALSE))"),"")</f>
        <v/>
      </c>
      <c r="L791" s="287"/>
      <c r="V791" s="66"/>
    </row>
    <row r="792" spans="1:22" ht="15">
      <c r="A792" s="5"/>
      <c r="B792" s="4"/>
      <c r="F792" s="66"/>
      <c r="G792" s="5" t="str">
        <f ca="1">IFERROR(__xludf.DUMMYFUNCTION("IFERROR(VLOOKUP(F830,IMPORTRANGE(""https://docs.google.com/spreadsheets/d/1Kvs4KS76FHFqLFIZfrDMff4kP08nblUkihrxltoGBjg/edit#gid=934712705"",""ESENCIAL!A6:BG""),3,FALSE))"),"")</f>
        <v/>
      </c>
      <c r="H792" s="5" t="str">
        <f ca="1">IFERROR(__xludf.DUMMYFUNCTION("IFERROR(VLOOKUP(F830,IMPORTRANGE(""https://docs.google.com/spreadsheets/d/1Kvs4KS76FHFqLFIZfrDMff4kP08nblUkihrxltoGBjg/edit#gid=934712705"",""ESENCIAL!A6:BG""),8,FALSE))"),"")</f>
        <v/>
      </c>
      <c r="L792" s="287"/>
      <c r="V792" s="66"/>
    </row>
    <row r="793" spans="1:22" ht="15">
      <c r="A793" s="5"/>
      <c r="B793" s="4"/>
      <c r="F793" s="66"/>
      <c r="G793" s="5" t="str">
        <f ca="1">IFERROR(__xludf.DUMMYFUNCTION("IFERROR(VLOOKUP(F831,IMPORTRANGE(""https://docs.google.com/spreadsheets/d/1Kvs4KS76FHFqLFIZfrDMff4kP08nblUkihrxltoGBjg/edit#gid=934712705"",""ESENCIAL!A6:BG""),3,FALSE))"),"")</f>
        <v/>
      </c>
      <c r="H793" s="5" t="str">
        <f ca="1">IFERROR(__xludf.DUMMYFUNCTION("IFERROR(VLOOKUP(F831,IMPORTRANGE(""https://docs.google.com/spreadsheets/d/1Kvs4KS76FHFqLFIZfrDMff4kP08nblUkihrxltoGBjg/edit#gid=934712705"",""ESENCIAL!A6:BG""),8,FALSE))"),"")</f>
        <v/>
      </c>
      <c r="L793" s="287"/>
      <c r="V793" s="66"/>
    </row>
    <row r="794" spans="1:22" ht="15">
      <c r="A794" s="5"/>
      <c r="B794" s="4"/>
      <c r="F794" s="66"/>
      <c r="G794" s="5" t="str">
        <f ca="1">IFERROR(__xludf.DUMMYFUNCTION("IFERROR(VLOOKUP(F832,IMPORTRANGE(""https://docs.google.com/spreadsheets/d/1Kvs4KS76FHFqLFIZfrDMff4kP08nblUkihrxltoGBjg/edit#gid=934712705"",""ESENCIAL!A6:BG""),3,FALSE))"),"")</f>
        <v/>
      </c>
      <c r="H794" s="5" t="str">
        <f ca="1">IFERROR(__xludf.DUMMYFUNCTION("IFERROR(VLOOKUP(F832,IMPORTRANGE(""https://docs.google.com/spreadsheets/d/1Kvs4KS76FHFqLFIZfrDMff4kP08nblUkihrxltoGBjg/edit#gid=934712705"",""ESENCIAL!A6:BG""),8,FALSE))"),"")</f>
        <v/>
      </c>
      <c r="L794" s="287"/>
      <c r="V794" s="66"/>
    </row>
    <row r="795" spans="1:22" ht="15">
      <c r="A795" s="5"/>
      <c r="B795" s="4"/>
      <c r="F795" s="66"/>
      <c r="G795" s="5" t="str">
        <f ca="1">IFERROR(__xludf.DUMMYFUNCTION("IFERROR(VLOOKUP(F833,IMPORTRANGE(""https://docs.google.com/spreadsheets/d/1Kvs4KS76FHFqLFIZfrDMff4kP08nblUkihrxltoGBjg/edit#gid=934712705"",""ESENCIAL!A6:BG""),3,FALSE))"),"")</f>
        <v/>
      </c>
      <c r="H795" s="5" t="str">
        <f ca="1">IFERROR(__xludf.DUMMYFUNCTION("IFERROR(VLOOKUP(F833,IMPORTRANGE(""https://docs.google.com/spreadsheets/d/1Kvs4KS76FHFqLFIZfrDMff4kP08nblUkihrxltoGBjg/edit#gid=934712705"",""ESENCIAL!A6:BG""),8,FALSE))"),"")</f>
        <v/>
      </c>
      <c r="L795" s="287"/>
      <c r="V795" s="66"/>
    </row>
    <row r="796" spans="1:22" ht="15">
      <c r="A796" s="5"/>
      <c r="B796" s="4"/>
      <c r="F796" s="66"/>
      <c r="G796" s="5" t="str">
        <f ca="1">IFERROR(__xludf.DUMMYFUNCTION("IFERROR(VLOOKUP(F834,IMPORTRANGE(""https://docs.google.com/spreadsheets/d/1Kvs4KS76FHFqLFIZfrDMff4kP08nblUkihrxltoGBjg/edit#gid=934712705"",""ESENCIAL!A6:BG""),3,FALSE))"),"")</f>
        <v/>
      </c>
      <c r="H796" s="5" t="str">
        <f ca="1">IFERROR(__xludf.DUMMYFUNCTION("IFERROR(VLOOKUP(F834,IMPORTRANGE(""https://docs.google.com/spreadsheets/d/1Kvs4KS76FHFqLFIZfrDMff4kP08nblUkihrxltoGBjg/edit#gid=934712705"",""ESENCIAL!A6:BG""),8,FALSE))"),"")</f>
        <v/>
      </c>
      <c r="L796" s="287"/>
      <c r="V796" s="66"/>
    </row>
    <row r="797" spans="1:22" ht="15">
      <c r="A797" s="5"/>
      <c r="B797" s="4"/>
      <c r="F797" s="66"/>
      <c r="G797" s="5" t="str">
        <f ca="1">IFERROR(__xludf.DUMMYFUNCTION("IFERROR(VLOOKUP(F835,IMPORTRANGE(""https://docs.google.com/spreadsheets/d/1Kvs4KS76FHFqLFIZfrDMff4kP08nblUkihrxltoGBjg/edit#gid=934712705"",""ESENCIAL!A6:BG""),3,FALSE))"),"")</f>
        <v/>
      </c>
      <c r="H797" s="5" t="str">
        <f ca="1">IFERROR(__xludf.DUMMYFUNCTION("IFERROR(VLOOKUP(F835,IMPORTRANGE(""https://docs.google.com/spreadsheets/d/1Kvs4KS76FHFqLFIZfrDMff4kP08nblUkihrxltoGBjg/edit#gid=934712705"",""ESENCIAL!A6:BG""),8,FALSE))"),"")</f>
        <v/>
      </c>
      <c r="L797" s="287"/>
      <c r="V797" s="66"/>
    </row>
    <row r="798" spans="1:22" ht="15">
      <c r="A798" s="5"/>
      <c r="B798" s="4"/>
      <c r="F798" s="66"/>
      <c r="G798" s="5" t="str">
        <f ca="1">IFERROR(__xludf.DUMMYFUNCTION("IFERROR(VLOOKUP(F836,IMPORTRANGE(""https://docs.google.com/spreadsheets/d/1Kvs4KS76FHFqLFIZfrDMff4kP08nblUkihrxltoGBjg/edit#gid=934712705"",""ESENCIAL!A6:BG""),3,FALSE))"),"")</f>
        <v/>
      </c>
      <c r="H798" s="5" t="str">
        <f ca="1">IFERROR(__xludf.DUMMYFUNCTION("IFERROR(VLOOKUP(F836,IMPORTRANGE(""https://docs.google.com/spreadsheets/d/1Kvs4KS76FHFqLFIZfrDMff4kP08nblUkihrxltoGBjg/edit#gid=934712705"",""ESENCIAL!A6:BG""),8,FALSE))"),"")</f>
        <v/>
      </c>
      <c r="L798" s="287"/>
      <c r="V798" s="66"/>
    </row>
    <row r="799" spans="1:22" ht="15">
      <c r="A799" s="5"/>
      <c r="B799" s="4"/>
      <c r="F799" s="66"/>
      <c r="G799" s="5" t="str">
        <f ca="1">IFERROR(__xludf.DUMMYFUNCTION("IFERROR(VLOOKUP(F837,IMPORTRANGE(""https://docs.google.com/spreadsheets/d/1Kvs4KS76FHFqLFIZfrDMff4kP08nblUkihrxltoGBjg/edit#gid=934712705"",""ESENCIAL!A6:BG""),3,FALSE))"),"")</f>
        <v/>
      </c>
      <c r="H799" s="5" t="str">
        <f ca="1">IFERROR(__xludf.DUMMYFUNCTION("IFERROR(VLOOKUP(F837,IMPORTRANGE(""https://docs.google.com/spreadsheets/d/1Kvs4KS76FHFqLFIZfrDMff4kP08nblUkihrxltoGBjg/edit#gid=934712705"",""ESENCIAL!A6:BG""),8,FALSE))"),"")</f>
        <v/>
      </c>
      <c r="L799" s="287"/>
      <c r="V799" s="66"/>
    </row>
    <row r="800" spans="1:22" ht="15">
      <c r="A800" s="5"/>
      <c r="B800" s="4"/>
      <c r="F800" s="66"/>
      <c r="G800" s="5" t="str">
        <f ca="1">IFERROR(__xludf.DUMMYFUNCTION("IFERROR(VLOOKUP(F838,IMPORTRANGE(""https://docs.google.com/spreadsheets/d/1Kvs4KS76FHFqLFIZfrDMff4kP08nblUkihrxltoGBjg/edit#gid=934712705"",""ESENCIAL!A6:BG""),3,FALSE))"),"")</f>
        <v/>
      </c>
      <c r="H800" s="5" t="str">
        <f ca="1">IFERROR(__xludf.DUMMYFUNCTION("IFERROR(VLOOKUP(F838,IMPORTRANGE(""https://docs.google.com/spreadsheets/d/1Kvs4KS76FHFqLFIZfrDMff4kP08nblUkihrxltoGBjg/edit#gid=934712705"",""ESENCIAL!A6:BG""),8,FALSE))"),"")</f>
        <v/>
      </c>
      <c r="L800" s="287"/>
      <c r="V800" s="66"/>
    </row>
    <row r="801" spans="1:22" ht="15">
      <c r="A801" s="5"/>
      <c r="B801" s="4"/>
      <c r="F801" s="66"/>
      <c r="G801" s="5" t="str">
        <f ca="1">IFERROR(__xludf.DUMMYFUNCTION("IFERROR(VLOOKUP(F839,IMPORTRANGE(""https://docs.google.com/spreadsheets/d/1Kvs4KS76FHFqLFIZfrDMff4kP08nblUkihrxltoGBjg/edit#gid=934712705"",""ESENCIAL!A6:BG""),3,FALSE))"),"")</f>
        <v/>
      </c>
      <c r="H801" s="5" t="str">
        <f ca="1">IFERROR(__xludf.DUMMYFUNCTION("IFERROR(VLOOKUP(F839,IMPORTRANGE(""https://docs.google.com/spreadsheets/d/1Kvs4KS76FHFqLFIZfrDMff4kP08nblUkihrxltoGBjg/edit#gid=934712705"",""ESENCIAL!A6:BG""),8,FALSE))"),"")</f>
        <v/>
      </c>
      <c r="L801" s="287"/>
      <c r="V801" s="66"/>
    </row>
    <row r="802" spans="1:22" ht="15">
      <c r="A802" s="5"/>
      <c r="B802" s="4"/>
      <c r="F802" s="66"/>
      <c r="G802" s="5" t="str">
        <f ca="1">IFERROR(__xludf.DUMMYFUNCTION("IFERROR(VLOOKUP(F840,IMPORTRANGE(""https://docs.google.com/spreadsheets/d/1Kvs4KS76FHFqLFIZfrDMff4kP08nblUkihrxltoGBjg/edit#gid=934712705"",""ESENCIAL!A6:BG""),3,FALSE))"),"")</f>
        <v/>
      </c>
      <c r="H802" s="5" t="str">
        <f ca="1">IFERROR(__xludf.DUMMYFUNCTION("IFERROR(VLOOKUP(F840,IMPORTRANGE(""https://docs.google.com/spreadsheets/d/1Kvs4KS76FHFqLFIZfrDMff4kP08nblUkihrxltoGBjg/edit#gid=934712705"",""ESENCIAL!A6:BG""),8,FALSE))"),"")</f>
        <v/>
      </c>
      <c r="L802" s="287"/>
      <c r="V802" s="66"/>
    </row>
    <row r="803" spans="1:22" ht="15">
      <c r="A803" s="5"/>
      <c r="B803" s="4"/>
      <c r="F803" s="66"/>
      <c r="G803" s="5" t="str">
        <f ca="1">IFERROR(__xludf.DUMMYFUNCTION("IFERROR(VLOOKUP(F841,IMPORTRANGE(""https://docs.google.com/spreadsheets/d/1Kvs4KS76FHFqLFIZfrDMff4kP08nblUkihrxltoGBjg/edit#gid=934712705"",""ESENCIAL!A6:BG""),3,FALSE))"),"")</f>
        <v/>
      </c>
      <c r="H803" s="5" t="str">
        <f ca="1">IFERROR(__xludf.DUMMYFUNCTION("IFERROR(VLOOKUP(F841,IMPORTRANGE(""https://docs.google.com/spreadsheets/d/1Kvs4KS76FHFqLFIZfrDMff4kP08nblUkihrxltoGBjg/edit#gid=934712705"",""ESENCIAL!A6:BG""),8,FALSE))"),"")</f>
        <v/>
      </c>
      <c r="L803" s="287"/>
      <c r="V803" s="66"/>
    </row>
    <row r="804" spans="1:22" ht="15">
      <c r="A804" s="5"/>
      <c r="B804" s="4"/>
      <c r="F804" s="66"/>
      <c r="G804" s="5" t="str">
        <f ca="1">IFERROR(__xludf.DUMMYFUNCTION("IFERROR(VLOOKUP(F842,IMPORTRANGE(""https://docs.google.com/spreadsheets/d/1Kvs4KS76FHFqLFIZfrDMff4kP08nblUkihrxltoGBjg/edit#gid=934712705"",""ESENCIAL!A6:BG""),3,FALSE))"),"")</f>
        <v/>
      </c>
      <c r="H804" s="5" t="str">
        <f ca="1">IFERROR(__xludf.DUMMYFUNCTION("IFERROR(VLOOKUP(F842,IMPORTRANGE(""https://docs.google.com/spreadsheets/d/1Kvs4KS76FHFqLFIZfrDMff4kP08nblUkihrxltoGBjg/edit#gid=934712705"",""ESENCIAL!A6:BG""),8,FALSE))"),"")</f>
        <v/>
      </c>
      <c r="L804" s="287"/>
      <c r="V804" s="66"/>
    </row>
    <row r="805" spans="1:22" ht="15">
      <c r="A805" s="5"/>
      <c r="B805" s="4"/>
      <c r="F805" s="66"/>
      <c r="G805" s="5" t="str">
        <f ca="1">IFERROR(__xludf.DUMMYFUNCTION("IFERROR(VLOOKUP(F843,IMPORTRANGE(""https://docs.google.com/spreadsheets/d/1Kvs4KS76FHFqLFIZfrDMff4kP08nblUkihrxltoGBjg/edit#gid=934712705"",""ESENCIAL!A6:BG""),3,FALSE))"),"")</f>
        <v/>
      </c>
      <c r="H805" s="5" t="str">
        <f ca="1">IFERROR(__xludf.DUMMYFUNCTION("IFERROR(VLOOKUP(F843,IMPORTRANGE(""https://docs.google.com/spreadsheets/d/1Kvs4KS76FHFqLFIZfrDMff4kP08nblUkihrxltoGBjg/edit#gid=934712705"",""ESENCIAL!A6:BG""),8,FALSE))"),"")</f>
        <v/>
      </c>
      <c r="L805" s="287"/>
      <c r="V805" s="66"/>
    </row>
    <row r="806" spans="1:22" ht="15">
      <c r="A806" s="5"/>
      <c r="B806" s="4"/>
      <c r="F806" s="66"/>
      <c r="G806" s="5" t="str">
        <f ca="1">IFERROR(__xludf.DUMMYFUNCTION("IFERROR(VLOOKUP(F844,IMPORTRANGE(""https://docs.google.com/spreadsheets/d/1Kvs4KS76FHFqLFIZfrDMff4kP08nblUkihrxltoGBjg/edit#gid=934712705"",""ESENCIAL!A6:BG""),3,FALSE))"),"")</f>
        <v/>
      </c>
      <c r="H806" s="5" t="str">
        <f ca="1">IFERROR(__xludf.DUMMYFUNCTION("IFERROR(VLOOKUP(F844,IMPORTRANGE(""https://docs.google.com/spreadsheets/d/1Kvs4KS76FHFqLFIZfrDMff4kP08nblUkihrxltoGBjg/edit#gid=934712705"",""ESENCIAL!A6:BG""),8,FALSE))"),"")</f>
        <v/>
      </c>
      <c r="L806" s="287"/>
      <c r="V806" s="66"/>
    </row>
    <row r="807" spans="1:22" ht="15">
      <c r="A807" s="5"/>
      <c r="B807" s="4"/>
      <c r="F807" s="66"/>
      <c r="G807" s="5" t="str">
        <f ca="1">IFERROR(__xludf.DUMMYFUNCTION("IFERROR(VLOOKUP(F845,IMPORTRANGE(""https://docs.google.com/spreadsheets/d/1Kvs4KS76FHFqLFIZfrDMff4kP08nblUkihrxltoGBjg/edit#gid=934712705"",""ESENCIAL!A6:BG""),3,FALSE))"),"")</f>
        <v/>
      </c>
      <c r="H807" s="5" t="str">
        <f ca="1">IFERROR(__xludf.DUMMYFUNCTION("IFERROR(VLOOKUP(F845,IMPORTRANGE(""https://docs.google.com/spreadsheets/d/1Kvs4KS76FHFqLFIZfrDMff4kP08nblUkihrxltoGBjg/edit#gid=934712705"",""ESENCIAL!A6:BG""),8,FALSE))"),"")</f>
        <v/>
      </c>
      <c r="L807" s="287"/>
      <c r="V807" s="66"/>
    </row>
    <row r="808" spans="1:22" ht="15">
      <c r="A808" s="5"/>
      <c r="B808" s="4"/>
      <c r="F808" s="66"/>
      <c r="G808" s="5" t="str">
        <f ca="1">IFERROR(__xludf.DUMMYFUNCTION("IFERROR(VLOOKUP(F846,IMPORTRANGE(""https://docs.google.com/spreadsheets/d/1Kvs4KS76FHFqLFIZfrDMff4kP08nblUkihrxltoGBjg/edit#gid=934712705"",""ESENCIAL!A6:BG""),3,FALSE))"),"")</f>
        <v/>
      </c>
      <c r="H808" s="5" t="str">
        <f ca="1">IFERROR(__xludf.DUMMYFUNCTION("IFERROR(VLOOKUP(F846,IMPORTRANGE(""https://docs.google.com/spreadsheets/d/1Kvs4KS76FHFqLFIZfrDMff4kP08nblUkihrxltoGBjg/edit#gid=934712705"",""ESENCIAL!A6:BG""),8,FALSE))"),"")</f>
        <v/>
      </c>
      <c r="L808" s="287"/>
      <c r="V808" s="66"/>
    </row>
    <row r="809" spans="1:22" ht="15">
      <c r="A809" s="5"/>
      <c r="B809" s="4"/>
      <c r="F809" s="66"/>
      <c r="G809" s="5" t="str">
        <f ca="1">IFERROR(__xludf.DUMMYFUNCTION("IFERROR(VLOOKUP(F847,IMPORTRANGE(""https://docs.google.com/spreadsheets/d/1Kvs4KS76FHFqLFIZfrDMff4kP08nblUkihrxltoGBjg/edit#gid=934712705"",""ESENCIAL!A6:BG""),3,FALSE))"),"")</f>
        <v/>
      </c>
      <c r="H809" s="5" t="str">
        <f ca="1">IFERROR(__xludf.DUMMYFUNCTION("IFERROR(VLOOKUP(F847,IMPORTRANGE(""https://docs.google.com/spreadsheets/d/1Kvs4KS76FHFqLFIZfrDMff4kP08nblUkihrxltoGBjg/edit#gid=934712705"",""ESENCIAL!A6:BG""),8,FALSE))"),"")</f>
        <v/>
      </c>
      <c r="L809" s="287"/>
      <c r="V809" s="66"/>
    </row>
    <row r="810" spans="1:22" ht="15">
      <c r="A810" s="5"/>
      <c r="B810" s="4"/>
      <c r="F810" s="66"/>
      <c r="G810" s="5" t="str">
        <f ca="1">IFERROR(__xludf.DUMMYFUNCTION("IFERROR(VLOOKUP(F848,IMPORTRANGE(""https://docs.google.com/spreadsheets/d/1Kvs4KS76FHFqLFIZfrDMff4kP08nblUkihrxltoGBjg/edit#gid=934712705"",""ESENCIAL!A6:BG""),3,FALSE))"),"")</f>
        <v/>
      </c>
      <c r="H810" s="5" t="str">
        <f ca="1">IFERROR(__xludf.DUMMYFUNCTION("IFERROR(VLOOKUP(F848,IMPORTRANGE(""https://docs.google.com/spreadsheets/d/1Kvs4KS76FHFqLFIZfrDMff4kP08nblUkihrxltoGBjg/edit#gid=934712705"",""ESENCIAL!A6:BG""),8,FALSE))"),"")</f>
        <v/>
      </c>
      <c r="L810" s="287"/>
      <c r="V810" s="66"/>
    </row>
    <row r="811" spans="1:22" ht="15">
      <c r="A811" s="5"/>
      <c r="B811" s="4"/>
      <c r="F811" s="66"/>
      <c r="G811" s="5" t="str">
        <f ca="1">IFERROR(__xludf.DUMMYFUNCTION("IFERROR(VLOOKUP(F849,IMPORTRANGE(""https://docs.google.com/spreadsheets/d/1Kvs4KS76FHFqLFIZfrDMff4kP08nblUkihrxltoGBjg/edit#gid=934712705"",""ESENCIAL!A6:BG""),3,FALSE))"),"")</f>
        <v/>
      </c>
      <c r="H811" s="5" t="str">
        <f ca="1">IFERROR(__xludf.DUMMYFUNCTION("IFERROR(VLOOKUP(F849,IMPORTRANGE(""https://docs.google.com/spreadsheets/d/1Kvs4KS76FHFqLFIZfrDMff4kP08nblUkihrxltoGBjg/edit#gid=934712705"",""ESENCIAL!A6:BG""),8,FALSE))"),"")</f>
        <v/>
      </c>
      <c r="L811" s="287"/>
      <c r="V811" s="66"/>
    </row>
    <row r="812" spans="1:22" ht="15">
      <c r="A812" s="5"/>
      <c r="B812" s="4"/>
      <c r="F812" s="66"/>
      <c r="G812" s="5" t="str">
        <f ca="1">IFERROR(__xludf.DUMMYFUNCTION("IFERROR(VLOOKUP(F850,IMPORTRANGE(""https://docs.google.com/spreadsheets/d/1Kvs4KS76FHFqLFIZfrDMff4kP08nblUkihrxltoGBjg/edit#gid=934712705"",""ESENCIAL!A6:BG""),3,FALSE))"),"")</f>
        <v/>
      </c>
      <c r="H812" s="5" t="str">
        <f ca="1">IFERROR(__xludf.DUMMYFUNCTION("IFERROR(VLOOKUP(F850,IMPORTRANGE(""https://docs.google.com/spreadsheets/d/1Kvs4KS76FHFqLFIZfrDMff4kP08nblUkihrxltoGBjg/edit#gid=934712705"",""ESENCIAL!A6:BG""),8,FALSE))"),"")</f>
        <v/>
      </c>
      <c r="L812" s="287"/>
      <c r="V812" s="66"/>
    </row>
    <row r="813" spans="1:22" ht="15">
      <c r="A813" s="5"/>
      <c r="B813" s="4"/>
      <c r="F813" s="66"/>
      <c r="G813" s="5" t="str">
        <f ca="1">IFERROR(__xludf.DUMMYFUNCTION("IFERROR(VLOOKUP(F851,IMPORTRANGE(""https://docs.google.com/spreadsheets/d/1Kvs4KS76FHFqLFIZfrDMff4kP08nblUkihrxltoGBjg/edit#gid=934712705"",""ESENCIAL!A6:BG""),3,FALSE))"),"")</f>
        <v/>
      </c>
      <c r="H813" s="5" t="str">
        <f ca="1">IFERROR(__xludf.DUMMYFUNCTION("IFERROR(VLOOKUP(F851,IMPORTRANGE(""https://docs.google.com/spreadsheets/d/1Kvs4KS76FHFqLFIZfrDMff4kP08nblUkihrxltoGBjg/edit#gid=934712705"",""ESENCIAL!A6:BG""),8,FALSE))"),"")</f>
        <v/>
      </c>
      <c r="L813" s="287"/>
      <c r="V813" s="66"/>
    </row>
    <row r="814" spans="1:22" ht="15">
      <c r="A814" s="5"/>
      <c r="B814" s="4"/>
      <c r="F814" s="66"/>
      <c r="G814" s="5" t="str">
        <f ca="1">IFERROR(__xludf.DUMMYFUNCTION("IFERROR(VLOOKUP(F852,IMPORTRANGE(""https://docs.google.com/spreadsheets/d/1Kvs4KS76FHFqLFIZfrDMff4kP08nblUkihrxltoGBjg/edit#gid=934712705"",""ESENCIAL!A6:BG""),3,FALSE))"),"")</f>
        <v/>
      </c>
      <c r="H814" s="5" t="str">
        <f ca="1">IFERROR(__xludf.DUMMYFUNCTION("IFERROR(VLOOKUP(F852,IMPORTRANGE(""https://docs.google.com/spreadsheets/d/1Kvs4KS76FHFqLFIZfrDMff4kP08nblUkihrxltoGBjg/edit#gid=934712705"",""ESENCIAL!A6:BG""),8,FALSE))"),"")</f>
        <v/>
      </c>
      <c r="L814" s="287"/>
      <c r="V814" s="66"/>
    </row>
    <row r="815" spans="1:22" ht="15">
      <c r="A815" s="5"/>
      <c r="B815" s="4"/>
      <c r="F815" s="66"/>
      <c r="G815" s="5" t="str">
        <f ca="1">IFERROR(__xludf.DUMMYFUNCTION("IFERROR(VLOOKUP(F853,IMPORTRANGE(""https://docs.google.com/spreadsheets/d/1Kvs4KS76FHFqLFIZfrDMff4kP08nblUkihrxltoGBjg/edit#gid=934712705"",""ESENCIAL!A6:BG""),3,FALSE))"),"")</f>
        <v/>
      </c>
      <c r="H815" s="5" t="str">
        <f ca="1">IFERROR(__xludf.DUMMYFUNCTION("IFERROR(VLOOKUP(F853,IMPORTRANGE(""https://docs.google.com/spreadsheets/d/1Kvs4KS76FHFqLFIZfrDMff4kP08nblUkihrxltoGBjg/edit#gid=934712705"",""ESENCIAL!A6:BG""),8,FALSE))"),"")</f>
        <v/>
      </c>
      <c r="L815" s="287"/>
      <c r="V815" s="66"/>
    </row>
    <row r="816" spans="1:22" ht="15">
      <c r="A816" s="5"/>
      <c r="B816" s="4"/>
      <c r="F816" s="66"/>
      <c r="G816" s="5" t="str">
        <f ca="1">IFERROR(__xludf.DUMMYFUNCTION("IFERROR(VLOOKUP(F854,IMPORTRANGE(""https://docs.google.com/spreadsheets/d/1Kvs4KS76FHFqLFIZfrDMff4kP08nblUkihrxltoGBjg/edit#gid=934712705"",""ESENCIAL!A6:BG""),3,FALSE))"),"")</f>
        <v/>
      </c>
      <c r="H816" s="5" t="str">
        <f ca="1">IFERROR(__xludf.DUMMYFUNCTION("IFERROR(VLOOKUP(F854,IMPORTRANGE(""https://docs.google.com/spreadsheets/d/1Kvs4KS76FHFqLFIZfrDMff4kP08nblUkihrxltoGBjg/edit#gid=934712705"",""ESENCIAL!A6:BG""),8,FALSE))"),"")</f>
        <v/>
      </c>
      <c r="L816" s="287"/>
      <c r="V816" s="66"/>
    </row>
    <row r="817" spans="1:22" ht="15">
      <c r="A817" s="5"/>
      <c r="B817" s="4"/>
      <c r="F817" s="66"/>
      <c r="G817" s="5" t="str">
        <f ca="1">IFERROR(__xludf.DUMMYFUNCTION("IFERROR(VLOOKUP(F855,IMPORTRANGE(""https://docs.google.com/spreadsheets/d/1Kvs4KS76FHFqLFIZfrDMff4kP08nblUkihrxltoGBjg/edit#gid=934712705"",""ESENCIAL!A6:BG""),3,FALSE))"),"")</f>
        <v/>
      </c>
      <c r="H817" s="5" t="str">
        <f ca="1">IFERROR(__xludf.DUMMYFUNCTION("IFERROR(VLOOKUP(F855,IMPORTRANGE(""https://docs.google.com/spreadsheets/d/1Kvs4KS76FHFqLFIZfrDMff4kP08nblUkihrxltoGBjg/edit#gid=934712705"",""ESENCIAL!A6:BG""),8,FALSE))"),"")</f>
        <v/>
      </c>
      <c r="L817" s="287"/>
      <c r="V817" s="66"/>
    </row>
    <row r="818" spans="1:22" ht="15">
      <c r="A818" s="5"/>
      <c r="B818" s="4"/>
      <c r="F818" s="66"/>
      <c r="G818" s="5" t="str">
        <f ca="1">IFERROR(__xludf.DUMMYFUNCTION("IFERROR(VLOOKUP(F856,IMPORTRANGE(""https://docs.google.com/spreadsheets/d/1Kvs4KS76FHFqLFIZfrDMff4kP08nblUkihrxltoGBjg/edit#gid=934712705"",""ESENCIAL!A6:BG""),3,FALSE))"),"")</f>
        <v/>
      </c>
      <c r="H818" s="5" t="str">
        <f ca="1">IFERROR(__xludf.DUMMYFUNCTION("IFERROR(VLOOKUP(F856,IMPORTRANGE(""https://docs.google.com/spreadsheets/d/1Kvs4KS76FHFqLFIZfrDMff4kP08nblUkihrxltoGBjg/edit#gid=934712705"",""ESENCIAL!A6:BG""),8,FALSE))"),"")</f>
        <v/>
      </c>
      <c r="L818" s="287"/>
      <c r="V818" s="66"/>
    </row>
    <row r="819" spans="1:22" ht="15">
      <c r="A819" s="5"/>
      <c r="B819" s="4"/>
      <c r="F819" s="66"/>
      <c r="G819" s="5" t="str">
        <f ca="1">IFERROR(__xludf.DUMMYFUNCTION("IFERROR(VLOOKUP(F857,IMPORTRANGE(""https://docs.google.com/spreadsheets/d/1Kvs4KS76FHFqLFIZfrDMff4kP08nblUkihrxltoGBjg/edit#gid=934712705"",""ESENCIAL!A6:BG""),3,FALSE))"),"")</f>
        <v/>
      </c>
      <c r="H819" s="5" t="str">
        <f ca="1">IFERROR(__xludf.DUMMYFUNCTION("IFERROR(VLOOKUP(F857,IMPORTRANGE(""https://docs.google.com/spreadsheets/d/1Kvs4KS76FHFqLFIZfrDMff4kP08nblUkihrxltoGBjg/edit#gid=934712705"",""ESENCIAL!A6:BG""),8,FALSE))"),"")</f>
        <v/>
      </c>
      <c r="L819" s="287"/>
      <c r="V819" s="66"/>
    </row>
    <row r="820" spans="1:22" ht="15">
      <c r="A820" s="5"/>
      <c r="B820" s="4"/>
      <c r="F820" s="66"/>
      <c r="G820" s="5" t="str">
        <f ca="1">IFERROR(__xludf.DUMMYFUNCTION("IFERROR(VLOOKUP(F858,IMPORTRANGE(""https://docs.google.com/spreadsheets/d/1Kvs4KS76FHFqLFIZfrDMff4kP08nblUkihrxltoGBjg/edit#gid=934712705"",""ESENCIAL!A6:BG""),3,FALSE))"),"")</f>
        <v/>
      </c>
      <c r="H820" s="5" t="str">
        <f ca="1">IFERROR(__xludf.DUMMYFUNCTION("IFERROR(VLOOKUP(F858,IMPORTRANGE(""https://docs.google.com/spreadsheets/d/1Kvs4KS76FHFqLFIZfrDMff4kP08nblUkihrxltoGBjg/edit#gid=934712705"",""ESENCIAL!A6:BG""),8,FALSE))"),"")</f>
        <v/>
      </c>
      <c r="L820" s="287"/>
      <c r="V820" s="66"/>
    </row>
    <row r="821" spans="1:22" ht="15">
      <c r="A821" s="5"/>
      <c r="B821" s="4"/>
      <c r="F821" s="66"/>
      <c r="G821" s="5" t="str">
        <f ca="1">IFERROR(__xludf.DUMMYFUNCTION("IFERROR(VLOOKUP(F859,IMPORTRANGE(""https://docs.google.com/spreadsheets/d/1Kvs4KS76FHFqLFIZfrDMff4kP08nblUkihrxltoGBjg/edit#gid=934712705"",""ESENCIAL!A6:BG""),3,FALSE))"),"")</f>
        <v/>
      </c>
      <c r="H821" s="5" t="str">
        <f ca="1">IFERROR(__xludf.DUMMYFUNCTION("IFERROR(VLOOKUP(F859,IMPORTRANGE(""https://docs.google.com/spreadsheets/d/1Kvs4KS76FHFqLFIZfrDMff4kP08nblUkihrxltoGBjg/edit#gid=934712705"",""ESENCIAL!A6:BG""),8,FALSE))"),"")</f>
        <v/>
      </c>
      <c r="L821" s="287"/>
      <c r="V821" s="66"/>
    </row>
    <row r="822" spans="1:22" ht="15">
      <c r="A822" s="5"/>
      <c r="B822" s="4"/>
      <c r="F822" s="66"/>
      <c r="G822" s="5" t="str">
        <f ca="1">IFERROR(__xludf.DUMMYFUNCTION("IFERROR(VLOOKUP(F860,IMPORTRANGE(""https://docs.google.com/spreadsheets/d/1Kvs4KS76FHFqLFIZfrDMff4kP08nblUkihrxltoGBjg/edit#gid=934712705"",""ESENCIAL!A6:BG""),3,FALSE))"),"")</f>
        <v/>
      </c>
      <c r="H822" s="5" t="str">
        <f ca="1">IFERROR(__xludf.DUMMYFUNCTION("IFERROR(VLOOKUP(F860,IMPORTRANGE(""https://docs.google.com/spreadsheets/d/1Kvs4KS76FHFqLFIZfrDMff4kP08nblUkihrxltoGBjg/edit#gid=934712705"",""ESENCIAL!A6:BG""),8,FALSE))"),"")</f>
        <v/>
      </c>
      <c r="L822" s="287"/>
      <c r="V822" s="66"/>
    </row>
    <row r="823" spans="1:22" ht="15">
      <c r="A823" s="5"/>
      <c r="B823" s="4"/>
      <c r="F823" s="66"/>
      <c r="G823" s="5" t="str">
        <f ca="1">IFERROR(__xludf.DUMMYFUNCTION("IFERROR(VLOOKUP(F861,IMPORTRANGE(""https://docs.google.com/spreadsheets/d/1Kvs4KS76FHFqLFIZfrDMff4kP08nblUkihrxltoGBjg/edit#gid=934712705"",""ESENCIAL!A6:BG""),3,FALSE))"),"")</f>
        <v/>
      </c>
      <c r="H823" s="5" t="str">
        <f ca="1">IFERROR(__xludf.DUMMYFUNCTION("IFERROR(VLOOKUP(F861,IMPORTRANGE(""https://docs.google.com/spreadsheets/d/1Kvs4KS76FHFqLFIZfrDMff4kP08nblUkihrxltoGBjg/edit#gid=934712705"",""ESENCIAL!A6:BG""),8,FALSE))"),"")</f>
        <v/>
      </c>
      <c r="L823" s="287"/>
      <c r="V823" s="66"/>
    </row>
    <row r="824" spans="1:22" ht="15">
      <c r="A824" s="5"/>
      <c r="B824" s="4"/>
      <c r="F824" s="66"/>
      <c r="G824" s="5" t="str">
        <f ca="1">IFERROR(__xludf.DUMMYFUNCTION("IFERROR(VLOOKUP(F862,IMPORTRANGE(""https://docs.google.com/spreadsheets/d/1Kvs4KS76FHFqLFIZfrDMff4kP08nblUkihrxltoGBjg/edit#gid=934712705"",""ESENCIAL!A6:BG""),3,FALSE))"),"")</f>
        <v/>
      </c>
      <c r="H824" s="5" t="str">
        <f ca="1">IFERROR(__xludf.DUMMYFUNCTION("IFERROR(VLOOKUP(F862,IMPORTRANGE(""https://docs.google.com/spreadsheets/d/1Kvs4KS76FHFqLFIZfrDMff4kP08nblUkihrxltoGBjg/edit#gid=934712705"",""ESENCIAL!A6:BG""),8,FALSE))"),"")</f>
        <v/>
      </c>
      <c r="L824" s="287"/>
      <c r="V824" s="66"/>
    </row>
    <row r="825" spans="1:22" ht="15">
      <c r="A825" s="5"/>
      <c r="B825" s="4"/>
      <c r="F825" s="66"/>
      <c r="G825" s="5" t="str">
        <f ca="1">IFERROR(__xludf.DUMMYFUNCTION("IFERROR(VLOOKUP(F863,IMPORTRANGE(""https://docs.google.com/spreadsheets/d/1Kvs4KS76FHFqLFIZfrDMff4kP08nblUkihrxltoGBjg/edit#gid=934712705"",""ESENCIAL!A6:BG""),3,FALSE))"),"")</f>
        <v/>
      </c>
      <c r="H825" s="5" t="str">
        <f ca="1">IFERROR(__xludf.DUMMYFUNCTION("IFERROR(VLOOKUP(F863,IMPORTRANGE(""https://docs.google.com/spreadsheets/d/1Kvs4KS76FHFqLFIZfrDMff4kP08nblUkihrxltoGBjg/edit#gid=934712705"",""ESENCIAL!A6:BG""),8,FALSE))"),"")</f>
        <v/>
      </c>
      <c r="L825" s="287"/>
      <c r="V825" s="66"/>
    </row>
    <row r="826" spans="1:22" ht="15">
      <c r="A826" s="5"/>
      <c r="B826" s="4"/>
      <c r="F826" s="66"/>
      <c r="G826" s="5" t="str">
        <f ca="1">IFERROR(__xludf.DUMMYFUNCTION("IFERROR(VLOOKUP(F864,IMPORTRANGE(""https://docs.google.com/spreadsheets/d/1Kvs4KS76FHFqLFIZfrDMff4kP08nblUkihrxltoGBjg/edit#gid=934712705"",""ESENCIAL!A6:BG""),3,FALSE))"),"")</f>
        <v/>
      </c>
      <c r="H826" s="5" t="str">
        <f ca="1">IFERROR(__xludf.DUMMYFUNCTION("IFERROR(VLOOKUP(F864,IMPORTRANGE(""https://docs.google.com/spreadsheets/d/1Kvs4KS76FHFqLFIZfrDMff4kP08nblUkihrxltoGBjg/edit#gid=934712705"",""ESENCIAL!A6:BG""),8,FALSE))"),"")</f>
        <v/>
      </c>
      <c r="L826" s="287"/>
      <c r="V826" s="66"/>
    </row>
    <row r="827" spans="1:22" ht="15">
      <c r="A827" s="5"/>
      <c r="B827" s="4"/>
      <c r="F827" s="66"/>
      <c r="G827" s="5" t="str">
        <f ca="1">IFERROR(__xludf.DUMMYFUNCTION("IFERROR(VLOOKUP(F865,IMPORTRANGE(""https://docs.google.com/spreadsheets/d/1Kvs4KS76FHFqLFIZfrDMff4kP08nblUkihrxltoGBjg/edit#gid=934712705"",""ESENCIAL!A6:BG""),3,FALSE))"),"")</f>
        <v/>
      </c>
      <c r="H827" s="5" t="str">
        <f ca="1">IFERROR(__xludf.DUMMYFUNCTION("IFERROR(VLOOKUP(F865,IMPORTRANGE(""https://docs.google.com/spreadsheets/d/1Kvs4KS76FHFqLFIZfrDMff4kP08nblUkihrxltoGBjg/edit#gid=934712705"",""ESENCIAL!A6:BG""),8,FALSE))"),"")</f>
        <v/>
      </c>
      <c r="L827" s="287"/>
      <c r="V827" s="66"/>
    </row>
    <row r="828" spans="1:22" ht="15">
      <c r="A828" s="5"/>
      <c r="B828" s="4"/>
      <c r="F828" s="66"/>
      <c r="G828" s="5" t="str">
        <f ca="1">IFERROR(__xludf.DUMMYFUNCTION("IFERROR(VLOOKUP(F866,IMPORTRANGE(""https://docs.google.com/spreadsheets/d/1Kvs4KS76FHFqLFIZfrDMff4kP08nblUkihrxltoGBjg/edit#gid=934712705"",""ESENCIAL!A6:BG""),3,FALSE))"),"")</f>
        <v/>
      </c>
      <c r="H828" s="5" t="str">
        <f ca="1">IFERROR(__xludf.DUMMYFUNCTION("IFERROR(VLOOKUP(F866,IMPORTRANGE(""https://docs.google.com/spreadsheets/d/1Kvs4KS76FHFqLFIZfrDMff4kP08nblUkihrxltoGBjg/edit#gid=934712705"",""ESENCIAL!A6:BG""),8,FALSE))"),"")</f>
        <v/>
      </c>
      <c r="L828" s="287"/>
      <c r="V828" s="66"/>
    </row>
    <row r="829" spans="1:22" ht="15">
      <c r="A829" s="5"/>
      <c r="B829" s="4"/>
      <c r="F829" s="66"/>
      <c r="G829" s="5" t="str">
        <f ca="1">IFERROR(__xludf.DUMMYFUNCTION("IFERROR(VLOOKUP(F867,IMPORTRANGE(""https://docs.google.com/spreadsheets/d/1Kvs4KS76FHFqLFIZfrDMff4kP08nblUkihrxltoGBjg/edit#gid=934712705"",""ESENCIAL!A6:BG""),3,FALSE))"),"")</f>
        <v/>
      </c>
      <c r="H829" s="5" t="str">
        <f ca="1">IFERROR(__xludf.DUMMYFUNCTION("IFERROR(VLOOKUP(F867,IMPORTRANGE(""https://docs.google.com/spreadsheets/d/1Kvs4KS76FHFqLFIZfrDMff4kP08nblUkihrxltoGBjg/edit#gid=934712705"",""ESENCIAL!A6:BG""),8,FALSE))"),"")</f>
        <v/>
      </c>
      <c r="L829" s="287"/>
      <c r="V829" s="66"/>
    </row>
    <row r="830" spans="1:22" ht="15">
      <c r="A830" s="5"/>
      <c r="B830" s="4"/>
      <c r="F830" s="66"/>
      <c r="G830" s="5" t="str">
        <f ca="1">IFERROR(__xludf.DUMMYFUNCTION("IFERROR(VLOOKUP(F868,IMPORTRANGE(""https://docs.google.com/spreadsheets/d/1Kvs4KS76FHFqLFIZfrDMff4kP08nblUkihrxltoGBjg/edit#gid=934712705"",""ESENCIAL!A6:BG""),3,FALSE))"),"")</f>
        <v/>
      </c>
      <c r="H830" s="5" t="str">
        <f ca="1">IFERROR(__xludf.DUMMYFUNCTION("IFERROR(VLOOKUP(F868,IMPORTRANGE(""https://docs.google.com/spreadsheets/d/1Kvs4KS76FHFqLFIZfrDMff4kP08nblUkihrxltoGBjg/edit#gid=934712705"",""ESENCIAL!A6:BG""),8,FALSE))"),"")</f>
        <v/>
      </c>
      <c r="L830" s="287"/>
      <c r="V830" s="66"/>
    </row>
    <row r="831" spans="1:22" ht="15">
      <c r="A831" s="5"/>
      <c r="B831" s="4"/>
      <c r="F831" s="66"/>
      <c r="G831" s="5" t="str">
        <f ca="1">IFERROR(__xludf.DUMMYFUNCTION("IFERROR(VLOOKUP(F869,IMPORTRANGE(""https://docs.google.com/spreadsheets/d/1Kvs4KS76FHFqLFIZfrDMff4kP08nblUkihrxltoGBjg/edit#gid=934712705"",""ESENCIAL!A6:BG""),3,FALSE))"),"")</f>
        <v/>
      </c>
      <c r="H831" s="5" t="str">
        <f ca="1">IFERROR(__xludf.DUMMYFUNCTION("IFERROR(VLOOKUP(F869,IMPORTRANGE(""https://docs.google.com/spreadsheets/d/1Kvs4KS76FHFqLFIZfrDMff4kP08nblUkihrxltoGBjg/edit#gid=934712705"",""ESENCIAL!A6:BG""),8,FALSE))"),"")</f>
        <v/>
      </c>
      <c r="L831" s="287"/>
      <c r="V831" s="66"/>
    </row>
    <row r="832" spans="1:22" ht="15">
      <c r="A832" s="5"/>
      <c r="B832" s="4"/>
      <c r="F832" s="66"/>
      <c r="G832" s="5" t="str">
        <f ca="1">IFERROR(__xludf.DUMMYFUNCTION("IFERROR(VLOOKUP(F870,IMPORTRANGE(""https://docs.google.com/spreadsheets/d/1Kvs4KS76FHFqLFIZfrDMff4kP08nblUkihrxltoGBjg/edit#gid=934712705"",""ESENCIAL!A6:BG""),3,FALSE))"),"")</f>
        <v/>
      </c>
      <c r="H832" s="5" t="str">
        <f ca="1">IFERROR(__xludf.DUMMYFUNCTION("IFERROR(VLOOKUP(F870,IMPORTRANGE(""https://docs.google.com/spreadsheets/d/1Kvs4KS76FHFqLFIZfrDMff4kP08nblUkihrxltoGBjg/edit#gid=934712705"",""ESENCIAL!A6:BG""),8,FALSE))"),"")</f>
        <v/>
      </c>
      <c r="L832" s="287"/>
      <c r="V832" s="66"/>
    </row>
    <row r="833" spans="1:22" ht="15">
      <c r="A833" s="5"/>
      <c r="B833" s="4"/>
      <c r="F833" s="66"/>
      <c r="G833" s="5" t="str">
        <f ca="1">IFERROR(__xludf.DUMMYFUNCTION("IFERROR(VLOOKUP(F871,IMPORTRANGE(""https://docs.google.com/spreadsheets/d/1Kvs4KS76FHFqLFIZfrDMff4kP08nblUkihrxltoGBjg/edit#gid=934712705"",""ESENCIAL!A6:BG""),3,FALSE))"),"")</f>
        <v/>
      </c>
      <c r="H833" s="5" t="str">
        <f ca="1">IFERROR(__xludf.DUMMYFUNCTION("IFERROR(VLOOKUP(F871,IMPORTRANGE(""https://docs.google.com/spreadsheets/d/1Kvs4KS76FHFqLFIZfrDMff4kP08nblUkihrxltoGBjg/edit#gid=934712705"",""ESENCIAL!A6:BG""),8,FALSE))"),"")</f>
        <v/>
      </c>
      <c r="L833" s="287"/>
      <c r="V833" s="66"/>
    </row>
    <row r="834" spans="1:22" ht="15">
      <c r="A834" s="5"/>
      <c r="B834" s="4"/>
      <c r="F834" s="66"/>
      <c r="G834" s="5" t="str">
        <f ca="1">IFERROR(__xludf.DUMMYFUNCTION("IFERROR(VLOOKUP(F872,IMPORTRANGE(""https://docs.google.com/spreadsheets/d/1Kvs4KS76FHFqLFIZfrDMff4kP08nblUkihrxltoGBjg/edit#gid=934712705"",""ESENCIAL!A6:BG""),3,FALSE))"),"")</f>
        <v/>
      </c>
      <c r="H834" s="5" t="str">
        <f ca="1">IFERROR(__xludf.DUMMYFUNCTION("IFERROR(VLOOKUP(F872,IMPORTRANGE(""https://docs.google.com/spreadsheets/d/1Kvs4KS76FHFqLFIZfrDMff4kP08nblUkihrxltoGBjg/edit#gid=934712705"",""ESENCIAL!A6:BG""),8,FALSE))"),"")</f>
        <v/>
      </c>
      <c r="L834" s="287"/>
      <c r="V834" s="66"/>
    </row>
    <row r="835" spans="1:22" ht="15">
      <c r="A835" s="5"/>
      <c r="B835" s="4"/>
      <c r="F835" s="66"/>
      <c r="G835" s="5" t="str">
        <f ca="1">IFERROR(__xludf.DUMMYFUNCTION("IFERROR(VLOOKUP(F873,IMPORTRANGE(""https://docs.google.com/spreadsheets/d/1Kvs4KS76FHFqLFIZfrDMff4kP08nblUkihrxltoGBjg/edit#gid=934712705"",""ESENCIAL!A6:BG""),3,FALSE))"),"")</f>
        <v/>
      </c>
      <c r="H835" s="5" t="str">
        <f ca="1">IFERROR(__xludf.DUMMYFUNCTION("IFERROR(VLOOKUP(F873,IMPORTRANGE(""https://docs.google.com/spreadsheets/d/1Kvs4KS76FHFqLFIZfrDMff4kP08nblUkihrxltoGBjg/edit#gid=934712705"",""ESENCIAL!A6:BG""),8,FALSE))"),"")</f>
        <v/>
      </c>
      <c r="L835" s="287"/>
      <c r="V835" s="66"/>
    </row>
    <row r="836" spans="1:22" ht="15">
      <c r="A836" s="5"/>
      <c r="B836" s="4"/>
      <c r="F836" s="66"/>
      <c r="G836" s="5" t="str">
        <f ca="1">IFERROR(__xludf.DUMMYFUNCTION("IFERROR(VLOOKUP(F874,IMPORTRANGE(""https://docs.google.com/spreadsheets/d/1Kvs4KS76FHFqLFIZfrDMff4kP08nblUkihrxltoGBjg/edit#gid=934712705"",""ESENCIAL!A6:BG""),3,FALSE))"),"")</f>
        <v/>
      </c>
      <c r="H836" s="5" t="str">
        <f ca="1">IFERROR(__xludf.DUMMYFUNCTION("IFERROR(VLOOKUP(F874,IMPORTRANGE(""https://docs.google.com/spreadsheets/d/1Kvs4KS76FHFqLFIZfrDMff4kP08nblUkihrxltoGBjg/edit#gid=934712705"",""ESENCIAL!A6:BG""),8,FALSE))"),"")</f>
        <v/>
      </c>
      <c r="L836" s="287"/>
      <c r="V836" s="66"/>
    </row>
    <row r="837" spans="1:22" ht="15">
      <c r="A837" s="5"/>
      <c r="B837" s="4"/>
      <c r="F837" s="66"/>
      <c r="G837" s="5" t="str">
        <f ca="1">IFERROR(__xludf.DUMMYFUNCTION("IFERROR(VLOOKUP(F875,IMPORTRANGE(""https://docs.google.com/spreadsheets/d/1Kvs4KS76FHFqLFIZfrDMff4kP08nblUkihrxltoGBjg/edit#gid=934712705"",""ESENCIAL!A6:BG""),3,FALSE))"),"")</f>
        <v/>
      </c>
      <c r="H837" s="5" t="str">
        <f ca="1">IFERROR(__xludf.DUMMYFUNCTION("IFERROR(VLOOKUP(F875,IMPORTRANGE(""https://docs.google.com/spreadsheets/d/1Kvs4KS76FHFqLFIZfrDMff4kP08nblUkihrxltoGBjg/edit#gid=934712705"",""ESENCIAL!A6:BG""),8,FALSE))"),"")</f>
        <v/>
      </c>
      <c r="L837" s="287"/>
      <c r="V837" s="66"/>
    </row>
    <row r="838" spans="1:22" ht="15">
      <c r="A838" s="5"/>
      <c r="B838" s="4"/>
      <c r="F838" s="66"/>
      <c r="G838" s="5" t="str">
        <f ca="1">IFERROR(__xludf.DUMMYFUNCTION("IFERROR(VLOOKUP(F876,IMPORTRANGE(""https://docs.google.com/spreadsheets/d/1Kvs4KS76FHFqLFIZfrDMff4kP08nblUkihrxltoGBjg/edit#gid=934712705"",""ESENCIAL!A6:BG""),3,FALSE))"),"")</f>
        <v/>
      </c>
      <c r="H838" s="5" t="str">
        <f ca="1">IFERROR(__xludf.DUMMYFUNCTION("IFERROR(VLOOKUP(F876,IMPORTRANGE(""https://docs.google.com/spreadsheets/d/1Kvs4KS76FHFqLFIZfrDMff4kP08nblUkihrxltoGBjg/edit#gid=934712705"",""ESENCIAL!A6:BG""),8,FALSE))"),"")</f>
        <v/>
      </c>
      <c r="L838" s="287"/>
      <c r="V838" s="66"/>
    </row>
    <row r="839" spans="1:22" ht="15">
      <c r="A839" s="5"/>
      <c r="B839" s="4"/>
      <c r="F839" s="66"/>
      <c r="G839" s="5" t="str">
        <f ca="1">IFERROR(__xludf.DUMMYFUNCTION("IFERROR(VLOOKUP(F877,IMPORTRANGE(""https://docs.google.com/spreadsheets/d/1Kvs4KS76FHFqLFIZfrDMff4kP08nblUkihrxltoGBjg/edit#gid=934712705"",""ESENCIAL!A6:BG""),3,FALSE))"),"")</f>
        <v/>
      </c>
      <c r="H839" s="5" t="str">
        <f ca="1">IFERROR(__xludf.DUMMYFUNCTION("IFERROR(VLOOKUP(F877,IMPORTRANGE(""https://docs.google.com/spreadsheets/d/1Kvs4KS76FHFqLFIZfrDMff4kP08nblUkihrxltoGBjg/edit#gid=934712705"",""ESENCIAL!A6:BG""),8,FALSE))"),"")</f>
        <v/>
      </c>
      <c r="L839" s="287"/>
      <c r="V839" s="66"/>
    </row>
    <row r="840" spans="1:22" ht="15">
      <c r="A840" s="5"/>
      <c r="B840" s="4"/>
      <c r="F840" s="66"/>
      <c r="G840" s="5" t="str">
        <f ca="1">IFERROR(__xludf.DUMMYFUNCTION("IFERROR(VLOOKUP(F878,IMPORTRANGE(""https://docs.google.com/spreadsheets/d/1Kvs4KS76FHFqLFIZfrDMff4kP08nblUkihrxltoGBjg/edit#gid=934712705"",""ESENCIAL!A6:BG""),3,FALSE))"),"")</f>
        <v/>
      </c>
      <c r="H840" s="5" t="str">
        <f ca="1">IFERROR(__xludf.DUMMYFUNCTION("IFERROR(VLOOKUP(F878,IMPORTRANGE(""https://docs.google.com/spreadsheets/d/1Kvs4KS76FHFqLFIZfrDMff4kP08nblUkihrxltoGBjg/edit#gid=934712705"",""ESENCIAL!A6:BG""),8,FALSE))"),"")</f>
        <v/>
      </c>
      <c r="L840" s="287"/>
      <c r="V840" s="66"/>
    </row>
    <row r="841" spans="1:22" ht="15">
      <c r="A841" s="5"/>
      <c r="B841" s="4"/>
      <c r="F841" s="66"/>
      <c r="G841" s="5" t="str">
        <f ca="1">IFERROR(__xludf.DUMMYFUNCTION("IFERROR(VLOOKUP(F879,IMPORTRANGE(""https://docs.google.com/spreadsheets/d/1Kvs4KS76FHFqLFIZfrDMff4kP08nblUkihrxltoGBjg/edit#gid=934712705"",""ESENCIAL!A6:BG""),3,FALSE))"),"")</f>
        <v/>
      </c>
      <c r="H841" s="5" t="str">
        <f ca="1">IFERROR(__xludf.DUMMYFUNCTION("IFERROR(VLOOKUP(F879,IMPORTRANGE(""https://docs.google.com/spreadsheets/d/1Kvs4KS76FHFqLFIZfrDMff4kP08nblUkihrxltoGBjg/edit#gid=934712705"",""ESENCIAL!A6:BG""),8,FALSE))"),"")</f>
        <v/>
      </c>
      <c r="L841" s="287"/>
      <c r="V841" s="66"/>
    </row>
    <row r="842" spans="1:22" ht="15">
      <c r="A842" s="5"/>
      <c r="B842" s="4"/>
      <c r="F842" s="66"/>
      <c r="G842" s="5" t="str">
        <f ca="1">IFERROR(__xludf.DUMMYFUNCTION("IFERROR(VLOOKUP(F880,IMPORTRANGE(""https://docs.google.com/spreadsheets/d/1Kvs4KS76FHFqLFIZfrDMff4kP08nblUkihrxltoGBjg/edit#gid=934712705"",""ESENCIAL!A6:BG""),3,FALSE))"),"")</f>
        <v/>
      </c>
      <c r="H842" s="5" t="str">
        <f ca="1">IFERROR(__xludf.DUMMYFUNCTION("IFERROR(VLOOKUP(F880,IMPORTRANGE(""https://docs.google.com/spreadsheets/d/1Kvs4KS76FHFqLFIZfrDMff4kP08nblUkihrxltoGBjg/edit#gid=934712705"",""ESENCIAL!A6:BG""),8,FALSE))"),"")</f>
        <v/>
      </c>
      <c r="L842" s="287"/>
      <c r="V842" s="66"/>
    </row>
    <row r="843" spans="1:22" ht="15">
      <c r="A843" s="5"/>
      <c r="B843" s="4"/>
      <c r="F843" s="66"/>
      <c r="G843" s="5" t="str">
        <f ca="1">IFERROR(__xludf.DUMMYFUNCTION("IFERROR(VLOOKUP(F881,IMPORTRANGE(""https://docs.google.com/spreadsheets/d/1Kvs4KS76FHFqLFIZfrDMff4kP08nblUkihrxltoGBjg/edit#gid=934712705"",""ESENCIAL!A6:BG""),3,FALSE))"),"")</f>
        <v/>
      </c>
      <c r="H843" s="5" t="str">
        <f ca="1">IFERROR(__xludf.DUMMYFUNCTION("IFERROR(VLOOKUP(F881,IMPORTRANGE(""https://docs.google.com/spreadsheets/d/1Kvs4KS76FHFqLFIZfrDMff4kP08nblUkihrxltoGBjg/edit#gid=934712705"",""ESENCIAL!A6:BG""),8,FALSE))"),"")</f>
        <v/>
      </c>
      <c r="L843" s="287"/>
      <c r="V843" s="66"/>
    </row>
    <row r="844" spans="1:22" ht="15">
      <c r="A844" s="5"/>
      <c r="B844" s="4"/>
      <c r="F844" s="66"/>
      <c r="G844" s="5" t="str">
        <f ca="1">IFERROR(__xludf.DUMMYFUNCTION("IFERROR(VLOOKUP(F882,IMPORTRANGE(""https://docs.google.com/spreadsheets/d/1Kvs4KS76FHFqLFIZfrDMff4kP08nblUkihrxltoGBjg/edit#gid=934712705"",""ESENCIAL!A6:BG""),3,FALSE))"),"")</f>
        <v/>
      </c>
      <c r="H844" s="5" t="str">
        <f ca="1">IFERROR(__xludf.DUMMYFUNCTION("IFERROR(VLOOKUP(F882,IMPORTRANGE(""https://docs.google.com/spreadsheets/d/1Kvs4KS76FHFqLFIZfrDMff4kP08nblUkihrxltoGBjg/edit#gid=934712705"",""ESENCIAL!A6:BG""),8,FALSE))"),"")</f>
        <v/>
      </c>
      <c r="L844" s="287"/>
      <c r="V844" s="66"/>
    </row>
    <row r="845" spans="1:22" ht="15">
      <c r="A845" s="5"/>
      <c r="B845" s="4"/>
      <c r="F845" s="66"/>
      <c r="G845" s="5" t="str">
        <f ca="1">IFERROR(__xludf.DUMMYFUNCTION("IFERROR(VLOOKUP(F883,IMPORTRANGE(""https://docs.google.com/spreadsheets/d/1Kvs4KS76FHFqLFIZfrDMff4kP08nblUkihrxltoGBjg/edit#gid=934712705"",""ESENCIAL!A6:BG""),3,FALSE))"),"")</f>
        <v/>
      </c>
      <c r="H845" s="5" t="str">
        <f ca="1">IFERROR(__xludf.DUMMYFUNCTION("IFERROR(VLOOKUP(F883,IMPORTRANGE(""https://docs.google.com/spreadsheets/d/1Kvs4KS76FHFqLFIZfrDMff4kP08nblUkihrxltoGBjg/edit#gid=934712705"",""ESENCIAL!A6:BG""),8,FALSE))"),"")</f>
        <v/>
      </c>
      <c r="L845" s="287"/>
      <c r="V845" s="66"/>
    </row>
    <row r="846" spans="1:22" ht="15">
      <c r="A846" s="5"/>
      <c r="B846" s="4"/>
      <c r="F846" s="66"/>
      <c r="G846" s="5" t="str">
        <f ca="1">IFERROR(__xludf.DUMMYFUNCTION("IFERROR(VLOOKUP(F884,IMPORTRANGE(""https://docs.google.com/spreadsheets/d/1Kvs4KS76FHFqLFIZfrDMff4kP08nblUkihrxltoGBjg/edit#gid=934712705"",""ESENCIAL!A6:BG""),3,FALSE))"),"")</f>
        <v/>
      </c>
      <c r="H846" s="5" t="str">
        <f ca="1">IFERROR(__xludf.DUMMYFUNCTION("IFERROR(VLOOKUP(F884,IMPORTRANGE(""https://docs.google.com/spreadsheets/d/1Kvs4KS76FHFqLFIZfrDMff4kP08nblUkihrxltoGBjg/edit#gid=934712705"",""ESENCIAL!A6:BG""),8,FALSE))"),"")</f>
        <v/>
      </c>
      <c r="L846" s="287"/>
      <c r="V846" s="66"/>
    </row>
    <row r="847" spans="1:22" ht="15">
      <c r="A847" s="5"/>
      <c r="B847" s="4"/>
      <c r="F847" s="66"/>
      <c r="G847" s="5" t="str">
        <f ca="1">IFERROR(__xludf.DUMMYFUNCTION("IFERROR(VLOOKUP(F885,IMPORTRANGE(""https://docs.google.com/spreadsheets/d/1Kvs4KS76FHFqLFIZfrDMff4kP08nblUkihrxltoGBjg/edit#gid=934712705"",""ESENCIAL!A6:BG""),3,FALSE))"),"")</f>
        <v/>
      </c>
      <c r="H847" s="5" t="str">
        <f ca="1">IFERROR(__xludf.DUMMYFUNCTION("IFERROR(VLOOKUP(F885,IMPORTRANGE(""https://docs.google.com/spreadsheets/d/1Kvs4KS76FHFqLFIZfrDMff4kP08nblUkihrxltoGBjg/edit#gid=934712705"",""ESENCIAL!A6:BG""),8,FALSE))"),"")</f>
        <v/>
      </c>
      <c r="L847" s="287"/>
      <c r="V847" s="66"/>
    </row>
    <row r="848" spans="1:22" ht="15">
      <c r="A848" s="5"/>
      <c r="B848" s="4"/>
      <c r="F848" s="66"/>
      <c r="G848" s="5" t="str">
        <f ca="1">IFERROR(__xludf.DUMMYFUNCTION("IFERROR(VLOOKUP(F886,IMPORTRANGE(""https://docs.google.com/spreadsheets/d/1Kvs4KS76FHFqLFIZfrDMff4kP08nblUkihrxltoGBjg/edit#gid=934712705"",""ESENCIAL!A6:BG""),3,FALSE))"),"")</f>
        <v/>
      </c>
      <c r="H848" s="5" t="str">
        <f ca="1">IFERROR(__xludf.DUMMYFUNCTION("IFERROR(VLOOKUP(F886,IMPORTRANGE(""https://docs.google.com/spreadsheets/d/1Kvs4KS76FHFqLFIZfrDMff4kP08nblUkihrxltoGBjg/edit#gid=934712705"",""ESENCIAL!A6:BG""),8,FALSE))"),"")</f>
        <v/>
      </c>
      <c r="L848" s="287"/>
      <c r="V848" s="66"/>
    </row>
    <row r="849" spans="1:22" ht="15">
      <c r="A849" s="5"/>
      <c r="B849" s="4"/>
      <c r="F849" s="66"/>
      <c r="G849" s="5" t="str">
        <f ca="1">IFERROR(__xludf.DUMMYFUNCTION("IFERROR(VLOOKUP(F887,IMPORTRANGE(""https://docs.google.com/spreadsheets/d/1Kvs4KS76FHFqLFIZfrDMff4kP08nblUkihrxltoGBjg/edit#gid=934712705"",""ESENCIAL!A6:BG""),3,FALSE))"),"")</f>
        <v/>
      </c>
      <c r="H849" s="5" t="str">
        <f ca="1">IFERROR(__xludf.DUMMYFUNCTION("IFERROR(VLOOKUP(F887,IMPORTRANGE(""https://docs.google.com/spreadsheets/d/1Kvs4KS76FHFqLFIZfrDMff4kP08nblUkihrxltoGBjg/edit#gid=934712705"",""ESENCIAL!A6:BG""),8,FALSE))"),"")</f>
        <v/>
      </c>
      <c r="L849" s="287"/>
      <c r="V849" s="66"/>
    </row>
    <row r="850" spans="1:22" ht="15">
      <c r="A850" s="5"/>
      <c r="B850" s="4"/>
      <c r="F850" s="66"/>
      <c r="G850" s="5" t="str">
        <f ca="1">IFERROR(__xludf.DUMMYFUNCTION("IFERROR(VLOOKUP(F888,IMPORTRANGE(""https://docs.google.com/spreadsheets/d/1Kvs4KS76FHFqLFIZfrDMff4kP08nblUkihrxltoGBjg/edit#gid=934712705"",""ESENCIAL!A6:BG""),3,FALSE))"),"")</f>
        <v/>
      </c>
      <c r="H850" s="5" t="str">
        <f ca="1">IFERROR(__xludf.DUMMYFUNCTION("IFERROR(VLOOKUP(F888,IMPORTRANGE(""https://docs.google.com/spreadsheets/d/1Kvs4KS76FHFqLFIZfrDMff4kP08nblUkihrxltoGBjg/edit#gid=934712705"",""ESENCIAL!A6:BG""),8,FALSE))"),"")</f>
        <v/>
      </c>
      <c r="L850" s="287"/>
      <c r="V850" s="66"/>
    </row>
    <row r="851" spans="1:22" ht="15">
      <c r="A851" s="5"/>
      <c r="B851" s="4"/>
      <c r="F851" s="66"/>
      <c r="G851" s="5" t="str">
        <f ca="1">IFERROR(__xludf.DUMMYFUNCTION("IFERROR(VLOOKUP(F889,IMPORTRANGE(""https://docs.google.com/spreadsheets/d/1Kvs4KS76FHFqLFIZfrDMff4kP08nblUkihrxltoGBjg/edit#gid=934712705"",""ESENCIAL!A6:BG""),3,FALSE))"),"")</f>
        <v/>
      </c>
      <c r="H851" s="5" t="str">
        <f ca="1">IFERROR(__xludf.DUMMYFUNCTION("IFERROR(VLOOKUP(F889,IMPORTRANGE(""https://docs.google.com/spreadsheets/d/1Kvs4KS76FHFqLFIZfrDMff4kP08nblUkihrxltoGBjg/edit#gid=934712705"",""ESENCIAL!A6:BG""),8,FALSE))"),"")</f>
        <v/>
      </c>
      <c r="L851" s="287"/>
      <c r="V851" s="66"/>
    </row>
    <row r="852" spans="1:22" ht="15">
      <c r="A852" s="5"/>
      <c r="B852" s="4"/>
      <c r="F852" s="66"/>
      <c r="G852" s="5" t="str">
        <f ca="1">IFERROR(__xludf.DUMMYFUNCTION("IFERROR(VLOOKUP(F890,IMPORTRANGE(""https://docs.google.com/spreadsheets/d/1Kvs4KS76FHFqLFIZfrDMff4kP08nblUkihrxltoGBjg/edit#gid=934712705"",""ESENCIAL!A6:BG""),3,FALSE))"),"")</f>
        <v/>
      </c>
      <c r="H852" s="5" t="str">
        <f ca="1">IFERROR(__xludf.DUMMYFUNCTION("IFERROR(VLOOKUP(F890,IMPORTRANGE(""https://docs.google.com/spreadsheets/d/1Kvs4KS76FHFqLFIZfrDMff4kP08nblUkihrxltoGBjg/edit#gid=934712705"",""ESENCIAL!A6:BG""),8,FALSE))"),"")</f>
        <v/>
      </c>
      <c r="L852" s="287"/>
      <c r="V852" s="66"/>
    </row>
    <row r="853" spans="1:22" ht="15">
      <c r="A853" s="5"/>
      <c r="B853" s="4"/>
      <c r="F853" s="66"/>
      <c r="G853" s="5" t="str">
        <f ca="1">IFERROR(__xludf.DUMMYFUNCTION("IFERROR(VLOOKUP(F891,IMPORTRANGE(""https://docs.google.com/spreadsheets/d/1Kvs4KS76FHFqLFIZfrDMff4kP08nblUkihrxltoGBjg/edit#gid=934712705"",""ESENCIAL!A6:BG""),3,FALSE))"),"")</f>
        <v/>
      </c>
      <c r="H853" s="5" t="str">
        <f ca="1">IFERROR(__xludf.DUMMYFUNCTION("IFERROR(VLOOKUP(F891,IMPORTRANGE(""https://docs.google.com/spreadsheets/d/1Kvs4KS76FHFqLFIZfrDMff4kP08nblUkihrxltoGBjg/edit#gid=934712705"",""ESENCIAL!A6:BG""),8,FALSE))"),"")</f>
        <v/>
      </c>
      <c r="L853" s="287"/>
      <c r="V853" s="66"/>
    </row>
    <row r="854" spans="1:22" ht="15">
      <c r="A854" s="5"/>
      <c r="B854" s="4"/>
      <c r="F854" s="66"/>
      <c r="G854" s="5" t="str">
        <f ca="1">IFERROR(__xludf.DUMMYFUNCTION("IFERROR(VLOOKUP(F892,IMPORTRANGE(""https://docs.google.com/spreadsheets/d/1Kvs4KS76FHFqLFIZfrDMff4kP08nblUkihrxltoGBjg/edit#gid=934712705"",""ESENCIAL!A6:BG""),3,FALSE))"),"")</f>
        <v/>
      </c>
      <c r="H854" s="5" t="str">
        <f ca="1">IFERROR(__xludf.DUMMYFUNCTION("IFERROR(VLOOKUP(F892,IMPORTRANGE(""https://docs.google.com/spreadsheets/d/1Kvs4KS76FHFqLFIZfrDMff4kP08nblUkihrxltoGBjg/edit#gid=934712705"",""ESENCIAL!A6:BG""),8,FALSE))"),"")</f>
        <v/>
      </c>
      <c r="L854" s="287"/>
      <c r="V854" s="66"/>
    </row>
    <row r="855" spans="1:22" ht="15">
      <c r="A855" s="5"/>
      <c r="B855" s="4"/>
      <c r="F855" s="66"/>
      <c r="G855" s="5" t="str">
        <f ca="1">IFERROR(__xludf.DUMMYFUNCTION("IFERROR(VLOOKUP(F893,IMPORTRANGE(""https://docs.google.com/spreadsheets/d/1Kvs4KS76FHFqLFIZfrDMff4kP08nblUkihrxltoGBjg/edit#gid=934712705"",""ESENCIAL!A6:BG""),3,FALSE))"),"")</f>
        <v/>
      </c>
      <c r="H855" s="5" t="str">
        <f ca="1">IFERROR(__xludf.DUMMYFUNCTION("IFERROR(VLOOKUP(F893,IMPORTRANGE(""https://docs.google.com/spreadsheets/d/1Kvs4KS76FHFqLFIZfrDMff4kP08nblUkihrxltoGBjg/edit#gid=934712705"",""ESENCIAL!A6:BG""),8,FALSE))"),"")</f>
        <v/>
      </c>
      <c r="L855" s="287"/>
      <c r="V855" s="66"/>
    </row>
    <row r="856" spans="1:22" ht="15">
      <c r="A856" s="5"/>
      <c r="B856" s="4"/>
      <c r="F856" s="66"/>
      <c r="G856" s="5" t="str">
        <f ca="1">IFERROR(__xludf.DUMMYFUNCTION("IFERROR(VLOOKUP(F894,IMPORTRANGE(""https://docs.google.com/spreadsheets/d/1Kvs4KS76FHFqLFIZfrDMff4kP08nblUkihrxltoGBjg/edit#gid=934712705"",""ESENCIAL!A6:BG""),3,FALSE))"),"")</f>
        <v/>
      </c>
      <c r="H856" s="5" t="str">
        <f ca="1">IFERROR(__xludf.DUMMYFUNCTION("IFERROR(VLOOKUP(F894,IMPORTRANGE(""https://docs.google.com/spreadsheets/d/1Kvs4KS76FHFqLFIZfrDMff4kP08nblUkihrxltoGBjg/edit#gid=934712705"",""ESENCIAL!A6:BG""),8,FALSE))"),"")</f>
        <v/>
      </c>
      <c r="L856" s="287"/>
      <c r="V856" s="66"/>
    </row>
    <row r="857" spans="1:22" ht="15">
      <c r="A857" s="5"/>
      <c r="B857" s="4"/>
      <c r="F857" s="66"/>
      <c r="G857" s="5" t="str">
        <f ca="1">IFERROR(__xludf.DUMMYFUNCTION("IFERROR(VLOOKUP(F895,IMPORTRANGE(""https://docs.google.com/spreadsheets/d/1Kvs4KS76FHFqLFIZfrDMff4kP08nblUkihrxltoGBjg/edit#gid=934712705"",""ESENCIAL!A6:BG""),3,FALSE))"),"")</f>
        <v/>
      </c>
      <c r="H857" s="5" t="str">
        <f ca="1">IFERROR(__xludf.DUMMYFUNCTION("IFERROR(VLOOKUP(F895,IMPORTRANGE(""https://docs.google.com/spreadsheets/d/1Kvs4KS76FHFqLFIZfrDMff4kP08nblUkihrxltoGBjg/edit#gid=934712705"",""ESENCIAL!A6:BG""),8,FALSE))"),"")</f>
        <v/>
      </c>
      <c r="L857" s="287"/>
      <c r="V857" s="66"/>
    </row>
    <row r="858" spans="1:22" ht="15">
      <c r="A858" s="5"/>
      <c r="B858" s="4"/>
      <c r="F858" s="66"/>
      <c r="G858" s="5" t="str">
        <f ca="1">IFERROR(__xludf.DUMMYFUNCTION("IFERROR(VLOOKUP(F896,IMPORTRANGE(""https://docs.google.com/spreadsheets/d/1Kvs4KS76FHFqLFIZfrDMff4kP08nblUkihrxltoGBjg/edit#gid=934712705"",""ESENCIAL!A6:BG""),3,FALSE))"),"")</f>
        <v/>
      </c>
      <c r="H858" s="5" t="str">
        <f ca="1">IFERROR(__xludf.DUMMYFUNCTION("IFERROR(VLOOKUP(F896,IMPORTRANGE(""https://docs.google.com/spreadsheets/d/1Kvs4KS76FHFqLFIZfrDMff4kP08nblUkihrxltoGBjg/edit#gid=934712705"",""ESENCIAL!A6:BG""),8,FALSE))"),"")</f>
        <v/>
      </c>
      <c r="L858" s="287"/>
      <c r="V858" s="66"/>
    </row>
    <row r="859" spans="1:22" ht="15">
      <c r="A859" s="5"/>
      <c r="B859" s="4"/>
      <c r="F859" s="66"/>
      <c r="G859" s="5" t="str">
        <f ca="1">IFERROR(__xludf.DUMMYFUNCTION("IFERROR(VLOOKUP(F897,IMPORTRANGE(""https://docs.google.com/spreadsheets/d/1Kvs4KS76FHFqLFIZfrDMff4kP08nblUkihrxltoGBjg/edit#gid=934712705"",""ESENCIAL!A6:BG""),3,FALSE))"),"")</f>
        <v/>
      </c>
      <c r="H859" s="5" t="str">
        <f ca="1">IFERROR(__xludf.DUMMYFUNCTION("IFERROR(VLOOKUP(F897,IMPORTRANGE(""https://docs.google.com/spreadsheets/d/1Kvs4KS76FHFqLFIZfrDMff4kP08nblUkihrxltoGBjg/edit#gid=934712705"",""ESENCIAL!A6:BG""),8,FALSE))"),"")</f>
        <v/>
      </c>
      <c r="L859" s="287"/>
      <c r="V859" s="66"/>
    </row>
    <row r="860" spans="1:22" ht="15">
      <c r="A860" s="5"/>
      <c r="B860" s="4"/>
      <c r="F860" s="66"/>
      <c r="G860" s="5" t="str">
        <f ca="1">IFERROR(__xludf.DUMMYFUNCTION("IFERROR(VLOOKUP(F898,IMPORTRANGE(""https://docs.google.com/spreadsheets/d/1Kvs4KS76FHFqLFIZfrDMff4kP08nblUkihrxltoGBjg/edit#gid=934712705"",""ESENCIAL!A6:BG""),3,FALSE))"),"")</f>
        <v/>
      </c>
      <c r="H860" s="5" t="str">
        <f ca="1">IFERROR(__xludf.DUMMYFUNCTION("IFERROR(VLOOKUP(F898,IMPORTRANGE(""https://docs.google.com/spreadsheets/d/1Kvs4KS76FHFqLFIZfrDMff4kP08nblUkihrxltoGBjg/edit#gid=934712705"",""ESENCIAL!A6:BG""),8,FALSE))"),"")</f>
        <v/>
      </c>
      <c r="L860" s="287"/>
      <c r="V860" s="66"/>
    </row>
    <row r="861" spans="1:22" ht="15">
      <c r="A861" s="5"/>
      <c r="B861" s="4"/>
      <c r="F861" s="66"/>
      <c r="G861" s="5" t="str">
        <f ca="1">IFERROR(__xludf.DUMMYFUNCTION("IFERROR(VLOOKUP(F899,IMPORTRANGE(""https://docs.google.com/spreadsheets/d/1Kvs4KS76FHFqLFIZfrDMff4kP08nblUkihrxltoGBjg/edit#gid=934712705"",""ESENCIAL!A6:BG""),3,FALSE))"),"")</f>
        <v/>
      </c>
      <c r="H861" s="5" t="str">
        <f ca="1">IFERROR(__xludf.DUMMYFUNCTION("IFERROR(VLOOKUP(F899,IMPORTRANGE(""https://docs.google.com/spreadsheets/d/1Kvs4KS76FHFqLFIZfrDMff4kP08nblUkihrxltoGBjg/edit#gid=934712705"",""ESENCIAL!A6:BG""),8,FALSE))"),"")</f>
        <v/>
      </c>
      <c r="L861" s="287"/>
      <c r="V861" s="66"/>
    </row>
    <row r="862" spans="1:22" ht="15">
      <c r="A862" s="5"/>
      <c r="B862" s="4"/>
      <c r="F862" s="66"/>
      <c r="G862" s="5" t="str">
        <f ca="1">IFERROR(__xludf.DUMMYFUNCTION("IFERROR(VLOOKUP(F900,IMPORTRANGE(""https://docs.google.com/spreadsheets/d/1Kvs4KS76FHFqLFIZfrDMff4kP08nblUkihrxltoGBjg/edit#gid=934712705"",""ESENCIAL!A6:BG""),3,FALSE))"),"")</f>
        <v/>
      </c>
      <c r="H862" s="5" t="str">
        <f ca="1">IFERROR(__xludf.DUMMYFUNCTION("IFERROR(VLOOKUP(F900,IMPORTRANGE(""https://docs.google.com/spreadsheets/d/1Kvs4KS76FHFqLFIZfrDMff4kP08nblUkihrxltoGBjg/edit#gid=934712705"",""ESENCIAL!A6:BG""),8,FALSE))"),"")</f>
        <v/>
      </c>
      <c r="L862" s="287"/>
      <c r="V862" s="66"/>
    </row>
    <row r="863" spans="1:22" ht="15">
      <c r="A863" s="5"/>
      <c r="B863" s="4"/>
      <c r="F863" s="66"/>
      <c r="G863" s="5" t="str">
        <f ca="1">IFERROR(__xludf.DUMMYFUNCTION("IFERROR(VLOOKUP(F901,IMPORTRANGE(""https://docs.google.com/spreadsheets/d/1Kvs4KS76FHFqLFIZfrDMff4kP08nblUkihrxltoGBjg/edit#gid=934712705"",""ESENCIAL!A6:BG""),3,FALSE))"),"")</f>
        <v/>
      </c>
      <c r="H863" s="5" t="str">
        <f ca="1">IFERROR(__xludf.DUMMYFUNCTION("IFERROR(VLOOKUP(F901,IMPORTRANGE(""https://docs.google.com/spreadsheets/d/1Kvs4KS76FHFqLFIZfrDMff4kP08nblUkihrxltoGBjg/edit#gid=934712705"",""ESENCIAL!A6:BG""),8,FALSE))"),"")</f>
        <v/>
      </c>
      <c r="L863" s="287"/>
      <c r="V863" s="66"/>
    </row>
    <row r="864" spans="1:22" ht="15">
      <c r="A864" s="5"/>
      <c r="B864" s="4"/>
      <c r="F864" s="66"/>
      <c r="G864" s="5" t="str">
        <f ca="1">IFERROR(__xludf.DUMMYFUNCTION("IFERROR(VLOOKUP(F902,IMPORTRANGE(""https://docs.google.com/spreadsheets/d/1Kvs4KS76FHFqLFIZfrDMff4kP08nblUkihrxltoGBjg/edit#gid=934712705"",""ESENCIAL!A6:BG""),3,FALSE))"),"")</f>
        <v/>
      </c>
      <c r="H864" s="5" t="str">
        <f ca="1">IFERROR(__xludf.DUMMYFUNCTION("IFERROR(VLOOKUP(F902,IMPORTRANGE(""https://docs.google.com/spreadsheets/d/1Kvs4KS76FHFqLFIZfrDMff4kP08nblUkihrxltoGBjg/edit#gid=934712705"",""ESENCIAL!A6:BG""),8,FALSE))"),"")</f>
        <v/>
      </c>
      <c r="L864" s="287"/>
      <c r="V864" s="66"/>
    </row>
    <row r="865" spans="1:22" ht="15">
      <c r="A865" s="5"/>
      <c r="B865" s="4"/>
      <c r="F865" s="66"/>
      <c r="G865" s="5" t="str">
        <f ca="1">IFERROR(__xludf.DUMMYFUNCTION("IFERROR(VLOOKUP(F903,IMPORTRANGE(""https://docs.google.com/spreadsheets/d/1Kvs4KS76FHFqLFIZfrDMff4kP08nblUkihrxltoGBjg/edit#gid=934712705"",""ESENCIAL!A6:BG""),3,FALSE))"),"")</f>
        <v/>
      </c>
      <c r="H865" s="5" t="str">
        <f ca="1">IFERROR(__xludf.DUMMYFUNCTION("IFERROR(VLOOKUP(F903,IMPORTRANGE(""https://docs.google.com/spreadsheets/d/1Kvs4KS76FHFqLFIZfrDMff4kP08nblUkihrxltoGBjg/edit#gid=934712705"",""ESENCIAL!A6:BG""),8,FALSE))"),"")</f>
        <v/>
      </c>
      <c r="L865" s="287"/>
      <c r="V865" s="66"/>
    </row>
    <row r="866" spans="1:22" ht="15">
      <c r="A866" s="5"/>
      <c r="B866" s="4"/>
      <c r="F866" s="66"/>
      <c r="G866" s="5" t="str">
        <f ca="1">IFERROR(__xludf.DUMMYFUNCTION("IFERROR(VLOOKUP(F904,IMPORTRANGE(""https://docs.google.com/spreadsheets/d/1Kvs4KS76FHFqLFIZfrDMff4kP08nblUkihrxltoGBjg/edit#gid=934712705"",""ESENCIAL!A6:BG""),3,FALSE))"),"")</f>
        <v/>
      </c>
      <c r="H866" s="5" t="str">
        <f ca="1">IFERROR(__xludf.DUMMYFUNCTION("IFERROR(VLOOKUP(F904,IMPORTRANGE(""https://docs.google.com/spreadsheets/d/1Kvs4KS76FHFqLFIZfrDMff4kP08nblUkihrxltoGBjg/edit#gid=934712705"",""ESENCIAL!A6:BG""),8,FALSE))"),"")</f>
        <v/>
      </c>
      <c r="L866" s="287"/>
      <c r="V866" s="66"/>
    </row>
    <row r="867" spans="1:22" ht="15">
      <c r="A867" s="5"/>
      <c r="B867" s="4"/>
      <c r="F867" s="66"/>
      <c r="G867" s="5" t="str">
        <f ca="1">IFERROR(__xludf.DUMMYFUNCTION("IFERROR(VLOOKUP(F905,IMPORTRANGE(""https://docs.google.com/spreadsheets/d/1Kvs4KS76FHFqLFIZfrDMff4kP08nblUkihrxltoGBjg/edit#gid=934712705"",""ESENCIAL!A6:BG""),3,FALSE))"),"")</f>
        <v/>
      </c>
      <c r="H867" s="5" t="str">
        <f ca="1">IFERROR(__xludf.DUMMYFUNCTION("IFERROR(VLOOKUP(F905,IMPORTRANGE(""https://docs.google.com/spreadsheets/d/1Kvs4KS76FHFqLFIZfrDMff4kP08nblUkihrxltoGBjg/edit#gid=934712705"",""ESENCIAL!A6:BG""),8,FALSE))"),"")</f>
        <v/>
      </c>
      <c r="L867" s="287"/>
      <c r="V867" s="66"/>
    </row>
    <row r="868" spans="1:22" ht="15">
      <c r="A868" s="5"/>
      <c r="B868" s="4"/>
      <c r="F868" s="66"/>
      <c r="G868" s="5" t="str">
        <f ca="1">IFERROR(__xludf.DUMMYFUNCTION("IFERROR(VLOOKUP(F906,IMPORTRANGE(""https://docs.google.com/spreadsheets/d/1Kvs4KS76FHFqLFIZfrDMff4kP08nblUkihrxltoGBjg/edit#gid=934712705"",""ESENCIAL!A6:BG""),3,FALSE))"),"")</f>
        <v/>
      </c>
      <c r="H868" s="5" t="str">
        <f ca="1">IFERROR(__xludf.DUMMYFUNCTION("IFERROR(VLOOKUP(F906,IMPORTRANGE(""https://docs.google.com/spreadsheets/d/1Kvs4KS76FHFqLFIZfrDMff4kP08nblUkihrxltoGBjg/edit#gid=934712705"",""ESENCIAL!A6:BG""),8,FALSE))"),"")</f>
        <v/>
      </c>
      <c r="L868" s="287"/>
      <c r="V868" s="66"/>
    </row>
    <row r="869" spans="1:22" ht="15">
      <c r="A869" s="5"/>
      <c r="B869" s="4"/>
      <c r="F869" s="66"/>
      <c r="G869" s="5" t="str">
        <f ca="1">IFERROR(__xludf.DUMMYFUNCTION("IFERROR(VLOOKUP(F907,IMPORTRANGE(""https://docs.google.com/spreadsheets/d/1Kvs4KS76FHFqLFIZfrDMff4kP08nblUkihrxltoGBjg/edit#gid=934712705"",""ESENCIAL!A6:BG""),3,FALSE))"),"")</f>
        <v/>
      </c>
      <c r="H869" s="5" t="str">
        <f ca="1">IFERROR(__xludf.DUMMYFUNCTION("IFERROR(VLOOKUP(F907,IMPORTRANGE(""https://docs.google.com/spreadsheets/d/1Kvs4KS76FHFqLFIZfrDMff4kP08nblUkihrxltoGBjg/edit#gid=934712705"",""ESENCIAL!A6:BG""),8,FALSE))"),"")</f>
        <v/>
      </c>
      <c r="L869" s="287"/>
      <c r="V869" s="66"/>
    </row>
    <row r="870" spans="1:22" ht="15">
      <c r="A870" s="5"/>
      <c r="B870" s="4"/>
      <c r="F870" s="66"/>
      <c r="G870" s="5" t="str">
        <f ca="1">IFERROR(__xludf.DUMMYFUNCTION("IFERROR(VLOOKUP(F908,IMPORTRANGE(""https://docs.google.com/spreadsheets/d/1Kvs4KS76FHFqLFIZfrDMff4kP08nblUkihrxltoGBjg/edit#gid=934712705"",""ESENCIAL!A6:BG""),3,FALSE))"),"")</f>
        <v/>
      </c>
      <c r="H870" s="5" t="str">
        <f ca="1">IFERROR(__xludf.DUMMYFUNCTION("IFERROR(VLOOKUP(F908,IMPORTRANGE(""https://docs.google.com/spreadsheets/d/1Kvs4KS76FHFqLFIZfrDMff4kP08nblUkihrxltoGBjg/edit#gid=934712705"",""ESENCIAL!A6:BG""),8,FALSE))"),"")</f>
        <v/>
      </c>
      <c r="L870" s="287"/>
      <c r="V870" s="66"/>
    </row>
    <row r="871" spans="1:22" ht="15">
      <c r="A871" s="5"/>
      <c r="B871" s="4"/>
      <c r="F871" s="66"/>
      <c r="G871" s="5" t="str">
        <f ca="1">IFERROR(__xludf.DUMMYFUNCTION("IFERROR(VLOOKUP(F909,IMPORTRANGE(""https://docs.google.com/spreadsheets/d/1Kvs4KS76FHFqLFIZfrDMff4kP08nblUkihrxltoGBjg/edit#gid=934712705"",""ESENCIAL!A6:BG""),3,FALSE))"),"")</f>
        <v/>
      </c>
      <c r="H871" s="5" t="str">
        <f ca="1">IFERROR(__xludf.DUMMYFUNCTION("IFERROR(VLOOKUP(F909,IMPORTRANGE(""https://docs.google.com/spreadsheets/d/1Kvs4KS76FHFqLFIZfrDMff4kP08nblUkihrxltoGBjg/edit#gid=934712705"",""ESENCIAL!A6:BG""),8,FALSE))"),"")</f>
        <v/>
      </c>
      <c r="L871" s="287"/>
      <c r="V871" s="66"/>
    </row>
    <row r="872" spans="1:22" ht="15">
      <c r="A872" s="5"/>
      <c r="B872" s="4"/>
      <c r="F872" s="66"/>
      <c r="G872" s="5" t="str">
        <f ca="1">IFERROR(__xludf.DUMMYFUNCTION("IFERROR(VLOOKUP(F910,IMPORTRANGE(""https://docs.google.com/spreadsheets/d/1Kvs4KS76FHFqLFIZfrDMff4kP08nblUkihrxltoGBjg/edit#gid=934712705"",""ESENCIAL!A6:BG""),3,FALSE))"),"")</f>
        <v/>
      </c>
      <c r="H872" s="5" t="str">
        <f ca="1">IFERROR(__xludf.DUMMYFUNCTION("IFERROR(VLOOKUP(F910,IMPORTRANGE(""https://docs.google.com/spreadsheets/d/1Kvs4KS76FHFqLFIZfrDMff4kP08nblUkihrxltoGBjg/edit#gid=934712705"",""ESENCIAL!A6:BG""),8,FALSE))"),"")</f>
        <v/>
      </c>
      <c r="L872" s="287"/>
      <c r="V872" s="66"/>
    </row>
    <row r="873" spans="1:22" ht="15">
      <c r="A873" s="5"/>
      <c r="B873" s="4"/>
      <c r="F873" s="66"/>
      <c r="G873" s="5" t="str">
        <f ca="1">IFERROR(__xludf.DUMMYFUNCTION("IFERROR(VLOOKUP(F911,IMPORTRANGE(""https://docs.google.com/spreadsheets/d/1Kvs4KS76FHFqLFIZfrDMff4kP08nblUkihrxltoGBjg/edit#gid=934712705"",""ESENCIAL!A6:BG""),3,FALSE))"),"")</f>
        <v/>
      </c>
      <c r="H873" s="5" t="str">
        <f ca="1">IFERROR(__xludf.DUMMYFUNCTION("IFERROR(VLOOKUP(F911,IMPORTRANGE(""https://docs.google.com/spreadsheets/d/1Kvs4KS76FHFqLFIZfrDMff4kP08nblUkihrxltoGBjg/edit#gid=934712705"",""ESENCIAL!A6:BG""),8,FALSE))"),"")</f>
        <v/>
      </c>
      <c r="L873" s="287"/>
      <c r="V873" s="66"/>
    </row>
    <row r="874" spans="1:22" ht="15">
      <c r="A874" s="5"/>
      <c r="B874" s="4"/>
      <c r="F874" s="66"/>
      <c r="G874" s="5" t="str">
        <f ca="1">IFERROR(__xludf.DUMMYFUNCTION("IFERROR(VLOOKUP(F912,IMPORTRANGE(""https://docs.google.com/spreadsheets/d/1Kvs4KS76FHFqLFIZfrDMff4kP08nblUkihrxltoGBjg/edit#gid=934712705"",""ESENCIAL!A6:BG""),3,FALSE))"),"")</f>
        <v/>
      </c>
      <c r="H874" s="5" t="str">
        <f ca="1">IFERROR(__xludf.DUMMYFUNCTION("IFERROR(VLOOKUP(F912,IMPORTRANGE(""https://docs.google.com/spreadsheets/d/1Kvs4KS76FHFqLFIZfrDMff4kP08nblUkihrxltoGBjg/edit#gid=934712705"",""ESENCIAL!A6:BG""),8,FALSE))"),"")</f>
        <v/>
      </c>
      <c r="L874" s="287"/>
      <c r="V874" s="66"/>
    </row>
    <row r="875" spans="1:22" ht="15">
      <c r="A875" s="5"/>
      <c r="B875" s="4"/>
      <c r="F875" s="66"/>
      <c r="G875" s="5" t="str">
        <f ca="1">IFERROR(__xludf.DUMMYFUNCTION("IFERROR(VLOOKUP(F913,IMPORTRANGE(""https://docs.google.com/spreadsheets/d/1Kvs4KS76FHFqLFIZfrDMff4kP08nblUkihrxltoGBjg/edit#gid=934712705"",""ESENCIAL!A6:BG""),3,FALSE))"),"")</f>
        <v/>
      </c>
      <c r="H875" s="5" t="str">
        <f ca="1">IFERROR(__xludf.DUMMYFUNCTION("IFERROR(VLOOKUP(F913,IMPORTRANGE(""https://docs.google.com/spreadsheets/d/1Kvs4KS76FHFqLFIZfrDMff4kP08nblUkihrxltoGBjg/edit#gid=934712705"",""ESENCIAL!A6:BG""),8,FALSE))"),"")</f>
        <v/>
      </c>
      <c r="L875" s="287"/>
      <c r="V875" s="66"/>
    </row>
    <row r="876" spans="1:22" ht="15">
      <c r="A876" s="5"/>
      <c r="B876" s="4"/>
      <c r="F876" s="66"/>
      <c r="G876" s="5" t="str">
        <f ca="1">IFERROR(__xludf.DUMMYFUNCTION("IFERROR(VLOOKUP(F914,IMPORTRANGE(""https://docs.google.com/spreadsheets/d/1Kvs4KS76FHFqLFIZfrDMff4kP08nblUkihrxltoGBjg/edit#gid=934712705"",""ESENCIAL!A6:BG""),3,FALSE))"),"")</f>
        <v/>
      </c>
      <c r="H876" s="5" t="str">
        <f ca="1">IFERROR(__xludf.DUMMYFUNCTION("IFERROR(VLOOKUP(F914,IMPORTRANGE(""https://docs.google.com/spreadsheets/d/1Kvs4KS76FHFqLFIZfrDMff4kP08nblUkihrxltoGBjg/edit#gid=934712705"",""ESENCIAL!A6:BG""),8,FALSE))"),"")</f>
        <v/>
      </c>
      <c r="L876" s="287"/>
      <c r="V876" s="66"/>
    </row>
    <row r="877" spans="1:22" ht="15">
      <c r="A877" s="5"/>
      <c r="B877" s="4"/>
      <c r="F877" s="66"/>
      <c r="G877" s="5" t="str">
        <f ca="1">IFERROR(__xludf.DUMMYFUNCTION("IFERROR(VLOOKUP(F915,IMPORTRANGE(""https://docs.google.com/spreadsheets/d/1Kvs4KS76FHFqLFIZfrDMff4kP08nblUkihrxltoGBjg/edit#gid=934712705"",""ESENCIAL!A6:BG""),3,FALSE))"),"")</f>
        <v/>
      </c>
      <c r="H877" s="5" t="str">
        <f ca="1">IFERROR(__xludf.DUMMYFUNCTION("IFERROR(VLOOKUP(F915,IMPORTRANGE(""https://docs.google.com/spreadsheets/d/1Kvs4KS76FHFqLFIZfrDMff4kP08nblUkihrxltoGBjg/edit#gid=934712705"",""ESENCIAL!A6:BG""),8,FALSE))"),"")</f>
        <v/>
      </c>
      <c r="L877" s="287"/>
      <c r="V877" s="66"/>
    </row>
    <row r="878" spans="1:22" ht="15">
      <c r="A878" s="5"/>
      <c r="B878" s="4"/>
      <c r="F878" s="66"/>
      <c r="G878" s="5" t="str">
        <f ca="1">IFERROR(__xludf.DUMMYFUNCTION("IFERROR(VLOOKUP(F916,IMPORTRANGE(""https://docs.google.com/spreadsheets/d/1Kvs4KS76FHFqLFIZfrDMff4kP08nblUkihrxltoGBjg/edit#gid=934712705"",""ESENCIAL!A6:BG""),3,FALSE))"),"")</f>
        <v/>
      </c>
      <c r="H878" s="5" t="str">
        <f ca="1">IFERROR(__xludf.DUMMYFUNCTION("IFERROR(VLOOKUP(F916,IMPORTRANGE(""https://docs.google.com/spreadsheets/d/1Kvs4KS76FHFqLFIZfrDMff4kP08nblUkihrxltoGBjg/edit#gid=934712705"",""ESENCIAL!A6:BG""),8,FALSE))"),"")</f>
        <v/>
      </c>
      <c r="L878" s="287"/>
      <c r="V878" s="66"/>
    </row>
    <row r="879" spans="1:22" ht="15">
      <c r="A879" s="5"/>
      <c r="B879" s="4"/>
      <c r="F879" s="66"/>
      <c r="G879" s="5" t="str">
        <f ca="1">IFERROR(__xludf.DUMMYFUNCTION("IFERROR(VLOOKUP(F917,IMPORTRANGE(""https://docs.google.com/spreadsheets/d/1Kvs4KS76FHFqLFIZfrDMff4kP08nblUkihrxltoGBjg/edit#gid=934712705"",""ESENCIAL!A6:BG""),3,FALSE))"),"")</f>
        <v/>
      </c>
      <c r="H879" s="5" t="str">
        <f ca="1">IFERROR(__xludf.DUMMYFUNCTION("IFERROR(VLOOKUP(F917,IMPORTRANGE(""https://docs.google.com/spreadsheets/d/1Kvs4KS76FHFqLFIZfrDMff4kP08nblUkihrxltoGBjg/edit#gid=934712705"",""ESENCIAL!A6:BG""),8,FALSE))"),"")</f>
        <v/>
      </c>
      <c r="L879" s="287"/>
      <c r="V879" s="66"/>
    </row>
    <row r="880" spans="1:22" ht="15">
      <c r="A880" s="5"/>
      <c r="B880" s="4"/>
      <c r="F880" s="66"/>
      <c r="G880" s="5" t="str">
        <f ca="1">IFERROR(__xludf.DUMMYFUNCTION("IFERROR(VLOOKUP(F918,IMPORTRANGE(""https://docs.google.com/spreadsheets/d/1Kvs4KS76FHFqLFIZfrDMff4kP08nblUkihrxltoGBjg/edit#gid=934712705"",""ESENCIAL!A6:BG""),3,FALSE))"),"")</f>
        <v/>
      </c>
      <c r="H880" s="5" t="str">
        <f ca="1">IFERROR(__xludf.DUMMYFUNCTION("IFERROR(VLOOKUP(F918,IMPORTRANGE(""https://docs.google.com/spreadsheets/d/1Kvs4KS76FHFqLFIZfrDMff4kP08nblUkihrxltoGBjg/edit#gid=934712705"",""ESENCIAL!A6:BG""),8,FALSE))"),"")</f>
        <v/>
      </c>
      <c r="L880" s="287"/>
      <c r="V880" s="66"/>
    </row>
    <row r="881" spans="1:22" ht="15">
      <c r="A881" s="5"/>
      <c r="B881" s="4"/>
      <c r="F881" s="66"/>
      <c r="G881" s="5" t="str">
        <f ca="1">IFERROR(__xludf.DUMMYFUNCTION("IFERROR(VLOOKUP(F919,IMPORTRANGE(""https://docs.google.com/spreadsheets/d/1Kvs4KS76FHFqLFIZfrDMff4kP08nblUkihrxltoGBjg/edit#gid=934712705"",""ESENCIAL!A6:BG""),3,FALSE))"),"")</f>
        <v/>
      </c>
      <c r="H881" s="5" t="str">
        <f ca="1">IFERROR(__xludf.DUMMYFUNCTION("IFERROR(VLOOKUP(F919,IMPORTRANGE(""https://docs.google.com/spreadsheets/d/1Kvs4KS76FHFqLFIZfrDMff4kP08nblUkihrxltoGBjg/edit#gid=934712705"",""ESENCIAL!A6:BG""),8,FALSE))"),"")</f>
        <v/>
      </c>
      <c r="L881" s="287"/>
      <c r="V881" s="66"/>
    </row>
    <row r="882" spans="1:22" ht="15">
      <c r="A882" s="5"/>
      <c r="B882" s="4"/>
      <c r="F882" s="66"/>
      <c r="G882" s="5" t="str">
        <f ca="1">IFERROR(__xludf.DUMMYFUNCTION("IFERROR(VLOOKUP(F920,IMPORTRANGE(""https://docs.google.com/spreadsheets/d/1Kvs4KS76FHFqLFIZfrDMff4kP08nblUkihrxltoGBjg/edit#gid=934712705"",""ESENCIAL!A6:BG""),3,FALSE))"),"")</f>
        <v/>
      </c>
      <c r="H882" s="5" t="str">
        <f ca="1">IFERROR(__xludf.DUMMYFUNCTION("IFERROR(VLOOKUP(F920,IMPORTRANGE(""https://docs.google.com/spreadsheets/d/1Kvs4KS76FHFqLFIZfrDMff4kP08nblUkihrxltoGBjg/edit#gid=934712705"",""ESENCIAL!A6:BG""),8,FALSE))"),"")</f>
        <v/>
      </c>
      <c r="L882" s="287"/>
      <c r="V882" s="66"/>
    </row>
    <row r="883" spans="1:22" ht="15">
      <c r="A883" s="5"/>
      <c r="B883" s="4"/>
      <c r="F883" s="66"/>
      <c r="G883" s="5" t="str">
        <f ca="1">IFERROR(__xludf.DUMMYFUNCTION("IFERROR(VLOOKUP(F921,IMPORTRANGE(""https://docs.google.com/spreadsheets/d/1Kvs4KS76FHFqLFIZfrDMff4kP08nblUkihrxltoGBjg/edit#gid=934712705"",""ESENCIAL!A6:BG""),3,FALSE))"),"")</f>
        <v/>
      </c>
      <c r="H883" s="5" t="str">
        <f ca="1">IFERROR(__xludf.DUMMYFUNCTION("IFERROR(VLOOKUP(F921,IMPORTRANGE(""https://docs.google.com/spreadsheets/d/1Kvs4KS76FHFqLFIZfrDMff4kP08nblUkihrxltoGBjg/edit#gid=934712705"",""ESENCIAL!A6:BG""),8,FALSE))"),"")</f>
        <v/>
      </c>
      <c r="L883" s="287"/>
      <c r="V883" s="66"/>
    </row>
    <row r="884" spans="1:22" ht="15">
      <c r="A884" s="5"/>
      <c r="B884" s="4"/>
      <c r="F884" s="66"/>
      <c r="G884" s="5" t="str">
        <f ca="1">IFERROR(__xludf.DUMMYFUNCTION("IFERROR(VLOOKUP(F922,IMPORTRANGE(""https://docs.google.com/spreadsheets/d/1Kvs4KS76FHFqLFIZfrDMff4kP08nblUkihrxltoGBjg/edit#gid=934712705"",""ESENCIAL!A6:BG""),3,FALSE))"),"")</f>
        <v/>
      </c>
      <c r="H884" s="5" t="str">
        <f ca="1">IFERROR(__xludf.DUMMYFUNCTION("IFERROR(VLOOKUP(F922,IMPORTRANGE(""https://docs.google.com/spreadsheets/d/1Kvs4KS76FHFqLFIZfrDMff4kP08nblUkihrxltoGBjg/edit#gid=934712705"",""ESENCIAL!A6:BG""),8,FALSE))"),"")</f>
        <v/>
      </c>
      <c r="L884" s="287"/>
      <c r="V884" s="66"/>
    </row>
    <row r="885" spans="1:22" ht="15">
      <c r="A885" s="5"/>
      <c r="B885" s="4"/>
      <c r="F885" s="66"/>
      <c r="G885" s="5" t="str">
        <f ca="1">IFERROR(__xludf.DUMMYFUNCTION("IFERROR(VLOOKUP(F923,IMPORTRANGE(""https://docs.google.com/spreadsheets/d/1Kvs4KS76FHFqLFIZfrDMff4kP08nblUkihrxltoGBjg/edit#gid=934712705"",""ESENCIAL!A6:BG""),3,FALSE))"),"")</f>
        <v/>
      </c>
      <c r="H885" s="5" t="str">
        <f ca="1">IFERROR(__xludf.DUMMYFUNCTION("IFERROR(VLOOKUP(F923,IMPORTRANGE(""https://docs.google.com/spreadsheets/d/1Kvs4KS76FHFqLFIZfrDMff4kP08nblUkihrxltoGBjg/edit#gid=934712705"",""ESENCIAL!A6:BG""),8,FALSE))"),"")</f>
        <v/>
      </c>
      <c r="L885" s="287"/>
      <c r="V885" s="66"/>
    </row>
    <row r="886" spans="1:22" ht="15">
      <c r="A886" s="5"/>
      <c r="B886" s="4"/>
      <c r="F886" s="66"/>
      <c r="G886" s="5" t="str">
        <f ca="1">IFERROR(__xludf.DUMMYFUNCTION("IFERROR(VLOOKUP(F924,IMPORTRANGE(""https://docs.google.com/spreadsheets/d/1Kvs4KS76FHFqLFIZfrDMff4kP08nblUkihrxltoGBjg/edit#gid=934712705"",""ESENCIAL!A6:BG""),3,FALSE))"),"")</f>
        <v/>
      </c>
      <c r="H886" s="5" t="str">
        <f ca="1">IFERROR(__xludf.DUMMYFUNCTION("IFERROR(VLOOKUP(F924,IMPORTRANGE(""https://docs.google.com/spreadsheets/d/1Kvs4KS76FHFqLFIZfrDMff4kP08nblUkihrxltoGBjg/edit#gid=934712705"",""ESENCIAL!A6:BG""),8,FALSE))"),"")</f>
        <v/>
      </c>
      <c r="L886" s="287"/>
      <c r="V886" s="66"/>
    </row>
    <row r="887" spans="1:22" ht="15">
      <c r="A887" s="105"/>
      <c r="B887" s="620"/>
      <c r="C887" s="621"/>
      <c r="F887" s="66"/>
      <c r="G887" s="5" t="str">
        <f ca="1">IFERROR(__xludf.DUMMYFUNCTION("IFERROR(VLOOKUP(F925,IMPORTRANGE(""https://docs.google.com/spreadsheets/d/1Kvs4KS76FHFqLFIZfrDMff4kP08nblUkihrxltoGBjg/edit#gid=934712705"",""ESENCIAL!A6:BG""),3,FALSE))"),"")</f>
        <v/>
      </c>
      <c r="H887" s="5" t="str">
        <f ca="1">IFERROR(__xludf.DUMMYFUNCTION("IFERROR(VLOOKUP(F925,IMPORTRANGE(""https://docs.google.com/spreadsheets/d/1Kvs4KS76FHFqLFIZfrDMff4kP08nblUkihrxltoGBjg/edit#gid=934712705"",""ESENCIAL!A6:BG""),8,FALSE))"),"")</f>
        <v/>
      </c>
      <c r="L887" s="287"/>
      <c r="V887" s="66"/>
    </row>
    <row r="888" spans="1:22" ht="15">
      <c r="A888" s="106"/>
      <c r="B888" s="620"/>
      <c r="C888" s="621"/>
      <c r="F888" s="66"/>
      <c r="G888" s="5" t="str">
        <f ca="1">IFERROR(__xludf.DUMMYFUNCTION("IFERROR(VLOOKUP(F926,IMPORTRANGE(""https://docs.google.com/spreadsheets/d/1Kvs4KS76FHFqLFIZfrDMff4kP08nblUkihrxltoGBjg/edit#gid=934712705"",""ESENCIAL!A6:BG""),3,FALSE))"),"")</f>
        <v/>
      </c>
      <c r="H888" s="5" t="str">
        <f ca="1">IFERROR(__xludf.DUMMYFUNCTION("IFERROR(VLOOKUP(F926,IMPORTRANGE(""https://docs.google.com/spreadsheets/d/1Kvs4KS76FHFqLFIZfrDMff4kP08nblUkihrxltoGBjg/edit#gid=934712705"",""ESENCIAL!A6:BG""),8,FALSE))"),"")</f>
        <v/>
      </c>
      <c r="L888" s="287"/>
      <c r="V888" s="66"/>
    </row>
    <row r="889" spans="1:22" ht="15">
      <c r="A889" s="107"/>
      <c r="B889" s="620"/>
      <c r="C889" s="621"/>
      <c r="F889" s="66"/>
      <c r="G889" s="5" t="str">
        <f ca="1">IFERROR(__xludf.DUMMYFUNCTION("IFERROR(VLOOKUP(F927,IMPORTRANGE(""https://docs.google.com/spreadsheets/d/1Kvs4KS76FHFqLFIZfrDMff4kP08nblUkihrxltoGBjg/edit#gid=934712705"",""ESENCIAL!A6:BG""),3,FALSE))"),"")</f>
        <v/>
      </c>
      <c r="H889" s="5" t="str">
        <f ca="1">IFERROR(__xludf.DUMMYFUNCTION("IFERROR(VLOOKUP(F927,IMPORTRANGE(""https://docs.google.com/spreadsheets/d/1Kvs4KS76FHFqLFIZfrDMff4kP08nblUkihrxltoGBjg/edit#gid=934712705"",""ESENCIAL!A6:BG""),8,FALSE))"),"")</f>
        <v/>
      </c>
      <c r="L889" s="287"/>
      <c r="V889" s="66"/>
    </row>
    <row r="890" spans="1:22" ht="15">
      <c r="A890" s="63"/>
      <c r="B890" s="620"/>
      <c r="C890" s="621"/>
      <c r="F890" s="66"/>
      <c r="G890" s="5" t="str">
        <f ca="1">IFERROR(__xludf.DUMMYFUNCTION("IFERROR(VLOOKUP(F928,IMPORTRANGE(""https://docs.google.com/spreadsheets/d/1Kvs4KS76FHFqLFIZfrDMff4kP08nblUkihrxltoGBjg/edit#gid=934712705"",""ESENCIAL!A6:BG""),3,FALSE))"),"")</f>
        <v/>
      </c>
      <c r="H890" s="5" t="str">
        <f ca="1">IFERROR(__xludf.DUMMYFUNCTION("IFERROR(VLOOKUP(F928,IMPORTRANGE(""https://docs.google.com/spreadsheets/d/1Kvs4KS76FHFqLFIZfrDMff4kP08nblUkihrxltoGBjg/edit#gid=934712705"",""ESENCIAL!A6:BG""),8,FALSE))"),"")</f>
        <v/>
      </c>
      <c r="L890" s="287"/>
      <c r="V890" s="66"/>
    </row>
    <row r="891" spans="1:22" ht="15">
      <c r="A891" s="5"/>
      <c r="B891" s="4"/>
      <c r="F891" s="66"/>
      <c r="G891" s="5" t="str">
        <f ca="1">IFERROR(__xludf.DUMMYFUNCTION("IFERROR(VLOOKUP(F929,IMPORTRANGE(""https://docs.google.com/spreadsheets/d/1Kvs4KS76FHFqLFIZfrDMff4kP08nblUkihrxltoGBjg/edit#gid=934712705"",""ESENCIAL!A6:BG""),3,FALSE))"),"")</f>
        <v/>
      </c>
      <c r="H891" s="5" t="str">
        <f ca="1">IFERROR(__xludf.DUMMYFUNCTION("IFERROR(VLOOKUP(F929,IMPORTRANGE(""https://docs.google.com/spreadsheets/d/1Kvs4KS76FHFqLFIZfrDMff4kP08nblUkihrxltoGBjg/edit#gid=934712705"",""ESENCIAL!A6:BG""),8,FALSE))"),"")</f>
        <v/>
      </c>
      <c r="L891" s="287"/>
      <c r="V891" s="66"/>
    </row>
    <row r="892" spans="1:22" ht="15">
      <c r="A892" s="5"/>
      <c r="B892" s="4"/>
      <c r="F892" s="66"/>
      <c r="G892" s="5" t="str">
        <f ca="1">IFERROR(__xludf.DUMMYFUNCTION("IFERROR(VLOOKUP(F930,IMPORTRANGE(""https://docs.google.com/spreadsheets/d/1Kvs4KS76FHFqLFIZfrDMff4kP08nblUkihrxltoGBjg/edit#gid=934712705"",""ESENCIAL!A6:BG""),3,FALSE))"),"")</f>
        <v/>
      </c>
      <c r="H892" s="5" t="str">
        <f ca="1">IFERROR(__xludf.DUMMYFUNCTION("IFERROR(VLOOKUP(F930,IMPORTRANGE(""https://docs.google.com/spreadsheets/d/1Kvs4KS76FHFqLFIZfrDMff4kP08nblUkihrxltoGBjg/edit#gid=934712705"",""ESENCIAL!A6:BG""),8,FALSE))"),"")</f>
        <v/>
      </c>
      <c r="L892" s="287"/>
      <c r="V892" s="66"/>
    </row>
    <row r="893" spans="1:22" ht="15.75" customHeight="1">
      <c r="L893" s="287"/>
    </row>
    <row r="894" spans="1:22" ht="15.75" customHeight="1">
      <c r="L894" s="287"/>
    </row>
    <row r="895" spans="1:22" ht="15.75" customHeight="1">
      <c r="L895" s="287"/>
    </row>
    <row r="896" spans="1:22" ht="15.75" customHeight="1">
      <c r="L896" s="287"/>
    </row>
    <row r="897" spans="12:12" ht="15.75" customHeight="1">
      <c r="L897" s="287"/>
    </row>
    <row r="898" spans="12:12" ht="15.75" customHeight="1">
      <c r="L898" s="287"/>
    </row>
    <row r="899" spans="12:12" ht="15.75" customHeight="1">
      <c r="L899" s="287"/>
    </row>
    <row r="900" spans="12:12" ht="15.75" customHeight="1">
      <c r="L900" s="287"/>
    </row>
    <row r="901" spans="12:12" ht="15.75" customHeight="1">
      <c r="L901" s="287"/>
    </row>
    <row r="902" spans="12:12" ht="15.75" customHeight="1">
      <c r="L902" s="287"/>
    </row>
    <row r="903" spans="12:12" ht="15.75" customHeight="1">
      <c r="L903" s="287"/>
    </row>
    <row r="904" spans="12:12" ht="15.75" customHeight="1">
      <c r="L904" s="287"/>
    </row>
    <row r="905" spans="12:12" ht="15.75" customHeight="1">
      <c r="L905" s="287"/>
    </row>
    <row r="906" spans="12:12" ht="15.75" customHeight="1">
      <c r="L906" s="287"/>
    </row>
    <row r="907" spans="12:12" ht="15.75" customHeight="1">
      <c r="L907" s="287"/>
    </row>
    <row r="908" spans="12:12" ht="15.75" customHeight="1">
      <c r="L908" s="287"/>
    </row>
    <row r="909" spans="12:12" ht="15.75" customHeight="1">
      <c r="L909" s="287"/>
    </row>
    <row r="910" spans="12:12" ht="15.75" customHeight="1">
      <c r="L910" s="287"/>
    </row>
    <row r="911" spans="12:12" ht="15.75" customHeight="1">
      <c r="L911" s="287"/>
    </row>
    <row r="912" spans="12:12" ht="15.75" customHeight="1">
      <c r="L912" s="287"/>
    </row>
    <row r="913" spans="12:12" ht="15.75" customHeight="1">
      <c r="L913" s="287"/>
    </row>
    <row r="914" spans="12:12" ht="15.75" customHeight="1">
      <c r="L914" s="287"/>
    </row>
    <row r="915" spans="12:12" ht="15.75" customHeight="1">
      <c r="L915" s="287"/>
    </row>
    <row r="916" spans="12:12" ht="15.75" customHeight="1">
      <c r="L916" s="287"/>
    </row>
    <row r="917" spans="12:12" ht="15.75" customHeight="1">
      <c r="L917" s="287"/>
    </row>
    <row r="918" spans="12:12" ht="15.75" customHeight="1">
      <c r="L918" s="287"/>
    </row>
    <row r="919" spans="12:12" ht="15.75" customHeight="1">
      <c r="L919" s="287"/>
    </row>
    <row r="920" spans="12:12" ht="15.75" customHeight="1">
      <c r="L920" s="287"/>
    </row>
    <row r="921" spans="12:12" ht="15.75" customHeight="1">
      <c r="L921" s="287"/>
    </row>
    <row r="922" spans="12:12" ht="15.75" customHeight="1">
      <c r="L922" s="287"/>
    </row>
    <row r="923" spans="12:12" ht="15.75" customHeight="1">
      <c r="L923" s="287"/>
    </row>
    <row r="924" spans="12:12" ht="15.75" customHeight="1">
      <c r="L924" s="287"/>
    </row>
    <row r="925" spans="12:12" ht="15.75" customHeight="1">
      <c r="L925" s="287"/>
    </row>
    <row r="926" spans="12:12" ht="15.75" customHeight="1">
      <c r="L926" s="287"/>
    </row>
    <row r="927" spans="12:12" ht="15.75" customHeight="1">
      <c r="L927" s="287"/>
    </row>
    <row r="928" spans="12:12" ht="15.75" customHeight="1">
      <c r="L928" s="287"/>
    </row>
    <row r="929" spans="12:12" ht="15.75" customHeight="1">
      <c r="L929" s="287"/>
    </row>
    <row r="930" spans="12:12" ht="15.75" customHeight="1">
      <c r="L930" s="287"/>
    </row>
    <row r="931" spans="12:12" ht="15.75" customHeight="1">
      <c r="L931" s="287"/>
    </row>
    <row r="932" spans="12:12" ht="15.75" customHeight="1">
      <c r="L932" s="287"/>
    </row>
    <row r="933" spans="12:12" ht="15.75" customHeight="1">
      <c r="L933" s="287"/>
    </row>
    <row r="934" spans="12:12" ht="15.75" customHeight="1">
      <c r="L934" s="287"/>
    </row>
    <row r="935" spans="12:12" ht="15.75" customHeight="1">
      <c r="L935" s="287"/>
    </row>
    <row r="936" spans="12:12" ht="15.75" customHeight="1">
      <c r="L936" s="287"/>
    </row>
    <row r="937" spans="12:12" ht="15.75" customHeight="1">
      <c r="L937" s="287"/>
    </row>
    <row r="938" spans="12:12" ht="15.75" customHeight="1">
      <c r="L938" s="287"/>
    </row>
    <row r="939" spans="12:12" ht="15.75" customHeight="1">
      <c r="L939" s="287"/>
    </row>
    <row r="940" spans="12:12" ht="15.75" customHeight="1">
      <c r="L940" s="287"/>
    </row>
    <row r="941" spans="12:12" ht="15.75" customHeight="1">
      <c r="L941" s="287"/>
    </row>
    <row r="942" spans="12:12" ht="15.75" customHeight="1">
      <c r="L942" s="287"/>
    </row>
    <row r="943" spans="12:12" ht="15.75" customHeight="1">
      <c r="L943" s="287"/>
    </row>
    <row r="944" spans="12:12" ht="15.75" customHeight="1">
      <c r="L944" s="287"/>
    </row>
    <row r="945" spans="12:12" ht="15.75" customHeight="1">
      <c r="L945" s="287"/>
    </row>
    <row r="946" spans="12:12" ht="15.75" customHeight="1">
      <c r="L946" s="287"/>
    </row>
    <row r="947" spans="12:12" ht="15.75" customHeight="1">
      <c r="L947" s="287"/>
    </row>
    <row r="948" spans="12:12" ht="15.75" customHeight="1">
      <c r="L948" s="287"/>
    </row>
    <row r="949" spans="12:12" ht="15.75" customHeight="1">
      <c r="L949" s="287"/>
    </row>
    <row r="950" spans="12:12" ht="15.75" customHeight="1">
      <c r="L950" s="287"/>
    </row>
    <row r="951" spans="12:12" ht="15.75" customHeight="1">
      <c r="L951" s="287"/>
    </row>
    <row r="952" spans="12:12" ht="15.75" customHeight="1">
      <c r="L952" s="287"/>
    </row>
    <row r="953" spans="12:12" ht="15.75" customHeight="1">
      <c r="L953" s="287"/>
    </row>
    <row r="954" spans="12:12" ht="15.75" customHeight="1">
      <c r="L954" s="287"/>
    </row>
    <row r="955" spans="12:12" ht="15.75" customHeight="1">
      <c r="L955" s="287"/>
    </row>
    <row r="956" spans="12:12" ht="15.75" customHeight="1">
      <c r="L956" s="287"/>
    </row>
    <row r="957" spans="12:12" ht="15.75" customHeight="1">
      <c r="L957" s="287"/>
    </row>
  </sheetData>
  <customSheetViews>
    <customSheetView guid="{EAC82E0D-75FA-41B7-8B62-97FB6A6849EA}" filter="1" showAutoFilter="1">
      <pageMargins left="0" right="0" top="0" bottom="0" header="0" footer="0"/>
      <autoFilter ref="A2:AM930" xr:uid="{7E5BF0F8-F5DD-EF47-8CF5-6D00D6C3630E}">
        <filterColumn colId="1">
          <filters blank="1">
            <filter val="APLAZADO  18/10/2022"/>
            <filter val="CONDICIONADO 18/10/2022"/>
            <filter val="FORMACIÓN 18/10/2022"/>
          </filters>
        </filterColumn>
      </autoFilter>
    </customSheetView>
    <customSheetView guid="{F538DE6E-16F6-4729-8AE2-7E15099C785E}" filter="1" showAutoFilter="1">
      <pageMargins left="0" right="0" top="0" bottom="0" header="0" footer="0"/>
      <autoFilter ref="A2:AM930" xr:uid="{BBC7DFBD-E1F5-9C41-8984-E2825DF0DA20}">
        <filterColumn colId="3">
          <filters>
            <filter val="CC"/>
            <filter val="TI"/>
          </filters>
        </filterColumn>
        <filterColumn colId="11">
          <filters blank="1">
            <filter val="NO HA INICIADO ETAPA PRODUCTIVA"/>
          </filters>
        </filterColumn>
      </autoFilter>
    </customSheetView>
    <customSheetView guid="{84E55A85-4999-488C-B8FB-CF76BA148A0B}" filter="1" showAutoFilter="1">
      <pageMargins left="0" right="0" top="0" bottom="0" header="0" footer="0"/>
      <autoFilter ref="A2:AM930" xr:uid="{FF3C2303-BC34-6649-A6D5-77C811E0090E}">
        <filterColumn colId="11">
          <filters>
            <filter val="CONTRATO DE APRENDIZAJE"/>
            <filter val="NO HA INICIADO ETAPA PRODUCTIVA"/>
          </filters>
        </filterColumn>
      </autoFilter>
    </customSheetView>
    <customSheetView guid="{58B89FF3-C647-47FD-9CC2-FAEF34225D14}" filter="1" showAutoFilter="1">
      <pageMargins left="0" right="0" top="0" bottom="0" header="0" footer="0"/>
      <autoFilter ref="A2:AM930" xr:uid="{19384ABD-1036-834E-8832-B06594A0D4A5}">
        <filterColumn colId="1">
          <filters blank="1">
            <filter val="APLAZADO  18/10/2022"/>
            <filter val="CONDICIONADO 18/10/2022"/>
            <filter val="FORMACIÓN 18/10/2022"/>
          </filters>
        </filterColumn>
        <filterColumn colId="11">
          <filters>
            <filter val="NO HA INICIADO ETAPA PRODUCTIVA"/>
          </filters>
        </filterColumn>
      </autoFilter>
    </customSheetView>
  </customSheetViews>
  <mergeCells count="7">
    <mergeCell ref="B889:C889"/>
    <mergeCell ref="B890:C890"/>
    <mergeCell ref="C1:L1"/>
    <mergeCell ref="M1:Q1"/>
    <mergeCell ref="R1:T1"/>
    <mergeCell ref="B887:C887"/>
    <mergeCell ref="B888:C888"/>
  </mergeCells>
  <dataValidations count="2">
    <dataValidation type="list" allowBlank="1" showInputMessage="1" showErrorMessage="1" prompt="Haz clic e introduce un valor de la lista de elementos" sqref="L17:L18 L20:L21 L3 L5 L8 L12 L15 L24:L25 L27:L28" xr:uid="{00000000-0002-0000-0200-000000000000}">
      <formula1>"UNIDAD PRODUCTIVA,CONTRATO DE APRENDIZAJE,NO HA INICIADO ETAPA PRODUCTIVA,NO TIENE LEGALIZACIÓN,NO VA A RELIZAR ETAPA PRODUCTIVA,PASANTÍAS,PENDIENTE,PROYECTO PRODUCTIVO,PRODUCTIVO,RENUNCIO A CONTRATO DE APRENDIZAJE,RETIRO DE SU ETAPA PRODUCTIVA,RETIRO VOL"&amp;"UNTARIO,SI REALIZO PRACTICAS,TERMINADO,TERMINO CONTRATO DE APRENDIZAJE,TRABAJADOR(A) INDEPENDIENTE,VINCULACIÓN LABORAL"</formula1>
    </dataValidation>
    <dataValidation type="list" allowBlank="1" showInputMessage="1" showErrorMessage="1" sqref="L4 L6:L7 L9:L11 L13:L14 L16 L26 L29:L957" xr:uid="{F9B57660-2A5D-4941-8379-D99F995665C4}">
      <formula1>"CONTRATO DE APRENDIZAJE,NO HA INICIADO ETAPA PRODUCTIVA,PASANTÍAS,PROYECTO PRODUCTIVO,RENUNCIO A CONTRATO DE APRENDIZAJE,TERMINADO,TERMINADO EL CONTRATO,VINCULACIÓN LABORAL"</formula1>
    </dataValidation>
  </dataValidations>
  <hyperlinks>
    <hyperlink ref="J23" r:id="rId1" xr:uid="{D86D2B4E-10D1-48BD-A52A-61985CAC81F8}"/>
    <hyperlink ref="Q23" r:id="rId2" xr:uid="{0BD86793-2492-444D-8200-31105DE70A1C}"/>
    <hyperlink ref="J21" r:id="rId3" xr:uid="{21C0A8A1-F6C6-4ECA-ABE4-4490D33C76DE}"/>
    <hyperlink ref="Q21" r:id="rId4" xr:uid="{FED2DF32-BC15-4EFD-96D2-C51814C04BB2}"/>
    <hyperlink ref="J19" r:id="rId5" xr:uid="{C49B95DF-70C0-4FF3-BFF8-C5F084F70FF4}"/>
    <hyperlink ref="Q19" r:id="rId6" xr:uid="{4EA64E74-0648-45B6-A708-3AE3C4B37E8E}"/>
    <hyperlink ref="J22" r:id="rId7" xr:uid="{270DCE3C-01AA-4A32-B8E5-0EF722CBB40B}"/>
    <hyperlink ref="Q22" r:id="rId8" xr:uid="{EF5B585C-CB78-4251-A2CD-4BEE9A0F3DBB}"/>
    <hyperlink ref="J31" r:id="rId9" xr:uid="{D9373C8D-C6D6-4974-B961-C4B200F4D2DA}"/>
    <hyperlink ref="Q31" r:id="rId10" xr:uid="{ED017E43-567A-44D1-8B01-226DA9BD9D7F}"/>
    <hyperlink ref="J4" r:id="rId11" xr:uid="{DDFDB843-E1D0-4E33-A010-3E0D0B43D667}"/>
  </hyperlinks>
  <pageMargins left="0" right="0" top="0" bottom="0" header="0" footer="0"/>
  <tableParts count="1">
    <tablePart r:id="rId1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M636"/>
  <sheetViews>
    <sheetView workbookViewId="0">
      <pane ySplit="2" topLeftCell="A59" activePane="bottomLeft" state="frozen"/>
      <selection pane="bottomLeft" activeCell="B60" sqref="B60"/>
    </sheetView>
  </sheetViews>
  <sheetFormatPr baseColWidth="10" defaultColWidth="12.5" defaultRowHeight="15.75" customHeight="1"/>
  <cols>
    <col min="1" max="1" width="29.33203125" customWidth="1"/>
    <col min="2" max="2" width="21" customWidth="1"/>
    <col min="3" max="3" width="12.5" customWidth="1"/>
    <col min="4" max="4" width="28.6640625" customWidth="1"/>
    <col min="5" max="5" width="14.5" customWidth="1"/>
    <col min="6" max="6" width="13.1640625" customWidth="1"/>
    <col min="7" max="7" width="8.6640625" customWidth="1"/>
    <col min="8" max="8" width="13.5" customWidth="1"/>
    <col min="9" max="9" width="29.83203125" customWidth="1"/>
    <col min="10" max="10" width="13.83203125" customWidth="1"/>
    <col min="11" max="11" width="17.5" customWidth="1"/>
    <col min="12" max="12" width="11.5" customWidth="1"/>
    <col min="13" max="13" width="12.33203125" customWidth="1"/>
    <col min="14" max="14" width="14.33203125" customWidth="1"/>
    <col min="15" max="15" width="13.1640625" customWidth="1"/>
    <col min="16" max="16" width="15.1640625" customWidth="1"/>
    <col min="17" max="17" width="9.6640625" customWidth="1"/>
    <col min="18" max="18" width="17.6640625" customWidth="1"/>
    <col min="19" max="19" width="15.1640625" style="339" customWidth="1"/>
    <col min="20" max="20" width="13.1640625" style="223" customWidth="1"/>
    <col min="21" max="21" width="47" customWidth="1"/>
    <col min="22" max="22" width="27.33203125" hidden="1" customWidth="1"/>
    <col min="23" max="23" width="22.6640625" hidden="1" customWidth="1"/>
    <col min="24" max="37" width="12.5" hidden="1" bestFit="1" customWidth="1"/>
    <col min="38" max="43" width="0" hidden="1" customWidth="1"/>
    <col min="44" max="44" width="19" hidden="1" customWidth="1"/>
    <col min="45" max="45" width="0" hidden="1" customWidth="1"/>
    <col min="46" max="46" width="24.5" customWidth="1"/>
    <col min="47" max="47" width="34.5" customWidth="1"/>
    <col min="48" max="48" width="16.6640625" customWidth="1"/>
    <col min="49" max="49" width="30.83203125" customWidth="1"/>
    <col min="50" max="50" width="16.5" customWidth="1"/>
    <col min="51" max="51" width="23" customWidth="1"/>
    <col min="52" max="52" width="39.33203125" customWidth="1"/>
    <col min="53" max="53" width="41.1640625" customWidth="1"/>
    <col min="54" max="54" width="34.5" customWidth="1"/>
    <col min="55" max="55" width="36.33203125" customWidth="1"/>
    <col min="56" max="56" width="35.5" customWidth="1"/>
    <col min="57" max="57" width="25.6640625" customWidth="1"/>
    <col min="58" max="58" width="22.33203125" customWidth="1"/>
    <col min="59" max="59" width="21.5" customWidth="1"/>
    <col min="60" max="60" width="22" customWidth="1"/>
    <col min="61" max="61" width="40.5" customWidth="1"/>
    <col min="62" max="62" width="21.1640625" customWidth="1"/>
  </cols>
  <sheetData>
    <row r="1" spans="1:65" ht="15">
      <c r="A1" s="560"/>
      <c r="B1" s="511"/>
      <c r="C1" s="520"/>
      <c r="D1" s="630" t="s">
        <v>0</v>
      </c>
      <c r="E1" s="631"/>
      <c r="F1" s="631"/>
      <c r="G1" s="631"/>
      <c r="H1" s="631"/>
      <c r="I1" s="631"/>
      <c r="J1" s="631"/>
      <c r="K1" s="631"/>
      <c r="L1" s="631"/>
      <c r="M1" s="632"/>
      <c r="N1" s="630" t="s">
        <v>1</v>
      </c>
      <c r="O1" s="631"/>
      <c r="P1" s="631"/>
      <c r="Q1" s="631"/>
      <c r="R1" s="632"/>
      <c r="S1" s="630" t="s">
        <v>2</v>
      </c>
      <c r="T1" s="631"/>
      <c r="U1" s="632"/>
      <c r="V1" s="596"/>
      <c r="W1" s="597"/>
      <c r="X1" s="596"/>
      <c r="Y1" s="596"/>
      <c r="Z1" s="596"/>
      <c r="AA1" s="596"/>
      <c r="AB1" s="596"/>
      <c r="AC1" s="596"/>
      <c r="AD1" s="596"/>
      <c r="AE1" s="596"/>
      <c r="AF1" s="596"/>
      <c r="AG1" s="596"/>
      <c r="AH1" s="596"/>
      <c r="AI1" s="596"/>
      <c r="AJ1" s="596"/>
      <c r="AK1" s="596"/>
      <c r="AL1" s="596"/>
      <c r="AM1" s="596"/>
      <c r="AN1" s="596"/>
      <c r="AO1" s="596"/>
      <c r="AP1" s="596"/>
      <c r="AQ1" s="596"/>
      <c r="AR1" s="538"/>
      <c r="AS1" s="538"/>
      <c r="AT1" s="511"/>
      <c r="AU1" s="511"/>
      <c r="AV1" s="521"/>
      <c r="AW1" s="521"/>
      <c r="AX1" s="521"/>
      <c r="AY1" s="521"/>
      <c r="AZ1" s="521"/>
      <c r="BA1" s="521"/>
      <c r="BB1" s="521"/>
      <c r="BC1" s="521"/>
      <c r="BD1" s="521"/>
      <c r="BE1" s="521"/>
      <c r="BF1" s="521"/>
      <c r="BG1" s="521"/>
      <c r="BH1" s="511" t="s">
        <v>540</v>
      </c>
      <c r="BI1" s="522">
        <f ca="1">TODAY()</f>
        <v>45028</v>
      </c>
      <c r="BJ1" s="521"/>
      <c r="BK1" s="521"/>
      <c r="BL1" s="5"/>
      <c r="BM1" s="5"/>
    </row>
    <row r="2" spans="1:65" ht="36.75" customHeight="1">
      <c r="A2" s="560" t="s">
        <v>541</v>
      </c>
      <c r="B2" s="512" t="s">
        <v>3</v>
      </c>
      <c r="C2" s="513" t="s">
        <v>4</v>
      </c>
      <c r="D2" s="513" t="s">
        <v>182</v>
      </c>
      <c r="E2" s="513" t="s">
        <v>6</v>
      </c>
      <c r="F2" s="513" t="s">
        <v>7</v>
      </c>
      <c r="G2" s="513" t="s">
        <v>8</v>
      </c>
      <c r="H2" s="514" t="s">
        <v>9</v>
      </c>
      <c r="I2" s="514" t="s">
        <v>10</v>
      </c>
      <c r="J2" s="513" t="s">
        <v>11</v>
      </c>
      <c r="K2" s="513" t="s">
        <v>12</v>
      </c>
      <c r="L2" s="513" t="s">
        <v>13</v>
      </c>
      <c r="M2" s="513" t="s">
        <v>14</v>
      </c>
      <c r="N2" s="513" t="s">
        <v>15</v>
      </c>
      <c r="O2" s="513" t="s">
        <v>16</v>
      </c>
      <c r="P2" s="513" t="s">
        <v>17</v>
      </c>
      <c r="Q2" s="513" t="s">
        <v>18</v>
      </c>
      <c r="R2" s="513" t="s">
        <v>19</v>
      </c>
      <c r="S2" s="515" t="s">
        <v>20</v>
      </c>
      <c r="T2" s="515" t="s">
        <v>21</v>
      </c>
      <c r="U2" s="514" t="s">
        <v>22</v>
      </c>
      <c r="V2" s="598" t="s">
        <v>183</v>
      </c>
      <c r="W2" s="598" t="s">
        <v>24</v>
      </c>
      <c r="X2" s="598" t="s">
        <v>184</v>
      </c>
      <c r="Y2" s="598" t="s">
        <v>185</v>
      </c>
      <c r="Z2" s="598" t="s">
        <v>186</v>
      </c>
      <c r="AA2" s="598" t="s">
        <v>187</v>
      </c>
      <c r="AB2" s="598" t="s">
        <v>188</v>
      </c>
      <c r="AC2" s="598" t="s">
        <v>189</v>
      </c>
      <c r="AD2" s="598" t="s">
        <v>190</v>
      </c>
      <c r="AE2" s="598" t="s">
        <v>191</v>
      </c>
      <c r="AF2" s="598" t="s">
        <v>192</v>
      </c>
      <c r="AG2" s="598" t="s">
        <v>193</v>
      </c>
      <c r="AH2" s="598" t="s">
        <v>194</v>
      </c>
      <c r="AI2" s="598" t="s">
        <v>195</v>
      </c>
      <c r="AJ2" s="598" t="s">
        <v>196</v>
      </c>
      <c r="AK2" s="598" t="s">
        <v>197</v>
      </c>
      <c r="AL2" s="598" t="s">
        <v>198</v>
      </c>
      <c r="AM2" s="598" t="s">
        <v>199</v>
      </c>
      <c r="AN2" s="598" t="s">
        <v>200</v>
      </c>
      <c r="AO2" s="598" t="s">
        <v>201</v>
      </c>
      <c r="AP2" s="598" t="s">
        <v>202</v>
      </c>
      <c r="AQ2" s="598" t="s">
        <v>203</v>
      </c>
      <c r="AR2" s="599" t="s">
        <v>542</v>
      </c>
      <c r="AS2" s="599" t="s">
        <v>543</v>
      </c>
      <c r="AT2" s="516" t="s">
        <v>544</v>
      </c>
      <c r="AU2" s="516" t="s">
        <v>545</v>
      </c>
      <c r="AV2" s="517" t="s">
        <v>546</v>
      </c>
      <c r="AW2" s="517" t="s">
        <v>547</v>
      </c>
      <c r="AX2" s="518" t="s">
        <v>548</v>
      </c>
      <c r="AY2" s="518" t="s">
        <v>549</v>
      </c>
      <c r="AZ2" s="517" t="s">
        <v>550</v>
      </c>
      <c r="BA2" s="517" t="s">
        <v>551</v>
      </c>
      <c r="BB2" s="517" t="s">
        <v>552</v>
      </c>
      <c r="BC2" s="517" t="s">
        <v>553</v>
      </c>
      <c r="BD2" s="517" t="s">
        <v>554</v>
      </c>
      <c r="BE2" s="518" t="s">
        <v>204</v>
      </c>
      <c r="BF2" s="518" t="s">
        <v>205</v>
      </c>
      <c r="BG2" s="515" t="s">
        <v>206</v>
      </c>
      <c r="BH2" s="515" t="s">
        <v>207</v>
      </c>
      <c r="BI2" s="513" t="s">
        <v>208</v>
      </c>
      <c r="BJ2" s="513" t="s">
        <v>209</v>
      </c>
      <c r="BK2" s="519" t="s">
        <v>555</v>
      </c>
      <c r="BL2" s="14"/>
      <c r="BM2" s="14"/>
    </row>
    <row r="3" spans="1:65" ht="18" customHeight="1">
      <c r="A3" s="164" t="s">
        <v>556</v>
      </c>
      <c r="B3" s="562" t="s">
        <v>557</v>
      </c>
      <c r="C3" s="534" t="s">
        <v>25</v>
      </c>
      <c r="D3" s="563" t="s">
        <v>558</v>
      </c>
      <c r="E3" s="451" t="s">
        <v>27</v>
      </c>
      <c r="F3" s="451">
        <v>1005741495</v>
      </c>
      <c r="G3" s="451">
        <v>2067690</v>
      </c>
      <c r="H3" s="338" t="str">
        <f ca="1">IFERROR(__xludf.DUMMYFUNCTION("IFERROR(VLOOKUP(F27,IMPORTRANGE(""https://docs.google.com/spreadsheets/d/1Kvs4KS76FHFqLFIZfrDMff4kP08nblUkihrxltoGBjg/edit#gid=934712705"",""ESENCIAL!A6:BG""),3,FALSE))"),"TECNÓLOGO")</f>
        <v>TECNÓLOGO</v>
      </c>
      <c r="I3" s="338" t="str">
        <f ca="1">IFERROR(__xludf.DUMMYFUNCTION("IFERROR(VLOOKUP(F27,IMPORTRANGE(""https://docs.google.com/spreadsheets/d/1Kvs4KS76FHFqLFIZfrDMff4kP08nblUkihrxltoGBjg/edit#gid=934712705"",""ESENCIAL!A6:BG""),8,FALSE))"),"PRODUCCION DE MULTIMEDIA")</f>
        <v>PRODUCCION DE MULTIMEDIA</v>
      </c>
      <c r="J3" s="523">
        <v>3102392469</v>
      </c>
      <c r="K3" s="524" t="s">
        <v>559</v>
      </c>
      <c r="L3" s="523" t="s">
        <v>421</v>
      </c>
      <c r="M3" s="451" t="s">
        <v>37</v>
      </c>
      <c r="N3" s="451" t="s">
        <v>560</v>
      </c>
      <c r="O3" s="451" t="s">
        <v>561</v>
      </c>
      <c r="P3" s="451">
        <v>3124145794</v>
      </c>
      <c r="Q3" s="451"/>
      <c r="R3" s="451"/>
      <c r="S3" s="525">
        <v>44629</v>
      </c>
      <c r="T3" s="526">
        <v>44813</v>
      </c>
      <c r="U3" s="451" t="s">
        <v>562</v>
      </c>
      <c r="V3" s="459" t="s">
        <v>563</v>
      </c>
      <c r="W3" s="450" t="s">
        <v>564</v>
      </c>
      <c r="X3" s="527"/>
      <c r="Y3" s="527"/>
      <c r="Z3" s="527"/>
      <c r="AA3" s="527"/>
      <c r="AB3" s="527"/>
      <c r="AC3" s="527"/>
      <c r="AD3" s="527"/>
      <c r="AE3" s="527"/>
      <c r="AF3" s="527"/>
      <c r="AG3" s="527"/>
      <c r="AH3" s="527"/>
      <c r="AI3" s="527"/>
      <c r="AJ3" s="527"/>
      <c r="AK3" s="527"/>
      <c r="AL3" s="527"/>
      <c r="AM3" s="527"/>
      <c r="AN3" s="527"/>
      <c r="AO3" s="527"/>
      <c r="AP3" s="527"/>
      <c r="AQ3" s="527"/>
      <c r="AR3" s="528"/>
      <c r="AS3" s="528"/>
      <c r="AT3" s="528" t="s">
        <v>565</v>
      </c>
      <c r="AU3" s="528"/>
      <c r="AV3" s="338" t="str">
        <f t="shared" ref="AV3:AV26" ca="1" si="0">IF(F3&gt;0,IF(AND(BD3=1,BA3=1),"Procede_E_P","NO_CUMPLE"),"")</f>
        <v>Procede_E_P</v>
      </c>
      <c r="AW3" s="338" t="str">
        <f ca="1">IFERROR(__xludf.DUMMYFUNCTION("IFERROR(VLOOKUP(E27&amp;F27,IMPORTRANGE(""https://docs.google.com/spreadsheets/d/1Uw7-A9f9R21vMXxHZFNpYNeKFtG8_yji4HS352LGlSQ/edit?pli=1#gid=0"",""1_ACUM!A4:S""),11,FALSE))"),"EN FORMACION")</f>
        <v>EN FORMACION</v>
      </c>
      <c r="AX3" s="462" t="str">
        <f ca="1">IFERROR(__xludf.DUMMYFUNCTION("IFERROR(VLOOKUP(F27,IMPORTRANGE(""https://docs.google.com/spreadsheets/d/1Kvs4KS76FHFqLFIZfrDMff4kP08nblUkihrxltoGBjg/edit#gid=934712705"",""ESENCIAL!A6:BG""),15,FALSE))"),"TIC")</f>
        <v>TIC</v>
      </c>
      <c r="AY3" s="461">
        <f ca="1">IFERROR(__xludf.DUMMYFUNCTION("IFERROR(VLOOKUP(E27&amp;F27,IMPORTRANGE(""https://docs.google.com/spreadsheets/d/1Uw7-A9f9R21vMXxHZFNpYNeKFtG8_yji4HS352LGlSQ/edit?pli=1#gid=0"",""1_ACUM!A4:S""),13,FALSE))"),0)</f>
        <v>0</v>
      </c>
      <c r="AZ3" s="460">
        <f ca="1">IFERROR(__xludf.DUMMYFUNCTION("IFERROR(VLOOKUP(E27&amp;F27,IMPORTRANGE(""https://docs.google.com/spreadsheets/d/1Uw7-A9f9R21vMXxHZFNpYNeKFtG8_yji4HS352LGlSQ/edit?pli=1#gid=0"",""1_ACUM!A4:S""),13,FALSE))"),0)</f>
        <v>0</v>
      </c>
      <c r="BA3" s="460">
        <f ca="1">IFERROR(__xludf.DUMMYFUNCTION("IFERROR(VLOOKUP(E27&amp;F27,IMPORTRANGE(""https://docs.google.com/spreadsheets/d/1Uw7-A9f9R21vMXxHZFNpYNeKFtG8_yji4HS352LGlSQ/edit?pli=1#gid=0"",""1_ACUM!A4:S""),14,FALSE))"),1)</f>
        <v>1</v>
      </c>
      <c r="BB3" s="460">
        <f ca="1">IFERROR(__xludf.DUMMYFUNCTION("IFERROR(VLOOKUP(E27&amp;F27,IMPORTRANGE(""https://docs.google.com/spreadsheets/d/1Uw7-A9f9R21vMXxHZFNpYNeKFtG8_yji4HS352LGlSQ/edit?pli=1#gid=0"",""1_ACUM!A4:S""),15,FALSE))"),0)</f>
        <v>0</v>
      </c>
      <c r="BC3" s="460">
        <f ca="1">IFERROR(__xludf.DUMMYFUNCTION("IFERROR(VLOOKUP(E27&amp;F27,IMPORTRANGE(""https://docs.google.com/spreadsheets/d/1Uw7-A9f9R21vMXxHZFNpYNeKFtG8_yji4HS352LGlSQ/edit?pli=1#gid=0"",""1_ACUM!A4:S""),16,FALSE))"),0)</f>
        <v>0</v>
      </c>
      <c r="BD3" s="460">
        <f ca="1">IFERROR(__xludf.DUMMYFUNCTION("IFERROR(VLOOKUP(E27&amp;F27,IMPORTRANGE(""https://docs.google.com/spreadsheets/d/1Uw7-A9f9R21vMXxHZFNpYNeKFtG8_yji4HS352LGlSQ/edit?pli=1#gid=0"",""1_ACUM!A4:S""),17,FALSE))"),1)</f>
        <v>1</v>
      </c>
      <c r="BE3" s="461">
        <f ca="1">IFERROR(__xludf.DUMMYFUNCTION("IFERROR(VLOOKUP(E27&amp;F27,IMPORTRANGE(""https://docs.google.com/spreadsheets/d/1Uw7-A9f9R21vMXxHZFNpYNeKFtG8_yji4HS352LGlSQ/edit?pli=1#gid=0"",""1_ACUM!A4:S""),18,FALSE))"),43934)</f>
        <v>43934</v>
      </c>
      <c r="BF3" s="461">
        <f ca="1">IFERROR(__xludf.DUMMYFUNCTION("IFERROR(VLOOKUP(E27&amp;F27,IMPORTRANGE(""https://docs.google.com/spreadsheets/d/1Uw7-A9f9R21vMXxHZFNpYNeKFtG8_yji4HS352LGlSQ/edit?pli=1#gid=0"",""1_ACUM!A4:S""),19,FALSE))"),44543)</f>
        <v>44543</v>
      </c>
      <c r="BG3" s="462">
        <f ca="1">IFERROR(__xludf.DUMMYFUNCTION("IFERROR(VLOOKUP(F27,IMPORTRANGE(""https://docs.google.com/spreadsheets/d/1Kvs4KS76FHFqLFIZfrDMff4kP08nblUkihrxltoGBjg/edit#gid=934712705"",""ESENCIAL!A6:BG""),5,FALSE))"),44725)</f>
        <v>44725</v>
      </c>
      <c r="BH3" s="462">
        <f t="shared" ref="BH3:BH26" ca="1" si="1">IF(G3&gt;0,EDATE(BG3,18),"")</f>
        <v>45273</v>
      </c>
      <c r="BI3" s="338" t="str">
        <f t="shared" ref="BI3:BI26" ca="1" si="2">IF(G3&gt;0,IF(BH3&lt;$BI$1,"FINALIZAR FICHA","FICHA EN TIEMPO-18 MESES"),"")</f>
        <v>FICHA EN TIEMPO-18 MESES</v>
      </c>
      <c r="BJ3" s="338" t="str">
        <f ca="1">IFERROR(__xludf.DUMMYFUNCTION("IFERROR(VLOOKUP(F27,IMPORTRANGE(""https://docs.google.com/spreadsheets/d/1Kvs4KS76FHFqLFIZfrDMff4kP08nblUkihrxltoGBjg/edit#gid=934712705"",""ESENCIAL!A6:BG""),2,FALSE))"),"Terminada por fecha")</f>
        <v>Terminada por fecha</v>
      </c>
      <c r="BK3" s="338" t="str">
        <f t="shared" ref="BK3:BK26" si="3">IF(G3&gt;0,"Yamboro","")</f>
        <v>Yamboro</v>
      </c>
      <c r="BL3" s="173"/>
      <c r="BM3" s="173"/>
    </row>
    <row r="4" spans="1:65" ht="18" customHeight="1">
      <c r="A4" s="164" t="s">
        <v>556</v>
      </c>
      <c r="B4" s="562">
        <v>44635</v>
      </c>
      <c r="C4" s="534" t="s">
        <v>25</v>
      </c>
      <c r="D4" s="563" t="s">
        <v>566</v>
      </c>
      <c r="E4" s="451" t="s">
        <v>27</v>
      </c>
      <c r="F4" s="451">
        <v>1007600613</v>
      </c>
      <c r="G4" s="451">
        <v>2067690</v>
      </c>
      <c r="H4" s="338" t="str">
        <f ca="1">IFERROR(__xludf.DUMMYFUNCTION("IFERROR(VLOOKUP(F31,IMPORTRANGE(""https://docs.google.com/spreadsheets/d/1Kvs4KS76FHFqLFIZfrDMff4kP08nblUkihrxltoGBjg/edit#gid=934712705"",""ESENCIAL!A6:BG""),3,FALSE))"),"TECNÓLOGO")</f>
        <v>TECNÓLOGO</v>
      </c>
      <c r="I4" s="338" t="str">
        <f ca="1">IFERROR(__xludf.DUMMYFUNCTION("IFERROR(VLOOKUP(F31,IMPORTRANGE(""https://docs.google.com/spreadsheets/d/1Kvs4KS76FHFqLFIZfrDMff4kP08nblUkihrxltoGBjg/edit#gid=934712705"",""ESENCIAL!A6:BG""),8,FALSE))"),"PRODUCCION DE MULTIMEDIA")</f>
        <v>PRODUCCION DE MULTIMEDIA</v>
      </c>
      <c r="J4" s="523">
        <v>3143281088</v>
      </c>
      <c r="K4" s="529" t="s">
        <v>567</v>
      </c>
      <c r="L4" s="523" t="s">
        <v>421</v>
      </c>
      <c r="M4" s="451" t="s">
        <v>37</v>
      </c>
      <c r="N4" s="451" t="s">
        <v>568</v>
      </c>
      <c r="O4" s="451" t="s">
        <v>569</v>
      </c>
      <c r="P4" s="451" t="s">
        <v>570</v>
      </c>
      <c r="Q4" s="451"/>
      <c r="R4" s="451" t="s">
        <v>571</v>
      </c>
      <c r="S4" s="525">
        <v>44635</v>
      </c>
      <c r="T4" s="526">
        <v>44819</v>
      </c>
      <c r="U4" s="451" t="s">
        <v>572</v>
      </c>
      <c r="V4" s="459" t="s">
        <v>563</v>
      </c>
      <c r="W4" s="208" t="s">
        <v>564</v>
      </c>
      <c r="X4" s="527"/>
      <c r="Y4" s="527"/>
      <c r="Z4" s="527"/>
      <c r="AA4" s="527"/>
      <c r="AB4" s="527"/>
      <c r="AC4" s="527"/>
      <c r="AD4" s="527"/>
      <c r="AE4" s="527"/>
      <c r="AF4" s="527"/>
      <c r="AG4" s="527"/>
      <c r="AH4" s="527"/>
      <c r="AI4" s="527"/>
      <c r="AJ4" s="527"/>
      <c r="AK4" s="527"/>
      <c r="AL4" s="527"/>
      <c r="AM4" s="527"/>
      <c r="AN4" s="527"/>
      <c r="AO4" s="527"/>
      <c r="AP4" s="527"/>
      <c r="AQ4" s="527"/>
      <c r="AR4" s="528"/>
      <c r="AS4" s="528"/>
      <c r="AT4" s="528" t="s">
        <v>573</v>
      </c>
      <c r="AU4" s="528"/>
      <c r="AV4" s="338" t="str">
        <f t="shared" ca="1" si="0"/>
        <v>NO_CUMPLE</v>
      </c>
      <c r="AW4" s="338" t="str">
        <f ca="1">IFERROR(__xludf.DUMMYFUNCTION("IFERROR(VLOOKUP(E31&amp;F31,IMPORTRANGE(""https://docs.google.com/spreadsheets/d/1Uw7-A9f9R21vMXxHZFNpYNeKFtG8_yji4HS352LGlSQ/edit?pli=1#gid=0"",""1_ACUM!A4:S""),11,FALSE))"),"EN FORMACION")</f>
        <v>EN FORMACION</v>
      </c>
      <c r="AX4" s="462" t="str">
        <f ca="1">IFERROR(__xludf.DUMMYFUNCTION("IFERROR(VLOOKUP(F31,IMPORTRANGE(""https://docs.google.com/spreadsheets/d/1Kvs4KS76FHFqLFIZfrDMff4kP08nblUkihrxltoGBjg/edit#gid=934712705"",""ESENCIAL!A6:BG""),15,FALSE))"),"TIC")</f>
        <v>TIC</v>
      </c>
      <c r="AY4" s="461">
        <f ca="1">IFERROR(__xludf.DUMMYFUNCTION("IFERROR(VLOOKUP(E31&amp;F31,IMPORTRANGE(""https://docs.google.com/spreadsheets/d/1Uw7-A9f9R21vMXxHZFNpYNeKFtG8_yji4HS352LGlSQ/edit?pli=1#gid=0"",""1_ACUM!A4:S""),13,FALSE))"),1)</f>
        <v>1</v>
      </c>
      <c r="AZ4" s="460">
        <f ca="1">IFERROR(__xludf.DUMMYFUNCTION("IFERROR(VLOOKUP(E31&amp;F31,IMPORTRANGE(""https://docs.google.com/spreadsheets/d/1Uw7-A9f9R21vMXxHZFNpYNeKFtG8_yji4HS352LGlSQ/edit?pli=1#gid=0"",""1_ACUM!A4:S""),13,FALSE))"),1)</f>
        <v>1</v>
      </c>
      <c r="BA4" s="460">
        <f ca="1">IFERROR(__xludf.DUMMYFUNCTION("IFERROR(VLOOKUP(E31&amp;F31,IMPORTRANGE(""https://docs.google.com/spreadsheets/d/1Uw7-A9f9R21vMXxHZFNpYNeKFtG8_yji4HS352LGlSQ/edit?pli=1#gid=0"",""1_ACUM!A4:S""),14,FALSE))"),1)</f>
        <v>1</v>
      </c>
      <c r="BB4" s="460">
        <f ca="1">IFERROR(__xludf.DUMMYFUNCTION("IFERROR(VLOOKUP(E31&amp;F31,IMPORTRANGE(""https://docs.google.com/spreadsheets/d/1Uw7-A9f9R21vMXxHZFNpYNeKFtG8_yji4HS352LGlSQ/edit?pli=1#gid=0"",""1_ACUM!A4:S""),15,FALSE))"),0)</f>
        <v>0</v>
      </c>
      <c r="BC4" s="460">
        <f ca="1">IFERROR(__xludf.DUMMYFUNCTION("IFERROR(VLOOKUP(E31&amp;F31,IMPORTRANGE(""https://docs.google.com/spreadsheets/d/1Uw7-A9f9R21vMXxHZFNpYNeKFtG8_yji4HS352LGlSQ/edit?pli=1#gid=0"",""1_ACUM!A4:S""),16,FALSE))"),0)</f>
        <v>0</v>
      </c>
      <c r="BD4" s="460">
        <f ca="1">IFERROR(__xludf.DUMMYFUNCTION("IFERROR(VLOOKUP(E31&amp;F31,IMPORTRANGE(""https://docs.google.com/spreadsheets/d/1Uw7-A9f9R21vMXxHZFNpYNeKFtG8_yji4HS352LGlSQ/edit?pli=1#gid=0"",""1_ACUM!A4:S""),17,FALSE))"),2)</f>
        <v>2</v>
      </c>
      <c r="BE4" s="461">
        <f ca="1">IFERROR(__xludf.DUMMYFUNCTION("IFERROR(VLOOKUP(E31&amp;F31,IMPORTRANGE(""https://docs.google.com/spreadsheets/d/1Uw7-A9f9R21vMXxHZFNpYNeKFtG8_yji4HS352LGlSQ/edit?pli=1#gid=0"",""1_ACUM!A4:S""),18,FALSE))"),43934)</f>
        <v>43934</v>
      </c>
      <c r="BF4" s="461">
        <f ca="1">IFERROR(__xludf.DUMMYFUNCTION("IFERROR(VLOOKUP(E31&amp;F31,IMPORTRANGE(""https://docs.google.com/spreadsheets/d/1Uw7-A9f9R21vMXxHZFNpYNeKFtG8_yji4HS352LGlSQ/edit?pli=1#gid=0"",""1_ACUM!A4:S""),19,FALSE))"),44543)</f>
        <v>44543</v>
      </c>
      <c r="BG4" s="462">
        <f ca="1">IFERROR(__xludf.DUMMYFUNCTION("IFERROR(VLOOKUP(F31,IMPORTRANGE(""https://docs.google.com/spreadsheets/d/1Kvs4KS76FHFqLFIZfrDMff4kP08nblUkihrxltoGBjg/edit#gid=934712705"",""ESENCIAL!A6:BG""),5,FALSE))"),44725)</f>
        <v>44725</v>
      </c>
      <c r="BH4" s="462">
        <f t="shared" ca="1" si="1"/>
        <v>45273</v>
      </c>
      <c r="BI4" s="338" t="str">
        <f t="shared" ca="1" si="2"/>
        <v>FICHA EN TIEMPO-18 MESES</v>
      </c>
      <c r="BJ4" s="338" t="str">
        <f ca="1">IFERROR(__xludf.DUMMYFUNCTION("IFERROR(VLOOKUP(F31,IMPORTRANGE(""https://docs.google.com/spreadsheets/d/1Kvs4KS76FHFqLFIZfrDMff4kP08nblUkihrxltoGBjg/edit#gid=934712705"",""ESENCIAL!A6:BG""),2,FALSE))"),"Terminada por fecha")</f>
        <v>Terminada por fecha</v>
      </c>
      <c r="BK4" s="338" t="str">
        <f t="shared" si="3"/>
        <v>Yamboro</v>
      </c>
      <c r="BL4" s="173"/>
      <c r="BM4" s="173"/>
    </row>
    <row r="5" spans="1:65" s="164" customFormat="1" ht="18" customHeight="1">
      <c r="A5" s="600" t="s">
        <v>574</v>
      </c>
      <c r="B5" s="562"/>
      <c r="C5" s="534" t="s">
        <v>25</v>
      </c>
      <c r="D5" s="564" t="s">
        <v>575</v>
      </c>
      <c r="E5" s="217" t="s">
        <v>27</v>
      </c>
      <c r="F5" s="149">
        <v>1003993956</v>
      </c>
      <c r="G5" s="208">
        <v>2451009</v>
      </c>
      <c r="H5" s="338" t="str">
        <f ca="1">IFERROR(__xludf.DUMMYFUNCTION("IFERROR(VLOOKUP(F206,IMPORTRANGE(""https://docs.google.com/spreadsheets/d/1Kvs4KS76FHFqLFIZfrDMff4kP08nblUkihrxltoGBjg/edit#gid=934712705"",""ESENCIAL!A6:BG""),3,FALSE))"),"TÉCNICO")</f>
        <v>TÉCNICO</v>
      </c>
      <c r="I5" s="338" t="str">
        <f ca="1">IFERROR(__xludf.DUMMYFUNCTION("IFERROR(VLOOKUP(F206,IMPORTRANGE(""https://docs.google.com/spreadsheets/d/1Kvs4KS76FHFqLFIZfrDMff4kP08nblUkihrxltoGBjg/edit#gid=934712705"",""ESENCIAL!A6:BG""),8,FALSE))"),"PROGRAMACION DE APLICACIONES PARA DISPOSITIVOS MOVILES")</f>
        <v>PROGRAMACION DE APLICACIONES PARA DISPOSITIVOS MOVILES</v>
      </c>
      <c r="J5" s="218">
        <v>3209061436</v>
      </c>
      <c r="K5" s="218" t="s">
        <v>576</v>
      </c>
      <c r="L5" s="218" t="s">
        <v>577</v>
      </c>
      <c r="M5" s="527" t="s">
        <v>37</v>
      </c>
      <c r="N5" s="527" t="s">
        <v>578</v>
      </c>
      <c r="O5" s="527" t="s">
        <v>84</v>
      </c>
      <c r="P5" s="527">
        <v>3203464628</v>
      </c>
      <c r="Q5" s="527" t="s">
        <v>84</v>
      </c>
      <c r="R5" s="527" t="s">
        <v>230</v>
      </c>
      <c r="S5" s="525">
        <v>44873</v>
      </c>
      <c r="T5" s="530">
        <v>45111</v>
      </c>
      <c r="U5" s="527"/>
      <c r="V5" s="527" t="s">
        <v>579</v>
      </c>
      <c r="W5" s="338"/>
      <c r="X5" s="527"/>
      <c r="Y5" s="527"/>
      <c r="Z5" s="527"/>
      <c r="AA5" s="527"/>
      <c r="AB5" s="527"/>
      <c r="AC5" s="527"/>
      <c r="AD5" s="527"/>
      <c r="AE5" s="527"/>
      <c r="AF5" s="527"/>
      <c r="AG5" s="527"/>
      <c r="AH5" s="527"/>
      <c r="AI5" s="527"/>
      <c r="AJ5" s="527"/>
      <c r="AK5" s="527"/>
      <c r="AL5" s="527"/>
      <c r="AM5" s="527"/>
      <c r="AN5" s="527"/>
      <c r="AO5" s="527"/>
      <c r="AP5" s="527"/>
      <c r="AQ5" s="527"/>
      <c r="AR5" s="528"/>
      <c r="AS5" s="528"/>
      <c r="AT5" s="528"/>
      <c r="AU5" s="528"/>
      <c r="AV5" s="338" t="str">
        <f t="shared" ca="1" si="0"/>
        <v>NO_CUMPLE</v>
      </c>
      <c r="AW5" s="338" t="str">
        <f ca="1">IFERROR(__xludf.DUMMYFUNCTION("IFERROR(VLOOKUP(E206&amp;F206,IMPORTRANGE(""https://docs.google.com/spreadsheets/d/1Uw7-A9f9R21vMXxHZFNpYNeKFtG8_yji4HS352LGlSQ/edit?pli=1#gid=0"",""1_ACUM!A4:S""),11,FALSE))"),"EN FORMACION")</f>
        <v>EN FORMACION</v>
      </c>
      <c r="AX5" s="462" t="str">
        <f ca="1">IFERROR(__xludf.DUMMYFUNCTION("IFERROR(VLOOKUP(F206,IMPORTRANGE(""https://docs.google.com/spreadsheets/d/1Kvs4KS76FHFqLFIZfrDMff4kP08nblUkihrxltoGBjg/edit#gid=934712705"",""ESENCIAL!A6:BG""),15,FALSE))"),"TIC")</f>
        <v>TIC</v>
      </c>
      <c r="AY5" s="461">
        <f ca="1">IFERROR(__xludf.DUMMYFUNCTION("IFERROR(VLOOKUP(E206&amp;F206,IMPORTRANGE(""https://docs.google.com/spreadsheets/d/1Uw7-A9f9R21vMXxHZFNpYNeKFtG8_yji4HS352LGlSQ/edit?pli=1#gid=0"",""1_ACUM!A4:S""),13,FALSE))"),14)</f>
        <v>14</v>
      </c>
      <c r="AZ5" s="460">
        <f ca="1">IFERROR(__xludf.DUMMYFUNCTION("IFERROR(VLOOKUP(E206&amp;F206,IMPORTRANGE(""https://docs.google.com/spreadsheets/d/1Uw7-A9f9R21vMXxHZFNpYNeKFtG8_yji4HS352LGlSQ/edit?pli=1#gid=0"",""1_ACUM!A4:S""),13,FALSE))"),14)</f>
        <v>14</v>
      </c>
      <c r="BA5" s="460">
        <f ca="1">IFERROR(__xludf.DUMMYFUNCTION("IFERROR(VLOOKUP(E206&amp;F206,IMPORTRANGE(""https://docs.google.com/spreadsheets/d/1Uw7-A9f9R21vMXxHZFNpYNeKFtG8_yji4HS352LGlSQ/edit?pli=1#gid=0"",""1_ACUM!A4:S""),14,FALSE))"),1)</f>
        <v>1</v>
      </c>
      <c r="BB5" s="460">
        <f ca="1">IFERROR(__xludf.DUMMYFUNCTION("IFERROR(VLOOKUP(E206&amp;F206,IMPORTRANGE(""https://docs.google.com/spreadsheets/d/1Uw7-A9f9R21vMXxHZFNpYNeKFtG8_yji4HS352LGlSQ/edit?pli=1#gid=0"",""1_ACUM!A4:S""),15,FALSE))"),2)</f>
        <v>2</v>
      </c>
      <c r="BC5" s="460">
        <f ca="1">IFERROR(__xludf.DUMMYFUNCTION("IFERROR(VLOOKUP(E206&amp;F206,IMPORTRANGE(""https://docs.google.com/spreadsheets/d/1Uw7-A9f9R21vMXxHZFNpYNeKFtG8_yji4HS352LGlSQ/edit?pli=1#gid=0"",""1_ACUM!A4:S""),16,FALSE))"),10)</f>
        <v>10</v>
      </c>
      <c r="BD5" s="460">
        <f ca="1">IFERROR(__xludf.DUMMYFUNCTION("IFERROR(VLOOKUP(E206&amp;F206,IMPORTRANGE(""https://docs.google.com/spreadsheets/d/1Uw7-A9f9R21vMXxHZFNpYNeKFtG8_yji4HS352LGlSQ/edit?pli=1#gid=0"",""1_ACUM!A4:S""),17,FALSE))"),27)</f>
        <v>27</v>
      </c>
      <c r="BE5" s="461">
        <f ca="1">IFERROR(__xludf.DUMMYFUNCTION("IFERROR(VLOOKUP(E206&amp;F206,IMPORTRANGE(""https://docs.google.com/spreadsheets/d/1Uw7-A9f9R21vMXxHZFNpYNeKFtG8_yji4HS352LGlSQ/edit?pli=1#gid=0"",""1_ACUM!A4:S""),18,FALSE))"),44585)</f>
        <v>44585</v>
      </c>
      <c r="BF5" s="461">
        <f ca="1">IFERROR(__xludf.DUMMYFUNCTION("IFERROR(VLOOKUP(E206&amp;F206,IMPORTRANGE(""https://docs.google.com/spreadsheets/d/1Uw7-A9f9R21vMXxHZFNpYNeKFtG8_yji4HS352LGlSQ/edit?pli=1#gid=0"",""1_ACUM!A4:S""),19,FALSE))"),44857)</f>
        <v>44857</v>
      </c>
      <c r="BG5" s="462">
        <f ca="1">IFERROR(__xludf.DUMMYFUNCTION("IFERROR(VLOOKUP(F206,IMPORTRANGE(""https://docs.google.com/spreadsheets/d/1Kvs4KS76FHFqLFIZfrDMff4kP08nblUkihrxltoGBjg/edit#gid=934712705"",""ESENCIAL!A6:BG""),5,FALSE))"),45039)</f>
        <v>45039</v>
      </c>
      <c r="BH5" s="462">
        <f t="shared" ca="1" si="1"/>
        <v>45588</v>
      </c>
      <c r="BI5" s="338" t="str">
        <f t="shared" ca="1" si="2"/>
        <v>FICHA EN TIEMPO-18 MESES</v>
      </c>
      <c r="BJ5" s="338" t="str">
        <f ca="1">IFERROR(__xludf.DUMMYFUNCTION("IFERROR(VLOOKUP(F206,IMPORTRANGE(""https://docs.google.com/spreadsheets/d/1Kvs4KS76FHFqLFIZfrDMff4kP08nblUkihrxltoGBjg/edit#gid=934712705"",""ESENCIAL!A6:BG""),2,FALSE))"),"En ejecucion")</f>
        <v>En ejecucion</v>
      </c>
      <c r="BK5" s="338" t="str">
        <f t="shared" si="3"/>
        <v>Yamboro</v>
      </c>
      <c r="BL5" s="159"/>
      <c r="BM5" s="159"/>
    </row>
    <row r="6" spans="1:65" s="164" customFormat="1" ht="18" customHeight="1">
      <c r="A6" s="164" t="s">
        <v>580</v>
      </c>
      <c r="B6" s="565"/>
      <c r="C6" s="534" t="s">
        <v>25</v>
      </c>
      <c r="D6" s="536" t="s">
        <v>581</v>
      </c>
      <c r="E6" s="217" t="s">
        <v>27</v>
      </c>
      <c r="F6" s="150">
        <v>1083864064</v>
      </c>
      <c r="G6" s="451">
        <v>2380830</v>
      </c>
      <c r="H6" s="338" t="str">
        <f ca="1">IFERROR(__xludf.DUMMYFUNCTION("IFERROR(VLOOKUP(F62,IMPORTRANGE(""https://docs.google.com/spreadsheets/d/1Kvs4KS76FHFqLFIZfrDMff4kP08nblUkihrxltoGBjg/edit#gid=934712705"",""ESENCIAL!A6:BG""),3,FALSE))"),"TÉCNICO")</f>
        <v>TÉCNICO</v>
      </c>
      <c r="I6" s="338" t="str">
        <f ca="1">IFERROR(__xludf.DUMMYFUNCTION("IFERROR(VLOOKUP(F62,IMPORTRANGE(""https://docs.google.com/spreadsheets/d/1Kvs4KS76FHFqLFIZfrDMff4kP08nblUkihrxltoGBjg/edit#gid=934712705"",""ESENCIAL!A6:BG""),8,FALSE))"),"SISTEMAS.")</f>
        <v>SISTEMAS.</v>
      </c>
      <c r="J6" s="531">
        <v>3222266461</v>
      </c>
      <c r="K6" s="531" t="s">
        <v>582</v>
      </c>
      <c r="L6" s="527" t="s">
        <v>84</v>
      </c>
      <c r="M6" s="208" t="s">
        <v>250</v>
      </c>
      <c r="N6" s="532" t="s">
        <v>583</v>
      </c>
      <c r="O6" s="527" t="s">
        <v>584</v>
      </c>
      <c r="P6" s="527">
        <v>8756365</v>
      </c>
      <c r="Q6" s="527"/>
      <c r="R6" s="527"/>
      <c r="S6" s="525">
        <v>44769</v>
      </c>
      <c r="T6" s="530">
        <v>44952</v>
      </c>
      <c r="U6" s="527"/>
      <c r="V6" s="527" t="s">
        <v>585</v>
      </c>
      <c r="W6" s="527"/>
      <c r="X6" s="527"/>
      <c r="Y6" s="527"/>
      <c r="Z6" s="527"/>
      <c r="AA6" s="527"/>
      <c r="AB6" s="527"/>
      <c r="AC6" s="527"/>
      <c r="AD6" s="527"/>
      <c r="AE6" s="527"/>
      <c r="AF6" s="527"/>
      <c r="AG6" s="527"/>
      <c r="AH6" s="527"/>
      <c r="AI6" s="527"/>
      <c r="AJ6" s="527"/>
      <c r="AK6" s="527"/>
      <c r="AL6" s="527"/>
      <c r="AM6" s="527"/>
      <c r="AN6" s="527"/>
      <c r="AO6" s="527"/>
      <c r="AP6" s="527" t="s">
        <v>586</v>
      </c>
      <c r="AQ6" s="528" t="s">
        <v>587</v>
      </c>
      <c r="AR6" s="528"/>
      <c r="AS6" s="528"/>
      <c r="AT6" s="528"/>
      <c r="AU6" s="528"/>
      <c r="AV6" s="338" t="str">
        <f t="shared" ca="1" si="0"/>
        <v>Procede_E_P</v>
      </c>
      <c r="AW6" s="338" t="str">
        <f ca="1">IFERROR(__xludf.DUMMYFUNCTION("IFERROR(VLOOKUP(E62&amp;F62,IMPORTRANGE(""https://docs.google.com/spreadsheets/d/1Uw7-A9f9R21vMXxHZFNpYNeKFtG8_yji4HS352LGlSQ/edit?pli=1#gid=0"",""1_ACUM!A4:S""),11,FALSE))"),"EN FORMACION")</f>
        <v>EN FORMACION</v>
      </c>
      <c r="AX6" s="462" t="str">
        <f ca="1">IFERROR(__xludf.DUMMYFUNCTION("IFERROR(VLOOKUP(F62,IMPORTRANGE(""https://docs.google.com/spreadsheets/d/1Kvs4KS76FHFqLFIZfrDMff4kP08nblUkihrxltoGBjg/edit#gid=934712705"",""ESENCIAL!A6:BG""),15,FALSE))"),"TIC")</f>
        <v>TIC</v>
      </c>
      <c r="AY6" s="461">
        <f ca="1">IFERROR(__xludf.DUMMYFUNCTION("IFERROR(VLOOKUP(E62&amp;F62,IMPORTRANGE(""https://docs.google.com/spreadsheets/d/1Uw7-A9f9R21vMXxHZFNpYNeKFtG8_yji4HS352LGlSQ/edit?pli=1#gid=0"",""1_ACUM!A4:S""),13,FALSE))"),0)</f>
        <v>0</v>
      </c>
      <c r="AZ6" s="460">
        <f ca="1">IFERROR(__xludf.DUMMYFUNCTION("IFERROR(VLOOKUP(E62&amp;F62,IMPORTRANGE(""https://docs.google.com/spreadsheets/d/1Uw7-A9f9R21vMXxHZFNpYNeKFtG8_yji4HS352LGlSQ/edit?pli=1#gid=0"",""1_ACUM!A4:S""),13,FALSE))"),0)</f>
        <v>0</v>
      </c>
      <c r="BA6" s="460">
        <f ca="1">IFERROR(__xludf.DUMMYFUNCTION("IFERROR(VLOOKUP(E62&amp;F62,IMPORTRANGE(""https://docs.google.com/spreadsheets/d/1Uw7-A9f9R21vMXxHZFNpYNeKFtG8_yji4HS352LGlSQ/edit?pli=1#gid=0"",""1_ACUM!A4:S""),14,FALSE))"),1)</f>
        <v>1</v>
      </c>
      <c r="BB6" s="460">
        <f ca="1">IFERROR(__xludf.DUMMYFUNCTION("IFERROR(VLOOKUP(E62&amp;F62,IMPORTRANGE(""https://docs.google.com/spreadsheets/d/1Uw7-A9f9R21vMXxHZFNpYNeKFtG8_yji4HS352LGlSQ/edit?pli=1#gid=0"",""1_ACUM!A4:S""),15,FALSE))"),0)</f>
        <v>0</v>
      </c>
      <c r="BC6" s="460">
        <f ca="1">IFERROR(__xludf.DUMMYFUNCTION("IFERROR(VLOOKUP(E62&amp;F62,IMPORTRANGE(""https://docs.google.com/spreadsheets/d/1Uw7-A9f9R21vMXxHZFNpYNeKFtG8_yji4HS352LGlSQ/edit?pli=1#gid=0"",""1_ACUM!A4:S""),16,FALSE))"),0)</f>
        <v>0</v>
      </c>
      <c r="BD6" s="460">
        <f ca="1">IFERROR(__xludf.DUMMYFUNCTION("IFERROR(VLOOKUP(E62&amp;F62,IMPORTRANGE(""https://docs.google.com/spreadsheets/d/1Uw7-A9f9R21vMXxHZFNpYNeKFtG8_yji4HS352LGlSQ/edit?pli=1#gid=0"",""1_ACUM!A4:S""),17,FALSE))"),1)</f>
        <v>1</v>
      </c>
      <c r="BE6" s="461">
        <f ca="1">IFERROR(__xludf.DUMMYFUNCTION("IFERROR(VLOOKUP(E62&amp;F62,IMPORTRANGE(""https://docs.google.com/spreadsheets/d/1Uw7-A9f9R21vMXxHZFNpYNeKFtG8_yji4HS352LGlSQ/edit?pli=1#gid=0"",""1_ACUM!A4:S""),18,FALSE))"),44445)</f>
        <v>44445</v>
      </c>
      <c r="BF6" s="461">
        <f ca="1">IFERROR(__xludf.DUMMYFUNCTION("IFERROR(VLOOKUP(E62&amp;F62,IMPORTRANGE(""https://docs.google.com/spreadsheets/d/1Uw7-A9f9R21vMXxHZFNpYNeKFtG8_yji4HS352LGlSQ/edit?pli=1#gid=0"",""1_ACUM!A4:S""),19,FALSE))"),44717)</f>
        <v>44717</v>
      </c>
      <c r="BG6" s="462">
        <f ca="1">IFERROR(__xludf.DUMMYFUNCTION("IFERROR(VLOOKUP(F62,IMPORTRANGE(""https://docs.google.com/spreadsheets/d/1Kvs4KS76FHFqLFIZfrDMff4kP08nblUkihrxltoGBjg/edit#gid=934712705"",""ESENCIAL!A6:BG""),5,FALSE))"),44900)</f>
        <v>44900</v>
      </c>
      <c r="BH6" s="462">
        <f t="shared" ca="1" si="1"/>
        <v>45448</v>
      </c>
      <c r="BI6" s="338" t="str">
        <f t="shared" ca="1" si="2"/>
        <v>FICHA EN TIEMPO-18 MESES</v>
      </c>
      <c r="BJ6" s="338" t="str">
        <f ca="1">IFERROR(__xludf.DUMMYFUNCTION("IFERROR(VLOOKUP(F62,IMPORTRANGE(""https://docs.google.com/spreadsheets/d/1Kvs4KS76FHFqLFIZfrDMff4kP08nblUkihrxltoGBjg/edit#gid=934712705"",""ESENCIAL!A6:BG""),2,FALSE))"),"En ejecucion")</f>
        <v>En ejecucion</v>
      </c>
      <c r="BK6" s="338" t="str">
        <f t="shared" si="3"/>
        <v>Yamboro</v>
      </c>
      <c r="BL6" s="159"/>
      <c r="BM6" s="159"/>
    </row>
    <row r="7" spans="1:65" s="164" customFormat="1" ht="18" customHeight="1">
      <c r="A7" s="164" t="s">
        <v>588</v>
      </c>
      <c r="B7" s="566"/>
      <c r="C7" s="534" t="s">
        <v>25</v>
      </c>
      <c r="D7" s="337" t="s">
        <v>575</v>
      </c>
      <c r="E7" s="208" t="s">
        <v>27</v>
      </c>
      <c r="F7" s="208">
        <v>1004209202</v>
      </c>
      <c r="G7" s="208">
        <v>2194977</v>
      </c>
      <c r="H7" s="338" t="str">
        <f ca="1">IFERROR(__xludf.DUMMYFUNCTION("IFERROR(VLOOKUP(F3,IMPORTRANGE(""https://docs.google.com/spreadsheets/d/1Kvs4KS76FHFqLFIZfrDMff4kP08nblUkihrxltoGBjg/edit#gid=934712705"",""ESENCIAL!A6:BG""),3,FALSE))"),"TÉCNICO")</f>
        <v>TÉCNICO</v>
      </c>
      <c r="I7" s="338" t="str">
        <f ca="1">IFERROR(__xludf.DUMMYFUNCTION("IFERROR(VLOOKUP(F3,IMPORTRANGE(""https://docs.google.com/spreadsheets/d/1Kvs4KS76FHFqLFIZfrDMff4kP08nblUkihrxltoGBjg/edit#gid=934712705"",""ESENCIAL!A6:BG""),8,FALSE))"),"SISTEMAS.")</f>
        <v>SISTEMAS.</v>
      </c>
      <c r="J7" s="208">
        <v>3178497762</v>
      </c>
      <c r="K7" s="338" t="s">
        <v>589</v>
      </c>
      <c r="L7" s="338" t="s">
        <v>590</v>
      </c>
      <c r="M7" s="338" t="s">
        <v>37</v>
      </c>
      <c r="N7" s="338" t="s">
        <v>591</v>
      </c>
      <c r="O7" s="338" t="s">
        <v>592</v>
      </c>
      <c r="P7" s="460">
        <v>3123869637</v>
      </c>
      <c r="Q7" s="338" t="s">
        <v>84</v>
      </c>
      <c r="R7" s="338" t="s">
        <v>593</v>
      </c>
      <c r="S7" s="461">
        <v>44438</v>
      </c>
      <c r="T7" s="462">
        <v>44959</v>
      </c>
      <c r="U7" s="463"/>
      <c r="V7" s="463" t="s">
        <v>594</v>
      </c>
      <c r="W7" s="463"/>
      <c r="X7" s="463"/>
      <c r="Y7" s="463"/>
      <c r="Z7" s="463"/>
      <c r="AA7" s="463"/>
      <c r="AB7" s="463"/>
      <c r="AC7" s="463"/>
      <c r="AD7" s="463"/>
      <c r="AE7" s="463"/>
      <c r="AF7" s="463"/>
      <c r="AG7" s="463"/>
      <c r="AH7" s="463"/>
      <c r="AI7" s="463"/>
      <c r="AJ7" s="338"/>
      <c r="AK7" s="338"/>
      <c r="AL7" s="338"/>
      <c r="AM7" s="338"/>
      <c r="AN7" s="338"/>
      <c r="AO7" s="338"/>
      <c r="AP7" s="464" t="s">
        <v>595</v>
      </c>
      <c r="AQ7" s="528" t="s">
        <v>587</v>
      </c>
      <c r="AR7" s="528"/>
      <c r="AS7" s="528"/>
      <c r="AT7" s="528"/>
      <c r="AU7" s="528"/>
      <c r="AV7" s="338" t="str">
        <f t="shared" ca="1" si="0"/>
        <v>Procede_E_P</v>
      </c>
      <c r="AW7" s="338" t="str">
        <f ca="1">IFERROR(__xludf.DUMMYFUNCTION("IFERROR(VLOOKUP(E3&amp;F3,IMPORTRANGE(""https://docs.google.com/spreadsheets/d/1Uw7-A9f9R21vMXxHZFNpYNeKFtG8_yji4HS352LGlSQ/edit?pli=1#gid=0"",""1_ACUM!A4:S""),11,FALSE))"),"EN FORMACION")</f>
        <v>EN FORMACION</v>
      </c>
      <c r="AX7" s="462" t="str">
        <f ca="1">IFERROR(__xludf.DUMMYFUNCTION("IFERROR(VLOOKUP(F3,IMPORTRANGE(""https://docs.google.com/spreadsheets/d/1Kvs4KS76FHFqLFIZfrDMff4kP08nblUkihrxltoGBjg/edit#gid=934712705"",""ESENCIAL!A6:BG""),15,FALSE))"),"TIC")</f>
        <v>TIC</v>
      </c>
      <c r="AY7" s="461">
        <f ca="1">IFERROR(__xludf.DUMMYFUNCTION("IFERROR(VLOOKUP(E3&amp;F3,IMPORTRANGE(""https://docs.google.com/spreadsheets/d/1Uw7-A9f9R21vMXxHZFNpYNeKFtG8_yji4HS352LGlSQ/edit?pli=1#gid=0"",""1_ACUM!A4:S""),12,FALSE))"),44839)</f>
        <v>44839</v>
      </c>
      <c r="AZ7" s="460">
        <f ca="1">IFERROR(__xludf.DUMMYFUNCTION("IFERROR(VLOOKUP(E3&amp;F3,IMPORTRANGE(""https://docs.google.com/spreadsheets/d/1Uw7-A9f9R21vMXxHZFNpYNeKFtG8_yji4HS352LGlSQ/edit?pli=1#gid=0"",""1_ACUM!A4:S""),13,FALSE))"),0)</f>
        <v>0</v>
      </c>
      <c r="BA7" s="460">
        <f ca="1">IFERROR(__xludf.DUMMYFUNCTION("IFERROR(VLOOKUP(E3&amp;F3,IMPORTRANGE(""https://docs.google.com/spreadsheets/d/1Uw7-A9f9R21vMXxHZFNpYNeKFtG8_yji4HS352LGlSQ/edit?pli=1#gid=0"",""1_ACUM!A4:S""),14,FALSE))"),1)</f>
        <v>1</v>
      </c>
      <c r="BB7" s="460">
        <f ca="1">IFERROR(__xludf.DUMMYFUNCTION("IFERROR(VLOOKUP(E3&amp;F3,IMPORTRANGE(""https://docs.google.com/spreadsheets/d/1Uw7-A9f9R21vMXxHZFNpYNeKFtG8_yji4HS352LGlSQ/edit?pli=1#gid=0"",""1_ACUM!A4:S""),15,FALSE))"),0)</f>
        <v>0</v>
      </c>
      <c r="BC7" s="460">
        <f ca="1">IFERROR(__xludf.DUMMYFUNCTION("IFERROR(VLOOKUP(E3&amp;F3,IMPORTRANGE(""https://docs.google.com/spreadsheets/d/1Uw7-A9f9R21vMXxHZFNpYNeKFtG8_yji4HS352LGlSQ/edit?pli=1#gid=0"",""1_ACUM!A4:S""),16,FALSE))"),0)</f>
        <v>0</v>
      </c>
      <c r="BD7" s="460">
        <f ca="1">IFERROR(__xludf.DUMMYFUNCTION("IFERROR(VLOOKUP(E3&amp;F3,IMPORTRANGE(""https://docs.google.com/spreadsheets/d/1Uw7-A9f9R21vMXxHZFNpYNeKFtG8_yji4HS352LGlSQ/edit?pli=1#gid=0"",""1_ACUM!A4:S""),17,FALSE))"),1)</f>
        <v>1</v>
      </c>
      <c r="BE7" s="461">
        <f ca="1">IFERROR(__xludf.DUMMYFUNCTION("IFERROR(VLOOKUP(E3&amp;F3,IMPORTRANGE(""https://docs.google.com/spreadsheets/d/1Uw7-A9f9R21vMXxHZFNpYNeKFtG8_yji4HS352LGlSQ/edit?pli=1#gid=0"",""1_ACUM!A4:S""),18,FALSE))"),44090)</f>
        <v>44090</v>
      </c>
      <c r="BF7" s="461">
        <f ca="1">IFERROR(__xludf.DUMMYFUNCTION("IFERROR(VLOOKUP(E3&amp;F3,IMPORTRANGE(""https://docs.google.com/spreadsheets/d/1Uw7-A9f9R21vMXxHZFNpYNeKFtG8_yji4HS352LGlSQ/edit?pli=1#gid=0"",""1_ACUM!A4:S""),19,FALSE))"),44387)</f>
        <v>44387</v>
      </c>
      <c r="BG7" s="461">
        <f ca="1">IFERROR(__xludf.DUMMYFUNCTION("IFERROR(VLOOKUP(F3,IMPORTRANGE(""https://docs.google.com/spreadsheets/d/1Kvs4KS76FHFqLFIZfrDMff4kP08nblUkihrxltoGBjg/edit#gid=934712705"",""ESENCIAL!A6:BG""),5,FALSE))"),44571)</f>
        <v>44571</v>
      </c>
      <c r="BH7" s="461">
        <f t="shared" ca="1" si="1"/>
        <v>45117</v>
      </c>
      <c r="BI7" s="338" t="str">
        <f t="shared" ca="1" si="2"/>
        <v>FICHA EN TIEMPO-18 MESES</v>
      </c>
      <c r="BJ7" s="338" t="str">
        <f ca="1">IFERROR(__xludf.DUMMYFUNCTION("IFERROR(VLOOKUP(F3,IMPORTRANGE(""https://docs.google.com/spreadsheets/d/1Kvs4KS76FHFqLFIZfrDMff4kP08nblUkihrxltoGBjg/edit#gid=934712705"",""ESENCIAL!A6:BG""),18,FALSE))"),"Terminada por fecha")</f>
        <v>Terminada por fecha</v>
      </c>
      <c r="BK7" s="338" t="str">
        <f t="shared" si="3"/>
        <v>Yamboro</v>
      </c>
      <c r="BL7" s="159"/>
      <c r="BM7" s="159"/>
    </row>
    <row r="8" spans="1:65" s="164" customFormat="1" ht="24">
      <c r="A8" s="164" t="s">
        <v>588</v>
      </c>
      <c r="B8" s="562"/>
      <c r="C8" s="534" t="s">
        <v>25</v>
      </c>
      <c r="D8" s="564" t="s">
        <v>596</v>
      </c>
      <c r="E8" s="217" t="s">
        <v>67</v>
      </c>
      <c r="F8" s="149">
        <v>1083868207</v>
      </c>
      <c r="G8" s="208">
        <v>2451009</v>
      </c>
      <c r="H8" s="338" t="str">
        <f ca="1">IFERROR(__xludf.DUMMYFUNCTION("IFERROR(VLOOKUP(F213,IMPORTRANGE(""https://docs.google.com/spreadsheets/d/1Kvs4KS76FHFqLFIZfrDMff4kP08nblUkihrxltoGBjg/edit#gid=934712705"",""ESENCIAL!A6:BG""),3,FALSE))"),"TÉCNICO")</f>
        <v>TÉCNICO</v>
      </c>
      <c r="I8" s="338" t="str">
        <f ca="1">IFERROR(__xludf.DUMMYFUNCTION("IFERROR(VLOOKUP(F213,IMPORTRANGE(""https://docs.google.com/spreadsheets/d/1Kvs4KS76FHFqLFIZfrDMff4kP08nblUkihrxltoGBjg/edit#gid=934712705"",""ESENCIAL!A6:BG""),8,FALSE))"),"PROGRAMACION DE APLICACIONES PARA DISPOSITIVOS MOVILES")</f>
        <v>PROGRAMACION DE APLICACIONES PARA DISPOSITIVOS MOVILES</v>
      </c>
      <c r="J8" s="218">
        <v>3203805782</v>
      </c>
      <c r="K8" s="218" t="s">
        <v>597</v>
      </c>
      <c r="L8" s="218" t="s">
        <v>577</v>
      </c>
      <c r="M8" s="527" t="s">
        <v>37</v>
      </c>
      <c r="N8" s="527" t="s">
        <v>578</v>
      </c>
      <c r="O8" s="527" t="s">
        <v>84</v>
      </c>
      <c r="P8" s="527">
        <v>3203464628</v>
      </c>
      <c r="Q8" s="527" t="s">
        <v>84</v>
      </c>
      <c r="R8" s="527" t="s">
        <v>230</v>
      </c>
      <c r="S8" s="525">
        <v>44896</v>
      </c>
      <c r="T8" s="530">
        <v>45077</v>
      </c>
      <c r="U8" s="527"/>
      <c r="V8" s="527"/>
      <c r="W8" s="338"/>
      <c r="X8" s="527"/>
      <c r="Y8" s="527"/>
      <c r="Z8" s="527"/>
      <c r="AA8" s="527"/>
      <c r="AB8" s="527"/>
      <c r="AC8" s="527"/>
      <c r="AD8" s="527"/>
      <c r="AE8" s="527"/>
      <c r="AF8" s="527"/>
      <c r="AG8" s="527"/>
      <c r="AH8" s="527"/>
      <c r="AI8" s="527"/>
      <c r="AJ8" s="527"/>
      <c r="AK8" s="527"/>
      <c r="AL8" s="527"/>
      <c r="AM8" s="527"/>
      <c r="AN8" s="527"/>
      <c r="AO8" s="527"/>
      <c r="AP8" s="527" t="s">
        <v>598</v>
      </c>
      <c r="AQ8" s="527"/>
      <c r="AR8" s="528"/>
      <c r="AS8" s="528"/>
      <c r="AT8" s="528"/>
      <c r="AU8" s="528"/>
      <c r="AV8" s="338" t="str">
        <f t="shared" ca="1" si="0"/>
        <v>NO_CUMPLE</v>
      </c>
      <c r="AW8" s="338" t="str">
        <f ca="1">IFERROR(__xludf.DUMMYFUNCTION("IFERROR(VLOOKUP(E213&amp;F213,IMPORTRANGE(""https://docs.google.com/spreadsheets/d/1Uw7-A9f9R21vMXxHZFNpYNeKFtG8_yji4HS352LGlSQ/edit?pli=1#gid=0"",""1_ACUM!A4:S""),11,FALSE))"),"EN FORMACION")</f>
        <v>EN FORMACION</v>
      </c>
      <c r="AX8" s="462" t="str">
        <f ca="1">IFERROR(__xludf.DUMMYFUNCTION("IFERROR(VLOOKUP(F213,IMPORTRANGE(""https://docs.google.com/spreadsheets/d/1Kvs4KS76FHFqLFIZfrDMff4kP08nblUkihrxltoGBjg/edit#gid=934712705"",""ESENCIAL!A6:BG""),15,FALSE))"),"TIC")</f>
        <v>TIC</v>
      </c>
      <c r="AY8" s="461">
        <f ca="1">IFERROR(__xludf.DUMMYFUNCTION("IFERROR(VLOOKUP(E213&amp;F213,IMPORTRANGE(""https://docs.google.com/spreadsheets/d/1Uw7-A9f9R21vMXxHZFNpYNeKFtG8_yji4HS352LGlSQ/edit?pli=1#gid=0"",""1_ACUM!A4:S""),13,FALSE))"),14)</f>
        <v>14</v>
      </c>
      <c r="AZ8" s="460">
        <f ca="1">IFERROR(__xludf.DUMMYFUNCTION("IFERROR(VLOOKUP(E213&amp;F213,IMPORTRANGE(""https://docs.google.com/spreadsheets/d/1Uw7-A9f9R21vMXxHZFNpYNeKFtG8_yji4HS352LGlSQ/edit?pli=1#gid=0"",""1_ACUM!A4:S""),13,FALSE))"),14)</f>
        <v>14</v>
      </c>
      <c r="BA8" s="460">
        <f ca="1">IFERROR(__xludf.DUMMYFUNCTION("IFERROR(VLOOKUP(E213&amp;F213,IMPORTRANGE(""https://docs.google.com/spreadsheets/d/1Uw7-A9f9R21vMXxHZFNpYNeKFtG8_yji4HS352LGlSQ/edit?pli=1#gid=0"",""1_ACUM!A4:S""),14,FALSE))"),1)</f>
        <v>1</v>
      </c>
      <c r="BB8" s="460">
        <f ca="1">IFERROR(__xludf.DUMMYFUNCTION("IFERROR(VLOOKUP(E213&amp;F213,IMPORTRANGE(""https://docs.google.com/spreadsheets/d/1Uw7-A9f9R21vMXxHZFNpYNeKFtG8_yji4HS352LGlSQ/edit?pli=1#gid=0"",""1_ACUM!A4:S""),15,FALSE))"),2)</f>
        <v>2</v>
      </c>
      <c r="BC8" s="460">
        <f ca="1">IFERROR(__xludf.DUMMYFUNCTION("IFERROR(VLOOKUP(E213&amp;F213,IMPORTRANGE(""https://docs.google.com/spreadsheets/d/1Uw7-A9f9R21vMXxHZFNpYNeKFtG8_yji4HS352LGlSQ/edit?pli=1#gid=0"",""1_ACUM!A4:S""),16,FALSE))"),10)</f>
        <v>10</v>
      </c>
      <c r="BD8" s="460">
        <f ca="1">IFERROR(__xludf.DUMMYFUNCTION("IFERROR(VLOOKUP(E213&amp;F213,IMPORTRANGE(""https://docs.google.com/spreadsheets/d/1Uw7-A9f9R21vMXxHZFNpYNeKFtG8_yji4HS352LGlSQ/edit?pli=1#gid=0"",""1_ACUM!A4:S""),17,FALSE))"),27)</f>
        <v>27</v>
      </c>
      <c r="BE8" s="461">
        <f ca="1">IFERROR(__xludf.DUMMYFUNCTION("IFERROR(VLOOKUP(E213&amp;F213,IMPORTRANGE(""https://docs.google.com/spreadsheets/d/1Uw7-A9f9R21vMXxHZFNpYNeKFtG8_yji4HS352LGlSQ/edit?pli=1#gid=0"",""1_ACUM!A4:S""),18,FALSE))"),44585)</f>
        <v>44585</v>
      </c>
      <c r="BF8" s="461">
        <f ca="1">IFERROR(__xludf.DUMMYFUNCTION("IFERROR(VLOOKUP(E213&amp;F213,IMPORTRANGE(""https://docs.google.com/spreadsheets/d/1Uw7-A9f9R21vMXxHZFNpYNeKFtG8_yji4HS352LGlSQ/edit?pli=1#gid=0"",""1_ACUM!A4:S""),19,FALSE))"),44857)</f>
        <v>44857</v>
      </c>
      <c r="BG8" s="462">
        <f ca="1">IFERROR(__xludf.DUMMYFUNCTION("IFERROR(VLOOKUP(F213,IMPORTRANGE(""https://docs.google.com/spreadsheets/d/1Kvs4KS76FHFqLFIZfrDMff4kP08nblUkihrxltoGBjg/edit#gid=934712705"",""ESENCIAL!A6:BG""),5,FALSE))"),45039)</f>
        <v>45039</v>
      </c>
      <c r="BH8" s="462">
        <f t="shared" ca="1" si="1"/>
        <v>45588</v>
      </c>
      <c r="BI8" s="338" t="str">
        <f t="shared" ca="1" si="2"/>
        <v>FICHA EN TIEMPO-18 MESES</v>
      </c>
      <c r="BJ8" s="338" t="str">
        <f ca="1">IFERROR(__xludf.DUMMYFUNCTION("IFERROR(VLOOKUP(F213,IMPORTRANGE(""https://docs.google.com/spreadsheets/d/1Kvs4KS76FHFqLFIZfrDMff4kP08nblUkihrxltoGBjg/edit#gid=934712705"",""ESENCIAL!A6:BG""),2,FALSE))"),"En ejecucion")</f>
        <v>En ejecucion</v>
      </c>
      <c r="BK8" s="338" t="str">
        <f t="shared" si="3"/>
        <v>Yamboro</v>
      </c>
      <c r="BL8" s="159"/>
      <c r="BM8" s="159"/>
    </row>
    <row r="9" spans="1:65" s="164" customFormat="1" ht="24">
      <c r="A9" s="164" t="s">
        <v>588</v>
      </c>
      <c r="B9" s="562"/>
      <c r="C9" s="534" t="s">
        <v>25</v>
      </c>
      <c r="D9" s="564" t="s">
        <v>599</v>
      </c>
      <c r="E9" s="217" t="s">
        <v>27</v>
      </c>
      <c r="F9" s="149">
        <v>12265488</v>
      </c>
      <c r="G9" s="208">
        <v>2451009</v>
      </c>
      <c r="H9" s="338" t="str">
        <f ca="1">IFERROR(__xludf.DUMMYFUNCTION("IFERROR(VLOOKUP(F216,IMPORTRANGE(""https://docs.google.com/spreadsheets/d/1Kvs4KS76FHFqLFIZfrDMff4kP08nblUkihrxltoGBjg/edit#gid=934712705"",""ESENCIAL!A6:BG""),3,FALSE))"),"TÉCNICO")</f>
        <v>TÉCNICO</v>
      </c>
      <c r="I9" s="338" t="str">
        <f ca="1">IFERROR(__xludf.DUMMYFUNCTION("IFERROR(VLOOKUP(F216,IMPORTRANGE(""https://docs.google.com/spreadsheets/d/1Kvs4KS76FHFqLFIZfrDMff4kP08nblUkihrxltoGBjg/edit#gid=934712705"",""ESENCIAL!A6:BG""),8,FALSE))"),"PROGRAMACION DE APLICACIONES PARA DISPOSITIVOS MOVILES")</f>
        <v>PROGRAMACION DE APLICACIONES PARA DISPOSITIVOS MOVILES</v>
      </c>
      <c r="J9" s="218">
        <v>3108869831</v>
      </c>
      <c r="K9" s="218" t="s">
        <v>600</v>
      </c>
      <c r="L9" s="218" t="s">
        <v>577</v>
      </c>
      <c r="M9" s="527" t="s">
        <v>37</v>
      </c>
      <c r="N9" s="527" t="s">
        <v>578</v>
      </c>
      <c r="O9" s="527" t="s">
        <v>84</v>
      </c>
      <c r="P9" s="527">
        <v>3203464628</v>
      </c>
      <c r="Q9" s="527" t="s">
        <v>84</v>
      </c>
      <c r="R9" s="527" t="s">
        <v>230</v>
      </c>
      <c r="S9" s="525">
        <v>44896</v>
      </c>
      <c r="T9" s="530">
        <v>45077</v>
      </c>
      <c r="U9" s="527"/>
      <c r="V9" s="527"/>
      <c r="W9" s="338"/>
      <c r="X9" s="527"/>
      <c r="Y9" s="527"/>
      <c r="Z9" s="527"/>
      <c r="AA9" s="527"/>
      <c r="AB9" s="527"/>
      <c r="AC9" s="527"/>
      <c r="AD9" s="527"/>
      <c r="AE9" s="527"/>
      <c r="AF9" s="527"/>
      <c r="AG9" s="527"/>
      <c r="AH9" s="527"/>
      <c r="AI9" s="527"/>
      <c r="AJ9" s="527"/>
      <c r="AK9" s="527"/>
      <c r="AL9" s="527"/>
      <c r="AM9" s="527"/>
      <c r="AN9" s="527"/>
      <c r="AO9" s="527"/>
      <c r="AP9" s="527" t="s">
        <v>598</v>
      </c>
      <c r="AQ9" s="527"/>
      <c r="AR9" s="528"/>
      <c r="AS9" s="528"/>
      <c r="AT9" s="528"/>
      <c r="AU9" s="528"/>
      <c r="AV9" s="338" t="str">
        <f t="shared" ca="1" si="0"/>
        <v>NO_CUMPLE</v>
      </c>
      <c r="AW9" s="338" t="str">
        <f ca="1">IFERROR(__xludf.DUMMYFUNCTION("IFERROR(VLOOKUP(E216&amp;F216,IMPORTRANGE(""https://docs.google.com/spreadsheets/d/1Uw7-A9f9R21vMXxHZFNpYNeKFtG8_yji4HS352LGlSQ/edit?pli=1#gid=0"",""1_ACUM!A4:S""),11,FALSE))"),"EN FORMACION")</f>
        <v>EN FORMACION</v>
      </c>
      <c r="AX9" s="462" t="str">
        <f ca="1">IFERROR(__xludf.DUMMYFUNCTION("IFERROR(VLOOKUP(F216,IMPORTRANGE(""https://docs.google.com/spreadsheets/d/1Kvs4KS76FHFqLFIZfrDMff4kP08nblUkihrxltoGBjg/edit#gid=934712705"",""ESENCIAL!A6:BG""),15,FALSE))"),"TIC")</f>
        <v>TIC</v>
      </c>
      <c r="AY9" s="461">
        <f ca="1">IFERROR(__xludf.DUMMYFUNCTION("IFERROR(VLOOKUP(E216&amp;F216,IMPORTRANGE(""https://docs.google.com/spreadsheets/d/1Uw7-A9f9R21vMXxHZFNpYNeKFtG8_yji4HS352LGlSQ/edit?pli=1#gid=0"",""1_ACUM!A4:S""),13,FALSE))"),14)</f>
        <v>14</v>
      </c>
      <c r="AZ9" s="460">
        <f ca="1">IFERROR(__xludf.DUMMYFUNCTION("IFERROR(VLOOKUP(E216&amp;F216,IMPORTRANGE(""https://docs.google.com/spreadsheets/d/1Uw7-A9f9R21vMXxHZFNpYNeKFtG8_yji4HS352LGlSQ/edit?pli=1#gid=0"",""1_ACUM!A4:S""),13,FALSE))"),14)</f>
        <v>14</v>
      </c>
      <c r="BA9" s="460">
        <f ca="1">IFERROR(__xludf.DUMMYFUNCTION("IFERROR(VLOOKUP(E216&amp;F216,IMPORTRANGE(""https://docs.google.com/spreadsheets/d/1Uw7-A9f9R21vMXxHZFNpYNeKFtG8_yji4HS352LGlSQ/edit?pli=1#gid=0"",""1_ACUM!A4:S""),14,FALSE))"),1)</f>
        <v>1</v>
      </c>
      <c r="BB9" s="460">
        <f ca="1">IFERROR(__xludf.DUMMYFUNCTION("IFERROR(VLOOKUP(E216&amp;F216,IMPORTRANGE(""https://docs.google.com/spreadsheets/d/1Uw7-A9f9R21vMXxHZFNpYNeKFtG8_yji4HS352LGlSQ/edit?pli=1#gid=0"",""1_ACUM!A4:S""),15,FALSE))"),2)</f>
        <v>2</v>
      </c>
      <c r="BC9" s="460">
        <f ca="1">IFERROR(__xludf.DUMMYFUNCTION("IFERROR(VLOOKUP(E216&amp;F216,IMPORTRANGE(""https://docs.google.com/spreadsheets/d/1Uw7-A9f9R21vMXxHZFNpYNeKFtG8_yji4HS352LGlSQ/edit?pli=1#gid=0"",""1_ACUM!A4:S""),16,FALSE))"),10)</f>
        <v>10</v>
      </c>
      <c r="BD9" s="460">
        <f ca="1">IFERROR(__xludf.DUMMYFUNCTION("IFERROR(VLOOKUP(E216&amp;F216,IMPORTRANGE(""https://docs.google.com/spreadsheets/d/1Uw7-A9f9R21vMXxHZFNpYNeKFtG8_yji4HS352LGlSQ/edit?pli=1#gid=0"",""1_ACUM!A4:S""),17,FALSE))"),27)</f>
        <v>27</v>
      </c>
      <c r="BE9" s="461">
        <f ca="1">IFERROR(__xludf.DUMMYFUNCTION("IFERROR(VLOOKUP(E216&amp;F216,IMPORTRANGE(""https://docs.google.com/spreadsheets/d/1Uw7-A9f9R21vMXxHZFNpYNeKFtG8_yji4HS352LGlSQ/edit?pli=1#gid=0"",""1_ACUM!A4:S""),18,FALSE))"),44585)</f>
        <v>44585</v>
      </c>
      <c r="BF9" s="461">
        <f ca="1">IFERROR(__xludf.DUMMYFUNCTION("IFERROR(VLOOKUP(E216&amp;F216,IMPORTRANGE(""https://docs.google.com/spreadsheets/d/1Uw7-A9f9R21vMXxHZFNpYNeKFtG8_yji4HS352LGlSQ/edit?pli=1#gid=0"",""1_ACUM!A4:S""),19,FALSE))"),44857)</f>
        <v>44857</v>
      </c>
      <c r="BG9" s="462">
        <f ca="1">IFERROR(__xludf.DUMMYFUNCTION("IFERROR(VLOOKUP(F216,IMPORTRANGE(""https://docs.google.com/spreadsheets/d/1Kvs4KS76FHFqLFIZfrDMff4kP08nblUkihrxltoGBjg/edit#gid=934712705"",""ESENCIAL!A6:BG""),5,FALSE))"),45039)</f>
        <v>45039</v>
      </c>
      <c r="BH9" s="462">
        <f t="shared" ca="1" si="1"/>
        <v>45588</v>
      </c>
      <c r="BI9" s="338" t="str">
        <f t="shared" ca="1" si="2"/>
        <v>FICHA EN TIEMPO-18 MESES</v>
      </c>
      <c r="BJ9" s="338" t="str">
        <f ca="1">IFERROR(__xludf.DUMMYFUNCTION("IFERROR(VLOOKUP(F216,IMPORTRANGE(""https://docs.google.com/spreadsheets/d/1Kvs4KS76FHFqLFIZfrDMff4kP08nblUkihrxltoGBjg/edit#gid=934712705"",""ESENCIAL!A6:BG""),2,FALSE))"),"En ejecucion")</f>
        <v>En ejecucion</v>
      </c>
      <c r="BK9" s="338" t="str">
        <f t="shared" si="3"/>
        <v>Yamboro</v>
      </c>
      <c r="BL9" s="159"/>
      <c r="BM9" s="159"/>
    </row>
    <row r="10" spans="1:65" s="164" customFormat="1" ht="24">
      <c r="A10" s="164" t="s">
        <v>580</v>
      </c>
      <c r="B10" s="565"/>
      <c r="C10" s="534" t="s">
        <v>25</v>
      </c>
      <c r="D10" s="536" t="s">
        <v>601</v>
      </c>
      <c r="E10" s="217" t="s">
        <v>67</v>
      </c>
      <c r="F10" s="150">
        <v>1083866079</v>
      </c>
      <c r="G10" s="451">
        <v>2380830</v>
      </c>
      <c r="H10" s="338" t="str">
        <f ca="1">IFERROR(__xludf.DUMMYFUNCTION("IFERROR(VLOOKUP(F63,IMPORTRANGE(""https://docs.google.com/spreadsheets/d/1Kvs4KS76FHFqLFIZfrDMff4kP08nblUkihrxltoGBjg/edit#gid=934712705"",""ESENCIAL!A6:BG""),3,FALSE))"),"TÉCNICO")</f>
        <v>TÉCNICO</v>
      </c>
      <c r="I10" s="338" t="str">
        <f ca="1">IFERROR(__xludf.DUMMYFUNCTION("IFERROR(VLOOKUP(F63,IMPORTRANGE(""https://docs.google.com/spreadsheets/d/1Kvs4KS76FHFqLFIZfrDMff4kP08nblUkihrxltoGBjg/edit#gid=934712705"",""ESENCIAL!A6:BG""),8,FALSE))"),"SISTEMAS.")</f>
        <v>SISTEMAS.</v>
      </c>
      <c r="J10" s="451"/>
      <c r="K10" s="527"/>
      <c r="L10" s="527"/>
      <c r="M10" s="527" t="s">
        <v>37</v>
      </c>
      <c r="N10" s="527" t="s">
        <v>602</v>
      </c>
      <c r="O10" s="527" t="s">
        <v>603</v>
      </c>
      <c r="P10" s="527" t="s">
        <v>604</v>
      </c>
      <c r="Q10" s="527" t="s">
        <v>106</v>
      </c>
      <c r="R10" s="527" t="s">
        <v>605</v>
      </c>
      <c r="S10" s="525">
        <v>44867</v>
      </c>
      <c r="T10" s="530">
        <v>45047</v>
      </c>
      <c r="U10" s="533" t="s">
        <v>606</v>
      </c>
      <c r="V10" s="527" t="s">
        <v>585</v>
      </c>
      <c r="W10" s="527"/>
      <c r="X10" s="527"/>
      <c r="Y10" s="527"/>
      <c r="Z10" s="527"/>
      <c r="AA10" s="527"/>
      <c r="AB10" s="527"/>
      <c r="AC10" s="527"/>
      <c r="AD10" s="527"/>
      <c r="AE10" s="527"/>
      <c r="AF10" s="527"/>
      <c r="AG10" s="527"/>
      <c r="AH10" s="527"/>
      <c r="AI10" s="527"/>
      <c r="AJ10" s="527"/>
      <c r="AK10" s="527"/>
      <c r="AL10" s="527"/>
      <c r="AM10" s="527"/>
      <c r="AN10" s="527"/>
      <c r="AO10" s="527"/>
      <c r="AP10" s="527" t="s">
        <v>607</v>
      </c>
      <c r="AQ10" s="528" t="s">
        <v>608</v>
      </c>
      <c r="AR10" s="528"/>
      <c r="AS10" s="528"/>
      <c r="AT10" s="528"/>
      <c r="AU10" s="528"/>
      <c r="AV10" s="338" t="str">
        <f t="shared" ca="1" si="0"/>
        <v>Procede_E_P</v>
      </c>
      <c r="AW10" s="338" t="str">
        <f ca="1">IFERROR(__xludf.DUMMYFUNCTION("IFERROR(VLOOKUP(E63&amp;F63,IMPORTRANGE(""https://docs.google.com/spreadsheets/d/1Uw7-A9f9R21vMXxHZFNpYNeKFtG8_yji4HS352LGlSQ/edit?pli=1#gid=0"",""1_ACUM!A4:S""),11,FALSE))"),"CONDICIONADO")</f>
        <v>CONDICIONADO</v>
      </c>
      <c r="AX10" s="462" t="str">
        <f ca="1">IFERROR(__xludf.DUMMYFUNCTION("IFERROR(VLOOKUP(F63,IMPORTRANGE(""https://docs.google.com/spreadsheets/d/1Kvs4KS76FHFqLFIZfrDMff4kP08nblUkihrxltoGBjg/edit#gid=934712705"",""ESENCIAL!A6:BG""),15,FALSE))"),"TIC")</f>
        <v>TIC</v>
      </c>
      <c r="AY10" s="461">
        <f ca="1">IFERROR(__xludf.DUMMYFUNCTION("IFERROR(VLOOKUP(E63&amp;F63,IMPORTRANGE(""https://docs.google.com/spreadsheets/d/1Uw7-A9f9R21vMXxHZFNpYNeKFtG8_yji4HS352LGlSQ/edit?pli=1#gid=0"",""1_ACUM!A4:S""),13,FALSE))"),0)</f>
        <v>0</v>
      </c>
      <c r="AZ10" s="460">
        <f ca="1">IFERROR(__xludf.DUMMYFUNCTION("IFERROR(VLOOKUP(E63&amp;F63,IMPORTRANGE(""https://docs.google.com/spreadsheets/d/1Uw7-A9f9R21vMXxHZFNpYNeKFtG8_yji4HS352LGlSQ/edit?pli=1#gid=0"",""1_ACUM!A4:S""),13,FALSE))"),0)</f>
        <v>0</v>
      </c>
      <c r="BA10" s="460">
        <f ca="1">IFERROR(__xludf.DUMMYFUNCTION("IFERROR(VLOOKUP(E63&amp;F63,IMPORTRANGE(""https://docs.google.com/spreadsheets/d/1Uw7-A9f9R21vMXxHZFNpYNeKFtG8_yji4HS352LGlSQ/edit?pli=1#gid=0"",""1_ACUM!A4:S""),14,FALSE))"),1)</f>
        <v>1</v>
      </c>
      <c r="BB10" s="460">
        <f ca="1">IFERROR(__xludf.DUMMYFUNCTION("IFERROR(VLOOKUP(E63&amp;F63,IMPORTRANGE(""https://docs.google.com/spreadsheets/d/1Uw7-A9f9R21vMXxHZFNpYNeKFtG8_yji4HS352LGlSQ/edit?pli=1#gid=0"",""1_ACUM!A4:S""),15,FALSE))"),0)</f>
        <v>0</v>
      </c>
      <c r="BC10" s="460">
        <f ca="1">IFERROR(__xludf.DUMMYFUNCTION("IFERROR(VLOOKUP(E63&amp;F63,IMPORTRANGE(""https://docs.google.com/spreadsheets/d/1Uw7-A9f9R21vMXxHZFNpYNeKFtG8_yji4HS352LGlSQ/edit?pli=1#gid=0"",""1_ACUM!A4:S""),16,FALSE))"),0)</f>
        <v>0</v>
      </c>
      <c r="BD10" s="460">
        <f ca="1">IFERROR(__xludf.DUMMYFUNCTION("IFERROR(VLOOKUP(E63&amp;F63,IMPORTRANGE(""https://docs.google.com/spreadsheets/d/1Uw7-A9f9R21vMXxHZFNpYNeKFtG8_yji4HS352LGlSQ/edit?pli=1#gid=0"",""1_ACUM!A4:S""),17,FALSE))"),1)</f>
        <v>1</v>
      </c>
      <c r="BE10" s="461">
        <f ca="1">IFERROR(__xludf.DUMMYFUNCTION("IFERROR(VLOOKUP(E63&amp;F63,IMPORTRANGE(""https://docs.google.com/spreadsheets/d/1Uw7-A9f9R21vMXxHZFNpYNeKFtG8_yji4HS352LGlSQ/edit?pli=1#gid=0"",""1_ACUM!A4:S""),18,FALSE))"),44445)</f>
        <v>44445</v>
      </c>
      <c r="BF10" s="461">
        <f ca="1">IFERROR(__xludf.DUMMYFUNCTION("IFERROR(VLOOKUP(E63&amp;F63,IMPORTRANGE(""https://docs.google.com/spreadsheets/d/1Uw7-A9f9R21vMXxHZFNpYNeKFtG8_yji4HS352LGlSQ/edit?pli=1#gid=0"",""1_ACUM!A4:S""),19,FALSE))"),44717)</f>
        <v>44717</v>
      </c>
      <c r="BG10" s="462">
        <f ca="1">IFERROR(__xludf.DUMMYFUNCTION("IFERROR(VLOOKUP(F63,IMPORTRANGE(""https://docs.google.com/spreadsheets/d/1Kvs4KS76FHFqLFIZfrDMff4kP08nblUkihrxltoGBjg/edit#gid=934712705"",""ESENCIAL!A6:BG""),5,FALSE))"),44900)</f>
        <v>44900</v>
      </c>
      <c r="BH10" s="462">
        <f t="shared" ca="1" si="1"/>
        <v>45448</v>
      </c>
      <c r="BI10" s="338" t="str">
        <f t="shared" ca="1" si="2"/>
        <v>FICHA EN TIEMPO-18 MESES</v>
      </c>
      <c r="BJ10" s="338" t="str">
        <f ca="1">IFERROR(__xludf.DUMMYFUNCTION("IFERROR(VLOOKUP(F63,IMPORTRANGE(""https://docs.google.com/spreadsheets/d/1Kvs4KS76FHFqLFIZfrDMff4kP08nblUkihrxltoGBjg/edit#gid=934712705"",""ESENCIAL!A6:BG""),2,FALSE))"),"En ejecucion")</f>
        <v>En ejecucion</v>
      </c>
      <c r="BK10" s="338" t="str">
        <f t="shared" si="3"/>
        <v>Yamboro</v>
      </c>
      <c r="BL10" s="159"/>
      <c r="BM10" s="159"/>
    </row>
    <row r="11" spans="1:65" s="180" customFormat="1" ht="24">
      <c r="A11" s="164" t="s">
        <v>588</v>
      </c>
      <c r="B11" s="562"/>
      <c r="C11" s="534" t="s">
        <v>25</v>
      </c>
      <c r="D11" s="564" t="s">
        <v>609</v>
      </c>
      <c r="E11" s="217" t="s">
        <v>27</v>
      </c>
      <c r="F11" s="149">
        <v>1004269123</v>
      </c>
      <c r="G11" s="208">
        <v>2326610</v>
      </c>
      <c r="H11" s="338" t="str">
        <f ca="1">IFERROR(__xludf.DUMMYFUNCTION("IFERROR(VLOOKUP(F146,IMPORTRANGE(""https://docs.google.com/spreadsheets/d/1Kvs4KS76FHFqLFIZfrDMff4kP08nblUkihrxltoGBjg/edit#gid=934712705"",""ESENCIAL!A6:BG""),3,FALSE))"),"TECNÓLOGO")</f>
        <v>TECNÓLOGO</v>
      </c>
      <c r="I11" s="338" t="str">
        <f ca="1">IFERROR(__xludf.DUMMYFUNCTION("IFERROR(VLOOKUP(F146,IMPORTRANGE(""https://docs.google.com/spreadsheets/d/1Kvs4KS76FHFqLFIZfrDMff4kP08nblUkihrxltoGBjg/edit#gid=934712705"",""ESENCIAL!A6:BG""),8,FALSE))"),"ANALISIS Y DESARROLLO DE SISTEMAS DE INFORMACION")</f>
        <v>ANALISIS Y DESARROLLO DE SISTEMAS DE INFORMACION</v>
      </c>
      <c r="J11" s="567" t="s">
        <v>610</v>
      </c>
      <c r="K11" s="567" t="s">
        <v>611</v>
      </c>
      <c r="L11" s="338" t="s">
        <v>84</v>
      </c>
      <c r="M11" s="568" t="s">
        <v>28</v>
      </c>
      <c r="N11" s="527" t="s">
        <v>612</v>
      </c>
      <c r="O11" s="527" t="s">
        <v>613</v>
      </c>
      <c r="P11" s="527">
        <v>3163832257</v>
      </c>
      <c r="Q11" s="527" t="s">
        <v>96</v>
      </c>
      <c r="R11" s="527" t="s">
        <v>614</v>
      </c>
      <c r="S11" s="525">
        <v>44886</v>
      </c>
      <c r="T11" s="530">
        <v>45066</v>
      </c>
      <c r="U11" s="527"/>
      <c r="V11" s="527"/>
      <c r="W11" s="338"/>
      <c r="X11" s="527"/>
      <c r="Y11" s="527"/>
      <c r="Z11" s="527"/>
      <c r="AA11" s="527"/>
      <c r="AB11" s="527"/>
      <c r="AC11" s="527"/>
      <c r="AD11" s="527"/>
      <c r="AE11" s="527"/>
      <c r="AF11" s="527"/>
      <c r="AG11" s="527"/>
      <c r="AH11" s="527"/>
      <c r="AI11" s="527"/>
      <c r="AJ11" s="527"/>
      <c r="AK11" s="527"/>
      <c r="AL11" s="527"/>
      <c r="AM11" s="527"/>
      <c r="AN11" s="527"/>
      <c r="AO11" s="527"/>
      <c r="AP11" s="527" t="s">
        <v>444</v>
      </c>
      <c r="AQ11" s="527"/>
      <c r="AR11" s="528"/>
      <c r="AS11" s="528"/>
      <c r="AT11" s="528"/>
      <c r="AU11" s="528"/>
      <c r="AV11" s="338" t="str">
        <f t="shared" ca="1" si="0"/>
        <v>NO_CUMPLE</v>
      </c>
      <c r="AW11" s="338" t="str">
        <f ca="1">IFERROR(__xludf.DUMMYFUNCTION("IFERROR(VLOOKUP(E146&amp;F146,IMPORTRANGE(""https://docs.google.com/spreadsheets/d/1Uw7-A9f9R21vMXxHZFNpYNeKFtG8_yji4HS352LGlSQ/edit?pli=1#gid=0"",""1_ACUM!A4:S""),11,FALSE))"),"EN FORMACION")</f>
        <v>EN FORMACION</v>
      </c>
      <c r="AX11" s="462" t="str">
        <f ca="1">IFERROR(__xludf.DUMMYFUNCTION("IFERROR(VLOOKUP(F146,IMPORTRANGE(""https://docs.google.com/spreadsheets/d/1Kvs4KS76FHFqLFIZfrDMff4kP08nblUkihrxltoGBjg/edit#gid=934712705"",""ESENCIAL!A6:BG""),15,FALSE))"),"TIC")</f>
        <v>TIC</v>
      </c>
      <c r="AY11" s="461">
        <f ca="1">IFERROR(__xludf.DUMMYFUNCTION("IFERROR(VLOOKUP(E146&amp;F146,IMPORTRANGE(""https://docs.google.com/spreadsheets/d/1Uw7-A9f9R21vMXxHZFNpYNeKFtG8_yji4HS352LGlSQ/edit?pli=1#gid=0"",""1_ACUM!A4:S""),13,FALSE))"),4)</f>
        <v>4</v>
      </c>
      <c r="AZ11" s="460">
        <f ca="1">IFERROR(__xludf.DUMMYFUNCTION("IFERROR(VLOOKUP(E146&amp;F146,IMPORTRANGE(""https://docs.google.com/spreadsheets/d/1Uw7-A9f9R21vMXxHZFNpYNeKFtG8_yji4HS352LGlSQ/edit?pli=1#gid=0"",""1_ACUM!A4:S""),13,FALSE))"),4)</f>
        <v>4</v>
      </c>
      <c r="BA11" s="460">
        <f ca="1">IFERROR(__xludf.DUMMYFUNCTION("IFERROR(VLOOKUP(E146&amp;F146,IMPORTRANGE(""https://docs.google.com/spreadsheets/d/1Uw7-A9f9R21vMXxHZFNpYNeKFtG8_yji4HS352LGlSQ/edit?pli=1#gid=0"",""1_ACUM!A4:S""),14,FALSE))"),1)</f>
        <v>1</v>
      </c>
      <c r="BB11" s="460">
        <f ca="1">IFERROR(__xludf.DUMMYFUNCTION("IFERROR(VLOOKUP(E146&amp;F146,IMPORTRANGE(""https://docs.google.com/spreadsheets/d/1Uw7-A9f9R21vMXxHZFNpYNeKFtG8_yji4HS352LGlSQ/edit?pli=1#gid=0"",""1_ACUM!A4:S""),15,FALSE))"),5)</f>
        <v>5</v>
      </c>
      <c r="BC11" s="460">
        <f ca="1">IFERROR(__xludf.DUMMYFUNCTION("IFERROR(VLOOKUP(E146&amp;F146,IMPORTRANGE(""https://docs.google.com/spreadsheets/d/1Uw7-A9f9R21vMXxHZFNpYNeKFtG8_yji4HS352LGlSQ/edit?pli=1#gid=0"",""1_ACUM!A4:S""),16,FALSE))"),7)</f>
        <v>7</v>
      </c>
      <c r="BD11" s="460">
        <f ca="1">IFERROR(__xludf.DUMMYFUNCTION("IFERROR(VLOOKUP(E146&amp;F146,IMPORTRANGE(""https://docs.google.com/spreadsheets/d/1Uw7-A9f9R21vMXxHZFNpYNeKFtG8_yji4HS352LGlSQ/edit?pli=1#gid=0"",""1_ACUM!A4:S""),17,FALSE))"),17)</f>
        <v>17</v>
      </c>
      <c r="BE11" s="461">
        <f ca="1">IFERROR(__xludf.DUMMYFUNCTION("IFERROR(VLOOKUP(E146&amp;F146,IMPORTRANGE(""https://docs.google.com/spreadsheets/d/1Uw7-A9f9R21vMXxHZFNpYNeKFtG8_yji4HS352LGlSQ/edit?pli=1#gid=0"",""1_ACUM!A4:S""),18,FALSE))"),44328)</f>
        <v>44328</v>
      </c>
      <c r="BF11" s="461">
        <f ca="1">IFERROR(__xludf.DUMMYFUNCTION("IFERROR(VLOOKUP(E146&amp;F146,IMPORTRANGE(""https://docs.google.com/spreadsheets/d/1Uw7-A9f9R21vMXxHZFNpYNeKFtG8_yji4HS352LGlSQ/edit?pli=1#gid=0"",""1_ACUM!A4:S""),19,FALSE))"),44876)</f>
        <v>44876</v>
      </c>
      <c r="BG11" s="462">
        <f ca="1">IFERROR(__xludf.DUMMYFUNCTION("IFERROR(VLOOKUP(F146,IMPORTRANGE(""https://docs.google.com/spreadsheets/d/1Kvs4KS76FHFqLFIZfrDMff4kP08nblUkihrxltoGBjg/edit#gid=934712705"",""ESENCIAL!A6:BG""),5,FALSE))"),45057)</f>
        <v>45057</v>
      </c>
      <c r="BH11" s="462">
        <f t="shared" ca="1" si="1"/>
        <v>45607</v>
      </c>
      <c r="BI11" s="338" t="str">
        <f t="shared" ca="1" si="2"/>
        <v>FICHA EN TIEMPO-18 MESES</v>
      </c>
      <c r="BJ11" s="338" t="str">
        <f ca="1">IFERROR(__xludf.DUMMYFUNCTION("IFERROR(VLOOKUP(F146,IMPORTRANGE(""https://docs.google.com/spreadsheets/d/1Kvs4KS76FHFqLFIZfrDMff4kP08nblUkihrxltoGBjg/edit#gid=934712705"",""ESENCIAL!A6:BG""),2,FALSE))"),"En ejecucion")</f>
        <v>En ejecucion</v>
      </c>
      <c r="BK11" s="338" t="str">
        <f t="shared" si="3"/>
        <v>Yamboro</v>
      </c>
      <c r="BL11" s="38"/>
      <c r="BM11" s="38"/>
    </row>
    <row r="12" spans="1:65" s="180" customFormat="1" ht="24">
      <c r="A12" s="164" t="s">
        <v>588</v>
      </c>
      <c r="B12" s="562"/>
      <c r="C12" s="534" t="s">
        <v>25</v>
      </c>
      <c r="D12" s="564" t="s">
        <v>615</v>
      </c>
      <c r="E12" s="217" t="s">
        <v>27</v>
      </c>
      <c r="F12" s="149">
        <v>1007163482</v>
      </c>
      <c r="G12" s="208">
        <v>2326610</v>
      </c>
      <c r="H12" s="338" t="str">
        <f ca="1">IFERROR(__xludf.DUMMYFUNCTION("IFERROR(VLOOKUP(F148,IMPORTRANGE(""https://docs.google.com/spreadsheets/d/1Kvs4KS76FHFqLFIZfrDMff4kP08nblUkihrxltoGBjg/edit#gid=934712705"",""ESENCIAL!A6:BG""),3,FALSE))"),"TECNÓLOGO")</f>
        <v>TECNÓLOGO</v>
      </c>
      <c r="I12" s="338" t="str">
        <f ca="1">IFERROR(__xludf.DUMMYFUNCTION("IFERROR(VLOOKUP(F148,IMPORTRANGE(""https://docs.google.com/spreadsheets/d/1Kvs4KS76FHFqLFIZfrDMff4kP08nblUkihrxltoGBjg/edit#gid=934712705"",""ESENCIAL!A6:BG""),8,FALSE))"),"ANALISIS Y DESARROLLO DE SISTEMAS DE INFORMACION")</f>
        <v>ANALISIS Y DESARROLLO DE SISTEMAS DE INFORMACION</v>
      </c>
      <c r="J12" s="567">
        <v>3204549509</v>
      </c>
      <c r="K12" s="567" t="s">
        <v>616</v>
      </c>
      <c r="L12" s="338" t="s">
        <v>84</v>
      </c>
      <c r="M12" s="568" t="s">
        <v>28</v>
      </c>
      <c r="N12" s="527" t="s">
        <v>612</v>
      </c>
      <c r="O12" s="527" t="s">
        <v>613</v>
      </c>
      <c r="P12" s="527">
        <v>3163832257</v>
      </c>
      <c r="Q12" s="527" t="s">
        <v>96</v>
      </c>
      <c r="R12" s="527" t="s">
        <v>614</v>
      </c>
      <c r="S12" s="525">
        <v>44886</v>
      </c>
      <c r="T12" s="530">
        <v>45066</v>
      </c>
      <c r="U12" s="527"/>
      <c r="V12" s="527"/>
      <c r="W12" s="338"/>
      <c r="X12" s="527"/>
      <c r="Y12" s="527"/>
      <c r="Z12" s="527"/>
      <c r="AA12" s="527"/>
      <c r="AB12" s="527"/>
      <c r="AC12" s="527"/>
      <c r="AD12" s="527"/>
      <c r="AE12" s="527"/>
      <c r="AF12" s="527"/>
      <c r="AG12" s="527"/>
      <c r="AH12" s="527"/>
      <c r="AI12" s="527"/>
      <c r="AJ12" s="527"/>
      <c r="AK12" s="527"/>
      <c r="AL12" s="527"/>
      <c r="AM12" s="527"/>
      <c r="AN12" s="527"/>
      <c r="AO12" s="527"/>
      <c r="AP12" s="527" t="s">
        <v>444</v>
      </c>
      <c r="AQ12" s="527"/>
      <c r="AR12" s="528"/>
      <c r="AS12" s="528"/>
      <c r="AT12" s="528"/>
      <c r="AU12" s="528"/>
      <c r="AV12" s="338" t="str">
        <f t="shared" ca="1" si="0"/>
        <v>NO_CUMPLE</v>
      </c>
      <c r="AW12" s="338" t="str">
        <f ca="1">IFERROR(__xludf.DUMMYFUNCTION("IFERROR(VLOOKUP(E148&amp;F148,IMPORTRANGE(""https://docs.google.com/spreadsheets/d/1Uw7-A9f9R21vMXxHZFNpYNeKFtG8_yji4HS352LGlSQ/edit?pli=1#gid=0"",""1_ACUM!A4:S""),11,FALSE))"),"EN FORMACION")</f>
        <v>EN FORMACION</v>
      </c>
      <c r="AX12" s="462" t="str">
        <f ca="1">IFERROR(__xludf.DUMMYFUNCTION("IFERROR(VLOOKUP(F148,IMPORTRANGE(""https://docs.google.com/spreadsheets/d/1Kvs4KS76FHFqLFIZfrDMff4kP08nblUkihrxltoGBjg/edit#gid=934712705"",""ESENCIAL!A6:BG""),15,FALSE))"),"TIC")</f>
        <v>TIC</v>
      </c>
      <c r="AY12" s="461">
        <f ca="1">IFERROR(__xludf.DUMMYFUNCTION("IFERROR(VLOOKUP(E148&amp;F148,IMPORTRANGE(""https://docs.google.com/spreadsheets/d/1Uw7-A9f9R21vMXxHZFNpYNeKFtG8_yji4HS352LGlSQ/edit?pli=1#gid=0"",""1_ACUM!A4:S""),13,FALSE))"),4)</f>
        <v>4</v>
      </c>
      <c r="AZ12" s="460">
        <f ca="1">IFERROR(__xludf.DUMMYFUNCTION("IFERROR(VLOOKUP(E148&amp;F148,IMPORTRANGE(""https://docs.google.com/spreadsheets/d/1Uw7-A9f9R21vMXxHZFNpYNeKFtG8_yji4HS352LGlSQ/edit?pli=1#gid=0"",""1_ACUM!A4:S""),13,FALSE))"),4)</f>
        <v>4</v>
      </c>
      <c r="BA12" s="460">
        <f ca="1">IFERROR(__xludf.DUMMYFUNCTION("IFERROR(VLOOKUP(E148&amp;F148,IMPORTRANGE(""https://docs.google.com/spreadsheets/d/1Uw7-A9f9R21vMXxHZFNpYNeKFtG8_yji4HS352LGlSQ/edit?pli=1#gid=0"",""1_ACUM!A4:S""),14,FALSE))"),1)</f>
        <v>1</v>
      </c>
      <c r="BB12" s="460">
        <f ca="1">IFERROR(__xludf.DUMMYFUNCTION("IFERROR(VLOOKUP(E148&amp;F148,IMPORTRANGE(""https://docs.google.com/spreadsheets/d/1Uw7-A9f9R21vMXxHZFNpYNeKFtG8_yji4HS352LGlSQ/edit?pli=1#gid=0"",""1_ACUM!A4:S""),15,FALSE))"),6)</f>
        <v>6</v>
      </c>
      <c r="BC12" s="460">
        <f ca="1">IFERROR(__xludf.DUMMYFUNCTION("IFERROR(VLOOKUP(E148&amp;F148,IMPORTRANGE(""https://docs.google.com/spreadsheets/d/1Uw7-A9f9R21vMXxHZFNpYNeKFtG8_yji4HS352LGlSQ/edit?pli=1#gid=0"",""1_ACUM!A4:S""),16,FALSE))"),7)</f>
        <v>7</v>
      </c>
      <c r="BD12" s="460">
        <f ca="1">IFERROR(__xludf.DUMMYFUNCTION("IFERROR(VLOOKUP(E148&amp;F148,IMPORTRANGE(""https://docs.google.com/spreadsheets/d/1Uw7-A9f9R21vMXxHZFNpYNeKFtG8_yji4HS352LGlSQ/edit?pli=1#gid=0"",""1_ACUM!A4:S""),17,FALSE))"),18)</f>
        <v>18</v>
      </c>
      <c r="BE12" s="461">
        <f ca="1">IFERROR(__xludf.DUMMYFUNCTION("IFERROR(VLOOKUP(E148&amp;F148,IMPORTRANGE(""https://docs.google.com/spreadsheets/d/1Uw7-A9f9R21vMXxHZFNpYNeKFtG8_yji4HS352LGlSQ/edit?pli=1#gid=0"",""1_ACUM!A4:S""),18,FALSE))"),44328)</f>
        <v>44328</v>
      </c>
      <c r="BF12" s="461">
        <f ca="1">IFERROR(__xludf.DUMMYFUNCTION("IFERROR(VLOOKUP(E148&amp;F148,IMPORTRANGE(""https://docs.google.com/spreadsheets/d/1Uw7-A9f9R21vMXxHZFNpYNeKFtG8_yji4HS352LGlSQ/edit?pli=1#gid=0"",""1_ACUM!A4:S""),19,FALSE))"),44876)</f>
        <v>44876</v>
      </c>
      <c r="BG12" s="462">
        <f ca="1">IFERROR(__xludf.DUMMYFUNCTION("IFERROR(VLOOKUP(F148,IMPORTRANGE(""https://docs.google.com/spreadsheets/d/1Kvs4KS76FHFqLFIZfrDMff4kP08nblUkihrxltoGBjg/edit#gid=934712705"",""ESENCIAL!A6:BG""),5,FALSE))"),45057)</f>
        <v>45057</v>
      </c>
      <c r="BH12" s="462">
        <f t="shared" ca="1" si="1"/>
        <v>45607</v>
      </c>
      <c r="BI12" s="338" t="str">
        <f t="shared" ca="1" si="2"/>
        <v>FICHA EN TIEMPO-18 MESES</v>
      </c>
      <c r="BJ12" s="338" t="str">
        <f ca="1">IFERROR(__xludf.DUMMYFUNCTION("IFERROR(VLOOKUP(F148,IMPORTRANGE(""https://docs.google.com/spreadsheets/d/1Kvs4KS76FHFqLFIZfrDMff4kP08nblUkihrxltoGBjg/edit#gid=934712705"",""ESENCIAL!A6:BG""),2,FALSE))"),"En ejecucion")</f>
        <v>En ejecucion</v>
      </c>
      <c r="BK12" s="338" t="str">
        <f t="shared" si="3"/>
        <v>Yamboro</v>
      </c>
      <c r="BL12" s="38"/>
      <c r="BM12" s="38"/>
    </row>
    <row r="13" spans="1:65" ht="24">
      <c r="A13" s="164" t="s">
        <v>588</v>
      </c>
      <c r="B13" s="562"/>
      <c r="C13" s="534" t="s">
        <v>25</v>
      </c>
      <c r="D13" s="564" t="s">
        <v>617</v>
      </c>
      <c r="E13" s="217" t="s">
        <v>27</v>
      </c>
      <c r="F13" s="149">
        <v>1007600571</v>
      </c>
      <c r="G13" s="208">
        <v>2326610</v>
      </c>
      <c r="H13" s="338" t="str">
        <f ca="1">IFERROR(__xludf.DUMMYFUNCTION("IFERROR(VLOOKUP(F150,IMPORTRANGE(""https://docs.google.com/spreadsheets/d/1Kvs4KS76FHFqLFIZfrDMff4kP08nblUkihrxltoGBjg/edit#gid=934712705"",""ESENCIAL!A6:BG""),3,FALSE))"),"TECNÓLOGO")</f>
        <v>TECNÓLOGO</v>
      </c>
      <c r="I13" s="338" t="str">
        <f ca="1">IFERROR(__xludf.DUMMYFUNCTION("IFERROR(VLOOKUP(F150,IMPORTRANGE(""https://docs.google.com/spreadsheets/d/1Kvs4KS76FHFqLFIZfrDMff4kP08nblUkihrxltoGBjg/edit#gid=934712705"",""ESENCIAL!A6:BG""),8,FALSE))"),"ANALISIS Y DESARROLLO DE SISTEMAS DE INFORMACION")</f>
        <v>ANALISIS Y DESARROLLO DE SISTEMAS DE INFORMACION</v>
      </c>
      <c r="J13" s="567"/>
      <c r="K13" s="567"/>
      <c r="L13" s="338"/>
      <c r="M13" s="568" t="s">
        <v>28</v>
      </c>
      <c r="N13" s="527" t="s">
        <v>618</v>
      </c>
      <c r="O13" s="527" t="s">
        <v>619</v>
      </c>
      <c r="P13" s="527" t="s">
        <v>620</v>
      </c>
      <c r="Q13" s="527" t="s">
        <v>81</v>
      </c>
      <c r="R13" s="569" t="s">
        <v>621</v>
      </c>
      <c r="S13" s="525" t="s">
        <v>622</v>
      </c>
      <c r="T13" s="530" t="s">
        <v>623</v>
      </c>
      <c r="U13" s="527"/>
      <c r="V13" s="527"/>
      <c r="W13" s="338"/>
      <c r="X13" s="527"/>
      <c r="Y13" s="527"/>
      <c r="Z13" s="527"/>
      <c r="AA13" s="527"/>
      <c r="AB13" s="527"/>
      <c r="AC13" s="527"/>
      <c r="AD13" s="527"/>
      <c r="AE13" s="527"/>
      <c r="AF13" s="527"/>
      <c r="AG13" s="527"/>
      <c r="AH13" s="527"/>
      <c r="AI13" s="527"/>
      <c r="AJ13" s="527"/>
      <c r="AK13" s="527"/>
      <c r="AL13" s="527"/>
      <c r="AM13" s="527"/>
      <c r="AN13" s="527"/>
      <c r="AO13" s="527"/>
      <c r="AP13" s="527" t="s">
        <v>444</v>
      </c>
      <c r="AQ13" s="527"/>
      <c r="AR13" s="539"/>
      <c r="AS13" s="539"/>
      <c r="AT13" s="539"/>
      <c r="AU13" s="539"/>
      <c r="AV13" s="338" t="str">
        <f t="shared" ca="1" si="0"/>
        <v>NO_CUMPLE</v>
      </c>
      <c r="AW13" s="338" t="str">
        <f ca="1">IFERROR(__xludf.DUMMYFUNCTION("IFERROR(VLOOKUP(E150&amp;F150,IMPORTRANGE(""https://docs.google.com/spreadsheets/d/1Uw7-A9f9R21vMXxHZFNpYNeKFtG8_yji4HS352LGlSQ/edit?pli=1#gid=0"",""1_ACUM!A4:S""),11,FALSE))"),"EN FORMACION")</f>
        <v>EN FORMACION</v>
      </c>
      <c r="AX13" s="462" t="str">
        <f ca="1">IFERROR(__xludf.DUMMYFUNCTION("IFERROR(VLOOKUP(F150,IMPORTRANGE(""https://docs.google.com/spreadsheets/d/1Kvs4KS76FHFqLFIZfrDMff4kP08nblUkihrxltoGBjg/edit#gid=934712705"",""ESENCIAL!A6:BG""),15,FALSE))"),"TIC")</f>
        <v>TIC</v>
      </c>
      <c r="AY13" s="461">
        <f ca="1">IFERROR(__xludf.DUMMYFUNCTION("IFERROR(VLOOKUP(E150&amp;F150,IMPORTRANGE(""https://docs.google.com/spreadsheets/d/1Uw7-A9f9R21vMXxHZFNpYNeKFtG8_yji4HS352LGlSQ/edit?pli=1#gid=0"",""1_ACUM!A4:S""),13,FALSE))"),4)</f>
        <v>4</v>
      </c>
      <c r="AZ13" s="460">
        <f ca="1">IFERROR(__xludf.DUMMYFUNCTION("IFERROR(VLOOKUP(E150&amp;F150,IMPORTRANGE(""https://docs.google.com/spreadsheets/d/1Uw7-A9f9R21vMXxHZFNpYNeKFtG8_yji4HS352LGlSQ/edit?pli=1#gid=0"",""1_ACUM!A4:S""),13,FALSE))"),4)</f>
        <v>4</v>
      </c>
      <c r="BA13" s="460">
        <f ca="1">IFERROR(__xludf.DUMMYFUNCTION("IFERROR(VLOOKUP(E150&amp;F150,IMPORTRANGE(""https://docs.google.com/spreadsheets/d/1Uw7-A9f9R21vMXxHZFNpYNeKFtG8_yji4HS352LGlSQ/edit?pli=1#gid=0"",""1_ACUM!A4:S""),14,FALSE))"),1)</f>
        <v>1</v>
      </c>
      <c r="BB13" s="460">
        <f ca="1">IFERROR(__xludf.DUMMYFUNCTION("IFERROR(VLOOKUP(E150&amp;F150,IMPORTRANGE(""https://docs.google.com/spreadsheets/d/1Uw7-A9f9R21vMXxHZFNpYNeKFtG8_yji4HS352LGlSQ/edit?pli=1#gid=0"",""1_ACUM!A4:S""),15,FALSE))"),5)</f>
        <v>5</v>
      </c>
      <c r="BC13" s="460">
        <f ca="1">IFERROR(__xludf.DUMMYFUNCTION("IFERROR(VLOOKUP(E150&amp;F150,IMPORTRANGE(""https://docs.google.com/spreadsheets/d/1Uw7-A9f9R21vMXxHZFNpYNeKFtG8_yji4HS352LGlSQ/edit?pli=1#gid=0"",""1_ACUM!A4:S""),16,FALSE))"),7)</f>
        <v>7</v>
      </c>
      <c r="BD13" s="460">
        <f ca="1">IFERROR(__xludf.DUMMYFUNCTION("IFERROR(VLOOKUP(E150&amp;F150,IMPORTRANGE(""https://docs.google.com/spreadsheets/d/1Uw7-A9f9R21vMXxHZFNpYNeKFtG8_yji4HS352LGlSQ/edit?pli=1#gid=0"",""1_ACUM!A4:S""),17,FALSE))"),17)</f>
        <v>17</v>
      </c>
      <c r="BE13" s="461">
        <f ca="1">IFERROR(__xludf.DUMMYFUNCTION("IFERROR(VLOOKUP(E150&amp;F150,IMPORTRANGE(""https://docs.google.com/spreadsheets/d/1Uw7-A9f9R21vMXxHZFNpYNeKFtG8_yji4HS352LGlSQ/edit?pli=1#gid=0"",""1_ACUM!A4:S""),18,FALSE))"),44328)</f>
        <v>44328</v>
      </c>
      <c r="BF13" s="461">
        <f ca="1">IFERROR(__xludf.DUMMYFUNCTION("IFERROR(VLOOKUP(E150&amp;F150,IMPORTRANGE(""https://docs.google.com/spreadsheets/d/1Uw7-A9f9R21vMXxHZFNpYNeKFtG8_yji4HS352LGlSQ/edit?pli=1#gid=0"",""1_ACUM!A4:S""),19,FALSE))"),44876)</f>
        <v>44876</v>
      </c>
      <c r="BG13" s="462">
        <f ca="1">IFERROR(__xludf.DUMMYFUNCTION("IFERROR(VLOOKUP(F150,IMPORTRANGE(""https://docs.google.com/spreadsheets/d/1Kvs4KS76FHFqLFIZfrDMff4kP08nblUkihrxltoGBjg/edit#gid=934712705"",""ESENCIAL!A6:BG""),5,FALSE))"),45057)</f>
        <v>45057</v>
      </c>
      <c r="BH13" s="462">
        <f t="shared" ca="1" si="1"/>
        <v>45607</v>
      </c>
      <c r="BI13" s="338" t="str">
        <f t="shared" ca="1" si="2"/>
        <v>FICHA EN TIEMPO-18 MESES</v>
      </c>
      <c r="BJ13" s="338" t="str">
        <f ca="1">IFERROR(__xludf.DUMMYFUNCTION("IFERROR(VLOOKUP(F150,IMPORTRANGE(""https://docs.google.com/spreadsheets/d/1Kvs4KS76FHFqLFIZfrDMff4kP08nblUkihrxltoGBjg/edit#gid=934712705"",""ESENCIAL!A6:BG""),2,FALSE))"),"En ejecucion")</f>
        <v>En ejecucion</v>
      </c>
      <c r="BK13" s="338" t="str">
        <f t="shared" si="3"/>
        <v>Yamboro</v>
      </c>
      <c r="BL13" s="38"/>
      <c r="BM13" s="38"/>
    </row>
    <row r="14" spans="1:65" s="180" customFormat="1" ht="24">
      <c r="A14" s="164" t="s">
        <v>588</v>
      </c>
      <c r="B14" s="562"/>
      <c r="C14" s="534" t="s">
        <v>25</v>
      </c>
      <c r="D14" s="564" t="s">
        <v>624</v>
      </c>
      <c r="E14" s="217" t="s">
        <v>67</v>
      </c>
      <c r="F14" s="149">
        <v>1076903377</v>
      </c>
      <c r="G14" s="208">
        <v>2326610</v>
      </c>
      <c r="H14" s="338" t="str">
        <f ca="1">IFERROR(__xludf.DUMMYFUNCTION("IFERROR(VLOOKUP(F151,IMPORTRANGE(""https://docs.google.com/spreadsheets/d/1Kvs4KS76FHFqLFIZfrDMff4kP08nblUkihrxltoGBjg/edit#gid=934712705"",""ESENCIAL!A6:BG""),3,FALSE))"),"TECNÓLOGO")</f>
        <v>TECNÓLOGO</v>
      </c>
      <c r="I14" s="338" t="str">
        <f ca="1">IFERROR(__xludf.DUMMYFUNCTION("IFERROR(VLOOKUP(F151,IMPORTRANGE(""https://docs.google.com/spreadsheets/d/1Kvs4KS76FHFqLFIZfrDMff4kP08nblUkihrxltoGBjg/edit#gid=934712705"",""ESENCIAL!A6:BG""),8,FALSE))"),"ANALISIS Y DESARROLLO DE SISTEMAS DE INFORMACION")</f>
        <v>ANALISIS Y DESARROLLO DE SISTEMAS DE INFORMACION</v>
      </c>
      <c r="J14" s="567">
        <v>3134165315</v>
      </c>
      <c r="K14" s="567" t="s">
        <v>625</v>
      </c>
      <c r="L14" s="338" t="s">
        <v>84</v>
      </c>
      <c r="M14" s="568" t="s">
        <v>28</v>
      </c>
      <c r="N14" s="527" t="s">
        <v>626</v>
      </c>
      <c r="O14" s="527" t="s">
        <v>627</v>
      </c>
      <c r="P14" s="527" t="s">
        <v>628</v>
      </c>
      <c r="Q14" s="527" t="s">
        <v>629</v>
      </c>
      <c r="R14" s="527" t="s">
        <v>630</v>
      </c>
      <c r="S14" s="525">
        <v>44882</v>
      </c>
      <c r="T14" s="530">
        <v>45062</v>
      </c>
      <c r="U14" s="527"/>
      <c r="V14" s="527"/>
      <c r="W14" s="338"/>
      <c r="X14" s="527"/>
      <c r="Y14" s="527"/>
      <c r="Z14" s="527"/>
      <c r="AA14" s="527"/>
      <c r="AB14" s="527"/>
      <c r="AC14" s="527"/>
      <c r="AD14" s="527"/>
      <c r="AE14" s="527"/>
      <c r="AF14" s="527"/>
      <c r="AG14" s="527"/>
      <c r="AH14" s="527"/>
      <c r="AI14" s="527"/>
      <c r="AJ14" s="527"/>
      <c r="AK14" s="527"/>
      <c r="AL14" s="527"/>
      <c r="AM14" s="527"/>
      <c r="AN14" s="527"/>
      <c r="AO14" s="527"/>
      <c r="AP14" s="527" t="s">
        <v>444</v>
      </c>
      <c r="AQ14" s="527"/>
      <c r="AR14" s="539"/>
      <c r="AS14" s="539"/>
      <c r="AT14" s="539"/>
      <c r="AU14" s="539"/>
      <c r="AV14" s="338" t="str">
        <f t="shared" ca="1" si="0"/>
        <v>NO_CUMPLE</v>
      </c>
      <c r="AW14" s="338" t="str">
        <f ca="1">IFERROR(__xludf.DUMMYFUNCTION("IFERROR(VLOOKUP(E151&amp;F151,IMPORTRANGE(""https://docs.google.com/spreadsheets/d/1Uw7-A9f9R21vMXxHZFNpYNeKFtG8_yji4HS352LGlSQ/edit?pli=1#gid=0"",""1_ACUM!A4:S""),11,FALSE))"),"EN FORMACION")</f>
        <v>EN FORMACION</v>
      </c>
      <c r="AX14" s="462" t="str">
        <f ca="1">IFERROR(__xludf.DUMMYFUNCTION("IFERROR(VLOOKUP(F151,IMPORTRANGE(""https://docs.google.com/spreadsheets/d/1Kvs4KS76FHFqLFIZfrDMff4kP08nblUkihrxltoGBjg/edit#gid=934712705"",""ESENCIAL!A6:BG""),15,FALSE))"),"TIC")</f>
        <v>TIC</v>
      </c>
      <c r="AY14" s="461">
        <f ca="1">IFERROR(__xludf.DUMMYFUNCTION("IFERROR(VLOOKUP(E151&amp;F151,IMPORTRANGE(""https://docs.google.com/spreadsheets/d/1Uw7-A9f9R21vMXxHZFNpYNeKFtG8_yji4HS352LGlSQ/edit?pli=1#gid=0"",""1_ACUM!A4:S""),13,FALSE))"),6)</f>
        <v>6</v>
      </c>
      <c r="AZ14" s="460">
        <f ca="1">IFERROR(__xludf.DUMMYFUNCTION("IFERROR(VLOOKUP(E151&amp;F151,IMPORTRANGE(""https://docs.google.com/spreadsheets/d/1Uw7-A9f9R21vMXxHZFNpYNeKFtG8_yji4HS352LGlSQ/edit?pli=1#gid=0"",""1_ACUM!A4:S""),13,FALSE))"),6)</f>
        <v>6</v>
      </c>
      <c r="BA14" s="460">
        <f ca="1">IFERROR(__xludf.DUMMYFUNCTION("IFERROR(VLOOKUP(E151&amp;F151,IMPORTRANGE(""https://docs.google.com/spreadsheets/d/1Uw7-A9f9R21vMXxHZFNpYNeKFtG8_yji4HS352LGlSQ/edit?pli=1#gid=0"",""1_ACUM!A4:S""),14,FALSE))"),1)</f>
        <v>1</v>
      </c>
      <c r="BB14" s="460">
        <f ca="1">IFERROR(__xludf.DUMMYFUNCTION("IFERROR(VLOOKUP(E151&amp;F151,IMPORTRANGE(""https://docs.google.com/spreadsheets/d/1Uw7-A9f9R21vMXxHZFNpYNeKFtG8_yji4HS352LGlSQ/edit?pli=1#gid=0"",""1_ACUM!A4:S""),15,FALSE))"),5)</f>
        <v>5</v>
      </c>
      <c r="BC14" s="460">
        <f ca="1">IFERROR(__xludf.DUMMYFUNCTION("IFERROR(VLOOKUP(E151&amp;F151,IMPORTRANGE(""https://docs.google.com/spreadsheets/d/1Uw7-A9f9R21vMXxHZFNpYNeKFtG8_yji4HS352LGlSQ/edit?pli=1#gid=0"",""1_ACUM!A4:S""),16,FALSE))"),7)</f>
        <v>7</v>
      </c>
      <c r="BD14" s="460">
        <f ca="1">IFERROR(__xludf.DUMMYFUNCTION("IFERROR(VLOOKUP(E151&amp;F151,IMPORTRANGE(""https://docs.google.com/spreadsheets/d/1Uw7-A9f9R21vMXxHZFNpYNeKFtG8_yji4HS352LGlSQ/edit?pli=1#gid=0"",""1_ACUM!A4:S""),17,FALSE))"),19)</f>
        <v>19</v>
      </c>
      <c r="BE14" s="461">
        <f ca="1">IFERROR(__xludf.DUMMYFUNCTION("IFERROR(VLOOKUP(E151&amp;F151,IMPORTRANGE(""https://docs.google.com/spreadsheets/d/1Uw7-A9f9R21vMXxHZFNpYNeKFtG8_yji4HS352LGlSQ/edit?pli=1#gid=0"",""1_ACUM!A4:S""),18,FALSE))"),44328)</f>
        <v>44328</v>
      </c>
      <c r="BF14" s="461">
        <f ca="1">IFERROR(__xludf.DUMMYFUNCTION("IFERROR(VLOOKUP(E151&amp;F151,IMPORTRANGE(""https://docs.google.com/spreadsheets/d/1Uw7-A9f9R21vMXxHZFNpYNeKFtG8_yji4HS352LGlSQ/edit?pli=1#gid=0"",""1_ACUM!A4:S""),19,FALSE))"),44876)</f>
        <v>44876</v>
      </c>
      <c r="BG14" s="462">
        <f ca="1">IFERROR(__xludf.DUMMYFUNCTION("IFERROR(VLOOKUP(F151,IMPORTRANGE(""https://docs.google.com/spreadsheets/d/1Kvs4KS76FHFqLFIZfrDMff4kP08nblUkihrxltoGBjg/edit#gid=934712705"",""ESENCIAL!A6:BG""),5,FALSE))"),45057)</f>
        <v>45057</v>
      </c>
      <c r="BH14" s="462">
        <f t="shared" ca="1" si="1"/>
        <v>45607</v>
      </c>
      <c r="BI14" s="338" t="str">
        <f t="shared" ca="1" si="2"/>
        <v>FICHA EN TIEMPO-18 MESES</v>
      </c>
      <c r="BJ14" s="338" t="str">
        <f ca="1">IFERROR(__xludf.DUMMYFUNCTION("IFERROR(VLOOKUP(F151,IMPORTRANGE(""https://docs.google.com/spreadsheets/d/1Kvs4KS76FHFqLFIZfrDMff4kP08nblUkihrxltoGBjg/edit#gid=934712705"",""ESENCIAL!A6:BG""),2,FALSE))"),"En ejecucion")</f>
        <v>En ejecucion</v>
      </c>
      <c r="BK14" s="338" t="str">
        <f t="shared" si="3"/>
        <v>Yamboro</v>
      </c>
      <c r="BL14" s="38"/>
      <c r="BM14" s="38"/>
    </row>
    <row r="15" spans="1:65" ht="24">
      <c r="A15" s="164" t="s">
        <v>588</v>
      </c>
      <c r="B15" s="562"/>
      <c r="C15" s="534" t="s">
        <v>25</v>
      </c>
      <c r="D15" s="564" t="s">
        <v>631</v>
      </c>
      <c r="E15" s="217" t="s">
        <v>27</v>
      </c>
      <c r="F15" s="149">
        <v>1083877176</v>
      </c>
      <c r="G15" s="208">
        <v>2326610</v>
      </c>
      <c r="H15" s="338" t="str">
        <f ca="1">IFERROR(__xludf.DUMMYFUNCTION("IFERROR(VLOOKUP(F154,IMPORTRANGE(""https://docs.google.com/spreadsheets/d/1Kvs4KS76FHFqLFIZfrDMff4kP08nblUkihrxltoGBjg/edit#gid=934712705"",""ESENCIAL!A6:BG""),3,FALSE))"),"TECNÓLOGO")</f>
        <v>TECNÓLOGO</v>
      </c>
      <c r="I15" s="338" t="str">
        <f ca="1">IFERROR(__xludf.DUMMYFUNCTION("IFERROR(VLOOKUP(F154,IMPORTRANGE(""https://docs.google.com/spreadsheets/d/1Kvs4KS76FHFqLFIZfrDMff4kP08nblUkihrxltoGBjg/edit#gid=934712705"",""ESENCIAL!A6:BG""),8,FALSE))"),"ANALISIS Y DESARROLLO DE SISTEMAS DE INFORMACION")</f>
        <v>ANALISIS Y DESARROLLO DE SISTEMAS DE INFORMACION</v>
      </c>
      <c r="J15" s="567"/>
      <c r="K15" s="567"/>
      <c r="L15" s="338"/>
      <c r="M15" s="568" t="s">
        <v>28</v>
      </c>
      <c r="N15" s="527" t="s">
        <v>612</v>
      </c>
      <c r="O15" s="527" t="s">
        <v>613</v>
      </c>
      <c r="P15" s="527">
        <v>3163832257</v>
      </c>
      <c r="Q15" s="527" t="s">
        <v>96</v>
      </c>
      <c r="R15" s="527" t="s">
        <v>614</v>
      </c>
      <c r="S15" s="525">
        <v>44886</v>
      </c>
      <c r="T15" s="530">
        <v>45066</v>
      </c>
      <c r="U15" s="527"/>
      <c r="V15" s="527"/>
      <c r="W15" s="338"/>
      <c r="X15" s="527"/>
      <c r="Y15" s="527"/>
      <c r="Z15" s="527"/>
      <c r="AA15" s="527"/>
      <c r="AB15" s="527"/>
      <c r="AC15" s="527"/>
      <c r="AD15" s="527"/>
      <c r="AE15" s="527"/>
      <c r="AF15" s="527"/>
      <c r="AG15" s="527"/>
      <c r="AH15" s="527"/>
      <c r="AI15" s="527"/>
      <c r="AJ15" s="527"/>
      <c r="AK15" s="527"/>
      <c r="AL15" s="527"/>
      <c r="AM15" s="527"/>
      <c r="AN15" s="527"/>
      <c r="AO15" s="527"/>
      <c r="AP15" s="527" t="s">
        <v>444</v>
      </c>
      <c r="AQ15" s="527"/>
      <c r="AR15" s="539"/>
      <c r="AS15" s="539"/>
      <c r="AT15" s="539"/>
      <c r="AU15" s="539"/>
      <c r="AV15" s="338" t="str">
        <f t="shared" ca="1" si="0"/>
        <v>NO_CUMPLE</v>
      </c>
      <c r="AW15" s="338" t="str">
        <f ca="1">IFERROR(__xludf.DUMMYFUNCTION("IFERROR(VLOOKUP(E154&amp;F154,IMPORTRANGE(""https://docs.google.com/spreadsheets/d/1Uw7-A9f9R21vMXxHZFNpYNeKFtG8_yji4HS352LGlSQ/edit?pli=1#gid=0"",""1_ACUM!A4:S""),11,FALSE))"),"EN FORMACION")</f>
        <v>EN FORMACION</v>
      </c>
      <c r="AX15" s="462" t="str">
        <f ca="1">IFERROR(__xludf.DUMMYFUNCTION("IFERROR(VLOOKUP(F154,IMPORTRANGE(""https://docs.google.com/spreadsheets/d/1Kvs4KS76FHFqLFIZfrDMff4kP08nblUkihrxltoGBjg/edit#gid=934712705"",""ESENCIAL!A6:BG""),15,FALSE))"),"TIC")</f>
        <v>TIC</v>
      </c>
      <c r="AY15" s="461">
        <f ca="1">IFERROR(__xludf.DUMMYFUNCTION("IFERROR(VLOOKUP(E154&amp;F154,IMPORTRANGE(""https://docs.google.com/spreadsheets/d/1Uw7-A9f9R21vMXxHZFNpYNeKFtG8_yji4HS352LGlSQ/edit?pli=1#gid=0"",""1_ACUM!A4:S""),13,FALSE))"),4)</f>
        <v>4</v>
      </c>
      <c r="AZ15" s="460">
        <f ca="1">IFERROR(__xludf.DUMMYFUNCTION("IFERROR(VLOOKUP(E154&amp;F154,IMPORTRANGE(""https://docs.google.com/spreadsheets/d/1Uw7-A9f9R21vMXxHZFNpYNeKFtG8_yji4HS352LGlSQ/edit?pli=1#gid=0"",""1_ACUM!A4:S""),13,FALSE))"),4)</f>
        <v>4</v>
      </c>
      <c r="BA15" s="460">
        <f ca="1">IFERROR(__xludf.DUMMYFUNCTION("IFERROR(VLOOKUP(E154&amp;F154,IMPORTRANGE(""https://docs.google.com/spreadsheets/d/1Uw7-A9f9R21vMXxHZFNpYNeKFtG8_yji4HS352LGlSQ/edit?pli=1#gid=0"",""1_ACUM!A4:S""),14,FALSE))"),1)</f>
        <v>1</v>
      </c>
      <c r="BB15" s="460">
        <f ca="1">IFERROR(__xludf.DUMMYFUNCTION("IFERROR(VLOOKUP(E154&amp;F154,IMPORTRANGE(""https://docs.google.com/spreadsheets/d/1Uw7-A9f9R21vMXxHZFNpYNeKFtG8_yji4HS352LGlSQ/edit?pli=1#gid=0"",""1_ACUM!A4:S""),15,FALSE))"),7)</f>
        <v>7</v>
      </c>
      <c r="BC15" s="460">
        <f ca="1">IFERROR(__xludf.DUMMYFUNCTION("IFERROR(VLOOKUP(E154&amp;F154,IMPORTRANGE(""https://docs.google.com/spreadsheets/d/1Uw7-A9f9R21vMXxHZFNpYNeKFtG8_yji4HS352LGlSQ/edit?pli=1#gid=0"",""1_ACUM!A4:S""),16,FALSE))"),7)</f>
        <v>7</v>
      </c>
      <c r="BD15" s="460">
        <f ca="1">IFERROR(__xludf.DUMMYFUNCTION("IFERROR(VLOOKUP(E154&amp;F154,IMPORTRANGE(""https://docs.google.com/spreadsheets/d/1Uw7-A9f9R21vMXxHZFNpYNeKFtG8_yji4HS352LGlSQ/edit?pli=1#gid=0"",""1_ACUM!A4:S""),17,FALSE))"),19)</f>
        <v>19</v>
      </c>
      <c r="BE15" s="461">
        <f ca="1">IFERROR(__xludf.DUMMYFUNCTION("IFERROR(VLOOKUP(E154&amp;F154,IMPORTRANGE(""https://docs.google.com/spreadsheets/d/1Uw7-A9f9R21vMXxHZFNpYNeKFtG8_yji4HS352LGlSQ/edit?pli=1#gid=0"",""1_ACUM!A4:S""),18,FALSE))"),44328)</f>
        <v>44328</v>
      </c>
      <c r="BF15" s="461">
        <f ca="1">IFERROR(__xludf.DUMMYFUNCTION("IFERROR(VLOOKUP(E154&amp;F154,IMPORTRANGE(""https://docs.google.com/spreadsheets/d/1Uw7-A9f9R21vMXxHZFNpYNeKFtG8_yji4HS352LGlSQ/edit?pli=1#gid=0"",""1_ACUM!A4:S""),19,FALSE))"),44876)</f>
        <v>44876</v>
      </c>
      <c r="BG15" s="462">
        <f ca="1">IFERROR(__xludf.DUMMYFUNCTION("IFERROR(VLOOKUP(F154,IMPORTRANGE(""https://docs.google.com/spreadsheets/d/1Kvs4KS76FHFqLFIZfrDMff4kP08nblUkihrxltoGBjg/edit#gid=934712705"",""ESENCIAL!A6:BG""),5,FALSE))"),45057)</f>
        <v>45057</v>
      </c>
      <c r="BH15" s="462">
        <f t="shared" ca="1" si="1"/>
        <v>45607</v>
      </c>
      <c r="BI15" s="338" t="str">
        <f t="shared" ca="1" si="2"/>
        <v>FICHA EN TIEMPO-18 MESES</v>
      </c>
      <c r="BJ15" s="338" t="str">
        <f ca="1">IFERROR(__xludf.DUMMYFUNCTION("IFERROR(VLOOKUP(F154,IMPORTRANGE(""https://docs.google.com/spreadsheets/d/1Kvs4KS76FHFqLFIZfrDMff4kP08nblUkihrxltoGBjg/edit#gid=934712705"",""ESENCIAL!A6:BG""),2,FALSE))"),"En ejecucion")</f>
        <v>En ejecucion</v>
      </c>
      <c r="BK15" s="338" t="str">
        <f t="shared" si="3"/>
        <v>Yamboro</v>
      </c>
      <c r="BL15" s="38"/>
      <c r="BM15" s="38"/>
    </row>
    <row r="16" spans="1:65" s="180" customFormat="1" ht="24">
      <c r="A16" s="164" t="s">
        <v>588</v>
      </c>
      <c r="B16" s="562"/>
      <c r="C16" s="534" t="s">
        <v>25</v>
      </c>
      <c r="D16" s="564" t="s">
        <v>632</v>
      </c>
      <c r="E16" s="217" t="s">
        <v>27</v>
      </c>
      <c r="F16" s="148">
        <v>1083984005</v>
      </c>
      <c r="G16" s="208">
        <v>2326610</v>
      </c>
      <c r="H16" s="338" t="str">
        <f ca="1">IFERROR(__xludf.DUMMYFUNCTION("IFERROR(VLOOKUP(F155,IMPORTRANGE(""https://docs.google.com/spreadsheets/d/1Kvs4KS76FHFqLFIZfrDMff4kP08nblUkihrxltoGBjg/edit#gid=934712705"",""ESENCIAL!A6:BG""),3,FALSE))"),"TECNÓLOGO")</f>
        <v>TECNÓLOGO</v>
      </c>
      <c r="I16" s="338" t="str">
        <f ca="1">IFERROR(__xludf.DUMMYFUNCTION("IFERROR(VLOOKUP(F155,IMPORTRANGE(""https://docs.google.com/spreadsheets/d/1Kvs4KS76FHFqLFIZfrDMff4kP08nblUkihrxltoGBjg/edit#gid=934712705"",""ESENCIAL!A6:BG""),8,FALSE))"),"ANALISIS Y DESARROLLO DE SISTEMAS DE INFORMACION")</f>
        <v>ANALISIS Y DESARROLLO DE SISTEMAS DE INFORMACION</v>
      </c>
      <c r="J16" s="567">
        <v>3508688456</v>
      </c>
      <c r="K16" s="567" t="s">
        <v>633</v>
      </c>
      <c r="L16" s="338" t="s">
        <v>58</v>
      </c>
      <c r="M16" s="570" t="s">
        <v>28</v>
      </c>
      <c r="N16" s="527" t="s">
        <v>612</v>
      </c>
      <c r="O16" s="527" t="s">
        <v>613</v>
      </c>
      <c r="P16" s="527">
        <v>3163832257</v>
      </c>
      <c r="Q16" s="527" t="s">
        <v>96</v>
      </c>
      <c r="R16" s="527" t="s">
        <v>614</v>
      </c>
      <c r="S16" s="525">
        <v>44886</v>
      </c>
      <c r="T16" s="530">
        <v>45066</v>
      </c>
      <c r="U16" s="527"/>
      <c r="V16" s="527"/>
      <c r="W16" s="338"/>
      <c r="X16" s="527"/>
      <c r="Y16" s="527"/>
      <c r="Z16" s="527"/>
      <c r="AA16" s="527"/>
      <c r="AB16" s="527"/>
      <c r="AC16" s="527"/>
      <c r="AD16" s="527"/>
      <c r="AE16" s="527"/>
      <c r="AF16" s="527"/>
      <c r="AG16" s="527"/>
      <c r="AH16" s="527"/>
      <c r="AI16" s="527"/>
      <c r="AJ16" s="527"/>
      <c r="AK16" s="527"/>
      <c r="AL16" s="527"/>
      <c r="AM16" s="527"/>
      <c r="AN16" s="527"/>
      <c r="AO16" s="527"/>
      <c r="AP16" s="527" t="s">
        <v>444</v>
      </c>
      <c r="AQ16" s="527"/>
      <c r="AR16" s="539"/>
      <c r="AS16" s="539"/>
      <c r="AT16" s="539"/>
      <c r="AU16" s="539"/>
      <c r="AV16" s="338" t="str">
        <f t="shared" ca="1" si="0"/>
        <v>NO_CUMPLE</v>
      </c>
      <c r="AW16" s="338" t="str">
        <f ca="1">IFERROR(__xludf.DUMMYFUNCTION("IFERROR(VLOOKUP(E155&amp;F155,IMPORTRANGE(""https://docs.google.com/spreadsheets/d/1Uw7-A9f9R21vMXxHZFNpYNeKFtG8_yji4HS352LGlSQ/edit?pli=1#gid=0"",""1_ACUM!A4:S""),11,FALSE))"),"EN FORMACION")</f>
        <v>EN FORMACION</v>
      </c>
      <c r="AX16" s="462" t="str">
        <f ca="1">IFERROR(__xludf.DUMMYFUNCTION("IFERROR(VLOOKUP(F155,IMPORTRANGE(""https://docs.google.com/spreadsheets/d/1Kvs4KS76FHFqLFIZfrDMff4kP08nblUkihrxltoGBjg/edit#gid=934712705"",""ESENCIAL!A6:BG""),15,FALSE))"),"TIC")</f>
        <v>TIC</v>
      </c>
      <c r="AY16" s="461">
        <f ca="1">IFERROR(__xludf.DUMMYFUNCTION("IFERROR(VLOOKUP(E155&amp;F155,IMPORTRANGE(""https://docs.google.com/spreadsheets/d/1Uw7-A9f9R21vMXxHZFNpYNeKFtG8_yji4HS352LGlSQ/edit?pli=1#gid=0"",""1_ACUM!A4:S""),13,FALSE))"),4)</f>
        <v>4</v>
      </c>
      <c r="AZ16" s="460">
        <f ca="1">IFERROR(__xludf.DUMMYFUNCTION("IFERROR(VLOOKUP(E155&amp;F155,IMPORTRANGE(""https://docs.google.com/spreadsheets/d/1Uw7-A9f9R21vMXxHZFNpYNeKFtG8_yji4HS352LGlSQ/edit?pli=1#gid=0"",""1_ACUM!A4:S""),13,FALSE))"),4)</f>
        <v>4</v>
      </c>
      <c r="BA16" s="460">
        <f ca="1">IFERROR(__xludf.DUMMYFUNCTION("IFERROR(VLOOKUP(E155&amp;F155,IMPORTRANGE(""https://docs.google.com/spreadsheets/d/1Uw7-A9f9R21vMXxHZFNpYNeKFtG8_yji4HS352LGlSQ/edit?pli=1#gid=0"",""1_ACUM!A4:S""),14,FALSE))"),1)</f>
        <v>1</v>
      </c>
      <c r="BB16" s="460">
        <f ca="1">IFERROR(__xludf.DUMMYFUNCTION("IFERROR(VLOOKUP(E155&amp;F155,IMPORTRANGE(""https://docs.google.com/spreadsheets/d/1Uw7-A9f9R21vMXxHZFNpYNeKFtG8_yji4HS352LGlSQ/edit?pli=1#gid=0"",""1_ACUM!A4:S""),15,FALSE))"),5)</f>
        <v>5</v>
      </c>
      <c r="BC16" s="460">
        <f ca="1">IFERROR(__xludf.DUMMYFUNCTION("IFERROR(VLOOKUP(E155&amp;F155,IMPORTRANGE(""https://docs.google.com/spreadsheets/d/1Uw7-A9f9R21vMXxHZFNpYNeKFtG8_yji4HS352LGlSQ/edit?pli=1#gid=0"",""1_ACUM!A4:S""),16,FALSE))"),7)</f>
        <v>7</v>
      </c>
      <c r="BD16" s="460">
        <f ca="1">IFERROR(__xludf.DUMMYFUNCTION("IFERROR(VLOOKUP(E155&amp;F155,IMPORTRANGE(""https://docs.google.com/spreadsheets/d/1Uw7-A9f9R21vMXxHZFNpYNeKFtG8_yji4HS352LGlSQ/edit?pli=1#gid=0"",""1_ACUM!A4:S""),17,FALSE))"),17)</f>
        <v>17</v>
      </c>
      <c r="BE16" s="461">
        <f ca="1">IFERROR(__xludf.DUMMYFUNCTION("IFERROR(VLOOKUP(E155&amp;F155,IMPORTRANGE(""https://docs.google.com/spreadsheets/d/1Uw7-A9f9R21vMXxHZFNpYNeKFtG8_yji4HS352LGlSQ/edit?pli=1#gid=0"",""1_ACUM!A4:S""),18,FALSE))"),44328)</f>
        <v>44328</v>
      </c>
      <c r="BF16" s="461">
        <f ca="1">IFERROR(__xludf.DUMMYFUNCTION("IFERROR(VLOOKUP(E155&amp;F155,IMPORTRANGE(""https://docs.google.com/spreadsheets/d/1Uw7-A9f9R21vMXxHZFNpYNeKFtG8_yji4HS352LGlSQ/edit?pli=1#gid=0"",""1_ACUM!A4:S""),19,FALSE))"),44876)</f>
        <v>44876</v>
      </c>
      <c r="BG16" s="462">
        <f ca="1">IFERROR(__xludf.DUMMYFUNCTION("IFERROR(VLOOKUP(F155,IMPORTRANGE(""https://docs.google.com/spreadsheets/d/1Kvs4KS76FHFqLFIZfrDMff4kP08nblUkihrxltoGBjg/edit#gid=934712705"",""ESENCIAL!A6:BG""),5,FALSE))"),45057)</f>
        <v>45057</v>
      </c>
      <c r="BH16" s="462">
        <f t="shared" ca="1" si="1"/>
        <v>45607</v>
      </c>
      <c r="BI16" s="338" t="str">
        <f t="shared" ca="1" si="2"/>
        <v>FICHA EN TIEMPO-18 MESES</v>
      </c>
      <c r="BJ16" s="338" t="str">
        <f ca="1">IFERROR(__xludf.DUMMYFUNCTION("IFERROR(VLOOKUP(F155,IMPORTRANGE(""https://docs.google.com/spreadsheets/d/1Kvs4KS76FHFqLFIZfrDMff4kP08nblUkihrxltoGBjg/edit#gid=934712705"",""ESENCIAL!A6:BG""),2,FALSE))"),"En ejecucion")</f>
        <v>En ejecucion</v>
      </c>
      <c r="BK16" s="338" t="str">
        <f t="shared" si="3"/>
        <v>Yamboro</v>
      </c>
      <c r="BL16" s="38"/>
      <c r="BM16" s="38"/>
    </row>
    <row r="17" spans="1:65" ht="24">
      <c r="A17" s="164" t="s">
        <v>588</v>
      </c>
      <c r="B17" s="562"/>
      <c r="C17" s="534" t="s">
        <v>25</v>
      </c>
      <c r="D17" s="564" t="s">
        <v>634</v>
      </c>
      <c r="E17" s="217" t="s">
        <v>27</v>
      </c>
      <c r="F17" s="149">
        <v>1003808338</v>
      </c>
      <c r="G17" s="208">
        <v>2280204</v>
      </c>
      <c r="H17" s="338" t="str">
        <f ca="1">IFERROR(__xludf.DUMMYFUNCTION("IFERROR(VLOOKUP(F217,IMPORTRANGE(""https://docs.google.com/spreadsheets/d/1Kvs4KS76FHFqLFIZfrDMff4kP08nblUkihrxltoGBjg/edit#gid=934712705"",""ESENCIAL!A6:BG""),3,FALSE))"),"TECNÓLOGO")</f>
        <v>TECNÓLOGO</v>
      </c>
      <c r="I17" s="338" t="str">
        <f ca="1">IFERROR(__xludf.DUMMYFUNCTION("IFERROR(VLOOKUP(F217,IMPORTRANGE(""https://docs.google.com/spreadsheets/d/1Kvs4KS76FHFqLFIZfrDMff4kP08nblUkihrxltoGBjg/edit#gid=934712705"",""ESENCIAL!A6:BG""),8,FALSE))"),"ANALISIS Y DESARROLLO DE SISTEMAS DE INFORMACION")</f>
        <v>ANALISIS Y DESARROLLO DE SISTEMAS DE INFORMACION</v>
      </c>
      <c r="J17" s="208">
        <v>3209682703</v>
      </c>
      <c r="K17" s="571" t="s">
        <v>635</v>
      </c>
      <c r="L17" s="208" t="s">
        <v>421</v>
      </c>
      <c r="M17" s="570" t="s">
        <v>28</v>
      </c>
      <c r="N17" s="527" t="s">
        <v>113</v>
      </c>
      <c r="O17" s="527" t="s">
        <v>636</v>
      </c>
      <c r="P17" s="527" t="s">
        <v>637</v>
      </c>
      <c r="Q17" s="527" t="s">
        <v>115</v>
      </c>
      <c r="R17" s="527" t="s">
        <v>638</v>
      </c>
      <c r="S17" s="525">
        <v>44868</v>
      </c>
      <c r="T17" s="530">
        <v>45048</v>
      </c>
      <c r="U17" s="527"/>
      <c r="V17" s="527"/>
      <c r="W17" s="338"/>
      <c r="X17" s="527"/>
      <c r="Y17" s="527"/>
      <c r="Z17" s="527"/>
      <c r="AA17" s="527"/>
      <c r="AB17" s="527"/>
      <c r="AC17" s="527"/>
      <c r="AD17" s="527"/>
      <c r="AE17" s="527"/>
      <c r="AF17" s="527"/>
      <c r="AG17" s="527"/>
      <c r="AH17" s="527"/>
      <c r="AI17" s="527"/>
      <c r="AJ17" s="527"/>
      <c r="AK17" s="527"/>
      <c r="AL17" s="527"/>
      <c r="AM17" s="527"/>
      <c r="AN17" s="527"/>
      <c r="AO17" s="527"/>
      <c r="AP17" s="527" t="s">
        <v>444</v>
      </c>
      <c r="AQ17" s="527"/>
      <c r="AR17" s="164"/>
      <c r="AS17" s="164"/>
      <c r="AT17" s="164"/>
      <c r="AU17" s="164"/>
      <c r="AV17" s="338" t="str">
        <f t="shared" ca="1" si="0"/>
        <v>NO_CUMPLE</v>
      </c>
      <c r="AW17" s="338" t="str">
        <f ca="1">IFERROR(__xludf.DUMMYFUNCTION("IFERROR(VLOOKUP(E217&amp;F217,IMPORTRANGE(""https://docs.google.com/spreadsheets/d/1Uw7-A9f9R21vMXxHZFNpYNeKFtG8_yji4HS352LGlSQ/edit?pli=1#gid=0"",""1_ACUM!A4:S""),11,FALSE))"),"EN FORMACION")</f>
        <v>EN FORMACION</v>
      </c>
      <c r="AX17" s="462" t="str">
        <f ca="1">IFERROR(__xludf.DUMMYFUNCTION("IFERROR(VLOOKUP(F217,IMPORTRANGE(""https://docs.google.com/spreadsheets/d/1Kvs4KS76FHFqLFIZfrDMff4kP08nblUkihrxltoGBjg/edit#gid=934712705"",""ESENCIAL!A6:BG""),15,FALSE))"),"TIC")</f>
        <v>TIC</v>
      </c>
      <c r="AY17" s="461">
        <f ca="1">IFERROR(__xludf.DUMMYFUNCTION("IFERROR(VLOOKUP(E217&amp;F217,IMPORTRANGE(""https://docs.google.com/spreadsheets/d/1Uw7-A9f9R21vMXxHZFNpYNeKFtG8_yji4HS352LGlSQ/edit?pli=1#gid=0"",""1_ACUM!A4:S""),13,FALSE))"),0)</f>
        <v>0</v>
      </c>
      <c r="AZ17" s="460">
        <f ca="1">IFERROR(__xludf.DUMMYFUNCTION("IFERROR(VLOOKUP(E217&amp;F217,IMPORTRANGE(""https://docs.google.com/spreadsheets/d/1Uw7-A9f9R21vMXxHZFNpYNeKFtG8_yji4HS352LGlSQ/edit?pli=1#gid=0"",""1_ACUM!A4:S""),13,FALSE))"),0)</f>
        <v>0</v>
      </c>
      <c r="BA17" s="460">
        <f ca="1">IFERROR(__xludf.DUMMYFUNCTION("IFERROR(VLOOKUP(E217&amp;F217,IMPORTRANGE(""https://docs.google.com/spreadsheets/d/1Uw7-A9f9R21vMXxHZFNpYNeKFtG8_yji4HS352LGlSQ/edit?pli=1#gid=0"",""1_ACUM!A4:S""),14,FALSE))"),1)</f>
        <v>1</v>
      </c>
      <c r="BB17" s="460">
        <f ca="1">IFERROR(__xludf.DUMMYFUNCTION("IFERROR(VLOOKUP(E217&amp;F217,IMPORTRANGE(""https://docs.google.com/spreadsheets/d/1Uw7-A9f9R21vMXxHZFNpYNeKFtG8_yji4HS352LGlSQ/edit?pli=1#gid=0"",""1_ACUM!A4:S""),15,FALSE))"),11)</f>
        <v>11</v>
      </c>
      <c r="BC17" s="460">
        <f ca="1">IFERROR(__xludf.DUMMYFUNCTION("IFERROR(VLOOKUP(E217&amp;F217,IMPORTRANGE(""https://docs.google.com/spreadsheets/d/1Uw7-A9f9R21vMXxHZFNpYNeKFtG8_yji4HS352LGlSQ/edit?pli=1#gid=0"",""1_ACUM!A4:S""),16,FALSE))"),5)</f>
        <v>5</v>
      </c>
      <c r="BD17" s="460">
        <f ca="1">IFERROR(__xludf.DUMMYFUNCTION("IFERROR(VLOOKUP(E217&amp;F217,IMPORTRANGE(""https://docs.google.com/spreadsheets/d/1Uw7-A9f9R21vMXxHZFNpYNeKFtG8_yji4HS352LGlSQ/edit?pli=1#gid=0"",""1_ACUM!A4:S""),17,FALSE))"),17)</f>
        <v>17</v>
      </c>
      <c r="BE17" s="461">
        <f ca="1">IFERROR(__xludf.DUMMYFUNCTION("IFERROR(VLOOKUP(E217&amp;F217,IMPORTRANGE(""https://docs.google.com/spreadsheets/d/1Uw7-A9f9R21vMXxHZFNpYNeKFtG8_yji4HS352LGlSQ/edit?pli=1#gid=0"",""1_ACUM!A4:S""),18,FALSE))"),44301)</f>
        <v>44301</v>
      </c>
      <c r="BF17" s="461">
        <f ca="1">IFERROR(__xludf.DUMMYFUNCTION("IFERROR(VLOOKUP(E217&amp;F217,IMPORTRANGE(""https://docs.google.com/spreadsheets/d/1Uw7-A9f9R21vMXxHZFNpYNeKFtG8_yji4HS352LGlSQ/edit?pli=1#gid=0"",""1_ACUM!A4:S""),19,FALSE))"),44848)</f>
        <v>44848</v>
      </c>
      <c r="BG17" s="462">
        <f ca="1">IFERROR(__xludf.DUMMYFUNCTION("IFERROR(VLOOKUP(F217,IMPORTRANGE(""https://docs.google.com/spreadsheets/d/1Kvs4KS76FHFqLFIZfrDMff4kP08nblUkihrxltoGBjg/edit#gid=934712705"",""ESENCIAL!A6:BG""),5,FALSE))"),45030)</f>
        <v>45030</v>
      </c>
      <c r="BH17" s="462">
        <f t="shared" ca="1" si="1"/>
        <v>45579</v>
      </c>
      <c r="BI17" s="338" t="str">
        <f t="shared" ca="1" si="2"/>
        <v>FICHA EN TIEMPO-18 MESES</v>
      </c>
      <c r="BJ17" s="338" t="str">
        <f ca="1">IFERROR(__xludf.DUMMYFUNCTION("IFERROR(VLOOKUP(F217,IMPORTRANGE(""https://docs.google.com/spreadsheets/d/1Kvs4KS76FHFqLFIZfrDMff4kP08nblUkihrxltoGBjg/edit#gid=934712705"",""ESENCIAL!A6:BG""),2,FALSE))"),"En ejecucion")</f>
        <v>En ejecucion</v>
      </c>
      <c r="BK17" s="338" t="str">
        <f t="shared" si="3"/>
        <v>Yamboro</v>
      </c>
      <c r="BL17" s="38"/>
      <c r="BM17" s="38"/>
    </row>
    <row r="18" spans="1:65" ht="24">
      <c r="A18" s="164" t="s">
        <v>588</v>
      </c>
      <c r="B18" s="562"/>
      <c r="C18" s="534" t="s">
        <v>25</v>
      </c>
      <c r="D18" s="564" t="s">
        <v>639</v>
      </c>
      <c r="E18" s="217" t="s">
        <v>27</v>
      </c>
      <c r="F18" s="149">
        <v>1015994112</v>
      </c>
      <c r="G18" s="208">
        <v>2280204</v>
      </c>
      <c r="H18" s="338" t="str">
        <f ca="1">IFERROR(__xludf.DUMMYFUNCTION("IFERROR(VLOOKUP(F228,IMPORTRANGE(""https://docs.google.com/spreadsheets/d/1Kvs4KS76FHFqLFIZfrDMff4kP08nblUkihrxltoGBjg/edit#gid=934712705"",""ESENCIAL!A6:BG""),3,FALSE))"),"TECNÓLOGO")</f>
        <v>TECNÓLOGO</v>
      </c>
      <c r="I18" s="338" t="str">
        <f ca="1">IFERROR(__xludf.DUMMYFUNCTION("IFERROR(VLOOKUP(F228,IMPORTRANGE(""https://docs.google.com/spreadsheets/d/1Kvs4KS76FHFqLFIZfrDMff4kP08nblUkihrxltoGBjg/edit#gid=934712705"",""ESENCIAL!A6:BG""),8,FALSE))"),"ANALISIS Y DESARROLLO DE SISTEMAS DE INFORMACION")</f>
        <v>ANALISIS Y DESARROLLO DE SISTEMAS DE INFORMACION</v>
      </c>
      <c r="J18" s="567">
        <v>3208646917</v>
      </c>
      <c r="K18" s="567" t="s">
        <v>640</v>
      </c>
      <c r="L18" s="338" t="s">
        <v>84</v>
      </c>
      <c r="M18" s="570" t="s">
        <v>28</v>
      </c>
      <c r="N18" s="527" t="s">
        <v>641</v>
      </c>
      <c r="O18" s="527" t="s">
        <v>642</v>
      </c>
      <c r="P18" s="527">
        <v>3242332756</v>
      </c>
      <c r="Q18" s="527" t="s">
        <v>102</v>
      </c>
      <c r="R18" s="527" t="s">
        <v>643</v>
      </c>
      <c r="S18" s="525">
        <v>44875</v>
      </c>
      <c r="T18" s="530">
        <v>45055</v>
      </c>
      <c r="U18" s="527"/>
      <c r="V18" s="527"/>
      <c r="W18" s="338"/>
      <c r="X18" s="527"/>
      <c r="Y18" s="527"/>
      <c r="Z18" s="527"/>
      <c r="AA18" s="527"/>
      <c r="AB18" s="527"/>
      <c r="AC18" s="527"/>
      <c r="AD18" s="527"/>
      <c r="AE18" s="527"/>
      <c r="AF18" s="527"/>
      <c r="AG18" s="527"/>
      <c r="AH18" s="527"/>
      <c r="AI18" s="527"/>
      <c r="AJ18" s="527"/>
      <c r="AK18" s="527"/>
      <c r="AL18" s="527"/>
      <c r="AM18" s="527"/>
      <c r="AN18" s="527"/>
      <c r="AO18" s="527"/>
      <c r="AP18" s="527" t="s">
        <v>444</v>
      </c>
      <c r="AQ18" s="527"/>
      <c r="AR18" s="164"/>
      <c r="AS18" s="164"/>
      <c r="AT18" s="164"/>
      <c r="AU18" s="164"/>
      <c r="AV18" s="338" t="str">
        <f t="shared" ca="1" si="0"/>
        <v>NO_CUMPLE</v>
      </c>
      <c r="AW18" s="338" t="str">
        <f ca="1">IFERROR(__xludf.DUMMYFUNCTION("IFERROR(VLOOKUP(E228&amp;F228,IMPORTRANGE(""https://docs.google.com/spreadsheets/d/1Uw7-A9f9R21vMXxHZFNpYNeKFtG8_yji4HS352LGlSQ/edit?pli=1#gid=0"",""1_ACUM!A4:S""),11,FALSE))"),"EN FORMACION")</f>
        <v>EN FORMACION</v>
      </c>
      <c r="AX18" s="462" t="str">
        <f ca="1">IFERROR(__xludf.DUMMYFUNCTION("IFERROR(VLOOKUP(F228,IMPORTRANGE(""https://docs.google.com/spreadsheets/d/1Kvs4KS76FHFqLFIZfrDMff4kP08nblUkihrxltoGBjg/edit#gid=934712705"",""ESENCIAL!A6:BG""),15,FALSE))"),"TIC")</f>
        <v>TIC</v>
      </c>
      <c r="AY18" s="461">
        <f ca="1">IFERROR(__xludf.DUMMYFUNCTION("IFERROR(VLOOKUP(E228&amp;F228,IMPORTRANGE(""https://docs.google.com/spreadsheets/d/1Uw7-A9f9R21vMXxHZFNpYNeKFtG8_yji4HS352LGlSQ/edit?pli=1#gid=0"",""1_ACUM!A4:S""),13,FALSE))"),0)</f>
        <v>0</v>
      </c>
      <c r="AZ18" s="460">
        <f ca="1">IFERROR(__xludf.DUMMYFUNCTION("IFERROR(VLOOKUP(E228&amp;F228,IMPORTRANGE(""https://docs.google.com/spreadsheets/d/1Uw7-A9f9R21vMXxHZFNpYNeKFtG8_yji4HS352LGlSQ/edit?pli=1#gid=0"",""1_ACUM!A4:S""),13,FALSE))"),0)</f>
        <v>0</v>
      </c>
      <c r="BA18" s="460">
        <f ca="1">IFERROR(__xludf.DUMMYFUNCTION("IFERROR(VLOOKUP(E228&amp;F228,IMPORTRANGE(""https://docs.google.com/spreadsheets/d/1Uw7-A9f9R21vMXxHZFNpYNeKFtG8_yji4HS352LGlSQ/edit?pli=1#gid=0"",""1_ACUM!A4:S""),14,FALSE))"),1)</f>
        <v>1</v>
      </c>
      <c r="BB18" s="460">
        <f ca="1">IFERROR(__xludf.DUMMYFUNCTION("IFERROR(VLOOKUP(E228&amp;F228,IMPORTRANGE(""https://docs.google.com/spreadsheets/d/1Uw7-A9f9R21vMXxHZFNpYNeKFtG8_yji4HS352LGlSQ/edit?pli=1#gid=0"",""1_ACUM!A4:S""),15,FALSE))"),7)</f>
        <v>7</v>
      </c>
      <c r="BC18" s="460">
        <f ca="1">IFERROR(__xludf.DUMMYFUNCTION("IFERROR(VLOOKUP(E228&amp;F228,IMPORTRANGE(""https://docs.google.com/spreadsheets/d/1Uw7-A9f9R21vMXxHZFNpYNeKFtG8_yji4HS352LGlSQ/edit?pli=1#gid=0"",""1_ACUM!A4:S""),16,FALSE))"),5)</f>
        <v>5</v>
      </c>
      <c r="BD18" s="460">
        <f ca="1">IFERROR(__xludf.DUMMYFUNCTION("IFERROR(VLOOKUP(E228&amp;F228,IMPORTRANGE(""https://docs.google.com/spreadsheets/d/1Uw7-A9f9R21vMXxHZFNpYNeKFtG8_yji4HS352LGlSQ/edit?pli=1#gid=0"",""1_ACUM!A4:S""),17,FALSE))"),13)</f>
        <v>13</v>
      </c>
      <c r="BE18" s="461">
        <f ca="1">IFERROR(__xludf.DUMMYFUNCTION("IFERROR(VLOOKUP(E228&amp;F228,IMPORTRANGE(""https://docs.google.com/spreadsheets/d/1Uw7-A9f9R21vMXxHZFNpYNeKFtG8_yji4HS352LGlSQ/edit?pli=1#gid=0"",""1_ACUM!A4:S""),18,FALSE))"),44301)</f>
        <v>44301</v>
      </c>
      <c r="BF18" s="461">
        <f ca="1">IFERROR(__xludf.DUMMYFUNCTION("IFERROR(VLOOKUP(E228&amp;F228,IMPORTRANGE(""https://docs.google.com/spreadsheets/d/1Uw7-A9f9R21vMXxHZFNpYNeKFtG8_yji4HS352LGlSQ/edit?pli=1#gid=0"",""1_ACUM!A4:S""),19,FALSE))"),44848)</f>
        <v>44848</v>
      </c>
      <c r="BG18" s="462">
        <f ca="1">IFERROR(__xludf.DUMMYFUNCTION("IFERROR(VLOOKUP(F228,IMPORTRANGE(""https://docs.google.com/spreadsheets/d/1Kvs4KS76FHFqLFIZfrDMff4kP08nblUkihrxltoGBjg/edit#gid=934712705"",""ESENCIAL!A6:BG""),5,FALSE))"),45030)</f>
        <v>45030</v>
      </c>
      <c r="BH18" s="462">
        <f t="shared" ca="1" si="1"/>
        <v>45579</v>
      </c>
      <c r="BI18" s="338" t="str">
        <f t="shared" ca="1" si="2"/>
        <v>FICHA EN TIEMPO-18 MESES</v>
      </c>
      <c r="BJ18" s="338" t="str">
        <f ca="1">IFERROR(__xludf.DUMMYFUNCTION("IFERROR(VLOOKUP(F228,IMPORTRANGE(""https://docs.google.com/spreadsheets/d/1Kvs4KS76FHFqLFIZfrDMff4kP08nblUkihrxltoGBjg/edit#gid=934712705"",""ESENCIAL!A6:BG""),2,FALSE))"),"En ejecucion")</f>
        <v>En ejecucion</v>
      </c>
      <c r="BK18" s="338" t="str">
        <f t="shared" si="3"/>
        <v>Yamboro</v>
      </c>
      <c r="BL18" s="38"/>
      <c r="BM18" s="38"/>
    </row>
    <row r="19" spans="1:65" s="180" customFormat="1" ht="24">
      <c r="A19" s="164" t="s">
        <v>588</v>
      </c>
      <c r="B19" s="562"/>
      <c r="C19" s="534" t="s">
        <v>25</v>
      </c>
      <c r="D19" s="564" t="s">
        <v>644</v>
      </c>
      <c r="E19" s="217" t="s">
        <v>27</v>
      </c>
      <c r="F19" s="149">
        <v>1083865788</v>
      </c>
      <c r="G19" s="208">
        <v>2280204</v>
      </c>
      <c r="H19" s="338" t="str">
        <f ca="1">IFERROR(__xludf.DUMMYFUNCTION("IFERROR(VLOOKUP(F231,IMPORTRANGE(""https://docs.google.com/spreadsheets/d/1Kvs4KS76FHFqLFIZfrDMff4kP08nblUkihrxltoGBjg/edit#gid=934712705"",""ESENCIAL!A6:BG""),3,FALSE))"),"TECNÓLOGO")</f>
        <v>TECNÓLOGO</v>
      </c>
      <c r="I19" s="338" t="str">
        <f ca="1">IFERROR(__xludf.DUMMYFUNCTION("IFERROR(VLOOKUP(F231,IMPORTRANGE(""https://docs.google.com/spreadsheets/d/1Kvs4KS76FHFqLFIZfrDMff4kP08nblUkihrxltoGBjg/edit#gid=934712705"",""ESENCIAL!A6:BG""),8,FALSE))"),"ANALISIS Y DESARROLLO DE SISTEMAS DE INFORMACION")</f>
        <v>ANALISIS Y DESARROLLO DE SISTEMAS DE INFORMACION</v>
      </c>
      <c r="J19" s="208">
        <v>3223562765</v>
      </c>
      <c r="K19" s="571" t="s">
        <v>645</v>
      </c>
      <c r="L19" s="208" t="s">
        <v>646</v>
      </c>
      <c r="M19" s="208" t="s">
        <v>250</v>
      </c>
      <c r="N19" s="527" t="s">
        <v>647</v>
      </c>
      <c r="O19" s="527" t="s">
        <v>648</v>
      </c>
      <c r="P19" s="527">
        <v>6558455</v>
      </c>
      <c r="Q19" s="527"/>
      <c r="R19" s="527"/>
      <c r="S19" s="525">
        <v>44873</v>
      </c>
      <c r="T19" s="530">
        <v>45053</v>
      </c>
      <c r="U19" s="527"/>
      <c r="V19" s="338" t="s">
        <v>649</v>
      </c>
      <c r="W19" s="338"/>
      <c r="X19" s="527"/>
      <c r="Y19" s="527"/>
      <c r="Z19" s="527"/>
      <c r="AA19" s="527"/>
      <c r="AB19" s="527"/>
      <c r="AC19" s="527"/>
      <c r="AD19" s="527"/>
      <c r="AE19" s="527"/>
      <c r="AF19" s="527"/>
      <c r="AG19" s="527"/>
      <c r="AH19" s="527"/>
      <c r="AI19" s="527"/>
      <c r="AJ19" s="527"/>
      <c r="AK19" s="527"/>
      <c r="AL19" s="527"/>
      <c r="AM19" s="527"/>
      <c r="AN19" s="527"/>
      <c r="AO19" s="527"/>
      <c r="AP19" s="527" t="s">
        <v>444</v>
      </c>
      <c r="AQ19" s="527"/>
      <c r="AR19" s="164"/>
      <c r="AS19" s="164"/>
      <c r="AT19" s="164"/>
      <c r="AU19" s="164" t="s">
        <v>650</v>
      </c>
      <c r="AV19" s="338" t="str">
        <f t="shared" ca="1" si="0"/>
        <v>NO_CUMPLE</v>
      </c>
      <c r="AW19" s="338" t="str">
        <f ca="1">IFERROR(__xludf.DUMMYFUNCTION("IFERROR(VLOOKUP(E231&amp;F231,IMPORTRANGE(""https://docs.google.com/spreadsheets/d/1Uw7-A9f9R21vMXxHZFNpYNeKFtG8_yji4HS352LGlSQ/edit?pli=1#gid=0"",""1_ACUM!A4:S""),11,FALSE))"),"EN FORMACION")</f>
        <v>EN FORMACION</v>
      </c>
      <c r="AX19" s="462" t="str">
        <f ca="1">IFERROR(__xludf.DUMMYFUNCTION("IFERROR(VLOOKUP(F231,IMPORTRANGE(""https://docs.google.com/spreadsheets/d/1Kvs4KS76FHFqLFIZfrDMff4kP08nblUkihrxltoGBjg/edit#gid=934712705"",""ESENCIAL!A6:BG""),15,FALSE))"),"TIC")</f>
        <v>TIC</v>
      </c>
      <c r="AY19" s="461">
        <f ca="1">IFERROR(__xludf.DUMMYFUNCTION("IFERROR(VLOOKUP(E231&amp;F231,IMPORTRANGE(""https://docs.google.com/spreadsheets/d/1Uw7-A9f9R21vMXxHZFNpYNeKFtG8_yji4HS352LGlSQ/edit?pli=1#gid=0"",""1_ACUM!A4:S""),13,FALSE))"),0)</f>
        <v>0</v>
      </c>
      <c r="AZ19" s="460">
        <f ca="1">IFERROR(__xludf.DUMMYFUNCTION("IFERROR(VLOOKUP(E231&amp;F231,IMPORTRANGE(""https://docs.google.com/spreadsheets/d/1Uw7-A9f9R21vMXxHZFNpYNeKFtG8_yji4HS352LGlSQ/edit?pli=1#gid=0"",""1_ACUM!A4:S""),13,FALSE))"),0)</f>
        <v>0</v>
      </c>
      <c r="BA19" s="460">
        <f ca="1">IFERROR(__xludf.DUMMYFUNCTION("IFERROR(VLOOKUP(E231&amp;F231,IMPORTRANGE(""https://docs.google.com/spreadsheets/d/1Uw7-A9f9R21vMXxHZFNpYNeKFtG8_yji4HS352LGlSQ/edit?pli=1#gid=0"",""1_ACUM!A4:S""),14,FALSE))"),1)</f>
        <v>1</v>
      </c>
      <c r="BB19" s="460">
        <f ca="1">IFERROR(__xludf.DUMMYFUNCTION("IFERROR(VLOOKUP(E231&amp;F231,IMPORTRANGE(""https://docs.google.com/spreadsheets/d/1Uw7-A9f9R21vMXxHZFNpYNeKFtG8_yji4HS352LGlSQ/edit?pli=1#gid=0"",""1_ACUM!A4:S""),15,FALSE))"),9)</f>
        <v>9</v>
      </c>
      <c r="BC19" s="460">
        <f ca="1">IFERROR(__xludf.DUMMYFUNCTION("IFERROR(VLOOKUP(E231&amp;F231,IMPORTRANGE(""https://docs.google.com/spreadsheets/d/1Uw7-A9f9R21vMXxHZFNpYNeKFtG8_yji4HS352LGlSQ/edit?pli=1#gid=0"",""1_ACUM!A4:S""),16,FALSE))"),5)</f>
        <v>5</v>
      </c>
      <c r="BD19" s="460">
        <f ca="1">IFERROR(__xludf.DUMMYFUNCTION("IFERROR(VLOOKUP(E231&amp;F231,IMPORTRANGE(""https://docs.google.com/spreadsheets/d/1Uw7-A9f9R21vMXxHZFNpYNeKFtG8_yji4HS352LGlSQ/edit?pli=1#gid=0"",""1_ACUM!A4:S""),17,FALSE))"),15)</f>
        <v>15</v>
      </c>
      <c r="BE19" s="461">
        <f ca="1">IFERROR(__xludf.DUMMYFUNCTION("IFERROR(VLOOKUP(E231&amp;F231,IMPORTRANGE(""https://docs.google.com/spreadsheets/d/1Uw7-A9f9R21vMXxHZFNpYNeKFtG8_yji4HS352LGlSQ/edit?pli=1#gid=0"",""1_ACUM!A4:S""),18,FALSE))"),44301)</f>
        <v>44301</v>
      </c>
      <c r="BF19" s="461">
        <f ca="1">IFERROR(__xludf.DUMMYFUNCTION("IFERROR(VLOOKUP(E231&amp;F231,IMPORTRANGE(""https://docs.google.com/spreadsheets/d/1Uw7-A9f9R21vMXxHZFNpYNeKFtG8_yji4HS352LGlSQ/edit?pli=1#gid=0"",""1_ACUM!A4:S""),19,FALSE))"),44848)</f>
        <v>44848</v>
      </c>
      <c r="BG19" s="462">
        <f ca="1">IFERROR(__xludf.DUMMYFUNCTION("IFERROR(VLOOKUP(F231,IMPORTRANGE(""https://docs.google.com/spreadsheets/d/1Kvs4KS76FHFqLFIZfrDMff4kP08nblUkihrxltoGBjg/edit#gid=934712705"",""ESENCIAL!A6:BG""),5,FALSE))"),45030)</f>
        <v>45030</v>
      </c>
      <c r="BH19" s="462">
        <f t="shared" ca="1" si="1"/>
        <v>45579</v>
      </c>
      <c r="BI19" s="338" t="str">
        <f t="shared" ca="1" si="2"/>
        <v>FICHA EN TIEMPO-18 MESES</v>
      </c>
      <c r="BJ19" s="338" t="str">
        <f ca="1">IFERROR(__xludf.DUMMYFUNCTION("IFERROR(VLOOKUP(F231,IMPORTRANGE(""https://docs.google.com/spreadsheets/d/1Kvs4KS76FHFqLFIZfrDMff4kP08nblUkihrxltoGBjg/edit#gid=934712705"",""ESENCIAL!A6:BG""),2,FALSE))"),"En ejecucion")</f>
        <v>En ejecucion</v>
      </c>
      <c r="BK19" s="338" t="str">
        <f t="shared" si="3"/>
        <v>Yamboro</v>
      </c>
      <c r="BL19" s="38"/>
      <c r="BM19" s="38"/>
    </row>
    <row r="20" spans="1:65" ht="24">
      <c r="A20" s="164" t="s">
        <v>651</v>
      </c>
      <c r="B20" s="562"/>
      <c r="C20" s="534" t="s">
        <v>25</v>
      </c>
      <c r="D20" s="563" t="s">
        <v>652</v>
      </c>
      <c r="E20" s="451" t="s">
        <v>27</v>
      </c>
      <c r="F20" s="451">
        <v>1003035933</v>
      </c>
      <c r="G20" s="451">
        <v>2236082</v>
      </c>
      <c r="H20" s="338" t="str">
        <f ca="1">IFERROR(__xludf.DUMMYFUNCTION("IFERROR(VLOOKUP(F20,IMPORTRANGE(""https://docs.google.com/spreadsheets/d/1Kvs4KS76FHFqLFIZfrDMff4kP08nblUkihrxltoGBjg/edit#gid=934712705"",""ESENCIAL!A6:BG""),3,FALSE))"),"TÉCNICO")</f>
        <v>TÉCNICO</v>
      </c>
      <c r="I20" s="338" t="str">
        <f ca="1">IFERROR(__xludf.DUMMYFUNCTION("IFERROR(VLOOKUP(F20,IMPORTRANGE(""https://docs.google.com/spreadsheets/d/1Kvs4KS76FHFqLFIZfrDMff4kP08nblUkihrxltoGBjg/edit#gid=934712705"",""ESENCIAL!A6:BG""),8,FALSE))"),"SISTEMAS.")</f>
        <v>SISTEMAS.</v>
      </c>
      <c r="J20" s="523">
        <v>3232317132</v>
      </c>
      <c r="K20" s="572" t="s">
        <v>653</v>
      </c>
      <c r="L20" s="523" t="s">
        <v>84</v>
      </c>
      <c r="M20" s="570" t="s">
        <v>44</v>
      </c>
      <c r="N20" s="451"/>
      <c r="O20" s="451"/>
      <c r="P20" s="451"/>
      <c r="Q20" s="451"/>
      <c r="R20" s="451"/>
      <c r="S20" s="525"/>
      <c r="T20" s="526"/>
      <c r="U20" s="451"/>
      <c r="V20" s="451" t="s">
        <v>654</v>
      </c>
      <c r="W20" s="450"/>
      <c r="X20" s="527"/>
      <c r="Y20" s="527"/>
      <c r="Z20" s="527"/>
      <c r="AA20" s="527"/>
      <c r="AB20" s="527"/>
      <c r="AC20" s="527"/>
      <c r="AD20" s="527"/>
      <c r="AE20" s="527"/>
      <c r="AF20" s="527"/>
      <c r="AG20" s="527"/>
      <c r="AH20" s="527"/>
      <c r="AI20" s="527"/>
      <c r="AJ20" s="527"/>
      <c r="AK20" s="527"/>
      <c r="AL20" s="527"/>
      <c r="AM20" s="527"/>
      <c r="AN20" s="527"/>
      <c r="AO20" s="527"/>
      <c r="AP20" s="527"/>
      <c r="AQ20" s="527"/>
      <c r="AR20" s="164"/>
      <c r="AS20" s="164"/>
      <c r="AT20" s="164"/>
      <c r="AU20" s="164"/>
      <c r="AV20" s="338" t="str">
        <f t="shared" ca="1" si="0"/>
        <v>Procede_E_P</v>
      </c>
      <c r="AW20" s="338" t="str">
        <f ca="1">IFERROR(__xludf.DUMMYFUNCTION("IFERROR(VLOOKUP(E20&amp;F20,IMPORTRANGE(""https://docs.google.com/spreadsheets/d/1Uw7-A9f9R21vMXxHZFNpYNeKFtG8_yji4HS352LGlSQ/edit?pli=1#gid=0"",""1_ACUM!A4:S""),11,FALSE))"),"EN FORMACION")</f>
        <v>EN FORMACION</v>
      </c>
      <c r="AX20" s="462" t="str">
        <f ca="1">IFERROR(__xludf.DUMMYFUNCTION("IFERROR(VLOOKUP(F20,IMPORTRANGE(""https://docs.google.com/spreadsheets/d/1Kvs4KS76FHFqLFIZfrDMff4kP08nblUkihrxltoGBjg/edit#gid=934712705"",""ESENCIAL!A6:BG""),15,FALSE))"),"TIC")</f>
        <v>TIC</v>
      </c>
      <c r="AY20" s="461">
        <f ca="1">IFERROR(__xludf.DUMMYFUNCTION("IFERROR(VLOOKUP(E20&amp;F20,IMPORTRANGE(""https://docs.google.com/spreadsheets/d/1Uw7-A9f9R21vMXxHZFNpYNeKFtG8_yji4HS352LGlSQ/edit?pli=1#gid=0"",""1_ACUM!A4:S""),13,FALSE))"),0)</f>
        <v>0</v>
      </c>
      <c r="AZ20" s="460">
        <f ca="1">IFERROR(__xludf.DUMMYFUNCTION("IFERROR(VLOOKUP(E20&amp;F20,IMPORTRANGE(""https://docs.google.com/spreadsheets/d/1Uw7-A9f9R21vMXxHZFNpYNeKFtG8_yji4HS352LGlSQ/edit?pli=1#gid=0"",""1_ACUM!A4:S""),13,FALSE))"),0)</f>
        <v>0</v>
      </c>
      <c r="BA20" s="460">
        <f ca="1">IFERROR(__xludf.DUMMYFUNCTION("IFERROR(VLOOKUP(E20&amp;F20,IMPORTRANGE(""https://docs.google.com/spreadsheets/d/1Uw7-A9f9R21vMXxHZFNpYNeKFtG8_yji4HS352LGlSQ/edit?pli=1#gid=0"",""1_ACUM!A4:S""),14,FALSE))"),1)</f>
        <v>1</v>
      </c>
      <c r="BB20" s="460">
        <f ca="1">IFERROR(__xludf.DUMMYFUNCTION("IFERROR(VLOOKUP(E20&amp;F20,IMPORTRANGE(""https://docs.google.com/spreadsheets/d/1Uw7-A9f9R21vMXxHZFNpYNeKFtG8_yji4HS352LGlSQ/edit?pli=1#gid=0"",""1_ACUM!A4:S""),15,FALSE))"),0)</f>
        <v>0</v>
      </c>
      <c r="BC20" s="460">
        <f ca="1">IFERROR(__xludf.DUMMYFUNCTION("IFERROR(VLOOKUP(E20&amp;F20,IMPORTRANGE(""https://docs.google.com/spreadsheets/d/1Uw7-A9f9R21vMXxHZFNpYNeKFtG8_yji4HS352LGlSQ/edit?pli=1#gid=0"",""1_ACUM!A4:S""),16,FALSE))"),0)</f>
        <v>0</v>
      </c>
      <c r="BD20" s="460">
        <f ca="1">IFERROR(__xludf.DUMMYFUNCTION("IFERROR(VLOOKUP(E20&amp;F20,IMPORTRANGE(""https://docs.google.com/spreadsheets/d/1Uw7-A9f9R21vMXxHZFNpYNeKFtG8_yji4HS352LGlSQ/edit?pli=1#gid=0"",""1_ACUM!A4:S""),17,FALSE))"),1)</f>
        <v>1</v>
      </c>
      <c r="BE20" s="461">
        <f ca="1">IFERROR(__xludf.DUMMYFUNCTION("IFERROR(VLOOKUP(E20&amp;F20,IMPORTRANGE(""https://docs.google.com/spreadsheets/d/1Uw7-A9f9R21vMXxHZFNpYNeKFtG8_yji4HS352LGlSQ/edit?pli=1#gid=0"",""1_ACUM!A4:S""),18,FALSE))"),44221)</f>
        <v>44221</v>
      </c>
      <c r="BF20" s="461">
        <f ca="1">IFERROR(__xludf.DUMMYFUNCTION("IFERROR(VLOOKUP(E20&amp;F20,IMPORTRANGE(""https://docs.google.com/spreadsheets/d/1Uw7-A9f9R21vMXxHZFNpYNeKFtG8_yji4HS352LGlSQ/edit?pli=1#gid=0"",""1_ACUM!A4:S""),19,FALSE))"),44493)</f>
        <v>44493</v>
      </c>
      <c r="BG20" s="462">
        <f ca="1">IFERROR(__xludf.DUMMYFUNCTION("IFERROR(VLOOKUP(F20,IMPORTRANGE(""https://docs.google.com/spreadsheets/d/1Kvs4KS76FHFqLFIZfrDMff4kP08nblUkihrxltoGBjg/edit#gid=934712705"",""ESENCIAL!A6:BG""),5,FALSE))"),44675)</f>
        <v>44675</v>
      </c>
      <c r="BH20" s="462">
        <f t="shared" ca="1" si="1"/>
        <v>45223</v>
      </c>
      <c r="BI20" s="338" t="str">
        <f t="shared" ca="1" si="2"/>
        <v>FICHA EN TIEMPO-18 MESES</v>
      </c>
      <c r="BJ20" s="338" t="str">
        <f ca="1">IFERROR(__xludf.DUMMYFUNCTION("IFERROR(VLOOKUP(F20,IMPORTRANGE(""https://docs.google.com/spreadsheets/d/1Kvs4KS76FHFqLFIZfrDMff4kP08nblUkihrxltoGBjg/edit#gid=934712705"",""ESENCIAL!A6:BG""),2,FALSE))"),"Terminada por fecha")</f>
        <v>Terminada por fecha</v>
      </c>
      <c r="BK20" s="338" t="str">
        <f t="shared" si="3"/>
        <v>Yamboro</v>
      </c>
      <c r="BL20" s="38"/>
      <c r="BM20" s="38"/>
    </row>
    <row r="21" spans="1:65" ht="16.5" customHeight="1">
      <c r="A21" s="164" t="s">
        <v>651</v>
      </c>
      <c r="B21" s="562"/>
      <c r="C21" s="534" t="s">
        <v>25</v>
      </c>
      <c r="D21" s="563" t="s">
        <v>655</v>
      </c>
      <c r="E21" s="451" t="s">
        <v>27</v>
      </c>
      <c r="F21" s="451">
        <v>1007531544</v>
      </c>
      <c r="G21" s="451">
        <v>2236082</v>
      </c>
      <c r="H21" s="338" t="str">
        <f ca="1">IFERROR(__xludf.DUMMYFUNCTION("IFERROR(VLOOKUP(F21,IMPORTRANGE(""https://docs.google.com/spreadsheets/d/1Kvs4KS76FHFqLFIZfrDMff4kP08nblUkihrxltoGBjg/edit#gid=934712705"",""ESENCIAL!A6:BG""),3,FALSE))"),"TÉCNICO")</f>
        <v>TÉCNICO</v>
      </c>
      <c r="I21" s="338" t="str">
        <f ca="1">IFERROR(__xludf.DUMMYFUNCTION("IFERROR(VLOOKUP(F21,IMPORTRANGE(""https://docs.google.com/spreadsheets/d/1Kvs4KS76FHFqLFIZfrDMff4kP08nblUkihrxltoGBjg/edit#gid=934712705"",""ESENCIAL!A6:BG""),8,FALSE))"),"SISTEMAS.")</f>
        <v>SISTEMAS.</v>
      </c>
      <c r="J21" s="523" t="s">
        <v>656</v>
      </c>
      <c r="K21" s="529" t="s">
        <v>657</v>
      </c>
      <c r="L21" s="523" t="s">
        <v>84</v>
      </c>
      <c r="M21" s="570" t="s">
        <v>44</v>
      </c>
      <c r="N21" s="451"/>
      <c r="O21" s="451"/>
      <c r="P21" s="451"/>
      <c r="Q21" s="451"/>
      <c r="R21" s="451"/>
      <c r="S21" s="525"/>
      <c r="T21" s="526"/>
      <c r="U21" s="451"/>
      <c r="V21" s="451" t="s">
        <v>654</v>
      </c>
      <c r="W21" s="450"/>
      <c r="X21" s="527"/>
      <c r="Y21" s="527"/>
      <c r="Z21" s="527"/>
      <c r="AA21" s="527"/>
      <c r="AB21" s="527"/>
      <c r="AC21" s="527"/>
      <c r="AD21" s="527"/>
      <c r="AE21" s="527"/>
      <c r="AF21" s="527"/>
      <c r="AG21" s="527"/>
      <c r="AH21" s="527"/>
      <c r="AI21" s="527"/>
      <c r="AJ21" s="527"/>
      <c r="AK21" s="527"/>
      <c r="AL21" s="527"/>
      <c r="AM21" s="527"/>
      <c r="AN21" s="527"/>
      <c r="AO21" s="527"/>
      <c r="AP21" s="527"/>
      <c r="AQ21" s="527"/>
      <c r="AR21" s="164"/>
      <c r="AS21" s="164"/>
      <c r="AT21" s="164"/>
      <c r="AU21" s="164"/>
      <c r="AV21" s="338" t="str">
        <f t="shared" ca="1" si="0"/>
        <v>NO_CUMPLE</v>
      </c>
      <c r="AW21" s="338" t="str">
        <f ca="1">IFERROR(__xludf.DUMMYFUNCTION("IFERROR(VLOOKUP(E21&amp;F21,IMPORTRANGE(""https://docs.google.com/spreadsheets/d/1Uw7-A9f9R21vMXxHZFNpYNeKFtG8_yji4HS352LGlSQ/edit?pli=1#gid=0"",""1_ACUM!A4:S""),11,FALSE))"),"EN FORMACION")</f>
        <v>EN FORMACION</v>
      </c>
      <c r="AX21" s="462" t="str">
        <f ca="1">IFERROR(__xludf.DUMMYFUNCTION("IFERROR(VLOOKUP(F21,IMPORTRANGE(""https://docs.google.com/spreadsheets/d/1Kvs4KS76FHFqLFIZfrDMff4kP08nblUkihrxltoGBjg/edit#gid=934712705"",""ESENCIAL!A6:BG""),15,FALSE))"),"TIC")</f>
        <v>TIC</v>
      </c>
      <c r="AY21" s="461">
        <f ca="1">IFERROR(__xludf.DUMMYFUNCTION("IFERROR(VLOOKUP(E21&amp;F21,IMPORTRANGE(""https://docs.google.com/spreadsheets/d/1Uw7-A9f9R21vMXxHZFNpYNeKFtG8_yji4HS352LGlSQ/edit?pli=1#gid=0"",""1_ACUM!A4:S""),13,FALSE))"),0)</f>
        <v>0</v>
      </c>
      <c r="AZ21" s="460">
        <f ca="1">IFERROR(__xludf.DUMMYFUNCTION("IFERROR(VLOOKUP(E21&amp;F21,IMPORTRANGE(""https://docs.google.com/spreadsheets/d/1Uw7-A9f9R21vMXxHZFNpYNeKFtG8_yji4HS352LGlSQ/edit?pli=1#gid=0"",""1_ACUM!A4:S""),13,FALSE))"),0)</f>
        <v>0</v>
      </c>
      <c r="BA21" s="460">
        <f ca="1">IFERROR(__xludf.DUMMYFUNCTION("IFERROR(VLOOKUP(E21&amp;F21,IMPORTRANGE(""https://docs.google.com/spreadsheets/d/1Uw7-A9f9R21vMXxHZFNpYNeKFtG8_yji4HS352LGlSQ/edit?pli=1#gid=0"",""1_ACUM!A4:S""),14,FALSE))"),1)</f>
        <v>1</v>
      </c>
      <c r="BB21" s="460">
        <f ca="1">IFERROR(__xludf.DUMMYFUNCTION("IFERROR(VLOOKUP(E21&amp;F21,IMPORTRANGE(""https://docs.google.com/spreadsheets/d/1Uw7-A9f9R21vMXxHZFNpYNeKFtG8_yji4HS352LGlSQ/edit?pli=1#gid=0"",""1_ACUM!A4:S""),15,FALSE))"),0)</f>
        <v>0</v>
      </c>
      <c r="BC21" s="460">
        <f ca="1">IFERROR(__xludf.DUMMYFUNCTION("IFERROR(VLOOKUP(E21&amp;F21,IMPORTRANGE(""https://docs.google.com/spreadsheets/d/1Uw7-A9f9R21vMXxHZFNpYNeKFtG8_yji4HS352LGlSQ/edit?pli=1#gid=0"",""1_ACUM!A4:S""),16,FALSE))"),1)</f>
        <v>1</v>
      </c>
      <c r="BD21" s="460">
        <f ca="1">IFERROR(__xludf.DUMMYFUNCTION("IFERROR(VLOOKUP(E21&amp;F21,IMPORTRANGE(""https://docs.google.com/spreadsheets/d/1Uw7-A9f9R21vMXxHZFNpYNeKFtG8_yji4HS352LGlSQ/edit?pli=1#gid=0"",""1_ACUM!A4:S""),17,FALSE))"),2)</f>
        <v>2</v>
      </c>
      <c r="BE21" s="461">
        <f ca="1">IFERROR(__xludf.DUMMYFUNCTION("IFERROR(VLOOKUP(E21&amp;F21,IMPORTRANGE(""https://docs.google.com/spreadsheets/d/1Uw7-A9f9R21vMXxHZFNpYNeKFtG8_yji4HS352LGlSQ/edit?pli=1#gid=0"",""1_ACUM!A4:S""),18,FALSE))"),44221)</f>
        <v>44221</v>
      </c>
      <c r="BF21" s="461">
        <f ca="1">IFERROR(__xludf.DUMMYFUNCTION("IFERROR(VLOOKUP(E21&amp;F21,IMPORTRANGE(""https://docs.google.com/spreadsheets/d/1Uw7-A9f9R21vMXxHZFNpYNeKFtG8_yji4HS352LGlSQ/edit?pli=1#gid=0"",""1_ACUM!A4:S""),19,FALSE))"),44493)</f>
        <v>44493</v>
      </c>
      <c r="BG21" s="462">
        <f ca="1">IFERROR(__xludf.DUMMYFUNCTION("IFERROR(VLOOKUP(F21,IMPORTRANGE(""https://docs.google.com/spreadsheets/d/1Kvs4KS76FHFqLFIZfrDMff4kP08nblUkihrxltoGBjg/edit#gid=934712705"",""ESENCIAL!A6:BG""),5,FALSE))"),44675)</f>
        <v>44675</v>
      </c>
      <c r="BH21" s="462">
        <f t="shared" ca="1" si="1"/>
        <v>45223</v>
      </c>
      <c r="BI21" s="338" t="str">
        <f t="shared" ca="1" si="2"/>
        <v>FICHA EN TIEMPO-18 MESES</v>
      </c>
      <c r="BJ21" s="338" t="str">
        <f ca="1">IFERROR(__xludf.DUMMYFUNCTION("IFERROR(VLOOKUP(F21,IMPORTRANGE(""https://docs.google.com/spreadsheets/d/1Kvs4KS76FHFqLFIZfrDMff4kP08nblUkihrxltoGBjg/edit#gid=934712705"",""ESENCIAL!A6:BG""),2,FALSE))"),"Terminada por fecha")</f>
        <v>Terminada por fecha</v>
      </c>
      <c r="BK21" s="338" t="str">
        <f t="shared" si="3"/>
        <v>Yamboro</v>
      </c>
      <c r="BL21" s="38"/>
      <c r="BM21" s="38"/>
    </row>
    <row r="22" spans="1:65" ht="24">
      <c r="A22" s="164" t="s">
        <v>651</v>
      </c>
      <c r="B22" s="562"/>
      <c r="C22" s="534" t="s">
        <v>25</v>
      </c>
      <c r="D22" s="563" t="s">
        <v>658</v>
      </c>
      <c r="E22" s="451" t="s">
        <v>27</v>
      </c>
      <c r="F22" s="451">
        <v>1007575886</v>
      </c>
      <c r="G22" s="451">
        <v>2236082</v>
      </c>
      <c r="H22" s="338" t="str">
        <f ca="1">IFERROR(__xludf.DUMMYFUNCTION("IFERROR(VLOOKUP(F22,IMPORTRANGE(""https://docs.google.com/spreadsheets/d/1Kvs4KS76FHFqLFIZfrDMff4kP08nblUkihrxltoGBjg/edit#gid=934712705"",""ESENCIAL!A6:BG""),3,FALSE))"),"TÉCNICO")</f>
        <v>TÉCNICO</v>
      </c>
      <c r="I22" s="338" t="str">
        <f ca="1">IFERROR(__xludf.DUMMYFUNCTION("IFERROR(VLOOKUP(F22,IMPORTRANGE(""https://docs.google.com/spreadsheets/d/1Kvs4KS76FHFqLFIZfrDMff4kP08nblUkihrxltoGBjg/edit#gid=934712705"",""ESENCIAL!A6:BG""),8,FALSE))"),"SISTEMAS.")</f>
        <v>SISTEMAS.</v>
      </c>
      <c r="J22" s="523">
        <v>3144724063</v>
      </c>
      <c r="K22" s="572" t="s">
        <v>659</v>
      </c>
      <c r="L22" s="523" t="s">
        <v>84</v>
      </c>
      <c r="M22" s="570" t="s">
        <v>44</v>
      </c>
      <c r="N22" s="451"/>
      <c r="O22" s="451"/>
      <c r="P22" s="451"/>
      <c r="Q22" s="451"/>
      <c r="R22" s="451"/>
      <c r="S22" s="525"/>
      <c r="T22" s="526"/>
      <c r="U22" s="451"/>
      <c r="V22" s="451" t="s">
        <v>654</v>
      </c>
      <c r="W22" s="450"/>
      <c r="X22" s="527"/>
      <c r="Y22" s="527"/>
      <c r="Z22" s="527"/>
      <c r="AA22" s="527"/>
      <c r="AB22" s="527"/>
      <c r="AC22" s="527"/>
      <c r="AD22" s="527"/>
      <c r="AE22" s="527"/>
      <c r="AF22" s="527"/>
      <c r="AG22" s="527"/>
      <c r="AH22" s="527"/>
      <c r="AI22" s="527"/>
      <c r="AJ22" s="527"/>
      <c r="AK22" s="527"/>
      <c r="AL22" s="527"/>
      <c r="AM22" s="527"/>
      <c r="AN22" s="527"/>
      <c r="AO22" s="527"/>
      <c r="AP22" s="527"/>
      <c r="AQ22" s="527"/>
      <c r="AR22" s="164"/>
      <c r="AS22" s="164"/>
      <c r="AT22" s="164"/>
      <c r="AU22" s="164"/>
      <c r="AV22" s="338" t="str">
        <f t="shared" ca="1" si="0"/>
        <v>NO_CUMPLE</v>
      </c>
      <c r="AW22" s="338" t="str">
        <f ca="1">IFERROR(__xludf.DUMMYFUNCTION("IFERROR(VLOOKUP(E22&amp;F22,IMPORTRANGE(""https://docs.google.com/spreadsheets/d/1Uw7-A9f9R21vMXxHZFNpYNeKFtG8_yji4HS352LGlSQ/edit?pli=1#gid=0"",""1_ACUM!A4:S""),11,FALSE))"),"EN FORMACION")</f>
        <v>EN FORMACION</v>
      </c>
      <c r="AX22" s="462" t="str">
        <f ca="1">IFERROR(__xludf.DUMMYFUNCTION("IFERROR(VLOOKUP(F22,IMPORTRANGE(""https://docs.google.com/spreadsheets/d/1Kvs4KS76FHFqLFIZfrDMff4kP08nblUkihrxltoGBjg/edit#gid=934712705"",""ESENCIAL!A6:BG""),15,FALSE))"),"TIC")</f>
        <v>TIC</v>
      </c>
      <c r="AY22" s="461">
        <f ca="1">IFERROR(__xludf.DUMMYFUNCTION("IFERROR(VLOOKUP(E22&amp;F22,IMPORTRANGE(""https://docs.google.com/spreadsheets/d/1Uw7-A9f9R21vMXxHZFNpYNeKFtG8_yji4HS352LGlSQ/edit?pli=1#gid=0"",""1_ACUM!A4:S""),13,FALSE))"),0)</f>
        <v>0</v>
      </c>
      <c r="AZ22" s="460">
        <f ca="1">IFERROR(__xludf.DUMMYFUNCTION("IFERROR(VLOOKUP(E22&amp;F22,IMPORTRANGE(""https://docs.google.com/spreadsheets/d/1Uw7-A9f9R21vMXxHZFNpYNeKFtG8_yji4HS352LGlSQ/edit?pli=1#gid=0"",""1_ACUM!A4:S""),13,FALSE))"),0)</f>
        <v>0</v>
      </c>
      <c r="BA22" s="460">
        <f ca="1">IFERROR(__xludf.DUMMYFUNCTION("IFERROR(VLOOKUP(E22&amp;F22,IMPORTRANGE(""https://docs.google.com/spreadsheets/d/1Uw7-A9f9R21vMXxHZFNpYNeKFtG8_yji4HS352LGlSQ/edit?pli=1#gid=0"",""1_ACUM!A4:S""),14,FALSE))"),1)</f>
        <v>1</v>
      </c>
      <c r="BB22" s="460">
        <f ca="1">IFERROR(__xludf.DUMMYFUNCTION("IFERROR(VLOOKUP(E22&amp;F22,IMPORTRANGE(""https://docs.google.com/spreadsheets/d/1Uw7-A9f9R21vMXxHZFNpYNeKFtG8_yji4HS352LGlSQ/edit?pli=1#gid=0"",""1_ACUM!A4:S""),15,FALSE))"),0)</f>
        <v>0</v>
      </c>
      <c r="BC22" s="460">
        <f ca="1">IFERROR(__xludf.DUMMYFUNCTION("IFERROR(VLOOKUP(E22&amp;F22,IMPORTRANGE(""https://docs.google.com/spreadsheets/d/1Uw7-A9f9R21vMXxHZFNpYNeKFtG8_yji4HS352LGlSQ/edit?pli=1#gid=0"",""1_ACUM!A4:S""),16,FALSE))"),3)</f>
        <v>3</v>
      </c>
      <c r="BD22" s="460">
        <f ca="1">IFERROR(__xludf.DUMMYFUNCTION("IFERROR(VLOOKUP(E22&amp;F22,IMPORTRANGE(""https://docs.google.com/spreadsheets/d/1Uw7-A9f9R21vMXxHZFNpYNeKFtG8_yji4HS352LGlSQ/edit?pli=1#gid=0"",""1_ACUM!A4:S""),17,FALSE))"),4)</f>
        <v>4</v>
      </c>
      <c r="BE22" s="461">
        <f ca="1">IFERROR(__xludf.DUMMYFUNCTION("IFERROR(VLOOKUP(E22&amp;F22,IMPORTRANGE(""https://docs.google.com/spreadsheets/d/1Uw7-A9f9R21vMXxHZFNpYNeKFtG8_yji4HS352LGlSQ/edit?pli=1#gid=0"",""1_ACUM!A4:S""),18,FALSE))"),44221)</f>
        <v>44221</v>
      </c>
      <c r="BF22" s="461">
        <f ca="1">IFERROR(__xludf.DUMMYFUNCTION("IFERROR(VLOOKUP(E22&amp;F22,IMPORTRANGE(""https://docs.google.com/spreadsheets/d/1Uw7-A9f9R21vMXxHZFNpYNeKFtG8_yji4HS352LGlSQ/edit?pli=1#gid=0"",""1_ACUM!A4:S""),19,FALSE))"),44493)</f>
        <v>44493</v>
      </c>
      <c r="BG22" s="462">
        <f ca="1">IFERROR(__xludf.DUMMYFUNCTION("IFERROR(VLOOKUP(F22,IMPORTRANGE(""https://docs.google.com/spreadsheets/d/1Kvs4KS76FHFqLFIZfrDMff4kP08nblUkihrxltoGBjg/edit#gid=934712705"",""ESENCIAL!A6:BG""),5,FALSE))"),44675)</f>
        <v>44675</v>
      </c>
      <c r="BH22" s="462">
        <f t="shared" ca="1" si="1"/>
        <v>45223</v>
      </c>
      <c r="BI22" s="338" t="str">
        <f t="shared" ca="1" si="2"/>
        <v>FICHA EN TIEMPO-18 MESES</v>
      </c>
      <c r="BJ22" s="338" t="str">
        <f ca="1">IFERROR(__xludf.DUMMYFUNCTION("IFERROR(VLOOKUP(F22,IMPORTRANGE(""https://docs.google.com/spreadsheets/d/1Kvs4KS76FHFqLFIZfrDMff4kP08nblUkihrxltoGBjg/edit#gid=934712705"",""ESENCIAL!A6:BG""),2,FALSE))"),"Terminada por fecha")</f>
        <v>Terminada por fecha</v>
      </c>
      <c r="BK22" s="338" t="str">
        <f t="shared" si="3"/>
        <v>Yamboro</v>
      </c>
      <c r="BL22" s="38"/>
      <c r="BM22" s="38"/>
    </row>
    <row r="23" spans="1:65" ht="24">
      <c r="A23" s="164" t="s">
        <v>651</v>
      </c>
      <c r="B23" s="562"/>
      <c r="C23" s="534" t="s">
        <v>25</v>
      </c>
      <c r="D23" s="563" t="s">
        <v>660</v>
      </c>
      <c r="E23" s="451" t="s">
        <v>27</v>
      </c>
      <c r="F23" s="451">
        <v>1083906510</v>
      </c>
      <c r="G23" s="451">
        <v>2236082</v>
      </c>
      <c r="H23" s="338" t="str">
        <f ca="1">IFERROR(__xludf.DUMMYFUNCTION("IFERROR(VLOOKUP(F23,IMPORTRANGE(""https://docs.google.com/spreadsheets/d/1Kvs4KS76FHFqLFIZfrDMff4kP08nblUkihrxltoGBjg/edit#gid=934712705"",""ESENCIAL!A6:BG""),3,FALSE))"),"TÉCNICO")</f>
        <v>TÉCNICO</v>
      </c>
      <c r="I23" s="338" t="str">
        <f ca="1">IFERROR(__xludf.DUMMYFUNCTION("IFERROR(VLOOKUP(F23,IMPORTRANGE(""https://docs.google.com/spreadsheets/d/1Kvs4KS76FHFqLFIZfrDMff4kP08nblUkihrxltoGBjg/edit#gid=934712705"",""ESENCIAL!A6:BG""),8,FALSE))"),"SISTEMAS.")</f>
        <v>SISTEMAS.</v>
      </c>
      <c r="J23" s="523">
        <v>3227756127</v>
      </c>
      <c r="K23" s="573" t="s">
        <v>661</v>
      </c>
      <c r="L23" s="523" t="s">
        <v>84</v>
      </c>
      <c r="M23" s="574" t="s">
        <v>250</v>
      </c>
      <c r="N23" s="451" t="s">
        <v>662</v>
      </c>
      <c r="O23" s="451" t="s">
        <v>84</v>
      </c>
      <c r="P23" s="451"/>
      <c r="Q23" s="451" t="s">
        <v>84</v>
      </c>
      <c r="R23" s="451"/>
      <c r="S23" s="525">
        <v>44604</v>
      </c>
      <c r="T23" s="526" t="s">
        <v>663</v>
      </c>
      <c r="U23" s="463" t="s">
        <v>664</v>
      </c>
      <c r="V23" s="451" t="s">
        <v>665</v>
      </c>
      <c r="W23" s="450"/>
      <c r="X23" s="527"/>
      <c r="Y23" s="527"/>
      <c r="Z23" s="527"/>
      <c r="AA23" s="527"/>
      <c r="AB23" s="527"/>
      <c r="AC23" s="527"/>
      <c r="AD23" s="527"/>
      <c r="AE23" s="527"/>
      <c r="AF23" s="527"/>
      <c r="AG23" s="527"/>
      <c r="AH23" s="527"/>
      <c r="AI23" s="527"/>
      <c r="AJ23" s="527"/>
      <c r="AK23" s="527"/>
      <c r="AL23" s="527"/>
      <c r="AM23" s="527"/>
      <c r="AN23" s="527"/>
      <c r="AO23" s="527"/>
      <c r="AP23" s="527" t="s">
        <v>666</v>
      </c>
      <c r="AQ23" s="527"/>
      <c r="AR23" s="164"/>
      <c r="AS23" s="164"/>
      <c r="AT23" s="164"/>
      <c r="AU23" s="164"/>
      <c r="AV23" s="338" t="str">
        <f t="shared" ca="1" si="0"/>
        <v>Procede_E_P</v>
      </c>
      <c r="AW23" s="338" t="str">
        <f ca="1">IFERROR(__xludf.DUMMYFUNCTION("IFERROR(VLOOKUP(E23&amp;F23,IMPORTRANGE(""https://docs.google.com/spreadsheets/d/1Uw7-A9f9R21vMXxHZFNpYNeKFtG8_yji4HS352LGlSQ/edit?pli=1#gid=0"",""1_ACUM!A4:S""),11,FALSE))"),"EN FORMACION")</f>
        <v>EN FORMACION</v>
      </c>
      <c r="AX23" s="462" t="str">
        <f ca="1">IFERROR(__xludf.DUMMYFUNCTION("IFERROR(VLOOKUP(F23,IMPORTRANGE(""https://docs.google.com/spreadsheets/d/1Kvs4KS76FHFqLFIZfrDMff4kP08nblUkihrxltoGBjg/edit#gid=934712705"",""ESENCIAL!A6:BG""),15,FALSE))"),"TIC")</f>
        <v>TIC</v>
      </c>
      <c r="AY23" s="461">
        <f ca="1">IFERROR(__xludf.DUMMYFUNCTION("IFERROR(VLOOKUP(E23&amp;F23,IMPORTRANGE(""https://docs.google.com/spreadsheets/d/1Uw7-A9f9R21vMXxHZFNpYNeKFtG8_yji4HS352LGlSQ/edit?pli=1#gid=0"",""1_ACUM!A4:S""),13,FALSE))"),0)</f>
        <v>0</v>
      </c>
      <c r="AZ23" s="460">
        <f ca="1">IFERROR(__xludf.DUMMYFUNCTION("IFERROR(VLOOKUP(E23&amp;F23,IMPORTRANGE(""https://docs.google.com/spreadsheets/d/1Uw7-A9f9R21vMXxHZFNpYNeKFtG8_yji4HS352LGlSQ/edit?pli=1#gid=0"",""1_ACUM!A4:S""),13,FALSE))"),0)</f>
        <v>0</v>
      </c>
      <c r="BA23" s="460">
        <f ca="1">IFERROR(__xludf.DUMMYFUNCTION("IFERROR(VLOOKUP(E23&amp;F23,IMPORTRANGE(""https://docs.google.com/spreadsheets/d/1Uw7-A9f9R21vMXxHZFNpYNeKFtG8_yji4HS352LGlSQ/edit?pli=1#gid=0"",""1_ACUM!A4:S""),14,FALSE))"),1)</f>
        <v>1</v>
      </c>
      <c r="BB23" s="460">
        <f ca="1">IFERROR(__xludf.DUMMYFUNCTION("IFERROR(VLOOKUP(E23&amp;F23,IMPORTRANGE(""https://docs.google.com/spreadsheets/d/1Uw7-A9f9R21vMXxHZFNpYNeKFtG8_yji4HS352LGlSQ/edit?pli=1#gid=0"",""1_ACUM!A4:S""),15,FALSE))"),0)</f>
        <v>0</v>
      </c>
      <c r="BC23" s="460">
        <f ca="1">IFERROR(__xludf.DUMMYFUNCTION("IFERROR(VLOOKUP(E23&amp;F23,IMPORTRANGE(""https://docs.google.com/spreadsheets/d/1Uw7-A9f9R21vMXxHZFNpYNeKFtG8_yji4HS352LGlSQ/edit?pli=1#gid=0"",""1_ACUM!A4:S""),16,FALSE))"),0)</f>
        <v>0</v>
      </c>
      <c r="BD23" s="460">
        <f ca="1">IFERROR(__xludf.DUMMYFUNCTION("IFERROR(VLOOKUP(E23&amp;F23,IMPORTRANGE(""https://docs.google.com/spreadsheets/d/1Uw7-A9f9R21vMXxHZFNpYNeKFtG8_yji4HS352LGlSQ/edit?pli=1#gid=0"",""1_ACUM!A4:S""),17,FALSE))"),1)</f>
        <v>1</v>
      </c>
      <c r="BE23" s="461">
        <f ca="1">IFERROR(__xludf.DUMMYFUNCTION("IFERROR(VLOOKUP(E23&amp;F23,IMPORTRANGE(""https://docs.google.com/spreadsheets/d/1Uw7-A9f9R21vMXxHZFNpYNeKFtG8_yji4HS352LGlSQ/edit?pli=1#gid=0"",""1_ACUM!A4:S""),18,FALSE))"),44221)</f>
        <v>44221</v>
      </c>
      <c r="BF23" s="461">
        <f ca="1">IFERROR(__xludf.DUMMYFUNCTION("IFERROR(VLOOKUP(E23&amp;F23,IMPORTRANGE(""https://docs.google.com/spreadsheets/d/1Uw7-A9f9R21vMXxHZFNpYNeKFtG8_yji4HS352LGlSQ/edit?pli=1#gid=0"",""1_ACUM!A4:S""),19,FALSE))"),44493)</f>
        <v>44493</v>
      </c>
      <c r="BG23" s="462">
        <f ca="1">IFERROR(__xludf.DUMMYFUNCTION("IFERROR(VLOOKUP(F23,IMPORTRANGE(""https://docs.google.com/spreadsheets/d/1Kvs4KS76FHFqLFIZfrDMff4kP08nblUkihrxltoGBjg/edit#gid=934712705"",""ESENCIAL!A6:BG""),5,FALSE))"),44675)</f>
        <v>44675</v>
      </c>
      <c r="BH23" s="462">
        <f t="shared" ca="1" si="1"/>
        <v>45223</v>
      </c>
      <c r="BI23" s="338" t="str">
        <f t="shared" ca="1" si="2"/>
        <v>FICHA EN TIEMPO-18 MESES</v>
      </c>
      <c r="BJ23" s="338" t="str">
        <f ca="1">IFERROR(__xludf.DUMMYFUNCTION("IFERROR(VLOOKUP(F23,IMPORTRANGE(""https://docs.google.com/spreadsheets/d/1Kvs4KS76FHFqLFIZfrDMff4kP08nblUkihrxltoGBjg/edit#gid=934712705"",""ESENCIAL!A6:BG""),2,FALSE))"),"Terminada por fecha")</f>
        <v>Terminada por fecha</v>
      </c>
      <c r="BK23" s="338" t="str">
        <f t="shared" si="3"/>
        <v>Yamboro</v>
      </c>
      <c r="BL23" s="38"/>
      <c r="BM23" s="38"/>
    </row>
    <row r="24" spans="1:65" ht="24">
      <c r="A24" s="164" t="s">
        <v>651</v>
      </c>
      <c r="B24" s="562"/>
      <c r="C24" s="534" t="s">
        <v>25</v>
      </c>
      <c r="D24" s="563" t="s">
        <v>667</v>
      </c>
      <c r="E24" s="451" t="s">
        <v>668</v>
      </c>
      <c r="F24" s="451">
        <v>1000215806</v>
      </c>
      <c r="G24" s="451">
        <v>2236082</v>
      </c>
      <c r="H24" s="338" t="str">
        <f ca="1">IFERROR(__xludf.DUMMYFUNCTION("IFERROR(VLOOKUP(F24,IMPORTRANGE(""https://docs.google.com/spreadsheets/d/1Kvs4KS76FHFqLFIZfrDMff4kP08nblUkihrxltoGBjg/edit#gid=934712705"",""ESENCIAL!A6:BG""),3,FALSE))"),"TÉCNICO")</f>
        <v>TÉCNICO</v>
      </c>
      <c r="I24" s="338" t="str">
        <f ca="1">IFERROR(__xludf.DUMMYFUNCTION("IFERROR(VLOOKUP(F24,IMPORTRANGE(""https://docs.google.com/spreadsheets/d/1Kvs4KS76FHFqLFIZfrDMff4kP08nblUkihrxltoGBjg/edit#gid=934712705"",""ESENCIAL!A6:BG""),8,FALSE))"),"SISTEMAS.")</f>
        <v>SISTEMAS.</v>
      </c>
      <c r="J24" s="523">
        <v>3105857406</v>
      </c>
      <c r="K24" s="529" t="s">
        <v>669</v>
      </c>
      <c r="L24" s="523" t="s">
        <v>84</v>
      </c>
      <c r="M24" s="568" t="s">
        <v>44</v>
      </c>
      <c r="N24" s="451"/>
      <c r="O24" s="451"/>
      <c r="P24" s="451"/>
      <c r="Q24" s="451"/>
      <c r="R24" s="451"/>
      <c r="S24" s="525"/>
      <c r="T24" s="526"/>
      <c r="U24" s="451"/>
      <c r="V24" s="451" t="s">
        <v>654</v>
      </c>
      <c r="W24" s="450"/>
      <c r="X24" s="527"/>
      <c r="Y24" s="527"/>
      <c r="Z24" s="527"/>
      <c r="AA24" s="527"/>
      <c r="AB24" s="527"/>
      <c r="AC24" s="527"/>
      <c r="AD24" s="527"/>
      <c r="AE24" s="527"/>
      <c r="AF24" s="527"/>
      <c r="AG24" s="527"/>
      <c r="AH24" s="527"/>
      <c r="AI24" s="527"/>
      <c r="AJ24" s="527"/>
      <c r="AK24" s="527"/>
      <c r="AL24" s="527"/>
      <c r="AM24" s="527"/>
      <c r="AN24" s="527"/>
      <c r="AO24" s="527"/>
      <c r="AP24" s="527"/>
      <c r="AQ24" s="527"/>
      <c r="AR24" s="164"/>
      <c r="AS24" s="164"/>
      <c r="AT24" s="164"/>
      <c r="AU24" s="164"/>
      <c r="AV24" s="338" t="str">
        <f t="shared" ca="1" si="0"/>
        <v>Procede_E_P</v>
      </c>
      <c r="AW24" s="338" t="str">
        <f ca="1">IFERROR(__xludf.DUMMYFUNCTION("IFERROR(VLOOKUP(E24&amp;F24,IMPORTRANGE(""https://docs.google.com/spreadsheets/d/1Uw7-A9f9R21vMXxHZFNpYNeKFtG8_yji4HS352LGlSQ/edit?pli=1#gid=0"",""1_ACUM!A4:S""),11,FALSE))"),"EN FORMACION")</f>
        <v>EN FORMACION</v>
      </c>
      <c r="AX24" s="462" t="str">
        <f ca="1">IFERROR(__xludf.DUMMYFUNCTION("IFERROR(VLOOKUP(F24,IMPORTRANGE(""https://docs.google.com/spreadsheets/d/1Kvs4KS76FHFqLFIZfrDMff4kP08nblUkihrxltoGBjg/edit#gid=934712705"",""ESENCIAL!A6:BG""),15,FALSE))"),"TIC")</f>
        <v>TIC</v>
      </c>
      <c r="AY24" s="461">
        <f ca="1">IFERROR(__xludf.DUMMYFUNCTION("IFERROR(VLOOKUP(E24&amp;F24,IMPORTRANGE(""https://docs.google.com/spreadsheets/d/1Uw7-A9f9R21vMXxHZFNpYNeKFtG8_yji4HS352LGlSQ/edit?pli=1#gid=0"",""1_ACUM!A4:S""),13,FALSE))"),0)</f>
        <v>0</v>
      </c>
      <c r="AZ24" s="460">
        <f ca="1">IFERROR(__xludf.DUMMYFUNCTION("IFERROR(VLOOKUP(E24&amp;F24,IMPORTRANGE(""https://docs.google.com/spreadsheets/d/1Uw7-A9f9R21vMXxHZFNpYNeKFtG8_yji4HS352LGlSQ/edit?pli=1#gid=0"",""1_ACUM!A4:S""),13,FALSE))"),0)</f>
        <v>0</v>
      </c>
      <c r="BA24" s="460">
        <f ca="1">IFERROR(__xludf.DUMMYFUNCTION("IFERROR(VLOOKUP(E24&amp;F24,IMPORTRANGE(""https://docs.google.com/spreadsheets/d/1Uw7-A9f9R21vMXxHZFNpYNeKFtG8_yji4HS352LGlSQ/edit?pli=1#gid=0"",""1_ACUM!A4:S""),14,FALSE))"),1)</f>
        <v>1</v>
      </c>
      <c r="BB24" s="460">
        <f ca="1">IFERROR(__xludf.DUMMYFUNCTION("IFERROR(VLOOKUP(E24&amp;F24,IMPORTRANGE(""https://docs.google.com/spreadsheets/d/1Uw7-A9f9R21vMXxHZFNpYNeKFtG8_yji4HS352LGlSQ/edit?pli=1#gid=0"",""1_ACUM!A4:S""),15,FALSE))"),0)</f>
        <v>0</v>
      </c>
      <c r="BC24" s="460">
        <f ca="1">IFERROR(__xludf.DUMMYFUNCTION("IFERROR(VLOOKUP(E24&amp;F24,IMPORTRANGE(""https://docs.google.com/spreadsheets/d/1Uw7-A9f9R21vMXxHZFNpYNeKFtG8_yji4HS352LGlSQ/edit?pli=1#gid=0"",""1_ACUM!A4:S""),16,FALSE))"),0)</f>
        <v>0</v>
      </c>
      <c r="BD24" s="460">
        <f ca="1">IFERROR(__xludf.DUMMYFUNCTION("IFERROR(VLOOKUP(E24&amp;F24,IMPORTRANGE(""https://docs.google.com/spreadsheets/d/1Uw7-A9f9R21vMXxHZFNpYNeKFtG8_yji4HS352LGlSQ/edit?pli=1#gid=0"",""1_ACUM!A4:S""),17,FALSE))"),1)</f>
        <v>1</v>
      </c>
      <c r="BE24" s="461">
        <f ca="1">IFERROR(__xludf.DUMMYFUNCTION("IFERROR(VLOOKUP(E24&amp;F24,IMPORTRANGE(""https://docs.google.com/spreadsheets/d/1Uw7-A9f9R21vMXxHZFNpYNeKFtG8_yji4HS352LGlSQ/edit?pli=1#gid=0"",""1_ACUM!A4:S""),18,FALSE))"),44221)</f>
        <v>44221</v>
      </c>
      <c r="BF24" s="461">
        <f ca="1">IFERROR(__xludf.DUMMYFUNCTION("IFERROR(VLOOKUP(E24&amp;F24,IMPORTRANGE(""https://docs.google.com/spreadsheets/d/1Uw7-A9f9R21vMXxHZFNpYNeKFtG8_yji4HS352LGlSQ/edit?pli=1#gid=0"",""1_ACUM!A4:S""),19,FALSE))"),44493)</f>
        <v>44493</v>
      </c>
      <c r="BG24" s="462">
        <f ca="1">IFERROR(__xludf.DUMMYFUNCTION("IFERROR(VLOOKUP(F24,IMPORTRANGE(""https://docs.google.com/spreadsheets/d/1Kvs4KS76FHFqLFIZfrDMff4kP08nblUkihrxltoGBjg/edit#gid=934712705"",""ESENCIAL!A6:BG""),5,FALSE))"),44675)</f>
        <v>44675</v>
      </c>
      <c r="BH24" s="462">
        <f t="shared" ca="1" si="1"/>
        <v>45223</v>
      </c>
      <c r="BI24" s="338" t="str">
        <f t="shared" ca="1" si="2"/>
        <v>FICHA EN TIEMPO-18 MESES</v>
      </c>
      <c r="BJ24" s="338" t="str">
        <f ca="1">IFERROR(__xludf.DUMMYFUNCTION("IFERROR(VLOOKUP(F24,IMPORTRANGE(""https://docs.google.com/spreadsheets/d/1Kvs4KS76FHFqLFIZfrDMff4kP08nblUkihrxltoGBjg/edit#gid=934712705"",""ESENCIAL!A6:BG""),2,FALSE))"),"Terminada por fecha")</f>
        <v>Terminada por fecha</v>
      </c>
      <c r="BK24" s="338" t="str">
        <f t="shared" si="3"/>
        <v>Yamboro</v>
      </c>
      <c r="BL24" s="19"/>
      <c r="BM24" s="19"/>
    </row>
    <row r="25" spans="1:65" ht="24">
      <c r="A25" s="164" t="s">
        <v>651</v>
      </c>
      <c r="B25" s="562"/>
      <c r="C25" s="534" t="s">
        <v>25</v>
      </c>
      <c r="D25" s="563" t="s">
        <v>670</v>
      </c>
      <c r="E25" s="451" t="s">
        <v>67</v>
      </c>
      <c r="F25" s="451">
        <v>1004418279</v>
      </c>
      <c r="G25" s="451">
        <v>2236082</v>
      </c>
      <c r="H25" s="338" t="str">
        <f ca="1">IFERROR(__xludf.DUMMYFUNCTION("IFERROR(VLOOKUP(F25,IMPORTRANGE(""https://docs.google.com/spreadsheets/d/1Kvs4KS76FHFqLFIZfrDMff4kP08nblUkihrxltoGBjg/edit#gid=934712705"",""ESENCIAL!A6:BG""),3,FALSE))"),"TÉCNICO")</f>
        <v>TÉCNICO</v>
      </c>
      <c r="I25" s="338" t="str">
        <f ca="1">IFERROR(__xludf.DUMMYFUNCTION("IFERROR(VLOOKUP(F25,IMPORTRANGE(""https://docs.google.com/spreadsheets/d/1Kvs4KS76FHFqLFIZfrDMff4kP08nblUkihrxltoGBjg/edit#gid=934712705"",""ESENCIAL!A6:BG""),8,FALSE))"),"SISTEMAS.")</f>
        <v>SISTEMAS.</v>
      </c>
      <c r="J25" s="523">
        <v>3505962365</v>
      </c>
      <c r="K25" s="529" t="s">
        <v>671</v>
      </c>
      <c r="L25" s="523" t="s">
        <v>84</v>
      </c>
      <c r="M25" s="570" t="s">
        <v>44</v>
      </c>
      <c r="N25" s="451"/>
      <c r="O25" s="451"/>
      <c r="P25" s="451"/>
      <c r="Q25" s="451"/>
      <c r="R25" s="451"/>
      <c r="S25" s="525"/>
      <c r="T25" s="526"/>
      <c r="U25" s="451"/>
      <c r="V25" s="451" t="s">
        <v>654</v>
      </c>
      <c r="W25" s="450"/>
      <c r="X25" s="527"/>
      <c r="Y25" s="527"/>
      <c r="Z25" s="527"/>
      <c r="AA25" s="527"/>
      <c r="AB25" s="527"/>
      <c r="AC25" s="527"/>
      <c r="AD25" s="527"/>
      <c r="AE25" s="527"/>
      <c r="AF25" s="527"/>
      <c r="AG25" s="527"/>
      <c r="AH25" s="527"/>
      <c r="AI25" s="527"/>
      <c r="AJ25" s="527"/>
      <c r="AK25" s="527"/>
      <c r="AL25" s="527"/>
      <c r="AM25" s="527"/>
      <c r="AN25" s="527"/>
      <c r="AO25" s="527"/>
      <c r="AP25" s="527"/>
      <c r="AQ25" s="527"/>
      <c r="AR25" s="164"/>
      <c r="AS25" s="164"/>
      <c r="AT25" s="164"/>
      <c r="AU25" s="164"/>
      <c r="AV25" s="338" t="str">
        <f t="shared" ca="1" si="0"/>
        <v>NO_CUMPLE</v>
      </c>
      <c r="AW25" s="338" t="str">
        <f ca="1">IFERROR(__xludf.DUMMYFUNCTION("IFERROR(VLOOKUP(E25&amp;F25,IMPORTRANGE(""https://docs.google.com/spreadsheets/d/1Uw7-A9f9R21vMXxHZFNpYNeKFtG8_yji4HS352LGlSQ/edit?pli=1#gid=0"",""1_ACUM!A4:S""),11,FALSE))"),"EN FORMACION")</f>
        <v>EN FORMACION</v>
      </c>
      <c r="AX25" s="462" t="str">
        <f ca="1">IFERROR(__xludf.DUMMYFUNCTION("IFERROR(VLOOKUP(F25,IMPORTRANGE(""https://docs.google.com/spreadsheets/d/1Kvs4KS76FHFqLFIZfrDMff4kP08nblUkihrxltoGBjg/edit#gid=934712705"",""ESENCIAL!A6:BG""),15,FALSE))"),"TIC")</f>
        <v>TIC</v>
      </c>
      <c r="AY25" s="461">
        <f ca="1">IFERROR(__xludf.DUMMYFUNCTION("IFERROR(VLOOKUP(E25&amp;F25,IMPORTRANGE(""https://docs.google.com/spreadsheets/d/1Uw7-A9f9R21vMXxHZFNpYNeKFtG8_yji4HS352LGlSQ/edit?pli=1#gid=0"",""1_ACUM!A4:S""),13,FALSE))"),0)</f>
        <v>0</v>
      </c>
      <c r="AZ25" s="460">
        <f ca="1">IFERROR(__xludf.DUMMYFUNCTION("IFERROR(VLOOKUP(E25&amp;F25,IMPORTRANGE(""https://docs.google.com/spreadsheets/d/1Uw7-A9f9R21vMXxHZFNpYNeKFtG8_yji4HS352LGlSQ/edit?pli=1#gid=0"",""1_ACUM!A4:S""),13,FALSE))"),0)</f>
        <v>0</v>
      </c>
      <c r="BA25" s="460">
        <f ca="1">IFERROR(__xludf.DUMMYFUNCTION("IFERROR(VLOOKUP(E25&amp;F25,IMPORTRANGE(""https://docs.google.com/spreadsheets/d/1Uw7-A9f9R21vMXxHZFNpYNeKFtG8_yji4HS352LGlSQ/edit?pli=1#gid=0"",""1_ACUM!A4:S""),14,FALSE))"),1)</f>
        <v>1</v>
      </c>
      <c r="BB25" s="460">
        <f ca="1">IFERROR(__xludf.DUMMYFUNCTION("IFERROR(VLOOKUP(E25&amp;F25,IMPORTRANGE(""https://docs.google.com/spreadsheets/d/1Uw7-A9f9R21vMXxHZFNpYNeKFtG8_yji4HS352LGlSQ/edit?pli=1#gid=0"",""1_ACUM!A4:S""),15,FALSE))"),0)</f>
        <v>0</v>
      </c>
      <c r="BC25" s="460">
        <f ca="1">IFERROR(__xludf.DUMMYFUNCTION("IFERROR(VLOOKUP(E25&amp;F25,IMPORTRANGE(""https://docs.google.com/spreadsheets/d/1Uw7-A9f9R21vMXxHZFNpYNeKFtG8_yji4HS352LGlSQ/edit?pli=1#gid=0"",""1_ACUM!A4:S""),16,FALSE))"),3)</f>
        <v>3</v>
      </c>
      <c r="BD25" s="460">
        <f ca="1">IFERROR(__xludf.DUMMYFUNCTION("IFERROR(VLOOKUP(E25&amp;F25,IMPORTRANGE(""https://docs.google.com/spreadsheets/d/1Uw7-A9f9R21vMXxHZFNpYNeKFtG8_yji4HS352LGlSQ/edit?pli=1#gid=0"",""1_ACUM!A4:S""),17,FALSE))"),4)</f>
        <v>4</v>
      </c>
      <c r="BE25" s="461">
        <f ca="1">IFERROR(__xludf.DUMMYFUNCTION("IFERROR(VLOOKUP(E25&amp;F25,IMPORTRANGE(""https://docs.google.com/spreadsheets/d/1Uw7-A9f9R21vMXxHZFNpYNeKFtG8_yji4HS352LGlSQ/edit?pli=1#gid=0"",""1_ACUM!A4:S""),18,FALSE))"),44221)</f>
        <v>44221</v>
      </c>
      <c r="BF25" s="461">
        <f ca="1">IFERROR(__xludf.DUMMYFUNCTION("IFERROR(VLOOKUP(E25&amp;F25,IMPORTRANGE(""https://docs.google.com/spreadsheets/d/1Uw7-A9f9R21vMXxHZFNpYNeKFtG8_yji4HS352LGlSQ/edit?pli=1#gid=0"",""1_ACUM!A4:S""),19,FALSE))"),44493)</f>
        <v>44493</v>
      </c>
      <c r="BG25" s="462">
        <f ca="1">IFERROR(__xludf.DUMMYFUNCTION("IFERROR(VLOOKUP(F25,IMPORTRANGE(""https://docs.google.com/spreadsheets/d/1Kvs4KS76FHFqLFIZfrDMff4kP08nblUkihrxltoGBjg/edit#gid=934712705"",""ESENCIAL!A6:BG""),5,FALSE))"),44675)</f>
        <v>44675</v>
      </c>
      <c r="BH25" s="462">
        <f t="shared" ca="1" si="1"/>
        <v>45223</v>
      </c>
      <c r="BI25" s="338" t="str">
        <f t="shared" ca="1" si="2"/>
        <v>FICHA EN TIEMPO-18 MESES</v>
      </c>
      <c r="BJ25" s="338" t="str">
        <f ca="1">IFERROR(__xludf.DUMMYFUNCTION("IFERROR(VLOOKUP(F25,IMPORTRANGE(""https://docs.google.com/spreadsheets/d/1Kvs4KS76FHFqLFIZfrDMff4kP08nblUkihrxltoGBjg/edit#gid=934712705"",""ESENCIAL!A6:BG""),2,FALSE))"),"Terminada por fecha")</f>
        <v>Terminada por fecha</v>
      </c>
      <c r="BK25" s="338" t="str">
        <f t="shared" si="3"/>
        <v>Yamboro</v>
      </c>
      <c r="BL25" s="38"/>
      <c r="BM25" s="38"/>
    </row>
    <row r="26" spans="1:65" ht="24">
      <c r="A26" s="164" t="s">
        <v>651</v>
      </c>
      <c r="B26" s="562"/>
      <c r="C26" s="534" t="s">
        <v>25</v>
      </c>
      <c r="D26" s="563" t="s">
        <v>672</v>
      </c>
      <c r="E26" s="451" t="s">
        <v>668</v>
      </c>
      <c r="F26" s="451">
        <v>1004446290</v>
      </c>
      <c r="G26" s="451">
        <v>2236082</v>
      </c>
      <c r="H26" s="338" t="str">
        <f ca="1">IFERROR(__xludf.DUMMYFUNCTION("IFERROR(VLOOKUP(F26,IMPORTRANGE(""https://docs.google.com/spreadsheets/d/1Kvs4KS76FHFqLFIZfrDMff4kP08nblUkihrxltoGBjg/edit#gid=934712705"",""ESENCIAL!A6:BG""),3,FALSE))"),"TÉCNICO")</f>
        <v>TÉCNICO</v>
      </c>
      <c r="I26" s="338" t="str">
        <f ca="1">IFERROR(__xludf.DUMMYFUNCTION("IFERROR(VLOOKUP(F26,IMPORTRANGE(""https://docs.google.com/spreadsheets/d/1Kvs4KS76FHFqLFIZfrDMff4kP08nblUkihrxltoGBjg/edit#gid=934712705"",""ESENCIAL!A6:BG""),8,FALSE))"),"SISTEMAS.")</f>
        <v>SISTEMAS.</v>
      </c>
      <c r="J26" s="523">
        <v>3128264725</v>
      </c>
      <c r="K26" s="529" t="s">
        <v>673</v>
      </c>
      <c r="L26" s="523" t="s">
        <v>84</v>
      </c>
      <c r="M26" s="568" t="s">
        <v>44</v>
      </c>
      <c r="N26" s="451"/>
      <c r="O26" s="451"/>
      <c r="P26" s="451"/>
      <c r="Q26" s="451"/>
      <c r="R26" s="451"/>
      <c r="S26" s="525"/>
      <c r="T26" s="526"/>
      <c r="U26" s="451"/>
      <c r="V26" s="451" t="s">
        <v>654</v>
      </c>
      <c r="W26" s="450"/>
      <c r="X26" s="527"/>
      <c r="Y26" s="527"/>
      <c r="Z26" s="527"/>
      <c r="AA26" s="527"/>
      <c r="AB26" s="527"/>
      <c r="AC26" s="527"/>
      <c r="AD26" s="527"/>
      <c r="AE26" s="527"/>
      <c r="AF26" s="527"/>
      <c r="AG26" s="527"/>
      <c r="AH26" s="527"/>
      <c r="AI26" s="527"/>
      <c r="AJ26" s="527"/>
      <c r="AK26" s="527"/>
      <c r="AL26" s="527"/>
      <c r="AM26" s="527"/>
      <c r="AN26" s="527"/>
      <c r="AO26" s="527"/>
      <c r="AP26" s="527"/>
      <c r="AQ26" s="527"/>
      <c r="AR26" s="164"/>
      <c r="AS26" s="164"/>
      <c r="AT26" s="164"/>
      <c r="AU26" s="164"/>
      <c r="AV26" s="338" t="str">
        <f t="shared" ca="1" si="0"/>
        <v>Procede_E_P</v>
      </c>
      <c r="AW26" s="338" t="str">
        <f ca="1">IFERROR(__xludf.DUMMYFUNCTION("IFERROR(VLOOKUP(E26&amp;F26,IMPORTRANGE(""https://docs.google.com/spreadsheets/d/1Uw7-A9f9R21vMXxHZFNpYNeKFtG8_yji4HS352LGlSQ/edit?pli=1#gid=0"",""1_ACUM!A4:S""),11,FALSE))"),"EN FORMACION")</f>
        <v>EN FORMACION</v>
      </c>
      <c r="AX26" s="462" t="str">
        <f ca="1">IFERROR(__xludf.DUMMYFUNCTION("IFERROR(VLOOKUP(F26,IMPORTRANGE(""https://docs.google.com/spreadsheets/d/1Kvs4KS76FHFqLFIZfrDMff4kP08nblUkihrxltoGBjg/edit#gid=934712705"",""ESENCIAL!A6:BG""),15,FALSE))"),"TIC")</f>
        <v>TIC</v>
      </c>
      <c r="AY26" s="461">
        <f ca="1">IFERROR(__xludf.DUMMYFUNCTION("IFERROR(VLOOKUP(E26&amp;F26,IMPORTRANGE(""https://docs.google.com/spreadsheets/d/1Uw7-A9f9R21vMXxHZFNpYNeKFtG8_yji4HS352LGlSQ/edit?pli=1#gid=0"",""1_ACUM!A4:S""),13,FALSE))"),0)</f>
        <v>0</v>
      </c>
      <c r="AZ26" s="460">
        <f ca="1">IFERROR(__xludf.DUMMYFUNCTION("IFERROR(VLOOKUP(E26&amp;F26,IMPORTRANGE(""https://docs.google.com/spreadsheets/d/1Uw7-A9f9R21vMXxHZFNpYNeKFtG8_yji4HS352LGlSQ/edit?pli=1#gid=0"",""1_ACUM!A4:S""),13,FALSE))"),0)</f>
        <v>0</v>
      </c>
      <c r="BA26" s="460">
        <f ca="1">IFERROR(__xludf.DUMMYFUNCTION("IFERROR(VLOOKUP(E26&amp;F26,IMPORTRANGE(""https://docs.google.com/spreadsheets/d/1Uw7-A9f9R21vMXxHZFNpYNeKFtG8_yji4HS352LGlSQ/edit?pli=1#gid=0"",""1_ACUM!A4:S""),14,FALSE))"),1)</f>
        <v>1</v>
      </c>
      <c r="BB26" s="460">
        <f ca="1">IFERROR(__xludf.DUMMYFUNCTION("IFERROR(VLOOKUP(E26&amp;F26,IMPORTRANGE(""https://docs.google.com/spreadsheets/d/1Uw7-A9f9R21vMXxHZFNpYNeKFtG8_yji4HS352LGlSQ/edit?pli=1#gid=0"",""1_ACUM!A4:S""),15,FALSE))"),0)</f>
        <v>0</v>
      </c>
      <c r="BC26" s="460">
        <f ca="1">IFERROR(__xludf.DUMMYFUNCTION("IFERROR(VLOOKUP(E26&amp;F26,IMPORTRANGE(""https://docs.google.com/spreadsheets/d/1Uw7-A9f9R21vMXxHZFNpYNeKFtG8_yji4HS352LGlSQ/edit?pli=1#gid=0"",""1_ACUM!A4:S""),16,FALSE))"),0)</f>
        <v>0</v>
      </c>
      <c r="BD26" s="460">
        <f ca="1">IFERROR(__xludf.DUMMYFUNCTION("IFERROR(VLOOKUP(E26&amp;F26,IMPORTRANGE(""https://docs.google.com/spreadsheets/d/1Uw7-A9f9R21vMXxHZFNpYNeKFtG8_yji4HS352LGlSQ/edit?pli=1#gid=0"",""1_ACUM!A4:S""),17,FALSE))"),1)</f>
        <v>1</v>
      </c>
      <c r="BE26" s="461">
        <f ca="1">IFERROR(__xludf.DUMMYFUNCTION("IFERROR(VLOOKUP(E26&amp;F26,IMPORTRANGE(""https://docs.google.com/spreadsheets/d/1Uw7-A9f9R21vMXxHZFNpYNeKFtG8_yji4HS352LGlSQ/edit?pli=1#gid=0"",""1_ACUM!A4:S""),18,FALSE))"),44221)</f>
        <v>44221</v>
      </c>
      <c r="BF26" s="461">
        <f ca="1">IFERROR(__xludf.DUMMYFUNCTION("IFERROR(VLOOKUP(E26&amp;F26,IMPORTRANGE(""https://docs.google.com/spreadsheets/d/1Uw7-A9f9R21vMXxHZFNpYNeKFtG8_yji4HS352LGlSQ/edit?pli=1#gid=0"",""1_ACUM!A4:S""),19,FALSE))"),44493)</f>
        <v>44493</v>
      </c>
      <c r="BG26" s="462">
        <f ca="1">IFERROR(__xludf.DUMMYFUNCTION("IFERROR(VLOOKUP(F26,IMPORTRANGE(""https://docs.google.com/spreadsheets/d/1Kvs4KS76FHFqLFIZfrDMff4kP08nblUkihrxltoGBjg/edit#gid=934712705"",""ESENCIAL!A6:BG""),5,FALSE))"),44675)</f>
        <v>44675</v>
      </c>
      <c r="BH26" s="462">
        <f t="shared" ca="1" si="1"/>
        <v>45223</v>
      </c>
      <c r="BI26" s="338" t="str">
        <f t="shared" ca="1" si="2"/>
        <v>FICHA EN TIEMPO-18 MESES</v>
      </c>
      <c r="BJ26" s="338" t="str">
        <f ca="1">IFERROR(__xludf.DUMMYFUNCTION("IFERROR(VLOOKUP(F26,IMPORTRANGE(""https://docs.google.com/spreadsheets/d/1Kvs4KS76FHFqLFIZfrDMff4kP08nblUkihrxltoGBjg/edit#gid=934712705"",""ESENCIAL!A6:BG""),2,FALSE))"),"Terminada por fecha")</f>
        <v>Terminada por fecha</v>
      </c>
      <c r="BK26" s="338" t="str">
        <f t="shared" si="3"/>
        <v>Yamboro</v>
      </c>
      <c r="BL26" s="38"/>
      <c r="BM26" s="38"/>
    </row>
    <row r="27" spans="1:65" ht="24">
      <c r="A27" s="164" t="s">
        <v>651</v>
      </c>
      <c r="B27" s="562"/>
      <c r="C27" s="534" t="s">
        <v>25</v>
      </c>
      <c r="D27" s="563" t="s">
        <v>674</v>
      </c>
      <c r="E27" s="451" t="s">
        <v>67</v>
      </c>
      <c r="F27" s="451">
        <v>1084250420</v>
      </c>
      <c r="G27" s="451">
        <v>2236082</v>
      </c>
      <c r="H27" s="338" t="str">
        <f ca="1">IFERROR(__xludf.DUMMYFUNCTION("IFERROR(VLOOKUP(F26,IMPORTRANGE(""https://docs.google.com/spreadsheets/d/1Kvs4KS76FHFqLFIZfrDMff4kP08nblUkihrxltoGBjg/edit#gid=934712705"",""ESENCIAL!A6:BG""),3,FALSE))"),"TÉCNICO")</f>
        <v>TÉCNICO</v>
      </c>
      <c r="I27" s="338" t="str">
        <f ca="1">IFERROR(__xludf.DUMMYFUNCTION("IFERROR(VLOOKUP(F26,IMPORTRANGE(""https://docs.google.com/spreadsheets/d/1Kvs4KS76FHFqLFIZfrDMff4kP08nblUkihrxltoGBjg/edit#gid=934712705"",""ESENCIAL!A6:BG""),8,FALSE))"),"SISTEMAS.")</f>
        <v>SISTEMAS.</v>
      </c>
      <c r="J27" s="523"/>
      <c r="K27" s="575"/>
      <c r="L27" s="523"/>
      <c r="M27" s="570" t="s">
        <v>44</v>
      </c>
      <c r="N27" s="451"/>
      <c r="O27" s="451"/>
      <c r="P27" s="451"/>
      <c r="Q27" s="451"/>
      <c r="R27" s="451"/>
      <c r="S27" s="525"/>
      <c r="T27" s="526"/>
      <c r="U27" s="451"/>
      <c r="V27" s="451"/>
      <c r="W27" s="450"/>
      <c r="X27" s="527"/>
      <c r="Y27" s="527"/>
      <c r="Z27" s="527"/>
      <c r="AA27" s="527"/>
      <c r="AB27" s="527"/>
      <c r="AC27" s="527"/>
      <c r="AD27" s="527"/>
      <c r="AE27" s="527"/>
      <c r="AF27" s="527"/>
      <c r="AG27" s="527"/>
      <c r="AH27" s="527"/>
      <c r="AI27" s="527"/>
      <c r="AJ27" s="527"/>
      <c r="AK27" s="527"/>
      <c r="AL27" s="527"/>
      <c r="AM27" s="527"/>
      <c r="AN27" s="527"/>
      <c r="AO27" s="527"/>
      <c r="AP27" s="527"/>
      <c r="AQ27" s="527"/>
      <c r="AR27" s="539"/>
      <c r="AS27" s="539"/>
      <c r="AT27" s="539"/>
      <c r="AU27" s="539"/>
      <c r="AV27" s="338"/>
      <c r="AW27" s="338"/>
      <c r="AX27" s="462"/>
      <c r="AY27" s="461"/>
      <c r="AZ27" s="460"/>
      <c r="BA27" s="460"/>
      <c r="BB27" s="460"/>
      <c r="BC27" s="460"/>
      <c r="BD27" s="460"/>
      <c r="BE27" s="461"/>
      <c r="BF27" s="461"/>
      <c r="BG27" s="462"/>
      <c r="BH27" s="462"/>
      <c r="BI27" s="338"/>
      <c r="BJ27" s="338"/>
      <c r="BK27" s="338"/>
      <c r="BL27" s="38"/>
      <c r="BM27" s="38"/>
    </row>
    <row r="28" spans="1:65" ht="24">
      <c r="A28" s="164"/>
      <c r="B28" s="562"/>
      <c r="C28" s="534" t="s">
        <v>25</v>
      </c>
      <c r="D28" s="563" t="s">
        <v>675</v>
      </c>
      <c r="E28" s="451" t="s">
        <v>27</v>
      </c>
      <c r="F28" s="451">
        <v>1007401555</v>
      </c>
      <c r="G28" s="451">
        <v>2067690</v>
      </c>
      <c r="H28" s="338" t="str">
        <f ca="1">IFERROR(__xludf.DUMMYFUNCTION("IFERROR(VLOOKUP(F29,IMPORTRANGE(""https://docs.google.com/spreadsheets/d/1Kvs4KS76FHFqLFIZfrDMff4kP08nblUkihrxltoGBjg/edit#gid=934712705"",""ESENCIAL!A6:BG""),3,FALSE))"),"TECNÓLOGO")</f>
        <v>TECNÓLOGO</v>
      </c>
      <c r="I28" s="338" t="str">
        <f ca="1">IFERROR(__xludf.DUMMYFUNCTION("IFERROR(VLOOKUP(F29,IMPORTRANGE(""https://docs.google.com/spreadsheets/d/1Kvs4KS76FHFqLFIZfrDMff4kP08nblUkihrxltoGBjg/edit#gid=934712705"",""ESENCIAL!A6:BG""),8,FALSE))"),"PRODUCCION DE MULTIMEDIA")</f>
        <v>PRODUCCION DE MULTIMEDIA</v>
      </c>
      <c r="J28" s="523">
        <v>3227700429</v>
      </c>
      <c r="K28" s="575" t="s">
        <v>676</v>
      </c>
      <c r="L28" s="523" t="s">
        <v>421</v>
      </c>
      <c r="M28" s="574" t="s">
        <v>677</v>
      </c>
      <c r="N28" s="532"/>
      <c r="O28" s="576"/>
      <c r="P28" s="451"/>
      <c r="Q28" s="451"/>
      <c r="R28" s="451"/>
      <c r="S28" s="525"/>
      <c r="T28" s="526"/>
      <c r="U28" s="208" t="s">
        <v>678</v>
      </c>
      <c r="V28" s="464"/>
      <c r="W28" s="208"/>
      <c r="X28" s="527"/>
      <c r="Y28" s="527"/>
      <c r="Z28" s="527"/>
      <c r="AA28" s="527"/>
      <c r="AB28" s="527"/>
      <c r="AC28" s="527"/>
      <c r="AD28" s="527"/>
      <c r="AE28" s="527"/>
      <c r="AF28" s="527"/>
      <c r="AG28" s="527"/>
      <c r="AH28" s="527"/>
      <c r="AI28" s="527"/>
      <c r="AJ28" s="527"/>
      <c r="AK28" s="527"/>
      <c r="AL28" s="527"/>
      <c r="AM28" s="527"/>
      <c r="AN28" s="527"/>
      <c r="AO28" s="527"/>
      <c r="AP28" s="527"/>
      <c r="AQ28" s="527"/>
      <c r="AR28" s="164"/>
      <c r="AS28" s="164"/>
      <c r="AT28" s="164"/>
      <c r="AU28" s="164"/>
      <c r="AV28" s="338" t="str">
        <f t="shared" ref="AV28:AV59" ca="1" si="4">IF(F28&gt;0,IF(AND(BD28=1,BA28=1),"Procede_E_P","NO_CUMPLE"),"")</f>
        <v>Procede_E_P</v>
      </c>
      <c r="AW28" s="338" t="str">
        <f ca="1">IFERROR(__xludf.DUMMYFUNCTION("IFERROR(VLOOKUP(E29&amp;F29,IMPORTRANGE(""https://docs.google.com/spreadsheets/d/1Uw7-A9f9R21vMXxHZFNpYNeKFtG8_yji4HS352LGlSQ/edit?pli=1#gid=0"",""1_ACUM!A4:S""),11,FALSE))"),"EN FORMACION")</f>
        <v>EN FORMACION</v>
      </c>
      <c r="AX28" s="462" t="str">
        <f ca="1">IFERROR(__xludf.DUMMYFUNCTION("IFERROR(VLOOKUP(F29,IMPORTRANGE(""https://docs.google.com/spreadsheets/d/1Kvs4KS76FHFqLFIZfrDMff4kP08nblUkihrxltoGBjg/edit#gid=934712705"",""ESENCIAL!A6:BG""),15,FALSE))"),"TIC")</f>
        <v>TIC</v>
      </c>
      <c r="AY28" s="461">
        <f ca="1">IFERROR(__xludf.DUMMYFUNCTION("IFERROR(VLOOKUP(E29&amp;F29,IMPORTRANGE(""https://docs.google.com/spreadsheets/d/1Uw7-A9f9R21vMXxHZFNpYNeKFtG8_yji4HS352LGlSQ/edit?pli=1#gid=0"",""1_ACUM!A4:S""),13,FALSE))"),0)</f>
        <v>0</v>
      </c>
      <c r="AZ28" s="460">
        <f ca="1">IFERROR(__xludf.DUMMYFUNCTION("IFERROR(VLOOKUP(E29&amp;F29,IMPORTRANGE(""https://docs.google.com/spreadsheets/d/1Uw7-A9f9R21vMXxHZFNpYNeKFtG8_yji4HS352LGlSQ/edit?pli=1#gid=0"",""1_ACUM!A4:S""),13,FALSE))"),0)</f>
        <v>0</v>
      </c>
      <c r="BA28" s="460">
        <f ca="1">IFERROR(__xludf.DUMMYFUNCTION("IFERROR(VLOOKUP(E29&amp;F29,IMPORTRANGE(""https://docs.google.com/spreadsheets/d/1Uw7-A9f9R21vMXxHZFNpYNeKFtG8_yji4HS352LGlSQ/edit?pli=1#gid=0"",""1_ACUM!A4:S""),14,FALSE))"),1)</f>
        <v>1</v>
      </c>
      <c r="BB28" s="460">
        <f ca="1">IFERROR(__xludf.DUMMYFUNCTION("IFERROR(VLOOKUP(E29&amp;F29,IMPORTRANGE(""https://docs.google.com/spreadsheets/d/1Uw7-A9f9R21vMXxHZFNpYNeKFtG8_yji4HS352LGlSQ/edit?pli=1#gid=0"",""1_ACUM!A4:S""),15,FALSE))"),0)</f>
        <v>0</v>
      </c>
      <c r="BC28" s="460">
        <f ca="1">IFERROR(__xludf.DUMMYFUNCTION("IFERROR(VLOOKUP(E29&amp;F29,IMPORTRANGE(""https://docs.google.com/spreadsheets/d/1Uw7-A9f9R21vMXxHZFNpYNeKFtG8_yji4HS352LGlSQ/edit?pli=1#gid=0"",""1_ACUM!A4:S""),16,FALSE))"),0)</f>
        <v>0</v>
      </c>
      <c r="BD28" s="460">
        <f ca="1">IFERROR(__xludf.DUMMYFUNCTION("IFERROR(VLOOKUP(E29&amp;F29,IMPORTRANGE(""https://docs.google.com/spreadsheets/d/1Uw7-A9f9R21vMXxHZFNpYNeKFtG8_yji4HS352LGlSQ/edit?pli=1#gid=0"",""1_ACUM!A4:S""),17,FALSE))"),1)</f>
        <v>1</v>
      </c>
      <c r="BE28" s="461">
        <f ca="1">IFERROR(__xludf.DUMMYFUNCTION("IFERROR(VLOOKUP(E29&amp;F29,IMPORTRANGE(""https://docs.google.com/spreadsheets/d/1Uw7-A9f9R21vMXxHZFNpYNeKFtG8_yji4HS352LGlSQ/edit?pli=1#gid=0"",""1_ACUM!A4:S""),18,FALSE))"),43934)</f>
        <v>43934</v>
      </c>
      <c r="BF28" s="461">
        <f ca="1">IFERROR(__xludf.DUMMYFUNCTION("IFERROR(VLOOKUP(E29&amp;F29,IMPORTRANGE(""https://docs.google.com/spreadsheets/d/1Uw7-A9f9R21vMXxHZFNpYNeKFtG8_yji4HS352LGlSQ/edit?pli=1#gid=0"",""1_ACUM!A4:S""),19,FALSE))"),44543)</f>
        <v>44543</v>
      </c>
      <c r="BG28" s="462">
        <f ca="1">IFERROR(__xludf.DUMMYFUNCTION("IFERROR(VLOOKUP(F29,IMPORTRANGE(""https://docs.google.com/spreadsheets/d/1Kvs4KS76FHFqLFIZfrDMff4kP08nblUkihrxltoGBjg/edit#gid=934712705"",""ESENCIAL!A6:BG""),5,FALSE))"),44725)</f>
        <v>44725</v>
      </c>
      <c r="BH28" s="462">
        <f t="shared" ref="BH28:BH59" ca="1" si="5">IF(G28&gt;0,EDATE(BG28,18),"")</f>
        <v>45273</v>
      </c>
      <c r="BI28" s="338" t="str">
        <f t="shared" ref="BI28:BI59" ca="1" si="6">IF(G28&gt;0,IF(BH28&lt;$BI$1,"FINALIZAR FICHA","FICHA EN TIEMPO-18 MESES"),"")</f>
        <v>FICHA EN TIEMPO-18 MESES</v>
      </c>
      <c r="BJ28" s="338" t="str">
        <f ca="1">IFERROR(__xludf.DUMMYFUNCTION("IFERROR(VLOOKUP(F29,IMPORTRANGE(""https://docs.google.com/spreadsheets/d/1Kvs4KS76FHFqLFIZfrDMff4kP08nblUkihrxltoGBjg/edit#gid=934712705"",""ESENCIAL!A6:BG""),2,FALSE))"),"Terminada por fecha")</f>
        <v>Terminada por fecha</v>
      </c>
      <c r="BK28" s="338" t="str">
        <f t="shared" ref="BK28:BK59" si="7">IF(G28&gt;0,"Yamboro","")</f>
        <v>Yamboro</v>
      </c>
      <c r="BL28" s="38"/>
      <c r="BM28" s="38"/>
    </row>
    <row r="29" spans="1:65" ht="24">
      <c r="A29" s="164"/>
      <c r="B29" s="562"/>
      <c r="C29" s="534" t="s">
        <v>25</v>
      </c>
      <c r="D29" s="563" t="s">
        <v>679</v>
      </c>
      <c r="E29" s="451" t="s">
        <v>27</v>
      </c>
      <c r="F29" s="451">
        <v>1007745439</v>
      </c>
      <c r="G29" s="451">
        <v>2067690</v>
      </c>
      <c r="H29" s="338" t="str">
        <f ca="1">IFERROR(__xludf.DUMMYFUNCTION("IFERROR(VLOOKUP(F32,IMPORTRANGE(""https://docs.google.com/spreadsheets/d/1Kvs4KS76FHFqLFIZfrDMff4kP08nblUkihrxltoGBjg/edit#gid=934712705"",""ESENCIAL!A6:BG""),3,FALSE))"),"TECNÓLOGO")</f>
        <v>TECNÓLOGO</v>
      </c>
      <c r="I29" s="338" t="str">
        <f ca="1">IFERROR(__xludf.DUMMYFUNCTION("IFERROR(VLOOKUP(F32,IMPORTRANGE(""https://docs.google.com/spreadsheets/d/1Kvs4KS76FHFqLFIZfrDMff4kP08nblUkihrxltoGBjg/edit#gid=934712705"",""ESENCIAL!A6:BG""),8,FALSE))"),"PRODUCCION DE MULTIMEDIA")</f>
        <v>PRODUCCION DE MULTIMEDIA</v>
      </c>
      <c r="J29" s="523">
        <v>3209843963</v>
      </c>
      <c r="K29" s="575" t="s">
        <v>680</v>
      </c>
      <c r="L29" s="523" t="s">
        <v>421</v>
      </c>
      <c r="M29" s="570" t="s">
        <v>44</v>
      </c>
      <c r="N29" s="451"/>
      <c r="O29" s="451"/>
      <c r="P29" s="451"/>
      <c r="Q29" s="451"/>
      <c r="R29" s="451"/>
      <c r="S29" s="525"/>
      <c r="T29" s="526"/>
      <c r="U29" s="451"/>
      <c r="V29" s="459" t="s">
        <v>563</v>
      </c>
      <c r="W29" s="450"/>
      <c r="X29" s="527"/>
      <c r="Y29" s="527"/>
      <c r="Z29" s="527"/>
      <c r="AA29" s="527"/>
      <c r="AB29" s="527"/>
      <c r="AC29" s="527"/>
      <c r="AD29" s="527"/>
      <c r="AE29" s="527"/>
      <c r="AF29" s="527"/>
      <c r="AG29" s="527"/>
      <c r="AH29" s="527"/>
      <c r="AI29" s="527"/>
      <c r="AJ29" s="527"/>
      <c r="AK29" s="527"/>
      <c r="AL29" s="527"/>
      <c r="AM29" s="527"/>
      <c r="AN29" s="527"/>
      <c r="AO29" s="527"/>
      <c r="AP29" s="527"/>
      <c r="AQ29" s="527"/>
      <c r="AR29" s="164"/>
      <c r="AS29" s="164"/>
      <c r="AT29" s="164"/>
      <c r="AU29" s="164"/>
      <c r="AV29" s="338" t="str">
        <f t="shared" ca="1" si="4"/>
        <v>NO_CUMPLE</v>
      </c>
      <c r="AW29" s="338" t="str">
        <f ca="1">IFERROR(__xludf.DUMMYFUNCTION("IFERROR(VLOOKUP(E32&amp;F32,IMPORTRANGE(""https://docs.google.com/spreadsheets/d/1Uw7-A9f9R21vMXxHZFNpYNeKFtG8_yji4HS352LGlSQ/edit?pli=1#gid=0"",""1_ACUM!A4:S""),11,FALSE))"),"EN FORMACION")</f>
        <v>EN FORMACION</v>
      </c>
      <c r="AX29" s="462" t="str">
        <f ca="1">IFERROR(__xludf.DUMMYFUNCTION("IFERROR(VLOOKUP(F32,IMPORTRANGE(""https://docs.google.com/spreadsheets/d/1Kvs4KS76FHFqLFIZfrDMff4kP08nblUkihrxltoGBjg/edit#gid=934712705"",""ESENCIAL!A6:BG""),15,FALSE))"),"TIC")</f>
        <v>TIC</v>
      </c>
      <c r="AY29" s="461">
        <f ca="1">IFERROR(__xludf.DUMMYFUNCTION("IFERROR(VLOOKUP(E32&amp;F32,IMPORTRANGE(""https://docs.google.com/spreadsheets/d/1Uw7-A9f9R21vMXxHZFNpYNeKFtG8_yji4HS352LGlSQ/edit?pli=1#gid=0"",""1_ACUM!A4:S""),13,FALSE))"),1)</f>
        <v>1</v>
      </c>
      <c r="AZ29" s="460">
        <f ca="1">IFERROR(__xludf.DUMMYFUNCTION("IFERROR(VLOOKUP(E32&amp;F32,IMPORTRANGE(""https://docs.google.com/spreadsheets/d/1Uw7-A9f9R21vMXxHZFNpYNeKFtG8_yji4HS352LGlSQ/edit?pli=1#gid=0"",""1_ACUM!A4:S""),13,FALSE))"),1)</f>
        <v>1</v>
      </c>
      <c r="BA29" s="460">
        <f ca="1">IFERROR(__xludf.DUMMYFUNCTION("IFERROR(VLOOKUP(E32&amp;F32,IMPORTRANGE(""https://docs.google.com/spreadsheets/d/1Uw7-A9f9R21vMXxHZFNpYNeKFtG8_yji4HS352LGlSQ/edit?pli=1#gid=0"",""1_ACUM!A4:S""),14,FALSE))"),1)</f>
        <v>1</v>
      </c>
      <c r="BB29" s="460">
        <f ca="1">IFERROR(__xludf.DUMMYFUNCTION("IFERROR(VLOOKUP(E32&amp;F32,IMPORTRANGE(""https://docs.google.com/spreadsheets/d/1Uw7-A9f9R21vMXxHZFNpYNeKFtG8_yji4HS352LGlSQ/edit?pli=1#gid=0"",""1_ACUM!A4:S""),15,FALSE))"),0)</f>
        <v>0</v>
      </c>
      <c r="BC29" s="460">
        <f ca="1">IFERROR(__xludf.DUMMYFUNCTION("IFERROR(VLOOKUP(E32&amp;F32,IMPORTRANGE(""https://docs.google.com/spreadsheets/d/1Uw7-A9f9R21vMXxHZFNpYNeKFtG8_yji4HS352LGlSQ/edit?pli=1#gid=0"",""1_ACUM!A4:S""),16,FALSE))"),0)</f>
        <v>0</v>
      </c>
      <c r="BD29" s="460">
        <f ca="1">IFERROR(__xludf.DUMMYFUNCTION("IFERROR(VLOOKUP(E32&amp;F32,IMPORTRANGE(""https://docs.google.com/spreadsheets/d/1Uw7-A9f9R21vMXxHZFNpYNeKFtG8_yji4HS352LGlSQ/edit?pli=1#gid=0"",""1_ACUM!A4:S""),17,FALSE))"),2)</f>
        <v>2</v>
      </c>
      <c r="BE29" s="461">
        <f ca="1">IFERROR(__xludf.DUMMYFUNCTION("IFERROR(VLOOKUP(E32&amp;F32,IMPORTRANGE(""https://docs.google.com/spreadsheets/d/1Uw7-A9f9R21vMXxHZFNpYNeKFtG8_yji4HS352LGlSQ/edit?pli=1#gid=0"",""1_ACUM!A4:S""),18,FALSE))"),43934)</f>
        <v>43934</v>
      </c>
      <c r="BF29" s="461">
        <f ca="1">IFERROR(__xludf.DUMMYFUNCTION("IFERROR(VLOOKUP(E32&amp;F32,IMPORTRANGE(""https://docs.google.com/spreadsheets/d/1Uw7-A9f9R21vMXxHZFNpYNeKFtG8_yji4HS352LGlSQ/edit?pli=1#gid=0"",""1_ACUM!A4:S""),19,FALSE))"),44543)</f>
        <v>44543</v>
      </c>
      <c r="BG29" s="462">
        <f ca="1">IFERROR(__xludf.DUMMYFUNCTION("IFERROR(VLOOKUP(F32,IMPORTRANGE(""https://docs.google.com/spreadsheets/d/1Kvs4KS76FHFqLFIZfrDMff4kP08nblUkihrxltoGBjg/edit#gid=934712705"",""ESENCIAL!A6:BG""),5,FALSE))"),44725)</f>
        <v>44725</v>
      </c>
      <c r="BH29" s="462">
        <f t="shared" ca="1" si="5"/>
        <v>45273</v>
      </c>
      <c r="BI29" s="338" t="str">
        <f t="shared" ca="1" si="6"/>
        <v>FICHA EN TIEMPO-18 MESES</v>
      </c>
      <c r="BJ29" s="338" t="str">
        <f ca="1">IFERROR(__xludf.DUMMYFUNCTION("IFERROR(VLOOKUP(F32,IMPORTRANGE(""https://docs.google.com/spreadsheets/d/1Kvs4KS76FHFqLFIZfrDMff4kP08nblUkihrxltoGBjg/edit#gid=934712705"",""ESENCIAL!A6:BG""),2,FALSE))"),"Terminada por fecha")</f>
        <v>Terminada por fecha</v>
      </c>
      <c r="BK29" s="338" t="str">
        <f t="shared" si="7"/>
        <v>Yamboro</v>
      </c>
      <c r="BL29" s="38"/>
      <c r="BM29" s="38"/>
    </row>
    <row r="30" spans="1:65" ht="24">
      <c r="A30" s="164" t="s">
        <v>651</v>
      </c>
      <c r="B30" s="562"/>
      <c r="C30" s="534" t="s">
        <v>25</v>
      </c>
      <c r="D30" s="563" t="s">
        <v>681</v>
      </c>
      <c r="E30" s="451" t="s">
        <v>27</v>
      </c>
      <c r="F30" s="451">
        <v>1083927859</v>
      </c>
      <c r="G30" s="451">
        <v>2067690</v>
      </c>
      <c r="H30" s="338" t="str">
        <f ca="1">IFERROR(__xludf.DUMMYFUNCTION("IFERROR(VLOOKUP(F34,IMPORTRANGE(""https://docs.google.com/spreadsheets/d/1Kvs4KS76FHFqLFIZfrDMff4kP08nblUkihrxltoGBjg/edit#gid=934712705"",""ESENCIAL!A6:BG""),3,FALSE))"),"TECNÓLOGO")</f>
        <v>TECNÓLOGO</v>
      </c>
      <c r="I30" s="338" t="str">
        <f ca="1">IFERROR(__xludf.DUMMYFUNCTION("IFERROR(VLOOKUP(F34,IMPORTRANGE(""https://docs.google.com/spreadsheets/d/1Kvs4KS76FHFqLFIZfrDMff4kP08nblUkihrxltoGBjg/edit#gid=934712705"",""ESENCIAL!A6:BG""),8,FALSE))"),"PRODUCCION DE MULTIMEDIA")</f>
        <v>PRODUCCION DE MULTIMEDIA</v>
      </c>
      <c r="J30" s="523">
        <v>3135601759</v>
      </c>
      <c r="K30" s="575" t="s">
        <v>682</v>
      </c>
      <c r="L30" s="523" t="s">
        <v>421</v>
      </c>
      <c r="M30" s="577" t="s">
        <v>37</v>
      </c>
      <c r="N30" s="451" t="s">
        <v>683</v>
      </c>
      <c r="O30" s="451" t="s">
        <v>84</v>
      </c>
      <c r="P30" s="451">
        <v>3212934543</v>
      </c>
      <c r="Q30" s="451" t="s">
        <v>84</v>
      </c>
      <c r="R30" s="451" t="s">
        <v>684</v>
      </c>
      <c r="S30" s="525">
        <v>44819</v>
      </c>
      <c r="T30" s="526">
        <v>45000</v>
      </c>
      <c r="U30" s="451"/>
      <c r="V30" s="459" t="s">
        <v>563</v>
      </c>
      <c r="W30" s="450"/>
      <c r="X30" s="527"/>
      <c r="Y30" s="527"/>
      <c r="Z30" s="527"/>
      <c r="AA30" s="527"/>
      <c r="AB30" s="527"/>
      <c r="AC30" s="527"/>
      <c r="AD30" s="527"/>
      <c r="AE30" s="527"/>
      <c r="AF30" s="527"/>
      <c r="AG30" s="527"/>
      <c r="AH30" s="527"/>
      <c r="AI30" s="527"/>
      <c r="AJ30" s="527"/>
      <c r="AK30" s="527"/>
      <c r="AL30" s="527"/>
      <c r="AM30" s="527"/>
      <c r="AN30" s="527"/>
      <c r="AO30" s="527"/>
      <c r="AP30" s="527"/>
      <c r="AQ30" s="527"/>
      <c r="AR30" s="164"/>
      <c r="AS30" s="164"/>
      <c r="AT30" s="164"/>
      <c r="AU30" s="164"/>
      <c r="AV30" s="338" t="str">
        <f t="shared" ca="1" si="4"/>
        <v>Procede_E_P</v>
      </c>
      <c r="AW30" s="338" t="str">
        <f ca="1">IFERROR(__xludf.DUMMYFUNCTION("IFERROR(VLOOKUP(E34&amp;F34,IMPORTRANGE(""https://docs.google.com/spreadsheets/d/1Uw7-A9f9R21vMXxHZFNpYNeKFtG8_yji4HS352LGlSQ/edit?pli=1#gid=0"",""1_ACUM!A4:S""),11,FALSE))"),"EN FORMACION")</f>
        <v>EN FORMACION</v>
      </c>
      <c r="AX30" s="462" t="str">
        <f ca="1">IFERROR(__xludf.DUMMYFUNCTION("IFERROR(VLOOKUP(F34,IMPORTRANGE(""https://docs.google.com/spreadsheets/d/1Kvs4KS76FHFqLFIZfrDMff4kP08nblUkihrxltoGBjg/edit#gid=934712705"",""ESENCIAL!A6:BG""),15,FALSE))"),"TIC")</f>
        <v>TIC</v>
      </c>
      <c r="AY30" s="461">
        <f ca="1">IFERROR(__xludf.DUMMYFUNCTION("IFERROR(VLOOKUP(E34&amp;F34,IMPORTRANGE(""https://docs.google.com/spreadsheets/d/1Uw7-A9f9R21vMXxHZFNpYNeKFtG8_yji4HS352LGlSQ/edit?pli=1#gid=0"",""1_ACUM!A4:S""),13,FALSE))"),0)</f>
        <v>0</v>
      </c>
      <c r="AZ30" s="460">
        <f ca="1">IFERROR(__xludf.DUMMYFUNCTION("IFERROR(VLOOKUP(E34&amp;F34,IMPORTRANGE(""https://docs.google.com/spreadsheets/d/1Uw7-A9f9R21vMXxHZFNpYNeKFtG8_yji4HS352LGlSQ/edit?pli=1#gid=0"",""1_ACUM!A4:S""),13,FALSE))"),0)</f>
        <v>0</v>
      </c>
      <c r="BA30" s="460">
        <f ca="1">IFERROR(__xludf.DUMMYFUNCTION("IFERROR(VLOOKUP(E34&amp;F34,IMPORTRANGE(""https://docs.google.com/spreadsheets/d/1Uw7-A9f9R21vMXxHZFNpYNeKFtG8_yji4HS352LGlSQ/edit?pli=1#gid=0"",""1_ACUM!A4:S""),14,FALSE))"),1)</f>
        <v>1</v>
      </c>
      <c r="BB30" s="460">
        <f ca="1">IFERROR(__xludf.DUMMYFUNCTION("IFERROR(VLOOKUP(E34&amp;F34,IMPORTRANGE(""https://docs.google.com/spreadsheets/d/1Uw7-A9f9R21vMXxHZFNpYNeKFtG8_yji4HS352LGlSQ/edit?pli=1#gid=0"",""1_ACUM!A4:S""),15,FALSE))"),0)</f>
        <v>0</v>
      </c>
      <c r="BC30" s="460">
        <f ca="1">IFERROR(__xludf.DUMMYFUNCTION("IFERROR(VLOOKUP(E34&amp;F34,IMPORTRANGE(""https://docs.google.com/spreadsheets/d/1Uw7-A9f9R21vMXxHZFNpYNeKFtG8_yji4HS352LGlSQ/edit?pli=1#gid=0"",""1_ACUM!A4:S""),16,FALSE))"),0)</f>
        <v>0</v>
      </c>
      <c r="BD30" s="460">
        <f ca="1">IFERROR(__xludf.DUMMYFUNCTION("IFERROR(VLOOKUP(E34&amp;F34,IMPORTRANGE(""https://docs.google.com/spreadsheets/d/1Uw7-A9f9R21vMXxHZFNpYNeKFtG8_yji4HS352LGlSQ/edit?pli=1#gid=0"",""1_ACUM!A4:S""),17,FALSE))"),1)</f>
        <v>1</v>
      </c>
      <c r="BE30" s="461">
        <f ca="1">IFERROR(__xludf.DUMMYFUNCTION("IFERROR(VLOOKUP(E34&amp;F34,IMPORTRANGE(""https://docs.google.com/spreadsheets/d/1Uw7-A9f9R21vMXxHZFNpYNeKFtG8_yji4HS352LGlSQ/edit?pli=1#gid=0"",""1_ACUM!A4:S""),18,FALSE))"),43934)</f>
        <v>43934</v>
      </c>
      <c r="BF30" s="461">
        <f ca="1">IFERROR(__xludf.DUMMYFUNCTION("IFERROR(VLOOKUP(E34&amp;F34,IMPORTRANGE(""https://docs.google.com/spreadsheets/d/1Uw7-A9f9R21vMXxHZFNpYNeKFtG8_yji4HS352LGlSQ/edit?pli=1#gid=0"",""1_ACUM!A4:S""),19,FALSE))"),44543)</f>
        <v>44543</v>
      </c>
      <c r="BG30" s="462">
        <f ca="1">IFERROR(__xludf.DUMMYFUNCTION("IFERROR(VLOOKUP(F34,IMPORTRANGE(""https://docs.google.com/spreadsheets/d/1Kvs4KS76FHFqLFIZfrDMff4kP08nblUkihrxltoGBjg/edit#gid=934712705"",""ESENCIAL!A6:BG""),5,FALSE))"),44725)</f>
        <v>44725</v>
      </c>
      <c r="BH30" s="462">
        <f t="shared" ca="1" si="5"/>
        <v>45273</v>
      </c>
      <c r="BI30" s="338" t="str">
        <f t="shared" ca="1" si="6"/>
        <v>FICHA EN TIEMPO-18 MESES</v>
      </c>
      <c r="BJ30" s="338" t="str">
        <f ca="1">IFERROR(__xludf.DUMMYFUNCTION("IFERROR(VLOOKUP(F34,IMPORTRANGE(""https://docs.google.com/spreadsheets/d/1Kvs4KS76FHFqLFIZfrDMff4kP08nblUkihrxltoGBjg/edit#gid=934712705"",""ESENCIAL!A6:BG""),2,FALSE))"),"Terminada por fecha")</f>
        <v>Terminada por fecha</v>
      </c>
      <c r="BK30" s="338" t="str">
        <f t="shared" si="7"/>
        <v>Yamboro</v>
      </c>
      <c r="BL30" s="38"/>
      <c r="BM30" s="38"/>
    </row>
    <row r="31" spans="1:65" ht="24">
      <c r="A31" s="164" t="s">
        <v>651</v>
      </c>
      <c r="B31" s="562"/>
      <c r="C31" s="534" t="s">
        <v>25</v>
      </c>
      <c r="D31" s="563" t="s">
        <v>685</v>
      </c>
      <c r="E31" s="451" t="s">
        <v>27</v>
      </c>
      <c r="F31" s="451">
        <v>1083929981</v>
      </c>
      <c r="G31" s="451">
        <v>2067690</v>
      </c>
      <c r="H31" s="338" t="str">
        <f ca="1">IFERROR(__xludf.DUMMYFUNCTION("IFERROR(VLOOKUP(F35,IMPORTRANGE(""https://docs.google.com/spreadsheets/d/1Kvs4KS76FHFqLFIZfrDMff4kP08nblUkihrxltoGBjg/edit#gid=934712705"",""ESENCIAL!A6:BG""),3,FALSE))"),"TECNÓLOGO")</f>
        <v>TECNÓLOGO</v>
      </c>
      <c r="I31" s="338" t="str">
        <f ca="1">IFERROR(__xludf.DUMMYFUNCTION("IFERROR(VLOOKUP(F35,IMPORTRANGE(""https://docs.google.com/spreadsheets/d/1Kvs4KS76FHFqLFIZfrDMff4kP08nblUkihrxltoGBjg/edit#gid=934712705"",""ESENCIAL!A6:BG""),8,FALSE))"),"PRODUCCION DE MULTIMEDIA")</f>
        <v>PRODUCCION DE MULTIMEDIA</v>
      </c>
      <c r="J31" s="523">
        <v>3203187707</v>
      </c>
      <c r="K31" s="575" t="s">
        <v>686</v>
      </c>
      <c r="L31" s="523" t="s">
        <v>421</v>
      </c>
      <c r="M31" s="568" t="s">
        <v>44</v>
      </c>
      <c r="N31" s="451"/>
      <c r="O31" s="451"/>
      <c r="P31" s="451"/>
      <c r="Q31" s="451"/>
      <c r="R31" s="451"/>
      <c r="S31" s="525"/>
      <c r="T31" s="526"/>
      <c r="U31" s="451"/>
      <c r="V31" s="459" t="s">
        <v>563</v>
      </c>
      <c r="W31" s="450"/>
      <c r="X31" s="527"/>
      <c r="Y31" s="527"/>
      <c r="Z31" s="527"/>
      <c r="AA31" s="527"/>
      <c r="AB31" s="527"/>
      <c r="AC31" s="527"/>
      <c r="AD31" s="527"/>
      <c r="AE31" s="527"/>
      <c r="AF31" s="527"/>
      <c r="AG31" s="527"/>
      <c r="AH31" s="527"/>
      <c r="AI31" s="527"/>
      <c r="AJ31" s="527"/>
      <c r="AK31" s="527"/>
      <c r="AL31" s="527"/>
      <c r="AM31" s="527"/>
      <c r="AN31" s="527"/>
      <c r="AO31" s="527"/>
      <c r="AP31" s="527"/>
      <c r="AQ31" s="527"/>
      <c r="AR31" s="164"/>
      <c r="AS31" s="164"/>
      <c r="AT31" s="164"/>
      <c r="AU31" s="164"/>
      <c r="AV31" s="338" t="str">
        <f t="shared" ca="1" si="4"/>
        <v>Procede_E_P</v>
      </c>
      <c r="AW31" s="338" t="str">
        <f ca="1">IFERROR(__xludf.DUMMYFUNCTION("IFERROR(VLOOKUP(E35&amp;F35,IMPORTRANGE(""https://docs.google.com/spreadsheets/d/1Uw7-A9f9R21vMXxHZFNpYNeKFtG8_yji4HS352LGlSQ/edit?pli=1#gid=0"",""1_ACUM!A4:S""),11,FALSE))"),"EN FORMACION")</f>
        <v>EN FORMACION</v>
      </c>
      <c r="AX31" s="462" t="str">
        <f ca="1">IFERROR(__xludf.DUMMYFUNCTION("IFERROR(VLOOKUP(F35,IMPORTRANGE(""https://docs.google.com/spreadsheets/d/1Kvs4KS76FHFqLFIZfrDMff4kP08nblUkihrxltoGBjg/edit#gid=934712705"",""ESENCIAL!A6:BG""),15,FALSE))"),"TIC")</f>
        <v>TIC</v>
      </c>
      <c r="AY31" s="461">
        <f ca="1">IFERROR(__xludf.DUMMYFUNCTION("IFERROR(VLOOKUP(E35&amp;F35,IMPORTRANGE(""https://docs.google.com/spreadsheets/d/1Uw7-A9f9R21vMXxHZFNpYNeKFtG8_yji4HS352LGlSQ/edit?pli=1#gid=0"",""1_ACUM!A4:S""),13,FALSE))"),0)</f>
        <v>0</v>
      </c>
      <c r="AZ31" s="460">
        <f ca="1">IFERROR(__xludf.DUMMYFUNCTION("IFERROR(VLOOKUP(E35&amp;F35,IMPORTRANGE(""https://docs.google.com/spreadsheets/d/1Uw7-A9f9R21vMXxHZFNpYNeKFtG8_yji4HS352LGlSQ/edit?pli=1#gid=0"",""1_ACUM!A4:S""),13,FALSE))"),0)</f>
        <v>0</v>
      </c>
      <c r="BA31" s="460">
        <f ca="1">IFERROR(__xludf.DUMMYFUNCTION("IFERROR(VLOOKUP(E35&amp;F35,IMPORTRANGE(""https://docs.google.com/spreadsheets/d/1Uw7-A9f9R21vMXxHZFNpYNeKFtG8_yji4HS352LGlSQ/edit?pli=1#gid=0"",""1_ACUM!A4:S""),14,FALSE))"),1)</f>
        <v>1</v>
      </c>
      <c r="BB31" s="460">
        <f ca="1">IFERROR(__xludf.DUMMYFUNCTION("IFERROR(VLOOKUP(E35&amp;F35,IMPORTRANGE(""https://docs.google.com/spreadsheets/d/1Uw7-A9f9R21vMXxHZFNpYNeKFtG8_yji4HS352LGlSQ/edit?pli=1#gid=0"",""1_ACUM!A4:S""),15,FALSE))"),0)</f>
        <v>0</v>
      </c>
      <c r="BC31" s="460">
        <f ca="1">IFERROR(__xludf.DUMMYFUNCTION("IFERROR(VLOOKUP(E35&amp;F35,IMPORTRANGE(""https://docs.google.com/spreadsheets/d/1Uw7-A9f9R21vMXxHZFNpYNeKFtG8_yji4HS352LGlSQ/edit?pli=1#gid=0"",""1_ACUM!A4:S""),16,FALSE))"),0)</f>
        <v>0</v>
      </c>
      <c r="BD31" s="460">
        <f ca="1">IFERROR(__xludf.DUMMYFUNCTION("IFERROR(VLOOKUP(E35&amp;F35,IMPORTRANGE(""https://docs.google.com/spreadsheets/d/1Uw7-A9f9R21vMXxHZFNpYNeKFtG8_yji4HS352LGlSQ/edit?pli=1#gid=0"",""1_ACUM!A4:S""),17,FALSE))"),1)</f>
        <v>1</v>
      </c>
      <c r="BE31" s="461">
        <f ca="1">IFERROR(__xludf.DUMMYFUNCTION("IFERROR(VLOOKUP(E35&amp;F35,IMPORTRANGE(""https://docs.google.com/spreadsheets/d/1Uw7-A9f9R21vMXxHZFNpYNeKFtG8_yji4HS352LGlSQ/edit?pli=1#gid=0"",""1_ACUM!A4:S""),18,FALSE))"),43934)</f>
        <v>43934</v>
      </c>
      <c r="BF31" s="461">
        <f ca="1">IFERROR(__xludf.DUMMYFUNCTION("IFERROR(VLOOKUP(E35&amp;F35,IMPORTRANGE(""https://docs.google.com/spreadsheets/d/1Uw7-A9f9R21vMXxHZFNpYNeKFtG8_yji4HS352LGlSQ/edit?pli=1#gid=0"",""1_ACUM!A4:S""),19,FALSE))"),44543)</f>
        <v>44543</v>
      </c>
      <c r="BG31" s="462">
        <f ca="1">IFERROR(__xludf.DUMMYFUNCTION("IFERROR(VLOOKUP(F35,IMPORTRANGE(""https://docs.google.com/spreadsheets/d/1Kvs4KS76FHFqLFIZfrDMff4kP08nblUkihrxltoGBjg/edit#gid=934712705"",""ESENCIAL!A6:BG""),5,FALSE))"),44725)</f>
        <v>44725</v>
      </c>
      <c r="BH31" s="462">
        <f t="shared" ca="1" si="5"/>
        <v>45273</v>
      </c>
      <c r="BI31" s="338" t="str">
        <f t="shared" ca="1" si="6"/>
        <v>FICHA EN TIEMPO-18 MESES</v>
      </c>
      <c r="BJ31" s="338" t="str">
        <f ca="1">IFERROR(__xludf.DUMMYFUNCTION("IFERROR(VLOOKUP(F35,IMPORTRANGE(""https://docs.google.com/spreadsheets/d/1Kvs4KS76FHFqLFIZfrDMff4kP08nblUkihrxltoGBjg/edit#gid=934712705"",""ESENCIAL!A6:BG""),2,FALSE))"),"Terminada por fecha")</f>
        <v>Terminada por fecha</v>
      </c>
      <c r="BK31" s="338" t="str">
        <f t="shared" si="7"/>
        <v>Yamboro</v>
      </c>
      <c r="BL31" s="38"/>
      <c r="BM31" s="38"/>
    </row>
    <row r="32" spans="1:65" ht="24">
      <c r="A32" s="164" t="s">
        <v>651</v>
      </c>
      <c r="B32" s="562"/>
      <c r="C32" s="534" t="s">
        <v>25</v>
      </c>
      <c r="D32" s="563" t="s">
        <v>687</v>
      </c>
      <c r="E32" s="451" t="s">
        <v>27</v>
      </c>
      <c r="F32" s="451">
        <v>1123327382</v>
      </c>
      <c r="G32" s="451">
        <v>2067690</v>
      </c>
      <c r="H32" s="338" t="str">
        <f ca="1">IFERROR(__xludf.DUMMYFUNCTION("IFERROR(VLOOKUP(F37,IMPORTRANGE(""https://docs.google.com/spreadsheets/d/1Kvs4KS76FHFqLFIZfrDMff4kP08nblUkihrxltoGBjg/edit#gid=934712705"",""ESENCIAL!A6:BG""),3,FALSE))"),"TECNÓLOGO")</f>
        <v>TECNÓLOGO</v>
      </c>
      <c r="I32" s="338" t="str">
        <f ca="1">IFERROR(__xludf.DUMMYFUNCTION("IFERROR(VLOOKUP(F37,IMPORTRANGE(""https://docs.google.com/spreadsheets/d/1Kvs4KS76FHFqLFIZfrDMff4kP08nblUkihrxltoGBjg/edit#gid=934712705"",""ESENCIAL!A6:BG""),8,FALSE))"),"PRODUCCION DE MULTIMEDIA")</f>
        <v>PRODUCCION DE MULTIMEDIA</v>
      </c>
      <c r="J32" s="523">
        <v>3144762015</v>
      </c>
      <c r="K32" s="575" t="s">
        <v>688</v>
      </c>
      <c r="L32" s="523" t="s">
        <v>421</v>
      </c>
      <c r="M32" s="570" t="s">
        <v>44</v>
      </c>
      <c r="N32" s="451"/>
      <c r="O32" s="451"/>
      <c r="P32" s="451"/>
      <c r="Q32" s="451"/>
      <c r="R32" s="451"/>
      <c r="S32" s="525"/>
      <c r="T32" s="526"/>
      <c r="U32" s="451"/>
      <c r="V32" s="459" t="s">
        <v>563</v>
      </c>
      <c r="W32" s="450"/>
      <c r="X32" s="527"/>
      <c r="Y32" s="527"/>
      <c r="Z32" s="527"/>
      <c r="AA32" s="527"/>
      <c r="AB32" s="527"/>
      <c r="AC32" s="527"/>
      <c r="AD32" s="527"/>
      <c r="AE32" s="527"/>
      <c r="AF32" s="527"/>
      <c r="AG32" s="527"/>
      <c r="AH32" s="527"/>
      <c r="AI32" s="527"/>
      <c r="AJ32" s="527"/>
      <c r="AK32" s="527"/>
      <c r="AL32" s="527"/>
      <c r="AM32" s="527"/>
      <c r="AN32" s="527"/>
      <c r="AO32" s="527"/>
      <c r="AP32" s="527"/>
      <c r="AQ32" s="527"/>
      <c r="AR32" s="164"/>
      <c r="AS32" s="164"/>
      <c r="AT32" s="164"/>
      <c r="AU32" s="164"/>
      <c r="AV32" s="338" t="str">
        <f t="shared" ca="1" si="4"/>
        <v>Procede_E_P</v>
      </c>
      <c r="AW32" s="338" t="str">
        <f ca="1">IFERROR(__xludf.DUMMYFUNCTION("IFERROR(VLOOKUP(E37&amp;F37,IMPORTRANGE(""https://docs.google.com/spreadsheets/d/1Uw7-A9f9R21vMXxHZFNpYNeKFtG8_yji4HS352LGlSQ/edit?pli=1#gid=0"",""1_ACUM!A4:S""),11,FALSE))"),"EN FORMACION")</f>
        <v>EN FORMACION</v>
      </c>
      <c r="AX32" s="462" t="str">
        <f ca="1">IFERROR(__xludf.DUMMYFUNCTION("IFERROR(VLOOKUP(F37,IMPORTRANGE(""https://docs.google.com/spreadsheets/d/1Kvs4KS76FHFqLFIZfrDMff4kP08nblUkihrxltoGBjg/edit#gid=934712705"",""ESENCIAL!A6:BG""),15,FALSE))"),"TIC")</f>
        <v>TIC</v>
      </c>
      <c r="AY32" s="461">
        <f ca="1">IFERROR(__xludf.DUMMYFUNCTION("IFERROR(VLOOKUP(E37&amp;F37,IMPORTRANGE(""https://docs.google.com/spreadsheets/d/1Uw7-A9f9R21vMXxHZFNpYNeKFtG8_yji4HS352LGlSQ/edit?pli=1#gid=0"",""1_ACUM!A4:S""),13,FALSE))"),0)</f>
        <v>0</v>
      </c>
      <c r="AZ32" s="460">
        <f ca="1">IFERROR(__xludf.DUMMYFUNCTION("IFERROR(VLOOKUP(E37&amp;F37,IMPORTRANGE(""https://docs.google.com/spreadsheets/d/1Uw7-A9f9R21vMXxHZFNpYNeKFtG8_yji4HS352LGlSQ/edit?pli=1#gid=0"",""1_ACUM!A4:S""),13,FALSE))"),0)</f>
        <v>0</v>
      </c>
      <c r="BA32" s="460">
        <f ca="1">IFERROR(__xludf.DUMMYFUNCTION("IFERROR(VLOOKUP(E37&amp;F37,IMPORTRANGE(""https://docs.google.com/spreadsheets/d/1Uw7-A9f9R21vMXxHZFNpYNeKFtG8_yji4HS352LGlSQ/edit?pli=1#gid=0"",""1_ACUM!A4:S""),14,FALSE))"),1)</f>
        <v>1</v>
      </c>
      <c r="BB32" s="460">
        <f ca="1">IFERROR(__xludf.DUMMYFUNCTION("IFERROR(VLOOKUP(E37&amp;F37,IMPORTRANGE(""https://docs.google.com/spreadsheets/d/1Uw7-A9f9R21vMXxHZFNpYNeKFtG8_yji4HS352LGlSQ/edit?pli=1#gid=0"",""1_ACUM!A4:S""),15,FALSE))"),0)</f>
        <v>0</v>
      </c>
      <c r="BC32" s="460">
        <f ca="1">IFERROR(__xludf.DUMMYFUNCTION("IFERROR(VLOOKUP(E37&amp;F37,IMPORTRANGE(""https://docs.google.com/spreadsheets/d/1Uw7-A9f9R21vMXxHZFNpYNeKFtG8_yji4HS352LGlSQ/edit?pli=1#gid=0"",""1_ACUM!A4:S""),16,FALSE))"),0)</f>
        <v>0</v>
      </c>
      <c r="BD32" s="460">
        <f ca="1">IFERROR(__xludf.DUMMYFUNCTION("IFERROR(VLOOKUP(E37&amp;F37,IMPORTRANGE(""https://docs.google.com/spreadsheets/d/1Uw7-A9f9R21vMXxHZFNpYNeKFtG8_yji4HS352LGlSQ/edit?pli=1#gid=0"",""1_ACUM!A4:S""),17,FALSE))"),1)</f>
        <v>1</v>
      </c>
      <c r="BE32" s="461">
        <f ca="1">IFERROR(__xludf.DUMMYFUNCTION("IFERROR(VLOOKUP(E37&amp;F37,IMPORTRANGE(""https://docs.google.com/spreadsheets/d/1Uw7-A9f9R21vMXxHZFNpYNeKFtG8_yji4HS352LGlSQ/edit?pli=1#gid=0"",""1_ACUM!A4:S""),18,FALSE))"),43934)</f>
        <v>43934</v>
      </c>
      <c r="BF32" s="461">
        <f ca="1">IFERROR(__xludf.DUMMYFUNCTION("IFERROR(VLOOKUP(E37&amp;F37,IMPORTRANGE(""https://docs.google.com/spreadsheets/d/1Uw7-A9f9R21vMXxHZFNpYNeKFtG8_yji4HS352LGlSQ/edit?pli=1#gid=0"",""1_ACUM!A4:S""),19,FALSE))"),44543)</f>
        <v>44543</v>
      </c>
      <c r="BG32" s="462">
        <f ca="1">IFERROR(__xludf.DUMMYFUNCTION("IFERROR(VLOOKUP(F37,IMPORTRANGE(""https://docs.google.com/spreadsheets/d/1Kvs4KS76FHFqLFIZfrDMff4kP08nblUkihrxltoGBjg/edit#gid=934712705"",""ESENCIAL!A6:BG""),5,FALSE))"),44725)</f>
        <v>44725</v>
      </c>
      <c r="BH32" s="462">
        <f t="shared" ca="1" si="5"/>
        <v>45273</v>
      </c>
      <c r="BI32" s="338" t="str">
        <f t="shared" ca="1" si="6"/>
        <v>FICHA EN TIEMPO-18 MESES</v>
      </c>
      <c r="BJ32" s="338" t="str">
        <f ca="1">IFERROR(__xludf.DUMMYFUNCTION("IFERROR(VLOOKUP(F37,IMPORTRANGE(""https://docs.google.com/spreadsheets/d/1Kvs4KS76FHFqLFIZfrDMff4kP08nblUkihrxltoGBjg/edit#gid=934712705"",""ESENCIAL!A6:BG""),2,FALSE))"),"Terminada por fecha")</f>
        <v>Terminada por fecha</v>
      </c>
      <c r="BK32" s="338" t="str">
        <f t="shared" si="7"/>
        <v>Yamboro</v>
      </c>
      <c r="BL32" s="38"/>
      <c r="BM32" s="38"/>
    </row>
    <row r="33" spans="1:65" ht="24">
      <c r="A33" s="164" t="s">
        <v>651</v>
      </c>
      <c r="B33" s="562"/>
      <c r="C33" s="534" t="s">
        <v>25</v>
      </c>
      <c r="D33" s="563" t="s">
        <v>689</v>
      </c>
      <c r="E33" s="451" t="s">
        <v>27</v>
      </c>
      <c r="F33" s="451">
        <v>1007751040</v>
      </c>
      <c r="G33" s="451">
        <v>2067690</v>
      </c>
      <c r="H33" s="338" t="str">
        <f ca="1">IFERROR(__xludf.DUMMYFUNCTION("IFERROR(VLOOKUP(F40,IMPORTRANGE(""https://docs.google.com/spreadsheets/d/1Kvs4KS76FHFqLFIZfrDMff4kP08nblUkihrxltoGBjg/edit#gid=934712705"",""ESENCIAL!A6:BG""),3,FALSE))"),"TECNÓLOGO")</f>
        <v>TECNÓLOGO</v>
      </c>
      <c r="I33" s="338" t="str">
        <f ca="1">IFERROR(__xludf.DUMMYFUNCTION("IFERROR(VLOOKUP(F40,IMPORTRANGE(""https://docs.google.com/spreadsheets/d/1Kvs4KS76FHFqLFIZfrDMff4kP08nblUkihrxltoGBjg/edit#gid=934712705"",""ESENCIAL!A6:BG""),8,FALSE))"),"PRODUCCION DE MULTIMEDIA")</f>
        <v>PRODUCCION DE MULTIMEDIA</v>
      </c>
      <c r="J33" s="523">
        <v>3224815871</v>
      </c>
      <c r="K33" s="575" t="s">
        <v>690</v>
      </c>
      <c r="L33" s="523" t="s">
        <v>421</v>
      </c>
      <c r="M33" s="568" t="s">
        <v>44</v>
      </c>
      <c r="N33" s="451"/>
      <c r="O33" s="451"/>
      <c r="P33" s="451"/>
      <c r="Q33" s="451"/>
      <c r="R33" s="451"/>
      <c r="S33" s="525"/>
      <c r="T33" s="526"/>
      <c r="U33" s="451"/>
      <c r="V33" s="459" t="s">
        <v>563</v>
      </c>
      <c r="W33" s="450"/>
      <c r="X33" s="527"/>
      <c r="Y33" s="527"/>
      <c r="Z33" s="527"/>
      <c r="AA33" s="527"/>
      <c r="AB33" s="527"/>
      <c r="AC33" s="527"/>
      <c r="AD33" s="527"/>
      <c r="AE33" s="527"/>
      <c r="AF33" s="527"/>
      <c r="AG33" s="527"/>
      <c r="AH33" s="527"/>
      <c r="AI33" s="527"/>
      <c r="AJ33" s="527"/>
      <c r="AK33" s="527"/>
      <c r="AL33" s="527"/>
      <c r="AM33" s="527"/>
      <c r="AN33" s="527"/>
      <c r="AO33" s="527"/>
      <c r="AP33" s="527"/>
      <c r="AQ33" s="527"/>
      <c r="AR33" s="164"/>
      <c r="AS33" s="164"/>
      <c r="AT33" s="164"/>
      <c r="AU33" s="164"/>
      <c r="AV33" s="338" t="str">
        <f t="shared" ca="1" si="4"/>
        <v>Procede_E_P</v>
      </c>
      <c r="AW33" s="338" t="str">
        <f ca="1">IFERROR(__xludf.DUMMYFUNCTION("IFERROR(VLOOKUP(E40&amp;F40,IMPORTRANGE(""https://docs.google.com/spreadsheets/d/1Uw7-A9f9R21vMXxHZFNpYNeKFtG8_yji4HS352LGlSQ/edit?pli=1#gid=0"",""1_ACUM!A4:S""),11,FALSE))"),"EN FORMACION")</f>
        <v>EN FORMACION</v>
      </c>
      <c r="AX33" s="462" t="str">
        <f ca="1">IFERROR(__xludf.DUMMYFUNCTION("IFERROR(VLOOKUP(F40,IMPORTRANGE(""https://docs.google.com/spreadsheets/d/1Kvs4KS76FHFqLFIZfrDMff4kP08nblUkihrxltoGBjg/edit#gid=934712705"",""ESENCIAL!A6:BG""),15,FALSE))"),"TIC")</f>
        <v>TIC</v>
      </c>
      <c r="AY33" s="461">
        <f ca="1">IFERROR(__xludf.DUMMYFUNCTION("IFERROR(VLOOKUP(E40&amp;F40,IMPORTRANGE(""https://docs.google.com/spreadsheets/d/1Uw7-A9f9R21vMXxHZFNpYNeKFtG8_yji4HS352LGlSQ/edit?pli=1#gid=0"",""1_ACUM!A4:S""),13,FALSE))"),0)</f>
        <v>0</v>
      </c>
      <c r="AZ33" s="460">
        <f ca="1">IFERROR(__xludf.DUMMYFUNCTION("IFERROR(VLOOKUP(E40&amp;F40,IMPORTRANGE(""https://docs.google.com/spreadsheets/d/1Uw7-A9f9R21vMXxHZFNpYNeKFtG8_yji4HS352LGlSQ/edit?pli=1#gid=0"",""1_ACUM!A4:S""),13,FALSE))"),0)</f>
        <v>0</v>
      </c>
      <c r="BA33" s="460">
        <f ca="1">IFERROR(__xludf.DUMMYFUNCTION("IFERROR(VLOOKUP(E40&amp;F40,IMPORTRANGE(""https://docs.google.com/spreadsheets/d/1Uw7-A9f9R21vMXxHZFNpYNeKFtG8_yji4HS352LGlSQ/edit?pli=1#gid=0"",""1_ACUM!A4:S""),14,FALSE))"),1)</f>
        <v>1</v>
      </c>
      <c r="BB33" s="460">
        <f ca="1">IFERROR(__xludf.DUMMYFUNCTION("IFERROR(VLOOKUP(E40&amp;F40,IMPORTRANGE(""https://docs.google.com/spreadsheets/d/1Uw7-A9f9R21vMXxHZFNpYNeKFtG8_yji4HS352LGlSQ/edit?pli=1#gid=0"",""1_ACUM!A4:S""),15,FALSE))"),0)</f>
        <v>0</v>
      </c>
      <c r="BC33" s="460">
        <f ca="1">IFERROR(__xludf.DUMMYFUNCTION("IFERROR(VLOOKUP(E40&amp;F40,IMPORTRANGE(""https://docs.google.com/spreadsheets/d/1Uw7-A9f9R21vMXxHZFNpYNeKFtG8_yji4HS352LGlSQ/edit?pli=1#gid=0"",""1_ACUM!A4:S""),16,FALSE))"),0)</f>
        <v>0</v>
      </c>
      <c r="BD33" s="460">
        <f ca="1">IFERROR(__xludf.DUMMYFUNCTION("IFERROR(VLOOKUP(E40&amp;F40,IMPORTRANGE(""https://docs.google.com/spreadsheets/d/1Uw7-A9f9R21vMXxHZFNpYNeKFtG8_yji4HS352LGlSQ/edit?pli=1#gid=0"",""1_ACUM!A4:S""),17,FALSE))"),1)</f>
        <v>1</v>
      </c>
      <c r="BE33" s="461">
        <f ca="1">IFERROR(__xludf.DUMMYFUNCTION("IFERROR(VLOOKUP(E40&amp;F40,IMPORTRANGE(""https://docs.google.com/spreadsheets/d/1Uw7-A9f9R21vMXxHZFNpYNeKFtG8_yji4HS352LGlSQ/edit?pli=1#gid=0"",""1_ACUM!A4:S""),18,FALSE))"),43934)</f>
        <v>43934</v>
      </c>
      <c r="BF33" s="461">
        <f ca="1">IFERROR(__xludf.DUMMYFUNCTION("IFERROR(VLOOKUP(E40&amp;F40,IMPORTRANGE(""https://docs.google.com/spreadsheets/d/1Uw7-A9f9R21vMXxHZFNpYNeKFtG8_yji4HS352LGlSQ/edit?pli=1#gid=0"",""1_ACUM!A4:S""),19,FALSE))"),44543)</f>
        <v>44543</v>
      </c>
      <c r="BG33" s="462">
        <f ca="1">IFERROR(__xludf.DUMMYFUNCTION("IFERROR(VLOOKUP(F40,IMPORTRANGE(""https://docs.google.com/spreadsheets/d/1Kvs4KS76FHFqLFIZfrDMff4kP08nblUkihrxltoGBjg/edit#gid=934712705"",""ESENCIAL!A6:BG""),5,FALSE))"),44725)</f>
        <v>44725</v>
      </c>
      <c r="BH33" s="462">
        <f t="shared" ca="1" si="5"/>
        <v>45273</v>
      </c>
      <c r="BI33" s="338" t="str">
        <f t="shared" ca="1" si="6"/>
        <v>FICHA EN TIEMPO-18 MESES</v>
      </c>
      <c r="BJ33" s="338" t="str">
        <f ca="1">IFERROR(__xludf.DUMMYFUNCTION("IFERROR(VLOOKUP(F40,IMPORTRANGE(""https://docs.google.com/spreadsheets/d/1Kvs4KS76FHFqLFIZfrDMff4kP08nblUkihrxltoGBjg/edit#gid=934712705"",""ESENCIAL!A6:BG""),2,FALSE))"),"Terminada por fecha")</f>
        <v>Terminada por fecha</v>
      </c>
      <c r="BK33" s="338" t="str">
        <f t="shared" si="7"/>
        <v>Yamboro</v>
      </c>
      <c r="BL33" s="38"/>
      <c r="BM33" s="38"/>
    </row>
    <row r="34" spans="1:65" s="180" customFormat="1" ht="24">
      <c r="A34" s="164" t="s">
        <v>651</v>
      </c>
      <c r="B34" s="562"/>
      <c r="C34" s="534" t="s">
        <v>25</v>
      </c>
      <c r="D34" s="563" t="s">
        <v>691</v>
      </c>
      <c r="E34" s="451" t="s">
        <v>27</v>
      </c>
      <c r="F34" s="451">
        <v>1115911465</v>
      </c>
      <c r="G34" s="451">
        <v>2069847</v>
      </c>
      <c r="H34" s="338" t="str">
        <f ca="1">IFERROR(__xludf.DUMMYFUNCTION("IFERROR(VLOOKUP(F41,IMPORTRANGE(""https://docs.google.com/spreadsheets/d/1Kvs4KS76FHFqLFIZfrDMff4kP08nblUkihrxltoGBjg/edit#gid=934712705"",""ESENCIAL!A6:BG""),3,FALSE))"),"TECNÓLOGO")</f>
        <v>TECNÓLOGO</v>
      </c>
      <c r="I34" s="338" t="str">
        <f ca="1">IFERROR(__xludf.DUMMYFUNCTION("IFERROR(VLOOKUP(F41,IMPORTRANGE(""https://docs.google.com/spreadsheets/d/1Kvs4KS76FHFqLFIZfrDMff4kP08nblUkihrxltoGBjg/edit#gid=934712705"",""ESENCIAL!A6:BG""),8,FALSE))"),"GESTION DE REDES DE DATOS")</f>
        <v>GESTION DE REDES DE DATOS</v>
      </c>
      <c r="J34" s="451">
        <v>3219799778</v>
      </c>
      <c r="K34" s="451" t="s">
        <v>692</v>
      </c>
      <c r="L34" s="451"/>
      <c r="M34" s="570" t="s">
        <v>44</v>
      </c>
      <c r="N34" s="451"/>
      <c r="O34" s="451"/>
      <c r="P34" s="451"/>
      <c r="Q34" s="451"/>
      <c r="R34" s="451"/>
      <c r="S34" s="525"/>
      <c r="T34" s="526"/>
      <c r="U34" s="451"/>
      <c r="V34" s="463" t="s">
        <v>693</v>
      </c>
      <c r="W34" s="208"/>
      <c r="X34" s="527"/>
      <c r="Y34" s="527"/>
      <c r="Z34" s="527"/>
      <c r="AA34" s="527"/>
      <c r="AB34" s="527"/>
      <c r="AC34" s="527"/>
      <c r="AD34" s="527"/>
      <c r="AE34" s="527"/>
      <c r="AF34" s="527"/>
      <c r="AG34" s="527"/>
      <c r="AH34" s="527"/>
      <c r="AI34" s="527"/>
      <c r="AJ34" s="527"/>
      <c r="AK34" s="527"/>
      <c r="AL34" s="527"/>
      <c r="AM34" s="527"/>
      <c r="AN34" s="527"/>
      <c r="AO34" s="527"/>
      <c r="AP34" s="527"/>
      <c r="AQ34" s="527"/>
      <c r="AR34" s="164"/>
      <c r="AS34" s="164"/>
      <c r="AT34" s="164"/>
      <c r="AU34" s="164"/>
      <c r="AV34" s="338" t="str">
        <f t="shared" ca="1" si="4"/>
        <v>Procede_E_P</v>
      </c>
      <c r="AW34" s="338" t="str">
        <f ca="1">IFERROR(__xludf.DUMMYFUNCTION("IFERROR(VLOOKUP(E41&amp;F41,IMPORTRANGE(""https://docs.google.com/spreadsheets/d/1Uw7-A9f9R21vMXxHZFNpYNeKFtG8_yji4HS352LGlSQ/edit?pli=1#gid=0"",""1_ACUM!A4:S""),11,FALSE))"),"EN FORMACION")</f>
        <v>EN FORMACION</v>
      </c>
      <c r="AX34" s="462" t="str">
        <f ca="1">IFERROR(__xludf.DUMMYFUNCTION("IFERROR(VLOOKUP(F41,IMPORTRANGE(""https://docs.google.com/spreadsheets/d/1Kvs4KS76FHFqLFIZfrDMff4kP08nblUkihrxltoGBjg/edit#gid=934712705"",""ESENCIAL!A6:BG""),15,FALSE))"),"TIC")</f>
        <v>TIC</v>
      </c>
      <c r="AY34" s="461">
        <f ca="1">IFERROR(__xludf.DUMMYFUNCTION("IFERROR(VLOOKUP(E41&amp;F41,IMPORTRANGE(""https://docs.google.com/spreadsheets/d/1Uw7-A9f9R21vMXxHZFNpYNeKFtG8_yji4HS352LGlSQ/edit?pli=1#gid=0"",""1_ACUM!A4:S""),13,FALSE))"),0)</f>
        <v>0</v>
      </c>
      <c r="AZ34" s="460">
        <f ca="1">IFERROR(__xludf.DUMMYFUNCTION("IFERROR(VLOOKUP(E41&amp;F41,IMPORTRANGE(""https://docs.google.com/spreadsheets/d/1Uw7-A9f9R21vMXxHZFNpYNeKFtG8_yji4HS352LGlSQ/edit?pli=1#gid=0"",""1_ACUM!A4:S""),13,FALSE))"),0)</f>
        <v>0</v>
      </c>
      <c r="BA34" s="460">
        <f ca="1">IFERROR(__xludf.DUMMYFUNCTION("IFERROR(VLOOKUP(E41&amp;F41,IMPORTRANGE(""https://docs.google.com/spreadsheets/d/1Uw7-A9f9R21vMXxHZFNpYNeKFtG8_yji4HS352LGlSQ/edit?pli=1#gid=0"",""1_ACUM!A4:S""),14,FALSE))"),1)</f>
        <v>1</v>
      </c>
      <c r="BB34" s="460">
        <f ca="1">IFERROR(__xludf.DUMMYFUNCTION("IFERROR(VLOOKUP(E41&amp;F41,IMPORTRANGE(""https://docs.google.com/spreadsheets/d/1Uw7-A9f9R21vMXxHZFNpYNeKFtG8_yji4HS352LGlSQ/edit?pli=1#gid=0"",""1_ACUM!A4:S""),15,FALSE))"),0)</f>
        <v>0</v>
      </c>
      <c r="BC34" s="460">
        <f ca="1">IFERROR(__xludf.DUMMYFUNCTION("IFERROR(VLOOKUP(E41&amp;F41,IMPORTRANGE(""https://docs.google.com/spreadsheets/d/1Uw7-A9f9R21vMXxHZFNpYNeKFtG8_yji4HS352LGlSQ/edit?pli=1#gid=0"",""1_ACUM!A4:S""),16,FALSE))"),0)</f>
        <v>0</v>
      </c>
      <c r="BD34" s="460">
        <f ca="1">IFERROR(__xludf.DUMMYFUNCTION("IFERROR(VLOOKUP(E41&amp;F41,IMPORTRANGE(""https://docs.google.com/spreadsheets/d/1Uw7-A9f9R21vMXxHZFNpYNeKFtG8_yji4HS352LGlSQ/edit?pli=1#gid=0"",""1_ACUM!A4:S""),17,FALSE))"),1)</f>
        <v>1</v>
      </c>
      <c r="BE34" s="461">
        <f ca="1">IFERROR(__xludf.DUMMYFUNCTION("IFERROR(VLOOKUP(E41&amp;F41,IMPORTRANGE(""https://docs.google.com/spreadsheets/d/1Uw7-A9f9R21vMXxHZFNpYNeKFtG8_yji4HS352LGlSQ/edit?pli=1#gid=0"",""1_ACUM!A4:S""),18,FALSE))"),43934)</f>
        <v>43934</v>
      </c>
      <c r="BF34" s="461">
        <f ca="1">IFERROR(__xludf.DUMMYFUNCTION("IFERROR(VLOOKUP(E41&amp;F41,IMPORTRANGE(""https://docs.google.com/spreadsheets/d/1Uw7-A9f9R21vMXxHZFNpYNeKFtG8_yji4HS352LGlSQ/edit?pli=1#gid=0"",""1_ACUM!A4:S""),19,FALSE))"),44573)</f>
        <v>44573</v>
      </c>
      <c r="BG34" s="462">
        <f ca="1">IFERROR(__xludf.DUMMYFUNCTION("IFERROR(VLOOKUP(F41,IMPORTRANGE(""https://docs.google.com/spreadsheets/d/1Kvs4KS76FHFqLFIZfrDMff4kP08nblUkihrxltoGBjg/edit#gid=934712705"",""ESENCIAL!A6:BG""),5,FALSE))"),44754)</f>
        <v>44754</v>
      </c>
      <c r="BH34" s="462">
        <f t="shared" ca="1" si="5"/>
        <v>45303</v>
      </c>
      <c r="BI34" s="338" t="str">
        <f t="shared" ca="1" si="6"/>
        <v>FICHA EN TIEMPO-18 MESES</v>
      </c>
      <c r="BJ34" s="338" t="str">
        <f ca="1">IFERROR(__xludf.DUMMYFUNCTION("IFERROR(VLOOKUP(F41,IMPORTRANGE(""https://docs.google.com/spreadsheets/d/1Kvs4KS76FHFqLFIZfrDMff4kP08nblUkihrxltoGBjg/edit#gid=934712705"",""ESENCIAL!A6:BG""),2,FALSE))"),"Terminada por fecha")</f>
        <v>Terminada por fecha</v>
      </c>
      <c r="BK34" s="338" t="str">
        <f t="shared" si="7"/>
        <v>Yamboro</v>
      </c>
      <c r="BL34" s="38"/>
      <c r="BM34" s="38"/>
    </row>
    <row r="35" spans="1:65" ht="24">
      <c r="A35" s="164" t="s">
        <v>651</v>
      </c>
      <c r="B35" s="565"/>
      <c r="C35" s="534" t="s">
        <v>25</v>
      </c>
      <c r="D35" s="536" t="s">
        <v>694</v>
      </c>
      <c r="E35" s="217" t="s">
        <v>27</v>
      </c>
      <c r="F35" s="217">
        <v>1004442714</v>
      </c>
      <c r="G35" s="451">
        <v>2389755</v>
      </c>
      <c r="H35" s="338" t="str">
        <f ca="1">IFERROR(__xludf.DUMMYFUNCTION("IFERROR(VLOOKUP(F46,IMPORTRANGE(""https://docs.google.com/spreadsheets/d/1Kvs4KS76FHFqLFIZfrDMff4kP08nblUkihrxltoGBjg/edit#gid=934712705"",""ESENCIAL!A6:BG""),3,FALSE))"),"TÉCNICO")</f>
        <v>TÉCNICO</v>
      </c>
      <c r="I35" s="338" t="str">
        <f ca="1">IFERROR(__xludf.DUMMYFUNCTION("IFERROR(VLOOKUP(F46,IMPORTRANGE(""https://docs.google.com/spreadsheets/d/1Kvs4KS76FHFqLFIZfrDMff4kP08nblUkihrxltoGBjg/edit#gid=934712705"",""ESENCIAL!A6:BG""),8,FALSE))"),"SISTEMAS.")</f>
        <v>SISTEMAS.</v>
      </c>
      <c r="J35" s="451">
        <v>3177231685</v>
      </c>
      <c r="K35" s="527" t="s">
        <v>695</v>
      </c>
      <c r="L35" s="527" t="s">
        <v>696</v>
      </c>
      <c r="M35" s="208" t="s">
        <v>250</v>
      </c>
      <c r="N35" s="527" t="s">
        <v>697</v>
      </c>
      <c r="O35" s="527" t="s">
        <v>698</v>
      </c>
      <c r="P35" s="527">
        <v>3144594623</v>
      </c>
      <c r="Q35" s="527" t="s">
        <v>215</v>
      </c>
      <c r="R35" s="527" t="s">
        <v>699</v>
      </c>
      <c r="S35" s="525">
        <v>44785</v>
      </c>
      <c r="T35" s="530">
        <v>44968</v>
      </c>
      <c r="U35" s="527"/>
      <c r="V35" s="527" t="s">
        <v>700</v>
      </c>
      <c r="W35" s="527"/>
      <c r="X35" s="527"/>
      <c r="Y35" s="527"/>
      <c r="Z35" s="527"/>
      <c r="AA35" s="527"/>
      <c r="AB35" s="527"/>
      <c r="AC35" s="527"/>
      <c r="AD35" s="527"/>
      <c r="AE35" s="527"/>
      <c r="AF35" s="527"/>
      <c r="AG35" s="527"/>
      <c r="AH35" s="527"/>
      <c r="AI35" s="527"/>
      <c r="AJ35" s="527"/>
      <c r="AK35" s="527"/>
      <c r="AL35" s="527"/>
      <c r="AM35" s="527"/>
      <c r="AN35" s="527"/>
      <c r="AO35" s="527"/>
      <c r="AP35" s="527"/>
      <c r="AQ35" s="527"/>
      <c r="AR35" s="164"/>
      <c r="AS35" s="164"/>
      <c r="AT35" s="164"/>
      <c r="AU35" s="164"/>
      <c r="AV35" s="338" t="str">
        <f t="shared" ca="1" si="4"/>
        <v>Procede_E_P</v>
      </c>
      <c r="AW35" s="338" t="str">
        <f ca="1">IFERROR(__xludf.DUMMYFUNCTION("IFERROR(VLOOKUP(E46&amp;F46,IMPORTRANGE(""https://docs.google.com/spreadsheets/d/1Uw7-A9f9R21vMXxHZFNpYNeKFtG8_yji4HS352LGlSQ/edit?pli=1#gid=0"",""1_ACUM!A4:S""),11,FALSE))"),"EN FORMACION")</f>
        <v>EN FORMACION</v>
      </c>
      <c r="AX35" s="462" t="str">
        <f ca="1">IFERROR(__xludf.DUMMYFUNCTION("IFERROR(VLOOKUP(F46,IMPORTRANGE(""https://docs.google.com/spreadsheets/d/1Kvs4KS76FHFqLFIZfrDMff4kP08nblUkihrxltoGBjg/edit#gid=934712705"",""ESENCIAL!A6:BG""),15,FALSE))"),"TIC")</f>
        <v>TIC</v>
      </c>
      <c r="AY35" s="461">
        <f ca="1">IFERROR(__xludf.DUMMYFUNCTION("IFERROR(VLOOKUP(E46&amp;F46,IMPORTRANGE(""https://docs.google.com/spreadsheets/d/1Uw7-A9f9R21vMXxHZFNpYNeKFtG8_yji4HS352LGlSQ/edit?pli=1#gid=0"",""1_ACUM!A4:S""),13,FALSE))"),0)</f>
        <v>0</v>
      </c>
      <c r="AZ35" s="460">
        <f ca="1">IFERROR(__xludf.DUMMYFUNCTION("IFERROR(VLOOKUP(E46&amp;F46,IMPORTRANGE(""https://docs.google.com/spreadsheets/d/1Uw7-A9f9R21vMXxHZFNpYNeKFtG8_yji4HS352LGlSQ/edit?pli=1#gid=0"",""1_ACUM!A4:S""),13,FALSE))"),0)</f>
        <v>0</v>
      </c>
      <c r="BA35" s="460">
        <f ca="1">IFERROR(__xludf.DUMMYFUNCTION("IFERROR(VLOOKUP(E46&amp;F46,IMPORTRANGE(""https://docs.google.com/spreadsheets/d/1Uw7-A9f9R21vMXxHZFNpYNeKFtG8_yji4HS352LGlSQ/edit?pli=1#gid=0"",""1_ACUM!A4:S""),14,FALSE))"),1)</f>
        <v>1</v>
      </c>
      <c r="BB35" s="460">
        <f ca="1">IFERROR(__xludf.DUMMYFUNCTION("IFERROR(VLOOKUP(E46&amp;F46,IMPORTRANGE(""https://docs.google.com/spreadsheets/d/1Uw7-A9f9R21vMXxHZFNpYNeKFtG8_yji4HS352LGlSQ/edit?pli=1#gid=0"",""1_ACUM!A4:S""),15,FALSE))"),0)</f>
        <v>0</v>
      </c>
      <c r="BC35" s="460">
        <f ca="1">IFERROR(__xludf.DUMMYFUNCTION("IFERROR(VLOOKUP(E46&amp;F46,IMPORTRANGE(""https://docs.google.com/spreadsheets/d/1Uw7-A9f9R21vMXxHZFNpYNeKFtG8_yji4HS352LGlSQ/edit?pli=1#gid=0"",""1_ACUM!A4:S""),16,FALSE))"),0)</f>
        <v>0</v>
      </c>
      <c r="BD35" s="460">
        <f ca="1">IFERROR(__xludf.DUMMYFUNCTION("IFERROR(VLOOKUP(E46&amp;F46,IMPORTRANGE(""https://docs.google.com/spreadsheets/d/1Uw7-A9f9R21vMXxHZFNpYNeKFtG8_yji4HS352LGlSQ/edit?pli=1#gid=0"",""1_ACUM!A4:S""),17,FALSE))"),1)</f>
        <v>1</v>
      </c>
      <c r="BE35" s="461">
        <f ca="1">IFERROR(__xludf.DUMMYFUNCTION("IFERROR(VLOOKUP(E46&amp;F46,IMPORTRANGE(""https://docs.google.com/spreadsheets/d/1Uw7-A9f9R21vMXxHZFNpYNeKFtG8_yji4HS352LGlSQ/edit?pli=1#gid=0"",""1_ACUM!A4:S""),18,FALSE))"),44425)</f>
        <v>44425</v>
      </c>
      <c r="BF35" s="461">
        <f ca="1">IFERROR(__xludf.DUMMYFUNCTION("IFERROR(VLOOKUP(E46&amp;F46,IMPORTRANGE(""https://docs.google.com/spreadsheets/d/1Uw7-A9f9R21vMXxHZFNpYNeKFtG8_yji4HS352LGlSQ/edit?pli=1#gid=0"",""1_ACUM!A4:S""),19,FALSE))"),44698)</f>
        <v>44698</v>
      </c>
      <c r="BG35" s="462">
        <f ca="1">IFERROR(__xludf.DUMMYFUNCTION("IFERROR(VLOOKUP(F46,IMPORTRANGE(""https://docs.google.com/spreadsheets/d/1Kvs4KS76FHFqLFIZfrDMff4kP08nblUkihrxltoGBjg/edit#gid=934712705"",""ESENCIAL!A6:BG""),5,FALSE))"),44882)</f>
        <v>44882</v>
      </c>
      <c r="BH35" s="462">
        <f t="shared" ca="1" si="5"/>
        <v>45429</v>
      </c>
      <c r="BI35" s="338" t="str">
        <f t="shared" ca="1" si="6"/>
        <v>FICHA EN TIEMPO-18 MESES</v>
      </c>
      <c r="BJ35" s="338" t="str">
        <f ca="1">IFERROR(__xludf.DUMMYFUNCTION("IFERROR(VLOOKUP(F46,IMPORTRANGE(""https://docs.google.com/spreadsheets/d/1Kvs4KS76FHFqLFIZfrDMff4kP08nblUkihrxltoGBjg/edit#gid=934712705"",""ESENCIAL!A6:BG""),2,FALSE))"),"Terminada por fecha")</f>
        <v>Terminada por fecha</v>
      </c>
      <c r="BK35" s="338" t="str">
        <f t="shared" si="7"/>
        <v>Yamboro</v>
      </c>
      <c r="BL35" s="38"/>
      <c r="BM35" s="38"/>
    </row>
    <row r="36" spans="1:65" s="180" customFormat="1" ht="24">
      <c r="A36" s="164" t="s">
        <v>651</v>
      </c>
      <c r="B36" s="565"/>
      <c r="C36" s="534" t="s">
        <v>25</v>
      </c>
      <c r="D36" s="536" t="s">
        <v>701</v>
      </c>
      <c r="E36" s="217" t="s">
        <v>67</v>
      </c>
      <c r="F36" s="217">
        <v>1004442934</v>
      </c>
      <c r="G36" s="451">
        <v>2389755</v>
      </c>
      <c r="H36" s="338" t="str">
        <f ca="1">IFERROR(__xludf.DUMMYFUNCTION("IFERROR(VLOOKUP(F47,IMPORTRANGE(""https://docs.google.com/spreadsheets/d/1Kvs4KS76FHFqLFIZfrDMff4kP08nblUkihrxltoGBjg/edit#gid=934712705"",""ESENCIAL!A6:BG""),3,FALSE))"),"TÉCNICO")</f>
        <v>TÉCNICO</v>
      </c>
      <c r="I36" s="338" t="str">
        <f ca="1">IFERROR(__xludf.DUMMYFUNCTION("IFERROR(VLOOKUP(F47,IMPORTRANGE(""https://docs.google.com/spreadsheets/d/1Kvs4KS76FHFqLFIZfrDMff4kP08nblUkihrxltoGBjg/edit#gid=934712705"",""ESENCIAL!A6:BG""),8,FALSE))"),"SISTEMAS.")</f>
        <v>SISTEMAS.</v>
      </c>
      <c r="J36" s="451"/>
      <c r="K36" s="527"/>
      <c r="L36" s="527"/>
      <c r="M36" s="568" t="s">
        <v>44</v>
      </c>
      <c r="N36" s="527"/>
      <c r="O36" s="527"/>
      <c r="P36" s="527"/>
      <c r="Q36" s="527"/>
      <c r="R36" s="527"/>
      <c r="S36" s="525"/>
      <c r="T36" s="530"/>
      <c r="U36" s="527"/>
      <c r="V36" s="527"/>
      <c r="W36" s="527"/>
      <c r="X36" s="527"/>
      <c r="Y36" s="527"/>
      <c r="Z36" s="527"/>
      <c r="AA36" s="527"/>
      <c r="AB36" s="527"/>
      <c r="AC36" s="527"/>
      <c r="AD36" s="527"/>
      <c r="AE36" s="527"/>
      <c r="AF36" s="527"/>
      <c r="AG36" s="527"/>
      <c r="AH36" s="527"/>
      <c r="AI36" s="527"/>
      <c r="AJ36" s="527"/>
      <c r="AK36" s="527"/>
      <c r="AL36" s="527"/>
      <c r="AM36" s="527"/>
      <c r="AN36" s="527"/>
      <c r="AO36" s="527"/>
      <c r="AP36" s="527"/>
      <c r="AQ36" s="527"/>
      <c r="AR36" s="164"/>
      <c r="AS36" s="164"/>
      <c r="AT36" s="164"/>
      <c r="AU36" s="164"/>
      <c r="AV36" s="338" t="str">
        <f t="shared" ca="1" si="4"/>
        <v>NO_CUMPLE</v>
      </c>
      <c r="AW36" s="338" t="str">
        <f ca="1">IFERROR(__xludf.DUMMYFUNCTION("IFERROR(VLOOKUP(E47&amp;F47,IMPORTRANGE(""https://docs.google.com/spreadsheets/d/1Uw7-A9f9R21vMXxHZFNpYNeKFtG8_yji4HS352LGlSQ/edit?pli=1#gid=0"",""1_ACUM!A4:S""),11,FALSE))"),"EN FORMACION")</f>
        <v>EN FORMACION</v>
      </c>
      <c r="AX36" s="462" t="str">
        <f ca="1">IFERROR(__xludf.DUMMYFUNCTION("IFERROR(VLOOKUP(F47,IMPORTRANGE(""https://docs.google.com/spreadsheets/d/1Kvs4KS76FHFqLFIZfrDMff4kP08nblUkihrxltoGBjg/edit#gid=934712705"",""ESENCIAL!A6:BG""),15,FALSE))"),"TIC")</f>
        <v>TIC</v>
      </c>
      <c r="AY36" s="461">
        <f ca="1">IFERROR(__xludf.DUMMYFUNCTION("IFERROR(VLOOKUP(E47&amp;F47,IMPORTRANGE(""https://docs.google.com/spreadsheets/d/1Uw7-A9f9R21vMXxHZFNpYNeKFtG8_yji4HS352LGlSQ/edit?pli=1#gid=0"",""1_ACUM!A4:S""),13,FALSE))"),16)</f>
        <v>16</v>
      </c>
      <c r="AZ36" s="460">
        <f ca="1">IFERROR(__xludf.DUMMYFUNCTION("IFERROR(VLOOKUP(E47&amp;F47,IMPORTRANGE(""https://docs.google.com/spreadsheets/d/1Uw7-A9f9R21vMXxHZFNpYNeKFtG8_yji4HS352LGlSQ/edit?pli=1#gid=0"",""1_ACUM!A4:S""),13,FALSE))"),16)</f>
        <v>16</v>
      </c>
      <c r="BA36" s="460">
        <f ca="1">IFERROR(__xludf.DUMMYFUNCTION("IFERROR(VLOOKUP(E47&amp;F47,IMPORTRANGE(""https://docs.google.com/spreadsheets/d/1Uw7-A9f9R21vMXxHZFNpYNeKFtG8_yji4HS352LGlSQ/edit?pli=1#gid=0"",""1_ACUM!A4:S""),14,FALSE))"),1)</f>
        <v>1</v>
      </c>
      <c r="BB36" s="460">
        <f ca="1">IFERROR(__xludf.DUMMYFUNCTION("IFERROR(VLOOKUP(E47&amp;F47,IMPORTRANGE(""https://docs.google.com/spreadsheets/d/1Uw7-A9f9R21vMXxHZFNpYNeKFtG8_yji4HS352LGlSQ/edit?pli=1#gid=0"",""1_ACUM!A4:S""),15,FALSE))"),6)</f>
        <v>6</v>
      </c>
      <c r="BC36" s="460">
        <f ca="1">IFERROR(__xludf.DUMMYFUNCTION("IFERROR(VLOOKUP(E47&amp;F47,IMPORTRANGE(""https://docs.google.com/spreadsheets/d/1Uw7-A9f9R21vMXxHZFNpYNeKFtG8_yji4HS352LGlSQ/edit?pli=1#gid=0"",""1_ACUM!A4:S""),16,FALSE))"),5)</f>
        <v>5</v>
      </c>
      <c r="BD36" s="460">
        <f ca="1">IFERROR(__xludf.DUMMYFUNCTION("IFERROR(VLOOKUP(E47&amp;F47,IMPORTRANGE(""https://docs.google.com/spreadsheets/d/1Uw7-A9f9R21vMXxHZFNpYNeKFtG8_yji4HS352LGlSQ/edit?pli=1#gid=0"",""1_ACUM!A4:S""),17,FALSE))"),28)</f>
        <v>28</v>
      </c>
      <c r="BE36" s="461">
        <f ca="1">IFERROR(__xludf.DUMMYFUNCTION("IFERROR(VLOOKUP(E47&amp;F47,IMPORTRANGE(""https://docs.google.com/spreadsheets/d/1Uw7-A9f9R21vMXxHZFNpYNeKFtG8_yji4HS352LGlSQ/edit?pli=1#gid=0"",""1_ACUM!A4:S""),18,FALSE))"),44425)</f>
        <v>44425</v>
      </c>
      <c r="BF36" s="461">
        <f ca="1">IFERROR(__xludf.DUMMYFUNCTION("IFERROR(VLOOKUP(E47&amp;F47,IMPORTRANGE(""https://docs.google.com/spreadsheets/d/1Uw7-A9f9R21vMXxHZFNpYNeKFtG8_yji4HS352LGlSQ/edit?pli=1#gid=0"",""1_ACUM!A4:S""),19,FALSE))"),44698)</f>
        <v>44698</v>
      </c>
      <c r="BG36" s="462">
        <f ca="1">IFERROR(__xludf.DUMMYFUNCTION("IFERROR(VLOOKUP(F47,IMPORTRANGE(""https://docs.google.com/spreadsheets/d/1Kvs4KS76FHFqLFIZfrDMff4kP08nblUkihrxltoGBjg/edit#gid=934712705"",""ESENCIAL!A6:BG""),5,FALSE))"),44882)</f>
        <v>44882</v>
      </c>
      <c r="BH36" s="462">
        <f t="shared" ca="1" si="5"/>
        <v>45429</v>
      </c>
      <c r="BI36" s="338" t="str">
        <f t="shared" ca="1" si="6"/>
        <v>FICHA EN TIEMPO-18 MESES</v>
      </c>
      <c r="BJ36" s="338" t="str">
        <f ca="1">IFERROR(__xludf.DUMMYFUNCTION("IFERROR(VLOOKUP(F47,IMPORTRANGE(""https://docs.google.com/spreadsheets/d/1Kvs4KS76FHFqLFIZfrDMff4kP08nblUkihrxltoGBjg/edit#gid=934712705"",""ESENCIAL!A6:BG""),2,FALSE))"),"Terminada por fecha")</f>
        <v>Terminada por fecha</v>
      </c>
      <c r="BK36" s="338" t="str">
        <f t="shared" si="7"/>
        <v>Yamboro</v>
      </c>
      <c r="BL36" s="38"/>
      <c r="BM36" s="38"/>
    </row>
    <row r="37" spans="1:65" ht="24">
      <c r="A37" s="164" t="s">
        <v>651</v>
      </c>
      <c r="B37" s="565"/>
      <c r="C37" s="534" t="s">
        <v>25</v>
      </c>
      <c r="D37" s="536" t="s">
        <v>702</v>
      </c>
      <c r="E37" s="217" t="s">
        <v>27</v>
      </c>
      <c r="F37" s="217">
        <v>1023362655</v>
      </c>
      <c r="G37" s="451">
        <v>2389755</v>
      </c>
      <c r="H37" s="338" t="str">
        <f ca="1">IFERROR(__xludf.DUMMYFUNCTION("IFERROR(VLOOKUP(F50,IMPORTRANGE(""https://docs.google.com/spreadsheets/d/1Kvs4KS76FHFqLFIZfrDMff4kP08nblUkihrxltoGBjg/edit#gid=934712705"",""ESENCIAL!A6:BG""),3,FALSE))"),"TÉCNICO")</f>
        <v>TÉCNICO</v>
      </c>
      <c r="I37" s="338" t="str">
        <f ca="1">IFERROR(__xludf.DUMMYFUNCTION("IFERROR(VLOOKUP(F50,IMPORTRANGE(""https://docs.google.com/spreadsheets/d/1Kvs4KS76FHFqLFIZfrDMff4kP08nblUkihrxltoGBjg/edit#gid=934712705"",""ESENCIAL!A6:BG""),8,FALSE))"),"SISTEMAS.")</f>
        <v>SISTEMAS.</v>
      </c>
      <c r="J37" s="451"/>
      <c r="K37" s="527"/>
      <c r="L37" s="527"/>
      <c r="M37" s="570" t="s">
        <v>703</v>
      </c>
      <c r="N37" s="527"/>
      <c r="O37" s="527"/>
      <c r="P37" s="527"/>
      <c r="Q37" s="527"/>
      <c r="R37" s="527"/>
      <c r="S37" s="525"/>
      <c r="T37" s="530"/>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164"/>
      <c r="AS37" s="164"/>
      <c r="AT37" s="164"/>
      <c r="AU37" s="164"/>
      <c r="AV37" s="338" t="str">
        <f t="shared" ca="1" si="4"/>
        <v>NO_CUMPLE</v>
      </c>
      <c r="AW37" s="338" t="str">
        <f ca="1">IFERROR(__xludf.DUMMYFUNCTION("IFERROR(VLOOKUP(E50&amp;F50,IMPORTRANGE(""https://docs.google.com/spreadsheets/d/1Uw7-A9f9R21vMXxHZFNpYNeKFtG8_yji4HS352LGlSQ/edit?pli=1#gid=0"",""1_ACUM!A4:S""),11,FALSE))"),"EN FORMACION")</f>
        <v>EN FORMACION</v>
      </c>
      <c r="AX37" s="462" t="str">
        <f ca="1">IFERROR(__xludf.DUMMYFUNCTION("IFERROR(VLOOKUP(F50,IMPORTRANGE(""https://docs.google.com/spreadsheets/d/1Kvs4KS76FHFqLFIZfrDMff4kP08nblUkihrxltoGBjg/edit#gid=934712705"",""ESENCIAL!A6:BG""),15,FALSE))"),"TIC")</f>
        <v>TIC</v>
      </c>
      <c r="AY37" s="461">
        <f ca="1">IFERROR(__xludf.DUMMYFUNCTION("IFERROR(VLOOKUP(E50&amp;F50,IMPORTRANGE(""https://docs.google.com/spreadsheets/d/1Uw7-A9f9R21vMXxHZFNpYNeKFtG8_yji4HS352LGlSQ/edit?pli=1#gid=0"",""1_ACUM!A4:S""),13,FALSE))"),28)</f>
        <v>28</v>
      </c>
      <c r="AZ37" s="460">
        <f ca="1">IFERROR(__xludf.DUMMYFUNCTION("IFERROR(VLOOKUP(E50&amp;F50,IMPORTRANGE(""https://docs.google.com/spreadsheets/d/1Uw7-A9f9R21vMXxHZFNpYNeKFtG8_yji4HS352LGlSQ/edit?pli=1#gid=0"",""1_ACUM!A4:S""),13,FALSE))"),28)</f>
        <v>28</v>
      </c>
      <c r="BA37" s="460">
        <f ca="1">IFERROR(__xludf.DUMMYFUNCTION("IFERROR(VLOOKUP(E50&amp;F50,IMPORTRANGE(""https://docs.google.com/spreadsheets/d/1Uw7-A9f9R21vMXxHZFNpYNeKFtG8_yji4HS352LGlSQ/edit?pli=1#gid=0"",""1_ACUM!A4:S""),14,FALSE))"),1)</f>
        <v>1</v>
      </c>
      <c r="BB37" s="460">
        <f ca="1">IFERROR(__xludf.DUMMYFUNCTION("IFERROR(VLOOKUP(E50&amp;F50,IMPORTRANGE(""https://docs.google.com/spreadsheets/d/1Uw7-A9f9R21vMXxHZFNpYNeKFtG8_yji4HS352LGlSQ/edit?pli=1#gid=0"",""1_ACUM!A4:S""),15,FALSE))"),6)</f>
        <v>6</v>
      </c>
      <c r="BC37" s="460">
        <f ca="1">IFERROR(__xludf.DUMMYFUNCTION("IFERROR(VLOOKUP(E50&amp;F50,IMPORTRANGE(""https://docs.google.com/spreadsheets/d/1Uw7-A9f9R21vMXxHZFNpYNeKFtG8_yji4HS352LGlSQ/edit?pli=1#gid=0"",""1_ACUM!A4:S""),16,FALSE))"),12)</f>
        <v>12</v>
      </c>
      <c r="BD37" s="460">
        <f ca="1">IFERROR(__xludf.DUMMYFUNCTION("IFERROR(VLOOKUP(E50&amp;F50,IMPORTRANGE(""https://docs.google.com/spreadsheets/d/1Uw7-A9f9R21vMXxHZFNpYNeKFtG8_yji4HS352LGlSQ/edit?pli=1#gid=0"",""1_ACUM!A4:S""),17,FALSE))"),47)</f>
        <v>47</v>
      </c>
      <c r="BE37" s="461">
        <f ca="1">IFERROR(__xludf.DUMMYFUNCTION("IFERROR(VLOOKUP(E50&amp;F50,IMPORTRANGE(""https://docs.google.com/spreadsheets/d/1Uw7-A9f9R21vMXxHZFNpYNeKFtG8_yji4HS352LGlSQ/edit?pli=1#gid=0"",""1_ACUM!A4:S""),18,FALSE))"),44425)</f>
        <v>44425</v>
      </c>
      <c r="BF37" s="461">
        <f ca="1">IFERROR(__xludf.DUMMYFUNCTION("IFERROR(VLOOKUP(E50&amp;F50,IMPORTRANGE(""https://docs.google.com/spreadsheets/d/1Uw7-A9f9R21vMXxHZFNpYNeKFtG8_yji4HS352LGlSQ/edit?pli=1#gid=0"",""1_ACUM!A4:S""),19,FALSE))"),44698)</f>
        <v>44698</v>
      </c>
      <c r="BG37" s="462">
        <f ca="1">IFERROR(__xludf.DUMMYFUNCTION("IFERROR(VLOOKUP(F50,IMPORTRANGE(""https://docs.google.com/spreadsheets/d/1Kvs4KS76FHFqLFIZfrDMff4kP08nblUkihrxltoGBjg/edit#gid=934712705"",""ESENCIAL!A6:BG""),5,FALSE))"),44882)</f>
        <v>44882</v>
      </c>
      <c r="BH37" s="462">
        <f t="shared" ca="1" si="5"/>
        <v>45429</v>
      </c>
      <c r="BI37" s="338" t="str">
        <f t="shared" ca="1" si="6"/>
        <v>FICHA EN TIEMPO-18 MESES</v>
      </c>
      <c r="BJ37" s="338" t="str">
        <f ca="1">IFERROR(__xludf.DUMMYFUNCTION("IFERROR(VLOOKUP(F50,IMPORTRANGE(""https://docs.google.com/spreadsheets/d/1Kvs4KS76FHFqLFIZfrDMff4kP08nblUkihrxltoGBjg/edit#gid=934712705"",""ESENCIAL!A6:BG""),2,FALSE))"),"Terminada por fecha")</f>
        <v>Terminada por fecha</v>
      </c>
      <c r="BK37" s="338" t="str">
        <f t="shared" si="7"/>
        <v>Yamboro</v>
      </c>
      <c r="BL37" s="38"/>
      <c r="BM37" s="38"/>
    </row>
    <row r="38" spans="1:65" ht="24">
      <c r="A38" s="164" t="s">
        <v>651</v>
      </c>
      <c r="B38" s="565"/>
      <c r="C38" s="534" t="s">
        <v>25</v>
      </c>
      <c r="D38" s="536" t="s">
        <v>704</v>
      </c>
      <c r="E38" s="217" t="s">
        <v>27</v>
      </c>
      <c r="F38" s="217">
        <v>1084256422</v>
      </c>
      <c r="G38" s="451">
        <v>2389755</v>
      </c>
      <c r="H38" s="338" t="str">
        <f ca="1">IFERROR(__xludf.DUMMYFUNCTION("IFERROR(VLOOKUP(F53,IMPORTRANGE(""https://docs.google.com/spreadsheets/d/1Kvs4KS76FHFqLFIZfrDMff4kP08nblUkihrxltoGBjg/edit#gid=934712705"",""ESENCIAL!A6:BG""),3,FALSE))"),"TÉCNICO")</f>
        <v>TÉCNICO</v>
      </c>
      <c r="I38" s="338" t="str">
        <f ca="1">IFERROR(__xludf.DUMMYFUNCTION("IFERROR(VLOOKUP(F53,IMPORTRANGE(""https://docs.google.com/spreadsheets/d/1Kvs4KS76FHFqLFIZfrDMff4kP08nblUkihrxltoGBjg/edit#gid=934712705"",""ESENCIAL!A6:BG""),8,FALSE))"),"SISTEMAS.")</f>
        <v>SISTEMAS.</v>
      </c>
      <c r="J38" s="451"/>
      <c r="K38" s="527"/>
      <c r="L38" s="527"/>
      <c r="M38" s="568" t="s">
        <v>44</v>
      </c>
      <c r="N38" s="527"/>
      <c r="O38" s="527"/>
      <c r="P38" s="527"/>
      <c r="Q38" s="527"/>
      <c r="R38" s="527"/>
      <c r="S38" s="525"/>
      <c r="T38" s="530"/>
      <c r="U38" s="527"/>
      <c r="V38" s="527"/>
      <c r="W38" s="527"/>
      <c r="X38" s="527"/>
      <c r="Y38" s="527"/>
      <c r="Z38" s="527"/>
      <c r="AA38" s="527"/>
      <c r="AB38" s="527"/>
      <c r="AC38" s="527"/>
      <c r="AD38" s="527"/>
      <c r="AE38" s="527"/>
      <c r="AF38" s="527"/>
      <c r="AG38" s="527"/>
      <c r="AH38" s="527"/>
      <c r="AI38" s="527"/>
      <c r="AJ38" s="527"/>
      <c r="AK38" s="527"/>
      <c r="AL38" s="527"/>
      <c r="AM38" s="527"/>
      <c r="AN38" s="527"/>
      <c r="AO38" s="527"/>
      <c r="AP38" s="527"/>
      <c r="AQ38" s="527"/>
      <c r="AR38" s="164"/>
      <c r="AS38" s="164"/>
      <c r="AT38" s="164"/>
      <c r="AU38" s="164"/>
      <c r="AV38" s="338" t="str">
        <f t="shared" ca="1" si="4"/>
        <v>Procede_E_P</v>
      </c>
      <c r="AW38" s="338" t="str">
        <f ca="1">IFERROR(__xludf.DUMMYFUNCTION("IFERROR(VLOOKUP(E53&amp;F53,IMPORTRANGE(""https://docs.google.com/spreadsheets/d/1Uw7-A9f9R21vMXxHZFNpYNeKFtG8_yji4HS352LGlSQ/edit?pli=1#gid=0"",""1_ACUM!A4:S""),11,FALSE))"),"EN FORMACION")</f>
        <v>EN FORMACION</v>
      </c>
      <c r="AX38" s="462" t="str">
        <f ca="1">IFERROR(__xludf.DUMMYFUNCTION("IFERROR(VLOOKUP(F53,IMPORTRANGE(""https://docs.google.com/spreadsheets/d/1Kvs4KS76FHFqLFIZfrDMff4kP08nblUkihrxltoGBjg/edit#gid=934712705"",""ESENCIAL!A6:BG""),15,FALSE))"),"TIC")</f>
        <v>TIC</v>
      </c>
      <c r="AY38" s="461">
        <f ca="1">IFERROR(__xludf.DUMMYFUNCTION("IFERROR(VLOOKUP(E53&amp;F53,IMPORTRANGE(""https://docs.google.com/spreadsheets/d/1Uw7-A9f9R21vMXxHZFNpYNeKFtG8_yji4HS352LGlSQ/edit?pli=1#gid=0"",""1_ACUM!A4:S""),13,FALSE))"),0)</f>
        <v>0</v>
      </c>
      <c r="AZ38" s="460">
        <f ca="1">IFERROR(__xludf.DUMMYFUNCTION("IFERROR(VLOOKUP(E53&amp;F53,IMPORTRANGE(""https://docs.google.com/spreadsheets/d/1Uw7-A9f9R21vMXxHZFNpYNeKFtG8_yji4HS352LGlSQ/edit?pli=1#gid=0"",""1_ACUM!A4:S""),13,FALSE))"),0)</f>
        <v>0</v>
      </c>
      <c r="BA38" s="460">
        <f ca="1">IFERROR(__xludf.DUMMYFUNCTION("IFERROR(VLOOKUP(E53&amp;F53,IMPORTRANGE(""https://docs.google.com/spreadsheets/d/1Uw7-A9f9R21vMXxHZFNpYNeKFtG8_yji4HS352LGlSQ/edit?pli=1#gid=0"",""1_ACUM!A4:S""),14,FALSE))"),1)</f>
        <v>1</v>
      </c>
      <c r="BB38" s="460">
        <f ca="1">IFERROR(__xludf.DUMMYFUNCTION("IFERROR(VLOOKUP(E53&amp;F53,IMPORTRANGE(""https://docs.google.com/spreadsheets/d/1Uw7-A9f9R21vMXxHZFNpYNeKFtG8_yji4HS352LGlSQ/edit?pli=1#gid=0"",""1_ACUM!A4:S""),15,FALSE))"),0)</f>
        <v>0</v>
      </c>
      <c r="BC38" s="460">
        <f ca="1">IFERROR(__xludf.DUMMYFUNCTION("IFERROR(VLOOKUP(E53&amp;F53,IMPORTRANGE(""https://docs.google.com/spreadsheets/d/1Uw7-A9f9R21vMXxHZFNpYNeKFtG8_yji4HS352LGlSQ/edit?pli=1#gid=0"",""1_ACUM!A4:S""),16,FALSE))"),0)</f>
        <v>0</v>
      </c>
      <c r="BD38" s="460">
        <f ca="1">IFERROR(__xludf.DUMMYFUNCTION("IFERROR(VLOOKUP(E53&amp;F53,IMPORTRANGE(""https://docs.google.com/spreadsheets/d/1Uw7-A9f9R21vMXxHZFNpYNeKFtG8_yji4HS352LGlSQ/edit?pli=1#gid=0"",""1_ACUM!A4:S""),17,FALSE))"),1)</f>
        <v>1</v>
      </c>
      <c r="BE38" s="461">
        <f ca="1">IFERROR(__xludf.DUMMYFUNCTION("IFERROR(VLOOKUP(E53&amp;F53,IMPORTRANGE(""https://docs.google.com/spreadsheets/d/1Uw7-A9f9R21vMXxHZFNpYNeKFtG8_yji4HS352LGlSQ/edit?pli=1#gid=0"",""1_ACUM!A4:S""),18,FALSE))"),44425)</f>
        <v>44425</v>
      </c>
      <c r="BF38" s="461">
        <f ca="1">IFERROR(__xludf.DUMMYFUNCTION("IFERROR(VLOOKUP(E53&amp;F53,IMPORTRANGE(""https://docs.google.com/spreadsheets/d/1Uw7-A9f9R21vMXxHZFNpYNeKFtG8_yji4HS352LGlSQ/edit?pli=1#gid=0"",""1_ACUM!A4:S""),19,FALSE))"),44698)</f>
        <v>44698</v>
      </c>
      <c r="BG38" s="462">
        <f ca="1">IFERROR(__xludf.DUMMYFUNCTION("IFERROR(VLOOKUP(F53,IMPORTRANGE(""https://docs.google.com/spreadsheets/d/1Kvs4KS76FHFqLFIZfrDMff4kP08nblUkihrxltoGBjg/edit#gid=934712705"",""ESENCIAL!A6:BG""),5,FALSE))"),44882)</f>
        <v>44882</v>
      </c>
      <c r="BH38" s="462">
        <f t="shared" ca="1" si="5"/>
        <v>45429</v>
      </c>
      <c r="BI38" s="338" t="str">
        <f t="shared" ca="1" si="6"/>
        <v>FICHA EN TIEMPO-18 MESES</v>
      </c>
      <c r="BJ38" s="338" t="str">
        <f ca="1">IFERROR(__xludf.DUMMYFUNCTION("IFERROR(VLOOKUP(F53,IMPORTRANGE(""https://docs.google.com/spreadsheets/d/1Kvs4KS76FHFqLFIZfrDMff4kP08nblUkihrxltoGBjg/edit#gid=934712705"",""ESENCIAL!A6:BG""),2,FALSE))"),"Terminada por fecha")</f>
        <v>Terminada por fecha</v>
      </c>
      <c r="BK38" s="338" t="str">
        <f t="shared" si="7"/>
        <v>Yamboro</v>
      </c>
      <c r="BL38" s="38"/>
      <c r="BM38" s="38"/>
    </row>
    <row r="39" spans="1:65" s="180" customFormat="1" ht="24">
      <c r="A39" s="164" t="s">
        <v>651</v>
      </c>
      <c r="B39" s="565"/>
      <c r="C39" s="534" t="s">
        <v>25</v>
      </c>
      <c r="D39" s="536" t="s">
        <v>705</v>
      </c>
      <c r="E39" s="217" t="s">
        <v>27</v>
      </c>
      <c r="F39" s="217">
        <v>1084259546</v>
      </c>
      <c r="G39" s="451">
        <v>2389755</v>
      </c>
      <c r="H39" s="338" t="str">
        <f ca="1">IFERROR(__xludf.DUMMYFUNCTION("IFERROR(VLOOKUP(F55,IMPORTRANGE(""https://docs.google.com/spreadsheets/d/1Kvs4KS76FHFqLFIZfrDMff4kP08nblUkihrxltoGBjg/edit#gid=934712705"",""ESENCIAL!A6:BG""),3,FALSE))"),"TÉCNICO")</f>
        <v>TÉCNICO</v>
      </c>
      <c r="I39" s="338" t="str">
        <f ca="1">IFERROR(__xludf.DUMMYFUNCTION("IFERROR(VLOOKUP(F55,IMPORTRANGE(""https://docs.google.com/spreadsheets/d/1Kvs4KS76FHFqLFIZfrDMff4kP08nblUkihrxltoGBjg/edit#gid=934712705"",""ESENCIAL!A6:BG""),8,FALSE))"),"SISTEMAS.")</f>
        <v>SISTEMAS.</v>
      </c>
      <c r="J39" s="451"/>
      <c r="K39" s="527"/>
      <c r="L39" s="527"/>
      <c r="M39" s="568" t="s">
        <v>703</v>
      </c>
      <c r="N39" s="527"/>
      <c r="O39" s="527"/>
      <c r="P39" s="527"/>
      <c r="Q39" s="527"/>
      <c r="R39" s="527"/>
      <c r="S39" s="525"/>
      <c r="T39" s="530"/>
      <c r="U39" s="527"/>
      <c r="V39" s="527" t="s">
        <v>700</v>
      </c>
      <c r="W39" s="527"/>
      <c r="X39" s="527"/>
      <c r="Y39" s="527"/>
      <c r="Z39" s="527"/>
      <c r="AA39" s="527"/>
      <c r="AB39" s="527"/>
      <c r="AC39" s="527"/>
      <c r="AD39" s="527"/>
      <c r="AE39" s="527"/>
      <c r="AF39" s="527"/>
      <c r="AG39" s="527"/>
      <c r="AH39" s="527"/>
      <c r="AI39" s="527"/>
      <c r="AJ39" s="527"/>
      <c r="AK39" s="527"/>
      <c r="AL39" s="527"/>
      <c r="AM39" s="527"/>
      <c r="AN39" s="527"/>
      <c r="AO39" s="527"/>
      <c r="AP39" s="527"/>
      <c r="AQ39" s="527"/>
      <c r="AR39" s="164"/>
      <c r="AS39" s="164"/>
      <c r="AT39" s="164"/>
      <c r="AU39" s="164"/>
      <c r="AV39" s="338" t="str">
        <f t="shared" ca="1" si="4"/>
        <v>NO_CUMPLE</v>
      </c>
      <c r="AW39" s="338" t="str">
        <f ca="1">IFERROR(__xludf.DUMMYFUNCTION("IFERROR(VLOOKUP(E55&amp;F55,IMPORTRANGE(""https://docs.google.com/spreadsheets/d/1Uw7-A9f9R21vMXxHZFNpYNeKFtG8_yji4HS352LGlSQ/edit?pli=1#gid=0"",""1_ACUM!A4:S""),11,FALSE))"),"EN FORMACION")</f>
        <v>EN FORMACION</v>
      </c>
      <c r="AX39" s="462" t="str">
        <f ca="1">IFERROR(__xludf.DUMMYFUNCTION("IFERROR(VLOOKUP(F55,IMPORTRANGE(""https://docs.google.com/spreadsheets/d/1Kvs4KS76FHFqLFIZfrDMff4kP08nblUkihrxltoGBjg/edit#gid=934712705"",""ESENCIAL!A6:BG""),15,FALSE))"),"TIC")</f>
        <v>TIC</v>
      </c>
      <c r="AY39" s="461">
        <f ca="1">IFERROR(__xludf.DUMMYFUNCTION("IFERROR(VLOOKUP(E55&amp;F55,IMPORTRANGE(""https://docs.google.com/spreadsheets/d/1Uw7-A9f9R21vMXxHZFNpYNeKFtG8_yji4HS352LGlSQ/edit?pli=1#gid=0"",""1_ACUM!A4:S""),13,FALSE))"),11)</f>
        <v>11</v>
      </c>
      <c r="AZ39" s="460">
        <f ca="1">IFERROR(__xludf.DUMMYFUNCTION("IFERROR(VLOOKUP(E55&amp;F55,IMPORTRANGE(""https://docs.google.com/spreadsheets/d/1Uw7-A9f9R21vMXxHZFNpYNeKFtG8_yji4HS352LGlSQ/edit?pli=1#gid=0"",""1_ACUM!A4:S""),13,FALSE))"),11)</f>
        <v>11</v>
      </c>
      <c r="BA39" s="460">
        <f ca="1">IFERROR(__xludf.DUMMYFUNCTION("IFERROR(VLOOKUP(E55&amp;F55,IMPORTRANGE(""https://docs.google.com/spreadsheets/d/1Uw7-A9f9R21vMXxHZFNpYNeKFtG8_yji4HS352LGlSQ/edit?pli=1#gid=0"",""1_ACUM!A4:S""),14,FALSE))"),1)</f>
        <v>1</v>
      </c>
      <c r="BB39" s="460">
        <f ca="1">IFERROR(__xludf.DUMMYFUNCTION("IFERROR(VLOOKUP(E55&amp;F55,IMPORTRANGE(""https://docs.google.com/spreadsheets/d/1Uw7-A9f9R21vMXxHZFNpYNeKFtG8_yji4HS352LGlSQ/edit?pli=1#gid=0"",""1_ACUM!A4:S""),15,FALSE))"),6)</f>
        <v>6</v>
      </c>
      <c r="BC39" s="460">
        <f ca="1">IFERROR(__xludf.DUMMYFUNCTION("IFERROR(VLOOKUP(E55&amp;F55,IMPORTRANGE(""https://docs.google.com/spreadsheets/d/1Uw7-A9f9R21vMXxHZFNpYNeKFtG8_yji4HS352LGlSQ/edit?pli=1#gid=0"",""1_ACUM!A4:S""),16,FALSE))"),6)</f>
        <v>6</v>
      </c>
      <c r="BD39" s="460">
        <f ca="1">IFERROR(__xludf.DUMMYFUNCTION("IFERROR(VLOOKUP(E55&amp;F55,IMPORTRANGE(""https://docs.google.com/spreadsheets/d/1Uw7-A9f9R21vMXxHZFNpYNeKFtG8_yji4HS352LGlSQ/edit?pli=1#gid=0"",""1_ACUM!A4:S""),17,FALSE))"),24)</f>
        <v>24</v>
      </c>
      <c r="BE39" s="461">
        <f ca="1">IFERROR(__xludf.DUMMYFUNCTION("IFERROR(VLOOKUP(E55&amp;F55,IMPORTRANGE(""https://docs.google.com/spreadsheets/d/1Uw7-A9f9R21vMXxHZFNpYNeKFtG8_yji4HS352LGlSQ/edit?pli=1#gid=0"",""1_ACUM!A4:S""),18,FALSE))"),44425)</f>
        <v>44425</v>
      </c>
      <c r="BF39" s="461">
        <f ca="1">IFERROR(__xludf.DUMMYFUNCTION("IFERROR(VLOOKUP(E55&amp;F55,IMPORTRANGE(""https://docs.google.com/spreadsheets/d/1Uw7-A9f9R21vMXxHZFNpYNeKFtG8_yji4HS352LGlSQ/edit?pli=1#gid=0"",""1_ACUM!A4:S""),19,FALSE))"),44698)</f>
        <v>44698</v>
      </c>
      <c r="BG39" s="462">
        <f ca="1">IFERROR(__xludf.DUMMYFUNCTION("IFERROR(VLOOKUP(F55,IMPORTRANGE(""https://docs.google.com/spreadsheets/d/1Kvs4KS76FHFqLFIZfrDMff4kP08nblUkihrxltoGBjg/edit#gid=934712705"",""ESENCIAL!A6:BG""),5,FALSE))"),44882)</f>
        <v>44882</v>
      </c>
      <c r="BH39" s="462">
        <f t="shared" ca="1" si="5"/>
        <v>45429</v>
      </c>
      <c r="BI39" s="338" t="str">
        <f t="shared" ca="1" si="6"/>
        <v>FICHA EN TIEMPO-18 MESES</v>
      </c>
      <c r="BJ39" s="338" t="str">
        <f ca="1">IFERROR(__xludf.DUMMYFUNCTION("IFERROR(VLOOKUP(F55,IMPORTRANGE(""https://docs.google.com/spreadsheets/d/1Kvs4KS76FHFqLFIZfrDMff4kP08nblUkihrxltoGBjg/edit#gid=934712705"",""ESENCIAL!A6:BG""),2,FALSE))"),"Terminada por fecha")</f>
        <v>Terminada por fecha</v>
      </c>
      <c r="BK39" s="338" t="str">
        <f t="shared" si="7"/>
        <v>Yamboro</v>
      </c>
      <c r="BL39" s="173"/>
      <c r="BM39" s="173"/>
    </row>
    <row r="40" spans="1:65" ht="24">
      <c r="A40" s="164" t="s">
        <v>651</v>
      </c>
      <c r="B40" s="565"/>
      <c r="C40" s="534" t="s">
        <v>25</v>
      </c>
      <c r="D40" s="536" t="s">
        <v>706</v>
      </c>
      <c r="E40" s="217" t="s">
        <v>27</v>
      </c>
      <c r="F40" s="150">
        <v>1007492668</v>
      </c>
      <c r="G40" s="451">
        <v>2380830</v>
      </c>
      <c r="H40" s="338" t="str">
        <f ca="1">IFERROR(__xludf.DUMMYFUNCTION("IFERROR(VLOOKUP(F59,IMPORTRANGE(""https://docs.google.com/spreadsheets/d/1Kvs4KS76FHFqLFIZfrDMff4kP08nblUkihrxltoGBjg/edit#gid=934712705"",""ESENCIAL!A6:BG""),3,FALSE))"),"TÉCNICO")</f>
        <v>TÉCNICO</v>
      </c>
      <c r="I40" s="338" t="str">
        <f ca="1">IFERROR(__xludf.DUMMYFUNCTION("IFERROR(VLOOKUP(F59,IMPORTRANGE(""https://docs.google.com/spreadsheets/d/1Kvs4KS76FHFqLFIZfrDMff4kP08nblUkihrxltoGBjg/edit#gid=934712705"",""ESENCIAL!A6:BG""),8,FALSE))"),"SISTEMAS.")</f>
        <v>SISTEMAS.</v>
      </c>
      <c r="J40" s="451"/>
      <c r="K40" s="527"/>
      <c r="L40" s="527"/>
      <c r="M40" s="568" t="s">
        <v>703</v>
      </c>
      <c r="N40" s="527"/>
      <c r="O40" s="527"/>
      <c r="P40" s="527"/>
      <c r="Q40" s="527"/>
      <c r="R40" s="527"/>
      <c r="S40" s="525"/>
      <c r="T40" s="530"/>
      <c r="U40" s="527"/>
      <c r="V40" s="527" t="s">
        <v>585</v>
      </c>
      <c r="W40" s="527"/>
      <c r="X40" s="527"/>
      <c r="Y40" s="527"/>
      <c r="Z40" s="527"/>
      <c r="AA40" s="527"/>
      <c r="AB40" s="527"/>
      <c r="AC40" s="527"/>
      <c r="AD40" s="527"/>
      <c r="AE40" s="527"/>
      <c r="AF40" s="527"/>
      <c r="AG40" s="527"/>
      <c r="AH40" s="527"/>
      <c r="AI40" s="527"/>
      <c r="AJ40" s="527"/>
      <c r="AK40" s="527"/>
      <c r="AL40" s="527"/>
      <c r="AM40" s="527"/>
      <c r="AN40" s="527"/>
      <c r="AO40" s="527"/>
      <c r="AP40" s="527"/>
      <c r="AQ40" s="527"/>
      <c r="AR40" s="164"/>
      <c r="AS40" s="164"/>
      <c r="AT40" s="164"/>
      <c r="AU40" s="164"/>
      <c r="AV40" s="338" t="str">
        <f t="shared" ca="1" si="4"/>
        <v>NO_CUMPLE</v>
      </c>
      <c r="AW40" s="338" t="str">
        <f ca="1">IFERROR(__xludf.DUMMYFUNCTION("IFERROR(VLOOKUP(E59&amp;F59,IMPORTRANGE(""https://docs.google.com/spreadsheets/d/1Uw7-A9f9R21vMXxHZFNpYNeKFtG8_yji4HS352LGlSQ/edit?pli=1#gid=0"",""1_ACUM!A4:S""),11,FALSE))"),"EN FORMACION")</f>
        <v>EN FORMACION</v>
      </c>
      <c r="AX40" s="462" t="str">
        <f ca="1">IFERROR(__xludf.DUMMYFUNCTION("IFERROR(VLOOKUP(F59,IMPORTRANGE(""https://docs.google.com/spreadsheets/d/1Kvs4KS76FHFqLFIZfrDMff4kP08nblUkihrxltoGBjg/edit#gid=934712705"",""ESENCIAL!A6:BG""),15,FALSE))"),"TIC")</f>
        <v>TIC</v>
      </c>
      <c r="AY40" s="461">
        <f ca="1">IFERROR(__xludf.DUMMYFUNCTION("IFERROR(VLOOKUP(E59&amp;F59,IMPORTRANGE(""https://docs.google.com/spreadsheets/d/1Uw7-A9f9R21vMXxHZFNpYNeKFtG8_yji4HS352LGlSQ/edit?pli=1#gid=0"",""1_ACUM!A4:S""),13,FALSE))"),37)</f>
        <v>37</v>
      </c>
      <c r="AZ40" s="460">
        <f ca="1">IFERROR(__xludf.DUMMYFUNCTION("IFERROR(VLOOKUP(E59&amp;F59,IMPORTRANGE(""https://docs.google.com/spreadsheets/d/1Uw7-A9f9R21vMXxHZFNpYNeKFtG8_yji4HS352LGlSQ/edit?pli=1#gid=0"",""1_ACUM!A4:S""),13,FALSE))"),37)</f>
        <v>37</v>
      </c>
      <c r="BA40" s="460">
        <f ca="1">IFERROR(__xludf.DUMMYFUNCTION("IFERROR(VLOOKUP(E59&amp;F59,IMPORTRANGE(""https://docs.google.com/spreadsheets/d/1Uw7-A9f9R21vMXxHZFNpYNeKFtG8_yji4HS352LGlSQ/edit?pli=1#gid=0"",""1_ACUM!A4:S""),14,FALSE))"),1)</f>
        <v>1</v>
      </c>
      <c r="BB40" s="460">
        <f ca="1">IFERROR(__xludf.DUMMYFUNCTION("IFERROR(VLOOKUP(E59&amp;F59,IMPORTRANGE(""https://docs.google.com/spreadsheets/d/1Uw7-A9f9R21vMXxHZFNpYNeKFtG8_yji4HS352LGlSQ/edit?pli=1#gid=0"",""1_ACUM!A4:S""),15,FALSE))"),6)</f>
        <v>6</v>
      </c>
      <c r="BC40" s="460">
        <f ca="1">IFERROR(__xludf.DUMMYFUNCTION("IFERROR(VLOOKUP(E59&amp;F59,IMPORTRANGE(""https://docs.google.com/spreadsheets/d/1Uw7-A9f9R21vMXxHZFNpYNeKFtG8_yji4HS352LGlSQ/edit?pli=1#gid=0"",""1_ACUM!A4:S""),16,FALSE))"),12)</f>
        <v>12</v>
      </c>
      <c r="BD40" s="460">
        <f ca="1">IFERROR(__xludf.DUMMYFUNCTION("IFERROR(VLOOKUP(E59&amp;F59,IMPORTRANGE(""https://docs.google.com/spreadsheets/d/1Uw7-A9f9R21vMXxHZFNpYNeKFtG8_yji4HS352LGlSQ/edit?pli=1#gid=0"",""1_ACUM!A4:S""),17,FALSE))"),56)</f>
        <v>56</v>
      </c>
      <c r="BE40" s="461">
        <f ca="1">IFERROR(__xludf.DUMMYFUNCTION("IFERROR(VLOOKUP(E59&amp;F59,IMPORTRANGE(""https://docs.google.com/spreadsheets/d/1Uw7-A9f9R21vMXxHZFNpYNeKFtG8_yji4HS352LGlSQ/edit?pli=1#gid=0"",""1_ACUM!A4:S""),18,FALSE))"),44445)</f>
        <v>44445</v>
      </c>
      <c r="BF40" s="461">
        <f ca="1">IFERROR(__xludf.DUMMYFUNCTION("IFERROR(VLOOKUP(E59&amp;F59,IMPORTRANGE(""https://docs.google.com/spreadsheets/d/1Uw7-A9f9R21vMXxHZFNpYNeKFtG8_yji4HS352LGlSQ/edit?pli=1#gid=0"",""1_ACUM!A4:S""),19,FALSE))"),44717)</f>
        <v>44717</v>
      </c>
      <c r="BG40" s="462">
        <f ca="1">IFERROR(__xludf.DUMMYFUNCTION("IFERROR(VLOOKUP(F59,IMPORTRANGE(""https://docs.google.com/spreadsheets/d/1Kvs4KS76FHFqLFIZfrDMff4kP08nblUkihrxltoGBjg/edit#gid=934712705"",""ESENCIAL!A6:BG""),5,FALSE))"),44900)</f>
        <v>44900</v>
      </c>
      <c r="BH40" s="462">
        <f t="shared" ca="1" si="5"/>
        <v>45448</v>
      </c>
      <c r="BI40" s="338" t="str">
        <f t="shared" ca="1" si="6"/>
        <v>FICHA EN TIEMPO-18 MESES</v>
      </c>
      <c r="BJ40" s="338" t="str">
        <f ca="1">IFERROR(__xludf.DUMMYFUNCTION("IFERROR(VLOOKUP(F59,IMPORTRANGE(""https://docs.google.com/spreadsheets/d/1Kvs4KS76FHFqLFIZfrDMff4kP08nblUkihrxltoGBjg/edit#gid=934712705"",""ESENCIAL!A6:BG""),2,FALSE))"),"En ejecucion")</f>
        <v>En ejecucion</v>
      </c>
      <c r="BK40" s="338" t="str">
        <f t="shared" si="7"/>
        <v>Yamboro</v>
      </c>
      <c r="BL40" s="38"/>
      <c r="BM40" s="38"/>
    </row>
    <row r="41" spans="1:65" ht="24">
      <c r="A41" s="164" t="s">
        <v>651</v>
      </c>
      <c r="B41" s="565"/>
      <c r="C41" s="534" t="s">
        <v>25</v>
      </c>
      <c r="D41" s="536" t="s">
        <v>707</v>
      </c>
      <c r="E41" s="217" t="s">
        <v>27</v>
      </c>
      <c r="F41" s="150">
        <v>1083921586</v>
      </c>
      <c r="G41" s="451">
        <v>2380830</v>
      </c>
      <c r="H41" s="338" t="str">
        <f ca="1">IFERROR(__xludf.DUMMYFUNCTION("IFERROR(VLOOKUP(F64,IMPORTRANGE(""https://docs.google.com/spreadsheets/d/1Kvs4KS76FHFqLFIZfrDMff4kP08nblUkihrxltoGBjg/edit#gid=934712705"",""ESENCIAL!A6:BG""),3,FALSE))"),"TÉCNICO")</f>
        <v>TÉCNICO</v>
      </c>
      <c r="I41" s="338" t="str">
        <f ca="1">IFERROR(__xludf.DUMMYFUNCTION("IFERROR(VLOOKUP(F64,IMPORTRANGE(""https://docs.google.com/spreadsheets/d/1Kvs4KS76FHFqLFIZfrDMff4kP08nblUkihrxltoGBjg/edit#gid=934712705"",""ESENCIAL!A6:BG""),8,FALSE))"),"SISTEMAS.")</f>
        <v>SISTEMAS.</v>
      </c>
      <c r="J41" s="451"/>
      <c r="K41" s="527"/>
      <c r="L41" s="527"/>
      <c r="M41" s="570" t="s">
        <v>44</v>
      </c>
      <c r="N41" s="527"/>
      <c r="O41" s="527"/>
      <c r="P41" s="527"/>
      <c r="Q41" s="527"/>
      <c r="R41" s="527"/>
      <c r="S41" s="525"/>
      <c r="T41" s="530"/>
      <c r="U41" s="527"/>
      <c r="V41" s="527" t="s">
        <v>585</v>
      </c>
      <c r="W41" s="527"/>
      <c r="X41" s="527"/>
      <c r="Y41" s="527"/>
      <c r="Z41" s="527"/>
      <c r="AA41" s="527"/>
      <c r="AB41" s="527"/>
      <c r="AC41" s="527"/>
      <c r="AD41" s="527"/>
      <c r="AE41" s="527"/>
      <c r="AF41" s="527"/>
      <c r="AG41" s="527"/>
      <c r="AH41" s="527"/>
      <c r="AI41" s="527"/>
      <c r="AJ41" s="527"/>
      <c r="AK41" s="527"/>
      <c r="AL41" s="527"/>
      <c r="AM41" s="527"/>
      <c r="AN41" s="527"/>
      <c r="AO41" s="527"/>
      <c r="AP41" s="527"/>
      <c r="AQ41" s="527"/>
      <c r="AR41" s="164"/>
      <c r="AS41" s="164"/>
      <c r="AT41" s="164"/>
      <c r="AU41" s="164"/>
      <c r="AV41" s="338" t="str">
        <f t="shared" ca="1" si="4"/>
        <v>Procede_E_P</v>
      </c>
      <c r="AW41" s="338" t="str">
        <f ca="1">IFERROR(__xludf.DUMMYFUNCTION("IFERROR(VLOOKUP(E64&amp;F64,IMPORTRANGE(""https://docs.google.com/spreadsheets/d/1Uw7-A9f9R21vMXxHZFNpYNeKFtG8_yji4HS352LGlSQ/edit?pli=1#gid=0"",""1_ACUM!A4:S""),11,FALSE))"),"EN FORMACION")</f>
        <v>EN FORMACION</v>
      </c>
      <c r="AX41" s="462" t="str">
        <f ca="1">IFERROR(__xludf.DUMMYFUNCTION("IFERROR(VLOOKUP(F64,IMPORTRANGE(""https://docs.google.com/spreadsheets/d/1Kvs4KS76FHFqLFIZfrDMff4kP08nblUkihrxltoGBjg/edit#gid=934712705"",""ESENCIAL!A6:BG""),15,FALSE))"),"TIC")</f>
        <v>TIC</v>
      </c>
      <c r="AY41" s="461">
        <f ca="1">IFERROR(__xludf.DUMMYFUNCTION("IFERROR(VLOOKUP(E64&amp;F64,IMPORTRANGE(""https://docs.google.com/spreadsheets/d/1Uw7-A9f9R21vMXxHZFNpYNeKFtG8_yji4HS352LGlSQ/edit?pli=1#gid=0"",""1_ACUM!A4:S""),13,FALSE))"),0)</f>
        <v>0</v>
      </c>
      <c r="AZ41" s="460">
        <f ca="1">IFERROR(__xludf.DUMMYFUNCTION("IFERROR(VLOOKUP(E64&amp;F64,IMPORTRANGE(""https://docs.google.com/spreadsheets/d/1Uw7-A9f9R21vMXxHZFNpYNeKFtG8_yji4HS352LGlSQ/edit?pli=1#gid=0"",""1_ACUM!A4:S""),13,FALSE))"),0)</f>
        <v>0</v>
      </c>
      <c r="BA41" s="460">
        <f ca="1">IFERROR(__xludf.DUMMYFUNCTION("IFERROR(VLOOKUP(E64&amp;F64,IMPORTRANGE(""https://docs.google.com/spreadsheets/d/1Uw7-A9f9R21vMXxHZFNpYNeKFtG8_yji4HS352LGlSQ/edit?pli=1#gid=0"",""1_ACUM!A4:S""),14,FALSE))"),1)</f>
        <v>1</v>
      </c>
      <c r="BB41" s="460">
        <f ca="1">IFERROR(__xludf.DUMMYFUNCTION("IFERROR(VLOOKUP(E64&amp;F64,IMPORTRANGE(""https://docs.google.com/spreadsheets/d/1Uw7-A9f9R21vMXxHZFNpYNeKFtG8_yji4HS352LGlSQ/edit?pli=1#gid=0"",""1_ACUM!A4:S""),15,FALSE))"),0)</f>
        <v>0</v>
      </c>
      <c r="BC41" s="460">
        <f ca="1">IFERROR(__xludf.DUMMYFUNCTION("IFERROR(VLOOKUP(E64&amp;F64,IMPORTRANGE(""https://docs.google.com/spreadsheets/d/1Uw7-A9f9R21vMXxHZFNpYNeKFtG8_yji4HS352LGlSQ/edit?pli=1#gid=0"",""1_ACUM!A4:S""),16,FALSE))"),0)</f>
        <v>0</v>
      </c>
      <c r="BD41" s="460">
        <f ca="1">IFERROR(__xludf.DUMMYFUNCTION("IFERROR(VLOOKUP(E64&amp;F64,IMPORTRANGE(""https://docs.google.com/spreadsheets/d/1Uw7-A9f9R21vMXxHZFNpYNeKFtG8_yji4HS352LGlSQ/edit?pli=1#gid=0"",""1_ACUM!A4:S""),17,FALSE))"),1)</f>
        <v>1</v>
      </c>
      <c r="BE41" s="461">
        <f ca="1">IFERROR(__xludf.DUMMYFUNCTION("IFERROR(VLOOKUP(E64&amp;F64,IMPORTRANGE(""https://docs.google.com/spreadsheets/d/1Uw7-A9f9R21vMXxHZFNpYNeKFtG8_yji4HS352LGlSQ/edit?pli=1#gid=0"",""1_ACUM!A4:S""),18,FALSE))"),44445)</f>
        <v>44445</v>
      </c>
      <c r="BF41" s="461">
        <f ca="1">IFERROR(__xludf.DUMMYFUNCTION("IFERROR(VLOOKUP(E64&amp;F64,IMPORTRANGE(""https://docs.google.com/spreadsheets/d/1Uw7-A9f9R21vMXxHZFNpYNeKFtG8_yji4HS352LGlSQ/edit?pli=1#gid=0"",""1_ACUM!A4:S""),19,FALSE))"),44717)</f>
        <v>44717</v>
      </c>
      <c r="BG41" s="462">
        <f ca="1">IFERROR(__xludf.DUMMYFUNCTION("IFERROR(VLOOKUP(F64,IMPORTRANGE(""https://docs.google.com/spreadsheets/d/1Kvs4KS76FHFqLFIZfrDMff4kP08nblUkihrxltoGBjg/edit#gid=934712705"",""ESENCIAL!A6:BG""),5,FALSE))"),44900)</f>
        <v>44900</v>
      </c>
      <c r="BH41" s="462">
        <f t="shared" ca="1" si="5"/>
        <v>45448</v>
      </c>
      <c r="BI41" s="338" t="str">
        <f t="shared" ca="1" si="6"/>
        <v>FICHA EN TIEMPO-18 MESES</v>
      </c>
      <c r="BJ41" s="338" t="str">
        <f ca="1">IFERROR(__xludf.DUMMYFUNCTION("IFERROR(VLOOKUP(F64,IMPORTRANGE(""https://docs.google.com/spreadsheets/d/1Kvs4KS76FHFqLFIZfrDMff4kP08nblUkihrxltoGBjg/edit#gid=934712705"",""ESENCIAL!A6:BG""),2,FALSE))"),"En ejecucion")</f>
        <v>En ejecucion</v>
      </c>
      <c r="BK41" s="338" t="str">
        <f t="shared" si="7"/>
        <v>Yamboro</v>
      </c>
      <c r="BL41" s="38"/>
      <c r="BM41" s="38"/>
    </row>
    <row r="42" spans="1:65" ht="24">
      <c r="A42" s="164" t="s">
        <v>651</v>
      </c>
      <c r="B42" s="565" t="s">
        <v>180</v>
      </c>
      <c r="C42" s="534" t="s">
        <v>25</v>
      </c>
      <c r="D42" s="536" t="s">
        <v>708</v>
      </c>
      <c r="E42" s="217" t="s">
        <v>27</v>
      </c>
      <c r="F42" s="150">
        <v>1126448476</v>
      </c>
      <c r="G42" s="451">
        <v>2380830</v>
      </c>
      <c r="H42" s="338" t="str">
        <f ca="1">IFERROR(__xludf.DUMMYFUNCTION("IFERROR(VLOOKUP(F65,IMPORTRANGE(""https://docs.google.com/spreadsheets/d/1Kvs4KS76FHFqLFIZfrDMff4kP08nblUkihrxltoGBjg/edit#gid=934712705"",""ESENCIAL!A6:BG""),3,FALSE))"),"TÉCNICO")</f>
        <v>TÉCNICO</v>
      </c>
      <c r="I42" s="338" t="str">
        <f ca="1">IFERROR(__xludf.DUMMYFUNCTION("IFERROR(VLOOKUP(F65,IMPORTRANGE(""https://docs.google.com/spreadsheets/d/1Kvs4KS76FHFqLFIZfrDMff4kP08nblUkihrxltoGBjg/edit#gid=934712705"",""ESENCIAL!A6:BG""),8,FALSE))"),"SISTEMAS.")</f>
        <v>SISTEMAS.</v>
      </c>
      <c r="J42" s="451">
        <v>3163672389</v>
      </c>
      <c r="K42" s="569" t="s">
        <v>709</v>
      </c>
      <c r="L42" s="523" t="s">
        <v>421</v>
      </c>
      <c r="M42" s="527" t="s">
        <v>28</v>
      </c>
      <c r="N42" s="527" t="s">
        <v>710</v>
      </c>
      <c r="O42" s="527" t="s">
        <v>711</v>
      </c>
      <c r="P42" s="527">
        <v>3168078417</v>
      </c>
      <c r="Q42" s="527" t="s">
        <v>712</v>
      </c>
      <c r="R42" s="569" t="s">
        <v>713</v>
      </c>
      <c r="S42" s="525" t="s">
        <v>714</v>
      </c>
      <c r="T42" s="530" t="s">
        <v>715</v>
      </c>
      <c r="U42" s="527"/>
      <c r="V42" s="527" t="s">
        <v>585</v>
      </c>
      <c r="W42" s="527"/>
      <c r="X42" s="527"/>
      <c r="Y42" s="527"/>
      <c r="Z42" s="527"/>
      <c r="AA42" s="527"/>
      <c r="AB42" s="527"/>
      <c r="AC42" s="527"/>
      <c r="AD42" s="527"/>
      <c r="AE42" s="527"/>
      <c r="AF42" s="527"/>
      <c r="AG42" s="527"/>
      <c r="AH42" s="527"/>
      <c r="AI42" s="527"/>
      <c r="AJ42" s="527"/>
      <c r="AK42" s="527"/>
      <c r="AL42" s="527"/>
      <c r="AM42" s="527"/>
      <c r="AN42" s="527"/>
      <c r="AO42" s="527"/>
      <c r="AP42" s="527"/>
      <c r="AQ42" s="527"/>
      <c r="AR42" s="164"/>
      <c r="AS42" s="164"/>
      <c r="AT42" s="164"/>
      <c r="AU42" s="164"/>
      <c r="AV42" s="338" t="str">
        <f t="shared" ca="1" si="4"/>
        <v>Procede_E_P</v>
      </c>
      <c r="AW42" s="338" t="str">
        <f ca="1">IFERROR(__xludf.DUMMYFUNCTION("IFERROR(VLOOKUP(E65&amp;F65,IMPORTRANGE(""https://docs.google.com/spreadsheets/d/1Uw7-A9f9R21vMXxHZFNpYNeKFtG8_yji4HS352LGlSQ/edit?pli=1#gid=0"",""1_ACUM!A4:S""),11,FALSE))"),"EN FORMACION")</f>
        <v>EN FORMACION</v>
      </c>
      <c r="AX42" s="462" t="str">
        <f ca="1">IFERROR(__xludf.DUMMYFUNCTION("IFERROR(VLOOKUP(F65,IMPORTRANGE(""https://docs.google.com/spreadsheets/d/1Kvs4KS76FHFqLFIZfrDMff4kP08nblUkihrxltoGBjg/edit#gid=934712705"",""ESENCIAL!A6:BG""),15,FALSE))"),"TIC")</f>
        <v>TIC</v>
      </c>
      <c r="AY42" s="461">
        <f ca="1">IFERROR(__xludf.DUMMYFUNCTION("IFERROR(VLOOKUP(E65&amp;F65,IMPORTRANGE(""https://docs.google.com/spreadsheets/d/1Uw7-A9f9R21vMXxHZFNpYNeKFtG8_yji4HS352LGlSQ/edit?pli=1#gid=0"",""1_ACUM!A4:S""),13,FALSE))"),0)</f>
        <v>0</v>
      </c>
      <c r="AZ42" s="460">
        <f ca="1">IFERROR(__xludf.DUMMYFUNCTION("IFERROR(VLOOKUP(E65&amp;F65,IMPORTRANGE(""https://docs.google.com/spreadsheets/d/1Uw7-A9f9R21vMXxHZFNpYNeKFtG8_yji4HS352LGlSQ/edit?pli=1#gid=0"",""1_ACUM!A4:S""),13,FALSE))"),0)</f>
        <v>0</v>
      </c>
      <c r="BA42" s="460">
        <f ca="1">IFERROR(__xludf.DUMMYFUNCTION("IFERROR(VLOOKUP(E65&amp;F65,IMPORTRANGE(""https://docs.google.com/spreadsheets/d/1Uw7-A9f9R21vMXxHZFNpYNeKFtG8_yji4HS352LGlSQ/edit?pli=1#gid=0"",""1_ACUM!A4:S""),14,FALSE))"),1)</f>
        <v>1</v>
      </c>
      <c r="BB42" s="460">
        <f ca="1">IFERROR(__xludf.DUMMYFUNCTION("IFERROR(VLOOKUP(E65&amp;F65,IMPORTRANGE(""https://docs.google.com/spreadsheets/d/1Uw7-A9f9R21vMXxHZFNpYNeKFtG8_yji4HS352LGlSQ/edit?pli=1#gid=0"",""1_ACUM!A4:S""),15,FALSE))"),0)</f>
        <v>0</v>
      </c>
      <c r="BC42" s="460">
        <f ca="1">IFERROR(__xludf.DUMMYFUNCTION("IFERROR(VLOOKUP(E65&amp;F65,IMPORTRANGE(""https://docs.google.com/spreadsheets/d/1Uw7-A9f9R21vMXxHZFNpYNeKFtG8_yji4HS352LGlSQ/edit?pli=1#gid=0"",""1_ACUM!A4:S""),16,FALSE))"),0)</f>
        <v>0</v>
      </c>
      <c r="BD42" s="460">
        <f ca="1">IFERROR(__xludf.DUMMYFUNCTION("IFERROR(VLOOKUP(E65&amp;F65,IMPORTRANGE(""https://docs.google.com/spreadsheets/d/1Uw7-A9f9R21vMXxHZFNpYNeKFtG8_yji4HS352LGlSQ/edit?pli=1#gid=0"",""1_ACUM!A4:S""),17,FALSE))"),1)</f>
        <v>1</v>
      </c>
      <c r="BE42" s="461">
        <f ca="1">IFERROR(__xludf.DUMMYFUNCTION("IFERROR(VLOOKUP(E65&amp;F65,IMPORTRANGE(""https://docs.google.com/spreadsheets/d/1Uw7-A9f9R21vMXxHZFNpYNeKFtG8_yji4HS352LGlSQ/edit?pli=1#gid=0"",""1_ACUM!A4:S""),18,FALSE))"),44445)</f>
        <v>44445</v>
      </c>
      <c r="BF42" s="461">
        <f ca="1">IFERROR(__xludf.DUMMYFUNCTION("IFERROR(VLOOKUP(E65&amp;F65,IMPORTRANGE(""https://docs.google.com/spreadsheets/d/1Uw7-A9f9R21vMXxHZFNpYNeKFtG8_yji4HS352LGlSQ/edit?pli=1#gid=0"",""1_ACUM!A4:S""),19,FALSE))"),44717)</f>
        <v>44717</v>
      </c>
      <c r="BG42" s="462">
        <f ca="1">IFERROR(__xludf.DUMMYFUNCTION("IFERROR(VLOOKUP(F65,IMPORTRANGE(""https://docs.google.com/spreadsheets/d/1Kvs4KS76FHFqLFIZfrDMff4kP08nblUkihrxltoGBjg/edit#gid=934712705"",""ESENCIAL!A6:BG""),5,FALSE))"),44900)</f>
        <v>44900</v>
      </c>
      <c r="BH42" s="462">
        <f t="shared" ca="1" si="5"/>
        <v>45448</v>
      </c>
      <c r="BI42" s="338" t="str">
        <f t="shared" ca="1" si="6"/>
        <v>FICHA EN TIEMPO-18 MESES</v>
      </c>
      <c r="BJ42" s="338" t="str">
        <f ca="1">IFERROR(__xludf.DUMMYFUNCTION("IFERROR(VLOOKUP(F65,IMPORTRANGE(""https://docs.google.com/spreadsheets/d/1Kvs4KS76FHFqLFIZfrDMff4kP08nblUkihrxltoGBjg/edit#gid=934712705"",""ESENCIAL!A6:BG""),2,FALSE))"),"En ejecucion")</f>
        <v>En ejecucion</v>
      </c>
      <c r="BK42" s="338" t="str">
        <f t="shared" si="7"/>
        <v>Yamboro</v>
      </c>
      <c r="BL42" s="38"/>
      <c r="BM42" s="38"/>
    </row>
    <row r="43" spans="1:65" ht="24">
      <c r="A43" s="164" t="s">
        <v>651</v>
      </c>
      <c r="B43" s="565"/>
      <c r="C43" s="534" t="s">
        <v>25</v>
      </c>
      <c r="D43" s="536" t="s">
        <v>716</v>
      </c>
      <c r="E43" s="217" t="s">
        <v>27</v>
      </c>
      <c r="F43" s="150">
        <v>1004269105</v>
      </c>
      <c r="G43" s="451">
        <v>2414953</v>
      </c>
      <c r="H43" s="338" t="str">
        <f ca="1">IFERROR(__xludf.DUMMYFUNCTION("IFERROR(VLOOKUP(F67,IMPORTRANGE(""https://docs.google.com/spreadsheets/d/1Kvs4KS76FHFqLFIZfrDMff4kP08nblUkihrxltoGBjg/edit#gid=934712705"",""ESENCIAL!A6:BG""),3,FALSE))"),"TÉCNICO")</f>
        <v>TÉCNICO</v>
      </c>
      <c r="I43" s="338" t="str">
        <f ca="1">IFERROR(__xludf.DUMMYFUNCTION("IFERROR(VLOOKUP(F67,IMPORTRANGE(""https://docs.google.com/spreadsheets/d/1Kvs4KS76FHFqLFIZfrDMff4kP08nblUkihrxltoGBjg/edit#gid=934712705"",""ESENCIAL!A6:BG""),8,FALSE))"),"PROGRAMACION DE SOFTWARE .")</f>
        <v>PROGRAMACION DE SOFTWARE .</v>
      </c>
      <c r="J43" s="451"/>
      <c r="K43" s="527"/>
      <c r="L43" s="527"/>
      <c r="M43" s="527" t="s">
        <v>37</v>
      </c>
      <c r="N43" s="527" t="s">
        <v>717</v>
      </c>
      <c r="O43" s="527" t="s">
        <v>718</v>
      </c>
      <c r="P43" s="527">
        <v>3149957484</v>
      </c>
      <c r="Q43" s="527" t="s">
        <v>719</v>
      </c>
      <c r="R43" s="527" t="s">
        <v>720</v>
      </c>
      <c r="S43" s="525">
        <v>45109</v>
      </c>
      <c r="T43" s="530">
        <v>45085</v>
      </c>
      <c r="U43" s="527"/>
      <c r="V43" s="527" t="s">
        <v>585</v>
      </c>
      <c r="W43" s="527"/>
      <c r="X43" s="527"/>
      <c r="Y43" s="527"/>
      <c r="Z43" s="527"/>
      <c r="AA43" s="527"/>
      <c r="AB43" s="527"/>
      <c r="AC43" s="527"/>
      <c r="AD43" s="527"/>
      <c r="AE43" s="527"/>
      <c r="AF43" s="527"/>
      <c r="AG43" s="527"/>
      <c r="AH43" s="527"/>
      <c r="AI43" s="527"/>
      <c r="AJ43" s="527"/>
      <c r="AK43" s="527"/>
      <c r="AL43" s="527"/>
      <c r="AM43" s="527"/>
      <c r="AN43" s="527"/>
      <c r="AO43" s="527"/>
      <c r="AP43" s="527"/>
      <c r="AQ43" s="527"/>
      <c r="AR43" s="164"/>
      <c r="AS43" s="164"/>
      <c r="AT43" s="164" t="s">
        <v>721</v>
      </c>
      <c r="AU43" s="164"/>
      <c r="AV43" s="338" t="str">
        <f t="shared" ca="1" si="4"/>
        <v>Procede_E_P</v>
      </c>
      <c r="AW43" s="338" t="str">
        <f ca="1">IFERROR(__xludf.DUMMYFUNCTION("IFERROR(VLOOKUP(E67&amp;F67,IMPORTRANGE(""https://docs.google.com/spreadsheets/d/1Uw7-A9f9R21vMXxHZFNpYNeKFtG8_yji4HS352LGlSQ/edit?pli=1#gid=0"",""1_ACUM!A4:S""),11,FALSE))"),"EN FORMACION")</f>
        <v>EN FORMACION</v>
      </c>
      <c r="AX43" s="462" t="str">
        <f ca="1">IFERROR(__xludf.DUMMYFUNCTION("IFERROR(VLOOKUP(F67,IMPORTRANGE(""https://docs.google.com/spreadsheets/d/1Kvs4KS76FHFqLFIZfrDMff4kP08nblUkihrxltoGBjg/edit#gid=934712705"",""ESENCIAL!A6:BG""),15,FALSE))"),"TIC")</f>
        <v>TIC</v>
      </c>
      <c r="AY43" s="461">
        <f ca="1">IFERROR(__xludf.DUMMYFUNCTION("IFERROR(VLOOKUP(E67&amp;F67,IMPORTRANGE(""https://docs.google.com/spreadsheets/d/1Uw7-A9f9R21vMXxHZFNpYNeKFtG8_yji4HS352LGlSQ/edit?pli=1#gid=0"",""1_ACUM!A4:S""),13,FALSE))"),0)</f>
        <v>0</v>
      </c>
      <c r="AZ43" s="460">
        <f ca="1">IFERROR(__xludf.DUMMYFUNCTION("IFERROR(VLOOKUP(E67&amp;F67,IMPORTRANGE(""https://docs.google.com/spreadsheets/d/1Uw7-A9f9R21vMXxHZFNpYNeKFtG8_yji4HS352LGlSQ/edit?pli=1#gid=0"",""1_ACUM!A4:S""),13,FALSE))"),0)</f>
        <v>0</v>
      </c>
      <c r="BA43" s="460">
        <f ca="1">IFERROR(__xludf.DUMMYFUNCTION("IFERROR(VLOOKUP(E67&amp;F67,IMPORTRANGE(""https://docs.google.com/spreadsheets/d/1Uw7-A9f9R21vMXxHZFNpYNeKFtG8_yji4HS352LGlSQ/edit?pli=1#gid=0"",""1_ACUM!A4:S""),14,FALSE))"),1)</f>
        <v>1</v>
      </c>
      <c r="BB43" s="460">
        <f ca="1">IFERROR(__xludf.DUMMYFUNCTION("IFERROR(VLOOKUP(E67&amp;F67,IMPORTRANGE(""https://docs.google.com/spreadsheets/d/1Uw7-A9f9R21vMXxHZFNpYNeKFtG8_yji4HS352LGlSQ/edit?pli=1#gid=0"",""1_ACUM!A4:S""),15,FALSE))"),0)</f>
        <v>0</v>
      </c>
      <c r="BC43" s="460">
        <f ca="1">IFERROR(__xludf.DUMMYFUNCTION("IFERROR(VLOOKUP(E67&amp;F67,IMPORTRANGE(""https://docs.google.com/spreadsheets/d/1Uw7-A9f9R21vMXxHZFNpYNeKFtG8_yji4HS352LGlSQ/edit?pli=1#gid=0"",""1_ACUM!A4:S""),16,FALSE))"),0)</f>
        <v>0</v>
      </c>
      <c r="BD43" s="460">
        <f ca="1">IFERROR(__xludf.DUMMYFUNCTION("IFERROR(VLOOKUP(E67&amp;F67,IMPORTRANGE(""https://docs.google.com/spreadsheets/d/1Uw7-A9f9R21vMXxHZFNpYNeKFtG8_yji4HS352LGlSQ/edit?pli=1#gid=0"",""1_ACUM!A4:S""),17,FALSE))"),1)</f>
        <v>1</v>
      </c>
      <c r="BE43" s="461">
        <f ca="1">IFERROR(__xludf.DUMMYFUNCTION("IFERROR(VLOOKUP(E67&amp;F67,IMPORTRANGE(""https://docs.google.com/spreadsheets/d/1Uw7-A9f9R21vMXxHZFNpYNeKFtG8_yji4HS352LGlSQ/edit?pli=1#gid=0"",""1_ACUM!A4:S""),18,FALSE))"),44459)</f>
        <v>44459</v>
      </c>
      <c r="BF43" s="461">
        <f ca="1">IFERROR(__xludf.DUMMYFUNCTION("IFERROR(VLOOKUP(E67&amp;F67,IMPORTRANGE(""https://docs.google.com/spreadsheets/d/1Uw7-A9f9R21vMXxHZFNpYNeKFtG8_yji4HS352LGlSQ/edit?pli=1#gid=0"",""1_ACUM!A4:S""),19,FALSE))"),44721)</f>
        <v>44721</v>
      </c>
      <c r="BG43" s="462">
        <f ca="1">IFERROR(__xludf.DUMMYFUNCTION("IFERROR(VLOOKUP(F67,IMPORTRANGE(""https://docs.google.com/spreadsheets/d/1Kvs4KS76FHFqLFIZfrDMff4kP08nblUkihrxltoGBjg/edit#gid=934712705"",""ESENCIAL!A6:BG""),5,FALSE))"),44904)</f>
        <v>44904</v>
      </c>
      <c r="BH43" s="462">
        <f t="shared" ca="1" si="5"/>
        <v>45452</v>
      </c>
      <c r="BI43" s="338" t="str">
        <f t="shared" ca="1" si="6"/>
        <v>FICHA EN TIEMPO-18 MESES</v>
      </c>
      <c r="BJ43" s="338" t="str">
        <f ca="1">IFERROR(__xludf.DUMMYFUNCTION("IFERROR(VLOOKUP(F67,IMPORTRANGE(""https://docs.google.com/spreadsheets/d/1Kvs4KS76FHFqLFIZfrDMff4kP08nblUkihrxltoGBjg/edit#gid=934712705"",""ESENCIAL!A6:BG""),2,FALSE))"),"En ejecucion")</f>
        <v>En ejecucion</v>
      </c>
      <c r="BK43" s="338" t="str">
        <f t="shared" si="7"/>
        <v>Yamboro</v>
      </c>
      <c r="BL43" s="38"/>
      <c r="BM43" s="38"/>
    </row>
    <row r="44" spans="1:65" s="180" customFormat="1" ht="24">
      <c r="A44" s="164"/>
      <c r="B44" s="565"/>
      <c r="C44" s="534" t="s">
        <v>25</v>
      </c>
      <c r="D44" s="536" t="s">
        <v>722</v>
      </c>
      <c r="E44" s="217" t="s">
        <v>27</v>
      </c>
      <c r="F44" s="150">
        <v>1004269154</v>
      </c>
      <c r="G44" s="451">
        <v>2414953</v>
      </c>
      <c r="H44" s="338" t="str">
        <f ca="1">IFERROR(__xludf.DUMMYFUNCTION("IFERROR(VLOOKUP(F68,IMPORTRANGE(""https://docs.google.com/spreadsheets/d/1Kvs4KS76FHFqLFIZfrDMff4kP08nblUkihrxltoGBjg/edit#gid=934712705"",""ESENCIAL!A6:BG""),3,FALSE))"),"TÉCNICO")</f>
        <v>TÉCNICO</v>
      </c>
      <c r="I44" s="338" t="str">
        <f ca="1">IFERROR(__xludf.DUMMYFUNCTION("IFERROR(VLOOKUP(F68,IMPORTRANGE(""https://docs.google.com/spreadsheets/d/1Kvs4KS76FHFqLFIZfrDMff4kP08nblUkihrxltoGBjg/edit#gid=934712705"",""ESENCIAL!A6:BG""),8,FALSE))"),"PROGRAMACION DE SOFTWARE .")</f>
        <v>PROGRAMACION DE SOFTWARE .</v>
      </c>
      <c r="J44" s="451"/>
      <c r="K44" s="527"/>
      <c r="L44" s="527"/>
      <c r="M44" s="568" t="s">
        <v>44</v>
      </c>
      <c r="N44" s="527"/>
      <c r="O44" s="527"/>
      <c r="P44" s="527"/>
      <c r="Q44" s="527"/>
      <c r="R44" s="527"/>
      <c r="S44" s="525"/>
      <c r="T44" s="530"/>
      <c r="U44" s="527"/>
      <c r="V44" s="527" t="s">
        <v>585</v>
      </c>
      <c r="W44" s="527"/>
      <c r="X44" s="527"/>
      <c r="Y44" s="527"/>
      <c r="Z44" s="527"/>
      <c r="AA44" s="527"/>
      <c r="AB44" s="527"/>
      <c r="AC44" s="527"/>
      <c r="AD44" s="527"/>
      <c r="AE44" s="527"/>
      <c r="AF44" s="527"/>
      <c r="AG44" s="527"/>
      <c r="AH44" s="527"/>
      <c r="AI44" s="527"/>
      <c r="AJ44" s="527"/>
      <c r="AK44" s="527"/>
      <c r="AL44" s="527"/>
      <c r="AM44" s="527"/>
      <c r="AN44" s="527"/>
      <c r="AO44" s="527"/>
      <c r="AP44" s="527"/>
      <c r="AQ44" s="527"/>
      <c r="AR44" s="164"/>
      <c r="AS44" s="164"/>
      <c r="AT44" s="164"/>
      <c r="AU44" s="164"/>
      <c r="AV44" s="338" t="str">
        <f t="shared" ca="1" si="4"/>
        <v>Procede_E_P</v>
      </c>
      <c r="AW44" s="338" t="str">
        <f ca="1">IFERROR(__xludf.DUMMYFUNCTION("IFERROR(VLOOKUP(E68&amp;F68,IMPORTRANGE(""https://docs.google.com/spreadsheets/d/1Uw7-A9f9R21vMXxHZFNpYNeKFtG8_yji4HS352LGlSQ/edit?pli=1#gid=0"",""1_ACUM!A4:S""),11,FALSE))"),"EN FORMACION")</f>
        <v>EN FORMACION</v>
      </c>
      <c r="AX44" s="462" t="str">
        <f ca="1">IFERROR(__xludf.DUMMYFUNCTION("IFERROR(VLOOKUP(F68,IMPORTRANGE(""https://docs.google.com/spreadsheets/d/1Kvs4KS76FHFqLFIZfrDMff4kP08nblUkihrxltoGBjg/edit#gid=934712705"",""ESENCIAL!A6:BG""),15,FALSE))"),"TIC")</f>
        <v>TIC</v>
      </c>
      <c r="AY44" s="461">
        <f ca="1">IFERROR(__xludf.DUMMYFUNCTION("IFERROR(VLOOKUP(E68&amp;F68,IMPORTRANGE(""https://docs.google.com/spreadsheets/d/1Uw7-A9f9R21vMXxHZFNpYNeKFtG8_yji4HS352LGlSQ/edit?pli=1#gid=0"",""1_ACUM!A4:S""),13,FALSE))"),0)</f>
        <v>0</v>
      </c>
      <c r="AZ44" s="460">
        <f ca="1">IFERROR(__xludf.DUMMYFUNCTION("IFERROR(VLOOKUP(E68&amp;F68,IMPORTRANGE(""https://docs.google.com/spreadsheets/d/1Uw7-A9f9R21vMXxHZFNpYNeKFtG8_yji4HS352LGlSQ/edit?pli=1#gid=0"",""1_ACUM!A4:S""),13,FALSE))"),0)</f>
        <v>0</v>
      </c>
      <c r="BA44" s="460">
        <f ca="1">IFERROR(__xludf.DUMMYFUNCTION("IFERROR(VLOOKUP(E68&amp;F68,IMPORTRANGE(""https://docs.google.com/spreadsheets/d/1Uw7-A9f9R21vMXxHZFNpYNeKFtG8_yji4HS352LGlSQ/edit?pli=1#gid=0"",""1_ACUM!A4:S""),14,FALSE))"),1)</f>
        <v>1</v>
      </c>
      <c r="BB44" s="460">
        <f ca="1">IFERROR(__xludf.DUMMYFUNCTION("IFERROR(VLOOKUP(E68&amp;F68,IMPORTRANGE(""https://docs.google.com/spreadsheets/d/1Uw7-A9f9R21vMXxHZFNpYNeKFtG8_yji4HS352LGlSQ/edit?pli=1#gid=0"",""1_ACUM!A4:S""),15,FALSE))"),0)</f>
        <v>0</v>
      </c>
      <c r="BC44" s="460">
        <f ca="1">IFERROR(__xludf.DUMMYFUNCTION("IFERROR(VLOOKUP(E68&amp;F68,IMPORTRANGE(""https://docs.google.com/spreadsheets/d/1Uw7-A9f9R21vMXxHZFNpYNeKFtG8_yji4HS352LGlSQ/edit?pli=1#gid=0"",""1_ACUM!A4:S""),16,FALSE))"),0)</f>
        <v>0</v>
      </c>
      <c r="BD44" s="460">
        <f ca="1">IFERROR(__xludf.DUMMYFUNCTION("IFERROR(VLOOKUP(E68&amp;F68,IMPORTRANGE(""https://docs.google.com/spreadsheets/d/1Uw7-A9f9R21vMXxHZFNpYNeKFtG8_yji4HS352LGlSQ/edit?pli=1#gid=0"",""1_ACUM!A4:S""),17,FALSE))"),1)</f>
        <v>1</v>
      </c>
      <c r="BE44" s="461">
        <f ca="1">IFERROR(__xludf.DUMMYFUNCTION("IFERROR(VLOOKUP(E68&amp;F68,IMPORTRANGE(""https://docs.google.com/spreadsheets/d/1Uw7-A9f9R21vMXxHZFNpYNeKFtG8_yji4HS352LGlSQ/edit?pli=1#gid=0"",""1_ACUM!A4:S""),18,FALSE))"),44459)</f>
        <v>44459</v>
      </c>
      <c r="BF44" s="461">
        <f ca="1">IFERROR(__xludf.DUMMYFUNCTION("IFERROR(VLOOKUP(E68&amp;F68,IMPORTRANGE(""https://docs.google.com/spreadsheets/d/1Uw7-A9f9R21vMXxHZFNpYNeKFtG8_yji4HS352LGlSQ/edit?pli=1#gid=0"",""1_ACUM!A4:S""),19,FALSE))"),44721)</f>
        <v>44721</v>
      </c>
      <c r="BG44" s="462">
        <f ca="1">IFERROR(__xludf.DUMMYFUNCTION("IFERROR(VLOOKUP(F68,IMPORTRANGE(""https://docs.google.com/spreadsheets/d/1Kvs4KS76FHFqLFIZfrDMff4kP08nblUkihrxltoGBjg/edit#gid=934712705"",""ESENCIAL!A6:BG""),5,FALSE))"),44904)</f>
        <v>44904</v>
      </c>
      <c r="BH44" s="462">
        <f t="shared" ca="1" si="5"/>
        <v>45452</v>
      </c>
      <c r="BI44" s="338" t="str">
        <f t="shared" ca="1" si="6"/>
        <v>FICHA EN TIEMPO-18 MESES</v>
      </c>
      <c r="BJ44" s="338" t="str">
        <f ca="1">IFERROR(__xludf.DUMMYFUNCTION("IFERROR(VLOOKUP(F68,IMPORTRANGE(""https://docs.google.com/spreadsheets/d/1Kvs4KS76FHFqLFIZfrDMff4kP08nblUkihrxltoGBjg/edit#gid=934712705"",""ESENCIAL!A6:BG""),2,FALSE))"),"En ejecucion")</f>
        <v>En ejecucion</v>
      </c>
      <c r="BK44" s="338" t="str">
        <f t="shared" si="7"/>
        <v>Yamboro</v>
      </c>
      <c r="BL44" s="173"/>
      <c r="BM44" s="173"/>
    </row>
    <row r="45" spans="1:65" s="245" customFormat="1" ht="24">
      <c r="A45" s="164" t="s">
        <v>651</v>
      </c>
      <c r="B45" s="565"/>
      <c r="C45" s="534" t="s">
        <v>25</v>
      </c>
      <c r="D45" s="536" t="s">
        <v>723</v>
      </c>
      <c r="E45" s="217" t="s">
        <v>27</v>
      </c>
      <c r="F45" s="150">
        <v>1004269261</v>
      </c>
      <c r="G45" s="451">
        <v>2414953</v>
      </c>
      <c r="H45" s="338" t="str">
        <f ca="1">IFERROR(__xludf.DUMMYFUNCTION("IFERROR(VLOOKUP(F69,IMPORTRANGE(""https://docs.google.com/spreadsheets/d/1Kvs4KS76FHFqLFIZfrDMff4kP08nblUkihrxltoGBjg/edit#gid=934712705"",""ESENCIAL!A6:BG""),3,FALSE))"),"TÉCNICO")</f>
        <v>TÉCNICO</v>
      </c>
      <c r="I45" s="338" t="str">
        <f ca="1">IFERROR(__xludf.DUMMYFUNCTION("IFERROR(VLOOKUP(F69,IMPORTRANGE(""https://docs.google.com/spreadsheets/d/1Kvs4KS76FHFqLFIZfrDMff4kP08nblUkihrxltoGBjg/edit#gid=934712705"",""ESENCIAL!A6:BG""),8,FALSE))"),"PROGRAMACION DE SOFTWARE .")</f>
        <v>PROGRAMACION DE SOFTWARE .</v>
      </c>
      <c r="J45" s="451"/>
      <c r="K45" s="535"/>
      <c r="L45" s="527"/>
      <c r="M45" s="527" t="s">
        <v>37</v>
      </c>
      <c r="N45" s="527" t="s">
        <v>724</v>
      </c>
      <c r="O45" s="527" t="s">
        <v>725</v>
      </c>
      <c r="P45" s="527">
        <v>3142957484</v>
      </c>
      <c r="Q45" s="527" t="s">
        <v>719</v>
      </c>
      <c r="R45" s="527" t="s">
        <v>720</v>
      </c>
      <c r="S45" s="525">
        <v>45171</v>
      </c>
      <c r="T45" s="530">
        <v>45146</v>
      </c>
      <c r="U45" s="527"/>
      <c r="V45" s="527" t="s">
        <v>585</v>
      </c>
      <c r="W45" s="527"/>
      <c r="X45" s="527"/>
      <c r="Y45" s="527"/>
      <c r="Z45" s="527"/>
      <c r="AA45" s="527"/>
      <c r="AB45" s="527"/>
      <c r="AC45" s="527"/>
      <c r="AD45" s="527"/>
      <c r="AE45" s="527"/>
      <c r="AF45" s="527"/>
      <c r="AG45" s="527"/>
      <c r="AH45" s="527"/>
      <c r="AI45" s="527"/>
      <c r="AJ45" s="527"/>
      <c r="AK45" s="527"/>
      <c r="AL45" s="527"/>
      <c r="AM45" s="527"/>
      <c r="AN45" s="527"/>
      <c r="AO45" s="527"/>
      <c r="AP45" s="527"/>
      <c r="AQ45" s="527"/>
      <c r="AR45" s="164" t="s">
        <v>726</v>
      </c>
      <c r="AS45" s="164"/>
      <c r="AT45" s="164" t="s">
        <v>721</v>
      </c>
      <c r="AU45" s="164"/>
      <c r="AV45" s="338" t="str">
        <f t="shared" ca="1" si="4"/>
        <v>Procede_E_P</v>
      </c>
      <c r="AW45" s="338" t="str">
        <f ca="1">IFERROR(__xludf.DUMMYFUNCTION("IFERROR(VLOOKUP(E69&amp;F69,IMPORTRANGE(""https://docs.google.com/spreadsheets/d/1Uw7-A9f9R21vMXxHZFNpYNeKFtG8_yji4HS352LGlSQ/edit?pli=1#gid=0"",""1_ACUM!A4:S""),11,FALSE))"),"EN FORMACION")</f>
        <v>EN FORMACION</v>
      </c>
      <c r="AX45" s="462" t="str">
        <f ca="1">IFERROR(__xludf.DUMMYFUNCTION("IFERROR(VLOOKUP(F69,IMPORTRANGE(""https://docs.google.com/spreadsheets/d/1Kvs4KS76FHFqLFIZfrDMff4kP08nblUkihrxltoGBjg/edit#gid=934712705"",""ESENCIAL!A6:BG""),15,FALSE))"),"TIC")</f>
        <v>TIC</v>
      </c>
      <c r="AY45" s="461">
        <f ca="1">IFERROR(__xludf.DUMMYFUNCTION("IFERROR(VLOOKUP(E69&amp;F69,IMPORTRANGE(""https://docs.google.com/spreadsheets/d/1Uw7-A9f9R21vMXxHZFNpYNeKFtG8_yji4HS352LGlSQ/edit?pli=1#gid=0"",""1_ACUM!A4:S""),13,FALSE))"),0)</f>
        <v>0</v>
      </c>
      <c r="AZ45" s="460">
        <f ca="1">IFERROR(__xludf.DUMMYFUNCTION("IFERROR(VLOOKUP(E69&amp;F69,IMPORTRANGE(""https://docs.google.com/spreadsheets/d/1Uw7-A9f9R21vMXxHZFNpYNeKFtG8_yji4HS352LGlSQ/edit?pli=1#gid=0"",""1_ACUM!A4:S""),13,FALSE))"),0)</f>
        <v>0</v>
      </c>
      <c r="BA45" s="460">
        <f ca="1">IFERROR(__xludf.DUMMYFUNCTION("IFERROR(VLOOKUP(E69&amp;F69,IMPORTRANGE(""https://docs.google.com/spreadsheets/d/1Uw7-A9f9R21vMXxHZFNpYNeKFtG8_yji4HS352LGlSQ/edit?pli=1#gid=0"",""1_ACUM!A4:S""),14,FALSE))"),1)</f>
        <v>1</v>
      </c>
      <c r="BB45" s="460">
        <f ca="1">IFERROR(__xludf.DUMMYFUNCTION("IFERROR(VLOOKUP(E69&amp;F69,IMPORTRANGE(""https://docs.google.com/spreadsheets/d/1Uw7-A9f9R21vMXxHZFNpYNeKFtG8_yji4HS352LGlSQ/edit?pli=1#gid=0"",""1_ACUM!A4:S""),15,FALSE))"),0)</f>
        <v>0</v>
      </c>
      <c r="BC45" s="460">
        <f ca="1">IFERROR(__xludf.DUMMYFUNCTION("IFERROR(VLOOKUP(E69&amp;F69,IMPORTRANGE(""https://docs.google.com/spreadsheets/d/1Uw7-A9f9R21vMXxHZFNpYNeKFtG8_yji4HS352LGlSQ/edit?pli=1#gid=0"",""1_ACUM!A4:S""),16,FALSE))"),0)</f>
        <v>0</v>
      </c>
      <c r="BD45" s="460">
        <f ca="1">IFERROR(__xludf.DUMMYFUNCTION("IFERROR(VLOOKUP(E69&amp;F69,IMPORTRANGE(""https://docs.google.com/spreadsheets/d/1Uw7-A9f9R21vMXxHZFNpYNeKFtG8_yji4HS352LGlSQ/edit?pli=1#gid=0"",""1_ACUM!A4:S""),17,FALSE))"),1)</f>
        <v>1</v>
      </c>
      <c r="BE45" s="461">
        <f ca="1">IFERROR(__xludf.DUMMYFUNCTION("IFERROR(VLOOKUP(E69&amp;F69,IMPORTRANGE(""https://docs.google.com/spreadsheets/d/1Uw7-A9f9R21vMXxHZFNpYNeKFtG8_yji4HS352LGlSQ/edit?pli=1#gid=0"",""1_ACUM!A4:S""),18,FALSE))"),44459)</f>
        <v>44459</v>
      </c>
      <c r="BF45" s="461">
        <f ca="1">IFERROR(__xludf.DUMMYFUNCTION("IFERROR(VLOOKUP(E69&amp;F69,IMPORTRANGE(""https://docs.google.com/spreadsheets/d/1Uw7-A9f9R21vMXxHZFNpYNeKFtG8_yji4HS352LGlSQ/edit?pli=1#gid=0"",""1_ACUM!A4:S""),19,FALSE))"),44721)</f>
        <v>44721</v>
      </c>
      <c r="BG45" s="462">
        <f ca="1">IFERROR(__xludf.DUMMYFUNCTION("IFERROR(VLOOKUP(F69,IMPORTRANGE(""https://docs.google.com/spreadsheets/d/1Kvs4KS76FHFqLFIZfrDMff4kP08nblUkihrxltoGBjg/edit#gid=934712705"",""ESENCIAL!A6:BG""),5,FALSE))"),44904)</f>
        <v>44904</v>
      </c>
      <c r="BH45" s="462">
        <f t="shared" ca="1" si="5"/>
        <v>45452</v>
      </c>
      <c r="BI45" s="338" t="str">
        <f t="shared" ca="1" si="6"/>
        <v>FICHA EN TIEMPO-18 MESES</v>
      </c>
      <c r="BJ45" s="338" t="str">
        <f ca="1">IFERROR(__xludf.DUMMYFUNCTION("IFERROR(VLOOKUP(F69,IMPORTRANGE(""https://docs.google.com/spreadsheets/d/1Kvs4KS76FHFqLFIZfrDMff4kP08nblUkihrxltoGBjg/edit#gid=934712705"",""ESENCIAL!A6:BG""),2,FALSE))"),"En ejecucion")</f>
        <v>En ejecucion</v>
      </c>
      <c r="BK45" s="338" t="str">
        <f t="shared" si="7"/>
        <v>Yamboro</v>
      </c>
      <c r="BL45" s="240"/>
      <c r="BM45" s="240"/>
    </row>
    <row r="46" spans="1:65" s="180" customFormat="1" ht="24">
      <c r="A46" s="164" t="s">
        <v>556</v>
      </c>
      <c r="B46" s="565"/>
      <c r="C46" s="534" t="s">
        <v>25</v>
      </c>
      <c r="D46" s="536" t="s">
        <v>727</v>
      </c>
      <c r="E46" s="217" t="s">
        <v>27</v>
      </c>
      <c r="F46" s="150">
        <v>1004269284</v>
      </c>
      <c r="G46" s="451">
        <v>2414953</v>
      </c>
      <c r="H46" s="338" t="str">
        <f ca="1">IFERROR(__xludf.DUMMYFUNCTION("IFERROR(VLOOKUP(F70,IMPORTRANGE(""https://docs.google.com/spreadsheets/d/1Kvs4KS76FHFqLFIZfrDMff4kP08nblUkihrxltoGBjg/edit#gid=934712705"",""ESENCIAL!A6:BG""),3,FALSE))"),"TÉCNICO")</f>
        <v>TÉCNICO</v>
      </c>
      <c r="I46" s="338" t="str">
        <f ca="1">IFERROR(__xludf.DUMMYFUNCTION("IFERROR(VLOOKUP(F70,IMPORTRANGE(""https://docs.google.com/spreadsheets/d/1Kvs4KS76FHFqLFIZfrDMff4kP08nblUkihrxltoGBjg/edit#gid=934712705"",""ESENCIAL!A6:BG""),8,FALSE))"),"PROGRAMACION DE SOFTWARE .")</f>
        <v>PROGRAMACION DE SOFTWARE .</v>
      </c>
      <c r="J46" s="451"/>
      <c r="K46" s="569" t="s">
        <v>728</v>
      </c>
      <c r="L46" s="527"/>
      <c r="M46" s="527" t="s">
        <v>37</v>
      </c>
      <c r="N46" s="527" t="s">
        <v>724</v>
      </c>
      <c r="O46" s="527" t="s">
        <v>725</v>
      </c>
      <c r="P46" s="527">
        <v>3142957484</v>
      </c>
      <c r="Q46" s="527" t="s">
        <v>719</v>
      </c>
      <c r="R46" s="527" t="s">
        <v>720</v>
      </c>
      <c r="S46" s="525" t="s">
        <v>729</v>
      </c>
      <c r="T46" s="530" t="s">
        <v>730</v>
      </c>
      <c r="U46" s="527"/>
      <c r="V46" s="527" t="s">
        <v>585</v>
      </c>
      <c r="W46" s="527"/>
      <c r="X46" s="527"/>
      <c r="Y46" s="527"/>
      <c r="Z46" s="527"/>
      <c r="AA46" s="527"/>
      <c r="AB46" s="527"/>
      <c r="AC46" s="527"/>
      <c r="AD46" s="527"/>
      <c r="AE46" s="527"/>
      <c r="AF46" s="527"/>
      <c r="AG46" s="527"/>
      <c r="AH46" s="527"/>
      <c r="AI46" s="527"/>
      <c r="AJ46" s="527"/>
      <c r="AK46" s="527"/>
      <c r="AL46" s="527"/>
      <c r="AM46" s="527"/>
      <c r="AN46" s="527"/>
      <c r="AO46" s="527"/>
      <c r="AP46" s="527"/>
      <c r="AQ46" s="527"/>
      <c r="AR46" s="164"/>
      <c r="AS46" s="164"/>
      <c r="AT46" s="164"/>
      <c r="AU46" s="164"/>
      <c r="AV46" s="338" t="str">
        <f t="shared" ca="1" si="4"/>
        <v>Procede_E_P</v>
      </c>
      <c r="AW46" s="338" t="str">
        <f ca="1">IFERROR(__xludf.DUMMYFUNCTION("IFERROR(VLOOKUP(E70&amp;F70,IMPORTRANGE(""https://docs.google.com/spreadsheets/d/1Uw7-A9f9R21vMXxHZFNpYNeKFtG8_yji4HS352LGlSQ/edit?pli=1#gid=0"",""1_ACUM!A4:S""),11,FALSE))"),"EN FORMACION")</f>
        <v>EN FORMACION</v>
      </c>
      <c r="AX46" s="462" t="str">
        <f ca="1">IFERROR(__xludf.DUMMYFUNCTION("IFERROR(VLOOKUP(F70,IMPORTRANGE(""https://docs.google.com/spreadsheets/d/1Kvs4KS76FHFqLFIZfrDMff4kP08nblUkihrxltoGBjg/edit#gid=934712705"",""ESENCIAL!A6:BG""),15,FALSE))"),"TIC")</f>
        <v>TIC</v>
      </c>
      <c r="AY46" s="461">
        <f ca="1">IFERROR(__xludf.DUMMYFUNCTION("IFERROR(VLOOKUP(E70&amp;F70,IMPORTRANGE(""https://docs.google.com/spreadsheets/d/1Uw7-A9f9R21vMXxHZFNpYNeKFtG8_yji4HS352LGlSQ/edit?pli=1#gid=0"",""1_ACUM!A4:S""),13,FALSE))"),0)</f>
        <v>0</v>
      </c>
      <c r="AZ46" s="460">
        <f ca="1">IFERROR(__xludf.DUMMYFUNCTION("IFERROR(VLOOKUP(E70&amp;F70,IMPORTRANGE(""https://docs.google.com/spreadsheets/d/1Uw7-A9f9R21vMXxHZFNpYNeKFtG8_yji4HS352LGlSQ/edit?pli=1#gid=0"",""1_ACUM!A4:S""),13,FALSE))"),0)</f>
        <v>0</v>
      </c>
      <c r="BA46" s="460">
        <f ca="1">IFERROR(__xludf.DUMMYFUNCTION("IFERROR(VLOOKUP(E70&amp;F70,IMPORTRANGE(""https://docs.google.com/spreadsheets/d/1Uw7-A9f9R21vMXxHZFNpYNeKFtG8_yji4HS352LGlSQ/edit?pli=1#gid=0"",""1_ACUM!A4:S""),14,FALSE))"),1)</f>
        <v>1</v>
      </c>
      <c r="BB46" s="460">
        <f ca="1">IFERROR(__xludf.DUMMYFUNCTION("IFERROR(VLOOKUP(E70&amp;F70,IMPORTRANGE(""https://docs.google.com/spreadsheets/d/1Uw7-A9f9R21vMXxHZFNpYNeKFtG8_yji4HS352LGlSQ/edit?pli=1#gid=0"",""1_ACUM!A4:S""),15,FALSE))"),0)</f>
        <v>0</v>
      </c>
      <c r="BC46" s="460">
        <f ca="1">IFERROR(__xludf.DUMMYFUNCTION("IFERROR(VLOOKUP(E70&amp;F70,IMPORTRANGE(""https://docs.google.com/spreadsheets/d/1Uw7-A9f9R21vMXxHZFNpYNeKFtG8_yji4HS352LGlSQ/edit?pli=1#gid=0"",""1_ACUM!A4:S""),16,FALSE))"),0)</f>
        <v>0</v>
      </c>
      <c r="BD46" s="460">
        <f ca="1">IFERROR(__xludf.DUMMYFUNCTION("IFERROR(VLOOKUP(E70&amp;F70,IMPORTRANGE(""https://docs.google.com/spreadsheets/d/1Uw7-A9f9R21vMXxHZFNpYNeKFtG8_yji4HS352LGlSQ/edit?pli=1#gid=0"",""1_ACUM!A4:S""),17,FALSE))"),1)</f>
        <v>1</v>
      </c>
      <c r="BE46" s="461">
        <f ca="1">IFERROR(__xludf.DUMMYFUNCTION("IFERROR(VLOOKUP(E70&amp;F70,IMPORTRANGE(""https://docs.google.com/spreadsheets/d/1Uw7-A9f9R21vMXxHZFNpYNeKFtG8_yji4HS352LGlSQ/edit?pli=1#gid=0"",""1_ACUM!A4:S""),18,FALSE))"),44459)</f>
        <v>44459</v>
      </c>
      <c r="BF46" s="461">
        <f ca="1">IFERROR(__xludf.DUMMYFUNCTION("IFERROR(VLOOKUP(E70&amp;F70,IMPORTRANGE(""https://docs.google.com/spreadsheets/d/1Uw7-A9f9R21vMXxHZFNpYNeKFtG8_yji4HS352LGlSQ/edit?pli=1#gid=0"",""1_ACUM!A4:S""),19,FALSE))"),44721)</f>
        <v>44721</v>
      </c>
      <c r="BG46" s="462">
        <f ca="1">IFERROR(__xludf.DUMMYFUNCTION("IFERROR(VLOOKUP(F70,IMPORTRANGE(""https://docs.google.com/spreadsheets/d/1Kvs4KS76FHFqLFIZfrDMff4kP08nblUkihrxltoGBjg/edit#gid=934712705"",""ESENCIAL!A6:BG""),5,FALSE))"),44904)</f>
        <v>44904</v>
      </c>
      <c r="BH46" s="462">
        <f t="shared" ca="1" si="5"/>
        <v>45452</v>
      </c>
      <c r="BI46" s="338" t="str">
        <f t="shared" ca="1" si="6"/>
        <v>FICHA EN TIEMPO-18 MESES</v>
      </c>
      <c r="BJ46" s="338" t="str">
        <f ca="1">IFERROR(__xludf.DUMMYFUNCTION("IFERROR(VLOOKUP(F70,IMPORTRANGE(""https://docs.google.com/spreadsheets/d/1Kvs4KS76FHFqLFIZfrDMff4kP08nblUkihrxltoGBjg/edit#gid=934712705"",""ESENCIAL!A6:BG""),2,FALSE))"),"En ejecucion")</f>
        <v>En ejecucion</v>
      </c>
      <c r="BK46" s="338" t="str">
        <f t="shared" si="7"/>
        <v>Yamboro</v>
      </c>
      <c r="BL46" s="173"/>
      <c r="BM46" s="173"/>
    </row>
    <row r="47" spans="1:65" s="180" customFormat="1" ht="24">
      <c r="A47" s="164" t="s">
        <v>556</v>
      </c>
      <c r="B47" s="565"/>
      <c r="C47" s="534" t="s">
        <v>25</v>
      </c>
      <c r="D47" s="536" t="s">
        <v>731</v>
      </c>
      <c r="E47" s="217" t="s">
        <v>27</v>
      </c>
      <c r="F47" s="150">
        <v>1004269770</v>
      </c>
      <c r="G47" s="451">
        <v>2414953</v>
      </c>
      <c r="H47" s="338" t="str">
        <f ca="1">IFERROR(__xludf.DUMMYFUNCTION("IFERROR(VLOOKUP(F72,IMPORTRANGE(""https://docs.google.com/spreadsheets/d/1Kvs4KS76FHFqLFIZfrDMff4kP08nblUkihrxltoGBjg/edit#gid=934712705"",""ESENCIAL!A6:BG""),3,FALSE))"),"TÉCNICO")</f>
        <v>TÉCNICO</v>
      </c>
      <c r="I47" s="338" t="str">
        <f ca="1">IFERROR(__xludf.DUMMYFUNCTION("IFERROR(VLOOKUP(F72,IMPORTRANGE(""https://docs.google.com/spreadsheets/d/1Kvs4KS76FHFqLFIZfrDMff4kP08nblUkihrxltoGBjg/edit#gid=934712705"",""ESENCIAL!A6:BG""),8,FALSE))"),"PROGRAMACION DE SOFTWARE .")</f>
        <v>PROGRAMACION DE SOFTWARE .</v>
      </c>
      <c r="J47" s="451">
        <v>3227455095</v>
      </c>
      <c r="K47" s="569" t="s">
        <v>732</v>
      </c>
      <c r="L47" s="527" t="s">
        <v>719</v>
      </c>
      <c r="M47" s="527" t="s">
        <v>37</v>
      </c>
      <c r="N47" s="527" t="s">
        <v>724</v>
      </c>
      <c r="O47" s="527" t="s">
        <v>725</v>
      </c>
      <c r="P47" s="527">
        <v>3142957484</v>
      </c>
      <c r="Q47" s="527" t="s">
        <v>719</v>
      </c>
      <c r="R47" s="527" t="s">
        <v>720</v>
      </c>
      <c r="S47" s="525">
        <v>45171</v>
      </c>
      <c r="T47" s="530">
        <v>45146</v>
      </c>
      <c r="U47" s="527"/>
      <c r="V47" s="527" t="s">
        <v>585</v>
      </c>
      <c r="W47" s="527"/>
      <c r="X47" s="527"/>
      <c r="Y47" s="527"/>
      <c r="Z47" s="527"/>
      <c r="AA47" s="527"/>
      <c r="AB47" s="527"/>
      <c r="AC47" s="527"/>
      <c r="AD47" s="527"/>
      <c r="AE47" s="527"/>
      <c r="AF47" s="527"/>
      <c r="AG47" s="527"/>
      <c r="AH47" s="527"/>
      <c r="AI47" s="527"/>
      <c r="AJ47" s="527"/>
      <c r="AK47" s="527"/>
      <c r="AL47" s="527"/>
      <c r="AM47" s="527"/>
      <c r="AN47" s="527"/>
      <c r="AO47" s="527"/>
      <c r="AP47" s="527"/>
      <c r="AQ47" s="527"/>
      <c r="AR47" s="164"/>
      <c r="AS47" s="164"/>
      <c r="AT47" s="164" t="s">
        <v>573</v>
      </c>
      <c r="AU47" s="164"/>
      <c r="AV47" s="338" t="str">
        <f t="shared" ca="1" si="4"/>
        <v>Procede_E_P</v>
      </c>
      <c r="AW47" s="338" t="str">
        <f ca="1">IFERROR(__xludf.DUMMYFUNCTION("IFERROR(VLOOKUP(E72&amp;F72,IMPORTRANGE(""https://docs.google.com/spreadsheets/d/1Uw7-A9f9R21vMXxHZFNpYNeKFtG8_yji4HS352LGlSQ/edit?pli=1#gid=0"",""1_ACUM!A4:S""),11,FALSE))"),"EN FORMACION")</f>
        <v>EN FORMACION</v>
      </c>
      <c r="AX47" s="462" t="str">
        <f ca="1">IFERROR(__xludf.DUMMYFUNCTION("IFERROR(VLOOKUP(F72,IMPORTRANGE(""https://docs.google.com/spreadsheets/d/1Kvs4KS76FHFqLFIZfrDMff4kP08nblUkihrxltoGBjg/edit#gid=934712705"",""ESENCIAL!A6:BG""),15,FALSE))"),"TIC")</f>
        <v>TIC</v>
      </c>
      <c r="AY47" s="461">
        <f ca="1">IFERROR(__xludf.DUMMYFUNCTION("IFERROR(VLOOKUP(E72&amp;F72,IMPORTRANGE(""https://docs.google.com/spreadsheets/d/1Uw7-A9f9R21vMXxHZFNpYNeKFtG8_yji4HS352LGlSQ/edit?pli=1#gid=0"",""1_ACUM!A4:S""),13,FALSE))"),0)</f>
        <v>0</v>
      </c>
      <c r="AZ47" s="460">
        <f ca="1">IFERROR(__xludf.DUMMYFUNCTION("IFERROR(VLOOKUP(E72&amp;F72,IMPORTRANGE(""https://docs.google.com/spreadsheets/d/1Uw7-A9f9R21vMXxHZFNpYNeKFtG8_yji4HS352LGlSQ/edit?pli=1#gid=0"",""1_ACUM!A4:S""),13,FALSE))"),0)</f>
        <v>0</v>
      </c>
      <c r="BA47" s="460">
        <f ca="1">IFERROR(__xludf.DUMMYFUNCTION("IFERROR(VLOOKUP(E72&amp;F72,IMPORTRANGE(""https://docs.google.com/spreadsheets/d/1Uw7-A9f9R21vMXxHZFNpYNeKFtG8_yji4HS352LGlSQ/edit?pli=1#gid=0"",""1_ACUM!A4:S""),14,FALSE))"),1)</f>
        <v>1</v>
      </c>
      <c r="BB47" s="460">
        <f ca="1">IFERROR(__xludf.DUMMYFUNCTION("IFERROR(VLOOKUP(E72&amp;F72,IMPORTRANGE(""https://docs.google.com/spreadsheets/d/1Uw7-A9f9R21vMXxHZFNpYNeKFtG8_yji4HS352LGlSQ/edit?pli=1#gid=0"",""1_ACUM!A4:S""),15,FALSE))"),0)</f>
        <v>0</v>
      </c>
      <c r="BC47" s="460">
        <f ca="1">IFERROR(__xludf.DUMMYFUNCTION("IFERROR(VLOOKUP(E72&amp;F72,IMPORTRANGE(""https://docs.google.com/spreadsheets/d/1Uw7-A9f9R21vMXxHZFNpYNeKFtG8_yji4HS352LGlSQ/edit?pli=1#gid=0"",""1_ACUM!A4:S""),16,FALSE))"),0)</f>
        <v>0</v>
      </c>
      <c r="BD47" s="460">
        <f ca="1">IFERROR(__xludf.DUMMYFUNCTION("IFERROR(VLOOKUP(E72&amp;F72,IMPORTRANGE(""https://docs.google.com/spreadsheets/d/1Uw7-A9f9R21vMXxHZFNpYNeKFtG8_yji4HS352LGlSQ/edit?pli=1#gid=0"",""1_ACUM!A4:S""),17,FALSE))"),1)</f>
        <v>1</v>
      </c>
      <c r="BE47" s="461">
        <f ca="1">IFERROR(__xludf.DUMMYFUNCTION("IFERROR(VLOOKUP(E72&amp;F72,IMPORTRANGE(""https://docs.google.com/spreadsheets/d/1Uw7-A9f9R21vMXxHZFNpYNeKFtG8_yji4HS352LGlSQ/edit?pli=1#gid=0"",""1_ACUM!A4:S""),18,FALSE))"),44459)</f>
        <v>44459</v>
      </c>
      <c r="BF47" s="461">
        <f ca="1">IFERROR(__xludf.DUMMYFUNCTION("IFERROR(VLOOKUP(E72&amp;F72,IMPORTRANGE(""https://docs.google.com/spreadsheets/d/1Uw7-A9f9R21vMXxHZFNpYNeKFtG8_yji4HS352LGlSQ/edit?pli=1#gid=0"",""1_ACUM!A4:S""),19,FALSE))"),44721)</f>
        <v>44721</v>
      </c>
      <c r="BG47" s="462">
        <f ca="1">IFERROR(__xludf.DUMMYFUNCTION("IFERROR(VLOOKUP(F72,IMPORTRANGE(""https://docs.google.com/spreadsheets/d/1Kvs4KS76FHFqLFIZfrDMff4kP08nblUkihrxltoGBjg/edit#gid=934712705"",""ESENCIAL!A6:BG""),5,FALSE))"),44904)</f>
        <v>44904</v>
      </c>
      <c r="BH47" s="462">
        <f t="shared" ca="1" si="5"/>
        <v>45452</v>
      </c>
      <c r="BI47" s="338" t="str">
        <f t="shared" ca="1" si="6"/>
        <v>FICHA EN TIEMPO-18 MESES</v>
      </c>
      <c r="BJ47" s="338" t="str">
        <f ca="1">IFERROR(__xludf.DUMMYFUNCTION("IFERROR(VLOOKUP(F72,IMPORTRANGE(""https://docs.google.com/spreadsheets/d/1Kvs4KS76FHFqLFIZfrDMff4kP08nblUkihrxltoGBjg/edit#gid=934712705"",""ESENCIAL!A6:BG""),2,FALSE))"),"En ejecucion")</f>
        <v>En ejecucion</v>
      </c>
      <c r="BK47" s="338" t="str">
        <f t="shared" si="7"/>
        <v>Yamboro</v>
      </c>
      <c r="BL47" s="173"/>
      <c r="BM47" s="173"/>
    </row>
    <row r="48" spans="1:65" ht="24">
      <c r="A48" s="164"/>
      <c r="B48" s="565"/>
      <c r="C48" s="534" t="s">
        <v>25</v>
      </c>
      <c r="D48" s="536" t="s">
        <v>733</v>
      </c>
      <c r="E48" s="217" t="s">
        <v>67</v>
      </c>
      <c r="F48" s="150">
        <v>1004269404</v>
      </c>
      <c r="G48" s="451">
        <v>2252407</v>
      </c>
      <c r="H48" s="338" t="str">
        <f ca="1">IFERROR(__xludf.DUMMYFUNCTION("IFERROR(VLOOKUP(F75,IMPORTRANGE(""https://docs.google.com/spreadsheets/d/1Kvs4KS76FHFqLFIZfrDMff4kP08nblUkihrxltoGBjg/edit#gid=934712705"",""ESENCIAL!A6:BG""),3,FALSE))"),"TECNÓLOGO")</f>
        <v>TECNÓLOGO</v>
      </c>
      <c r="I48" s="338" t="str">
        <f ca="1">IFERROR(__xludf.DUMMYFUNCTION("IFERROR(VLOOKUP(F75,IMPORTRANGE(""https://docs.google.com/spreadsheets/d/1Kvs4KS76FHFqLFIZfrDMff4kP08nblUkihrxltoGBjg/edit#gid=934712705"",""ESENCIAL!A6:BG""),8,FALSE))"),"ANALISIS Y DESARROLLO DE SISTEMAS DE INFORMACION")</f>
        <v>ANALISIS Y DESARROLLO DE SISTEMAS DE INFORMACION</v>
      </c>
      <c r="J48" s="451"/>
      <c r="K48" s="527"/>
      <c r="L48" s="527"/>
      <c r="M48" s="570" t="s">
        <v>44</v>
      </c>
      <c r="N48" s="527"/>
      <c r="O48" s="527"/>
      <c r="P48" s="527"/>
      <c r="Q48" s="527"/>
      <c r="R48" s="527"/>
      <c r="S48" s="525"/>
      <c r="T48" s="530"/>
      <c r="U48" s="527"/>
      <c r="V48" s="527" t="s">
        <v>734</v>
      </c>
      <c r="W48" s="527"/>
      <c r="X48" s="527"/>
      <c r="Y48" s="527"/>
      <c r="Z48" s="527"/>
      <c r="AA48" s="527"/>
      <c r="AB48" s="527"/>
      <c r="AC48" s="527"/>
      <c r="AD48" s="527"/>
      <c r="AE48" s="527"/>
      <c r="AF48" s="527"/>
      <c r="AG48" s="527"/>
      <c r="AH48" s="527"/>
      <c r="AI48" s="527"/>
      <c r="AJ48" s="527"/>
      <c r="AK48" s="527"/>
      <c r="AL48" s="527"/>
      <c r="AM48" s="527"/>
      <c r="AN48" s="527"/>
      <c r="AO48" s="527"/>
      <c r="AP48" s="527"/>
      <c r="AQ48" s="527"/>
      <c r="AR48" s="164"/>
      <c r="AS48" s="164"/>
      <c r="AT48" s="164"/>
      <c r="AU48" s="164"/>
      <c r="AV48" s="338" t="str">
        <f t="shared" ca="1" si="4"/>
        <v>NO_CUMPLE</v>
      </c>
      <c r="AW48" s="338" t="str">
        <f ca="1">IFERROR(__xludf.DUMMYFUNCTION("IFERROR(VLOOKUP(E75&amp;F75,IMPORTRANGE(""https://docs.google.com/spreadsheets/d/1Uw7-A9f9R21vMXxHZFNpYNeKFtG8_yji4HS352LGlSQ/edit?pli=1#gid=0"",""1_ACUM!A4:S""),11,FALSE))"),"EN FORMACION")</f>
        <v>EN FORMACION</v>
      </c>
      <c r="AX48" s="462" t="str">
        <f ca="1">IFERROR(__xludf.DUMMYFUNCTION("IFERROR(VLOOKUP(F75,IMPORTRANGE(""https://docs.google.com/spreadsheets/d/1Kvs4KS76FHFqLFIZfrDMff4kP08nblUkihrxltoGBjg/edit#gid=934712705"",""ESENCIAL!A6:BG""),15,FALSE))"),"TIC")</f>
        <v>TIC</v>
      </c>
      <c r="AY48" s="461">
        <f ca="1">IFERROR(__xludf.DUMMYFUNCTION("IFERROR(VLOOKUP(E75&amp;F75,IMPORTRANGE(""https://docs.google.com/spreadsheets/d/1Uw7-A9f9R21vMXxHZFNpYNeKFtG8_yji4HS352LGlSQ/edit?pli=1#gid=0"",""1_ACUM!A4:S""),13,FALSE))"),9)</f>
        <v>9</v>
      </c>
      <c r="AZ48" s="460">
        <f ca="1">IFERROR(__xludf.DUMMYFUNCTION("IFERROR(VLOOKUP(E75&amp;F75,IMPORTRANGE(""https://docs.google.com/spreadsheets/d/1Uw7-A9f9R21vMXxHZFNpYNeKFtG8_yji4HS352LGlSQ/edit?pli=1#gid=0"",""1_ACUM!A4:S""),13,FALSE))"),9)</f>
        <v>9</v>
      </c>
      <c r="BA48" s="460">
        <f ca="1">IFERROR(__xludf.DUMMYFUNCTION("IFERROR(VLOOKUP(E75&amp;F75,IMPORTRANGE(""https://docs.google.com/spreadsheets/d/1Uw7-A9f9R21vMXxHZFNpYNeKFtG8_yji4HS352LGlSQ/edit?pli=1#gid=0"",""1_ACUM!A4:S""),14,FALSE))"),1)</f>
        <v>1</v>
      </c>
      <c r="BB48" s="460">
        <f ca="1">IFERROR(__xludf.DUMMYFUNCTION("IFERROR(VLOOKUP(E75&amp;F75,IMPORTRANGE(""https://docs.google.com/spreadsheets/d/1Uw7-A9f9R21vMXxHZFNpYNeKFtG8_yji4HS352LGlSQ/edit?pli=1#gid=0"",""1_ACUM!A4:S""),15,FALSE))"),15)</f>
        <v>15</v>
      </c>
      <c r="BC48" s="460">
        <f ca="1">IFERROR(__xludf.DUMMYFUNCTION("IFERROR(VLOOKUP(E75&amp;F75,IMPORTRANGE(""https://docs.google.com/spreadsheets/d/1Uw7-A9f9R21vMXxHZFNpYNeKFtG8_yji4HS352LGlSQ/edit?pli=1#gid=0"",""1_ACUM!A4:S""),16,FALSE))"),28)</f>
        <v>28</v>
      </c>
      <c r="BD48" s="460">
        <f ca="1">IFERROR(__xludf.DUMMYFUNCTION("IFERROR(VLOOKUP(E75&amp;F75,IMPORTRANGE(""https://docs.google.com/spreadsheets/d/1Uw7-A9f9R21vMXxHZFNpYNeKFtG8_yji4HS352LGlSQ/edit?pli=1#gid=0"",""1_ACUM!A4:S""),17,FALSE))"),53)</f>
        <v>53</v>
      </c>
      <c r="BE48" s="461">
        <f ca="1">IFERROR(__xludf.DUMMYFUNCTION("IFERROR(VLOOKUP(E75&amp;F75,IMPORTRANGE(""https://docs.google.com/spreadsheets/d/1Uw7-A9f9R21vMXxHZFNpYNeKFtG8_yji4HS352LGlSQ/edit?pli=1#gid=0"",""1_ACUM!A4:S""),18,FALSE))"),44183)</f>
        <v>44183</v>
      </c>
      <c r="BF48" s="461">
        <f ca="1">IFERROR(__xludf.DUMMYFUNCTION("IFERROR(VLOOKUP(E75&amp;F75,IMPORTRANGE(""https://docs.google.com/spreadsheets/d/1Uw7-A9f9R21vMXxHZFNpYNeKFtG8_yji4HS352LGlSQ/edit?pli=1#gid=0"",""1_ACUM!A4:S""),19,FALSE))"),44729)</f>
        <v>44729</v>
      </c>
      <c r="BG48" s="462">
        <f ca="1">IFERROR(__xludf.DUMMYFUNCTION("IFERROR(VLOOKUP(F75,IMPORTRANGE(""https://docs.google.com/spreadsheets/d/1Kvs4KS76FHFqLFIZfrDMff4kP08nblUkihrxltoGBjg/edit#gid=934712705"",""ESENCIAL!A6:BG""),5,FALSE))"),44912)</f>
        <v>44912</v>
      </c>
      <c r="BH48" s="462">
        <f t="shared" ca="1" si="5"/>
        <v>45460</v>
      </c>
      <c r="BI48" s="338" t="str">
        <f t="shared" ca="1" si="6"/>
        <v>FICHA EN TIEMPO-18 MESES</v>
      </c>
      <c r="BJ48" s="338" t="str">
        <f ca="1">IFERROR(__xludf.DUMMYFUNCTION("IFERROR(VLOOKUP(F75,IMPORTRANGE(""https://docs.google.com/spreadsheets/d/1Kvs4KS76FHFqLFIZfrDMff4kP08nblUkihrxltoGBjg/edit#gid=934712705"",""ESENCIAL!A6:BG""),2,FALSE))"),"En ejecucion")</f>
        <v>En ejecucion</v>
      </c>
      <c r="BK48" s="338" t="str">
        <f t="shared" si="7"/>
        <v>Yamboro</v>
      </c>
      <c r="BL48" s="38"/>
      <c r="BM48" s="38"/>
    </row>
    <row r="49" spans="1:65" ht="24">
      <c r="A49" s="164" t="s">
        <v>580</v>
      </c>
      <c r="B49" s="565"/>
      <c r="C49" s="534" t="s">
        <v>25</v>
      </c>
      <c r="D49" s="536" t="s">
        <v>735</v>
      </c>
      <c r="E49" s="217" t="s">
        <v>27</v>
      </c>
      <c r="F49" s="150">
        <v>1004419254</v>
      </c>
      <c r="G49" s="451">
        <v>2252407</v>
      </c>
      <c r="H49" s="338" t="str">
        <f ca="1">IFERROR(__xludf.DUMMYFUNCTION("IFERROR(VLOOKUP(F76,IMPORTRANGE(""https://docs.google.com/spreadsheets/d/1Kvs4KS76FHFqLFIZfrDMff4kP08nblUkihrxltoGBjg/edit#gid=934712705"",""ESENCIAL!A6:BG""),3,FALSE))"),"TECNÓLOGO")</f>
        <v>TECNÓLOGO</v>
      </c>
      <c r="I49" s="338" t="str">
        <f ca="1">IFERROR(__xludf.DUMMYFUNCTION("IFERROR(VLOOKUP(F76,IMPORTRANGE(""https://docs.google.com/spreadsheets/d/1Kvs4KS76FHFqLFIZfrDMff4kP08nblUkihrxltoGBjg/edit#gid=934712705"",""ESENCIAL!A6:BG""),8,FALSE))"),"ANALISIS Y DESARROLLO DE SISTEMAS DE INFORMACION")</f>
        <v>ANALISIS Y DESARROLLO DE SISTEMAS DE INFORMACION</v>
      </c>
      <c r="J49" s="531">
        <v>3115339060</v>
      </c>
      <c r="K49" s="531" t="s">
        <v>736</v>
      </c>
      <c r="L49" s="532" t="s">
        <v>58</v>
      </c>
      <c r="M49" s="208" t="s">
        <v>250</v>
      </c>
      <c r="N49" s="532" t="s">
        <v>737</v>
      </c>
      <c r="O49" s="527"/>
      <c r="P49" s="527"/>
      <c r="Q49" s="527"/>
      <c r="R49" s="527"/>
      <c r="S49" s="525">
        <v>44747</v>
      </c>
      <c r="T49" s="530">
        <v>45017</v>
      </c>
      <c r="U49" s="527" t="s">
        <v>738</v>
      </c>
      <c r="V49" s="527" t="s">
        <v>734</v>
      </c>
      <c r="W49" s="527"/>
      <c r="X49" s="527"/>
      <c r="Y49" s="527"/>
      <c r="Z49" s="527"/>
      <c r="AA49" s="527"/>
      <c r="AB49" s="527"/>
      <c r="AC49" s="527"/>
      <c r="AD49" s="527"/>
      <c r="AE49" s="527"/>
      <c r="AF49" s="527"/>
      <c r="AG49" s="527"/>
      <c r="AH49" s="527"/>
      <c r="AI49" s="527"/>
      <c r="AJ49" s="527"/>
      <c r="AK49" s="527"/>
      <c r="AL49" s="527"/>
      <c r="AM49" s="527"/>
      <c r="AN49" s="527"/>
      <c r="AO49" s="527"/>
      <c r="AP49" s="527"/>
      <c r="AQ49" s="527"/>
      <c r="AR49" s="164"/>
      <c r="AS49" s="164"/>
      <c r="AT49" s="164" t="s">
        <v>739</v>
      </c>
      <c r="AU49" s="164"/>
      <c r="AV49" s="338" t="str">
        <f t="shared" ca="1" si="4"/>
        <v>Procede_E_P</v>
      </c>
      <c r="AW49" s="338" t="str">
        <f ca="1">IFERROR(__xludf.DUMMYFUNCTION("IFERROR(VLOOKUP(E76&amp;F76,IMPORTRANGE(""https://docs.google.com/spreadsheets/d/1Uw7-A9f9R21vMXxHZFNpYNeKFtG8_yji4HS352LGlSQ/edit?pli=1#gid=0"",""1_ACUM!A4:S""),11,FALSE))"),"EN FORMACION")</f>
        <v>EN FORMACION</v>
      </c>
      <c r="AX49" s="462" t="str">
        <f ca="1">IFERROR(__xludf.DUMMYFUNCTION("IFERROR(VLOOKUP(F76,IMPORTRANGE(""https://docs.google.com/spreadsheets/d/1Kvs4KS76FHFqLFIZfrDMff4kP08nblUkihrxltoGBjg/edit#gid=934712705"",""ESENCIAL!A6:BG""),15,FALSE))"),"TIC")</f>
        <v>TIC</v>
      </c>
      <c r="AY49" s="461">
        <f ca="1">IFERROR(__xludf.DUMMYFUNCTION("IFERROR(VLOOKUP(E76&amp;F76,IMPORTRANGE(""https://docs.google.com/spreadsheets/d/1Uw7-A9f9R21vMXxHZFNpYNeKFtG8_yji4HS352LGlSQ/edit?pli=1#gid=0"",""1_ACUM!A4:S""),13,FALSE))"),0)</f>
        <v>0</v>
      </c>
      <c r="AZ49" s="460">
        <f ca="1">IFERROR(__xludf.DUMMYFUNCTION("IFERROR(VLOOKUP(E76&amp;F76,IMPORTRANGE(""https://docs.google.com/spreadsheets/d/1Uw7-A9f9R21vMXxHZFNpYNeKFtG8_yji4HS352LGlSQ/edit?pli=1#gid=0"",""1_ACUM!A4:S""),13,FALSE))"),0)</f>
        <v>0</v>
      </c>
      <c r="BA49" s="460">
        <f ca="1">IFERROR(__xludf.DUMMYFUNCTION("IFERROR(VLOOKUP(E76&amp;F76,IMPORTRANGE(""https://docs.google.com/spreadsheets/d/1Uw7-A9f9R21vMXxHZFNpYNeKFtG8_yji4HS352LGlSQ/edit?pli=1#gid=0"",""1_ACUM!A4:S""),14,FALSE))"),1)</f>
        <v>1</v>
      </c>
      <c r="BB49" s="460">
        <f ca="1">IFERROR(__xludf.DUMMYFUNCTION("IFERROR(VLOOKUP(E76&amp;F76,IMPORTRANGE(""https://docs.google.com/spreadsheets/d/1Uw7-A9f9R21vMXxHZFNpYNeKFtG8_yji4HS352LGlSQ/edit?pli=1#gid=0"",""1_ACUM!A4:S""),15,FALSE))"),0)</f>
        <v>0</v>
      </c>
      <c r="BC49" s="460">
        <f ca="1">IFERROR(__xludf.DUMMYFUNCTION("IFERROR(VLOOKUP(E76&amp;F76,IMPORTRANGE(""https://docs.google.com/spreadsheets/d/1Uw7-A9f9R21vMXxHZFNpYNeKFtG8_yji4HS352LGlSQ/edit?pli=1#gid=0"",""1_ACUM!A4:S""),16,FALSE))"),0)</f>
        <v>0</v>
      </c>
      <c r="BD49" s="460">
        <f ca="1">IFERROR(__xludf.DUMMYFUNCTION("IFERROR(VLOOKUP(E76&amp;F76,IMPORTRANGE(""https://docs.google.com/spreadsheets/d/1Uw7-A9f9R21vMXxHZFNpYNeKFtG8_yji4HS352LGlSQ/edit?pli=1#gid=0"",""1_ACUM!A4:S""),17,FALSE))"),1)</f>
        <v>1</v>
      </c>
      <c r="BE49" s="461">
        <f ca="1">IFERROR(__xludf.DUMMYFUNCTION("IFERROR(VLOOKUP(E76&amp;F76,IMPORTRANGE(""https://docs.google.com/spreadsheets/d/1Uw7-A9f9R21vMXxHZFNpYNeKFtG8_yji4HS352LGlSQ/edit?pli=1#gid=0"",""1_ACUM!A4:S""),18,FALSE))"),44183)</f>
        <v>44183</v>
      </c>
      <c r="BF49" s="461">
        <f ca="1">IFERROR(__xludf.DUMMYFUNCTION("IFERROR(VLOOKUP(E76&amp;F76,IMPORTRANGE(""https://docs.google.com/spreadsheets/d/1Uw7-A9f9R21vMXxHZFNpYNeKFtG8_yji4HS352LGlSQ/edit?pli=1#gid=0"",""1_ACUM!A4:S""),19,FALSE))"),44729)</f>
        <v>44729</v>
      </c>
      <c r="BG49" s="462">
        <f ca="1">IFERROR(__xludf.DUMMYFUNCTION("IFERROR(VLOOKUP(F76,IMPORTRANGE(""https://docs.google.com/spreadsheets/d/1Kvs4KS76FHFqLFIZfrDMff4kP08nblUkihrxltoGBjg/edit#gid=934712705"",""ESENCIAL!A6:BG""),5,FALSE))"),44912)</f>
        <v>44912</v>
      </c>
      <c r="BH49" s="462">
        <f t="shared" ca="1" si="5"/>
        <v>45460</v>
      </c>
      <c r="BI49" s="338" t="str">
        <f t="shared" ca="1" si="6"/>
        <v>FICHA EN TIEMPO-18 MESES</v>
      </c>
      <c r="BJ49" s="338" t="str">
        <f ca="1">IFERROR(__xludf.DUMMYFUNCTION("IFERROR(VLOOKUP(F76,IMPORTRANGE(""https://docs.google.com/spreadsheets/d/1Kvs4KS76FHFqLFIZfrDMff4kP08nblUkihrxltoGBjg/edit#gid=934712705"",""ESENCIAL!A6:BG""),2,FALSE))"),"En ejecucion")</f>
        <v>En ejecucion</v>
      </c>
      <c r="BK49" s="338" t="str">
        <f t="shared" si="7"/>
        <v>Yamboro</v>
      </c>
      <c r="BL49" s="38"/>
      <c r="BM49" s="38"/>
    </row>
    <row r="50" spans="1:65" ht="24">
      <c r="A50" s="164" t="s">
        <v>580</v>
      </c>
      <c r="B50" s="565"/>
      <c r="C50" s="534" t="s">
        <v>25</v>
      </c>
      <c r="D50" s="536" t="s">
        <v>740</v>
      </c>
      <c r="E50" s="217" t="s">
        <v>27</v>
      </c>
      <c r="F50" s="150">
        <v>1006947348</v>
      </c>
      <c r="G50" s="451">
        <v>2252407</v>
      </c>
      <c r="H50" s="338" t="str">
        <f ca="1">IFERROR(__xludf.DUMMYFUNCTION("IFERROR(VLOOKUP(F78,IMPORTRANGE(""https://docs.google.com/spreadsheets/d/1Kvs4KS76FHFqLFIZfrDMff4kP08nblUkihrxltoGBjg/edit#gid=934712705"",""ESENCIAL!A6:BG""),3,FALSE))"),"TECNÓLOGO")</f>
        <v>TECNÓLOGO</v>
      </c>
      <c r="I50" s="338" t="str">
        <f ca="1">IFERROR(__xludf.DUMMYFUNCTION("IFERROR(VLOOKUP(F78,IMPORTRANGE(""https://docs.google.com/spreadsheets/d/1Kvs4KS76FHFqLFIZfrDMff4kP08nblUkihrxltoGBjg/edit#gid=934712705"",""ESENCIAL!A6:BG""),8,FALSE))"),"ANALISIS Y DESARROLLO DE SISTEMAS DE INFORMACION")</f>
        <v>ANALISIS Y DESARROLLO DE SISTEMAS DE INFORMACION</v>
      </c>
      <c r="J50" s="451">
        <v>3102833525</v>
      </c>
      <c r="K50" s="527" t="s">
        <v>741</v>
      </c>
      <c r="L50" s="527" t="s">
        <v>84</v>
      </c>
      <c r="M50" s="527" t="s">
        <v>37</v>
      </c>
      <c r="N50" s="527" t="s">
        <v>742</v>
      </c>
      <c r="O50" s="527"/>
      <c r="P50" s="527"/>
      <c r="Q50" s="527"/>
      <c r="R50" s="527"/>
      <c r="S50" s="525">
        <v>44747</v>
      </c>
      <c r="T50" s="530">
        <v>44930</v>
      </c>
      <c r="U50" s="527"/>
      <c r="V50" s="527" t="s">
        <v>734</v>
      </c>
      <c r="W50" s="527" t="s">
        <v>743</v>
      </c>
      <c r="X50" s="527"/>
      <c r="Y50" s="527"/>
      <c r="Z50" s="527"/>
      <c r="AA50" s="527"/>
      <c r="AB50" s="527"/>
      <c r="AC50" s="527"/>
      <c r="AD50" s="527"/>
      <c r="AE50" s="527"/>
      <c r="AF50" s="527"/>
      <c r="AG50" s="527"/>
      <c r="AH50" s="527"/>
      <c r="AI50" s="527"/>
      <c r="AJ50" s="527"/>
      <c r="AK50" s="527"/>
      <c r="AL50" s="527"/>
      <c r="AM50" s="527"/>
      <c r="AN50" s="527"/>
      <c r="AO50" s="527"/>
      <c r="AP50" s="527"/>
      <c r="AQ50" s="527"/>
      <c r="AR50" s="164"/>
      <c r="AS50" s="164"/>
      <c r="AT50" s="164"/>
      <c r="AU50" s="164"/>
      <c r="AV50" s="338" t="str">
        <f t="shared" ca="1" si="4"/>
        <v>Procede_E_P</v>
      </c>
      <c r="AW50" s="338" t="str">
        <f ca="1">IFERROR(__xludf.DUMMYFUNCTION("IFERROR(VLOOKUP(E78&amp;F78,IMPORTRANGE(""https://docs.google.com/spreadsheets/d/1Uw7-A9f9R21vMXxHZFNpYNeKFtG8_yji4HS352LGlSQ/edit?pli=1#gid=0"",""1_ACUM!A4:S""),11,FALSE))"),"EN FORMACION")</f>
        <v>EN FORMACION</v>
      </c>
      <c r="AX50" s="462" t="str">
        <f ca="1">IFERROR(__xludf.DUMMYFUNCTION("IFERROR(VLOOKUP(F78,IMPORTRANGE(""https://docs.google.com/spreadsheets/d/1Kvs4KS76FHFqLFIZfrDMff4kP08nblUkihrxltoGBjg/edit#gid=934712705"",""ESENCIAL!A6:BG""),15,FALSE))"),"TIC")</f>
        <v>TIC</v>
      </c>
      <c r="AY50" s="461">
        <f ca="1">IFERROR(__xludf.DUMMYFUNCTION("IFERROR(VLOOKUP(E78&amp;F78,IMPORTRANGE(""https://docs.google.com/spreadsheets/d/1Uw7-A9f9R21vMXxHZFNpYNeKFtG8_yji4HS352LGlSQ/edit?pli=1#gid=0"",""1_ACUM!A4:S""),13,FALSE))"),0)</f>
        <v>0</v>
      </c>
      <c r="AZ50" s="460">
        <f ca="1">IFERROR(__xludf.DUMMYFUNCTION("IFERROR(VLOOKUP(E78&amp;F78,IMPORTRANGE(""https://docs.google.com/spreadsheets/d/1Uw7-A9f9R21vMXxHZFNpYNeKFtG8_yji4HS352LGlSQ/edit?pli=1#gid=0"",""1_ACUM!A4:S""),13,FALSE))"),0)</f>
        <v>0</v>
      </c>
      <c r="BA50" s="460">
        <f ca="1">IFERROR(__xludf.DUMMYFUNCTION("IFERROR(VLOOKUP(E78&amp;F78,IMPORTRANGE(""https://docs.google.com/spreadsheets/d/1Uw7-A9f9R21vMXxHZFNpYNeKFtG8_yji4HS352LGlSQ/edit?pli=1#gid=0"",""1_ACUM!A4:S""),14,FALSE))"),1)</f>
        <v>1</v>
      </c>
      <c r="BB50" s="460">
        <f ca="1">IFERROR(__xludf.DUMMYFUNCTION("IFERROR(VLOOKUP(E78&amp;F78,IMPORTRANGE(""https://docs.google.com/spreadsheets/d/1Uw7-A9f9R21vMXxHZFNpYNeKFtG8_yji4HS352LGlSQ/edit?pli=1#gid=0"",""1_ACUM!A4:S""),15,FALSE))"),0)</f>
        <v>0</v>
      </c>
      <c r="BC50" s="460">
        <f ca="1">IFERROR(__xludf.DUMMYFUNCTION("IFERROR(VLOOKUP(E78&amp;F78,IMPORTRANGE(""https://docs.google.com/spreadsheets/d/1Uw7-A9f9R21vMXxHZFNpYNeKFtG8_yji4HS352LGlSQ/edit?pli=1#gid=0"",""1_ACUM!A4:S""),16,FALSE))"),0)</f>
        <v>0</v>
      </c>
      <c r="BD50" s="460">
        <f ca="1">IFERROR(__xludf.DUMMYFUNCTION("IFERROR(VLOOKUP(E78&amp;F78,IMPORTRANGE(""https://docs.google.com/spreadsheets/d/1Uw7-A9f9R21vMXxHZFNpYNeKFtG8_yji4HS352LGlSQ/edit?pli=1#gid=0"",""1_ACUM!A4:S""),17,FALSE))"),1)</f>
        <v>1</v>
      </c>
      <c r="BE50" s="461">
        <f ca="1">IFERROR(__xludf.DUMMYFUNCTION("IFERROR(VLOOKUP(E78&amp;F78,IMPORTRANGE(""https://docs.google.com/spreadsheets/d/1Uw7-A9f9R21vMXxHZFNpYNeKFtG8_yji4HS352LGlSQ/edit?pli=1#gid=0"",""1_ACUM!A4:S""),18,FALSE))"),44183)</f>
        <v>44183</v>
      </c>
      <c r="BF50" s="461">
        <f ca="1">IFERROR(__xludf.DUMMYFUNCTION("IFERROR(VLOOKUP(E78&amp;F78,IMPORTRANGE(""https://docs.google.com/spreadsheets/d/1Uw7-A9f9R21vMXxHZFNpYNeKFtG8_yji4HS352LGlSQ/edit?pli=1#gid=0"",""1_ACUM!A4:S""),19,FALSE))"),44729)</f>
        <v>44729</v>
      </c>
      <c r="BG50" s="462">
        <f ca="1">IFERROR(__xludf.DUMMYFUNCTION("IFERROR(VLOOKUP(F78,IMPORTRANGE(""https://docs.google.com/spreadsheets/d/1Kvs4KS76FHFqLFIZfrDMff4kP08nblUkihrxltoGBjg/edit#gid=934712705"",""ESENCIAL!A6:BG""),5,FALSE))"),44912)</f>
        <v>44912</v>
      </c>
      <c r="BH50" s="462">
        <f t="shared" ca="1" si="5"/>
        <v>45460</v>
      </c>
      <c r="BI50" s="338" t="str">
        <f t="shared" ca="1" si="6"/>
        <v>FICHA EN TIEMPO-18 MESES</v>
      </c>
      <c r="BJ50" s="338" t="str">
        <f ca="1">IFERROR(__xludf.DUMMYFUNCTION("IFERROR(VLOOKUP(F78,IMPORTRANGE(""https://docs.google.com/spreadsheets/d/1Kvs4KS76FHFqLFIZfrDMff4kP08nblUkihrxltoGBjg/edit#gid=934712705"",""ESENCIAL!A6:BG""),2,FALSE))"),"En ejecucion")</f>
        <v>En ejecucion</v>
      </c>
      <c r="BK50" s="338" t="str">
        <f t="shared" si="7"/>
        <v>Yamboro</v>
      </c>
      <c r="BL50" s="38"/>
      <c r="BM50" s="38"/>
    </row>
    <row r="51" spans="1:65" ht="24">
      <c r="A51" s="164" t="s">
        <v>580</v>
      </c>
      <c r="B51" s="565"/>
      <c r="C51" s="534" t="s">
        <v>25</v>
      </c>
      <c r="D51" s="536" t="s">
        <v>744</v>
      </c>
      <c r="E51" s="217" t="s">
        <v>67</v>
      </c>
      <c r="F51" s="150">
        <v>1007443861</v>
      </c>
      <c r="G51" s="451">
        <v>2252407</v>
      </c>
      <c r="H51" s="338" t="str">
        <f ca="1">IFERROR(__xludf.DUMMYFUNCTION("IFERROR(VLOOKUP(F80,IMPORTRANGE(""https://docs.google.com/spreadsheets/d/1Kvs4KS76FHFqLFIZfrDMff4kP08nblUkihrxltoGBjg/edit#gid=934712705"",""ESENCIAL!A6:BG""),3,FALSE))"),"TECNÓLOGO")</f>
        <v>TECNÓLOGO</v>
      </c>
      <c r="I51" s="338" t="str">
        <f ca="1">IFERROR(__xludf.DUMMYFUNCTION("IFERROR(VLOOKUP(F80,IMPORTRANGE(""https://docs.google.com/spreadsheets/d/1Kvs4KS76FHFqLFIZfrDMff4kP08nblUkihrxltoGBjg/edit#gid=934712705"",""ESENCIAL!A6:BG""),8,FALSE))"),"ANALISIS Y DESARROLLO DE SISTEMAS DE INFORMACION")</f>
        <v>ANALISIS Y DESARROLLO DE SISTEMAS DE INFORMACION</v>
      </c>
      <c r="J51" s="451"/>
      <c r="K51" s="527"/>
      <c r="L51" s="527"/>
      <c r="M51" s="570" t="s">
        <v>44</v>
      </c>
      <c r="N51" s="527"/>
      <c r="O51" s="527"/>
      <c r="P51" s="527"/>
      <c r="Q51" s="527"/>
      <c r="R51" s="527"/>
      <c r="S51" s="525"/>
      <c r="T51" s="530"/>
      <c r="U51" s="527"/>
      <c r="V51" s="527" t="s">
        <v>734</v>
      </c>
      <c r="W51" s="527"/>
      <c r="X51" s="527"/>
      <c r="Y51" s="527"/>
      <c r="Z51" s="527"/>
      <c r="AA51" s="527"/>
      <c r="AB51" s="527"/>
      <c r="AC51" s="527"/>
      <c r="AD51" s="527"/>
      <c r="AE51" s="527"/>
      <c r="AF51" s="527"/>
      <c r="AG51" s="527"/>
      <c r="AH51" s="527"/>
      <c r="AI51" s="527"/>
      <c r="AJ51" s="527"/>
      <c r="AK51" s="527"/>
      <c r="AL51" s="527"/>
      <c r="AM51" s="527"/>
      <c r="AN51" s="527"/>
      <c r="AO51" s="527"/>
      <c r="AP51" s="527"/>
      <c r="AQ51" s="527"/>
      <c r="AR51" s="164" t="s">
        <v>745</v>
      </c>
      <c r="AS51" s="164"/>
      <c r="AT51" s="164"/>
      <c r="AU51" s="164"/>
      <c r="AV51" s="338" t="str">
        <f t="shared" ca="1" si="4"/>
        <v>NO_CUMPLE</v>
      </c>
      <c r="AW51" s="338" t="str">
        <f ca="1">IFERROR(__xludf.DUMMYFUNCTION("IFERROR(VLOOKUP(E80&amp;F80,IMPORTRANGE(""https://docs.google.com/spreadsheets/d/1Uw7-A9f9R21vMXxHZFNpYNeKFtG8_yji4HS352LGlSQ/edit?pli=1#gid=0"",""1_ACUM!A4:S""),11,FALSE))"),"EN FORMACION")</f>
        <v>EN FORMACION</v>
      </c>
      <c r="AX51" s="462" t="str">
        <f ca="1">IFERROR(__xludf.DUMMYFUNCTION("IFERROR(VLOOKUP(F80,IMPORTRANGE(""https://docs.google.com/spreadsheets/d/1Kvs4KS76FHFqLFIZfrDMff4kP08nblUkihrxltoGBjg/edit#gid=934712705"",""ESENCIAL!A6:BG""),15,FALSE))"),"TIC")</f>
        <v>TIC</v>
      </c>
      <c r="AY51" s="461">
        <f ca="1">IFERROR(__xludf.DUMMYFUNCTION("IFERROR(VLOOKUP(E80&amp;F80,IMPORTRANGE(""https://docs.google.com/spreadsheets/d/1Uw7-A9f9R21vMXxHZFNpYNeKFtG8_yji4HS352LGlSQ/edit?pli=1#gid=0"",""1_ACUM!A4:S""),13,FALSE))"),9)</f>
        <v>9</v>
      </c>
      <c r="AZ51" s="460">
        <f ca="1">IFERROR(__xludf.DUMMYFUNCTION("IFERROR(VLOOKUP(E80&amp;F80,IMPORTRANGE(""https://docs.google.com/spreadsheets/d/1Uw7-A9f9R21vMXxHZFNpYNeKFtG8_yji4HS352LGlSQ/edit?pli=1#gid=0"",""1_ACUM!A4:S""),13,FALSE))"),9)</f>
        <v>9</v>
      </c>
      <c r="BA51" s="460">
        <f ca="1">IFERROR(__xludf.DUMMYFUNCTION("IFERROR(VLOOKUP(E80&amp;F80,IMPORTRANGE(""https://docs.google.com/spreadsheets/d/1Uw7-A9f9R21vMXxHZFNpYNeKFtG8_yji4HS352LGlSQ/edit?pli=1#gid=0"",""1_ACUM!A4:S""),14,FALSE))"),1)</f>
        <v>1</v>
      </c>
      <c r="BB51" s="460">
        <f ca="1">IFERROR(__xludf.DUMMYFUNCTION("IFERROR(VLOOKUP(E80&amp;F80,IMPORTRANGE(""https://docs.google.com/spreadsheets/d/1Uw7-A9f9R21vMXxHZFNpYNeKFtG8_yji4HS352LGlSQ/edit?pli=1#gid=0"",""1_ACUM!A4:S""),15,FALSE))"),15)</f>
        <v>15</v>
      </c>
      <c r="BC51" s="460">
        <f ca="1">IFERROR(__xludf.DUMMYFUNCTION("IFERROR(VLOOKUP(E80&amp;F80,IMPORTRANGE(""https://docs.google.com/spreadsheets/d/1Uw7-A9f9R21vMXxHZFNpYNeKFtG8_yji4HS352LGlSQ/edit?pli=1#gid=0"",""1_ACUM!A4:S""),16,FALSE))"),30)</f>
        <v>30</v>
      </c>
      <c r="BD51" s="460">
        <f ca="1">IFERROR(__xludf.DUMMYFUNCTION("IFERROR(VLOOKUP(E80&amp;F80,IMPORTRANGE(""https://docs.google.com/spreadsheets/d/1Uw7-A9f9R21vMXxHZFNpYNeKFtG8_yji4HS352LGlSQ/edit?pli=1#gid=0"",""1_ACUM!A4:S""),17,FALSE))"),55)</f>
        <v>55</v>
      </c>
      <c r="BE51" s="461">
        <f ca="1">IFERROR(__xludf.DUMMYFUNCTION("IFERROR(VLOOKUP(E80&amp;F80,IMPORTRANGE(""https://docs.google.com/spreadsheets/d/1Uw7-A9f9R21vMXxHZFNpYNeKFtG8_yji4HS352LGlSQ/edit?pli=1#gid=0"",""1_ACUM!A4:S""),18,FALSE))"),44183)</f>
        <v>44183</v>
      </c>
      <c r="BF51" s="461">
        <f ca="1">IFERROR(__xludf.DUMMYFUNCTION("IFERROR(VLOOKUP(E80&amp;F80,IMPORTRANGE(""https://docs.google.com/spreadsheets/d/1Uw7-A9f9R21vMXxHZFNpYNeKFtG8_yji4HS352LGlSQ/edit?pli=1#gid=0"",""1_ACUM!A4:S""),19,FALSE))"),44729)</f>
        <v>44729</v>
      </c>
      <c r="BG51" s="462">
        <f ca="1">IFERROR(__xludf.DUMMYFUNCTION("IFERROR(VLOOKUP(F80,IMPORTRANGE(""https://docs.google.com/spreadsheets/d/1Kvs4KS76FHFqLFIZfrDMff4kP08nblUkihrxltoGBjg/edit#gid=934712705"",""ESENCIAL!A6:BG""),5,FALSE))"),44912)</f>
        <v>44912</v>
      </c>
      <c r="BH51" s="462">
        <f t="shared" ca="1" si="5"/>
        <v>45460</v>
      </c>
      <c r="BI51" s="338" t="str">
        <f t="shared" ca="1" si="6"/>
        <v>FICHA EN TIEMPO-18 MESES</v>
      </c>
      <c r="BJ51" s="338" t="str">
        <f ca="1">IFERROR(__xludf.DUMMYFUNCTION("IFERROR(VLOOKUP(F80,IMPORTRANGE(""https://docs.google.com/spreadsheets/d/1Kvs4KS76FHFqLFIZfrDMff4kP08nblUkihrxltoGBjg/edit#gid=934712705"",""ESENCIAL!A6:BG""),2,FALSE))"),"En ejecucion")</f>
        <v>En ejecucion</v>
      </c>
      <c r="BK51" s="338" t="str">
        <f t="shared" si="7"/>
        <v>Yamboro</v>
      </c>
      <c r="BL51" s="38"/>
      <c r="BM51" s="38"/>
    </row>
    <row r="52" spans="1:65" ht="24">
      <c r="A52" s="164" t="s">
        <v>580</v>
      </c>
      <c r="B52" s="565"/>
      <c r="C52" s="534" t="s">
        <v>25</v>
      </c>
      <c r="D52" s="536" t="s">
        <v>746</v>
      </c>
      <c r="E52" s="217" t="s">
        <v>67</v>
      </c>
      <c r="F52" s="150">
        <v>1080180314</v>
      </c>
      <c r="G52" s="451">
        <v>2252407</v>
      </c>
      <c r="H52" s="338" t="str">
        <f ca="1">IFERROR(__xludf.DUMMYFUNCTION("IFERROR(VLOOKUP(F81,IMPORTRANGE(""https://docs.google.com/spreadsheets/d/1Kvs4KS76FHFqLFIZfrDMff4kP08nblUkihrxltoGBjg/edit#gid=934712705"",""ESENCIAL!A6:BG""),3,FALSE))"),"TECNÓLOGO")</f>
        <v>TECNÓLOGO</v>
      </c>
      <c r="I52" s="338" t="str">
        <f ca="1">IFERROR(__xludf.DUMMYFUNCTION("IFERROR(VLOOKUP(F81,IMPORTRANGE(""https://docs.google.com/spreadsheets/d/1Kvs4KS76FHFqLFIZfrDMff4kP08nblUkihrxltoGBjg/edit#gid=934712705"",""ESENCIAL!A6:BG""),8,FALSE))"),"ANALISIS Y DESARROLLO DE SISTEMAS DE INFORMACION")</f>
        <v>ANALISIS Y DESARROLLO DE SISTEMAS DE INFORMACION</v>
      </c>
      <c r="J52" s="451"/>
      <c r="K52" s="527"/>
      <c r="L52" s="527"/>
      <c r="M52" s="570" t="s">
        <v>44</v>
      </c>
      <c r="N52" s="527"/>
      <c r="O52" s="527"/>
      <c r="P52" s="527"/>
      <c r="Q52" s="527"/>
      <c r="R52" s="527"/>
      <c r="S52" s="525"/>
      <c r="T52" s="530"/>
      <c r="U52" s="527"/>
      <c r="V52" s="527" t="s">
        <v>734</v>
      </c>
      <c r="W52" s="527"/>
      <c r="X52" s="527"/>
      <c r="Y52" s="527"/>
      <c r="Z52" s="527"/>
      <c r="AA52" s="527"/>
      <c r="AB52" s="527"/>
      <c r="AC52" s="527"/>
      <c r="AD52" s="527"/>
      <c r="AE52" s="527"/>
      <c r="AF52" s="527"/>
      <c r="AG52" s="527"/>
      <c r="AH52" s="527"/>
      <c r="AI52" s="527"/>
      <c r="AJ52" s="527"/>
      <c r="AK52" s="527"/>
      <c r="AL52" s="527"/>
      <c r="AM52" s="527"/>
      <c r="AN52" s="527"/>
      <c r="AO52" s="527"/>
      <c r="AP52" s="527"/>
      <c r="AQ52" s="527"/>
      <c r="AR52" s="164"/>
      <c r="AS52" s="164"/>
      <c r="AT52" s="164"/>
      <c r="AU52" s="164"/>
      <c r="AV52" s="338" t="str">
        <f t="shared" ca="1" si="4"/>
        <v>NO_CUMPLE</v>
      </c>
      <c r="AW52" s="338" t="str">
        <f ca="1">IFERROR(__xludf.DUMMYFUNCTION("IFERROR(VLOOKUP(E81&amp;F81,IMPORTRANGE(""https://docs.google.com/spreadsheets/d/1Uw7-A9f9R21vMXxHZFNpYNeKFtG8_yji4HS352LGlSQ/edit?pli=1#gid=0"",""1_ACUM!A4:S""),11,FALSE))"),"EN FORMACION")</f>
        <v>EN FORMACION</v>
      </c>
      <c r="AX52" s="462" t="str">
        <f ca="1">IFERROR(__xludf.DUMMYFUNCTION("IFERROR(VLOOKUP(F81,IMPORTRANGE(""https://docs.google.com/spreadsheets/d/1Kvs4KS76FHFqLFIZfrDMff4kP08nblUkihrxltoGBjg/edit#gid=934712705"",""ESENCIAL!A6:BG""),15,FALSE))"),"TIC")</f>
        <v>TIC</v>
      </c>
      <c r="AY52" s="461">
        <f ca="1">IFERROR(__xludf.DUMMYFUNCTION("IFERROR(VLOOKUP(E81&amp;F81,IMPORTRANGE(""https://docs.google.com/spreadsheets/d/1Uw7-A9f9R21vMXxHZFNpYNeKFtG8_yji4HS352LGlSQ/edit?pli=1#gid=0"",""1_ACUM!A4:S""),13,FALSE))"),9)</f>
        <v>9</v>
      </c>
      <c r="AZ52" s="460">
        <f ca="1">IFERROR(__xludf.DUMMYFUNCTION("IFERROR(VLOOKUP(E81&amp;F81,IMPORTRANGE(""https://docs.google.com/spreadsheets/d/1Uw7-A9f9R21vMXxHZFNpYNeKFtG8_yji4HS352LGlSQ/edit?pli=1#gid=0"",""1_ACUM!A4:S""),13,FALSE))"),9)</f>
        <v>9</v>
      </c>
      <c r="BA52" s="460">
        <f ca="1">IFERROR(__xludf.DUMMYFUNCTION("IFERROR(VLOOKUP(E81&amp;F81,IMPORTRANGE(""https://docs.google.com/spreadsheets/d/1Uw7-A9f9R21vMXxHZFNpYNeKFtG8_yji4HS352LGlSQ/edit?pli=1#gid=0"",""1_ACUM!A4:S""),14,FALSE))"),1)</f>
        <v>1</v>
      </c>
      <c r="BB52" s="460">
        <f ca="1">IFERROR(__xludf.DUMMYFUNCTION("IFERROR(VLOOKUP(E81&amp;F81,IMPORTRANGE(""https://docs.google.com/spreadsheets/d/1Uw7-A9f9R21vMXxHZFNpYNeKFtG8_yji4HS352LGlSQ/edit?pli=1#gid=0"",""1_ACUM!A4:S""),15,FALSE))"),15)</f>
        <v>15</v>
      </c>
      <c r="BC52" s="460">
        <f ca="1">IFERROR(__xludf.DUMMYFUNCTION("IFERROR(VLOOKUP(E81&amp;F81,IMPORTRANGE(""https://docs.google.com/spreadsheets/d/1Uw7-A9f9R21vMXxHZFNpYNeKFtG8_yji4HS352LGlSQ/edit?pli=1#gid=0"",""1_ACUM!A4:S""),16,FALSE))"),29)</f>
        <v>29</v>
      </c>
      <c r="BD52" s="460">
        <f ca="1">IFERROR(__xludf.DUMMYFUNCTION("IFERROR(VLOOKUP(E81&amp;F81,IMPORTRANGE(""https://docs.google.com/spreadsheets/d/1Uw7-A9f9R21vMXxHZFNpYNeKFtG8_yji4HS352LGlSQ/edit?pli=1#gid=0"",""1_ACUM!A4:S""),17,FALSE))"),54)</f>
        <v>54</v>
      </c>
      <c r="BE52" s="461">
        <f ca="1">IFERROR(__xludf.DUMMYFUNCTION("IFERROR(VLOOKUP(E81&amp;F81,IMPORTRANGE(""https://docs.google.com/spreadsheets/d/1Uw7-A9f9R21vMXxHZFNpYNeKFtG8_yji4HS352LGlSQ/edit?pli=1#gid=0"",""1_ACUM!A4:S""),18,FALSE))"),44183)</f>
        <v>44183</v>
      </c>
      <c r="BF52" s="461">
        <f ca="1">IFERROR(__xludf.DUMMYFUNCTION("IFERROR(VLOOKUP(E81&amp;F81,IMPORTRANGE(""https://docs.google.com/spreadsheets/d/1Uw7-A9f9R21vMXxHZFNpYNeKFtG8_yji4HS352LGlSQ/edit?pli=1#gid=0"",""1_ACUM!A4:S""),19,FALSE))"),44729)</f>
        <v>44729</v>
      </c>
      <c r="BG52" s="462">
        <f ca="1">IFERROR(__xludf.DUMMYFUNCTION("IFERROR(VLOOKUP(F81,IMPORTRANGE(""https://docs.google.com/spreadsheets/d/1Kvs4KS76FHFqLFIZfrDMff4kP08nblUkihrxltoGBjg/edit#gid=934712705"",""ESENCIAL!A6:BG""),5,FALSE))"),44912)</f>
        <v>44912</v>
      </c>
      <c r="BH52" s="462">
        <f t="shared" ca="1" si="5"/>
        <v>45460</v>
      </c>
      <c r="BI52" s="338" t="str">
        <f t="shared" ca="1" si="6"/>
        <v>FICHA EN TIEMPO-18 MESES</v>
      </c>
      <c r="BJ52" s="338" t="str">
        <f ca="1">IFERROR(__xludf.DUMMYFUNCTION("IFERROR(VLOOKUP(F81,IMPORTRANGE(""https://docs.google.com/spreadsheets/d/1Kvs4KS76FHFqLFIZfrDMff4kP08nblUkihrxltoGBjg/edit#gid=934712705"",""ESENCIAL!A6:BG""),2,FALSE))"),"En ejecucion")</f>
        <v>En ejecucion</v>
      </c>
      <c r="BK52" s="338" t="str">
        <f t="shared" si="7"/>
        <v>Yamboro</v>
      </c>
      <c r="BL52" s="38"/>
      <c r="BM52" s="38"/>
    </row>
    <row r="53" spans="1:65" ht="24">
      <c r="A53" s="164" t="s">
        <v>580</v>
      </c>
      <c r="B53" s="565"/>
      <c r="C53" s="534" t="s">
        <v>25</v>
      </c>
      <c r="D53" s="536" t="s">
        <v>747</v>
      </c>
      <c r="E53" s="217" t="s">
        <v>67</v>
      </c>
      <c r="F53" s="150">
        <v>1082772013</v>
      </c>
      <c r="G53" s="451">
        <v>2252407</v>
      </c>
      <c r="H53" s="338" t="str">
        <f ca="1">IFERROR(__xludf.DUMMYFUNCTION("IFERROR(VLOOKUP(F82,IMPORTRANGE(""https://docs.google.com/spreadsheets/d/1Kvs4KS76FHFqLFIZfrDMff4kP08nblUkihrxltoGBjg/edit#gid=934712705"",""ESENCIAL!A6:BG""),3,FALSE))"),"TECNÓLOGO")</f>
        <v>TECNÓLOGO</v>
      </c>
      <c r="I53" s="338" t="str">
        <f ca="1">IFERROR(__xludf.DUMMYFUNCTION("IFERROR(VLOOKUP(F82,IMPORTRANGE(""https://docs.google.com/spreadsheets/d/1Kvs4KS76FHFqLFIZfrDMff4kP08nblUkihrxltoGBjg/edit#gid=934712705"",""ESENCIAL!A6:BG""),8,FALSE))"),"ANALISIS Y DESARROLLO DE SISTEMAS DE INFORMACION")</f>
        <v>ANALISIS Y DESARROLLO DE SISTEMAS DE INFORMACION</v>
      </c>
      <c r="J53" s="451"/>
      <c r="K53" s="527"/>
      <c r="L53" s="527"/>
      <c r="M53" s="570" t="s">
        <v>44</v>
      </c>
      <c r="N53" s="527"/>
      <c r="O53" s="527"/>
      <c r="P53" s="527"/>
      <c r="Q53" s="527"/>
      <c r="R53" s="527"/>
      <c r="S53" s="525"/>
      <c r="T53" s="530"/>
      <c r="U53" s="527"/>
      <c r="V53" s="527" t="s">
        <v>734</v>
      </c>
      <c r="W53" s="527"/>
      <c r="X53" s="527"/>
      <c r="Y53" s="527"/>
      <c r="Z53" s="527"/>
      <c r="AA53" s="527"/>
      <c r="AB53" s="527"/>
      <c r="AC53" s="527"/>
      <c r="AD53" s="527"/>
      <c r="AE53" s="527"/>
      <c r="AF53" s="527"/>
      <c r="AG53" s="527"/>
      <c r="AH53" s="527"/>
      <c r="AI53" s="527"/>
      <c r="AJ53" s="527"/>
      <c r="AK53" s="527"/>
      <c r="AL53" s="527"/>
      <c r="AM53" s="527"/>
      <c r="AN53" s="527"/>
      <c r="AO53" s="527"/>
      <c r="AP53" s="527"/>
      <c r="AQ53" s="527"/>
      <c r="AR53" s="164"/>
      <c r="AS53" s="164"/>
      <c r="AT53" s="164"/>
      <c r="AU53" s="164"/>
      <c r="AV53" s="338" t="str">
        <f t="shared" ca="1" si="4"/>
        <v>NO_CUMPLE</v>
      </c>
      <c r="AW53" s="338" t="str">
        <f ca="1">IFERROR(__xludf.DUMMYFUNCTION("IFERROR(VLOOKUP(E82&amp;F82,IMPORTRANGE(""https://docs.google.com/spreadsheets/d/1Uw7-A9f9R21vMXxHZFNpYNeKFtG8_yji4HS352LGlSQ/edit?pli=1#gid=0"",""1_ACUM!A4:S""),11,FALSE))"),"EN FORMACION")</f>
        <v>EN FORMACION</v>
      </c>
      <c r="AX53" s="462" t="str">
        <f ca="1">IFERROR(__xludf.DUMMYFUNCTION("IFERROR(VLOOKUP(F82,IMPORTRANGE(""https://docs.google.com/spreadsheets/d/1Kvs4KS76FHFqLFIZfrDMff4kP08nblUkihrxltoGBjg/edit#gid=934712705"",""ESENCIAL!A6:BG""),15,FALSE))"),"TIC")</f>
        <v>TIC</v>
      </c>
      <c r="AY53" s="461">
        <f ca="1">IFERROR(__xludf.DUMMYFUNCTION("IFERROR(VLOOKUP(E82&amp;F82,IMPORTRANGE(""https://docs.google.com/spreadsheets/d/1Uw7-A9f9R21vMXxHZFNpYNeKFtG8_yji4HS352LGlSQ/edit?pli=1#gid=0"",""1_ACUM!A4:S""),13,FALSE))"),14)</f>
        <v>14</v>
      </c>
      <c r="AZ53" s="460">
        <f ca="1">IFERROR(__xludf.DUMMYFUNCTION("IFERROR(VLOOKUP(E82&amp;F82,IMPORTRANGE(""https://docs.google.com/spreadsheets/d/1Uw7-A9f9R21vMXxHZFNpYNeKFtG8_yji4HS352LGlSQ/edit?pli=1#gid=0"",""1_ACUM!A4:S""),13,FALSE))"),14)</f>
        <v>14</v>
      </c>
      <c r="BA53" s="460">
        <f ca="1">IFERROR(__xludf.DUMMYFUNCTION("IFERROR(VLOOKUP(E82&amp;F82,IMPORTRANGE(""https://docs.google.com/spreadsheets/d/1Uw7-A9f9R21vMXxHZFNpYNeKFtG8_yji4HS352LGlSQ/edit?pli=1#gid=0"",""1_ACUM!A4:S""),14,FALSE))"),1)</f>
        <v>1</v>
      </c>
      <c r="BB53" s="460">
        <f ca="1">IFERROR(__xludf.DUMMYFUNCTION("IFERROR(VLOOKUP(E82&amp;F82,IMPORTRANGE(""https://docs.google.com/spreadsheets/d/1Uw7-A9f9R21vMXxHZFNpYNeKFtG8_yji4HS352LGlSQ/edit?pli=1#gid=0"",""1_ACUM!A4:S""),15,FALSE))"),15)</f>
        <v>15</v>
      </c>
      <c r="BC53" s="460">
        <f ca="1">IFERROR(__xludf.DUMMYFUNCTION("IFERROR(VLOOKUP(E82&amp;F82,IMPORTRANGE(""https://docs.google.com/spreadsheets/d/1Uw7-A9f9R21vMXxHZFNpYNeKFtG8_yji4HS352LGlSQ/edit?pli=1#gid=0"",""1_ACUM!A4:S""),16,FALSE))"),33)</f>
        <v>33</v>
      </c>
      <c r="BD53" s="460">
        <f ca="1">IFERROR(__xludf.DUMMYFUNCTION("IFERROR(VLOOKUP(E82&amp;F82,IMPORTRANGE(""https://docs.google.com/spreadsheets/d/1Uw7-A9f9R21vMXxHZFNpYNeKFtG8_yji4HS352LGlSQ/edit?pli=1#gid=0"",""1_ACUM!A4:S""),17,FALSE))"),63)</f>
        <v>63</v>
      </c>
      <c r="BE53" s="461">
        <f ca="1">IFERROR(__xludf.DUMMYFUNCTION("IFERROR(VLOOKUP(E82&amp;F82,IMPORTRANGE(""https://docs.google.com/spreadsheets/d/1Uw7-A9f9R21vMXxHZFNpYNeKFtG8_yji4HS352LGlSQ/edit?pli=1#gid=0"",""1_ACUM!A4:S""),18,FALSE))"),44183)</f>
        <v>44183</v>
      </c>
      <c r="BF53" s="461">
        <f ca="1">IFERROR(__xludf.DUMMYFUNCTION("IFERROR(VLOOKUP(E82&amp;F82,IMPORTRANGE(""https://docs.google.com/spreadsheets/d/1Uw7-A9f9R21vMXxHZFNpYNeKFtG8_yji4HS352LGlSQ/edit?pli=1#gid=0"",""1_ACUM!A4:S""),19,FALSE))"),44729)</f>
        <v>44729</v>
      </c>
      <c r="BG53" s="462">
        <f ca="1">IFERROR(__xludf.DUMMYFUNCTION("IFERROR(VLOOKUP(F82,IMPORTRANGE(""https://docs.google.com/spreadsheets/d/1Kvs4KS76FHFqLFIZfrDMff4kP08nblUkihrxltoGBjg/edit#gid=934712705"",""ESENCIAL!A6:BG""),5,FALSE))"),44912)</f>
        <v>44912</v>
      </c>
      <c r="BH53" s="462">
        <f t="shared" ca="1" si="5"/>
        <v>45460</v>
      </c>
      <c r="BI53" s="338" t="str">
        <f t="shared" ca="1" si="6"/>
        <v>FICHA EN TIEMPO-18 MESES</v>
      </c>
      <c r="BJ53" s="338" t="str">
        <f ca="1">IFERROR(__xludf.DUMMYFUNCTION("IFERROR(VLOOKUP(F82,IMPORTRANGE(""https://docs.google.com/spreadsheets/d/1Kvs4KS76FHFqLFIZfrDMff4kP08nblUkihrxltoGBjg/edit#gid=934712705"",""ESENCIAL!A6:BG""),2,FALSE))"),"En ejecucion")</f>
        <v>En ejecucion</v>
      </c>
      <c r="BK53" s="338" t="str">
        <f t="shared" si="7"/>
        <v>Yamboro</v>
      </c>
      <c r="BL53" s="38"/>
      <c r="BM53" s="38"/>
    </row>
    <row r="54" spans="1:65" ht="24">
      <c r="A54" s="164" t="s">
        <v>580</v>
      </c>
      <c r="B54" s="565"/>
      <c r="C54" s="534" t="s">
        <v>25</v>
      </c>
      <c r="D54" s="536" t="s">
        <v>748</v>
      </c>
      <c r="E54" s="217" t="s">
        <v>27</v>
      </c>
      <c r="F54" s="150">
        <v>1083864069</v>
      </c>
      <c r="G54" s="451">
        <v>2252407</v>
      </c>
      <c r="H54" s="338" t="str">
        <f ca="1">IFERROR(__xludf.DUMMYFUNCTION("IFERROR(VLOOKUP(F83,IMPORTRANGE(""https://docs.google.com/spreadsheets/d/1Kvs4KS76FHFqLFIZfrDMff4kP08nblUkihrxltoGBjg/edit#gid=934712705"",""ESENCIAL!A6:BG""),3,FALSE))"),"TECNÓLOGO")</f>
        <v>TECNÓLOGO</v>
      </c>
      <c r="I54" s="338" t="str">
        <f ca="1">IFERROR(__xludf.DUMMYFUNCTION("IFERROR(VLOOKUP(F83,IMPORTRANGE(""https://docs.google.com/spreadsheets/d/1Kvs4KS76FHFqLFIZfrDMff4kP08nblUkihrxltoGBjg/edit#gid=934712705"",""ESENCIAL!A6:BG""),8,FALSE))"),"ANALISIS Y DESARROLLO DE SISTEMAS DE INFORMACION")</f>
        <v>ANALISIS Y DESARROLLO DE SISTEMAS DE INFORMACION</v>
      </c>
      <c r="J54" s="451"/>
      <c r="K54" s="527">
        <v>3144184632</v>
      </c>
      <c r="L54" s="527" t="s">
        <v>749</v>
      </c>
      <c r="M54" s="568" t="s">
        <v>750</v>
      </c>
      <c r="N54" s="527" t="s">
        <v>751</v>
      </c>
      <c r="O54" s="527"/>
      <c r="P54" s="527"/>
      <c r="Q54" s="527"/>
      <c r="R54" s="527"/>
      <c r="S54" s="525">
        <v>44788</v>
      </c>
      <c r="T54" s="530">
        <v>44972</v>
      </c>
      <c r="U54" s="208" t="s">
        <v>752</v>
      </c>
      <c r="V54" s="527" t="s">
        <v>734</v>
      </c>
      <c r="W54" s="527" t="s">
        <v>753</v>
      </c>
      <c r="X54" s="527"/>
      <c r="Y54" s="527"/>
      <c r="Z54" s="527"/>
      <c r="AA54" s="527"/>
      <c r="AB54" s="527"/>
      <c r="AC54" s="527"/>
      <c r="AD54" s="527"/>
      <c r="AE54" s="527"/>
      <c r="AF54" s="527"/>
      <c r="AG54" s="527"/>
      <c r="AH54" s="527"/>
      <c r="AI54" s="527"/>
      <c r="AJ54" s="527"/>
      <c r="AK54" s="527"/>
      <c r="AL54" s="527"/>
      <c r="AM54" s="527"/>
      <c r="AN54" s="527"/>
      <c r="AO54" s="527"/>
      <c r="AP54" s="463" t="s">
        <v>754</v>
      </c>
      <c r="AQ54" s="463" t="s">
        <v>755</v>
      </c>
      <c r="AR54" s="164"/>
      <c r="AS54" s="164"/>
      <c r="AT54" s="164"/>
      <c r="AU54" s="164"/>
      <c r="AV54" s="338" t="str">
        <f t="shared" ca="1" si="4"/>
        <v>Procede_E_P</v>
      </c>
      <c r="AW54" s="338" t="str">
        <f ca="1">IFERROR(__xludf.DUMMYFUNCTION("IFERROR(VLOOKUP(E83&amp;F83,IMPORTRANGE(""https://docs.google.com/spreadsheets/d/1Uw7-A9f9R21vMXxHZFNpYNeKFtG8_yji4HS352LGlSQ/edit?pli=1#gid=0"",""1_ACUM!A4:S""),11,FALSE))"),"EN FORMACION")</f>
        <v>EN FORMACION</v>
      </c>
      <c r="AX54" s="462" t="str">
        <f ca="1">IFERROR(__xludf.DUMMYFUNCTION("IFERROR(VLOOKUP(F83,IMPORTRANGE(""https://docs.google.com/spreadsheets/d/1Kvs4KS76FHFqLFIZfrDMff4kP08nblUkihrxltoGBjg/edit#gid=934712705"",""ESENCIAL!A6:BG""),15,FALSE))"),"TIC")</f>
        <v>TIC</v>
      </c>
      <c r="AY54" s="461">
        <f ca="1">IFERROR(__xludf.DUMMYFUNCTION("IFERROR(VLOOKUP(E83&amp;F83,IMPORTRANGE(""https://docs.google.com/spreadsheets/d/1Uw7-A9f9R21vMXxHZFNpYNeKFtG8_yji4HS352LGlSQ/edit?pli=1#gid=0"",""1_ACUM!A4:S""),13,FALSE))"),0)</f>
        <v>0</v>
      </c>
      <c r="AZ54" s="460">
        <f ca="1">IFERROR(__xludf.DUMMYFUNCTION("IFERROR(VLOOKUP(E83&amp;F83,IMPORTRANGE(""https://docs.google.com/spreadsheets/d/1Uw7-A9f9R21vMXxHZFNpYNeKFtG8_yji4HS352LGlSQ/edit?pli=1#gid=0"",""1_ACUM!A4:S""),13,FALSE))"),0)</f>
        <v>0</v>
      </c>
      <c r="BA54" s="460">
        <f ca="1">IFERROR(__xludf.DUMMYFUNCTION("IFERROR(VLOOKUP(E83&amp;F83,IMPORTRANGE(""https://docs.google.com/spreadsheets/d/1Uw7-A9f9R21vMXxHZFNpYNeKFtG8_yji4HS352LGlSQ/edit?pli=1#gid=0"",""1_ACUM!A4:S""),14,FALSE))"),1)</f>
        <v>1</v>
      </c>
      <c r="BB54" s="460">
        <f ca="1">IFERROR(__xludf.DUMMYFUNCTION("IFERROR(VLOOKUP(E83&amp;F83,IMPORTRANGE(""https://docs.google.com/spreadsheets/d/1Uw7-A9f9R21vMXxHZFNpYNeKFtG8_yji4HS352LGlSQ/edit?pli=1#gid=0"",""1_ACUM!A4:S""),15,FALSE))"),0)</f>
        <v>0</v>
      </c>
      <c r="BC54" s="460">
        <f ca="1">IFERROR(__xludf.DUMMYFUNCTION("IFERROR(VLOOKUP(E83&amp;F83,IMPORTRANGE(""https://docs.google.com/spreadsheets/d/1Uw7-A9f9R21vMXxHZFNpYNeKFtG8_yji4HS352LGlSQ/edit?pli=1#gid=0"",""1_ACUM!A4:S""),16,FALSE))"),0)</f>
        <v>0</v>
      </c>
      <c r="BD54" s="460">
        <f ca="1">IFERROR(__xludf.DUMMYFUNCTION("IFERROR(VLOOKUP(E83&amp;F83,IMPORTRANGE(""https://docs.google.com/spreadsheets/d/1Uw7-A9f9R21vMXxHZFNpYNeKFtG8_yji4HS352LGlSQ/edit?pli=1#gid=0"",""1_ACUM!A4:S""),17,FALSE))"),1)</f>
        <v>1</v>
      </c>
      <c r="BE54" s="461">
        <f ca="1">IFERROR(__xludf.DUMMYFUNCTION("IFERROR(VLOOKUP(E83&amp;F83,IMPORTRANGE(""https://docs.google.com/spreadsheets/d/1Uw7-A9f9R21vMXxHZFNpYNeKFtG8_yji4HS352LGlSQ/edit?pli=1#gid=0"",""1_ACUM!A4:S""),18,FALSE))"),44183)</f>
        <v>44183</v>
      </c>
      <c r="BF54" s="461">
        <f ca="1">IFERROR(__xludf.DUMMYFUNCTION("IFERROR(VLOOKUP(E83&amp;F83,IMPORTRANGE(""https://docs.google.com/spreadsheets/d/1Uw7-A9f9R21vMXxHZFNpYNeKFtG8_yji4HS352LGlSQ/edit?pli=1#gid=0"",""1_ACUM!A4:S""),19,FALSE))"),44729)</f>
        <v>44729</v>
      </c>
      <c r="BG54" s="462">
        <f ca="1">IFERROR(__xludf.DUMMYFUNCTION("IFERROR(VLOOKUP(F83,IMPORTRANGE(""https://docs.google.com/spreadsheets/d/1Kvs4KS76FHFqLFIZfrDMff4kP08nblUkihrxltoGBjg/edit#gid=934712705"",""ESENCIAL!A6:BG""),5,FALSE))"),44912)</f>
        <v>44912</v>
      </c>
      <c r="BH54" s="462">
        <f t="shared" ca="1" si="5"/>
        <v>45460</v>
      </c>
      <c r="BI54" s="338" t="str">
        <f t="shared" ca="1" si="6"/>
        <v>FICHA EN TIEMPO-18 MESES</v>
      </c>
      <c r="BJ54" s="338" t="str">
        <f ca="1">IFERROR(__xludf.DUMMYFUNCTION("IFERROR(VLOOKUP(F83,IMPORTRANGE(""https://docs.google.com/spreadsheets/d/1Kvs4KS76FHFqLFIZfrDMff4kP08nblUkihrxltoGBjg/edit#gid=934712705"",""ESENCIAL!A6:BG""),2,FALSE))"),"En ejecucion")</f>
        <v>En ejecucion</v>
      </c>
      <c r="BK54" s="338" t="str">
        <f t="shared" si="7"/>
        <v>Yamboro</v>
      </c>
      <c r="BL54" s="38"/>
      <c r="BM54" s="38"/>
    </row>
    <row r="55" spans="1:65" ht="24">
      <c r="A55" s="164" t="s">
        <v>580</v>
      </c>
      <c r="B55" s="565"/>
      <c r="C55" s="534" t="s">
        <v>25</v>
      </c>
      <c r="D55" s="536" t="s">
        <v>756</v>
      </c>
      <c r="E55" s="217" t="s">
        <v>67</v>
      </c>
      <c r="F55" s="150">
        <v>1096006026</v>
      </c>
      <c r="G55" s="451">
        <v>2252407</v>
      </c>
      <c r="H55" s="338" t="str">
        <f ca="1">IFERROR(__xludf.DUMMYFUNCTION("IFERROR(VLOOKUP(F84,IMPORTRANGE(""https://docs.google.com/spreadsheets/d/1Kvs4KS76FHFqLFIZfrDMff4kP08nblUkihrxltoGBjg/edit#gid=934712705"",""ESENCIAL!A6:BG""),3,FALSE))"),"TECNÓLOGO")</f>
        <v>TECNÓLOGO</v>
      </c>
      <c r="I55" s="338" t="str">
        <f ca="1">IFERROR(__xludf.DUMMYFUNCTION("IFERROR(VLOOKUP(F84,IMPORTRANGE(""https://docs.google.com/spreadsheets/d/1Kvs4KS76FHFqLFIZfrDMff4kP08nblUkihrxltoGBjg/edit#gid=934712705"",""ESENCIAL!A6:BG""),8,FALSE))"),"ANALISIS Y DESARROLLO DE SISTEMAS DE INFORMACION")</f>
        <v>ANALISIS Y DESARROLLO DE SISTEMAS DE INFORMACION</v>
      </c>
      <c r="J55" s="451"/>
      <c r="K55" s="527"/>
      <c r="L55" s="527"/>
      <c r="M55" s="570" t="s">
        <v>44</v>
      </c>
      <c r="N55" s="527"/>
      <c r="O55" s="527"/>
      <c r="P55" s="527"/>
      <c r="Q55" s="527"/>
      <c r="R55" s="527"/>
      <c r="S55" s="525"/>
      <c r="T55" s="530"/>
      <c r="U55" s="527"/>
      <c r="V55" s="527" t="s">
        <v>734</v>
      </c>
      <c r="W55" s="527"/>
      <c r="X55" s="527"/>
      <c r="Y55" s="527"/>
      <c r="Z55" s="527"/>
      <c r="AA55" s="527"/>
      <c r="AB55" s="527"/>
      <c r="AC55" s="527"/>
      <c r="AD55" s="527"/>
      <c r="AE55" s="527"/>
      <c r="AF55" s="527"/>
      <c r="AG55" s="527"/>
      <c r="AH55" s="527"/>
      <c r="AI55" s="527"/>
      <c r="AJ55" s="527"/>
      <c r="AK55" s="527"/>
      <c r="AL55" s="527"/>
      <c r="AM55" s="527"/>
      <c r="AN55" s="527"/>
      <c r="AO55" s="527"/>
      <c r="AP55" s="527"/>
      <c r="AQ55" s="527"/>
      <c r="AR55" s="164"/>
      <c r="AS55" s="164"/>
      <c r="AT55" s="164"/>
      <c r="AU55" s="164"/>
      <c r="AV55" s="338" t="str">
        <f t="shared" ca="1" si="4"/>
        <v>NO_CUMPLE</v>
      </c>
      <c r="AW55" s="338" t="str">
        <f ca="1">IFERROR(__xludf.DUMMYFUNCTION("IFERROR(VLOOKUP(E84&amp;F84,IMPORTRANGE(""https://docs.google.com/spreadsheets/d/1Uw7-A9f9R21vMXxHZFNpYNeKFtG8_yji4HS352LGlSQ/edit?pli=1#gid=0"",""1_ACUM!A4:S""),11,FALSE))"),"EN FORMACION")</f>
        <v>EN FORMACION</v>
      </c>
      <c r="AX55" s="462" t="str">
        <f ca="1">IFERROR(__xludf.DUMMYFUNCTION("IFERROR(VLOOKUP(F84,IMPORTRANGE(""https://docs.google.com/spreadsheets/d/1Kvs4KS76FHFqLFIZfrDMff4kP08nblUkihrxltoGBjg/edit#gid=934712705"",""ESENCIAL!A6:BG""),15,FALSE))"),"TIC")</f>
        <v>TIC</v>
      </c>
      <c r="AY55" s="461">
        <f ca="1">IFERROR(__xludf.DUMMYFUNCTION("IFERROR(VLOOKUP(E84&amp;F84,IMPORTRANGE(""https://docs.google.com/spreadsheets/d/1Uw7-A9f9R21vMXxHZFNpYNeKFtG8_yji4HS352LGlSQ/edit?pli=1#gid=0"",""1_ACUM!A4:S""),13,FALSE))"),9)</f>
        <v>9</v>
      </c>
      <c r="AZ55" s="460">
        <f ca="1">IFERROR(__xludf.DUMMYFUNCTION("IFERROR(VLOOKUP(E84&amp;F84,IMPORTRANGE(""https://docs.google.com/spreadsheets/d/1Uw7-A9f9R21vMXxHZFNpYNeKFtG8_yji4HS352LGlSQ/edit?pli=1#gid=0"",""1_ACUM!A4:S""),13,FALSE))"),9)</f>
        <v>9</v>
      </c>
      <c r="BA55" s="460">
        <f ca="1">IFERROR(__xludf.DUMMYFUNCTION("IFERROR(VLOOKUP(E84&amp;F84,IMPORTRANGE(""https://docs.google.com/spreadsheets/d/1Uw7-A9f9R21vMXxHZFNpYNeKFtG8_yji4HS352LGlSQ/edit?pli=1#gid=0"",""1_ACUM!A4:S""),14,FALSE))"),1)</f>
        <v>1</v>
      </c>
      <c r="BB55" s="460">
        <f ca="1">IFERROR(__xludf.DUMMYFUNCTION("IFERROR(VLOOKUP(E84&amp;F84,IMPORTRANGE(""https://docs.google.com/spreadsheets/d/1Uw7-A9f9R21vMXxHZFNpYNeKFtG8_yji4HS352LGlSQ/edit?pli=1#gid=0"",""1_ACUM!A4:S""),15,FALSE))"),15)</f>
        <v>15</v>
      </c>
      <c r="BC55" s="460">
        <f ca="1">IFERROR(__xludf.DUMMYFUNCTION("IFERROR(VLOOKUP(E84&amp;F84,IMPORTRANGE(""https://docs.google.com/spreadsheets/d/1Uw7-A9f9R21vMXxHZFNpYNeKFtG8_yji4HS352LGlSQ/edit?pli=1#gid=0"",""1_ACUM!A4:S""),16,FALSE))"),34)</f>
        <v>34</v>
      </c>
      <c r="BD55" s="460">
        <f ca="1">IFERROR(__xludf.DUMMYFUNCTION("IFERROR(VLOOKUP(E84&amp;F84,IMPORTRANGE(""https://docs.google.com/spreadsheets/d/1Uw7-A9f9R21vMXxHZFNpYNeKFtG8_yji4HS352LGlSQ/edit?pli=1#gid=0"",""1_ACUM!A4:S""),17,FALSE))"),59)</f>
        <v>59</v>
      </c>
      <c r="BE55" s="461">
        <f ca="1">IFERROR(__xludf.DUMMYFUNCTION("IFERROR(VLOOKUP(E84&amp;F84,IMPORTRANGE(""https://docs.google.com/spreadsheets/d/1Uw7-A9f9R21vMXxHZFNpYNeKFtG8_yji4HS352LGlSQ/edit?pli=1#gid=0"",""1_ACUM!A4:S""),18,FALSE))"),44183)</f>
        <v>44183</v>
      </c>
      <c r="BF55" s="461">
        <f ca="1">IFERROR(__xludf.DUMMYFUNCTION("IFERROR(VLOOKUP(E84&amp;F84,IMPORTRANGE(""https://docs.google.com/spreadsheets/d/1Uw7-A9f9R21vMXxHZFNpYNeKFtG8_yji4HS352LGlSQ/edit?pli=1#gid=0"",""1_ACUM!A4:S""),19,FALSE))"),44729)</f>
        <v>44729</v>
      </c>
      <c r="BG55" s="462">
        <f ca="1">IFERROR(__xludf.DUMMYFUNCTION("IFERROR(VLOOKUP(F84,IMPORTRANGE(""https://docs.google.com/spreadsheets/d/1Kvs4KS76FHFqLFIZfrDMff4kP08nblUkihrxltoGBjg/edit#gid=934712705"",""ESENCIAL!A6:BG""),5,FALSE))"),44912)</f>
        <v>44912</v>
      </c>
      <c r="BH55" s="462">
        <f t="shared" ca="1" si="5"/>
        <v>45460</v>
      </c>
      <c r="BI55" s="338" t="str">
        <f t="shared" ca="1" si="6"/>
        <v>FICHA EN TIEMPO-18 MESES</v>
      </c>
      <c r="BJ55" s="338" t="str">
        <f ca="1">IFERROR(__xludf.DUMMYFUNCTION("IFERROR(VLOOKUP(F84,IMPORTRANGE(""https://docs.google.com/spreadsheets/d/1Kvs4KS76FHFqLFIZfrDMff4kP08nblUkihrxltoGBjg/edit#gid=934712705"",""ESENCIAL!A6:BG""),2,FALSE))"),"En ejecucion")</f>
        <v>En ejecucion</v>
      </c>
      <c r="BK55" s="338" t="str">
        <f t="shared" si="7"/>
        <v>Yamboro</v>
      </c>
      <c r="BL55" s="38"/>
      <c r="BM55" s="38"/>
    </row>
    <row r="56" spans="1:65" ht="24">
      <c r="A56" s="164" t="s">
        <v>580</v>
      </c>
      <c r="B56" s="565"/>
      <c r="C56" s="534" t="s">
        <v>25</v>
      </c>
      <c r="D56" s="148" t="s">
        <v>757</v>
      </c>
      <c r="E56" s="217" t="s">
        <v>27</v>
      </c>
      <c r="F56" s="149">
        <v>1004419254</v>
      </c>
      <c r="G56" s="451">
        <v>2252407</v>
      </c>
      <c r="H56" s="338" t="str">
        <f ca="1">IFERROR(__xludf.DUMMYFUNCTION("IFERROR(VLOOKUP(F85,IMPORTRANGE(""https://docs.google.com/spreadsheets/d/1Kvs4KS76FHFqLFIZfrDMff4kP08nblUkihrxltoGBjg/edit#gid=934712705"",""ESENCIAL!A6:BG""),3,FALSE))"),"TECNÓLOGO")</f>
        <v>TECNÓLOGO</v>
      </c>
      <c r="I56" s="338" t="str">
        <f ca="1">IFERROR(__xludf.DUMMYFUNCTION("IFERROR(VLOOKUP(F85,IMPORTRANGE(""https://docs.google.com/spreadsheets/d/1Kvs4KS76FHFqLFIZfrDMff4kP08nblUkihrxltoGBjg/edit#gid=934712705"",""ESENCIAL!A6:BG""),8,FALSE))"),"ANALISIS Y DESARROLLO DE SISTEMAS DE INFORMACION")</f>
        <v>ANALISIS Y DESARROLLO DE SISTEMAS DE INFORMACION</v>
      </c>
      <c r="J56" s="451"/>
      <c r="K56" s="527">
        <v>3508318842</v>
      </c>
      <c r="L56" s="527" t="s">
        <v>758</v>
      </c>
      <c r="M56" s="568" t="s">
        <v>750</v>
      </c>
      <c r="N56" s="527" t="s">
        <v>759</v>
      </c>
      <c r="O56" s="527"/>
      <c r="P56" s="527"/>
      <c r="Q56" s="527"/>
      <c r="R56" s="527"/>
      <c r="S56" s="525">
        <v>44788</v>
      </c>
      <c r="T56" s="530">
        <v>44972</v>
      </c>
      <c r="U56" s="208" t="s">
        <v>760</v>
      </c>
      <c r="V56" s="527" t="s">
        <v>734</v>
      </c>
      <c r="W56" s="527" t="s">
        <v>753</v>
      </c>
      <c r="X56" s="527"/>
      <c r="Y56" s="527"/>
      <c r="Z56" s="527"/>
      <c r="AA56" s="527"/>
      <c r="AB56" s="527"/>
      <c r="AC56" s="527"/>
      <c r="AD56" s="527"/>
      <c r="AE56" s="527"/>
      <c r="AF56" s="527"/>
      <c r="AG56" s="527"/>
      <c r="AH56" s="527"/>
      <c r="AI56" s="527"/>
      <c r="AJ56" s="527"/>
      <c r="AK56" s="527"/>
      <c r="AL56" s="527"/>
      <c r="AM56" s="527"/>
      <c r="AN56" s="527"/>
      <c r="AO56" s="527"/>
      <c r="AP56" s="463" t="s">
        <v>761</v>
      </c>
      <c r="AQ56" s="463" t="s">
        <v>755</v>
      </c>
      <c r="AR56" s="164"/>
      <c r="AS56" s="164"/>
      <c r="AT56" s="164"/>
      <c r="AU56" s="164"/>
      <c r="AV56" s="338" t="str">
        <f t="shared" ca="1" si="4"/>
        <v>Procede_E_P</v>
      </c>
      <c r="AW56" s="338" t="str">
        <f ca="1">IFERROR(__xludf.DUMMYFUNCTION("IFERROR(VLOOKUP(E85&amp;F85,IMPORTRANGE(""https://docs.google.com/spreadsheets/d/1Uw7-A9f9R21vMXxHZFNpYNeKFtG8_yji4HS352LGlSQ/edit?pli=1#gid=0"",""1_ACUM!A4:S""),11,FALSE))"),"EN FORMACION")</f>
        <v>EN FORMACION</v>
      </c>
      <c r="AX56" s="462" t="str">
        <f ca="1">IFERROR(__xludf.DUMMYFUNCTION("IFERROR(VLOOKUP(F85,IMPORTRANGE(""https://docs.google.com/spreadsheets/d/1Kvs4KS76FHFqLFIZfrDMff4kP08nblUkihrxltoGBjg/edit#gid=934712705"",""ESENCIAL!A6:BG""),15,FALSE))"),"TIC")</f>
        <v>TIC</v>
      </c>
      <c r="AY56" s="461">
        <f ca="1">IFERROR(__xludf.DUMMYFUNCTION("IFERROR(VLOOKUP(E85&amp;F85,IMPORTRANGE(""https://docs.google.com/spreadsheets/d/1Uw7-A9f9R21vMXxHZFNpYNeKFtG8_yji4HS352LGlSQ/edit?pli=1#gid=0"",""1_ACUM!A4:S""),13,FALSE))"),0)</f>
        <v>0</v>
      </c>
      <c r="AZ56" s="460">
        <f ca="1">IFERROR(__xludf.DUMMYFUNCTION("IFERROR(VLOOKUP(E85&amp;F85,IMPORTRANGE(""https://docs.google.com/spreadsheets/d/1Uw7-A9f9R21vMXxHZFNpYNeKFtG8_yji4HS352LGlSQ/edit?pli=1#gid=0"",""1_ACUM!A4:S""),13,FALSE))"),0)</f>
        <v>0</v>
      </c>
      <c r="BA56" s="460">
        <f ca="1">IFERROR(__xludf.DUMMYFUNCTION("IFERROR(VLOOKUP(E85&amp;F85,IMPORTRANGE(""https://docs.google.com/spreadsheets/d/1Uw7-A9f9R21vMXxHZFNpYNeKFtG8_yji4HS352LGlSQ/edit?pli=1#gid=0"",""1_ACUM!A4:S""),14,FALSE))"),1)</f>
        <v>1</v>
      </c>
      <c r="BB56" s="460">
        <f ca="1">IFERROR(__xludf.DUMMYFUNCTION("IFERROR(VLOOKUP(E85&amp;F85,IMPORTRANGE(""https://docs.google.com/spreadsheets/d/1Uw7-A9f9R21vMXxHZFNpYNeKFtG8_yji4HS352LGlSQ/edit?pli=1#gid=0"",""1_ACUM!A4:S""),15,FALSE))"),0)</f>
        <v>0</v>
      </c>
      <c r="BC56" s="460">
        <f ca="1">IFERROR(__xludf.DUMMYFUNCTION("IFERROR(VLOOKUP(E85&amp;F85,IMPORTRANGE(""https://docs.google.com/spreadsheets/d/1Uw7-A9f9R21vMXxHZFNpYNeKFtG8_yji4HS352LGlSQ/edit?pli=1#gid=0"",""1_ACUM!A4:S""),16,FALSE))"),0)</f>
        <v>0</v>
      </c>
      <c r="BD56" s="460">
        <f ca="1">IFERROR(__xludf.DUMMYFUNCTION("IFERROR(VLOOKUP(E85&amp;F85,IMPORTRANGE(""https://docs.google.com/spreadsheets/d/1Uw7-A9f9R21vMXxHZFNpYNeKFtG8_yji4HS352LGlSQ/edit?pli=1#gid=0"",""1_ACUM!A4:S""),17,FALSE))"),1)</f>
        <v>1</v>
      </c>
      <c r="BE56" s="461">
        <f ca="1">IFERROR(__xludf.DUMMYFUNCTION("IFERROR(VLOOKUP(E85&amp;F85,IMPORTRANGE(""https://docs.google.com/spreadsheets/d/1Uw7-A9f9R21vMXxHZFNpYNeKFtG8_yji4HS352LGlSQ/edit?pli=1#gid=0"",""1_ACUM!A4:S""),18,FALSE))"),44183)</f>
        <v>44183</v>
      </c>
      <c r="BF56" s="461">
        <f ca="1">IFERROR(__xludf.DUMMYFUNCTION("IFERROR(VLOOKUP(E85&amp;F85,IMPORTRANGE(""https://docs.google.com/spreadsheets/d/1Uw7-A9f9R21vMXxHZFNpYNeKFtG8_yji4HS352LGlSQ/edit?pli=1#gid=0"",""1_ACUM!A4:S""),19,FALSE))"),44729)</f>
        <v>44729</v>
      </c>
      <c r="BG56" s="462">
        <f ca="1">IFERROR(__xludf.DUMMYFUNCTION("IFERROR(VLOOKUP(F85,IMPORTRANGE(""https://docs.google.com/spreadsheets/d/1Kvs4KS76FHFqLFIZfrDMff4kP08nblUkihrxltoGBjg/edit#gid=934712705"",""ESENCIAL!A6:BG""),5,FALSE))"),44912)</f>
        <v>44912</v>
      </c>
      <c r="BH56" s="462">
        <f t="shared" ca="1" si="5"/>
        <v>45460</v>
      </c>
      <c r="BI56" s="338" t="str">
        <f t="shared" ca="1" si="6"/>
        <v>FICHA EN TIEMPO-18 MESES</v>
      </c>
      <c r="BJ56" s="338" t="str">
        <f ca="1">IFERROR(__xludf.DUMMYFUNCTION("IFERROR(VLOOKUP(F85,IMPORTRANGE(""https://docs.google.com/spreadsheets/d/1Kvs4KS76FHFqLFIZfrDMff4kP08nblUkihrxltoGBjg/edit#gid=934712705"",""ESENCIAL!A6:BG""),2,FALSE))"),"En ejecucion")</f>
        <v>En ejecucion</v>
      </c>
      <c r="BK56" s="338" t="str">
        <f t="shared" si="7"/>
        <v>Yamboro</v>
      </c>
      <c r="BL56" s="38"/>
      <c r="BM56" s="38"/>
    </row>
    <row r="57" spans="1:65" ht="24">
      <c r="A57" s="533" t="s">
        <v>762</v>
      </c>
      <c r="B57" s="565"/>
      <c r="C57" s="534" t="s">
        <v>25</v>
      </c>
      <c r="D57" s="148" t="s">
        <v>763</v>
      </c>
      <c r="E57" s="217" t="s">
        <v>27</v>
      </c>
      <c r="F57" s="149">
        <v>1007163272</v>
      </c>
      <c r="G57" s="451">
        <v>2252407</v>
      </c>
      <c r="H57" s="338" t="str">
        <f ca="1">IFERROR(__xludf.DUMMYFUNCTION("IFERROR(VLOOKUP(F86,IMPORTRANGE(""https://docs.google.com/spreadsheets/d/1Kvs4KS76FHFqLFIZfrDMff4kP08nblUkihrxltoGBjg/edit#gid=934712705"",""ESENCIAL!A6:BG""),3,FALSE))"),"TECNÓLOGO")</f>
        <v>TECNÓLOGO</v>
      </c>
      <c r="I57" s="338" t="str">
        <f ca="1">IFERROR(__xludf.DUMMYFUNCTION("IFERROR(VLOOKUP(F86,IMPORTRANGE(""https://docs.google.com/spreadsheets/d/1Kvs4KS76FHFqLFIZfrDMff4kP08nblUkihrxltoGBjg/edit#gid=934712705"",""ESENCIAL!A6:BG""),8,FALSE))"),"ANALISIS Y DESARROLLO DE SISTEMAS DE INFORMACION")</f>
        <v>ANALISIS Y DESARROLLO DE SISTEMAS DE INFORMACION</v>
      </c>
      <c r="J57" s="451"/>
      <c r="K57" s="527" t="s">
        <v>764</v>
      </c>
      <c r="L57" s="527" t="s">
        <v>765</v>
      </c>
      <c r="M57" s="568" t="s">
        <v>750</v>
      </c>
      <c r="N57" s="527" t="s">
        <v>766</v>
      </c>
      <c r="O57" s="527"/>
      <c r="P57" s="527"/>
      <c r="Q57" s="527"/>
      <c r="R57" s="527"/>
      <c r="S57" s="525">
        <v>44788</v>
      </c>
      <c r="T57" s="530">
        <v>44972</v>
      </c>
      <c r="U57" s="208" t="s">
        <v>760</v>
      </c>
      <c r="V57" s="527" t="s">
        <v>734</v>
      </c>
      <c r="W57" s="527" t="s">
        <v>753</v>
      </c>
      <c r="X57" s="527"/>
      <c r="Y57" s="527"/>
      <c r="Z57" s="527"/>
      <c r="AA57" s="527"/>
      <c r="AB57" s="527"/>
      <c r="AC57" s="527"/>
      <c r="AD57" s="527"/>
      <c r="AE57" s="527"/>
      <c r="AF57" s="527"/>
      <c r="AG57" s="527"/>
      <c r="AH57" s="527"/>
      <c r="AI57" s="527"/>
      <c r="AJ57" s="527"/>
      <c r="AK57" s="527"/>
      <c r="AL57" s="527"/>
      <c r="AM57" s="527"/>
      <c r="AN57" s="527"/>
      <c r="AO57" s="527"/>
      <c r="AP57" s="463" t="s">
        <v>761</v>
      </c>
      <c r="AQ57" s="463" t="s">
        <v>755</v>
      </c>
      <c r="AR57" s="164"/>
      <c r="AS57" s="164"/>
      <c r="AT57" s="164"/>
      <c r="AU57" s="164"/>
      <c r="AV57" s="338" t="str">
        <f t="shared" ca="1" si="4"/>
        <v>Procede_E_P</v>
      </c>
      <c r="AW57" s="338" t="str">
        <f ca="1">IFERROR(__xludf.DUMMYFUNCTION("IFERROR(VLOOKUP(E86&amp;F86,IMPORTRANGE(""https://docs.google.com/spreadsheets/d/1Uw7-A9f9R21vMXxHZFNpYNeKFtG8_yji4HS352LGlSQ/edit?pli=1#gid=0"",""1_ACUM!A4:S""),11,FALSE))"),"EN FORMACION")</f>
        <v>EN FORMACION</v>
      </c>
      <c r="AX57" s="462" t="str">
        <f ca="1">IFERROR(__xludf.DUMMYFUNCTION("IFERROR(VLOOKUP(F86,IMPORTRANGE(""https://docs.google.com/spreadsheets/d/1Kvs4KS76FHFqLFIZfrDMff4kP08nblUkihrxltoGBjg/edit#gid=934712705"",""ESENCIAL!A6:BG""),15,FALSE))"),"TIC")</f>
        <v>TIC</v>
      </c>
      <c r="AY57" s="461">
        <f ca="1">IFERROR(__xludf.DUMMYFUNCTION("IFERROR(VLOOKUP(E86&amp;F86,IMPORTRANGE(""https://docs.google.com/spreadsheets/d/1Uw7-A9f9R21vMXxHZFNpYNeKFtG8_yji4HS352LGlSQ/edit?pli=1#gid=0"",""1_ACUM!A4:S""),13,FALSE))"),0)</f>
        <v>0</v>
      </c>
      <c r="AZ57" s="460">
        <f ca="1">IFERROR(__xludf.DUMMYFUNCTION("IFERROR(VLOOKUP(E86&amp;F86,IMPORTRANGE(""https://docs.google.com/spreadsheets/d/1Uw7-A9f9R21vMXxHZFNpYNeKFtG8_yji4HS352LGlSQ/edit?pli=1#gid=0"",""1_ACUM!A4:S""),13,FALSE))"),0)</f>
        <v>0</v>
      </c>
      <c r="BA57" s="460">
        <f ca="1">IFERROR(__xludf.DUMMYFUNCTION("IFERROR(VLOOKUP(E86&amp;F86,IMPORTRANGE(""https://docs.google.com/spreadsheets/d/1Uw7-A9f9R21vMXxHZFNpYNeKFtG8_yji4HS352LGlSQ/edit?pli=1#gid=0"",""1_ACUM!A4:S""),14,FALSE))"),1)</f>
        <v>1</v>
      </c>
      <c r="BB57" s="460">
        <f ca="1">IFERROR(__xludf.DUMMYFUNCTION("IFERROR(VLOOKUP(E86&amp;F86,IMPORTRANGE(""https://docs.google.com/spreadsheets/d/1Uw7-A9f9R21vMXxHZFNpYNeKFtG8_yji4HS352LGlSQ/edit?pli=1#gid=0"",""1_ACUM!A4:S""),15,FALSE))"),0)</f>
        <v>0</v>
      </c>
      <c r="BC57" s="460">
        <f ca="1">IFERROR(__xludf.DUMMYFUNCTION("IFERROR(VLOOKUP(E86&amp;F86,IMPORTRANGE(""https://docs.google.com/spreadsheets/d/1Uw7-A9f9R21vMXxHZFNpYNeKFtG8_yji4HS352LGlSQ/edit?pli=1#gid=0"",""1_ACUM!A4:S""),16,FALSE))"),0)</f>
        <v>0</v>
      </c>
      <c r="BD57" s="460">
        <f ca="1">IFERROR(__xludf.DUMMYFUNCTION("IFERROR(VLOOKUP(E86&amp;F86,IMPORTRANGE(""https://docs.google.com/spreadsheets/d/1Uw7-A9f9R21vMXxHZFNpYNeKFtG8_yji4HS352LGlSQ/edit?pli=1#gid=0"",""1_ACUM!A4:S""),17,FALSE))"),1)</f>
        <v>1</v>
      </c>
      <c r="BE57" s="461">
        <f ca="1">IFERROR(__xludf.DUMMYFUNCTION("IFERROR(VLOOKUP(E86&amp;F86,IMPORTRANGE(""https://docs.google.com/spreadsheets/d/1Uw7-A9f9R21vMXxHZFNpYNeKFtG8_yji4HS352LGlSQ/edit?pli=1#gid=0"",""1_ACUM!A4:S""),18,FALSE))"),44183)</f>
        <v>44183</v>
      </c>
      <c r="BF57" s="461">
        <f ca="1">IFERROR(__xludf.DUMMYFUNCTION("IFERROR(VLOOKUP(E86&amp;F86,IMPORTRANGE(""https://docs.google.com/spreadsheets/d/1Uw7-A9f9R21vMXxHZFNpYNeKFtG8_yji4HS352LGlSQ/edit?pli=1#gid=0"",""1_ACUM!A4:S""),19,FALSE))"),44729)</f>
        <v>44729</v>
      </c>
      <c r="BG57" s="462">
        <f ca="1">IFERROR(__xludf.DUMMYFUNCTION("IFERROR(VLOOKUP(F86,IMPORTRANGE(""https://docs.google.com/spreadsheets/d/1Kvs4KS76FHFqLFIZfrDMff4kP08nblUkihrxltoGBjg/edit#gid=934712705"",""ESENCIAL!A6:BG""),5,FALSE))"),44912)</f>
        <v>44912</v>
      </c>
      <c r="BH57" s="462">
        <f t="shared" ca="1" si="5"/>
        <v>45460</v>
      </c>
      <c r="BI57" s="338" t="str">
        <f t="shared" ca="1" si="6"/>
        <v>FICHA EN TIEMPO-18 MESES</v>
      </c>
      <c r="BJ57" s="338" t="str">
        <f ca="1">IFERROR(__xludf.DUMMYFUNCTION("IFERROR(VLOOKUP(F86,IMPORTRANGE(""https://docs.google.com/spreadsheets/d/1Kvs4KS76FHFqLFIZfrDMff4kP08nblUkihrxltoGBjg/edit#gid=934712705"",""ESENCIAL!A6:BG""),2,FALSE))"),"En ejecucion")</f>
        <v>En ejecucion</v>
      </c>
      <c r="BK57" s="338" t="str">
        <f t="shared" si="7"/>
        <v>Yamboro</v>
      </c>
      <c r="BL57" s="38"/>
      <c r="BM57" s="38"/>
    </row>
    <row r="58" spans="1:65" ht="24">
      <c r="A58" s="533" t="s">
        <v>762</v>
      </c>
      <c r="B58" s="565"/>
      <c r="C58" s="534" t="s">
        <v>25</v>
      </c>
      <c r="D58" s="536" t="s">
        <v>767</v>
      </c>
      <c r="E58" s="217" t="s">
        <v>27</v>
      </c>
      <c r="F58" s="150">
        <v>1116912148</v>
      </c>
      <c r="G58" s="451">
        <v>2252407</v>
      </c>
      <c r="H58" s="338" t="str">
        <f ca="1">IFERROR(__xludf.DUMMYFUNCTION("IFERROR(VLOOKUP(F87,IMPORTRANGE(""https://docs.google.com/spreadsheets/d/1Kvs4KS76FHFqLFIZfrDMff4kP08nblUkihrxltoGBjg/edit#gid=934712705"",""ESENCIAL!A6:BG""),3,FALSE))"),"TECNÓLOGO")</f>
        <v>TECNÓLOGO</v>
      </c>
      <c r="I58" s="338" t="str">
        <f ca="1">IFERROR(__xludf.DUMMYFUNCTION("IFERROR(VLOOKUP(F87,IMPORTRANGE(""https://docs.google.com/spreadsheets/d/1Kvs4KS76FHFqLFIZfrDMff4kP08nblUkihrxltoGBjg/edit#gid=934712705"",""ESENCIAL!A6:BG""),8,FALSE))"),"ANALISIS Y DESARROLLO DE SISTEMAS DE INFORMACION")</f>
        <v>ANALISIS Y DESARROLLO DE SISTEMAS DE INFORMACION</v>
      </c>
      <c r="J58" s="451">
        <v>3139039719</v>
      </c>
      <c r="K58" s="527" t="s">
        <v>768</v>
      </c>
      <c r="L58" s="527" t="s">
        <v>73</v>
      </c>
      <c r="M58" s="527" t="s">
        <v>37</v>
      </c>
      <c r="N58" s="527" t="s">
        <v>769</v>
      </c>
      <c r="O58" s="527" t="s">
        <v>770</v>
      </c>
      <c r="P58" s="527"/>
      <c r="Q58" s="527"/>
      <c r="R58" s="527"/>
      <c r="S58" s="525"/>
      <c r="T58" s="530"/>
      <c r="U58" s="527" t="s">
        <v>771</v>
      </c>
      <c r="V58" s="527" t="s">
        <v>734</v>
      </c>
      <c r="W58" s="527"/>
      <c r="X58" s="527"/>
      <c r="Y58" s="527"/>
      <c r="Z58" s="527"/>
      <c r="AA58" s="527"/>
      <c r="AB58" s="527"/>
      <c r="AC58" s="527"/>
      <c r="AD58" s="527"/>
      <c r="AE58" s="527"/>
      <c r="AF58" s="527"/>
      <c r="AG58" s="527"/>
      <c r="AH58" s="527"/>
      <c r="AI58" s="527"/>
      <c r="AJ58" s="527"/>
      <c r="AK58" s="527"/>
      <c r="AL58" s="527"/>
      <c r="AM58" s="527"/>
      <c r="AN58" s="527"/>
      <c r="AO58" s="527"/>
      <c r="AP58" s="527"/>
      <c r="AQ58" s="527"/>
      <c r="AR58" s="164"/>
      <c r="AS58" s="164"/>
      <c r="AT58" s="164"/>
      <c r="AU58" s="164"/>
      <c r="AV58" s="338" t="str">
        <f t="shared" ca="1" si="4"/>
        <v>Procede_E_P</v>
      </c>
      <c r="AW58" s="338" t="str">
        <f ca="1">IFERROR(__xludf.DUMMYFUNCTION("IFERROR(VLOOKUP(E87&amp;F87,IMPORTRANGE(""https://docs.google.com/spreadsheets/d/1Uw7-A9f9R21vMXxHZFNpYNeKFtG8_yji4HS352LGlSQ/edit?pli=1#gid=0"",""1_ACUM!A4:S""),11,FALSE))"),"EN FORMACION")</f>
        <v>EN FORMACION</v>
      </c>
      <c r="AX58" s="462" t="str">
        <f ca="1">IFERROR(__xludf.DUMMYFUNCTION("IFERROR(VLOOKUP(F87,IMPORTRANGE(""https://docs.google.com/spreadsheets/d/1Kvs4KS76FHFqLFIZfrDMff4kP08nblUkihrxltoGBjg/edit#gid=934712705"",""ESENCIAL!A6:BG""),15,FALSE))"),"TIC")</f>
        <v>TIC</v>
      </c>
      <c r="AY58" s="461">
        <f ca="1">IFERROR(__xludf.DUMMYFUNCTION("IFERROR(VLOOKUP(E87&amp;F87,IMPORTRANGE(""https://docs.google.com/spreadsheets/d/1Uw7-A9f9R21vMXxHZFNpYNeKFtG8_yji4HS352LGlSQ/edit?pli=1#gid=0"",""1_ACUM!A4:S""),13,FALSE))"),0)</f>
        <v>0</v>
      </c>
      <c r="AZ58" s="460">
        <f ca="1">IFERROR(__xludf.DUMMYFUNCTION("IFERROR(VLOOKUP(E87&amp;F87,IMPORTRANGE(""https://docs.google.com/spreadsheets/d/1Uw7-A9f9R21vMXxHZFNpYNeKFtG8_yji4HS352LGlSQ/edit?pli=1#gid=0"",""1_ACUM!A4:S""),13,FALSE))"),0)</f>
        <v>0</v>
      </c>
      <c r="BA58" s="460">
        <f ca="1">IFERROR(__xludf.DUMMYFUNCTION("IFERROR(VLOOKUP(E87&amp;F87,IMPORTRANGE(""https://docs.google.com/spreadsheets/d/1Uw7-A9f9R21vMXxHZFNpYNeKFtG8_yji4HS352LGlSQ/edit?pli=1#gid=0"",""1_ACUM!A4:S""),14,FALSE))"),1)</f>
        <v>1</v>
      </c>
      <c r="BB58" s="460">
        <f ca="1">IFERROR(__xludf.DUMMYFUNCTION("IFERROR(VLOOKUP(E87&amp;F87,IMPORTRANGE(""https://docs.google.com/spreadsheets/d/1Uw7-A9f9R21vMXxHZFNpYNeKFtG8_yji4HS352LGlSQ/edit?pli=1#gid=0"",""1_ACUM!A4:S""),15,FALSE))"),0)</f>
        <v>0</v>
      </c>
      <c r="BC58" s="460">
        <f ca="1">IFERROR(__xludf.DUMMYFUNCTION("IFERROR(VLOOKUP(E87&amp;F87,IMPORTRANGE(""https://docs.google.com/spreadsheets/d/1Uw7-A9f9R21vMXxHZFNpYNeKFtG8_yji4HS352LGlSQ/edit?pli=1#gid=0"",""1_ACUM!A4:S""),16,FALSE))"),0)</f>
        <v>0</v>
      </c>
      <c r="BD58" s="460">
        <f ca="1">IFERROR(__xludf.DUMMYFUNCTION("IFERROR(VLOOKUP(E87&amp;F87,IMPORTRANGE(""https://docs.google.com/spreadsheets/d/1Uw7-A9f9R21vMXxHZFNpYNeKFtG8_yji4HS352LGlSQ/edit?pli=1#gid=0"",""1_ACUM!A4:S""),17,FALSE))"),1)</f>
        <v>1</v>
      </c>
      <c r="BE58" s="461">
        <f ca="1">IFERROR(__xludf.DUMMYFUNCTION("IFERROR(VLOOKUP(E87&amp;F87,IMPORTRANGE(""https://docs.google.com/spreadsheets/d/1Uw7-A9f9R21vMXxHZFNpYNeKFtG8_yji4HS352LGlSQ/edit?pli=1#gid=0"",""1_ACUM!A4:S""),18,FALSE))"),44183)</f>
        <v>44183</v>
      </c>
      <c r="BF58" s="461">
        <f ca="1">IFERROR(__xludf.DUMMYFUNCTION("IFERROR(VLOOKUP(E87&amp;F87,IMPORTRANGE(""https://docs.google.com/spreadsheets/d/1Uw7-A9f9R21vMXxHZFNpYNeKFtG8_yji4HS352LGlSQ/edit?pli=1#gid=0"",""1_ACUM!A4:S""),19,FALSE))"),44729)</f>
        <v>44729</v>
      </c>
      <c r="BG58" s="462">
        <f ca="1">IFERROR(__xludf.DUMMYFUNCTION("IFERROR(VLOOKUP(F87,IMPORTRANGE(""https://docs.google.com/spreadsheets/d/1Kvs4KS76FHFqLFIZfrDMff4kP08nblUkihrxltoGBjg/edit#gid=934712705"",""ESENCIAL!A6:BG""),5,FALSE))"),44912)</f>
        <v>44912</v>
      </c>
      <c r="BH58" s="462">
        <f t="shared" ca="1" si="5"/>
        <v>45460</v>
      </c>
      <c r="BI58" s="338" t="str">
        <f t="shared" ca="1" si="6"/>
        <v>FICHA EN TIEMPO-18 MESES</v>
      </c>
      <c r="BJ58" s="338" t="str">
        <f ca="1">IFERROR(__xludf.DUMMYFUNCTION("IFERROR(VLOOKUP(F87,IMPORTRANGE(""https://docs.google.com/spreadsheets/d/1Kvs4KS76FHFqLFIZfrDMff4kP08nblUkihrxltoGBjg/edit#gid=934712705"",""ESENCIAL!A6:BG""),2,FALSE))"),"En ejecucion")</f>
        <v>En ejecucion</v>
      </c>
      <c r="BK58" s="338" t="str">
        <f t="shared" si="7"/>
        <v>Yamboro</v>
      </c>
      <c r="BL58" s="38"/>
      <c r="BM58" s="38"/>
    </row>
    <row r="59" spans="1:65" ht="24">
      <c r="A59" s="533" t="s">
        <v>762</v>
      </c>
      <c r="B59" s="565"/>
      <c r="C59" s="534" t="s">
        <v>25</v>
      </c>
      <c r="D59" s="536" t="s">
        <v>772</v>
      </c>
      <c r="E59" s="217" t="s">
        <v>27</v>
      </c>
      <c r="F59" s="150">
        <v>1004418348</v>
      </c>
      <c r="G59" s="451">
        <v>2186843</v>
      </c>
      <c r="H59" s="338" t="str">
        <f ca="1">IFERROR(__xludf.DUMMYFUNCTION("IFERROR(VLOOKUP(F88,IMPORTRANGE(""https://docs.google.com/spreadsheets/d/1Kvs4KS76FHFqLFIZfrDMff4kP08nblUkihrxltoGBjg/edit#gid=934712705"",""ESENCIAL!A6:BG""),3,FALSE))"),"TECNÓLOGO")</f>
        <v>TECNÓLOGO</v>
      </c>
      <c r="I59" s="338" t="str">
        <f ca="1">IFERROR(__xludf.DUMMYFUNCTION("IFERROR(VLOOKUP(F88,IMPORTRANGE(""https://docs.google.com/spreadsheets/d/1Kvs4KS76FHFqLFIZfrDMff4kP08nblUkihrxltoGBjg/edit#gid=934712705"",""ESENCIAL!A6:BG""),8,FALSE))"),"GESTION DE REDES DE DATOS")</f>
        <v>GESTION DE REDES DE DATOS</v>
      </c>
      <c r="J59" s="451"/>
      <c r="K59" s="527"/>
      <c r="L59" s="527"/>
      <c r="M59" s="208" t="s">
        <v>250</v>
      </c>
      <c r="N59" s="527" t="s">
        <v>773</v>
      </c>
      <c r="O59" s="527" t="s">
        <v>774</v>
      </c>
      <c r="P59" s="527">
        <v>3173681824</v>
      </c>
      <c r="Q59" s="527" t="s">
        <v>775</v>
      </c>
      <c r="R59" s="527" t="s">
        <v>776</v>
      </c>
      <c r="S59" s="525">
        <v>44775</v>
      </c>
      <c r="T59" s="530">
        <v>44958</v>
      </c>
      <c r="U59" s="208" t="s">
        <v>777</v>
      </c>
      <c r="V59" s="527" t="s">
        <v>778</v>
      </c>
      <c r="W59" s="527" t="s">
        <v>779</v>
      </c>
      <c r="X59" s="527"/>
      <c r="Y59" s="527"/>
      <c r="Z59" s="527"/>
      <c r="AA59" s="527"/>
      <c r="AB59" s="527"/>
      <c r="AC59" s="527"/>
      <c r="AD59" s="527"/>
      <c r="AE59" s="527"/>
      <c r="AF59" s="527"/>
      <c r="AG59" s="527"/>
      <c r="AH59" s="527"/>
      <c r="AI59" s="527"/>
      <c r="AJ59" s="527"/>
      <c r="AK59" s="527"/>
      <c r="AL59" s="527"/>
      <c r="AM59" s="527"/>
      <c r="AN59" s="527"/>
      <c r="AO59" s="527"/>
      <c r="AP59" s="527"/>
      <c r="AQ59" s="527"/>
      <c r="AR59" s="164"/>
      <c r="AS59" s="164"/>
      <c r="AT59" s="164"/>
      <c r="AU59" s="164"/>
      <c r="AV59" s="338" t="str">
        <f t="shared" ca="1" si="4"/>
        <v>Procede_E_P</v>
      </c>
      <c r="AW59" s="338" t="str">
        <f ca="1">IFERROR(__xludf.DUMMYFUNCTION("IFERROR(VLOOKUP(E88&amp;F88,IMPORTRANGE(""https://docs.google.com/spreadsheets/d/1Uw7-A9f9R21vMXxHZFNpYNeKFtG8_yji4HS352LGlSQ/edit?pli=1#gid=0"",""1_ACUM!A4:S""),11,FALSE))"),"EN FORMACION")</f>
        <v>EN FORMACION</v>
      </c>
      <c r="AX59" s="462" t="str">
        <f ca="1">IFERROR(__xludf.DUMMYFUNCTION("IFERROR(VLOOKUP(F88,IMPORTRANGE(""https://docs.google.com/spreadsheets/d/1Kvs4KS76FHFqLFIZfrDMff4kP08nblUkihrxltoGBjg/edit#gid=934712705"",""ESENCIAL!A6:BG""),15,FALSE))"),"TIC")</f>
        <v>TIC</v>
      </c>
      <c r="AY59" s="461">
        <f ca="1">IFERROR(__xludf.DUMMYFUNCTION("IFERROR(VLOOKUP(E88&amp;F88,IMPORTRANGE(""https://docs.google.com/spreadsheets/d/1Uw7-A9f9R21vMXxHZFNpYNeKFtG8_yji4HS352LGlSQ/edit?pli=1#gid=0"",""1_ACUM!A4:S""),13,FALSE))"),0)</f>
        <v>0</v>
      </c>
      <c r="AZ59" s="460">
        <f ca="1">IFERROR(__xludf.DUMMYFUNCTION("IFERROR(VLOOKUP(E88&amp;F88,IMPORTRANGE(""https://docs.google.com/spreadsheets/d/1Uw7-A9f9R21vMXxHZFNpYNeKFtG8_yji4HS352LGlSQ/edit?pli=1#gid=0"",""1_ACUM!A4:S""),13,FALSE))"),0)</f>
        <v>0</v>
      </c>
      <c r="BA59" s="460">
        <f ca="1">IFERROR(__xludf.DUMMYFUNCTION("IFERROR(VLOOKUP(E88&amp;F88,IMPORTRANGE(""https://docs.google.com/spreadsheets/d/1Uw7-A9f9R21vMXxHZFNpYNeKFtG8_yji4HS352LGlSQ/edit?pli=1#gid=0"",""1_ACUM!A4:S""),14,FALSE))"),1)</f>
        <v>1</v>
      </c>
      <c r="BB59" s="460">
        <f ca="1">IFERROR(__xludf.DUMMYFUNCTION("IFERROR(VLOOKUP(E88&amp;F88,IMPORTRANGE(""https://docs.google.com/spreadsheets/d/1Uw7-A9f9R21vMXxHZFNpYNeKFtG8_yji4HS352LGlSQ/edit?pli=1#gid=0"",""1_ACUM!A4:S""),15,FALSE))"),0)</f>
        <v>0</v>
      </c>
      <c r="BC59" s="460">
        <f ca="1">IFERROR(__xludf.DUMMYFUNCTION("IFERROR(VLOOKUP(E88&amp;F88,IMPORTRANGE(""https://docs.google.com/spreadsheets/d/1Uw7-A9f9R21vMXxHZFNpYNeKFtG8_yji4HS352LGlSQ/edit?pli=1#gid=0"",""1_ACUM!A4:S""),16,FALSE))"),0)</f>
        <v>0</v>
      </c>
      <c r="BD59" s="460">
        <f ca="1">IFERROR(__xludf.DUMMYFUNCTION("IFERROR(VLOOKUP(E88&amp;F88,IMPORTRANGE(""https://docs.google.com/spreadsheets/d/1Uw7-A9f9R21vMXxHZFNpYNeKFtG8_yji4HS352LGlSQ/edit?pli=1#gid=0"",""1_ACUM!A4:S""),17,FALSE))"),1)</f>
        <v>1</v>
      </c>
      <c r="BE59" s="461">
        <f ca="1">IFERROR(__xludf.DUMMYFUNCTION("IFERROR(VLOOKUP(E88&amp;F88,IMPORTRANGE(""https://docs.google.com/spreadsheets/d/1Uw7-A9f9R21vMXxHZFNpYNeKFtG8_yji4HS352LGlSQ/edit?pli=1#gid=0"",""1_ACUM!A4:S""),18,FALSE))"),44105)</f>
        <v>44105</v>
      </c>
      <c r="BF59" s="461">
        <f ca="1">IFERROR(__xludf.DUMMYFUNCTION("IFERROR(VLOOKUP(E88&amp;F88,IMPORTRANGE(""https://docs.google.com/spreadsheets/d/1Uw7-A9f9R21vMXxHZFNpYNeKFtG8_yji4HS352LGlSQ/edit?pli=1#gid=0"",""1_ACUM!A4:S""),19,FALSE))"),44742)</f>
        <v>44742</v>
      </c>
      <c r="BG59" s="462">
        <f ca="1">IFERROR(__xludf.DUMMYFUNCTION("IFERROR(VLOOKUP(F88,IMPORTRANGE(""https://docs.google.com/spreadsheets/d/1Kvs4KS76FHFqLFIZfrDMff4kP08nblUkihrxltoGBjg/edit#gid=934712705"",""ESENCIAL!A6:BG""),5,FALSE))"),44926)</f>
        <v>44926</v>
      </c>
      <c r="BH59" s="462">
        <f t="shared" ca="1" si="5"/>
        <v>45473</v>
      </c>
      <c r="BI59" s="338" t="str">
        <f t="shared" ca="1" si="6"/>
        <v>FICHA EN TIEMPO-18 MESES</v>
      </c>
      <c r="BJ59" s="338" t="str">
        <f ca="1">IFERROR(__xludf.DUMMYFUNCTION("IFERROR(VLOOKUP(F88,IMPORTRANGE(""https://docs.google.com/spreadsheets/d/1Kvs4KS76FHFqLFIZfrDMff4kP08nblUkihrxltoGBjg/edit#gid=934712705"",""ESENCIAL!A6:BG""),2,FALSE))"),"En ejecucion")</f>
        <v>En ejecucion</v>
      </c>
      <c r="BK59" s="338" t="str">
        <f t="shared" si="7"/>
        <v>Yamboro</v>
      </c>
      <c r="BL59" s="38"/>
      <c r="BM59" s="38"/>
    </row>
    <row r="60" spans="1:65" ht="24">
      <c r="A60" s="619" t="s">
        <v>780</v>
      </c>
      <c r="B60" s="540"/>
      <c r="C60" s="534" t="s">
        <v>25</v>
      </c>
      <c r="D60" s="536" t="s">
        <v>781</v>
      </c>
      <c r="E60" s="217" t="s">
        <v>27</v>
      </c>
      <c r="F60" s="150">
        <v>1083903843</v>
      </c>
      <c r="G60" s="451">
        <v>2186843</v>
      </c>
      <c r="H60" s="338" t="str">
        <f ca="1">IFERROR(__xludf.DUMMYFUNCTION("IFERROR(VLOOKUP(F89,IMPORTRANGE(""https://docs.google.com/spreadsheets/d/1Kvs4KS76FHFqLFIZfrDMff4kP08nblUkihrxltoGBjg/edit#gid=934712705"",""ESENCIAL!A6:BG""),3,FALSE))"),"TECNÓLOGO")</f>
        <v>TECNÓLOGO</v>
      </c>
      <c r="I60" s="338" t="str">
        <f ca="1">IFERROR(__xludf.DUMMYFUNCTION("IFERROR(VLOOKUP(F89,IMPORTRANGE(""https://docs.google.com/spreadsheets/d/1Kvs4KS76FHFqLFIZfrDMff4kP08nblUkihrxltoGBjg/edit#gid=934712705"",""ESENCIAL!A6:BG""),8,FALSE))"),"GESTION DE REDES DE DATOS")</f>
        <v>GESTION DE REDES DE DATOS</v>
      </c>
      <c r="J60" s="531">
        <v>3204813840</v>
      </c>
      <c r="K60" s="531" t="s">
        <v>782</v>
      </c>
      <c r="L60" s="527" t="s">
        <v>61</v>
      </c>
      <c r="M60" s="208" t="s">
        <v>250</v>
      </c>
      <c r="N60" s="532" t="s">
        <v>783</v>
      </c>
      <c r="O60" s="527"/>
      <c r="P60" s="527"/>
      <c r="Q60" s="527"/>
      <c r="R60" s="527"/>
      <c r="S60" s="525">
        <v>44758</v>
      </c>
      <c r="T60" s="530">
        <v>44941</v>
      </c>
      <c r="U60" s="208" t="s">
        <v>784</v>
      </c>
      <c r="V60" s="527" t="s">
        <v>785</v>
      </c>
      <c r="W60" s="527" t="s">
        <v>786</v>
      </c>
      <c r="X60" s="527"/>
      <c r="Y60" s="527"/>
      <c r="Z60" s="527"/>
      <c r="AA60" s="527"/>
      <c r="AB60" s="527"/>
      <c r="AC60" s="527"/>
      <c r="AD60" s="527"/>
      <c r="AE60" s="527"/>
      <c r="AF60" s="527"/>
      <c r="AG60" s="527"/>
      <c r="AH60" s="527"/>
      <c r="AI60" s="527"/>
      <c r="AJ60" s="527"/>
      <c r="AK60" s="527"/>
      <c r="AL60" s="527"/>
      <c r="AM60" s="527"/>
      <c r="AN60" s="527"/>
      <c r="AO60" s="527"/>
      <c r="AP60" s="527"/>
      <c r="AQ60" s="527"/>
      <c r="AR60" s="164"/>
      <c r="AS60" s="164"/>
      <c r="AT60" s="164"/>
      <c r="AU60" s="164"/>
      <c r="AV60" s="338" t="str">
        <f t="shared" ref="AV60:AV91" ca="1" si="8">IF(F60&gt;0,IF(AND(BD60=1,BA60=1),"Procede_E_P","NO_CUMPLE"),"")</f>
        <v>Procede_E_P</v>
      </c>
      <c r="AW60" s="338" t="str">
        <f ca="1">IFERROR(__xludf.DUMMYFUNCTION("IFERROR(VLOOKUP(E89&amp;F89,IMPORTRANGE(""https://docs.google.com/spreadsheets/d/1Uw7-A9f9R21vMXxHZFNpYNeKFtG8_yji4HS352LGlSQ/edit?pli=1#gid=0"",""1_ACUM!A4:S""),11,FALSE))"),"EN FORMACION")</f>
        <v>EN FORMACION</v>
      </c>
      <c r="AX60" s="462" t="str">
        <f ca="1">IFERROR(__xludf.DUMMYFUNCTION("IFERROR(VLOOKUP(F89,IMPORTRANGE(""https://docs.google.com/spreadsheets/d/1Kvs4KS76FHFqLFIZfrDMff4kP08nblUkihrxltoGBjg/edit#gid=934712705"",""ESENCIAL!A6:BG""),15,FALSE))"),"TIC")</f>
        <v>TIC</v>
      </c>
      <c r="AY60" s="461">
        <f ca="1">IFERROR(__xludf.DUMMYFUNCTION("IFERROR(VLOOKUP(E89&amp;F89,IMPORTRANGE(""https://docs.google.com/spreadsheets/d/1Uw7-A9f9R21vMXxHZFNpYNeKFtG8_yji4HS352LGlSQ/edit?pli=1#gid=0"",""1_ACUM!A4:S""),13,FALSE))"),0)</f>
        <v>0</v>
      </c>
      <c r="AZ60" s="460">
        <f ca="1">IFERROR(__xludf.DUMMYFUNCTION("IFERROR(VLOOKUP(E89&amp;F89,IMPORTRANGE(""https://docs.google.com/spreadsheets/d/1Uw7-A9f9R21vMXxHZFNpYNeKFtG8_yji4HS352LGlSQ/edit?pli=1#gid=0"",""1_ACUM!A4:S""),13,FALSE))"),0)</f>
        <v>0</v>
      </c>
      <c r="BA60" s="460">
        <f ca="1">IFERROR(__xludf.DUMMYFUNCTION("IFERROR(VLOOKUP(E89&amp;F89,IMPORTRANGE(""https://docs.google.com/spreadsheets/d/1Uw7-A9f9R21vMXxHZFNpYNeKFtG8_yji4HS352LGlSQ/edit?pli=1#gid=0"",""1_ACUM!A4:S""),14,FALSE))"),1)</f>
        <v>1</v>
      </c>
      <c r="BB60" s="460">
        <f ca="1">IFERROR(__xludf.DUMMYFUNCTION("IFERROR(VLOOKUP(E89&amp;F89,IMPORTRANGE(""https://docs.google.com/spreadsheets/d/1Uw7-A9f9R21vMXxHZFNpYNeKFtG8_yji4HS352LGlSQ/edit?pli=1#gid=0"",""1_ACUM!A4:S""),15,FALSE))"),0)</f>
        <v>0</v>
      </c>
      <c r="BC60" s="460">
        <f ca="1">IFERROR(__xludf.DUMMYFUNCTION("IFERROR(VLOOKUP(E89&amp;F89,IMPORTRANGE(""https://docs.google.com/spreadsheets/d/1Uw7-A9f9R21vMXxHZFNpYNeKFtG8_yji4HS352LGlSQ/edit?pli=1#gid=0"",""1_ACUM!A4:S""),16,FALSE))"),0)</f>
        <v>0</v>
      </c>
      <c r="BD60" s="460">
        <f ca="1">IFERROR(__xludf.DUMMYFUNCTION("IFERROR(VLOOKUP(E89&amp;F89,IMPORTRANGE(""https://docs.google.com/spreadsheets/d/1Uw7-A9f9R21vMXxHZFNpYNeKFtG8_yji4HS352LGlSQ/edit?pli=1#gid=0"",""1_ACUM!A4:S""),17,FALSE))"),1)</f>
        <v>1</v>
      </c>
      <c r="BE60" s="461">
        <f ca="1">IFERROR(__xludf.DUMMYFUNCTION("IFERROR(VLOOKUP(E89&amp;F89,IMPORTRANGE(""https://docs.google.com/spreadsheets/d/1Uw7-A9f9R21vMXxHZFNpYNeKFtG8_yji4HS352LGlSQ/edit?pli=1#gid=0"",""1_ACUM!A4:S""),18,FALSE))"),44105)</f>
        <v>44105</v>
      </c>
      <c r="BF60" s="461">
        <f ca="1">IFERROR(__xludf.DUMMYFUNCTION("IFERROR(VLOOKUP(E89&amp;F89,IMPORTRANGE(""https://docs.google.com/spreadsheets/d/1Uw7-A9f9R21vMXxHZFNpYNeKFtG8_yji4HS352LGlSQ/edit?pli=1#gid=0"",""1_ACUM!A4:S""),19,FALSE))"),44742)</f>
        <v>44742</v>
      </c>
      <c r="BG60" s="462">
        <f ca="1">IFERROR(__xludf.DUMMYFUNCTION("IFERROR(VLOOKUP(F89,IMPORTRANGE(""https://docs.google.com/spreadsheets/d/1Kvs4KS76FHFqLFIZfrDMff4kP08nblUkihrxltoGBjg/edit#gid=934712705"",""ESENCIAL!A6:BG""),5,FALSE))"),44926)</f>
        <v>44926</v>
      </c>
      <c r="BH60" s="462">
        <f t="shared" ref="BH60:BH91" ca="1" si="9">IF(G60&gt;0,EDATE(BG60,18),"")</f>
        <v>45473</v>
      </c>
      <c r="BI60" s="338" t="str">
        <f t="shared" ref="BI60:BI91" ca="1" si="10">IF(G60&gt;0,IF(BH60&lt;$BI$1,"FINALIZAR FICHA","FICHA EN TIEMPO-18 MESES"),"")</f>
        <v>FICHA EN TIEMPO-18 MESES</v>
      </c>
      <c r="BJ60" s="338" t="str">
        <f ca="1">IFERROR(__xludf.DUMMYFUNCTION("IFERROR(VLOOKUP(F89,IMPORTRANGE(""https://docs.google.com/spreadsheets/d/1Kvs4KS76FHFqLFIZfrDMff4kP08nblUkihrxltoGBjg/edit#gid=934712705"",""ESENCIAL!A6:BG""),2,FALSE))"),"En ejecucion")</f>
        <v>En ejecucion</v>
      </c>
      <c r="BK60" s="338" t="str">
        <f t="shared" ref="BK60:BK91" si="11">IF(G60&gt;0,"Yamboro","")</f>
        <v>Yamboro</v>
      </c>
      <c r="BL60" s="38"/>
      <c r="BM60" s="38"/>
    </row>
    <row r="61" spans="1:65" ht="24">
      <c r="A61" s="578"/>
      <c r="B61" s="562"/>
      <c r="C61" s="534" t="s">
        <v>25</v>
      </c>
      <c r="D61" s="337" t="s">
        <v>787</v>
      </c>
      <c r="E61" s="217" t="s">
        <v>27</v>
      </c>
      <c r="F61" s="149">
        <v>1000796569</v>
      </c>
      <c r="G61" s="208">
        <v>2236074</v>
      </c>
      <c r="H61" s="338" t="str">
        <f ca="1">IFERROR(__xludf.DUMMYFUNCTION("IFERROR(VLOOKUP(F90,IMPORTRANGE(""https://docs.google.com/spreadsheets/d/1Kvs4KS76FHFqLFIZfrDMff4kP08nblUkihrxltoGBjg/edit#gid=934712705"",""ESENCIAL!A6:BG""),3,FALSE))"),"TECNÓLOGO")</f>
        <v>TECNÓLOGO</v>
      </c>
      <c r="I61" s="338" t="str">
        <f ca="1">IFERROR(__xludf.DUMMYFUNCTION("IFERROR(VLOOKUP(F90,IMPORTRANGE(""https://docs.google.com/spreadsheets/d/1Kvs4KS76FHFqLFIZfrDMff4kP08nblUkihrxltoGBjg/edit#gid=934712705"",""ESENCIAL!A6:BG""),8,FALSE))"),"ANALISIS Y DESARROLLO DE SISTEMAS DE INFORMACION")</f>
        <v>ANALISIS Y DESARROLLO DE SISTEMAS DE INFORMACION</v>
      </c>
      <c r="J61" s="208">
        <v>3157096890</v>
      </c>
      <c r="K61" s="571" t="s">
        <v>788</v>
      </c>
      <c r="L61" s="208" t="s">
        <v>577</v>
      </c>
      <c r="M61" s="568" t="s">
        <v>703</v>
      </c>
      <c r="N61" s="527"/>
      <c r="O61" s="527"/>
      <c r="P61" s="527"/>
      <c r="Q61" s="527"/>
      <c r="R61" s="527"/>
      <c r="S61" s="525"/>
      <c r="T61" s="530"/>
      <c r="U61" s="527"/>
      <c r="V61" s="527" t="s">
        <v>789</v>
      </c>
      <c r="W61" s="463"/>
      <c r="X61" s="527"/>
      <c r="Y61" s="527"/>
      <c r="Z61" s="527"/>
      <c r="AA61" s="527"/>
      <c r="AB61" s="527"/>
      <c r="AC61" s="527"/>
      <c r="AD61" s="527"/>
      <c r="AE61" s="527"/>
      <c r="AF61" s="527"/>
      <c r="AG61" s="527"/>
      <c r="AH61" s="527"/>
      <c r="AI61" s="527"/>
      <c r="AJ61" s="527"/>
      <c r="AK61" s="527"/>
      <c r="AL61" s="527"/>
      <c r="AM61" s="527"/>
      <c r="AN61" s="527"/>
      <c r="AO61" s="527"/>
      <c r="AP61" s="527"/>
      <c r="AQ61" s="527"/>
      <c r="AR61" s="164"/>
      <c r="AS61" s="164"/>
      <c r="AT61" s="164"/>
      <c r="AU61" s="164"/>
      <c r="AV61" s="338" t="str">
        <f t="shared" ca="1" si="8"/>
        <v>Procede_E_P</v>
      </c>
      <c r="AW61" s="338" t="str">
        <f ca="1">IFERROR(__xludf.DUMMYFUNCTION("IFERROR(VLOOKUP(E90&amp;F90,IMPORTRANGE(""https://docs.google.com/spreadsheets/d/1Uw7-A9f9R21vMXxHZFNpYNeKFtG8_yji4HS352LGlSQ/edit?pli=1#gid=0"",""1_ACUM!A4:S""),11,FALSE))"),"EN FORMACION")</f>
        <v>EN FORMACION</v>
      </c>
      <c r="AX61" s="462" t="str">
        <f ca="1">IFERROR(__xludf.DUMMYFUNCTION("IFERROR(VLOOKUP(F90,IMPORTRANGE(""https://docs.google.com/spreadsheets/d/1Kvs4KS76FHFqLFIZfrDMff4kP08nblUkihrxltoGBjg/edit#gid=934712705"",""ESENCIAL!A6:BG""),15,FALSE))"),"TIC")</f>
        <v>TIC</v>
      </c>
      <c r="AY61" s="461">
        <f ca="1">IFERROR(__xludf.DUMMYFUNCTION("IFERROR(VLOOKUP(E90&amp;F90,IMPORTRANGE(""https://docs.google.com/spreadsheets/d/1Uw7-A9f9R21vMXxHZFNpYNeKFtG8_yji4HS352LGlSQ/edit?pli=1#gid=0"",""1_ACUM!A4:S""),13,FALSE))"),0)</f>
        <v>0</v>
      </c>
      <c r="AZ61" s="460">
        <f ca="1">IFERROR(__xludf.DUMMYFUNCTION("IFERROR(VLOOKUP(E90&amp;F90,IMPORTRANGE(""https://docs.google.com/spreadsheets/d/1Uw7-A9f9R21vMXxHZFNpYNeKFtG8_yji4HS352LGlSQ/edit?pli=1#gid=0"",""1_ACUM!A4:S""),13,FALSE))"),0)</f>
        <v>0</v>
      </c>
      <c r="BA61" s="460">
        <f ca="1">IFERROR(__xludf.DUMMYFUNCTION("IFERROR(VLOOKUP(E90&amp;F90,IMPORTRANGE(""https://docs.google.com/spreadsheets/d/1Uw7-A9f9R21vMXxHZFNpYNeKFtG8_yji4HS352LGlSQ/edit?pli=1#gid=0"",""1_ACUM!A4:S""),14,FALSE))"),1)</f>
        <v>1</v>
      </c>
      <c r="BB61" s="460">
        <f ca="1">IFERROR(__xludf.DUMMYFUNCTION("IFERROR(VLOOKUP(E90&amp;F90,IMPORTRANGE(""https://docs.google.com/spreadsheets/d/1Uw7-A9f9R21vMXxHZFNpYNeKFtG8_yji4HS352LGlSQ/edit?pli=1#gid=0"",""1_ACUM!A4:S""),15,FALSE))"),0)</f>
        <v>0</v>
      </c>
      <c r="BC61" s="460">
        <f ca="1">IFERROR(__xludf.DUMMYFUNCTION("IFERROR(VLOOKUP(E90&amp;F90,IMPORTRANGE(""https://docs.google.com/spreadsheets/d/1Uw7-A9f9R21vMXxHZFNpYNeKFtG8_yji4HS352LGlSQ/edit?pli=1#gid=0"",""1_ACUM!A4:S""),16,FALSE))"),0)</f>
        <v>0</v>
      </c>
      <c r="BD61" s="460">
        <f ca="1">IFERROR(__xludf.DUMMYFUNCTION("IFERROR(VLOOKUP(E90&amp;F90,IMPORTRANGE(""https://docs.google.com/spreadsheets/d/1Uw7-A9f9R21vMXxHZFNpYNeKFtG8_yji4HS352LGlSQ/edit?pli=1#gid=0"",""1_ACUM!A4:S""),17,FALSE))"),1)</f>
        <v>1</v>
      </c>
      <c r="BE61" s="461">
        <f ca="1">IFERROR(__xludf.DUMMYFUNCTION("IFERROR(VLOOKUP(E90&amp;F90,IMPORTRANGE(""https://docs.google.com/spreadsheets/d/1Uw7-A9f9R21vMXxHZFNpYNeKFtG8_yji4HS352LGlSQ/edit?pli=1#gid=0"",""1_ACUM!A4:S""),18,FALSE))"),44221)</f>
        <v>44221</v>
      </c>
      <c r="BF61" s="461">
        <f ca="1">IFERROR(__xludf.DUMMYFUNCTION("IFERROR(VLOOKUP(E90&amp;F90,IMPORTRANGE(""https://docs.google.com/spreadsheets/d/1Uw7-A9f9R21vMXxHZFNpYNeKFtG8_yji4HS352LGlSQ/edit?pli=1#gid=0"",""1_ACUM!A4:S""),19,FALSE))"),44766)</f>
        <v>44766</v>
      </c>
      <c r="BG61" s="462">
        <f ca="1">IFERROR(__xludf.DUMMYFUNCTION("IFERROR(VLOOKUP(F90,IMPORTRANGE(""https://docs.google.com/spreadsheets/d/1Kvs4KS76FHFqLFIZfrDMff4kP08nblUkihrxltoGBjg/edit#gid=934712705"",""ESENCIAL!A6:BG""),5,FALSE))"),44950)</f>
        <v>44950</v>
      </c>
      <c r="BH61" s="462">
        <f t="shared" ca="1" si="9"/>
        <v>45497</v>
      </c>
      <c r="BI61" s="338" t="str">
        <f t="shared" ca="1" si="10"/>
        <v>FICHA EN TIEMPO-18 MESES</v>
      </c>
      <c r="BJ61" s="338" t="str">
        <f ca="1">IFERROR(__xludf.DUMMYFUNCTION("IFERROR(VLOOKUP(F90,IMPORTRANGE(""https://docs.google.com/spreadsheets/d/1Kvs4KS76FHFqLFIZfrDMff4kP08nblUkihrxltoGBjg/edit#gid=934712705"",""ESENCIAL!A6:BG""),2,FALSE))"),"En ejecucion")</f>
        <v>En ejecucion</v>
      </c>
      <c r="BK61" s="338" t="str">
        <f t="shared" si="11"/>
        <v>Yamboro</v>
      </c>
      <c r="BL61" s="38"/>
      <c r="BM61" s="38"/>
    </row>
    <row r="62" spans="1:65" ht="24">
      <c r="A62" s="578"/>
      <c r="B62" s="562"/>
      <c r="C62" s="534" t="s">
        <v>25</v>
      </c>
      <c r="D62" s="337" t="s">
        <v>790</v>
      </c>
      <c r="E62" s="150" t="s">
        <v>67</v>
      </c>
      <c r="F62" s="148">
        <v>1004446520</v>
      </c>
      <c r="G62" s="208">
        <v>2236074</v>
      </c>
      <c r="H62" s="338" t="str">
        <f ca="1">IFERROR(__xludf.DUMMYFUNCTION("IFERROR(VLOOKUP(F91,IMPORTRANGE(""https://docs.google.com/spreadsheets/d/1Kvs4KS76FHFqLFIZfrDMff4kP08nblUkihrxltoGBjg/edit#gid=934712705"",""ESENCIAL!A6:BG""),3,FALSE))"),"TECNÓLOGO")</f>
        <v>TECNÓLOGO</v>
      </c>
      <c r="I62" s="338" t="str">
        <f ca="1">IFERROR(__xludf.DUMMYFUNCTION("IFERROR(VLOOKUP(F91,IMPORTRANGE(""https://docs.google.com/spreadsheets/d/1Kvs4KS76FHFqLFIZfrDMff4kP08nblUkihrxltoGBjg/edit#gid=934712705"",""ESENCIAL!A6:BG""),8,FALSE))"),"ANALISIS Y DESARROLLO DE SISTEMAS DE INFORMACION")</f>
        <v>ANALISIS Y DESARROLLO DE SISTEMAS DE INFORMACION</v>
      </c>
      <c r="J62" s="208">
        <v>3203351402</v>
      </c>
      <c r="K62" s="208" t="s">
        <v>791</v>
      </c>
      <c r="L62" s="208" t="s">
        <v>421</v>
      </c>
      <c r="M62" s="527" t="s">
        <v>37</v>
      </c>
      <c r="N62" s="527" t="s">
        <v>792</v>
      </c>
      <c r="O62" s="527"/>
      <c r="P62" s="527"/>
      <c r="Q62" s="527"/>
      <c r="R62" s="527"/>
      <c r="S62" s="525">
        <v>44781</v>
      </c>
      <c r="T62" s="530">
        <v>44964</v>
      </c>
      <c r="U62" s="451" t="s">
        <v>793</v>
      </c>
      <c r="V62" s="527" t="s">
        <v>794</v>
      </c>
      <c r="W62" s="527" t="s">
        <v>795</v>
      </c>
      <c r="X62" s="527"/>
      <c r="Y62" s="527"/>
      <c r="Z62" s="527"/>
      <c r="AA62" s="527"/>
      <c r="AB62" s="527"/>
      <c r="AC62" s="527"/>
      <c r="AD62" s="527"/>
      <c r="AE62" s="527"/>
      <c r="AF62" s="527"/>
      <c r="AG62" s="527"/>
      <c r="AH62" s="527"/>
      <c r="AI62" s="527"/>
      <c r="AJ62" s="527"/>
      <c r="AK62" s="527"/>
      <c r="AL62" s="527"/>
      <c r="AM62" s="527"/>
      <c r="AN62" s="527"/>
      <c r="AO62" s="527"/>
      <c r="AP62" s="527"/>
      <c r="AQ62" s="527"/>
      <c r="AR62" s="164"/>
      <c r="AS62" s="164"/>
      <c r="AT62" s="164"/>
      <c r="AU62" s="164"/>
      <c r="AV62" s="338" t="str">
        <f t="shared" ca="1" si="8"/>
        <v>Procede_E_P</v>
      </c>
      <c r="AW62" s="338" t="str">
        <f ca="1">IFERROR(__xludf.DUMMYFUNCTION("IFERROR(VLOOKUP(E91&amp;F91,IMPORTRANGE(""https://docs.google.com/spreadsheets/d/1Uw7-A9f9R21vMXxHZFNpYNeKFtG8_yji4HS352LGlSQ/edit?pli=1#gid=0"",""1_ACUM!A4:S""),11,FALSE))"),"EN FORMACION")</f>
        <v>EN FORMACION</v>
      </c>
      <c r="AX62" s="462" t="str">
        <f ca="1">IFERROR(__xludf.DUMMYFUNCTION("IFERROR(VLOOKUP(F91,IMPORTRANGE(""https://docs.google.com/spreadsheets/d/1Kvs4KS76FHFqLFIZfrDMff4kP08nblUkihrxltoGBjg/edit#gid=934712705"",""ESENCIAL!A6:BG""),15,FALSE))"),"TIC")</f>
        <v>TIC</v>
      </c>
      <c r="AY62" s="461">
        <f ca="1">IFERROR(__xludf.DUMMYFUNCTION("IFERROR(VLOOKUP(E91&amp;F91,IMPORTRANGE(""https://docs.google.com/spreadsheets/d/1Uw7-A9f9R21vMXxHZFNpYNeKFtG8_yji4HS352LGlSQ/edit?pli=1#gid=0"",""1_ACUM!A4:S""),13,FALSE))"),0)</f>
        <v>0</v>
      </c>
      <c r="AZ62" s="460">
        <f ca="1">IFERROR(__xludf.DUMMYFUNCTION("IFERROR(VLOOKUP(E91&amp;F91,IMPORTRANGE(""https://docs.google.com/spreadsheets/d/1Uw7-A9f9R21vMXxHZFNpYNeKFtG8_yji4HS352LGlSQ/edit?pli=1#gid=0"",""1_ACUM!A4:S""),13,FALSE))"),0)</f>
        <v>0</v>
      </c>
      <c r="BA62" s="460">
        <f ca="1">IFERROR(__xludf.DUMMYFUNCTION("IFERROR(VLOOKUP(E91&amp;F91,IMPORTRANGE(""https://docs.google.com/spreadsheets/d/1Uw7-A9f9R21vMXxHZFNpYNeKFtG8_yji4HS352LGlSQ/edit?pli=1#gid=0"",""1_ACUM!A4:S""),14,FALSE))"),1)</f>
        <v>1</v>
      </c>
      <c r="BB62" s="460">
        <f ca="1">IFERROR(__xludf.DUMMYFUNCTION("IFERROR(VLOOKUP(E91&amp;F91,IMPORTRANGE(""https://docs.google.com/spreadsheets/d/1Uw7-A9f9R21vMXxHZFNpYNeKFtG8_yji4HS352LGlSQ/edit?pli=1#gid=0"",""1_ACUM!A4:S""),15,FALSE))"),0)</f>
        <v>0</v>
      </c>
      <c r="BC62" s="460">
        <f ca="1">IFERROR(__xludf.DUMMYFUNCTION("IFERROR(VLOOKUP(E91&amp;F91,IMPORTRANGE(""https://docs.google.com/spreadsheets/d/1Uw7-A9f9R21vMXxHZFNpYNeKFtG8_yji4HS352LGlSQ/edit?pli=1#gid=0"",""1_ACUM!A4:S""),16,FALSE))"),0)</f>
        <v>0</v>
      </c>
      <c r="BD62" s="460">
        <f ca="1">IFERROR(__xludf.DUMMYFUNCTION("IFERROR(VLOOKUP(E91&amp;F91,IMPORTRANGE(""https://docs.google.com/spreadsheets/d/1Uw7-A9f9R21vMXxHZFNpYNeKFtG8_yji4HS352LGlSQ/edit?pli=1#gid=0"",""1_ACUM!A4:S""),17,FALSE))"),1)</f>
        <v>1</v>
      </c>
      <c r="BE62" s="461">
        <f ca="1">IFERROR(__xludf.DUMMYFUNCTION("IFERROR(VLOOKUP(E91&amp;F91,IMPORTRANGE(""https://docs.google.com/spreadsheets/d/1Uw7-A9f9R21vMXxHZFNpYNeKFtG8_yji4HS352LGlSQ/edit?pli=1#gid=0"",""1_ACUM!A4:S""),18,FALSE))"),44221)</f>
        <v>44221</v>
      </c>
      <c r="BF62" s="461">
        <f ca="1">IFERROR(__xludf.DUMMYFUNCTION("IFERROR(VLOOKUP(E91&amp;F91,IMPORTRANGE(""https://docs.google.com/spreadsheets/d/1Uw7-A9f9R21vMXxHZFNpYNeKFtG8_yji4HS352LGlSQ/edit?pli=1#gid=0"",""1_ACUM!A4:S""),19,FALSE))"),44766)</f>
        <v>44766</v>
      </c>
      <c r="BG62" s="462">
        <f ca="1">IFERROR(__xludf.DUMMYFUNCTION("IFERROR(VLOOKUP(F91,IMPORTRANGE(""https://docs.google.com/spreadsheets/d/1Kvs4KS76FHFqLFIZfrDMff4kP08nblUkihrxltoGBjg/edit#gid=934712705"",""ESENCIAL!A6:BG""),5,FALSE))"),44950)</f>
        <v>44950</v>
      </c>
      <c r="BH62" s="462">
        <f t="shared" ca="1" si="9"/>
        <v>45497</v>
      </c>
      <c r="BI62" s="338" t="str">
        <f t="shared" ca="1" si="10"/>
        <v>FICHA EN TIEMPO-18 MESES</v>
      </c>
      <c r="BJ62" s="338" t="str">
        <f ca="1">IFERROR(__xludf.DUMMYFUNCTION("IFERROR(VLOOKUP(F91,IMPORTRANGE(""https://docs.google.com/spreadsheets/d/1Kvs4KS76FHFqLFIZfrDMff4kP08nblUkihrxltoGBjg/edit#gid=934712705"",""ESENCIAL!A6:BG""),2,FALSE))"),"En ejecucion")</f>
        <v>En ejecucion</v>
      </c>
      <c r="BK62" s="338" t="str">
        <f t="shared" si="11"/>
        <v>Yamboro</v>
      </c>
      <c r="BL62" s="38"/>
      <c r="BM62" s="38"/>
    </row>
    <row r="63" spans="1:65" ht="24">
      <c r="A63" s="578"/>
      <c r="B63" s="562"/>
      <c r="C63" s="534" t="s">
        <v>25</v>
      </c>
      <c r="D63" s="564" t="s">
        <v>796</v>
      </c>
      <c r="E63" s="217" t="s">
        <v>67</v>
      </c>
      <c r="F63" s="149">
        <v>1007524869</v>
      </c>
      <c r="G63" s="208">
        <v>2236074</v>
      </c>
      <c r="H63" s="338" t="str">
        <f ca="1">IFERROR(__xludf.DUMMYFUNCTION("IFERROR(VLOOKUP(F92,IMPORTRANGE(""https://docs.google.com/spreadsheets/d/1Kvs4KS76FHFqLFIZfrDMff4kP08nblUkihrxltoGBjg/edit#gid=934712705"",""ESENCIAL!A6:BG""),3,FALSE))"),"TECNÓLOGO")</f>
        <v>TECNÓLOGO</v>
      </c>
      <c r="I63" s="338" t="str">
        <f ca="1">IFERROR(__xludf.DUMMYFUNCTION("IFERROR(VLOOKUP(F92,IMPORTRANGE(""https://docs.google.com/spreadsheets/d/1Kvs4KS76FHFqLFIZfrDMff4kP08nblUkihrxltoGBjg/edit#gid=934712705"",""ESENCIAL!A6:BG""),8,FALSE))"),"ANALISIS Y DESARROLLO DE SISTEMAS DE INFORMACION")</f>
        <v>ANALISIS Y DESARROLLO DE SISTEMAS DE INFORMACION</v>
      </c>
      <c r="J63" s="579">
        <v>3227280602</v>
      </c>
      <c r="K63" s="580" t="s">
        <v>797</v>
      </c>
      <c r="L63" s="567" t="s">
        <v>421</v>
      </c>
      <c r="M63" s="568" t="s">
        <v>250</v>
      </c>
      <c r="N63" s="527" t="s">
        <v>798</v>
      </c>
      <c r="O63" s="527" t="s">
        <v>799</v>
      </c>
      <c r="P63" s="527">
        <v>3204789444</v>
      </c>
      <c r="Q63" s="527" t="s">
        <v>442</v>
      </c>
      <c r="R63" s="527" t="s">
        <v>800</v>
      </c>
      <c r="S63" s="525">
        <v>44816</v>
      </c>
      <c r="T63" s="530">
        <v>44997</v>
      </c>
      <c r="U63" s="527"/>
      <c r="V63" s="527" t="s">
        <v>734</v>
      </c>
      <c r="W63" s="463"/>
      <c r="X63" s="527"/>
      <c r="Y63" s="527"/>
      <c r="Z63" s="527"/>
      <c r="AA63" s="527"/>
      <c r="AB63" s="527"/>
      <c r="AC63" s="527"/>
      <c r="AD63" s="527"/>
      <c r="AE63" s="527"/>
      <c r="AF63" s="527"/>
      <c r="AG63" s="527"/>
      <c r="AH63" s="527"/>
      <c r="AI63" s="527"/>
      <c r="AJ63" s="527"/>
      <c r="AK63" s="527"/>
      <c r="AL63" s="527"/>
      <c r="AM63" s="527"/>
      <c r="AN63" s="527"/>
      <c r="AO63" s="527"/>
      <c r="AP63" s="527"/>
      <c r="AQ63" s="527"/>
      <c r="AR63" s="539"/>
      <c r="AS63" s="539"/>
      <c r="AT63" s="539"/>
      <c r="AU63" s="539"/>
      <c r="AV63" s="338" t="str">
        <f t="shared" ca="1" si="8"/>
        <v>Procede_E_P</v>
      </c>
      <c r="AW63" s="338" t="str">
        <f ca="1">IFERROR(__xludf.DUMMYFUNCTION("IFERROR(VLOOKUP(E92&amp;F92,IMPORTRANGE(""https://docs.google.com/spreadsheets/d/1Uw7-A9f9R21vMXxHZFNpYNeKFtG8_yji4HS352LGlSQ/edit?pli=1#gid=0"",""1_ACUM!A4:S""),11,FALSE))"),"EN FORMACION")</f>
        <v>EN FORMACION</v>
      </c>
      <c r="AX63" s="462" t="str">
        <f ca="1">IFERROR(__xludf.DUMMYFUNCTION("IFERROR(VLOOKUP(F92,IMPORTRANGE(""https://docs.google.com/spreadsheets/d/1Kvs4KS76FHFqLFIZfrDMff4kP08nblUkihrxltoGBjg/edit#gid=934712705"",""ESENCIAL!A6:BG""),15,FALSE))"),"TIC")</f>
        <v>TIC</v>
      </c>
      <c r="AY63" s="461">
        <f ca="1">IFERROR(__xludf.DUMMYFUNCTION("IFERROR(VLOOKUP(E92&amp;F92,IMPORTRANGE(""https://docs.google.com/spreadsheets/d/1Uw7-A9f9R21vMXxHZFNpYNeKFtG8_yji4HS352LGlSQ/edit?pli=1#gid=0"",""1_ACUM!A4:S""),13,FALSE))"),0)</f>
        <v>0</v>
      </c>
      <c r="AZ63" s="460">
        <f ca="1">IFERROR(__xludf.DUMMYFUNCTION("IFERROR(VLOOKUP(E92&amp;F92,IMPORTRANGE(""https://docs.google.com/spreadsheets/d/1Uw7-A9f9R21vMXxHZFNpYNeKFtG8_yji4HS352LGlSQ/edit?pli=1#gid=0"",""1_ACUM!A4:S""),13,FALSE))"),0)</f>
        <v>0</v>
      </c>
      <c r="BA63" s="460">
        <f ca="1">IFERROR(__xludf.DUMMYFUNCTION("IFERROR(VLOOKUP(E92&amp;F92,IMPORTRANGE(""https://docs.google.com/spreadsheets/d/1Uw7-A9f9R21vMXxHZFNpYNeKFtG8_yji4HS352LGlSQ/edit?pli=1#gid=0"",""1_ACUM!A4:S""),14,FALSE))"),1)</f>
        <v>1</v>
      </c>
      <c r="BB63" s="460">
        <f ca="1">IFERROR(__xludf.DUMMYFUNCTION("IFERROR(VLOOKUP(E92&amp;F92,IMPORTRANGE(""https://docs.google.com/spreadsheets/d/1Uw7-A9f9R21vMXxHZFNpYNeKFtG8_yji4HS352LGlSQ/edit?pli=1#gid=0"",""1_ACUM!A4:S""),15,FALSE))"),0)</f>
        <v>0</v>
      </c>
      <c r="BC63" s="460">
        <f ca="1">IFERROR(__xludf.DUMMYFUNCTION("IFERROR(VLOOKUP(E92&amp;F92,IMPORTRANGE(""https://docs.google.com/spreadsheets/d/1Uw7-A9f9R21vMXxHZFNpYNeKFtG8_yji4HS352LGlSQ/edit?pli=1#gid=0"",""1_ACUM!A4:S""),16,FALSE))"),0)</f>
        <v>0</v>
      </c>
      <c r="BD63" s="460">
        <f ca="1">IFERROR(__xludf.DUMMYFUNCTION("IFERROR(VLOOKUP(E92&amp;F92,IMPORTRANGE(""https://docs.google.com/spreadsheets/d/1Uw7-A9f9R21vMXxHZFNpYNeKFtG8_yji4HS352LGlSQ/edit?pli=1#gid=0"",""1_ACUM!A4:S""),17,FALSE))"),1)</f>
        <v>1</v>
      </c>
      <c r="BE63" s="461">
        <f ca="1">IFERROR(__xludf.DUMMYFUNCTION("IFERROR(VLOOKUP(E92&amp;F92,IMPORTRANGE(""https://docs.google.com/spreadsheets/d/1Uw7-A9f9R21vMXxHZFNpYNeKFtG8_yji4HS352LGlSQ/edit?pli=1#gid=0"",""1_ACUM!A4:S""),18,FALSE))"),44221)</f>
        <v>44221</v>
      </c>
      <c r="BF63" s="461">
        <f ca="1">IFERROR(__xludf.DUMMYFUNCTION("IFERROR(VLOOKUP(E92&amp;F92,IMPORTRANGE(""https://docs.google.com/spreadsheets/d/1Uw7-A9f9R21vMXxHZFNpYNeKFtG8_yji4HS352LGlSQ/edit?pli=1#gid=0"",""1_ACUM!A4:S""),19,FALSE))"),44766)</f>
        <v>44766</v>
      </c>
      <c r="BG63" s="462">
        <f ca="1">IFERROR(__xludf.DUMMYFUNCTION("IFERROR(VLOOKUP(F92,IMPORTRANGE(""https://docs.google.com/spreadsheets/d/1Kvs4KS76FHFqLFIZfrDMff4kP08nblUkihrxltoGBjg/edit#gid=934712705"",""ESENCIAL!A6:BG""),5,FALSE))"),44950)</f>
        <v>44950</v>
      </c>
      <c r="BH63" s="462">
        <f t="shared" ca="1" si="9"/>
        <v>45497</v>
      </c>
      <c r="BI63" s="338" t="str">
        <f t="shared" ca="1" si="10"/>
        <v>FICHA EN TIEMPO-18 MESES</v>
      </c>
      <c r="BJ63" s="338" t="str">
        <f ca="1">IFERROR(__xludf.DUMMYFUNCTION("IFERROR(VLOOKUP(F92,IMPORTRANGE(""https://docs.google.com/spreadsheets/d/1Kvs4KS76FHFqLFIZfrDMff4kP08nblUkihrxltoGBjg/edit#gid=934712705"",""ESENCIAL!A6:BG""),2,FALSE))"),"En ejecucion")</f>
        <v>En ejecucion</v>
      </c>
      <c r="BK63" s="338" t="str">
        <f t="shared" si="11"/>
        <v>Yamboro</v>
      </c>
      <c r="BL63" s="38"/>
      <c r="BM63" s="38"/>
    </row>
    <row r="64" spans="1:65" ht="24">
      <c r="A64" s="578"/>
      <c r="B64" s="562"/>
      <c r="C64" s="534" t="s">
        <v>25</v>
      </c>
      <c r="D64" s="564" t="s">
        <v>801</v>
      </c>
      <c r="E64" s="217" t="s">
        <v>27</v>
      </c>
      <c r="F64" s="149">
        <v>1007569237</v>
      </c>
      <c r="G64" s="208">
        <v>2236074</v>
      </c>
      <c r="H64" s="338" t="str">
        <f ca="1">IFERROR(__xludf.DUMMYFUNCTION("IFERROR(VLOOKUP(F93,IMPORTRANGE(""https://docs.google.com/spreadsheets/d/1Kvs4KS76FHFqLFIZfrDMff4kP08nblUkihrxltoGBjg/edit#gid=934712705"",""ESENCIAL!A6:BG""),3,FALSE))"),"TECNÓLOGO")</f>
        <v>TECNÓLOGO</v>
      </c>
      <c r="I64" s="338" t="str">
        <f ca="1">IFERROR(__xludf.DUMMYFUNCTION("IFERROR(VLOOKUP(F93,IMPORTRANGE(""https://docs.google.com/spreadsheets/d/1Kvs4KS76FHFqLFIZfrDMff4kP08nblUkihrxltoGBjg/edit#gid=934712705"",""ESENCIAL!A6:BG""),8,FALSE))"),"ANALISIS Y DESARROLLO DE SISTEMAS DE INFORMACION")</f>
        <v>ANALISIS Y DESARROLLO DE SISTEMAS DE INFORMACION</v>
      </c>
      <c r="J64" s="579">
        <v>3177417087</v>
      </c>
      <c r="K64" s="580" t="s">
        <v>802</v>
      </c>
      <c r="L64" s="567" t="s">
        <v>577</v>
      </c>
      <c r="M64" s="208" t="s">
        <v>250</v>
      </c>
      <c r="N64" s="527" t="s">
        <v>803</v>
      </c>
      <c r="O64" s="527" t="s">
        <v>804</v>
      </c>
      <c r="P64" s="527">
        <v>3202137400</v>
      </c>
      <c r="Q64" s="527" t="s">
        <v>96</v>
      </c>
      <c r="R64" s="527" t="s">
        <v>805</v>
      </c>
      <c r="S64" s="525">
        <v>44804</v>
      </c>
      <c r="T64" s="530">
        <v>44985</v>
      </c>
      <c r="U64" s="527"/>
      <c r="V64" s="527" t="s">
        <v>734</v>
      </c>
      <c r="W64" s="338"/>
      <c r="X64" s="527"/>
      <c r="Y64" s="527"/>
      <c r="Z64" s="527"/>
      <c r="AA64" s="527"/>
      <c r="AB64" s="527"/>
      <c r="AC64" s="527"/>
      <c r="AD64" s="527"/>
      <c r="AE64" s="527"/>
      <c r="AF64" s="527"/>
      <c r="AG64" s="527"/>
      <c r="AH64" s="527"/>
      <c r="AI64" s="527"/>
      <c r="AJ64" s="527"/>
      <c r="AK64" s="527"/>
      <c r="AL64" s="527"/>
      <c r="AM64" s="527"/>
      <c r="AN64" s="527"/>
      <c r="AO64" s="527"/>
      <c r="AP64" s="527"/>
      <c r="AQ64" s="527"/>
      <c r="AR64" s="164"/>
      <c r="AS64" s="164"/>
      <c r="AT64" s="164"/>
      <c r="AU64" s="581" t="s">
        <v>806</v>
      </c>
      <c r="AV64" s="338" t="str">
        <f t="shared" ca="1" si="8"/>
        <v>Procede_E_P</v>
      </c>
      <c r="AW64" s="338" t="str">
        <f ca="1">IFERROR(__xludf.DUMMYFUNCTION("IFERROR(VLOOKUP(E93&amp;F93,IMPORTRANGE(""https://docs.google.com/spreadsheets/d/1Uw7-A9f9R21vMXxHZFNpYNeKFtG8_yji4HS352LGlSQ/edit?pli=1#gid=0"",""1_ACUM!A4:S""),11,FALSE))"),"EN FORMACION")</f>
        <v>EN FORMACION</v>
      </c>
      <c r="AX64" s="462" t="str">
        <f ca="1">IFERROR(__xludf.DUMMYFUNCTION("IFERROR(VLOOKUP(F93,IMPORTRANGE(""https://docs.google.com/spreadsheets/d/1Kvs4KS76FHFqLFIZfrDMff4kP08nblUkihrxltoGBjg/edit#gid=934712705"",""ESENCIAL!A6:BG""),15,FALSE))"),"TIC")</f>
        <v>TIC</v>
      </c>
      <c r="AY64" s="461">
        <f ca="1">IFERROR(__xludf.DUMMYFUNCTION("IFERROR(VLOOKUP(E93&amp;F93,IMPORTRANGE(""https://docs.google.com/spreadsheets/d/1Uw7-A9f9R21vMXxHZFNpYNeKFtG8_yji4HS352LGlSQ/edit?pli=1#gid=0"",""1_ACUM!A4:S""),13,FALSE))"),0)</f>
        <v>0</v>
      </c>
      <c r="AZ64" s="460">
        <f ca="1">IFERROR(__xludf.DUMMYFUNCTION("IFERROR(VLOOKUP(E93&amp;F93,IMPORTRANGE(""https://docs.google.com/spreadsheets/d/1Uw7-A9f9R21vMXxHZFNpYNeKFtG8_yji4HS352LGlSQ/edit?pli=1#gid=0"",""1_ACUM!A4:S""),13,FALSE))"),0)</f>
        <v>0</v>
      </c>
      <c r="BA64" s="460">
        <f ca="1">IFERROR(__xludf.DUMMYFUNCTION("IFERROR(VLOOKUP(E93&amp;F93,IMPORTRANGE(""https://docs.google.com/spreadsheets/d/1Uw7-A9f9R21vMXxHZFNpYNeKFtG8_yji4HS352LGlSQ/edit?pli=1#gid=0"",""1_ACUM!A4:S""),14,FALSE))"),1)</f>
        <v>1</v>
      </c>
      <c r="BB64" s="460">
        <f ca="1">IFERROR(__xludf.DUMMYFUNCTION("IFERROR(VLOOKUP(E93&amp;F93,IMPORTRANGE(""https://docs.google.com/spreadsheets/d/1Uw7-A9f9R21vMXxHZFNpYNeKFtG8_yji4HS352LGlSQ/edit?pli=1#gid=0"",""1_ACUM!A4:S""),15,FALSE))"),0)</f>
        <v>0</v>
      </c>
      <c r="BC64" s="460">
        <f ca="1">IFERROR(__xludf.DUMMYFUNCTION("IFERROR(VLOOKUP(E93&amp;F93,IMPORTRANGE(""https://docs.google.com/spreadsheets/d/1Uw7-A9f9R21vMXxHZFNpYNeKFtG8_yji4HS352LGlSQ/edit?pli=1#gid=0"",""1_ACUM!A4:S""),16,FALSE))"),0)</f>
        <v>0</v>
      </c>
      <c r="BD64" s="460">
        <f ca="1">IFERROR(__xludf.DUMMYFUNCTION("IFERROR(VLOOKUP(E93&amp;F93,IMPORTRANGE(""https://docs.google.com/spreadsheets/d/1Uw7-A9f9R21vMXxHZFNpYNeKFtG8_yji4HS352LGlSQ/edit?pli=1#gid=0"",""1_ACUM!A4:S""),17,FALSE))"),1)</f>
        <v>1</v>
      </c>
      <c r="BE64" s="461">
        <f ca="1">IFERROR(__xludf.DUMMYFUNCTION("IFERROR(VLOOKUP(E93&amp;F93,IMPORTRANGE(""https://docs.google.com/spreadsheets/d/1Uw7-A9f9R21vMXxHZFNpYNeKFtG8_yji4HS352LGlSQ/edit?pli=1#gid=0"",""1_ACUM!A4:S""),18,FALSE))"),44221)</f>
        <v>44221</v>
      </c>
      <c r="BF64" s="461">
        <f ca="1">IFERROR(__xludf.DUMMYFUNCTION("IFERROR(VLOOKUP(E93&amp;F93,IMPORTRANGE(""https://docs.google.com/spreadsheets/d/1Uw7-A9f9R21vMXxHZFNpYNeKFtG8_yji4HS352LGlSQ/edit?pli=1#gid=0"",""1_ACUM!A4:S""),19,FALSE))"),44766)</f>
        <v>44766</v>
      </c>
      <c r="BG64" s="462">
        <f ca="1">IFERROR(__xludf.DUMMYFUNCTION("IFERROR(VLOOKUP(F93,IMPORTRANGE(""https://docs.google.com/spreadsheets/d/1Kvs4KS76FHFqLFIZfrDMff4kP08nblUkihrxltoGBjg/edit#gid=934712705"",""ESENCIAL!A6:BG""),5,FALSE))"),44950)</f>
        <v>44950</v>
      </c>
      <c r="BH64" s="462">
        <f t="shared" ca="1" si="9"/>
        <v>45497</v>
      </c>
      <c r="BI64" s="338" t="str">
        <f t="shared" ca="1" si="10"/>
        <v>FICHA EN TIEMPO-18 MESES</v>
      </c>
      <c r="BJ64" s="338" t="str">
        <f ca="1">IFERROR(__xludf.DUMMYFUNCTION("IFERROR(VLOOKUP(F93,IMPORTRANGE(""https://docs.google.com/spreadsheets/d/1Kvs4KS76FHFqLFIZfrDMff4kP08nblUkihrxltoGBjg/edit#gid=934712705"",""ESENCIAL!A6:BG""),2,FALSE))"),"En ejecucion")</f>
        <v>En ejecucion</v>
      </c>
      <c r="BK64" s="338" t="str">
        <f t="shared" si="11"/>
        <v>Yamboro</v>
      </c>
      <c r="BL64" s="38"/>
      <c r="BM64" s="38"/>
    </row>
    <row r="65" spans="1:65" ht="24">
      <c r="A65" s="578"/>
      <c r="B65" s="562"/>
      <c r="C65" s="534" t="s">
        <v>25</v>
      </c>
      <c r="D65" s="564" t="s">
        <v>807</v>
      </c>
      <c r="E65" s="217" t="s">
        <v>27</v>
      </c>
      <c r="F65" s="149">
        <v>1007576011</v>
      </c>
      <c r="G65" s="208">
        <v>2236074</v>
      </c>
      <c r="H65" s="338" t="str">
        <f ca="1">IFERROR(__xludf.DUMMYFUNCTION("IFERROR(VLOOKUP(F94,IMPORTRANGE(""https://docs.google.com/spreadsheets/d/1Kvs4KS76FHFqLFIZfrDMff4kP08nblUkihrxltoGBjg/edit#gid=934712705"",""ESENCIAL!A6:BG""),3,FALSE))"),"TECNÓLOGO")</f>
        <v>TECNÓLOGO</v>
      </c>
      <c r="I65" s="338" t="str">
        <f ca="1">IFERROR(__xludf.DUMMYFUNCTION("IFERROR(VLOOKUP(F94,IMPORTRANGE(""https://docs.google.com/spreadsheets/d/1Kvs4KS76FHFqLFIZfrDMff4kP08nblUkihrxltoGBjg/edit#gid=934712705"",""ESENCIAL!A6:BG""),8,FALSE))"),"ANALISIS Y DESARROLLO DE SISTEMAS DE INFORMACION")</f>
        <v>ANALISIS Y DESARROLLO DE SISTEMAS DE INFORMACION</v>
      </c>
      <c r="J65" s="579">
        <v>3125671196</v>
      </c>
      <c r="K65" s="580" t="s">
        <v>808</v>
      </c>
      <c r="L65" s="567" t="s">
        <v>577</v>
      </c>
      <c r="M65" s="570" t="s">
        <v>28</v>
      </c>
      <c r="N65" s="527" t="s">
        <v>809</v>
      </c>
      <c r="O65" s="527" t="s">
        <v>810</v>
      </c>
      <c r="P65" s="527"/>
      <c r="Q65" s="527"/>
      <c r="R65" s="527"/>
      <c r="S65" s="525">
        <v>45140</v>
      </c>
      <c r="T65" s="525">
        <v>45116</v>
      </c>
      <c r="U65" s="527"/>
      <c r="V65" s="527" t="s">
        <v>734</v>
      </c>
      <c r="W65" s="463"/>
      <c r="X65" s="527"/>
      <c r="Y65" s="527"/>
      <c r="Z65" s="527"/>
      <c r="AA65" s="527"/>
      <c r="AB65" s="527"/>
      <c r="AC65" s="527"/>
      <c r="AD65" s="527"/>
      <c r="AE65" s="527"/>
      <c r="AF65" s="527"/>
      <c r="AG65" s="527"/>
      <c r="AH65" s="527"/>
      <c r="AI65" s="527"/>
      <c r="AJ65" s="527"/>
      <c r="AK65" s="527"/>
      <c r="AL65" s="527"/>
      <c r="AM65" s="527"/>
      <c r="AN65" s="527"/>
      <c r="AO65" s="527"/>
      <c r="AP65" s="527"/>
      <c r="AQ65" s="527"/>
      <c r="AR65" s="164"/>
      <c r="AS65" s="164"/>
      <c r="AT65" s="164" t="s">
        <v>811</v>
      </c>
      <c r="AU65" s="164"/>
      <c r="AV65" s="338" t="str">
        <f t="shared" ca="1" si="8"/>
        <v>Procede_E_P</v>
      </c>
      <c r="AW65" s="338" t="str">
        <f ca="1">IFERROR(__xludf.DUMMYFUNCTION("IFERROR(VLOOKUP(E94&amp;F94,IMPORTRANGE(""https://docs.google.com/spreadsheets/d/1Uw7-A9f9R21vMXxHZFNpYNeKFtG8_yji4HS352LGlSQ/edit?pli=1#gid=0"",""1_ACUM!A4:S""),11,FALSE))"),"EN FORMACION")</f>
        <v>EN FORMACION</v>
      </c>
      <c r="AX65" s="462" t="str">
        <f ca="1">IFERROR(__xludf.DUMMYFUNCTION("IFERROR(VLOOKUP(F94,IMPORTRANGE(""https://docs.google.com/spreadsheets/d/1Kvs4KS76FHFqLFIZfrDMff4kP08nblUkihrxltoGBjg/edit#gid=934712705"",""ESENCIAL!A6:BG""),15,FALSE))"),"TIC")</f>
        <v>TIC</v>
      </c>
      <c r="AY65" s="461">
        <f ca="1">IFERROR(__xludf.DUMMYFUNCTION("IFERROR(VLOOKUP(E94&amp;F94,IMPORTRANGE(""https://docs.google.com/spreadsheets/d/1Uw7-A9f9R21vMXxHZFNpYNeKFtG8_yji4HS352LGlSQ/edit?pli=1#gid=0"",""1_ACUM!A4:S""),13,FALSE))"),0)</f>
        <v>0</v>
      </c>
      <c r="AZ65" s="460">
        <f ca="1">IFERROR(__xludf.DUMMYFUNCTION("IFERROR(VLOOKUP(E94&amp;F94,IMPORTRANGE(""https://docs.google.com/spreadsheets/d/1Uw7-A9f9R21vMXxHZFNpYNeKFtG8_yji4HS352LGlSQ/edit?pli=1#gid=0"",""1_ACUM!A4:S""),13,FALSE))"),0)</f>
        <v>0</v>
      </c>
      <c r="BA65" s="460">
        <f ca="1">IFERROR(__xludf.DUMMYFUNCTION("IFERROR(VLOOKUP(E94&amp;F94,IMPORTRANGE(""https://docs.google.com/spreadsheets/d/1Uw7-A9f9R21vMXxHZFNpYNeKFtG8_yji4HS352LGlSQ/edit?pli=1#gid=0"",""1_ACUM!A4:S""),14,FALSE))"),1)</f>
        <v>1</v>
      </c>
      <c r="BB65" s="460">
        <f ca="1">IFERROR(__xludf.DUMMYFUNCTION("IFERROR(VLOOKUP(E94&amp;F94,IMPORTRANGE(""https://docs.google.com/spreadsheets/d/1Uw7-A9f9R21vMXxHZFNpYNeKFtG8_yji4HS352LGlSQ/edit?pli=1#gid=0"",""1_ACUM!A4:S""),15,FALSE))"),0)</f>
        <v>0</v>
      </c>
      <c r="BC65" s="460">
        <f ca="1">IFERROR(__xludf.DUMMYFUNCTION("IFERROR(VLOOKUP(E94&amp;F94,IMPORTRANGE(""https://docs.google.com/spreadsheets/d/1Uw7-A9f9R21vMXxHZFNpYNeKFtG8_yji4HS352LGlSQ/edit?pli=1#gid=0"",""1_ACUM!A4:S""),16,FALSE))"),0)</f>
        <v>0</v>
      </c>
      <c r="BD65" s="460">
        <f ca="1">IFERROR(__xludf.DUMMYFUNCTION("IFERROR(VLOOKUP(E94&amp;F94,IMPORTRANGE(""https://docs.google.com/spreadsheets/d/1Uw7-A9f9R21vMXxHZFNpYNeKFtG8_yji4HS352LGlSQ/edit?pli=1#gid=0"",""1_ACUM!A4:S""),17,FALSE))"),1)</f>
        <v>1</v>
      </c>
      <c r="BE65" s="461">
        <f ca="1">IFERROR(__xludf.DUMMYFUNCTION("IFERROR(VLOOKUP(E94&amp;F94,IMPORTRANGE(""https://docs.google.com/spreadsheets/d/1Uw7-A9f9R21vMXxHZFNpYNeKFtG8_yji4HS352LGlSQ/edit?pli=1#gid=0"",""1_ACUM!A4:S""),18,FALSE))"),44221)</f>
        <v>44221</v>
      </c>
      <c r="BF65" s="461">
        <f ca="1">IFERROR(__xludf.DUMMYFUNCTION("IFERROR(VLOOKUP(E94&amp;F94,IMPORTRANGE(""https://docs.google.com/spreadsheets/d/1Uw7-A9f9R21vMXxHZFNpYNeKFtG8_yji4HS352LGlSQ/edit?pli=1#gid=0"",""1_ACUM!A4:S""),19,FALSE))"),44766)</f>
        <v>44766</v>
      </c>
      <c r="BG65" s="462">
        <f ca="1">IFERROR(__xludf.DUMMYFUNCTION("IFERROR(VLOOKUP(F94,IMPORTRANGE(""https://docs.google.com/spreadsheets/d/1Kvs4KS76FHFqLFIZfrDMff4kP08nblUkihrxltoGBjg/edit#gid=934712705"",""ESENCIAL!A6:BG""),5,FALSE))"),44950)</f>
        <v>44950</v>
      </c>
      <c r="BH65" s="462">
        <f t="shared" ca="1" si="9"/>
        <v>45497</v>
      </c>
      <c r="BI65" s="338" t="str">
        <f t="shared" ca="1" si="10"/>
        <v>FICHA EN TIEMPO-18 MESES</v>
      </c>
      <c r="BJ65" s="338" t="str">
        <f ca="1">IFERROR(__xludf.DUMMYFUNCTION("IFERROR(VLOOKUP(F94,IMPORTRANGE(""https://docs.google.com/spreadsheets/d/1Kvs4KS76FHFqLFIZfrDMff4kP08nblUkihrxltoGBjg/edit#gid=934712705"",""ESENCIAL!A6:BG""),2,FALSE))"),"En ejecucion")</f>
        <v>En ejecucion</v>
      </c>
      <c r="BK65" s="338" t="str">
        <f t="shared" si="11"/>
        <v>Yamboro</v>
      </c>
      <c r="BL65" s="38"/>
      <c r="BM65" s="38"/>
    </row>
    <row r="66" spans="1:65" ht="24">
      <c r="A66" s="164"/>
      <c r="B66" s="562"/>
      <c r="C66" s="534" t="s">
        <v>25</v>
      </c>
      <c r="D66" s="564" t="s">
        <v>812</v>
      </c>
      <c r="E66" s="217" t="s">
        <v>67</v>
      </c>
      <c r="F66" s="149">
        <v>1077840651</v>
      </c>
      <c r="G66" s="208">
        <v>2236074</v>
      </c>
      <c r="H66" s="338" t="str">
        <f ca="1">IFERROR(__xludf.DUMMYFUNCTION("IFERROR(VLOOKUP(F95,IMPORTRANGE(""https://docs.google.com/spreadsheets/d/1Kvs4KS76FHFqLFIZfrDMff4kP08nblUkihrxltoGBjg/edit#gid=934712705"",""ESENCIAL!A6:BG""),3,FALSE))"),"TECNÓLOGO")</f>
        <v>TECNÓLOGO</v>
      </c>
      <c r="I66" s="338" t="str">
        <f ca="1">IFERROR(__xludf.DUMMYFUNCTION("IFERROR(VLOOKUP(F95,IMPORTRANGE(""https://docs.google.com/spreadsheets/d/1Kvs4KS76FHFqLFIZfrDMff4kP08nblUkihrxltoGBjg/edit#gid=934712705"",""ESENCIAL!A6:BG""),8,FALSE))"),"ANALISIS Y DESARROLLO DE SISTEMAS DE INFORMACION")</f>
        <v>ANALISIS Y DESARROLLO DE SISTEMAS DE INFORMACION</v>
      </c>
      <c r="J66" s="567" t="s">
        <v>813</v>
      </c>
      <c r="K66" s="567" t="s">
        <v>814</v>
      </c>
      <c r="L66" s="567" t="s">
        <v>421</v>
      </c>
      <c r="M66" s="570" t="s">
        <v>44</v>
      </c>
      <c r="N66" s="527"/>
      <c r="O66" s="527"/>
      <c r="P66" s="527"/>
      <c r="Q66" s="527"/>
      <c r="R66" s="527"/>
      <c r="S66" s="525"/>
      <c r="T66" s="530"/>
      <c r="U66" s="527"/>
      <c r="V66" s="527" t="s">
        <v>734</v>
      </c>
      <c r="W66" s="338"/>
      <c r="X66" s="527"/>
      <c r="Y66" s="527"/>
      <c r="Z66" s="527"/>
      <c r="AA66" s="527"/>
      <c r="AB66" s="527"/>
      <c r="AC66" s="527"/>
      <c r="AD66" s="527"/>
      <c r="AE66" s="527"/>
      <c r="AF66" s="527"/>
      <c r="AG66" s="527"/>
      <c r="AH66" s="527"/>
      <c r="AI66" s="527"/>
      <c r="AJ66" s="527"/>
      <c r="AK66" s="527"/>
      <c r="AL66" s="527"/>
      <c r="AM66" s="527"/>
      <c r="AN66" s="527"/>
      <c r="AO66" s="527"/>
      <c r="AP66" s="527"/>
      <c r="AQ66" s="527"/>
      <c r="AR66" s="164"/>
      <c r="AS66" s="164"/>
      <c r="AT66" s="164"/>
      <c r="AU66" s="164"/>
      <c r="AV66" s="338" t="str">
        <f t="shared" ca="1" si="8"/>
        <v>Procede_E_P</v>
      </c>
      <c r="AW66" s="338" t="str">
        <f ca="1">IFERROR(__xludf.DUMMYFUNCTION("IFERROR(VLOOKUP(E95&amp;F95,IMPORTRANGE(""https://docs.google.com/spreadsheets/d/1Uw7-A9f9R21vMXxHZFNpYNeKFtG8_yji4HS352LGlSQ/edit?pli=1#gid=0"",""1_ACUM!A4:S""),11,FALSE))"),"EN FORMACION")</f>
        <v>EN FORMACION</v>
      </c>
      <c r="AX66" s="462" t="str">
        <f ca="1">IFERROR(__xludf.DUMMYFUNCTION("IFERROR(VLOOKUP(F95,IMPORTRANGE(""https://docs.google.com/spreadsheets/d/1Kvs4KS76FHFqLFIZfrDMff4kP08nblUkihrxltoGBjg/edit#gid=934712705"",""ESENCIAL!A6:BG""),15,FALSE))"),"TIC")</f>
        <v>TIC</v>
      </c>
      <c r="AY66" s="461">
        <f ca="1">IFERROR(__xludf.DUMMYFUNCTION("IFERROR(VLOOKUP(E95&amp;F95,IMPORTRANGE(""https://docs.google.com/spreadsheets/d/1Uw7-A9f9R21vMXxHZFNpYNeKFtG8_yji4HS352LGlSQ/edit?pli=1#gid=0"",""1_ACUM!A4:S""),13,FALSE))"),0)</f>
        <v>0</v>
      </c>
      <c r="AZ66" s="460">
        <f ca="1">IFERROR(__xludf.DUMMYFUNCTION("IFERROR(VLOOKUP(E95&amp;F95,IMPORTRANGE(""https://docs.google.com/spreadsheets/d/1Uw7-A9f9R21vMXxHZFNpYNeKFtG8_yji4HS352LGlSQ/edit?pli=1#gid=0"",""1_ACUM!A4:S""),13,FALSE))"),0)</f>
        <v>0</v>
      </c>
      <c r="BA66" s="460">
        <f ca="1">IFERROR(__xludf.DUMMYFUNCTION("IFERROR(VLOOKUP(E95&amp;F95,IMPORTRANGE(""https://docs.google.com/spreadsheets/d/1Uw7-A9f9R21vMXxHZFNpYNeKFtG8_yji4HS352LGlSQ/edit?pli=1#gid=0"",""1_ACUM!A4:S""),14,FALSE))"),1)</f>
        <v>1</v>
      </c>
      <c r="BB66" s="460">
        <f ca="1">IFERROR(__xludf.DUMMYFUNCTION("IFERROR(VLOOKUP(E95&amp;F95,IMPORTRANGE(""https://docs.google.com/spreadsheets/d/1Uw7-A9f9R21vMXxHZFNpYNeKFtG8_yji4HS352LGlSQ/edit?pli=1#gid=0"",""1_ACUM!A4:S""),15,FALSE))"),0)</f>
        <v>0</v>
      </c>
      <c r="BC66" s="460">
        <f ca="1">IFERROR(__xludf.DUMMYFUNCTION("IFERROR(VLOOKUP(E95&amp;F95,IMPORTRANGE(""https://docs.google.com/spreadsheets/d/1Uw7-A9f9R21vMXxHZFNpYNeKFtG8_yji4HS352LGlSQ/edit?pli=1#gid=0"",""1_ACUM!A4:S""),16,FALSE))"),0)</f>
        <v>0</v>
      </c>
      <c r="BD66" s="460">
        <f ca="1">IFERROR(__xludf.DUMMYFUNCTION("IFERROR(VLOOKUP(E95&amp;F95,IMPORTRANGE(""https://docs.google.com/spreadsheets/d/1Uw7-A9f9R21vMXxHZFNpYNeKFtG8_yji4HS352LGlSQ/edit?pli=1#gid=0"",""1_ACUM!A4:S""),17,FALSE))"),1)</f>
        <v>1</v>
      </c>
      <c r="BE66" s="461">
        <f ca="1">IFERROR(__xludf.DUMMYFUNCTION("IFERROR(VLOOKUP(E95&amp;F95,IMPORTRANGE(""https://docs.google.com/spreadsheets/d/1Uw7-A9f9R21vMXxHZFNpYNeKFtG8_yji4HS352LGlSQ/edit?pli=1#gid=0"",""1_ACUM!A4:S""),18,FALSE))"),44221)</f>
        <v>44221</v>
      </c>
      <c r="BF66" s="461">
        <f ca="1">IFERROR(__xludf.DUMMYFUNCTION("IFERROR(VLOOKUP(E95&amp;F95,IMPORTRANGE(""https://docs.google.com/spreadsheets/d/1Uw7-A9f9R21vMXxHZFNpYNeKFtG8_yji4HS352LGlSQ/edit?pli=1#gid=0"",""1_ACUM!A4:S""),19,FALSE))"),44766)</f>
        <v>44766</v>
      </c>
      <c r="BG66" s="462">
        <f ca="1">IFERROR(__xludf.DUMMYFUNCTION("IFERROR(VLOOKUP(F95,IMPORTRANGE(""https://docs.google.com/spreadsheets/d/1Kvs4KS76FHFqLFIZfrDMff4kP08nblUkihrxltoGBjg/edit#gid=934712705"",""ESENCIAL!A6:BG""),5,FALSE))"),44950)</f>
        <v>44950</v>
      </c>
      <c r="BH66" s="462">
        <f t="shared" ca="1" si="9"/>
        <v>45497</v>
      </c>
      <c r="BI66" s="338" t="str">
        <f t="shared" ca="1" si="10"/>
        <v>FICHA EN TIEMPO-18 MESES</v>
      </c>
      <c r="BJ66" s="338" t="str">
        <f ca="1">IFERROR(__xludf.DUMMYFUNCTION("IFERROR(VLOOKUP(F95,IMPORTRANGE(""https://docs.google.com/spreadsheets/d/1Kvs4KS76FHFqLFIZfrDMff4kP08nblUkihrxltoGBjg/edit#gid=934712705"",""ESENCIAL!A6:BG""),2,FALSE))"),"En ejecucion")</f>
        <v>En ejecucion</v>
      </c>
      <c r="BK66" s="338" t="str">
        <f t="shared" si="11"/>
        <v>Yamboro</v>
      </c>
      <c r="BL66" s="38"/>
      <c r="BM66" s="38"/>
    </row>
    <row r="67" spans="1:65" ht="24">
      <c r="A67" s="164"/>
      <c r="B67" s="562"/>
      <c r="C67" s="534" t="s">
        <v>25</v>
      </c>
      <c r="D67" s="564" t="s">
        <v>815</v>
      </c>
      <c r="E67" s="217" t="s">
        <v>27</v>
      </c>
      <c r="F67" s="149">
        <v>1192762569</v>
      </c>
      <c r="G67" s="208">
        <v>2236074</v>
      </c>
      <c r="H67" s="338" t="str">
        <f ca="1">IFERROR(__xludf.DUMMYFUNCTION("IFERROR(VLOOKUP(F96,IMPORTRANGE(""https://docs.google.com/spreadsheets/d/1Kvs4KS76FHFqLFIZfrDMff4kP08nblUkihrxltoGBjg/edit#gid=934712705"",""ESENCIAL!A6:BG""),3,FALSE))"),"TECNÓLOGO")</f>
        <v>TECNÓLOGO</v>
      </c>
      <c r="I67" s="338" t="str">
        <f ca="1">IFERROR(__xludf.DUMMYFUNCTION("IFERROR(VLOOKUP(F96,IMPORTRANGE(""https://docs.google.com/spreadsheets/d/1Kvs4KS76FHFqLFIZfrDMff4kP08nblUkihrxltoGBjg/edit#gid=934712705"",""ESENCIAL!A6:BG""),8,FALSE))"),"ANALISIS Y DESARROLLO DE SISTEMAS DE INFORMACION")</f>
        <v>ANALISIS Y DESARROLLO DE SISTEMAS DE INFORMACION</v>
      </c>
      <c r="J67" s="460">
        <v>3118782825</v>
      </c>
      <c r="K67" s="338" t="s">
        <v>816</v>
      </c>
      <c r="L67" s="338" t="s">
        <v>577</v>
      </c>
      <c r="M67" s="527" t="s">
        <v>817</v>
      </c>
      <c r="N67" s="527"/>
      <c r="O67" s="527"/>
      <c r="P67" s="527"/>
      <c r="Q67" s="527"/>
      <c r="R67" s="582"/>
      <c r="S67" s="525"/>
      <c r="T67" s="530"/>
      <c r="U67" s="527"/>
      <c r="V67" s="527"/>
      <c r="W67" s="463"/>
      <c r="X67" s="527"/>
      <c r="Y67" s="527"/>
      <c r="Z67" s="527"/>
      <c r="AA67" s="527"/>
      <c r="AB67" s="527"/>
      <c r="AC67" s="527"/>
      <c r="AD67" s="527"/>
      <c r="AE67" s="527"/>
      <c r="AF67" s="527"/>
      <c r="AG67" s="527"/>
      <c r="AH67" s="527"/>
      <c r="AI67" s="527"/>
      <c r="AJ67" s="527"/>
      <c r="AK67" s="527"/>
      <c r="AL67" s="527"/>
      <c r="AM67" s="527"/>
      <c r="AN67" s="527"/>
      <c r="AO67" s="527"/>
      <c r="AP67" s="527"/>
      <c r="AQ67" s="527"/>
      <c r="AR67" s="539"/>
      <c r="AS67" s="539"/>
      <c r="AT67" s="539"/>
      <c r="AU67" s="539"/>
      <c r="AV67" s="338" t="str">
        <f t="shared" ca="1" si="8"/>
        <v>Procede_E_P</v>
      </c>
      <c r="AW67" s="338" t="str">
        <f ca="1">IFERROR(__xludf.DUMMYFUNCTION("IFERROR(VLOOKUP(E96&amp;F96,IMPORTRANGE(""https://docs.google.com/spreadsheets/d/1Uw7-A9f9R21vMXxHZFNpYNeKFtG8_yji4HS352LGlSQ/edit?pli=1#gid=0"",""1_ACUM!A4:S""),11,FALSE))"),"EN FORMACION")</f>
        <v>EN FORMACION</v>
      </c>
      <c r="AX67" s="462" t="str">
        <f ca="1">IFERROR(__xludf.DUMMYFUNCTION("IFERROR(VLOOKUP(F96,IMPORTRANGE(""https://docs.google.com/spreadsheets/d/1Kvs4KS76FHFqLFIZfrDMff4kP08nblUkihrxltoGBjg/edit#gid=934712705"",""ESENCIAL!A6:BG""),15,FALSE))"),"TIC")</f>
        <v>TIC</v>
      </c>
      <c r="AY67" s="461">
        <f ca="1">IFERROR(__xludf.DUMMYFUNCTION("IFERROR(VLOOKUP(E96&amp;F96,IMPORTRANGE(""https://docs.google.com/spreadsheets/d/1Uw7-A9f9R21vMXxHZFNpYNeKFtG8_yji4HS352LGlSQ/edit?pli=1#gid=0"",""1_ACUM!A4:S""),13,FALSE))"),0)</f>
        <v>0</v>
      </c>
      <c r="AZ67" s="460">
        <f ca="1">IFERROR(__xludf.DUMMYFUNCTION("IFERROR(VLOOKUP(E96&amp;F96,IMPORTRANGE(""https://docs.google.com/spreadsheets/d/1Uw7-A9f9R21vMXxHZFNpYNeKFtG8_yji4HS352LGlSQ/edit?pli=1#gid=0"",""1_ACUM!A4:S""),13,FALSE))"),0)</f>
        <v>0</v>
      </c>
      <c r="BA67" s="460">
        <f ca="1">IFERROR(__xludf.DUMMYFUNCTION("IFERROR(VLOOKUP(E96&amp;F96,IMPORTRANGE(""https://docs.google.com/spreadsheets/d/1Uw7-A9f9R21vMXxHZFNpYNeKFtG8_yji4HS352LGlSQ/edit?pli=1#gid=0"",""1_ACUM!A4:S""),14,FALSE))"),1)</f>
        <v>1</v>
      </c>
      <c r="BB67" s="460">
        <f ca="1">IFERROR(__xludf.DUMMYFUNCTION("IFERROR(VLOOKUP(E96&amp;F96,IMPORTRANGE(""https://docs.google.com/spreadsheets/d/1Uw7-A9f9R21vMXxHZFNpYNeKFtG8_yji4HS352LGlSQ/edit?pli=1#gid=0"",""1_ACUM!A4:S""),15,FALSE))"),0)</f>
        <v>0</v>
      </c>
      <c r="BC67" s="460">
        <f ca="1">IFERROR(__xludf.DUMMYFUNCTION("IFERROR(VLOOKUP(E96&amp;F96,IMPORTRANGE(""https://docs.google.com/spreadsheets/d/1Uw7-A9f9R21vMXxHZFNpYNeKFtG8_yji4HS352LGlSQ/edit?pli=1#gid=0"",""1_ACUM!A4:S""),16,FALSE))"),0)</f>
        <v>0</v>
      </c>
      <c r="BD67" s="460">
        <f ca="1">IFERROR(__xludf.DUMMYFUNCTION("IFERROR(VLOOKUP(E96&amp;F96,IMPORTRANGE(""https://docs.google.com/spreadsheets/d/1Uw7-A9f9R21vMXxHZFNpYNeKFtG8_yji4HS352LGlSQ/edit?pli=1#gid=0"",""1_ACUM!A4:S""),17,FALSE))"),1)</f>
        <v>1</v>
      </c>
      <c r="BE67" s="461">
        <f ca="1">IFERROR(__xludf.DUMMYFUNCTION("IFERROR(VLOOKUP(E96&amp;F96,IMPORTRANGE(""https://docs.google.com/spreadsheets/d/1Uw7-A9f9R21vMXxHZFNpYNeKFtG8_yji4HS352LGlSQ/edit?pli=1#gid=0"",""1_ACUM!A4:S""),18,FALSE))"),44221)</f>
        <v>44221</v>
      </c>
      <c r="BF67" s="461">
        <f ca="1">IFERROR(__xludf.DUMMYFUNCTION("IFERROR(VLOOKUP(E96&amp;F96,IMPORTRANGE(""https://docs.google.com/spreadsheets/d/1Uw7-A9f9R21vMXxHZFNpYNeKFtG8_yji4HS352LGlSQ/edit?pli=1#gid=0"",""1_ACUM!A4:S""),19,FALSE))"),44766)</f>
        <v>44766</v>
      </c>
      <c r="BG67" s="462">
        <f ca="1">IFERROR(__xludf.DUMMYFUNCTION("IFERROR(VLOOKUP(F96,IMPORTRANGE(""https://docs.google.com/spreadsheets/d/1Kvs4KS76FHFqLFIZfrDMff4kP08nblUkihrxltoGBjg/edit#gid=934712705"",""ESENCIAL!A6:BG""),5,FALSE))"),44950)</f>
        <v>44950</v>
      </c>
      <c r="BH67" s="462">
        <f t="shared" ca="1" si="9"/>
        <v>45497</v>
      </c>
      <c r="BI67" s="338" t="str">
        <f t="shared" ca="1" si="10"/>
        <v>FICHA EN TIEMPO-18 MESES</v>
      </c>
      <c r="BJ67" s="338" t="str">
        <f ca="1">IFERROR(__xludf.DUMMYFUNCTION("IFERROR(VLOOKUP(F96,IMPORTRANGE(""https://docs.google.com/spreadsheets/d/1Kvs4KS76FHFqLFIZfrDMff4kP08nblUkihrxltoGBjg/edit#gid=934712705"",""ESENCIAL!A6:BG""),2,FALSE))"),"En ejecucion")</f>
        <v>En ejecucion</v>
      </c>
      <c r="BK67" s="338" t="str">
        <f t="shared" si="11"/>
        <v>Yamboro</v>
      </c>
      <c r="BL67" s="38"/>
      <c r="BM67" s="38"/>
    </row>
    <row r="68" spans="1:65" ht="24">
      <c r="A68" s="164"/>
      <c r="B68" s="562"/>
      <c r="C68" s="534" t="s">
        <v>25</v>
      </c>
      <c r="D68" s="564" t="s">
        <v>818</v>
      </c>
      <c r="E68" s="217" t="s">
        <v>67</v>
      </c>
      <c r="F68" s="149">
        <v>1004083140</v>
      </c>
      <c r="G68" s="208">
        <v>2326610</v>
      </c>
      <c r="H68" s="338" t="str">
        <f ca="1">IFERROR(__xludf.DUMMYFUNCTION("IFERROR(VLOOKUP(F145,IMPORTRANGE(""https://docs.google.com/spreadsheets/d/1Kvs4KS76FHFqLFIZfrDMff4kP08nblUkihrxltoGBjg/edit#gid=934712705"",""ESENCIAL!A6:BG""),3,FALSE))"),"TECNÓLOGO")</f>
        <v>TECNÓLOGO</v>
      </c>
      <c r="I68" s="338" t="str">
        <f ca="1">IFERROR(__xludf.DUMMYFUNCTION("IFERROR(VLOOKUP(F145,IMPORTRANGE(""https://docs.google.com/spreadsheets/d/1Kvs4KS76FHFqLFIZfrDMff4kP08nblUkihrxltoGBjg/edit#gid=934712705"",""ESENCIAL!A6:BG""),8,FALSE))"),"ANALISIS Y DESARROLLO DE SISTEMAS DE INFORMACION")</f>
        <v>ANALISIS Y DESARROLLO DE SISTEMAS DE INFORMACION</v>
      </c>
      <c r="J68" s="567"/>
      <c r="K68" s="567"/>
      <c r="L68" s="338"/>
      <c r="M68" s="570" t="s">
        <v>44</v>
      </c>
      <c r="N68" s="527"/>
      <c r="O68" s="527"/>
      <c r="P68" s="527"/>
      <c r="Q68" s="527"/>
      <c r="R68" s="527"/>
      <c r="S68" s="525"/>
      <c r="T68" s="530"/>
      <c r="U68" s="527"/>
      <c r="V68" s="527"/>
      <c r="W68" s="338"/>
      <c r="X68" s="527"/>
      <c r="Y68" s="527"/>
      <c r="Z68" s="527"/>
      <c r="AA68" s="527"/>
      <c r="AB68" s="527"/>
      <c r="AC68" s="527"/>
      <c r="AD68" s="527"/>
      <c r="AE68" s="527"/>
      <c r="AF68" s="527"/>
      <c r="AG68" s="527"/>
      <c r="AH68" s="527"/>
      <c r="AI68" s="527"/>
      <c r="AJ68" s="527"/>
      <c r="AK68" s="527"/>
      <c r="AL68" s="527"/>
      <c r="AM68" s="527"/>
      <c r="AN68" s="527"/>
      <c r="AO68" s="527"/>
      <c r="AP68" s="527"/>
      <c r="AQ68" s="527"/>
      <c r="AR68" s="164"/>
      <c r="AS68" s="164"/>
      <c r="AT68" s="164" t="s">
        <v>819</v>
      </c>
      <c r="AU68" s="164"/>
      <c r="AV68" s="338" t="str">
        <f t="shared" ca="1" si="8"/>
        <v>NO_CUMPLE</v>
      </c>
      <c r="AW68" s="338" t="str">
        <f ca="1">IFERROR(__xludf.DUMMYFUNCTION("IFERROR(VLOOKUP(E145&amp;F145,IMPORTRANGE(""https://docs.google.com/spreadsheets/d/1Uw7-A9f9R21vMXxHZFNpYNeKFtG8_yji4HS352LGlSQ/edit?pli=1#gid=0"",""1_ACUM!A4:S""),11,FALSE))"),"EN FORMACION")</f>
        <v>EN FORMACION</v>
      </c>
      <c r="AX68" s="462" t="str">
        <f ca="1">IFERROR(__xludf.DUMMYFUNCTION("IFERROR(VLOOKUP(F145,IMPORTRANGE(""https://docs.google.com/spreadsheets/d/1Kvs4KS76FHFqLFIZfrDMff4kP08nblUkihrxltoGBjg/edit#gid=934712705"",""ESENCIAL!A6:BG""),15,FALSE))"),"TIC")</f>
        <v>TIC</v>
      </c>
      <c r="AY68" s="461">
        <f ca="1">IFERROR(__xludf.DUMMYFUNCTION("IFERROR(VLOOKUP(E145&amp;F145,IMPORTRANGE(""https://docs.google.com/spreadsheets/d/1Uw7-A9f9R21vMXxHZFNpYNeKFtG8_yji4HS352LGlSQ/edit?pli=1#gid=0"",""1_ACUM!A4:S""),13,FALSE))"),4)</f>
        <v>4</v>
      </c>
      <c r="AZ68" s="460">
        <f ca="1">IFERROR(__xludf.DUMMYFUNCTION("IFERROR(VLOOKUP(E145&amp;F145,IMPORTRANGE(""https://docs.google.com/spreadsheets/d/1Uw7-A9f9R21vMXxHZFNpYNeKFtG8_yji4HS352LGlSQ/edit?pli=1#gid=0"",""1_ACUM!A4:S""),13,FALSE))"),4)</f>
        <v>4</v>
      </c>
      <c r="BA68" s="460">
        <f ca="1">IFERROR(__xludf.DUMMYFUNCTION("IFERROR(VLOOKUP(E145&amp;F145,IMPORTRANGE(""https://docs.google.com/spreadsheets/d/1Uw7-A9f9R21vMXxHZFNpYNeKFtG8_yji4HS352LGlSQ/edit?pli=1#gid=0"",""1_ACUM!A4:S""),14,FALSE))"),1)</f>
        <v>1</v>
      </c>
      <c r="BB68" s="460">
        <f ca="1">IFERROR(__xludf.DUMMYFUNCTION("IFERROR(VLOOKUP(E145&amp;F145,IMPORTRANGE(""https://docs.google.com/spreadsheets/d/1Uw7-A9f9R21vMXxHZFNpYNeKFtG8_yji4HS352LGlSQ/edit?pli=1#gid=0"",""1_ACUM!A4:S""),15,FALSE))"),5)</f>
        <v>5</v>
      </c>
      <c r="BC68" s="460">
        <f ca="1">IFERROR(__xludf.DUMMYFUNCTION("IFERROR(VLOOKUP(E145&amp;F145,IMPORTRANGE(""https://docs.google.com/spreadsheets/d/1Uw7-A9f9R21vMXxHZFNpYNeKFtG8_yji4HS352LGlSQ/edit?pli=1#gid=0"",""1_ACUM!A4:S""),16,FALSE))"),7)</f>
        <v>7</v>
      </c>
      <c r="BD68" s="460">
        <f ca="1">IFERROR(__xludf.DUMMYFUNCTION("IFERROR(VLOOKUP(E145&amp;F145,IMPORTRANGE(""https://docs.google.com/spreadsheets/d/1Uw7-A9f9R21vMXxHZFNpYNeKFtG8_yji4HS352LGlSQ/edit?pli=1#gid=0"",""1_ACUM!A4:S""),17,FALSE))"),17)</f>
        <v>17</v>
      </c>
      <c r="BE68" s="461">
        <f ca="1">IFERROR(__xludf.DUMMYFUNCTION("IFERROR(VLOOKUP(E145&amp;F145,IMPORTRANGE(""https://docs.google.com/spreadsheets/d/1Uw7-A9f9R21vMXxHZFNpYNeKFtG8_yji4HS352LGlSQ/edit?pli=1#gid=0"",""1_ACUM!A4:S""),18,FALSE))"),44328)</f>
        <v>44328</v>
      </c>
      <c r="BF68" s="461">
        <f ca="1">IFERROR(__xludf.DUMMYFUNCTION("IFERROR(VLOOKUP(E145&amp;F145,IMPORTRANGE(""https://docs.google.com/spreadsheets/d/1Uw7-A9f9R21vMXxHZFNpYNeKFtG8_yji4HS352LGlSQ/edit?pli=1#gid=0"",""1_ACUM!A4:S""),19,FALSE))"),44876)</f>
        <v>44876</v>
      </c>
      <c r="BG68" s="462">
        <f ca="1">IFERROR(__xludf.DUMMYFUNCTION("IFERROR(VLOOKUP(F145,IMPORTRANGE(""https://docs.google.com/spreadsheets/d/1Kvs4KS76FHFqLFIZfrDMff4kP08nblUkihrxltoGBjg/edit#gid=934712705"",""ESENCIAL!A6:BG""),5,FALSE))"),45057)</f>
        <v>45057</v>
      </c>
      <c r="BH68" s="462">
        <f t="shared" ca="1" si="9"/>
        <v>45607</v>
      </c>
      <c r="BI68" s="338" t="str">
        <f t="shared" ca="1" si="10"/>
        <v>FICHA EN TIEMPO-18 MESES</v>
      </c>
      <c r="BJ68" s="338" t="str">
        <f ca="1">IFERROR(__xludf.DUMMYFUNCTION("IFERROR(VLOOKUP(F145,IMPORTRANGE(""https://docs.google.com/spreadsheets/d/1Kvs4KS76FHFqLFIZfrDMff4kP08nblUkihrxltoGBjg/edit#gid=934712705"",""ESENCIAL!A6:BG""),2,FALSE))"),"En ejecucion")</f>
        <v>En ejecucion</v>
      </c>
      <c r="BK68" s="338" t="str">
        <f t="shared" si="11"/>
        <v>Yamboro</v>
      </c>
      <c r="BL68" s="38"/>
      <c r="BM68" s="38"/>
    </row>
    <row r="69" spans="1:65" ht="24">
      <c r="A69" s="164"/>
      <c r="B69" s="562"/>
      <c r="C69" s="534" t="s">
        <v>25</v>
      </c>
      <c r="D69" s="564" t="s">
        <v>820</v>
      </c>
      <c r="E69" s="217" t="s">
        <v>27</v>
      </c>
      <c r="F69" s="149">
        <v>1004492772</v>
      </c>
      <c r="G69" s="208">
        <v>2326610</v>
      </c>
      <c r="H69" s="338" t="str">
        <f ca="1">IFERROR(__xludf.DUMMYFUNCTION("IFERROR(VLOOKUP(F147,IMPORTRANGE(""https://docs.google.com/spreadsheets/d/1Kvs4KS76FHFqLFIZfrDMff4kP08nblUkihrxltoGBjg/edit#gid=934712705"",""ESENCIAL!A6:BG""),3,FALSE))"),"TECNÓLOGO")</f>
        <v>TECNÓLOGO</v>
      </c>
      <c r="I69" s="338" t="str">
        <f ca="1">IFERROR(__xludf.DUMMYFUNCTION("IFERROR(VLOOKUP(F147,IMPORTRANGE(""https://docs.google.com/spreadsheets/d/1Kvs4KS76FHFqLFIZfrDMff4kP08nblUkihrxltoGBjg/edit#gid=934712705"",""ESENCIAL!A6:BG""),8,FALSE))"),"ANALISIS Y DESARROLLO DE SISTEMAS DE INFORMACION")</f>
        <v>ANALISIS Y DESARROLLO DE SISTEMAS DE INFORMACION</v>
      </c>
      <c r="J69" s="567"/>
      <c r="K69" s="567"/>
      <c r="L69" s="338"/>
      <c r="M69" s="570" t="s">
        <v>44</v>
      </c>
      <c r="N69" s="527"/>
      <c r="O69" s="527"/>
      <c r="P69" s="527"/>
      <c r="Q69" s="527"/>
      <c r="R69" s="527"/>
      <c r="S69" s="525"/>
      <c r="T69" s="530"/>
      <c r="U69" s="527"/>
      <c r="V69" s="527"/>
      <c r="W69" s="338"/>
      <c r="X69" s="527"/>
      <c r="Y69" s="527"/>
      <c r="Z69" s="527"/>
      <c r="AA69" s="527"/>
      <c r="AB69" s="527"/>
      <c r="AC69" s="527"/>
      <c r="AD69" s="527"/>
      <c r="AE69" s="527"/>
      <c r="AF69" s="527"/>
      <c r="AG69" s="527"/>
      <c r="AH69" s="527"/>
      <c r="AI69" s="527"/>
      <c r="AJ69" s="527"/>
      <c r="AK69" s="527"/>
      <c r="AL69" s="527"/>
      <c r="AM69" s="527"/>
      <c r="AN69" s="527"/>
      <c r="AO69" s="527"/>
      <c r="AP69" s="527"/>
      <c r="AQ69" s="527"/>
      <c r="AR69" s="164"/>
      <c r="AS69" s="164"/>
      <c r="AT69" s="164"/>
      <c r="AU69" s="164"/>
      <c r="AV69" s="338" t="str">
        <f t="shared" ca="1" si="8"/>
        <v>NO_CUMPLE</v>
      </c>
      <c r="AW69" s="338" t="str">
        <f ca="1">IFERROR(__xludf.DUMMYFUNCTION("IFERROR(VLOOKUP(E147&amp;F147,IMPORTRANGE(""https://docs.google.com/spreadsheets/d/1Uw7-A9f9R21vMXxHZFNpYNeKFtG8_yji4HS352LGlSQ/edit?pli=1#gid=0"",""1_ACUM!A4:S""),11,FALSE))"),"EN FORMACION")</f>
        <v>EN FORMACION</v>
      </c>
      <c r="AX69" s="462" t="str">
        <f ca="1">IFERROR(__xludf.DUMMYFUNCTION("IFERROR(VLOOKUP(F147,IMPORTRANGE(""https://docs.google.com/spreadsheets/d/1Kvs4KS76FHFqLFIZfrDMff4kP08nblUkihrxltoGBjg/edit#gid=934712705"",""ESENCIAL!A6:BG""),15,FALSE))"),"TIC")</f>
        <v>TIC</v>
      </c>
      <c r="AY69" s="461">
        <f ca="1">IFERROR(__xludf.DUMMYFUNCTION("IFERROR(VLOOKUP(E147&amp;F147,IMPORTRANGE(""https://docs.google.com/spreadsheets/d/1Uw7-A9f9R21vMXxHZFNpYNeKFtG8_yji4HS352LGlSQ/edit?pli=1#gid=0"",""1_ACUM!A4:S""),13,FALSE))"),7)</f>
        <v>7</v>
      </c>
      <c r="AZ69" s="460">
        <f ca="1">IFERROR(__xludf.DUMMYFUNCTION("IFERROR(VLOOKUP(E147&amp;F147,IMPORTRANGE(""https://docs.google.com/spreadsheets/d/1Uw7-A9f9R21vMXxHZFNpYNeKFtG8_yji4HS352LGlSQ/edit?pli=1#gid=0"",""1_ACUM!A4:S""),13,FALSE))"),7)</f>
        <v>7</v>
      </c>
      <c r="BA69" s="460">
        <f ca="1">IFERROR(__xludf.DUMMYFUNCTION("IFERROR(VLOOKUP(E147&amp;F147,IMPORTRANGE(""https://docs.google.com/spreadsheets/d/1Uw7-A9f9R21vMXxHZFNpYNeKFtG8_yji4HS352LGlSQ/edit?pli=1#gid=0"",""1_ACUM!A4:S""),14,FALSE))"),1)</f>
        <v>1</v>
      </c>
      <c r="BB69" s="460">
        <f ca="1">IFERROR(__xludf.DUMMYFUNCTION("IFERROR(VLOOKUP(E147&amp;F147,IMPORTRANGE(""https://docs.google.com/spreadsheets/d/1Uw7-A9f9R21vMXxHZFNpYNeKFtG8_yji4HS352LGlSQ/edit?pli=1#gid=0"",""1_ACUM!A4:S""),15,FALSE))"),15)</f>
        <v>15</v>
      </c>
      <c r="BC69" s="460">
        <f ca="1">IFERROR(__xludf.DUMMYFUNCTION("IFERROR(VLOOKUP(E147&amp;F147,IMPORTRANGE(""https://docs.google.com/spreadsheets/d/1Uw7-A9f9R21vMXxHZFNpYNeKFtG8_yji4HS352LGlSQ/edit?pli=1#gid=0"",""1_ACUM!A4:S""),16,FALSE))"),19)</f>
        <v>19</v>
      </c>
      <c r="BD69" s="460">
        <f ca="1">IFERROR(__xludf.DUMMYFUNCTION("IFERROR(VLOOKUP(E147&amp;F147,IMPORTRANGE(""https://docs.google.com/spreadsheets/d/1Uw7-A9f9R21vMXxHZFNpYNeKFtG8_yji4HS352LGlSQ/edit?pli=1#gid=0"",""1_ACUM!A4:S""),17,FALSE))"),42)</f>
        <v>42</v>
      </c>
      <c r="BE69" s="461">
        <f ca="1">IFERROR(__xludf.DUMMYFUNCTION("IFERROR(VLOOKUP(E147&amp;F147,IMPORTRANGE(""https://docs.google.com/spreadsheets/d/1Uw7-A9f9R21vMXxHZFNpYNeKFtG8_yji4HS352LGlSQ/edit?pli=1#gid=0"",""1_ACUM!A4:S""),18,FALSE))"),44328)</f>
        <v>44328</v>
      </c>
      <c r="BF69" s="461">
        <f ca="1">IFERROR(__xludf.DUMMYFUNCTION("IFERROR(VLOOKUP(E147&amp;F147,IMPORTRANGE(""https://docs.google.com/spreadsheets/d/1Uw7-A9f9R21vMXxHZFNpYNeKFtG8_yji4HS352LGlSQ/edit?pli=1#gid=0"",""1_ACUM!A4:S""),19,FALSE))"),44876)</f>
        <v>44876</v>
      </c>
      <c r="BG69" s="462">
        <f ca="1">IFERROR(__xludf.DUMMYFUNCTION("IFERROR(VLOOKUP(F147,IMPORTRANGE(""https://docs.google.com/spreadsheets/d/1Kvs4KS76FHFqLFIZfrDMff4kP08nblUkihrxltoGBjg/edit#gid=934712705"",""ESENCIAL!A6:BG""),5,FALSE))"),45057)</f>
        <v>45057</v>
      </c>
      <c r="BH69" s="462">
        <f t="shared" ca="1" si="9"/>
        <v>45607</v>
      </c>
      <c r="BI69" s="338" t="str">
        <f t="shared" ca="1" si="10"/>
        <v>FICHA EN TIEMPO-18 MESES</v>
      </c>
      <c r="BJ69" s="338" t="str">
        <f ca="1">IFERROR(__xludf.DUMMYFUNCTION("IFERROR(VLOOKUP(F147,IMPORTRANGE(""https://docs.google.com/spreadsheets/d/1Kvs4KS76FHFqLFIZfrDMff4kP08nblUkihrxltoGBjg/edit#gid=934712705"",""ESENCIAL!A6:BG""),2,FALSE))"),"En ejecucion")</f>
        <v>En ejecucion</v>
      </c>
      <c r="BK69" s="338" t="str">
        <f t="shared" si="11"/>
        <v>Yamboro</v>
      </c>
      <c r="BL69" s="38"/>
      <c r="BM69" s="38"/>
    </row>
    <row r="70" spans="1:65" ht="24">
      <c r="A70" s="164"/>
      <c r="B70" s="562"/>
      <c r="C70" s="534" t="s">
        <v>25</v>
      </c>
      <c r="D70" s="564" t="s">
        <v>821</v>
      </c>
      <c r="E70" s="217" t="s">
        <v>27</v>
      </c>
      <c r="F70" s="149">
        <v>1007563113</v>
      </c>
      <c r="G70" s="208">
        <v>2326610</v>
      </c>
      <c r="H70" s="338" t="str">
        <f ca="1">IFERROR(__xludf.DUMMYFUNCTION("IFERROR(VLOOKUP(F149,IMPORTRANGE(""https://docs.google.com/spreadsheets/d/1Kvs4KS76FHFqLFIZfrDMff4kP08nblUkihrxltoGBjg/edit#gid=934712705"",""ESENCIAL!A6:BG""),3,FALSE))"),"TECNÓLOGO")</f>
        <v>TECNÓLOGO</v>
      </c>
      <c r="I70" s="338" t="str">
        <f ca="1">IFERROR(__xludf.DUMMYFUNCTION("IFERROR(VLOOKUP(F149,IMPORTRANGE(""https://docs.google.com/spreadsheets/d/1Kvs4KS76FHFqLFIZfrDMff4kP08nblUkihrxltoGBjg/edit#gid=934712705"",""ESENCIAL!A6:BG""),8,FALSE))"),"ANALISIS Y DESARROLLO DE SISTEMAS DE INFORMACION")</f>
        <v>ANALISIS Y DESARROLLO DE SISTEMAS DE INFORMACION</v>
      </c>
      <c r="J70" s="567"/>
      <c r="K70" s="567"/>
      <c r="L70" s="338"/>
      <c r="M70" s="570" t="s">
        <v>44</v>
      </c>
      <c r="N70" s="527"/>
      <c r="O70" s="527"/>
      <c r="P70" s="527"/>
      <c r="Q70" s="527"/>
      <c r="R70" s="527"/>
      <c r="S70" s="525"/>
      <c r="T70" s="530"/>
      <c r="U70" s="527"/>
      <c r="V70" s="527"/>
      <c r="W70" s="338"/>
      <c r="X70" s="527"/>
      <c r="Y70" s="527"/>
      <c r="Z70" s="527"/>
      <c r="AA70" s="527"/>
      <c r="AB70" s="527"/>
      <c r="AC70" s="527"/>
      <c r="AD70" s="527"/>
      <c r="AE70" s="527"/>
      <c r="AF70" s="527"/>
      <c r="AG70" s="527"/>
      <c r="AH70" s="527"/>
      <c r="AI70" s="527"/>
      <c r="AJ70" s="527"/>
      <c r="AK70" s="527"/>
      <c r="AL70" s="527"/>
      <c r="AM70" s="527"/>
      <c r="AN70" s="527"/>
      <c r="AO70" s="527"/>
      <c r="AP70" s="527"/>
      <c r="AQ70" s="527"/>
      <c r="AR70" s="164"/>
      <c r="AS70" s="164"/>
      <c r="AT70" s="164"/>
      <c r="AU70" s="164"/>
      <c r="AV70" s="338" t="str">
        <f t="shared" ca="1" si="8"/>
        <v>NO_CUMPLE</v>
      </c>
      <c r="AW70" s="338" t="str">
        <f ca="1">IFERROR(__xludf.DUMMYFUNCTION("IFERROR(VLOOKUP(E149&amp;F149,IMPORTRANGE(""https://docs.google.com/spreadsheets/d/1Uw7-A9f9R21vMXxHZFNpYNeKFtG8_yji4HS352LGlSQ/edit?pli=1#gid=0"",""1_ACUM!A4:S""),11,FALSE))"),"EN FORMACION")</f>
        <v>EN FORMACION</v>
      </c>
      <c r="AX70" s="462" t="str">
        <f ca="1">IFERROR(__xludf.DUMMYFUNCTION("IFERROR(VLOOKUP(F149,IMPORTRANGE(""https://docs.google.com/spreadsheets/d/1Kvs4KS76FHFqLFIZfrDMff4kP08nblUkihrxltoGBjg/edit#gid=934712705"",""ESENCIAL!A6:BG""),15,FALSE))"),"TIC")</f>
        <v>TIC</v>
      </c>
      <c r="AY70" s="461">
        <f ca="1">IFERROR(__xludf.DUMMYFUNCTION("IFERROR(VLOOKUP(E149&amp;F149,IMPORTRANGE(""https://docs.google.com/spreadsheets/d/1Uw7-A9f9R21vMXxHZFNpYNeKFtG8_yji4HS352LGlSQ/edit?pli=1#gid=0"",""1_ACUM!A4:S""),13,FALSE))"),4)</f>
        <v>4</v>
      </c>
      <c r="AZ70" s="460">
        <f ca="1">IFERROR(__xludf.DUMMYFUNCTION("IFERROR(VLOOKUP(E149&amp;F149,IMPORTRANGE(""https://docs.google.com/spreadsheets/d/1Uw7-A9f9R21vMXxHZFNpYNeKFtG8_yji4HS352LGlSQ/edit?pli=1#gid=0"",""1_ACUM!A4:S""),13,FALSE))"),4)</f>
        <v>4</v>
      </c>
      <c r="BA70" s="460">
        <f ca="1">IFERROR(__xludf.DUMMYFUNCTION("IFERROR(VLOOKUP(E149&amp;F149,IMPORTRANGE(""https://docs.google.com/spreadsheets/d/1Uw7-A9f9R21vMXxHZFNpYNeKFtG8_yji4HS352LGlSQ/edit?pli=1#gid=0"",""1_ACUM!A4:S""),14,FALSE))"),1)</f>
        <v>1</v>
      </c>
      <c r="BB70" s="460">
        <f ca="1">IFERROR(__xludf.DUMMYFUNCTION("IFERROR(VLOOKUP(E149&amp;F149,IMPORTRANGE(""https://docs.google.com/spreadsheets/d/1Uw7-A9f9R21vMXxHZFNpYNeKFtG8_yji4HS352LGlSQ/edit?pli=1#gid=0"",""1_ACUM!A4:S""),15,FALSE))"),5)</f>
        <v>5</v>
      </c>
      <c r="BC70" s="460">
        <f ca="1">IFERROR(__xludf.DUMMYFUNCTION("IFERROR(VLOOKUP(E149&amp;F149,IMPORTRANGE(""https://docs.google.com/spreadsheets/d/1Uw7-A9f9R21vMXxHZFNpYNeKFtG8_yji4HS352LGlSQ/edit?pli=1#gid=0"",""1_ACUM!A4:S""),16,FALSE))"),7)</f>
        <v>7</v>
      </c>
      <c r="BD70" s="460">
        <f ca="1">IFERROR(__xludf.DUMMYFUNCTION("IFERROR(VLOOKUP(E149&amp;F149,IMPORTRANGE(""https://docs.google.com/spreadsheets/d/1Uw7-A9f9R21vMXxHZFNpYNeKFtG8_yji4HS352LGlSQ/edit?pli=1#gid=0"",""1_ACUM!A4:S""),17,FALSE))"),17)</f>
        <v>17</v>
      </c>
      <c r="BE70" s="461">
        <f ca="1">IFERROR(__xludf.DUMMYFUNCTION("IFERROR(VLOOKUP(E149&amp;F149,IMPORTRANGE(""https://docs.google.com/spreadsheets/d/1Uw7-A9f9R21vMXxHZFNpYNeKFtG8_yji4HS352LGlSQ/edit?pli=1#gid=0"",""1_ACUM!A4:S""),18,FALSE))"),44328)</f>
        <v>44328</v>
      </c>
      <c r="BF70" s="461">
        <f ca="1">IFERROR(__xludf.DUMMYFUNCTION("IFERROR(VLOOKUP(E149&amp;F149,IMPORTRANGE(""https://docs.google.com/spreadsheets/d/1Uw7-A9f9R21vMXxHZFNpYNeKFtG8_yji4HS352LGlSQ/edit?pli=1#gid=0"",""1_ACUM!A4:S""),19,FALSE))"),44876)</f>
        <v>44876</v>
      </c>
      <c r="BG70" s="462">
        <f ca="1">IFERROR(__xludf.DUMMYFUNCTION("IFERROR(VLOOKUP(F149,IMPORTRANGE(""https://docs.google.com/spreadsheets/d/1Kvs4KS76FHFqLFIZfrDMff4kP08nblUkihrxltoGBjg/edit#gid=934712705"",""ESENCIAL!A6:BG""),5,FALSE))"),45057)</f>
        <v>45057</v>
      </c>
      <c r="BH70" s="462">
        <f t="shared" ca="1" si="9"/>
        <v>45607</v>
      </c>
      <c r="BI70" s="338" t="str">
        <f t="shared" ca="1" si="10"/>
        <v>FICHA EN TIEMPO-18 MESES</v>
      </c>
      <c r="BJ70" s="338" t="str">
        <f ca="1">IFERROR(__xludf.DUMMYFUNCTION("IFERROR(VLOOKUP(F149,IMPORTRANGE(""https://docs.google.com/spreadsheets/d/1Kvs4KS76FHFqLFIZfrDMff4kP08nblUkihrxltoGBjg/edit#gid=934712705"",""ESENCIAL!A6:BG""),2,FALSE))"),"En ejecucion")</f>
        <v>En ejecucion</v>
      </c>
      <c r="BK70" s="338" t="str">
        <f t="shared" si="11"/>
        <v>Yamboro</v>
      </c>
      <c r="BL70" s="38"/>
      <c r="BM70" s="38"/>
    </row>
    <row r="71" spans="1:65" ht="24">
      <c r="A71" s="164"/>
      <c r="B71" s="562"/>
      <c r="C71" s="534" t="s">
        <v>25</v>
      </c>
      <c r="D71" s="564" t="s">
        <v>822</v>
      </c>
      <c r="E71" s="217" t="s">
        <v>27</v>
      </c>
      <c r="F71" s="149">
        <v>1078746185</v>
      </c>
      <c r="G71" s="208">
        <v>2326610</v>
      </c>
      <c r="H71" s="338" t="str">
        <f ca="1">IFERROR(__xludf.DUMMYFUNCTION("IFERROR(VLOOKUP(F152,IMPORTRANGE(""https://docs.google.com/spreadsheets/d/1Kvs4KS76FHFqLFIZfrDMff4kP08nblUkihrxltoGBjg/edit#gid=934712705"",""ESENCIAL!A6:BG""),3,FALSE))"),"TECNÓLOGO")</f>
        <v>TECNÓLOGO</v>
      </c>
      <c r="I71" s="338" t="str">
        <f ca="1">IFERROR(__xludf.DUMMYFUNCTION("IFERROR(VLOOKUP(F152,IMPORTRANGE(""https://docs.google.com/spreadsheets/d/1Kvs4KS76FHFqLFIZfrDMff4kP08nblUkihrxltoGBjg/edit#gid=934712705"",""ESENCIAL!A6:BG""),8,FALSE))"),"ANALISIS Y DESARROLLO DE SISTEMAS DE INFORMACION")</f>
        <v>ANALISIS Y DESARROLLO DE SISTEMAS DE INFORMACION</v>
      </c>
      <c r="J71" s="567"/>
      <c r="K71" s="567"/>
      <c r="L71" s="338"/>
      <c r="M71" s="570" t="s">
        <v>44</v>
      </c>
      <c r="N71" s="527"/>
      <c r="O71" s="527"/>
      <c r="P71" s="527"/>
      <c r="Q71" s="527"/>
      <c r="R71" s="527"/>
      <c r="S71" s="525"/>
      <c r="T71" s="530"/>
      <c r="U71" s="527"/>
      <c r="V71" s="527"/>
      <c r="W71" s="338"/>
      <c r="X71" s="527"/>
      <c r="Y71" s="527"/>
      <c r="Z71" s="527"/>
      <c r="AA71" s="527"/>
      <c r="AB71" s="527"/>
      <c r="AC71" s="527"/>
      <c r="AD71" s="527"/>
      <c r="AE71" s="527"/>
      <c r="AF71" s="527"/>
      <c r="AG71" s="527"/>
      <c r="AH71" s="527"/>
      <c r="AI71" s="527"/>
      <c r="AJ71" s="527"/>
      <c r="AK71" s="527"/>
      <c r="AL71" s="527"/>
      <c r="AM71" s="527"/>
      <c r="AN71" s="527"/>
      <c r="AO71" s="527"/>
      <c r="AP71" s="527"/>
      <c r="AQ71" s="527"/>
      <c r="AR71" s="164"/>
      <c r="AS71" s="164"/>
      <c r="AT71" s="164"/>
      <c r="AU71" s="164"/>
      <c r="AV71" s="338" t="str">
        <f t="shared" ca="1" si="8"/>
        <v>NO_CUMPLE</v>
      </c>
      <c r="AW71" s="338" t="str">
        <f ca="1">IFERROR(__xludf.DUMMYFUNCTION("IFERROR(VLOOKUP(E152&amp;F152,IMPORTRANGE(""https://docs.google.com/spreadsheets/d/1Uw7-A9f9R21vMXxHZFNpYNeKFtG8_yji4HS352LGlSQ/edit?pli=1#gid=0"",""1_ACUM!A4:S""),11,FALSE))"),"EN FORMACION")</f>
        <v>EN FORMACION</v>
      </c>
      <c r="AX71" s="462" t="str">
        <f ca="1">IFERROR(__xludf.DUMMYFUNCTION("IFERROR(VLOOKUP(F152,IMPORTRANGE(""https://docs.google.com/spreadsheets/d/1Kvs4KS76FHFqLFIZfrDMff4kP08nblUkihrxltoGBjg/edit#gid=934712705"",""ESENCIAL!A6:BG""),15,FALSE))"),"TIC")</f>
        <v>TIC</v>
      </c>
      <c r="AY71" s="461">
        <f ca="1">IFERROR(__xludf.DUMMYFUNCTION("IFERROR(VLOOKUP(E152&amp;F152,IMPORTRANGE(""https://docs.google.com/spreadsheets/d/1Uw7-A9f9R21vMXxHZFNpYNeKFtG8_yji4HS352LGlSQ/edit?pli=1#gid=0"",""1_ACUM!A4:S""),13,FALSE))"),4)</f>
        <v>4</v>
      </c>
      <c r="AZ71" s="460">
        <f ca="1">IFERROR(__xludf.DUMMYFUNCTION("IFERROR(VLOOKUP(E152&amp;F152,IMPORTRANGE(""https://docs.google.com/spreadsheets/d/1Uw7-A9f9R21vMXxHZFNpYNeKFtG8_yji4HS352LGlSQ/edit?pli=1#gid=0"",""1_ACUM!A4:S""),13,FALSE))"),4)</f>
        <v>4</v>
      </c>
      <c r="BA71" s="460">
        <f ca="1">IFERROR(__xludf.DUMMYFUNCTION("IFERROR(VLOOKUP(E152&amp;F152,IMPORTRANGE(""https://docs.google.com/spreadsheets/d/1Uw7-A9f9R21vMXxHZFNpYNeKFtG8_yji4HS352LGlSQ/edit?pli=1#gid=0"",""1_ACUM!A4:S""),14,FALSE))"),1)</f>
        <v>1</v>
      </c>
      <c r="BB71" s="460">
        <f ca="1">IFERROR(__xludf.DUMMYFUNCTION("IFERROR(VLOOKUP(E152&amp;F152,IMPORTRANGE(""https://docs.google.com/spreadsheets/d/1Uw7-A9f9R21vMXxHZFNpYNeKFtG8_yji4HS352LGlSQ/edit?pli=1#gid=0"",""1_ACUM!A4:S""),15,FALSE))"),9)</f>
        <v>9</v>
      </c>
      <c r="BC71" s="460">
        <f ca="1">IFERROR(__xludf.DUMMYFUNCTION("IFERROR(VLOOKUP(E152&amp;F152,IMPORTRANGE(""https://docs.google.com/spreadsheets/d/1Uw7-A9f9R21vMXxHZFNpYNeKFtG8_yji4HS352LGlSQ/edit?pli=1#gid=0"",""1_ACUM!A4:S""),16,FALSE))"),7)</f>
        <v>7</v>
      </c>
      <c r="BD71" s="460">
        <f ca="1">IFERROR(__xludf.DUMMYFUNCTION("IFERROR(VLOOKUP(E152&amp;F152,IMPORTRANGE(""https://docs.google.com/spreadsheets/d/1Uw7-A9f9R21vMXxHZFNpYNeKFtG8_yji4HS352LGlSQ/edit?pli=1#gid=0"",""1_ACUM!A4:S""),17,FALSE))"),21)</f>
        <v>21</v>
      </c>
      <c r="BE71" s="461">
        <f ca="1">IFERROR(__xludf.DUMMYFUNCTION("IFERROR(VLOOKUP(E152&amp;F152,IMPORTRANGE(""https://docs.google.com/spreadsheets/d/1Uw7-A9f9R21vMXxHZFNpYNeKFtG8_yji4HS352LGlSQ/edit?pli=1#gid=0"",""1_ACUM!A4:S""),18,FALSE))"),44328)</f>
        <v>44328</v>
      </c>
      <c r="BF71" s="461">
        <f ca="1">IFERROR(__xludf.DUMMYFUNCTION("IFERROR(VLOOKUP(E152&amp;F152,IMPORTRANGE(""https://docs.google.com/spreadsheets/d/1Uw7-A9f9R21vMXxHZFNpYNeKFtG8_yji4HS352LGlSQ/edit?pli=1#gid=0"",""1_ACUM!A4:S""),19,FALSE))"),44876)</f>
        <v>44876</v>
      </c>
      <c r="BG71" s="462">
        <f ca="1">IFERROR(__xludf.DUMMYFUNCTION("IFERROR(VLOOKUP(F152,IMPORTRANGE(""https://docs.google.com/spreadsheets/d/1Kvs4KS76FHFqLFIZfrDMff4kP08nblUkihrxltoGBjg/edit#gid=934712705"",""ESENCIAL!A6:BG""),5,FALSE))"),45057)</f>
        <v>45057</v>
      </c>
      <c r="BH71" s="462">
        <f t="shared" ca="1" si="9"/>
        <v>45607</v>
      </c>
      <c r="BI71" s="338" t="str">
        <f t="shared" ca="1" si="10"/>
        <v>FICHA EN TIEMPO-18 MESES</v>
      </c>
      <c r="BJ71" s="338" t="str">
        <f ca="1">IFERROR(__xludf.DUMMYFUNCTION("IFERROR(VLOOKUP(F152,IMPORTRANGE(""https://docs.google.com/spreadsheets/d/1Kvs4KS76FHFqLFIZfrDMff4kP08nblUkihrxltoGBjg/edit#gid=934712705"",""ESENCIAL!A6:BG""),2,FALSE))"),"En ejecucion")</f>
        <v>En ejecucion</v>
      </c>
      <c r="BK71" s="338" t="str">
        <f t="shared" si="11"/>
        <v>Yamboro</v>
      </c>
      <c r="BL71" s="38"/>
      <c r="BM71" s="38"/>
    </row>
    <row r="72" spans="1:65" ht="24">
      <c r="A72" s="164"/>
      <c r="B72" s="562"/>
      <c r="C72" s="534" t="s">
        <v>25</v>
      </c>
      <c r="D72" s="564" t="s">
        <v>823</v>
      </c>
      <c r="E72" s="217" t="s">
        <v>67</v>
      </c>
      <c r="F72" s="149">
        <v>1083868126</v>
      </c>
      <c r="G72" s="208">
        <v>2326610</v>
      </c>
      <c r="H72" s="338" t="str">
        <f ca="1">IFERROR(__xludf.DUMMYFUNCTION("IFERROR(VLOOKUP(F153,IMPORTRANGE(""https://docs.google.com/spreadsheets/d/1Kvs4KS76FHFqLFIZfrDMff4kP08nblUkihrxltoGBjg/edit#gid=934712705"",""ESENCIAL!A6:BG""),3,FALSE))"),"TECNÓLOGO")</f>
        <v>TECNÓLOGO</v>
      </c>
      <c r="I72" s="338" t="str">
        <f ca="1">IFERROR(__xludf.DUMMYFUNCTION("IFERROR(VLOOKUP(F153,IMPORTRANGE(""https://docs.google.com/spreadsheets/d/1Kvs4KS76FHFqLFIZfrDMff4kP08nblUkihrxltoGBjg/edit#gid=934712705"",""ESENCIAL!A6:BG""),8,FALSE))"),"ANALISIS Y DESARROLLO DE SISTEMAS DE INFORMACION")</f>
        <v>ANALISIS Y DESARROLLO DE SISTEMAS DE INFORMACION</v>
      </c>
      <c r="J72" s="567"/>
      <c r="K72" s="567"/>
      <c r="L72" s="338"/>
      <c r="M72" s="570" t="s">
        <v>44</v>
      </c>
      <c r="N72" s="527"/>
      <c r="O72" s="527"/>
      <c r="P72" s="527"/>
      <c r="Q72" s="527"/>
      <c r="R72" s="527"/>
      <c r="S72" s="525"/>
      <c r="T72" s="530"/>
      <c r="U72" s="527"/>
      <c r="V72" s="527"/>
      <c r="W72" s="338"/>
      <c r="X72" s="527"/>
      <c r="Y72" s="527"/>
      <c r="Z72" s="527"/>
      <c r="AA72" s="527"/>
      <c r="AB72" s="527"/>
      <c r="AC72" s="527"/>
      <c r="AD72" s="527"/>
      <c r="AE72" s="527"/>
      <c r="AF72" s="527"/>
      <c r="AG72" s="527"/>
      <c r="AH72" s="527"/>
      <c r="AI72" s="527"/>
      <c r="AJ72" s="527"/>
      <c r="AK72" s="527"/>
      <c r="AL72" s="527"/>
      <c r="AM72" s="527"/>
      <c r="AN72" s="527"/>
      <c r="AO72" s="527"/>
      <c r="AP72" s="527"/>
      <c r="AQ72" s="527"/>
      <c r="AR72" s="164"/>
      <c r="AS72" s="164"/>
      <c r="AT72" s="164"/>
      <c r="AU72" s="164"/>
      <c r="AV72" s="338" t="str">
        <f t="shared" ca="1" si="8"/>
        <v>NO_CUMPLE</v>
      </c>
      <c r="AW72" s="338" t="str">
        <f ca="1">IFERROR(__xludf.DUMMYFUNCTION("IFERROR(VLOOKUP(E153&amp;F153,IMPORTRANGE(""https://docs.google.com/spreadsheets/d/1Uw7-A9f9R21vMXxHZFNpYNeKFtG8_yji4HS352LGlSQ/edit?pli=1#gid=0"",""1_ACUM!A4:S""),11,FALSE))"),"EN FORMACION")</f>
        <v>EN FORMACION</v>
      </c>
      <c r="AX72" s="462" t="str">
        <f ca="1">IFERROR(__xludf.DUMMYFUNCTION("IFERROR(VLOOKUP(F153,IMPORTRANGE(""https://docs.google.com/spreadsheets/d/1Kvs4KS76FHFqLFIZfrDMff4kP08nblUkihrxltoGBjg/edit#gid=934712705"",""ESENCIAL!A6:BG""),15,FALSE))"),"TIC")</f>
        <v>TIC</v>
      </c>
      <c r="AY72" s="461">
        <f ca="1">IFERROR(__xludf.DUMMYFUNCTION("IFERROR(VLOOKUP(E153&amp;F153,IMPORTRANGE(""https://docs.google.com/spreadsheets/d/1Uw7-A9f9R21vMXxHZFNpYNeKFtG8_yji4HS352LGlSQ/edit?pli=1#gid=0"",""1_ACUM!A4:S""),13,FALSE))"),5)</f>
        <v>5</v>
      </c>
      <c r="AZ72" s="460">
        <f ca="1">IFERROR(__xludf.DUMMYFUNCTION("IFERROR(VLOOKUP(E153&amp;F153,IMPORTRANGE(""https://docs.google.com/spreadsheets/d/1Uw7-A9f9R21vMXxHZFNpYNeKFtG8_yji4HS352LGlSQ/edit?pli=1#gid=0"",""1_ACUM!A4:S""),13,FALSE))"),5)</f>
        <v>5</v>
      </c>
      <c r="BA72" s="460">
        <f ca="1">IFERROR(__xludf.DUMMYFUNCTION("IFERROR(VLOOKUP(E153&amp;F153,IMPORTRANGE(""https://docs.google.com/spreadsheets/d/1Uw7-A9f9R21vMXxHZFNpYNeKFtG8_yji4HS352LGlSQ/edit?pli=1#gid=0"",""1_ACUM!A4:S""),14,FALSE))"),1)</f>
        <v>1</v>
      </c>
      <c r="BB72" s="460">
        <f ca="1">IFERROR(__xludf.DUMMYFUNCTION("IFERROR(VLOOKUP(E153&amp;F153,IMPORTRANGE(""https://docs.google.com/spreadsheets/d/1Uw7-A9f9R21vMXxHZFNpYNeKFtG8_yji4HS352LGlSQ/edit?pli=1#gid=0"",""1_ACUM!A4:S""),15,FALSE))"),5)</f>
        <v>5</v>
      </c>
      <c r="BC72" s="460">
        <f ca="1">IFERROR(__xludf.DUMMYFUNCTION("IFERROR(VLOOKUP(E153&amp;F153,IMPORTRANGE(""https://docs.google.com/spreadsheets/d/1Uw7-A9f9R21vMXxHZFNpYNeKFtG8_yji4HS352LGlSQ/edit?pli=1#gid=0"",""1_ACUM!A4:S""),16,FALSE))"),7)</f>
        <v>7</v>
      </c>
      <c r="BD72" s="460">
        <f ca="1">IFERROR(__xludf.DUMMYFUNCTION("IFERROR(VLOOKUP(E153&amp;F153,IMPORTRANGE(""https://docs.google.com/spreadsheets/d/1Uw7-A9f9R21vMXxHZFNpYNeKFtG8_yji4HS352LGlSQ/edit?pli=1#gid=0"",""1_ACUM!A4:S""),17,FALSE))"),18)</f>
        <v>18</v>
      </c>
      <c r="BE72" s="461">
        <f ca="1">IFERROR(__xludf.DUMMYFUNCTION("IFERROR(VLOOKUP(E153&amp;F153,IMPORTRANGE(""https://docs.google.com/spreadsheets/d/1Uw7-A9f9R21vMXxHZFNpYNeKFtG8_yji4HS352LGlSQ/edit?pli=1#gid=0"",""1_ACUM!A4:S""),18,FALSE))"),44328)</f>
        <v>44328</v>
      </c>
      <c r="BF72" s="461">
        <f ca="1">IFERROR(__xludf.DUMMYFUNCTION("IFERROR(VLOOKUP(E153&amp;F153,IMPORTRANGE(""https://docs.google.com/spreadsheets/d/1Uw7-A9f9R21vMXxHZFNpYNeKFtG8_yji4HS352LGlSQ/edit?pli=1#gid=0"",""1_ACUM!A4:S""),19,FALSE))"),44876)</f>
        <v>44876</v>
      </c>
      <c r="BG72" s="462">
        <f ca="1">IFERROR(__xludf.DUMMYFUNCTION("IFERROR(VLOOKUP(F153,IMPORTRANGE(""https://docs.google.com/spreadsheets/d/1Kvs4KS76FHFqLFIZfrDMff4kP08nblUkihrxltoGBjg/edit#gid=934712705"",""ESENCIAL!A6:BG""),5,FALSE))"),45057)</f>
        <v>45057</v>
      </c>
      <c r="BH72" s="462">
        <f t="shared" ca="1" si="9"/>
        <v>45607</v>
      </c>
      <c r="BI72" s="338" t="str">
        <f t="shared" ca="1" si="10"/>
        <v>FICHA EN TIEMPO-18 MESES</v>
      </c>
      <c r="BJ72" s="338" t="str">
        <f ca="1">IFERROR(__xludf.DUMMYFUNCTION("IFERROR(VLOOKUP(F153,IMPORTRANGE(""https://docs.google.com/spreadsheets/d/1Kvs4KS76FHFqLFIZfrDMff4kP08nblUkihrxltoGBjg/edit#gid=934712705"",""ESENCIAL!A6:BG""),2,FALSE))"),"En ejecucion")</f>
        <v>En ejecucion</v>
      </c>
      <c r="BK72" s="338" t="str">
        <f t="shared" si="11"/>
        <v>Yamboro</v>
      </c>
      <c r="BL72" s="38"/>
      <c r="BM72" s="38"/>
    </row>
    <row r="73" spans="1:65" ht="24">
      <c r="A73" s="164"/>
      <c r="B73" s="562"/>
      <c r="C73" s="534" t="s">
        <v>25</v>
      </c>
      <c r="D73" s="564" t="s">
        <v>824</v>
      </c>
      <c r="E73" s="217" t="s">
        <v>27</v>
      </c>
      <c r="F73" s="149">
        <v>1004443143</v>
      </c>
      <c r="G73" s="208">
        <v>2469582</v>
      </c>
      <c r="H73" s="338" t="str">
        <f ca="1">IFERROR(__xludf.DUMMYFUNCTION("IFERROR(VLOOKUP(F173,IMPORTRANGE(""https://docs.google.com/spreadsheets/d/1Kvs4KS76FHFqLFIZfrDMff4kP08nblUkihrxltoGBjg/edit#gid=934712705"",""ESENCIAL!A6:BG""),3,FALSE))"),"TECNÓLOGO")</f>
        <v>TECNÓLOGO</v>
      </c>
      <c r="I73" s="338" t="str">
        <f ca="1">IFERROR(__xludf.DUMMYFUNCTION("IFERROR(VLOOKUP(F173,IMPORTRANGE(""https://docs.google.com/spreadsheets/d/1Kvs4KS76FHFqLFIZfrDMff4kP08nblUkihrxltoGBjg/edit#gid=934712705"",""ESENCIAL!A6:BG""),8,FALSE))"),"GESTION DE REDES DE DATOS")</f>
        <v>GESTION DE REDES DE DATOS</v>
      </c>
      <c r="J73" s="567"/>
      <c r="K73" s="567"/>
      <c r="L73" s="338"/>
      <c r="M73" s="570" t="s">
        <v>44</v>
      </c>
      <c r="N73" s="527"/>
      <c r="O73" s="527"/>
      <c r="P73" s="527"/>
      <c r="Q73" s="527"/>
      <c r="R73" s="527"/>
      <c r="S73" s="525"/>
      <c r="T73" s="530"/>
      <c r="U73" s="545" t="s">
        <v>825</v>
      </c>
      <c r="V73" s="527"/>
      <c r="W73" s="338"/>
      <c r="X73" s="527"/>
      <c r="Y73" s="527"/>
      <c r="Z73" s="527"/>
      <c r="AA73" s="527"/>
      <c r="AB73" s="527"/>
      <c r="AC73" s="527"/>
      <c r="AD73" s="527"/>
      <c r="AE73" s="527"/>
      <c r="AF73" s="527"/>
      <c r="AG73" s="527"/>
      <c r="AH73" s="527"/>
      <c r="AI73" s="527"/>
      <c r="AJ73" s="527"/>
      <c r="AK73" s="527"/>
      <c r="AL73" s="527"/>
      <c r="AM73" s="527"/>
      <c r="AN73" s="527"/>
      <c r="AO73" s="527"/>
      <c r="AP73" s="527"/>
      <c r="AQ73" s="527"/>
      <c r="AR73" s="164"/>
      <c r="AS73" s="164"/>
      <c r="AT73" s="164"/>
      <c r="AU73" s="164"/>
      <c r="AV73" s="338" t="str">
        <f t="shared" ca="1" si="8"/>
        <v>NO_CUMPLE</v>
      </c>
      <c r="AW73" s="338" t="str">
        <f ca="1">IFERROR(__xludf.DUMMYFUNCTION("IFERROR(VLOOKUP(E173&amp;F173,IMPORTRANGE(""https://docs.google.com/spreadsheets/d/1Uw7-A9f9R21vMXxHZFNpYNeKFtG8_yji4HS352LGlSQ/edit?pli=1#gid=0"",""1_ACUM!A4:S""),11,FALSE))"),"EN FORMACION")</f>
        <v>EN FORMACION</v>
      </c>
      <c r="AX73" s="462" t="str">
        <f ca="1">IFERROR(__xludf.DUMMYFUNCTION("IFERROR(VLOOKUP(F173,IMPORTRANGE(""https://docs.google.com/spreadsheets/d/1Kvs4KS76FHFqLFIZfrDMff4kP08nblUkihrxltoGBjg/edit#gid=934712705"",""ESENCIAL!A6:BG""),15,FALSE))"),"TIC")</f>
        <v>TIC</v>
      </c>
      <c r="AY73" s="461">
        <f ca="1">IFERROR(__xludf.DUMMYFUNCTION("IFERROR(VLOOKUP(E173&amp;F173,IMPORTRANGE(""https://docs.google.com/spreadsheets/d/1Uw7-A9f9R21vMXxHZFNpYNeKFtG8_yji4HS352LGlSQ/edit?pli=1#gid=0"",""1_ACUM!A4:S""),13,FALSE))"),23)</f>
        <v>23</v>
      </c>
      <c r="AZ73" s="460">
        <f ca="1">IFERROR(__xludf.DUMMYFUNCTION("IFERROR(VLOOKUP(E173&amp;F173,IMPORTRANGE(""https://docs.google.com/spreadsheets/d/1Uw7-A9f9R21vMXxHZFNpYNeKFtG8_yji4HS352LGlSQ/edit?pli=1#gid=0"",""1_ACUM!A4:S""),13,FALSE))"),23)</f>
        <v>23</v>
      </c>
      <c r="BA73" s="460">
        <f ca="1">IFERROR(__xludf.DUMMYFUNCTION("IFERROR(VLOOKUP(E173&amp;F173,IMPORTRANGE(""https://docs.google.com/spreadsheets/d/1Uw7-A9f9R21vMXxHZFNpYNeKFtG8_yji4HS352LGlSQ/edit?pli=1#gid=0"",""1_ACUM!A4:S""),14,FALSE))"),1)</f>
        <v>1</v>
      </c>
      <c r="BB73" s="460">
        <f ca="1">IFERROR(__xludf.DUMMYFUNCTION("IFERROR(VLOOKUP(E173&amp;F173,IMPORTRANGE(""https://docs.google.com/spreadsheets/d/1Uw7-A9f9R21vMXxHZFNpYNeKFtG8_yji4HS352LGlSQ/edit?pli=1#gid=0"",""1_ACUM!A4:S""),15,FALSE))"),4)</f>
        <v>4</v>
      </c>
      <c r="BC73" s="460">
        <f ca="1">IFERROR(__xludf.DUMMYFUNCTION("IFERROR(VLOOKUP(E173&amp;F173,IMPORTRANGE(""https://docs.google.com/spreadsheets/d/1Uw7-A9f9R21vMXxHZFNpYNeKFtG8_yji4HS352LGlSQ/edit?pli=1#gid=0"",""1_ACUM!A4:S""),16,FALSE))"),17)</f>
        <v>17</v>
      </c>
      <c r="BD73" s="460">
        <f ca="1">IFERROR(__xludf.DUMMYFUNCTION("IFERROR(VLOOKUP(E173&amp;F173,IMPORTRANGE(""https://docs.google.com/spreadsheets/d/1Uw7-A9f9R21vMXxHZFNpYNeKFtG8_yji4HS352LGlSQ/edit?pli=1#gid=0"",""1_ACUM!A4:S""),17,FALSE))"),45)</f>
        <v>45</v>
      </c>
      <c r="BE73" s="461">
        <f ca="1">IFERROR(__xludf.DUMMYFUNCTION("IFERROR(VLOOKUP(E173&amp;F173,IMPORTRANGE(""https://docs.google.com/spreadsheets/d/1Uw7-A9f9R21vMXxHZFNpYNeKFtG8_yji4HS352LGlSQ/edit?pli=1#gid=0"",""1_ACUM!A4:S""),18,FALSE))"),44550)</f>
        <v>44550</v>
      </c>
      <c r="BF73" s="461">
        <f ca="1">IFERROR(__xludf.DUMMYFUNCTION("IFERROR(VLOOKUP(E173&amp;F173,IMPORTRANGE(""https://docs.google.com/spreadsheets/d/1Uw7-A9f9R21vMXxHZFNpYNeKFtG8_yji4HS352LGlSQ/edit?pli=1#gid=0"",""1_ACUM!A4:S""),19,FALSE))"),45188)</f>
        <v>45188</v>
      </c>
      <c r="BG73" s="462">
        <f ca="1">IFERROR(__xludf.DUMMYFUNCTION("IFERROR(VLOOKUP(F173,IMPORTRANGE(""https://docs.google.com/spreadsheets/d/1Kvs4KS76FHFqLFIZfrDMff4kP08nblUkihrxltoGBjg/edit#gid=934712705"",""ESENCIAL!A6:BG""),5,FALSE))"),45370)</f>
        <v>45370</v>
      </c>
      <c r="BH73" s="462">
        <f t="shared" ca="1" si="9"/>
        <v>45919</v>
      </c>
      <c r="BI73" s="338" t="str">
        <f t="shared" ca="1" si="10"/>
        <v>FICHA EN TIEMPO-18 MESES</v>
      </c>
      <c r="BJ73" s="338" t="str">
        <f ca="1">IFERROR(__xludf.DUMMYFUNCTION("IFERROR(VLOOKUP(F173,IMPORTRANGE(""https://docs.google.com/spreadsheets/d/1Kvs4KS76FHFqLFIZfrDMff4kP08nblUkihrxltoGBjg/edit#gid=934712705"",""ESENCIAL!A6:BG""),2,FALSE))"),"En ejecucion")</f>
        <v>En ejecucion</v>
      </c>
      <c r="BK73" s="338" t="str">
        <f t="shared" si="11"/>
        <v>Yamboro</v>
      </c>
      <c r="BL73" s="38"/>
      <c r="BM73" s="38"/>
    </row>
    <row r="74" spans="1:65" ht="24">
      <c r="A74" s="164"/>
      <c r="B74" s="562"/>
      <c r="C74" s="534" t="s">
        <v>25</v>
      </c>
      <c r="D74" s="564" t="s">
        <v>826</v>
      </c>
      <c r="E74" s="217" t="s">
        <v>67</v>
      </c>
      <c r="F74" s="149">
        <v>1082773003</v>
      </c>
      <c r="G74" s="208">
        <v>2469582</v>
      </c>
      <c r="H74" s="338" t="str">
        <f ca="1">IFERROR(__xludf.DUMMYFUNCTION("IFERROR(VLOOKUP(F174,IMPORTRANGE(""https://docs.google.com/spreadsheets/d/1Kvs4KS76FHFqLFIZfrDMff4kP08nblUkihrxltoGBjg/edit#gid=934712705"",""ESENCIAL!A6:BG""),3,FALSE))"),"TECNÓLOGO")</f>
        <v>TECNÓLOGO</v>
      </c>
      <c r="I74" s="338" t="str">
        <f ca="1">IFERROR(__xludf.DUMMYFUNCTION("IFERROR(VLOOKUP(F174,IMPORTRANGE(""https://docs.google.com/spreadsheets/d/1Kvs4KS76FHFqLFIZfrDMff4kP08nblUkihrxltoGBjg/edit#gid=934712705"",""ESENCIAL!A6:BG""),8,FALSE))"),"GESTION DE REDES DE DATOS")</f>
        <v>GESTION DE REDES DE DATOS</v>
      </c>
      <c r="J74" s="567"/>
      <c r="K74" s="567"/>
      <c r="L74" s="338"/>
      <c r="M74" s="570" t="s">
        <v>44</v>
      </c>
      <c r="N74" s="527"/>
      <c r="O74" s="527"/>
      <c r="P74" s="527"/>
      <c r="Q74" s="527"/>
      <c r="R74" s="527"/>
      <c r="S74" s="525"/>
      <c r="T74" s="530"/>
      <c r="U74" s="545" t="s">
        <v>825</v>
      </c>
      <c r="V74" s="527"/>
      <c r="W74" s="338"/>
      <c r="X74" s="527"/>
      <c r="Y74" s="527"/>
      <c r="Z74" s="527"/>
      <c r="AA74" s="527"/>
      <c r="AB74" s="527"/>
      <c r="AC74" s="527"/>
      <c r="AD74" s="527"/>
      <c r="AE74" s="527"/>
      <c r="AF74" s="527"/>
      <c r="AG74" s="527"/>
      <c r="AH74" s="527"/>
      <c r="AI74" s="527"/>
      <c r="AJ74" s="527"/>
      <c r="AK74" s="527"/>
      <c r="AL74" s="527"/>
      <c r="AM74" s="527"/>
      <c r="AN74" s="527"/>
      <c r="AO74" s="527"/>
      <c r="AP74" s="527"/>
      <c r="AQ74" s="527"/>
      <c r="AR74" s="164"/>
      <c r="AS74" s="164"/>
      <c r="AT74" s="164"/>
      <c r="AU74" s="164"/>
      <c r="AV74" s="338" t="str">
        <f t="shared" ca="1" si="8"/>
        <v>NO_CUMPLE</v>
      </c>
      <c r="AW74" s="338" t="str">
        <f ca="1">IFERROR(__xludf.DUMMYFUNCTION("IFERROR(VLOOKUP(E174&amp;F174,IMPORTRANGE(""https://docs.google.com/spreadsheets/d/1Uw7-A9f9R21vMXxHZFNpYNeKFtG8_yji4HS352LGlSQ/edit?pli=1#gid=0"",""1_ACUM!A4:S""),11,FALSE))"),"EN FORMACION")</f>
        <v>EN FORMACION</v>
      </c>
      <c r="AX74" s="462" t="str">
        <f ca="1">IFERROR(__xludf.DUMMYFUNCTION("IFERROR(VLOOKUP(F174,IMPORTRANGE(""https://docs.google.com/spreadsheets/d/1Kvs4KS76FHFqLFIZfrDMff4kP08nblUkihrxltoGBjg/edit#gid=934712705"",""ESENCIAL!A6:BG""),15,FALSE))"),"TIC")</f>
        <v>TIC</v>
      </c>
      <c r="AY74" s="461">
        <f ca="1">IFERROR(__xludf.DUMMYFUNCTION("IFERROR(VLOOKUP(E174&amp;F174,IMPORTRANGE(""https://docs.google.com/spreadsheets/d/1Uw7-A9f9R21vMXxHZFNpYNeKFtG8_yji4HS352LGlSQ/edit?pli=1#gid=0"",""1_ACUM!A4:S""),13,FALSE))"),23)</f>
        <v>23</v>
      </c>
      <c r="AZ74" s="460">
        <f ca="1">IFERROR(__xludf.DUMMYFUNCTION("IFERROR(VLOOKUP(E174&amp;F174,IMPORTRANGE(""https://docs.google.com/spreadsheets/d/1Uw7-A9f9R21vMXxHZFNpYNeKFtG8_yji4HS352LGlSQ/edit?pli=1#gid=0"",""1_ACUM!A4:S""),13,FALSE))"),23)</f>
        <v>23</v>
      </c>
      <c r="BA74" s="460">
        <f ca="1">IFERROR(__xludf.DUMMYFUNCTION("IFERROR(VLOOKUP(E174&amp;F174,IMPORTRANGE(""https://docs.google.com/spreadsheets/d/1Uw7-A9f9R21vMXxHZFNpYNeKFtG8_yji4HS352LGlSQ/edit?pli=1#gid=0"",""1_ACUM!A4:S""),14,FALSE))"),1)</f>
        <v>1</v>
      </c>
      <c r="BB74" s="460">
        <f ca="1">IFERROR(__xludf.DUMMYFUNCTION("IFERROR(VLOOKUP(E174&amp;F174,IMPORTRANGE(""https://docs.google.com/spreadsheets/d/1Uw7-A9f9R21vMXxHZFNpYNeKFtG8_yji4HS352LGlSQ/edit?pli=1#gid=0"",""1_ACUM!A4:S""),15,FALSE))"),4)</f>
        <v>4</v>
      </c>
      <c r="BC74" s="460">
        <f ca="1">IFERROR(__xludf.DUMMYFUNCTION("IFERROR(VLOOKUP(E174&amp;F174,IMPORTRANGE(""https://docs.google.com/spreadsheets/d/1Uw7-A9f9R21vMXxHZFNpYNeKFtG8_yji4HS352LGlSQ/edit?pli=1#gid=0"",""1_ACUM!A4:S""),16,FALSE))"),17)</f>
        <v>17</v>
      </c>
      <c r="BD74" s="460">
        <f ca="1">IFERROR(__xludf.DUMMYFUNCTION("IFERROR(VLOOKUP(E174&amp;F174,IMPORTRANGE(""https://docs.google.com/spreadsheets/d/1Uw7-A9f9R21vMXxHZFNpYNeKFtG8_yji4HS352LGlSQ/edit?pli=1#gid=0"",""1_ACUM!A4:S""),17,FALSE))"),45)</f>
        <v>45</v>
      </c>
      <c r="BE74" s="461">
        <f ca="1">IFERROR(__xludf.DUMMYFUNCTION("IFERROR(VLOOKUP(E174&amp;F174,IMPORTRANGE(""https://docs.google.com/spreadsheets/d/1Uw7-A9f9R21vMXxHZFNpYNeKFtG8_yji4HS352LGlSQ/edit?pli=1#gid=0"",""1_ACUM!A4:S""),18,FALSE))"),44550)</f>
        <v>44550</v>
      </c>
      <c r="BF74" s="461">
        <f ca="1">IFERROR(__xludf.DUMMYFUNCTION("IFERROR(VLOOKUP(E174&amp;F174,IMPORTRANGE(""https://docs.google.com/spreadsheets/d/1Uw7-A9f9R21vMXxHZFNpYNeKFtG8_yji4HS352LGlSQ/edit?pli=1#gid=0"",""1_ACUM!A4:S""),19,FALSE))"),45188)</f>
        <v>45188</v>
      </c>
      <c r="BG74" s="462">
        <f ca="1">IFERROR(__xludf.DUMMYFUNCTION("IFERROR(VLOOKUP(F174,IMPORTRANGE(""https://docs.google.com/spreadsheets/d/1Kvs4KS76FHFqLFIZfrDMff4kP08nblUkihrxltoGBjg/edit#gid=934712705"",""ESENCIAL!A6:BG""),5,FALSE))"),45370)</f>
        <v>45370</v>
      </c>
      <c r="BH74" s="462">
        <f t="shared" ca="1" si="9"/>
        <v>45919</v>
      </c>
      <c r="BI74" s="338" t="str">
        <f t="shared" ca="1" si="10"/>
        <v>FICHA EN TIEMPO-18 MESES</v>
      </c>
      <c r="BJ74" s="338" t="str">
        <f ca="1">IFERROR(__xludf.DUMMYFUNCTION("IFERROR(VLOOKUP(F174,IMPORTRANGE(""https://docs.google.com/spreadsheets/d/1Kvs4KS76FHFqLFIZfrDMff4kP08nblUkihrxltoGBjg/edit#gid=934712705"",""ESENCIAL!A6:BG""),2,FALSE))"),"En ejecucion")</f>
        <v>En ejecucion</v>
      </c>
      <c r="BK74" s="338" t="str">
        <f t="shared" si="11"/>
        <v>Yamboro</v>
      </c>
      <c r="BL74" s="38"/>
      <c r="BM74" s="38"/>
    </row>
    <row r="75" spans="1:65" ht="24">
      <c r="A75" s="164"/>
      <c r="B75" s="562"/>
      <c r="C75" s="534" t="s">
        <v>25</v>
      </c>
      <c r="D75" s="564" t="s">
        <v>827</v>
      </c>
      <c r="E75" s="217" t="s">
        <v>67</v>
      </c>
      <c r="F75" s="149">
        <v>1083865757</v>
      </c>
      <c r="G75" s="208">
        <v>2469582</v>
      </c>
      <c r="H75" s="338" t="str">
        <f ca="1">IFERROR(__xludf.DUMMYFUNCTION("IFERROR(VLOOKUP(F175,IMPORTRANGE(""https://docs.google.com/spreadsheets/d/1Kvs4KS76FHFqLFIZfrDMff4kP08nblUkihrxltoGBjg/edit#gid=934712705"",""ESENCIAL!A6:BG""),3,FALSE))"),"TECNÓLOGO")</f>
        <v>TECNÓLOGO</v>
      </c>
      <c r="I75" s="338" t="str">
        <f ca="1">IFERROR(__xludf.DUMMYFUNCTION("IFERROR(VLOOKUP(F175,IMPORTRANGE(""https://docs.google.com/spreadsheets/d/1Kvs4KS76FHFqLFIZfrDMff4kP08nblUkihrxltoGBjg/edit#gid=934712705"",""ESENCIAL!A6:BG""),8,FALSE))"),"GESTION DE REDES DE DATOS")</f>
        <v>GESTION DE REDES DE DATOS</v>
      </c>
      <c r="J75" s="567"/>
      <c r="K75" s="567"/>
      <c r="L75" s="338"/>
      <c r="M75" s="570" t="s">
        <v>44</v>
      </c>
      <c r="N75" s="527"/>
      <c r="O75" s="527"/>
      <c r="P75" s="527"/>
      <c r="Q75" s="527"/>
      <c r="R75" s="527"/>
      <c r="S75" s="525"/>
      <c r="T75" s="530"/>
      <c r="U75" s="545" t="s">
        <v>825</v>
      </c>
      <c r="V75" s="527"/>
      <c r="W75" s="338"/>
      <c r="X75" s="527"/>
      <c r="Y75" s="527"/>
      <c r="Z75" s="527"/>
      <c r="AA75" s="527"/>
      <c r="AB75" s="527"/>
      <c r="AC75" s="527"/>
      <c r="AD75" s="527"/>
      <c r="AE75" s="527"/>
      <c r="AF75" s="527"/>
      <c r="AG75" s="527"/>
      <c r="AH75" s="527"/>
      <c r="AI75" s="527"/>
      <c r="AJ75" s="527"/>
      <c r="AK75" s="527"/>
      <c r="AL75" s="527"/>
      <c r="AM75" s="527"/>
      <c r="AN75" s="527"/>
      <c r="AO75" s="527"/>
      <c r="AP75" s="527"/>
      <c r="AQ75" s="527"/>
      <c r="AR75" s="539"/>
      <c r="AS75" s="539"/>
      <c r="AT75" s="539"/>
      <c r="AU75" s="539"/>
      <c r="AV75" s="338" t="str">
        <f t="shared" ca="1" si="8"/>
        <v>NO_CUMPLE</v>
      </c>
      <c r="AW75" s="338" t="str">
        <f ca="1">IFERROR(__xludf.DUMMYFUNCTION("IFERROR(VLOOKUP(E175&amp;F175,IMPORTRANGE(""https://docs.google.com/spreadsheets/d/1Uw7-A9f9R21vMXxHZFNpYNeKFtG8_yji4HS352LGlSQ/edit?pli=1#gid=0"",""1_ACUM!A4:S""),11,FALSE))"),"EN FORMACION")</f>
        <v>EN FORMACION</v>
      </c>
      <c r="AX75" s="462" t="str">
        <f ca="1">IFERROR(__xludf.DUMMYFUNCTION("IFERROR(VLOOKUP(F175,IMPORTRANGE(""https://docs.google.com/spreadsheets/d/1Kvs4KS76FHFqLFIZfrDMff4kP08nblUkihrxltoGBjg/edit#gid=934712705"",""ESENCIAL!A6:BG""),15,FALSE))"),"TIC")</f>
        <v>TIC</v>
      </c>
      <c r="AY75" s="461">
        <f ca="1">IFERROR(__xludf.DUMMYFUNCTION("IFERROR(VLOOKUP(E175&amp;F175,IMPORTRANGE(""https://docs.google.com/spreadsheets/d/1Uw7-A9f9R21vMXxHZFNpYNeKFtG8_yji4HS352LGlSQ/edit?pli=1#gid=0"",""1_ACUM!A4:S""),13,FALSE))"),23)</f>
        <v>23</v>
      </c>
      <c r="AZ75" s="460">
        <f ca="1">IFERROR(__xludf.DUMMYFUNCTION("IFERROR(VLOOKUP(E175&amp;F175,IMPORTRANGE(""https://docs.google.com/spreadsheets/d/1Uw7-A9f9R21vMXxHZFNpYNeKFtG8_yji4HS352LGlSQ/edit?pli=1#gid=0"",""1_ACUM!A4:S""),13,FALSE))"),23)</f>
        <v>23</v>
      </c>
      <c r="BA75" s="460">
        <f ca="1">IFERROR(__xludf.DUMMYFUNCTION("IFERROR(VLOOKUP(E175&amp;F175,IMPORTRANGE(""https://docs.google.com/spreadsheets/d/1Uw7-A9f9R21vMXxHZFNpYNeKFtG8_yji4HS352LGlSQ/edit?pli=1#gid=0"",""1_ACUM!A4:S""),14,FALSE))"),1)</f>
        <v>1</v>
      </c>
      <c r="BB75" s="460">
        <f ca="1">IFERROR(__xludf.DUMMYFUNCTION("IFERROR(VLOOKUP(E175&amp;F175,IMPORTRANGE(""https://docs.google.com/spreadsheets/d/1Uw7-A9f9R21vMXxHZFNpYNeKFtG8_yji4HS352LGlSQ/edit?pli=1#gid=0"",""1_ACUM!A4:S""),15,FALSE))"),4)</f>
        <v>4</v>
      </c>
      <c r="BC75" s="460">
        <f ca="1">IFERROR(__xludf.DUMMYFUNCTION("IFERROR(VLOOKUP(E175&amp;F175,IMPORTRANGE(""https://docs.google.com/spreadsheets/d/1Uw7-A9f9R21vMXxHZFNpYNeKFtG8_yji4HS352LGlSQ/edit?pli=1#gid=0"",""1_ACUM!A4:S""),16,FALSE))"),17)</f>
        <v>17</v>
      </c>
      <c r="BD75" s="460">
        <f ca="1">IFERROR(__xludf.DUMMYFUNCTION("IFERROR(VLOOKUP(E175&amp;F175,IMPORTRANGE(""https://docs.google.com/spreadsheets/d/1Uw7-A9f9R21vMXxHZFNpYNeKFtG8_yji4HS352LGlSQ/edit?pli=1#gid=0"",""1_ACUM!A4:S""),17,FALSE))"),45)</f>
        <v>45</v>
      </c>
      <c r="BE75" s="461">
        <f ca="1">IFERROR(__xludf.DUMMYFUNCTION("IFERROR(VLOOKUP(E175&amp;F175,IMPORTRANGE(""https://docs.google.com/spreadsheets/d/1Uw7-A9f9R21vMXxHZFNpYNeKFtG8_yji4HS352LGlSQ/edit?pli=1#gid=0"",""1_ACUM!A4:S""),18,FALSE))"),44550)</f>
        <v>44550</v>
      </c>
      <c r="BF75" s="461">
        <f ca="1">IFERROR(__xludf.DUMMYFUNCTION("IFERROR(VLOOKUP(E175&amp;F175,IMPORTRANGE(""https://docs.google.com/spreadsheets/d/1Uw7-A9f9R21vMXxHZFNpYNeKFtG8_yji4HS352LGlSQ/edit?pli=1#gid=0"",""1_ACUM!A4:S""),19,FALSE))"),45188)</f>
        <v>45188</v>
      </c>
      <c r="BG75" s="462">
        <f ca="1">IFERROR(__xludf.DUMMYFUNCTION("IFERROR(VLOOKUP(F175,IMPORTRANGE(""https://docs.google.com/spreadsheets/d/1Kvs4KS76FHFqLFIZfrDMff4kP08nblUkihrxltoGBjg/edit#gid=934712705"",""ESENCIAL!A6:BG""),5,FALSE))"),45370)</f>
        <v>45370</v>
      </c>
      <c r="BH75" s="462">
        <f t="shared" ca="1" si="9"/>
        <v>45919</v>
      </c>
      <c r="BI75" s="338" t="str">
        <f t="shared" ca="1" si="10"/>
        <v>FICHA EN TIEMPO-18 MESES</v>
      </c>
      <c r="BJ75" s="338" t="str">
        <f ca="1">IFERROR(__xludf.DUMMYFUNCTION("IFERROR(VLOOKUP(F175,IMPORTRANGE(""https://docs.google.com/spreadsheets/d/1Kvs4KS76FHFqLFIZfrDMff4kP08nblUkihrxltoGBjg/edit#gid=934712705"",""ESENCIAL!A6:BG""),2,FALSE))"),"En ejecucion")</f>
        <v>En ejecucion</v>
      </c>
      <c r="BK75" s="338" t="str">
        <f t="shared" si="11"/>
        <v>Yamboro</v>
      </c>
      <c r="BL75" s="38"/>
      <c r="BM75" s="38"/>
    </row>
    <row r="76" spans="1:65" ht="24">
      <c r="A76" s="164"/>
      <c r="B76" s="562"/>
      <c r="C76" s="534" t="s">
        <v>25</v>
      </c>
      <c r="D76" s="564" t="s">
        <v>828</v>
      </c>
      <c r="E76" s="217" t="s">
        <v>27</v>
      </c>
      <c r="F76" s="149">
        <v>1083984054</v>
      </c>
      <c r="G76" s="208">
        <v>2469582</v>
      </c>
      <c r="H76" s="338" t="str">
        <f ca="1">IFERROR(__xludf.DUMMYFUNCTION("IFERROR(VLOOKUP(F176,IMPORTRANGE(""https://docs.google.com/spreadsheets/d/1Kvs4KS76FHFqLFIZfrDMff4kP08nblUkihrxltoGBjg/edit#gid=934712705"",""ESENCIAL!A6:BG""),3,FALSE))"),"TECNÓLOGO")</f>
        <v>TECNÓLOGO</v>
      </c>
      <c r="I76" s="338" t="str">
        <f ca="1">IFERROR(__xludf.DUMMYFUNCTION("IFERROR(VLOOKUP(F176,IMPORTRANGE(""https://docs.google.com/spreadsheets/d/1Kvs4KS76FHFqLFIZfrDMff4kP08nblUkihrxltoGBjg/edit#gid=934712705"",""ESENCIAL!A6:BG""),8,FALSE))"),"GESTION DE REDES DE DATOS")</f>
        <v>GESTION DE REDES DE DATOS</v>
      </c>
      <c r="J76" s="567"/>
      <c r="K76" s="567"/>
      <c r="L76" s="338"/>
      <c r="M76" s="570" t="s">
        <v>44</v>
      </c>
      <c r="N76" s="527"/>
      <c r="O76" s="527"/>
      <c r="P76" s="527"/>
      <c r="Q76" s="527"/>
      <c r="R76" s="527"/>
      <c r="S76" s="525"/>
      <c r="T76" s="530"/>
      <c r="U76" s="545" t="s">
        <v>825</v>
      </c>
      <c r="V76" s="527"/>
      <c r="W76" s="338"/>
      <c r="X76" s="527"/>
      <c r="Y76" s="527"/>
      <c r="Z76" s="527"/>
      <c r="AA76" s="527"/>
      <c r="AB76" s="527"/>
      <c r="AC76" s="527"/>
      <c r="AD76" s="527"/>
      <c r="AE76" s="527"/>
      <c r="AF76" s="527"/>
      <c r="AG76" s="527"/>
      <c r="AH76" s="527"/>
      <c r="AI76" s="527"/>
      <c r="AJ76" s="527"/>
      <c r="AK76" s="527"/>
      <c r="AL76" s="527"/>
      <c r="AM76" s="527"/>
      <c r="AN76" s="527"/>
      <c r="AO76" s="527"/>
      <c r="AP76" s="527"/>
      <c r="AQ76" s="527"/>
      <c r="AR76" s="164"/>
      <c r="AS76" s="164"/>
      <c r="AT76" s="164"/>
      <c r="AU76" s="164"/>
      <c r="AV76" s="338" t="str">
        <f t="shared" ca="1" si="8"/>
        <v>NO_CUMPLE</v>
      </c>
      <c r="AW76" s="338" t="str">
        <f ca="1">IFERROR(__xludf.DUMMYFUNCTION("IFERROR(VLOOKUP(E176&amp;F176,IMPORTRANGE(""https://docs.google.com/spreadsheets/d/1Uw7-A9f9R21vMXxHZFNpYNeKFtG8_yji4HS352LGlSQ/edit?pli=1#gid=0"",""1_ACUM!A4:S""),11,FALSE))"),"EN FORMACION")</f>
        <v>EN FORMACION</v>
      </c>
      <c r="AX76" s="462" t="str">
        <f ca="1">IFERROR(__xludf.DUMMYFUNCTION("IFERROR(VLOOKUP(F176,IMPORTRANGE(""https://docs.google.com/spreadsheets/d/1Kvs4KS76FHFqLFIZfrDMff4kP08nblUkihrxltoGBjg/edit#gid=934712705"",""ESENCIAL!A6:BG""),15,FALSE))"),"TIC")</f>
        <v>TIC</v>
      </c>
      <c r="AY76" s="461">
        <f ca="1">IFERROR(__xludf.DUMMYFUNCTION("IFERROR(VLOOKUP(E176&amp;F176,IMPORTRANGE(""https://docs.google.com/spreadsheets/d/1Uw7-A9f9R21vMXxHZFNpYNeKFtG8_yji4HS352LGlSQ/edit?pli=1#gid=0"",""1_ACUM!A4:S""),13,FALSE))"),23)</f>
        <v>23</v>
      </c>
      <c r="AZ76" s="460">
        <f ca="1">IFERROR(__xludf.DUMMYFUNCTION("IFERROR(VLOOKUP(E176&amp;F176,IMPORTRANGE(""https://docs.google.com/spreadsheets/d/1Uw7-A9f9R21vMXxHZFNpYNeKFtG8_yji4HS352LGlSQ/edit?pli=1#gid=0"",""1_ACUM!A4:S""),13,FALSE))"),23)</f>
        <v>23</v>
      </c>
      <c r="BA76" s="460">
        <f ca="1">IFERROR(__xludf.DUMMYFUNCTION("IFERROR(VLOOKUP(E176&amp;F176,IMPORTRANGE(""https://docs.google.com/spreadsheets/d/1Uw7-A9f9R21vMXxHZFNpYNeKFtG8_yji4HS352LGlSQ/edit?pli=1#gid=0"",""1_ACUM!A4:S""),14,FALSE))"),1)</f>
        <v>1</v>
      </c>
      <c r="BB76" s="460">
        <f ca="1">IFERROR(__xludf.DUMMYFUNCTION("IFERROR(VLOOKUP(E176&amp;F176,IMPORTRANGE(""https://docs.google.com/spreadsheets/d/1Uw7-A9f9R21vMXxHZFNpYNeKFtG8_yji4HS352LGlSQ/edit?pli=1#gid=0"",""1_ACUM!A4:S""),15,FALSE))"),4)</f>
        <v>4</v>
      </c>
      <c r="BC76" s="460">
        <f ca="1">IFERROR(__xludf.DUMMYFUNCTION("IFERROR(VLOOKUP(E176&amp;F176,IMPORTRANGE(""https://docs.google.com/spreadsheets/d/1Uw7-A9f9R21vMXxHZFNpYNeKFtG8_yji4HS352LGlSQ/edit?pli=1#gid=0"",""1_ACUM!A4:S""),16,FALSE))"),17)</f>
        <v>17</v>
      </c>
      <c r="BD76" s="460">
        <f ca="1">IFERROR(__xludf.DUMMYFUNCTION("IFERROR(VLOOKUP(E176&amp;F176,IMPORTRANGE(""https://docs.google.com/spreadsheets/d/1Uw7-A9f9R21vMXxHZFNpYNeKFtG8_yji4HS352LGlSQ/edit?pli=1#gid=0"",""1_ACUM!A4:S""),17,FALSE))"),45)</f>
        <v>45</v>
      </c>
      <c r="BE76" s="461">
        <f ca="1">IFERROR(__xludf.DUMMYFUNCTION("IFERROR(VLOOKUP(E176&amp;F176,IMPORTRANGE(""https://docs.google.com/spreadsheets/d/1Uw7-A9f9R21vMXxHZFNpYNeKFtG8_yji4HS352LGlSQ/edit?pli=1#gid=0"",""1_ACUM!A4:S""),18,FALSE))"),44550)</f>
        <v>44550</v>
      </c>
      <c r="BF76" s="461">
        <f ca="1">IFERROR(__xludf.DUMMYFUNCTION("IFERROR(VLOOKUP(E176&amp;F176,IMPORTRANGE(""https://docs.google.com/spreadsheets/d/1Uw7-A9f9R21vMXxHZFNpYNeKFtG8_yji4HS352LGlSQ/edit?pli=1#gid=0"",""1_ACUM!A4:S""),19,FALSE))"),45188)</f>
        <v>45188</v>
      </c>
      <c r="BG76" s="462">
        <f ca="1">IFERROR(__xludf.DUMMYFUNCTION("IFERROR(VLOOKUP(F176,IMPORTRANGE(""https://docs.google.com/spreadsheets/d/1Kvs4KS76FHFqLFIZfrDMff4kP08nblUkihrxltoGBjg/edit#gid=934712705"",""ESENCIAL!A6:BG""),5,FALSE))"),45370)</f>
        <v>45370</v>
      </c>
      <c r="BH76" s="462">
        <f t="shared" ca="1" si="9"/>
        <v>45919</v>
      </c>
      <c r="BI76" s="338" t="str">
        <f t="shared" ca="1" si="10"/>
        <v>FICHA EN TIEMPO-18 MESES</v>
      </c>
      <c r="BJ76" s="338" t="str">
        <f ca="1">IFERROR(__xludf.DUMMYFUNCTION("IFERROR(VLOOKUP(F176,IMPORTRANGE(""https://docs.google.com/spreadsheets/d/1Kvs4KS76FHFqLFIZfrDMff4kP08nblUkihrxltoGBjg/edit#gid=934712705"",""ESENCIAL!A6:BG""),2,FALSE))"),"En ejecucion")</f>
        <v>En ejecucion</v>
      </c>
      <c r="BK76" s="338" t="str">
        <f t="shared" si="11"/>
        <v>Yamboro</v>
      </c>
      <c r="BL76" s="38"/>
      <c r="BM76" s="38"/>
    </row>
    <row r="77" spans="1:65" ht="24">
      <c r="A77" s="164"/>
      <c r="B77" s="562"/>
      <c r="C77" s="534" t="s">
        <v>25</v>
      </c>
      <c r="D77" s="564" t="s">
        <v>829</v>
      </c>
      <c r="E77" s="217" t="s">
        <v>27</v>
      </c>
      <c r="F77" s="149">
        <v>1083984132</v>
      </c>
      <c r="G77" s="208">
        <v>2469582</v>
      </c>
      <c r="H77" s="338" t="str">
        <f ca="1">IFERROR(__xludf.DUMMYFUNCTION("IFERROR(VLOOKUP(F177,IMPORTRANGE(""https://docs.google.com/spreadsheets/d/1Kvs4KS76FHFqLFIZfrDMff4kP08nblUkihrxltoGBjg/edit#gid=934712705"",""ESENCIAL!A6:BG""),3,FALSE))"),"TECNÓLOGO")</f>
        <v>TECNÓLOGO</v>
      </c>
      <c r="I77" s="338" t="str">
        <f ca="1">IFERROR(__xludf.DUMMYFUNCTION("IFERROR(VLOOKUP(F177,IMPORTRANGE(""https://docs.google.com/spreadsheets/d/1Kvs4KS76FHFqLFIZfrDMff4kP08nblUkihrxltoGBjg/edit#gid=934712705"",""ESENCIAL!A6:BG""),8,FALSE))"),"GESTION DE REDES DE DATOS")</f>
        <v>GESTION DE REDES DE DATOS</v>
      </c>
      <c r="J77" s="567"/>
      <c r="K77" s="567"/>
      <c r="L77" s="338"/>
      <c r="M77" s="570" t="s">
        <v>44</v>
      </c>
      <c r="N77" s="527"/>
      <c r="O77" s="527"/>
      <c r="P77" s="527"/>
      <c r="Q77" s="527"/>
      <c r="R77" s="527"/>
      <c r="S77" s="525"/>
      <c r="T77" s="530"/>
      <c r="U77" s="545" t="s">
        <v>825</v>
      </c>
      <c r="V77" s="527"/>
      <c r="W77" s="338"/>
      <c r="X77" s="527"/>
      <c r="Y77" s="527"/>
      <c r="Z77" s="527"/>
      <c r="AA77" s="527"/>
      <c r="AB77" s="527"/>
      <c r="AC77" s="527"/>
      <c r="AD77" s="527"/>
      <c r="AE77" s="527"/>
      <c r="AF77" s="527"/>
      <c r="AG77" s="527"/>
      <c r="AH77" s="527"/>
      <c r="AI77" s="527"/>
      <c r="AJ77" s="527"/>
      <c r="AK77" s="527"/>
      <c r="AL77" s="527"/>
      <c r="AM77" s="527"/>
      <c r="AN77" s="527"/>
      <c r="AO77" s="527"/>
      <c r="AP77" s="527"/>
      <c r="AQ77" s="527"/>
      <c r="AR77" s="164"/>
      <c r="AS77" s="164"/>
      <c r="AT77" s="164"/>
      <c r="AU77" s="164"/>
      <c r="AV77" s="338" t="str">
        <f t="shared" ca="1" si="8"/>
        <v>NO_CUMPLE</v>
      </c>
      <c r="AW77" s="338" t="str">
        <f ca="1">IFERROR(__xludf.DUMMYFUNCTION("IFERROR(VLOOKUP(E177&amp;F177,IMPORTRANGE(""https://docs.google.com/spreadsheets/d/1Uw7-A9f9R21vMXxHZFNpYNeKFtG8_yji4HS352LGlSQ/edit?pli=1#gid=0"",""1_ACUM!A4:S""),11,FALSE))"),"EN FORMACION")</f>
        <v>EN FORMACION</v>
      </c>
      <c r="AX77" s="462" t="str">
        <f ca="1">IFERROR(__xludf.DUMMYFUNCTION("IFERROR(VLOOKUP(F177,IMPORTRANGE(""https://docs.google.com/spreadsheets/d/1Kvs4KS76FHFqLFIZfrDMff4kP08nblUkihrxltoGBjg/edit#gid=934712705"",""ESENCIAL!A6:BG""),15,FALSE))"),"TIC")</f>
        <v>TIC</v>
      </c>
      <c r="AY77" s="461">
        <f ca="1">IFERROR(__xludf.DUMMYFUNCTION("IFERROR(VLOOKUP(E177&amp;F177,IMPORTRANGE(""https://docs.google.com/spreadsheets/d/1Uw7-A9f9R21vMXxHZFNpYNeKFtG8_yji4HS352LGlSQ/edit?pli=1#gid=0"",""1_ACUM!A4:S""),13,FALSE))"),23)</f>
        <v>23</v>
      </c>
      <c r="AZ77" s="460">
        <f ca="1">IFERROR(__xludf.DUMMYFUNCTION("IFERROR(VLOOKUP(E177&amp;F177,IMPORTRANGE(""https://docs.google.com/spreadsheets/d/1Uw7-A9f9R21vMXxHZFNpYNeKFtG8_yji4HS352LGlSQ/edit?pli=1#gid=0"",""1_ACUM!A4:S""),13,FALSE))"),23)</f>
        <v>23</v>
      </c>
      <c r="BA77" s="460">
        <f ca="1">IFERROR(__xludf.DUMMYFUNCTION("IFERROR(VLOOKUP(E177&amp;F177,IMPORTRANGE(""https://docs.google.com/spreadsheets/d/1Uw7-A9f9R21vMXxHZFNpYNeKFtG8_yji4HS352LGlSQ/edit?pli=1#gid=0"",""1_ACUM!A4:S""),14,FALSE))"),1)</f>
        <v>1</v>
      </c>
      <c r="BB77" s="460">
        <f ca="1">IFERROR(__xludf.DUMMYFUNCTION("IFERROR(VLOOKUP(E177&amp;F177,IMPORTRANGE(""https://docs.google.com/spreadsheets/d/1Uw7-A9f9R21vMXxHZFNpYNeKFtG8_yji4HS352LGlSQ/edit?pli=1#gid=0"",""1_ACUM!A4:S""),15,FALSE))"),4)</f>
        <v>4</v>
      </c>
      <c r="BC77" s="460">
        <f ca="1">IFERROR(__xludf.DUMMYFUNCTION("IFERROR(VLOOKUP(E177&amp;F177,IMPORTRANGE(""https://docs.google.com/spreadsheets/d/1Uw7-A9f9R21vMXxHZFNpYNeKFtG8_yji4HS352LGlSQ/edit?pli=1#gid=0"",""1_ACUM!A4:S""),16,FALSE))"),17)</f>
        <v>17</v>
      </c>
      <c r="BD77" s="460">
        <f ca="1">IFERROR(__xludf.DUMMYFUNCTION("IFERROR(VLOOKUP(E177&amp;F177,IMPORTRANGE(""https://docs.google.com/spreadsheets/d/1Uw7-A9f9R21vMXxHZFNpYNeKFtG8_yji4HS352LGlSQ/edit?pli=1#gid=0"",""1_ACUM!A4:S""),17,FALSE))"),45)</f>
        <v>45</v>
      </c>
      <c r="BE77" s="461">
        <f ca="1">IFERROR(__xludf.DUMMYFUNCTION("IFERROR(VLOOKUP(E177&amp;F177,IMPORTRANGE(""https://docs.google.com/spreadsheets/d/1Uw7-A9f9R21vMXxHZFNpYNeKFtG8_yji4HS352LGlSQ/edit?pli=1#gid=0"",""1_ACUM!A4:S""),18,FALSE))"),44550)</f>
        <v>44550</v>
      </c>
      <c r="BF77" s="461">
        <f ca="1">IFERROR(__xludf.DUMMYFUNCTION("IFERROR(VLOOKUP(E177&amp;F177,IMPORTRANGE(""https://docs.google.com/spreadsheets/d/1Uw7-A9f9R21vMXxHZFNpYNeKFtG8_yji4HS352LGlSQ/edit?pli=1#gid=0"",""1_ACUM!A4:S""),19,FALSE))"),45188)</f>
        <v>45188</v>
      </c>
      <c r="BG77" s="462">
        <f ca="1">IFERROR(__xludf.DUMMYFUNCTION("IFERROR(VLOOKUP(F177,IMPORTRANGE(""https://docs.google.com/spreadsheets/d/1Kvs4KS76FHFqLFIZfrDMff4kP08nblUkihrxltoGBjg/edit#gid=934712705"",""ESENCIAL!A6:BG""),5,FALSE))"),45370)</f>
        <v>45370</v>
      </c>
      <c r="BH77" s="462">
        <f t="shared" ca="1" si="9"/>
        <v>45919</v>
      </c>
      <c r="BI77" s="338" t="str">
        <f t="shared" ca="1" si="10"/>
        <v>FICHA EN TIEMPO-18 MESES</v>
      </c>
      <c r="BJ77" s="338" t="str">
        <f ca="1">IFERROR(__xludf.DUMMYFUNCTION("IFERROR(VLOOKUP(F177,IMPORTRANGE(""https://docs.google.com/spreadsheets/d/1Kvs4KS76FHFqLFIZfrDMff4kP08nblUkihrxltoGBjg/edit#gid=934712705"",""ESENCIAL!A6:BG""),2,FALSE))"),"En ejecucion")</f>
        <v>En ejecucion</v>
      </c>
      <c r="BK77" s="338" t="str">
        <f t="shared" si="11"/>
        <v>Yamboro</v>
      </c>
      <c r="BL77" s="38"/>
      <c r="BM77" s="38"/>
    </row>
    <row r="78" spans="1:65" ht="24">
      <c r="A78" s="164"/>
      <c r="B78" s="562"/>
      <c r="C78" s="534" t="s">
        <v>25</v>
      </c>
      <c r="D78" s="564" t="s">
        <v>830</v>
      </c>
      <c r="E78" s="217" t="s">
        <v>27</v>
      </c>
      <c r="F78" s="148">
        <v>1087789576</v>
      </c>
      <c r="G78" s="208">
        <v>2469582</v>
      </c>
      <c r="H78" s="338" t="str">
        <f ca="1">IFERROR(__xludf.DUMMYFUNCTION("IFERROR(VLOOKUP(F179,IMPORTRANGE(""https://docs.google.com/spreadsheets/d/1Kvs4KS76FHFqLFIZfrDMff4kP08nblUkihrxltoGBjg/edit#gid=934712705"",""ESENCIAL!A6:BG""),3,FALSE))"),"TECNÓLOGO")</f>
        <v>TECNÓLOGO</v>
      </c>
      <c r="I78" s="338" t="str">
        <f ca="1">IFERROR(__xludf.DUMMYFUNCTION("IFERROR(VLOOKUP(F179,IMPORTRANGE(""https://docs.google.com/spreadsheets/d/1Kvs4KS76FHFqLFIZfrDMff4kP08nblUkihrxltoGBjg/edit#gid=934712705"",""ESENCIAL!A6:BG""),8,FALSE))"),"GESTION DE REDES DE DATOS")</f>
        <v>GESTION DE REDES DE DATOS</v>
      </c>
      <c r="J78" s="567"/>
      <c r="K78" s="567"/>
      <c r="L78" s="338"/>
      <c r="M78" s="570" t="s">
        <v>44</v>
      </c>
      <c r="N78" s="527"/>
      <c r="O78" s="527"/>
      <c r="P78" s="527"/>
      <c r="Q78" s="527"/>
      <c r="R78" s="527"/>
      <c r="S78" s="525"/>
      <c r="T78" s="530"/>
      <c r="U78" s="545" t="s">
        <v>825</v>
      </c>
      <c r="V78" s="527"/>
      <c r="W78" s="338"/>
      <c r="X78" s="527"/>
      <c r="Y78" s="527"/>
      <c r="Z78" s="527"/>
      <c r="AA78" s="527"/>
      <c r="AB78" s="527"/>
      <c r="AC78" s="527"/>
      <c r="AD78" s="527"/>
      <c r="AE78" s="527"/>
      <c r="AF78" s="527"/>
      <c r="AG78" s="527"/>
      <c r="AH78" s="527"/>
      <c r="AI78" s="527"/>
      <c r="AJ78" s="527"/>
      <c r="AK78" s="527"/>
      <c r="AL78" s="527"/>
      <c r="AM78" s="527"/>
      <c r="AN78" s="527"/>
      <c r="AO78" s="527"/>
      <c r="AP78" s="527"/>
      <c r="AQ78" s="527"/>
      <c r="AR78" s="164"/>
      <c r="AS78" s="164"/>
      <c r="AT78" s="164"/>
      <c r="AU78" s="164"/>
      <c r="AV78" s="338" t="str">
        <f t="shared" ca="1" si="8"/>
        <v>NO_CUMPLE</v>
      </c>
      <c r="AW78" s="338" t="str">
        <f ca="1">IFERROR(__xludf.DUMMYFUNCTION("IFERROR(VLOOKUP(E179&amp;F179,IMPORTRANGE(""https://docs.google.com/spreadsheets/d/1Uw7-A9f9R21vMXxHZFNpYNeKFtG8_yji4HS352LGlSQ/edit?pli=1#gid=0"",""1_ACUM!A4:S""),11,FALSE))"),"EN FORMACION")</f>
        <v>EN FORMACION</v>
      </c>
      <c r="AX78" s="462" t="str">
        <f ca="1">IFERROR(__xludf.DUMMYFUNCTION("IFERROR(VLOOKUP(F179,IMPORTRANGE(""https://docs.google.com/spreadsheets/d/1Kvs4KS76FHFqLFIZfrDMff4kP08nblUkihrxltoGBjg/edit#gid=934712705"",""ESENCIAL!A6:BG""),15,FALSE))"),"TIC")</f>
        <v>TIC</v>
      </c>
      <c r="AY78" s="461">
        <f ca="1">IFERROR(__xludf.DUMMYFUNCTION("IFERROR(VLOOKUP(E179&amp;F179,IMPORTRANGE(""https://docs.google.com/spreadsheets/d/1Uw7-A9f9R21vMXxHZFNpYNeKFtG8_yji4HS352LGlSQ/edit?pli=1#gid=0"",""1_ACUM!A4:S""),13,FALSE))"),23)</f>
        <v>23</v>
      </c>
      <c r="AZ78" s="460">
        <f ca="1">IFERROR(__xludf.DUMMYFUNCTION("IFERROR(VLOOKUP(E179&amp;F179,IMPORTRANGE(""https://docs.google.com/spreadsheets/d/1Uw7-A9f9R21vMXxHZFNpYNeKFtG8_yji4HS352LGlSQ/edit?pli=1#gid=0"",""1_ACUM!A4:S""),13,FALSE))"),23)</f>
        <v>23</v>
      </c>
      <c r="BA78" s="460">
        <f ca="1">IFERROR(__xludf.DUMMYFUNCTION("IFERROR(VLOOKUP(E179&amp;F179,IMPORTRANGE(""https://docs.google.com/spreadsheets/d/1Uw7-A9f9R21vMXxHZFNpYNeKFtG8_yji4HS352LGlSQ/edit?pli=1#gid=0"",""1_ACUM!A4:S""),14,FALSE))"),1)</f>
        <v>1</v>
      </c>
      <c r="BB78" s="460">
        <f ca="1">IFERROR(__xludf.DUMMYFUNCTION("IFERROR(VLOOKUP(E179&amp;F179,IMPORTRANGE(""https://docs.google.com/spreadsheets/d/1Uw7-A9f9R21vMXxHZFNpYNeKFtG8_yji4HS352LGlSQ/edit?pli=1#gid=0"",""1_ACUM!A4:S""),15,FALSE))"),4)</f>
        <v>4</v>
      </c>
      <c r="BC78" s="460">
        <f ca="1">IFERROR(__xludf.DUMMYFUNCTION("IFERROR(VLOOKUP(E179&amp;F179,IMPORTRANGE(""https://docs.google.com/spreadsheets/d/1Uw7-A9f9R21vMXxHZFNpYNeKFtG8_yji4HS352LGlSQ/edit?pli=1#gid=0"",""1_ACUM!A4:S""),16,FALSE))"),17)</f>
        <v>17</v>
      </c>
      <c r="BD78" s="460">
        <f ca="1">IFERROR(__xludf.DUMMYFUNCTION("IFERROR(VLOOKUP(E179&amp;F179,IMPORTRANGE(""https://docs.google.com/spreadsheets/d/1Uw7-A9f9R21vMXxHZFNpYNeKFtG8_yji4HS352LGlSQ/edit?pli=1#gid=0"",""1_ACUM!A4:S""),17,FALSE))"),45)</f>
        <v>45</v>
      </c>
      <c r="BE78" s="461">
        <f ca="1">IFERROR(__xludf.DUMMYFUNCTION("IFERROR(VLOOKUP(E179&amp;F179,IMPORTRANGE(""https://docs.google.com/spreadsheets/d/1Uw7-A9f9R21vMXxHZFNpYNeKFtG8_yji4HS352LGlSQ/edit?pli=1#gid=0"",""1_ACUM!A4:S""),18,FALSE))"),44550)</f>
        <v>44550</v>
      </c>
      <c r="BF78" s="461">
        <f ca="1">IFERROR(__xludf.DUMMYFUNCTION("IFERROR(VLOOKUP(E179&amp;F179,IMPORTRANGE(""https://docs.google.com/spreadsheets/d/1Uw7-A9f9R21vMXxHZFNpYNeKFtG8_yji4HS352LGlSQ/edit?pli=1#gid=0"",""1_ACUM!A4:S""),19,FALSE))"),45188)</f>
        <v>45188</v>
      </c>
      <c r="BG78" s="462">
        <f ca="1">IFERROR(__xludf.DUMMYFUNCTION("IFERROR(VLOOKUP(F179,IMPORTRANGE(""https://docs.google.com/spreadsheets/d/1Kvs4KS76FHFqLFIZfrDMff4kP08nblUkihrxltoGBjg/edit#gid=934712705"",""ESENCIAL!A6:BG""),5,FALSE))"),45370)</f>
        <v>45370</v>
      </c>
      <c r="BH78" s="462">
        <f t="shared" ca="1" si="9"/>
        <v>45919</v>
      </c>
      <c r="BI78" s="338" t="str">
        <f t="shared" ca="1" si="10"/>
        <v>FICHA EN TIEMPO-18 MESES</v>
      </c>
      <c r="BJ78" s="338" t="str">
        <f ca="1">IFERROR(__xludf.DUMMYFUNCTION("IFERROR(VLOOKUP(F179,IMPORTRANGE(""https://docs.google.com/spreadsheets/d/1Kvs4KS76FHFqLFIZfrDMff4kP08nblUkihrxltoGBjg/edit#gid=934712705"",""ESENCIAL!A6:BG""),2,FALSE))"),"En ejecucion")</f>
        <v>En ejecucion</v>
      </c>
      <c r="BK78" s="338" t="str">
        <f t="shared" si="11"/>
        <v>Yamboro</v>
      </c>
      <c r="BL78" s="38"/>
      <c r="BM78" s="38"/>
    </row>
    <row r="79" spans="1:65" ht="24">
      <c r="A79" s="164"/>
      <c r="B79" s="562"/>
      <c r="C79" s="534" t="s">
        <v>25</v>
      </c>
      <c r="D79" s="564" t="s">
        <v>831</v>
      </c>
      <c r="E79" s="217" t="s">
        <v>27</v>
      </c>
      <c r="F79" s="149">
        <v>1000790396</v>
      </c>
      <c r="G79" s="208">
        <v>2451009</v>
      </c>
      <c r="H79" s="338" t="str">
        <f ca="1">IFERROR(__xludf.DUMMYFUNCTION("IFERROR(VLOOKUP(F205,IMPORTRANGE(""https://docs.google.com/spreadsheets/d/1Kvs4KS76FHFqLFIZfrDMff4kP08nblUkihrxltoGBjg/edit#gid=934712705"",""ESENCIAL!A6:BG""),3,FALSE))"),"TÉCNICO")</f>
        <v>TÉCNICO</v>
      </c>
      <c r="I79" s="338" t="str">
        <f ca="1">IFERROR(__xludf.DUMMYFUNCTION("IFERROR(VLOOKUP(F205,IMPORTRANGE(""https://docs.google.com/spreadsheets/d/1Kvs4KS76FHFqLFIZfrDMff4kP08nblUkihrxltoGBjg/edit#gid=934712705"",""ESENCIAL!A6:BG""),8,FALSE))"),"PROGRAMACION DE APLICACIONES PARA DISPOSITIVOS MOVILES")</f>
        <v>PROGRAMACION DE APLICACIONES PARA DISPOSITIVOS MOVILES</v>
      </c>
      <c r="J79" s="218">
        <v>3212553284</v>
      </c>
      <c r="K79" s="218" t="s">
        <v>832</v>
      </c>
      <c r="L79" s="218" t="s">
        <v>577</v>
      </c>
      <c r="M79" s="570" t="s">
        <v>44</v>
      </c>
      <c r="N79" s="527"/>
      <c r="O79" s="527"/>
      <c r="P79" s="527"/>
      <c r="Q79" s="527"/>
      <c r="R79" s="527"/>
      <c r="S79" s="525"/>
      <c r="T79" s="530"/>
      <c r="U79" s="527"/>
      <c r="V79" s="527"/>
      <c r="W79" s="338"/>
      <c r="X79" s="527"/>
      <c r="Y79" s="527"/>
      <c r="Z79" s="527"/>
      <c r="AA79" s="527"/>
      <c r="AB79" s="527"/>
      <c r="AC79" s="527"/>
      <c r="AD79" s="527"/>
      <c r="AE79" s="527"/>
      <c r="AF79" s="527"/>
      <c r="AG79" s="527"/>
      <c r="AH79" s="527"/>
      <c r="AI79" s="527"/>
      <c r="AJ79" s="527"/>
      <c r="AK79" s="527"/>
      <c r="AL79" s="527"/>
      <c r="AM79" s="527"/>
      <c r="AN79" s="527"/>
      <c r="AO79" s="527"/>
      <c r="AP79" s="527"/>
      <c r="AQ79" s="527"/>
      <c r="AR79" s="164"/>
      <c r="AS79" s="164"/>
      <c r="AT79" s="164"/>
      <c r="AU79" s="164"/>
      <c r="AV79" s="338" t="str">
        <f t="shared" ca="1" si="8"/>
        <v>NO_CUMPLE</v>
      </c>
      <c r="AW79" s="338" t="str">
        <f ca="1">IFERROR(__xludf.DUMMYFUNCTION("IFERROR(VLOOKUP(E205&amp;F205,IMPORTRANGE(""https://docs.google.com/spreadsheets/d/1Uw7-A9f9R21vMXxHZFNpYNeKFtG8_yji4HS352LGlSQ/edit?pli=1#gid=0"",""1_ACUM!A4:S""),11,FALSE))"),"EN FORMACION")</f>
        <v>EN FORMACION</v>
      </c>
      <c r="AX79" s="462" t="str">
        <f ca="1">IFERROR(__xludf.DUMMYFUNCTION("IFERROR(VLOOKUP(F205,IMPORTRANGE(""https://docs.google.com/spreadsheets/d/1Kvs4KS76FHFqLFIZfrDMff4kP08nblUkihrxltoGBjg/edit#gid=934712705"",""ESENCIAL!A6:BG""),15,FALSE))"),"TIC")</f>
        <v>TIC</v>
      </c>
      <c r="AY79" s="461">
        <f ca="1">IFERROR(__xludf.DUMMYFUNCTION("IFERROR(VLOOKUP(E205&amp;F205,IMPORTRANGE(""https://docs.google.com/spreadsheets/d/1Uw7-A9f9R21vMXxHZFNpYNeKFtG8_yji4HS352LGlSQ/edit?pli=1#gid=0"",""1_ACUM!A4:S""),13,FALSE))"),14)</f>
        <v>14</v>
      </c>
      <c r="AZ79" s="460">
        <f ca="1">IFERROR(__xludf.DUMMYFUNCTION("IFERROR(VLOOKUP(E205&amp;F205,IMPORTRANGE(""https://docs.google.com/spreadsheets/d/1Uw7-A9f9R21vMXxHZFNpYNeKFtG8_yji4HS352LGlSQ/edit?pli=1#gid=0"",""1_ACUM!A4:S""),13,FALSE))"),14)</f>
        <v>14</v>
      </c>
      <c r="BA79" s="460">
        <f ca="1">IFERROR(__xludf.DUMMYFUNCTION("IFERROR(VLOOKUP(E205&amp;F205,IMPORTRANGE(""https://docs.google.com/spreadsheets/d/1Uw7-A9f9R21vMXxHZFNpYNeKFtG8_yji4HS352LGlSQ/edit?pli=1#gid=0"",""1_ACUM!A4:S""),14,FALSE))"),1)</f>
        <v>1</v>
      </c>
      <c r="BB79" s="460">
        <f ca="1">IFERROR(__xludf.DUMMYFUNCTION("IFERROR(VLOOKUP(E205&amp;F205,IMPORTRANGE(""https://docs.google.com/spreadsheets/d/1Uw7-A9f9R21vMXxHZFNpYNeKFtG8_yji4HS352LGlSQ/edit?pli=1#gid=0"",""1_ACUM!A4:S""),15,FALSE))"),2)</f>
        <v>2</v>
      </c>
      <c r="BC79" s="460">
        <f ca="1">IFERROR(__xludf.DUMMYFUNCTION("IFERROR(VLOOKUP(E205&amp;F205,IMPORTRANGE(""https://docs.google.com/spreadsheets/d/1Uw7-A9f9R21vMXxHZFNpYNeKFtG8_yji4HS352LGlSQ/edit?pli=1#gid=0"",""1_ACUM!A4:S""),16,FALSE))"),10)</f>
        <v>10</v>
      </c>
      <c r="BD79" s="460">
        <f ca="1">IFERROR(__xludf.DUMMYFUNCTION("IFERROR(VLOOKUP(E205&amp;F205,IMPORTRANGE(""https://docs.google.com/spreadsheets/d/1Uw7-A9f9R21vMXxHZFNpYNeKFtG8_yji4HS352LGlSQ/edit?pli=1#gid=0"",""1_ACUM!A4:S""),17,FALSE))"),27)</f>
        <v>27</v>
      </c>
      <c r="BE79" s="461">
        <f ca="1">IFERROR(__xludf.DUMMYFUNCTION("IFERROR(VLOOKUP(E205&amp;F205,IMPORTRANGE(""https://docs.google.com/spreadsheets/d/1Uw7-A9f9R21vMXxHZFNpYNeKFtG8_yji4HS352LGlSQ/edit?pli=1#gid=0"",""1_ACUM!A4:S""),18,FALSE))"),44585)</f>
        <v>44585</v>
      </c>
      <c r="BF79" s="461">
        <f ca="1">IFERROR(__xludf.DUMMYFUNCTION("IFERROR(VLOOKUP(E205&amp;F205,IMPORTRANGE(""https://docs.google.com/spreadsheets/d/1Uw7-A9f9R21vMXxHZFNpYNeKFtG8_yji4HS352LGlSQ/edit?pli=1#gid=0"",""1_ACUM!A4:S""),19,FALSE))"),44857)</f>
        <v>44857</v>
      </c>
      <c r="BG79" s="462">
        <f ca="1">IFERROR(__xludf.DUMMYFUNCTION("IFERROR(VLOOKUP(F205,IMPORTRANGE(""https://docs.google.com/spreadsheets/d/1Kvs4KS76FHFqLFIZfrDMff4kP08nblUkihrxltoGBjg/edit#gid=934712705"",""ESENCIAL!A6:BG""),5,FALSE))"),45039)</f>
        <v>45039</v>
      </c>
      <c r="BH79" s="462">
        <f t="shared" ca="1" si="9"/>
        <v>45588</v>
      </c>
      <c r="BI79" s="338" t="str">
        <f t="shared" ca="1" si="10"/>
        <v>FICHA EN TIEMPO-18 MESES</v>
      </c>
      <c r="BJ79" s="338" t="str">
        <f ca="1">IFERROR(__xludf.DUMMYFUNCTION("IFERROR(VLOOKUP(F205,IMPORTRANGE(""https://docs.google.com/spreadsheets/d/1Kvs4KS76FHFqLFIZfrDMff4kP08nblUkihrxltoGBjg/edit#gid=934712705"",""ESENCIAL!A6:BG""),2,FALSE))"),"En ejecucion")</f>
        <v>En ejecucion</v>
      </c>
      <c r="BK79" s="338" t="str">
        <f t="shared" si="11"/>
        <v>Yamboro</v>
      </c>
      <c r="BL79" s="38"/>
      <c r="BM79" s="38"/>
    </row>
    <row r="80" spans="1:65" ht="24">
      <c r="A80" s="578" t="s">
        <v>833</v>
      </c>
      <c r="B80" s="562"/>
      <c r="C80" s="534" t="s">
        <v>25</v>
      </c>
      <c r="D80" s="564" t="s">
        <v>834</v>
      </c>
      <c r="E80" s="217" t="s">
        <v>27</v>
      </c>
      <c r="F80" s="149">
        <v>1005706529</v>
      </c>
      <c r="G80" s="208">
        <v>2451009</v>
      </c>
      <c r="H80" s="338" t="str">
        <f ca="1">IFERROR(__xludf.DUMMYFUNCTION("IFERROR(VLOOKUP(F207,IMPORTRANGE(""https://docs.google.com/spreadsheets/d/1Kvs4KS76FHFqLFIZfrDMff4kP08nblUkihrxltoGBjg/edit#gid=934712705"",""ESENCIAL!A6:BG""),3,FALSE))"),"TÉCNICO")</f>
        <v>TÉCNICO</v>
      </c>
      <c r="I80" s="338" t="str">
        <f ca="1">IFERROR(__xludf.DUMMYFUNCTION("IFERROR(VLOOKUP(F207,IMPORTRANGE(""https://docs.google.com/spreadsheets/d/1Kvs4KS76FHFqLFIZfrDMff4kP08nblUkihrxltoGBjg/edit#gid=934712705"",""ESENCIAL!A6:BG""),8,FALSE))"),"PROGRAMACION DE APLICACIONES PARA DISPOSITIVOS MOVILES")</f>
        <v>PROGRAMACION DE APLICACIONES PARA DISPOSITIVOS MOVILES</v>
      </c>
      <c r="J80" s="218">
        <v>3223943356</v>
      </c>
      <c r="K80" s="218" t="s">
        <v>835</v>
      </c>
      <c r="L80" s="218" t="s">
        <v>577</v>
      </c>
      <c r="M80" s="208" t="s">
        <v>250</v>
      </c>
      <c r="N80" s="527" t="s">
        <v>836</v>
      </c>
      <c r="O80" s="527" t="s">
        <v>837</v>
      </c>
      <c r="P80" s="527">
        <v>3222477513</v>
      </c>
      <c r="Q80" s="527" t="s">
        <v>81</v>
      </c>
      <c r="R80" s="527" t="s">
        <v>838</v>
      </c>
      <c r="S80" s="525">
        <v>44859</v>
      </c>
      <c r="T80" s="530">
        <v>45039</v>
      </c>
      <c r="U80" s="527"/>
      <c r="V80" s="527" t="s">
        <v>444</v>
      </c>
      <c r="W80" s="338"/>
      <c r="X80" s="527"/>
      <c r="Y80" s="527"/>
      <c r="Z80" s="527"/>
      <c r="AA80" s="527"/>
      <c r="AB80" s="527"/>
      <c r="AC80" s="527"/>
      <c r="AD80" s="527"/>
      <c r="AE80" s="527"/>
      <c r="AF80" s="527"/>
      <c r="AG80" s="527"/>
      <c r="AH80" s="527"/>
      <c r="AI80" s="527"/>
      <c r="AJ80" s="527"/>
      <c r="AK80" s="527"/>
      <c r="AL80" s="527"/>
      <c r="AM80" s="527"/>
      <c r="AN80" s="527"/>
      <c r="AO80" s="527"/>
      <c r="AP80" s="527"/>
      <c r="AQ80" s="527"/>
      <c r="AR80" s="164"/>
      <c r="AS80" s="164"/>
      <c r="AT80" s="164"/>
      <c r="AU80" s="164"/>
      <c r="AV80" s="338" t="str">
        <f t="shared" ca="1" si="8"/>
        <v>NO_CUMPLE</v>
      </c>
      <c r="AW80" s="338" t="str">
        <f ca="1">IFERROR(__xludf.DUMMYFUNCTION("IFERROR(VLOOKUP(E207&amp;F207,IMPORTRANGE(""https://docs.google.com/spreadsheets/d/1Uw7-A9f9R21vMXxHZFNpYNeKFtG8_yji4HS352LGlSQ/edit?pli=1#gid=0"",""1_ACUM!A4:S""),11,FALSE))"),"EN FORMACION")</f>
        <v>EN FORMACION</v>
      </c>
      <c r="AX80" s="462" t="str">
        <f ca="1">IFERROR(__xludf.DUMMYFUNCTION("IFERROR(VLOOKUP(F207,IMPORTRANGE(""https://docs.google.com/spreadsheets/d/1Kvs4KS76FHFqLFIZfrDMff4kP08nblUkihrxltoGBjg/edit#gid=934712705"",""ESENCIAL!A6:BG""),15,FALSE))"),"TIC")</f>
        <v>TIC</v>
      </c>
      <c r="AY80" s="461">
        <f ca="1">IFERROR(__xludf.DUMMYFUNCTION("IFERROR(VLOOKUP(E207&amp;F207,IMPORTRANGE(""https://docs.google.com/spreadsheets/d/1Uw7-A9f9R21vMXxHZFNpYNeKFtG8_yji4HS352LGlSQ/edit?pli=1#gid=0"",""1_ACUM!A4:S""),13,FALSE))"),14)</f>
        <v>14</v>
      </c>
      <c r="AZ80" s="460">
        <f ca="1">IFERROR(__xludf.DUMMYFUNCTION("IFERROR(VLOOKUP(E207&amp;F207,IMPORTRANGE(""https://docs.google.com/spreadsheets/d/1Uw7-A9f9R21vMXxHZFNpYNeKFtG8_yji4HS352LGlSQ/edit?pli=1#gid=0"",""1_ACUM!A4:S""),13,FALSE))"),14)</f>
        <v>14</v>
      </c>
      <c r="BA80" s="460">
        <f ca="1">IFERROR(__xludf.DUMMYFUNCTION("IFERROR(VLOOKUP(E207&amp;F207,IMPORTRANGE(""https://docs.google.com/spreadsheets/d/1Uw7-A9f9R21vMXxHZFNpYNeKFtG8_yji4HS352LGlSQ/edit?pli=1#gid=0"",""1_ACUM!A4:S""),14,FALSE))"),1)</f>
        <v>1</v>
      </c>
      <c r="BB80" s="460">
        <f ca="1">IFERROR(__xludf.DUMMYFUNCTION("IFERROR(VLOOKUP(E207&amp;F207,IMPORTRANGE(""https://docs.google.com/spreadsheets/d/1Uw7-A9f9R21vMXxHZFNpYNeKFtG8_yji4HS352LGlSQ/edit?pli=1#gid=0"",""1_ACUM!A4:S""),15,FALSE))"),2)</f>
        <v>2</v>
      </c>
      <c r="BC80" s="460">
        <f ca="1">IFERROR(__xludf.DUMMYFUNCTION("IFERROR(VLOOKUP(E207&amp;F207,IMPORTRANGE(""https://docs.google.com/spreadsheets/d/1Uw7-A9f9R21vMXxHZFNpYNeKFtG8_yji4HS352LGlSQ/edit?pli=1#gid=0"",""1_ACUM!A4:S""),16,FALSE))"),10)</f>
        <v>10</v>
      </c>
      <c r="BD80" s="460">
        <f ca="1">IFERROR(__xludf.DUMMYFUNCTION("IFERROR(VLOOKUP(E207&amp;F207,IMPORTRANGE(""https://docs.google.com/spreadsheets/d/1Uw7-A9f9R21vMXxHZFNpYNeKFtG8_yji4HS352LGlSQ/edit?pli=1#gid=0"",""1_ACUM!A4:S""),17,FALSE))"),27)</f>
        <v>27</v>
      </c>
      <c r="BE80" s="461">
        <f ca="1">IFERROR(__xludf.DUMMYFUNCTION("IFERROR(VLOOKUP(E207&amp;F207,IMPORTRANGE(""https://docs.google.com/spreadsheets/d/1Uw7-A9f9R21vMXxHZFNpYNeKFtG8_yji4HS352LGlSQ/edit?pli=1#gid=0"",""1_ACUM!A4:S""),18,FALSE))"),44585)</f>
        <v>44585</v>
      </c>
      <c r="BF80" s="461">
        <f ca="1">IFERROR(__xludf.DUMMYFUNCTION("IFERROR(VLOOKUP(E207&amp;F207,IMPORTRANGE(""https://docs.google.com/spreadsheets/d/1Uw7-A9f9R21vMXxHZFNpYNeKFtG8_yji4HS352LGlSQ/edit?pli=1#gid=0"",""1_ACUM!A4:S""),19,FALSE))"),44857)</f>
        <v>44857</v>
      </c>
      <c r="BG80" s="462">
        <f ca="1">IFERROR(__xludf.DUMMYFUNCTION("IFERROR(VLOOKUP(F207,IMPORTRANGE(""https://docs.google.com/spreadsheets/d/1Kvs4KS76FHFqLFIZfrDMff4kP08nblUkihrxltoGBjg/edit#gid=934712705"",""ESENCIAL!A6:BG""),5,FALSE))"),45039)</f>
        <v>45039</v>
      </c>
      <c r="BH80" s="462">
        <f t="shared" ca="1" si="9"/>
        <v>45588</v>
      </c>
      <c r="BI80" s="338" t="str">
        <f t="shared" ca="1" si="10"/>
        <v>FICHA EN TIEMPO-18 MESES</v>
      </c>
      <c r="BJ80" s="338" t="str">
        <f ca="1">IFERROR(__xludf.DUMMYFUNCTION("IFERROR(VLOOKUP(F207,IMPORTRANGE(""https://docs.google.com/spreadsheets/d/1Kvs4KS76FHFqLFIZfrDMff4kP08nblUkihrxltoGBjg/edit#gid=934712705"",""ESENCIAL!A6:BG""),2,FALSE))"),"En ejecucion")</f>
        <v>En ejecucion</v>
      </c>
      <c r="BK80" s="338" t="str">
        <f t="shared" si="11"/>
        <v>Yamboro</v>
      </c>
      <c r="BL80" s="38"/>
      <c r="BM80" s="38"/>
    </row>
    <row r="81" spans="1:65" s="180" customFormat="1" ht="24">
      <c r="A81" s="164"/>
      <c r="B81" s="562"/>
      <c r="C81" s="534" t="s">
        <v>25</v>
      </c>
      <c r="D81" s="564" t="s">
        <v>839</v>
      </c>
      <c r="E81" s="217" t="s">
        <v>27</v>
      </c>
      <c r="F81" s="149">
        <v>1007163826</v>
      </c>
      <c r="G81" s="208">
        <v>2451009</v>
      </c>
      <c r="H81" s="338" t="str">
        <f ca="1">IFERROR(__xludf.DUMMYFUNCTION("IFERROR(VLOOKUP(F208,IMPORTRANGE(""https://docs.google.com/spreadsheets/d/1Kvs4KS76FHFqLFIZfrDMff4kP08nblUkihrxltoGBjg/edit#gid=934712705"",""ESENCIAL!A6:BG""),3,FALSE))"),"TÉCNICO")</f>
        <v>TÉCNICO</v>
      </c>
      <c r="I81" s="338" t="str">
        <f ca="1">IFERROR(__xludf.DUMMYFUNCTION("IFERROR(VLOOKUP(F208,IMPORTRANGE(""https://docs.google.com/spreadsheets/d/1Kvs4KS76FHFqLFIZfrDMff4kP08nblUkihrxltoGBjg/edit#gid=934712705"",""ESENCIAL!A6:BG""),8,FALSE))"),"PROGRAMACION DE APLICACIONES PARA DISPOSITIVOS MOVILES")</f>
        <v>PROGRAMACION DE APLICACIONES PARA DISPOSITIVOS MOVILES</v>
      </c>
      <c r="J81" s="218">
        <v>3154999223</v>
      </c>
      <c r="K81" s="218" t="s">
        <v>840</v>
      </c>
      <c r="L81" s="218" t="s">
        <v>577</v>
      </c>
      <c r="M81" s="570" t="s">
        <v>44</v>
      </c>
      <c r="N81" s="527"/>
      <c r="O81" s="527"/>
      <c r="P81" s="527"/>
      <c r="Q81" s="527"/>
      <c r="R81" s="527"/>
      <c r="S81" s="525"/>
      <c r="T81" s="530"/>
      <c r="U81" s="527"/>
      <c r="V81" s="527"/>
      <c r="W81" s="338"/>
      <c r="X81" s="527"/>
      <c r="Y81" s="527"/>
      <c r="Z81" s="527"/>
      <c r="AA81" s="527"/>
      <c r="AB81" s="527"/>
      <c r="AC81" s="527"/>
      <c r="AD81" s="527"/>
      <c r="AE81" s="527"/>
      <c r="AF81" s="527"/>
      <c r="AG81" s="527"/>
      <c r="AH81" s="527"/>
      <c r="AI81" s="527"/>
      <c r="AJ81" s="527"/>
      <c r="AK81" s="527"/>
      <c r="AL81" s="527"/>
      <c r="AM81" s="527"/>
      <c r="AN81" s="527"/>
      <c r="AO81" s="527"/>
      <c r="AP81" s="527"/>
      <c r="AQ81" s="527"/>
      <c r="AR81" s="164"/>
      <c r="AS81" s="164"/>
      <c r="AT81" s="164"/>
      <c r="AU81" s="164"/>
      <c r="AV81" s="338" t="str">
        <f t="shared" ca="1" si="8"/>
        <v>NO_CUMPLE</v>
      </c>
      <c r="AW81" s="338" t="str">
        <f ca="1">IFERROR(__xludf.DUMMYFUNCTION("IFERROR(VLOOKUP(E208&amp;F208,IMPORTRANGE(""https://docs.google.com/spreadsheets/d/1Uw7-A9f9R21vMXxHZFNpYNeKFtG8_yji4HS352LGlSQ/edit?pli=1#gid=0"",""1_ACUM!A4:S""),11,FALSE))"),"EN FORMACION")</f>
        <v>EN FORMACION</v>
      </c>
      <c r="AX81" s="462" t="str">
        <f ca="1">IFERROR(__xludf.DUMMYFUNCTION("IFERROR(VLOOKUP(F208,IMPORTRANGE(""https://docs.google.com/spreadsheets/d/1Kvs4KS76FHFqLFIZfrDMff4kP08nblUkihrxltoGBjg/edit#gid=934712705"",""ESENCIAL!A6:BG""),15,FALSE))"),"TIC")</f>
        <v>TIC</v>
      </c>
      <c r="AY81" s="461">
        <f ca="1">IFERROR(__xludf.DUMMYFUNCTION("IFERROR(VLOOKUP(E208&amp;F208,IMPORTRANGE(""https://docs.google.com/spreadsheets/d/1Uw7-A9f9R21vMXxHZFNpYNeKFtG8_yji4HS352LGlSQ/edit?pli=1#gid=0"",""1_ACUM!A4:S""),13,FALSE))"),14)</f>
        <v>14</v>
      </c>
      <c r="AZ81" s="460">
        <f ca="1">IFERROR(__xludf.DUMMYFUNCTION("IFERROR(VLOOKUP(E208&amp;F208,IMPORTRANGE(""https://docs.google.com/spreadsheets/d/1Uw7-A9f9R21vMXxHZFNpYNeKFtG8_yji4HS352LGlSQ/edit?pli=1#gid=0"",""1_ACUM!A4:S""),13,FALSE))"),14)</f>
        <v>14</v>
      </c>
      <c r="BA81" s="460">
        <f ca="1">IFERROR(__xludf.DUMMYFUNCTION("IFERROR(VLOOKUP(E208&amp;F208,IMPORTRANGE(""https://docs.google.com/spreadsheets/d/1Uw7-A9f9R21vMXxHZFNpYNeKFtG8_yji4HS352LGlSQ/edit?pli=1#gid=0"",""1_ACUM!A4:S""),14,FALSE))"),1)</f>
        <v>1</v>
      </c>
      <c r="BB81" s="460">
        <f ca="1">IFERROR(__xludf.DUMMYFUNCTION("IFERROR(VLOOKUP(E208&amp;F208,IMPORTRANGE(""https://docs.google.com/spreadsheets/d/1Uw7-A9f9R21vMXxHZFNpYNeKFtG8_yji4HS352LGlSQ/edit?pli=1#gid=0"",""1_ACUM!A4:S""),15,FALSE))"),2)</f>
        <v>2</v>
      </c>
      <c r="BC81" s="460">
        <f ca="1">IFERROR(__xludf.DUMMYFUNCTION("IFERROR(VLOOKUP(E208&amp;F208,IMPORTRANGE(""https://docs.google.com/spreadsheets/d/1Uw7-A9f9R21vMXxHZFNpYNeKFtG8_yji4HS352LGlSQ/edit?pli=1#gid=0"",""1_ACUM!A4:S""),16,FALSE))"),10)</f>
        <v>10</v>
      </c>
      <c r="BD81" s="460">
        <f ca="1">IFERROR(__xludf.DUMMYFUNCTION("IFERROR(VLOOKUP(E208&amp;F208,IMPORTRANGE(""https://docs.google.com/spreadsheets/d/1Uw7-A9f9R21vMXxHZFNpYNeKFtG8_yji4HS352LGlSQ/edit?pli=1#gid=0"",""1_ACUM!A4:S""),17,FALSE))"),27)</f>
        <v>27</v>
      </c>
      <c r="BE81" s="461">
        <f ca="1">IFERROR(__xludf.DUMMYFUNCTION("IFERROR(VLOOKUP(E208&amp;F208,IMPORTRANGE(""https://docs.google.com/spreadsheets/d/1Uw7-A9f9R21vMXxHZFNpYNeKFtG8_yji4HS352LGlSQ/edit?pli=1#gid=0"",""1_ACUM!A4:S""),18,FALSE))"),44585)</f>
        <v>44585</v>
      </c>
      <c r="BF81" s="461">
        <f ca="1">IFERROR(__xludf.DUMMYFUNCTION("IFERROR(VLOOKUP(E208&amp;F208,IMPORTRANGE(""https://docs.google.com/spreadsheets/d/1Uw7-A9f9R21vMXxHZFNpYNeKFtG8_yji4HS352LGlSQ/edit?pli=1#gid=0"",""1_ACUM!A4:S""),19,FALSE))"),44857)</f>
        <v>44857</v>
      </c>
      <c r="BG81" s="462">
        <f ca="1">IFERROR(__xludf.DUMMYFUNCTION("IFERROR(VLOOKUP(F208,IMPORTRANGE(""https://docs.google.com/spreadsheets/d/1Kvs4KS76FHFqLFIZfrDMff4kP08nblUkihrxltoGBjg/edit#gid=934712705"",""ESENCIAL!A6:BG""),5,FALSE))"),45039)</f>
        <v>45039</v>
      </c>
      <c r="BH81" s="462">
        <f t="shared" ca="1" si="9"/>
        <v>45588</v>
      </c>
      <c r="BI81" s="338" t="str">
        <f t="shared" ca="1" si="10"/>
        <v>FICHA EN TIEMPO-18 MESES</v>
      </c>
      <c r="BJ81" s="338" t="str">
        <f ca="1">IFERROR(__xludf.DUMMYFUNCTION("IFERROR(VLOOKUP(F208,IMPORTRANGE(""https://docs.google.com/spreadsheets/d/1Kvs4KS76FHFqLFIZfrDMff4kP08nblUkihrxltoGBjg/edit#gid=934712705"",""ESENCIAL!A6:BG""),2,FALSE))"),"En ejecucion")</f>
        <v>En ejecucion</v>
      </c>
      <c r="BK81" s="338" t="str">
        <f t="shared" si="11"/>
        <v>Yamboro</v>
      </c>
      <c r="BL81" s="38"/>
      <c r="BM81" s="38"/>
    </row>
    <row r="82" spans="1:65" ht="24">
      <c r="A82" s="578" t="s">
        <v>833</v>
      </c>
      <c r="B82" s="562"/>
      <c r="C82" s="534" t="s">
        <v>25</v>
      </c>
      <c r="D82" s="564" t="s">
        <v>841</v>
      </c>
      <c r="E82" s="217" t="s">
        <v>27</v>
      </c>
      <c r="F82" s="149">
        <v>1007587211</v>
      </c>
      <c r="G82" s="208">
        <v>2451009</v>
      </c>
      <c r="H82" s="338" t="str">
        <f ca="1">IFERROR(__xludf.DUMMYFUNCTION("IFERROR(VLOOKUP(F209,IMPORTRANGE(""https://docs.google.com/spreadsheets/d/1Kvs4KS76FHFqLFIZfrDMff4kP08nblUkihrxltoGBjg/edit#gid=934712705"",""ESENCIAL!A6:BG""),3,FALSE))"),"TÉCNICO")</f>
        <v>TÉCNICO</v>
      </c>
      <c r="I82" s="338" t="str">
        <f ca="1">IFERROR(__xludf.DUMMYFUNCTION("IFERROR(VLOOKUP(F209,IMPORTRANGE(""https://docs.google.com/spreadsheets/d/1Kvs4KS76FHFqLFIZfrDMff4kP08nblUkihrxltoGBjg/edit#gid=934712705"",""ESENCIAL!A6:BG""),8,FALSE))"),"PROGRAMACION DE APLICACIONES PARA DISPOSITIVOS MOVILES")</f>
        <v>PROGRAMACION DE APLICACIONES PARA DISPOSITIVOS MOVILES</v>
      </c>
      <c r="J82" s="218">
        <v>3132036644</v>
      </c>
      <c r="K82" s="218" t="s">
        <v>842</v>
      </c>
      <c r="L82" s="218" t="s">
        <v>577</v>
      </c>
      <c r="M82" s="568" t="s">
        <v>28</v>
      </c>
      <c r="N82" s="527" t="s">
        <v>843</v>
      </c>
      <c r="O82" s="527" t="s">
        <v>844</v>
      </c>
      <c r="P82" s="527">
        <v>3115263031</v>
      </c>
      <c r="Q82" s="527" t="s">
        <v>96</v>
      </c>
      <c r="R82" s="527" t="s">
        <v>845</v>
      </c>
      <c r="S82" s="525">
        <v>44873</v>
      </c>
      <c r="T82" s="530">
        <v>45053</v>
      </c>
      <c r="U82" s="527"/>
      <c r="V82" s="527"/>
      <c r="W82" s="338"/>
      <c r="X82" s="527"/>
      <c r="Y82" s="527"/>
      <c r="Z82" s="527"/>
      <c r="AA82" s="527"/>
      <c r="AB82" s="527"/>
      <c r="AC82" s="527"/>
      <c r="AD82" s="527"/>
      <c r="AE82" s="527"/>
      <c r="AF82" s="527"/>
      <c r="AG82" s="527"/>
      <c r="AH82" s="527"/>
      <c r="AI82" s="527"/>
      <c r="AJ82" s="527"/>
      <c r="AK82" s="527"/>
      <c r="AL82" s="527"/>
      <c r="AM82" s="527"/>
      <c r="AN82" s="527"/>
      <c r="AO82" s="527"/>
      <c r="AP82" s="527"/>
      <c r="AQ82" s="527"/>
      <c r="AR82" s="164"/>
      <c r="AS82" s="164"/>
      <c r="AT82" s="164"/>
      <c r="AU82" s="164"/>
      <c r="AV82" s="338" t="str">
        <f t="shared" ca="1" si="8"/>
        <v>NO_CUMPLE</v>
      </c>
      <c r="AW82" s="338" t="str">
        <f ca="1">IFERROR(__xludf.DUMMYFUNCTION("IFERROR(VLOOKUP(E209&amp;F209,IMPORTRANGE(""https://docs.google.com/spreadsheets/d/1Uw7-A9f9R21vMXxHZFNpYNeKFtG8_yji4HS352LGlSQ/edit?pli=1#gid=0"",""1_ACUM!A4:S""),11,FALSE))"),"EN FORMACION")</f>
        <v>EN FORMACION</v>
      </c>
      <c r="AX82" s="462" t="str">
        <f ca="1">IFERROR(__xludf.DUMMYFUNCTION("IFERROR(VLOOKUP(F209,IMPORTRANGE(""https://docs.google.com/spreadsheets/d/1Kvs4KS76FHFqLFIZfrDMff4kP08nblUkihrxltoGBjg/edit#gid=934712705"",""ESENCIAL!A6:BG""),15,FALSE))"),"TIC")</f>
        <v>TIC</v>
      </c>
      <c r="AY82" s="461">
        <f ca="1">IFERROR(__xludf.DUMMYFUNCTION("IFERROR(VLOOKUP(E209&amp;F209,IMPORTRANGE(""https://docs.google.com/spreadsheets/d/1Uw7-A9f9R21vMXxHZFNpYNeKFtG8_yji4HS352LGlSQ/edit?pli=1#gid=0"",""1_ACUM!A4:S""),13,FALSE))"),14)</f>
        <v>14</v>
      </c>
      <c r="AZ82" s="460">
        <f ca="1">IFERROR(__xludf.DUMMYFUNCTION("IFERROR(VLOOKUP(E209&amp;F209,IMPORTRANGE(""https://docs.google.com/spreadsheets/d/1Uw7-A9f9R21vMXxHZFNpYNeKFtG8_yji4HS352LGlSQ/edit?pli=1#gid=0"",""1_ACUM!A4:S""),13,FALSE))"),14)</f>
        <v>14</v>
      </c>
      <c r="BA82" s="460">
        <f ca="1">IFERROR(__xludf.DUMMYFUNCTION("IFERROR(VLOOKUP(E209&amp;F209,IMPORTRANGE(""https://docs.google.com/spreadsheets/d/1Uw7-A9f9R21vMXxHZFNpYNeKFtG8_yji4HS352LGlSQ/edit?pli=1#gid=0"",""1_ACUM!A4:S""),14,FALSE))"),1)</f>
        <v>1</v>
      </c>
      <c r="BB82" s="460">
        <f ca="1">IFERROR(__xludf.DUMMYFUNCTION("IFERROR(VLOOKUP(E209&amp;F209,IMPORTRANGE(""https://docs.google.com/spreadsheets/d/1Uw7-A9f9R21vMXxHZFNpYNeKFtG8_yji4HS352LGlSQ/edit?pli=1#gid=0"",""1_ACUM!A4:S""),15,FALSE))"),2)</f>
        <v>2</v>
      </c>
      <c r="BC82" s="460">
        <f ca="1">IFERROR(__xludf.DUMMYFUNCTION("IFERROR(VLOOKUP(E209&amp;F209,IMPORTRANGE(""https://docs.google.com/spreadsheets/d/1Uw7-A9f9R21vMXxHZFNpYNeKFtG8_yji4HS352LGlSQ/edit?pli=1#gid=0"",""1_ACUM!A4:S""),16,FALSE))"),10)</f>
        <v>10</v>
      </c>
      <c r="BD82" s="460">
        <f ca="1">IFERROR(__xludf.DUMMYFUNCTION("IFERROR(VLOOKUP(E209&amp;F209,IMPORTRANGE(""https://docs.google.com/spreadsheets/d/1Uw7-A9f9R21vMXxHZFNpYNeKFtG8_yji4HS352LGlSQ/edit?pli=1#gid=0"",""1_ACUM!A4:S""),17,FALSE))"),27)</f>
        <v>27</v>
      </c>
      <c r="BE82" s="461">
        <f ca="1">IFERROR(__xludf.DUMMYFUNCTION("IFERROR(VLOOKUP(E209&amp;F209,IMPORTRANGE(""https://docs.google.com/spreadsheets/d/1Uw7-A9f9R21vMXxHZFNpYNeKFtG8_yji4HS352LGlSQ/edit?pli=1#gid=0"",""1_ACUM!A4:S""),18,FALSE))"),44585)</f>
        <v>44585</v>
      </c>
      <c r="BF82" s="461">
        <f ca="1">IFERROR(__xludf.DUMMYFUNCTION("IFERROR(VLOOKUP(E209&amp;F209,IMPORTRANGE(""https://docs.google.com/spreadsheets/d/1Uw7-A9f9R21vMXxHZFNpYNeKFtG8_yji4HS352LGlSQ/edit?pli=1#gid=0"",""1_ACUM!A4:S""),19,FALSE))"),44857)</f>
        <v>44857</v>
      </c>
      <c r="BG82" s="462">
        <f ca="1">IFERROR(__xludf.DUMMYFUNCTION("IFERROR(VLOOKUP(F209,IMPORTRANGE(""https://docs.google.com/spreadsheets/d/1Kvs4KS76FHFqLFIZfrDMff4kP08nblUkihrxltoGBjg/edit#gid=934712705"",""ESENCIAL!A6:BG""),5,FALSE))"),45039)</f>
        <v>45039</v>
      </c>
      <c r="BH82" s="462">
        <f t="shared" ca="1" si="9"/>
        <v>45588</v>
      </c>
      <c r="BI82" s="338" t="str">
        <f t="shared" ca="1" si="10"/>
        <v>FICHA EN TIEMPO-18 MESES</v>
      </c>
      <c r="BJ82" s="338" t="str">
        <f ca="1">IFERROR(__xludf.DUMMYFUNCTION("IFERROR(VLOOKUP(F209,IMPORTRANGE(""https://docs.google.com/spreadsheets/d/1Kvs4KS76FHFqLFIZfrDMff4kP08nblUkihrxltoGBjg/edit#gid=934712705"",""ESENCIAL!A6:BG""),2,FALSE))"),"En ejecucion")</f>
        <v>En ejecucion</v>
      </c>
      <c r="BK82" s="338" t="str">
        <f t="shared" si="11"/>
        <v>Yamboro</v>
      </c>
      <c r="BL82" s="38"/>
      <c r="BM82" s="38"/>
    </row>
    <row r="83" spans="1:65" ht="24">
      <c r="A83" s="164"/>
      <c r="B83" s="562"/>
      <c r="C83" s="534" t="s">
        <v>25</v>
      </c>
      <c r="D83" s="564" t="s">
        <v>846</v>
      </c>
      <c r="E83" s="217" t="s">
        <v>67</v>
      </c>
      <c r="F83" s="149">
        <v>1012328451</v>
      </c>
      <c r="G83" s="208">
        <v>2451009</v>
      </c>
      <c r="H83" s="338" t="str">
        <f ca="1">IFERROR(__xludf.DUMMYFUNCTION("IFERROR(VLOOKUP(F210,IMPORTRANGE(""https://docs.google.com/spreadsheets/d/1Kvs4KS76FHFqLFIZfrDMff4kP08nblUkihrxltoGBjg/edit#gid=934712705"",""ESENCIAL!A6:BG""),3,FALSE))"),"TÉCNICO")</f>
        <v>TÉCNICO</v>
      </c>
      <c r="I83" s="338" t="str">
        <f ca="1">IFERROR(__xludf.DUMMYFUNCTION("IFERROR(VLOOKUP(F210,IMPORTRANGE(""https://docs.google.com/spreadsheets/d/1Kvs4KS76FHFqLFIZfrDMff4kP08nblUkihrxltoGBjg/edit#gid=934712705"",""ESENCIAL!A6:BG""),8,FALSE))"),"PROGRAMACION DE APLICACIONES PARA DISPOSITIVOS MOVILES")</f>
        <v>PROGRAMACION DE APLICACIONES PARA DISPOSITIVOS MOVILES</v>
      </c>
      <c r="J83" s="218">
        <v>3209527912</v>
      </c>
      <c r="K83" s="583" t="s">
        <v>847</v>
      </c>
      <c r="L83" s="218" t="s">
        <v>577</v>
      </c>
      <c r="M83" s="570" t="s">
        <v>44</v>
      </c>
      <c r="N83" s="527"/>
      <c r="O83" s="527"/>
      <c r="P83" s="527"/>
      <c r="Q83" s="527"/>
      <c r="R83" s="527"/>
      <c r="S83" s="525"/>
      <c r="T83" s="530"/>
      <c r="U83" s="527"/>
      <c r="V83" s="527"/>
      <c r="W83" s="338"/>
      <c r="X83" s="527"/>
      <c r="Y83" s="527"/>
      <c r="Z83" s="527"/>
      <c r="AA83" s="527"/>
      <c r="AB83" s="527"/>
      <c r="AC83" s="527"/>
      <c r="AD83" s="527"/>
      <c r="AE83" s="527"/>
      <c r="AF83" s="527"/>
      <c r="AG83" s="527"/>
      <c r="AH83" s="527"/>
      <c r="AI83" s="527"/>
      <c r="AJ83" s="527"/>
      <c r="AK83" s="527"/>
      <c r="AL83" s="527"/>
      <c r="AM83" s="527"/>
      <c r="AN83" s="527"/>
      <c r="AO83" s="527"/>
      <c r="AP83" s="527"/>
      <c r="AQ83" s="527"/>
      <c r="AR83" s="164"/>
      <c r="AS83" s="164"/>
      <c r="AT83" s="164"/>
      <c r="AU83" s="164"/>
      <c r="AV83" s="338" t="str">
        <f t="shared" ca="1" si="8"/>
        <v>NO_CUMPLE</v>
      </c>
      <c r="AW83" s="338" t="str">
        <f ca="1">IFERROR(__xludf.DUMMYFUNCTION("IFERROR(VLOOKUP(E210&amp;F210,IMPORTRANGE(""https://docs.google.com/spreadsheets/d/1Uw7-A9f9R21vMXxHZFNpYNeKFtG8_yji4HS352LGlSQ/edit?pli=1#gid=0"",""1_ACUM!A4:S""),11,FALSE))"),"EN FORMACION")</f>
        <v>EN FORMACION</v>
      </c>
      <c r="AX83" s="462" t="str">
        <f ca="1">IFERROR(__xludf.DUMMYFUNCTION("IFERROR(VLOOKUP(F210,IMPORTRANGE(""https://docs.google.com/spreadsheets/d/1Kvs4KS76FHFqLFIZfrDMff4kP08nblUkihrxltoGBjg/edit#gid=934712705"",""ESENCIAL!A6:BG""),15,FALSE))"),"TIC")</f>
        <v>TIC</v>
      </c>
      <c r="AY83" s="461">
        <f ca="1">IFERROR(__xludf.DUMMYFUNCTION("IFERROR(VLOOKUP(E210&amp;F210,IMPORTRANGE(""https://docs.google.com/spreadsheets/d/1Uw7-A9f9R21vMXxHZFNpYNeKFtG8_yji4HS352LGlSQ/edit?pli=1#gid=0"",""1_ACUM!A4:S""),13,FALSE))"),14)</f>
        <v>14</v>
      </c>
      <c r="AZ83" s="460">
        <f ca="1">IFERROR(__xludf.DUMMYFUNCTION("IFERROR(VLOOKUP(E210&amp;F210,IMPORTRANGE(""https://docs.google.com/spreadsheets/d/1Uw7-A9f9R21vMXxHZFNpYNeKFtG8_yji4HS352LGlSQ/edit?pli=1#gid=0"",""1_ACUM!A4:S""),13,FALSE))"),14)</f>
        <v>14</v>
      </c>
      <c r="BA83" s="460">
        <f ca="1">IFERROR(__xludf.DUMMYFUNCTION("IFERROR(VLOOKUP(E210&amp;F210,IMPORTRANGE(""https://docs.google.com/spreadsheets/d/1Uw7-A9f9R21vMXxHZFNpYNeKFtG8_yji4HS352LGlSQ/edit?pli=1#gid=0"",""1_ACUM!A4:S""),14,FALSE))"),1)</f>
        <v>1</v>
      </c>
      <c r="BB83" s="460">
        <f ca="1">IFERROR(__xludf.DUMMYFUNCTION("IFERROR(VLOOKUP(E210&amp;F210,IMPORTRANGE(""https://docs.google.com/spreadsheets/d/1Uw7-A9f9R21vMXxHZFNpYNeKFtG8_yji4HS352LGlSQ/edit?pli=1#gid=0"",""1_ACUM!A4:S""),15,FALSE))"),2)</f>
        <v>2</v>
      </c>
      <c r="BC83" s="460">
        <f ca="1">IFERROR(__xludf.DUMMYFUNCTION("IFERROR(VLOOKUP(E210&amp;F210,IMPORTRANGE(""https://docs.google.com/spreadsheets/d/1Uw7-A9f9R21vMXxHZFNpYNeKFtG8_yji4HS352LGlSQ/edit?pli=1#gid=0"",""1_ACUM!A4:S""),16,FALSE))"),10)</f>
        <v>10</v>
      </c>
      <c r="BD83" s="460">
        <f ca="1">IFERROR(__xludf.DUMMYFUNCTION("IFERROR(VLOOKUP(E210&amp;F210,IMPORTRANGE(""https://docs.google.com/spreadsheets/d/1Uw7-A9f9R21vMXxHZFNpYNeKFtG8_yji4HS352LGlSQ/edit?pli=1#gid=0"",""1_ACUM!A4:S""),17,FALSE))"),27)</f>
        <v>27</v>
      </c>
      <c r="BE83" s="461">
        <f ca="1">IFERROR(__xludf.DUMMYFUNCTION("IFERROR(VLOOKUP(E210&amp;F210,IMPORTRANGE(""https://docs.google.com/spreadsheets/d/1Uw7-A9f9R21vMXxHZFNpYNeKFtG8_yji4HS352LGlSQ/edit?pli=1#gid=0"",""1_ACUM!A4:S""),18,FALSE))"),44585)</f>
        <v>44585</v>
      </c>
      <c r="BF83" s="461">
        <f ca="1">IFERROR(__xludf.DUMMYFUNCTION("IFERROR(VLOOKUP(E210&amp;F210,IMPORTRANGE(""https://docs.google.com/spreadsheets/d/1Uw7-A9f9R21vMXxHZFNpYNeKFtG8_yji4HS352LGlSQ/edit?pli=1#gid=0"",""1_ACUM!A4:S""),19,FALSE))"),44857)</f>
        <v>44857</v>
      </c>
      <c r="BG83" s="462">
        <f ca="1">IFERROR(__xludf.DUMMYFUNCTION("IFERROR(VLOOKUP(F210,IMPORTRANGE(""https://docs.google.com/spreadsheets/d/1Kvs4KS76FHFqLFIZfrDMff4kP08nblUkihrxltoGBjg/edit#gid=934712705"",""ESENCIAL!A6:BG""),5,FALSE))"),45039)</f>
        <v>45039</v>
      </c>
      <c r="BH83" s="462">
        <f t="shared" ca="1" si="9"/>
        <v>45588</v>
      </c>
      <c r="BI83" s="338" t="str">
        <f t="shared" ca="1" si="10"/>
        <v>FICHA EN TIEMPO-18 MESES</v>
      </c>
      <c r="BJ83" s="338" t="str">
        <f ca="1">IFERROR(__xludf.DUMMYFUNCTION("IFERROR(VLOOKUP(F210,IMPORTRANGE(""https://docs.google.com/spreadsheets/d/1Kvs4KS76FHFqLFIZfrDMff4kP08nblUkihrxltoGBjg/edit#gid=934712705"",""ESENCIAL!A6:BG""),2,FALSE))"),"En ejecucion")</f>
        <v>En ejecucion</v>
      </c>
      <c r="BK83" s="338" t="str">
        <f t="shared" si="11"/>
        <v>Yamboro</v>
      </c>
      <c r="BL83" s="38"/>
      <c r="BM83" s="38"/>
    </row>
    <row r="84" spans="1:65" s="180" customFormat="1" ht="24">
      <c r="A84" s="164"/>
      <c r="B84" s="562"/>
      <c r="C84" s="534" t="s">
        <v>25</v>
      </c>
      <c r="D84" s="564" t="s">
        <v>848</v>
      </c>
      <c r="E84" s="217" t="s">
        <v>67</v>
      </c>
      <c r="F84" s="149">
        <v>1079534526</v>
      </c>
      <c r="G84" s="208">
        <v>2451009</v>
      </c>
      <c r="H84" s="338" t="str">
        <f ca="1">IFERROR(__xludf.DUMMYFUNCTION("IFERROR(VLOOKUP(F211,IMPORTRANGE(""https://docs.google.com/spreadsheets/d/1Kvs4KS76FHFqLFIZfrDMff4kP08nblUkihrxltoGBjg/edit#gid=934712705"",""ESENCIAL!A6:BG""),3,FALSE))"),"TÉCNICO")</f>
        <v>TÉCNICO</v>
      </c>
      <c r="I84" s="338" t="str">
        <f ca="1">IFERROR(__xludf.DUMMYFUNCTION("IFERROR(VLOOKUP(F211,IMPORTRANGE(""https://docs.google.com/spreadsheets/d/1Kvs4KS76FHFqLFIZfrDMff4kP08nblUkihrxltoGBjg/edit#gid=934712705"",""ESENCIAL!A6:BG""),8,FALSE))"),"PROGRAMACION DE APLICACIONES PARA DISPOSITIVOS MOVILES")</f>
        <v>PROGRAMACION DE APLICACIONES PARA DISPOSITIVOS MOVILES</v>
      </c>
      <c r="J84" s="218">
        <v>3184008052</v>
      </c>
      <c r="K84" s="218" t="s">
        <v>849</v>
      </c>
      <c r="L84" s="218" t="s">
        <v>577</v>
      </c>
      <c r="M84" s="570" t="s">
        <v>44</v>
      </c>
      <c r="N84" s="527"/>
      <c r="O84" s="527"/>
      <c r="P84" s="527"/>
      <c r="Q84" s="527"/>
      <c r="R84" s="527"/>
      <c r="S84" s="525"/>
      <c r="T84" s="530"/>
      <c r="U84" s="527"/>
      <c r="V84" s="527"/>
      <c r="W84" s="338"/>
      <c r="X84" s="527"/>
      <c r="Y84" s="527"/>
      <c r="Z84" s="527"/>
      <c r="AA84" s="527"/>
      <c r="AB84" s="527"/>
      <c r="AC84" s="527"/>
      <c r="AD84" s="527"/>
      <c r="AE84" s="527"/>
      <c r="AF84" s="527"/>
      <c r="AG84" s="527"/>
      <c r="AH84" s="527"/>
      <c r="AI84" s="527"/>
      <c r="AJ84" s="527"/>
      <c r="AK84" s="527"/>
      <c r="AL84" s="527"/>
      <c r="AM84" s="527"/>
      <c r="AN84" s="527"/>
      <c r="AO84" s="527"/>
      <c r="AP84" s="527"/>
      <c r="AQ84" s="527"/>
      <c r="AR84" s="164"/>
      <c r="AS84" s="164"/>
      <c r="AT84" s="164"/>
      <c r="AU84" s="164"/>
      <c r="AV84" s="338" t="str">
        <f t="shared" ca="1" si="8"/>
        <v>NO_CUMPLE</v>
      </c>
      <c r="AW84" s="338" t="str">
        <f ca="1">IFERROR(__xludf.DUMMYFUNCTION("IFERROR(VLOOKUP(E211&amp;F211,IMPORTRANGE(""https://docs.google.com/spreadsheets/d/1Uw7-A9f9R21vMXxHZFNpYNeKFtG8_yji4HS352LGlSQ/edit?pli=1#gid=0"",""1_ACUM!A4:S""),11,FALSE))"),"EN FORMACION")</f>
        <v>EN FORMACION</v>
      </c>
      <c r="AX84" s="462" t="str">
        <f ca="1">IFERROR(__xludf.DUMMYFUNCTION("IFERROR(VLOOKUP(F211,IMPORTRANGE(""https://docs.google.com/spreadsheets/d/1Kvs4KS76FHFqLFIZfrDMff4kP08nblUkihrxltoGBjg/edit#gid=934712705"",""ESENCIAL!A6:BG""),15,FALSE))"),"TIC")</f>
        <v>TIC</v>
      </c>
      <c r="AY84" s="461">
        <f ca="1">IFERROR(__xludf.DUMMYFUNCTION("IFERROR(VLOOKUP(E211&amp;F211,IMPORTRANGE(""https://docs.google.com/spreadsheets/d/1Uw7-A9f9R21vMXxHZFNpYNeKFtG8_yji4HS352LGlSQ/edit?pli=1#gid=0"",""1_ACUM!A4:S""),13,FALSE))"),14)</f>
        <v>14</v>
      </c>
      <c r="AZ84" s="460">
        <f ca="1">IFERROR(__xludf.DUMMYFUNCTION("IFERROR(VLOOKUP(E211&amp;F211,IMPORTRANGE(""https://docs.google.com/spreadsheets/d/1Uw7-A9f9R21vMXxHZFNpYNeKFtG8_yji4HS352LGlSQ/edit?pli=1#gid=0"",""1_ACUM!A4:S""),13,FALSE))"),14)</f>
        <v>14</v>
      </c>
      <c r="BA84" s="460">
        <f ca="1">IFERROR(__xludf.DUMMYFUNCTION("IFERROR(VLOOKUP(E211&amp;F211,IMPORTRANGE(""https://docs.google.com/spreadsheets/d/1Uw7-A9f9R21vMXxHZFNpYNeKFtG8_yji4HS352LGlSQ/edit?pli=1#gid=0"",""1_ACUM!A4:S""),14,FALSE))"),1)</f>
        <v>1</v>
      </c>
      <c r="BB84" s="460">
        <f ca="1">IFERROR(__xludf.DUMMYFUNCTION("IFERROR(VLOOKUP(E211&amp;F211,IMPORTRANGE(""https://docs.google.com/spreadsheets/d/1Uw7-A9f9R21vMXxHZFNpYNeKFtG8_yji4HS352LGlSQ/edit?pli=1#gid=0"",""1_ACUM!A4:S""),15,FALSE))"),2)</f>
        <v>2</v>
      </c>
      <c r="BC84" s="460">
        <f ca="1">IFERROR(__xludf.DUMMYFUNCTION("IFERROR(VLOOKUP(E211&amp;F211,IMPORTRANGE(""https://docs.google.com/spreadsheets/d/1Uw7-A9f9R21vMXxHZFNpYNeKFtG8_yji4HS352LGlSQ/edit?pli=1#gid=0"",""1_ACUM!A4:S""),16,FALSE))"),10)</f>
        <v>10</v>
      </c>
      <c r="BD84" s="460">
        <f ca="1">IFERROR(__xludf.DUMMYFUNCTION("IFERROR(VLOOKUP(E211&amp;F211,IMPORTRANGE(""https://docs.google.com/spreadsheets/d/1Uw7-A9f9R21vMXxHZFNpYNeKFtG8_yji4HS352LGlSQ/edit?pli=1#gid=0"",""1_ACUM!A4:S""),17,FALSE))"),27)</f>
        <v>27</v>
      </c>
      <c r="BE84" s="461">
        <f ca="1">IFERROR(__xludf.DUMMYFUNCTION("IFERROR(VLOOKUP(E211&amp;F211,IMPORTRANGE(""https://docs.google.com/spreadsheets/d/1Uw7-A9f9R21vMXxHZFNpYNeKFtG8_yji4HS352LGlSQ/edit?pli=1#gid=0"",""1_ACUM!A4:S""),18,FALSE))"),44585)</f>
        <v>44585</v>
      </c>
      <c r="BF84" s="461">
        <f ca="1">IFERROR(__xludf.DUMMYFUNCTION("IFERROR(VLOOKUP(E211&amp;F211,IMPORTRANGE(""https://docs.google.com/spreadsheets/d/1Uw7-A9f9R21vMXxHZFNpYNeKFtG8_yji4HS352LGlSQ/edit?pli=1#gid=0"",""1_ACUM!A4:S""),19,FALSE))"),44857)</f>
        <v>44857</v>
      </c>
      <c r="BG84" s="462">
        <f ca="1">IFERROR(__xludf.DUMMYFUNCTION("IFERROR(VLOOKUP(F211,IMPORTRANGE(""https://docs.google.com/spreadsheets/d/1Kvs4KS76FHFqLFIZfrDMff4kP08nblUkihrxltoGBjg/edit#gid=934712705"",""ESENCIAL!A6:BG""),5,FALSE))"),45039)</f>
        <v>45039</v>
      </c>
      <c r="BH84" s="462">
        <f t="shared" ca="1" si="9"/>
        <v>45588</v>
      </c>
      <c r="BI84" s="338" t="str">
        <f t="shared" ca="1" si="10"/>
        <v>FICHA EN TIEMPO-18 MESES</v>
      </c>
      <c r="BJ84" s="338" t="str">
        <f ca="1">IFERROR(__xludf.DUMMYFUNCTION("IFERROR(VLOOKUP(F211,IMPORTRANGE(""https://docs.google.com/spreadsheets/d/1Kvs4KS76FHFqLFIZfrDMff4kP08nblUkihrxltoGBjg/edit#gid=934712705"",""ESENCIAL!A6:BG""),2,FALSE))"),"En ejecucion")</f>
        <v>En ejecucion</v>
      </c>
      <c r="BK84" s="338" t="str">
        <f t="shared" si="11"/>
        <v>Yamboro</v>
      </c>
      <c r="BL84" s="38"/>
      <c r="BM84" s="38"/>
    </row>
    <row r="85" spans="1:65" ht="24">
      <c r="A85" s="164"/>
      <c r="B85" s="562"/>
      <c r="C85" s="534" t="s">
        <v>25</v>
      </c>
      <c r="D85" s="564" t="s">
        <v>850</v>
      </c>
      <c r="E85" s="217" t="s">
        <v>67</v>
      </c>
      <c r="F85" s="149">
        <v>1083866437</v>
      </c>
      <c r="G85" s="208">
        <v>2451009</v>
      </c>
      <c r="H85" s="338" t="str">
        <f ca="1">IFERROR(__xludf.DUMMYFUNCTION("IFERROR(VLOOKUP(F212,IMPORTRANGE(""https://docs.google.com/spreadsheets/d/1Kvs4KS76FHFqLFIZfrDMff4kP08nblUkihrxltoGBjg/edit#gid=934712705"",""ESENCIAL!A6:BG""),3,FALSE))"),"TÉCNICO")</f>
        <v>TÉCNICO</v>
      </c>
      <c r="I85" s="338" t="str">
        <f ca="1">IFERROR(__xludf.DUMMYFUNCTION("IFERROR(VLOOKUP(F212,IMPORTRANGE(""https://docs.google.com/spreadsheets/d/1Kvs4KS76FHFqLFIZfrDMff4kP08nblUkihrxltoGBjg/edit#gid=934712705"",""ESENCIAL!A6:BG""),8,FALSE))"),"PROGRAMACION DE APLICACIONES PARA DISPOSITIVOS MOVILES")</f>
        <v>PROGRAMACION DE APLICACIONES PARA DISPOSITIVOS MOVILES</v>
      </c>
      <c r="J85" s="218" t="s">
        <v>851</v>
      </c>
      <c r="K85" s="218" t="s">
        <v>852</v>
      </c>
      <c r="L85" s="218" t="s">
        <v>577</v>
      </c>
      <c r="M85" s="570" t="s">
        <v>44</v>
      </c>
      <c r="N85" s="527"/>
      <c r="O85" s="527"/>
      <c r="P85" s="527"/>
      <c r="Q85" s="527"/>
      <c r="R85" s="527"/>
      <c r="S85" s="525"/>
      <c r="T85" s="530"/>
      <c r="U85" s="527"/>
      <c r="V85" s="527"/>
      <c r="W85" s="338"/>
      <c r="X85" s="527"/>
      <c r="Y85" s="527"/>
      <c r="Z85" s="527"/>
      <c r="AA85" s="527"/>
      <c r="AB85" s="527"/>
      <c r="AC85" s="527"/>
      <c r="AD85" s="527"/>
      <c r="AE85" s="527"/>
      <c r="AF85" s="527"/>
      <c r="AG85" s="527"/>
      <c r="AH85" s="527"/>
      <c r="AI85" s="527"/>
      <c r="AJ85" s="527"/>
      <c r="AK85" s="527"/>
      <c r="AL85" s="527"/>
      <c r="AM85" s="527"/>
      <c r="AN85" s="527"/>
      <c r="AO85" s="527"/>
      <c r="AP85" s="527"/>
      <c r="AQ85" s="527"/>
      <c r="AR85" s="164"/>
      <c r="AS85" s="164"/>
      <c r="AT85" s="164"/>
      <c r="AU85" s="164"/>
      <c r="AV85" s="338" t="str">
        <f t="shared" ca="1" si="8"/>
        <v>NO_CUMPLE</v>
      </c>
      <c r="AW85" s="338" t="str">
        <f ca="1">IFERROR(__xludf.DUMMYFUNCTION("IFERROR(VLOOKUP(E212&amp;F212,IMPORTRANGE(""https://docs.google.com/spreadsheets/d/1Uw7-A9f9R21vMXxHZFNpYNeKFtG8_yji4HS352LGlSQ/edit?pli=1#gid=0"",""1_ACUM!A4:S""),11,FALSE))"),"EN FORMACION")</f>
        <v>EN FORMACION</v>
      </c>
      <c r="AX85" s="462" t="str">
        <f ca="1">IFERROR(__xludf.DUMMYFUNCTION("IFERROR(VLOOKUP(F212,IMPORTRANGE(""https://docs.google.com/spreadsheets/d/1Kvs4KS76FHFqLFIZfrDMff4kP08nblUkihrxltoGBjg/edit#gid=934712705"",""ESENCIAL!A6:BG""),15,FALSE))"),"TIC")</f>
        <v>TIC</v>
      </c>
      <c r="AY85" s="461">
        <f ca="1">IFERROR(__xludf.DUMMYFUNCTION("IFERROR(VLOOKUP(E212&amp;F212,IMPORTRANGE(""https://docs.google.com/spreadsheets/d/1Uw7-A9f9R21vMXxHZFNpYNeKFtG8_yji4HS352LGlSQ/edit?pli=1#gid=0"",""1_ACUM!A4:S""),13,FALSE))"),14)</f>
        <v>14</v>
      </c>
      <c r="AZ85" s="460">
        <f ca="1">IFERROR(__xludf.DUMMYFUNCTION("IFERROR(VLOOKUP(E212&amp;F212,IMPORTRANGE(""https://docs.google.com/spreadsheets/d/1Uw7-A9f9R21vMXxHZFNpYNeKFtG8_yji4HS352LGlSQ/edit?pli=1#gid=0"",""1_ACUM!A4:S""),13,FALSE))"),14)</f>
        <v>14</v>
      </c>
      <c r="BA85" s="460">
        <f ca="1">IFERROR(__xludf.DUMMYFUNCTION("IFERROR(VLOOKUP(E212&amp;F212,IMPORTRANGE(""https://docs.google.com/spreadsheets/d/1Uw7-A9f9R21vMXxHZFNpYNeKFtG8_yji4HS352LGlSQ/edit?pli=1#gid=0"",""1_ACUM!A4:S""),14,FALSE))"),1)</f>
        <v>1</v>
      </c>
      <c r="BB85" s="460">
        <f ca="1">IFERROR(__xludf.DUMMYFUNCTION("IFERROR(VLOOKUP(E212&amp;F212,IMPORTRANGE(""https://docs.google.com/spreadsheets/d/1Uw7-A9f9R21vMXxHZFNpYNeKFtG8_yji4HS352LGlSQ/edit?pli=1#gid=0"",""1_ACUM!A4:S""),15,FALSE))"),2)</f>
        <v>2</v>
      </c>
      <c r="BC85" s="460">
        <f ca="1">IFERROR(__xludf.DUMMYFUNCTION("IFERROR(VLOOKUP(E212&amp;F212,IMPORTRANGE(""https://docs.google.com/spreadsheets/d/1Uw7-A9f9R21vMXxHZFNpYNeKFtG8_yji4HS352LGlSQ/edit?pli=1#gid=0"",""1_ACUM!A4:S""),16,FALSE))"),10)</f>
        <v>10</v>
      </c>
      <c r="BD85" s="460">
        <f ca="1">IFERROR(__xludf.DUMMYFUNCTION("IFERROR(VLOOKUP(E212&amp;F212,IMPORTRANGE(""https://docs.google.com/spreadsheets/d/1Uw7-A9f9R21vMXxHZFNpYNeKFtG8_yji4HS352LGlSQ/edit?pli=1#gid=0"",""1_ACUM!A4:S""),17,FALSE))"),27)</f>
        <v>27</v>
      </c>
      <c r="BE85" s="461">
        <f ca="1">IFERROR(__xludf.DUMMYFUNCTION("IFERROR(VLOOKUP(E212&amp;F212,IMPORTRANGE(""https://docs.google.com/spreadsheets/d/1Uw7-A9f9R21vMXxHZFNpYNeKFtG8_yji4HS352LGlSQ/edit?pli=1#gid=0"",""1_ACUM!A4:S""),18,FALSE))"),44585)</f>
        <v>44585</v>
      </c>
      <c r="BF85" s="461">
        <f ca="1">IFERROR(__xludf.DUMMYFUNCTION("IFERROR(VLOOKUP(E212&amp;F212,IMPORTRANGE(""https://docs.google.com/spreadsheets/d/1Uw7-A9f9R21vMXxHZFNpYNeKFtG8_yji4HS352LGlSQ/edit?pli=1#gid=0"",""1_ACUM!A4:S""),19,FALSE))"),44857)</f>
        <v>44857</v>
      </c>
      <c r="BG85" s="462">
        <f ca="1">IFERROR(__xludf.DUMMYFUNCTION("IFERROR(VLOOKUP(F212,IMPORTRANGE(""https://docs.google.com/spreadsheets/d/1Kvs4KS76FHFqLFIZfrDMff4kP08nblUkihrxltoGBjg/edit#gid=934712705"",""ESENCIAL!A6:BG""),5,FALSE))"),45039)</f>
        <v>45039</v>
      </c>
      <c r="BH85" s="462">
        <f t="shared" ca="1" si="9"/>
        <v>45588</v>
      </c>
      <c r="BI85" s="338" t="str">
        <f t="shared" ca="1" si="10"/>
        <v>FICHA EN TIEMPO-18 MESES</v>
      </c>
      <c r="BJ85" s="338" t="str">
        <f ca="1">IFERROR(__xludf.DUMMYFUNCTION("IFERROR(VLOOKUP(F212,IMPORTRANGE(""https://docs.google.com/spreadsheets/d/1Kvs4KS76FHFqLFIZfrDMff4kP08nblUkihrxltoGBjg/edit#gid=934712705"",""ESENCIAL!A6:BG""),2,FALSE))"),"En ejecucion")</f>
        <v>En ejecucion</v>
      </c>
      <c r="BK85" s="338" t="str">
        <f t="shared" si="11"/>
        <v>Yamboro</v>
      </c>
      <c r="BL85" s="38"/>
      <c r="BM85" s="38"/>
    </row>
    <row r="86" spans="1:65" ht="24">
      <c r="A86" s="164"/>
      <c r="B86" s="562"/>
      <c r="C86" s="534" t="s">
        <v>25</v>
      </c>
      <c r="D86" s="564" t="s">
        <v>853</v>
      </c>
      <c r="E86" s="217" t="s">
        <v>27</v>
      </c>
      <c r="F86" s="149">
        <v>1083907806</v>
      </c>
      <c r="G86" s="208">
        <v>2451009</v>
      </c>
      <c r="H86" s="338" t="str">
        <f ca="1">IFERROR(__xludf.DUMMYFUNCTION("IFERROR(VLOOKUP(F214,IMPORTRANGE(""https://docs.google.com/spreadsheets/d/1Kvs4KS76FHFqLFIZfrDMff4kP08nblUkihrxltoGBjg/edit#gid=934712705"",""ESENCIAL!A6:BG""),3,FALSE))"),"TÉCNICO")</f>
        <v>TÉCNICO</v>
      </c>
      <c r="I86" s="338" t="str">
        <f ca="1">IFERROR(__xludf.DUMMYFUNCTION("IFERROR(VLOOKUP(F214,IMPORTRANGE(""https://docs.google.com/spreadsheets/d/1Kvs4KS76FHFqLFIZfrDMff4kP08nblUkihrxltoGBjg/edit#gid=934712705"",""ESENCIAL!A6:BG""),8,FALSE))"),"PROGRAMACION DE APLICACIONES PARA DISPOSITIVOS MOVILES")</f>
        <v>PROGRAMACION DE APLICACIONES PARA DISPOSITIVOS MOVILES</v>
      </c>
      <c r="J86" s="218">
        <v>3153042063</v>
      </c>
      <c r="K86" s="218" t="s">
        <v>854</v>
      </c>
      <c r="L86" s="218" t="s">
        <v>577</v>
      </c>
      <c r="M86" s="570" t="s">
        <v>44</v>
      </c>
      <c r="N86" s="527"/>
      <c r="O86" s="527"/>
      <c r="P86" s="527"/>
      <c r="Q86" s="527"/>
      <c r="R86" s="527"/>
      <c r="S86" s="525"/>
      <c r="T86" s="530"/>
      <c r="U86" s="527"/>
      <c r="V86" s="582"/>
      <c r="W86" s="338"/>
      <c r="X86" s="527"/>
      <c r="Y86" s="527"/>
      <c r="Z86" s="527"/>
      <c r="AA86" s="527"/>
      <c r="AB86" s="527"/>
      <c r="AC86" s="527"/>
      <c r="AD86" s="527"/>
      <c r="AE86" s="527"/>
      <c r="AF86" s="527"/>
      <c r="AG86" s="527"/>
      <c r="AH86" s="527"/>
      <c r="AI86" s="527"/>
      <c r="AJ86" s="527"/>
      <c r="AK86" s="527"/>
      <c r="AL86" s="527"/>
      <c r="AM86" s="527"/>
      <c r="AN86" s="527"/>
      <c r="AO86" s="527"/>
      <c r="AP86" s="527"/>
      <c r="AQ86" s="527"/>
      <c r="AR86" s="164"/>
      <c r="AS86" s="164"/>
      <c r="AT86" s="164"/>
      <c r="AU86" s="164"/>
      <c r="AV86" s="338" t="str">
        <f t="shared" ca="1" si="8"/>
        <v>NO_CUMPLE</v>
      </c>
      <c r="AW86" s="338" t="str">
        <f ca="1">IFERROR(__xludf.DUMMYFUNCTION("IFERROR(VLOOKUP(E214&amp;F214,IMPORTRANGE(""https://docs.google.com/spreadsheets/d/1Uw7-A9f9R21vMXxHZFNpYNeKFtG8_yji4HS352LGlSQ/edit?pli=1#gid=0"",""1_ACUM!A4:S""),11,FALSE))"),"EN FORMACION")</f>
        <v>EN FORMACION</v>
      </c>
      <c r="AX86" s="462" t="str">
        <f ca="1">IFERROR(__xludf.DUMMYFUNCTION("IFERROR(VLOOKUP(F214,IMPORTRANGE(""https://docs.google.com/spreadsheets/d/1Kvs4KS76FHFqLFIZfrDMff4kP08nblUkihrxltoGBjg/edit#gid=934712705"",""ESENCIAL!A6:BG""),15,FALSE))"),"TIC")</f>
        <v>TIC</v>
      </c>
      <c r="AY86" s="461">
        <f ca="1">IFERROR(__xludf.DUMMYFUNCTION("IFERROR(VLOOKUP(E214&amp;F214,IMPORTRANGE(""https://docs.google.com/spreadsheets/d/1Uw7-A9f9R21vMXxHZFNpYNeKFtG8_yji4HS352LGlSQ/edit?pli=1#gid=0"",""1_ACUM!A4:S""),13,FALSE))"),14)</f>
        <v>14</v>
      </c>
      <c r="AZ86" s="460">
        <f ca="1">IFERROR(__xludf.DUMMYFUNCTION("IFERROR(VLOOKUP(E214&amp;F214,IMPORTRANGE(""https://docs.google.com/spreadsheets/d/1Uw7-A9f9R21vMXxHZFNpYNeKFtG8_yji4HS352LGlSQ/edit?pli=1#gid=0"",""1_ACUM!A4:S""),13,FALSE))"),14)</f>
        <v>14</v>
      </c>
      <c r="BA86" s="460">
        <f ca="1">IFERROR(__xludf.DUMMYFUNCTION("IFERROR(VLOOKUP(E214&amp;F214,IMPORTRANGE(""https://docs.google.com/spreadsheets/d/1Uw7-A9f9R21vMXxHZFNpYNeKFtG8_yji4HS352LGlSQ/edit?pli=1#gid=0"",""1_ACUM!A4:S""),14,FALSE))"),1)</f>
        <v>1</v>
      </c>
      <c r="BB86" s="460">
        <f ca="1">IFERROR(__xludf.DUMMYFUNCTION("IFERROR(VLOOKUP(E214&amp;F214,IMPORTRANGE(""https://docs.google.com/spreadsheets/d/1Uw7-A9f9R21vMXxHZFNpYNeKFtG8_yji4HS352LGlSQ/edit?pli=1#gid=0"",""1_ACUM!A4:S""),15,FALSE))"),2)</f>
        <v>2</v>
      </c>
      <c r="BC86" s="460">
        <f ca="1">IFERROR(__xludf.DUMMYFUNCTION("IFERROR(VLOOKUP(E214&amp;F214,IMPORTRANGE(""https://docs.google.com/spreadsheets/d/1Uw7-A9f9R21vMXxHZFNpYNeKFtG8_yji4HS352LGlSQ/edit?pli=1#gid=0"",""1_ACUM!A4:S""),16,FALSE))"),10)</f>
        <v>10</v>
      </c>
      <c r="BD86" s="460">
        <f ca="1">IFERROR(__xludf.DUMMYFUNCTION("IFERROR(VLOOKUP(E214&amp;F214,IMPORTRANGE(""https://docs.google.com/spreadsheets/d/1Uw7-A9f9R21vMXxHZFNpYNeKFtG8_yji4HS352LGlSQ/edit?pli=1#gid=0"",""1_ACUM!A4:S""),17,FALSE))"),27)</f>
        <v>27</v>
      </c>
      <c r="BE86" s="461">
        <f ca="1">IFERROR(__xludf.DUMMYFUNCTION("IFERROR(VLOOKUP(E214&amp;F214,IMPORTRANGE(""https://docs.google.com/spreadsheets/d/1Uw7-A9f9R21vMXxHZFNpYNeKFtG8_yji4HS352LGlSQ/edit?pli=1#gid=0"",""1_ACUM!A4:S""),18,FALSE))"),44585)</f>
        <v>44585</v>
      </c>
      <c r="BF86" s="461">
        <f ca="1">IFERROR(__xludf.DUMMYFUNCTION("IFERROR(VLOOKUP(E214&amp;F214,IMPORTRANGE(""https://docs.google.com/spreadsheets/d/1Uw7-A9f9R21vMXxHZFNpYNeKFtG8_yji4HS352LGlSQ/edit?pli=1#gid=0"",""1_ACUM!A4:S""),19,FALSE))"),44857)</f>
        <v>44857</v>
      </c>
      <c r="BG86" s="462">
        <f ca="1">IFERROR(__xludf.DUMMYFUNCTION("IFERROR(VLOOKUP(F214,IMPORTRANGE(""https://docs.google.com/spreadsheets/d/1Kvs4KS76FHFqLFIZfrDMff4kP08nblUkihrxltoGBjg/edit#gid=934712705"",""ESENCIAL!A6:BG""),5,FALSE))"),45039)</f>
        <v>45039</v>
      </c>
      <c r="BH86" s="462">
        <f t="shared" ca="1" si="9"/>
        <v>45588</v>
      </c>
      <c r="BI86" s="338" t="str">
        <f t="shared" ca="1" si="10"/>
        <v>FICHA EN TIEMPO-18 MESES</v>
      </c>
      <c r="BJ86" s="338" t="str">
        <f ca="1">IFERROR(__xludf.DUMMYFUNCTION("IFERROR(VLOOKUP(F214,IMPORTRANGE(""https://docs.google.com/spreadsheets/d/1Kvs4KS76FHFqLFIZfrDMff4kP08nblUkihrxltoGBjg/edit#gid=934712705"",""ESENCIAL!A6:BG""),2,FALSE))"),"En ejecucion")</f>
        <v>En ejecucion</v>
      </c>
      <c r="BK86" s="338" t="str">
        <f t="shared" si="11"/>
        <v>Yamboro</v>
      </c>
      <c r="BL86" s="38"/>
      <c r="BM86" s="38"/>
    </row>
    <row r="87" spans="1:65" ht="24">
      <c r="A87" s="164"/>
      <c r="B87" s="562"/>
      <c r="C87" s="534" t="s">
        <v>25</v>
      </c>
      <c r="D87" s="564" t="s">
        <v>855</v>
      </c>
      <c r="E87" s="217" t="s">
        <v>67</v>
      </c>
      <c r="F87" s="149">
        <v>1084251327</v>
      </c>
      <c r="G87" s="208">
        <v>2451009</v>
      </c>
      <c r="H87" s="338" t="str">
        <f ca="1">IFERROR(__xludf.DUMMYFUNCTION("IFERROR(VLOOKUP(F215,IMPORTRANGE(""https://docs.google.com/spreadsheets/d/1Kvs4KS76FHFqLFIZfrDMff4kP08nblUkihrxltoGBjg/edit#gid=934712705"",""ESENCIAL!A6:BG""),3,FALSE))"),"TÉCNICO")</f>
        <v>TÉCNICO</v>
      </c>
      <c r="I87" s="338" t="str">
        <f ca="1">IFERROR(__xludf.DUMMYFUNCTION("IFERROR(VLOOKUP(F215,IMPORTRANGE(""https://docs.google.com/spreadsheets/d/1Kvs4KS76FHFqLFIZfrDMff4kP08nblUkihrxltoGBjg/edit#gid=934712705"",""ESENCIAL!A6:BG""),8,FALSE))"),"PROGRAMACION DE APLICACIONES PARA DISPOSITIVOS MOVILES")</f>
        <v>PROGRAMACION DE APLICACIONES PARA DISPOSITIVOS MOVILES</v>
      </c>
      <c r="J87" s="218">
        <v>3187469791</v>
      </c>
      <c r="K87" s="218" t="s">
        <v>856</v>
      </c>
      <c r="L87" s="218" t="s">
        <v>577</v>
      </c>
      <c r="M87" s="570" t="s">
        <v>44</v>
      </c>
      <c r="N87" s="527"/>
      <c r="O87" s="527"/>
      <c r="P87" s="527"/>
      <c r="Q87" s="527"/>
      <c r="R87" s="527"/>
      <c r="S87" s="525"/>
      <c r="T87" s="530"/>
      <c r="U87" s="527"/>
      <c r="V87" s="527"/>
      <c r="W87" s="338"/>
      <c r="X87" s="527"/>
      <c r="Y87" s="527"/>
      <c r="Z87" s="527"/>
      <c r="AA87" s="527"/>
      <c r="AB87" s="527"/>
      <c r="AC87" s="527"/>
      <c r="AD87" s="527"/>
      <c r="AE87" s="527"/>
      <c r="AF87" s="527"/>
      <c r="AG87" s="527"/>
      <c r="AH87" s="527"/>
      <c r="AI87" s="527"/>
      <c r="AJ87" s="527"/>
      <c r="AK87" s="527"/>
      <c r="AL87" s="527"/>
      <c r="AM87" s="527"/>
      <c r="AN87" s="527"/>
      <c r="AO87" s="527"/>
      <c r="AP87" s="527"/>
      <c r="AQ87" s="527"/>
      <c r="AR87" s="164"/>
      <c r="AS87" s="164"/>
      <c r="AT87" s="164"/>
      <c r="AU87" s="164"/>
      <c r="AV87" s="338" t="str">
        <f t="shared" ca="1" si="8"/>
        <v>NO_CUMPLE</v>
      </c>
      <c r="AW87" s="338" t="str">
        <f ca="1">IFERROR(__xludf.DUMMYFUNCTION("IFERROR(VLOOKUP(E215&amp;F215,IMPORTRANGE(""https://docs.google.com/spreadsheets/d/1Uw7-A9f9R21vMXxHZFNpYNeKFtG8_yji4HS352LGlSQ/edit?pli=1#gid=0"",""1_ACUM!A4:S""),11,FALSE))"),"EN FORMACION")</f>
        <v>EN FORMACION</v>
      </c>
      <c r="AX87" s="462" t="str">
        <f ca="1">IFERROR(__xludf.DUMMYFUNCTION("IFERROR(VLOOKUP(F215,IMPORTRANGE(""https://docs.google.com/spreadsheets/d/1Kvs4KS76FHFqLFIZfrDMff4kP08nblUkihrxltoGBjg/edit#gid=934712705"",""ESENCIAL!A6:BG""),15,FALSE))"),"TIC")</f>
        <v>TIC</v>
      </c>
      <c r="AY87" s="461">
        <f ca="1">IFERROR(__xludf.DUMMYFUNCTION("IFERROR(VLOOKUP(E215&amp;F215,IMPORTRANGE(""https://docs.google.com/spreadsheets/d/1Uw7-A9f9R21vMXxHZFNpYNeKFtG8_yji4HS352LGlSQ/edit?pli=1#gid=0"",""1_ACUM!A4:S""),13,FALSE))"),14)</f>
        <v>14</v>
      </c>
      <c r="AZ87" s="460">
        <f ca="1">IFERROR(__xludf.DUMMYFUNCTION("IFERROR(VLOOKUP(E215&amp;F215,IMPORTRANGE(""https://docs.google.com/spreadsheets/d/1Uw7-A9f9R21vMXxHZFNpYNeKFtG8_yji4HS352LGlSQ/edit?pli=1#gid=0"",""1_ACUM!A4:S""),13,FALSE))"),14)</f>
        <v>14</v>
      </c>
      <c r="BA87" s="460">
        <f ca="1">IFERROR(__xludf.DUMMYFUNCTION("IFERROR(VLOOKUP(E215&amp;F215,IMPORTRANGE(""https://docs.google.com/spreadsheets/d/1Uw7-A9f9R21vMXxHZFNpYNeKFtG8_yji4HS352LGlSQ/edit?pli=1#gid=0"",""1_ACUM!A4:S""),14,FALSE))"),1)</f>
        <v>1</v>
      </c>
      <c r="BB87" s="460">
        <f ca="1">IFERROR(__xludf.DUMMYFUNCTION("IFERROR(VLOOKUP(E215&amp;F215,IMPORTRANGE(""https://docs.google.com/spreadsheets/d/1Uw7-A9f9R21vMXxHZFNpYNeKFtG8_yji4HS352LGlSQ/edit?pli=1#gid=0"",""1_ACUM!A4:S""),15,FALSE))"),2)</f>
        <v>2</v>
      </c>
      <c r="BC87" s="460">
        <f ca="1">IFERROR(__xludf.DUMMYFUNCTION("IFERROR(VLOOKUP(E215&amp;F215,IMPORTRANGE(""https://docs.google.com/spreadsheets/d/1Uw7-A9f9R21vMXxHZFNpYNeKFtG8_yji4HS352LGlSQ/edit?pli=1#gid=0"",""1_ACUM!A4:S""),16,FALSE))"),10)</f>
        <v>10</v>
      </c>
      <c r="BD87" s="460">
        <f ca="1">IFERROR(__xludf.DUMMYFUNCTION("IFERROR(VLOOKUP(E215&amp;F215,IMPORTRANGE(""https://docs.google.com/spreadsheets/d/1Uw7-A9f9R21vMXxHZFNpYNeKFtG8_yji4HS352LGlSQ/edit?pli=1#gid=0"",""1_ACUM!A4:S""),17,FALSE))"),27)</f>
        <v>27</v>
      </c>
      <c r="BE87" s="461">
        <f ca="1">IFERROR(__xludf.DUMMYFUNCTION("IFERROR(VLOOKUP(E215&amp;F215,IMPORTRANGE(""https://docs.google.com/spreadsheets/d/1Uw7-A9f9R21vMXxHZFNpYNeKFtG8_yji4HS352LGlSQ/edit?pli=1#gid=0"",""1_ACUM!A4:S""),18,FALSE))"),44585)</f>
        <v>44585</v>
      </c>
      <c r="BF87" s="461">
        <f ca="1">IFERROR(__xludf.DUMMYFUNCTION("IFERROR(VLOOKUP(E215&amp;F215,IMPORTRANGE(""https://docs.google.com/spreadsheets/d/1Uw7-A9f9R21vMXxHZFNpYNeKFtG8_yji4HS352LGlSQ/edit?pli=1#gid=0"",""1_ACUM!A4:S""),19,FALSE))"),44857)</f>
        <v>44857</v>
      </c>
      <c r="BG87" s="462">
        <f ca="1">IFERROR(__xludf.DUMMYFUNCTION("IFERROR(VLOOKUP(F215,IMPORTRANGE(""https://docs.google.com/spreadsheets/d/1Kvs4KS76FHFqLFIZfrDMff4kP08nblUkihrxltoGBjg/edit#gid=934712705"",""ESENCIAL!A6:BG""),5,FALSE))"),45039)</f>
        <v>45039</v>
      </c>
      <c r="BH87" s="462">
        <f t="shared" ca="1" si="9"/>
        <v>45588</v>
      </c>
      <c r="BI87" s="338" t="str">
        <f t="shared" ca="1" si="10"/>
        <v>FICHA EN TIEMPO-18 MESES</v>
      </c>
      <c r="BJ87" s="338" t="str">
        <f ca="1">IFERROR(__xludf.DUMMYFUNCTION("IFERROR(VLOOKUP(F215,IMPORTRANGE(""https://docs.google.com/spreadsheets/d/1Kvs4KS76FHFqLFIZfrDMff4kP08nblUkihrxltoGBjg/edit#gid=934712705"",""ESENCIAL!A6:BG""),2,FALSE))"),"En ejecucion")</f>
        <v>En ejecucion</v>
      </c>
      <c r="BK87" s="338" t="str">
        <f t="shared" si="11"/>
        <v>Yamboro</v>
      </c>
      <c r="BL87" s="38"/>
      <c r="BM87" s="38"/>
    </row>
    <row r="88" spans="1:65" ht="24">
      <c r="A88" s="578" t="s">
        <v>833</v>
      </c>
      <c r="B88" s="562"/>
      <c r="C88" s="534" t="s">
        <v>25</v>
      </c>
      <c r="D88" s="564" t="s">
        <v>857</v>
      </c>
      <c r="E88" s="217" t="s">
        <v>27</v>
      </c>
      <c r="F88" s="149">
        <v>1004033754</v>
      </c>
      <c r="G88" s="208">
        <v>2280204</v>
      </c>
      <c r="H88" s="338" t="str">
        <f ca="1">IFERROR(__xludf.DUMMYFUNCTION("IFERROR(VLOOKUP(F218,IMPORTRANGE(""https://docs.google.com/spreadsheets/d/1Kvs4KS76FHFqLFIZfrDMff4kP08nblUkihrxltoGBjg/edit#gid=934712705"",""ESENCIAL!A6:BG""),3,FALSE))"),"TECNÓLOGO")</f>
        <v>TECNÓLOGO</v>
      </c>
      <c r="I88" s="338" t="str">
        <f ca="1">IFERROR(__xludf.DUMMYFUNCTION("IFERROR(VLOOKUP(F218,IMPORTRANGE(""https://docs.google.com/spreadsheets/d/1Kvs4KS76FHFqLFIZfrDMff4kP08nblUkihrxltoGBjg/edit#gid=934712705"",""ESENCIAL!A6:BG""),8,FALSE))"),"ANALISIS Y DESARROLLO DE SISTEMAS DE INFORMACION")</f>
        <v>ANALISIS Y DESARROLLO DE SISTEMAS DE INFORMACION</v>
      </c>
      <c r="J88" s="208">
        <v>3118064981</v>
      </c>
      <c r="K88" s="571" t="s">
        <v>858</v>
      </c>
      <c r="L88" s="208" t="s">
        <v>421</v>
      </c>
      <c r="M88" s="568" t="s">
        <v>28</v>
      </c>
      <c r="N88" s="527" t="s">
        <v>859</v>
      </c>
      <c r="O88" s="527" t="s">
        <v>860</v>
      </c>
      <c r="P88" s="527">
        <v>3232263198</v>
      </c>
      <c r="Q88" s="527" t="s">
        <v>96</v>
      </c>
      <c r="R88" s="527" t="s">
        <v>861</v>
      </c>
      <c r="S88" s="525">
        <v>44866</v>
      </c>
      <c r="T88" s="530">
        <v>45046</v>
      </c>
      <c r="U88" s="527"/>
      <c r="V88" s="584" t="s">
        <v>649</v>
      </c>
      <c r="W88" s="338"/>
      <c r="X88" s="527"/>
      <c r="Y88" s="527"/>
      <c r="Z88" s="527"/>
      <c r="AA88" s="527"/>
      <c r="AB88" s="527"/>
      <c r="AC88" s="527"/>
      <c r="AD88" s="527"/>
      <c r="AE88" s="527"/>
      <c r="AF88" s="527"/>
      <c r="AG88" s="527"/>
      <c r="AH88" s="527"/>
      <c r="AI88" s="527"/>
      <c r="AJ88" s="527"/>
      <c r="AK88" s="527"/>
      <c r="AL88" s="527"/>
      <c r="AM88" s="527"/>
      <c r="AN88" s="527"/>
      <c r="AO88" s="527"/>
      <c r="AP88" s="527"/>
      <c r="AQ88" s="527"/>
      <c r="AR88" s="164"/>
      <c r="AS88" s="164"/>
      <c r="AT88" s="164"/>
      <c r="AU88" s="164" t="s">
        <v>862</v>
      </c>
      <c r="AV88" s="338" t="str">
        <f t="shared" ca="1" si="8"/>
        <v>NO_CUMPLE</v>
      </c>
      <c r="AW88" s="338" t="str">
        <f ca="1">IFERROR(__xludf.DUMMYFUNCTION("IFERROR(VLOOKUP(E218&amp;F218,IMPORTRANGE(""https://docs.google.com/spreadsheets/d/1Uw7-A9f9R21vMXxHZFNpYNeKFtG8_yji4HS352LGlSQ/edit?pli=1#gid=0"",""1_ACUM!A4:S""),11,FALSE))"),"EN FORMACION")</f>
        <v>EN FORMACION</v>
      </c>
      <c r="AX88" s="462" t="str">
        <f ca="1">IFERROR(__xludf.DUMMYFUNCTION("IFERROR(VLOOKUP(F218,IMPORTRANGE(""https://docs.google.com/spreadsheets/d/1Kvs4KS76FHFqLFIZfrDMff4kP08nblUkihrxltoGBjg/edit#gid=934712705"",""ESENCIAL!A6:BG""),15,FALSE))"),"TIC")</f>
        <v>TIC</v>
      </c>
      <c r="AY88" s="461">
        <f ca="1">IFERROR(__xludf.DUMMYFUNCTION("IFERROR(VLOOKUP(E218&amp;F218,IMPORTRANGE(""https://docs.google.com/spreadsheets/d/1Uw7-A9f9R21vMXxHZFNpYNeKFtG8_yji4HS352LGlSQ/edit?pli=1#gid=0"",""1_ACUM!A4:S""),13,FALSE))"),0)</f>
        <v>0</v>
      </c>
      <c r="AZ88" s="460">
        <f ca="1">IFERROR(__xludf.DUMMYFUNCTION("IFERROR(VLOOKUP(E218&amp;F218,IMPORTRANGE(""https://docs.google.com/spreadsheets/d/1Uw7-A9f9R21vMXxHZFNpYNeKFtG8_yji4HS352LGlSQ/edit?pli=1#gid=0"",""1_ACUM!A4:S""),13,FALSE))"),0)</f>
        <v>0</v>
      </c>
      <c r="BA88" s="460">
        <f ca="1">IFERROR(__xludf.DUMMYFUNCTION("IFERROR(VLOOKUP(E218&amp;F218,IMPORTRANGE(""https://docs.google.com/spreadsheets/d/1Uw7-A9f9R21vMXxHZFNpYNeKFtG8_yji4HS352LGlSQ/edit?pli=1#gid=0"",""1_ACUM!A4:S""),14,FALSE))"),1)</f>
        <v>1</v>
      </c>
      <c r="BB88" s="460">
        <f ca="1">IFERROR(__xludf.DUMMYFUNCTION("IFERROR(VLOOKUP(E218&amp;F218,IMPORTRANGE(""https://docs.google.com/spreadsheets/d/1Uw7-A9f9R21vMXxHZFNpYNeKFtG8_yji4HS352LGlSQ/edit?pli=1#gid=0"",""1_ACUM!A4:S""),15,FALSE))"),15)</f>
        <v>15</v>
      </c>
      <c r="BC88" s="460">
        <f ca="1">IFERROR(__xludf.DUMMYFUNCTION("IFERROR(VLOOKUP(E218&amp;F218,IMPORTRANGE(""https://docs.google.com/spreadsheets/d/1Uw7-A9f9R21vMXxHZFNpYNeKFtG8_yji4HS352LGlSQ/edit?pli=1#gid=0"",""1_ACUM!A4:S""),16,FALSE))"),5)</f>
        <v>5</v>
      </c>
      <c r="BD88" s="460">
        <f ca="1">IFERROR(__xludf.DUMMYFUNCTION("IFERROR(VLOOKUP(E218&amp;F218,IMPORTRANGE(""https://docs.google.com/spreadsheets/d/1Uw7-A9f9R21vMXxHZFNpYNeKFtG8_yji4HS352LGlSQ/edit?pli=1#gid=0"",""1_ACUM!A4:S""),17,FALSE))"),21)</f>
        <v>21</v>
      </c>
      <c r="BE88" s="461">
        <f ca="1">IFERROR(__xludf.DUMMYFUNCTION("IFERROR(VLOOKUP(E218&amp;F218,IMPORTRANGE(""https://docs.google.com/spreadsheets/d/1Uw7-A9f9R21vMXxHZFNpYNeKFtG8_yji4HS352LGlSQ/edit?pli=1#gid=0"",""1_ACUM!A4:S""),18,FALSE))"),44301)</f>
        <v>44301</v>
      </c>
      <c r="BF88" s="461">
        <f ca="1">IFERROR(__xludf.DUMMYFUNCTION("IFERROR(VLOOKUP(E218&amp;F218,IMPORTRANGE(""https://docs.google.com/spreadsheets/d/1Uw7-A9f9R21vMXxHZFNpYNeKFtG8_yji4HS352LGlSQ/edit?pli=1#gid=0"",""1_ACUM!A4:S""),19,FALSE))"),44848)</f>
        <v>44848</v>
      </c>
      <c r="BG88" s="462">
        <f ca="1">IFERROR(__xludf.DUMMYFUNCTION("IFERROR(VLOOKUP(F218,IMPORTRANGE(""https://docs.google.com/spreadsheets/d/1Kvs4KS76FHFqLFIZfrDMff4kP08nblUkihrxltoGBjg/edit#gid=934712705"",""ESENCIAL!A6:BG""),5,FALSE))"),45030)</f>
        <v>45030</v>
      </c>
      <c r="BH88" s="462">
        <f t="shared" ca="1" si="9"/>
        <v>45579</v>
      </c>
      <c r="BI88" s="338" t="str">
        <f t="shared" ca="1" si="10"/>
        <v>FICHA EN TIEMPO-18 MESES</v>
      </c>
      <c r="BJ88" s="338" t="str">
        <f ca="1">IFERROR(__xludf.DUMMYFUNCTION("IFERROR(VLOOKUP(F218,IMPORTRANGE(""https://docs.google.com/spreadsheets/d/1Kvs4KS76FHFqLFIZfrDMff4kP08nblUkihrxltoGBjg/edit#gid=934712705"",""ESENCIAL!A6:BG""),2,FALSE))"),"En ejecucion")</f>
        <v>En ejecucion</v>
      </c>
      <c r="BK88" s="338" t="str">
        <f t="shared" si="11"/>
        <v>Yamboro</v>
      </c>
      <c r="BL88" s="38"/>
      <c r="BM88" s="38"/>
    </row>
    <row r="89" spans="1:65" ht="24">
      <c r="A89" s="578" t="s">
        <v>833</v>
      </c>
      <c r="B89" s="562"/>
      <c r="C89" s="534" t="s">
        <v>25</v>
      </c>
      <c r="D89" s="564" t="s">
        <v>863</v>
      </c>
      <c r="E89" s="217" t="s">
        <v>27</v>
      </c>
      <c r="F89" s="149">
        <v>1004492809</v>
      </c>
      <c r="G89" s="208">
        <v>2280204</v>
      </c>
      <c r="H89" s="338" t="str">
        <f ca="1">IFERROR(__xludf.DUMMYFUNCTION("IFERROR(VLOOKUP(F219,IMPORTRANGE(""https://docs.google.com/spreadsheets/d/1Kvs4KS76FHFqLFIZfrDMff4kP08nblUkihrxltoGBjg/edit#gid=934712705"",""ESENCIAL!A6:BG""),3,FALSE))"),"TECNÓLOGO")</f>
        <v>TECNÓLOGO</v>
      </c>
      <c r="I89" s="338" t="str">
        <f ca="1">IFERROR(__xludf.DUMMYFUNCTION("IFERROR(VLOOKUP(F219,IMPORTRANGE(""https://docs.google.com/spreadsheets/d/1Kvs4KS76FHFqLFIZfrDMff4kP08nblUkihrxltoGBjg/edit#gid=934712705"",""ESENCIAL!A6:BG""),8,FALSE))"),"ANALISIS Y DESARROLLO DE SISTEMAS DE INFORMACION")</f>
        <v>ANALISIS Y DESARROLLO DE SISTEMAS DE INFORMACION</v>
      </c>
      <c r="J89" s="585">
        <v>3203460642</v>
      </c>
      <c r="K89" s="580" t="s">
        <v>864</v>
      </c>
      <c r="L89" s="585" t="s">
        <v>421</v>
      </c>
      <c r="M89" s="208" t="s">
        <v>250</v>
      </c>
      <c r="N89" s="527" t="s">
        <v>865</v>
      </c>
      <c r="O89" s="527" t="s">
        <v>866</v>
      </c>
      <c r="P89" s="527" t="s">
        <v>867</v>
      </c>
      <c r="Q89" s="527" t="s">
        <v>868</v>
      </c>
      <c r="R89" s="527" t="s">
        <v>869</v>
      </c>
      <c r="S89" s="525">
        <v>44823</v>
      </c>
      <c r="T89" s="530">
        <v>45030</v>
      </c>
      <c r="U89" s="527"/>
      <c r="V89" s="338" t="s">
        <v>649</v>
      </c>
      <c r="W89" s="338"/>
      <c r="X89" s="527"/>
      <c r="Y89" s="527"/>
      <c r="Z89" s="527"/>
      <c r="AA89" s="527"/>
      <c r="AB89" s="527"/>
      <c r="AC89" s="527"/>
      <c r="AD89" s="527"/>
      <c r="AE89" s="527"/>
      <c r="AF89" s="527"/>
      <c r="AG89" s="527"/>
      <c r="AH89" s="527"/>
      <c r="AI89" s="527"/>
      <c r="AJ89" s="527"/>
      <c r="AK89" s="527"/>
      <c r="AL89" s="527"/>
      <c r="AM89" s="527"/>
      <c r="AN89" s="527"/>
      <c r="AO89" s="527"/>
      <c r="AP89" s="527"/>
      <c r="AQ89" s="527"/>
      <c r="AR89" s="164"/>
      <c r="AS89" s="164"/>
      <c r="AT89" s="164"/>
      <c r="AU89" s="164"/>
      <c r="AV89" s="338" t="str">
        <f t="shared" ca="1" si="8"/>
        <v>NO_CUMPLE</v>
      </c>
      <c r="AW89" s="338" t="str">
        <f ca="1">IFERROR(__xludf.DUMMYFUNCTION("IFERROR(VLOOKUP(E219&amp;F219,IMPORTRANGE(""https://docs.google.com/spreadsheets/d/1Uw7-A9f9R21vMXxHZFNpYNeKFtG8_yji4HS352LGlSQ/edit?pli=1#gid=0"",""1_ACUM!A4:S""),11,FALSE))"),"EN FORMACION")</f>
        <v>EN FORMACION</v>
      </c>
      <c r="AX89" s="462" t="str">
        <f ca="1">IFERROR(__xludf.DUMMYFUNCTION("IFERROR(VLOOKUP(F219,IMPORTRANGE(""https://docs.google.com/spreadsheets/d/1Kvs4KS76FHFqLFIZfrDMff4kP08nblUkihrxltoGBjg/edit#gid=934712705"",""ESENCIAL!A6:BG""),15,FALSE))"),"TIC")</f>
        <v>TIC</v>
      </c>
      <c r="AY89" s="461">
        <f ca="1">IFERROR(__xludf.DUMMYFUNCTION("IFERROR(VLOOKUP(E219&amp;F219,IMPORTRANGE(""https://docs.google.com/spreadsheets/d/1Uw7-A9f9R21vMXxHZFNpYNeKFtG8_yji4HS352LGlSQ/edit?pli=1#gid=0"",""1_ACUM!A4:S""),13,FALSE))"),0)</f>
        <v>0</v>
      </c>
      <c r="AZ89" s="460">
        <f ca="1">IFERROR(__xludf.DUMMYFUNCTION("IFERROR(VLOOKUP(E219&amp;F219,IMPORTRANGE(""https://docs.google.com/spreadsheets/d/1Uw7-A9f9R21vMXxHZFNpYNeKFtG8_yji4HS352LGlSQ/edit?pli=1#gid=0"",""1_ACUM!A4:S""),13,FALSE))"),0)</f>
        <v>0</v>
      </c>
      <c r="BA89" s="460">
        <f ca="1">IFERROR(__xludf.DUMMYFUNCTION("IFERROR(VLOOKUP(E219&amp;F219,IMPORTRANGE(""https://docs.google.com/spreadsheets/d/1Uw7-A9f9R21vMXxHZFNpYNeKFtG8_yji4HS352LGlSQ/edit?pli=1#gid=0"",""1_ACUM!A4:S""),14,FALSE))"),1)</f>
        <v>1</v>
      </c>
      <c r="BB89" s="460">
        <f ca="1">IFERROR(__xludf.DUMMYFUNCTION("IFERROR(VLOOKUP(E219&amp;F219,IMPORTRANGE(""https://docs.google.com/spreadsheets/d/1Uw7-A9f9R21vMXxHZFNpYNeKFtG8_yji4HS352LGlSQ/edit?pli=1#gid=0"",""1_ACUM!A4:S""),15,FALSE))"),7)</f>
        <v>7</v>
      </c>
      <c r="BC89" s="460">
        <f ca="1">IFERROR(__xludf.DUMMYFUNCTION("IFERROR(VLOOKUP(E219&amp;F219,IMPORTRANGE(""https://docs.google.com/spreadsheets/d/1Uw7-A9f9R21vMXxHZFNpYNeKFtG8_yji4HS352LGlSQ/edit?pli=1#gid=0"",""1_ACUM!A4:S""),16,FALSE))"),5)</f>
        <v>5</v>
      </c>
      <c r="BD89" s="460">
        <f ca="1">IFERROR(__xludf.DUMMYFUNCTION("IFERROR(VLOOKUP(E219&amp;F219,IMPORTRANGE(""https://docs.google.com/spreadsheets/d/1Uw7-A9f9R21vMXxHZFNpYNeKFtG8_yji4HS352LGlSQ/edit?pli=1#gid=0"",""1_ACUM!A4:S""),17,FALSE))"),13)</f>
        <v>13</v>
      </c>
      <c r="BE89" s="461">
        <f ca="1">IFERROR(__xludf.DUMMYFUNCTION("IFERROR(VLOOKUP(E219&amp;F219,IMPORTRANGE(""https://docs.google.com/spreadsheets/d/1Uw7-A9f9R21vMXxHZFNpYNeKFtG8_yji4HS352LGlSQ/edit?pli=1#gid=0"",""1_ACUM!A4:S""),18,FALSE))"),44301)</f>
        <v>44301</v>
      </c>
      <c r="BF89" s="461">
        <f ca="1">IFERROR(__xludf.DUMMYFUNCTION("IFERROR(VLOOKUP(E219&amp;F219,IMPORTRANGE(""https://docs.google.com/spreadsheets/d/1Uw7-A9f9R21vMXxHZFNpYNeKFtG8_yji4HS352LGlSQ/edit?pli=1#gid=0"",""1_ACUM!A4:S""),19,FALSE))"),44848)</f>
        <v>44848</v>
      </c>
      <c r="BG89" s="462">
        <f ca="1">IFERROR(__xludf.DUMMYFUNCTION("IFERROR(VLOOKUP(F219,IMPORTRANGE(""https://docs.google.com/spreadsheets/d/1Kvs4KS76FHFqLFIZfrDMff4kP08nblUkihrxltoGBjg/edit#gid=934712705"",""ESENCIAL!A6:BG""),5,FALSE))"),45030)</f>
        <v>45030</v>
      </c>
      <c r="BH89" s="462">
        <f t="shared" ca="1" si="9"/>
        <v>45579</v>
      </c>
      <c r="BI89" s="338" t="str">
        <f t="shared" ca="1" si="10"/>
        <v>FICHA EN TIEMPO-18 MESES</v>
      </c>
      <c r="BJ89" s="338" t="str">
        <f ca="1">IFERROR(__xludf.DUMMYFUNCTION("IFERROR(VLOOKUP(F219,IMPORTRANGE(""https://docs.google.com/spreadsheets/d/1Kvs4KS76FHFqLFIZfrDMff4kP08nblUkihrxltoGBjg/edit#gid=934712705"",""ESENCIAL!A6:BG""),2,FALSE))"),"En ejecucion")</f>
        <v>En ejecucion</v>
      </c>
      <c r="BK89" s="338" t="str">
        <f t="shared" si="11"/>
        <v>Yamboro</v>
      </c>
      <c r="BL89" s="38"/>
      <c r="BM89" s="38"/>
    </row>
    <row r="90" spans="1:65" ht="24">
      <c r="A90" s="578" t="s">
        <v>833</v>
      </c>
      <c r="B90" s="562"/>
      <c r="C90" s="534" t="s">
        <v>25</v>
      </c>
      <c r="D90" s="564" t="s">
        <v>870</v>
      </c>
      <c r="E90" s="217" t="s">
        <v>27</v>
      </c>
      <c r="F90" s="149">
        <v>1004493117</v>
      </c>
      <c r="G90" s="208">
        <v>2280204</v>
      </c>
      <c r="H90" s="338" t="str">
        <f ca="1">IFERROR(__xludf.DUMMYFUNCTION("IFERROR(VLOOKUP(F220,IMPORTRANGE(""https://docs.google.com/spreadsheets/d/1Kvs4KS76FHFqLFIZfrDMff4kP08nblUkihrxltoGBjg/edit#gid=934712705"",""ESENCIAL!A6:BG""),3,FALSE))"),"TECNÓLOGO")</f>
        <v>TECNÓLOGO</v>
      </c>
      <c r="I90" s="338" t="str">
        <f ca="1">IFERROR(__xludf.DUMMYFUNCTION("IFERROR(VLOOKUP(F220,IMPORTRANGE(""https://docs.google.com/spreadsheets/d/1Kvs4KS76FHFqLFIZfrDMff4kP08nblUkihrxltoGBjg/edit#gid=934712705"",""ESENCIAL!A6:BG""),8,FALSE))"),"ANALISIS Y DESARROLLO DE SISTEMAS DE INFORMACION")</f>
        <v>ANALISIS Y DESARROLLO DE SISTEMAS DE INFORMACION</v>
      </c>
      <c r="J90" s="567">
        <v>3226012283</v>
      </c>
      <c r="K90" s="569" t="s">
        <v>871</v>
      </c>
      <c r="L90" s="338" t="s">
        <v>93</v>
      </c>
      <c r="M90" s="208" t="s">
        <v>250</v>
      </c>
      <c r="N90" s="527" t="s">
        <v>872</v>
      </c>
      <c r="O90" s="527" t="s">
        <v>873</v>
      </c>
      <c r="P90" s="527" t="s">
        <v>874</v>
      </c>
      <c r="Q90" s="527" t="s">
        <v>84</v>
      </c>
      <c r="R90" s="569" t="s">
        <v>875</v>
      </c>
      <c r="S90" s="525" t="s">
        <v>117</v>
      </c>
      <c r="T90" s="530" t="s">
        <v>118</v>
      </c>
      <c r="U90" s="527"/>
      <c r="V90" s="527"/>
      <c r="W90" s="338"/>
      <c r="X90" s="527"/>
      <c r="Y90" s="527"/>
      <c r="Z90" s="527"/>
      <c r="AA90" s="527"/>
      <c r="AB90" s="527"/>
      <c r="AC90" s="527"/>
      <c r="AD90" s="527"/>
      <c r="AE90" s="527"/>
      <c r="AF90" s="527"/>
      <c r="AG90" s="527"/>
      <c r="AH90" s="527"/>
      <c r="AI90" s="527"/>
      <c r="AJ90" s="527"/>
      <c r="AK90" s="527"/>
      <c r="AL90" s="527"/>
      <c r="AM90" s="527"/>
      <c r="AN90" s="527"/>
      <c r="AO90" s="527"/>
      <c r="AP90" s="527"/>
      <c r="AQ90" s="527"/>
      <c r="AR90" s="164"/>
      <c r="AS90" s="164"/>
      <c r="AT90" s="164"/>
      <c r="AU90" s="164"/>
      <c r="AV90" s="338" t="str">
        <f t="shared" ca="1" si="8"/>
        <v>NO_CUMPLE</v>
      </c>
      <c r="AW90" s="338" t="str">
        <f ca="1">IFERROR(__xludf.DUMMYFUNCTION("IFERROR(VLOOKUP(E220&amp;F220,IMPORTRANGE(""https://docs.google.com/spreadsheets/d/1Uw7-A9f9R21vMXxHZFNpYNeKFtG8_yji4HS352LGlSQ/edit?pli=1#gid=0"",""1_ACUM!A4:S""),11,FALSE))"),"EN FORMACION")</f>
        <v>EN FORMACION</v>
      </c>
      <c r="AX90" s="462" t="str">
        <f ca="1">IFERROR(__xludf.DUMMYFUNCTION("IFERROR(VLOOKUP(F220,IMPORTRANGE(""https://docs.google.com/spreadsheets/d/1Kvs4KS76FHFqLFIZfrDMff4kP08nblUkihrxltoGBjg/edit#gid=934712705"",""ESENCIAL!A6:BG""),15,FALSE))"),"TIC")</f>
        <v>TIC</v>
      </c>
      <c r="AY90" s="461">
        <f ca="1">IFERROR(__xludf.DUMMYFUNCTION("IFERROR(VLOOKUP(E220&amp;F220,IMPORTRANGE(""https://docs.google.com/spreadsheets/d/1Uw7-A9f9R21vMXxHZFNpYNeKFtG8_yji4HS352LGlSQ/edit?pli=1#gid=0"",""1_ACUM!A4:S""),13,FALSE))"),0)</f>
        <v>0</v>
      </c>
      <c r="AZ90" s="460">
        <f ca="1">IFERROR(__xludf.DUMMYFUNCTION("IFERROR(VLOOKUP(E220&amp;F220,IMPORTRANGE(""https://docs.google.com/spreadsheets/d/1Uw7-A9f9R21vMXxHZFNpYNeKFtG8_yji4HS352LGlSQ/edit?pli=1#gid=0"",""1_ACUM!A4:S""),13,FALSE))"),0)</f>
        <v>0</v>
      </c>
      <c r="BA90" s="460">
        <f ca="1">IFERROR(__xludf.DUMMYFUNCTION("IFERROR(VLOOKUP(E220&amp;F220,IMPORTRANGE(""https://docs.google.com/spreadsheets/d/1Uw7-A9f9R21vMXxHZFNpYNeKFtG8_yji4HS352LGlSQ/edit?pli=1#gid=0"",""1_ACUM!A4:S""),14,FALSE))"),1)</f>
        <v>1</v>
      </c>
      <c r="BB90" s="460">
        <f ca="1">IFERROR(__xludf.DUMMYFUNCTION("IFERROR(VLOOKUP(E220&amp;F220,IMPORTRANGE(""https://docs.google.com/spreadsheets/d/1Uw7-A9f9R21vMXxHZFNpYNeKFtG8_yji4HS352LGlSQ/edit?pli=1#gid=0"",""1_ACUM!A4:S""),15,FALSE))"),9)</f>
        <v>9</v>
      </c>
      <c r="BC90" s="460">
        <f ca="1">IFERROR(__xludf.DUMMYFUNCTION("IFERROR(VLOOKUP(E220&amp;F220,IMPORTRANGE(""https://docs.google.com/spreadsheets/d/1Uw7-A9f9R21vMXxHZFNpYNeKFtG8_yji4HS352LGlSQ/edit?pli=1#gid=0"",""1_ACUM!A4:S""),16,FALSE))"),5)</f>
        <v>5</v>
      </c>
      <c r="BD90" s="460">
        <f ca="1">IFERROR(__xludf.DUMMYFUNCTION("IFERROR(VLOOKUP(E220&amp;F220,IMPORTRANGE(""https://docs.google.com/spreadsheets/d/1Uw7-A9f9R21vMXxHZFNpYNeKFtG8_yji4HS352LGlSQ/edit?pli=1#gid=0"",""1_ACUM!A4:S""),17,FALSE))"),15)</f>
        <v>15</v>
      </c>
      <c r="BE90" s="461">
        <f ca="1">IFERROR(__xludf.DUMMYFUNCTION("IFERROR(VLOOKUP(E220&amp;F220,IMPORTRANGE(""https://docs.google.com/spreadsheets/d/1Uw7-A9f9R21vMXxHZFNpYNeKFtG8_yji4HS352LGlSQ/edit?pli=1#gid=0"",""1_ACUM!A4:S""),18,FALSE))"),44301)</f>
        <v>44301</v>
      </c>
      <c r="BF90" s="461">
        <f ca="1">IFERROR(__xludf.DUMMYFUNCTION("IFERROR(VLOOKUP(E220&amp;F220,IMPORTRANGE(""https://docs.google.com/spreadsheets/d/1Uw7-A9f9R21vMXxHZFNpYNeKFtG8_yji4HS352LGlSQ/edit?pli=1#gid=0"",""1_ACUM!A4:S""),19,FALSE))"),44848)</f>
        <v>44848</v>
      </c>
      <c r="BG90" s="462">
        <f ca="1">IFERROR(__xludf.DUMMYFUNCTION("IFERROR(VLOOKUP(F220,IMPORTRANGE(""https://docs.google.com/spreadsheets/d/1Kvs4KS76FHFqLFIZfrDMff4kP08nblUkihrxltoGBjg/edit#gid=934712705"",""ESENCIAL!A6:BG""),5,FALSE))"),45030)</f>
        <v>45030</v>
      </c>
      <c r="BH90" s="462">
        <f t="shared" ca="1" si="9"/>
        <v>45579</v>
      </c>
      <c r="BI90" s="338" t="str">
        <f t="shared" ca="1" si="10"/>
        <v>FICHA EN TIEMPO-18 MESES</v>
      </c>
      <c r="BJ90" s="338" t="str">
        <f ca="1">IFERROR(__xludf.DUMMYFUNCTION("IFERROR(VLOOKUP(F220,IMPORTRANGE(""https://docs.google.com/spreadsheets/d/1Kvs4KS76FHFqLFIZfrDMff4kP08nblUkihrxltoGBjg/edit#gid=934712705"",""ESENCIAL!A6:BG""),2,FALSE))"),"En ejecucion")</f>
        <v>En ejecucion</v>
      </c>
      <c r="BK90" s="338" t="str">
        <f t="shared" si="11"/>
        <v>Yamboro</v>
      </c>
      <c r="BL90" s="38"/>
      <c r="BM90" s="38"/>
    </row>
    <row r="91" spans="1:65" ht="24">
      <c r="A91" s="578" t="s">
        <v>833</v>
      </c>
      <c r="B91" s="562"/>
      <c r="C91" s="534" t="s">
        <v>25</v>
      </c>
      <c r="D91" s="564" t="s">
        <v>876</v>
      </c>
      <c r="E91" s="217" t="s">
        <v>27</v>
      </c>
      <c r="F91" s="148">
        <v>1006956707</v>
      </c>
      <c r="G91" s="208">
        <v>2280204</v>
      </c>
      <c r="H91" s="338" t="str">
        <f ca="1">IFERROR(__xludf.DUMMYFUNCTION("IFERROR(VLOOKUP(F221,IMPORTRANGE(""https://docs.google.com/spreadsheets/d/1Kvs4KS76FHFqLFIZfrDMff4kP08nblUkihrxltoGBjg/edit#gid=934712705"",""ESENCIAL!A6:BG""),3,FALSE))"),"TECNÓLOGO")</f>
        <v>TECNÓLOGO</v>
      </c>
      <c r="I91" s="338" t="str">
        <f ca="1">IFERROR(__xludf.DUMMYFUNCTION("IFERROR(VLOOKUP(F221,IMPORTRANGE(""https://docs.google.com/spreadsheets/d/1Kvs4KS76FHFqLFIZfrDMff4kP08nblUkihrxltoGBjg/edit#gid=934712705"",""ESENCIAL!A6:BG""),8,FALSE))"),"ANALISIS Y DESARROLLO DE SISTEMAS DE INFORMACION")</f>
        <v>ANALISIS Y DESARROLLO DE SISTEMAS DE INFORMACION</v>
      </c>
      <c r="J91" s="567">
        <v>3202512948</v>
      </c>
      <c r="K91" s="567" t="s">
        <v>877</v>
      </c>
      <c r="L91" s="338" t="s">
        <v>84</v>
      </c>
      <c r="M91" s="208" t="s">
        <v>250</v>
      </c>
      <c r="N91" s="527" t="s">
        <v>113</v>
      </c>
      <c r="O91" s="527" t="s">
        <v>878</v>
      </c>
      <c r="P91" s="527" t="s">
        <v>879</v>
      </c>
      <c r="Q91" s="527" t="s">
        <v>84</v>
      </c>
      <c r="R91" s="527" t="s">
        <v>880</v>
      </c>
      <c r="S91" s="525">
        <v>44825</v>
      </c>
      <c r="T91" s="530">
        <v>45030</v>
      </c>
      <c r="U91" s="527"/>
      <c r="V91" s="527"/>
      <c r="W91" s="338"/>
      <c r="X91" s="527"/>
      <c r="Y91" s="527"/>
      <c r="Z91" s="527"/>
      <c r="AA91" s="527"/>
      <c r="AB91" s="527"/>
      <c r="AC91" s="527"/>
      <c r="AD91" s="527"/>
      <c r="AE91" s="527"/>
      <c r="AF91" s="527"/>
      <c r="AG91" s="527"/>
      <c r="AH91" s="527"/>
      <c r="AI91" s="527"/>
      <c r="AJ91" s="527"/>
      <c r="AK91" s="527"/>
      <c r="AL91" s="527"/>
      <c r="AM91" s="527"/>
      <c r="AN91" s="527"/>
      <c r="AO91" s="527"/>
      <c r="AP91" s="527"/>
      <c r="AQ91" s="527"/>
      <c r="AR91" s="164"/>
      <c r="AS91" s="164"/>
      <c r="AT91" s="164"/>
      <c r="AU91" s="164"/>
      <c r="AV91" s="338" t="str">
        <f t="shared" ca="1" si="8"/>
        <v>NO_CUMPLE</v>
      </c>
      <c r="AW91" s="338" t="str">
        <f ca="1">IFERROR(__xludf.DUMMYFUNCTION("IFERROR(VLOOKUP(E221&amp;F221,IMPORTRANGE(""https://docs.google.com/spreadsheets/d/1Uw7-A9f9R21vMXxHZFNpYNeKFtG8_yji4HS352LGlSQ/edit?pli=1#gid=0"",""1_ACUM!A4:S""),11,FALSE))"),"EN FORMACION")</f>
        <v>EN FORMACION</v>
      </c>
      <c r="AX91" s="462" t="str">
        <f ca="1">IFERROR(__xludf.DUMMYFUNCTION("IFERROR(VLOOKUP(F221,IMPORTRANGE(""https://docs.google.com/spreadsheets/d/1Kvs4KS76FHFqLFIZfrDMff4kP08nblUkihrxltoGBjg/edit#gid=934712705"",""ESENCIAL!A6:BG""),15,FALSE))"),"TIC")</f>
        <v>TIC</v>
      </c>
      <c r="AY91" s="461">
        <f ca="1">IFERROR(__xludf.DUMMYFUNCTION("IFERROR(VLOOKUP(E221&amp;F221,IMPORTRANGE(""https://docs.google.com/spreadsheets/d/1Uw7-A9f9R21vMXxHZFNpYNeKFtG8_yji4HS352LGlSQ/edit?pli=1#gid=0"",""1_ACUM!A4:S""),13,FALSE))"),0)</f>
        <v>0</v>
      </c>
      <c r="AZ91" s="460">
        <f ca="1">IFERROR(__xludf.DUMMYFUNCTION("IFERROR(VLOOKUP(E221&amp;F221,IMPORTRANGE(""https://docs.google.com/spreadsheets/d/1Uw7-A9f9R21vMXxHZFNpYNeKFtG8_yji4HS352LGlSQ/edit?pli=1#gid=0"",""1_ACUM!A4:S""),13,FALSE))"),0)</f>
        <v>0</v>
      </c>
      <c r="BA91" s="460">
        <f ca="1">IFERROR(__xludf.DUMMYFUNCTION("IFERROR(VLOOKUP(E221&amp;F221,IMPORTRANGE(""https://docs.google.com/spreadsheets/d/1Uw7-A9f9R21vMXxHZFNpYNeKFtG8_yji4HS352LGlSQ/edit?pli=1#gid=0"",""1_ACUM!A4:S""),14,FALSE))"),1)</f>
        <v>1</v>
      </c>
      <c r="BB91" s="460">
        <f ca="1">IFERROR(__xludf.DUMMYFUNCTION("IFERROR(VLOOKUP(E221&amp;F221,IMPORTRANGE(""https://docs.google.com/spreadsheets/d/1Uw7-A9f9R21vMXxHZFNpYNeKFtG8_yji4HS352LGlSQ/edit?pli=1#gid=0"",""1_ACUM!A4:S""),15,FALSE))"),0)</f>
        <v>0</v>
      </c>
      <c r="BC91" s="460">
        <f ca="1">IFERROR(__xludf.DUMMYFUNCTION("IFERROR(VLOOKUP(E221&amp;F221,IMPORTRANGE(""https://docs.google.com/spreadsheets/d/1Uw7-A9f9R21vMXxHZFNpYNeKFtG8_yji4HS352LGlSQ/edit?pli=1#gid=0"",""1_ACUM!A4:S""),16,FALSE))"),5)</f>
        <v>5</v>
      </c>
      <c r="BD91" s="460">
        <f ca="1">IFERROR(__xludf.DUMMYFUNCTION("IFERROR(VLOOKUP(E221&amp;F221,IMPORTRANGE(""https://docs.google.com/spreadsheets/d/1Uw7-A9f9R21vMXxHZFNpYNeKFtG8_yji4HS352LGlSQ/edit?pli=1#gid=0"",""1_ACUM!A4:S""),17,FALSE))"),6)</f>
        <v>6</v>
      </c>
      <c r="BE91" s="461">
        <f ca="1">IFERROR(__xludf.DUMMYFUNCTION("IFERROR(VLOOKUP(E221&amp;F221,IMPORTRANGE(""https://docs.google.com/spreadsheets/d/1Uw7-A9f9R21vMXxHZFNpYNeKFtG8_yji4HS352LGlSQ/edit?pli=1#gid=0"",""1_ACUM!A4:S""),18,FALSE))"),44301)</f>
        <v>44301</v>
      </c>
      <c r="BF91" s="461">
        <f ca="1">IFERROR(__xludf.DUMMYFUNCTION("IFERROR(VLOOKUP(E221&amp;F221,IMPORTRANGE(""https://docs.google.com/spreadsheets/d/1Uw7-A9f9R21vMXxHZFNpYNeKFtG8_yji4HS352LGlSQ/edit?pli=1#gid=0"",""1_ACUM!A4:S""),19,FALSE))"),44848)</f>
        <v>44848</v>
      </c>
      <c r="BG91" s="462">
        <f ca="1">IFERROR(__xludf.DUMMYFUNCTION("IFERROR(VLOOKUP(F221,IMPORTRANGE(""https://docs.google.com/spreadsheets/d/1Kvs4KS76FHFqLFIZfrDMff4kP08nblUkihrxltoGBjg/edit#gid=934712705"",""ESENCIAL!A6:BG""),5,FALSE))"),45030)</f>
        <v>45030</v>
      </c>
      <c r="BH91" s="462">
        <f t="shared" ca="1" si="9"/>
        <v>45579</v>
      </c>
      <c r="BI91" s="338" t="str">
        <f t="shared" ca="1" si="10"/>
        <v>FICHA EN TIEMPO-18 MESES</v>
      </c>
      <c r="BJ91" s="338" t="str">
        <f ca="1">IFERROR(__xludf.DUMMYFUNCTION("IFERROR(VLOOKUP(F221,IMPORTRANGE(""https://docs.google.com/spreadsheets/d/1Kvs4KS76FHFqLFIZfrDMff4kP08nblUkihrxltoGBjg/edit#gid=934712705"",""ESENCIAL!A6:BG""),2,FALSE))"),"En ejecucion")</f>
        <v>En ejecucion</v>
      </c>
      <c r="BK91" s="338" t="str">
        <f t="shared" si="11"/>
        <v>Yamboro</v>
      </c>
      <c r="BL91" s="38"/>
      <c r="BM91" s="38"/>
    </row>
    <row r="92" spans="1:65" ht="24">
      <c r="A92" s="578" t="s">
        <v>833</v>
      </c>
      <c r="B92" s="562"/>
      <c r="C92" s="534" t="s">
        <v>25</v>
      </c>
      <c r="D92" s="564" t="s">
        <v>881</v>
      </c>
      <c r="E92" s="150" t="s">
        <v>27</v>
      </c>
      <c r="F92" s="149">
        <v>1007163437</v>
      </c>
      <c r="G92" s="208">
        <v>2280204</v>
      </c>
      <c r="H92" s="338" t="str">
        <f ca="1">IFERROR(__xludf.DUMMYFUNCTION("IFERROR(VLOOKUP(F222,IMPORTRANGE(""https://docs.google.com/spreadsheets/d/1Kvs4KS76FHFqLFIZfrDMff4kP08nblUkihrxltoGBjg/edit#gid=934712705"",""ESENCIAL!A6:BG""),3,FALSE))"),"TECNÓLOGO")</f>
        <v>TECNÓLOGO</v>
      </c>
      <c r="I92" s="338" t="str">
        <f ca="1">IFERROR(__xludf.DUMMYFUNCTION("IFERROR(VLOOKUP(F222,IMPORTRANGE(""https://docs.google.com/spreadsheets/d/1Kvs4KS76FHFqLFIZfrDMff4kP08nblUkihrxltoGBjg/edit#gid=934712705"",""ESENCIAL!A6:BG""),8,FALSE))"),"ANALISIS Y DESARROLLO DE SISTEMAS DE INFORMACION")</f>
        <v>ANALISIS Y DESARROLLO DE SISTEMAS DE INFORMACION</v>
      </c>
      <c r="J92" s="527">
        <v>573224165449</v>
      </c>
      <c r="K92" s="527" t="s">
        <v>882</v>
      </c>
      <c r="L92" s="527" t="s">
        <v>84</v>
      </c>
      <c r="M92" s="568" t="s">
        <v>250</v>
      </c>
      <c r="N92" s="527" t="s">
        <v>883</v>
      </c>
      <c r="O92" s="527" t="s">
        <v>884</v>
      </c>
      <c r="P92" s="527">
        <v>2737513</v>
      </c>
      <c r="Q92" s="527"/>
      <c r="R92" s="527" t="s">
        <v>880</v>
      </c>
      <c r="S92" s="525">
        <v>44825</v>
      </c>
      <c r="T92" s="530">
        <v>45030</v>
      </c>
      <c r="U92" s="527"/>
      <c r="V92" s="338" t="s">
        <v>649</v>
      </c>
      <c r="W92" s="338"/>
      <c r="X92" s="527"/>
      <c r="Y92" s="527"/>
      <c r="Z92" s="527"/>
      <c r="AA92" s="527"/>
      <c r="AB92" s="527"/>
      <c r="AC92" s="527"/>
      <c r="AD92" s="527"/>
      <c r="AE92" s="527"/>
      <c r="AF92" s="527"/>
      <c r="AG92" s="527"/>
      <c r="AH92" s="527"/>
      <c r="AI92" s="527"/>
      <c r="AJ92" s="527"/>
      <c r="AK92" s="527"/>
      <c r="AL92" s="527"/>
      <c r="AM92" s="527"/>
      <c r="AN92" s="527"/>
      <c r="AO92" s="527"/>
      <c r="AP92" s="527"/>
      <c r="AQ92" s="527"/>
      <c r="AR92" s="164"/>
      <c r="AS92" s="164"/>
      <c r="AT92" s="164"/>
      <c r="AU92" s="164"/>
      <c r="AV92" s="338" t="str">
        <f t="shared" ref="AV92:AV119" ca="1" si="12">IF(F92&gt;0,IF(AND(BD92=1,BA92=1),"Procede_E_P","NO_CUMPLE"),"")</f>
        <v>NO_CUMPLE</v>
      </c>
      <c r="AW92" s="338" t="str">
        <f ca="1">IFERROR(__xludf.DUMMYFUNCTION("IFERROR(VLOOKUP(E222&amp;F222,IMPORTRANGE(""https://docs.google.com/spreadsheets/d/1Uw7-A9f9R21vMXxHZFNpYNeKFtG8_yji4HS352LGlSQ/edit?pli=1#gid=0"",""1_ACUM!A4:S""),11,FALSE))"),"EN FORMACION")</f>
        <v>EN FORMACION</v>
      </c>
      <c r="AX92" s="462" t="str">
        <f ca="1">IFERROR(__xludf.DUMMYFUNCTION("IFERROR(VLOOKUP(F222,IMPORTRANGE(""https://docs.google.com/spreadsheets/d/1Kvs4KS76FHFqLFIZfrDMff4kP08nblUkihrxltoGBjg/edit#gid=934712705"",""ESENCIAL!A6:BG""),15,FALSE))"),"TIC")</f>
        <v>TIC</v>
      </c>
      <c r="AY92" s="461">
        <f ca="1">IFERROR(__xludf.DUMMYFUNCTION("IFERROR(VLOOKUP(E222&amp;F222,IMPORTRANGE(""https://docs.google.com/spreadsheets/d/1Uw7-A9f9R21vMXxHZFNpYNeKFtG8_yji4HS352LGlSQ/edit?pli=1#gid=0"",""1_ACUM!A4:S""),13,FALSE))"),0)</f>
        <v>0</v>
      </c>
      <c r="AZ92" s="460">
        <f ca="1">IFERROR(__xludf.DUMMYFUNCTION("IFERROR(VLOOKUP(E222&amp;F222,IMPORTRANGE(""https://docs.google.com/spreadsheets/d/1Uw7-A9f9R21vMXxHZFNpYNeKFtG8_yji4HS352LGlSQ/edit?pli=1#gid=0"",""1_ACUM!A4:S""),13,FALSE))"),0)</f>
        <v>0</v>
      </c>
      <c r="BA92" s="460">
        <f ca="1">IFERROR(__xludf.DUMMYFUNCTION("IFERROR(VLOOKUP(E222&amp;F222,IMPORTRANGE(""https://docs.google.com/spreadsheets/d/1Uw7-A9f9R21vMXxHZFNpYNeKFtG8_yji4HS352LGlSQ/edit?pli=1#gid=0"",""1_ACUM!A4:S""),14,FALSE))"),1)</f>
        <v>1</v>
      </c>
      <c r="BB92" s="460">
        <f ca="1">IFERROR(__xludf.DUMMYFUNCTION("IFERROR(VLOOKUP(E222&amp;F222,IMPORTRANGE(""https://docs.google.com/spreadsheets/d/1Uw7-A9f9R21vMXxHZFNpYNeKFtG8_yji4HS352LGlSQ/edit?pli=1#gid=0"",""1_ACUM!A4:S""),15,FALSE))"),9)</f>
        <v>9</v>
      </c>
      <c r="BC92" s="460">
        <f ca="1">IFERROR(__xludf.DUMMYFUNCTION("IFERROR(VLOOKUP(E222&amp;F222,IMPORTRANGE(""https://docs.google.com/spreadsheets/d/1Uw7-A9f9R21vMXxHZFNpYNeKFtG8_yji4HS352LGlSQ/edit?pli=1#gid=0"",""1_ACUM!A4:S""),16,FALSE))"),5)</f>
        <v>5</v>
      </c>
      <c r="BD92" s="460">
        <f ca="1">IFERROR(__xludf.DUMMYFUNCTION("IFERROR(VLOOKUP(E222&amp;F222,IMPORTRANGE(""https://docs.google.com/spreadsheets/d/1Uw7-A9f9R21vMXxHZFNpYNeKFtG8_yji4HS352LGlSQ/edit?pli=1#gid=0"",""1_ACUM!A4:S""),17,FALSE))"),15)</f>
        <v>15</v>
      </c>
      <c r="BE92" s="461">
        <f ca="1">IFERROR(__xludf.DUMMYFUNCTION("IFERROR(VLOOKUP(E222&amp;F222,IMPORTRANGE(""https://docs.google.com/spreadsheets/d/1Uw7-A9f9R21vMXxHZFNpYNeKFtG8_yji4HS352LGlSQ/edit?pli=1#gid=0"",""1_ACUM!A4:S""),18,FALSE))"),44301)</f>
        <v>44301</v>
      </c>
      <c r="BF92" s="461">
        <f ca="1">IFERROR(__xludf.DUMMYFUNCTION("IFERROR(VLOOKUP(E222&amp;F222,IMPORTRANGE(""https://docs.google.com/spreadsheets/d/1Uw7-A9f9R21vMXxHZFNpYNeKFtG8_yji4HS352LGlSQ/edit?pli=1#gid=0"",""1_ACUM!A4:S""),19,FALSE))"),44848)</f>
        <v>44848</v>
      </c>
      <c r="BG92" s="462">
        <f ca="1">IFERROR(__xludf.DUMMYFUNCTION("IFERROR(VLOOKUP(F222,IMPORTRANGE(""https://docs.google.com/spreadsheets/d/1Kvs4KS76FHFqLFIZfrDMff4kP08nblUkihrxltoGBjg/edit#gid=934712705"",""ESENCIAL!A6:BG""),5,FALSE))"),45030)</f>
        <v>45030</v>
      </c>
      <c r="BH92" s="462">
        <f t="shared" ref="BH92:BH123" ca="1" si="13">IF(G92&gt;0,EDATE(BG92,18),"")</f>
        <v>45579</v>
      </c>
      <c r="BI92" s="338" t="str">
        <f t="shared" ref="BI92:BI123" ca="1" si="14">IF(G92&gt;0,IF(BH92&lt;$BI$1,"FINALIZAR FICHA","FICHA EN TIEMPO-18 MESES"),"")</f>
        <v>FICHA EN TIEMPO-18 MESES</v>
      </c>
      <c r="BJ92" s="338" t="str">
        <f ca="1">IFERROR(__xludf.DUMMYFUNCTION("IFERROR(VLOOKUP(F222,IMPORTRANGE(""https://docs.google.com/spreadsheets/d/1Kvs4KS76FHFqLFIZfrDMff4kP08nblUkihrxltoGBjg/edit#gid=934712705"",""ESENCIAL!A6:BG""),2,FALSE))"),"En ejecucion")</f>
        <v>En ejecucion</v>
      </c>
      <c r="BK92" s="338" t="str">
        <f t="shared" ref="BK92:BK119" si="15">IF(G92&gt;0,"Yamboro","")</f>
        <v>Yamboro</v>
      </c>
      <c r="BL92" s="38"/>
      <c r="BM92" s="38"/>
    </row>
    <row r="93" spans="1:65" ht="24">
      <c r="A93" s="164"/>
      <c r="B93" s="562"/>
      <c r="C93" s="534" t="s">
        <v>885</v>
      </c>
      <c r="D93" s="564" t="s">
        <v>886</v>
      </c>
      <c r="E93" s="150" t="s">
        <v>27</v>
      </c>
      <c r="F93" s="149">
        <v>1007361170</v>
      </c>
      <c r="G93" s="208">
        <v>2280204</v>
      </c>
      <c r="H93" s="338" t="str">
        <f ca="1">IFERROR(__xludf.DUMMYFUNCTION("IFERROR(VLOOKUP(F223,IMPORTRANGE(""https://docs.google.com/spreadsheets/d/1Kvs4KS76FHFqLFIZfrDMff4kP08nblUkihrxltoGBjg/edit#gid=934712705"",""ESENCIAL!A6:BG""),3,FALSE))"),"TECNÓLOGO")</f>
        <v>TECNÓLOGO</v>
      </c>
      <c r="I93" s="338" t="str">
        <f ca="1">IFERROR(__xludf.DUMMYFUNCTION("IFERROR(VLOOKUP(F223,IMPORTRANGE(""https://docs.google.com/spreadsheets/d/1Kvs4KS76FHFqLFIZfrDMff4kP08nblUkihrxltoGBjg/edit#gid=934712705"",""ESENCIAL!A6:BG""),8,FALSE))"),"ANALISIS Y DESARROLLO DE SISTEMAS DE INFORMACION")</f>
        <v>ANALISIS Y DESARROLLO DE SISTEMAS DE INFORMACION</v>
      </c>
      <c r="J93" s="527"/>
      <c r="K93" s="527"/>
      <c r="L93" s="527"/>
      <c r="M93" s="570" t="s">
        <v>44</v>
      </c>
      <c r="N93" s="527"/>
      <c r="O93" s="527"/>
      <c r="P93" s="527"/>
      <c r="Q93" s="527"/>
      <c r="R93" s="527"/>
      <c r="S93" s="525"/>
      <c r="T93" s="530"/>
      <c r="U93" s="527"/>
      <c r="V93" s="338"/>
      <c r="W93" s="338"/>
      <c r="X93" s="527"/>
      <c r="Y93" s="527"/>
      <c r="Z93" s="527"/>
      <c r="AA93" s="527"/>
      <c r="AB93" s="527"/>
      <c r="AC93" s="527"/>
      <c r="AD93" s="527"/>
      <c r="AE93" s="527"/>
      <c r="AF93" s="527"/>
      <c r="AG93" s="527"/>
      <c r="AH93" s="527"/>
      <c r="AI93" s="527"/>
      <c r="AJ93" s="527"/>
      <c r="AK93" s="527"/>
      <c r="AL93" s="527"/>
      <c r="AM93" s="527"/>
      <c r="AN93" s="527"/>
      <c r="AO93" s="527"/>
      <c r="AP93" s="527"/>
      <c r="AQ93" s="527"/>
      <c r="AR93" s="164"/>
      <c r="AS93" s="164"/>
      <c r="AT93" s="164"/>
      <c r="AU93" s="164"/>
      <c r="AV93" s="338" t="str">
        <f t="shared" ca="1" si="12"/>
        <v>NO_CUMPLE</v>
      </c>
      <c r="AW93" s="338" t="str">
        <f ca="1">IFERROR(__xludf.DUMMYFUNCTION("IFERROR(VLOOKUP(E223&amp;F223,IMPORTRANGE(""https://docs.google.com/spreadsheets/d/1Uw7-A9f9R21vMXxHZFNpYNeKFtG8_yji4HS352LGlSQ/edit?pli=1#gid=0"",""1_ACUM!A4:S""),11,FALSE))"),"")</f>
        <v/>
      </c>
      <c r="AX93" s="462" t="str">
        <f ca="1">IFERROR(__xludf.DUMMYFUNCTION("IFERROR(VLOOKUP(F223,IMPORTRANGE(""https://docs.google.com/spreadsheets/d/1Kvs4KS76FHFqLFIZfrDMff4kP08nblUkihrxltoGBjg/edit#gid=934712705"",""ESENCIAL!A6:BG""),15,FALSE))"),"TIC")</f>
        <v>TIC</v>
      </c>
      <c r="AY93" s="461" t="str">
        <f ca="1">IFERROR(__xludf.DUMMYFUNCTION("IFERROR(VLOOKUP(E223&amp;F223,IMPORTRANGE(""https://docs.google.com/spreadsheets/d/1Uw7-A9f9R21vMXxHZFNpYNeKFtG8_yji4HS352LGlSQ/edit?pli=1#gid=0"",""1_ACUM!A4:S""),13,FALSE))"),"")</f>
        <v/>
      </c>
      <c r="AZ93" s="460" t="str">
        <f ca="1">IFERROR(__xludf.DUMMYFUNCTION("IFERROR(VLOOKUP(E223&amp;F223,IMPORTRANGE(""https://docs.google.com/spreadsheets/d/1Uw7-A9f9R21vMXxHZFNpYNeKFtG8_yji4HS352LGlSQ/edit?pli=1#gid=0"",""1_ACUM!A4:S""),13,FALSE))"),"")</f>
        <v/>
      </c>
      <c r="BA93" s="460" t="str">
        <f ca="1">IFERROR(__xludf.DUMMYFUNCTION("IFERROR(VLOOKUP(E223&amp;F223,IMPORTRANGE(""https://docs.google.com/spreadsheets/d/1Uw7-A9f9R21vMXxHZFNpYNeKFtG8_yji4HS352LGlSQ/edit?pli=1#gid=0"",""1_ACUM!A4:S""),14,FALSE))"),"")</f>
        <v/>
      </c>
      <c r="BB93" s="460" t="str">
        <f ca="1">IFERROR(__xludf.DUMMYFUNCTION("IFERROR(VLOOKUP(E223&amp;F223,IMPORTRANGE(""https://docs.google.com/spreadsheets/d/1Uw7-A9f9R21vMXxHZFNpYNeKFtG8_yji4HS352LGlSQ/edit?pli=1#gid=0"",""1_ACUM!A4:S""),15,FALSE))"),"")</f>
        <v/>
      </c>
      <c r="BC93" s="460" t="str">
        <f ca="1">IFERROR(__xludf.DUMMYFUNCTION("IFERROR(VLOOKUP(E223&amp;F223,IMPORTRANGE(""https://docs.google.com/spreadsheets/d/1Uw7-A9f9R21vMXxHZFNpYNeKFtG8_yji4HS352LGlSQ/edit?pli=1#gid=0"",""1_ACUM!A4:S""),16,FALSE))"),"")</f>
        <v/>
      </c>
      <c r="BD93" s="460" t="str">
        <f ca="1">IFERROR(__xludf.DUMMYFUNCTION("IFERROR(VLOOKUP(E223&amp;F223,IMPORTRANGE(""https://docs.google.com/spreadsheets/d/1Uw7-A9f9R21vMXxHZFNpYNeKFtG8_yji4HS352LGlSQ/edit?pli=1#gid=0"",""1_ACUM!A4:S""),17,FALSE))"),"")</f>
        <v/>
      </c>
      <c r="BE93" s="461" t="str">
        <f ca="1">IFERROR(__xludf.DUMMYFUNCTION("IFERROR(VLOOKUP(E223&amp;F223,IMPORTRANGE(""https://docs.google.com/spreadsheets/d/1Uw7-A9f9R21vMXxHZFNpYNeKFtG8_yji4HS352LGlSQ/edit?pli=1#gid=0"",""1_ACUM!A4:S""),18,FALSE))"),"")</f>
        <v/>
      </c>
      <c r="BF93" s="461" t="str">
        <f ca="1">IFERROR(__xludf.DUMMYFUNCTION("IFERROR(VLOOKUP(E223&amp;F223,IMPORTRANGE(""https://docs.google.com/spreadsheets/d/1Uw7-A9f9R21vMXxHZFNpYNeKFtG8_yji4HS352LGlSQ/edit?pli=1#gid=0"",""1_ACUM!A4:S""),19,FALSE))"),"")</f>
        <v/>
      </c>
      <c r="BG93" s="462">
        <f ca="1">IFERROR(__xludf.DUMMYFUNCTION("IFERROR(VLOOKUP(F223,IMPORTRANGE(""https://docs.google.com/spreadsheets/d/1Kvs4KS76FHFqLFIZfrDMff4kP08nblUkihrxltoGBjg/edit#gid=934712705"",""ESENCIAL!A6:BG""),5,FALSE))"),45030)</f>
        <v>45030</v>
      </c>
      <c r="BH93" s="462">
        <f t="shared" ca="1" si="13"/>
        <v>45579</v>
      </c>
      <c r="BI93" s="338" t="str">
        <f t="shared" ca="1" si="14"/>
        <v>FICHA EN TIEMPO-18 MESES</v>
      </c>
      <c r="BJ93" s="338" t="str">
        <f ca="1">IFERROR(__xludf.DUMMYFUNCTION("IFERROR(VLOOKUP(F223,IMPORTRANGE(""https://docs.google.com/spreadsheets/d/1Kvs4KS76FHFqLFIZfrDMff4kP08nblUkihrxltoGBjg/edit#gid=934712705"",""ESENCIAL!A6:BG""),2,FALSE))"),"En ejecucion")</f>
        <v>En ejecucion</v>
      </c>
      <c r="BK93" s="338" t="str">
        <f t="shared" si="15"/>
        <v>Yamboro</v>
      </c>
      <c r="BL93" s="38"/>
      <c r="BM93" s="38"/>
    </row>
    <row r="94" spans="1:65" ht="24">
      <c r="A94" s="578" t="s">
        <v>833</v>
      </c>
      <c r="B94" s="562"/>
      <c r="C94" s="534" t="s">
        <v>25</v>
      </c>
      <c r="D94" s="564" t="s">
        <v>887</v>
      </c>
      <c r="E94" s="217" t="s">
        <v>27</v>
      </c>
      <c r="F94" s="149">
        <v>1007361222</v>
      </c>
      <c r="G94" s="208">
        <v>2280204</v>
      </c>
      <c r="H94" s="338" t="str">
        <f ca="1">IFERROR(__xludf.DUMMYFUNCTION("IFERROR(VLOOKUP(F224,IMPORTRANGE(""https://docs.google.com/spreadsheets/d/1Kvs4KS76FHFqLFIZfrDMff4kP08nblUkihrxltoGBjg/edit#gid=934712705"",""ESENCIAL!A6:BG""),3,FALSE))"),"TECNÓLOGO")</f>
        <v>TECNÓLOGO</v>
      </c>
      <c r="I94" s="338" t="str">
        <f ca="1">IFERROR(__xludf.DUMMYFUNCTION("IFERROR(VLOOKUP(F224,IMPORTRANGE(""https://docs.google.com/spreadsheets/d/1Kvs4KS76FHFqLFIZfrDMff4kP08nblUkihrxltoGBjg/edit#gid=934712705"",""ESENCIAL!A6:BG""),8,FALSE))"),"ANALISIS Y DESARROLLO DE SISTEMAS DE INFORMACION")</f>
        <v>ANALISIS Y DESARROLLO DE SISTEMAS DE INFORMACION</v>
      </c>
      <c r="J94" s="208">
        <v>3224165449</v>
      </c>
      <c r="K94" s="571" t="s">
        <v>882</v>
      </c>
      <c r="L94" s="208" t="s">
        <v>421</v>
      </c>
      <c r="M94" s="208" t="s">
        <v>250</v>
      </c>
      <c r="N94" s="527" t="s">
        <v>888</v>
      </c>
      <c r="O94" s="527" t="s">
        <v>889</v>
      </c>
      <c r="P94" s="527">
        <v>3103048675</v>
      </c>
      <c r="Q94" s="527" t="s">
        <v>96</v>
      </c>
      <c r="R94" s="527" t="s">
        <v>890</v>
      </c>
      <c r="S94" s="525">
        <v>44850</v>
      </c>
      <c r="T94" s="530">
        <v>45030</v>
      </c>
      <c r="U94" s="527"/>
      <c r="V94" s="338" t="s">
        <v>649</v>
      </c>
      <c r="W94" s="338"/>
      <c r="X94" s="527"/>
      <c r="Y94" s="527"/>
      <c r="Z94" s="527"/>
      <c r="AA94" s="527"/>
      <c r="AB94" s="527"/>
      <c r="AC94" s="527"/>
      <c r="AD94" s="527"/>
      <c r="AE94" s="527"/>
      <c r="AF94" s="527"/>
      <c r="AG94" s="527"/>
      <c r="AH94" s="527"/>
      <c r="AI94" s="527"/>
      <c r="AJ94" s="527"/>
      <c r="AK94" s="527"/>
      <c r="AL94" s="527"/>
      <c r="AM94" s="527"/>
      <c r="AN94" s="527"/>
      <c r="AO94" s="527"/>
      <c r="AP94" s="527"/>
      <c r="AQ94" s="527"/>
      <c r="AR94" s="164"/>
      <c r="AS94" s="164"/>
      <c r="AT94" s="164"/>
      <c r="AU94" s="164" t="s">
        <v>862</v>
      </c>
      <c r="AV94" s="338" t="str">
        <f t="shared" ca="1" si="12"/>
        <v>NO_CUMPLE</v>
      </c>
      <c r="AW94" s="338" t="str">
        <f ca="1">IFERROR(__xludf.DUMMYFUNCTION("IFERROR(VLOOKUP(E224&amp;F224,IMPORTRANGE(""https://docs.google.com/spreadsheets/d/1Uw7-A9f9R21vMXxHZFNpYNeKFtG8_yji4HS352LGlSQ/edit?pli=1#gid=0"",""1_ACUM!A4:S""),11,FALSE))"),"EN FORMACION")</f>
        <v>EN FORMACION</v>
      </c>
      <c r="AX94" s="462" t="str">
        <f ca="1">IFERROR(__xludf.DUMMYFUNCTION("IFERROR(VLOOKUP(F224,IMPORTRANGE(""https://docs.google.com/spreadsheets/d/1Kvs4KS76FHFqLFIZfrDMff4kP08nblUkihrxltoGBjg/edit#gid=934712705"",""ESENCIAL!A6:BG""),15,FALSE))"),"TIC")</f>
        <v>TIC</v>
      </c>
      <c r="AY94" s="461">
        <f ca="1">IFERROR(__xludf.DUMMYFUNCTION("IFERROR(VLOOKUP(E224&amp;F224,IMPORTRANGE(""https://docs.google.com/spreadsheets/d/1Uw7-A9f9R21vMXxHZFNpYNeKFtG8_yji4HS352LGlSQ/edit?pli=1#gid=0"",""1_ACUM!A4:S""),13,FALSE))"),0)</f>
        <v>0</v>
      </c>
      <c r="AZ94" s="460">
        <f ca="1">IFERROR(__xludf.DUMMYFUNCTION("IFERROR(VLOOKUP(E224&amp;F224,IMPORTRANGE(""https://docs.google.com/spreadsheets/d/1Uw7-A9f9R21vMXxHZFNpYNeKFtG8_yji4HS352LGlSQ/edit?pli=1#gid=0"",""1_ACUM!A4:S""),13,FALSE))"),0)</f>
        <v>0</v>
      </c>
      <c r="BA94" s="460">
        <f ca="1">IFERROR(__xludf.DUMMYFUNCTION("IFERROR(VLOOKUP(E224&amp;F224,IMPORTRANGE(""https://docs.google.com/spreadsheets/d/1Uw7-A9f9R21vMXxHZFNpYNeKFtG8_yji4HS352LGlSQ/edit?pli=1#gid=0"",""1_ACUM!A4:S""),14,FALSE))"),1)</f>
        <v>1</v>
      </c>
      <c r="BB94" s="460">
        <f ca="1">IFERROR(__xludf.DUMMYFUNCTION("IFERROR(VLOOKUP(E224&amp;F224,IMPORTRANGE(""https://docs.google.com/spreadsheets/d/1Uw7-A9f9R21vMXxHZFNpYNeKFtG8_yji4HS352LGlSQ/edit?pli=1#gid=0"",""1_ACUM!A4:S""),15,FALSE))"),2)</f>
        <v>2</v>
      </c>
      <c r="BC94" s="460">
        <f ca="1">IFERROR(__xludf.DUMMYFUNCTION("IFERROR(VLOOKUP(E224&amp;F224,IMPORTRANGE(""https://docs.google.com/spreadsheets/d/1Uw7-A9f9R21vMXxHZFNpYNeKFtG8_yji4HS352LGlSQ/edit?pli=1#gid=0"",""1_ACUM!A4:S""),16,FALSE))"),5)</f>
        <v>5</v>
      </c>
      <c r="BD94" s="460">
        <f ca="1">IFERROR(__xludf.DUMMYFUNCTION("IFERROR(VLOOKUP(E224&amp;F224,IMPORTRANGE(""https://docs.google.com/spreadsheets/d/1Uw7-A9f9R21vMXxHZFNpYNeKFtG8_yji4HS352LGlSQ/edit?pli=1#gid=0"",""1_ACUM!A4:S""),17,FALSE))"),8)</f>
        <v>8</v>
      </c>
      <c r="BE94" s="461">
        <f ca="1">IFERROR(__xludf.DUMMYFUNCTION("IFERROR(VLOOKUP(E224&amp;F224,IMPORTRANGE(""https://docs.google.com/spreadsheets/d/1Uw7-A9f9R21vMXxHZFNpYNeKFtG8_yji4HS352LGlSQ/edit?pli=1#gid=0"",""1_ACUM!A4:S""),18,FALSE))"),44301)</f>
        <v>44301</v>
      </c>
      <c r="BF94" s="461">
        <f ca="1">IFERROR(__xludf.DUMMYFUNCTION("IFERROR(VLOOKUP(E224&amp;F224,IMPORTRANGE(""https://docs.google.com/spreadsheets/d/1Uw7-A9f9R21vMXxHZFNpYNeKFtG8_yji4HS352LGlSQ/edit?pli=1#gid=0"",""1_ACUM!A4:S""),19,FALSE))"),44848)</f>
        <v>44848</v>
      </c>
      <c r="BG94" s="462">
        <f ca="1">IFERROR(__xludf.DUMMYFUNCTION("IFERROR(VLOOKUP(F224,IMPORTRANGE(""https://docs.google.com/spreadsheets/d/1Kvs4KS76FHFqLFIZfrDMff4kP08nblUkihrxltoGBjg/edit#gid=934712705"",""ESENCIAL!A6:BG""),5,FALSE))"),45030)</f>
        <v>45030</v>
      </c>
      <c r="BH94" s="462">
        <f t="shared" ca="1" si="13"/>
        <v>45579</v>
      </c>
      <c r="BI94" s="338" t="str">
        <f t="shared" ca="1" si="14"/>
        <v>FICHA EN TIEMPO-18 MESES</v>
      </c>
      <c r="BJ94" s="338" t="str">
        <f ca="1">IFERROR(__xludf.DUMMYFUNCTION("IFERROR(VLOOKUP(F224,IMPORTRANGE(""https://docs.google.com/spreadsheets/d/1Kvs4KS76FHFqLFIZfrDMff4kP08nblUkihrxltoGBjg/edit#gid=934712705"",""ESENCIAL!A6:BG""),2,FALSE))"),"En ejecucion")</f>
        <v>En ejecucion</v>
      </c>
      <c r="BK94" s="338" t="str">
        <f t="shared" si="15"/>
        <v>Yamboro</v>
      </c>
      <c r="BL94" s="38"/>
      <c r="BM94" s="38"/>
    </row>
    <row r="95" spans="1:65" ht="24">
      <c r="A95" s="164"/>
      <c r="B95" s="562"/>
      <c r="C95" s="534" t="s">
        <v>25</v>
      </c>
      <c r="D95" s="564" t="s">
        <v>891</v>
      </c>
      <c r="E95" s="217" t="s">
        <v>27</v>
      </c>
      <c r="F95" s="149">
        <v>1007502651</v>
      </c>
      <c r="G95" s="208">
        <v>2280204</v>
      </c>
      <c r="H95" s="338" t="str">
        <f ca="1">IFERROR(__xludf.DUMMYFUNCTION("IFERROR(VLOOKUP(F225,IMPORTRANGE(""https://docs.google.com/spreadsheets/d/1Kvs4KS76FHFqLFIZfrDMff4kP08nblUkihrxltoGBjg/edit#gid=934712705"",""ESENCIAL!A6:BG""),3,FALSE))"),"TECNÓLOGO")</f>
        <v>TECNÓLOGO</v>
      </c>
      <c r="I95" s="338" t="str">
        <f ca="1">IFERROR(__xludf.DUMMYFUNCTION("IFERROR(VLOOKUP(F225,IMPORTRANGE(""https://docs.google.com/spreadsheets/d/1Kvs4KS76FHFqLFIZfrDMff4kP08nblUkihrxltoGBjg/edit#gid=934712705"",""ESENCIAL!A6:BG""),8,FALSE))"),"ANALISIS Y DESARROLLO DE SISTEMAS DE INFORMACION")</f>
        <v>ANALISIS Y DESARROLLO DE SISTEMAS DE INFORMACION</v>
      </c>
      <c r="J95" s="585">
        <v>3202895066</v>
      </c>
      <c r="K95" s="571" t="s">
        <v>892</v>
      </c>
      <c r="L95" s="585" t="s">
        <v>421</v>
      </c>
      <c r="M95" s="570" t="s">
        <v>44</v>
      </c>
      <c r="N95" s="527"/>
      <c r="O95" s="527"/>
      <c r="P95" s="527"/>
      <c r="Q95" s="527"/>
      <c r="R95" s="527"/>
      <c r="S95" s="525"/>
      <c r="T95" s="530"/>
      <c r="U95" s="527"/>
      <c r="V95" s="527"/>
      <c r="W95" s="338"/>
      <c r="X95" s="527"/>
      <c r="Y95" s="527"/>
      <c r="Z95" s="527"/>
      <c r="AA95" s="527"/>
      <c r="AB95" s="527"/>
      <c r="AC95" s="527"/>
      <c r="AD95" s="527"/>
      <c r="AE95" s="527"/>
      <c r="AF95" s="527"/>
      <c r="AG95" s="527"/>
      <c r="AH95" s="527"/>
      <c r="AI95" s="527"/>
      <c r="AJ95" s="527"/>
      <c r="AK95" s="527"/>
      <c r="AL95" s="527"/>
      <c r="AM95" s="527"/>
      <c r="AN95" s="527"/>
      <c r="AO95" s="527"/>
      <c r="AP95" s="527"/>
      <c r="AQ95" s="527"/>
      <c r="AR95" s="164"/>
      <c r="AS95" s="164"/>
      <c r="AT95" s="164"/>
      <c r="AU95" s="164"/>
      <c r="AV95" s="338" t="str">
        <f t="shared" ca="1" si="12"/>
        <v>NO_CUMPLE</v>
      </c>
      <c r="AW95" s="338" t="str">
        <f ca="1">IFERROR(__xludf.DUMMYFUNCTION("IFERROR(VLOOKUP(E225&amp;F225,IMPORTRANGE(""https://docs.google.com/spreadsheets/d/1Uw7-A9f9R21vMXxHZFNpYNeKFtG8_yji4HS352LGlSQ/edit?pli=1#gid=0"",""1_ACUM!A4:S""),11,FALSE))"),"EN FORMACION")</f>
        <v>EN FORMACION</v>
      </c>
      <c r="AX95" s="462" t="str">
        <f ca="1">IFERROR(__xludf.DUMMYFUNCTION("IFERROR(VLOOKUP(F225,IMPORTRANGE(""https://docs.google.com/spreadsheets/d/1Kvs4KS76FHFqLFIZfrDMff4kP08nblUkihrxltoGBjg/edit#gid=934712705"",""ESENCIAL!A6:BG""),15,FALSE))"),"TIC")</f>
        <v>TIC</v>
      </c>
      <c r="AY95" s="461">
        <f ca="1">IFERROR(__xludf.DUMMYFUNCTION("IFERROR(VLOOKUP(E225&amp;F225,IMPORTRANGE(""https://docs.google.com/spreadsheets/d/1Uw7-A9f9R21vMXxHZFNpYNeKFtG8_yji4HS352LGlSQ/edit?pli=1#gid=0"",""1_ACUM!A4:S""),13,FALSE))"),2)</f>
        <v>2</v>
      </c>
      <c r="AZ95" s="460">
        <f ca="1">IFERROR(__xludf.DUMMYFUNCTION("IFERROR(VLOOKUP(E225&amp;F225,IMPORTRANGE(""https://docs.google.com/spreadsheets/d/1Uw7-A9f9R21vMXxHZFNpYNeKFtG8_yji4HS352LGlSQ/edit?pli=1#gid=0"",""1_ACUM!A4:S""),13,FALSE))"),2)</f>
        <v>2</v>
      </c>
      <c r="BA95" s="460">
        <f ca="1">IFERROR(__xludf.DUMMYFUNCTION("IFERROR(VLOOKUP(E225&amp;F225,IMPORTRANGE(""https://docs.google.com/spreadsheets/d/1Uw7-A9f9R21vMXxHZFNpYNeKFtG8_yji4HS352LGlSQ/edit?pli=1#gid=0"",""1_ACUM!A4:S""),14,FALSE))"),1)</f>
        <v>1</v>
      </c>
      <c r="BB95" s="460">
        <f ca="1">IFERROR(__xludf.DUMMYFUNCTION("IFERROR(VLOOKUP(E225&amp;F225,IMPORTRANGE(""https://docs.google.com/spreadsheets/d/1Uw7-A9f9R21vMXxHZFNpYNeKFtG8_yji4HS352LGlSQ/edit?pli=1#gid=0"",""1_ACUM!A4:S""),15,FALSE))"),7)</f>
        <v>7</v>
      </c>
      <c r="BC95" s="460">
        <f ca="1">IFERROR(__xludf.DUMMYFUNCTION("IFERROR(VLOOKUP(E225&amp;F225,IMPORTRANGE(""https://docs.google.com/spreadsheets/d/1Uw7-A9f9R21vMXxHZFNpYNeKFtG8_yji4HS352LGlSQ/edit?pli=1#gid=0"",""1_ACUM!A4:S""),16,FALSE))"),5)</f>
        <v>5</v>
      </c>
      <c r="BD95" s="460">
        <f ca="1">IFERROR(__xludf.DUMMYFUNCTION("IFERROR(VLOOKUP(E225&amp;F225,IMPORTRANGE(""https://docs.google.com/spreadsheets/d/1Uw7-A9f9R21vMXxHZFNpYNeKFtG8_yji4HS352LGlSQ/edit?pli=1#gid=0"",""1_ACUM!A4:S""),17,FALSE))"),15)</f>
        <v>15</v>
      </c>
      <c r="BE95" s="461">
        <f ca="1">IFERROR(__xludf.DUMMYFUNCTION("IFERROR(VLOOKUP(E225&amp;F225,IMPORTRANGE(""https://docs.google.com/spreadsheets/d/1Uw7-A9f9R21vMXxHZFNpYNeKFtG8_yji4HS352LGlSQ/edit?pli=1#gid=0"",""1_ACUM!A4:S""),18,FALSE))"),44301)</f>
        <v>44301</v>
      </c>
      <c r="BF95" s="461">
        <f ca="1">IFERROR(__xludf.DUMMYFUNCTION("IFERROR(VLOOKUP(E225&amp;F225,IMPORTRANGE(""https://docs.google.com/spreadsheets/d/1Uw7-A9f9R21vMXxHZFNpYNeKFtG8_yji4HS352LGlSQ/edit?pli=1#gid=0"",""1_ACUM!A4:S""),19,FALSE))"),44848)</f>
        <v>44848</v>
      </c>
      <c r="BG95" s="462">
        <f ca="1">IFERROR(__xludf.DUMMYFUNCTION("IFERROR(VLOOKUP(F225,IMPORTRANGE(""https://docs.google.com/spreadsheets/d/1Kvs4KS76FHFqLFIZfrDMff4kP08nblUkihrxltoGBjg/edit#gid=934712705"",""ESENCIAL!A6:BG""),5,FALSE))"),45030)</f>
        <v>45030</v>
      </c>
      <c r="BH95" s="462">
        <f t="shared" ca="1" si="13"/>
        <v>45579</v>
      </c>
      <c r="BI95" s="338" t="str">
        <f t="shared" ca="1" si="14"/>
        <v>FICHA EN TIEMPO-18 MESES</v>
      </c>
      <c r="BJ95" s="338" t="str">
        <f ca="1">IFERROR(__xludf.DUMMYFUNCTION("IFERROR(VLOOKUP(F225,IMPORTRANGE(""https://docs.google.com/spreadsheets/d/1Kvs4KS76FHFqLFIZfrDMff4kP08nblUkihrxltoGBjg/edit#gid=934712705"",""ESENCIAL!A6:BG""),2,FALSE))"),"En ejecucion")</f>
        <v>En ejecucion</v>
      </c>
      <c r="BK95" s="338" t="str">
        <f t="shared" si="15"/>
        <v>Yamboro</v>
      </c>
      <c r="BL95" s="38"/>
      <c r="BM95" s="38"/>
    </row>
    <row r="96" spans="1:65" s="255" customFormat="1" ht="24">
      <c r="A96" s="578" t="s">
        <v>833</v>
      </c>
      <c r="B96" s="562"/>
      <c r="C96" s="534" t="s">
        <v>25</v>
      </c>
      <c r="D96" s="564" t="s">
        <v>893</v>
      </c>
      <c r="E96" s="217" t="s">
        <v>27</v>
      </c>
      <c r="F96" s="149">
        <v>1007531657</v>
      </c>
      <c r="G96" s="208">
        <v>2280204</v>
      </c>
      <c r="H96" s="338" t="str">
        <f ca="1">IFERROR(__xludf.DUMMYFUNCTION("IFERROR(VLOOKUP(F226,IMPORTRANGE(""https://docs.google.com/spreadsheets/d/1Kvs4KS76FHFqLFIZfrDMff4kP08nblUkihrxltoGBjg/edit#gid=934712705"",""ESENCIAL!A6:BG""),3,FALSE))"),"TECNÓLOGO")</f>
        <v>TECNÓLOGO</v>
      </c>
      <c r="I96" s="338" t="str">
        <f ca="1">IFERROR(__xludf.DUMMYFUNCTION("IFERROR(VLOOKUP(F226,IMPORTRANGE(""https://docs.google.com/spreadsheets/d/1Kvs4KS76FHFqLFIZfrDMff4kP08nblUkihrxltoGBjg/edit#gid=934712705"",""ESENCIAL!A6:BG""),8,FALSE))"),"ANALISIS Y DESARROLLO DE SISTEMAS DE INFORMACION")</f>
        <v>ANALISIS Y DESARROLLO DE SISTEMAS DE INFORMACION</v>
      </c>
      <c r="J96" s="585">
        <v>3202576701</v>
      </c>
      <c r="K96" s="571" t="s">
        <v>894</v>
      </c>
      <c r="L96" s="585" t="s">
        <v>421</v>
      </c>
      <c r="M96" s="527" t="s">
        <v>28</v>
      </c>
      <c r="N96" s="527" t="s">
        <v>895</v>
      </c>
      <c r="O96" s="527" t="s">
        <v>896</v>
      </c>
      <c r="P96" s="527">
        <v>3125262981</v>
      </c>
      <c r="Q96" s="527" t="s">
        <v>84</v>
      </c>
      <c r="R96" s="569" t="s">
        <v>897</v>
      </c>
      <c r="S96" s="525" t="s">
        <v>898</v>
      </c>
      <c r="T96" s="530" t="s">
        <v>899</v>
      </c>
      <c r="U96" s="545" t="s">
        <v>444</v>
      </c>
      <c r="V96" s="527"/>
      <c r="W96" s="338"/>
      <c r="X96" s="527"/>
      <c r="Y96" s="527"/>
      <c r="Z96" s="527"/>
      <c r="AA96" s="527"/>
      <c r="AB96" s="527"/>
      <c r="AC96" s="527"/>
      <c r="AD96" s="527"/>
      <c r="AE96" s="527"/>
      <c r="AF96" s="527"/>
      <c r="AG96" s="527"/>
      <c r="AH96" s="527"/>
      <c r="AI96" s="527"/>
      <c r="AJ96" s="527"/>
      <c r="AK96" s="527"/>
      <c r="AL96" s="527"/>
      <c r="AM96" s="527"/>
      <c r="AN96" s="527"/>
      <c r="AO96" s="527"/>
      <c r="AP96" s="527"/>
      <c r="AQ96" s="527"/>
      <c r="AR96" s="164"/>
      <c r="AS96" s="164"/>
      <c r="AT96" s="164"/>
      <c r="AU96" s="164"/>
      <c r="AV96" s="338" t="str">
        <f t="shared" ca="1" si="12"/>
        <v>NO_CUMPLE</v>
      </c>
      <c r="AW96" s="338" t="str">
        <f ca="1">IFERROR(__xludf.DUMMYFUNCTION("IFERROR(VLOOKUP(E226&amp;F226,IMPORTRANGE(""https://docs.google.com/spreadsheets/d/1Uw7-A9f9R21vMXxHZFNpYNeKFtG8_yji4HS352LGlSQ/edit?pli=1#gid=0"",""1_ACUM!A4:S""),11,FALSE))"),"EN FORMACION")</f>
        <v>EN FORMACION</v>
      </c>
      <c r="AX96" s="462" t="str">
        <f ca="1">IFERROR(__xludf.DUMMYFUNCTION("IFERROR(VLOOKUP(F226,IMPORTRANGE(""https://docs.google.com/spreadsheets/d/1Kvs4KS76FHFqLFIZfrDMff4kP08nblUkihrxltoGBjg/edit#gid=934712705"",""ESENCIAL!A6:BG""),15,FALSE))"),"TIC")</f>
        <v>TIC</v>
      </c>
      <c r="AY96" s="461">
        <f ca="1">IFERROR(__xludf.DUMMYFUNCTION("IFERROR(VLOOKUP(E226&amp;F226,IMPORTRANGE(""https://docs.google.com/spreadsheets/d/1Uw7-A9f9R21vMXxHZFNpYNeKFtG8_yji4HS352LGlSQ/edit?pli=1#gid=0"",""1_ACUM!A4:S""),13,FALSE))"),0)</f>
        <v>0</v>
      </c>
      <c r="AZ96" s="460">
        <f ca="1">IFERROR(__xludf.DUMMYFUNCTION("IFERROR(VLOOKUP(E226&amp;F226,IMPORTRANGE(""https://docs.google.com/spreadsheets/d/1Uw7-A9f9R21vMXxHZFNpYNeKFtG8_yji4HS352LGlSQ/edit?pli=1#gid=0"",""1_ACUM!A4:S""),13,FALSE))"),0)</f>
        <v>0</v>
      </c>
      <c r="BA96" s="460">
        <f ca="1">IFERROR(__xludf.DUMMYFUNCTION("IFERROR(VLOOKUP(E226&amp;F226,IMPORTRANGE(""https://docs.google.com/spreadsheets/d/1Uw7-A9f9R21vMXxHZFNpYNeKFtG8_yji4HS352LGlSQ/edit?pli=1#gid=0"",""1_ACUM!A4:S""),14,FALSE))"),1)</f>
        <v>1</v>
      </c>
      <c r="BB96" s="460">
        <f ca="1">IFERROR(__xludf.DUMMYFUNCTION("IFERROR(VLOOKUP(E226&amp;F226,IMPORTRANGE(""https://docs.google.com/spreadsheets/d/1Uw7-A9f9R21vMXxHZFNpYNeKFtG8_yji4HS352LGlSQ/edit?pli=1#gid=0"",""1_ACUM!A4:S""),15,FALSE))"),7)</f>
        <v>7</v>
      </c>
      <c r="BC96" s="460">
        <f ca="1">IFERROR(__xludf.DUMMYFUNCTION("IFERROR(VLOOKUP(E226&amp;F226,IMPORTRANGE(""https://docs.google.com/spreadsheets/d/1Uw7-A9f9R21vMXxHZFNpYNeKFtG8_yji4HS352LGlSQ/edit?pli=1#gid=0"",""1_ACUM!A4:S""),16,FALSE))"),5)</f>
        <v>5</v>
      </c>
      <c r="BD96" s="460">
        <f ca="1">IFERROR(__xludf.DUMMYFUNCTION("IFERROR(VLOOKUP(E226&amp;F226,IMPORTRANGE(""https://docs.google.com/spreadsheets/d/1Uw7-A9f9R21vMXxHZFNpYNeKFtG8_yji4HS352LGlSQ/edit?pli=1#gid=0"",""1_ACUM!A4:S""),17,FALSE))"),13)</f>
        <v>13</v>
      </c>
      <c r="BE96" s="461">
        <f ca="1">IFERROR(__xludf.DUMMYFUNCTION("IFERROR(VLOOKUP(E226&amp;F226,IMPORTRANGE(""https://docs.google.com/spreadsheets/d/1Uw7-A9f9R21vMXxHZFNpYNeKFtG8_yji4HS352LGlSQ/edit?pli=1#gid=0"",""1_ACUM!A4:S""),18,FALSE))"),44301)</f>
        <v>44301</v>
      </c>
      <c r="BF96" s="461">
        <f ca="1">IFERROR(__xludf.DUMMYFUNCTION("IFERROR(VLOOKUP(E226&amp;F226,IMPORTRANGE(""https://docs.google.com/spreadsheets/d/1Uw7-A9f9R21vMXxHZFNpYNeKFtG8_yji4HS352LGlSQ/edit?pli=1#gid=0"",""1_ACUM!A4:S""),19,FALSE))"),44848)</f>
        <v>44848</v>
      </c>
      <c r="BG96" s="462">
        <f ca="1">IFERROR(__xludf.DUMMYFUNCTION("IFERROR(VLOOKUP(F226,IMPORTRANGE(""https://docs.google.com/spreadsheets/d/1Kvs4KS76FHFqLFIZfrDMff4kP08nblUkihrxltoGBjg/edit#gid=934712705"",""ESENCIAL!A6:BG""),5,FALSE))"),45030)</f>
        <v>45030</v>
      </c>
      <c r="BH96" s="462">
        <f t="shared" ca="1" si="13"/>
        <v>45579</v>
      </c>
      <c r="BI96" s="338" t="str">
        <f t="shared" ca="1" si="14"/>
        <v>FICHA EN TIEMPO-18 MESES</v>
      </c>
      <c r="BJ96" s="338" t="str">
        <f ca="1">IFERROR(__xludf.DUMMYFUNCTION("IFERROR(VLOOKUP(F226,IMPORTRANGE(""https://docs.google.com/spreadsheets/d/1Kvs4KS76FHFqLFIZfrDMff4kP08nblUkihrxltoGBjg/edit#gid=934712705"",""ESENCIAL!A6:BG""),2,FALSE))"),"En ejecucion")</f>
        <v>En ejecucion</v>
      </c>
      <c r="BK96" s="338" t="str">
        <f t="shared" si="15"/>
        <v>Yamboro</v>
      </c>
      <c r="BL96" s="260"/>
      <c r="BM96" s="260"/>
    </row>
    <row r="97" spans="1:65" ht="24">
      <c r="A97" s="164"/>
      <c r="B97" s="562"/>
      <c r="C97" s="534" t="s">
        <v>25</v>
      </c>
      <c r="D97" s="564" t="s">
        <v>900</v>
      </c>
      <c r="E97" s="217" t="s">
        <v>27</v>
      </c>
      <c r="F97" s="149">
        <v>1007745216</v>
      </c>
      <c r="G97" s="208">
        <v>2280204</v>
      </c>
      <c r="H97" s="338" t="str">
        <f ca="1">IFERROR(__xludf.DUMMYFUNCTION("IFERROR(VLOOKUP(F227,IMPORTRANGE(""https://docs.google.com/spreadsheets/d/1Kvs4KS76FHFqLFIZfrDMff4kP08nblUkihrxltoGBjg/edit#gid=934712705"",""ESENCIAL!A6:BG""),3,FALSE))"),"TECNÓLOGO")</f>
        <v>TECNÓLOGO</v>
      </c>
      <c r="I97" s="338" t="str">
        <f ca="1">IFERROR(__xludf.DUMMYFUNCTION("IFERROR(VLOOKUP(F227,IMPORTRANGE(""https://docs.google.com/spreadsheets/d/1Kvs4KS76FHFqLFIZfrDMff4kP08nblUkihrxltoGBjg/edit#gid=934712705"",""ESENCIAL!A6:BG""),8,FALSE))"),"ANALISIS Y DESARROLLO DE SISTEMAS DE INFORMACION")</f>
        <v>ANALISIS Y DESARROLLO DE SISTEMAS DE INFORMACION</v>
      </c>
      <c r="J97" s="585">
        <v>3133007933</v>
      </c>
      <c r="K97" s="571" t="s">
        <v>901</v>
      </c>
      <c r="L97" s="208" t="s">
        <v>421</v>
      </c>
      <c r="M97" s="570" t="s">
        <v>44</v>
      </c>
      <c r="N97" s="527"/>
      <c r="O97" s="527"/>
      <c r="P97" s="527"/>
      <c r="Q97" s="527"/>
      <c r="R97" s="527"/>
      <c r="S97" s="525"/>
      <c r="T97" s="530"/>
      <c r="U97" s="527"/>
      <c r="V97" s="527"/>
      <c r="W97" s="338"/>
      <c r="X97" s="527"/>
      <c r="Y97" s="527"/>
      <c r="Z97" s="527"/>
      <c r="AA97" s="527"/>
      <c r="AB97" s="527"/>
      <c r="AC97" s="527"/>
      <c r="AD97" s="527"/>
      <c r="AE97" s="527"/>
      <c r="AF97" s="527"/>
      <c r="AG97" s="527"/>
      <c r="AH97" s="527"/>
      <c r="AI97" s="527"/>
      <c r="AJ97" s="527"/>
      <c r="AK97" s="527"/>
      <c r="AL97" s="527"/>
      <c r="AM97" s="527"/>
      <c r="AN97" s="527"/>
      <c r="AO97" s="527"/>
      <c r="AP97" s="527"/>
      <c r="AQ97" s="527"/>
      <c r="AR97" s="164"/>
      <c r="AS97" s="164"/>
      <c r="AT97" s="164"/>
      <c r="AU97" s="164"/>
      <c r="AV97" s="338" t="str">
        <f t="shared" ca="1" si="12"/>
        <v>NO_CUMPLE</v>
      </c>
      <c r="AW97" s="338" t="str">
        <f ca="1">IFERROR(__xludf.DUMMYFUNCTION("IFERROR(VLOOKUP(E227&amp;F227,IMPORTRANGE(""https://docs.google.com/spreadsheets/d/1Uw7-A9f9R21vMXxHZFNpYNeKFtG8_yji4HS352LGlSQ/edit?pli=1#gid=0"",""1_ACUM!A4:S""),11,FALSE))"),"EN FORMACION")</f>
        <v>EN FORMACION</v>
      </c>
      <c r="AX97" s="462" t="str">
        <f ca="1">IFERROR(__xludf.DUMMYFUNCTION("IFERROR(VLOOKUP(F227,IMPORTRANGE(""https://docs.google.com/spreadsheets/d/1Kvs4KS76FHFqLFIZfrDMff4kP08nblUkihrxltoGBjg/edit#gid=934712705"",""ESENCIAL!A6:BG""),15,FALSE))"),"TIC")</f>
        <v>TIC</v>
      </c>
      <c r="AY97" s="461">
        <f ca="1">IFERROR(__xludf.DUMMYFUNCTION("IFERROR(VLOOKUP(E227&amp;F227,IMPORTRANGE(""https://docs.google.com/spreadsheets/d/1Uw7-A9f9R21vMXxHZFNpYNeKFtG8_yji4HS352LGlSQ/edit?pli=1#gid=0"",""1_ACUM!A4:S""),13,FALSE))"),0)</f>
        <v>0</v>
      </c>
      <c r="AZ97" s="460">
        <f ca="1">IFERROR(__xludf.DUMMYFUNCTION("IFERROR(VLOOKUP(E227&amp;F227,IMPORTRANGE(""https://docs.google.com/spreadsheets/d/1Uw7-A9f9R21vMXxHZFNpYNeKFtG8_yji4HS352LGlSQ/edit?pli=1#gid=0"",""1_ACUM!A4:S""),13,FALSE))"),0)</f>
        <v>0</v>
      </c>
      <c r="BA97" s="460">
        <f ca="1">IFERROR(__xludf.DUMMYFUNCTION("IFERROR(VLOOKUP(E227&amp;F227,IMPORTRANGE(""https://docs.google.com/spreadsheets/d/1Uw7-A9f9R21vMXxHZFNpYNeKFtG8_yji4HS352LGlSQ/edit?pli=1#gid=0"",""1_ACUM!A4:S""),14,FALSE))"),1)</f>
        <v>1</v>
      </c>
      <c r="BB97" s="460">
        <f ca="1">IFERROR(__xludf.DUMMYFUNCTION("IFERROR(VLOOKUP(E227&amp;F227,IMPORTRANGE(""https://docs.google.com/spreadsheets/d/1Uw7-A9f9R21vMXxHZFNpYNeKFtG8_yji4HS352LGlSQ/edit?pli=1#gid=0"",""1_ACUM!A4:S""),15,FALSE))"),9)</f>
        <v>9</v>
      </c>
      <c r="BC97" s="460">
        <f ca="1">IFERROR(__xludf.DUMMYFUNCTION("IFERROR(VLOOKUP(E227&amp;F227,IMPORTRANGE(""https://docs.google.com/spreadsheets/d/1Uw7-A9f9R21vMXxHZFNpYNeKFtG8_yji4HS352LGlSQ/edit?pli=1#gid=0"",""1_ACUM!A4:S""),16,FALSE))"),5)</f>
        <v>5</v>
      </c>
      <c r="BD97" s="460">
        <f ca="1">IFERROR(__xludf.DUMMYFUNCTION("IFERROR(VLOOKUP(E227&amp;F227,IMPORTRANGE(""https://docs.google.com/spreadsheets/d/1Uw7-A9f9R21vMXxHZFNpYNeKFtG8_yji4HS352LGlSQ/edit?pli=1#gid=0"",""1_ACUM!A4:S""),17,FALSE))"),15)</f>
        <v>15</v>
      </c>
      <c r="BE97" s="461">
        <f ca="1">IFERROR(__xludf.DUMMYFUNCTION("IFERROR(VLOOKUP(E227&amp;F227,IMPORTRANGE(""https://docs.google.com/spreadsheets/d/1Uw7-A9f9R21vMXxHZFNpYNeKFtG8_yji4HS352LGlSQ/edit?pli=1#gid=0"",""1_ACUM!A4:S""),18,FALSE))"),44301)</f>
        <v>44301</v>
      </c>
      <c r="BF97" s="461">
        <f ca="1">IFERROR(__xludf.DUMMYFUNCTION("IFERROR(VLOOKUP(E227&amp;F227,IMPORTRANGE(""https://docs.google.com/spreadsheets/d/1Uw7-A9f9R21vMXxHZFNpYNeKFtG8_yji4HS352LGlSQ/edit?pli=1#gid=0"",""1_ACUM!A4:S""),19,FALSE))"),44848)</f>
        <v>44848</v>
      </c>
      <c r="BG97" s="462">
        <f ca="1">IFERROR(__xludf.DUMMYFUNCTION("IFERROR(VLOOKUP(F227,IMPORTRANGE(""https://docs.google.com/spreadsheets/d/1Kvs4KS76FHFqLFIZfrDMff4kP08nblUkihrxltoGBjg/edit#gid=934712705"",""ESENCIAL!A6:BG""),5,FALSE))"),45030)</f>
        <v>45030</v>
      </c>
      <c r="BH97" s="462">
        <f t="shared" ca="1" si="13"/>
        <v>45579</v>
      </c>
      <c r="BI97" s="338" t="str">
        <f t="shared" ca="1" si="14"/>
        <v>FICHA EN TIEMPO-18 MESES</v>
      </c>
      <c r="BJ97" s="338" t="str">
        <f ca="1">IFERROR(__xludf.DUMMYFUNCTION("IFERROR(VLOOKUP(F227,IMPORTRANGE(""https://docs.google.com/spreadsheets/d/1Kvs4KS76FHFqLFIZfrDMff4kP08nblUkihrxltoGBjg/edit#gid=934712705"",""ESENCIAL!A6:BG""),2,FALSE))"),"En ejecucion")</f>
        <v>En ejecucion</v>
      </c>
      <c r="BK97" s="338" t="str">
        <f t="shared" si="15"/>
        <v>Yamboro</v>
      </c>
      <c r="BL97" s="38"/>
      <c r="BM97" s="38"/>
    </row>
    <row r="98" spans="1:65" ht="24">
      <c r="A98" s="578" t="s">
        <v>833</v>
      </c>
      <c r="B98" s="562"/>
      <c r="C98" s="534" t="s">
        <v>25</v>
      </c>
      <c r="D98" s="564" t="s">
        <v>902</v>
      </c>
      <c r="E98" s="217" t="s">
        <v>27</v>
      </c>
      <c r="F98" s="149">
        <v>1061821721</v>
      </c>
      <c r="G98" s="208">
        <v>2280204</v>
      </c>
      <c r="H98" s="338" t="str">
        <f ca="1">IFERROR(__xludf.DUMMYFUNCTION("IFERROR(VLOOKUP(F229,IMPORTRANGE(""https://docs.google.com/spreadsheets/d/1Kvs4KS76FHFqLFIZfrDMff4kP08nblUkihrxltoGBjg/edit#gid=934712705"",""ESENCIAL!A6:BG""),3,FALSE))"),"TECNÓLOGO")</f>
        <v>TECNÓLOGO</v>
      </c>
      <c r="I98" s="338" t="str">
        <f ca="1">IFERROR(__xludf.DUMMYFUNCTION("IFERROR(VLOOKUP(F229,IMPORTRANGE(""https://docs.google.com/spreadsheets/d/1Kvs4KS76FHFqLFIZfrDMff4kP08nblUkihrxltoGBjg/edit#gid=934712705"",""ESENCIAL!A6:BG""),8,FALSE))"),"ANALISIS Y DESARROLLO DE SISTEMAS DE INFORMACION")</f>
        <v>ANALISIS Y DESARROLLO DE SISTEMAS DE INFORMACION</v>
      </c>
      <c r="J98" s="208">
        <v>3102511449</v>
      </c>
      <c r="K98" s="571" t="s">
        <v>903</v>
      </c>
      <c r="L98" s="208" t="s">
        <v>421</v>
      </c>
      <c r="M98" s="208" t="s">
        <v>250</v>
      </c>
      <c r="N98" s="527" t="s">
        <v>904</v>
      </c>
      <c r="O98" s="527" t="s">
        <v>905</v>
      </c>
      <c r="P98" s="527">
        <v>3155614032</v>
      </c>
      <c r="Q98" s="527" t="s">
        <v>81</v>
      </c>
      <c r="R98" s="527" t="s">
        <v>906</v>
      </c>
      <c r="S98" s="525">
        <v>44850</v>
      </c>
      <c r="T98" s="530">
        <v>45030</v>
      </c>
      <c r="U98" s="527"/>
      <c r="V98" s="527" t="s">
        <v>444</v>
      </c>
      <c r="W98" s="338"/>
      <c r="X98" s="527"/>
      <c r="Y98" s="527"/>
      <c r="Z98" s="527"/>
      <c r="AA98" s="527"/>
      <c r="AB98" s="527"/>
      <c r="AC98" s="527"/>
      <c r="AD98" s="527"/>
      <c r="AE98" s="527"/>
      <c r="AF98" s="527"/>
      <c r="AG98" s="527"/>
      <c r="AH98" s="527"/>
      <c r="AI98" s="527"/>
      <c r="AJ98" s="527"/>
      <c r="AK98" s="527"/>
      <c r="AL98" s="527"/>
      <c r="AM98" s="527"/>
      <c r="AN98" s="527"/>
      <c r="AO98" s="527"/>
      <c r="AP98" s="527"/>
      <c r="AQ98" s="527"/>
      <c r="AR98" s="164"/>
      <c r="AS98" s="164"/>
      <c r="AT98" s="164"/>
      <c r="AU98" s="164" t="s">
        <v>907</v>
      </c>
      <c r="AV98" s="338" t="str">
        <f t="shared" ca="1" si="12"/>
        <v>NO_CUMPLE</v>
      </c>
      <c r="AW98" s="338" t="str">
        <f ca="1">IFERROR(__xludf.DUMMYFUNCTION("IFERROR(VLOOKUP(E229&amp;F229,IMPORTRANGE(""https://docs.google.com/spreadsheets/d/1Uw7-A9f9R21vMXxHZFNpYNeKFtG8_yji4HS352LGlSQ/edit?pli=1#gid=0"",""1_ACUM!A4:S""),11,FALSE))"),"EN FORMACION")</f>
        <v>EN FORMACION</v>
      </c>
      <c r="AX98" s="462" t="str">
        <f ca="1">IFERROR(__xludf.DUMMYFUNCTION("IFERROR(VLOOKUP(F229,IMPORTRANGE(""https://docs.google.com/spreadsheets/d/1Kvs4KS76FHFqLFIZfrDMff4kP08nblUkihrxltoGBjg/edit#gid=934712705"",""ESENCIAL!A6:BG""),15,FALSE))"),"TIC")</f>
        <v>TIC</v>
      </c>
      <c r="AY98" s="461">
        <f ca="1">IFERROR(__xludf.DUMMYFUNCTION("IFERROR(VLOOKUP(E229&amp;F229,IMPORTRANGE(""https://docs.google.com/spreadsheets/d/1Uw7-A9f9R21vMXxHZFNpYNeKFtG8_yji4HS352LGlSQ/edit?pli=1#gid=0"",""1_ACUM!A4:S""),13,FALSE))"),0)</f>
        <v>0</v>
      </c>
      <c r="AZ98" s="460">
        <f ca="1">IFERROR(__xludf.DUMMYFUNCTION("IFERROR(VLOOKUP(E229&amp;F229,IMPORTRANGE(""https://docs.google.com/spreadsheets/d/1Uw7-A9f9R21vMXxHZFNpYNeKFtG8_yji4HS352LGlSQ/edit?pli=1#gid=0"",""1_ACUM!A4:S""),13,FALSE))"),0)</f>
        <v>0</v>
      </c>
      <c r="BA98" s="460">
        <f ca="1">IFERROR(__xludf.DUMMYFUNCTION("IFERROR(VLOOKUP(E229&amp;F229,IMPORTRANGE(""https://docs.google.com/spreadsheets/d/1Uw7-A9f9R21vMXxHZFNpYNeKFtG8_yji4HS352LGlSQ/edit?pli=1#gid=0"",""1_ACUM!A4:S""),14,FALSE))"),1)</f>
        <v>1</v>
      </c>
      <c r="BB98" s="460">
        <f ca="1">IFERROR(__xludf.DUMMYFUNCTION("IFERROR(VLOOKUP(E229&amp;F229,IMPORTRANGE(""https://docs.google.com/spreadsheets/d/1Uw7-A9f9R21vMXxHZFNpYNeKFtG8_yji4HS352LGlSQ/edit?pli=1#gid=0"",""1_ACUM!A4:S""),15,FALSE))"),15)</f>
        <v>15</v>
      </c>
      <c r="BC98" s="460">
        <f ca="1">IFERROR(__xludf.DUMMYFUNCTION("IFERROR(VLOOKUP(E229&amp;F229,IMPORTRANGE(""https://docs.google.com/spreadsheets/d/1Uw7-A9f9R21vMXxHZFNpYNeKFtG8_yji4HS352LGlSQ/edit?pli=1#gid=0"",""1_ACUM!A4:S""),16,FALSE))"),5)</f>
        <v>5</v>
      </c>
      <c r="BD98" s="460">
        <f ca="1">IFERROR(__xludf.DUMMYFUNCTION("IFERROR(VLOOKUP(E229&amp;F229,IMPORTRANGE(""https://docs.google.com/spreadsheets/d/1Uw7-A9f9R21vMXxHZFNpYNeKFtG8_yji4HS352LGlSQ/edit?pli=1#gid=0"",""1_ACUM!A4:S""),17,FALSE))"),21)</f>
        <v>21</v>
      </c>
      <c r="BE98" s="461">
        <f ca="1">IFERROR(__xludf.DUMMYFUNCTION("IFERROR(VLOOKUP(E229&amp;F229,IMPORTRANGE(""https://docs.google.com/spreadsheets/d/1Uw7-A9f9R21vMXxHZFNpYNeKFtG8_yji4HS352LGlSQ/edit?pli=1#gid=0"",""1_ACUM!A4:S""),18,FALSE))"),44301)</f>
        <v>44301</v>
      </c>
      <c r="BF98" s="461">
        <f ca="1">IFERROR(__xludf.DUMMYFUNCTION("IFERROR(VLOOKUP(E229&amp;F229,IMPORTRANGE(""https://docs.google.com/spreadsheets/d/1Uw7-A9f9R21vMXxHZFNpYNeKFtG8_yji4HS352LGlSQ/edit?pli=1#gid=0"",""1_ACUM!A4:S""),19,FALSE))"),44848)</f>
        <v>44848</v>
      </c>
      <c r="BG98" s="462">
        <f ca="1">IFERROR(__xludf.DUMMYFUNCTION("IFERROR(VLOOKUP(F229,IMPORTRANGE(""https://docs.google.com/spreadsheets/d/1Kvs4KS76FHFqLFIZfrDMff4kP08nblUkihrxltoGBjg/edit#gid=934712705"",""ESENCIAL!A6:BG""),5,FALSE))"),45030)</f>
        <v>45030</v>
      </c>
      <c r="BH98" s="462">
        <f t="shared" ca="1" si="13"/>
        <v>45579</v>
      </c>
      <c r="BI98" s="338" t="str">
        <f t="shared" ca="1" si="14"/>
        <v>FICHA EN TIEMPO-18 MESES</v>
      </c>
      <c r="BJ98" s="338" t="str">
        <f ca="1">IFERROR(__xludf.DUMMYFUNCTION("IFERROR(VLOOKUP(F229,IMPORTRANGE(""https://docs.google.com/spreadsheets/d/1Kvs4KS76FHFqLFIZfrDMff4kP08nblUkihrxltoGBjg/edit#gid=934712705"",""ESENCIAL!A6:BG""),2,FALSE))"),"En ejecucion")</f>
        <v>En ejecucion</v>
      </c>
      <c r="BK98" s="338" t="str">
        <f t="shared" si="15"/>
        <v>Yamboro</v>
      </c>
      <c r="BL98" s="38"/>
      <c r="BM98" s="38"/>
    </row>
    <row r="99" spans="1:65" ht="24">
      <c r="A99" s="578" t="s">
        <v>833</v>
      </c>
      <c r="B99" s="562"/>
      <c r="C99" s="534" t="s">
        <v>25</v>
      </c>
      <c r="D99" s="564" t="s">
        <v>908</v>
      </c>
      <c r="E99" s="217" t="s">
        <v>27</v>
      </c>
      <c r="F99" s="149">
        <v>1075317893</v>
      </c>
      <c r="G99" s="208">
        <v>2280204</v>
      </c>
      <c r="H99" s="338" t="str">
        <f ca="1">IFERROR(__xludf.DUMMYFUNCTION("IFERROR(VLOOKUP(F230,IMPORTRANGE(""https://docs.google.com/spreadsheets/d/1Kvs4KS76FHFqLFIZfrDMff4kP08nblUkihrxltoGBjg/edit#gid=934712705"",""ESENCIAL!A6:BG""),3,FALSE))"),"TECNÓLOGO")</f>
        <v>TECNÓLOGO</v>
      </c>
      <c r="I99" s="338" t="str">
        <f ca="1">IFERROR(__xludf.DUMMYFUNCTION("IFERROR(VLOOKUP(F230,IMPORTRANGE(""https://docs.google.com/spreadsheets/d/1Kvs4KS76FHFqLFIZfrDMff4kP08nblUkihrxltoGBjg/edit#gid=934712705"",""ESENCIAL!A6:BG""),8,FALSE))"),"ANALISIS Y DESARROLLO DE SISTEMAS DE INFORMACION")</f>
        <v>ANALISIS Y DESARROLLO DE SISTEMAS DE INFORMACION</v>
      </c>
      <c r="J99" s="585">
        <v>3203460642</v>
      </c>
      <c r="K99" s="571" t="s">
        <v>909</v>
      </c>
      <c r="L99" s="585" t="s">
        <v>421</v>
      </c>
      <c r="M99" s="208" t="s">
        <v>250</v>
      </c>
      <c r="N99" s="527" t="s">
        <v>904</v>
      </c>
      <c r="O99" s="527" t="s">
        <v>910</v>
      </c>
      <c r="P99" s="527">
        <v>8724100</v>
      </c>
      <c r="Q99" s="527" t="s">
        <v>81</v>
      </c>
      <c r="R99" s="527" t="s">
        <v>906</v>
      </c>
      <c r="S99" s="525">
        <v>44850</v>
      </c>
      <c r="T99" s="530">
        <v>45030</v>
      </c>
      <c r="U99" s="527"/>
      <c r="V99" s="338" t="s">
        <v>649</v>
      </c>
      <c r="W99" s="338"/>
      <c r="X99" s="527"/>
      <c r="Y99" s="527"/>
      <c r="Z99" s="527"/>
      <c r="AA99" s="527"/>
      <c r="AB99" s="527"/>
      <c r="AC99" s="527"/>
      <c r="AD99" s="527"/>
      <c r="AE99" s="527"/>
      <c r="AF99" s="527"/>
      <c r="AG99" s="527"/>
      <c r="AH99" s="527"/>
      <c r="AI99" s="527"/>
      <c r="AJ99" s="527"/>
      <c r="AK99" s="527"/>
      <c r="AL99" s="527"/>
      <c r="AM99" s="527"/>
      <c r="AN99" s="527"/>
      <c r="AO99" s="527"/>
      <c r="AP99" s="527"/>
      <c r="AQ99" s="527"/>
      <c r="AR99" s="164"/>
      <c r="AS99" s="164"/>
      <c r="AT99" s="164"/>
      <c r="AU99" s="164" t="s">
        <v>907</v>
      </c>
      <c r="AV99" s="338" t="str">
        <f t="shared" ca="1" si="12"/>
        <v>NO_CUMPLE</v>
      </c>
      <c r="AW99" s="338" t="str">
        <f ca="1">IFERROR(__xludf.DUMMYFUNCTION("IFERROR(VLOOKUP(E230&amp;F230,IMPORTRANGE(""https://docs.google.com/spreadsheets/d/1Uw7-A9f9R21vMXxHZFNpYNeKFtG8_yji4HS352LGlSQ/edit?pli=1#gid=0"",""1_ACUM!A4:S""),11,FALSE))"),"EN FORMACION")</f>
        <v>EN FORMACION</v>
      </c>
      <c r="AX99" s="462" t="str">
        <f ca="1">IFERROR(__xludf.DUMMYFUNCTION("IFERROR(VLOOKUP(F230,IMPORTRANGE(""https://docs.google.com/spreadsheets/d/1Kvs4KS76FHFqLFIZfrDMff4kP08nblUkihrxltoGBjg/edit#gid=934712705"",""ESENCIAL!A6:BG""),15,FALSE))"),"TIC")</f>
        <v>TIC</v>
      </c>
      <c r="AY99" s="461">
        <f ca="1">IFERROR(__xludf.DUMMYFUNCTION("IFERROR(VLOOKUP(E230&amp;F230,IMPORTRANGE(""https://docs.google.com/spreadsheets/d/1Uw7-A9f9R21vMXxHZFNpYNeKFtG8_yji4HS352LGlSQ/edit?pli=1#gid=0"",""1_ACUM!A4:S""),13,FALSE))"),3)</f>
        <v>3</v>
      </c>
      <c r="AZ99" s="460">
        <f ca="1">IFERROR(__xludf.DUMMYFUNCTION("IFERROR(VLOOKUP(E230&amp;F230,IMPORTRANGE(""https://docs.google.com/spreadsheets/d/1Uw7-A9f9R21vMXxHZFNpYNeKFtG8_yji4HS352LGlSQ/edit?pli=1#gid=0"",""1_ACUM!A4:S""),13,FALSE))"),3)</f>
        <v>3</v>
      </c>
      <c r="BA99" s="460">
        <f ca="1">IFERROR(__xludf.DUMMYFUNCTION("IFERROR(VLOOKUP(E230&amp;F230,IMPORTRANGE(""https://docs.google.com/spreadsheets/d/1Uw7-A9f9R21vMXxHZFNpYNeKFtG8_yji4HS352LGlSQ/edit?pli=1#gid=0"",""1_ACUM!A4:S""),14,FALSE))"),1)</f>
        <v>1</v>
      </c>
      <c r="BB99" s="460">
        <f ca="1">IFERROR(__xludf.DUMMYFUNCTION("IFERROR(VLOOKUP(E230&amp;F230,IMPORTRANGE(""https://docs.google.com/spreadsheets/d/1Uw7-A9f9R21vMXxHZFNpYNeKFtG8_yji4HS352LGlSQ/edit?pli=1#gid=0"",""1_ACUM!A4:S""),15,FALSE))"),9)</f>
        <v>9</v>
      </c>
      <c r="BC99" s="460">
        <f ca="1">IFERROR(__xludf.DUMMYFUNCTION("IFERROR(VLOOKUP(E230&amp;F230,IMPORTRANGE(""https://docs.google.com/spreadsheets/d/1Uw7-A9f9R21vMXxHZFNpYNeKFtG8_yji4HS352LGlSQ/edit?pli=1#gid=0"",""1_ACUM!A4:S""),16,FALSE))"),5)</f>
        <v>5</v>
      </c>
      <c r="BD99" s="460">
        <f ca="1">IFERROR(__xludf.DUMMYFUNCTION("IFERROR(VLOOKUP(E230&amp;F230,IMPORTRANGE(""https://docs.google.com/spreadsheets/d/1Uw7-A9f9R21vMXxHZFNpYNeKFtG8_yji4HS352LGlSQ/edit?pli=1#gid=0"",""1_ACUM!A4:S""),17,FALSE))"),18)</f>
        <v>18</v>
      </c>
      <c r="BE99" s="461">
        <f ca="1">IFERROR(__xludf.DUMMYFUNCTION("IFERROR(VLOOKUP(E230&amp;F230,IMPORTRANGE(""https://docs.google.com/spreadsheets/d/1Uw7-A9f9R21vMXxHZFNpYNeKFtG8_yji4HS352LGlSQ/edit?pli=1#gid=0"",""1_ACUM!A4:S""),18,FALSE))"),44301)</f>
        <v>44301</v>
      </c>
      <c r="BF99" s="461">
        <f ca="1">IFERROR(__xludf.DUMMYFUNCTION("IFERROR(VLOOKUP(E230&amp;F230,IMPORTRANGE(""https://docs.google.com/spreadsheets/d/1Uw7-A9f9R21vMXxHZFNpYNeKFtG8_yji4HS352LGlSQ/edit?pli=1#gid=0"",""1_ACUM!A4:S""),19,FALSE))"),44848)</f>
        <v>44848</v>
      </c>
      <c r="BG99" s="462">
        <f ca="1">IFERROR(__xludf.DUMMYFUNCTION("IFERROR(VLOOKUP(F230,IMPORTRANGE(""https://docs.google.com/spreadsheets/d/1Kvs4KS76FHFqLFIZfrDMff4kP08nblUkihrxltoGBjg/edit#gid=934712705"",""ESENCIAL!A6:BG""),5,FALSE))"),45030)</f>
        <v>45030</v>
      </c>
      <c r="BH99" s="462">
        <f t="shared" ca="1" si="13"/>
        <v>45579</v>
      </c>
      <c r="BI99" s="338" t="str">
        <f t="shared" ca="1" si="14"/>
        <v>FICHA EN TIEMPO-18 MESES</v>
      </c>
      <c r="BJ99" s="338" t="str">
        <f ca="1">IFERROR(__xludf.DUMMYFUNCTION("IFERROR(VLOOKUP(F230,IMPORTRANGE(""https://docs.google.com/spreadsheets/d/1Kvs4KS76FHFqLFIZfrDMff4kP08nblUkihrxltoGBjg/edit#gid=934712705"",""ESENCIAL!A6:BG""),2,FALSE))"),"En ejecucion")</f>
        <v>En ejecucion</v>
      </c>
      <c r="BK99" s="338" t="str">
        <f t="shared" si="15"/>
        <v>Yamboro</v>
      </c>
      <c r="BL99" s="38"/>
      <c r="BM99" s="38"/>
    </row>
    <row r="100" spans="1:65" ht="24">
      <c r="A100" s="578" t="s">
        <v>833</v>
      </c>
      <c r="B100" s="562"/>
      <c r="C100" s="534" t="s">
        <v>25</v>
      </c>
      <c r="D100" s="564" t="s">
        <v>911</v>
      </c>
      <c r="E100" s="217" t="s">
        <v>27</v>
      </c>
      <c r="F100" s="149">
        <v>1193045173</v>
      </c>
      <c r="G100" s="208">
        <v>2280204</v>
      </c>
      <c r="H100" s="338" t="str">
        <f ca="1">IFERROR(__xludf.DUMMYFUNCTION("IFERROR(VLOOKUP(F232,IMPORTRANGE(""https://docs.google.com/spreadsheets/d/1Kvs4KS76FHFqLFIZfrDMff4kP08nblUkihrxltoGBjg/edit#gid=934712705"",""ESENCIAL!A6:BG""),3,FALSE))"),"TECNÓLOGO")</f>
        <v>TECNÓLOGO</v>
      </c>
      <c r="I100" s="338" t="str">
        <f ca="1">IFERROR(__xludf.DUMMYFUNCTION("IFERROR(VLOOKUP(F232,IMPORTRANGE(""https://docs.google.com/spreadsheets/d/1Kvs4KS76FHFqLFIZfrDMff4kP08nblUkihrxltoGBjg/edit#gid=934712705"",""ESENCIAL!A6:BG""),8,FALSE))"),"ANALISIS Y DESARROLLO DE SISTEMAS DE INFORMACION")</f>
        <v>ANALISIS Y DESARROLLO DE SISTEMAS DE INFORMACION</v>
      </c>
      <c r="J100" s="208">
        <v>3133626985</v>
      </c>
      <c r="K100" s="571" t="s">
        <v>912</v>
      </c>
      <c r="L100" s="208" t="s">
        <v>421</v>
      </c>
      <c r="M100" s="570" t="s">
        <v>28</v>
      </c>
      <c r="N100" s="451" t="s">
        <v>913</v>
      </c>
      <c r="O100" s="451" t="s">
        <v>914</v>
      </c>
      <c r="P100" s="451">
        <v>3229641175</v>
      </c>
      <c r="Q100" s="451" t="s">
        <v>84</v>
      </c>
      <c r="R100" s="527"/>
      <c r="S100" s="525">
        <v>45080</v>
      </c>
      <c r="T100" s="530">
        <v>45055</v>
      </c>
      <c r="U100" s="527"/>
      <c r="V100" s="527"/>
      <c r="W100" s="338"/>
      <c r="X100" s="527"/>
      <c r="Y100" s="527"/>
      <c r="Z100" s="527"/>
      <c r="AA100" s="527"/>
      <c r="AB100" s="527"/>
      <c r="AC100" s="527"/>
      <c r="AD100" s="527"/>
      <c r="AE100" s="527"/>
      <c r="AF100" s="527"/>
      <c r="AG100" s="527"/>
      <c r="AH100" s="527"/>
      <c r="AI100" s="527"/>
      <c r="AJ100" s="527"/>
      <c r="AK100" s="527"/>
      <c r="AL100" s="527"/>
      <c r="AM100" s="527"/>
      <c r="AN100" s="527"/>
      <c r="AO100" s="527"/>
      <c r="AP100" s="527"/>
      <c r="AQ100" s="527"/>
      <c r="AR100" s="164"/>
      <c r="AS100" s="164"/>
      <c r="AT100" s="164" t="s">
        <v>915</v>
      </c>
      <c r="AU100" s="164"/>
      <c r="AV100" s="338" t="str">
        <f t="shared" ca="1" si="12"/>
        <v>NO_CUMPLE</v>
      </c>
      <c r="AW100" s="338" t="str">
        <f ca="1">IFERROR(__xludf.DUMMYFUNCTION("IFERROR(VLOOKUP(E232&amp;F232,IMPORTRANGE(""https://docs.google.com/spreadsheets/d/1Uw7-A9f9R21vMXxHZFNpYNeKFtG8_yji4HS352LGlSQ/edit?pli=1#gid=0"",""1_ACUM!A4:S""),11,FALSE))"),"EN FORMACION")</f>
        <v>EN FORMACION</v>
      </c>
      <c r="AX100" s="462" t="str">
        <f ca="1">IFERROR(__xludf.DUMMYFUNCTION("IFERROR(VLOOKUP(F232,IMPORTRANGE(""https://docs.google.com/spreadsheets/d/1Kvs4KS76FHFqLFIZfrDMff4kP08nblUkihrxltoGBjg/edit#gid=934712705"",""ESENCIAL!A6:BG""),15,FALSE))"),"TIC")</f>
        <v>TIC</v>
      </c>
      <c r="AY100" s="461" t="s">
        <v>916</v>
      </c>
      <c r="AZ100" s="460">
        <f ca="1">IFERROR(__xludf.DUMMYFUNCTION("IFERROR(VLOOKUP(E232&amp;F232,IMPORTRANGE(""https://docs.google.com/spreadsheets/d/1Uw7-A9f9R21vMXxHZFNpYNeKFtG8_yji4HS352LGlSQ/edit?pli=1#gid=0"",""1_ACUM!A4:S""),13,FALSE))"),3)</f>
        <v>3</v>
      </c>
      <c r="BA100" s="460">
        <f ca="1">IFERROR(__xludf.DUMMYFUNCTION("IFERROR(VLOOKUP(E232&amp;F232,IMPORTRANGE(""https://docs.google.com/spreadsheets/d/1Uw7-A9f9R21vMXxHZFNpYNeKFtG8_yji4HS352LGlSQ/edit?pli=1#gid=0"",""1_ACUM!A4:S""),14,FALSE))"),1)</f>
        <v>1</v>
      </c>
      <c r="BB100" s="460">
        <f ca="1">IFERROR(__xludf.DUMMYFUNCTION("IFERROR(VLOOKUP(E232&amp;F232,IMPORTRANGE(""https://docs.google.com/spreadsheets/d/1Uw7-A9f9R21vMXxHZFNpYNeKFtG8_yji4HS352LGlSQ/edit?pli=1#gid=0"",""1_ACUM!A4:S""),15,FALSE))"),15)</f>
        <v>15</v>
      </c>
      <c r="BC100" s="460">
        <f ca="1">IFERROR(__xludf.DUMMYFUNCTION("IFERROR(VLOOKUP(E232&amp;F232,IMPORTRANGE(""https://docs.google.com/spreadsheets/d/1Uw7-A9f9R21vMXxHZFNpYNeKFtG8_yji4HS352LGlSQ/edit?pli=1#gid=0"",""1_ACUM!A4:S""),16,FALSE))"),5)</f>
        <v>5</v>
      </c>
      <c r="BD100" s="460">
        <f ca="1">IFERROR(__xludf.DUMMYFUNCTION("IFERROR(VLOOKUP(E232&amp;F232,IMPORTRANGE(""https://docs.google.com/spreadsheets/d/1Uw7-A9f9R21vMXxHZFNpYNeKFtG8_yji4HS352LGlSQ/edit?pli=1#gid=0"",""1_ACUM!A4:S""),17,FALSE))"),24)</f>
        <v>24</v>
      </c>
      <c r="BE100" s="461">
        <f ca="1">IFERROR(__xludf.DUMMYFUNCTION("IFERROR(VLOOKUP(E232&amp;F232,IMPORTRANGE(""https://docs.google.com/spreadsheets/d/1Uw7-A9f9R21vMXxHZFNpYNeKFtG8_yji4HS352LGlSQ/edit?pli=1#gid=0"",""1_ACUM!A4:S""),18,FALSE))"),44301)</f>
        <v>44301</v>
      </c>
      <c r="BF100" s="461">
        <f ca="1">IFERROR(__xludf.DUMMYFUNCTION("IFERROR(VLOOKUP(E232&amp;F232,IMPORTRANGE(""https://docs.google.com/spreadsheets/d/1Uw7-A9f9R21vMXxHZFNpYNeKFtG8_yji4HS352LGlSQ/edit?pli=1#gid=0"",""1_ACUM!A4:S""),19,FALSE))"),44848)</f>
        <v>44848</v>
      </c>
      <c r="BG100" s="462">
        <f ca="1">IFERROR(__xludf.DUMMYFUNCTION("IFERROR(VLOOKUP(F232,IMPORTRANGE(""https://docs.google.com/spreadsheets/d/1Kvs4KS76FHFqLFIZfrDMff4kP08nblUkihrxltoGBjg/edit#gid=934712705"",""ESENCIAL!A6:BG""),5,FALSE))"),45030)</f>
        <v>45030</v>
      </c>
      <c r="BH100" s="462">
        <f t="shared" ca="1" si="13"/>
        <v>45579</v>
      </c>
      <c r="BI100" s="338" t="str">
        <f t="shared" ca="1" si="14"/>
        <v>FICHA EN TIEMPO-18 MESES</v>
      </c>
      <c r="BJ100" s="338" t="str">
        <f ca="1">IFERROR(__xludf.DUMMYFUNCTION("IFERROR(VLOOKUP(F232,IMPORTRANGE(""https://docs.google.com/spreadsheets/d/1Kvs4KS76FHFqLFIZfrDMff4kP08nblUkihrxltoGBjg/edit#gid=934712705"",""ESENCIAL!A6:BG""),2,FALSE))"),"En ejecucion")</f>
        <v>En ejecucion</v>
      </c>
      <c r="BK100" s="338" t="str">
        <f t="shared" si="15"/>
        <v>Yamboro</v>
      </c>
      <c r="BL100" s="38"/>
      <c r="BM100" s="38"/>
    </row>
    <row r="101" spans="1:65" ht="24">
      <c r="A101" s="164"/>
      <c r="B101" s="562"/>
      <c r="C101" s="534" t="s">
        <v>25</v>
      </c>
      <c r="D101" s="564" t="s">
        <v>917</v>
      </c>
      <c r="E101" s="217" t="s">
        <v>27</v>
      </c>
      <c r="F101" s="149">
        <v>1000163749</v>
      </c>
      <c r="G101" s="208">
        <v>2322432</v>
      </c>
      <c r="H101" s="338" t="str">
        <f ca="1">IFERROR(__xludf.DUMMYFUNCTION("IFERROR(VLOOKUP(F233,IMPORTRANGE(""https://docs.google.com/spreadsheets/d/1Kvs4KS76FHFqLFIZfrDMff4kP08nblUkihrxltoGBjg/edit#gid=934712705"",""ESENCIAL!A6:BG""),3,FALSE))"),"TECNÓLOGO")</f>
        <v>TECNÓLOGO</v>
      </c>
      <c r="I101" s="338" t="str">
        <f ca="1">IFERROR(__xludf.DUMMYFUNCTION("IFERROR(VLOOKUP(F233,IMPORTRANGE(""https://docs.google.com/spreadsheets/d/1Kvs4KS76FHFqLFIZfrDMff4kP08nblUkihrxltoGBjg/edit#gid=934712705"",""ESENCIAL!A6:BG""),8,FALSE))"),"PRODUCCION DE MULTIMEDIA")</f>
        <v>PRODUCCION DE MULTIMEDIA</v>
      </c>
      <c r="J101" s="208"/>
      <c r="K101" s="571"/>
      <c r="L101" s="208"/>
      <c r="M101" s="570" t="s">
        <v>44</v>
      </c>
      <c r="N101" s="527"/>
      <c r="O101" s="527"/>
      <c r="P101" s="527"/>
      <c r="Q101" s="527"/>
      <c r="R101" s="527"/>
      <c r="S101" s="525"/>
      <c r="T101" s="530"/>
      <c r="U101" s="527" t="s">
        <v>152</v>
      </c>
      <c r="V101" s="527"/>
      <c r="W101" s="338"/>
      <c r="X101" s="527"/>
      <c r="Y101" s="527"/>
      <c r="Z101" s="527"/>
      <c r="AA101" s="527"/>
      <c r="AB101" s="527"/>
      <c r="AC101" s="527"/>
      <c r="AD101" s="527"/>
      <c r="AE101" s="527"/>
      <c r="AF101" s="527"/>
      <c r="AG101" s="527"/>
      <c r="AH101" s="527"/>
      <c r="AI101" s="527"/>
      <c r="AJ101" s="527"/>
      <c r="AK101" s="527"/>
      <c r="AL101" s="527"/>
      <c r="AM101" s="527"/>
      <c r="AN101" s="527"/>
      <c r="AO101" s="527"/>
      <c r="AP101" s="527"/>
      <c r="AQ101" s="527"/>
      <c r="AR101" s="164"/>
      <c r="AS101" s="164"/>
      <c r="AT101" s="164"/>
      <c r="AU101" s="164"/>
      <c r="AV101" s="338" t="str">
        <f t="shared" ca="1" si="12"/>
        <v>NO_CUMPLE</v>
      </c>
      <c r="AW101" s="338" t="str">
        <f ca="1">IFERROR(__xludf.DUMMYFUNCTION("IFERROR(VLOOKUP(E233&amp;F233,IMPORTRANGE(""https://docs.google.com/spreadsheets/d/1Uw7-A9f9R21vMXxHZFNpYNeKFtG8_yji4HS352LGlSQ/edit?pli=1#gid=0"",""1_ACUM!A4:S""),11,FALSE))"),"EN FORMACION")</f>
        <v>EN FORMACION</v>
      </c>
      <c r="AX101" s="462" t="str">
        <f ca="1">IFERROR(__xludf.DUMMYFUNCTION("IFERROR(VLOOKUP(F233,IMPORTRANGE(""https://docs.google.com/spreadsheets/d/1Kvs4KS76FHFqLFIZfrDMff4kP08nblUkihrxltoGBjg/edit#gid=934712705"",""ESENCIAL!A6:BG""),15,FALSE))"),"TIC")</f>
        <v>TIC</v>
      </c>
      <c r="AY101" s="461">
        <f ca="1">IFERROR(__xludf.DUMMYFUNCTION("IFERROR(VLOOKUP(E233&amp;F233,IMPORTRANGE(""https://docs.google.com/spreadsheets/d/1Uw7-A9f9R21vMXxHZFNpYNeKFtG8_yji4HS352LGlSQ/edit?pli=1#gid=0"",""1_ACUM!A4:S""),13,FALSE))"),6)</f>
        <v>6</v>
      </c>
      <c r="AZ101" s="460">
        <f ca="1">IFERROR(__xludf.DUMMYFUNCTION("IFERROR(VLOOKUP(E233&amp;F233,IMPORTRANGE(""https://docs.google.com/spreadsheets/d/1Uw7-A9f9R21vMXxHZFNpYNeKFtG8_yji4HS352LGlSQ/edit?pli=1#gid=0"",""1_ACUM!A4:S""),13,FALSE))"),6)</f>
        <v>6</v>
      </c>
      <c r="BA101" s="460">
        <f ca="1">IFERROR(__xludf.DUMMYFUNCTION("IFERROR(VLOOKUP(E233&amp;F233,IMPORTRANGE(""https://docs.google.com/spreadsheets/d/1Uw7-A9f9R21vMXxHZFNpYNeKFtG8_yji4HS352LGlSQ/edit?pli=1#gid=0"",""1_ACUM!A4:S""),14,FALSE))"),1)</f>
        <v>1</v>
      </c>
      <c r="BB101" s="460">
        <f ca="1">IFERROR(__xludf.DUMMYFUNCTION("IFERROR(VLOOKUP(E233&amp;F233,IMPORTRANGE(""https://docs.google.com/spreadsheets/d/1Uw7-A9f9R21vMXxHZFNpYNeKFtG8_yji4HS352LGlSQ/edit?pli=1#gid=0"",""1_ACUM!A4:S""),15,FALSE))"),0)</f>
        <v>0</v>
      </c>
      <c r="BC101" s="460">
        <f ca="1">IFERROR(__xludf.DUMMYFUNCTION("IFERROR(VLOOKUP(E233&amp;F233,IMPORTRANGE(""https://docs.google.com/spreadsheets/d/1Uw7-A9f9R21vMXxHZFNpYNeKFtG8_yji4HS352LGlSQ/edit?pli=1#gid=0"",""1_ACUM!A4:S""),16,FALSE))"),21)</f>
        <v>21</v>
      </c>
      <c r="BD101" s="460">
        <f ca="1">IFERROR(__xludf.DUMMYFUNCTION("IFERROR(VLOOKUP(E233&amp;F233,IMPORTRANGE(""https://docs.google.com/spreadsheets/d/1Uw7-A9f9R21vMXxHZFNpYNeKFtG8_yji4HS352LGlSQ/edit?pli=1#gid=0"",""1_ACUM!A4:S""),17,FALSE))"),28)</f>
        <v>28</v>
      </c>
      <c r="BE101" s="461">
        <f ca="1">IFERROR(__xludf.DUMMYFUNCTION("IFERROR(VLOOKUP(E233&amp;F233,IMPORTRANGE(""https://docs.google.com/spreadsheets/d/1Uw7-A9f9R21vMXxHZFNpYNeKFtG8_yji4HS352LGlSQ/edit?pli=1#gid=0"",""1_ACUM!A4:S""),18,FALSE))"),44348)</f>
        <v>44348</v>
      </c>
      <c r="BF101" s="461">
        <f ca="1">IFERROR(__xludf.DUMMYFUNCTION("IFERROR(VLOOKUP(E233&amp;F233,IMPORTRANGE(""https://docs.google.com/spreadsheets/d/1Uw7-A9f9R21vMXxHZFNpYNeKFtG8_yji4HS352LGlSQ/edit?pli=1#gid=0"",""1_ACUM!A4:S""),19,FALSE))"),44895)</f>
        <v>44895</v>
      </c>
      <c r="BG101" s="462">
        <f ca="1">IFERROR(__xludf.DUMMYFUNCTION("IFERROR(VLOOKUP(F233,IMPORTRANGE(""https://docs.google.com/spreadsheets/d/1Kvs4KS76FHFqLFIZfrDMff4kP08nblUkihrxltoGBjg/edit#gid=934712705"",""ESENCIAL!A6:BG""),5,FALSE))"),45077)</f>
        <v>45077</v>
      </c>
      <c r="BH101" s="462">
        <f t="shared" ca="1" si="13"/>
        <v>45626</v>
      </c>
      <c r="BI101" s="338" t="str">
        <f t="shared" ca="1" si="14"/>
        <v>FICHA EN TIEMPO-18 MESES</v>
      </c>
      <c r="BJ101" s="338" t="str">
        <f ca="1">IFERROR(__xludf.DUMMYFUNCTION("IFERROR(VLOOKUP(F233,IMPORTRANGE(""https://docs.google.com/spreadsheets/d/1Kvs4KS76FHFqLFIZfrDMff4kP08nblUkihrxltoGBjg/edit#gid=934712705"",""ESENCIAL!A6:BG""),2,FALSE))"),"En ejecucion")</f>
        <v>En ejecucion</v>
      </c>
      <c r="BK101" s="338" t="str">
        <f t="shared" si="15"/>
        <v>Yamboro</v>
      </c>
      <c r="BL101" s="38"/>
      <c r="BM101" s="38"/>
    </row>
    <row r="102" spans="1:65" ht="24">
      <c r="A102" s="578"/>
      <c r="B102" s="562"/>
      <c r="C102" s="534" t="s">
        <v>25</v>
      </c>
      <c r="D102" s="564" t="s">
        <v>918</v>
      </c>
      <c r="E102" s="217" t="s">
        <v>27</v>
      </c>
      <c r="F102" s="149">
        <v>1004083165</v>
      </c>
      <c r="G102" s="208">
        <v>2322432</v>
      </c>
      <c r="H102" s="338" t="str">
        <f ca="1">IFERROR(__xludf.DUMMYFUNCTION("IFERROR(VLOOKUP(F234,IMPORTRANGE(""https://docs.google.com/spreadsheets/d/1Kvs4KS76FHFqLFIZfrDMff4kP08nblUkihrxltoGBjg/edit#gid=934712705"",""ESENCIAL!A6:BG""),3,FALSE))"),"TECNÓLOGO")</f>
        <v>TECNÓLOGO</v>
      </c>
      <c r="I102" s="338" t="str">
        <f ca="1">IFERROR(__xludf.DUMMYFUNCTION("IFERROR(VLOOKUP(F234,IMPORTRANGE(""https://docs.google.com/spreadsheets/d/1Kvs4KS76FHFqLFIZfrDMff4kP08nblUkihrxltoGBjg/edit#gid=934712705"",""ESENCIAL!A6:BG""),8,FALSE))"),"PRODUCCION DE MULTIMEDIA")</f>
        <v>PRODUCCION DE MULTIMEDIA</v>
      </c>
      <c r="J102" s="208">
        <v>3107475162</v>
      </c>
      <c r="K102" s="583" t="s">
        <v>919</v>
      </c>
      <c r="L102" s="208"/>
      <c r="M102" s="532" t="s">
        <v>37</v>
      </c>
      <c r="N102" s="164" t="s">
        <v>920</v>
      </c>
      <c r="O102" s="527"/>
      <c r="P102" s="527">
        <v>3123228587</v>
      </c>
      <c r="Q102" s="527"/>
      <c r="R102" s="569" t="s">
        <v>921</v>
      </c>
      <c r="S102" s="525" t="s">
        <v>922</v>
      </c>
      <c r="T102" s="530" t="s">
        <v>923</v>
      </c>
      <c r="U102" s="527"/>
      <c r="V102" s="527"/>
      <c r="W102" s="338"/>
      <c r="X102" s="527"/>
      <c r="Y102" s="527"/>
      <c r="Z102" s="527"/>
      <c r="AA102" s="527"/>
      <c r="AB102" s="527"/>
      <c r="AC102" s="527"/>
      <c r="AD102" s="527"/>
      <c r="AE102" s="527"/>
      <c r="AF102" s="527"/>
      <c r="AG102" s="527"/>
      <c r="AH102" s="527"/>
      <c r="AI102" s="527"/>
      <c r="AJ102" s="527"/>
      <c r="AK102" s="527"/>
      <c r="AL102" s="527"/>
      <c r="AM102" s="527"/>
      <c r="AN102" s="527"/>
      <c r="AO102" s="527"/>
      <c r="AP102" s="527"/>
      <c r="AQ102" s="527"/>
      <c r="AR102" s="164"/>
      <c r="AS102" s="164"/>
      <c r="AT102" s="164"/>
      <c r="AU102" s="164"/>
      <c r="AV102" s="338" t="str">
        <f t="shared" ca="1" si="12"/>
        <v>NO_CUMPLE</v>
      </c>
      <c r="AW102" s="338" t="str">
        <f ca="1">IFERROR(__xludf.DUMMYFUNCTION("IFERROR(VLOOKUP(E234&amp;F234,IMPORTRANGE(""https://docs.google.com/spreadsheets/d/1Uw7-A9f9R21vMXxHZFNpYNeKFtG8_yji4HS352LGlSQ/edit?pli=1#gid=0"",""1_ACUM!A4:S""),11,FALSE))"),"EN FORMACION")</f>
        <v>EN FORMACION</v>
      </c>
      <c r="AX102" s="462" t="str">
        <f ca="1">IFERROR(__xludf.DUMMYFUNCTION("IFERROR(VLOOKUP(F234,IMPORTRANGE(""https://docs.google.com/spreadsheets/d/1Kvs4KS76FHFqLFIZfrDMff4kP08nblUkihrxltoGBjg/edit#gid=934712705"",""ESENCIAL!A6:BG""),15,FALSE))"),"TIC")</f>
        <v>TIC</v>
      </c>
      <c r="AY102" s="461">
        <f ca="1">IFERROR(__xludf.DUMMYFUNCTION("IFERROR(VLOOKUP(E234&amp;F234,IMPORTRANGE(""https://docs.google.com/spreadsheets/d/1Uw7-A9f9R21vMXxHZFNpYNeKFtG8_yji4HS352LGlSQ/edit?pli=1#gid=0"",""1_ACUM!A4:S""),13,FALSE))"),0)</f>
        <v>0</v>
      </c>
      <c r="AZ102" s="460">
        <f ca="1">IFERROR(__xludf.DUMMYFUNCTION("IFERROR(VLOOKUP(E234&amp;F234,IMPORTRANGE(""https://docs.google.com/spreadsheets/d/1Uw7-A9f9R21vMXxHZFNpYNeKFtG8_yji4HS352LGlSQ/edit?pli=1#gid=0"",""1_ACUM!A4:S""),13,FALSE))"),0)</f>
        <v>0</v>
      </c>
      <c r="BA102" s="460">
        <f ca="1">IFERROR(__xludf.DUMMYFUNCTION("IFERROR(VLOOKUP(E234&amp;F234,IMPORTRANGE(""https://docs.google.com/spreadsheets/d/1Uw7-A9f9R21vMXxHZFNpYNeKFtG8_yji4HS352LGlSQ/edit?pli=1#gid=0"",""1_ACUM!A4:S""),14,FALSE))"),1)</f>
        <v>1</v>
      </c>
      <c r="BB102" s="460">
        <f ca="1">IFERROR(__xludf.DUMMYFUNCTION("IFERROR(VLOOKUP(E234&amp;F234,IMPORTRANGE(""https://docs.google.com/spreadsheets/d/1Uw7-A9f9R21vMXxHZFNpYNeKFtG8_yji4HS352LGlSQ/edit?pli=1#gid=0"",""1_ACUM!A4:S""),15,FALSE))"),0)</f>
        <v>0</v>
      </c>
      <c r="BC102" s="460">
        <f ca="1">IFERROR(__xludf.DUMMYFUNCTION("IFERROR(VLOOKUP(E234&amp;F234,IMPORTRANGE(""https://docs.google.com/spreadsheets/d/1Uw7-A9f9R21vMXxHZFNpYNeKFtG8_yji4HS352LGlSQ/edit?pli=1#gid=0"",""1_ACUM!A4:S""),16,FALSE))"),6)</f>
        <v>6</v>
      </c>
      <c r="BD102" s="460">
        <f ca="1">IFERROR(__xludf.DUMMYFUNCTION("IFERROR(VLOOKUP(E234&amp;F234,IMPORTRANGE(""https://docs.google.com/spreadsheets/d/1Uw7-A9f9R21vMXxHZFNpYNeKFtG8_yji4HS352LGlSQ/edit?pli=1#gid=0"",""1_ACUM!A4:S""),17,FALSE))"),7)</f>
        <v>7</v>
      </c>
      <c r="BE102" s="461">
        <f ca="1">IFERROR(__xludf.DUMMYFUNCTION("IFERROR(VLOOKUP(E234&amp;F234,IMPORTRANGE(""https://docs.google.com/spreadsheets/d/1Uw7-A9f9R21vMXxHZFNpYNeKFtG8_yji4HS352LGlSQ/edit?pli=1#gid=0"",""1_ACUM!A4:S""),18,FALSE))"),44348)</f>
        <v>44348</v>
      </c>
      <c r="BF102" s="461">
        <f ca="1">IFERROR(__xludf.DUMMYFUNCTION("IFERROR(VLOOKUP(E234&amp;F234,IMPORTRANGE(""https://docs.google.com/spreadsheets/d/1Uw7-A9f9R21vMXxHZFNpYNeKFtG8_yji4HS352LGlSQ/edit?pli=1#gid=0"",""1_ACUM!A4:S""),19,FALSE))"),44895)</f>
        <v>44895</v>
      </c>
      <c r="BG102" s="462">
        <f ca="1">IFERROR(__xludf.DUMMYFUNCTION("IFERROR(VLOOKUP(F234,IMPORTRANGE(""https://docs.google.com/spreadsheets/d/1Kvs4KS76FHFqLFIZfrDMff4kP08nblUkihrxltoGBjg/edit#gid=934712705"",""ESENCIAL!A6:BG""),5,FALSE))"),45077)</f>
        <v>45077</v>
      </c>
      <c r="BH102" s="462">
        <f t="shared" ca="1" si="13"/>
        <v>45626</v>
      </c>
      <c r="BI102" s="338" t="str">
        <f t="shared" ca="1" si="14"/>
        <v>FICHA EN TIEMPO-18 MESES</v>
      </c>
      <c r="BJ102" s="338" t="str">
        <f ca="1">IFERROR(__xludf.DUMMYFUNCTION("IFERROR(VLOOKUP(F234,IMPORTRANGE(""https://docs.google.com/spreadsheets/d/1Kvs4KS76FHFqLFIZfrDMff4kP08nblUkihrxltoGBjg/edit#gid=934712705"",""ESENCIAL!A6:BG""),2,FALSE))"),"En ejecucion")</f>
        <v>En ejecucion</v>
      </c>
      <c r="BK102" s="338" t="str">
        <f t="shared" si="15"/>
        <v>Yamboro</v>
      </c>
      <c r="BL102" s="38"/>
      <c r="BM102" s="38"/>
    </row>
    <row r="103" spans="1:65" ht="24">
      <c r="A103" s="164"/>
      <c r="B103" s="562"/>
      <c r="C103" s="534" t="s">
        <v>25</v>
      </c>
      <c r="D103" s="564" t="s">
        <v>924</v>
      </c>
      <c r="E103" s="217" t="s">
        <v>27</v>
      </c>
      <c r="F103" s="149">
        <v>1004442716</v>
      </c>
      <c r="G103" s="208">
        <v>2322432</v>
      </c>
      <c r="H103" s="338" t="str">
        <f ca="1">IFERROR(__xludf.DUMMYFUNCTION("IFERROR(VLOOKUP(F235,IMPORTRANGE(""https://docs.google.com/spreadsheets/d/1Kvs4KS76FHFqLFIZfrDMff4kP08nblUkihrxltoGBjg/edit#gid=934712705"",""ESENCIAL!A6:BG""),3,FALSE))"),"TECNÓLOGO")</f>
        <v>TECNÓLOGO</v>
      </c>
      <c r="I103" s="338" t="str">
        <f ca="1">IFERROR(__xludf.DUMMYFUNCTION("IFERROR(VLOOKUP(F235,IMPORTRANGE(""https://docs.google.com/spreadsheets/d/1Kvs4KS76FHFqLFIZfrDMff4kP08nblUkihrxltoGBjg/edit#gid=934712705"",""ESENCIAL!A6:BG""),8,FALSE))"),"PRODUCCION DE MULTIMEDIA")</f>
        <v>PRODUCCION DE MULTIMEDIA</v>
      </c>
      <c r="J103" s="208"/>
      <c r="K103" s="571"/>
      <c r="L103" s="208"/>
      <c r="M103" s="570" t="s">
        <v>44</v>
      </c>
      <c r="N103" s="527"/>
      <c r="O103" s="527"/>
      <c r="P103" s="527"/>
      <c r="Q103" s="527"/>
      <c r="R103" s="527"/>
      <c r="S103" s="525"/>
      <c r="T103" s="530"/>
      <c r="U103" s="527"/>
      <c r="V103" s="527"/>
      <c r="W103" s="338"/>
      <c r="X103" s="527"/>
      <c r="Y103" s="527"/>
      <c r="Z103" s="527"/>
      <c r="AA103" s="527"/>
      <c r="AB103" s="527"/>
      <c r="AC103" s="527"/>
      <c r="AD103" s="527"/>
      <c r="AE103" s="527"/>
      <c r="AF103" s="527"/>
      <c r="AG103" s="527"/>
      <c r="AH103" s="527"/>
      <c r="AI103" s="527"/>
      <c r="AJ103" s="527"/>
      <c r="AK103" s="527"/>
      <c r="AL103" s="527"/>
      <c r="AM103" s="527"/>
      <c r="AN103" s="527"/>
      <c r="AO103" s="527"/>
      <c r="AP103" s="527"/>
      <c r="AQ103" s="527"/>
      <c r="AR103" s="164"/>
      <c r="AS103" s="164"/>
      <c r="AT103" s="164"/>
      <c r="AU103" s="164"/>
      <c r="AV103" s="338" t="str">
        <f t="shared" ca="1" si="12"/>
        <v>NO_CUMPLE</v>
      </c>
      <c r="AW103" s="338" t="str">
        <f ca="1">IFERROR(__xludf.DUMMYFUNCTION("IFERROR(VLOOKUP(E235&amp;F235,IMPORTRANGE(""https://docs.google.com/spreadsheets/d/1Uw7-A9f9R21vMXxHZFNpYNeKFtG8_yji4HS352LGlSQ/edit?pli=1#gid=0"",""1_ACUM!A4:S""),11,FALSE))"),"EN FORMACION")</f>
        <v>EN FORMACION</v>
      </c>
      <c r="AX103" s="462" t="str">
        <f ca="1">IFERROR(__xludf.DUMMYFUNCTION("IFERROR(VLOOKUP(F235,IMPORTRANGE(""https://docs.google.com/spreadsheets/d/1Kvs4KS76FHFqLFIZfrDMff4kP08nblUkihrxltoGBjg/edit#gid=934712705"",""ESENCIAL!A6:BG""),15,FALSE))"),"TIC")</f>
        <v>TIC</v>
      </c>
      <c r="AY103" s="461">
        <f ca="1">IFERROR(__xludf.DUMMYFUNCTION("IFERROR(VLOOKUP(E235&amp;F235,IMPORTRANGE(""https://docs.google.com/spreadsheets/d/1Uw7-A9f9R21vMXxHZFNpYNeKFtG8_yji4HS352LGlSQ/edit?pli=1#gid=0"",""1_ACUM!A4:S""),13,FALSE))"),0)</f>
        <v>0</v>
      </c>
      <c r="AZ103" s="460">
        <f ca="1">IFERROR(__xludf.DUMMYFUNCTION("IFERROR(VLOOKUP(E235&amp;F235,IMPORTRANGE(""https://docs.google.com/spreadsheets/d/1Uw7-A9f9R21vMXxHZFNpYNeKFtG8_yji4HS352LGlSQ/edit?pli=1#gid=0"",""1_ACUM!A4:S""),13,FALSE))"),0)</f>
        <v>0</v>
      </c>
      <c r="BA103" s="460">
        <f ca="1">IFERROR(__xludf.DUMMYFUNCTION("IFERROR(VLOOKUP(E235&amp;F235,IMPORTRANGE(""https://docs.google.com/spreadsheets/d/1Uw7-A9f9R21vMXxHZFNpYNeKFtG8_yji4HS352LGlSQ/edit?pli=1#gid=0"",""1_ACUM!A4:S""),14,FALSE))"),1)</f>
        <v>1</v>
      </c>
      <c r="BB103" s="460">
        <f ca="1">IFERROR(__xludf.DUMMYFUNCTION("IFERROR(VLOOKUP(E235&amp;F235,IMPORTRANGE(""https://docs.google.com/spreadsheets/d/1Uw7-A9f9R21vMXxHZFNpYNeKFtG8_yji4HS352LGlSQ/edit?pli=1#gid=0"",""1_ACUM!A4:S""),15,FALSE))"),0)</f>
        <v>0</v>
      </c>
      <c r="BC103" s="460">
        <f ca="1">IFERROR(__xludf.DUMMYFUNCTION("IFERROR(VLOOKUP(E235&amp;F235,IMPORTRANGE(""https://docs.google.com/spreadsheets/d/1Uw7-A9f9R21vMXxHZFNpYNeKFtG8_yji4HS352LGlSQ/edit?pli=1#gid=0"",""1_ACUM!A4:S""),16,FALSE))"),6)</f>
        <v>6</v>
      </c>
      <c r="BD103" s="460">
        <f ca="1">IFERROR(__xludf.DUMMYFUNCTION("IFERROR(VLOOKUP(E235&amp;F235,IMPORTRANGE(""https://docs.google.com/spreadsheets/d/1Uw7-A9f9R21vMXxHZFNpYNeKFtG8_yji4HS352LGlSQ/edit?pli=1#gid=0"",""1_ACUM!A4:S""),17,FALSE))"),7)</f>
        <v>7</v>
      </c>
      <c r="BE103" s="461">
        <f ca="1">IFERROR(__xludf.DUMMYFUNCTION("IFERROR(VLOOKUP(E235&amp;F235,IMPORTRANGE(""https://docs.google.com/spreadsheets/d/1Uw7-A9f9R21vMXxHZFNpYNeKFtG8_yji4HS352LGlSQ/edit?pli=1#gid=0"",""1_ACUM!A4:S""),18,FALSE))"),44348)</f>
        <v>44348</v>
      </c>
      <c r="BF103" s="461">
        <f ca="1">IFERROR(__xludf.DUMMYFUNCTION("IFERROR(VLOOKUP(E235&amp;F235,IMPORTRANGE(""https://docs.google.com/spreadsheets/d/1Uw7-A9f9R21vMXxHZFNpYNeKFtG8_yji4HS352LGlSQ/edit?pli=1#gid=0"",""1_ACUM!A4:S""),19,FALSE))"),44895)</f>
        <v>44895</v>
      </c>
      <c r="BG103" s="462">
        <f ca="1">IFERROR(__xludf.DUMMYFUNCTION("IFERROR(VLOOKUP(F235,IMPORTRANGE(""https://docs.google.com/spreadsheets/d/1Kvs4KS76FHFqLFIZfrDMff4kP08nblUkihrxltoGBjg/edit#gid=934712705"",""ESENCIAL!A6:BG""),5,FALSE))"),45077)</f>
        <v>45077</v>
      </c>
      <c r="BH103" s="462">
        <f t="shared" ca="1" si="13"/>
        <v>45626</v>
      </c>
      <c r="BI103" s="338" t="str">
        <f t="shared" ca="1" si="14"/>
        <v>FICHA EN TIEMPO-18 MESES</v>
      </c>
      <c r="BJ103" s="338" t="str">
        <f ca="1">IFERROR(__xludf.DUMMYFUNCTION("IFERROR(VLOOKUP(F235,IMPORTRANGE(""https://docs.google.com/spreadsheets/d/1Kvs4KS76FHFqLFIZfrDMff4kP08nblUkihrxltoGBjg/edit#gid=934712705"",""ESENCIAL!A6:BG""),2,FALSE))"),"En ejecucion")</f>
        <v>En ejecucion</v>
      </c>
      <c r="BK103" s="338" t="str">
        <f t="shared" si="15"/>
        <v>Yamboro</v>
      </c>
      <c r="BL103" s="38"/>
      <c r="BM103" s="38"/>
    </row>
    <row r="104" spans="1:65" ht="24">
      <c r="A104" s="164"/>
      <c r="B104" s="562"/>
      <c r="C104" s="534" t="s">
        <v>25</v>
      </c>
      <c r="D104" s="564" t="s">
        <v>925</v>
      </c>
      <c r="E104" s="217" t="s">
        <v>27</v>
      </c>
      <c r="F104" s="149">
        <v>1004871362</v>
      </c>
      <c r="G104" s="208">
        <v>2322432</v>
      </c>
      <c r="H104" s="338" t="str">
        <f ca="1">IFERROR(__xludf.DUMMYFUNCTION("IFERROR(VLOOKUP(F236,IMPORTRANGE(""https://docs.google.com/spreadsheets/d/1Kvs4KS76FHFqLFIZfrDMff4kP08nblUkihrxltoGBjg/edit#gid=934712705"",""ESENCIAL!A6:BG""),3,FALSE))"),"TECNÓLOGO")</f>
        <v>TECNÓLOGO</v>
      </c>
      <c r="I104" s="338" t="str">
        <f ca="1">IFERROR(__xludf.DUMMYFUNCTION("IFERROR(VLOOKUP(F236,IMPORTRANGE(""https://docs.google.com/spreadsheets/d/1Kvs4KS76FHFqLFIZfrDMff4kP08nblUkihrxltoGBjg/edit#gid=934712705"",""ESENCIAL!A6:BG""),8,FALSE))"),"PRODUCCION DE MULTIMEDIA")</f>
        <v>PRODUCCION DE MULTIMEDIA</v>
      </c>
      <c r="J104" s="208"/>
      <c r="K104" s="571"/>
      <c r="L104" s="208"/>
      <c r="M104" s="570" t="s">
        <v>44</v>
      </c>
      <c r="N104" s="527"/>
      <c r="O104" s="527"/>
      <c r="P104" s="527"/>
      <c r="Q104" s="527"/>
      <c r="R104" s="527"/>
      <c r="S104" s="525"/>
      <c r="T104" s="530"/>
      <c r="U104" s="527"/>
      <c r="V104" s="527"/>
      <c r="W104" s="338"/>
      <c r="X104" s="527"/>
      <c r="Y104" s="527"/>
      <c r="Z104" s="527"/>
      <c r="AA104" s="527"/>
      <c r="AB104" s="527"/>
      <c r="AC104" s="527"/>
      <c r="AD104" s="527"/>
      <c r="AE104" s="527"/>
      <c r="AF104" s="527"/>
      <c r="AG104" s="527"/>
      <c r="AH104" s="527"/>
      <c r="AI104" s="527"/>
      <c r="AJ104" s="527"/>
      <c r="AK104" s="527"/>
      <c r="AL104" s="527"/>
      <c r="AM104" s="527"/>
      <c r="AN104" s="527"/>
      <c r="AO104" s="527"/>
      <c r="AP104" s="527"/>
      <c r="AQ104" s="527"/>
      <c r="AR104" s="164"/>
      <c r="AS104" s="164"/>
      <c r="AT104" s="164"/>
      <c r="AU104" s="164"/>
      <c r="AV104" s="338" t="str">
        <f t="shared" ca="1" si="12"/>
        <v>NO_CUMPLE</v>
      </c>
      <c r="AW104" s="338" t="str">
        <f ca="1">IFERROR(__xludf.DUMMYFUNCTION("IFERROR(VLOOKUP(E236&amp;F236,IMPORTRANGE(""https://docs.google.com/spreadsheets/d/1Uw7-A9f9R21vMXxHZFNpYNeKFtG8_yji4HS352LGlSQ/edit?pli=1#gid=0"",""1_ACUM!A4:S""),11,FALSE))"),"EN FORMACION")</f>
        <v>EN FORMACION</v>
      </c>
      <c r="AX104" s="462" t="str">
        <f ca="1">IFERROR(__xludf.DUMMYFUNCTION("IFERROR(VLOOKUP(F236,IMPORTRANGE(""https://docs.google.com/spreadsheets/d/1Kvs4KS76FHFqLFIZfrDMff4kP08nblUkihrxltoGBjg/edit#gid=934712705"",""ESENCIAL!A6:BG""),15,FALSE))"),"TIC")</f>
        <v>TIC</v>
      </c>
      <c r="AY104" s="461">
        <f ca="1">IFERROR(__xludf.DUMMYFUNCTION("IFERROR(VLOOKUP(E236&amp;F236,IMPORTRANGE(""https://docs.google.com/spreadsheets/d/1Uw7-A9f9R21vMXxHZFNpYNeKFtG8_yji4HS352LGlSQ/edit?pli=1#gid=0"",""1_ACUM!A4:S""),13,FALSE))"),0)</f>
        <v>0</v>
      </c>
      <c r="AZ104" s="460">
        <f ca="1">IFERROR(__xludf.DUMMYFUNCTION("IFERROR(VLOOKUP(E236&amp;F236,IMPORTRANGE(""https://docs.google.com/spreadsheets/d/1Uw7-A9f9R21vMXxHZFNpYNeKFtG8_yji4HS352LGlSQ/edit?pli=1#gid=0"",""1_ACUM!A4:S""),13,FALSE))"),0)</f>
        <v>0</v>
      </c>
      <c r="BA104" s="460">
        <f ca="1">IFERROR(__xludf.DUMMYFUNCTION("IFERROR(VLOOKUP(E236&amp;F236,IMPORTRANGE(""https://docs.google.com/spreadsheets/d/1Uw7-A9f9R21vMXxHZFNpYNeKFtG8_yji4HS352LGlSQ/edit?pli=1#gid=0"",""1_ACUM!A4:S""),14,FALSE))"),1)</f>
        <v>1</v>
      </c>
      <c r="BB104" s="460">
        <f ca="1">IFERROR(__xludf.DUMMYFUNCTION("IFERROR(VLOOKUP(E236&amp;F236,IMPORTRANGE(""https://docs.google.com/spreadsheets/d/1Uw7-A9f9R21vMXxHZFNpYNeKFtG8_yji4HS352LGlSQ/edit?pli=1#gid=0"",""1_ACUM!A4:S""),15,FALSE))"),0)</f>
        <v>0</v>
      </c>
      <c r="BC104" s="460">
        <f ca="1">IFERROR(__xludf.DUMMYFUNCTION("IFERROR(VLOOKUP(E236&amp;F236,IMPORTRANGE(""https://docs.google.com/spreadsheets/d/1Uw7-A9f9R21vMXxHZFNpYNeKFtG8_yji4HS352LGlSQ/edit?pli=1#gid=0"",""1_ACUM!A4:S""),16,FALSE))"),6)</f>
        <v>6</v>
      </c>
      <c r="BD104" s="460">
        <f ca="1">IFERROR(__xludf.DUMMYFUNCTION("IFERROR(VLOOKUP(E236&amp;F236,IMPORTRANGE(""https://docs.google.com/spreadsheets/d/1Uw7-A9f9R21vMXxHZFNpYNeKFtG8_yji4HS352LGlSQ/edit?pli=1#gid=0"",""1_ACUM!A4:S""),17,FALSE))"),7)</f>
        <v>7</v>
      </c>
      <c r="BE104" s="461">
        <f ca="1">IFERROR(__xludf.DUMMYFUNCTION("IFERROR(VLOOKUP(E236&amp;F236,IMPORTRANGE(""https://docs.google.com/spreadsheets/d/1Uw7-A9f9R21vMXxHZFNpYNeKFtG8_yji4HS352LGlSQ/edit?pli=1#gid=0"",""1_ACUM!A4:S""),18,FALSE))"),44348)</f>
        <v>44348</v>
      </c>
      <c r="BF104" s="461">
        <f ca="1">IFERROR(__xludf.DUMMYFUNCTION("IFERROR(VLOOKUP(E236&amp;F236,IMPORTRANGE(""https://docs.google.com/spreadsheets/d/1Uw7-A9f9R21vMXxHZFNpYNeKFtG8_yji4HS352LGlSQ/edit?pli=1#gid=0"",""1_ACUM!A4:S""),19,FALSE))"),44895)</f>
        <v>44895</v>
      </c>
      <c r="BG104" s="462">
        <f ca="1">IFERROR(__xludf.DUMMYFUNCTION("IFERROR(VLOOKUP(F236,IMPORTRANGE(""https://docs.google.com/spreadsheets/d/1Kvs4KS76FHFqLFIZfrDMff4kP08nblUkihrxltoGBjg/edit#gid=934712705"",""ESENCIAL!A6:BG""),5,FALSE))"),45077)</f>
        <v>45077</v>
      </c>
      <c r="BH104" s="462">
        <f t="shared" ca="1" si="13"/>
        <v>45626</v>
      </c>
      <c r="BI104" s="338" t="str">
        <f t="shared" ca="1" si="14"/>
        <v>FICHA EN TIEMPO-18 MESES</v>
      </c>
      <c r="BJ104" s="338" t="str">
        <f ca="1">IFERROR(__xludf.DUMMYFUNCTION("IFERROR(VLOOKUP(F236,IMPORTRANGE(""https://docs.google.com/spreadsheets/d/1Kvs4KS76FHFqLFIZfrDMff4kP08nblUkihrxltoGBjg/edit#gid=934712705"",""ESENCIAL!A6:BG""),2,FALSE))"),"En ejecucion")</f>
        <v>En ejecucion</v>
      </c>
      <c r="BK104" s="338" t="str">
        <f t="shared" si="15"/>
        <v>Yamboro</v>
      </c>
      <c r="BL104" s="38"/>
      <c r="BM104" s="38"/>
    </row>
    <row r="105" spans="1:65" ht="24">
      <c r="A105" s="164"/>
      <c r="B105" s="562"/>
      <c r="C105" s="534" t="s">
        <v>25</v>
      </c>
      <c r="D105" s="564" t="s">
        <v>926</v>
      </c>
      <c r="E105" s="217" t="s">
        <v>27</v>
      </c>
      <c r="F105" s="149">
        <v>1006957091</v>
      </c>
      <c r="G105" s="208">
        <v>2322432</v>
      </c>
      <c r="H105" s="338" t="str">
        <f ca="1">IFERROR(__xludf.DUMMYFUNCTION("IFERROR(VLOOKUP(F237,IMPORTRANGE(""https://docs.google.com/spreadsheets/d/1Kvs4KS76FHFqLFIZfrDMff4kP08nblUkihrxltoGBjg/edit#gid=934712705"",""ESENCIAL!A6:BG""),3,FALSE))"),"TECNÓLOGO")</f>
        <v>TECNÓLOGO</v>
      </c>
      <c r="I105" s="338" t="str">
        <f ca="1">IFERROR(__xludf.DUMMYFUNCTION("IFERROR(VLOOKUP(F237,IMPORTRANGE(""https://docs.google.com/spreadsheets/d/1Kvs4KS76FHFqLFIZfrDMff4kP08nblUkihrxltoGBjg/edit#gid=934712705"",""ESENCIAL!A6:BG""),8,FALSE))"),"PRODUCCION DE MULTIMEDIA")</f>
        <v>PRODUCCION DE MULTIMEDIA</v>
      </c>
      <c r="J105" s="208"/>
      <c r="K105" s="571"/>
      <c r="L105" s="208"/>
      <c r="M105" s="570" t="s">
        <v>44</v>
      </c>
      <c r="N105" s="527"/>
      <c r="O105" s="527"/>
      <c r="P105" s="527"/>
      <c r="Q105" s="527"/>
      <c r="R105" s="527"/>
      <c r="S105" s="525"/>
      <c r="T105" s="530"/>
      <c r="U105" s="527"/>
      <c r="V105" s="527"/>
      <c r="W105" s="338"/>
      <c r="X105" s="527"/>
      <c r="Y105" s="527"/>
      <c r="Z105" s="527"/>
      <c r="AA105" s="527"/>
      <c r="AB105" s="527"/>
      <c r="AC105" s="527"/>
      <c r="AD105" s="527"/>
      <c r="AE105" s="527"/>
      <c r="AF105" s="527"/>
      <c r="AG105" s="527"/>
      <c r="AH105" s="527"/>
      <c r="AI105" s="527"/>
      <c r="AJ105" s="527"/>
      <c r="AK105" s="527"/>
      <c r="AL105" s="527"/>
      <c r="AM105" s="527"/>
      <c r="AN105" s="527"/>
      <c r="AO105" s="527"/>
      <c r="AP105" s="527"/>
      <c r="AQ105" s="527"/>
      <c r="AR105" s="164"/>
      <c r="AS105" s="164"/>
      <c r="AT105" s="164"/>
      <c r="AU105" s="164"/>
      <c r="AV105" s="338" t="str">
        <f t="shared" ca="1" si="12"/>
        <v>NO_CUMPLE</v>
      </c>
      <c r="AW105" s="338" t="str">
        <f ca="1">IFERROR(__xludf.DUMMYFUNCTION("IFERROR(VLOOKUP(E237&amp;F237,IMPORTRANGE(""https://docs.google.com/spreadsheets/d/1Uw7-A9f9R21vMXxHZFNpYNeKFtG8_yji4HS352LGlSQ/edit?pli=1#gid=0"",""1_ACUM!A4:S""),11,FALSE))"),"EN FORMACION")</f>
        <v>EN FORMACION</v>
      </c>
      <c r="AX105" s="462" t="str">
        <f ca="1">IFERROR(__xludf.DUMMYFUNCTION("IFERROR(VLOOKUP(F237,IMPORTRANGE(""https://docs.google.com/spreadsheets/d/1Kvs4KS76FHFqLFIZfrDMff4kP08nblUkihrxltoGBjg/edit#gid=934712705"",""ESENCIAL!A6:BG""),15,FALSE))"),"TIC")</f>
        <v>TIC</v>
      </c>
      <c r="AY105" s="461">
        <f ca="1">IFERROR(__xludf.DUMMYFUNCTION("IFERROR(VLOOKUP(E237&amp;F237,IMPORTRANGE(""https://docs.google.com/spreadsheets/d/1Uw7-A9f9R21vMXxHZFNpYNeKFtG8_yji4HS352LGlSQ/edit?pli=1#gid=0"",""1_ACUM!A4:S""),13,FALSE))"),1)</f>
        <v>1</v>
      </c>
      <c r="AZ105" s="460">
        <f ca="1">IFERROR(__xludf.DUMMYFUNCTION("IFERROR(VLOOKUP(E237&amp;F237,IMPORTRANGE(""https://docs.google.com/spreadsheets/d/1Uw7-A9f9R21vMXxHZFNpYNeKFtG8_yji4HS352LGlSQ/edit?pli=1#gid=0"",""1_ACUM!A4:S""),13,FALSE))"),1)</f>
        <v>1</v>
      </c>
      <c r="BA105" s="460">
        <f ca="1">IFERROR(__xludf.DUMMYFUNCTION("IFERROR(VLOOKUP(E237&amp;F237,IMPORTRANGE(""https://docs.google.com/spreadsheets/d/1Uw7-A9f9R21vMXxHZFNpYNeKFtG8_yji4HS352LGlSQ/edit?pli=1#gid=0"",""1_ACUM!A4:S""),14,FALSE))"),1)</f>
        <v>1</v>
      </c>
      <c r="BB105" s="460">
        <f ca="1">IFERROR(__xludf.DUMMYFUNCTION("IFERROR(VLOOKUP(E237&amp;F237,IMPORTRANGE(""https://docs.google.com/spreadsheets/d/1Uw7-A9f9R21vMXxHZFNpYNeKFtG8_yji4HS352LGlSQ/edit?pli=1#gid=0"",""1_ACUM!A4:S""),15,FALSE))"),0)</f>
        <v>0</v>
      </c>
      <c r="BC105" s="460">
        <f ca="1">IFERROR(__xludf.DUMMYFUNCTION("IFERROR(VLOOKUP(E237&amp;F237,IMPORTRANGE(""https://docs.google.com/spreadsheets/d/1Uw7-A9f9R21vMXxHZFNpYNeKFtG8_yji4HS352LGlSQ/edit?pli=1#gid=0"",""1_ACUM!A4:S""),16,FALSE))"),6)</f>
        <v>6</v>
      </c>
      <c r="BD105" s="460">
        <f ca="1">IFERROR(__xludf.DUMMYFUNCTION("IFERROR(VLOOKUP(E237&amp;F237,IMPORTRANGE(""https://docs.google.com/spreadsheets/d/1Uw7-A9f9R21vMXxHZFNpYNeKFtG8_yji4HS352LGlSQ/edit?pli=1#gid=0"",""1_ACUM!A4:S""),17,FALSE))"),8)</f>
        <v>8</v>
      </c>
      <c r="BE105" s="461">
        <f ca="1">IFERROR(__xludf.DUMMYFUNCTION("IFERROR(VLOOKUP(E237&amp;F237,IMPORTRANGE(""https://docs.google.com/spreadsheets/d/1Uw7-A9f9R21vMXxHZFNpYNeKFtG8_yji4HS352LGlSQ/edit?pli=1#gid=0"",""1_ACUM!A4:S""),18,FALSE))"),44348)</f>
        <v>44348</v>
      </c>
      <c r="BF105" s="461">
        <f ca="1">IFERROR(__xludf.DUMMYFUNCTION("IFERROR(VLOOKUP(E237&amp;F237,IMPORTRANGE(""https://docs.google.com/spreadsheets/d/1Uw7-A9f9R21vMXxHZFNpYNeKFtG8_yji4HS352LGlSQ/edit?pli=1#gid=0"",""1_ACUM!A4:S""),19,FALSE))"),44895)</f>
        <v>44895</v>
      </c>
      <c r="BG105" s="462">
        <f ca="1">IFERROR(__xludf.DUMMYFUNCTION("IFERROR(VLOOKUP(F237,IMPORTRANGE(""https://docs.google.com/spreadsheets/d/1Kvs4KS76FHFqLFIZfrDMff4kP08nblUkihrxltoGBjg/edit#gid=934712705"",""ESENCIAL!A6:BG""),5,FALSE))"),45077)</f>
        <v>45077</v>
      </c>
      <c r="BH105" s="462">
        <f t="shared" ca="1" si="13"/>
        <v>45626</v>
      </c>
      <c r="BI105" s="338" t="str">
        <f t="shared" ca="1" si="14"/>
        <v>FICHA EN TIEMPO-18 MESES</v>
      </c>
      <c r="BJ105" s="338" t="str">
        <f ca="1">IFERROR(__xludf.DUMMYFUNCTION("IFERROR(VLOOKUP(F237,IMPORTRANGE(""https://docs.google.com/spreadsheets/d/1Kvs4KS76FHFqLFIZfrDMff4kP08nblUkihrxltoGBjg/edit#gid=934712705"",""ESENCIAL!A6:BG""),2,FALSE))"),"En ejecucion")</f>
        <v>En ejecucion</v>
      </c>
      <c r="BK105" s="338" t="str">
        <f t="shared" si="15"/>
        <v>Yamboro</v>
      </c>
      <c r="BL105" s="38"/>
      <c r="BM105" s="38"/>
    </row>
    <row r="106" spans="1:65" ht="24">
      <c r="A106" s="164"/>
      <c r="B106" s="562"/>
      <c r="C106" s="534" t="s">
        <v>25</v>
      </c>
      <c r="D106" s="564" t="s">
        <v>927</v>
      </c>
      <c r="E106" s="217" t="s">
        <v>27</v>
      </c>
      <c r="F106" s="149">
        <v>1010008566</v>
      </c>
      <c r="G106" s="208">
        <v>2322432</v>
      </c>
      <c r="H106" s="338" t="str">
        <f ca="1">IFERROR(__xludf.DUMMYFUNCTION("IFERROR(VLOOKUP(F238,IMPORTRANGE(""https://docs.google.com/spreadsheets/d/1Kvs4KS76FHFqLFIZfrDMff4kP08nblUkihrxltoGBjg/edit#gid=934712705"",""ESENCIAL!A6:BG""),3,FALSE))"),"TECNÓLOGO")</f>
        <v>TECNÓLOGO</v>
      </c>
      <c r="I106" s="338" t="str">
        <f ca="1">IFERROR(__xludf.DUMMYFUNCTION("IFERROR(VLOOKUP(F238,IMPORTRANGE(""https://docs.google.com/spreadsheets/d/1Kvs4KS76FHFqLFIZfrDMff4kP08nblUkihrxltoGBjg/edit#gid=934712705"",""ESENCIAL!A6:BG""),8,FALSE))"),"PRODUCCION DE MULTIMEDIA")</f>
        <v>PRODUCCION DE MULTIMEDIA</v>
      </c>
      <c r="J106" s="208"/>
      <c r="K106" s="571"/>
      <c r="L106" s="208"/>
      <c r="M106" s="570" t="s">
        <v>44</v>
      </c>
      <c r="N106" s="527"/>
      <c r="O106" s="527"/>
      <c r="P106" s="527"/>
      <c r="Q106" s="527"/>
      <c r="R106" s="527"/>
      <c r="S106" s="525"/>
      <c r="T106" s="530"/>
      <c r="U106" s="527" t="s">
        <v>409</v>
      </c>
      <c r="V106" s="527"/>
      <c r="W106" s="338"/>
      <c r="X106" s="527"/>
      <c r="Y106" s="527"/>
      <c r="Z106" s="527"/>
      <c r="AA106" s="527"/>
      <c r="AB106" s="527"/>
      <c r="AC106" s="527"/>
      <c r="AD106" s="527"/>
      <c r="AE106" s="527"/>
      <c r="AF106" s="527"/>
      <c r="AG106" s="527"/>
      <c r="AH106" s="527"/>
      <c r="AI106" s="527"/>
      <c r="AJ106" s="527"/>
      <c r="AK106" s="527"/>
      <c r="AL106" s="527"/>
      <c r="AM106" s="527"/>
      <c r="AN106" s="527"/>
      <c r="AO106" s="527"/>
      <c r="AP106" s="527"/>
      <c r="AQ106" s="527"/>
      <c r="AR106" s="164"/>
      <c r="AS106" s="164"/>
      <c r="AT106" s="164"/>
      <c r="AU106" s="164"/>
      <c r="AV106" s="338" t="str">
        <f t="shared" ca="1" si="12"/>
        <v>NO_CUMPLE</v>
      </c>
      <c r="AW106" s="338" t="str">
        <f ca="1">IFERROR(__xludf.DUMMYFUNCTION("IFERROR(VLOOKUP(E238&amp;F238,IMPORTRANGE(""https://docs.google.com/spreadsheets/d/1Uw7-A9f9R21vMXxHZFNpYNeKFtG8_yji4HS352LGlSQ/edit?pli=1#gid=0"",""1_ACUM!A4:S""),11,FALSE))"),"EN FORMACION")</f>
        <v>EN FORMACION</v>
      </c>
      <c r="AX106" s="462" t="str">
        <f ca="1">IFERROR(__xludf.DUMMYFUNCTION("IFERROR(VLOOKUP(F238,IMPORTRANGE(""https://docs.google.com/spreadsheets/d/1Kvs4KS76FHFqLFIZfrDMff4kP08nblUkihrxltoGBjg/edit#gid=934712705"",""ESENCIAL!A6:BG""),15,FALSE))"),"TIC")</f>
        <v>TIC</v>
      </c>
      <c r="AY106" s="461">
        <f ca="1">IFERROR(__xludf.DUMMYFUNCTION("IFERROR(VLOOKUP(E238&amp;F238,IMPORTRANGE(""https://docs.google.com/spreadsheets/d/1Uw7-A9f9R21vMXxHZFNpYNeKFtG8_yji4HS352LGlSQ/edit?pli=1#gid=0"",""1_ACUM!A4:S""),13,FALSE))"),6)</f>
        <v>6</v>
      </c>
      <c r="AZ106" s="460">
        <f ca="1">IFERROR(__xludf.DUMMYFUNCTION("IFERROR(VLOOKUP(E238&amp;F238,IMPORTRANGE(""https://docs.google.com/spreadsheets/d/1Uw7-A9f9R21vMXxHZFNpYNeKFtG8_yji4HS352LGlSQ/edit?pli=1#gid=0"",""1_ACUM!A4:S""),13,FALSE))"),6)</f>
        <v>6</v>
      </c>
      <c r="BA106" s="460">
        <f ca="1">IFERROR(__xludf.DUMMYFUNCTION("IFERROR(VLOOKUP(E238&amp;F238,IMPORTRANGE(""https://docs.google.com/spreadsheets/d/1Uw7-A9f9R21vMXxHZFNpYNeKFtG8_yji4HS352LGlSQ/edit?pli=1#gid=0"",""1_ACUM!A4:S""),14,FALSE))"),1)</f>
        <v>1</v>
      </c>
      <c r="BB106" s="460">
        <f ca="1">IFERROR(__xludf.DUMMYFUNCTION("IFERROR(VLOOKUP(E238&amp;F238,IMPORTRANGE(""https://docs.google.com/spreadsheets/d/1Uw7-A9f9R21vMXxHZFNpYNeKFtG8_yji4HS352LGlSQ/edit?pli=1#gid=0"",""1_ACUM!A4:S""),15,FALSE))"),0)</f>
        <v>0</v>
      </c>
      <c r="BC106" s="460">
        <f ca="1">IFERROR(__xludf.DUMMYFUNCTION("IFERROR(VLOOKUP(E238&amp;F238,IMPORTRANGE(""https://docs.google.com/spreadsheets/d/1Uw7-A9f9R21vMXxHZFNpYNeKFtG8_yji4HS352LGlSQ/edit?pli=1#gid=0"",""1_ACUM!A4:S""),16,FALSE))"),20)</f>
        <v>20</v>
      </c>
      <c r="BD106" s="460">
        <f ca="1">IFERROR(__xludf.DUMMYFUNCTION("IFERROR(VLOOKUP(E238&amp;F238,IMPORTRANGE(""https://docs.google.com/spreadsheets/d/1Uw7-A9f9R21vMXxHZFNpYNeKFtG8_yji4HS352LGlSQ/edit?pli=1#gid=0"",""1_ACUM!A4:S""),17,FALSE))"),27)</f>
        <v>27</v>
      </c>
      <c r="BE106" s="461">
        <f ca="1">IFERROR(__xludf.DUMMYFUNCTION("IFERROR(VLOOKUP(E238&amp;F238,IMPORTRANGE(""https://docs.google.com/spreadsheets/d/1Uw7-A9f9R21vMXxHZFNpYNeKFtG8_yji4HS352LGlSQ/edit?pli=1#gid=0"",""1_ACUM!A4:S""),18,FALSE))"),44348)</f>
        <v>44348</v>
      </c>
      <c r="BF106" s="461">
        <f ca="1">IFERROR(__xludf.DUMMYFUNCTION("IFERROR(VLOOKUP(E238&amp;F238,IMPORTRANGE(""https://docs.google.com/spreadsheets/d/1Uw7-A9f9R21vMXxHZFNpYNeKFtG8_yji4HS352LGlSQ/edit?pli=1#gid=0"",""1_ACUM!A4:S""),19,FALSE))"),44895)</f>
        <v>44895</v>
      </c>
      <c r="BG106" s="462">
        <f ca="1">IFERROR(__xludf.DUMMYFUNCTION("IFERROR(VLOOKUP(F238,IMPORTRANGE(""https://docs.google.com/spreadsheets/d/1Kvs4KS76FHFqLFIZfrDMff4kP08nblUkihrxltoGBjg/edit#gid=934712705"",""ESENCIAL!A6:BG""),5,FALSE))"),45077)</f>
        <v>45077</v>
      </c>
      <c r="BH106" s="462">
        <f t="shared" ca="1" si="13"/>
        <v>45626</v>
      </c>
      <c r="BI106" s="338" t="str">
        <f t="shared" ca="1" si="14"/>
        <v>FICHA EN TIEMPO-18 MESES</v>
      </c>
      <c r="BJ106" s="338" t="str">
        <f ca="1">IFERROR(__xludf.DUMMYFUNCTION("IFERROR(VLOOKUP(F238,IMPORTRANGE(""https://docs.google.com/spreadsheets/d/1Kvs4KS76FHFqLFIZfrDMff4kP08nblUkihrxltoGBjg/edit#gid=934712705"",""ESENCIAL!A6:BG""),2,FALSE))"),"En ejecucion")</f>
        <v>En ejecucion</v>
      </c>
      <c r="BK106" s="338" t="str">
        <f t="shared" si="15"/>
        <v>Yamboro</v>
      </c>
      <c r="BL106" s="38"/>
      <c r="BM106" s="38"/>
    </row>
    <row r="107" spans="1:65" ht="24">
      <c r="A107" s="578"/>
      <c r="B107" s="562"/>
      <c r="C107" s="534" t="s">
        <v>25</v>
      </c>
      <c r="D107" s="564" t="s">
        <v>928</v>
      </c>
      <c r="E107" s="217" t="s">
        <v>27</v>
      </c>
      <c r="F107" s="149">
        <v>1031642349</v>
      </c>
      <c r="G107" s="208">
        <v>2322432</v>
      </c>
      <c r="H107" s="338" t="str">
        <f ca="1">IFERROR(__xludf.DUMMYFUNCTION("IFERROR(VLOOKUP(F239,IMPORTRANGE(""https://docs.google.com/spreadsheets/d/1Kvs4KS76FHFqLFIZfrDMff4kP08nblUkihrxltoGBjg/edit#gid=934712705"",""ESENCIAL!A6:BG""),3,FALSE))"),"TECNÓLOGO")</f>
        <v>TECNÓLOGO</v>
      </c>
      <c r="I107" s="338" t="str">
        <f ca="1">IFERROR(__xludf.DUMMYFUNCTION("IFERROR(VLOOKUP(F239,IMPORTRANGE(""https://docs.google.com/spreadsheets/d/1Kvs4KS76FHFqLFIZfrDMff4kP08nblUkihrxltoGBjg/edit#gid=934712705"",""ESENCIAL!A6:BG""),8,FALSE))"),"PRODUCCION DE MULTIMEDIA")</f>
        <v>PRODUCCION DE MULTIMEDIA</v>
      </c>
      <c r="J107" s="208"/>
      <c r="K107" s="571"/>
      <c r="L107" s="208"/>
      <c r="M107" s="532" t="s">
        <v>37</v>
      </c>
      <c r="N107" s="164" t="s">
        <v>920</v>
      </c>
      <c r="O107" s="527"/>
      <c r="P107" s="527">
        <v>3123228587</v>
      </c>
      <c r="Q107" s="527"/>
      <c r="R107" s="569" t="s">
        <v>921</v>
      </c>
      <c r="S107" s="525" t="s">
        <v>929</v>
      </c>
      <c r="T107" s="530" t="s">
        <v>923</v>
      </c>
      <c r="U107" s="527"/>
      <c r="V107" s="527"/>
      <c r="W107" s="338"/>
      <c r="X107" s="527"/>
      <c r="Y107" s="527"/>
      <c r="Z107" s="527"/>
      <c r="AA107" s="527"/>
      <c r="AB107" s="527"/>
      <c r="AC107" s="527"/>
      <c r="AD107" s="527"/>
      <c r="AE107" s="527"/>
      <c r="AF107" s="527"/>
      <c r="AG107" s="527"/>
      <c r="AH107" s="527"/>
      <c r="AI107" s="527"/>
      <c r="AJ107" s="527"/>
      <c r="AK107" s="527"/>
      <c r="AL107" s="527"/>
      <c r="AM107" s="527"/>
      <c r="AN107" s="527"/>
      <c r="AO107" s="527"/>
      <c r="AP107" s="527"/>
      <c r="AQ107" s="527"/>
      <c r="AR107" s="164"/>
      <c r="AS107" s="164"/>
      <c r="AT107" s="164"/>
      <c r="AU107" s="164"/>
      <c r="AV107" s="338" t="str">
        <f t="shared" ca="1" si="12"/>
        <v>NO_CUMPLE</v>
      </c>
      <c r="AW107" s="338" t="str">
        <f ca="1">IFERROR(__xludf.DUMMYFUNCTION("IFERROR(VLOOKUP(E239&amp;F239,IMPORTRANGE(""https://docs.google.com/spreadsheets/d/1Uw7-A9f9R21vMXxHZFNpYNeKFtG8_yji4HS352LGlSQ/edit?pli=1#gid=0"",""1_ACUM!A4:S""),11,FALSE))"),"EN FORMACION")</f>
        <v>EN FORMACION</v>
      </c>
      <c r="AX107" s="462" t="str">
        <f ca="1">IFERROR(__xludf.DUMMYFUNCTION("IFERROR(VLOOKUP(F239,IMPORTRANGE(""https://docs.google.com/spreadsheets/d/1Kvs4KS76FHFqLFIZfrDMff4kP08nblUkihrxltoGBjg/edit#gid=934712705"",""ESENCIAL!A6:BG""),15,FALSE))"),"TIC")</f>
        <v>TIC</v>
      </c>
      <c r="AY107" s="461">
        <f ca="1">IFERROR(__xludf.DUMMYFUNCTION("IFERROR(VLOOKUP(E239&amp;F239,IMPORTRANGE(""https://docs.google.com/spreadsheets/d/1Uw7-A9f9R21vMXxHZFNpYNeKFtG8_yji4HS352LGlSQ/edit?pli=1#gid=0"",""1_ACUM!A4:S""),13,FALSE))"),0)</f>
        <v>0</v>
      </c>
      <c r="AZ107" s="460">
        <f ca="1">IFERROR(__xludf.DUMMYFUNCTION("IFERROR(VLOOKUP(E239&amp;F239,IMPORTRANGE(""https://docs.google.com/spreadsheets/d/1Uw7-A9f9R21vMXxHZFNpYNeKFtG8_yji4HS352LGlSQ/edit?pli=1#gid=0"",""1_ACUM!A4:S""),13,FALSE))"),0)</f>
        <v>0</v>
      </c>
      <c r="BA107" s="460">
        <f ca="1">IFERROR(__xludf.DUMMYFUNCTION("IFERROR(VLOOKUP(E239&amp;F239,IMPORTRANGE(""https://docs.google.com/spreadsheets/d/1Uw7-A9f9R21vMXxHZFNpYNeKFtG8_yji4HS352LGlSQ/edit?pli=1#gid=0"",""1_ACUM!A4:S""),14,FALSE))"),1)</f>
        <v>1</v>
      </c>
      <c r="BB107" s="460">
        <f ca="1">IFERROR(__xludf.DUMMYFUNCTION("IFERROR(VLOOKUP(E239&amp;F239,IMPORTRANGE(""https://docs.google.com/spreadsheets/d/1Uw7-A9f9R21vMXxHZFNpYNeKFtG8_yji4HS352LGlSQ/edit?pli=1#gid=0"",""1_ACUM!A4:S""),15,FALSE))"),0)</f>
        <v>0</v>
      </c>
      <c r="BC107" s="460">
        <f ca="1">IFERROR(__xludf.DUMMYFUNCTION("IFERROR(VLOOKUP(E239&amp;F239,IMPORTRANGE(""https://docs.google.com/spreadsheets/d/1Uw7-A9f9R21vMXxHZFNpYNeKFtG8_yji4HS352LGlSQ/edit?pli=1#gid=0"",""1_ACUM!A4:S""),16,FALSE))"),6)</f>
        <v>6</v>
      </c>
      <c r="BD107" s="460">
        <f ca="1">IFERROR(__xludf.DUMMYFUNCTION("IFERROR(VLOOKUP(E239&amp;F239,IMPORTRANGE(""https://docs.google.com/spreadsheets/d/1Uw7-A9f9R21vMXxHZFNpYNeKFtG8_yji4HS352LGlSQ/edit?pli=1#gid=0"",""1_ACUM!A4:S""),17,FALSE))"),7)</f>
        <v>7</v>
      </c>
      <c r="BE107" s="461">
        <f ca="1">IFERROR(__xludf.DUMMYFUNCTION("IFERROR(VLOOKUP(E239&amp;F239,IMPORTRANGE(""https://docs.google.com/spreadsheets/d/1Uw7-A9f9R21vMXxHZFNpYNeKFtG8_yji4HS352LGlSQ/edit?pli=1#gid=0"",""1_ACUM!A4:S""),18,FALSE))"),44348)</f>
        <v>44348</v>
      </c>
      <c r="BF107" s="461">
        <f ca="1">IFERROR(__xludf.DUMMYFUNCTION("IFERROR(VLOOKUP(E239&amp;F239,IMPORTRANGE(""https://docs.google.com/spreadsheets/d/1Uw7-A9f9R21vMXxHZFNpYNeKFtG8_yji4HS352LGlSQ/edit?pli=1#gid=0"",""1_ACUM!A4:S""),19,FALSE))"),44895)</f>
        <v>44895</v>
      </c>
      <c r="BG107" s="462">
        <f ca="1">IFERROR(__xludf.DUMMYFUNCTION("IFERROR(VLOOKUP(F239,IMPORTRANGE(""https://docs.google.com/spreadsheets/d/1Kvs4KS76FHFqLFIZfrDMff4kP08nblUkihrxltoGBjg/edit#gid=934712705"",""ESENCIAL!A6:BG""),5,FALSE))"),45077)</f>
        <v>45077</v>
      </c>
      <c r="BH107" s="462">
        <f t="shared" ca="1" si="13"/>
        <v>45626</v>
      </c>
      <c r="BI107" s="338" t="str">
        <f t="shared" ca="1" si="14"/>
        <v>FICHA EN TIEMPO-18 MESES</v>
      </c>
      <c r="BJ107" s="338" t="str">
        <f ca="1">IFERROR(__xludf.DUMMYFUNCTION("IFERROR(VLOOKUP(F239,IMPORTRANGE(""https://docs.google.com/spreadsheets/d/1Kvs4KS76FHFqLFIZfrDMff4kP08nblUkihrxltoGBjg/edit#gid=934712705"",""ESENCIAL!A6:BG""),2,FALSE))"),"En ejecucion")</f>
        <v>En ejecucion</v>
      </c>
      <c r="BK107" s="338" t="str">
        <f t="shared" si="15"/>
        <v>Yamboro</v>
      </c>
      <c r="BL107" s="38"/>
      <c r="BM107" s="38"/>
    </row>
    <row r="108" spans="1:65" s="255" customFormat="1" ht="24">
      <c r="A108" s="164"/>
      <c r="B108" s="562"/>
      <c r="C108" s="534" t="s">
        <v>25</v>
      </c>
      <c r="D108" s="564" t="s">
        <v>930</v>
      </c>
      <c r="E108" s="217" t="s">
        <v>27</v>
      </c>
      <c r="F108" s="149">
        <v>1082124011</v>
      </c>
      <c r="G108" s="208">
        <v>2322432</v>
      </c>
      <c r="H108" s="338" t="str">
        <f ca="1">IFERROR(__xludf.DUMMYFUNCTION("IFERROR(VLOOKUP(F240,IMPORTRANGE(""https://docs.google.com/spreadsheets/d/1Kvs4KS76FHFqLFIZfrDMff4kP08nblUkihrxltoGBjg/edit#gid=934712705"",""ESENCIAL!A6:BG""),3,FALSE))"),"TECNÓLOGO")</f>
        <v>TECNÓLOGO</v>
      </c>
      <c r="I108" s="338" t="str">
        <f ca="1">IFERROR(__xludf.DUMMYFUNCTION("IFERROR(VLOOKUP(F240,IMPORTRANGE(""https://docs.google.com/spreadsheets/d/1Kvs4KS76FHFqLFIZfrDMff4kP08nblUkihrxltoGBjg/edit#gid=934712705"",""ESENCIAL!A6:BG""),8,FALSE))"),"PRODUCCION DE MULTIMEDIA")</f>
        <v>PRODUCCION DE MULTIMEDIA</v>
      </c>
      <c r="J108" s="208">
        <v>3202619669</v>
      </c>
      <c r="K108" s="583" t="s">
        <v>931</v>
      </c>
      <c r="L108" s="208" t="s">
        <v>96</v>
      </c>
      <c r="M108" s="208" t="s">
        <v>250</v>
      </c>
      <c r="N108" s="527" t="s">
        <v>932</v>
      </c>
      <c r="O108" s="527" t="s">
        <v>933</v>
      </c>
      <c r="P108" s="527">
        <v>3188816988</v>
      </c>
      <c r="Q108" s="527" t="s">
        <v>73</v>
      </c>
      <c r="R108" s="569" t="s">
        <v>934</v>
      </c>
      <c r="S108" s="525">
        <v>45140</v>
      </c>
      <c r="T108" s="530">
        <v>45146</v>
      </c>
      <c r="U108" s="527"/>
      <c r="V108" s="527"/>
      <c r="W108" s="338"/>
      <c r="X108" s="527"/>
      <c r="Y108" s="527"/>
      <c r="Z108" s="527"/>
      <c r="AA108" s="527"/>
      <c r="AB108" s="527"/>
      <c r="AC108" s="527"/>
      <c r="AD108" s="527"/>
      <c r="AE108" s="527"/>
      <c r="AF108" s="527"/>
      <c r="AG108" s="527"/>
      <c r="AH108" s="527"/>
      <c r="AI108" s="527"/>
      <c r="AJ108" s="527"/>
      <c r="AK108" s="527"/>
      <c r="AL108" s="527"/>
      <c r="AM108" s="527"/>
      <c r="AN108" s="527"/>
      <c r="AO108" s="527"/>
      <c r="AP108" s="527"/>
      <c r="AQ108" s="527"/>
      <c r="AR108" s="164"/>
      <c r="AS108" s="164"/>
      <c r="AT108" s="164"/>
      <c r="AU108" s="164"/>
      <c r="AV108" s="338" t="str">
        <f t="shared" ca="1" si="12"/>
        <v>NO_CUMPLE</v>
      </c>
      <c r="AW108" s="338" t="str">
        <f ca="1">IFERROR(__xludf.DUMMYFUNCTION("IFERROR(VLOOKUP(E240&amp;F240,IMPORTRANGE(""https://docs.google.com/spreadsheets/d/1Uw7-A9f9R21vMXxHZFNpYNeKFtG8_yji4HS352LGlSQ/edit?pli=1#gid=0"",""1_ACUM!A4:S""),11,FALSE))"),"EN FORMACION")</f>
        <v>EN FORMACION</v>
      </c>
      <c r="AX108" s="462" t="str">
        <f ca="1">IFERROR(__xludf.DUMMYFUNCTION("IFERROR(VLOOKUP(F240,IMPORTRANGE(""https://docs.google.com/spreadsheets/d/1Kvs4KS76FHFqLFIZfrDMff4kP08nblUkihrxltoGBjg/edit#gid=934712705"",""ESENCIAL!A6:BG""),15,FALSE))"),"TIC")</f>
        <v>TIC</v>
      </c>
      <c r="AY108" s="461">
        <f ca="1">IFERROR(__xludf.DUMMYFUNCTION("IFERROR(VLOOKUP(E240&amp;F240,IMPORTRANGE(""https://docs.google.com/spreadsheets/d/1Uw7-A9f9R21vMXxHZFNpYNeKFtG8_yji4HS352LGlSQ/edit?pli=1#gid=0"",""1_ACUM!A4:S""),13,FALSE))"),0)</f>
        <v>0</v>
      </c>
      <c r="AZ108" s="460">
        <f ca="1">IFERROR(__xludf.DUMMYFUNCTION("IFERROR(VLOOKUP(E240&amp;F240,IMPORTRANGE(""https://docs.google.com/spreadsheets/d/1Uw7-A9f9R21vMXxHZFNpYNeKFtG8_yji4HS352LGlSQ/edit?pli=1#gid=0"",""1_ACUM!A4:S""),13,FALSE))"),0)</f>
        <v>0</v>
      </c>
      <c r="BA108" s="460">
        <f ca="1">IFERROR(__xludf.DUMMYFUNCTION("IFERROR(VLOOKUP(E240&amp;F240,IMPORTRANGE(""https://docs.google.com/spreadsheets/d/1Uw7-A9f9R21vMXxHZFNpYNeKFtG8_yji4HS352LGlSQ/edit?pli=1#gid=0"",""1_ACUM!A4:S""),14,FALSE))"),1)</f>
        <v>1</v>
      </c>
      <c r="BB108" s="460">
        <f ca="1">IFERROR(__xludf.DUMMYFUNCTION("IFERROR(VLOOKUP(E240&amp;F240,IMPORTRANGE(""https://docs.google.com/spreadsheets/d/1Uw7-A9f9R21vMXxHZFNpYNeKFtG8_yji4HS352LGlSQ/edit?pli=1#gid=0"",""1_ACUM!A4:S""),15,FALSE))"),0)</f>
        <v>0</v>
      </c>
      <c r="BC108" s="460">
        <f ca="1">IFERROR(__xludf.DUMMYFUNCTION("IFERROR(VLOOKUP(E240&amp;F240,IMPORTRANGE(""https://docs.google.com/spreadsheets/d/1Uw7-A9f9R21vMXxHZFNpYNeKFtG8_yji4HS352LGlSQ/edit?pli=1#gid=0"",""1_ACUM!A4:S""),16,FALSE))"),6)</f>
        <v>6</v>
      </c>
      <c r="BD108" s="460">
        <f ca="1">IFERROR(__xludf.DUMMYFUNCTION("IFERROR(VLOOKUP(E240&amp;F240,IMPORTRANGE(""https://docs.google.com/spreadsheets/d/1Uw7-A9f9R21vMXxHZFNpYNeKFtG8_yji4HS352LGlSQ/edit?pli=1#gid=0"",""1_ACUM!A4:S""),17,FALSE))"),7)</f>
        <v>7</v>
      </c>
      <c r="BE108" s="461">
        <f ca="1">IFERROR(__xludf.DUMMYFUNCTION("IFERROR(VLOOKUP(E240&amp;F240,IMPORTRANGE(""https://docs.google.com/spreadsheets/d/1Uw7-A9f9R21vMXxHZFNpYNeKFtG8_yji4HS352LGlSQ/edit?pli=1#gid=0"",""1_ACUM!A4:S""),18,FALSE))"),44348)</f>
        <v>44348</v>
      </c>
      <c r="BF108" s="461">
        <f ca="1">IFERROR(__xludf.DUMMYFUNCTION("IFERROR(VLOOKUP(E240&amp;F240,IMPORTRANGE(""https://docs.google.com/spreadsheets/d/1Uw7-A9f9R21vMXxHZFNpYNeKFtG8_yji4HS352LGlSQ/edit?pli=1#gid=0"",""1_ACUM!A4:S""),19,FALSE))"),44895)</f>
        <v>44895</v>
      </c>
      <c r="BG108" s="462">
        <f ca="1">IFERROR(__xludf.DUMMYFUNCTION("IFERROR(VLOOKUP(F240,IMPORTRANGE(""https://docs.google.com/spreadsheets/d/1Kvs4KS76FHFqLFIZfrDMff4kP08nblUkihrxltoGBjg/edit#gid=934712705"",""ESENCIAL!A6:BG""),5,FALSE))"),45077)</f>
        <v>45077</v>
      </c>
      <c r="BH108" s="462">
        <f t="shared" ca="1" si="13"/>
        <v>45626</v>
      </c>
      <c r="BI108" s="338" t="str">
        <f t="shared" ca="1" si="14"/>
        <v>FICHA EN TIEMPO-18 MESES</v>
      </c>
      <c r="BJ108" s="338" t="str">
        <f ca="1">IFERROR(__xludf.DUMMYFUNCTION("IFERROR(VLOOKUP(F240,IMPORTRANGE(""https://docs.google.com/spreadsheets/d/1Kvs4KS76FHFqLFIZfrDMff4kP08nblUkihrxltoGBjg/edit#gid=934712705"",""ESENCIAL!A6:BG""),2,FALSE))"),"En ejecucion")</f>
        <v>En ejecucion</v>
      </c>
      <c r="BK108" s="338" t="str">
        <f t="shared" si="15"/>
        <v>Yamboro</v>
      </c>
      <c r="BL108" s="260"/>
      <c r="BM108" s="260"/>
    </row>
    <row r="109" spans="1:65" s="164" customFormat="1" ht="15" customHeight="1">
      <c r="A109" s="533" t="s">
        <v>762</v>
      </c>
      <c r="B109" s="540"/>
      <c r="C109" s="534" t="s">
        <v>25</v>
      </c>
      <c r="D109" s="533" t="s">
        <v>935</v>
      </c>
      <c r="E109" s="533" t="s">
        <v>27</v>
      </c>
      <c r="F109" s="533">
        <v>1000217227</v>
      </c>
      <c r="G109" s="533">
        <v>2252425</v>
      </c>
      <c r="H109" s="541" t="str">
        <f ca="1">IFERROR(__xludf.DUMMYFUNCTION("IFERROR(VLOOKUP(F194,IMPORTRANGE(""https://docs.google.com/spreadsheets/d/1Kvs4KS76FHFqLFIZfrDMff4kP08nblUkihrxltoGBjg/edit#gid=934712705"",""ESENCIAL!A6:BG""),3,FALSE))"),"TECNÓLOGO")</f>
        <v>TECNÓLOGO</v>
      </c>
      <c r="I109" s="541" t="str">
        <f ca="1">IFERROR(__xludf.DUMMYFUNCTION("IFERROR(VLOOKUP(F194,IMPORTRANGE(""https://docs.google.com/spreadsheets/d/1Kvs4KS76FHFqLFIZfrDMff4kP08nblUkihrxltoGBjg/edit#gid=934712705"",""ESENCIAL!A6:BG""),8,FALSE))"),"GESTION DE REDES DE DATOS")</f>
        <v>GESTION DE REDES DE DATOS</v>
      </c>
      <c r="J109" s="535">
        <v>573212591002</v>
      </c>
      <c r="K109" s="535" t="s">
        <v>936</v>
      </c>
      <c r="L109" s="535" t="s">
        <v>937</v>
      </c>
      <c r="M109" s="532" t="s">
        <v>250</v>
      </c>
      <c r="N109" s="532" t="s">
        <v>938</v>
      </c>
      <c r="O109" s="533" t="s">
        <v>939</v>
      </c>
      <c r="P109" s="533">
        <v>3234856548</v>
      </c>
      <c r="Q109" s="533" t="s">
        <v>81</v>
      </c>
      <c r="R109" s="542" t="s">
        <v>940</v>
      </c>
      <c r="S109" s="543">
        <v>44826</v>
      </c>
      <c r="T109" s="544">
        <v>45007</v>
      </c>
      <c r="U109" s="545"/>
      <c r="V109" s="533" t="s">
        <v>941</v>
      </c>
      <c r="W109" s="533"/>
      <c r="X109" s="533"/>
      <c r="Y109" s="533"/>
      <c r="Z109" s="533"/>
      <c r="AA109" s="533"/>
      <c r="AB109" s="533"/>
      <c r="AC109" s="533"/>
      <c r="AD109" s="578"/>
      <c r="AE109" s="578"/>
      <c r="AF109" s="533"/>
      <c r="AG109" s="533"/>
      <c r="AH109" s="533"/>
      <c r="AI109" s="533"/>
      <c r="AJ109" s="586"/>
      <c r="AK109" s="533"/>
      <c r="AL109" s="533"/>
      <c r="AM109" s="533"/>
      <c r="AN109" s="533"/>
      <c r="AO109" s="533"/>
      <c r="AP109" s="533"/>
      <c r="AQ109" s="533"/>
      <c r="AR109" s="533"/>
      <c r="AS109" s="533"/>
      <c r="AT109" s="533"/>
      <c r="AU109" s="533"/>
      <c r="AV109" s="528" t="str">
        <f t="shared" ca="1" si="12"/>
        <v>Procede_E_P</v>
      </c>
      <c r="AW109" s="338" t="str">
        <f ca="1">IFERROR(__xludf.DUMMYFUNCTION("IFERROR(VLOOKUP(E194&amp;F194,IMPORTRANGE(""https://docs.google.com/spreadsheets/d/1Uw7-A9f9R21vMXxHZFNpYNeKFtG8_yji4HS352LGlSQ/edit?pli=1#gid=0"",""1_ACUM!A4:S""),11,FALSE))"),"EN FORMACION")</f>
        <v>EN FORMACION</v>
      </c>
      <c r="AX109" s="462" t="str">
        <f ca="1">IFERROR(__xludf.DUMMYFUNCTION("IFERROR(VLOOKUP(F194,IMPORTRANGE(""https://docs.google.com/spreadsheets/d/1Kvs4KS76FHFqLFIZfrDMff4kP08nblUkihrxltoGBjg/edit#gid=934712705"",""ESENCIAL!A6:BG""),15,FALSE))"),"TIC")</f>
        <v>TIC</v>
      </c>
      <c r="AY109" s="462">
        <f ca="1">IFERROR(__xludf.DUMMYFUNCTION("IFERROR(VLOOKUP(E194&amp;F194,IMPORTRANGE(""https://docs.google.com/spreadsheets/d/1Uw7-A9f9R21vMXxHZFNpYNeKFtG8_yji4HS352LGlSQ/edit?pli=1#gid=0"",""1_ACUM!A4:S""),13,FALSE))"),0)</f>
        <v>0</v>
      </c>
      <c r="AZ109" s="528">
        <f ca="1">IFERROR(__xludf.DUMMYFUNCTION("IFERROR(VLOOKUP(E194&amp;F194,IMPORTRANGE(""https://docs.google.com/spreadsheets/d/1Uw7-A9f9R21vMXxHZFNpYNeKFtG8_yji4HS352LGlSQ/edit?pli=1#gid=0"",""1_ACUM!A4:S""),13,FALSE))"),0)</f>
        <v>0</v>
      </c>
      <c r="BA109" s="528">
        <f ca="1">IFERROR(__xludf.DUMMYFUNCTION("IFERROR(VLOOKUP(E194&amp;F194,IMPORTRANGE(""https://docs.google.com/spreadsheets/d/1Uw7-A9f9R21vMXxHZFNpYNeKFtG8_yji4HS352LGlSQ/edit?pli=1#gid=0"",""1_ACUM!A4:S""),14,FALSE))"),1)</f>
        <v>1</v>
      </c>
      <c r="BB109" s="528">
        <f ca="1">IFERROR(__xludf.DUMMYFUNCTION("IFERROR(VLOOKUP(E194&amp;F194,IMPORTRANGE(""https://docs.google.com/spreadsheets/d/1Uw7-A9f9R21vMXxHZFNpYNeKFtG8_yji4HS352LGlSQ/edit?pli=1#gid=0"",""1_ACUM!A4:S""),15,FALSE))"),0)</f>
        <v>0</v>
      </c>
      <c r="BC109" s="528">
        <f ca="1">IFERROR(__xludf.DUMMYFUNCTION("IFERROR(VLOOKUP(E194&amp;F194,IMPORTRANGE(""https://docs.google.com/spreadsheets/d/1Uw7-A9f9R21vMXxHZFNpYNeKFtG8_yji4HS352LGlSQ/edit?pli=1#gid=0"",""1_ACUM!A4:S""),16,FALSE))"),0)</f>
        <v>0</v>
      </c>
      <c r="BD109" s="528">
        <f ca="1">IFERROR(__xludf.DUMMYFUNCTION("IFERROR(VLOOKUP(E194&amp;F194,IMPORTRANGE(""https://docs.google.com/spreadsheets/d/1Uw7-A9f9R21vMXxHZFNpYNeKFtG8_yji4HS352LGlSQ/edit?pli=1#gid=0"",""1_ACUM!A4:S""),17,FALSE))"),1)</f>
        <v>1</v>
      </c>
      <c r="BE109" s="546">
        <f ca="1">IFERROR(__xludf.DUMMYFUNCTION("IFERROR(VLOOKUP(E194&amp;F194,IMPORTRANGE(""https://docs.google.com/spreadsheets/d/1Uw7-A9f9R21vMXxHZFNpYNeKFtG8_yji4HS352LGlSQ/edit?pli=1#gid=0"",""1_ACUM!A4:S""),18,FALSE))"),44183)</f>
        <v>44183</v>
      </c>
      <c r="BF109" s="546">
        <f ca="1">IFERROR(__xludf.DUMMYFUNCTION("IFERROR(VLOOKUP(E194&amp;F194,IMPORTRANGE(""https://docs.google.com/spreadsheets/d/1Uw7-A9f9R21vMXxHZFNpYNeKFtG8_yji4HS352LGlSQ/edit?pli=1#gid=0"",""1_ACUM!A4:S""),19,FALSE))"),44821)</f>
        <v>44821</v>
      </c>
      <c r="BG109" s="461">
        <f ca="1">IFERROR(__xludf.DUMMYFUNCTION("IFERROR(VLOOKUP(F194,IMPORTRANGE(""https://docs.google.com/spreadsheets/d/1Kvs4KS76FHFqLFIZfrDMff4kP08nblUkihrxltoGBjg/edit#gid=934712705"",""ESENCIAL!A6:BG""),5,FALSE))"),45002)</f>
        <v>45002</v>
      </c>
      <c r="BH109" s="461">
        <f t="shared" ca="1" si="13"/>
        <v>45552</v>
      </c>
      <c r="BI109" s="338" t="str">
        <f t="shared" ca="1" si="14"/>
        <v>FICHA EN TIEMPO-18 MESES</v>
      </c>
      <c r="BJ109" s="338" t="str">
        <f ca="1">IFERROR(__xludf.DUMMYFUNCTION("IFERROR(VLOOKUP(F194,IMPORTRANGE(""https://docs.google.com/spreadsheets/d/1Kvs4KS76FHFqLFIZfrDMff4kP08nblUkihrxltoGBjg/edit#gid=934712705"",""ESENCIAL!A6:BG""),2,FALSE))"),"En ejecucion")</f>
        <v>En ejecucion</v>
      </c>
      <c r="BK109" s="338" t="str">
        <f t="shared" si="15"/>
        <v>Yamboro</v>
      </c>
      <c r="BL109" s="284"/>
      <c r="BM109" s="284"/>
    </row>
    <row r="110" spans="1:65" s="164" customFormat="1" ht="15" customHeight="1">
      <c r="A110" s="533" t="s">
        <v>762</v>
      </c>
      <c r="B110" s="540"/>
      <c r="C110" s="534" t="s">
        <v>25</v>
      </c>
      <c r="D110" s="533" t="s">
        <v>942</v>
      </c>
      <c r="E110" s="533" t="s">
        <v>67</v>
      </c>
      <c r="F110" s="533">
        <v>1004440838</v>
      </c>
      <c r="G110" s="533">
        <v>2252425</v>
      </c>
      <c r="H110" s="541" t="str">
        <f ca="1">IFERROR(__xludf.DUMMYFUNCTION("IFERROR(VLOOKUP(F195,IMPORTRANGE(""https://docs.google.com/spreadsheets/d/1Kvs4KS76FHFqLFIZfrDMff4kP08nblUkihrxltoGBjg/edit#gid=934712705"",""ESENCIAL!A6:BG""),3,FALSE))"),"TECNÓLOGO")</f>
        <v>TECNÓLOGO</v>
      </c>
      <c r="I110" s="541" t="str">
        <f ca="1">IFERROR(__xludf.DUMMYFUNCTION("IFERROR(VLOOKUP(F195,IMPORTRANGE(""https://docs.google.com/spreadsheets/d/1Kvs4KS76FHFqLFIZfrDMff4kP08nblUkihrxltoGBjg/edit#gid=934712705"",""ESENCIAL!A6:BG""),8,FALSE))"),"GESTION DE REDES DE DATOS")</f>
        <v>GESTION DE REDES DE DATOS</v>
      </c>
      <c r="J110" s="535"/>
      <c r="K110" s="535"/>
      <c r="L110" s="535"/>
      <c r="M110" s="570" t="s">
        <v>44</v>
      </c>
      <c r="N110" s="532"/>
      <c r="O110" s="533"/>
      <c r="P110" s="533"/>
      <c r="Q110" s="533"/>
      <c r="R110" s="542"/>
      <c r="S110" s="543"/>
      <c r="T110" s="544"/>
      <c r="U110" s="545" t="s">
        <v>943</v>
      </c>
      <c r="V110" s="533"/>
      <c r="W110" s="533"/>
      <c r="X110" s="533"/>
      <c r="Y110" s="533"/>
      <c r="Z110" s="533"/>
      <c r="AA110" s="533"/>
      <c r="AB110" s="533"/>
      <c r="AC110" s="533"/>
      <c r="AD110" s="578"/>
      <c r="AE110" s="578"/>
      <c r="AF110" s="533"/>
      <c r="AG110" s="533"/>
      <c r="AH110" s="533"/>
      <c r="AI110" s="533"/>
      <c r="AJ110" s="586"/>
      <c r="AK110" s="533"/>
      <c r="AL110" s="533"/>
      <c r="AM110" s="533"/>
      <c r="AN110" s="533"/>
      <c r="AO110" s="533"/>
      <c r="AP110" s="533"/>
      <c r="AQ110" s="533"/>
      <c r="AR110" s="533"/>
      <c r="AS110" s="533"/>
      <c r="AT110" s="533"/>
      <c r="AU110" s="533"/>
      <c r="AV110" s="528" t="str">
        <f t="shared" ca="1" si="12"/>
        <v>NO_CUMPLE</v>
      </c>
      <c r="AW110" s="338" t="str">
        <f ca="1">IFERROR(__xludf.DUMMYFUNCTION("IFERROR(VLOOKUP(E195&amp;F195,IMPORTRANGE(""https://docs.google.com/spreadsheets/d/1Uw7-A9f9R21vMXxHZFNpYNeKFtG8_yji4HS352LGlSQ/edit?pli=1#gid=0"",""1_ACUM!A4:S""),11,FALSE))"),"EN FORMACION")</f>
        <v>EN FORMACION</v>
      </c>
      <c r="AX110" s="462" t="str">
        <f ca="1">IFERROR(__xludf.DUMMYFUNCTION("IFERROR(VLOOKUP(F195,IMPORTRANGE(""https://docs.google.com/spreadsheets/d/1Kvs4KS76FHFqLFIZfrDMff4kP08nblUkihrxltoGBjg/edit#gid=934712705"",""ESENCIAL!A6:BG""),15,FALSE))"),"TIC")</f>
        <v>TIC</v>
      </c>
      <c r="AY110" s="462">
        <f ca="1">IFERROR(__xludf.DUMMYFUNCTION("IFERROR(VLOOKUP(E195&amp;F195,IMPORTRANGE(""https://docs.google.com/spreadsheets/d/1Uw7-A9f9R21vMXxHZFNpYNeKFtG8_yji4HS352LGlSQ/edit?pli=1#gid=0"",""1_ACUM!A4:S""),13,FALSE))"),6)</f>
        <v>6</v>
      </c>
      <c r="AZ110" s="528">
        <f ca="1">IFERROR(__xludf.DUMMYFUNCTION("IFERROR(VLOOKUP(E195&amp;F195,IMPORTRANGE(""https://docs.google.com/spreadsheets/d/1Uw7-A9f9R21vMXxHZFNpYNeKFtG8_yji4HS352LGlSQ/edit?pli=1#gid=0"",""1_ACUM!A4:S""),13,FALSE))"),6)</f>
        <v>6</v>
      </c>
      <c r="BA110" s="528">
        <f ca="1">IFERROR(__xludf.DUMMYFUNCTION("IFERROR(VLOOKUP(E195&amp;F195,IMPORTRANGE(""https://docs.google.com/spreadsheets/d/1Uw7-A9f9R21vMXxHZFNpYNeKFtG8_yji4HS352LGlSQ/edit?pli=1#gid=0"",""1_ACUM!A4:S""),14,FALSE))"),1)</f>
        <v>1</v>
      </c>
      <c r="BB110" s="528">
        <f ca="1">IFERROR(__xludf.DUMMYFUNCTION("IFERROR(VLOOKUP(E195&amp;F195,IMPORTRANGE(""https://docs.google.com/spreadsheets/d/1Uw7-A9f9R21vMXxHZFNpYNeKFtG8_yji4HS352LGlSQ/edit?pli=1#gid=0"",""1_ACUM!A4:S""),15,FALSE))"),6)</f>
        <v>6</v>
      </c>
      <c r="BC110" s="528">
        <f ca="1">IFERROR(__xludf.DUMMYFUNCTION("IFERROR(VLOOKUP(E195&amp;F195,IMPORTRANGE(""https://docs.google.com/spreadsheets/d/1Uw7-A9f9R21vMXxHZFNpYNeKFtG8_yji4HS352LGlSQ/edit?pli=1#gid=0"",""1_ACUM!A4:S""),16,FALSE))"),7)</f>
        <v>7</v>
      </c>
      <c r="BD110" s="528">
        <f ca="1">IFERROR(__xludf.DUMMYFUNCTION("IFERROR(VLOOKUP(E195&amp;F195,IMPORTRANGE(""https://docs.google.com/spreadsheets/d/1Uw7-A9f9R21vMXxHZFNpYNeKFtG8_yji4HS352LGlSQ/edit?pli=1#gid=0"",""1_ACUM!A4:S""),17,FALSE))"),20)</f>
        <v>20</v>
      </c>
      <c r="BE110" s="546">
        <f ca="1">IFERROR(__xludf.DUMMYFUNCTION("IFERROR(VLOOKUP(E195&amp;F195,IMPORTRANGE(""https://docs.google.com/spreadsheets/d/1Uw7-A9f9R21vMXxHZFNpYNeKFtG8_yji4HS352LGlSQ/edit?pli=1#gid=0"",""1_ACUM!A4:S""),18,FALSE))"),44183)</f>
        <v>44183</v>
      </c>
      <c r="BF110" s="546">
        <f ca="1">IFERROR(__xludf.DUMMYFUNCTION("IFERROR(VLOOKUP(E195&amp;F195,IMPORTRANGE(""https://docs.google.com/spreadsheets/d/1Uw7-A9f9R21vMXxHZFNpYNeKFtG8_yji4HS352LGlSQ/edit?pli=1#gid=0"",""1_ACUM!A4:S""),19,FALSE))"),44821)</f>
        <v>44821</v>
      </c>
      <c r="BG110" s="461">
        <f ca="1">IFERROR(__xludf.DUMMYFUNCTION("IFERROR(VLOOKUP(F195,IMPORTRANGE(""https://docs.google.com/spreadsheets/d/1Kvs4KS76FHFqLFIZfrDMff4kP08nblUkihrxltoGBjg/edit#gid=934712705"",""ESENCIAL!A6:BG""),5,FALSE))"),45002)</f>
        <v>45002</v>
      </c>
      <c r="BH110" s="461">
        <f t="shared" ca="1" si="13"/>
        <v>45552</v>
      </c>
      <c r="BI110" s="338" t="str">
        <f t="shared" ca="1" si="14"/>
        <v>FICHA EN TIEMPO-18 MESES</v>
      </c>
      <c r="BJ110" s="338" t="str">
        <f ca="1">IFERROR(__xludf.DUMMYFUNCTION("IFERROR(VLOOKUP(F195,IMPORTRANGE(""https://docs.google.com/spreadsheets/d/1Kvs4KS76FHFqLFIZfrDMff4kP08nblUkihrxltoGBjg/edit#gid=934712705"",""ESENCIAL!A6:BG""),2,FALSE))"),"En ejecucion")</f>
        <v>En ejecucion</v>
      </c>
      <c r="BK110" s="338" t="str">
        <f t="shared" si="15"/>
        <v>Yamboro</v>
      </c>
      <c r="BL110" s="284"/>
      <c r="BM110" s="284"/>
    </row>
    <row r="111" spans="1:65" s="255" customFormat="1" ht="15" customHeight="1">
      <c r="A111" s="533" t="s">
        <v>762</v>
      </c>
      <c r="B111" s="540"/>
      <c r="C111" s="534" t="s">
        <v>25</v>
      </c>
      <c r="D111" s="533" t="s">
        <v>944</v>
      </c>
      <c r="E111" s="533" t="s">
        <v>27</v>
      </c>
      <c r="F111" s="533">
        <v>1007475186</v>
      </c>
      <c r="G111" s="533">
        <v>2252425</v>
      </c>
      <c r="H111" s="541" t="str">
        <f ca="1">IFERROR(__xludf.DUMMYFUNCTION("IFERROR(VLOOKUP(F196,IMPORTRANGE(""https://docs.google.com/spreadsheets/d/1Kvs4KS76FHFqLFIZfrDMff4kP08nblUkihrxltoGBjg/edit#gid=934712705"",""ESENCIAL!A6:BG""),3,FALSE))"),"TECNÓLOGO")</f>
        <v>TECNÓLOGO</v>
      </c>
      <c r="I111" s="541" t="str">
        <f ca="1">IFERROR(__xludf.DUMMYFUNCTION("IFERROR(VLOOKUP(F196,IMPORTRANGE(""https://docs.google.com/spreadsheets/d/1Kvs4KS76FHFqLFIZfrDMff4kP08nblUkihrxltoGBjg/edit#gid=934712705"",""ESENCIAL!A6:BG""),8,FALSE))"),"GESTION DE REDES DE DATOS")</f>
        <v>GESTION DE REDES DE DATOS</v>
      </c>
      <c r="J111" s="535"/>
      <c r="K111" s="583" t="s">
        <v>945</v>
      </c>
      <c r="L111" s="535" t="s">
        <v>946</v>
      </c>
      <c r="M111" s="532" t="s">
        <v>37</v>
      </c>
      <c r="N111" s="532" t="s">
        <v>947</v>
      </c>
      <c r="O111" s="533"/>
      <c r="P111" s="533"/>
      <c r="Q111" s="533"/>
      <c r="R111" s="542"/>
      <c r="S111" s="543" t="s">
        <v>948</v>
      </c>
      <c r="T111" s="544">
        <v>45264</v>
      </c>
      <c r="U111" s="545"/>
      <c r="V111" s="533"/>
      <c r="W111" s="533"/>
      <c r="X111" s="533"/>
      <c r="Y111" s="533"/>
      <c r="Z111" s="533"/>
      <c r="AA111" s="533"/>
      <c r="AB111" s="533"/>
      <c r="AC111" s="533"/>
      <c r="AD111" s="578"/>
      <c r="AE111" s="578"/>
      <c r="AF111" s="533"/>
      <c r="AG111" s="533"/>
      <c r="AH111" s="533"/>
      <c r="AI111" s="533"/>
      <c r="AJ111" s="586"/>
      <c r="AK111" s="533"/>
      <c r="AL111" s="533"/>
      <c r="AM111" s="533"/>
      <c r="AN111" s="533"/>
      <c r="AO111" s="533"/>
      <c r="AP111" s="533"/>
      <c r="AQ111" s="533"/>
      <c r="AR111" s="533"/>
      <c r="AS111" s="533"/>
      <c r="AT111" s="533"/>
      <c r="AU111" s="533"/>
      <c r="AV111" s="528" t="str">
        <f t="shared" ca="1" si="12"/>
        <v>Procede_E_P</v>
      </c>
      <c r="AW111" s="338" t="str">
        <f ca="1">IFERROR(__xludf.DUMMYFUNCTION("IFERROR(VLOOKUP(E196&amp;F196,IMPORTRANGE(""https://docs.google.com/spreadsheets/d/1Uw7-A9f9R21vMXxHZFNpYNeKFtG8_yji4HS352LGlSQ/edit?pli=1#gid=0"",""1_ACUM!A4:S""),11,FALSE))"),"EN FORMACION")</f>
        <v>EN FORMACION</v>
      </c>
      <c r="AX111" s="462" t="str">
        <f ca="1">IFERROR(__xludf.DUMMYFUNCTION("IFERROR(VLOOKUP(F196,IMPORTRANGE(""https://docs.google.com/spreadsheets/d/1Kvs4KS76FHFqLFIZfrDMff4kP08nblUkihrxltoGBjg/edit#gid=934712705"",""ESENCIAL!A6:BG""),15,FALSE))"),"TIC")</f>
        <v>TIC</v>
      </c>
      <c r="AY111" s="462">
        <f ca="1">IFERROR(__xludf.DUMMYFUNCTION("IFERROR(VLOOKUP(E196&amp;F196,IMPORTRANGE(""https://docs.google.com/spreadsheets/d/1Uw7-A9f9R21vMXxHZFNpYNeKFtG8_yji4HS352LGlSQ/edit?pli=1#gid=0"",""1_ACUM!A4:S""),13,FALSE))"),0)</f>
        <v>0</v>
      </c>
      <c r="AZ111" s="528">
        <f ca="1">IFERROR(__xludf.DUMMYFUNCTION("IFERROR(VLOOKUP(E196&amp;F196,IMPORTRANGE(""https://docs.google.com/spreadsheets/d/1Uw7-A9f9R21vMXxHZFNpYNeKFtG8_yji4HS352LGlSQ/edit?pli=1#gid=0"",""1_ACUM!A4:S""),13,FALSE))"),0)</f>
        <v>0</v>
      </c>
      <c r="BA111" s="528">
        <f ca="1">IFERROR(__xludf.DUMMYFUNCTION("IFERROR(VLOOKUP(E196&amp;F196,IMPORTRANGE(""https://docs.google.com/spreadsheets/d/1Uw7-A9f9R21vMXxHZFNpYNeKFtG8_yji4HS352LGlSQ/edit?pli=1#gid=0"",""1_ACUM!A4:S""),14,FALSE))"),1)</f>
        <v>1</v>
      </c>
      <c r="BB111" s="528">
        <f ca="1">IFERROR(__xludf.DUMMYFUNCTION("IFERROR(VLOOKUP(E196&amp;F196,IMPORTRANGE(""https://docs.google.com/spreadsheets/d/1Uw7-A9f9R21vMXxHZFNpYNeKFtG8_yji4HS352LGlSQ/edit?pli=1#gid=0"",""1_ACUM!A4:S""),15,FALSE))"),0)</f>
        <v>0</v>
      </c>
      <c r="BC111" s="528">
        <f ca="1">IFERROR(__xludf.DUMMYFUNCTION("IFERROR(VLOOKUP(E196&amp;F196,IMPORTRANGE(""https://docs.google.com/spreadsheets/d/1Uw7-A9f9R21vMXxHZFNpYNeKFtG8_yji4HS352LGlSQ/edit?pli=1#gid=0"",""1_ACUM!A4:S""),16,FALSE))"),0)</f>
        <v>0</v>
      </c>
      <c r="BD111" s="528">
        <f ca="1">IFERROR(__xludf.DUMMYFUNCTION("IFERROR(VLOOKUP(E196&amp;F196,IMPORTRANGE(""https://docs.google.com/spreadsheets/d/1Uw7-A9f9R21vMXxHZFNpYNeKFtG8_yji4HS352LGlSQ/edit?pli=1#gid=0"",""1_ACUM!A4:S""),17,FALSE))"),1)</f>
        <v>1</v>
      </c>
      <c r="BE111" s="546">
        <f ca="1">IFERROR(__xludf.DUMMYFUNCTION("IFERROR(VLOOKUP(E196&amp;F196,IMPORTRANGE(""https://docs.google.com/spreadsheets/d/1Uw7-A9f9R21vMXxHZFNpYNeKFtG8_yji4HS352LGlSQ/edit?pli=1#gid=0"",""1_ACUM!A4:S""),18,FALSE))"),44183)</f>
        <v>44183</v>
      </c>
      <c r="BF111" s="546">
        <f ca="1">IFERROR(__xludf.DUMMYFUNCTION("IFERROR(VLOOKUP(E196&amp;F196,IMPORTRANGE(""https://docs.google.com/spreadsheets/d/1Uw7-A9f9R21vMXxHZFNpYNeKFtG8_yji4HS352LGlSQ/edit?pli=1#gid=0"",""1_ACUM!A4:S""),19,FALSE))"),44821)</f>
        <v>44821</v>
      </c>
      <c r="BG111" s="461">
        <f ca="1">IFERROR(__xludf.DUMMYFUNCTION("IFERROR(VLOOKUP(F196,IMPORTRANGE(""https://docs.google.com/spreadsheets/d/1Kvs4KS76FHFqLFIZfrDMff4kP08nblUkihrxltoGBjg/edit#gid=934712705"",""ESENCIAL!A6:BG""),5,FALSE))"),45002)</f>
        <v>45002</v>
      </c>
      <c r="BH111" s="461">
        <f t="shared" ca="1" si="13"/>
        <v>45552</v>
      </c>
      <c r="BI111" s="338" t="str">
        <f t="shared" ca="1" si="14"/>
        <v>FICHA EN TIEMPO-18 MESES</v>
      </c>
      <c r="BJ111" s="338" t="str">
        <f ca="1">IFERROR(__xludf.DUMMYFUNCTION("IFERROR(VLOOKUP(F196,IMPORTRANGE(""https://docs.google.com/spreadsheets/d/1Kvs4KS76FHFqLFIZfrDMff4kP08nblUkihrxltoGBjg/edit#gid=934712705"",""ESENCIAL!A6:BG""),2,FALSE))"),"En ejecucion")</f>
        <v>En ejecucion</v>
      </c>
      <c r="BK111" s="338" t="str">
        <f t="shared" si="15"/>
        <v>Yamboro</v>
      </c>
      <c r="BL111" s="340"/>
      <c r="BM111" s="340"/>
    </row>
    <row r="112" spans="1:65" s="164" customFormat="1" ht="15" customHeight="1">
      <c r="A112" s="533" t="s">
        <v>762</v>
      </c>
      <c r="B112" s="540"/>
      <c r="C112" s="534" t="s">
        <v>25</v>
      </c>
      <c r="D112" s="533" t="s">
        <v>949</v>
      </c>
      <c r="E112" s="533" t="s">
        <v>27</v>
      </c>
      <c r="F112" s="533">
        <v>1081699749</v>
      </c>
      <c r="G112" s="533">
        <v>2252425</v>
      </c>
      <c r="H112" s="541" t="str">
        <f ca="1">IFERROR(__xludf.DUMMYFUNCTION("IFERROR(VLOOKUP(F197,IMPORTRANGE(""https://docs.google.com/spreadsheets/d/1Kvs4KS76FHFqLFIZfrDMff4kP08nblUkihrxltoGBjg/edit#gid=934712705"",""ESENCIAL!A6:BG""),3,FALSE))"),"TECNÓLOGO")</f>
        <v>TECNÓLOGO</v>
      </c>
      <c r="I112" s="541" t="str">
        <f ca="1">IFERROR(__xludf.DUMMYFUNCTION("IFERROR(VLOOKUP(F197,IMPORTRANGE(""https://docs.google.com/spreadsheets/d/1Kvs4KS76FHFqLFIZfrDMff4kP08nblUkihrxltoGBjg/edit#gid=934712705"",""ESENCIAL!A6:BG""),8,FALSE))"),"GESTION DE REDES DE DATOS")</f>
        <v>GESTION DE REDES DE DATOS</v>
      </c>
      <c r="J112" s="535">
        <v>3104717402</v>
      </c>
      <c r="K112" s="535" t="s">
        <v>950</v>
      </c>
      <c r="L112" s="535" t="s">
        <v>84</v>
      </c>
      <c r="M112" s="532" t="s">
        <v>250</v>
      </c>
      <c r="N112" s="532" t="s">
        <v>951</v>
      </c>
      <c r="O112" s="533" t="s">
        <v>952</v>
      </c>
      <c r="P112" s="533">
        <v>3108872355</v>
      </c>
      <c r="Q112" s="533" t="s">
        <v>84</v>
      </c>
      <c r="R112" s="542" t="s">
        <v>953</v>
      </c>
      <c r="S112" s="543">
        <v>44823</v>
      </c>
      <c r="T112" s="544">
        <v>45002</v>
      </c>
      <c r="U112" s="545"/>
      <c r="V112" s="533" t="s">
        <v>941</v>
      </c>
      <c r="W112" s="533"/>
      <c r="X112" s="533"/>
      <c r="Y112" s="533"/>
      <c r="Z112" s="533"/>
      <c r="AA112" s="533"/>
      <c r="AB112" s="533"/>
      <c r="AC112" s="533"/>
      <c r="AD112" s="578"/>
      <c r="AE112" s="578"/>
      <c r="AF112" s="533"/>
      <c r="AG112" s="533"/>
      <c r="AH112" s="533"/>
      <c r="AI112" s="533"/>
      <c r="AJ112" s="586"/>
      <c r="AK112" s="533"/>
      <c r="AL112" s="533"/>
      <c r="AM112" s="533"/>
      <c r="AN112" s="533"/>
      <c r="AO112" s="533"/>
      <c r="AP112" s="533"/>
      <c r="AQ112" s="533"/>
      <c r="AR112" s="533"/>
      <c r="AS112" s="533"/>
      <c r="AT112" s="533"/>
      <c r="AU112" s="533" t="s">
        <v>954</v>
      </c>
      <c r="AV112" s="528" t="str">
        <f t="shared" ca="1" si="12"/>
        <v>Procede_E_P</v>
      </c>
      <c r="AW112" s="338" t="str">
        <f ca="1">IFERROR(__xludf.DUMMYFUNCTION("IFERROR(VLOOKUP(E197&amp;F197,IMPORTRANGE(""https://docs.google.com/spreadsheets/d/1Uw7-A9f9R21vMXxHZFNpYNeKFtG8_yji4HS352LGlSQ/edit?pli=1#gid=0"",""1_ACUM!A4:S""),11,FALSE))"),"EN FORMACION")</f>
        <v>EN FORMACION</v>
      </c>
      <c r="AX112" s="462" t="str">
        <f ca="1">IFERROR(__xludf.DUMMYFUNCTION("IFERROR(VLOOKUP(F197,IMPORTRANGE(""https://docs.google.com/spreadsheets/d/1Kvs4KS76FHFqLFIZfrDMff4kP08nblUkihrxltoGBjg/edit#gid=934712705"",""ESENCIAL!A6:BG""),15,FALSE))"),"TIC")</f>
        <v>TIC</v>
      </c>
      <c r="AY112" s="462">
        <f ca="1">IFERROR(__xludf.DUMMYFUNCTION("IFERROR(VLOOKUP(E197&amp;F197,IMPORTRANGE(""https://docs.google.com/spreadsheets/d/1Uw7-A9f9R21vMXxHZFNpYNeKFtG8_yji4HS352LGlSQ/edit?pli=1#gid=0"",""1_ACUM!A4:S""),13,FALSE))"),0)</f>
        <v>0</v>
      </c>
      <c r="AZ112" s="528">
        <f ca="1">IFERROR(__xludf.DUMMYFUNCTION("IFERROR(VLOOKUP(E197&amp;F197,IMPORTRANGE(""https://docs.google.com/spreadsheets/d/1Uw7-A9f9R21vMXxHZFNpYNeKFtG8_yji4HS352LGlSQ/edit?pli=1#gid=0"",""1_ACUM!A4:S""),13,FALSE))"),0)</f>
        <v>0</v>
      </c>
      <c r="BA112" s="528">
        <f ca="1">IFERROR(__xludf.DUMMYFUNCTION("IFERROR(VLOOKUP(E197&amp;F197,IMPORTRANGE(""https://docs.google.com/spreadsheets/d/1Uw7-A9f9R21vMXxHZFNpYNeKFtG8_yji4HS352LGlSQ/edit?pli=1#gid=0"",""1_ACUM!A4:S""),14,FALSE))"),1)</f>
        <v>1</v>
      </c>
      <c r="BB112" s="528">
        <f ca="1">IFERROR(__xludf.DUMMYFUNCTION("IFERROR(VLOOKUP(E197&amp;F197,IMPORTRANGE(""https://docs.google.com/spreadsheets/d/1Uw7-A9f9R21vMXxHZFNpYNeKFtG8_yji4HS352LGlSQ/edit?pli=1#gid=0"",""1_ACUM!A4:S""),15,FALSE))"),0)</f>
        <v>0</v>
      </c>
      <c r="BC112" s="528">
        <f ca="1">IFERROR(__xludf.DUMMYFUNCTION("IFERROR(VLOOKUP(E197&amp;F197,IMPORTRANGE(""https://docs.google.com/spreadsheets/d/1Uw7-A9f9R21vMXxHZFNpYNeKFtG8_yji4HS352LGlSQ/edit?pli=1#gid=0"",""1_ACUM!A4:S""),16,FALSE))"),0)</f>
        <v>0</v>
      </c>
      <c r="BD112" s="528">
        <f ca="1">IFERROR(__xludf.DUMMYFUNCTION("IFERROR(VLOOKUP(E197&amp;F197,IMPORTRANGE(""https://docs.google.com/spreadsheets/d/1Uw7-A9f9R21vMXxHZFNpYNeKFtG8_yji4HS352LGlSQ/edit?pli=1#gid=0"",""1_ACUM!A4:S""),17,FALSE))"),1)</f>
        <v>1</v>
      </c>
      <c r="BE112" s="546">
        <f ca="1">IFERROR(__xludf.DUMMYFUNCTION("IFERROR(VLOOKUP(E197&amp;F197,IMPORTRANGE(""https://docs.google.com/spreadsheets/d/1Uw7-A9f9R21vMXxHZFNpYNeKFtG8_yji4HS352LGlSQ/edit?pli=1#gid=0"",""1_ACUM!A4:S""),18,FALSE))"),44183)</f>
        <v>44183</v>
      </c>
      <c r="BF112" s="546">
        <f ca="1">IFERROR(__xludf.DUMMYFUNCTION("IFERROR(VLOOKUP(E197&amp;F197,IMPORTRANGE(""https://docs.google.com/spreadsheets/d/1Uw7-A9f9R21vMXxHZFNpYNeKFtG8_yji4HS352LGlSQ/edit?pli=1#gid=0"",""1_ACUM!A4:S""),19,FALSE))"),44821)</f>
        <v>44821</v>
      </c>
      <c r="BG112" s="461">
        <f ca="1">IFERROR(__xludf.DUMMYFUNCTION("IFERROR(VLOOKUP(F197,IMPORTRANGE(""https://docs.google.com/spreadsheets/d/1Kvs4KS76FHFqLFIZfrDMff4kP08nblUkihrxltoGBjg/edit#gid=934712705"",""ESENCIAL!A6:BG""),5,FALSE))"),45002)</f>
        <v>45002</v>
      </c>
      <c r="BH112" s="461">
        <f t="shared" ca="1" si="13"/>
        <v>45552</v>
      </c>
      <c r="BI112" s="338" t="str">
        <f t="shared" ca="1" si="14"/>
        <v>FICHA EN TIEMPO-18 MESES</v>
      </c>
      <c r="BJ112" s="338" t="str">
        <f ca="1">IFERROR(__xludf.DUMMYFUNCTION("IFERROR(VLOOKUP(F197,IMPORTRANGE(""https://docs.google.com/spreadsheets/d/1Kvs4KS76FHFqLFIZfrDMff4kP08nblUkihrxltoGBjg/edit#gid=934712705"",""ESENCIAL!A6:BG""),2,FALSE))"),"En ejecucion")</f>
        <v>En ejecucion</v>
      </c>
      <c r="BK112" s="338" t="str">
        <f t="shared" si="15"/>
        <v>Yamboro</v>
      </c>
      <c r="BL112" s="284"/>
      <c r="BM112" s="284"/>
    </row>
    <row r="113" spans="1:65" s="164" customFormat="1" ht="15" customHeight="1">
      <c r="A113" s="533" t="s">
        <v>762</v>
      </c>
      <c r="B113" s="540"/>
      <c r="C113" s="534" t="s">
        <v>25</v>
      </c>
      <c r="D113" s="533" t="s">
        <v>955</v>
      </c>
      <c r="E113" s="533" t="s">
        <v>27</v>
      </c>
      <c r="F113" s="533">
        <v>1083864205</v>
      </c>
      <c r="G113" s="533">
        <v>2252425</v>
      </c>
      <c r="H113" s="541" t="str">
        <f ca="1">IFERROR(__xludf.DUMMYFUNCTION("IFERROR(VLOOKUP(F198,IMPORTRANGE(""https://docs.google.com/spreadsheets/d/1Kvs4KS76FHFqLFIZfrDMff4kP08nblUkihrxltoGBjg/edit#gid=934712705"",""ESENCIAL!A6:BG""),3,FALSE))"),"TECNÓLOGO")</f>
        <v>TECNÓLOGO</v>
      </c>
      <c r="I113" s="541" t="str">
        <f ca="1">IFERROR(__xludf.DUMMYFUNCTION("IFERROR(VLOOKUP(F198,IMPORTRANGE(""https://docs.google.com/spreadsheets/d/1Kvs4KS76FHFqLFIZfrDMff4kP08nblUkihrxltoGBjg/edit#gid=934712705"",""ESENCIAL!A6:BG""),8,FALSE))"),"GESTION DE REDES DE DATOS")</f>
        <v>GESTION DE REDES DE DATOS</v>
      </c>
      <c r="J113" s="535">
        <v>3185168188</v>
      </c>
      <c r="K113" s="535" t="s">
        <v>956</v>
      </c>
      <c r="L113" s="535" t="s">
        <v>84</v>
      </c>
      <c r="M113" s="532" t="s">
        <v>250</v>
      </c>
      <c r="N113" s="532" t="s">
        <v>957</v>
      </c>
      <c r="O113" s="533" t="s">
        <v>958</v>
      </c>
      <c r="P113" s="533">
        <v>3108050762</v>
      </c>
      <c r="Q113" s="533" t="s">
        <v>84</v>
      </c>
      <c r="R113" s="542" t="s">
        <v>959</v>
      </c>
      <c r="S113" s="543">
        <v>44841</v>
      </c>
      <c r="T113" s="544">
        <v>45022</v>
      </c>
      <c r="U113" s="545"/>
      <c r="V113" s="533" t="s">
        <v>941</v>
      </c>
      <c r="W113" s="533"/>
      <c r="X113" s="533"/>
      <c r="Y113" s="533"/>
      <c r="Z113" s="533"/>
      <c r="AA113" s="533"/>
      <c r="AB113" s="533"/>
      <c r="AC113" s="533"/>
      <c r="AD113" s="578"/>
      <c r="AE113" s="578"/>
      <c r="AF113" s="533"/>
      <c r="AG113" s="533"/>
      <c r="AH113" s="533"/>
      <c r="AI113" s="533"/>
      <c r="AJ113" s="586"/>
      <c r="AK113" s="533"/>
      <c r="AL113" s="533"/>
      <c r="AM113" s="533"/>
      <c r="AN113" s="533"/>
      <c r="AO113" s="533"/>
      <c r="AP113" s="533"/>
      <c r="AQ113" s="533"/>
      <c r="AR113" s="533"/>
      <c r="AS113" s="533"/>
      <c r="AT113" s="533"/>
      <c r="AU113" s="533" t="s">
        <v>954</v>
      </c>
      <c r="AV113" s="528" t="str">
        <f t="shared" ca="1" si="12"/>
        <v>Procede_E_P</v>
      </c>
      <c r="AW113" s="338" t="str">
        <f ca="1">IFERROR(__xludf.DUMMYFUNCTION("IFERROR(VLOOKUP(E198&amp;F198,IMPORTRANGE(""https://docs.google.com/spreadsheets/d/1Uw7-A9f9R21vMXxHZFNpYNeKFtG8_yji4HS352LGlSQ/edit?pli=1#gid=0"",""1_ACUM!A4:S""),11,FALSE))"),"EN FORMACION")</f>
        <v>EN FORMACION</v>
      </c>
      <c r="AX113" s="462" t="str">
        <f ca="1">IFERROR(__xludf.DUMMYFUNCTION("IFERROR(VLOOKUP(F198,IMPORTRANGE(""https://docs.google.com/spreadsheets/d/1Kvs4KS76FHFqLFIZfrDMff4kP08nblUkihrxltoGBjg/edit#gid=934712705"",""ESENCIAL!A6:BG""),15,FALSE))"),"TIC")</f>
        <v>TIC</v>
      </c>
      <c r="AY113" s="462">
        <f ca="1">IFERROR(__xludf.DUMMYFUNCTION("IFERROR(VLOOKUP(E198&amp;F198,IMPORTRANGE(""https://docs.google.com/spreadsheets/d/1Uw7-A9f9R21vMXxHZFNpYNeKFtG8_yji4HS352LGlSQ/edit?pli=1#gid=0"",""1_ACUM!A4:S""),13,FALSE))"),0)</f>
        <v>0</v>
      </c>
      <c r="AZ113" s="528">
        <f ca="1">IFERROR(__xludf.DUMMYFUNCTION("IFERROR(VLOOKUP(E198&amp;F198,IMPORTRANGE(""https://docs.google.com/spreadsheets/d/1Uw7-A9f9R21vMXxHZFNpYNeKFtG8_yji4HS352LGlSQ/edit?pli=1#gid=0"",""1_ACUM!A4:S""),13,FALSE))"),0)</f>
        <v>0</v>
      </c>
      <c r="BA113" s="528">
        <f ca="1">IFERROR(__xludf.DUMMYFUNCTION("IFERROR(VLOOKUP(E198&amp;F198,IMPORTRANGE(""https://docs.google.com/spreadsheets/d/1Uw7-A9f9R21vMXxHZFNpYNeKFtG8_yji4HS352LGlSQ/edit?pli=1#gid=0"",""1_ACUM!A4:S""),14,FALSE))"),1)</f>
        <v>1</v>
      </c>
      <c r="BB113" s="528">
        <f ca="1">IFERROR(__xludf.DUMMYFUNCTION("IFERROR(VLOOKUP(E198&amp;F198,IMPORTRANGE(""https://docs.google.com/spreadsheets/d/1Uw7-A9f9R21vMXxHZFNpYNeKFtG8_yji4HS352LGlSQ/edit?pli=1#gid=0"",""1_ACUM!A4:S""),15,FALSE))"),0)</f>
        <v>0</v>
      </c>
      <c r="BC113" s="528">
        <f ca="1">IFERROR(__xludf.DUMMYFUNCTION("IFERROR(VLOOKUP(E198&amp;F198,IMPORTRANGE(""https://docs.google.com/spreadsheets/d/1Uw7-A9f9R21vMXxHZFNpYNeKFtG8_yji4HS352LGlSQ/edit?pli=1#gid=0"",""1_ACUM!A4:S""),16,FALSE))"),0)</f>
        <v>0</v>
      </c>
      <c r="BD113" s="528">
        <f ca="1">IFERROR(__xludf.DUMMYFUNCTION("IFERROR(VLOOKUP(E198&amp;F198,IMPORTRANGE(""https://docs.google.com/spreadsheets/d/1Uw7-A9f9R21vMXxHZFNpYNeKFtG8_yji4HS352LGlSQ/edit?pli=1#gid=0"",""1_ACUM!A4:S""),17,FALSE))"),1)</f>
        <v>1</v>
      </c>
      <c r="BE113" s="546">
        <f ca="1">IFERROR(__xludf.DUMMYFUNCTION("IFERROR(VLOOKUP(E198&amp;F198,IMPORTRANGE(""https://docs.google.com/spreadsheets/d/1Uw7-A9f9R21vMXxHZFNpYNeKFtG8_yji4HS352LGlSQ/edit?pli=1#gid=0"",""1_ACUM!A4:S""),18,FALSE))"),44183)</f>
        <v>44183</v>
      </c>
      <c r="BF113" s="546">
        <f ca="1">IFERROR(__xludf.DUMMYFUNCTION("IFERROR(VLOOKUP(E198&amp;F198,IMPORTRANGE(""https://docs.google.com/spreadsheets/d/1Uw7-A9f9R21vMXxHZFNpYNeKFtG8_yji4HS352LGlSQ/edit?pli=1#gid=0"",""1_ACUM!A4:S""),19,FALSE))"),44821)</f>
        <v>44821</v>
      </c>
      <c r="BG113" s="461">
        <f ca="1">IFERROR(__xludf.DUMMYFUNCTION("IFERROR(VLOOKUP(F198,IMPORTRANGE(""https://docs.google.com/spreadsheets/d/1Kvs4KS76FHFqLFIZfrDMff4kP08nblUkihrxltoGBjg/edit#gid=934712705"",""ESENCIAL!A6:BG""),5,FALSE))"),45002)</f>
        <v>45002</v>
      </c>
      <c r="BH113" s="461">
        <f t="shared" ca="1" si="13"/>
        <v>45552</v>
      </c>
      <c r="BI113" s="338" t="str">
        <f t="shared" ca="1" si="14"/>
        <v>FICHA EN TIEMPO-18 MESES</v>
      </c>
      <c r="BJ113" s="338" t="str">
        <f ca="1">IFERROR(__xludf.DUMMYFUNCTION("IFERROR(VLOOKUP(F198,IMPORTRANGE(""https://docs.google.com/spreadsheets/d/1Kvs4KS76FHFqLFIZfrDMff4kP08nblUkihrxltoGBjg/edit#gid=934712705"",""ESENCIAL!A6:BG""),2,FALSE))"),"En ejecucion")</f>
        <v>En ejecucion</v>
      </c>
      <c r="BK113" s="338" t="str">
        <f t="shared" si="15"/>
        <v>Yamboro</v>
      </c>
      <c r="BL113" s="284"/>
      <c r="BM113" s="284"/>
    </row>
    <row r="114" spans="1:65" s="164" customFormat="1" ht="15" customHeight="1">
      <c r="A114" s="533" t="s">
        <v>762</v>
      </c>
      <c r="B114" s="540"/>
      <c r="C114" s="534" t="s">
        <v>25</v>
      </c>
      <c r="D114" s="533" t="s">
        <v>960</v>
      </c>
      <c r="E114" s="533" t="s">
        <v>27</v>
      </c>
      <c r="F114" s="533">
        <v>1083865570</v>
      </c>
      <c r="G114" s="533">
        <v>2252425</v>
      </c>
      <c r="H114" s="541" t="str">
        <f ca="1">IFERROR(__xludf.DUMMYFUNCTION("IFERROR(VLOOKUP(F199,IMPORTRANGE(""https://docs.google.com/spreadsheets/d/1Kvs4KS76FHFqLFIZfrDMff4kP08nblUkihrxltoGBjg/edit#gid=934712705"",""ESENCIAL!A6:BG""),3,FALSE))"),"TECNÓLOGO")</f>
        <v>TECNÓLOGO</v>
      </c>
      <c r="I114" s="541" t="str">
        <f ca="1">IFERROR(__xludf.DUMMYFUNCTION("IFERROR(VLOOKUP(F199,IMPORTRANGE(""https://docs.google.com/spreadsheets/d/1Kvs4KS76FHFqLFIZfrDMff4kP08nblUkihrxltoGBjg/edit#gid=934712705"",""ESENCIAL!A6:BG""),8,FALSE))"),"GESTION DE REDES DE DATOS")</f>
        <v>GESTION DE REDES DE DATOS</v>
      </c>
      <c r="J114" s="535"/>
      <c r="K114" s="535"/>
      <c r="L114" s="535"/>
      <c r="M114" s="570" t="s">
        <v>44</v>
      </c>
      <c r="N114" s="532"/>
      <c r="O114" s="533"/>
      <c r="P114" s="533"/>
      <c r="Q114" s="533"/>
      <c r="R114" s="542"/>
      <c r="S114" s="543"/>
      <c r="T114" s="544"/>
      <c r="U114" s="545"/>
      <c r="V114" s="533"/>
      <c r="W114" s="533"/>
      <c r="X114" s="533"/>
      <c r="Y114" s="533"/>
      <c r="Z114" s="533"/>
      <c r="AA114" s="533"/>
      <c r="AB114" s="533"/>
      <c r="AC114" s="533"/>
      <c r="AD114" s="578"/>
      <c r="AE114" s="578"/>
      <c r="AF114" s="533"/>
      <c r="AG114" s="533"/>
      <c r="AH114" s="533"/>
      <c r="AI114" s="533"/>
      <c r="AJ114" s="586"/>
      <c r="AK114" s="533"/>
      <c r="AL114" s="533"/>
      <c r="AM114" s="533"/>
      <c r="AN114" s="533"/>
      <c r="AO114" s="533"/>
      <c r="AP114" s="533"/>
      <c r="AQ114" s="533"/>
      <c r="AR114" s="533"/>
      <c r="AS114" s="533"/>
      <c r="AT114" s="533"/>
      <c r="AU114" s="533"/>
      <c r="AV114" s="528" t="str">
        <f t="shared" ca="1" si="12"/>
        <v>Procede_E_P</v>
      </c>
      <c r="AW114" s="338" t="str">
        <f ca="1">IFERROR(__xludf.DUMMYFUNCTION("IFERROR(VLOOKUP(E199&amp;F199,IMPORTRANGE(""https://docs.google.com/spreadsheets/d/1Uw7-A9f9R21vMXxHZFNpYNeKFtG8_yji4HS352LGlSQ/edit?pli=1#gid=0"",""1_ACUM!A4:S""),11,FALSE))"),"EN FORMACION")</f>
        <v>EN FORMACION</v>
      </c>
      <c r="AX114" s="462" t="str">
        <f ca="1">IFERROR(__xludf.DUMMYFUNCTION("IFERROR(VLOOKUP(F199,IMPORTRANGE(""https://docs.google.com/spreadsheets/d/1Kvs4KS76FHFqLFIZfrDMff4kP08nblUkihrxltoGBjg/edit#gid=934712705"",""ESENCIAL!A6:BG""),15,FALSE))"),"TIC")</f>
        <v>TIC</v>
      </c>
      <c r="AY114" s="462">
        <f ca="1">IFERROR(__xludf.DUMMYFUNCTION("IFERROR(VLOOKUP(E199&amp;F199,IMPORTRANGE(""https://docs.google.com/spreadsheets/d/1Uw7-A9f9R21vMXxHZFNpYNeKFtG8_yji4HS352LGlSQ/edit?pli=1#gid=0"",""1_ACUM!A4:S""),13,FALSE))"),0)</f>
        <v>0</v>
      </c>
      <c r="AZ114" s="528">
        <f ca="1">IFERROR(__xludf.DUMMYFUNCTION("IFERROR(VLOOKUP(E199&amp;F199,IMPORTRANGE(""https://docs.google.com/spreadsheets/d/1Uw7-A9f9R21vMXxHZFNpYNeKFtG8_yji4HS352LGlSQ/edit?pli=1#gid=0"",""1_ACUM!A4:S""),13,FALSE))"),0)</f>
        <v>0</v>
      </c>
      <c r="BA114" s="528">
        <f ca="1">IFERROR(__xludf.DUMMYFUNCTION("IFERROR(VLOOKUP(E199&amp;F199,IMPORTRANGE(""https://docs.google.com/spreadsheets/d/1Uw7-A9f9R21vMXxHZFNpYNeKFtG8_yji4HS352LGlSQ/edit?pli=1#gid=0"",""1_ACUM!A4:S""),14,FALSE))"),1)</f>
        <v>1</v>
      </c>
      <c r="BB114" s="528">
        <f ca="1">IFERROR(__xludf.DUMMYFUNCTION("IFERROR(VLOOKUP(E199&amp;F199,IMPORTRANGE(""https://docs.google.com/spreadsheets/d/1Uw7-A9f9R21vMXxHZFNpYNeKFtG8_yji4HS352LGlSQ/edit?pli=1#gid=0"",""1_ACUM!A4:S""),15,FALSE))"),0)</f>
        <v>0</v>
      </c>
      <c r="BC114" s="528">
        <f ca="1">IFERROR(__xludf.DUMMYFUNCTION("IFERROR(VLOOKUP(E199&amp;F199,IMPORTRANGE(""https://docs.google.com/spreadsheets/d/1Uw7-A9f9R21vMXxHZFNpYNeKFtG8_yji4HS352LGlSQ/edit?pli=1#gid=0"",""1_ACUM!A4:S""),16,FALSE))"),0)</f>
        <v>0</v>
      </c>
      <c r="BD114" s="528">
        <f ca="1">IFERROR(__xludf.DUMMYFUNCTION("IFERROR(VLOOKUP(E199&amp;F199,IMPORTRANGE(""https://docs.google.com/spreadsheets/d/1Uw7-A9f9R21vMXxHZFNpYNeKFtG8_yji4HS352LGlSQ/edit?pli=1#gid=0"",""1_ACUM!A4:S""),17,FALSE))"),1)</f>
        <v>1</v>
      </c>
      <c r="BE114" s="546">
        <f ca="1">IFERROR(__xludf.DUMMYFUNCTION("IFERROR(VLOOKUP(E199&amp;F199,IMPORTRANGE(""https://docs.google.com/spreadsheets/d/1Uw7-A9f9R21vMXxHZFNpYNeKFtG8_yji4HS352LGlSQ/edit?pli=1#gid=0"",""1_ACUM!A4:S""),18,FALSE))"),44183)</f>
        <v>44183</v>
      </c>
      <c r="BF114" s="546">
        <f ca="1">IFERROR(__xludf.DUMMYFUNCTION("IFERROR(VLOOKUP(E199&amp;F199,IMPORTRANGE(""https://docs.google.com/spreadsheets/d/1Uw7-A9f9R21vMXxHZFNpYNeKFtG8_yji4HS352LGlSQ/edit?pli=1#gid=0"",""1_ACUM!A4:S""),19,FALSE))"),44821)</f>
        <v>44821</v>
      </c>
      <c r="BG114" s="461">
        <f ca="1">IFERROR(__xludf.DUMMYFUNCTION("IFERROR(VLOOKUP(F199,IMPORTRANGE(""https://docs.google.com/spreadsheets/d/1Kvs4KS76FHFqLFIZfrDMff4kP08nblUkihrxltoGBjg/edit#gid=934712705"",""ESENCIAL!A6:BG""),5,FALSE))"),45002)</f>
        <v>45002</v>
      </c>
      <c r="BH114" s="461">
        <f t="shared" ca="1" si="13"/>
        <v>45552</v>
      </c>
      <c r="BI114" s="338" t="str">
        <f t="shared" ca="1" si="14"/>
        <v>FICHA EN TIEMPO-18 MESES</v>
      </c>
      <c r="BJ114" s="338" t="str">
        <f ca="1">IFERROR(__xludf.DUMMYFUNCTION("IFERROR(VLOOKUP(F199,IMPORTRANGE(""https://docs.google.com/spreadsheets/d/1Kvs4KS76FHFqLFIZfrDMff4kP08nblUkihrxltoGBjg/edit#gid=934712705"",""ESENCIAL!A6:BG""),2,FALSE))"),"En ejecucion")</f>
        <v>En ejecucion</v>
      </c>
      <c r="BK114" s="338" t="str">
        <f t="shared" si="15"/>
        <v>Yamboro</v>
      </c>
      <c r="BL114" s="284"/>
      <c r="BM114" s="284"/>
    </row>
    <row r="115" spans="1:65" s="164" customFormat="1" ht="15" customHeight="1">
      <c r="A115" s="533" t="s">
        <v>762</v>
      </c>
      <c r="B115" s="540"/>
      <c r="C115" s="534" t="s">
        <v>25</v>
      </c>
      <c r="D115" s="533" t="s">
        <v>961</v>
      </c>
      <c r="E115" s="533" t="s">
        <v>67</v>
      </c>
      <c r="F115" s="533">
        <v>1083984323</v>
      </c>
      <c r="G115" s="533">
        <v>2252425</v>
      </c>
      <c r="H115" s="541" t="str">
        <f ca="1">IFERROR(__xludf.DUMMYFUNCTION("IFERROR(VLOOKUP(F200,IMPORTRANGE(""https://docs.google.com/spreadsheets/d/1Kvs4KS76FHFqLFIZfrDMff4kP08nblUkihrxltoGBjg/edit#gid=934712705"",""ESENCIAL!A6:BG""),3,FALSE))"),"TECNÓLOGO")</f>
        <v>TECNÓLOGO</v>
      </c>
      <c r="I115" s="541" t="str">
        <f ca="1">IFERROR(__xludf.DUMMYFUNCTION("IFERROR(VLOOKUP(F200,IMPORTRANGE(""https://docs.google.com/spreadsheets/d/1Kvs4KS76FHFqLFIZfrDMff4kP08nblUkihrxltoGBjg/edit#gid=934712705"",""ESENCIAL!A6:BG""),8,FALSE))"),"GESTION DE REDES DE DATOS")</f>
        <v>GESTION DE REDES DE DATOS</v>
      </c>
      <c r="J115" s="535"/>
      <c r="K115" s="535"/>
      <c r="L115" s="535"/>
      <c r="M115" s="570" t="s">
        <v>44</v>
      </c>
      <c r="N115" s="532"/>
      <c r="O115" s="533"/>
      <c r="P115" s="533"/>
      <c r="Q115" s="533"/>
      <c r="R115" s="542"/>
      <c r="S115" s="543"/>
      <c r="T115" s="544"/>
      <c r="U115" s="545"/>
      <c r="V115" s="533"/>
      <c r="W115" s="533"/>
      <c r="X115" s="533"/>
      <c r="Y115" s="533"/>
      <c r="Z115" s="533"/>
      <c r="AA115" s="533"/>
      <c r="AB115" s="533"/>
      <c r="AC115" s="533"/>
      <c r="AD115" s="578"/>
      <c r="AE115" s="578"/>
      <c r="AF115" s="533"/>
      <c r="AG115" s="533"/>
      <c r="AH115" s="533"/>
      <c r="AI115" s="533"/>
      <c r="AJ115" s="586"/>
      <c r="AK115" s="533"/>
      <c r="AL115" s="533"/>
      <c r="AM115" s="533"/>
      <c r="AN115" s="533"/>
      <c r="AO115" s="533"/>
      <c r="AP115" s="533"/>
      <c r="AQ115" s="533"/>
      <c r="AR115" s="533"/>
      <c r="AS115" s="533"/>
      <c r="AT115" s="533"/>
      <c r="AU115" s="533"/>
      <c r="AV115" s="528" t="str">
        <f t="shared" ca="1" si="12"/>
        <v>Procede_E_P</v>
      </c>
      <c r="AW115" s="338" t="str">
        <f ca="1">IFERROR(__xludf.DUMMYFUNCTION("IFERROR(VLOOKUP(E200&amp;F200,IMPORTRANGE(""https://docs.google.com/spreadsheets/d/1Uw7-A9f9R21vMXxHZFNpYNeKFtG8_yji4HS352LGlSQ/edit?pli=1#gid=0"",""1_ACUM!A4:S""),11,FALSE))"),"EN FORMACION")</f>
        <v>EN FORMACION</v>
      </c>
      <c r="AX115" s="462" t="str">
        <f ca="1">IFERROR(__xludf.DUMMYFUNCTION("IFERROR(VLOOKUP(F200,IMPORTRANGE(""https://docs.google.com/spreadsheets/d/1Kvs4KS76FHFqLFIZfrDMff4kP08nblUkihrxltoGBjg/edit#gid=934712705"",""ESENCIAL!A6:BG""),15,FALSE))"),"TIC")</f>
        <v>TIC</v>
      </c>
      <c r="AY115" s="462">
        <f ca="1">IFERROR(__xludf.DUMMYFUNCTION("IFERROR(VLOOKUP(E200&amp;F200,IMPORTRANGE(""https://docs.google.com/spreadsheets/d/1Uw7-A9f9R21vMXxHZFNpYNeKFtG8_yji4HS352LGlSQ/edit?pli=1#gid=0"",""1_ACUM!A4:S""),13,FALSE))"),0)</f>
        <v>0</v>
      </c>
      <c r="AZ115" s="528">
        <f ca="1">IFERROR(__xludf.DUMMYFUNCTION("IFERROR(VLOOKUP(E200&amp;F200,IMPORTRANGE(""https://docs.google.com/spreadsheets/d/1Uw7-A9f9R21vMXxHZFNpYNeKFtG8_yji4HS352LGlSQ/edit?pli=1#gid=0"",""1_ACUM!A4:S""),13,FALSE))"),0)</f>
        <v>0</v>
      </c>
      <c r="BA115" s="528">
        <f ca="1">IFERROR(__xludf.DUMMYFUNCTION("IFERROR(VLOOKUP(E200&amp;F200,IMPORTRANGE(""https://docs.google.com/spreadsheets/d/1Uw7-A9f9R21vMXxHZFNpYNeKFtG8_yji4HS352LGlSQ/edit?pli=1#gid=0"",""1_ACUM!A4:S""),14,FALSE))"),1)</f>
        <v>1</v>
      </c>
      <c r="BB115" s="528">
        <f ca="1">IFERROR(__xludf.DUMMYFUNCTION("IFERROR(VLOOKUP(E200&amp;F200,IMPORTRANGE(""https://docs.google.com/spreadsheets/d/1Uw7-A9f9R21vMXxHZFNpYNeKFtG8_yji4HS352LGlSQ/edit?pli=1#gid=0"",""1_ACUM!A4:S""),15,FALSE))"),0)</f>
        <v>0</v>
      </c>
      <c r="BC115" s="528">
        <f ca="1">IFERROR(__xludf.DUMMYFUNCTION("IFERROR(VLOOKUP(E200&amp;F200,IMPORTRANGE(""https://docs.google.com/spreadsheets/d/1Uw7-A9f9R21vMXxHZFNpYNeKFtG8_yji4HS352LGlSQ/edit?pli=1#gid=0"",""1_ACUM!A4:S""),16,FALSE))"),0)</f>
        <v>0</v>
      </c>
      <c r="BD115" s="528">
        <f ca="1">IFERROR(__xludf.DUMMYFUNCTION("IFERROR(VLOOKUP(E200&amp;F200,IMPORTRANGE(""https://docs.google.com/spreadsheets/d/1Uw7-A9f9R21vMXxHZFNpYNeKFtG8_yji4HS352LGlSQ/edit?pli=1#gid=0"",""1_ACUM!A4:S""),17,FALSE))"),1)</f>
        <v>1</v>
      </c>
      <c r="BE115" s="546">
        <f ca="1">IFERROR(__xludf.DUMMYFUNCTION("IFERROR(VLOOKUP(E200&amp;F200,IMPORTRANGE(""https://docs.google.com/spreadsheets/d/1Uw7-A9f9R21vMXxHZFNpYNeKFtG8_yji4HS352LGlSQ/edit?pli=1#gid=0"",""1_ACUM!A4:S""),18,FALSE))"),44183)</f>
        <v>44183</v>
      </c>
      <c r="BF115" s="546">
        <f ca="1">IFERROR(__xludf.DUMMYFUNCTION("IFERROR(VLOOKUP(E200&amp;F200,IMPORTRANGE(""https://docs.google.com/spreadsheets/d/1Uw7-A9f9R21vMXxHZFNpYNeKFtG8_yji4HS352LGlSQ/edit?pli=1#gid=0"",""1_ACUM!A4:S""),19,FALSE))"),44821)</f>
        <v>44821</v>
      </c>
      <c r="BG115" s="461">
        <f ca="1">IFERROR(__xludf.DUMMYFUNCTION("IFERROR(VLOOKUP(F200,IMPORTRANGE(""https://docs.google.com/spreadsheets/d/1Kvs4KS76FHFqLFIZfrDMff4kP08nblUkihrxltoGBjg/edit#gid=934712705"",""ESENCIAL!A6:BG""),5,FALSE))"),45002)</f>
        <v>45002</v>
      </c>
      <c r="BH115" s="461">
        <f t="shared" ca="1" si="13"/>
        <v>45552</v>
      </c>
      <c r="BI115" s="338" t="str">
        <f t="shared" ca="1" si="14"/>
        <v>FICHA EN TIEMPO-18 MESES</v>
      </c>
      <c r="BJ115" s="338" t="str">
        <f ca="1">IFERROR(__xludf.DUMMYFUNCTION("IFERROR(VLOOKUP(F200,IMPORTRANGE(""https://docs.google.com/spreadsheets/d/1Kvs4KS76FHFqLFIZfrDMff4kP08nblUkihrxltoGBjg/edit#gid=934712705"",""ESENCIAL!A6:BG""),2,FALSE))"),"En ejecucion")</f>
        <v>En ejecucion</v>
      </c>
      <c r="BK115" s="338" t="str">
        <f t="shared" si="15"/>
        <v>Yamboro</v>
      </c>
      <c r="BL115" s="284"/>
      <c r="BM115" s="284"/>
    </row>
    <row r="116" spans="1:65" s="164" customFormat="1" ht="15" customHeight="1">
      <c r="A116" s="533" t="s">
        <v>762</v>
      </c>
      <c r="B116" s="540"/>
      <c r="C116" s="534" t="s">
        <v>25</v>
      </c>
      <c r="D116" s="533" t="s">
        <v>962</v>
      </c>
      <c r="E116" s="533" t="s">
        <v>27</v>
      </c>
      <c r="F116" s="533">
        <v>1084250053</v>
      </c>
      <c r="G116" s="533">
        <v>2252425</v>
      </c>
      <c r="H116" s="541" t="str">
        <f ca="1">IFERROR(__xludf.DUMMYFUNCTION("IFERROR(VLOOKUP(F201,IMPORTRANGE(""https://docs.google.com/spreadsheets/d/1Kvs4KS76FHFqLFIZfrDMff4kP08nblUkihrxltoGBjg/edit#gid=934712705"",""ESENCIAL!A6:BG""),3,FALSE))"),"TECNÓLOGO")</f>
        <v>TECNÓLOGO</v>
      </c>
      <c r="I116" s="541" t="str">
        <f ca="1">IFERROR(__xludf.DUMMYFUNCTION("IFERROR(VLOOKUP(F201,IMPORTRANGE(""https://docs.google.com/spreadsheets/d/1Kvs4KS76FHFqLFIZfrDMff4kP08nblUkihrxltoGBjg/edit#gid=934712705"",""ESENCIAL!A6:BG""),8,FALSE))"),"GESTION DE REDES DE DATOS")</f>
        <v>GESTION DE REDES DE DATOS</v>
      </c>
      <c r="J116" s="535">
        <v>3168799469</v>
      </c>
      <c r="K116" s="535" t="s">
        <v>963</v>
      </c>
      <c r="L116" s="535" t="s">
        <v>964</v>
      </c>
      <c r="M116" s="532" t="s">
        <v>28</v>
      </c>
      <c r="N116" s="532" t="s">
        <v>965</v>
      </c>
      <c r="O116" s="533" t="s">
        <v>966</v>
      </c>
      <c r="P116" s="533">
        <v>3112669584</v>
      </c>
      <c r="Q116" s="533" t="s">
        <v>84</v>
      </c>
      <c r="R116" s="542" t="s">
        <v>967</v>
      </c>
      <c r="S116" s="543" t="s">
        <v>968</v>
      </c>
      <c r="T116" s="544" t="s">
        <v>969</v>
      </c>
      <c r="U116" s="545"/>
      <c r="V116" s="533" t="s">
        <v>941</v>
      </c>
      <c r="W116" s="533"/>
      <c r="X116" s="533"/>
      <c r="Y116" s="533"/>
      <c r="Z116" s="533"/>
      <c r="AA116" s="533"/>
      <c r="AB116" s="533"/>
      <c r="AC116" s="533"/>
      <c r="AD116" s="578"/>
      <c r="AE116" s="578"/>
      <c r="AF116" s="533"/>
      <c r="AG116" s="533"/>
      <c r="AH116" s="533"/>
      <c r="AI116" s="533"/>
      <c r="AJ116" s="586"/>
      <c r="AK116" s="533"/>
      <c r="AL116" s="533"/>
      <c r="AM116" s="533"/>
      <c r="AN116" s="533"/>
      <c r="AO116" s="533"/>
      <c r="AP116" s="533"/>
      <c r="AQ116" s="533"/>
      <c r="AR116" s="533"/>
      <c r="AS116" s="533"/>
      <c r="AT116" s="533"/>
      <c r="AU116" s="533"/>
      <c r="AV116" s="528" t="str">
        <f t="shared" ca="1" si="12"/>
        <v>Procede_E_P</v>
      </c>
      <c r="AW116" s="338" t="str">
        <f ca="1">IFERROR(__xludf.DUMMYFUNCTION("IFERROR(VLOOKUP(E201&amp;F201,IMPORTRANGE(""https://docs.google.com/spreadsheets/d/1Uw7-A9f9R21vMXxHZFNpYNeKFtG8_yji4HS352LGlSQ/edit?pli=1#gid=0"",""1_ACUM!A4:S""),11,FALSE))"),"EN FORMACION")</f>
        <v>EN FORMACION</v>
      </c>
      <c r="AX116" s="462" t="str">
        <f ca="1">IFERROR(__xludf.DUMMYFUNCTION("IFERROR(VLOOKUP(F201,IMPORTRANGE(""https://docs.google.com/spreadsheets/d/1Kvs4KS76FHFqLFIZfrDMff4kP08nblUkihrxltoGBjg/edit#gid=934712705"",""ESENCIAL!A6:BG""),15,FALSE))"),"TIC")</f>
        <v>TIC</v>
      </c>
      <c r="AY116" s="462">
        <f ca="1">IFERROR(__xludf.DUMMYFUNCTION("IFERROR(VLOOKUP(E201&amp;F201,IMPORTRANGE(""https://docs.google.com/spreadsheets/d/1Uw7-A9f9R21vMXxHZFNpYNeKFtG8_yji4HS352LGlSQ/edit?pli=1#gid=0"",""1_ACUM!A4:S""),13,FALSE))"),0)</f>
        <v>0</v>
      </c>
      <c r="AZ116" s="528">
        <f ca="1">IFERROR(__xludf.DUMMYFUNCTION("IFERROR(VLOOKUP(E201&amp;F201,IMPORTRANGE(""https://docs.google.com/spreadsheets/d/1Uw7-A9f9R21vMXxHZFNpYNeKFtG8_yji4HS352LGlSQ/edit?pli=1#gid=0"",""1_ACUM!A4:S""),13,FALSE))"),0)</f>
        <v>0</v>
      </c>
      <c r="BA116" s="528">
        <f ca="1">IFERROR(__xludf.DUMMYFUNCTION("IFERROR(VLOOKUP(E201&amp;F201,IMPORTRANGE(""https://docs.google.com/spreadsheets/d/1Uw7-A9f9R21vMXxHZFNpYNeKFtG8_yji4HS352LGlSQ/edit?pli=1#gid=0"",""1_ACUM!A4:S""),14,FALSE))"),1)</f>
        <v>1</v>
      </c>
      <c r="BB116" s="528">
        <f ca="1">IFERROR(__xludf.DUMMYFUNCTION("IFERROR(VLOOKUP(E201&amp;F201,IMPORTRANGE(""https://docs.google.com/spreadsheets/d/1Uw7-A9f9R21vMXxHZFNpYNeKFtG8_yji4HS352LGlSQ/edit?pli=1#gid=0"",""1_ACUM!A4:S""),15,FALSE))"),0)</f>
        <v>0</v>
      </c>
      <c r="BC116" s="528">
        <f ca="1">IFERROR(__xludf.DUMMYFUNCTION("IFERROR(VLOOKUP(E201&amp;F201,IMPORTRANGE(""https://docs.google.com/spreadsheets/d/1Uw7-A9f9R21vMXxHZFNpYNeKFtG8_yji4HS352LGlSQ/edit?pli=1#gid=0"",""1_ACUM!A4:S""),16,FALSE))"),0)</f>
        <v>0</v>
      </c>
      <c r="BD116" s="528">
        <f ca="1">IFERROR(__xludf.DUMMYFUNCTION("IFERROR(VLOOKUP(E201&amp;F201,IMPORTRANGE(""https://docs.google.com/spreadsheets/d/1Uw7-A9f9R21vMXxHZFNpYNeKFtG8_yji4HS352LGlSQ/edit?pli=1#gid=0"",""1_ACUM!A4:S""),17,FALSE))"),1)</f>
        <v>1</v>
      </c>
      <c r="BE116" s="546">
        <f ca="1">IFERROR(__xludf.DUMMYFUNCTION("IFERROR(VLOOKUP(E201&amp;F201,IMPORTRANGE(""https://docs.google.com/spreadsheets/d/1Uw7-A9f9R21vMXxHZFNpYNeKFtG8_yji4HS352LGlSQ/edit?pli=1#gid=0"",""1_ACUM!A4:S""),18,FALSE))"),44183)</f>
        <v>44183</v>
      </c>
      <c r="BF116" s="546">
        <f ca="1">IFERROR(__xludf.DUMMYFUNCTION("IFERROR(VLOOKUP(E201&amp;F201,IMPORTRANGE(""https://docs.google.com/spreadsheets/d/1Uw7-A9f9R21vMXxHZFNpYNeKFtG8_yji4HS352LGlSQ/edit?pli=1#gid=0"",""1_ACUM!A4:S""),19,FALSE))"),44821)</f>
        <v>44821</v>
      </c>
      <c r="BG116" s="461">
        <f ca="1">IFERROR(__xludf.DUMMYFUNCTION("IFERROR(VLOOKUP(F201,IMPORTRANGE(""https://docs.google.com/spreadsheets/d/1Kvs4KS76FHFqLFIZfrDMff4kP08nblUkihrxltoGBjg/edit#gid=934712705"",""ESENCIAL!A6:BG""),5,FALSE))"),45002)</f>
        <v>45002</v>
      </c>
      <c r="BH116" s="461">
        <f t="shared" ca="1" si="13"/>
        <v>45552</v>
      </c>
      <c r="BI116" s="338" t="str">
        <f t="shared" ca="1" si="14"/>
        <v>FICHA EN TIEMPO-18 MESES</v>
      </c>
      <c r="BJ116" s="338" t="str">
        <f ca="1">IFERROR(__xludf.DUMMYFUNCTION("IFERROR(VLOOKUP(F201,IMPORTRANGE(""https://docs.google.com/spreadsheets/d/1Kvs4KS76FHFqLFIZfrDMff4kP08nblUkihrxltoGBjg/edit#gid=934712705"",""ESENCIAL!A6:BG""),2,FALSE))"),"En ejecucion")</f>
        <v>En ejecucion</v>
      </c>
      <c r="BK116" s="338" t="str">
        <f t="shared" si="15"/>
        <v>Yamboro</v>
      </c>
      <c r="BL116" s="284"/>
      <c r="BM116" s="284"/>
    </row>
    <row r="117" spans="1:65" s="164" customFormat="1" ht="15" customHeight="1">
      <c r="A117" s="533" t="s">
        <v>762</v>
      </c>
      <c r="B117" s="540"/>
      <c r="C117" s="534" t="s">
        <v>25</v>
      </c>
      <c r="D117" s="533" t="s">
        <v>970</v>
      </c>
      <c r="E117" s="533" t="s">
        <v>27</v>
      </c>
      <c r="F117" s="533">
        <v>1084250063</v>
      </c>
      <c r="G117" s="533">
        <v>2252425</v>
      </c>
      <c r="H117" s="541" t="str">
        <f ca="1">IFERROR(__xludf.DUMMYFUNCTION("IFERROR(VLOOKUP(F202,IMPORTRANGE(""https://docs.google.com/spreadsheets/d/1Kvs4KS76FHFqLFIZfrDMff4kP08nblUkihrxltoGBjg/edit#gid=934712705"",""ESENCIAL!A6:BG""),3,FALSE))"),"TECNÓLOGO")</f>
        <v>TECNÓLOGO</v>
      </c>
      <c r="I117" s="541" t="str">
        <f ca="1">IFERROR(__xludf.DUMMYFUNCTION("IFERROR(VLOOKUP(F202,IMPORTRANGE(""https://docs.google.com/spreadsheets/d/1Kvs4KS76FHFqLFIZfrDMff4kP08nblUkihrxltoGBjg/edit#gid=934712705"",""ESENCIAL!A6:BG""),8,FALSE))"),"GESTION DE REDES DE DATOS")</f>
        <v>GESTION DE REDES DE DATOS</v>
      </c>
      <c r="J117" s="535"/>
      <c r="K117" s="535"/>
      <c r="L117" s="535"/>
      <c r="M117" s="532" t="s">
        <v>37</v>
      </c>
      <c r="N117" s="532" t="s">
        <v>971</v>
      </c>
      <c r="O117" s="533" t="s">
        <v>84</v>
      </c>
      <c r="P117" s="533">
        <v>3175753571</v>
      </c>
      <c r="Q117" s="533" t="s">
        <v>84</v>
      </c>
      <c r="R117" s="542" t="s">
        <v>972</v>
      </c>
      <c r="S117" s="543">
        <v>44860</v>
      </c>
      <c r="T117" s="544">
        <v>45041</v>
      </c>
      <c r="U117" s="545"/>
      <c r="V117" s="533" t="s">
        <v>941</v>
      </c>
      <c r="W117" s="533"/>
      <c r="X117" s="533"/>
      <c r="Y117" s="533"/>
      <c r="Z117" s="533"/>
      <c r="AA117" s="533"/>
      <c r="AB117" s="533"/>
      <c r="AC117" s="533"/>
      <c r="AD117" s="578"/>
      <c r="AE117" s="578"/>
      <c r="AF117" s="533"/>
      <c r="AG117" s="533"/>
      <c r="AH117" s="533"/>
      <c r="AI117" s="533"/>
      <c r="AJ117" s="586"/>
      <c r="AK117" s="533"/>
      <c r="AL117" s="533"/>
      <c r="AM117" s="533"/>
      <c r="AN117" s="533"/>
      <c r="AO117" s="533"/>
      <c r="AP117" s="533"/>
      <c r="AQ117" s="533"/>
      <c r="AR117" s="533"/>
      <c r="AS117" s="533"/>
      <c r="AT117" s="533"/>
      <c r="AU117" s="533" t="s">
        <v>954</v>
      </c>
      <c r="AV117" s="528" t="str">
        <f t="shared" ca="1" si="12"/>
        <v>Procede_E_P</v>
      </c>
      <c r="AW117" s="338" t="str">
        <f ca="1">IFERROR(__xludf.DUMMYFUNCTION("IFERROR(VLOOKUP(E202&amp;F202,IMPORTRANGE(""https://docs.google.com/spreadsheets/d/1Uw7-A9f9R21vMXxHZFNpYNeKFtG8_yji4HS352LGlSQ/edit?pli=1#gid=0"",""1_ACUM!A4:S""),11,FALSE))"),"EN FORMACION")</f>
        <v>EN FORMACION</v>
      </c>
      <c r="AX117" s="462" t="str">
        <f ca="1">IFERROR(__xludf.DUMMYFUNCTION("IFERROR(VLOOKUP(F202,IMPORTRANGE(""https://docs.google.com/spreadsheets/d/1Kvs4KS76FHFqLFIZfrDMff4kP08nblUkihrxltoGBjg/edit#gid=934712705"",""ESENCIAL!A6:BG""),15,FALSE))"),"TIC")</f>
        <v>TIC</v>
      </c>
      <c r="AY117" s="462">
        <f ca="1">IFERROR(__xludf.DUMMYFUNCTION("IFERROR(VLOOKUP(E202&amp;F202,IMPORTRANGE(""https://docs.google.com/spreadsheets/d/1Uw7-A9f9R21vMXxHZFNpYNeKFtG8_yji4HS352LGlSQ/edit?pli=1#gid=0"",""1_ACUM!A4:S""),13,FALSE))"),0)</f>
        <v>0</v>
      </c>
      <c r="AZ117" s="528">
        <f ca="1">IFERROR(__xludf.DUMMYFUNCTION("IFERROR(VLOOKUP(E202&amp;F202,IMPORTRANGE(""https://docs.google.com/spreadsheets/d/1Uw7-A9f9R21vMXxHZFNpYNeKFtG8_yji4HS352LGlSQ/edit?pli=1#gid=0"",""1_ACUM!A4:S""),13,FALSE))"),0)</f>
        <v>0</v>
      </c>
      <c r="BA117" s="528">
        <f ca="1">IFERROR(__xludf.DUMMYFUNCTION("IFERROR(VLOOKUP(E202&amp;F202,IMPORTRANGE(""https://docs.google.com/spreadsheets/d/1Uw7-A9f9R21vMXxHZFNpYNeKFtG8_yji4HS352LGlSQ/edit?pli=1#gid=0"",""1_ACUM!A4:S""),14,FALSE))"),1)</f>
        <v>1</v>
      </c>
      <c r="BB117" s="528">
        <f ca="1">IFERROR(__xludf.DUMMYFUNCTION("IFERROR(VLOOKUP(E202&amp;F202,IMPORTRANGE(""https://docs.google.com/spreadsheets/d/1Uw7-A9f9R21vMXxHZFNpYNeKFtG8_yji4HS352LGlSQ/edit?pli=1#gid=0"",""1_ACUM!A4:S""),15,FALSE))"),0)</f>
        <v>0</v>
      </c>
      <c r="BC117" s="528">
        <f ca="1">IFERROR(__xludf.DUMMYFUNCTION("IFERROR(VLOOKUP(E202&amp;F202,IMPORTRANGE(""https://docs.google.com/spreadsheets/d/1Uw7-A9f9R21vMXxHZFNpYNeKFtG8_yji4HS352LGlSQ/edit?pli=1#gid=0"",""1_ACUM!A4:S""),16,FALSE))"),0)</f>
        <v>0</v>
      </c>
      <c r="BD117" s="528">
        <f ca="1">IFERROR(__xludf.DUMMYFUNCTION("IFERROR(VLOOKUP(E202&amp;F202,IMPORTRANGE(""https://docs.google.com/spreadsheets/d/1Uw7-A9f9R21vMXxHZFNpYNeKFtG8_yji4HS352LGlSQ/edit?pli=1#gid=0"",""1_ACUM!A4:S""),17,FALSE))"),1)</f>
        <v>1</v>
      </c>
      <c r="BE117" s="546">
        <f ca="1">IFERROR(__xludf.DUMMYFUNCTION("IFERROR(VLOOKUP(E202&amp;F202,IMPORTRANGE(""https://docs.google.com/spreadsheets/d/1Uw7-A9f9R21vMXxHZFNpYNeKFtG8_yji4HS352LGlSQ/edit?pli=1#gid=0"",""1_ACUM!A4:S""),18,FALSE))"),44183)</f>
        <v>44183</v>
      </c>
      <c r="BF117" s="546">
        <f ca="1">IFERROR(__xludf.DUMMYFUNCTION("IFERROR(VLOOKUP(E202&amp;F202,IMPORTRANGE(""https://docs.google.com/spreadsheets/d/1Uw7-A9f9R21vMXxHZFNpYNeKFtG8_yji4HS352LGlSQ/edit?pli=1#gid=0"",""1_ACUM!A4:S""),19,FALSE))"),44821)</f>
        <v>44821</v>
      </c>
      <c r="BG117" s="461">
        <f ca="1">IFERROR(__xludf.DUMMYFUNCTION("IFERROR(VLOOKUP(F202,IMPORTRANGE(""https://docs.google.com/spreadsheets/d/1Kvs4KS76FHFqLFIZfrDMff4kP08nblUkihrxltoGBjg/edit#gid=934712705"",""ESENCIAL!A6:BG""),5,FALSE))"),45002)</f>
        <v>45002</v>
      </c>
      <c r="BH117" s="461">
        <f t="shared" ca="1" si="13"/>
        <v>45552</v>
      </c>
      <c r="BI117" s="338" t="str">
        <f t="shared" ca="1" si="14"/>
        <v>FICHA EN TIEMPO-18 MESES</v>
      </c>
      <c r="BJ117" s="338" t="str">
        <f ca="1">IFERROR(__xludf.DUMMYFUNCTION("IFERROR(VLOOKUP(F202,IMPORTRANGE(""https://docs.google.com/spreadsheets/d/1Kvs4KS76FHFqLFIZfrDMff4kP08nblUkihrxltoGBjg/edit#gid=934712705"",""ESENCIAL!A6:BG""),2,FALSE))"),"En ejecucion")</f>
        <v>En ejecucion</v>
      </c>
      <c r="BK117" s="338" t="str">
        <f t="shared" si="15"/>
        <v>Yamboro</v>
      </c>
      <c r="BL117" s="284"/>
      <c r="BM117" s="284"/>
    </row>
    <row r="118" spans="1:65" s="164" customFormat="1" ht="15" customHeight="1">
      <c r="A118" s="533" t="s">
        <v>762</v>
      </c>
      <c r="B118" s="540"/>
      <c r="C118" s="534" t="s">
        <v>25</v>
      </c>
      <c r="D118" s="533" t="s">
        <v>973</v>
      </c>
      <c r="E118" s="533" t="s">
        <v>27</v>
      </c>
      <c r="F118" s="533">
        <v>1084330134</v>
      </c>
      <c r="G118" s="533">
        <v>2252425</v>
      </c>
      <c r="H118" s="541" t="str">
        <f ca="1">IFERROR(__xludf.DUMMYFUNCTION("IFERROR(VLOOKUP(F203,IMPORTRANGE(""https://docs.google.com/spreadsheets/d/1Kvs4KS76FHFqLFIZfrDMff4kP08nblUkihrxltoGBjg/edit#gid=934712705"",""ESENCIAL!A6:BG""),3,FALSE))"),"TECNÓLOGO")</f>
        <v>TECNÓLOGO</v>
      </c>
      <c r="I118" s="541" t="str">
        <f ca="1">IFERROR(__xludf.DUMMYFUNCTION("IFERROR(VLOOKUP(F203,IMPORTRANGE(""https://docs.google.com/spreadsheets/d/1Kvs4KS76FHFqLFIZfrDMff4kP08nblUkihrxltoGBjg/edit#gid=934712705"",""ESENCIAL!A6:BG""),8,FALSE))"),"GESTION DE REDES DE DATOS")</f>
        <v>GESTION DE REDES DE DATOS</v>
      </c>
      <c r="J118" s="535">
        <v>3133200987</v>
      </c>
      <c r="K118" s="535" t="s">
        <v>974</v>
      </c>
      <c r="L118" s="535" t="s">
        <v>58</v>
      </c>
      <c r="M118" s="532" t="s">
        <v>28</v>
      </c>
      <c r="N118" s="532" t="s">
        <v>783</v>
      </c>
      <c r="O118" s="533" t="s">
        <v>975</v>
      </c>
      <c r="P118" s="533">
        <v>3174319288</v>
      </c>
      <c r="Q118" s="533" t="s">
        <v>58</v>
      </c>
      <c r="R118" s="542" t="s">
        <v>976</v>
      </c>
      <c r="S118" s="543">
        <v>45200</v>
      </c>
      <c r="T118" s="544">
        <v>45176</v>
      </c>
      <c r="U118" s="545"/>
      <c r="V118" s="533" t="s">
        <v>941</v>
      </c>
      <c r="W118" s="533"/>
      <c r="X118" s="533"/>
      <c r="Y118" s="533"/>
      <c r="Z118" s="533"/>
      <c r="AA118" s="533"/>
      <c r="AB118" s="533"/>
      <c r="AC118" s="533"/>
      <c r="AD118" s="578"/>
      <c r="AE118" s="578"/>
      <c r="AF118" s="533"/>
      <c r="AG118" s="533"/>
      <c r="AH118" s="533"/>
      <c r="AI118" s="533"/>
      <c r="AJ118" s="586"/>
      <c r="AK118" s="533"/>
      <c r="AL118" s="533"/>
      <c r="AM118" s="533"/>
      <c r="AN118" s="533"/>
      <c r="AO118" s="533"/>
      <c r="AP118" s="533"/>
      <c r="AQ118" s="533"/>
      <c r="AR118" s="533"/>
      <c r="AS118" s="533"/>
      <c r="AT118" s="533"/>
      <c r="AU118" s="533" t="s">
        <v>954</v>
      </c>
      <c r="AV118" s="528" t="str">
        <f t="shared" ca="1" si="12"/>
        <v>Procede_E_P</v>
      </c>
      <c r="AW118" s="338" t="str">
        <f ca="1">IFERROR(__xludf.DUMMYFUNCTION("IFERROR(VLOOKUP(E203&amp;F203,IMPORTRANGE(""https://docs.google.com/spreadsheets/d/1Uw7-A9f9R21vMXxHZFNpYNeKFtG8_yji4HS352LGlSQ/edit?pli=1#gid=0"",""1_ACUM!A4:S""),11,FALSE))"),"EN FORMACION")</f>
        <v>EN FORMACION</v>
      </c>
      <c r="AX118" s="462" t="str">
        <f ca="1">IFERROR(__xludf.DUMMYFUNCTION("IFERROR(VLOOKUP(F203,IMPORTRANGE(""https://docs.google.com/spreadsheets/d/1Kvs4KS76FHFqLFIZfrDMff4kP08nblUkihrxltoGBjg/edit#gid=934712705"",""ESENCIAL!A6:BG""),15,FALSE))"),"TIC")</f>
        <v>TIC</v>
      </c>
      <c r="AY118" s="462">
        <f ca="1">IFERROR(__xludf.DUMMYFUNCTION("IFERROR(VLOOKUP(E203&amp;F203,IMPORTRANGE(""https://docs.google.com/spreadsheets/d/1Uw7-A9f9R21vMXxHZFNpYNeKFtG8_yji4HS352LGlSQ/edit?pli=1#gid=0"",""1_ACUM!A4:S""),13,FALSE))"),0)</f>
        <v>0</v>
      </c>
      <c r="AZ118" s="528">
        <f ca="1">IFERROR(__xludf.DUMMYFUNCTION("IFERROR(VLOOKUP(E203&amp;F203,IMPORTRANGE(""https://docs.google.com/spreadsheets/d/1Uw7-A9f9R21vMXxHZFNpYNeKFtG8_yji4HS352LGlSQ/edit?pli=1#gid=0"",""1_ACUM!A4:S""),13,FALSE))"),0)</f>
        <v>0</v>
      </c>
      <c r="BA118" s="528">
        <f ca="1">IFERROR(__xludf.DUMMYFUNCTION("IFERROR(VLOOKUP(E203&amp;F203,IMPORTRANGE(""https://docs.google.com/spreadsheets/d/1Uw7-A9f9R21vMXxHZFNpYNeKFtG8_yji4HS352LGlSQ/edit?pli=1#gid=0"",""1_ACUM!A4:S""),14,FALSE))"),1)</f>
        <v>1</v>
      </c>
      <c r="BB118" s="528">
        <f ca="1">IFERROR(__xludf.DUMMYFUNCTION("IFERROR(VLOOKUP(E203&amp;F203,IMPORTRANGE(""https://docs.google.com/spreadsheets/d/1Uw7-A9f9R21vMXxHZFNpYNeKFtG8_yji4HS352LGlSQ/edit?pli=1#gid=0"",""1_ACUM!A4:S""),15,FALSE))"),0)</f>
        <v>0</v>
      </c>
      <c r="BC118" s="528">
        <f ca="1">IFERROR(__xludf.DUMMYFUNCTION("IFERROR(VLOOKUP(E203&amp;F203,IMPORTRANGE(""https://docs.google.com/spreadsheets/d/1Uw7-A9f9R21vMXxHZFNpYNeKFtG8_yji4HS352LGlSQ/edit?pli=1#gid=0"",""1_ACUM!A4:S""),16,FALSE))"),0)</f>
        <v>0</v>
      </c>
      <c r="BD118" s="528">
        <f ca="1">IFERROR(__xludf.DUMMYFUNCTION("IFERROR(VLOOKUP(E203&amp;F203,IMPORTRANGE(""https://docs.google.com/spreadsheets/d/1Uw7-A9f9R21vMXxHZFNpYNeKFtG8_yji4HS352LGlSQ/edit?pli=1#gid=0"",""1_ACUM!A4:S""),17,FALSE))"),1)</f>
        <v>1</v>
      </c>
      <c r="BE118" s="546">
        <f ca="1">IFERROR(__xludf.DUMMYFUNCTION("IFERROR(VLOOKUP(E203&amp;F203,IMPORTRANGE(""https://docs.google.com/spreadsheets/d/1Uw7-A9f9R21vMXxHZFNpYNeKFtG8_yji4HS352LGlSQ/edit?pli=1#gid=0"",""1_ACUM!A4:S""),18,FALSE))"),44183)</f>
        <v>44183</v>
      </c>
      <c r="BF118" s="546">
        <f ca="1">IFERROR(__xludf.DUMMYFUNCTION("IFERROR(VLOOKUP(E203&amp;F203,IMPORTRANGE(""https://docs.google.com/spreadsheets/d/1Uw7-A9f9R21vMXxHZFNpYNeKFtG8_yji4HS352LGlSQ/edit?pli=1#gid=0"",""1_ACUM!A4:S""),19,FALSE))"),44821)</f>
        <v>44821</v>
      </c>
      <c r="BG118" s="461">
        <f ca="1">IFERROR(__xludf.DUMMYFUNCTION("IFERROR(VLOOKUP(F203,IMPORTRANGE(""https://docs.google.com/spreadsheets/d/1Kvs4KS76FHFqLFIZfrDMff4kP08nblUkihrxltoGBjg/edit#gid=934712705"",""ESENCIAL!A6:BG""),5,FALSE))"),45002)</f>
        <v>45002</v>
      </c>
      <c r="BH118" s="461">
        <f t="shared" ca="1" si="13"/>
        <v>45552</v>
      </c>
      <c r="BI118" s="338" t="str">
        <f t="shared" ca="1" si="14"/>
        <v>FICHA EN TIEMPO-18 MESES</v>
      </c>
      <c r="BJ118" s="338" t="str">
        <f ca="1">IFERROR(__xludf.DUMMYFUNCTION("IFERROR(VLOOKUP(F203,IMPORTRANGE(""https://docs.google.com/spreadsheets/d/1Kvs4KS76FHFqLFIZfrDMff4kP08nblUkihrxltoGBjg/edit#gid=934712705"",""ESENCIAL!A6:BG""),2,FALSE))"),"En ejecucion")</f>
        <v>En ejecucion</v>
      </c>
      <c r="BK118" s="338" t="str">
        <f t="shared" si="15"/>
        <v>Yamboro</v>
      </c>
      <c r="BL118" s="284"/>
      <c r="BM118" s="284"/>
    </row>
    <row r="119" spans="1:65" s="164" customFormat="1" ht="15" customHeight="1">
      <c r="A119" s="533" t="s">
        <v>762</v>
      </c>
      <c r="B119" s="540"/>
      <c r="C119" s="547" t="s">
        <v>25</v>
      </c>
      <c r="D119" s="537" t="s">
        <v>977</v>
      </c>
      <c r="E119" s="537" t="s">
        <v>27</v>
      </c>
      <c r="F119" s="537">
        <v>1144625759</v>
      </c>
      <c r="G119" s="537">
        <v>2252425</v>
      </c>
      <c r="H119" s="548" t="str">
        <f ca="1">IFERROR(__xludf.DUMMYFUNCTION("IFERROR(VLOOKUP(F204,IMPORTRANGE(""https://docs.google.com/spreadsheets/d/1Kvs4KS76FHFqLFIZfrDMff4kP08nblUkihrxltoGBjg/edit#gid=934712705"",""ESENCIAL!A6:BG""),3,FALSE))"),"TECNÓLOGO")</f>
        <v>TECNÓLOGO</v>
      </c>
      <c r="I119" s="548" t="str">
        <f ca="1">IFERROR(__xludf.DUMMYFUNCTION("IFERROR(VLOOKUP(F204,IMPORTRANGE(""https://docs.google.com/spreadsheets/d/1Kvs4KS76FHFqLFIZfrDMff4kP08nblUkihrxltoGBjg/edit#gid=934712705"",""ESENCIAL!A6:BG""),8,FALSE))"),"GESTION DE REDES DE DATOS")</f>
        <v>GESTION DE REDES DE DATOS</v>
      </c>
      <c r="J119" s="549">
        <v>3227058936</v>
      </c>
      <c r="K119" s="549" t="s">
        <v>978</v>
      </c>
      <c r="L119" s="549" t="s">
        <v>84</v>
      </c>
      <c r="M119" s="550" t="s">
        <v>28</v>
      </c>
      <c r="N119" s="550" t="s">
        <v>979</v>
      </c>
      <c r="O119" s="537" t="s">
        <v>980</v>
      </c>
      <c r="P119" s="537">
        <v>3213391519</v>
      </c>
      <c r="Q119" s="537" t="s">
        <v>981</v>
      </c>
      <c r="R119" s="551" t="s">
        <v>982</v>
      </c>
      <c r="S119" s="552" t="s">
        <v>983</v>
      </c>
      <c r="T119" s="553" t="s">
        <v>984</v>
      </c>
      <c r="U119" s="554"/>
      <c r="V119" s="537" t="s">
        <v>941</v>
      </c>
      <c r="W119" s="537"/>
      <c r="X119" s="537"/>
      <c r="Y119" s="537"/>
      <c r="Z119" s="537"/>
      <c r="AA119" s="537"/>
      <c r="AB119" s="537"/>
      <c r="AC119" s="537"/>
      <c r="AD119" s="587"/>
      <c r="AE119" s="587"/>
      <c r="AF119" s="537"/>
      <c r="AG119" s="537"/>
      <c r="AH119" s="537"/>
      <c r="AI119" s="537"/>
      <c r="AJ119" s="588"/>
      <c r="AK119" s="537"/>
      <c r="AL119" s="537"/>
      <c r="AM119" s="537"/>
      <c r="AN119" s="537"/>
      <c r="AO119" s="537"/>
      <c r="AP119" s="537"/>
      <c r="AQ119" s="537"/>
      <c r="AR119" s="537"/>
      <c r="AS119" s="537"/>
      <c r="AT119" s="537"/>
      <c r="AU119" s="533" t="s">
        <v>954</v>
      </c>
      <c r="AV119" s="555" t="str">
        <f t="shared" ca="1" si="12"/>
        <v>Procede_E_P</v>
      </c>
      <c r="AW119" s="556" t="str">
        <f ca="1">IFERROR(__xludf.DUMMYFUNCTION("IFERROR(VLOOKUP(E204&amp;F204,IMPORTRANGE(""https://docs.google.com/spreadsheets/d/1Uw7-A9f9R21vMXxHZFNpYNeKFtG8_yji4HS352LGlSQ/edit?pli=1#gid=0"",""1_ACUM!A4:S""),11,FALSE))"),"EN FORMACION")</f>
        <v>EN FORMACION</v>
      </c>
      <c r="AX119" s="557" t="str">
        <f ca="1">IFERROR(__xludf.DUMMYFUNCTION("IFERROR(VLOOKUP(F204,IMPORTRANGE(""https://docs.google.com/spreadsheets/d/1Kvs4KS76FHFqLFIZfrDMff4kP08nblUkihrxltoGBjg/edit#gid=934712705"",""ESENCIAL!A6:BG""),15,FALSE))"),"TIC")</f>
        <v>TIC</v>
      </c>
      <c r="AY119" s="557">
        <f ca="1">IFERROR(__xludf.DUMMYFUNCTION("IFERROR(VLOOKUP(E204&amp;F204,IMPORTRANGE(""https://docs.google.com/spreadsheets/d/1Uw7-A9f9R21vMXxHZFNpYNeKFtG8_yji4HS352LGlSQ/edit?pli=1#gid=0"",""1_ACUM!A4:S""),13,FALSE))"),0)</f>
        <v>0</v>
      </c>
      <c r="AZ119" s="555">
        <f ca="1">IFERROR(__xludf.DUMMYFUNCTION("IFERROR(VLOOKUP(E204&amp;F204,IMPORTRANGE(""https://docs.google.com/spreadsheets/d/1Uw7-A9f9R21vMXxHZFNpYNeKFtG8_yji4HS352LGlSQ/edit?pli=1#gid=0"",""1_ACUM!A4:S""),13,FALSE))"),0)</f>
        <v>0</v>
      </c>
      <c r="BA119" s="555">
        <f ca="1">IFERROR(__xludf.DUMMYFUNCTION("IFERROR(VLOOKUP(E204&amp;F204,IMPORTRANGE(""https://docs.google.com/spreadsheets/d/1Uw7-A9f9R21vMXxHZFNpYNeKFtG8_yji4HS352LGlSQ/edit?pli=1#gid=0"",""1_ACUM!A4:S""),14,FALSE))"),1)</f>
        <v>1</v>
      </c>
      <c r="BB119" s="555">
        <f ca="1">IFERROR(__xludf.DUMMYFUNCTION("IFERROR(VLOOKUP(E204&amp;F204,IMPORTRANGE(""https://docs.google.com/spreadsheets/d/1Uw7-A9f9R21vMXxHZFNpYNeKFtG8_yji4HS352LGlSQ/edit?pli=1#gid=0"",""1_ACUM!A4:S""),15,FALSE))"),0)</f>
        <v>0</v>
      </c>
      <c r="BC119" s="555">
        <f ca="1">IFERROR(__xludf.DUMMYFUNCTION("IFERROR(VLOOKUP(E204&amp;F204,IMPORTRANGE(""https://docs.google.com/spreadsheets/d/1Uw7-A9f9R21vMXxHZFNpYNeKFtG8_yji4HS352LGlSQ/edit?pli=1#gid=0"",""1_ACUM!A4:S""),16,FALSE))"),0)</f>
        <v>0</v>
      </c>
      <c r="BD119" s="555">
        <f ca="1">IFERROR(__xludf.DUMMYFUNCTION("IFERROR(VLOOKUP(E204&amp;F204,IMPORTRANGE(""https://docs.google.com/spreadsheets/d/1Uw7-A9f9R21vMXxHZFNpYNeKFtG8_yji4HS352LGlSQ/edit?pli=1#gid=0"",""1_ACUM!A4:S""),17,FALSE))"),1)</f>
        <v>1</v>
      </c>
      <c r="BE119" s="558">
        <f ca="1">IFERROR(__xludf.DUMMYFUNCTION("IFERROR(VLOOKUP(E204&amp;F204,IMPORTRANGE(""https://docs.google.com/spreadsheets/d/1Uw7-A9f9R21vMXxHZFNpYNeKFtG8_yji4HS352LGlSQ/edit?pli=1#gid=0"",""1_ACUM!A4:S""),18,FALSE))"),44183)</f>
        <v>44183</v>
      </c>
      <c r="BF119" s="558">
        <f ca="1">IFERROR(__xludf.DUMMYFUNCTION("IFERROR(VLOOKUP(E204&amp;F204,IMPORTRANGE(""https://docs.google.com/spreadsheets/d/1Uw7-A9f9R21vMXxHZFNpYNeKFtG8_yji4HS352LGlSQ/edit?pli=1#gid=0"",""1_ACUM!A4:S""),19,FALSE))"),44821)</f>
        <v>44821</v>
      </c>
      <c r="BG119" s="559">
        <f ca="1">IFERROR(__xludf.DUMMYFUNCTION("IFERROR(VLOOKUP(F204,IMPORTRANGE(""https://docs.google.com/spreadsheets/d/1Kvs4KS76FHFqLFIZfrDMff4kP08nblUkihrxltoGBjg/edit#gid=934712705"",""ESENCIAL!A6:BG""),5,FALSE))"),45002)</f>
        <v>45002</v>
      </c>
      <c r="BH119" s="559">
        <f t="shared" ca="1" si="13"/>
        <v>45552</v>
      </c>
      <c r="BI119" s="556" t="str">
        <f t="shared" ca="1" si="14"/>
        <v>FICHA EN TIEMPO-18 MESES</v>
      </c>
      <c r="BJ119" s="556" t="str">
        <f ca="1">IFERROR(__xludf.DUMMYFUNCTION("IFERROR(VLOOKUP(F204,IMPORTRANGE(""https://docs.google.com/spreadsheets/d/1Kvs4KS76FHFqLFIZfrDMff4kP08nblUkihrxltoGBjg/edit#gid=934712705"",""ESENCIAL!A6:BG""),2,FALSE))"),"En ejecucion")</f>
        <v>En ejecucion</v>
      </c>
      <c r="BK119" s="556" t="str">
        <f t="shared" si="15"/>
        <v>Yamboro</v>
      </c>
      <c r="BL119" s="284"/>
      <c r="BM119" s="284"/>
    </row>
    <row r="120" spans="1:65" ht="15" customHeight="1">
      <c r="A120" s="164"/>
      <c r="B120" s="577"/>
      <c r="C120" s="561"/>
      <c r="D120" s="589"/>
      <c r="E120" s="577"/>
      <c r="F120" s="577"/>
      <c r="G120" s="577"/>
      <c r="H120" s="561" t="str">
        <f ca="1">IFERROR(__xludf.DUMMYFUNCTION("IFERROR(VLOOKUP(F386,IMPORTRANGE(""https://docs.google.com/spreadsheets/d/1Kvs4KS76FHFqLFIZfrDMff4kP08nblUkihrxltoGBjg/edit#gid=934712705"",""ESENCIAL!A6:BG""),3,FALSE))"),"")</f>
        <v/>
      </c>
      <c r="I120" s="561" t="str">
        <f ca="1">IFERROR(__xludf.DUMMYFUNCTION("IFERROR(VLOOKUP(F386,IMPORTRANGE(""https://docs.google.com/spreadsheets/d/1Kvs4KS76FHFqLFIZfrDMff4kP08nblUkihrxltoGBjg/edit#gid=934712705"",""ESENCIAL!A6:BG""),8,FALSE))"),"")</f>
        <v/>
      </c>
      <c r="J120" s="577"/>
      <c r="K120" s="164"/>
      <c r="L120" s="164"/>
      <c r="M120" s="570"/>
      <c r="N120" s="164"/>
      <c r="O120" s="164"/>
      <c r="P120" s="164"/>
      <c r="Q120" s="164"/>
      <c r="R120" s="164"/>
      <c r="S120" s="590"/>
      <c r="T120" s="591"/>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561" t="str">
        <f t="shared" ref="AV120:AV246" si="16">IF(F120&gt;0,IF(AND(BD120=1,BA120=1),"Procede_E_P","NO_CUMPLE"),"")</f>
        <v/>
      </c>
      <c r="AW120" s="561" t="str">
        <f ca="1">IFERROR(__xludf.DUMMYFUNCTION("IFERROR(VLOOKUP(E386&amp;F386,IMPORTRANGE(""https://docs.google.com/spreadsheets/d/1Uw7-A9f9R21vMXxHZFNpYNeKFtG8_yji4HS352LGlSQ/edit?pli=1#gid=0"",""1_ACUM!A4:S""),11,FALSE))"),"")</f>
        <v/>
      </c>
      <c r="AX120" s="592" t="str">
        <f ca="1">IFERROR(__xludf.DUMMYFUNCTION("IFERROR(VLOOKUP(F386,IMPORTRANGE(""https://docs.google.com/spreadsheets/d/1Kvs4KS76FHFqLFIZfrDMff4kP08nblUkihrxltoGBjg/edit#gid=934712705"",""ESENCIAL!A6:BG""),15,FALSE))"),"")</f>
        <v/>
      </c>
      <c r="AY120" s="593" t="str">
        <f ca="1">IFERROR(__xludf.DUMMYFUNCTION("IFERROR(VLOOKUP(E386&amp;F386,IMPORTRANGE(""https://docs.google.com/spreadsheets/d/1Uw7-A9f9R21vMXxHZFNpYNeKFtG8_yji4HS352LGlSQ/edit?pli=1#gid=0"",""1_ACUM!A4:S""),13,FALSE))"),"")</f>
        <v/>
      </c>
      <c r="AZ120" s="594" t="str">
        <f ca="1">IFERROR(__xludf.DUMMYFUNCTION("IFERROR(VLOOKUP(E386&amp;F386,IMPORTRANGE(""https://docs.google.com/spreadsheets/d/1Uw7-A9f9R21vMXxHZFNpYNeKFtG8_yji4HS352LGlSQ/edit?pli=1#gid=0"",""1_ACUM!A4:S""),13,FALSE))"),"")</f>
        <v/>
      </c>
      <c r="BA120" s="594" t="str">
        <f ca="1">IFERROR(__xludf.DUMMYFUNCTION("IFERROR(VLOOKUP(E386&amp;F386,IMPORTRANGE(""https://docs.google.com/spreadsheets/d/1Uw7-A9f9R21vMXxHZFNpYNeKFtG8_yji4HS352LGlSQ/edit?pli=1#gid=0"",""1_ACUM!A4:S""),14,FALSE))"),"")</f>
        <v/>
      </c>
      <c r="BB120" s="594" t="str">
        <f ca="1">IFERROR(__xludf.DUMMYFUNCTION("IFERROR(VLOOKUP(E386&amp;F386,IMPORTRANGE(""https://docs.google.com/spreadsheets/d/1Uw7-A9f9R21vMXxHZFNpYNeKFtG8_yji4HS352LGlSQ/edit?pli=1#gid=0"",""1_ACUM!A4:S""),15,FALSE))"),"")</f>
        <v/>
      </c>
      <c r="BC120" s="594" t="str">
        <f ca="1">IFERROR(__xludf.DUMMYFUNCTION("IFERROR(VLOOKUP(E386&amp;F386,IMPORTRANGE(""https://docs.google.com/spreadsheets/d/1Uw7-A9f9R21vMXxHZFNpYNeKFtG8_yji4HS352LGlSQ/edit?pli=1#gid=0"",""1_ACUM!A4:S""),16,FALSE))"),"")</f>
        <v/>
      </c>
      <c r="BD120" s="594" t="str">
        <f ca="1">IFERROR(__xludf.DUMMYFUNCTION("IFERROR(VLOOKUP(E386&amp;F386,IMPORTRANGE(""https://docs.google.com/spreadsheets/d/1Uw7-A9f9R21vMXxHZFNpYNeKFtG8_yji4HS352LGlSQ/edit?pli=1#gid=0"",""1_ACUM!A4:S""),17,FALSE))"),"")</f>
        <v/>
      </c>
      <c r="BE120" s="593" t="str">
        <f ca="1">IFERROR(__xludf.DUMMYFUNCTION("IFERROR(VLOOKUP(E386&amp;F386,IMPORTRANGE(""https://docs.google.com/spreadsheets/d/1Uw7-A9f9R21vMXxHZFNpYNeKFtG8_yji4HS352LGlSQ/edit?pli=1#gid=0"",""1_ACUM!A4:S""),18,FALSE))"),"")</f>
        <v/>
      </c>
      <c r="BF120" s="593" t="str">
        <f ca="1">IFERROR(__xludf.DUMMYFUNCTION("IFERROR(VLOOKUP(E386&amp;F386,IMPORTRANGE(""https://docs.google.com/spreadsheets/d/1Uw7-A9f9R21vMXxHZFNpYNeKFtG8_yji4HS352LGlSQ/edit?pli=1#gid=0"",""1_ACUM!A4:S""),19,FALSE))"),"")</f>
        <v/>
      </c>
      <c r="BG120" s="592" t="str">
        <f ca="1">IFERROR(__xludf.DUMMYFUNCTION("IFERROR(VLOOKUP(F386,IMPORTRANGE(""https://docs.google.com/spreadsheets/d/1Kvs4KS76FHFqLFIZfrDMff4kP08nblUkihrxltoGBjg/edit#gid=934712705"",""ESENCIAL!A6:BG""),5,FALSE))"),"")</f>
        <v/>
      </c>
      <c r="BH120" s="592" t="str">
        <f t="shared" ref="BH120:BH246" si="17">IF(G120&gt;0,EDATE(BG120,18),"")</f>
        <v/>
      </c>
      <c r="BI120" s="561" t="str">
        <f t="shared" ref="BI120:BI246" si="18">IF(G120&gt;0,IF(BH120&lt;$BI$1,"FINALIZAR FICHA","FICHA EN TIEMPO-18 MESES"),"")</f>
        <v/>
      </c>
      <c r="BJ120" s="561" t="str">
        <f ca="1">IFERROR(__xludf.DUMMYFUNCTION("IFERROR(VLOOKUP(F386,IMPORTRANGE(""https://docs.google.com/spreadsheets/d/1Kvs4KS76FHFqLFIZfrDMff4kP08nblUkihrxltoGBjg/edit#gid=934712705"",""ESENCIAL!A6:BG""),2,FALSE))"),"")</f>
        <v/>
      </c>
      <c r="BK120" s="338" t="str">
        <f t="shared" ref="BK120:BK246" si="19">IF(G120&gt;0,"Yamboro","")</f>
        <v/>
      </c>
      <c r="BL120" s="100"/>
      <c r="BM120" s="100"/>
    </row>
    <row r="121" spans="1:65" ht="15">
      <c r="A121" s="164"/>
      <c r="B121" s="577"/>
      <c r="C121" s="561"/>
      <c r="D121" s="589"/>
      <c r="E121" s="577"/>
      <c r="F121" s="577"/>
      <c r="G121" s="577"/>
      <c r="H121" s="561" t="str">
        <f ca="1">IFERROR(__xludf.DUMMYFUNCTION("IFERROR(VLOOKUP(F387,IMPORTRANGE(""https://docs.google.com/spreadsheets/d/1Kvs4KS76FHFqLFIZfrDMff4kP08nblUkihrxltoGBjg/edit#gid=934712705"",""ESENCIAL!A6:BG""),3,FALSE))"),"")</f>
        <v/>
      </c>
      <c r="I121" s="561" t="str">
        <f ca="1">IFERROR(__xludf.DUMMYFUNCTION("IFERROR(VLOOKUP(F387,IMPORTRANGE(""https://docs.google.com/spreadsheets/d/1Kvs4KS76FHFqLFIZfrDMff4kP08nblUkihrxltoGBjg/edit#gid=934712705"",""ESENCIAL!A6:BG""),8,FALSE))"),"")</f>
        <v/>
      </c>
      <c r="J121" s="577"/>
      <c r="K121" s="595"/>
      <c r="L121" s="164"/>
      <c r="M121" s="570"/>
      <c r="N121" s="164"/>
      <c r="O121" s="164"/>
      <c r="P121" s="164"/>
      <c r="Q121" s="164"/>
      <c r="R121" s="164"/>
      <c r="S121" s="590"/>
      <c r="T121" s="591"/>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561" t="str">
        <f t="shared" si="16"/>
        <v/>
      </c>
      <c r="AW121" s="561" t="str">
        <f ca="1">IFERROR(__xludf.DUMMYFUNCTION("IFERROR(VLOOKUP(E387&amp;F387,IMPORTRANGE(""https://docs.google.com/spreadsheets/d/1Uw7-A9f9R21vMXxHZFNpYNeKFtG8_yji4HS352LGlSQ/edit?pli=1#gid=0"",""1_ACUM!A4:S""),11,FALSE))"),"")</f>
        <v/>
      </c>
      <c r="AX121" s="592" t="str">
        <f ca="1">IFERROR(__xludf.DUMMYFUNCTION("IFERROR(VLOOKUP(F387,IMPORTRANGE(""https://docs.google.com/spreadsheets/d/1Kvs4KS76FHFqLFIZfrDMff4kP08nblUkihrxltoGBjg/edit#gid=934712705"",""ESENCIAL!A6:BG""),15,FALSE))"),"")</f>
        <v/>
      </c>
      <c r="AY121" s="593" t="str">
        <f ca="1">IFERROR(__xludf.DUMMYFUNCTION("IFERROR(VLOOKUP(E387&amp;F387,IMPORTRANGE(""https://docs.google.com/spreadsheets/d/1Uw7-A9f9R21vMXxHZFNpYNeKFtG8_yji4HS352LGlSQ/edit?pli=1#gid=0"",""1_ACUM!A4:S""),13,FALSE))"),"")</f>
        <v/>
      </c>
      <c r="AZ121" s="594" t="str">
        <f ca="1">IFERROR(__xludf.DUMMYFUNCTION("IFERROR(VLOOKUP(E387&amp;F387,IMPORTRANGE(""https://docs.google.com/spreadsheets/d/1Uw7-A9f9R21vMXxHZFNpYNeKFtG8_yji4HS352LGlSQ/edit?pli=1#gid=0"",""1_ACUM!A4:S""),13,FALSE))"),"")</f>
        <v/>
      </c>
      <c r="BA121" s="594" t="str">
        <f ca="1">IFERROR(__xludf.DUMMYFUNCTION("IFERROR(VLOOKUP(E387&amp;F387,IMPORTRANGE(""https://docs.google.com/spreadsheets/d/1Uw7-A9f9R21vMXxHZFNpYNeKFtG8_yji4HS352LGlSQ/edit?pli=1#gid=0"",""1_ACUM!A4:S""),14,FALSE))"),"")</f>
        <v/>
      </c>
      <c r="BB121" s="594" t="str">
        <f ca="1">IFERROR(__xludf.DUMMYFUNCTION("IFERROR(VLOOKUP(E387&amp;F387,IMPORTRANGE(""https://docs.google.com/spreadsheets/d/1Uw7-A9f9R21vMXxHZFNpYNeKFtG8_yji4HS352LGlSQ/edit?pli=1#gid=0"",""1_ACUM!A4:S""),15,FALSE))"),"")</f>
        <v/>
      </c>
      <c r="BC121" s="594" t="str">
        <f ca="1">IFERROR(__xludf.DUMMYFUNCTION("IFERROR(VLOOKUP(E387&amp;F387,IMPORTRANGE(""https://docs.google.com/spreadsheets/d/1Uw7-A9f9R21vMXxHZFNpYNeKFtG8_yji4HS352LGlSQ/edit?pli=1#gid=0"",""1_ACUM!A4:S""),16,FALSE))"),"")</f>
        <v/>
      </c>
      <c r="BD121" s="594" t="str">
        <f ca="1">IFERROR(__xludf.DUMMYFUNCTION("IFERROR(VLOOKUP(E387&amp;F387,IMPORTRANGE(""https://docs.google.com/spreadsheets/d/1Uw7-A9f9R21vMXxHZFNpYNeKFtG8_yji4HS352LGlSQ/edit?pli=1#gid=0"",""1_ACUM!A4:S""),17,FALSE))"),"")</f>
        <v/>
      </c>
      <c r="BE121" s="593" t="str">
        <f ca="1">IFERROR(__xludf.DUMMYFUNCTION("IFERROR(VLOOKUP(E387&amp;F387,IMPORTRANGE(""https://docs.google.com/spreadsheets/d/1Uw7-A9f9R21vMXxHZFNpYNeKFtG8_yji4HS352LGlSQ/edit?pli=1#gid=0"",""1_ACUM!A4:S""),18,FALSE))"),"")</f>
        <v/>
      </c>
      <c r="BF121" s="593" t="str">
        <f ca="1">IFERROR(__xludf.DUMMYFUNCTION("IFERROR(VLOOKUP(E387&amp;F387,IMPORTRANGE(""https://docs.google.com/spreadsheets/d/1Uw7-A9f9R21vMXxHZFNpYNeKFtG8_yji4HS352LGlSQ/edit?pli=1#gid=0"",""1_ACUM!A4:S""),19,FALSE))"),"")</f>
        <v/>
      </c>
      <c r="BG121" s="592" t="str">
        <f ca="1">IFERROR(__xludf.DUMMYFUNCTION("IFERROR(VLOOKUP(F387,IMPORTRANGE(""https://docs.google.com/spreadsheets/d/1Kvs4KS76FHFqLFIZfrDMff4kP08nblUkihrxltoGBjg/edit#gid=934712705"",""ESENCIAL!A6:BG""),5,FALSE))"),"")</f>
        <v/>
      </c>
      <c r="BH121" s="592" t="str">
        <f t="shared" si="17"/>
        <v/>
      </c>
      <c r="BI121" s="561" t="str">
        <f t="shared" si="18"/>
        <v/>
      </c>
      <c r="BJ121" s="561" t="str">
        <f ca="1">IFERROR(__xludf.DUMMYFUNCTION("IFERROR(VLOOKUP(F387,IMPORTRANGE(""https://docs.google.com/spreadsheets/d/1Kvs4KS76FHFqLFIZfrDMff4kP08nblUkihrxltoGBjg/edit#gid=934712705"",""ESENCIAL!A6:BG""),2,FALSE))"),"")</f>
        <v/>
      </c>
      <c r="BK121" s="338" t="str">
        <f t="shared" si="19"/>
        <v/>
      </c>
      <c r="BL121" s="100"/>
      <c r="BM121" s="100"/>
    </row>
    <row r="122" spans="1:65" ht="15">
      <c r="A122" s="164"/>
      <c r="B122" s="577"/>
      <c r="C122" s="561"/>
      <c r="D122" s="589"/>
      <c r="E122" s="577"/>
      <c r="F122" s="577"/>
      <c r="G122" s="577"/>
      <c r="H122" s="561" t="str">
        <f ca="1">IFERROR(__xludf.DUMMYFUNCTION("IFERROR(VLOOKUP(F388,IMPORTRANGE(""https://docs.google.com/spreadsheets/d/1Kvs4KS76FHFqLFIZfrDMff4kP08nblUkihrxltoGBjg/edit#gid=934712705"",""ESENCIAL!A6:BG""),3,FALSE))"),"")</f>
        <v/>
      </c>
      <c r="I122" s="561" t="str">
        <f ca="1">IFERROR(__xludf.DUMMYFUNCTION("IFERROR(VLOOKUP(F388,IMPORTRANGE(""https://docs.google.com/spreadsheets/d/1Kvs4KS76FHFqLFIZfrDMff4kP08nblUkihrxltoGBjg/edit#gid=934712705"",""ESENCIAL!A6:BG""),8,FALSE))"),"")</f>
        <v/>
      </c>
      <c r="J122" s="577"/>
      <c r="K122" s="164"/>
      <c r="L122" s="164"/>
      <c r="M122" s="570"/>
      <c r="N122" s="164"/>
      <c r="O122" s="164"/>
      <c r="P122" s="164"/>
      <c r="Q122" s="164"/>
      <c r="R122" s="164"/>
      <c r="S122" s="590"/>
      <c r="T122" s="591"/>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561" t="str">
        <f t="shared" si="16"/>
        <v/>
      </c>
      <c r="AW122" s="561" t="str">
        <f ca="1">IFERROR(__xludf.DUMMYFUNCTION("IFERROR(VLOOKUP(E388&amp;F388,IMPORTRANGE(""https://docs.google.com/spreadsheets/d/1Uw7-A9f9R21vMXxHZFNpYNeKFtG8_yji4HS352LGlSQ/edit?pli=1#gid=0"",""1_ACUM!A4:S""),11,FALSE))"),"")</f>
        <v/>
      </c>
      <c r="AX122" s="592" t="str">
        <f ca="1">IFERROR(__xludf.DUMMYFUNCTION("IFERROR(VLOOKUP(F388,IMPORTRANGE(""https://docs.google.com/spreadsheets/d/1Kvs4KS76FHFqLFIZfrDMff4kP08nblUkihrxltoGBjg/edit#gid=934712705"",""ESENCIAL!A6:BG""),15,FALSE))"),"")</f>
        <v/>
      </c>
      <c r="AY122" s="593" t="str">
        <f ca="1">IFERROR(__xludf.DUMMYFUNCTION("IFERROR(VLOOKUP(E388&amp;F388,IMPORTRANGE(""https://docs.google.com/spreadsheets/d/1Uw7-A9f9R21vMXxHZFNpYNeKFtG8_yji4HS352LGlSQ/edit?pli=1#gid=0"",""1_ACUM!A4:S""),13,FALSE))"),"")</f>
        <v/>
      </c>
      <c r="AZ122" s="594" t="str">
        <f ca="1">IFERROR(__xludf.DUMMYFUNCTION("IFERROR(VLOOKUP(E388&amp;F388,IMPORTRANGE(""https://docs.google.com/spreadsheets/d/1Uw7-A9f9R21vMXxHZFNpYNeKFtG8_yji4HS352LGlSQ/edit?pli=1#gid=0"",""1_ACUM!A4:S""),13,FALSE))"),"")</f>
        <v/>
      </c>
      <c r="BA122" s="594" t="str">
        <f ca="1">IFERROR(__xludf.DUMMYFUNCTION("IFERROR(VLOOKUP(E388&amp;F388,IMPORTRANGE(""https://docs.google.com/spreadsheets/d/1Uw7-A9f9R21vMXxHZFNpYNeKFtG8_yji4HS352LGlSQ/edit?pli=1#gid=0"",""1_ACUM!A4:S""),14,FALSE))"),"")</f>
        <v/>
      </c>
      <c r="BB122" s="594" t="str">
        <f ca="1">IFERROR(__xludf.DUMMYFUNCTION("IFERROR(VLOOKUP(E388&amp;F388,IMPORTRANGE(""https://docs.google.com/spreadsheets/d/1Uw7-A9f9R21vMXxHZFNpYNeKFtG8_yji4HS352LGlSQ/edit?pli=1#gid=0"",""1_ACUM!A4:S""),15,FALSE))"),"")</f>
        <v/>
      </c>
      <c r="BC122" s="594" t="str">
        <f ca="1">IFERROR(__xludf.DUMMYFUNCTION("IFERROR(VLOOKUP(E388&amp;F388,IMPORTRANGE(""https://docs.google.com/spreadsheets/d/1Uw7-A9f9R21vMXxHZFNpYNeKFtG8_yji4HS352LGlSQ/edit?pli=1#gid=0"",""1_ACUM!A4:S""),16,FALSE))"),"")</f>
        <v/>
      </c>
      <c r="BD122" s="594" t="str">
        <f ca="1">IFERROR(__xludf.DUMMYFUNCTION("IFERROR(VLOOKUP(E388&amp;F388,IMPORTRANGE(""https://docs.google.com/spreadsheets/d/1Uw7-A9f9R21vMXxHZFNpYNeKFtG8_yji4HS352LGlSQ/edit?pli=1#gid=0"",""1_ACUM!A4:S""),17,FALSE))"),"")</f>
        <v/>
      </c>
      <c r="BE122" s="593" t="str">
        <f ca="1">IFERROR(__xludf.DUMMYFUNCTION("IFERROR(VLOOKUP(E388&amp;F388,IMPORTRANGE(""https://docs.google.com/spreadsheets/d/1Uw7-A9f9R21vMXxHZFNpYNeKFtG8_yji4HS352LGlSQ/edit?pli=1#gid=0"",""1_ACUM!A4:S""),18,FALSE))"),"")</f>
        <v/>
      </c>
      <c r="BF122" s="593" t="str">
        <f ca="1">IFERROR(__xludf.DUMMYFUNCTION("IFERROR(VLOOKUP(E388&amp;F388,IMPORTRANGE(""https://docs.google.com/spreadsheets/d/1Uw7-A9f9R21vMXxHZFNpYNeKFtG8_yji4HS352LGlSQ/edit?pli=1#gid=0"",""1_ACUM!A4:S""),19,FALSE))"),"")</f>
        <v/>
      </c>
      <c r="BG122" s="592" t="str">
        <f ca="1">IFERROR(__xludf.DUMMYFUNCTION("IFERROR(VLOOKUP(F388,IMPORTRANGE(""https://docs.google.com/spreadsheets/d/1Kvs4KS76FHFqLFIZfrDMff4kP08nblUkihrxltoGBjg/edit#gid=934712705"",""ESENCIAL!A6:BG""),5,FALSE))"),"")</f>
        <v/>
      </c>
      <c r="BH122" s="592" t="str">
        <f t="shared" si="17"/>
        <v/>
      </c>
      <c r="BI122" s="561" t="str">
        <f t="shared" si="18"/>
        <v/>
      </c>
      <c r="BJ122" s="561" t="str">
        <f ca="1">IFERROR(__xludf.DUMMYFUNCTION("IFERROR(VLOOKUP(F388,IMPORTRANGE(""https://docs.google.com/spreadsheets/d/1Kvs4KS76FHFqLFIZfrDMff4kP08nblUkihrxltoGBjg/edit#gid=934712705"",""ESENCIAL!A6:BG""),2,FALSE))"),"")</f>
        <v/>
      </c>
      <c r="BK122" s="338" t="str">
        <f t="shared" si="19"/>
        <v/>
      </c>
      <c r="BL122" s="100"/>
      <c r="BM122" s="100"/>
    </row>
    <row r="123" spans="1:65" ht="15">
      <c r="A123" s="164"/>
      <c r="B123" s="577"/>
      <c r="C123" s="561"/>
      <c r="D123" s="589"/>
      <c r="E123" s="577"/>
      <c r="F123" s="577"/>
      <c r="G123" s="577"/>
      <c r="H123" s="561" t="str">
        <f ca="1">IFERROR(__xludf.DUMMYFUNCTION("IFERROR(VLOOKUP(F389,IMPORTRANGE(""https://docs.google.com/spreadsheets/d/1Kvs4KS76FHFqLFIZfrDMff4kP08nblUkihrxltoGBjg/edit#gid=934712705"",""ESENCIAL!A6:BG""),3,FALSE))"),"")</f>
        <v/>
      </c>
      <c r="I123" s="561" t="str">
        <f ca="1">IFERROR(__xludf.DUMMYFUNCTION("IFERROR(VLOOKUP(F389,IMPORTRANGE(""https://docs.google.com/spreadsheets/d/1Kvs4KS76FHFqLFIZfrDMff4kP08nblUkihrxltoGBjg/edit#gid=934712705"",""ESENCIAL!A6:BG""),8,FALSE))"),"")</f>
        <v/>
      </c>
      <c r="J123" s="577"/>
      <c r="K123" s="164"/>
      <c r="L123" s="164"/>
      <c r="M123" s="570"/>
      <c r="N123" s="164"/>
      <c r="O123" s="164"/>
      <c r="P123" s="164"/>
      <c r="Q123" s="164"/>
      <c r="R123" s="164"/>
      <c r="S123" s="590"/>
      <c r="T123" s="591"/>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561" t="str">
        <f t="shared" si="16"/>
        <v/>
      </c>
      <c r="AW123" s="561" t="str">
        <f ca="1">IFERROR(__xludf.DUMMYFUNCTION("IFERROR(VLOOKUP(E389&amp;F389,IMPORTRANGE(""https://docs.google.com/spreadsheets/d/1Uw7-A9f9R21vMXxHZFNpYNeKFtG8_yji4HS352LGlSQ/edit?pli=1#gid=0"",""1_ACUM!A4:S""),11,FALSE))"),"")</f>
        <v/>
      </c>
      <c r="AX123" s="592" t="str">
        <f ca="1">IFERROR(__xludf.DUMMYFUNCTION("IFERROR(VLOOKUP(F389,IMPORTRANGE(""https://docs.google.com/spreadsheets/d/1Kvs4KS76FHFqLFIZfrDMff4kP08nblUkihrxltoGBjg/edit#gid=934712705"",""ESENCIAL!A6:BG""),15,FALSE))"),"")</f>
        <v/>
      </c>
      <c r="AY123" s="593" t="str">
        <f ca="1">IFERROR(__xludf.DUMMYFUNCTION("IFERROR(VLOOKUP(E389&amp;F389,IMPORTRANGE(""https://docs.google.com/spreadsheets/d/1Uw7-A9f9R21vMXxHZFNpYNeKFtG8_yji4HS352LGlSQ/edit?pli=1#gid=0"",""1_ACUM!A4:S""),13,FALSE))"),"")</f>
        <v/>
      </c>
      <c r="AZ123" s="594" t="str">
        <f ca="1">IFERROR(__xludf.DUMMYFUNCTION("IFERROR(VLOOKUP(E389&amp;F389,IMPORTRANGE(""https://docs.google.com/spreadsheets/d/1Uw7-A9f9R21vMXxHZFNpYNeKFtG8_yji4HS352LGlSQ/edit?pli=1#gid=0"",""1_ACUM!A4:S""),13,FALSE))"),"")</f>
        <v/>
      </c>
      <c r="BA123" s="594" t="str">
        <f ca="1">IFERROR(__xludf.DUMMYFUNCTION("IFERROR(VLOOKUP(E389&amp;F389,IMPORTRANGE(""https://docs.google.com/spreadsheets/d/1Uw7-A9f9R21vMXxHZFNpYNeKFtG8_yji4HS352LGlSQ/edit?pli=1#gid=0"",""1_ACUM!A4:S""),14,FALSE))"),"")</f>
        <v/>
      </c>
      <c r="BB123" s="594" t="str">
        <f ca="1">IFERROR(__xludf.DUMMYFUNCTION("IFERROR(VLOOKUP(E389&amp;F389,IMPORTRANGE(""https://docs.google.com/spreadsheets/d/1Uw7-A9f9R21vMXxHZFNpYNeKFtG8_yji4HS352LGlSQ/edit?pli=1#gid=0"",""1_ACUM!A4:S""),15,FALSE))"),"")</f>
        <v/>
      </c>
      <c r="BC123" s="594" t="str">
        <f ca="1">IFERROR(__xludf.DUMMYFUNCTION("IFERROR(VLOOKUP(E389&amp;F389,IMPORTRANGE(""https://docs.google.com/spreadsheets/d/1Uw7-A9f9R21vMXxHZFNpYNeKFtG8_yji4HS352LGlSQ/edit?pli=1#gid=0"",""1_ACUM!A4:S""),16,FALSE))"),"")</f>
        <v/>
      </c>
      <c r="BD123" s="594" t="str">
        <f ca="1">IFERROR(__xludf.DUMMYFUNCTION("IFERROR(VLOOKUP(E389&amp;F389,IMPORTRANGE(""https://docs.google.com/spreadsheets/d/1Uw7-A9f9R21vMXxHZFNpYNeKFtG8_yji4HS352LGlSQ/edit?pli=1#gid=0"",""1_ACUM!A4:S""),17,FALSE))"),"")</f>
        <v/>
      </c>
      <c r="BE123" s="593" t="str">
        <f ca="1">IFERROR(__xludf.DUMMYFUNCTION("IFERROR(VLOOKUP(E389&amp;F389,IMPORTRANGE(""https://docs.google.com/spreadsheets/d/1Uw7-A9f9R21vMXxHZFNpYNeKFtG8_yji4HS352LGlSQ/edit?pli=1#gid=0"",""1_ACUM!A4:S""),18,FALSE))"),"")</f>
        <v/>
      </c>
      <c r="BF123" s="593" t="str">
        <f ca="1">IFERROR(__xludf.DUMMYFUNCTION("IFERROR(VLOOKUP(E389&amp;F389,IMPORTRANGE(""https://docs.google.com/spreadsheets/d/1Uw7-A9f9R21vMXxHZFNpYNeKFtG8_yji4HS352LGlSQ/edit?pli=1#gid=0"",""1_ACUM!A4:S""),19,FALSE))"),"")</f>
        <v/>
      </c>
      <c r="BG123" s="592" t="str">
        <f ca="1">IFERROR(__xludf.DUMMYFUNCTION("IFERROR(VLOOKUP(F389,IMPORTRANGE(""https://docs.google.com/spreadsheets/d/1Kvs4KS76FHFqLFIZfrDMff4kP08nblUkihrxltoGBjg/edit#gid=934712705"",""ESENCIAL!A6:BG""),5,FALSE))"),"")</f>
        <v/>
      </c>
      <c r="BH123" s="592" t="str">
        <f t="shared" si="17"/>
        <v/>
      </c>
      <c r="BI123" s="561" t="str">
        <f t="shared" si="18"/>
        <v/>
      </c>
      <c r="BJ123" s="561" t="str">
        <f ca="1">IFERROR(__xludf.DUMMYFUNCTION("IFERROR(VLOOKUP(F389,IMPORTRANGE(""https://docs.google.com/spreadsheets/d/1Kvs4KS76FHFqLFIZfrDMff4kP08nblUkihrxltoGBjg/edit#gid=934712705"",""ESENCIAL!A6:BG""),2,FALSE))"),"")</f>
        <v/>
      </c>
      <c r="BK123" s="338" t="str">
        <f t="shared" si="19"/>
        <v/>
      </c>
      <c r="BL123" s="100"/>
      <c r="BM123" s="100"/>
    </row>
    <row r="124" spans="1:65" ht="15">
      <c r="A124" s="164"/>
      <c r="B124" s="577"/>
      <c r="C124" s="561"/>
      <c r="D124" s="589"/>
      <c r="E124" s="577"/>
      <c r="F124" s="577"/>
      <c r="G124" s="577"/>
      <c r="H124" s="561" t="str">
        <f ca="1">IFERROR(__xludf.DUMMYFUNCTION("IFERROR(VLOOKUP(F390,IMPORTRANGE(""https://docs.google.com/spreadsheets/d/1Kvs4KS76FHFqLFIZfrDMff4kP08nblUkihrxltoGBjg/edit#gid=934712705"",""ESENCIAL!A6:BG""),3,FALSE))"),"")</f>
        <v/>
      </c>
      <c r="I124" s="561" t="str">
        <f ca="1">IFERROR(__xludf.DUMMYFUNCTION("IFERROR(VLOOKUP(F390,IMPORTRANGE(""https://docs.google.com/spreadsheets/d/1Kvs4KS76FHFqLFIZfrDMff4kP08nblUkihrxltoGBjg/edit#gid=934712705"",""ESENCIAL!A6:BG""),8,FALSE))"),"")</f>
        <v/>
      </c>
      <c r="J124" s="577"/>
      <c r="K124" s="164"/>
      <c r="L124" s="164"/>
      <c r="M124" s="570"/>
      <c r="N124" s="164"/>
      <c r="O124" s="164"/>
      <c r="P124" s="164"/>
      <c r="Q124" s="164"/>
      <c r="R124" s="164"/>
      <c r="S124" s="590"/>
      <c r="T124" s="591"/>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561" t="str">
        <f t="shared" si="16"/>
        <v/>
      </c>
      <c r="AW124" s="561" t="str">
        <f ca="1">IFERROR(__xludf.DUMMYFUNCTION("IFERROR(VLOOKUP(E390&amp;F390,IMPORTRANGE(""https://docs.google.com/spreadsheets/d/1Uw7-A9f9R21vMXxHZFNpYNeKFtG8_yji4HS352LGlSQ/edit?pli=1#gid=0"",""1_ACUM!A4:S""),11,FALSE))"),"")</f>
        <v/>
      </c>
      <c r="AX124" s="592" t="str">
        <f ca="1">IFERROR(__xludf.DUMMYFUNCTION("IFERROR(VLOOKUP(F390,IMPORTRANGE(""https://docs.google.com/spreadsheets/d/1Kvs4KS76FHFqLFIZfrDMff4kP08nblUkihrxltoGBjg/edit#gid=934712705"",""ESENCIAL!A6:BG""),15,FALSE))"),"")</f>
        <v/>
      </c>
      <c r="AY124" s="593" t="str">
        <f ca="1">IFERROR(__xludf.DUMMYFUNCTION("IFERROR(VLOOKUP(E390&amp;F390,IMPORTRANGE(""https://docs.google.com/spreadsheets/d/1Uw7-A9f9R21vMXxHZFNpYNeKFtG8_yji4HS352LGlSQ/edit?pli=1#gid=0"",""1_ACUM!A4:S""),13,FALSE))"),"")</f>
        <v/>
      </c>
      <c r="AZ124" s="594" t="str">
        <f ca="1">IFERROR(__xludf.DUMMYFUNCTION("IFERROR(VLOOKUP(E390&amp;F390,IMPORTRANGE(""https://docs.google.com/spreadsheets/d/1Uw7-A9f9R21vMXxHZFNpYNeKFtG8_yji4HS352LGlSQ/edit?pli=1#gid=0"",""1_ACUM!A4:S""),13,FALSE))"),"")</f>
        <v/>
      </c>
      <c r="BA124" s="594" t="str">
        <f ca="1">IFERROR(__xludf.DUMMYFUNCTION("IFERROR(VLOOKUP(E390&amp;F390,IMPORTRANGE(""https://docs.google.com/spreadsheets/d/1Uw7-A9f9R21vMXxHZFNpYNeKFtG8_yji4HS352LGlSQ/edit?pli=1#gid=0"",""1_ACUM!A4:S""),14,FALSE))"),"")</f>
        <v/>
      </c>
      <c r="BB124" s="594" t="str">
        <f ca="1">IFERROR(__xludf.DUMMYFUNCTION("IFERROR(VLOOKUP(E390&amp;F390,IMPORTRANGE(""https://docs.google.com/spreadsheets/d/1Uw7-A9f9R21vMXxHZFNpYNeKFtG8_yji4HS352LGlSQ/edit?pli=1#gid=0"",""1_ACUM!A4:S""),15,FALSE))"),"")</f>
        <v/>
      </c>
      <c r="BC124" s="594" t="str">
        <f ca="1">IFERROR(__xludf.DUMMYFUNCTION("IFERROR(VLOOKUP(E390&amp;F390,IMPORTRANGE(""https://docs.google.com/spreadsheets/d/1Uw7-A9f9R21vMXxHZFNpYNeKFtG8_yji4HS352LGlSQ/edit?pli=1#gid=0"",""1_ACUM!A4:S""),16,FALSE))"),"")</f>
        <v/>
      </c>
      <c r="BD124" s="594" t="str">
        <f ca="1">IFERROR(__xludf.DUMMYFUNCTION("IFERROR(VLOOKUP(E390&amp;F390,IMPORTRANGE(""https://docs.google.com/spreadsheets/d/1Uw7-A9f9R21vMXxHZFNpYNeKFtG8_yji4HS352LGlSQ/edit?pli=1#gid=0"",""1_ACUM!A4:S""),17,FALSE))"),"")</f>
        <v/>
      </c>
      <c r="BE124" s="593" t="str">
        <f ca="1">IFERROR(__xludf.DUMMYFUNCTION("IFERROR(VLOOKUP(E390&amp;F390,IMPORTRANGE(""https://docs.google.com/spreadsheets/d/1Uw7-A9f9R21vMXxHZFNpYNeKFtG8_yji4HS352LGlSQ/edit?pli=1#gid=0"",""1_ACUM!A4:S""),18,FALSE))"),"")</f>
        <v/>
      </c>
      <c r="BF124" s="593" t="str">
        <f ca="1">IFERROR(__xludf.DUMMYFUNCTION("IFERROR(VLOOKUP(E390&amp;F390,IMPORTRANGE(""https://docs.google.com/spreadsheets/d/1Uw7-A9f9R21vMXxHZFNpYNeKFtG8_yji4HS352LGlSQ/edit?pli=1#gid=0"",""1_ACUM!A4:S""),19,FALSE))"),"")</f>
        <v/>
      </c>
      <c r="BG124" s="592" t="str">
        <f ca="1">IFERROR(__xludf.DUMMYFUNCTION("IFERROR(VLOOKUP(F390,IMPORTRANGE(""https://docs.google.com/spreadsheets/d/1Kvs4KS76FHFqLFIZfrDMff4kP08nblUkihrxltoGBjg/edit#gid=934712705"",""ESENCIAL!A6:BG""),5,FALSE))"),"")</f>
        <v/>
      </c>
      <c r="BH124" s="592" t="str">
        <f t="shared" si="17"/>
        <v/>
      </c>
      <c r="BI124" s="561" t="str">
        <f t="shared" si="18"/>
        <v/>
      </c>
      <c r="BJ124" s="561" t="str">
        <f ca="1">IFERROR(__xludf.DUMMYFUNCTION("IFERROR(VLOOKUP(F390,IMPORTRANGE(""https://docs.google.com/spreadsheets/d/1Kvs4KS76FHFqLFIZfrDMff4kP08nblUkihrxltoGBjg/edit#gid=934712705"",""ESENCIAL!A6:BG""),2,FALSE))"),"")</f>
        <v/>
      </c>
      <c r="BK124" s="338" t="str">
        <f t="shared" si="19"/>
        <v/>
      </c>
      <c r="BL124" s="100"/>
      <c r="BM124" s="100"/>
    </row>
    <row r="125" spans="1:65" ht="15">
      <c r="A125" s="164"/>
      <c r="B125" s="577"/>
      <c r="C125" s="561"/>
      <c r="D125" s="589"/>
      <c r="E125" s="577"/>
      <c r="F125" s="577"/>
      <c r="G125" s="577"/>
      <c r="H125" s="561" t="str">
        <f ca="1">IFERROR(__xludf.DUMMYFUNCTION("IFERROR(VLOOKUP(F391,IMPORTRANGE(""https://docs.google.com/spreadsheets/d/1Kvs4KS76FHFqLFIZfrDMff4kP08nblUkihrxltoGBjg/edit#gid=934712705"",""ESENCIAL!A6:BG""),3,FALSE))"),"")</f>
        <v/>
      </c>
      <c r="I125" s="561" t="str">
        <f ca="1">IFERROR(__xludf.DUMMYFUNCTION("IFERROR(VLOOKUP(F391,IMPORTRANGE(""https://docs.google.com/spreadsheets/d/1Kvs4KS76FHFqLFIZfrDMff4kP08nblUkihrxltoGBjg/edit#gid=934712705"",""ESENCIAL!A6:BG""),8,FALSE))"),"")</f>
        <v/>
      </c>
      <c r="J125" s="577"/>
      <c r="K125" s="164"/>
      <c r="L125" s="164"/>
      <c r="M125" s="570"/>
      <c r="N125" s="164"/>
      <c r="O125" s="164"/>
      <c r="P125" s="164"/>
      <c r="Q125" s="164"/>
      <c r="R125" s="164"/>
      <c r="S125" s="590"/>
      <c r="T125" s="591"/>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561" t="str">
        <f t="shared" si="16"/>
        <v/>
      </c>
      <c r="AW125" s="561" t="str">
        <f ca="1">IFERROR(__xludf.DUMMYFUNCTION("IFERROR(VLOOKUP(E391&amp;F391,IMPORTRANGE(""https://docs.google.com/spreadsheets/d/1Uw7-A9f9R21vMXxHZFNpYNeKFtG8_yji4HS352LGlSQ/edit?pli=1#gid=0"",""1_ACUM!A4:S""),11,FALSE))"),"")</f>
        <v/>
      </c>
      <c r="AX125" s="592" t="str">
        <f ca="1">IFERROR(__xludf.DUMMYFUNCTION("IFERROR(VLOOKUP(F391,IMPORTRANGE(""https://docs.google.com/spreadsheets/d/1Kvs4KS76FHFqLFIZfrDMff4kP08nblUkihrxltoGBjg/edit#gid=934712705"",""ESENCIAL!A6:BG""),15,FALSE))"),"")</f>
        <v/>
      </c>
      <c r="AY125" s="593" t="str">
        <f ca="1">IFERROR(__xludf.DUMMYFUNCTION("IFERROR(VLOOKUP(E391&amp;F391,IMPORTRANGE(""https://docs.google.com/spreadsheets/d/1Uw7-A9f9R21vMXxHZFNpYNeKFtG8_yji4HS352LGlSQ/edit?pli=1#gid=0"",""1_ACUM!A4:S""),13,FALSE))"),"")</f>
        <v/>
      </c>
      <c r="AZ125" s="594" t="str">
        <f ca="1">IFERROR(__xludf.DUMMYFUNCTION("IFERROR(VLOOKUP(E391&amp;F391,IMPORTRANGE(""https://docs.google.com/spreadsheets/d/1Uw7-A9f9R21vMXxHZFNpYNeKFtG8_yji4HS352LGlSQ/edit?pli=1#gid=0"",""1_ACUM!A4:S""),13,FALSE))"),"")</f>
        <v/>
      </c>
      <c r="BA125" s="594" t="str">
        <f ca="1">IFERROR(__xludf.DUMMYFUNCTION("IFERROR(VLOOKUP(E391&amp;F391,IMPORTRANGE(""https://docs.google.com/spreadsheets/d/1Uw7-A9f9R21vMXxHZFNpYNeKFtG8_yji4HS352LGlSQ/edit?pli=1#gid=0"",""1_ACUM!A4:S""),14,FALSE))"),"")</f>
        <v/>
      </c>
      <c r="BB125" s="594" t="str">
        <f ca="1">IFERROR(__xludf.DUMMYFUNCTION("IFERROR(VLOOKUP(E391&amp;F391,IMPORTRANGE(""https://docs.google.com/spreadsheets/d/1Uw7-A9f9R21vMXxHZFNpYNeKFtG8_yji4HS352LGlSQ/edit?pli=1#gid=0"",""1_ACUM!A4:S""),15,FALSE))"),"")</f>
        <v/>
      </c>
      <c r="BC125" s="594" t="str">
        <f ca="1">IFERROR(__xludf.DUMMYFUNCTION("IFERROR(VLOOKUP(E391&amp;F391,IMPORTRANGE(""https://docs.google.com/spreadsheets/d/1Uw7-A9f9R21vMXxHZFNpYNeKFtG8_yji4HS352LGlSQ/edit?pli=1#gid=0"",""1_ACUM!A4:S""),16,FALSE))"),"")</f>
        <v/>
      </c>
      <c r="BD125" s="594" t="str">
        <f ca="1">IFERROR(__xludf.DUMMYFUNCTION("IFERROR(VLOOKUP(E391&amp;F391,IMPORTRANGE(""https://docs.google.com/spreadsheets/d/1Uw7-A9f9R21vMXxHZFNpYNeKFtG8_yji4HS352LGlSQ/edit?pli=1#gid=0"",""1_ACUM!A4:S""),17,FALSE))"),"")</f>
        <v/>
      </c>
      <c r="BE125" s="593" t="str">
        <f ca="1">IFERROR(__xludf.DUMMYFUNCTION("IFERROR(VLOOKUP(E391&amp;F391,IMPORTRANGE(""https://docs.google.com/spreadsheets/d/1Uw7-A9f9R21vMXxHZFNpYNeKFtG8_yji4HS352LGlSQ/edit?pli=1#gid=0"",""1_ACUM!A4:S""),18,FALSE))"),"")</f>
        <v/>
      </c>
      <c r="BF125" s="593" t="str">
        <f ca="1">IFERROR(__xludf.DUMMYFUNCTION("IFERROR(VLOOKUP(E391&amp;F391,IMPORTRANGE(""https://docs.google.com/spreadsheets/d/1Uw7-A9f9R21vMXxHZFNpYNeKFtG8_yji4HS352LGlSQ/edit?pli=1#gid=0"",""1_ACUM!A4:S""),19,FALSE))"),"")</f>
        <v/>
      </c>
      <c r="BG125" s="592" t="str">
        <f ca="1">IFERROR(__xludf.DUMMYFUNCTION("IFERROR(VLOOKUP(F391,IMPORTRANGE(""https://docs.google.com/spreadsheets/d/1Kvs4KS76FHFqLFIZfrDMff4kP08nblUkihrxltoGBjg/edit#gid=934712705"",""ESENCIAL!A6:BG""),5,FALSE))"),"")</f>
        <v/>
      </c>
      <c r="BH125" s="592" t="str">
        <f t="shared" si="17"/>
        <v/>
      </c>
      <c r="BI125" s="561" t="str">
        <f t="shared" si="18"/>
        <v/>
      </c>
      <c r="BJ125" s="561" t="str">
        <f ca="1">IFERROR(__xludf.DUMMYFUNCTION("IFERROR(VLOOKUP(F391,IMPORTRANGE(""https://docs.google.com/spreadsheets/d/1Kvs4KS76FHFqLFIZfrDMff4kP08nblUkihrxltoGBjg/edit#gid=934712705"",""ESENCIAL!A6:BG""),2,FALSE))"),"")</f>
        <v/>
      </c>
      <c r="BK125" s="338" t="str">
        <f t="shared" si="19"/>
        <v/>
      </c>
      <c r="BL125" s="100"/>
      <c r="BM125" s="100"/>
    </row>
    <row r="126" spans="1:65" ht="15">
      <c r="A126" s="164"/>
      <c r="B126" s="577"/>
      <c r="C126" s="561"/>
      <c r="D126" s="589"/>
      <c r="E126" s="577"/>
      <c r="F126" s="577"/>
      <c r="G126" s="577"/>
      <c r="H126" s="561" t="str">
        <f ca="1">IFERROR(__xludf.DUMMYFUNCTION("IFERROR(VLOOKUP(F392,IMPORTRANGE(""https://docs.google.com/spreadsheets/d/1Kvs4KS76FHFqLFIZfrDMff4kP08nblUkihrxltoGBjg/edit#gid=934712705"",""ESENCIAL!A6:BG""),3,FALSE))"),"")</f>
        <v/>
      </c>
      <c r="I126" s="561" t="str">
        <f ca="1">IFERROR(__xludf.DUMMYFUNCTION("IFERROR(VLOOKUP(F392,IMPORTRANGE(""https://docs.google.com/spreadsheets/d/1Kvs4KS76FHFqLFIZfrDMff4kP08nblUkihrxltoGBjg/edit#gid=934712705"",""ESENCIAL!A6:BG""),8,FALSE))"),"")</f>
        <v/>
      </c>
      <c r="J126" s="577"/>
      <c r="K126" s="164"/>
      <c r="L126" s="164"/>
      <c r="M126" s="570"/>
      <c r="N126" s="164"/>
      <c r="O126" s="164"/>
      <c r="P126" s="164"/>
      <c r="Q126" s="164"/>
      <c r="R126" s="164"/>
      <c r="S126" s="590"/>
      <c r="T126" s="591"/>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561" t="str">
        <f t="shared" si="16"/>
        <v/>
      </c>
      <c r="AW126" s="561" t="str">
        <f ca="1">IFERROR(__xludf.DUMMYFUNCTION("IFERROR(VLOOKUP(E392&amp;F392,IMPORTRANGE(""https://docs.google.com/spreadsheets/d/1Uw7-A9f9R21vMXxHZFNpYNeKFtG8_yji4HS352LGlSQ/edit?pli=1#gid=0"",""1_ACUM!A4:S""),11,FALSE))"),"")</f>
        <v/>
      </c>
      <c r="AX126" s="592" t="str">
        <f ca="1">IFERROR(__xludf.DUMMYFUNCTION("IFERROR(VLOOKUP(F392,IMPORTRANGE(""https://docs.google.com/spreadsheets/d/1Kvs4KS76FHFqLFIZfrDMff4kP08nblUkihrxltoGBjg/edit#gid=934712705"",""ESENCIAL!A6:BG""),15,FALSE))"),"")</f>
        <v/>
      </c>
      <c r="AY126" s="593" t="str">
        <f ca="1">IFERROR(__xludf.DUMMYFUNCTION("IFERROR(VLOOKUP(E392&amp;F392,IMPORTRANGE(""https://docs.google.com/spreadsheets/d/1Uw7-A9f9R21vMXxHZFNpYNeKFtG8_yji4HS352LGlSQ/edit?pli=1#gid=0"",""1_ACUM!A4:S""),13,FALSE))"),"")</f>
        <v/>
      </c>
      <c r="AZ126" s="594" t="str">
        <f ca="1">IFERROR(__xludf.DUMMYFUNCTION("IFERROR(VLOOKUP(E392&amp;F392,IMPORTRANGE(""https://docs.google.com/spreadsheets/d/1Uw7-A9f9R21vMXxHZFNpYNeKFtG8_yji4HS352LGlSQ/edit?pli=1#gid=0"",""1_ACUM!A4:S""),13,FALSE))"),"")</f>
        <v/>
      </c>
      <c r="BA126" s="594" t="str">
        <f ca="1">IFERROR(__xludf.DUMMYFUNCTION("IFERROR(VLOOKUP(E392&amp;F392,IMPORTRANGE(""https://docs.google.com/spreadsheets/d/1Uw7-A9f9R21vMXxHZFNpYNeKFtG8_yji4HS352LGlSQ/edit?pli=1#gid=0"",""1_ACUM!A4:S""),14,FALSE))"),"")</f>
        <v/>
      </c>
      <c r="BB126" s="594" t="str">
        <f ca="1">IFERROR(__xludf.DUMMYFUNCTION("IFERROR(VLOOKUP(E392&amp;F392,IMPORTRANGE(""https://docs.google.com/spreadsheets/d/1Uw7-A9f9R21vMXxHZFNpYNeKFtG8_yji4HS352LGlSQ/edit?pli=1#gid=0"",""1_ACUM!A4:S""),15,FALSE))"),"")</f>
        <v/>
      </c>
      <c r="BC126" s="594" t="str">
        <f ca="1">IFERROR(__xludf.DUMMYFUNCTION("IFERROR(VLOOKUP(E392&amp;F392,IMPORTRANGE(""https://docs.google.com/spreadsheets/d/1Uw7-A9f9R21vMXxHZFNpYNeKFtG8_yji4HS352LGlSQ/edit?pli=1#gid=0"",""1_ACUM!A4:S""),16,FALSE))"),"")</f>
        <v/>
      </c>
      <c r="BD126" s="594" t="str">
        <f ca="1">IFERROR(__xludf.DUMMYFUNCTION("IFERROR(VLOOKUP(E392&amp;F392,IMPORTRANGE(""https://docs.google.com/spreadsheets/d/1Uw7-A9f9R21vMXxHZFNpYNeKFtG8_yji4HS352LGlSQ/edit?pli=1#gid=0"",""1_ACUM!A4:S""),17,FALSE))"),"")</f>
        <v/>
      </c>
      <c r="BE126" s="593" t="str">
        <f ca="1">IFERROR(__xludf.DUMMYFUNCTION("IFERROR(VLOOKUP(E392&amp;F392,IMPORTRANGE(""https://docs.google.com/spreadsheets/d/1Uw7-A9f9R21vMXxHZFNpYNeKFtG8_yji4HS352LGlSQ/edit?pli=1#gid=0"",""1_ACUM!A4:S""),18,FALSE))"),"")</f>
        <v/>
      </c>
      <c r="BF126" s="593" t="str">
        <f ca="1">IFERROR(__xludf.DUMMYFUNCTION("IFERROR(VLOOKUP(E392&amp;F392,IMPORTRANGE(""https://docs.google.com/spreadsheets/d/1Uw7-A9f9R21vMXxHZFNpYNeKFtG8_yji4HS352LGlSQ/edit?pli=1#gid=0"",""1_ACUM!A4:S""),19,FALSE))"),"")</f>
        <v/>
      </c>
      <c r="BG126" s="592" t="str">
        <f ca="1">IFERROR(__xludf.DUMMYFUNCTION("IFERROR(VLOOKUP(F392,IMPORTRANGE(""https://docs.google.com/spreadsheets/d/1Kvs4KS76FHFqLFIZfrDMff4kP08nblUkihrxltoGBjg/edit#gid=934712705"",""ESENCIAL!A6:BG""),5,FALSE))"),"")</f>
        <v/>
      </c>
      <c r="BH126" s="592" t="str">
        <f t="shared" si="17"/>
        <v/>
      </c>
      <c r="BI126" s="561" t="str">
        <f t="shared" si="18"/>
        <v/>
      </c>
      <c r="BJ126" s="561" t="str">
        <f ca="1">IFERROR(__xludf.DUMMYFUNCTION("IFERROR(VLOOKUP(F392,IMPORTRANGE(""https://docs.google.com/spreadsheets/d/1Kvs4KS76FHFqLFIZfrDMff4kP08nblUkihrxltoGBjg/edit#gid=934712705"",""ESENCIAL!A6:BG""),2,FALSE))"),"")</f>
        <v/>
      </c>
      <c r="BK126" s="338" t="str">
        <f t="shared" si="19"/>
        <v/>
      </c>
      <c r="BL126" s="100"/>
      <c r="BM126" s="100"/>
    </row>
    <row r="127" spans="1:65" ht="15">
      <c r="B127" s="39"/>
      <c r="C127" s="101"/>
      <c r="D127" s="123"/>
      <c r="E127" s="39"/>
      <c r="F127" s="39"/>
      <c r="G127" s="39"/>
      <c r="H127" s="5" t="str">
        <f ca="1">IFERROR(__xludf.DUMMYFUNCTION("IFERROR(VLOOKUP(F393,IMPORTRANGE(""https://docs.google.com/spreadsheets/d/1Kvs4KS76FHFqLFIZfrDMff4kP08nblUkihrxltoGBjg/edit#gid=934712705"",""ESENCIAL!A6:BG""),3,FALSE))"),"")</f>
        <v/>
      </c>
      <c r="I127" s="5" t="str">
        <f ca="1">IFERROR(__xludf.DUMMYFUNCTION("IFERROR(VLOOKUP(F393,IMPORTRANGE(""https://docs.google.com/spreadsheets/d/1Kvs4KS76FHFqLFIZfrDMff4kP08nblUkihrxltoGBjg/edit#gid=934712705"",""ESENCIAL!A6:BG""),8,FALSE))"),"")</f>
        <v/>
      </c>
      <c r="J127" s="39"/>
      <c r="M127" s="287"/>
      <c r="AV127" s="41" t="str">
        <f t="shared" si="16"/>
        <v/>
      </c>
      <c r="AW127" s="5" t="str">
        <f ca="1">IFERROR(__xludf.DUMMYFUNCTION("IFERROR(VLOOKUP(E393&amp;F393,IMPORTRANGE(""https://docs.google.com/spreadsheets/d/1Uw7-A9f9R21vMXxHZFNpYNeKFtG8_yji4HS352LGlSQ/edit?pli=1#gid=0"",""1_ACUM!A4:S""),11,FALSE))"),"")</f>
        <v/>
      </c>
      <c r="AX127" s="42" t="str">
        <f ca="1">IFERROR(__xludf.DUMMYFUNCTION("IFERROR(VLOOKUP(F393,IMPORTRANGE(""https://docs.google.com/spreadsheets/d/1Kvs4KS76FHFqLFIZfrDMff4kP08nblUkihrxltoGBjg/edit#gid=934712705"",""ESENCIAL!A6:BG""),15,FALSE))"),"")</f>
        <v/>
      </c>
      <c r="AY127" s="110" t="str">
        <f ca="1">IFERROR(__xludf.DUMMYFUNCTION("IFERROR(VLOOKUP(E393&amp;F393,IMPORTRANGE(""https://docs.google.com/spreadsheets/d/1Uw7-A9f9R21vMXxHZFNpYNeKFtG8_yji4HS352LGlSQ/edit?pli=1#gid=0"",""1_ACUM!A4:S""),13,FALSE))"),"")</f>
        <v/>
      </c>
      <c r="AZ127" s="43" t="str">
        <f ca="1">IFERROR(__xludf.DUMMYFUNCTION("IFERROR(VLOOKUP(E393&amp;F393,IMPORTRANGE(""https://docs.google.com/spreadsheets/d/1Uw7-A9f9R21vMXxHZFNpYNeKFtG8_yji4HS352LGlSQ/edit?pli=1#gid=0"",""1_ACUM!A4:S""),13,FALSE))"),"")</f>
        <v/>
      </c>
      <c r="BA127" s="43" t="str">
        <f ca="1">IFERROR(__xludf.DUMMYFUNCTION("IFERROR(VLOOKUP(E393&amp;F393,IMPORTRANGE(""https://docs.google.com/spreadsheets/d/1Uw7-A9f9R21vMXxHZFNpYNeKFtG8_yji4HS352LGlSQ/edit?pli=1#gid=0"",""1_ACUM!A4:S""),14,FALSE))"),"")</f>
        <v/>
      </c>
      <c r="BB127" s="43" t="str">
        <f ca="1">IFERROR(__xludf.DUMMYFUNCTION("IFERROR(VLOOKUP(E393&amp;F393,IMPORTRANGE(""https://docs.google.com/spreadsheets/d/1Uw7-A9f9R21vMXxHZFNpYNeKFtG8_yji4HS352LGlSQ/edit?pli=1#gid=0"",""1_ACUM!A4:S""),15,FALSE))"),"")</f>
        <v/>
      </c>
      <c r="BC127" s="43" t="str">
        <f ca="1">IFERROR(__xludf.DUMMYFUNCTION("IFERROR(VLOOKUP(E393&amp;F393,IMPORTRANGE(""https://docs.google.com/spreadsheets/d/1Uw7-A9f9R21vMXxHZFNpYNeKFtG8_yji4HS352LGlSQ/edit?pli=1#gid=0"",""1_ACUM!A4:S""),16,FALSE))"),"")</f>
        <v/>
      </c>
      <c r="BD127" s="43" t="str">
        <f ca="1">IFERROR(__xludf.DUMMYFUNCTION("IFERROR(VLOOKUP(E393&amp;F393,IMPORTRANGE(""https://docs.google.com/spreadsheets/d/1Uw7-A9f9R21vMXxHZFNpYNeKFtG8_yji4HS352LGlSQ/edit?pli=1#gid=0"",""1_ACUM!A4:S""),17,FALSE))"),"")</f>
        <v/>
      </c>
      <c r="BE127" s="44" t="str">
        <f ca="1">IFERROR(__xludf.DUMMYFUNCTION("IFERROR(VLOOKUP(E393&amp;F393,IMPORTRANGE(""https://docs.google.com/spreadsheets/d/1Uw7-A9f9R21vMXxHZFNpYNeKFtG8_yji4HS352LGlSQ/edit?pli=1#gid=0"",""1_ACUM!A4:S""),18,FALSE))"),"")</f>
        <v/>
      </c>
      <c r="BF127" s="44" t="str">
        <f ca="1">IFERROR(__xludf.DUMMYFUNCTION("IFERROR(VLOOKUP(E393&amp;F393,IMPORTRANGE(""https://docs.google.com/spreadsheets/d/1Uw7-A9f9R21vMXxHZFNpYNeKFtG8_yji4HS352LGlSQ/edit?pli=1#gid=0"",""1_ACUM!A4:S""),19,FALSE))"),"")</f>
        <v/>
      </c>
      <c r="BG127" s="98" t="str">
        <f ca="1">IFERROR(__xludf.DUMMYFUNCTION("IFERROR(VLOOKUP(F393,IMPORTRANGE(""https://docs.google.com/spreadsheets/d/1Kvs4KS76FHFqLFIZfrDMff4kP08nblUkihrxltoGBjg/edit#gid=934712705"",""ESENCIAL!A6:BG""),5,FALSE))"),"")</f>
        <v/>
      </c>
      <c r="BH127" s="98" t="str">
        <f t="shared" si="17"/>
        <v/>
      </c>
      <c r="BI127" s="99" t="str">
        <f t="shared" si="18"/>
        <v/>
      </c>
      <c r="BJ127" s="100" t="str">
        <f ca="1">IFERROR(__xludf.DUMMYFUNCTION("IFERROR(VLOOKUP(F393,IMPORTRANGE(""https://docs.google.com/spreadsheets/d/1Kvs4KS76FHFqLFIZfrDMff4kP08nblUkihrxltoGBjg/edit#gid=934712705"",""ESENCIAL!A6:BG""),2,FALSE))"),"")</f>
        <v/>
      </c>
      <c r="BK127" s="19" t="str">
        <f t="shared" si="19"/>
        <v/>
      </c>
      <c r="BL127" s="100"/>
      <c r="BM127" s="100"/>
    </row>
    <row r="128" spans="1:65" ht="15">
      <c r="B128" s="39"/>
      <c r="C128" s="101"/>
      <c r="D128" s="123"/>
      <c r="E128" s="39"/>
      <c r="F128" s="39"/>
      <c r="G128" s="39"/>
      <c r="H128" s="5" t="str">
        <f ca="1">IFERROR(__xludf.DUMMYFUNCTION("IFERROR(VLOOKUP(F394,IMPORTRANGE(""https://docs.google.com/spreadsheets/d/1Kvs4KS76FHFqLFIZfrDMff4kP08nblUkihrxltoGBjg/edit#gid=934712705"",""ESENCIAL!A6:BG""),3,FALSE))"),"")</f>
        <v/>
      </c>
      <c r="I128" s="5" t="str">
        <f ca="1">IFERROR(__xludf.DUMMYFUNCTION("IFERROR(VLOOKUP(F394,IMPORTRANGE(""https://docs.google.com/spreadsheets/d/1Kvs4KS76FHFqLFIZfrDMff4kP08nblUkihrxltoGBjg/edit#gid=934712705"",""ESENCIAL!A6:BG""),8,FALSE))"),"")</f>
        <v/>
      </c>
      <c r="J128" s="39"/>
      <c r="M128" s="287"/>
      <c r="AV128" s="41" t="str">
        <f t="shared" si="16"/>
        <v/>
      </c>
      <c r="AW128" s="5" t="str">
        <f ca="1">IFERROR(__xludf.DUMMYFUNCTION("IFERROR(VLOOKUP(E394&amp;F394,IMPORTRANGE(""https://docs.google.com/spreadsheets/d/1Uw7-A9f9R21vMXxHZFNpYNeKFtG8_yji4HS352LGlSQ/edit?pli=1#gid=0"",""1_ACUM!A4:S""),11,FALSE))"),"")</f>
        <v/>
      </c>
      <c r="AX128" s="42" t="str">
        <f ca="1">IFERROR(__xludf.DUMMYFUNCTION("IFERROR(VLOOKUP(F394,IMPORTRANGE(""https://docs.google.com/spreadsheets/d/1Kvs4KS76FHFqLFIZfrDMff4kP08nblUkihrxltoGBjg/edit#gid=934712705"",""ESENCIAL!A6:BG""),15,FALSE))"),"")</f>
        <v/>
      </c>
      <c r="AY128" s="110" t="str">
        <f ca="1">IFERROR(__xludf.DUMMYFUNCTION("IFERROR(VLOOKUP(E394&amp;F394,IMPORTRANGE(""https://docs.google.com/spreadsheets/d/1Uw7-A9f9R21vMXxHZFNpYNeKFtG8_yji4HS352LGlSQ/edit?pli=1#gid=0"",""1_ACUM!A4:S""),13,FALSE))"),"")</f>
        <v/>
      </c>
      <c r="AZ128" s="43" t="str">
        <f ca="1">IFERROR(__xludf.DUMMYFUNCTION("IFERROR(VLOOKUP(E394&amp;F394,IMPORTRANGE(""https://docs.google.com/spreadsheets/d/1Uw7-A9f9R21vMXxHZFNpYNeKFtG8_yji4HS352LGlSQ/edit?pli=1#gid=0"",""1_ACUM!A4:S""),13,FALSE))"),"")</f>
        <v/>
      </c>
      <c r="BA128" s="43" t="str">
        <f ca="1">IFERROR(__xludf.DUMMYFUNCTION("IFERROR(VLOOKUP(E394&amp;F394,IMPORTRANGE(""https://docs.google.com/spreadsheets/d/1Uw7-A9f9R21vMXxHZFNpYNeKFtG8_yji4HS352LGlSQ/edit?pli=1#gid=0"",""1_ACUM!A4:S""),14,FALSE))"),"")</f>
        <v/>
      </c>
      <c r="BB128" s="43" t="str">
        <f ca="1">IFERROR(__xludf.DUMMYFUNCTION("IFERROR(VLOOKUP(E394&amp;F394,IMPORTRANGE(""https://docs.google.com/spreadsheets/d/1Uw7-A9f9R21vMXxHZFNpYNeKFtG8_yji4HS352LGlSQ/edit?pli=1#gid=0"",""1_ACUM!A4:S""),15,FALSE))"),"")</f>
        <v/>
      </c>
      <c r="BC128" s="43" t="str">
        <f ca="1">IFERROR(__xludf.DUMMYFUNCTION("IFERROR(VLOOKUP(E394&amp;F394,IMPORTRANGE(""https://docs.google.com/spreadsheets/d/1Uw7-A9f9R21vMXxHZFNpYNeKFtG8_yji4HS352LGlSQ/edit?pli=1#gid=0"",""1_ACUM!A4:S""),16,FALSE))"),"")</f>
        <v/>
      </c>
      <c r="BD128" s="43" t="str">
        <f ca="1">IFERROR(__xludf.DUMMYFUNCTION("IFERROR(VLOOKUP(E394&amp;F394,IMPORTRANGE(""https://docs.google.com/spreadsheets/d/1Uw7-A9f9R21vMXxHZFNpYNeKFtG8_yji4HS352LGlSQ/edit?pli=1#gid=0"",""1_ACUM!A4:S""),17,FALSE))"),"")</f>
        <v/>
      </c>
      <c r="BE128" s="44" t="str">
        <f ca="1">IFERROR(__xludf.DUMMYFUNCTION("IFERROR(VLOOKUP(E394&amp;F394,IMPORTRANGE(""https://docs.google.com/spreadsheets/d/1Uw7-A9f9R21vMXxHZFNpYNeKFtG8_yji4HS352LGlSQ/edit?pli=1#gid=0"",""1_ACUM!A4:S""),18,FALSE))"),"")</f>
        <v/>
      </c>
      <c r="BF128" s="44" t="str">
        <f ca="1">IFERROR(__xludf.DUMMYFUNCTION("IFERROR(VLOOKUP(E394&amp;F394,IMPORTRANGE(""https://docs.google.com/spreadsheets/d/1Uw7-A9f9R21vMXxHZFNpYNeKFtG8_yji4HS352LGlSQ/edit?pli=1#gid=0"",""1_ACUM!A4:S""),19,FALSE))"),"")</f>
        <v/>
      </c>
      <c r="BG128" s="98" t="str">
        <f ca="1">IFERROR(__xludf.DUMMYFUNCTION("IFERROR(VLOOKUP(F394,IMPORTRANGE(""https://docs.google.com/spreadsheets/d/1Kvs4KS76FHFqLFIZfrDMff4kP08nblUkihrxltoGBjg/edit#gid=934712705"",""ESENCIAL!A6:BG""),5,FALSE))"),"")</f>
        <v/>
      </c>
      <c r="BH128" s="98" t="str">
        <f t="shared" si="17"/>
        <v/>
      </c>
      <c r="BI128" s="99" t="str">
        <f t="shared" si="18"/>
        <v/>
      </c>
      <c r="BJ128" s="100" t="str">
        <f ca="1">IFERROR(__xludf.DUMMYFUNCTION("IFERROR(VLOOKUP(F394,IMPORTRANGE(""https://docs.google.com/spreadsheets/d/1Kvs4KS76FHFqLFIZfrDMff4kP08nblUkihrxltoGBjg/edit#gid=934712705"",""ESENCIAL!A6:BG""),2,FALSE))"),"")</f>
        <v/>
      </c>
      <c r="BK128" s="19" t="str">
        <f t="shared" si="19"/>
        <v/>
      </c>
      <c r="BL128" s="100"/>
      <c r="BM128" s="100"/>
    </row>
    <row r="129" spans="2:65" ht="15">
      <c r="B129" s="39"/>
      <c r="C129" s="5"/>
      <c r="D129" s="123"/>
      <c r="E129" s="39"/>
      <c r="F129" s="39"/>
      <c r="G129" s="39"/>
      <c r="H129" s="5" t="str">
        <f ca="1">IFERROR(__xludf.DUMMYFUNCTION("IFERROR(VLOOKUP(F395,IMPORTRANGE(""https://docs.google.com/spreadsheets/d/1Kvs4KS76FHFqLFIZfrDMff4kP08nblUkihrxltoGBjg/edit#gid=934712705"",""ESENCIAL!A6:BG""),3,FALSE))"),"")</f>
        <v/>
      </c>
      <c r="I129" s="5" t="str">
        <f ca="1">IFERROR(__xludf.DUMMYFUNCTION("IFERROR(VLOOKUP(F395,IMPORTRANGE(""https://docs.google.com/spreadsheets/d/1Kvs4KS76FHFqLFIZfrDMff4kP08nblUkihrxltoGBjg/edit#gid=934712705"",""ESENCIAL!A6:BG""),8,FALSE))"),"")</f>
        <v/>
      </c>
      <c r="J129" s="39"/>
      <c r="M129" s="287"/>
      <c r="AV129" s="41" t="str">
        <f t="shared" si="16"/>
        <v/>
      </c>
      <c r="AW129" s="5" t="str">
        <f ca="1">IFERROR(__xludf.DUMMYFUNCTION("IFERROR(VLOOKUP(E395&amp;F395,IMPORTRANGE(""https://docs.google.com/spreadsheets/d/1Uw7-A9f9R21vMXxHZFNpYNeKFtG8_yji4HS352LGlSQ/edit?pli=1#gid=0"",""1_ACUM!A4:S""),11,FALSE))"),"")</f>
        <v/>
      </c>
      <c r="AX129" s="42" t="str">
        <f ca="1">IFERROR(__xludf.DUMMYFUNCTION("IFERROR(VLOOKUP(F395,IMPORTRANGE(""https://docs.google.com/spreadsheets/d/1Kvs4KS76FHFqLFIZfrDMff4kP08nblUkihrxltoGBjg/edit#gid=934712705"",""ESENCIAL!A6:BG""),15,FALSE))"),"")</f>
        <v/>
      </c>
      <c r="AY129" s="110" t="str">
        <f ca="1">IFERROR(__xludf.DUMMYFUNCTION("IFERROR(VLOOKUP(E395&amp;F395,IMPORTRANGE(""https://docs.google.com/spreadsheets/d/1Uw7-A9f9R21vMXxHZFNpYNeKFtG8_yji4HS352LGlSQ/edit?pli=1#gid=0"",""1_ACUM!A4:S""),13,FALSE))"),"")</f>
        <v/>
      </c>
      <c r="AZ129" s="43" t="str">
        <f ca="1">IFERROR(__xludf.DUMMYFUNCTION("IFERROR(VLOOKUP(E395&amp;F395,IMPORTRANGE(""https://docs.google.com/spreadsheets/d/1Uw7-A9f9R21vMXxHZFNpYNeKFtG8_yji4HS352LGlSQ/edit?pli=1#gid=0"",""1_ACUM!A4:S""),13,FALSE))"),"")</f>
        <v/>
      </c>
      <c r="BA129" s="43" t="str">
        <f ca="1">IFERROR(__xludf.DUMMYFUNCTION("IFERROR(VLOOKUP(E395&amp;F395,IMPORTRANGE(""https://docs.google.com/spreadsheets/d/1Uw7-A9f9R21vMXxHZFNpYNeKFtG8_yji4HS352LGlSQ/edit?pli=1#gid=0"",""1_ACUM!A4:S""),14,FALSE))"),"")</f>
        <v/>
      </c>
      <c r="BB129" s="43" t="str">
        <f ca="1">IFERROR(__xludf.DUMMYFUNCTION("IFERROR(VLOOKUP(E395&amp;F395,IMPORTRANGE(""https://docs.google.com/spreadsheets/d/1Uw7-A9f9R21vMXxHZFNpYNeKFtG8_yji4HS352LGlSQ/edit?pli=1#gid=0"",""1_ACUM!A4:S""),15,FALSE))"),"")</f>
        <v/>
      </c>
      <c r="BC129" s="43" t="str">
        <f ca="1">IFERROR(__xludf.DUMMYFUNCTION("IFERROR(VLOOKUP(E395&amp;F395,IMPORTRANGE(""https://docs.google.com/spreadsheets/d/1Uw7-A9f9R21vMXxHZFNpYNeKFtG8_yji4HS352LGlSQ/edit?pli=1#gid=0"",""1_ACUM!A4:S""),16,FALSE))"),"")</f>
        <v/>
      </c>
      <c r="BD129" s="43" t="str">
        <f ca="1">IFERROR(__xludf.DUMMYFUNCTION("IFERROR(VLOOKUP(E395&amp;F395,IMPORTRANGE(""https://docs.google.com/spreadsheets/d/1Uw7-A9f9R21vMXxHZFNpYNeKFtG8_yji4HS352LGlSQ/edit?pli=1#gid=0"",""1_ACUM!A4:S""),17,FALSE))"),"")</f>
        <v/>
      </c>
      <c r="BE129" s="44" t="str">
        <f ca="1">IFERROR(__xludf.DUMMYFUNCTION("IFERROR(VLOOKUP(E395&amp;F395,IMPORTRANGE(""https://docs.google.com/spreadsheets/d/1Uw7-A9f9R21vMXxHZFNpYNeKFtG8_yji4HS352LGlSQ/edit?pli=1#gid=0"",""1_ACUM!A4:S""),18,FALSE))"),"")</f>
        <v/>
      </c>
      <c r="BF129" s="44" t="str">
        <f ca="1">IFERROR(__xludf.DUMMYFUNCTION("IFERROR(VLOOKUP(E395&amp;F395,IMPORTRANGE(""https://docs.google.com/spreadsheets/d/1Uw7-A9f9R21vMXxHZFNpYNeKFtG8_yji4HS352LGlSQ/edit?pli=1#gid=0"",""1_ACUM!A4:S""),19,FALSE))"),"")</f>
        <v/>
      </c>
      <c r="BG129" s="98" t="str">
        <f ca="1">IFERROR(__xludf.DUMMYFUNCTION("IFERROR(VLOOKUP(F395,IMPORTRANGE(""https://docs.google.com/spreadsheets/d/1Kvs4KS76FHFqLFIZfrDMff4kP08nblUkihrxltoGBjg/edit#gid=934712705"",""ESENCIAL!A6:BG""),5,FALSE))"),"")</f>
        <v/>
      </c>
      <c r="BH129" s="98" t="str">
        <f t="shared" si="17"/>
        <v/>
      </c>
      <c r="BI129" s="99" t="str">
        <f t="shared" si="18"/>
        <v/>
      </c>
      <c r="BJ129" s="100" t="str">
        <f ca="1">IFERROR(__xludf.DUMMYFUNCTION("IFERROR(VLOOKUP(F395,IMPORTRANGE(""https://docs.google.com/spreadsheets/d/1Kvs4KS76FHFqLFIZfrDMff4kP08nblUkihrxltoGBjg/edit#gid=934712705"",""ESENCIAL!A6:BG""),2,FALSE))"),"")</f>
        <v/>
      </c>
      <c r="BK129" s="19" t="str">
        <f t="shared" si="19"/>
        <v/>
      </c>
      <c r="BL129" s="100"/>
      <c r="BM129" s="100"/>
    </row>
    <row r="130" spans="2:65" ht="15">
      <c r="B130" s="39"/>
      <c r="C130" s="5"/>
      <c r="D130" s="123"/>
      <c r="E130" s="39"/>
      <c r="F130" s="39"/>
      <c r="G130" s="39"/>
      <c r="H130" s="5" t="str">
        <f ca="1">IFERROR(__xludf.DUMMYFUNCTION("IFERROR(VLOOKUP(F396,IMPORTRANGE(""https://docs.google.com/spreadsheets/d/1Kvs4KS76FHFqLFIZfrDMff4kP08nblUkihrxltoGBjg/edit#gid=934712705"",""ESENCIAL!A6:BG""),3,FALSE))"),"")</f>
        <v/>
      </c>
      <c r="I130" s="5" t="str">
        <f ca="1">IFERROR(__xludf.DUMMYFUNCTION("IFERROR(VLOOKUP(F396,IMPORTRANGE(""https://docs.google.com/spreadsheets/d/1Kvs4KS76FHFqLFIZfrDMff4kP08nblUkihrxltoGBjg/edit#gid=934712705"",""ESENCIAL!A6:BG""),8,FALSE))"),"")</f>
        <v/>
      </c>
      <c r="J130" s="39"/>
      <c r="M130" s="287"/>
      <c r="AV130" s="41" t="str">
        <f t="shared" si="16"/>
        <v/>
      </c>
      <c r="AW130" s="5" t="str">
        <f ca="1">IFERROR(__xludf.DUMMYFUNCTION("IFERROR(VLOOKUP(E396&amp;F396,IMPORTRANGE(""https://docs.google.com/spreadsheets/d/1Uw7-A9f9R21vMXxHZFNpYNeKFtG8_yji4HS352LGlSQ/edit?pli=1#gid=0"",""1_ACUM!A4:S""),11,FALSE))"),"")</f>
        <v/>
      </c>
      <c r="AX130" s="42" t="str">
        <f ca="1">IFERROR(__xludf.DUMMYFUNCTION("IFERROR(VLOOKUP(F396,IMPORTRANGE(""https://docs.google.com/spreadsheets/d/1Kvs4KS76FHFqLFIZfrDMff4kP08nblUkihrxltoGBjg/edit#gid=934712705"",""ESENCIAL!A6:BG""),15,FALSE))"),"")</f>
        <v/>
      </c>
      <c r="AY130" s="110" t="str">
        <f ca="1">IFERROR(__xludf.DUMMYFUNCTION("IFERROR(VLOOKUP(E396&amp;F396,IMPORTRANGE(""https://docs.google.com/spreadsheets/d/1Uw7-A9f9R21vMXxHZFNpYNeKFtG8_yji4HS352LGlSQ/edit?pli=1#gid=0"",""1_ACUM!A4:S""),13,FALSE))"),"")</f>
        <v/>
      </c>
      <c r="AZ130" s="43" t="str">
        <f ca="1">IFERROR(__xludf.DUMMYFUNCTION("IFERROR(VLOOKUP(E396&amp;F396,IMPORTRANGE(""https://docs.google.com/spreadsheets/d/1Uw7-A9f9R21vMXxHZFNpYNeKFtG8_yji4HS352LGlSQ/edit?pli=1#gid=0"",""1_ACUM!A4:S""),13,FALSE))"),"")</f>
        <v/>
      </c>
      <c r="BA130" s="43" t="str">
        <f ca="1">IFERROR(__xludf.DUMMYFUNCTION("IFERROR(VLOOKUP(E396&amp;F396,IMPORTRANGE(""https://docs.google.com/spreadsheets/d/1Uw7-A9f9R21vMXxHZFNpYNeKFtG8_yji4HS352LGlSQ/edit?pli=1#gid=0"",""1_ACUM!A4:S""),14,FALSE))"),"")</f>
        <v/>
      </c>
      <c r="BB130" s="43" t="str">
        <f ca="1">IFERROR(__xludf.DUMMYFUNCTION("IFERROR(VLOOKUP(E396&amp;F396,IMPORTRANGE(""https://docs.google.com/spreadsheets/d/1Uw7-A9f9R21vMXxHZFNpYNeKFtG8_yji4HS352LGlSQ/edit?pli=1#gid=0"",""1_ACUM!A4:S""),15,FALSE))"),"")</f>
        <v/>
      </c>
      <c r="BC130" s="43" t="str">
        <f ca="1">IFERROR(__xludf.DUMMYFUNCTION("IFERROR(VLOOKUP(E396&amp;F396,IMPORTRANGE(""https://docs.google.com/spreadsheets/d/1Uw7-A9f9R21vMXxHZFNpYNeKFtG8_yji4HS352LGlSQ/edit?pli=1#gid=0"",""1_ACUM!A4:S""),16,FALSE))"),"")</f>
        <v/>
      </c>
      <c r="BD130" s="43" t="str">
        <f ca="1">IFERROR(__xludf.DUMMYFUNCTION("IFERROR(VLOOKUP(E396&amp;F396,IMPORTRANGE(""https://docs.google.com/spreadsheets/d/1Uw7-A9f9R21vMXxHZFNpYNeKFtG8_yji4HS352LGlSQ/edit?pli=1#gid=0"",""1_ACUM!A4:S""),17,FALSE))"),"")</f>
        <v/>
      </c>
      <c r="BE130" s="44" t="str">
        <f ca="1">IFERROR(__xludf.DUMMYFUNCTION("IFERROR(VLOOKUP(E396&amp;F396,IMPORTRANGE(""https://docs.google.com/spreadsheets/d/1Uw7-A9f9R21vMXxHZFNpYNeKFtG8_yji4HS352LGlSQ/edit?pli=1#gid=0"",""1_ACUM!A4:S""),18,FALSE))"),"")</f>
        <v/>
      </c>
      <c r="BF130" s="44" t="str">
        <f ca="1">IFERROR(__xludf.DUMMYFUNCTION("IFERROR(VLOOKUP(E396&amp;F396,IMPORTRANGE(""https://docs.google.com/spreadsheets/d/1Uw7-A9f9R21vMXxHZFNpYNeKFtG8_yji4HS352LGlSQ/edit?pli=1#gid=0"",""1_ACUM!A4:S""),19,FALSE))"),"")</f>
        <v/>
      </c>
      <c r="BG130" s="98" t="str">
        <f ca="1">IFERROR(__xludf.DUMMYFUNCTION("IFERROR(VLOOKUP(F396,IMPORTRANGE(""https://docs.google.com/spreadsheets/d/1Kvs4KS76FHFqLFIZfrDMff4kP08nblUkihrxltoGBjg/edit#gid=934712705"",""ESENCIAL!A6:BG""),5,FALSE))"),"")</f>
        <v/>
      </c>
      <c r="BH130" s="98" t="str">
        <f t="shared" si="17"/>
        <v/>
      </c>
      <c r="BI130" s="99" t="str">
        <f t="shared" si="18"/>
        <v/>
      </c>
      <c r="BJ130" s="100" t="str">
        <f ca="1">IFERROR(__xludf.DUMMYFUNCTION("IFERROR(VLOOKUP(F396,IMPORTRANGE(""https://docs.google.com/spreadsheets/d/1Kvs4KS76FHFqLFIZfrDMff4kP08nblUkihrxltoGBjg/edit#gid=934712705"",""ESENCIAL!A6:BG""),2,FALSE))"),"")</f>
        <v/>
      </c>
      <c r="BK130" s="19" t="str">
        <f t="shared" si="19"/>
        <v/>
      </c>
      <c r="BL130" s="100"/>
      <c r="BM130" s="100"/>
    </row>
    <row r="131" spans="2:65" ht="15">
      <c r="B131" s="39"/>
      <c r="C131" s="5"/>
      <c r="D131" s="123"/>
      <c r="E131" s="39"/>
      <c r="F131" s="39"/>
      <c r="G131" s="39"/>
      <c r="H131" s="5" t="str">
        <f ca="1">IFERROR(__xludf.DUMMYFUNCTION("IFERROR(VLOOKUP(F397,IMPORTRANGE(""https://docs.google.com/spreadsheets/d/1Kvs4KS76FHFqLFIZfrDMff4kP08nblUkihrxltoGBjg/edit#gid=934712705"",""ESENCIAL!A6:BG""),3,FALSE))"),"")</f>
        <v/>
      </c>
      <c r="I131" s="5" t="str">
        <f ca="1">IFERROR(__xludf.DUMMYFUNCTION("IFERROR(VLOOKUP(F397,IMPORTRANGE(""https://docs.google.com/spreadsheets/d/1Kvs4KS76FHFqLFIZfrDMff4kP08nblUkihrxltoGBjg/edit#gid=934712705"",""ESENCIAL!A6:BG""),8,FALSE))"),"")</f>
        <v/>
      </c>
      <c r="J131" s="39"/>
      <c r="M131" s="287"/>
      <c r="AV131" s="41" t="str">
        <f t="shared" si="16"/>
        <v/>
      </c>
      <c r="AW131" s="5" t="str">
        <f ca="1">IFERROR(__xludf.DUMMYFUNCTION("IFERROR(VLOOKUP(E397&amp;F397,IMPORTRANGE(""https://docs.google.com/spreadsheets/d/1Uw7-A9f9R21vMXxHZFNpYNeKFtG8_yji4HS352LGlSQ/edit?pli=1#gid=0"",""1_ACUM!A4:S""),11,FALSE))"),"")</f>
        <v/>
      </c>
      <c r="AX131" s="42" t="str">
        <f ca="1">IFERROR(__xludf.DUMMYFUNCTION("IFERROR(VLOOKUP(F397,IMPORTRANGE(""https://docs.google.com/spreadsheets/d/1Kvs4KS76FHFqLFIZfrDMff4kP08nblUkihrxltoGBjg/edit#gid=934712705"",""ESENCIAL!A6:BG""),15,FALSE))"),"")</f>
        <v/>
      </c>
      <c r="AY131" s="110" t="str">
        <f ca="1">IFERROR(__xludf.DUMMYFUNCTION("IFERROR(VLOOKUP(E397&amp;F397,IMPORTRANGE(""https://docs.google.com/spreadsheets/d/1Uw7-A9f9R21vMXxHZFNpYNeKFtG8_yji4HS352LGlSQ/edit?pli=1#gid=0"",""1_ACUM!A4:S""),13,FALSE))"),"")</f>
        <v/>
      </c>
      <c r="AZ131" s="43" t="str">
        <f ca="1">IFERROR(__xludf.DUMMYFUNCTION("IFERROR(VLOOKUP(E397&amp;F397,IMPORTRANGE(""https://docs.google.com/spreadsheets/d/1Uw7-A9f9R21vMXxHZFNpYNeKFtG8_yji4HS352LGlSQ/edit?pli=1#gid=0"",""1_ACUM!A4:S""),13,FALSE))"),"")</f>
        <v/>
      </c>
      <c r="BA131" s="43" t="str">
        <f ca="1">IFERROR(__xludf.DUMMYFUNCTION("IFERROR(VLOOKUP(E397&amp;F397,IMPORTRANGE(""https://docs.google.com/spreadsheets/d/1Uw7-A9f9R21vMXxHZFNpYNeKFtG8_yji4HS352LGlSQ/edit?pli=1#gid=0"",""1_ACUM!A4:S""),14,FALSE))"),"")</f>
        <v/>
      </c>
      <c r="BB131" s="43" t="str">
        <f ca="1">IFERROR(__xludf.DUMMYFUNCTION("IFERROR(VLOOKUP(E397&amp;F397,IMPORTRANGE(""https://docs.google.com/spreadsheets/d/1Uw7-A9f9R21vMXxHZFNpYNeKFtG8_yji4HS352LGlSQ/edit?pli=1#gid=0"",""1_ACUM!A4:S""),15,FALSE))"),"")</f>
        <v/>
      </c>
      <c r="BC131" s="43" t="str">
        <f ca="1">IFERROR(__xludf.DUMMYFUNCTION("IFERROR(VLOOKUP(E397&amp;F397,IMPORTRANGE(""https://docs.google.com/spreadsheets/d/1Uw7-A9f9R21vMXxHZFNpYNeKFtG8_yji4HS352LGlSQ/edit?pli=1#gid=0"",""1_ACUM!A4:S""),16,FALSE))"),"")</f>
        <v/>
      </c>
      <c r="BD131" s="43" t="str">
        <f ca="1">IFERROR(__xludf.DUMMYFUNCTION("IFERROR(VLOOKUP(E397&amp;F397,IMPORTRANGE(""https://docs.google.com/spreadsheets/d/1Uw7-A9f9R21vMXxHZFNpYNeKFtG8_yji4HS352LGlSQ/edit?pli=1#gid=0"",""1_ACUM!A4:S""),17,FALSE))"),"")</f>
        <v/>
      </c>
      <c r="BE131" s="44" t="str">
        <f ca="1">IFERROR(__xludf.DUMMYFUNCTION("IFERROR(VLOOKUP(E397&amp;F397,IMPORTRANGE(""https://docs.google.com/spreadsheets/d/1Uw7-A9f9R21vMXxHZFNpYNeKFtG8_yji4HS352LGlSQ/edit?pli=1#gid=0"",""1_ACUM!A4:S""),18,FALSE))"),"")</f>
        <v/>
      </c>
      <c r="BF131" s="44" t="str">
        <f ca="1">IFERROR(__xludf.DUMMYFUNCTION("IFERROR(VLOOKUP(E397&amp;F397,IMPORTRANGE(""https://docs.google.com/spreadsheets/d/1Uw7-A9f9R21vMXxHZFNpYNeKFtG8_yji4HS352LGlSQ/edit?pli=1#gid=0"",""1_ACUM!A4:S""),19,FALSE))"),"")</f>
        <v/>
      </c>
      <c r="BG131" s="98" t="str">
        <f ca="1">IFERROR(__xludf.DUMMYFUNCTION("IFERROR(VLOOKUP(F397,IMPORTRANGE(""https://docs.google.com/spreadsheets/d/1Kvs4KS76FHFqLFIZfrDMff4kP08nblUkihrxltoGBjg/edit#gid=934712705"",""ESENCIAL!A6:BG""),5,FALSE))"),"")</f>
        <v/>
      </c>
      <c r="BH131" s="98" t="str">
        <f t="shared" si="17"/>
        <v/>
      </c>
      <c r="BI131" s="99" t="str">
        <f t="shared" si="18"/>
        <v/>
      </c>
      <c r="BJ131" s="100" t="str">
        <f ca="1">IFERROR(__xludf.DUMMYFUNCTION("IFERROR(VLOOKUP(F397,IMPORTRANGE(""https://docs.google.com/spreadsheets/d/1Kvs4KS76FHFqLFIZfrDMff4kP08nblUkihrxltoGBjg/edit#gid=934712705"",""ESENCIAL!A6:BG""),2,FALSE))"),"")</f>
        <v/>
      </c>
      <c r="BK131" s="19" t="str">
        <f t="shared" si="19"/>
        <v/>
      </c>
      <c r="BL131" s="100"/>
      <c r="BM131" s="100"/>
    </row>
    <row r="132" spans="2:65" ht="15">
      <c r="B132" s="39"/>
      <c r="C132" s="5"/>
      <c r="D132" s="123"/>
      <c r="E132" s="39"/>
      <c r="F132" s="39"/>
      <c r="G132" s="39"/>
      <c r="H132" s="5" t="str">
        <f ca="1">IFERROR(__xludf.DUMMYFUNCTION("IFERROR(VLOOKUP(F398,IMPORTRANGE(""https://docs.google.com/spreadsheets/d/1Kvs4KS76FHFqLFIZfrDMff4kP08nblUkihrxltoGBjg/edit#gid=934712705"",""ESENCIAL!A6:BG""),3,FALSE))"),"")</f>
        <v/>
      </c>
      <c r="I132" s="5" t="str">
        <f ca="1">IFERROR(__xludf.DUMMYFUNCTION("IFERROR(VLOOKUP(F398,IMPORTRANGE(""https://docs.google.com/spreadsheets/d/1Kvs4KS76FHFqLFIZfrDMff4kP08nblUkihrxltoGBjg/edit#gid=934712705"",""ESENCIAL!A6:BG""),8,FALSE))"),"")</f>
        <v/>
      </c>
      <c r="J132" s="39"/>
      <c r="M132" s="287"/>
      <c r="AV132" s="41" t="str">
        <f t="shared" si="16"/>
        <v/>
      </c>
      <c r="AW132" s="5" t="str">
        <f ca="1">IFERROR(__xludf.DUMMYFUNCTION("IFERROR(VLOOKUP(E398&amp;F398,IMPORTRANGE(""https://docs.google.com/spreadsheets/d/1Uw7-A9f9R21vMXxHZFNpYNeKFtG8_yji4HS352LGlSQ/edit?pli=1#gid=0"",""1_ACUM!A4:S""),11,FALSE))"),"")</f>
        <v/>
      </c>
      <c r="AX132" s="42" t="str">
        <f ca="1">IFERROR(__xludf.DUMMYFUNCTION("IFERROR(VLOOKUP(F398,IMPORTRANGE(""https://docs.google.com/spreadsheets/d/1Kvs4KS76FHFqLFIZfrDMff4kP08nblUkihrxltoGBjg/edit#gid=934712705"",""ESENCIAL!A6:BG""),15,FALSE))"),"")</f>
        <v/>
      </c>
      <c r="AY132" s="110" t="str">
        <f ca="1">IFERROR(__xludf.DUMMYFUNCTION("IFERROR(VLOOKUP(E398&amp;F398,IMPORTRANGE(""https://docs.google.com/spreadsheets/d/1Uw7-A9f9R21vMXxHZFNpYNeKFtG8_yji4HS352LGlSQ/edit?pli=1#gid=0"",""1_ACUM!A4:S""),13,FALSE))"),"")</f>
        <v/>
      </c>
      <c r="AZ132" s="43" t="str">
        <f ca="1">IFERROR(__xludf.DUMMYFUNCTION("IFERROR(VLOOKUP(E398&amp;F398,IMPORTRANGE(""https://docs.google.com/spreadsheets/d/1Uw7-A9f9R21vMXxHZFNpYNeKFtG8_yji4HS352LGlSQ/edit?pli=1#gid=0"",""1_ACUM!A4:S""),13,FALSE))"),"")</f>
        <v/>
      </c>
      <c r="BA132" s="43" t="str">
        <f ca="1">IFERROR(__xludf.DUMMYFUNCTION("IFERROR(VLOOKUP(E398&amp;F398,IMPORTRANGE(""https://docs.google.com/spreadsheets/d/1Uw7-A9f9R21vMXxHZFNpYNeKFtG8_yji4HS352LGlSQ/edit?pli=1#gid=0"",""1_ACUM!A4:S""),14,FALSE))"),"")</f>
        <v/>
      </c>
      <c r="BB132" s="43" t="str">
        <f ca="1">IFERROR(__xludf.DUMMYFUNCTION("IFERROR(VLOOKUP(E398&amp;F398,IMPORTRANGE(""https://docs.google.com/spreadsheets/d/1Uw7-A9f9R21vMXxHZFNpYNeKFtG8_yji4HS352LGlSQ/edit?pli=1#gid=0"",""1_ACUM!A4:S""),15,FALSE))"),"")</f>
        <v/>
      </c>
      <c r="BC132" s="43" t="str">
        <f ca="1">IFERROR(__xludf.DUMMYFUNCTION("IFERROR(VLOOKUP(E398&amp;F398,IMPORTRANGE(""https://docs.google.com/spreadsheets/d/1Uw7-A9f9R21vMXxHZFNpYNeKFtG8_yji4HS352LGlSQ/edit?pli=1#gid=0"",""1_ACUM!A4:S""),16,FALSE))"),"")</f>
        <v/>
      </c>
      <c r="BD132" s="43" t="str">
        <f ca="1">IFERROR(__xludf.DUMMYFUNCTION("IFERROR(VLOOKUP(E398&amp;F398,IMPORTRANGE(""https://docs.google.com/spreadsheets/d/1Uw7-A9f9R21vMXxHZFNpYNeKFtG8_yji4HS352LGlSQ/edit?pli=1#gid=0"",""1_ACUM!A4:S""),17,FALSE))"),"")</f>
        <v/>
      </c>
      <c r="BE132" s="44" t="str">
        <f ca="1">IFERROR(__xludf.DUMMYFUNCTION("IFERROR(VLOOKUP(E398&amp;F398,IMPORTRANGE(""https://docs.google.com/spreadsheets/d/1Uw7-A9f9R21vMXxHZFNpYNeKFtG8_yji4HS352LGlSQ/edit?pli=1#gid=0"",""1_ACUM!A4:S""),18,FALSE))"),"")</f>
        <v/>
      </c>
      <c r="BF132" s="44" t="str">
        <f ca="1">IFERROR(__xludf.DUMMYFUNCTION("IFERROR(VLOOKUP(E398&amp;F398,IMPORTRANGE(""https://docs.google.com/spreadsheets/d/1Uw7-A9f9R21vMXxHZFNpYNeKFtG8_yji4HS352LGlSQ/edit?pli=1#gid=0"",""1_ACUM!A4:S""),19,FALSE))"),"")</f>
        <v/>
      </c>
      <c r="BG132" s="98" t="str">
        <f ca="1">IFERROR(__xludf.DUMMYFUNCTION("IFERROR(VLOOKUP(F398,IMPORTRANGE(""https://docs.google.com/spreadsheets/d/1Kvs4KS76FHFqLFIZfrDMff4kP08nblUkihrxltoGBjg/edit#gid=934712705"",""ESENCIAL!A6:BG""),5,FALSE))"),"")</f>
        <v/>
      </c>
      <c r="BH132" s="98" t="str">
        <f t="shared" si="17"/>
        <v/>
      </c>
      <c r="BI132" s="99" t="str">
        <f t="shared" si="18"/>
        <v/>
      </c>
      <c r="BJ132" s="100" t="str">
        <f ca="1">IFERROR(__xludf.DUMMYFUNCTION("IFERROR(VLOOKUP(F398,IMPORTRANGE(""https://docs.google.com/spreadsheets/d/1Kvs4KS76FHFqLFIZfrDMff4kP08nblUkihrxltoGBjg/edit#gid=934712705"",""ESENCIAL!A6:BG""),2,FALSE))"),"")</f>
        <v/>
      </c>
      <c r="BK132" s="19" t="str">
        <f t="shared" si="19"/>
        <v/>
      </c>
      <c r="BL132" s="100"/>
      <c r="BM132" s="100"/>
    </row>
    <row r="133" spans="2:65" ht="15">
      <c r="B133" s="39"/>
      <c r="C133" s="5"/>
      <c r="D133" s="123"/>
      <c r="E133" s="39"/>
      <c r="F133" s="39"/>
      <c r="G133" s="39"/>
      <c r="H133" s="5" t="str">
        <f ca="1">IFERROR(__xludf.DUMMYFUNCTION("IFERROR(VLOOKUP(F399,IMPORTRANGE(""https://docs.google.com/spreadsheets/d/1Kvs4KS76FHFqLFIZfrDMff4kP08nblUkihrxltoGBjg/edit#gid=934712705"",""ESENCIAL!A6:BG""),3,FALSE))"),"")</f>
        <v/>
      </c>
      <c r="I133" s="5" t="str">
        <f ca="1">IFERROR(__xludf.DUMMYFUNCTION("IFERROR(VLOOKUP(F399,IMPORTRANGE(""https://docs.google.com/spreadsheets/d/1Kvs4KS76FHFqLFIZfrDMff4kP08nblUkihrxltoGBjg/edit#gid=934712705"",""ESENCIAL!A6:BG""),8,FALSE))"),"")</f>
        <v/>
      </c>
      <c r="J133" s="39"/>
      <c r="M133" s="287"/>
      <c r="AV133" s="41" t="str">
        <f t="shared" si="16"/>
        <v/>
      </c>
      <c r="AW133" s="5" t="str">
        <f ca="1">IFERROR(__xludf.DUMMYFUNCTION("IFERROR(VLOOKUP(E399&amp;F399,IMPORTRANGE(""https://docs.google.com/spreadsheets/d/1Uw7-A9f9R21vMXxHZFNpYNeKFtG8_yji4HS352LGlSQ/edit?pli=1#gid=0"",""1_ACUM!A4:S""),11,FALSE))"),"")</f>
        <v/>
      </c>
      <c r="AX133" s="42" t="str">
        <f ca="1">IFERROR(__xludf.DUMMYFUNCTION("IFERROR(VLOOKUP(F399,IMPORTRANGE(""https://docs.google.com/spreadsheets/d/1Kvs4KS76FHFqLFIZfrDMff4kP08nblUkihrxltoGBjg/edit#gid=934712705"",""ESENCIAL!A6:BG""),15,FALSE))"),"")</f>
        <v/>
      </c>
      <c r="AY133" s="110" t="str">
        <f ca="1">IFERROR(__xludf.DUMMYFUNCTION("IFERROR(VLOOKUP(E399&amp;F399,IMPORTRANGE(""https://docs.google.com/spreadsheets/d/1Uw7-A9f9R21vMXxHZFNpYNeKFtG8_yji4HS352LGlSQ/edit?pli=1#gid=0"",""1_ACUM!A4:S""),13,FALSE))"),"")</f>
        <v/>
      </c>
      <c r="AZ133" s="43" t="str">
        <f ca="1">IFERROR(__xludf.DUMMYFUNCTION("IFERROR(VLOOKUP(E399&amp;F399,IMPORTRANGE(""https://docs.google.com/spreadsheets/d/1Uw7-A9f9R21vMXxHZFNpYNeKFtG8_yji4HS352LGlSQ/edit?pli=1#gid=0"",""1_ACUM!A4:S""),13,FALSE))"),"")</f>
        <v/>
      </c>
      <c r="BA133" s="43" t="str">
        <f ca="1">IFERROR(__xludf.DUMMYFUNCTION("IFERROR(VLOOKUP(E399&amp;F399,IMPORTRANGE(""https://docs.google.com/spreadsheets/d/1Uw7-A9f9R21vMXxHZFNpYNeKFtG8_yji4HS352LGlSQ/edit?pli=1#gid=0"",""1_ACUM!A4:S""),14,FALSE))"),"")</f>
        <v/>
      </c>
      <c r="BB133" s="43" t="str">
        <f ca="1">IFERROR(__xludf.DUMMYFUNCTION("IFERROR(VLOOKUP(E399&amp;F399,IMPORTRANGE(""https://docs.google.com/spreadsheets/d/1Uw7-A9f9R21vMXxHZFNpYNeKFtG8_yji4HS352LGlSQ/edit?pli=1#gid=0"",""1_ACUM!A4:S""),15,FALSE))"),"")</f>
        <v/>
      </c>
      <c r="BC133" s="43" t="str">
        <f ca="1">IFERROR(__xludf.DUMMYFUNCTION("IFERROR(VLOOKUP(E399&amp;F399,IMPORTRANGE(""https://docs.google.com/spreadsheets/d/1Uw7-A9f9R21vMXxHZFNpYNeKFtG8_yji4HS352LGlSQ/edit?pli=1#gid=0"",""1_ACUM!A4:S""),16,FALSE))"),"")</f>
        <v/>
      </c>
      <c r="BD133" s="43" t="str">
        <f ca="1">IFERROR(__xludf.DUMMYFUNCTION("IFERROR(VLOOKUP(E399&amp;F399,IMPORTRANGE(""https://docs.google.com/spreadsheets/d/1Uw7-A9f9R21vMXxHZFNpYNeKFtG8_yji4HS352LGlSQ/edit?pli=1#gid=0"",""1_ACUM!A4:S""),17,FALSE))"),"")</f>
        <v/>
      </c>
      <c r="BE133" s="44" t="str">
        <f ca="1">IFERROR(__xludf.DUMMYFUNCTION("IFERROR(VLOOKUP(E399&amp;F399,IMPORTRANGE(""https://docs.google.com/spreadsheets/d/1Uw7-A9f9R21vMXxHZFNpYNeKFtG8_yji4HS352LGlSQ/edit?pli=1#gid=0"",""1_ACUM!A4:S""),18,FALSE))"),"")</f>
        <v/>
      </c>
      <c r="BF133" s="44" t="str">
        <f ca="1">IFERROR(__xludf.DUMMYFUNCTION("IFERROR(VLOOKUP(E399&amp;F399,IMPORTRANGE(""https://docs.google.com/spreadsheets/d/1Uw7-A9f9R21vMXxHZFNpYNeKFtG8_yji4HS352LGlSQ/edit?pli=1#gid=0"",""1_ACUM!A4:S""),19,FALSE))"),"")</f>
        <v/>
      </c>
      <c r="BG133" s="98" t="str">
        <f ca="1">IFERROR(__xludf.DUMMYFUNCTION("IFERROR(VLOOKUP(F399,IMPORTRANGE(""https://docs.google.com/spreadsheets/d/1Kvs4KS76FHFqLFIZfrDMff4kP08nblUkihrxltoGBjg/edit#gid=934712705"",""ESENCIAL!A6:BG""),5,FALSE))"),"")</f>
        <v/>
      </c>
      <c r="BH133" s="98" t="str">
        <f t="shared" si="17"/>
        <v/>
      </c>
      <c r="BI133" s="99" t="str">
        <f t="shared" si="18"/>
        <v/>
      </c>
      <c r="BJ133" s="100" t="str">
        <f ca="1">IFERROR(__xludf.DUMMYFUNCTION("IFERROR(VLOOKUP(F399,IMPORTRANGE(""https://docs.google.com/spreadsheets/d/1Kvs4KS76FHFqLFIZfrDMff4kP08nblUkihrxltoGBjg/edit#gid=934712705"",""ESENCIAL!A6:BG""),2,FALSE))"),"")</f>
        <v/>
      </c>
      <c r="BK133" s="19" t="str">
        <f t="shared" si="19"/>
        <v/>
      </c>
      <c r="BL133" s="100"/>
      <c r="BM133" s="100"/>
    </row>
    <row r="134" spans="2:65" ht="15">
      <c r="B134" s="39"/>
      <c r="C134" s="5"/>
      <c r="D134" s="123"/>
      <c r="E134" s="39"/>
      <c r="F134" s="39"/>
      <c r="G134" s="39"/>
      <c r="H134" s="5" t="str">
        <f ca="1">IFERROR(__xludf.DUMMYFUNCTION("IFERROR(VLOOKUP(F400,IMPORTRANGE(""https://docs.google.com/spreadsheets/d/1Kvs4KS76FHFqLFIZfrDMff4kP08nblUkihrxltoGBjg/edit#gid=934712705"",""ESENCIAL!A6:BG""),3,FALSE))"),"")</f>
        <v/>
      </c>
      <c r="I134" s="5" t="str">
        <f ca="1">IFERROR(__xludf.DUMMYFUNCTION("IFERROR(VLOOKUP(F400,IMPORTRANGE(""https://docs.google.com/spreadsheets/d/1Kvs4KS76FHFqLFIZfrDMff4kP08nblUkihrxltoGBjg/edit#gid=934712705"",""ESENCIAL!A6:BG""),8,FALSE))"),"")</f>
        <v/>
      </c>
      <c r="J134" s="39"/>
      <c r="M134" s="287"/>
      <c r="AV134" s="41" t="str">
        <f t="shared" si="16"/>
        <v/>
      </c>
      <c r="AW134" s="5" t="str">
        <f ca="1">IFERROR(__xludf.DUMMYFUNCTION("IFERROR(VLOOKUP(E400&amp;F400,IMPORTRANGE(""https://docs.google.com/spreadsheets/d/1Uw7-A9f9R21vMXxHZFNpYNeKFtG8_yji4HS352LGlSQ/edit?pli=1#gid=0"",""1_ACUM!A4:S""),11,FALSE))"),"")</f>
        <v/>
      </c>
      <c r="AX134" s="42" t="str">
        <f ca="1">IFERROR(__xludf.DUMMYFUNCTION("IFERROR(VLOOKUP(F400,IMPORTRANGE(""https://docs.google.com/spreadsheets/d/1Kvs4KS76FHFqLFIZfrDMff4kP08nblUkihrxltoGBjg/edit#gid=934712705"",""ESENCIAL!A6:BG""),15,FALSE))"),"")</f>
        <v/>
      </c>
      <c r="AY134" s="110" t="str">
        <f ca="1">IFERROR(__xludf.DUMMYFUNCTION("IFERROR(VLOOKUP(E400&amp;F400,IMPORTRANGE(""https://docs.google.com/spreadsheets/d/1Uw7-A9f9R21vMXxHZFNpYNeKFtG8_yji4HS352LGlSQ/edit?pli=1#gid=0"",""1_ACUM!A4:S""),13,FALSE))"),"")</f>
        <v/>
      </c>
      <c r="AZ134" s="43" t="str">
        <f ca="1">IFERROR(__xludf.DUMMYFUNCTION("IFERROR(VLOOKUP(E400&amp;F400,IMPORTRANGE(""https://docs.google.com/spreadsheets/d/1Uw7-A9f9R21vMXxHZFNpYNeKFtG8_yji4HS352LGlSQ/edit?pli=1#gid=0"",""1_ACUM!A4:S""),13,FALSE))"),"")</f>
        <v/>
      </c>
      <c r="BA134" s="43" t="str">
        <f ca="1">IFERROR(__xludf.DUMMYFUNCTION("IFERROR(VLOOKUP(E400&amp;F400,IMPORTRANGE(""https://docs.google.com/spreadsheets/d/1Uw7-A9f9R21vMXxHZFNpYNeKFtG8_yji4HS352LGlSQ/edit?pli=1#gid=0"",""1_ACUM!A4:S""),14,FALSE))"),"")</f>
        <v/>
      </c>
      <c r="BB134" s="43" t="str">
        <f ca="1">IFERROR(__xludf.DUMMYFUNCTION("IFERROR(VLOOKUP(E400&amp;F400,IMPORTRANGE(""https://docs.google.com/spreadsheets/d/1Uw7-A9f9R21vMXxHZFNpYNeKFtG8_yji4HS352LGlSQ/edit?pli=1#gid=0"",""1_ACUM!A4:S""),15,FALSE))"),"")</f>
        <v/>
      </c>
      <c r="BC134" s="43" t="str">
        <f ca="1">IFERROR(__xludf.DUMMYFUNCTION("IFERROR(VLOOKUP(E400&amp;F400,IMPORTRANGE(""https://docs.google.com/spreadsheets/d/1Uw7-A9f9R21vMXxHZFNpYNeKFtG8_yji4HS352LGlSQ/edit?pli=1#gid=0"",""1_ACUM!A4:S""),16,FALSE))"),"")</f>
        <v/>
      </c>
      <c r="BD134" s="43" t="str">
        <f ca="1">IFERROR(__xludf.DUMMYFUNCTION("IFERROR(VLOOKUP(E400&amp;F400,IMPORTRANGE(""https://docs.google.com/spreadsheets/d/1Uw7-A9f9R21vMXxHZFNpYNeKFtG8_yji4HS352LGlSQ/edit?pli=1#gid=0"",""1_ACUM!A4:S""),17,FALSE))"),"")</f>
        <v/>
      </c>
      <c r="BE134" s="44" t="str">
        <f ca="1">IFERROR(__xludf.DUMMYFUNCTION("IFERROR(VLOOKUP(E400&amp;F400,IMPORTRANGE(""https://docs.google.com/spreadsheets/d/1Uw7-A9f9R21vMXxHZFNpYNeKFtG8_yji4HS352LGlSQ/edit?pli=1#gid=0"",""1_ACUM!A4:S""),18,FALSE))"),"")</f>
        <v/>
      </c>
      <c r="BF134" s="44" t="str">
        <f ca="1">IFERROR(__xludf.DUMMYFUNCTION("IFERROR(VLOOKUP(E400&amp;F400,IMPORTRANGE(""https://docs.google.com/spreadsheets/d/1Uw7-A9f9R21vMXxHZFNpYNeKFtG8_yji4HS352LGlSQ/edit?pli=1#gid=0"",""1_ACUM!A4:S""),19,FALSE))"),"")</f>
        <v/>
      </c>
      <c r="BG134" s="98" t="str">
        <f ca="1">IFERROR(__xludf.DUMMYFUNCTION("IFERROR(VLOOKUP(F400,IMPORTRANGE(""https://docs.google.com/spreadsheets/d/1Kvs4KS76FHFqLFIZfrDMff4kP08nblUkihrxltoGBjg/edit#gid=934712705"",""ESENCIAL!A6:BG""),5,FALSE))"),"")</f>
        <v/>
      </c>
      <c r="BH134" s="98" t="str">
        <f t="shared" si="17"/>
        <v/>
      </c>
      <c r="BI134" s="99" t="str">
        <f t="shared" si="18"/>
        <v/>
      </c>
      <c r="BJ134" s="100" t="str">
        <f ca="1">IFERROR(__xludf.DUMMYFUNCTION("IFERROR(VLOOKUP(F400,IMPORTRANGE(""https://docs.google.com/spreadsheets/d/1Kvs4KS76FHFqLFIZfrDMff4kP08nblUkihrxltoGBjg/edit#gid=934712705"",""ESENCIAL!A6:BG""),2,FALSE))"),"")</f>
        <v/>
      </c>
      <c r="BK134" s="19" t="str">
        <f t="shared" si="19"/>
        <v/>
      </c>
      <c r="BL134" s="100"/>
      <c r="BM134" s="100"/>
    </row>
    <row r="135" spans="2:65" ht="15">
      <c r="B135" s="39"/>
      <c r="C135" s="5"/>
      <c r="D135" s="123"/>
      <c r="E135" s="39"/>
      <c r="F135" s="39"/>
      <c r="G135" s="39"/>
      <c r="H135" s="5" t="str">
        <f ca="1">IFERROR(__xludf.DUMMYFUNCTION("IFERROR(VLOOKUP(F401,IMPORTRANGE(""https://docs.google.com/spreadsheets/d/1Kvs4KS76FHFqLFIZfrDMff4kP08nblUkihrxltoGBjg/edit#gid=934712705"",""ESENCIAL!A6:BG""),3,FALSE))"),"")</f>
        <v/>
      </c>
      <c r="I135" s="5" t="str">
        <f ca="1">IFERROR(__xludf.DUMMYFUNCTION("IFERROR(VLOOKUP(F401,IMPORTRANGE(""https://docs.google.com/spreadsheets/d/1Kvs4KS76FHFqLFIZfrDMff4kP08nblUkihrxltoGBjg/edit#gid=934712705"",""ESENCIAL!A6:BG""),8,FALSE))"),"")</f>
        <v/>
      </c>
      <c r="J135" s="39"/>
      <c r="M135" s="287"/>
      <c r="AV135" s="41" t="str">
        <f t="shared" si="16"/>
        <v/>
      </c>
      <c r="AW135" s="5" t="str">
        <f ca="1">IFERROR(__xludf.DUMMYFUNCTION("IFERROR(VLOOKUP(E401&amp;F401,IMPORTRANGE(""https://docs.google.com/spreadsheets/d/1Uw7-A9f9R21vMXxHZFNpYNeKFtG8_yji4HS352LGlSQ/edit?pli=1#gid=0"",""1_ACUM!A4:S""),11,FALSE))"),"")</f>
        <v/>
      </c>
      <c r="AX135" s="42" t="str">
        <f ca="1">IFERROR(__xludf.DUMMYFUNCTION("IFERROR(VLOOKUP(F401,IMPORTRANGE(""https://docs.google.com/spreadsheets/d/1Kvs4KS76FHFqLFIZfrDMff4kP08nblUkihrxltoGBjg/edit#gid=934712705"",""ESENCIAL!A6:BG""),15,FALSE))"),"")</f>
        <v/>
      </c>
      <c r="AY135" s="110" t="str">
        <f ca="1">IFERROR(__xludf.DUMMYFUNCTION("IFERROR(VLOOKUP(E401&amp;F401,IMPORTRANGE(""https://docs.google.com/spreadsheets/d/1Uw7-A9f9R21vMXxHZFNpYNeKFtG8_yji4HS352LGlSQ/edit?pli=1#gid=0"",""1_ACUM!A4:S""),13,FALSE))"),"")</f>
        <v/>
      </c>
      <c r="AZ135" s="43" t="str">
        <f ca="1">IFERROR(__xludf.DUMMYFUNCTION("IFERROR(VLOOKUP(E401&amp;F401,IMPORTRANGE(""https://docs.google.com/spreadsheets/d/1Uw7-A9f9R21vMXxHZFNpYNeKFtG8_yji4HS352LGlSQ/edit?pli=1#gid=0"",""1_ACUM!A4:S""),13,FALSE))"),"")</f>
        <v/>
      </c>
      <c r="BA135" s="43" t="str">
        <f ca="1">IFERROR(__xludf.DUMMYFUNCTION("IFERROR(VLOOKUP(E401&amp;F401,IMPORTRANGE(""https://docs.google.com/spreadsheets/d/1Uw7-A9f9R21vMXxHZFNpYNeKFtG8_yji4HS352LGlSQ/edit?pli=1#gid=0"",""1_ACUM!A4:S""),14,FALSE))"),"")</f>
        <v/>
      </c>
      <c r="BB135" s="43" t="str">
        <f ca="1">IFERROR(__xludf.DUMMYFUNCTION("IFERROR(VLOOKUP(E401&amp;F401,IMPORTRANGE(""https://docs.google.com/spreadsheets/d/1Uw7-A9f9R21vMXxHZFNpYNeKFtG8_yji4HS352LGlSQ/edit?pli=1#gid=0"",""1_ACUM!A4:S""),15,FALSE))"),"")</f>
        <v/>
      </c>
      <c r="BC135" s="43" t="str">
        <f ca="1">IFERROR(__xludf.DUMMYFUNCTION("IFERROR(VLOOKUP(E401&amp;F401,IMPORTRANGE(""https://docs.google.com/spreadsheets/d/1Uw7-A9f9R21vMXxHZFNpYNeKFtG8_yji4HS352LGlSQ/edit?pli=1#gid=0"",""1_ACUM!A4:S""),16,FALSE))"),"")</f>
        <v/>
      </c>
      <c r="BD135" s="43" t="str">
        <f ca="1">IFERROR(__xludf.DUMMYFUNCTION("IFERROR(VLOOKUP(E401&amp;F401,IMPORTRANGE(""https://docs.google.com/spreadsheets/d/1Uw7-A9f9R21vMXxHZFNpYNeKFtG8_yji4HS352LGlSQ/edit?pli=1#gid=0"",""1_ACUM!A4:S""),17,FALSE))"),"")</f>
        <v/>
      </c>
      <c r="BE135" s="44" t="str">
        <f ca="1">IFERROR(__xludf.DUMMYFUNCTION("IFERROR(VLOOKUP(E401&amp;F401,IMPORTRANGE(""https://docs.google.com/spreadsheets/d/1Uw7-A9f9R21vMXxHZFNpYNeKFtG8_yji4HS352LGlSQ/edit?pli=1#gid=0"",""1_ACUM!A4:S""),18,FALSE))"),"")</f>
        <v/>
      </c>
      <c r="BF135" s="44" t="str">
        <f ca="1">IFERROR(__xludf.DUMMYFUNCTION("IFERROR(VLOOKUP(E401&amp;F401,IMPORTRANGE(""https://docs.google.com/spreadsheets/d/1Uw7-A9f9R21vMXxHZFNpYNeKFtG8_yji4HS352LGlSQ/edit?pli=1#gid=0"",""1_ACUM!A4:S""),19,FALSE))"),"")</f>
        <v/>
      </c>
      <c r="BG135" s="98" t="str">
        <f ca="1">IFERROR(__xludf.DUMMYFUNCTION("IFERROR(VLOOKUP(F401,IMPORTRANGE(""https://docs.google.com/spreadsheets/d/1Kvs4KS76FHFqLFIZfrDMff4kP08nblUkihrxltoGBjg/edit#gid=934712705"",""ESENCIAL!A6:BG""),5,FALSE))"),"")</f>
        <v/>
      </c>
      <c r="BH135" s="98" t="str">
        <f t="shared" si="17"/>
        <v/>
      </c>
      <c r="BI135" s="99" t="str">
        <f t="shared" si="18"/>
        <v/>
      </c>
      <c r="BJ135" s="100" t="str">
        <f ca="1">IFERROR(__xludf.DUMMYFUNCTION("IFERROR(VLOOKUP(F401,IMPORTRANGE(""https://docs.google.com/spreadsheets/d/1Kvs4KS76FHFqLFIZfrDMff4kP08nblUkihrxltoGBjg/edit#gid=934712705"",""ESENCIAL!A6:BG""),2,FALSE))"),"")</f>
        <v/>
      </c>
      <c r="BK135" s="19" t="str">
        <f t="shared" si="19"/>
        <v/>
      </c>
      <c r="BL135" s="100"/>
      <c r="BM135" s="100"/>
    </row>
    <row r="136" spans="2:65" ht="15">
      <c r="B136" s="39"/>
      <c r="C136" s="5"/>
      <c r="D136" s="123"/>
      <c r="E136" s="39"/>
      <c r="F136" s="39"/>
      <c r="G136" s="39"/>
      <c r="H136" s="5" t="str">
        <f ca="1">IFERROR(__xludf.DUMMYFUNCTION("IFERROR(VLOOKUP(F402,IMPORTRANGE(""https://docs.google.com/spreadsheets/d/1Kvs4KS76FHFqLFIZfrDMff4kP08nblUkihrxltoGBjg/edit#gid=934712705"",""ESENCIAL!A6:BG""),3,FALSE))"),"")</f>
        <v/>
      </c>
      <c r="I136" s="5" t="str">
        <f ca="1">IFERROR(__xludf.DUMMYFUNCTION("IFERROR(VLOOKUP(F402,IMPORTRANGE(""https://docs.google.com/spreadsheets/d/1Kvs4KS76FHFqLFIZfrDMff4kP08nblUkihrxltoGBjg/edit#gid=934712705"",""ESENCIAL!A6:BG""),8,FALSE))"),"")</f>
        <v/>
      </c>
      <c r="J136" s="39"/>
      <c r="M136" s="287"/>
      <c r="AV136" s="41" t="str">
        <f t="shared" si="16"/>
        <v/>
      </c>
      <c r="AW136" s="5" t="str">
        <f ca="1">IFERROR(__xludf.DUMMYFUNCTION("IFERROR(VLOOKUP(E402&amp;F402,IMPORTRANGE(""https://docs.google.com/spreadsheets/d/1Uw7-A9f9R21vMXxHZFNpYNeKFtG8_yji4HS352LGlSQ/edit?pli=1#gid=0"",""1_ACUM!A4:S""),11,FALSE))"),"")</f>
        <v/>
      </c>
      <c r="AX136" s="42" t="str">
        <f ca="1">IFERROR(__xludf.DUMMYFUNCTION("IFERROR(VLOOKUP(F402,IMPORTRANGE(""https://docs.google.com/spreadsheets/d/1Kvs4KS76FHFqLFIZfrDMff4kP08nblUkihrxltoGBjg/edit#gid=934712705"",""ESENCIAL!A6:BG""),15,FALSE))"),"")</f>
        <v/>
      </c>
      <c r="AY136" s="110" t="str">
        <f ca="1">IFERROR(__xludf.DUMMYFUNCTION("IFERROR(VLOOKUP(E402&amp;F402,IMPORTRANGE(""https://docs.google.com/spreadsheets/d/1Uw7-A9f9R21vMXxHZFNpYNeKFtG8_yji4HS352LGlSQ/edit?pli=1#gid=0"",""1_ACUM!A4:S""),13,FALSE))"),"")</f>
        <v/>
      </c>
      <c r="AZ136" s="43" t="str">
        <f ca="1">IFERROR(__xludf.DUMMYFUNCTION("IFERROR(VLOOKUP(E402&amp;F402,IMPORTRANGE(""https://docs.google.com/spreadsheets/d/1Uw7-A9f9R21vMXxHZFNpYNeKFtG8_yji4HS352LGlSQ/edit?pli=1#gid=0"",""1_ACUM!A4:S""),13,FALSE))"),"")</f>
        <v/>
      </c>
      <c r="BA136" s="43" t="str">
        <f ca="1">IFERROR(__xludf.DUMMYFUNCTION("IFERROR(VLOOKUP(E402&amp;F402,IMPORTRANGE(""https://docs.google.com/spreadsheets/d/1Uw7-A9f9R21vMXxHZFNpYNeKFtG8_yji4HS352LGlSQ/edit?pli=1#gid=0"",""1_ACUM!A4:S""),14,FALSE))"),"")</f>
        <v/>
      </c>
      <c r="BB136" s="43" t="str">
        <f ca="1">IFERROR(__xludf.DUMMYFUNCTION("IFERROR(VLOOKUP(E402&amp;F402,IMPORTRANGE(""https://docs.google.com/spreadsheets/d/1Uw7-A9f9R21vMXxHZFNpYNeKFtG8_yji4HS352LGlSQ/edit?pli=1#gid=0"",""1_ACUM!A4:S""),15,FALSE))"),"")</f>
        <v/>
      </c>
      <c r="BC136" s="43" t="str">
        <f ca="1">IFERROR(__xludf.DUMMYFUNCTION("IFERROR(VLOOKUP(E402&amp;F402,IMPORTRANGE(""https://docs.google.com/spreadsheets/d/1Uw7-A9f9R21vMXxHZFNpYNeKFtG8_yji4HS352LGlSQ/edit?pli=1#gid=0"",""1_ACUM!A4:S""),16,FALSE))"),"")</f>
        <v/>
      </c>
      <c r="BD136" s="43" t="str">
        <f ca="1">IFERROR(__xludf.DUMMYFUNCTION("IFERROR(VLOOKUP(E402&amp;F402,IMPORTRANGE(""https://docs.google.com/spreadsheets/d/1Uw7-A9f9R21vMXxHZFNpYNeKFtG8_yji4HS352LGlSQ/edit?pli=1#gid=0"",""1_ACUM!A4:S""),17,FALSE))"),"")</f>
        <v/>
      </c>
      <c r="BE136" s="44" t="str">
        <f ca="1">IFERROR(__xludf.DUMMYFUNCTION("IFERROR(VLOOKUP(E402&amp;F402,IMPORTRANGE(""https://docs.google.com/spreadsheets/d/1Uw7-A9f9R21vMXxHZFNpYNeKFtG8_yji4HS352LGlSQ/edit?pli=1#gid=0"",""1_ACUM!A4:S""),18,FALSE))"),"")</f>
        <v/>
      </c>
      <c r="BF136" s="44" t="str">
        <f ca="1">IFERROR(__xludf.DUMMYFUNCTION("IFERROR(VLOOKUP(E402&amp;F402,IMPORTRANGE(""https://docs.google.com/spreadsheets/d/1Uw7-A9f9R21vMXxHZFNpYNeKFtG8_yji4HS352LGlSQ/edit?pli=1#gid=0"",""1_ACUM!A4:S""),19,FALSE))"),"")</f>
        <v/>
      </c>
      <c r="BG136" s="98" t="str">
        <f ca="1">IFERROR(__xludf.DUMMYFUNCTION("IFERROR(VLOOKUP(F402,IMPORTRANGE(""https://docs.google.com/spreadsheets/d/1Kvs4KS76FHFqLFIZfrDMff4kP08nblUkihrxltoGBjg/edit#gid=934712705"",""ESENCIAL!A6:BG""),5,FALSE))"),"")</f>
        <v/>
      </c>
      <c r="BH136" s="98" t="str">
        <f t="shared" si="17"/>
        <v/>
      </c>
      <c r="BI136" s="99" t="str">
        <f t="shared" si="18"/>
        <v/>
      </c>
      <c r="BJ136" s="100" t="str">
        <f ca="1">IFERROR(__xludf.DUMMYFUNCTION("IFERROR(VLOOKUP(F402,IMPORTRANGE(""https://docs.google.com/spreadsheets/d/1Kvs4KS76FHFqLFIZfrDMff4kP08nblUkihrxltoGBjg/edit#gid=934712705"",""ESENCIAL!A6:BG""),2,FALSE))"),"")</f>
        <v/>
      </c>
      <c r="BK136" s="19" t="str">
        <f t="shared" si="19"/>
        <v/>
      </c>
      <c r="BL136" s="100"/>
      <c r="BM136" s="100"/>
    </row>
    <row r="137" spans="2:65" ht="15">
      <c r="B137" s="39"/>
      <c r="C137" s="5"/>
      <c r="D137" s="123"/>
      <c r="E137" s="39"/>
      <c r="F137" s="39"/>
      <c r="G137" s="39"/>
      <c r="H137" s="5" t="str">
        <f ca="1">IFERROR(__xludf.DUMMYFUNCTION("IFERROR(VLOOKUP(F403,IMPORTRANGE(""https://docs.google.com/spreadsheets/d/1Kvs4KS76FHFqLFIZfrDMff4kP08nblUkihrxltoGBjg/edit#gid=934712705"",""ESENCIAL!A6:BG""),3,FALSE))"),"")</f>
        <v/>
      </c>
      <c r="I137" s="5" t="str">
        <f ca="1">IFERROR(__xludf.DUMMYFUNCTION("IFERROR(VLOOKUP(F403,IMPORTRANGE(""https://docs.google.com/spreadsheets/d/1Kvs4KS76FHFqLFIZfrDMff4kP08nblUkihrxltoGBjg/edit#gid=934712705"",""ESENCIAL!A6:BG""),8,FALSE))"),"")</f>
        <v/>
      </c>
      <c r="J137" s="39"/>
      <c r="M137" s="287"/>
      <c r="AV137" s="41" t="str">
        <f t="shared" si="16"/>
        <v/>
      </c>
      <c r="AW137" s="5" t="str">
        <f ca="1">IFERROR(__xludf.DUMMYFUNCTION("IFERROR(VLOOKUP(E403&amp;F403,IMPORTRANGE(""https://docs.google.com/spreadsheets/d/1Uw7-A9f9R21vMXxHZFNpYNeKFtG8_yji4HS352LGlSQ/edit?pli=1#gid=0"",""1_ACUM!A4:S""),11,FALSE))"),"")</f>
        <v/>
      </c>
      <c r="AX137" s="42" t="str">
        <f ca="1">IFERROR(__xludf.DUMMYFUNCTION("IFERROR(VLOOKUP(F403,IMPORTRANGE(""https://docs.google.com/spreadsheets/d/1Kvs4KS76FHFqLFIZfrDMff4kP08nblUkihrxltoGBjg/edit#gid=934712705"",""ESENCIAL!A6:BG""),15,FALSE))"),"")</f>
        <v/>
      </c>
      <c r="AY137" s="110" t="str">
        <f ca="1">IFERROR(__xludf.DUMMYFUNCTION("IFERROR(VLOOKUP(E403&amp;F403,IMPORTRANGE(""https://docs.google.com/spreadsheets/d/1Uw7-A9f9R21vMXxHZFNpYNeKFtG8_yji4HS352LGlSQ/edit?pli=1#gid=0"",""1_ACUM!A4:S""),13,FALSE))"),"")</f>
        <v/>
      </c>
      <c r="AZ137" s="43" t="str">
        <f ca="1">IFERROR(__xludf.DUMMYFUNCTION("IFERROR(VLOOKUP(E403&amp;F403,IMPORTRANGE(""https://docs.google.com/spreadsheets/d/1Uw7-A9f9R21vMXxHZFNpYNeKFtG8_yji4HS352LGlSQ/edit?pli=1#gid=0"",""1_ACUM!A4:S""),13,FALSE))"),"")</f>
        <v/>
      </c>
      <c r="BA137" s="43" t="str">
        <f ca="1">IFERROR(__xludf.DUMMYFUNCTION("IFERROR(VLOOKUP(E403&amp;F403,IMPORTRANGE(""https://docs.google.com/spreadsheets/d/1Uw7-A9f9R21vMXxHZFNpYNeKFtG8_yji4HS352LGlSQ/edit?pli=1#gid=0"",""1_ACUM!A4:S""),14,FALSE))"),"")</f>
        <v/>
      </c>
      <c r="BB137" s="43" t="str">
        <f ca="1">IFERROR(__xludf.DUMMYFUNCTION("IFERROR(VLOOKUP(E403&amp;F403,IMPORTRANGE(""https://docs.google.com/spreadsheets/d/1Uw7-A9f9R21vMXxHZFNpYNeKFtG8_yji4HS352LGlSQ/edit?pli=1#gid=0"",""1_ACUM!A4:S""),15,FALSE))"),"")</f>
        <v/>
      </c>
      <c r="BC137" s="43" t="str">
        <f ca="1">IFERROR(__xludf.DUMMYFUNCTION("IFERROR(VLOOKUP(E403&amp;F403,IMPORTRANGE(""https://docs.google.com/spreadsheets/d/1Uw7-A9f9R21vMXxHZFNpYNeKFtG8_yji4HS352LGlSQ/edit?pli=1#gid=0"",""1_ACUM!A4:S""),16,FALSE))"),"")</f>
        <v/>
      </c>
      <c r="BD137" s="43" t="str">
        <f ca="1">IFERROR(__xludf.DUMMYFUNCTION("IFERROR(VLOOKUP(E403&amp;F403,IMPORTRANGE(""https://docs.google.com/spreadsheets/d/1Uw7-A9f9R21vMXxHZFNpYNeKFtG8_yji4HS352LGlSQ/edit?pli=1#gid=0"",""1_ACUM!A4:S""),17,FALSE))"),"")</f>
        <v/>
      </c>
      <c r="BE137" s="44" t="str">
        <f ca="1">IFERROR(__xludf.DUMMYFUNCTION("IFERROR(VLOOKUP(E403&amp;F403,IMPORTRANGE(""https://docs.google.com/spreadsheets/d/1Uw7-A9f9R21vMXxHZFNpYNeKFtG8_yji4HS352LGlSQ/edit?pli=1#gid=0"",""1_ACUM!A4:S""),18,FALSE))"),"")</f>
        <v/>
      </c>
      <c r="BF137" s="44" t="str">
        <f ca="1">IFERROR(__xludf.DUMMYFUNCTION("IFERROR(VLOOKUP(E403&amp;F403,IMPORTRANGE(""https://docs.google.com/spreadsheets/d/1Uw7-A9f9R21vMXxHZFNpYNeKFtG8_yji4HS352LGlSQ/edit?pli=1#gid=0"",""1_ACUM!A4:S""),19,FALSE))"),"")</f>
        <v/>
      </c>
      <c r="BG137" s="98" t="str">
        <f ca="1">IFERROR(__xludf.DUMMYFUNCTION("IFERROR(VLOOKUP(F403,IMPORTRANGE(""https://docs.google.com/spreadsheets/d/1Kvs4KS76FHFqLFIZfrDMff4kP08nblUkihrxltoGBjg/edit#gid=934712705"",""ESENCIAL!A6:BG""),5,FALSE))"),"")</f>
        <v/>
      </c>
      <c r="BH137" s="98" t="str">
        <f t="shared" si="17"/>
        <v/>
      </c>
      <c r="BI137" s="99" t="str">
        <f t="shared" si="18"/>
        <v/>
      </c>
      <c r="BJ137" s="100" t="str">
        <f ca="1">IFERROR(__xludf.DUMMYFUNCTION("IFERROR(VLOOKUP(F403,IMPORTRANGE(""https://docs.google.com/spreadsheets/d/1Kvs4KS76FHFqLFIZfrDMff4kP08nblUkihrxltoGBjg/edit#gid=934712705"",""ESENCIAL!A6:BG""),2,FALSE))"),"")</f>
        <v/>
      </c>
      <c r="BK137" s="19" t="str">
        <f t="shared" si="19"/>
        <v/>
      </c>
      <c r="BL137" s="100"/>
      <c r="BM137" s="100"/>
    </row>
    <row r="138" spans="2:65" ht="15">
      <c r="B138" s="39"/>
      <c r="C138" s="5"/>
      <c r="D138" s="123"/>
      <c r="E138" s="39"/>
      <c r="F138" s="39"/>
      <c r="G138" s="39"/>
      <c r="H138" s="5" t="str">
        <f ca="1">IFERROR(__xludf.DUMMYFUNCTION("IFERROR(VLOOKUP(F404,IMPORTRANGE(""https://docs.google.com/spreadsheets/d/1Kvs4KS76FHFqLFIZfrDMff4kP08nblUkihrxltoGBjg/edit#gid=934712705"",""ESENCIAL!A6:BG""),3,FALSE))"),"")</f>
        <v/>
      </c>
      <c r="I138" s="5" t="str">
        <f ca="1">IFERROR(__xludf.DUMMYFUNCTION("IFERROR(VLOOKUP(F404,IMPORTRANGE(""https://docs.google.com/spreadsheets/d/1Kvs4KS76FHFqLFIZfrDMff4kP08nblUkihrxltoGBjg/edit#gid=934712705"",""ESENCIAL!A6:BG""),8,FALSE))"),"")</f>
        <v/>
      </c>
      <c r="J138" s="39"/>
      <c r="M138" s="287"/>
      <c r="AV138" s="41" t="str">
        <f t="shared" si="16"/>
        <v/>
      </c>
      <c r="AW138" s="5" t="str">
        <f ca="1">IFERROR(__xludf.DUMMYFUNCTION("IFERROR(VLOOKUP(E404&amp;F404,IMPORTRANGE(""https://docs.google.com/spreadsheets/d/1Uw7-A9f9R21vMXxHZFNpYNeKFtG8_yji4HS352LGlSQ/edit?pli=1#gid=0"",""1_ACUM!A4:S""),11,FALSE))"),"")</f>
        <v/>
      </c>
      <c r="AX138" s="42" t="str">
        <f ca="1">IFERROR(__xludf.DUMMYFUNCTION("IFERROR(VLOOKUP(F404,IMPORTRANGE(""https://docs.google.com/spreadsheets/d/1Kvs4KS76FHFqLFIZfrDMff4kP08nblUkihrxltoGBjg/edit#gid=934712705"",""ESENCIAL!A6:BG""),15,FALSE))"),"")</f>
        <v/>
      </c>
      <c r="AY138" s="110" t="str">
        <f ca="1">IFERROR(__xludf.DUMMYFUNCTION("IFERROR(VLOOKUP(E404&amp;F404,IMPORTRANGE(""https://docs.google.com/spreadsheets/d/1Uw7-A9f9R21vMXxHZFNpYNeKFtG8_yji4HS352LGlSQ/edit?pli=1#gid=0"",""1_ACUM!A4:S""),13,FALSE))"),"")</f>
        <v/>
      </c>
      <c r="AZ138" s="43" t="str">
        <f ca="1">IFERROR(__xludf.DUMMYFUNCTION("IFERROR(VLOOKUP(E404&amp;F404,IMPORTRANGE(""https://docs.google.com/spreadsheets/d/1Uw7-A9f9R21vMXxHZFNpYNeKFtG8_yji4HS352LGlSQ/edit?pli=1#gid=0"",""1_ACUM!A4:S""),13,FALSE))"),"")</f>
        <v/>
      </c>
      <c r="BA138" s="43" t="str">
        <f ca="1">IFERROR(__xludf.DUMMYFUNCTION("IFERROR(VLOOKUP(E404&amp;F404,IMPORTRANGE(""https://docs.google.com/spreadsheets/d/1Uw7-A9f9R21vMXxHZFNpYNeKFtG8_yji4HS352LGlSQ/edit?pli=1#gid=0"",""1_ACUM!A4:S""),14,FALSE))"),"")</f>
        <v/>
      </c>
      <c r="BB138" s="43" t="str">
        <f ca="1">IFERROR(__xludf.DUMMYFUNCTION("IFERROR(VLOOKUP(E404&amp;F404,IMPORTRANGE(""https://docs.google.com/spreadsheets/d/1Uw7-A9f9R21vMXxHZFNpYNeKFtG8_yji4HS352LGlSQ/edit?pli=1#gid=0"",""1_ACUM!A4:S""),15,FALSE))"),"")</f>
        <v/>
      </c>
      <c r="BC138" s="43" t="str">
        <f ca="1">IFERROR(__xludf.DUMMYFUNCTION("IFERROR(VLOOKUP(E404&amp;F404,IMPORTRANGE(""https://docs.google.com/spreadsheets/d/1Uw7-A9f9R21vMXxHZFNpYNeKFtG8_yji4HS352LGlSQ/edit?pli=1#gid=0"",""1_ACUM!A4:S""),16,FALSE))"),"")</f>
        <v/>
      </c>
      <c r="BD138" s="43" t="str">
        <f ca="1">IFERROR(__xludf.DUMMYFUNCTION("IFERROR(VLOOKUP(E404&amp;F404,IMPORTRANGE(""https://docs.google.com/spreadsheets/d/1Uw7-A9f9R21vMXxHZFNpYNeKFtG8_yji4HS352LGlSQ/edit?pli=1#gid=0"",""1_ACUM!A4:S""),17,FALSE))"),"")</f>
        <v/>
      </c>
      <c r="BE138" s="44" t="str">
        <f ca="1">IFERROR(__xludf.DUMMYFUNCTION("IFERROR(VLOOKUP(E404&amp;F404,IMPORTRANGE(""https://docs.google.com/spreadsheets/d/1Uw7-A9f9R21vMXxHZFNpYNeKFtG8_yji4HS352LGlSQ/edit?pli=1#gid=0"",""1_ACUM!A4:S""),18,FALSE))"),"")</f>
        <v/>
      </c>
      <c r="BF138" s="44" t="str">
        <f ca="1">IFERROR(__xludf.DUMMYFUNCTION("IFERROR(VLOOKUP(E404&amp;F404,IMPORTRANGE(""https://docs.google.com/spreadsheets/d/1Uw7-A9f9R21vMXxHZFNpYNeKFtG8_yji4HS352LGlSQ/edit?pli=1#gid=0"",""1_ACUM!A4:S""),19,FALSE))"),"")</f>
        <v/>
      </c>
      <c r="BG138" s="98" t="str">
        <f ca="1">IFERROR(__xludf.DUMMYFUNCTION("IFERROR(VLOOKUP(F404,IMPORTRANGE(""https://docs.google.com/spreadsheets/d/1Kvs4KS76FHFqLFIZfrDMff4kP08nblUkihrxltoGBjg/edit#gid=934712705"",""ESENCIAL!A6:BG""),5,FALSE))"),"")</f>
        <v/>
      </c>
      <c r="BH138" s="98" t="str">
        <f t="shared" si="17"/>
        <v/>
      </c>
      <c r="BI138" s="99" t="str">
        <f t="shared" si="18"/>
        <v/>
      </c>
      <c r="BJ138" s="100" t="str">
        <f ca="1">IFERROR(__xludf.DUMMYFUNCTION("IFERROR(VLOOKUP(F404,IMPORTRANGE(""https://docs.google.com/spreadsheets/d/1Kvs4KS76FHFqLFIZfrDMff4kP08nblUkihrxltoGBjg/edit#gid=934712705"",""ESENCIAL!A6:BG""),2,FALSE))"),"")</f>
        <v/>
      </c>
      <c r="BK138" s="19" t="str">
        <f t="shared" si="19"/>
        <v/>
      </c>
      <c r="BL138" s="100"/>
      <c r="BM138" s="100"/>
    </row>
    <row r="139" spans="2:65" ht="15">
      <c r="B139" s="39"/>
      <c r="C139" s="5"/>
      <c r="D139" s="123"/>
      <c r="E139" s="39"/>
      <c r="F139" s="39"/>
      <c r="G139" s="39"/>
      <c r="H139" s="5" t="str">
        <f ca="1">IFERROR(__xludf.DUMMYFUNCTION("IFERROR(VLOOKUP(F405,IMPORTRANGE(""https://docs.google.com/spreadsheets/d/1Kvs4KS76FHFqLFIZfrDMff4kP08nblUkihrxltoGBjg/edit#gid=934712705"",""ESENCIAL!A6:BG""),3,FALSE))"),"")</f>
        <v/>
      </c>
      <c r="I139" s="5" t="str">
        <f ca="1">IFERROR(__xludf.DUMMYFUNCTION("IFERROR(VLOOKUP(F405,IMPORTRANGE(""https://docs.google.com/spreadsheets/d/1Kvs4KS76FHFqLFIZfrDMff4kP08nblUkihrxltoGBjg/edit#gid=934712705"",""ESENCIAL!A6:BG""),8,FALSE))"),"")</f>
        <v/>
      </c>
      <c r="J139" s="39"/>
      <c r="M139" s="287"/>
      <c r="AV139" s="41" t="str">
        <f t="shared" si="16"/>
        <v/>
      </c>
      <c r="AW139" s="5" t="str">
        <f ca="1">IFERROR(__xludf.DUMMYFUNCTION("IFERROR(VLOOKUP(E405&amp;F405,IMPORTRANGE(""https://docs.google.com/spreadsheets/d/1Uw7-A9f9R21vMXxHZFNpYNeKFtG8_yji4HS352LGlSQ/edit?pli=1#gid=0"",""1_ACUM!A4:S""),11,FALSE))"),"")</f>
        <v/>
      </c>
      <c r="AX139" s="42" t="str">
        <f ca="1">IFERROR(__xludf.DUMMYFUNCTION("IFERROR(VLOOKUP(F405,IMPORTRANGE(""https://docs.google.com/spreadsheets/d/1Kvs4KS76FHFqLFIZfrDMff4kP08nblUkihrxltoGBjg/edit#gid=934712705"",""ESENCIAL!A6:BG""),15,FALSE))"),"")</f>
        <v/>
      </c>
      <c r="AY139" s="110" t="str">
        <f ca="1">IFERROR(__xludf.DUMMYFUNCTION("IFERROR(VLOOKUP(E405&amp;F405,IMPORTRANGE(""https://docs.google.com/spreadsheets/d/1Uw7-A9f9R21vMXxHZFNpYNeKFtG8_yji4HS352LGlSQ/edit?pli=1#gid=0"",""1_ACUM!A4:S""),13,FALSE))"),"")</f>
        <v/>
      </c>
      <c r="AZ139" s="43" t="str">
        <f ca="1">IFERROR(__xludf.DUMMYFUNCTION("IFERROR(VLOOKUP(E405&amp;F405,IMPORTRANGE(""https://docs.google.com/spreadsheets/d/1Uw7-A9f9R21vMXxHZFNpYNeKFtG8_yji4HS352LGlSQ/edit?pli=1#gid=0"",""1_ACUM!A4:S""),13,FALSE))"),"")</f>
        <v/>
      </c>
      <c r="BA139" s="43" t="str">
        <f ca="1">IFERROR(__xludf.DUMMYFUNCTION("IFERROR(VLOOKUP(E405&amp;F405,IMPORTRANGE(""https://docs.google.com/spreadsheets/d/1Uw7-A9f9R21vMXxHZFNpYNeKFtG8_yji4HS352LGlSQ/edit?pli=1#gid=0"",""1_ACUM!A4:S""),14,FALSE))"),"")</f>
        <v/>
      </c>
      <c r="BB139" s="43" t="str">
        <f ca="1">IFERROR(__xludf.DUMMYFUNCTION("IFERROR(VLOOKUP(E405&amp;F405,IMPORTRANGE(""https://docs.google.com/spreadsheets/d/1Uw7-A9f9R21vMXxHZFNpYNeKFtG8_yji4HS352LGlSQ/edit?pli=1#gid=0"",""1_ACUM!A4:S""),15,FALSE))"),"")</f>
        <v/>
      </c>
      <c r="BC139" s="43" t="str">
        <f ca="1">IFERROR(__xludf.DUMMYFUNCTION("IFERROR(VLOOKUP(E405&amp;F405,IMPORTRANGE(""https://docs.google.com/spreadsheets/d/1Uw7-A9f9R21vMXxHZFNpYNeKFtG8_yji4HS352LGlSQ/edit?pli=1#gid=0"",""1_ACUM!A4:S""),16,FALSE))"),"")</f>
        <v/>
      </c>
      <c r="BD139" s="43" t="str">
        <f ca="1">IFERROR(__xludf.DUMMYFUNCTION("IFERROR(VLOOKUP(E405&amp;F405,IMPORTRANGE(""https://docs.google.com/spreadsheets/d/1Uw7-A9f9R21vMXxHZFNpYNeKFtG8_yji4HS352LGlSQ/edit?pli=1#gid=0"",""1_ACUM!A4:S""),17,FALSE))"),"")</f>
        <v/>
      </c>
      <c r="BE139" s="44" t="str">
        <f ca="1">IFERROR(__xludf.DUMMYFUNCTION("IFERROR(VLOOKUP(E405&amp;F405,IMPORTRANGE(""https://docs.google.com/spreadsheets/d/1Uw7-A9f9R21vMXxHZFNpYNeKFtG8_yji4HS352LGlSQ/edit?pli=1#gid=0"",""1_ACUM!A4:S""),18,FALSE))"),"")</f>
        <v/>
      </c>
      <c r="BF139" s="44" t="str">
        <f ca="1">IFERROR(__xludf.DUMMYFUNCTION("IFERROR(VLOOKUP(E405&amp;F405,IMPORTRANGE(""https://docs.google.com/spreadsheets/d/1Uw7-A9f9R21vMXxHZFNpYNeKFtG8_yji4HS352LGlSQ/edit?pli=1#gid=0"",""1_ACUM!A4:S""),19,FALSE))"),"")</f>
        <v/>
      </c>
      <c r="BG139" s="98" t="str">
        <f ca="1">IFERROR(__xludf.DUMMYFUNCTION("IFERROR(VLOOKUP(F405,IMPORTRANGE(""https://docs.google.com/spreadsheets/d/1Kvs4KS76FHFqLFIZfrDMff4kP08nblUkihrxltoGBjg/edit#gid=934712705"",""ESENCIAL!A6:BG""),5,FALSE))"),"")</f>
        <v/>
      </c>
      <c r="BH139" s="98" t="str">
        <f t="shared" si="17"/>
        <v/>
      </c>
      <c r="BI139" s="99" t="str">
        <f t="shared" si="18"/>
        <v/>
      </c>
      <c r="BJ139" s="100" t="str">
        <f ca="1">IFERROR(__xludf.DUMMYFUNCTION("IFERROR(VLOOKUP(F405,IMPORTRANGE(""https://docs.google.com/spreadsheets/d/1Kvs4KS76FHFqLFIZfrDMff4kP08nblUkihrxltoGBjg/edit#gid=934712705"",""ESENCIAL!A6:BG""),2,FALSE))"),"")</f>
        <v/>
      </c>
      <c r="BK139" s="19" t="str">
        <f t="shared" si="19"/>
        <v/>
      </c>
      <c r="BL139" s="100"/>
      <c r="BM139" s="100"/>
    </row>
    <row r="140" spans="2:65" ht="15">
      <c r="B140" s="39"/>
      <c r="C140" s="5"/>
      <c r="D140" s="123"/>
      <c r="E140" s="39"/>
      <c r="F140" s="39"/>
      <c r="G140" s="39"/>
      <c r="H140" s="5" t="str">
        <f ca="1">IFERROR(__xludf.DUMMYFUNCTION("IFERROR(VLOOKUP(F406,IMPORTRANGE(""https://docs.google.com/spreadsheets/d/1Kvs4KS76FHFqLFIZfrDMff4kP08nblUkihrxltoGBjg/edit#gid=934712705"",""ESENCIAL!A6:BG""),3,FALSE))"),"")</f>
        <v/>
      </c>
      <c r="I140" s="5" t="str">
        <f ca="1">IFERROR(__xludf.DUMMYFUNCTION("IFERROR(VLOOKUP(F406,IMPORTRANGE(""https://docs.google.com/spreadsheets/d/1Kvs4KS76FHFqLFIZfrDMff4kP08nblUkihrxltoGBjg/edit#gid=934712705"",""ESENCIAL!A6:BG""),8,FALSE))"),"")</f>
        <v/>
      </c>
      <c r="J140" s="39"/>
      <c r="M140" s="287"/>
      <c r="AV140" s="41" t="str">
        <f t="shared" si="16"/>
        <v/>
      </c>
      <c r="AW140" s="5" t="str">
        <f ca="1">IFERROR(__xludf.DUMMYFUNCTION("IFERROR(VLOOKUP(E406&amp;F406,IMPORTRANGE(""https://docs.google.com/spreadsheets/d/1Uw7-A9f9R21vMXxHZFNpYNeKFtG8_yji4HS352LGlSQ/edit?pli=1#gid=0"",""1_ACUM!A4:S""),11,FALSE))"),"")</f>
        <v/>
      </c>
      <c r="AX140" s="42" t="str">
        <f ca="1">IFERROR(__xludf.DUMMYFUNCTION("IFERROR(VLOOKUP(F406,IMPORTRANGE(""https://docs.google.com/spreadsheets/d/1Kvs4KS76FHFqLFIZfrDMff4kP08nblUkihrxltoGBjg/edit#gid=934712705"",""ESENCIAL!A6:BG""),15,FALSE))"),"")</f>
        <v/>
      </c>
      <c r="AY140" s="110" t="str">
        <f ca="1">IFERROR(__xludf.DUMMYFUNCTION("IFERROR(VLOOKUP(E406&amp;F406,IMPORTRANGE(""https://docs.google.com/spreadsheets/d/1Uw7-A9f9R21vMXxHZFNpYNeKFtG8_yji4HS352LGlSQ/edit?pli=1#gid=0"",""1_ACUM!A4:S""),13,FALSE))"),"")</f>
        <v/>
      </c>
      <c r="AZ140" s="43" t="str">
        <f ca="1">IFERROR(__xludf.DUMMYFUNCTION("IFERROR(VLOOKUP(E406&amp;F406,IMPORTRANGE(""https://docs.google.com/spreadsheets/d/1Uw7-A9f9R21vMXxHZFNpYNeKFtG8_yji4HS352LGlSQ/edit?pli=1#gid=0"",""1_ACUM!A4:S""),13,FALSE))"),"")</f>
        <v/>
      </c>
      <c r="BA140" s="43" t="str">
        <f ca="1">IFERROR(__xludf.DUMMYFUNCTION("IFERROR(VLOOKUP(E406&amp;F406,IMPORTRANGE(""https://docs.google.com/spreadsheets/d/1Uw7-A9f9R21vMXxHZFNpYNeKFtG8_yji4HS352LGlSQ/edit?pli=1#gid=0"",""1_ACUM!A4:S""),14,FALSE))"),"")</f>
        <v/>
      </c>
      <c r="BB140" s="43" t="str">
        <f ca="1">IFERROR(__xludf.DUMMYFUNCTION("IFERROR(VLOOKUP(E406&amp;F406,IMPORTRANGE(""https://docs.google.com/spreadsheets/d/1Uw7-A9f9R21vMXxHZFNpYNeKFtG8_yji4HS352LGlSQ/edit?pli=1#gid=0"",""1_ACUM!A4:S""),15,FALSE))"),"")</f>
        <v/>
      </c>
      <c r="BC140" s="43" t="str">
        <f ca="1">IFERROR(__xludf.DUMMYFUNCTION("IFERROR(VLOOKUP(E406&amp;F406,IMPORTRANGE(""https://docs.google.com/spreadsheets/d/1Uw7-A9f9R21vMXxHZFNpYNeKFtG8_yji4HS352LGlSQ/edit?pli=1#gid=0"",""1_ACUM!A4:S""),16,FALSE))"),"")</f>
        <v/>
      </c>
      <c r="BD140" s="43" t="str">
        <f ca="1">IFERROR(__xludf.DUMMYFUNCTION("IFERROR(VLOOKUP(E406&amp;F406,IMPORTRANGE(""https://docs.google.com/spreadsheets/d/1Uw7-A9f9R21vMXxHZFNpYNeKFtG8_yji4HS352LGlSQ/edit?pli=1#gid=0"",""1_ACUM!A4:S""),17,FALSE))"),"")</f>
        <v/>
      </c>
      <c r="BE140" s="44" t="str">
        <f ca="1">IFERROR(__xludf.DUMMYFUNCTION("IFERROR(VLOOKUP(E406&amp;F406,IMPORTRANGE(""https://docs.google.com/spreadsheets/d/1Uw7-A9f9R21vMXxHZFNpYNeKFtG8_yji4HS352LGlSQ/edit?pli=1#gid=0"",""1_ACUM!A4:S""),18,FALSE))"),"")</f>
        <v/>
      </c>
      <c r="BF140" s="44" t="str">
        <f ca="1">IFERROR(__xludf.DUMMYFUNCTION("IFERROR(VLOOKUP(E406&amp;F406,IMPORTRANGE(""https://docs.google.com/spreadsheets/d/1Uw7-A9f9R21vMXxHZFNpYNeKFtG8_yji4HS352LGlSQ/edit?pli=1#gid=0"",""1_ACUM!A4:S""),19,FALSE))"),"")</f>
        <v/>
      </c>
      <c r="BG140" s="98" t="str">
        <f ca="1">IFERROR(__xludf.DUMMYFUNCTION("IFERROR(VLOOKUP(F406,IMPORTRANGE(""https://docs.google.com/spreadsheets/d/1Kvs4KS76FHFqLFIZfrDMff4kP08nblUkihrxltoGBjg/edit#gid=934712705"",""ESENCIAL!A6:BG""),5,FALSE))"),"")</f>
        <v/>
      </c>
      <c r="BH140" s="98" t="str">
        <f t="shared" si="17"/>
        <v/>
      </c>
      <c r="BI140" s="99" t="str">
        <f t="shared" si="18"/>
        <v/>
      </c>
      <c r="BJ140" s="100" t="str">
        <f ca="1">IFERROR(__xludf.DUMMYFUNCTION("IFERROR(VLOOKUP(F406,IMPORTRANGE(""https://docs.google.com/spreadsheets/d/1Kvs4KS76FHFqLFIZfrDMff4kP08nblUkihrxltoGBjg/edit#gid=934712705"",""ESENCIAL!A6:BG""),2,FALSE))"),"")</f>
        <v/>
      </c>
      <c r="BK140" s="19" t="str">
        <f t="shared" si="19"/>
        <v/>
      </c>
      <c r="BL140" s="100"/>
      <c r="BM140" s="100"/>
    </row>
    <row r="141" spans="2:65" ht="15">
      <c r="B141" s="39"/>
      <c r="C141" s="5"/>
      <c r="D141" s="123"/>
      <c r="E141" s="39"/>
      <c r="F141" s="39"/>
      <c r="G141" s="39"/>
      <c r="H141" s="5" t="str">
        <f ca="1">IFERROR(__xludf.DUMMYFUNCTION("IFERROR(VLOOKUP(F407,IMPORTRANGE(""https://docs.google.com/spreadsheets/d/1Kvs4KS76FHFqLFIZfrDMff4kP08nblUkihrxltoGBjg/edit#gid=934712705"",""ESENCIAL!A6:BG""),3,FALSE))"),"")</f>
        <v/>
      </c>
      <c r="I141" s="5" t="str">
        <f ca="1">IFERROR(__xludf.DUMMYFUNCTION("IFERROR(VLOOKUP(F407,IMPORTRANGE(""https://docs.google.com/spreadsheets/d/1Kvs4KS76FHFqLFIZfrDMff4kP08nblUkihrxltoGBjg/edit#gid=934712705"",""ESENCIAL!A6:BG""),8,FALSE))"),"")</f>
        <v/>
      </c>
      <c r="J141" s="39"/>
      <c r="M141" s="287"/>
      <c r="AV141" s="41" t="str">
        <f t="shared" si="16"/>
        <v/>
      </c>
      <c r="AW141" s="5" t="str">
        <f ca="1">IFERROR(__xludf.DUMMYFUNCTION("IFERROR(VLOOKUP(E407&amp;F407,IMPORTRANGE(""https://docs.google.com/spreadsheets/d/1Uw7-A9f9R21vMXxHZFNpYNeKFtG8_yji4HS352LGlSQ/edit?pli=1#gid=0"",""1_ACUM!A4:S""),11,FALSE))"),"")</f>
        <v/>
      </c>
      <c r="AX141" s="42" t="str">
        <f ca="1">IFERROR(__xludf.DUMMYFUNCTION("IFERROR(VLOOKUP(F407,IMPORTRANGE(""https://docs.google.com/spreadsheets/d/1Kvs4KS76FHFqLFIZfrDMff4kP08nblUkihrxltoGBjg/edit#gid=934712705"",""ESENCIAL!A6:BG""),15,FALSE))"),"")</f>
        <v/>
      </c>
      <c r="AY141" s="110" t="str">
        <f ca="1">IFERROR(__xludf.DUMMYFUNCTION("IFERROR(VLOOKUP(E407&amp;F407,IMPORTRANGE(""https://docs.google.com/spreadsheets/d/1Uw7-A9f9R21vMXxHZFNpYNeKFtG8_yji4HS352LGlSQ/edit?pli=1#gid=0"",""1_ACUM!A4:S""),13,FALSE))"),"")</f>
        <v/>
      </c>
      <c r="AZ141" s="43" t="str">
        <f ca="1">IFERROR(__xludf.DUMMYFUNCTION("IFERROR(VLOOKUP(E407&amp;F407,IMPORTRANGE(""https://docs.google.com/spreadsheets/d/1Uw7-A9f9R21vMXxHZFNpYNeKFtG8_yji4HS352LGlSQ/edit?pli=1#gid=0"",""1_ACUM!A4:S""),13,FALSE))"),"")</f>
        <v/>
      </c>
      <c r="BA141" s="43" t="str">
        <f ca="1">IFERROR(__xludf.DUMMYFUNCTION("IFERROR(VLOOKUP(E407&amp;F407,IMPORTRANGE(""https://docs.google.com/spreadsheets/d/1Uw7-A9f9R21vMXxHZFNpYNeKFtG8_yji4HS352LGlSQ/edit?pli=1#gid=0"",""1_ACUM!A4:S""),14,FALSE))"),"")</f>
        <v/>
      </c>
      <c r="BB141" s="43" t="str">
        <f ca="1">IFERROR(__xludf.DUMMYFUNCTION("IFERROR(VLOOKUP(E407&amp;F407,IMPORTRANGE(""https://docs.google.com/spreadsheets/d/1Uw7-A9f9R21vMXxHZFNpYNeKFtG8_yji4HS352LGlSQ/edit?pli=1#gid=0"",""1_ACUM!A4:S""),15,FALSE))"),"")</f>
        <v/>
      </c>
      <c r="BC141" s="43" t="str">
        <f ca="1">IFERROR(__xludf.DUMMYFUNCTION("IFERROR(VLOOKUP(E407&amp;F407,IMPORTRANGE(""https://docs.google.com/spreadsheets/d/1Uw7-A9f9R21vMXxHZFNpYNeKFtG8_yji4HS352LGlSQ/edit?pli=1#gid=0"",""1_ACUM!A4:S""),16,FALSE))"),"")</f>
        <v/>
      </c>
      <c r="BD141" s="43" t="str">
        <f ca="1">IFERROR(__xludf.DUMMYFUNCTION("IFERROR(VLOOKUP(E407&amp;F407,IMPORTRANGE(""https://docs.google.com/spreadsheets/d/1Uw7-A9f9R21vMXxHZFNpYNeKFtG8_yji4HS352LGlSQ/edit?pli=1#gid=0"",""1_ACUM!A4:S""),17,FALSE))"),"")</f>
        <v/>
      </c>
      <c r="BE141" s="44" t="str">
        <f ca="1">IFERROR(__xludf.DUMMYFUNCTION("IFERROR(VLOOKUP(E407&amp;F407,IMPORTRANGE(""https://docs.google.com/spreadsheets/d/1Uw7-A9f9R21vMXxHZFNpYNeKFtG8_yji4HS352LGlSQ/edit?pli=1#gid=0"",""1_ACUM!A4:S""),18,FALSE))"),"")</f>
        <v/>
      </c>
      <c r="BF141" s="44" t="str">
        <f ca="1">IFERROR(__xludf.DUMMYFUNCTION("IFERROR(VLOOKUP(E407&amp;F407,IMPORTRANGE(""https://docs.google.com/spreadsheets/d/1Uw7-A9f9R21vMXxHZFNpYNeKFtG8_yji4HS352LGlSQ/edit?pli=1#gid=0"",""1_ACUM!A4:S""),19,FALSE))"),"")</f>
        <v/>
      </c>
      <c r="BG141" s="98" t="str">
        <f ca="1">IFERROR(__xludf.DUMMYFUNCTION("IFERROR(VLOOKUP(F407,IMPORTRANGE(""https://docs.google.com/spreadsheets/d/1Kvs4KS76FHFqLFIZfrDMff4kP08nblUkihrxltoGBjg/edit#gid=934712705"",""ESENCIAL!A6:BG""),5,FALSE))"),"")</f>
        <v/>
      </c>
      <c r="BH141" s="98" t="str">
        <f t="shared" si="17"/>
        <v/>
      </c>
      <c r="BI141" s="99" t="str">
        <f t="shared" si="18"/>
        <v/>
      </c>
      <c r="BJ141" s="100" t="str">
        <f ca="1">IFERROR(__xludf.DUMMYFUNCTION("IFERROR(VLOOKUP(F407,IMPORTRANGE(""https://docs.google.com/spreadsheets/d/1Kvs4KS76FHFqLFIZfrDMff4kP08nblUkihrxltoGBjg/edit#gid=934712705"",""ESENCIAL!A6:BG""),2,FALSE))"),"")</f>
        <v/>
      </c>
      <c r="BK141" s="19" t="str">
        <f t="shared" si="19"/>
        <v/>
      </c>
      <c r="BL141" s="100"/>
      <c r="BM141" s="100"/>
    </row>
    <row r="142" spans="2:65" ht="15">
      <c r="B142" s="39"/>
      <c r="C142" s="5"/>
      <c r="D142" s="123"/>
      <c r="E142" s="39"/>
      <c r="F142" s="39"/>
      <c r="G142" s="39"/>
      <c r="H142" s="5" t="str">
        <f ca="1">IFERROR(__xludf.DUMMYFUNCTION("IFERROR(VLOOKUP(F408,IMPORTRANGE(""https://docs.google.com/spreadsheets/d/1Kvs4KS76FHFqLFIZfrDMff4kP08nblUkihrxltoGBjg/edit#gid=934712705"",""ESENCIAL!A6:BG""),3,FALSE))"),"")</f>
        <v/>
      </c>
      <c r="I142" s="5" t="str">
        <f ca="1">IFERROR(__xludf.DUMMYFUNCTION("IFERROR(VLOOKUP(F408,IMPORTRANGE(""https://docs.google.com/spreadsheets/d/1Kvs4KS76FHFqLFIZfrDMff4kP08nblUkihrxltoGBjg/edit#gid=934712705"",""ESENCIAL!A6:BG""),8,FALSE))"),"")</f>
        <v/>
      </c>
      <c r="J142" s="39"/>
      <c r="M142" s="287"/>
      <c r="AV142" s="41" t="str">
        <f t="shared" si="16"/>
        <v/>
      </c>
      <c r="AW142" s="5" t="str">
        <f ca="1">IFERROR(__xludf.DUMMYFUNCTION("IFERROR(VLOOKUP(E408&amp;F408,IMPORTRANGE(""https://docs.google.com/spreadsheets/d/1Uw7-A9f9R21vMXxHZFNpYNeKFtG8_yji4HS352LGlSQ/edit?pli=1#gid=0"",""1_ACUM!A4:S""),11,FALSE))"),"")</f>
        <v/>
      </c>
      <c r="AX142" s="42" t="str">
        <f ca="1">IFERROR(__xludf.DUMMYFUNCTION("IFERROR(VLOOKUP(F408,IMPORTRANGE(""https://docs.google.com/spreadsheets/d/1Kvs4KS76FHFqLFIZfrDMff4kP08nblUkihrxltoGBjg/edit#gid=934712705"",""ESENCIAL!A6:BG""),15,FALSE))"),"")</f>
        <v/>
      </c>
      <c r="AY142" s="110" t="str">
        <f ca="1">IFERROR(__xludf.DUMMYFUNCTION("IFERROR(VLOOKUP(E408&amp;F408,IMPORTRANGE(""https://docs.google.com/spreadsheets/d/1Uw7-A9f9R21vMXxHZFNpYNeKFtG8_yji4HS352LGlSQ/edit?pli=1#gid=0"",""1_ACUM!A4:S""),13,FALSE))"),"")</f>
        <v/>
      </c>
      <c r="AZ142" s="43" t="str">
        <f ca="1">IFERROR(__xludf.DUMMYFUNCTION("IFERROR(VLOOKUP(E408&amp;F408,IMPORTRANGE(""https://docs.google.com/spreadsheets/d/1Uw7-A9f9R21vMXxHZFNpYNeKFtG8_yji4HS352LGlSQ/edit?pli=1#gid=0"",""1_ACUM!A4:S""),13,FALSE))"),"")</f>
        <v/>
      </c>
      <c r="BA142" s="43" t="str">
        <f ca="1">IFERROR(__xludf.DUMMYFUNCTION("IFERROR(VLOOKUP(E408&amp;F408,IMPORTRANGE(""https://docs.google.com/spreadsheets/d/1Uw7-A9f9R21vMXxHZFNpYNeKFtG8_yji4HS352LGlSQ/edit?pli=1#gid=0"",""1_ACUM!A4:S""),14,FALSE))"),"")</f>
        <v/>
      </c>
      <c r="BB142" s="43" t="str">
        <f ca="1">IFERROR(__xludf.DUMMYFUNCTION("IFERROR(VLOOKUP(E408&amp;F408,IMPORTRANGE(""https://docs.google.com/spreadsheets/d/1Uw7-A9f9R21vMXxHZFNpYNeKFtG8_yji4HS352LGlSQ/edit?pli=1#gid=0"",""1_ACUM!A4:S""),15,FALSE))"),"")</f>
        <v/>
      </c>
      <c r="BC142" s="43" t="str">
        <f ca="1">IFERROR(__xludf.DUMMYFUNCTION("IFERROR(VLOOKUP(E408&amp;F408,IMPORTRANGE(""https://docs.google.com/spreadsheets/d/1Uw7-A9f9R21vMXxHZFNpYNeKFtG8_yji4HS352LGlSQ/edit?pli=1#gid=0"",""1_ACUM!A4:S""),16,FALSE))"),"")</f>
        <v/>
      </c>
      <c r="BD142" s="43" t="str">
        <f ca="1">IFERROR(__xludf.DUMMYFUNCTION("IFERROR(VLOOKUP(E408&amp;F408,IMPORTRANGE(""https://docs.google.com/spreadsheets/d/1Uw7-A9f9R21vMXxHZFNpYNeKFtG8_yji4HS352LGlSQ/edit?pli=1#gid=0"",""1_ACUM!A4:S""),17,FALSE))"),"")</f>
        <v/>
      </c>
      <c r="BE142" s="44" t="str">
        <f ca="1">IFERROR(__xludf.DUMMYFUNCTION("IFERROR(VLOOKUP(E408&amp;F408,IMPORTRANGE(""https://docs.google.com/spreadsheets/d/1Uw7-A9f9R21vMXxHZFNpYNeKFtG8_yji4HS352LGlSQ/edit?pli=1#gid=0"",""1_ACUM!A4:S""),18,FALSE))"),"")</f>
        <v/>
      </c>
      <c r="BF142" s="44" t="str">
        <f ca="1">IFERROR(__xludf.DUMMYFUNCTION("IFERROR(VLOOKUP(E408&amp;F408,IMPORTRANGE(""https://docs.google.com/spreadsheets/d/1Uw7-A9f9R21vMXxHZFNpYNeKFtG8_yji4HS352LGlSQ/edit?pli=1#gid=0"",""1_ACUM!A4:S""),19,FALSE))"),"")</f>
        <v/>
      </c>
      <c r="BG142" s="98" t="str">
        <f ca="1">IFERROR(__xludf.DUMMYFUNCTION("IFERROR(VLOOKUP(F408,IMPORTRANGE(""https://docs.google.com/spreadsheets/d/1Kvs4KS76FHFqLFIZfrDMff4kP08nblUkihrxltoGBjg/edit#gid=934712705"",""ESENCIAL!A6:BG""),5,FALSE))"),"")</f>
        <v/>
      </c>
      <c r="BH142" s="98" t="str">
        <f t="shared" si="17"/>
        <v/>
      </c>
      <c r="BI142" s="99" t="str">
        <f t="shared" si="18"/>
        <v/>
      </c>
      <c r="BJ142" s="100" t="str">
        <f ca="1">IFERROR(__xludf.DUMMYFUNCTION("IFERROR(VLOOKUP(F408,IMPORTRANGE(""https://docs.google.com/spreadsheets/d/1Kvs4KS76FHFqLFIZfrDMff4kP08nblUkihrxltoGBjg/edit#gid=934712705"",""ESENCIAL!A6:BG""),2,FALSE))"),"")</f>
        <v/>
      </c>
      <c r="BK142" s="19" t="str">
        <f t="shared" si="19"/>
        <v/>
      </c>
      <c r="BL142" s="100"/>
      <c r="BM142" s="100"/>
    </row>
    <row r="143" spans="2:65" ht="15">
      <c r="B143" s="39"/>
      <c r="C143" s="5"/>
      <c r="D143" s="123"/>
      <c r="E143" s="39"/>
      <c r="F143" s="39"/>
      <c r="G143" s="39"/>
      <c r="H143" s="5" t="str">
        <f ca="1">IFERROR(__xludf.DUMMYFUNCTION("IFERROR(VLOOKUP(F409,IMPORTRANGE(""https://docs.google.com/spreadsheets/d/1Kvs4KS76FHFqLFIZfrDMff4kP08nblUkihrxltoGBjg/edit#gid=934712705"",""ESENCIAL!A6:BG""),3,FALSE))"),"")</f>
        <v/>
      </c>
      <c r="I143" s="5" t="str">
        <f ca="1">IFERROR(__xludf.DUMMYFUNCTION("IFERROR(VLOOKUP(F409,IMPORTRANGE(""https://docs.google.com/spreadsheets/d/1Kvs4KS76FHFqLFIZfrDMff4kP08nblUkihrxltoGBjg/edit#gid=934712705"",""ESENCIAL!A6:BG""),8,FALSE))"),"")</f>
        <v/>
      </c>
      <c r="J143" s="39"/>
      <c r="M143" s="287"/>
      <c r="AV143" s="41" t="str">
        <f t="shared" si="16"/>
        <v/>
      </c>
      <c r="AW143" s="5" t="str">
        <f ca="1">IFERROR(__xludf.DUMMYFUNCTION("IFERROR(VLOOKUP(E409&amp;F409,IMPORTRANGE(""https://docs.google.com/spreadsheets/d/1Uw7-A9f9R21vMXxHZFNpYNeKFtG8_yji4HS352LGlSQ/edit?pli=1#gid=0"",""1_ACUM!A4:S""),11,FALSE))"),"")</f>
        <v/>
      </c>
      <c r="AX143" s="42" t="str">
        <f ca="1">IFERROR(__xludf.DUMMYFUNCTION("IFERROR(VLOOKUP(F409,IMPORTRANGE(""https://docs.google.com/spreadsheets/d/1Kvs4KS76FHFqLFIZfrDMff4kP08nblUkihrxltoGBjg/edit#gid=934712705"",""ESENCIAL!A6:BG""),15,FALSE))"),"")</f>
        <v/>
      </c>
      <c r="AY143" s="110" t="str">
        <f ca="1">IFERROR(__xludf.DUMMYFUNCTION("IFERROR(VLOOKUP(E409&amp;F409,IMPORTRANGE(""https://docs.google.com/spreadsheets/d/1Uw7-A9f9R21vMXxHZFNpYNeKFtG8_yji4HS352LGlSQ/edit?pli=1#gid=0"",""1_ACUM!A4:S""),13,FALSE))"),"")</f>
        <v/>
      </c>
      <c r="AZ143" s="43" t="str">
        <f ca="1">IFERROR(__xludf.DUMMYFUNCTION("IFERROR(VLOOKUP(E409&amp;F409,IMPORTRANGE(""https://docs.google.com/spreadsheets/d/1Uw7-A9f9R21vMXxHZFNpYNeKFtG8_yji4HS352LGlSQ/edit?pli=1#gid=0"",""1_ACUM!A4:S""),13,FALSE))"),"")</f>
        <v/>
      </c>
      <c r="BA143" s="43" t="str">
        <f ca="1">IFERROR(__xludf.DUMMYFUNCTION("IFERROR(VLOOKUP(E409&amp;F409,IMPORTRANGE(""https://docs.google.com/spreadsheets/d/1Uw7-A9f9R21vMXxHZFNpYNeKFtG8_yji4HS352LGlSQ/edit?pli=1#gid=0"",""1_ACUM!A4:S""),14,FALSE))"),"")</f>
        <v/>
      </c>
      <c r="BB143" s="43" t="str">
        <f ca="1">IFERROR(__xludf.DUMMYFUNCTION("IFERROR(VLOOKUP(E409&amp;F409,IMPORTRANGE(""https://docs.google.com/spreadsheets/d/1Uw7-A9f9R21vMXxHZFNpYNeKFtG8_yji4HS352LGlSQ/edit?pli=1#gid=0"",""1_ACUM!A4:S""),15,FALSE))"),"")</f>
        <v/>
      </c>
      <c r="BC143" s="43" t="str">
        <f ca="1">IFERROR(__xludf.DUMMYFUNCTION("IFERROR(VLOOKUP(E409&amp;F409,IMPORTRANGE(""https://docs.google.com/spreadsheets/d/1Uw7-A9f9R21vMXxHZFNpYNeKFtG8_yji4HS352LGlSQ/edit?pli=1#gid=0"",""1_ACUM!A4:S""),16,FALSE))"),"")</f>
        <v/>
      </c>
      <c r="BD143" s="43" t="str">
        <f ca="1">IFERROR(__xludf.DUMMYFUNCTION("IFERROR(VLOOKUP(E409&amp;F409,IMPORTRANGE(""https://docs.google.com/spreadsheets/d/1Uw7-A9f9R21vMXxHZFNpYNeKFtG8_yji4HS352LGlSQ/edit?pli=1#gid=0"",""1_ACUM!A4:S""),17,FALSE))"),"")</f>
        <v/>
      </c>
      <c r="BE143" s="44" t="str">
        <f ca="1">IFERROR(__xludf.DUMMYFUNCTION("IFERROR(VLOOKUP(E409&amp;F409,IMPORTRANGE(""https://docs.google.com/spreadsheets/d/1Uw7-A9f9R21vMXxHZFNpYNeKFtG8_yji4HS352LGlSQ/edit?pli=1#gid=0"",""1_ACUM!A4:S""),18,FALSE))"),"")</f>
        <v/>
      </c>
      <c r="BF143" s="44" t="str">
        <f ca="1">IFERROR(__xludf.DUMMYFUNCTION("IFERROR(VLOOKUP(E409&amp;F409,IMPORTRANGE(""https://docs.google.com/spreadsheets/d/1Uw7-A9f9R21vMXxHZFNpYNeKFtG8_yji4HS352LGlSQ/edit?pli=1#gid=0"",""1_ACUM!A4:S""),19,FALSE))"),"")</f>
        <v/>
      </c>
      <c r="BG143" s="98" t="str">
        <f ca="1">IFERROR(__xludf.DUMMYFUNCTION("IFERROR(VLOOKUP(F409,IMPORTRANGE(""https://docs.google.com/spreadsheets/d/1Kvs4KS76FHFqLFIZfrDMff4kP08nblUkihrxltoGBjg/edit#gid=934712705"",""ESENCIAL!A6:BG""),5,FALSE))"),"")</f>
        <v/>
      </c>
      <c r="BH143" s="98" t="str">
        <f t="shared" si="17"/>
        <v/>
      </c>
      <c r="BI143" s="99" t="str">
        <f t="shared" si="18"/>
        <v/>
      </c>
      <c r="BJ143" s="100" t="str">
        <f ca="1">IFERROR(__xludf.DUMMYFUNCTION("IFERROR(VLOOKUP(F409,IMPORTRANGE(""https://docs.google.com/spreadsheets/d/1Kvs4KS76FHFqLFIZfrDMff4kP08nblUkihrxltoGBjg/edit#gid=934712705"",""ESENCIAL!A6:BG""),2,FALSE))"),"")</f>
        <v/>
      </c>
      <c r="BK143" s="19" t="str">
        <f t="shared" si="19"/>
        <v/>
      </c>
      <c r="BL143" s="100"/>
      <c r="BM143" s="100"/>
    </row>
    <row r="144" spans="2:65" ht="15">
      <c r="B144" s="39"/>
      <c r="C144" s="5"/>
      <c r="D144" s="123"/>
      <c r="E144" s="39"/>
      <c r="F144" s="39"/>
      <c r="G144" s="39"/>
      <c r="H144" s="5" t="str">
        <f ca="1">IFERROR(__xludf.DUMMYFUNCTION("IFERROR(VLOOKUP(F410,IMPORTRANGE(""https://docs.google.com/spreadsheets/d/1Kvs4KS76FHFqLFIZfrDMff4kP08nblUkihrxltoGBjg/edit#gid=934712705"",""ESENCIAL!A6:BG""),3,FALSE))"),"")</f>
        <v/>
      </c>
      <c r="I144" s="5" t="str">
        <f ca="1">IFERROR(__xludf.DUMMYFUNCTION("IFERROR(VLOOKUP(F410,IMPORTRANGE(""https://docs.google.com/spreadsheets/d/1Kvs4KS76FHFqLFIZfrDMff4kP08nblUkihrxltoGBjg/edit#gid=934712705"",""ESENCIAL!A6:BG""),8,FALSE))"),"")</f>
        <v/>
      </c>
      <c r="J144" s="39"/>
      <c r="M144" s="287"/>
      <c r="AV144" s="41" t="str">
        <f t="shared" si="16"/>
        <v/>
      </c>
      <c r="AW144" s="5" t="str">
        <f ca="1">IFERROR(__xludf.DUMMYFUNCTION("IFERROR(VLOOKUP(E410&amp;F410,IMPORTRANGE(""https://docs.google.com/spreadsheets/d/1Uw7-A9f9R21vMXxHZFNpYNeKFtG8_yji4HS352LGlSQ/edit?pli=1#gid=0"",""1_ACUM!A4:S""),11,FALSE))"),"")</f>
        <v/>
      </c>
      <c r="AX144" s="42" t="str">
        <f ca="1">IFERROR(__xludf.DUMMYFUNCTION("IFERROR(VLOOKUP(F410,IMPORTRANGE(""https://docs.google.com/spreadsheets/d/1Kvs4KS76FHFqLFIZfrDMff4kP08nblUkihrxltoGBjg/edit#gid=934712705"",""ESENCIAL!A6:BG""),15,FALSE))"),"")</f>
        <v/>
      </c>
      <c r="AY144" s="110" t="str">
        <f ca="1">IFERROR(__xludf.DUMMYFUNCTION("IFERROR(VLOOKUP(E410&amp;F410,IMPORTRANGE(""https://docs.google.com/spreadsheets/d/1Uw7-A9f9R21vMXxHZFNpYNeKFtG8_yji4HS352LGlSQ/edit?pli=1#gid=0"",""1_ACUM!A4:S""),13,FALSE))"),"")</f>
        <v/>
      </c>
      <c r="AZ144" s="43" t="str">
        <f ca="1">IFERROR(__xludf.DUMMYFUNCTION("IFERROR(VLOOKUP(E410&amp;F410,IMPORTRANGE(""https://docs.google.com/spreadsheets/d/1Uw7-A9f9R21vMXxHZFNpYNeKFtG8_yji4HS352LGlSQ/edit?pli=1#gid=0"",""1_ACUM!A4:S""),13,FALSE))"),"")</f>
        <v/>
      </c>
      <c r="BA144" s="43" t="str">
        <f ca="1">IFERROR(__xludf.DUMMYFUNCTION("IFERROR(VLOOKUP(E410&amp;F410,IMPORTRANGE(""https://docs.google.com/spreadsheets/d/1Uw7-A9f9R21vMXxHZFNpYNeKFtG8_yji4HS352LGlSQ/edit?pli=1#gid=0"",""1_ACUM!A4:S""),14,FALSE))"),"")</f>
        <v/>
      </c>
      <c r="BB144" s="43" t="str">
        <f ca="1">IFERROR(__xludf.DUMMYFUNCTION("IFERROR(VLOOKUP(E410&amp;F410,IMPORTRANGE(""https://docs.google.com/spreadsheets/d/1Uw7-A9f9R21vMXxHZFNpYNeKFtG8_yji4HS352LGlSQ/edit?pli=1#gid=0"",""1_ACUM!A4:S""),15,FALSE))"),"")</f>
        <v/>
      </c>
      <c r="BC144" s="43" t="str">
        <f ca="1">IFERROR(__xludf.DUMMYFUNCTION("IFERROR(VLOOKUP(E410&amp;F410,IMPORTRANGE(""https://docs.google.com/spreadsheets/d/1Uw7-A9f9R21vMXxHZFNpYNeKFtG8_yji4HS352LGlSQ/edit?pli=1#gid=0"",""1_ACUM!A4:S""),16,FALSE))"),"")</f>
        <v/>
      </c>
      <c r="BD144" s="43" t="str">
        <f ca="1">IFERROR(__xludf.DUMMYFUNCTION("IFERROR(VLOOKUP(E410&amp;F410,IMPORTRANGE(""https://docs.google.com/spreadsheets/d/1Uw7-A9f9R21vMXxHZFNpYNeKFtG8_yji4HS352LGlSQ/edit?pli=1#gid=0"",""1_ACUM!A4:S""),17,FALSE))"),"")</f>
        <v/>
      </c>
      <c r="BE144" s="44" t="str">
        <f ca="1">IFERROR(__xludf.DUMMYFUNCTION("IFERROR(VLOOKUP(E410&amp;F410,IMPORTRANGE(""https://docs.google.com/spreadsheets/d/1Uw7-A9f9R21vMXxHZFNpYNeKFtG8_yji4HS352LGlSQ/edit?pli=1#gid=0"",""1_ACUM!A4:S""),18,FALSE))"),"")</f>
        <v/>
      </c>
      <c r="BF144" s="44" t="str">
        <f ca="1">IFERROR(__xludf.DUMMYFUNCTION("IFERROR(VLOOKUP(E410&amp;F410,IMPORTRANGE(""https://docs.google.com/spreadsheets/d/1Uw7-A9f9R21vMXxHZFNpYNeKFtG8_yji4HS352LGlSQ/edit?pli=1#gid=0"",""1_ACUM!A4:S""),19,FALSE))"),"")</f>
        <v/>
      </c>
      <c r="BG144" s="98" t="str">
        <f ca="1">IFERROR(__xludf.DUMMYFUNCTION("IFERROR(VLOOKUP(F410,IMPORTRANGE(""https://docs.google.com/spreadsheets/d/1Kvs4KS76FHFqLFIZfrDMff4kP08nblUkihrxltoGBjg/edit#gid=934712705"",""ESENCIAL!A6:BG""),5,FALSE))"),"")</f>
        <v/>
      </c>
      <c r="BH144" s="98" t="str">
        <f t="shared" si="17"/>
        <v/>
      </c>
      <c r="BI144" s="99" t="str">
        <f t="shared" si="18"/>
        <v/>
      </c>
      <c r="BJ144" s="100" t="str">
        <f ca="1">IFERROR(__xludf.DUMMYFUNCTION("IFERROR(VLOOKUP(F410,IMPORTRANGE(""https://docs.google.com/spreadsheets/d/1Kvs4KS76FHFqLFIZfrDMff4kP08nblUkihrxltoGBjg/edit#gid=934712705"",""ESENCIAL!A6:BG""),2,FALSE))"),"")</f>
        <v/>
      </c>
      <c r="BK144" s="19" t="str">
        <f t="shared" si="19"/>
        <v/>
      </c>
      <c r="BL144" s="100"/>
      <c r="BM144" s="100"/>
    </row>
    <row r="145" spans="2:65" ht="15">
      <c r="B145" s="39"/>
      <c r="C145" s="5"/>
      <c r="D145" s="123"/>
      <c r="E145" s="39"/>
      <c r="F145" s="39"/>
      <c r="G145" s="39"/>
      <c r="H145" s="5" t="str">
        <f ca="1">IFERROR(__xludf.DUMMYFUNCTION("IFERROR(VLOOKUP(F411,IMPORTRANGE(""https://docs.google.com/spreadsheets/d/1Kvs4KS76FHFqLFIZfrDMff4kP08nblUkihrxltoGBjg/edit#gid=934712705"",""ESENCIAL!A6:BG""),3,FALSE))"),"")</f>
        <v/>
      </c>
      <c r="I145" s="5" t="str">
        <f ca="1">IFERROR(__xludf.DUMMYFUNCTION("IFERROR(VLOOKUP(F411,IMPORTRANGE(""https://docs.google.com/spreadsheets/d/1Kvs4KS76FHFqLFIZfrDMff4kP08nblUkihrxltoGBjg/edit#gid=934712705"",""ESENCIAL!A6:BG""),8,FALSE))"),"")</f>
        <v/>
      </c>
      <c r="J145" s="39"/>
      <c r="M145" s="287"/>
      <c r="AV145" s="41" t="str">
        <f t="shared" si="16"/>
        <v/>
      </c>
      <c r="AW145" s="5" t="str">
        <f ca="1">IFERROR(__xludf.DUMMYFUNCTION("IFERROR(VLOOKUP(E411&amp;F411,IMPORTRANGE(""https://docs.google.com/spreadsheets/d/1Uw7-A9f9R21vMXxHZFNpYNeKFtG8_yji4HS352LGlSQ/edit?pli=1#gid=0"",""1_ACUM!A4:S""),11,FALSE))"),"")</f>
        <v/>
      </c>
      <c r="AX145" s="42" t="str">
        <f ca="1">IFERROR(__xludf.DUMMYFUNCTION("IFERROR(VLOOKUP(F411,IMPORTRANGE(""https://docs.google.com/spreadsheets/d/1Kvs4KS76FHFqLFIZfrDMff4kP08nblUkihrxltoGBjg/edit#gid=934712705"",""ESENCIAL!A6:BG""),15,FALSE))"),"")</f>
        <v/>
      </c>
      <c r="AY145" s="110" t="str">
        <f ca="1">IFERROR(__xludf.DUMMYFUNCTION("IFERROR(VLOOKUP(E411&amp;F411,IMPORTRANGE(""https://docs.google.com/spreadsheets/d/1Uw7-A9f9R21vMXxHZFNpYNeKFtG8_yji4HS352LGlSQ/edit?pli=1#gid=0"",""1_ACUM!A4:S""),13,FALSE))"),"")</f>
        <v/>
      </c>
      <c r="AZ145" s="43" t="str">
        <f ca="1">IFERROR(__xludf.DUMMYFUNCTION("IFERROR(VLOOKUP(E411&amp;F411,IMPORTRANGE(""https://docs.google.com/spreadsheets/d/1Uw7-A9f9R21vMXxHZFNpYNeKFtG8_yji4HS352LGlSQ/edit?pli=1#gid=0"",""1_ACUM!A4:S""),13,FALSE))"),"")</f>
        <v/>
      </c>
      <c r="BA145" s="43" t="str">
        <f ca="1">IFERROR(__xludf.DUMMYFUNCTION("IFERROR(VLOOKUP(E411&amp;F411,IMPORTRANGE(""https://docs.google.com/spreadsheets/d/1Uw7-A9f9R21vMXxHZFNpYNeKFtG8_yji4HS352LGlSQ/edit?pli=1#gid=0"",""1_ACUM!A4:S""),14,FALSE))"),"")</f>
        <v/>
      </c>
      <c r="BB145" s="43" t="str">
        <f ca="1">IFERROR(__xludf.DUMMYFUNCTION("IFERROR(VLOOKUP(E411&amp;F411,IMPORTRANGE(""https://docs.google.com/spreadsheets/d/1Uw7-A9f9R21vMXxHZFNpYNeKFtG8_yji4HS352LGlSQ/edit?pli=1#gid=0"",""1_ACUM!A4:S""),15,FALSE))"),"")</f>
        <v/>
      </c>
      <c r="BC145" s="43" t="str">
        <f ca="1">IFERROR(__xludf.DUMMYFUNCTION("IFERROR(VLOOKUP(E411&amp;F411,IMPORTRANGE(""https://docs.google.com/spreadsheets/d/1Uw7-A9f9R21vMXxHZFNpYNeKFtG8_yji4HS352LGlSQ/edit?pli=1#gid=0"",""1_ACUM!A4:S""),16,FALSE))"),"")</f>
        <v/>
      </c>
      <c r="BD145" s="43" t="str">
        <f ca="1">IFERROR(__xludf.DUMMYFUNCTION("IFERROR(VLOOKUP(E411&amp;F411,IMPORTRANGE(""https://docs.google.com/spreadsheets/d/1Uw7-A9f9R21vMXxHZFNpYNeKFtG8_yji4HS352LGlSQ/edit?pli=1#gid=0"",""1_ACUM!A4:S""),17,FALSE))"),"")</f>
        <v/>
      </c>
      <c r="BE145" s="44" t="str">
        <f ca="1">IFERROR(__xludf.DUMMYFUNCTION("IFERROR(VLOOKUP(E411&amp;F411,IMPORTRANGE(""https://docs.google.com/spreadsheets/d/1Uw7-A9f9R21vMXxHZFNpYNeKFtG8_yji4HS352LGlSQ/edit?pli=1#gid=0"",""1_ACUM!A4:S""),18,FALSE))"),"")</f>
        <v/>
      </c>
      <c r="BF145" s="44" t="str">
        <f ca="1">IFERROR(__xludf.DUMMYFUNCTION("IFERROR(VLOOKUP(E411&amp;F411,IMPORTRANGE(""https://docs.google.com/spreadsheets/d/1Uw7-A9f9R21vMXxHZFNpYNeKFtG8_yji4HS352LGlSQ/edit?pli=1#gid=0"",""1_ACUM!A4:S""),19,FALSE))"),"")</f>
        <v/>
      </c>
      <c r="BG145" s="98" t="str">
        <f ca="1">IFERROR(__xludf.DUMMYFUNCTION("IFERROR(VLOOKUP(F411,IMPORTRANGE(""https://docs.google.com/spreadsheets/d/1Kvs4KS76FHFqLFIZfrDMff4kP08nblUkihrxltoGBjg/edit#gid=934712705"",""ESENCIAL!A6:BG""),5,FALSE))"),"")</f>
        <v/>
      </c>
      <c r="BH145" s="98" t="str">
        <f t="shared" si="17"/>
        <v/>
      </c>
      <c r="BI145" s="99" t="str">
        <f t="shared" si="18"/>
        <v/>
      </c>
      <c r="BJ145" s="100" t="str">
        <f ca="1">IFERROR(__xludf.DUMMYFUNCTION("IFERROR(VLOOKUP(F411,IMPORTRANGE(""https://docs.google.com/spreadsheets/d/1Kvs4KS76FHFqLFIZfrDMff4kP08nblUkihrxltoGBjg/edit#gid=934712705"",""ESENCIAL!A6:BG""),2,FALSE))"),"")</f>
        <v/>
      </c>
      <c r="BK145" s="19" t="str">
        <f t="shared" si="19"/>
        <v/>
      </c>
      <c r="BL145" s="100"/>
      <c r="BM145" s="100"/>
    </row>
    <row r="146" spans="2:65" ht="15">
      <c r="B146" s="39"/>
      <c r="C146" s="5"/>
      <c r="D146" s="123"/>
      <c r="E146" s="39"/>
      <c r="F146" s="39"/>
      <c r="G146" s="39"/>
      <c r="H146" s="5" t="str">
        <f ca="1">IFERROR(__xludf.DUMMYFUNCTION("IFERROR(VLOOKUP(F412,IMPORTRANGE(""https://docs.google.com/spreadsheets/d/1Kvs4KS76FHFqLFIZfrDMff4kP08nblUkihrxltoGBjg/edit#gid=934712705"",""ESENCIAL!A6:BG""),3,FALSE))"),"")</f>
        <v/>
      </c>
      <c r="I146" s="5" t="str">
        <f ca="1">IFERROR(__xludf.DUMMYFUNCTION("IFERROR(VLOOKUP(F412,IMPORTRANGE(""https://docs.google.com/spreadsheets/d/1Kvs4KS76FHFqLFIZfrDMff4kP08nblUkihrxltoGBjg/edit#gid=934712705"",""ESENCIAL!A6:BG""),8,FALSE))"),"")</f>
        <v/>
      </c>
      <c r="J146" s="39"/>
      <c r="M146" s="287"/>
      <c r="AV146" s="41" t="str">
        <f t="shared" si="16"/>
        <v/>
      </c>
      <c r="AW146" s="5" t="str">
        <f ca="1">IFERROR(__xludf.DUMMYFUNCTION("IFERROR(VLOOKUP(E412&amp;F412,IMPORTRANGE(""https://docs.google.com/spreadsheets/d/1Uw7-A9f9R21vMXxHZFNpYNeKFtG8_yji4HS352LGlSQ/edit?pli=1#gid=0"",""1_ACUM!A4:S""),11,FALSE))"),"")</f>
        <v/>
      </c>
      <c r="AX146" s="42" t="str">
        <f ca="1">IFERROR(__xludf.DUMMYFUNCTION("IFERROR(VLOOKUP(F412,IMPORTRANGE(""https://docs.google.com/spreadsheets/d/1Kvs4KS76FHFqLFIZfrDMff4kP08nblUkihrxltoGBjg/edit#gid=934712705"",""ESENCIAL!A6:BG""),15,FALSE))"),"")</f>
        <v/>
      </c>
      <c r="AY146" s="110" t="str">
        <f ca="1">IFERROR(__xludf.DUMMYFUNCTION("IFERROR(VLOOKUP(E412&amp;F412,IMPORTRANGE(""https://docs.google.com/spreadsheets/d/1Uw7-A9f9R21vMXxHZFNpYNeKFtG8_yji4HS352LGlSQ/edit?pli=1#gid=0"",""1_ACUM!A4:S""),13,FALSE))"),"")</f>
        <v/>
      </c>
      <c r="AZ146" s="43" t="str">
        <f ca="1">IFERROR(__xludf.DUMMYFUNCTION("IFERROR(VLOOKUP(E412&amp;F412,IMPORTRANGE(""https://docs.google.com/spreadsheets/d/1Uw7-A9f9R21vMXxHZFNpYNeKFtG8_yji4HS352LGlSQ/edit?pli=1#gid=0"",""1_ACUM!A4:S""),13,FALSE))"),"")</f>
        <v/>
      </c>
      <c r="BA146" s="43" t="str">
        <f ca="1">IFERROR(__xludf.DUMMYFUNCTION("IFERROR(VLOOKUP(E412&amp;F412,IMPORTRANGE(""https://docs.google.com/spreadsheets/d/1Uw7-A9f9R21vMXxHZFNpYNeKFtG8_yji4HS352LGlSQ/edit?pli=1#gid=0"",""1_ACUM!A4:S""),14,FALSE))"),"")</f>
        <v/>
      </c>
      <c r="BB146" s="43" t="str">
        <f ca="1">IFERROR(__xludf.DUMMYFUNCTION("IFERROR(VLOOKUP(E412&amp;F412,IMPORTRANGE(""https://docs.google.com/spreadsheets/d/1Uw7-A9f9R21vMXxHZFNpYNeKFtG8_yji4HS352LGlSQ/edit?pli=1#gid=0"",""1_ACUM!A4:S""),15,FALSE))"),"")</f>
        <v/>
      </c>
      <c r="BC146" s="43" t="str">
        <f ca="1">IFERROR(__xludf.DUMMYFUNCTION("IFERROR(VLOOKUP(E412&amp;F412,IMPORTRANGE(""https://docs.google.com/spreadsheets/d/1Uw7-A9f9R21vMXxHZFNpYNeKFtG8_yji4HS352LGlSQ/edit?pli=1#gid=0"",""1_ACUM!A4:S""),16,FALSE))"),"")</f>
        <v/>
      </c>
      <c r="BD146" s="43" t="str">
        <f ca="1">IFERROR(__xludf.DUMMYFUNCTION("IFERROR(VLOOKUP(E412&amp;F412,IMPORTRANGE(""https://docs.google.com/spreadsheets/d/1Uw7-A9f9R21vMXxHZFNpYNeKFtG8_yji4HS352LGlSQ/edit?pli=1#gid=0"",""1_ACUM!A4:S""),17,FALSE))"),"")</f>
        <v/>
      </c>
      <c r="BE146" s="44" t="str">
        <f ca="1">IFERROR(__xludf.DUMMYFUNCTION("IFERROR(VLOOKUP(E412&amp;F412,IMPORTRANGE(""https://docs.google.com/spreadsheets/d/1Uw7-A9f9R21vMXxHZFNpYNeKFtG8_yji4HS352LGlSQ/edit?pli=1#gid=0"",""1_ACUM!A4:S""),18,FALSE))"),"")</f>
        <v/>
      </c>
      <c r="BF146" s="44" t="str">
        <f ca="1">IFERROR(__xludf.DUMMYFUNCTION("IFERROR(VLOOKUP(E412&amp;F412,IMPORTRANGE(""https://docs.google.com/spreadsheets/d/1Uw7-A9f9R21vMXxHZFNpYNeKFtG8_yji4HS352LGlSQ/edit?pli=1#gid=0"",""1_ACUM!A4:S""),19,FALSE))"),"")</f>
        <v/>
      </c>
      <c r="BG146" s="98" t="str">
        <f ca="1">IFERROR(__xludf.DUMMYFUNCTION("IFERROR(VLOOKUP(F412,IMPORTRANGE(""https://docs.google.com/spreadsheets/d/1Kvs4KS76FHFqLFIZfrDMff4kP08nblUkihrxltoGBjg/edit#gid=934712705"",""ESENCIAL!A6:BG""),5,FALSE))"),"")</f>
        <v/>
      </c>
      <c r="BH146" s="98" t="str">
        <f t="shared" si="17"/>
        <v/>
      </c>
      <c r="BI146" s="99" t="str">
        <f t="shared" si="18"/>
        <v/>
      </c>
      <c r="BJ146" s="100" t="str">
        <f ca="1">IFERROR(__xludf.DUMMYFUNCTION("IFERROR(VLOOKUP(F412,IMPORTRANGE(""https://docs.google.com/spreadsheets/d/1Kvs4KS76FHFqLFIZfrDMff4kP08nblUkihrxltoGBjg/edit#gid=934712705"",""ESENCIAL!A6:BG""),2,FALSE))"),"")</f>
        <v/>
      </c>
      <c r="BK146" s="19" t="str">
        <f t="shared" si="19"/>
        <v/>
      </c>
      <c r="BL146" s="100"/>
      <c r="BM146" s="100"/>
    </row>
    <row r="147" spans="2:65" ht="15">
      <c r="B147" s="39"/>
      <c r="C147" s="5"/>
      <c r="D147" s="123"/>
      <c r="E147" s="39"/>
      <c r="F147" s="39"/>
      <c r="G147" s="39"/>
      <c r="H147" s="5" t="str">
        <f ca="1">IFERROR(__xludf.DUMMYFUNCTION("IFERROR(VLOOKUP(F413,IMPORTRANGE(""https://docs.google.com/spreadsheets/d/1Kvs4KS76FHFqLFIZfrDMff4kP08nblUkihrxltoGBjg/edit#gid=934712705"",""ESENCIAL!A6:BG""),3,FALSE))"),"")</f>
        <v/>
      </c>
      <c r="I147" s="5" t="str">
        <f ca="1">IFERROR(__xludf.DUMMYFUNCTION("IFERROR(VLOOKUP(F413,IMPORTRANGE(""https://docs.google.com/spreadsheets/d/1Kvs4KS76FHFqLFIZfrDMff4kP08nblUkihrxltoGBjg/edit#gid=934712705"",""ESENCIAL!A6:BG""),8,FALSE))"),"")</f>
        <v/>
      </c>
      <c r="J147" s="39"/>
      <c r="M147" s="287"/>
      <c r="AV147" s="41" t="str">
        <f t="shared" si="16"/>
        <v/>
      </c>
      <c r="AW147" s="5" t="str">
        <f ca="1">IFERROR(__xludf.DUMMYFUNCTION("IFERROR(VLOOKUP(E413&amp;F413,IMPORTRANGE(""https://docs.google.com/spreadsheets/d/1Uw7-A9f9R21vMXxHZFNpYNeKFtG8_yji4HS352LGlSQ/edit?pli=1#gid=0"",""1_ACUM!A4:S""),11,FALSE))"),"")</f>
        <v/>
      </c>
      <c r="AX147" s="42" t="str">
        <f ca="1">IFERROR(__xludf.DUMMYFUNCTION("IFERROR(VLOOKUP(F413,IMPORTRANGE(""https://docs.google.com/spreadsheets/d/1Kvs4KS76FHFqLFIZfrDMff4kP08nblUkihrxltoGBjg/edit#gid=934712705"",""ESENCIAL!A6:BG""),15,FALSE))"),"")</f>
        <v/>
      </c>
      <c r="AY147" s="110" t="str">
        <f ca="1">IFERROR(__xludf.DUMMYFUNCTION("IFERROR(VLOOKUP(E413&amp;F413,IMPORTRANGE(""https://docs.google.com/spreadsheets/d/1Uw7-A9f9R21vMXxHZFNpYNeKFtG8_yji4HS352LGlSQ/edit?pli=1#gid=0"",""1_ACUM!A4:S""),13,FALSE))"),"")</f>
        <v/>
      </c>
      <c r="AZ147" s="43" t="str">
        <f ca="1">IFERROR(__xludf.DUMMYFUNCTION("IFERROR(VLOOKUP(E413&amp;F413,IMPORTRANGE(""https://docs.google.com/spreadsheets/d/1Uw7-A9f9R21vMXxHZFNpYNeKFtG8_yji4HS352LGlSQ/edit?pli=1#gid=0"",""1_ACUM!A4:S""),13,FALSE))"),"")</f>
        <v/>
      </c>
      <c r="BA147" s="43" t="str">
        <f ca="1">IFERROR(__xludf.DUMMYFUNCTION("IFERROR(VLOOKUP(E413&amp;F413,IMPORTRANGE(""https://docs.google.com/spreadsheets/d/1Uw7-A9f9R21vMXxHZFNpYNeKFtG8_yji4HS352LGlSQ/edit?pli=1#gid=0"",""1_ACUM!A4:S""),14,FALSE))"),"")</f>
        <v/>
      </c>
      <c r="BB147" s="43" t="str">
        <f ca="1">IFERROR(__xludf.DUMMYFUNCTION("IFERROR(VLOOKUP(E413&amp;F413,IMPORTRANGE(""https://docs.google.com/spreadsheets/d/1Uw7-A9f9R21vMXxHZFNpYNeKFtG8_yji4HS352LGlSQ/edit?pli=1#gid=0"",""1_ACUM!A4:S""),15,FALSE))"),"")</f>
        <v/>
      </c>
      <c r="BC147" s="43" t="str">
        <f ca="1">IFERROR(__xludf.DUMMYFUNCTION("IFERROR(VLOOKUP(E413&amp;F413,IMPORTRANGE(""https://docs.google.com/spreadsheets/d/1Uw7-A9f9R21vMXxHZFNpYNeKFtG8_yji4HS352LGlSQ/edit?pli=1#gid=0"",""1_ACUM!A4:S""),16,FALSE))"),"")</f>
        <v/>
      </c>
      <c r="BD147" s="43" t="str">
        <f ca="1">IFERROR(__xludf.DUMMYFUNCTION("IFERROR(VLOOKUP(E413&amp;F413,IMPORTRANGE(""https://docs.google.com/spreadsheets/d/1Uw7-A9f9R21vMXxHZFNpYNeKFtG8_yji4HS352LGlSQ/edit?pli=1#gid=0"",""1_ACUM!A4:S""),17,FALSE))"),"")</f>
        <v/>
      </c>
      <c r="BE147" s="44" t="str">
        <f ca="1">IFERROR(__xludf.DUMMYFUNCTION("IFERROR(VLOOKUP(E413&amp;F413,IMPORTRANGE(""https://docs.google.com/spreadsheets/d/1Uw7-A9f9R21vMXxHZFNpYNeKFtG8_yji4HS352LGlSQ/edit?pli=1#gid=0"",""1_ACUM!A4:S""),18,FALSE))"),"")</f>
        <v/>
      </c>
      <c r="BF147" s="44" t="str">
        <f ca="1">IFERROR(__xludf.DUMMYFUNCTION("IFERROR(VLOOKUP(E413&amp;F413,IMPORTRANGE(""https://docs.google.com/spreadsheets/d/1Uw7-A9f9R21vMXxHZFNpYNeKFtG8_yji4HS352LGlSQ/edit?pli=1#gid=0"",""1_ACUM!A4:S""),19,FALSE))"),"")</f>
        <v/>
      </c>
      <c r="BG147" s="98" t="str">
        <f ca="1">IFERROR(__xludf.DUMMYFUNCTION("IFERROR(VLOOKUP(F413,IMPORTRANGE(""https://docs.google.com/spreadsheets/d/1Kvs4KS76FHFqLFIZfrDMff4kP08nblUkihrxltoGBjg/edit#gid=934712705"",""ESENCIAL!A6:BG""),5,FALSE))"),"")</f>
        <v/>
      </c>
      <c r="BH147" s="98" t="str">
        <f t="shared" si="17"/>
        <v/>
      </c>
      <c r="BI147" s="99" t="str">
        <f t="shared" si="18"/>
        <v/>
      </c>
      <c r="BJ147" s="100" t="str">
        <f ca="1">IFERROR(__xludf.DUMMYFUNCTION("IFERROR(VLOOKUP(F413,IMPORTRANGE(""https://docs.google.com/spreadsheets/d/1Kvs4KS76FHFqLFIZfrDMff4kP08nblUkihrxltoGBjg/edit#gid=934712705"",""ESENCIAL!A6:BG""),2,FALSE))"),"")</f>
        <v/>
      </c>
      <c r="BK147" s="19" t="str">
        <f t="shared" si="19"/>
        <v/>
      </c>
      <c r="BL147" s="100"/>
      <c r="BM147" s="100"/>
    </row>
    <row r="148" spans="2:65" ht="15">
      <c r="B148" s="39"/>
      <c r="C148" s="5"/>
      <c r="D148" s="123"/>
      <c r="E148" s="39"/>
      <c r="F148" s="39"/>
      <c r="G148" s="39"/>
      <c r="H148" s="5" t="str">
        <f ca="1">IFERROR(__xludf.DUMMYFUNCTION("IFERROR(VLOOKUP(F414,IMPORTRANGE(""https://docs.google.com/spreadsheets/d/1Kvs4KS76FHFqLFIZfrDMff4kP08nblUkihrxltoGBjg/edit#gid=934712705"",""ESENCIAL!A6:BG""),3,FALSE))"),"")</f>
        <v/>
      </c>
      <c r="I148" s="5" t="str">
        <f ca="1">IFERROR(__xludf.DUMMYFUNCTION("IFERROR(VLOOKUP(F414,IMPORTRANGE(""https://docs.google.com/spreadsheets/d/1Kvs4KS76FHFqLFIZfrDMff4kP08nblUkihrxltoGBjg/edit#gid=934712705"",""ESENCIAL!A6:BG""),8,FALSE))"),"")</f>
        <v/>
      </c>
      <c r="J148" s="39"/>
      <c r="M148" s="287"/>
      <c r="AV148" s="41" t="str">
        <f t="shared" si="16"/>
        <v/>
      </c>
      <c r="AW148" s="5" t="str">
        <f ca="1">IFERROR(__xludf.DUMMYFUNCTION("IFERROR(VLOOKUP(E414&amp;F414,IMPORTRANGE(""https://docs.google.com/spreadsheets/d/1Uw7-A9f9R21vMXxHZFNpYNeKFtG8_yji4HS352LGlSQ/edit?pli=1#gid=0"",""1_ACUM!A4:S""),11,FALSE))"),"")</f>
        <v/>
      </c>
      <c r="AX148" s="42" t="str">
        <f ca="1">IFERROR(__xludf.DUMMYFUNCTION("IFERROR(VLOOKUP(F414,IMPORTRANGE(""https://docs.google.com/spreadsheets/d/1Kvs4KS76FHFqLFIZfrDMff4kP08nblUkihrxltoGBjg/edit#gid=934712705"",""ESENCIAL!A6:BG""),15,FALSE))"),"")</f>
        <v/>
      </c>
      <c r="AY148" s="110" t="str">
        <f ca="1">IFERROR(__xludf.DUMMYFUNCTION("IFERROR(VLOOKUP(E414&amp;F414,IMPORTRANGE(""https://docs.google.com/spreadsheets/d/1Uw7-A9f9R21vMXxHZFNpYNeKFtG8_yji4HS352LGlSQ/edit?pli=1#gid=0"",""1_ACUM!A4:S""),13,FALSE))"),"")</f>
        <v/>
      </c>
      <c r="AZ148" s="43" t="str">
        <f ca="1">IFERROR(__xludf.DUMMYFUNCTION("IFERROR(VLOOKUP(E414&amp;F414,IMPORTRANGE(""https://docs.google.com/spreadsheets/d/1Uw7-A9f9R21vMXxHZFNpYNeKFtG8_yji4HS352LGlSQ/edit?pli=1#gid=0"",""1_ACUM!A4:S""),13,FALSE))"),"")</f>
        <v/>
      </c>
      <c r="BA148" s="43" t="str">
        <f ca="1">IFERROR(__xludf.DUMMYFUNCTION("IFERROR(VLOOKUP(E414&amp;F414,IMPORTRANGE(""https://docs.google.com/spreadsheets/d/1Uw7-A9f9R21vMXxHZFNpYNeKFtG8_yji4HS352LGlSQ/edit?pli=1#gid=0"",""1_ACUM!A4:S""),14,FALSE))"),"")</f>
        <v/>
      </c>
      <c r="BB148" s="43" t="str">
        <f ca="1">IFERROR(__xludf.DUMMYFUNCTION("IFERROR(VLOOKUP(E414&amp;F414,IMPORTRANGE(""https://docs.google.com/spreadsheets/d/1Uw7-A9f9R21vMXxHZFNpYNeKFtG8_yji4HS352LGlSQ/edit?pli=1#gid=0"",""1_ACUM!A4:S""),15,FALSE))"),"")</f>
        <v/>
      </c>
      <c r="BC148" s="43" t="str">
        <f ca="1">IFERROR(__xludf.DUMMYFUNCTION("IFERROR(VLOOKUP(E414&amp;F414,IMPORTRANGE(""https://docs.google.com/spreadsheets/d/1Uw7-A9f9R21vMXxHZFNpYNeKFtG8_yji4HS352LGlSQ/edit?pli=1#gid=0"",""1_ACUM!A4:S""),16,FALSE))"),"")</f>
        <v/>
      </c>
      <c r="BD148" s="43" t="str">
        <f ca="1">IFERROR(__xludf.DUMMYFUNCTION("IFERROR(VLOOKUP(E414&amp;F414,IMPORTRANGE(""https://docs.google.com/spreadsheets/d/1Uw7-A9f9R21vMXxHZFNpYNeKFtG8_yji4HS352LGlSQ/edit?pli=1#gid=0"",""1_ACUM!A4:S""),17,FALSE))"),"")</f>
        <v/>
      </c>
      <c r="BE148" s="44" t="str">
        <f ca="1">IFERROR(__xludf.DUMMYFUNCTION("IFERROR(VLOOKUP(E414&amp;F414,IMPORTRANGE(""https://docs.google.com/spreadsheets/d/1Uw7-A9f9R21vMXxHZFNpYNeKFtG8_yji4HS352LGlSQ/edit?pli=1#gid=0"",""1_ACUM!A4:S""),18,FALSE))"),"")</f>
        <v/>
      </c>
      <c r="BF148" s="44" t="str">
        <f ca="1">IFERROR(__xludf.DUMMYFUNCTION("IFERROR(VLOOKUP(E414&amp;F414,IMPORTRANGE(""https://docs.google.com/spreadsheets/d/1Uw7-A9f9R21vMXxHZFNpYNeKFtG8_yji4HS352LGlSQ/edit?pli=1#gid=0"",""1_ACUM!A4:S""),19,FALSE))"),"")</f>
        <v/>
      </c>
      <c r="BG148" s="98" t="str">
        <f ca="1">IFERROR(__xludf.DUMMYFUNCTION("IFERROR(VLOOKUP(F414,IMPORTRANGE(""https://docs.google.com/spreadsheets/d/1Kvs4KS76FHFqLFIZfrDMff4kP08nblUkihrxltoGBjg/edit#gid=934712705"",""ESENCIAL!A6:BG""),5,FALSE))"),"")</f>
        <v/>
      </c>
      <c r="BH148" s="98" t="str">
        <f t="shared" si="17"/>
        <v/>
      </c>
      <c r="BI148" s="99" t="str">
        <f t="shared" si="18"/>
        <v/>
      </c>
      <c r="BJ148" s="100" t="str">
        <f ca="1">IFERROR(__xludf.DUMMYFUNCTION("IFERROR(VLOOKUP(F414,IMPORTRANGE(""https://docs.google.com/spreadsheets/d/1Kvs4KS76FHFqLFIZfrDMff4kP08nblUkihrxltoGBjg/edit#gid=934712705"",""ESENCIAL!A6:BG""),2,FALSE))"),"")</f>
        <v/>
      </c>
      <c r="BK148" s="19" t="str">
        <f t="shared" si="19"/>
        <v/>
      </c>
      <c r="BL148" s="100"/>
      <c r="BM148" s="100"/>
    </row>
    <row r="149" spans="2:65" ht="15">
      <c r="B149" s="39"/>
      <c r="C149" s="5"/>
      <c r="D149" s="123"/>
      <c r="E149" s="39"/>
      <c r="F149" s="39"/>
      <c r="G149" s="39"/>
      <c r="H149" s="5" t="str">
        <f ca="1">IFERROR(__xludf.DUMMYFUNCTION("IFERROR(VLOOKUP(F415,IMPORTRANGE(""https://docs.google.com/spreadsheets/d/1Kvs4KS76FHFqLFIZfrDMff4kP08nblUkihrxltoGBjg/edit#gid=934712705"",""ESENCIAL!A6:BG""),3,FALSE))"),"")</f>
        <v/>
      </c>
      <c r="I149" s="5" t="str">
        <f ca="1">IFERROR(__xludf.DUMMYFUNCTION("IFERROR(VLOOKUP(F415,IMPORTRANGE(""https://docs.google.com/spreadsheets/d/1Kvs4KS76FHFqLFIZfrDMff4kP08nblUkihrxltoGBjg/edit#gid=934712705"",""ESENCIAL!A6:BG""),8,FALSE))"),"")</f>
        <v/>
      </c>
      <c r="J149" s="39"/>
      <c r="M149" s="287"/>
      <c r="AV149" s="41" t="str">
        <f t="shared" si="16"/>
        <v/>
      </c>
      <c r="AW149" s="5" t="str">
        <f ca="1">IFERROR(__xludf.DUMMYFUNCTION("IFERROR(VLOOKUP(E415&amp;F415,IMPORTRANGE(""https://docs.google.com/spreadsheets/d/1Uw7-A9f9R21vMXxHZFNpYNeKFtG8_yji4HS352LGlSQ/edit?pli=1#gid=0"",""1_ACUM!A4:S""),11,FALSE))"),"")</f>
        <v/>
      </c>
      <c r="AX149" s="42" t="str">
        <f ca="1">IFERROR(__xludf.DUMMYFUNCTION("IFERROR(VLOOKUP(F415,IMPORTRANGE(""https://docs.google.com/spreadsheets/d/1Kvs4KS76FHFqLFIZfrDMff4kP08nblUkihrxltoGBjg/edit#gid=934712705"",""ESENCIAL!A6:BG""),15,FALSE))"),"")</f>
        <v/>
      </c>
      <c r="AY149" s="110" t="str">
        <f ca="1">IFERROR(__xludf.DUMMYFUNCTION("IFERROR(VLOOKUP(E415&amp;F415,IMPORTRANGE(""https://docs.google.com/spreadsheets/d/1Uw7-A9f9R21vMXxHZFNpYNeKFtG8_yji4HS352LGlSQ/edit?pli=1#gid=0"",""1_ACUM!A4:S""),13,FALSE))"),"")</f>
        <v/>
      </c>
      <c r="AZ149" s="43" t="str">
        <f ca="1">IFERROR(__xludf.DUMMYFUNCTION("IFERROR(VLOOKUP(E415&amp;F415,IMPORTRANGE(""https://docs.google.com/spreadsheets/d/1Uw7-A9f9R21vMXxHZFNpYNeKFtG8_yji4HS352LGlSQ/edit?pli=1#gid=0"",""1_ACUM!A4:S""),13,FALSE))"),"")</f>
        <v/>
      </c>
      <c r="BA149" s="43" t="str">
        <f ca="1">IFERROR(__xludf.DUMMYFUNCTION("IFERROR(VLOOKUP(E415&amp;F415,IMPORTRANGE(""https://docs.google.com/spreadsheets/d/1Uw7-A9f9R21vMXxHZFNpYNeKFtG8_yji4HS352LGlSQ/edit?pli=1#gid=0"",""1_ACUM!A4:S""),14,FALSE))"),"")</f>
        <v/>
      </c>
      <c r="BB149" s="43" t="str">
        <f ca="1">IFERROR(__xludf.DUMMYFUNCTION("IFERROR(VLOOKUP(E415&amp;F415,IMPORTRANGE(""https://docs.google.com/spreadsheets/d/1Uw7-A9f9R21vMXxHZFNpYNeKFtG8_yji4HS352LGlSQ/edit?pli=1#gid=0"",""1_ACUM!A4:S""),15,FALSE))"),"")</f>
        <v/>
      </c>
      <c r="BC149" s="43" t="str">
        <f ca="1">IFERROR(__xludf.DUMMYFUNCTION("IFERROR(VLOOKUP(E415&amp;F415,IMPORTRANGE(""https://docs.google.com/spreadsheets/d/1Uw7-A9f9R21vMXxHZFNpYNeKFtG8_yji4HS352LGlSQ/edit?pli=1#gid=0"",""1_ACUM!A4:S""),16,FALSE))"),"")</f>
        <v/>
      </c>
      <c r="BD149" s="43" t="str">
        <f ca="1">IFERROR(__xludf.DUMMYFUNCTION("IFERROR(VLOOKUP(E415&amp;F415,IMPORTRANGE(""https://docs.google.com/spreadsheets/d/1Uw7-A9f9R21vMXxHZFNpYNeKFtG8_yji4HS352LGlSQ/edit?pli=1#gid=0"",""1_ACUM!A4:S""),17,FALSE))"),"")</f>
        <v/>
      </c>
      <c r="BE149" s="44" t="str">
        <f ca="1">IFERROR(__xludf.DUMMYFUNCTION("IFERROR(VLOOKUP(E415&amp;F415,IMPORTRANGE(""https://docs.google.com/spreadsheets/d/1Uw7-A9f9R21vMXxHZFNpYNeKFtG8_yji4HS352LGlSQ/edit?pli=1#gid=0"",""1_ACUM!A4:S""),18,FALSE))"),"")</f>
        <v/>
      </c>
      <c r="BF149" s="44" t="str">
        <f ca="1">IFERROR(__xludf.DUMMYFUNCTION("IFERROR(VLOOKUP(E415&amp;F415,IMPORTRANGE(""https://docs.google.com/spreadsheets/d/1Uw7-A9f9R21vMXxHZFNpYNeKFtG8_yji4HS352LGlSQ/edit?pli=1#gid=0"",""1_ACUM!A4:S""),19,FALSE))"),"")</f>
        <v/>
      </c>
      <c r="BG149" s="98" t="str">
        <f ca="1">IFERROR(__xludf.DUMMYFUNCTION("IFERROR(VLOOKUP(F415,IMPORTRANGE(""https://docs.google.com/spreadsheets/d/1Kvs4KS76FHFqLFIZfrDMff4kP08nblUkihrxltoGBjg/edit#gid=934712705"",""ESENCIAL!A6:BG""),5,FALSE))"),"")</f>
        <v/>
      </c>
      <c r="BH149" s="98" t="str">
        <f t="shared" si="17"/>
        <v/>
      </c>
      <c r="BI149" s="99" t="str">
        <f t="shared" si="18"/>
        <v/>
      </c>
      <c r="BJ149" s="100" t="str">
        <f ca="1">IFERROR(__xludf.DUMMYFUNCTION("IFERROR(VLOOKUP(F415,IMPORTRANGE(""https://docs.google.com/spreadsheets/d/1Kvs4KS76FHFqLFIZfrDMff4kP08nblUkihrxltoGBjg/edit#gid=934712705"",""ESENCIAL!A6:BG""),2,FALSE))"),"")</f>
        <v/>
      </c>
      <c r="BK149" s="19" t="str">
        <f t="shared" si="19"/>
        <v/>
      </c>
      <c r="BL149" s="100"/>
      <c r="BM149" s="100"/>
    </row>
    <row r="150" spans="2:65" ht="15">
      <c r="B150" s="39"/>
      <c r="C150" s="5"/>
      <c r="D150" s="123"/>
      <c r="E150" s="39"/>
      <c r="F150" s="39"/>
      <c r="G150" s="39"/>
      <c r="H150" s="5" t="str">
        <f ca="1">IFERROR(__xludf.DUMMYFUNCTION("IFERROR(VLOOKUP(F416,IMPORTRANGE(""https://docs.google.com/spreadsheets/d/1Kvs4KS76FHFqLFIZfrDMff4kP08nblUkihrxltoGBjg/edit#gid=934712705"",""ESENCIAL!A6:BG""),3,FALSE))"),"")</f>
        <v/>
      </c>
      <c r="I150" s="5" t="str">
        <f ca="1">IFERROR(__xludf.DUMMYFUNCTION("IFERROR(VLOOKUP(F416,IMPORTRANGE(""https://docs.google.com/spreadsheets/d/1Kvs4KS76FHFqLFIZfrDMff4kP08nblUkihrxltoGBjg/edit#gid=934712705"",""ESENCIAL!A6:BG""),8,FALSE))"),"")</f>
        <v/>
      </c>
      <c r="J150" s="39"/>
      <c r="M150" s="287"/>
      <c r="AV150" s="41" t="str">
        <f t="shared" si="16"/>
        <v/>
      </c>
      <c r="AW150" s="5" t="str">
        <f ca="1">IFERROR(__xludf.DUMMYFUNCTION("IFERROR(VLOOKUP(E416&amp;F416,IMPORTRANGE(""https://docs.google.com/spreadsheets/d/1Uw7-A9f9R21vMXxHZFNpYNeKFtG8_yji4HS352LGlSQ/edit?pli=1#gid=0"",""1_ACUM!A4:S""),11,FALSE))"),"")</f>
        <v/>
      </c>
      <c r="AX150" s="42" t="str">
        <f ca="1">IFERROR(__xludf.DUMMYFUNCTION("IFERROR(VLOOKUP(F416,IMPORTRANGE(""https://docs.google.com/spreadsheets/d/1Kvs4KS76FHFqLFIZfrDMff4kP08nblUkihrxltoGBjg/edit#gid=934712705"",""ESENCIAL!A6:BG""),15,FALSE))"),"")</f>
        <v/>
      </c>
      <c r="AY150" s="110" t="str">
        <f ca="1">IFERROR(__xludf.DUMMYFUNCTION("IFERROR(VLOOKUP(E416&amp;F416,IMPORTRANGE(""https://docs.google.com/spreadsheets/d/1Uw7-A9f9R21vMXxHZFNpYNeKFtG8_yji4HS352LGlSQ/edit?pli=1#gid=0"",""1_ACUM!A4:S""),13,FALSE))"),"")</f>
        <v/>
      </c>
      <c r="AZ150" s="43" t="str">
        <f ca="1">IFERROR(__xludf.DUMMYFUNCTION("IFERROR(VLOOKUP(E416&amp;F416,IMPORTRANGE(""https://docs.google.com/spreadsheets/d/1Uw7-A9f9R21vMXxHZFNpYNeKFtG8_yji4HS352LGlSQ/edit?pli=1#gid=0"",""1_ACUM!A4:S""),13,FALSE))"),"")</f>
        <v/>
      </c>
      <c r="BA150" s="43" t="str">
        <f ca="1">IFERROR(__xludf.DUMMYFUNCTION("IFERROR(VLOOKUP(E416&amp;F416,IMPORTRANGE(""https://docs.google.com/spreadsheets/d/1Uw7-A9f9R21vMXxHZFNpYNeKFtG8_yji4HS352LGlSQ/edit?pli=1#gid=0"",""1_ACUM!A4:S""),14,FALSE))"),"")</f>
        <v/>
      </c>
      <c r="BB150" s="43" t="str">
        <f ca="1">IFERROR(__xludf.DUMMYFUNCTION("IFERROR(VLOOKUP(E416&amp;F416,IMPORTRANGE(""https://docs.google.com/spreadsheets/d/1Uw7-A9f9R21vMXxHZFNpYNeKFtG8_yji4HS352LGlSQ/edit?pli=1#gid=0"",""1_ACUM!A4:S""),15,FALSE))"),"")</f>
        <v/>
      </c>
      <c r="BC150" s="43" t="str">
        <f ca="1">IFERROR(__xludf.DUMMYFUNCTION("IFERROR(VLOOKUP(E416&amp;F416,IMPORTRANGE(""https://docs.google.com/spreadsheets/d/1Uw7-A9f9R21vMXxHZFNpYNeKFtG8_yji4HS352LGlSQ/edit?pli=1#gid=0"",""1_ACUM!A4:S""),16,FALSE))"),"")</f>
        <v/>
      </c>
      <c r="BD150" s="43" t="str">
        <f ca="1">IFERROR(__xludf.DUMMYFUNCTION("IFERROR(VLOOKUP(E416&amp;F416,IMPORTRANGE(""https://docs.google.com/spreadsheets/d/1Uw7-A9f9R21vMXxHZFNpYNeKFtG8_yji4HS352LGlSQ/edit?pli=1#gid=0"",""1_ACUM!A4:S""),17,FALSE))"),"")</f>
        <v/>
      </c>
      <c r="BE150" s="44" t="str">
        <f ca="1">IFERROR(__xludf.DUMMYFUNCTION("IFERROR(VLOOKUP(E416&amp;F416,IMPORTRANGE(""https://docs.google.com/spreadsheets/d/1Uw7-A9f9R21vMXxHZFNpYNeKFtG8_yji4HS352LGlSQ/edit?pli=1#gid=0"",""1_ACUM!A4:S""),18,FALSE))"),"")</f>
        <v/>
      </c>
      <c r="BF150" s="44" t="str">
        <f ca="1">IFERROR(__xludf.DUMMYFUNCTION("IFERROR(VLOOKUP(E416&amp;F416,IMPORTRANGE(""https://docs.google.com/spreadsheets/d/1Uw7-A9f9R21vMXxHZFNpYNeKFtG8_yji4HS352LGlSQ/edit?pli=1#gid=0"",""1_ACUM!A4:S""),19,FALSE))"),"")</f>
        <v/>
      </c>
      <c r="BG150" s="98" t="str">
        <f ca="1">IFERROR(__xludf.DUMMYFUNCTION("IFERROR(VLOOKUP(F416,IMPORTRANGE(""https://docs.google.com/spreadsheets/d/1Kvs4KS76FHFqLFIZfrDMff4kP08nblUkihrxltoGBjg/edit#gid=934712705"",""ESENCIAL!A6:BG""),5,FALSE))"),"")</f>
        <v/>
      </c>
      <c r="BH150" s="98" t="str">
        <f t="shared" si="17"/>
        <v/>
      </c>
      <c r="BI150" s="99" t="str">
        <f t="shared" si="18"/>
        <v/>
      </c>
      <c r="BJ150" s="100" t="str">
        <f ca="1">IFERROR(__xludf.DUMMYFUNCTION("IFERROR(VLOOKUP(F416,IMPORTRANGE(""https://docs.google.com/spreadsheets/d/1Kvs4KS76FHFqLFIZfrDMff4kP08nblUkihrxltoGBjg/edit#gid=934712705"",""ESENCIAL!A6:BG""),2,FALSE))"),"")</f>
        <v/>
      </c>
      <c r="BK150" s="19" t="str">
        <f t="shared" si="19"/>
        <v/>
      </c>
      <c r="BL150" s="100"/>
      <c r="BM150" s="100"/>
    </row>
    <row r="151" spans="2:65" ht="15">
      <c r="B151" s="39"/>
      <c r="C151" s="5"/>
      <c r="D151" s="123"/>
      <c r="E151" s="39"/>
      <c r="F151" s="39"/>
      <c r="G151" s="39"/>
      <c r="H151" s="5" t="str">
        <f ca="1">IFERROR(__xludf.DUMMYFUNCTION("IFERROR(VLOOKUP(F417,IMPORTRANGE(""https://docs.google.com/spreadsheets/d/1Kvs4KS76FHFqLFIZfrDMff4kP08nblUkihrxltoGBjg/edit#gid=934712705"",""ESENCIAL!A6:BG""),3,FALSE))"),"")</f>
        <v/>
      </c>
      <c r="I151" s="5" t="str">
        <f ca="1">IFERROR(__xludf.DUMMYFUNCTION("IFERROR(VLOOKUP(F417,IMPORTRANGE(""https://docs.google.com/spreadsheets/d/1Kvs4KS76FHFqLFIZfrDMff4kP08nblUkihrxltoGBjg/edit#gid=934712705"",""ESENCIAL!A6:BG""),8,FALSE))"),"")</f>
        <v/>
      </c>
      <c r="J151" s="39"/>
      <c r="M151" s="287"/>
      <c r="AV151" s="41" t="str">
        <f t="shared" si="16"/>
        <v/>
      </c>
      <c r="AW151" s="5" t="str">
        <f ca="1">IFERROR(__xludf.DUMMYFUNCTION("IFERROR(VLOOKUP(E417&amp;F417,IMPORTRANGE(""https://docs.google.com/spreadsheets/d/1Uw7-A9f9R21vMXxHZFNpYNeKFtG8_yji4HS352LGlSQ/edit?pli=1#gid=0"",""1_ACUM!A4:S""),11,FALSE))"),"")</f>
        <v/>
      </c>
      <c r="AX151" s="42" t="str">
        <f ca="1">IFERROR(__xludf.DUMMYFUNCTION("IFERROR(VLOOKUP(F417,IMPORTRANGE(""https://docs.google.com/spreadsheets/d/1Kvs4KS76FHFqLFIZfrDMff4kP08nblUkihrxltoGBjg/edit#gid=934712705"",""ESENCIAL!A6:BG""),15,FALSE))"),"")</f>
        <v/>
      </c>
      <c r="AY151" s="110" t="str">
        <f ca="1">IFERROR(__xludf.DUMMYFUNCTION("IFERROR(VLOOKUP(E417&amp;F417,IMPORTRANGE(""https://docs.google.com/spreadsheets/d/1Uw7-A9f9R21vMXxHZFNpYNeKFtG8_yji4HS352LGlSQ/edit?pli=1#gid=0"",""1_ACUM!A4:S""),13,FALSE))"),"")</f>
        <v/>
      </c>
      <c r="AZ151" s="43" t="str">
        <f ca="1">IFERROR(__xludf.DUMMYFUNCTION("IFERROR(VLOOKUP(E417&amp;F417,IMPORTRANGE(""https://docs.google.com/spreadsheets/d/1Uw7-A9f9R21vMXxHZFNpYNeKFtG8_yji4HS352LGlSQ/edit?pli=1#gid=0"",""1_ACUM!A4:S""),13,FALSE))"),"")</f>
        <v/>
      </c>
      <c r="BA151" s="43" t="str">
        <f ca="1">IFERROR(__xludf.DUMMYFUNCTION("IFERROR(VLOOKUP(E417&amp;F417,IMPORTRANGE(""https://docs.google.com/spreadsheets/d/1Uw7-A9f9R21vMXxHZFNpYNeKFtG8_yji4HS352LGlSQ/edit?pli=1#gid=0"",""1_ACUM!A4:S""),14,FALSE))"),"")</f>
        <v/>
      </c>
      <c r="BB151" s="43" t="str">
        <f ca="1">IFERROR(__xludf.DUMMYFUNCTION("IFERROR(VLOOKUP(E417&amp;F417,IMPORTRANGE(""https://docs.google.com/spreadsheets/d/1Uw7-A9f9R21vMXxHZFNpYNeKFtG8_yji4HS352LGlSQ/edit?pli=1#gid=0"",""1_ACUM!A4:S""),15,FALSE))"),"")</f>
        <v/>
      </c>
      <c r="BC151" s="43" t="str">
        <f ca="1">IFERROR(__xludf.DUMMYFUNCTION("IFERROR(VLOOKUP(E417&amp;F417,IMPORTRANGE(""https://docs.google.com/spreadsheets/d/1Uw7-A9f9R21vMXxHZFNpYNeKFtG8_yji4HS352LGlSQ/edit?pli=1#gid=0"",""1_ACUM!A4:S""),16,FALSE))"),"")</f>
        <v/>
      </c>
      <c r="BD151" s="43" t="str">
        <f ca="1">IFERROR(__xludf.DUMMYFUNCTION("IFERROR(VLOOKUP(E417&amp;F417,IMPORTRANGE(""https://docs.google.com/spreadsheets/d/1Uw7-A9f9R21vMXxHZFNpYNeKFtG8_yji4HS352LGlSQ/edit?pli=1#gid=0"",""1_ACUM!A4:S""),17,FALSE))"),"")</f>
        <v/>
      </c>
      <c r="BE151" s="44" t="str">
        <f ca="1">IFERROR(__xludf.DUMMYFUNCTION("IFERROR(VLOOKUP(E417&amp;F417,IMPORTRANGE(""https://docs.google.com/spreadsheets/d/1Uw7-A9f9R21vMXxHZFNpYNeKFtG8_yji4HS352LGlSQ/edit?pli=1#gid=0"",""1_ACUM!A4:S""),18,FALSE))"),"")</f>
        <v/>
      </c>
      <c r="BF151" s="44" t="str">
        <f ca="1">IFERROR(__xludf.DUMMYFUNCTION("IFERROR(VLOOKUP(E417&amp;F417,IMPORTRANGE(""https://docs.google.com/spreadsheets/d/1Uw7-A9f9R21vMXxHZFNpYNeKFtG8_yji4HS352LGlSQ/edit?pli=1#gid=0"",""1_ACUM!A4:S""),19,FALSE))"),"")</f>
        <v/>
      </c>
      <c r="BG151" s="98" t="str">
        <f ca="1">IFERROR(__xludf.DUMMYFUNCTION("IFERROR(VLOOKUP(F417,IMPORTRANGE(""https://docs.google.com/spreadsheets/d/1Kvs4KS76FHFqLFIZfrDMff4kP08nblUkihrxltoGBjg/edit#gid=934712705"",""ESENCIAL!A6:BG""),5,FALSE))"),"")</f>
        <v/>
      </c>
      <c r="BH151" s="98" t="str">
        <f t="shared" si="17"/>
        <v/>
      </c>
      <c r="BI151" s="99" t="str">
        <f t="shared" si="18"/>
        <v/>
      </c>
      <c r="BJ151" s="100" t="str">
        <f ca="1">IFERROR(__xludf.DUMMYFUNCTION("IFERROR(VLOOKUP(F417,IMPORTRANGE(""https://docs.google.com/spreadsheets/d/1Kvs4KS76FHFqLFIZfrDMff4kP08nblUkihrxltoGBjg/edit#gid=934712705"",""ESENCIAL!A6:BG""),2,FALSE))"),"")</f>
        <v/>
      </c>
      <c r="BK151" s="19" t="str">
        <f t="shared" si="19"/>
        <v/>
      </c>
      <c r="BL151" s="100"/>
      <c r="BM151" s="100"/>
    </row>
    <row r="152" spans="2:65" ht="15">
      <c r="B152" s="39"/>
      <c r="C152" s="5"/>
      <c r="D152" s="123"/>
      <c r="E152" s="39"/>
      <c r="F152" s="39"/>
      <c r="G152" s="39"/>
      <c r="H152" s="5" t="str">
        <f ca="1">IFERROR(__xludf.DUMMYFUNCTION("IFERROR(VLOOKUP(F418,IMPORTRANGE(""https://docs.google.com/spreadsheets/d/1Kvs4KS76FHFqLFIZfrDMff4kP08nblUkihrxltoGBjg/edit#gid=934712705"",""ESENCIAL!A6:BG""),3,FALSE))"),"")</f>
        <v/>
      </c>
      <c r="I152" s="5" t="str">
        <f ca="1">IFERROR(__xludf.DUMMYFUNCTION("IFERROR(VLOOKUP(F418,IMPORTRANGE(""https://docs.google.com/spreadsheets/d/1Kvs4KS76FHFqLFIZfrDMff4kP08nblUkihrxltoGBjg/edit#gid=934712705"",""ESENCIAL!A6:BG""),8,FALSE))"),"")</f>
        <v/>
      </c>
      <c r="J152" s="39"/>
      <c r="M152" s="287"/>
      <c r="AV152" s="41" t="str">
        <f t="shared" si="16"/>
        <v/>
      </c>
      <c r="AW152" s="5" t="str">
        <f ca="1">IFERROR(__xludf.DUMMYFUNCTION("IFERROR(VLOOKUP(E418&amp;F418,IMPORTRANGE(""https://docs.google.com/spreadsheets/d/1Uw7-A9f9R21vMXxHZFNpYNeKFtG8_yji4HS352LGlSQ/edit?pli=1#gid=0"",""1_ACUM!A4:S""),11,FALSE))"),"")</f>
        <v/>
      </c>
      <c r="AX152" s="42" t="str">
        <f ca="1">IFERROR(__xludf.DUMMYFUNCTION("IFERROR(VLOOKUP(F418,IMPORTRANGE(""https://docs.google.com/spreadsheets/d/1Kvs4KS76FHFqLFIZfrDMff4kP08nblUkihrxltoGBjg/edit#gid=934712705"",""ESENCIAL!A6:BG""),15,FALSE))"),"")</f>
        <v/>
      </c>
      <c r="AY152" s="110" t="str">
        <f ca="1">IFERROR(__xludf.DUMMYFUNCTION("IFERROR(VLOOKUP(E418&amp;F418,IMPORTRANGE(""https://docs.google.com/spreadsheets/d/1Uw7-A9f9R21vMXxHZFNpYNeKFtG8_yji4HS352LGlSQ/edit?pli=1#gid=0"",""1_ACUM!A4:S""),13,FALSE))"),"")</f>
        <v/>
      </c>
      <c r="AZ152" s="43" t="str">
        <f ca="1">IFERROR(__xludf.DUMMYFUNCTION("IFERROR(VLOOKUP(E418&amp;F418,IMPORTRANGE(""https://docs.google.com/spreadsheets/d/1Uw7-A9f9R21vMXxHZFNpYNeKFtG8_yji4HS352LGlSQ/edit?pli=1#gid=0"",""1_ACUM!A4:S""),13,FALSE))"),"")</f>
        <v/>
      </c>
      <c r="BA152" s="43" t="str">
        <f ca="1">IFERROR(__xludf.DUMMYFUNCTION("IFERROR(VLOOKUP(E418&amp;F418,IMPORTRANGE(""https://docs.google.com/spreadsheets/d/1Uw7-A9f9R21vMXxHZFNpYNeKFtG8_yji4HS352LGlSQ/edit?pli=1#gid=0"",""1_ACUM!A4:S""),14,FALSE))"),"")</f>
        <v/>
      </c>
      <c r="BB152" s="43" t="str">
        <f ca="1">IFERROR(__xludf.DUMMYFUNCTION("IFERROR(VLOOKUP(E418&amp;F418,IMPORTRANGE(""https://docs.google.com/spreadsheets/d/1Uw7-A9f9R21vMXxHZFNpYNeKFtG8_yji4HS352LGlSQ/edit?pli=1#gid=0"",""1_ACUM!A4:S""),15,FALSE))"),"")</f>
        <v/>
      </c>
      <c r="BC152" s="43" t="str">
        <f ca="1">IFERROR(__xludf.DUMMYFUNCTION("IFERROR(VLOOKUP(E418&amp;F418,IMPORTRANGE(""https://docs.google.com/spreadsheets/d/1Uw7-A9f9R21vMXxHZFNpYNeKFtG8_yji4HS352LGlSQ/edit?pli=1#gid=0"",""1_ACUM!A4:S""),16,FALSE))"),"")</f>
        <v/>
      </c>
      <c r="BD152" s="43" t="str">
        <f ca="1">IFERROR(__xludf.DUMMYFUNCTION("IFERROR(VLOOKUP(E418&amp;F418,IMPORTRANGE(""https://docs.google.com/spreadsheets/d/1Uw7-A9f9R21vMXxHZFNpYNeKFtG8_yji4HS352LGlSQ/edit?pli=1#gid=0"",""1_ACUM!A4:S""),17,FALSE))"),"")</f>
        <v/>
      </c>
      <c r="BE152" s="44" t="str">
        <f ca="1">IFERROR(__xludf.DUMMYFUNCTION("IFERROR(VLOOKUP(E418&amp;F418,IMPORTRANGE(""https://docs.google.com/spreadsheets/d/1Uw7-A9f9R21vMXxHZFNpYNeKFtG8_yji4HS352LGlSQ/edit?pli=1#gid=0"",""1_ACUM!A4:S""),18,FALSE))"),"")</f>
        <v/>
      </c>
      <c r="BF152" s="44" t="str">
        <f ca="1">IFERROR(__xludf.DUMMYFUNCTION("IFERROR(VLOOKUP(E418&amp;F418,IMPORTRANGE(""https://docs.google.com/spreadsheets/d/1Uw7-A9f9R21vMXxHZFNpYNeKFtG8_yji4HS352LGlSQ/edit?pli=1#gid=0"",""1_ACUM!A4:S""),19,FALSE))"),"")</f>
        <v/>
      </c>
      <c r="BG152" s="98" t="str">
        <f ca="1">IFERROR(__xludf.DUMMYFUNCTION("IFERROR(VLOOKUP(F418,IMPORTRANGE(""https://docs.google.com/spreadsheets/d/1Kvs4KS76FHFqLFIZfrDMff4kP08nblUkihrxltoGBjg/edit#gid=934712705"",""ESENCIAL!A6:BG""),5,FALSE))"),"")</f>
        <v/>
      </c>
      <c r="BH152" s="98" t="str">
        <f t="shared" si="17"/>
        <v/>
      </c>
      <c r="BI152" s="99" t="str">
        <f t="shared" si="18"/>
        <v/>
      </c>
      <c r="BJ152" s="100" t="str">
        <f ca="1">IFERROR(__xludf.DUMMYFUNCTION("IFERROR(VLOOKUP(F418,IMPORTRANGE(""https://docs.google.com/spreadsheets/d/1Kvs4KS76FHFqLFIZfrDMff4kP08nblUkihrxltoGBjg/edit#gid=934712705"",""ESENCIAL!A6:BG""),2,FALSE))"),"")</f>
        <v/>
      </c>
      <c r="BK152" s="19" t="str">
        <f t="shared" si="19"/>
        <v/>
      </c>
      <c r="BL152" s="100"/>
      <c r="BM152" s="100"/>
    </row>
    <row r="153" spans="2:65" ht="15">
      <c r="B153" s="39"/>
      <c r="C153" s="5"/>
      <c r="D153" s="123"/>
      <c r="E153" s="39"/>
      <c r="F153" s="39"/>
      <c r="G153" s="39"/>
      <c r="H153" s="5" t="str">
        <f ca="1">IFERROR(__xludf.DUMMYFUNCTION("IFERROR(VLOOKUP(F419,IMPORTRANGE(""https://docs.google.com/spreadsheets/d/1Kvs4KS76FHFqLFIZfrDMff4kP08nblUkihrxltoGBjg/edit#gid=934712705"",""ESENCIAL!A6:BG""),3,FALSE))"),"")</f>
        <v/>
      </c>
      <c r="I153" s="5" t="str">
        <f ca="1">IFERROR(__xludf.DUMMYFUNCTION("IFERROR(VLOOKUP(F419,IMPORTRANGE(""https://docs.google.com/spreadsheets/d/1Kvs4KS76FHFqLFIZfrDMff4kP08nblUkihrxltoGBjg/edit#gid=934712705"",""ESENCIAL!A6:BG""),8,FALSE))"),"")</f>
        <v/>
      </c>
      <c r="J153" s="39"/>
      <c r="M153" s="287"/>
      <c r="AV153" s="41" t="str">
        <f t="shared" si="16"/>
        <v/>
      </c>
      <c r="AW153" s="5" t="str">
        <f ca="1">IFERROR(__xludf.DUMMYFUNCTION("IFERROR(VLOOKUP(E419&amp;F419,IMPORTRANGE(""https://docs.google.com/spreadsheets/d/1Uw7-A9f9R21vMXxHZFNpYNeKFtG8_yji4HS352LGlSQ/edit?pli=1#gid=0"",""1_ACUM!A4:S""),11,FALSE))"),"")</f>
        <v/>
      </c>
      <c r="AX153" s="42" t="str">
        <f ca="1">IFERROR(__xludf.DUMMYFUNCTION("IFERROR(VLOOKUP(F419,IMPORTRANGE(""https://docs.google.com/spreadsheets/d/1Kvs4KS76FHFqLFIZfrDMff4kP08nblUkihrxltoGBjg/edit#gid=934712705"",""ESENCIAL!A6:BG""),15,FALSE))"),"")</f>
        <v/>
      </c>
      <c r="AY153" s="110" t="str">
        <f ca="1">IFERROR(__xludf.DUMMYFUNCTION("IFERROR(VLOOKUP(E419&amp;F419,IMPORTRANGE(""https://docs.google.com/spreadsheets/d/1Uw7-A9f9R21vMXxHZFNpYNeKFtG8_yji4HS352LGlSQ/edit?pli=1#gid=0"",""1_ACUM!A4:S""),13,FALSE))"),"")</f>
        <v/>
      </c>
      <c r="AZ153" s="43" t="str">
        <f ca="1">IFERROR(__xludf.DUMMYFUNCTION("IFERROR(VLOOKUP(E419&amp;F419,IMPORTRANGE(""https://docs.google.com/spreadsheets/d/1Uw7-A9f9R21vMXxHZFNpYNeKFtG8_yji4HS352LGlSQ/edit?pli=1#gid=0"",""1_ACUM!A4:S""),13,FALSE))"),"")</f>
        <v/>
      </c>
      <c r="BA153" s="43" t="str">
        <f ca="1">IFERROR(__xludf.DUMMYFUNCTION("IFERROR(VLOOKUP(E419&amp;F419,IMPORTRANGE(""https://docs.google.com/spreadsheets/d/1Uw7-A9f9R21vMXxHZFNpYNeKFtG8_yji4HS352LGlSQ/edit?pli=1#gid=0"",""1_ACUM!A4:S""),14,FALSE))"),"")</f>
        <v/>
      </c>
      <c r="BB153" s="43" t="str">
        <f ca="1">IFERROR(__xludf.DUMMYFUNCTION("IFERROR(VLOOKUP(E419&amp;F419,IMPORTRANGE(""https://docs.google.com/spreadsheets/d/1Uw7-A9f9R21vMXxHZFNpYNeKFtG8_yji4HS352LGlSQ/edit?pli=1#gid=0"",""1_ACUM!A4:S""),15,FALSE))"),"")</f>
        <v/>
      </c>
      <c r="BC153" s="43" t="str">
        <f ca="1">IFERROR(__xludf.DUMMYFUNCTION("IFERROR(VLOOKUP(E419&amp;F419,IMPORTRANGE(""https://docs.google.com/spreadsheets/d/1Uw7-A9f9R21vMXxHZFNpYNeKFtG8_yji4HS352LGlSQ/edit?pli=1#gid=0"",""1_ACUM!A4:S""),16,FALSE))"),"")</f>
        <v/>
      </c>
      <c r="BD153" s="43" t="str">
        <f ca="1">IFERROR(__xludf.DUMMYFUNCTION("IFERROR(VLOOKUP(E419&amp;F419,IMPORTRANGE(""https://docs.google.com/spreadsheets/d/1Uw7-A9f9R21vMXxHZFNpYNeKFtG8_yji4HS352LGlSQ/edit?pli=1#gid=0"",""1_ACUM!A4:S""),17,FALSE))"),"")</f>
        <v/>
      </c>
      <c r="BE153" s="44" t="str">
        <f ca="1">IFERROR(__xludf.DUMMYFUNCTION("IFERROR(VLOOKUP(E419&amp;F419,IMPORTRANGE(""https://docs.google.com/spreadsheets/d/1Uw7-A9f9R21vMXxHZFNpYNeKFtG8_yji4HS352LGlSQ/edit?pli=1#gid=0"",""1_ACUM!A4:S""),18,FALSE))"),"")</f>
        <v/>
      </c>
      <c r="BF153" s="44" t="str">
        <f ca="1">IFERROR(__xludf.DUMMYFUNCTION("IFERROR(VLOOKUP(E419&amp;F419,IMPORTRANGE(""https://docs.google.com/spreadsheets/d/1Uw7-A9f9R21vMXxHZFNpYNeKFtG8_yji4HS352LGlSQ/edit?pli=1#gid=0"",""1_ACUM!A4:S""),19,FALSE))"),"")</f>
        <v/>
      </c>
      <c r="BG153" s="98" t="str">
        <f ca="1">IFERROR(__xludf.DUMMYFUNCTION("IFERROR(VLOOKUP(F419,IMPORTRANGE(""https://docs.google.com/spreadsheets/d/1Kvs4KS76FHFqLFIZfrDMff4kP08nblUkihrxltoGBjg/edit#gid=934712705"",""ESENCIAL!A6:BG""),5,FALSE))"),"")</f>
        <v/>
      </c>
      <c r="BH153" s="98" t="str">
        <f t="shared" si="17"/>
        <v/>
      </c>
      <c r="BI153" s="99" t="str">
        <f t="shared" si="18"/>
        <v/>
      </c>
      <c r="BJ153" s="100" t="str">
        <f ca="1">IFERROR(__xludf.DUMMYFUNCTION("IFERROR(VLOOKUP(F419,IMPORTRANGE(""https://docs.google.com/spreadsheets/d/1Kvs4KS76FHFqLFIZfrDMff4kP08nblUkihrxltoGBjg/edit#gid=934712705"",""ESENCIAL!A6:BG""),2,FALSE))"),"")</f>
        <v/>
      </c>
      <c r="BK153" s="19" t="str">
        <f t="shared" si="19"/>
        <v/>
      </c>
      <c r="BL153" s="100"/>
      <c r="BM153" s="100"/>
    </row>
    <row r="154" spans="2:65" ht="15">
      <c r="B154" s="39"/>
      <c r="C154" s="5"/>
      <c r="D154" s="123"/>
      <c r="E154" s="39"/>
      <c r="F154" s="39"/>
      <c r="G154" s="39"/>
      <c r="H154" s="5" t="str">
        <f ca="1">IFERROR(__xludf.DUMMYFUNCTION("IFERROR(VLOOKUP(F420,IMPORTRANGE(""https://docs.google.com/spreadsheets/d/1Kvs4KS76FHFqLFIZfrDMff4kP08nblUkihrxltoGBjg/edit#gid=934712705"",""ESENCIAL!A6:BG""),3,FALSE))"),"")</f>
        <v/>
      </c>
      <c r="I154" s="5" t="str">
        <f ca="1">IFERROR(__xludf.DUMMYFUNCTION("IFERROR(VLOOKUP(F420,IMPORTRANGE(""https://docs.google.com/spreadsheets/d/1Kvs4KS76FHFqLFIZfrDMff4kP08nblUkihrxltoGBjg/edit#gid=934712705"",""ESENCIAL!A6:BG""),8,FALSE))"),"")</f>
        <v/>
      </c>
      <c r="J154" s="39"/>
      <c r="M154" s="287"/>
      <c r="AV154" s="41" t="str">
        <f t="shared" si="16"/>
        <v/>
      </c>
      <c r="AW154" s="5" t="str">
        <f ca="1">IFERROR(__xludf.DUMMYFUNCTION("IFERROR(VLOOKUP(E420&amp;F420,IMPORTRANGE(""https://docs.google.com/spreadsheets/d/1Uw7-A9f9R21vMXxHZFNpYNeKFtG8_yji4HS352LGlSQ/edit?pli=1#gid=0"",""1_ACUM!A4:S""),11,FALSE))"),"")</f>
        <v/>
      </c>
      <c r="AX154" s="42" t="str">
        <f ca="1">IFERROR(__xludf.DUMMYFUNCTION("IFERROR(VLOOKUP(F420,IMPORTRANGE(""https://docs.google.com/spreadsheets/d/1Kvs4KS76FHFqLFIZfrDMff4kP08nblUkihrxltoGBjg/edit#gid=934712705"",""ESENCIAL!A6:BG""),15,FALSE))"),"")</f>
        <v/>
      </c>
      <c r="AY154" s="110" t="str">
        <f ca="1">IFERROR(__xludf.DUMMYFUNCTION("IFERROR(VLOOKUP(E420&amp;F420,IMPORTRANGE(""https://docs.google.com/spreadsheets/d/1Uw7-A9f9R21vMXxHZFNpYNeKFtG8_yji4HS352LGlSQ/edit?pli=1#gid=0"",""1_ACUM!A4:S""),13,FALSE))"),"")</f>
        <v/>
      </c>
      <c r="AZ154" s="43" t="str">
        <f ca="1">IFERROR(__xludf.DUMMYFUNCTION("IFERROR(VLOOKUP(E420&amp;F420,IMPORTRANGE(""https://docs.google.com/spreadsheets/d/1Uw7-A9f9R21vMXxHZFNpYNeKFtG8_yji4HS352LGlSQ/edit?pli=1#gid=0"",""1_ACUM!A4:S""),13,FALSE))"),"")</f>
        <v/>
      </c>
      <c r="BA154" s="43" t="str">
        <f ca="1">IFERROR(__xludf.DUMMYFUNCTION("IFERROR(VLOOKUP(E420&amp;F420,IMPORTRANGE(""https://docs.google.com/spreadsheets/d/1Uw7-A9f9R21vMXxHZFNpYNeKFtG8_yji4HS352LGlSQ/edit?pli=1#gid=0"",""1_ACUM!A4:S""),14,FALSE))"),"")</f>
        <v/>
      </c>
      <c r="BB154" s="43" t="str">
        <f ca="1">IFERROR(__xludf.DUMMYFUNCTION("IFERROR(VLOOKUP(E420&amp;F420,IMPORTRANGE(""https://docs.google.com/spreadsheets/d/1Uw7-A9f9R21vMXxHZFNpYNeKFtG8_yji4HS352LGlSQ/edit?pli=1#gid=0"",""1_ACUM!A4:S""),15,FALSE))"),"")</f>
        <v/>
      </c>
      <c r="BC154" s="43" t="str">
        <f ca="1">IFERROR(__xludf.DUMMYFUNCTION("IFERROR(VLOOKUP(E420&amp;F420,IMPORTRANGE(""https://docs.google.com/spreadsheets/d/1Uw7-A9f9R21vMXxHZFNpYNeKFtG8_yji4HS352LGlSQ/edit?pli=1#gid=0"",""1_ACUM!A4:S""),16,FALSE))"),"")</f>
        <v/>
      </c>
      <c r="BD154" s="43" t="str">
        <f ca="1">IFERROR(__xludf.DUMMYFUNCTION("IFERROR(VLOOKUP(E420&amp;F420,IMPORTRANGE(""https://docs.google.com/spreadsheets/d/1Uw7-A9f9R21vMXxHZFNpYNeKFtG8_yji4HS352LGlSQ/edit?pli=1#gid=0"",""1_ACUM!A4:S""),17,FALSE))"),"")</f>
        <v/>
      </c>
      <c r="BE154" s="44" t="str">
        <f ca="1">IFERROR(__xludf.DUMMYFUNCTION("IFERROR(VLOOKUP(E420&amp;F420,IMPORTRANGE(""https://docs.google.com/spreadsheets/d/1Uw7-A9f9R21vMXxHZFNpYNeKFtG8_yji4HS352LGlSQ/edit?pli=1#gid=0"",""1_ACUM!A4:S""),18,FALSE))"),"")</f>
        <v/>
      </c>
      <c r="BF154" s="44" t="str">
        <f ca="1">IFERROR(__xludf.DUMMYFUNCTION("IFERROR(VLOOKUP(E420&amp;F420,IMPORTRANGE(""https://docs.google.com/spreadsheets/d/1Uw7-A9f9R21vMXxHZFNpYNeKFtG8_yji4HS352LGlSQ/edit?pli=1#gid=0"",""1_ACUM!A4:S""),19,FALSE))"),"")</f>
        <v/>
      </c>
      <c r="BG154" s="98" t="str">
        <f ca="1">IFERROR(__xludf.DUMMYFUNCTION("IFERROR(VLOOKUP(F420,IMPORTRANGE(""https://docs.google.com/spreadsheets/d/1Kvs4KS76FHFqLFIZfrDMff4kP08nblUkihrxltoGBjg/edit#gid=934712705"",""ESENCIAL!A6:BG""),5,FALSE))"),"")</f>
        <v/>
      </c>
      <c r="BH154" s="98" t="str">
        <f t="shared" si="17"/>
        <v/>
      </c>
      <c r="BI154" s="99" t="str">
        <f t="shared" si="18"/>
        <v/>
      </c>
      <c r="BJ154" s="100" t="str">
        <f ca="1">IFERROR(__xludf.DUMMYFUNCTION("IFERROR(VLOOKUP(F420,IMPORTRANGE(""https://docs.google.com/spreadsheets/d/1Kvs4KS76FHFqLFIZfrDMff4kP08nblUkihrxltoGBjg/edit#gid=934712705"",""ESENCIAL!A6:BG""),2,FALSE))"),"")</f>
        <v/>
      </c>
      <c r="BK154" s="19" t="str">
        <f t="shared" si="19"/>
        <v/>
      </c>
      <c r="BL154" s="100"/>
      <c r="BM154" s="100"/>
    </row>
    <row r="155" spans="2:65" ht="15">
      <c r="B155" s="39"/>
      <c r="C155" s="5"/>
      <c r="D155" s="123"/>
      <c r="E155" s="39"/>
      <c r="F155" s="39"/>
      <c r="G155" s="39"/>
      <c r="H155" s="5" t="str">
        <f ca="1">IFERROR(__xludf.DUMMYFUNCTION("IFERROR(VLOOKUP(F421,IMPORTRANGE(""https://docs.google.com/spreadsheets/d/1Kvs4KS76FHFqLFIZfrDMff4kP08nblUkihrxltoGBjg/edit#gid=934712705"",""ESENCIAL!A6:BG""),3,FALSE))"),"")</f>
        <v/>
      </c>
      <c r="I155" s="5" t="str">
        <f ca="1">IFERROR(__xludf.DUMMYFUNCTION("IFERROR(VLOOKUP(F421,IMPORTRANGE(""https://docs.google.com/spreadsheets/d/1Kvs4KS76FHFqLFIZfrDMff4kP08nblUkihrxltoGBjg/edit#gid=934712705"",""ESENCIAL!A6:BG""),8,FALSE))"),"")</f>
        <v/>
      </c>
      <c r="J155" s="39"/>
      <c r="M155" s="287"/>
      <c r="AV155" s="41" t="str">
        <f t="shared" si="16"/>
        <v/>
      </c>
      <c r="AW155" s="5" t="str">
        <f ca="1">IFERROR(__xludf.DUMMYFUNCTION("IFERROR(VLOOKUP(E421&amp;F421,IMPORTRANGE(""https://docs.google.com/spreadsheets/d/1Uw7-A9f9R21vMXxHZFNpYNeKFtG8_yji4HS352LGlSQ/edit?pli=1#gid=0"",""1_ACUM!A4:S""),11,FALSE))"),"")</f>
        <v/>
      </c>
      <c r="AX155" s="42" t="str">
        <f ca="1">IFERROR(__xludf.DUMMYFUNCTION("IFERROR(VLOOKUP(F421,IMPORTRANGE(""https://docs.google.com/spreadsheets/d/1Kvs4KS76FHFqLFIZfrDMff4kP08nblUkihrxltoGBjg/edit#gid=934712705"",""ESENCIAL!A6:BG""),15,FALSE))"),"")</f>
        <v/>
      </c>
      <c r="AY155" s="110" t="str">
        <f ca="1">IFERROR(__xludf.DUMMYFUNCTION("IFERROR(VLOOKUP(E421&amp;F421,IMPORTRANGE(""https://docs.google.com/spreadsheets/d/1Uw7-A9f9R21vMXxHZFNpYNeKFtG8_yji4HS352LGlSQ/edit?pli=1#gid=0"",""1_ACUM!A4:S""),13,FALSE))"),"")</f>
        <v/>
      </c>
      <c r="AZ155" s="43" t="str">
        <f ca="1">IFERROR(__xludf.DUMMYFUNCTION("IFERROR(VLOOKUP(E421&amp;F421,IMPORTRANGE(""https://docs.google.com/spreadsheets/d/1Uw7-A9f9R21vMXxHZFNpYNeKFtG8_yji4HS352LGlSQ/edit?pli=1#gid=0"",""1_ACUM!A4:S""),13,FALSE))"),"")</f>
        <v/>
      </c>
      <c r="BA155" s="43" t="str">
        <f ca="1">IFERROR(__xludf.DUMMYFUNCTION("IFERROR(VLOOKUP(E421&amp;F421,IMPORTRANGE(""https://docs.google.com/spreadsheets/d/1Uw7-A9f9R21vMXxHZFNpYNeKFtG8_yji4HS352LGlSQ/edit?pli=1#gid=0"",""1_ACUM!A4:S""),14,FALSE))"),"")</f>
        <v/>
      </c>
      <c r="BB155" s="43" t="str">
        <f ca="1">IFERROR(__xludf.DUMMYFUNCTION("IFERROR(VLOOKUP(E421&amp;F421,IMPORTRANGE(""https://docs.google.com/spreadsheets/d/1Uw7-A9f9R21vMXxHZFNpYNeKFtG8_yji4HS352LGlSQ/edit?pli=1#gid=0"",""1_ACUM!A4:S""),15,FALSE))"),"")</f>
        <v/>
      </c>
      <c r="BC155" s="43" t="str">
        <f ca="1">IFERROR(__xludf.DUMMYFUNCTION("IFERROR(VLOOKUP(E421&amp;F421,IMPORTRANGE(""https://docs.google.com/spreadsheets/d/1Uw7-A9f9R21vMXxHZFNpYNeKFtG8_yji4HS352LGlSQ/edit?pli=1#gid=0"",""1_ACUM!A4:S""),16,FALSE))"),"")</f>
        <v/>
      </c>
      <c r="BD155" s="43" t="str">
        <f ca="1">IFERROR(__xludf.DUMMYFUNCTION("IFERROR(VLOOKUP(E421&amp;F421,IMPORTRANGE(""https://docs.google.com/spreadsheets/d/1Uw7-A9f9R21vMXxHZFNpYNeKFtG8_yji4HS352LGlSQ/edit?pli=1#gid=0"",""1_ACUM!A4:S""),17,FALSE))"),"")</f>
        <v/>
      </c>
      <c r="BE155" s="44" t="str">
        <f ca="1">IFERROR(__xludf.DUMMYFUNCTION("IFERROR(VLOOKUP(E421&amp;F421,IMPORTRANGE(""https://docs.google.com/spreadsheets/d/1Uw7-A9f9R21vMXxHZFNpYNeKFtG8_yji4HS352LGlSQ/edit?pli=1#gid=0"",""1_ACUM!A4:S""),18,FALSE))"),"")</f>
        <v/>
      </c>
      <c r="BF155" s="44" t="str">
        <f ca="1">IFERROR(__xludf.DUMMYFUNCTION("IFERROR(VLOOKUP(E421&amp;F421,IMPORTRANGE(""https://docs.google.com/spreadsheets/d/1Uw7-A9f9R21vMXxHZFNpYNeKFtG8_yji4HS352LGlSQ/edit?pli=1#gid=0"",""1_ACUM!A4:S""),19,FALSE))"),"")</f>
        <v/>
      </c>
      <c r="BG155" s="98" t="str">
        <f ca="1">IFERROR(__xludf.DUMMYFUNCTION("IFERROR(VLOOKUP(F421,IMPORTRANGE(""https://docs.google.com/spreadsheets/d/1Kvs4KS76FHFqLFIZfrDMff4kP08nblUkihrxltoGBjg/edit#gid=934712705"",""ESENCIAL!A6:BG""),5,FALSE))"),"")</f>
        <v/>
      </c>
      <c r="BH155" s="98" t="str">
        <f t="shared" si="17"/>
        <v/>
      </c>
      <c r="BI155" s="99" t="str">
        <f t="shared" si="18"/>
        <v/>
      </c>
      <c r="BJ155" s="100" t="str">
        <f ca="1">IFERROR(__xludf.DUMMYFUNCTION("IFERROR(VLOOKUP(F421,IMPORTRANGE(""https://docs.google.com/spreadsheets/d/1Kvs4KS76FHFqLFIZfrDMff4kP08nblUkihrxltoGBjg/edit#gid=934712705"",""ESENCIAL!A6:BG""),2,FALSE))"),"")</f>
        <v/>
      </c>
      <c r="BK155" s="19" t="str">
        <f t="shared" si="19"/>
        <v/>
      </c>
      <c r="BL155" s="100"/>
      <c r="BM155" s="100"/>
    </row>
    <row r="156" spans="2:65" ht="15">
      <c r="B156" s="39"/>
      <c r="C156" s="5"/>
      <c r="D156" s="123"/>
      <c r="E156" s="39"/>
      <c r="F156" s="39"/>
      <c r="G156" s="39"/>
      <c r="H156" s="5" t="str">
        <f ca="1">IFERROR(__xludf.DUMMYFUNCTION("IFERROR(VLOOKUP(F422,IMPORTRANGE(""https://docs.google.com/spreadsheets/d/1Kvs4KS76FHFqLFIZfrDMff4kP08nblUkihrxltoGBjg/edit#gid=934712705"",""ESENCIAL!A6:BG""),3,FALSE))"),"")</f>
        <v/>
      </c>
      <c r="I156" s="5" t="str">
        <f ca="1">IFERROR(__xludf.DUMMYFUNCTION("IFERROR(VLOOKUP(F422,IMPORTRANGE(""https://docs.google.com/spreadsheets/d/1Kvs4KS76FHFqLFIZfrDMff4kP08nblUkihrxltoGBjg/edit#gid=934712705"",""ESENCIAL!A6:BG""),8,FALSE))"),"")</f>
        <v/>
      </c>
      <c r="J156" s="39"/>
      <c r="M156" s="287"/>
      <c r="AV156" s="41" t="str">
        <f t="shared" si="16"/>
        <v/>
      </c>
      <c r="AW156" s="5" t="str">
        <f ca="1">IFERROR(__xludf.DUMMYFUNCTION("IFERROR(VLOOKUP(E422&amp;F422,IMPORTRANGE(""https://docs.google.com/spreadsheets/d/1Uw7-A9f9R21vMXxHZFNpYNeKFtG8_yji4HS352LGlSQ/edit?pli=1#gid=0"",""1_ACUM!A4:S""),11,FALSE))"),"")</f>
        <v/>
      </c>
      <c r="AX156" s="42" t="str">
        <f ca="1">IFERROR(__xludf.DUMMYFUNCTION("IFERROR(VLOOKUP(F422,IMPORTRANGE(""https://docs.google.com/spreadsheets/d/1Kvs4KS76FHFqLFIZfrDMff4kP08nblUkihrxltoGBjg/edit#gid=934712705"",""ESENCIAL!A6:BG""),15,FALSE))"),"")</f>
        <v/>
      </c>
      <c r="AY156" s="110" t="str">
        <f ca="1">IFERROR(__xludf.DUMMYFUNCTION("IFERROR(VLOOKUP(E422&amp;F422,IMPORTRANGE(""https://docs.google.com/spreadsheets/d/1Uw7-A9f9R21vMXxHZFNpYNeKFtG8_yji4HS352LGlSQ/edit?pli=1#gid=0"",""1_ACUM!A4:S""),13,FALSE))"),"")</f>
        <v/>
      </c>
      <c r="AZ156" s="43" t="str">
        <f ca="1">IFERROR(__xludf.DUMMYFUNCTION("IFERROR(VLOOKUP(E422&amp;F422,IMPORTRANGE(""https://docs.google.com/spreadsheets/d/1Uw7-A9f9R21vMXxHZFNpYNeKFtG8_yji4HS352LGlSQ/edit?pli=1#gid=0"",""1_ACUM!A4:S""),13,FALSE))"),"")</f>
        <v/>
      </c>
      <c r="BA156" s="43" t="str">
        <f ca="1">IFERROR(__xludf.DUMMYFUNCTION("IFERROR(VLOOKUP(E422&amp;F422,IMPORTRANGE(""https://docs.google.com/spreadsheets/d/1Uw7-A9f9R21vMXxHZFNpYNeKFtG8_yji4HS352LGlSQ/edit?pli=1#gid=0"",""1_ACUM!A4:S""),14,FALSE))"),"")</f>
        <v/>
      </c>
      <c r="BB156" s="43" t="str">
        <f ca="1">IFERROR(__xludf.DUMMYFUNCTION("IFERROR(VLOOKUP(E422&amp;F422,IMPORTRANGE(""https://docs.google.com/spreadsheets/d/1Uw7-A9f9R21vMXxHZFNpYNeKFtG8_yji4HS352LGlSQ/edit?pli=1#gid=0"",""1_ACUM!A4:S""),15,FALSE))"),"")</f>
        <v/>
      </c>
      <c r="BC156" s="43" t="str">
        <f ca="1">IFERROR(__xludf.DUMMYFUNCTION("IFERROR(VLOOKUP(E422&amp;F422,IMPORTRANGE(""https://docs.google.com/spreadsheets/d/1Uw7-A9f9R21vMXxHZFNpYNeKFtG8_yji4HS352LGlSQ/edit?pli=1#gid=0"",""1_ACUM!A4:S""),16,FALSE))"),"")</f>
        <v/>
      </c>
      <c r="BD156" s="43" t="str">
        <f ca="1">IFERROR(__xludf.DUMMYFUNCTION("IFERROR(VLOOKUP(E422&amp;F422,IMPORTRANGE(""https://docs.google.com/spreadsheets/d/1Uw7-A9f9R21vMXxHZFNpYNeKFtG8_yji4HS352LGlSQ/edit?pli=1#gid=0"",""1_ACUM!A4:S""),17,FALSE))"),"")</f>
        <v/>
      </c>
      <c r="BE156" s="44" t="str">
        <f ca="1">IFERROR(__xludf.DUMMYFUNCTION("IFERROR(VLOOKUP(E422&amp;F422,IMPORTRANGE(""https://docs.google.com/spreadsheets/d/1Uw7-A9f9R21vMXxHZFNpYNeKFtG8_yji4HS352LGlSQ/edit?pli=1#gid=0"",""1_ACUM!A4:S""),18,FALSE))"),"")</f>
        <v/>
      </c>
      <c r="BF156" s="44" t="str">
        <f ca="1">IFERROR(__xludf.DUMMYFUNCTION("IFERROR(VLOOKUP(E422&amp;F422,IMPORTRANGE(""https://docs.google.com/spreadsheets/d/1Uw7-A9f9R21vMXxHZFNpYNeKFtG8_yji4HS352LGlSQ/edit?pli=1#gid=0"",""1_ACUM!A4:S""),19,FALSE))"),"")</f>
        <v/>
      </c>
      <c r="BG156" s="98" t="str">
        <f ca="1">IFERROR(__xludf.DUMMYFUNCTION("IFERROR(VLOOKUP(F422,IMPORTRANGE(""https://docs.google.com/spreadsheets/d/1Kvs4KS76FHFqLFIZfrDMff4kP08nblUkihrxltoGBjg/edit#gid=934712705"",""ESENCIAL!A6:BG""),5,FALSE))"),"")</f>
        <v/>
      </c>
      <c r="BH156" s="98" t="str">
        <f t="shared" si="17"/>
        <v/>
      </c>
      <c r="BI156" s="99" t="str">
        <f t="shared" si="18"/>
        <v/>
      </c>
      <c r="BJ156" s="100" t="str">
        <f ca="1">IFERROR(__xludf.DUMMYFUNCTION("IFERROR(VLOOKUP(F422,IMPORTRANGE(""https://docs.google.com/spreadsheets/d/1Kvs4KS76FHFqLFIZfrDMff4kP08nblUkihrxltoGBjg/edit#gid=934712705"",""ESENCIAL!A6:BG""),2,FALSE))"),"")</f>
        <v/>
      </c>
      <c r="BK156" s="19" t="str">
        <f t="shared" si="19"/>
        <v/>
      </c>
      <c r="BL156" s="100"/>
      <c r="BM156" s="100"/>
    </row>
    <row r="157" spans="2:65" ht="15">
      <c r="B157" s="39"/>
      <c r="C157" s="5"/>
      <c r="D157" s="123"/>
      <c r="E157" s="39"/>
      <c r="F157" s="39"/>
      <c r="G157" s="39"/>
      <c r="H157" s="5" t="str">
        <f ca="1">IFERROR(__xludf.DUMMYFUNCTION("IFERROR(VLOOKUP(F423,IMPORTRANGE(""https://docs.google.com/spreadsheets/d/1Kvs4KS76FHFqLFIZfrDMff4kP08nblUkihrxltoGBjg/edit#gid=934712705"",""ESENCIAL!A6:BG""),3,FALSE))"),"")</f>
        <v/>
      </c>
      <c r="I157" s="5" t="str">
        <f ca="1">IFERROR(__xludf.DUMMYFUNCTION("IFERROR(VLOOKUP(F423,IMPORTRANGE(""https://docs.google.com/spreadsheets/d/1Kvs4KS76FHFqLFIZfrDMff4kP08nblUkihrxltoGBjg/edit#gid=934712705"",""ESENCIAL!A6:BG""),8,FALSE))"),"")</f>
        <v/>
      </c>
      <c r="J157" s="39"/>
      <c r="M157" s="287"/>
      <c r="AV157" s="41" t="str">
        <f t="shared" si="16"/>
        <v/>
      </c>
      <c r="AW157" s="5" t="str">
        <f ca="1">IFERROR(__xludf.DUMMYFUNCTION("IFERROR(VLOOKUP(E423&amp;F423,IMPORTRANGE(""https://docs.google.com/spreadsheets/d/1Uw7-A9f9R21vMXxHZFNpYNeKFtG8_yji4HS352LGlSQ/edit?pli=1#gid=0"",""1_ACUM!A4:S""),11,FALSE))"),"")</f>
        <v/>
      </c>
      <c r="AX157" s="42" t="str">
        <f ca="1">IFERROR(__xludf.DUMMYFUNCTION("IFERROR(VLOOKUP(F423,IMPORTRANGE(""https://docs.google.com/spreadsheets/d/1Kvs4KS76FHFqLFIZfrDMff4kP08nblUkihrxltoGBjg/edit#gid=934712705"",""ESENCIAL!A6:BG""),15,FALSE))"),"")</f>
        <v/>
      </c>
      <c r="AY157" s="110" t="str">
        <f ca="1">IFERROR(__xludf.DUMMYFUNCTION("IFERROR(VLOOKUP(E423&amp;F423,IMPORTRANGE(""https://docs.google.com/spreadsheets/d/1Uw7-A9f9R21vMXxHZFNpYNeKFtG8_yji4HS352LGlSQ/edit?pli=1#gid=0"",""1_ACUM!A4:S""),13,FALSE))"),"")</f>
        <v/>
      </c>
      <c r="AZ157" s="43" t="str">
        <f ca="1">IFERROR(__xludf.DUMMYFUNCTION("IFERROR(VLOOKUP(E423&amp;F423,IMPORTRANGE(""https://docs.google.com/spreadsheets/d/1Uw7-A9f9R21vMXxHZFNpYNeKFtG8_yji4HS352LGlSQ/edit?pli=1#gid=0"",""1_ACUM!A4:S""),13,FALSE))"),"")</f>
        <v/>
      </c>
      <c r="BA157" s="43" t="str">
        <f ca="1">IFERROR(__xludf.DUMMYFUNCTION("IFERROR(VLOOKUP(E423&amp;F423,IMPORTRANGE(""https://docs.google.com/spreadsheets/d/1Uw7-A9f9R21vMXxHZFNpYNeKFtG8_yji4HS352LGlSQ/edit?pli=1#gid=0"",""1_ACUM!A4:S""),14,FALSE))"),"")</f>
        <v/>
      </c>
      <c r="BB157" s="43" t="str">
        <f ca="1">IFERROR(__xludf.DUMMYFUNCTION("IFERROR(VLOOKUP(E423&amp;F423,IMPORTRANGE(""https://docs.google.com/spreadsheets/d/1Uw7-A9f9R21vMXxHZFNpYNeKFtG8_yji4HS352LGlSQ/edit?pli=1#gid=0"",""1_ACUM!A4:S""),15,FALSE))"),"")</f>
        <v/>
      </c>
      <c r="BC157" s="43" t="str">
        <f ca="1">IFERROR(__xludf.DUMMYFUNCTION("IFERROR(VLOOKUP(E423&amp;F423,IMPORTRANGE(""https://docs.google.com/spreadsheets/d/1Uw7-A9f9R21vMXxHZFNpYNeKFtG8_yji4HS352LGlSQ/edit?pli=1#gid=0"",""1_ACUM!A4:S""),16,FALSE))"),"")</f>
        <v/>
      </c>
      <c r="BD157" s="43" t="str">
        <f ca="1">IFERROR(__xludf.DUMMYFUNCTION("IFERROR(VLOOKUP(E423&amp;F423,IMPORTRANGE(""https://docs.google.com/spreadsheets/d/1Uw7-A9f9R21vMXxHZFNpYNeKFtG8_yji4HS352LGlSQ/edit?pli=1#gid=0"",""1_ACUM!A4:S""),17,FALSE))"),"")</f>
        <v/>
      </c>
      <c r="BE157" s="44" t="str">
        <f ca="1">IFERROR(__xludf.DUMMYFUNCTION("IFERROR(VLOOKUP(E423&amp;F423,IMPORTRANGE(""https://docs.google.com/spreadsheets/d/1Uw7-A9f9R21vMXxHZFNpYNeKFtG8_yji4HS352LGlSQ/edit?pli=1#gid=0"",""1_ACUM!A4:S""),18,FALSE))"),"")</f>
        <v/>
      </c>
      <c r="BF157" s="44" t="str">
        <f ca="1">IFERROR(__xludf.DUMMYFUNCTION("IFERROR(VLOOKUP(E423&amp;F423,IMPORTRANGE(""https://docs.google.com/spreadsheets/d/1Uw7-A9f9R21vMXxHZFNpYNeKFtG8_yji4HS352LGlSQ/edit?pli=1#gid=0"",""1_ACUM!A4:S""),19,FALSE))"),"")</f>
        <v/>
      </c>
      <c r="BG157" s="98" t="str">
        <f ca="1">IFERROR(__xludf.DUMMYFUNCTION("IFERROR(VLOOKUP(F423,IMPORTRANGE(""https://docs.google.com/spreadsheets/d/1Kvs4KS76FHFqLFIZfrDMff4kP08nblUkihrxltoGBjg/edit#gid=934712705"",""ESENCIAL!A6:BG""),5,FALSE))"),"")</f>
        <v/>
      </c>
      <c r="BH157" s="98" t="str">
        <f t="shared" si="17"/>
        <v/>
      </c>
      <c r="BI157" s="99" t="str">
        <f t="shared" si="18"/>
        <v/>
      </c>
      <c r="BJ157" s="100" t="str">
        <f ca="1">IFERROR(__xludf.DUMMYFUNCTION("IFERROR(VLOOKUP(F423,IMPORTRANGE(""https://docs.google.com/spreadsheets/d/1Kvs4KS76FHFqLFIZfrDMff4kP08nblUkihrxltoGBjg/edit#gid=934712705"",""ESENCIAL!A6:BG""),2,FALSE))"),"")</f>
        <v/>
      </c>
      <c r="BK157" s="19" t="str">
        <f t="shared" si="19"/>
        <v/>
      </c>
      <c r="BL157" s="100"/>
      <c r="BM157" s="100"/>
    </row>
    <row r="158" spans="2:65" ht="15">
      <c r="B158" s="39"/>
      <c r="C158" s="5"/>
      <c r="D158" s="123"/>
      <c r="E158" s="39"/>
      <c r="F158" s="39"/>
      <c r="G158" s="39"/>
      <c r="H158" s="5" t="str">
        <f ca="1">IFERROR(__xludf.DUMMYFUNCTION("IFERROR(VLOOKUP(F424,IMPORTRANGE(""https://docs.google.com/spreadsheets/d/1Kvs4KS76FHFqLFIZfrDMff4kP08nblUkihrxltoGBjg/edit#gid=934712705"",""ESENCIAL!A6:BG""),3,FALSE))"),"")</f>
        <v/>
      </c>
      <c r="I158" s="5" t="str">
        <f ca="1">IFERROR(__xludf.DUMMYFUNCTION("IFERROR(VLOOKUP(F424,IMPORTRANGE(""https://docs.google.com/spreadsheets/d/1Kvs4KS76FHFqLFIZfrDMff4kP08nblUkihrxltoGBjg/edit#gid=934712705"",""ESENCIAL!A6:BG""),8,FALSE))"),"")</f>
        <v/>
      </c>
      <c r="J158" s="39"/>
      <c r="M158" s="287"/>
      <c r="AV158" s="41" t="str">
        <f t="shared" si="16"/>
        <v/>
      </c>
      <c r="AW158" s="5" t="str">
        <f ca="1">IFERROR(__xludf.DUMMYFUNCTION("IFERROR(VLOOKUP(E424&amp;F424,IMPORTRANGE(""https://docs.google.com/spreadsheets/d/1Uw7-A9f9R21vMXxHZFNpYNeKFtG8_yji4HS352LGlSQ/edit?pli=1#gid=0"",""1_ACUM!A4:S""),11,FALSE))"),"")</f>
        <v/>
      </c>
      <c r="AX158" s="42" t="str">
        <f ca="1">IFERROR(__xludf.DUMMYFUNCTION("IFERROR(VLOOKUP(F424,IMPORTRANGE(""https://docs.google.com/spreadsheets/d/1Kvs4KS76FHFqLFIZfrDMff4kP08nblUkihrxltoGBjg/edit#gid=934712705"",""ESENCIAL!A6:BG""),15,FALSE))"),"")</f>
        <v/>
      </c>
      <c r="AY158" s="110" t="str">
        <f ca="1">IFERROR(__xludf.DUMMYFUNCTION("IFERROR(VLOOKUP(E424&amp;F424,IMPORTRANGE(""https://docs.google.com/spreadsheets/d/1Uw7-A9f9R21vMXxHZFNpYNeKFtG8_yji4HS352LGlSQ/edit?pli=1#gid=0"",""1_ACUM!A4:S""),13,FALSE))"),"")</f>
        <v/>
      </c>
      <c r="AZ158" s="43" t="str">
        <f ca="1">IFERROR(__xludf.DUMMYFUNCTION("IFERROR(VLOOKUP(E424&amp;F424,IMPORTRANGE(""https://docs.google.com/spreadsheets/d/1Uw7-A9f9R21vMXxHZFNpYNeKFtG8_yji4HS352LGlSQ/edit?pli=1#gid=0"",""1_ACUM!A4:S""),13,FALSE))"),"")</f>
        <v/>
      </c>
      <c r="BA158" s="43" t="str">
        <f ca="1">IFERROR(__xludf.DUMMYFUNCTION("IFERROR(VLOOKUP(E424&amp;F424,IMPORTRANGE(""https://docs.google.com/spreadsheets/d/1Uw7-A9f9R21vMXxHZFNpYNeKFtG8_yji4HS352LGlSQ/edit?pli=1#gid=0"",""1_ACUM!A4:S""),14,FALSE))"),"")</f>
        <v/>
      </c>
      <c r="BB158" s="43" t="str">
        <f ca="1">IFERROR(__xludf.DUMMYFUNCTION("IFERROR(VLOOKUP(E424&amp;F424,IMPORTRANGE(""https://docs.google.com/spreadsheets/d/1Uw7-A9f9R21vMXxHZFNpYNeKFtG8_yji4HS352LGlSQ/edit?pli=1#gid=0"",""1_ACUM!A4:S""),15,FALSE))"),"")</f>
        <v/>
      </c>
      <c r="BC158" s="43" t="str">
        <f ca="1">IFERROR(__xludf.DUMMYFUNCTION("IFERROR(VLOOKUP(E424&amp;F424,IMPORTRANGE(""https://docs.google.com/spreadsheets/d/1Uw7-A9f9R21vMXxHZFNpYNeKFtG8_yji4HS352LGlSQ/edit?pli=1#gid=0"",""1_ACUM!A4:S""),16,FALSE))"),"")</f>
        <v/>
      </c>
      <c r="BD158" s="43" t="str">
        <f ca="1">IFERROR(__xludf.DUMMYFUNCTION("IFERROR(VLOOKUP(E424&amp;F424,IMPORTRANGE(""https://docs.google.com/spreadsheets/d/1Uw7-A9f9R21vMXxHZFNpYNeKFtG8_yji4HS352LGlSQ/edit?pli=1#gid=0"",""1_ACUM!A4:S""),17,FALSE))"),"")</f>
        <v/>
      </c>
      <c r="BE158" s="44" t="str">
        <f ca="1">IFERROR(__xludf.DUMMYFUNCTION("IFERROR(VLOOKUP(E424&amp;F424,IMPORTRANGE(""https://docs.google.com/spreadsheets/d/1Uw7-A9f9R21vMXxHZFNpYNeKFtG8_yji4HS352LGlSQ/edit?pli=1#gid=0"",""1_ACUM!A4:S""),18,FALSE))"),"")</f>
        <v/>
      </c>
      <c r="BF158" s="44" t="str">
        <f ca="1">IFERROR(__xludf.DUMMYFUNCTION("IFERROR(VLOOKUP(E424&amp;F424,IMPORTRANGE(""https://docs.google.com/spreadsheets/d/1Uw7-A9f9R21vMXxHZFNpYNeKFtG8_yji4HS352LGlSQ/edit?pli=1#gid=0"",""1_ACUM!A4:S""),19,FALSE))"),"")</f>
        <v/>
      </c>
      <c r="BG158" s="98" t="str">
        <f ca="1">IFERROR(__xludf.DUMMYFUNCTION("IFERROR(VLOOKUP(F424,IMPORTRANGE(""https://docs.google.com/spreadsheets/d/1Kvs4KS76FHFqLFIZfrDMff4kP08nblUkihrxltoGBjg/edit#gid=934712705"",""ESENCIAL!A6:BG""),5,FALSE))"),"")</f>
        <v/>
      </c>
      <c r="BH158" s="98" t="str">
        <f t="shared" si="17"/>
        <v/>
      </c>
      <c r="BI158" s="99" t="str">
        <f t="shared" si="18"/>
        <v/>
      </c>
      <c r="BJ158" s="100" t="str">
        <f ca="1">IFERROR(__xludf.DUMMYFUNCTION("IFERROR(VLOOKUP(F424,IMPORTRANGE(""https://docs.google.com/spreadsheets/d/1Kvs4KS76FHFqLFIZfrDMff4kP08nblUkihrxltoGBjg/edit#gid=934712705"",""ESENCIAL!A6:BG""),2,FALSE))"),"")</f>
        <v/>
      </c>
      <c r="BK158" s="19" t="str">
        <f t="shared" si="19"/>
        <v/>
      </c>
      <c r="BL158" s="100"/>
      <c r="BM158" s="100"/>
    </row>
    <row r="159" spans="2:65" ht="15">
      <c r="B159" s="39"/>
      <c r="C159" s="5"/>
      <c r="D159" s="123"/>
      <c r="E159" s="39"/>
      <c r="F159" s="39"/>
      <c r="G159" s="39"/>
      <c r="H159" s="5" t="str">
        <f ca="1">IFERROR(__xludf.DUMMYFUNCTION("IFERROR(VLOOKUP(F425,IMPORTRANGE(""https://docs.google.com/spreadsheets/d/1Kvs4KS76FHFqLFIZfrDMff4kP08nblUkihrxltoGBjg/edit#gid=934712705"",""ESENCIAL!A6:BG""),3,FALSE))"),"")</f>
        <v/>
      </c>
      <c r="I159" s="5" t="str">
        <f ca="1">IFERROR(__xludf.DUMMYFUNCTION("IFERROR(VLOOKUP(F425,IMPORTRANGE(""https://docs.google.com/spreadsheets/d/1Kvs4KS76FHFqLFIZfrDMff4kP08nblUkihrxltoGBjg/edit#gid=934712705"",""ESENCIAL!A6:BG""),8,FALSE))"),"")</f>
        <v/>
      </c>
      <c r="J159" s="39"/>
      <c r="M159" s="287"/>
      <c r="AV159" s="41" t="str">
        <f t="shared" si="16"/>
        <v/>
      </c>
      <c r="AW159" s="5" t="str">
        <f ca="1">IFERROR(__xludf.DUMMYFUNCTION("IFERROR(VLOOKUP(E425&amp;F425,IMPORTRANGE(""https://docs.google.com/spreadsheets/d/1Uw7-A9f9R21vMXxHZFNpYNeKFtG8_yji4HS352LGlSQ/edit?pli=1#gid=0"",""1_ACUM!A4:S""),11,FALSE))"),"")</f>
        <v/>
      </c>
      <c r="AX159" s="42" t="str">
        <f ca="1">IFERROR(__xludf.DUMMYFUNCTION("IFERROR(VLOOKUP(F425,IMPORTRANGE(""https://docs.google.com/spreadsheets/d/1Kvs4KS76FHFqLFIZfrDMff4kP08nblUkihrxltoGBjg/edit#gid=934712705"",""ESENCIAL!A6:BG""),15,FALSE))"),"")</f>
        <v/>
      </c>
      <c r="AY159" s="110" t="str">
        <f ca="1">IFERROR(__xludf.DUMMYFUNCTION("IFERROR(VLOOKUP(E425&amp;F425,IMPORTRANGE(""https://docs.google.com/spreadsheets/d/1Uw7-A9f9R21vMXxHZFNpYNeKFtG8_yji4HS352LGlSQ/edit?pli=1#gid=0"",""1_ACUM!A4:S""),13,FALSE))"),"")</f>
        <v/>
      </c>
      <c r="AZ159" s="43" t="str">
        <f ca="1">IFERROR(__xludf.DUMMYFUNCTION("IFERROR(VLOOKUP(E425&amp;F425,IMPORTRANGE(""https://docs.google.com/spreadsheets/d/1Uw7-A9f9R21vMXxHZFNpYNeKFtG8_yji4HS352LGlSQ/edit?pli=1#gid=0"",""1_ACUM!A4:S""),13,FALSE))"),"")</f>
        <v/>
      </c>
      <c r="BA159" s="43" t="str">
        <f ca="1">IFERROR(__xludf.DUMMYFUNCTION("IFERROR(VLOOKUP(E425&amp;F425,IMPORTRANGE(""https://docs.google.com/spreadsheets/d/1Uw7-A9f9R21vMXxHZFNpYNeKFtG8_yji4HS352LGlSQ/edit?pli=1#gid=0"",""1_ACUM!A4:S""),14,FALSE))"),"")</f>
        <v/>
      </c>
      <c r="BB159" s="43" t="str">
        <f ca="1">IFERROR(__xludf.DUMMYFUNCTION("IFERROR(VLOOKUP(E425&amp;F425,IMPORTRANGE(""https://docs.google.com/spreadsheets/d/1Uw7-A9f9R21vMXxHZFNpYNeKFtG8_yji4HS352LGlSQ/edit?pli=1#gid=0"",""1_ACUM!A4:S""),15,FALSE))"),"")</f>
        <v/>
      </c>
      <c r="BC159" s="43" t="str">
        <f ca="1">IFERROR(__xludf.DUMMYFUNCTION("IFERROR(VLOOKUP(E425&amp;F425,IMPORTRANGE(""https://docs.google.com/spreadsheets/d/1Uw7-A9f9R21vMXxHZFNpYNeKFtG8_yji4HS352LGlSQ/edit?pli=1#gid=0"",""1_ACUM!A4:S""),16,FALSE))"),"")</f>
        <v/>
      </c>
      <c r="BD159" s="43" t="str">
        <f ca="1">IFERROR(__xludf.DUMMYFUNCTION("IFERROR(VLOOKUP(E425&amp;F425,IMPORTRANGE(""https://docs.google.com/spreadsheets/d/1Uw7-A9f9R21vMXxHZFNpYNeKFtG8_yji4HS352LGlSQ/edit?pli=1#gid=0"",""1_ACUM!A4:S""),17,FALSE))"),"")</f>
        <v/>
      </c>
      <c r="BE159" s="44" t="str">
        <f ca="1">IFERROR(__xludf.DUMMYFUNCTION("IFERROR(VLOOKUP(E425&amp;F425,IMPORTRANGE(""https://docs.google.com/spreadsheets/d/1Uw7-A9f9R21vMXxHZFNpYNeKFtG8_yji4HS352LGlSQ/edit?pli=1#gid=0"",""1_ACUM!A4:S""),18,FALSE))"),"")</f>
        <v/>
      </c>
      <c r="BF159" s="44" t="str">
        <f ca="1">IFERROR(__xludf.DUMMYFUNCTION("IFERROR(VLOOKUP(E425&amp;F425,IMPORTRANGE(""https://docs.google.com/spreadsheets/d/1Uw7-A9f9R21vMXxHZFNpYNeKFtG8_yji4HS352LGlSQ/edit?pli=1#gid=0"",""1_ACUM!A4:S""),19,FALSE))"),"")</f>
        <v/>
      </c>
      <c r="BG159" s="98" t="str">
        <f ca="1">IFERROR(__xludf.DUMMYFUNCTION("IFERROR(VLOOKUP(F425,IMPORTRANGE(""https://docs.google.com/spreadsheets/d/1Kvs4KS76FHFqLFIZfrDMff4kP08nblUkihrxltoGBjg/edit#gid=934712705"",""ESENCIAL!A6:BG""),5,FALSE))"),"")</f>
        <v/>
      </c>
      <c r="BH159" s="98" t="str">
        <f t="shared" si="17"/>
        <v/>
      </c>
      <c r="BI159" s="99" t="str">
        <f t="shared" si="18"/>
        <v/>
      </c>
      <c r="BJ159" s="100" t="str">
        <f ca="1">IFERROR(__xludf.DUMMYFUNCTION("IFERROR(VLOOKUP(F425,IMPORTRANGE(""https://docs.google.com/spreadsheets/d/1Kvs4KS76FHFqLFIZfrDMff4kP08nblUkihrxltoGBjg/edit#gid=934712705"",""ESENCIAL!A6:BG""),2,FALSE))"),"")</f>
        <v/>
      </c>
      <c r="BK159" s="19" t="str">
        <f t="shared" si="19"/>
        <v/>
      </c>
      <c r="BL159" s="100"/>
      <c r="BM159" s="100"/>
    </row>
    <row r="160" spans="2:65" ht="15">
      <c r="B160" s="39"/>
      <c r="C160" s="5"/>
      <c r="D160" s="123"/>
      <c r="E160" s="39"/>
      <c r="F160" s="39"/>
      <c r="G160" s="39"/>
      <c r="H160" s="5" t="str">
        <f ca="1">IFERROR(__xludf.DUMMYFUNCTION("IFERROR(VLOOKUP(F426,IMPORTRANGE(""https://docs.google.com/spreadsheets/d/1Kvs4KS76FHFqLFIZfrDMff4kP08nblUkihrxltoGBjg/edit#gid=934712705"",""ESENCIAL!A6:BG""),3,FALSE))"),"")</f>
        <v/>
      </c>
      <c r="I160" s="5" t="str">
        <f ca="1">IFERROR(__xludf.DUMMYFUNCTION("IFERROR(VLOOKUP(F426,IMPORTRANGE(""https://docs.google.com/spreadsheets/d/1Kvs4KS76FHFqLFIZfrDMff4kP08nblUkihrxltoGBjg/edit#gid=934712705"",""ESENCIAL!A6:BG""),8,FALSE))"),"")</f>
        <v/>
      </c>
      <c r="J160" s="39"/>
      <c r="M160" s="287"/>
      <c r="AV160" s="41" t="str">
        <f t="shared" si="16"/>
        <v/>
      </c>
      <c r="AW160" s="5" t="str">
        <f ca="1">IFERROR(__xludf.DUMMYFUNCTION("IFERROR(VLOOKUP(E426&amp;F426,IMPORTRANGE(""https://docs.google.com/spreadsheets/d/1Uw7-A9f9R21vMXxHZFNpYNeKFtG8_yji4HS352LGlSQ/edit?pli=1#gid=0"",""1_ACUM!A4:S""),11,FALSE))"),"")</f>
        <v/>
      </c>
      <c r="AX160" s="42" t="str">
        <f ca="1">IFERROR(__xludf.DUMMYFUNCTION("IFERROR(VLOOKUP(F426,IMPORTRANGE(""https://docs.google.com/spreadsheets/d/1Kvs4KS76FHFqLFIZfrDMff4kP08nblUkihrxltoGBjg/edit#gid=934712705"",""ESENCIAL!A6:BG""),15,FALSE))"),"")</f>
        <v/>
      </c>
      <c r="AY160" s="110" t="str">
        <f ca="1">IFERROR(__xludf.DUMMYFUNCTION("IFERROR(VLOOKUP(E426&amp;F426,IMPORTRANGE(""https://docs.google.com/spreadsheets/d/1Uw7-A9f9R21vMXxHZFNpYNeKFtG8_yji4HS352LGlSQ/edit?pli=1#gid=0"",""1_ACUM!A4:S""),13,FALSE))"),"")</f>
        <v/>
      </c>
      <c r="AZ160" s="43" t="str">
        <f ca="1">IFERROR(__xludf.DUMMYFUNCTION("IFERROR(VLOOKUP(E426&amp;F426,IMPORTRANGE(""https://docs.google.com/spreadsheets/d/1Uw7-A9f9R21vMXxHZFNpYNeKFtG8_yji4HS352LGlSQ/edit?pli=1#gid=0"",""1_ACUM!A4:S""),13,FALSE))"),"")</f>
        <v/>
      </c>
      <c r="BA160" s="43" t="str">
        <f ca="1">IFERROR(__xludf.DUMMYFUNCTION("IFERROR(VLOOKUP(E426&amp;F426,IMPORTRANGE(""https://docs.google.com/spreadsheets/d/1Uw7-A9f9R21vMXxHZFNpYNeKFtG8_yji4HS352LGlSQ/edit?pli=1#gid=0"",""1_ACUM!A4:S""),14,FALSE))"),"")</f>
        <v/>
      </c>
      <c r="BB160" s="43" t="str">
        <f ca="1">IFERROR(__xludf.DUMMYFUNCTION("IFERROR(VLOOKUP(E426&amp;F426,IMPORTRANGE(""https://docs.google.com/spreadsheets/d/1Uw7-A9f9R21vMXxHZFNpYNeKFtG8_yji4HS352LGlSQ/edit?pli=1#gid=0"",""1_ACUM!A4:S""),15,FALSE))"),"")</f>
        <v/>
      </c>
      <c r="BC160" s="43" t="str">
        <f ca="1">IFERROR(__xludf.DUMMYFUNCTION("IFERROR(VLOOKUP(E426&amp;F426,IMPORTRANGE(""https://docs.google.com/spreadsheets/d/1Uw7-A9f9R21vMXxHZFNpYNeKFtG8_yji4HS352LGlSQ/edit?pli=1#gid=0"",""1_ACUM!A4:S""),16,FALSE))"),"")</f>
        <v/>
      </c>
      <c r="BD160" s="43" t="str">
        <f ca="1">IFERROR(__xludf.DUMMYFUNCTION("IFERROR(VLOOKUP(E426&amp;F426,IMPORTRANGE(""https://docs.google.com/spreadsheets/d/1Uw7-A9f9R21vMXxHZFNpYNeKFtG8_yji4HS352LGlSQ/edit?pli=1#gid=0"",""1_ACUM!A4:S""),17,FALSE))"),"")</f>
        <v/>
      </c>
      <c r="BE160" s="44" t="str">
        <f ca="1">IFERROR(__xludf.DUMMYFUNCTION("IFERROR(VLOOKUP(E426&amp;F426,IMPORTRANGE(""https://docs.google.com/spreadsheets/d/1Uw7-A9f9R21vMXxHZFNpYNeKFtG8_yji4HS352LGlSQ/edit?pli=1#gid=0"",""1_ACUM!A4:S""),18,FALSE))"),"")</f>
        <v/>
      </c>
      <c r="BF160" s="44" t="str">
        <f ca="1">IFERROR(__xludf.DUMMYFUNCTION("IFERROR(VLOOKUP(E426&amp;F426,IMPORTRANGE(""https://docs.google.com/spreadsheets/d/1Uw7-A9f9R21vMXxHZFNpYNeKFtG8_yji4HS352LGlSQ/edit?pli=1#gid=0"",""1_ACUM!A4:S""),19,FALSE))"),"")</f>
        <v/>
      </c>
      <c r="BG160" s="98" t="str">
        <f ca="1">IFERROR(__xludf.DUMMYFUNCTION("IFERROR(VLOOKUP(F426,IMPORTRANGE(""https://docs.google.com/spreadsheets/d/1Kvs4KS76FHFqLFIZfrDMff4kP08nblUkihrxltoGBjg/edit#gid=934712705"",""ESENCIAL!A6:BG""),5,FALSE))"),"")</f>
        <v/>
      </c>
      <c r="BH160" s="98" t="str">
        <f t="shared" si="17"/>
        <v/>
      </c>
      <c r="BI160" s="99" t="str">
        <f t="shared" si="18"/>
        <v/>
      </c>
      <c r="BJ160" s="100" t="str">
        <f ca="1">IFERROR(__xludf.DUMMYFUNCTION("IFERROR(VLOOKUP(F426,IMPORTRANGE(""https://docs.google.com/spreadsheets/d/1Kvs4KS76FHFqLFIZfrDMff4kP08nblUkihrxltoGBjg/edit#gid=934712705"",""ESENCIAL!A6:BG""),2,FALSE))"),"")</f>
        <v/>
      </c>
      <c r="BK160" s="19" t="str">
        <f t="shared" si="19"/>
        <v/>
      </c>
      <c r="BL160" s="100"/>
      <c r="BM160" s="100"/>
    </row>
    <row r="161" spans="2:65" ht="15">
      <c r="B161" s="39"/>
      <c r="C161" s="5"/>
      <c r="D161" s="123"/>
      <c r="E161" s="39"/>
      <c r="F161" s="39"/>
      <c r="G161" s="39"/>
      <c r="H161" s="5" t="str">
        <f ca="1">IFERROR(__xludf.DUMMYFUNCTION("IFERROR(VLOOKUP(F427,IMPORTRANGE(""https://docs.google.com/spreadsheets/d/1Kvs4KS76FHFqLFIZfrDMff4kP08nblUkihrxltoGBjg/edit#gid=934712705"",""ESENCIAL!A6:BG""),3,FALSE))"),"")</f>
        <v/>
      </c>
      <c r="I161" s="5" t="str">
        <f ca="1">IFERROR(__xludf.DUMMYFUNCTION("IFERROR(VLOOKUP(F427,IMPORTRANGE(""https://docs.google.com/spreadsheets/d/1Kvs4KS76FHFqLFIZfrDMff4kP08nblUkihrxltoGBjg/edit#gid=934712705"",""ESENCIAL!A6:BG""),8,FALSE))"),"")</f>
        <v/>
      </c>
      <c r="J161" s="39"/>
      <c r="M161" s="287"/>
      <c r="AV161" s="41" t="str">
        <f t="shared" si="16"/>
        <v/>
      </c>
      <c r="AW161" s="5" t="str">
        <f ca="1">IFERROR(__xludf.DUMMYFUNCTION("IFERROR(VLOOKUP(E427&amp;F427,IMPORTRANGE(""https://docs.google.com/spreadsheets/d/1Uw7-A9f9R21vMXxHZFNpYNeKFtG8_yji4HS352LGlSQ/edit?pli=1#gid=0"",""1_ACUM!A4:S""),11,FALSE))"),"")</f>
        <v/>
      </c>
      <c r="AX161" s="42" t="str">
        <f ca="1">IFERROR(__xludf.DUMMYFUNCTION("IFERROR(VLOOKUP(F427,IMPORTRANGE(""https://docs.google.com/spreadsheets/d/1Kvs4KS76FHFqLFIZfrDMff4kP08nblUkihrxltoGBjg/edit#gid=934712705"",""ESENCIAL!A6:BG""),15,FALSE))"),"")</f>
        <v/>
      </c>
      <c r="AY161" s="110" t="str">
        <f ca="1">IFERROR(__xludf.DUMMYFUNCTION("IFERROR(VLOOKUP(E427&amp;F427,IMPORTRANGE(""https://docs.google.com/spreadsheets/d/1Uw7-A9f9R21vMXxHZFNpYNeKFtG8_yji4HS352LGlSQ/edit?pli=1#gid=0"",""1_ACUM!A4:S""),13,FALSE))"),"")</f>
        <v/>
      </c>
      <c r="AZ161" s="43" t="str">
        <f ca="1">IFERROR(__xludf.DUMMYFUNCTION("IFERROR(VLOOKUP(E427&amp;F427,IMPORTRANGE(""https://docs.google.com/spreadsheets/d/1Uw7-A9f9R21vMXxHZFNpYNeKFtG8_yji4HS352LGlSQ/edit?pli=1#gid=0"",""1_ACUM!A4:S""),13,FALSE))"),"")</f>
        <v/>
      </c>
      <c r="BA161" s="43" t="str">
        <f ca="1">IFERROR(__xludf.DUMMYFUNCTION("IFERROR(VLOOKUP(E427&amp;F427,IMPORTRANGE(""https://docs.google.com/spreadsheets/d/1Uw7-A9f9R21vMXxHZFNpYNeKFtG8_yji4HS352LGlSQ/edit?pli=1#gid=0"",""1_ACUM!A4:S""),14,FALSE))"),"")</f>
        <v/>
      </c>
      <c r="BB161" s="43" t="str">
        <f ca="1">IFERROR(__xludf.DUMMYFUNCTION("IFERROR(VLOOKUP(E427&amp;F427,IMPORTRANGE(""https://docs.google.com/spreadsheets/d/1Uw7-A9f9R21vMXxHZFNpYNeKFtG8_yji4HS352LGlSQ/edit?pli=1#gid=0"",""1_ACUM!A4:S""),15,FALSE))"),"")</f>
        <v/>
      </c>
      <c r="BC161" s="43" t="str">
        <f ca="1">IFERROR(__xludf.DUMMYFUNCTION("IFERROR(VLOOKUP(E427&amp;F427,IMPORTRANGE(""https://docs.google.com/spreadsheets/d/1Uw7-A9f9R21vMXxHZFNpYNeKFtG8_yji4HS352LGlSQ/edit?pli=1#gid=0"",""1_ACUM!A4:S""),16,FALSE))"),"")</f>
        <v/>
      </c>
      <c r="BD161" s="43" t="str">
        <f ca="1">IFERROR(__xludf.DUMMYFUNCTION("IFERROR(VLOOKUP(E427&amp;F427,IMPORTRANGE(""https://docs.google.com/spreadsheets/d/1Uw7-A9f9R21vMXxHZFNpYNeKFtG8_yji4HS352LGlSQ/edit?pli=1#gid=0"",""1_ACUM!A4:S""),17,FALSE))"),"")</f>
        <v/>
      </c>
      <c r="BE161" s="44" t="str">
        <f ca="1">IFERROR(__xludf.DUMMYFUNCTION("IFERROR(VLOOKUP(E427&amp;F427,IMPORTRANGE(""https://docs.google.com/spreadsheets/d/1Uw7-A9f9R21vMXxHZFNpYNeKFtG8_yji4HS352LGlSQ/edit?pli=1#gid=0"",""1_ACUM!A4:S""),18,FALSE))"),"")</f>
        <v/>
      </c>
      <c r="BF161" s="44" t="str">
        <f ca="1">IFERROR(__xludf.DUMMYFUNCTION("IFERROR(VLOOKUP(E427&amp;F427,IMPORTRANGE(""https://docs.google.com/spreadsheets/d/1Uw7-A9f9R21vMXxHZFNpYNeKFtG8_yji4HS352LGlSQ/edit?pli=1#gid=0"",""1_ACUM!A4:S""),19,FALSE))"),"")</f>
        <v/>
      </c>
      <c r="BG161" s="98" t="str">
        <f ca="1">IFERROR(__xludf.DUMMYFUNCTION("IFERROR(VLOOKUP(F427,IMPORTRANGE(""https://docs.google.com/spreadsheets/d/1Kvs4KS76FHFqLFIZfrDMff4kP08nblUkihrxltoGBjg/edit#gid=934712705"",""ESENCIAL!A6:BG""),5,FALSE))"),"")</f>
        <v/>
      </c>
      <c r="BH161" s="98" t="str">
        <f t="shared" si="17"/>
        <v/>
      </c>
      <c r="BI161" s="99" t="str">
        <f t="shared" si="18"/>
        <v/>
      </c>
      <c r="BJ161" s="100" t="str">
        <f ca="1">IFERROR(__xludf.DUMMYFUNCTION("IFERROR(VLOOKUP(F427,IMPORTRANGE(""https://docs.google.com/spreadsheets/d/1Kvs4KS76FHFqLFIZfrDMff4kP08nblUkihrxltoGBjg/edit#gid=934712705"",""ESENCIAL!A6:BG""),2,FALSE))"),"")</f>
        <v/>
      </c>
      <c r="BK161" s="19" t="str">
        <f t="shared" si="19"/>
        <v/>
      </c>
      <c r="BL161" s="100"/>
      <c r="BM161" s="100"/>
    </row>
    <row r="162" spans="2:65" ht="15">
      <c r="B162" s="39"/>
      <c r="C162" s="5"/>
      <c r="D162" s="123"/>
      <c r="E162" s="39"/>
      <c r="F162" s="39"/>
      <c r="G162" s="39"/>
      <c r="H162" s="5" t="str">
        <f ca="1">IFERROR(__xludf.DUMMYFUNCTION("IFERROR(VLOOKUP(F428,IMPORTRANGE(""https://docs.google.com/spreadsheets/d/1Kvs4KS76FHFqLFIZfrDMff4kP08nblUkihrxltoGBjg/edit#gid=934712705"",""ESENCIAL!A6:BG""),3,FALSE))"),"")</f>
        <v/>
      </c>
      <c r="I162" s="5" t="str">
        <f ca="1">IFERROR(__xludf.DUMMYFUNCTION("IFERROR(VLOOKUP(F428,IMPORTRANGE(""https://docs.google.com/spreadsheets/d/1Kvs4KS76FHFqLFIZfrDMff4kP08nblUkihrxltoGBjg/edit#gid=934712705"",""ESENCIAL!A6:BG""),8,FALSE))"),"")</f>
        <v/>
      </c>
      <c r="J162" s="39"/>
      <c r="M162" s="287"/>
      <c r="AV162" s="41" t="str">
        <f t="shared" si="16"/>
        <v/>
      </c>
      <c r="AW162" s="5" t="str">
        <f ca="1">IFERROR(__xludf.DUMMYFUNCTION("IFERROR(VLOOKUP(E428&amp;F428,IMPORTRANGE(""https://docs.google.com/spreadsheets/d/1Uw7-A9f9R21vMXxHZFNpYNeKFtG8_yji4HS352LGlSQ/edit?pli=1#gid=0"",""1_ACUM!A4:S""),11,FALSE))"),"")</f>
        <v/>
      </c>
      <c r="AX162" s="42" t="str">
        <f ca="1">IFERROR(__xludf.DUMMYFUNCTION("IFERROR(VLOOKUP(F428,IMPORTRANGE(""https://docs.google.com/spreadsheets/d/1Kvs4KS76FHFqLFIZfrDMff4kP08nblUkihrxltoGBjg/edit#gid=934712705"",""ESENCIAL!A6:BG""),15,FALSE))"),"")</f>
        <v/>
      </c>
      <c r="AY162" s="110" t="str">
        <f ca="1">IFERROR(__xludf.DUMMYFUNCTION("IFERROR(VLOOKUP(E428&amp;F428,IMPORTRANGE(""https://docs.google.com/spreadsheets/d/1Uw7-A9f9R21vMXxHZFNpYNeKFtG8_yji4HS352LGlSQ/edit?pli=1#gid=0"",""1_ACUM!A4:S""),13,FALSE))"),"")</f>
        <v/>
      </c>
      <c r="AZ162" s="43" t="str">
        <f ca="1">IFERROR(__xludf.DUMMYFUNCTION("IFERROR(VLOOKUP(E428&amp;F428,IMPORTRANGE(""https://docs.google.com/spreadsheets/d/1Uw7-A9f9R21vMXxHZFNpYNeKFtG8_yji4HS352LGlSQ/edit?pli=1#gid=0"",""1_ACUM!A4:S""),13,FALSE))"),"")</f>
        <v/>
      </c>
      <c r="BA162" s="43" t="str">
        <f ca="1">IFERROR(__xludf.DUMMYFUNCTION("IFERROR(VLOOKUP(E428&amp;F428,IMPORTRANGE(""https://docs.google.com/spreadsheets/d/1Uw7-A9f9R21vMXxHZFNpYNeKFtG8_yji4HS352LGlSQ/edit?pli=1#gid=0"",""1_ACUM!A4:S""),14,FALSE))"),"")</f>
        <v/>
      </c>
      <c r="BB162" s="43" t="str">
        <f ca="1">IFERROR(__xludf.DUMMYFUNCTION("IFERROR(VLOOKUP(E428&amp;F428,IMPORTRANGE(""https://docs.google.com/spreadsheets/d/1Uw7-A9f9R21vMXxHZFNpYNeKFtG8_yji4HS352LGlSQ/edit?pli=1#gid=0"",""1_ACUM!A4:S""),15,FALSE))"),"")</f>
        <v/>
      </c>
      <c r="BC162" s="43" t="str">
        <f ca="1">IFERROR(__xludf.DUMMYFUNCTION("IFERROR(VLOOKUP(E428&amp;F428,IMPORTRANGE(""https://docs.google.com/spreadsheets/d/1Uw7-A9f9R21vMXxHZFNpYNeKFtG8_yji4HS352LGlSQ/edit?pli=1#gid=0"",""1_ACUM!A4:S""),16,FALSE))"),"")</f>
        <v/>
      </c>
      <c r="BD162" s="43" t="str">
        <f ca="1">IFERROR(__xludf.DUMMYFUNCTION("IFERROR(VLOOKUP(E428&amp;F428,IMPORTRANGE(""https://docs.google.com/spreadsheets/d/1Uw7-A9f9R21vMXxHZFNpYNeKFtG8_yji4HS352LGlSQ/edit?pli=1#gid=0"",""1_ACUM!A4:S""),17,FALSE))"),"")</f>
        <v/>
      </c>
      <c r="BE162" s="44" t="str">
        <f ca="1">IFERROR(__xludf.DUMMYFUNCTION("IFERROR(VLOOKUP(E428&amp;F428,IMPORTRANGE(""https://docs.google.com/spreadsheets/d/1Uw7-A9f9R21vMXxHZFNpYNeKFtG8_yji4HS352LGlSQ/edit?pli=1#gid=0"",""1_ACUM!A4:S""),18,FALSE))"),"")</f>
        <v/>
      </c>
      <c r="BF162" s="44" t="str">
        <f ca="1">IFERROR(__xludf.DUMMYFUNCTION("IFERROR(VLOOKUP(E428&amp;F428,IMPORTRANGE(""https://docs.google.com/spreadsheets/d/1Uw7-A9f9R21vMXxHZFNpYNeKFtG8_yji4HS352LGlSQ/edit?pli=1#gid=0"",""1_ACUM!A4:S""),19,FALSE))"),"")</f>
        <v/>
      </c>
      <c r="BG162" s="98" t="str">
        <f ca="1">IFERROR(__xludf.DUMMYFUNCTION("IFERROR(VLOOKUP(F428,IMPORTRANGE(""https://docs.google.com/spreadsheets/d/1Kvs4KS76FHFqLFIZfrDMff4kP08nblUkihrxltoGBjg/edit#gid=934712705"",""ESENCIAL!A6:BG""),5,FALSE))"),"")</f>
        <v/>
      </c>
      <c r="BH162" s="98" t="str">
        <f t="shared" si="17"/>
        <v/>
      </c>
      <c r="BI162" s="99" t="str">
        <f t="shared" si="18"/>
        <v/>
      </c>
      <c r="BJ162" s="100" t="str">
        <f ca="1">IFERROR(__xludf.DUMMYFUNCTION("IFERROR(VLOOKUP(F428,IMPORTRANGE(""https://docs.google.com/spreadsheets/d/1Kvs4KS76FHFqLFIZfrDMff4kP08nblUkihrxltoGBjg/edit#gid=934712705"",""ESENCIAL!A6:BG""),2,FALSE))"),"")</f>
        <v/>
      </c>
      <c r="BK162" s="19" t="str">
        <f t="shared" si="19"/>
        <v/>
      </c>
      <c r="BL162" s="100"/>
      <c r="BM162" s="100"/>
    </row>
    <row r="163" spans="2:65" ht="15">
      <c r="B163" s="39"/>
      <c r="C163" s="5"/>
      <c r="D163" s="123"/>
      <c r="E163" s="39"/>
      <c r="F163" s="39"/>
      <c r="G163" s="39"/>
      <c r="H163" s="5" t="str">
        <f ca="1">IFERROR(__xludf.DUMMYFUNCTION("IFERROR(VLOOKUP(F429,IMPORTRANGE(""https://docs.google.com/spreadsheets/d/1Kvs4KS76FHFqLFIZfrDMff4kP08nblUkihrxltoGBjg/edit#gid=934712705"",""ESENCIAL!A6:BG""),3,FALSE))"),"")</f>
        <v/>
      </c>
      <c r="I163" s="5" t="str">
        <f ca="1">IFERROR(__xludf.DUMMYFUNCTION("IFERROR(VLOOKUP(F429,IMPORTRANGE(""https://docs.google.com/spreadsheets/d/1Kvs4KS76FHFqLFIZfrDMff4kP08nblUkihrxltoGBjg/edit#gid=934712705"",""ESENCIAL!A6:BG""),8,FALSE))"),"")</f>
        <v/>
      </c>
      <c r="J163" s="39"/>
      <c r="M163" s="287"/>
      <c r="AV163" s="41" t="str">
        <f t="shared" si="16"/>
        <v/>
      </c>
      <c r="AW163" s="5" t="str">
        <f ca="1">IFERROR(__xludf.DUMMYFUNCTION("IFERROR(VLOOKUP(E429&amp;F429,IMPORTRANGE(""https://docs.google.com/spreadsheets/d/1Uw7-A9f9R21vMXxHZFNpYNeKFtG8_yji4HS352LGlSQ/edit?pli=1#gid=0"",""1_ACUM!A4:S""),11,FALSE))"),"")</f>
        <v/>
      </c>
      <c r="AX163" s="42" t="str">
        <f ca="1">IFERROR(__xludf.DUMMYFUNCTION("IFERROR(VLOOKUP(F429,IMPORTRANGE(""https://docs.google.com/spreadsheets/d/1Kvs4KS76FHFqLFIZfrDMff4kP08nblUkihrxltoGBjg/edit#gid=934712705"",""ESENCIAL!A6:BG""),15,FALSE))"),"")</f>
        <v/>
      </c>
      <c r="AY163" s="110" t="str">
        <f ca="1">IFERROR(__xludf.DUMMYFUNCTION("IFERROR(VLOOKUP(E429&amp;F429,IMPORTRANGE(""https://docs.google.com/spreadsheets/d/1Uw7-A9f9R21vMXxHZFNpYNeKFtG8_yji4HS352LGlSQ/edit?pli=1#gid=0"",""1_ACUM!A4:S""),13,FALSE))"),"")</f>
        <v/>
      </c>
      <c r="AZ163" s="43" t="str">
        <f ca="1">IFERROR(__xludf.DUMMYFUNCTION("IFERROR(VLOOKUP(E429&amp;F429,IMPORTRANGE(""https://docs.google.com/spreadsheets/d/1Uw7-A9f9R21vMXxHZFNpYNeKFtG8_yji4HS352LGlSQ/edit?pli=1#gid=0"",""1_ACUM!A4:S""),13,FALSE))"),"")</f>
        <v/>
      </c>
      <c r="BA163" s="43" t="str">
        <f ca="1">IFERROR(__xludf.DUMMYFUNCTION("IFERROR(VLOOKUP(E429&amp;F429,IMPORTRANGE(""https://docs.google.com/spreadsheets/d/1Uw7-A9f9R21vMXxHZFNpYNeKFtG8_yji4HS352LGlSQ/edit?pli=1#gid=0"",""1_ACUM!A4:S""),14,FALSE))"),"")</f>
        <v/>
      </c>
      <c r="BB163" s="43" t="str">
        <f ca="1">IFERROR(__xludf.DUMMYFUNCTION("IFERROR(VLOOKUP(E429&amp;F429,IMPORTRANGE(""https://docs.google.com/spreadsheets/d/1Uw7-A9f9R21vMXxHZFNpYNeKFtG8_yji4HS352LGlSQ/edit?pli=1#gid=0"",""1_ACUM!A4:S""),15,FALSE))"),"")</f>
        <v/>
      </c>
      <c r="BC163" s="43" t="str">
        <f ca="1">IFERROR(__xludf.DUMMYFUNCTION("IFERROR(VLOOKUP(E429&amp;F429,IMPORTRANGE(""https://docs.google.com/spreadsheets/d/1Uw7-A9f9R21vMXxHZFNpYNeKFtG8_yji4HS352LGlSQ/edit?pli=1#gid=0"",""1_ACUM!A4:S""),16,FALSE))"),"")</f>
        <v/>
      </c>
      <c r="BD163" s="43" t="str">
        <f ca="1">IFERROR(__xludf.DUMMYFUNCTION("IFERROR(VLOOKUP(E429&amp;F429,IMPORTRANGE(""https://docs.google.com/spreadsheets/d/1Uw7-A9f9R21vMXxHZFNpYNeKFtG8_yji4HS352LGlSQ/edit?pli=1#gid=0"",""1_ACUM!A4:S""),17,FALSE))"),"")</f>
        <v/>
      </c>
      <c r="BE163" s="44" t="str">
        <f ca="1">IFERROR(__xludf.DUMMYFUNCTION("IFERROR(VLOOKUP(E429&amp;F429,IMPORTRANGE(""https://docs.google.com/spreadsheets/d/1Uw7-A9f9R21vMXxHZFNpYNeKFtG8_yji4HS352LGlSQ/edit?pli=1#gid=0"",""1_ACUM!A4:S""),18,FALSE))"),"")</f>
        <v/>
      </c>
      <c r="BF163" s="44" t="str">
        <f ca="1">IFERROR(__xludf.DUMMYFUNCTION("IFERROR(VLOOKUP(E429&amp;F429,IMPORTRANGE(""https://docs.google.com/spreadsheets/d/1Uw7-A9f9R21vMXxHZFNpYNeKFtG8_yji4HS352LGlSQ/edit?pli=1#gid=0"",""1_ACUM!A4:S""),19,FALSE))"),"")</f>
        <v/>
      </c>
      <c r="BG163" s="98" t="str">
        <f ca="1">IFERROR(__xludf.DUMMYFUNCTION("IFERROR(VLOOKUP(F429,IMPORTRANGE(""https://docs.google.com/spreadsheets/d/1Kvs4KS76FHFqLFIZfrDMff4kP08nblUkihrxltoGBjg/edit#gid=934712705"",""ESENCIAL!A6:BG""),5,FALSE))"),"")</f>
        <v/>
      </c>
      <c r="BH163" s="98" t="str">
        <f t="shared" si="17"/>
        <v/>
      </c>
      <c r="BI163" s="99" t="str">
        <f t="shared" si="18"/>
        <v/>
      </c>
      <c r="BJ163" s="100" t="str">
        <f ca="1">IFERROR(__xludf.DUMMYFUNCTION("IFERROR(VLOOKUP(F429,IMPORTRANGE(""https://docs.google.com/spreadsheets/d/1Kvs4KS76FHFqLFIZfrDMff4kP08nblUkihrxltoGBjg/edit#gid=934712705"",""ESENCIAL!A6:BG""),2,FALSE))"),"")</f>
        <v/>
      </c>
      <c r="BK163" s="19" t="str">
        <f t="shared" si="19"/>
        <v/>
      </c>
      <c r="BL163" s="100"/>
      <c r="BM163" s="100"/>
    </row>
    <row r="164" spans="2:65" ht="15">
      <c r="B164" s="39"/>
      <c r="C164" s="5"/>
      <c r="D164" s="123"/>
      <c r="E164" s="39"/>
      <c r="F164" s="39"/>
      <c r="G164" s="39"/>
      <c r="H164" s="5" t="str">
        <f ca="1">IFERROR(__xludf.DUMMYFUNCTION("IFERROR(VLOOKUP(F430,IMPORTRANGE(""https://docs.google.com/spreadsheets/d/1Kvs4KS76FHFqLFIZfrDMff4kP08nblUkihrxltoGBjg/edit#gid=934712705"",""ESENCIAL!A6:BG""),3,FALSE))"),"")</f>
        <v/>
      </c>
      <c r="I164" s="5" t="str">
        <f ca="1">IFERROR(__xludf.DUMMYFUNCTION("IFERROR(VLOOKUP(F430,IMPORTRANGE(""https://docs.google.com/spreadsheets/d/1Kvs4KS76FHFqLFIZfrDMff4kP08nblUkihrxltoGBjg/edit#gid=934712705"",""ESENCIAL!A6:BG""),8,FALSE))"),"")</f>
        <v/>
      </c>
      <c r="J164" s="39"/>
      <c r="M164" s="287"/>
      <c r="AV164" s="41" t="str">
        <f t="shared" si="16"/>
        <v/>
      </c>
      <c r="AW164" s="5" t="str">
        <f ca="1">IFERROR(__xludf.DUMMYFUNCTION("IFERROR(VLOOKUP(E430&amp;F430,IMPORTRANGE(""https://docs.google.com/spreadsheets/d/1Uw7-A9f9R21vMXxHZFNpYNeKFtG8_yji4HS352LGlSQ/edit?pli=1#gid=0"",""1_ACUM!A4:S""),11,FALSE))"),"")</f>
        <v/>
      </c>
      <c r="AX164" s="42" t="str">
        <f ca="1">IFERROR(__xludf.DUMMYFUNCTION("IFERROR(VLOOKUP(F430,IMPORTRANGE(""https://docs.google.com/spreadsheets/d/1Kvs4KS76FHFqLFIZfrDMff4kP08nblUkihrxltoGBjg/edit#gid=934712705"",""ESENCIAL!A6:BG""),15,FALSE))"),"")</f>
        <v/>
      </c>
      <c r="AY164" s="110" t="str">
        <f ca="1">IFERROR(__xludf.DUMMYFUNCTION("IFERROR(VLOOKUP(E430&amp;F430,IMPORTRANGE(""https://docs.google.com/spreadsheets/d/1Uw7-A9f9R21vMXxHZFNpYNeKFtG8_yji4HS352LGlSQ/edit?pli=1#gid=0"",""1_ACUM!A4:S""),13,FALSE))"),"")</f>
        <v/>
      </c>
      <c r="AZ164" s="43" t="str">
        <f ca="1">IFERROR(__xludf.DUMMYFUNCTION("IFERROR(VLOOKUP(E430&amp;F430,IMPORTRANGE(""https://docs.google.com/spreadsheets/d/1Uw7-A9f9R21vMXxHZFNpYNeKFtG8_yji4HS352LGlSQ/edit?pli=1#gid=0"",""1_ACUM!A4:S""),13,FALSE))"),"")</f>
        <v/>
      </c>
      <c r="BA164" s="43" t="str">
        <f ca="1">IFERROR(__xludf.DUMMYFUNCTION("IFERROR(VLOOKUP(E430&amp;F430,IMPORTRANGE(""https://docs.google.com/spreadsheets/d/1Uw7-A9f9R21vMXxHZFNpYNeKFtG8_yji4HS352LGlSQ/edit?pli=1#gid=0"",""1_ACUM!A4:S""),14,FALSE))"),"")</f>
        <v/>
      </c>
      <c r="BB164" s="43" t="str">
        <f ca="1">IFERROR(__xludf.DUMMYFUNCTION("IFERROR(VLOOKUP(E430&amp;F430,IMPORTRANGE(""https://docs.google.com/spreadsheets/d/1Uw7-A9f9R21vMXxHZFNpYNeKFtG8_yji4HS352LGlSQ/edit?pli=1#gid=0"",""1_ACUM!A4:S""),15,FALSE))"),"")</f>
        <v/>
      </c>
      <c r="BC164" s="43" t="str">
        <f ca="1">IFERROR(__xludf.DUMMYFUNCTION("IFERROR(VLOOKUP(E430&amp;F430,IMPORTRANGE(""https://docs.google.com/spreadsheets/d/1Uw7-A9f9R21vMXxHZFNpYNeKFtG8_yji4HS352LGlSQ/edit?pli=1#gid=0"",""1_ACUM!A4:S""),16,FALSE))"),"")</f>
        <v/>
      </c>
      <c r="BD164" s="43" t="str">
        <f ca="1">IFERROR(__xludf.DUMMYFUNCTION("IFERROR(VLOOKUP(E430&amp;F430,IMPORTRANGE(""https://docs.google.com/spreadsheets/d/1Uw7-A9f9R21vMXxHZFNpYNeKFtG8_yji4HS352LGlSQ/edit?pli=1#gid=0"",""1_ACUM!A4:S""),17,FALSE))"),"")</f>
        <v/>
      </c>
      <c r="BE164" s="44" t="str">
        <f ca="1">IFERROR(__xludf.DUMMYFUNCTION("IFERROR(VLOOKUP(E430&amp;F430,IMPORTRANGE(""https://docs.google.com/spreadsheets/d/1Uw7-A9f9R21vMXxHZFNpYNeKFtG8_yji4HS352LGlSQ/edit?pli=1#gid=0"",""1_ACUM!A4:S""),18,FALSE))"),"")</f>
        <v/>
      </c>
      <c r="BF164" s="44" t="str">
        <f ca="1">IFERROR(__xludf.DUMMYFUNCTION("IFERROR(VLOOKUP(E430&amp;F430,IMPORTRANGE(""https://docs.google.com/spreadsheets/d/1Uw7-A9f9R21vMXxHZFNpYNeKFtG8_yji4HS352LGlSQ/edit?pli=1#gid=0"",""1_ACUM!A4:S""),19,FALSE))"),"")</f>
        <v/>
      </c>
      <c r="BG164" s="98" t="str">
        <f ca="1">IFERROR(__xludf.DUMMYFUNCTION("IFERROR(VLOOKUP(F430,IMPORTRANGE(""https://docs.google.com/spreadsheets/d/1Kvs4KS76FHFqLFIZfrDMff4kP08nblUkihrxltoGBjg/edit#gid=934712705"",""ESENCIAL!A6:BG""),5,FALSE))"),"")</f>
        <v/>
      </c>
      <c r="BH164" s="98" t="str">
        <f t="shared" si="17"/>
        <v/>
      </c>
      <c r="BI164" s="99" t="str">
        <f t="shared" si="18"/>
        <v/>
      </c>
      <c r="BJ164" s="100" t="str">
        <f ca="1">IFERROR(__xludf.DUMMYFUNCTION("IFERROR(VLOOKUP(F430,IMPORTRANGE(""https://docs.google.com/spreadsheets/d/1Kvs4KS76FHFqLFIZfrDMff4kP08nblUkihrxltoGBjg/edit#gid=934712705"",""ESENCIAL!A6:BG""),2,FALSE))"),"")</f>
        <v/>
      </c>
      <c r="BK164" s="19" t="str">
        <f t="shared" si="19"/>
        <v/>
      </c>
      <c r="BL164" s="100"/>
      <c r="BM164" s="100"/>
    </row>
    <row r="165" spans="2:65" ht="15">
      <c r="B165" s="39"/>
      <c r="C165" s="5"/>
      <c r="D165" s="123"/>
      <c r="E165" s="39"/>
      <c r="F165" s="39"/>
      <c r="G165" s="39"/>
      <c r="H165" s="5" t="str">
        <f ca="1">IFERROR(__xludf.DUMMYFUNCTION("IFERROR(VLOOKUP(F431,IMPORTRANGE(""https://docs.google.com/spreadsheets/d/1Kvs4KS76FHFqLFIZfrDMff4kP08nblUkihrxltoGBjg/edit#gid=934712705"",""ESENCIAL!A6:BG""),3,FALSE))"),"")</f>
        <v/>
      </c>
      <c r="I165" s="5" t="str">
        <f ca="1">IFERROR(__xludf.DUMMYFUNCTION("IFERROR(VLOOKUP(F431,IMPORTRANGE(""https://docs.google.com/spreadsheets/d/1Kvs4KS76FHFqLFIZfrDMff4kP08nblUkihrxltoGBjg/edit#gid=934712705"",""ESENCIAL!A6:BG""),8,FALSE))"),"")</f>
        <v/>
      </c>
      <c r="J165" s="39"/>
      <c r="M165" s="287"/>
      <c r="AV165" s="41" t="str">
        <f t="shared" si="16"/>
        <v/>
      </c>
      <c r="AW165" s="5" t="str">
        <f ca="1">IFERROR(__xludf.DUMMYFUNCTION("IFERROR(VLOOKUP(E431&amp;F431,IMPORTRANGE(""https://docs.google.com/spreadsheets/d/1Uw7-A9f9R21vMXxHZFNpYNeKFtG8_yji4HS352LGlSQ/edit?pli=1#gid=0"",""1_ACUM!A4:S""),11,FALSE))"),"")</f>
        <v/>
      </c>
      <c r="AX165" s="42" t="str">
        <f ca="1">IFERROR(__xludf.DUMMYFUNCTION("IFERROR(VLOOKUP(F431,IMPORTRANGE(""https://docs.google.com/spreadsheets/d/1Kvs4KS76FHFqLFIZfrDMff4kP08nblUkihrxltoGBjg/edit#gid=934712705"",""ESENCIAL!A6:BG""),15,FALSE))"),"")</f>
        <v/>
      </c>
      <c r="AY165" s="110" t="str">
        <f ca="1">IFERROR(__xludf.DUMMYFUNCTION("IFERROR(VLOOKUP(E431&amp;F431,IMPORTRANGE(""https://docs.google.com/spreadsheets/d/1Uw7-A9f9R21vMXxHZFNpYNeKFtG8_yji4HS352LGlSQ/edit?pli=1#gid=0"",""1_ACUM!A4:S""),13,FALSE))"),"")</f>
        <v/>
      </c>
      <c r="AZ165" s="43" t="str">
        <f ca="1">IFERROR(__xludf.DUMMYFUNCTION("IFERROR(VLOOKUP(E431&amp;F431,IMPORTRANGE(""https://docs.google.com/spreadsheets/d/1Uw7-A9f9R21vMXxHZFNpYNeKFtG8_yji4HS352LGlSQ/edit?pli=1#gid=0"",""1_ACUM!A4:S""),13,FALSE))"),"")</f>
        <v/>
      </c>
      <c r="BA165" s="43" t="str">
        <f ca="1">IFERROR(__xludf.DUMMYFUNCTION("IFERROR(VLOOKUP(E431&amp;F431,IMPORTRANGE(""https://docs.google.com/spreadsheets/d/1Uw7-A9f9R21vMXxHZFNpYNeKFtG8_yji4HS352LGlSQ/edit?pli=1#gid=0"",""1_ACUM!A4:S""),14,FALSE))"),"")</f>
        <v/>
      </c>
      <c r="BB165" s="43" t="str">
        <f ca="1">IFERROR(__xludf.DUMMYFUNCTION("IFERROR(VLOOKUP(E431&amp;F431,IMPORTRANGE(""https://docs.google.com/spreadsheets/d/1Uw7-A9f9R21vMXxHZFNpYNeKFtG8_yji4HS352LGlSQ/edit?pli=1#gid=0"",""1_ACUM!A4:S""),15,FALSE))"),"")</f>
        <v/>
      </c>
      <c r="BC165" s="43" t="str">
        <f ca="1">IFERROR(__xludf.DUMMYFUNCTION("IFERROR(VLOOKUP(E431&amp;F431,IMPORTRANGE(""https://docs.google.com/spreadsheets/d/1Uw7-A9f9R21vMXxHZFNpYNeKFtG8_yji4HS352LGlSQ/edit?pli=1#gid=0"",""1_ACUM!A4:S""),16,FALSE))"),"")</f>
        <v/>
      </c>
      <c r="BD165" s="43" t="str">
        <f ca="1">IFERROR(__xludf.DUMMYFUNCTION("IFERROR(VLOOKUP(E431&amp;F431,IMPORTRANGE(""https://docs.google.com/spreadsheets/d/1Uw7-A9f9R21vMXxHZFNpYNeKFtG8_yji4HS352LGlSQ/edit?pli=1#gid=0"",""1_ACUM!A4:S""),17,FALSE))"),"")</f>
        <v/>
      </c>
      <c r="BE165" s="44" t="str">
        <f ca="1">IFERROR(__xludf.DUMMYFUNCTION("IFERROR(VLOOKUP(E431&amp;F431,IMPORTRANGE(""https://docs.google.com/spreadsheets/d/1Uw7-A9f9R21vMXxHZFNpYNeKFtG8_yji4HS352LGlSQ/edit?pli=1#gid=0"",""1_ACUM!A4:S""),18,FALSE))"),"")</f>
        <v/>
      </c>
      <c r="BF165" s="44" t="str">
        <f ca="1">IFERROR(__xludf.DUMMYFUNCTION("IFERROR(VLOOKUP(E431&amp;F431,IMPORTRANGE(""https://docs.google.com/spreadsheets/d/1Uw7-A9f9R21vMXxHZFNpYNeKFtG8_yji4HS352LGlSQ/edit?pli=1#gid=0"",""1_ACUM!A4:S""),19,FALSE))"),"")</f>
        <v/>
      </c>
      <c r="BG165" s="98" t="str">
        <f ca="1">IFERROR(__xludf.DUMMYFUNCTION("IFERROR(VLOOKUP(F431,IMPORTRANGE(""https://docs.google.com/spreadsheets/d/1Kvs4KS76FHFqLFIZfrDMff4kP08nblUkihrxltoGBjg/edit#gid=934712705"",""ESENCIAL!A6:BG""),5,FALSE))"),"")</f>
        <v/>
      </c>
      <c r="BH165" s="98" t="str">
        <f t="shared" si="17"/>
        <v/>
      </c>
      <c r="BI165" s="99" t="str">
        <f t="shared" si="18"/>
        <v/>
      </c>
      <c r="BJ165" s="100" t="str">
        <f ca="1">IFERROR(__xludf.DUMMYFUNCTION("IFERROR(VLOOKUP(F431,IMPORTRANGE(""https://docs.google.com/spreadsheets/d/1Kvs4KS76FHFqLFIZfrDMff4kP08nblUkihrxltoGBjg/edit#gid=934712705"",""ESENCIAL!A6:BG""),2,FALSE))"),"")</f>
        <v/>
      </c>
      <c r="BK165" s="19" t="str">
        <f t="shared" si="19"/>
        <v/>
      </c>
      <c r="BL165" s="100"/>
      <c r="BM165" s="100"/>
    </row>
    <row r="166" spans="2:65" ht="15">
      <c r="B166" s="39"/>
      <c r="C166" s="5"/>
      <c r="D166" s="123"/>
      <c r="E166" s="39"/>
      <c r="F166" s="39"/>
      <c r="G166" s="39"/>
      <c r="H166" s="5" t="str">
        <f ca="1">IFERROR(__xludf.DUMMYFUNCTION("IFERROR(VLOOKUP(F432,IMPORTRANGE(""https://docs.google.com/spreadsheets/d/1Kvs4KS76FHFqLFIZfrDMff4kP08nblUkihrxltoGBjg/edit#gid=934712705"",""ESENCIAL!A6:BG""),3,FALSE))"),"")</f>
        <v/>
      </c>
      <c r="I166" s="5" t="str">
        <f ca="1">IFERROR(__xludf.DUMMYFUNCTION("IFERROR(VLOOKUP(F432,IMPORTRANGE(""https://docs.google.com/spreadsheets/d/1Kvs4KS76FHFqLFIZfrDMff4kP08nblUkihrxltoGBjg/edit#gid=934712705"",""ESENCIAL!A6:BG""),8,FALSE))"),"")</f>
        <v/>
      </c>
      <c r="J166" s="39"/>
      <c r="M166" s="287"/>
      <c r="AV166" s="41" t="str">
        <f t="shared" si="16"/>
        <v/>
      </c>
      <c r="AW166" s="5" t="str">
        <f ca="1">IFERROR(__xludf.DUMMYFUNCTION("IFERROR(VLOOKUP(E432&amp;F432,IMPORTRANGE(""https://docs.google.com/spreadsheets/d/1Uw7-A9f9R21vMXxHZFNpYNeKFtG8_yji4HS352LGlSQ/edit?pli=1#gid=0"",""1_ACUM!A4:S""),11,FALSE))"),"")</f>
        <v/>
      </c>
      <c r="AX166" s="42" t="str">
        <f ca="1">IFERROR(__xludf.DUMMYFUNCTION("IFERROR(VLOOKUP(F432,IMPORTRANGE(""https://docs.google.com/spreadsheets/d/1Kvs4KS76FHFqLFIZfrDMff4kP08nblUkihrxltoGBjg/edit#gid=934712705"",""ESENCIAL!A6:BG""),15,FALSE))"),"")</f>
        <v/>
      </c>
      <c r="AY166" s="110" t="str">
        <f ca="1">IFERROR(__xludf.DUMMYFUNCTION("IFERROR(VLOOKUP(E432&amp;F432,IMPORTRANGE(""https://docs.google.com/spreadsheets/d/1Uw7-A9f9R21vMXxHZFNpYNeKFtG8_yji4HS352LGlSQ/edit?pli=1#gid=0"",""1_ACUM!A4:S""),13,FALSE))"),"")</f>
        <v/>
      </c>
      <c r="AZ166" s="43" t="str">
        <f ca="1">IFERROR(__xludf.DUMMYFUNCTION("IFERROR(VLOOKUP(E432&amp;F432,IMPORTRANGE(""https://docs.google.com/spreadsheets/d/1Uw7-A9f9R21vMXxHZFNpYNeKFtG8_yji4HS352LGlSQ/edit?pli=1#gid=0"",""1_ACUM!A4:S""),13,FALSE))"),"")</f>
        <v/>
      </c>
      <c r="BA166" s="43" t="str">
        <f ca="1">IFERROR(__xludf.DUMMYFUNCTION("IFERROR(VLOOKUP(E432&amp;F432,IMPORTRANGE(""https://docs.google.com/spreadsheets/d/1Uw7-A9f9R21vMXxHZFNpYNeKFtG8_yji4HS352LGlSQ/edit?pli=1#gid=0"",""1_ACUM!A4:S""),14,FALSE))"),"")</f>
        <v/>
      </c>
      <c r="BB166" s="43" t="str">
        <f ca="1">IFERROR(__xludf.DUMMYFUNCTION("IFERROR(VLOOKUP(E432&amp;F432,IMPORTRANGE(""https://docs.google.com/spreadsheets/d/1Uw7-A9f9R21vMXxHZFNpYNeKFtG8_yji4HS352LGlSQ/edit?pli=1#gid=0"",""1_ACUM!A4:S""),15,FALSE))"),"")</f>
        <v/>
      </c>
      <c r="BC166" s="43" t="str">
        <f ca="1">IFERROR(__xludf.DUMMYFUNCTION("IFERROR(VLOOKUP(E432&amp;F432,IMPORTRANGE(""https://docs.google.com/spreadsheets/d/1Uw7-A9f9R21vMXxHZFNpYNeKFtG8_yji4HS352LGlSQ/edit?pli=1#gid=0"",""1_ACUM!A4:S""),16,FALSE))"),"")</f>
        <v/>
      </c>
      <c r="BD166" s="43" t="str">
        <f ca="1">IFERROR(__xludf.DUMMYFUNCTION("IFERROR(VLOOKUP(E432&amp;F432,IMPORTRANGE(""https://docs.google.com/spreadsheets/d/1Uw7-A9f9R21vMXxHZFNpYNeKFtG8_yji4HS352LGlSQ/edit?pli=1#gid=0"",""1_ACUM!A4:S""),17,FALSE))"),"")</f>
        <v/>
      </c>
      <c r="BE166" s="44" t="str">
        <f ca="1">IFERROR(__xludf.DUMMYFUNCTION("IFERROR(VLOOKUP(E432&amp;F432,IMPORTRANGE(""https://docs.google.com/spreadsheets/d/1Uw7-A9f9R21vMXxHZFNpYNeKFtG8_yji4HS352LGlSQ/edit?pli=1#gid=0"",""1_ACUM!A4:S""),18,FALSE))"),"")</f>
        <v/>
      </c>
      <c r="BF166" s="44" t="str">
        <f ca="1">IFERROR(__xludf.DUMMYFUNCTION("IFERROR(VLOOKUP(E432&amp;F432,IMPORTRANGE(""https://docs.google.com/spreadsheets/d/1Uw7-A9f9R21vMXxHZFNpYNeKFtG8_yji4HS352LGlSQ/edit?pli=1#gid=0"",""1_ACUM!A4:S""),19,FALSE))"),"")</f>
        <v/>
      </c>
      <c r="BG166" s="98" t="str">
        <f ca="1">IFERROR(__xludf.DUMMYFUNCTION("IFERROR(VLOOKUP(F432,IMPORTRANGE(""https://docs.google.com/spreadsheets/d/1Kvs4KS76FHFqLFIZfrDMff4kP08nblUkihrxltoGBjg/edit#gid=934712705"",""ESENCIAL!A6:BG""),5,FALSE))"),"")</f>
        <v/>
      </c>
      <c r="BH166" s="98" t="str">
        <f t="shared" si="17"/>
        <v/>
      </c>
      <c r="BI166" s="99" t="str">
        <f t="shared" si="18"/>
        <v/>
      </c>
      <c r="BJ166" s="100" t="str">
        <f ca="1">IFERROR(__xludf.DUMMYFUNCTION("IFERROR(VLOOKUP(F432,IMPORTRANGE(""https://docs.google.com/spreadsheets/d/1Kvs4KS76FHFqLFIZfrDMff4kP08nblUkihrxltoGBjg/edit#gid=934712705"",""ESENCIAL!A6:BG""),2,FALSE))"),"")</f>
        <v/>
      </c>
      <c r="BK166" s="19" t="str">
        <f t="shared" si="19"/>
        <v/>
      </c>
      <c r="BL166" s="100"/>
      <c r="BM166" s="100"/>
    </row>
    <row r="167" spans="2:65" ht="15">
      <c r="B167" s="39"/>
      <c r="C167" s="5"/>
      <c r="D167" s="123"/>
      <c r="E167" s="39"/>
      <c r="F167" s="39"/>
      <c r="G167" s="39"/>
      <c r="H167" s="5" t="str">
        <f ca="1">IFERROR(__xludf.DUMMYFUNCTION("IFERROR(VLOOKUP(F433,IMPORTRANGE(""https://docs.google.com/spreadsheets/d/1Kvs4KS76FHFqLFIZfrDMff4kP08nblUkihrxltoGBjg/edit#gid=934712705"",""ESENCIAL!A6:BG""),3,FALSE))"),"")</f>
        <v/>
      </c>
      <c r="I167" s="5" t="str">
        <f ca="1">IFERROR(__xludf.DUMMYFUNCTION("IFERROR(VLOOKUP(F433,IMPORTRANGE(""https://docs.google.com/spreadsheets/d/1Kvs4KS76FHFqLFIZfrDMff4kP08nblUkihrxltoGBjg/edit#gid=934712705"",""ESENCIAL!A6:BG""),8,FALSE))"),"")</f>
        <v/>
      </c>
      <c r="J167" s="39"/>
      <c r="M167" s="287"/>
      <c r="AV167" s="41" t="str">
        <f t="shared" si="16"/>
        <v/>
      </c>
      <c r="AW167" s="5" t="str">
        <f ca="1">IFERROR(__xludf.DUMMYFUNCTION("IFERROR(VLOOKUP(E433&amp;F433,IMPORTRANGE(""https://docs.google.com/spreadsheets/d/1Uw7-A9f9R21vMXxHZFNpYNeKFtG8_yji4HS352LGlSQ/edit?pli=1#gid=0"",""1_ACUM!A4:S""),11,FALSE))"),"")</f>
        <v/>
      </c>
      <c r="AX167" s="42" t="str">
        <f ca="1">IFERROR(__xludf.DUMMYFUNCTION("IFERROR(VLOOKUP(F433,IMPORTRANGE(""https://docs.google.com/spreadsheets/d/1Kvs4KS76FHFqLFIZfrDMff4kP08nblUkihrxltoGBjg/edit#gid=934712705"",""ESENCIAL!A6:BG""),15,FALSE))"),"")</f>
        <v/>
      </c>
      <c r="AY167" s="110" t="str">
        <f ca="1">IFERROR(__xludf.DUMMYFUNCTION("IFERROR(VLOOKUP(E433&amp;F433,IMPORTRANGE(""https://docs.google.com/spreadsheets/d/1Uw7-A9f9R21vMXxHZFNpYNeKFtG8_yji4HS352LGlSQ/edit?pli=1#gid=0"",""1_ACUM!A4:S""),13,FALSE))"),"")</f>
        <v/>
      </c>
      <c r="AZ167" s="43" t="str">
        <f ca="1">IFERROR(__xludf.DUMMYFUNCTION("IFERROR(VLOOKUP(E433&amp;F433,IMPORTRANGE(""https://docs.google.com/spreadsheets/d/1Uw7-A9f9R21vMXxHZFNpYNeKFtG8_yji4HS352LGlSQ/edit?pli=1#gid=0"",""1_ACUM!A4:S""),13,FALSE))"),"")</f>
        <v/>
      </c>
      <c r="BA167" s="43" t="str">
        <f ca="1">IFERROR(__xludf.DUMMYFUNCTION("IFERROR(VLOOKUP(E433&amp;F433,IMPORTRANGE(""https://docs.google.com/spreadsheets/d/1Uw7-A9f9R21vMXxHZFNpYNeKFtG8_yji4HS352LGlSQ/edit?pli=1#gid=0"",""1_ACUM!A4:S""),14,FALSE))"),"")</f>
        <v/>
      </c>
      <c r="BB167" s="43" t="str">
        <f ca="1">IFERROR(__xludf.DUMMYFUNCTION("IFERROR(VLOOKUP(E433&amp;F433,IMPORTRANGE(""https://docs.google.com/spreadsheets/d/1Uw7-A9f9R21vMXxHZFNpYNeKFtG8_yji4HS352LGlSQ/edit?pli=1#gid=0"",""1_ACUM!A4:S""),15,FALSE))"),"")</f>
        <v/>
      </c>
      <c r="BC167" s="43" t="str">
        <f ca="1">IFERROR(__xludf.DUMMYFUNCTION("IFERROR(VLOOKUP(E433&amp;F433,IMPORTRANGE(""https://docs.google.com/spreadsheets/d/1Uw7-A9f9R21vMXxHZFNpYNeKFtG8_yji4HS352LGlSQ/edit?pli=1#gid=0"",""1_ACUM!A4:S""),16,FALSE))"),"")</f>
        <v/>
      </c>
      <c r="BD167" s="43" t="str">
        <f ca="1">IFERROR(__xludf.DUMMYFUNCTION("IFERROR(VLOOKUP(E433&amp;F433,IMPORTRANGE(""https://docs.google.com/spreadsheets/d/1Uw7-A9f9R21vMXxHZFNpYNeKFtG8_yji4HS352LGlSQ/edit?pli=1#gid=0"",""1_ACUM!A4:S""),17,FALSE))"),"")</f>
        <v/>
      </c>
      <c r="BE167" s="44" t="str">
        <f ca="1">IFERROR(__xludf.DUMMYFUNCTION("IFERROR(VLOOKUP(E433&amp;F433,IMPORTRANGE(""https://docs.google.com/spreadsheets/d/1Uw7-A9f9R21vMXxHZFNpYNeKFtG8_yji4HS352LGlSQ/edit?pli=1#gid=0"",""1_ACUM!A4:S""),18,FALSE))"),"")</f>
        <v/>
      </c>
      <c r="BF167" s="44" t="str">
        <f ca="1">IFERROR(__xludf.DUMMYFUNCTION("IFERROR(VLOOKUP(E433&amp;F433,IMPORTRANGE(""https://docs.google.com/spreadsheets/d/1Uw7-A9f9R21vMXxHZFNpYNeKFtG8_yji4HS352LGlSQ/edit?pli=1#gid=0"",""1_ACUM!A4:S""),19,FALSE))"),"")</f>
        <v/>
      </c>
      <c r="BG167" s="98" t="str">
        <f ca="1">IFERROR(__xludf.DUMMYFUNCTION("IFERROR(VLOOKUP(F433,IMPORTRANGE(""https://docs.google.com/spreadsheets/d/1Kvs4KS76FHFqLFIZfrDMff4kP08nblUkihrxltoGBjg/edit#gid=934712705"",""ESENCIAL!A6:BG""),5,FALSE))"),"")</f>
        <v/>
      </c>
      <c r="BH167" s="98" t="str">
        <f t="shared" si="17"/>
        <v/>
      </c>
      <c r="BI167" s="99" t="str">
        <f t="shared" si="18"/>
        <v/>
      </c>
      <c r="BJ167" s="100" t="str">
        <f ca="1">IFERROR(__xludf.DUMMYFUNCTION("IFERROR(VLOOKUP(F433,IMPORTRANGE(""https://docs.google.com/spreadsheets/d/1Kvs4KS76FHFqLFIZfrDMff4kP08nblUkihrxltoGBjg/edit#gid=934712705"",""ESENCIAL!A6:BG""),2,FALSE))"),"")</f>
        <v/>
      </c>
      <c r="BK167" s="19" t="str">
        <f t="shared" si="19"/>
        <v/>
      </c>
      <c r="BL167" s="100"/>
      <c r="BM167" s="100"/>
    </row>
    <row r="168" spans="2:65" ht="15">
      <c r="B168" s="39"/>
      <c r="C168" s="5"/>
      <c r="D168" s="123"/>
      <c r="E168" s="39"/>
      <c r="F168" s="39"/>
      <c r="G168" s="39"/>
      <c r="H168" s="5" t="str">
        <f ca="1">IFERROR(__xludf.DUMMYFUNCTION("IFERROR(VLOOKUP(F434,IMPORTRANGE(""https://docs.google.com/spreadsheets/d/1Kvs4KS76FHFqLFIZfrDMff4kP08nblUkihrxltoGBjg/edit#gid=934712705"",""ESENCIAL!A6:BG""),3,FALSE))"),"")</f>
        <v/>
      </c>
      <c r="I168" s="5" t="str">
        <f ca="1">IFERROR(__xludf.DUMMYFUNCTION("IFERROR(VLOOKUP(F434,IMPORTRANGE(""https://docs.google.com/spreadsheets/d/1Kvs4KS76FHFqLFIZfrDMff4kP08nblUkihrxltoGBjg/edit#gid=934712705"",""ESENCIAL!A6:BG""),8,FALSE))"),"")</f>
        <v/>
      </c>
      <c r="J168" s="39"/>
      <c r="M168" s="287"/>
      <c r="AV168" s="41" t="str">
        <f t="shared" si="16"/>
        <v/>
      </c>
      <c r="AW168" s="5" t="str">
        <f ca="1">IFERROR(__xludf.DUMMYFUNCTION("IFERROR(VLOOKUP(E434&amp;F434,IMPORTRANGE(""https://docs.google.com/spreadsheets/d/1Uw7-A9f9R21vMXxHZFNpYNeKFtG8_yji4HS352LGlSQ/edit?pli=1#gid=0"",""1_ACUM!A4:S""),11,FALSE))"),"")</f>
        <v/>
      </c>
      <c r="AX168" s="42" t="str">
        <f ca="1">IFERROR(__xludf.DUMMYFUNCTION("IFERROR(VLOOKUP(F434,IMPORTRANGE(""https://docs.google.com/spreadsheets/d/1Kvs4KS76FHFqLFIZfrDMff4kP08nblUkihrxltoGBjg/edit#gid=934712705"",""ESENCIAL!A6:BG""),15,FALSE))"),"")</f>
        <v/>
      </c>
      <c r="AY168" s="110" t="str">
        <f ca="1">IFERROR(__xludf.DUMMYFUNCTION("IFERROR(VLOOKUP(E434&amp;F434,IMPORTRANGE(""https://docs.google.com/spreadsheets/d/1Uw7-A9f9R21vMXxHZFNpYNeKFtG8_yji4HS352LGlSQ/edit?pli=1#gid=0"",""1_ACUM!A4:S""),13,FALSE))"),"")</f>
        <v/>
      </c>
      <c r="AZ168" s="43" t="str">
        <f ca="1">IFERROR(__xludf.DUMMYFUNCTION("IFERROR(VLOOKUP(E434&amp;F434,IMPORTRANGE(""https://docs.google.com/spreadsheets/d/1Uw7-A9f9R21vMXxHZFNpYNeKFtG8_yji4HS352LGlSQ/edit?pli=1#gid=0"",""1_ACUM!A4:S""),13,FALSE))"),"")</f>
        <v/>
      </c>
      <c r="BA168" s="43" t="str">
        <f ca="1">IFERROR(__xludf.DUMMYFUNCTION("IFERROR(VLOOKUP(E434&amp;F434,IMPORTRANGE(""https://docs.google.com/spreadsheets/d/1Uw7-A9f9R21vMXxHZFNpYNeKFtG8_yji4HS352LGlSQ/edit?pli=1#gid=0"",""1_ACUM!A4:S""),14,FALSE))"),"")</f>
        <v/>
      </c>
      <c r="BB168" s="43" t="str">
        <f ca="1">IFERROR(__xludf.DUMMYFUNCTION("IFERROR(VLOOKUP(E434&amp;F434,IMPORTRANGE(""https://docs.google.com/spreadsheets/d/1Uw7-A9f9R21vMXxHZFNpYNeKFtG8_yji4HS352LGlSQ/edit?pli=1#gid=0"",""1_ACUM!A4:S""),15,FALSE))"),"")</f>
        <v/>
      </c>
      <c r="BC168" s="43" t="str">
        <f ca="1">IFERROR(__xludf.DUMMYFUNCTION("IFERROR(VLOOKUP(E434&amp;F434,IMPORTRANGE(""https://docs.google.com/spreadsheets/d/1Uw7-A9f9R21vMXxHZFNpYNeKFtG8_yji4HS352LGlSQ/edit?pli=1#gid=0"",""1_ACUM!A4:S""),16,FALSE))"),"")</f>
        <v/>
      </c>
      <c r="BD168" s="43" t="str">
        <f ca="1">IFERROR(__xludf.DUMMYFUNCTION("IFERROR(VLOOKUP(E434&amp;F434,IMPORTRANGE(""https://docs.google.com/spreadsheets/d/1Uw7-A9f9R21vMXxHZFNpYNeKFtG8_yji4HS352LGlSQ/edit?pli=1#gid=0"",""1_ACUM!A4:S""),17,FALSE))"),"")</f>
        <v/>
      </c>
      <c r="BE168" s="44" t="str">
        <f ca="1">IFERROR(__xludf.DUMMYFUNCTION("IFERROR(VLOOKUP(E434&amp;F434,IMPORTRANGE(""https://docs.google.com/spreadsheets/d/1Uw7-A9f9R21vMXxHZFNpYNeKFtG8_yji4HS352LGlSQ/edit?pli=1#gid=0"",""1_ACUM!A4:S""),18,FALSE))"),"")</f>
        <v/>
      </c>
      <c r="BF168" s="44" t="str">
        <f ca="1">IFERROR(__xludf.DUMMYFUNCTION("IFERROR(VLOOKUP(E434&amp;F434,IMPORTRANGE(""https://docs.google.com/spreadsheets/d/1Uw7-A9f9R21vMXxHZFNpYNeKFtG8_yji4HS352LGlSQ/edit?pli=1#gid=0"",""1_ACUM!A4:S""),19,FALSE))"),"")</f>
        <v/>
      </c>
      <c r="BG168" s="98" t="str">
        <f ca="1">IFERROR(__xludf.DUMMYFUNCTION("IFERROR(VLOOKUP(F434,IMPORTRANGE(""https://docs.google.com/spreadsheets/d/1Kvs4KS76FHFqLFIZfrDMff4kP08nblUkihrxltoGBjg/edit#gid=934712705"",""ESENCIAL!A6:BG""),5,FALSE))"),"")</f>
        <v/>
      </c>
      <c r="BH168" s="98" t="str">
        <f t="shared" si="17"/>
        <v/>
      </c>
      <c r="BI168" s="99" t="str">
        <f t="shared" si="18"/>
        <v/>
      </c>
      <c r="BJ168" s="100" t="str">
        <f ca="1">IFERROR(__xludf.DUMMYFUNCTION("IFERROR(VLOOKUP(F434,IMPORTRANGE(""https://docs.google.com/spreadsheets/d/1Kvs4KS76FHFqLFIZfrDMff4kP08nblUkihrxltoGBjg/edit#gid=934712705"",""ESENCIAL!A6:BG""),2,FALSE))"),"")</f>
        <v/>
      </c>
      <c r="BK168" s="19" t="str">
        <f t="shared" si="19"/>
        <v/>
      </c>
      <c r="BL168" s="100"/>
      <c r="BM168" s="100"/>
    </row>
    <row r="169" spans="2:65" ht="15">
      <c r="B169" s="39"/>
      <c r="C169" s="5"/>
      <c r="D169" s="123"/>
      <c r="E169" s="39"/>
      <c r="F169" s="39"/>
      <c r="G169" s="39"/>
      <c r="H169" s="5" t="str">
        <f ca="1">IFERROR(__xludf.DUMMYFUNCTION("IFERROR(VLOOKUP(F435,IMPORTRANGE(""https://docs.google.com/spreadsheets/d/1Kvs4KS76FHFqLFIZfrDMff4kP08nblUkihrxltoGBjg/edit#gid=934712705"",""ESENCIAL!A6:BG""),3,FALSE))"),"")</f>
        <v/>
      </c>
      <c r="I169" s="5" t="str">
        <f ca="1">IFERROR(__xludf.DUMMYFUNCTION("IFERROR(VLOOKUP(F435,IMPORTRANGE(""https://docs.google.com/spreadsheets/d/1Kvs4KS76FHFqLFIZfrDMff4kP08nblUkihrxltoGBjg/edit#gid=934712705"",""ESENCIAL!A6:BG""),8,FALSE))"),"")</f>
        <v/>
      </c>
      <c r="J169" s="39"/>
      <c r="M169" s="287"/>
      <c r="AV169" s="41" t="str">
        <f t="shared" si="16"/>
        <v/>
      </c>
      <c r="AW169" s="5" t="str">
        <f ca="1">IFERROR(__xludf.DUMMYFUNCTION("IFERROR(VLOOKUP(E435&amp;F435,IMPORTRANGE(""https://docs.google.com/spreadsheets/d/1Uw7-A9f9R21vMXxHZFNpYNeKFtG8_yji4HS352LGlSQ/edit?pli=1#gid=0"",""1_ACUM!A4:S""),11,FALSE))"),"")</f>
        <v/>
      </c>
      <c r="AX169" s="42" t="str">
        <f ca="1">IFERROR(__xludf.DUMMYFUNCTION("IFERROR(VLOOKUP(F435,IMPORTRANGE(""https://docs.google.com/spreadsheets/d/1Kvs4KS76FHFqLFIZfrDMff4kP08nblUkihrxltoGBjg/edit#gid=934712705"",""ESENCIAL!A6:BG""),15,FALSE))"),"")</f>
        <v/>
      </c>
      <c r="AY169" s="110" t="str">
        <f ca="1">IFERROR(__xludf.DUMMYFUNCTION("IFERROR(VLOOKUP(E435&amp;F435,IMPORTRANGE(""https://docs.google.com/spreadsheets/d/1Uw7-A9f9R21vMXxHZFNpYNeKFtG8_yji4HS352LGlSQ/edit?pli=1#gid=0"",""1_ACUM!A4:S""),13,FALSE))"),"")</f>
        <v/>
      </c>
      <c r="AZ169" s="43" t="str">
        <f ca="1">IFERROR(__xludf.DUMMYFUNCTION("IFERROR(VLOOKUP(E435&amp;F435,IMPORTRANGE(""https://docs.google.com/spreadsheets/d/1Uw7-A9f9R21vMXxHZFNpYNeKFtG8_yji4HS352LGlSQ/edit?pli=1#gid=0"",""1_ACUM!A4:S""),13,FALSE))"),"")</f>
        <v/>
      </c>
      <c r="BA169" s="43" t="str">
        <f ca="1">IFERROR(__xludf.DUMMYFUNCTION("IFERROR(VLOOKUP(E435&amp;F435,IMPORTRANGE(""https://docs.google.com/spreadsheets/d/1Uw7-A9f9R21vMXxHZFNpYNeKFtG8_yji4HS352LGlSQ/edit?pli=1#gid=0"",""1_ACUM!A4:S""),14,FALSE))"),"")</f>
        <v/>
      </c>
      <c r="BB169" s="43" t="str">
        <f ca="1">IFERROR(__xludf.DUMMYFUNCTION("IFERROR(VLOOKUP(E435&amp;F435,IMPORTRANGE(""https://docs.google.com/spreadsheets/d/1Uw7-A9f9R21vMXxHZFNpYNeKFtG8_yji4HS352LGlSQ/edit?pli=1#gid=0"",""1_ACUM!A4:S""),15,FALSE))"),"")</f>
        <v/>
      </c>
      <c r="BC169" s="43" t="str">
        <f ca="1">IFERROR(__xludf.DUMMYFUNCTION("IFERROR(VLOOKUP(E435&amp;F435,IMPORTRANGE(""https://docs.google.com/spreadsheets/d/1Uw7-A9f9R21vMXxHZFNpYNeKFtG8_yji4HS352LGlSQ/edit?pli=1#gid=0"",""1_ACUM!A4:S""),16,FALSE))"),"")</f>
        <v/>
      </c>
      <c r="BD169" s="43" t="str">
        <f ca="1">IFERROR(__xludf.DUMMYFUNCTION("IFERROR(VLOOKUP(E435&amp;F435,IMPORTRANGE(""https://docs.google.com/spreadsheets/d/1Uw7-A9f9R21vMXxHZFNpYNeKFtG8_yji4HS352LGlSQ/edit?pli=1#gid=0"",""1_ACUM!A4:S""),17,FALSE))"),"")</f>
        <v/>
      </c>
      <c r="BE169" s="44" t="str">
        <f ca="1">IFERROR(__xludf.DUMMYFUNCTION("IFERROR(VLOOKUP(E435&amp;F435,IMPORTRANGE(""https://docs.google.com/spreadsheets/d/1Uw7-A9f9R21vMXxHZFNpYNeKFtG8_yji4HS352LGlSQ/edit?pli=1#gid=0"",""1_ACUM!A4:S""),18,FALSE))"),"")</f>
        <v/>
      </c>
      <c r="BF169" s="44" t="str">
        <f ca="1">IFERROR(__xludf.DUMMYFUNCTION("IFERROR(VLOOKUP(E435&amp;F435,IMPORTRANGE(""https://docs.google.com/spreadsheets/d/1Uw7-A9f9R21vMXxHZFNpYNeKFtG8_yji4HS352LGlSQ/edit?pli=1#gid=0"",""1_ACUM!A4:S""),19,FALSE))"),"")</f>
        <v/>
      </c>
      <c r="BG169" s="98" t="str">
        <f ca="1">IFERROR(__xludf.DUMMYFUNCTION("IFERROR(VLOOKUP(F435,IMPORTRANGE(""https://docs.google.com/spreadsheets/d/1Kvs4KS76FHFqLFIZfrDMff4kP08nblUkihrxltoGBjg/edit#gid=934712705"",""ESENCIAL!A6:BG""),5,FALSE))"),"")</f>
        <v/>
      </c>
      <c r="BH169" s="98" t="str">
        <f t="shared" si="17"/>
        <v/>
      </c>
      <c r="BI169" s="99" t="str">
        <f t="shared" si="18"/>
        <v/>
      </c>
      <c r="BJ169" s="100" t="str">
        <f ca="1">IFERROR(__xludf.DUMMYFUNCTION("IFERROR(VLOOKUP(F435,IMPORTRANGE(""https://docs.google.com/spreadsheets/d/1Kvs4KS76FHFqLFIZfrDMff4kP08nblUkihrxltoGBjg/edit#gid=934712705"",""ESENCIAL!A6:BG""),2,FALSE))"),"")</f>
        <v/>
      </c>
      <c r="BK169" s="19" t="str">
        <f t="shared" si="19"/>
        <v/>
      </c>
      <c r="BL169" s="100"/>
      <c r="BM169" s="100"/>
    </row>
    <row r="170" spans="2:65" ht="15">
      <c r="B170" s="39"/>
      <c r="C170" s="5"/>
      <c r="D170" s="123"/>
      <c r="E170" s="39"/>
      <c r="F170" s="39"/>
      <c r="G170" s="39"/>
      <c r="H170" s="5" t="str">
        <f ca="1">IFERROR(__xludf.DUMMYFUNCTION("IFERROR(VLOOKUP(F436,IMPORTRANGE(""https://docs.google.com/spreadsheets/d/1Kvs4KS76FHFqLFIZfrDMff4kP08nblUkihrxltoGBjg/edit#gid=934712705"",""ESENCIAL!A6:BG""),3,FALSE))"),"")</f>
        <v/>
      </c>
      <c r="I170" s="5" t="str">
        <f ca="1">IFERROR(__xludf.DUMMYFUNCTION("IFERROR(VLOOKUP(F436,IMPORTRANGE(""https://docs.google.com/spreadsheets/d/1Kvs4KS76FHFqLFIZfrDMff4kP08nblUkihrxltoGBjg/edit#gid=934712705"",""ESENCIAL!A6:BG""),8,FALSE))"),"")</f>
        <v/>
      </c>
      <c r="J170" s="39"/>
      <c r="M170" s="287"/>
      <c r="AV170" s="41" t="str">
        <f t="shared" si="16"/>
        <v/>
      </c>
      <c r="AW170" s="5" t="str">
        <f ca="1">IFERROR(__xludf.DUMMYFUNCTION("IFERROR(VLOOKUP(E436&amp;F436,IMPORTRANGE(""https://docs.google.com/spreadsheets/d/1Uw7-A9f9R21vMXxHZFNpYNeKFtG8_yji4HS352LGlSQ/edit?pli=1#gid=0"",""1_ACUM!A4:S""),11,FALSE))"),"")</f>
        <v/>
      </c>
      <c r="AX170" s="42" t="str">
        <f ca="1">IFERROR(__xludf.DUMMYFUNCTION("IFERROR(VLOOKUP(F436,IMPORTRANGE(""https://docs.google.com/spreadsheets/d/1Kvs4KS76FHFqLFIZfrDMff4kP08nblUkihrxltoGBjg/edit#gid=934712705"",""ESENCIAL!A6:BG""),15,FALSE))"),"")</f>
        <v/>
      </c>
      <c r="AY170" s="110" t="str">
        <f ca="1">IFERROR(__xludf.DUMMYFUNCTION("IFERROR(VLOOKUP(E436&amp;F436,IMPORTRANGE(""https://docs.google.com/spreadsheets/d/1Uw7-A9f9R21vMXxHZFNpYNeKFtG8_yji4HS352LGlSQ/edit?pli=1#gid=0"",""1_ACUM!A4:S""),13,FALSE))"),"")</f>
        <v/>
      </c>
      <c r="AZ170" s="43" t="str">
        <f ca="1">IFERROR(__xludf.DUMMYFUNCTION("IFERROR(VLOOKUP(E436&amp;F436,IMPORTRANGE(""https://docs.google.com/spreadsheets/d/1Uw7-A9f9R21vMXxHZFNpYNeKFtG8_yji4HS352LGlSQ/edit?pli=1#gid=0"",""1_ACUM!A4:S""),13,FALSE))"),"")</f>
        <v/>
      </c>
      <c r="BA170" s="43" t="str">
        <f ca="1">IFERROR(__xludf.DUMMYFUNCTION("IFERROR(VLOOKUP(E436&amp;F436,IMPORTRANGE(""https://docs.google.com/spreadsheets/d/1Uw7-A9f9R21vMXxHZFNpYNeKFtG8_yji4HS352LGlSQ/edit?pli=1#gid=0"",""1_ACUM!A4:S""),14,FALSE))"),"")</f>
        <v/>
      </c>
      <c r="BB170" s="43" t="str">
        <f ca="1">IFERROR(__xludf.DUMMYFUNCTION("IFERROR(VLOOKUP(E436&amp;F436,IMPORTRANGE(""https://docs.google.com/spreadsheets/d/1Uw7-A9f9R21vMXxHZFNpYNeKFtG8_yji4HS352LGlSQ/edit?pli=1#gid=0"",""1_ACUM!A4:S""),15,FALSE))"),"")</f>
        <v/>
      </c>
      <c r="BC170" s="43" t="str">
        <f ca="1">IFERROR(__xludf.DUMMYFUNCTION("IFERROR(VLOOKUP(E436&amp;F436,IMPORTRANGE(""https://docs.google.com/spreadsheets/d/1Uw7-A9f9R21vMXxHZFNpYNeKFtG8_yji4HS352LGlSQ/edit?pli=1#gid=0"",""1_ACUM!A4:S""),16,FALSE))"),"")</f>
        <v/>
      </c>
      <c r="BD170" s="43" t="str">
        <f ca="1">IFERROR(__xludf.DUMMYFUNCTION("IFERROR(VLOOKUP(E436&amp;F436,IMPORTRANGE(""https://docs.google.com/spreadsheets/d/1Uw7-A9f9R21vMXxHZFNpYNeKFtG8_yji4HS352LGlSQ/edit?pli=1#gid=0"",""1_ACUM!A4:S""),17,FALSE))"),"")</f>
        <v/>
      </c>
      <c r="BE170" s="44" t="str">
        <f ca="1">IFERROR(__xludf.DUMMYFUNCTION("IFERROR(VLOOKUP(E436&amp;F436,IMPORTRANGE(""https://docs.google.com/spreadsheets/d/1Uw7-A9f9R21vMXxHZFNpYNeKFtG8_yji4HS352LGlSQ/edit?pli=1#gid=0"",""1_ACUM!A4:S""),18,FALSE))"),"")</f>
        <v/>
      </c>
      <c r="BF170" s="44" t="str">
        <f ca="1">IFERROR(__xludf.DUMMYFUNCTION("IFERROR(VLOOKUP(E436&amp;F436,IMPORTRANGE(""https://docs.google.com/spreadsheets/d/1Uw7-A9f9R21vMXxHZFNpYNeKFtG8_yji4HS352LGlSQ/edit?pli=1#gid=0"",""1_ACUM!A4:S""),19,FALSE))"),"")</f>
        <v/>
      </c>
      <c r="BG170" s="98" t="str">
        <f ca="1">IFERROR(__xludf.DUMMYFUNCTION("IFERROR(VLOOKUP(F436,IMPORTRANGE(""https://docs.google.com/spreadsheets/d/1Kvs4KS76FHFqLFIZfrDMff4kP08nblUkihrxltoGBjg/edit#gid=934712705"",""ESENCIAL!A6:BG""),5,FALSE))"),"")</f>
        <v/>
      </c>
      <c r="BH170" s="98" t="str">
        <f t="shared" si="17"/>
        <v/>
      </c>
      <c r="BI170" s="99" t="str">
        <f t="shared" si="18"/>
        <v/>
      </c>
      <c r="BJ170" s="100" t="str">
        <f ca="1">IFERROR(__xludf.DUMMYFUNCTION("IFERROR(VLOOKUP(F436,IMPORTRANGE(""https://docs.google.com/spreadsheets/d/1Kvs4KS76FHFqLFIZfrDMff4kP08nblUkihrxltoGBjg/edit#gid=934712705"",""ESENCIAL!A6:BG""),2,FALSE))"),"")</f>
        <v/>
      </c>
      <c r="BK170" s="19" t="str">
        <f t="shared" si="19"/>
        <v/>
      </c>
      <c r="BL170" s="100"/>
      <c r="BM170" s="100"/>
    </row>
    <row r="171" spans="2:65" ht="15">
      <c r="B171" s="39"/>
      <c r="C171" s="5"/>
      <c r="D171" s="123"/>
      <c r="E171" s="39"/>
      <c r="F171" s="39"/>
      <c r="G171" s="39"/>
      <c r="H171" s="5" t="str">
        <f ca="1">IFERROR(__xludf.DUMMYFUNCTION("IFERROR(VLOOKUP(F437,IMPORTRANGE(""https://docs.google.com/spreadsheets/d/1Kvs4KS76FHFqLFIZfrDMff4kP08nblUkihrxltoGBjg/edit#gid=934712705"",""ESENCIAL!A6:BG""),3,FALSE))"),"")</f>
        <v/>
      </c>
      <c r="I171" s="5" t="str">
        <f ca="1">IFERROR(__xludf.DUMMYFUNCTION("IFERROR(VLOOKUP(F437,IMPORTRANGE(""https://docs.google.com/spreadsheets/d/1Kvs4KS76FHFqLFIZfrDMff4kP08nblUkihrxltoGBjg/edit#gid=934712705"",""ESENCIAL!A6:BG""),8,FALSE))"),"")</f>
        <v/>
      </c>
      <c r="J171" s="39"/>
      <c r="M171" s="287"/>
      <c r="AV171" s="41" t="str">
        <f t="shared" si="16"/>
        <v/>
      </c>
      <c r="AW171" s="5" t="str">
        <f ca="1">IFERROR(__xludf.DUMMYFUNCTION("IFERROR(VLOOKUP(E437&amp;F437,IMPORTRANGE(""https://docs.google.com/spreadsheets/d/1Uw7-A9f9R21vMXxHZFNpYNeKFtG8_yji4HS352LGlSQ/edit?pli=1#gid=0"",""1_ACUM!A4:S""),11,FALSE))"),"")</f>
        <v/>
      </c>
      <c r="AX171" s="42" t="str">
        <f ca="1">IFERROR(__xludf.DUMMYFUNCTION("IFERROR(VLOOKUP(F437,IMPORTRANGE(""https://docs.google.com/spreadsheets/d/1Kvs4KS76FHFqLFIZfrDMff4kP08nblUkihrxltoGBjg/edit#gid=934712705"",""ESENCIAL!A6:BG""),15,FALSE))"),"")</f>
        <v/>
      </c>
      <c r="AY171" s="110" t="str">
        <f ca="1">IFERROR(__xludf.DUMMYFUNCTION("IFERROR(VLOOKUP(E437&amp;F437,IMPORTRANGE(""https://docs.google.com/spreadsheets/d/1Uw7-A9f9R21vMXxHZFNpYNeKFtG8_yji4HS352LGlSQ/edit?pli=1#gid=0"",""1_ACUM!A4:S""),13,FALSE))"),"")</f>
        <v/>
      </c>
      <c r="AZ171" s="43" t="str">
        <f ca="1">IFERROR(__xludf.DUMMYFUNCTION("IFERROR(VLOOKUP(E437&amp;F437,IMPORTRANGE(""https://docs.google.com/spreadsheets/d/1Uw7-A9f9R21vMXxHZFNpYNeKFtG8_yji4HS352LGlSQ/edit?pli=1#gid=0"",""1_ACUM!A4:S""),13,FALSE))"),"")</f>
        <v/>
      </c>
      <c r="BA171" s="43" t="str">
        <f ca="1">IFERROR(__xludf.DUMMYFUNCTION("IFERROR(VLOOKUP(E437&amp;F437,IMPORTRANGE(""https://docs.google.com/spreadsheets/d/1Uw7-A9f9R21vMXxHZFNpYNeKFtG8_yji4HS352LGlSQ/edit?pli=1#gid=0"",""1_ACUM!A4:S""),14,FALSE))"),"")</f>
        <v/>
      </c>
      <c r="BB171" s="43" t="str">
        <f ca="1">IFERROR(__xludf.DUMMYFUNCTION("IFERROR(VLOOKUP(E437&amp;F437,IMPORTRANGE(""https://docs.google.com/spreadsheets/d/1Uw7-A9f9R21vMXxHZFNpYNeKFtG8_yji4HS352LGlSQ/edit?pli=1#gid=0"",""1_ACUM!A4:S""),15,FALSE))"),"")</f>
        <v/>
      </c>
      <c r="BC171" s="43" t="str">
        <f ca="1">IFERROR(__xludf.DUMMYFUNCTION("IFERROR(VLOOKUP(E437&amp;F437,IMPORTRANGE(""https://docs.google.com/spreadsheets/d/1Uw7-A9f9R21vMXxHZFNpYNeKFtG8_yji4HS352LGlSQ/edit?pli=1#gid=0"",""1_ACUM!A4:S""),16,FALSE))"),"")</f>
        <v/>
      </c>
      <c r="BD171" s="43" t="str">
        <f ca="1">IFERROR(__xludf.DUMMYFUNCTION("IFERROR(VLOOKUP(E437&amp;F437,IMPORTRANGE(""https://docs.google.com/spreadsheets/d/1Uw7-A9f9R21vMXxHZFNpYNeKFtG8_yji4HS352LGlSQ/edit?pli=1#gid=0"",""1_ACUM!A4:S""),17,FALSE))"),"")</f>
        <v/>
      </c>
      <c r="BE171" s="44" t="str">
        <f ca="1">IFERROR(__xludf.DUMMYFUNCTION("IFERROR(VLOOKUP(E437&amp;F437,IMPORTRANGE(""https://docs.google.com/spreadsheets/d/1Uw7-A9f9R21vMXxHZFNpYNeKFtG8_yji4HS352LGlSQ/edit?pli=1#gid=0"",""1_ACUM!A4:S""),18,FALSE))"),"")</f>
        <v/>
      </c>
      <c r="BF171" s="44" t="str">
        <f ca="1">IFERROR(__xludf.DUMMYFUNCTION("IFERROR(VLOOKUP(E437&amp;F437,IMPORTRANGE(""https://docs.google.com/spreadsheets/d/1Uw7-A9f9R21vMXxHZFNpYNeKFtG8_yji4HS352LGlSQ/edit?pli=1#gid=0"",""1_ACUM!A4:S""),19,FALSE))"),"")</f>
        <v/>
      </c>
      <c r="BG171" s="98" t="str">
        <f ca="1">IFERROR(__xludf.DUMMYFUNCTION("IFERROR(VLOOKUP(F437,IMPORTRANGE(""https://docs.google.com/spreadsheets/d/1Kvs4KS76FHFqLFIZfrDMff4kP08nblUkihrxltoGBjg/edit#gid=934712705"",""ESENCIAL!A6:BG""),5,FALSE))"),"")</f>
        <v/>
      </c>
      <c r="BH171" s="98" t="str">
        <f t="shared" si="17"/>
        <v/>
      </c>
      <c r="BI171" s="99" t="str">
        <f t="shared" si="18"/>
        <v/>
      </c>
      <c r="BJ171" s="100" t="str">
        <f ca="1">IFERROR(__xludf.DUMMYFUNCTION("IFERROR(VLOOKUP(F437,IMPORTRANGE(""https://docs.google.com/spreadsheets/d/1Kvs4KS76FHFqLFIZfrDMff4kP08nblUkihrxltoGBjg/edit#gid=934712705"",""ESENCIAL!A6:BG""),2,FALSE))"),"")</f>
        <v/>
      </c>
      <c r="BK171" s="19" t="str">
        <f t="shared" si="19"/>
        <v/>
      </c>
      <c r="BL171" s="100"/>
      <c r="BM171" s="100"/>
    </row>
    <row r="172" spans="2:65" ht="15">
      <c r="B172" s="39"/>
      <c r="C172" s="5"/>
      <c r="D172" s="123"/>
      <c r="E172" s="39"/>
      <c r="F172" s="39"/>
      <c r="G172" s="39"/>
      <c r="H172" s="5" t="str">
        <f ca="1">IFERROR(__xludf.DUMMYFUNCTION("IFERROR(VLOOKUP(F438,IMPORTRANGE(""https://docs.google.com/spreadsheets/d/1Kvs4KS76FHFqLFIZfrDMff4kP08nblUkihrxltoGBjg/edit#gid=934712705"",""ESENCIAL!A6:BG""),3,FALSE))"),"")</f>
        <v/>
      </c>
      <c r="I172" s="5" t="str">
        <f ca="1">IFERROR(__xludf.DUMMYFUNCTION("IFERROR(VLOOKUP(F438,IMPORTRANGE(""https://docs.google.com/spreadsheets/d/1Kvs4KS76FHFqLFIZfrDMff4kP08nblUkihrxltoGBjg/edit#gid=934712705"",""ESENCIAL!A6:BG""),8,FALSE))"),"")</f>
        <v/>
      </c>
      <c r="J172" s="39"/>
      <c r="M172" s="287"/>
      <c r="AV172" s="41" t="str">
        <f t="shared" si="16"/>
        <v/>
      </c>
      <c r="AW172" s="5" t="str">
        <f ca="1">IFERROR(__xludf.DUMMYFUNCTION("IFERROR(VLOOKUP(E438&amp;F438,IMPORTRANGE(""https://docs.google.com/spreadsheets/d/1Uw7-A9f9R21vMXxHZFNpYNeKFtG8_yji4HS352LGlSQ/edit?pli=1#gid=0"",""1_ACUM!A4:S""),11,FALSE))"),"")</f>
        <v/>
      </c>
      <c r="AX172" s="42" t="str">
        <f ca="1">IFERROR(__xludf.DUMMYFUNCTION("IFERROR(VLOOKUP(F438,IMPORTRANGE(""https://docs.google.com/spreadsheets/d/1Kvs4KS76FHFqLFIZfrDMff4kP08nblUkihrxltoGBjg/edit#gid=934712705"",""ESENCIAL!A6:BG""),15,FALSE))"),"")</f>
        <v/>
      </c>
      <c r="AY172" s="110" t="str">
        <f ca="1">IFERROR(__xludf.DUMMYFUNCTION("IFERROR(VLOOKUP(E438&amp;F438,IMPORTRANGE(""https://docs.google.com/spreadsheets/d/1Uw7-A9f9R21vMXxHZFNpYNeKFtG8_yji4HS352LGlSQ/edit?pli=1#gid=0"",""1_ACUM!A4:S""),13,FALSE))"),"")</f>
        <v/>
      </c>
      <c r="AZ172" s="43" t="str">
        <f ca="1">IFERROR(__xludf.DUMMYFUNCTION("IFERROR(VLOOKUP(E438&amp;F438,IMPORTRANGE(""https://docs.google.com/spreadsheets/d/1Uw7-A9f9R21vMXxHZFNpYNeKFtG8_yji4HS352LGlSQ/edit?pli=1#gid=0"",""1_ACUM!A4:S""),13,FALSE))"),"")</f>
        <v/>
      </c>
      <c r="BA172" s="43" t="str">
        <f ca="1">IFERROR(__xludf.DUMMYFUNCTION("IFERROR(VLOOKUP(E438&amp;F438,IMPORTRANGE(""https://docs.google.com/spreadsheets/d/1Uw7-A9f9R21vMXxHZFNpYNeKFtG8_yji4HS352LGlSQ/edit?pli=1#gid=0"",""1_ACUM!A4:S""),14,FALSE))"),"")</f>
        <v/>
      </c>
      <c r="BB172" s="43" t="str">
        <f ca="1">IFERROR(__xludf.DUMMYFUNCTION("IFERROR(VLOOKUP(E438&amp;F438,IMPORTRANGE(""https://docs.google.com/spreadsheets/d/1Uw7-A9f9R21vMXxHZFNpYNeKFtG8_yji4HS352LGlSQ/edit?pli=1#gid=0"",""1_ACUM!A4:S""),15,FALSE))"),"")</f>
        <v/>
      </c>
      <c r="BC172" s="43" t="str">
        <f ca="1">IFERROR(__xludf.DUMMYFUNCTION("IFERROR(VLOOKUP(E438&amp;F438,IMPORTRANGE(""https://docs.google.com/spreadsheets/d/1Uw7-A9f9R21vMXxHZFNpYNeKFtG8_yji4HS352LGlSQ/edit?pli=1#gid=0"",""1_ACUM!A4:S""),16,FALSE))"),"")</f>
        <v/>
      </c>
      <c r="BD172" s="43" t="str">
        <f ca="1">IFERROR(__xludf.DUMMYFUNCTION("IFERROR(VLOOKUP(E438&amp;F438,IMPORTRANGE(""https://docs.google.com/spreadsheets/d/1Uw7-A9f9R21vMXxHZFNpYNeKFtG8_yji4HS352LGlSQ/edit?pli=1#gid=0"",""1_ACUM!A4:S""),17,FALSE))"),"")</f>
        <v/>
      </c>
      <c r="BE172" s="44" t="str">
        <f ca="1">IFERROR(__xludf.DUMMYFUNCTION("IFERROR(VLOOKUP(E438&amp;F438,IMPORTRANGE(""https://docs.google.com/spreadsheets/d/1Uw7-A9f9R21vMXxHZFNpYNeKFtG8_yji4HS352LGlSQ/edit?pli=1#gid=0"",""1_ACUM!A4:S""),18,FALSE))"),"")</f>
        <v/>
      </c>
      <c r="BF172" s="44" t="str">
        <f ca="1">IFERROR(__xludf.DUMMYFUNCTION("IFERROR(VLOOKUP(E438&amp;F438,IMPORTRANGE(""https://docs.google.com/spreadsheets/d/1Uw7-A9f9R21vMXxHZFNpYNeKFtG8_yji4HS352LGlSQ/edit?pli=1#gid=0"",""1_ACUM!A4:S""),19,FALSE))"),"")</f>
        <v/>
      </c>
      <c r="BG172" s="98" t="str">
        <f ca="1">IFERROR(__xludf.DUMMYFUNCTION("IFERROR(VLOOKUP(F438,IMPORTRANGE(""https://docs.google.com/spreadsheets/d/1Kvs4KS76FHFqLFIZfrDMff4kP08nblUkihrxltoGBjg/edit#gid=934712705"",""ESENCIAL!A6:BG""),5,FALSE))"),"")</f>
        <v/>
      </c>
      <c r="BH172" s="98" t="str">
        <f t="shared" si="17"/>
        <v/>
      </c>
      <c r="BI172" s="99" t="str">
        <f t="shared" si="18"/>
        <v/>
      </c>
      <c r="BJ172" s="100" t="str">
        <f ca="1">IFERROR(__xludf.DUMMYFUNCTION("IFERROR(VLOOKUP(F438,IMPORTRANGE(""https://docs.google.com/spreadsheets/d/1Kvs4KS76FHFqLFIZfrDMff4kP08nblUkihrxltoGBjg/edit#gid=934712705"",""ESENCIAL!A6:BG""),2,FALSE))"),"")</f>
        <v/>
      </c>
      <c r="BK172" s="19" t="str">
        <f t="shared" si="19"/>
        <v/>
      </c>
      <c r="BL172" s="100"/>
      <c r="BM172" s="100"/>
    </row>
    <row r="173" spans="2:65" ht="15">
      <c r="B173" s="39"/>
      <c r="C173" s="5"/>
      <c r="D173" s="123"/>
      <c r="E173" s="39"/>
      <c r="F173" s="39"/>
      <c r="G173" s="39"/>
      <c r="H173" s="5" t="str">
        <f ca="1">IFERROR(__xludf.DUMMYFUNCTION("IFERROR(VLOOKUP(F439,IMPORTRANGE(""https://docs.google.com/spreadsheets/d/1Kvs4KS76FHFqLFIZfrDMff4kP08nblUkihrxltoGBjg/edit#gid=934712705"",""ESENCIAL!A6:BG""),3,FALSE))"),"")</f>
        <v/>
      </c>
      <c r="I173" s="5" t="str">
        <f ca="1">IFERROR(__xludf.DUMMYFUNCTION("IFERROR(VLOOKUP(F439,IMPORTRANGE(""https://docs.google.com/spreadsheets/d/1Kvs4KS76FHFqLFIZfrDMff4kP08nblUkihrxltoGBjg/edit#gid=934712705"",""ESENCIAL!A6:BG""),8,FALSE))"),"")</f>
        <v/>
      </c>
      <c r="J173" s="39"/>
      <c r="M173" s="287"/>
      <c r="AV173" s="41" t="str">
        <f t="shared" si="16"/>
        <v/>
      </c>
      <c r="AW173" s="5" t="str">
        <f ca="1">IFERROR(__xludf.DUMMYFUNCTION("IFERROR(VLOOKUP(E439&amp;F439,IMPORTRANGE(""https://docs.google.com/spreadsheets/d/1Uw7-A9f9R21vMXxHZFNpYNeKFtG8_yji4HS352LGlSQ/edit?pli=1#gid=0"",""1_ACUM!A4:S""),11,FALSE))"),"")</f>
        <v/>
      </c>
      <c r="AX173" s="42" t="str">
        <f ca="1">IFERROR(__xludf.DUMMYFUNCTION("IFERROR(VLOOKUP(F439,IMPORTRANGE(""https://docs.google.com/spreadsheets/d/1Kvs4KS76FHFqLFIZfrDMff4kP08nblUkihrxltoGBjg/edit#gid=934712705"",""ESENCIAL!A6:BG""),15,FALSE))"),"")</f>
        <v/>
      </c>
      <c r="AY173" s="110" t="str">
        <f ca="1">IFERROR(__xludf.DUMMYFUNCTION("IFERROR(VLOOKUP(E439&amp;F439,IMPORTRANGE(""https://docs.google.com/spreadsheets/d/1Uw7-A9f9R21vMXxHZFNpYNeKFtG8_yji4HS352LGlSQ/edit?pli=1#gid=0"",""1_ACUM!A4:S""),13,FALSE))"),"")</f>
        <v/>
      </c>
      <c r="AZ173" s="43" t="str">
        <f ca="1">IFERROR(__xludf.DUMMYFUNCTION("IFERROR(VLOOKUP(E439&amp;F439,IMPORTRANGE(""https://docs.google.com/spreadsheets/d/1Uw7-A9f9R21vMXxHZFNpYNeKFtG8_yji4HS352LGlSQ/edit?pli=1#gid=0"",""1_ACUM!A4:S""),13,FALSE))"),"")</f>
        <v/>
      </c>
      <c r="BA173" s="43" t="str">
        <f ca="1">IFERROR(__xludf.DUMMYFUNCTION("IFERROR(VLOOKUP(E439&amp;F439,IMPORTRANGE(""https://docs.google.com/spreadsheets/d/1Uw7-A9f9R21vMXxHZFNpYNeKFtG8_yji4HS352LGlSQ/edit?pli=1#gid=0"",""1_ACUM!A4:S""),14,FALSE))"),"")</f>
        <v/>
      </c>
      <c r="BB173" s="43" t="str">
        <f ca="1">IFERROR(__xludf.DUMMYFUNCTION("IFERROR(VLOOKUP(E439&amp;F439,IMPORTRANGE(""https://docs.google.com/spreadsheets/d/1Uw7-A9f9R21vMXxHZFNpYNeKFtG8_yji4HS352LGlSQ/edit?pli=1#gid=0"",""1_ACUM!A4:S""),15,FALSE))"),"")</f>
        <v/>
      </c>
      <c r="BC173" s="43" t="str">
        <f ca="1">IFERROR(__xludf.DUMMYFUNCTION("IFERROR(VLOOKUP(E439&amp;F439,IMPORTRANGE(""https://docs.google.com/spreadsheets/d/1Uw7-A9f9R21vMXxHZFNpYNeKFtG8_yji4HS352LGlSQ/edit?pli=1#gid=0"",""1_ACUM!A4:S""),16,FALSE))"),"")</f>
        <v/>
      </c>
      <c r="BD173" s="43" t="str">
        <f ca="1">IFERROR(__xludf.DUMMYFUNCTION("IFERROR(VLOOKUP(E439&amp;F439,IMPORTRANGE(""https://docs.google.com/spreadsheets/d/1Uw7-A9f9R21vMXxHZFNpYNeKFtG8_yji4HS352LGlSQ/edit?pli=1#gid=0"",""1_ACUM!A4:S""),17,FALSE))"),"")</f>
        <v/>
      </c>
      <c r="BE173" s="44" t="str">
        <f ca="1">IFERROR(__xludf.DUMMYFUNCTION("IFERROR(VLOOKUP(E439&amp;F439,IMPORTRANGE(""https://docs.google.com/spreadsheets/d/1Uw7-A9f9R21vMXxHZFNpYNeKFtG8_yji4HS352LGlSQ/edit?pli=1#gid=0"",""1_ACUM!A4:S""),18,FALSE))"),"")</f>
        <v/>
      </c>
      <c r="BF173" s="44" t="str">
        <f ca="1">IFERROR(__xludf.DUMMYFUNCTION("IFERROR(VLOOKUP(E439&amp;F439,IMPORTRANGE(""https://docs.google.com/spreadsheets/d/1Uw7-A9f9R21vMXxHZFNpYNeKFtG8_yji4HS352LGlSQ/edit?pli=1#gid=0"",""1_ACUM!A4:S""),19,FALSE))"),"")</f>
        <v/>
      </c>
      <c r="BG173" s="98" t="str">
        <f ca="1">IFERROR(__xludf.DUMMYFUNCTION("IFERROR(VLOOKUP(F439,IMPORTRANGE(""https://docs.google.com/spreadsheets/d/1Kvs4KS76FHFqLFIZfrDMff4kP08nblUkihrxltoGBjg/edit#gid=934712705"",""ESENCIAL!A6:BG""),5,FALSE))"),"")</f>
        <v/>
      </c>
      <c r="BH173" s="98" t="str">
        <f t="shared" si="17"/>
        <v/>
      </c>
      <c r="BI173" s="99" t="str">
        <f t="shared" si="18"/>
        <v/>
      </c>
      <c r="BJ173" s="100" t="str">
        <f ca="1">IFERROR(__xludf.DUMMYFUNCTION("IFERROR(VLOOKUP(F439,IMPORTRANGE(""https://docs.google.com/spreadsheets/d/1Kvs4KS76FHFqLFIZfrDMff4kP08nblUkihrxltoGBjg/edit#gid=934712705"",""ESENCIAL!A6:BG""),2,FALSE))"),"")</f>
        <v/>
      </c>
      <c r="BK173" s="19" t="str">
        <f t="shared" si="19"/>
        <v/>
      </c>
      <c r="BL173" s="100"/>
      <c r="BM173" s="100"/>
    </row>
    <row r="174" spans="2:65" ht="15">
      <c r="B174" s="39"/>
      <c r="C174" s="5"/>
      <c r="D174" s="123"/>
      <c r="E174" s="39"/>
      <c r="F174" s="39"/>
      <c r="G174" s="39"/>
      <c r="H174" s="5" t="str">
        <f ca="1">IFERROR(__xludf.DUMMYFUNCTION("IFERROR(VLOOKUP(F440,IMPORTRANGE(""https://docs.google.com/spreadsheets/d/1Kvs4KS76FHFqLFIZfrDMff4kP08nblUkihrxltoGBjg/edit#gid=934712705"",""ESENCIAL!A6:BG""),3,FALSE))"),"")</f>
        <v/>
      </c>
      <c r="I174" s="5" t="str">
        <f ca="1">IFERROR(__xludf.DUMMYFUNCTION("IFERROR(VLOOKUP(F440,IMPORTRANGE(""https://docs.google.com/spreadsheets/d/1Kvs4KS76FHFqLFIZfrDMff4kP08nblUkihrxltoGBjg/edit#gid=934712705"",""ESENCIAL!A6:BG""),8,FALSE))"),"")</f>
        <v/>
      </c>
      <c r="J174" s="39"/>
      <c r="M174" s="287"/>
      <c r="AV174" s="41" t="str">
        <f t="shared" si="16"/>
        <v/>
      </c>
      <c r="AW174" s="5" t="str">
        <f ca="1">IFERROR(__xludf.DUMMYFUNCTION("IFERROR(VLOOKUP(E440&amp;F440,IMPORTRANGE(""https://docs.google.com/spreadsheets/d/1Uw7-A9f9R21vMXxHZFNpYNeKFtG8_yji4HS352LGlSQ/edit?pli=1#gid=0"",""1_ACUM!A4:S""),11,FALSE))"),"")</f>
        <v/>
      </c>
      <c r="AX174" s="42" t="str">
        <f ca="1">IFERROR(__xludf.DUMMYFUNCTION("IFERROR(VLOOKUP(F440,IMPORTRANGE(""https://docs.google.com/spreadsheets/d/1Kvs4KS76FHFqLFIZfrDMff4kP08nblUkihrxltoGBjg/edit#gid=934712705"",""ESENCIAL!A6:BG""),15,FALSE))"),"")</f>
        <v/>
      </c>
      <c r="AY174" s="110" t="str">
        <f ca="1">IFERROR(__xludf.DUMMYFUNCTION("IFERROR(VLOOKUP(E440&amp;F440,IMPORTRANGE(""https://docs.google.com/spreadsheets/d/1Uw7-A9f9R21vMXxHZFNpYNeKFtG8_yji4HS352LGlSQ/edit?pli=1#gid=0"",""1_ACUM!A4:S""),13,FALSE))"),"")</f>
        <v/>
      </c>
      <c r="AZ174" s="43" t="str">
        <f ca="1">IFERROR(__xludf.DUMMYFUNCTION("IFERROR(VLOOKUP(E440&amp;F440,IMPORTRANGE(""https://docs.google.com/spreadsheets/d/1Uw7-A9f9R21vMXxHZFNpYNeKFtG8_yji4HS352LGlSQ/edit?pli=1#gid=0"",""1_ACUM!A4:S""),13,FALSE))"),"")</f>
        <v/>
      </c>
      <c r="BA174" s="43" t="str">
        <f ca="1">IFERROR(__xludf.DUMMYFUNCTION("IFERROR(VLOOKUP(E440&amp;F440,IMPORTRANGE(""https://docs.google.com/spreadsheets/d/1Uw7-A9f9R21vMXxHZFNpYNeKFtG8_yji4HS352LGlSQ/edit?pli=1#gid=0"",""1_ACUM!A4:S""),14,FALSE))"),"")</f>
        <v/>
      </c>
      <c r="BB174" s="43" t="str">
        <f ca="1">IFERROR(__xludf.DUMMYFUNCTION("IFERROR(VLOOKUP(E440&amp;F440,IMPORTRANGE(""https://docs.google.com/spreadsheets/d/1Uw7-A9f9R21vMXxHZFNpYNeKFtG8_yji4HS352LGlSQ/edit?pli=1#gid=0"",""1_ACUM!A4:S""),15,FALSE))"),"")</f>
        <v/>
      </c>
      <c r="BC174" s="43" t="str">
        <f ca="1">IFERROR(__xludf.DUMMYFUNCTION("IFERROR(VLOOKUP(E440&amp;F440,IMPORTRANGE(""https://docs.google.com/spreadsheets/d/1Uw7-A9f9R21vMXxHZFNpYNeKFtG8_yji4HS352LGlSQ/edit?pli=1#gid=0"",""1_ACUM!A4:S""),16,FALSE))"),"")</f>
        <v/>
      </c>
      <c r="BD174" s="43" t="str">
        <f ca="1">IFERROR(__xludf.DUMMYFUNCTION("IFERROR(VLOOKUP(E440&amp;F440,IMPORTRANGE(""https://docs.google.com/spreadsheets/d/1Uw7-A9f9R21vMXxHZFNpYNeKFtG8_yji4HS352LGlSQ/edit?pli=1#gid=0"",""1_ACUM!A4:S""),17,FALSE))"),"")</f>
        <v/>
      </c>
      <c r="BE174" s="44" t="str">
        <f ca="1">IFERROR(__xludf.DUMMYFUNCTION("IFERROR(VLOOKUP(E440&amp;F440,IMPORTRANGE(""https://docs.google.com/spreadsheets/d/1Uw7-A9f9R21vMXxHZFNpYNeKFtG8_yji4HS352LGlSQ/edit?pli=1#gid=0"",""1_ACUM!A4:S""),18,FALSE))"),"")</f>
        <v/>
      </c>
      <c r="BF174" s="44" t="str">
        <f ca="1">IFERROR(__xludf.DUMMYFUNCTION("IFERROR(VLOOKUP(E440&amp;F440,IMPORTRANGE(""https://docs.google.com/spreadsheets/d/1Uw7-A9f9R21vMXxHZFNpYNeKFtG8_yji4HS352LGlSQ/edit?pli=1#gid=0"",""1_ACUM!A4:S""),19,FALSE))"),"")</f>
        <v/>
      </c>
      <c r="BG174" s="98" t="str">
        <f ca="1">IFERROR(__xludf.DUMMYFUNCTION("IFERROR(VLOOKUP(F440,IMPORTRANGE(""https://docs.google.com/spreadsheets/d/1Kvs4KS76FHFqLFIZfrDMff4kP08nblUkihrxltoGBjg/edit#gid=934712705"",""ESENCIAL!A6:BG""),5,FALSE))"),"")</f>
        <v/>
      </c>
      <c r="BH174" s="98" t="str">
        <f t="shared" si="17"/>
        <v/>
      </c>
      <c r="BI174" s="99" t="str">
        <f t="shared" si="18"/>
        <v/>
      </c>
      <c r="BJ174" s="100" t="str">
        <f ca="1">IFERROR(__xludf.DUMMYFUNCTION("IFERROR(VLOOKUP(F440,IMPORTRANGE(""https://docs.google.com/spreadsheets/d/1Kvs4KS76FHFqLFIZfrDMff4kP08nblUkihrxltoGBjg/edit#gid=934712705"",""ESENCIAL!A6:BG""),2,FALSE))"),"")</f>
        <v/>
      </c>
      <c r="BK174" s="19" t="str">
        <f t="shared" si="19"/>
        <v/>
      </c>
      <c r="BL174" s="100"/>
      <c r="BM174" s="100"/>
    </row>
    <row r="175" spans="2:65" ht="15">
      <c r="B175" s="39"/>
      <c r="C175" s="5"/>
      <c r="D175" s="123"/>
      <c r="E175" s="39"/>
      <c r="F175" s="39"/>
      <c r="G175" s="39"/>
      <c r="H175" s="5" t="str">
        <f ca="1">IFERROR(__xludf.DUMMYFUNCTION("IFERROR(VLOOKUP(F441,IMPORTRANGE(""https://docs.google.com/spreadsheets/d/1Kvs4KS76FHFqLFIZfrDMff4kP08nblUkihrxltoGBjg/edit#gid=934712705"",""ESENCIAL!A6:BG""),3,FALSE))"),"")</f>
        <v/>
      </c>
      <c r="I175" s="5" t="str">
        <f ca="1">IFERROR(__xludf.DUMMYFUNCTION("IFERROR(VLOOKUP(F441,IMPORTRANGE(""https://docs.google.com/spreadsheets/d/1Kvs4KS76FHFqLFIZfrDMff4kP08nblUkihrxltoGBjg/edit#gid=934712705"",""ESENCIAL!A6:BG""),8,FALSE))"),"")</f>
        <v/>
      </c>
      <c r="J175" s="39"/>
      <c r="M175" s="287"/>
      <c r="AV175" s="41" t="str">
        <f t="shared" si="16"/>
        <v/>
      </c>
      <c r="AW175" s="5" t="str">
        <f ca="1">IFERROR(__xludf.DUMMYFUNCTION("IFERROR(VLOOKUP(E441&amp;F441,IMPORTRANGE(""https://docs.google.com/spreadsheets/d/1Uw7-A9f9R21vMXxHZFNpYNeKFtG8_yji4HS352LGlSQ/edit?pli=1#gid=0"",""1_ACUM!A4:S""),11,FALSE))"),"")</f>
        <v/>
      </c>
      <c r="AX175" s="42" t="str">
        <f ca="1">IFERROR(__xludf.DUMMYFUNCTION("IFERROR(VLOOKUP(F441,IMPORTRANGE(""https://docs.google.com/spreadsheets/d/1Kvs4KS76FHFqLFIZfrDMff4kP08nblUkihrxltoGBjg/edit#gid=934712705"",""ESENCIAL!A6:BG""),15,FALSE))"),"")</f>
        <v/>
      </c>
      <c r="AY175" s="110" t="str">
        <f ca="1">IFERROR(__xludf.DUMMYFUNCTION("IFERROR(VLOOKUP(E441&amp;F441,IMPORTRANGE(""https://docs.google.com/spreadsheets/d/1Uw7-A9f9R21vMXxHZFNpYNeKFtG8_yji4HS352LGlSQ/edit?pli=1#gid=0"",""1_ACUM!A4:S""),13,FALSE))"),"")</f>
        <v/>
      </c>
      <c r="AZ175" s="43" t="str">
        <f ca="1">IFERROR(__xludf.DUMMYFUNCTION("IFERROR(VLOOKUP(E441&amp;F441,IMPORTRANGE(""https://docs.google.com/spreadsheets/d/1Uw7-A9f9R21vMXxHZFNpYNeKFtG8_yji4HS352LGlSQ/edit?pli=1#gid=0"",""1_ACUM!A4:S""),13,FALSE))"),"")</f>
        <v/>
      </c>
      <c r="BA175" s="43" t="str">
        <f ca="1">IFERROR(__xludf.DUMMYFUNCTION("IFERROR(VLOOKUP(E441&amp;F441,IMPORTRANGE(""https://docs.google.com/spreadsheets/d/1Uw7-A9f9R21vMXxHZFNpYNeKFtG8_yji4HS352LGlSQ/edit?pli=1#gid=0"",""1_ACUM!A4:S""),14,FALSE))"),"")</f>
        <v/>
      </c>
      <c r="BB175" s="43" t="str">
        <f ca="1">IFERROR(__xludf.DUMMYFUNCTION("IFERROR(VLOOKUP(E441&amp;F441,IMPORTRANGE(""https://docs.google.com/spreadsheets/d/1Uw7-A9f9R21vMXxHZFNpYNeKFtG8_yji4HS352LGlSQ/edit?pli=1#gid=0"",""1_ACUM!A4:S""),15,FALSE))"),"")</f>
        <v/>
      </c>
      <c r="BC175" s="43" t="str">
        <f ca="1">IFERROR(__xludf.DUMMYFUNCTION("IFERROR(VLOOKUP(E441&amp;F441,IMPORTRANGE(""https://docs.google.com/spreadsheets/d/1Uw7-A9f9R21vMXxHZFNpYNeKFtG8_yji4HS352LGlSQ/edit?pli=1#gid=0"",""1_ACUM!A4:S""),16,FALSE))"),"")</f>
        <v/>
      </c>
      <c r="BD175" s="43" t="str">
        <f ca="1">IFERROR(__xludf.DUMMYFUNCTION("IFERROR(VLOOKUP(E441&amp;F441,IMPORTRANGE(""https://docs.google.com/spreadsheets/d/1Uw7-A9f9R21vMXxHZFNpYNeKFtG8_yji4HS352LGlSQ/edit?pli=1#gid=0"",""1_ACUM!A4:S""),17,FALSE))"),"")</f>
        <v/>
      </c>
      <c r="BE175" s="44" t="str">
        <f ca="1">IFERROR(__xludf.DUMMYFUNCTION("IFERROR(VLOOKUP(E441&amp;F441,IMPORTRANGE(""https://docs.google.com/spreadsheets/d/1Uw7-A9f9R21vMXxHZFNpYNeKFtG8_yji4HS352LGlSQ/edit?pli=1#gid=0"",""1_ACUM!A4:S""),18,FALSE))"),"")</f>
        <v/>
      </c>
      <c r="BF175" s="44" t="str">
        <f ca="1">IFERROR(__xludf.DUMMYFUNCTION("IFERROR(VLOOKUP(E441&amp;F441,IMPORTRANGE(""https://docs.google.com/spreadsheets/d/1Uw7-A9f9R21vMXxHZFNpYNeKFtG8_yji4HS352LGlSQ/edit?pli=1#gid=0"",""1_ACUM!A4:S""),19,FALSE))"),"")</f>
        <v/>
      </c>
      <c r="BG175" s="98" t="str">
        <f ca="1">IFERROR(__xludf.DUMMYFUNCTION("IFERROR(VLOOKUP(F441,IMPORTRANGE(""https://docs.google.com/spreadsheets/d/1Kvs4KS76FHFqLFIZfrDMff4kP08nblUkihrxltoGBjg/edit#gid=934712705"",""ESENCIAL!A6:BG""),5,FALSE))"),"")</f>
        <v/>
      </c>
      <c r="BH175" s="98" t="str">
        <f t="shared" si="17"/>
        <v/>
      </c>
      <c r="BI175" s="99" t="str">
        <f t="shared" si="18"/>
        <v/>
      </c>
      <c r="BJ175" s="100" t="str">
        <f ca="1">IFERROR(__xludf.DUMMYFUNCTION("IFERROR(VLOOKUP(F441,IMPORTRANGE(""https://docs.google.com/spreadsheets/d/1Kvs4KS76FHFqLFIZfrDMff4kP08nblUkihrxltoGBjg/edit#gid=934712705"",""ESENCIAL!A6:BG""),2,FALSE))"),"")</f>
        <v/>
      </c>
      <c r="BK175" s="19" t="str">
        <f t="shared" si="19"/>
        <v/>
      </c>
      <c r="BL175" s="100"/>
      <c r="BM175" s="100"/>
    </row>
    <row r="176" spans="2:65" ht="15">
      <c r="B176" s="39"/>
      <c r="C176" s="5"/>
      <c r="D176" s="123"/>
      <c r="E176" s="39"/>
      <c r="F176" s="39"/>
      <c r="G176" s="39"/>
      <c r="H176" s="5" t="str">
        <f ca="1">IFERROR(__xludf.DUMMYFUNCTION("IFERROR(VLOOKUP(F442,IMPORTRANGE(""https://docs.google.com/spreadsheets/d/1Kvs4KS76FHFqLFIZfrDMff4kP08nblUkihrxltoGBjg/edit#gid=934712705"",""ESENCIAL!A6:BG""),3,FALSE))"),"")</f>
        <v/>
      </c>
      <c r="I176" s="5" t="str">
        <f ca="1">IFERROR(__xludf.DUMMYFUNCTION("IFERROR(VLOOKUP(F442,IMPORTRANGE(""https://docs.google.com/spreadsheets/d/1Kvs4KS76FHFqLFIZfrDMff4kP08nblUkihrxltoGBjg/edit#gid=934712705"",""ESENCIAL!A6:BG""),8,FALSE))"),"")</f>
        <v/>
      </c>
      <c r="J176" s="39"/>
      <c r="M176" s="287"/>
      <c r="AV176" s="41" t="str">
        <f t="shared" si="16"/>
        <v/>
      </c>
      <c r="AW176" s="5" t="str">
        <f ca="1">IFERROR(__xludf.DUMMYFUNCTION("IFERROR(VLOOKUP(E442&amp;F442,IMPORTRANGE(""https://docs.google.com/spreadsheets/d/1Uw7-A9f9R21vMXxHZFNpYNeKFtG8_yji4HS352LGlSQ/edit?pli=1#gid=0"",""1_ACUM!A4:S""),11,FALSE))"),"")</f>
        <v/>
      </c>
      <c r="AX176" s="42" t="str">
        <f ca="1">IFERROR(__xludf.DUMMYFUNCTION("IFERROR(VLOOKUP(F442,IMPORTRANGE(""https://docs.google.com/spreadsheets/d/1Kvs4KS76FHFqLFIZfrDMff4kP08nblUkihrxltoGBjg/edit#gid=934712705"",""ESENCIAL!A6:BG""),15,FALSE))"),"")</f>
        <v/>
      </c>
      <c r="AY176" s="110" t="str">
        <f ca="1">IFERROR(__xludf.DUMMYFUNCTION("IFERROR(VLOOKUP(E442&amp;F442,IMPORTRANGE(""https://docs.google.com/spreadsheets/d/1Uw7-A9f9R21vMXxHZFNpYNeKFtG8_yji4HS352LGlSQ/edit?pli=1#gid=0"",""1_ACUM!A4:S""),13,FALSE))"),"")</f>
        <v/>
      </c>
      <c r="AZ176" s="43" t="str">
        <f ca="1">IFERROR(__xludf.DUMMYFUNCTION("IFERROR(VLOOKUP(E442&amp;F442,IMPORTRANGE(""https://docs.google.com/spreadsheets/d/1Uw7-A9f9R21vMXxHZFNpYNeKFtG8_yji4HS352LGlSQ/edit?pli=1#gid=0"",""1_ACUM!A4:S""),13,FALSE))"),"")</f>
        <v/>
      </c>
      <c r="BA176" s="43" t="str">
        <f ca="1">IFERROR(__xludf.DUMMYFUNCTION("IFERROR(VLOOKUP(E442&amp;F442,IMPORTRANGE(""https://docs.google.com/spreadsheets/d/1Uw7-A9f9R21vMXxHZFNpYNeKFtG8_yji4HS352LGlSQ/edit?pli=1#gid=0"",""1_ACUM!A4:S""),14,FALSE))"),"")</f>
        <v/>
      </c>
      <c r="BB176" s="43" t="str">
        <f ca="1">IFERROR(__xludf.DUMMYFUNCTION("IFERROR(VLOOKUP(E442&amp;F442,IMPORTRANGE(""https://docs.google.com/spreadsheets/d/1Uw7-A9f9R21vMXxHZFNpYNeKFtG8_yji4HS352LGlSQ/edit?pli=1#gid=0"",""1_ACUM!A4:S""),15,FALSE))"),"")</f>
        <v/>
      </c>
      <c r="BC176" s="43" t="str">
        <f ca="1">IFERROR(__xludf.DUMMYFUNCTION("IFERROR(VLOOKUP(E442&amp;F442,IMPORTRANGE(""https://docs.google.com/spreadsheets/d/1Uw7-A9f9R21vMXxHZFNpYNeKFtG8_yji4HS352LGlSQ/edit?pli=1#gid=0"",""1_ACUM!A4:S""),16,FALSE))"),"")</f>
        <v/>
      </c>
      <c r="BD176" s="43" t="str">
        <f ca="1">IFERROR(__xludf.DUMMYFUNCTION("IFERROR(VLOOKUP(E442&amp;F442,IMPORTRANGE(""https://docs.google.com/spreadsheets/d/1Uw7-A9f9R21vMXxHZFNpYNeKFtG8_yji4HS352LGlSQ/edit?pli=1#gid=0"",""1_ACUM!A4:S""),17,FALSE))"),"")</f>
        <v/>
      </c>
      <c r="BE176" s="44" t="str">
        <f ca="1">IFERROR(__xludf.DUMMYFUNCTION("IFERROR(VLOOKUP(E442&amp;F442,IMPORTRANGE(""https://docs.google.com/spreadsheets/d/1Uw7-A9f9R21vMXxHZFNpYNeKFtG8_yji4HS352LGlSQ/edit?pli=1#gid=0"",""1_ACUM!A4:S""),18,FALSE))"),"")</f>
        <v/>
      </c>
      <c r="BF176" s="44" t="str">
        <f ca="1">IFERROR(__xludf.DUMMYFUNCTION("IFERROR(VLOOKUP(E442&amp;F442,IMPORTRANGE(""https://docs.google.com/spreadsheets/d/1Uw7-A9f9R21vMXxHZFNpYNeKFtG8_yji4HS352LGlSQ/edit?pli=1#gid=0"",""1_ACUM!A4:S""),19,FALSE))"),"")</f>
        <v/>
      </c>
      <c r="BG176" s="98" t="str">
        <f ca="1">IFERROR(__xludf.DUMMYFUNCTION("IFERROR(VLOOKUP(F442,IMPORTRANGE(""https://docs.google.com/spreadsheets/d/1Kvs4KS76FHFqLFIZfrDMff4kP08nblUkihrxltoGBjg/edit#gid=934712705"",""ESENCIAL!A6:BG""),5,FALSE))"),"")</f>
        <v/>
      </c>
      <c r="BH176" s="98" t="str">
        <f t="shared" si="17"/>
        <v/>
      </c>
      <c r="BI176" s="99" t="str">
        <f t="shared" si="18"/>
        <v/>
      </c>
      <c r="BJ176" s="100" t="str">
        <f ca="1">IFERROR(__xludf.DUMMYFUNCTION("IFERROR(VLOOKUP(F442,IMPORTRANGE(""https://docs.google.com/spreadsheets/d/1Kvs4KS76FHFqLFIZfrDMff4kP08nblUkihrxltoGBjg/edit#gid=934712705"",""ESENCIAL!A6:BG""),2,FALSE))"),"")</f>
        <v/>
      </c>
      <c r="BK176" s="19" t="str">
        <f t="shared" si="19"/>
        <v/>
      </c>
      <c r="BL176" s="100"/>
      <c r="BM176" s="100"/>
    </row>
    <row r="177" spans="2:65" ht="15">
      <c r="B177" s="39"/>
      <c r="C177" s="5"/>
      <c r="D177" s="123"/>
      <c r="E177" s="39"/>
      <c r="F177" s="39"/>
      <c r="G177" s="39"/>
      <c r="H177" s="5" t="str">
        <f ca="1">IFERROR(__xludf.DUMMYFUNCTION("IFERROR(VLOOKUP(F443,IMPORTRANGE(""https://docs.google.com/spreadsheets/d/1Kvs4KS76FHFqLFIZfrDMff4kP08nblUkihrxltoGBjg/edit#gid=934712705"",""ESENCIAL!A6:BG""),3,FALSE))"),"")</f>
        <v/>
      </c>
      <c r="I177" s="5" t="str">
        <f ca="1">IFERROR(__xludf.DUMMYFUNCTION("IFERROR(VLOOKUP(F443,IMPORTRANGE(""https://docs.google.com/spreadsheets/d/1Kvs4KS76FHFqLFIZfrDMff4kP08nblUkihrxltoGBjg/edit#gid=934712705"",""ESENCIAL!A6:BG""),8,FALSE))"),"")</f>
        <v/>
      </c>
      <c r="J177" s="39"/>
      <c r="M177" s="287"/>
      <c r="AV177" s="41" t="str">
        <f t="shared" si="16"/>
        <v/>
      </c>
      <c r="AW177" s="5" t="str">
        <f ca="1">IFERROR(__xludf.DUMMYFUNCTION("IFERROR(VLOOKUP(E443&amp;F443,IMPORTRANGE(""https://docs.google.com/spreadsheets/d/1Uw7-A9f9R21vMXxHZFNpYNeKFtG8_yji4HS352LGlSQ/edit?pli=1#gid=0"",""1_ACUM!A4:S""),11,FALSE))"),"")</f>
        <v/>
      </c>
      <c r="AX177" s="42" t="str">
        <f ca="1">IFERROR(__xludf.DUMMYFUNCTION("IFERROR(VLOOKUP(F443,IMPORTRANGE(""https://docs.google.com/spreadsheets/d/1Kvs4KS76FHFqLFIZfrDMff4kP08nblUkihrxltoGBjg/edit#gid=934712705"",""ESENCIAL!A6:BG""),15,FALSE))"),"")</f>
        <v/>
      </c>
      <c r="AY177" s="110" t="str">
        <f ca="1">IFERROR(__xludf.DUMMYFUNCTION("IFERROR(VLOOKUP(E443&amp;F443,IMPORTRANGE(""https://docs.google.com/spreadsheets/d/1Uw7-A9f9R21vMXxHZFNpYNeKFtG8_yji4HS352LGlSQ/edit?pli=1#gid=0"",""1_ACUM!A4:S""),13,FALSE))"),"")</f>
        <v/>
      </c>
      <c r="AZ177" s="43" t="str">
        <f ca="1">IFERROR(__xludf.DUMMYFUNCTION("IFERROR(VLOOKUP(E443&amp;F443,IMPORTRANGE(""https://docs.google.com/spreadsheets/d/1Uw7-A9f9R21vMXxHZFNpYNeKFtG8_yji4HS352LGlSQ/edit?pli=1#gid=0"",""1_ACUM!A4:S""),13,FALSE))"),"")</f>
        <v/>
      </c>
      <c r="BA177" s="43" t="str">
        <f ca="1">IFERROR(__xludf.DUMMYFUNCTION("IFERROR(VLOOKUP(E443&amp;F443,IMPORTRANGE(""https://docs.google.com/spreadsheets/d/1Uw7-A9f9R21vMXxHZFNpYNeKFtG8_yji4HS352LGlSQ/edit?pli=1#gid=0"",""1_ACUM!A4:S""),14,FALSE))"),"")</f>
        <v/>
      </c>
      <c r="BB177" s="43" t="str">
        <f ca="1">IFERROR(__xludf.DUMMYFUNCTION("IFERROR(VLOOKUP(E443&amp;F443,IMPORTRANGE(""https://docs.google.com/spreadsheets/d/1Uw7-A9f9R21vMXxHZFNpYNeKFtG8_yji4HS352LGlSQ/edit?pli=1#gid=0"",""1_ACUM!A4:S""),15,FALSE))"),"")</f>
        <v/>
      </c>
      <c r="BC177" s="43" t="str">
        <f ca="1">IFERROR(__xludf.DUMMYFUNCTION("IFERROR(VLOOKUP(E443&amp;F443,IMPORTRANGE(""https://docs.google.com/spreadsheets/d/1Uw7-A9f9R21vMXxHZFNpYNeKFtG8_yji4HS352LGlSQ/edit?pli=1#gid=0"",""1_ACUM!A4:S""),16,FALSE))"),"")</f>
        <v/>
      </c>
      <c r="BD177" s="43" t="str">
        <f ca="1">IFERROR(__xludf.DUMMYFUNCTION("IFERROR(VLOOKUP(E443&amp;F443,IMPORTRANGE(""https://docs.google.com/spreadsheets/d/1Uw7-A9f9R21vMXxHZFNpYNeKFtG8_yji4HS352LGlSQ/edit?pli=1#gid=0"",""1_ACUM!A4:S""),17,FALSE))"),"")</f>
        <v/>
      </c>
      <c r="BE177" s="44" t="str">
        <f ca="1">IFERROR(__xludf.DUMMYFUNCTION("IFERROR(VLOOKUP(E443&amp;F443,IMPORTRANGE(""https://docs.google.com/spreadsheets/d/1Uw7-A9f9R21vMXxHZFNpYNeKFtG8_yji4HS352LGlSQ/edit?pli=1#gid=0"",""1_ACUM!A4:S""),18,FALSE))"),"")</f>
        <v/>
      </c>
      <c r="BF177" s="44" t="str">
        <f ca="1">IFERROR(__xludf.DUMMYFUNCTION("IFERROR(VLOOKUP(E443&amp;F443,IMPORTRANGE(""https://docs.google.com/spreadsheets/d/1Uw7-A9f9R21vMXxHZFNpYNeKFtG8_yji4HS352LGlSQ/edit?pli=1#gid=0"",""1_ACUM!A4:S""),19,FALSE))"),"")</f>
        <v/>
      </c>
      <c r="BG177" s="98" t="str">
        <f ca="1">IFERROR(__xludf.DUMMYFUNCTION("IFERROR(VLOOKUP(F443,IMPORTRANGE(""https://docs.google.com/spreadsheets/d/1Kvs4KS76FHFqLFIZfrDMff4kP08nblUkihrxltoGBjg/edit#gid=934712705"",""ESENCIAL!A6:BG""),5,FALSE))"),"")</f>
        <v/>
      </c>
      <c r="BH177" s="98" t="str">
        <f t="shared" si="17"/>
        <v/>
      </c>
      <c r="BI177" s="99" t="str">
        <f t="shared" si="18"/>
        <v/>
      </c>
      <c r="BJ177" s="100" t="str">
        <f ca="1">IFERROR(__xludf.DUMMYFUNCTION("IFERROR(VLOOKUP(F443,IMPORTRANGE(""https://docs.google.com/spreadsheets/d/1Kvs4KS76FHFqLFIZfrDMff4kP08nblUkihrxltoGBjg/edit#gid=934712705"",""ESENCIAL!A6:BG""),2,FALSE))"),"")</f>
        <v/>
      </c>
      <c r="BK177" s="19" t="str">
        <f t="shared" si="19"/>
        <v/>
      </c>
      <c r="BL177" s="100"/>
      <c r="BM177" s="100"/>
    </row>
    <row r="178" spans="2:65" ht="15">
      <c r="B178" s="39"/>
      <c r="C178" s="5"/>
      <c r="D178" s="123"/>
      <c r="E178" s="39"/>
      <c r="F178" s="39"/>
      <c r="G178" s="39"/>
      <c r="H178" s="5" t="str">
        <f ca="1">IFERROR(__xludf.DUMMYFUNCTION("IFERROR(VLOOKUP(F444,IMPORTRANGE(""https://docs.google.com/spreadsheets/d/1Kvs4KS76FHFqLFIZfrDMff4kP08nblUkihrxltoGBjg/edit#gid=934712705"",""ESENCIAL!A6:BG""),3,FALSE))"),"")</f>
        <v/>
      </c>
      <c r="I178" s="5" t="str">
        <f ca="1">IFERROR(__xludf.DUMMYFUNCTION("IFERROR(VLOOKUP(F444,IMPORTRANGE(""https://docs.google.com/spreadsheets/d/1Kvs4KS76FHFqLFIZfrDMff4kP08nblUkihrxltoGBjg/edit#gid=934712705"",""ESENCIAL!A6:BG""),8,FALSE))"),"")</f>
        <v/>
      </c>
      <c r="J178" s="39"/>
      <c r="M178" s="287"/>
      <c r="AV178" s="41" t="str">
        <f t="shared" si="16"/>
        <v/>
      </c>
      <c r="AW178" s="5" t="str">
        <f ca="1">IFERROR(__xludf.DUMMYFUNCTION("IFERROR(VLOOKUP(E444&amp;F444,IMPORTRANGE(""https://docs.google.com/spreadsheets/d/1Uw7-A9f9R21vMXxHZFNpYNeKFtG8_yji4HS352LGlSQ/edit?pli=1#gid=0"",""1_ACUM!A4:S""),11,FALSE))"),"")</f>
        <v/>
      </c>
      <c r="AX178" s="42" t="str">
        <f ca="1">IFERROR(__xludf.DUMMYFUNCTION("IFERROR(VLOOKUP(F444,IMPORTRANGE(""https://docs.google.com/spreadsheets/d/1Kvs4KS76FHFqLFIZfrDMff4kP08nblUkihrxltoGBjg/edit#gid=934712705"",""ESENCIAL!A6:BG""),15,FALSE))"),"")</f>
        <v/>
      </c>
      <c r="AY178" s="110" t="str">
        <f ca="1">IFERROR(__xludf.DUMMYFUNCTION("IFERROR(VLOOKUP(E444&amp;F444,IMPORTRANGE(""https://docs.google.com/spreadsheets/d/1Uw7-A9f9R21vMXxHZFNpYNeKFtG8_yji4HS352LGlSQ/edit?pli=1#gid=0"",""1_ACUM!A4:S""),13,FALSE))"),"")</f>
        <v/>
      </c>
      <c r="AZ178" s="43" t="str">
        <f ca="1">IFERROR(__xludf.DUMMYFUNCTION("IFERROR(VLOOKUP(E444&amp;F444,IMPORTRANGE(""https://docs.google.com/spreadsheets/d/1Uw7-A9f9R21vMXxHZFNpYNeKFtG8_yji4HS352LGlSQ/edit?pli=1#gid=0"",""1_ACUM!A4:S""),13,FALSE))"),"")</f>
        <v/>
      </c>
      <c r="BA178" s="43" t="str">
        <f ca="1">IFERROR(__xludf.DUMMYFUNCTION("IFERROR(VLOOKUP(E444&amp;F444,IMPORTRANGE(""https://docs.google.com/spreadsheets/d/1Uw7-A9f9R21vMXxHZFNpYNeKFtG8_yji4HS352LGlSQ/edit?pli=1#gid=0"",""1_ACUM!A4:S""),14,FALSE))"),"")</f>
        <v/>
      </c>
      <c r="BB178" s="43" t="str">
        <f ca="1">IFERROR(__xludf.DUMMYFUNCTION("IFERROR(VLOOKUP(E444&amp;F444,IMPORTRANGE(""https://docs.google.com/spreadsheets/d/1Uw7-A9f9R21vMXxHZFNpYNeKFtG8_yji4HS352LGlSQ/edit?pli=1#gid=0"",""1_ACUM!A4:S""),15,FALSE))"),"")</f>
        <v/>
      </c>
      <c r="BC178" s="43" t="str">
        <f ca="1">IFERROR(__xludf.DUMMYFUNCTION("IFERROR(VLOOKUP(E444&amp;F444,IMPORTRANGE(""https://docs.google.com/spreadsheets/d/1Uw7-A9f9R21vMXxHZFNpYNeKFtG8_yji4HS352LGlSQ/edit?pli=1#gid=0"",""1_ACUM!A4:S""),16,FALSE))"),"")</f>
        <v/>
      </c>
      <c r="BD178" s="43" t="str">
        <f ca="1">IFERROR(__xludf.DUMMYFUNCTION("IFERROR(VLOOKUP(E444&amp;F444,IMPORTRANGE(""https://docs.google.com/spreadsheets/d/1Uw7-A9f9R21vMXxHZFNpYNeKFtG8_yji4HS352LGlSQ/edit?pli=1#gid=0"",""1_ACUM!A4:S""),17,FALSE))"),"")</f>
        <v/>
      </c>
      <c r="BE178" s="44" t="str">
        <f ca="1">IFERROR(__xludf.DUMMYFUNCTION("IFERROR(VLOOKUP(E444&amp;F444,IMPORTRANGE(""https://docs.google.com/spreadsheets/d/1Uw7-A9f9R21vMXxHZFNpYNeKFtG8_yji4HS352LGlSQ/edit?pli=1#gid=0"",""1_ACUM!A4:S""),18,FALSE))"),"")</f>
        <v/>
      </c>
      <c r="BF178" s="44" t="str">
        <f ca="1">IFERROR(__xludf.DUMMYFUNCTION("IFERROR(VLOOKUP(E444&amp;F444,IMPORTRANGE(""https://docs.google.com/spreadsheets/d/1Uw7-A9f9R21vMXxHZFNpYNeKFtG8_yji4HS352LGlSQ/edit?pli=1#gid=0"",""1_ACUM!A4:S""),19,FALSE))"),"")</f>
        <v/>
      </c>
      <c r="BG178" s="98" t="str">
        <f ca="1">IFERROR(__xludf.DUMMYFUNCTION("IFERROR(VLOOKUP(F444,IMPORTRANGE(""https://docs.google.com/spreadsheets/d/1Kvs4KS76FHFqLFIZfrDMff4kP08nblUkihrxltoGBjg/edit#gid=934712705"",""ESENCIAL!A6:BG""),5,FALSE))"),"")</f>
        <v/>
      </c>
      <c r="BH178" s="98" t="str">
        <f t="shared" si="17"/>
        <v/>
      </c>
      <c r="BI178" s="99" t="str">
        <f t="shared" si="18"/>
        <v/>
      </c>
      <c r="BJ178" s="100" t="str">
        <f ca="1">IFERROR(__xludf.DUMMYFUNCTION("IFERROR(VLOOKUP(F444,IMPORTRANGE(""https://docs.google.com/spreadsheets/d/1Kvs4KS76FHFqLFIZfrDMff4kP08nblUkihrxltoGBjg/edit#gid=934712705"",""ESENCIAL!A6:BG""),2,FALSE))"),"")</f>
        <v/>
      </c>
      <c r="BK178" s="19" t="str">
        <f t="shared" si="19"/>
        <v/>
      </c>
      <c r="BL178" s="100"/>
      <c r="BM178" s="100"/>
    </row>
    <row r="179" spans="2:65" ht="15">
      <c r="B179" s="39"/>
      <c r="C179" s="5"/>
      <c r="D179" s="123"/>
      <c r="E179" s="39"/>
      <c r="F179" s="39"/>
      <c r="G179" s="39"/>
      <c r="H179" s="5" t="str">
        <f ca="1">IFERROR(__xludf.DUMMYFUNCTION("IFERROR(VLOOKUP(F445,IMPORTRANGE(""https://docs.google.com/spreadsheets/d/1Kvs4KS76FHFqLFIZfrDMff4kP08nblUkihrxltoGBjg/edit#gid=934712705"",""ESENCIAL!A6:BG""),3,FALSE))"),"")</f>
        <v/>
      </c>
      <c r="I179" s="5" t="str">
        <f ca="1">IFERROR(__xludf.DUMMYFUNCTION("IFERROR(VLOOKUP(F445,IMPORTRANGE(""https://docs.google.com/spreadsheets/d/1Kvs4KS76FHFqLFIZfrDMff4kP08nblUkihrxltoGBjg/edit#gid=934712705"",""ESENCIAL!A6:BG""),8,FALSE))"),"")</f>
        <v/>
      </c>
      <c r="J179" s="39"/>
      <c r="M179" s="287"/>
      <c r="AV179" s="41" t="str">
        <f t="shared" si="16"/>
        <v/>
      </c>
      <c r="AW179" s="5" t="str">
        <f ca="1">IFERROR(__xludf.DUMMYFUNCTION("IFERROR(VLOOKUP(E445&amp;F445,IMPORTRANGE(""https://docs.google.com/spreadsheets/d/1Uw7-A9f9R21vMXxHZFNpYNeKFtG8_yji4HS352LGlSQ/edit?pli=1#gid=0"",""1_ACUM!A4:S""),11,FALSE))"),"")</f>
        <v/>
      </c>
      <c r="AX179" s="42" t="str">
        <f ca="1">IFERROR(__xludf.DUMMYFUNCTION("IFERROR(VLOOKUP(F445,IMPORTRANGE(""https://docs.google.com/spreadsheets/d/1Kvs4KS76FHFqLFIZfrDMff4kP08nblUkihrxltoGBjg/edit#gid=934712705"",""ESENCIAL!A6:BG""),15,FALSE))"),"")</f>
        <v/>
      </c>
      <c r="AY179" s="110" t="str">
        <f ca="1">IFERROR(__xludf.DUMMYFUNCTION("IFERROR(VLOOKUP(E445&amp;F445,IMPORTRANGE(""https://docs.google.com/spreadsheets/d/1Uw7-A9f9R21vMXxHZFNpYNeKFtG8_yji4HS352LGlSQ/edit?pli=1#gid=0"",""1_ACUM!A4:S""),13,FALSE))"),"")</f>
        <v/>
      </c>
      <c r="AZ179" s="43" t="str">
        <f ca="1">IFERROR(__xludf.DUMMYFUNCTION("IFERROR(VLOOKUP(E445&amp;F445,IMPORTRANGE(""https://docs.google.com/spreadsheets/d/1Uw7-A9f9R21vMXxHZFNpYNeKFtG8_yji4HS352LGlSQ/edit?pli=1#gid=0"",""1_ACUM!A4:S""),13,FALSE))"),"")</f>
        <v/>
      </c>
      <c r="BA179" s="43" t="str">
        <f ca="1">IFERROR(__xludf.DUMMYFUNCTION("IFERROR(VLOOKUP(E445&amp;F445,IMPORTRANGE(""https://docs.google.com/spreadsheets/d/1Uw7-A9f9R21vMXxHZFNpYNeKFtG8_yji4HS352LGlSQ/edit?pli=1#gid=0"",""1_ACUM!A4:S""),14,FALSE))"),"")</f>
        <v/>
      </c>
      <c r="BB179" s="43" t="str">
        <f ca="1">IFERROR(__xludf.DUMMYFUNCTION("IFERROR(VLOOKUP(E445&amp;F445,IMPORTRANGE(""https://docs.google.com/spreadsheets/d/1Uw7-A9f9R21vMXxHZFNpYNeKFtG8_yji4HS352LGlSQ/edit?pli=1#gid=0"",""1_ACUM!A4:S""),15,FALSE))"),"")</f>
        <v/>
      </c>
      <c r="BC179" s="43" t="str">
        <f ca="1">IFERROR(__xludf.DUMMYFUNCTION("IFERROR(VLOOKUP(E445&amp;F445,IMPORTRANGE(""https://docs.google.com/spreadsheets/d/1Uw7-A9f9R21vMXxHZFNpYNeKFtG8_yji4HS352LGlSQ/edit?pli=1#gid=0"",""1_ACUM!A4:S""),16,FALSE))"),"")</f>
        <v/>
      </c>
      <c r="BD179" s="43" t="str">
        <f ca="1">IFERROR(__xludf.DUMMYFUNCTION("IFERROR(VLOOKUP(E445&amp;F445,IMPORTRANGE(""https://docs.google.com/spreadsheets/d/1Uw7-A9f9R21vMXxHZFNpYNeKFtG8_yji4HS352LGlSQ/edit?pli=1#gid=0"",""1_ACUM!A4:S""),17,FALSE))"),"")</f>
        <v/>
      </c>
      <c r="BE179" s="44" t="str">
        <f ca="1">IFERROR(__xludf.DUMMYFUNCTION("IFERROR(VLOOKUP(E445&amp;F445,IMPORTRANGE(""https://docs.google.com/spreadsheets/d/1Uw7-A9f9R21vMXxHZFNpYNeKFtG8_yji4HS352LGlSQ/edit?pli=1#gid=0"",""1_ACUM!A4:S""),18,FALSE))"),"")</f>
        <v/>
      </c>
      <c r="BF179" s="44" t="str">
        <f ca="1">IFERROR(__xludf.DUMMYFUNCTION("IFERROR(VLOOKUP(E445&amp;F445,IMPORTRANGE(""https://docs.google.com/spreadsheets/d/1Uw7-A9f9R21vMXxHZFNpYNeKFtG8_yji4HS352LGlSQ/edit?pli=1#gid=0"",""1_ACUM!A4:S""),19,FALSE))"),"")</f>
        <v/>
      </c>
      <c r="BG179" s="98" t="str">
        <f ca="1">IFERROR(__xludf.DUMMYFUNCTION("IFERROR(VLOOKUP(F445,IMPORTRANGE(""https://docs.google.com/spreadsheets/d/1Kvs4KS76FHFqLFIZfrDMff4kP08nblUkihrxltoGBjg/edit#gid=934712705"",""ESENCIAL!A6:BG""),5,FALSE))"),"")</f>
        <v/>
      </c>
      <c r="BH179" s="98" t="str">
        <f t="shared" si="17"/>
        <v/>
      </c>
      <c r="BI179" s="99" t="str">
        <f t="shared" si="18"/>
        <v/>
      </c>
      <c r="BJ179" s="100" t="str">
        <f ca="1">IFERROR(__xludf.DUMMYFUNCTION("IFERROR(VLOOKUP(F445,IMPORTRANGE(""https://docs.google.com/spreadsheets/d/1Kvs4KS76FHFqLFIZfrDMff4kP08nblUkihrxltoGBjg/edit#gid=934712705"",""ESENCIAL!A6:BG""),2,FALSE))"),"")</f>
        <v/>
      </c>
      <c r="BK179" s="19" t="str">
        <f t="shared" si="19"/>
        <v/>
      </c>
      <c r="BL179" s="100"/>
      <c r="BM179" s="100"/>
    </row>
    <row r="180" spans="2:65" ht="15">
      <c r="B180" s="39"/>
      <c r="C180" s="5"/>
      <c r="D180" s="123"/>
      <c r="E180" s="39"/>
      <c r="F180" s="39"/>
      <c r="G180" s="39"/>
      <c r="H180" s="5" t="str">
        <f ca="1">IFERROR(__xludf.DUMMYFUNCTION("IFERROR(VLOOKUP(F446,IMPORTRANGE(""https://docs.google.com/spreadsheets/d/1Kvs4KS76FHFqLFIZfrDMff4kP08nblUkihrxltoGBjg/edit#gid=934712705"",""ESENCIAL!A6:BG""),3,FALSE))"),"")</f>
        <v/>
      </c>
      <c r="I180" s="5" t="str">
        <f ca="1">IFERROR(__xludf.DUMMYFUNCTION("IFERROR(VLOOKUP(F446,IMPORTRANGE(""https://docs.google.com/spreadsheets/d/1Kvs4KS76FHFqLFIZfrDMff4kP08nblUkihrxltoGBjg/edit#gid=934712705"",""ESENCIAL!A6:BG""),8,FALSE))"),"")</f>
        <v/>
      </c>
      <c r="J180" s="39"/>
      <c r="M180" s="287"/>
      <c r="AV180" s="41" t="str">
        <f t="shared" si="16"/>
        <v/>
      </c>
      <c r="AW180" s="5" t="str">
        <f ca="1">IFERROR(__xludf.DUMMYFUNCTION("IFERROR(VLOOKUP(E446&amp;F446,IMPORTRANGE(""https://docs.google.com/spreadsheets/d/1Uw7-A9f9R21vMXxHZFNpYNeKFtG8_yji4HS352LGlSQ/edit?pli=1#gid=0"",""1_ACUM!A4:S""),11,FALSE))"),"")</f>
        <v/>
      </c>
      <c r="AX180" s="42" t="str">
        <f ca="1">IFERROR(__xludf.DUMMYFUNCTION("IFERROR(VLOOKUP(F446,IMPORTRANGE(""https://docs.google.com/spreadsheets/d/1Kvs4KS76FHFqLFIZfrDMff4kP08nblUkihrxltoGBjg/edit#gid=934712705"",""ESENCIAL!A6:BG""),15,FALSE))"),"")</f>
        <v/>
      </c>
      <c r="AY180" s="110" t="str">
        <f ca="1">IFERROR(__xludf.DUMMYFUNCTION("IFERROR(VLOOKUP(E446&amp;F446,IMPORTRANGE(""https://docs.google.com/spreadsheets/d/1Uw7-A9f9R21vMXxHZFNpYNeKFtG8_yji4HS352LGlSQ/edit?pli=1#gid=0"",""1_ACUM!A4:S""),13,FALSE))"),"")</f>
        <v/>
      </c>
      <c r="AZ180" s="43" t="str">
        <f ca="1">IFERROR(__xludf.DUMMYFUNCTION("IFERROR(VLOOKUP(E446&amp;F446,IMPORTRANGE(""https://docs.google.com/spreadsheets/d/1Uw7-A9f9R21vMXxHZFNpYNeKFtG8_yji4HS352LGlSQ/edit?pli=1#gid=0"",""1_ACUM!A4:S""),13,FALSE))"),"")</f>
        <v/>
      </c>
      <c r="BA180" s="43" t="str">
        <f ca="1">IFERROR(__xludf.DUMMYFUNCTION("IFERROR(VLOOKUP(E446&amp;F446,IMPORTRANGE(""https://docs.google.com/spreadsheets/d/1Uw7-A9f9R21vMXxHZFNpYNeKFtG8_yji4HS352LGlSQ/edit?pli=1#gid=0"",""1_ACUM!A4:S""),14,FALSE))"),"")</f>
        <v/>
      </c>
      <c r="BB180" s="43" t="str">
        <f ca="1">IFERROR(__xludf.DUMMYFUNCTION("IFERROR(VLOOKUP(E446&amp;F446,IMPORTRANGE(""https://docs.google.com/spreadsheets/d/1Uw7-A9f9R21vMXxHZFNpYNeKFtG8_yji4HS352LGlSQ/edit?pli=1#gid=0"",""1_ACUM!A4:S""),15,FALSE))"),"")</f>
        <v/>
      </c>
      <c r="BC180" s="43" t="str">
        <f ca="1">IFERROR(__xludf.DUMMYFUNCTION("IFERROR(VLOOKUP(E446&amp;F446,IMPORTRANGE(""https://docs.google.com/spreadsheets/d/1Uw7-A9f9R21vMXxHZFNpYNeKFtG8_yji4HS352LGlSQ/edit?pli=1#gid=0"",""1_ACUM!A4:S""),16,FALSE))"),"")</f>
        <v/>
      </c>
      <c r="BD180" s="43" t="str">
        <f ca="1">IFERROR(__xludf.DUMMYFUNCTION("IFERROR(VLOOKUP(E446&amp;F446,IMPORTRANGE(""https://docs.google.com/spreadsheets/d/1Uw7-A9f9R21vMXxHZFNpYNeKFtG8_yji4HS352LGlSQ/edit?pli=1#gid=0"",""1_ACUM!A4:S""),17,FALSE))"),"")</f>
        <v/>
      </c>
      <c r="BE180" s="44" t="str">
        <f ca="1">IFERROR(__xludf.DUMMYFUNCTION("IFERROR(VLOOKUP(E446&amp;F446,IMPORTRANGE(""https://docs.google.com/spreadsheets/d/1Uw7-A9f9R21vMXxHZFNpYNeKFtG8_yji4HS352LGlSQ/edit?pli=1#gid=0"",""1_ACUM!A4:S""),18,FALSE))"),"")</f>
        <v/>
      </c>
      <c r="BF180" s="44" t="str">
        <f ca="1">IFERROR(__xludf.DUMMYFUNCTION("IFERROR(VLOOKUP(E446&amp;F446,IMPORTRANGE(""https://docs.google.com/spreadsheets/d/1Uw7-A9f9R21vMXxHZFNpYNeKFtG8_yji4HS352LGlSQ/edit?pli=1#gid=0"",""1_ACUM!A4:S""),19,FALSE))"),"")</f>
        <v/>
      </c>
      <c r="BG180" s="98" t="str">
        <f ca="1">IFERROR(__xludf.DUMMYFUNCTION("IFERROR(VLOOKUP(F446,IMPORTRANGE(""https://docs.google.com/spreadsheets/d/1Kvs4KS76FHFqLFIZfrDMff4kP08nblUkihrxltoGBjg/edit#gid=934712705"",""ESENCIAL!A6:BG""),5,FALSE))"),"")</f>
        <v/>
      </c>
      <c r="BH180" s="98" t="str">
        <f t="shared" si="17"/>
        <v/>
      </c>
      <c r="BI180" s="99" t="str">
        <f t="shared" si="18"/>
        <v/>
      </c>
      <c r="BJ180" s="100" t="str">
        <f ca="1">IFERROR(__xludf.DUMMYFUNCTION("IFERROR(VLOOKUP(F446,IMPORTRANGE(""https://docs.google.com/spreadsheets/d/1Kvs4KS76FHFqLFIZfrDMff4kP08nblUkihrxltoGBjg/edit#gid=934712705"",""ESENCIAL!A6:BG""),2,FALSE))"),"")</f>
        <v/>
      </c>
      <c r="BK180" s="19" t="str">
        <f t="shared" si="19"/>
        <v/>
      </c>
      <c r="BL180" s="100"/>
      <c r="BM180" s="100"/>
    </row>
    <row r="181" spans="2:65" ht="15">
      <c r="B181" s="39"/>
      <c r="C181" s="5"/>
      <c r="D181" s="123"/>
      <c r="E181" s="39"/>
      <c r="F181" s="39"/>
      <c r="G181" s="39"/>
      <c r="H181" s="5" t="str">
        <f ca="1">IFERROR(__xludf.DUMMYFUNCTION("IFERROR(VLOOKUP(F447,IMPORTRANGE(""https://docs.google.com/spreadsheets/d/1Kvs4KS76FHFqLFIZfrDMff4kP08nblUkihrxltoGBjg/edit#gid=934712705"",""ESENCIAL!A6:BG""),3,FALSE))"),"")</f>
        <v/>
      </c>
      <c r="I181" s="5" t="str">
        <f ca="1">IFERROR(__xludf.DUMMYFUNCTION("IFERROR(VLOOKUP(F447,IMPORTRANGE(""https://docs.google.com/spreadsheets/d/1Kvs4KS76FHFqLFIZfrDMff4kP08nblUkihrxltoGBjg/edit#gid=934712705"",""ESENCIAL!A6:BG""),8,FALSE))"),"")</f>
        <v/>
      </c>
      <c r="J181" s="39"/>
      <c r="M181" s="287"/>
      <c r="AV181" s="41" t="str">
        <f t="shared" si="16"/>
        <v/>
      </c>
      <c r="AW181" s="5" t="str">
        <f ca="1">IFERROR(__xludf.DUMMYFUNCTION("IFERROR(VLOOKUP(E447&amp;F447,IMPORTRANGE(""https://docs.google.com/spreadsheets/d/1Uw7-A9f9R21vMXxHZFNpYNeKFtG8_yji4HS352LGlSQ/edit?pli=1#gid=0"",""1_ACUM!A4:S""),11,FALSE))"),"")</f>
        <v/>
      </c>
      <c r="AX181" s="42" t="str">
        <f ca="1">IFERROR(__xludf.DUMMYFUNCTION("IFERROR(VLOOKUP(F447,IMPORTRANGE(""https://docs.google.com/spreadsheets/d/1Kvs4KS76FHFqLFIZfrDMff4kP08nblUkihrxltoGBjg/edit#gid=934712705"",""ESENCIAL!A6:BG""),15,FALSE))"),"")</f>
        <v/>
      </c>
      <c r="AY181" s="110" t="str">
        <f ca="1">IFERROR(__xludf.DUMMYFUNCTION("IFERROR(VLOOKUP(E447&amp;F447,IMPORTRANGE(""https://docs.google.com/spreadsheets/d/1Uw7-A9f9R21vMXxHZFNpYNeKFtG8_yji4HS352LGlSQ/edit?pli=1#gid=0"",""1_ACUM!A4:S""),13,FALSE))"),"")</f>
        <v/>
      </c>
      <c r="AZ181" s="43" t="str">
        <f ca="1">IFERROR(__xludf.DUMMYFUNCTION("IFERROR(VLOOKUP(E447&amp;F447,IMPORTRANGE(""https://docs.google.com/spreadsheets/d/1Uw7-A9f9R21vMXxHZFNpYNeKFtG8_yji4HS352LGlSQ/edit?pli=1#gid=0"",""1_ACUM!A4:S""),13,FALSE))"),"")</f>
        <v/>
      </c>
      <c r="BA181" s="43" t="str">
        <f ca="1">IFERROR(__xludf.DUMMYFUNCTION("IFERROR(VLOOKUP(E447&amp;F447,IMPORTRANGE(""https://docs.google.com/spreadsheets/d/1Uw7-A9f9R21vMXxHZFNpYNeKFtG8_yji4HS352LGlSQ/edit?pli=1#gid=0"",""1_ACUM!A4:S""),14,FALSE))"),"")</f>
        <v/>
      </c>
      <c r="BB181" s="43" t="str">
        <f ca="1">IFERROR(__xludf.DUMMYFUNCTION("IFERROR(VLOOKUP(E447&amp;F447,IMPORTRANGE(""https://docs.google.com/spreadsheets/d/1Uw7-A9f9R21vMXxHZFNpYNeKFtG8_yji4HS352LGlSQ/edit?pli=1#gid=0"",""1_ACUM!A4:S""),15,FALSE))"),"")</f>
        <v/>
      </c>
      <c r="BC181" s="43" t="str">
        <f ca="1">IFERROR(__xludf.DUMMYFUNCTION("IFERROR(VLOOKUP(E447&amp;F447,IMPORTRANGE(""https://docs.google.com/spreadsheets/d/1Uw7-A9f9R21vMXxHZFNpYNeKFtG8_yji4HS352LGlSQ/edit?pli=1#gid=0"",""1_ACUM!A4:S""),16,FALSE))"),"")</f>
        <v/>
      </c>
      <c r="BD181" s="43" t="str">
        <f ca="1">IFERROR(__xludf.DUMMYFUNCTION("IFERROR(VLOOKUP(E447&amp;F447,IMPORTRANGE(""https://docs.google.com/spreadsheets/d/1Uw7-A9f9R21vMXxHZFNpYNeKFtG8_yji4HS352LGlSQ/edit?pli=1#gid=0"",""1_ACUM!A4:S""),17,FALSE))"),"")</f>
        <v/>
      </c>
      <c r="BE181" s="44" t="str">
        <f ca="1">IFERROR(__xludf.DUMMYFUNCTION("IFERROR(VLOOKUP(E447&amp;F447,IMPORTRANGE(""https://docs.google.com/spreadsheets/d/1Uw7-A9f9R21vMXxHZFNpYNeKFtG8_yji4HS352LGlSQ/edit?pli=1#gid=0"",""1_ACUM!A4:S""),18,FALSE))"),"")</f>
        <v/>
      </c>
      <c r="BF181" s="44" t="str">
        <f ca="1">IFERROR(__xludf.DUMMYFUNCTION("IFERROR(VLOOKUP(E447&amp;F447,IMPORTRANGE(""https://docs.google.com/spreadsheets/d/1Uw7-A9f9R21vMXxHZFNpYNeKFtG8_yji4HS352LGlSQ/edit?pli=1#gid=0"",""1_ACUM!A4:S""),19,FALSE))"),"")</f>
        <v/>
      </c>
      <c r="BG181" s="98" t="str">
        <f ca="1">IFERROR(__xludf.DUMMYFUNCTION("IFERROR(VLOOKUP(F447,IMPORTRANGE(""https://docs.google.com/spreadsheets/d/1Kvs4KS76FHFqLFIZfrDMff4kP08nblUkihrxltoGBjg/edit#gid=934712705"",""ESENCIAL!A6:BG""),5,FALSE))"),"")</f>
        <v/>
      </c>
      <c r="BH181" s="98" t="str">
        <f t="shared" si="17"/>
        <v/>
      </c>
      <c r="BI181" s="99" t="str">
        <f t="shared" si="18"/>
        <v/>
      </c>
      <c r="BJ181" s="100" t="str">
        <f ca="1">IFERROR(__xludf.DUMMYFUNCTION("IFERROR(VLOOKUP(F447,IMPORTRANGE(""https://docs.google.com/spreadsheets/d/1Kvs4KS76FHFqLFIZfrDMff4kP08nblUkihrxltoGBjg/edit#gid=934712705"",""ESENCIAL!A6:BG""),2,FALSE))"),"")</f>
        <v/>
      </c>
      <c r="BK181" s="19" t="str">
        <f t="shared" si="19"/>
        <v/>
      </c>
      <c r="BL181" s="100"/>
      <c r="BM181" s="100"/>
    </row>
    <row r="182" spans="2:65" ht="15">
      <c r="B182" s="39"/>
      <c r="C182" s="5"/>
      <c r="D182" s="123"/>
      <c r="E182" s="39"/>
      <c r="F182" s="39"/>
      <c r="G182" s="39"/>
      <c r="H182" s="5" t="str">
        <f ca="1">IFERROR(__xludf.DUMMYFUNCTION("IFERROR(VLOOKUP(F448,IMPORTRANGE(""https://docs.google.com/spreadsheets/d/1Kvs4KS76FHFqLFIZfrDMff4kP08nblUkihrxltoGBjg/edit#gid=934712705"",""ESENCIAL!A6:BG""),3,FALSE))"),"")</f>
        <v/>
      </c>
      <c r="I182" s="5" t="str">
        <f ca="1">IFERROR(__xludf.DUMMYFUNCTION("IFERROR(VLOOKUP(F448,IMPORTRANGE(""https://docs.google.com/spreadsheets/d/1Kvs4KS76FHFqLFIZfrDMff4kP08nblUkihrxltoGBjg/edit#gid=934712705"",""ESENCIAL!A6:BG""),8,FALSE))"),"")</f>
        <v/>
      </c>
      <c r="J182" s="39"/>
      <c r="M182" s="287"/>
      <c r="AV182" s="41" t="str">
        <f t="shared" si="16"/>
        <v/>
      </c>
      <c r="AW182" s="5" t="str">
        <f ca="1">IFERROR(__xludf.DUMMYFUNCTION("IFERROR(VLOOKUP(E448&amp;F448,IMPORTRANGE(""https://docs.google.com/spreadsheets/d/1Uw7-A9f9R21vMXxHZFNpYNeKFtG8_yji4HS352LGlSQ/edit?pli=1#gid=0"",""1_ACUM!A4:S""),11,FALSE))"),"")</f>
        <v/>
      </c>
      <c r="AX182" s="42" t="str">
        <f ca="1">IFERROR(__xludf.DUMMYFUNCTION("IFERROR(VLOOKUP(F448,IMPORTRANGE(""https://docs.google.com/spreadsheets/d/1Kvs4KS76FHFqLFIZfrDMff4kP08nblUkihrxltoGBjg/edit#gid=934712705"",""ESENCIAL!A6:BG""),15,FALSE))"),"")</f>
        <v/>
      </c>
      <c r="AY182" s="110" t="str">
        <f ca="1">IFERROR(__xludf.DUMMYFUNCTION("IFERROR(VLOOKUP(E448&amp;F448,IMPORTRANGE(""https://docs.google.com/spreadsheets/d/1Uw7-A9f9R21vMXxHZFNpYNeKFtG8_yji4HS352LGlSQ/edit?pli=1#gid=0"",""1_ACUM!A4:S""),13,FALSE))"),"")</f>
        <v/>
      </c>
      <c r="AZ182" s="43" t="str">
        <f ca="1">IFERROR(__xludf.DUMMYFUNCTION("IFERROR(VLOOKUP(E448&amp;F448,IMPORTRANGE(""https://docs.google.com/spreadsheets/d/1Uw7-A9f9R21vMXxHZFNpYNeKFtG8_yji4HS352LGlSQ/edit?pli=1#gid=0"",""1_ACUM!A4:S""),13,FALSE))"),"")</f>
        <v/>
      </c>
      <c r="BA182" s="43" t="str">
        <f ca="1">IFERROR(__xludf.DUMMYFUNCTION("IFERROR(VLOOKUP(E448&amp;F448,IMPORTRANGE(""https://docs.google.com/spreadsheets/d/1Uw7-A9f9R21vMXxHZFNpYNeKFtG8_yji4HS352LGlSQ/edit?pli=1#gid=0"",""1_ACUM!A4:S""),14,FALSE))"),"")</f>
        <v/>
      </c>
      <c r="BB182" s="43" t="str">
        <f ca="1">IFERROR(__xludf.DUMMYFUNCTION("IFERROR(VLOOKUP(E448&amp;F448,IMPORTRANGE(""https://docs.google.com/spreadsheets/d/1Uw7-A9f9R21vMXxHZFNpYNeKFtG8_yji4HS352LGlSQ/edit?pli=1#gid=0"",""1_ACUM!A4:S""),15,FALSE))"),"")</f>
        <v/>
      </c>
      <c r="BC182" s="43" t="str">
        <f ca="1">IFERROR(__xludf.DUMMYFUNCTION("IFERROR(VLOOKUP(E448&amp;F448,IMPORTRANGE(""https://docs.google.com/spreadsheets/d/1Uw7-A9f9R21vMXxHZFNpYNeKFtG8_yji4HS352LGlSQ/edit?pli=1#gid=0"",""1_ACUM!A4:S""),16,FALSE))"),"")</f>
        <v/>
      </c>
      <c r="BD182" s="43" t="str">
        <f ca="1">IFERROR(__xludf.DUMMYFUNCTION("IFERROR(VLOOKUP(E448&amp;F448,IMPORTRANGE(""https://docs.google.com/spreadsheets/d/1Uw7-A9f9R21vMXxHZFNpYNeKFtG8_yji4HS352LGlSQ/edit?pli=1#gid=0"",""1_ACUM!A4:S""),17,FALSE))"),"")</f>
        <v/>
      </c>
      <c r="BE182" s="44" t="str">
        <f ca="1">IFERROR(__xludf.DUMMYFUNCTION("IFERROR(VLOOKUP(E448&amp;F448,IMPORTRANGE(""https://docs.google.com/spreadsheets/d/1Uw7-A9f9R21vMXxHZFNpYNeKFtG8_yji4HS352LGlSQ/edit?pli=1#gid=0"",""1_ACUM!A4:S""),18,FALSE))"),"")</f>
        <v/>
      </c>
      <c r="BF182" s="44" t="str">
        <f ca="1">IFERROR(__xludf.DUMMYFUNCTION("IFERROR(VLOOKUP(E448&amp;F448,IMPORTRANGE(""https://docs.google.com/spreadsheets/d/1Uw7-A9f9R21vMXxHZFNpYNeKFtG8_yji4HS352LGlSQ/edit?pli=1#gid=0"",""1_ACUM!A4:S""),19,FALSE))"),"")</f>
        <v/>
      </c>
      <c r="BG182" s="98" t="str">
        <f ca="1">IFERROR(__xludf.DUMMYFUNCTION("IFERROR(VLOOKUP(F448,IMPORTRANGE(""https://docs.google.com/spreadsheets/d/1Kvs4KS76FHFqLFIZfrDMff4kP08nblUkihrxltoGBjg/edit#gid=934712705"",""ESENCIAL!A6:BG""),5,FALSE))"),"")</f>
        <v/>
      </c>
      <c r="BH182" s="98" t="str">
        <f t="shared" si="17"/>
        <v/>
      </c>
      <c r="BI182" s="99" t="str">
        <f t="shared" si="18"/>
        <v/>
      </c>
      <c r="BJ182" s="100" t="str">
        <f ca="1">IFERROR(__xludf.DUMMYFUNCTION("IFERROR(VLOOKUP(F448,IMPORTRANGE(""https://docs.google.com/spreadsheets/d/1Kvs4KS76FHFqLFIZfrDMff4kP08nblUkihrxltoGBjg/edit#gid=934712705"",""ESENCIAL!A6:BG""),2,FALSE))"),"")</f>
        <v/>
      </c>
      <c r="BK182" s="19" t="str">
        <f t="shared" si="19"/>
        <v/>
      </c>
      <c r="BL182" s="100"/>
      <c r="BM182" s="100"/>
    </row>
    <row r="183" spans="2:65" ht="15">
      <c r="B183" s="39"/>
      <c r="C183" s="5"/>
      <c r="D183" s="123"/>
      <c r="E183" s="39"/>
      <c r="F183" s="39"/>
      <c r="G183" s="39"/>
      <c r="H183" s="5" t="str">
        <f ca="1">IFERROR(__xludf.DUMMYFUNCTION("IFERROR(VLOOKUP(F449,IMPORTRANGE(""https://docs.google.com/spreadsheets/d/1Kvs4KS76FHFqLFIZfrDMff4kP08nblUkihrxltoGBjg/edit#gid=934712705"",""ESENCIAL!A6:BG""),3,FALSE))"),"")</f>
        <v/>
      </c>
      <c r="I183" s="5" t="str">
        <f ca="1">IFERROR(__xludf.DUMMYFUNCTION("IFERROR(VLOOKUP(F449,IMPORTRANGE(""https://docs.google.com/spreadsheets/d/1Kvs4KS76FHFqLFIZfrDMff4kP08nblUkihrxltoGBjg/edit#gid=934712705"",""ESENCIAL!A6:BG""),8,FALSE))"),"")</f>
        <v/>
      </c>
      <c r="J183" s="39"/>
      <c r="M183" s="287"/>
      <c r="AV183" s="41" t="str">
        <f t="shared" si="16"/>
        <v/>
      </c>
      <c r="AW183" s="5" t="str">
        <f ca="1">IFERROR(__xludf.DUMMYFUNCTION("IFERROR(VLOOKUP(E449&amp;F449,IMPORTRANGE(""https://docs.google.com/spreadsheets/d/1Uw7-A9f9R21vMXxHZFNpYNeKFtG8_yji4HS352LGlSQ/edit?pli=1#gid=0"",""1_ACUM!A4:S""),11,FALSE))"),"")</f>
        <v/>
      </c>
      <c r="AX183" s="42" t="str">
        <f ca="1">IFERROR(__xludf.DUMMYFUNCTION("IFERROR(VLOOKUP(F449,IMPORTRANGE(""https://docs.google.com/spreadsheets/d/1Kvs4KS76FHFqLFIZfrDMff4kP08nblUkihrxltoGBjg/edit#gid=934712705"",""ESENCIAL!A6:BG""),15,FALSE))"),"")</f>
        <v/>
      </c>
      <c r="AY183" s="110" t="str">
        <f ca="1">IFERROR(__xludf.DUMMYFUNCTION("IFERROR(VLOOKUP(E449&amp;F449,IMPORTRANGE(""https://docs.google.com/spreadsheets/d/1Uw7-A9f9R21vMXxHZFNpYNeKFtG8_yji4HS352LGlSQ/edit?pli=1#gid=0"",""1_ACUM!A4:S""),13,FALSE))"),"")</f>
        <v/>
      </c>
      <c r="AZ183" s="43" t="str">
        <f ca="1">IFERROR(__xludf.DUMMYFUNCTION("IFERROR(VLOOKUP(E449&amp;F449,IMPORTRANGE(""https://docs.google.com/spreadsheets/d/1Uw7-A9f9R21vMXxHZFNpYNeKFtG8_yji4HS352LGlSQ/edit?pli=1#gid=0"",""1_ACUM!A4:S""),13,FALSE))"),"")</f>
        <v/>
      </c>
      <c r="BA183" s="43" t="str">
        <f ca="1">IFERROR(__xludf.DUMMYFUNCTION("IFERROR(VLOOKUP(E449&amp;F449,IMPORTRANGE(""https://docs.google.com/spreadsheets/d/1Uw7-A9f9R21vMXxHZFNpYNeKFtG8_yji4HS352LGlSQ/edit?pli=1#gid=0"",""1_ACUM!A4:S""),14,FALSE))"),"")</f>
        <v/>
      </c>
      <c r="BB183" s="43" t="str">
        <f ca="1">IFERROR(__xludf.DUMMYFUNCTION("IFERROR(VLOOKUP(E449&amp;F449,IMPORTRANGE(""https://docs.google.com/spreadsheets/d/1Uw7-A9f9R21vMXxHZFNpYNeKFtG8_yji4HS352LGlSQ/edit?pli=1#gid=0"",""1_ACUM!A4:S""),15,FALSE))"),"")</f>
        <v/>
      </c>
      <c r="BC183" s="43" t="str">
        <f ca="1">IFERROR(__xludf.DUMMYFUNCTION("IFERROR(VLOOKUP(E449&amp;F449,IMPORTRANGE(""https://docs.google.com/spreadsheets/d/1Uw7-A9f9R21vMXxHZFNpYNeKFtG8_yji4HS352LGlSQ/edit?pli=1#gid=0"",""1_ACUM!A4:S""),16,FALSE))"),"")</f>
        <v/>
      </c>
      <c r="BD183" s="43" t="str">
        <f ca="1">IFERROR(__xludf.DUMMYFUNCTION("IFERROR(VLOOKUP(E449&amp;F449,IMPORTRANGE(""https://docs.google.com/spreadsheets/d/1Uw7-A9f9R21vMXxHZFNpYNeKFtG8_yji4HS352LGlSQ/edit?pli=1#gid=0"",""1_ACUM!A4:S""),17,FALSE))"),"")</f>
        <v/>
      </c>
      <c r="BE183" s="44" t="str">
        <f ca="1">IFERROR(__xludf.DUMMYFUNCTION("IFERROR(VLOOKUP(E449&amp;F449,IMPORTRANGE(""https://docs.google.com/spreadsheets/d/1Uw7-A9f9R21vMXxHZFNpYNeKFtG8_yji4HS352LGlSQ/edit?pli=1#gid=0"",""1_ACUM!A4:S""),18,FALSE))"),"")</f>
        <v/>
      </c>
      <c r="BF183" s="44" t="str">
        <f ca="1">IFERROR(__xludf.DUMMYFUNCTION("IFERROR(VLOOKUP(E449&amp;F449,IMPORTRANGE(""https://docs.google.com/spreadsheets/d/1Uw7-A9f9R21vMXxHZFNpYNeKFtG8_yji4HS352LGlSQ/edit?pli=1#gid=0"",""1_ACUM!A4:S""),19,FALSE))"),"")</f>
        <v/>
      </c>
      <c r="BG183" s="98" t="str">
        <f ca="1">IFERROR(__xludf.DUMMYFUNCTION("IFERROR(VLOOKUP(F449,IMPORTRANGE(""https://docs.google.com/spreadsheets/d/1Kvs4KS76FHFqLFIZfrDMff4kP08nblUkihrxltoGBjg/edit#gid=934712705"",""ESENCIAL!A6:BG""),5,FALSE))"),"")</f>
        <v/>
      </c>
      <c r="BH183" s="98" t="str">
        <f t="shared" si="17"/>
        <v/>
      </c>
      <c r="BI183" s="99" t="str">
        <f t="shared" si="18"/>
        <v/>
      </c>
      <c r="BJ183" s="100" t="str">
        <f ca="1">IFERROR(__xludf.DUMMYFUNCTION("IFERROR(VLOOKUP(F449,IMPORTRANGE(""https://docs.google.com/spreadsheets/d/1Kvs4KS76FHFqLFIZfrDMff4kP08nblUkihrxltoGBjg/edit#gid=934712705"",""ESENCIAL!A6:BG""),2,FALSE))"),"")</f>
        <v/>
      </c>
      <c r="BK183" s="19" t="str">
        <f t="shared" si="19"/>
        <v/>
      </c>
      <c r="BL183" s="100"/>
      <c r="BM183" s="100"/>
    </row>
    <row r="184" spans="2:65" ht="15">
      <c r="B184" s="39"/>
      <c r="C184" s="5"/>
      <c r="D184" s="123"/>
      <c r="E184" s="39"/>
      <c r="F184" s="39"/>
      <c r="G184" s="39"/>
      <c r="H184" s="5" t="str">
        <f ca="1">IFERROR(__xludf.DUMMYFUNCTION("IFERROR(VLOOKUP(F450,IMPORTRANGE(""https://docs.google.com/spreadsheets/d/1Kvs4KS76FHFqLFIZfrDMff4kP08nblUkihrxltoGBjg/edit#gid=934712705"",""ESENCIAL!A6:BG""),3,FALSE))"),"")</f>
        <v/>
      </c>
      <c r="I184" s="5" t="str">
        <f ca="1">IFERROR(__xludf.DUMMYFUNCTION("IFERROR(VLOOKUP(F450,IMPORTRANGE(""https://docs.google.com/spreadsheets/d/1Kvs4KS76FHFqLFIZfrDMff4kP08nblUkihrxltoGBjg/edit#gid=934712705"",""ESENCIAL!A6:BG""),8,FALSE))"),"")</f>
        <v/>
      </c>
      <c r="J184" s="39"/>
      <c r="M184" s="287"/>
      <c r="AV184" s="41" t="str">
        <f t="shared" si="16"/>
        <v/>
      </c>
      <c r="AW184" s="5" t="str">
        <f ca="1">IFERROR(__xludf.DUMMYFUNCTION("IFERROR(VLOOKUP(E450&amp;F450,IMPORTRANGE(""https://docs.google.com/spreadsheets/d/1Uw7-A9f9R21vMXxHZFNpYNeKFtG8_yji4HS352LGlSQ/edit?pli=1#gid=0"",""1_ACUM!A4:S""),11,FALSE))"),"")</f>
        <v/>
      </c>
      <c r="AX184" s="42" t="str">
        <f ca="1">IFERROR(__xludf.DUMMYFUNCTION("IFERROR(VLOOKUP(F450,IMPORTRANGE(""https://docs.google.com/spreadsheets/d/1Kvs4KS76FHFqLFIZfrDMff4kP08nblUkihrxltoGBjg/edit#gid=934712705"",""ESENCIAL!A6:BG""),15,FALSE))"),"")</f>
        <v/>
      </c>
      <c r="AY184" s="110" t="str">
        <f ca="1">IFERROR(__xludf.DUMMYFUNCTION("IFERROR(VLOOKUP(E450&amp;F450,IMPORTRANGE(""https://docs.google.com/spreadsheets/d/1Uw7-A9f9R21vMXxHZFNpYNeKFtG8_yji4HS352LGlSQ/edit?pli=1#gid=0"",""1_ACUM!A4:S""),13,FALSE))"),"")</f>
        <v/>
      </c>
      <c r="AZ184" s="43" t="str">
        <f ca="1">IFERROR(__xludf.DUMMYFUNCTION("IFERROR(VLOOKUP(E450&amp;F450,IMPORTRANGE(""https://docs.google.com/spreadsheets/d/1Uw7-A9f9R21vMXxHZFNpYNeKFtG8_yji4HS352LGlSQ/edit?pli=1#gid=0"",""1_ACUM!A4:S""),13,FALSE))"),"")</f>
        <v/>
      </c>
      <c r="BA184" s="43" t="str">
        <f ca="1">IFERROR(__xludf.DUMMYFUNCTION("IFERROR(VLOOKUP(E450&amp;F450,IMPORTRANGE(""https://docs.google.com/spreadsheets/d/1Uw7-A9f9R21vMXxHZFNpYNeKFtG8_yji4HS352LGlSQ/edit?pli=1#gid=0"",""1_ACUM!A4:S""),14,FALSE))"),"")</f>
        <v/>
      </c>
      <c r="BB184" s="43" t="str">
        <f ca="1">IFERROR(__xludf.DUMMYFUNCTION("IFERROR(VLOOKUP(E450&amp;F450,IMPORTRANGE(""https://docs.google.com/spreadsheets/d/1Uw7-A9f9R21vMXxHZFNpYNeKFtG8_yji4HS352LGlSQ/edit?pli=1#gid=0"",""1_ACUM!A4:S""),15,FALSE))"),"")</f>
        <v/>
      </c>
      <c r="BC184" s="43" t="str">
        <f ca="1">IFERROR(__xludf.DUMMYFUNCTION("IFERROR(VLOOKUP(E450&amp;F450,IMPORTRANGE(""https://docs.google.com/spreadsheets/d/1Uw7-A9f9R21vMXxHZFNpYNeKFtG8_yji4HS352LGlSQ/edit?pli=1#gid=0"",""1_ACUM!A4:S""),16,FALSE))"),"")</f>
        <v/>
      </c>
      <c r="BD184" s="43" t="str">
        <f ca="1">IFERROR(__xludf.DUMMYFUNCTION("IFERROR(VLOOKUP(E450&amp;F450,IMPORTRANGE(""https://docs.google.com/spreadsheets/d/1Uw7-A9f9R21vMXxHZFNpYNeKFtG8_yji4HS352LGlSQ/edit?pli=1#gid=0"",""1_ACUM!A4:S""),17,FALSE))"),"")</f>
        <v/>
      </c>
      <c r="BE184" s="44" t="str">
        <f ca="1">IFERROR(__xludf.DUMMYFUNCTION("IFERROR(VLOOKUP(E450&amp;F450,IMPORTRANGE(""https://docs.google.com/spreadsheets/d/1Uw7-A9f9R21vMXxHZFNpYNeKFtG8_yji4HS352LGlSQ/edit?pli=1#gid=0"",""1_ACUM!A4:S""),18,FALSE))"),"")</f>
        <v/>
      </c>
      <c r="BF184" s="44" t="str">
        <f ca="1">IFERROR(__xludf.DUMMYFUNCTION("IFERROR(VLOOKUP(E450&amp;F450,IMPORTRANGE(""https://docs.google.com/spreadsheets/d/1Uw7-A9f9R21vMXxHZFNpYNeKFtG8_yji4HS352LGlSQ/edit?pli=1#gid=0"",""1_ACUM!A4:S""),19,FALSE))"),"")</f>
        <v/>
      </c>
      <c r="BG184" s="98" t="str">
        <f ca="1">IFERROR(__xludf.DUMMYFUNCTION("IFERROR(VLOOKUP(F450,IMPORTRANGE(""https://docs.google.com/spreadsheets/d/1Kvs4KS76FHFqLFIZfrDMff4kP08nblUkihrxltoGBjg/edit#gid=934712705"",""ESENCIAL!A6:BG""),5,FALSE))"),"")</f>
        <v/>
      </c>
      <c r="BH184" s="98" t="str">
        <f t="shared" si="17"/>
        <v/>
      </c>
      <c r="BI184" s="99" t="str">
        <f t="shared" si="18"/>
        <v/>
      </c>
      <c r="BJ184" s="100" t="str">
        <f ca="1">IFERROR(__xludf.DUMMYFUNCTION("IFERROR(VLOOKUP(F450,IMPORTRANGE(""https://docs.google.com/spreadsheets/d/1Kvs4KS76FHFqLFIZfrDMff4kP08nblUkihrxltoGBjg/edit#gid=934712705"",""ESENCIAL!A6:BG""),2,FALSE))"),"")</f>
        <v/>
      </c>
      <c r="BK184" s="19" t="str">
        <f t="shared" si="19"/>
        <v/>
      </c>
      <c r="BL184" s="100"/>
      <c r="BM184" s="100"/>
    </row>
    <row r="185" spans="2:65" ht="15">
      <c r="B185" s="39"/>
      <c r="C185" s="5"/>
      <c r="D185" s="123"/>
      <c r="E185" s="39"/>
      <c r="F185" s="39"/>
      <c r="G185" s="39"/>
      <c r="H185" s="5" t="str">
        <f ca="1">IFERROR(__xludf.DUMMYFUNCTION("IFERROR(VLOOKUP(F451,IMPORTRANGE(""https://docs.google.com/spreadsheets/d/1Kvs4KS76FHFqLFIZfrDMff4kP08nblUkihrxltoGBjg/edit#gid=934712705"",""ESENCIAL!A6:BG""),3,FALSE))"),"")</f>
        <v/>
      </c>
      <c r="I185" s="5" t="str">
        <f ca="1">IFERROR(__xludf.DUMMYFUNCTION("IFERROR(VLOOKUP(F451,IMPORTRANGE(""https://docs.google.com/spreadsheets/d/1Kvs4KS76FHFqLFIZfrDMff4kP08nblUkihrxltoGBjg/edit#gid=934712705"",""ESENCIAL!A6:BG""),8,FALSE))"),"")</f>
        <v/>
      </c>
      <c r="J185" s="39"/>
      <c r="M185" s="287"/>
      <c r="AV185" s="41" t="str">
        <f t="shared" si="16"/>
        <v/>
      </c>
      <c r="AW185" s="5" t="str">
        <f ca="1">IFERROR(__xludf.DUMMYFUNCTION("IFERROR(VLOOKUP(E451&amp;F451,IMPORTRANGE(""https://docs.google.com/spreadsheets/d/1Uw7-A9f9R21vMXxHZFNpYNeKFtG8_yji4HS352LGlSQ/edit?pli=1#gid=0"",""1_ACUM!A4:S""),11,FALSE))"),"")</f>
        <v/>
      </c>
      <c r="AX185" s="42" t="str">
        <f ca="1">IFERROR(__xludf.DUMMYFUNCTION("IFERROR(VLOOKUP(F451,IMPORTRANGE(""https://docs.google.com/spreadsheets/d/1Kvs4KS76FHFqLFIZfrDMff4kP08nblUkihrxltoGBjg/edit#gid=934712705"",""ESENCIAL!A6:BG""),15,FALSE))"),"")</f>
        <v/>
      </c>
      <c r="AY185" s="110" t="str">
        <f ca="1">IFERROR(__xludf.DUMMYFUNCTION("IFERROR(VLOOKUP(E451&amp;F451,IMPORTRANGE(""https://docs.google.com/spreadsheets/d/1Uw7-A9f9R21vMXxHZFNpYNeKFtG8_yji4HS352LGlSQ/edit?pli=1#gid=0"",""1_ACUM!A4:S""),13,FALSE))"),"")</f>
        <v/>
      </c>
      <c r="AZ185" s="43" t="str">
        <f ca="1">IFERROR(__xludf.DUMMYFUNCTION("IFERROR(VLOOKUP(E451&amp;F451,IMPORTRANGE(""https://docs.google.com/spreadsheets/d/1Uw7-A9f9R21vMXxHZFNpYNeKFtG8_yji4HS352LGlSQ/edit?pli=1#gid=0"",""1_ACUM!A4:S""),13,FALSE))"),"")</f>
        <v/>
      </c>
      <c r="BA185" s="43" t="str">
        <f ca="1">IFERROR(__xludf.DUMMYFUNCTION("IFERROR(VLOOKUP(E451&amp;F451,IMPORTRANGE(""https://docs.google.com/spreadsheets/d/1Uw7-A9f9R21vMXxHZFNpYNeKFtG8_yji4HS352LGlSQ/edit?pli=1#gid=0"",""1_ACUM!A4:S""),14,FALSE))"),"")</f>
        <v/>
      </c>
      <c r="BB185" s="43" t="str">
        <f ca="1">IFERROR(__xludf.DUMMYFUNCTION("IFERROR(VLOOKUP(E451&amp;F451,IMPORTRANGE(""https://docs.google.com/spreadsheets/d/1Uw7-A9f9R21vMXxHZFNpYNeKFtG8_yji4HS352LGlSQ/edit?pli=1#gid=0"",""1_ACUM!A4:S""),15,FALSE))"),"")</f>
        <v/>
      </c>
      <c r="BC185" s="43" t="str">
        <f ca="1">IFERROR(__xludf.DUMMYFUNCTION("IFERROR(VLOOKUP(E451&amp;F451,IMPORTRANGE(""https://docs.google.com/spreadsheets/d/1Uw7-A9f9R21vMXxHZFNpYNeKFtG8_yji4HS352LGlSQ/edit?pli=1#gid=0"",""1_ACUM!A4:S""),16,FALSE))"),"")</f>
        <v/>
      </c>
      <c r="BD185" s="43" t="str">
        <f ca="1">IFERROR(__xludf.DUMMYFUNCTION("IFERROR(VLOOKUP(E451&amp;F451,IMPORTRANGE(""https://docs.google.com/spreadsheets/d/1Uw7-A9f9R21vMXxHZFNpYNeKFtG8_yji4HS352LGlSQ/edit?pli=1#gid=0"",""1_ACUM!A4:S""),17,FALSE))"),"")</f>
        <v/>
      </c>
      <c r="BE185" s="44" t="str">
        <f ca="1">IFERROR(__xludf.DUMMYFUNCTION("IFERROR(VLOOKUP(E451&amp;F451,IMPORTRANGE(""https://docs.google.com/spreadsheets/d/1Uw7-A9f9R21vMXxHZFNpYNeKFtG8_yji4HS352LGlSQ/edit?pli=1#gid=0"",""1_ACUM!A4:S""),18,FALSE))"),"")</f>
        <v/>
      </c>
      <c r="BF185" s="44" t="str">
        <f ca="1">IFERROR(__xludf.DUMMYFUNCTION("IFERROR(VLOOKUP(E451&amp;F451,IMPORTRANGE(""https://docs.google.com/spreadsheets/d/1Uw7-A9f9R21vMXxHZFNpYNeKFtG8_yji4HS352LGlSQ/edit?pli=1#gid=0"",""1_ACUM!A4:S""),19,FALSE))"),"")</f>
        <v/>
      </c>
      <c r="BG185" s="98" t="str">
        <f ca="1">IFERROR(__xludf.DUMMYFUNCTION("IFERROR(VLOOKUP(F451,IMPORTRANGE(""https://docs.google.com/spreadsheets/d/1Kvs4KS76FHFqLFIZfrDMff4kP08nblUkihrxltoGBjg/edit#gid=934712705"",""ESENCIAL!A6:BG""),5,FALSE))"),"")</f>
        <v/>
      </c>
      <c r="BH185" s="98" t="str">
        <f t="shared" si="17"/>
        <v/>
      </c>
      <c r="BI185" s="99" t="str">
        <f t="shared" si="18"/>
        <v/>
      </c>
      <c r="BJ185" s="100" t="str">
        <f ca="1">IFERROR(__xludf.DUMMYFUNCTION("IFERROR(VLOOKUP(F451,IMPORTRANGE(""https://docs.google.com/spreadsheets/d/1Kvs4KS76FHFqLFIZfrDMff4kP08nblUkihrxltoGBjg/edit#gid=934712705"",""ESENCIAL!A6:BG""),2,FALSE))"),"")</f>
        <v/>
      </c>
      <c r="BK185" s="19" t="str">
        <f t="shared" si="19"/>
        <v/>
      </c>
      <c r="BL185" s="100"/>
      <c r="BM185" s="100"/>
    </row>
    <row r="186" spans="2:65" ht="15">
      <c r="B186" s="39"/>
      <c r="C186" s="5"/>
      <c r="D186" s="123"/>
      <c r="E186" s="39"/>
      <c r="F186" s="39"/>
      <c r="G186" s="39"/>
      <c r="H186" s="5" t="str">
        <f ca="1">IFERROR(__xludf.DUMMYFUNCTION("IFERROR(VLOOKUP(F452,IMPORTRANGE(""https://docs.google.com/spreadsheets/d/1Kvs4KS76FHFqLFIZfrDMff4kP08nblUkihrxltoGBjg/edit#gid=934712705"",""ESENCIAL!A6:BG""),3,FALSE))"),"")</f>
        <v/>
      </c>
      <c r="I186" s="5" t="str">
        <f ca="1">IFERROR(__xludf.DUMMYFUNCTION("IFERROR(VLOOKUP(F452,IMPORTRANGE(""https://docs.google.com/spreadsheets/d/1Kvs4KS76FHFqLFIZfrDMff4kP08nblUkihrxltoGBjg/edit#gid=934712705"",""ESENCIAL!A6:BG""),8,FALSE))"),"")</f>
        <v/>
      </c>
      <c r="J186" s="39"/>
      <c r="M186" s="287"/>
      <c r="AV186" s="41" t="str">
        <f t="shared" si="16"/>
        <v/>
      </c>
      <c r="AW186" s="5" t="str">
        <f ca="1">IFERROR(__xludf.DUMMYFUNCTION("IFERROR(VLOOKUP(E452&amp;F452,IMPORTRANGE(""https://docs.google.com/spreadsheets/d/1Uw7-A9f9R21vMXxHZFNpYNeKFtG8_yji4HS352LGlSQ/edit?pli=1#gid=0"",""1_ACUM!A4:S""),11,FALSE))"),"")</f>
        <v/>
      </c>
      <c r="AX186" s="42" t="str">
        <f ca="1">IFERROR(__xludf.DUMMYFUNCTION("IFERROR(VLOOKUP(F452,IMPORTRANGE(""https://docs.google.com/spreadsheets/d/1Kvs4KS76FHFqLFIZfrDMff4kP08nblUkihrxltoGBjg/edit#gid=934712705"",""ESENCIAL!A6:BG""),15,FALSE))"),"")</f>
        <v/>
      </c>
      <c r="AY186" s="110" t="str">
        <f ca="1">IFERROR(__xludf.DUMMYFUNCTION("IFERROR(VLOOKUP(E452&amp;F452,IMPORTRANGE(""https://docs.google.com/spreadsheets/d/1Uw7-A9f9R21vMXxHZFNpYNeKFtG8_yji4HS352LGlSQ/edit?pli=1#gid=0"",""1_ACUM!A4:S""),13,FALSE))"),"")</f>
        <v/>
      </c>
      <c r="AZ186" s="43" t="str">
        <f ca="1">IFERROR(__xludf.DUMMYFUNCTION("IFERROR(VLOOKUP(E452&amp;F452,IMPORTRANGE(""https://docs.google.com/spreadsheets/d/1Uw7-A9f9R21vMXxHZFNpYNeKFtG8_yji4HS352LGlSQ/edit?pli=1#gid=0"",""1_ACUM!A4:S""),13,FALSE))"),"")</f>
        <v/>
      </c>
      <c r="BA186" s="43" t="str">
        <f ca="1">IFERROR(__xludf.DUMMYFUNCTION("IFERROR(VLOOKUP(E452&amp;F452,IMPORTRANGE(""https://docs.google.com/spreadsheets/d/1Uw7-A9f9R21vMXxHZFNpYNeKFtG8_yji4HS352LGlSQ/edit?pli=1#gid=0"",""1_ACUM!A4:S""),14,FALSE))"),"")</f>
        <v/>
      </c>
      <c r="BB186" s="43" t="str">
        <f ca="1">IFERROR(__xludf.DUMMYFUNCTION("IFERROR(VLOOKUP(E452&amp;F452,IMPORTRANGE(""https://docs.google.com/spreadsheets/d/1Uw7-A9f9R21vMXxHZFNpYNeKFtG8_yji4HS352LGlSQ/edit?pli=1#gid=0"",""1_ACUM!A4:S""),15,FALSE))"),"")</f>
        <v/>
      </c>
      <c r="BC186" s="43" t="str">
        <f ca="1">IFERROR(__xludf.DUMMYFUNCTION("IFERROR(VLOOKUP(E452&amp;F452,IMPORTRANGE(""https://docs.google.com/spreadsheets/d/1Uw7-A9f9R21vMXxHZFNpYNeKFtG8_yji4HS352LGlSQ/edit?pli=1#gid=0"",""1_ACUM!A4:S""),16,FALSE))"),"")</f>
        <v/>
      </c>
      <c r="BD186" s="43" t="str">
        <f ca="1">IFERROR(__xludf.DUMMYFUNCTION("IFERROR(VLOOKUP(E452&amp;F452,IMPORTRANGE(""https://docs.google.com/spreadsheets/d/1Uw7-A9f9R21vMXxHZFNpYNeKFtG8_yji4HS352LGlSQ/edit?pli=1#gid=0"",""1_ACUM!A4:S""),17,FALSE))"),"")</f>
        <v/>
      </c>
      <c r="BE186" s="44" t="str">
        <f ca="1">IFERROR(__xludf.DUMMYFUNCTION("IFERROR(VLOOKUP(E452&amp;F452,IMPORTRANGE(""https://docs.google.com/spreadsheets/d/1Uw7-A9f9R21vMXxHZFNpYNeKFtG8_yji4HS352LGlSQ/edit?pli=1#gid=0"",""1_ACUM!A4:S""),18,FALSE))"),"")</f>
        <v/>
      </c>
      <c r="BF186" s="44" t="str">
        <f ca="1">IFERROR(__xludf.DUMMYFUNCTION("IFERROR(VLOOKUP(E452&amp;F452,IMPORTRANGE(""https://docs.google.com/spreadsheets/d/1Uw7-A9f9R21vMXxHZFNpYNeKFtG8_yji4HS352LGlSQ/edit?pli=1#gid=0"",""1_ACUM!A4:S""),19,FALSE))"),"")</f>
        <v/>
      </c>
      <c r="BG186" s="98" t="str">
        <f ca="1">IFERROR(__xludf.DUMMYFUNCTION("IFERROR(VLOOKUP(F452,IMPORTRANGE(""https://docs.google.com/spreadsheets/d/1Kvs4KS76FHFqLFIZfrDMff4kP08nblUkihrxltoGBjg/edit#gid=934712705"",""ESENCIAL!A6:BG""),5,FALSE))"),"")</f>
        <v/>
      </c>
      <c r="BH186" s="98" t="str">
        <f t="shared" si="17"/>
        <v/>
      </c>
      <c r="BI186" s="99" t="str">
        <f t="shared" si="18"/>
        <v/>
      </c>
      <c r="BJ186" s="100" t="str">
        <f ca="1">IFERROR(__xludf.DUMMYFUNCTION("IFERROR(VLOOKUP(F452,IMPORTRANGE(""https://docs.google.com/spreadsheets/d/1Kvs4KS76FHFqLFIZfrDMff4kP08nblUkihrxltoGBjg/edit#gid=934712705"",""ESENCIAL!A6:BG""),2,FALSE))"),"")</f>
        <v/>
      </c>
      <c r="BK186" s="19" t="str">
        <f t="shared" si="19"/>
        <v/>
      </c>
      <c r="BL186" s="100"/>
      <c r="BM186" s="100"/>
    </row>
    <row r="187" spans="2:65" ht="15">
      <c r="B187" s="39"/>
      <c r="C187" s="5"/>
      <c r="D187" s="123"/>
      <c r="E187" s="39"/>
      <c r="F187" s="39"/>
      <c r="G187" s="39"/>
      <c r="H187" s="5" t="str">
        <f ca="1">IFERROR(__xludf.DUMMYFUNCTION("IFERROR(VLOOKUP(F453,IMPORTRANGE(""https://docs.google.com/spreadsheets/d/1Kvs4KS76FHFqLFIZfrDMff4kP08nblUkihrxltoGBjg/edit#gid=934712705"",""ESENCIAL!A6:BG""),3,FALSE))"),"")</f>
        <v/>
      </c>
      <c r="I187" s="5" t="str">
        <f ca="1">IFERROR(__xludf.DUMMYFUNCTION("IFERROR(VLOOKUP(F453,IMPORTRANGE(""https://docs.google.com/spreadsheets/d/1Kvs4KS76FHFqLFIZfrDMff4kP08nblUkihrxltoGBjg/edit#gid=934712705"",""ESENCIAL!A6:BG""),8,FALSE))"),"")</f>
        <v/>
      </c>
      <c r="J187" s="39"/>
      <c r="M187" s="287"/>
      <c r="AV187" s="41" t="str">
        <f t="shared" si="16"/>
        <v/>
      </c>
      <c r="AW187" s="5" t="str">
        <f ca="1">IFERROR(__xludf.DUMMYFUNCTION("IFERROR(VLOOKUP(E453&amp;F453,IMPORTRANGE(""https://docs.google.com/spreadsheets/d/1Uw7-A9f9R21vMXxHZFNpYNeKFtG8_yji4HS352LGlSQ/edit?pli=1#gid=0"",""1_ACUM!A4:S""),11,FALSE))"),"")</f>
        <v/>
      </c>
      <c r="AX187" s="42" t="str">
        <f ca="1">IFERROR(__xludf.DUMMYFUNCTION("IFERROR(VLOOKUP(F453,IMPORTRANGE(""https://docs.google.com/spreadsheets/d/1Kvs4KS76FHFqLFIZfrDMff4kP08nblUkihrxltoGBjg/edit#gid=934712705"",""ESENCIAL!A6:BG""),15,FALSE))"),"")</f>
        <v/>
      </c>
      <c r="AY187" s="110" t="str">
        <f ca="1">IFERROR(__xludf.DUMMYFUNCTION("IFERROR(VLOOKUP(E453&amp;F453,IMPORTRANGE(""https://docs.google.com/spreadsheets/d/1Uw7-A9f9R21vMXxHZFNpYNeKFtG8_yji4HS352LGlSQ/edit?pli=1#gid=0"",""1_ACUM!A4:S""),13,FALSE))"),"")</f>
        <v/>
      </c>
      <c r="AZ187" s="43" t="str">
        <f ca="1">IFERROR(__xludf.DUMMYFUNCTION("IFERROR(VLOOKUP(E453&amp;F453,IMPORTRANGE(""https://docs.google.com/spreadsheets/d/1Uw7-A9f9R21vMXxHZFNpYNeKFtG8_yji4HS352LGlSQ/edit?pli=1#gid=0"",""1_ACUM!A4:S""),13,FALSE))"),"")</f>
        <v/>
      </c>
      <c r="BA187" s="43" t="str">
        <f ca="1">IFERROR(__xludf.DUMMYFUNCTION("IFERROR(VLOOKUP(E453&amp;F453,IMPORTRANGE(""https://docs.google.com/spreadsheets/d/1Uw7-A9f9R21vMXxHZFNpYNeKFtG8_yji4HS352LGlSQ/edit?pli=1#gid=0"",""1_ACUM!A4:S""),14,FALSE))"),"")</f>
        <v/>
      </c>
      <c r="BB187" s="43" t="str">
        <f ca="1">IFERROR(__xludf.DUMMYFUNCTION("IFERROR(VLOOKUP(E453&amp;F453,IMPORTRANGE(""https://docs.google.com/spreadsheets/d/1Uw7-A9f9R21vMXxHZFNpYNeKFtG8_yji4HS352LGlSQ/edit?pli=1#gid=0"",""1_ACUM!A4:S""),15,FALSE))"),"")</f>
        <v/>
      </c>
      <c r="BC187" s="43" t="str">
        <f ca="1">IFERROR(__xludf.DUMMYFUNCTION("IFERROR(VLOOKUP(E453&amp;F453,IMPORTRANGE(""https://docs.google.com/spreadsheets/d/1Uw7-A9f9R21vMXxHZFNpYNeKFtG8_yji4HS352LGlSQ/edit?pli=1#gid=0"",""1_ACUM!A4:S""),16,FALSE))"),"")</f>
        <v/>
      </c>
      <c r="BD187" s="43" t="str">
        <f ca="1">IFERROR(__xludf.DUMMYFUNCTION("IFERROR(VLOOKUP(E453&amp;F453,IMPORTRANGE(""https://docs.google.com/spreadsheets/d/1Uw7-A9f9R21vMXxHZFNpYNeKFtG8_yji4HS352LGlSQ/edit?pli=1#gid=0"",""1_ACUM!A4:S""),17,FALSE))"),"")</f>
        <v/>
      </c>
      <c r="BE187" s="44" t="str">
        <f ca="1">IFERROR(__xludf.DUMMYFUNCTION("IFERROR(VLOOKUP(E453&amp;F453,IMPORTRANGE(""https://docs.google.com/spreadsheets/d/1Uw7-A9f9R21vMXxHZFNpYNeKFtG8_yji4HS352LGlSQ/edit?pli=1#gid=0"",""1_ACUM!A4:S""),18,FALSE))"),"")</f>
        <v/>
      </c>
      <c r="BF187" s="44" t="str">
        <f ca="1">IFERROR(__xludf.DUMMYFUNCTION("IFERROR(VLOOKUP(E453&amp;F453,IMPORTRANGE(""https://docs.google.com/spreadsheets/d/1Uw7-A9f9R21vMXxHZFNpYNeKFtG8_yji4HS352LGlSQ/edit?pli=1#gid=0"",""1_ACUM!A4:S""),19,FALSE))"),"")</f>
        <v/>
      </c>
      <c r="BG187" s="98" t="str">
        <f ca="1">IFERROR(__xludf.DUMMYFUNCTION("IFERROR(VLOOKUP(F453,IMPORTRANGE(""https://docs.google.com/spreadsheets/d/1Kvs4KS76FHFqLFIZfrDMff4kP08nblUkihrxltoGBjg/edit#gid=934712705"",""ESENCIAL!A6:BG""),5,FALSE))"),"")</f>
        <v/>
      </c>
      <c r="BH187" s="98" t="str">
        <f t="shared" si="17"/>
        <v/>
      </c>
      <c r="BI187" s="99" t="str">
        <f t="shared" si="18"/>
        <v/>
      </c>
      <c r="BJ187" s="100" t="str">
        <f ca="1">IFERROR(__xludf.DUMMYFUNCTION("IFERROR(VLOOKUP(F453,IMPORTRANGE(""https://docs.google.com/spreadsheets/d/1Kvs4KS76FHFqLFIZfrDMff4kP08nblUkihrxltoGBjg/edit#gid=934712705"",""ESENCIAL!A6:BG""),2,FALSE))"),"")</f>
        <v/>
      </c>
      <c r="BK187" s="19" t="str">
        <f t="shared" si="19"/>
        <v/>
      </c>
      <c r="BL187" s="100"/>
      <c r="BM187" s="100"/>
    </row>
    <row r="188" spans="2:65" ht="15">
      <c r="B188" s="39"/>
      <c r="C188" s="5"/>
      <c r="D188" s="123"/>
      <c r="E188" s="39"/>
      <c r="F188" s="39"/>
      <c r="G188" s="39"/>
      <c r="H188" s="5" t="str">
        <f ca="1">IFERROR(__xludf.DUMMYFUNCTION("IFERROR(VLOOKUP(F454,IMPORTRANGE(""https://docs.google.com/spreadsheets/d/1Kvs4KS76FHFqLFIZfrDMff4kP08nblUkihrxltoGBjg/edit#gid=934712705"",""ESENCIAL!A6:BG""),3,FALSE))"),"")</f>
        <v/>
      </c>
      <c r="I188" s="5" t="str">
        <f ca="1">IFERROR(__xludf.DUMMYFUNCTION("IFERROR(VLOOKUP(F454,IMPORTRANGE(""https://docs.google.com/spreadsheets/d/1Kvs4KS76FHFqLFIZfrDMff4kP08nblUkihrxltoGBjg/edit#gid=934712705"",""ESENCIAL!A6:BG""),8,FALSE))"),"")</f>
        <v/>
      </c>
      <c r="J188" s="39"/>
      <c r="M188" s="287"/>
      <c r="AV188" s="41" t="str">
        <f t="shared" si="16"/>
        <v/>
      </c>
      <c r="AW188" s="5" t="str">
        <f ca="1">IFERROR(__xludf.DUMMYFUNCTION("IFERROR(VLOOKUP(E454&amp;F454,IMPORTRANGE(""https://docs.google.com/spreadsheets/d/1Uw7-A9f9R21vMXxHZFNpYNeKFtG8_yji4HS352LGlSQ/edit?pli=1#gid=0"",""1_ACUM!A4:S""),11,FALSE))"),"")</f>
        <v/>
      </c>
      <c r="AX188" s="42" t="str">
        <f ca="1">IFERROR(__xludf.DUMMYFUNCTION("IFERROR(VLOOKUP(F454,IMPORTRANGE(""https://docs.google.com/spreadsheets/d/1Kvs4KS76FHFqLFIZfrDMff4kP08nblUkihrxltoGBjg/edit#gid=934712705"",""ESENCIAL!A6:BG""),15,FALSE))"),"")</f>
        <v/>
      </c>
      <c r="AY188" s="110" t="str">
        <f ca="1">IFERROR(__xludf.DUMMYFUNCTION("IFERROR(VLOOKUP(E454&amp;F454,IMPORTRANGE(""https://docs.google.com/spreadsheets/d/1Uw7-A9f9R21vMXxHZFNpYNeKFtG8_yji4HS352LGlSQ/edit?pli=1#gid=0"",""1_ACUM!A4:S""),13,FALSE))"),"")</f>
        <v/>
      </c>
      <c r="AZ188" s="43" t="str">
        <f ca="1">IFERROR(__xludf.DUMMYFUNCTION("IFERROR(VLOOKUP(E454&amp;F454,IMPORTRANGE(""https://docs.google.com/spreadsheets/d/1Uw7-A9f9R21vMXxHZFNpYNeKFtG8_yji4HS352LGlSQ/edit?pli=1#gid=0"",""1_ACUM!A4:S""),13,FALSE))"),"")</f>
        <v/>
      </c>
      <c r="BA188" s="43" t="str">
        <f ca="1">IFERROR(__xludf.DUMMYFUNCTION("IFERROR(VLOOKUP(E454&amp;F454,IMPORTRANGE(""https://docs.google.com/spreadsheets/d/1Uw7-A9f9R21vMXxHZFNpYNeKFtG8_yji4HS352LGlSQ/edit?pli=1#gid=0"",""1_ACUM!A4:S""),14,FALSE))"),"")</f>
        <v/>
      </c>
      <c r="BB188" s="43" t="str">
        <f ca="1">IFERROR(__xludf.DUMMYFUNCTION("IFERROR(VLOOKUP(E454&amp;F454,IMPORTRANGE(""https://docs.google.com/spreadsheets/d/1Uw7-A9f9R21vMXxHZFNpYNeKFtG8_yji4HS352LGlSQ/edit?pli=1#gid=0"",""1_ACUM!A4:S""),15,FALSE))"),"")</f>
        <v/>
      </c>
      <c r="BC188" s="43" t="str">
        <f ca="1">IFERROR(__xludf.DUMMYFUNCTION("IFERROR(VLOOKUP(E454&amp;F454,IMPORTRANGE(""https://docs.google.com/spreadsheets/d/1Uw7-A9f9R21vMXxHZFNpYNeKFtG8_yji4HS352LGlSQ/edit?pli=1#gid=0"",""1_ACUM!A4:S""),16,FALSE))"),"")</f>
        <v/>
      </c>
      <c r="BD188" s="43" t="str">
        <f ca="1">IFERROR(__xludf.DUMMYFUNCTION("IFERROR(VLOOKUP(E454&amp;F454,IMPORTRANGE(""https://docs.google.com/spreadsheets/d/1Uw7-A9f9R21vMXxHZFNpYNeKFtG8_yji4HS352LGlSQ/edit?pli=1#gid=0"",""1_ACUM!A4:S""),17,FALSE))"),"")</f>
        <v/>
      </c>
      <c r="BE188" s="44" t="str">
        <f ca="1">IFERROR(__xludf.DUMMYFUNCTION("IFERROR(VLOOKUP(E454&amp;F454,IMPORTRANGE(""https://docs.google.com/spreadsheets/d/1Uw7-A9f9R21vMXxHZFNpYNeKFtG8_yji4HS352LGlSQ/edit?pli=1#gid=0"",""1_ACUM!A4:S""),18,FALSE))"),"")</f>
        <v/>
      </c>
      <c r="BF188" s="44" t="str">
        <f ca="1">IFERROR(__xludf.DUMMYFUNCTION("IFERROR(VLOOKUP(E454&amp;F454,IMPORTRANGE(""https://docs.google.com/spreadsheets/d/1Uw7-A9f9R21vMXxHZFNpYNeKFtG8_yji4HS352LGlSQ/edit?pli=1#gid=0"",""1_ACUM!A4:S""),19,FALSE))"),"")</f>
        <v/>
      </c>
      <c r="BG188" s="98" t="str">
        <f ca="1">IFERROR(__xludf.DUMMYFUNCTION("IFERROR(VLOOKUP(F454,IMPORTRANGE(""https://docs.google.com/spreadsheets/d/1Kvs4KS76FHFqLFIZfrDMff4kP08nblUkihrxltoGBjg/edit#gid=934712705"",""ESENCIAL!A6:BG""),5,FALSE))"),"")</f>
        <v/>
      </c>
      <c r="BH188" s="98" t="str">
        <f t="shared" si="17"/>
        <v/>
      </c>
      <c r="BI188" s="99" t="str">
        <f t="shared" si="18"/>
        <v/>
      </c>
      <c r="BJ188" s="100" t="str">
        <f ca="1">IFERROR(__xludf.DUMMYFUNCTION("IFERROR(VLOOKUP(F454,IMPORTRANGE(""https://docs.google.com/spreadsheets/d/1Kvs4KS76FHFqLFIZfrDMff4kP08nblUkihrxltoGBjg/edit#gid=934712705"",""ESENCIAL!A6:BG""),2,FALSE))"),"")</f>
        <v/>
      </c>
      <c r="BK188" s="19" t="str">
        <f t="shared" si="19"/>
        <v/>
      </c>
      <c r="BL188" s="100"/>
      <c r="BM188" s="100"/>
    </row>
    <row r="189" spans="2:65" ht="15">
      <c r="B189" s="39"/>
      <c r="C189" s="5"/>
      <c r="D189" s="123"/>
      <c r="E189" s="39"/>
      <c r="F189" s="39"/>
      <c r="G189" s="39"/>
      <c r="H189" s="5" t="str">
        <f ca="1">IFERROR(__xludf.DUMMYFUNCTION("IFERROR(VLOOKUP(F455,IMPORTRANGE(""https://docs.google.com/spreadsheets/d/1Kvs4KS76FHFqLFIZfrDMff4kP08nblUkihrxltoGBjg/edit#gid=934712705"",""ESENCIAL!A6:BG""),3,FALSE))"),"")</f>
        <v/>
      </c>
      <c r="I189" s="5" t="str">
        <f ca="1">IFERROR(__xludf.DUMMYFUNCTION("IFERROR(VLOOKUP(F455,IMPORTRANGE(""https://docs.google.com/spreadsheets/d/1Kvs4KS76FHFqLFIZfrDMff4kP08nblUkihrxltoGBjg/edit#gid=934712705"",""ESENCIAL!A6:BG""),8,FALSE))"),"")</f>
        <v/>
      </c>
      <c r="J189" s="39"/>
      <c r="M189" s="287"/>
      <c r="AV189" s="41" t="str">
        <f t="shared" si="16"/>
        <v/>
      </c>
      <c r="AW189" s="5" t="str">
        <f ca="1">IFERROR(__xludf.DUMMYFUNCTION("IFERROR(VLOOKUP(E455&amp;F455,IMPORTRANGE(""https://docs.google.com/spreadsheets/d/1Uw7-A9f9R21vMXxHZFNpYNeKFtG8_yji4HS352LGlSQ/edit?pli=1#gid=0"",""1_ACUM!A4:S""),11,FALSE))"),"")</f>
        <v/>
      </c>
      <c r="AX189" s="42" t="str">
        <f ca="1">IFERROR(__xludf.DUMMYFUNCTION("IFERROR(VLOOKUP(F455,IMPORTRANGE(""https://docs.google.com/spreadsheets/d/1Kvs4KS76FHFqLFIZfrDMff4kP08nblUkihrxltoGBjg/edit#gid=934712705"",""ESENCIAL!A6:BG""),15,FALSE))"),"")</f>
        <v/>
      </c>
      <c r="AY189" s="110" t="str">
        <f ca="1">IFERROR(__xludf.DUMMYFUNCTION("IFERROR(VLOOKUP(E455&amp;F455,IMPORTRANGE(""https://docs.google.com/spreadsheets/d/1Uw7-A9f9R21vMXxHZFNpYNeKFtG8_yji4HS352LGlSQ/edit?pli=1#gid=0"",""1_ACUM!A4:S""),13,FALSE))"),"")</f>
        <v/>
      </c>
      <c r="AZ189" s="43" t="str">
        <f ca="1">IFERROR(__xludf.DUMMYFUNCTION("IFERROR(VLOOKUP(E455&amp;F455,IMPORTRANGE(""https://docs.google.com/spreadsheets/d/1Uw7-A9f9R21vMXxHZFNpYNeKFtG8_yji4HS352LGlSQ/edit?pli=1#gid=0"",""1_ACUM!A4:S""),13,FALSE))"),"")</f>
        <v/>
      </c>
      <c r="BA189" s="43" t="str">
        <f ca="1">IFERROR(__xludf.DUMMYFUNCTION("IFERROR(VLOOKUP(E455&amp;F455,IMPORTRANGE(""https://docs.google.com/spreadsheets/d/1Uw7-A9f9R21vMXxHZFNpYNeKFtG8_yji4HS352LGlSQ/edit?pli=1#gid=0"",""1_ACUM!A4:S""),14,FALSE))"),"")</f>
        <v/>
      </c>
      <c r="BB189" s="43" t="str">
        <f ca="1">IFERROR(__xludf.DUMMYFUNCTION("IFERROR(VLOOKUP(E455&amp;F455,IMPORTRANGE(""https://docs.google.com/spreadsheets/d/1Uw7-A9f9R21vMXxHZFNpYNeKFtG8_yji4HS352LGlSQ/edit?pli=1#gid=0"",""1_ACUM!A4:S""),15,FALSE))"),"")</f>
        <v/>
      </c>
      <c r="BC189" s="43" t="str">
        <f ca="1">IFERROR(__xludf.DUMMYFUNCTION("IFERROR(VLOOKUP(E455&amp;F455,IMPORTRANGE(""https://docs.google.com/spreadsheets/d/1Uw7-A9f9R21vMXxHZFNpYNeKFtG8_yji4HS352LGlSQ/edit?pli=1#gid=0"",""1_ACUM!A4:S""),16,FALSE))"),"")</f>
        <v/>
      </c>
      <c r="BD189" s="43" t="str">
        <f ca="1">IFERROR(__xludf.DUMMYFUNCTION("IFERROR(VLOOKUP(E455&amp;F455,IMPORTRANGE(""https://docs.google.com/spreadsheets/d/1Uw7-A9f9R21vMXxHZFNpYNeKFtG8_yji4HS352LGlSQ/edit?pli=1#gid=0"",""1_ACUM!A4:S""),17,FALSE))"),"")</f>
        <v/>
      </c>
      <c r="BE189" s="44" t="str">
        <f ca="1">IFERROR(__xludf.DUMMYFUNCTION("IFERROR(VLOOKUP(E455&amp;F455,IMPORTRANGE(""https://docs.google.com/spreadsheets/d/1Uw7-A9f9R21vMXxHZFNpYNeKFtG8_yji4HS352LGlSQ/edit?pli=1#gid=0"",""1_ACUM!A4:S""),18,FALSE))"),"")</f>
        <v/>
      </c>
      <c r="BF189" s="44" t="str">
        <f ca="1">IFERROR(__xludf.DUMMYFUNCTION("IFERROR(VLOOKUP(E455&amp;F455,IMPORTRANGE(""https://docs.google.com/spreadsheets/d/1Uw7-A9f9R21vMXxHZFNpYNeKFtG8_yji4HS352LGlSQ/edit?pli=1#gid=0"",""1_ACUM!A4:S""),19,FALSE))"),"")</f>
        <v/>
      </c>
      <c r="BG189" s="98" t="str">
        <f ca="1">IFERROR(__xludf.DUMMYFUNCTION("IFERROR(VLOOKUP(F455,IMPORTRANGE(""https://docs.google.com/spreadsheets/d/1Kvs4KS76FHFqLFIZfrDMff4kP08nblUkihrxltoGBjg/edit#gid=934712705"",""ESENCIAL!A6:BG""),5,FALSE))"),"")</f>
        <v/>
      </c>
      <c r="BH189" s="98" t="str">
        <f t="shared" si="17"/>
        <v/>
      </c>
      <c r="BI189" s="99" t="str">
        <f t="shared" si="18"/>
        <v/>
      </c>
      <c r="BJ189" s="100" t="str">
        <f ca="1">IFERROR(__xludf.DUMMYFUNCTION("IFERROR(VLOOKUP(F455,IMPORTRANGE(""https://docs.google.com/spreadsheets/d/1Kvs4KS76FHFqLFIZfrDMff4kP08nblUkihrxltoGBjg/edit#gid=934712705"",""ESENCIAL!A6:BG""),2,FALSE))"),"")</f>
        <v/>
      </c>
      <c r="BK189" s="19" t="str">
        <f t="shared" si="19"/>
        <v/>
      </c>
      <c r="BL189" s="100"/>
      <c r="BM189" s="100"/>
    </row>
    <row r="190" spans="2:65" ht="15">
      <c r="B190" s="39"/>
      <c r="C190" s="5"/>
      <c r="D190" s="123"/>
      <c r="E190" s="39"/>
      <c r="F190" s="39"/>
      <c r="G190" s="39"/>
      <c r="H190" s="5" t="str">
        <f ca="1">IFERROR(__xludf.DUMMYFUNCTION("IFERROR(VLOOKUP(F456,IMPORTRANGE(""https://docs.google.com/spreadsheets/d/1Kvs4KS76FHFqLFIZfrDMff4kP08nblUkihrxltoGBjg/edit#gid=934712705"",""ESENCIAL!A6:BG""),3,FALSE))"),"")</f>
        <v/>
      </c>
      <c r="I190" s="5" t="str">
        <f ca="1">IFERROR(__xludf.DUMMYFUNCTION("IFERROR(VLOOKUP(F456,IMPORTRANGE(""https://docs.google.com/spreadsheets/d/1Kvs4KS76FHFqLFIZfrDMff4kP08nblUkihrxltoGBjg/edit#gid=934712705"",""ESENCIAL!A6:BG""),8,FALSE))"),"")</f>
        <v/>
      </c>
      <c r="J190" s="39"/>
      <c r="M190" s="287"/>
      <c r="AV190" s="41" t="str">
        <f t="shared" si="16"/>
        <v/>
      </c>
      <c r="AW190" s="5" t="str">
        <f ca="1">IFERROR(__xludf.DUMMYFUNCTION("IFERROR(VLOOKUP(E456&amp;F456,IMPORTRANGE(""https://docs.google.com/spreadsheets/d/1Uw7-A9f9R21vMXxHZFNpYNeKFtG8_yji4HS352LGlSQ/edit?pli=1#gid=0"",""1_ACUM!A4:S""),11,FALSE))"),"")</f>
        <v/>
      </c>
      <c r="AX190" s="42" t="str">
        <f ca="1">IFERROR(__xludf.DUMMYFUNCTION("IFERROR(VLOOKUP(F456,IMPORTRANGE(""https://docs.google.com/spreadsheets/d/1Kvs4KS76FHFqLFIZfrDMff4kP08nblUkihrxltoGBjg/edit#gid=934712705"",""ESENCIAL!A6:BG""),15,FALSE))"),"")</f>
        <v/>
      </c>
      <c r="AY190" s="110" t="str">
        <f ca="1">IFERROR(__xludf.DUMMYFUNCTION("IFERROR(VLOOKUP(E456&amp;F456,IMPORTRANGE(""https://docs.google.com/spreadsheets/d/1Uw7-A9f9R21vMXxHZFNpYNeKFtG8_yji4HS352LGlSQ/edit?pli=1#gid=0"",""1_ACUM!A4:S""),13,FALSE))"),"")</f>
        <v/>
      </c>
      <c r="AZ190" s="43" t="str">
        <f ca="1">IFERROR(__xludf.DUMMYFUNCTION("IFERROR(VLOOKUP(E456&amp;F456,IMPORTRANGE(""https://docs.google.com/spreadsheets/d/1Uw7-A9f9R21vMXxHZFNpYNeKFtG8_yji4HS352LGlSQ/edit?pli=1#gid=0"",""1_ACUM!A4:S""),13,FALSE))"),"")</f>
        <v/>
      </c>
      <c r="BA190" s="43" t="str">
        <f ca="1">IFERROR(__xludf.DUMMYFUNCTION("IFERROR(VLOOKUP(E456&amp;F456,IMPORTRANGE(""https://docs.google.com/spreadsheets/d/1Uw7-A9f9R21vMXxHZFNpYNeKFtG8_yji4HS352LGlSQ/edit?pli=1#gid=0"",""1_ACUM!A4:S""),14,FALSE))"),"")</f>
        <v/>
      </c>
      <c r="BB190" s="43" t="str">
        <f ca="1">IFERROR(__xludf.DUMMYFUNCTION("IFERROR(VLOOKUP(E456&amp;F456,IMPORTRANGE(""https://docs.google.com/spreadsheets/d/1Uw7-A9f9R21vMXxHZFNpYNeKFtG8_yji4HS352LGlSQ/edit?pli=1#gid=0"",""1_ACUM!A4:S""),15,FALSE))"),"")</f>
        <v/>
      </c>
      <c r="BC190" s="43" t="str">
        <f ca="1">IFERROR(__xludf.DUMMYFUNCTION("IFERROR(VLOOKUP(E456&amp;F456,IMPORTRANGE(""https://docs.google.com/spreadsheets/d/1Uw7-A9f9R21vMXxHZFNpYNeKFtG8_yji4HS352LGlSQ/edit?pli=1#gid=0"",""1_ACUM!A4:S""),16,FALSE))"),"")</f>
        <v/>
      </c>
      <c r="BD190" s="43" t="str">
        <f ca="1">IFERROR(__xludf.DUMMYFUNCTION("IFERROR(VLOOKUP(E456&amp;F456,IMPORTRANGE(""https://docs.google.com/spreadsheets/d/1Uw7-A9f9R21vMXxHZFNpYNeKFtG8_yji4HS352LGlSQ/edit?pli=1#gid=0"",""1_ACUM!A4:S""),17,FALSE))"),"")</f>
        <v/>
      </c>
      <c r="BE190" s="44" t="str">
        <f ca="1">IFERROR(__xludf.DUMMYFUNCTION("IFERROR(VLOOKUP(E456&amp;F456,IMPORTRANGE(""https://docs.google.com/spreadsheets/d/1Uw7-A9f9R21vMXxHZFNpYNeKFtG8_yji4HS352LGlSQ/edit?pli=1#gid=0"",""1_ACUM!A4:S""),18,FALSE))"),"")</f>
        <v/>
      </c>
      <c r="BF190" s="44" t="str">
        <f ca="1">IFERROR(__xludf.DUMMYFUNCTION("IFERROR(VLOOKUP(E456&amp;F456,IMPORTRANGE(""https://docs.google.com/spreadsheets/d/1Uw7-A9f9R21vMXxHZFNpYNeKFtG8_yji4HS352LGlSQ/edit?pli=1#gid=0"",""1_ACUM!A4:S""),19,FALSE))"),"")</f>
        <v/>
      </c>
      <c r="BG190" s="98" t="str">
        <f ca="1">IFERROR(__xludf.DUMMYFUNCTION("IFERROR(VLOOKUP(F456,IMPORTRANGE(""https://docs.google.com/spreadsheets/d/1Kvs4KS76FHFqLFIZfrDMff4kP08nblUkihrxltoGBjg/edit#gid=934712705"",""ESENCIAL!A6:BG""),5,FALSE))"),"")</f>
        <v/>
      </c>
      <c r="BH190" s="98" t="str">
        <f t="shared" si="17"/>
        <v/>
      </c>
      <c r="BI190" s="99" t="str">
        <f t="shared" si="18"/>
        <v/>
      </c>
      <c r="BJ190" s="100" t="str">
        <f ca="1">IFERROR(__xludf.DUMMYFUNCTION("IFERROR(VLOOKUP(F456,IMPORTRANGE(""https://docs.google.com/spreadsheets/d/1Kvs4KS76FHFqLFIZfrDMff4kP08nblUkihrxltoGBjg/edit#gid=934712705"",""ESENCIAL!A6:BG""),2,FALSE))"),"")</f>
        <v/>
      </c>
      <c r="BK190" s="19" t="str">
        <f t="shared" si="19"/>
        <v/>
      </c>
      <c r="BL190" s="100"/>
      <c r="BM190" s="100"/>
    </row>
    <row r="191" spans="2:65" ht="15">
      <c r="B191" s="39"/>
      <c r="C191" s="5"/>
      <c r="D191" s="123"/>
      <c r="E191" s="39"/>
      <c r="F191" s="39"/>
      <c r="G191" s="39"/>
      <c r="H191" s="5" t="str">
        <f ca="1">IFERROR(__xludf.DUMMYFUNCTION("IFERROR(VLOOKUP(F457,IMPORTRANGE(""https://docs.google.com/spreadsheets/d/1Kvs4KS76FHFqLFIZfrDMff4kP08nblUkihrxltoGBjg/edit#gid=934712705"",""ESENCIAL!A6:BG""),3,FALSE))"),"")</f>
        <v/>
      </c>
      <c r="I191" s="5" t="str">
        <f ca="1">IFERROR(__xludf.DUMMYFUNCTION("IFERROR(VLOOKUP(F457,IMPORTRANGE(""https://docs.google.com/spreadsheets/d/1Kvs4KS76FHFqLFIZfrDMff4kP08nblUkihrxltoGBjg/edit#gid=934712705"",""ESENCIAL!A6:BG""),8,FALSE))"),"")</f>
        <v/>
      </c>
      <c r="J191" s="39"/>
      <c r="M191" s="287"/>
      <c r="AV191" s="41" t="str">
        <f t="shared" si="16"/>
        <v/>
      </c>
      <c r="AW191" s="5" t="str">
        <f ca="1">IFERROR(__xludf.DUMMYFUNCTION("IFERROR(VLOOKUP(E457&amp;F457,IMPORTRANGE(""https://docs.google.com/spreadsheets/d/1Uw7-A9f9R21vMXxHZFNpYNeKFtG8_yji4HS352LGlSQ/edit?pli=1#gid=0"",""1_ACUM!A4:S""),11,FALSE))"),"")</f>
        <v/>
      </c>
      <c r="AX191" s="42" t="str">
        <f ca="1">IFERROR(__xludf.DUMMYFUNCTION("IFERROR(VLOOKUP(F457,IMPORTRANGE(""https://docs.google.com/spreadsheets/d/1Kvs4KS76FHFqLFIZfrDMff4kP08nblUkihrxltoGBjg/edit#gid=934712705"",""ESENCIAL!A6:BG""),15,FALSE))"),"")</f>
        <v/>
      </c>
      <c r="AY191" s="110" t="str">
        <f ca="1">IFERROR(__xludf.DUMMYFUNCTION("IFERROR(VLOOKUP(E457&amp;F457,IMPORTRANGE(""https://docs.google.com/spreadsheets/d/1Uw7-A9f9R21vMXxHZFNpYNeKFtG8_yji4HS352LGlSQ/edit?pli=1#gid=0"",""1_ACUM!A4:S""),13,FALSE))"),"")</f>
        <v/>
      </c>
      <c r="AZ191" s="43" t="str">
        <f ca="1">IFERROR(__xludf.DUMMYFUNCTION("IFERROR(VLOOKUP(E457&amp;F457,IMPORTRANGE(""https://docs.google.com/spreadsheets/d/1Uw7-A9f9R21vMXxHZFNpYNeKFtG8_yji4HS352LGlSQ/edit?pli=1#gid=0"",""1_ACUM!A4:S""),13,FALSE))"),"")</f>
        <v/>
      </c>
      <c r="BA191" s="43" t="str">
        <f ca="1">IFERROR(__xludf.DUMMYFUNCTION("IFERROR(VLOOKUP(E457&amp;F457,IMPORTRANGE(""https://docs.google.com/spreadsheets/d/1Uw7-A9f9R21vMXxHZFNpYNeKFtG8_yji4HS352LGlSQ/edit?pli=1#gid=0"",""1_ACUM!A4:S""),14,FALSE))"),"")</f>
        <v/>
      </c>
      <c r="BB191" s="43" t="str">
        <f ca="1">IFERROR(__xludf.DUMMYFUNCTION("IFERROR(VLOOKUP(E457&amp;F457,IMPORTRANGE(""https://docs.google.com/spreadsheets/d/1Uw7-A9f9R21vMXxHZFNpYNeKFtG8_yji4HS352LGlSQ/edit?pli=1#gid=0"",""1_ACUM!A4:S""),15,FALSE))"),"")</f>
        <v/>
      </c>
      <c r="BC191" s="43" t="str">
        <f ca="1">IFERROR(__xludf.DUMMYFUNCTION("IFERROR(VLOOKUP(E457&amp;F457,IMPORTRANGE(""https://docs.google.com/spreadsheets/d/1Uw7-A9f9R21vMXxHZFNpYNeKFtG8_yji4HS352LGlSQ/edit?pli=1#gid=0"",""1_ACUM!A4:S""),16,FALSE))"),"")</f>
        <v/>
      </c>
      <c r="BD191" s="43" t="str">
        <f ca="1">IFERROR(__xludf.DUMMYFUNCTION("IFERROR(VLOOKUP(E457&amp;F457,IMPORTRANGE(""https://docs.google.com/spreadsheets/d/1Uw7-A9f9R21vMXxHZFNpYNeKFtG8_yji4HS352LGlSQ/edit?pli=1#gid=0"",""1_ACUM!A4:S""),17,FALSE))"),"")</f>
        <v/>
      </c>
      <c r="BE191" s="44" t="str">
        <f ca="1">IFERROR(__xludf.DUMMYFUNCTION("IFERROR(VLOOKUP(E457&amp;F457,IMPORTRANGE(""https://docs.google.com/spreadsheets/d/1Uw7-A9f9R21vMXxHZFNpYNeKFtG8_yji4HS352LGlSQ/edit?pli=1#gid=0"",""1_ACUM!A4:S""),18,FALSE))"),"")</f>
        <v/>
      </c>
      <c r="BF191" s="44" t="str">
        <f ca="1">IFERROR(__xludf.DUMMYFUNCTION("IFERROR(VLOOKUP(E457&amp;F457,IMPORTRANGE(""https://docs.google.com/spreadsheets/d/1Uw7-A9f9R21vMXxHZFNpYNeKFtG8_yji4HS352LGlSQ/edit?pli=1#gid=0"",""1_ACUM!A4:S""),19,FALSE))"),"")</f>
        <v/>
      </c>
      <c r="BG191" s="98" t="str">
        <f ca="1">IFERROR(__xludf.DUMMYFUNCTION("IFERROR(VLOOKUP(F457,IMPORTRANGE(""https://docs.google.com/spreadsheets/d/1Kvs4KS76FHFqLFIZfrDMff4kP08nblUkihrxltoGBjg/edit#gid=934712705"",""ESENCIAL!A6:BG""),5,FALSE))"),"")</f>
        <v/>
      </c>
      <c r="BH191" s="98" t="str">
        <f t="shared" si="17"/>
        <v/>
      </c>
      <c r="BI191" s="99" t="str">
        <f t="shared" si="18"/>
        <v/>
      </c>
      <c r="BJ191" s="100" t="str">
        <f ca="1">IFERROR(__xludf.DUMMYFUNCTION("IFERROR(VLOOKUP(F457,IMPORTRANGE(""https://docs.google.com/spreadsheets/d/1Kvs4KS76FHFqLFIZfrDMff4kP08nblUkihrxltoGBjg/edit#gid=934712705"",""ESENCIAL!A6:BG""),2,FALSE))"),"")</f>
        <v/>
      </c>
      <c r="BK191" s="19" t="str">
        <f t="shared" si="19"/>
        <v/>
      </c>
      <c r="BL191" s="100"/>
      <c r="BM191" s="100"/>
    </row>
    <row r="192" spans="2:65" ht="15">
      <c r="B192" s="39"/>
      <c r="C192" s="5"/>
      <c r="D192" s="123"/>
      <c r="E192" s="39"/>
      <c r="F192" s="39"/>
      <c r="G192" s="39"/>
      <c r="H192" s="5" t="str">
        <f ca="1">IFERROR(__xludf.DUMMYFUNCTION("IFERROR(VLOOKUP(F458,IMPORTRANGE(""https://docs.google.com/spreadsheets/d/1Kvs4KS76FHFqLFIZfrDMff4kP08nblUkihrxltoGBjg/edit#gid=934712705"",""ESENCIAL!A6:BG""),3,FALSE))"),"")</f>
        <v/>
      </c>
      <c r="I192" s="5" t="str">
        <f ca="1">IFERROR(__xludf.DUMMYFUNCTION("IFERROR(VLOOKUP(F458,IMPORTRANGE(""https://docs.google.com/spreadsheets/d/1Kvs4KS76FHFqLFIZfrDMff4kP08nblUkihrxltoGBjg/edit#gid=934712705"",""ESENCIAL!A6:BG""),8,FALSE))"),"")</f>
        <v/>
      </c>
      <c r="J192" s="39"/>
      <c r="M192" s="287"/>
      <c r="AV192" s="41" t="str">
        <f t="shared" si="16"/>
        <v/>
      </c>
      <c r="AW192" s="5" t="str">
        <f ca="1">IFERROR(__xludf.DUMMYFUNCTION("IFERROR(VLOOKUP(E458&amp;F458,IMPORTRANGE(""https://docs.google.com/spreadsheets/d/1Uw7-A9f9R21vMXxHZFNpYNeKFtG8_yji4HS352LGlSQ/edit?pli=1#gid=0"",""1_ACUM!A4:S""),11,FALSE))"),"")</f>
        <v/>
      </c>
      <c r="AX192" s="42" t="str">
        <f ca="1">IFERROR(__xludf.DUMMYFUNCTION("IFERROR(VLOOKUP(F458,IMPORTRANGE(""https://docs.google.com/spreadsheets/d/1Kvs4KS76FHFqLFIZfrDMff4kP08nblUkihrxltoGBjg/edit#gid=934712705"",""ESENCIAL!A6:BG""),15,FALSE))"),"")</f>
        <v/>
      </c>
      <c r="AY192" s="110" t="str">
        <f ca="1">IFERROR(__xludf.DUMMYFUNCTION("IFERROR(VLOOKUP(E458&amp;F458,IMPORTRANGE(""https://docs.google.com/spreadsheets/d/1Uw7-A9f9R21vMXxHZFNpYNeKFtG8_yji4HS352LGlSQ/edit?pli=1#gid=0"",""1_ACUM!A4:S""),13,FALSE))"),"")</f>
        <v/>
      </c>
      <c r="AZ192" s="43" t="str">
        <f ca="1">IFERROR(__xludf.DUMMYFUNCTION("IFERROR(VLOOKUP(E458&amp;F458,IMPORTRANGE(""https://docs.google.com/spreadsheets/d/1Uw7-A9f9R21vMXxHZFNpYNeKFtG8_yji4HS352LGlSQ/edit?pli=1#gid=0"",""1_ACUM!A4:S""),13,FALSE))"),"")</f>
        <v/>
      </c>
      <c r="BA192" s="43" t="str">
        <f ca="1">IFERROR(__xludf.DUMMYFUNCTION("IFERROR(VLOOKUP(E458&amp;F458,IMPORTRANGE(""https://docs.google.com/spreadsheets/d/1Uw7-A9f9R21vMXxHZFNpYNeKFtG8_yji4HS352LGlSQ/edit?pli=1#gid=0"",""1_ACUM!A4:S""),14,FALSE))"),"")</f>
        <v/>
      </c>
      <c r="BB192" s="43" t="str">
        <f ca="1">IFERROR(__xludf.DUMMYFUNCTION("IFERROR(VLOOKUP(E458&amp;F458,IMPORTRANGE(""https://docs.google.com/spreadsheets/d/1Uw7-A9f9R21vMXxHZFNpYNeKFtG8_yji4HS352LGlSQ/edit?pli=1#gid=0"",""1_ACUM!A4:S""),15,FALSE))"),"")</f>
        <v/>
      </c>
      <c r="BC192" s="43" t="str">
        <f ca="1">IFERROR(__xludf.DUMMYFUNCTION("IFERROR(VLOOKUP(E458&amp;F458,IMPORTRANGE(""https://docs.google.com/spreadsheets/d/1Uw7-A9f9R21vMXxHZFNpYNeKFtG8_yji4HS352LGlSQ/edit?pli=1#gid=0"",""1_ACUM!A4:S""),16,FALSE))"),"")</f>
        <v/>
      </c>
      <c r="BD192" s="43" t="str">
        <f ca="1">IFERROR(__xludf.DUMMYFUNCTION("IFERROR(VLOOKUP(E458&amp;F458,IMPORTRANGE(""https://docs.google.com/spreadsheets/d/1Uw7-A9f9R21vMXxHZFNpYNeKFtG8_yji4HS352LGlSQ/edit?pli=1#gid=0"",""1_ACUM!A4:S""),17,FALSE))"),"")</f>
        <v/>
      </c>
      <c r="BE192" s="44" t="str">
        <f ca="1">IFERROR(__xludf.DUMMYFUNCTION("IFERROR(VLOOKUP(E458&amp;F458,IMPORTRANGE(""https://docs.google.com/spreadsheets/d/1Uw7-A9f9R21vMXxHZFNpYNeKFtG8_yji4HS352LGlSQ/edit?pli=1#gid=0"",""1_ACUM!A4:S""),18,FALSE))"),"")</f>
        <v/>
      </c>
      <c r="BF192" s="44" t="str">
        <f ca="1">IFERROR(__xludf.DUMMYFUNCTION("IFERROR(VLOOKUP(E458&amp;F458,IMPORTRANGE(""https://docs.google.com/spreadsheets/d/1Uw7-A9f9R21vMXxHZFNpYNeKFtG8_yji4HS352LGlSQ/edit?pli=1#gid=0"",""1_ACUM!A4:S""),19,FALSE))"),"")</f>
        <v/>
      </c>
      <c r="BG192" s="98" t="str">
        <f ca="1">IFERROR(__xludf.DUMMYFUNCTION("IFERROR(VLOOKUP(F458,IMPORTRANGE(""https://docs.google.com/spreadsheets/d/1Kvs4KS76FHFqLFIZfrDMff4kP08nblUkihrxltoGBjg/edit#gid=934712705"",""ESENCIAL!A6:BG""),5,FALSE))"),"")</f>
        <v/>
      </c>
      <c r="BH192" s="98" t="str">
        <f t="shared" si="17"/>
        <v/>
      </c>
      <c r="BI192" s="99" t="str">
        <f t="shared" si="18"/>
        <v/>
      </c>
      <c r="BJ192" s="100" t="str">
        <f ca="1">IFERROR(__xludf.DUMMYFUNCTION("IFERROR(VLOOKUP(F458,IMPORTRANGE(""https://docs.google.com/spreadsheets/d/1Kvs4KS76FHFqLFIZfrDMff4kP08nblUkihrxltoGBjg/edit#gid=934712705"",""ESENCIAL!A6:BG""),2,FALSE))"),"")</f>
        <v/>
      </c>
      <c r="BK192" s="19" t="str">
        <f t="shared" si="19"/>
        <v/>
      </c>
      <c r="BL192" s="100"/>
      <c r="BM192" s="100"/>
    </row>
    <row r="193" spans="2:65" ht="15">
      <c r="B193" s="39"/>
      <c r="C193" s="5"/>
      <c r="D193" s="123"/>
      <c r="E193" s="39"/>
      <c r="F193" s="39"/>
      <c r="G193" s="39"/>
      <c r="H193" s="5" t="str">
        <f ca="1">IFERROR(__xludf.DUMMYFUNCTION("IFERROR(VLOOKUP(F459,IMPORTRANGE(""https://docs.google.com/spreadsheets/d/1Kvs4KS76FHFqLFIZfrDMff4kP08nblUkihrxltoGBjg/edit#gid=934712705"",""ESENCIAL!A6:BG""),3,FALSE))"),"")</f>
        <v/>
      </c>
      <c r="I193" s="5" t="str">
        <f ca="1">IFERROR(__xludf.DUMMYFUNCTION("IFERROR(VLOOKUP(F459,IMPORTRANGE(""https://docs.google.com/spreadsheets/d/1Kvs4KS76FHFqLFIZfrDMff4kP08nblUkihrxltoGBjg/edit#gid=934712705"",""ESENCIAL!A6:BG""),8,FALSE))"),"")</f>
        <v/>
      </c>
      <c r="J193" s="39"/>
      <c r="M193" s="287"/>
      <c r="AV193" s="41" t="str">
        <f t="shared" si="16"/>
        <v/>
      </c>
      <c r="AW193" s="5" t="str">
        <f ca="1">IFERROR(__xludf.DUMMYFUNCTION("IFERROR(VLOOKUP(E459&amp;F459,IMPORTRANGE(""https://docs.google.com/spreadsheets/d/1Uw7-A9f9R21vMXxHZFNpYNeKFtG8_yji4HS352LGlSQ/edit?pli=1#gid=0"",""1_ACUM!A4:S""),11,FALSE))"),"")</f>
        <v/>
      </c>
      <c r="AX193" s="42" t="str">
        <f ca="1">IFERROR(__xludf.DUMMYFUNCTION("IFERROR(VLOOKUP(F459,IMPORTRANGE(""https://docs.google.com/spreadsheets/d/1Kvs4KS76FHFqLFIZfrDMff4kP08nblUkihrxltoGBjg/edit#gid=934712705"",""ESENCIAL!A6:BG""),15,FALSE))"),"")</f>
        <v/>
      </c>
      <c r="AY193" s="110" t="str">
        <f ca="1">IFERROR(__xludf.DUMMYFUNCTION("IFERROR(VLOOKUP(E459&amp;F459,IMPORTRANGE(""https://docs.google.com/spreadsheets/d/1Uw7-A9f9R21vMXxHZFNpYNeKFtG8_yji4HS352LGlSQ/edit?pli=1#gid=0"",""1_ACUM!A4:S""),13,FALSE))"),"")</f>
        <v/>
      </c>
      <c r="AZ193" s="43" t="str">
        <f ca="1">IFERROR(__xludf.DUMMYFUNCTION("IFERROR(VLOOKUP(E459&amp;F459,IMPORTRANGE(""https://docs.google.com/spreadsheets/d/1Uw7-A9f9R21vMXxHZFNpYNeKFtG8_yji4HS352LGlSQ/edit?pli=1#gid=0"",""1_ACUM!A4:S""),13,FALSE))"),"")</f>
        <v/>
      </c>
      <c r="BA193" s="43" t="str">
        <f ca="1">IFERROR(__xludf.DUMMYFUNCTION("IFERROR(VLOOKUP(E459&amp;F459,IMPORTRANGE(""https://docs.google.com/spreadsheets/d/1Uw7-A9f9R21vMXxHZFNpYNeKFtG8_yji4HS352LGlSQ/edit?pli=1#gid=0"",""1_ACUM!A4:S""),14,FALSE))"),"")</f>
        <v/>
      </c>
      <c r="BB193" s="43" t="str">
        <f ca="1">IFERROR(__xludf.DUMMYFUNCTION("IFERROR(VLOOKUP(E459&amp;F459,IMPORTRANGE(""https://docs.google.com/spreadsheets/d/1Uw7-A9f9R21vMXxHZFNpYNeKFtG8_yji4HS352LGlSQ/edit?pli=1#gid=0"",""1_ACUM!A4:S""),15,FALSE))"),"")</f>
        <v/>
      </c>
      <c r="BC193" s="43" t="str">
        <f ca="1">IFERROR(__xludf.DUMMYFUNCTION("IFERROR(VLOOKUP(E459&amp;F459,IMPORTRANGE(""https://docs.google.com/spreadsheets/d/1Uw7-A9f9R21vMXxHZFNpYNeKFtG8_yji4HS352LGlSQ/edit?pli=1#gid=0"",""1_ACUM!A4:S""),16,FALSE))"),"")</f>
        <v/>
      </c>
      <c r="BD193" s="43" t="str">
        <f ca="1">IFERROR(__xludf.DUMMYFUNCTION("IFERROR(VLOOKUP(E459&amp;F459,IMPORTRANGE(""https://docs.google.com/spreadsheets/d/1Uw7-A9f9R21vMXxHZFNpYNeKFtG8_yji4HS352LGlSQ/edit?pli=1#gid=0"",""1_ACUM!A4:S""),17,FALSE))"),"")</f>
        <v/>
      </c>
      <c r="BE193" s="44" t="str">
        <f ca="1">IFERROR(__xludf.DUMMYFUNCTION("IFERROR(VLOOKUP(E459&amp;F459,IMPORTRANGE(""https://docs.google.com/spreadsheets/d/1Uw7-A9f9R21vMXxHZFNpYNeKFtG8_yji4HS352LGlSQ/edit?pli=1#gid=0"",""1_ACUM!A4:S""),18,FALSE))"),"")</f>
        <v/>
      </c>
      <c r="BF193" s="44" t="str">
        <f ca="1">IFERROR(__xludf.DUMMYFUNCTION("IFERROR(VLOOKUP(E459&amp;F459,IMPORTRANGE(""https://docs.google.com/spreadsheets/d/1Uw7-A9f9R21vMXxHZFNpYNeKFtG8_yji4HS352LGlSQ/edit?pli=1#gid=0"",""1_ACUM!A4:S""),19,FALSE))"),"")</f>
        <v/>
      </c>
      <c r="BG193" s="98" t="str">
        <f ca="1">IFERROR(__xludf.DUMMYFUNCTION("IFERROR(VLOOKUP(F459,IMPORTRANGE(""https://docs.google.com/spreadsheets/d/1Kvs4KS76FHFqLFIZfrDMff4kP08nblUkihrxltoGBjg/edit#gid=934712705"",""ESENCIAL!A6:BG""),5,FALSE))"),"")</f>
        <v/>
      </c>
      <c r="BH193" s="98" t="str">
        <f t="shared" si="17"/>
        <v/>
      </c>
      <c r="BI193" s="99" t="str">
        <f t="shared" si="18"/>
        <v/>
      </c>
      <c r="BJ193" s="100" t="str">
        <f ca="1">IFERROR(__xludf.DUMMYFUNCTION("IFERROR(VLOOKUP(F459,IMPORTRANGE(""https://docs.google.com/spreadsheets/d/1Kvs4KS76FHFqLFIZfrDMff4kP08nblUkihrxltoGBjg/edit#gid=934712705"",""ESENCIAL!A6:BG""),2,FALSE))"),"")</f>
        <v/>
      </c>
      <c r="BK193" s="19" t="str">
        <f t="shared" si="19"/>
        <v/>
      </c>
      <c r="BL193" s="100"/>
      <c r="BM193" s="100"/>
    </row>
    <row r="194" spans="2:65" ht="15">
      <c r="B194" s="39"/>
      <c r="C194" s="5"/>
      <c r="D194" s="123"/>
      <c r="E194" s="39"/>
      <c r="F194" s="39"/>
      <c r="G194" s="39"/>
      <c r="H194" s="5" t="str">
        <f ca="1">IFERROR(__xludf.DUMMYFUNCTION("IFERROR(VLOOKUP(F460,IMPORTRANGE(""https://docs.google.com/spreadsheets/d/1Kvs4KS76FHFqLFIZfrDMff4kP08nblUkihrxltoGBjg/edit#gid=934712705"",""ESENCIAL!A6:BG""),3,FALSE))"),"")</f>
        <v/>
      </c>
      <c r="I194" s="5" t="str">
        <f ca="1">IFERROR(__xludf.DUMMYFUNCTION("IFERROR(VLOOKUP(F460,IMPORTRANGE(""https://docs.google.com/spreadsheets/d/1Kvs4KS76FHFqLFIZfrDMff4kP08nblUkihrxltoGBjg/edit#gid=934712705"",""ESENCIAL!A6:BG""),8,FALSE))"),"")</f>
        <v/>
      </c>
      <c r="J194" s="39"/>
      <c r="M194" s="287"/>
      <c r="AV194" s="41" t="str">
        <f t="shared" si="16"/>
        <v/>
      </c>
      <c r="AW194" s="5" t="str">
        <f ca="1">IFERROR(__xludf.DUMMYFUNCTION("IFERROR(VLOOKUP(E460&amp;F460,IMPORTRANGE(""https://docs.google.com/spreadsheets/d/1Uw7-A9f9R21vMXxHZFNpYNeKFtG8_yji4HS352LGlSQ/edit?pli=1#gid=0"",""1_ACUM!A4:S""),11,FALSE))"),"")</f>
        <v/>
      </c>
      <c r="AX194" s="42" t="str">
        <f ca="1">IFERROR(__xludf.DUMMYFUNCTION("IFERROR(VLOOKUP(F460,IMPORTRANGE(""https://docs.google.com/spreadsheets/d/1Kvs4KS76FHFqLFIZfrDMff4kP08nblUkihrxltoGBjg/edit#gid=934712705"",""ESENCIAL!A6:BG""),15,FALSE))"),"")</f>
        <v/>
      </c>
      <c r="AY194" s="110" t="str">
        <f ca="1">IFERROR(__xludf.DUMMYFUNCTION("IFERROR(VLOOKUP(E460&amp;F460,IMPORTRANGE(""https://docs.google.com/spreadsheets/d/1Uw7-A9f9R21vMXxHZFNpYNeKFtG8_yji4HS352LGlSQ/edit?pli=1#gid=0"",""1_ACUM!A4:S""),13,FALSE))"),"")</f>
        <v/>
      </c>
      <c r="AZ194" s="43" t="str">
        <f ca="1">IFERROR(__xludf.DUMMYFUNCTION("IFERROR(VLOOKUP(E460&amp;F460,IMPORTRANGE(""https://docs.google.com/spreadsheets/d/1Uw7-A9f9R21vMXxHZFNpYNeKFtG8_yji4HS352LGlSQ/edit?pli=1#gid=0"",""1_ACUM!A4:S""),13,FALSE))"),"")</f>
        <v/>
      </c>
      <c r="BA194" s="43" t="str">
        <f ca="1">IFERROR(__xludf.DUMMYFUNCTION("IFERROR(VLOOKUP(E460&amp;F460,IMPORTRANGE(""https://docs.google.com/spreadsheets/d/1Uw7-A9f9R21vMXxHZFNpYNeKFtG8_yji4HS352LGlSQ/edit?pli=1#gid=0"",""1_ACUM!A4:S""),14,FALSE))"),"")</f>
        <v/>
      </c>
      <c r="BB194" s="43" t="str">
        <f ca="1">IFERROR(__xludf.DUMMYFUNCTION("IFERROR(VLOOKUP(E460&amp;F460,IMPORTRANGE(""https://docs.google.com/spreadsheets/d/1Uw7-A9f9R21vMXxHZFNpYNeKFtG8_yji4HS352LGlSQ/edit?pli=1#gid=0"",""1_ACUM!A4:S""),15,FALSE))"),"")</f>
        <v/>
      </c>
      <c r="BC194" s="43" t="str">
        <f ca="1">IFERROR(__xludf.DUMMYFUNCTION("IFERROR(VLOOKUP(E460&amp;F460,IMPORTRANGE(""https://docs.google.com/spreadsheets/d/1Uw7-A9f9R21vMXxHZFNpYNeKFtG8_yji4HS352LGlSQ/edit?pli=1#gid=0"",""1_ACUM!A4:S""),16,FALSE))"),"")</f>
        <v/>
      </c>
      <c r="BD194" s="43" t="str">
        <f ca="1">IFERROR(__xludf.DUMMYFUNCTION("IFERROR(VLOOKUP(E460&amp;F460,IMPORTRANGE(""https://docs.google.com/spreadsheets/d/1Uw7-A9f9R21vMXxHZFNpYNeKFtG8_yji4HS352LGlSQ/edit?pli=1#gid=0"",""1_ACUM!A4:S""),17,FALSE))"),"")</f>
        <v/>
      </c>
      <c r="BE194" s="44" t="str">
        <f ca="1">IFERROR(__xludf.DUMMYFUNCTION("IFERROR(VLOOKUP(E460&amp;F460,IMPORTRANGE(""https://docs.google.com/spreadsheets/d/1Uw7-A9f9R21vMXxHZFNpYNeKFtG8_yji4HS352LGlSQ/edit?pli=1#gid=0"",""1_ACUM!A4:S""),18,FALSE))"),"")</f>
        <v/>
      </c>
      <c r="BF194" s="44" t="str">
        <f ca="1">IFERROR(__xludf.DUMMYFUNCTION("IFERROR(VLOOKUP(E460&amp;F460,IMPORTRANGE(""https://docs.google.com/spreadsheets/d/1Uw7-A9f9R21vMXxHZFNpYNeKFtG8_yji4HS352LGlSQ/edit?pli=1#gid=0"",""1_ACUM!A4:S""),19,FALSE))"),"")</f>
        <v/>
      </c>
      <c r="BG194" s="98" t="str">
        <f ca="1">IFERROR(__xludf.DUMMYFUNCTION("IFERROR(VLOOKUP(F460,IMPORTRANGE(""https://docs.google.com/spreadsheets/d/1Kvs4KS76FHFqLFIZfrDMff4kP08nblUkihrxltoGBjg/edit#gid=934712705"",""ESENCIAL!A6:BG""),5,FALSE))"),"")</f>
        <v/>
      </c>
      <c r="BH194" s="98" t="str">
        <f t="shared" si="17"/>
        <v/>
      </c>
      <c r="BI194" s="99" t="str">
        <f t="shared" si="18"/>
        <v/>
      </c>
      <c r="BJ194" s="100" t="str">
        <f ca="1">IFERROR(__xludf.DUMMYFUNCTION("IFERROR(VLOOKUP(F460,IMPORTRANGE(""https://docs.google.com/spreadsheets/d/1Kvs4KS76FHFqLFIZfrDMff4kP08nblUkihrxltoGBjg/edit#gid=934712705"",""ESENCIAL!A6:BG""),2,FALSE))"),"")</f>
        <v/>
      </c>
      <c r="BK194" s="19" t="str">
        <f t="shared" si="19"/>
        <v/>
      </c>
      <c r="BL194" s="100"/>
      <c r="BM194" s="100"/>
    </row>
    <row r="195" spans="2:65" ht="15">
      <c r="B195" s="39"/>
      <c r="C195" s="5"/>
      <c r="D195" s="123"/>
      <c r="E195" s="39"/>
      <c r="F195" s="39"/>
      <c r="G195" s="39"/>
      <c r="H195" s="5" t="str">
        <f ca="1">IFERROR(__xludf.DUMMYFUNCTION("IFERROR(VLOOKUP(F461,IMPORTRANGE(""https://docs.google.com/spreadsheets/d/1Kvs4KS76FHFqLFIZfrDMff4kP08nblUkihrxltoGBjg/edit#gid=934712705"",""ESENCIAL!A6:BG""),3,FALSE))"),"")</f>
        <v/>
      </c>
      <c r="I195" s="5" t="str">
        <f ca="1">IFERROR(__xludf.DUMMYFUNCTION("IFERROR(VLOOKUP(F461,IMPORTRANGE(""https://docs.google.com/spreadsheets/d/1Kvs4KS76FHFqLFIZfrDMff4kP08nblUkihrxltoGBjg/edit#gid=934712705"",""ESENCIAL!A6:BG""),8,FALSE))"),"")</f>
        <v/>
      </c>
      <c r="J195" s="39"/>
      <c r="M195" s="287"/>
      <c r="AV195" s="41" t="str">
        <f t="shared" si="16"/>
        <v/>
      </c>
      <c r="AW195" s="5" t="str">
        <f ca="1">IFERROR(__xludf.DUMMYFUNCTION("IFERROR(VLOOKUP(E461&amp;F461,IMPORTRANGE(""https://docs.google.com/spreadsheets/d/1Uw7-A9f9R21vMXxHZFNpYNeKFtG8_yji4HS352LGlSQ/edit?pli=1#gid=0"",""1_ACUM!A4:S""),11,FALSE))"),"")</f>
        <v/>
      </c>
      <c r="AX195" s="42" t="str">
        <f ca="1">IFERROR(__xludf.DUMMYFUNCTION("IFERROR(VLOOKUP(F461,IMPORTRANGE(""https://docs.google.com/spreadsheets/d/1Kvs4KS76FHFqLFIZfrDMff4kP08nblUkihrxltoGBjg/edit#gid=934712705"",""ESENCIAL!A6:BG""),15,FALSE))"),"")</f>
        <v/>
      </c>
      <c r="AY195" s="110" t="str">
        <f ca="1">IFERROR(__xludf.DUMMYFUNCTION("IFERROR(VLOOKUP(E461&amp;F461,IMPORTRANGE(""https://docs.google.com/spreadsheets/d/1Uw7-A9f9R21vMXxHZFNpYNeKFtG8_yji4HS352LGlSQ/edit?pli=1#gid=0"",""1_ACUM!A4:S""),13,FALSE))"),"")</f>
        <v/>
      </c>
      <c r="AZ195" s="43" t="str">
        <f ca="1">IFERROR(__xludf.DUMMYFUNCTION("IFERROR(VLOOKUP(E461&amp;F461,IMPORTRANGE(""https://docs.google.com/spreadsheets/d/1Uw7-A9f9R21vMXxHZFNpYNeKFtG8_yji4HS352LGlSQ/edit?pli=1#gid=0"",""1_ACUM!A4:S""),13,FALSE))"),"")</f>
        <v/>
      </c>
      <c r="BA195" s="43" t="str">
        <f ca="1">IFERROR(__xludf.DUMMYFUNCTION("IFERROR(VLOOKUP(E461&amp;F461,IMPORTRANGE(""https://docs.google.com/spreadsheets/d/1Uw7-A9f9R21vMXxHZFNpYNeKFtG8_yji4HS352LGlSQ/edit?pli=1#gid=0"",""1_ACUM!A4:S""),14,FALSE))"),"")</f>
        <v/>
      </c>
      <c r="BB195" s="43" t="str">
        <f ca="1">IFERROR(__xludf.DUMMYFUNCTION("IFERROR(VLOOKUP(E461&amp;F461,IMPORTRANGE(""https://docs.google.com/spreadsheets/d/1Uw7-A9f9R21vMXxHZFNpYNeKFtG8_yji4HS352LGlSQ/edit?pli=1#gid=0"",""1_ACUM!A4:S""),15,FALSE))"),"")</f>
        <v/>
      </c>
      <c r="BC195" s="43" t="str">
        <f ca="1">IFERROR(__xludf.DUMMYFUNCTION("IFERROR(VLOOKUP(E461&amp;F461,IMPORTRANGE(""https://docs.google.com/spreadsheets/d/1Uw7-A9f9R21vMXxHZFNpYNeKFtG8_yji4HS352LGlSQ/edit?pli=1#gid=0"",""1_ACUM!A4:S""),16,FALSE))"),"")</f>
        <v/>
      </c>
      <c r="BD195" s="43" t="str">
        <f ca="1">IFERROR(__xludf.DUMMYFUNCTION("IFERROR(VLOOKUP(E461&amp;F461,IMPORTRANGE(""https://docs.google.com/spreadsheets/d/1Uw7-A9f9R21vMXxHZFNpYNeKFtG8_yji4HS352LGlSQ/edit?pli=1#gid=0"",""1_ACUM!A4:S""),17,FALSE))"),"")</f>
        <v/>
      </c>
      <c r="BE195" s="44" t="str">
        <f ca="1">IFERROR(__xludf.DUMMYFUNCTION("IFERROR(VLOOKUP(E461&amp;F461,IMPORTRANGE(""https://docs.google.com/spreadsheets/d/1Uw7-A9f9R21vMXxHZFNpYNeKFtG8_yji4HS352LGlSQ/edit?pli=1#gid=0"",""1_ACUM!A4:S""),18,FALSE))"),"")</f>
        <v/>
      </c>
      <c r="BF195" s="44" t="str">
        <f ca="1">IFERROR(__xludf.DUMMYFUNCTION("IFERROR(VLOOKUP(E461&amp;F461,IMPORTRANGE(""https://docs.google.com/spreadsheets/d/1Uw7-A9f9R21vMXxHZFNpYNeKFtG8_yji4HS352LGlSQ/edit?pli=1#gid=0"",""1_ACUM!A4:S""),19,FALSE))"),"")</f>
        <v/>
      </c>
      <c r="BG195" s="98" t="str">
        <f ca="1">IFERROR(__xludf.DUMMYFUNCTION("IFERROR(VLOOKUP(F461,IMPORTRANGE(""https://docs.google.com/spreadsheets/d/1Kvs4KS76FHFqLFIZfrDMff4kP08nblUkihrxltoGBjg/edit#gid=934712705"",""ESENCIAL!A6:BG""),5,FALSE))"),"")</f>
        <v/>
      </c>
      <c r="BH195" s="98" t="str">
        <f t="shared" si="17"/>
        <v/>
      </c>
      <c r="BI195" s="99" t="str">
        <f t="shared" si="18"/>
        <v/>
      </c>
      <c r="BJ195" s="100" t="str">
        <f ca="1">IFERROR(__xludf.DUMMYFUNCTION("IFERROR(VLOOKUP(F461,IMPORTRANGE(""https://docs.google.com/spreadsheets/d/1Kvs4KS76FHFqLFIZfrDMff4kP08nblUkihrxltoGBjg/edit#gid=934712705"",""ESENCIAL!A6:BG""),2,FALSE))"),"")</f>
        <v/>
      </c>
      <c r="BK195" s="19" t="str">
        <f t="shared" si="19"/>
        <v/>
      </c>
      <c r="BL195" s="100"/>
      <c r="BM195" s="100"/>
    </row>
    <row r="196" spans="2:65" ht="15">
      <c r="B196" s="39"/>
      <c r="C196" s="5"/>
      <c r="D196" s="123"/>
      <c r="E196" s="39"/>
      <c r="F196" s="39"/>
      <c r="G196" s="39"/>
      <c r="H196" s="5" t="str">
        <f ca="1">IFERROR(__xludf.DUMMYFUNCTION("IFERROR(VLOOKUP(F462,IMPORTRANGE(""https://docs.google.com/spreadsheets/d/1Kvs4KS76FHFqLFIZfrDMff4kP08nblUkihrxltoGBjg/edit#gid=934712705"",""ESENCIAL!A6:BG""),3,FALSE))"),"")</f>
        <v/>
      </c>
      <c r="I196" s="5" t="str">
        <f ca="1">IFERROR(__xludf.DUMMYFUNCTION("IFERROR(VLOOKUP(F462,IMPORTRANGE(""https://docs.google.com/spreadsheets/d/1Kvs4KS76FHFqLFIZfrDMff4kP08nblUkihrxltoGBjg/edit#gid=934712705"",""ESENCIAL!A6:BG""),8,FALSE))"),"")</f>
        <v/>
      </c>
      <c r="J196" s="39"/>
      <c r="M196" s="287"/>
      <c r="AV196" s="41" t="str">
        <f t="shared" si="16"/>
        <v/>
      </c>
      <c r="AW196" s="5" t="str">
        <f ca="1">IFERROR(__xludf.DUMMYFUNCTION("IFERROR(VLOOKUP(E462&amp;F462,IMPORTRANGE(""https://docs.google.com/spreadsheets/d/1Uw7-A9f9R21vMXxHZFNpYNeKFtG8_yji4HS352LGlSQ/edit?pli=1#gid=0"",""1_ACUM!A4:S""),11,FALSE))"),"")</f>
        <v/>
      </c>
      <c r="AX196" s="42" t="str">
        <f ca="1">IFERROR(__xludf.DUMMYFUNCTION("IFERROR(VLOOKUP(F462,IMPORTRANGE(""https://docs.google.com/spreadsheets/d/1Kvs4KS76FHFqLFIZfrDMff4kP08nblUkihrxltoGBjg/edit#gid=934712705"",""ESENCIAL!A6:BG""),15,FALSE))"),"")</f>
        <v/>
      </c>
      <c r="AY196" s="110" t="str">
        <f ca="1">IFERROR(__xludf.DUMMYFUNCTION("IFERROR(VLOOKUP(E462&amp;F462,IMPORTRANGE(""https://docs.google.com/spreadsheets/d/1Uw7-A9f9R21vMXxHZFNpYNeKFtG8_yji4HS352LGlSQ/edit?pli=1#gid=0"",""1_ACUM!A4:S""),13,FALSE))"),"")</f>
        <v/>
      </c>
      <c r="AZ196" s="43" t="str">
        <f ca="1">IFERROR(__xludf.DUMMYFUNCTION("IFERROR(VLOOKUP(E462&amp;F462,IMPORTRANGE(""https://docs.google.com/spreadsheets/d/1Uw7-A9f9R21vMXxHZFNpYNeKFtG8_yji4HS352LGlSQ/edit?pli=1#gid=0"",""1_ACUM!A4:S""),13,FALSE))"),"")</f>
        <v/>
      </c>
      <c r="BA196" s="43" t="str">
        <f ca="1">IFERROR(__xludf.DUMMYFUNCTION("IFERROR(VLOOKUP(E462&amp;F462,IMPORTRANGE(""https://docs.google.com/spreadsheets/d/1Uw7-A9f9R21vMXxHZFNpYNeKFtG8_yji4HS352LGlSQ/edit?pli=1#gid=0"",""1_ACUM!A4:S""),14,FALSE))"),"")</f>
        <v/>
      </c>
      <c r="BB196" s="43" t="str">
        <f ca="1">IFERROR(__xludf.DUMMYFUNCTION("IFERROR(VLOOKUP(E462&amp;F462,IMPORTRANGE(""https://docs.google.com/spreadsheets/d/1Uw7-A9f9R21vMXxHZFNpYNeKFtG8_yji4HS352LGlSQ/edit?pli=1#gid=0"",""1_ACUM!A4:S""),15,FALSE))"),"")</f>
        <v/>
      </c>
      <c r="BC196" s="43" t="str">
        <f ca="1">IFERROR(__xludf.DUMMYFUNCTION("IFERROR(VLOOKUP(E462&amp;F462,IMPORTRANGE(""https://docs.google.com/spreadsheets/d/1Uw7-A9f9R21vMXxHZFNpYNeKFtG8_yji4HS352LGlSQ/edit?pli=1#gid=0"",""1_ACUM!A4:S""),16,FALSE))"),"")</f>
        <v/>
      </c>
      <c r="BD196" s="43" t="str">
        <f ca="1">IFERROR(__xludf.DUMMYFUNCTION("IFERROR(VLOOKUP(E462&amp;F462,IMPORTRANGE(""https://docs.google.com/spreadsheets/d/1Uw7-A9f9R21vMXxHZFNpYNeKFtG8_yji4HS352LGlSQ/edit?pli=1#gid=0"",""1_ACUM!A4:S""),17,FALSE))"),"")</f>
        <v/>
      </c>
      <c r="BE196" s="44" t="str">
        <f ca="1">IFERROR(__xludf.DUMMYFUNCTION("IFERROR(VLOOKUP(E462&amp;F462,IMPORTRANGE(""https://docs.google.com/spreadsheets/d/1Uw7-A9f9R21vMXxHZFNpYNeKFtG8_yji4HS352LGlSQ/edit?pli=1#gid=0"",""1_ACUM!A4:S""),18,FALSE))"),"")</f>
        <v/>
      </c>
      <c r="BF196" s="44" t="str">
        <f ca="1">IFERROR(__xludf.DUMMYFUNCTION("IFERROR(VLOOKUP(E462&amp;F462,IMPORTRANGE(""https://docs.google.com/spreadsheets/d/1Uw7-A9f9R21vMXxHZFNpYNeKFtG8_yji4HS352LGlSQ/edit?pli=1#gid=0"",""1_ACUM!A4:S""),19,FALSE))"),"")</f>
        <v/>
      </c>
      <c r="BG196" s="98" t="str">
        <f ca="1">IFERROR(__xludf.DUMMYFUNCTION("IFERROR(VLOOKUP(F462,IMPORTRANGE(""https://docs.google.com/spreadsheets/d/1Kvs4KS76FHFqLFIZfrDMff4kP08nblUkihrxltoGBjg/edit#gid=934712705"",""ESENCIAL!A6:BG""),5,FALSE))"),"")</f>
        <v/>
      </c>
      <c r="BH196" s="98" t="str">
        <f t="shared" si="17"/>
        <v/>
      </c>
      <c r="BI196" s="99" t="str">
        <f t="shared" si="18"/>
        <v/>
      </c>
      <c r="BJ196" s="100" t="str">
        <f ca="1">IFERROR(__xludf.DUMMYFUNCTION("IFERROR(VLOOKUP(F462,IMPORTRANGE(""https://docs.google.com/spreadsheets/d/1Kvs4KS76FHFqLFIZfrDMff4kP08nblUkihrxltoGBjg/edit#gid=934712705"",""ESENCIAL!A6:BG""),2,FALSE))"),"")</f>
        <v/>
      </c>
      <c r="BK196" s="19" t="str">
        <f t="shared" si="19"/>
        <v/>
      </c>
      <c r="BL196" s="100"/>
      <c r="BM196" s="100"/>
    </row>
    <row r="197" spans="2:65" ht="15">
      <c r="B197" s="39"/>
      <c r="C197" s="5"/>
      <c r="D197" s="123"/>
      <c r="E197" s="39"/>
      <c r="F197" s="39"/>
      <c r="G197" s="39"/>
      <c r="H197" s="5" t="str">
        <f ca="1">IFERROR(__xludf.DUMMYFUNCTION("IFERROR(VLOOKUP(F463,IMPORTRANGE(""https://docs.google.com/spreadsheets/d/1Kvs4KS76FHFqLFIZfrDMff4kP08nblUkihrxltoGBjg/edit#gid=934712705"",""ESENCIAL!A6:BG""),3,FALSE))"),"")</f>
        <v/>
      </c>
      <c r="I197" s="5" t="str">
        <f ca="1">IFERROR(__xludf.DUMMYFUNCTION("IFERROR(VLOOKUP(F463,IMPORTRANGE(""https://docs.google.com/spreadsheets/d/1Kvs4KS76FHFqLFIZfrDMff4kP08nblUkihrxltoGBjg/edit#gid=934712705"",""ESENCIAL!A6:BG""),8,FALSE))"),"")</f>
        <v/>
      </c>
      <c r="J197" s="39"/>
      <c r="M197" s="287"/>
      <c r="AV197" s="41" t="str">
        <f t="shared" si="16"/>
        <v/>
      </c>
      <c r="AW197" s="5" t="str">
        <f ca="1">IFERROR(__xludf.DUMMYFUNCTION("IFERROR(VLOOKUP(E463&amp;F463,IMPORTRANGE(""https://docs.google.com/spreadsheets/d/1Uw7-A9f9R21vMXxHZFNpYNeKFtG8_yji4HS352LGlSQ/edit?pli=1#gid=0"",""1_ACUM!A4:S""),11,FALSE))"),"")</f>
        <v/>
      </c>
      <c r="AX197" s="42" t="str">
        <f ca="1">IFERROR(__xludf.DUMMYFUNCTION("IFERROR(VLOOKUP(F463,IMPORTRANGE(""https://docs.google.com/spreadsheets/d/1Kvs4KS76FHFqLFIZfrDMff4kP08nblUkihrxltoGBjg/edit#gid=934712705"",""ESENCIAL!A6:BG""),15,FALSE))"),"")</f>
        <v/>
      </c>
      <c r="AY197" s="110" t="str">
        <f ca="1">IFERROR(__xludf.DUMMYFUNCTION("IFERROR(VLOOKUP(E463&amp;F463,IMPORTRANGE(""https://docs.google.com/spreadsheets/d/1Uw7-A9f9R21vMXxHZFNpYNeKFtG8_yji4HS352LGlSQ/edit?pli=1#gid=0"",""1_ACUM!A4:S""),13,FALSE))"),"")</f>
        <v/>
      </c>
      <c r="AZ197" s="43" t="str">
        <f ca="1">IFERROR(__xludf.DUMMYFUNCTION("IFERROR(VLOOKUP(E463&amp;F463,IMPORTRANGE(""https://docs.google.com/spreadsheets/d/1Uw7-A9f9R21vMXxHZFNpYNeKFtG8_yji4HS352LGlSQ/edit?pli=1#gid=0"",""1_ACUM!A4:S""),13,FALSE))"),"")</f>
        <v/>
      </c>
      <c r="BA197" s="43" t="str">
        <f ca="1">IFERROR(__xludf.DUMMYFUNCTION("IFERROR(VLOOKUP(E463&amp;F463,IMPORTRANGE(""https://docs.google.com/spreadsheets/d/1Uw7-A9f9R21vMXxHZFNpYNeKFtG8_yji4HS352LGlSQ/edit?pli=1#gid=0"",""1_ACUM!A4:S""),14,FALSE))"),"")</f>
        <v/>
      </c>
      <c r="BB197" s="43" t="str">
        <f ca="1">IFERROR(__xludf.DUMMYFUNCTION("IFERROR(VLOOKUP(E463&amp;F463,IMPORTRANGE(""https://docs.google.com/spreadsheets/d/1Uw7-A9f9R21vMXxHZFNpYNeKFtG8_yji4HS352LGlSQ/edit?pli=1#gid=0"",""1_ACUM!A4:S""),15,FALSE))"),"")</f>
        <v/>
      </c>
      <c r="BC197" s="43" t="str">
        <f ca="1">IFERROR(__xludf.DUMMYFUNCTION("IFERROR(VLOOKUP(E463&amp;F463,IMPORTRANGE(""https://docs.google.com/spreadsheets/d/1Uw7-A9f9R21vMXxHZFNpYNeKFtG8_yji4HS352LGlSQ/edit?pli=1#gid=0"",""1_ACUM!A4:S""),16,FALSE))"),"")</f>
        <v/>
      </c>
      <c r="BD197" s="43" t="str">
        <f ca="1">IFERROR(__xludf.DUMMYFUNCTION("IFERROR(VLOOKUP(E463&amp;F463,IMPORTRANGE(""https://docs.google.com/spreadsheets/d/1Uw7-A9f9R21vMXxHZFNpYNeKFtG8_yji4HS352LGlSQ/edit?pli=1#gid=0"",""1_ACUM!A4:S""),17,FALSE))"),"")</f>
        <v/>
      </c>
      <c r="BE197" s="44" t="str">
        <f ca="1">IFERROR(__xludf.DUMMYFUNCTION("IFERROR(VLOOKUP(E463&amp;F463,IMPORTRANGE(""https://docs.google.com/spreadsheets/d/1Uw7-A9f9R21vMXxHZFNpYNeKFtG8_yji4HS352LGlSQ/edit?pli=1#gid=0"",""1_ACUM!A4:S""),18,FALSE))"),"")</f>
        <v/>
      </c>
      <c r="BF197" s="44" t="str">
        <f ca="1">IFERROR(__xludf.DUMMYFUNCTION("IFERROR(VLOOKUP(E463&amp;F463,IMPORTRANGE(""https://docs.google.com/spreadsheets/d/1Uw7-A9f9R21vMXxHZFNpYNeKFtG8_yji4HS352LGlSQ/edit?pli=1#gid=0"",""1_ACUM!A4:S""),19,FALSE))"),"")</f>
        <v/>
      </c>
      <c r="BG197" s="98" t="str">
        <f ca="1">IFERROR(__xludf.DUMMYFUNCTION("IFERROR(VLOOKUP(F463,IMPORTRANGE(""https://docs.google.com/spreadsheets/d/1Kvs4KS76FHFqLFIZfrDMff4kP08nblUkihrxltoGBjg/edit#gid=934712705"",""ESENCIAL!A6:BG""),5,FALSE))"),"")</f>
        <v/>
      </c>
      <c r="BH197" s="98" t="str">
        <f t="shared" si="17"/>
        <v/>
      </c>
      <c r="BI197" s="99" t="str">
        <f t="shared" si="18"/>
        <v/>
      </c>
      <c r="BJ197" s="100" t="str">
        <f ca="1">IFERROR(__xludf.DUMMYFUNCTION("IFERROR(VLOOKUP(F463,IMPORTRANGE(""https://docs.google.com/spreadsheets/d/1Kvs4KS76FHFqLFIZfrDMff4kP08nblUkihrxltoGBjg/edit#gid=934712705"",""ESENCIAL!A6:BG""),2,FALSE))"),"")</f>
        <v/>
      </c>
      <c r="BK197" s="19" t="str">
        <f t="shared" si="19"/>
        <v/>
      </c>
      <c r="BL197" s="100"/>
      <c r="BM197" s="100"/>
    </row>
    <row r="198" spans="2:65" ht="15">
      <c r="B198" s="39"/>
      <c r="C198" s="5"/>
      <c r="D198" s="123"/>
      <c r="E198" s="39"/>
      <c r="F198" s="39"/>
      <c r="G198" s="39"/>
      <c r="H198" s="5" t="str">
        <f ca="1">IFERROR(__xludf.DUMMYFUNCTION("IFERROR(VLOOKUP(F464,IMPORTRANGE(""https://docs.google.com/spreadsheets/d/1Kvs4KS76FHFqLFIZfrDMff4kP08nblUkihrxltoGBjg/edit#gid=934712705"",""ESENCIAL!A6:BG""),3,FALSE))"),"")</f>
        <v/>
      </c>
      <c r="I198" s="5" t="str">
        <f ca="1">IFERROR(__xludf.DUMMYFUNCTION("IFERROR(VLOOKUP(F464,IMPORTRANGE(""https://docs.google.com/spreadsheets/d/1Kvs4KS76FHFqLFIZfrDMff4kP08nblUkihrxltoGBjg/edit#gid=934712705"",""ESENCIAL!A6:BG""),8,FALSE))"),"")</f>
        <v/>
      </c>
      <c r="J198" s="39"/>
      <c r="M198" s="287"/>
      <c r="AV198" s="41" t="str">
        <f t="shared" si="16"/>
        <v/>
      </c>
      <c r="AW198" s="5" t="str">
        <f ca="1">IFERROR(__xludf.DUMMYFUNCTION("IFERROR(VLOOKUP(E464&amp;F464,IMPORTRANGE(""https://docs.google.com/spreadsheets/d/1Uw7-A9f9R21vMXxHZFNpYNeKFtG8_yji4HS352LGlSQ/edit?pli=1#gid=0"",""1_ACUM!A4:S""),11,FALSE))"),"")</f>
        <v/>
      </c>
      <c r="AX198" s="42" t="str">
        <f ca="1">IFERROR(__xludf.DUMMYFUNCTION("IFERROR(VLOOKUP(F464,IMPORTRANGE(""https://docs.google.com/spreadsheets/d/1Kvs4KS76FHFqLFIZfrDMff4kP08nblUkihrxltoGBjg/edit#gid=934712705"",""ESENCIAL!A6:BG""),15,FALSE))"),"")</f>
        <v/>
      </c>
      <c r="AY198" s="110" t="str">
        <f ca="1">IFERROR(__xludf.DUMMYFUNCTION("IFERROR(VLOOKUP(E464&amp;F464,IMPORTRANGE(""https://docs.google.com/spreadsheets/d/1Uw7-A9f9R21vMXxHZFNpYNeKFtG8_yji4HS352LGlSQ/edit?pli=1#gid=0"",""1_ACUM!A4:S""),13,FALSE))"),"")</f>
        <v/>
      </c>
      <c r="AZ198" s="43" t="str">
        <f ca="1">IFERROR(__xludf.DUMMYFUNCTION("IFERROR(VLOOKUP(E464&amp;F464,IMPORTRANGE(""https://docs.google.com/spreadsheets/d/1Uw7-A9f9R21vMXxHZFNpYNeKFtG8_yji4HS352LGlSQ/edit?pli=1#gid=0"",""1_ACUM!A4:S""),13,FALSE))"),"")</f>
        <v/>
      </c>
      <c r="BA198" s="43" t="str">
        <f ca="1">IFERROR(__xludf.DUMMYFUNCTION("IFERROR(VLOOKUP(E464&amp;F464,IMPORTRANGE(""https://docs.google.com/spreadsheets/d/1Uw7-A9f9R21vMXxHZFNpYNeKFtG8_yji4HS352LGlSQ/edit?pli=1#gid=0"",""1_ACUM!A4:S""),14,FALSE))"),"")</f>
        <v/>
      </c>
      <c r="BB198" s="43" t="str">
        <f ca="1">IFERROR(__xludf.DUMMYFUNCTION("IFERROR(VLOOKUP(E464&amp;F464,IMPORTRANGE(""https://docs.google.com/spreadsheets/d/1Uw7-A9f9R21vMXxHZFNpYNeKFtG8_yji4HS352LGlSQ/edit?pli=1#gid=0"",""1_ACUM!A4:S""),15,FALSE))"),"")</f>
        <v/>
      </c>
      <c r="BC198" s="43" t="str">
        <f ca="1">IFERROR(__xludf.DUMMYFUNCTION("IFERROR(VLOOKUP(E464&amp;F464,IMPORTRANGE(""https://docs.google.com/spreadsheets/d/1Uw7-A9f9R21vMXxHZFNpYNeKFtG8_yji4HS352LGlSQ/edit?pli=1#gid=0"",""1_ACUM!A4:S""),16,FALSE))"),"")</f>
        <v/>
      </c>
      <c r="BD198" s="43" t="str">
        <f ca="1">IFERROR(__xludf.DUMMYFUNCTION("IFERROR(VLOOKUP(E464&amp;F464,IMPORTRANGE(""https://docs.google.com/spreadsheets/d/1Uw7-A9f9R21vMXxHZFNpYNeKFtG8_yji4HS352LGlSQ/edit?pli=1#gid=0"",""1_ACUM!A4:S""),17,FALSE))"),"")</f>
        <v/>
      </c>
      <c r="BE198" s="44" t="str">
        <f ca="1">IFERROR(__xludf.DUMMYFUNCTION("IFERROR(VLOOKUP(E464&amp;F464,IMPORTRANGE(""https://docs.google.com/spreadsheets/d/1Uw7-A9f9R21vMXxHZFNpYNeKFtG8_yji4HS352LGlSQ/edit?pli=1#gid=0"",""1_ACUM!A4:S""),18,FALSE))"),"")</f>
        <v/>
      </c>
      <c r="BF198" s="44" t="str">
        <f ca="1">IFERROR(__xludf.DUMMYFUNCTION("IFERROR(VLOOKUP(E464&amp;F464,IMPORTRANGE(""https://docs.google.com/spreadsheets/d/1Uw7-A9f9R21vMXxHZFNpYNeKFtG8_yji4HS352LGlSQ/edit?pli=1#gid=0"",""1_ACUM!A4:S""),19,FALSE))"),"")</f>
        <v/>
      </c>
      <c r="BG198" s="98" t="str">
        <f ca="1">IFERROR(__xludf.DUMMYFUNCTION("IFERROR(VLOOKUP(F464,IMPORTRANGE(""https://docs.google.com/spreadsheets/d/1Kvs4KS76FHFqLFIZfrDMff4kP08nblUkihrxltoGBjg/edit#gid=934712705"",""ESENCIAL!A6:BG""),5,FALSE))"),"")</f>
        <v/>
      </c>
      <c r="BH198" s="98" t="str">
        <f t="shared" si="17"/>
        <v/>
      </c>
      <c r="BI198" s="99" t="str">
        <f t="shared" si="18"/>
        <v/>
      </c>
      <c r="BJ198" s="100" t="str">
        <f ca="1">IFERROR(__xludf.DUMMYFUNCTION("IFERROR(VLOOKUP(F464,IMPORTRANGE(""https://docs.google.com/spreadsheets/d/1Kvs4KS76FHFqLFIZfrDMff4kP08nblUkihrxltoGBjg/edit#gid=934712705"",""ESENCIAL!A6:BG""),2,FALSE))"),"")</f>
        <v/>
      </c>
      <c r="BK198" s="19" t="str">
        <f t="shared" si="19"/>
        <v/>
      </c>
      <c r="BL198" s="100"/>
      <c r="BM198" s="100"/>
    </row>
    <row r="199" spans="2:65" ht="15">
      <c r="B199" s="39"/>
      <c r="C199" s="5"/>
      <c r="D199" s="123"/>
      <c r="E199" s="39"/>
      <c r="F199" s="39"/>
      <c r="G199" s="39"/>
      <c r="H199" s="5" t="str">
        <f ca="1">IFERROR(__xludf.DUMMYFUNCTION("IFERROR(VLOOKUP(F465,IMPORTRANGE(""https://docs.google.com/spreadsheets/d/1Kvs4KS76FHFqLFIZfrDMff4kP08nblUkihrxltoGBjg/edit#gid=934712705"",""ESENCIAL!A6:BG""),3,FALSE))"),"")</f>
        <v/>
      </c>
      <c r="I199" s="5" t="str">
        <f ca="1">IFERROR(__xludf.DUMMYFUNCTION("IFERROR(VLOOKUP(F465,IMPORTRANGE(""https://docs.google.com/spreadsheets/d/1Kvs4KS76FHFqLFIZfrDMff4kP08nblUkihrxltoGBjg/edit#gid=934712705"",""ESENCIAL!A6:BG""),8,FALSE))"),"")</f>
        <v/>
      </c>
      <c r="J199" s="39"/>
      <c r="M199" s="287"/>
      <c r="AV199" s="41" t="str">
        <f t="shared" si="16"/>
        <v/>
      </c>
      <c r="AW199" s="5" t="str">
        <f ca="1">IFERROR(__xludf.DUMMYFUNCTION("IFERROR(VLOOKUP(E465&amp;F465,IMPORTRANGE(""https://docs.google.com/spreadsheets/d/1Uw7-A9f9R21vMXxHZFNpYNeKFtG8_yji4HS352LGlSQ/edit?pli=1#gid=0"",""1_ACUM!A4:S""),11,FALSE))"),"")</f>
        <v/>
      </c>
      <c r="AX199" s="42" t="str">
        <f ca="1">IFERROR(__xludf.DUMMYFUNCTION("IFERROR(VLOOKUP(F465,IMPORTRANGE(""https://docs.google.com/spreadsheets/d/1Kvs4KS76FHFqLFIZfrDMff4kP08nblUkihrxltoGBjg/edit#gid=934712705"",""ESENCIAL!A6:BG""),15,FALSE))"),"")</f>
        <v/>
      </c>
      <c r="AY199" s="110" t="str">
        <f ca="1">IFERROR(__xludf.DUMMYFUNCTION("IFERROR(VLOOKUP(E465&amp;F465,IMPORTRANGE(""https://docs.google.com/spreadsheets/d/1Uw7-A9f9R21vMXxHZFNpYNeKFtG8_yji4HS352LGlSQ/edit?pli=1#gid=0"",""1_ACUM!A4:S""),13,FALSE))"),"")</f>
        <v/>
      </c>
      <c r="AZ199" s="43" t="str">
        <f ca="1">IFERROR(__xludf.DUMMYFUNCTION("IFERROR(VLOOKUP(E465&amp;F465,IMPORTRANGE(""https://docs.google.com/spreadsheets/d/1Uw7-A9f9R21vMXxHZFNpYNeKFtG8_yji4HS352LGlSQ/edit?pli=1#gid=0"",""1_ACUM!A4:S""),13,FALSE))"),"")</f>
        <v/>
      </c>
      <c r="BA199" s="43" t="str">
        <f ca="1">IFERROR(__xludf.DUMMYFUNCTION("IFERROR(VLOOKUP(E465&amp;F465,IMPORTRANGE(""https://docs.google.com/spreadsheets/d/1Uw7-A9f9R21vMXxHZFNpYNeKFtG8_yji4HS352LGlSQ/edit?pli=1#gid=0"",""1_ACUM!A4:S""),14,FALSE))"),"")</f>
        <v/>
      </c>
      <c r="BB199" s="43" t="str">
        <f ca="1">IFERROR(__xludf.DUMMYFUNCTION("IFERROR(VLOOKUP(E465&amp;F465,IMPORTRANGE(""https://docs.google.com/spreadsheets/d/1Uw7-A9f9R21vMXxHZFNpYNeKFtG8_yji4HS352LGlSQ/edit?pli=1#gid=0"",""1_ACUM!A4:S""),15,FALSE))"),"")</f>
        <v/>
      </c>
      <c r="BC199" s="43" t="str">
        <f ca="1">IFERROR(__xludf.DUMMYFUNCTION("IFERROR(VLOOKUP(E465&amp;F465,IMPORTRANGE(""https://docs.google.com/spreadsheets/d/1Uw7-A9f9R21vMXxHZFNpYNeKFtG8_yji4HS352LGlSQ/edit?pli=1#gid=0"",""1_ACUM!A4:S""),16,FALSE))"),"")</f>
        <v/>
      </c>
      <c r="BD199" s="43" t="str">
        <f ca="1">IFERROR(__xludf.DUMMYFUNCTION("IFERROR(VLOOKUP(E465&amp;F465,IMPORTRANGE(""https://docs.google.com/spreadsheets/d/1Uw7-A9f9R21vMXxHZFNpYNeKFtG8_yji4HS352LGlSQ/edit?pli=1#gid=0"",""1_ACUM!A4:S""),17,FALSE))"),"")</f>
        <v/>
      </c>
      <c r="BE199" s="44" t="str">
        <f ca="1">IFERROR(__xludf.DUMMYFUNCTION("IFERROR(VLOOKUP(E465&amp;F465,IMPORTRANGE(""https://docs.google.com/spreadsheets/d/1Uw7-A9f9R21vMXxHZFNpYNeKFtG8_yji4HS352LGlSQ/edit?pli=1#gid=0"",""1_ACUM!A4:S""),18,FALSE))"),"")</f>
        <v/>
      </c>
      <c r="BF199" s="44" t="str">
        <f ca="1">IFERROR(__xludf.DUMMYFUNCTION("IFERROR(VLOOKUP(E465&amp;F465,IMPORTRANGE(""https://docs.google.com/spreadsheets/d/1Uw7-A9f9R21vMXxHZFNpYNeKFtG8_yji4HS352LGlSQ/edit?pli=1#gid=0"",""1_ACUM!A4:S""),19,FALSE))"),"")</f>
        <v/>
      </c>
      <c r="BG199" s="98" t="str">
        <f ca="1">IFERROR(__xludf.DUMMYFUNCTION("IFERROR(VLOOKUP(F465,IMPORTRANGE(""https://docs.google.com/spreadsheets/d/1Kvs4KS76FHFqLFIZfrDMff4kP08nblUkihrxltoGBjg/edit#gid=934712705"",""ESENCIAL!A6:BG""),5,FALSE))"),"")</f>
        <v/>
      </c>
      <c r="BH199" s="98" t="str">
        <f t="shared" si="17"/>
        <v/>
      </c>
      <c r="BI199" s="99" t="str">
        <f t="shared" si="18"/>
        <v/>
      </c>
      <c r="BJ199" s="100" t="str">
        <f ca="1">IFERROR(__xludf.DUMMYFUNCTION("IFERROR(VLOOKUP(F465,IMPORTRANGE(""https://docs.google.com/spreadsheets/d/1Kvs4KS76FHFqLFIZfrDMff4kP08nblUkihrxltoGBjg/edit#gid=934712705"",""ESENCIAL!A6:BG""),2,FALSE))"),"")</f>
        <v/>
      </c>
      <c r="BK199" s="19" t="str">
        <f t="shared" si="19"/>
        <v/>
      </c>
      <c r="BL199" s="100"/>
      <c r="BM199" s="100"/>
    </row>
    <row r="200" spans="2:65" ht="15">
      <c r="B200" s="39"/>
      <c r="C200" s="5"/>
      <c r="D200" s="123"/>
      <c r="E200" s="39"/>
      <c r="F200" s="39"/>
      <c r="G200" s="39"/>
      <c r="H200" s="5" t="str">
        <f ca="1">IFERROR(__xludf.DUMMYFUNCTION("IFERROR(VLOOKUP(F466,IMPORTRANGE(""https://docs.google.com/spreadsheets/d/1Kvs4KS76FHFqLFIZfrDMff4kP08nblUkihrxltoGBjg/edit#gid=934712705"",""ESENCIAL!A6:BG""),3,FALSE))"),"")</f>
        <v/>
      </c>
      <c r="I200" s="5" t="str">
        <f ca="1">IFERROR(__xludf.DUMMYFUNCTION("IFERROR(VLOOKUP(F466,IMPORTRANGE(""https://docs.google.com/spreadsheets/d/1Kvs4KS76FHFqLFIZfrDMff4kP08nblUkihrxltoGBjg/edit#gid=934712705"",""ESENCIAL!A6:BG""),8,FALSE))"),"")</f>
        <v/>
      </c>
      <c r="J200" s="39"/>
      <c r="M200" s="287"/>
      <c r="AV200" s="41" t="str">
        <f t="shared" si="16"/>
        <v/>
      </c>
      <c r="AW200" s="5" t="str">
        <f ca="1">IFERROR(__xludf.DUMMYFUNCTION("IFERROR(VLOOKUP(E466&amp;F466,IMPORTRANGE(""https://docs.google.com/spreadsheets/d/1Uw7-A9f9R21vMXxHZFNpYNeKFtG8_yji4HS352LGlSQ/edit?pli=1#gid=0"",""1_ACUM!A4:S""),11,FALSE))"),"")</f>
        <v/>
      </c>
      <c r="AX200" s="42" t="str">
        <f ca="1">IFERROR(__xludf.DUMMYFUNCTION("IFERROR(VLOOKUP(F466,IMPORTRANGE(""https://docs.google.com/spreadsheets/d/1Kvs4KS76FHFqLFIZfrDMff4kP08nblUkihrxltoGBjg/edit#gid=934712705"",""ESENCIAL!A6:BG""),15,FALSE))"),"")</f>
        <v/>
      </c>
      <c r="AY200" s="110" t="str">
        <f ca="1">IFERROR(__xludf.DUMMYFUNCTION("IFERROR(VLOOKUP(E466&amp;F466,IMPORTRANGE(""https://docs.google.com/spreadsheets/d/1Uw7-A9f9R21vMXxHZFNpYNeKFtG8_yji4HS352LGlSQ/edit?pli=1#gid=0"",""1_ACUM!A4:S""),13,FALSE))"),"")</f>
        <v/>
      </c>
      <c r="AZ200" s="43" t="str">
        <f ca="1">IFERROR(__xludf.DUMMYFUNCTION("IFERROR(VLOOKUP(E466&amp;F466,IMPORTRANGE(""https://docs.google.com/spreadsheets/d/1Uw7-A9f9R21vMXxHZFNpYNeKFtG8_yji4HS352LGlSQ/edit?pli=1#gid=0"",""1_ACUM!A4:S""),13,FALSE))"),"")</f>
        <v/>
      </c>
      <c r="BA200" s="43" t="str">
        <f ca="1">IFERROR(__xludf.DUMMYFUNCTION("IFERROR(VLOOKUP(E466&amp;F466,IMPORTRANGE(""https://docs.google.com/spreadsheets/d/1Uw7-A9f9R21vMXxHZFNpYNeKFtG8_yji4HS352LGlSQ/edit?pli=1#gid=0"",""1_ACUM!A4:S""),14,FALSE))"),"")</f>
        <v/>
      </c>
      <c r="BB200" s="43" t="str">
        <f ca="1">IFERROR(__xludf.DUMMYFUNCTION("IFERROR(VLOOKUP(E466&amp;F466,IMPORTRANGE(""https://docs.google.com/spreadsheets/d/1Uw7-A9f9R21vMXxHZFNpYNeKFtG8_yji4HS352LGlSQ/edit?pli=1#gid=0"",""1_ACUM!A4:S""),15,FALSE))"),"")</f>
        <v/>
      </c>
      <c r="BC200" s="43" t="str">
        <f ca="1">IFERROR(__xludf.DUMMYFUNCTION("IFERROR(VLOOKUP(E466&amp;F466,IMPORTRANGE(""https://docs.google.com/spreadsheets/d/1Uw7-A9f9R21vMXxHZFNpYNeKFtG8_yji4HS352LGlSQ/edit?pli=1#gid=0"",""1_ACUM!A4:S""),16,FALSE))"),"")</f>
        <v/>
      </c>
      <c r="BD200" s="43" t="str">
        <f ca="1">IFERROR(__xludf.DUMMYFUNCTION("IFERROR(VLOOKUP(E466&amp;F466,IMPORTRANGE(""https://docs.google.com/spreadsheets/d/1Uw7-A9f9R21vMXxHZFNpYNeKFtG8_yji4HS352LGlSQ/edit?pli=1#gid=0"",""1_ACUM!A4:S""),17,FALSE))"),"")</f>
        <v/>
      </c>
      <c r="BE200" s="44" t="str">
        <f ca="1">IFERROR(__xludf.DUMMYFUNCTION("IFERROR(VLOOKUP(E466&amp;F466,IMPORTRANGE(""https://docs.google.com/spreadsheets/d/1Uw7-A9f9R21vMXxHZFNpYNeKFtG8_yji4HS352LGlSQ/edit?pli=1#gid=0"",""1_ACUM!A4:S""),18,FALSE))"),"")</f>
        <v/>
      </c>
      <c r="BF200" s="44" t="str">
        <f ca="1">IFERROR(__xludf.DUMMYFUNCTION("IFERROR(VLOOKUP(E466&amp;F466,IMPORTRANGE(""https://docs.google.com/spreadsheets/d/1Uw7-A9f9R21vMXxHZFNpYNeKFtG8_yji4HS352LGlSQ/edit?pli=1#gid=0"",""1_ACUM!A4:S""),19,FALSE))"),"")</f>
        <v/>
      </c>
      <c r="BG200" s="98" t="str">
        <f ca="1">IFERROR(__xludf.DUMMYFUNCTION("IFERROR(VLOOKUP(F466,IMPORTRANGE(""https://docs.google.com/spreadsheets/d/1Kvs4KS76FHFqLFIZfrDMff4kP08nblUkihrxltoGBjg/edit#gid=934712705"",""ESENCIAL!A6:BG""),5,FALSE))"),"")</f>
        <v/>
      </c>
      <c r="BH200" s="98" t="str">
        <f t="shared" si="17"/>
        <v/>
      </c>
      <c r="BI200" s="99" t="str">
        <f t="shared" si="18"/>
        <v/>
      </c>
      <c r="BJ200" s="100" t="str">
        <f ca="1">IFERROR(__xludf.DUMMYFUNCTION("IFERROR(VLOOKUP(F466,IMPORTRANGE(""https://docs.google.com/spreadsheets/d/1Kvs4KS76FHFqLFIZfrDMff4kP08nblUkihrxltoGBjg/edit#gid=934712705"",""ESENCIAL!A6:BG""),2,FALSE))"),"")</f>
        <v/>
      </c>
      <c r="BK200" s="19" t="str">
        <f t="shared" si="19"/>
        <v/>
      </c>
      <c r="BL200" s="100"/>
      <c r="BM200" s="100"/>
    </row>
    <row r="201" spans="2:65" ht="15">
      <c r="B201" s="39"/>
      <c r="C201" s="5"/>
      <c r="D201" s="123"/>
      <c r="E201" s="39"/>
      <c r="F201" s="39"/>
      <c r="G201" s="39"/>
      <c r="H201" s="5" t="str">
        <f ca="1">IFERROR(__xludf.DUMMYFUNCTION("IFERROR(VLOOKUP(F467,IMPORTRANGE(""https://docs.google.com/spreadsheets/d/1Kvs4KS76FHFqLFIZfrDMff4kP08nblUkihrxltoGBjg/edit#gid=934712705"",""ESENCIAL!A6:BG""),3,FALSE))"),"")</f>
        <v/>
      </c>
      <c r="I201" s="5" t="str">
        <f ca="1">IFERROR(__xludf.DUMMYFUNCTION("IFERROR(VLOOKUP(F467,IMPORTRANGE(""https://docs.google.com/spreadsheets/d/1Kvs4KS76FHFqLFIZfrDMff4kP08nblUkihrxltoGBjg/edit#gid=934712705"",""ESENCIAL!A6:BG""),8,FALSE))"),"")</f>
        <v/>
      </c>
      <c r="J201" s="39"/>
      <c r="M201" s="287"/>
      <c r="AV201" s="41" t="str">
        <f t="shared" si="16"/>
        <v/>
      </c>
      <c r="AW201" s="5" t="str">
        <f ca="1">IFERROR(__xludf.DUMMYFUNCTION("IFERROR(VLOOKUP(E467&amp;F467,IMPORTRANGE(""https://docs.google.com/spreadsheets/d/1Uw7-A9f9R21vMXxHZFNpYNeKFtG8_yji4HS352LGlSQ/edit?pli=1#gid=0"",""1_ACUM!A4:S""),11,FALSE))"),"")</f>
        <v/>
      </c>
      <c r="AX201" s="42" t="str">
        <f ca="1">IFERROR(__xludf.DUMMYFUNCTION("IFERROR(VLOOKUP(F467,IMPORTRANGE(""https://docs.google.com/spreadsheets/d/1Kvs4KS76FHFqLFIZfrDMff4kP08nblUkihrxltoGBjg/edit#gid=934712705"",""ESENCIAL!A6:BG""),15,FALSE))"),"")</f>
        <v/>
      </c>
      <c r="AY201" s="110" t="str">
        <f ca="1">IFERROR(__xludf.DUMMYFUNCTION("IFERROR(VLOOKUP(E467&amp;F467,IMPORTRANGE(""https://docs.google.com/spreadsheets/d/1Uw7-A9f9R21vMXxHZFNpYNeKFtG8_yji4HS352LGlSQ/edit?pli=1#gid=0"",""1_ACUM!A4:S""),13,FALSE))"),"")</f>
        <v/>
      </c>
      <c r="AZ201" s="43" t="str">
        <f ca="1">IFERROR(__xludf.DUMMYFUNCTION("IFERROR(VLOOKUP(E467&amp;F467,IMPORTRANGE(""https://docs.google.com/spreadsheets/d/1Uw7-A9f9R21vMXxHZFNpYNeKFtG8_yji4HS352LGlSQ/edit?pli=1#gid=0"",""1_ACUM!A4:S""),13,FALSE))"),"")</f>
        <v/>
      </c>
      <c r="BA201" s="43" t="str">
        <f ca="1">IFERROR(__xludf.DUMMYFUNCTION("IFERROR(VLOOKUP(E467&amp;F467,IMPORTRANGE(""https://docs.google.com/spreadsheets/d/1Uw7-A9f9R21vMXxHZFNpYNeKFtG8_yji4HS352LGlSQ/edit?pli=1#gid=0"",""1_ACUM!A4:S""),14,FALSE))"),"")</f>
        <v/>
      </c>
      <c r="BB201" s="43" t="str">
        <f ca="1">IFERROR(__xludf.DUMMYFUNCTION("IFERROR(VLOOKUP(E467&amp;F467,IMPORTRANGE(""https://docs.google.com/spreadsheets/d/1Uw7-A9f9R21vMXxHZFNpYNeKFtG8_yji4HS352LGlSQ/edit?pli=1#gid=0"",""1_ACUM!A4:S""),15,FALSE))"),"")</f>
        <v/>
      </c>
      <c r="BC201" s="43" t="str">
        <f ca="1">IFERROR(__xludf.DUMMYFUNCTION("IFERROR(VLOOKUP(E467&amp;F467,IMPORTRANGE(""https://docs.google.com/spreadsheets/d/1Uw7-A9f9R21vMXxHZFNpYNeKFtG8_yji4HS352LGlSQ/edit?pli=1#gid=0"",""1_ACUM!A4:S""),16,FALSE))"),"")</f>
        <v/>
      </c>
      <c r="BD201" s="43" t="str">
        <f ca="1">IFERROR(__xludf.DUMMYFUNCTION("IFERROR(VLOOKUP(E467&amp;F467,IMPORTRANGE(""https://docs.google.com/spreadsheets/d/1Uw7-A9f9R21vMXxHZFNpYNeKFtG8_yji4HS352LGlSQ/edit?pli=1#gid=0"",""1_ACUM!A4:S""),17,FALSE))"),"")</f>
        <v/>
      </c>
      <c r="BE201" s="44" t="str">
        <f ca="1">IFERROR(__xludf.DUMMYFUNCTION("IFERROR(VLOOKUP(E467&amp;F467,IMPORTRANGE(""https://docs.google.com/spreadsheets/d/1Uw7-A9f9R21vMXxHZFNpYNeKFtG8_yji4HS352LGlSQ/edit?pli=1#gid=0"",""1_ACUM!A4:S""),18,FALSE))"),"")</f>
        <v/>
      </c>
      <c r="BF201" s="44" t="str">
        <f ca="1">IFERROR(__xludf.DUMMYFUNCTION("IFERROR(VLOOKUP(E467&amp;F467,IMPORTRANGE(""https://docs.google.com/spreadsheets/d/1Uw7-A9f9R21vMXxHZFNpYNeKFtG8_yji4HS352LGlSQ/edit?pli=1#gid=0"",""1_ACUM!A4:S""),19,FALSE))"),"")</f>
        <v/>
      </c>
      <c r="BG201" s="98" t="str">
        <f ca="1">IFERROR(__xludf.DUMMYFUNCTION("IFERROR(VLOOKUP(F467,IMPORTRANGE(""https://docs.google.com/spreadsheets/d/1Kvs4KS76FHFqLFIZfrDMff4kP08nblUkihrxltoGBjg/edit#gid=934712705"",""ESENCIAL!A6:BG""),5,FALSE))"),"")</f>
        <v/>
      </c>
      <c r="BH201" s="98" t="str">
        <f t="shared" si="17"/>
        <v/>
      </c>
      <c r="BI201" s="99" t="str">
        <f t="shared" si="18"/>
        <v/>
      </c>
      <c r="BJ201" s="100" t="str">
        <f ca="1">IFERROR(__xludf.DUMMYFUNCTION("IFERROR(VLOOKUP(F467,IMPORTRANGE(""https://docs.google.com/spreadsheets/d/1Kvs4KS76FHFqLFIZfrDMff4kP08nblUkihrxltoGBjg/edit#gid=934712705"",""ESENCIAL!A6:BG""),2,FALSE))"),"")</f>
        <v/>
      </c>
      <c r="BK201" s="19" t="str">
        <f t="shared" si="19"/>
        <v/>
      </c>
      <c r="BL201" s="100"/>
      <c r="BM201" s="100"/>
    </row>
    <row r="202" spans="2:65" ht="15">
      <c r="B202" s="39"/>
      <c r="C202" s="5"/>
      <c r="D202" s="123"/>
      <c r="E202" s="39"/>
      <c r="F202" s="39"/>
      <c r="G202" s="39"/>
      <c r="H202" s="5" t="str">
        <f ca="1">IFERROR(__xludf.DUMMYFUNCTION("IFERROR(VLOOKUP(F468,IMPORTRANGE(""https://docs.google.com/spreadsheets/d/1Kvs4KS76FHFqLFIZfrDMff4kP08nblUkihrxltoGBjg/edit#gid=934712705"",""ESENCIAL!A6:BG""),3,FALSE))"),"")</f>
        <v/>
      </c>
      <c r="I202" s="5" t="str">
        <f ca="1">IFERROR(__xludf.DUMMYFUNCTION("IFERROR(VLOOKUP(F468,IMPORTRANGE(""https://docs.google.com/spreadsheets/d/1Kvs4KS76FHFqLFIZfrDMff4kP08nblUkihrxltoGBjg/edit#gid=934712705"",""ESENCIAL!A6:BG""),8,FALSE))"),"")</f>
        <v/>
      </c>
      <c r="J202" s="39"/>
      <c r="M202" s="287"/>
      <c r="AV202" s="41" t="str">
        <f t="shared" si="16"/>
        <v/>
      </c>
      <c r="AW202" s="5" t="str">
        <f ca="1">IFERROR(__xludf.DUMMYFUNCTION("IFERROR(VLOOKUP(E468&amp;F468,IMPORTRANGE(""https://docs.google.com/spreadsheets/d/1Uw7-A9f9R21vMXxHZFNpYNeKFtG8_yji4HS352LGlSQ/edit?pli=1#gid=0"",""1_ACUM!A4:S""),11,FALSE))"),"")</f>
        <v/>
      </c>
      <c r="AX202" s="42" t="str">
        <f ca="1">IFERROR(__xludf.DUMMYFUNCTION("IFERROR(VLOOKUP(F468,IMPORTRANGE(""https://docs.google.com/spreadsheets/d/1Kvs4KS76FHFqLFIZfrDMff4kP08nblUkihrxltoGBjg/edit#gid=934712705"",""ESENCIAL!A6:BG""),15,FALSE))"),"")</f>
        <v/>
      </c>
      <c r="AY202" s="110" t="str">
        <f ca="1">IFERROR(__xludf.DUMMYFUNCTION("IFERROR(VLOOKUP(E468&amp;F468,IMPORTRANGE(""https://docs.google.com/spreadsheets/d/1Uw7-A9f9R21vMXxHZFNpYNeKFtG8_yji4HS352LGlSQ/edit?pli=1#gid=0"",""1_ACUM!A4:S""),13,FALSE))"),"")</f>
        <v/>
      </c>
      <c r="AZ202" s="43" t="str">
        <f ca="1">IFERROR(__xludf.DUMMYFUNCTION("IFERROR(VLOOKUP(E468&amp;F468,IMPORTRANGE(""https://docs.google.com/spreadsheets/d/1Uw7-A9f9R21vMXxHZFNpYNeKFtG8_yji4HS352LGlSQ/edit?pli=1#gid=0"",""1_ACUM!A4:S""),13,FALSE))"),"")</f>
        <v/>
      </c>
      <c r="BA202" s="43" t="str">
        <f ca="1">IFERROR(__xludf.DUMMYFUNCTION("IFERROR(VLOOKUP(E468&amp;F468,IMPORTRANGE(""https://docs.google.com/spreadsheets/d/1Uw7-A9f9R21vMXxHZFNpYNeKFtG8_yji4HS352LGlSQ/edit?pli=1#gid=0"",""1_ACUM!A4:S""),14,FALSE))"),"")</f>
        <v/>
      </c>
      <c r="BB202" s="43" t="str">
        <f ca="1">IFERROR(__xludf.DUMMYFUNCTION("IFERROR(VLOOKUP(E468&amp;F468,IMPORTRANGE(""https://docs.google.com/spreadsheets/d/1Uw7-A9f9R21vMXxHZFNpYNeKFtG8_yji4HS352LGlSQ/edit?pli=1#gid=0"",""1_ACUM!A4:S""),15,FALSE))"),"")</f>
        <v/>
      </c>
      <c r="BC202" s="43" t="str">
        <f ca="1">IFERROR(__xludf.DUMMYFUNCTION("IFERROR(VLOOKUP(E468&amp;F468,IMPORTRANGE(""https://docs.google.com/spreadsheets/d/1Uw7-A9f9R21vMXxHZFNpYNeKFtG8_yji4HS352LGlSQ/edit?pli=1#gid=0"",""1_ACUM!A4:S""),16,FALSE))"),"")</f>
        <v/>
      </c>
      <c r="BD202" s="43" t="str">
        <f ca="1">IFERROR(__xludf.DUMMYFUNCTION("IFERROR(VLOOKUP(E468&amp;F468,IMPORTRANGE(""https://docs.google.com/spreadsheets/d/1Uw7-A9f9R21vMXxHZFNpYNeKFtG8_yji4HS352LGlSQ/edit?pli=1#gid=0"",""1_ACUM!A4:S""),17,FALSE))"),"")</f>
        <v/>
      </c>
      <c r="BE202" s="44" t="str">
        <f ca="1">IFERROR(__xludf.DUMMYFUNCTION("IFERROR(VLOOKUP(E468&amp;F468,IMPORTRANGE(""https://docs.google.com/spreadsheets/d/1Uw7-A9f9R21vMXxHZFNpYNeKFtG8_yji4HS352LGlSQ/edit?pli=1#gid=0"",""1_ACUM!A4:S""),18,FALSE))"),"")</f>
        <v/>
      </c>
      <c r="BF202" s="44" t="str">
        <f ca="1">IFERROR(__xludf.DUMMYFUNCTION("IFERROR(VLOOKUP(E468&amp;F468,IMPORTRANGE(""https://docs.google.com/spreadsheets/d/1Uw7-A9f9R21vMXxHZFNpYNeKFtG8_yji4HS352LGlSQ/edit?pli=1#gid=0"",""1_ACUM!A4:S""),19,FALSE))"),"")</f>
        <v/>
      </c>
      <c r="BG202" s="98" t="str">
        <f ca="1">IFERROR(__xludf.DUMMYFUNCTION("IFERROR(VLOOKUP(F468,IMPORTRANGE(""https://docs.google.com/spreadsheets/d/1Kvs4KS76FHFqLFIZfrDMff4kP08nblUkihrxltoGBjg/edit#gid=934712705"",""ESENCIAL!A6:BG""),5,FALSE))"),"")</f>
        <v/>
      </c>
      <c r="BH202" s="98" t="str">
        <f t="shared" si="17"/>
        <v/>
      </c>
      <c r="BI202" s="99" t="str">
        <f t="shared" si="18"/>
        <v/>
      </c>
      <c r="BJ202" s="100" t="str">
        <f ca="1">IFERROR(__xludf.DUMMYFUNCTION("IFERROR(VLOOKUP(F468,IMPORTRANGE(""https://docs.google.com/spreadsheets/d/1Kvs4KS76FHFqLFIZfrDMff4kP08nblUkihrxltoGBjg/edit#gid=934712705"",""ESENCIAL!A6:BG""),2,FALSE))"),"")</f>
        <v/>
      </c>
      <c r="BK202" s="19" t="str">
        <f t="shared" si="19"/>
        <v/>
      </c>
      <c r="BL202" s="100"/>
      <c r="BM202" s="100"/>
    </row>
    <row r="203" spans="2:65" ht="15">
      <c r="B203" s="39"/>
      <c r="C203" s="5"/>
      <c r="D203" s="123"/>
      <c r="E203" s="39"/>
      <c r="F203" s="39"/>
      <c r="G203" s="39"/>
      <c r="H203" s="5" t="str">
        <f ca="1">IFERROR(__xludf.DUMMYFUNCTION("IFERROR(VLOOKUP(F469,IMPORTRANGE(""https://docs.google.com/spreadsheets/d/1Kvs4KS76FHFqLFIZfrDMff4kP08nblUkihrxltoGBjg/edit#gid=934712705"",""ESENCIAL!A6:BG""),3,FALSE))"),"")</f>
        <v/>
      </c>
      <c r="I203" s="5" t="str">
        <f ca="1">IFERROR(__xludf.DUMMYFUNCTION("IFERROR(VLOOKUP(F469,IMPORTRANGE(""https://docs.google.com/spreadsheets/d/1Kvs4KS76FHFqLFIZfrDMff4kP08nblUkihrxltoGBjg/edit#gid=934712705"",""ESENCIAL!A6:BG""),8,FALSE))"),"")</f>
        <v/>
      </c>
      <c r="J203" s="39"/>
      <c r="M203" s="287"/>
      <c r="AV203" s="41" t="str">
        <f t="shared" si="16"/>
        <v/>
      </c>
      <c r="AW203" s="5" t="str">
        <f ca="1">IFERROR(__xludf.DUMMYFUNCTION("IFERROR(VLOOKUP(E469&amp;F469,IMPORTRANGE(""https://docs.google.com/spreadsheets/d/1Uw7-A9f9R21vMXxHZFNpYNeKFtG8_yji4HS352LGlSQ/edit?pli=1#gid=0"",""1_ACUM!A4:S""),11,FALSE))"),"")</f>
        <v/>
      </c>
      <c r="AX203" s="42" t="str">
        <f ca="1">IFERROR(__xludf.DUMMYFUNCTION("IFERROR(VLOOKUP(F469,IMPORTRANGE(""https://docs.google.com/spreadsheets/d/1Kvs4KS76FHFqLFIZfrDMff4kP08nblUkihrxltoGBjg/edit#gid=934712705"",""ESENCIAL!A6:BG""),15,FALSE))"),"")</f>
        <v/>
      </c>
      <c r="AY203" s="110" t="str">
        <f ca="1">IFERROR(__xludf.DUMMYFUNCTION("IFERROR(VLOOKUP(E469&amp;F469,IMPORTRANGE(""https://docs.google.com/spreadsheets/d/1Uw7-A9f9R21vMXxHZFNpYNeKFtG8_yji4HS352LGlSQ/edit?pli=1#gid=0"",""1_ACUM!A4:S""),13,FALSE))"),"")</f>
        <v/>
      </c>
      <c r="AZ203" s="43" t="str">
        <f ca="1">IFERROR(__xludf.DUMMYFUNCTION("IFERROR(VLOOKUP(E469&amp;F469,IMPORTRANGE(""https://docs.google.com/spreadsheets/d/1Uw7-A9f9R21vMXxHZFNpYNeKFtG8_yji4HS352LGlSQ/edit?pli=1#gid=0"",""1_ACUM!A4:S""),13,FALSE))"),"")</f>
        <v/>
      </c>
      <c r="BA203" s="43" t="str">
        <f ca="1">IFERROR(__xludf.DUMMYFUNCTION("IFERROR(VLOOKUP(E469&amp;F469,IMPORTRANGE(""https://docs.google.com/spreadsheets/d/1Uw7-A9f9R21vMXxHZFNpYNeKFtG8_yji4HS352LGlSQ/edit?pli=1#gid=0"",""1_ACUM!A4:S""),14,FALSE))"),"")</f>
        <v/>
      </c>
      <c r="BB203" s="43" t="str">
        <f ca="1">IFERROR(__xludf.DUMMYFUNCTION("IFERROR(VLOOKUP(E469&amp;F469,IMPORTRANGE(""https://docs.google.com/spreadsheets/d/1Uw7-A9f9R21vMXxHZFNpYNeKFtG8_yji4HS352LGlSQ/edit?pli=1#gid=0"",""1_ACUM!A4:S""),15,FALSE))"),"")</f>
        <v/>
      </c>
      <c r="BC203" s="43" t="str">
        <f ca="1">IFERROR(__xludf.DUMMYFUNCTION("IFERROR(VLOOKUP(E469&amp;F469,IMPORTRANGE(""https://docs.google.com/spreadsheets/d/1Uw7-A9f9R21vMXxHZFNpYNeKFtG8_yji4HS352LGlSQ/edit?pli=1#gid=0"",""1_ACUM!A4:S""),16,FALSE))"),"")</f>
        <v/>
      </c>
      <c r="BD203" s="43" t="str">
        <f ca="1">IFERROR(__xludf.DUMMYFUNCTION("IFERROR(VLOOKUP(E469&amp;F469,IMPORTRANGE(""https://docs.google.com/spreadsheets/d/1Uw7-A9f9R21vMXxHZFNpYNeKFtG8_yji4HS352LGlSQ/edit?pli=1#gid=0"",""1_ACUM!A4:S""),17,FALSE))"),"")</f>
        <v/>
      </c>
      <c r="BE203" s="44" t="str">
        <f ca="1">IFERROR(__xludf.DUMMYFUNCTION("IFERROR(VLOOKUP(E469&amp;F469,IMPORTRANGE(""https://docs.google.com/spreadsheets/d/1Uw7-A9f9R21vMXxHZFNpYNeKFtG8_yji4HS352LGlSQ/edit?pli=1#gid=0"",""1_ACUM!A4:S""),18,FALSE))"),"")</f>
        <v/>
      </c>
      <c r="BF203" s="44" t="str">
        <f ca="1">IFERROR(__xludf.DUMMYFUNCTION("IFERROR(VLOOKUP(E469&amp;F469,IMPORTRANGE(""https://docs.google.com/spreadsheets/d/1Uw7-A9f9R21vMXxHZFNpYNeKFtG8_yji4HS352LGlSQ/edit?pli=1#gid=0"",""1_ACUM!A4:S""),19,FALSE))"),"")</f>
        <v/>
      </c>
      <c r="BG203" s="98" t="str">
        <f ca="1">IFERROR(__xludf.DUMMYFUNCTION("IFERROR(VLOOKUP(F469,IMPORTRANGE(""https://docs.google.com/spreadsheets/d/1Kvs4KS76FHFqLFIZfrDMff4kP08nblUkihrxltoGBjg/edit#gid=934712705"",""ESENCIAL!A6:BG""),5,FALSE))"),"")</f>
        <v/>
      </c>
      <c r="BH203" s="98" t="str">
        <f t="shared" si="17"/>
        <v/>
      </c>
      <c r="BI203" s="99" t="str">
        <f t="shared" si="18"/>
        <v/>
      </c>
      <c r="BJ203" s="100" t="str">
        <f ca="1">IFERROR(__xludf.DUMMYFUNCTION("IFERROR(VLOOKUP(F469,IMPORTRANGE(""https://docs.google.com/spreadsheets/d/1Kvs4KS76FHFqLFIZfrDMff4kP08nblUkihrxltoGBjg/edit#gid=934712705"",""ESENCIAL!A6:BG""),2,FALSE))"),"")</f>
        <v/>
      </c>
      <c r="BK203" s="19" t="str">
        <f t="shared" si="19"/>
        <v/>
      </c>
      <c r="BL203" s="100"/>
      <c r="BM203" s="100"/>
    </row>
    <row r="204" spans="2:65" ht="15">
      <c r="B204" s="39"/>
      <c r="C204" s="5"/>
      <c r="D204" s="123"/>
      <c r="E204" s="39"/>
      <c r="F204" s="39"/>
      <c r="G204" s="39"/>
      <c r="H204" s="5" t="str">
        <f ca="1">IFERROR(__xludf.DUMMYFUNCTION("IFERROR(VLOOKUP(F470,IMPORTRANGE(""https://docs.google.com/spreadsheets/d/1Kvs4KS76FHFqLFIZfrDMff4kP08nblUkihrxltoGBjg/edit#gid=934712705"",""ESENCIAL!A6:BG""),3,FALSE))"),"")</f>
        <v/>
      </c>
      <c r="I204" s="5" t="str">
        <f ca="1">IFERROR(__xludf.DUMMYFUNCTION("IFERROR(VLOOKUP(F470,IMPORTRANGE(""https://docs.google.com/spreadsheets/d/1Kvs4KS76FHFqLFIZfrDMff4kP08nblUkihrxltoGBjg/edit#gid=934712705"",""ESENCIAL!A6:BG""),8,FALSE))"),"")</f>
        <v/>
      </c>
      <c r="J204" s="39"/>
      <c r="M204" s="287"/>
      <c r="AV204" s="41" t="str">
        <f t="shared" si="16"/>
        <v/>
      </c>
      <c r="AW204" s="5" t="str">
        <f ca="1">IFERROR(__xludf.DUMMYFUNCTION("IFERROR(VLOOKUP(E470&amp;F470,IMPORTRANGE(""https://docs.google.com/spreadsheets/d/1Uw7-A9f9R21vMXxHZFNpYNeKFtG8_yji4HS352LGlSQ/edit?pli=1#gid=0"",""1_ACUM!A4:S""),11,FALSE))"),"")</f>
        <v/>
      </c>
      <c r="AX204" s="42" t="str">
        <f ca="1">IFERROR(__xludf.DUMMYFUNCTION("IFERROR(VLOOKUP(F470,IMPORTRANGE(""https://docs.google.com/spreadsheets/d/1Kvs4KS76FHFqLFIZfrDMff4kP08nblUkihrxltoGBjg/edit#gid=934712705"",""ESENCIAL!A6:BG""),15,FALSE))"),"")</f>
        <v/>
      </c>
      <c r="AY204" s="110" t="str">
        <f ca="1">IFERROR(__xludf.DUMMYFUNCTION("IFERROR(VLOOKUP(E470&amp;F470,IMPORTRANGE(""https://docs.google.com/spreadsheets/d/1Uw7-A9f9R21vMXxHZFNpYNeKFtG8_yji4HS352LGlSQ/edit?pli=1#gid=0"",""1_ACUM!A4:S""),13,FALSE))"),"")</f>
        <v/>
      </c>
      <c r="AZ204" s="43" t="str">
        <f ca="1">IFERROR(__xludf.DUMMYFUNCTION("IFERROR(VLOOKUP(E470&amp;F470,IMPORTRANGE(""https://docs.google.com/spreadsheets/d/1Uw7-A9f9R21vMXxHZFNpYNeKFtG8_yji4HS352LGlSQ/edit?pli=1#gid=0"",""1_ACUM!A4:S""),13,FALSE))"),"")</f>
        <v/>
      </c>
      <c r="BA204" s="43" t="str">
        <f ca="1">IFERROR(__xludf.DUMMYFUNCTION("IFERROR(VLOOKUP(E470&amp;F470,IMPORTRANGE(""https://docs.google.com/spreadsheets/d/1Uw7-A9f9R21vMXxHZFNpYNeKFtG8_yji4HS352LGlSQ/edit?pli=1#gid=0"",""1_ACUM!A4:S""),14,FALSE))"),"")</f>
        <v/>
      </c>
      <c r="BB204" s="43" t="str">
        <f ca="1">IFERROR(__xludf.DUMMYFUNCTION("IFERROR(VLOOKUP(E470&amp;F470,IMPORTRANGE(""https://docs.google.com/spreadsheets/d/1Uw7-A9f9R21vMXxHZFNpYNeKFtG8_yji4HS352LGlSQ/edit?pli=1#gid=0"",""1_ACUM!A4:S""),15,FALSE))"),"")</f>
        <v/>
      </c>
      <c r="BC204" s="43" t="str">
        <f ca="1">IFERROR(__xludf.DUMMYFUNCTION("IFERROR(VLOOKUP(E470&amp;F470,IMPORTRANGE(""https://docs.google.com/spreadsheets/d/1Uw7-A9f9R21vMXxHZFNpYNeKFtG8_yji4HS352LGlSQ/edit?pli=1#gid=0"",""1_ACUM!A4:S""),16,FALSE))"),"")</f>
        <v/>
      </c>
      <c r="BD204" s="43" t="str">
        <f ca="1">IFERROR(__xludf.DUMMYFUNCTION("IFERROR(VLOOKUP(E470&amp;F470,IMPORTRANGE(""https://docs.google.com/spreadsheets/d/1Uw7-A9f9R21vMXxHZFNpYNeKFtG8_yji4HS352LGlSQ/edit?pli=1#gid=0"",""1_ACUM!A4:S""),17,FALSE))"),"")</f>
        <v/>
      </c>
      <c r="BE204" s="44" t="str">
        <f ca="1">IFERROR(__xludf.DUMMYFUNCTION("IFERROR(VLOOKUP(E470&amp;F470,IMPORTRANGE(""https://docs.google.com/spreadsheets/d/1Uw7-A9f9R21vMXxHZFNpYNeKFtG8_yji4HS352LGlSQ/edit?pli=1#gid=0"",""1_ACUM!A4:S""),18,FALSE))"),"")</f>
        <v/>
      </c>
      <c r="BF204" s="44" t="str">
        <f ca="1">IFERROR(__xludf.DUMMYFUNCTION("IFERROR(VLOOKUP(E470&amp;F470,IMPORTRANGE(""https://docs.google.com/spreadsheets/d/1Uw7-A9f9R21vMXxHZFNpYNeKFtG8_yji4HS352LGlSQ/edit?pli=1#gid=0"",""1_ACUM!A4:S""),19,FALSE))"),"")</f>
        <v/>
      </c>
      <c r="BG204" s="98" t="str">
        <f ca="1">IFERROR(__xludf.DUMMYFUNCTION("IFERROR(VLOOKUP(F470,IMPORTRANGE(""https://docs.google.com/spreadsheets/d/1Kvs4KS76FHFqLFIZfrDMff4kP08nblUkihrxltoGBjg/edit#gid=934712705"",""ESENCIAL!A6:BG""),5,FALSE))"),"")</f>
        <v/>
      </c>
      <c r="BH204" s="98" t="str">
        <f t="shared" si="17"/>
        <v/>
      </c>
      <c r="BI204" s="99" t="str">
        <f t="shared" si="18"/>
        <v/>
      </c>
      <c r="BJ204" s="100" t="str">
        <f ca="1">IFERROR(__xludf.DUMMYFUNCTION("IFERROR(VLOOKUP(F470,IMPORTRANGE(""https://docs.google.com/spreadsheets/d/1Kvs4KS76FHFqLFIZfrDMff4kP08nblUkihrxltoGBjg/edit#gid=934712705"",""ESENCIAL!A6:BG""),2,FALSE))"),"")</f>
        <v/>
      </c>
      <c r="BK204" s="19" t="str">
        <f t="shared" si="19"/>
        <v/>
      </c>
      <c r="BL204" s="100"/>
      <c r="BM204" s="100"/>
    </row>
    <row r="205" spans="2:65" ht="15">
      <c r="B205" s="39"/>
      <c r="C205" s="5"/>
      <c r="D205" s="123"/>
      <c r="E205" s="39"/>
      <c r="F205" s="39"/>
      <c r="G205" s="39"/>
      <c r="H205" s="5" t="str">
        <f ca="1">IFERROR(__xludf.DUMMYFUNCTION("IFERROR(VLOOKUP(F471,IMPORTRANGE(""https://docs.google.com/spreadsheets/d/1Kvs4KS76FHFqLFIZfrDMff4kP08nblUkihrxltoGBjg/edit#gid=934712705"",""ESENCIAL!A6:BG""),3,FALSE))"),"")</f>
        <v/>
      </c>
      <c r="I205" s="5" t="str">
        <f ca="1">IFERROR(__xludf.DUMMYFUNCTION("IFERROR(VLOOKUP(F471,IMPORTRANGE(""https://docs.google.com/spreadsheets/d/1Kvs4KS76FHFqLFIZfrDMff4kP08nblUkihrxltoGBjg/edit#gid=934712705"",""ESENCIAL!A6:BG""),8,FALSE))"),"")</f>
        <v/>
      </c>
      <c r="J205" s="39"/>
      <c r="M205" s="287"/>
      <c r="AV205" s="41" t="str">
        <f t="shared" si="16"/>
        <v/>
      </c>
      <c r="AW205" s="5" t="str">
        <f ca="1">IFERROR(__xludf.DUMMYFUNCTION("IFERROR(VLOOKUP(E471&amp;F471,IMPORTRANGE(""https://docs.google.com/spreadsheets/d/1Uw7-A9f9R21vMXxHZFNpYNeKFtG8_yji4HS352LGlSQ/edit?pli=1#gid=0"",""1_ACUM!A4:S""),11,FALSE))"),"")</f>
        <v/>
      </c>
      <c r="AX205" s="42" t="str">
        <f ca="1">IFERROR(__xludf.DUMMYFUNCTION("IFERROR(VLOOKUP(F471,IMPORTRANGE(""https://docs.google.com/spreadsheets/d/1Kvs4KS76FHFqLFIZfrDMff4kP08nblUkihrxltoGBjg/edit#gid=934712705"",""ESENCIAL!A6:BG""),15,FALSE))"),"")</f>
        <v/>
      </c>
      <c r="AY205" s="110" t="str">
        <f ca="1">IFERROR(__xludf.DUMMYFUNCTION("IFERROR(VLOOKUP(E471&amp;F471,IMPORTRANGE(""https://docs.google.com/spreadsheets/d/1Uw7-A9f9R21vMXxHZFNpYNeKFtG8_yji4HS352LGlSQ/edit?pli=1#gid=0"",""1_ACUM!A4:S""),13,FALSE))"),"")</f>
        <v/>
      </c>
      <c r="AZ205" s="43" t="str">
        <f ca="1">IFERROR(__xludf.DUMMYFUNCTION("IFERROR(VLOOKUP(E471&amp;F471,IMPORTRANGE(""https://docs.google.com/spreadsheets/d/1Uw7-A9f9R21vMXxHZFNpYNeKFtG8_yji4HS352LGlSQ/edit?pli=1#gid=0"",""1_ACUM!A4:S""),13,FALSE))"),"")</f>
        <v/>
      </c>
      <c r="BA205" s="43" t="str">
        <f ca="1">IFERROR(__xludf.DUMMYFUNCTION("IFERROR(VLOOKUP(E471&amp;F471,IMPORTRANGE(""https://docs.google.com/spreadsheets/d/1Uw7-A9f9R21vMXxHZFNpYNeKFtG8_yji4HS352LGlSQ/edit?pli=1#gid=0"",""1_ACUM!A4:S""),14,FALSE))"),"")</f>
        <v/>
      </c>
      <c r="BB205" s="43" t="str">
        <f ca="1">IFERROR(__xludf.DUMMYFUNCTION("IFERROR(VLOOKUP(E471&amp;F471,IMPORTRANGE(""https://docs.google.com/spreadsheets/d/1Uw7-A9f9R21vMXxHZFNpYNeKFtG8_yji4HS352LGlSQ/edit?pli=1#gid=0"",""1_ACUM!A4:S""),15,FALSE))"),"")</f>
        <v/>
      </c>
      <c r="BC205" s="43" t="str">
        <f ca="1">IFERROR(__xludf.DUMMYFUNCTION("IFERROR(VLOOKUP(E471&amp;F471,IMPORTRANGE(""https://docs.google.com/spreadsheets/d/1Uw7-A9f9R21vMXxHZFNpYNeKFtG8_yji4HS352LGlSQ/edit?pli=1#gid=0"",""1_ACUM!A4:S""),16,FALSE))"),"")</f>
        <v/>
      </c>
      <c r="BD205" s="43" t="str">
        <f ca="1">IFERROR(__xludf.DUMMYFUNCTION("IFERROR(VLOOKUP(E471&amp;F471,IMPORTRANGE(""https://docs.google.com/spreadsheets/d/1Uw7-A9f9R21vMXxHZFNpYNeKFtG8_yji4HS352LGlSQ/edit?pli=1#gid=0"",""1_ACUM!A4:S""),17,FALSE))"),"")</f>
        <v/>
      </c>
      <c r="BE205" s="44" t="str">
        <f ca="1">IFERROR(__xludf.DUMMYFUNCTION("IFERROR(VLOOKUP(E471&amp;F471,IMPORTRANGE(""https://docs.google.com/spreadsheets/d/1Uw7-A9f9R21vMXxHZFNpYNeKFtG8_yji4HS352LGlSQ/edit?pli=1#gid=0"",""1_ACUM!A4:S""),18,FALSE))"),"")</f>
        <v/>
      </c>
      <c r="BF205" s="44" t="str">
        <f ca="1">IFERROR(__xludf.DUMMYFUNCTION("IFERROR(VLOOKUP(E471&amp;F471,IMPORTRANGE(""https://docs.google.com/spreadsheets/d/1Uw7-A9f9R21vMXxHZFNpYNeKFtG8_yji4HS352LGlSQ/edit?pli=1#gid=0"",""1_ACUM!A4:S""),19,FALSE))"),"")</f>
        <v/>
      </c>
      <c r="BG205" s="98" t="str">
        <f ca="1">IFERROR(__xludf.DUMMYFUNCTION("IFERROR(VLOOKUP(F471,IMPORTRANGE(""https://docs.google.com/spreadsheets/d/1Kvs4KS76FHFqLFIZfrDMff4kP08nblUkihrxltoGBjg/edit#gid=934712705"",""ESENCIAL!A6:BG""),5,FALSE))"),"")</f>
        <v/>
      </c>
      <c r="BH205" s="98" t="str">
        <f t="shared" si="17"/>
        <v/>
      </c>
      <c r="BI205" s="99" t="str">
        <f t="shared" si="18"/>
        <v/>
      </c>
      <c r="BJ205" s="100" t="str">
        <f ca="1">IFERROR(__xludf.DUMMYFUNCTION("IFERROR(VLOOKUP(F471,IMPORTRANGE(""https://docs.google.com/spreadsheets/d/1Kvs4KS76FHFqLFIZfrDMff4kP08nblUkihrxltoGBjg/edit#gid=934712705"",""ESENCIAL!A6:BG""),2,FALSE))"),"")</f>
        <v/>
      </c>
      <c r="BK205" s="19" t="str">
        <f t="shared" si="19"/>
        <v/>
      </c>
      <c r="BL205" s="100"/>
      <c r="BM205" s="100"/>
    </row>
    <row r="206" spans="2:65" ht="15">
      <c r="B206" s="39"/>
      <c r="C206" s="5"/>
      <c r="D206" s="123"/>
      <c r="E206" s="39"/>
      <c r="F206" s="39"/>
      <c r="G206" s="39"/>
      <c r="H206" s="5" t="str">
        <f ca="1">IFERROR(__xludf.DUMMYFUNCTION("IFERROR(VLOOKUP(F472,IMPORTRANGE(""https://docs.google.com/spreadsheets/d/1Kvs4KS76FHFqLFIZfrDMff4kP08nblUkihrxltoGBjg/edit#gid=934712705"",""ESENCIAL!A6:BG""),3,FALSE))"),"")</f>
        <v/>
      </c>
      <c r="I206" s="5" t="str">
        <f ca="1">IFERROR(__xludf.DUMMYFUNCTION("IFERROR(VLOOKUP(F472,IMPORTRANGE(""https://docs.google.com/spreadsheets/d/1Kvs4KS76FHFqLFIZfrDMff4kP08nblUkihrxltoGBjg/edit#gid=934712705"",""ESENCIAL!A6:BG""),8,FALSE))"),"")</f>
        <v/>
      </c>
      <c r="J206" s="39"/>
      <c r="M206" s="287"/>
      <c r="AV206" s="41" t="str">
        <f t="shared" si="16"/>
        <v/>
      </c>
      <c r="AW206" s="5" t="str">
        <f ca="1">IFERROR(__xludf.DUMMYFUNCTION("IFERROR(VLOOKUP(E472&amp;F472,IMPORTRANGE(""https://docs.google.com/spreadsheets/d/1Uw7-A9f9R21vMXxHZFNpYNeKFtG8_yji4HS352LGlSQ/edit?pli=1#gid=0"",""1_ACUM!A4:S""),11,FALSE))"),"")</f>
        <v/>
      </c>
      <c r="AX206" s="42" t="str">
        <f ca="1">IFERROR(__xludf.DUMMYFUNCTION("IFERROR(VLOOKUP(F472,IMPORTRANGE(""https://docs.google.com/spreadsheets/d/1Kvs4KS76FHFqLFIZfrDMff4kP08nblUkihrxltoGBjg/edit#gid=934712705"",""ESENCIAL!A6:BG""),15,FALSE))"),"")</f>
        <v/>
      </c>
      <c r="AY206" s="110" t="str">
        <f ca="1">IFERROR(__xludf.DUMMYFUNCTION("IFERROR(VLOOKUP(E472&amp;F472,IMPORTRANGE(""https://docs.google.com/spreadsheets/d/1Uw7-A9f9R21vMXxHZFNpYNeKFtG8_yji4HS352LGlSQ/edit?pli=1#gid=0"",""1_ACUM!A4:S""),13,FALSE))"),"")</f>
        <v/>
      </c>
      <c r="AZ206" s="43" t="str">
        <f ca="1">IFERROR(__xludf.DUMMYFUNCTION("IFERROR(VLOOKUP(E472&amp;F472,IMPORTRANGE(""https://docs.google.com/spreadsheets/d/1Uw7-A9f9R21vMXxHZFNpYNeKFtG8_yji4HS352LGlSQ/edit?pli=1#gid=0"",""1_ACUM!A4:S""),13,FALSE))"),"")</f>
        <v/>
      </c>
      <c r="BA206" s="43" t="str">
        <f ca="1">IFERROR(__xludf.DUMMYFUNCTION("IFERROR(VLOOKUP(E472&amp;F472,IMPORTRANGE(""https://docs.google.com/spreadsheets/d/1Uw7-A9f9R21vMXxHZFNpYNeKFtG8_yji4HS352LGlSQ/edit?pli=1#gid=0"",""1_ACUM!A4:S""),14,FALSE))"),"")</f>
        <v/>
      </c>
      <c r="BB206" s="43" t="str">
        <f ca="1">IFERROR(__xludf.DUMMYFUNCTION("IFERROR(VLOOKUP(E472&amp;F472,IMPORTRANGE(""https://docs.google.com/spreadsheets/d/1Uw7-A9f9R21vMXxHZFNpYNeKFtG8_yji4HS352LGlSQ/edit?pli=1#gid=0"",""1_ACUM!A4:S""),15,FALSE))"),"")</f>
        <v/>
      </c>
      <c r="BC206" s="43" t="str">
        <f ca="1">IFERROR(__xludf.DUMMYFUNCTION("IFERROR(VLOOKUP(E472&amp;F472,IMPORTRANGE(""https://docs.google.com/spreadsheets/d/1Uw7-A9f9R21vMXxHZFNpYNeKFtG8_yji4HS352LGlSQ/edit?pli=1#gid=0"",""1_ACUM!A4:S""),16,FALSE))"),"")</f>
        <v/>
      </c>
      <c r="BD206" s="43" t="str">
        <f ca="1">IFERROR(__xludf.DUMMYFUNCTION("IFERROR(VLOOKUP(E472&amp;F472,IMPORTRANGE(""https://docs.google.com/spreadsheets/d/1Uw7-A9f9R21vMXxHZFNpYNeKFtG8_yji4HS352LGlSQ/edit?pli=1#gid=0"",""1_ACUM!A4:S""),17,FALSE))"),"")</f>
        <v/>
      </c>
      <c r="BE206" s="44" t="str">
        <f ca="1">IFERROR(__xludf.DUMMYFUNCTION("IFERROR(VLOOKUP(E472&amp;F472,IMPORTRANGE(""https://docs.google.com/spreadsheets/d/1Uw7-A9f9R21vMXxHZFNpYNeKFtG8_yji4HS352LGlSQ/edit?pli=1#gid=0"",""1_ACUM!A4:S""),18,FALSE))"),"")</f>
        <v/>
      </c>
      <c r="BF206" s="44" t="str">
        <f ca="1">IFERROR(__xludf.DUMMYFUNCTION("IFERROR(VLOOKUP(E472&amp;F472,IMPORTRANGE(""https://docs.google.com/spreadsheets/d/1Uw7-A9f9R21vMXxHZFNpYNeKFtG8_yji4HS352LGlSQ/edit?pli=1#gid=0"",""1_ACUM!A4:S""),19,FALSE))"),"")</f>
        <v/>
      </c>
      <c r="BG206" s="98" t="str">
        <f ca="1">IFERROR(__xludf.DUMMYFUNCTION("IFERROR(VLOOKUP(F472,IMPORTRANGE(""https://docs.google.com/spreadsheets/d/1Kvs4KS76FHFqLFIZfrDMff4kP08nblUkihrxltoGBjg/edit#gid=934712705"",""ESENCIAL!A6:BG""),5,FALSE))"),"")</f>
        <v/>
      </c>
      <c r="BH206" s="98" t="str">
        <f t="shared" si="17"/>
        <v/>
      </c>
      <c r="BI206" s="99" t="str">
        <f t="shared" si="18"/>
        <v/>
      </c>
      <c r="BJ206" s="100" t="str">
        <f ca="1">IFERROR(__xludf.DUMMYFUNCTION("IFERROR(VLOOKUP(F472,IMPORTRANGE(""https://docs.google.com/spreadsheets/d/1Kvs4KS76FHFqLFIZfrDMff4kP08nblUkihrxltoGBjg/edit#gid=934712705"",""ESENCIAL!A6:BG""),2,FALSE))"),"")</f>
        <v/>
      </c>
      <c r="BK206" s="19" t="str">
        <f t="shared" si="19"/>
        <v/>
      </c>
      <c r="BL206" s="100"/>
      <c r="BM206" s="100"/>
    </row>
    <row r="207" spans="2:65" ht="15">
      <c r="B207" s="39"/>
      <c r="C207" s="5"/>
      <c r="D207" s="123"/>
      <c r="E207" s="39"/>
      <c r="F207" s="39"/>
      <c r="G207" s="39"/>
      <c r="H207" s="5" t="str">
        <f ca="1">IFERROR(__xludf.DUMMYFUNCTION("IFERROR(VLOOKUP(F473,IMPORTRANGE(""https://docs.google.com/spreadsheets/d/1Kvs4KS76FHFqLFIZfrDMff4kP08nblUkihrxltoGBjg/edit#gid=934712705"",""ESENCIAL!A6:BG""),3,FALSE))"),"")</f>
        <v/>
      </c>
      <c r="I207" s="5" t="str">
        <f ca="1">IFERROR(__xludf.DUMMYFUNCTION("IFERROR(VLOOKUP(F473,IMPORTRANGE(""https://docs.google.com/spreadsheets/d/1Kvs4KS76FHFqLFIZfrDMff4kP08nblUkihrxltoGBjg/edit#gid=934712705"",""ESENCIAL!A6:BG""),8,FALSE))"),"")</f>
        <v/>
      </c>
      <c r="J207" s="39"/>
      <c r="M207" s="287"/>
      <c r="AV207" s="41" t="str">
        <f t="shared" si="16"/>
        <v/>
      </c>
      <c r="AW207" s="5" t="str">
        <f ca="1">IFERROR(__xludf.DUMMYFUNCTION("IFERROR(VLOOKUP(E473&amp;F473,IMPORTRANGE(""https://docs.google.com/spreadsheets/d/1Uw7-A9f9R21vMXxHZFNpYNeKFtG8_yji4HS352LGlSQ/edit?pli=1#gid=0"",""1_ACUM!A4:S""),11,FALSE))"),"")</f>
        <v/>
      </c>
      <c r="AX207" s="42" t="str">
        <f ca="1">IFERROR(__xludf.DUMMYFUNCTION("IFERROR(VLOOKUP(F473,IMPORTRANGE(""https://docs.google.com/spreadsheets/d/1Kvs4KS76FHFqLFIZfrDMff4kP08nblUkihrxltoGBjg/edit#gid=934712705"",""ESENCIAL!A6:BG""),15,FALSE))"),"")</f>
        <v/>
      </c>
      <c r="AY207" s="110" t="str">
        <f ca="1">IFERROR(__xludf.DUMMYFUNCTION("IFERROR(VLOOKUP(E473&amp;F473,IMPORTRANGE(""https://docs.google.com/spreadsheets/d/1Uw7-A9f9R21vMXxHZFNpYNeKFtG8_yji4HS352LGlSQ/edit?pli=1#gid=0"",""1_ACUM!A4:S""),13,FALSE))"),"")</f>
        <v/>
      </c>
      <c r="AZ207" s="43" t="str">
        <f ca="1">IFERROR(__xludf.DUMMYFUNCTION("IFERROR(VLOOKUP(E473&amp;F473,IMPORTRANGE(""https://docs.google.com/spreadsheets/d/1Uw7-A9f9R21vMXxHZFNpYNeKFtG8_yji4HS352LGlSQ/edit?pli=1#gid=0"",""1_ACUM!A4:S""),13,FALSE))"),"")</f>
        <v/>
      </c>
      <c r="BA207" s="43" t="str">
        <f ca="1">IFERROR(__xludf.DUMMYFUNCTION("IFERROR(VLOOKUP(E473&amp;F473,IMPORTRANGE(""https://docs.google.com/spreadsheets/d/1Uw7-A9f9R21vMXxHZFNpYNeKFtG8_yji4HS352LGlSQ/edit?pli=1#gid=0"",""1_ACUM!A4:S""),14,FALSE))"),"")</f>
        <v/>
      </c>
      <c r="BB207" s="43" t="str">
        <f ca="1">IFERROR(__xludf.DUMMYFUNCTION("IFERROR(VLOOKUP(E473&amp;F473,IMPORTRANGE(""https://docs.google.com/spreadsheets/d/1Uw7-A9f9R21vMXxHZFNpYNeKFtG8_yji4HS352LGlSQ/edit?pli=1#gid=0"",""1_ACUM!A4:S""),15,FALSE))"),"")</f>
        <v/>
      </c>
      <c r="BC207" s="43" t="str">
        <f ca="1">IFERROR(__xludf.DUMMYFUNCTION("IFERROR(VLOOKUP(E473&amp;F473,IMPORTRANGE(""https://docs.google.com/spreadsheets/d/1Uw7-A9f9R21vMXxHZFNpYNeKFtG8_yji4HS352LGlSQ/edit?pli=1#gid=0"",""1_ACUM!A4:S""),16,FALSE))"),"")</f>
        <v/>
      </c>
      <c r="BD207" s="43" t="str">
        <f ca="1">IFERROR(__xludf.DUMMYFUNCTION("IFERROR(VLOOKUP(E473&amp;F473,IMPORTRANGE(""https://docs.google.com/spreadsheets/d/1Uw7-A9f9R21vMXxHZFNpYNeKFtG8_yji4HS352LGlSQ/edit?pli=1#gid=0"",""1_ACUM!A4:S""),17,FALSE))"),"")</f>
        <v/>
      </c>
      <c r="BE207" s="44" t="str">
        <f ca="1">IFERROR(__xludf.DUMMYFUNCTION("IFERROR(VLOOKUP(E473&amp;F473,IMPORTRANGE(""https://docs.google.com/spreadsheets/d/1Uw7-A9f9R21vMXxHZFNpYNeKFtG8_yji4HS352LGlSQ/edit?pli=1#gid=0"",""1_ACUM!A4:S""),18,FALSE))"),"")</f>
        <v/>
      </c>
      <c r="BF207" s="44" t="str">
        <f ca="1">IFERROR(__xludf.DUMMYFUNCTION("IFERROR(VLOOKUP(E473&amp;F473,IMPORTRANGE(""https://docs.google.com/spreadsheets/d/1Uw7-A9f9R21vMXxHZFNpYNeKFtG8_yji4HS352LGlSQ/edit?pli=1#gid=0"",""1_ACUM!A4:S""),19,FALSE))"),"")</f>
        <v/>
      </c>
      <c r="BG207" s="98" t="str">
        <f ca="1">IFERROR(__xludf.DUMMYFUNCTION("IFERROR(VLOOKUP(F473,IMPORTRANGE(""https://docs.google.com/spreadsheets/d/1Kvs4KS76FHFqLFIZfrDMff4kP08nblUkihrxltoGBjg/edit#gid=934712705"",""ESENCIAL!A6:BG""),5,FALSE))"),"")</f>
        <v/>
      </c>
      <c r="BH207" s="98" t="str">
        <f t="shared" si="17"/>
        <v/>
      </c>
      <c r="BI207" s="99" t="str">
        <f t="shared" si="18"/>
        <v/>
      </c>
      <c r="BJ207" s="100" t="str">
        <f ca="1">IFERROR(__xludf.DUMMYFUNCTION("IFERROR(VLOOKUP(F473,IMPORTRANGE(""https://docs.google.com/spreadsheets/d/1Kvs4KS76FHFqLFIZfrDMff4kP08nblUkihrxltoGBjg/edit#gid=934712705"",""ESENCIAL!A6:BG""),2,FALSE))"),"")</f>
        <v/>
      </c>
      <c r="BK207" s="19" t="str">
        <f t="shared" si="19"/>
        <v/>
      </c>
      <c r="BL207" s="100"/>
      <c r="BM207" s="100"/>
    </row>
    <row r="208" spans="2:65" ht="15">
      <c r="B208" s="39"/>
      <c r="C208" s="5"/>
      <c r="D208" s="123"/>
      <c r="E208" s="39"/>
      <c r="F208" s="39"/>
      <c r="G208" s="39"/>
      <c r="H208" s="5" t="str">
        <f ca="1">IFERROR(__xludf.DUMMYFUNCTION("IFERROR(VLOOKUP(F474,IMPORTRANGE(""https://docs.google.com/spreadsheets/d/1Kvs4KS76FHFqLFIZfrDMff4kP08nblUkihrxltoGBjg/edit#gid=934712705"",""ESENCIAL!A6:BG""),3,FALSE))"),"")</f>
        <v/>
      </c>
      <c r="I208" s="5" t="str">
        <f ca="1">IFERROR(__xludf.DUMMYFUNCTION("IFERROR(VLOOKUP(F474,IMPORTRANGE(""https://docs.google.com/spreadsheets/d/1Kvs4KS76FHFqLFIZfrDMff4kP08nblUkihrxltoGBjg/edit#gid=934712705"",""ESENCIAL!A6:BG""),8,FALSE))"),"")</f>
        <v/>
      </c>
      <c r="J208" s="39"/>
      <c r="M208" s="287"/>
      <c r="AV208" s="41" t="str">
        <f t="shared" si="16"/>
        <v/>
      </c>
      <c r="AW208" s="5" t="str">
        <f ca="1">IFERROR(__xludf.DUMMYFUNCTION("IFERROR(VLOOKUP(E474&amp;F474,IMPORTRANGE(""https://docs.google.com/spreadsheets/d/1Uw7-A9f9R21vMXxHZFNpYNeKFtG8_yji4HS352LGlSQ/edit?pli=1#gid=0"",""1_ACUM!A4:S""),11,FALSE))"),"")</f>
        <v/>
      </c>
      <c r="AX208" s="42" t="str">
        <f ca="1">IFERROR(__xludf.DUMMYFUNCTION("IFERROR(VLOOKUP(F474,IMPORTRANGE(""https://docs.google.com/spreadsheets/d/1Kvs4KS76FHFqLFIZfrDMff4kP08nblUkihrxltoGBjg/edit#gid=934712705"",""ESENCIAL!A6:BG""),15,FALSE))"),"")</f>
        <v/>
      </c>
      <c r="AY208" s="110" t="str">
        <f ca="1">IFERROR(__xludf.DUMMYFUNCTION("IFERROR(VLOOKUP(E474&amp;F474,IMPORTRANGE(""https://docs.google.com/spreadsheets/d/1Uw7-A9f9R21vMXxHZFNpYNeKFtG8_yji4HS352LGlSQ/edit?pli=1#gid=0"",""1_ACUM!A4:S""),13,FALSE))"),"")</f>
        <v/>
      </c>
      <c r="AZ208" s="43" t="str">
        <f ca="1">IFERROR(__xludf.DUMMYFUNCTION("IFERROR(VLOOKUP(E474&amp;F474,IMPORTRANGE(""https://docs.google.com/spreadsheets/d/1Uw7-A9f9R21vMXxHZFNpYNeKFtG8_yji4HS352LGlSQ/edit?pli=1#gid=0"",""1_ACUM!A4:S""),13,FALSE))"),"")</f>
        <v/>
      </c>
      <c r="BA208" s="43" t="str">
        <f ca="1">IFERROR(__xludf.DUMMYFUNCTION("IFERROR(VLOOKUP(E474&amp;F474,IMPORTRANGE(""https://docs.google.com/spreadsheets/d/1Uw7-A9f9R21vMXxHZFNpYNeKFtG8_yji4HS352LGlSQ/edit?pli=1#gid=0"",""1_ACUM!A4:S""),14,FALSE))"),"")</f>
        <v/>
      </c>
      <c r="BB208" s="43" t="str">
        <f ca="1">IFERROR(__xludf.DUMMYFUNCTION("IFERROR(VLOOKUP(E474&amp;F474,IMPORTRANGE(""https://docs.google.com/spreadsheets/d/1Uw7-A9f9R21vMXxHZFNpYNeKFtG8_yji4HS352LGlSQ/edit?pli=1#gid=0"",""1_ACUM!A4:S""),15,FALSE))"),"")</f>
        <v/>
      </c>
      <c r="BC208" s="43" t="str">
        <f ca="1">IFERROR(__xludf.DUMMYFUNCTION("IFERROR(VLOOKUP(E474&amp;F474,IMPORTRANGE(""https://docs.google.com/spreadsheets/d/1Uw7-A9f9R21vMXxHZFNpYNeKFtG8_yji4HS352LGlSQ/edit?pli=1#gid=0"",""1_ACUM!A4:S""),16,FALSE))"),"")</f>
        <v/>
      </c>
      <c r="BD208" s="43" t="str">
        <f ca="1">IFERROR(__xludf.DUMMYFUNCTION("IFERROR(VLOOKUP(E474&amp;F474,IMPORTRANGE(""https://docs.google.com/spreadsheets/d/1Uw7-A9f9R21vMXxHZFNpYNeKFtG8_yji4HS352LGlSQ/edit?pli=1#gid=0"",""1_ACUM!A4:S""),17,FALSE))"),"")</f>
        <v/>
      </c>
      <c r="BE208" s="44" t="str">
        <f ca="1">IFERROR(__xludf.DUMMYFUNCTION("IFERROR(VLOOKUP(E474&amp;F474,IMPORTRANGE(""https://docs.google.com/spreadsheets/d/1Uw7-A9f9R21vMXxHZFNpYNeKFtG8_yji4HS352LGlSQ/edit?pli=1#gid=0"",""1_ACUM!A4:S""),18,FALSE))"),"")</f>
        <v/>
      </c>
      <c r="BF208" s="44" t="str">
        <f ca="1">IFERROR(__xludf.DUMMYFUNCTION("IFERROR(VLOOKUP(E474&amp;F474,IMPORTRANGE(""https://docs.google.com/spreadsheets/d/1Uw7-A9f9R21vMXxHZFNpYNeKFtG8_yji4HS352LGlSQ/edit?pli=1#gid=0"",""1_ACUM!A4:S""),19,FALSE))"),"")</f>
        <v/>
      </c>
      <c r="BG208" s="98" t="str">
        <f ca="1">IFERROR(__xludf.DUMMYFUNCTION("IFERROR(VLOOKUP(F474,IMPORTRANGE(""https://docs.google.com/spreadsheets/d/1Kvs4KS76FHFqLFIZfrDMff4kP08nblUkihrxltoGBjg/edit#gid=934712705"",""ESENCIAL!A6:BG""),5,FALSE))"),"")</f>
        <v/>
      </c>
      <c r="BH208" s="98" t="str">
        <f t="shared" si="17"/>
        <v/>
      </c>
      <c r="BI208" s="99" t="str">
        <f t="shared" si="18"/>
        <v/>
      </c>
      <c r="BJ208" s="100" t="str">
        <f ca="1">IFERROR(__xludf.DUMMYFUNCTION("IFERROR(VLOOKUP(F474,IMPORTRANGE(""https://docs.google.com/spreadsheets/d/1Kvs4KS76FHFqLFIZfrDMff4kP08nblUkihrxltoGBjg/edit#gid=934712705"",""ESENCIAL!A6:BG""),2,FALSE))"),"")</f>
        <v/>
      </c>
      <c r="BK208" s="19" t="str">
        <f t="shared" si="19"/>
        <v/>
      </c>
      <c r="BL208" s="100"/>
      <c r="BM208" s="100"/>
    </row>
    <row r="209" spans="2:65" ht="15">
      <c r="B209" s="39"/>
      <c r="C209" s="5"/>
      <c r="D209" s="123"/>
      <c r="E209" s="39"/>
      <c r="F209" s="39"/>
      <c r="G209" s="39"/>
      <c r="H209" s="5" t="str">
        <f ca="1">IFERROR(__xludf.DUMMYFUNCTION("IFERROR(VLOOKUP(F475,IMPORTRANGE(""https://docs.google.com/spreadsheets/d/1Kvs4KS76FHFqLFIZfrDMff4kP08nblUkihrxltoGBjg/edit#gid=934712705"",""ESENCIAL!A6:BG""),3,FALSE))"),"")</f>
        <v/>
      </c>
      <c r="I209" s="5" t="str">
        <f ca="1">IFERROR(__xludf.DUMMYFUNCTION("IFERROR(VLOOKUP(F475,IMPORTRANGE(""https://docs.google.com/spreadsheets/d/1Kvs4KS76FHFqLFIZfrDMff4kP08nblUkihrxltoGBjg/edit#gid=934712705"",""ESENCIAL!A6:BG""),8,FALSE))"),"")</f>
        <v/>
      </c>
      <c r="J209" s="39"/>
      <c r="M209" s="287"/>
      <c r="AV209" s="41" t="str">
        <f t="shared" si="16"/>
        <v/>
      </c>
      <c r="AW209" s="5" t="str">
        <f ca="1">IFERROR(__xludf.DUMMYFUNCTION("IFERROR(VLOOKUP(E475&amp;F475,IMPORTRANGE(""https://docs.google.com/spreadsheets/d/1Uw7-A9f9R21vMXxHZFNpYNeKFtG8_yji4HS352LGlSQ/edit?pli=1#gid=0"",""1_ACUM!A4:S""),11,FALSE))"),"")</f>
        <v/>
      </c>
      <c r="AX209" s="42" t="str">
        <f ca="1">IFERROR(__xludf.DUMMYFUNCTION("IFERROR(VLOOKUP(F475,IMPORTRANGE(""https://docs.google.com/spreadsheets/d/1Kvs4KS76FHFqLFIZfrDMff4kP08nblUkihrxltoGBjg/edit#gid=934712705"",""ESENCIAL!A6:BG""),15,FALSE))"),"")</f>
        <v/>
      </c>
      <c r="AY209" s="110" t="str">
        <f ca="1">IFERROR(__xludf.DUMMYFUNCTION("IFERROR(VLOOKUP(E475&amp;F475,IMPORTRANGE(""https://docs.google.com/spreadsheets/d/1Uw7-A9f9R21vMXxHZFNpYNeKFtG8_yji4HS352LGlSQ/edit?pli=1#gid=0"",""1_ACUM!A4:S""),13,FALSE))"),"")</f>
        <v/>
      </c>
      <c r="AZ209" s="43" t="str">
        <f ca="1">IFERROR(__xludf.DUMMYFUNCTION("IFERROR(VLOOKUP(E475&amp;F475,IMPORTRANGE(""https://docs.google.com/spreadsheets/d/1Uw7-A9f9R21vMXxHZFNpYNeKFtG8_yji4HS352LGlSQ/edit?pli=1#gid=0"",""1_ACUM!A4:S""),13,FALSE))"),"")</f>
        <v/>
      </c>
      <c r="BA209" s="43" t="str">
        <f ca="1">IFERROR(__xludf.DUMMYFUNCTION("IFERROR(VLOOKUP(E475&amp;F475,IMPORTRANGE(""https://docs.google.com/spreadsheets/d/1Uw7-A9f9R21vMXxHZFNpYNeKFtG8_yji4HS352LGlSQ/edit?pli=1#gid=0"",""1_ACUM!A4:S""),14,FALSE))"),"")</f>
        <v/>
      </c>
      <c r="BB209" s="43" t="str">
        <f ca="1">IFERROR(__xludf.DUMMYFUNCTION("IFERROR(VLOOKUP(E475&amp;F475,IMPORTRANGE(""https://docs.google.com/spreadsheets/d/1Uw7-A9f9R21vMXxHZFNpYNeKFtG8_yji4HS352LGlSQ/edit?pli=1#gid=0"",""1_ACUM!A4:S""),15,FALSE))"),"")</f>
        <v/>
      </c>
      <c r="BC209" s="43" t="str">
        <f ca="1">IFERROR(__xludf.DUMMYFUNCTION("IFERROR(VLOOKUP(E475&amp;F475,IMPORTRANGE(""https://docs.google.com/spreadsheets/d/1Uw7-A9f9R21vMXxHZFNpYNeKFtG8_yji4HS352LGlSQ/edit?pli=1#gid=0"",""1_ACUM!A4:S""),16,FALSE))"),"")</f>
        <v/>
      </c>
      <c r="BD209" s="43" t="str">
        <f ca="1">IFERROR(__xludf.DUMMYFUNCTION("IFERROR(VLOOKUP(E475&amp;F475,IMPORTRANGE(""https://docs.google.com/spreadsheets/d/1Uw7-A9f9R21vMXxHZFNpYNeKFtG8_yji4HS352LGlSQ/edit?pli=1#gid=0"",""1_ACUM!A4:S""),17,FALSE))"),"")</f>
        <v/>
      </c>
      <c r="BE209" s="44" t="str">
        <f ca="1">IFERROR(__xludf.DUMMYFUNCTION("IFERROR(VLOOKUP(E475&amp;F475,IMPORTRANGE(""https://docs.google.com/spreadsheets/d/1Uw7-A9f9R21vMXxHZFNpYNeKFtG8_yji4HS352LGlSQ/edit?pli=1#gid=0"",""1_ACUM!A4:S""),18,FALSE))"),"")</f>
        <v/>
      </c>
      <c r="BF209" s="44" t="str">
        <f ca="1">IFERROR(__xludf.DUMMYFUNCTION("IFERROR(VLOOKUP(E475&amp;F475,IMPORTRANGE(""https://docs.google.com/spreadsheets/d/1Uw7-A9f9R21vMXxHZFNpYNeKFtG8_yji4HS352LGlSQ/edit?pli=1#gid=0"",""1_ACUM!A4:S""),19,FALSE))"),"")</f>
        <v/>
      </c>
      <c r="BG209" s="98" t="str">
        <f ca="1">IFERROR(__xludf.DUMMYFUNCTION("IFERROR(VLOOKUP(F475,IMPORTRANGE(""https://docs.google.com/spreadsheets/d/1Kvs4KS76FHFqLFIZfrDMff4kP08nblUkihrxltoGBjg/edit#gid=934712705"",""ESENCIAL!A6:BG""),5,FALSE))"),"")</f>
        <v/>
      </c>
      <c r="BH209" s="98" t="str">
        <f t="shared" si="17"/>
        <v/>
      </c>
      <c r="BI209" s="99" t="str">
        <f t="shared" si="18"/>
        <v/>
      </c>
      <c r="BJ209" s="100" t="str">
        <f ca="1">IFERROR(__xludf.DUMMYFUNCTION("IFERROR(VLOOKUP(F475,IMPORTRANGE(""https://docs.google.com/spreadsheets/d/1Kvs4KS76FHFqLFIZfrDMff4kP08nblUkihrxltoGBjg/edit#gid=934712705"",""ESENCIAL!A6:BG""),2,FALSE))"),"")</f>
        <v/>
      </c>
      <c r="BK209" s="19" t="str">
        <f t="shared" si="19"/>
        <v/>
      </c>
      <c r="BL209" s="100"/>
      <c r="BM209" s="100"/>
    </row>
    <row r="210" spans="2:65" ht="15">
      <c r="B210" s="39"/>
      <c r="C210" s="5"/>
      <c r="D210" s="123"/>
      <c r="E210" s="39"/>
      <c r="F210" s="39"/>
      <c r="G210" s="39"/>
      <c r="H210" s="5" t="str">
        <f ca="1">IFERROR(__xludf.DUMMYFUNCTION("IFERROR(VLOOKUP(F476,IMPORTRANGE(""https://docs.google.com/spreadsheets/d/1Kvs4KS76FHFqLFIZfrDMff4kP08nblUkihrxltoGBjg/edit#gid=934712705"",""ESENCIAL!A6:BG""),3,FALSE))"),"")</f>
        <v/>
      </c>
      <c r="I210" s="5" t="str">
        <f ca="1">IFERROR(__xludf.DUMMYFUNCTION("IFERROR(VLOOKUP(F476,IMPORTRANGE(""https://docs.google.com/spreadsheets/d/1Kvs4KS76FHFqLFIZfrDMff4kP08nblUkihrxltoGBjg/edit#gid=934712705"",""ESENCIAL!A6:BG""),8,FALSE))"),"")</f>
        <v/>
      </c>
      <c r="J210" s="39"/>
      <c r="M210" s="287"/>
      <c r="AV210" s="41" t="str">
        <f t="shared" si="16"/>
        <v/>
      </c>
      <c r="AW210" s="5" t="str">
        <f ca="1">IFERROR(__xludf.DUMMYFUNCTION("IFERROR(VLOOKUP(E476&amp;F476,IMPORTRANGE(""https://docs.google.com/spreadsheets/d/1Uw7-A9f9R21vMXxHZFNpYNeKFtG8_yji4HS352LGlSQ/edit?pli=1#gid=0"",""1_ACUM!A4:S""),11,FALSE))"),"")</f>
        <v/>
      </c>
      <c r="AX210" s="42" t="str">
        <f ca="1">IFERROR(__xludf.DUMMYFUNCTION("IFERROR(VLOOKUP(F476,IMPORTRANGE(""https://docs.google.com/spreadsheets/d/1Kvs4KS76FHFqLFIZfrDMff4kP08nblUkihrxltoGBjg/edit#gid=934712705"",""ESENCIAL!A6:BG""),15,FALSE))"),"")</f>
        <v/>
      </c>
      <c r="AY210" s="110" t="str">
        <f ca="1">IFERROR(__xludf.DUMMYFUNCTION("IFERROR(VLOOKUP(E476&amp;F476,IMPORTRANGE(""https://docs.google.com/spreadsheets/d/1Uw7-A9f9R21vMXxHZFNpYNeKFtG8_yji4HS352LGlSQ/edit?pli=1#gid=0"",""1_ACUM!A4:S""),13,FALSE))"),"")</f>
        <v/>
      </c>
      <c r="AZ210" s="43" t="str">
        <f ca="1">IFERROR(__xludf.DUMMYFUNCTION("IFERROR(VLOOKUP(E476&amp;F476,IMPORTRANGE(""https://docs.google.com/spreadsheets/d/1Uw7-A9f9R21vMXxHZFNpYNeKFtG8_yji4HS352LGlSQ/edit?pli=1#gid=0"",""1_ACUM!A4:S""),13,FALSE))"),"")</f>
        <v/>
      </c>
      <c r="BA210" s="43" t="str">
        <f ca="1">IFERROR(__xludf.DUMMYFUNCTION("IFERROR(VLOOKUP(E476&amp;F476,IMPORTRANGE(""https://docs.google.com/spreadsheets/d/1Uw7-A9f9R21vMXxHZFNpYNeKFtG8_yji4HS352LGlSQ/edit?pli=1#gid=0"",""1_ACUM!A4:S""),14,FALSE))"),"")</f>
        <v/>
      </c>
      <c r="BB210" s="43" t="str">
        <f ca="1">IFERROR(__xludf.DUMMYFUNCTION("IFERROR(VLOOKUP(E476&amp;F476,IMPORTRANGE(""https://docs.google.com/spreadsheets/d/1Uw7-A9f9R21vMXxHZFNpYNeKFtG8_yji4HS352LGlSQ/edit?pli=1#gid=0"",""1_ACUM!A4:S""),15,FALSE))"),"")</f>
        <v/>
      </c>
      <c r="BC210" s="43" t="str">
        <f ca="1">IFERROR(__xludf.DUMMYFUNCTION("IFERROR(VLOOKUP(E476&amp;F476,IMPORTRANGE(""https://docs.google.com/spreadsheets/d/1Uw7-A9f9R21vMXxHZFNpYNeKFtG8_yji4HS352LGlSQ/edit?pli=1#gid=0"",""1_ACUM!A4:S""),16,FALSE))"),"")</f>
        <v/>
      </c>
      <c r="BD210" s="43" t="str">
        <f ca="1">IFERROR(__xludf.DUMMYFUNCTION("IFERROR(VLOOKUP(E476&amp;F476,IMPORTRANGE(""https://docs.google.com/spreadsheets/d/1Uw7-A9f9R21vMXxHZFNpYNeKFtG8_yji4HS352LGlSQ/edit?pli=1#gid=0"",""1_ACUM!A4:S""),17,FALSE))"),"")</f>
        <v/>
      </c>
      <c r="BE210" s="44" t="str">
        <f ca="1">IFERROR(__xludf.DUMMYFUNCTION("IFERROR(VLOOKUP(E476&amp;F476,IMPORTRANGE(""https://docs.google.com/spreadsheets/d/1Uw7-A9f9R21vMXxHZFNpYNeKFtG8_yji4HS352LGlSQ/edit?pli=1#gid=0"",""1_ACUM!A4:S""),18,FALSE))"),"")</f>
        <v/>
      </c>
      <c r="BF210" s="44" t="str">
        <f ca="1">IFERROR(__xludf.DUMMYFUNCTION("IFERROR(VLOOKUP(E476&amp;F476,IMPORTRANGE(""https://docs.google.com/spreadsheets/d/1Uw7-A9f9R21vMXxHZFNpYNeKFtG8_yji4HS352LGlSQ/edit?pli=1#gid=0"",""1_ACUM!A4:S""),19,FALSE))"),"")</f>
        <v/>
      </c>
      <c r="BG210" s="98" t="str">
        <f ca="1">IFERROR(__xludf.DUMMYFUNCTION("IFERROR(VLOOKUP(F476,IMPORTRANGE(""https://docs.google.com/spreadsheets/d/1Kvs4KS76FHFqLFIZfrDMff4kP08nblUkihrxltoGBjg/edit#gid=934712705"",""ESENCIAL!A6:BG""),5,FALSE))"),"")</f>
        <v/>
      </c>
      <c r="BH210" s="98" t="str">
        <f t="shared" si="17"/>
        <v/>
      </c>
      <c r="BI210" s="99" t="str">
        <f t="shared" si="18"/>
        <v/>
      </c>
      <c r="BJ210" s="100" t="str">
        <f ca="1">IFERROR(__xludf.DUMMYFUNCTION("IFERROR(VLOOKUP(F476,IMPORTRANGE(""https://docs.google.com/spreadsheets/d/1Kvs4KS76FHFqLFIZfrDMff4kP08nblUkihrxltoGBjg/edit#gid=934712705"",""ESENCIAL!A6:BG""),2,FALSE))"),"")</f>
        <v/>
      </c>
      <c r="BK210" s="19" t="str">
        <f t="shared" si="19"/>
        <v/>
      </c>
      <c r="BL210" s="100"/>
      <c r="BM210" s="100"/>
    </row>
    <row r="211" spans="2:65" ht="15">
      <c r="B211" s="39"/>
      <c r="C211" s="5"/>
      <c r="D211" s="123"/>
      <c r="E211" s="39"/>
      <c r="F211" s="39"/>
      <c r="G211" s="39"/>
      <c r="H211" s="5" t="str">
        <f ca="1">IFERROR(__xludf.DUMMYFUNCTION("IFERROR(VLOOKUP(F477,IMPORTRANGE(""https://docs.google.com/spreadsheets/d/1Kvs4KS76FHFqLFIZfrDMff4kP08nblUkihrxltoGBjg/edit#gid=934712705"",""ESENCIAL!A6:BG""),3,FALSE))"),"")</f>
        <v/>
      </c>
      <c r="I211" s="5" t="str">
        <f ca="1">IFERROR(__xludf.DUMMYFUNCTION("IFERROR(VLOOKUP(F477,IMPORTRANGE(""https://docs.google.com/spreadsheets/d/1Kvs4KS76FHFqLFIZfrDMff4kP08nblUkihrxltoGBjg/edit#gid=934712705"",""ESENCIAL!A6:BG""),8,FALSE))"),"")</f>
        <v/>
      </c>
      <c r="J211" s="39"/>
      <c r="M211" s="287"/>
      <c r="AV211" s="41" t="str">
        <f t="shared" si="16"/>
        <v/>
      </c>
      <c r="AW211" s="5" t="str">
        <f ca="1">IFERROR(__xludf.DUMMYFUNCTION("IFERROR(VLOOKUP(E477&amp;F477,IMPORTRANGE(""https://docs.google.com/spreadsheets/d/1Uw7-A9f9R21vMXxHZFNpYNeKFtG8_yji4HS352LGlSQ/edit?pli=1#gid=0"",""1_ACUM!A4:S""),11,FALSE))"),"")</f>
        <v/>
      </c>
      <c r="AX211" s="42" t="str">
        <f ca="1">IFERROR(__xludf.DUMMYFUNCTION("IFERROR(VLOOKUP(F477,IMPORTRANGE(""https://docs.google.com/spreadsheets/d/1Kvs4KS76FHFqLFIZfrDMff4kP08nblUkihrxltoGBjg/edit#gid=934712705"",""ESENCIAL!A6:BG""),15,FALSE))"),"")</f>
        <v/>
      </c>
      <c r="AY211" s="110" t="str">
        <f ca="1">IFERROR(__xludf.DUMMYFUNCTION("IFERROR(VLOOKUP(E477&amp;F477,IMPORTRANGE(""https://docs.google.com/spreadsheets/d/1Uw7-A9f9R21vMXxHZFNpYNeKFtG8_yji4HS352LGlSQ/edit?pli=1#gid=0"",""1_ACUM!A4:S""),13,FALSE))"),"")</f>
        <v/>
      </c>
      <c r="AZ211" s="43" t="str">
        <f ca="1">IFERROR(__xludf.DUMMYFUNCTION("IFERROR(VLOOKUP(E477&amp;F477,IMPORTRANGE(""https://docs.google.com/spreadsheets/d/1Uw7-A9f9R21vMXxHZFNpYNeKFtG8_yji4HS352LGlSQ/edit?pli=1#gid=0"",""1_ACUM!A4:S""),13,FALSE))"),"")</f>
        <v/>
      </c>
      <c r="BA211" s="43" t="str">
        <f ca="1">IFERROR(__xludf.DUMMYFUNCTION("IFERROR(VLOOKUP(E477&amp;F477,IMPORTRANGE(""https://docs.google.com/spreadsheets/d/1Uw7-A9f9R21vMXxHZFNpYNeKFtG8_yji4HS352LGlSQ/edit?pli=1#gid=0"",""1_ACUM!A4:S""),14,FALSE))"),"")</f>
        <v/>
      </c>
      <c r="BB211" s="43" t="str">
        <f ca="1">IFERROR(__xludf.DUMMYFUNCTION("IFERROR(VLOOKUP(E477&amp;F477,IMPORTRANGE(""https://docs.google.com/spreadsheets/d/1Uw7-A9f9R21vMXxHZFNpYNeKFtG8_yji4HS352LGlSQ/edit?pli=1#gid=0"",""1_ACUM!A4:S""),15,FALSE))"),"")</f>
        <v/>
      </c>
      <c r="BC211" s="43" t="str">
        <f ca="1">IFERROR(__xludf.DUMMYFUNCTION("IFERROR(VLOOKUP(E477&amp;F477,IMPORTRANGE(""https://docs.google.com/spreadsheets/d/1Uw7-A9f9R21vMXxHZFNpYNeKFtG8_yji4HS352LGlSQ/edit?pli=1#gid=0"",""1_ACUM!A4:S""),16,FALSE))"),"")</f>
        <v/>
      </c>
      <c r="BD211" s="43" t="str">
        <f ca="1">IFERROR(__xludf.DUMMYFUNCTION("IFERROR(VLOOKUP(E477&amp;F477,IMPORTRANGE(""https://docs.google.com/spreadsheets/d/1Uw7-A9f9R21vMXxHZFNpYNeKFtG8_yji4HS352LGlSQ/edit?pli=1#gid=0"",""1_ACUM!A4:S""),17,FALSE))"),"")</f>
        <v/>
      </c>
      <c r="BE211" s="44" t="str">
        <f ca="1">IFERROR(__xludf.DUMMYFUNCTION("IFERROR(VLOOKUP(E477&amp;F477,IMPORTRANGE(""https://docs.google.com/spreadsheets/d/1Uw7-A9f9R21vMXxHZFNpYNeKFtG8_yji4HS352LGlSQ/edit?pli=1#gid=0"",""1_ACUM!A4:S""),18,FALSE))"),"")</f>
        <v/>
      </c>
      <c r="BF211" s="44" t="str">
        <f ca="1">IFERROR(__xludf.DUMMYFUNCTION("IFERROR(VLOOKUP(E477&amp;F477,IMPORTRANGE(""https://docs.google.com/spreadsheets/d/1Uw7-A9f9R21vMXxHZFNpYNeKFtG8_yji4HS352LGlSQ/edit?pli=1#gid=0"",""1_ACUM!A4:S""),19,FALSE))"),"")</f>
        <v/>
      </c>
      <c r="BG211" s="98" t="str">
        <f ca="1">IFERROR(__xludf.DUMMYFUNCTION("IFERROR(VLOOKUP(F477,IMPORTRANGE(""https://docs.google.com/spreadsheets/d/1Kvs4KS76FHFqLFIZfrDMff4kP08nblUkihrxltoGBjg/edit#gid=934712705"",""ESENCIAL!A6:BG""),5,FALSE))"),"")</f>
        <v/>
      </c>
      <c r="BH211" s="98" t="str">
        <f t="shared" si="17"/>
        <v/>
      </c>
      <c r="BI211" s="99" t="str">
        <f t="shared" si="18"/>
        <v/>
      </c>
      <c r="BJ211" s="100" t="str">
        <f ca="1">IFERROR(__xludf.DUMMYFUNCTION("IFERROR(VLOOKUP(F477,IMPORTRANGE(""https://docs.google.com/spreadsheets/d/1Kvs4KS76FHFqLFIZfrDMff4kP08nblUkihrxltoGBjg/edit#gid=934712705"",""ESENCIAL!A6:BG""),2,FALSE))"),"")</f>
        <v/>
      </c>
      <c r="BK211" s="19" t="str">
        <f t="shared" si="19"/>
        <v/>
      </c>
      <c r="BL211" s="100"/>
      <c r="BM211" s="100"/>
    </row>
    <row r="212" spans="2:65" ht="15">
      <c r="B212" s="39"/>
      <c r="C212" s="5"/>
      <c r="D212" s="123"/>
      <c r="E212" s="39"/>
      <c r="F212" s="39"/>
      <c r="G212" s="39"/>
      <c r="H212" s="5" t="str">
        <f ca="1">IFERROR(__xludf.DUMMYFUNCTION("IFERROR(VLOOKUP(F478,IMPORTRANGE(""https://docs.google.com/spreadsheets/d/1Kvs4KS76FHFqLFIZfrDMff4kP08nblUkihrxltoGBjg/edit#gid=934712705"",""ESENCIAL!A6:BG""),3,FALSE))"),"")</f>
        <v/>
      </c>
      <c r="I212" s="5" t="str">
        <f ca="1">IFERROR(__xludf.DUMMYFUNCTION("IFERROR(VLOOKUP(F478,IMPORTRANGE(""https://docs.google.com/spreadsheets/d/1Kvs4KS76FHFqLFIZfrDMff4kP08nblUkihrxltoGBjg/edit#gid=934712705"",""ESENCIAL!A6:BG""),8,FALSE))"),"")</f>
        <v/>
      </c>
      <c r="J212" s="39"/>
      <c r="M212" s="287"/>
      <c r="AV212" s="41" t="str">
        <f t="shared" si="16"/>
        <v/>
      </c>
      <c r="AW212" s="5" t="str">
        <f ca="1">IFERROR(__xludf.DUMMYFUNCTION("IFERROR(VLOOKUP(E478&amp;F478,IMPORTRANGE(""https://docs.google.com/spreadsheets/d/1Uw7-A9f9R21vMXxHZFNpYNeKFtG8_yji4HS352LGlSQ/edit?pli=1#gid=0"",""1_ACUM!A4:S""),11,FALSE))"),"")</f>
        <v/>
      </c>
      <c r="AX212" s="42" t="str">
        <f ca="1">IFERROR(__xludf.DUMMYFUNCTION("IFERROR(VLOOKUP(F478,IMPORTRANGE(""https://docs.google.com/spreadsheets/d/1Kvs4KS76FHFqLFIZfrDMff4kP08nblUkihrxltoGBjg/edit#gid=934712705"",""ESENCIAL!A6:BG""),15,FALSE))"),"")</f>
        <v/>
      </c>
      <c r="AY212" s="110" t="str">
        <f ca="1">IFERROR(__xludf.DUMMYFUNCTION("IFERROR(VLOOKUP(E478&amp;F478,IMPORTRANGE(""https://docs.google.com/spreadsheets/d/1Uw7-A9f9R21vMXxHZFNpYNeKFtG8_yji4HS352LGlSQ/edit?pli=1#gid=0"",""1_ACUM!A4:S""),13,FALSE))"),"")</f>
        <v/>
      </c>
      <c r="AZ212" s="43" t="str">
        <f ca="1">IFERROR(__xludf.DUMMYFUNCTION("IFERROR(VLOOKUP(E478&amp;F478,IMPORTRANGE(""https://docs.google.com/spreadsheets/d/1Uw7-A9f9R21vMXxHZFNpYNeKFtG8_yji4HS352LGlSQ/edit?pli=1#gid=0"",""1_ACUM!A4:S""),13,FALSE))"),"")</f>
        <v/>
      </c>
      <c r="BA212" s="43" t="str">
        <f ca="1">IFERROR(__xludf.DUMMYFUNCTION("IFERROR(VLOOKUP(E478&amp;F478,IMPORTRANGE(""https://docs.google.com/spreadsheets/d/1Uw7-A9f9R21vMXxHZFNpYNeKFtG8_yji4HS352LGlSQ/edit?pli=1#gid=0"",""1_ACUM!A4:S""),14,FALSE))"),"")</f>
        <v/>
      </c>
      <c r="BB212" s="43" t="str">
        <f ca="1">IFERROR(__xludf.DUMMYFUNCTION("IFERROR(VLOOKUP(E478&amp;F478,IMPORTRANGE(""https://docs.google.com/spreadsheets/d/1Uw7-A9f9R21vMXxHZFNpYNeKFtG8_yji4HS352LGlSQ/edit?pli=1#gid=0"",""1_ACUM!A4:S""),15,FALSE))"),"")</f>
        <v/>
      </c>
      <c r="BC212" s="43" t="str">
        <f ca="1">IFERROR(__xludf.DUMMYFUNCTION("IFERROR(VLOOKUP(E478&amp;F478,IMPORTRANGE(""https://docs.google.com/spreadsheets/d/1Uw7-A9f9R21vMXxHZFNpYNeKFtG8_yji4HS352LGlSQ/edit?pli=1#gid=0"",""1_ACUM!A4:S""),16,FALSE))"),"")</f>
        <v/>
      </c>
      <c r="BD212" s="43" t="str">
        <f ca="1">IFERROR(__xludf.DUMMYFUNCTION("IFERROR(VLOOKUP(E478&amp;F478,IMPORTRANGE(""https://docs.google.com/spreadsheets/d/1Uw7-A9f9R21vMXxHZFNpYNeKFtG8_yji4HS352LGlSQ/edit?pli=1#gid=0"",""1_ACUM!A4:S""),17,FALSE))"),"")</f>
        <v/>
      </c>
      <c r="BE212" s="44" t="str">
        <f ca="1">IFERROR(__xludf.DUMMYFUNCTION("IFERROR(VLOOKUP(E478&amp;F478,IMPORTRANGE(""https://docs.google.com/spreadsheets/d/1Uw7-A9f9R21vMXxHZFNpYNeKFtG8_yji4HS352LGlSQ/edit?pli=1#gid=0"",""1_ACUM!A4:S""),18,FALSE))"),"")</f>
        <v/>
      </c>
      <c r="BF212" s="44" t="str">
        <f ca="1">IFERROR(__xludf.DUMMYFUNCTION("IFERROR(VLOOKUP(E478&amp;F478,IMPORTRANGE(""https://docs.google.com/spreadsheets/d/1Uw7-A9f9R21vMXxHZFNpYNeKFtG8_yji4HS352LGlSQ/edit?pli=1#gid=0"",""1_ACUM!A4:S""),19,FALSE))"),"")</f>
        <v/>
      </c>
      <c r="BG212" s="98" t="str">
        <f ca="1">IFERROR(__xludf.DUMMYFUNCTION("IFERROR(VLOOKUP(F478,IMPORTRANGE(""https://docs.google.com/spreadsheets/d/1Kvs4KS76FHFqLFIZfrDMff4kP08nblUkihrxltoGBjg/edit#gid=934712705"",""ESENCIAL!A6:BG""),5,FALSE))"),"")</f>
        <v/>
      </c>
      <c r="BH212" s="98" t="str">
        <f t="shared" si="17"/>
        <v/>
      </c>
      <c r="BI212" s="99" t="str">
        <f t="shared" si="18"/>
        <v/>
      </c>
      <c r="BJ212" s="100" t="str">
        <f ca="1">IFERROR(__xludf.DUMMYFUNCTION("IFERROR(VLOOKUP(F478,IMPORTRANGE(""https://docs.google.com/spreadsheets/d/1Kvs4KS76FHFqLFIZfrDMff4kP08nblUkihrxltoGBjg/edit#gid=934712705"",""ESENCIAL!A6:BG""),2,FALSE))"),"")</f>
        <v/>
      </c>
      <c r="BK212" s="19" t="str">
        <f t="shared" si="19"/>
        <v/>
      </c>
      <c r="BL212" s="100"/>
      <c r="BM212" s="100"/>
    </row>
    <row r="213" spans="2:65" ht="15">
      <c r="B213" s="39"/>
      <c r="C213" s="5"/>
      <c r="D213" s="123"/>
      <c r="E213" s="39"/>
      <c r="F213" s="39"/>
      <c r="G213" s="39"/>
      <c r="H213" s="5" t="str">
        <f ca="1">IFERROR(__xludf.DUMMYFUNCTION("IFERROR(VLOOKUP(F479,IMPORTRANGE(""https://docs.google.com/spreadsheets/d/1Kvs4KS76FHFqLFIZfrDMff4kP08nblUkihrxltoGBjg/edit#gid=934712705"",""ESENCIAL!A6:BG""),3,FALSE))"),"")</f>
        <v/>
      </c>
      <c r="I213" s="5" t="str">
        <f ca="1">IFERROR(__xludf.DUMMYFUNCTION("IFERROR(VLOOKUP(F479,IMPORTRANGE(""https://docs.google.com/spreadsheets/d/1Kvs4KS76FHFqLFIZfrDMff4kP08nblUkihrxltoGBjg/edit#gid=934712705"",""ESENCIAL!A6:BG""),8,FALSE))"),"")</f>
        <v/>
      </c>
      <c r="J213" s="39"/>
      <c r="M213" s="287"/>
      <c r="AV213" s="41" t="str">
        <f t="shared" si="16"/>
        <v/>
      </c>
      <c r="AW213" s="5" t="str">
        <f ca="1">IFERROR(__xludf.DUMMYFUNCTION("IFERROR(VLOOKUP(E479&amp;F479,IMPORTRANGE(""https://docs.google.com/spreadsheets/d/1Uw7-A9f9R21vMXxHZFNpYNeKFtG8_yji4HS352LGlSQ/edit?pli=1#gid=0"",""1_ACUM!A4:S""),11,FALSE))"),"")</f>
        <v/>
      </c>
      <c r="AX213" s="42" t="str">
        <f ca="1">IFERROR(__xludf.DUMMYFUNCTION("IFERROR(VLOOKUP(F479,IMPORTRANGE(""https://docs.google.com/spreadsheets/d/1Kvs4KS76FHFqLFIZfrDMff4kP08nblUkihrxltoGBjg/edit#gid=934712705"",""ESENCIAL!A6:BG""),15,FALSE))"),"")</f>
        <v/>
      </c>
      <c r="AY213" s="110" t="str">
        <f ca="1">IFERROR(__xludf.DUMMYFUNCTION("IFERROR(VLOOKUP(E479&amp;F479,IMPORTRANGE(""https://docs.google.com/spreadsheets/d/1Uw7-A9f9R21vMXxHZFNpYNeKFtG8_yji4HS352LGlSQ/edit?pli=1#gid=0"",""1_ACUM!A4:S""),13,FALSE))"),"")</f>
        <v/>
      </c>
      <c r="AZ213" s="43" t="str">
        <f ca="1">IFERROR(__xludf.DUMMYFUNCTION("IFERROR(VLOOKUP(E479&amp;F479,IMPORTRANGE(""https://docs.google.com/spreadsheets/d/1Uw7-A9f9R21vMXxHZFNpYNeKFtG8_yji4HS352LGlSQ/edit?pli=1#gid=0"",""1_ACUM!A4:S""),13,FALSE))"),"")</f>
        <v/>
      </c>
      <c r="BA213" s="43" t="str">
        <f ca="1">IFERROR(__xludf.DUMMYFUNCTION("IFERROR(VLOOKUP(E479&amp;F479,IMPORTRANGE(""https://docs.google.com/spreadsheets/d/1Uw7-A9f9R21vMXxHZFNpYNeKFtG8_yji4HS352LGlSQ/edit?pli=1#gid=0"",""1_ACUM!A4:S""),14,FALSE))"),"")</f>
        <v/>
      </c>
      <c r="BB213" s="43" t="str">
        <f ca="1">IFERROR(__xludf.DUMMYFUNCTION("IFERROR(VLOOKUP(E479&amp;F479,IMPORTRANGE(""https://docs.google.com/spreadsheets/d/1Uw7-A9f9R21vMXxHZFNpYNeKFtG8_yji4HS352LGlSQ/edit?pli=1#gid=0"",""1_ACUM!A4:S""),15,FALSE))"),"")</f>
        <v/>
      </c>
      <c r="BC213" s="43" t="str">
        <f ca="1">IFERROR(__xludf.DUMMYFUNCTION("IFERROR(VLOOKUP(E479&amp;F479,IMPORTRANGE(""https://docs.google.com/spreadsheets/d/1Uw7-A9f9R21vMXxHZFNpYNeKFtG8_yji4HS352LGlSQ/edit?pli=1#gid=0"",""1_ACUM!A4:S""),16,FALSE))"),"")</f>
        <v/>
      </c>
      <c r="BD213" s="43" t="str">
        <f ca="1">IFERROR(__xludf.DUMMYFUNCTION("IFERROR(VLOOKUP(E479&amp;F479,IMPORTRANGE(""https://docs.google.com/spreadsheets/d/1Uw7-A9f9R21vMXxHZFNpYNeKFtG8_yji4HS352LGlSQ/edit?pli=1#gid=0"",""1_ACUM!A4:S""),17,FALSE))"),"")</f>
        <v/>
      </c>
      <c r="BE213" s="44" t="str">
        <f ca="1">IFERROR(__xludf.DUMMYFUNCTION("IFERROR(VLOOKUP(E479&amp;F479,IMPORTRANGE(""https://docs.google.com/spreadsheets/d/1Uw7-A9f9R21vMXxHZFNpYNeKFtG8_yji4HS352LGlSQ/edit?pli=1#gid=0"",""1_ACUM!A4:S""),18,FALSE))"),"")</f>
        <v/>
      </c>
      <c r="BF213" s="44" t="str">
        <f ca="1">IFERROR(__xludf.DUMMYFUNCTION("IFERROR(VLOOKUP(E479&amp;F479,IMPORTRANGE(""https://docs.google.com/spreadsheets/d/1Uw7-A9f9R21vMXxHZFNpYNeKFtG8_yji4HS352LGlSQ/edit?pli=1#gid=0"",""1_ACUM!A4:S""),19,FALSE))"),"")</f>
        <v/>
      </c>
      <c r="BG213" s="98" t="str">
        <f ca="1">IFERROR(__xludf.DUMMYFUNCTION("IFERROR(VLOOKUP(F479,IMPORTRANGE(""https://docs.google.com/spreadsheets/d/1Kvs4KS76FHFqLFIZfrDMff4kP08nblUkihrxltoGBjg/edit#gid=934712705"",""ESENCIAL!A6:BG""),5,FALSE))"),"")</f>
        <v/>
      </c>
      <c r="BH213" s="98" t="str">
        <f t="shared" si="17"/>
        <v/>
      </c>
      <c r="BI213" s="99" t="str">
        <f t="shared" si="18"/>
        <v/>
      </c>
      <c r="BJ213" s="100" t="str">
        <f ca="1">IFERROR(__xludf.DUMMYFUNCTION("IFERROR(VLOOKUP(F479,IMPORTRANGE(""https://docs.google.com/spreadsheets/d/1Kvs4KS76FHFqLFIZfrDMff4kP08nblUkihrxltoGBjg/edit#gid=934712705"",""ESENCIAL!A6:BG""),2,FALSE))"),"")</f>
        <v/>
      </c>
      <c r="BK213" s="19" t="str">
        <f t="shared" si="19"/>
        <v/>
      </c>
      <c r="BL213" s="100"/>
      <c r="BM213" s="100"/>
    </row>
    <row r="214" spans="2:65" ht="15">
      <c r="B214" s="39"/>
      <c r="C214" s="5"/>
      <c r="D214" s="123"/>
      <c r="E214" s="39"/>
      <c r="F214" s="39"/>
      <c r="G214" s="39"/>
      <c r="H214" s="5" t="str">
        <f ca="1">IFERROR(__xludf.DUMMYFUNCTION("IFERROR(VLOOKUP(F480,IMPORTRANGE(""https://docs.google.com/spreadsheets/d/1Kvs4KS76FHFqLFIZfrDMff4kP08nblUkihrxltoGBjg/edit#gid=934712705"",""ESENCIAL!A6:BG""),3,FALSE))"),"")</f>
        <v/>
      </c>
      <c r="I214" s="5" t="str">
        <f ca="1">IFERROR(__xludf.DUMMYFUNCTION("IFERROR(VLOOKUP(F480,IMPORTRANGE(""https://docs.google.com/spreadsheets/d/1Kvs4KS76FHFqLFIZfrDMff4kP08nblUkihrxltoGBjg/edit#gid=934712705"",""ESENCIAL!A6:BG""),8,FALSE))"),"")</f>
        <v/>
      </c>
      <c r="J214" s="39"/>
      <c r="M214" s="287"/>
      <c r="AV214" s="41" t="str">
        <f t="shared" si="16"/>
        <v/>
      </c>
      <c r="AW214" s="5" t="str">
        <f ca="1">IFERROR(__xludf.DUMMYFUNCTION("IFERROR(VLOOKUP(E480&amp;F480,IMPORTRANGE(""https://docs.google.com/spreadsheets/d/1Uw7-A9f9R21vMXxHZFNpYNeKFtG8_yji4HS352LGlSQ/edit?pli=1#gid=0"",""1_ACUM!A4:S""),11,FALSE))"),"")</f>
        <v/>
      </c>
      <c r="AX214" s="42" t="str">
        <f ca="1">IFERROR(__xludf.DUMMYFUNCTION("IFERROR(VLOOKUP(F480,IMPORTRANGE(""https://docs.google.com/spreadsheets/d/1Kvs4KS76FHFqLFIZfrDMff4kP08nblUkihrxltoGBjg/edit#gid=934712705"",""ESENCIAL!A6:BG""),15,FALSE))"),"")</f>
        <v/>
      </c>
      <c r="AY214" s="110" t="str">
        <f ca="1">IFERROR(__xludf.DUMMYFUNCTION("IFERROR(VLOOKUP(E480&amp;F480,IMPORTRANGE(""https://docs.google.com/spreadsheets/d/1Uw7-A9f9R21vMXxHZFNpYNeKFtG8_yji4HS352LGlSQ/edit?pli=1#gid=0"",""1_ACUM!A4:S""),13,FALSE))"),"")</f>
        <v/>
      </c>
      <c r="AZ214" s="43" t="str">
        <f ca="1">IFERROR(__xludf.DUMMYFUNCTION("IFERROR(VLOOKUP(E480&amp;F480,IMPORTRANGE(""https://docs.google.com/spreadsheets/d/1Uw7-A9f9R21vMXxHZFNpYNeKFtG8_yji4HS352LGlSQ/edit?pli=1#gid=0"",""1_ACUM!A4:S""),13,FALSE))"),"")</f>
        <v/>
      </c>
      <c r="BA214" s="43" t="str">
        <f ca="1">IFERROR(__xludf.DUMMYFUNCTION("IFERROR(VLOOKUP(E480&amp;F480,IMPORTRANGE(""https://docs.google.com/spreadsheets/d/1Uw7-A9f9R21vMXxHZFNpYNeKFtG8_yji4HS352LGlSQ/edit?pli=1#gid=0"",""1_ACUM!A4:S""),14,FALSE))"),"")</f>
        <v/>
      </c>
      <c r="BB214" s="43" t="str">
        <f ca="1">IFERROR(__xludf.DUMMYFUNCTION("IFERROR(VLOOKUP(E480&amp;F480,IMPORTRANGE(""https://docs.google.com/spreadsheets/d/1Uw7-A9f9R21vMXxHZFNpYNeKFtG8_yji4HS352LGlSQ/edit?pli=1#gid=0"",""1_ACUM!A4:S""),15,FALSE))"),"")</f>
        <v/>
      </c>
      <c r="BC214" s="43" t="str">
        <f ca="1">IFERROR(__xludf.DUMMYFUNCTION("IFERROR(VLOOKUP(E480&amp;F480,IMPORTRANGE(""https://docs.google.com/spreadsheets/d/1Uw7-A9f9R21vMXxHZFNpYNeKFtG8_yji4HS352LGlSQ/edit?pli=1#gid=0"",""1_ACUM!A4:S""),16,FALSE))"),"")</f>
        <v/>
      </c>
      <c r="BD214" s="43" t="str">
        <f ca="1">IFERROR(__xludf.DUMMYFUNCTION("IFERROR(VLOOKUP(E480&amp;F480,IMPORTRANGE(""https://docs.google.com/spreadsheets/d/1Uw7-A9f9R21vMXxHZFNpYNeKFtG8_yji4HS352LGlSQ/edit?pli=1#gid=0"",""1_ACUM!A4:S""),17,FALSE))"),"")</f>
        <v/>
      </c>
      <c r="BE214" s="44" t="str">
        <f ca="1">IFERROR(__xludf.DUMMYFUNCTION("IFERROR(VLOOKUP(E480&amp;F480,IMPORTRANGE(""https://docs.google.com/spreadsheets/d/1Uw7-A9f9R21vMXxHZFNpYNeKFtG8_yji4HS352LGlSQ/edit?pli=1#gid=0"",""1_ACUM!A4:S""),18,FALSE))"),"")</f>
        <v/>
      </c>
      <c r="BF214" s="44" t="str">
        <f ca="1">IFERROR(__xludf.DUMMYFUNCTION("IFERROR(VLOOKUP(E480&amp;F480,IMPORTRANGE(""https://docs.google.com/spreadsheets/d/1Uw7-A9f9R21vMXxHZFNpYNeKFtG8_yji4HS352LGlSQ/edit?pli=1#gid=0"",""1_ACUM!A4:S""),19,FALSE))"),"")</f>
        <v/>
      </c>
      <c r="BG214" s="98" t="str">
        <f ca="1">IFERROR(__xludf.DUMMYFUNCTION("IFERROR(VLOOKUP(F480,IMPORTRANGE(""https://docs.google.com/spreadsheets/d/1Kvs4KS76FHFqLFIZfrDMff4kP08nblUkihrxltoGBjg/edit#gid=934712705"",""ESENCIAL!A6:BG""),5,FALSE))"),"")</f>
        <v/>
      </c>
      <c r="BH214" s="98" t="str">
        <f t="shared" si="17"/>
        <v/>
      </c>
      <c r="BI214" s="99" t="str">
        <f t="shared" si="18"/>
        <v/>
      </c>
      <c r="BJ214" s="100" t="str">
        <f ca="1">IFERROR(__xludf.DUMMYFUNCTION("IFERROR(VLOOKUP(F480,IMPORTRANGE(""https://docs.google.com/spreadsheets/d/1Kvs4KS76FHFqLFIZfrDMff4kP08nblUkihrxltoGBjg/edit#gid=934712705"",""ESENCIAL!A6:BG""),2,FALSE))"),"")</f>
        <v/>
      </c>
      <c r="BK214" s="19" t="str">
        <f t="shared" si="19"/>
        <v/>
      </c>
      <c r="BL214" s="100"/>
      <c r="BM214" s="100"/>
    </row>
    <row r="215" spans="2:65" ht="15">
      <c r="B215" s="39"/>
      <c r="C215" s="5"/>
      <c r="D215" s="123"/>
      <c r="E215" s="39"/>
      <c r="F215" s="39"/>
      <c r="G215" s="39"/>
      <c r="H215" s="5" t="str">
        <f ca="1">IFERROR(__xludf.DUMMYFUNCTION("IFERROR(VLOOKUP(F481,IMPORTRANGE(""https://docs.google.com/spreadsheets/d/1Kvs4KS76FHFqLFIZfrDMff4kP08nblUkihrxltoGBjg/edit#gid=934712705"",""ESENCIAL!A6:BG""),3,FALSE))"),"")</f>
        <v/>
      </c>
      <c r="I215" s="5" t="str">
        <f ca="1">IFERROR(__xludf.DUMMYFUNCTION("IFERROR(VLOOKUP(F481,IMPORTRANGE(""https://docs.google.com/spreadsheets/d/1Kvs4KS76FHFqLFIZfrDMff4kP08nblUkihrxltoGBjg/edit#gid=934712705"",""ESENCIAL!A6:BG""),8,FALSE))"),"")</f>
        <v/>
      </c>
      <c r="J215" s="39"/>
      <c r="M215" s="287"/>
      <c r="AV215" s="41" t="str">
        <f t="shared" si="16"/>
        <v/>
      </c>
      <c r="AW215" s="5" t="str">
        <f ca="1">IFERROR(__xludf.DUMMYFUNCTION("IFERROR(VLOOKUP(E481&amp;F481,IMPORTRANGE(""https://docs.google.com/spreadsheets/d/1Uw7-A9f9R21vMXxHZFNpYNeKFtG8_yji4HS352LGlSQ/edit?pli=1#gid=0"",""1_ACUM!A4:S""),11,FALSE))"),"")</f>
        <v/>
      </c>
      <c r="AX215" s="42" t="str">
        <f ca="1">IFERROR(__xludf.DUMMYFUNCTION("IFERROR(VLOOKUP(F481,IMPORTRANGE(""https://docs.google.com/spreadsheets/d/1Kvs4KS76FHFqLFIZfrDMff4kP08nblUkihrxltoGBjg/edit#gid=934712705"",""ESENCIAL!A6:BG""),15,FALSE))"),"")</f>
        <v/>
      </c>
      <c r="AY215" s="110" t="str">
        <f ca="1">IFERROR(__xludf.DUMMYFUNCTION("IFERROR(VLOOKUP(E481&amp;F481,IMPORTRANGE(""https://docs.google.com/spreadsheets/d/1Uw7-A9f9R21vMXxHZFNpYNeKFtG8_yji4HS352LGlSQ/edit?pli=1#gid=0"",""1_ACUM!A4:S""),13,FALSE))"),"")</f>
        <v/>
      </c>
      <c r="AZ215" s="43" t="str">
        <f ca="1">IFERROR(__xludf.DUMMYFUNCTION("IFERROR(VLOOKUP(E481&amp;F481,IMPORTRANGE(""https://docs.google.com/spreadsheets/d/1Uw7-A9f9R21vMXxHZFNpYNeKFtG8_yji4HS352LGlSQ/edit?pli=1#gid=0"",""1_ACUM!A4:S""),13,FALSE))"),"")</f>
        <v/>
      </c>
      <c r="BA215" s="43" t="str">
        <f ca="1">IFERROR(__xludf.DUMMYFUNCTION("IFERROR(VLOOKUP(E481&amp;F481,IMPORTRANGE(""https://docs.google.com/spreadsheets/d/1Uw7-A9f9R21vMXxHZFNpYNeKFtG8_yji4HS352LGlSQ/edit?pli=1#gid=0"",""1_ACUM!A4:S""),14,FALSE))"),"")</f>
        <v/>
      </c>
      <c r="BB215" s="43" t="str">
        <f ca="1">IFERROR(__xludf.DUMMYFUNCTION("IFERROR(VLOOKUP(E481&amp;F481,IMPORTRANGE(""https://docs.google.com/spreadsheets/d/1Uw7-A9f9R21vMXxHZFNpYNeKFtG8_yji4HS352LGlSQ/edit?pli=1#gid=0"",""1_ACUM!A4:S""),15,FALSE))"),"")</f>
        <v/>
      </c>
      <c r="BC215" s="43" t="str">
        <f ca="1">IFERROR(__xludf.DUMMYFUNCTION("IFERROR(VLOOKUP(E481&amp;F481,IMPORTRANGE(""https://docs.google.com/spreadsheets/d/1Uw7-A9f9R21vMXxHZFNpYNeKFtG8_yji4HS352LGlSQ/edit?pli=1#gid=0"",""1_ACUM!A4:S""),16,FALSE))"),"")</f>
        <v/>
      </c>
      <c r="BD215" s="43" t="str">
        <f ca="1">IFERROR(__xludf.DUMMYFUNCTION("IFERROR(VLOOKUP(E481&amp;F481,IMPORTRANGE(""https://docs.google.com/spreadsheets/d/1Uw7-A9f9R21vMXxHZFNpYNeKFtG8_yji4HS352LGlSQ/edit?pli=1#gid=0"",""1_ACUM!A4:S""),17,FALSE))"),"")</f>
        <v/>
      </c>
      <c r="BE215" s="44" t="str">
        <f ca="1">IFERROR(__xludf.DUMMYFUNCTION("IFERROR(VLOOKUP(E481&amp;F481,IMPORTRANGE(""https://docs.google.com/spreadsheets/d/1Uw7-A9f9R21vMXxHZFNpYNeKFtG8_yji4HS352LGlSQ/edit?pli=1#gid=0"",""1_ACUM!A4:S""),18,FALSE))"),"")</f>
        <v/>
      </c>
      <c r="BF215" s="44" t="str">
        <f ca="1">IFERROR(__xludf.DUMMYFUNCTION("IFERROR(VLOOKUP(E481&amp;F481,IMPORTRANGE(""https://docs.google.com/spreadsheets/d/1Uw7-A9f9R21vMXxHZFNpYNeKFtG8_yji4HS352LGlSQ/edit?pli=1#gid=0"",""1_ACUM!A4:S""),19,FALSE))"),"")</f>
        <v/>
      </c>
      <c r="BG215" s="98" t="str">
        <f ca="1">IFERROR(__xludf.DUMMYFUNCTION("IFERROR(VLOOKUP(F481,IMPORTRANGE(""https://docs.google.com/spreadsheets/d/1Kvs4KS76FHFqLFIZfrDMff4kP08nblUkihrxltoGBjg/edit#gid=934712705"",""ESENCIAL!A6:BG""),5,FALSE))"),"")</f>
        <v/>
      </c>
      <c r="BH215" s="98" t="str">
        <f t="shared" si="17"/>
        <v/>
      </c>
      <c r="BI215" s="99" t="str">
        <f t="shared" si="18"/>
        <v/>
      </c>
      <c r="BJ215" s="100" t="str">
        <f ca="1">IFERROR(__xludf.DUMMYFUNCTION("IFERROR(VLOOKUP(F481,IMPORTRANGE(""https://docs.google.com/spreadsheets/d/1Kvs4KS76FHFqLFIZfrDMff4kP08nblUkihrxltoGBjg/edit#gid=934712705"",""ESENCIAL!A6:BG""),2,FALSE))"),"")</f>
        <v/>
      </c>
      <c r="BK215" s="19" t="str">
        <f t="shared" si="19"/>
        <v/>
      </c>
      <c r="BL215" s="100"/>
      <c r="BM215" s="100"/>
    </row>
    <row r="216" spans="2:65" ht="15">
      <c r="B216" s="39"/>
      <c r="C216" s="5"/>
      <c r="D216" s="123"/>
      <c r="E216" s="39"/>
      <c r="F216" s="39"/>
      <c r="G216" s="39"/>
      <c r="H216" s="5" t="str">
        <f ca="1">IFERROR(__xludf.DUMMYFUNCTION("IFERROR(VLOOKUP(F482,IMPORTRANGE(""https://docs.google.com/spreadsheets/d/1Kvs4KS76FHFqLFIZfrDMff4kP08nblUkihrxltoGBjg/edit#gid=934712705"",""ESENCIAL!A6:BG""),3,FALSE))"),"")</f>
        <v/>
      </c>
      <c r="I216" s="5" t="str">
        <f ca="1">IFERROR(__xludf.DUMMYFUNCTION("IFERROR(VLOOKUP(F482,IMPORTRANGE(""https://docs.google.com/spreadsheets/d/1Kvs4KS76FHFqLFIZfrDMff4kP08nblUkihrxltoGBjg/edit#gid=934712705"",""ESENCIAL!A6:BG""),8,FALSE))"),"")</f>
        <v/>
      </c>
      <c r="J216" s="39"/>
      <c r="M216" s="287"/>
      <c r="AV216" s="41" t="str">
        <f t="shared" si="16"/>
        <v/>
      </c>
      <c r="AW216" s="5" t="str">
        <f ca="1">IFERROR(__xludf.DUMMYFUNCTION("IFERROR(VLOOKUP(E482&amp;F482,IMPORTRANGE(""https://docs.google.com/spreadsheets/d/1Uw7-A9f9R21vMXxHZFNpYNeKFtG8_yji4HS352LGlSQ/edit?pli=1#gid=0"",""1_ACUM!A4:S""),11,FALSE))"),"")</f>
        <v/>
      </c>
      <c r="AX216" s="42" t="str">
        <f ca="1">IFERROR(__xludf.DUMMYFUNCTION("IFERROR(VLOOKUP(F482,IMPORTRANGE(""https://docs.google.com/spreadsheets/d/1Kvs4KS76FHFqLFIZfrDMff4kP08nblUkihrxltoGBjg/edit#gid=934712705"",""ESENCIAL!A6:BG""),15,FALSE))"),"")</f>
        <v/>
      </c>
      <c r="AY216" s="110" t="str">
        <f ca="1">IFERROR(__xludf.DUMMYFUNCTION("IFERROR(VLOOKUP(E482&amp;F482,IMPORTRANGE(""https://docs.google.com/spreadsheets/d/1Uw7-A9f9R21vMXxHZFNpYNeKFtG8_yji4HS352LGlSQ/edit?pli=1#gid=0"",""1_ACUM!A4:S""),13,FALSE))"),"")</f>
        <v/>
      </c>
      <c r="AZ216" s="43" t="str">
        <f ca="1">IFERROR(__xludf.DUMMYFUNCTION("IFERROR(VLOOKUP(E482&amp;F482,IMPORTRANGE(""https://docs.google.com/spreadsheets/d/1Uw7-A9f9R21vMXxHZFNpYNeKFtG8_yji4HS352LGlSQ/edit?pli=1#gid=0"",""1_ACUM!A4:S""),13,FALSE))"),"")</f>
        <v/>
      </c>
      <c r="BA216" s="43" t="str">
        <f ca="1">IFERROR(__xludf.DUMMYFUNCTION("IFERROR(VLOOKUP(E482&amp;F482,IMPORTRANGE(""https://docs.google.com/spreadsheets/d/1Uw7-A9f9R21vMXxHZFNpYNeKFtG8_yji4HS352LGlSQ/edit?pli=1#gid=0"",""1_ACUM!A4:S""),14,FALSE))"),"")</f>
        <v/>
      </c>
      <c r="BB216" s="43" t="str">
        <f ca="1">IFERROR(__xludf.DUMMYFUNCTION("IFERROR(VLOOKUP(E482&amp;F482,IMPORTRANGE(""https://docs.google.com/spreadsheets/d/1Uw7-A9f9R21vMXxHZFNpYNeKFtG8_yji4HS352LGlSQ/edit?pli=1#gid=0"",""1_ACUM!A4:S""),15,FALSE))"),"")</f>
        <v/>
      </c>
      <c r="BC216" s="43" t="str">
        <f ca="1">IFERROR(__xludf.DUMMYFUNCTION("IFERROR(VLOOKUP(E482&amp;F482,IMPORTRANGE(""https://docs.google.com/spreadsheets/d/1Uw7-A9f9R21vMXxHZFNpYNeKFtG8_yji4HS352LGlSQ/edit?pli=1#gid=0"",""1_ACUM!A4:S""),16,FALSE))"),"")</f>
        <v/>
      </c>
      <c r="BD216" s="43" t="str">
        <f ca="1">IFERROR(__xludf.DUMMYFUNCTION("IFERROR(VLOOKUP(E482&amp;F482,IMPORTRANGE(""https://docs.google.com/spreadsheets/d/1Uw7-A9f9R21vMXxHZFNpYNeKFtG8_yji4HS352LGlSQ/edit?pli=1#gid=0"",""1_ACUM!A4:S""),17,FALSE))"),"")</f>
        <v/>
      </c>
      <c r="BE216" s="44" t="str">
        <f ca="1">IFERROR(__xludf.DUMMYFUNCTION("IFERROR(VLOOKUP(E482&amp;F482,IMPORTRANGE(""https://docs.google.com/spreadsheets/d/1Uw7-A9f9R21vMXxHZFNpYNeKFtG8_yji4HS352LGlSQ/edit?pli=1#gid=0"",""1_ACUM!A4:S""),18,FALSE))"),"")</f>
        <v/>
      </c>
      <c r="BF216" s="44" t="str">
        <f ca="1">IFERROR(__xludf.DUMMYFUNCTION("IFERROR(VLOOKUP(E482&amp;F482,IMPORTRANGE(""https://docs.google.com/spreadsheets/d/1Uw7-A9f9R21vMXxHZFNpYNeKFtG8_yji4HS352LGlSQ/edit?pli=1#gid=0"",""1_ACUM!A4:S""),19,FALSE))"),"")</f>
        <v/>
      </c>
      <c r="BG216" s="98" t="str">
        <f ca="1">IFERROR(__xludf.DUMMYFUNCTION("IFERROR(VLOOKUP(F482,IMPORTRANGE(""https://docs.google.com/spreadsheets/d/1Kvs4KS76FHFqLFIZfrDMff4kP08nblUkihrxltoGBjg/edit#gid=934712705"",""ESENCIAL!A6:BG""),5,FALSE))"),"")</f>
        <v/>
      </c>
      <c r="BH216" s="98" t="str">
        <f t="shared" si="17"/>
        <v/>
      </c>
      <c r="BI216" s="99" t="str">
        <f t="shared" si="18"/>
        <v/>
      </c>
      <c r="BJ216" s="100" t="str">
        <f ca="1">IFERROR(__xludf.DUMMYFUNCTION("IFERROR(VLOOKUP(F482,IMPORTRANGE(""https://docs.google.com/spreadsheets/d/1Kvs4KS76FHFqLFIZfrDMff4kP08nblUkihrxltoGBjg/edit#gid=934712705"",""ESENCIAL!A6:BG""),2,FALSE))"),"")</f>
        <v/>
      </c>
      <c r="BK216" s="19" t="str">
        <f t="shared" si="19"/>
        <v/>
      </c>
      <c r="BL216" s="100"/>
      <c r="BM216" s="100"/>
    </row>
    <row r="217" spans="2:65" ht="15">
      <c r="B217" s="39"/>
      <c r="C217" s="5"/>
      <c r="D217" s="123"/>
      <c r="E217" s="39"/>
      <c r="F217" s="39"/>
      <c r="G217" s="39"/>
      <c r="H217" s="5" t="str">
        <f ca="1">IFERROR(__xludf.DUMMYFUNCTION("IFERROR(VLOOKUP(F483,IMPORTRANGE(""https://docs.google.com/spreadsheets/d/1Kvs4KS76FHFqLFIZfrDMff4kP08nblUkihrxltoGBjg/edit#gid=934712705"",""ESENCIAL!A6:BG""),3,FALSE))"),"")</f>
        <v/>
      </c>
      <c r="I217" s="5" t="str">
        <f ca="1">IFERROR(__xludf.DUMMYFUNCTION("IFERROR(VLOOKUP(F483,IMPORTRANGE(""https://docs.google.com/spreadsheets/d/1Kvs4KS76FHFqLFIZfrDMff4kP08nblUkihrxltoGBjg/edit#gid=934712705"",""ESENCIAL!A6:BG""),8,FALSE))"),"")</f>
        <v/>
      </c>
      <c r="J217" s="39"/>
      <c r="M217" s="287"/>
      <c r="AV217" s="41" t="str">
        <f t="shared" si="16"/>
        <v/>
      </c>
      <c r="AW217" s="5" t="str">
        <f ca="1">IFERROR(__xludf.DUMMYFUNCTION("IFERROR(VLOOKUP(E483&amp;F483,IMPORTRANGE(""https://docs.google.com/spreadsheets/d/1Uw7-A9f9R21vMXxHZFNpYNeKFtG8_yji4HS352LGlSQ/edit?pli=1#gid=0"",""1_ACUM!A4:S""),11,FALSE))"),"")</f>
        <v/>
      </c>
      <c r="AX217" s="42" t="str">
        <f ca="1">IFERROR(__xludf.DUMMYFUNCTION("IFERROR(VLOOKUP(F483,IMPORTRANGE(""https://docs.google.com/spreadsheets/d/1Kvs4KS76FHFqLFIZfrDMff4kP08nblUkihrxltoGBjg/edit#gid=934712705"",""ESENCIAL!A6:BG""),15,FALSE))"),"")</f>
        <v/>
      </c>
      <c r="AY217" s="110" t="str">
        <f ca="1">IFERROR(__xludf.DUMMYFUNCTION("IFERROR(VLOOKUP(E483&amp;F483,IMPORTRANGE(""https://docs.google.com/spreadsheets/d/1Uw7-A9f9R21vMXxHZFNpYNeKFtG8_yji4HS352LGlSQ/edit?pli=1#gid=0"",""1_ACUM!A4:S""),13,FALSE))"),"")</f>
        <v/>
      </c>
      <c r="AZ217" s="43" t="str">
        <f ca="1">IFERROR(__xludf.DUMMYFUNCTION("IFERROR(VLOOKUP(E483&amp;F483,IMPORTRANGE(""https://docs.google.com/spreadsheets/d/1Uw7-A9f9R21vMXxHZFNpYNeKFtG8_yji4HS352LGlSQ/edit?pli=1#gid=0"",""1_ACUM!A4:S""),13,FALSE))"),"")</f>
        <v/>
      </c>
      <c r="BA217" s="43" t="str">
        <f ca="1">IFERROR(__xludf.DUMMYFUNCTION("IFERROR(VLOOKUP(E483&amp;F483,IMPORTRANGE(""https://docs.google.com/spreadsheets/d/1Uw7-A9f9R21vMXxHZFNpYNeKFtG8_yji4HS352LGlSQ/edit?pli=1#gid=0"",""1_ACUM!A4:S""),14,FALSE))"),"")</f>
        <v/>
      </c>
      <c r="BB217" s="43" t="str">
        <f ca="1">IFERROR(__xludf.DUMMYFUNCTION("IFERROR(VLOOKUP(E483&amp;F483,IMPORTRANGE(""https://docs.google.com/spreadsheets/d/1Uw7-A9f9R21vMXxHZFNpYNeKFtG8_yji4HS352LGlSQ/edit?pli=1#gid=0"",""1_ACUM!A4:S""),15,FALSE))"),"")</f>
        <v/>
      </c>
      <c r="BC217" s="43" t="str">
        <f ca="1">IFERROR(__xludf.DUMMYFUNCTION("IFERROR(VLOOKUP(E483&amp;F483,IMPORTRANGE(""https://docs.google.com/spreadsheets/d/1Uw7-A9f9R21vMXxHZFNpYNeKFtG8_yji4HS352LGlSQ/edit?pli=1#gid=0"",""1_ACUM!A4:S""),16,FALSE))"),"")</f>
        <v/>
      </c>
      <c r="BD217" s="43" t="str">
        <f ca="1">IFERROR(__xludf.DUMMYFUNCTION("IFERROR(VLOOKUP(E483&amp;F483,IMPORTRANGE(""https://docs.google.com/spreadsheets/d/1Uw7-A9f9R21vMXxHZFNpYNeKFtG8_yji4HS352LGlSQ/edit?pli=1#gid=0"",""1_ACUM!A4:S""),17,FALSE))"),"")</f>
        <v/>
      </c>
      <c r="BE217" s="44" t="str">
        <f ca="1">IFERROR(__xludf.DUMMYFUNCTION("IFERROR(VLOOKUP(E483&amp;F483,IMPORTRANGE(""https://docs.google.com/spreadsheets/d/1Uw7-A9f9R21vMXxHZFNpYNeKFtG8_yji4HS352LGlSQ/edit?pli=1#gid=0"",""1_ACUM!A4:S""),18,FALSE))"),"")</f>
        <v/>
      </c>
      <c r="BF217" s="44" t="str">
        <f ca="1">IFERROR(__xludf.DUMMYFUNCTION("IFERROR(VLOOKUP(E483&amp;F483,IMPORTRANGE(""https://docs.google.com/spreadsheets/d/1Uw7-A9f9R21vMXxHZFNpYNeKFtG8_yji4HS352LGlSQ/edit?pli=1#gid=0"",""1_ACUM!A4:S""),19,FALSE))"),"")</f>
        <v/>
      </c>
      <c r="BG217" s="98" t="str">
        <f ca="1">IFERROR(__xludf.DUMMYFUNCTION("IFERROR(VLOOKUP(F483,IMPORTRANGE(""https://docs.google.com/spreadsheets/d/1Kvs4KS76FHFqLFIZfrDMff4kP08nblUkihrxltoGBjg/edit#gid=934712705"",""ESENCIAL!A6:BG""),5,FALSE))"),"")</f>
        <v/>
      </c>
      <c r="BH217" s="98" t="str">
        <f t="shared" si="17"/>
        <v/>
      </c>
      <c r="BI217" s="99" t="str">
        <f t="shared" si="18"/>
        <v/>
      </c>
      <c r="BJ217" s="100" t="str">
        <f ca="1">IFERROR(__xludf.DUMMYFUNCTION("IFERROR(VLOOKUP(F483,IMPORTRANGE(""https://docs.google.com/spreadsheets/d/1Kvs4KS76FHFqLFIZfrDMff4kP08nblUkihrxltoGBjg/edit#gid=934712705"",""ESENCIAL!A6:BG""),2,FALSE))"),"")</f>
        <v/>
      </c>
      <c r="BK217" s="19" t="str">
        <f t="shared" si="19"/>
        <v/>
      </c>
      <c r="BL217" s="100"/>
      <c r="BM217" s="100"/>
    </row>
    <row r="218" spans="2:65" ht="15">
      <c r="B218" s="39"/>
      <c r="C218" s="5"/>
      <c r="D218" s="123"/>
      <c r="E218" s="39"/>
      <c r="F218" s="39"/>
      <c r="G218" s="39"/>
      <c r="H218" s="5" t="str">
        <f ca="1">IFERROR(__xludf.DUMMYFUNCTION("IFERROR(VLOOKUP(F484,IMPORTRANGE(""https://docs.google.com/spreadsheets/d/1Kvs4KS76FHFqLFIZfrDMff4kP08nblUkihrxltoGBjg/edit#gid=934712705"",""ESENCIAL!A6:BG""),3,FALSE))"),"")</f>
        <v/>
      </c>
      <c r="I218" s="5" t="str">
        <f ca="1">IFERROR(__xludf.DUMMYFUNCTION("IFERROR(VLOOKUP(F484,IMPORTRANGE(""https://docs.google.com/spreadsheets/d/1Kvs4KS76FHFqLFIZfrDMff4kP08nblUkihrxltoGBjg/edit#gid=934712705"",""ESENCIAL!A6:BG""),8,FALSE))"),"")</f>
        <v/>
      </c>
      <c r="J218" s="39"/>
      <c r="M218" s="287"/>
      <c r="AV218" s="41" t="str">
        <f t="shared" si="16"/>
        <v/>
      </c>
      <c r="AW218" s="5" t="str">
        <f ca="1">IFERROR(__xludf.DUMMYFUNCTION("IFERROR(VLOOKUP(E484&amp;F484,IMPORTRANGE(""https://docs.google.com/spreadsheets/d/1Uw7-A9f9R21vMXxHZFNpYNeKFtG8_yji4HS352LGlSQ/edit?pli=1#gid=0"",""1_ACUM!A4:S""),11,FALSE))"),"")</f>
        <v/>
      </c>
      <c r="AX218" s="42" t="str">
        <f ca="1">IFERROR(__xludf.DUMMYFUNCTION("IFERROR(VLOOKUP(F484,IMPORTRANGE(""https://docs.google.com/spreadsheets/d/1Kvs4KS76FHFqLFIZfrDMff4kP08nblUkihrxltoGBjg/edit#gid=934712705"",""ESENCIAL!A6:BG""),15,FALSE))"),"")</f>
        <v/>
      </c>
      <c r="AY218" s="110" t="str">
        <f ca="1">IFERROR(__xludf.DUMMYFUNCTION("IFERROR(VLOOKUP(E484&amp;F484,IMPORTRANGE(""https://docs.google.com/spreadsheets/d/1Uw7-A9f9R21vMXxHZFNpYNeKFtG8_yji4HS352LGlSQ/edit?pli=1#gid=0"",""1_ACUM!A4:S""),13,FALSE))"),"")</f>
        <v/>
      </c>
      <c r="AZ218" s="43" t="str">
        <f ca="1">IFERROR(__xludf.DUMMYFUNCTION("IFERROR(VLOOKUP(E484&amp;F484,IMPORTRANGE(""https://docs.google.com/spreadsheets/d/1Uw7-A9f9R21vMXxHZFNpYNeKFtG8_yji4HS352LGlSQ/edit?pli=1#gid=0"",""1_ACUM!A4:S""),13,FALSE))"),"")</f>
        <v/>
      </c>
      <c r="BA218" s="43" t="str">
        <f ca="1">IFERROR(__xludf.DUMMYFUNCTION("IFERROR(VLOOKUP(E484&amp;F484,IMPORTRANGE(""https://docs.google.com/spreadsheets/d/1Uw7-A9f9R21vMXxHZFNpYNeKFtG8_yji4HS352LGlSQ/edit?pli=1#gid=0"",""1_ACUM!A4:S""),14,FALSE))"),"")</f>
        <v/>
      </c>
      <c r="BB218" s="43" t="str">
        <f ca="1">IFERROR(__xludf.DUMMYFUNCTION("IFERROR(VLOOKUP(E484&amp;F484,IMPORTRANGE(""https://docs.google.com/spreadsheets/d/1Uw7-A9f9R21vMXxHZFNpYNeKFtG8_yji4HS352LGlSQ/edit?pli=1#gid=0"",""1_ACUM!A4:S""),15,FALSE))"),"")</f>
        <v/>
      </c>
      <c r="BC218" s="43" t="str">
        <f ca="1">IFERROR(__xludf.DUMMYFUNCTION("IFERROR(VLOOKUP(E484&amp;F484,IMPORTRANGE(""https://docs.google.com/spreadsheets/d/1Uw7-A9f9R21vMXxHZFNpYNeKFtG8_yji4HS352LGlSQ/edit?pli=1#gid=0"",""1_ACUM!A4:S""),16,FALSE))"),"")</f>
        <v/>
      </c>
      <c r="BD218" s="43" t="str">
        <f ca="1">IFERROR(__xludf.DUMMYFUNCTION("IFERROR(VLOOKUP(E484&amp;F484,IMPORTRANGE(""https://docs.google.com/spreadsheets/d/1Uw7-A9f9R21vMXxHZFNpYNeKFtG8_yji4HS352LGlSQ/edit?pli=1#gid=0"",""1_ACUM!A4:S""),17,FALSE))"),"")</f>
        <v/>
      </c>
      <c r="BE218" s="44" t="str">
        <f ca="1">IFERROR(__xludf.DUMMYFUNCTION("IFERROR(VLOOKUP(E484&amp;F484,IMPORTRANGE(""https://docs.google.com/spreadsheets/d/1Uw7-A9f9R21vMXxHZFNpYNeKFtG8_yji4HS352LGlSQ/edit?pli=1#gid=0"",""1_ACUM!A4:S""),18,FALSE))"),"")</f>
        <v/>
      </c>
      <c r="BF218" s="44" t="str">
        <f ca="1">IFERROR(__xludf.DUMMYFUNCTION("IFERROR(VLOOKUP(E484&amp;F484,IMPORTRANGE(""https://docs.google.com/spreadsheets/d/1Uw7-A9f9R21vMXxHZFNpYNeKFtG8_yji4HS352LGlSQ/edit?pli=1#gid=0"",""1_ACUM!A4:S""),19,FALSE))"),"")</f>
        <v/>
      </c>
      <c r="BG218" s="98" t="str">
        <f ca="1">IFERROR(__xludf.DUMMYFUNCTION("IFERROR(VLOOKUP(F484,IMPORTRANGE(""https://docs.google.com/spreadsheets/d/1Kvs4KS76FHFqLFIZfrDMff4kP08nblUkihrxltoGBjg/edit#gid=934712705"",""ESENCIAL!A6:BG""),5,FALSE))"),"")</f>
        <v/>
      </c>
      <c r="BH218" s="98" t="str">
        <f t="shared" si="17"/>
        <v/>
      </c>
      <c r="BI218" s="99" t="str">
        <f t="shared" si="18"/>
        <v/>
      </c>
      <c r="BJ218" s="100" t="str">
        <f ca="1">IFERROR(__xludf.DUMMYFUNCTION("IFERROR(VLOOKUP(F484,IMPORTRANGE(""https://docs.google.com/spreadsheets/d/1Kvs4KS76FHFqLFIZfrDMff4kP08nblUkihrxltoGBjg/edit#gid=934712705"",""ESENCIAL!A6:BG""),2,FALSE))"),"")</f>
        <v/>
      </c>
      <c r="BK218" s="19" t="str">
        <f t="shared" si="19"/>
        <v/>
      </c>
      <c r="BL218" s="100"/>
      <c r="BM218" s="100"/>
    </row>
    <row r="219" spans="2:65" ht="15">
      <c r="B219" s="39"/>
      <c r="C219" s="5"/>
      <c r="D219" s="123"/>
      <c r="E219" s="39"/>
      <c r="F219" s="39"/>
      <c r="G219" s="39"/>
      <c r="H219" s="5" t="str">
        <f ca="1">IFERROR(__xludf.DUMMYFUNCTION("IFERROR(VLOOKUP(F485,IMPORTRANGE(""https://docs.google.com/spreadsheets/d/1Kvs4KS76FHFqLFIZfrDMff4kP08nblUkihrxltoGBjg/edit#gid=934712705"",""ESENCIAL!A6:BG""),3,FALSE))"),"")</f>
        <v/>
      </c>
      <c r="I219" s="5" t="str">
        <f ca="1">IFERROR(__xludf.DUMMYFUNCTION("IFERROR(VLOOKUP(F485,IMPORTRANGE(""https://docs.google.com/spreadsheets/d/1Kvs4KS76FHFqLFIZfrDMff4kP08nblUkihrxltoGBjg/edit#gid=934712705"",""ESENCIAL!A6:BG""),8,FALSE))"),"")</f>
        <v/>
      </c>
      <c r="J219" s="39"/>
      <c r="M219" s="287"/>
      <c r="AV219" s="41" t="str">
        <f t="shared" si="16"/>
        <v/>
      </c>
      <c r="AW219" s="5" t="str">
        <f ca="1">IFERROR(__xludf.DUMMYFUNCTION("IFERROR(VLOOKUP(E485&amp;F485,IMPORTRANGE(""https://docs.google.com/spreadsheets/d/1Uw7-A9f9R21vMXxHZFNpYNeKFtG8_yji4HS352LGlSQ/edit?pli=1#gid=0"",""1_ACUM!A4:S""),11,FALSE))"),"")</f>
        <v/>
      </c>
      <c r="AX219" s="42" t="str">
        <f ca="1">IFERROR(__xludf.DUMMYFUNCTION("IFERROR(VLOOKUP(F485,IMPORTRANGE(""https://docs.google.com/spreadsheets/d/1Kvs4KS76FHFqLFIZfrDMff4kP08nblUkihrxltoGBjg/edit#gid=934712705"",""ESENCIAL!A6:BG""),15,FALSE))"),"")</f>
        <v/>
      </c>
      <c r="AY219" s="110" t="str">
        <f ca="1">IFERROR(__xludf.DUMMYFUNCTION("IFERROR(VLOOKUP(E485&amp;F485,IMPORTRANGE(""https://docs.google.com/spreadsheets/d/1Uw7-A9f9R21vMXxHZFNpYNeKFtG8_yji4HS352LGlSQ/edit?pli=1#gid=0"",""1_ACUM!A4:S""),13,FALSE))"),"")</f>
        <v/>
      </c>
      <c r="AZ219" s="43" t="str">
        <f ca="1">IFERROR(__xludf.DUMMYFUNCTION("IFERROR(VLOOKUP(E485&amp;F485,IMPORTRANGE(""https://docs.google.com/spreadsheets/d/1Uw7-A9f9R21vMXxHZFNpYNeKFtG8_yji4HS352LGlSQ/edit?pli=1#gid=0"",""1_ACUM!A4:S""),13,FALSE))"),"")</f>
        <v/>
      </c>
      <c r="BA219" s="43" t="str">
        <f ca="1">IFERROR(__xludf.DUMMYFUNCTION("IFERROR(VLOOKUP(E485&amp;F485,IMPORTRANGE(""https://docs.google.com/spreadsheets/d/1Uw7-A9f9R21vMXxHZFNpYNeKFtG8_yji4HS352LGlSQ/edit?pli=1#gid=0"",""1_ACUM!A4:S""),14,FALSE))"),"")</f>
        <v/>
      </c>
      <c r="BB219" s="43" t="str">
        <f ca="1">IFERROR(__xludf.DUMMYFUNCTION("IFERROR(VLOOKUP(E485&amp;F485,IMPORTRANGE(""https://docs.google.com/spreadsheets/d/1Uw7-A9f9R21vMXxHZFNpYNeKFtG8_yji4HS352LGlSQ/edit?pli=1#gid=0"",""1_ACUM!A4:S""),15,FALSE))"),"")</f>
        <v/>
      </c>
      <c r="BC219" s="43" t="str">
        <f ca="1">IFERROR(__xludf.DUMMYFUNCTION("IFERROR(VLOOKUP(E485&amp;F485,IMPORTRANGE(""https://docs.google.com/spreadsheets/d/1Uw7-A9f9R21vMXxHZFNpYNeKFtG8_yji4HS352LGlSQ/edit?pli=1#gid=0"",""1_ACUM!A4:S""),16,FALSE))"),"")</f>
        <v/>
      </c>
      <c r="BD219" s="43" t="str">
        <f ca="1">IFERROR(__xludf.DUMMYFUNCTION("IFERROR(VLOOKUP(E485&amp;F485,IMPORTRANGE(""https://docs.google.com/spreadsheets/d/1Uw7-A9f9R21vMXxHZFNpYNeKFtG8_yji4HS352LGlSQ/edit?pli=1#gid=0"",""1_ACUM!A4:S""),17,FALSE))"),"")</f>
        <v/>
      </c>
      <c r="BE219" s="44" t="str">
        <f ca="1">IFERROR(__xludf.DUMMYFUNCTION("IFERROR(VLOOKUP(E485&amp;F485,IMPORTRANGE(""https://docs.google.com/spreadsheets/d/1Uw7-A9f9R21vMXxHZFNpYNeKFtG8_yji4HS352LGlSQ/edit?pli=1#gid=0"",""1_ACUM!A4:S""),18,FALSE))"),"")</f>
        <v/>
      </c>
      <c r="BF219" s="44" t="str">
        <f ca="1">IFERROR(__xludf.DUMMYFUNCTION("IFERROR(VLOOKUP(E485&amp;F485,IMPORTRANGE(""https://docs.google.com/spreadsheets/d/1Uw7-A9f9R21vMXxHZFNpYNeKFtG8_yji4HS352LGlSQ/edit?pli=1#gid=0"",""1_ACUM!A4:S""),19,FALSE))"),"")</f>
        <v/>
      </c>
      <c r="BG219" s="98" t="str">
        <f ca="1">IFERROR(__xludf.DUMMYFUNCTION("IFERROR(VLOOKUP(F485,IMPORTRANGE(""https://docs.google.com/spreadsheets/d/1Kvs4KS76FHFqLFIZfrDMff4kP08nblUkihrxltoGBjg/edit#gid=934712705"",""ESENCIAL!A6:BG""),5,FALSE))"),"")</f>
        <v/>
      </c>
      <c r="BH219" s="98" t="str">
        <f t="shared" si="17"/>
        <v/>
      </c>
      <c r="BI219" s="99" t="str">
        <f t="shared" si="18"/>
        <v/>
      </c>
      <c r="BJ219" s="100" t="str">
        <f ca="1">IFERROR(__xludf.DUMMYFUNCTION("IFERROR(VLOOKUP(F485,IMPORTRANGE(""https://docs.google.com/spreadsheets/d/1Kvs4KS76FHFqLFIZfrDMff4kP08nblUkihrxltoGBjg/edit#gid=934712705"",""ESENCIAL!A6:BG""),2,FALSE))"),"")</f>
        <v/>
      </c>
      <c r="BK219" s="19" t="str">
        <f t="shared" si="19"/>
        <v/>
      </c>
      <c r="BL219" s="100"/>
      <c r="BM219" s="100"/>
    </row>
    <row r="220" spans="2:65" ht="15">
      <c r="B220" s="39"/>
      <c r="C220" s="5"/>
      <c r="D220" s="123"/>
      <c r="E220" s="39"/>
      <c r="F220" s="39"/>
      <c r="G220" s="39"/>
      <c r="H220" s="5" t="str">
        <f ca="1">IFERROR(__xludf.DUMMYFUNCTION("IFERROR(VLOOKUP(F486,IMPORTRANGE(""https://docs.google.com/spreadsheets/d/1Kvs4KS76FHFqLFIZfrDMff4kP08nblUkihrxltoGBjg/edit#gid=934712705"",""ESENCIAL!A6:BG""),3,FALSE))"),"")</f>
        <v/>
      </c>
      <c r="I220" s="5" t="str">
        <f ca="1">IFERROR(__xludf.DUMMYFUNCTION("IFERROR(VLOOKUP(F486,IMPORTRANGE(""https://docs.google.com/spreadsheets/d/1Kvs4KS76FHFqLFIZfrDMff4kP08nblUkihrxltoGBjg/edit#gid=934712705"",""ESENCIAL!A6:BG""),8,FALSE))"),"")</f>
        <v/>
      </c>
      <c r="J220" s="39"/>
      <c r="M220" s="287"/>
      <c r="AV220" s="41" t="str">
        <f t="shared" si="16"/>
        <v/>
      </c>
      <c r="AW220" s="5" t="str">
        <f ca="1">IFERROR(__xludf.DUMMYFUNCTION("IFERROR(VLOOKUP(E486&amp;F486,IMPORTRANGE(""https://docs.google.com/spreadsheets/d/1Uw7-A9f9R21vMXxHZFNpYNeKFtG8_yji4HS352LGlSQ/edit?pli=1#gid=0"",""1_ACUM!A4:S""),11,FALSE))"),"")</f>
        <v/>
      </c>
      <c r="AX220" s="42" t="str">
        <f ca="1">IFERROR(__xludf.DUMMYFUNCTION("IFERROR(VLOOKUP(F486,IMPORTRANGE(""https://docs.google.com/spreadsheets/d/1Kvs4KS76FHFqLFIZfrDMff4kP08nblUkihrxltoGBjg/edit#gid=934712705"",""ESENCIAL!A6:BG""),15,FALSE))"),"")</f>
        <v/>
      </c>
      <c r="AY220" s="110" t="str">
        <f ca="1">IFERROR(__xludf.DUMMYFUNCTION("IFERROR(VLOOKUP(E486&amp;F486,IMPORTRANGE(""https://docs.google.com/spreadsheets/d/1Uw7-A9f9R21vMXxHZFNpYNeKFtG8_yji4HS352LGlSQ/edit?pli=1#gid=0"",""1_ACUM!A4:S""),13,FALSE))"),"")</f>
        <v/>
      </c>
      <c r="AZ220" s="43" t="str">
        <f ca="1">IFERROR(__xludf.DUMMYFUNCTION("IFERROR(VLOOKUP(E486&amp;F486,IMPORTRANGE(""https://docs.google.com/spreadsheets/d/1Uw7-A9f9R21vMXxHZFNpYNeKFtG8_yji4HS352LGlSQ/edit?pli=1#gid=0"",""1_ACUM!A4:S""),13,FALSE))"),"")</f>
        <v/>
      </c>
      <c r="BA220" s="43" t="str">
        <f ca="1">IFERROR(__xludf.DUMMYFUNCTION("IFERROR(VLOOKUP(E486&amp;F486,IMPORTRANGE(""https://docs.google.com/spreadsheets/d/1Uw7-A9f9R21vMXxHZFNpYNeKFtG8_yji4HS352LGlSQ/edit?pli=1#gid=0"",""1_ACUM!A4:S""),14,FALSE))"),"")</f>
        <v/>
      </c>
      <c r="BB220" s="43" t="str">
        <f ca="1">IFERROR(__xludf.DUMMYFUNCTION("IFERROR(VLOOKUP(E486&amp;F486,IMPORTRANGE(""https://docs.google.com/spreadsheets/d/1Uw7-A9f9R21vMXxHZFNpYNeKFtG8_yji4HS352LGlSQ/edit?pli=1#gid=0"",""1_ACUM!A4:S""),15,FALSE))"),"")</f>
        <v/>
      </c>
      <c r="BC220" s="43" t="str">
        <f ca="1">IFERROR(__xludf.DUMMYFUNCTION("IFERROR(VLOOKUP(E486&amp;F486,IMPORTRANGE(""https://docs.google.com/spreadsheets/d/1Uw7-A9f9R21vMXxHZFNpYNeKFtG8_yji4HS352LGlSQ/edit?pli=1#gid=0"",""1_ACUM!A4:S""),16,FALSE))"),"")</f>
        <v/>
      </c>
      <c r="BD220" s="43" t="str">
        <f ca="1">IFERROR(__xludf.DUMMYFUNCTION("IFERROR(VLOOKUP(E486&amp;F486,IMPORTRANGE(""https://docs.google.com/spreadsheets/d/1Uw7-A9f9R21vMXxHZFNpYNeKFtG8_yji4HS352LGlSQ/edit?pli=1#gid=0"",""1_ACUM!A4:S""),17,FALSE))"),"")</f>
        <v/>
      </c>
      <c r="BE220" s="44" t="str">
        <f ca="1">IFERROR(__xludf.DUMMYFUNCTION("IFERROR(VLOOKUP(E486&amp;F486,IMPORTRANGE(""https://docs.google.com/spreadsheets/d/1Uw7-A9f9R21vMXxHZFNpYNeKFtG8_yji4HS352LGlSQ/edit?pli=1#gid=0"",""1_ACUM!A4:S""),18,FALSE))"),"")</f>
        <v/>
      </c>
      <c r="BF220" s="44" t="str">
        <f ca="1">IFERROR(__xludf.DUMMYFUNCTION("IFERROR(VLOOKUP(E486&amp;F486,IMPORTRANGE(""https://docs.google.com/spreadsheets/d/1Uw7-A9f9R21vMXxHZFNpYNeKFtG8_yji4HS352LGlSQ/edit?pli=1#gid=0"",""1_ACUM!A4:S""),19,FALSE))"),"")</f>
        <v/>
      </c>
      <c r="BG220" s="98" t="str">
        <f ca="1">IFERROR(__xludf.DUMMYFUNCTION("IFERROR(VLOOKUP(F486,IMPORTRANGE(""https://docs.google.com/spreadsheets/d/1Kvs4KS76FHFqLFIZfrDMff4kP08nblUkihrxltoGBjg/edit#gid=934712705"",""ESENCIAL!A6:BG""),5,FALSE))"),"")</f>
        <v/>
      </c>
      <c r="BH220" s="98" t="str">
        <f t="shared" si="17"/>
        <v/>
      </c>
      <c r="BI220" s="99" t="str">
        <f t="shared" si="18"/>
        <v/>
      </c>
      <c r="BJ220" s="100" t="str">
        <f ca="1">IFERROR(__xludf.DUMMYFUNCTION("IFERROR(VLOOKUP(F486,IMPORTRANGE(""https://docs.google.com/spreadsheets/d/1Kvs4KS76FHFqLFIZfrDMff4kP08nblUkihrxltoGBjg/edit#gid=934712705"",""ESENCIAL!A6:BG""),2,FALSE))"),"")</f>
        <v/>
      </c>
      <c r="BK220" s="19" t="str">
        <f t="shared" si="19"/>
        <v/>
      </c>
      <c r="BL220" s="100"/>
      <c r="BM220" s="100"/>
    </row>
    <row r="221" spans="2:65" ht="15">
      <c r="B221" s="39"/>
      <c r="C221" s="5"/>
      <c r="D221" s="123"/>
      <c r="E221" s="39"/>
      <c r="F221" s="39"/>
      <c r="G221" s="39"/>
      <c r="H221" s="5" t="str">
        <f ca="1">IFERROR(__xludf.DUMMYFUNCTION("IFERROR(VLOOKUP(F487,IMPORTRANGE(""https://docs.google.com/spreadsheets/d/1Kvs4KS76FHFqLFIZfrDMff4kP08nblUkihrxltoGBjg/edit#gid=934712705"",""ESENCIAL!A6:BG""),3,FALSE))"),"")</f>
        <v/>
      </c>
      <c r="I221" s="5" t="str">
        <f ca="1">IFERROR(__xludf.DUMMYFUNCTION("IFERROR(VLOOKUP(F487,IMPORTRANGE(""https://docs.google.com/spreadsheets/d/1Kvs4KS76FHFqLFIZfrDMff4kP08nblUkihrxltoGBjg/edit#gid=934712705"",""ESENCIAL!A6:BG""),8,FALSE))"),"")</f>
        <v/>
      </c>
      <c r="J221" s="39"/>
      <c r="M221" s="287"/>
      <c r="AV221" s="41" t="str">
        <f t="shared" si="16"/>
        <v/>
      </c>
      <c r="AW221" s="5" t="str">
        <f ca="1">IFERROR(__xludf.DUMMYFUNCTION("IFERROR(VLOOKUP(E487&amp;F487,IMPORTRANGE(""https://docs.google.com/spreadsheets/d/1Uw7-A9f9R21vMXxHZFNpYNeKFtG8_yji4HS352LGlSQ/edit?pli=1#gid=0"",""1_ACUM!A4:S""),11,FALSE))"),"")</f>
        <v/>
      </c>
      <c r="AX221" s="42" t="str">
        <f ca="1">IFERROR(__xludf.DUMMYFUNCTION("IFERROR(VLOOKUP(F487,IMPORTRANGE(""https://docs.google.com/spreadsheets/d/1Kvs4KS76FHFqLFIZfrDMff4kP08nblUkihrxltoGBjg/edit#gid=934712705"",""ESENCIAL!A6:BG""),15,FALSE))"),"")</f>
        <v/>
      </c>
      <c r="AY221" s="110" t="str">
        <f ca="1">IFERROR(__xludf.DUMMYFUNCTION("IFERROR(VLOOKUP(E487&amp;F487,IMPORTRANGE(""https://docs.google.com/spreadsheets/d/1Uw7-A9f9R21vMXxHZFNpYNeKFtG8_yji4HS352LGlSQ/edit?pli=1#gid=0"",""1_ACUM!A4:S""),13,FALSE))"),"")</f>
        <v/>
      </c>
      <c r="AZ221" s="43" t="str">
        <f ca="1">IFERROR(__xludf.DUMMYFUNCTION("IFERROR(VLOOKUP(E487&amp;F487,IMPORTRANGE(""https://docs.google.com/spreadsheets/d/1Uw7-A9f9R21vMXxHZFNpYNeKFtG8_yji4HS352LGlSQ/edit?pli=1#gid=0"",""1_ACUM!A4:S""),13,FALSE))"),"")</f>
        <v/>
      </c>
      <c r="BA221" s="43" t="str">
        <f ca="1">IFERROR(__xludf.DUMMYFUNCTION("IFERROR(VLOOKUP(E487&amp;F487,IMPORTRANGE(""https://docs.google.com/spreadsheets/d/1Uw7-A9f9R21vMXxHZFNpYNeKFtG8_yji4HS352LGlSQ/edit?pli=1#gid=0"",""1_ACUM!A4:S""),14,FALSE))"),"")</f>
        <v/>
      </c>
      <c r="BB221" s="43" t="str">
        <f ca="1">IFERROR(__xludf.DUMMYFUNCTION("IFERROR(VLOOKUP(E487&amp;F487,IMPORTRANGE(""https://docs.google.com/spreadsheets/d/1Uw7-A9f9R21vMXxHZFNpYNeKFtG8_yji4HS352LGlSQ/edit?pli=1#gid=0"",""1_ACUM!A4:S""),15,FALSE))"),"")</f>
        <v/>
      </c>
      <c r="BC221" s="43" t="str">
        <f ca="1">IFERROR(__xludf.DUMMYFUNCTION("IFERROR(VLOOKUP(E487&amp;F487,IMPORTRANGE(""https://docs.google.com/spreadsheets/d/1Uw7-A9f9R21vMXxHZFNpYNeKFtG8_yji4HS352LGlSQ/edit?pli=1#gid=0"",""1_ACUM!A4:S""),16,FALSE))"),"")</f>
        <v/>
      </c>
      <c r="BD221" s="43" t="str">
        <f ca="1">IFERROR(__xludf.DUMMYFUNCTION("IFERROR(VLOOKUP(E487&amp;F487,IMPORTRANGE(""https://docs.google.com/spreadsheets/d/1Uw7-A9f9R21vMXxHZFNpYNeKFtG8_yji4HS352LGlSQ/edit?pli=1#gid=0"",""1_ACUM!A4:S""),17,FALSE))"),"")</f>
        <v/>
      </c>
      <c r="BE221" s="44" t="str">
        <f ca="1">IFERROR(__xludf.DUMMYFUNCTION("IFERROR(VLOOKUP(E487&amp;F487,IMPORTRANGE(""https://docs.google.com/spreadsheets/d/1Uw7-A9f9R21vMXxHZFNpYNeKFtG8_yji4HS352LGlSQ/edit?pli=1#gid=0"",""1_ACUM!A4:S""),18,FALSE))"),"")</f>
        <v/>
      </c>
      <c r="BF221" s="44" t="str">
        <f ca="1">IFERROR(__xludf.DUMMYFUNCTION("IFERROR(VLOOKUP(E487&amp;F487,IMPORTRANGE(""https://docs.google.com/spreadsheets/d/1Uw7-A9f9R21vMXxHZFNpYNeKFtG8_yji4HS352LGlSQ/edit?pli=1#gid=0"",""1_ACUM!A4:S""),19,FALSE))"),"")</f>
        <v/>
      </c>
      <c r="BG221" s="98" t="str">
        <f ca="1">IFERROR(__xludf.DUMMYFUNCTION("IFERROR(VLOOKUP(F487,IMPORTRANGE(""https://docs.google.com/spreadsheets/d/1Kvs4KS76FHFqLFIZfrDMff4kP08nblUkihrxltoGBjg/edit#gid=934712705"",""ESENCIAL!A6:BG""),5,FALSE))"),"")</f>
        <v/>
      </c>
      <c r="BH221" s="98" t="str">
        <f t="shared" si="17"/>
        <v/>
      </c>
      <c r="BI221" s="99" t="str">
        <f t="shared" si="18"/>
        <v/>
      </c>
      <c r="BJ221" s="100" t="str">
        <f ca="1">IFERROR(__xludf.DUMMYFUNCTION("IFERROR(VLOOKUP(F487,IMPORTRANGE(""https://docs.google.com/spreadsheets/d/1Kvs4KS76FHFqLFIZfrDMff4kP08nblUkihrxltoGBjg/edit#gid=934712705"",""ESENCIAL!A6:BG""),2,FALSE))"),"")</f>
        <v/>
      </c>
      <c r="BK221" s="19" t="str">
        <f t="shared" si="19"/>
        <v/>
      </c>
      <c r="BL221" s="100"/>
      <c r="BM221" s="100"/>
    </row>
    <row r="222" spans="2:65" ht="15">
      <c r="B222" s="39"/>
      <c r="C222" s="5"/>
      <c r="D222" s="123"/>
      <c r="E222" s="39"/>
      <c r="F222" s="39"/>
      <c r="G222" s="39"/>
      <c r="H222" s="5" t="str">
        <f ca="1">IFERROR(__xludf.DUMMYFUNCTION("IFERROR(VLOOKUP(F488,IMPORTRANGE(""https://docs.google.com/spreadsheets/d/1Kvs4KS76FHFqLFIZfrDMff4kP08nblUkihrxltoGBjg/edit#gid=934712705"",""ESENCIAL!A6:BG""),3,FALSE))"),"")</f>
        <v/>
      </c>
      <c r="I222" s="5" t="str">
        <f ca="1">IFERROR(__xludf.DUMMYFUNCTION("IFERROR(VLOOKUP(F488,IMPORTRANGE(""https://docs.google.com/spreadsheets/d/1Kvs4KS76FHFqLFIZfrDMff4kP08nblUkihrxltoGBjg/edit#gid=934712705"",""ESENCIAL!A6:BG""),8,FALSE))"),"")</f>
        <v/>
      </c>
      <c r="J222" s="39"/>
      <c r="M222" s="287"/>
      <c r="AV222" s="41" t="str">
        <f t="shared" si="16"/>
        <v/>
      </c>
      <c r="AW222" s="5" t="str">
        <f ca="1">IFERROR(__xludf.DUMMYFUNCTION("IFERROR(VLOOKUP(E488&amp;F488,IMPORTRANGE(""https://docs.google.com/spreadsheets/d/1Uw7-A9f9R21vMXxHZFNpYNeKFtG8_yji4HS352LGlSQ/edit?pli=1#gid=0"",""1_ACUM!A4:S""),11,FALSE))"),"")</f>
        <v/>
      </c>
      <c r="AX222" s="42" t="str">
        <f ca="1">IFERROR(__xludf.DUMMYFUNCTION("IFERROR(VLOOKUP(F488,IMPORTRANGE(""https://docs.google.com/spreadsheets/d/1Kvs4KS76FHFqLFIZfrDMff4kP08nblUkihrxltoGBjg/edit#gid=934712705"",""ESENCIAL!A6:BG""),15,FALSE))"),"")</f>
        <v/>
      </c>
      <c r="AY222" s="110" t="str">
        <f ca="1">IFERROR(__xludf.DUMMYFUNCTION("IFERROR(VLOOKUP(E488&amp;F488,IMPORTRANGE(""https://docs.google.com/spreadsheets/d/1Uw7-A9f9R21vMXxHZFNpYNeKFtG8_yji4HS352LGlSQ/edit?pli=1#gid=0"",""1_ACUM!A4:S""),13,FALSE))"),"")</f>
        <v/>
      </c>
      <c r="AZ222" s="43" t="str">
        <f ca="1">IFERROR(__xludf.DUMMYFUNCTION("IFERROR(VLOOKUP(E488&amp;F488,IMPORTRANGE(""https://docs.google.com/spreadsheets/d/1Uw7-A9f9R21vMXxHZFNpYNeKFtG8_yji4HS352LGlSQ/edit?pli=1#gid=0"",""1_ACUM!A4:S""),13,FALSE))"),"")</f>
        <v/>
      </c>
      <c r="BA222" s="43" t="str">
        <f ca="1">IFERROR(__xludf.DUMMYFUNCTION("IFERROR(VLOOKUP(E488&amp;F488,IMPORTRANGE(""https://docs.google.com/spreadsheets/d/1Uw7-A9f9R21vMXxHZFNpYNeKFtG8_yji4HS352LGlSQ/edit?pli=1#gid=0"",""1_ACUM!A4:S""),14,FALSE))"),"")</f>
        <v/>
      </c>
      <c r="BB222" s="43" t="str">
        <f ca="1">IFERROR(__xludf.DUMMYFUNCTION("IFERROR(VLOOKUP(E488&amp;F488,IMPORTRANGE(""https://docs.google.com/spreadsheets/d/1Uw7-A9f9R21vMXxHZFNpYNeKFtG8_yji4HS352LGlSQ/edit?pli=1#gid=0"",""1_ACUM!A4:S""),15,FALSE))"),"")</f>
        <v/>
      </c>
      <c r="BC222" s="43" t="str">
        <f ca="1">IFERROR(__xludf.DUMMYFUNCTION("IFERROR(VLOOKUP(E488&amp;F488,IMPORTRANGE(""https://docs.google.com/spreadsheets/d/1Uw7-A9f9R21vMXxHZFNpYNeKFtG8_yji4HS352LGlSQ/edit?pli=1#gid=0"",""1_ACUM!A4:S""),16,FALSE))"),"")</f>
        <v/>
      </c>
      <c r="BD222" s="43" t="str">
        <f ca="1">IFERROR(__xludf.DUMMYFUNCTION("IFERROR(VLOOKUP(E488&amp;F488,IMPORTRANGE(""https://docs.google.com/spreadsheets/d/1Uw7-A9f9R21vMXxHZFNpYNeKFtG8_yji4HS352LGlSQ/edit?pli=1#gid=0"",""1_ACUM!A4:S""),17,FALSE))"),"")</f>
        <v/>
      </c>
      <c r="BE222" s="44" t="str">
        <f ca="1">IFERROR(__xludf.DUMMYFUNCTION("IFERROR(VLOOKUP(E488&amp;F488,IMPORTRANGE(""https://docs.google.com/spreadsheets/d/1Uw7-A9f9R21vMXxHZFNpYNeKFtG8_yji4HS352LGlSQ/edit?pli=1#gid=0"",""1_ACUM!A4:S""),18,FALSE))"),"")</f>
        <v/>
      </c>
      <c r="BF222" s="44" t="str">
        <f ca="1">IFERROR(__xludf.DUMMYFUNCTION("IFERROR(VLOOKUP(E488&amp;F488,IMPORTRANGE(""https://docs.google.com/spreadsheets/d/1Uw7-A9f9R21vMXxHZFNpYNeKFtG8_yji4HS352LGlSQ/edit?pli=1#gid=0"",""1_ACUM!A4:S""),19,FALSE))"),"")</f>
        <v/>
      </c>
      <c r="BG222" s="98" t="str">
        <f ca="1">IFERROR(__xludf.DUMMYFUNCTION("IFERROR(VLOOKUP(F488,IMPORTRANGE(""https://docs.google.com/spreadsheets/d/1Kvs4KS76FHFqLFIZfrDMff4kP08nblUkihrxltoGBjg/edit#gid=934712705"",""ESENCIAL!A6:BG""),5,FALSE))"),"")</f>
        <v/>
      </c>
      <c r="BH222" s="98" t="str">
        <f t="shared" si="17"/>
        <v/>
      </c>
      <c r="BI222" s="99" t="str">
        <f t="shared" si="18"/>
        <v/>
      </c>
      <c r="BJ222" s="100" t="str">
        <f ca="1">IFERROR(__xludf.DUMMYFUNCTION("IFERROR(VLOOKUP(F488,IMPORTRANGE(""https://docs.google.com/spreadsheets/d/1Kvs4KS76FHFqLFIZfrDMff4kP08nblUkihrxltoGBjg/edit#gid=934712705"",""ESENCIAL!A6:BG""),2,FALSE))"),"")</f>
        <v/>
      </c>
      <c r="BK222" s="19" t="str">
        <f t="shared" si="19"/>
        <v/>
      </c>
      <c r="BL222" s="100"/>
      <c r="BM222" s="100"/>
    </row>
    <row r="223" spans="2:65" ht="15">
      <c r="B223" s="39"/>
      <c r="C223" s="5"/>
      <c r="D223" s="123"/>
      <c r="E223" s="39"/>
      <c r="F223" s="39"/>
      <c r="G223" s="39"/>
      <c r="H223" s="5" t="str">
        <f ca="1">IFERROR(__xludf.DUMMYFUNCTION("IFERROR(VLOOKUP(F489,IMPORTRANGE(""https://docs.google.com/spreadsheets/d/1Kvs4KS76FHFqLFIZfrDMff4kP08nblUkihrxltoGBjg/edit#gid=934712705"",""ESENCIAL!A6:BG""),3,FALSE))"),"")</f>
        <v/>
      </c>
      <c r="I223" s="5" t="str">
        <f ca="1">IFERROR(__xludf.DUMMYFUNCTION("IFERROR(VLOOKUP(F489,IMPORTRANGE(""https://docs.google.com/spreadsheets/d/1Kvs4KS76FHFqLFIZfrDMff4kP08nblUkihrxltoGBjg/edit#gid=934712705"",""ESENCIAL!A6:BG""),8,FALSE))"),"")</f>
        <v/>
      </c>
      <c r="J223" s="39"/>
      <c r="M223" s="287"/>
      <c r="AV223" s="41" t="str">
        <f t="shared" si="16"/>
        <v/>
      </c>
      <c r="AW223" s="5" t="str">
        <f ca="1">IFERROR(__xludf.DUMMYFUNCTION("IFERROR(VLOOKUP(E489&amp;F489,IMPORTRANGE(""https://docs.google.com/spreadsheets/d/1Uw7-A9f9R21vMXxHZFNpYNeKFtG8_yji4HS352LGlSQ/edit?pli=1#gid=0"",""1_ACUM!A4:S""),11,FALSE))"),"")</f>
        <v/>
      </c>
      <c r="AX223" s="42" t="str">
        <f ca="1">IFERROR(__xludf.DUMMYFUNCTION("IFERROR(VLOOKUP(F489,IMPORTRANGE(""https://docs.google.com/spreadsheets/d/1Kvs4KS76FHFqLFIZfrDMff4kP08nblUkihrxltoGBjg/edit#gid=934712705"",""ESENCIAL!A6:BG""),15,FALSE))"),"")</f>
        <v/>
      </c>
      <c r="AY223" s="110" t="str">
        <f ca="1">IFERROR(__xludf.DUMMYFUNCTION("IFERROR(VLOOKUP(E489&amp;F489,IMPORTRANGE(""https://docs.google.com/spreadsheets/d/1Uw7-A9f9R21vMXxHZFNpYNeKFtG8_yji4HS352LGlSQ/edit?pli=1#gid=0"",""1_ACUM!A4:S""),13,FALSE))"),"")</f>
        <v/>
      </c>
      <c r="AZ223" s="43" t="str">
        <f ca="1">IFERROR(__xludf.DUMMYFUNCTION("IFERROR(VLOOKUP(E489&amp;F489,IMPORTRANGE(""https://docs.google.com/spreadsheets/d/1Uw7-A9f9R21vMXxHZFNpYNeKFtG8_yji4HS352LGlSQ/edit?pli=1#gid=0"",""1_ACUM!A4:S""),13,FALSE))"),"")</f>
        <v/>
      </c>
      <c r="BA223" s="43" t="str">
        <f ca="1">IFERROR(__xludf.DUMMYFUNCTION("IFERROR(VLOOKUP(E489&amp;F489,IMPORTRANGE(""https://docs.google.com/spreadsheets/d/1Uw7-A9f9R21vMXxHZFNpYNeKFtG8_yji4HS352LGlSQ/edit?pli=1#gid=0"",""1_ACUM!A4:S""),14,FALSE))"),"")</f>
        <v/>
      </c>
      <c r="BB223" s="43" t="str">
        <f ca="1">IFERROR(__xludf.DUMMYFUNCTION("IFERROR(VLOOKUP(E489&amp;F489,IMPORTRANGE(""https://docs.google.com/spreadsheets/d/1Uw7-A9f9R21vMXxHZFNpYNeKFtG8_yji4HS352LGlSQ/edit?pli=1#gid=0"",""1_ACUM!A4:S""),15,FALSE))"),"")</f>
        <v/>
      </c>
      <c r="BC223" s="43" t="str">
        <f ca="1">IFERROR(__xludf.DUMMYFUNCTION("IFERROR(VLOOKUP(E489&amp;F489,IMPORTRANGE(""https://docs.google.com/spreadsheets/d/1Uw7-A9f9R21vMXxHZFNpYNeKFtG8_yji4HS352LGlSQ/edit?pli=1#gid=0"",""1_ACUM!A4:S""),16,FALSE))"),"")</f>
        <v/>
      </c>
      <c r="BD223" s="43" t="str">
        <f ca="1">IFERROR(__xludf.DUMMYFUNCTION("IFERROR(VLOOKUP(E489&amp;F489,IMPORTRANGE(""https://docs.google.com/spreadsheets/d/1Uw7-A9f9R21vMXxHZFNpYNeKFtG8_yji4HS352LGlSQ/edit?pli=1#gid=0"",""1_ACUM!A4:S""),17,FALSE))"),"")</f>
        <v/>
      </c>
      <c r="BE223" s="44" t="str">
        <f ca="1">IFERROR(__xludf.DUMMYFUNCTION("IFERROR(VLOOKUP(E489&amp;F489,IMPORTRANGE(""https://docs.google.com/spreadsheets/d/1Uw7-A9f9R21vMXxHZFNpYNeKFtG8_yji4HS352LGlSQ/edit?pli=1#gid=0"",""1_ACUM!A4:S""),18,FALSE))"),"")</f>
        <v/>
      </c>
      <c r="BF223" s="44" t="str">
        <f ca="1">IFERROR(__xludf.DUMMYFUNCTION("IFERROR(VLOOKUP(E489&amp;F489,IMPORTRANGE(""https://docs.google.com/spreadsheets/d/1Uw7-A9f9R21vMXxHZFNpYNeKFtG8_yji4HS352LGlSQ/edit?pli=1#gid=0"",""1_ACUM!A4:S""),19,FALSE))"),"")</f>
        <v/>
      </c>
      <c r="BG223" s="98" t="str">
        <f ca="1">IFERROR(__xludf.DUMMYFUNCTION("IFERROR(VLOOKUP(F489,IMPORTRANGE(""https://docs.google.com/spreadsheets/d/1Kvs4KS76FHFqLFIZfrDMff4kP08nblUkihrxltoGBjg/edit#gid=934712705"",""ESENCIAL!A6:BG""),5,FALSE))"),"")</f>
        <v/>
      </c>
      <c r="BH223" s="98" t="str">
        <f t="shared" si="17"/>
        <v/>
      </c>
      <c r="BI223" s="99" t="str">
        <f t="shared" si="18"/>
        <v/>
      </c>
      <c r="BJ223" s="100" t="str">
        <f ca="1">IFERROR(__xludf.DUMMYFUNCTION("IFERROR(VLOOKUP(F489,IMPORTRANGE(""https://docs.google.com/spreadsheets/d/1Kvs4KS76FHFqLFIZfrDMff4kP08nblUkihrxltoGBjg/edit#gid=934712705"",""ESENCIAL!A6:BG""),2,FALSE))"),"")</f>
        <v/>
      </c>
      <c r="BK223" s="19" t="str">
        <f t="shared" si="19"/>
        <v/>
      </c>
      <c r="BL223" s="100"/>
      <c r="BM223" s="100"/>
    </row>
    <row r="224" spans="2:65" ht="15">
      <c r="B224" s="39"/>
      <c r="C224" s="5"/>
      <c r="D224" s="123"/>
      <c r="E224" s="39"/>
      <c r="F224" s="39"/>
      <c r="G224" s="39"/>
      <c r="H224" s="5" t="str">
        <f ca="1">IFERROR(__xludf.DUMMYFUNCTION("IFERROR(VLOOKUP(F490,IMPORTRANGE(""https://docs.google.com/spreadsheets/d/1Kvs4KS76FHFqLFIZfrDMff4kP08nblUkihrxltoGBjg/edit#gid=934712705"",""ESENCIAL!A6:BG""),3,FALSE))"),"")</f>
        <v/>
      </c>
      <c r="I224" s="5" t="str">
        <f ca="1">IFERROR(__xludf.DUMMYFUNCTION("IFERROR(VLOOKUP(F490,IMPORTRANGE(""https://docs.google.com/spreadsheets/d/1Kvs4KS76FHFqLFIZfrDMff4kP08nblUkihrxltoGBjg/edit#gid=934712705"",""ESENCIAL!A6:BG""),8,FALSE))"),"")</f>
        <v/>
      </c>
      <c r="J224" s="39"/>
      <c r="M224" s="287"/>
      <c r="AV224" s="41" t="str">
        <f t="shared" si="16"/>
        <v/>
      </c>
      <c r="AW224" s="5" t="str">
        <f ca="1">IFERROR(__xludf.DUMMYFUNCTION("IFERROR(VLOOKUP(E490&amp;F490,IMPORTRANGE(""https://docs.google.com/spreadsheets/d/1Uw7-A9f9R21vMXxHZFNpYNeKFtG8_yji4HS352LGlSQ/edit?pli=1#gid=0"",""1_ACUM!A4:S""),11,FALSE))"),"")</f>
        <v/>
      </c>
      <c r="AX224" s="42" t="str">
        <f ca="1">IFERROR(__xludf.DUMMYFUNCTION("IFERROR(VLOOKUP(F490,IMPORTRANGE(""https://docs.google.com/spreadsheets/d/1Kvs4KS76FHFqLFIZfrDMff4kP08nblUkihrxltoGBjg/edit#gid=934712705"",""ESENCIAL!A6:BG""),15,FALSE))"),"")</f>
        <v/>
      </c>
      <c r="AY224" s="110" t="str">
        <f ca="1">IFERROR(__xludf.DUMMYFUNCTION("IFERROR(VLOOKUP(E490&amp;F490,IMPORTRANGE(""https://docs.google.com/spreadsheets/d/1Uw7-A9f9R21vMXxHZFNpYNeKFtG8_yji4HS352LGlSQ/edit?pli=1#gid=0"",""1_ACUM!A4:S""),13,FALSE))"),"")</f>
        <v/>
      </c>
      <c r="AZ224" s="43" t="str">
        <f ca="1">IFERROR(__xludf.DUMMYFUNCTION("IFERROR(VLOOKUP(E490&amp;F490,IMPORTRANGE(""https://docs.google.com/spreadsheets/d/1Uw7-A9f9R21vMXxHZFNpYNeKFtG8_yji4HS352LGlSQ/edit?pli=1#gid=0"",""1_ACUM!A4:S""),13,FALSE))"),"")</f>
        <v/>
      </c>
      <c r="BA224" s="43" t="str">
        <f ca="1">IFERROR(__xludf.DUMMYFUNCTION("IFERROR(VLOOKUP(E490&amp;F490,IMPORTRANGE(""https://docs.google.com/spreadsheets/d/1Uw7-A9f9R21vMXxHZFNpYNeKFtG8_yji4HS352LGlSQ/edit?pli=1#gid=0"",""1_ACUM!A4:S""),14,FALSE))"),"")</f>
        <v/>
      </c>
      <c r="BB224" s="43" t="str">
        <f ca="1">IFERROR(__xludf.DUMMYFUNCTION("IFERROR(VLOOKUP(E490&amp;F490,IMPORTRANGE(""https://docs.google.com/spreadsheets/d/1Uw7-A9f9R21vMXxHZFNpYNeKFtG8_yji4HS352LGlSQ/edit?pli=1#gid=0"",""1_ACUM!A4:S""),15,FALSE))"),"")</f>
        <v/>
      </c>
      <c r="BC224" s="43" t="str">
        <f ca="1">IFERROR(__xludf.DUMMYFUNCTION("IFERROR(VLOOKUP(E490&amp;F490,IMPORTRANGE(""https://docs.google.com/spreadsheets/d/1Uw7-A9f9R21vMXxHZFNpYNeKFtG8_yji4HS352LGlSQ/edit?pli=1#gid=0"",""1_ACUM!A4:S""),16,FALSE))"),"")</f>
        <v/>
      </c>
      <c r="BD224" s="43" t="str">
        <f ca="1">IFERROR(__xludf.DUMMYFUNCTION("IFERROR(VLOOKUP(E490&amp;F490,IMPORTRANGE(""https://docs.google.com/spreadsheets/d/1Uw7-A9f9R21vMXxHZFNpYNeKFtG8_yji4HS352LGlSQ/edit?pli=1#gid=0"",""1_ACUM!A4:S""),17,FALSE))"),"")</f>
        <v/>
      </c>
      <c r="BE224" s="44" t="str">
        <f ca="1">IFERROR(__xludf.DUMMYFUNCTION("IFERROR(VLOOKUP(E490&amp;F490,IMPORTRANGE(""https://docs.google.com/spreadsheets/d/1Uw7-A9f9R21vMXxHZFNpYNeKFtG8_yji4HS352LGlSQ/edit?pli=1#gid=0"",""1_ACUM!A4:S""),18,FALSE))"),"")</f>
        <v/>
      </c>
      <c r="BF224" s="44" t="str">
        <f ca="1">IFERROR(__xludf.DUMMYFUNCTION("IFERROR(VLOOKUP(E490&amp;F490,IMPORTRANGE(""https://docs.google.com/spreadsheets/d/1Uw7-A9f9R21vMXxHZFNpYNeKFtG8_yji4HS352LGlSQ/edit?pli=1#gid=0"",""1_ACUM!A4:S""),19,FALSE))"),"")</f>
        <v/>
      </c>
      <c r="BG224" s="98" t="str">
        <f ca="1">IFERROR(__xludf.DUMMYFUNCTION("IFERROR(VLOOKUP(F490,IMPORTRANGE(""https://docs.google.com/spreadsheets/d/1Kvs4KS76FHFqLFIZfrDMff4kP08nblUkihrxltoGBjg/edit#gid=934712705"",""ESENCIAL!A6:BG""),5,FALSE))"),"")</f>
        <v/>
      </c>
      <c r="BH224" s="98" t="str">
        <f t="shared" si="17"/>
        <v/>
      </c>
      <c r="BI224" s="99" t="str">
        <f t="shared" si="18"/>
        <v/>
      </c>
      <c r="BJ224" s="100" t="str">
        <f ca="1">IFERROR(__xludf.DUMMYFUNCTION("IFERROR(VLOOKUP(F490,IMPORTRANGE(""https://docs.google.com/spreadsheets/d/1Kvs4KS76FHFqLFIZfrDMff4kP08nblUkihrxltoGBjg/edit#gid=934712705"",""ESENCIAL!A6:BG""),2,FALSE))"),"")</f>
        <v/>
      </c>
      <c r="BK224" s="19" t="str">
        <f t="shared" si="19"/>
        <v/>
      </c>
      <c r="BL224" s="100"/>
      <c r="BM224" s="100"/>
    </row>
    <row r="225" spans="2:65" ht="15">
      <c r="B225" s="39"/>
      <c r="C225" s="5"/>
      <c r="D225" s="123"/>
      <c r="E225" s="39"/>
      <c r="F225" s="39"/>
      <c r="G225" s="39"/>
      <c r="H225" s="5" t="str">
        <f ca="1">IFERROR(__xludf.DUMMYFUNCTION("IFERROR(VLOOKUP(F491,IMPORTRANGE(""https://docs.google.com/spreadsheets/d/1Kvs4KS76FHFqLFIZfrDMff4kP08nblUkihrxltoGBjg/edit#gid=934712705"",""ESENCIAL!A6:BG""),3,FALSE))"),"")</f>
        <v/>
      </c>
      <c r="I225" s="5" t="str">
        <f ca="1">IFERROR(__xludf.DUMMYFUNCTION("IFERROR(VLOOKUP(F491,IMPORTRANGE(""https://docs.google.com/spreadsheets/d/1Kvs4KS76FHFqLFIZfrDMff4kP08nblUkihrxltoGBjg/edit#gid=934712705"",""ESENCIAL!A6:BG""),8,FALSE))"),"")</f>
        <v/>
      </c>
      <c r="J225" s="39"/>
      <c r="M225" s="287"/>
      <c r="AV225" s="41" t="str">
        <f t="shared" si="16"/>
        <v/>
      </c>
      <c r="AW225" s="5" t="str">
        <f ca="1">IFERROR(__xludf.DUMMYFUNCTION("IFERROR(VLOOKUP(E491&amp;F491,IMPORTRANGE(""https://docs.google.com/spreadsheets/d/1Uw7-A9f9R21vMXxHZFNpYNeKFtG8_yji4HS352LGlSQ/edit?pli=1#gid=0"",""1_ACUM!A4:S""),11,FALSE))"),"")</f>
        <v/>
      </c>
      <c r="AX225" s="42" t="str">
        <f ca="1">IFERROR(__xludf.DUMMYFUNCTION("IFERROR(VLOOKUP(F491,IMPORTRANGE(""https://docs.google.com/spreadsheets/d/1Kvs4KS76FHFqLFIZfrDMff4kP08nblUkihrxltoGBjg/edit#gid=934712705"",""ESENCIAL!A6:BG""),15,FALSE))"),"")</f>
        <v/>
      </c>
      <c r="AY225" s="110" t="str">
        <f ca="1">IFERROR(__xludf.DUMMYFUNCTION("IFERROR(VLOOKUP(E491&amp;F491,IMPORTRANGE(""https://docs.google.com/spreadsheets/d/1Uw7-A9f9R21vMXxHZFNpYNeKFtG8_yji4HS352LGlSQ/edit?pli=1#gid=0"",""1_ACUM!A4:S""),13,FALSE))"),"")</f>
        <v/>
      </c>
      <c r="AZ225" s="43" t="str">
        <f ca="1">IFERROR(__xludf.DUMMYFUNCTION("IFERROR(VLOOKUP(E491&amp;F491,IMPORTRANGE(""https://docs.google.com/spreadsheets/d/1Uw7-A9f9R21vMXxHZFNpYNeKFtG8_yji4HS352LGlSQ/edit?pli=1#gid=0"",""1_ACUM!A4:S""),13,FALSE))"),"")</f>
        <v/>
      </c>
      <c r="BA225" s="43" t="str">
        <f ca="1">IFERROR(__xludf.DUMMYFUNCTION("IFERROR(VLOOKUP(E491&amp;F491,IMPORTRANGE(""https://docs.google.com/spreadsheets/d/1Uw7-A9f9R21vMXxHZFNpYNeKFtG8_yji4HS352LGlSQ/edit?pli=1#gid=0"",""1_ACUM!A4:S""),14,FALSE))"),"")</f>
        <v/>
      </c>
      <c r="BB225" s="43" t="str">
        <f ca="1">IFERROR(__xludf.DUMMYFUNCTION("IFERROR(VLOOKUP(E491&amp;F491,IMPORTRANGE(""https://docs.google.com/spreadsheets/d/1Uw7-A9f9R21vMXxHZFNpYNeKFtG8_yji4HS352LGlSQ/edit?pli=1#gid=0"",""1_ACUM!A4:S""),15,FALSE))"),"")</f>
        <v/>
      </c>
      <c r="BC225" s="43" t="str">
        <f ca="1">IFERROR(__xludf.DUMMYFUNCTION("IFERROR(VLOOKUP(E491&amp;F491,IMPORTRANGE(""https://docs.google.com/spreadsheets/d/1Uw7-A9f9R21vMXxHZFNpYNeKFtG8_yji4HS352LGlSQ/edit?pli=1#gid=0"",""1_ACUM!A4:S""),16,FALSE))"),"")</f>
        <v/>
      </c>
      <c r="BD225" s="43" t="str">
        <f ca="1">IFERROR(__xludf.DUMMYFUNCTION("IFERROR(VLOOKUP(E491&amp;F491,IMPORTRANGE(""https://docs.google.com/spreadsheets/d/1Uw7-A9f9R21vMXxHZFNpYNeKFtG8_yji4HS352LGlSQ/edit?pli=1#gid=0"",""1_ACUM!A4:S""),17,FALSE))"),"")</f>
        <v/>
      </c>
      <c r="BE225" s="44" t="str">
        <f ca="1">IFERROR(__xludf.DUMMYFUNCTION("IFERROR(VLOOKUP(E491&amp;F491,IMPORTRANGE(""https://docs.google.com/spreadsheets/d/1Uw7-A9f9R21vMXxHZFNpYNeKFtG8_yji4HS352LGlSQ/edit?pli=1#gid=0"",""1_ACUM!A4:S""),18,FALSE))"),"")</f>
        <v/>
      </c>
      <c r="BF225" s="44" t="str">
        <f ca="1">IFERROR(__xludf.DUMMYFUNCTION("IFERROR(VLOOKUP(E491&amp;F491,IMPORTRANGE(""https://docs.google.com/spreadsheets/d/1Uw7-A9f9R21vMXxHZFNpYNeKFtG8_yji4HS352LGlSQ/edit?pli=1#gid=0"",""1_ACUM!A4:S""),19,FALSE))"),"")</f>
        <v/>
      </c>
      <c r="BG225" s="98" t="str">
        <f ca="1">IFERROR(__xludf.DUMMYFUNCTION("IFERROR(VLOOKUP(F491,IMPORTRANGE(""https://docs.google.com/spreadsheets/d/1Kvs4KS76FHFqLFIZfrDMff4kP08nblUkihrxltoGBjg/edit#gid=934712705"",""ESENCIAL!A6:BG""),5,FALSE))"),"")</f>
        <v/>
      </c>
      <c r="BH225" s="98" t="str">
        <f t="shared" si="17"/>
        <v/>
      </c>
      <c r="BI225" s="99" t="str">
        <f t="shared" si="18"/>
        <v/>
      </c>
      <c r="BJ225" s="100" t="str">
        <f ca="1">IFERROR(__xludf.DUMMYFUNCTION("IFERROR(VLOOKUP(F491,IMPORTRANGE(""https://docs.google.com/spreadsheets/d/1Kvs4KS76FHFqLFIZfrDMff4kP08nblUkihrxltoGBjg/edit#gid=934712705"",""ESENCIAL!A6:BG""),2,FALSE))"),"")</f>
        <v/>
      </c>
      <c r="BK225" s="19" t="str">
        <f t="shared" si="19"/>
        <v/>
      </c>
      <c r="BL225" s="100"/>
      <c r="BM225" s="100"/>
    </row>
    <row r="226" spans="2:65" ht="15">
      <c r="B226" s="39"/>
      <c r="C226" s="5"/>
      <c r="D226" s="123"/>
      <c r="E226" s="39"/>
      <c r="F226" s="39"/>
      <c r="G226" s="39"/>
      <c r="H226" s="5" t="str">
        <f ca="1">IFERROR(__xludf.DUMMYFUNCTION("IFERROR(VLOOKUP(F492,IMPORTRANGE(""https://docs.google.com/spreadsheets/d/1Kvs4KS76FHFqLFIZfrDMff4kP08nblUkihrxltoGBjg/edit#gid=934712705"",""ESENCIAL!A6:BG""),3,FALSE))"),"")</f>
        <v/>
      </c>
      <c r="I226" s="5" t="str">
        <f ca="1">IFERROR(__xludf.DUMMYFUNCTION("IFERROR(VLOOKUP(F492,IMPORTRANGE(""https://docs.google.com/spreadsheets/d/1Kvs4KS76FHFqLFIZfrDMff4kP08nblUkihrxltoGBjg/edit#gid=934712705"",""ESENCIAL!A6:BG""),8,FALSE))"),"")</f>
        <v/>
      </c>
      <c r="J226" s="39"/>
      <c r="M226" s="287"/>
      <c r="AV226" s="41" t="str">
        <f t="shared" si="16"/>
        <v/>
      </c>
      <c r="AW226" s="5" t="str">
        <f ca="1">IFERROR(__xludf.DUMMYFUNCTION("IFERROR(VLOOKUP(E492&amp;F492,IMPORTRANGE(""https://docs.google.com/spreadsheets/d/1Uw7-A9f9R21vMXxHZFNpYNeKFtG8_yji4HS352LGlSQ/edit?pli=1#gid=0"",""1_ACUM!A4:S""),11,FALSE))"),"")</f>
        <v/>
      </c>
      <c r="AX226" s="42" t="str">
        <f ca="1">IFERROR(__xludf.DUMMYFUNCTION("IFERROR(VLOOKUP(F492,IMPORTRANGE(""https://docs.google.com/spreadsheets/d/1Kvs4KS76FHFqLFIZfrDMff4kP08nblUkihrxltoGBjg/edit#gid=934712705"",""ESENCIAL!A6:BG""),15,FALSE))"),"")</f>
        <v/>
      </c>
      <c r="AY226" s="110" t="str">
        <f ca="1">IFERROR(__xludf.DUMMYFUNCTION("IFERROR(VLOOKUP(E492&amp;F492,IMPORTRANGE(""https://docs.google.com/spreadsheets/d/1Uw7-A9f9R21vMXxHZFNpYNeKFtG8_yji4HS352LGlSQ/edit?pli=1#gid=0"",""1_ACUM!A4:S""),13,FALSE))"),"")</f>
        <v/>
      </c>
      <c r="AZ226" s="43" t="str">
        <f ca="1">IFERROR(__xludf.DUMMYFUNCTION("IFERROR(VLOOKUP(E492&amp;F492,IMPORTRANGE(""https://docs.google.com/spreadsheets/d/1Uw7-A9f9R21vMXxHZFNpYNeKFtG8_yji4HS352LGlSQ/edit?pli=1#gid=0"",""1_ACUM!A4:S""),13,FALSE))"),"")</f>
        <v/>
      </c>
      <c r="BA226" s="43" t="str">
        <f ca="1">IFERROR(__xludf.DUMMYFUNCTION("IFERROR(VLOOKUP(E492&amp;F492,IMPORTRANGE(""https://docs.google.com/spreadsheets/d/1Uw7-A9f9R21vMXxHZFNpYNeKFtG8_yji4HS352LGlSQ/edit?pli=1#gid=0"",""1_ACUM!A4:S""),14,FALSE))"),"")</f>
        <v/>
      </c>
      <c r="BB226" s="43" t="str">
        <f ca="1">IFERROR(__xludf.DUMMYFUNCTION("IFERROR(VLOOKUP(E492&amp;F492,IMPORTRANGE(""https://docs.google.com/spreadsheets/d/1Uw7-A9f9R21vMXxHZFNpYNeKFtG8_yji4HS352LGlSQ/edit?pli=1#gid=0"",""1_ACUM!A4:S""),15,FALSE))"),"")</f>
        <v/>
      </c>
      <c r="BC226" s="43" t="str">
        <f ca="1">IFERROR(__xludf.DUMMYFUNCTION("IFERROR(VLOOKUP(E492&amp;F492,IMPORTRANGE(""https://docs.google.com/spreadsheets/d/1Uw7-A9f9R21vMXxHZFNpYNeKFtG8_yji4HS352LGlSQ/edit?pli=1#gid=0"",""1_ACUM!A4:S""),16,FALSE))"),"")</f>
        <v/>
      </c>
      <c r="BD226" s="43" t="str">
        <f ca="1">IFERROR(__xludf.DUMMYFUNCTION("IFERROR(VLOOKUP(E492&amp;F492,IMPORTRANGE(""https://docs.google.com/spreadsheets/d/1Uw7-A9f9R21vMXxHZFNpYNeKFtG8_yji4HS352LGlSQ/edit?pli=1#gid=0"",""1_ACUM!A4:S""),17,FALSE))"),"")</f>
        <v/>
      </c>
      <c r="BE226" s="44" t="str">
        <f ca="1">IFERROR(__xludf.DUMMYFUNCTION("IFERROR(VLOOKUP(E492&amp;F492,IMPORTRANGE(""https://docs.google.com/spreadsheets/d/1Uw7-A9f9R21vMXxHZFNpYNeKFtG8_yji4HS352LGlSQ/edit?pli=1#gid=0"",""1_ACUM!A4:S""),18,FALSE))"),"")</f>
        <v/>
      </c>
      <c r="BF226" s="44" t="str">
        <f ca="1">IFERROR(__xludf.DUMMYFUNCTION("IFERROR(VLOOKUP(E492&amp;F492,IMPORTRANGE(""https://docs.google.com/spreadsheets/d/1Uw7-A9f9R21vMXxHZFNpYNeKFtG8_yji4HS352LGlSQ/edit?pli=1#gid=0"",""1_ACUM!A4:S""),19,FALSE))"),"")</f>
        <v/>
      </c>
      <c r="BG226" s="98" t="str">
        <f ca="1">IFERROR(__xludf.DUMMYFUNCTION("IFERROR(VLOOKUP(F492,IMPORTRANGE(""https://docs.google.com/spreadsheets/d/1Kvs4KS76FHFqLFIZfrDMff4kP08nblUkihrxltoGBjg/edit#gid=934712705"",""ESENCIAL!A6:BG""),5,FALSE))"),"")</f>
        <v/>
      </c>
      <c r="BH226" s="98" t="str">
        <f t="shared" si="17"/>
        <v/>
      </c>
      <c r="BI226" s="99" t="str">
        <f t="shared" si="18"/>
        <v/>
      </c>
      <c r="BJ226" s="100" t="str">
        <f ca="1">IFERROR(__xludf.DUMMYFUNCTION("IFERROR(VLOOKUP(F492,IMPORTRANGE(""https://docs.google.com/spreadsheets/d/1Kvs4KS76FHFqLFIZfrDMff4kP08nblUkihrxltoGBjg/edit#gid=934712705"",""ESENCIAL!A6:BG""),2,FALSE))"),"")</f>
        <v/>
      </c>
      <c r="BK226" s="19" t="str">
        <f t="shared" si="19"/>
        <v/>
      </c>
      <c r="BL226" s="100"/>
      <c r="BM226" s="100"/>
    </row>
    <row r="227" spans="2:65" ht="15">
      <c r="B227" s="39"/>
      <c r="C227" s="5"/>
      <c r="D227" s="123"/>
      <c r="E227" s="39"/>
      <c r="F227" s="39"/>
      <c r="G227" s="39"/>
      <c r="H227" s="5" t="str">
        <f ca="1">IFERROR(__xludf.DUMMYFUNCTION("IFERROR(VLOOKUP(F493,IMPORTRANGE(""https://docs.google.com/spreadsheets/d/1Kvs4KS76FHFqLFIZfrDMff4kP08nblUkihrxltoGBjg/edit#gid=934712705"",""ESENCIAL!A6:BG""),3,FALSE))"),"")</f>
        <v/>
      </c>
      <c r="I227" s="5" t="str">
        <f ca="1">IFERROR(__xludf.DUMMYFUNCTION("IFERROR(VLOOKUP(F493,IMPORTRANGE(""https://docs.google.com/spreadsheets/d/1Kvs4KS76FHFqLFIZfrDMff4kP08nblUkihrxltoGBjg/edit#gid=934712705"",""ESENCIAL!A6:BG""),8,FALSE))"),"")</f>
        <v/>
      </c>
      <c r="J227" s="39"/>
      <c r="M227" s="287"/>
      <c r="AV227" s="41" t="str">
        <f t="shared" si="16"/>
        <v/>
      </c>
      <c r="AW227" s="5" t="str">
        <f ca="1">IFERROR(__xludf.DUMMYFUNCTION("IFERROR(VLOOKUP(E493&amp;F493,IMPORTRANGE(""https://docs.google.com/spreadsheets/d/1Uw7-A9f9R21vMXxHZFNpYNeKFtG8_yji4HS352LGlSQ/edit?pli=1#gid=0"",""1_ACUM!A4:S""),11,FALSE))"),"")</f>
        <v/>
      </c>
      <c r="AX227" s="42" t="str">
        <f ca="1">IFERROR(__xludf.DUMMYFUNCTION("IFERROR(VLOOKUP(F493,IMPORTRANGE(""https://docs.google.com/spreadsheets/d/1Kvs4KS76FHFqLFIZfrDMff4kP08nblUkihrxltoGBjg/edit#gid=934712705"",""ESENCIAL!A6:BG""),15,FALSE))"),"")</f>
        <v/>
      </c>
      <c r="AY227" s="110" t="str">
        <f ca="1">IFERROR(__xludf.DUMMYFUNCTION("IFERROR(VLOOKUP(E493&amp;F493,IMPORTRANGE(""https://docs.google.com/spreadsheets/d/1Uw7-A9f9R21vMXxHZFNpYNeKFtG8_yji4HS352LGlSQ/edit?pli=1#gid=0"",""1_ACUM!A4:S""),13,FALSE))"),"")</f>
        <v/>
      </c>
      <c r="AZ227" s="43" t="str">
        <f ca="1">IFERROR(__xludf.DUMMYFUNCTION("IFERROR(VLOOKUP(E493&amp;F493,IMPORTRANGE(""https://docs.google.com/spreadsheets/d/1Uw7-A9f9R21vMXxHZFNpYNeKFtG8_yji4HS352LGlSQ/edit?pli=1#gid=0"",""1_ACUM!A4:S""),13,FALSE))"),"")</f>
        <v/>
      </c>
      <c r="BA227" s="43" t="str">
        <f ca="1">IFERROR(__xludf.DUMMYFUNCTION("IFERROR(VLOOKUP(E493&amp;F493,IMPORTRANGE(""https://docs.google.com/spreadsheets/d/1Uw7-A9f9R21vMXxHZFNpYNeKFtG8_yji4HS352LGlSQ/edit?pli=1#gid=0"",""1_ACUM!A4:S""),14,FALSE))"),"")</f>
        <v/>
      </c>
      <c r="BB227" s="43" t="str">
        <f ca="1">IFERROR(__xludf.DUMMYFUNCTION("IFERROR(VLOOKUP(E493&amp;F493,IMPORTRANGE(""https://docs.google.com/spreadsheets/d/1Uw7-A9f9R21vMXxHZFNpYNeKFtG8_yji4HS352LGlSQ/edit?pli=1#gid=0"",""1_ACUM!A4:S""),15,FALSE))"),"")</f>
        <v/>
      </c>
      <c r="BC227" s="43" t="str">
        <f ca="1">IFERROR(__xludf.DUMMYFUNCTION("IFERROR(VLOOKUP(E493&amp;F493,IMPORTRANGE(""https://docs.google.com/spreadsheets/d/1Uw7-A9f9R21vMXxHZFNpYNeKFtG8_yji4HS352LGlSQ/edit?pli=1#gid=0"",""1_ACUM!A4:S""),16,FALSE))"),"")</f>
        <v/>
      </c>
      <c r="BD227" s="43" t="str">
        <f ca="1">IFERROR(__xludf.DUMMYFUNCTION("IFERROR(VLOOKUP(E493&amp;F493,IMPORTRANGE(""https://docs.google.com/spreadsheets/d/1Uw7-A9f9R21vMXxHZFNpYNeKFtG8_yji4HS352LGlSQ/edit?pli=1#gid=0"",""1_ACUM!A4:S""),17,FALSE))"),"")</f>
        <v/>
      </c>
      <c r="BE227" s="44" t="str">
        <f ca="1">IFERROR(__xludf.DUMMYFUNCTION("IFERROR(VLOOKUP(E493&amp;F493,IMPORTRANGE(""https://docs.google.com/spreadsheets/d/1Uw7-A9f9R21vMXxHZFNpYNeKFtG8_yji4HS352LGlSQ/edit?pli=1#gid=0"",""1_ACUM!A4:S""),18,FALSE))"),"")</f>
        <v/>
      </c>
      <c r="BF227" s="44" t="str">
        <f ca="1">IFERROR(__xludf.DUMMYFUNCTION("IFERROR(VLOOKUP(E493&amp;F493,IMPORTRANGE(""https://docs.google.com/spreadsheets/d/1Uw7-A9f9R21vMXxHZFNpYNeKFtG8_yji4HS352LGlSQ/edit?pli=1#gid=0"",""1_ACUM!A4:S""),19,FALSE))"),"")</f>
        <v/>
      </c>
      <c r="BG227" s="98" t="str">
        <f ca="1">IFERROR(__xludf.DUMMYFUNCTION("IFERROR(VLOOKUP(F493,IMPORTRANGE(""https://docs.google.com/spreadsheets/d/1Kvs4KS76FHFqLFIZfrDMff4kP08nblUkihrxltoGBjg/edit#gid=934712705"",""ESENCIAL!A6:BG""),5,FALSE))"),"")</f>
        <v/>
      </c>
      <c r="BH227" s="98" t="str">
        <f t="shared" si="17"/>
        <v/>
      </c>
      <c r="BI227" s="99" t="str">
        <f t="shared" si="18"/>
        <v/>
      </c>
      <c r="BJ227" s="100" t="str">
        <f ca="1">IFERROR(__xludf.DUMMYFUNCTION("IFERROR(VLOOKUP(F493,IMPORTRANGE(""https://docs.google.com/spreadsheets/d/1Kvs4KS76FHFqLFIZfrDMff4kP08nblUkihrxltoGBjg/edit#gid=934712705"",""ESENCIAL!A6:BG""),2,FALSE))"),"")</f>
        <v/>
      </c>
      <c r="BK227" s="19" t="str">
        <f t="shared" si="19"/>
        <v/>
      </c>
      <c r="BL227" s="100"/>
      <c r="BM227" s="100"/>
    </row>
    <row r="228" spans="2:65" ht="15">
      <c r="B228" s="39"/>
      <c r="C228" s="5"/>
      <c r="D228" s="123"/>
      <c r="E228" s="39"/>
      <c r="F228" s="39"/>
      <c r="G228" s="39"/>
      <c r="H228" s="5" t="str">
        <f ca="1">IFERROR(__xludf.DUMMYFUNCTION("IFERROR(VLOOKUP(F494,IMPORTRANGE(""https://docs.google.com/spreadsheets/d/1Kvs4KS76FHFqLFIZfrDMff4kP08nblUkihrxltoGBjg/edit#gid=934712705"",""ESENCIAL!A6:BG""),3,FALSE))"),"")</f>
        <v/>
      </c>
      <c r="I228" s="5" t="str">
        <f ca="1">IFERROR(__xludf.DUMMYFUNCTION("IFERROR(VLOOKUP(F494,IMPORTRANGE(""https://docs.google.com/spreadsheets/d/1Kvs4KS76FHFqLFIZfrDMff4kP08nblUkihrxltoGBjg/edit#gid=934712705"",""ESENCIAL!A6:BG""),8,FALSE))"),"")</f>
        <v/>
      </c>
      <c r="J228" s="39"/>
      <c r="M228" s="287"/>
      <c r="AV228" s="41" t="str">
        <f t="shared" si="16"/>
        <v/>
      </c>
      <c r="AW228" s="5" t="str">
        <f ca="1">IFERROR(__xludf.DUMMYFUNCTION("IFERROR(VLOOKUP(E494&amp;F494,IMPORTRANGE(""https://docs.google.com/spreadsheets/d/1Uw7-A9f9R21vMXxHZFNpYNeKFtG8_yji4HS352LGlSQ/edit?pli=1#gid=0"",""1_ACUM!A4:S""),11,FALSE))"),"")</f>
        <v/>
      </c>
      <c r="AX228" s="42" t="str">
        <f ca="1">IFERROR(__xludf.DUMMYFUNCTION("IFERROR(VLOOKUP(F494,IMPORTRANGE(""https://docs.google.com/spreadsheets/d/1Kvs4KS76FHFqLFIZfrDMff4kP08nblUkihrxltoGBjg/edit#gid=934712705"",""ESENCIAL!A6:BG""),15,FALSE))"),"")</f>
        <v/>
      </c>
      <c r="AY228" s="110" t="str">
        <f ca="1">IFERROR(__xludf.DUMMYFUNCTION("IFERROR(VLOOKUP(E494&amp;F494,IMPORTRANGE(""https://docs.google.com/spreadsheets/d/1Uw7-A9f9R21vMXxHZFNpYNeKFtG8_yji4HS352LGlSQ/edit?pli=1#gid=0"",""1_ACUM!A4:S""),13,FALSE))"),"")</f>
        <v/>
      </c>
      <c r="AZ228" s="43" t="str">
        <f ca="1">IFERROR(__xludf.DUMMYFUNCTION("IFERROR(VLOOKUP(E494&amp;F494,IMPORTRANGE(""https://docs.google.com/spreadsheets/d/1Uw7-A9f9R21vMXxHZFNpYNeKFtG8_yji4HS352LGlSQ/edit?pli=1#gid=0"",""1_ACUM!A4:S""),13,FALSE))"),"")</f>
        <v/>
      </c>
      <c r="BA228" s="43" t="str">
        <f ca="1">IFERROR(__xludf.DUMMYFUNCTION("IFERROR(VLOOKUP(E494&amp;F494,IMPORTRANGE(""https://docs.google.com/spreadsheets/d/1Uw7-A9f9R21vMXxHZFNpYNeKFtG8_yji4HS352LGlSQ/edit?pli=1#gid=0"",""1_ACUM!A4:S""),14,FALSE))"),"")</f>
        <v/>
      </c>
      <c r="BB228" s="43" t="str">
        <f ca="1">IFERROR(__xludf.DUMMYFUNCTION("IFERROR(VLOOKUP(E494&amp;F494,IMPORTRANGE(""https://docs.google.com/spreadsheets/d/1Uw7-A9f9R21vMXxHZFNpYNeKFtG8_yji4HS352LGlSQ/edit?pli=1#gid=0"",""1_ACUM!A4:S""),15,FALSE))"),"")</f>
        <v/>
      </c>
      <c r="BC228" s="43" t="str">
        <f ca="1">IFERROR(__xludf.DUMMYFUNCTION("IFERROR(VLOOKUP(E494&amp;F494,IMPORTRANGE(""https://docs.google.com/spreadsheets/d/1Uw7-A9f9R21vMXxHZFNpYNeKFtG8_yji4HS352LGlSQ/edit?pli=1#gid=0"",""1_ACUM!A4:S""),16,FALSE))"),"")</f>
        <v/>
      </c>
      <c r="BD228" s="43" t="str">
        <f ca="1">IFERROR(__xludf.DUMMYFUNCTION("IFERROR(VLOOKUP(E494&amp;F494,IMPORTRANGE(""https://docs.google.com/spreadsheets/d/1Uw7-A9f9R21vMXxHZFNpYNeKFtG8_yji4HS352LGlSQ/edit?pli=1#gid=0"",""1_ACUM!A4:S""),17,FALSE))"),"")</f>
        <v/>
      </c>
      <c r="BE228" s="44" t="str">
        <f ca="1">IFERROR(__xludf.DUMMYFUNCTION("IFERROR(VLOOKUP(E494&amp;F494,IMPORTRANGE(""https://docs.google.com/spreadsheets/d/1Uw7-A9f9R21vMXxHZFNpYNeKFtG8_yji4HS352LGlSQ/edit?pli=1#gid=0"",""1_ACUM!A4:S""),18,FALSE))"),"")</f>
        <v/>
      </c>
      <c r="BF228" s="44" t="str">
        <f ca="1">IFERROR(__xludf.DUMMYFUNCTION("IFERROR(VLOOKUP(E494&amp;F494,IMPORTRANGE(""https://docs.google.com/spreadsheets/d/1Uw7-A9f9R21vMXxHZFNpYNeKFtG8_yji4HS352LGlSQ/edit?pli=1#gid=0"",""1_ACUM!A4:S""),19,FALSE))"),"")</f>
        <v/>
      </c>
      <c r="BG228" s="98" t="str">
        <f ca="1">IFERROR(__xludf.DUMMYFUNCTION("IFERROR(VLOOKUP(F494,IMPORTRANGE(""https://docs.google.com/spreadsheets/d/1Kvs4KS76FHFqLFIZfrDMff4kP08nblUkihrxltoGBjg/edit#gid=934712705"",""ESENCIAL!A6:BG""),5,FALSE))"),"")</f>
        <v/>
      </c>
      <c r="BH228" s="98" t="str">
        <f t="shared" si="17"/>
        <v/>
      </c>
      <c r="BI228" s="99" t="str">
        <f t="shared" si="18"/>
        <v/>
      </c>
      <c r="BJ228" s="100" t="str">
        <f ca="1">IFERROR(__xludf.DUMMYFUNCTION("IFERROR(VLOOKUP(F494,IMPORTRANGE(""https://docs.google.com/spreadsheets/d/1Kvs4KS76FHFqLFIZfrDMff4kP08nblUkihrxltoGBjg/edit#gid=934712705"",""ESENCIAL!A6:BG""),2,FALSE))"),"")</f>
        <v/>
      </c>
      <c r="BK228" s="19" t="str">
        <f t="shared" si="19"/>
        <v/>
      </c>
      <c r="BL228" s="100"/>
      <c r="BM228" s="100"/>
    </row>
    <row r="229" spans="2:65" ht="15">
      <c r="B229" s="39"/>
      <c r="C229" s="5"/>
      <c r="D229" s="123"/>
      <c r="E229" s="39"/>
      <c r="F229" s="39"/>
      <c r="G229" s="39"/>
      <c r="H229" s="5" t="str">
        <f ca="1">IFERROR(__xludf.DUMMYFUNCTION("IFERROR(VLOOKUP(F495,IMPORTRANGE(""https://docs.google.com/spreadsheets/d/1Kvs4KS76FHFqLFIZfrDMff4kP08nblUkihrxltoGBjg/edit#gid=934712705"",""ESENCIAL!A6:BG""),3,FALSE))"),"")</f>
        <v/>
      </c>
      <c r="I229" s="5" t="str">
        <f ca="1">IFERROR(__xludf.DUMMYFUNCTION("IFERROR(VLOOKUP(F495,IMPORTRANGE(""https://docs.google.com/spreadsheets/d/1Kvs4KS76FHFqLFIZfrDMff4kP08nblUkihrxltoGBjg/edit#gid=934712705"",""ESENCIAL!A6:BG""),8,FALSE))"),"")</f>
        <v/>
      </c>
      <c r="J229" s="39"/>
      <c r="M229" s="287"/>
      <c r="AV229" s="41" t="str">
        <f t="shared" si="16"/>
        <v/>
      </c>
      <c r="AW229" s="5" t="str">
        <f ca="1">IFERROR(__xludf.DUMMYFUNCTION("IFERROR(VLOOKUP(E495&amp;F495,IMPORTRANGE(""https://docs.google.com/spreadsheets/d/1Uw7-A9f9R21vMXxHZFNpYNeKFtG8_yji4HS352LGlSQ/edit?pli=1#gid=0"",""1_ACUM!A4:S""),11,FALSE))"),"")</f>
        <v/>
      </c>
      <c r="AX229" s="42" t="str">
        <f ca="1">IFERROR(__xludf.DUMMYFUNCTION("IFERROR(VLOOKUP(F495,IMPORTRANGE(""https://docs.google.com/spreadsheets/d/1Kvs4KS76FHFqLFIZfrDMff4kP08nblUkihrxltoGBjg/edit#gid=934712705"",""ESENCIAL!A6:BG""),15,FALSE))"),"")</f>
        <v/>
      </c>
      <c r="AY229" s="110" t="str">
        <f ca="1">IFERROR(__xludf.DUMMYFUNCTION("IFERROR(VLOOKUP(E495&amp;F495,IMPORTRANGE(""https://docs.google.com/spreadsheets/d/1Uw7-A9f9R21vMXxHZFNpYNeKFtG8_yji4HS352LGlSQ/edit?pli=1#gid=0"",""1_ACUM!A4:S""),13,FALSE))"),"")</f>
        <v/>
      </c>
      <c r="AZ229" s="43" t="str">
        <f ca="1">IFERROR(__xludf.DUMMYFUNCTION("IFERROR(VLOOKUP(E495&amp;F495,IMPORTRANGE(""https://docs.google.com/spreadsheets/d/1Uw7-A9f9R21vMXxHZFNpYNeKFtG8_yji4HS352LGlSQ/edit?pli=1#gid=0"",""1_ACUM!A4:S""),13,FALSE))"),"")</f>
        <v/>
      </c>
      <c r="BA229" s="43" t="str">
        <f ca="1">IFERROR(__xludf.DUMMYFUNCTION("IFERROR(VLOOKUP(E495&amp;F495,IMPORTRANGE(""https://docs.google.com/spreadsheets/d/1Uw7-A9f9R21vMXxHZFNpYNeKFtG8_yji4HS352LGlSQ/edit?pli=1#gid=0"",""1_ACUM!A4:S""),14,FALSE))"),"")</f>
        <v/>
      </c>
      <c r="BB229" s="43" t="str">
        <f ca="1">IFERROR(__xludf.DUMMYFUNCTION("IFERROR(VLOOKUP(E495&amp;F495,IMPORTRANGE(""https://docs.google.com/spreadsheets/d/1Uw7-A9f9R21vMXxHZFNpYNeKFtG8_yji4HS352LGlSQ/edit?pli=1#gid=0"",""1_ACUM!A4:S""),15,FALSE))"),"")</f>
        <v/>
      </c>
      <c r="BC229" s="43" t="str">
        <f ca="1">IFERROR(__xludf.DUMMYFUNCTION("IFERROR(VLOOKUP(E495&amp;F495,IMPORTRANGE(""https://docs.google.com/spreadsheets/d/1Uw7-A9f9R21vMXxHZFNpYNeKFtG8_yji4HS352LGlSQ/edit?pli=1#gid=0"",""1_ACUM!A4:S""),16,FALSE))"),"")</f>
        <v/>
      </c>
      <c r="BD229" s="43" t="str">
        <f ca="1">IFERROR(__xludf.DUMMYFUNCTION("IFERROR(VLOOKUP(E495&amp;F495,IMPORTRANGE(""https://docs.google.com/spreadsheets/d/1Uw7-A9f9R21vMXxHZFNpYNeKFtG8_yji4HS352LGlSQ/edit?pli=1#gid=0"",""1_ACUM!A4:S""),17,FALSE))"),"")</f>
        <v/>
      </c>
      <c r="BE229" s="44" t="str">
        <f ca="1">IFERROR(__xludf.DUMMYFUNCTION("IFERROR(VLOOKUP(E495&amp;F495,IMPORTRANGE(""https://docs.google.com/spreadsheets/d/1Uw7-A9f9R21vMXxHZFNpYNeKFtG8_yji4HS352LGlSQ/edit?pli=1#gid=0"",""1_ACUM!A4:S""),18,FALSE))"),"")</f>
        <v/>
      </c>
      <c r="BF229" s="44" t="str">
        <f ca="1">IFERROR(__xludf.DUMMYFUNCTION("IFERROR(VLOOKUP(E495&amp;F495,IMPORTRANGE(""https://docs.google.com/spreadsheets/d/1Uw7-A9f9R21vMXxHZFNpYNeKFtG8_yji4HS352LGlSQ/edit?pli=1#gid=0"",""1_ACUM!A4:S""),19,FALSE))"),"")</f>
        <v/>
      </c>
      <c r="BG229" s="98" t="str">
        <f ca="1">IFERROR(__xludf.DUMMYFUNCTION("IFERROR(VLOOKUP(F495,IMPORTRANGE(""https://docs.google.com/spreadsheets/d/1Kvs4KS76FHFqLFIZfrDMff4kP08nblUkihrxltoGBjg/edit#gid=934712705"",""ESENCIAL!A6:BG""),5,FALSE))"),"")</f>
        <v/>
      </c>
      <c r="BH229" s="98" t="str">
        <f t="shared" si="17"/>
        <v/>
      </c>
      <c r="BI229" s="99" t="str">
        <f t="shared" si="18"/>
        <v/>
      </c>
      <c r="BJ229" s="100" t="str">
        <f ca="1">IFERROR(__xludf.DUMMYFUNCTION("IFERROR(VLOOKUP(F495,IMPORTRANGE(""https://docs.google.com/spreadsheets/d/1Kvs4KS76FHFqLFIZfrDMff4kP08nblUkihrxltoGBjg/edit#gid=934712705"",""ESENCIAL!A6:BG""),2,FALSE))"),"")</f>
        <v/>
      </c>
      <c r="BK229" s="19" t="str">
        <f t="shared" si="19"/>
        <v/>
      </c>
      <c r="BL229" s="100"/>
      <c r="BM229" s="100"/>
    </row>
    <row r="230" spans="2:65" ht="15">
      <c r="B230" s="39"/>
      <c r="C230" s="5"/>
      <c r="D230" s="123"/>
      <c r="E230" s="39"/>
      <c r="F230" s="39"/>
      <c r="G230" s="39"/>
      <c r="H230" s="5" t="str">
        <f ca="1">IFERROR(__xludf.DUMMYFUNCTION("IFERROR(VLOOKUP(F496,IMPORTRANGE(""https://docs.google.com/spreadsheets/d/1Kvs4KS76FHFqLFIZfrDMff4kP08nblUkihrxltoGBjg/edit#gid=934712705"",""ESENCIAL!A6:BG""),3,FALSE))"),"")</f>
        <v/>
      </c>
      <c r="I230" s="5" t="str">
        <f ca="1">IFERROR(__xludf.DUMMYFUNCTION("IFERROR(VLOOKUP(F496,IMPORTRANGE(""https://docs.google.com/spreadsheets/d/1Kvs4KS76FHFqLFIZfrDMff4kP08nblUkihrxltoGBjg/edit#gid=934712705"",""ESENCIAL!A6:BG""),8,FALSE))"),"")</f>
        <v/>
      </c>
      <c r="J230" s="39"/>
      <c r="M230" s="287"/>
      <c r="AV230" s="41" t="str">
        <f t="shared" si="16"/>
        <v/>
      </c>
      <c r="AW230" s="5" t="str">
        <f ca="1">IFERROR(__xludf.DUMMYFUNCTION("IFERROR(VLOOKUP(E496&amp;F496,IMPORTRANGE(""https://docs.google.com/spreadsheets/d/1Uw7-A9f9R21vMXxHZFNpYNeKFtG8_yji4HS352LGlSQ/edit?pli=1#gid=0"",""1_ACUM!A4:S""),11,FALSE))"),"")</f>
        <v/>
      </c>
      <c r="AX230" s="42" t="str">
        <f ca="1">IFERROR(__xludf.DUMMYFUNCTION("IFERROR(VLOOKUP(F496,IMPORTRANGE(""https://docs.google.com/spreadsheets/d/1Kvs4KS76FHFqLFIZfrDMff4kP08nblUkihrxltoGBjg/edit#gid=934712705"",""ESENCIAL!A6:BG""),15,FALSE))"),"")</f>
        <v/>
      </c>
      <c r="AY230" s="110" t="str">
        <f ca="1">IFERROR(__xludf.DUMMYFUNCTION("IFERROR(VLOOKUP(E496&amp;F496,IMPORTRANGE(""https://docs.google.com/spreadsheets/d/1Uw7-A9f9R21vMXxHZFNpYNeKFtG8_yji4HS352LGlSQ/edit?pli=1#gid=0"",""1_ACUM!A4:S""),13,FALSE))"),"")</f>
        <v/>
      </c>
      <c r="AZ230" s="43" t="str">
        <f ca="1">IFERROR(__xludf.DUMMYFUNCTION("IFERROR(VLOOKUP(E496&amp;F496,IMPORTRANGE(""https://docs.google.com/spreadsheets/d/1Uw7-A9f9R21vMXxHZFNpYNeKFtG8_yji4HS352LGlSQ/edit?pli=1#gid=0"",""1_ACUM!A4:S""),13,FALSE))"),"")</f>
        <v/>
      </c>
      <c r="BA230" s="43" t="str">
        <f ca="1">IFERROR(__xludf.DUMMYFUNCTION("IFERROR(VLOOKUP(E496&amp;F496,IMPORTRANGE(""https://docs.google.com/spreadsheets/d/1Uw7-A9f9R21vMXxHZFNpYNeKFtG8_yji4HS352LGlSQ/edit?pli=1#gid=0"",""1_ACUM!A4:S""),14,FALSE))"),"")</f>
        <v/>
      </c>
      <c r="BB230" s="43" t="str">
        <f ca="1">IFERROR(__xludf.DUMMYFUNCTION("IFERROR(VLOOKUP(E496&amp;F496,IMPORTRANGE(""https://docs.google.com/spreadsheets/d/1Uw7-A9f9R21vMXxHZFNpYNeKFtG8_yji4HS352LGlSQ/edit?pli=1#gid=0"",""1_ACUM!A4:S""),15,FALSE))"),"")</f>
        <v/>
      </c>
      <c r="BC230" s="43" t="str">
        <f ca="1">IFERROR(__xludf.DUMMYFUNCTION("IFERROR(VLOOKUP(E496&amp;F496,IMPORTRANGE(""https://docs.google.com/spreadsheets/d/1Uw7-A9f9R21vMXxHZFNpYNeKFtG8_yji4HS352LGlSQ/edit?pli=1#gid=0"",""1_ACUM!A4:S""),16,FALSE))"),"")</f>
        <v/>
      </c>
      <c r="BD230" s="43" t="str">
        <f ca="1">IFERROR(__xludf.DUMMYFUNCTION("IFERROR(VLOOKUP(E496&amp;F496,IMPORTRANGE(""https://docs.google.com/spreadsheets/d/1Uw7-A9f9R21vMXxHZFNpYNeKFtG8_yji4HS352LGlSQ/edit?pli=1#gid=0"",""1_ACUM!A4:S""),17,FALSE))"),"")</f>
        <v/>
      </c>
      <c r="BE230" s="44" t="str">
        <f ca="1">IFERROR(__xludf.DUMMYFUNCTION("IFERROR(VLOOKUP(E496&amp;F496,IMPORTRANGE(""https://docs.google.com/spreadsheets/d/1Uw7-A9f9R21vMXxHZFNpYNeKFtG8_yji4HS352LGlSQ/edit?pli=1#gid=0"",""1_ACUM!A4:S""),18,FALSE))"),"")</f>
        <v/>
      </c>
      <c r="BF230" s="44" t="str">
        <f ca="1">IFERROR(__xludf.DUMMYFUNCTION("IFERROR(VLOOKUP(E496&amp;F496,IMPORTRANGE(""https://docs.google.com/spreadsheets/d/1Uw7-A9f9R21vMXxHZFNpYNeKFtG8_yji4HS352LGlSQ/edit?pli=1#gid=0"",""1_ACUM!A4:S""),19,FALSE))"),"")</f>
        <v/>
      </c>
      <c r="BG230" s="98" t="str">
        <f ca="1">IFERROR(__xludf.DUMMYFUNCTION("IFERROR(VLOOKUP(F496,IMPORTRANGE(""https://docs.google.com/spreadsheets/d/1Kvs4KS76FHFqLFIZfrDMff4kP08nblUkihrxltoGBjg/edit#gid=934712705"",""ESENCIAL!A6:BG""),5,FALSE))"),"")</f>
        <v/>
      </c>
      <c r="BH230" s="98" t="str">
        <f t="shared" si="17"/>
        <v/>
      </c>
      <c r="BI230" s="99" t="str">
        <f t="shared" si="18"/>
        <v/>
      </c>
      <c r="BJ230" s="100" t="str">
        <f ca="1">IFERROR(__xludf.DUMMYFUNCTION("IFERROR(VLOOKUP(F496,IMPORTRANGE(""https://docs.google.com/spreadsheets/d/1Kvs4KS76FHFqLFIZfrDMff4kP08nblUkihrxltoGBjg/edit#gid=934712705"",""ESENCIAL!A6:BG""),2,FALSE))"),"")</f>
        <v/>
      </c>
      <c r="BK230" s="19" t="str">
        <f t="shared" si="19"/>
        <v/>
      </c>
      <c r="BL230" s="100"/>
      <c r="BM230" s="100"/>
    </row>
    <row r="231" spans="2:65" ht="15">
      <c r="B231" s="39"/>
      <c r="C231" s="5"/>
      <c r="D231" s="123"/>
      <c r="E231" s="39"/>
      <c r="F231" s="39"/>
      <c r="G231" s="39"/>
      <c r="H231" s="5" t="str">
        <f ca="1">IFERROR(__xludf.DUMMYFUNCTION("IFERROR(VLOOKUP(F497,IMPORTRANGE(""https://docs.google.com/spreadsheets/d/1Kvs4KS76FHFqLFIZfrDMff4kP08nblUkihrxltoGBjg/edit#gid=934712705"",""ESENCIAL!A6:BG""),3,FALSE))"),"")</f>
        <v/>
      </c>
      <c r="I231" s="5" t="str">
        <f ca="1">IFERROR(__xludf.DUMMYFUNCTION("IFERROR(VLOOKUP(F497,IMPORTRANGE(""https://docs.google.com/spreadsheets/d/1Kvs4KS76FHFqLFIZfrDMff4kP08nblUkihrxltoGBjg/edit#gid=934712705"",""ESENCIAL!A6:BG""),8,FALSE))"),"")</f>
        <v/>
      </c>
      <c r="J231" s="39"/>
      <c r="M231" s="287"/>
      <c r="AV231" s="41" t="str">
        <f t="shared" si="16"/>
        <v/>
      </c>
      <c r="AW231" s="5" t="str">
        <f ca="1">IFERROR(__xludf.DUMMYFUNCTION("IFERROR(VLOOKUP(E497&amp;F497,IMPORTRANGE(""https://docs.google.com/spreadsheets/d/1Uw7-A9f9R21vMXxHZFNpYNeKFtG8_yji4HS352LGlSQ/edit?pli=1#gid=0"",""1_ACUM!A4:S""),11,FALSE))"),"")</f>
        <v/>
      </c>
      <c r="AX231" s="42" t="str">
        <f ca="1">IFERROR(__xludf.DUMMYFUNCTION("IFERROR(VLOOKUP(F497,IMPORTRANGE(""https://docs.google.com/spreadsheets/d/1Kvs4KS76FHFqLFIZfrDMff4kP08nblUkihrxltoGBjg/edit#gid=934712705"",""ESENCIAL!A6:BG""),15,FALSE))"),"")</f>
        <v/>
      </c>
      <c r="AY231" s="110" t="str">
        <f ca="1">IFERROR(__xludf.DUMMYFUNCTION("IFERROR(VLOOKUP(E497&amp;F497,IMPORTRANGE(""https://docs.google.com/spreadsheets/d/1Uw7-A9f9R21vMXxHZFNpYNeKFtG8_yji4HS352LGlSQ/edit?pli=1#gid=0"",""1_ACUM!A4:S""),13,FALSE))"),"")</f>
        <v/>
      </c>
      <c r="AZ231" s="43" t="str">
        <f ca="1">IFERROR(__xludf.DUMMYFUNCTION("IFERROR(VLOOKUP(E497&amp;F497,IMPORTRANGE(""https://docs.google.com/spreadsheets/d/1Uw7-A9f9R21vMXxHZFNpYNeKFtG8_yji4HS352LGlSQ/edit?pli=1#gid=0"",""1_ACUM!A4:S""),13,FALSE))"),"")</f>
        <v/>
      </c>
      <c r="BA231" s="43" t="str">
        <f ca="1">IFERROR(__xludf.DUMMYFUNCTION("IFERROR(VLOOKUP(E497&amp;F497,IMPORTRANGE(""https://docs.google.com/spreadsheets/d/1Uw7-A9f9R21vMXxHZFNpYNeKFtG8_yji4HS352LGlSQ/edit?pli=1#gid=0"",""1_ACUM!A4:S""),14,FALSE))"),"")</f>
        <v/>
      </c>
      <c r="BB231" s="43" t="str">
        <f ca="1">IFERROR(__xludf.DUMMYFUNCTION("IFERROR(VLOOKUP(E497&amp;F497,IMPORTRANGE(""https://docs.google.com/spreadsheets/d/1Uw7-A9f9R21vMXxHZFNpYNeKFtG8_yji4HS352LGlSQ/edit?pli=1#gid=0"",""1_ACUM!A4:S""),15,FALSE))"),"")</f>
        <v/>
      </c>
      <c r="BC231" s="43" t="str">
        <f ca="1">IFERROR(__xludf.DUMMYFUNCTION("IFERROR(VLOOKUP(E497&amp;F497,IMPORTRANGE(""https://docs.google.com/spreadsheets/d/1Uw7-A9f9R21vMXxHZFNpYNeKFtG8_yji4HS352LGlSQ/edit?pli=1#gid=0"",""1_ACUM!A4:S""),16,FALSE))"),"")</f>
        <v/>
      </c>
      <c r="BD231" s="43" t="str">
        <f ca="1">IFERROR(__xludf.DUMMYFUNCTION("IFERROR(VLOOKUP(E497&amp;F497,IMPORTRANGE(""https://docs.google.com/spreadsheets/d/1Uw7-A9f9R21vMXxHZFNpYNeKFtG8_yji4HS352LGlSQ/edit?pli=1#gid=0"",""1_ACUM!A4:S""),17,FALSE))"),"")</f>
        <v/>
      </c>
      <c r="BE231" s="44" t="str">
        <f ca="1">IFERROR(__xludf.DUMMYFUNCTION("IFERROR(VLOOKUP(E497&amp;F497,IMPORTRANGE(""https://docs.google.com/spreadsheets/d/1Uw7-A9f9R21vMXxHZFNpYNeKFtG8_yji4HS352LGlSQ/edit?pli=1#gid=0"",""1_ACUM!A4:S""),18,FALSE))"),"")</f>
        <v/>
      </c>
      <c r="BF231" s="44" t="str">
        <f ca="1">IFERROR(__xludf.DUMMYFUNCTION("IFERROR(VLOOKUP(E497&amp;F497,IMPORTRANGE(""https://docs.google.com/spreadsheets/d/1Uw7-A9f9R21vMXxHZFNpYNeKFtG8_yji4HS352LGlSQ/edit?pli=1#gid=0"",""1_ACUM!A4:S""),19,FALSE))"),"")</f>
        <v/>
      </c>
      <c r="BG231" s="98" t="str">
        <f ca="1">IFERROR(__xludf.DUMMYFUNCTION("IFERROR(VLOOKUP(F497,IMPORTRANGE(""https://docs.google.com/spreadsheets/d/1Kvs4KS76FHFqLFIZfrDMff4kP08nblUkihrxltoGBjg/edit#gid=934712705"",""ESENCIAL!A6:BG""),5,FALSE))"),"")</f>
        <v/>
      </c>
      <c r="BH231" s="98" t="str">
        <f t="shared" si="17"/>
        <v/>
      </c>
      <c r="BI231" s="99" t="str">
        <f t="shared" si="18"/>
        <v/>
      </c>
      <c r="BJ231" s="100" t="str">
        <f ca="1">IFERROR(__xludf.DUMMYFUNCTION("IFERROR(VLOOKUP(F497,IMPORTRANGE(""https://docs.google.com/spreadsheets/d/1Kvs4KS76FHFqLFIZfrDMff4kP08nblUkihrxltoGBjg/edit#gid=934712705"",""ESENCIAL!A6:BG""),2,FALSE))"),"")</f>
        <v/>
      </c>
      <c r="BK231" s="19" t="str">
        <f t="shared" si="19"/>
        <v/>
      </c>
      <c r="BL231" s="100"/>
      <c r="BM231" s="100"/>
    </row>
    <row r="232" spans="2:65" ht="15">
      <c r="B232" s="39"/>
      <c r="C232" s="5"/>
      <c r="D232" s="123"/>
      <c r="E232" s="39"/>
      <c r="F232" s="39"/>
      <c r="G232" s="39"/>
      <c r="H232" s="5" t="str">
        <f ca="1">IFERROR(__xludf.DUMMYFUNCTION("IFERROR(VLOOKUP(F498,IMPORTRANGE(""https://docs.google.com/spreadsheets/d/1Kvs4KS76FHFqLFIZfrDMff4kP08nblUkihrxltoGBjg/edit#gid=934712705"",""ESENCIAL!A6:BG""),3,FALSE))"),"")</f>
        <v/>
      </c>
      <c r="I232" s="5" t="str">
        <f ca="1">IFERROR(__xludf.DUMMYFUNCTION("IFERROR(VLOOKUP(F498,IMPORTRANGE(""https://docs.google.com/spreadsheets/d/1Kvs4KS76FHFqLFIZfrDMff4kP08nblUkihrxltoGBjg/edit#gid=934712705"",""ESENCIAL!A6:BG""),8,FALSE))"),"")</f>
        <v/>
      </c>
      <c r="J232" s="39"/>
      <c r="M232" s="287"/>
      <c r="AV232" s="41" t="str">
        <f t="shared" si="16"/>
        <v/>
      </c>
      <c r="AW232" s="5" t="str">
        <f ca="1">IFERROR(__xludf.DUMMYFUNCTION("IFERROR(VLOOKUP(E498&amp;F498,IMPORTRANGE(""https://docs.google.com/spreadsheets/d/1Uw7-A9f9R21vMXxHZFNpYNeKFtG8_yji4HS352LGlSQ/edit?pli=1#gid=0"",""1_ACUM!A4:S""),11,FALSE))"),"")</f>
        <v/>
      </c>
      <c r="AX232" s="42" t="str">
        <f ca="1">IFERROR(__xludf.DUMMYFUNCTION("IFERROR(VLOOKUP(F498,IMPORTRANGE(""https://docs.google.com/spreadsheets/d/1Kvs4KS76FHFqLFIZfrDMff4kP08nblUkihrxltoGBjg/edit#gid=934712705"",""ESENCIAL!A6:BG""),15,FALSE))"),"")</f>
        <v/>
      </c>
      <c r="AY232" s="110" t="str">
        <f ca="1">IFERROR(__xludf.DUMMYFUNCTION("IFERROR(VLOOKUP(E498&amp;F498,IMPORTRANGE(""https://docs.google.com/spreadsheets/d/1Uw7-A9f9R21vMXxHZFNpYNeKFtG8_yji4HS352LGlSQ/edit?pli=1#gid=0"",""1_ACUM!A4:S""),13,FALSE))"),"")</f>
        <v/>
      </c>
      <c r="AZ232" s="43" t="str">
        <f ca="1">IFERROR(__xludf.DUMMYFUNCTION("IFERROR(VLOOKUP(E498&amp;F498,IMPORTRANGE(""https://docs.google.com/spreadsheets/d/1Uw7-A9f9R21vMXxHZFNpYNeKFtG8_yji4HS352LGlSQ/edit?pli=1#gid=0"",""1_ACUM!A4:S""),13,FALSE))"),"")</f>
        <v/>
      </c>
      <c r="BA232" s="43" t="str">
        <f ca="1">IFERROR(__xludf.DUMMYFUNCTION("IFERROR(VLOOKUP(E498&amp;F498,IMPORTRANGE(""https://docs.google.com/spreadsheets/d/1Uw7-A9f9R21vMXxHZFNpYNeKFtG8_yji4HS352LGlSQ/edit?pli=1#gid=0"",""1_ACUM!A4:S""),14,FALSE))"),"")</f>
        <v/>
      </c>
      <c r="BB232" s="43" t="str">
        <f ca="1">IFERROR(__xludf.DUMMYFUNCTION("IFERROR(VLOOKUP(E498&amp;F498,IMPORTRANGE(""https://docs.google.com/spreadsheets/d/1Uw7-A9f9R21vMXxHZFNpYNeKFtG8_yji4HS352LGlSQ/edit?pli=1#gid=0"",""1_ACUM!A4:S""),15,FALSE))"),"")</f>
        <v/>
      </c>
      <c r="BC232" s="43" t="str">
        <f ca="1">IFERROR(__xludf.DUMMYFUNCTION("IFERROR(VLOOKUP(E498&amp;F498,IMPORTRANGE(""https://docs.google.com/spreadsheets/d/1Uw7-A9f9R21vMXxHZFNpYNeKFtG8_yji4HS352LGlSQ/edit?pli=1#gid=0"",""1_ACUM!A4:S""),16,FALSE))"),"")</f>
        <v/>
      </c>
      <c r="BD232" s="43" t="str">
        <f ca="1">IFERROR(__xludf.DUMMYFUNCTION("IFERROR(VLOOKUP(E498&amp;F498,IMPORTRANGE(""https://docs.google.com/spreadsheets/d/1Uw7-A9f9R21vMXxHZFNpYNeKFtG8_yji4HS352LGlSQ/edit?pli=1#gid=0"",""1_ACUM!A4:S""),17,FALSE))"),"")</f>
        <v/>
      </c>
      <c r="BE232" s="44" t="str">
        <f ca="1">IFERROR(__xludf.DUMMYFUNCTION("IFERROR(VLOOKUP(E498&amp;F498,IMPORTRANGE(""https://docs.google.com/spreadsheets/d/1Uw7-A9f9R21vMXxHZFNpYNeKFtG8_yji4HS352LGlSQ/edit?pli=1#gid=0"",""1_ACUM!A4:S""),18,FALSE))"),"")</f>
        <v/>
      </c>
      <c r="BF232" s="44" t="str">
        <f ca="1">IFERROR(__xludf.DUMMYFUNCTION("IFERROR(VLOOKUP(E498&amp;F498,IMPORTRANGE(""https://docs.google.com/spreadsheets/d/1Uw7-A9f9R21vMXxHZFNpYNeKFtG8_yji4HS352LGlSQ/edit?pli=1#gid=0"",""1_ACUM!A4:S""),19,FALSE))"),"")</f>
        <v/>
      </c>
      <c r="BG232" s="98" t="str">
        <f ca="1">IFERROR(__xludf.DUMMYFUNCTION("IFERROR(VLOOKUP(F498,IMPORTRANGE(""https://docs.google.com/spreadsheets/d/1Kvs4KS76FHFqLFIZfrDMff4kP08nblUkihrxltoGBjg/edit#gid=934712705"",""ESENCIAL!A6:BG""),5,FALSE))"),"")</f>
        <v/>
      </c>
      <c r="BH232" s="98" t="str">
        <f t="shared" si="17"/>
        <v/>
      </c>
      <c r="BI232" s="99" t="str">
        <f t="shared" si="18"/>
        <v/>
      </c>
      <c r="BJ232" s="100" t="str">
        <f ca="1">IFERROR(__xludf.DUMMYFUNCTION("IFERROR(VLOOKUP(F498,IMPORTRANGE(""https://docs.google.com/spreadsheets/d/1Kvs4KS76FHFqLFIZfrDMff4kP08nblUkihrxltoGBjg/edit#gid=934712705"",""ESENCIAL!A6:BG""),2,FALSE))"),"")</f>
        <v/>
      </c>
      <c r="BK232" s="19" t="str">
        <f t="shared" si="19"/>
        <v/>
      </c>
      <c r="BL232" s="100"/>
      <c r="BM232" s="100"/>
    </row>
    <row r="233" spans="2:65" ht="15">
      <c r="B233" s="39"/>
      <c r="C233" s="5"/>
      <c r="D233" s="123"/>
      <c r="E233" s="39"/>
      <c r="F233" s="39"/>
      <c r="G233" s="39"/>
      <c r="H233" s="5" t="str">
        <f ca="1">IFERROR(__xludf.DUMMYFUNCTION("IFERROR(VLOOKUP(F499,IMPORTRANGE(""https://docs.google.com/spreadsheets/d/1Kvs4KS76FHFqLFIZfrDMff4kP08nblUkihrxltoGBjg/edit#gid=934712705"",""ESENCIAL!A6:BG""),3,FALSE))"),"")</f>
        <v/>
      </c>
      <c r="I233" s="5" t="str">
        <f ca="1">IFERROR(__xludf.DUMMYFUNCTION("IFERROR(VLOOKUP(F499,IMPORTRANGE(""https://docs.google.com/spreadsheets/d/1Kvs4KS76FHFqLFIZfrDMff4kP08nblUkihrxltoGBjg/edit#gid=934712705"",""ESENCIAL!A6:BG""),8,FALSE))"),"")</f>
        <v/>
      </c>
      <c r="J233" s="39"/>
      <c r="M233" s="287"/>
      <c r="AV233" s="41" t="str">
        <f t="shared" si="16"/>
        <v/>
      </c>
      <c r="AW233" s="5" t="str">
        <f ca="1">IFERROR(__xludf.DUMMYFUNCTION("IFERROR(VLOOKUP(E499&amp;F499,IMPORTRANGE(""https://docs.google.com/spreadsheets/d/1Uw7-A9f9R21vMXxHZFNpYNeKFtG8_yji4HS352LGlSQ/edit?pli=1#gid=0"",""1_ACUM!A4:S""),11,FALSE))"),"")</f>
        <v/>
      </c>
      <c r="AX233" s="42" t="str">
        <f ca="1">IFERROR(__xludf.DUMMYFUNCTION("IFERROR(VLOOKUP(F499,IMPORTRANGE(""https://docs.google.com/spreadsheets/d/1Kvs4KS76FHFqLFIZfrDMff4kP08nblUkihrxltoGBjg/edit#gid=934712705"",""ESENCIAL!A6:BG""),15,FALSE))"),"")</f>
        <v/>
      </c>
      <c r="AY233" s="110" t="str">
        <f ca="1">IFERROR(__xludf.DUMMYFUNCTION("IFERROR(VLOOKUP(E499&amp;F499,IMPORTRANGE(""https://docs.google.com/spreadsheets/d/1Uw7-A9f9R21vMXxHZFNpYNeKFtG8_yji4HS352LGlSQ/edit?pli=1#gid=0"",""1_ACUM!A4:S""),13,FALSE))"),"")</f>
        <v/>
      </c>
      <c r="AZ233" s="43" t="str">
        <f ca="1">IFERROR(__xludf.DUMMYFUNCTION("IFERROR(VLOOKUP(E499&amp;F499,IMPORTRANGE(""https://docs.google.com/spreadsheets/d/1Uw7-A9f9R21vMXxHZFNpYNeKFtG8_yji4HS352LGlSQ/edit?pli=1#gid=0"",""1_ACUM!A4:S""),13,FALSE))"),"")</f>
        <v/>
      </c>
      <c r="BA233" s="43" t="str">
        <f ca="1">IFERROR(__xludf.DUMMYFUNCTION("IFERROR(VLOOKUP(E499&amp;F499,IMPORTRANGE(""https://docs.google.com/spreadsheets/d/1Uw7-A9f9R21vMXxHZFNpYNeKFtG8_yji4HS352LGlSQ/edit?pli=1#gid=0"",""1_ACUM!A4:S""),14,FALSE))"),"")</f>
        <v/>
      </c>
      <c r="BB233" s="43" t="str">
        <f ca="1">IFERROR(__xludf.DUMMYFUNCTION("IFERROR(VLOOKUP(E499&amp;F499,IMPORTRANGE(""https://docs.google.com/spreadsheets/d/1Uw7-A9f9R21vMXxHZFNpYNeKFtG8_yji4HS352LGlSQ/edit?pli=1#gid=0"",""1_ACUM!A4:S""),15,FALSE))"),"")</f>
        <v/>
      </c>
      <c r="BC233" s="43" t="str">
        <f ca="1">IFERROR(__xludf.DUMMYFUNCTION("IFERROR(VLOOKUP(E499&amp;F499,IMPORTRANGE(""https://docs.google.com/spreadsheets/d/1Uw7-A9f9R21vMXxHZFNpYNeKFtG8_yji4HS352LGlSQ/edit?pli=1#gid=0"",""1_ACUM!A4:S""),16,FALSE))"),"")</f>
        <v/>
      </c>
      <c r="BD233" s="43" t="str">
        <f ca="1">IFERROR(__xludf.DUMMYFUNCTION("IFERROR(VLOOKUP(E499&amp;F499,IMPORTRANGE(""https://docs.google.com/spreadsheets/d/1Uw7-A9f9R21vMXxHZFNpYNeKFtG8_yji4HS352LGlSQ/edit?pli=1#gid=0"",""1_ACUM!A4:S""),17,FALSE))"),"")</f>
        <v/>
      </c>
      <c r="BE233" s="44" t="str">
        <f ca="1">IFERROR(__xludf.DUMMYFUNCTION("IFERROR(VLOOKUP(E499&amp;F499,IMPORTRANGE(""https://docs.google.com/spreadsheets/d/1Uw7-A9f9R21vMXxHZFNpYNeKFtG8_yji4HS352LGlSQ/edit?pli=1#gid=0"",""1_ACUM!A4:S""),18,FALSE))"),"")</f>
        <v/>
      </c>
      <c r="BF233" s="44" t="str">
        <f ca="1">IFERROR(__xludf.DUMMYFUNCTION("IFERROR(VLOOKUP(E499&amp;F499,IMPORTRANGE(""https://docs.google.com/spreadsheets/d/1Uw7-A9f9R21vMXxHZFNpYNeKFtG8_yji4HS352LGlSQ/edit?pli=1#gid=0"",""1_ACUM!A4:S""),19,FALSE))"),"")</f>
        <v/>
      </c>
      <c r="BG233" s="98" t="str">
        <f ca="1">IFERROR(__xludf.DUMMYFUNCTION("IFERROR(VLOOKUP(F499,IMPORTRANGE(""https://docs.google.com/spreadsheets/d/1Kvs4KS76FHFqLFIZfrDMff4kP08nblUkihrxltoGBjg/edit#gid=934712705"",""ESENCIAL!A6:BG""),5,FALSE))"),"")</f>
        <v/>
      </c>
      <c r="BH233" s="98" t="str">
        <f t="shared" si="17"/>
        <v/>
      </c>
      <c r="BI233" s="99" t="str">
        <f t="shared" si="18"/>
        <v/>
      </c>
      <c r="BJ233" s="100" t="str">
        <f ca="1">IFERROR(__xludf.DUMMYFUNCTION("IFERROR(VLOOKUP(F499,IMPORTRANGE(""https://docs.google.com/spreadsheets/d/1Kvs4KS76FHFqLFIZfrDMff4kP08nblUkihrxltoGBjg/edit#gid=934712705"",""ESENCIAL!A6:BG""),2,FALSE))"),"")</f>
        <v/>
      </c>
      <c r="BK233" s="19" t="str">
        <f t="shared" si="19"/>
        <v/>
      </c>
      <c r="BL233" s="100"/>
      <c r="BM233" s="100"/>
    </row>
    <row r="234" spans="2:65" ht="15">
      <c r="B234" s="39"/>
      <c r="C234" s="5"/>
      <c r="D234" s="123"/>
      <c r="E234" s="39"/>
      <c r="F234" s="39"/>
      <c r="G234" s="39"/>
      <c r="H234" s="5" t="str">
        <f ca="1">IFERROR(__xludf.DUMMYFUNCTION("IFERROR(VLOOKUP(F500,IMPORTRANGE(""https://docs.google.com/spreadsheets/d/1Kvs4KS76FHFqLFIZfrDMff4kP08nblUkihrxltoGBjg/edit#gid=934712705"",""ESENCIAL!A6:BG""),3,FALSE))"),"")</f>
        <v/>
      </c>
      <c r="I234" s="5" t="str">
        <f ca="1">IFERROR(__xludf.DUMMYFUNCTION("IFERROR(VLOOKUP(F500,IMPORTRANGE(""https://docs.google.com/spreadsheets/d/1Kvs4KS76FHFqLFIZfrDMff4kP08nblUkihrxltoGBjg/edit#gid=934712705"",""ESENCIAL!A6:BG""),8,FALSE))"),"")</f>
        <v/>
      </c>
      <c r="J234" s="39"/>
      <c r="M234" s="287"/>
      <c r="AV234" s="41" t="str">
        <f t="shared" si="16"/>
        <v/>
      </c>
      <c r="AW234" s="5" t="str">
        <f ca="1">IFERROR(__xludf.DUMMYFUNCTION("IFERROR(VLOOKUP(E500&amp;F500,IMPORTRANGE(""https://docs.google.com/spreadsheets/d/1Uw7-A9f9R21vMXxHZFNpYNeKFtG8_yji4HS352LGlSQ/edit?pli=1#gid=0"",""1_ACUM!A4:S""),11,FALSE))"),"")</f>
        <v/>
      </c>
      <c r="AX234" s="42" t="str">
        <f ca="1">IFERROR(__xludf.DUMMYFUNCTION("IFERROR(VLOOKUP(F500,IMPORTRANGE(""https://docs.google.com/spreadsheets/d/1Kvs4KS76FHFqLFIZfrDMff4kP08nblUkihrxltoGBjg/edit#gid=934712705"",""ESENCIAL!A6:BG""),15,FALSE))"),"")</f>
        <v/>
      </c>
      <c r="AY234" s="110" t="str">
        <f ca="1">IFERROR(__xludf.DUMMYFUNCTION("IFERROR(VLOOKUP(E500&amp;F500,IMPORTRANGE(""https://docs.google.com/spreadsheets/d/1Uw7-A9f9R21vMXxHZFNpYNeKFtG8_yji4HS352LGlSQ/edit?pli=1#gid=0"",""1_ACUM!A4:S""),13,FALSE))"),"")</f>
        <v/>
      </c>
      <c r="AZ234" s="43" t="str">
        <f ca="1">IFERROR(__xludf.DUMMYFUNCTION("IFERROR(VLOOKUP(E500&amp;F500,IMPORTRANGE(""https://docs.google.com/spreadsheets/d/1Uw7-A9f9R21vMXxHZFNpYNeKFtG8_yji4HS352LGlSQ/edit?pli=1#gid=0"",""1_ACUM!A4:S""),13,FALSE))"),"")</f>
        <v/>
      </c>
      <c r="BA234" s="43" t="str">
        <f ca="1">IFERROR(__xludf.DUMMYFUNCTION("IFERROR(VLOOKUP(E500&amp;F500,IMPORTRANGE(""https://docs.google.com/spreadsheets/d/1Uw7-A9f9R21vMXxHZFNpYNeKFtG8_yji4HS352LGlSQ/edit?pli=1#gid=0"",""1_ACUM!A4:S""),14,FALSE))"),"")</f>
        <v/>
      </c>
      <c r="BB234" s="43" t="str">
        <f ca="1">IFERROR(__xludf.DUMMYFUNCTION("IFERROR(VLOOKUP(E500&amp;F500,IMPORTRANGE(""https://docs.google.com/spreadsheets/d/1Uw7-A9f9R21vMXxHZFNpYNeKFtG8_yji4HS352LGlSQ/edit?pli=1#gid=0"",""1_ACUM!A4:S""),15,FALSE))"),"")</f>
        <v/>
      </c>
      <c r="BC234" s="43" t="str">
        <f ca="1">IFERROR(__xludf.DUMMYFUNCTION("IFERROR(VLOOKUP(E500&amp;F500,IMPORTRANGE(""https://docs.google.com/spreadsheets/d/1Uw7-A9f9R21vMXxHZFNpYNeKFtG8_yji4HS352LGlSQ/edit?pli=1#gid=0"",""1_ACUM!A4:S""),16,FALSE))"),"")</f>
        <v/>
      </c>
      <c r="BD234" s="43" t="str">
        <f ca="1">IFERROR(__xludf.DUMMYFUNCTION("IFERROR(VLOOKUP(E500&amp;F500,IMPORTRANGE(""https://docs.google.com/spreadsheets/d/1Uw7-A9f9R21vMXxHZFNpYNeKFtG8_yji4HS352LGlSQ/edit?pli=1#gid=0"",""1_ACUM!A4:S""),17,FALSE))"),"")</f>
        <v/>
      </c>
      <c r="BE234" s="44" t="str">
        <f ca="1">IFERROR(__xludf.DUMMYFUNCTION("IFERROR(VLOOKUP(E500&amp;F500,IMPORTRANGE(""https://docs.google.com/spreadsheets/d/1Uw7-A9f9R21vMXxHZFNpYNeKFtG8_yji4HS352LGlSQ/edit?pli=1#gid=0"",""1_ACUM!A4:S""),18,FALSE))"),"")</f>
        <v/>
      </c>
      <c r="BF234" s="44" t="str">
        <f ca="1">IFERROR(__xludf.DUMMYFUNCTION("IFERROR(VLOOKUP(E500&amp;F500,IMPORTRANGE(""https://docs.google.com/spreadsheets/d/1Uw7-A9f9R21vMXxHZFNpYNeKFtG8_yji4HS352LGlSQ/edit?pli=1#gid=0"",""1_ACUM!A4:S""),19,FALSE))"),"")</f>
        <v/>
      </c>
      <c r="BG234" s="98" t="str">
        <f ca="1">IFERROR(__xludf.DUMMYFUNCTION("IFERROR(VLOOKUP(F500,IMPORTRANGE(""https://docs.google.com/spreadsheets/d/1Kvs4KS76FHFqLFIZfrDMff4kP08nblUkihrxltoGBjg/edit#gid=934712705"",""ESENCIAL!A6:BG""),5,FALSE))"),"")</f>
        <v/>
      </c>
      <c r="BH234" s="98" t="str">
        <f t="shared" si="17"/>
        <v/>
      </c>
      <c r="BI234" s="99" t="str">
        <f t="shared" si="18"/>
        <v/>
      </c>
      <c r="BJ234" s="100" t="str">
        <f ca="1">IFERROR(__xludf.DUMMYFUNCTION("IFERROR(VLOOKUP(F500,IMPORTRANGE(""https://docs.google.com/spreadsheets/d/1Kvs4KS76FHFqLFIZfrDMff4kP08nblUkihrxltoGBjg/edit#gid=934712705"",""ESENCIAL!A6:BG""),2,FALSE))"),"")</f>
        <v/>
      </c>
      <c r="BK234" s="19" t="str">
        <f t="shared" si="19"/>
        <v/>
      </c>
      <c r="BL234" s="100"/>
      <c r="BM234" s="100"/>
    </row>
    <row r="235" spans="2:65" ht="15">
      <c r="B235" s="39"/>
      <c r="C235" s="5"/>
      <c r="D235" s="123"/>
      <c r="E235" s="39"/>
      <c r="F235" s="39"/>
      <c r="G235" s="39"/>
      <c r="H235" s="5" t="str">
        <f ca="1">IFERROR(__xludf.DUMMYFUNCTION("IFERROR(VLOOKUP(F501,IMPORTRANGE(""https://docs.google.com/spreadsheets/d/1Kvs4KS76FHFqLFIZfrDMff4kP08nblUkihrxltoGBjg/edit#gid=934712705"",""ESENCIAL!A6:BG""),3,FALSE))"),"")</f>
        <v/>
      </c>
      <c r="I235" s="5" t="str">
        <f ca="1">IFERROR(__xludf.DUMMYFUNCTION("IFERROR(VLOOKUP(F501,IMPORTRANGE(""https://docs.google.com/spreadsheets/d/1Kvs4KS76FHFqLFIZfrDMff4kP08nblUkihrxltoGBjg/edit#gid=934712705"",""ESENCIAL!A6:BG""),8,FALSE))"),"")</f>
        <v/>
      </c>
      <c r="J235" s="39"/>
      <c r="M235" s="287"/>
      <c r="AV235" s="41" t="str">
        <f t="shared" si="16"/>
        <v/>
      </c>
      <c r="AW235" s="5" t="str">
        <f ca="1">IFERROR(__xludf.DUMMYFUNCTION("IFERROR(VLOOKUP(E501&amp;F501,IMPORTRANGE(""https://docs.google.com/spreadsheets/d/1Uw7-A9f9R21vMXxHZFNpYNeKFtG8_yji4HS352LGlSQ/edit?pli=1#gid=0"",""1_ACUM!A4:S""),11,FALSE))"),"")</f>
        <v/>
      </c>
      <c r="AX235" s="42" t="str">
        <f ca="1">IFERROR(__xludf.DUMMYFUNCTION("IFERROR(VLOOKUP(F501,IMPORTRANGE(""https://docs.google.com/spreadsheets/d/1Kvs4KS76FHFqLFIZfrDMff4kP08nblUkihrxltoGBjg/edit#gid=934712705"",""ESENCIAL!A6:BG""),15,FALSE))"),"")</f>
        <v/>
      </c>
      <c r="AY235" s="110" t="str">
        <f ca="1">IFERROR(__xludf.DUMMYFUNCTION("IFERROR(VLOOKUP(E501&amp;F501,IMPORTRANGE(""https://docs.google.com/spreadsheets/d/1Uw7-A9f9R21vMXxHZFNpYNeKFtG8_yji4HS352LGlSQ/edit?pli=1#gid=0"",""1_ACUM!A4:S""),13,FALSE))"),"")</f>
        <v/>
      </c>
      <c r="AZ235" s="43" t="str">
        <f ca="1">IFERROR(__xludf.DUMMYFUNCTION("IFERROR(VLOOKUP(E501&amp;F501,IMPORTRANGE(""https://docs.google.com/spreadsheets/d/1Uw7-A9f9R21vMXxHZFNpYNeKFtG8_yji4HS352LGlSQ/edit?pli=1#gid=0"",""1_ACUM!A4:S""),13,FALSE))"),"")</f>
        <v/>
      </c>
      <c r="BA235" s="43" t="str">
        <f ca="1">IFERROR(__xludf.DUMMYFUNCTION("IFERROR(VLOOKUP(E501&amp;F501,IMPORTRANGE(""https://docs.google.com/spreadsheets/d/1Uw7-A9f9R21vMXxHZFNpYNeKFtG8_yji4HS352LGlSQ/edit?pli=1#gid=0"",""1_ACUM!A4:S""),14,FALSE))"),"")</f>
        <v/>
      </c>
      <c r="BB235" s="43" t="str">
        <f ca="1">IFERROR(__xludf.DUMMYFUNCTION("IFERROR(VLOOKUP(E501&amp;F501,IMPORTRANGE(""https://docs.google.com/spreadsheets/d/1Uw7-A9f9R21vMXxHZFNpYNeKFtG8_yji4HS352LGlSQ/edit?pli=1#gid=0"",""1_ACUM!A4:S""),15,FALSE))"),"")</f>
        <v/>
      </c>
      <c r="BC235" s="43" t="str">
        <f ca="1">IFERROR(__xludf.DUMMYFUNCTION("IFERROR(VLOOKUP(E501&amp;F501,IMPORTRANGE(""https://docs.google.com/spreadsheets/d/1Uw7-A9f9R21vMXxHZFNpYNeKFtG8_yji4HS352LGlSQ/edit?pli=1#gid=0"",""1_ACUM!A4:S""),16,FALSE))"),"")</f>
        <v/>
      </c>
      <c r="BD235" s="43" t="str">
        <f ca="1">IFERROR(__xludf.DUMMYFUNCTION("IFERROR(VLOOKUP(E501&amp;F501,IMPORTRANGE(""https://docs.google.com/spreadsheets/d/1Uw7-A9f9R21vMXxHZFNpYNeKFtG8_yji4HS352LGlSQ/edit?pli=1#gid=0"",""1_ACUM!A4:S""),17,FALSE))"),"")</f>
        <v/>
      </c>
      <c r="BE235" s="44" t="str">
        <f ca="1">IFERROR(__xludf.DUMMYFUNCTION("IFERROR(VLOOKUP(E501&amp;F501,IMPORTRANGE(""https://docs.google.com/spreadsheets/d/1Uw7-A9f9R21vMXxHZFNpYNeKFtG8_yji4HS352LGlSQ/edit?pli=1#gid=0"",""1_ACUM!A4:S""),18,FALSE))"),"")</f>
        <v/>
      </c>
      <c r="BF235" s="44" t="str">
        <f ca="1">IFERROR(__xludf.DUMMYFUNCTION("IFERROR(VLOOKUP(E501&amp;F501,IMPORTRANGE(""https://docs.google.com/spreadsheets/d/1Uw7-A9f9R21vMXxHZFNpYNeKFtG8_yji4HS352LGlSQ/edit?pli=1#gid=0"",""1_ACUM!A4:S""),19,FALSE))"),"")</f>
        <v/>
      </c>
      <c r="BG235" s="98" t="str">
        <f ca="1">IFERROR(__xludf.DUMMYFUNCTION("IFERROR(VLOOKUP(F501,IMPORTRANGE(""https://docs.google.com/spreadsheets/d/1Kvs4KS76FHFqLFIZfrDMff4kP08nblUkihrxltoGBjg/edit#gid=934712705"",""ESENCIAL!A6:BG""),5,FALSE))"),"")</f>
        <v/>
      </c>
      <c r="BH235" s="98" t="str">
        <f t="shared" si="17"/>
        <v/>
      </c>
      <c r="BI235" s="99" t="str">
        <f t="shared" si="18"/>
        <v/>
      </c>
      <c r="BJ235" s="100" t="str">
        <f ca="1">IFERROR(__xludf.DUMMYFUNCTION("IFERROR(VLOOKUP(F501,IMPORTRANGE(""https://docs.google.com/spreadsheets/d/1Kvs4KS76FHFqLFIZfrDMff4kP08nblUkihrxltoGBjg/edit#gid=934712705"",""ESENCIAL!A6:BG""),2,FALSE))"),"")</f>
        <v/>
      </c>
      <c r="BK235" s="19" t="str">
        <f t="shared" si="19"/>
        <v/>
      </c>
      <c r="BL235" s="100"/>
      <c r="BM235" s="100"/>
    </row>
    <row r="236" spans="2:65" ht="15">
      <c r="B236" s="39"/>
      <c r="C236" s="5"/>
      <c r="D236" s="123"/>
      <c r="E236" s="39"/>
      <c r="F236" s="39"/>
      <c r="G236" s="39"/>
      <c r="H236" s="5" t="str">
        <f ca="1">IFERROR(__xludf.DUMMYFUNCTION("IFERROR(VLOOKUP(F502,IMPORTRANGE(""https://docs.google.com/spreadsheets/d/1Kvs4KS76FHFqLFIZfrDMff4kP08nblUkihrxltoGBjg/edit#gid=934712705"",""ESENCIAL!A6:BG""),3,FALSE))"),"")</f>
        <v/>
      </c>
      <c r="I236" s="5" t="str">
        <f ca="1">IFERROR(__xludf.DUMMYFUNCTION("IFERROR(VLOOKUP(F502,IMPORTRANGE(""https://docs.google.com/spreadsheets/d/1Kvs4KS76FHFqLFIZfrDMff4kP08nblUkihrxltoGBjg/edit#gid=934712705"",""ESENCIAL!A6:BG""),8,FALSE))"),"")</f>
        <v/>
      </c>
      <c r="J236" s="39"/>
      <c r="M236" s="287"/>
      <c r="AV236" s="41" t="str">
        <f t="shared" si="16"/>
        <v/>
      </c>
      <c r="AW236" s="5" t="str">
        <f ca="1">IFERROR(__xludf.DUMMYFUNCTION("IFERROR(VLOOKUP(E502&amp;F502,IMPORTRANGE(""https://docs.google.com/spreadsheets/d/1Uw7-A9f9R21vMXxHZFNpYNeKFtG8_yji4HS352LGlSQ/edit?pli=1#gid=0"",""1_ACUM!A4:S""),11,FALSE))"),"")</f>
        <v/>
      </c>
      <c r="AX236" s="42" t="str">
        <f ca="1">IFERROR(__xludf.DUMMYFUNCTION("IFERROR(VLOOKUP(F502,IMPORTRANGE(""https://docs.google.com/spreadsheets/d/1Kvs4KS76FHFqLFIZfrDMff4kP08nblUkihrxltoGBjg/edit#gid=934712705"",""ESENCIAL!A6:BG""),15,FALSE))"),"")</f>
        <v/>
      </c>
      <c r="AY236" s="110" t="str">
        <f ca="1">IFERROR(__xludf.DUMMYFUNCTION("IFERROR(VLOOKUP(E502&amp;F502,IMPORTRANGE(""https://docs.google.com/spreadsheets/d/1Uw7-A9f9R21vMXxHZFNpYNeKFtG8_yji4HS352LGlSQ/edit?pli=1#gid=0"",""1_ACUM!A4:S""),13,FALSE))"),"")</f>
        <v/>
      </c>
      <c r="AZ236" s="43" t="str">
        <f ca="1">IFERROR(__xludf.DUMMYFUNCTION("IFERROR(VLOOKUP(E502&amp;F502,IMPORTRANGE(""https://docs.google.com/spreadsheets/d/1Uw7-A9f9R21vMXxHZFNpYNeKFtG8_yji4HS352LGlSQ/edit?pli=1#gid=0"",""1_ACUM!A4:S""),13,FALSE))"),"")</f>
        <v/>
      </c>
      <c r="BA236" s="43" t="str">
        <f ca="1">IFERROR(__xludf.DUMMYFUNCTION("IFERROR(VLOOKUP(E502&amp;F502,IMPORTRANGE(""https://docs.google.com/spreadsheets/d/1Uw7-A9f9R21vMXxHZFNpYNeKFtG8_yji4HS352LGlSQ/edit?pli=1#gid=0"",""1_ACUM!A4:S""),14,FALSE))"),"")</f>
        <v/>
      </c>
      <c r="BB236" s="43" t="str">
        <f ca="1">IFERROR(__xludf.DUMMYFUNCTION("IFERROR(VLOOKUP(E502&amp;F502,IMPORTRANGE(""https://docs.google.com/spreadsheets/d/1Uw7-A9f9R21vMXxHZFNpYNeKFtG8_yji4HS352LGlSQ/edit?pli=1#gid=0"",""1_ACUM!A4:S""),15,FALSE))"),"")</f>
        <v/>
      </c>
      <c r="BC236" s="43" t="str">
        <f ca="1">IFERROR(__xludf.DUMMYFUNCTION("IFERROR(VLOOKUP(E502&amp;F502,IMPORTRANGE(""https://docs.google.com/spreadsheets/d/1Uw7-A9f9R21vMXxHZFNpYNeKFtG8_yji4HS352LGlSQ/edit?pli=1#gid=0"",""1_ACUM!A4:S""),16,FALSE))"),"")</f>
        <v/>
      </c>
      <c r="BD236" s="43" t="str">
        <f ca="1">IFERROR(__xludf.DUMMYFUNCTION("IFERROR(VLOOKUP(E502&amp;F502,IMPORTRANGE(""https://docs.google.com/spreadsheets/d/1Uw7-A9f9R21vMXxHZFNpYNeKFtG8_yji4HS352LGlSQ/edit?pli=1#gid=0"",""1_ACUM!A4:S""),17,FALSE))"),"")</f>
        <v/>
      </c>
      <c r="BE236" s="44" t="str">
        <f ca="1">IFERROR(__xludf.DUMMYFUNCTION("IFERROR(VLOOKUP(E502&amp;F502,IMPORTRANGE(""https://docs.google.com/spreadsheets/d/1Uw7-A9f9R21vMXxHZFNpYNeKFtG8_yji4HS352LGlSQ/edit?pli=1#gid=0"",""1_ACUM!A4:S""),18,FALSE))"),"")</f>
        <v/>
      </c>
      <c r="BF236" s="44" t="str">
        <f ca="1">IFERROR(__xludf.DUMMYFUNCTION("IFERROR(VLOOKUP(E502&amp;F502,IMPORTRANGE(""https://docs.google.com/spreadsheets/d/1Uw7-A9f9R21vMXxHZFNpYNeKFtG8_yji4HS352LGlSQ/edit?pli=1#gid=0"",""1_ACUM!A4:S""),19,FALSE))"),"")</f>
        <v/>
      </c>
      <c r="BG236" s="98" t="str">
        <f ca="1">IFERROR(__xludf.DUMMYFUNCTION("IFERROR(VLOOKUP(F502,IMPORTRANGE(""https://docs.google.com/spreadsheets/d/1Kvs4KS76FHFqLFIZfrDMff4kP08nblUkihrxltoGBjg/edit#gid=934712705"",""ESENCIAL!A6:BG""),5,FALSE))"),"")</f>
        <v/>
      </c>
      <c r="BH236" s="98" t="str">
        <f t="shared" si="17"/>
        <v/>
      </c>
      <c r="BI236" s="99" t="str">
        <f t="shared" si="18"/>
        <v/>
      </c>
      <c r="BJ236" s="100" t="str">
        <f ca="1">IFERROR(__xludf.DUMMYFUNCTION("IFERROR(VLOOKUP(F502,IMPORTRANGE(""https://docs.google.com/spreadsheets/d/1Kvs4KS76FHFqLFIZfrDMff4kP08nblUkihrxltoGBjg/edit#gid=934712705"",""ESENCIAL!A6:BG""),2,FALSE))"),"")</f>
        <v/>
      </c>
      <c r="BK236" s="19" t="str">
        <f t="shared" si="19"/>
        <v/>
      </c>
      <c r="BL236" s="100"/>
      <c r="BM236" s="100"/>
    </row>
    <row r="237" spans="2:65" ht="15">
      <c r="B237" s="39"/>
      <c r="C237" s="5"/>
      <c r="D237" s="123"/>
      <c r="E237" s="39"/>
      <c r="F237" s="39"/>
      <c r="G237" s="39"/>
      <c r="H237" s="5" t="str">
        <f ca="1">IFERROR(__xludf.DUMMYFUNCTION("IFERROR(VLOOKUP(F503,IMPORTRANGE(""https://docs.google.com/spreadsheets/d/1Kvs4KS76FHFqLFIZfrDMff4kP08nblUkihrxltoGBjg/edit#gid=934712705"",""ESENCIAL!A6:BG""),3,FALSE))"),"")</f>
        <v/>
      </c>
      <c r="I237" s="5" t="str">
        <f ca="1">IFERROR(__xludf.DUMMYFUNCTION("IFERROR(VLOOKUP(F503,IMPORTRANGE(""https://docs.google.com/spreadsheets/d/1Kvs4KS76FHFqLFIZfrDMff4kP08nblUkihrxltoGBjg/edit#gid=934712705"",""ESENCIAL!A6:BG""),8,FALSE))"),"")</f>
        <v/>
      </c>
      <c r="J237" s="39"/>
      <c r="M237" s="287"/>
      <c r="AV237" s="41" t="str">
        <f t="shared" si="16"/>
        <v/>
      </c>
      <c r="AW237" s="5" t="str">
        <f ca="1">IFERROR(__xludf.DUMMYFUNCTION("IFERROR(VLOOKUP(E503&amp;F503,IMPORTRANGE(""https://docs.google.com/spreadsheets/d/1Uw7-A9f9R21vMXxHZFNpYNeKFtG8_yji4HS352LGlSQ/edit?pli=1#gid=0"",""1_ACUM!A4:S""),11,FALSE))"),"")</f>
        <v/>
      </c>
      <c r="AX237" s="42" t="str">
        <f ca="1">IFERROR(__xludf.DUMMYFUNCTION("IFERROR(VLOOKUP(F503,IMPORTRANGE(""https://docs.google.com/spreadsheets/d/1Kvs4KS76FHFqLFIZfrDMff4kP08nblUkihrxltoGBjg/edit#gid=934712705"",""ESENCIAL!A6:BG""),15,FALSE))"),"")</f>
        <v/>
      </c>
      <c r="AY237" s="110" t="str">
        <f ca="1">IFERROR(__xludf.DUMMYFUNCTION("IFERROR(VLOOKUP(E503&amp;F503,IMPORTRANGE(""https://docs.google.com/spreadsheets/d/1Uw7-A9f9R21vMXxHZFNpYNeKFtG8_yji4HS352LGlSQ/edit?pli=1#gid=0"",""1_ACUM!A4:S""),13,FALSE))"),"")</f>
        <v/>
      </c>
      <c r="AZ237" s="43" t="str">
        <f ca="1">IFERROR(__xludf.DUMMYFUNCTION("IFERROR(VLOOKUP(E503&amp;F503,IMPORTRANGE(""https://docs.google.com/spreadsheets/d/1Uw7-A9f9R21vMXxHZFNpYNeKFtG8_yji4HS352LGlSQ/edit?pli=1#gid=0"",""1_ACUM!A4:S""),13,FALSE))"),"")</f>
        <v/>
      </c>
      <c r="BA237" s="43" t="str">
        <f ca="1">IFERROR(__xludf.DUMMYFUNCTION("IFERROR(VLOOKUP(E503&amp;F503,IMPORTRANGE(""https://docs.google.com/spreadsheets/d/1Uw7-A9f9R21vMXxHZFNpYNeKFtG8_yji4HS352LGlSQ/edit?pli=1#gid=0"",""1_ACUM!A4:S""),14,FALSE))"),"")</f>
        <v/>
      </c>
      <c r="BB237" s="43" t="str">
        <f ca="1">IFERROR(__xludf.DUMMYFUNCTION("IFERROR(VLOOKUP(E503&amp;F503,IMPORTRANGE(""https://docs.google.com/spreadsheets/d/1Uw7-A9f9R21vMXxHZFNpYNeKFtG8_yji4HS352LGlSQ/edit?pli=1#gid=0"",""1_ACUM!A4:S""),15,FALSE))"),"")</f>
        <v/>
      </c>
      <c r="BC237" s="43" t="str">
        <f ca="1">IFERROR(__xludf.DUMMYFUNCTION("IFERROR(VLOOKUP(E503&amp;F503,IMPORTRANGE(""https://docs.google.com/spreadsheets/d/1Uw7-A9f9R21vMXxHZFNpYNeKFtG8_yji4HS352LGlSQ/edit?pli=1#gid=0"",""1_ACUM!A4:S""),16,FALSE))"),"")</f>
        <v/>
      </c>
      <c r="BD237" s="43" t="str">
        <f ca="1">IFERROR(__xludf.DUMMYFUNCTION("IFERROR(VLOOKUP(E503&amp;F503,IMPORTRANGE(""https://docs.google.com/spreadsheets/d/1Uw7-A9f9R21vMXxHZFNpYNeKFtG8_yji4HS352LGlSQ/edit?pli=1#gid=0"",""1_ACUM!A4:S""),17,FALSE))"),"")</f>
        <v/>
      </c>
      <c r="BE237" s="44" t="str">
        <f ca="1">IFERROR(__xludf.DUMMYFUNCTION("IFERROR(VLOOKUP(E503&amp;F503,IMPORTRANGE(""https://docs.google.com/spreadsheets/d/1Uw7-A9f9R21vMXxHZFNpYNeKFtG8_yji4HS352LGlSQ/edit?pli=1#gid=0"",""1_ACUM!A4:S""),18,FALSE))"),"")</f>
        <v/>
      </c>
      <c r="BF237" s="44" t="str">
        <f ca="1">IFERROR(__xludf.DUMMYFUNCTION("IFERROR(VLOOKUP(E503&amp;F503,IMPORTRANGE(""https://docs.google.com/spreadsheets/d/1Uw7-A9f9R21vMXxHZFNpYNeKFtG8_yji4HS352LGlSQ/edit?pli=1#gid=0"",""1_ACUM!A4:S""),19,FALSE))"),"")</f>
        <v/>
      </c>
      <c r="BG237" s="98" t="str">
        <f ca="1">IFERROR(__xludf.DUMMYFUNCTION("IFERROR(VLOOKUP(F503,IMPORTRANGE(""https://docs.google.com/spreadsheets/d/1Kvs4KS76FHFqLFIZfrDMff4kP08nblUkihrxltoGBjg/edit#gid=934712705"",""ESENCIAL!A6:BG""),5,FALSE))"),"")</f>
        <v/>
      </c>
      <c r="BH237" s="98" t="str">
        <f t="shared" si="17"/>
        <v/>
      </c>
      <c r="BI237" s="99" t="str">
        <f t="shared" si="18"/>
        <v/>
      </c>
      <c r="BJ237" s="100" t="str">
        <f ca="1">IFERROR(__xludf.DUMMYFUNCTION("IFERROR(VLOOKUP(F503,IMPORTRANGE(""https://docs.google.com/spreadsheets/d/1Kvs4KS76FHFqLFIZfrDMff4kP08nblUkihrxltoGBjg/edit#gid=934712705"",""ESENCIAL!A6:BG""),2,FALSE))"),"")</f>
        <v/>
      </c>
      <c r="BK237" s="19" t="str">
        <f t="shared" si="19"/>
        <v/>
      </c>
      <c r="BL237" s="100"/>
      <c r="BM237" s="100"/>
    </row>
    <row r="238" spans="2:65" ht="15">
      <c r="B238" s="39"/>
      <c r="C238" s="5"/>
      <c r="D238" s="123"/>
      <c r="E238" s="39"/>
      <c r="F238" s="39"/>
      <c r="G238" s="39"/>
      <c r="H238" s="5" t="str">
        <f ca="1">IFERROR(__xludf.DUMMYFUNCTION("IFERROR(VLOOKUP(F504,IMPORTRANGE(""https://docs.google.com/spreadsheets/d/1Kvs4KS76FHFqLFIZfrDMff4kP08nblUkihrxltoGBjg/edit#gid=934712705"",""ESENCIAL!A6:BG""),3,FALSE))"),"")</f>
        <v/>
      </c>
      <c r="I238" s="5" t="str">
        <f ca="1">IFERROR(__xludf.DUMMYFUNCTION("IFERROR(VLOOKUP(F504,IMPORTRANGE(""https://docs.google.com/spreadsheets/d/1Kvs4KS76FHFqLFIZfrDMff4kP08nblUkihrxltoGBjg/edit#gid=934712705"",""ESENCIAL!A6:BG""),8,FALSE))"),"")</f>
        <v/>
      </c>
      <c r="J238" s="39"/>
      <c r="M238" s="287"/>
      <c r="AV238" s="41" t="str">
        <f t="shared" si="16"/>
        <v/>
      </c>
      <c r="AW238" s="5" t="str">
        <f ca="1">IFERROR(__xludf.DUMMYFUNCTION("IFERROR(VLOOKUP(E504&amp;F504,IMPORTRANGE(""https://docs.google.com/spreadsheets/d/1Uw7-A9f9R21vMXxHZFNpYNeKFtG8_yji4HS352LGlSQ/edit?pli=1#gid=0"",""1_ACUM!A4:S""),11,FALSE))"),"")</f>
        <v/>
      </c>
      <c r="AX238" s="42" t="str">
        <f ca="1">IFERROR(__xludf.DUMMYFUNCTION("IFERROR(VLOOKUP(F504,IMPORTRANGE(""https://docs.google.com/spreadsheets/d/1Kvs4KS76FHFqLFIZfrDMff4kP08nblUkihrxltoGBjg/edit#gid=934712705"",""ESENCIAL!A6:BG""),15,FALSE))"),"")</f>
        <v/>
      </c>
      <c r="AY238" s="110" t="str">
        <f ca="1">IFERROR(__xludf.DUMMYFUNCTION("IFERROR(VLOOKUP(E504&amp;F504,IMPORTRANGE(""https://docs.google.com/spreadsheets/d/1Uw7-A9f9R21vMXxHZFNpYNeKFtG8_yji4HS352LGlSQ/edit?pli=1#gid=0"",""1_ACUM!A4:S""),13,FALSE))"),"")</f>
        <v/>
      </c>
      <c r="AZ238" s="43" t="str">
        <f ca="1">IFERROR(__xludf.DUMMYFUNCTION("IFERROR(VLOOKUP(E504&amp;F504,IMPORTRANGE(""https://docs.google.com/spreadsheets/d/1Uw7-A9f9R21vMXxHZFNpYNeKFtG8_yji4HS352LGlSQ/edit?pli=1#gid=0"",""1_ACUM!A4:S""),13,FALSE))"),"")</f>
        <v/>
      </c>
      <c r="BA238" s="43" t="str">
        <f ca="1">IFERROR(__xludf.DUMMYFUNCTION("IFERROR(VLOOKUP(E504&amp;F504,IMPORTRANGE(""https://docs.google.com/spreadsheets/d/1Uw7-A9f9R21vMXxHZFNpYNeKFtG8_yji4HS352LGlSQ/edit?pli=1#gid=0"",""1_ACUM!A4:S""),14,FALSE))"),"")</f>
        <v/>
      </c>
      <c r="BB238" s="43" t="str">
        <f ca="1">IFERROR(__xludf.DUMMYFUNCTION("IFERROR(VLOOKUP(E504&amp;F504,IMPORTRANGE(""https://docs.google.com/spreadsheets/d/1Uw7-A9f9R21vMXxHZFNpYNeKFtG8_yji4HS352LGlSQ/edit?pli=1#gid=0"",""1_ACUM!A4:S""),15,FALSE))"),"")</f>
        <v/>
      </c>
      <c r="BC238" s="43" t="str">
        <f ca="1">IFERROR(__xludf.DUMMYFUNCTION("IFERROR(VLOOKUP(E504&amp;F504,IMPORTRANGE(""https://docs.google.com/spreadsheets/d/1Uw7-A9f9R21vMXxHZFNpYNeKFtG8_yji4HS352LGlSQ/edit?pli=1#gid=0"",""1_ACUM!A4:S""),16,FALSE))"),"")</f>
        <v/>
      </c>
      <c r="BD238" s="43" t="str">
        <f ca="1">IFERROR(__xludf.DUMMYFUNCTION("IFERROR(VLOOKUP(E504&amp;F504,IMPORTRANGE(""https://docs.google.com/spreadsheets/d/1Uw7-A9f9R21vMXxHZFNpYNeKFtG8_yji4HS352LGlSQ/edit?pli=1#gid=0"",""1_ACUM!A4:S""),17,FALSE))"),"")</f>
        <v/>
      </c>
      <c r="BE238" s="44" t="str">
        <f ca="1">IFERROR(__xludf.DUMMYFUNCTION("IFERROR(VLOOKUP(E504&amp;F504,IMPORTRANGE(""https://docs.google.com/spreadsheets/d/1Uw7-A9f9R21vMXxHZFNpYNeKFtG8_yji4HS352LGlSQ/edit?pli=1#gid=0"",""1_ACUM!A4:S""),18,FALSE))"),"")</f>
        <v/>
      </c>
      <c r="BF238" s="44" t="str">
        <f ca="1">IFERROR(__xludf.DUMMYFUNCTION("IFERROR(VLOOKUP(E504&amp;F504,IMPORTRANGE(""https://docs.google.com/spreadsheets/d/1Uw7-A9f9R21vMXxHZFNpYNeKFtG8_yji4HS352LGlSQ/edit?pli=1#gid=0"",""1_ACUM!A4:S""),19,FALSE))"),"")</f>
        <v/>
      </c>
      <c r="BG238" s="98" t="str">
        <f ca="1">IFERROR(__xludf.DUMMYFUNCTION("IFERROR(VLOOKUP(F504,IMPORTRANGE(""https://docs.google.com/spreadsheets/d/1Kvs4KS76FHFqLFIZfrDMff4kP08nblUkihrxltoGBjg/edit#gid=934712705"",""ESENCIAL!A6:BG""),5,FALSE))"),"")</f>
        <v/>
      </c>
      <c r="BH238" s="98" t="str">
        <f t="shared" si="17"/>
        <v/>
      </c>
      <c r="BI238" s="99" t="str">
        <f t="shared" si="18"/>
        <v/>
      </c>
      <c r="BJ238" s="100" t="str">
        <f ca="1">IFERROR(__xludf.DUMMYFUNCTION("IFERROR(VLOOKUP(F504,IMPORTRANGE(""https://docs.google.com/spreadsheets/d/1Kvs4KS76FHFqLFIZfrDMff4kP08nblUkihrxltoGBjg/edit#gid=934712705"",""ESENCIAL!A6:BG""),2,FALSE))"),"")</f>
        <v/>
      </c>
      <c r="BK238" s="19" t="str">
        <f t="shared" si="19"/>
        <v/>
      </c>
      <c r="BL238" s="100"/>
      <c r="BM238" s="100"/>
    </row>
    <row r="239" spans="2:65" ht="15">
      <c r="B239" s="39"/>
      <c r="C239" s="5"/>
      <c r="D239" s="123"/>
      <c r="E239" s="39"/>
      <c r="F239" s="39"/>
      <c r="G239" s="39"/>
      <c r="H239" s="5" t="str">
        <f ca="1">IFERROR(__xludf.DUMMYFUNCTION("IFERROR(VLOOKUP(F505,IMPORTRANGE(""https://docs.google.com/spreadsheets/d/1Kvs4KS76FHFqLFIZfrDMff4kP08nblUkihrxltoGBjg/edit#gid=934712705"",""ESENCIAL!A6:BG""),3,FALSE))"),"")</f>
        <v/>
      </c>
      <c r="I239" s="5" t="str">
        <f ca="1">IFERROR(__xludf.DUMMYFUNCTION("IFERROR(VLOOKUP(F505,IMPORTRANGE(""https://docs.google.com/spreadsheets/d/1Kvs4KS76FHFqLFIZfrDMff4kP08nblUkihrxltoGBjg/edit#gid=934712705"",""ESENCIAL!A6:BG""),8,FALSE))"),"")</f>
        <v/>
      </c>
      <c r="J239" s="39"/>
      <c r="M239" s="287"/>
      <c r="AV239" s="41" t="str">
        <f t="shared" si="16"/>
        <v/>
      </c>
      <c r="AW239" s="5" t="str">
        <f ca="1">IFERROR(__xludf.DUMMYFUNCTION("IFERROR(VLOOKUP(E505&amp;F505,IMPORTRANGE(""https://docs.google.com/spreadsheets/d/1Uw7-A9f9R21vMXxHZFNpYNeKFtG8_yji4HS352LGlSQ/edit?pli=1#gid=0"",""1_ACUM!A4:S""),11,FALSE))"),"")</f>
        <v/>
      </c>
      <c r="AX239" s="42" t="str">
        <f ca="1">IFERROR(__xludf.DUMMYFUNCTION("IFERROR(VLOOKUP(F505,IMPORTRANGE(""https://docs.google.com/spreadsheets/d/1Kvs4KS76FHFqLFIZfrDMff4kP08nblUkihrxltoGBjg/edit#gid=934712705"",""ESENCIAL!A6:BG""),15,FALSE))"),"")</f>
        <v/>
      </c>
      <c r="AY239" s="110" t="str">
        <f ca="1">IFERROR(__xludf.DUMMYFUNCTION("IFERROR(VLOOKUP(E505&amp;F505,IMPORTRANGE(""https://docs.google.com/spreadsheets/d/1Uw7-A9f9R21vMXxHZFNpYNeKFtG8_yji4HS352LGlSQ/edit?pli=1#gid=0"",""1_ACUM!A4:S""),13,FALSE))"),"")</f>
        <v/>
      </c>
      <c r="AZ239" s="43" t="str">
        <f ca="1">IFERROR(__xludf.DUMMYFUNCTION("IFERROR(VLOOKUP(E505&amp;F505,IMPORTRANGE(""https://docs.google.com/spreadsheets/d/1Uw7-A9f9R21vMXxHZFNpYNeKFtG8_yji4HS352LGlSQ/edit?pli=1#gid=0"",""1_ACUM!A4:S""),13,FALSE))"),"")</f>
        <v/>
      </c>
      <c r="BA239" s="43" t="str">
        <f ca="1">IFERROR(__xludf.DUMMYFUNCTION("IFERROR(VLOOKUP(E505&amp;F505,IMPORTRANGE(""https://docs.google.com/spreadsheets/d/1Uw7-A9f9R21vMXxHZFNpYNeKFtG8_yji4HS352LGlSQ/edit?pli=1#gid=0"",""1_ACUM!A4:S""),14,FALSE))"),"")</f>
        <v/>
      </c>
      <c r="BB239" s="43" t="str">
        <f ca="1">IFERROR(__xludf.DUMMYFUNCTION("IFERROR(VLOOKUP(E505&amp;F505,IMPORTRANGE(""https://docs.google.com/spreadsheets/d/1Uw7-A9f9R21vMXxHZFNpYNeKFtG8_yji4HS352LGlSQ/edit?pli=1#gid=0"",""1_ACUM!A4:S""),15,FALSE))"),"")</f>
        <v/>
      </c>
      <c r="BC239" s="43" t="str">
        <f ca="1">IFERROR(__xludf.DUMMYFUNCTION("IFERROR(VLOOKUP(E505&amp;F505,IMPORTRANGE(""https://docs.google.com/spreadsheets/d/1Uw7-A9f9R21vMXxHZFNpYNeKFtG8_yji4HS352LGlSQ/edit?pli=1#gid=0"",""1_ACUM!A4:S""),16,FALSE))"),"")</f>
        <v/>
      </c>
      <c r="BD239" s="43" t="str">
        <f ca="1">IFERROR(__xludf.DUMMYFUNCTION("IFERROR(VLOOKUP(E505&amp;F505,IMPORTRANGE(""https://docs.google.com/spreadsheets/d/1Uw7-A9f9R21vMXxHZFNpYNeKFtG8_yji4HS352LGlSQ/edit?pli=1#gid=0"",""1_ACUM!A4:S""),17,FALSE))"),"")</f>
        <v/>
      </c>
      <c r="BE239" s="44" t="str">
        <f ca="1">IFERROR(__xludf.DUMMYFUNCTION("IFERROR(VLOOKUP(E505&amp;F505,IMPORTRANGE(""https://docs.google.com/spreadsheets/d/1Uw7-A9f9R21vMXxHZFNpYNeKFtG8_yji4HS352LGlSQ/edit?pli=1#gid=0"",""1_ACUM!A4:S""),18,FALSE))"),"")</f>
        <v/>
      </c>
      <c r="BF239" s="44" t="str">
        <f ca="1">IFERROR(__xludf.DUMMYFUNCTION("IFERROR(VLOOKUP(E505&amp;F505,IMPORTRANGE(""https://docs.google.com/spreadsheets/d/1Uw7-A9f9R21vMXxHZFNpYNeKFtG8_yji4HS352LGlSQ/edit?pli=1#gid=0"",""1_ACUM!A4:S""),19,FALSE))"),"")</f>
        <v/>
      </c>
      <c r="BG239" s="98" t="str">
        <f ca="1">IFERROR(__xludf.DUMMYFUNCTION("IFERROR(VLOOKUP(F505,IMPORTRANGE(""https://docs.google.com/spreadsheets/d/1Kvs4KS76FHFqLFIZfrDMff4kP08nblUkihrxltoGBjg/edit#gid=934712705"",""ESENCIAL!A6:BG""),5,FALSE))"),"")</f>
        <v/>
      </c>
      <c r="BH239" s="98" t="str">
        <f t="shared" si="17"/>
        <v/>
      </c>
      <c r="BI239" s="99" t="str">
        <f t="shared" si="18"/>
        <v/>
      </c>
      <c r="BJ239" s="100" t="str">
        <f ca="1">IFERROR(__xludf.DUMMYFUNCTION("IFERROR(VLOOKUP(F505,IMPORTRANGE(""https://docs.google.com/spreadsheets/d/1Kvs4KS76FHFqLFIZfrDMff4kP08nblUkihrxltoGBjg/edit#gid=934712705"",""ESENCIAL!A6:BG""),2,FALSE))"),"")</f>
        <v/>
      </c>
      <c r="BK239" s="19" t="str">
        <f t="shared" si="19"/>
        <v/>
      </c>
      <c r="BL239" s="100"/>
      <c r="BM239" s="100"/>
    </row>
    <row r="240" spans="2:65" ht="15">
      <c r="B240" s="39"/>
      <c r="C240" s="5"/>
      <c r="D240" s="123"/>
      <c r="E240" s="39"/>
      <c r="F240" s="39"/>
      <c r="G240" s="39"/>
      <c r="H240" s="5" t="str">
        <f ca="1">IFERROR(__xludf.DUMMYFUNCTION("IFERROR(VLOOKUP(F506,IMPORTRANGE(""https://docs.google.com/spreadsheets/d/1Kvs4KS76FHFqLFIZfrDMff4kP08nblUkihrxltoGBjg/edit#gid=934712705"",""ESENCIAL!A6:BG""),3,FALSE))"),"")</f>
        <v/>
      </c>
      <c r="I240" s="5" t="str">
        <f ca="1">IFERROR(__xludf.DUMMYFUNCTION("IFERROR(VLOOKUP(F506,IMPORTRANGE(""https://docs.google.com/spreadsheets/d/1Kvs4KS76FHFqLFIZfrDMff4kP08nblUkihrxltoGBjg/edit#gid=934712705"",""ESENCIAL!A6:BG""),8,FALSE))"),"")</f>
        <v/>
      </c>
      <c r="J240" s="39"/>
      <c r="M240" s="287"/>
      <c r="AV240" s="41" t="str">
        <f t="shared" si="16"/>
        <v/>
      </c>
      <c r="AW240" s="5" t="str">
        <f ca="1">IFERROR(__xludf.DUMMYFUNCTION("IFERROR(VLOOKUP(E506&amp;F506,IMPORTRANGE(""https://docs.google.com/spreadsheets/d/1Uw7-A9f9R21vMXxHZFNpYNeKFtG8_yji4HS352LGlSQ/edit?pli=1#gid=0"",""1_ACUM!A4:S""),11,FALSE))"),"")</f>
        <v/>
      </c>
      <c r="AX240" s="42" t="str">
        <f ca="1">IFERROR(__xludf.DUMMYFUNCTION("IFERROR(VLOOKUP(F506,IMPORTRANGE(""https://docs.google.com/spreadsheets/d/1Kvs4KS76FHFqLFIZfrDMff4kP08nblUkihrxltoGBjg/edit#gid=934712705"",""ESENCIAL!A6:BG""),15,FALSE))"),"")</f>
        <v/>
      </c>
      <c r="AY240" s="110" t="str">
        <f ca="1">IFERROR(__xludf.DUMMYFUNCTION("IFERROR(VLOOKUP(E506&amp;F506,IMPORTRANGE(""https://docs.google.com/spreadsheets/d/1Uw7-A9f9R21vMXxHZFNpYNeKFtG8_yji4HS352LGlSQ/edit?pli=1#gid=0"",""1_ACUM!A4:S""),13,FALSE))"),"")</f>
        <v/>
      </c>
      <c r="AZ240" s="43" t="str">
        <f ca="1">IFERROR(__xludf.DUMMYFUNCTION("IFERROR(VLOOKUP(E506&amp;F506,IMPORTRANGE(""https://docs.google.com/spreadsheets/d/1Uw7-A9f9R21vMXxHZFNpYNeKFtG8_yji4HS352LGlSQ/edit?pli=1#gid=0"",""1_ACUM!A4:S""),13,FALSE))"),"")</f>
        <v/>
      </c>
      <c r="BA240" s="43" t="str">
        <f ca="1">IFERROR(__xludf.DUMMYFUNCTION("IFERROR(VLOOKUP(E506&amp;F506,IMPORTRANGE(""https://docs.google.com/spreadsheets/d/1Uw7-A9f9R21vMXxHZFNpYNeKFtG8_yji4HS352LGlSQ/edit?pli=1#gid=0"",""1_ACUM!A4:S""),14,FALSE))"),"")</f>
        <v/>
      </c>
      <c r="BB240" s="43" t="str">
        <f ca="1">IFERROR(__xludf.DUMMYFUNCTION("IFERROR(VLOOKUP(E506&amp;F506,IMPORTRANGE(""https://docs.google.com/spreadsheets/d/1Uw7-A9f9R21vMXxHZFNpYNeKFtG8_yji4HS352LGlSQ/edit?pli=1#gid=0"",""1_ACUM!A4:S""),15,FALSE))"),"")</f>
        <v/>
      </c>
      <c r="BC240" s="43" t="str">
        <f ca="1">IFERROR(__xludf.DUMMYFUNCTION("IFERROR(VLOOKUP(E506&amp;F506,IMPORTRANGE(""https://docs.google.com/spreadsheets/d/1Uw7-A9f9R21vMXxHZFNpYNeKFtG8_yji4HS352LGlSQ/edit?pli=1#gid=0"",""1_ACUM!A4:S""),16,FALSE))"),"")</f>
        <v/>
      </c>
      <c r="BD240" s="43" t="str">
        <f ca="1">IFERROR(__xludf.DUMMYFUNCTION("IFERROR(VLOOKUP(E506&amp;F506,IMPORTRANGE(""https://docs.google.com/spreadsheets/d/1Uw7-A9f9R21vMXxHZFNpYNeKFtG8_yji4HS352LGlSQ/edit?pli=1#gid=0"",""1_ACUM!A4:S""),17,FALSE))"),"")</f>
        <v/>
      </c>
      <c r="BE240" s="44" t="str">
        <f ca="1">IFERROR(__xludf.DUMMYFUNCTION("IFERROR(VLOOKUP(E506&amp;F506,IMPORTRANGE(""https://docs.google.com/spreadsheets/d/1Uw7-A9f9R21vMXxHZFNpYNeKFtG8_yji4HS352LGlSQ/edit?pli=1#gid=0"",""1_ACUM!A4:S""),18,FALSE))"),"")</f>
        <v/>
      </c>
      <c r="BF240" s="44" t="str">
        <f ca="1">IFERROR(__xludf.DUMMYFUNCTION("IFERROR(VLOOKUP(E506&amp;F506,IMPORTRANGE(""https://docs.google.com/spreadsheets/d/1Uw7-A9f9R21vMXxHZFNpYNeKFtG8_yji4HS352LGlSQ/edit?pli=1#gid=0"",""1_ACUM!A4:S""),19,FALSE))"),"")</f>
        <v/>
      </c>
      <c r="BG240" s="98" t="str">
        <f ca="1">IFERROR(__xludf.DUMMYFUNCTION("IFERROR(VLOOKUP(F506,IMPORTRANGE(""https://docs.google.com/spreadsheets/d/1Kvs4KS76FHFqLFIZfrDMff4kP08nblUkihrxltoGBjg/edit#gid=934712705"",""ESENCIAL!A6:BG""),5,FALSE))"),"")</f>
        <v/>
      </c>
      <c r="BH240" s="98" t="str">
        <f t="shared" si="17"/>
        <v/>
      </c>
      <c r="BI240" s="99" t="str">
        <f t="shared" si="18"/>
        <v/>
      </c>
      <c r="BJ240" s="100" t="str">
        <f ca="1">IFERROR(__xludf.DUMMYFUNCTION("IFERROR(VLOOKUP(F506,IMPORTRANGE(""https://docs.google.com/spreadsheets/d/1Kvs4KS76FHFqLFIZfrDMff4kP08nblUkihrxltoGBjg/edit#gid=934712705"",""ESENCIAL!A6:BG""),2,FALSE))"),"")</f>
        <v/>
      </c>
      <c r="BK240" s="19" t="str">
        <f t="shared" si="19"/>
        <v/>
      </c>
      <c r="BL240" s="100"/>
      <c r="BM240" s="100"/>
    </row>
    <row r="241" spans="2:65" ht="15">
      <c r="B241" s="39"/>
      <c r="C241" s="5"/>
      <c r="D241" s="123"/>
      <c r="E241" s="39"/>
      <c r="F241" s="39"/>
      <c r="G241" s="39"/>
      <c r="H241" s="5" t="str">
        <f ca="1">IFERROR(__xludf.DUMMYFUNCTION("IFERROR(VLOOKUP(F507,IMPORTRANGE(""https://docs.google.com/spreadsheets/d/1Kvs4KS76FHFqLFIZfrDMff4kP08nblUkihrxltoGBjg/edit#gid=934712705"",""ESENCIAL!A6:BG""),3,FALSE))"),"")</f>
        <v/>
      </c>
      <c r="I241" s="5" t="str">
        <f ca="1">IFERROR(__xludf.DUMMYFUNCTION("IFERROR(VLOOKUP(F507,IMPORTRANGE(""https://docs.google.com/spreadsheets/d/1Kvs4KS76FHFqLFIZfrDMff4kP08nblUkihrxltoGBjg/edit#gid=934712705"",""ESENCIAL!A6:BG""),8,FALSE))"),"")</f>
        <v/>
      </c>
      <c r="J241" s="39"/>
      <c r="M241" s="287"/>
      <c r="AV241" s="41" t="str">
        <f t="shared" si="16"/>
        <v/>
      </c>
      <c r="AW241" s="5" t="str">
        <f ca="1">IFERROR(__xludf.DUMMYFUNCTION("IFERROR(VLOOKUP(E507&amp;F507,IMPORTRANGE(""https://docs.google.com/spreadsheets/d/1Uw7-A9f9R21vMXxHZFNpYNeKFtG8_yji4HS352LGlSQ/edit?pli=1#gid=0"",""1_ACUM!A4:S""),11,FALSE))"),"")</f>
        <v/>
      </c>
      <c r="AX241" s="42" t="str">
        <f ca="1">IFERROR(__xludf.DUMMYFUNCTION("IFERROR(VLOOKUP(F507,IMPORTRANGE(""https://docs.google.com/spreadsheets/d/1Kvs4KS76FHFqLFIZfrDMff4kP08nblUkihrxltoGBjg/edit#gid=934712705"",""ESENCIAL!A6:BG""),15,FALSE))"),"")</f>
        <v/>
      </c>
      <c r="AY241" s="110" t="str">
        <f ca="1">IFERROR(__xludf.DUMMYFUNCTION("IFERROR(VLOOKUP(E507&amp;F507,IMPORTRANGE(""https://docs.google.com/spreadsheets/d/1Uw7-A9f9R21vMXxHZFNpYNeKFtG8_yji4HS352LGlSQ/edit?pli=1#gid=0"",""1_ACUM!A4:S""),13,FALSE))"),"")</f>
        <v/>
      </c>
      <c r="AZ241" s="43" t="str">
        <f ca="1">IFERROR(__xludf.DUMMYFUNCTION("IFERROR(VLOOKUP(E507&amp;F507,IMPORTRANGE(""https://docs.google.com/spreadsheets/d/1Uw7-A9f9R21vMXxHZFNpYNeKFtG8_yji4HS352LGlSQ/edit?pli=1#gid=0"",""1_ACUM!A4:S""),13,FALSE))"),"")</f>
        <v/>
      </c>
      <c r="BA241" s="43" t="str">
        <f ca="1">IFERROR(__xludf.DUMMYFUNCTION("IFERROR(VLOOKUP(E507&amp;F507,IMPORTRANGE(""https://docs.google.com/spreadsheets/d/1Uw7-A9f9R21vMXxHZFNpYNeKFtG8_yji4HS352LGlSQ/edit?pli=1#gid=0"",""1_ACUM!A4:S""),14,FALSE))"),"")</f>
        <v/>
      </c>
      <c r="BB241" s="43" t="str">
        <f ca="1">IFERROR(__xludf.DUMMYFUNCTION("IFERROR(VLOOKUP(E507&amp;F507,IMPORTRANGE(""https://docs.google.com/spreadsheets/d/1Uw7-A9f9R21vMXxHZFNpYNeKFtG8_yji4HS352LGlSQ/edit?pli=1#gid=0"",""1_ACUM!A4:S""),15,FALSE))"),"")</f>
        <v/>
      </c>
      <c r="BC241" s="43" t="str">
        <f ca="1">IFERROR(__xludf.DUMMYFUNCTION("IFERROR(VLOOKUP(E507&amp;F507,IMPORTRANGE(""https://docs.google.com/spreadsheets/d/1Uw7-A9f9R21vMXxHZFNpYNeKFtG8_yji4HS352LGlSQ/edit?pli=1#gid=0"",""1_ACUM!A4:S""),16,FALSE))"),"")</f>
        <v/>
      </c>
      <c r="BD241" s="43" t="str">
        <f ca="1">IFERROR(__xludf.DUMMYFUNCTION("IFERROR(VLOOKUP(E507&amp;F507,IMPORTRANGE(""https://docs.google.com/spreadsheets/d/1Uw7-A9f9R21vMXxHZFNpYNeKFtG8_yji4HS352LGlSQ/edit?pli=1#gid=0"",""1_ACUM!A4:S""),17,FALSE))"),"")</f>
        <v/>
      </c>
      <c r="BE241" s="44" t="str">
        <f ca="1">IFERROR(__xludf.DUMMYFUNCTION("IFERROR(VLOOKUP(E507&amp;F507,IMPORTRANGE(""https://docs.google.com/spreadsheets/d/1Uw7-A9f9R21vMXxHZFNpYNeKFtG8_yji4HS352LGlSQ/edit?pli=1#gid=0"",""1_ACUM!A4:S""),18,FALSE))"),"")</f>
        <v/>
      </c>
      <c r="BF241" s="44" t="str">
        <f ca="1">IFERROR(__xludf.DUMMYFUNCTION("IFERROR(VLOOKUP(E507&amp;F507,IMPORTRANGE(""https://docs.google.com/spreadsheets/d/1Uw7-A9f9R21vMXxHZFNpYNeKFtG8_yji4HS352LGlSQ/edit?pli=1#gid=0"",""1_ACUM!A4:S""),19,FALSE))"),"")</f>
        <v/>
      </c>
      <c r="BG241" s="98" t="str">
        <f ca="1">IFERROR(__xludf.DUMMYFUNCTION("IFERROR(VLOOKUP(F507,IMPORTRANGE(""https://docs.google.com/spreadsheets/d/1Kvs4KS76FHFqLFIZfrDMff4kP08nblUkihrxltoGBjg/edit#gid=934712705"",""ESENCIAL!A6:BG""),5,FALSE))"),"")</f>
        <v/>
      </c>
      <c r="BH241" s="98" t="str">
        <f t="shared" si="17"/>
        <v/>
      </c>
      <c r="BI241" s="99" t="str">
        <f t="shared" si="18"/>
        <v/>
      </c>
      <c r="BJ241" s="100" t="str">
        <f ca="1">IFERROR(__xludf.DUMMYFUNCTION("IFERROR(VLOOKUP(F507,IMPORTRANGE(""https://docs.google.com/spreadsheets/d/1Kvs4KS76FHFqLFIZfrDMff4kP08nblUkihrxltoGBjg/edit#gid=934712705"",""ESENCIAL!A6:BG""),2,FALSE))"),"")</f>
        <v/>
      </c>
      <c r="BK241" s="19" t="str">
        <f t="shared" si="19"/>
        <v/>
      </c>
      <c r="BL241" s="100"/>
      <c r="BM241" s="100"/>
    </row>
    <row r="242" spans="2:65" ht="15">
      <c r="B242" s="39"/>
      <c r="C242" s="5"/>
      <c r="D242" s="123"/>
      <c r="E242" s="39"/>
      <c r="F242" s="39"/>
      <c r="G242" s="39"/>
      <c r="H242" s="5" t="str">
        <f ca="1">IFERROR(__xludf.DUMMYFUNCTION("IFERROR(VLOOKUP(F508,IMPORTRANGE(""https://docs.google.com/spreadsheets/d/1Kvs4KS76FHFqLFIZfrDMff4kP08nblUkihrxltoGBjg/edit#gid=934712705"",""ESENCIAL!A6:BG""),3,FALSE))"),"")</f>
        <v/>
      </c>
      <c r="I242" s="5" t="str">
        <f ca="1">IFERROR(__xludf.DUMMYFUNCTION("IFERROR(VLOOKUP(F508,IMPORTRANGE(""https://docs.google.com/spreadsheets/d/1Kvs4KS76FHFqLFIZfrDMff4kP08nblUkihrxltoGBjg/edit#gid=934712705"",""ESENCIAL!A6:BG""),8,FALSE))"),"")</f>
        <v/>
      </c>
      <c r="J242" s="39"/>
      <c r="M242" s="287"/>
      <c r="AV242" s="41" t="str">
        <f t="shared" si="16"/>
        <v/>
      </c>
      <c r="AW242" s="5" t="str">
        <f ca="1">IFERROR(__xludf.DUMMYFUNCTION("IFERROR(VLOOKUP(E508&amp;F508,IMPORTRANGE(""https://docs.google.com/spreadsheets/d/1Uw7-A9f9R21vMXxHZFNpYNeKFtG8_yji4HS352LGlSQ/edit?pli=1#gid=0"",""1_ACUM!A4:S""),11,FALSE))"),"")</f>
        <v/>
      </c>
      <c r="AX242" s="42" t="str">
        <f ca="1">IFERROR(__xludf.DUMMYFUNCTION("IFERROR(VLOOKUP(F508,IMPORTRANGE(""https://docs.google.com/spreadsheets/d/1Kvs4KS76FHFqLFIZfrDMff4kP08nblUkihrxltoGBjg/edit#gid=934712705"",""ESENCIAL!A6:BG""),15,FALSE))"),"")</f>
        <v/>
      </c>
      <c r="AY242" s="110" t="str">
        <f ca="1">IFERROR(__xludf.DUMMYFUNCTION("IFERROR(VLOOKUP(E508&amp;F508,IMPORTRANGE(""https://docs.google.com/spreadsheets/d/1Uw7-A9f9R21vMXxHZFNpYNeKFtG8_yji4HS352LGlSQ/edit?pli=1#gid=0"",""1_ACUM!A4:S""),13,FALSE))"),"")</f>
        <v/>
      </c>
      <c r="AZ242" s="43" t="str">
        <f ca="1">IFERROR(__xludf.DUMMYFUNCTION("IFERROR(VLOOKUP(E508&amp;F508,IMPORTRANGE(""https://docs.google.com/spreadsheets/d/1Uw7-A9f9R21vMXxHZFNpYNeKFtG8_yji4HS352LGlSQ/edit?pli=1#gid=0"",""1_ACUM!A4:S""),13,FALSE))"),"")</f>
        <v/>
      </c>
      <c r="BA242" s="43" t="str">
        <f ca="1">IFERROR(__xludf.DUMMYFUNCTION("IFERROR(VLOOKUP(E508&amp;F508,IMPORTRANGE(""https://docs.google.com/spreadsheets/d/1Uw7-A9f9R21vMXxHZFNpYNeKFtG8_yji4HS352LGlSQ/edit?pli=1#gid=0"",""1_ACUM!A4:S""),14,FALSE))"),"")</f>
        <v/>
      </c>
      <c r="BB242" s="43" t="str">
        <f ca="1">IFERROR(__xludf.DUMMYFUNCTION("IFERROR(VLOOKUP(E508&amp;F508,IMPORTRANGE(""https://docs.google.com/spreadsheets/d/1Uw7-A9f9R21vMXxHZFNpYNeKFtG8_yji4HS352LGlSQ/edit?pli=1#gid=0"",""1_ACUM!A4:S""),15,FALSE))"),"")</f>
        <v/>
      </c>
      <c r="BC242" s="43" t="str">
        <f ca="1">IFERROR(__xludf.DUMMYFUNCTION("IFERROR(VLOOKUP(E508&amp;F508,IMPORTRANGE(""https://docs.google.com/spreadsheets/d/1Uw7-A9f9R21vMXxHZFNpYNeKFtG8_yji4HS352LGlSQ/edit?pli=1#gid=0"",""1_ACUM!A4:S""),16,FALSE))"),"")</f>
        <v/>
      </c>
      <c r="BD242" s="43" t="str">
        <f ca="1">IFERROR(__xludf.DUMMYFUNCTION("IFERROR(VLOOKUP(E508&amp;F508,IMPORTRANGE(""https://docs.google.com/spreadsheets/d/1Uw7-A9f9R21vMXxHZFNpYNeKFtG8_yji4HS352LGlSQ/edit?pli=1#gid=0"",""1_ACUM!A4:S""),17,FALSE))"),"")</f>
        <v/>
      </c>
      <c r="BE242" s="44" t="str">
        <f ca="1">IFERROR(__xludf.DUMMYFUNCTION("IFERROR(VLOOKUP(E508&amp;F508,IMPORTRANGE(""https://docs.google.com/spreadsheets/d/1Uw7-A9f9R21vMXxHZFNpYNeKFtG8_yji4HS352LGlSQ/edit?pli=1#gid=0"",""1_ACUM!A4:S""),18,FALSE))"),"")</f>
        <v/>
      </c>
      <c r="BF242" s="44" t="str">
        <f ca="1">IFERROR(__xludf.DUMMYFUNCTION("IFERROR(VLOOKUP(E508&amp;F508,IMPORTRANGE(""https://docs.google.com/spreadsheets/d/1Uw7-A9f9R21vMXxHZFNpYNeKFtG8_yji4HS352LGlSQ/edit?pli=1#gid=0"",""1_ACUM!A4:S""),19,FALSE))"),"")</f>
        <v/>
      </c>
      <c r="BG242" s="98" t="str">
        <f ca="1">IFERROR(__xludf.DUMMYFUNCTION("IFERROR(VLOOKUP(F508,IMPORTRANGE(""https://docs.google.com/spreadsheets/d/1Kvs4KS76FHFqLFIZfrDMff4kP08nblUkihrxltoGBjg/edit#gid=934712705"",""ESENCIAL!A6:BG""),5,FALSE))"),"")</f>
        <v/>
      </c>
      <c r="BH242" s="98" t="str">
        <f t="shared" si="17"/>
        <v/>
      </c>
      <c r="BI242" s="99" t="str">
        <f t="shared" si="18"/>
        <v/>
      </c>
      <c r="BJ242" s="100" t="str">
        <f ca="1">IFERROR(__xludf.DUMMYFUNCTION("IFERROR(VLOOKUP(F508,IMPORTRANGE(""https://docs.google.com/spreadsheets/d/1Kvs4KS76FHFqLFIZfrDMff4kP08nblUkihrxltoGBjg/edit#gid=934712705"",""ESENCIAL!A6:BG""),2,FALSE))"),"")</f>
        <v/>
      </c>
      <c r="BK242" s="19" t="str">
        <f t="shared" si="19"/>
        <v/>
      </c>
      <c r="BL242" s="100"/>
      <c r="BM242" s="100"/>
    </row>
    <row r="243" spans="2:65" ht="15">
      <c r="B243" s="39"/>
      <c r="C243" s="5"/>
      <c r="D243" s="123"/>
      <c r="E243" s="39"/>
      <c r="F243" s="39"/>
      <c r="G243" s="39"/>
      <c r="H243" s="5" t="str">
        <f ca="1">IFERROR(__xludf.DUMMYFUNCTION("IFERROR(VLOOKUP(F509,IMPORTRANGE(""https://docs.google.com/spreadsheets/d/1Kvs4KS76FHFqLFIZfrDMff4kP08nblUkihrxltoGBjg/edit#gid=934712705"",""ESENCIAL!A6:BG""),3,FALSE))"),"")</f>
        <v/>
      </c>
      <c r="I243" s="5" t="str">
        <f ca="1">IFERROR(__xludf.DUMMYFUNCTION("IFERROR(VLOOKUP(F509,IMPORTRANGE(""https://docs.google.com/spreadsheets/d/1Kvs4KS76FHFqLFIZfrDMff4kP08nblUkihrxltoGBjg/edit#gid=934712705"",""ESENCIAL!A6:BG""),8,FALSE))"),"")</f>
        <v/>
      </c>
      <c r="J243" s="39"/>
      <c r="M243" s="287"/>
      <c r="AV243" s="41" t="str">
        <f t="shared" si="16"/>
        <v/>
      </c>
      <c r="AW243" s="5" t="str">
        <f ca="1">IFERROR(__xludf.DUMMYFUNCTION("IFERROR(VLOOKUP(E509&amp;F509,IMPORTRANGE(""https://docs.google.com/spreadsheets/d/1Uw7-A9f9R21vMXxHZFNpYNeKFtG8_yji4HS352LGlSQ/edit?pli=1#gid=0"",""1_ACUM!A4:S""),11,FALSE))"),"")</f>
        <v/>
      </c>
      <c r="AX243" s="42" t="str">
        <f ca="1">IFERROR(__xludf.DUMMYFUNCTION("IFERROR(VLOOKUP(F509,IMPORTRANGE(""https://docs.google.com/spreadsheets/d/1Kvs4KS76FHFqLFIZfrDMff4kP08nblUkihrxltoGBjg/edit#gid=934712705"",""ESENCIAL!A6:BG""),15,FALSE))"),"")</f>
        <v/>
      </c>
      <c r="AY243" s="110" t="str">
        <f ca="1">IFERROR(__xludf.DUMMYFUNCTION("IFERROR(VLOOKUP(E509&amp;F509,IMPORTRANGE(""https://docs.google.com/spreadsheets/d/1Uw7-A9f9R21vMXxHZFNpYNeKFtG8_yji4HS352LGlSQ/edit?pli=1#gid=0"",""1_ACUM!A4:S""),13,FALSE))"),"")</f>
        <v/>
      </c>
      <c r="AZ243" s="43" t="str">
        <f ca="1">IFERROR(__xludf.DUMMYFUNCTION("IFERROR(VLOOKUP(E509&amp;F509,IMPORTRANGE(""https://docs.google.com/spreadsheets/d/1Uw7-A9f9R21vMXxHZFNpYNeKFtG8_yji4HS352LGlSQ/edit?pli=1#gid=0"",""1_ACUM!A4:S""),13,FALSE))"),"")</f>
        <v/>
      </c>
      <c r="BA243" s="43" t="str">
        <f ca="1">IFERROR(__xludf.DUMMYFUNCTION("IFERROR(VLOOKUP(E509&amp;F509,IMPORTRANGE(""https://docs.google.com/spreadsheets/d/1Uw7-A9f9R21vMXxHZFNpYNeKFtG8_yji4HS352LGlSQ/edit?pli=1#gid=0"",""1_ACUM!A4:S""),14,FALSE))"),"")</f>
        <v/>
      </c>
      <c r="BB243" s="43" t="str">
        <f ca="1">IFERROR(__xludf.DUMMYFUNCTION("IFERROR(VLOOKUP(E509&amp;F509,IMPORTRANGE(""https://docs.google.com/spreadsheets/d/1Uw7-A9f9R21vMXxHZFNpYNeKFtG8_yji4HS352LGlSQ/edit?pli=1#gid=0"",""1_ACUM!A4:S""),15,FALSE))"),"")</f>
        <v/>
      </c>
      <c r="BC243" s="43" t="str">
        <f ca="1">IFERROR(__xludf.DUMMYFUNCTION("IFERROR(VLOOKUP(E509&amp;F509,IMPORTRANGE(""https://docs.google.com/spreadsheets/d/1Uw7-A9f9R21vMXxHZFNpYNeKFtG8_yji4HS352LGlSQ/edit?pli=1#gid=0"",""1_ACUM!A4:S""),16,FALSE))"),"")</f>
        <v/>
      </c>
      <c r="BD243" s="43" t="str">
        <f ca="1">IFERROR(__xludf.DUMMYFUNCTION("IFERROR(VLOOKUP(E509&amp;F509,IMPORTRANGE(""https://docs.google.com/spreadsheets/d/1Uw7-A9f9R21vMXxHZFNpYNeKFtG8_yji4HS352LGlSQ/edit?pli=1#gid=0"",""1_ACUM!A4:S""),17,FALSE))"),"")</f>
        <v/>
      </c>
      <c r="BE243" s="44" t="str">
        <f ca="1">IFERROR(__xludf.DUMMYFUNCTION("IFERROR(VLOOKUP(E509&amp;F509,IMPORTRANGE(""https://docs.google.com/spreadsheets/d/1Uw7-A9f9R21vMXxHZFNpYNeKFtG8_yji4HS352LGlSQ/edit?pli=1#gid=0"",""1_ACUM!A4:S""),18,FALSE))"),"")</f>
        <v/>
      </c>
      <c r="BF243" s="44" t="str">
        <f ca="1">IFERROR(__xludf.DUMMYFUNCTION("IFERROR(VLOOKUP(E509&amp;F509,IMPORTRANGE(""https://docs.google.com/spreadsheets/d/1Uw7-A9f9R21vMXxHZFNpYNeKFtG8_yji4HS352LGlSQ/edit?pli=1#gid=0"",""1_ACUM!A4:S""),19,FALSE))"),"")</f>
        <v/>
      </c>
      <c r="BG243" s="98" t="str">
        <f ca="1">IFERROR(__xludf.DUMMYFUNCTION("IFERROR(VLOOKUP(F509,IMPORTRANGE(""https://docs.google.com/spreadsheets/d/1Kvs4KS76FHFqLFIZfrDMff4kP08nblUkihrxltoGBjg/edit#gid=934712705"",""ESENCIAL!A6:BG""),5,FALSE))"),"")</f>
        <v/>
      </c>
      <c r="BH243" s="98" t="str">
        <f t="shared" si="17"/>
        <v/>
      </c>
      <c r="BI243" s="99" t="str">
        <f t="shared" si="18"/>
        <v/>
      </c>
      <c r="BJ243" s="100" t="str">
        <f ca="1">IFERROR(__xludf.DUMMYFUNCTION("IFERROR(VLOOKUP(F509,IMPORTRANGE(""https://docs.google.com/spreadsheets/d/1Kvs4KS76FHFqLFIZfrDMff4kP08nblUkihrxltoGBjg/edit#gid=934712705"",""ESENCIAL!A6:BG""),2,FALSE))"),"")</f>
        <v/>
      </c>
      <c r="BK243" s="19" t="str">
        <f t="shared" si="19"/>
        <v/>
      </c>
      <c r="BL243" s="100"/>
      <c r="BM243" s="100"/>
    </row>
    <row r="244" spans="2:65" ht="15">
      <c r="B244" s="39"/>
      <c r="C244" s="5"/>
      <c r="D244" s="123"/>
      <c r="E244" s="39"/>
      <c r="F244" s="39"/>
      <c r="G244" s="39"/>
      <c r="H244" s="5" t="str">
        <f ca="1">IFERROR(__xludf.DUMMYFUNCTION("IFERROR(VLOOKUP(F510,IMPORTRANGE(""https://docs.google.com/spreadsheets/d/1Kvs4KS76FHFqLFIZfrDMff4kP08nblUkihrxltoGBjg/edit#gid=934712705"",""ESENCIAL!A6:BG""),3,FALSE))"),"")</f>
        <v/>
      </c>
      <c r="I244" s="5" t="str">
        <f ca="1">IFERROR(__xludf.DUMMYFUNCTION("IFERROR(VLOOKUP(F510,IMPORTRANGE(""https://docs.google.com/spreadsheets/d/1Kvs4KS76FHFqLFIZfrDMff4kP08nblUkihrxltoGBjg/edit#gid=934712705"",""ESENCIAL!A6:BG""),8,FALSE))"),"")</f>
        <v/>
      </c>
      <c r="J244" s="39"/>
      <c r="M244" s="287"/>
      <c r="AV244" s="41" t="str">
        <f t="shared" si="16"/>
        <v/>
      </c>
      <c r="AW244" s="5" t="str">
        <f ca="1">IFERROR(__xludf.DUMMYFUNCTION("IFERROR(VLOOKUP(E510&amp;F510,IMPORTRANGE(""https://docs.google.com/spreadsheets/d/1Uw7-A9f9R21vMXxHZFNpYNeKFtG8_yji4HS352LGlSQ/edit?pli=1#gid=0"",""1_ACUM!A4:S""),11,FALSE))"),"")</f>
        <v/>
      </c>
      <c r="AX244" s="42" t="str">
        <f ca="1">IFERROR(__xludf.DUMMYFUNCTION("IFERROR(VLOOKUP(F510,IMPORTRANGE(""https://docs.google.com/spreadsheets/d/1Kvs4KS76FHFqLFIZfrDMff4kP08nblUkihrxltoGBjg/edit#gid=934712705"",""ESENCIAL!A6:BG""),15,FALSE))"),"")</f>
        <v/>
      </c>
      <c r="AY244" s="110" t="str">
        <f ca="1">IFERROR(__xludf.DUMMYFUNCTION("IFERROR(VLOOKUP(E510&amp;F510,IMPORTRANGE(""https://docs.google.com/spreadsheets/d/1Uw7-A9f9R21vMXxHZFNpYNeKFtG8_yji4HS352LGlSQ/edit?pli=1#gid=0"",""1_ACUM!A4:S""),13,FALSE))"),"")</f>
        <v/>
      </c>
      <c r="AZ244" s="43" t="str">
        <f ca="1">IFERROR(__xludf.DUMMYFUNCTION("IFERROR(VLOOKUP(E510&amp;F510,IMPORTRANGE(""https://docs.google.com/spreadsheets/d/1Uw7-A9f9R21vMXxHZFNpYNeKFtG8_yji4HS352LGlSQ/edit?pli=1#gid=0"",""1_ACUM!A4:S""),13,FALSE))"),"")</f>
        <v/>
      </c>
      <c r="BA244" s="43" t="str">
        <f ca="1">IFERROR(__xludf.DUMMYFUNCTION("IFERROR(VLOOKUP(E510&amp;F510,IMPORTRANGE(""https://docs.google.com/spreadsheets/d/1Uw7-A9f9R21vMXxHZFNpYNeKFtG8_yji4HS352LGlSQ/edit?pli=1#gid=0"",""1_ACUM!A4:S""),14,FALSE))"),"")</f>
        <v/>
      </c>
      <c r="BB244" s="43" t="str">
        <f ca="1">IFERROR(__xludf.DUMMYFUNCTION("IFERROR(VLOOKUP(E510&amp;F510,IMPORTRANGE(""https://docs.google.com/spreadsheets/d/1Uw7-A9f9R21vMXxHZFNpYNeKFtG8_yji4HS352LGlSQ/edit?pli=1#gid=0"",""1_ACUM!A4:S""),15,FALSE))"),"")</f>
        <v/>
      </c>
      <c r="BC244" s="43" t="str">
        <f ca="1">IFERROR(__xludf.DUMMYFUNCTION("IFERROR(VLOOKUP(E510&amp;F510,IMPORTRANGE(""https://docs.google.com/spreadsheets/d/1Uw7-A9f9R21vMXxHZFNpYNeKFtG8_yji4HS352LGlSQ/edit?pli=1#gid=0"",""1_ACUM!A4:S""),16,FALSE))"),"")</f>
        <v/>
      </c>
      <c r="BD244" s="43" t="str">
        <f ca="1">IFERROR(__xludf.DUMMYFUNCTION("IFERROR(VLOOKUP(E510&amp;F510,IMPORTRANGE(""https://docs.google.com/spreadsheets/d/1Uw7-A9f9R21vMXxHZFNpYNeKFtG8_yji4HS352LGlSQ/edit?pli=1#gid=0"",""1_ACUM!A4:S""),17,FALSE))"),"")</f>
        <v/>
      </c>
      <c r="BE244" s="44" t="str">
        <f ca="1">IFERROR(__xludf.DUMMYFUNCTION("IFERROR(VLOOKUP(E510&amp;F510,IMPORTRANGE(""https://docs.google.com/spreadsheets/d/1Uw7-A9f9R21vMXxHZFNpYNeKFtG8_yji4HS352LGlSQ/edit?pli=1#gid=0"",""1_ACUM!A4:S""),18,FALSE))"),"")</f>
        <v/>
      </c>
      <c r="BF244" s="44" t="str">
        <f ca="1">IFERROR(__xludf.DUMMYFUNCTION("IFERROR(VLOOKUP(E510&amp;F510,IMPORTRANGE(""https://docs.google.com/spreadsheets/d/1Uw7-A9f9R21vMXxHZFNpYNeKFtG8_yji4HS352LGlSQ/edit?pli=1#gid=0"",""1_ACUM!A4:S""),19,FALSE))"),"")</f>
        <v/>
      </c>
      <c r="BG244" s="98" t="str">
        <f ca="1">IFERROR(__xludf.DUMMYFUNCTION("IFERROR(VLOOKUP(F510,IMPORTRANGE(""https://docs.google.com/spreadsheets/d/1Kvs4KS76FHFqLFIZfrDMff4kP08nblUkihrxltoGBjg/edit#gid=934712705"",""ESENCIAL!A6:BG""),5,FALSE))"),"")</f>
        <v/>
      </c>
      <c r="BH244" s="98" t="str">
        <f t="shared" si="17"/>
        <v/>
      </c>
      <c r="BI244" s="99" t="str">
        <f t="shared" si="18"/>
        <v/>
      </c>
      <c r="BJ244" s="100" t="str">
        <f ca="1">IFERROR(__xludf.DUMMYFUNCTION("IFERROR(VLOOKUP(F510,IMPORTRANGE(""https://docs.google.com/spreadsheets/d/1Kvs4KS76FHFqLFIZfrDMff4kP08nblUkihrxltoGBjg/edit#gid=934712705"",""ESENCIAL!A6:BG""),2,FALSE))"),"")</f>
        <v/>
      </c>
      <c r="BK244" s="19" t="str">
        <f t="shared" si="19"/>
        <v/>
      </c>
      <c r="BL244" s="100"/>
      <c r="BM244" s="100"/>
    </row>
    <row r="245" spans="2:65" ht="15">
      <c r="B245" s="39"/>
      <c r="C245" s="5"/>
      <c r="D245" s="123"/>
      <c r="E245" s="39"/>
      <c r="F245" s="39"/>
      <c r="G245" s="39"/>
      <c r="H245" s="5" t="str">
        <f ca="1">IFERROR(__xludf.DUMMYFUNCTION("IFERROR(VLOOKUP(F511,IMPORTRANGE(""https://docs.google.com/spreadsheets/d/1Kvs4KS76FHFqLFIZfrDMff4kP08nblUkihrxltoGBjg/edit#gid=934712705"",""ESENCIAL!A6:BG""),3,FALSE))"),"")</f>
        <v/>
      </c>
      <c r="I245" s="5" t="str">
        <f ca="1">IFERROR(__xludf.DUMMYFUNCTION("IFERROR(VLOOKUP(F511,IMPORTRANGE(""https://docs.google.com/spreadsheets/d/1Kvs4KS76FHFqLFIZfrDMff4kP08nblUkihrxltoGBjg/edit#gid=934712705"",""ESENCIAL!A6:BG""),8,FALSE))"),"")</f>
        <v/>
      </c>
      <c r="J245" s="39"/>
      <c r="M245" s="287"/>
      <c r="AV245" s="41" t="str">
        <f t="shared" si="16"/>
        <v/>
      </c>
      <c r="AW245" s="5" t="str">
        <f ca="1">IFERROR(__xludf.DUMMYFUNCTION("IFERROR(VLOOKUP(E511&amp;F511,IMPORTRANGE(""https://docs.google.com/spreadsheets/d/1Uw7-A9f9R21vMXxHZFNpYNeKFtG8_yji4HS352LGlSQ/edit?pli=1#gid=0"",""1_ACUM!A4:S""),11,FALSE))"),"")</f>
        <v/>
      </c>
      <c r="AX245" s="42" t="str">
        <f ca="1">IFERROR(__xludf.DUMMYFUNCTION("IFERROR(VLOOKUP(F511,IMPORTRANGE(""https://docs.google.com/spreadsheets/d/1Kvs4KS76FHFqLFIZfrDMff4kP08nblUkihrxltoGBjg/edit#gid=934712705"",""ESENCIAL!A6:BG""),15,FALSE))"),"")</f>
        <v/>
      </c>
      <c r="AY245" s="110" t="str">
        <f ca="1">IFERROR(__xludf.DUMMYFUNCTION("IFERROR(VLOOKUP(E511&amp;F511,IMPORTRANGE(""https://docs.google.com/spreadsheets/d/1Uw7-A9f9R21vMXxHZFNpYNeKFtG8_yji4HS352LGlSQ/edit?pli=1#gid=0"",""1_ACUM!A4:S""),13,FALSE))"),"")</f>
        <v/>
      </c>
      <c r="AZ245" s="43" t="str">
        <f ca="1">IFERROR(__xludf.DUMMYFUNCTION("IFERROR(VLOOKUP(E511&amp;F511,IMPORTRANGE(""https://docs.google.com/spreadsheets/d/1Uw7-A9f9R21vMXxHZFNpYNeKFtG8_yji4HS352LGlSQ/edit?pli=1#gid=0"",""1_ACUM!A4:S""),13,FALSE))"),"")</f>
        <v/>
      </c>
      <c r="BA245" s="43" t="str">
        <f ca="1">IFERROR(__xludf.DUMMYFUNCTION("IFERROR(VLOOKUP(E511&amp;F511,IMPORTRANGE(""https://docs.google.com/spreadsheets/d/1Uw7-A9f9R21vMXxHZFNpYNeKFtG8_yji4HS352LGlSQ/edit?pli=1#gid=0"",""1_ACUM!A4:S""),14,FALSE))"),"")</f>
        <v/>
      </c>
      <c r="BB245" s="43" t="str">
        <f ca="1">IFERROR(__xludf.DUMMYFUNCTION("IFERROR(VLOOKUP(E511&amp;F511,IMPORTRANGE(""https://docs.google.com/spreadsheets/d/1Uw7-A9f9R21vMXxHZFNpYNeKFtG8_yji4HS352LGlSQ/edit?pli=1#gid=0"",""1_ACUM!A4:S""),15,FALSE))"),"")</f>
        <v/>
      </c>
      <c r="BC245" s="43" t="str">
        <f ca="1">IFERROR(__xludf.DUMMYFUNCTION("IFERROR(VLOOKUP(E511&amp;F511,IMPORTRANGE(""https://docs.google.com/spreadsheets/d/1Uw7-A9f9R21vMXxHZFNpYNeKFtG8_yji4HS352LGlSQ/edit?pli=1#gid=0"",""1_ACUM!A4:S""),16,FALSE))"),"")</f>
        <v/>
      </c>
      <c r="BD245" s="43" t="str">
        <f ca="1">IFERROR(__xludf.DUMMYFUNCTION("IFERROR(VLOOKUP(E511&amp;F511,IMPORTRANGE(""https://docs.google.com/spreadsheets/d/1Uw7-A9f9R21vMXxHZFNpYNeKFtG8_yji4HS352LGlSQ/edit?pli=1#gid=0"",""1_ACUM!A4:S""),17,FALSE))"),"")</f>
        <v/>
      </c>
      <c r="BE245" s="44" t="str">
        <f ca="1">IFERROR(__xludf.DUMMYFUNCTION("IFERROR(VLOOKUP(E511&amp;F511,IMPORTRANGE(""https://docs.google.com/spreadsheets/d/1Uw7-A9f9R21vMXxHZFNpYNeKFtG8_yji4HS352LGlSQ/edit?pli=1#gid=0"",""1_ACUM!A4:S""),18,FALSE))"),"")</f>
        <v/>
      </c>
      <c r="BF245" s="44" t="str">
        <f ca="1">IFERROR(__xludf.DUMMYFUNCTION("IFERROR(VLOOKUP(E511&amp;F511,IMPORTRANGE(""https://docs.google.com/spreadsheets/d/1Uw7-A9f9R21vMXxHZFNpYNeKFtG8_yji4HS352LGlSQ/edit?pli=1#gid=0"",""1_ACUM!A4:S""),19,FALSE))"),"")</f>
        <v/>
      </c>
      <c r="BG245" s="98" t="str">
        <f ca="1">IFERROR(__xludf.DUMMYFUNCTION("IFERROR(VLOOKUP(F511,IMPORTRANGE(""https://docs.google.com/spreadsheets/d/1Kvs4KS76FHFqLFIZfrDMff4kP08nblUkihrxltoGBjg/edit#gid=934712705"",""ESENCIAL!A6:BG""),5,FALSE))"),"")</f>
        <v/>
      </c>
      <c r="BH245" s="98" t="str">
        <f t="shared" si="17"/>
        <v/>
      </c>
      <c r="BI245" s="99" t="str">
        <f t="shared" si="18"/>
        <v/>
      </c>
      <c r="BJ245" s="100" t="str">
        <f ca="1">IFERROR(__xludf.DUMMYFUNCTION("IFERROR(VLOOKUP(F511,IMPORTRANGE(""https://docs.google.com/spreadsheets/d/1Kvs4KS76FHFqLFIZfrDMff4kP08nblUkihrxltoGBjg/edit#gid=934712705"",""ESENCIAL!A6:BG""),2,FALSE))"),"")</f>
        <v/>
      </c>
      <c r="BK245" s="19" t="str">
        <f t="shared" si="19"/>
        <v/>
      </c>
      <c r="BL245" s="100"/>
      <c r="BM245" s="100"/>
    </row>
    <row r="246" spans="2:65" ht="15">
      <c r="B246" s="39"/>
      <c r="C246" s="5"/>
      <c r="D246" s="123"/>
      <c r="E246" s="39"/>
      <c r="F246" s="39"/>
      <c r="G246" s="39"/>
      <c r="H246" s="5" t="str">
        <f ca="1">IFERROR(__xludf.DUMMYFUNCTION("IFERROR(VLOOKUP(F512,IMPORTRANGE(""https://docs.google.com/spreadsheets/d/1Kvs4KS76FHFqLFIZfrDMff4kP08nblUkihrxltoGBjg/edit#gid=934712705"",""ESENCIAL!A6:BG""),3,FALSE))"),"")</f>
        <v/>
      </c>
      <c r="I246" s="5" t="str">
        <f ca="1">IFERROR(__xludf.DUMMYFUNCTION("IFERROR(VLOOKUP(F512,IMPORTRANGE(""https://docs.google.com/spreadsheets/d/1Kvs4KS76FHFqLFIZfrDMff4kP08nblUkihrxltoGBjg/edit#gid=934712705"",""ESENCIAL!A6:BG""),8,FALSE))"),"")</f>
        <v/>
      </c>
      <c r="J246" s="39"/>
      <c r="M246" s="287"/>
      <c r="AV246" s="41" t="str">
        <f t="shared" si="16"/>
        <v/>
      </c>
      <c r="AW246" s="5" t="str">
        <f ca="1">IFERROR(__xludf.DUMMYFUNCTION("IFERROR(VLOOKUP(E512&amp;F512,IMPORTRANGE(""https://docs.google.com/spreadsheets/d/1Uw7-A9f9R21vMXxHZFNpYNeKFtG8_yji4HS352LGlSQ/edit?pli=1#gid=0"",""1_ACUM!A4:S""),11,FALSE))"),"")</f>
        <v/>
      </c>
      <c r="AX246" s="42" t="str">
        <f ca="1">IFERROR(__xludf.DUMMYFUNCTION("IFERROR(VLOOKUP(F512,IMPORTRANGE(""https://docs.google.com/spreadsheets/d/1Kvs4KS76FHFqLFIZfrDMff4kP08nblUkihrxltoGBjg/edit#gid=934712705"",""ESENCIAL!A6:BG""),15,FALSE))"),"")</f>
        <v/>
      </c>
      <c r="AY246" s="110" t="str">
        <f ca="1">IFERROR(__xludf.DUMMYFUNCTION("IFERROR(VLOOKUP(E512&amp;F512,IMPORTRANGE(""https://docs.google.com/spreadsheets/d/1Uw7-A9f9R21vMXxHZFNpYNeKFtG8_yji4HS352LGlSQ/edit?pli=1#gid=0"",""1_ACUM!A4:S""),13,FALSE))"),"")</f>
        <v/>
      </c>
      <c r="AZ246" s="43" t="str">
        <f ca="1">IFERROR(__xludf.DUMMYFUNCTION("IFERROR(VLOOKUP(E512&amp;F512,IMPORTRANGE(""https://docs.google.com/spreadsheets/d/1Uw7-A9f9R21vMXxHZFNpYNeKFtG8_yji4HS352LGlSQ/edit?pli=1#gid=0"",""1_ACUM!A4:S""),13,FALSE))"),"")</f>
        <v/>
      </c>
      <c r="BA246" s="43" t="str">
        <f ca="1">IFERROR(__xludf.DUMMYFUNCTION("IFERROR(VLOOKUP(E512&amp;F512,IMPORTRANGE(""https://docs.google.com/spreadsheets/d/1Uw7-A9f9R21vMXxHZFNpYNeKFtG8_yji4HS352LGlSQ/edit?pli=1#gid=0"",""1_ACUM!A4:S""),14,FALSE))"),"")</f>
        <v/>
      </c>
      <c r="BB246" s="43" t="str">
        <f ca="1">IFERROR(__xludf.DUMMYFUNCTION("IFERROR(VLOOKUP(E512&amp;F512,IMPORTRANGE(""https://docs.google.com/spreadsheets/d/1Uw7-A9f9R21vMXxHZFNpYNeKFtG8_yji4HS352LGlSQ/edit?pli=1#gid=0"",""1_ACUM!A4:S""),15,FALSE))"),"")</f>
        <v/>
      </c>
      <c r="BC246" s="43" t="str">
        <f ca="1">IFERROR(__xludf.DUMMYFUNCTION("IFERROR(VLOOKUP(E512&amp;F512,IMPORTRANGE(""https://docs.google.com/spreadsheets/d/1Uw7-A9f9R21vMXxHZFNpYNeKFtG8_yji4HS352LGlSQ/edit?pli=1#gid=0"",""1_ACUM!A4:S""),16,FALSE))"),"")</f>
        <v/>
      </c>
      <c r="BD246" s="43" t="str">
        <f ca="1">IFERROR(__xludf.DUMMYFUNCTION("IFERROR(VLOOKUP(E512&amp;F512,IMPORTRANGE(""https://docs.google.com/spreadsheets/d/1Uw7-A9f9R21vMXxHZFNpYNeKFtG8_yji4HS352LGlSQ/edit?pli=1#gid=0"",""1_ACUM!A4:S""),17,FALSE))"),"")</f>
        <v/>
      </c>
      <c r="BE246" s="44" t="str">
        <f ca="1">IFERROR(__xludf.DUMMYFUNCTION("IFERROR(VLOOKUP(E512&amp;F512,IMPORTRANGE(""https://docs.google.com/spreadsheets/d/1Uw7-A9f9R21vMXxHZFNpYNeKFtG8_yji4HS352LGlSQ/edit?pli=1#gid=0"",""1_ACUM!A4:S""),18,FALSE))"),"")</f>
        <v/>
      </c>
      <c r="BF246" s="44" t="str">
        <f ca="1">IFERROR(__xludf.DUMMYFUNCTION("IFERROR(VLOOKUP(E512&amp;F512,IMPORTRANGE(""https://docs.google.com/spreadsheets/d/1Uw7-A9f9R21vMXxHZFNpYNeKFtG8_yji4HS352LGlSQ/edit?pli=1#gid=0"",""1_ACUM!A4:S""),19,FALSE))"),"")</f>
        <v/>
      </c>
      <c r="BG246" s="98" t="str">
        <f ca="1">IFERROR(__xludf.DUMMYFUNCTION("IFERROR(VLOOKUP(F512,IMPORTRANGE(""https://docs.google.com/spreadsheets/d/1Kvs4KS76FHFqLFIZfrDMff4kP08nblUkihrxltoGBjg/edit#gid=934712705"",""ESENCIAL!A6:BG""),5,FALSE))"),"")</f>
        <v/>
      </c>
      <c r="BH246" s="98" t="str">
        <f t="shared" si="17"/>
        <v/>
      </c>
      <c r="BI246" s="99" t="str">
        <f t="shared" si="18"/>
        <v/>
      </c>
      <c r="BJ246" s="100" t="str">
        <f ca="1">IFERROR(__xludf.DUMMYFUNCTION("IFERROR(VLOOKUP(F512,IMPORTRANGE(""https://docs.google.com/spreadsheets/d/1Kvs4KS76FHFqLFIZfrDMff4kP08nblUkihrxltoGBjg/edit#gid=934712705"",""ESENCIAL!A6:BG""),2,FALSE))"),"")</f>
        <v/>
      </c>
      <c r="BK246" s="19" t="str">
        <f t="shared" si="19"/>
        <v/>
      </c>
      <c r="BL246" s="100"/>
      <c r="BM246" s="100"/>
    </row>
    <row r="247" spans="2:65" ht="15">
      <c r="B247" s="39"/>
      <c r="C247" s="5"/>
      <c r="D247" s="123"/>
      <c r="E247" s="39"/>
      <c r="F247" s="39"/>
      <c r="G247" s="39"/>
      <c r="H247" s="5" t="str">
        <f ca="1">IFERROR(__xludf.DUMMYFUNCTION("IFERROR(VLOOKUP(F513,IMPORTRANGE(""https://docs.google.com/spreadsheets/d/1Kvs4KS76FHFqLFIZfrDMff4kP08nblUkihrxltoGBjg/edit#gid=934712705"",""ESENCIAL!A6:BG""),3,FALSE))"),"")</f>
        <v/>
      </c>
      <c r="I247" s="5" t="str">
        <f ca="1">IFERROR(__xludf.DUMMYFUNCTION("IFERROR(VLOOKUP(F513,IMPORTRANGE(""https://docs.google.com/spreadsheets/d/1Kvs4KS76FHFqLFIZfrDMff4kP08nblUkihrxltoGBjg/edit#gid=934712705"",""ESENCIAL!A6:BG""),8,FALSE))"),"")</f>
        <v/>
      </c>
      <c r="J247" s="39"/>
      <c r="M247" s="287"/>
      <c r="AV247" s="41" t="str">
        <f t="shared" ref="AV247:AV501" si="20">IF(F247&gt;0,IF(AND(BD247=1,BA247=1),"Procede_E_P","NO_CUMPLE"),"")</f>
        <v/>
      </c>
      <c r="AW247" s="5" t="str">
        <f ca="1">IFERROR(__xludf.DUMMYFUNCTION("IFERROR(VLOOKUP(E513&amp;F513,IMPORTRANGE(""https://docs.google.com/spreadsheets/d/1Uw7-A9f9R21vMXxHZFNpYNeKFtG8_yji4HS352LGlSQ/edit?pli=1#gid=0"",""1_ACUM!A4:S""),11,FALSE))"),"")</f>
        <v/>
      </c>
      <c r="AX247" s="42" t="str">
        <f ca="1">IFERROR(__xludf.DUMMYFUNCTION("IFERROR(VLOOKUP(F513,IMPORTRANGE(""https://docs.google.com/spreadsheets/d/1Kvs4KS76FHFqLFIZfrDMff4kP08nblUkihrxltoGBjg/edit#gid=934712705"",""ESENCIAL!A6:BG""),15,FALSE))"),"")</f>
        <v/>
      </c>
      <c r="AY247" s="110" t="str">
        <f ca="1">IFERROR(__xludf.DUMMYFUNCTION("IFERROR(VLOOKUP(E513&amp;F513,IMPORTRANGE(""https://docs.google.com/spreadsheets/d/1Uw7-A9f9R21vMXxHZFNpYNeKFtG8_yji4HS352LGlSQ/edit?pli=1#gid=0"",""1_ACUM!A4:S""),13,FALSE))"),"")</f>
        <v/>
      </c>
      <c r="AZ247" s="43" t="str">
        <f ca="1">IFERROR(__xludf.DUMMYFUNCTION("IFERROR(VLOOKUP(E513&amp;F513,IMPORTRANGE(""https://docs.google.com/spreadsheets/d/1Uw7-A9f9R21vMXxHZFNpYNeKFtG8_yji4HS352LGlSQ/edit?pli=1#gid=0"",""1_ACUM!A4:S""),13,FALSE))"),"")</f>
        <v/>
      </c>
      <c r="BA247" s="43" t="str">
        <f ca="1">IFERROR(__xludf.DUMMYFUNCTION("IFERROR(VLOOKUP(E513&amp;F513,IMPORTRANGE(""https://docs.google.com/spreadsheets/d/1Uw7-A9f9R21vMXxHZFNpYNeKFtG8_yji4HS352LGlSQ/edit?pli=1#gid=0"",""1_ACUM!A4:S""),14,FALSE))"),"")</f>
        <v/>
      </c>
      <c r="BB247" s="43" t="str">
        <f ca="1">IFERROR(__xludf.DUMMYFUNCTION("IFERROR(VLOOKUP(E513&amp;F513,IMPORTRANGE(""https://docs.google.com/spreadsheets/d/1Uw7-A9f9R21vMXxHZFNpYNeKFtG8_yji4HS352LGlSQ/edit?pli=1#gid=0"",""1_ACUM!A4:S""),15,FALSE))"),"")</f>
        <v/>
      </c>
      <c r="BC247" s="43" t="str">
        <f ca="1">IFERROR(__xludf.DUMMYFUNCTION("IFERROR(VLOOKUP(E513&amp;F513,IMPORTRANGE(""https://docs.google.com/spreadsheets/d/1Uw7-A9f9R21vMXxHZFNpYNeKFtG8_yji4HS352LGlSQ/edit?pli=1#gid=0"",""1_ACUM!A4:S""),16,FALSE))"),"")</f>
        <v/>
      </c>
      <c r="BD247" s="43" t="str">
        <f ca="1">IFERROR(__xludf.DUMMYFUNCTION("IFERROR(VLOOKUP(E513&amp;F513,IMPORTRANGE(""https://docs.google.com/spreadsheets/d/1Uw7-A9f9R21vMXxHZFNpYNeKFtG8_yji4HS352LGlSQ/edit?pli=1#gid=0"",""1_ACUM!A4:S""),17,FALSE))"),"")</f>
        <v/>
      </c>
      <c r="BE247" s="44" t="str">
        <f ca="1">IFERROR(__xludf.DUMMYFUNCTION("IFERROR(VLOOKUP(E513&amp;F513,IMPORTRANGE(""https://docs.google.com/spreadsheets/d/1Uw7-A9f9R21vMXxHZFNpYNeKFtG8_yji4HS352LGlSQ/edit?pli=1#gid=0"",""1_ACUM!A4:S""),18,FALSE))"),"")</f>
        <v/>
      </c>
      <c r="BF247" s="44" t="str">
        <f ca="1">IFERROR(__xludf.DUMMYFUNCTION("IFERROR(VLOOKUP(E513&amp;F513,IMPORTRANGE(""https://docs.google.com/spreadsheets/d/1Uw7-A9f9R21vMXxHZFNpYNeKFtG8_yji4HS352LGlSQ/edit?pli=1#gid=0"",""1_ACUM!A4:S""),19,FALSE))"),"")</f>
        <v/>
      </c>
      <c r="BG247" s="98" t="str">
        <f ca="1">IFERROR(__xludf.DUMMYFUNCTION("IFERROR(VLOOKUP(F513,IMPORTRANGE(""https://docs.google.com/spreadsheets/d/1Kvs4KS76FHFqLFIZfrDMff4kP08nblUkihrxltoGBjg/edit#gid=934712705"",""ESENCIAL!A6:BG""),5,FALSE))"),"")</f>
        <v/>
      </c>
      <c r="BH247" s="98" t="str">
        <f t="shared" ref="BH247:BH501" si="21">IF(G247&gt;0,EDATE(BG247,18),"")</f>
        <v/>
      </c>
      <c r="BI247" s="99" t="str">
        <f t="shared" ref="BI247:BI501" si="22">IF(G247&gt;0,IF(BH247&lt;$BI$1,"FINALIZAR FICHA","FICHA EN TIEMPO-18 MESES"),"")</f>
        <v/>
      </c>
      <c r="BJ247" s="100" t="str">
        <f ca="1">IFERROR(__xludf.DUMMYFUNCTION("IFERROR(VLOOKUP(F513,IMPORTRANGE(""https://docs.google.com/spreadsheets/d/1Kvs4KS76FHFqLFIZfrDMff4kP08nblUkihrxltoGBjg/edit#gid=934712705"",""ESENCIAL!A6:BG""),2,FALSE))"),"")</f>
        <v/>
      </c>
      <c r="BK247" s="19" t="str">
        <f t="shared" ref="BK247:BK501" si="23">IF(G247&gt;0,"Yamboro","")</f>
        <v/>
      </c>
      <c r="BL247" s="100"/>
      <c r="BM247" s="100"/>
    </row>
    <row r="248" spans="2:65" ht="15">
      <c r="B248" s="39"/>
      <c r="C248" s="5"/>
      <c r="D248" s="123"/>
      <c r="E248" s="39"/>
      <c r="F248" s="39"/>
      <c r="G248" s="39"/>
      <c r="H248" s="5" t="str">
        <f ca="1">IFERROR(__xludf.DUMMYFUNCTION("IFERROR(VLOOKUP(F514,IMPORTRANGE(""https://docs.google.com/spreadsheets/d/1Kvs4KS76FHFqLFIZfrDMff4kP08nblUkihrxltoGBjg/edit#gid=934712705"",""ESENCIAL!A6:BG""),3,FALSE))"),"")</f>
        <v/>
      </c>
      <c r="I248" s="5" t="str">
        <f ca="1">IFERROR(__xludf.DUMMYFUNCTION("IFERROR(VLOOKUP(F514,IMPORTRANGE(""https://docs.google.com/spreadsheets/d/1Kvs4KS76FHFqLFIZfrDMff4kP08nblUkihrxltoGBjg/edit#gid=934712705"",""ESENCIAL!A6:BG""),8,FALSE))"),"")</f>
        <v/>
      </c>
      <c r="J248" s="39"/>
      <c r="M248" s="287"/>
      <c r="AV248" s="41" t="str">
        <f t="shared" si="20"/>
        <v/>
      </c>
      <c r="AW248" s="5" t="str">
        <f ca="1">IFERROR(__xludf.DUMMYFUNCTION("IFERROR(VLOOKUP(E514&amp;F514,IMPORTRANGE(""https://docs.google.com/spreadsheets/d/1Uw7-A9f9R21vMXxHZFNpYNeKFtG8_yji4HS352LGlSQ/edit?pli=1#gid=0"",""1_ACUM!A4:S""),11,FALSE))"),"")</f>
        <v/>
      </c>
      <c r="AX248" s="42" t="str">
        <f ca="1">IFERROR(__xludf.DUMMYFUNCTION("IFERROR(VLOOKUP(F514,IMPORTRANGE(""https://docs.google.com/spreadsheets/d/1Kvs4KS76FHFqLFIZfrDMff4kP08nblUkihrxltoGBjg/edit#gid=934712705"",""ESENCIAL!A6:BG""),15,FALSE))"),"")</f>
        <v/>
      </c>
      <c r="AY248" s="110" t="str">
        <f ca="1">IFERROR(__xludf.DUMMYFUNCTION("IFERROR(VLOOKUP(E514&amp;F514,IMPORTRANGE(""https://docs.google.com/spreadsheets/d/1Uw7-A9f9R21vMXxHZFNpYNeKFtG8_yji4HS352LGlSQ/edit?pli=1#gid=0"",""1_ACUM!A4:S""),13,FALSE))"),"")</f>
        <v/>
      </c>
      <c r="AZ248" s="43" t="str">
        <f ca="1">IFERROR(__xludf.DUMMYFUNCTION("IFERROR(VLOOKUP(E514&amp;F514,IMPORTRANGE(""https://docs.google.com/spreadsheets/d/1Uw7-A9f9R21vMXxHZFNpYNeKFtG8_yji4HS352LGlSQ/edit?pli=1#gid=0"",""1_ACUM!A4:S""),13,FALSE))"),"")</f>
        <v/>
      </c>
      <c r="BA248" s="43" t="str">
        <f ca="1">IFERROR(__xludf.DUMMYFUNCTION("IFERROR(VLOOKUP(E514&amp;F514,IMPORTRANGE(""https://docs.google.com/spreadsheets/d/1Uw7-A9f9R21vMXxHZFNpYNeKFtG8_yji4HS352LGlSQ/edit?pli=1#gid=0"",""1_ACUM!A4:S""),14,FALSE))"),"")</f>
        <v/>
      </c>
      <c r="BB248" s="43" t="str">
        <f ca="1">IFERROR(__xludf.DUMMYFUNCTION("IFERROR(VLOOKUP(E514&amp;F514,IMPORTRANGE(""https://docs.google.com/spreadsheets/d/1Uw7-A9f9R21vMXxHZFNpYNeKFtG8_yji4HS352LGlSQ/edit?pli=1#gid=0"",""1_ACUM!A4:S""),15,FALSE))"),"")</f>
        <v/>
      </c>
      <c r="BC248" s="43" t="str">
        <f ca="1">IFERROR(__xludf.DUMMYFUNCTION("IFERROR(VLOOKUP(E514&amp;F514,IMPORTRANGE(""https://docs.google.com/spreadsheets/d/1Uw7-A9f9R21vMXxHZFNpYNeKFtG8_yji4HS352LGlSQ/edit?pli=1#gid=0"",""1_ACUM!A4:S""),16,FALSE))"),"")</f>
        <v/>
      </c>
      <c r="BD248" s="43" t="str">
        <f ca="1">IFERROR(__xludf.DUMMYFUNCTION("IFERROR(VLOOKUP(E514&amp;F514,IMPORTRANGE(""https://docs.google.com/spreadsheets/d/1Uw7-A9f9R21vMXxHZFNpYNeKFtG8_yji4HS352LGlSQ/edit?pli=1#gid=0"",""1_ACUM!A4:S""),17,FALSE))"),"")</f>
        <v/>
      </c>
      <c r="BE248" s="44" t="str">
        <f ca="1">IFERROR(__xludf.DUMMYFUNCTION("IFERROR(VLOOKUP(E514&amp;F514,IMPORTRANGE(""https://docs.google.com/spreadsheets/d/1Uw7-A9f9R21vMXxHZFNpYNeKFtG8_yji4HS352LGlSQ/edit?pli=1#gid=0"",""1_ACUM!A4:S""),18,FALSE))"),"")</f>
        <v/>
      </c>
      <c r="BF248" s="44" t="str">
        <f ca="1">IFERROR(__xludf.DUMMYFUNCTION("IFERROR(VLOOKUP(E514&amp;F514,IMPORTRANGE(""https://docs.google.com/spreadsheets/d/1Uw7-A9f9R21vMXxHZFNpYNeKFtG8_yji4HS352LGlSQ/edit?pli=1#gid=0"",""1_ACUM!A4:S""),19,FALSE))"),"")</f>
        <v/>
      </c>
      <c r="BG248" s="98" t="str">
        <f ca="1">IFERROR(__xludf.DUMMYFUNCTION("IFERROR(VLOOKUP(F514,IMPORTRANGE(""https://docs.google.com/spreadsheets/d/1Kvs4KS76FHFqLFIZfrDMff4kP08nblUkihrxltoGBjg/edit#gid=934712705"",""ESENCIAL!A6:BG""),5,FALSE))"),"")</f>
        <v/>
      </c>
      <c r="BH248" s="98" t="str">
        <f t="shared" si="21"/>
        <v/>
      </c>
      <c r="BI248" s="99" t="str">
        <f t="shared" si="22"/>
        <v/>
      </c>
      <c r="BJ248" s="100" t="str">
        <f ca="1">IFERROR(__xludf.DUMMYFUNCTION("IFERROR(VLOOKUP(F514,IMPORTRANGE(""https://docs.google.com/spreadsheets/d/1Kvs4KS76FHFqLFIZfrDMff4kP08nblUkihrxltoGBjg/edit#gid=934712705"",""ESENCIAL!A6:BG""),2,FALSE))"),"")</f>
        <v/>
      </c>
      <c r="BK248" s="19" t="str">
        <f t="shared" si="23"/>
        <v/>
      </c>
      <c r="BL248" s="100"/>
      <c r="BM248" s="100"/>
    </row>
    <row r="249" spans="2:65" ht="15">
      <c r="B249" s="39"/>
      <c r="C249" s="5"/>
      <c r="D249" s="123"/>
      <c r="E249" s="39"/>
      <c r="F249" s="39"/>
      <c r="G249" s="39"/>
      <c r="H249" s="5" t="str">
        <f ca="1">IFERROR(__xludf.DUMMYFUNCTION("IFERROR(VLOOKUP(F515,IMPORTRANGE(""https://docs.google.com/spreadsheets/d/1Kvs4KS76FHFqLFIZfrDMff4kP08nblUkihrxltoGBjg/edit#gid=934712705"",""ESENCIAL!A6:BG""),3,FALSE))"),"")</f>
        <v/>
      </c>
      <c r="I249" s="5" t="str">
        <f ca="1">IFERROR(__xludf.DUMMYFUNCTION("IFERROR(VLOOKUP(F515,IMPORTRANGE(""https://docs.google.com/spreadsheets/d/1Kvs4KS76FHFqLFIZfrDMff4kP08nblUkihrxltoGBjg/edit#gid=934712705"",""ESENCIAL!A6:BG""),8,FALSE))"),"")</f>
        <v/>
      </c>
      <c r="J249" s="39"/>
      <c r="M249" s="287"/>
      <c r="AV249" s="41" t="str">
        <f t="shared" si="20"/>
        <v/>
      </c>
      <c r="AW249" s="5" t="str">
        <f ca="1">IFERROR(__xludf.DUMMYFUNCTION("IFERROR(VLOOKUP(E515&amp;F515,IMPORTRANGE(""https://docs.google.com/spreadsheets/d/1Uw7-A9f9R21vMXxHZFNpYNeKFtG8_yji4HS352LGlSQ/edit?pli=1#gid=0"",""1_ACUM!A4:S""),11,FALSE))"),"")</f>
        <v/>
      </c>
      <c r="AX249" s="42" t="str">
        <f ca="1">IFERROR(__xludf.DUMMYFUNCTION("IFERROR(VLOOKUP(F515,IMPORTRANGE(""https://docs.google.com/spreadsheets/d/1Kvs4KS76FHFqLFIZfrDMff4kP08nblUkihrxltoGBjg/edit#gid=934712705"",""ESENCIAL!A6:BG""),15,FALSE))"),"")</f>
        <v/>
      </c>
      <c r="AY249" s="110" t="str">
        <f ca="1">IFERROR(__xludf.DUMMYFUNCTION("IFERROR(VLOOKUP(E515&amp;F515,IMPORTRANGE(""https://docs.google.com/spreadsheets/d/1Uw7-A9f9R21vMXxHZFNpYNeKFtG8_yji4HS352LGlSQ/edit?pli=1#gid=0"",""1_ACUM!A4:S""),13,FALSE))"),"")</f>
        <v/>
      </c>
      <c r="AZ249" s="43" t="str">
        <f ca="1">IFERROR(__xludf.DUMMYFUNCTION("IFERROR(VLOOKUP(E515&amp;F515,IMPORTRANGE(""https://docs.google.com/spreadsheets/d/1Uw7-A9f9R21vMXxHZFNpYNeKFtG8_yji4HS352LGlSQ/edit?pli=1#gid=0"",""1_ACUM!A4:S""),13,FALSE))"),"")</f>
        <v/>
      </c>
      <c r="BA249" s="43" t="str">
        <f ca="1">IFERROR(__xludf.DUMMYFUNCTION("IFERROR(VLOOKUP(E515&amp;F515,IMPORTRANGE(""https://docs.google.com/spreadsheets/d/1Uw7-A9f9R21vMXxHZFNpYNeKFtG8_yji4HS352LGlSQ/edit?pli=1#gid=0"",""1_ACUM!A4:S""),14,FALSE))"),"")</f>
        <v/>
      </c>
      <c r="BB249" s="43" t="str">
        <f ca="1">IFERROR(__xludf.DUMMYFUNCTION("IFERROR(VLOOKUP(E515&amp;F515,IMPORTRANGE(""https://docs.google.com/spreadsheets/d/1Uw7-A9f9R21vMXxHZFNpYNeKFtG8_yji4HS352LGlSQ/edit?pli=1#gid=0"",""1_ACUM!A4:S""),15,FALSE))"),"")</f>
        <v/>
      </c>
      <c r="BC249" s="43" t="str">
        <f ca="1">IFERROR(__xludf.DUMMYFUNCTION("IFERROR(VLOOKUP(E515&amp;F515,IMPORTRANGE(""https://docs.google.com/spreadsheets/d/1Uw7-A9f9R21vMXxHZFNpYNeKFtG8_yji4HS352LGlSQ/edit?pli=1#gid=0"",""1_ACUM!A4:S""),16,FALSE))"),"")</f>
        <v/>
      </c>
      <c r="BD249" s="43" t="str">
        <f ca="1">IFERROR(__xludf.DUMMYFUNCTION("IFERROR(VLOOKUP(E515&amp;F515,IMPORTRANGE(""https://docs.google.com/spreadsheets/d/1Uw7-A9f9R21vMXxHZFNpYNeKFtG8_yji4HS352LGlSQ/edit?pli=1#gid=0"",""1_ACUM!A4:S""),17,FALSE))"),"")</f>
        <v/>
      </c>
      <c r="BE249" s="44" t="str">
        <f ca="1">IFERROR(__xludf.DUMMYFUNCTION("IFERROR(VLOOKUP(E515&amp;F515,IMPORTRANGE(""https://docs.google.com/spreadsheets/d/1Uw7-A9f9R21vMXxHZFNpYNeKFtG8_yji4HS352LGlSQ/edit?pli=1#gid=0"",""1_ACUM!A4:S""),18,FALSE))"),"")</f>
        <v/>
      </c>
      <c r="BF249" s="44" t="str">
        <f ca="1">IFERROR(__xludf.DUMMYFUNCTION("IFERROR(VLOOKUP(E515&amp;F515,IMPORTRANGE(""https://docs.google.com/spreadsheets/d/1Uw7-A9f9R21vMXxHZFNpYNeKFtG8_yji4HS352LGlSQ/edit?pli=1#gid=0"",""1_ACUM!A4:S""),19,FALSE))"),"")</f>
        <v/>
      </c>
      <c r="BG249" s="98" t="str">
        <f ca="1">IFERROR(__xludf.DUMMYFUNCTION("IFERROR(VLOOKUP(F515,IMPORTRANGE(""https://docs.google.com/spreadsheets/d/1Kvs4KS76FHFqLFIZfrDMff4kP08nblUkihrxltoGBjg/edit#gid=934712705"",""ESENCIAL!A6:BG""),5,FALSE))"),"")</f>
        <v/>
      </c>
      <c r="BH249" s="98" t="str">
        <f t="shared" si="21"/>
        <v/>
      </c>
      <c r="BI249" s="99" t="str">
        <f t="shared" si="22"/>
        <v/>
      </c>
      <c r="BJ249" s="100" t="str">
        <f ca="1">IFERROR(__xludf.DUMMYFUNCTION("IFERROR(VLOOKUP(F515,IMPORTRANGE(""https://docs.google.com/spreadsheets/d/1Kvs4KS76FHFqLFIZfrDMff4kP08nblUkihrxltoGBjg/edit#gid=934712705"",""ESENCIAL!A6:BG""),2,FALSE))"),"")</f>
        <v/>
      </c>
      <c r="BK249" s="19" t="str">
        <f t="shared" si="23"/>
        <v/>
      </c>
      <c r="BL249" s="100"/>
      <c r="BM249" s="100"/>
    </row>
    <row r="250" spans="2:65" ht="15">
      <c r="B250" s="39"/>
      <c r="C250" s="5"/>
      <c r="D250" s="123"/>
      <c r="E250" s="39"/>
      <c r="F250" s="39"/>
      <c r="G250" s="39"/>
      <c r="H250" s="5" t="str">
        <f ca="1">IFERROR(__xludf.DUMMYFUNCTION("IFERROR(VLOOKUP(F516,IMPORTRANGE(""https://docs.google.com/spreadsheets/d/1Kvs4KS76FHFqLFIZfrDMff4kP08nblUkihrxltoGBjg/edit#gid=934712705"",""ESENCIAL!A6:BG""),3,FALSE))"),"")</f>
        <v/>
      </c>
      <c r="I250" s="5" t="str">
        <f ca="1">IFERROR(__xludf.DUMMYFUNCTION("IFERROR(VLOOKUP(F516,IMPORTRANGE(""https://docs.google.com/spreadsheets/d/1Kvs4KS76FHFqLFIZfrDMff4kP08nblUkihrxltoGBjg/edit#gid=934712705"",""ESENCIAL!A6:BG""),8,FALSE))"),"")</f>
        <v/>
      </c>
      <c r="J250" s="39"/>
      <c r="M250" s="287"/>
      <c r="AV250" s="41" t="str">
        <f t="shared" si="20"/>
        <v/>
      </c>
      <c r="AW250" s="5" t="str">
        <f ca="1">IFERROR(__xludf.DUMMYFUNCTION("IFERROR(VLOOKUP(E516&amp;F516,IMPORTRANGE(""https://docs.google.com/spreadsheets/d/1Uw7-A9f9R21vMXxHZFNpYNeKFtG8_yji4HS352LGlSQ/edit?pli=1#gid=0"",""1_ACUM!A4:S""),11,FALSE))"),"")</f>
        <v/>
      </c>
      <c r="AX250" s="42" t="str">
        <f ca="1">IFERROR(__xludf.DUMMYFUNCTION("IFERROR(VLOOKUP(F516,IMPORTRANGE(""https://docs.google.com/spreadsheets/d/1Kvs4KS76FHFqLFIZfrDMff4kP08nblUkihrxltoGBjg/edit#gid=934712705"",""ESENCIAL!A6:BG""),15,FALSE))"),"")</f>
        <v/>
      </c>
      <c r="AY250" s="110" t="str">
        <f ca="1">IFERROR(__xludf.DUMMYFUNCTION("IFERROR(VLOOKUP(E516&amp;F516,IMPORTRANGE(""https://docs.google.com/spreadsheets/d/1Uw7-A9f9R21vMXxHZFNpYNeKFtG8_yji4HS352LGlSQ/edit?pli=1#gid=0"",""1_ACUM!A4:S""),13,FALSE))"),"")</f>
        <v/>
      </c>
      <c r="AZ250" s="43" t="str">
        <f ca="1">IFERROR(__xludf.DUMMYFUNCTION("IFERROR(VLOOKUP(E516&amp;F516,IMPORTRANGE(""https://docs.google.com/spreadsheets/d/1Uw7-A9f9R21vMXxHZFNpYNeKFtG8_yji4HS352LGlSQ/edit?pli=1#gid=0"",""1_ACUM!A4:S""),13,FALSE))"),"")</f>
        <v/>
      </c>
      <c r="BA250" s="43" t="str">
        <f ca="1">IFERROR(__xludf.DUMMYFUNCTION("IFERROR(VLOOKUP(E516&amp;F516,IMPORTRANGE(""https://docs.google.com/spreadsheets/d/1Uw7-A9f9R21vMXxHZFNpYNeKFtG8_yji4HS352LGlSQ/edit?pli=1#gid=0"",""1_ACUM!A4:S""),14,FALSE))"),"")</f>
        <v/>
      </c>
      <c r="BB250" s="43" t="str">
        <f ca="1">IFERROR(__xludf.DUMMYFUNCTION("IFERROR(VLOOKUP(E516&amp;F516,IMPORTRANGE(""https://docs.google.com/spreadsheets/d/1Uw7-A9f9R21vMXxHZFNpYNeKFtG8_yji4HS352LGlSQ/edit?pli=1#gid=0"",""1_ACUM!A4:S""),15,FALSE))"),"")</f>
        <v/>
      </c>
      <c r="BC250" s="43" t="str">
        <f ca="1">IFERROR(__xludf.DUMMYFUNCTION("IFERROR(VLOOKUP(E516&amp;F516,IMPORTRANGE(""https://docs.google.com/spreadsheets/d/1Uw7-A9f9R21vMXxHZFNpYNeKFtG8_yji4HS352LGlSQ/edit?pli=1#gid=0"",""1_ACUM!A4:S""),16,FALSE))"),"")</f>
        <v/>
      </c>
      <c r="BD250" s="43" t="str">
        <f ca="1">IFERROR(__xludf.DUMMYFUNCTION("IFERROR(VLOOKUP(E516&amp;F516,IMPORTRANGE(""https://docs.google.com/spreadsheets/d/1Uw7-A9f9R21vMXxHZFNpYNeKFtG8_yji4HS352LGlSQ/edit?pli=1#gid=0"",""1_ACUM!A4:S""),17,FALSE))"),"")</f>
        <v/>
      </c>
      <c r="BE250" s="44" t="str">
        <f ca="1">IFERROR(__xludf.DUMMYFUNCTION("IFERROR(VLOOKUP(E516&amp;F516,IMPORTRANGE(""https://docs.google.com/spreadsheets/d/1Uw7-A9f9R21vMXxHZFNpYNeKFtG8_yji4HS352LGlSQ/edit?pli=1#gid=0"",""1_ACUM!A4:S""),18,FALSE))"),"")</f>
        <v/>
      </c>
      <c r="BF250" s="44" t="str">
        <f ca="1">IFERROR(__xludf.DUMMYFUNCTION("IFERROR(VLOOKUP(E516&amp;F516,IMPORTRANGE(""https://docs.google.com/spreadsheets/d/1Uw7-A9f9R21vMXxHZFNpYNeKFtG8_yji4HS352LGlSQ/edit?pli=1#gid=0"",""1_ACUM!A4:S""),19,FALSE))"),"")</f>
        <v/>
      </c>
      <c r="BG250" s="98" t="str">
        <f ca="1">IFERROR(__xludf.DUMMYFUNCTION("IFERROR(VLOOKUP(F516,IMPORTRANGE(""https://docs.google.com/spreadsheets/d/1Kvs4KS76FHFqLFIZfrDMff4kP08nblUkihrxltoGBjg/edit#gid=934712705"",""ESENCIAL!A6:BG""),5,FALSE))"),"")</f>
        <v/>
      </c>
      <c r="BH250" s="98" t="str">
        <f t="shared" si="21"/>
        <v/>
      </c>
      <c r="BI250" s="99" t="str">
        <f t="shared" si="22"/>
        <v/>
      </c>
      <c r="BJ250" s="100" t="str">
        <f ca="1">IFERROR(__xludf.DUMMYFUNCTION("IFERROR(VLOOKUP(F516,IMPORTRANGE(""https://docs.google.com/spreadsheets/d/1Kvs4KS76FHFqLFIZfrDMff4kP08nblUkihrxltoGBjg/edit#gid=934712705"",""ESENCIAL!A6:BG""),2,FALSE))"),"")</f>
        <v/>
      </c>
      <c r="BK250" s="19" t="str">
        <f t="shared" si="23"/>
        <v/>
      </c>
      <c r="BL250" s="100"/>
      <c r="BM250" s="100"/>
    </row>
    <row r="251" spans="2:65" ht="15">
      <c r="B251" s="39"/>
      <c r="C251" s="5"/>
      <c r="D251" s="123"/>
      <c r="E251" s="39"/>
      <c r="F251" s="39"/>
      <c r="G251" s="39"/>
      <c r="H251" s="5" t="str">
        <f ca="1">IFERROR(__xludf.DUMMYFUNCTION("IFERROR(VLOOKUP(F517,IMPORTRANGE(""https://docs.google.com/spreadsheets/d/1Kvs4KS76FHFqLFIZfrDMff4kP08nblUkihrxltoGBjg/edit#gid=934712705"",""ESENCIAL!A6:BG""),3,FALSE))"),"")</f>
        <v/>
      </c>
      <c r="I251" s="5" t="str">
        <f ca="1">IFERROR(__xludf.DUMMYFUNCTION("IFERROR(VLOOKUP(F517,IMPORTRANGE(""https://docs.google.com/spreadsheets/d/1Kvs4KS76FHFqLFIZfrDMff4kP08nblUkihrxltoGBjg/edit#gid=934712705"",""ESENCIAL!A6:BG""),8,FALSE))"),"")</f>
        <v/>
      </c>
      <c r="J251" s="39"/>
      <c r="M251" s="287"/>
      <c r="AV251" s="41" t="str">
        <f t="shared" si="20"/>
        <v/>
      </c>
      <c r="AW251" s="5" t="str">
        <f ca="1">IFERROR(__xludf.DUMMYFUNCTION("IFERROR(VLOOKUP(E517&amp;F517,IMPORTRANGE(""https://docs.google.com/spreadsheets/d/1Uw7-A9f9R21vMXxHZFNpYNeKFtG8_yji4HS352LGlSQ/edit?pli=1#gid=0"",""1_ACUM!A4:S""),11,FALSE))"),"")</f>
        <v/>
      </c>
      <c r="AX251" s="42" t="str">
        <f ca="1">IFERROR(__xludf.DUMMYFUNCTION("IFERROR(VLOOKUP(F517,IMPORTRANGE(""https://docs.google.com/spreadsheets/d/1Kvs4KS76FHFqLFIZfrDMff4kP08nblUkihrxltoGBjg/edit#gid=934712705"",""ESENCIAL!A6:BG""),15,FALSE))"),"")</f>
        <v/>
      </c>
      <c r="AY251" s="110" t="str">
        <f ca="1">IFERROR(__xludf.DUMMYFUNCTION("IFERROR(VLOOKUP(E517&amp;F517,IMPORTRANGE(""https://docs.google.com/spreadsheets/d/1Uw7-A9f9R21vMXxHZFNpYNeKFtG8_yji4HS352LGlSQ/edit?pli=1#gid=0"",""1_ACUM!A4:S""),13,FALSE))"),"")</f>
        <v/>
      </c>
      <c r="AZ251" s="43" t="str">
        <f ca="1">IFERROR(__xludf.DUMMYFUNCTION("IFERROR(VLOOKUP(E517&amp;F517,IMPORTRANGE(""https://docs.google.com/spreadsheets/d/1Uw7-A9f9R21vMXxHZFNpYNeKFtG8_yji4HS352LGlSQ/edit?pli=1#gid=0"",""1_ACUM!A4:S""),13,FALSE))"),"")</f>
        <v/>
      </c>
      <c r="BA251" s="43" t="str">
        <f ca="1">IFERROR(__xludf.DUMMYFUNCTION("IFERROR(VLOOKUP(E517&amp;F517,IMPORTRANGE(""https://docs.google.com/spreadsheets/d/1Uw7-A9f9R21vMXxHZFNpYNeKFtG8_yji4HS352LGlSQ/edit?pli=1#gid=0"",""1_ACUM!A4:S""),14,FALSE))"),"")</f>
        <v/>
      </c>
      <c r="BB251" s="43" t="str">
        <f ca="1">IFERROR(__xludf.DUMMYFUNCTION("IFERROR(VLOOKUP(E517&amp;F517,IMPORTRANGE(""https://docs.google.com/spreadsheets/d/1Uw7-A9f9R21vMXxHZFNpYNeKFtG8_yji4HS352LGlSQ/edit?pli=1#gid=0"",""1_ACUM!A4:S""),15,FALSE))"),"")</f>
        <v/>
      </c>
      <c r="BC251" s="43" t="str">
        <f ca="1">IFERROR(__xludf.DUMMYFUNCTION("IFERROR(VLOOKUP(E517&amp;F517,IMPORTRANGE(""https://docs.google.com/spreadsheets/d/1Uw7-A9f9R21vMXxHZFNpYNeKFtG8_yji4HS352LGlSQ/edit?pli=1#gid=0"",""1_ACUM!A4:S""),16,FALSE))"),"")</f>
        <v/>
      </c>
      <c r="BD251" s="43" t="str">
        <f ca="1">IFERROR(__xludf.DUMMYFUNCTION("IFERROR(VLOOKUP(E517&amp;F517,IMPORTRANGE(""https://docs.google.com/spreadsheets/d/1Uw7-A9f9R21vMXxHZFNpYNeKFtG8_yji4HS352LGlSQ/edit?pli=1#gid=0"",""1_ACUM!A4:S""),17,FALSE))"),"")</f>
        <v/>
      </c>
      <c r="BE251" s="44" t="str">
        <f ca="1">IFERROR(__xludf.DUMMYFUNCTION("IFERROR(VLOOKUP(E517&amp;F517,IMPORTRANGE(""https://docs.google.com/spreadsheets/d/1Uw7-A9f9R21vMXxHZFNpYNeKFtG8_yji4HS352LGlSQ/edit?pli=1#gid=0"",""1_ACUM!A4:S""),18,FALSE))"),"")</f>
        <v/>
      </c>
      <c r="BF251" s="44" t="str">
        <f ca="1">IFERROR(__xludf.DUMMYFUNCTION("IFERROR(VLOOKUP(E517&amp;F517,IMPORTRANGE(""https://docs.google.com/spreadsheets/d/1Uw7-A9f9R21vMXxHZFNpYNeKFtG8_yji4HS352LGlSQ/edit?pli=1#gid=0"",""1_ACUM!A4:S""),19,FALSE))"),"")</f>
        <v/>
      </c>
      <c r="BG251" s="98" t="str">
        <f ca="1">IFERROR(__xludf.DUMMYFUNCTION("IFERROR(VLOOKUP(F517,IMPORTRANGE(""https://docs.google.com/spreadsheets/d/1Kvs4KS76FHFqLFIZfrDMff4kP08nblUkihrxltoGBjg/edit#gid=934712705"",""ESENCIAL!A6:BG""),5,FALSE))"),"")</f>
        <v/>
      </c>
      <c r="BH251" s="98" t="str">
        <f t="shared" si="21"/>
        <v/>
      </c>
      <c r="BI251" s="99" t="str">
        <f t="shared" si="22"/>
        <v/>
      </c>
      <c r="BJ251" s="100" t="str">
        <f ca="1">IFERROR(__xludf.DUMMYFUNCTION("IFERROR(VLOOKUP(F517,IMPORTRANGE(""https://docs.google.com/spreadsheets/d/1Kvs4KS76FHFqLFIZfrDMff4kP08nblUkihrxltoGBjg/edit#gid=934712705"",""ESENCIAL!A6:BG""),2,FALSE))"),"")</f>
        <v/>
      </c>
      <c r="BK251" s="19" t="str">
        <f t="shared" si="23"/>
        <v/>
      </c>
      <c r="BL251" s="100"/>
      <c r="BM251" s="100"/>
    </row>
    <row r="252" spans="2:65" ht="15">
      <c r="B252" s="39"/>
      <c r="C252" s="5"/>
      <c r="D252" s="123"/>
      <c r="E252" s="39"/>
      <c r="F252" s="39"/>
      <c r="G252" s="39"/>
      <c r="H252" s="5" t="str">
        <f ca="1">IFERROR(__xludf.DUMMYFUNCTION("IFERROR(VLOOKUP(F518,IMPORTRANGE(""https://docs.google.com/spreadsheets/d/1Kvs4KS76FHFqLFIZfrDMff4kP08nblUkihrxltoGBjg/edit#gid=934712705"",""ESENCIAL!A6:BG""),3,FALSE))"),"")</f>
        <v/>
      </c>
      <c r="I252" s="5" t="str">
        <f ca="1">IFERROR(__xludf.DUMMYFUNCTION("IFERROR(VLOOKUP(F518,IMPORTRANGE(""https://docs.google.com/spreadsheets/d/1Kvs4KS76FHFqLFIZfrDMff4kP08nblUkihrxltoGBjg/edit#gid=934712705"",""ESENCIAL!A6:BG""),8,FALSE))"),"")</f>
        <v/>
      </c>
      <c r="J252" s="39"/>
      <c r="M252" s="287"/>
      <c r="AV252" s="41" t="str">
        <f t="shared" si="20"/>
        <v/>
      </c>
      <c r="AW252" s="5" t="str">
        <f ca="1">IFERROR(__xludf.DUMMYFUNCTION("IFERROR(VLOOKUP(E518&amp;F518,IMPORTRANGE(""https://docs.google.com/spreadsheets/d/1Uw7-A9f9R21vMXxHZFNpYNeKFtG8_yji4HS352LGlSQ/edit?pli=1#gid=0"",""1_ACUM!A4:S""),11,FALSE))"),"")</f>
        <v/>
      </c>
      <c r="AX252" s="42" t="str">
        <f ca="1">IFERROR(__xludf.DUMMYFUNCTION("IFERROR(VLOOKUP(F518,IMPORTRANGE(""https://docs.google.com/spreadsheets/d/1Kvs4KS76FHFqLFIZfrDMff4kP08nblUkihrxltoGBjg/edit#gid=934712705"",""ESENCIAL!A6:BG""),15,FALSE))"),"")</f>
        <v/>
      </c>
      <c r="AY252" s="110" t="str">
        <f ca="1">IFERROR(__xludf.DUMMYFUNCTION("IFERROR(VLOOKUP(E518&amp;F518,IMPORTRANGE(""https://docs.google.com/spreadsheets/d/1Uw7-A9f9R21vMXxHZFNpYNeKFtG8_yji4HS352LGlSQ/edit?pli=1#gid=0"",""1_ACUM!A4:S""),13,FALSE))"),"")</f>
        <v/>
      </c>
      <c r="AZ252" s="43" t="str">
        <f ca="1">IFERROR(__xludf.DUMMYFUNCTION("IFERROR(VLOOKUP(E518&amp;F518,IMPORTRANGE(""https://docs.google.com/spreadsheets/d/1Uw7-A9f9R21vMXxHZFNpYNeKFtG8_yji4HS352LGlSQ/edit?pli=1#gid=0"",""1_ACUM!A4:S""),13,FALSE))"),"")</f>
        <v/>
      </c>
      <c r="BA252" s="43" t="str">
        <f ca="1">IFERROR(__xludf.DUMMYFUNCTION("IFERROR(VLOOKUP(E518&amp;F518,IMPORTRANGE(""https://docs.google.com/spreadsheets/d/1Uw7-A9f9R21vMXxHZFNpYNeKFtG8_yji4HS352LGlSQ/edit?pli=1#gid=0"",""1_ACUM!A4:S""),14,FALSE))"),"")</f>
        <v/>
      </c>
      <c r="BB252" s="43" t="str">
        <f ca="1">IFERROR(__xludf.DUMMYFUNCTION("IFERROR(VLOOKUP(E518&amp;F518,IMPORTRANGE(""https://docs.google.com/spreadsheets/d/1Uw7-A9f9R21vMXxHZFNpYNeKFtG8_yji4HS352LGlSQ/edit?pli=1#gid=0"",""1_ACUM!A4:S""),15,FALSE))"),"")</f>
        <v/>
      </c>
      <c r="BC252" s="43" t="str">
        <f ca="1">IFERROR(__xludf.DUMMYFUNCTION("IFERROR(VLOOKUP(E518&amp;F518,IMPORTRANGE(""https://docs.google.com/spreadsheets/d/1Uw7-A9f9R21vMXxHZFNpYNeKFtG8_yji4HS352LGlSQ/edit?pli=1#gid=0"",""1_ACUM!A4:S""),16,FALSE))"),"")</f>
        <v/>
      </c>
      <c r="BD252" s="43" t="str">
        <f ca="1">IFERROR(__xludf.DUMMYFUNCTION("IFERROR(VLOOKUP(E518&amp;F518,IMPORTRANGE(""https://docs.google.com/spreadsheets/d/1Uw7-A9f9R21vMXxHZFNpYNeKFtG8_yji4HS352LGlSQ/edit?pli=1#gid=0"",""1_ACUM!A4:S""),17,FALSE))"),"")</f>
        <v/>
      </c>
      <c r="BE252" s="44" t="str">
        <f ca="1">IFERROR(__xludf.DUMMYFUNCTION("IFERROR(VLOOKUP(E518&amp;F518,IMPORTRANGE(""https://docs.google.com/spreadsheets/d/1Uw7-A9f9R21vMXxHZFNpYNeKFtG8_yji4HS352LGlSQ/edit?pli=1#gid=0"",""1_ACUM!A4:S""),18,FALSE))"),"")</f>
        <v/>
      </c>
      <c r="BF252" s="44" t="str">
        <f ca="1">IFERROR(__xludf.DUMMYFUNCTION("IFERROR(VLOOKUP(E518&amp;F518,IMPORTRANGE(""https://docs.google.com/spreadsheets/d/1Uw7-A9f9R21vMXxHZFNpYNeKFtG8_yji4HS352LGlSQ/edit?pli=1#gid=0"",""1_ACUM!A4:S""),19,FALSE))"),"")</f>
        <v/>
      </c>
      <c r="BG252" s="98" t="str">
        <f ca="1">IFERROR(__xludf.DUMMYFUNCTION("IFERROR(VLOOKUP(F518,IMPORTRANGE(""https://docs.google.com/spreadsheets/d/1Kvs4KS76FHFqLFIZfrDMff4kP08nblUkihrxltoGBjg/edit#gid=934712705"",""ESENCIAL!A6:BG""),5,FALSE))"),"")</f>
        <v/>
      </c>
      <c r="BH252" s="98" t="str">
        <f t="shared" si="21"/>
        <v/>
      </c>
      <c r="BI252" s="99" t="str">
        <f t="shared" si="22"/>
        <v/>
      </c>
      <c r="BJ252" s="100" t="str">
        <f ca="1">IFERROR(__xludf.DUMMYFUNCTION("IFERROR(VLOOKUP(F518,IMPORTRANGE(""https://docs.google.com/spreadsheets/d/1Kvs4KS76FHFqLFIZfrDMff4kP08nblUkihrxltoGBjg/edit#gid=934712705"",""ESENCIAL!A6:BG""),2,FALSE))"),"")</f>
        <v/>
      </c>
      <c r="BK252" s="19" t="str">
        <f t="shared" si="23"/>
        <v/>
      </c>
      <c r="BL252" s="100"/>
      <c r="BM252" s="100"/>
    </row>
    <row r="253" spans="2:65" ht="15">
      <c r="B253" s="39"/>
      <c r="C253" s="5"/>
      <c r="D253" s="123"/>
      <c r="E253" s="39"/>
      <c r="F253" s="39"/>
      <c r="G253" s="39"/>
      <c r="H253" s="5" t="str">
        <f ca="1">IFERROR(__xludf.DUMMYFUNCTION("IFERROR(VLOOKUP(F519,IMPORTRANGE(""https://docs.google.com/spreadsheets/d/1Kvs4KS76FHFqLFIZfrDMff4kP08nblUkihrxltoGBjg/edit#gid=934712705"",""ESENCIAL!A6:BG""),3,FALSE))"),"")</f>
        <v/>
      </c>
      <c r="I253" s="5" t="str">
        <f ca="1">IFERROR(__xludf.DUMMYFUNCTION("IFERROR(VLOOKUP(F519,IMPORTRANGE(""https://docs.google.com/spreadsheets/d/1Kvs4KS76FHFqLFIZfrDMff4kP08nblUkihrxltoGBjg/edit#gid=934712705"",""ESENCIAL!A6:BG""),8,FALSE))"),"")</f>
        <v/>
      </c>
      <c r="J253" s="39"/>
      <c r="M253" s="287"/>
      <c r="AV253" s="41" t="str">
        <f t="shared" si="20"/>
        <v/>
      </c>
      <c r="AW253" s="5" t="str">
        <f ca="1">IFERROR(__xludf.DUMMYFUNCTION("IFERROR(VLOOKUP(E519&amp;F519,IMPORTRANGE(""https://docs.google.com/spreadsheets/d/1Uw7-A9f9R21vMXxHZFNpYNeKFtG8_yji4HS352LGlSQ/edit?pli=1#gid=0"",""1_ACUM!A4:S""),11,FALSE))"),"")</f>
        <v/>
      </c>
      <c r="AX253" s="42" t="str">
        <f ca="1">IFERROR(__xludf.DUMMYFUNCTION("IFERROR(VLOOKUP(F519,IMPORTRANGE(""https://docs.google.com/spreadsheets/d/1Kvs4KS76FHFqLFIZfrDMff4kP08nblUkihrxltoGBjg/edit#gid=934712705"",""ESENCIAL!A6:BG""),15,FALSE))"),"")</f>
        <v/>
      </c>
      <c r="AY253" s="110" t="str">
        <f ca="1">IFERROR(__xludf.DUMMYFUNCTION("IFERROR(VLOOKUP(E519&amp;F519,IMPORTRANGE(""https://docs.google.com/spreadsheets/d/1Uw7-A9f9R21vMXxHZFNpYNeKFtG8_yji4HS352LGlSQ/edit?pli=1#gid=0"",""1_ACUM!A4:S""),13,FALSE))"),"")</f>
        <v/>
      </c>
      <c r="AZ253" s="43" t="str">
        <f ca="1">IFERROR(__xludf.DUMMYFUNCTION("IFERROR(VLOOKUP(E519&amp;F519,IMPORTRANGE(""https://docs.google.com/spreadsheets/d/1Uw7-A9f9R21vMXxHZFNpYNeKFtG8_yji4HS352LGlSQ/edit?pli=1#gid=0"",""1_ACUM!A4:S""),13,FALSE))"),"")</f>
        <v/>
      </c>
      <c r="BA253" s="43" t="str">
        <f ca="1">IFERROR(__xludf.DUMMYFUNCTION("IFERROR(VLOOKUP(E519&amp;F519,IMPORTRANGE(""https://docs.google.com/spreadsheets/d/1Uw7-A9f9R21vMXxHZFNpYNeKFtG8_yji4HS352LGlSQ/edit?pli=1#gid=0"",""1_ACUM!A4:S""),14,FALSE))"),"")</f>
        <v/>
      </c>
      <c r="BB253" s="43" t="str">
        <f ca="1">IFERROR(__xludf.DUMMYFUNCTION("IFERROR(VLOOKUP(E519&amp;F519,IMPORTRANGE(""https://docs.google.com/spreadsheets/d/1Uw7-A9f9R21vMXxHZFNpYNeKFtG8_yji4HS352LGlSQ/edit?pli=1#gid=0"",""1_ACUM!A4:S""),15,FALSE))"),"")</f>
        <v/>
      </c>
      <c r="BC253" s="43" t="str">
        <f ca="1">IFERROR(__xludf.DUMMYFUNCTION("IFERROR(VLOOKUP(E519&amp;F519,IMPORTRANGE(""https://docs.google.com/spreadsheets/d/1Uw7-A9f9R21vMXxHZFNpYNeKFtG8_yji4HS352LGlSQ/edit?pli=1#gid=0"",""1_ACUM!A4:S""),16,FALSE))"),"")</f>
        <v/>
      </c>
      <c r="BD253" s="43" t="str">
        <f ca="1">IFERROR(__xludf.DUMMYFUNCTION("IFERROR(VLOOKUP(E519&amp;F519,IMPORTRANGE(""https://docs.google.com/spreadsheets/d/1Uw7-A9f9R21vMXxHZFNpYNeKFtG8_yji4HS352LGlSQ/edit?pli=1#gid=0"",""1_ACUM!A4:S""),17,FALSE))"),"")</f>
        <v/>
      </c>
      <c r="BE253" s="44" t="str">
        <f ca="1">IFERROR(__xludf.DUMMYFUNCTION("IFERROR(VLOOKUP(E519&amp;F519,IMPORTRANGE(""https://docs.google.com/spreadsheets/d/1Uw7-A9f9R21vMXxHZFNpYNeKFtG8_yji4HS352LGlSQ/edit?pli=1#gid=0"",""1_ACUM!A4:S""),18,FALSE))"),"")</f>
        <v/>
      </c>
      <c r="BF253" s="44" t="str">
        <f ca="1">IFERROR(__xludf.DUMMYFUNCTION("IFERROR(VLOOKUP(E519&amp;F519,IMPORTRANGE(""https://docs.google.com/spreadsheets/d/1Uw7-A9f9R21vMXxHZFNpYNeKFtG8_yji4HS352LGlSQ/edit?pli=1#gid=0"",""1_ACUM!A4:S""),19,FALSE))"),"")</f>
        <v/>
      </c>
      <c r="BG253" s="98" t="str">
        <f ca="1">IFERROR(__xludf.DUMMYFUNCTION("IFERROR(VLOOKUP(F519,IMPORTRANGE(""https://docs.google.com/spreadsheets/d/1Kvs4KS76FHFqLFIZfrDMff4kP08nblUkihrxltoGBjg/edit#gid=934712705"",""ESENCIAL!A6:BG""),5,FALSE))"),"")</f>
        <v/>
      </c>
      <c r="BH253" s="98" t="str">
        <f t="shared" si="21"/>
        <v/>
      </c>
      <c r="BI253" s="99" t="str">
        <f t="shared" si="22"/>
        <v/>
      </c>
      <c r="BJ253" s="100" t="str">
        <f ca="1">IFERROR(__xludf.DUMMYFUNCTION("IFERROR(VLOOKUP(F519,IMPORTRANGE(""https://docs.google.com/spreadsheets/d/1Kvs4KS76FHFqLFIZfrDMff4kP08nblUkihrxltoGBjg/edit#gid=934712705"",""ESENCIAL!A6:BG""),2,FALSE))"),"")</f>
        <v/>
      </c>
      <c r="BK253" s="19" t="str">
        <f t="shared" si="23"/>
        <v/>
      </c>
      <c r="BL253" s="100"/>
      <c r="BM253" s="100"/>
    </row>
    <row r="254" spans="2:65" ht="15">
      <c r="B254" s="39"/>
      <c r="C254" s="5"/>
      <c r="D254" s="123"/>
      <c r="E254" s="39"/>
      <c r="F254" s="39"/>
      <c r="G254" s="39"/>
      <c r="H254" s="5" t="str">
        <f ca="1">IFERROR(__xludf.DUMMYFUNCTION("IFERROR(VLOOKUP(F520,IMPORTRANGE(""https://docs.google.com/spreadsheets/d/1Kvs4KS76FHFqLFIZfrDMff4kP08nblUkihrxltoGBjg/edit#gid=934712705"",""ESENCIAL!A6:BG""),3,FALSE))"),"")</f>
        <v/>
      </c>
      <c r="I254" s="5" t="str">
        <f ca="1">IFERROR(__xludf.DUMMYFUNCTION("IFERROR(VLOOKUP(F520,IMPORTRANGE(""https://docs.google.com/spreadsheets/d/1Kvs4KS76FHFqLFIZfrDMff4kP08nblUkihrxltoGBjg/edit#gid=934712705"",""ESENCIAL!A6:BG""),8,FALSE))"),"")</f>
        <v/>
      </c>
      <c r="J254" s="39"/>
      <c r="M254" s="287"/>
      <c r="AV254" s="41" t="str">
        <f t="shared" si="20"/>
        <v/>
      </c>
      <c r="AW254" s="5" t="str">
        <f ca="1">IFERROR(__xludf.DUMMYFUNCTION("IFERROR(VLOOKUP(E520&amp;F520,IMPORTRANGE(""https://docs.google.com/spreadsheets/d/1Uw7-A9f9R21vMXxHZFNpYNeKFtG8_yji4HS352LGlSQ/edit?pli=1#gid=0"",""1_ACUM!A4:S""),11,FALSE))"),"")</f>
        <v/>
      </c>
      <c r="AX254" s="42" t="str">
        <f ca="1">IFERROR(__xludf.DUMMYFUNCTION("IFERROR(VLOOKUP(F520,IMPORTRANGE(""https://docs.google.com/spreadsheets/d/1Kvs4KS76FHFqLFIZfrDMff4kP08nblUkihrxltoGBjg/edit#gid=934712705"",""ESENCIAL!A6:BG""),15,FALSE))"),"")</f>
        <v/>
      </c>
      <c r="AY254" s="110" t="str">
        <f ca="1">IFERROR(__xludf.DUMMYFUNCTION("IFERROR(VLOOKUP(E520&amp;F520,IMPORTRANGE(""https://docs.google.com/spreadsheets/d/1Uw7-A9f9R21vMXxHZFNpYNeKFtG8_yji4HS352LGlSQ/edit?pli=1#gid=0"",""1_ACUM!A4:S""),13,FALSE))"),"")</f>
        <v/>
      </c>
      <c r="AZ254" s="43" t="str">
        <f ca="1">IFERROR(__xludf.DUMMYFUNCTION("IFERROR(VLOOKUP(E520&amp;F520,IMPORTRANGE(""https://docs.google.com/spreadsheets/d/1Uw7-A9f9R21vMXxHZFNpYNeKFtG8_yji4HS352LGlSQ/edit?pli=1#gid=0"",""1_ACUM!A4:S""),13,FALSE))"),"")</f>
        <v/>
      </c>
      <c r="BA254" s="43" t="str">
        <f ca="1">IFERROR(__xludf.DUMMYFUNCTION("IFERROR(VLOOKUP(E520&amp;F520,IMPORTRANGE(""https://docs.google.com/spreadsheets/d/1Uw7-A9f9R21vMXxHZFNpYNeKFtG8_yji4HS352LGlSQ/edit?pli=1#gid=0"",""1_ACUM!A4:S""),14,FALSE))"),"")</f>
        <v/>
      </c>
      <c r="BB254" s="43" t="str">
        <f ca="1">IFERROR(__xludf.DUMMYFUNCTION("IFERROR(VLOOKUP(E520&amp;F520,IMPORTRANGE(""https://docs.google.com/spreadsheets/d/1Uw7-A9f9R21vMXxHZFNpYNeKFtG8_yji4HS352LGlSQ/edit?pli=1#gid=0"",""1_ACUM!A4:S""),15,FALSE))"),"")</f>
        <v/>
      </c>
      <c r="BC254" s="43" t="str">
        <f ca="1">IFERROR(__xludf.DUMMYFUNCTION("IFERROR(VLOOKUP(E520&amp;F520,IMPORTRANGE(""https://docs.google.com/spreadsheets/d/1Uw7-A9f9R21vMXxHZFNpYNeKFtG8_yji4HS352LGlSQ/edit?pli=1#gid=0"",""1_ACUM!A4:S""),16,FALSE))"),"")</f>
        <v/>
      </c>
      <c r="BD254" s="43" t="str">
        <f ca="1">IFERROR(__xludf.DUMMYFUNCTION("IFERROR(VLOOKUP(E520&amp;F520,IMPORTRANGE(""https://docs.google.com/spreadsheets/d/1Uw7-A9f9R21vMXxHZFNpYNeKFtG8_yji4HS352LGlSQ/edit?pli=1#gid=0"",""1_ACUM!A4:S""),17,FALSE))"),"")</f>
        <v/>
      </c>
      <c r="BE254" s="44" t="str">
        <f ca="1">IFERROR(__xludf.DUMMYFUNCTION("IFERROR(VLOOKUP(E520&amp;F520,IMPORTRANGE(""https://docs.google.com/spreadsheets/d/1Uw7-A9f9R21vMXxHZFNpYNeKFtG8_yji4HS352LGlSQ/edit?pli=1#gid=0"",""1_ACUM!A4:S""),18,FALSE))"),"")</f>
        <v/>
      </c>
      <c r="BF254" s="44" t="str">
        <f ca="1">IFERROR(__xludf.DUMMYFUNCTION("IFERROR(VLOOKUP(E520&amp;F520,IMPORTRANGE(""https://docs.google.com/spreadsheets/d/1Uw7-A9f9R21vMXxHZFNpYNeKFtG8_yji4HS352LGlSQ/edit?pli=1#gid=0"",""1_ACUM!A4:S""),19,FALSE))"),"")</f>
        <v/>
      </c>
      <c r="BG254" s="98" t="str">
        <f ca="1">IFERROR(__xludf.DUMMYFUNCTION("IFERROR(VLOOKUP(F520,IMPORTRANGE(""https://docs.google.com/spreadsheets/d/1Kvs4KS76FHFqLFIZfrDMff4kP08nblUkihrxltoGBjg/edit#gid=934712705"",""ESENCIAL!A6:BG""),5,FALSE))"),"")</f>
        <v/>
      </c>
      <c r="BH254" s="98" t="str">
        <f t="shared" si="21"/>
        <v/>
      </c>
      <c r="BI254" s="99" t="str">
        <f t="shared" si="22"/>
        <v/>
      </c>
      <c r="BJ254" s="100" t="str">
        <f ca="1">IFERROR(__xludf.DUMMYFUNCTION("IFERROR(VLOOKUP(F520,IMPORTRANGE(""https://docs.google.com/spreadsheets/d/1Kvs4KS76FHFqLFIZfrDMff4kP08nblUkihrxltoGBjg/edit#gid=934712705"",""ESENCIAL!A6:BG""),2,FALSE))"),"")</f>
        <v/>
      </c>
      <c r="BK254" s="19" t="str">
        <f t="shared" si="23"/>
        <v/>
      </c>
      <c r="BL254" s="100"/>
      <c r="BM254" s="100"/>
    </row>
    <row r="255" spans="2:65" ht="15">
      <c r="B255" s="39"/>
      <c r="C255" s="5"/>
      <c r="D255" s="123"/>
      <c r="E255" s="39"/>
      <c r="F255" s="39"/>
      <c r="G255" s="39"/>
      <c r="H255" s="5" t="str">
        <f ca="1">IFERROR(__xludf.DUMMYFUNCTION("IFERROR(VLOOKUP(F521,IMPORTRANGE(""https://docs.google.com/spreadsheets/d/1Kvs4KS76FHFqLFIZfrDMff4kP08nblUkihrxltoGBjg/edit#gid=934712705"",""ESENCIAL!A6:BG""),3,FALSE))"),"")</f>
        <v/>
      </c>
      <c r="I255" s="5" t="str">
        <f ca="1">IFERROR(__xludf.DUMMYFUNCTION("IFERROR(VLOOKUP(F521,IMPORTRANGE(""https://docs.google.com/spreadsheets/d/1Kvs4KS76FHFqLFIZfrDMff4kP08nblUkihrxltoGBjg/edit#gid=934712705"",""ESENCIAL!A6:BG""),8,FALSE))"),"")</f>
        <v/>
      </c>
      <c r="J255" s="39"/>
      <c r="M255" s="287"/>
      <c r="AV255" s="41" t="str">
        <f t="shared" si="20"/>
        <v/>
      </c>
      <c r="AW255" s="5" t="str">
        <f ca="1">IFERROR(__xludf.DUMMYFUNCTION("IFERROR(VLOOKUP(E521&amp;F521,IMPORTRANGE(""https://docs.google.com/spreadsheets/d/1Uw7-A9f9R21vMXxHZFNpYNeKFtG8_yji4HS352LGlSQ/edit?pli=1#gid=0"",""1_ACUM!A4:S""),11,FALSE))"),"")</f>
        <v/>
      </c>
      <c r="AX255" s="42" t="str">
        <f ca="1">IFERROR(__xludf.DUMMYFUNCTION("IFERROR(VLOOKUP(F521,IMPORTRANGE(""https://docs.google.com/spreadsheets/d/1Kvs4KS76FHFqLFIZfrDMff4kP08nblUkihrxltoGBjg/edit#gid=934712705"",""ESENCIAL!A6:BG""),15,FALSE))"),"")</f>
        <v/>
      </c>
      <c r="AY255" s="110" t="str">
        <f ca="1">IFERROR(__xludf.DUMMYFUNCTION("IFERROR(VLOOKUP(E521&amp;F521,IMPORTRANGE(""https://docs.google.com/spreadsheets/d/1Uw7-A9f9R21vMXxHZFNpYNeKFtG8_yji4HS352LGlSQ/edit?pli=1#gid=0"",""1_ACUM!A4:S""),13,FALSE))"),"")</f>
        <v/>
      </c>
      <c r="AZ255" s="43" t="str">
        <f ca="1">IFERROR(__xludf.DUMMYFUNCTION("IFERROR(VLOOKUP(E521&amp;F521,IMPORTRANGE(""https://docs.google.com/spreadsheets/d/1Uw7-A9f9R21vMXxHZFNpYNeKFtG8_yji4HS352LGlSQ/edit?pli=1#gid=0"",""1_ACUM!A4:S""),13,FALSE))"),"")</f>
        <v/>
      </c>
      <c r="BA255" s="43" t="str">
        <f ca="1">IFERROR(__xludf.DUMMYFUNCTION("IFERROR(VLOOKUP(E521&amp;F521,IMPORTRANGE(""https://docs.google.com/spreadsheets/d/1Uw7-A9f9R21vMXxHZFNpYNeKFtG8_yji4HS352LGlSQ/edit?pli=1#gid=0"",""1_ACUM!A4:S""),14,FALSE))"),"")</f>
        <v/>
      </c>
      <c r="BB255" s="43" t="str">
        <f ca="1">IFERROR(__xludf.DUMMYFUNCTION("IFERROR(VLOOKUP(E521&amp;F521,IMPORTRANGE(""https://docs.google.com/spreadsheets/d/1Uw7-A9f9R21vMXxHZFNpYNeKFtG8_yji4HS352LGlSQ/edit?pli=1#gid=0"",""1_ACUM!A4:S""),15,FALSE))"),"")</f>
        <v/>
      </c>
      <c r="BC255" s="43" t="str">
        <f ca="1">IFERROR(__xludf.DUMMYFUNCTION("IFERROR(VLOOKUP(E521&amp;F521,IMPORTRANGE(""https://docs.google.com/spreadsheets/d/1Uw7-A9f9R21vMXxHZFNpYNeKFtG8_yji4HS352LGlSQ/edit?pli=1#gid=0"",""1_ACUM!A4:S""),16,FALSE))"),"")</f>
        <v/>
      </c>
      <c r="BD255" s="43" t="str">
        <f ca="1">IFERROR(__xludf.DUMMYFUNCTION("IFERROR(VLOOKUP(E521&amp;F521,IMPORTRANGE(""https://docs.google.com/spreadsheets/d/1Uw7-A9f9R21vMXxHZFNpYNeKFtG8_yji4HS352LGlSQ/edit?pli=1#gid=0"",""1_ACUM!A4:S""),17,FALSE))"),"")</f>
        <v/>
      </c>
      <c r="BE255" s="44" t="str">
        <f ca="1">IFERROR(__xludf.DUMMYFUNCTION("IFERROR(VLOOKUP(E521&amp;F521,IMPORTRANGE(""https://docs.google.com/spreadsheets/d/1Uw7-A9f9R21vMXxHZFNpYNeKFtG8_yji4HS352LGlSQ/edit?pli=1#gid=0"",""1_ACUM!A4:S""),18,FALSE))"),"")</f>
        <v/>
      </c>
      <c r="BF255" s="44" t="str">
        <f ca="1">IFERROR(__xludf.DUMMYFUNCTION("IFERROR(VLOOKUP(E521&amp;F521,IMPORTRANGE(""https://docs.google.com/spreadsheets/d/1Uw7-A9f9R21vMXxHZFNpYNeKFtG8_yji4HS352LGlSQ/edit?pli=1#gid=0"",""1_ACUM!A4:S""),19,FALSE))"),"")</f>
        <v/>
      </c>
      <c r="BG255" s="98" t="str">
        <f ca="1">IFERROR(__xludf.DUMMYFUNCTION("IFERROR(VLOOKUP(F521,IMPORTRANGE(""https://docs.google.com/spreadsheets/d/1Kvs4KS76FHFqLFIZfrDMff4kP08nblUkihrxltoGBjg/edit#gid=934712705"",""ESENCIAL!A6:BG""),5,FALSE))"),"")</f>
        <v/>
      </c>
      <c r="BH255" s="98" t="str">
        <f t="shared" si="21"/>
        <v/>
      </c>
      <c r="BI255" s="99" t="str">
        <f t="shared" si="22"/>
        <v/>
      </c>
      <c r="BJ255" s="100" t="str">
        <f ca="1">IFERROR(__xludf.DUMMYFUNCTION("IFERROR(VLOOKUP(F521,IMPORTRANGE(""https://docs.google.com/spreadsheets/d/1Kvs4KS76FHFqLFIZfrDMff4kP08nblUkihrxltoGBjg/edit#gid=934712705"",""ESENCIAL!A6:BG""),2,FALSE))"),"")</f>
        <v/>
      </c>
      <c r="BK255" s="19" t="str">
        <f t="shared" si="23"/>
        <v/>
      </c>
      <c r="BL255" s="100"/>
      <c r="BM255" s="100"/>
    </row>
    <row r="256" spans="2:65" ht="15">
      <c r="B256" s="39"/>
      <c r="C256" s="5"/>
      <c r="D256" s="123"/>
      <c r="E256" s="39"/>
      <c r="F256" s="39"/>
      <c r="G256" s="39"/>
      <c r="H256" s="5" t="str">
        <f ca="1">IFERROR(__xludf.DUMMYFUNCTION("IFERROR(VLOOKUP(F522,IMPORTRANGE(""https://docs.google.com/spreadsheets/d/1Kvs4KS76FHFqLFIZfrDMff4kP08nblUkihrxltoGBjg/edit#gid=934712705"",""ESENCIAL!A6:BG""),3,FALSE))"),"")</f>
        <v/>
      </c>
      <c r="I256" s="5" t="str">
        <f ca="1">IFERROR(__xludf.DUMMYFUNCTION("IFERROR(VLOOKUP(F522,IMPORTRANGE(""https://docs.google.com/spreadsheets/d/1Kvs4KS76FHFqLFIZfrDMff4kP08nblUkihrxltoGBjg/edit#gid=934712705"",""ESENCIAL!A6:BG""),8,FALSE))"),"")</f>
        <v/>
      </c>
      <c r="J256" s="39"/>
      <c r="M256" s="287"/>
      <c r="AV256" s="41" t="str">
        <f t="shared" si="20"/>
        <v/>
      </c>
      <c r="AW256" s="5" t="str">
        <f ca="1">IFERROR(__xludf.DUMMYFUNCTION("IFERROR(VLOOKUP(E522&amp;F522,IMPORTRANGE(""https://docs.google.com/spreadsheets/d/1Uw7-A9f9R21vMXxHZFNpYNeKFtG8_yji4HS352LGlSQ/edit?pli=1#gid=0"",""1_ACUM!A4:S""),11,FALSE))"),"")</f>
        <v/>
      </c>
      <c r="AX256" s="42" t="str">
        <f ca="1">IFERROR(__xludf.DUMMYFUNCTION("IFERROR(VLOOKUP(F522,IMPORTRANGE(""https://docs.google.com/spreadsheets/d/1Kvs4KS76FHFqLFIZfrDMff4kP08nblUkihrxltoGBjg/edit#gid=934712705"",""ESENCIAL!A6:BG""),15,FALSE))"),"")</f>
        <v/>
      </c>
      <c r="AY256" s="110" t="str">
        <f ca="1">IFERROR(__xludf.DUMMYFUNCTION("IFERROR(VLOOKUP(E522&amp;F522,IMPORTRANGE(""https://docs.google.com/spreadsheets/d/1Uw7-A9f9R21vMXxHZFNpYNeKFtG8_yji4HS352LGlSQ/edit?pli=1#gid=0"",""1_ACUM!A4:S""),13,FALSE))"),"")</f>
        <v/>
      </c>
      <c r="AZ256" s="43" t="str">
        <f ca="1">IFERROR(__xludf.DUMMYFUNCTION("IFERROR(VLOOKUP(E522&amp;F522,IMPORTRANGE(""https://docs.google.com/spreadsheets/d/1Uw7-A9f9R21vMXxHZFNpYNeKFtG8_yji4HS352LGlSQ/edit?pli=1#gid=0"",""1_ACUM!A4:S""),13,FALSE))"),"")</f>
        <v/>
      </c>
      <c r="BA256" s="43" t="str">
        <f ca="1">IFERROR(__xludf.DUMMYFUNCTION("IFERROR(VLOOKUP(E522&amp;F522,IMPORTRANGE(""https://docs.google.com/spreadsheets/d/1Uw7-A9f9R21vMXxHZFNpYNeKFtG8_yji4HS352LGlSQ/edit?pli=1#gid=0"",""1_ACUM!A4:S""),14,FALSE))"),"")</f>
        <v/>
      </c>
      <c r="BB256" s="43" t="str">
        <f ca="1">IFERROR(__xludf.DUMMYFUNCTION("IFERROR(VLOOKUP(E522&amp;F522,IMPORTRANGE(""https://docs.google.com/spreadsheets/d/1Uw7-A9f9R21vMXxHZFNpYNeKFtG8_yji4HS352LGlSQ/edit?pli=1#gid=0"",""1_ACUM!A4:S""),15,FALSE))"),"")</f>
        <v/>
      </c>
      <c r="BC256" s="43" t="str">
        <f ca="1">IFERROR(__xludf.DUMMYFUNCTION("IFERROR(VLOOKUP(E522&amp;F522,IMPORTRANGE(""https://docs.google.com/spreadsheets/d/1Uw7-A9f9R21vMXxHZFNpYNeKFtG8_yji4HS352LGlSQ/edit?pli=1#gid=0"",""1_ACUM!A4:S""),16,FALSE))"),"")</f>
        <v/>
      </c>
      <c r="BD256" s="43" t="str">
        <f ca="1">IFERROR(__xludf.DUMMYFUNCTION("IFERROR(VLOOKUP(E522&amp;F522,IMPORTRANGE(""https://docs.google.com/spreadsheets/d/1Uw7-A9f9R21vMXxHZFNpYNeKFtG8_yji4HS352LGlSQ/edit?pli=1#gid=0"",""1_ACUM!A4:S""),17,FALSE))"),"")</f>
        <v/>
      </c>
      <c r="BE256" s="44" t="str">
        <f ca="1">IFERROR(__xludf.DUMMYFUNCTION("IFERROR(VLOOKUP(E522&amp;F522,IMPORTRANGE(""https://docs.google.com/spreadsheets/d/1Uw7-A9f9R21vMXxHZFNpYNeKFtG8_yji4HS352LGlSQ/edit?pli=1#gid=0"",""1_ACUM!A4:S""),18,FALSE))"),"")</f>
        <v/>
      </c>
      <c r="BF256" s="44" t="str">
        <f ca="1">IFERROR(__xludf.DUMMYFUNCTION("IFERROR(VLOOKUP(E522&amp;F522,IMPORTRANGE(""https://docs.google.com/spreadsheets/d/1Uw7-A9f9R21vMXxHZFNpYNeKFtG8_yji4HS352LGlSQ/edit?pli=1#gid=0"",""1_ACUM!A4:S""),19,FALSE))"),"")</f>
        <v/>
      </c>
      <c r="BG256" s="98" t="str">
        <f ca="1">IFERROR(__xludf.DUMMYFUNCTION("IFERROR(VLOOKUP(F522,IMPORTRANGE(""https://docs.google.com/spreadsheets/d/1Kvs4KS76FHFqLFIZfrDMff4kP08nblUkihrxltoGBjg/edit#gid=934712705"",""ESENCIAL!A6:BG""),5,FALSE))"),"")</f>
        <v/>
      </c>
      <c r="BH256" s="98" t="str">
        <f t="shared" si="21"/>
        <v/>
      </c>
      <c r="BI256" s="99" t="str">
        <f t="shared" si="22"/>
        <v/>
      </c>
      <c r="BJ256" s="100" t="str">
        <f ca="1">IFERROR(__xludf.DUMMYFUNCTION("IFERROR(VLOOKUP(F522,IMPORTRANGE(""https://docs.google.com/spreadsheets/d/1Kvs4KS76FHFqLFIZfrDMff4kP08nblUkihrxltoGBjg/edit#gid=934712705"",""ESENCIAL!A6:BG""),2,FALSE))"),"")</f>
        <v/>
      </c>
      <c r="BK256" s="19" t="str">
        <f t="shared" si="23"/>
        <v/>
      </c>
      <c r="BL256" s="100"/>
      <c r="BM256" s="100"/>
    </row>
    <row r="257" spans="2:65" ht="15">
      <c r="B257" s="39"/>
      <c r="C257" s="5"/>
      <c r="D257" s="123"/>
      <c r="E257" s="39"/>
      <c r="F257" s="39"/>
      <c r="G257" s="39"/>
      <c r="H257" s="5" t="str">
        <f ca="1">IFERROR(__xludf.DUMMYFUNCTION("IFERROR(VLOOKUP(F523,IMPORTRANGE(""https://docs.google.com/spreadsheets/d/1Kvs4KS76FHFqLFIZfrDMff4kP08nblUkihrxltoGBjg/edit#gid=934712705"",""ESENCIAL!A6:BG""),3,FALSE))"),"")</f>
        <v/>
      </c>
      <c r="I257" s="5" t="str">
        <f ca="1">IFERROR(__xludf.DUMMYFUNCTION("IFERROR(VLOOKUP(F523,IMPORTRANGE(""https://docs.google.com/spreadsheets/d/1Kvs4KS76FHFqLFIZfrDMff4kP08nblUkihrxltoGBjg/edit#gid=934712705"",""ESENCIAL!A6:BG""),8,FALSE))"),"")</f>
        <v/>
      </c>
      <c r="J257" s="39"/>
      <c r="M257" s="287"/>
      <c r="AV257" s="41" t="str">
        <f t="shared" si="20"/>
        <v/>
      </c>
      <c r="AW257" s="5" t="str">
        <f ca="1">IFERROR(__xludf.DUMMYFUNCTION("IFERROR(VLOOKUP(E523&amp;F523,IMPORTRANGE(""https://docs.google.com/spreadsheets/d/1Uw7-A9f9R21vMXxHZFNpYNeKFtG8_yji4HS352LGlSQ/edit?pli=1#gid=0"",""1_ACUM!A4:S""),11,FALSE))"),"")</f>
        <v/>
      </c>
      <c r="AX257" s="42" t="str">
        <f ca="1">IFERROR(__xludf.DUMMYFUNCTION("IFERROR(VLOOKUP(F523,IMPORTRANGE(""https://docs.google.com/spreadsheets/d/1Kvs4KS76FHFqLFIZfrDMff4kP08nblUkihrxltoGBjg/edit#gid=934712705"",""ESENCIAL!A6:BG""),15,FALSE))"),"")</f>
        <v/>
      </c>
      <c r="AY257" s="110" t="str">
        <f ca="1">IFERROR(__xludf.DUMMYFUNCTION("IFERROR(VLOOKUP(E523&amp;F523,IMPORTRANGE(""https://docs.google.com/spreadsheets/d/1Uw7-A9f9R21vMXxHZFNpYNeKFtG8_yji4HS352LGlSQ/edit?pli=1#gid=0"",""1_ACUM!A4:S""),13,FALSE))"),"")</f>
        <v/>
      </c>
      <c r="AZ257" s="43" t="str">
        <f ca="1">IFERROR(__xludf.DUMMYFUNCTION("IFERROR(VLOOKUP(E523&amp;F523,IMPORTRANGE(""https://docs.google.com/spreadsheets/d/1Uw7-A9f9R21vMXxHZFNpYNeKFtG8_yji4HS352LGlSQ/edit?pli=1#gid=0"",""1_ACUM!A4:S""),13,FALSE))"),"")</f>
        <v/>
      </c>
      <c r="BA257" s="43" t="str">
        <f ca="1">IFERROR(__xludf.DUMMYFUNCTION("IFERROR(VLOOKUP(E523&amp;F523,IMPORTRANGE(""https://docs.google.com/spreadsheets/d/1Uw7-A9f9R21vMXxHZFNpYNeKFtG8_yji4HS352LGlSQ/edit?pli=1#gid=0"",""1_ACUM!A4:S""),14,FALSE))"),"")</f>
        <v/>
      </c>
      <c r="BB257" s="43" t="str">
        <f ca="1">IFERROR(__xludf.DUMMYFUNCTION("IFERROR(VLOOKUP(E523&amp;F523,IMPORTRANGE(""https://docs.google.com/spreadsheets/d/1Uw7-A9f9R21vMXxHZFNpYNeKFtG8_yji4HS352LGlSQ/edit?pli=1#gid=0"",""1_ACUM!A4:S""),15,FALSE))"),"")</f>
        <v/>
      </c>
      <c r="BC257" s="43" t="str">
        <f ca="1">IFERROR(__xludf.DUMMYFUNCTION("IFERROR(VLOOKUP(E523&amp;F523,IMPORTRANGE(""https://docs.google.com/spreadsheets/d/1Uw7-A9f9R21vMXxHZFNpYNeKFtG8_yji4HS352LGlSQ/edit?pli=1#gid=0"",""1_ACUM!A4:S""),16,FALSE))"),"")</f>
        <v/>
      </c>
      <c r="BD257" s="43" t="str">
        <f ca="1">IFERROR(__xludf.DUMMYFUNCTION("IFERROR(VLOOKUP(E523&amp;F523,IMPORTRANGE(""https://docs.google.com/spreadsheets/d/1Uw7-A9f9R21vMXxHZFNpYNeKFtG8_yji4HS352LGlSQ/edit?pli=1#gid=0"",""1_ACUM!A4:S""),17,FALSE))"),"")</f>
        <v/>
      </c>
      <c r="BE257" s="44" t="str">
        <f ca="1">IFERROR(__xludf.DUMMYFUNCTION("IFERROR(VLOOKUP(E523&amp;F523,IMPORTRANGE(""https://docs.google.com/spreadsheets/d/1Uw7-A9f9R21vMXxHZFNpYNeKFtG8_yji4HS352LGlSQ/edit?pli=1#gid=0"",""1_ACUM!A4:S""),18,FALSE))"),"")</f>
        <v/>
      </c>
      <c r="BF257" s="44" t="str">
        <f ca="1">IFERROR(__xludf.DUMMYFUNCTION("IFERROR(VLOOKUP(E523&amp;F523,IMPORTRANGE(""https://docs.google.com/spreadsheets/d/1Uw7-A9f9R21vMXxHZFNpYNeKFtG8_yji4HS352LGlSQ/edit?pli=1#gid=0"",""1_ACUM!A4:S""),19,FALSE))"),"")</f>
        <v/>
      </c>
      <c r="BG257" s="98" t="str">
        <f ca="1">IFERROR(__xludf.DUMMYFUNCTION("IFERROR(VLOOKUP(F523,IMPORTRANGE(""https://docs.google.com/spreadsheets/d/1Kvs4KS76FHFqLFIZfrDMff4kP08nblUkihrxltoGBjg/edit#gid=934712705"",""ESENCIAL!A6:BG""),5,FALSE))"),"")</f>
        <v/>
      </c>
      <c r="BH257" s="98" t="str">
        <f t="shared" si="21"/>
        <v/>
      </c>
      <c r="BI257" s="99" t="str">
        <f t="shared" si="22"/>
        <v/>
      </c>
      <c r="BJ257" s="100" t="str">
        <f ca="1">IFERROR(__xludf.DUMMYFUNCTION("IFERROR(VLOOKUP(F523,IMPORTRANGE(""https://docs.google.com/spreadsheets/d/1Kvs4KS76FHFqLFIZfrDMff4kP08nblUkihrxltoGBjg/edit#gid=934712705"",""ESENCIAL!A6:BG""),2,FALSE))"),"")</f>
        <v/>
      </c>
      <c r="BK257" s="19" t="str">
        <f t="shared" si="23"/>
        <v/>
      </c>
      <c r="BL257" s="100"/>
      <c r="BM257" s="100"/>
    </row>
    <row r="258" spans="2:65" ht="15">
      <c r="B258" s="39"/>
      <c r="C258" s="5"/>
      <c r="D258" s="123"/>
      <c r="E258" s="39"/>
      <c r="F258" s="39"/>
      <c r="G258" s="39"/>
      <c r="H258" s="5" t="str">
        <f ca="1">IFERROR(__xludf.DUMMYFUNCTION("IFERROR(VLOOKUP(F524,IMPORTRANGE(""https://docs.google.com/spreadsheets/d/1Kvs4KS76FHFqLFIZfrDMff4kP08nblUkihrxltoGBjg/edit#gid=934712705"",""ESENCIAL!A6:BG""),3,FALSE))"),"")</f>
        <v/>
      </c>
      <c r="I258" s="5" t="str">
        <f ca="1">IFERROR(__xludf.DUMMYFUNCTION("IFERROR(VLOOKUP(F524,IMPORTRANGE(""https://docs.google.com/spreadsheets/d/1Kvs4KS76FHFqLFIZfrDMff4kP08nblUkihrxltoGBjg/edit#gid=934712705"",""ESENCIAL!A6:BG""),8,FALSE))"),"")</f>
        <v/>
      </c>
      <c r="J258" s="39"/>
      <c r="M258" s="287"/>
      <c r="AV258" s="41" t="str">
        <f t="shared" si="20"/>
        <v/>
      </c>
      <c r="AW258" s="5" t="str">
        <f ca="1">IFERROR(__xludf.DUMMYFUNCTION("IFERROR(VLOOKUP(E524&amp;F524,IMPORTRANGE(""https://docs.google.com/spreadsheets/d/1Uw7-A9f9R21vMXxHZFNpYNeKFtG8_yji4HS352LGlSQ/edit?pli=1#gid=0"",""1_ACUM!A4:S""),11,FALSE))"),"")</f>
        <v/>
      </c>
      <c r="AX258" s="42" t="str">
        <f ca="1">IFERROR(__xludf.DUMMYFUNCTION("IFERROR(VLOOKUP(F524,IMPORTRANGE(""https://docs.google.com/spreadsheets/d/1Kvs4KS76FHFqLFIZfrDMff4kP08nblUkihrxltoGBjg/edit#gid=934712705"",""ESENCIAL!A6:BG""),15,FALSE))"),"")</f>
        <v/>
      </c>
      <c r="AY258" s="110" t="str">
        <f ca="1">IFERROR(__xludf.DUMMYFUNCTION("IFERROR(VLOOKUP(E524&amp;F524,IMPORTRANGE(""https://docs.google.com/spreadsheets/d/1Uw7-A9f9R21vMXxHZFNpYNeKFtG8_yji4HS352LGlSQ/edit?pli=1#gid=0"",""1_ACUM!A4:S""),13,FALSE))"),"")</f>
        <v/>
      </c>
      <c r="AZ258" s="43" t="str">
        <f ca="1">IFERROR(__xludf.DUMMYFUNCTION("IFERROR(VLOOKUP(E524&amp;F524,IMPORTRANGE(""https://docs.google.com/spreadsheets/d/1Uw7-A9f9R21vMXxHZFNpYNeKFtG8_yji4HS352LGlSQ/edit?pli=1#gid=0"",""1_ACUM!A4:S""),13,FALSE))"),"")</f>
        <v/>
      </c>
      <c r="BA258" s="43" t="str">
        <f ca="1">IFERROR(__xludf.DUMMYFUNCTION("IFERROR(VLOOKUP(E524&amp;F524,IMPORTRANGE(""https://docs.google.com/spreadsheets/d/1Uw7-A9f9R21vMXxHZFNpYNeKFtG8_yji4HS352LGlSQ/edit?pli=1#gid=0"",""1_ACUM!A4:S""),14,FALSE))"),"")</f>
        <v/>
      </c>
      <c r="BB258" s="43" t="str">
        <f ca="1">IFERROR(__xludf.DUMMYFUNCTION("IFERROR(VLOOKUP(E524&amp;F524,IMPORTRANGE(""https://docs.google.com/spreadsheets/d/1Uw7-A9f9R21vMXxHZFNpYNeKFtG8_yji4HS352LGlSQ/edit?pli=1#gid=0"",""1_ACUM!A4:S""),15,FALSE))"),"")</f>
        <v/>
      </c>
      <c r="BC258" s="43" t="str">
        <f ca="1">IFERROR(__xludf.DUMMYFUNCTION("IFERROR(VLOOKUP(E524&amp;F524,IMPORTRANGE(""https://docs.google.com/spreadsheets/d/1Uw7-A9f9R21vMXxHZFNpYNeKFtG8_yji4HS352LGlSQ/edit?pli=1#gid=0"",""1_ACUM!A4:S""),16,FALSE))"),"")</f>
        <v/>
      </c>
      <c r="BD258" s="43" t="str">
        <f ca="1">IFERROR(__xludf.DUMMYFUNCTION("IFERROR(VLOOKUP(E524&amp;F524,IMPORTRANGE(""https://docs.google.com/spreadsheets/d/1Uw7-A9f9R21vMXxHZFNpYNeKFtG8_yji4HS352LGlSQ/edit?pli=1#gid=0"",""1_ACUM!A4:S""),17,FALSE))"),"")</f>
        <v/>
      </c>
      <c r="BE258" s="44" t="str">
        <f ca="1">IFERROR(__xludf.DUMMYFUNCTION("IFERROR(VLOOKUP(E524&amp;F524,IMPORTRANGE(""https://docs.google.com/spreadsheets/d/1Uw7-A9f9R21vMXxHZFNpYNeKFtG8_yji4HS352LGlSQ/edit?pli=1#gid=0"",""1_ACUM!A4:S""),18,FALSE))"),"")</f>
        <v/>
      </c>
      <c r="BF258" s="44" t="str">
        <f ca="1">IFERROR(__xludf.DUMMYFUNCTION("IFERROR(VLOOKUP(E524&amp;F524,IMPORTRANGE(""https://docs.google.com/spreadsheets/d/1Uw7-A9f9R21vMXxHZFNpYNeKFtG8_yji4HS352LGlSQ/edit?pli=1#gid=0"",""1_ACUM!A4:S""),19,FALSE))"),"")</f>
        <v/>
      </c>
      <c r="BG258" s="98" t="str">
        <f ca="1">IFERROR(__xludf.DUMMYFUNCTION("IFERROR(VLOOKUP(F524,IMPORTRANGE(""https://docs.google.com/spreadsheets/d/1Kvs4KS76FHFqLFIZfrDMff4kP08nblUkihrxltoGBjg/edit#gid=934712705"",""ESENCIAL!A6:BG""),5,FALSE))"),"")</f>
        <v/>
      </c>
      <c r="BH258" s="98" t="str">
        <f t="shared" si="21"/>
        <v/>
      </c>
      <c r="BI258" s="99" t="str">
        <f t="shared" si="22"/>
        <v/>
      </c>
      <c r="BJ258" s="100" t="str">
        <f ca="1">IFERROR(__xludf.DUMMYFUNCTION("IFERROR(VLOOKUP(F524,IMPORTRANGE(""https://docs.google.com/spreadsheets/d/1Kvs4KS76FHFqLFIZfrDMff4kP08nblUkihrxltoGBjg/edit#gid=934712705"",""ESENCIAL!A6:BG""),2,FALSE))"),"")</f>
        <v/>
      </c>
      <c r="BK258" s="19" t="str">
        <f t="shared" si="23"/>
        <v/>
      </c>
      <c r="BL258" s="100"/>
      <c r="BM258" s="100"/>
    </row>
    <row r="259" spans="2:65" ht="15">
      <c r="B259" s="39"/>
      <c r="C259" s="5"/>
      <c r="D259" s="123"/>
      <c r="E259" s="39"/>
      <c r="F259" s="39"/>
      <c r="G259" s="39"/>
      <c r="H259" s="5" t="str">
        <f ca="1">IFERROR(__xludf.DUMMYFUNCTION("IFERROR(VLOOKUP(F525,IMPORTRANGE(""https://docs.google.com/spreadsheets/d/1Kvs4KS76FHFqLFIZfrDMff4kP08nblUkihrxltoGBjg/edit#gid=934712705"",""ESENCIAL!A6:BG""),3,FALSE))"),"")</f>
        <v/>
      </c>
      <c r="I259" s="5" t="str">
        <f ca="1">IFERROR(__xludf.DUMMYFUNCTION("IFERROR(VLOOKUP(F525,IMPORTRANGE(""https://docs.google.com/spreadsheets/d/1Kvs4KS76FHFqLFIZfrDMff4kP08nblUkihrxltoGBjg/edit#gid=934712705"",""ESENCIAL!A6:BG""),8,FALSE))"),"")</f>
        <v/>
      </c>
      <c r="J259" s="39"/>
      <c r="M259" s="287"/>
      <c r="AV259" s="41" t="str">
        <f t="shared" si="20"/>
        <v/>
      </c>
      <c r="AW259" s="5" t="str">
        <f ca="1">IFERROR(__xludf.DUMMYFUNCTION("IFERROR(VLOOKUP(E525&amp;F525,IMPORTRANGE(""https://docs.google.com/spreadsheets/d/1Uw7-A9f9R21vMXxHZFNpYNeKFtG8_yji4HS352LGlSQ/edit?pli=1#gid=0"",""1_ACUM!A4:S""),11,FALSE))"),"")</f>
        <v/>
      </c>
      <c r="AX259" s="42" t="str">
        <f ca="1">IFERROR(__xludf.DUMMYFUNCTION("IFERROR(VLOOKUP(F525,IMPORTRANGE(""https://docs.google.com/spreadsheets/d/1Kvs4KS76FHFqLFIZfrDMff4kP08nblUkihrxltoGBjg/edit#gid=934712705"",""ESENCIAL!A6:BG""),15,FALSE))"),"")</f>
        <v/>
      </c>
      <c r="AY259" s="110" t="str">
        <f ca="1">IFERROR(__xludf.DUMMYFUNCTION("IFERROR(VLOOKUP(E525&amp;F525,IMPORTRANGE(""https://docs.google.com/spreadsheets/d/1Uw7-A9f9R21vMXxHZFNpYNeKFtG8_yji4HS352LGlSQ/edit?pli=1#gid=0"",""1_ACUM!A4:S""),13,FALSE))"),"")</f>
        <v/>
      </c>
      <c r="AZ259" s="43" t="str">
        <f ca="1">IFERROR(__xludf.DUMMYFUNCTION("IFERROR(VLOOKUP(E525&amp;F525,IMPORTRANGE(""https://docs.google.com/spreadsheets/d/1Uw7-A9f9R21vMXxHZFNpYNeKFtG8_yji4HS352LGlSQ/edit?pli=1#gid=0"",""1_ACUM!A4:S""),13,FALSE))"),"")</f>
        <v/>
      </c>
      <c r="BA259" s="43" t="str">
        <f ca="1">IFERROR(__xludf.DUMMYFUNCTION("IFERROR(VLOOKUP(E525&amp;F525,IMPORTRANGE(""https://docs.google.com/spreadsheets/d/1Uw7-A9f9R21vMXxHZFNpYNeKFtG8_yji4HS352LGlSQ/edit?pli=1#gid=0"",""1_ACUM!A4:S""),14,FALSE))"),"")</f>
        <v/>
      </c>
      <c r="BB259" s="43" t="str">
        <f ca="1">IFERROR(__xludf.DUMMYFUNCTION("IFERROR(VLOOKUP(E525&amp;F525,IMPORTRANGE(""https://docs.google.com/spreadsheets/d/1Uw7-A9f9R21vMXxHZFNpYNeKFtG8_yji4HS352LGlSQ/edit?pli=1#gid=0"",""1_ACUM!A4:S""),15,FALSE))"),"")</f>
        <v/>
      </c>
      <c r="BC259" s="43" t="str">
        <f ca="1">IFERROR(__xludf.DUMMYFUNCTION("IFERROR(VLOOKUP(E525&amp;F525,IMPORTRANGE(""https://docs.google.com/spreadsheets/d/1Uw7-A9f9R21vMXxHZFNpYNeKFtG8_yji4HS352LGlSQ/edit?pli=1#gid=0"",""1_ACUM!A4:S""),16,FALSE))"),"")</f>
        <v/>
      </c>
      <c r="BD259" s="43" t="str">
        <f ca="1">IFERROR(__xludf.DUMMYFUNCTION("IFERROR(VLOOKUP(E525&amp;F525,IMPORTRANGE(""https://docs.google.com/spreadsheets/d/1Uw7-A9f9R21vMXxHZFNpYNeKFtG8_yji4HS352LGlSQ/edit?pli=1#gid=0"",""1_ACUM!A4:S""),17,FALSE))"),"")</f>
        <v/>
      </c>
      <c r="BE259" s="44" t="str">
        <f ca="1">IFERROR(__xludf.DUMMYFUNCTION("IFERROR(VLOOKUP(E525&amp;F525,IMPORTRANGE(""https://docs.google.com/spreadsheets/d/1Uw7-A9f9R21vMXxHZFNpYNeKFtG8_yji4HS352LGlSQ/edit?pli=1#gid=0"",""1_ACUM!A4:S""),18,FALSE))"),"")</f>
        <v/>
      </c>
      <c r="BF259" s="44" t="str">
        <f ca="1">IFERROR(__xludf.DUMMYFUNCTION("IFERROR(VLOOKUP(E525&amp;F525,IMPORTRANGE(""https://docs.google.com/spreadsheets/d/1Uw7-A9f9R21vMXxHZFNpYNeKFtG8_yji4HS352LGlSQ/edit?pli=1#gid=0"",""1_ACUM!A4:S""),19,FALSE))"),"")</f>
        <v/>
      </c>
      <c r="BG259" s="98" t="str">
        <f ca="1">IFERROR(__xludf.DUMMYFUNCTION("IFERROR(VLOOKUP(F525,IMPORTRANGE(""https://docs.google.com/spreadsheets/d/1Kvs4KS76FHFqLFIZfrDMff4kP08nblUkihrxltoGBjg/edit#gid=934712705"",""ESENCIAL!A6:BG""),5,FALSE))"),"")</f>
        <v/>
      </c>
      <c r="BH259" s="98" t="str">
        <f t="shared" si="21"/>
        <v/>
      </c>
      <c r="BI259" s="99" t="str">
        <f t="shared" si="22"/>
        <v/>
      </c>
      <c r="BJ259" s="100" t="str">
        <f ca="1">IFERROR(__xludf.DUMMYFUNCTION("IFERROR(VLOOKUP(F525,IMPORTRANGE(""https://docs.google.com/spreadsheets/d/1Kvs4KS76FHFqLFIZfrDMff4kP08nblUkihrxltoGBjg/edit#gid=934712705"",""ESENCIAL!A6:BG""),2,FALSE))"),"")</f>
        <v/>
      </c>
      <c r="BK259" s="19" t="str">
        <f t="shared" si="23"/>
        <v/>
      </c>
      <c r="BL259" s="100"/>
      <c r="BM259" s="100"/>
    </row>
    <row r="260" spans="2:65" ht="15">
      <c r="B260" s="39"/>
      <c r="C260" s="5"/>
      <c r="D260" s="123"/>
      <c r="E260" s="39"/>
      <c r="F260" s="39"/>
      <c r="G260" s="39"/>
      <c r="H260" s="5" t="str">
        <f ca="1">IFERROR(__xludf.DUMMYFUNCTION("IFERROR(VLOOKUP(F526,IMPORTRANGE(""https://docs.google.com/spreadsheets/d/1Kvs4KS76FHFqLFIZfrDMff4kP08nblUkihrxltoGBjg/edit#gid=934712705"",""ESENCIAL!A6:BG""),3,FALSE))"),"")</f>
        <v/>
      </c>
      <c r="I260" s="5" t="str">
        <f ca="1">IFERROR(__xludf.DUMMYFUNCTION("IFERROR(VLOOKUP(F526,IMPORTRANGE(""https://docs.google.com/spreadsheets/d/1Kvs4KS76FHFqLFIZfrDMff4kP08nblUkihrxltoGBjg/edit#gid=934712705"",""ESENCIAL!A6:BG""),8,FALSE))"),"")</f>
        <v/>
      </c>
      <c r="J260" s="39"/>
      <c r="M260" s="287"/>
      <c r="AV260" s="41" t="str">
        <f t="shared" si="20"/>
        <v/>
      </c>
      <c r="AW260" s="5" t="str">
        <f ca="1">IFERROR(__xludf.DUMMYFUNCTION("IFERROR(VLOOKUP(E526&amp;F526,IMPORTRANGE(""https://docs.google.com/spreadsheets/d/1Uw7-A9f9R21vMXxHZFNpYNeKFtG8_yji4HS352LGlSQ/edit?pli=1#gid=0"",""1_ACUM!A4:S""),11,FALSE))"),"")</f>
        <v/>
      </c>
      <c r="AX260" s="42" t="str">
        <f ca="1">IFERROR(__xludf.DUMMYFUNCTION("IFERROR(VLOOKUP(F526,IMPORTRANGE(""https://docs.google.com/spreadsheets/d/1Kvs4KS76FHFqLFIZfrDMff4kP08nblUkihrxltoGBjg/edit#gid=934712705"",""ESENCIAL!A6:BG""),15,FALSE))"),"")</f>
        <v/>
      </c>
      <c r="AY260" s="110" t="str">
        <f ca="1">IFERROR(__xludf.DUMMYFUNCTION("IFERROR(VLOOKUP(E526&amp;F526,IMPORTRANGE(""https://docs.google.com/spreadsheets/d/1Uw7-A9f9R21vMXxHZFNpYNeKFtG8_yji4HS352LGlSQ/edit?pli=1#gid=0"",""1_ACUM!A4:S""),13,FALSE))"),"")</f>
        <v/>
      </c>
      <c r="AZ260" s="43" t="str">
        <f ca="1">IFERROR(__xludf.DUMMYFUNCTION("IFERROR(VLOOKUP(E526&amp;F526,IMPORTRANGE(""https://docs.google.com/spreadsheets/d/1Uw7-A9f9R21vMXxHZFNpYNeKFtG8_yji4HS352LGlSQ/edit?pli=1#gid=0"",""1_ACUM!A4:S""),13,FALSE))"),"")</f>
        <v/>
      </c>
      <c r="BA260" s="43" t="str">
        <f ca="1">IFERROR(__xludf.DUMMYFUNCTION("IFERROR(VLOOKUP(E526&amp;F526,IMPORTRANGE(""https://docs.google.com/spreadsheets/d/1Uw7-A9f9R21vMXxHZFNpYNeKFtG8_yji4HS352LGlSQ/edit?pli=1#gid=0"",""1_ACUM!A4:S""),14,FALSE))"),"")</f>
        <v/>
      </c>
      <c r="BB260" s="43" t="str">
        <f ca="1">IFERROR(__xludf.DUMMYFUNCTION("IFERROR(VLOOKUP(E526&amp;F526,IMPORTRANGE(""https://docs.google.com/spreadsheets/d/1Uw7-A9f9R21vMXxHZFNpYNeKFtG8_yji4HS352LGlSQ/edit?pli=1#gid=0"",""1_ACUM!A4:S""),15,FALSE))"),"")</f>
        <v/>
      </c>
      <c r="BC260" s="43" t="str">
        <f ca="1">IFERROR(__xludf.DUMMYFUNCTION("IFERROR(VLOOKUP(E526&amp;F526,IMPORTRANGE(""https://docs.google.com/spreadsheets/d/1Uw7-A9f9R21vMXxHZFNpYNeKFtG8_yji4HS352LGlSQ/edit?pli=1#gid=0"",""1_ACUM!A4:S""),16,FALSE))"),"")</f>
        <v/>
      </c>
      <c r="BD260" s="43" t="str">
        <f ca="1">IFERROR(__xludf.DUMMYFUNCTION("IFERROR(VLOOKUP(E526&amp;F526,IMPORTRANGE(""https://docs.google.com/spreadsheets/d/1Uw7-A9f9R21vMXxHZFNpYNeKFtG8_yji4HS352LGlSQ/edit?pli=1#gid=0"",""1_ACUM!A4:S""),17,FALSE))"),"")</f>
        <v/>
      </c>
      <c r="BE260" s="44" t="str">
        <f ca="1">IFERROR(__xludf.DUMMYFUNCTION("IFERROR(VLOOKUP(E526&amp;F526,IMPORTRANGE(""https://docs.google.com/spreadsheets/d/1Uw7-A9f9R21vMXxHZFNpYNeKFtG8_yji4HS352LGlSQ/edit?pli=1#gid=0"",""1_ACUM!A4:S""),18,FALSE))"),"")</f>
        <v/>
      </c>
      <c r="BF260" s="44" t="str">
        <f ca="1">IFERROR(__xludf.DUMMYFUNCTION("IFERROR(VLOOKUP(E526&amp;F526,IMPORTRANGE(""https://docs.google.com/spreadsheets/d/1Uw7-A9f9R21vMXxHZFNpYNeKFtG8_yji4HS352LGlSQ/edit?pli=1#gid=0"",""1_ACUM!A4:S""),19,FALSE))"),"")</f>
        <v/>
      </c>
      <c r="BG260" s="98" t="str">
        <f ca="1">IFERROR(__xludf.DUMMYFUNCTION("IFERROR(VLOOKUP(F526,IMPORTRANGE(""https://docs.google.com/spreadsheets/d/1Kvs4KS76FHFqLFIZfrDMff4kP08nblUkihrxltoGBjg/edit#gid=934712705"",""ESENCIAL!A6:BG""),5,FALSE))"),"")</f>
        <v/>
      </c>
      <c r="BH260" s="98" t="str">
        <f t="shared" si="21"/>
        <v/>
      </c>
      <c r="BI260" s="99" t="str">
        <f t="shared" si="22"/>
        <v/>
      </c>
      <c r="BJ260" s="100" t="str">
        <f ca="1">IFERROR(__xludf.DUMMYFUNCTION("IFERROR(VLOOKUP(F526,IMPORTRANGE(""https://docs.google.com/spreadsheets/d/1Kvs4KS76FHFqLFIZfrDMff4kP08nblUkihrxltoGBjg/edit#gid=934712705"",""ESENCIAL!A6:BG""),2,FALSE))"),"")</f>
        <v/>
      </c>
      <c r="BK260" s="19" t="str">
        <f t="shared" si="23"/>
        <v/>
      </c>
      <c r="BL260" s="100"/>
      <c r="BM260" s="100"/>
    </row>
    <row r="261" spans="2:65" ht="15">
      <c r="B261" s="39"/>
      <c r="C261" s="5"/>
      <c r="D261" s="123"/>
      <c r="E261" s="39"/>
      <c r="F261" s="39"/>
      <c r="G261" s="39"/>
      <c r="H261" s="5" t="str">
        <f ca="1">IFERROR(__xludf.DUMMYFUNCTION("IFERROR(VLOOKUP(F527,IMPORTRANGE(""https://docs.google.com/spreadsheets/d/1Kvs4KS76FHFqLFIZfrDMff4kP08nblUkihrxltoGBjg/edit#gid=934712705"",""ESENCIAL!A6:BG""),3,FALSE))"),"")</f>
        <v/>
      </c>
      <c r="I261" s="5" t="str">
        <f ca="1">IFERROR(__xludf.DUMMYFUNCTION("IFERROR(VLOOKUP(F527,IMPORTRANGE(""https://docs.google.com/spreadsheets/d/1Kvs4KS76FHFqLFIZfrDMff4kP08nblUkihrxltoGBjg/edit#gid=934712705"",""ESENCIAL!A6:BG""),8,FALSE))"),"")</f>
        <v/>
      </c>
      <c r="J261" s="39"/>
      <c r="M261" s="287"/>
      <c r="AV261" s="41" t="str">
        <f t="shared" si="20"/>
        <v/>
      </c>
      <c r="AW261" s="5" t="str">
        <f ca="1">IFERROR(__xludf.DUMMYFUNCTION("IFERROR(VLOOKUP(E527&amp;F527,IMPORTRANGE(""https://docs.google.com/spreadsheets/d/1Uw7-A9f9R21vMXxHZFNpYNeKFtG8_yji4HS352LGlSQ/edit?pli=1#gid=0"",""1_ACUM!A4:S""),11,FALSE))"),"")</f>
        <v/>
      </c>
      <c r="AX261" s="42" t="str">
        <f ca="1">IFERROR(__xludf.DUMMYFUNCTION("IFERROR(VLOOKUP(F527,IMPORTRANGE(""https://docs.google.com/spreadsheets/d/1Kvs4KS76FHFqLFIZfrDMff4kP08nblUkihrxltoGBjg/edit#gid=934712705"",""ESENCIAL!A6:BG""),15,FALSE))"),"")</f>
        <v/>
      </c>
      <c r="AY261" s="110" t="str">
        <f ca="1">IFERROR(__xludf.DUMMYFUNCTION("IFERROR(VLOOKUP(E527&amp;F527,IMPORTRANGE(""https://docs.google.com/spreadsheets/d/1Uw7-A9f9R21vMXxHZFNpYNeKFtG8_yji4HS352LGlSQ/edit?pli=1#gid=0"",""1_ACUM!A4:S""),13,FALSE))"),"")</f>
        <v/>
      </c>
      <c r="AZ261" s="43" t="str">
        <f ca="1">IFERROR(__xludf.DUMMYFUNCTION("IFERROR(VLOOKUP(E527&amp;F527,IMPORTRANGE(""https://docs.google.com/spreadsheets/d/1Uw7-A9f9R21vMXxHZFNpYNeKFtG8_yji4HS352LGlSQ/edit?pli=1#gid=0"",""1_ACUM!A4:S""),13,FALSE))"),"")</f>
        <v/>
      </c>
      <c r="BA261" s="43" t="str">
        <f ca="1">IFERROR(__xludf.DUMMYFUNCTION("IFERROR(VLOOKUP(E527&amp;F527,IMPORTRANGE(""https://docs.google.com/spreadsheets/d/1Uw7-A9f9R21vMXxHZFNpYNeKFtG8_yji4HS352LGlSQ/edit?pli=1#gid=0"",""1_ACUM!A4:S""),14,FALSE))"),"")</f>
        <v/>
      </c>
      <c r="BB261" s="43" t="str">
        <f ca="1">IFERROR(__xludf.DUMMYFUNCTION("IFERROR(VLOOKUP(E527&amp;F527,IMPORTRANGE(""https://docs.google.com/spreadsheets/d/1Uw7-A9f9R21vMXxHZFNpYNeKFtG8_yji4HS352LGlSQ/edit?pli=1#gid=0"",""1_ACUM!A4:S""),15,FALSE))"),"")</f>
        <v/>
      </c>
      <c r="BC261" s="43" t="str">
        <f ca="1">IFERROR(__xludf.DUMMYFUNCTION("IFERROR(VLOOKUP(E527&amp;F527,IMPORTRANGE(""https://docs.google.com/spreadsheets/d/1Uw7-A9f9R21vMXxHZFNpYNeKFtG8_yji4HS352LGlSQ/edit?pli=1#gid=0"",""1_ACUM!A4:S""),16,FALSE))"),"")</f>
        <v/>
      </c>
      <c r="BD261" s="43" t="str">
        <f ca="1">IFERROR(__xludf.DUMMYFUNCTION("IFERROR(VLOOKUP(E527&amp;F527,IMPORTRANGE(""https://docs.google.com/spreadsheets/d/1Uw7-A9f9R21vMXxHZFNpYNeKFtG8_yji4HS352LGlSQ/edit?pli=1#gid=0"",""1_ACUM!A4:S""),17,FALSE))"),"")</f>
        <v/>
      </c>
      <c r="BE261" s="44" t="str">
        <f ca="1">IFERROR(__xludf.DUMMYFUNCTION("IFERROR(VLOOKUP(E527&amp;F527,IMPORTRANGE(""https://docs.google.com/spreadsheets/d/1Uw7-A9f9R21vMXxHZFNpYNeKFtG8_yji4HS352LGlSQ/edit?pli=1#gid=0"",""1_ACUM!A4:S""),18,FALSE))"),"")</f>
        <v/>
      </c>
      <c r="BF261" s="44" t="str">
        <f ca="1">IFERROR(__xludf.DUMMYFUNCTION("IFERROR(VLOOKUP(E527&amp;F527,IMPORTRANGE(""https://docs.google.com/spreadsheets/d/1Uw7-A9f9R21vMXxHZFNpYNeKFtG8_yji4HS352LGlSQ/edit?pli=1#gid=0"",""1_ACUM!A4:S""),19,FALSE))"),"")</f>
        <v/>
      </c>
      <c r="BG261" s="98" t="str">
        <f ca="1">IFERROR(__xludf.DUMMYFUNCTION("IFERROR(VLOOKUP(F527,IMPORTRANGE(""https://docs.google.com/spreadsheets/d/1Kvs4KS76FHFqLFIZfrDMff4kP08nblUkihrxltoGBjg/edit#gid=934712705"",""ESENCIAL!A6:BG""),5,FALSE))"),"")</f>
        <v/>
      </c>
      <c r="BH261" s="98" t="str">
        <f t="shared" si="21"/>
        <v/>
      </c>
      <c r="BI261" s="99" t="str">
        <f t="shared" si="22"/>
        <v/>
      </c>
      <c r="BJ261" s="100" t="str">
        <f ca="1">IFERROR(__xludf.DUMMYFUNCTION("IFERROR(VLOOKUP(F527,IMPORTRANGE(""https://docs.google.com/spreadsheets/d/1Kvs4KS76FHFqLFIZfrDMff4kP08nblUkihrxltoGBjg/edit#gid=934712705"",""ESENCIAL!A6:BG""),2,FALSE))"),"")</f>
        <v/>
      </c>
      <c r="BK261" s="19" t="str">
        <f t="shared" si="23"/>
        <v/>
      </c>
      <c r="BL261" s="100"/>
      <c r="BM261" s="100"/>
    </row>
    <row r="262" spans="2:65" ht="15">
      <c r="B262" s="39"/>
      <c r="C262" s="5"/>
      <c r="D262" s="123"/>
      <c r="E262" s="39"/>
      <c r="F262" s="39"/>
      <c r="G262" s="39"/>
      <c r="H262" s="5" t="str">
        <f ca="1">IFERROR(__xludf.DUMMYFUNCTION("IFERROR(VLOOKUP(F528,IMPORTRANGE(""https://docs.google.com/spreadsheets/d/1Kvs4KS76FHFqLFIZfrDMff4kP08nblUkihrxltoGBjg/edit#gid=934712705"",""ESENCIAL!A6:BG""),3,FALSE))"),"")</f>
        <v/>
      </c>
      <c r="I262" s="5" t="str">
        <f ca="1">IFERROR(__xludf.DUMMYFUNCTION("IFERROR(VLOOKUP(F528,IMPORTRANGE(""https://docs.google.com/spreadsheets/d/1Kvs4KS76FHFqLFIZfrDMff4kP08nblUkihrxltoGBjg/edit#gid=934712705"",""ESENCIAL!A6:BG""),8,FALSE))"),"")</f>
        <v/>
      </c>
      <c r="J262" s="39"/>
      <c r="M262" s="287"/>
      <c r="AV262" s="41" t="str">
        <f t="shared" si="20"/>
        <v/>
      </c>
      <c r="AW262" s="5" t="str">
        <f ca="1">IFERROR(__xludf.DUMMYFUNCTION("IFERROR(VLOOKUP(E528&amp;F528,IMPORTRANGE(""https://docs.google.com/spreadsheets/d/1Uw7-A9f9R21vMXxHZFNpYNeKFtG8_yji4HS352LGlSQ/edit?pli=1#gid=0"",""1_ACUM!A4:S""),11,FALSE))"),"")</f>
        <v/>
      </c>
      <c r="AX262" s="42" t="str">
        <f ca="1">IFERROR(__xludf.DUMMYFUNCTION("IFERROR(VLOOKUP(F528,IMPORTRANGE(""https://docs.google.com/spreadsheets/d/1Kvs4KS76FHFqLFIZfrDMff4kP08nblUkihrxltoGBjg/edit#gid=934712705"",""ESENCIAL!A6:BG""),15,FALSE))"),"")</f>
        <v/>
      </c>
      <c r="AY262" s="110" t="str">
        <f ca="1">IFERROR(__xludf.DUMMYFUNCTION("IFERROR(VLOOKUP(E528&amp;F528,IMPORTRANGE(""https://docs.google.com/spreadsheets/d/1Uw7-A9f9R21vMXxHZFNpYNeKFtG8_yji4HS352LGlSQ/edit?pli=1#gid=0"",""1_ACUM!A4:S""),13,FALSE))"),"")</f>
        <v/>
      </c>
      <c r="AZ262" s="43" t="str">
        <f ca="1">IFERROR(__xludf.DUMMYFUNCTION("IFERROR(VLOOKUP(E528&amp;F528,IMPORTRANGE(""https://docs.google.com/spreadsheets/d/1Uw7-A9f9R21vMXxHZFNpYNeKFtG8_yji4HS352LGlSQ/edit?pli=1#gid=0"",""1_ACUM!A4:S""),13,FALSE))"),"")</f>
        <v/>
      </c>
      <c r="BA262" s="43" t="str">
        <f ca="1">IFERROR(__xludf.DUMMYFUNCTION("IFERROR(VLOOKUP(E528&amp;F528,IMPORTRANGE(""https://docs.google.com/spreadsheets/d/1Uw7-A9f9R21vMXxHZFNpYNeKFtG8_yji4HS352LGlSQ/edit?pli=1#gid=0"",""1_ACUM!A4:S""),14,FALSE))"),"")</f>
        <v/>
      </c>
      <c r="BB262" s="43" t="str">
        <f ca="1">IFERROR(__xludf.DUMMYFUNCTION("IFERROR(VLOOKUP(E528&amp;F528,IMPORTRANGE(""https://docs.google.com/spreadsheets/d/1Uw7-A9f9R21vMXxHZFNpYNeKFtG8_yji4HS352LGlSQ/edit?pli=1#gid=0"",""1_ACUM!A4:S""),15,FALSE))"),"")</f>
        <v/>
      </c>
      <c r="BC262" s="43" t="str">
        <f ca="1">IFERROR(__xludf.DUMMYFUNCTION("IFERROR(VLOOKUP(E528&amp;F528,IMPORTRANGE(""https://docs.google.com/spreadsheets/d/1Uw7-A9f9R21vMXxHZFNpYNeKFtG8_yji4HS352LGlSQ/edit?pli=1#gid=0"",""1_ACUM!A4:S""),16,FALSE))"),"")</f>
        <v/>
      </c>
      <c r="BD262" s="43" t="str">
        <f ca="1">IFERROR(__xludf.DUMMYFUNCTION("IFERROR(VLOOKUP(E528&amp;F528,IMPORTRANGE(""https://docs.google.com/spreadsheets/d/1Uw7-A9f9R21vMXxHZFNpYNeKFtG8_yji4HS352LGlSQ/edit?pli=1#gid=0"",""1_ACUM!A4:S""),17,FALSE))"),"")</f>
        <v/>
      </c>
      <c r="BE262" s="44" t="str">
        <f ca="1">IFERROR(__xludf.DUMMYFUNCTION("IFERROR(VLOOKUP(E528&amp;F528,IMPORTRANGE(""https://docs.google.com/spreadsheets/d/1Uw7-A9f9R21vMXxHZFNpYNeKFtG8_yji4HS352LGlSQ/edit?pli=1#gid=0"",""1_ACUM!A4:S""),18,FALSE))"),"")</f>
        <v/>
      </c>
      <c r="BF262" s="44" t="str">
        <f ca="1">IFERROR(__xludf.DUMMYFUNCTION("IFERROR(VLOOKUP(E528&amp;F528,IMPORTRANGE(""https://docs.google.com/spreadsheets/d/1Uw7-A9f9R21vMXxHZFNpYNeKFtG8_yji4HS352LGlSQ/edit?pli=1#gid=0"",""1_ACUM!A4:S""),19,FALSE))"),"")</f>
        <v/>
      </c>
      <c r="BG262" s="98" t="str">
        <f ca="1">IFERROR(__xludf.DUMMYFUNCTION("IFERROR(VLOOKUP(F528,IMPORTRANGE(""https://docs.google.com/spreadsheets/d/1Kvs4KS76FHFqLFIZfrDMff4kP08nblUkihrxltoGBjg/edit#gid=934712705"",""ESENCIAL!A6:BG""),5,FALSE))"),"")</f>
        <v/>
      </c>
      <c r="BH262" s="98" t="str">
        <f t="shared" si="21"/>
        <v/>
      </c>
      <c r="BI262" s="99" t="str">
        <f t="shared" si="22"/>
        <v/>
      </c>
      <c r="BJ262" s="100" t="str">
        <f ca="1">IFERROR(__xludf.DUMMYFUNCTION("IFERROR(VLOOKUP(F528,IMPORTRANGE(""https://docs.google.com/spreadsheets/d/1Kvs4KS76FHFqLFIZfrDMff4kP08nblUkihrxltoGBjg/edit#gid=934712705"",""ESENCIAL!A6:BG""),2,FALSE))"),"")</f>
        <v/>
      </c>
      <c r="BK262" s="19" t="str">
        <f t="shared" si="23"/>
        <v/>
      </c>
      <c r="BL262" s="100"/>
      <c r="BM262" s="100"/>
    </row>
    <row r="263" spans="2:65" ht="15">
      <c r="B263" s="39"/>
      <c r="C263" s="5"/>
      <c r="D263" s="123"/>
      <c r="E263" s="39"/>
      <c r="F263" s="39"/>
      <c r="G263" s="39"/>
      <c r="H263" s="5" t="str">
        <f ca="1">IFERROR(__xludf.DUMMYFUNCTION("IFERROR(VLOOKUP(F529,IMPORTRANGE(""https://docs.google.com/spreadsheets/d/1Kvs4KS76FHFqLFIZfrDMff4kP08nblUkihrxltoGBjg/edit#gid=934712705"",""ESENCIAL!A6:BG""),3,FALSE))"),"")</f>
        <v/>
      </c>
      <c r="I263" s="5" t="str">
        <f ca="1">IFERROR(__xludf.DUMMYFUNCTION("IFERROR(VLOOKUP(F529,IMPORTRANGE(""https://docs.google.com/spreadsheets/d/1Kvs4KS76FHFqLFIZfrDMff4kP08nblUkihrxltoGBjg/edit#gid=934712705"",""ESENCIAL!A6:BG""),8,FALSE))"),"")</f>
        <v/>
      </c>
      <c r="J263" s="39"/>
      <c r="M263" s="287"/>
      <c r="AV263" s="41" t="str">
        <f t="shared" si="20"/>
        <v/>
      </c>
      <c r="AW263" s="5" t="str">
        <f ca="1">IFERROR(__xludf.DUMMYFUNCTION("IFERROR(VLOOKUP(E529&amp;F529,IMPORTRANGE(""https://docs.google.com/spreadsheets/d/1Uw7-A9f9R21vMXxHZFNpYNeKFtG8_yji4HS352LGlSQ/edit?pli=1#gid=0"",""1_ACUM!A4:S""),11,FALSE))"),"")</f>
        <v/>
      </c>
      <c r="AX263" s="42" t="str">
        <f ca="1">IFERROR(__xludf.DUMMYFUNCTION("IFERROR(VLOOKUP(F529,IMPORTRANGE(""https://docs.google.com/spreadsheets/d/1Kvs4KS76FHFqLFIZfrDMff4kP08nblUkihrxltoGBjg/edit#gid=934712705"",""ESENCIAL!A6:BG""),15,FALSE))"),"")</f>
        <v/>
      </c>
      <c r="AY263" s="110" t="str">
        <f ca="1">IFERROR(__xludf.DUMMYFUNCTION("IFERROR(VLOOKUP(E529&amp;F529,IMPORTRANGE(""https://docs.google.com/spreadsheets/d/1Uw7-A9f9R21vMXxHZFNpYNeKFtG8_yji4HS352LGlSQ/edit?pli=1#gid=0"",""1_ACUM!A4:S""),13,FALSE))"),"")</f>
        <v/>
      </c>
      <c r="AZ263" s="43" t="str">
        <f ca="1">IFERROR(__xludf.DUMMYFUNCTION("IFERROR(VLOOKUP(E529&amp;F529,IMPORTRANGE(""https://docs.google.com/spreadsheets/d/1Uw7-A9f9R21vMXxHZFNpYNeKFtG8_yji4HS352LGlSQ/edit?pli=1#gid=0"",""1_ACUM!A4:S""),13,FALSE))"),"")</f>
        <v/>
      </c>
      <c r="BA263" s="43" t="str">
        <f ca="1">IFERROR(__xludf.DUMMYFUNCTION("IFERROR(VLOOKUP(E529&amp;F529,IMPORTRANGE(""https://docs.google.com/spreadsheets/d/1Uw7-A9f9R21vMXxHZFNpYNeKFtG8_yji4HS352LGlSQ/edit?pli=1#gid=0"",""1_ACUM!A4:S""),14,FALSE))"),"")</f>
        <v/>
      </c>
      <c r="BB263" s="43" t="str">
        <f ca="1">IFERROR(__xludf.DUMMYFUNCTION("IFERROR(VLOOKUP(E529&amp;F529,IMPORTRANGE(""https://docs.google.com/spreadsheets/d/1Uw7-A9f9R21vMXxHZFNpYNeKFtG8_yji4HS352LGlSQ/edit?pli=1#gid=0"",""1_ACUM!A4:S""),15,FALSE))"),"")</f>
        <v/>
      </c>
      <c r="BC263" s="43" t="str">
        <f ca="1">IFERROR(__xludf.DUMMYFUNCTION("IFERROR(VLOOKUP(E529&amp;F529,IMPORTRANGE(""https://docs.google.com/spreadsheets/d/1Uw7-A9f9R21vMXxHZFNpYNeKFtG8_yji4HS352LGlSQ/edit?pli=1#gid=0"",""1_ACUM!A4:S""),16,FALSE))"),"")</f>
        <v/>
      </c>
      <c r="BD263" s="43" t="str">
        <f ca="1">IFERROR(__xludf.DUMMYFUNCTION("IFERROR(VLOOKUP(E529&amp;F529,IMPORTRANGE(""https://docs.google.com/spreadsheets/d/1Uw7-A9f9R21vMXxHZFNpYNeKFtG8_yji4HS352LGlSQ/edit?pli=1#gid=0"",""1_ACUM!A4:S""),17,FALSE))"),"")</f>
        <v/>
      </c>
      <c r="BE263" s="44" t="str">
        <f ca="1">IFERROR(__xludf.DUMMYFUNCTION("IFERROR(VLOOKUP(E529&amp;F529,IMPORTRANGE(""https://docs.google.com/spreadsheets/d/1Uw7-A9f9R21vMXxHZFNpYNeKFtG8_yji4HS352LGlSQ/edit?pli=1#gid=0"",""1_ACUM!A4:S""),18,FALSE))"),"")</f>
        <v/>
      </c>
      <c r="BF263" s="44" t="str">
        <f ca="1">IFERROR(__xludf.DUMMYFUNCTION("IFERROR(VLOOKUP(E529&amp;F529,IMPORTRANGE(""https://docs.google.com/spreadsheets/d/1Uw7-A9f9R21vMXxHZFNpYNeKFtG8_yji4HS352LGlSQ/edit?pli=1#gid=0"",""1_ACUM!A4:S""),19,FALSE))"),"")</f>
        <v/>
      </c>
      <c r="BG263" s="98" t="str">
        <f ca="1">IFERROR(__xludf.DUMMYFUNCTION("IFERROR(VLOOKUP(F529,IMPORTRANGE(""https://docs.google.com/spreadsheets/d/1Kvs4KS76FHFqLFIZfrDMff4kP08nblUkihrxltoGBjg/edit#gid=934712705"",""ESENCIAL!A6:BG""),5,FALSE))"),"")</f>
        <v/>
      </c>
      <c r="BH263" s="98" t="str">
        <f t="shared" si="21"/>
        <v/>
      </c>
      <c r="BI263" s="99" t="str">
        <f t="shared" si="22"/>
        <v/>
      </c>
      <c r="BJ263" s="100" t="str">
        <f ca="1">IFERROR(__xludf.DUMMYFUNCTION("IFERROR(VLOOKUP(F529,IMPORTRANGE(""https://docs.google.com/spreadsheets/d/1Kvs4KS76FHFqLFIZfrDMff4kP08nblUkihrxltoGBjg/edit#gid=934712705"",""ESENCIAL!A6:BG""),2,FALSE))"),"")</f>
        <v/>
      </c>
      <c r="BK263" s="19" t="str">
        <f t="shared" si="23"/>
        <v/>
      </c>
      <c r="BL263" s="100"/>
      <c r="BM263" s="100"/>
    </row>
    <row r="264" spans="2:65" ht="15">
      <c r="B264" s="39"/>
      <c r="C264" s="5"/>
      <c r="D264" s="123"/>
      <c r="E264" s="39"/>
      <c r="F264" s="39"/>
      <c r="G264" s="39"/>
      <c r="H264" s="5" t="str">
        <f ca="1">IFERROR(__xludf.DUMMYFUNCTION("IFERROR(VLOOKUP(F530,IMPORTRANGE(""https://docs.google.com/spreadsheets/d/1Kvs4KS76FHFqLFIZfrDMff4kP08nblUkihrxltoGBjg/edit#gid=934712705"",""ESENCIAL!A6:BG""),3,FALSE))"),"")</f>
        <v/>
      </c>
      <c r="I264" s="5" t="str">
        <f ca="1">IFERROR(__xludf.DUMMYFUNCTION("IFERROR(VLOOKUP(F530,IMPORTRANGE(""https://docs.google.com/spreadsheets/d/1Kvs4KS76FHFqLFIZfrDMff4kP08nblUkihrxltoGBjg/edit#gid=934712705"",""ESENCIAL!A6:BG""),8,FALSE))"),"")</f>
        <v/>
      </c>
      <c r="J264" s="39"/>
      <c r="M264" s="287"/>
      <c r="AV264" s="41" t="str">
        <f t="shared" si="20"/>
        <v/>
      </c>
      <c r="AW264" s="5" t="str">
        <f ca="1">IFERROR(__xludf.DUMMYFUNCTION("IFERROR(VLOOKUP(E530&amp;F530,IMPORTRANGE(""https://docs.google.com/spreadsheets/d/1Uw7-A9f9R21vMXxHZFNpYNeKFtG8_yji4HS352LGlSQ/edit?pli=1#gid=0"",""1_ACUM!A4:S""),11,FALSE))"),"")</f>
        <v/>
      </c>
      <c r="AX264" s="42" t="str">
        <f ca="1">IFERROR(__xludf.DUMMYFUNCTION("IFERROR(VLOOKUP(F530,IMPORTRANGE(""https://docs.google.com/spreadsheets/d/1Kvs4KS76FHFqLFIZfrDMff4kP08nblUkihrxltoGBjg/edit#gid=934712705"",""ESENCIAL!A6:BG""),15,FALSE))"),"")</f>
        <v/>
      </c>
      <c r="AY264" s="110" t="str">
        <f ca="1">IFERROR(__xludf.DUMMYFUNCTION("IFERROR(VLOOKUP(E530&amp;F530,IMPORTRANGE(""https://docs.google.com/spreadsheets/d/1Uw7-A9f9R21vMXxHZFNpYNeKFtG8_yji4HS352LGlSQ/edit?pli=1#gid=0"",""1_ACUM!A4:S""),13,FALSE))"),"")</f>
        <v/>
      </c>
      <c r="AZ264" s="43" t="str">
        <f ca="1">IFERROR(__xludf.DUMMYFUNCTION("IFERROR(VLOOKUP(E530&amp;F530,IMPORTRANGE(""https://docs.google.com/spreadsheets/d/1Uw7-A9f9R21vMXxHZFNpYNeKFtG8_yji4HS352LGlSQ/edit?pli=1#gid=0"",""1_ACUM!A4:S""),13,FALSE))"),"")</f>
        <v/>
      </c>
      <c r="BA264" s="43" t="str">
        <f ca="1">IFERROR(__xludf.DUMMYFUNCTION("IFERROR(VLOOKUP(E530&amp;F530,IMPORTRANGE(""https://docs.google.com/spreadsheets/d/1Uw7-A9f9R21vMXxHZFNpYNeKFtG8_yji4HS352LGlSQ/edit?pli=1#gid=0"",""1_ACUM!A4:S""),14,FALSE))"),"")</f>
        <v/>
      </c>
      <c r="BB264" s="43" t="str">
        <f ca="1">IFERROR(__xludf.DUMMYFUNCTION("IFERROR(VLOOKUP(E530&amp;F530,IMPORTRANGE(""https://docs.google.com/spreadsheets/d/1Uw7-A9f9R21vMXxHZFNpYNeKFtG8_yji4HS352LGlSQ/edit?pli=1#gid=0"",""1_ACUM!A4:S""),15,FALSE))"),"")</f>
        <v/>
      </c>
      <c r="BC264" s="43" t="str">
        <f ca="1">IFERROR(__xludf.DUMMYFUNCTION("IFERROR(VLOOKUP(E530&amp;F530,IMPORTRANGE(""https://docs.google.com/spreadsheets/d/1Uw7-A9f9R21vMXxHZFNpYNeKFtG8_yji4HS352LGlSQ/edit?pli=1#gid=0"",""1_ACUM!A4:S""),16,FALSE))"),"")</f>
        <v/>
      </c>
      <c r="BD264" s="43" t="str">
        <f ca="1">IFERROR(__xludf.DUMMYFUNCTION("IFERROR(VLOOKUP(E530&amp;F530,IMPORTRANGE(""https://docs.google.com/spreadsheets/d/1Uw7-A9f9R21vMXxHZFNpYNeKFtG8_yji4HS352LGlSQ/edit?pli=1#gid=0"",""1_ACUM!A4:S""),17,FALSE))"),"")</f>
        <v/>
      </c>
      <c r="BE264" s="44" t="str">
        <f ca="1">IFERROR(__xludf.DUMMYFUNCTION("IFERROR(VLOOKUP(E530&amp;F530,IMPORTRANGE(""https://docs.google.com/spreadsheets/d/1Uw7-A9f9R21vMXxHZFNpYNeKFtG8_yji4HS352LGlSQ/edit?pli=1#gid=0"",""1_ACUM!A4:S""),18,FALSE))"),"")</f>
        <v/>
      </c>
      <c r="BF264" s="44" t="str">
        <f ca="1">IFERROR(__xludf.DUMMYFUNCTION("IFERROR(VLOOKUP(E530&amp;F530,IMPORTRANGE(""https://docs.google.com/spreadsheets/d/1Uw7-A9f9R21vMXxHZFNpYNeKFtG8_yji4HS352LGlSQ/edit?pli=1#gid=0"",""1_ACUM!A4:S""),19,FALSE))"),"")</f>
        <v/>
      </c>
      <c r="BG264" s="98" t="str">
        <f ca="1">IFERROR(__xludf.DUMMYFUNCTION("IFERROR(VLOOKUP(F530,IMPORTRANGE(""https://docs.google.com/spreadsheets/d/1Kvs4KS76FHFqLFIZfrDMff4kP08nblUkihrxltoGBjg/edit#gid=934712705"",""ESENCIAL!A6:BG""),5,FALSE))"),"")</f>
        <v/>
      </c>
      <c r="BH264" s="98" t="str">
        <f t="shared" si="21"/>
        <v/>
      </c>
      <c r="BI264" s="99" t="str">
        <f t="shared" si="22"/>
        <v/>
      </c>
      <c r="BJ264" s="100" t="str">
        <f ca="1">IFERROR(__xludf.DUMMYFUNCTION("IFERROR(VLOOKUP(F530,IMPORTRANGE(""https://docs.google.com/spreadsheets/d/1Kvs4KS76FHFqLFIZfrDMff4kP08nblUkihrxltoGBjg/edit#gid=934712705"",""ESENCIAL!A6:BG""),2,FALSE))"),"")</f>
        <v/>
      </c>
      <c r="BK264" s="19" t="str">
        <f t="shared" si="23"/>
        <v/>
      </c>
      <c r="BL264" s="100"/>
      <c r="BM264" s="100"/>
    </row>
    <row r="265" spans="2:65" ht="15">
      <c r="B265" s="39"/>
      <c r="C265" s="5"/>
      <c r="D265" s="123"/>
      <c r="E265" s="39"/>
      <c r="F265" s="39"/>
      <c r="G265" s="39"/>
      <c r="H265" s="5" t="str">
        <f ca="1">IFERROR(__xludf.DUMMYFUNCTION("IFERROR(VLOOKUP(F531,IMPORTRANGE(""https://docs.google.com/spreadsheets/d/1Kvs4KS76FHFqLFIZfrDMff4kP08nblUkihrxltoGBjg/edit#gid=934712705"",""ESENCIAL!A6:BG""),3,FALSE))"),"")</f>
        <v/>
      </c>
      <c r="I265" s="5" t="str">
        <f ca="1">IFERROR(__xludf.DUMMYFUNCTION("IFERROR(VLOOKUP(F531,IMPORTRANGE(""https://docs.google.com/spreadsheets/d/1Kvs4KS76FHFqLFIZfrDMff4kP08nblUkihrxltoGBjg/edit#gid=934712705"",""ESENCIAL!A6:BG""),8,FALSE))"),"")</f>
        <v/>
      </c>
      <c r="J265" s="39"/>
      <c r="M265" s="287"/>
      <c r="AV265" s="41" t="str">
        <f t="shared" si="20"/>
        <v/>
      </c>
      <c r="AW265" s="5" t="str">
        <f ca="1">IFERROR(__xludf.DUMMYFUNCTION("IFERROR(VLOOKUP(E531&amp;F531,IMPORTRANGE(""https://docs.google.com/spreadsheets/d/1Uw7-A9f9R21vMXxHZFNpYNeKFtG8_yji4HS352LGlSQ/edit?pli=1#gid=0"",""1_ACUM!A4:S""),11,FALSE))"),"")</f>
        <v/>
      </c>
      <c r="AX265" s="42" t="str">
        <f ca="1">IFERROR(__xludf.DUMMYFUNCTION("IFERROR(VLOOKUP(F531,IMPORTRANGE(""https://docs.google.com/spreadsheets/d/1Kvs4KS76FHFqLFIZfrDMff4kP08nblUkihrxltoGBjg/edit#gid=934712705"",""ESENCIAL!A6:BG""),15,FALSE))"),"")</f>
        <v/>
      </c>
      <c r="AY265" s="110" t="str">
        <f ca="1">IFERROR(__xludf.DUMMYFUNCTION("IFERROR(VLOOKUP(E531&amp;F531,IMPORTRANGE(""https://docs.google.com/spreadsheets/d/1Uw7-A9f9R21vMXxHZFNpYNeKFtG8_yji4HS352LGlSQ/edit?pli=1#gid=0"",""1_ACUM!A4:S""),13,FALSE))"),"")</f>
        <v/>
      </c>
      <c r="AZ265" s="43" t="str">
        <f ca="1">IFERROR(__xludf.DUMMYFUNCTION("IFERROR(VLOOKUP(E531&amp;F531,IMPORTRANGE(""https://docs.google.com/spreadsheets/d/1Uw7-A9f9R21vMXxHZFNpYNeKFtG8_yji4HS352LGlSQ/edit?pli=1#gid=0"",""1_ACUM!A4:S""),13,FALSE))"),"")</f>
        <v/>
      </c>
      <c r="BA265" s="43" t="str">
        <f ca="1">IFERROR(__xludf.DUMMYFUNCTION("IFERROR(VLOOKUP(E531&amp;F531,IMPORTRANGE(""https://docs.google.com/spreadsheets/d/1Uw7-A9f9R21vMXxHZFNpYNeKFtG8_yji4HS352LGlSQ/edit?pli=1#gid=0"",""1_ACUM!A4:S""),14,FALSE))"),"")</f>
        <v/>
      </c>
      <c r="BB265" s="43" t="str">
        <f ca="1">IFERROR(__xludf.DUMMYFUNCTION("IFERROR(VLOOKUP(E531&amp;F531,IMPORTRANGE(""https://docs.google.com/spreadsheets/d/1Uw7-A9f9R21vMXxHZFNpYNeKFtG8_yji4HS352LGlSQ/edit?pli=1#gid=0"",""1_ACUM!A4:S""),15,FALSE))"),"")</f>
        <v/>
      </c>
      <c r="BC265" s="43" t="str">
        <f ca="1">IFERROR(__xludf.DUMMYFUNCTION("IFERROR(VLOOKUP(E531&amp;F531,IMPORTRANGE(""https://docs.google.com/spreadsheets/d/1Uw7-A9f9R21vMXxHZFNpYNeKFtG8_yji4HS352LGlSQ/edit?pli=1#gid=0"",""1_ACUM!A4:S""),16,FALSE))"),"")</f>
        <v/>
      </c>
      <c r="BD265" s="43" t="str">
        <f ca="1">IFERROR(__xludf.DUMMYFUNCTION("IFERROR(VLOOKUP(E531&amp;F531,IMPORTRANGE(""https://docs.google.com/spreadsheets/d/1Uw7-A9f9R21vMXxHZFNpYNeKFtG8_yji4HS352LGlSQ/edit?pli=1#gid=0"",""1_ACUM!A4:S""),17,FALSE))"),"")</f>
        <v/>
      </c>
      <c r="BE265" s="44" t="str">
        <f ca="1">IFERROR(__xludf.DUMMYFUNCTION("IFERROR(VLOOKUP(E531&amp;F531,IMPORTRANGE(""https://docs.google.com/spreadsheets/d/1Uw7-A9f9R21vMXxHZFNpYNeKFtG8_yji4HS352LGlSQ/edit?pli=1#gid=0"",""1_ACUM!A4:S""),18,FALSE))"),"")</f>
        <v/>
      </c>
      <c r="BF265" s="44" t="str">
        <f ca="1">IFERROR(__xludf.DUMMYFUNCTION("IFERROR(VLOOKUP(E531&amp;F531,IMPORTRANGE(""https://docs.google.com/spreadsheets/d/1Uw7-A9f9R21vMXxHZFNpYNeKFtG8_yji4HS352LGlSQ/edit?pli=1#gid=0"",""1_ACUM!A4:S""),19,FALSE))"),"")</f>
        <v/>
      </c>
      <c r="BG265" s="98" t="str">
        <f ca="1">IFERROR(__xludf.DUMMYFUNCTION("IFERROR(VLOOKUP(F531,IMPORTRANGE(""https://docs.google.com/spreadsheets/d/1Kvs4KS76FHFqLFIZfrDMff4kP08nblUkihrxltoGBjg/edit#gid=934712705"",""ESENCIAL!A6:BG""),5,FALSE))"),"")</f>
        <v/>
      </c>
      <c r="BH265" s="98" t="str">
        <f t="shared" si="21"/>
        <v/>
      </c>
      <c r="BI265" s="99" t="str">
        <f t="shared" si="22"/>
        <v/>
      </c>
      <c r="BJ265" s="100" t="str">
        <f ca="1">IFERROR(__xludf.DUMMYFUNCTION("IFERROR(VLOOKUP(F531,IMPORTRANGE(""https://docs.google.com/spreadsheets/d/1Kvs4KS76FHFqLFIZfrDMff4kP08nblUkihrxltoGBjg/edit#gid=934712705"",""ESENCIAL!A6:BG""),2,FALSE))"),"")</f>
        <v/>
      </c>
      <c r="BK265" s="19" t="str">
        <f t="shared" si="23"/>
        <v/>
      </c>
      <c r="BL265" s="100"/>
      <c r="BM265" s="100"/>
    </row>
    <row r="266" spans="2:65" ht="15">
      <c r="B266" s="39"/>
      <c r="C266" s="5"/>
      <c r="D266" s="123"/>
      <c r="E266" s="39"/>
      <c r="F266" s="39"/>
      <c r="G266" s="39"/>
      <c r="H266" s="5" t="str">
        <f ca="1">IFERROR(__xludf.DUMMYFUNCTION("IFERROR(VLOOKUP(F532,IMPORTRANGE(""https://docs.google.com/spreadsheets/d/1Kvs4KS76FHFqLFIZfrDMff4kP08nblUkihrxltoGBjg/edit#gid=934712705"",""ESENCIAL!A6:BG""),3,FALSE))"),"")</f>
        <v/>
      </c>
      <c r="I266" s="5" t="str">
        <f ca="1">IFERROR(__xludf.DUMMYFUNCTION("IFERROR(VLOOKUP(F532,IMPORTRANGE(""https://docs.google.com/spreadsheets/d/1Kvs4KS76FHFqLFIZfrDMff4kP08nblUkihrxltoGBjg/edit#gid=934712705"",""ESENCIAL!A6:BG""),8,FALSE))"),"")</f>
        <v/>
      </c>
      <c r="J266" s="39"/>
      <c r="M266" s="287"/>
      <c r="AV266" s="41" t="str">
        <f t="shared" si="20"/>
        <v/>
      </c>
      <c r="AW266" s="5" t="str">
        <f ca="1">IFERROR(__xludf.DUMMYFUNCTION("IFERROR(VLOOKUP(E532&amp;F532,IMPORTRANGE(""https://docs.google.com/spreadsheets/d/1Uw7-A9f9R21vMXxHZFNpYNeKFtG8_yji4HS352LGlSQ/edit?pli=1#gid=0"",""1_ACUM!A4:S""),11,FALSE))"),"")</f>
        <v/>
      </c>
      <c r="AX266" s="42" t="str">
        <f ca="1">IFERROR(__xludf.DUMMYFUNCTION("IFERROR(VLOOKUP(F532,IMPORTRANGE(""https://docs.google.com/spreadsheets/d/1Kvs4KS76FHFqLFIZfrDMff4kP08nblUkihrxltoGBjg/edit#gid=934712705"",""ESENCIAL!A6:BG""),15,FALSE))"),"")</f>
        <v/>
      </c>
      <c r="AY266" s="110" t="str">
        <f ca="1">IFERROR(__xludf.DUMMYFUNCTION("IFERROR(VLOOKUP(E532&amp;F532,IMPORTRANGE(""https://docs.google.com/spreadsheets/d/1Uw7-A9f9R21vMXxHZFNpYNeKFtG8_yji4HS352LGlSQ/edit?pli=1#gid=0"",""1_ACUM!A4:S""),13,FALSE))"),"")</f>
        <v/>
      </c>
      <c r="AZ266" s="43" t="str">
        <f ca="1">IFERROR(__xludf.DUMMYFUNCTION("IFERROR(VLOOKUP(E532&amp;F532,IMPORTRANGE(""https://docs.google.com/spreadsheets/d/1Uw7-A9f9R21vMXxHZFNpYNeKFtG8_yji4HS352LGlSQ/edit?pli=1#gid=0"",""1_ACUM!A4:S""),13,FALSE))"),"")</f>
        <v/>
      </c>
      <c r="BA266" s="43" t="str">
        <f ca="1">IFERROR(__xludf.DUMMYFUNCTION("IFERROR(VLOOKUP(E532&amp;F532,IMPORTRANGE(""https://docs.google.com/spreadsheets/d/1Uw7-A9f9R21vMXxHZFNpYNeKFtG8_yji4HS352LGlSQ/edit?pli=1#gid=0"",""1_ACUM!A4:S""),14,FALSE))"),"")</f>
        <v/>
      </c>
      <c r="BB266" s="43" t="str">
        <f ca="1">IFERROR(__xludf.DUMMYFUNCTION("IFERROR(VLOOKUP(E532&amp;F532,IMPORTRANGE(""https://docs.google.com/spreadsheets/d/1Uw7-A9f9R21vMXxHZFNpYNeKFtG8_yji4HS352LGlSQ/edit?pli=1#gid=0"",""1_ACUM!A4:S""),15,FALSE))"),"")</f>
        <v/>
      </c>
      <c r="BC266" s="43" t="str">
        <f ca="1">IFERROR(__xludf.DUMMYFUNCTION("IFERROR(VLOOKUP(E532&amp;F532,IMPORTRANGE(""https://docs.google.com/spreadsheets/d/1Uw7-A9f9R21vMXxHZFNpYNeKFtG8_yji4HS352LGlSQ/edit?pli=1#gid=0"",""1_ACUM!A4:S""),16,FALSE))"),"")</f>
        <v/>
      </c>
      <c r="BD266" s="43" t="str">
        <f ca="1">IFERROR(__xludf.DUMMYFUNCTION("IFERROR(VLOOKUP(E532&amp;F532,IMPORTRANGE(""https://docs.google.com/spreadsheets/d/1Uw7-A9f9R21vMXxHZFNpYNeKFtG8_yji4HS352LGlSQ/edit?pli=1#gid=0"",""1_ACUM!A4:S""),17,FALSE))"),"")</f>
        <v/>
      </c>
      <c r="BE266" s="44" t="str">
        <f ca="1">IFERROR(__xludf.DUMMYFUNCTION("IFERROR(VLOOKUP(E532&amp;F532,IMPORTRANGE(""https://docs.google.com/spreadsheets/d/1Uw7-A9f9R21vMXxHZFNpYNeKFtG8_yji4HS352LGlSQ/edit?pli=1#gid=0"",""1_ACUM!A4:S""),18,FALSE))"),"")</f>
        <v/>
      </c>
      <c r="BF266" s="44" t="str">
        <f ca="1">IFERROR(__xludf.DUMMYFUNCTION("IFERROR(VLOOKUP(E532&amp;F532,IMPORTRANGE(""https://docs.google.com/spreadsheets/d/1Uw7-A9f9R21vMXxHZFNpYNeKFtG8_yji4HS352LGlSQ/edit?pli=1#gid=0"",""1_ACUM!A4:S""),19,FALSE))"),"")</f>
        <v/>
      </c>
      <c r="BG266" s="98" t="str">
        <f ca="1">IFERROR(__xludf.DUMMYFUNCTION("IFERROR(VLOOKUP(F532,IMPORTRANGE(""https://docs.google.com/spreadsheets/d/1Kvs4KS76FHFqLFIZfrDMff4kP08nblUkihrxltoGBjg/edit#gid=934712705"",""ESENCIAL!A6:BG""),5,FALSE))"),"")</f>
        <v/>
      </c>
      <c r="BH266" s="98" t="str">
        <f t="shared" si="21"/>
        <v/>
      </c>
      <c r="BI266" s="99" t="str">
        <f t="shared" si="22"/>
        <v/>
      </c>
      <c r="BJ266" s="100" t="str">
        <f ca="1">IFERROR(__xludf.DUMMYFUNCTION("IFERROR(VLOOKUP(F532,IMPORTRANGE(""https://docs.google.com/spreadsheets/d/1Kvs4KS76FHFqLFIZfrDMff4kP08nblUkihrxltoGBjg/edit#gid=934712705"",""ESENCIAL!A6:BG""),2,FALSE))"),"")</f>
        <v/>
      </c>
      <c r="BK266" s="19" t="str">
        <f t="shared" si="23"/>
        <v/>
      </c>
      <c r="BL266" s="100"/>
      <c r="BM266" s="100"/>
    </row>
    <row r="267" spans="2:65" ht="15">
      <c r="B267" s="39"/>
      <c r="C267" s="5"/>
      <c r="D267" s="123"/>
      <c r="E267" s="39"/>
      <c r="F267" s="39"/>
      <c r="G267" s="39"/>
      <c r="H267" s="5" t="str">
        <f ca="1">IFERROR(__xludf.DUMMYFUNCTION("IFERROR(VLOOKUP(F533,IMPORTRANGE(""https://docs.google.com/spreadsheets/d/1Kvs4KS76FHFqLFIZfrDMff4kP08nblUkihrxltoGBjg/edit#gid=934712705"",""ESENCIAL!A6:BG""),3,FALSE))"),"")</f>
        <v/>
      </c>
      <c r="I267" s="5" t="str">
        <f ca="1">IFERROR(__xludf.DUMMYFUNCTION("IFERROR(VLOOKUP(F533,IMPORTRANGE(""https://docs.google.com/spreadsheets/d/1Kvs4KS76FHFqLFIZfrDMff4kP08nblUkihrxltoGBjg/edit#gid=934712705"",""ESENCIAL!A6:BG""),8,FALSE))"),"")</f>
        <v/>
      </c>
      <c r="J267" s="39"/>
      <c r="M267" s="287"/>
      <c r="AV267" s="41" t="str">
        <f t="shared" si="20"/>
        <v/>
      </c>
      <c r="AW267" s="5" t="str">
        <f ca="1">IFERROR(__xludf.DUMMYFUNCTION("IFERROR(VLOOKUP(E533&amp;F533,IMPORTRANGE(""https://docs.google.com/spreadsheets/d/1Uw7-A9f9R21vMXxHZFNpYNeKFtG8_yji4HS352LGlSQ/edit?pli=1#gid=0"",""1_ACUM!A4:S""),11,FALSE))"),"")</f>
        <v/>
      </c>
      <c r="AX267" s="42" t="str">
        <f ca="1">IFERROR(__xludf.DUMMYFUNCTION("IFERROR(VLOOKUP(F533,IMPORTRANGE(""https://docs.google.com/spreadsheets/d/1Kvs4KS76FHFqLFIZfrDMff4kP08nblUkihrxltoGBjg/edit#gid=934712705"",""ESENCIAL!A6:BG""),15,FALSE))"),"")</f>
        <v/>
      </c>
      <c r="AY267" s="110" t="str">
        <f ca="1">IFERROR(__xludf.DUMMYFUNCTION("IFERROR(VLOOKUP(E533&amp;F533,IMPORTRANGE(""https://docs.google.com/spreadsheets/d/1Uw7-A9f9R21vMXxHZFNpYNeKFtG8_yji4HS352LGlSQ/edit?pli=1#gid=0"",""1_ACUM!A4:S""),13,FALSE))"),"")</f>
        <v/>
      </c>
      <c r="AZ267" s="43" t="str">
        <f ca="1">IFERROR(__xludf.DUMMYFUNCTION("IFERROR(VLOOKUP(E533&amp;F533,IMPORTRANGE(""https://docs.google.com/spreadsheets/d/1Uw7-A9f9R21vMXxHZFNpYNeKFtG8_yji4HS352LGlSQ/edit?pli=1#gid=0"",""1_ACUM!A4:S""),13,FALSE))"),"")</f>
        <v/>
      </c>
      <c r="BA267" s="43" t="str">
        <f ca="1">IFERROR(__xludf.DUMMYFUNCTION("IFERROR(VLOOKUP(E533&amp;F533,IMPORTRANGE(""https://docs.google.com/spreadsheets/d/1Uw7-A9f9R21vMXxHZFNpYNeKFtG8_yji4HS352LGlSQ/edit?pli=1#gid=0"",""1_ACUM!A4:S""),14,FALSE))"),"")</f>
        <v/>
      </c>
      <c r="BB267" s="43" t="str">
        <f ca="1">IFERROR(__xludf.DUMMYFUNCTION("IFERROR(VLOOKUP(E533&amp;F533,IMPORTRANGE(""https://docs.google.com/spreadsheets/d/1Uw7-A9f9R21vMXxHZFNpYNeKFtG8_yji4HS352LGlSQ/edit?pli=1#gid=0"",""1_ACUM!A4:S""),15,FALSE))"),"")</f>
        <v/>
      </c>
      <c r="BC267" s="43" t="str">
        <f ca="1">IFERROR(__xludf.DUMMYFUNCTION("IFERROR(VLOOKUP(E533&amp;F533,IMPORTRANGE(""https://docs.google.com/spreadsheets/d/1Uw7-A9f9R21vMXxHZFNpYNeKFtG8_yji4HS352LGlSQ/edit?pli=1#gid=0"",""1_ACUM!A4:S""),16,FALSE))"),"")</f>
        <v/>
      </c>
      <c r="BD267" s="43" t="str">
        <f ca="1">IFERROR(__xludf.DUMMYFUNCTION("IFERROR(VLOOKUP(E533&amp;F533,IMPORTRANGE(""https://docs.google.com/spreadsheets/d/1Uw7-A9f9R21vMXxHZFNpYNeKFtG8_yji4HS352LGlSQ/edit?pli=1#gid=0"",""1_ACUM!A4:S""),17,FALSE))"),"")</f>
        <v/>
      </c>
      <c r="BE267" s="44" t="str">
        <f ca="1">IFERROR(__xludf.DUMMYFUNCTION("IFERROR(VLOOKUP(E533&amp;F533,IMPORTRANGE(""https://docs.google.com/spreadsheets/d/1Uw7-A9f9R21vMXxHZFNpYNeKFtG8_yji4HS352LGlSQ/edit?pli=1#gid=0"",""1_ACUM!A4:S""),18,FALSE))"),"")</f>
        <v/>
      </c>
      <c r="BF267" s="44" t="str">
        <f ca="1">IFERROR(__xludf.DUMMYFUNCTION("IFERROR(VLOOKUP(E533&amp;F533,IMPORTRANGE(""https://docs.google.com/spreadsheets/d/1Uw7-A9f9R21vMXxHZFNpYNeKFtG8_yji4HS352LGlSQ/edit?pli=1#gid=0"",""1_ACUM!A4:S""),19,FALSE))"),"")</f>
        <v/>
      </c>
      <c r="BG267" s="98" t="str">
        <f ca="1">IFERROR(__xludf.DUMMYFUNCTION("IFERROR(VLOOKUP(F533,IMPORTRANGE(""https://docs.google.com/spreadsheets/d/1Kvs4KS76FHFqLFIZfrDMff4kP08nblUkihrxltoGBjg/edit#gid=934712705"",""ESENCIAL!A6:BG""),5,FALSE))"),"")</f>
        <v/>
      </c>
      <c r="BH267" s="98" t="str">
        <f t="shared" si="21"/>
        <v/>
      </c>
      <c r="BI267" s="99" t="str">
        <f t="shared" si="22"/>
        <v/>
      </c>
      <c r="BJ267" s="100" t="str">
        <f ca="1">IFERROR(__xludf.DUMMYFUNCTION("IFERROR(VLOOKUP(F533,IMPORTRANGE(""https://docs.google.com/spreadsheets/d/1Kvs4KS76FHFqLFIZfrDMff4kP08nblUkihrxltoGBjg/edit#gid=934712705"",""ESENCIAL!A6:BG""),2,FALSE))"),"")</f>
        <v/>
      </c>
      <c r="BK267" s="19" t="str">
        <f t="shared" si="23"/>
        <v/>
      </c>
      <c r="BL267" s="100"/>
      <c r="BM267" s="100"/>
    </row>
    <row r="268" spans="2:65" ht="15">
      <c r="B268" s="39"/>
      <c r="C268" s="5"/>
      <c r="D268" s="123"/>
      <c r="E268" s="39"/>
      <c r="F268" s="39"/>
      <c r="G268" s="39"/>
      <c r="H268" s="5" t="str">
        <f ca="1">IFERROR(__xludf.DUMMYFUNCTION("IFERROR(VLOOKUP(F534,IMPORTRANGE(""https://docs.google.com/spreadsheets/d/1Kvs4KS76FHFqLFIZfrDMff4kP08nblUkihrxltoGBjg/edit#gid=934712705"",""ESENCIAL!A6:BG""),3,FALSE))"),"")</f>
        <v/>
      </c>
      <c r="I268" s="5" t="str">
        <f ca="1">IFERROR(__xludf.DUMMYFUNCTION("IFERROR(VLOOKUP(F534,IMPORTRANGE(""https://docs.google.com/spreadsheets/d/1Kvs4KS76FHFqLFIZfrDMff4kP08nblUkihrxltoGBjg/edit#gid=934712705"",""ESENCIAL!A6:BG""),8,FALSE))"),"")</f>
        <v/>
      </c>
      <c r="J268" s="39"/>
      <c r="M268" s="287"/>
      <c r="AV268" s="41" t="str">
        <f t="shared" si="20"/>
        <v/>
      </c>
      <c r="AW268" s="5" t="str">
        <f ca="1">IFERROR(__xludf.DUMMYFUNCTION("IFERROR(VLOOKUP(E534&amp;F534,IMPORTRANGE(""https://docs.google.com/spreadsheets/d/1Uw7-A9f9R21vMXxHZFNpYNeKFtG8_yji4HS352LGlSQ/edit?pli=1#gid=0"",""1_ACUM!A4:S""),11,FALSE))"),"")</f>
        <v/>
      </c>
      <c r="AX268" s="42" t="str">
        <f ca="1">IFERROR(__xludf.DUMMYFUNCTION("IFERROR(VLOOKUP(F534,IMPORTRANGE(""https://docs.google.com/spreadsheets/d/1Kvs4KS76FHFqLFIZfrDMff4kP08nblUkihrxltoGBjg/edit#gid=934712705"",""ESENCIAL!A6:BG""),15,FALSE))"),"")</f>
        <v/>
      </c>
      <c r="AY268" s="110" t="str">
        <f ca="1">IFERROR(__xludf.DUMMYFUNCTION("IFERROR(VLOOKUP(E534&amp;F534,IMPORTRANGE(""https://docs.google.com/spreadsheets/d/1Uw7-A9f9R21vMXxHZFNpYNeKFtG8_yji4HS352LGlSQ/edit?pli=1#gid=0"",""1_ACUM!A4:S""),13,FALSE))"),"")</f>
        <v/>
      </c>
      <c r="AZ268" s="43" t="str">
        <f ca="1">IFERROR(__xludf.DUMMYFUNCTION("IFERROR(VLOOKUP(E534&amp;F534,IMPORTRANGE(""https://docs.google.com/spreadsheets/d/1Uw7-A9f9R21vMXxHZFNpYNeKFtG8_yji4HS352LGlSQ/edit?pli=1#gid=0"",""1_ACUM!A4:S""),13,FALSE))"),"")</f>
        <v/>
      </c>
      <c r="BA268" s="43" t="str">
        <f ca="1">IFERROR(__xludf.DUMMYFUNCTION("IFERROR(VLOOKUP(E534&amp;F534,IMPORTRANGE(""https://docs.google.com/spreadsheets/d/1Uw7-A9f9R21vMXxHZFNpYNeKFtG8_yji4HS352LGlSQ/edit?pli=1#gid=0"",""1_ACUM!A4:S""),14,FALSE))"),"")</f>
        <v/>
      </c>
      <c r="BB268" s="43" t="str">
        <f ca="1">IFERROR(__xludf.DUMMYFUNCTION("IFERROR(VLOOKUP(E534&amp;F534,IMPORTRANGE(""https://docs.google.com/spreadsheets/d/1Uw7-A9f9R21vMXxHZFNpYNeKFtG8_yji4HS352LGlSQ/edit?pli=1#gid=0"",""1_ACUM!A4:S""),15,FALSE))"),"")</f>
        <v/>
      </c>
      <c r="BC268" s="43" t="str">
        <f ca="1">IFERROR(__xludf.DUMMYFUNCTION("IFERROR(VLOOKUP(E534&amp;F534,IMPORTRANGE(""https://docs.google.com/spreadsheets/d/1Uw7-A9f9R21vMXxHZFNpYNeKFtG8_yji4HS352LGlSQ/edit?pli=1#gid=0"",""1_ACUM!A4:S""),16,FALSE))"),"")</f>
        <v/>
      </c>
      <c r="BD268" s="43" t="str">
        <f ca="1">IFERROR(__xludf.DUMMYFUNCTION("IFERROR(VLOOKUP(E534&amp;F534,IMPORTRANGE(""https://docs.google.com/spreadsheets/d/1Uw7-A9f9R21vMXxHZFNpYNeKFtG8_yji4HS352LGlSQ/edit?pli=1#gid=0"",""1_ACUM!A4:S""),17,FALSE))"),"")</f>
        <v/>
      </c>
      <c r="BE268" s="44" t="str">
        <f ca="1">IFERROR(__xludf.DUMMYFUNCTION("IFERROR(VLOOKUP(E534&amp;F534,IMPORTRANGE(""https://docs.google.com/spreadsheets/d/1Uw7-A9f9R21vMXxHZFNpYNeKFtG8_yji4HS352LGlSQ/edit?pli=1#gid=0"",""1_ACUM!A4:S""),18,FALSE))"),"")</f>
        <v/>
      </c>
      <c r="BF268" s="44" t="str">
        <f ca="1">IFERROR(__xludf.DUMMYFUNCTION("IFERROR(VLOOKUP(E534&amp;F534,IMPORTRANGE(""https://docs.google.com/spreadsheets/d/1Uw7-A9f9R21vMXxHZFNpYNeKFtG8_yji4HS352LGlSQ/edit?pli=1#gid=0"",""1_ACUM!A4:S""),19,FALSE))"),"")</f>
        <v/>
      </c>
      <c r="BG268" s="98" t="str">
        <f ca="1">IFERROR(__xludf.DUMMYFUNCTION("IFERROR(VLOOKUP(F534,IMPORTRANGE(""https://docs.google.com/spreadsheets/d/1Kvs4KS76FHFqLFIZfrDMff4kP08nblUkihrxltoGBjg/edit#gid=934712705"",""ESENCIAL!A6:BG""),5,FALSE))"),"")</f>
        <v/>
      </c>
      <c r="BH268" s="98" t="str">
        <f t="shared" si="21"/>
        <v/>
      </c>
      <c r="BI268" s="99" t="str">
        <f t="shared" si="22"/>
        <v/>
      </c>
      <c r="BJ268" s="100" t="str">
        <f ca="1">IFERROR(__xludf.DUMMYFUNCTION("IFERROR(VLOOKUP(F534,IMPORTRANGE(""https://docs.google.com/spreadsheets/d/1Kvs4KS76FHFqLFIZfrDMff4kP08nblUkihrxltoGBjg/edit#gid=934712705"",""ESENCIAL!A6:BG""),2,FALSE))"),"")</f>
        <v/>
      </c>
      <c r="BK268" s="19" t="str">
        <f t="shared" si="23"/>
        <v/>
      </c>
      <c r="BL268" s="100"/>
      <c r="BM268" s="100"/>
    </row>
    <row r="269" spans="2:65" ht="15">
      <c r="B269" s="39"/>
      <c r="C269" s="5"/>
      <c r="D269" s="123"/>
      <c r="E269" s="39"/>
      <c r="F269" s="39"/>
      <c r="G269" s="39"/>
      <c r="H269" s="5" t="str">
        <f ca="1">IFERROR(__xludf.DUMMYFUNCTION("IFERROR(VLOOKUP(F535,IMPORTRANGE(""https://docs.google.com/spreadsheets/d/1Kvs4KS76FHFqLFIZfrDMff4kP08nblUkihrxltoGBjg/edit#gid=934712705"",""ESENCIAL!A6:BG""),3,FALSE))"),"")</f>
        <v/>
      </c>
      <c r="I269" s="5" t="str">
        <f ca="1">IFERROR(__xludf.DUMMYFUNCTION("IFERROR(VLOOKUP(F535,IMPORTRANGE(""https://docs.google.com/spreadsheets/d/1Kvs4KS76FHFqLFIZfrDMff4kP08nblUkihrxltoGBjg/edit#gid=934712705"",""ESENCIAL!A6:BG""),8,FALSE))"),"")</f>
        <v/>
      </c>
      <c r="J269" s="39"/>
      <c r="M269" s="287"/>
      <c r="AV269" s="41" t="str">
        <f t="shared" si="20"/>
        <v/>
      </c>
      <c r="AW269" s="5" t="str">
        <f ca="1">IFERROR(__xludf.DUMMYFUNCTION("IFERROR(VLOOKUP(E535&amp;F535,IMPORTRANGE(""https://docs.google.com/spreadsheets/d/1Uw7-A9f9R21vMXxHZFNpYNeKFtG8_yji4HS352LGlSQ/edit?pli=1#gid=0"",""1_ACUM!A4:S""),11,FALSE))"),"")</f>
        <v/>
      </c>
      <c r="AX269" s="42" t="str">
        <f ca="1">IFERROR(__xludf.DUMMYFUNCTION("IFERROR(VLOOKUP(F535,IMPORTRANGE(""https://docs.google.com/spreadsheets/d/1Kvs4KS76FHFqLFIZfrDMff4kP08nblUkihrxltoGBjg/edit#gid=934712705"",""ESENCIAL!A6:BG""),15,FALSE))"),"")</f>
        <v/>
      </c>
      <c r="AY269" s="110" t="str">
        <f ca="1">IFERROR(__xludf.DUMMYFUNCTION("IFERROR(VLOOKUP(E535&amp;F535,IMPORTRANGE(""https://docs.google.com/spreadsheets/d/1Uw7-A9f9R21vMXxHZFNpYNeKFtG8_yji4HS352LGlSQ/edit?pli=1#gid=0"",""1_ACUM!A4:S""),13,FALSE))"),"")</f>
        <v/>
      </c>
      <c r="AZ269" s="43" t="str">
        <f ca="1">IFERROR(__xludf.DUMMYFUNCTION("IFERROR(VLOOKUP(E535&amp;F535,IMPORTRANGE(""https://docs.google.com/spreadsheets/d/1Uw7-A9f9R21vMXxHZFNpYNeKFtG8_yji4HS352LGlSQ/edit?pli=1#gid=0"",""1_ACUM!A4:S""),13,FALSE))"),"")</f>
        <v/>
      </c>
      <c r="BA269" s="43" t="str">
        <f ca="1">IFERROR(__xludf.DUMMYFUNCTION("IFERROR(VLOOKUP(E535&amp;F535,IMPORTRANGE(""https://docs.google.com/spreadsheets/d/1Uw7-A9f9R21vMXxHZFNpYNeKFtG8_yji4HS352LGlSQ/edit?pli=1#gid=0"",""1_ACUM!A4:S""),14,FALSE))"),"")</f>
        <v/>
      </c>
      <c r="BB269" s="43" t="str">
        <f ca="1">IFERROR(__xludf.DUMMYFUNCTION("IFERROR(VLOOKUP(E535&amp;F535,IMPORTRANGE(""https://docs.google.com/spreadsheets/d/1Uw7-A9f9R21vMXxHZFNpYNeKFtG8_yji4HS352LGlSQ/edit?pli=1#gid=0"",""1_ACUM!A4:S""),15,FALSE))"),"")</f>
        <v/>
      </c>
      <c r="BC269" s="43" t="str">
        <f ca="1">IFERROR(__xludf.DUMMYFUNCTION("IFERROR(VLOOKUP(E535&amp;F535,IMPORTRANGE(""https://docs.google.com/spreadsheets/d/1Uw7-A9f9R21vMXxHZFNpYNeKFtG8_yji4HS352LGlSQ/edit?pli=1#gid=0"",""1_ACUM!A4:S""),16,FALSE))"),"")</f>
        <v/>
      </c>
      <c r="BD269" s="43" t="str">
        <f ca="1">IFERROR(__xludf.DUMMYFUNCTION("IFERROR(VLOOKUP(E535&amp;F535,IMPORTRANGE(""https://docs.google.com/spreadsheets/d/1Uw7-A9f9R21vMXxHZFNpYNeKFtG8_yji4HS352LGlSQ/edit?pli=1#gid=0"",""1_ACUM!A4:S""),17,FALSE))"),"")</f>
        <v/>
      </c>
      <c r="BE269" s="44" t="str">
        <f ca="1">IFERROR(__xludf.DUMMYFUNCTION("IFERROR(VLOOKUP(E535&amp;F535,IMPORTRANGE(""https://docs.google.com/spreadsheets/d/1Uw7-A9f9R21vMXxHZFNpYNeKFtG8_yji4HS352LGlSQ/edit?pli=1#gid=0"",""1_ACUM!A4:S""),18,FALSE))"),"")</f>
        <v/>
      </c>
      <c r="BF269" s="44" t="str">
        <f ca="1">IFERROR(__xludf.DUMMYFUNCTION("IFERROR(VLOOKUP(E535&amp;F535,IMPORTRANGE(""https://docs.google.com/spreadsheets/d/1Uw7-A9f9R21vMXxHZFNpYNeKFtG8_yji4HS352LGlSQ/edit?pli=1#gid=0"",""1_ACUM!A4:S""),19,FALSE))"),"")</f>
        <v/>
      </c>
      <c r="BG269" s="98" t="str">
        <f ca="1">IFERROR(__xludf.DUMMYFUNCTION("IFERROR(VLOOKUP(F535,IMPORTRANGE(""https://docs.google.com/spreadsheets/d/1Kvs4KS76FHFqLFIZfrDMff4kP08nblUkihrxltoGBjg/edit#gid=934712705"",""ESENCIAL!A6:BG""),5,FALSE))"),"")</f>
        <v/>
      </c>
      <c r="BH269" s="98" t="str">
        <f t="shared" si="21"/>
        <v/>
      </c>
      <c r="BI269" s="99" t="str">
        <f t="shared" si="22"/>
        <v/>
      </c>
      <c r="BJ269" s="100" t="str">
        <f ca="1">IFERROR(__xludf.DUMMYFUNCTION("IFERROR(VLOOKUP(F535,IMPORTRANGE(""https://docs.google.com/spreadsheets/d/1Kvs4KS76FHFqLFIZfrDMff4kP08nblUkihrxltoGBjg/edit#gid=934712705"",""ESENCIAL!A6:BG""),2,FALSE))"),"")</f>
        <v/>
      </c>
      <c r="BK269" s="19" t="str">
        <f t="shared" si="23"/>
        <v/>
      </c>
      <c r="BL269" s="100"/>
      <c r="BM269" s="100"/>
    </row>
    <row r="270" spans="2:65" ht="15">
      <c r="B270" s="39"/>
      <c r="C270" s="5"/>
      <c r="D270" s="123"/>
      <c r="E270" s="39"/>
      <c r="F270" s="39"/>
      <c r="G270" s="39"/>
      <c r="H270" s="5" t="str">
        <f ca="1">IFERROR(__xludf.DUMMYFUNCTION("IFERROR(VLOOKUP(F536,IMPORTRANGE(""https://docs.google.com/spreadsheets/d/1Kvs4KS76FHFqLFIZfrDMff4kP08nblUkihrxltoGBjg/edit#gid=934712705"",""ESENCIAL!A6:BG""),3,FALSE))"),"")</f>
        <v/>
      </c>
      <c r="I270" s="5" t="str">
        <f ca="1">IFERROR(__xludf.DUMMYFUNCTION("IFERROR(VLOOKUP(F536,IMPORTRANGE(""https://docs.google.com/spreadsheets/d/1Kvs4KS76FHFqLFIZfrDMff4kP08nblUkihrxltoGBjg/edit#gid=934712705"",""ESENCIAL!A6:BG""),8,FALSE))"),"")</f>
        <v/>
      </c>
      <c r="J270" s="39"/>
      <c r="M270" s="287"/>
      <c r="AV270" s="41" t="str">
        <f t="shared" si="20"/>
        <v/>
      </c>
      <c r="AW270" s="5" t="str">
        <f ca="1">IFERROR(__xludf.DUMMYFUNCTION("IFERROR(VLOOKUP(E536&amp;F536,IMPORTRANGE(""https://docs.google.com/spreadsheets/d/1Uw7-A9f9R21vMXxHZFNpYNeKFtG8_yji4HS352LGlSQ/edit?pli=1#gid=0"",""1_ACUM!A4:S""),11,FALSE))"),"")</f>
        <v/>
      </c>
      <c r="AX270" s="42" t="str">
        <f ca="1">IFERROR(__xludf.DUMMYFUNCTION("IFERROR(VLOOKUP(F536,IMPORTRANGE(""https://docs.google.com/spreadsheets/d/1Kvs4KS76FHFqLFIZfrDMff4kP08nblUkihrxltoGBjg/edit#gid=934712705"",""ESENCIAL!A6:BG""),15,FALSE))"),"")</f>
        <v/>
      </c>
      <c r="AY270" s="110" t="str">
        <f ca="1">IFERROR(__xludf.DUMMYFUNCTION("IFERROR(VLOOKUP(E536&amp;F536,IMPORTRANGE(""https://docs.google.com/spreadsheets/d/1Uw7-A9f9R21vMXxHZFNpYNeKFtG8_yji4HS352LGlSQ/edit?pli=1#gid=0"",""1_ACUM!A4:S""),13,FALSE))"),"")</f>
        <v/>
      </c>
      <c r="AZ270" s="43" t="str">
        <f ca="1">IFERROR(__xludf.DUMMYFUNCTION("IFERROR(VLOOKUP(E536&amp;F536,IMPORTRANGE(""https://docs.google.com/spreadsheets/d/1Uw7-A9f9R21vMXxHZFNpYNeKFtG8_yji4HS352LGlSQ/edit?pli=1#gid=0"",""1_ACUM!A4:S""),13,FALSE))"),"")</f>
        <v/>
      </c>
      <c r="BA270" s="43" t="str">
        <f ca="1">IFERROR(__xludf.DUMMYFUNCTION("IFERROR(VLOOKUP(E536&amp;F536,IMPORTRANGE(""https://docs.google.com/spreadsheets/d/1Uw7-A9f9R21vMXxHZFNpYNeKFtG8_yji4HS352LGlSQ/edit?pli=1#gid=0"",""1_ACUM!A4:S""),14,FALSE))"),"")</f>
        <v/>
      </c>
      <c r="BB270" s="43" t="str">
        <f ca="1">IFERROR(__xludf.DUMMYFUNCTION("IFERROR(VLOOKUP(E536&amp;F536,IMPORTRANGE(""https://docs.google.com/spreadsheets/d/1Uw7-A9f9R21vMXxHZFNpYNeKFtG8_yji4HS352LGlSQ/edit?pli=1#gid=0"",""1_ACUM!A4:S""),15,FALSE))"),"")</f>
        <v/>
      </c>
      <c r="BC270" s="43" t="str">
        <f ca="1">IFERROR(__xludf.DUMMYFUNCTION("IFERROR(VLOOKUP(E536&amp;F536,IMPORTRANGE(""https://docs.google.com/spreadsheets/d/1Uw7-A9f9R21vMXxHZFNpYNeKFtG8_yji4HS352LGlSQ/edit?pli=1#gid=0"",""1_ACUM!A4:S""),16,FALSE))"),"")</f>
        <v/>
      </c>
      <c r="BD270" s="43" t="str">
        <f ca="1">IFERROR(__xludf.DUMMYFUNCTION("IFERROR(VLOOKUP(E536&amp;F536,IMPORTRANGE(""https://docs.google.com/spreadsheets/d/1Uw7-A9f9R21vMXxHZFNpYNeKFtG8_yji4HS352LGlSQ/edit?pli=1#gid=0"",""1_ACUM!A4:S""),17,FALSE))"),"")</f>
        <v/>
      </c>
      <c r="BE270" s="44" t="str">
        <f ca="1">IFERROR(__xludf.DUMMYFUNCTION("IFERROR(VLOOKUP(E536&amp;F536,IMPORTRANGE(""https://docs.google.com/spreadsheets/d/1Uw7-A9f9R21vMXxHZFNpYNeKFtG8_yji4HS352LGlSQ/edit?pli=1#gid=0"",""1_ACUM!A4:S""),18,FALSE))"),"")</f>
        <v/>
      </c>
      <c r="BF270" s="44" t="str">
        <f ca="1">IFERROR(__xludf.DUMMYFUNCTION("IFERROR(VLOOKUP(E536&amp;F536,IMPORTRANGE(""https://docs.google.com/spreadsheets/d/1Uw7-A9f9R21vMXxHZFNpYNeKFtG8_yji4HS352LGlSQ/edit?pli=1#gid=0"",""1_ACUM!A4:S""),19,FALSE))"),"")</f>
        <v/>
      </c>
      <c r="BG270" s="98" t="str">
        <f ca="1">IFERROR(__xludf.DUMMYFUNCTION("IFERROR(VLOOKUP(F536,IMPORTRANGE(""https://docs.google.com/spreadsheets/d/1Kvs4KS76FHFqLFIZfrDMff4kP08nblUkihrxltoGBjg/edit#gid=934712705"",""ESENCIAL!A6:BG""),5,FALSE))"),"")</f>
        <v/>
      </c>
      <c r="BH270" s="98" t="str">
        <f t="shared" si="21"/>
        <v/>
      </c>
      <c r="BI270" s="99" t="str">
        <f t="shared" si="22"/>
        <v/>
      </c>
      <c r="BJ270" s="100" t="str">
        <f ca="1">IFERROR(__xludf.DUMMYFUNCTION("IFERROR(VLOOKUP(F536,IMPORTRANGE(""https://docs.google.com/spreadsheets/d/1Kvs4KS76FHFqLFIZfrDMff4kP08nblUkihrxltoGBjg/edit#gid=934712705"",""ESENCIAL!A6:BG""),2,FALSE))"),"")</f>
        <v/>
      </c>
      <c r="BK270" s="19" t="str">
        <f t="shared" si="23"/>
        <v/>
      </c>
      <c r="BL270" s="100"/>
      <c r="BM270" s="100"/>
    </row>
    <row r="271" spans="2:65" ht="15">
      <c r="B271" s="39"/>
      <c r="C271" s="5"/>
      <c r="D271" s="123"/>
      <c r="E271" s="39"/>
      <c r="F271" s="39"/>
      <c r="G271" s="39"/>
      <c r="H271" s="5" t="str">
        <f ca="1">IFERROR(__xludf.DUMMYFUNCTION("IFERROR(VLOOKUP(F537,IMPORTRANGE(""https://docs.google.com/spreadsheets/d/1Kvs4KS76FHFqLFIZfrDMff4kP08nblUkihrxltoGBjg/edit#gid=934712705"",""ESENCIAL!A6:BG""),3,FALSE))"),"")</f>
        <v/>
      </c>
      <c r="I271" s="5" t="str">
        <f ca="1">IFERROR(__xludf.DUMMYFUNCTION("IFERROR(VLOOKUP(F537,IMPORTRANGE(""https://docs.google.com/spreadsheets/d/1Kvs4KS76FHFqLFIZfrDMff4kP08nblUkihrxltoGBjg/edit#gid=934712705"",""ESENCIAL!A6:BG""),8,FALSE))"),"")</f>
        <v/>
      </c>
      <c r="J271" s="39"/>
      <c r="M271" s="287"/>
      <c r="AV271" s="41" t="str">
        <f t="shared" si="20"/>
        <v/>
      </c>
      <c r="AW271" s="5" t="str">
        <f ca="1">IFERROR(__xludf.DUMMYFUNCTION("IFERROR(VLOOKUP(E537&amp;F537,IMPORTRANGE(""https://docs.google.com/spreadsheets/d/1Uw7-A9f9R21vMXxHZFNpYNeKFtG8_yji4HS352LGlSQ/edit?pli=1#gid=0"",""1_ACUM!A4:S""),11,FALSE))"),"")</f>
        <v/>
      </c>
      <c r="AX271" s="42" t="str">
        <f ca="1">IFERROR(__xludf.DUMMYFUNCTION("IFERROR(VLOOKUP(F537,IMPORTRANGE(""https://docs.google.com/spreadsheets/d/1Kvs4KS76FHFqLFIZfrDMff4kP08nblUkihrxltoGBjg/edit#gid=934712705"",""ESENCIAL!A6:BG""),15,FALSE))"),"")</f>
        <v/>
      </c>
      <c r="AY271" s="110" t="str">
        <f ca="1">IFERROR(__xludf.DUMMYFUNCTION("IFERROR(VLOOKUP(E537&amp;F537,IMPORTRANGE(""https://docs.google.com/spreadsheets/d/1Uw7-A9f9R21vMXxHZFNpYNeKFtG8_yji4HS352LGlSQ/edit?pli=1#gid=0"",""1_ACUM!A4:S""),13,FALSE))"),"")</f>
        <v/>
      </c>
      <c r="AZ271" s="43" t="str">
        <f ca="1">IFERROR(__xludf.DUMMYFUNCTION("IFERROR(VLOOKUP(E537&amp;F537,IMPORTRANGE(""https://docs.google.com/spreadsheets/d/1Uw7-A9f9R21vMXxHZFNpYNeKFtG8_yji4HS352LGlSQ/edit?pli=1#gid=0"",""1_ACUM!A4:S""),13,FALSE))"),"")</f>
        <v/>
      </c>
      <c r="BA271" s="43" t="str">
        <f ca="1">IFERROR(__xludf.DUMMYFUNCTION("IFERROR(VLOOKUP(E537&amp;F537,IMPORTRANGE(""https://docs.google.com/spreadsheets/d/1Uw7-A9f9R21vMXxHZFNpYNeKFtG8_yji4HS352LGlSQ/edit?pli=1#gid=0"",""1_ACUM!A4:S""),14,FALSE))"),"")</f>
        <v/>
      </c>
      <c r="BB271" s="43" t="str">
        <f ca="1">IFERROR(__xludf.DUMMYFUNCTION("IFERROR(VLOOKUP(E537&amp;F537,IMPORTRANGE(""https://docs.google.com/spreadsheets/d/1Uw7-A9f9R21vMXxHZFNpYNeKFtG8_yji4HS352LGlSQ/edit?pli=1#gid=0"",""1_ACUM!A4:S""),15,FALSE))"),"")</f>
        <v/>
      </c>
      <c r="BC271" s="43" t="str">
        <f ca="1">IFERROR(__xludf.DUMMYFUNCTION("IFERROR(VLOOKUP(E537&amp;F537,IMPORTRANGE(""https://docs.google.com/spreadsheets/d/1Uw7-A9f9R21vMXxHZFNpYNeKFtG8_yji4HS352LGlSQ/edit?pli=1#gid=0"",""1_ACUM!A4:S""),16,FALSE))"),"")</f>
        <v/>
      </c>
      <c r="BD271" s="43" t="str">
        <f ca="1">IFERROR(__xludf.DUMMYFUNCTION("IFERROR(VLOOKUP(E537&amp;F537,IMPORTRANGE(""https://docs.google.com/spreadsheets/d/1Uw7-A9f9R21vMXxHZFNpYNeKFtG8_yji4HS352LGlSQ/edit?pli=1#gid=0"",""1_ACUM!A4:S""),17,FALSE))"),"")</f>
        <v/>
      </c>
      <c r="BE271" s="44" t="str">
        <f ca="1">IFERROR(__xludf.DUMMYFUNCTION("IFERROR(VLOOKUP(E537&amp;F537,IMPORTRANGE(""https://docs.google.com/spreadsheets/d/1Uw7-A9f9R21vMXxHZFNpYNeKFtG8_yji4HS352LGlSQ/edit?pli=1#gid=0"",""1_ACUM!A4:S""),18,FALSE))"),"")</f>
        <v/>
      </c>
      <c r="BF271" s="44" t="str">
        <f ca="1">IFERROR(__xludf.DUMMYFUNCTION("IFERROR(VLOOKUP(E537&amp;F537,IMPORTRANGE(""https://docs.google.com/spreadsheets/d/1Uw7-A9f9R21vMXxHZFNpYNeKFtG8_yji4HS352LGlSQ/edit?pli=1#gid=0"",""1_ACUM!A4:S""),19,FALSE))"),"")</f>
        <v/>
      </c>
      <c r="BG271" s="98" t="str">
        <f ca="1">IFERROR(__xludf.DUMMYFUNCTION("IFERROR(VLOOKUP(F537,IMPORTRANGE(""https://docs.google.com/spreadsheets/d/1Kvs4KS76FHFqLFIZfrDMff4kP08nblUkihrxltoGBjg/edit#gid=934712705"",""ESENCIAL!A6:BG""),5,FALSE))"),"")</f>
        <v/>
      </c>
      <c r="BH271" s="98" t="str">
        <f t="shared" si="21"/>
        <v/>
      </c>
      <c r="BI271" s="99" t="str">
        <f t="shared" si="22"/>
        <v/>
      </c>
      <c r="BJ271" s="100" t="str">
        <f ca="1">IFERROR(__xludf.DUMMYFUNCTION("IFERROR(VLOOKUP(F537,IMPORTRANGE(""https://docs.google.com/spreadsheets/d/1Kvs4KS76FHFqLFIZfrDMff4kP08nblUkihrxltoGBjg/edit#gid=934712705"",""ESENCIAL!A6:BG""),2,FALSE))"),"")</f>
        <v/>
      </c>
      <c r="BK271" s="19" t="str">
        <f t="shared" si="23"/>
        <v/>
      </c>
      <c r="BL271" s="100"/>
      <c r="BM271" s="100"/>
    </row>
    <row r="272" spans="2:65" ht="15">
      <c r="B272" s="39"/>
      <c r="C272" s="5"/>
      <c r="D272" s="123"/>
      <c r="E272" s="39"/>
      <c r="F272" s="39"/>
      <c r="G272" s="39"/>
      <c r="H272" s="5" t="str">
        <f ca="1">IFERROR(__xludf.DUMMYFUNCTION("IFERROR(VLOOKUP(F538,IMPORTRANGE(""https://docs.google.com/spreadsheets/d/1Kvs4KS76FHFqLFIZfrDMff4kP08nblUkihrxltoGBjg/edit#gid=934712705"",""ESENCIAL!A6:BG""),3,FALSE))"),"")</f>
        <v/>
      </c>
      <c r="I272" s="5" t="str">
        <f ca="1">IFERROR(__xludf.DUMMYFUNCTION("IFERROR(VLOOKUP(F538,IMPORTRANGE(""https://docs.google.com/spreadsheets/d/1Kvs4KS76FHFqLFIZfrDMff4kP08nblUkihrxltoGBjg/edit#gid=934712705"",""ESENCIAL!A6:BG""),8,FALSE))"),"")</f>
        <v/>
      </c>
      <c r="J272" s="39"/>
      <c r="M272" s="287"/>
      <c r="AV272" s="41" t="str">
        <f t="shared" si="20"/>
        <v/>
      </c>
      <c r="AW272" s="5" t="str">
        <f ca="1">IFERROR(__xludf.DUMMYFUNCTION("IFERROR(VLOOKUP(E538&amp;F538,IMPORTRANGE(""https://docs.google.com/spreadsheets/d/1Uw7-A9f9R21vMXxHZFNpYNeKFtG8_yji4HS352LGlSQ/edit?pli=1#gid=0"",""1_ACUM!A4:S""),11,FALSE))"),"")</f>
        <v/>
      </c>
      <c r="AX272" s="42" t="str">
        <f ca="1">IFERROR(__xludf.DUMMYFUNCTION("IFERROR(VLOOKUP(F538,IMPORTRANGE(""https://docs.google.com/spreadsheets/d/1Kvs4KS76FHFqLFIZfrDMff4kP08nblUkihrxltoGBjg/edit#gid=934712705"",""ESENCIAL!A6:BG""),15,FALSE))"),"")</f>
        <v/>
      </c>
      <c r="AY272" s="110" t="str">
        <f ca="1">IFERROR(__xludf.DUMMYFUNCTION("IFERROR(VLOOKUP(E538&amp;F538,IMPORTRANGE(""https://docs.google.com/spreadsheets/d/1Uw7-A9f9R21vMXxHZFNpYNeKFtG8_yji4HS352LGlSQ/edit?pli=1#gid=0"",""1_ACUM!A4:S""),13,FALSE))"),"")</f>
        <v/>
      </c>
      <c r="AZ272" s="43" t="str">
        <f ca="1">IFERROR(__xludf.DUMMYFUNCTION("IFERROR(VLOOKUP(E538&amp;F538,IMPORTRANGE(""https://docs.google.com/spreadsheets/d/1Uw7-A9f9R21vMXxHZFNpYNeKFtG8_yji4HS352LGlSQ/edit?pli=1#gid=0"",""1_ACUM!A4:S""),13,FALSE))"),"")</f>
        <v/>
      </c>
      <c r="BA272" s="43" t="str">
        <f ca="1">IFERROR(__xludf.DUMMYFUNCTION("IFERROR(VLOOKUP(E538&amp;F538,IMPORTRANGE(""https://docs.google.com/spreadsheets/d/1Uw7-A9f9R21vMXxHZFNpYNeKFtG8_yji4HS352LGlSQ/edit?pli=1#gid=0"",""1_ACUM!A4:S""),14,FALSE))"),"")</f>
        <v/>
      </c>
      <c r="BB272" s="43" t="str">
        <f ca="1">IFERROR(__xludf.DUMMYFUNCTION("IFERROR(VLOOKUP(E538&amp;F538,IMPORTRANGE(""https://docs.google.com/spreadsheets/d/1Uw7-A9f9R21vMXxHZFNpYNeKFtG8_yji4HS352LGlSQ/edit?pli=1#gid=0"",""1_ACUM!A4:S""),15,FALSE))"),"")</f>
        <v/>
      </c>
      <c r="BC272" s="43" t="str">
        <f ca="1">IFERROR(__xludf.DUMMYFUNCTION("IFERROR(VLOOKUP(E538&amp;F538,IMPORTRANGE(""https://docs.google.com/spreadsheets/d/1Uw7-A9f9R21vMXxHZFNpYNeKFtG8_yji4HS352LGlSQ/edit?pli=1#gid=0"",""1_ACUM!A4:S""),16,FALSE))"),"")</f>
        <v/>
      </c>
      <c r="BD272" s="43" t="str">
        <f ca="1">IFERROR(__xludf.DUMMYFUNCTION("IFERROR(VLOOKUP(E538&amp;F538,IMPORTRANGE(""https://docs.google.com/spreadsheets/d/1Uw7-A9f9R21vMXxHZFNpYNeKFtG8_yji4HS352LGlSQ/edit?pli=1#gid=0"",""1_ACUM!A4:S""),17,FALSE))"),"")</f>
        <v/>
      </c>
      <c r="BE272" s="44" t="str">
        <f ca="1">IFERROR(__xludf.DUMMYFUNCTION("IFERROR(VLOOKUP(E538&amp;F538,IMPORTRANGE(""https://docs.google.com/spreadsheets/d/1Uw7-A9f9R21vMXxHZFNpYNeKFtG8_yji4HS352LGlSQ/edit?pli=1#gid=0"",""1_ACUM!A4:S""),18,FALSE))"),"")</f>
        <v/>
      </c>
      <c r="BF272" s="44" t="str">
        <f ca="1">IFERROR(__xludf.DUMMYFUNCTION("IFERROR(VLOOKUP(E538&amp;F538,IMPORTRANGE(""https://docs.google.com/spreadsheets/d/1Uw7-A9f9R21vMXxHZFNpYNeKFtG8_yji4HS352LGlSQ/edit?pli=1#gid=0"",""1_ACUM!A4:S""),19,FALSE))"),"")</f>
        <v/>
      </c>
      <c r="BG272" s="98" t="str">
        <f ca="1">IFERROR(__xludf.DUMMYFUNCTION("IFERROR(VLOOKUP(F538,IMPORTRANGE(""https://docs.google.com/spreadsheets/d/1Kvs4KS76FHFqLFIZfrDMff4kP08nblUkihrxltoGBjg/edit#gid=934712705"",""ESENCIAL!A6:BG""),5,FALSE))"),"")</f>
        <v/>
      </c>
      <c r="BH272" s="98" t="str">
        <f t="shared" si="21"/>
        <v/>
      </c>
      <c r="BI272" s="99" t="str">
        <f t="shared" si="22"/>
        <v/>
      </c>
      <c r="BJ272" s="100" t="str">
        <f ca="1">IFERROR(__xludf.DUMMYFUNCTION("IFERROR(VLOOKUP(F538,IMPORTRANGE(""https://docs.google.com/spreadsheets/d/1Kvs4KS76FHFqLFIZfrDMff4kP08nblUkihrxltoGBjg/edit#gid=934712705"",""ESENCIAL!A6:BG""),2,FALSE))"),"")</f>
        <v/>
      </c>
      <c r="BK272" s="19" t="str">
        <f t="shared" si="23"/>
        <v/>
      </c>
      <c r="BL272" s="100"/>
      <c r="BM272" s="100"/>
    </row>
    <row r="273" spans="2:65" ht="15">
      <c r="B273" s="39"/>
      <c r="C273" s="5"/>
      <c r="D273" s="123"/>
      <c r="E273" s="39"/>
      <c r="F273" s="39"/>
      <c r="G273" s="39"/>
      <c r="H273" s="5" t="str">
        <f ca="1">IFERROR(__xludf.DUMMYFUNCTION("IFERROR(VLOOKUP(F539,IMPORTRANGE(""https://docs.google.com/spreadsheets/d/1Kvs4KS76FHFqLFIZfrDMff4kP08nblUkihrxltoGBjg/edit#gid=934712705"",""ESENCIAL!A6:BG""),3,FALSE))"),"")</f>
        <v/>
      </c>
      <c r="I273" s="5" t="str">
        <f ca="1">IFERROR(__xludf.DUMMYFUNCTION("IFERROR(VLOOKUP(F539,IMPORTRANGE(""https://docs.google.com/spreadsheets/d/1Kvs4KS76FHFqLFIZfrDMff4kP08nblUkihrxltoGBjg/edit#gid=934712705"",""ESENCIAL!A6:BG""),8,FALSE))"),"")</f>
        <v/>
      </c>
      <c r="J273" s="39"/>
      <c r="M273" s="287"/>
      <c r="AV273" s="41" t="str">
        <f t="shared" si="20"/>
        <v/>
      </c>
      <c r="AW273" s="5" t="str">
        <f ca="1">IFERROR(__xludf.DUMMYFUNCTION("IFERROR(VLOOKUP(E539&amp;F539,IMPORTRANGE(""https://docs.google.com/spreadsheets/d/1Uw7-A9f9R21vMXxHZFNpYNeKFtG8_yji4HS352LGlSQ/edit?pli=1#gid=0"",""1_ACUM!A4:S""),11,FALSE))"),"")</f>
        <v/>
      </c>
      <c r="AX273" s="42" t="str">
        <f ca="1">IFERROR(__xludf.DUMMYFUNCTION("IFERROR(VLOOKUP(F539,IMPORTRANGE(""https://docs.google.com/spreadsheets/d/1Kvs4KS76FHFqLFIZfrDMff4kP08nblUkihrxltoGBjg/edit#gid=934712705"",""ESENCIAL!A6:BG""),15,FALSE))"),"")</f>
        <v/>
      </c>
      <c r="AY273" s="110" t="str">
        <f ca="1">IFERROR(__xludf.DUMMYFUNCTION("IFERROR(VLOOKUP(E539&amp;F539,IMPORTRANGE(""https://docs.google.com/spreadsheets/d/1Uw7-A9f9R21vMXxHZFNpYNeKFtG8_yji4HS352LGlSQ/edit?pli=1#gid=0"",""1_ACUM!A4:S""),13,FALSE))"),"")</f>
        <v/>
      </c>
      <c r="AZ273" s="43" t="str">
        <f ca="1">IFERROR(__xludf.DUMMYFUNCTION("IFERROR(VLOOKUP(E539&amp;F539,IMPORTRANGE(""https://docs.google.com/spreadsheets/d/1Uw7-A9f9R21vMXxHZFNpYNeKFtG8_yji4HS352LGlSQ/edit?pli=1#gid=0"",""1_ACUM!A4:S""),13,FALSE))"),"")</f>
        <v/>
      </c>
      <c r="BA273" s="43" t="str">
        <f ca="1">IFERROR(__xludf.DUMMYFUNCTION("IFERROR(VLOOKUP(E539&amp;F539,IMPORTRANGE(""https://docs.google.com/spreadsheets/d/1Uw7-A9f9R21vMXxHZFNpYNeKFtG8_yji4HS352LGlSQ/edit?pli=1#gid=0"",""1_ACUM!A4:S""),14,FALSE))"),"")</f>
        <v/>
      </c>
      <c r="BB273" s="43" t="str">
        <f ca="1">IFERROR(__xludf.DUMMYFUNCTION("IFERROR(VLOOKUP(E539&amp;F539,IMPORTRANGE(""https://docs.google.com/spreadsheets/d/1Uw7-A9f9R21vMXxHZFNpYNeKFtG8_yji4HS352LGlSQ/edit?pli=1#gid=0"",""1_ACUM!A4:S""),15,FALSE))"),"")</f>
        <v/>
      </c>
      <c r="BC273" s="43" t="str">
        <f ca="1">IFERROR(__xludf.DUMMYFUNCTION("IFERROR(VLOOKUP(E539&amp;F539,IMPORTRANGE(""https://docs.google.com/spreadsheets/d/1Uw7-A9f9R21vMXxHZFNpYNeKFtG8_yji4HS352LGlSQ/edit?pli=1#gid=0"",""1_ACUM!A4:S""),16,FALSE))"),"")</f>
        <v/>
      </c>
      <c r="BD273" s="43" t="str">
        <f ca="1">IFERROR(__xludf.DUMMYFUNCTION("IFERROR(VLOOKUP(E539&amp;F539,IMPORTRANGE(""https://docs.google.com/spreadsheets/d/1Uw7-A9f9R21vMXxHZFNpYNeKFtG8_yji4HS352LGlSQ/edit?pli=1#gid=0"",""1_ACUM!A4:S""),17,FALSE))"),"")</f>
        <v/>
      </c>
      <c r="BE273" s="44" t="str">
        <f ca="1">IFERROR(__xludf.DUMMYFUNCTION("IFERROR(VLOOKUP(E539&amp;F539,IMPORTRANGE(""https://docs.google.com/spreadsheets/d/1Uw7-A9f9R21vMXxHZFNpYNeKFtG8_yji4HS352LGlSQ/edit?pli=1#gid=0"",""1_ACUM!A4:S""),18,FALSE))"),"")</f>
        <v/>
      </c>
      <c r="BF273" s="44" t="str">
        <f ca="1">IFERROR(__xludf.DUMMYFUNCTION("IFERROR(VLOOKUP(E539&amp;F539,IMPORTRANGE(""https://docs.google.com/spreadsheets/d/1Uw7-A9f9R21vMXxHZFNpYNeKFtG8_yji4HS352LGlSQ/edit?pli=1#gid=0"",""1_ACUM!A4:S""),19,FALSE))"),"")</f>
        <v/>
      </c>
      <c r="BG273" s="98" t="str">
        <f ca="1">IFERROR(__xludf.DUMMYFUNCTION("IFERROR(VLOOKUP(F539,IMPORTRANGE(""https://docs.google.com/spreadsheets/d/1Kvs4KS76FHFqLFIZfrDMff4kP08nblUkihrxltoGBjg/edit#gid=934712705"",""ESENCIAL!A6:BG""),5,FALSE))"),"")</f>
        <v/>
      </c>
      <c r="BH273" s="98" t="str">
        <f t="shared" si="21"/>
        <v/>
      </c>
      <c r="BI273" s="99" t="str">
        <f t="shared" si="22"/>
        <v/>
      </c>
      <c r="BJ273" s="100" t="str">
        <f ca="1">IFERROR(__xludf.DUMMYFUNCTION("IFERROR(VLOOKUP(F539,IMPORTRANGE(""https://docs.google.com/spreadsheets/d/1Kvs4KS76FHFqLFIZfrDMff4kP08nblUkihrxltoGBjg/edit#gid=934712705"",""ESENCIAL!A6:BG""),2,FALSE))"),"")</f>
        <v/>
      </c>
      <c r="BK273" s="19" t="str">
        <f t="shared" si="23"/>
        <v/>
      </c>
      <c r="BL273" s="100"/>
      <c r="BM273" s="100"/>
    </row>
    <row r="274" spans="2:65" ht="15">
      <c r="B274" s="39"/>
      <c r="C274" s="5"/>
      <c r="D274" s="123"/>
      <c r="E274" s="39"/>
      <c r="F274" s="39"/>
      <c r="G274" s="39"/>
      <c r="H274" s="5" t="str">
        <f ca="1">IFERROR(__xludf.DUMMYFUNCTION("IFERROR(VLOOKUP(F540,IMPORTRANGE(""https://docs.google.com/spreadsheets/d/1Kvs4KS76FHFqLFIZfrDMff4kP08nblUkihrxltoGBjg/edit#gid=934712705"",""ESENCIAL!A6:BG""),3,FALSE))"),"")</f>
        <v/>
      </c>
      <c r="I274" s="5" t="str">
        <f ca="1">IFERROR(__xludf.DUMMYFUNCTION("IFERROR(VLOOKUP(F540,IMPORTRANGE(""https://docs.google.com/spreadsheets/d/1Kvs4KS76FHFqLFIZfrDMff4kP08nblUkihrxltoGBjg/edit#gid=934712705"",""ESENCIAL!A6:BG""),8,FALSE))"),"")</f>
        <v/>
      </c>
      <c r="J274" s="39"/>
      <c r="M274" s="287"/>
      <c r="AV274" s="41" t="str">
        <f t="shared" si="20"/>
        <v/>
      </c>
      <c r="AW274" s="5" t="str">
        <f ca="1">IFERROR(__xludf.DUMMYFUNCTION("IFERROR(VLOOKUP(E540&amp;F540,IMPORTRANGE(""https://docs.google.com/spreadsheets/d/1Uw7-A9f9R21vMXxHZFNpYNeKFtG8_yji4HS352LGlSQ/edit?pli=1#gid=0"",""1_ACUM!A4:S""),11,FALSE))"),"")</f>
        <v/>
      </c>
      <c r="AX274" s="42" t="str">
        <f ca="1">IFERROR(__xludf.DUMMYFUNCTION("IFERROR(VLOOKUP(F540,IMPORTRANGE(""https://docs.google.com/spreadsheets/d/1Kvs4KS76FHFqLFIZfrDMff4kP08nblUkihrxltoGBjg/edit#gid=934712705"",""ESENCIAL!A6:BG""),15,FALSE))"),"")</f>
        <v/>
      </c>
      <c r="AY274" s="110" t="str">
        <f ca="1">IFERROR(__xludf.DUMMYFUNCTION("IFERROR(VLOOKUP(E540&amp;F540,IMPORTRANGE(""https://docs.google.com/spreadsheets/d/1Uw7-A9f9R21vMXxHZFNpYNeKFtG8_yji4HS352LGlSQ/edit?pli=1#gid=0"",""1_ACUM!A4:S""),13,FALSE))"),"")</f>
        <v/>
      </c>
      <c r="AZ274" s="43" t="str">
        <f ca="1">IFERROR(__xludf.DUMMYFUNCTION("IFERROR(VLOOKUP(E540&amp;F540,IMPORTRANGE(""https://docs.google.com/spreadsheets/d/1Uw7-A9f9R21vMXxHZFNpYNeKFtG8_yji4HS352LGlSQ/edit?pli=1#gid=0"",""1_ACUM!A4:S""),13,FALSE))"),"")</f>
        <v/>
      </c>
      <c r="BA274" s="43" t="str">
        <f ca="1">IFERROR(__xludf.DUMMYFUNCTION("IFERROR(VLOOKUP(E540&amp;F540,IMPORTRANGE(""https://docs.google.com/spreadsheets/d/1Uw7-A9f9R21vMXxHZFNpYNeKFtG8_yji4HS352LGlSQ/edit?pli=1#gid=0"",""1_ACUM!A4:S""),14,FALSE))"),"")</f>
        <v/>
      </c>
      <c r="BB274" s="43" t="str">
        <f ca="1">IFERROR(__xludf.DUMMYFUNCTION("IFERROR(VLOOKUP(E540&amp;F540,IMPORTRANGE(""https://docs.google.com/spreadsheets/d/1Uw7-A9f9R21vMXxHZFNpYNeKFtG8_yji4HS352LGlSQ/edit?pli=1#gid=0"",""1_ACUM!A4:S""),15,FALSE))"),"")</f>
        <v/>
      </c>
      <c r="BC274" s="43" t="str">
        <f ca="1">IFERROR(__xludf.DUMMYFUNCTION("IFERROR(VLOOKUP(E540&amp;F540,IMPORTRANGE(""https://docs.google.com/spreadsheets/d/1Uw7-A9f9R21vMXxHZFNpYNeKFtG8_yji4HS352LGlSQ/edit?pli=1#gid=0"",""1_ACUM!A4:S""),16,FALSE))"),"")</f>
        <v/>
      </c>
      <c r="BD274" s="43" t="str">
        <f ca="1">IFERROR(__xludf.DUMMYFUNCTION("IFERROR(VLOOKUP(E540&amp;F540,IMPORTRANGE(""https://docs.google.com/spreadsheets/d/1Uw7-A9f9R21vMXxHZFNpYNeKFtG8_yji4HS352LGlSQ/edit?pli=1#gid=0"",""1_ACUM!A4:S""),17,FALSE))"),"")</f>
        <v/>
      </c>
      <c r="BE274" s="44" t="str">
        <f ca="1">IFERROR(__xludf.DUMMYFUNCTION("IFERROR(VLOOKUP(E540&amp;F540,IMPORTRANGE(""https://docs.google.com/spreadsheets/d/1Uw7-A9f9R21vMXxHZFNpYNeKFtG8_yji4HS352LGlSQ/edit?pli=1#gid=0"",""1_ACUM!A4:S""),18,FALSE))"),"")</f>
        <v/>
      </c>
      <c r="BF274" s="44" t="str">
        <f ca="1">IFERROR(__xludf.DUMMYFUNCTION("IFERROR(VLOOKUP(E540&amp;F540,IMPORTRANGE(""https://docs.google.com/spreadsheets/d/1Uw7-A9f9R21vMXxHZFNpYNeKFtG8_yji4HS352LGlSQ/edit?pli=1#gid=0"",""1_ACUM!A4:S""),19,FALSE))"),"")</f>
        <v/>
      </c>
      <c r="BG274" s="98" t="str">
        <f ca="1">IFERROR(__xludf.DUMMYFUNCTION("IFERROR(VLOOKUP(F540,IMPORTRANGE(""https://docs.google.com/spreadsheets/d/1Kvs4KS76FHFqLFIZfrDMff4kP08nblUkihrxltoGBjg/edit#gid=934712705"",""ESENCIAL!A6:BG""),5,FALSE))"),"")</f>
        <v/>
      </c>
      <c r="BH274" s="98" t="str">
        <f t="shared" si="21"/>
        <v/>
      </c>
      <c r="BI274" s="99" t="str">
        <f t="shared" si="22"/>
        <v/>
      </c>
      <c r="BJ274" s="100" t="str">
        <f ca="1">IFERROR(__xludf.DUMMYFUNCTION("IFERROR(VLOOKUP(F540,IMPORTRANGE(""https://docs.google.com/spreadsheets/d/1Kvs4KS76FHFqLFIZfrDMff4kP08nblUkihrxltoGBjg/edit#gid=934712705"",""ESENCIAL!A6:BG""),2,FALSE))"),"")</f>
        <v/>
      </c>
      <c r="BK274" s="19" t="str">
        <f t="shared" si="23"/>
        <v/>
      </c>
      <c r="BL274" s="100"/>
      <c r="BM274" s="100"/>
    </row>
    <row r="275" spans="2:65" ht="15">
      <c r="B275" s="39"/>
      <c r="C275" s="5"/>
      <c r="D275" s="123"/>
      <c r="E275" s="39"/>
      <c r="F275" s="39"/>
      <c r="G275" s="39"/>
      <c r="H275" s="5" t="str">
        <f ca="1">IFERROR(__xludf.DUMMYFUNCTION("IFERROR(VLOOKUP(F541,IMPORTRANGE(""https://docs.google.com/spreadsheets/d/1Kvs4KS76FHFqLFIZfrDMff4kP08nblUkihrxltoGBjg/edit#gid=934712705"",""ESENCIAL!A6:BG""),3,FALSE))"),"")</f>
        <v/>
      </c>
      <c r="I275" s="5" t="str">
        <f ca="1">IFERROR(__xludf.DUMMYFUNCTION("IFERROR(VLOOKUP(F541,IMPORTRANGE(""https://docs.google.com/spreadsheets/d/1Kvs4KS76FHFqLFIZfrDMff4kP08nblUkihrxltoGBjg/edit#gid=934712705"",""ESENCIAL!A6:BG""),8,FALSE))"),"")</f>
        <v/>
      </c>
      <c r="J275" s="39"/>
      <c r="M275" s="287"/>
      <c r="AV275" s="41" t="str">
        <f t="shared" si="20"/>
        <v/>
      </c>
      <c r="AW275" s="5" t="str">
        <f ca="1">IFERROR(__xludf.DUMMYFUNCTION("IFERROR(VLOOKUP(E541&amp;F541,IMPORTRANGE(""https://docs.google.com/spreadsheets/d/1Uw7-A9f9R21vMXxHZFNpYNeKFtG8_yji4HS352LGlSQ/edit?pli=1#gid=0"",""1_ACUM!A4:S""),11,FALSE))"),"")</f>
        <v/>
      </c>
      <c r="AX275" s="42" t="str">
        <f ca="1">IFERROR(__xludf.DUMMYFUNCTION("IFERROR(VLOOKUP(F541,IMPORTRANGE(""https://docs.google.com/spreadsheets/d/1Kvs4KS76FHFqLFIZfrDMff4kP08nblUkihrxltoGBjg/edit#gid=934712705"",""ESENCIAL!A6:BG""),15,FALSE))"),"")</f>
        <v/>
      </c>
      <c r="AY275" s="110" t="str">
        <f ca="1">IFERROR(__xludf.DUMMYFUNCTION("IFERROR(VLOOKUP(E541&amp;F541,IMPORTRANGE(""https://docs.google.com/spreadsheets/d/1Uw7-A9f9R21vMXxHZFNpYNeKFtG8_yji4HS352LGlSQ/edit?pli=1#gid=0"",""1_ACUM!A4:S""),13,FALSE))"),"")</f>
        <v/>
      </c>
      <c r="AZ275" s="43" t="str">
        <f ca="1">IFERROR(__xludf.DUMMYFUNCTION("IFERROR(VLOOKUP(E541&amp;F541,IMPORTRANGE(""https://docs.google.com/spreadsheets/d/1Uw7-A9f9R21vMXxHZFNpYNeKFtG8_yji4HS352LGlSQ/edit?pli=1#gid=0"",""1_ACUM!A4:S""),13,FALSE))"),"")</f>
        <v/>
      </c>
      <c r="BA275" s="43" t="str">
        <f ca="1">IFERROR(__xludf.DUMMYFUNCTION("IFERROR(VLOOKUP(E541&amp;F541,IMPORTRANGE(""https://docs.google.com/spreadsheets/d/1Uw7-A9f9R21vMXxHZFNpYNeKFtG8_yji4HS352LGlSQ/edit?pli=1#gid=0"",""1_ACUM!A4:S""),14,FALSE))"),"")</f>
        <v/>
      </c>
      <c r="BB275" s="43" t="str">
        <f ca="1">IFERROR(__xludf.DUMMYFUNCTION("IFERROR(VLOOKUP(E541&amp;F541,IMPORTRANGE(""https://docs.google.com/spreadsheets/d/1Uw7-A9f9R21vMXxHZFNpYNeKFtG8_yji4HS352LGlSQ/edit?pli=1#gid=0"",""1_ACUM!A4:S""),15,FALSE))"),"")</f>
        <v/>
      </c>
      <c r="BC275" s="43" t="str">
        <f ca="1">IFERROR(__xludf.DUMMYFUNCTION("IFERROR(VLOOKUP(E541&amp;F541,IMPORTRANGE(""https://docs.google.com/spreadsheets/d/1Uw7-A9f9R21vMXxHZFNpYNeKFtG8_yji4HS352LGlSQ/edit?pli=1#gid=0"",""1_ACUM!A4:S""),16,FALSE))"),"")</f>
        <v/>
      </c>
      <c r="BD275" s="43" t="str">
        <f ca="1">IFERROR(__xludf.DUMMYFUNCTION("IFERROR(VLOOKUP(E541&amp;F541,IMPORTRANGE(""https://docs.google.com/spreadsheets/d/1Uw7-A9f9R21vMXxHZFNpYNeKFtG8_yji4HS352LGlSQ/edit?pli=1#gid=0"",""1_ACUM!A4:S""),17,FALSE))"),"")</f>
        <v/>
      </c>
      <c r="BE275" s="44" t="str">
        <f ca="1">IFERROR(__xludf.DUMMYFUNCTION("IFERROR(VLOOKUP(E541&amp;F541,IMPORTRANGE(""https://docs.google.com/spreadsheets/d/1Uw7-A9f9R21vMXxHZFNpYNeKFtG8_yji4HS352LGlSQ/edit?pli=1#gid=0"",""1_ACUM!A4:S""),18,FALSE))"),"")</f>
        <v/>
      </c>
      <c r="BF275" s="44" t="str">
        <f ca="1">IFERROR(__xludf.DUMMYFUNCTION("IFERROR(VLOOKUP(E541&amp;F541,IMPORTRANGE(""https://docs.google.com/spreadsheets/d/1Uw7-A9f9R21vMXxHZFNpYNeKFtG8_yji4HS352LGlSQ/edit?pli=1#gid=0"",""1_ACUM!A4:S""),19,FALSE))"),"")</f>
        <v/>
      </c>
      <c r="BG275" s="98" t="str">
        <f ca="1">IFERROR(__xludf.DUMMYFUNCTION("IFERROR(VLOOKUP(F541,IMPORTRANGE(""https://docs.google.com/spreadsheets/d/1Kvs4KS76FHFqLFIZfrDMff4kP08nblUkihrxltoGBjg/edit#gid=934712705"",""ESENCIAL!A6:BG""),5,FALSE))"),"")</f>
        <v/>
      </c>
      <c r="BH275" s="98" t="str">
        <f t="shared" si="21"/>
        <v/>
      </c>
      <c r="BI275" s="99" t="str">
        <f t="shared" si="22"/>
        <v/>
      </c>
      <c r="BJ275" s="100" t="str">
        <f ca="1">IFERROR(__xludf.DUMMYFUNCTION("IFERROR(VLOOKUP(F541,IMPORTRANGE(""https://docs.google.com/spreadsheets/d/1Kvs4KS76FHFqLFIZfrDMff4kP08nblUkihrxltoGBjg/edit#gid=934712705"",""ESENCIAL!A6:BG""),2,FALSE))"),"")</f>
        <v/>
      </c>
      <c r="BK275" s="19" t="str">
        <f t="shared" si="23"/>
        <v/>
      </c>
      <c r="BL275" s="100"/>
      <c r="BM275" s="100"/>
    </row>
    <row r="276" spans="2:65" ht="15">
      <c r="B276" s="39"/>
      <c r="C276" s="5"/>
      <c r="D276" s="123"/>
      <c r="E276" s="39"/>
      <c r="F276" s="39"/>
      <c r="G276" s="39"/>
      <c r="H276" s="5" t="str">
        <f ca="1">IFERROR(__xludf.DUMMYFUNCTION("IFERROR(VLOOKUP(F542,IMPORTRANGE(""https://docs.google.com/spreadsheets/d/1Kvs4KS76FHFqLFIZfrDMff4kP08nblUkihrxltoGBjg/edit#gid=934712705"",""ESENCIAL!A6:BG""),3,FALSE))"),"")</f>
        <v/>
      </c>
      <c r="I276" s="5" t="str">
        <f ca="1">IFERROR(__xludf.DUMMYFUNCTION("IFERROR(VLOOKUP(F542,IMPORTRANGE(""https://docs.google.com/spreadsheets/d/1Kvs4KS76FHFqLFIZfrDMff4kP08nblUkihrxltoGBjg/edit#gid=934712705"",""ESENCIAL!A6:BG""),8,FALSE))"),"")</f>
        <v/>
      </c>
      <c r="J276" s="39"/>
      <c r="M276" s="287"/>
      <c r="AV276" s="41" t="str">
        <f t="shared" si="20"/>
        <v/>
      </c>
      <c r="AW276" s="5" t="str">
        <f ca="1">IFERROR(__xludf.DUMMYFUNCTION("IFERROR(VLOOKUP(E542&amp;F542,IMPORTRANGE(""https://docs.google.com/spreadsheets/d/1Uw7-A9f9R21vMXxHZFNpYNeKFtG8_yji4HS352LGlSQ/edit?pli=1#gid=0"",""1_ACUM!A4:S""),11,FALSE))"),"")</f>
        <v/>
      </c>
      <c r="AX276" s="42" t="str">
        <f ca="1">IFERROR(__xludf.DUMMYFUNCTION("IFERROR(VLOOKUP(F542,IMPORTRANGE(""https://docs.google.com/spreadsheets/d/1Kvs4KS76FHFqLFIZfrDMff4kP08nblUkihrxltoGBjg/edit#gid=934712705"",""ESENCIAL!A6:BG""),15,FALSE))"),"")</f>
        <v/>
      </c>
      <c r="AY276" s="110" t="str">
        <f ca="1">IFERROR(__xludf.DUMMYFUNCTION("IFERROR(VLOOKUP(E542&amp;F542,IMPORTRANGE(""https://docs.google.com/spreadsheets/d/1Uw7-A9f9R21vMXxHZFNpYNeKFtG8_yji4HS352LGlSQ/edit?pli=1#gid=0"",""1_ACUM!A4:S""),13,FALSE))"),"")</f>
        <v/>
      </c>
      <c r="AZ276" s="43" t="str">
        <f ca="1">IFERROR(__xludf.DUMMYFUNCTION("IFERROR(VLOOKUP(E542&amp;F542,IMPORTRANGE(""https://docs.google.com/spreadsheets/d/1Uw7-A9f9R21vMXxHZFNpYNeKFtG8_yji4HS352LGlSQ/edit?pli=1#gid=0"",""1_ACUM!A4:S""),13,FALSE))"),"")</f>
        <v/>
      </c>
      <c r="BA276" s="43" t="str">
        <f ca="1">IFERROR(__xludf.DUMMYFUNCTION("IFERROR(VLOOKUP(E542&amp;F542,IMPORTRANGE(""https://docs.google.com/spreadsheets/d/1Uw7-A9f9R21vMXxHZFNpYNeKFtG8_yji4HS352LGlSQ/edit?pli=1#gid=0"",""1_ACUM!A4:S""),14,FALSE))"),"")</f>
        <v/>
      </c>
      <c r="BB276" s="43" t="str">
        <f ca="1">IFERROR(__xludf.DUMMYFUNCTION("IFERROR(VLOOKUP(E542&amp;F542,IMPORTRANGE(""https://docs.google.com/spreadsheets/d/1Uw7-A9f9R21vMXxHZFNpYNeKFtG8_yji4HS352LGlSQ/edit?pli=1#gid=0"",""1_ACUM!A4:S""),15,FALSE))"),"")</f>
        <v/>
      </c>
      <c r="BC276" s="43" t="str">
        <f ca="1">IFERROR(__xludf.DUMMYFUNCTION("IFERROR(VLOOKUP(E542&amp;F542,IMPORTRANGE(""https://docs.google.com/spreadsheets/d/1Uw7-A9f9R21vMXxHZFNpYNeKFtG8_yji4HS352LGlSQ/edit?pli=1#gid=0"",""1_ACUM!A4:S""),16,FALSE))"),"")</f>
        <v/>
      </c>
      <c r="BD276" s="43" t="str">
        <f ca="1">IFERROR(__xludf.DUMMYFUNCTION("IFERROR(VLOOKUP(E542&amp;F542,IMPORTRANGE(""https://docs.google.com/spreadsheets/d/1Uw7-A9f9R21vMXxHZFNpYNeKFtG8_yji4HS352LGlSQ/edit?pli=1#gid=0"",""1_ACUM!A4:S""),17,FALSE))"),"")</f>
        <v/>
      </c>
      <c r="BE276" s="44" t="str">
        <f ca="1">IFERROR(__xludf.DUMMYFUNCTION("IFERROR(VLOOKUP(E542&amp;F542,IMPORTRANGE(""https://docs.google.com/spreadsheets/d/1Uw7-A9f9R21vMXxHZFNpYNeKFtG8_yji4HS352LGlSQ/edit?pli=1#gid=0"",""1_ACUM!A4:S""),18,FALSE))"),"")</f>
        <v/>
      </c>
      <c r="BF276" s="44" t="str">
        <f ca="1">IFERROR(__xludf.DUMMYFUNCTION("IFERROR(VLOOKUP(E542&amp;F542,IMPORTRANGE(""https://docs.google.com/spreadsheets/d/1Uw7-A9f9R21vMXxHZFNpYNeKFtG8_yji4HS352LGlSQ/edit?pli=1#gid=0"",""1_ACUM!A4:S""),19,FALSE))"),"")</f>
        <v/>
      </c>
      <c r="BG276" s="98" t="str">
        <f ca="1">IFERROR(__xludf.DUMMYFUNCTION("IFERROR(VLOOKUP(F542,IMPORTRANGE(""https://docs.google.com/spreadsheets/d/1Kvs4KS76FHFqLFIZfrDMff4kP08nblUkihrxltoGBjg/edit#gid=934712705"",""ESENCIAL!A6:BG""),5,FALSE))"),"")</f>
        <v/>
      </c>
      <c r="BH276" s="98" t="str">
        <f t="shared" si="21"/>
        <v/>
      </c>
      <c r="BI276" s="99" t="str">
        <f t="shared" si="22"/>
        <v/>
      </c>
      <c r="BJ276" s="100" t="str">
        <f ca="1">IFERROR(__xludf.DUMMYFUNCTION("IFERROR(VLOOKUP(F542,IMPORTRANGE(""https://docs.google.com/spreadsheets/d/1Kvs4KS76FHFqLFIZfrDMff4kP08nblUkihrxltoGBjg/edit#gid=934712705"",""ESENCIAL!A6:BG""),2,FALSE))"),"")</f>
        <v/>
      </c>
      <c r="BK276" s="19" t="str">
        <f t="shared" si="23"/>
        <v/>
      </c>
      <c r="BL276" s="100"/>
      <c r="BM276" s="100"/>
    </row>
    <row r="277" spans="2:65" ht="15">
      <c r="B277" s="39"/>
      <c r="C277" s="5"/>
      <c r="D277" s="123"/>
      <c r="E277" s="39"/>
      <c r="F277" s="39"/>
      <c r="G277" s="39"/>
      <c r="H277" s="5" t="str">
        <f ca="1">IFERROR(__xludf.DUMMYFUNCTION("IFERROR(VLOOKUP(F543,IMPORTRANGE(""https://docs.google.com/spreadsheets/d/1Kvs4KS76FHFqLFIZfrDMff4kP08nblUkihrxltoGBjg/edit#gid=934712705"",""ESENCIAL!A6:BG""),3,FALSE))"),"")</f>
        <v/>
      </c>
      <c r="I277" s="5" t="str">
        <f ca="1">IFERROR(__xludf.DUMMYFUNCTION("IFERROR(VLOOKUP(F543,IMPORTRANGE(""https://docs.google.com/spreadsheets/d/1Kvs4KS76FHFqLFIZfrDMff4kP08nblUkihrxltoGBjg/edit#gid=934712705"",""ESENCIAL!A6:BG""),8,FALSE))"),"")</f>
        <v/>
      </c>
      <c r="J277" s="39"/>
      <c r="M277" s="287"/>
      <c r="AV277" s="41" t="str">
        <f t="shared" si="20"/>
        <v/>
      </c>
      <c r="AW277" s="5" t="str">
        <f ca="1">IFERROR(__xludf.DUMMYFUNCTION("IFERROR(VLOOKUP(E543&amp;F543,IMPORTRANGE(""https://docs.google.com/spreadsheets/d/1Uw7-A9f9R21vMXxHZFNpYNeKFtG8_yji4HS352LGlSQ/edit?pli=1#gid=0"",""1_ACUM!A4:S""),11,FALSE))"),"")</f>
        <v/>
      </c>
      <c r="AX277" s="42" t="str">
        <f ca="1">IFERROR(__xludf.DUMMYFUNCTION("IFERROR(VLOOKUP(F543,IMPORTRANGE(""https://docs.google.com/spreadsheets/d/1Kvs4KS76FHFqLFIZfrDMff4kP08nblUkihrxltoGBjg/edit#gid=934712705"",""ESENCIAL!A6:BG""),15,FALSE))"),"")</f>
        <v/>
      </c>
      <c r="AY277" s="110" t="str">
        <f ca="1">IFERROR(__xludf.DUMMYFUNCTION("IFERROR(VLOOKUP(E543&amp;F543,IMPORTRANGE(""https://docs.google.com/spreadsheets/d/1Uw7-A9f9R21vMXxHZFNpYNeKFtG8_yji4HS352LGlSQ/edit?pli=1#gid=0"",""1_ACUM!A4:S""),13,FALSE))"),"")</f>
        <v/>
      </c>
      <c r="AZ277" s="43" t="str">
        <f ca="1">IFERROR(__xludf.DUMMYFUNCTION("IFERROR(VLOOKUP(E543&amp;F543,IMPORTRANGE(""https://docs.google.com/spreadsheets/d/1Uw7-A9f9R21vMXxHZFNpYNeKFtG8_yji4HS352LGlSQ/edit?pli=1#gid=0"",""1_ACUM!A4:S""),13,FALSE))"),"")</f>
        <v/>
      </c>
      <c r="BA277" s="43" t="str">
        <f ca="1">IFERROR(__xludf.DUMMYFUNCTION("IFERROR(VLOOKUP(E543&amp;F543,IMPORTRANGE(""https://docs.google.com/spreadsheets/d/1Uw7-A9f9R21vMXxHZFNpYNeKFtG8_yji4HS352LGlSQ/edit?pli=1#gid=0"",""1_ACUM!A4:S""),14,FALSE))"),"")</f>
        <v/>
      </c>
      <c r="BB277" s="43" t="str">
        <f ca="1">IFERROR(__xludf.DUMMYFUNCTION("IFERROR(VLOOKUP(E543&amp;F543,IMPORTRANGE(""https://docs.google.com/spreadsheets/d/1Uw7-A9f9R21vMXxHZFNpYNeKFtG8_yji4HS352LGlSQ/edit?pli=1#gid=0"",""1_ACUM!A4:S""),15,FALSE))"),"")</f>
        <v/>
      </c>
      <c r="BC277" s="43" t="str">
        <f ca="1">IFERROR(__xludf.DUMMYFUNCTION("IFERROR(VLOOKUP(E543&amp;F543,IMPORTRANGE(""https://docs.google.com/spreadsheets/d/1Uw7-A9f9R21vMXxHZFNpYNeKFtG8_yji4HS352LGlSQ/edit?pli=1#gid=0"",""1_ACUM!A4:S""),16,FALSE))"),"")</f>
        <v/>
      </c>
      <c r="BD277" s="43" t="str">
        <f ca="1">IFERROR(__xludf.DUMMYFUNCTION("IFERROR(VLOOKUP(E543&amp;F543,IMPORTRANGE(""https://docs.google.com/spreadsheets/d/1Uw7-A9f9R21vMXxHZFNpYNeKFtG8_yji4HS352LGlSQ/edit?pli=1#gid=0"",""1_ACUM!A4:S""),17,FALSE))"),"")</f>
        <v/>
      </c>
      <c r="BE277" s="44" t="str">
        <f ca="1">IFERROR(__xludf.DUMMYFUNCTION("IFERROR(VLOOKUP(E543&amp;F543,IMPORTRANGE(""https://docs.google.com/spreadsheets/d/1Uw7-A9f9R21vMXxHZFNpYNeKFtG8_yji4HS352LGlSQ/edit?pli=1#gid=0"",""1_ACUM!A4:S""),18,FALSE))"),"")</f>
        <v/>
      </c>
      <c r="BF277" s="44" t="str">
        <f ca="1">IFERROR(__xludf.DUMMYFUNCTION("IFERROR(VLOOKUP(E543&amp;F543,IMPORTRANGE(""https://docs.google.com/spreadsheets/d/1Uw7-A9f9R21vMXxHZFNpYNeKFtG8_yji4HS352LGlSQ/edit?pli=1#gid=0"",""1_ACUM!A4:S""),19,FALSE))"),"")</f>
        <v/>
      </c>
      <c r="BG277" s="98" t="str">
        <f ca="1">IFERROR(__xludf.DUMMYFUNCTION("IFERROR(VLOOKUP(F543,IMPORTRANGE(""https://docs.google.com/spreadsheets/d/1Kvs4KS76FHFqLFIZfrDMff4kP08nblUkihrxltoGBjg/edit#gid=934712705"",""ESENCIAL!A6:BG""),5,FALSE))"),"")</f>
        <v/>
      </c>
      <c r="BH277" s="98" t="str">
        <f t="shared" si="21"/>
        <v/>
      </c>
      <c r="BI277" s="99" t="str">
        <f t="shared" si="22"/>
        <v/>
      </c>
      <c r="BJ277" s="100" t="str">
        <f ca="1">IFERROR(__xludf.DUMMYFUNCTION("IFERROR(VLOOKUP(F543,IMPORTRANGE(""https://docs.google.com/spreadsheets/d/1Kvs4KS76FHFqLFIZfrDMff4kP08nblUkihrxltoGBjg/edit#gid=934712705"",""ESENCIAL!A6:BG""),2,FALSE))"),"")</f>
        <v/>
      </c>
      <c r="BK277" s="19" t="str">
        <f t="shared" si="23"/>
        <v/>
      </c>
      <c r="BL277" s="100"/>
      <c r="BM277" s="100"/>
    </row>
    <row r="278" spans="2:65" ht="15">
      <c r="B278" s="39"/>
      <c r="C278" s="5"/>
      <c r="D278" s="123"/>
      <c r="E278" s="39"/>
      <c r="F278" s="39"/>
      <c r="G278" s="39"/>
      <c r="H278" s="5" t="str">
        <f ca="1">IFERROR(__xludf.DUMMYFUNCTION("IFERROR(VLOOKUP(F544,IMPORTRANGE(""https://docs.google.com/spreadsheets/d/1Kvs4KS76FHFqLFIZfrDMff4kP08nblUkihrxltoGBjg/edit#gid=934712705"",""ESENCIAL!A6:BG""),3,FALSE))"),"")</f>
        <v/>
      </c>
      <c r="I278" s="5" t="str">
        <f ca="1">IFERROR(__xludf.DUMMYFUNCTION("IFERROR(VLOOKUP(F544,IMPORTRANGE(""https://docs.google.com/spreadsheets/d/1Kvs4KS76FHFqLFIZfrDMff4kP08nblUkihrxltoGBjg/edit#gid=934712705"",""ESENCIAL!A6:BG""),8,FALSE))"),"")</f>
        <v/>
      </c>
      <c r="J278" s="39"/>
      <c r="M278" s="287"/>
      <c r="AV278" s="41" t="str">
        <f t="shared" si="20"/>
        <v/>
      </c>
      <c r="AW278" s="5" t="str">
        <f ca="1">IFERROR(__xludf.DUMMYFUNCTION("IFERROR(VLOOKUP(E544&amp;F544,IMPORTRANGE(""https://docs.google.com/spreadsheets/d/1Uw7-A9f9R21vMXxHZFNpYNeKFtG8_yji4HS352LGlSQ/edit?pli=1#gid=0"",""1_ACUM!A4:S""),11,FALSE))"),"")</f>
        <v/>
      </c>
      <c r="AX278" s="42" t="str">
        <f ca="1">IFERROR(__xludf.DUMMYFUNCTION("IFERROR(VLOOKUP(F544,IMPORTRANGE(""https://docs.google.com/spreadsheets/d/1Kvs4KS76FHFqLFIZfrDMff4kP08nblUkihrxltoGBjg/edit#gid=934712705"",""ESENCIAL!A6:BG""),15,FALSE))"),"")</f>
        <v/>
      </c>
      <c r="AY278" s="110" t="str">
        <f ca="1">IFERROR(__xludf.DUMMYFUNCTION("IFERROR(VLOOKUP(E544&amp;F544,IMPORTRANGE(""https://docs.google.com/spreadsheets/d/1Uw7-A9f9R21vMXxHZFNpYNeKFtG8_yji4HS352LGlSQ/edit?pli=1#gid=0"",""1_ACUM!A4:S""),13,FALSE))"),"")</f>
        <v/>
      </c>
      <c r="AZ278" s="43" t="str">
        <f ca="1">IFERROR(__xludf.DUMMYFUNCTION("IFERROR(VLOOKUP(E544&amp;F544,IMPORTRANGE(""https://docs.google.com/spreadsheets/d/1Uw7-A9f9R21vMXxHZFNpYNeKFtG8_yji4HS352LGlSQ/edit?pli=1#gid=0"",""1_ACUM!A4:S""),13,FALSE))"),"")</f>
        <v/>
      </c>
      <c r="BA278" s="43" t="str">
        <f ca="1">IFERROR(__xludf.DUMMYFUNCTION("IFERROR(VLOOKUP(E544&amp;F544,IMPORTRANGE(""https://docs.google.com/spreadsheets/d/1Uw7-A9f9R21vMXxHZFNpYNeKFtG8_yji4HS352LGlSQ/edit?pli=1#gid=0"",""1_ACUM!A4:S""),14,FALSE))"),"")</f>
        <v/>
      </c>
      <c r="BB278" s="43" t="str">
        <f ca="1">IFERROR(__xludf.DUMMYFUNCTION("IFERROR(VLOOKUP(E544&amp;F544,IMPORTRANGE(""https://docs.google.com/spreadsheets/d/1Uw7-A9f9R21vMXxHZFNpYNeKFtG8_yji4HS352LGlSQ/edit?pli=1#gid=0"",""1_ACUM!A4:S""),15,FALSE))"),"")</f>
        <v/>
      </c>
      <c r="BC278" s="43" t="str">
        <f ca="1">IFERROR(__xludf.DUMMYFUNCTION("IFERROR(VLOOKUP(E544&amp;F544,IMPORTRANGE(""https://docs.google.com/spreadsheets/d/1Uw7-A9f9R21vMXxHZFNpYNeKFtG8_yji4HS352LGlSQ/edit?pli=1#gid=0"",""1_ACUM!A4:S""),16,FALSE))"),"")</f>
        <v/>
      </c>
      <c r="BD278" s="43" t="str">
        <f ca="1">IFERROR(__xludf.DUMMYFUNCTION("IFERROR(VLOOKUP(E544&amp;F544,IMPORTRANGE(""https://docs.google.com/spreadsheets/d/1Uw7-A9f9R21vMXxHZFNpYNeKFtG8_yji4HS352LGlSQ/edit?pli=1#gid=0"",""1_ACUM!A4:S""),17,FALSE))"),"")</f>
        <v/>
      </c>
      <c r="BE278" s="44" t="str">
        <f ca="1">IFERROR(__xludf.DUMMYFUNCTION("IFERROR(VLOOKUP(E544&amp;F544,IMPORTRANGE(""https://docs.google.com/spreadsheets/d/1Uw7-A9f9R21vMXxHZFNpYNeKFtG8_yji4HS352LGlSQ/edit?pli=1#gid=0"",""1_ACUM!A4:S""),18,FALSE))"),"")</f>
        <v/>
      </c>
      <c r="BF278" s="44" t="str">
        <f ca="1">IFERROR(__xludf.DUMMYFUNCTION("IFERROR(VLOOKUP(E544&amp;F544,IMPORTRANGE(""https://docs.google.com/spreadsheets/d/1Uw7-A9f9R21vMXxHZFNpYNeKFtG8_yji4HS352LGlSQ/edit?pli=1#gid=0"",""1_ACUM!A4:S""),19,FALSE))"),"")</f>
        <v/>
      </c>
      <c r="BG278" s="98" t="str">
        <f ca="1">IFERROR(__xludf.DUMMYFUNCTION("IFERROR(VLOOKUP(F544,IMPORTRANGE(""https://docs.google.com/spreadsheets/d/1Kvs4KS76FHFqLFIZfrDMff4kP08nblUkihrxltoGBjg/edit#gid=934712705"",""ESENCIAL!A6:BG""),5,FALSE))"),"")</f>
        <v/>
      </c>
      <c r="BH278" s="98" t="str">
        <f t="shared" si="21"/>
        <v/>
      </c>
      <c r="BI278" s="99" t="str">
        <f t="shared" si="22"/>
        <v/>
      </c>
      <c r="BJ278" s="100" t="str">
        <f ca="1">IFERROR(__xludf.DUMMYFUNCTION("IFERROR(VLOOKUP(F544,IMPORTRANGE(""https://docs.google.com/spreadsheets/d/1Kvs4KS76FHFqLFIZfrDMff4kP08nblUkihrxltoGBjg/edit#gid=934712705"",""ESENCIAL!A6:BG""),2,FALSE))"),"")</f>
        <v/>
      </c>
      <c r="BK278" s="19" t="str">
        <f t="shared" si="23"/>
        <v/>
      </c>
      <c r="BL278" s="100"/>
      <c r="BM278" s="100"/>
    </row>
    <row r="279" spans="2:65" ht="15">
      <c r="B279" s="39"/>
      <c r="C279" s="5"/>
      <c r="D279" s="123"/>
      <c r="E279" s="39"/>
      <c r="F279" s="39"/>
      <c r="G279" s="39"/>
      <c r="H279" s="5" t="str">
        <f ca="1">IFERROR(__xludf.DUMMYFUNCTION("IFERROR(VLOOKUP(F545,IMPORTRANGE(""https://docs.google.com/spreadsheets/d/1Kvs4KS76FHFqLFIZfrDMff4kP08nblUkihrxltoGBjg/edit#gid=934712705"",""ESENCIAL!A6:BG""),3,FALSE))"),"")</f>
        <v/>
      </c>
      <c r="I279" s="5" t="str">
        <f ca="1">IFERROR(__xludf.DUMMYFUNCTION("IFERROR(VLOOKUP(F545,IMPORTRANGE(""https://docs.google.com/spreadsheets/d/1Kvs4KS76FHFqLFIZfrDMff4kP08nblUkihrxltoGBjg/edit#gid=934712705"",""ESENCIAL!A6:BG""),8,FALSE))"),"")</f>
        <v/>
      </c>
      <c r="J279" s="39"/>
      <c r="M279" s="287"/>
      <c r="AV279" s="41" t="str">
        <f t="shared" si="20"/>
        <v/>
      </c>
      <c r="AW279" s="5" t="str">
        <f ca="1">IFERROR(__xludf.DUMMYFUNCTION("IFERROR(VLOOKUP(E545&amp;F545,IMPORTRANGE(""https://docs.google.com/spreadsheets/d/1Uw7-A9f9R21vMXxHZFNpYNeKFtG8_yji4HS352LGlSQ/edit?pli=1#gid=0"",""1_ACUM!A4:S""),11,FALSE))"),"")</f>
        <v/>
      </c>
      <c r="AX279" s="42" t="str">
        <f ca="1">IFERROR(__xludf.DUMMYFUNCTION("IFERROR(VLOOKUP(F545,IMPORTRANGE(""https://docs.google.com/spreadsheets/d/1Kvs4KS76FHFqLFIZfrDMff4kP08nblUkihrxltoGBjg/edit#gid=934712705"",""ESENCIAL!A6:BG""),15,FALSE))"),"")</f>
        <v/>
      </c>
      <c r="AY279" s="110" t="str">
        <f ca="1">IFERROR(__xludf.DUMMYFUNCTION("IFERROR(VLOOKUP(E545&amp;F545,IMPORTRANGE(""https://docs.google.com/spreadsheets/d/1Uw7-A9f9R21vMXxHZFNpYNeKFtG8_yji4HS352LGlSQ/edit?pli=1#gid=0"",""1_ACUM!A4:S""),13,FALSE))"),"")</f>
        <v/>
      </c>
      <c r="AZ279" s="43" t="str">
        <f ca="1">IFERROR(__xludf.DUMMYFUNCTION("IFERROR(VLOOKUP(E545&amp;F545,IMPORTRANGE(""https://docs.google.com/spreadsheets/d/1Uw7-A9f9R21vMXxHZFNpYNeKFtG8_yji4HS352LGlSQ/edit?pli=1#gid=0"",""1_ACUM!A4:S""),13,FALSE))"),"")</f>
        <v/>
      </c>
      <c r="BA279" s="43" t="str">
        <f ca="1">IFERROR(__xludf.DUMMYFUNCTION("IFERROR(VLOOKUP(E545&amp;F545,IMPORTRANGE(""https://docs.google.com/spreadsheets/d/1Uw7-A9f9R21vMXxHZFNpYNeKFtG8_yji4HS352LGlSQ/edit?pli=1#gid=0"",""1_ACUM!A4:S""),14,FALSE))"),"")</f>
        <v/>
      </c>
      <c r="BB279" s="43" t="str">
        <f ca="1">IFERROR(__xludf.DUMMYFUNCTION("IFERROR(VLOOKUP(E545&amp;F545,IMPORTRANGE(""https://docs.google.com/spreadsheets/d/1Uw7-A9f9R21vMXxHZFNpYNeKFtG8_yji4HS352LGlSQ/edit?pli=1#gid=0"",""1_ACUM!A4:S""),15,FALSE))"),"")</f>
        <v/>
      </c>
      <c r="BC279" s="43" t="str">
        <f ca="1">IFERROR(__xludf.DUMMYFUNCTION("IFERROR(VLOOKUP(E545&amp;F545,IMPORTRANGE(""https://docs.google.com/spreadsheets/d/1Uw7-A9f9R21vMXxHZFNpYNeKFtG8_yji4HS352LGlSQ/edit?pli=1#gid=0"",""1_ACUM!A4:S""),16,FALSE))"),"")</f>
        <v/>
      </c>
      <c r="BD279" s="43" t="str">
        <f ca="1">IFERROR(__xludf.DUMMYFUNCTION("IFERROR(VLOOKUP(E545&amp;F545,IMPORTRANGE(""https://docs.google.com/spreadsheets/d/1Uw7-A9f9R21vMXxHZFNpYNeKFtG8_yji4HS352LGlSQ/edit?pli=1#gid=0"",""1_ACUM!A4:S""),17,FALSE))"),"")</f>
        <v/>
      </c>
      <c r="BE279" s="44" t="str">
        <f ca="1">IFERROR(__xludf.DUMMYFUNCTION("IFERROR(VLOOKUP(E545&amp;F545,IMPORTRANGE(""https://docs.google.com/spreadsheets/d/1Uw7-A9f9R21vMXxHZFNpYNeKFtG8_yji4HS352LGlSQ/edit?pli=1#gid=0"",""1_ACUM!A4:S""),18,FALSE))"),"")</f>
        <v/>
      </c>
      <c r="BF279" s="44" t="str">
        <f ca="1">IFERROR(__xludf.DUMMYFUNCTION("IFERROR(VLOOKUP(E545&amp;F545,IMPORTRANGE(""https://docs.google.com/spreadsheets/d/1Uw7-A9f9R21vMXxHZFNpYNeKFtG8_yji4HS352LGlSQ/edit?pli=1#gid=0"",""1_ACUM!A4:S""),19,FALSE))"),"")</f>
        <v/>
      </c>
      <c r="BG279" s="98" t="str">
        <f ca="1">IFERROR(__xludf.DUMMYFUNCTION("IFERROR(VLOOKUP(F545,IMPORTRANGE(""https://docs.google.com/spreadsheets/d/1Kvs4KS76FHFqLFIZfrDMff4kP08nblUkihrxltoGBjg/edit#gid=934712705"",""ESENCIAL!A6:BG""),5,FALSE))"),"")</f>
        <v/>
      </c>
      <c r="BH279" s="98" t="str">
        <f t="shared" si="21"/>
        <v/>
      </c>
      <c r="BI279" s="99" t="str">
        <f t="shared" si="22"/>
        <v/>
      </c>
      <c r="BJ279" s="100" t="str">
        <f ca="1">IFERROR(__xludf.DUMMYFUNCTION("IFERROR(VLOOKUP(F545,IMPORTRANGE(""https://docs.google.com/spreadsheets/d/1Kvs4KS76FHFqLFIZfrDMff4kP08nblUkihrxltoGBjg/edit#gid=934712705"",""ESENCIAL!A6:BG""),2,FALSE))"),"")</f>
        <v/>
      </c>
      <c r="BK279" s="19" t="str">
        <f t="shared" si="23"/>
        <v/>
      </c>
      <c r="BL279" s="100"/>
      <c r="BM279" s="100"/>
    </row>
    <row r="280" spans="2:65" ht="15">
      <c r="B280" s="39"/>
      <c r="C280" s="5"/>
      <c r="D280" s="123"/>
      <c r="E280" s="39"/>
      <c r="F280" s="39"/>
      <c r="G280" s="39"/>
      <c r="H280" s="5" t="str">
        <f ca="1">IFERROR(__xludf.DUMMYFUNCTION("IFERROR(VLOOKUP(F546,IMPORTRANGE(""https://docs.google.com/spreadsheets/d/1Kvs4KS76FHFqLFIZfrDMff4kP08nblUkihrxltoGBjg/edit#gid=934712705"",""ESENCIAL!A6:BG""),3,FALSE))"),"")</f>
        <v/>
      </c>
      <c r="I280" s="5" t="str">
        <f ca="1">IFERROR(__xludf.DUMMYFUNCTION("IFERROR(VLOOKUP(F546,IMPORTRANGE(""https://docs.google.com/spreadsheets/d/1Kvs4KS76FHFqLFIZfrDMff4kP08nblUkihrxltoGBjg/edit#gid=934712705"",""ESENCIAL!A6:BG""),8,FALSE))"),"")</f>
        <v/>
      </c>
      <c r="J280" s="39"/>
      <c r="M280" s="287"/>
      <c r="AV280" s="41" t="str">
        <f t="shared" si="20"/>
        <v/>
      </c>
      <c r="AW280" s="5" t="str">
        <f ca="1">IFERROR(__xludf.DUMMYFUNCTION("IFERROR(VLOOKUP(E546&amp;F546,IMPORTRANGE(""https://docs.google.com/spreadsheets/d/1Uw7-A9f9R21vMXxHZFNpYNeKFtG8_yji4HS352LGlSQ/edit?pli=1#gid=0"",""1_ACUM!A4:S""),11,FALSE))"),"")</f>
        <v/>
      </c>
      <c r="AX280" s="42" t="str">
        <f ca="1">IFERROR(__xludf.DUMMYFUNCTION("IFERROR(VLOOKUP(F546,IMPORTRANGE(""https://docs.google.com/spreadsheets/d/1Kvs4KS76FHFqLFIZfrDMff4kP08nblUkihrxltoGBjg/edit#gid=934712705"",""ESENCIAL!A6:BG""),15,FALSE))"),"")</f>
        <v/>
      </c>
      <c r="AY280" s="110" t="str">
        <f ca="1">IFERROR(__xludf.DUMMYFUNCTION("IFERROR(VLOOKUP(E546&amp;F546,IMPORTRANGE(""https://docs.google.com/spreadsheets/d/1Uw7-A9f9R21vMXxHZFNpYNeKFtG8_yji4HS352LGlSQ/edit?pli=1#gid=0"",""1_ACUM!A4:S""),13,FALSE))"),"")</f>
        <v/>
      </c>
      <c r="AZ280" s="43" t="str">
        <f ca="1">IFERROR(__xludf.DUMMYFUNCTION("IFERROR(VLOOKUP(E546&amp;F546,IMPORTRANGE(""https://docs.google.com/spreadsheets/d/1Uw7-A9f9R21vMXxHZFNpYNeKFtG8_yji4HS352LGlSQ/edit?pli=1#gid=0"",""1_ACUM!A4:S""),13,FALSE))"),"")</f>
        <v/>
      </c>
      <c r="BA280" s="43" t="str">
        <f ca="1">IFERROR(__xludf.DUMMYFUNCTION("IFERROR(VLOOKUP(E546&amp;F546,IMPORTRANGE(""https://docs.google.com/spreadsheets/d/1Uw7-A9f9R21vMXxHZFNpYNeKFtG8_yji4HS352LGlSQ/edit?pli=1#gid=0"",""1_ACUM!A4:S""),14,FALSE))"),"")</f>
        <v/>
      </c>
      <c r="BB280" s="43" t="str">
        <f ca="1">IFERROR(__xludf.DUMMYFUNCTION("IFERROR(VLOOKUP(E546&amp;F546,IMPORTRANGE(""https://docs.google.com/spreadsheets/d/1Uw7-A9f9R21vMXxHZFNpYNeKFtG8_yji4HS352LGlSQ/edit?pli=1#gid=0"",""1_ACUM!A4:S""),15,FALSE))"),"")</f>
        <v/>
      </c>
      <c r="BC280" s="43" t="str">
        <f ca="1">IFERROR(__xludf.DUMMYFUNCTION("IFERROR(VLOOKUP(E546&amp;F546,IMPORTRANGE(""https://docs.google.com/spreadsheets/d/1Uw7-A9f9R21vMXxHZFNpYNeKFtG8_yji4HS352LGlSQ/edit?pli=1#gid=0"",""1_ACUM!A4:S""),16,FALSE))"),"")</f>
        <v/>
      </c>
      <c r="BD280" s="43" t="str">
        <f ca="1">IFERROR(__xludf.DUMMYFUNCTION("IFERROR(VLOOKUP(E546&amp;F546,IMPORTRANGE(""https://docs.google.com/spreadsheets/d/1Uw7-A9f9R21vMXxHZFNpYNeKFtG8_yji4HS352LGlSQ/edit?pli=1#gid=0"",""1_ACUM!A4:S""),17,FALSE))"),"")</f>
        <v/>
      </c>
      <c r="BE280" s="44" t="str">
        <f ca="1">IFERROR(__xludf.DUMMYFUNCTION("IFERROR(VLOOKUP(E546&amp;F546,IMPORTRANGE(""https://docs.google.com/spreadsheets/d/1Uw7-A9f9R21vMXxHZFNpYNeKFtG8_yji4HS352LGlSQ/edit?pli=1#gid=0"",""1_ACUM!A4:S""),18,FALSE))"),"")</f>
        <v/>
      </c>
      <c r="BF280" s="44" t="str">
        <f ca="1">IFERROR(__xludf.DUMMYFUNCTION("IFERROR(VLOOKUP(E546&amp;F546,IMPORTRANGE(""https://docs.google.com/spreadsheets/d/1Uw7-A9f9R21vMXxHZFNpYNeKFtG8_yji4HS352LGlSQ/edit?pli=1#gid=0"",""1_ACUM!A4:S""),19,FALSE))"),"")</f>
        <v/>
      </c>
      <c r="BG280" s="98" t="str">
        <f ca="1">IFERROR(__xludf.DUMMYFUNCTION("IFERROR(VLOOKUP(F546,IMPORTRANGE(""https://docs.google.com/spreadsheets/d/1Kvs4KS76FHFqLFIZfrDMff4kP08nblUkihrxltoGBjg/edit#gid=934712705"",""ESENCIAL!A6:BG""),5,FALSE))"),"")</f>
        <v/>
      </c>
      <c r="BH280" s="98" t="str">
        <f t="shared" si="21"/>
        <v/>
      </c>
      <c r="BI280" s="99" t="str">
        <f t="shared" si="22"/>
        <v/>
      </c>
      <c r="BJ280" s="100" t="str">
        <f ca="1">IFERROR(__xludf.DUMMYFUNCTION("IFERROR(VLOOKUP(F546,IMPORTRANGE(""https://docs.google.com/spreadsheets/d/1Kvs4KS76FHFqLFIZfrDMff4kP08nblUkihrxltoGBjg/edit#gid=934712705"",""ESENCIAL!A6:BG""),2,FALSE))"),"")</f>
        <v/>
      </c>
      <c r="BK280" s="19" t="str">
        <f t="shared" si="23"/>
        <v/>
      </c>
      <c r="BL280" s="100"/>
      <c r="BM280" s="100"/>
    </row>
    <row r="281" spans="2:65" ht="15">
      <c r="B281" s="39"/>
      <c r="C281" s="5"/>
      <c r="D281" s="123"/>
      <c r="E281" s="39"/>
      <c r="F281" s="39"/>
      <c r="G281" s="39"/>
      <c r="H281" s="5" t="str">
        <f ca="1">IFERROR(__xludf.DUMMYFUNCTION("IFERROR(VLOOKUP(F547,IMPORTRANGE(""https://docs.google.com/spreadsheets/d/1Kvs4KS76FHFqLFIZfrDMff4kP08nblUkihrxltoGBjg/edit#gid=934712705"",""ESENCIAL!A6:BG""),3,FALSE))"),"")</f>
        <v/>
      </c>
      <c r="I281" s="5" t="str">
        <f ca="1">IFERROR(__xludf.DUMMYFUNCTION("IFERROR(VLOOKUP(F547,IMPORTRANGE(""https://docs.google.com/spreadsheets/d/1Kvs4KS76FHFqLFIZfrDMff4kP08nblUkihrxltoGBjg/edit#gid=934712705"",""ESENCIAL!A6:BG""),8,FALSE))"),"")</f>
        <v/>
      </c>
      <c r="J281" s="39"/>
      <c r="M281" s="287"/>
      <c r="AV281" s="41" t="str">
        <f t="shared" si="20"/>
        <v/>
      </c>
      <c r="AW281" s="5" t="str">
        <f ca="1">IFERROR(__xludf.DUMMYFUNCTION("IFERROR(VLOOKUP(E547&amp;F547,IMPORTRANGE(""https://docs.google.com/spreadsheets/d/1Uw7-A9f9R21vMXxHZFNpYNeKFtG8_yji4HS352LGlSQ/edit?pli=1#gid=0"",""1_ACUM!A4:S""),11,FALSE))"),"")</f>
        <v/>
      </c>
      <c r="AX281" s="42" t="str">
        <f ca="1">IFERROR(__xludf.DUMMYFUNCTION("IFERROR(VLOOKUP(F547,IMPORTRANGE(""https://docs.google.com/spreadsheets/d/1Kvs4KS76FHFqLFIZfrDMff4kP08nblUkihrxltoGBjg/edit#gid=934712705"",""ESENCIAL!A6:BG""),15,FALSE))"),"")</f>
        <v/>
      </c>
      <c r="AY281" s="110" t="str">
        <f ca="1">IFERROR(__xludf.DUMMYFUNCTION("IFERROR(VLOOKUP(E547&amp;F547,IMPORTRANGE(""https://docs.google.com/spreadsheets/d/1Uw7-A9f9R21vMXxHZFNpYNeKFtG8_yji4HS352LGlSQ/edit?pli=1#gid=0"",""1_ACUM!A4:S""),13,FALSE))"),"")</f>
        <v/>
      </c>
      <c r="AZ281" s="43" t="str">
        <f ca="1">IFERROR(__xludf.DUMMYFUNCTION("IFERROR(VLOOKUP(E547&amp;F547,IMPORTRANGE(""https://docs.google.com/spreadsheets/d/1Uw7-A9f9R21vMXxHZFNpYNeKFtG8_yji4HS352LGlSQ/edit?pli=1#gid=0"",""1_ACUM!A4:S""),13,FALSE))"),"")</f>
        <v/>
      </c>
      <c r="BA281" s="43" t="str">
        <f ca="1">IFERROR(__xludf.DUMMYFUNCTION("IFERROR(VLOOKUP(E547&amp;F547,IMPORTRANGE(""https://docs.google.com/spreadsheets/d/1Uw7-A9f9R21vMXxHZFNpYNeKFtG8_yji4HS352LGlSQ/edit?pli=1#gid=0"",""1_ACUM!A4:S""),14,FALSE))"),"")</f>
        <v/>
      </c>
      <c r="BB281" s="43" t="str">
        <f ca="1">IFERROR(__xludf.DUMMYFUNCTION("IFERROR(VLOOKUP(E547&amp;F547,IMPORTRANGE(""https://docs.google.com/spreadsheets/d/1Uw7-A9f9R21vMXxHZFNpYNeKFtG8_yji4HS352LGlSQ/edit?pli=1#gid=0"",""1_ACUM!A4:S""),15,FALSE))"),"")</f>
        <v/>
      </c>
      <c r="BC281" s="43" t="str">
        <f ca="1">IFERROR(__xludf.DUMMYFUNCTION("IFERROR(VLOOKUP(E547&amp;F547,IMPORTRANGE(""https://docs.google.com/spreadsheets/d/1Uw7-A9f9R21vMXxHZFNpYNeKFtG8_yji4HS352LGlSQ/edit?pli=1#gid=0"",""1_ACUM!A4:S""),16,FALSE))"),"")</f>
        <v/>
      </c>
      <c r="BD281" s="43" t="str">
        <f ca="1">IFERROR(__xludf.DUMMYFUNCTION("IFERROR(VLOOKUP(E547&amp;F547,IMPORTRANGE(""https://docs.google.com/spreadsheets/d/1Uw7-A9f9R21vMXxHZFNpYNeKFtG8_yji4HS352LGlSQ/edit?pli=1#gid=0"",""1_ACUM!A4:S""),17,FALSE))"),"")</f>
        <v/>
      </c>
      <c r="BE281" s="44" t="str">
        <f ca="1">IFERROR(__xludf.DUMMYFUNCTION("IFERROR(VLOOKUP(E547&amp;F547,IMPORTRANGE(""https://docs.google.com/spreadsheets/d/1Uw7-A9f9R21vMXxHZFNpYNeKFtG8_yji4HS352LGlSQ/edit?pli=1#gid=0"",""1_ACUM!A4:S""),18,FALSE))"),"")</f>
        <v/>
      </c>
      <c r="BF281" s="44" t="str">
        <f ca="1">IFERROR(__xludf.DUMMYFUNCTION("IFERROR(VLOOKUP(E547&amp;F547,IMPORTRANGE(""https://docs.google.com/spreadsheets/d/1Uw7-A9f9R21vMXxHZFNpYNeKFtG8_yji4HS352LGlSQ/edit?pli=1#gid=0"",""1_ACUM!A4:S""),19,FALSE))"),"")</f>
        <v/>
      </c>
      <c r="BG281" s="98" t="str">
        <f ca="1">IFERROR(__xludf.DUMMYFUNCTION("IFERROR(VLOOKUP(F547,IMPORTRANGE(""https://docs.google.com/spreadsheets/d/1Kvs4KS76FHFqLFIZfrDMff4kP08nblUkihrxltoGBjg/edit#gid=934712705"",""ESENCIAL!A6:BG""),5,FALSE))"),"")</f>
        <v/>
      </c>
      <c r="BH281" s="98" t="str">
        <f t="shared" si="21"/>
        <v/>
      </c>
      <c r="BI281" s="99" t="str">
        <f t="shared" si="22"/>
        <v/>
      </c>
      <c r="BJ281" s="100" t="str">
        <f ca="1">IFERROR(__xludf.DUMMYFUNCTION("IFERROR(VLOOKUP(F547,IMPORTRANGE(""https://docs.google.com/spreadsheets/d/1Kvs4KS76FHFqLFIZfrDMff4kP08nblUkihrxltoGBjg/edit#gid=934712705"",""ESENCIAL!A6:BG""),2,FALSE))"),"")</f>
        <v/>
      </c>
      <c r="BK281" s="19" t="str">
        <f t="shared" si="23"/>
        <v/>
      </c>
      <c r="BL281" s="100"/>
      <c r="BM281" s="100"/>
    </row>
    <row r="282" spans="2:65" ht="15">
      <c r="B282" s="39"/>
      <c r="C282" s="5"/>
      <c r="D282" s="123"/>
      <c r="E282" s="39"/>
      <c r="F282" s="39"/>
      <c r="G282" s="39"/>
      <c r="H282" s="5" t="str">
        <f ca="1">IFERROR(__xludf.DUMMYFUNCTION("IFERROR(VLOOKUP(F548,IMPORTRANGE(""https://docs.google.com/spreadsheets/d/1Kvs4KS76FHFqLFIZfrDMff4kP08nblUkihrxltoGBjg/edit#gid=934712705"",""ESENCIAL!A6:BG""),3,FALSE))"),"")</f>
        <v/>
      </c>
      <c r="I282" s="5" t="str">
        <f ca="1">IFERROR(__xludf.DUMMYFUNCTION("IFERROR(VLOOKUP(F548,IMPORTRANGE(""https://docs.google.com/spreadsheets/d/1Kvs4KS76FHFqLFIZfrDMff4kP08nblUkihrxltoGBjg/edit#gid=934712705"",""ESENCIAL!A6:BG""),8,FALSE))"),"")</f>
        <v/>
      </c>
      <c r="J282" s="39"/>
      <c r="M282" s="287"/>
      <c r="AV282" s="41" t="str">
        <f t="shared" si="20"/>
        <v/>
      </c>
      <c r="AW282" s="5" t="str">
        <f ca="1">IFERROR(__xludf.DUMMYFUNCTION("IFERROR(VLOOKUP(E548&amp;F548,IMPORTRANGE(""https://docs.google.com/spreadsheets/d/1Uw7-A9f9R21vMXxHZFNpYNeKFtG8_yji4HS352LGlSQ/edit?pli=1#gid=0"",""1_ACUM!A4:S""),11,FALSE))"),"")</f>
        <v/>
      </c>
      <c r="AX282" s="42" t="str">
        <f ca="1">IFERROR(__xludf.DUMMYFUNCTION("IFERROR(VLOOKUP(F548,IMPORTRANGE(""https://docs.google.com/spreadsheets/d/1Kvs4KS76FHFqLFIZfrDMff4kP08nblUkihrxltoGBjg/edit#gid=934712705"",""ESENCIAL!A6:BG""),15,FALSE))"),"")</f>
        <v/>
      </c>
      <c r="AY282" s="110" t="str">
        <f ca="1">IFERROR(__xludf.DUMMYFUNCTION("IFERROR(VLOOKUP(E548&amp;F548,IMPORTRANGE(""https://docs.google.com/spreadsheets/d/1Uw7-A9f9R21vMXxHZFNpYNeKFtG8_yji4HS352LGlSQ/edit?pli=1#gid=0"",""1_ACUM!A4:S""),13,FALSE))"),"")</f>
        <v/>
      </c>
      <c r="AZ282" s="43" t="str">
        <f ca="1">IFERROR(__xludf.DUMMYFUNCTION("IFERROR(VLOOKUP(E548&amp;F548,IMPORTRANGE(""https://docs.google.com/spreadsheets/d/1Uw7-A9f9R21vMXxHZFNpYNeKFtG8_yji4HS352LGlSQ/edit?pli=1#gid=0"",""1_ACUM!A4:S""),13,FALSE))"),"")</f>
        <v/>
      </c>
      <c r="BA282" s="43" t="str">
        <f ca="1">IFERROR(__xludf.DUMMYFUNCTION("IFERROR(VLOOKUP(E548&amp;F548,IMPORTRANGE(""https://docs.google.com/spreadsheets/d/1Uw7-A9f9R21vMXxHZFNpYNeKFtG8_yji4HS352LGlSQ/edit?pli=1#gid=0"",""1_ACUM!A4:S""),14,FALSE))"),"")</f>
        <v/>
      </c>
      <c r="BB282" s="43" t="str">
        <f ca="1">IFERROR(__xludf.DUMMYFUNCTION("IFERROR(VLOOKUP(E548&amp;F548,IMPORTRANGE(""https://docs.google.com/spreadsheets/d/1Uw7-A9f9R21vMXxHZFNpYNeKFtG8_yji4HS352LGlSQ/edit?pli=1#gid=0"",""1_ACUM!A4:S""),15,FALSE))"),"")</f>
        <v/>
      </c>
      <c r="BC282" s="43" t="str">
        <f ca="1">IFERROR(__xludf.DUMMYFUNCTION("IFERROR(VLOOKUP(E548&amp;F548,IMPORTRANGE(""https://docs.google.com/spreadsheets/d/1Uw7-A9f9R21vMXxHZFNpYNeKFtG8_yji4HS352LGlSQ/edit?pli=1#gid=0"",""1_ACUM!A4:S""),16,FALSE))"),"")</f>
        <v/>
      </c>
      <c r="BD282" s="43" t="str">
        <f ca="1">IFERROR(__xludf.DUMMYFUNCTION("IFERROR(VLOOKUP(E548&amp;F548,IMPORTRANGE(""https://docs.google.com/spreadsheets/d/1Uw7-A9f9R21vMXxHZFNpYNeKFtG8_yji4HS352LGlSQ/edit?pli=1#gid=0"",""1_ACUM!A4:S""),17,FALSE))"),"")</f>
        <v/>
      </c>
      <c r="BE282" s="44" t="str">
        <f ca="1">IFERROR(__xludf.DUMMYFUNCTION("IFERROR(VLOOKUP(E548&amp;F548,IMPORTRANGE(""https://docs.google.com/spreadsheets/d/1Uw7-A9f9R21vMXxHZFNpYNeKFtG8_yji4HS352LGlSQ/edit?pli=1#gid=0"",""1_ACUM!A4:S""),18,FALSE))"),"")</f>
        <v/>
      </c>
      <c r="BF282" s="44" t="str">
        <f ca="1">IFERROR(__xludf.DUMMYFUNCTION("IFERROR(VLOOKUP(E548&amp;F548,IMPORTRANGE(""https://docs.google.com/spreadsheets/d/1Uw7-A9f9R21vMXxHZFNpYNeKFtG8_yji4HS352LGlSQ/edit?pli=1#gid=0"",""1_ACUM!A4:S""),19,FALSE))"),"")</f>
        <v/>
      </c>
      <c r="BG282" s="98" t="str">
        <f ca="1">IFERROR(__xludf.DUMMYFUNCTION("IFERROR(VLOOKUP(F548,IMPORTRANGE(""https://docs.google.com/spreadsheets/d/1Kvs4KS76FHFqLFIZfrDMff4kP08nblUkihrxltoGBjg/edit#gid=934712705"",""ESENCIAL!A6:BG""),5,FALSE))"),"")</f>
        <v/>
      </c>
      <c r="BH282" s="98" t="str">
        <f t="shared" si="21"/>
        <v/>
      </c>
      <c r="BI282" s="99" t="str">
        <f t="shared" si="22"/>
        <v/>
      </c>
      <c r="BJ282" s="100" t="str">
        <f ca="1">IFERROR(__xludf.DUMMYFUNCTION("IFERROR(VLOOKUP(F548,IMPORTRANGE(""https://docs.google.com/spreadsheets/d/1Kvs4KS76FHFqLFIZfrDMff4kP08nblUkihrxltoGBjg/edit#gid=934712705"",""ESENCIAL!A6:BG""),2,FALSE))"),"")</f>
        <v/>
      </c>
      <c r="BK282" s="19" t="str">
        <f t="shared" si="23"/>
        <v/>
      </c>
      <c r="BL282" s="100"/>
      <c r="BM282" s="100"/>
    </row>
    <row r="283" spans="2:65" ht="15">
      <c r="B283" s="39"/>
      <c r="C283" s="5"/>
      <c r="D283" s="123"/>
      <c r="E283" s="39"/>
      <c r="F283" s="39"/>
      <c r="G283" s="39"/>
      <c r="H283" s="5" t="str">
        <f ca="1">IFERROR(__xludf.DUMMYFUNCTION("IFERROR(VLOOKUP(F549,IMPORTRANGE(""https://docs.google.com/spreadsheets/d/1Kvs4KS76FHFqLFIZfrDMff4kP08nblUkihrxltoGBjg/edit#gid=934712705"",""ESENCIAL!A6:BG""),3,FALSE))"),"")</f>
        <v/>
      </c>
      <c r="I283" s="5" t="str">
        <f ca="1">IFERROR(__xludf.DUMMYFUNCTION("IFERROR(VLOOKUP(F549,IMPORTRANGE(""https://docs.google.com/spreadsheets/d/1Kvs4KS76FHFqLFIZfrDMff4kP08nblUkihrxltoGBjg/edit#gid=934712705"",""ESENCIAL!A6:BG""),8,FALSE))"),"")</f>
        <v/>
      </c>
      <c r="J283" s="39"/>
      <c r="M283" s="287"/>
      <c r="AV283" s="41" t="str">
        <f t="shared" si="20"/>
        <v/>
      </c>
      <c r="AW283" s="5" t="str">
        <f ca="1">IFERROR(__xludf.DUMMYFUNCTION("IFERROR(VLOOKUP(E549&amp;F549,IMPORTRANGE(""https://docs.google.com/spreadsheets/d/1Uw7-A9f9R21vMXxHZFNpYNeKFtG8_yji4HS352LGlSQ/edit?pli=1#gid=0"",""1_ACUM!A4:S""),11,FALSE))"),"")</f>
        <v/>
      </c>
      <c r="AX283" s="42" t="str">
        <f ca="1">IFERROR(__xludf.DUMMYFUNCTION("IFERROR(VLOOKUP(F549,IMPORTRANGE(""https://docs.google.com/spreadsheets/d/1Kvs4KS76FHFqLFIZfrDMff4kP08nblUkihrxltoGBjg/edit#gid=934712705"",""ESENCIAL!A6:BG""),15,FALSE))"),"")</f>
        <v/>
      </c>
      <c r="AY283" s="110" t="str">
        <f ca="1">IFERROR(__xludf.DUMMYFUNCTION("IFERROR(VLOOKUP(E549&amp;F549,IMPORTRANGE(""https://docs.google.com/spreadsheets/d/1Uw7-A9f9R21vMXxHZFNpYNeKFtG8_yji4HS352LGlSQ/edit?pli=1#gid=0"",""1_ACUM!A4:S""),13,FALSE))"),"")</f>
        <v/>
      </c>
      <c r="AZ283" s="43" t="str">
        <f ca="1">IFERROR(__xludf.DUMMYFUNCTION("IFERROR(VLOOKUP(E549&amp;F549,IMPORTRANGE(""https://docs.google.com/spreadsheets/d/1Uw7-A9f9R21vMXxHZFNpYNeKFtG8_yji4HS352LGlSQ/edit?pli=1#gid=0"",""1_ACUM!A4:S""),13,FALSE))"),"")</f>
        <v/>
      </c>
      <c r="BA283" s="43" t="str">
        <f ca="1">IFERROR(__xludf.DUMMYFUNCTION("IFERROR(VLOOKUP(E549&amp;F549,IMPORTRANGE(""https://docs.google.com/spreadsheets/d/1Uw7-A9f9R21vMXxHZFNpYNeKFtG8_yji4HS352LGlSQ/edit?pli=1#gid=0"",""1_ACUM!A4:S""),14,FALSE))"),"")</f>
        <v/>
      </c>
      <c r="BB283" s="43" t="str">
        <f ca="1">IFERROR(__xludf.DUMMYFUNCTION("IFERROR(VLOOKUP(E549&amp;F549,IMPORTRANGE(""https://docs.google.com/spreadsheets/d/1Uw7-A9f9R21vMXxHZFNpYNeKFtG8_yji4HS352LGlSQ/edit?pli=1#gid=0"",""1_ACUM!A4:S""),15,FALSE))"),"")</f>
        <v/>
      </c>
      <c r="BC283" s="43" t="str">
        <f ca="1">IFERROR(__xludf.DUMMYFUNCTION("IFERROR(VLOOKUP(E549&amp;F549,IMPORTRANGE(""https://docs.google.com/spreadsheets/d/1Uw7-A9f9R21vMXxHZFNpYNeKFtG8_yji4HS352LGlSQ/edit?pli=1#gid=0"",""1_ACUM!A4:S""),16,FALSE))"),"")</f>
        <v/>
      </c>
      <c r="BD283" s="43" t="str">
        <f ca="1">IFERROR(__xludf.DUMMYFUNCTION("IFERROR(VLOOKUP(E549&amp;F549,IMPORTRANGE(""https://docs.google.com/spreadsheets/d/1Uw7-A9f9R21vMXxHZFNpYNeKFtG8_yji4HS352LGlSQ/edit?pli=1#gid=0"",""1_ACUM!A4:S""),17,FALSE))"),"")</f>
        <v/>
      </c>
      <c r="BE283" s="44" t="str">
        <f ca="1">IFERROR(__xludf.DUMMYFUNCTION("IFERROR(VLOOKUP(E549&amp;F549,IMPORTRANGE(""https://docs.google.com/spreadsheets/d/1Uw7-A9f9R21vMXxHZFNpYNeKFtG8_yji4HS352LGlSQ/edit?pli=1#gid=0"",""1_ACUM!A4:S""),18,FALSE))"),"")</f>
        <v/>
      </c>
      <c r="BF283" s="44" t="str">
        <f ca="1">IFERROR(__xludf.DUMMYFUNCTION("IFERROR(VLOOKUP(E549&amp;F549,IMPORTRANGE(""https://docs.google.com/spreadsheets/d/1Uw7-A9f9R21vMXxHZFNpYNeKFtG8_yji4HS352LGlSQ/edit?pli=1#gid=0"",""1_ACUM!A4:S""),19,FALSE))"),"")</f>
        <v/>
      </c>
      <c r="BG283" s="98" t="str">
        <f ca="1">IFERROR(__xludf.DUMMYFUNCTION("IFERROR(VLOOKUP(F549,IMPORTRANGE(""https://docs.google.com/spreadsheets/d/1Kvs4KS76FHFqLFIZfrDMff4kP08nblUkihrxltoGBjg/edit#gid=934712705"",""ESENCIAL!A6:BG""),5,FALSE))"),"")</f>
        <v/>
      </c>
      <c r="BH283" s="98" t="str">
        <f t="shared" si="21"/>
        <v/>
      </c>
      <c r="BI283" s="99" t="str">
        <f t="shared" si="22"/>
        <v/>
      </c>
      <c r="BJ283" s="100" t="str">
        <f ca="1">IFERROR(__xludf.DUMMYFUNCTION("IFERROR(VLOOKUP(F549,IMPORTRANGE(""https://docs.google.com/spreadsheets/d/1Kvs4KS76FHFqLFIZfrDMff4kP08nblUkihrxltoGBjg/edit#gid=934712705"",""ESENCIAL!A6:BG""),2,FALSE))"),"")</f>
        <v/>
      </c>
      <c r="BK283" s="19" t="str">
        <f t="shared" si="23"/>
        <v/>
      </c>
      <c r="BL283" s="100"/>
      <c r="BM283" s="100"/>
    </row>
    <row r="284" spans="2:65" ht="15">
      <c r="B284" s="39"/>
      <c r="C284" s="5"/>
      <c r="D284" s="123"/>
      <c r="E284" s="39"/>
      <c r="F284" s="39"/>
      <c r="G284" s="39"/>
      <c r="H284" s="5" t="str">
        <f ca="1">IFERROR(__xludf.DUMMYFUNCTION("IFERROR(VLOOKUP(F550,IMPORTRANGE(""https://docs.google.com/spreadsheets/d/1Kvs4KS76FHFqLFIZfrDMff4kP08nblUkihrxltoGBjg/edit#gid=934712705"",""ESENCIAL!A6:BG""),3,FALSE))"),"")</f>
        <v/>
      </c>
      <c r="I284" s="5" t="str">
        <f ca="1">IFERROR(__xludf.DUMMYFUNCTION("IFERROR(VLOOKUP(F550,IMPORTRANGE(""https://docs.google.com/spreadsheets/d/1Kvs4KS76FHFqLFIZfrDMff4kP08nblUkihrxltoGBjg/edit#gid=934712705"",""ESENCIAL!A6:BG""),8,FALSE))"),"")</f>
        <v/>
      </c>
      <c r="J284" s="39"/>
      <c r="M284" s="287"/>
      <c r="AV284" s="41" t="str">
        <f t="shared" si="20"/>
        <v/>
      </c>
      <c r="AW284" s="5" t="str">
        <f ca="1">IFERROR(__xludf.DUMMYFUNCTION("IFERROR(VLOOKUP(E550&amp;F550,IMPORTRANGE(""https://docs.google.com/spreadsheets/d/1Uw7-A9f9R21vMXxHZFNpYNeKFtG8_yji4HS352LGlSQ/edit?pli=1#gid=0"",""1_ACUM!A4:S""),11,FALSE))"),"")</f>
        <v/>
      </c>
      <c r="AX284" s="42" t="str">
        <f ca="1">IFERROR(__xludf.DUMMYFUNCTION("IFERROR(VLOOKUP(F550,IMPORTRANGE(""https://docs.google.com/spreadsheets/d/1Kvs4KS76FHFqLFIZfrDMff4kP08nblUkihrxltoGBjg/edit#gid=934712705"",""ESENCIAL!A6:BG""),15,FALSE))"),"")</f>
        <v/>
      </c>
      <c r="AY284" s="110" t="str">
        <f ca="1">IFERROR(__xludf.DUMMYFUNCTION("IFERROR(VLOOKUP(E550&amp;F550,IMPORTRANGE(""https://docs.google.com/spreadsheets/d/1Uw7-A9f9R21vMXxHZFNpYNeKFtG8_yji4HS352LGlSQ/edit?pli=1#gid=0"",""1_ACUM!A4:S""),13,FALSE))"),"")</f>
        <v/>
      </c>
      <c r="AZ284" s="43" t="str">
        <f ca="1">IFERROR(__xludf.DUMMYFUNCTION("IFERROR(VLOOKUP(E550&amp;F550,IMPORTRANGE(""https://docs.google.com/spreadsheets/d/1Uw7-A9f9R21vMXxHZFNpYNeKFtG8_yji4HS352LGlSQ/edit?pli=1#gid=0"",""1_ACUM!A4:S""),13,FALSE))"),"")</f>
        <v/>
      </c>
      <c r="BA284" s="43" t="str">
        <f ca="1">IFERROR(__xludf.DUMMYFUNCTION("IFERROR(VLOOKUP(E550&amp;F550,IMPORTRANGE(""https://docs.google.com/spreadsheets/d/1Uw7-A9f9R21vMXxHZFNpYNeKFtG8_yji4HS352LGlSQ/edit?pli=1#gid=0"",""1_ACUM!A4:S""),14,FALSE))"),"")</f>
        <v/>
      </c>
      <c r="BB284" s="43" t="str">
        <f ca="1">IFERROR(__xludf.DUMMYFUNCTION("IFERROR(VLOOKUP(E550&amp;F550,IMPORTRANGE(""https://docs.google.com/spreadsheets/d/1Uw7-A9f9R21vMXxHZFNpYNeKFtG8_yji4HS352LGlSQ/edit?pli=1#gid=0"",""1_ACUM!A4:S""),15,FALSE))"),"")</f>
        <v/>
      </c>
      <c r="BC284" s="43" t="str">
        <f ca="1">IFERROR(__xludf.DUMMYFUNCTION("IFERROR(VLOOKUP(E550&amp;F550,IMPORTRANGE(""https://docs.google.com/spreadsheets/d/1Uw7-A9f9R21vMXxHZFNpYNeKFtG8_yji4HS352LGlSQ/edit?pli=1#gid=0"",""1_ACUM!A4:S""),16,FALSE))"),"")</f>
        <v/>
      </c>
      <c r="BD284" s="43" t="str">
        <f ca="1">IFERROR(__xludf.DUMMYFUNCTION("IFERROR(VLOOKUP(E550&amp;F550,IMPORTRANGE(""https://docs.google.com/spreadsheets/d/1Uw7-A9f9R21vMXxHZFNpYNeKFtG8_yji4HS352LGlSQ/edit?pli=1#gid=0"",""1_ACUM!A4:S""),17,FALSE))"),"")</f>
        <v/>
      </c>
      <c r="BE284" s="44" t="str">
        <f ca="1">IFERROR(__xludf.DUMMYFUNCTION("IFERROR(VLOOKUP(E550&amp;F550,IMPORTRANGE(""https://docs.google.com/spreadsheets/d/1Uw7-A9f9R21vMXxHZFNpYNeKFtG8_yji4HS352LGlSQ/edit?pli=1#gid=0"",""1_ACUM!A4:S""),18,FALSE))"),"")</f>
        <v/>
      </c>
      <c r="BF284" s="44" t="str">
        <f ca="1">IFERROR(__xludf.DUMMYFUNCTION("IFERROR(VLOOKUP(E550&amp;F550,IMPORTRANGE(""https://docs.google.com/spreadsheets/d/1Uw7-A9f9R21vMXxHZFNpYNeKFtG8_yji4HS352LGlSQ/edit?pli=1#gid=0"",""1_ACUM!A4:S""),19,FALSE))"),"")</f>
        <v/>
      </c>
      <c r="BG284" s="98" t="str">
        <f ca="1">IFERROR(__xludf.DUMMYFUNCTION("IFERROR(VLOOKUP(F550,IMPORTRANGE(""https://docs.google.com/spreadsheets/d/1Kvs4KS76FHFqLFIZfrDMff4kP08nblUkihrxltoGBjg/edit#gid=934712705"",""ESENCIAL!A6:BG""),5,FALSE))"),"")</f>
        <v/>
      </c>
      <c r="BH284" s="98" t="str">
        <f t="shared" si="21"/>
        <v/>
      </c>
      <c r="BI284" s="99" t="str">
        <f t="shared" si="22"/>
        <v/>
      </c>
      <c r="BJ284" s="100" t="str">
        <f ca="1">IFERROR(__xludf.DUMMYFUNCTION("IFERROR(VLOOKUP(F550,IMPORTRANGE(""https://docs.google.com/spreadsheets/d/1Kvs4KS76FHFqLFIZfrDMff4kP08nblUkihrxltoGBjg/edit#gid=934712705"",""ESENCIAL!A6:BG""),2,FALSE))"),"")</f>
        <v/>
      </c>
      <c r="BK284" s="19" t="str">
        <f t="shared" si="23"/>
        <v/>
      </c>
      <c r="BL284" s="100"/>
      <c r="BM284" s="100"/>
    </row>
    <row r="285" spans="2:65" ht="15">
      <c r="B285" s="39"/>
      <c r="C285" s="5"/>
      <c r="D285" s="123"/>
      <c r="E285" s="39"/>
      <c r="F285" s="39"/>
      <c r="G285" s="39"/>
      <c r="H285" s="5" t="str">
        <f ca="1">IFERROR(__xludf.DUMMYFUNCTION("IFERROR(VLOOKUP(F551,IMPORTRANGE(""https://docs.google.com/spreadsheets/d/1Kvs4KS76FHFqLFIZfrDMff4kP08nblUkihrxltoGBjg/edit#gid=934712705"",""ESENCIAL!A6:BG""),3,FALSE))"),"")</f>
        <v/>
      </c>
      <c r="I285" s="5" t="str">
        <f ca="1">IFERROR(__xludf.DUMMYFUNCTION("IFERROR(VLOOKUP(F551,IMPORTRANGE(""https://docs.google.com/spreadsheets/d/1Kvs4KS76FHFqLFIZfrDMff4kP08nblUkihrxltoGBjg/edit#gid=934712705"",""ESENCIAL!A6:BG""),8,FALSE))"),"")</f>
        <v/>
      </c>
      <c r="J285" s="39"/>
      <c r="M285" s="287"/>
      <c r="AV285" s="41" t="str">
        <f t="shared" si="20"/>
        <v/>
      </c>
      <c r="AW285" s="5" t="str">
        <f ca="1">IFERROR(__xludf.DUMMYFUNCTION("IFERROR(VLOOKUP(E551&amp;F551,IMPORTRANGE(""https://docs.google.com/spreadsheets/d/1Uw7-A9f9R21vMXxHZFNpYNeKFtG8_yji4HS352LGlSQ/edit?pli=1#gid=0"",""1_ACUM!A4:S""),11,FALSE))"),"")</f>
        <v/>
      </c>
      <c r="AX285" s="42" t="str">
        <f ca="1">IFERROR(__xludf.DUMMYFUNCTION("IFERROR(VLOOKUP(F551,IMPORTRANGE(""https://docs.google.com/spreadsheets/d/1Kvs4KS76FHFqLFIZfrDMff4kP08nblUkihrxltoGBjg/edit#gid=934712705"",""ESENCIAL!A6:BG""),15,FALSE))"),"")</f>
        <v/>
      </c>
      <c r="AY285" s="110" t="str">
        <f ca="1">IFERROR(__xludf.DUMMYFUNCTION("IFERROR(VLOOKUP(E551&amp;F551,IMPORTRANGE(""https://docs.google.com/spreadsheets/d/1Uw7-A9f9R21vMXxHZFNpYNeKFtG8_yji4HS352LGlSQ/edit?pli=1#gid=0"",""1_ACUM!A4:S""),13,FALSE))"),"")</f>
        <v/>
      </c>
      <c r="AZ285" s="43" t="str">
        <f ca="1">IFERROR(__xludf.DUMMYFUNCTION("IFERROR(VLOOKUP(E551&amp;F551,IMPORTRANGE(""https://docs.google.com/spreadsheets/d/1Uw7-A9f9R21vMXxHZFNpYNeKFtG8_yji4HS352LGlSQ/edit?pli=1#gid=0"",""1_ACUM!A4:S""),13,FALSE))"),"")</f>
        <v/>
      </c>
      <c r="BA285" s="43" t="str">
        <f ca="1">IFERROR(__xludf.DUMMYFUNCTION("IFERROR(VLOOKUP(E551&amp;F551,IMPORTRANGE(""https://docs.google.com/spreadsheets/d/1Uw7-A9f9R21vMXxHZFNpYNeKFtG8_yji4HS352LGlSQ/edit?pli=1#gid=0"",""1_ACUM!A4:S""),14,FALSE))"),"")</f>
        <v/>
      </c>
      <c r="BB285" s="43" t="str">
        <f ca="1">IFERROR(__xludf.DUMMYFUNCTION("IFERROR(VLOOKUP(E551&amp;F551,IMPORTRANGE(""https://docs.google.com/spreadsheets/d/1Uw7-A9f9R21vMXxHZFNpYNeKFtG8_yji4HS352LGlSQ/edit?pli=1#gid=0"",""1_ACUM!A4:S""),15,FALSE))"),"")</f>
        <v/>
      </c>
      <c r="BC285" s="43" t="str">
        <f ca="1">IFERROR(__xludf.DUMMYFUNCTION("IFERROR(VLOOKUP(E551&amp;F551,IMPORTRANGE(""https://docs.google.com/spreadsheets/d/1Uw7-A9f9R21vMXxHZFNpYNeKFtG8_yji4HS352LGlSQ/edit?pli=1#gid=0"",""1_ACUM!A4:S""),16,FALSE))"),"")</f>
        <v/>
      </c>
      <c r="BD285" s="43" t="str">
        <f ca="1">IFERROR(__xludf.DUMMYFUNCTION("IFERROR(VLOOKUP(E551&amp;F551,IMPORTRANGE(""https://docs.google.com/spreadsheets/d/1Uw7-A9f9R21vMXxHZFNpYNeKFtG8_yji4HS352LGlSQ/edit?pli=1#gid=0"",""1_ACUM!A4:S""),17,FALSE))"),"")</f>
        <v/>
      </c>
      <c r="BE285" s="44" t="str">
        <f ca="1">IFERROR(__xludf.DUMMYFUNCTION("IFERROR(VLOOKUP(E551&amp;F551,IMPORTRANGE(""https://docs.google.com/spreadsheets/d/1Uw7-A9f9R21vMXxHZFNpYNeKFtG8_yji4HS352LGlSQ/edit?pli=1#gid=0"",""1_ACUM!A4:S""),18,FALSE))"),"")</f>
        <v/>
      </c>
      <c r="BF285" s="44" t="str">
        <f ca="1">IFERROR(__xludf.DUMMYFUNCTION("IFERROR(VLOOKUP(E551&amp;F551,IMPORTRANGE(""https://docs.google.com/spreadsheets/d/1Uw7-A9f9R21vMXxHZFNpYNeKFtG8_yji4HS352LGlSQ/edit?pli=1#gid=0"",""1_ACUM!A4:S""),19,FALSE))"),"")</f>
        <v/>
      </c>
      <c r="BG285" s="98" t="str">
        <f ca="1">IFERROR(__xludf.DUMMYFUNCTION("IFERROR(VLOOKUP(F551,IMPORTRANGE(""https://docs.google.com/spreadsheets/d/1Kvs4KS76FHFqLFIZfrDMff4kP08nblUkihrxltoGBjg/edit#gid=934712705"",""ESENCIAL!A6:BG""),5,FALSE))"),"")</f>
        <v/>
      </c>
      <c r="BH285" s="98" t="str">
        <f t="shared" si="21"/>
        <v/>
      </c>
      <c r="BI285" s="99" t="str">
        <f t="shared" si="22"/>
        <v/>
      </c>
      <c r="BJ285" s="100" t="str">
        <f ca="1">IFERROR(__xludf.DUMMYFUNCTION("IFERROR(VLOOKUP(F551,IMPORTRANGE(""https://docs.google.com/spreadsheets/d/1Kvs4KS76FHFqLFIZfrDMff4kP08nblUkihrxltoGBjg/edit#gid=934712705"",""ESENCIAL!A6:BG""),2,FALSE))"),"")</f>
        <v/>
      </c>
      <c r="BK285" s="19" t="str">
        <f t="shared" si="23"/>
        <v/>
      </c>
      <c r="BL285" s="100"/>
      <c r="BM285" s="100"/>
    </row>
    <row r="286" spans="2:65" ht="15">
      <c r="B286" s="39"/>
      <c r="C286" s="5"/>
      <c r="D286" s="123"/>
      <c r="E286" s="39"/>
      <c r="F286" s="39"/>
      <c r="G286" s="39"/>
      <c r="H286" s="5" t="str">
        <f ca="1">IFERROR(__xludf.DUMMYFUNCTION("IFERROR(VLOOKUP(F552,IMPORTRANGE(""https://docs.google.com/spreadsheets/d/1Kvs4KS76FHFqLFIZfrDMff4kP08nblUkihrxltoGBjg/edit#gid=934712705"",""ESENCIAL!A6:BG""),3,FALSE))"),"")</f>
        <v/>
      </c>
      <c r="I286" s="5" t="str">
        <f ca="1">IFERROR(__xludf.DUMMYFUNCTION("IFERROR(VLOOKUP(F552,IMPORTRANGE(""https://docs.google.com/spreadsheets/d/1Kvs4KS76FHFqLFIZfrDMff4kP08nblUkihrxltoGBjg/edit#gid=934712705"",""ESENCIAL!A6:BG""),8,FALSE))"),"")</f>
        <v/>
      </c>
      <c r="J286" s="39"/>
      <c r="M286" s="287"/>
      <c r="AV286" s="41" t="str">
        <f t="shared" si="20"/>
        <v/>
      </c>
      <c r="AW286" s="5" t="str">
        <f ca="1">IFERROR(__xludf.DUMMYFUNCTION("IFERROR(VLOOKUP(E552&amp;F552,IMPORTRANGE(""https://docs.google.com/spreadsheets/d/1Uw7-A9f9R21vMXxHZFNpYNeKFtG8_yji4HS352LGlSQ/edit?pli=1#gid=0"",""1_ACUM!A4:S""),11,FALSE))"),"")</f>
        <v/>
      </c>
      <c r="AX286" s="42" t="str">
        <f ca="1">IFERROR(__xludf.DUMMYFUNCTION("IFERROR(VLOOKUP(F552,IMPORTRANGE(""https://docs.google.com/spreadsheets/d/1Kvs4KS76FHFqLFIZfrDMff4kP08nblUkihrxltoGBjg/edit#gid=934712705"",""ESENCIAL!A6:BG""),15,FALSE))"),"")</f>
        <v/>
      </c>
      <c r="AY286" s="110" t="str">
        <f ca="1">IFERROR(__xludf.DUMMYFUNCTION("IFERROR(VLOOKUP(E552&amp;F552,IMPORTRANGE(""https://docs.google.com/spreadsheets/d/1Uw7-A9f9R21vMXxHZFNpYNeKFtG8_yji4HS352LGlSQ/edit?pli=1#gid=0"",""1_ACUM!A4:S""),13,FALSE))"),"")</f>
        <v/>
      </c>
      <c r="AZ286" s="43" t="str">
        <f ca="1">IFERROR(__xludf.DUMMYFUNCTION("IFERROR(VLOOKUP(E552&amp;F552,IMPORTRANGE(""https://docs.google.com/spreadsheets/d/1Uw7-A9f9R21vMXxHZFNpYNeKFtG8_yji4HS352LGlSQ/edit?pli=1#gid=0"",""1_ACUM!A4:S""),13,FALSE))"),"")</f>
        <v/>
      </c>
      <c r="BA286" s="43" t="str">
        <f ca="1">IFERROR(__xludf.DUMMYFUNCTION("IFERROR(VLOOKUP(E552&amp;F552,IMPORTRANGE(""https://docs.google.com/spreadsheets/d/1Uw7-A9f9R21vMXxHZFNpYNeKFtG8_yji4HS352LGlSQ/edit?pli=1#gid=0"",""1_ACUM!A4:S""),14,FALSE))"),"")</f>
        <v/>
      </c>
      <c r="BB286" s="43" t="str">
        <f ca="1">IFERROR(__xludf.DUMMYFUNCTION("IFERROR(VLOOKUP(E552&amp;F552,IMPORTRANGE(""https://docs.google.com/spreadsheets/d/1Uw7-A9f9R21vMXxHZFNpYNeKFtG8_yji4HS352LGlSQ/edit?pli=1#gid=0"",""1_ACUM!A4:S""),15,FALSE))"),"")</f>
        <v/>
      </c>
      <c r="BC286" s="43" t="str">
        <f ca="1">IFERROR(__xludf.DUMMYFUNCTION("IFERROR(VLOOKUP(E552&amp;F552,IMPORTRANGE(""https://docs.google.com/spreadsheets/d/1Uw7-A9f9R21vMXxHZFNpYNeKFtG8_yji4HS352LGlSQ/edit?pli=1#gid=0"",""1_ACUM!A4:S""),16,FALSE))"),"")</f>
        <v/>
      </c>
      <c r="BD286" s="43" t="str">
        <f ca="1">IFERROR(__xludf.DUMMYFUNCTION("IFERROR(VLOOKUP(E552&amp;F552,IMPORTRANGE(""https://docs.google.com/spreadsheets/d/1Uw7-A9f9R21vMXxHZFNpYNeKFtG8_yji4HS352LGlSQ/edit?pli=1#gid=0"",""1_ACUM!A4:S""),17,FALSE))"),"")</f>
        <v/>
      </c>
      <c r="BE286" s="44" t="str">
        <f ca="1">IFERROR(__xludf.DUMMYFUNCTION("IFERROR(VLOOKUP(E552&amp;F552,IMPORTRANGE(""https://docs.google.com/spreadsheets/d/1Uw7-A9f9R21vMXxHZFNpYNeKFtG8_yji4HS352LGlSQ/edit?pli=1#gid=0"",""1_ACUM!A4:S""),18,FALSE))"),"")</f>
        <v/>
      </c>
      <c r="BF286" s="44" t="str">
        <f ca="1">IFERROR(__xludf.DUMMYFUNCTION("IFERROR(VLOOKUP(E552&amp;F552,IMPORTRANGE(""https://docs.google.com/spreadsheets/d/1Uw7-A9f9R21vMXxHZFNpYNeKFtG8_yji4HS352LGlSQ/edit?pli=1#gid=0"",""1_ACUM!A4:S""),19,FALSE))"),"")</f>
        <v/>
      </c>
      <c r="BG286" s="98" t="str">
        <f ca="1">IFERROR(__xludf.DUMMYFUNCTION("IFERROR(VLOOKUP(F552,IMPORTRANGE(""https://docs.google.com/spreadsheets/d/1Kvs4KS76FHFqLFIZfrDMff4kP08nblUkihrxltoGBjg/edit#gid=934712705"",""ESENCIAL!A6:BG""),5,FALSE))"),"")</f>
        <v/>
      </c>
      <c r="BH286" s="98" t="str">
        <f t="shared" si="21"/>
        <v/>
      </c>
      <c r="BI286" s="99" t="str">
        <f t="shared" si="22"/>
        <v/>
      </c>
      <c r="BJ286" s="100" t="str">
        <f ca="1">IFERROR(__xludf.DUMMYFUNCTION("IFERROR(VLOOKUP(F552,IMPORTRANGE(""https://docs.google.com/spreadsheets/d/1Kvs4KS76FHFqLFIZfrDMff4kP08nblUkihrxltoGBjg/edit#gid=934712705"",""ESENCIAL!A6:BG""),2,FALSE))"),"")</f>
        <v/>
      </c>
      <c r="BK286" s="19" t="str">
        <f t="shared" si="23"/>
        <v/>
      </c>
      <c r="BL286" s="100"/>
      <c r="BM286" s="100"/>
    </row>
    <row r="287" spans="2:65" ht="15">
      <c r="B287" s="39"/>
      <c r="C287" s="5"/>
      <c r="D287" s="123"/>
      <c r="E287" s="39"/>
      <c r="F287" s="39"/>
      <c r="G287" s="39"/>
      <c r="H287" s="5" t="str">
        <f ca="1">IFERROR(__xludf.DUMMYFUNCTION("IFERROR(VLOOKUP(F553,IMPORTRANGE(""https://docs.google.com/spreadsheets/d/1Kvs4KS76FHFqLFIZfrDMff4kP08nblUkihrxltoGBjg/edit#gid=934712705"",""ESENCIAL!A6:BG""),3,FALSE))"),"")</f>
        <v/>
      </c>
      <c r="I287" s="5" t="str">
        <f ca="1">IFERROR(__xludf.DUMMYFUNCTION("IFERROR(VLOOKUP(F553,IMPORTRANGE(""https://docs.google.com/spreadsheets/d/1Kvs4KS76FHFqLFIZfrDMff4kP08nblUkihrxltoGBjg/edit#gid=934712705"",""ESENCIAL!A6:BG""),8,FALSE))"),"")</f>
        <v/>
      </c>
      <c r="J287" s="39"/>
      <c r="M287" s="287"/>
      <c r="AV287" s="41" t="str">
        <f t="shared" si="20"/>
        <v/>
      </c>
      <c r="AW287" s="5" t="str">
        <f ca="1">IFERROR(__xludf.DUMMYFUNCTION("IFERROR(VLOOKUP(E553&amp;F553,IMPORTRANGE(""https://docs.google.com/spreadsheets/d/1Uw7-A9f9R21vMXxHZFNpYNeKFtG8_yji4HS352LGlSQ/edit?pli=1#gid=0"",""1_ACUM!A4:S""),11,FALSE))"),"")</f>
        <v/>
      </c>
      <c r="AX287" s="42" t="str">
        <f ca="1">IFERROR(__xludf.DUMMYFUNCTION("IFERROR(VLOOKUP(F553,IMPORTRANGE(""https://docs.google.com/spreadsheets/d/1Kvs4KS76FHFqLFIZfrDMff4kP08nblUkihrxltoGBjg/edit#gid=934712705"",""ESENCIAL!A6:BG""),15,FALSE))"),"")</f>
        <v/>
      </c>
      <c r="AY287" s="110" t="str">
        <f ca="1">IFERROR(__xludf.DUMMYFUNCTION("IFERROR(VLOOKUP(E553&amp;F553,IMPORTRANGE(""https://docs.google.com/spreadsheets/d/1Uw7-A9f9R21vMXxHZFNpYNeKFtG8_yji4HS352LGlSQ/edit?pli=1#gid=0"",""1_ACUM!A4:S""),13,FALSE))"),"")</f>
        <v/>
      </c>
      <c r="AZ287" s="43" t="str">
        <f ca="1">IFERROR(__xludf.DUMMYFUNCTION("IFERROR(VLOOKUP(E553&amp;F553,IMPORTRANGE(""https://docs.google.com/spreadsheets/d/1Uw7-A9f9R21vMXxHZFNpYNeKFtG8_yji4HS352LGlSQ/edit?pli=1#gid=0"",""1_ACUM!A4:S""),13,FALSE))"),"")</f>
        <v/>
      </c>
      <c r="BA287" s="43" t="str">
        <f ca="1">IFERROR(__xludf.DUMMYFUNCTION("IFERROR(VLOOKUP(E553&amp;F553,IMPORTRANGE(""https://docs.google.com/spreadsheets/d/1Uw7-A9f9R21vMXxHZFNpYNeKFtG8_yji4HS352LGlSQ/edit?pli=1#gid=0"",""1_ACUM!A4:S""),14,FALSE))"),"")</f>
        <v/>
      </c>
      <c r="BB287" s="43" t="str">
        <f ca="1">IFERROR(__xludf.DUMMYFUNCTION("IFERROR(VLOOKUP(E553&amp;F553,IMPORTRANGE(""https://docs.google.com/spreadsheets/d/1Uw7-A9f9R21vMXxHZFNpYNeKFtG8_yji4HS352LGlSQ/edit?pli=1#gid=0"",""1_ACUM!A4:S""),15,FALSE))"),"")</f>
        <v/>
      </c>
      <c r="BC287" s="43" t="str">
        <f ca="1">IFERROR(__xludf.DUMMYFUNCTION("IFERROR(VLOOKUP(E553&amp;F553,IMPORTRANGE(""https://docs.google.com/spreadsheets/d/1Uw7-A9f9R21vMXxHZFNpYNeKFtG8_yji4HS352LGlSQ/edit?pli=1#gid=0"",""1_ACUM!A4:S""),16,FALSE))"),"")</f>
        <v/>
      </c>
      <c r="BD287" s="43" t="str">
        <f ca="1">IFERROR(__xludf.DUMMYFUNCTION("IFERROR(VLOOKUP(E553&amp;F553,IMPORTRANGE(""https://docs.google.com/spreadsheets/d/1Uw7-A9f9R21vMXxHZFNpYNeKFtG8_yji4HS352LGlSQ/edit?pli=1#gid=0"",""1_ACUM!A4:S""),17,FALSE))"),"")</f>
        <v/>
      </c>
      <c r="BE287" s="44" t="str">
        <f ca="1">IFERROR(__xludf.DUMMYFUNCTION("IFERROR(VLOOKUP(E553&amp;F553,IMPORTRANGE(""https://docs.google.com/spreadsheets/d/1Uw7-A9f9R21vMXxHZFNpYNeKFtG8_yji4HS352LGlSQ/edit?pli=1#gid=0"",""1_ACUM!A4:S""),18,FALSE))"),"")</f>
        <v/>
      </c>
      <c r="BF287" s="44" t="str">
        <f ca="1">IFERROR(__xludf.DUMMYFUNCTION("IFERROR(VLOOKUP(E553&amp;F553,IMPORTRANGE(""https://docs.google.com/spreadsheets/d/1Uw7-A9f9R21vMXxHZFNpYNeKFtG8_yji4HS352LGlSQ/edit?pli=1#gid=0"",""1_ACUM!A4:S""),19,FALSE))"),"")</f>
        <v/>
      </c>
      <c r="BG287" s="98" t="str">
        <f ca="1">IFERROR(__xludf.DUMMYFUNCTION("IFERROR(VLOOKUP(F553,IMPORTRANGE(""https://docs.google.com/spreadsheets/d/1Kvs4KS76FHFqLFIZfrDMff4kP08nblUkihrxltoGBjg/edit#gid=934712705"",""ESENCIAL!A6:BG""),5,FALSE))"),"")</f>
        <v/>
      </c>
      <c r="BH287" s="98" t="str">
        <f t="shared" si="21"/>
        <v/>
      </c>
      <c r="BI287" s="99" t="str">
        <f t="shared" si="22"/>
        <v/>
      </c>
      <c r="BJ287" s="100" t="str">
        <f ca="1">IFERROR(__xludf.DUMMYFUNCTION("IFERROR(VLOOKUP(F553,IMPORTRANGE(""https://docs.google.com/spreadsheets/d/1Kvs4KS76FHFqLFIZfrDMff4kP08nblUkihrxltoGBjg/edit#gid=934712705"",""ESENCIAL!A6:BG""),2,FALSE))"),"")</f>
        <v/>
      </c>
      <c r="BK287" s="19" t="str">
        <f t="shared" si="23"/>
        <v/>
      </c>
      <c r="BL287" s="100"/>
      <c r="BM287" s="100"/>
    </row>
    <row r="288" spans="2:65" ht="15">
      <c r="B288" s="39"/>
      <c r="C288" s="5"/>
      <c r="D288" s="123"/>
      <c r="E288" s="39"/>
      <c r="F288" s="39"/>
      <c r="G288" s="39"/>
      <c r="H288" s="5" t="str">
        <f ca="1">IFERROR(__xludf.DUMMYFUNCTION("IFERROR(VLOOKUP(F554,IMPORTRANGE(""https://docs.google.com/spreadsheets/d/1Kvs4KS76FHFqLFIZfrDMff4kP08nblUkihrxltoGBjg/edit#gid=934712705"",""ESENCIAL!A6:BG""),3,FALSE))"),"")</f>
        <v/>
      </c>
      <c r="I288" s="5" t="str">
        <f ca="1">IFERROR(__xludf.DUMMYFUNCTION("IFERROR(VLOOKUP(F554,IMPORTRANGE(""https://docs.google.com/spreadsheets/d/1Kvs4KS76FHFqLFIZfrDMff4kP08nblUkihrxltoGBjg/edit#gid=934712705"",""ESENCIAL!A6:BG""),8,FALSE))"),"")</f>
        <v/>
      </c>
      <c r="J288" s="39"/>
      <c r="M288" s="287"/>
      <c r="AV288" s="41" t="str">
        <f t="shared" si="20"/>
        <v/>
      </c>
      <c r="AW288" s="5" t="str">
        <f ca="1">IFERROR(__xludf.DUMMYFUNCTION("IFERROR(VLOOKUP(E554&amp;F554,IMPORTRANGE(""https://docs.google.com/spreadsheets/d/1Uw7-A9f9R21vMXxHZFNpYNeKFtG8_yji4HS352LGlSQ/edit?pli=1#gid=0"",""1_ACUM!A4:S""),11,FALSE))"),"")</f>
        <v/>
      </c>
      <c r="AX288" s="42" t="str">
        <f ca="1">IFERROR(__xludf.DUMMYFUNCTION("IFERROR(VLOOKUP(F554,IMPORTRANGE(""https://docs.google.com/spreadsheets/d/1Kvs4KS76FHFqLFIZfrDMff4kP08nblUkihrxltoGBjg/edit#gid=934712705"",""ESENCIAL!A6:BG""),15,FALSE))"),"")</f>
        <v/>
      </c>
      <c r="AY288" s="110" t="str">
        <f ca="1">IFERROR(__xludf.DUMMYFUNCTION("IFERROR(VLOOKUP(E554&amp;F554,IMPORTRANGE(""https://docs.google.com/spreadsheets/d/1Uw7-A9f9R21vMXxHZFNpYNeKFtG8_yji4HS352LGlSQ/edit?pli=1#gid=0"",""1_ACUM!A4:S""),13,FALSE))"),"")</f>
        <v/>
      </c>
      <c r="AZ288" s="43" t="str">
        <f ca="1">IFERROR(__xludf.DUMMYFUNCTION("IFERROR(VLOOKUP(E554&amp;F554,IMPORTRANGE(""https://docs.google.com/spreadsheets/d/1Uw7-A9f9R21vMXxHZFNpYNeKFtG8_yji4HS352LGlSQ/edit?pli=1#gid=0"",""1_ACUM!A4:S""),13,FALSE))"),"")</f>
        <v/>
      </c>
      <c r="BA288" s="43" t="str">
        <f ca="1">IFERROR(__xludf.DUMMYFUNCTION("IFERROR(VLOOKUP(E554&amp;F554,IMPORTRANGE(""https://docs.google.com/spreadsheets/d/1Uw7-A9f9R21vMXxHZFNpYNeKFtG8_yji4HS352LGlSQ/edit?pli=1#gid=0"",""1_ACUM!A4:S""),14,FALSE))"),"")</f>
        <v/>
      </c>
      <c r="BB288" s="43" t="str">
        <f ca="1">IFERROR(__xludf.DUMMYFUNCTION("IFERROR(VLOOKUP(E554&amp;F554,IMPORTRANGE(""https://docs.google.com/spreadsheets/d/1Uw7-A9f9R21vMXxHZFNpYNeKFtG8_yji4HS352LGlSQ/edit?pli=1#gid=0"",""1_ACUM!A4:S""),15,FALSE))"),"")</f>
        <v/>
      </c>
      <c r="BC288" s="43" t="str">
        <f ca="1">IFERROR(__xludf.DUMMYFUNCTION("IFERROR(VLOOKUP(E554&amp;F554,IMPORTRANGE(""https://docs.google.com/spreadsheets/d/1Uw7-A9f9R21vMXxHZFNpYNeKFtG8_yji4HS352LGlSQ/edit?pli=1#gid=0"",""1_ACUM!A4:S""),16,FALSE))"),"")</f>
        <v/>
      </c>
      <c r="BD288" s="43" t="str">
        <f ca="1">IFERROR(__xludf.DUMMYFUNCTION("IFERROR(VLOOKUP(E554&amp;F554,IMPORTRANGE(""https://docs.google.com/spreadsheets/d/1Uw7-A9f9R21vMXxHZFNpYNeKFtG8_yji4HS352LGlSQ/edit?pli=1#gid=0"",""1_ACUM!A4:S""),17,FALSE))"),"")</f>
        <v/>
      </c>
      <c r="BE288" s="44" t="str">
        <f ca="1">IFERROR(__xludf.DUMMYFUNCTION("IFERROR(VLOOKUP(E554&amp;F554,IMPORTRANGE(""https://docs.google.com/spreadsheets/d/1Uw7-A9f9R21vMXxHZFNpYNeKFtG8_yji4HS352LGlSQ/edit?pli=1#gid=0"",""1_ACUM!A4:S""),18,FALSE))"),"")</f>
        <v/>
      </c>
      <c r="BF288" s="44" t="str">
        <f ca="1">IFERROR(__xludf.DUMMYFUNCTION("IFERROR(VLOOKUP(E554&amp;F554,IMPORTRANGE(""https://docs.google.com/spreadsheets/d/1Uw7-A9f9R21vMXxHZFNpYNeKFtG8_yji4HS352LGlSQ/edit?pli=1#gid=0"",""1_ACUM!A4:S""),19,FALSE))"),"")</f>
        <v/>
      </c>
      <c r="BG288" s="98" t="str">
        <f ca="1">IFERROR(__xludf.DUMMYFUNCTION("IFERROR(VLOOKUP(F554,IMPORTRANGE(""https://docs.google.com/spreadsheets/d/1Kvs4KS76FHFqLFIZfrDMff4kP08nblUkihrxltoGBjg/edit#gid=934712705"",""ESENCIAL!A6:BG""),5,FALSE))"),"")</f>
        <v/>
      </c>
      <c r="BH288" s="98" t="str">
        <f t="shared" si="21"/>
        <v/>
      </c>
      <c r="BI288" s="99" t="str">
        <f t="shared" si="22"/>
        <v/>
      </c>
      <c r="BJ288" s="100" t="str">
        <f ca="1">IFERROR(__xludf.DUMMYFUNCTION("IFERROR(VLOOKUP(F554,IMPORTRANGE(""https://docs.google.com/spreadsheets/d/1Kvs4KS76FHFqLFIZfrDMff4kP08nblUkihrxltoGBjg/edit#gid=934712705"",""ESENCIAL!A6:BG""),2,FALSE))"),"")</f>
        <v/>
      </c>
      <c r="BK288" s="19" t="str">
        <f t="shared" si="23"/>
        <v/>
      </c>
      <c r="BL288" s="100"/>
      <c r="BM288" s="100"/>
    </row>
    <row r="289" spans="2:65" ht="15">
      <c r="B289" s="39"/>
      <c r="C289" s="5"/>
      <c r="D289" s="123"/>
      <c r="E289" s="39"/>
      <c r="F289" s="39"/>
      <c r="G289" s="39"/>
      <c r="H289" s="5" t="str">
        <f ca="1">IFERROR(__xludf.DUMMYFUNCTION("IFERROR(VLOOKUP(F555,IMPORTRANGE(""https://docs.google.com/spreadsheets/d/1Kvs4KS76FHFqLFIZfrDMff4kP08nblUkihrxltoGBjg/edit#gid=934712705"",""ESENCIAL!A6:BG""),3,FALSE))"),"")</f>
        <v/>
      </c>
      <c r="I289" s="5" t="str">
        <f ca="1">IFERROR(__xludf.DUMMYFUNCTION("IFERROR(VLOOKUP(F555,IMPORTRANGE(""https://docs.google.com/spreadsheets/d/1Kvs4KS76FHFqLFIZfrDMff4kP08nblUkihrxltoGBjg/edit#gid=934712705"",""ESENCIAL!A6:BG""),8,FALSE))"),"")</f>
        <v/>
      </c>
      <c r="J289" s="39"/>
      <c r="M289" s="287"/>
      <c r="AV289" s="41" t="str">
        <f t="shared" si="20"/>
        <v/>
      </c>
      <c r="AW289" s="5" t="str">
        <f ca="1">IFERROR(__xludf.DUMMYFUNCTION("IFERROR(VLOOKUP(E555&amp;F555,IMPORTRANGE(""https://docs.google.com/spreadsheets/d/1Uw7-A9f9R21vMXxHZFNpYNeKFtG8_yji4HS352LGlSQ/edit?pli=1#gid=0"",""1_ACUM!A4:S""),11,FALSE))"),"")</f>
        <v/>
      </c>
      <c r="AX289" s="42" t="str">
        <f ca="1">IFERROR(__xludf.DUMMYFUNCTION("IFERROR(VLOOKUP(F555,IMPORTRANGE(""https://docs.google.com/spreadsheets/d/1Kvs4KS76FHFqLFIZfrDMff4kP08nblUkihrxltoGBjg/edit#gid=934712705"",""ESENCIAL!A6:BG""),15,FALSE))"),"")</f>
        <v/>
      </c>
      <c r="AY289" s="110" t="str">
        <f ca="1">IFERROR(__xludf.DUMMYFUNCTION("IFERROR(VLOOKUP(E555&amp;F555,IMPORTRANGE(""https://docs.google.com/spreadsheets/d/1Uw7-A9f9R21vMXxHZFNpYNeKFtG8_yji4HS352LGlSQ/edit?pli=1#gid=0"",""1_ACUM!A4:S""),13,FALSE))"),"")</f>
        <v/>
      </c>
      <c r="AZ289" s="43" t="str">
        <f ca="1">IFERROR(__xludf.DUMMYFUNCTION("IFERROR(VLOOKUP(E555&amp;F555,IMPORTRANGE(""https://docs.google.com/spreadsheets/d/1Uw7-A9f9R21vMXxHZFNpYNeKFtG8_yji4HS352LGlSQ/edit?pli=1#gid=0"",""1_ACUM!A4:S""),13,FALSE))"),"")</f>
        <v/>
      </c>
      <c r="BA289" s="43" t="str">
        <f ca="1">IFERROR(__xludf.DUMMYFUNCTION("IFERROR(VLOOKUP(E555&amp;F555,IMPORTRANGE(""https://docs.google.com/spreadsheets/d/1Uw7-A9f9R21vMXxHZFNpYNeKFtG8_yji4HS352LGlSQ/edit?pli=1#gid=0"",""1_ACUM!A4:S""),14,FALSE))"),"")</f>
        <v/>
      </c>
      <c r="BB289" s="43" t="str">
        <f ca="1">IFERROR(__xludf.DUMMYFUNCTION("IFERROR(VLOOKUP(E555&amp;F555,IMPORTRANGE(""https://docs.google.com/spreadsheets/d/1Uw7-A9f9R21vMXxHZFNpYNeKFtG8_yji4HS352LGlSQ/edit?pli=1#gid=0"",""1_ACUM!A4:S""),15,FALSE))"),"")</f>
        <v/>
      </c>
      <c r="BC289" s="43" t="str">
        <f ca="1">IFERROR(__xludf.DUMMYFUNCTION("IFERROR(VLOOKUP(E555&amp;F555,IMPORTRANGE(""https://docs.google.com/spreadsheets/d/1Uw7-A9f9R21vMXxHZFNpYNeKFtG8_yji4HS352LGlSQ/edit?pli=1#gid=0"",""1_ACUM!A4:S""),16,FALSE))"),"")</f>
        <v/>
      </c>
      <c r="BD289" s="43" t="str">
        <f ca="1">IFERROR(__xludf.DUMMYFUNCTION("IFERROR(VLOOKUP(E555&amp;F555,IMPORTRANGE(""https://docs.google.com/spreadsheets/d/1Uw7-A9f9R21vMXxHZFNpYNeKFtG8_yji4HS352LGlSQ/edit?pli=1#gid=0"",""1_ACUM!A4:S""),17,FALSE))"),"")</f>
        <v/>
      </c>
      <c r="BE289" s="44" t="str">
        <f ca="1">IFERROR(__xludf.DUMMYFUNCTION("IFERROR(VLOOKUP(E555&amp;F555,IMPORTRANGE(""https://docs.google.com/spreadsheets/d/1Uw7-A9f9R21vMXxHZFNpYNeKFtG8_yji4HS352LGlSQ/edit?pli=1#gid=0"",""1_ACUM!A4:S""),18,FALSE))"),"")</f>
        <v/>
      </c>
      <c r="BF289" s="44" t="str">
        <f ca="1">IFERROR(__xludf.DUMMYFUNCTION("IFERROR(VLOOKUP(E555&amp;F555,IMPORTRANGE(""https://docs.google.com/spreadsheets/d/1Uw7-A9f9R21vMXxHZFNpYNeKFtG8_yji4HS352LGlSQ/edit?pli=1#gid=0"",""1_ACUM!A4:S""),19,FALSE))"),"")</f>
        <v/>
      </c>
      <c r="BG289" s="98" t="str">
        <f ca="1">IFERROR(__xludf.DUMMYFUNCTION("IFERROR(VLOOKUP(F555,IMPORTRANGE(""https://docs.google.com/spreadsheets/d/1Kvs4KS76FHFqLFIZfrDMff4kP08nblUkihrxltoGBjg/edit#gid=934712705"",""ESENCIAL!A6:BG""),5,FALSE))"),"")</f>
        <v/>
      </c>
      <c r="BH289" s="98" t="str">
        <f t="shared" si="21"/>
        <v/>
      </c>
      <c r="BI289" s="99" t="str">
        <f t="shared" si="22"/>
        <v/>
      </c>
      <c r="BJ289" s="100" t="str">
        <f ca="1">IFERROR(__xludf.DUMMYFUNCTION("IFERROR(VLOOKUP(F555,IMPORTRANGE(""https://docs.google.com/spreadsheets/d/1Kvs4KS76FHFqLFIZfrDMff4kP08nblUkihrxltoGBjg/edit#gid=934712705"",""ESENCIAL!A6:BG""),2,FALSE))"),"")</f>
        <v/>
      </c>
      <c r="BK289" s="19" t="str">
        <f t="shared" si="23"/>
        <v/>
      </c>
      <c r="BL289" s="100"/>
      <c r="BM289" s="100"/>
    </row>
    <row r="290" spans="2:65" ht="15">
      <c r="B290" s="39"/>
      <c r="C290" s="5"/>
      <c r="D290" s="123"/>
      <c r="E290" s="39"/>
      <c r="F290" s="39"/>
      <c r="G290" s="39"/>
      <c r="H290" s="5" t="str">
        <f ca="1">IFERROR(__xludf.DUMMYFUNCTION("IFERROR(VLOOKUP(F556,IMPORTRANGE(""https://docs.google.com/spreadsheets/d/1Kvs4KS76FHFqLFIZfrDMff4kP08nblUkihrxltoGBjg/edit#gid=934712705"",""ESENCIAL!A6:BG""),3,FALSE))"),"")</f>
        <v/>
      </c>
      <c r="I290" s="5" t="str">
        <f ca="1">IFERROR(__xludf.DUMMYFUNCTION("IFERROR(VLOOKUP(F556,IMPORTRANGE(""https://docs.google.com/spreadsheets/d/1Kvs4KS76FHFqLFIZfrDMff4kP08nblUkihrxltoGBjg/edit#gid=934712705"",""ESENCIAL!A6:BG""),8,FALSE))"),"")</f>
        <v/>
      </c>
      <c r="J290" s="39"/>
      <c r="M290" s="287"/>
      <c r="AV290" s="41" t="str">
        <f t="shared" si="20"/>
        <v/>
      </c>
      <c r="AW290" s="5" t="str">
        <f ca="1">IFERROR(__xludf.DUMMYFUNCTION("IFERROR(VLOOKUP(E556&amp;F556,IMPORTRANGE(""https://docs.google.com/spreadsheets/d/1Uw7-A9f9R21vMXxHZFNpYNeKFtG8_yji4HS352LGlSQ/edit?pli=1#gid=0"",""1_ACUM!A4:S""),11,FALSE))"),"")</f>
        <v/>
      </c>
      <c r="AX290" s="42" t="str">
        <f ca="1">IFERROR(__xludf.DUMMYFUNCTION("IFERROR(VLOOKUP(F556,IMPORTRANGE(""https://docs.google.com/spreadsheets/d/1Kvs4KS76FHFqLFIZfrDMff4kP08nblUkihrxltoGBjg/edit#gid=934712705"",""ESENCIAL!A6:BG""),15,FALSE))"),"")</f>
        <v/>
      </c>
      <c r="AY290" s="110" t="str">
        <f ca="1">IFERROR(__xludf.DUMMYFUNCTION("IFERROR(VLOOKUP(E556&amp;F556,IMPORTRANGE(""https://docs.google.com/spreadsheets/d/1Uw7-A9f9R21vMXxHZFNpYNeKFtG8_yji4HS352LGlSQ/edit?pli=1#gid=0"",""1_ACUM!A4:S""),13,FALSE))"),"")</f>
        <v/>
      </c>
      <c r="AZ290" s="43" t="str">
        <f ca="1">IFERROR(__xludf.DUMMYFUNCTION("IFERROR(VLOOKUP(E556&amp;F556,IMPORTRANGE(""https://docs.google.com/spreadsheets/d/1Uw7-A9f9R21vMXxHZFNpYNeKFtG8_yji4HS352LGlSQ/edit?pli=1#gid=0"",""1_ACUM!A4:S""),13,FALSE))"),"")</f>
        <v/>
      </c>
      <c r="BA290" s="43" t="str">
        <f ca="1">IFERROR(__xludf.DUMMYFUNCTION("IFERROR(VLOOKUP(E556&amp;F556,IMPORTRANGE(""https://docs.google.com/spreadsheets/d/1Uw7-A9f9R21vMXxHZFNpYNeKFtG8_yji4HS352LGlSQ/edit?pli=1#gid=0"",""1_ACUM!A4:S""),14,FALSE))"),"")</f>
        <v/>
      </c>
      <c r="BB290" s="43" t="str">
        <f ca="1">IFERROR(__xludf.DUMMYFUNCTION("IFERROR(VLOOKUP(E556&amp;F556,IMPORTRANGE(""https://docs.google.com/spreadsheets/d/1Uw7-A9f9R21vMXxHZFNpYNeKFtG8_yji4HS352LGlSQ/edit?pli=1#gid=0"",""1_ACUM!A4:S""),15,FALSE))"),"")</f>
        <v/>
      </c>
      <c r="BC290" s="43" t="str">
        <f ca="1">IFERROR(__xludf.DUMMYFUNCTION("IFERROR(VLOOKUP(E556&amp;F556,IMPORTRANGE(""https://docs.google.com/spreadsheets/d/1Uw7-A9f9R21vMXxHZFNpYNeKFtG8_yji4HS352LGlSQ/edit?pli=1#gid=0"",""1_ACUM!A4:S""),16,FALSE))"),"")</f>
        <v/>
      </c>
      <c r="BD290" s="43" t="str">
        <f ca="1">IFERROR(__xludf.DUMMYFUNCTION("IFERROR(VLOOKUP(E556&amp;F556,IMPORTRANGE(""https://docs.google.com/spreadsheets/d/1Uw7-A9f9R21vMXxHZFNpYNeKFtG8_yji4HS352LGlSQ/edit?pli=1#gid=0"",""1_ACUM!A4:S""),17,FALSE))"),"")</f>
        <v/>
      </c>
      <c r="BE290" s="44" t="str">
        <f ca="1">IFERROR(__xludf.DUMMYFUNCTION("IFERROR(VLOOKUP(E556&amp;F556,IMPORTRANGE(""https://docs.google.com/spreadsheets/d/1Uw7-A9f9R21vMXxHZFNpYNeKFtG8_yji4HS352LGlSQ/edit?pli=1#gid=0"",""1_ACUM!A4:S""),18,FALSE))"),"")</f>
        <v/>
      </c>
      <c r="BF290" s="44" t="str">
        <f ca="1">IFERROR(__xludf.DUMMYFUNCTION("IFERROR(VLOOKUP(E556&amp;F556,IMPORTRANGE(""https://docs.google.com/spreadsheets/d/1Uw7-A9f9R21vMXxHZFNpYNeKFtG8_yji4HS352LGlSQ/edit?pli=1#gid=0"",""1_ACUM!A4:S""),19,FALSE))"),"")</f>
        <v/>
      </c>
      <c r="BG290" s="98" t="str">
        <f ca="1">IFERROR(__xludf.DUMMYFUNCTION("IFERROR(VLOOKUP(F556,IMPORTRANGE(""https://docs.google.com/spreadsheets/d/1Kvs4KS76FHFqLFIZfrDMff4kP08nblUkihrxltoGBjg/edit#gid=934712705"",""ESENCIAL!A6:BG""),5,FALSE))"),"")</f>
        <v/>
      </c>
      <c r="BH290" s="98" t="str">
        <f t="shared" si="21"/>
        <v/>
      </c>
      <c r="BI290" s="99" t="str">
        <f t="shared" si="22"/>
        <v/>
      </c>
      <c r="BJ290" s="100" t="str">
        <f ca="1">IFERROR(__xludf.DUMMYFUNCTION("IFERROR(VLOOKUP(F556,IMPORTRANGE(""https://docs.google.com/spreadsheets/d/1Kvs4KS76FHFqLFIZfrDMff4kP08nblUkihrxltoGBjg/edit#gid=934712705"",""ESENCIAL!A6:BG""),2,FALSE))"),"")</f>
        <v/>
      </c>
      <c r="BK290" s="19" t="str">
        <f t="shared" si="23"/>
        <v/>
      </c>
      <c r="BL290" s="100"/>
      <c r="BM290" s="100"/>
    </row>
    <row r="291" spans="2:65" ht="15">
      <c r="B291" s="39"/>
      <c r="C291" s="5"/>
      <c r="D291" s="123"/>
      <c r="E291" s="39"/>
      <c r="F291" s="39"/>
      <c r="G291" s="39"/>
      <c r="H291" s="5" t="str">
        <f ca="1">IFERROR(__xludf.DUMMYFUNCTION("IFERROR(VLOOKUP(F557,IMPORTRANGE(""https://docs.google.com/spreadsheets/d/1Kvs4KS76FHFqLFIZfrDMff4kP08nblUkihrxltoGBjg/edit#gid=934712705"",""ESENCIAL!A6:BG""),3,FALSE))"),"")</f>
        <v/>
      </c>
      <c r="I291" s="5" t="str">
        <f ca="1">IFERROR(__xludf.DUMMYFUNCTION("IFERROR(VLOOKUP(F557,IMPORTRANGE(""https://docs.google.com/spreadsheets/d/1Kvs4KS76FHFqLFIZfrDMff4kP08nblUkihrxltoGBjg/edit#gid=934712705"",""ESENCIAL!A6:BG""),8,FALSE))"),"")</f>
        <v/>
      </c>
      <c r="J291" s="39"/>
      <c r="M291" s="287"/>
      <c r="AV291" s="41" t="str">
        <f t="shared" si="20"/>
        <v/>
      </c>
      <c r="AW291" s="5" t="str">
        <f ca="1">IFERROR(__xludf.DUMMYFUNCTION("IFERROR(VLOOKUP(E557&amp;F557,IMPORTRANGE(""https://docs.google.com/spreadsheets/d/1Uw7-A9f9R21vMXxHZFNpYNeKFtG8_yji4HS352LGlSQ/edit?pli=1#gid=0"",""1_ACUM!A4:S""),11,FALSE))"),"")</f>
        <v/>
      </c>
      <c r="AX291" s="42" t="str">
        <f ca="1">IFERROR(__xludf.DUMMYFUNCTION("IFERROR(VLOOKUP(F557,IMPORTRANGE(""https://docs.google.com/spreadsheets/d/1Kvs4KS76FHFqLFIZfrDMff4kP08nblUkihrxltoGBjg/edit#gid=934712705"",""ESENCIAL!A6:BG""),15,FALSE))"),"")</f>
        <v/>
      </c>
      <c r="AY291" s="110" t="str">
        <f ca="1">IFERROR(__xludf.DUMMYFUNCTION("IFERROR(VLOOKUP(E557&amp;F557,IMPORTRANGE(""https://docs.google.com/spreadsheets/d/1Uw7-A9f9R21vMXxHZFNpYNeKFtG8_yji4HS352LGlSQ/edit?pli=1#gid=0"",""1_ACUM!A4:S""),13,FALSE))"),"")</f>
        <v/>
      </c>
      <c r="AZ291" s="43" t="str">
        <f ca="1">IFERROR(__xludf.DUMMYFUNCTION("IFERROR(VLOOKUP(E557&amp;F557,IMPORTRANGE(""https://docs.google.com/spreadsheets/d/1Uw7-A9f9R21vMXxHZFNpYNeKFtG8_yji4HS352LGlSQ/edit?pli=1#gid=0"",""1_ACUM!A4:S""),13,FALSE))"),"")</f>
        <v/>
      </c>
      <c r="BA291" s="43" t="str">
        <f ca="1">IFERROR(__xludf.DUMMYFUNCTION("IFERROR(VLOOKUP(E557&amp;F557,IMPORTRANGE(""https://docs.google.com/spreadsheets/d/1Uw7-A9f9R21vMXxHZFNpYNeKFtG8_yji4HS352LGlSQ/edit?pli=1#gid=0"",""1_ACUM!A4:S""),14,FALSE))"),"")</f>
        <v/>
      </c>
      <c r="BB291" s="43" t="str">
        <f ca="1">IFERROR(__xludf.DUMMYFUNCTION("IFERROR(VLOOKUP(E557&amp;F557,IMPORTRANGE(""https://docs.google.com/spreadsheets/d/1Uw7-A9f9R21vMXxHZFNpYNeKFtG8_yji4HS352LGlSQ/edit?pli=1#gid=0"",""1_ACUM!A4:S""),15,FALSE))"),"")</f>
        <v/>
      </c>
      <c r="BC291" s="43" t="str">
        <f ca="1">IFERROR(__xludf.DUMMYFUNCTION("IFERROR(VLOOKUP(E557&amp;F557,IMPORTRANGE(""https://docs.google.com/spreadsheets/d/1Uw7-A9f9R21vMXxHZFNpYNeKFtG8_yji4HS352LGlSQ/edit?pli=1#gid=0"",""1_ACUM!A4:S""),16,FALSE))"),"")</f>
        <v/>
      </c>
      <c r="BD291" s="43" t="str">
        <f ca="1">IFERROR(__xludf.DUMMYFUNCTION("IFERROR(VLOOKUP(E557&amp;F557,IMPORTRANGE(""https://docs.google.com/spreadsheets/d/1Uw7-A9f9R21vMXxHZFNpYNeKFtG8_yji4HS352LGlSQ/edit?pli=1#gid=0"",""1_ACUM!A4:S""),17,FALSE))"),"")</f>
        <v/>
      </c>
      <c r="BE291" s="44" t="str">
        <f ca="1">IFERROR(__xludf.DUMMYFUNCTION("IFERROR(VLOOKUP(E557&amp;F557,IMPORTRANGE(""https://docs.google.com/spreadsheets/d/1Uw7-A9f9R21vMXxHZFNpYNeKFtG8_yji4HS352LGlSQ/edit?pli=1#gid=0"",""1_ACUM!A4:S""),18,FALSE))"),"")</f>
        <v/>
      </c>
      <c r="BF291" s="44" t="str">
        <f ca="1">IFERROR(__xludf.DUMMYFUNCTION("IFERROR(VLOOKUP(E557&amp;F557,IMPORTRANGE(""https://docs.google.com/spreadsheets/d/1Uw7-A9f9R21vMXxHZFNpYNeKFtG8_yji4HS352LGlSQ/edit?pli=1#gid=0"",""1_ACUM!A4:S""),19,FALSE))"),"")</f>
        <v/>
      </c>
      <c r="BG291" s="98" t="str">
        <f ca="1">IFERROR(__xludf.DUMMYFUNCTION("IFERROR(VLOOKUP(F557,IMPORTRANGE(""https://docs.google.com/spreadsheets/d/1Kvs4KS76FHFqLFIZfrDMff4kP08nblUkihrxltoGBjg/edit#gid=934712705"",""ESENCIAL!A6:BG""),5,FALSE))"),"")</f>
        <v/>
      </c>
      <c r="BH291" s="98" t="str">
        <f t="shared" si="21"/>
        <v/>
      </c>
      <c r="BI291" s="99" t="str">
        <f t="shared" si="22"/>
        <v/>
      </c>
      <c r="BJ291" s="100" t="str">
        <f ca="1">IFERROR(__xludf.DUMMYFUNCTION("IFERROR(VLOOKUP(F557,IMPORTRANGE(""https://docs.google.com/spreadsheets/d/1Kvs4KS76FHFqLFIZfrDMff4kP08nblUkihrxltoGBjg/edit#gid=934712705"",""ESENCIAL!A6:BG""),2,FALSE))"),"")</f>
        <v/>
      </c>
      <c r="BK291" s="19" t="str">
        <f t="shared" si="23"/>
        <v/>
      </c>
      <c r="BL291" s="100"/>
      <c r="BM291" s="100"/>
    </row>
    <row r="292" spans="2:65" ht="15">
      <c r="B292" s="39"/>
      <c r="C292" s="5"/>
      <c r="D292" s="123"/>
      <c r="E292" s="39"/>
      <c r="F292" s="39"/>
      <c r="G292" s="39"/>
      <c r="H292" s="5" t="str">
        <f ca="1">IFERROR(__xludf.DUMMYFUNCTION("IFERROR(VLOOKUP(F558,IMPORTRANGE(""https://docs.google.com/spreadsheets/d/1Kvs4KS76FHFqLFIZfrDMff4kP08nblUkihrxltoGBjg/edit#gid=934712705"",""ESENCIAL!A6:BG""),3,FALSE))"),"")</f>
        <v/>
      </c>
      <c r="I292" s="5" t="str">
        <f ca="1">IFERROR(__xludf.DUMMYFUNCTION("IFERROR(VLOOKUP(F558,IMPORTRANGE(""https://docs.google.com/spreadsheets/d/1Kvs4KS76FHFqLFIZfrDMff4kP08nblUkihrxltoGBjg/edit#gid=934712705"",""ESENCIAL!A6:BG""),8,FALSE))"),"")</f>
        <v/>
      </c>
      <c r="J292" s="39"/>
      <c r="M292" s="287"/>
      <c r="AV292" s="41" t="str">
        <f t="shared" si="20"/>
        <v/>
      </c>
      <c r="AW292" s="5" t="str">
        <f ca="1">IFERROR(__xludf.DUMMYFUNCTION("IFERROR(VLOOKUP(E558&amp;F558,IMPORTRANGE(""https://docs.google.com/spreadsheets/d/1Uw7-A9f9R21vMXxHZFNpYNeKFtG8_yji4HS352LGlSQ/edit?pli=1#gid=0"",""1_ACUM!A4:S""),11,FALSE))"),"")</f>
        <v/>
      </c>
      <c r="AX292" s="42" t="str">
        <f ca="1">IFERROR(__xludf.DUMMYFUNCTION("IFERROR(VLOOKUP(F558,IMPORTRANGE(""https://docs.google.com/spreadsheets/d/1Kvs4KS76FHFqLFIZfrDMff4kP08nblUkihrxltoGBjg/edit#gid=934712705"",""ESENCIAL!A6:BG""),15,FALSE))"),"")</f>
        <v/>
      </c>
      <c r="AY292" s="110" t="str">
        <f ca="1">IFERROR(__xludf.DUMMYFUNCTION("IFERROR(VLOOKUP(E558&amp;F558,IMPORTRANGE(""https://docs.google.com/spreadsheets/d/1Uw7-A9f9R21vMXxHZFNpYNeKFtG8_yji4HS352LGlSQ/edit?pli=1#gid=0"",""1_ACUM!A4:S""),13,FALSE))"),"")</f>
        <v/>
      </c>
      <c r="AZ292" s="43" t="str">
        <f ca="1">IFERROR(__xludf.DUMMYFUNCTION("IFERROR(VLOOKUP(E558&amp;F558,IMPORTRANGE(""https://docs.google.com/spreadsheets/d/1Uw7-A9f9R21vMXxHZFNpYNeKFtG8_yji4HS352LGlSQ/edit?pli=1#gid=0"",""1_ACUM!A4:S""),13,FALSE))"),"")</f>
        <v/>
      </c>
      <c r="BA292" s="43" t="str">
        <f ca="1">IFERROR(__xludf.DUMMYFUNCTION("IFERROR(VLOOKUP(E558&amp;F558,IMPORTRANGE(""https://docs.google.com/spreadsheets/d/1Uw7-A9f9R21vMXxHZFNpYNeKFtG8_yji4HS352LGlSQ/edit?pli=1#gid=0"",""1_ACUM!A4:S""),14,FALSE))"),"")</f>
        <v/>
      </c>
      <c r="BB292" s="43" t="str">
        <f ca="1">IFERROR(__xludf.DUMMYFUNCTION("IFERROR(VLOOKUP(E558&amp;F558,IMPORTRANGE(""https://docs.google.com/spreadsheets/d/1Uw7-A9f9R21vMXxHZFNpYNeKFtG8_yji4HS352LGlSQ/edit?pli=1#gid=0"",""1_ACUM!A4:S""),15,FALSE))"),"")</f>
        <v/>
      </c>
      <c r="BC292" s="43" t="str">
        <f ca="1">IFERROR(__xludf.DUMMYFUNCTION("IFERROR(VLOOKUP(E558&amp;F558,IMPORTRANGE(""https://docs.google.com/spreadsheets/d/1Uw7-A9f9R21vMXxHZFNpYNeKFtG8_yji4HS352LGlSQ/edit?pli=1#gid=0"",""1_ACUM!A4:S""),16,FALSE))"),"")</f>
        <v/>
      </c>
      <c r="BD292" s="43" t="str">
        <f ca="1">IFERROR(__xludf.DUMMYFUNCTION("IFERROR(VLOOKUP(E558&amp;F558,IMPORTRANGE(""https://docs.google.com/spreadsheets/d/1Uw7-A9f9R21vMXxHZFNpYNeKFtG8_yji4HS352LGlSQ/edit?pli=1#gid=0"",""1_ACUM!A4:S""),17,FALSE))"),"")</f>
        <v/>
      </c>
      <c r="BE292" s="44" t="str">
        <f ca="1">IFERROR(__xludf.DUMMYFUNCTION("IFERROR(VLOOKUP(E558&amp;F558,IMPORTRANGE(""https://docs.google.com/spreadsheets/d/1Uw7-A9f9R21vMXxHZFNpYNeKFtG8_yji4HS352LGlSQ/edit?pli=1#gid=0"",""1_ACUM!A4:S""),18,FALSE))"),"")</f>
        <v/>
      </c>
      <c r="BF292" s="44" t="str">
        <f ca="1">IFERROR(__xludf.DUMMYFUNCTION("IFERROR(VLOOKUP(E558&amp;F558,IMPORTRANGE(""https://docs.google.com/spreadsheets/d/1Uw7-A9f9R21vMXxHZFNpYNeKFtG8_yji4HS352LGlSQ/edit?pli=1#gid=0"",""1_ACUM!A4:S""),19,FALSE))"),"")</f>
        <v/>
      </c>
      <c r="BG292" s="98" t="str">
        <f ca="1">IFERROR(__xludf.DUMMYFUNCTION("IFERROR(VLOOKUP(F558,IMPORTRANGE(""https://docs.google.com/spreadsheets/d/1Kvs4KS76FHFqLFIZfrDMff4kP08nblUkihrxltoGBjg/edit#gid=934712705"",""ESENCIAL!A6:BG""),5,FALSE))"),"")</f>
        <v/>
      </c>
      <c r="BH292" s="98" t="str">
        <f t="shared" si="21"/>
        <v/>
      </c>
      <c r="BI292" s="99" t="str">
        <f t="shared" si="22"/>
        <v/>
      </c>
      <c r="BJ292" s="100" t="str">
        <f ca="1">IFERROR(__xludf.DUMMYFUNCTION("IFERROR(VLOOKUP(F558,IMPORTRANGE(""https://docs.google.com/spreadsheets/d/1Kvs4KS76FHFqLFIZfrDMff4kP08nblUkihrxltoGBjg/edit#gid=934712705"",""ESENCIAL!A6:BG""),2,FALSE))"),"")</f>
        <v/>
      </c>
      <c r="BK292" s="19" t="str">
        <f t="shared" si="23"/>
        <v/>
      </c>
      <c r="BL292" s="100"/>
      <c r="BM292" s="100"/>
    </row>
    <row r="293" spans="2:65" ht="15">
      <c r="B293" s="39"/>
      <c r="C293" s="5"/>
      <c r="D293" s="123"/>
      <c r="E293" s="39"/>
      <c r="F293" s="39"/>
      <c r="G293" s="39"/>
      <c r="H293" s="5" t="str">
        <f ca="1">IFERROR(__xludf.DUMMYFUNCTION("IFERROR(VLOOKUP(F559,IMPORTRANGE(""https://docs.google.com/spreadsheets/d/1Kvs4KS76FHFqLFIZfrDMff4kP08nblUkihrxltoGBjg/edit#gid=934712705"",""ESENCIAL!A6:BG""),3,FALSE))"),"")</f>
        <v/>
      </c>
      <c r="I293" s="5" t="str">
        <f ca="1">IFERROR(__xludf.DUMMYFUNCTION("IFERROR(VLOOKUP(F559,IMPORTRANGE(""https://docs.google.com/spreadsheets/d/1Kvs4KS76FHFqLFIZfrDMff4kP08nblUkihrxltoGBjg/edit#gid=934712705"",""ESENCIAL!A6:BG""),8,FALSE))"),"")</f>
        <v/>
      </c>
      <c r="J293" s="39"/>
      <c r="M293" s="287"/>
      <c r="AV293" s="41" t="str">
        <f t="shared" si="20"/>
        <v/>
      </c>
      <c r="AW293" s="5" t="str">
        <f ca="1">IFERROR(__xludf.DUMMYFUNCTION("IFERROR(VLOOKUP(E559&amp;F559,IMPORTRANGE(""https://docs.google.com/spreadsheets/d/1Uw7-A9f9R21vMXxHZFNpYNeKFtG8_yji4HS352LGlSQ/edit?pli=1#gid=0"",""1_ACUM!A4:S""),11,FALSE))"),"")</f>
        <v/>
      </c>
      <c r="AX293" s="42" t="str">
        <f ca="1">IFERROR(__xludf.DUMMYFUNCTION("IFERROR(VLOOKUP(F559,IMPORTRANGE(""https://docs.google.com/spreadsheets/d/1Kvs4KS76FHFqLFIZfrDMff4kP08nblUkihrxltoGBjg/edit#gid=934712705"",""ESENCIAL!A6:BG""),15,FALSE))"),"")</f>
        <v/>
      </c>
      <c r="AY293" s="110" t="str">
        <f ca="1">IFERROR(__xludf.DUMMYFUNCTION("IFERROR(VLOOKUP(E559&amp;F559,IMPORTRANGE(""https://docs.google.com/spreadsheets/d/1Uw7-A9f9R21vMXxHZFNpYNeKFtG8_yji4HS352LGlSQ/edit?pli=1#gid=0"",""1_ACUM!A4:S""),13,FALSE))"),"")</f>
        <v/>
      </c>
      <c r="AZ293" s="43" t="str">
        <f ca="1">IFERROR(__xludf.DUMMYFUNCTION("IFERROR(VLOOKUP(E559&amp;F559,IMPORTRANGE(""https://docs.google.com/spreadsheets/d/1Uw7-A9f9R21vMXxHZFNpYNeKFtG8_yji4HS352LGlSQ/edit?pli=1#gid=0"",""1_ACUM!A4:S""),13,FALSE))"),"")</f>
        <v/>
      </c>
      <c r="BA293" s="43" t="str">
        <f ca="1">IFERROR(__xludf.DUMMYFUNCTION("IFERROR(VLOOKUP(E559&amp;F559,IMPORTRANGE(""https://docs.google.com/spreadsheets/d/1Uw7-A9f9R21vMXxHZFNpYNeKFtG8_yji4HS352LGlSQ/edit?pli=1#gid=0"",""1_ACUM!A4:S""),14,FALSE))"),"")</f>
        <v/>
      </c>
      <c r="BB293" s="43" t="str">
        <f ca="1">IFERROR(__xludf.DUMMYFUNCTION("IFERROR(VLOOKUP(E559&amp;F559,IMPORTRANGE(""https://docs.google.com/spreadsheets/d/1Uw7-A9f9R21vMXxHZFNpYNeKFtG8_yji4HS352LGlSQ/edit?pli=1#gid=0"",""1_ACUM!A4:S""),15,FALSE))"),"")</f>
        <v/>
      </c>
      <c r="BC293" s="43" t="str">
        <f ca="1">IFERROR(__xludf.DUMMYFUNCTION("IFERROR(VLOOKUP(E559&amp;F559,IMPORTRANGE(""https://docs.google.com/spreadsheets/d/1Uw7-A9f9R21vMXxHZFNpYNeKFtG8_yji4HS352LGlSQ/edit?pli=1#gid=0"",""1_ACUM!A4:S""),16,FALSE))"),"")</f>
        <v/>
      </c>
      <c r="BD293" s="43" t="str">
        <f ca="1">IFERROR(__xludf.DUMMYFUNCTION("IFERROR(VLOOKUP(E559&amp;F559,IMPORTRANGE(""https://docs.google.com/spreadsheets/d/1Uw7-A9f9R21vMXxHZFNpYNeKFtG8_yji4HS352LGlSQ/edit?pli=1#gid=0"",""1_ACUM!A4:S""),17,FALSE))"),"")</f>
        <v/>
      </c>
      <c r="BE293" s="44" t="str">
        <f ca="1">IFERROR(__xludf.DUMMYFUNCTION("IFERROR(VLOOKUP(E559&amp;F559,IMPORTRANGE(""https://docs.google.com/spreadsheets/d/1Uw7-A9f9R21vMXxHZFNpYNeKFtG8_yji4HS352LGlSQ/edit?pli=1#gid=0"",""1_ACUM!A4:S""),18,FALSE))"),"")</f>
        <v/>
      </c>
      <c r="BF293" s="44" t="str">
        <f ca="1">IFERROR(__xludf.DUMMYFUNCTION("IFERROR(VLOOKUP(E559&amp;F559,IMPORTRANGE(""https://docs.google.com/spreadsheets/d/1Uw7-A9f9R21vMXxHZFNpYNeKFtG8_yji4HS352LGlSQ/edit?pli=1#gid=0"",""1_ACUM!A4:S""),19,FALSE))"),"")</f>
        <v/>
      </c>
      <c r="BG293" s="98" t="str">
        <f ca="1">IFERROR(__xludf.DUMMYFUNCTION("IFERROR(VLOOKUP(F559,IMPORTRANGE(""https://docs.google.com/spreadsheets/d/1Kvs4KS76FHFqLFIZfrDMff4kP08nblUkihrxltoGBjg/edit#gid=934712705"",""ESENCIAL!A6:BG""),5,FALSE))"),"")</f>
        <v/>
      </c>
      <c r="BH293" s="98" t="str">
        <f t="shared" si="21"/>
        <v/>
      </c>
      <c r="BI293" s="99" t="str">
        <f t="shared" si="22"/>
        <v/>
      </c>
      <c r="BJ293" s="100" t="str">
        <f ca="1">IFERROR(__xludf.DUMMYFUNCTION("IFERROR(VLOOKUP(F559,IMPORTRANGE(""https://docs.google.com/spreadsheets/d/1Kvs4KS76FHFqLFIZfrDMff4kP08nblUkihrxltoGBjg/edit#gid=934712705"",""ESENCIAL!A6:BG""),2,FALSE))"),"")</f>
        <v/>
      </c>
      <c r="BK293" s="19" t="str">
        <f t="shared" si="23"/>
        <v/>
      </c>
      <c r="BL293" s="100"/>
      <c r="BM293" s="100"/>
    </row>
    <row r="294" spans="2:65" ht="15">
      <c r="B294" s="39"/>
      <c r="C294" s="5"/>
      <c r="D294" s="123"/>
      <c r="E294" s="39"/>
      <c r="F294" s="39"/>
      <c r="G294" s="39"/>
      <c r="H294" s="5" t="str">
        <f ca="1">IFERROR(__xludf.DUMMYFUNCTION("IFERROR(VLOOKUP(F560,IMPORTRANGE(""https://docs.google.com/spreadsheets/d/1Kvs4KS76FHFqLFIZfrDMff4kP08nblUkihrxltoGBjg/edit#gid=934712705"",""ESENCIAL!A6:BG""),3,FALSE))"),"")</f>
        <v/>
      </c>
      <c r="I294" s="5" t="str">
        <f ca="1">IFERROR(__xludf.DUMMYFUNCTION("IFERROR(VLOOKUP(F560,IMPORTRANGE(""https://docs.google.com/spreadsheets/d/1Kvs4KS76FHFqLFIZfrDMff4kP08nblUkihrxltoGBjg/edit#gid=934712705"",""ESENCIAL!A6:BG""),8,FALSE))"),"")</f>
        <v/>
      </c>
      <c r="J294" s="39"/>
      <c r="M294" s="287"/>
      <c r="AV294" s="41" t="str">
        <f t="shared" si="20"/>
        <v/>
      </c>
      <c r="AW294" s="5" t="str">
        <f ca="1">IFERROR(__xludf.DUMMYFUNCTION("IFERROR(VLOOKUP(E560&amp;F560,IMPORTRANGE(""https://docs.google.com/spreadsheets/d/1Uw7-A9f9R21vMXxHZFNpYNeKFtG8_yji4HS352LGlSQ/edit?pli=1#gid=0"",""1_ACUM!A4:S""),11,FALSE))"),"")</f>
        <v/>
      </c>
      <c r="AX294" s="42" t="str">
        <f ca="1">IFERROR(__xludf.DUMMYFUNCTION("IFERROR(VLOOKUP(F560,IMPORTRANGE(""https://docs.google.com/spreadsheets/d/1Kvs4KS76FHFqLFIZfrDMff4kP08nblUkihrxltoGBjg/edit#gid=934712705"",""ESENCIAL!A6:BG""),15,FALSE))"),"")</f>
        <v/>
      </c>
      <c r="AY294" s="110" t="str">
        <f ca="1">IFERROR(__xludf.DUMMYFUNCTION("IFERROR(VLOOKUP(E560&amp;F560,IMPORTRANGE(""https://docs.google.com/spreadsheets/d/1Uw7-A9f9R21vMXxHZFNpYNeKFtG8_yji4HS352LGlSQ/edit?pli=1#gid=0"",""1_ACUM!A4:S""),13,FALSE))"),"")</f>
        <v/>
      </c>
      <c r="AZ294" s="43" t="str">
        <f ca="1">IFERROR(__xludf.DUMMYFUNCTION("IFERROR(VLOOKUP(E560&amp;F560,IMPORTRANGE(""https://docs.google.com/spreadsheets/d/1Uw7-A9f9R21vMXxHZFNpYNeKFtG8_yji4HS352LGlSQ/edit?pli=1#gid=0"",""1_ACUM!A4:S""),13,FALSE))"),"")</f>
        <v/>
      </c>
      <c r="BA294" s="43" t="str">
        <f ca="1">IFERROR(__xludf.DUMMYFUNCTION("IFERROR(VLOOKUP(E560&amp;F560,IMPORTRANGE(""https://docs.google.com/spreadsheets/d/1Uw7-A9f9R21vMXxHZFNpYNeKFtG8_yji4HS352LGlSQ/edit?pli=1#gid=0"",""1_ACUM!A4:S""),14,FALSE))"),"")</f>
        <v/>
      </c>
      <c r="BB294" s="43" t="str">
        <f ca="1">IFERROR(__xludf.DUMMYFUNCTION("IFERROR(VLOOKUP(E560&amp;F560,IMPORTRANGE(""https://docs.google.com/spreadsheets/d/1Uw7-A9f9R21vMXxHZFNpYNeKFtG8_yji4HS352LGlSQ/edit?pli=1#gid=0"",""1_ACUM!A4:S""),15,FALSE))"),"")</f>
        <v/>
      </c>
      <c r="BC294" s="43" t="str">
        <f ca="1">IFERROR(__xludf.DUMMYFUNCTION("IFERROR(VLOOKUP(E560&amp;F560,IMPORTRANGE(""https://docs.google.com/spreadsheets/d/1Uw7-A9f9R21vMXxHZFNpYNeKFtG8_yji4HS352LGlSQ/edit?pli=1#gid=0"",""1_ACUM!A4:S""),16,FALSE))"),"")</f>
        <v/>
      </c>
      <c r="BD294" s="43" t="str">
        <f ca="1">IFERROR(__xludf.DUMMYFUNCTION("IFERROR(VLOOKUP(E560&amp;F560,IMPORTRANGE(""https://docs.google.com/spreadsheets/d/1Uw7-A9f9R21vMXxHZFNpYNeKFtG8_yji4HS352LGlSQ/edit?pli=1#gid=0"",""1_ACUM!A4:S""),17,FALSE))"),"")</f>
        <v/>
      </c>
      <c r="BE294" s="44" t="str">
        <f ca="1">IFERROR(__xludf.DUMMYFUNCTION("IFERROR(VLOOKUP(E560&amp;F560,IMPORTRANGE(""https://docs.google.com/spreadsheets/d/1Uw7-A9f9R21vMXxHZFNpYNeKFtG8_yji4HS352LGlSQ/edit?pli=1#gid=0"",""1_ACUM!A4:S""),18,FALSE))"),"")</f>
        <v/>
      </c>
      <c r="BF294" s="44" t="str">
        <f ca="1">IFERROR(__xludf.DUMMYFUNCTION("IFERROR(VLOOKUP(E560&amp;F560,IMPORTRANGE(""https://docs.google.com/spreadsheets/d/1Uw7-A9f9R21vMXxHZFNpYNeKFtG8_yji4HS352LGlSQ/edit?pli=1#gid=0"",""1_ACUM!A4:S""),19,FALSE))"),"")</f>
        <v/>
      </c>
      <c r="BG294" s="98" t="str">
        <f ca="1">IFERROR(__xludf.DUMMYFUNCTION("IFERROR(VLOOKUP(F560,IMPORTRANGE(""https://docs.google.com/spreadsheets/d/1Kvs4KS76FHFqLFIZfrDMff4kP08nblUkihrxltoGBjg/edit#gid=934712705"",""ESENCIAL!A6:BG""),5,FALSE))"),"")</f>
        <v/>
      </c>
      <c r="BH294" s="98" t="str">
        <f t="shared" si="21"/>
        <v/>
      </c>
      <c r="BI294" s="99" t="str">
        <f t="shared" si="22"/>
        <v/>
      </c>
      <c r="BJ294" s="100" t="str">
        <f ca="1">IFERROR(__xludf.DUMMYFUNCTION("IFERROR(VLOOKUP(F560,IMPORTRANGE(""https://docs.google.com/spreadsheets/d/1Kvs4KS76FHFqLFIZfrDMff4kP08nblUkihrxltoGBjg/edit#gid=934712705"",""ESENCIAL!A6:BG""),2,FALSE))"),"")</f>
        <v/>
      </c>
      <c r="BK294" s="19" t="str">
        <f t="shared" si="23"/>
        <v/>
      </c>
      <c r="BL294" s="100"/>
      <c r="BM294" s="100"/>
    </row>
    <row r="295" spans="2:65" ht="15">
      <c r="B295" s="39"/>
      <c r="C295" s="5"/>
      <c r="D295" s="123"/>
      <c r="E295" s="39"/>
      <c r="F295" s="39"/>
      <c r="G295" s="39"/>
      <c r="H295" s="5" t="str">
        <f ca="1">IFERROR(__xludf.DUMMYFUNCTION("IFERROR(VLOOKUP(F561,IMPORTRANGE(""https://docs.google.com/spreadsheets/d/1Kvs4KS76FHFqLFIZfrDMff4kP08nblUkihrxltoGBjg/edit#gid=934712705"",""ESENCIAL!A6:BG""),3,FALSE))"),"")</f>
        <v/>
      </c>
      <c r="I295" s="5" t="str">
        <f ca="1">IFERROR(__xludf.DUMMYFUNCTION("IFERROR(VLOOKUP(F561,IMPORTRANGE(""https://docs.google.com/spreadsheets/d/1Kvs4KS76FHFqLFIZfrDMff4kP08nblUkihrxltoGBjg/edit#gid=934712705"",""ESENCIAL!A6:BG""),8,FALSE))"),"")</f>
        <v/>
      </c>
      <c r="J295" s="39"/>
      <c r="M295" s="287"/>
      <c r="AV295" s="41" t="str">
        <f t="shared" si="20"/>
        <v/>
      </c>
      <c r="AW295" s="5" t="str">
        <f ca="1">IFERROR(__xludf.DUMMYFUNCTION("IFERROR(VLOOKUP(E561&amp;F561,IMPORTRANGE(""https://docs.google.com/spreadsheets/d/1Uw7-A9f9R21vMXxHZFNpYNeKFtG8_yji4HS352LGlSQ/edit?pli=1#gid=0"",""1_ACUM!A4:S""),11,FALSE))"),"")</f>
        <v/>
      </c>
      <c r="AX295" s="42" t="str">
        <f ca="1">IFERROR(__xludf.DUMMYFUNCTION("IFERROR(VLOOKUP(F561,IMPORTRANGE(""https://docs.google.com/spreadsheets/d/1Kvs4KS76FHFqLFIZfrDMff4kP08nblUkihrxltoGBjg/edit#gid=934712705"",""ESENCIAL!A6:BG""),15,FALSE))"),"")</f>
        <v/>
      </c>
      <c r="AY295" s="110" t="str">
        <f ca="1">IFERROR(__xludf.DUMMYFUNCTION("IFERROR(VLOOKUP(E561&amp;F561,IMPORTRANGE(""https://docs.google.com/spreadsheets/d/1Uw7-A9f9R21vMXxHZFNpYNeKFtG8_yji4HS352LGlSQ/edit?pli=1#gid=0"",""1_ACUM!A4:S""),13,FALSE))"),"")</f>
        <v/>
      </c>
      <c r="AZ295" s="43" t="str">
        <f ca="1">IFERROR(__xludf.DUMMYFUNCTION("IFERROR(VLOOKUP(E561&amp;F561,IMPORTRANGE(""https://docs.google.com/spreadsheets/d/1Uw7-A9f9R21vMXxHZFNpYNeKFtG8_yji4HS352LGlSQ/edit?pli=1#gid=0"",""1_ACUM!A4:S""),13,FALSE))"),"")</f>
        <v/>
      </c>
      <c r="BA295" s="43" t="str">
        <f ca="1">IFERROR(__xludf.DUMMYFUNCTION("IFERROR(VLOOKUP(E561&amp;F561,IMPORTRANGE(""https://docs.google.com/spreadsheets/d/1Uw7-A9f9R21vMXxHZFNpYNeKFtG8_yji4HS352LGlSQ/edit?pli=1#gid=0"",""1_ACUM!A4:S""),14,FALSE))"),"")</f>
        <v/>
      </c>
      <c r="BB295" s="43" t="str">
        <f ca="1">IFERROR(__xludf.DUMMYFUNCTION("IFERROR(VLOOKUP(E561&amp;F561,IMPORTRANGE(""https://docs.google.com/spreadsheets/d/1Uw7-A9f9R21vMXxHZFNpYNeKFtG8_yji4HS352LGlSQ/edit?pli=1#gid=0"",""1_ACUM!A4:S""),15,FALSE))"),"")</f>
        <v/>
      </c>
      <c r="BC295" s="43" t="str">
        <f ca="1">IFERROR(__xludf.DUMMYFUNCTION("IFERROR(VLOOKUP(E561&amp;F561,IMPORTRANGE(""https://docs.google.com/spreadsheets/d/1Uw7-A9f9R21vMXxHZFNpYNeKFtG8_yji4HS352LGlSQ/edit?pli=1#gid=0"",""1_ACUM!A4:S""),16,FALSE))"),"")</f>
        <v/>
      </c>
      <c r="BD295" s="43" t="str">
        <f ca="1">IFERROR(__xludf.DUMMYFUNCTION("IFERROR(VLOOKUP(E561&amp;F561,IMPORTRANGE(""https://docs.google.com/spreadsheets/d/1Uw7-A9f9R21vMXxHZFNpYNeKFtG8_yji4HS352LGlSQ/edit?pli=1#gid=0"",""1_ACUM!A4:S""),17,FALSE))"),"")</f>
        <v/>
      </c>
      <c r="BE295" s="44" t="str">
        <f ca="1">IFERROR(__xludf.DUMMYFUNCTION("IFERROR(VLOOKUP(E561&amp;F561,IMPORTRANGE(""https://docs.google.com/spreadsheets/d/1Uw7-A9f9R21vMXxHZFNpYNeKFtG8_yji4HS352LGlSQ/edit?pli=1#gid=0"",""1_ACUM!A4:S""),18,FALSE))"),"")</f>
        <v/>
      </c>
      <c r="BF295" s="44" t="str">
        <f ca="1">IFERROR(__xludf.DUMMYFUNCTION("IFERROR(VLOOKUP(E561&amp;F561,IMPORTRANGE(""https://docs.google.com/spreadsheets/d/1Uw7-A9f9R21vMXxHZFNpYNeKFtG8_yji4HS352LGlSQ/edit?pli=1#gid=0"",""1_ACUM!A4:S""),19,FALSE))"),"")</f>
        <v/>
      </c>
      <c r="BG295" s="98" t="str">
        <f ca="1">IFERROR(__xludf.DUMMYFUNCTION("IFERROR(VLOOKUP(F561,IMPORTRANGE(""https://docs.google.com/spreadsheets/d/1Kvs4KS76FHFqLFIZfrDMff4kP08nblUkihrxltoGBjg/edit#gid=934712705"",""ESENCIAL!A6:BG""),5,FALSE))"),"")</f>
        <v/>
      </c>
      <c r="BH295" s="98" t="str">
        <f t="shared" si="21"/>
        <v/>
      </c>
      <c r="BI295" s="99" t="str">
        <f t="shared" si="22"/>
        <v/>
      </c>
      <c r="BJ295" s="100" t="str">
        <f ca="1">IFERROR(__xludf.DUMMYFUNCTION("IFERROR(VLOOKUP(F561,IMPORTRANGE(""https://docs.google.com/spreadsheets/d/1Kvs4KS76FHFqLFIZfrDMff4kP08nblUkihrxltoGBjg/edit#gid=934712705"",""ESENCIAL!A6:BG""),2,FALSE))"),"")</f>
        <v/>
      </c>
      <c r="BK295" s="19" t="str">
        <f t="shared" si="23"/>
        <v/>
      </c>
      <c r="BL295" s="100"/>
      <c r="BM295" s="100"/>
    </row>
    <row r="296" spans="2:65" ht="15">
      <c r="B296" s="39"/>
      <c r="C296" s="5"/>
      <c r="D296" s="123"/>
      <c r="E296" s="39"/>
      <c r="F296" s="39"/>
      <c r="G296" s="39"/>
      <c r="H296" s="5" t="str">
        <f ca="1">IFERROR(__xludf.DUMMYFUNCTION("IFERROR(VLOOKUP(F562,IMPORTRANGE(""https://docs.google.com/spreadsheets/d/1Kvs4KS76FHFqLFIZfrDMff4kP08nblUkihrxltoGBjg/edit#gid=934712705"",""ESENCIAL!A6:BG""),3,FALSE))"),"")</f>
        <v/>
      </c>
      <c r="I296" s="5" t="str">
        <f ca="1">IFERROR(__xludf.DUMMYFUNCTION("IFERROR(VLOOKUP(F562,IMPORTRANGE(""https://docs.google.com/spreadsheets/d/1Kvs4KS76FHFqLFIZfrDMff4kP08nblUkihrxltoGBjg/edit#gid=934712705"",""ESENCIAL!A6:BG""),8,FALSE))"),"")</f>
        <v/>
      </c>
      <c r="J296" s="39"/>
      <c r="M296" s="287"/>
      <c r="AV296" s="41" t="str">
        <f t="shared" si="20"/>
        <v/>
      </c>
      <c r="AW296" s="5" t="str">
        <f ca="1">IFERROR(__xludf.DUMMYFUNCTION("IFERROR(VLOOKUP(E562&amp;F562,IMPORTRANGE(""https://docs.google.com/spreadsheets/d/1Uw7-A9f9R21vMXxHZFNpYNeKFtG8_yji4HS352LGlSQ/edit?pli=1#gid=0"",""1_ACUM!A4:S""),11,FALSE))"),"")</f>
        <v/>
      </c>
      <c r="AX296" s="42" t="str">
        <f ca="1">IFERROR(__xludf.DUMMYFUNCTION("IFERROR(VLOOKUP(F562,IMPORTRANGE(""https://docs.google.com/spreadsheets/d/1Kvs4KS76FHFqLFIZfrDMff4kP08nblUkihrxltoGBjg/edit#gid=934712705"",""ESENCIAL!A6:BG""),15,FALSE))"),"")</f>
        <v/>
      </c>
      <c r="AY296" s="110" t="str">
        <f ca="1">IFERROR(__xludf.DUMMYFUNCTION("IFERROR(VLOOKUP(E562&amp;F562,IMPORTRANGE(""https://docs.google.com/spreadsheets/d/1Uw7-A9f9R21vMXxHZFNpYNeKFtG8_yji4HS352LGlSQ/edit?pli=1#gid=0"",""1_ACUM!A4:S""),13,FALSE))"),"")</f>
        <v/>
      </c>
      <c r="AZ296" s="43" t="str">
        <f ca="1">IFERROR(__xludf.DUMMYFUNCTION("IFERROR(VLOOKUP(E562&amp;F562,IMPORTRANGE(""https://docs.google.com/spreadsheets/d/1Uw7-A9f9R21vMXxHZFNpYNeKFtG8_yji4HS352LGlSQ/edit?pli=1#gid=0"",""1_ACUM!A4:S""),13,FALSE))"),"")</f>
        <v/>
      </c>
      <c r="BA296" s="43" t="str">
        <f ca="1">IFERROR(__xludf.DUMMYFUNCTION("IFERROR(VLOOKUP(E562&amp;F562,IMPORTRANGE(""https://docs.google.com/spreadsheets/d/1Uw7-A9f9R21vMXxHZFNpYNeKFtG8_yji4HS352LGlSQ/edit?pli=1#gid=0"",""1_ACUM!A4:S""),14,FALSE))"),"")</f>
        <v/>
      </c>
      <c r="BB296" s="43" t="str">
        <f ca="1">IFERROR(__xludf.DUMMYFUNCTION("IFERROR(VLOOKUP(E562&amp;F562,IMPORTRANGE(""https://docs.google.com/spreadsheets/d/1Uw7-A9f9R21vMXxHZFNpYNeKFtG8_yji4HS352LGlSQ/edit?pli=1#gid=0"",""1_ACUM!A4:S""),15,FALSE))"),"")</f>
        <v/>
      </c>
      <c r="BC296" s="43" t="str">
        <f ca="1">IFERROR(__xludf.DUMMYFUNCTION("IFERROR(VLOOKUP(E562&amp;F562,IMPORTRANGE(""https://docs.google.com/spreadsheets/d/1Uw7-A9f9R21vMXxHZFNpYNeKFtG8_yji4HS352LGlSQ/edit?pli=1#gid=0"",""1_ACUM!A4:S""),16,FALSE))"),"")</f>
        <v/>
      </c>
      <c r="BD296" s="43" t="str">
        <f ca="1">IFERROR(__xludf.DUMMYFUNCTION("IFERROR(VLOOKUP(E562&amp;F562,IMPORTRANGE(""https://docs.google.com/spreadsheets/d/1Uw7-A9f9R21vMXxHZFNpYNeKFtG8_yji4HS352LGlSQ/edit?pli=1#gid=0"",""1_ACUM!A4:S""),17,FALSE))"),"")</f>
        <v/>
      </c>
      <c r="BE296" s="44" t="str">
        <f ca="1">IFERROR(__xludf.DUMMYFUNCTION("IFERROR(VLOOKUP(E562&amp;F562,IMPORTRANGE(""https://docs.google.com/spreadsheets/d/1Uw7-A9f9R21vMXxHZFNpYNeKFtG8_yji4HS352LGlSQ/edit?pli=1#gid=0"",""1_ACUM!A4:S""),18,FALSE))"),"")</f>
        <v/>
      </c>
      <c r="BF296" s="44" t="str">
        <f ca="1">IFERROR(__xludf.DUMMYFUNCTION("IFERROR(VLOOKUP(E562&amp;F562,IMPORTRANGE(""https://docs.google.com/spreadsheets/d/1Uw7-A9f9R21vMXxHZFNpYNeKFtG8_yji4HS352LGlSQ/edit?pli=1#gid=0"",""1_ACUM!A4:S""),19,FALSE))"),"")</f>
        <v/>
      </c>
      <c r="BG296" s="98" t="str">
        <f ca="1">IFERROR(__xludf.DUMMYFUNCTION("IFERROR(VLOOKUP(F562,IMPORTRANGE(""https://docs.google.com/spreadsheets/d/1Kvs4KS76FHFqLFIZfrDMff4kP08nblUkihrxltoGBjg/edit#gid=934712705"",""ESENCIAL!A6:BG""),5,FALSE))"),"")</f>
        <v/>
      </c>
      <c r="BH296" s="98" t="str">
        <f t="shared" si="21"/>
        <v/>
      </c>
      <c r="BI296" s="99" t="str">
        <f t="shared" si="22"/>
        <v/>
      </c>
      <c r="BJ296" s="100" t="str">
        <f ca="1">IFERROR(__xludf.DUMMYFUNCTION("IFERROR(VLOOKUP(F562,IMPORTRANGE(""https://docs.google.com/spreadsheets/d/1Kvs4KS76FHFqLFIZfrDMff4kP08nblUkihrxltoGBjg/edit#gid=934712705"",""ESENCIAL!A6:BG""),2,FALSE))"),"")</f>
        <v/>
      </c>
      <c r="BK296" s="19" t="str">
        <f t="shared" si="23"/>
        <v/>
      </c>
      <c r="BL296" s="100"/>
      <c r="BM296" s="100"/>
    </row>
    <row r="297" spans="2:65" ht="15">
      <c r="B297" s="39"/>
      <c r="C297" s="5"/>
      <c r="D297" s="123"/>
      <c r="E297" s="39"/>
      <c r="F297" s="39"/>
      <c r="G297" s="39"/>
      <c r="H297" s="5" t="str">
        <f ca="1">IFERROR(__xludf.DUMMYFUNCTION("IFERROR(VLOOKUP(F563,IMPORTRANGE(""https://docs.google.com/spreadsheets/d/1Kvs4KS76FHFqLFIZfrDMff4kP08nblUkihrxltoGBjg/edit#gid=934712705"",""ESENCIAL!A6:BG""),3,FALSE))"),"")</f>
        <v/>
      </c>
      <c r="I297" s="5" t="str">
        <f ca="1">IFERROR(__xludf.DUMMYFUNCTION("IFERROR(VLOOKUP(F563,IMPORTRANGE(""https://docs.google.com/spreadsheets/d/1Kvs4KS76FHFqLFIZfrDMff4kP08nblUkihrxltoGBjg/edit#gid=934712705"",""ESENCIAL!A6:BG""),8,FALSE))"),"")</f>
        <v/>
      </c>
      <c r="J297" s="39"/>
      <c r="M297" s="287"/>
      <c r="AV297" s="41" t="str">
        <f t="shared" si="20"/>
        <v/>
      </c>
      <c r="AW297" s="5" t="str">
        <f ca="1">IFERROR(__xludf.DUMMYFUNCTION("IFERROR(VLOOKUP(E563&amp;F563,IMPORTRANGE(""https://docs.google.com/spreadsheets/d/1Uw7-A9f9R21vMXxHZFNpYNeKFtG8_yji4HS352LGlSQ/edit?pli=1#gid=0"",""1_ACUM!A4:S""),11,FALSE))"),"")</f>
        <v/>
      </c>
      <c r="AX297" s="42" t="str">
        <f ca="1">IFERROR(__xludf.DUMMYFUNCTION("IFERROR(VLOOKUP(F563,IMPORTRANGE(""https://docs.google.com/spreadsheets/d/1Kvs4KS76FHFqLFIZfrDMff4kP08nblUkihrxltoGBjg/edit#gid=934712705"",""ESENCIAL!A6:BG""),15,FALSE))"),"")</f>
        <v/>
      </c>
      <c r="AY297" s="110" t="str">
        <f ca="1">IFERROR(__xludf.DUMMYFUNCTION("IFERROR(VLOOKUP(E563&amp;F563,IMPORTRANGE(""https://docs.google.com/spreadsheets/d/1Uw7-A9f9R21vMXxHZFNpYNeKFtG8_yji4HS352LGlSQ/edit?pli=1#gid=0"",""1_ACUM!A4:S""),13,FALSE))"),"")</f>
        <v/>
      </c>
      <c r="AZ297" s="43" t="str">
        <f ca="1">IFERROR(__xludf.DUMMYFUNCTION("IFERROR(VLOOKUP(E563&amp;F563,IMPORTRANGE(""https://docs.google.com/spreadsheets/d/1Uw7-A9f9R21vMXxHZFNpYNeKFtG8_yji4HS352LGlSQ/edit?pli=1#gid=0"",""1_ACUM!A4:S""),13,FALSE))"),"")</f>
        <v/>
      </c>
      <c r="BA297" s="43" t="str">
        <f ca="1">IFERROR(__xludf.DUMMYFUNCTION("IFERROR(VLOOKUP(E563&amp;F563,IMPORTRANGE(""https://docs.google.com/spreadsheets/d/1Uw7-A9f9R21vMXxHZFNpYNeKFtG8_yji4HS352LGlSQ/edit?pli=1#gid=0"",""1_ACUM!A4:S""),14,FALSE))"),"")</f>
        <v/>
      </c>
      <c r="BB297" s="43" t="str">
        <f ca="1">IFERROR(__xludf.DUMMYFUNCTION("IFERROR(VLOOKUP(E563&amp;F563,IMPORTRANGE(""https://docs.google.com/spreadsheets/d/1Uw7-A9f9R21vMXxHZFNpYNeKFtG8_yji4HS352LGlSQ/edit?pli=1#gid=0"",""1_ACUM!A4:S""),15,FALSE))"),"")</f>
        <v/>
      </c>
      <c r="BC297" s="43" t="str">
        <f ca="1">IFERROR(__xludf.DUMMYFUNCTION("IFERROR(VLOOKUP(E563&amp;F563,IMPORTRANGE(""https://docs.google.com/spreadsheets/d/1Uw7-A9f9R21vMXxHZFNpYNeKFtG8_yji4HS352LGlSQ/edit?pli=1#gid=0"",""1_ACUM!A4:S""),16,FALSE))"),"")</f>
        <v/>
      </c>
      <c r="BD297" s="43" t="str">
        <f ca="1">IFERROR(__xludf.DUMMYFUNCTION("IFERROR(VLOOKUP(E563&amp;F563,IMPORTRANGE(""https://docs.google.com/spreadsheets/d/1Uw7-A9f9R21vMXxHZFNpYNeKFtG8_yji4HS352LGlSQ/edit?pli=1#gid=0"",""1_ACUM!A4:S""),17,FALSE))"),"")</f>
        <v/>
      </c>
      <c r="BE297" s="44" t="str">
        <f ca="1">IFERROR(__xludf.DUMMYFUNCTION("IFERROR(VLOOKUP(E563&amp;F563,IMPORTRANGE(""https://docs.google.com/spreadsheets/d/1Uw7-A9f9R21vMXxHZFNpYNeKFtG8_yji4HS352LGlSQ/edit?pli=1#gid=0"",""1_ACUM!A4:S""),18,FALSE))"),"")</f>
        <v/>
      </c>
      <c r="BF297" s="44" t="str">
        <f ca="1">IFERROR(__xludf.DUMMYFUNCTION("IFERROR(VLOOKUP(E563&amp;F563,IMPORTRANGE(""https://docs.google.com/spreadsheets/d/1Uw7-A9f9R21vMXxHZFNpYNeKFtG8_yji4HS352LGlSQ/edit?pli=1#gid=0"",""1_ACUM!A4:S""),19,FALSE))"),"")</f>
        <v/>
      </c>
      <c r="BG297" s="98" t="str">
        <f ca="1">IFERROR(__xludf.DUMMYFUNCTION("IFERROR(VLOOKUP(F563,IMPORTRANGE(""https://docs.google.com/spreadsheets/d/1Kvs4KS76FHFqLFIZfrDMff4kP08nblUkihrxltoGBjg/edit#gid=934712705"",""ESENCIAL!A6:BG""),5,FALSE))"),"")</f>
        <v/>
      </c>
      <c r="BH297" s="98" t="str">
        <f t="shared" si="21"/>
        <v/>
      </c>
      <c r="BI297" s="99" t="str">
        <f t="shared" si="22"/>
        <v/>
      </c>
      <c r="BJ297" s="100" t="str">
        <f ca="1">IFERROR(__xludf.DUMMYFUNCTION("IFERROR(VLOOKUP(F563,IMPORTRANGE(""https://docs.google.com/spreadsheets/d/1Kvs4KS76FHFqLFIZfrDMff4kP08nblUkihrxltoGBjg/edit#gid=934712705"",""ESENCIAL!A6:BG""),2,FALSE))"),"")</f>
        <v/>
      </c>
      <c r="BK297" s="19" t="str">
        <f t="shared" si="23"/>
        <v/>
      </c>
      <c r="BL297" s="100"/>
      <c r="BM297" s="100"/>
    </row>
    <row r="298" spans="2:65" ht="15">
      <c r="B298" s="39"/>
      <c r="C298" s="5"/>
      <c r="D298" s="123"/>
      <c r="E298" s="39"/>
      <c r="F298" s="39"/>
      <c r="G298" s="39"/>
      <c r="H298" s="5" t="str">
        <f ca="1">IFERROR(__xludf.DUMMYFUNCTION("IFERROR(VLOOKUP(F564,IMPORTRANGE(""https://docs.google.com/spreadsheets/d/1Kvs4KS76FHFqLFIZfrDMff4kP08nblUkihrxltoGBjg/edit#gid=934712705"",""ESENCIAL!A6:BG""),3,FALSE))"),"")</f>
        <v/>
      </c>
      <c r="I298" s="5" t="str">
        <f ca="1">IFERROR(__xludf.DUMMYFUNCTION("IFERROR(VLOOKUP(F564,IMPORTRANGE(""https://docs.google.com/spreadsheets/d/1Kvs4KS76FHFqLFIZfrDMff4kP08nblUkihrxltoGBjg/edit#gid=934712705"",""ESENCIAL!A6:BG""),8,FALSE))"),"")</f>
        <v/>
      </c>
      <c r="J298" s="39"/>
      <c r="M298" s="287"/>
      <c r="AV298" s="41" t="str">
        <f t="shared" si="20"/>
        <v/>
      </c>
      <c r="AW298" s="5" t="str">
        <f ca="1">IFERROR(__xludf.DUMMYFUNCTION("IFERROR(VLOOKUP(E564&amp;F564,IMPORTRANGE(""https://docs.google.com/spreadsheets/d/1Uw7-A9f9R21vMXxHZFNpYNeKFtG8_yji4HS352LGlSQ/edit?pli=1#gid=0"",""1_ACUM!A4:S""),11,FALSE))"),"")</f>
        <v/>
      </c>
      <c r="AX298" s="42" t="str">
        <f ca="1">IFERROR(__xludf.DUMMYFUNCTION("IFERROR(VLOOKUP(F564,IMPORTRANGE(""https://docs.google.com/spreadsheets/d/1Kvs4KS76FHFqLFIZfrDMff4kP08nblUkihrxltoGBjg/edit#gid=934712705"",""ESENCIAL!A6:BG""),15,FALSE))"),"")</f>
        <v/>
      </c>
      <c r="AY298" s="110" t="str">
        <f ca="1">IFERROR(__xludf.DUMMYFUNCTION("IFERROR(VLOOKUP(E564&amp;F564,IMPORTRANGE(""https://docs.google.com/spreadsheets/d/1Uw7-A9f9R21vMXxHZFNpYNeKFtG8_yji4HS352LGlSQ/edit?pli=1#gid=0"",""1_ACUM!A4:S""),13,FALSE))"),"")</f>
        <v/>
      </c>
      <c r="AZ298" s="43" t="str">
        <f ca="1">IFERROR(__xludf.DUMMYFUNCTION("IFERROR(VLOOKUP(E564&amp;F564,IMPORTRANGE(""https://docs.google.com/spreadsheets/d/1Uw7-A9f9R21vMXxHZFNpYNeKFtG8_yji4HS352LGlSQ/edit?pli=1#gid=0"",""1_ACUM!A4:S""),13,FALSE))"),"")</f>
        <v/>
      </c>
      <c r="BA298" s="43" t="str">
        <f ca="1">IFERROR(__xludf.DUMMYFUNCTION("IFERROR(VLOOKUP(E564&amp;F564,IMPORTRANGE(""https://docs.google.com/spreadsheets/d/1Uw7-A9f9R21vMXxHZFNpYNeKFtG8_yji4HS352LGlSQ/edit?pli=1#gid=0"",""1_ACUM!A4:S""),14,FALSE))"),"")</f>
        <v/>
      </c>
      <c r="BB298" s="43" t="str">
        <f ca="1">IFERROR(__xludf.DUMMYFUNCTION("IFERROR(VLOOKUP(E564&amp;F564,IMPORTRANGE(""https://docs.google.com/spreadsheets/d/1Uw7-A9f9R21vMXxHZFNpYNeKFtG8_yji4HS352LGlSQ/edit?pli=1#gid=0"",""1_ACUM!A4:S""),15,FALSE))"),"")</f>
        <v/>
      </c>
      <c r="BC298" s="43" t="str">
        <f ca="1">IFERROR(__xludf.DUMMYFUNCTION("IFERROR(VLOOKUP(E564&amp;F564,IMPORTRANGE(""https://docs.google.com/spreadsheets/d/1Uw7-A9f9R21vMXxHZFNpYNeKFtG8_yji4HS352LGlSQ/edit?pli=1#gid=0"",""1_ACUM!A4:S""),16,FALSE))"),"")</f>
        <v/>
      </c>
      <c r="BD298" s="43" t="str">
        <f ca="1">IFERROR(__xludf.DUMMYFUNCTION("IFERROR(VLOOKUP(E564&amp;F564,IMPORTRANGE(""https://docs.google.com/spreadsheets/d/1Uw7-A9f9R21vMXxHZFNpYNeKFtG8_yji4HS352LGlSQ/edit?pli=1#gid=0"",""1_ACUM!A4:S""),17,FALSE))"),"")</f>
        <v/>
      </c>
      <c r="BE298" s="44" t="str">
        <f ca="1">IFERROR(__xludf.DUMMYFUNCTION("IFERROR(VLOOKUP(E564&amp;F564,IMPORTRANGE(""https://docs.google.com/spreadsheets/d/1Uw7-A9f9R21vMXxHZFNpYNeKFtG8_yji4HS352LGlSQ/edit?pli=1#gid=0"",""1_ACUM!A4:S""),18,FALSE))"),"")</f>
        <v/>
      </c>
      <c r="BF298" s="44" t="str">
        <f ca="1">IFERROR(__xludf.DUMMYFUNCTION("IFERROR(VLOOKUP(E564&amp;F564,IMPORTRANGE(""https://docs.google.com/spreadsheets/d/1Uw7-A9f9R21vMXxHZFNpYNeKFtG8_yji4HS352LGlSQ/edit?pli=1#gid=0"",""1_ACUM!A4:S""),19,FALSE))"),"")</f>
        <v/>
      </c>
      <c r="BG298" s="98" t="str">
        <f ca="1">IFERROR(__xludf.DUMMYFUNCTION("IFERROR(VLOOKUP(F564,IMPORTRANGE(""https://docs.google.com/spreadsheets/d/1Kvs4KS76FHFqLFIZfrDMff4kP08nblUkihrxltoGBjg/edit#gid=934712705"",""ESENCIAL!A6:BG""),5,FALSE))"),"")</f>
        <v/>
      </c>
      <c r="BH298" s="98" t="str">
        <f t="shared" si="21"/>
        <v/>
      </c>
      <c r="BI298" s="99" t="str">
        <f t="shared" si="22"/>
        <v/>
      </c>
      <c r="BJ298" s="100" t="str">
        <f ca="1">IFERROR(__xludf.DUMMYFUNCTION("IFERROR(VLOOKUP(F564,IMPORTRANGE(""https://docs.google.com/spreadsheets/d/1Kvs4KS76FHFqLFIZfrDMff4kP08nblUkihrxltoGBjg/edit#gid=934712705"",""ESENCIAL!A6:BG""),2,FALSE))"),"")</f>
        <v/>
      </c>
      <c r="BK298" s="19" t="str">
        <f t="shared" si="23"/>
        <v/>
      </c>
      <c r="BL298" s="100"/>
      <c r="BM298" s="100"/>
    </row>
    <row r="299" spans="2:65" ht="15">
      <c r="B299" s="39"/>
      <c r="C299" s="5"/>
      <c r="D299" s="123"/>
      <c r="E299" s="39"/>
      <c r="F299" s="39"/>
      <c r="G299" s="39"/>
      <c r="H299" s="5" t="str">
        <f ca="1">IFERROR(__xludf.DUMMYFUNCTION("IFERROR(VLOOKUP(F565,IMPORTRANGE(""https://docs.google.com/spreadsheets/d/1Kvs4KS76FHFqLFIZfrDMff4kP08nblUkihrxltoGBjg/edit#gid=934712705"",""ESENCIAL!A6:BG""),3,FALSE))"),"")</f>
        <v/>
      </c>
      <c r="I299" s="5" t="str">
        <f ca="1">IFERROR(__xludf.DUMMYFUNCTION("IFERROR(VLOOKUP(F565,IMPORTRANGE(""https://docs.google.com/spreadsheets/d/1Kvs4KS76FHFqLFIZfrDMff4kP08nblUkihrxltoGBjg/edit#gid=934712705"",""ESENCIAL!A6:BG""),8,FALSE))"),"")</f>
        <v/>
      </c>
      <c r="J299" s="39"/>
      <c r="M299" s="287"/>
      <c r="AV299" s="41" t="str">
        <f t="shared" si="20"/>
        <v/>
      </c>
      <c r="AW299" s="5" t="str">
        <f ca="1">IFERROR(__xludf.DUMMYFUNCTION("IFERROR(VLOOKUP(E565&amp;F565,IMPORTRANGE(""https://docs.google.com/spreadsheets/d/1Uw7-A9f9R21vMXxHZFNpYNeKFtG8_yji4HS352LGlSQ/edit?pli=1#gid=0"",""1_ACUM!A4:S""),11,FALSE))"),"")</f>
        <v/>
      </c>
      <c r="AX299" s="42" t="str">
        <f ca="1">IFERROR(__xludf.DUMMYFUNCTION("IFERROR(VLOOKUP(F565,IMPORTRANGE(""https://docs.google.com/spreadsheets/d/1Kvs4KS76FHFqLFIZfrDMff4kP08nblUkihrxltoGBjg/edit#gid=934712705"",""ESENCIAL!A6:BG""),15,FALSE))"),"")</f>
        <v/>
      </c>
      <c r="AY299" s="110" t="str">
        <f ca="1">IFERROR(__xludf.DUMMYFUNCTION("IFERROR(VLOOKUP(E565&amp;F565,IMPORTRANGE(""https://docs.google.com/spreadsheets/d/1Uw7-A9f9R21vMXxHZFNpYNeKFtG8_yji4HS352LGlSQ/edit?pli=1#gid=0"",""1_ACUM!A4:S""),13,FALSE))"),"")</f>
        <v/>
      </c>
      <c r="AZ299" s="43" t="str">
        <f ca="1">IFERROR(__xludf.DUMMYFUNCTION("IFERROR(VLOOKUP(E565&amp;F565,IMPORTRANGE(""https://docs.google.com/spreadsheets/d/1Uw7-A9f9R21vMXxHZFNpYNeKFtG8_yji4HS352LGlSQ/edit?pli=1#gid=0"",""1_ACUM!A4:S""),13,FALSE))"),"")</f>
        <v/>
      </c>
      <c r="BA299" s="43" t="str">
        <f ca="1">IFERROR(__xludf.DUMMYFUNCTION("IFERROR(VLOOKUP(E565&amp;F565,IMPORTRANGE(""https://docs.google.com/spreadsheets/d/1Uw7-A9f9R21vMXxHZFNpYNeKFtG8_yji4HS352LGlSQ/edit?pli=1#gid=0"",""1_ACUM!A4:S""),14,FALSE))"),"")</f>
        <v/>
      </c>
      <c r="BB299" s="43" t="str">
        <f ca="1">IFERROR(__xludf.DUMMYFUNCTION("IFERROR(VLOOKUP(E565&amp;F565,IMPORTRANGE(""https://docs.google.com/spreadsheets/d/1Uw7-A9f9R21vMXxHZFNpYNeKFtG8_yji4HS352LGlSQ/edit?pli=1#gid=0"",""1_ACUM!A4:S""),15,FALSE))"),"")</f>
        <v/>
      </c>
      <c r="BC299" s="43" t="str">
        <f ca="1">IFERROR(__xludf.DUMMYFUNCTION("IFERROR(VLOOKUP(E565&amp;F565,IMPORTRANGE(""https://docs.google.com/spreadsheets/d/1Uw7-A9f9R21vMXxHZFNpYNeKFtG8_yji4HS352LGlSQ/edit?pli=1#gid=0"",""1_ACUM!A4:S""),16,FALSE))"),"")</f>
        <v/>
      </c>
      <c r="BD299" s="43" t="str">
        <f ca="1">IFERROR(__xludf.DUMMYFUNCTION("IFERROR(VLOOKUP(E565&amp;F565,IMPORTRANGE(""https://docs.google.com/spreadsheets/d/1Uw7-A9f9R21vMXxHZFNpYNeKFtG8_yji4HS352LGlSQ/edit?pli=1#gid=0"",""1_ACUM!A4:S""),17,FALSE))"),"")</f>
        <v/>
      </c>
      <c r="BE299" s="44" t="str">
        <f ca="1">IFERROR(__xludf.DUMMYFUNCTION("IFERROR(VLOOKUP(E565&amp;F565,IMPORTRANGE(""https://docs.google.com/spreadsheets/d/1Uw7-A9f9R21vMXxHZFNpYNeKFtG8_yji4HS352LGlSQ/edit?pli=1#gid=0"",""1_ACUM!A4:S""),18,FALSE))"),"")</f>
        <v/>
      </c>
      <c r="BF299" s="44" t="str">
        <f ca="1">IFERROR(__xludf.DUMMYFUNCTION("IFERROR(VLOOKUP(E565&amp;F565,IMPORTRANGE(""https://docs.google.com/spreadsheets/d/1Uw7-A9f9R21vMXxHZFNpYNeKFtG8_yji4HS352LGlSQ/edit?pli=1#gid=0"",""1_ACUM!A4:S""),19,FALSE))"),"")</f>
        <v/>
      </c>
      <c r="BG299" s="98" t="str">
        <f ca="1">IFERROR(__xludf.DUMMYFUNCTION("IFERROR(VLOOKUP(F565,IMPORTRANGE(""https://docs.google.com/spreadsheets/d/1Kvs4KS76FHFqLFIZfrDMff4kP08nblUkihrxltoGBjg/edit#gid=934712705"",""ESENCIAL!A6:BG""),5,FALSE))"),"")</f>
        <v/>
      </c>
      <c r="BH299" s="98" t="str">
        <f t="shared" si="21"/>
        <v/>
      </c>
      <c r="BI299" s="99" t="str">
        <f t="shared" si="22"/>
        <v/>
      </c>
      <c r="BJ299" s="100" t="str">
        <f ca="1">IFERROR(__xludf.DUMMYFUNCTION("IFERROR(VLOOKUP(F565,IMPORTRANGE(""https://docs.google.com/spreadsheets/d/1Kvs4KS76FHFqLFIZfrDMff4kP08nblUkihrxltoGBjg/edit#gid=934712705"",""ESENCIAL!A6:BG""),2,FALSE))"),"")</f>
        <v/>
      </c>
      <c r="BK299" s="19" t="str">
        <f t="shared" si="23"/>
        <v/>
      </c>
      <c r="BL299" s="100"/>
      <c r="BM299" s="100"/>
    </row>
    <row r="300" spans="2:65" ht="15">
      <c r="B300" s="39"/>
      <c r="C300" s="5"/>
      <c r="D300" s="123"/>
      <c r="E300" s="39"/>
      <c r="F300" s="39"/>
      <c r="G300" s="39"/>
      <c r="H300" s="5" t="str">
        <f ca="1">IFERROR(__xludf.DUMMYFUNCTION("IFERROR(VLOOKUP(F566,IMPORTRANGE(""https://docs.google.com/spreadsheets/d/1Kvs4KS76FHFqLFIZfrDMff4kP08nblUkihrxltoGBjg/edit#gid=934712705"",""ESENCIAL!A6:BG""),3,FALSE))"),"")</f>
        <v/>
      </c>
      <c r="I300" s="5" t="str">
        <f ca="1">IFERROR(__xludf.DUMMYFUNCTION("IFERROR(VLOOKUP(F566,IMPORTRANGE(""https://docs.google.com/spreadsheets/d/1Kvs4KS76FHFqLFIZfrDMff4kP08nblUkihrxltoGBjg/edit#gid=934712705"",""ESENCIAL!A6:BG""),8,FALSE))"),"")</f>
        <v/>
      </c>
      <c r="J300" s="39"/>
      <c r="M300" s="287"/>
      <c r="AV300" s="41" t="str">
        <f t="shared" si="20"/>
        <v/>
      </c>
      <c r="AW300" s="5" t="str">
        <f ca="1">IFERROR(__xludf.DUMMYFUNCTION("IFERROR(VLOOKUP(E566&amp;F566,IMPORTRANGE(""https://docs.google.com/spreadsheets/d/1Uw7-A9f9R21vMXxHZFNpYNeKFtG8_yji4HS352LGlSQ/edit?pli=1#gid=0"",""1_ACUM!A4:S""),11,FALSE))"),"")</f>
        <v/>
      </c>
      <c r="AX300" s="42" t="str">
        <f ca="1">IFERROR(__xludf.DUMMYFUNCTION("IFERROR(VLOOKUP(F566,IMPORTRANGE(""https://docs.google.com/spreadsheets/d/1Kvs4KS76FHFqLFIZfrDMff4kP08nblUkihrxltoGBjg/edit#gid=934712705"",""ESENCIAL!A6:BG""),15,FALSE))"),"")</f>
        <v/>
      </c>
      <c r="AY300" s="110" t="str">
        <f ca="1">IFERROR(__xludf.DUMMYFUNCTION("IFERROR(VLOOKUP(E566&amp;F566,IMPORTRANGE(""https://docs.google.com/spreadsheets/d/1Uw7-A9f9R21vMXxHZFNpYNeKFtG8_yji4HS352LGlSQ/edit?pli=1#gid=0"",""1_ACUM!A4:S""),13,FALSE))"),"")</f>
        <v/>
      </c>
      <c r="AZ300" s="43" t="str">
        <f ca="1">IFERROR(__xludf.DUMMYFUNCTION("IFERROR(VLOOKUP(E566&amp;F566,IMPORTRANGE(""https://docs.google.com/spreadsheets/d/1Uw7-A9f9R21vMXxHZFNpYNeKFtG8_yji4HS352LGlSQ/edit?pli=1#gid=0"",""1_ACUM!A4:S""),13,FALSE))"),"")</f>
        <v/>
      </c>
      <c r="BA300" s="43" t="str">
        <f ca="1">IFERROR(__xludf.DUMMYFUNCTION("IFERROR(VLOOKUP(E566&amp;F566,IMPORTRANGE(""https://docs.google.com/spreadsheets/d/1Uw7-A9f9R21vMXxHZFNpYNeKFtG8_yji4HS352LGlSQ/edit?pli=1#gid=0"",""1_ACUM!A4:S""),14,FALSE))"),"")</f>
        <v/>
      </c>
      <c r="BB300" s="43" t="str">
        <f ca="1">IFERROR(__xludf.DUMMYFUNCTION("IFERROR(VLOOKUP(E566&amp;F566,IMPORTRANGE(""https://docs.google.com/spreadsheets/d/1Uw7-A9f9R21vMXxHZFNpYNeKFtG8_yji4HS352LGlSQ/edit?pli=1#gid=0"",""1_ACUM!A4:S""),15,FALSE))"),"")</f>
        <v/>
      </c>
      <c r="BC300" s="43" t="str">
        <f ca="1">IFERROR(__xludf.DUMMYFUNCTION("IFERROR(VLOOKUP(E566&amp;F566,IMPORTRANGE(""https://docs.google.com/spreadsheets/d/1Uw7-A9f9R21vMXxHZFNpYNeKFtG8_yji4HS352LGlSQ/edit?pli=1#gid=0"",""1_ACUM!A4:S""),16,FALSE))"),"")</f>
        <v/>
      </c>
      <c r="BD300" s="43" t="str">
        <f ca="1">IFERROR(__xludf.DUMMYFUNCTION("IFERROR(VLOOKUP(E566&amp;F566,IMPORTRANGE(""https://docs.google.com/spreadsheets/d/1Uw7-A9f9R21vMXxHZFNpYNeKFtG8_yji4HS352LGlSQ/edit?pli=1#gid=0"",""1_ACUM!A4:S""),17,FALSE))"),"")</f>
        <v/>
      </c>
      <c r="BE300" s="44" t="str">
        <f ca="1">IFERROR(__xludf.DUMMYFUNCTION("IFERROR(VLOOKUP(E566&amp;F566,IMPORTRANGE(""https://docs.google.com/spreadsheets/d/1Uw7-A9f9R21vMXxHZFNpYNeKFtG8_yji4HS352LGlSQ/edit?pli=1#gid=0"",""1_ACUM!A4:S""),18,FALSE))"),"")</f>
        <v/>
      </c>
      <c r="BF300" s="44" t="str">
        <f ca="1">IFERROR(__xludf.DUMMYFUNCTION("IFERROR(VLOOKUP(E566&amp;F566,IMPORTRANGE(""https://docs.google.com/spreadsheets/d/1Uw7-A9f9R21vMXxHZFNpYNeKFtG8_yji4HS352LGlSQ/edit?pli=1#gid=0"",""1_ACUM!A4:S""),19,FALSE))"),"")</f>
        <v/>
      </c>
      <c r="BG300" s="98" t="str">
        <f ca="1">IFERROR(__xludf.DUMMYFUNCTION("IFERROR(VLOOKUP(F566,IMPORTRANGE(""https://docs.google.com/spreadsheets/d/1Kvs4KS76FHFqLFIZfrDMff4kP08nblUkihrxltoGBjg/edit#gid=934712705"",""ESENCIAL!A6:BG""),5,FALSE))"),"")</f>
        <v/>
      </c>
      <c r="BH300" s="98" t="str">
        <f t="shared" si="21"/>
        <v/>
      </c>
      <c r="BI300" s="99" t="str">
        <f t="shared" si="22"/>
        <v/>
      </c>
      <c r="BJ300" s="100" t="str">
        <f ca="1">IFERROR(__xludf.DUMMYFUNCTION("IFERROR(VLOOKUP(F566,IMPORTRANGE(""https://docs.google.com/spreadsheets/d/1Kvs4KS76FHFqLFIZfrDMff4kP08nblUkihrxltoGBjg/edit#gid=934712705"",""ESENCIAL!A6:BG""),2,FALSE))"),"")</f>
        <v/>
      </c>
      <c r="BK300" s="19" t="str">
        <f t="shared" si="23"/>
        <v/>
      </c>
      <c r="BL300" s="100"/>
      <c r="BM300" s="100"/>
    </row>
    <row r="301" spans="2:65" ht="15">
      <c r="B301" s="39"/>
      <c r="C301" s="5"/>
      <c r="D301" s="123"/>
      <c r="E301" s="39"/>
      <c r="F301" s="39"/>
      <c r="G301" s="39"/>
      <c r="H301" s="5" t="str">
        <f ca="1">IFERROR(__xludf.DUMMYFUNCTION("IFERROR(VLOOKUP(F567,IMPORTRANGE(""https://docs.google.com/spreadsheets/d/1Kvs4KS76FHFqLFIZfrDMff4kP08nblUkihrxltoGBjg/edit#gid=934712705"",""ESENCIAL!A6:BG""),3,FALSE))"),"")</f>
        <v/>
      </c>
      <c r="I301" s="5" t="str">
        <f ca="1">IFERROR(__xludf.DUMMYFUNCTION("IFERROR(VLOOKUP(F567,IMPORTRANGE(""https://docs.google.com/spreadsheets/d/1Kvs4KS76FHFqLFIZfrDMff4kP08nblUkihrxltoGBjg/edit#gid=934712705"",""ESENCIAL!A6:BG""),8,FALSE))"),"")</f>
        <v/>
      </c>
      <c r="J301" s="39"/>
      <c r="M301" s="287"/>
      <c r="AV301" s="41" t="str">
        <f t="shared" si="20"/>
        <v/>
      </c>
      <c r="AW301" s="5" t="str">
        <f ca="1">IFERROR(__xludf.DUMMYFUNCTION("IFERROR(VLOOKUP(E567&amp;F567,IMPORTRANGE(""https://docs.google.com/spreadsheets/d/1Uw7-A9f9R21vMXxHZFNpYNeKFtG8_yji4HS352LGlSQ/edit?pli=1#gid=0"",""1_ACUM!A4:S""),11,FALSE))"),"")</f>
        <v/>
      </c>
      <c r="AX301" s="42" t="str">
        <f ca="1">IFERROR(__xludf.DUMMYFUNCTION("IFERROR(VLOOKUP(F567,IMPORTRANGE(""https://docs.google.com/spreadsheets/d/1Kvs4KS76FHFqLFIZfrDMff4kP08nblUkihrxltoGBjg/edit#gid=934712705"",""ESENCIAL!A6:BG""),15,FALSE))"),"")</f>
        <v/>
      </c>
      <c r="AY301" s="110" t="str">
        <f ca="1">IFERROR(__xludf.DUMMYFUNCTION("IFERROR(VLOOKUP(E567&amp;F567,IMPORTRANGE(""https://docs.google.com/spreadsheets/d/1Uw7-A9f9R21vMXxHZFNpYNeKFtG8_yji4HS352LGlSQ/edit?pli=1#gid=0"",""1_ACUM!A4:S""),13,FALSE))"),"")</f>
        <v/>
      </c>
      <c r="AZ301" s="43" t="str">
        <f ca="1">IFERROR(__xludf.DUMMYFUNCTION("IFERROR(VLOOKUP(E567&amp;F567,IMPORTRANGE(""https://docs.google.com/spreadsheets/d/1Uw7-A9f9R21vMXxHZFNpYNeKFtG8_yji4HS352LGlSQ/edit?pli=1#gid=0"",""1_ACUM!A4:S""),13,FALSE))"),"")</f>
        <v/>
      </c>
      <c r="BA301" s="43" t="str">
        <f ca="1">IFERROR(__xludf.DUMMYFUNCTION("IFERROR(VLOOKUP(E567&amp;F567,IMPORTRANGE(""https://docs.google.com/spreadsheets/d/1Uw7-A9f9R21vMXxHZFNpYNeKFtG8_yji4HS352LGlSQ/edit?pli=1#gid=0"",""1_ACUM!A4:S""),14,FALSE))"),"")</f>
        <v/>
      </c>
      <c r="BB301" s="43" t="str">
        <f ca="1">IFERROR(__xludf.DUMMYFUNCTION("IFERROR(VLOOKUP(E567&amp;F567,IMPORTRANGE(""https://docs.google.com/spreadsheets/d/1Uw7-A9f9R21vMXxHZFNpYNeKFtG8_yji4HS352LGlSQ/edit?pli=1#gid=0"",""1_ACUM!A4:S""),15,FALSE))"),"")</f>
        <v/>
      </c>
      <c r="BC301" s="43" t="str">
        <f ca="1">IFERROR(__xludf.DUMMYFUNCTION("IFERROR(VLOOKUP(E567&amp;F567,IMPORTRANGE(""https://docs.google.com/spreadsheets/d/1Uw7-A9f9R21vMXxHZFNpYNeKFtG8_yji4HS352LGlSQ/edit?pli=1#gid=0"",""1_ACUM!A4:S""),16,FALSE))"),"")</f>
        <v/>
      </c>
      <c r="BD301" s="43" t="str">
        <f ca="1">IFERROR(__xludf.DUMMYFUNCTION("IFERROR(VLOOKUP(E567&amp;F567,IMPORTRANGE(""https://docs.google.com/spreadsheets/d/1Uw7-A9f9R21vMXxHZFNpYNeKFtG8_yji4HS352LGlSQ/edit?pli=1#gid=0"",""1_ACUM!A4:S""),17,FALSE))"),"")</f>
        <v/>
      </c>
      <c r="BE301" s="44" t="str">
        <f ca="1">IFERROR(__xludf.DUMMYFUNCTION("IFERROR(VLOOKUP(E567&amp;F567,IMPORTRANGE(""https://docs.google.com/spreadsheets/d/1Uw7-A9f9R21vMXxHZFNpYNeKFtG8_yji4HS352LGlSQ/edit?pli=1#gid=0"",""1_ACUM!A4:S""),18,FALSE))"),"")</f>
        <v/>
      </c>
      <c r="BF301" s="44" t="str">
        <f ca="1">IFERROR(__xludf.DUMMYFUNCTION("IFERROR(VLOOKUP(E567&amp;F567,IMPORTRANGE(""https://docs.google.com/spreadsheets/d/1Uw7-A9f9R21vMXxHZFNpYNeKFtG8_yji4HS352LGlSQ/edit?pli=1#gid=0"",""1_ACUM!A4:S""),19,FALSE))"),"")</f>
        <v/>
      </c>
      <c r="BG301" s="98" t="str">
        <f ca="1">IFERROR(__xludf.DUMMYFUNCTION("IFERROR(VLOOKUP(F567,IMPORTRANGE(""https://docs.google.com/spreadsheets/d/1Kvs4KS76FHFqLFIZfrDMff4kP08nblUkihrxltoGBjg/edit#gid=934712705"",""ESENCIAL!A6:BG""),5,FALSE))"),"")</f>
        <v/>
      </c>
      <c r="BH301" s="98" t="str">
        <f t="shared" si="21"/>
        <v/>
      </c>
      <c r="BI301" s="99" t="str">
        <f t="shared" si="22"/>
        <v/>
      </c>
      <c r="BJ301" s="100" t="str">
        <f ca="1">IFERROR(__xludf.DUMMYFUNCTION("IFERROR(VLOOKUP(F567,IMPORTRANGE(""https://docs.google.com/spreadsheets/d/1Kvs4KS76FHFqLFIZfrDMff4kP08nblUkihrxltoGBjg/edit#gid=934712705"",""ESENCIAL!A6:BG""),2,FALSE))"),"")</f>
        <v/>
      </c>
      <c r="BK301" s="19" t="str">
        <f t="shared" si="23"/>
        <v/>
      </c>
      <c r="BL301" s="100"/>
      <c r="BM301" s="100"/>
    </row>
    <row r="302" spans="2:65" ht="15">
      <c r="B302" s="39"/>
      <c r="C302" s="5"/>
      <c r="D302" s="123"/>
      <c r="E302" s="39"/>
      <c r="F302" s="39"/>
      <c r="G302" s="39"/>
      <c r="H302" s="5" t="str">
        <f ca="1">IFERROR(__xludf.DUMMYFUNCTION("IFERROR(VLOOKUP(F568,IMPORTRANGE(""https://docs.google.com/spreadsheets/d/1Kvs4KS76FHFqLFIZfrDMff4kP08nblUkihrxltoGBjg/edit#gid=934712705"",""ESENCIAL!A6:BG""),3,FALSE))"),"")</f>
        <v/>
      </c>
      <c r="I302" s="5" t="str">
        <f ca="1">IFERROR(__xludf.DUMMYFUNCTION("IFERROR(VLOOKUP(F568,IMPORTRANGE(""https://docs.google.com/spreadsheets/d/1Kvs4KS76FHFqLFIZfrDMff4kP08nblUkihrxltoGBjg/edit#gid=934712705"",""ESENCIAL!A6:BG""),8,FALSE))"),"")</f>
        <v/>
      </c>
      <c r="J302" s="39"/>
      <c r="M302" s="287"/>
      <c r="AV302" s="41" t="str">
        <f t="shared" si="20"/>
        <v/>
      </c>
      <c r="AW302" s="5" t="str">
        <f ca="1">IFERROR(__xludf.DUMMYFUNCTION("IFERROR(VLOOKUP(E568&amp;F568,IMPORTRANGE(""https://docs.google.com/spreadsheets/d/1Uw7-A9f9R21vMXxHZFNpYNeKFtG8_yji4HS352LGlSQ/edit?pli=1#gid=0"",""1_ACUM!A4:S""),11,FALSE))"),"")</f>
        <v/>
      </c>
      <c r="AX302" s="42" t="str">
        <f ca="1">IFERROR(__xludf.DUMMYFUNCTION("IFERROR(VLOOKUP(F568,IMPORTRANGE(""https://docs.google.com/spreadsheets/d/1Kvs4KS76FHFqLFIZfrDMff4kP08nblUkihrxltoGBjg/edit#gid=934712705"",""ESENCIAL!A6:BG""),15,FALSE))"),"")</f>
        <v/>
      </c>
      <c r="AY302" s="110" t="str">
        <f ca="1">IFERROR(__xludf.DUMMYFUNCTION("IFERROR(VLOOKUP(E568&amp;F568,IMPORTRANGE(""https://docs.google.com/spreadsheets/d/1Uw7-A9f9R21vMXxHZFNpYNeKFtG8_yji4HS352LGlSQ/edit?pli=1#gid=0"",""1_ACUM!A4:S""),13,FALSE))"),"")</f>
        <v/>
      </c>
      <c r="AZ302" s="43" t="str">
        <f ca="1">IFERROR(__xludf.DUMMYFUNCTION("IFERROR(VLOOKUP(E568&amp;F568,IMPORTRANGE(""https://docs.google.com/spreadsheets/d/1Uw7-A9f9R21vMXxHZFNpYNeKFtG8_yji4HS352LGlSQ/edit?pli=1#gid=0"",""1_ACUM!A4:S""),13,FALSE))"),"")</f>
        <v/>
      </c>
      <c r="BA302" s="43" t="str">
        <f ca="1">IFERROR(__xludf.DUMMYFUNCTION("IFERROR(VLOOKUP(E568&amp;F568,IMPORTRANGE(""https://docs.google.com/spreadsheets/d/1Uw7-A9f9R21vMXxHZFNpYNeKFtG8_yji4HS352LGlSQ/edit?pli=1#gid=0"",""1_ACUM!A4:S""),14,FALSE))"),"")</f>
        <v/>
      </c>
      <c r="BB302" s="43" t="str">
        <f ca="1">IFERROR(__xludf.DUMMYFUNCTION("IFERROR(VLOOKUP(E568&amp;F568,IMPORTRANGE(""https://docs.google.com/spreadsheets/d/1Uw7-A9f9R21vMXxHZFNpYNeKFtG8_yji4HS352LGlSQ/edit?pli=1#gid=0"",""1_ACUM!A4:S""),15,FALSE))"),"")</f>
        <v/>
      </c>
      <c r="BC302" s="43" t="str">
        <f ca="1">IFERROR(__xludf.DUMMYFUNCTION("IFERROR(VLOOKUP(E568&amp;F568,IMPORTRANGE(""https://docs.google.com/spreadsheets/d/1Uw7-A9f9R21vMXxHZFNpYNeKFtG8_yji4HS352LGlSQ/edit?pli=1#gid=0"",""1_ACUM!A4:S""),16,FALSE))"),"")</f>
        <v/>
      </c>
      <c r="BD302" s="43" t="str">
        <f ca="1">IFERROR(__xludf.DUMMYFUNCTION("IFERROR(VLOOKUP(E568&amp;F568,IMPORTRANGE(""https://docs.google.com/spreadsheets/d/1Uw7-A9f9R21vMXxHZFNpYNeKFtG8_yji4HS352LGlSQ/edit?pli=1#gid=0"",""1_ACUM!A4:S""),17,FALSE))"),"")</f>
        <v/>
      </c>
      <c r="BE302" s="44" t="str">
        <f ca="1">IFERROR(__xludf.DUMMYFUNCTION("IFERROR(VLOOKUP(E568&amp;F568,IMPORTRANGE(""https://docs.google.com/spreadsheets/d/1Uw7-A9f9R21vMXxHZFNpYNeKFtG8_yji4HS352LGlSQ/edit?pli=1#gid=0"",""1_ACUM!A4:S""),18,FALSE))"),"")</f>
        <v/>
      </c>
      <c r="BF302" s="44" t="str">
        <f ca="1">IFERROR(__xludf.DUMMYFUNCTION("IFERROR(VLOOKUP(E568&amp;F568,IMPORTRANGE(""https://docs.google.com/spreadsheets/d/1Uw7-A9f9R21vMXxHZFNpYNeKFtG8_yji4HS352LGlSQ/edit?pli=1#gid=0"",""1_ACUM!A4:S""),19,FALSE))"),"")</f>
        <v/>
      </c>
      <c r="BG302" s="98" t="str">
        <f ca="1">IFERROR(__xludf.DUMMYFUNCTION("IFERROR(VLOOKUP(F568,IMPORTRANGE(""https://docs.google.com/spreadsheets/d/1Kvs4KS76FHFqLFIZfrDMff4kP08nblUkihrxltoGBjg/edit#gid=934712705"",""ESENCIAL!A6:BG""),5,FALSE))"),"")</f>
        <v/>
      </c>
      <c r="BH302" s="98" t="str">
        <f t="shared" si="21"/>
        <v/>
      </c>
      <c r="BI302" s="99" t="str">
        <f t="shared" si="22"/>
        <v/>
      </c>
      <c r="BJ302" s="100" t="str">
        <f ca="1">IFERROR(__xludf.DUMMYFUNCTION("IFERROR(VLOOKUP(F568,IMPORTRANGE(""https://docs.google.com/spreadsheets/d/1Kvs4KS76FHFqLFIZfrDMff4kP08nblUkihrxltoGBjg/edit#gid=934712705"",""ESENCIAL!A6:BG""),2,FALSE))"),"")</f>
        <v/>
      </c>
      <c r="BK302" s="19" t="str">
        <f t="shared" si="23"/>
        <v/>
      </c>
      <c r="BL302" s="100"/>
      <c r="BM302" s="100"/>
    </row>
    <row r="303" spans="2:65" ht="15">
      <c r="B303" s="39"/>
      <c r="C303" s="5"/>
      <c r="D303" s="123"/>
      <c r="E303" s="39"/>
      <c r="F303" s="39"/>
      <c r="G303" s="39"/>
      <c r="H303" s="5" t="str">
        <f ca="1">IFERROR(__xludf.DUMMYFUNCTION("IFERROR(VLOOKUP(F569,IMPORTRANGE(""https://docs.google.com/spreadsheets/d/1Kvs4KS76FHFqLFIZfrDMff4kP08nblUkihrxltoGBjg/edit#gid=934712705"",""ESENCIAL!A6:BG""),3,FALSE))"),"")</f>
        <v/>
      </c>
      <c r="I303" s="5" t="str">
        <f ca="1">IFERROR(__xludf.DUMMYFUNCTION("IFERROR(VLOOKUP(F569,IMPORTRANGE(""https://docs.google.com/spreadsheets/d/1Kvs4KS76FHFqLFIZfrDMff4kP08nblUkihrxltoGBjg/edit#gid=934712705"",""ESENCIAL!A6:BG""),8,FALSE))"),"")</f>
        <v/>
      </c>
      <c r="J303" s="39"/>
      <c r="M303" s="287"/>
      <c r="AV303" s="41" t="str">
        <f t="shared" si="20"/>
        <v/>
      </c>
      <c r="AW303" s="5" t="str">
        <f ca="1">IFERROR(__xludf.DUMMYFUNCTION("IFERROR(VLOOKUP(E569&amp;F569,IMPORTRANGE(""https://docs.google.com/spreadsheets/d/1Uw7-A9f9R21vMXxHZFNpYNeKFtG8_yji4HS352LGlSQ/edit?pli=1#gid=0"",""1_ACUM!A4:S""),11,FALSE))"),"")</f>
        <v/>
      </c>
      <c r="AX303" s="42" t="str">
        <f ca="1">IFERROR(__xludf.DUMMYFUNCTION("IFERROR(VLOOKUP(F569,IMPORTRANGE(""https://docs.google.com/spreadsheets/d/1Kvs4KS76FHFqLFIZfrDMff4kP08nblUkihrxltoGBjg/edit#gid=934712705"",""ESENCIAL!A6:BG""),15,FALSE))"),"")</f>
        <v/>
      </c>
      <c r="AY303" s="110" t="str">
        <f ca="1">IFERROR(__xludf.DUMMYFUNCTION("IFERROR(VLOOKUP(E569&amp;F569,IMPORTRANGE(""https://docs.google.com/spreadsheets/d/1Uw7-A9f9R21vMXxHZFNpYNeKFtG8_yji4HS352LGlSQ/edit?pli=1#gid=0"",""1_ACUM!A4:S""),13,FALSE))"),"")</f>
        <v/>
      </c>
      <c r="AZ303" s="43" t="str">
        <f ca="1">IFERROR(__xludf.DUMMYFUNCTION("IFERROR(VLOOKUP(E569&amp;F569,IMPORTRANGE(""https://docs.google.com/spreadsheets/d/1Uw7-A9f9R21vMXxHZFNpYNeKFtG8_yji4HS352LGlSQ/edit?pli=1#gid=0"",""1_ACUM!A4:S""),13,FALSE))"),"")</f>
        <v/>
      </c>
      <c r="BA303" s="43" t="str">
        <f ca="1">IFERROR(__xludf.DUMMYFUNCTION("IFERROR(VLOOKUP(E569&amp;F569,IMPORTRANGE(""https://docs.google.com/spreadsheets/d/1Uw7-A9f9R21vMXxHZFNpYNeKFtG8_yji4HS352LGlSQ/edit?pli=1#gid=0"",""1_ACUM!A4:S""),14,FALSE))"),"")</f>
        <v/>
      </c>
      <c r="BB303" s="43" t="str">
        <f ca="1">IFERROR(__xludf.DUMMYFUNCTION("IFERROR(VLOOKUP(E569&amp;F569,IMPORTRANGE(""https://docs.google.com/spreadsheets/d/1Uw7-A9f9R21vMXxHZFNpYNeKFtG8_yji4HS352LGlSQ/edit?pli=1#gid=0"",""1_ACUM!A4:S""),15,FALSE))"),"")</f>
        <v/>
      </c>
      <c r="BC303" s="43" t="str">
        <f ca="1">IFERROR(__xludf.DUMMYFUNCTION("IFERROR(VLOOKUP(E569&amp;F569,IMPORTRANGE(""https://docs.google.com/spreadsheets/d/1Uw7-A9f9R21vMXxHZFNpYNeKFtG8_yji4HS352LGlSQ/edit?pli=1#gid=0"",""1_ACUM!A4:S""),16,FALSE))"),"")</f>
        <v/>
      </c>
      <c r="BD303" s="43" t="str">
        <f ca="1">IFERROR(__xludf.DUMMYFUNCTION("IFERROR(VLOOKUP(E569&amp;F569,IMPORTRANGE(""https://docs.google.com/spreadsheets/d/1Uw7-A9f9R21vMXxHZFNpYNeKFtG8_yji4HS352LGlSQ/edit?pli=1#gid=0"",""1_ACUM!A4:S""),17,FALSE))"),"")</f>
        <v/>
      </c>
      <c r="BE303" s="44" t="str">
        <f ca="1">IFERROR(__xludf.DUMMYFUNCTION("IFERROR(VLOOKUP(E569&amp;F569,IMPORTRANGE(""https://docs.google.com/spreadsheets/d/1Uw7-A9f9R21vMXxHZFNpYNeKFtG8_yji4HS352LGlSQ/edit?pli=1#gid=0"",""1_ACUM!A4:S""),18,FALSE))"),"")</f>
        <v/>
      </c>
      <c r="BF303" s="44" t="str">
        <f ca="1">IFERROR(__xludf.DUMMYFUNCTION("IFERROR(VLOOKUP(E569&amp;F569,IMPORTRANGE(""https://docs.google.com/spreadsheets/d/1Uw7-A9f9R21vMXxHZFNpYNeKFtG8_yji4HS352LGlSQ/edit?pli=1#gid=0"",""1_ACUM!A4:S""),19,FALSE))"),"")</f>
        <v/>
      </c>
      <c r="BG303" s="98" t="str">
        <f ca="1">IFERROR(__xludf.DUMMYFUNCTION("IFERROR(VLOOKUP(F569,IMPORTRANGE(""https://docs.google.com/spreadsheets/d/1Kvs4KS76FHFqLFIZfrDMff4kP08nblUkihrxltoGBjg/edit#gid=934712705"",""ESENCIAL!A6:BG""),5,FALSE))"),"")</f>
        <v/>
      </c>
      <c r="BH303" s="98" t="str">
        <f t="shared" si="21"/>
        <v/>
      </c>
      <c r="BI303" s="99" t="str">
        <f t="shared" si="22"/>
        <v/>
      </c>
      <c r="BJ303" s="100" t="str">
        <f ca="1">IFERROR(__xludf.DUMMYFUNCTION("IFERROR(VLOOKUP(F569,IMPORTRANGE(""https://docs.google.com/spreadsheets/d/1Kvs4KS76FHFqLFIZfrDMff4kP08nblUkihrxltoGBjg/edit#gid=934712705"",""ESENCIAL!A6:BG""),2,FALSE))"),"")</f>
        <v/>
      </c>
      <c r="BK303" s="19" t="str">
        <f t="shared" si="23"/>
        <v/>
      </c>
      <c r="BL303" s="100"/>
      <c r="BM303" s="100"/>
    </row>
    <row r="304" spans="2:65" ht="15">
      <c r="B304" s="39"/>
      <c r="C304" s="5"/>
      <c r="D304" s="123"/>
      <c r="E304" s="39"/>
      <c r="F304" s="39"/>
      <c r="G304" s="39"/>
      <c r="H304" s="5" t="str">
        <f ca="1">IFERROR(__xludf.DUMMYFUNCTION("IFERROR(VLOOKUP(F570,IMPORTRANGE(""https://docs.google.com/spreadsheets/d/1Kvs4KS76FHFqLFIZfrDMff4kP08nblUkihrxltoGBjg/edit#gid=934712705"",""ESENCIAL!A6:BG""),3,FALSE))"),"")</f>
        <v/>
      </c>
      <c r="I304" s="5" t="str">
        <f ca="1">IFERROR(__xludf.DUMMYFUNCTION("IFERROR(VLOOKUP(F570,IMPORTRANGE(""https://docs.google.com/spreadsheets/d/1Kvs4KS76FHFqLFIZfrDMff4kP08nblUkihrxltoGBjg/edit#gid=934712705"",""ESENCIAL!A6:BG""),8,FALSE))"),"")</f>
        <v/>
      </c>
      <c r="J304" s="39"/>
      <c r="M304" s="287"/>
      <c r="AV304" s="41" t="str">
        <f t="shared" si="20"/>
        <v/>
      </c>
      <c r="AW304" s="5" t="str">
        <f ca="1">IFERROR(__xludf.DUMMYFUNCTION("IFERROR(VLOOKUP(E570&amp;F570,IMPORTRANGE(""https://docs.google.com/spreadsheets/d/1Uw7-A9f9R21vMXxHZFNpYNeKFtG8_yji4HS352LGlSQ/edit?pli=1#gid=0"",""1_ACUM!A4:S""),11,FALSE))"),"")</f>
        <v/>
      </c>
      <c r="AX304" s="42" t="str">
        <f ca="1">IFERROR(__xludf.DUMMYFUNCTION("IFERROR(VLOOKUP(F570,IMPORTRANGE(""https://docs.google.com/spreadsheets/d/1Kvs4KS76FHFqLFIZfrDMff4kP08nblUkihrxltoGBjg/edit#gid=934712705"",""ESENCIAL!A6:BG""),15,FALSE))"),"")</f>
        <v/>
      </c>
      <c r="AY304" s="110" t="str">
        <f ca="1">IFERROR(__xludf.DUMMYFUNCTION("IFERROR(VLOOKUP(E570&amp;F570,IMPORTRANGE(""https://docs.google.com/spreadsheets/d/1Uw7-A9f9R21vMXxHZFNpYNeKFtG8_yji4HS352LGlSQ/edit?pli=1#gid=0"",""1_ACUM!A4:S""),13,FALSE))"),"")</f>
        <v/>
      </c>
      <c r="AZ304" s="43" t="str">
        <f ca="1">IFERROR(__xludf.DUMMYFUNCTION("IFERROR(VLOOKUP(E570&amp;F570,IMPORTRANGE(""https://docs.google.com/spreadsheets/d/1Uw7-A9f9R21vMXxHZFNpYNeKFtG8_yji4HS352LGlSQ/edit?pli=1#gid=0"",""1_ACUM!A4:S""),13,FALSE))"),"")</f>
        <v/>
      </c>
      <c r="BA304" s="43" t="str">
        <f ca="1">IFERROR(__xludf.DUMMYFUNCTION("IFERROR(VLOOKUP(E570&amp;F570,IMPORTRANGE(""https://docs.google.com/spreadsheets/d/1Uw7-A9f9R21vMXxHZFNpYNeKFtG8_yji4HS352LGlSQ/edit?pli=1#gid=0"",""1_ACUM!A4:S""),14,FALSE))"),"")</f>
        <v/>
      </c>
      <c r="BB304" s="43" t="str">
        <f ca="1">IFERROR(__xludf.DUMMYFUNCTION("IFERROR(VLOOKUP(E570&amp;F570,IMPORTRANGE(""https://docs.google.com/spreadsheets/d/1Uw7-A9f9R21vMXxHZFNpYNeKFtG8_yji4HS352LGlSQ/edit?pli=1#gid=0"",""1_ACUM!A4:S""),15,FALSE))"),"")</f>
        <v/>
      </c>
      <c r="BC304" s="43" t="str">
        <f ca="1">IFERROR(__xludf.DUMMYFUNCTION("IFERROR(VLOOKUP(E570&amp;F570,IMPORTRANGE(""https://docs.google.com/spreadsheets/d/1Uw7-A9f9R21vMXxHZFNpYNeKFtG8_yji4HS352LGlSQ/edit?pli=1#gid=0"",""1_ACUM!A4:S""),16,FALSE))"),"")</f>
        <v/>
      </c>
      <c r="BD304" s="43" t="str">
        <f ca="1">IFERROR(__xludf.DUMMYFUNCTION("IFERROR(VLOOKUP(E570&amp;F570,IMPORTRANGE(""https://docs.google.com/spreadsheets/d/1Uw7-A9f9R21vMXxHZFNpYNeKFtG8_yji4HS352LGlSQ/edit?pli=1#gid=0"",""1_ACUM!A4:S""),17,FALSE))"),"")</f>
        <v/>
      </c>
      <c r="BE304" s="44" t="str">
        <f ca="1">IFERROR(__xludf.DUMMYFUNCTION("IFERROR(VLOOKUP(E570&amp;F570,IMPORTRANGE(""https://docs.google.com/spreadsheets/d/1Uw7-A9f9R21vMXxHZFNpYNeKFtG8_yji4HS352LGlSQ/edit?pli=1#gid=0"",""1_ACUM!A4:S""),18,FALSE))"),"")</f>
        <v/>
      </c>
      <c r="BF304" s="44" t="str">
        <f ca="1">IFERROR(__xludf.DUMMYFUNCTION("IFERROR(VLOOKUP(E570&amp;F570,IMPORTRANGE(""https://docs.google.com/spreadsheets/d/1Uw7-A9f9R21vMXxHZFNpYNeKFtG8_yji4HS352LGlSQ/edit?pli=1#gid=0"",""1_ACUM!A4:S""),19,FALSE))"),"")</f>
        <v/>
      </c>
      <c r="BG304" s="98" t="str">
        <f ca="1">IFERROR(__xludf.DUMMYFUNCTION("IFERROR(VLOOKUP(F570,IMPORTRANGE(""https://docs.google.com/spreadsheets/d/1Kvs4KS76FHFqLFIZfrDMff4kP08nblUkihrxltoGBjg/edit#gid=934712705"",""ESENCIAL!A6:BG""),5,FALSE))"),"")</f>
        <v/>
      </c>
      <c r="BH304" s="98" t="str">
        <f t="shared" si="21"/>
        <v/>
      </c>
      <c r="BI304" s="99" t="str">
        <f t="shared" si="22"/>
        <v/>
      </c>
      <c r="BJ304" s="100" t="str">
        <f ca="1">IFERROR(__xludf.DUMMYFUNCTION("IFERROR(VLOOKUP(F570,IMPORTRANGE(""https://docs.google.com/spreadsheets/d/1Kvs4KS76FHFqLFIZfrDMff4kP08nblUkihrxltoGBjg/edit#gid=934712705"",""ESENCIAL!A6:BG""),2,FALSE))"),"")</f>
        <v/>
      </c>
      <c r="BK304" s="19" t="str">
        <f t="shared" si="23"/>
        <v/>
      </c>
      <c r="BL304" s="100"/>
      <c r="BM304" s="100"/>
    </row>
    <row r="305" spans="2:65" ht="15">
      <c r="B305" s="39"/>
      <c r="C305" s="5"/>
      <c r="D305" s="123"/>
      <c r="E305" s="39"/>
      <c r="F305" s="39"/>
      <c r="G305" s="39"/>
      <c r="H305" s="5" t="str">
        <f ca="1">IFERROR(__xludf.DUMMYFUNCTION("IFERROR(VLOOKUP(F571,IMPORTRANGE(""https://docs.google.com/spreadsheets/d/1Kvs4KS76FHFqLFIZfrDMff4kP08nblUkihrxltoGBjg/edit#gid=934712705"",""ESENCIAL!A6:BG""),3,FALSE))"),"")</f>
        <v/>
      </c>
      <c r="I305" s="5" t="str">
        <f ca="1">IFERROR(__xludf.DUMMYFUNCTION("IFERROR(VLOOKUP(F571,IMPORTRANGE(""https://docs.google.com/spreadsheets/d/1Kvs4KS76FHFqLFIZfrDMff4kP08nblUkihrxltoGBjg/edit#gid=934712705"",""ESENCIAL!A6:BG""),8,FALSE))"),"")</f>
        <v/>
      </c>
      <c r="J305" s="39"/>
      <c r="M305" s="287"/>
      <c r="AV305" s="41" t="str">
        <f t="shared" si="20"/>
        <v/>
      </c>
      <c r="AW305" s="5" t="str">
        <f ca="1">IFERROR(__xludf.DUMMYFUNCTION("IFERROR(VLOOKUP(E571&amp;F571,IMPORTRANGE(""https://docs.google.com/spreadsheets/d/1Uw7-A9f9R21vMXxHZFNpYNeKFtG8_yji4HS352LGlSQ/edit?pli=1#gid=0"",""1_ACUM!A4:S""),11,FALSE))"),"")</f>
        <v/>
      </c>
      <c r="AX305" s="42" t="str">
        <f ca="1">IFERROR(__xludf.DUMMYFUNCTION("IFERROR(VLOOKUP(F571,IMPORTRANGE(""https://docs.google.com/spreadsheets/d/1Kvs4KS76FHFqLFIZfrDMff4kP08nblUkihrxltoGBjg/edit#gid=934712705"",""ESENCIAL!A6:BG""),15,FALSE))"),"")</f>
        <v/>
      </c>
      <c r="AY305" s="110" t="str">
        <f ca="1">IFERROR(__xludf.DUMMYFUNCTION("IFERROR(VLOOKUP(E571&amp;F571,IMPORTRANGE(""https://docs.google.com/spreadsheets/d/1Uw7-A9f9R21vMXxHZFNpYNeKFtG8_yji4HS352LGlSQ/edit?pli=1#gid=0"",""1_ACUM!A4:S""),13,FALSE))"),"")</f>
        <v/>
      </c>
      <c r="AZ305" s="43" t="str">
        <f ca="1">IFERROR(__xludf.DUMMYFUNCTION("IFERROR(VLOOKUP(E571&amp;F571,IMPORTRANGE(""https://docs.google.com/spreadsheets/d/1Uw7-A9f9R21vMXxHZFNpYNeKFtG8_yji4HS352LGlSQ/edit?pli=1#gid=0"",""1_ACUM!A4:S""),13,FALSE))"),"")</f>
        <v/>
      </c>
      <c r="BA305" s="43" t="str">
        <f ca="1">IFERROR(__xludf.DUMMYFUNCTION("IFERROR(VLOOKUP(E571&amp;F571,IMPORTRANGE(""https://docs.google.com/spreadsheets/d/1Uw7-A9f9R21vMXxHZFNpYNeKFtG8_yji4HS352LGlSQ/edit?pli=1#gid=0"",""1_ACUM!A4:S""),14,FALSE))"),"")</f>
        <v/>
      </c>
      <c r="BB305" s="43" t="str">
        <f ca="1">IFERROR(__xludf.DUMMYFUNCTION("IFERROR(VLOOKUP(E571&amp;F571,IMPORTRANGE(""https://docs.google.com/spreadsheets/d/1Uw7-A9f9R21vMXxHZFNpYNeKFtG8_yji4HS352LGlSQ/edit?pli=1#gid=0"",""1_ACUM!A4:S""),15,FALSE))"),"")</f>
        <v/>
      </c>
      <c r="BC305" s="43" t="str">
        <f ca="1">IFERROR(__xludf.DUMMYFUNCTION("IFERROR(VLOOKUP(E571&amp;F571,IMPORTRANGE(""https://docs.google.com/spreadsheets/d/1Uw7-A9f9R21vMXxHZFNpYNeKFtG8_yji4HS352LGlSQ/edit?pli=1#gid=0"",""1_ACUM!A4:S""),16,FALSE))"),"")</f>
        <v/>
      </c>
      <c r="BD305" s="43" t="str">
        <f ca="1">IFERROR(__xludf.DUMMYFUNCTION("IFERROR(VLOOKUP(E571&amp;F571,IMPORTRANGE(""https://docs.google.com/spreadsheets/d/1Uw7-A9f9R21vMXxHZFNpYNeKFtG8_yji4HS352LGlSQ/edit?pli=1#gid=0"",""1_ACUM!A4:S""),17,FALSE))"),"")</f>
        <v/>
      </c>
      <c r="BE305" s="44" t="str">
        <f ca="1">IFERROR(__xludf.DUMMYFUNCTION("IFERROR(VLOOKUP(E571&amp;F571,IMPORTRANGE(""https://docs.google.com/spreadsheets/d/1Uw7-A9f9R21vMXxHZFNpYNeKFtG8_yji4HS352LGlSQ/edit?pli=1#gid=0"",""1_ACUM!A4:S""),18,FALSE))"),"")</f>
        <v/>
      </c>
      <c r="BF305" s="44" t="str">
        <f ca="1">IFERROR(__xludf.DUMMYFUNCTION("IFERROR(VLOOKUP(E571&amp;F571,IMPORTRANGE(""https://docs.google.com/spreadsheets/d/1Uw7-A9f9R21vMXxHZFNpYNeKFtG8_yji4HS352LGlSQ/edit?pli=1#gid=0"",""1_ACUM!A4:S""),19,FALSE))"),"")</f>
        <v/>
      </c>
      <c r="BG305" s="98" t="str">
        <f ca="1">IFERROR(__xludf.DUMMYFUNCTION("IFERROR(VLOOKUP(F571,IMPORTRANGE(""https://docs.google.com/spreadsheets/d/1Kvs4KS76FHFqLFIZfrDMff4kP08nblUkihrxltoGBjg/edit#gid=934712705"",""ESENCIAL!A6:BG""),5,FALSE))"),"")</f>
        <v/>
      </c>
      <c r="BH305" s="98" t="str">
        <f t="shared" si="21"/>
        <v/>
      </c>
      <c r="BI305" s="99" t="str">
        <f t="shared" si="22"/>
        <v/>
      </c>
      <c r="BJ305" s="100" t="str">
        <f ca="1">IFERROR(__xludf.DUMMYFUNCTION("IFERROR(VLOOKUP(F571,IMPORTRANGE(""https://docs.google.com/spreadsheets/d/1Kvs4KS76FHFqLFIZfrDMff4kP08nblUkihrxltoGBjg/edit#gid=934712705"",""ESENCIAL!A6:BG""),2,FALSE))"),"")</f>
        <v/>
      </c>
      <c r="BK305" s="19" t="str">
        <f t="shared" si="23"/>
        <v/>
      </c>
      <c r="BL305" s="100"/>
      <c r="BM305" s="100"/>
    </row>
    <row r="306" spans="2:65" ht="15">
      <c r="B306" s="39"/>
      <c r="C306" s="5"/>
      <c r="D306" s="123"/>
      <c r="E306" s="39"/>
      <c r="F306" s="39"/>
      <c r="G306" s="39"/>
      <c r="H306" s="5" t="str">
        <f ca="1">IFERROR(__xludf.DUMMYFUNCTION("IFERROR(VLOOKUP(F572,IMPORTRANGE(""https://docs.google.com/spreadsheets/d/1Kvs4KS76FHFqLFIZfrDMff4kP08nblUkihrxltoGBjg/edit#gid=934712705"",""ESENCIAL!A6:BG""),3,FALSE))"),"")</f>
        <v/>
      </c>
      <c r="I306" s="5" t="str">
        <f ca="1">IFERROR(__xludf.DUMMYFUNCTION("IFERROR(VLOOKUP(F572,IMPORTRANGE(""https://docs.google.com/spreadsheets/d/1Kvs4KS76FHFqLFIZfrDMff4kP08nblUkihrxltoGBjg/edit#gid=934712705"",""ESENCIAL!A6:BG""),8,FALSE))"),"")</f>
        <v/>
      </c>
      <c r="J306" s="39"/>
      <c r="M306" s="287"/>
      <c r="AV306" s="41" t="str">
        <f t="shared" si="20"/>
        <v/>
      </c>
      <c r="AW306" s="5" t="str">
        <f ca="1">IFERROR(__xludf.DUMMYFUNCTION("IFERROR(VLOOKUP(E572&amp;F572,IMPORTRANGE(""https://docs.google.com/spreadsheets/d/1Uw7-A9f9R21vMXxHZFNpYNeKFtG8_yji4HS352LGlSQ/edit?pli=1#gid=0"",""1_ACUM!A4:S""),11,FALSE))"),"")</f>
        <v/>
      </c>
      <c r="AX306" s="42" t="str">
        <f ca="1">IFERROR(__xludf.DUMMYFUNCTION("IFERROR(VLOOKUP(F572,IMPORTRANGE(""https://docs.google.com/spreadsheets/d/1Kvs4KS76FHFqLFIZfrDMff4kP08nblUkihrxltoGBjg/edit#gid=934712705"",""ESENCIAL!A6:BG""),15,FALSE))"),"")</f>
        <v/>
      </c>
      <c r="AY306" s="110" t="str">
        <f ca="1">IFERROR(__xludf.DUMMYFUNCTION("IFERROR(VLOOKUP(E572&amp;F572,IMPORTRANGE(""https://docs.google.com/spreadsheets/d/1Uw7-A9f9R21vMXxHZFNpYNeKFtG8_yji4HS352LGlSQ/edit?pli=1#gid=0"",""1_ACUM!A4:S""),13,FALSE))"),"")</f>
        <v/>
      </c>
      <c r="AZ306" s="43" t="str">
        <f ca="1">IFERROR(__xludf.DUMMYFUNCTION("IFERROR(VLOOKUP(E572&amp;F572,IMPORTRANGE(""https://docs.google.com/spreadsheets/d/1Uw7-A9f9R21vMXxHZFNpYNeKFtG8_yji4HS352LGlSQ/edit?pli=1#gid=0"",""1_ACUM!A4:S""),13,FALSE))"),"")</f>
        <v/>
      </c>
      <c r="BA306" s="43" t="str">
        <f ca="1">IFERROR(__xludf.DUMMYFUNCTION("IFERROR(VLOOKUP(E572&amp;F572,IMPORTRANGE(""https://docs.google.com/spreadsheets/d/1Uw7-A9f9R21vMXxHZFNpYNeKFtG8_yji4HS352LGlSQ/edit?pli=1#gid=0"",""1_ACUM!A4:S""),14,FALSE))"),"")</f>
        <v/>
      </c>
      <c r="BB306" s="43" t="str">
        <f ca="1">IFERROR(__xludf.DUMMYFUNCTION("IFERROR(VLOOKUP(E572&amp;F572,IMPORTRANGE(""https://docs.google.com/spreadsheets/d/1Uw7-A9f9R21vMXxHZFNpYNeKFtG8_yji4HS352LGlSQ/edit?pli=1#gid=0"",""1_ACUM!A4:S""),15,FALSE))"),"")</f>
        <v/>
      </c>
      <c r="BC306" s="43" t="str">
        <f ca="1">IFERROR(__xludf.DUMMYFUNCTION("IFERROR(VLOOKUP(E572&amp;F572,IMPORTRANGE(""https://docs.google.com/spreadsheets/d/1Uw7-A9f9R21vMXxHZFNpYNeKFtG8_yji4HS352LGlSQ/edit?pli=1#gid=0"",""1_ACUM!A4:S""),16,FALSE))"),"")</f>
        <v/>
      </c>
      <c r="BD306" s="43" t="str">
        <f ca="1">IFERROR(__xludf.DUMMYFUNCTION("IFERROR(VLOOKUP(E572&amp;F572,IMPORTRANGE(""https://docs.google.com/spreadsheets/d/1Uw7-A9f9R21vMXxHZFNpYNeKFtG8_yji4HS352LGlSQ/edit?pli=1#gid=0"",""1_ACUM!A4:S""),17,FALSE))"),"")</f>
        <v/>
      </c>
      <c r="BE306" s="44" t="str">
        <f ca="1">IFERROR(__xludf.DUMMYFUNCTION("IFERROR(VLOOKUP(E572&amp;F572,IMPORTRANGE(""https://docs.google.com/spreadsheets/d/1Uw7-A9f9R21vMXxHZFNpYNeKFtG8_yji4HS352LGlSQ/edit?pli=1#gid=0"",""1_ACUM!A4:S""),18,FALSE))"),"")</f>
        <v/>
      </c>
      <c r="BF306" s="44" t="str">
        <f ca="1">IFERROR(__xludf.DUMMYFUNCTION("IFERROR(VLOOKUP(E572&amp;F572,IMPORTRANGE(""https://docs.google.com/spreadsheets/d/1Uw7-A9f9R21vMXxHZFNpYNeKFtG8_yji4HS352LGlSQ/edit?pli=1#gid=0"",""1_ACUM!A4:S""),19,FALSE))"),"")</f>
        <v/>
      </c>
      <c r="BG306" s="98" t="str">
        <f ca="1">IFERROR(__xludf.DUMMYFUNCTION("IFERROR(VLOOKUP(F572,IMPORTRANGE(""https://docs.google.com/spreadsheets/d/1Kvs4KS76FHFqLFIZfrDMff4kP08nblUkihrxltoGBjg/edit#gid=934712705"",""ESENCIAL!A6:BG""),5,FALSE))"),"")</f>
        <v/>
      </c>
      <c r="BH306" s="98" t="str">
        <f t="shared" si="21"/>
        <v/>
      </c>
      <c r="BI306" s="99" t="str">
        <f t="shared" si="22"/>
        <v/>
      </c>
      <c r="BJ306" s="100" t="str">
        <f ca="1">IFERROR(__xludf.DUMMYFUNCTION("IFERROR(VLOOKUP(F572,IMPORTRANGE(""https://docs.google.com/spreadsheets/d/1Kvs4KS76FHFqLFIZfrDMff4kP08nblUkihrxltoGBjg/edit#gid=934712705"",""ESENCIAL!A6:BG""),2,FALSE))"),"")</f>
        <v/>
      </c>
      <c r="BK306" s="19" t="str">
        <f t="shared" si="23"/>
        <v/>
      </c>
      <c r="BL306" s="100"/>
      <c r="BM306" s="100"/>
    </row>
    <row r="307" spans="2:65" ht="15">
      <c r="B307" s="39"/>
      <c r="C307" s="5"/>
      <c r="D307" s="123"/>
      <c r="E307" s="39"/>
      <c r="F307" s="39"/>
      <c r="G307" s="39"/>
      <c r="H307" s="5" t="str">
        <f ca="1">IFERROR(__xludf.DUMMYFUNCTION("IFERROR(VLOOKUP(F573,IMPORTRANGE(""https://docs.google.com/spreadsheets/d/1Kvs4KS76FHFqLFIZfrDMff4kP08nblUkihrxltoGBjg/edit#gid=934712705"",""ESENCIAL!A6:BG""),3,FALSE))"),"")</f>
        <v/>
      </c>
      <c r="I307" s="5" t="str">
        <f ca="1">IFERROR(__xludf.DUMMYFUNCTION("IFERROR(VLOOKUP(F573,IMPORTRANGE(""https://docs.google.com/spreadsheets/d/1Kvs4KS76FHFqLFIZfrDMff4kP08nblUkihrxltoGBjg/edit#gid=934712705"",""ESENCIAL!A6:BG""),8,FALSE))"),"")</f>
        <v/>
      </c>
      <c r="J307" s="39"/>
      <c r="M307" s="287"/>
      <c r="AV307" s="41" t="str">
        <f t="shared" si="20"/>
        <v/>
      </c>
      <c r="AW307" s="5" t="str">
        <f ca="1">IFERROR(__xludf.DUMMYFUNCTION("IFERROR(VLOOKUP(E573&amp;F573,IMPORTRANGE(""https://docs.google.com/spreadsheets/d/1Uw7-A9f9R21vMXxHZFNpYNeKFtG8_yji4HS352LGlSQ/edit?pli=1#gid=0"",""1_ACUM!A4:S""),11,FALSE))"),"")</f>
        <v/>
      </c>
      <c r="AX307" s="42" t="str">
        <f ca="1">IFERROR(__xludf.DUMMYFUNCTION("IFERROR(VLOOKUP(F573,IMPORTRANGE(""https://docs.google.com/spreadsheets/d/1Kvs4KS76FHFqLFIZfrDMff4kP08nblUkihrxltoGBjg/edit#gid=934712705"",""ESENCIAL!A6:BG""),15,FALSE))"),"")</f>
        <v/>
      </c>
      <c r="AY307" s="110" t="str">
        <f ca="1">IFERROR(__xludf.DUMMYFUNCTION("IFERROR(VLOOKUP(E573&amp;F573,IMPORTRANGE(""https://docs.google.com/spreadsheets/d/1Uw7-A9f9R21vMXxHZFNpYNeKFtG8_yji4HS352LGlSQ/edit?pli=1#gid=0"",""1_ACUM!A4:S""),13,FALSE))"),"")</f>
        <v/>
      </c>
      <c r="AZ307" s="43" t="str">
        <f ca="1">IFERROR(__xludf.DUMMYFUNCTION("IFERROR(VLOOKUP(E573&amp;F573,IMPORTRANGE(""https://docs.google.com/spreadsheets/d/1Uw7-A9f9R21vMXxHZFNpYNeKFtG8_yji4HS352LGlSQ/edit?pli=1#gid=0"",""1_ACUM!A4:S""),13,FALSE))"),"")</f>
        <v/>
      </c>
      <c r="BA307" s="43" t="str">
        <f ca="1">IFERROR(__xludf.DUMMYFUNCTION("IFERROR(VLOOKUP(E573&amp;F573,IMPORTRANGE(""https://docs.google.com/spreadsheets/d/1Uw7-A9f9R21vMXxHZFNpYNeKFtG8_yji4HS352LGlSQ/edit?pli=1#gid=0"",""1_ACUM!A4:S""),14,FALSE))"),"")</f>
        <v/>
      </c>
      <c r="BB307" s="43" t="str">
        <f ca="1">IFERROR(__xludf.DUMMYFUNCTION("IFERROR(VLOOKUP(E573&amp;F573,IMPORTRANGE(""https://docs.google.com/spreadsheets/d/1Uw7-A9f9R21vMXxHZFNpYNeKFtG8_yji4HS352LGlSQ/edit?pli=1#gid=0"",""1_ACUM!A4:S""),15,FALSE))"),"")</f>
        <v/>
      </c>
      <c r="BC307" s="43" t="str">
        <f ca="1">IFERROR(__xludf.DUMMYFUNCTION("IFERROR(VLOOKUP(E573&amp;F573,IMPORTRANGE(""https://docs.google.com/spreadsheets/d/1Uw7-A9f9R21vMXxHZFNpYNeKFtG8_yji4HS352LGlSQ/edit?pli=1#gid=0"",""1_ACUM!A4:S""),16,FALSE))"),"")</f>
        <v/>
      </c>
      <c r="BD307" s="43" t="str">
        <f ca="1">IFERROR(__xludf.DUMMYFUNCTION("IFERROR(VLOOKUP(E573&amp;F573,IMPORTRANGE(""https://docs.google.com/spreadsheets/d/1Uw7-A9f9R21vMXxHZFNpYNeKFtG8_yji4HS352LGlSQ/edit?pli=1#gid=0"",""1_ACUM!A4:S""),17,FALSE))"),"")</f>
        <v/>
      </c>
      <c r="BE307" s="44" t="str">
        <f ca="1">IFERROR(__xludf.DUMMYFUNCTION("IFERROR(VLOOKUP(E573&amp;F573,IMPORTRANGE(""https://docs.google.com/spreadsheets/d/1Uw7-A9f9R21vMXxHZFNpYNeKFtG8_yji4HS352LGlSQ/edit?pli=1#gid=0"",""1_ACUM!A4:S""),18,FALSE))"),"")</f>
        <v/>
      </c>
      <c r="BF307" s="44" t="str">
        <f ca="1">IFERROR(__xludf.DUMMYFUNCTION("IFERROR(VLOOKUP(E573&amp;F573,IMPORTRANGE(""https://docs.google.com/spreadsheets/d/1Uw7-A9f9R21vMXxHZFNpYNeKFtG8_yji4HS352LGlSQ/edit?pli=1#gid=0"",""1_ACUM!A4:S""),19,FALSE))"),"")</f>
        <v/>
      </c>
      <c r="BG307" s="98" t="str">
        <f ca="1">IFERROR(__xludf.DUMMYFUNCTION("IFERROR(VLOOKUP(F573,IMPORTRANGE(""https://docs.google.com/spreadsheets/d/1Kvs4KS76FHFqLFIZfrDMff4kP08nblUkihrxltoGBjg/edit#gid=934712705"",""ESENCIAL!A6:BG""),5,FALSE))"),"")</f>
        <v/>
      </c>
      <c r="BH307" s="98" t="str">
        <f t="shared" si="21"/>
        <v/>
      </c>
      <c r="BI307" s="99" t="str">
        <f t="shared" si="22"/>
        <v/>
      </c>
      <c r="BJ307" s="100" t="str">
        <f ca="1">IFERROR(__xludf.DUMMYFUNCTION("IFERROR(VLOOKUP(F573,IMPORTRANGE(""https://docs.google.com/spreadsheets/d/1Kvs4KS76FHFqLFIZfrDMff4kP08nblUkihrxltoGBjg/edit#gid=934712705"",""ESENCIAL!A6:BG""),2,FALSE))"),"")</f>
        <v/>
      </c>
      <c r="BK307" s="19" t="str">
        <f t="shared" si="23"/>
        <v/>
      </c>
      <c r="BL307" s="100"/>
      <c r="BM307" s="100"/>
    </row>
    <row r="308" spans="2:65" ht="15">
      <c r="B308" s="39"/>
      <c r="C308" s="5"/>
      <c r="D308" s="123"/>
      <c r="E308" s="39"/>
      <c r="F308" s="39"/>
      <c r="G308" s="39"/>
      <c r="H308" s="5" t="str">
        <f ca="1">IFERROR(__xludf.DUMMYFUNCTION("IFERROR(VLOOKUP(F574,IMPORTRANGE(""https://docs.google.com/spreadsheets/d/1Kvs4KS76FHFqLFIZfrDMff4kP08nblUkihrxltoGBjg/edit#gid=934712705"",""ESENCIAL!A6:BG""),3,FALSE))"),"")</f>
        <v/>
      </c>
      <c r="I308" s="5" t="str">
        <f ca="1">IFERROR(__xludf.DUMMYFUNCTION("IFERROR(VLOOKUP(F574,IMPORTRANGE(""https://docs.google.com/spreadsheets/d/1Kvs4KS76FHFqLFIZfrDMff4kP08nblUkihrxltoGBjg/edit#gid=934712705"",""ESENCIAL!A6:BG""),8,FALSE))"),"")</f>
        <v/>
      </c>
      <c r="J308" s="39"/>
      <c r="M308" s="287"/>
      <c r="AV308" s="41" t="str">
        <f t="shared" si="20"/>
        <v/>
      </c>
      <c r="AW308" s="5" t="str">
        <f ca="1">IFERROR(__xludf.DUMMYFUNCTION("IFERROR(VLOOKUP(E574&amp;F574,IMPORTRANGE(""https://docs.google.com/spreadsheets/d/1Uw7-A9f9R21vMXxHZFNpYNeKFtG8_yji4HS352LGlSQ/edit?pli=1#gid=0"",""1_ACUM!A4:S""),11,FALSE))"),"")</f>
        <v/>
      </c>
      <c r="AX308" s="42" t="str">
        <f ca="1">IFERROR(__xludf.DUMMYFUNCTION("IFERROR(VLOOKUP(F574,IMPORTRANGE(""https://docs.google.com/spreadsheets/d/1Kvs4KS76FHFqLFIZfrDMff4kP08nblUkihrxltoGBjg/edit#gid=934712705"",""ESENCIAL!A6:BG""),15,FALSE))"),"")</f>
        <v/>
      </c>
      <c r="AY308" s="110" t="str">
        <f ca="1">IFERROR(__xludf.DUMMYFUNCTION("IFERROR(VLOOKUP(E574&amp;F574,IMPORTRANGE(""https://docs.google.com/spreadsheets/d/1Uw7-A9f9R21vMXxHZFNpYNeKFtG8_yji4HS352LGlSQ/edit?pli=1#gid=0"",""1_ACUM!A4:S""),13,FALSE))"),"")</f>
        <v/>
      </c>
      <c r="AZ308" s="43" t="str">
        <f ca="1">IFERROR(__xludf.DUMMYFUNCTION("IFERROR(VLOOKUP(E574&amp;F574,IMPORTRANGE(""https://docs.google.com/spreadsheets/d/1Uw7-A9f9R21vMXxHZFNpYNeKFtG8_yji4HS352LGlSQ/edit?pli=1#gid=0"",""1_ACUM!A4:S""),13,FALSE))"),"")</f>
        <v/>
      </c>
      <c r="BA308" s="43" t="str">
        <f ca="1">IFERROR(__xludf.DUMMYFUNCTION("IFERROR(VLOOKUP(E574&amp;F574,IMPORTRANGE(""https://docs.google.com/spreadsheets/d/1Uw7-A9f9R21vMXxHZFNpYNeKFtG8_yji4HS352LGlSQ/edit?pli=1#gid=0"",""1_ACUM!A4:S""),14,FALSE))"),"")</f>
        <v/>
      </c>
      <c r="BB308" s="43" t="str">
        <f ca="1">IFERROR(__xludf.DUMMYFUNCTION("IFERROR(VLOOKUP(E574&amp;F574,IMPORTRANGE(""https://docs.google.com/spreadsheets/d/1Uw7-A9f9R21vMXxHZFNpYNeKFtG8_yji4HS352LGlSQ/edit?pli=1#gid=0"",""1_ACUM!A4:S""),15,FALSE))"),"")</f>
        <v/>
      </c>
      <c r="BC308" s="43" t="str">
        <f ca="1">IFERROR(__xludf.DUMMYFUNCTION("IFERROR(VLOOKUP(E574&amp;F574,IMPORTRANGE(""https://docs.google.com/spreadsheets/d/1Uw7-A9f9R21vMXxHZFNpYNeKFtG8_yji4HS352LGlSQ/edit?pli=1#gid=0"",""1_ACUM!A4:S""),16,FALSE))"),"")</f>
        <v/>
      </c>
      <c r="BD308" s="43" t="str">
        <f ca="1">IFERROR(__xludf.DUMMYFUNCTION("IFERROR(VLOOKUP(E574&amp;F574,IMPORTRANGE(""https://docs.google.com/spreadsheets/d/1Uw7-A9f9R21vMXxHZFNpYNeKFtG8_yji4HS352LGlSQ/edit?pli=1#gid=0"",""1_ACUM!A4:S""),17,FALSE))"),"")</f>
        <v/>
      </c>
      <c r="BE308" s="44" t="str">
        <f ca="1">IFERROR(__xludf.DUMMYFUNCTION("IFERROR(VLOOKUP(E574&amp;F574,IMPORTRANGE(""https://docs.google.com/spreadsheets/d/1Uw7-A9f9R21vMXxHZFNpYNeKFtG8_yji4HS352LGlSQ/edit?pli=1#gid=0"",""1_ACUM!A4:S""),18,FALSE))"),"")</f>
        <v/>
      </c>
      <c r="BF308" s="44" t="str">
        <f ca="1">IFERROR(__xludf.DUMMYFUNCTION("IFERROR(VLOOKUP(E574&amp;F574,IMPORTRANGE(""https://docs.google.com/spreadsheets/d/1Uw7-A9f9R21vMXxHZFNpYNeKFtG8_yji4HS352LGlSQ/edit?pli=1#gid=0"",""1_ACUM!A4:S""),19,FALSE))"),"")</f>
        <v/>
      </c>
      <c r="BG308" s="98" t="str">
        <f ca="1">IFERROR(__xludf.DUMMYFUNCTION("IFERROR(VLOOKUP(F574,IMPORTRANGE(""https://docs.google.com/spreadsheets/d/1Kvs4KS76FHFqLFIZfrDMff4kP08nblUkihrxltoGBjg/edit#gid=934712705"",""ESENCIAL!A6:BG""),5,FALSE))"),"")</f>
        <v/>
      </c>
      <c r="BH308" s="98" t="str">
        <f t="shared" si="21"/>
        <v/>
      </c>
      <c r="BI308" s="99" t="str">
        <f t="shared" si="22"/>
        <v/>
      </c>
      <c r="BJ308" s="100" t="str">
        <f ca="1">IFERROR(__xludf.DUMMYFUNCTION("IFERROR(VLOOKUP(F574,IMPORTRANGE(""https://docs.google.com/spreadsheets/d/1Kvs4KS76FHFqLFIZfrDMff4kP08nblUkihrxltoGBjg/edit#gid=934712705"",""ESENCIAL!A6:BG""),2,FALSE))"),"")</f>
        <v/>
      </c>
      <c r="BK308" s="19" t="str">
        <f t="shared" si="23"/>
        <v/>
      </c>
      <c r="BL308" s="100"/>
      <c r="BM308" s="100"/>
    </row>
    <row r="309" spans="2:65" ht="15">
      <c r="B309" s="39"/>
      <c r="C309" s="5"/>
      <c r="D309" s="123"/>
      <c r="E309" s="39"/>
      <c r="F309" s="39"/>
      <c r="G309" s="39"/>
      <c r="H309" s="5" t="str">
        <f ca="1">IFERROR(__xludf.DUMMYFUNCTION("IFERROR(VLOOKUP(F575,IMPORTRANGE(""https://docs.google.com/spreadsheets/d/1Kvs4KS76FHFqLFIZfrDMff4kP08nblUkihrxltoGBjg/edit#gid=934712705"",""ESENCIAL!A6:BG""),3,FALSE))"),"")</f>
        <v/>
      </c>
      <c r="I309" s="5" t="str">
        <f ca="1">IFERROR(__xludf.DUMMYFUNCTION("IFERROR(VLOOKUP(F575,IMPORTRANGE(""https://docs.google.com/spreadsheets/d/1Kvs4KS76FHFqLFIZfrDMff4kP08nblUkihrxltoGBjg/edit#gid=934712705"",""ESENCIAL!A6:BG""),8,FALSE))"),"")</f>
        <v/>
      </c>
      <c r="J309" s="39"/>
      <c r="M309" s="287"/>
      <c r="AV309" s="41" t="str">
        <f t="shared" si="20"/>
        <v/>
      </c>
      <c r="AW309" s="5" t="str">
        <f ca="1">IFERROR(__xludf.DUMMYFUNCTION("IFERROR(VLOOKUP(E575&amp;F575,IMPORTRANGE(""https://docs.google.com/spreadsheets/d/1Uw7-A9f9R21vMXxHZFNpYNeKFtG8_yji4HS352LGlSQ/edit?pli=1#gid=0"",""1_ACUM!A4:S""),11,FALSE))"),"")</f>
        <v/>
      </c>
      <c r="AX309" s="42" t="str">
        <f ca="1">IFERROR(__xludf.DUMMYFUNCTION("IFERROR(VLOOKUP(F575,IMPORTRANGE(""https://docs.google.com/spreadsheets/d/1Kvs4KS76FHFqLFIZfrDMff4kP08nblUkihrxltoGBjg/edit#gid=934712705"",""ESENCIAL!A6:BG""),15,FALSE))"),"")</f>
        <v/>
      </c>
      <c r="AY309" s="110" t="str">
        <f ca="1">IFERROR(__xludf.DUMMYFUNCTION("IFERROR(VLOOKUP(E575&amp;F575,IMPORTRANGE(""https://docs.google.com/spreadsheets/d/1Uw7-A9f9R21vMXxHZFNpYNeKFtG8_yji4HS352LGlSQ/edit?pli=1#gid=0"",""1_ACUM!A4:S""),13,FALSE))"),"")</f>
        <v/>
      </c>
      <c r="AZ309" s="43" t="str">
        <f ca="1">IFERROR(__xludf.DUMMYFUNCTION("IFERROR(VLOOKUP(E575&amp;F575,IMPORTRANGE(""https://docs.google.com/spreadsheets/d/1Uw7-A9f9R21vMXxHZFNpYNeKFtG8_yji4HS352LGlSQ/edit?pli=1#gid=0"",""1_ACUM!A4:S""),13,FALSE))"),"")</f>
        <v/>
      </c>
      <c r="BA309" s="43" t="str">
        <f ca="1">IFERROR(__xludf.DUMMYFUNCTION("IFERROR(VLOOKUP(E575&amp;F575,IMPORTRANGE(""https://docs.google.com/spreadsheets/d/1Uw7-A9f9R21vMXxHZFNpYNeKFtG8_yji4HS352LGlSQ/edit?pli=1#gid=0"",""1_ACUM!A4:S""),14,FALSE))"),"")</f>
        <v/>
      </c>
      <c r="BB309" s="43" t="str">
        <f ca="1">IFERROR(__xludf.DUMMYFUNCTION("IFERROR(VLOOKUP(E575&amp;F575,IMPORTRANGE(""https://docs.google.com/spreadsheets/d/1Uw7-A9f9R21vMXxHZFNpYNeKFtG8_yji4HS352LGlSQ/edit?pli=1#gid=0"",""1_ACUM!A4:S""),15,FALSE))"),"")</f>
        <v/>
      </c>
      <c r="BC309" s="43" t="str">
        <f ca="1">IFERROR(__xludf.DUMMYFUNCTION("IFERROR(VLOOKUP(E575&amp;F575,IMPORTRANGE(""https://docs.google.com/spreadsheets/d/1Uw7-A9f9R21vMXxHZFNpYNeKFtG8_yji4HS352LGlSQ/edit?pli=1#gid=0"",""1_ACUM!A4:S""),16,FALSE))"),"")</f>
        <v/>
      </c>
      <c r="BD309" s="43" t="str">
        <f ca="1">IFERROR(__xludf.DUMMYFUNCTION("IFERROR(VLOOKUP(E575&amp;F575,IMPORTRANGE(""https://docs.google.com/spreadsheets/d/1Uw7-A9f9R21vMXxHZFNpYNeKFtG8_yji4HS352LGlSQ/edit?pli=1#gid=0"",""1_ACUM!A4:S""),17,FALSE))"),"")</f>
        <v/>
      </c>
      <c r="BE309" s="44" t="str">
        <f ca="1">IFERROR(__xludf.DUMMYFUNCTION("IFERROR(VLOOKUP(E575&amp;F575,IMPORTRANGE(""https://docs.google.com/spreadsheets/d/1Uw7-A9f9R21vMXxHZFNpYNeKFtG8_yji4HS352LGlSQ/edit?pli=1#gid=0"",""1_ACUM!A4:S""),18,FALSE))"),"")</f>
        <v/>
      </c>
      <c r="BF309" s="44" t="str">
        <f ca="1">IFERROR(__xludf.DUMMYFUNCTION("IFERROR(VLOOKUP(E575&amp;F575,IMPORTRANGE(""https://docs.google.com/spreadsheets/d/1Uw7-A9f9R21vMXxHZFNpYNeKFtG8_yji4HS352LGlSQ/edit?pli=1#gid=0"",""1_ACUM!A4:S""),19,FALSE))"),"")</f>
        <v/>
      </c>
      <c r="BG309" s="98" t="str">
        <f ca="1">IFERROR(__xludf.DUMMYFUNCTION("IFERROR(VLOOKUP(F575,IMPORTRANGE(""https://docs.google.com/spreadsheets/d/1Kvs4KS76FHFqLFIZfrDMff4kP08nblUkihrxltoGBjg/edit#gid=934712705"",""ESENCIAL!A6:BG""),5,FALSE))"),"")</f>
        <v/>
      </c>
      <c r="BH309" s="98" t="str">
        <f t="shared" si="21"/>
        <v/>
      </c>
      <c r="BI309" s="99" t="str">
        <f t="shared" si="22"/>
        <v/>
      </c>
      <c r="BJ309" s="100" t="str">
        <f ca="1">IFERROR(__xludf.DUMMYFUNCTION("IFERROR(VLOOKUP(F575,IMPORTRANGE(""https://docs.google.com/spreadsheets/d/1Kvs4KS76FHFqLFIZfrDMff4kP08nblUkihrxltoGBjg/edit#gid=934712705"",""ESENCIAL!A6:BG""),2,FALSE))"),"")</f>
        <v/>
      </c>
      <c r="BK309" s="19" t="str">
        <f t="shared" si="23"/>
        <v/>
      </c>
      <c r="BL309" s="100"/>
      <c r="BM309" s="100"/>
    </row>
    <row r="310" spans="2:65" ht="15">
      <c r="B310" s="39"/>
      <c r="C310" s="5"/>
      <c r="D310" s="123"/>
      <c r="E310" s="39"/>
      <c r="F310" s="39"/>
      <c r="G310" s="39"/>
      <c r="H310" s="5" t="str">
        <f ca="1">IFERROR(__xludf.DUMMYFUNCTION("IFERROR(VLOOKUP(F576,IMPORTRANGE(""https://docs.google.com/spreadsheets/d/1Kvs4KS76FHFqLFIZfrDMff4kP08nblUkihrxltoGBjg/edit#gid=934712705"",""ESENCIAL!A6:BG""),3,FALSE))"),"")</f>
        <v/>
      </c>
      <c r="I310" s="5" t="str">
        <f ca="1">IFERROR(__xludf.DUMMYFUNCTION("IFERROR(VLOOKUP(F576,IMPORTRANGE(""https://docs.google.com/spreadsheets/d/1Kvs4KS76FHFqLFIZfrDMff4kP08nblUkihrxltoGBjg/edit#gid=934712705"",""ESENCIAL!A6:BG""),8,FALSE))"),"")</f>
        <v/>
      </c>
      <c r="J310" s="39"/>
      <c r="M310" s="287"/>
      <c r="AV310" s="41" t="str">
        <f t="shared" si="20"/>
        <v/>
      </c>
      <c r="AW310" s="5" t="str">
        <f ca="1">IFERROR(__xludf.DUMMYFUNCTION("IFERROR(VLOOKUP(E576&amp;F576,IMPORTRANGE(""https://docs.google.com/spreadsheets/d/1Uw7-A9f9R21vMXxHZFNpYNeKFtG8_yji4HS352LGlSQ/edit?pli=1#gid=0"",""1_ACUM!A4:S""),11,FALSE))"),"")</f>
        <v/>
      </c>
      <c r="AX310" s="42" t="str">
        <f ca="1">IFERROR(__xludf.DUMMYFUNCTION("IFERROR(VLOOKUP(F576,IMPORTRANGE(""https://docs.google.com/spreadsheets/d/1Kvs4KS76FHFqLFIZfrDMff4kP08nblUkihrxltoGBjg/edit#gid=934712705"",""ESENCIAL!A6:BG""),15,FALSE))"),"")</f>
        <v/>
      </c>
      <c r="AY310" s="110" t="str">
        <f ca="1">IFERROR(__xludf.DUMMYFUNCTION("IFERROR(VLOOKUP(E576&amp;F576,IMPORTRANGE(""https://docs.google.com/spreadsheets/d/1Uw7-A9f9R21vMXxHZFNpYNeKFtG8_yji4HS352LGlSQ/edit?pli=1#gid=0"",""1_ACUM!A4:S""),13,FALSE))"),"")</f>
        <v/>
      </c>
      <c r="AZ310" s="43" t="str">
        <f ca="1">IFERROR(__xludf.DUMMYFUNCTION("IFERROR(VLOOKUP(E576&amp;F576,IMPORTRANGE(""https://docs.google.com/spreadsheets/d/1Uw7-A9f9R21vMXxHZFNpYNeKFtG8_yji4HS352LGlSQ/edit?pli=1#gid=0"",""1_ACUM!A4:S""),13,FALSE))"),"")</f>
        <v/>
      </c>
      <c r="BA310" s="43" t="str">
        <f ca="1">IFERROR(__xludf.DUMMYFUNCTION("IFERROR(VLOOKUP(E576&amp;F576,IMPORTRANGE(""https://docs.google.com/spreadsheets/d/1Uw7-A9f9R21vMXxHZFNpYNeKFtG8_yji4HS352LGlSQ/edit?pli=1#gid=0"",""1_ACUM!A4:S""),14,FALSE))"),"")</f>
        <v/>
      </c>
      <c r="BB310" s="43" t="str">
        <f ca="1">IFERROR(__xludf.DUMMYFUNCTION("IFERROR(VLOOKUP(E576&amp;F576,IMPORTRANGE(""https://docs.google.com/spreadsheets/d/1Uw7-A9f9R21vMXxHZFNpYNeKFtG8_yji4HS352LGlSQ/edit?pli=1#gid=0"",""1_ACUM!A4:S""),15,FALSE))"),"")</f>
        <v/>
      </c>
      <c r="BC310" s="43" t="str">
        <f ca="1">IFERROR(__xludf.DUMMYFUNCTION("IFERROR(VLOOKUP(E576&amp;F576,IMPORTRANGE(""https://docs.google.com/spreadsheets/d/1Uw7-A9f9R21vMXxHZFNpYNeKFtG8_yji4HS352LGlSQ/edit?pli=1#gid=0"",""1_ACUM!A4:S""),16,FALSE))"),"")</f>
        <v/>
      </c>
      <c r="BD310" s="43" t="str">
        <f ca="1">IFERROR(__xludf.DUMMYFUNCTION("IFERROR(VLOOKUP(E576&amp;F576,IMPORTRANGE(""https://docs.google.com/spreadsheets/d/1Uw7-A9f9R21vMXxHZFNpYNeKFtG8_yji4HS352LGlSQ/edit?pli=1#gid=0"",""1_ACUM!A4:S""),17,FALSE))"),"")</f>
        <v/>
      </c>
      <c r="BE310" s="44" t="str">
        <f ca="1">IFERROR(__xludf.DUMMYFUNCTION("IFERROR(VLOOKUP(E576&amp;F576,IMPORTRANGE(""https://docs.google.com/spreadsheets/d/1Uw7-A9f9R21vMXxHZFNpYNeKFtG8_yji4HS352LGlSQ/edit?pli=1#gid=0"",""1_ACUM!A4:S""),18,FALSE))"),"")</f>
        <v/>
      </c>
      <c r="BF310" s="44" t="str">
        <f ca="1">IFERROR(__xludf.DUMMYFUNCTION("IFERROR(VLOOKUP(E576&amp;F576,IMPORTRANGE(""https://docs.google.com/spreadsheets/d/1Uw7-A9f9R21vMXxHZFNpYNeKFtG8_yji4HS352LGlSQ/edit?pli=1#gid=0"",""1_ACUM!A4:S""),19,FALSE))"),"")</f>
        <v/>
      </c>
      <c r="BG310" s="98" t="str">
        <f ca="1">IFERROR(__xludf.DUMMYFUNCTION("IFERROR(VLOOKUP(F576,IMPORTRANGE(""https://docs.google.com/spreadsheets/d/1Kvs4KS76FHFqLFIZfrDMff4kP08nblUkihrxltoGBjg/edit#gid=934712705"",""ESENCIAL!A6:BG""),5,FALSE))"),"")</f>
        <v/>
      </c>
      <c r="BH310" s="98" t="str">
        <f t="shared" si="21"/>
        <v/>
      </c>
      <c r="BI310" s="99" t="str">
        <f t="shared" si="22"/>
        <v/>
      </c>
      <c r="BJ310" s="100" t="str">
        <f ca="1">IFERROR(__xludf.DUMMYFUNCTION("IFERROR(VLOOKUP(F576,IMPORTRANGE(""https://docs.google.com/spreadsheets/d/1Kvs4KS76FHFqLFIZfrDMff4kP08nblUkihrxltoGBjg/edit#gid=934712705"",""ESENCIAL!A6:BG""),2,FALSE))"),"")</f>
        <v/>
      </c>
      <c r="BK310" s="19" t="str">
        <f t="shared" si="23"/>
        <v/>
      </c>
      <c r="BL310" s="100"/>
      <c r="BM310" s="100"/>
    </row>
    <row r="311" spans="2:65" ht="15">
      <c r="B311" s="39"/>
      <c r="C311" s="5"/>
      <c r="D311" s="123"/>
      <c r="E311" s="39"/>
      <c r="F311" s="39"/>
      <c r="G311" s="39"/>
      <c r="H311" s="5" t="str">
        <f ca="1">IFERROR(__xludf.DUMMYFUNCTION("IFERROR(VLOOKUP(F577,IMPORTRANGE(""https://docs.google.com/spreadsheets/d/1Kvs4KS76FHFqLFIZfrDMff4kP08nblUkihrxltoGBjg/edit#gid=934712705"",""ESENCIAL!A6:BG""),3,FALSE))"),"")</f>
        <v/>
      </c>
      <c r="I311" s="5" t="str">
        <f ca="1">IFERROR(__xludf.DUMMYFUNCTION("IFERROR(VLOOKUP(F577,IMPORTRANGE(""https://docs.google.com/spreadsheets/d/1Kvs4KS76FHFqLFIZfrDMff4kP08nblUkihrxltoGBjg/edit#gid=934712705"",""ESENCIAL!A6:BG""),8,FALSE))"),"")</f>
        <v/>
      </c>
      <c r="J311" s="39"/>
      <c r="M311" s="287"/>
      <c r="AV311" s="41" t="str">
        <f t="shared" si="20"/>
        <v/>
      </c>
      <c r="AW311" s="5" t="str">
        <f ca="1">IFERROR(__xludf.DUMMYFUNCTION("IFERROR(VLOOKUP(E577&amp;F577,IMPORTRANGE(""https://docs.google.com/spreadsheets/d/1Uw7-A9f9R21vMXxHZFNpYNeKFtG8_yji4HS352LGlSQ/edit?pli=1#gid=0"",""1_ACUM!A4:S""),11,FALSE))"),"")</f>
        <v/>
      </c>
      <c r="AX311" s="42" t="str">
        <f ca="1">IFERROR(__xludf.DUMMYFUNCTION("IFERROR(VLOOKUP(F577,IMPORTRANGE(""https://docs.google.com/spreadsheets/d/1Kvs4KS76FHFqLFIZfrDMff4kP08nblUkihrxltoGBjg/edit#gid=934712705"",""ESENCIAL!A6:BG""),15,FALSE))"),"")</f>
        <v/>
      </c>
      <c r="AY311" s="110" t="str">
        <f ca="1">IFERROR(__xludf.DUMMYFUNCTION("IFERROR(VLOOKUP(E577&amp;F577,IMPORTRANGE(""https://docs.google.com/spreadsheets/d/1Uw7-A9f9R21vMXxHZFNpYNeKFtG8_yji4HS352LGlSQ/edit?pli=1#gid=0"",""1_ACUM!A4:S""),13,FALSE))"),"")</f>
        <v/>
      </c>
      <c r="AZ311" s="43" t="str">
        <f ca="1">IFERROR(__xludf.DUMMYFUNCTION("IFERROR(VLOOKUP(E577&amp;F577,IMPORTRANGE(""https://docs.google.com/spreadsheets/d/1Uw7-A9f9R21vMXxHZFNpYNeKFtG8_yji4HS352LGlSQ/edit?pli=1#gid=0"",""1_ACUM!A4:S""),13,FALSE))"),"")</f>
        <v/>
      </c>
      <c r="BA311" s="43" t="str">
        <f ca="1">IFERROR(__xludf.DUMMYFUNCTION("IFERROR(VLOOKUP(E577&amp;F577,IMPORTRANGE(""https://docs.google.com/spreadsheets/d/1Uw7-A9f9R21vMXxHZFNpYNeKFtG8_yji4HS352LGlSQ/edit?pli=1#gid=0"",""1_ACUM!A4:S""),14,FALSE))"),"")</f>
        <v/>
      </c>
      <c r="BB311" s="43" t="str">
        <f ca="1">IFERROR(__xludf.DUMMYFUNCTION("IFERROR(VLOOKUP(E577&amp;F577,IMPORTRANGE(""https://docs.google.com/spreadsheets/d/1Uw7-A9f9R21vMXxHZFNpYNeKFtG8_yji4HS352LGlSQ/edit?pli=1#gid=0"",""1_ACUM!A4:S""),15,FALSE))"),"")</f>
        <v/>
      </c>
      <c r="BC311" s="43" t="str">
        <f ca="1">IFERROR(__xludf.DUMMYFUNCTION("IFERROR(VLOOKUP(E577&amp;F577,IMPORTRANGE(""https://docs.google.com/spreadsheets/d/1Uw7-A9f9R21vMXxHZFNpYNeKFtG8_yji4HS352LGlSQ/edit?pli=1#gid=0"",""1_ACUM!A4:S""),16,FALSE))"),"")</f>
        <v/>
      </c>
      <c r="BD311" s="43" t="str">
        <f ca="1">IFERROR(__xludf.DUMMYFUNCTION("IFERROR(VLOOKUP(E577&amp;F577,IMPORTRANGE(""https://docs.google.com/spreadsheets/d/1Uw7-A9f9R21vMXxHZFNpYNeKFtG8_yji4HS352LGlSQ/edit?pli=1#gid=0"",""1_ACUM!A4:S""),17,FALSE))"),"")</f>
        <v/>
      </c>
      <c r="BE311" s="44" t="str">
        <f ca="1">IFERROR(__xludf.DUMMYFUNCTION("IFERROR(VLOOKUP(E577&amp;F577,IMPORTRANGE(""https://docs.google.com/spreadsheets/d/1Uw7-A9f9R21vMXxHZFNpYNeKFtG8_yji4HS352LGlSQ/edit?pli=1#gid=0"",""1_ACUM!A4:S""),18,FALSE))"),"")</f>
        <v/>
      </c>
      <c r="BF311" s="44" t="str">
        <f ca="1">IFERROR(__xludf.DUMMYFUNCTION("IFERROR(VLOOKUP(E577&amp;F577,IMPORTRANGE(""https://docs.google.com/spreadsheets/d/1Uw7-A9f9R21vMXxHZFNpYNeKFtG8_yji4HS352LGlSQ/edit?pli=1#gid=0"",""1_ACUM!A4:S""),19,FALSE))"),"")</f>
        <v/>
      </c>
      <c r="BG311" s="98" t="str">
        <f ca="1">IFERROR(__xludf.DUMMYFUNCTION("IFERROR(VLOOKUP(F577,IMPORTRANGE(""https://docs.google.com/spreadsheets/d/1Kvs4KS76FHFqLFIZfrDMff4kP08nblUkihrxltoGBjg/edit#gid=934712705"",""ESENCIAL!A6:BG""),5,FALSE))"),"")</f>
        <v/>
      </c>
      <c r="BH311" s="98" t="str">
        <f t="shared" si="21"/>
        <v/>
      </c>
      <c r="BI311" s="99" t="str">
        <f t="shared" si="22"/>
        <v/>
      </c>
      <c r="BJ311" s="100" t="str">
        <f ca="1">IFERROR(__xludf.DUMMYFUNCTION("IFERROR(VLOOKUP(F577,IMPORTRANGE(""https://docs.google.com/spreadsheets/d/1Kvs4KS76FHFqLFIZfrDMff4kP08nblUkihrxltoGBjg/edit#gid=934712705"",""ESENCIAL!A6:BG""),2,FALSE))"),"")</f>
        <v/>
      </c>
      <c r="BK311" s="19" t="str">
        <f t="shared" si="23"/>
        <v/>
      </c>
      <c r="BL311" s="100"/>
      <c r="BM311" s="100"/>
    </row>
    <row r="312" spans="2:65" ht="15">
      <c r="B312" s="39"/>
      <c r="C312" s="5"/>
      <c r="D312" s="123"/>
      <c r="E312" s="39"/>
      <c r="F312" s="39"/>
      <c r="G312" s="39"/>
      <c r="H312" s="5" t="str">
        <f ca="1">IFERROR(__xludf.DUMMYFUNCTION("IFERROR(VLOOKUP(F578,IMPORTRANGE(""https://docs.google.com/spreadsheets/d/1Kvs4KS76FHFqLFIZfrDMff4kP08nblUkihrxltoGBjg/edit#gid=934712705"",""ESENCIAL!A6:BG""),3,FALSE))"),"")</f>
        <v/>
      </c>
      <c r="I312" s="5" t="str">
        <f ca="1">IFERROR(__xludf.DUMMYFUNCTION("IFERROR(VLOOKUP(F578,IMPORTRANGE(""https://docs.google.com/spreadsheets/d/1Kvs4KS76FHFqLFIZfrDMff4kP08nblUkihrxltoGBjg/edit#gid=934712705"",""ESENCIAL!A6:BG""),8,FALSE))"),"")</f>
        <v/>
      </c>
      <c r="J312" s="39"/>
      <c r="M312" s="287"/>
      <c r="AV312" s="41" t="str">
        <f t="shared" si="20"/>
        <v/>
      </c>
      <c r="AW312" s="5" t="str">
        <f ca="1">IFERROR(__xludf.DUMMYFUNCTION("IFERROR(VLOOKUP(E578&amp;F578,IMPORTRANGE(""https://docs.google.com/spreadsheets/d/1Uw7-A9f9R21vMXxHZFNpYNeKFtG8_yji4HS352LGlSQ/edit?pli=1#gid=0"",""1_ACUM!A4:S""),11,FALSE))"),"")</f>
        <v/>
      </c>
      <c r="AX312" s="42" t="str">
        <f ca="1">IFERROR(__xludf.DUMMYFUNCTION("IFERROR(VLOOKUP(F578,IMPORTRANGE(""https://docs.google.com/spreadsheets/d/1Kvs4KS76FHFqLFIZfrDMff4kP08nblUkihrxltoGBjg/edit#gid=934712705"",""ESENCIAL!A6:BG""),15,FALSE))"),"")</f>
        <v/>
      </c>
      <c r="AY312" s="110" t="str">
        <f ca="1">IFERROR(__xludf.DUMMYFUNCTION("IFERROR(VLOOKUP(E578&amp;F578,IMPORTRANGE(""https://docs.google.com/spreadsheets/d/1Uw7-A9f9R21vMXxHZFNpYNeKFtG8_yji4HS352LGlSQ/edit?pli=1#gid=0"",""1_ACUM!A4:S""),13,FALSE))"),"")</f>
        <v/>
      </c>
      <c r="AZ312" s="43" t="str">
        <f ca="1">IFERROR(__xludf.DUMMYFUNCTION("IFERROR(VLOOKUP(E578&amp;F578,IMPORTRANGE(""https://docs.google.com/spreadsheets/d/1Uw7-A9f9R21vMXxHZFNpYNeKFtG8_yji4HS352LGlSQ/edit?pli=1#gid=0"",""1_ACUM!A4:S""),13,FALSE))"),"")</f>
        <v/>
      </c>
      <c r="BA312" s="43" t="str">
        <f ca="1">IFERROR(__xludf.DUMMYFUNCTION("IFERROR(VLOOKUP(E578&amp;F578,IMPORTRANGE(""https://docs.google.com/spreadsheets/d/1Uw7-A9f9R21vMXxHZFNpYNeKFtG8_yji4HS352LGlSQ/edit?pli=1#gid=0"",""1_ACUM!A4:S""),14,FALSE))"),"")</f>
        <v/>
      </c>
      <c r="BB312" s="43" t="str">
        <f ca="1">IFERROR(__xludf.DUMMYFUNCTION("IFERROR(VLOOKUP(E578&amp;F578,IMPORTRANGE(""https://docs.google.com/spreadsheets/d/1Uw7-A9f9R21vMXxHZFNpYNeKFtG8_yji4HS352LGlSQ/edit?pli=1#gid=0"",""1_ACUM!A4:S""),15,FALSE))"),"")</f>
        <v/>
      </c>
      <c r="BC312" s="43" t="str">
        <f ca="1">IFERROR(__xludf.DUMMYFUNCTION("IFERROR(VLOOKUP(E578&amp;F578,IMPORTRANGE(""https://docs.google.com/spreadsheets/d/1Uw7-A9f9R21vMXxHZFNpYNeKFtG8_yji4HS352LGlSQ/edit?pli=1#gid=0"",""1_ACUM!A4:S""),16,FALSE))"),"")</f>
        <v/>
      </c>
      <c r="BD312" s="43" t="str">
        <f ca="1">IFERROR(__xludf.DUMMYFUNCTION("IFERROR(VLOOKUP(E578&amp;F578,IMPORTRANGE(""https://docs.google.com/spreadsheets/d/1Uw7-A9f9R21vMXxHZFNpYNeKFtG8_yji4HS352LGlSQ/edit?pli=1#gid=0"",""1_ACUM!A4:S""),17,FALSE))"),"")</f>
        <v/>
      </c>
      <c r="BE312" s="44" t="str">
        <f ca="1">IFERROR(__xludf.DUMMYFUNCTION("IFERROR(VLOOKUP(E578&amp;F578,IMPORTRANGE(""https://docs.google.com/spreadsheets/d/1Uw7-A9f9R21vMXxHZFNpYNeKFtG8_yji4HS352LGlSQ/edit?pli=1#gid=0"",""1_ACUM!A4:S""),18,FALSE))"),"")</f>
        <v/>
      </c>
      <c r="BF312" s="44" t="str">
        <f ca="1">IFERROR(__xludf.DUMMYFUNCTION("IFERROR(VLOOKUP(E578&amp;F578,IMPORTRANGE(""https://docs.google.com/spreadsheets/d/1Uw7-A9f9R21vMXxHZFNpYNeKFtG8_yji4HS352LGlSQ/edit?pli=1#gid=0"",""1_ACUM!A4:S""),19,FALSE))"),"")</f>
        <v/>
      </c>
      <c r="BG312" s="98" t="str">
        <f ca="1">IFERROR(__xludf.DUMMYFUNCTION("IFERROR(VLOOKUP(F578,IMPORTRANGE(""https://docs.google.com/spreadsheets/d/1Kvs4KS76FHFqLFIZfrDMff4kP08nblUkihrxltoGBjg/edit#gid=934712705"",""ESENCIAL!A6:BG""),5,FALSE))"),"")</f>
        <v/>
      </c>
      <c r="BH312" s="98" t="str">
        <f t="shared" si="21"/>
        <v/>
      </c>
      <c r="BI312" s="99" t="str">
        <f t="shared" si="22"/>
        <v/>
      </c>
      <c r="BJ312" s="100" t="str">
        <f ca="1">IFERROR(__xludf.DUMMYFUNCTION("IFERROR(VLOOKUP(F578,IMPORTRANGE(""https://docs.google.com/spreadsheets/d/1Kvs4KS76FHFqLFIZfrDMff4kP08nblUkihrxltoGBjg/edit#gid=934712705"",""ESENCIAL!A6:BG""),2,FALSE))"),"")</f>
        <v/>
      </c>
      <c r="BK312" s="19" t="str">
        <f t="shared" si="23"/>
        <v/>
      </c>
      <c r="BL312" s="100"/>
      <c r="BM312" s="100"/>
    </row>
    <row r="313" spans="2:65" ht="15">
      <c r="B313" s="39"/>
      <c r="C313" s="5"/>
      <c r="D313" s="123"/>
      <c r="E313" s="39"/>
      <c r="F313" s="39"/>
      <c r="G313" s="39"/>
      <c r="H313" s="5" t="str">
        <f ca="1">IFERROR(__xludf.DUMMYFUNCTION("IFERROR(VLOOKUP(F579,IMPORTRANGE(""https://docs.google.com/spreadsheets/d/1Kvs4KS76FHFqLFIZfrDMff4kP08nblUkihrxltoGBjg/edit#gid=934712705"",""ESENCIAL!A6:BG""),3,FALSE))"),"")</f>
        <v/>
      </c>
      <c r="I313" s="5" t="str">
        <f ca="1">IFERROR(__xludf.DUMMYFUNCTION("IFERROR(VLOOKUP(F579,IMPORTRANGE(""https://docs.google.com/spreadsheets/d/1Kvs4KS76FHFqLFIZfrDMff4kP08nblUkihrxltoGBjg/edit#gid=934712705"",""ESENCIAL!A6:BG""),8,FALSE))"),"")</f>
        <v/>
      </c>
      <c r="J313" s="39"/>
      <c r="M313" s="287"/>
      <c r="AV313" s="41" t="str">
        <f t="shared" si="20"/>
        <v/>
      </c>
      <c r="AW313" s="5" t="str">
        <f ca="1">IFERROR(__xludf.DUMMYFUNCTION("IFERROR(VLOOKUP(E579&amp;F579,IMPORTRANGE(""https://docs.google.com/spreadsheets/d/1Uw7-A9f9R21vMXxHZFNpYNeKFtG8_yji4HS352LGlSQ/edit?pli=1#gid=0"",""1_ACUM!A4:S""),11,FALSE))"),"")</f>
        <v/>
      </c>
      <c r="AX313" s="42" t="str">
        <f ca="1">IFERROR(__xludf.DUMMYFUNCTION("IFERROR(VLOOKUP(F579,IMPORTRANGE(""https://docs.google.com/spreadsheets/d/1Kvs4KS76FHFqLFIZfrDMff4kP08nblUkihrxltoGBjg/edit#gid=934712705"",""ESENCIAL!A6:BG""),15,FALSE))"),"")</f>
        <v/>
      </c>
      <c r="AY313" s="110" t="str">
        <f ca="1">IFERROR(__xludf.DUMMYFUNCTION("IFERROR(VLOOKUP(E579&amp;F579,IMPORTRANGE(""https://docs.google.com/spreadsheets/d/1Uw7-A9f9R21vMXxHZFNpYNeKFtG8_yji4HS352LGlSQ/edit?pli=1#gid=0"",""1_ACUM!A4:S""),13,FALSE))"),"")</f>
        <v/>
      </c>
      <c r="AZ313" s="43" t="str">
        <f ca="1">IFERROR(__xludf.DUMMYFUNCTION("IFERROR(VLOOKUP(E579&amp;F579,IMPORTRANGE(""https://docs.google.com/spreadsheets/d/1Uw7-A9f9R21vMXxHZFNpYNeKFtG8_yji4HS352LGlSQ/edit?pli=1#gid=0"",""1_ACUM!A4:S""),13,FALSE))"),"")</f>
        <v/>
      </c>
      <c r="BA313" s="43" t="str">
        <f ca="1">IFERROR(__xludf.DUMMYFUNCTION("IFERROR(VLOOKUP(E579&amp;F579,IMPORTRANGE(""https://docs.google.com/spreadsheets/d/1Uw7-A9f9R21vMXxHZFNpYNeKFtG8_yji4HS352LGlSQ/edit?pli=1#gid=0"",""1_ACUM!A4:S""),14,FALSE))"),"")</f>
        <v/>
      </c>
      <c r="BB313" s="43" t="str">
        <f ca="1">IFERROR(__xludf.DUMMYFUNCTION("IFERROR(VLOOKUP(E579&amp;F579,IMPORTRANGE(""https://docs.google.com/spreadsheets/d/1Uw7-A9f9R21vMXxHZFNpYNeKFtG8_yji4HS352LGlSQ/edit?pli=1#gid=0"",""1_ACUM!A4:S""),15,FALSE))"),"")</f>
        <v/>
      </c>
      <c r="BC313" s="43" t="str">
        <f ca="1">IFERROR(__xludf.DUMMYFUNCTION("IFERROR(VLOOKUP(E579&amp;F579,IMPORTRANGE(""https://docs.google.com/spreadsheets/d/1Uw7-A9f9R21vMXxHZFNpYNeKFtG8_yji4HS352LGlSQ/edit?pli=1#gid=0"",""1_ACUM!A4:S""),16,FALSE))"),"")</f>
        <v/>
      </c>
      <c r="BD313" s="43" t="str">
        <f ca="1">IFERROR(__xludf.DUMMYFUNCTION("IFERROR(VLOOKUP(E579&amp;F579,IMPORTRANGE(""https://docs.google.com/spreadsheets/d/1Uw7-A9f9R21vMXxHZFNpYNeKFtG8_yji4HS352LGlSQ/edit?pli=1#gid=0"",""1_ACUM!A4:S""),17,FALSE))"),"")</f>
        <v/>
      </c>
      <c r="BE313" s="44" t="str">
        <f ca="1">IFERROR(__xludf.DUMMYFUNCTION("IFERROR(VLOOKUP(E579&amp;F579,IMPORTRANGE(""https://docs.google.com/spreadsheets/d/1Uw7-A9f9R21vMXxHZFNpYNeKFtG8_yji4HS352LGlSQ/edit?pli=1#gid=0"",""1_ACUM!A4:S""),18,FALSE))"),"")</f>
        <v/>
      </c>
      <c r="BF313" s="44" t="str">
        <f ca="1">IFERROR(__xludf.DUMMYFUNCTION("IFERROR(VLOOKUP(E579&amp;F579,IMPORTRANGE(""https://docs.google.com/spreadsheets/d/1Uw7-A9f9R21vMXxHZFNpYNeKFtG8_yji4HS352LGlSQ/edit?pli=1#gid=0"",""1_ACUM!A4:S""),19,FALSE))"),"")</f>
        <v/>
      </c>
      <c r="BG313" s="98" t="str">
        <f ca="1">IFERROR(__xludf.DUMMYFUNCTION("IFERROR(VLOOKUP(F579,IMPORTRANGE(""https://docs.google.com/spreadsheets/d/1Kvs4KS76FHFqLFIZfrDMff4kP08nblUkihrxltoGBjg/edit#gid=934712705"",""ESENCIAL!A6:BG""),5,FALSE))"),"")</f>
        <v/>
      </c>
      <c r="BH313" s="98" t="str">
        <f t="shared" si="21"/>
        <v/>
      </c>
      <c r="BI313" s="99" t="str">
        <f t="shared" si="22"/>
        <v/>
      </c>
      <c r="BJ313" s="100" t="str">
        <f ca="1">IFERROR(__xludf.DUMMYFUNCTION("IFERROR(VLOOKUP(F579,IMPORTRANGE(""https://docs.google.com/spreadsheets/d/1Kvs4KS76FHFqLFIZfrDMff4kP08nblUkihrxltoGBjg/edit#gid=934712705"",""ESENCIAL!A6:BG""),2,FALSE))"),"")</f>
        <v/>
      </c>
      <c r="BK313" s="19" t="str">
        <f t="shared" si="23"/>
        <v/>
      </c>
      <c r="BL313" s="100"/>
      <c r="BM313" s="100"/>
    </row>
    <row r="314" spans="2:65" ht="15">
      <c r="B314" s="39"/>
      <c r="C314" s="5"/>
      <c r="D314" s="123"/>
      <c r="E314" s="39"/>
      <c r="F314" s="39"/>
      <c r="G314" s="39"/>
      <c r="H314" s="5" t="str">
        <f ca="1">IFERROR(__xludf.DUMMYFUNCTION("IFERROR(VLOOKUP(F580,IMPORTRANGE(""https://docs.google.com/spreadsheets/d/1Kvs4KS76FHFqLFIZfrDMff4kP08nblUkihrxltoGBjg/edit#gid=934712705"",""ESENCIAL!A6:BG""),3,FALSE))"),"")</f>
        <v/>
      </c>
      <c r="I314" s="5" t="str">
        <f ca="1">IFERROR(__xludf.DUMMYFUNCTION("IFERROR(VLOOKUP(F580,IMPORTRANGE(""https://docs.google.com/spreadsheets/d/1Kvs4KS76FHFqLFIZfrDMff4kP08nblUkihrxltoGBjg/edit#gid=934712705"",""ESENCIAL!A6:BG""),8,FALSE))"),"")</f>
        <v/>
      </c>
      <c r="J314" s="39"/>
      <c r="M314" s="287"/>
      <c r="AV314" s="41" t="str">
        <f t="shared" si="20"/>
        <v/>
      </c>
      <c r="AW314" s="5" t="str">
        <f ca="1">IFERROR(__xludf.DUMMYFUNCTION("IFERROR(VLOOKUP(E580&amp;F580,IMPORTRANGE(""https://docs.google.com/spreadsheets/d/1Uw7-A9f9R21vMXxHZFNpYNeKFtG8_yji4HS352LGlSQ/edit?pli=1#gid=0"",""1_ACUM!A4:S""),11,FALSE))"),"")</f>
        <v/>
      </c>
      <c r="AX314" s="42" t="str">
        <f ca="1">IFERROR(__xludf.DUMMYFUNCTION("IFERROR(VLOOKUP(F580,IMPORTRANGE(""https://docs.google.com/spreadsheets/d/1Kvs4KS76FHFqLFIZfrDMff4kP08nblUkihrxltoGBjg/edit#gid=934712705"",""ESENCIAL!A6:BG""),15,FALSE))"),"")</f>
        <v/>
      </c>
      <c r="AY314" s="110" t="str">
        <f ca="1">IFERROR(__xludf.DUMMYFUNCTION("IFERROR(VLOOKUP(E580&amp;F580,IMPORTRANGE(""https://docs.google.com/spreadsheets/d/1Uw7-A9f9R21vMXxHZFNpYNeKFtG8_yji4HS352LGlSQ/edit?pli=1#gid=0"",""1_ACUM!A4:S""),13,FALSE))"),"")</f>
        <v/>
      </c>
      <c r="AZ314" s="43" t="str">
        <f ca="1">IFERROR(__xludf.DUMMYFUNCTION("IFERROR(VLOOKUP(E580&amp;F580,IMPORTRANGE(""https://docs.google.com/spreadsheets/d/1Uw7-A9f9R21vMXxHZFNpYNeKFtG8_yji4HS352LGlSQ/edit?pli=1#gid=0"",""1_ACUM!A4:S""),13,FALSE))"),"")</f>
        <v/>
      </c>
      <c r="BA314" s="43" t="str">
        <f ca="1">IFERROR(__xludf.DUMMYFUNCTION("IFERROR(VLOOKUP(E580&amp;F580,IMPORTRANGE(""https://docs.google.com/spreadsheets/d/1Uw7-A9f9R21vMXxHZFNpYNeKFtG8_yji4HS352LGlSQ/edit?pli=1#gid=0"",""1_ACUM!A4:S""),14,FALSE))"),"")</f>
        <v/>
      </c>
      <c r="BB314" s="43" t="str">
        <f ca="1">IFERROR(__xludf.DUMMYFUNCTION("IFERROR(VLOOKUP(E580&amp;F580,IMPORTRANGE(""https://docs.google.com/spreadsheets/d/1Uw7-A9f9R21vMXxHZFNpYNeKFtG8_yji4HS352LGlSQ/edit?pli=1#gid=0"",""1_ACUM!A4:S""),15,FALSE))"),"")</f>
        <v/>
      </c>
      <c r="BC314" s="43" t="str">
        <f ca="1">IFERROR(__xludf.DUMMYFUNCTION("IFERROR(VLOOKUP(E580&amp;F580,IMPORTRANGE(""https://docs.google.com/spreadsheets/d/1Uw7-A9f9R21vMXxHZFNpYNeKFtG8_yji4HS352LGlSQ/edit?pli=1#gid=0"",""1_ACUM!A4:S""),16,FALSE))"),"")</f>
        <v/>
      </c>
      <c r="BD314" s="43" t="str">
        <f ca="1">IFERROR(__xludf.DUMMYFUNCTION("IFERROR(VLOOKUP(E580&amp;F580,IMPORTRANGE(""https://docs.google.com/spreadsheets/d/1Uw7-A9f9R21vMXxHZFNpYNeKFtG8_yji4HS352LGlSQ/edit?pli=1#gid=0"",""1_ACUM!A4:S""),17,FALSE))"),"")</f>
        <v/>
      </c>
      <c r="BE314" s="44" t="str">
        <f ca="1">IFERROR(__xludf.DUMMYFUNCTION("IFERROR(VLOOKUP(E580&amp;F580,IMPORTRANGE(""https://docs.google.com/spreadsheets/d/1Uw7-A9f9R21vMXxHZFNpYNeKFtG8_yji4HS352LGlSQ/edit?pli=1#gid=0"",""1_ACUM!A4:S""),18,FALSE))"),"")</f>
        <v/>
      </c>
      <c r="BF314" s="44" t="str">
        <f ca="1">IFERROR(__xludf.DUMMYFUNCTION("IFERROR(VLOOKUP(E580&amp;F580,IMPORTRANGE(""https://docs.google.com/spreadsheets/d/1Uw7-A9f9R21vMXxHZFNpYNeKFtG8_yji4HS352LGlSQ/edit?pli=1#gid=0"",""1_ACUM!A4:S""),19,FALSE))"),"")</f>
        <v/>
      </c>
      <c r="BG314" s="98" t="str">
        <f ca="1">IFERROR(__xludf.DUMMYFUNCTION("IFERROR(VLOOKUP(F580,IMPORTRANGE(""https://docs.google.com/spreadsheets/d/1Kvs4KS76FHFqLFIZfrDMff4kP08nblUkihrxltoGBjg/edit#gid=934712705"",""ESENCIAL!A6:BG""),5,FALSE))"),"")</f>
        <v/>
      </c>
      <c r="BH314" s="98" t="str">
        <f t="shared" si="21"/>
        <v/>
      </c>
      <c r="BI314" s="99" t="str">
        <f t="shared" si="22"/>
        <v/>
      </c>
      <c r="BJ314" s="100" t="str">
        <f ca="1">IFERROR(__xludf.DUMMYFUNCTION("IFERROR(VLOOKUP(F580,IMPORTRANGE(""https://docs.google.com/spreadsheets/d/1Kvs4KS76FHFqLFIZfrDMff4kP08nblUkihrxltoGBjg/edit#gid=934712705"",""ESENCIAL!A6:BG""),2,FALSE))"),"")</f>
        <v/>
      </c>
      <c r="BK314" s="19" t="str">
        <f t="shared" si="23"/>
        <v/>
      </c>
      <c r="BL314" s="100"/>
      <c r="BM314" s="100"/>
    </row>
    <row r="315" spans="2:65" ht="15">
      <c r="B315" s="39"/>
      <c r="C315" s="5"/>
      <c r="D315" s="123"/>
      <c r="E315" s="39"/>
      <c r="F315" s="39"/>
      <c r="G315" s="39"/>
      <c r="H315" s="5" t="str">
        <f ca="1">IFERROR(__xludf.DUMMYFUNCTION("IFERROR(VLOOKUP(F581,IMPORTRANGE(""https://docs.google.com/spreadsheets/d/1Kvs4KS76FHFqLFIZfrDMff4kP08nblUkihrxltoGBjg/edit#gid=934712705"",""ESENCIAL!A6:BG""),3,FALSE))"),"")</f>
        <v/>
      </c>
      <c r="I315" s="5" t="str">
        <f ca="1">IFERROR(__xludf.DUMMYFUNCTION("IFERROR(VLOOKUP(F581,IMPORTRANGE(""https://docs.google.com/spreadsheets/d/1Kvs4KS76FHFqLFIZfrDMff4kP08nblUkihrxltoGBjg/edit#gid=934712705"",""ESENCIAL!A6:BG""),8,FALSE))"),"")</f>
        <v/>
      </c>
      <c r="J315" s="39"/>
      <c r="M315" s="287"/>
      <c r="AV315" s="41" t="str">
        <f t="shared" si="20"/>
        <v/>
      </c>
      <c r="AW315" s="5" t="str">
        <f ca="1">IFERROR(__xludf.DUMMYFUNCTION("IFERROR(VLOOKUP(E581&amp;F581,IMPORTRANGE(""https://docs.google.com/spreadsheets/d/1Uw7-A9f9R21vMXxHZFNpYNeKFtG8_yji4HS352LGlSQ/edit?pli=1#gid=0"",""1_ACUM!A4:S""),11,FALSE))"),"")</f>
        <v/>
      </c>
      <c r="AX315" s="42" t="str">
        <f ca="1">IFERROR(__xludf.DUMMYFUNCTION("IFERROR(VLOOKUP(F581,IMPORTRANGE(""https://docs.google.com/spreadsheets/d/1Kvs4KS76FHFqLFIZfrDMff4kP08nblUkihrxltoGBjg/edit#gid=934712705"",""ESENCIAL!A6:BG""),15,FALSE))"),"")</f>
        <v/>
      </c>
      <c r="AY315" s="110" t="str">
        <f ca="1">IFERROR(__xludf.DUMMYFUNCTION("IFERROR(VLOOKUP(E581&amp;F581,IMPORTRANGE(""https://docs.google.com/spreadsheets/d/1Uw7-A9f9R21vMXxHZFNpYNeKFtG8_yji4HS352LGlSQ/edit?pli=1#gid=0"",""1_ACUM!A4:S""),13,FALSE))"),"")</f>
        <v/>
      </c>
      <c r="AZ315" s="43" t="str">
        <f ca="1">IFERROR(__xludf.DUMMYFUNCTION("IFERROR(VLOOKUP(E581&amp;F581,IMPORTRANGE(""https://docs.google.com/spreadsheets/d/1Uw7-A9f9R21vMXxHZFNpYNeKFtG8_yji4HS352LGlSQ/edit?pli=1#gid=0"",""1_ACUM!A4:S""),13,FALSE))"),"")</f>
        <v/>
      </c>
      <c r="BA315" s="43" t="str">
        <f ca="1">IFERROR(__xludf.DUMMYFUNCTION("IFERROR(VLOOKUP(E581&amp;F581,IMPORTRANGE(""https://docs.google.com/spreadsheets/d/1Uw7-A9f9R21vMXxHZFNpYNeKFtG8_yji4HS352LGlSQ/edit?pli=1#gid=0"",""1_ACUM!A4:S""),14,FALSE))"),"")</f>
        <v/>
      </c>
      <c r="BB315" s="43" t="str">
        <f ca="1">IFERROR(__xludf.DUMMYFUNCTION("IFERROR(VLOOKUP(E581&amp;F581,IMPORTRANGE(""https://docs.google.com/spreadsheets/d/1Uw7-A9f9R21vMXxHZFNpYNeKFtG8_yji4HS352LGlSQ/edit?pli=1#gid=0"",""1_ACUM!A4:S""),15,FALSE))"),"")</f>
        <v/>
      </c>
      <c r="BC315" s="43" t="str">
        <f ca="1">IFERROR(__xludf.DUMMYFUNCTION("IFERROR(VLOOKUP(E581&amp;F581,IMPORTRANGE(""https://docs.google.com/spreadsheets/d/1Uw7-A9f9R21vMXxHZFNpYNeKFtG8_yji4HS352LGlSQ/edit?pli=1#gid=0"",""1_ACUM!A4:S""),16,FALSE))"),"")</f>
        <v/>
      </c>
      <c r="BD315" s="43" t="str">
        <f ca="1">IFERROR(__xludf.DUMMYFUNCTION("IFERROR(VLOOKUP(E581&amp;F581,IMPORTRANGE(""https://docs.google.com/spreadsheets/d/1Uw7-A9f9R21vMXxHZFNpYNeKFtG8_yji4HS352LGlSQ/edit?pli=1#gid=0"",""1_ACUM!A4:S""),17,FALSE))"),"")</f>
        <v/>
      </c>
      <c r="BE315" s="44" t="str">
        <f ca="1">IFERROR(__xludf.DUMMYFUNCTION("IFERROR(VLOOKUP(E581&amp;F581,IMPORTRANGE(""https://docs.google.com/spreadsheets/d/1Uw7-A9f9R21vMXxHZFNpYNeKFtG8_yji4HS352LGlSQ/edit?pli=1#gid=0"",""1_ACUM!A4:S""),18,FALSE))"),"")</f>
        <v/>
      </c>
      <c r="BF315" s="44" t="str">
        <f ca="1">IFERROR(__xludf.DUMMYFUNCTION("IFERROR(VLOOKUP(E581&amp;F581,IMPORTRANGE(""https://docs.google.com/spreadsheets/d/1Uw7-A9f9R21vMXxHZFNpYNeKFtG8_yji4HS352LGlSQ/edit?pli=1#gid=0"",""1_ACUM!A4:S""),19,FALSE))"),"")</f>
        <v/>
      </c>
      <c r="BG315" s="98" t="str">
        <f ca="1">IFERROR(__xludf.DUMMYFUNCTION("IFERROR(VLOOKUP(F581,IMPORTRANGE(""https://docs.google.com/spreadsheets/d/1Kvs4KS76FHFqLFIZfrDMff4kP08nblUkihrxltoGBjg/edit#gid=934712705"",""ESENCIAL!A6:BG""),5,FALSE))"),"")</f>
        <v/>
      </c>
      <c r="BH315" s="98" t="str">
        <f t="shared" si="21"/>
        <v/>
      </c>
      <c r="BI315" s="99" t="str">
        <f t="shared" si="22"/>
        <v/>
      </c>
      <c r="BJ315" s="100" t="str">
        <f ca="1">IFERROR(__xludf.DUMMYFUNCTION("IFERROR(VLOOKUP(F581,IMPORTRANGE(""https://docs.google.com/spreadsheets/d/1Kvs4KS76FHFqLFIZfrDMff4kP08nblUkihrxltoGBjg/edit#gid=934712705"",""ESENCIAL!A6:BG""),2,FALSE))"),"")</f>
        <v/>
      </c>
      <c r="BK315" s="19" t="str">
        <f t="shared" si="23"/>
        <v/>
      </c>
      <c r="BL315" s="100"/>
      <c r="BM315" s="100"/>
    </row>
    <row r="316" spans="2:65" ht="15">
      <c r="B316" s="39"/>
      <c r="C316" s="5"/>
      <c r="D316" s="123"/>
      <c r="E316" s="39"/>
      <c r="F316" s="39"/>
      <c r="G316" s="39"/>
      <c r="H316" s="5" t="str">
        <f ca="1">IFERROR(__xludf.DUMMYFUNCTION("IFERROR(VLOOKUP(F582,IMPORTRANGE(""https://docs.google.com/spreadsheets/d/1Kvs4KS76FHFqLFIZfrDMff4kP08nblUkihrxltoGBjg/edit#gid=934712705"",""ESENCIAL!A6:BG""),3,FALSE))"),"")</f>
        <v/>
      </c>
      <c r="I316" s="5" t="str">
        <f ca="1">IFERROR(__xludf.DUMMYFUNCTION("IFERROR(VLOOKUP(F582,IMPORTRANGE(""https://docs.google.com/spreadsheets/d/1Kvs4KS76FHFqLFIZfrDMff4kP08nblUkihrxltoGBjg/edit#gid=934712705"",""ESENCIAL!A6:BG""),8,FALSE))"),"")</f>
        <v/>
      </c>
      <c r="J316" s="39"/>
      <c r="M316" s="287"/>
      <c r="AV316" s="41" t="str">
        <f t="shared" si="20"/>
        <v/>
      </c>
      <c r="AW316" s="5" t="str">
        <f ca="1">IFERROR(__xludf.DUMMYFUNCTION("IFERROR(VLOOKUP(E582&amp;F582,IMPORTRANGE(""https://docs.google.com/spreadsheets/d/1Uw7-A9f9R21vMXxHZFNpYNeKFtG8_yji4HS352LGlSQ/edit?pli=1#gid=0"",""1_ACUM!A4:S""),11,FALSE))"),"")</f>
        <v/>
      </c>
      <c r="AX316" s="42" t="str">
        <f ca="1">IFERROR(__xludf.DUMMYFUNCTION("IFERROR(VLOOKUP(F582,IMPORTRANGE(""https://docs.google.com/spreadsheets/d/1Kvs4KS76FHFqLFIZfrDMff4kP08nblUkihrxltoGBjg/edit#gid=934712705"",""ESENCIAL!A6:BG""),15,FALSE))"),"")</f>
        <v/>
      </c>
      <c r="AY316" s="110" t="str">
        <f ca="1">IFERROR(__xludf.DUMMYFUNCTION("IFERROR(VLOOKUP(E582&amp;F582,IMPORTRANGE(""https://docs.google.com/spreadsheets/d/1Uw7-A9f9R21vMXxHZFNpYNeKFtG8_yji4HS352LGlSQ/edit?pli=1#gid=0"",""1_ACUM!A4:S""),13,FALSE))"),"")</f>
        <v/>
      </c>
      <c r="AZ316" s="43" t="str">
        <f ca="1">IFERROR(__xludf.DUMMYFUNCTION("IFERROR(VLOOKUP(E582&amp;F582,IMPORTRANGE(""https://docs.google.com/spreadsheets/d/1Uw7-A9f9R21vMXxHZFNpYNeKFtG8_yji4HS352LGlSQ/edit?pli=1#gid=0"",""1_ACUM!A4:S""),13,FALSE))"),"")</f>
        <v/>
      </c>
      <c r="BA316" s="43" t="str">
        <f ca="1">IFERROR(__xludf.DUMMYFUNCTION("IFERROR(VLOOKUP(E582&amp;F582,IMPORTRANGE(""https://docs.google.com/spreadsheets/d/1Uw7-A9f9R21vMXxHZFNpYNeKFtG8_yji4HS352LGlSQ/edit?pli=1#gid=0"",""1_ACUM!A4:S""),14,FALSE))"),"")</f>
        <v/>
      </c>
      <c r="BB316" s="43" t="str">
        <f ca="1">IFERROR(__xludf.DUMMYFUNCTION("IFERROR(VLOOKUP(E582&amp;F582,IMPORTRANGE(""https://docs.google.com/spreadsheets/d/1Uw7-A9f9R21vMXxHZFNpYNeKFtG8_yji4HS352LGlSQ/edit?pli=1#gid=0"",""1_ACUM!A4:S""),15,FALSE))"),"")</f>
        <v/>
      </c>
      <c r="BC316" s="43" t="str">
        <f ca="1">IFERROR(__xludf.DUMMYFUNCTION("IFERROR(VLOOKUP(E582&amp;F582,IMPORTRANGE(""https://docs.google.com/spreadsheets/d/1Uw7-A9f9R21vMXxHZFNpYNeKFtG8_yji4HS352LGlSQ/edit?pli=1#gid=0"",""1_ACUM!A4:S""),16,FALSE))"),"")</f>
        <v/>
      </c>
      <c r="BD316" s="43" t="str">
        <f ca="1">IFERROR(__xludf.DUMMYFUNCTION("IFERROR(VLOOKUP(E582&amp;F582,IMPORTRANGE(""https://docs.google.com/spreadsheets/d/1Uw7-A9f9R21vMXxHZFNpYNeKFtG8_yji4HS352LGlSQ/edit?pli=1#gid=0"",""1_ACUM!A4:S""),17,FALSE))"),"")</f>
        <v/>
      </c>
      <c r="BE316" s="44" t="str">
        <f ca="1">IFERROR(__xludf.DUMMYFUNCTION("IFERROR(VLOOKUP(E582&amp;F582,IMPORTRANGE(""https://docs.google.com/spreadsheets/d/1Uw7-A9f9R21vMXxHZFNpYNeKFtG8_yji4HS352LGlSQ/edit?pli=1#gid=0"",""1_ACUM!A4:S""),18,FALSE))"),"")</f>
        <v/>
      </c>
      <c r="BF316" s="44" t="str">
        <f ca="1">IFERROR(__xludf.DUMMYFUNCTION("IFERROR(VLOOKUP(E582&amp;F582,IMPORTRANGE(""https://docs.google.com/spreadsheets/d/1Uw7-A9f9R21vMXxHZFNpYNeKFtG8_yji4HS352LGlSQ/edit?pli=1#gid=0"",""1_ACUM!A4:S""),19,FALSE))"),"")</f>
        <v/>
      </c>
      <c r="BG316" s="98" t="str">
        <f ca="1">IFERROR(__xludf.DUMMYFUNCTION("IFERROR(VLOOKUP(F582,IMPORTRANGE(""https://docs.google.com/spreadsheets/d/1Kvs4KS76FHFqLFIZfrDMff4kP08nblUkihrxltoGBjg/edit#gid=934712705"",""ESENCIAL!A6:BG""),5,FALSE))"),"")</f>
        <v/>
      </c>
      <c r="BH316" s="98" t="str">
        <f t="shared" si="21"/>
        <v/>
      </c>
      <c r="BI316" s="99" t="str">
        <f t="shared" si="22"/>
        <v/>
      </c>
      <c r="BJ316" s="100" t="str">
        <f ca="1">IFERROR(__xludf.DUMMYFUNCTION("IFERROR(VLOOKUP(F582,IMPORTRANGE(""https://docs.google.com/spreadsheets/d/1Kvs4KS76FHFqLFIZfrDMff4kP08nblUkihrxltoGBjg/edit#gid=934712705"",""ESENCIAL!A6:BG""),2,FALSE))"),"")</f>
        <v/>
      </c>
      <c r="BK316" s="19" t="str">
        <f t="shared" si="23"/>
        <v/>
      </c>
      <c r="BL316" s="100"/>
      <c r="BM316" s="100"/>
    </row>
    <row r="317" spans="2:65" ht="15">
      <c r="B317" s="39"/>
      <c r="C317" s="5"/>
      <c r="D317" s="123"/>
      <c r="E317" s="39"/>
      <c r="F317" s="39"/>
      <c r="G317" s="39"/>
      <c r="H317" s="5" t="str">
        <f ca="1">IFERROR(__xludf.DUMMYFUNCTION("IFERROR(VLOOKUP(F583,IMPORTRANGE(""https://docs.google.com/spreadsheets/d/1Kvs4KS76FHFqLFIZfrDMff4kP08nblUkihrxltoGBjg/edit#gid=934712705"",""ESENCIAL!A6:BG""),3,FALSE))"),"")</f>
        <v/>
      </c>
      <c r="I317" s="5" t="str">
        <f ca="1">IFERROR(__xludf.DUMMYFUNCTION("IFERROR(VLOOKUP(F583,IMPORTRANGE(""https://docs.google.com/spreadsheets/d/1Kvs4KS76FHFqLFIZfrDMff4kP08nblUkihrxltoGBjg/edit#gid=934712705"",""ESENCIAL!A6:BG""),8,FALSE))"),"")</f>
        <v/>
      </c>
      <c r="J317" s="39"/>
      <c r="M317" s="287"/>
      <c r="AV317" s="41" t="str">
        <f t="shared" si="20"/>
        <v/>
      </c>
      <c r="AW317" s="5" t="str">
        <f ca="1">IFERROR(__xludf.DUMMYFUNCTION("IFERROR(VLOOKUP(E583&amp;F583,IMPORTRANGE(""https://docs.google.com/spreadsheets/d/1Uw7-A9f9R21vMXxHZFNpYNeKFtG8_yji4HS352LGlSQ/edit?pli=1#gid=0"",""1_ACUM!A4:S""),11,FALSE))"),"")</f>
        <v/>
      </c>
      <c r="AX317" s="42" t="str">
        <f ca="1">IFERROR(__xludf.DUMMYFUNCTION("IFERROR(VLOOKUP(F583,IMPORTRANGE(""https://docs.google.com/spreadsheets/d/1Kvs4KS76FHFqLFIZfrDMff4kP08nblUkihrxltoGBjg/edit#gid=934712705"",""ESENCIAL!A6:BG""),15,FALSE))"),"")</f>
        <v/>
      </c>
      <c r="AY317" s="110" t="str">
        <f ca="1">IFERROR(__xludf.DUMMYFUNCTION("IFERROR(VLOOKUP(E583&amp;F583,IMPORTRANGE(""https://docs.google.com/spreadsheets/d/1Uw7-A9f9R21vMXxHZFNpYNeKFtG8_yji4HS352LGlSQ/edit?pli=1#gid=0"",""1_ACUM!A4:S""),13,FALSE))"),"")</f>
        <v/>
      </c>
      <c r="AZ317" s="43" t="str">
        <f ca="1">IFERROR(__xludf.DUMMYFUNCTION("IFERROR(VLOOKUP(E583&amp;F583,IMPORTRANGE(""https://docs.google.com/spreadsheets/d/1Uw7-A9f9R21vMXxHZFNpYNeKFtG8_yji4HS352LGlSQ/edit?pli=1#gid=0"",""1_ACUM!A4:S""),13,FALSE))"),"")</f>
        <v/>
      </c>
      <c r="BA317" s="43" t="str">
        <f ca="1">IFERROR(__xludf.DUMMYFUNCTION("IFERROR(VLOOKUP(E583&amp;F583,IMPORTRANGE(""https://docs.google.com/spreadsheets/d/1Uw7-A9f9R21vMXxHZFNpYNeKFtG8_yji4HS352LGlSQ/edit?pli=1#gid=0"",""1_ACUM!A4:S""),14,FALSE))"),"")</f>
        <v/>
      </c>
      <c r="BB317" s="43" t="str">
        <f ca="1">IFERROR(__xludf.DUMMYFUNCTION("IFERROR(VLOOKUP(E583&amp;F583,IMPORTRANGE(""https://docs.google.com/spreadsheets/d/1Uw7-A9f9R21vMXxHZFNpYNeKFtG8_yji4HS352LGlSQ/edit?pli=1#gid=0"",""1_ACUM!A4:S""),15,FALSE))"),"")</f>
        <v/>
      </c>
      <c r="BC317" s="43" t="str">
        <f ca="1">IFERROR(__xludf.DUMMYFUNCTION("IFERROR(VLOOKUP(E583&amp;F583,IMPORTRANGE(""https://docs.google.com/spreadsheets/d/1Uw7-A9f9R21vMXxHZFNpYNeKFtG8_yji4HS352LGlSQ/edit?pli=1#gid=0"",""1_ACUM!A4:S""),16,FALSE))"),"")</f>
        <v/>
      </c>
      <c r="BD317" s="43" t="str">
        <f ca="1">IFERROR(__xludf.DUMMYFUNCTION("IFERROR(VLOOKUP(E583&amp;F583,IMPORTRANGE(""https://docs.google.com/spreadsheets/d/1Uw7-A9f9R21vMXxHZFNpYNeKFtG8_yji4HS352LGlSQ/edit?pli=1#gid=0"",""1_ACUM!A4:S""),17,FALSE))"),"")</f>
        <v/>
      </c>
      <c r="BE317" s="44" t="str">
        <f ca="1">IFERROR(__xludf.DUMMYFUNCTION("IFERROR(VLOOKUP(E583&amp;F583,IMPORTRANGE(""https://docs.google.com/spreadsheets/d/1Uw7-A9f9R21vMXxHZFNpYNeKFtG8_yji4HS352LGlSQ/edit?pli=1#gid=0"",""1_ACUM!A4:S""),18,FALSE))"),"")</f>
        <v/>
      </c>
      <c r="BF317" s="44" t="str">
        <f ca="1">IFERROR(__xludf.DUMMYFUNCTION("IFERROR(VLOOKUP(E583&amp;F583,IMPORTRANGE(""https://docs.google.com/spreadsheets/d/1Uw7-A9f9R21vMXxHZFNpYNeKFtG8_yji4HS352LGlSQ/edit?pli=1#gid=0"",""1_ACUM!A4:S""),19,FALSE))"),"")</f>
        <v/>
      </c>
      <c r="BG317" s="98" t="str">
        <f ca="1">IFERROR(__xludf.DUMMYFUNCTION("IFERROR(VLOOKUP(F583,IMPORTRANGE(""https://docs.google.com/spreadsheets/d/1Kvs4KS76FHFqLFIZfrDMff4kP08nblUkihrxltoGBjg/edit#gid=934712705"",""ESENCIAL!A6:BG""),5,FALSE))"),"")</f>
        <v/>
      </c>
      <c r="BH317" s="98" t="str">
        <f t="shared" si="21"/>
        <v/>
      </c>
      <c r="BI317" s="99" t="str">
        <f t="shared" si="22"/>
        <v/>
      </c>
      <c r="BJ317" s="100" t="str">
        <f ca="1">IFERROR(__xludf.DUMMYFUNCTION("IFERROR(VLOOKUP(F583,IMPORTRANGE(""https://docs.google.com/spreadsheets/d/1Kvs4KS76FHFqLFIZfrDMff4kP08nblUkihrxltoGBjg/edit#gid=934712705"",""ESENCIAL!A6:BG""),2,FALSE))"),"")</f>
        <v/>
      </c>
      <c r="BK317" s="19" t="str">
        <f t="shared" si="23"/>
        <v/>
      </c>
      <c r="BL317" s="100"/>
      <c r="BM317" s="100"/>
    </row>
    <row r="318" spans="2:65" ht="15">
      <c r="B318" s="39"/>
      <c r="C318" s="5"/>
      <c r="D318" s="123"/>
      <c r="E318" s="39"/>
      <c r="F318" s="39"/>
      <c r="G318" s="39"/>
      <c r="H318" s="5" t="str">
        <f ca="1">IFERROR(__xludf.DUMMYFUNCTION("IFERROR(VLOOKUP(F584,IMPORTRANGE(""https://docs.google.com/spreadsheets/d/1Kvs4KS76FHFqLFIZfrDMff4kP08nblUkihrxltoGBjg/edit#gid=934712705"",""ESENCIAL!A6:BG""),3,FALSE))"),"")</f>
        <v/>
      </c>
      <c r="I318" s="5" t="str">
        <f ca="1">IFERROR(__xludf.DUMMYFUNCTION("IFERROR(VLOOKUP(F584,IMPORTRANGE(""https://docs.google.com/spreadsheets/d/1Kvs4KS76FHFqLFIZfrDMff4kP08nblUkihrxltoGBjg/edit#gid=934712705"",""ESENCIAL!A6:BG""),8,FALSE))"),"")</f>
        <v/>
      </c>
      <c r="J318" s="39"/>
      <c r="M318" s="287"/>
      <c r="AV318" s="41" t="str">
        <f t="shared" si="20"/>
        <v/>
      </c>
      <c r="AW318" s="5" t="str">
        <f ca="1">IFERROR(__xludf.DUMMYFUNCTION("IFERROR(VLOOKUP(E584&amp;F584,IMPORTRANGE(""https://docs.google.com/spreadsheets/d/1Uw7-A9f9R21vMXxHZFNpYNeKFtG8_yji4HS352LGlSQ/edit?pli=1#gid=0"",""1_ACUM!A4:S""),11,FALSE))"),"")</f>
        <v/>
      </c>
      <c r="AX318" s="42" t="str">
        <f ca="1">IFERROR(__xludf.DUMMYFUNCTION("IFERROR(VLOOKUP(F584,IMPORTRANGE(""https://docs.google.com/spreadsheets/d/1Kvs4KS76FHFqLFIZfrDMff4kP08nblUkihrxltoGBjg/edit#gid=934712705"",""ESENCIAL!A6:BG""),15,FALSE))"),"")</f>
        <v/>
      </c>
      <c r="AY318" s="110" t="str">
        <f ca="1">IFERROR(__xludf.DUMMYFUNCTION("IFERROR(VLOOKUP(E584&amp;F584,IMPORTRANGE(""https://docs.google.com/spreadsheets/d/1Uw7-A9f9R21vMXxHZFNpYNeKFtG8_yji4HS352LGlSQ/edit?pli=1#gid=0"",""1_ACUM!A4:S""),13,FALSE))"),"")</f>
        <v/>
      </c>
      <c r="AZ318" s="43" t="str">
        <f ca="1">IFERROR(__xludf.DUMMYFUNCTION("IFERROR(VLOOKUP(E584&amp;F584,IMPORTRANGE(""https://docs.google.com/spreadsheets/d/1Uw7-A9f9R21vMXxHZFNpYNeKFtG8_yji4HS352LGlSQ/edit?pli=1#gid=0"",""1_ACUM!A4:S""),13,FALSE))"),"")</f>
        <v/>
      </c>
      <c r="BA318" s="43" t="str">
        <f ca="1">IFERROR(__xludf.DUMMYFUNCTION("IFERROR(VLOOKUP(E584&amp;F584,IMPORTRANGE(""https://docs.google.com/spreadsheets/d/1Uw7-A9f9R21vMXxHZFNpYNeKFtG8_yji4HS352LGlSQ/edit?pli=1#gid=0"",""1_ACUM!A4:S""),14,FALSE))"),"")</f>
        <v/>
      </c>
      <c r="BB318" s="43" t="str">
        <f ca="1">IFERROR(__xludf.DUMMYFUNCTION("IFERROR(VLOOKUP(E584&amp;F584,IMPORTRANGE(""https://docs.google.com/spreadsheets/d/1Uw7-A9f9R21vMXxHZFNpYNeKFtG8_yji4HS352LGlSQ/edit?pli=1#gid=0"",""1_ACUM!A4:S""),15,FALSE))"),"")</f>
        <v/>
      </c>
      <c r="BC318" s="43" t="str">
        <f ca="1">IFERROR(__xludf.DUMMYFUNCTION("IFERROR(VLOOKUP(E584&amp;F584,IMPORTRANGE(""https://docs.google.com/spreadsheets/d/1Uw7-A9f9R21vMXxHZFNpYNeKFtG8_yji4HS352LGlSQ/edit?pli=1#gid=0"",""1_ACUM!A4:S""),16,FALSE))"),"")</f>
        <v/>
      </c>
      <c r="BD318" s="43" t="str">
        <f ca="1">IFERROR(__xludf.DUMMYFUNCTION("IFERROR(VLOOKUP(E584&amp;F584,IMPORTRANGE(""https://docs.google.com/spreadsheets/d/1Uw7-A9f9R21vMXxHZFNpYNeKFtG8_yji4HS352LGlSQ/edit?pli=1#gid=0"",""1_ACUM!A4:S""),17,FALSE))"),"")</f>
        <v/>
      </c>
      <c r="BE318" s="44" t="str">
        <f ca="1">IFERROR(__xludf.DUMMYFUNCTION("IFERROR(VLOOKUP(E584&amp;F584,IMPORTRANGE(""https://docs.google.com/spreadsheets/d/1Uw7-A9f9R21vMXxHZFNpYNeKFtG8_yji4HS352LGlSQ/edit?pli=1#gid=0"",""1_ACUM!A4:S""),18,FALSE))"),"")</f>
        <v/>
      </c>
      <c r="BF318" s="44" t="str">
        <f ca="1">IFERROR(__xludf.DUMMYFUNCTION("IFERROR(VLOOKUP(E584&amp;F584,IMPORTRANGE(""https://docs.google.com/spreadsheets/d/1Uw7-A9f9R21vMXxHZFNpYNeKFtG8_yji4HS352LGlSQ/edit?pli=1#gid=0"",""1_ACUM!A4:S""),19,FALSE))"),"")</f>
        <v/>
      </c>
      <c r="BG318" s="98" t="str">
        <f ca="1">IFERROR(__xludf.DUMMYFUNCTION("IFERROR(VLOOKUP(F584,IMPORTRANGE(""https://docs.google.com/spreadsheets/d/1Kvs4KS76FHFqLFIZfrDMff4kP08nblUkihrxltoGBjg/edit#gid=934712705"",""ESENCIAL!A6:BG""),5,FALSE))"),"")</f>
        <v/>
      </c>
      <c r="BH318" s="98" t="str">
        <f t="shared" si="21"/>
        <v/>
      </c>
      <c r="BI318" s="99" t="str">
        <f t="shared" si="22"/>
        <v/>
      </c>
      <c r="BJ318" s="100" t="str">
        <f ca="1">IFERROR(__xludf.DUMMYFUNCTION("IFERROR(VLOOKUP(F584,IMPORTRANGE(""https://docs.google.com/spreadsheets/d/1Kvs4KS76FHFqLFIZfrDMff4kP08nblUkihrxltoGBjg/edit#gid=934712705"",""ESENCIAL!A6:BG""),2,FALSE))"),"")</f>
        <v/>
      </c>
      <c r="BK318" s="19" t="str">
        <f t="shared" si="23"/>
        <v/>
      </c>
      <c r="BL318" s="100"/>
      <c r="BM318" s="100"/>
    </row>
    <row r="319" spans="2:65" ht="15">
      <c r="B319" s="39"/>
      <c r="C319" s="5"/>
      <c r="D319" s="123"/>
      <c r="E319" s="39"/>
      <c r="F319" s="39"/>
      <c r="G319" s="39"/>
      <c r="H319" s="5" t="str">
        <f ca="1">IFERROR(__xludf.DUMMYFUNCTION("IFERROR(VLOOKUP(F585,IMPORTRANGE(""https://docs.google.com/spreadsheets/d/1Kvs4KS76FHFqLFIZfrDMff4kP08nblUkihrxltoGBjg/edit#gid=934712705"",""ESENCIAL!A6:BG""),3,FALSE))"),"")</f>
        <v/>
      </c>
      <c r="I319" s="5" t="str">
        <f ca="1">IFERROR(__xludf.DUMMYFUNCTION("IFERROR(VLOOKUP(F585,IMPORTRANGE(""https://docs.google.com/spreadsheets/d/1Kvs4KS76FHFqLFIZfrDMff4kP08nblUkihrxltoGBjg/edit#gid=934712705"",""ESENCIAL!A6:BG""),8,FALSE))"),"")</f>
        <v/>
      </c>
      <c r="J319" s="39"/>
      <c r="M319" s="287"/>
      <c r="AV319" s="41" t="str">
        <f t="shared" si="20"/>
        <v/>
      </c>
      <c r="AW319" s="5" t="str">
        <f ca="1">IFERROR(__xludf.DUMMYFUNCTION("IFERROR(VLOOKUP(E585&amp;F585,IMPORTRANGE(""https://docs.google.com/spreadsheets/d/1Uw7-A9f9R21vMXxHZFNpYNeKFtG8_yji4HS352LGlSQ/edit?pli=1#gid=0"",""1_ACUM!A4:S""),11,FALSE))"),"")</f>
        <v/>
      </c>
      <c r="AX319" s="42" t="str">
        <f ca="1">IFERROR(__xludf.DUMMYFUNCTION("IFERROR(VLOOKUP(F585,IMPORTRANGE(""https://docs.google.com/spreadsheets/d/1Kvs4KS76FHFqLFIZfrDMff4kP08nblUkihrxltoGBjg/edit#gid=934712705"",""ESENCIAL!A6:BG""),15,FALSE))"),"")</f>
        <v/>
      </c>
      <c r="AY319" s="110" t="str">
        <f ca="1">IFERROR(__xludf.DUMMYFUNCTION("IFERROR(VLOOKUP(E585&amp;F585,IMPORTRANGE(""https://docs.google.com/spreadsheets/d/1Uw7-A9f9R21vMXxHZFNpYNeKFtG8_yji4HS352LGlSQ/edit?pli=1#gid=0"",""1_ACUM!A4:S""),13,FALSE))"),"")</f>
        <v/>
      </c>
      <c r="AZ319" s="43" t="str">
        <f ca="1">IFERROR(__xludf.DUMMYFUNCTION("IFERROR(VLOOKUP(E585&amp;F585,IMPORTRANGE(""https://docs.google.com/spreadsheets/d/1Uw7-A9f9R21vMXxHZFNpYNeKFtG8_yji4HS352LGlSQ/edit?pli=1#gid=0"",""1_ACUM!A4:S""),13,FALSE))"),"")</f>
        <v/>
      </c>
      <c r="BA319" s="43" t="str">
        <f ca="1">IFERROR(__xludf.DUMMYFUNCTION("IFERROR(VLOOKUP(E585&amp;F585,IMPORTRANGE(""https://docs.google.com/spreadsheets/d/1Uw7-A9f9R21vMXxHZFNpYNeKFtG8_yji4HS352LGlSQ/edit?pli=1#gid=0"",""1_ACUM!A4:S""),14,FALSE))"),"")</f>
        <v/>
      </c>
      <c r="BB319" s="43" t="str">
        <f ca="1">IFERROR(__xludf.DUMMYFUNCTION("IFERROR(VLOOKUP(E585&amp;F585,IMPORTRANGE(""https://docs.google.com/spreadsheets/d/1Uw7-A9f9R21vMXxHZFNpYNeKFtG8_yji4HS352LGlSQ/edit?pli=1#gid=0"",""1_ACUM!A4:S""),15,FALSE))"),"")</f>
        <v/>
      </c>
      <c r="BC319" s="43" t="str">
        <f ca="1">IFERROR(__xludf.DUMMYFUNCTION("IFERROR(VLOOKUP(E585&amp;F585,IMPORTRANGE(""https://docs.google.com/spreadsheets/d/1Uw7-A9f9R21vMXxHZFNpYNeKFtG8_yji4HS352LGlSQ/edit?pli=1#gid=0"",""1_ACUM!A4:S""),16,FALSE))"),"")</f>
        <v/>
      </c>
      <c r="BD319" s="43" t="str">
        <f ca="1">IFERROR(__xludf.DUMMYFUNCTION("IFERROR(VLOOKUP(E585&amp;F585,IMPORTRANGE(""https://docs.google.com/spreadsheets/d/1Uw7-A9f9R21vMXxHZFNpYNeKFtG8_yji4HS352LGlSQ/edit?pli=1#gid=0"",""1_ACUM!A4:S""),17,FALSE))"),"")</f>
        <v/>
      </c>
      <c r="BE319" s="44" t="str">
        <f ca="1">IFERROR(__xludf.DUMMYFUNCTION("IFERROR(VLOOKUP(E585&amp;F585,IMPORTRANGE(""https://docs.google.com/spreadsheets/d/1Uw7-A9f9R21vMXxHZFNpYNeKFtG8_yji4HS352LGlSQ/edit?pli=1#gid=0"",""1_ACUM!A4:S""),18,FALSE))"),"")</f>
        <v/>
      </c>
      <c r="BF319" s="44" t="str">
        <f ca="1">IFERROR(__xludf.DUMMYFUNCTION("IFERROR(VLOOKUP(E585&amp;F585,IMPORTRANGE(""https://docs.google.com/spreadsheets/d/1Uw7-A9f9R21vMXxHZFNpYNeKFtG8_yji4HS352LGlSQ/edit?pli=1#gid=0"",""1_ACUM!A4:S""),19,FALSE))"),"")</f>
        <v/>
      </c>
      <c r="BG319" s="98" t="str">
        <f ca="1">IFERROR(__xludf.DUMMYFUNCTION("IFERROR(VLOOKUP(F585,IMPORTRANGE(""https://docs.google.com/spreadsheets/d/1Kvs4KS76FHFqLFIZfrDMff4kP08nblUkihrxltoGBjg/edit#gid=934712705"",""ESENCIAL!A6:BG""),5,FALSE))"),"")</f>
        <v/>
      </c>
      <c r="BH319" s="98" t="str">
        <f t="shared" si="21"/>
        <v/>
      </c>
      <c r="BI319" s="99" t="str">
        <f t="shared" si="22"/>
        <v/>
      </c>
      <c r="BJ319" s="100" t="str">
        <f ca="1">IFERROR(__xludf.DUMMYFUNCTION("IFERROR(VLOOKUP(F585,IMPORTRANGE(""https://docs.google.com/spreadsheets/d/1Kvs4KS76FHFqLFIZfrDMff4kP08nblUkihrxltoGBjg/edit#gid=934712705"",""ESENCIAL!A6:BG""),2,FALSE))"),"")</f>
        <v/>
      </c>
      <c r="BK319" s="19" t="str">
        <f t="shared" si="23"/>
        <v/>
      </c>
      <c r="BL319" s="100"/>
      <c r="BM319" s="100"/>
    </row>
    <row r="320" spans="2:65" ht="15">
      <c r="B320" s="39"/>
      <c r="C320" s="5"/>
      <c r="D320" s="123"/>
      <c r="E320" s="39"/>
      <c r="F320" s="39"/>
      <c r="G320" s="39"/>
      <c r="H320" s="5" t="str">
        <f ca="1">IFERROR(__xludf.DUMMYFUNCTION("IFERROR(VLOOKUP(F586,IMPORTRANGE(""https://docs.google.com/spreadsheets/d/1Kvs4KS76FHFqLFIZfrDMff4kP08nblUkihrxltoGBjg/edit#gid=934712705"",""ESENCIAL!A6:BG""),3,FALSE))"),"")</f>
        <v/>
      </c>
      <c r="I320" s="5" t="str">
        <f ca="1">IFERROR(__xludf.DUMMYFUNCTION("IFERROR(VLOOKUP(F586,IMPORTRANGE(""https://docs.google.com/spreadsheets/d/1Kvs4KS76FHFqLFIZfrDMff4kP08nblUkihrxltoGBjg/edit#gid=934712705"",""ESENCIAL!A6:BG""),8,FALSE))"),"")</f>
        <v/>
      </c>
      <c r="J320" s="39"/>
      <c r="M320" s="287"/>
      <c r="AV320" s="41" t="str">
        <f t="shared" si="20"/>
        <v/>
      </c>
      <c r="AW320" s="5" t="str">
        <f ca="1">IFERROR(__xludf.DUMMYFUNCTION("IFERROR(VLOOKUP(E586&amp;F586,IMPORTRANGE(""https://docs.google.com/spreadsheets/d/1Uw7-A9f9R21vMXxHZFNpYNeKFtG8_yji4HS352LGlSQ/edit?pli=1#gid=0"",""1_ACUM!A4:S""),11,FALSE))"),"")</f>
        <v/>
      </c>
      <c r="AX320" s="42" t="str">
        <f ca="1">IFERROR(__xludf.DUMMYFUNCTION("IFERROR(VLOOKUP(F586,IMPORTRANGE(""https://docs.google.com/spreadsheets/d/1Kvs4KS76FHFqLFIZfrDMff4kP08nblUkihrxltoGBjg/edit#gid=934712705"",""ESENCIAL!A6:BG""),15,FALSE))"),"")</f>
        <v/>
      </c>
      <c r="AY320" s="110" t="str">
        <f ca="1">IFERROR(__xludf.DUMMYFUNCTION("IFERROR(VLOOKUP(E586&amp;F586,IMPORTRANGE(""https://docs.google.com/spreadsheets/d/1Uw7-A9f9R21vMXxHZFNpYNeKFtG8_yji4HS352LGlSQ/edit?pli=1#gid=0"",""1_ACUM!A4:S""),13,FALSE))"),"")</f>
        <v/>
      </c>
      <c r="AZ320" s="43" t="str">
        <f ca="1">IFERROR(__xludf.DUMMYFUNCTION("IFERROR(VLOOKUP(E586&amp;F586,IMPORTRANGE(""https://docs.google.com/spreadsheets/d/1Uw7-A9f9R21vMXxHZFNpYNeKFtG8_yji4HS352LGlSQ/edit?pli=1#gid=0"",""1_ACUM!A4:S""),13,FALSE))"),"")</f>
        <v/>
      </c>
      <c r="BA320" s="43" t="str">
        <f ca="1">IFERROR(__xludf.DUMMYFUNCTION("IFERROR(VLOOKUP(E586&amp;F586,IMPORTRANGE(""https://docs.google.com/spreadsheets/d/1Uw7-A9f9R21vMXxHZFNpYNeKFtG8_yji4HS352LGlSQ/edit?pli=1#gid=0"",""1_ACUM!A4:S""),14,FALSE))"),"")</f>
        <v/>
      </c>
      <c r="BB320" s="43" t="str">
        <f ca="1">IFERROR(__xludf.DUMMYFUNCTION("IFERROR(VLOOKUP(E586&amp;F586,IMPORTRANGE(""https://docs.google.com/spreadsheets/d/1Uw7-A9f9R21vMXxHZFNpYNeKFtG8_yji4HS352LGlSQ/edit?pli=1#gid=0"",""1_ACUM!A4:S""),15,FALSE))"),"")</f>
        <v/>
      </c>
      <c r="BC320" s="43" t="str">
        <f ca="1">IFERROR(__xludf.DUMMYFUNCTION("IFERROR(VLOOKUP(E586&amp;F586,IMPORTRANGE(""https://docs.google.com/spreadsheets/d/1Uw7-A9f9R21vMXxHZFNpYNeKFtG8_yji4HS352LGlSQ/edit?pli=1#gid=0"",""1_ACUM!A4:S""),16,FALSE))"),"")</f>
        <v/>
      </c>
      <c r="BD320" s="43" t="str">
        <f ca="1">IFERROR(__xludf.DUMMYFUNCTION("IFERROR(VLOOKUP(E586&amp;F586,IMPORTRANGE(""https://docs.google.com/spreadsheets/d/1Uw7-A9f9R21vMXxHZFNpYNeKFtG8_yji4HS352LGlSQ/edit?pli=1#gid=0"",""1_ACUM!A4:S""),17,FALSE))"),"")</f>
        <v/>
      </c>
      <c r="BE320" s="44" t="str">
        <f ca="1">IFERROR(__xludf.DUMMYFUNCTION("IFERROR(VLOOKUP(E586&amp;F586,IMPORTRANGE(""https://docs.google.com/spreadsheets/d/1Uw7-A9f9R21vMXxHZFNpYNeKFtG8_yji4HS352LGlSQ/edit?pli=1#gid=0"",""1_ACUM!A4:S""),18,FALSE))"),"")</f>
        <v/>
      </c>
      <c r="BF320" s="44" t="str">
        <f ca="1">IFERROR(__xludf.DUMMYFUNCTION("IFERROR(VLOOKUP(E586&amp;F586,IMPORTRANGE(""https://docs.google.com/spreadsheets/d/1Uw7-A9f9R21vMXxHZFNpYNeKFtG8_yji4HS352LGlSQ/edit?pli=1#gid=0"",""1_ACUM!A4:S""),19,FALSE))"),"")</f>
        <v/>
      </c>
      <c r="BG320" s="98" t="str">
        <f ca="1">IFERROR(__xludf.DUMMYFUNCTION("IFERROR(VLOOKUP(F586,IMPORTRANGE(""https://docs.google.com/spreadsheets/d/1Kvs4KS76FHFqLFIZfrDMff4kP08nblUkihrxltoGBjg/edit#gid=934712705"",""ESENCIAL!A6:BG""),5,FALSE))"),"")</f>
        <v/>
      </c>
      <c r="BH320" s="98" t="str">
        <f t="shared" si="21"/>
        <v/>
      </c>
      <c r="BI320" s="99" t="str">
        <f t="shared" si="22"/>
        <v/>
      </c>
      <c r="BJ320" s="100" t="str">
        <f ca="1">IFERROR(__xludf.DUMMYFUNCTION("IFERROR(VLOOKUP(F586,IMPORTRANGE(""https://docs.google.com/spreadsheets/d/1Kvs4KS76FHFqLFIZfrDMff4kP08nblUkihrxltoGBjg/edit#gid=934712705"",""ESENCIAL!A6:BG""),2,FALSE))"),"")</f>
        <v/>
      </c>
      <c r="BK320" s="19" t="str">
        <f t="shared" si="23"/>
        <v/>
      </c>
      <c r="BL320" s="100"/>
      <c r="BM320" s="100"/>
    </row>
    <row r="321" spans="2:65" ht="15">
      <c r="B321" s="39"/>
      <c r="C321" s="5"/>
      <c r="D321" s="123"/>
      <c r="E321" s="39"/>
      <c r="F321" s="39"/>
      <c r="G321" s="39"/>
      <c r="H321" s="5" t="str">
        <f ca="1">IFERROR(__xludf.DUMMYFUNCTION("IFERROR(VLOOKUP(F587,IMPORTRANGE(""https://docs.google.com/spreadsheets/d/1Kvs4KS76FHFqLFIZfrDMff4kP08nblUkihrxltoGBjg/edit#gid=934712705"",""ESENCIAL!A6:BG""),3,FALSE))"),"")</f>
        <v/>
      </c>
      <c r="I321" s="5" t="str">
        <f ca="1">IFERROR(__xludf.DUMMYFUNCTION("IFERROR(VLOOKUP(F587,IMPORTRANGE(""https://docs.google.com/spreadsheets/d/1Kvs4KS76FHFqLFIZfrDMff4kP08nblUkihrxltoGBjg/edit#gid=934712705"",""ESENCIAL!A6:BG""),8,FALSE))"),"")</f>
        <v/>
      </c>
      <c r="J321" s="39"/>
      <c r="M321" s="287"/>
      <c r="AV321" s="41" t="str">
        <f t="shared" si="20"/>
        <v/>
      </c>
      <c r="AW321" s="5" t="str">
        <f ca="1">IFERROR(__xludf.DUMMYFUNCTION("IFERROR(VLOOKUP(E587&amp;F587,IMPORTRANGE(""https://docs.google.com/spreadsheets/d/1Uw7-A9f9R21vMXxHZFNpYNeKFtG8_yji4HS352LGlSQ/edit?pli=1#gid=0"",""1_ACUM!A4:S""),11,FALSE))"),"")</f>
        <v/>
      </c>
      <c r="AX321" s="42" t="str">
        <f ca="1">IFERROR(__xludf.DUMMYFUNCTION("IFERROR(VLOOKUP(F587,IMPORTRANGE(""https://docs.google.com/spreadsheets/d/1Kvs4KS76FHFqLFIZfrDMff4kP08nblUkihrxltoGBjg/edit#gid=934712705"",""ESENCIAL!A6:BG""),15,FALSE))"),"")</f>
        <v/>
      </c>
      <c r="AY321" s="110" t="str">
        <f ca="1">IFERROR(__xludf.DUMMYFUNCTION("IFERROR(VLOOKUP(E587&amp;F587,IMPORTRANGE(""https://docs.google.com/spreadsheets/d/1Uw7-A9f9R21vMXxHZFNpYNeKFtG8_yji4HS352LGlSQ/edit?pli=1#gid=0"",""1_ACUM!A4:S""),13,FALSE))"),"")</f>
        <v/>
      </c>
      <c r="AZ321" s="43" t="str">
        <f ca="1">IFERROR(__xludf.DUMMYFUNCTION("IFERROR(VLOOKUP(E587&amp;F587,IMPORTRANGE(""https://docs.google.com/spreadsheets/d/1Uw7-A9f9R21vMXxHZFNpYNeKFtG8_yji4HS352LGlSQ/edit?pli=1#gid=0"",""1_ACUM!A4:S""),13,FALSE))"),"")</f>
        <v/>
      </c>
      <c r="BA321" s="43" t="str">
        <f ca="1">IFERROR(__xludf.DUMMYFUNCTION("IFERROR(VLOOKUP(E587&amp;F587,IMPORTRANGE(""https://docs.google.com/spreadsheets/d/1Uw7-A9f9R21vMXxHZFNpYNeKFtG8_yji4HS352LGlSQ/edit?pli=1#gid=0"",""1_ACUM!A4:S""),14,FALSE))"),"")</f>
        <v/>
      </c>
      <c r="BB321" s="43" t="str">
        <f ca="1">IFERROR(__xludf.DUMMYFUNCTION("IFERROR(VLOOKUP(E587&amp;F587,IMPORTRANGE(""https://docs.google.com/spreadsheets/d/1Uw7-A9f9R21vMXxHZFNpYNeKFtG8_yji4HS352LGlSQ/edit?pli=1#gid=0"",""1_ACUM!A4:S""),15,FALSE))"),"")</f>
        <v/>
      </c>
      <c r="BC321" s="43" t="str">
        <f ca="1">IFERROR(__xludf.DUMMYFUNCTION("IFERROR(VLOOKUP(E587&amp;F587,IMPORTRANGE(""https://docs.google.com/spreadsheets/d/1Uw7-A9f9R21vMXxHZFNpYNeKFtG8_yji4HS352LGlSQ/edit?pli=1#gid=0"",""1_ACUM!A4:S""),16,FALSE))"),"")</f>
        <v/>
      </c>
      <c r="BD321" s="43" t="str">
        <f ca="1">IFERROR(__xludf.DUMMYFUNCTION("IFERROR(VLOOKUP(E587&amp;F587,IMPORTRANGE(""https://docs.google.com/spreadsheets/d/1Uw7-A9f9R21vMXxHZFNpYNeKFtG8_yji4HS352LGlSQ/edit?pli=1#gid=0"",""1_ACUM!A4:S""),17,FALSE))"),"")</f>
        <v/>
      </c>
      <c r="BE321" s="44" t="str">
        <f ca="1">IFERROR(__xludf.DUMMYFUNCTION("IFERROR(VLOOKUP(E587&amp;F587,IMPORTRANGE(""https://docs.google.com/spreadsheets/d/1Uw7-A9f9R21vMXxHZFNpYNeKFtG8_yji4HS352LGlSQ/edit?pli=1#gid=0"",""1_ACUM!A4:S""),18,FALSE))"),"")</f>
        <v/>
      </c>
      <c r="BF321" s="44" t="str">
        <f ca="1">IFERROR(__xludf.DUMMYFUNCTION("IFERROR(VLOOKUP(E587&amp;F587,IMPORTRANGE(""https://docs.google.com/spreadsheets/d/1Uw7-A9f9R21vMXxHZFNpYNeKFtG8_yji4HS352LGlSQ/edit?pli=1#gid=0"",""1_ACUM!A4:S""),19,FALSE))"),"")</f>
        <v/>
      </c>
      <c r="BG321" s="98" t="str">
        <f ca="1">IFERROR(__xludf.DUMMYFUNCTION("IFERROR(VLOOKUP(F587,IMPORTRANGE(""https://docs.google.com/spreadsheets/d/1Kvs4KS76FHFqLFIZfrDMff4kP08nblUkihrxltoGBjg/edit#gid=934712705"",""ESENCIAL!A6:BG""),5,FALSE))"),"")</f>
        <v/>
      </c>
      <c r="BH321" s="98" t="str">
        <f t="shared" si="21"/>
        <v/>
      </c>
      <c r="BI321" s="99" t="str">
        <f t="shared" si="22"/>
        <v/>
      </c>
      <c r="BJ321" s="100" t="str">
        <f ca="1">IFERROR(__xludf.DUMMYFUNCTION("IFERROR(VLOOKUP(F587,IMPORTRANGE(""https://docs.google.com/spreadsheets/d/1Kvs4KS76FHFqLFIZfrDMff4kP08nblUkihrxltoGBjg/edit#gid=934712705"",""ESENCIAL!A6:BG""),2,FALSE))"),"")</f>
        <v/>
      </c>
      <c r="BK321" s="19" t="str">
        <f t="shared" si="23"/>
        <v/>
      </c>
      <c r="BL321" s="100"/>
      <c r="BM321" s="100"/>
    </row>
    <row r="322" spans="2:65" ht="15">
      <c r="B322" s="39"/>
      <c r="C322" s="5"/>
      <c r="D322" s="123"/>
      <c r="E322" s="39"/>
      <c r="F322" s="39"/>
      <c r="G322" s="39"/>
      <c r="H322" s="5" t="str">
        <f ca="1">IFERROR(__xludf.DUMMYFUNCTION("IFERROR(VLOOKUP(F588,IMPORTRANGE(""https://docs.google.com/spreadsheets/d/1Kvs4KS76FHFqLFIZfrDMff4kP08nblUkihrxltoGBjg/edit#gid=934712705"",""ESENCIAL!A6:BG""),3,FALSE))"),"")</f>
        <v/>
      </c>
      <c r="I322" s="5" t="str">
        <f ca="1">IFERROR(__xludf.DUMMYFUNCTION("IFERROR(VLOOKUP(F588,IMPORTRANGE(""https://docs.google.com/spreadsheets/d/1Kvs4KS76FHFqLFIZfrDMff4kP08nblUkihrxltoGBjg/edit#gid=934712705"",""ESENCIAL!A6:BG""),8,FALSE))"),"")</f>
        <v/>
      </c>
      <c r="J322" s="39"/>
      <c r="M322" s="287"/>
      <c r="AV322" s="41" t="str">
        <f t="shared" si="20"/>
        <v/>
      </c>
      <c r="AW322" s="5" t="str">
        <f ca="1">IFERROR(__xludf.DUMMYFUNCTION("IFERROR(VLOOKUP(E588&amp;F588,IMPORTRANGE(""https://docs.google.com/spreadsheets/d/1Uw7-A9f9R21vMXxHZFNpYNeKFtG8_yji4HS352LGlSQ/edit?pli=1#gid=0"",""1_ACUM!A4:S""),11,FALSE))"),"")</f>
        <v/>
      </c>
      <c r="AX322" s="42" t="str">
        <f ca="1">IFERROR(__xludf.DUMMYFUNCTION("IFERROR(VLOOKUP(F588,IMPORTRANGE(""https://docs.google.com/spreadsheets/d/1Kvs4KS76FHFqLFIZfrDMff4kP08nblUkihrxltoGBjg/edit#gid=934712705"",""ESENCIAL!A6:BG""),15,FALSE))"),"")</f>
        <v/>
      </c>
      <c r="AY322" s="110" t="str">
        <f ca="1">IFERROR(__xludf.DUMMYFUNCTION("IFERROR(VLOOKUP(E588&amp;F588,IMPORTRANGE(""https://docs.google.com/spreadsheets/d/1Uw7-A9f9R21vMXxHZFNpYNeKFtG8_yji4HS352LGlSQ/edit?pli=1#gid=0"",""1_ACUM!A4:S""),13,FALSE))"),"")</f>
        <v/>
      </c>
      <c r="AZ322" s="43" t="str">
        <f ca="1">IFERROR(__xludf.DUMMYFUNCTION("IFERROR(VLOOKUP(E588&amp;F588,IMPORTRANGE(""https://docs.google.com/spreadsheets/d/1Uw7-A9f9R21vMXxHZFNpYNeKFtG8_yji4HS352LGlSQ/edit?pli=1#gid=0"",""1_ACUM!A4:S""),13,FALSE))"),"")</f>
        <v/>
      </c>
      <c r="BA322" s="43" t="str">
        <f ca="1">IFERROR(__xludf.DUMMYFUNCTION("IFERROR(VLOOKUP(E588&amp;F588,IMPORTRANGE(""https://docs.google.com/spreadsheets/d/1Uw7-A9f9R21vMXxHZFNpYNeKFtG8_yji4HS352LGlSQ/edit?pli=1#gid=0"",""1_ACUM!A4:S""),14,FALSE))"),"")</f>
        <v/>
      </c>
      <c r="BB322" s="43" t="str">
        <f ca="1">IFERROR(__xludf.DUMMYFUNCTION("IFERROR(VLOOKUP(E588&amp;F588,IMPORTRANGE(""https://docs.google.com/spreadsheets/d/1Uw7-A9f9R21vMXxHZFNpYNeKFtG8_yji4HS352LGlSQ/edit?pli=1#gid=0"",""1_ACUM!A4:S""),15,FALSE))"),"")</f>
        <v/>
      </c>
      <c r="BC322" s="43" t="str">
        <f ca="1">IFERROR(__xludf.DUMMYFUNCTION("IFERROR(VLOOKUP(E588&amp;F588,IMPORTRANGE(""https://docs.google.com/spreadsheets/d/1Uw7-A9f9R21vMXxHZFNpYNeKFtG8_yji4HS352LGlSQ/edit?pli=1#gid=0"",""1_ACUM!A4:S""),16,FALSE))"),"")</f>
        <v/>
      </c>
      <c r="BD322" s="43" t="str">
        <f ca="1">IFERROR(__xludf.DUMMYFUNCTION("IFERROR(VLOOKUP(E588&amp;F588,IMPORTRANGE(""https://docs.google.com/spreadsheets/d/1Uw7-A9f9R21vMXxHZFNpYNeKFtG8_yji4HS352LGlSQ/edit?pli=1#gid=0"",""1_ACUM!A4:S""),17,FALSE))"),"")</f>
        <v/>
      </c>
      <c r="BE322" s="44" t="str">
        <f ca="1">IFERROR(__xludf.DUMMYFUNCTION("IFERROR(VLOOKUP(E588&amp;F588,IMPORTRANGE(""https://docs.google.com/spreadsheets/d/1Uw7-A9f9R21vMXxHZFNpYNeKFtG8_yji4HS352LGlSQ/edit?pli=1#gid=0"",""1_ACUM!A4:S""),18,FALSE))"),"")</f>
        <v/>
      </c>
      <c r="BF322" s="44" t="str">
        <f ca="1">IFERROR(__xludf.DUMMYFUNCTION("IFERROR(VLOOKUP(E588&amp;F588,IMPORTRANGE(""https://docs.google.com/spreadsheets/d/1Uw7-A9f9R21vMXxHZFNpYNeKFtG8_yji4HS352LGlSQ/edit?pli=1#gid=0"",""1_ACUM!A4:S""),19,FALSE))"),"")</f>
        <v/>
      </c>
      <c r="BG322" s="98" t="str">
        <f ca="1">IFERROR(__xludf.DUMMYFUNCTION("IFERROR(VLOOKUP(F588,IMPORTRANGE(""https://docs.google.com/spreadsheets/d/1Kvs4KS76FHFqLFIZfrDMff4kP08nblUkihrxltoGBjg/edit#gid=934712705"",""ESENCIAL!A6:BG""),5,FALSE))"),"")</f>
        <v/>
      </c>
      <c r="BH322" s="98" t="str">
        <f t="shared" si="21"/>
        <v/>
      </c>
      <c r="BI322" s="99" t="str">
        <f t="shared" si="22"/>
        <v/>
      </c>
      <c r="BJ322" s="100" t="str">
        <f ca="1">IFERROR(__xludf.DUMMYFUNCTION("IFERROR(VLOOKUP(F588,IMPORTRANGE(""https://docs.google.com/spreadsheets/d/1Kvs4KS76FHFqLFIZfrDMff4kP08nblUkihrxltoGBjg/edit#gid=934712705"",""ESENCIAL!A6:BG""),2,FALSE))"),"")</f>
        <v/>
      </c>
      <c r="BK322" s="19" t="str">
        <f t="shared" si="23"/>
        <v/>
      </c>
      <c r="BL322" s="100"/>
      <c r="BM322" s="100"/>
    </row>
    <row r="323" spans="2:65" ht="15">
      <c r="B323" s="39"/>
      <c r="C323" s="5"/>
      <c r="D323" s="123"/>
      <c r="E323" s="39"/>
      <c r="F323" s="39"/>
      <c r="G323" s="39"/>
      <c r="H323" s="5" t="str">
        <f ca="1">IFERROR(__xludf.DUMMYFUNCTION("IFERROR(VLOOKUP(F589,IMPORTRANGE(""https://docs.google.com/spreadsheets/d/1Kvs4KS76FHFqLFIZfrDMff4kP08nblUkihrxltoGBjg/edit#gid=934712705"",""ESENCIAL!A6:BG""),3,FALSE))"),"")</f>
        <v/>
      </c>
      <c r="I323" s="5" t="str">
        <f ca="1">IFERROR(__xludf.DUMMYFUNCTION("IFERROR(VLOOKUP(F589,IMPORTRANGE(""https://docs.google.com/spreadsheets/d/1Kvs4KS76FHFqLFIZfrDMff4kP08nblUkihrxltoGBjg/edit#gid=934712705"",""ESENCIAL!A6:BG""),8,FALSE))"),"")</f>
        <v/>
      </c>
      <c r="J323" s="39"/>
      <c r="M323" s="287"/>
      <c r="AV323" s="41" t="str">
        <f t="shared" si="20"/>
        <v/>
      </c>
      <c r="AW323" s="5" t="str">
        <f ca="1">IFERROR(__xludf.DUMMYFUNCTION("IFERROR(VLOOKUP(E589&amp;F589,IMPORTRANGE(""https://docs.google.com/spreadsheets/d/1Uw7-A9f9R21vMXxHZFNpYNeKFtG8_yji4HS352LGlSQ/edit?pli=1#gid=0"",""1_ACUM!A4:S""),11,FALSE))"),"")</f>
        <v/>
      </c>
      <c r="AX323" s="42" t="str">
        <f ca="1">IFERROR(__xludf.DUMMYFUNCTION("IFERROR(VLOOKUP(F589,IMPORTRANGE(""https://docs.google.com/spreadsheets/d/1Kvs4KS76FHFqLFIZfrDMff4kP08nblUkihrxltoGBjg/edit#gid=934712705"",""ESENCIAL!A6:BG""),15,FALSE))"),"")</f>
        <v/>
      </c>
      <c r="AY323" s="110" t="str">
        <f ca="1">IFERROR(__xludf.DUMMYFUNCTION("IFERROR(VLOOKUP(E589&amp;F589,IMPORTRANGE(""https://docs.google.com/spreadsheets/d/1Uw7-A9f9R21vMXxHZFNpYNeKFtG8_yji4HS352LGlSQ/edit?pli=1#gid=0"",""1_ACUM!A4:S""),13,FALSE))"),"")</f>
        <v/>
      </c>
      <c r="AZ323" s="43" t="str">
        <f ca="1">IFERROR(__xludf.DUMMYFUNCTION("IFERROR(VLOOKUP(E589&amp;F589,IMPORTRANGE(""https://docs.google.com/spreadsheets/d/1Uw7-A9f9R21vMXxHZFNpYNeKFtG8_yji4HS352LGlSQ/edit?pli=1#gid=0"",""1_ACUM!A4:S""),13,FALSE))"),"")</f>
        <v/>
      </c>
      <c r="BA323" s="43" t="str">
        <f ca="1">IFERROR(__xludf.DUMMYFUNCTION("IFERROR(VLOOKUP(E589&amp;F589,IMPORTRANGE(""https://docs.google.com/spreadsheets/d/1Uw7-A9f9R21vMXxHZFNpYNeKFtG8_yji4HS352LGlSQ/edit?pli=1#gid=0"",""1_ACUM!A4:S""),14,FALSE))"),"")</f>
        <v/>
      </c>
      <c r="BB323" s="43" t="str">
        <f ca="1">IFERROR(__xludf.DUMMYFUNCTION("IFERROR(VLOOKUP(E589&amp;F589,IMPORTRANGE(""https://docs.google.com/spreadsheets/d/1Uw7-A9f9R21vMXxHZFNpYNeKFtG8_yji4HS352LGlSQ/edit?pli=1#gid=0"",""1_ACUM!A4:S""),15,FALSE))"),"")</f>
        <v/>
      </c>
      <c r="BC323" s="43" t="str">
        <f ca="1">IFERROR(__xludf.DUMMYFUNCTION("IFERROR(VLOOKUP(E589&amp;F589,IMPORTRANGE(""https://docs.google.com/spreadsheets/d/1Uw7-A9f9R21vMXxHZFNpYNeKFtG8_yji4HS352LGlSQ/edit?pli=1#gid=0"",""1_ACUM!A4:S""),16,FALSE))"),"")</f>
        <v/>
      </c>
      <c r="BD323" s="43" t="str">
        <f ca="1">IFERROR(__xludf.DUMMYFUNCTION("IFERROR(VLOOKUP(E589&amp;F589,IMPORTRANGE(""https://docs.google.com/spreadsheets/d/1Uw7-A9f9R21vMXxHZFNpYNeKFtG8_yji4HS352LGlSQ/edit?pli=1#gid=0"",""1_ACUM!A4:S""),17,FALSE))"),"")</f>
        <v/>
      </c>
      <c r="BE323" s="44" t="str">
        <f ca="1">IFERROR(__xludf.DUMMYFUNCTION("IFERROR(VLOOKUP(E589&amp;F589,IMPORTRANGE(""https://docs.google.com/spreadsheets/d/1Uw7-A9f9R21vMXxHZFNpYNeKFtG8_yji4HS352LGlSQ/edit?pli=1#gid=0"",""1_ACUM!A4:S""),18,FALSE))"),"")</f>
        <v/>
      </c>
      <c r="BF323" s="44" t="str">
        <f ca="1">IFERROR(__xludf.DUMMYFUNCTION("IFERROR(VLOOKUP(E589&amp;F589,IMPORTRANGE(""https://docs.google.com/spreadsheets/d/1Uw7-A9f9R21vMXxHZFNpYNeKFtG8_yji4HS352LGlSQ/edit?pli=1#gid=0"",""1_ACUM!A4:S""),19,FALSE))"),"")</f>
        <v/>
      </c>
      <c r="BG323" s="98" t="str">
        <f ca="1">IFERROR(__xludf.DUMMYFUNCTION("IFERROR(VLOOKUP(F589,IMPORTRANGE(""https://docs.google.com/spreadsheets/d/1Kvs4KS76FHFqLFIZfrDMff4kP08nblUkihrxltoGBjg/edit#gid=934712705"",""ESENCIAL!A6:BG""),5,FALSE))"),"")</f>
        <v/>
      </c>
      <c r="BH323" s="98" t="str">
        <f t="shared" si="21"/>
        <v/>
      </c>
      <c r="BI323" s="99" t="str">
        <f t="shared" si="22"/>
        <v/>
      </c>
      <c r="BJ323" s="100" t="str">
        <f ca="1">IFERROR(__xludf.DUMMYFUNCTION("IFERROR(VLOOKUP(F589,IMPORTRANGE(""https://docs.google.com/spreadsheets/d/1Kvs4KS76FHFqLFIZfrDMff4kP08nblUkihrxltoGBjg/edit#gid=934712705"",""ESENCIAL!A6:BG""),2,FALSE))"),"")</f>
        <v/>
      </c>
      <c r="BK323" s="19" t="str">
        <f t="shared" si="23"/>
        <v/>
      </c>
      <c r="BL323" s="100"/>
      <c r="BM323" s="100"/>
    </row>
    <row r="324" spans="2:65" ht="15">
      <c r="B324" s="39"/>
      <c r="C324" s="5"/>
      <c r="D324" s="123"/>
      <c r="E324" s="39"/>
      <c r="F324" s="39"/>
      <c r="G324" s="39"/>
      <c r="H324" s="5" t="str">
        <f ca="1">IFERROR(__xludf.DUMMYFUNCTION("IFERROR(VLOOKUP(F590,IMPORTRANGE(""https://docs.google.com/spreadsheets/d/1Kvs4KS76FHFqLFIZfrDMff4kP08nblUkihrxltoGBjg/edit#gid=934712705"",""ESENCIAL!A6:BG""),3,FALSE))"),"")</f>
        <v/>
      </c>
      <c r="I324" s="5" t="str">
        <f ca="1">IFERROR(__xludf.DUMMYFUNCTION("IFERROR(VLOOKUP(F590,IMPORTRANGE(""https://docs.google.com/spreadsheets/d/1Kvs4KS76FHFqLFIZfrDMff4kP08nblUkihrxltoGBjg/edit#gid=934712705"",""ESENCIAL!A6:BG""),8,FALSE))"),"")</f>
        <v/>
      </c>
      <c r="J324" s="39"/>
      <c r="M324" s="287"/>
      <c r="AV324" s="41" t="str">
        <f t="shared" si="20"/>
        <v/>
      </c>
      <c r="AW324" s="5" t="str">
        <f ca="1">IFERROR(__xludf.DUMMYFUNCTION("IFERROR(VLOOKUP(E590&amp;F590,IMPORTRANGE(""https://docs.google.com/spreadsheets/d/1Uw7-A9f9R21vMXxHZFNpYNeKFtG8_yji4HS352LGlSQ/edit?pli=1#gid=0"",""1_ACUM!A4:S""),11,FALSE))"),"")</f>
        <v/>
      </c>
      <c r="AX324" s="42" t="str">
        <f ca="1">IFERROR(__xludf.DUMMYFUNCTION("IFERROR(VLOOKUP(F590,IMPORTRANGE(""https://docs.google.com/spreadsheets/d/1Kvs4KS76FHFqLFIZfrDMff4kP08nblUkihrxltoGBjg/edit#gid=934712705"",""ESENCIAL!A6:BG""),15,FALSE))"),"")</f>
        <v/>
      </c>
      <c r="AY324" s="110" t="str">
        <f ca="1">IFERROR(__xludf.DUMMYFUNCTION("IFERROR(VLOOKUP(E590&amp;F590,IMPORTRANGE(""https://docs.google.com/spreadsheets/d/1Uw7-A9f9R21vMXxHZFNpYNeKFtG8_yji4HS352LGlSQ/edit?pli=1#gid=0"",""1_ACUM!A4:S""),13,FALSE))"),"")</f>
        <v/>
      </c>
      <c r="AZ324" s="43" t="str">
        <f ca="1">IFERROR(__xludf.DUMMYFUNCTION("IFERROR(VLOOKUP(E590&amp;F590,IMPORTRANGE(""https://docs.google.com/spreadsheets/d/1Uw7-A9f9R21vMXxHZFNpYNeKFtG8_yji4HS352LGlSQ/edit?pli=1#gid=0"",""1_ACUM!A4:S""),13,FALSE))"),"")</f>
        <v/>
      </c>
      <c r="BA324" s="43" t="str">
        <f ca="1">IFERROR(__xludf.DUMMYFUNCTION("IFERROR(VLOOKUP(E590&amp;F590,IMPORTRANGE(""https://docs.google.com/spreadsheets/d/1Uw7-A9f9R21vMXxHZFNpYNeKFtG8_yji4HS352LGlSQ/edit?pli=1#gid=0"",""1_ACUM!A4:S""),14,FALSE))"),"")</f>
        <v/>
      </c>
      <c r="BB324" s="43" t="str">
        <f ca="1">IFERROR(__xludf.DUMMYFUNCTION("IFERROR(VLOOKUP(E590&amp;F590,IMPORTRANGE(""https://docs.google.com/spreadsheets/d/1Uw7-A9f9R21vMXxHZFNpYNeKFtG8_yji4HS352LGlSQ/edit?pli=1#gid=0"",""1_ACUM!A4:S""),15,FALSE))"),"")</f>
        <v/>
      </c>
      <c r="BC324" s="43" t="str">
        <f ca="1">IFERROR(__xludf.DUMMYFUNCTION("IFERROR(VLOOKUP(E590&amp;F590,IMPORTRANGE(""https://docs.google.com/spreadsheets/d/1Uw7-A9f9R21vMXxHZFNpYNeKFtG8_yji4HS352LGlSQ/edit?pli=1#gid=0"",""1_ACUM!A4:S""),16,FALSE))"),"")</f>
        <v/>
      </c>
      <c r="BD324" s="43" t="str">
        <f ca="1">IFERROR(__xludf.DUMMYFUNCTION("IFERROR(VLOOKUP(E590&amp;F590,IMPORTRANGE(""https://docs.google.com/spreadsheets/d/1Uw7-A9f9R21vMXxHZFNpYNeKFtG8_yji4HS352LGlSQ/edit?pli=1#gid=0"",""1_ACUM!A4:S""),17,FALSE))"),"")</f>
        <v/>
      </c>
      <c r="BE324" s="44" t="str">
        <f ca="1">IFERROR(__xludf.DUMMYFUNCTION("IFERROR(VLOOKUP(E590&amp;F590,IMPORTRANGE(""https://docs.google.com/spreadsheets/d/1Uw7-A9f9R21vMXxHZFNpYNeKFtG8_yji4HS352LGlSQ/edit?pli=1#gid=0"",""1_ACUM!A4:S""),18,FALSE))"),"")</f>
        <v/>
      </c>
      <c r="BF324" s="44" t="str">
        <f ca="1">IFERROR(__xludf.DUMMYFUNCTION("IFERROR(VLOOKUP(E590&amp;F590,IMPORTRANGE(""https://docs.google.com/spreadsheets/d/1Uw7-A9f9R21vMXxHZFNpYNeKFtG8_yji4HS352LGlSQ/edit?pli=1#gid=0"",""1_ACUM!A4:S""),19,FALSE))"),"")</f>
        <v/>
      </c>
      <c r="BG324" s="98" t="str">
        <f ca="1">IFERROR(__xludf.DUMMYFUNCTION("IFERROR(VLOOKUP(F590,IMPORTRANGE(""https://docs.google.com/spreadsheets/d/1Kvs4KS76FHFqLFIZfrDMff4kP08nblUkihrxltoGBjg/edit#gid=934712705"",""ESENCIAL!A6:BG""),5,FALSE))"),"")</f>
        <v/>
      </c>
      <c r="BH324" s="98" t="str">
        <f t="shared" si="21"/>
        <v/>
      </c>
      <c r="BI324" s="99" t="str">
        <f t="shared" si="22"/>
        <v/>
      </c>
      <c r="BJ324" s="100" t="str">
        <f ca="1">IFERROR(__xludf.DUMMYFUNCTION("IFERROR(VLOOKUP(F590,IMPORTRANGE(""https://docs.google.com/spreadsheets/d/1Kvs4KS76FHFqLFIZfrDMff4kP08nblUkihrxltoGBjg/edit#gid=934712705"",""ESENCIAL!A6:BG""),2,FALSE))"),"")</f>
        <v/>
      </c>
      <c r="BK324" s="19" t="str">
        <f t="shared" si="23"/>
        <v/>
      </c>
      <c r="BL324" s="100"/>
      <c r="BM324" s="100"/>
    </row>
    <row r="325" spans="2:65" ht="15">
      <c r="B325" s="39"/>
      <c r="C325" s="5"/>
      <c r="D325" s="123"/>
      <c r="E325" s="39"/>
      <c r="F325" s="39"/>
      <c r="G325" s="39"/>
      <c r="H325" s="5" t="str">
        <f ca="1">IFERROR(__xludf.DUMMYFUNCTION("IFERROR(VLOOKUP(F591,IMPORTRANGE(""https://docs.google.com/spreadsheets/d/1Kvs4KS76FHFqLFIZfrDMff4kP08nblUkihrxltoGBjg/edit#gid=934712705"",""ESENCIAL!A6:BG""),3,FALSE))"),"")</f>
        <v/>
      </c>
      <c r="I325" s="5" t="str">
        <f ca="1">IFERROR(__xludf.DUMMYFUNCTION("IFERROR(VLOOKUP(F591,IMPORTRANGE(""https://docs.google.com/spreadsheets/d/1Kvs4KS76FHFqLFIZfrDMff4kP08nblUkihrxltoGBjg/edit#gid=934712705"",""ESENCIAL!A6:BG""),8,FALSE))"),"")</f>
        <v/>
      </c>
      <c r="J325" s="39"/>
      <c r="M325" s="287"/>
      <c r="AV325" s="41" t="str">
        <f t="shared" si="20"/>
        <v/>
      </c>
      <c r="AW325" s="5" t="str">
        <f ca="1">IFERROR(__xludf.DUMMYFUNCTION("IFERROR(VLOOKUP(E591&amp;F591,IMPORTRANGE(""https://docs.google.com/spreadsheets/d/1Uw7-A9f9R21vMXxHZFNpYNeKFtG8_yji4HS352LGlSQ/edit?pli=1#gid=0"",""1_ACUM!A4:S""),11,FALSE))"),"")</f>
        <v/>
      </c>
      <c r="AX325" s="42" t="str">
        <f ca="1">IFERROR(__xludf.DUMMYFUNCTION("IFERROR(VLOOKUP(F591,IMPORTRANGE(""https://docs.google.com/spreadsheets/d/1Kvs4KS76FHFqLFIZfrDMff4kP08nblUkihrxltoGBjg/edit#gid=934712705"",""ESENCIAL!A6:BG""),15,FALSE))"),"")</f>
        <v/>
      </c>
      <c r="AY325" s="110" t="str">
        <f ca="1">IFERROR(__xludf.DUMMYFUNCTION("IFERROR(VLOOKUP(E591&amp;F591,IMPORTRANGE(""https://docs.google.com/spreadsheets/d/1Uw7-A9f9R21vMXxHZFNpYNeKFtG8_yji4HS352LGlSQ/edit?pli=1#gid=0"",""1_ACUM!A4:S""),13,FALSE))"),"")</f>
        <v/>
      </c>
      <c r="AZ325" s="43" t="str">
        <f ca="1">IFERROR(__xludf.DUMMYFUNCTION("IFERROR(VLOOKUP(E591&amp;F591,IMPORTRANGE(""https://docs.google.com/spreadsheets/d/1Uw7-A9f9R21vMXxHZFNpYNeKFtG8_yji4HS352LGlSQ/edit?pli=1#gid=0"",""1_ACUM!A4:S""),13,FALSE))"),"")</f>
        <v/>
      </c>
      <c r="BA325" s="43" t="str">
        <f ca="1">IFERROR(__xludf.DUMMYFUNCTION("IFERROR(VLOOKUP(E591&amp;F591,IMPORTRANGE(""https://docs.google.com/spreadsheets/d/1Uw7-A9f9R21vMXxHZFNpYNeKFtG8_yji4HS352LGlSQ/edit?pli=1#gid=0"",""1_ACUM!A4:S""),14,FALSE))"),"")</f>
        <v/>
      </c>
      <c r="BB325" s="43" t="str">
        <f ca="1">IFERROR(__xludf.DUMMYFUNCTION("IFERROR(VLOOKUP(E591&amp;F591,IMPORTRANGE(""https://docs.google.com/spreadsheets/d/1Uw7-A9f9R21vMXxHZFNpYNeKFtG8_yji4HS352LGlSQ/edit?pli=1#gid=0"",""1_ACUM!A4:S""),15,FALSE))"),"")</f>
        <v/>
      </c>
      <c r="BC325" s="43" t="str">
        <f ca="1">IFERROR(__xludf.DUMMYFUNCTION("IFERROR(VLOOKUP(E591&amp;F591,IMPORTRANGE(""https://docs.google.com/spreadsheets/d/1Uw7-A9f9R21vMXxHZFNpYNeKFtG8_yji4HS352LGlSQ/edit?pli=1#gid=0"",""1_ACUM!A4:S""),16,FALSE))"),"")</f>
        <v/>
      </c>
      <c r="BD325" s="43" t="str">
        <f ca="1">IFERROR(__xludf.DUMMYFUNCTION("IFERROR(VLOOKUP(E591&amp;F591,IMPORTRANGE(""https://docs.google.com/spreadsheets/d/1Uw7-A9f9R21vMXxHZFNpYNeKFtG8_yji4HS352LGlSQ/edit?pli=1#gid=0"",""1_ACUM!A4:S""),17,FALSE))"),"")</f>
        <v/>
      </c>
      <c r="BE325" s="44" t="str">
        <f ca="1">IFERROR(__xludf.DUMMYFUNCTION("IFERROR(VLOOKUP(E591&amp;F591,IMPORTRANGE(""https://docs.google.com/spreadsheets/d/1Uw7-A9f9R21vMXxHZFNpYNeKFtG8_yji4HS352LGlSQ/edit?pli=1#gid=0"",""1_ACUM!A4:S""),18,FALSE))"),"")</f>
        <v/>
      </c>
      <c r="BF325" s="44" t="str">
        <f ca="1">IFERROR(__xludf.DUMMYFUNCTION("IFERROR(VLOOKUP(E591&amp;F591,IMPORTRANGE(""https://docs.google.com/spreadsheets/d/1Uw7-A9f9R21vMXxHZFNpYNeKFtG8_yji4HS352LGlSQ/edit?pli=1#gid=0"",""1_ACUM!A4:S""),19,FALSE))"),"")</f>
        <v/>
      </c>
      <c r="BG325" s="98" t="str">
        <f ca="1">IFERROR(__xludf.DUMMYFUNCTION("IFERROR(VLOOKUP(F591,IMPORTRANGE(""https://docs.google.com/spreadsheets/d/1Kvs4KS76FHFqLFIZfrDMff4kP08nblUkihrxltoGBjg/edit#gid=934712705"",""ESENCIAL!A6:BG""),5,FALSE))"),"")</f>
        <v/>
      </c>
      <c r="BH325" s="98" t="str">
        <f t="shared" si="21"/>
        <v/>
      </c>
      <c r="BI325" s="99" t="str">
        <f t="shared" si="22"/>
        <v/>
      </c>
      <c r="BJ325" s="100" t="str">
        <f ca="1">IFERROR(__xludf.DUMMYFUNCTION("IFERROR(VLOOKUP(F591,IMPORTRANGE(""https://docs.google.com/spreadsheets/d/1Kvs4KS76FHFqLFIZfrDMff4kP08nblUkihrxltoGBjg/edit#gid=934712705"",""ESENCIAL!A6:BG""),2,FALSE))"),"")</f>
        <v/>
      </c>
      <c r="BK325" s="19" t="str">
        <f t="shared" si="23"/>
        <v/>
      </c>
      <c r="BL325" s="100"/>
      <c r="BM325" s="100"/>
    </row>
    <row r="326" spans="2:65" ht="15">
      <c r="B326" s="39"/>
      <c r="C326" s="5"/>
      <c r="D326" s="123"/>
      <c r="E326" s="39"/>
      <c r="F326" s="39"/>
      <c r="G326" s="39"/>
      <c r="H326" s="5" t="str">
        <f ca="1">IFERROR(__xludf.DUMMYFUNCTION("IFERROR(VLOOKUP(F592,IMPORTRANGE(""https://docs.google.com/spreadsheets/d/1Kvs4KS76FHFqLFIZfrDMff4kP08nblUkihrxltoGBjg/edit#gid=934712705"",""ESENCIAL!A6:BG""),3,FALSE))"),"")</f>
        <v/>
      </c>
      <c r="I326" s="5" t="str">
        <f ca="1">IFERROR(__xludf.DUMMYFUNCTION("IFERROR(VLOOKUP(F592,IMPORTRANGE(""https://docs.google.com/spreadsheets/d/1Kvs4KS76FHFqLFIZfrDMff4kP08nblUkihrxltoGBjg/edit#gid=934712705"",""ESENCIAL!A6:BG""),8,FALSE))"),"")</f>
        <v/>
      </c>
      <c r="J326" s="39"/>
      <c r="M326" s="287"/>
      <c r="AV326" s="41" t="str">
        <f t="shared" si="20"/>
        <v/>
      </c>
      <c r="AW326" s="5" t="str">
        <f ca="1">IFERROR(__xludf.DUMMYFUNCTION("IFERROR(VLOOKUP(E592&amp;F592,IMPORTRANGE(""https://docs.google.com/spreadsheets/d/1Uw7-A9f9R21vMXxHZFNpYNeKFtG8_yji4HS352LGlSQ/edit?pli=1#gid=0"",""1_ACUM!A4:S""),11,FALSE))"),"")</f>
        <v/>
      </c>
      <c r="AX326" s="42" t="str">
        <f ca="1">IFERROR(__xludf.DUMMYFUNCTION("IFERROR(VLOOKUP(F592,IMPORTRANGE(""https://docs.google.com/spreadsheets/d/1Kvs4KS76FHFqLFIZfrDMff4kP08nblUkihrxltoGBjg/edit#gid=934712705"",""ESENCIAL!A6:BG""),15,FALSE))"),"")</f>
        <v/>
      </c>
      <c r="AY326" s="110" t="str">
        <f ca="1">IFERROR(__xludf.DUMMYFUNCTION("IFERROR(VLOOKUP(E592&amp;F592,IMPORTRANGE(""https://docs.google.com/spreadsheets/d/1Uw7-A9f9R21vMXxHZFNpYNeKFtG8_yji4HS352LGlSQ/edit?pli=1#gid=0"",""1_ACUM!A4:S""),13,FALSE))"),"")</f>
        <v/>
      </c>
      <c r="AZ326" s="43" t="str">
        <f ca="1">IFERROR(__xludf.DUMMYFUNCTION("IFERROR(VLOOKUP(E592&amp;F592,IMPORTRANGE(""https://docs.google.com/spreadsheets/d/1Uw7-A9f9R21vMXxHZFNpYNeKFtG8_yji4HS352LGlSQ/edit?pli=1#gid=0"",""1_ACUM!A4:S""),13,FALSE))"),"")</f>
        <v/>
      </c>
      <c r="BA326" s="43" t="str">
        <f ca="1">IFERROR(__xludf.DUMMYFUNCTION("IFERROR(VLOOKUP(E592&amp;F592,IMPORTRANGE(""https://docs.google.com/spreadsheets/d/1Uw7-A9f9R21vMXxHZFNpYNeKFtG8_yji4HS352LGlSQ/edit?pli=1#gid=0"",""1_ACUM!A4:S""),14,FALSE))"),"")</f>
        <v/>
      </c>
      <c r="BB326" s="43" t="str">
        <f ca="1">IFERROR(__xludf.DUMMYFUNCTION("IFERROR(VLOOKUP(E592&amp;F592,IMPORTRANGE(""https://docs.google.com/spreadsheets/d/1Uw7-A9f9R21vMXxHZFNpYNeKFtG8_yji4HS352LGlSQ/edit?pli=1#gid=0"",""1_ACUM!A4:S""),15,FALSE))"),"")</f>
        <v/>
      </c>
      <c r="BC326" s="43" t="str">
        <f ca="1">IFERROR(__xludf.DUMMYFUNCTION("IFERROR(VLOOKUP(E592&amp;F592,IMPORTRANGE(""https://docs.google.com/spreadsheets/d/1Uw7-A9f9R21vMXxHZFNpYNeKFtG8_yji4HS352LGlSQ/edit?pli=1#gid=0"",""1_ACUM!A4:S""),16,FALSE))"),"")</f>
        <v/>
      </c>
      <c r="BD326" s="43" t="str">
        <f ca="1">IFERROR(__xludf.DUMMYFUNCTION("IFERROR(VLOOKUP(E592&amp;F592,IMPORTRANGE(""https://docs.google.com/spreadsheets/d/1Uw7-A9f9R21vMXxHZFNpYNeKFtG8_yji4HS352LGlSQ/edit?pli=1#gid=0"",""1_ACUM!A4:S""),17,FALSE))"),"")</f>
        <v/>
      </c>
      <c r="BE326" s="44" t="str">
        <f ca="1">IFERROR(__xludf.DUMMYFUNCTION("IFERROR(VLOOKUP(E592&amp;F592,IMPORTRANGE(""https://docs.google.com/spreadsheets/d/1Uw7-A9f9R21vMXxHZFNpYNeKFtG8_yji4HS352LGlSQ/edit?pli=1#gid=0"",""1_ACUM!A4:S""),18,FALSE))"),"")</f>
        <v/>
      </c>
      <c r="BF326" s="44" t="str">
        <f ca="1">IFERROR(__xludf.DUMMYFUNCTION("IFERROR(VLOOKUP(E592&amp;F592,IMPORTRANGE(""https://docs.google.com/spreadsheets/d/1Uw7-A9f9R21vMXxHZFNpYNeKFtG8_yji4HS352LGlSQ/edit?pli=1#gid=0"",""1_ACUM!A4:S""),19,FALSE))"),"")</f>
        <v/>
      </c>
      <c r="BG326" s="98" t="str">
        <f ca="1">IFERROR(__xludf.DUMMYFUNCTION("IFERROR(VLOOKUP(F592,IMPORTRANGE(""https://docs.google.com/spreadsheets/d/1Kvs4KS76FHFqLFIZfrDMff4kP08nblUkihrxltoGBjg/edit#gid=934712705"",""ESENCIAL!A6:BG""),5,FALSE))"),"")</f>
        <v/>
      </c>
      <c r="BH326" s="98" t="str">
        <f t="shared" si="21"/>
        <v/>
      </c>
      <c r="BI326" s="99" t="str">
        <f t="shared" si="22"/>
        <v/>
      </c>
      <c r="BJ326" s="100" t="str">
        <f ca="1">IFERROR(__xludf.DUMMYFUNCTION("IFERROR(VLOOKUP(F592,IMPORTRANGE(""https://docs.google.com/spreadsheets/d/1Kvs4KS76FHFqLFIZfrDMff4kP08nblUkihrxltoGBjg/edit#gid=934712705"",""ESENCIAL!A6:BG""),2,FALSE))"),"")</f>
        <v/>
      </c>
      <c r="BK326" s="19" t="str">
        <f t="shared" si="23"/>
        <v/>
      </c>
      <c r="BL326" s="100"/>
      <c r="BM326" s="100"/>
    </row>
    <row r="327" spans="2:65" ht="15">
      <c r="B327" s="39"/>
      <c r="C327" s="5"/>
      <c r="D327" s="123"/>
      <c r="E327" s="39"/>
      <c r="F327" s="39"/>
      <c r="G327" s="39"/>
      <c r="H327" s="5" t="str">
        <f ca="1">IFERROR(__xludf.DUMMYFUNCTION("IFERROR(VLOOKUP(F593,IMPORTRANGE(""https://docs.google.com/spreadsheets/d/1Kvs4KS76FHFqLFIZfrDMff4kP08nblUkihrxltoGBjg/edit#gid=934712705"",""ESENCIAL!A6:BG""),3,FALSE))"),"")</f>
        <v/>
      </c>
      <c r="I327" s="5" t="str">
        <f ca="1">IFERROR(__xludf.DUMMYFUNCTION("IFERROR(VLOOKUP(F593,IMPORTRANGE(""https://docs.google.com/spreadsheets/d/1Kvs4KS76FHFqLFIZfrDMff4kP08nblUkihrxltoGBjg/edit#gid=934712705"",""ESENCIAL!A6:BG""),8,FALSE))"),"")</f>
        <v/>
      </c>
      <c r="J327" s="39"/>
      <c r="M327" s="287"/>
      <c r="AV327" s="41" t="str">
        <f t="shared" si="20"/>
        <v/>
      </c>
      <c r="AW327" s="5" t="str">
        <f ca="1">IFERROR(__xludf.DUMMYFUNCTION("IFERROR(VLOOKUP(E593&amp;F593,IMPORTRANGE(""https://docs.google.com/spreadsheets/d/1Uw7-A9f9R21vMXxHZFNpYNeKFtG8_yji4HS352LGlSQ/edit?pli=1#gid=0"",""1_ACUM!A4:S""),11,FALSE))"),"")</f>
        <v/>
      </c>
      <c r="AX327" s="42" t="str">
        <f ca="1">IFERROR(__xludf.DUMMYFUNCTION("IFERROR(VLOOKUP(F593,IMPORTRANGE(""https://docs.google.com/spreadsheets/d/1Kvs4KS76FHFqLFIZfrDMff4kP08nblUkihrxltoGBjg/edit#gid=934712705"",""ESENCIAL!A6:BG""),15,FALSE))"),"")</f>
        <v/>
      </c>
      <c r="AY327" s="110" t="str">
        <f ca="1">IFERROR(__xludf.DUMMYFUNCTION("IFERROR(VLOOKUP(E593&amp;F593,IMPORTRANGE(""https://docs.google.com/spreadsheets/d/1Uw7-A9f9R21vMXxHZFNpYNeKFtG8_yji4HS352LGlSQ/edit?pli=1#gid=0"",""1_ACUM!A4:S""),13,FALSE))"),"")</f>
        <v/>
      </c>
      <c r="AZ327" s="43" t="str">
        <f ca="1">IFERROR(__xludf.DUMMYFUNCTION("IFERROR(VLOOKUP(E593&amp;F593,IMPORTRANGE(""https://docs.google.com/spreadsheets/d/1Uw7-A9f9R21vMXxHZFNpYNeKFtG8_yji4HS352LGlSQ/edit?pli=1#gid=0"",""1_ACUM!A4:S""),13,FALSE))"),"")</f>
        <v/>
      </c>
      <c r="BA327" s="43" t="str">
        <f ca="1">IFERROR(__xludf.DUMMYFUNCTION("IFERROR(VLOOKUP(E593&amp;F593,IMPORTRANGE(""https://docs.google.com/spreadsheets/d/1Uw7-A9f9R21vMXxHZFNpYNeKFtG8_yji4HS352LGlSQ/edit?pli=1#gid=0"",""1_ACUM!A4:S""),14,FALSE))"),"")</f>
        <v/>
      </c>
      <c r="BB327" s="43" t="str">
        <f ca="1">IFERROR(__xludf.DUMMYFUNCTION("IFERROR(VLOOKUP(E593&amp;F593,IMPORTRANGE(""https://docs.google.com/spreadsheets/d/1Uw7-A9f9R21vMXxHZFNpYNeKFtG8_yji4HS352LGlSQ/edit?pli=1#gid=0"",""1_ACUM!A4:S""),15,FALSE))"),"")</f>
        <v/>
      </c>
      <c r="BC327" s="43" t="str">
        <f ca="1">IFERROR(__xludf.DUMMYFUNCTION("IFERROR(VLOOKUP(E593&amp;F593,IMPORTRANGE(""https://docs.google.com/spreadsheets/d/1Uw7-A9f9R21vMXxHZFNpYNeKFtG8_yji4HS352LGlSQ/edit?pli=1#gid=0"",""1_ACUM!A4:S""),16,FALSE))"),"")</f>
        <v/>
      </c>
      <c r="BD327" s="43" t="str">
        <f ca="1">IFERROR(__xludf.DUMMYFUNCTION("IFERROR(VLOOKUP(E593&amp;F593,IMPORTRANGE(""https://docs.google.com/spreadsheets/d/1Uw7-A9f9R21vMXxHZFNpYNeKFtG8_yji4HS352LGlSQ/edit?pli=1#gid=0"",""1_ACUM!A4:S""),17,FALSE))"),"")</f>
        <v/>
      </c>
      <c r="BE327" s="44" t="str">
        <f ca="1">IFERROR(__xludf.DUMMYFUNCTION("IFERROR(VLOOKUP(E593&amp;F593,IMPORTRANGE(""https://docs.google.com/spreadsheets/d/1Uw7-A9f9R21vMXxHZFNpYNeKFtG8_yji4HS352LGlSQ/edit?pli=1#gid=0"",""1_ACUM!A4:S""),18,FALSE))"),"")</f>
        <v/>
      </c>
      <c r="BF327" s="44" t="str">
        <f ca="1">IFERROR(__xludf.DUMMYFUNCTION("IFERROR(VLOOKUP(E593&amp;F593,IMPORTRANGE(""https://docs.google.com/spreadsheets/d/1Uw7-A9f9R21vMXxHZFNpYNeKFtG8_yji4HS352LGlSQ/edit?pli=1#gid=0"",""1_ACUM!A4:S""),19,FALSE))"),"")</f>
        <v/>
      </c>
      <c r="BG327" s="98" t="str">
        <f ca="1">IFERROR(__xludf.DUMMYFUNCTION("IFERROR(VLOOKUP(F593,IMPORTRANGE(""https://docs.google.com/spreadsheets/d/1Kvs4KS76FHFqLFIZfrDMff4kP08nblUkihrxltoGBjg/edit#gid=934712705"",""ESENCIAL!A6:BG""),5,FALSE))"),"")</f>
        <v/>
      </c>
      <c r="BH327" s="98" t="str">
        <f t="shared" si="21"/>
        <v/>
      </c>
      <c r="BI327" s="99" t="str">
        <f t="shared" si="22"/>
        <v/>
      </c>
      <c r="BJ327" s="100" t="str">
        <f ca="1">IFERROR(__xludf.DUMMYFUNCTION("IFERROR(VLOOKUP(F593,IMPORTRANGE(""https://docs.google.com/spreadsheets/d/1Kvs4KS76FHFqLFIZfrDMff4kP08nblUkihrxltoGBjg/edit#gid=934712705"",""ESENCIAL!A6:BG""),2,FALSE))"),"")</f>
        <v/>
      </c>
      <c r="BK327" s="19" t="str">
        <f t="shared" si="23"/>
        <v/>
      </c>
      <c r="BL327" s="100"/>
      <c r="BM327" s="100"/>
    </row>
    <row r="328" spans="2:65" ht="15">
      <c r="B328" s="39"/>
      <c r="C328" s="5"/>
      <c r="D328" s="123"/>
      <c r="E328" s="39"/>
      <c r="F328" s="39"/>
      <c r="G328" s="39"/>
      <c r="H328" s="5" t="str">
        <f ca="1">IFERROR(__xludf.DUMMYFUNCTION("IFERROR(VLOOKUP(F594,IMPORTRANGE(""https://docs.google.com/spreadsheets/d/1Kvs4KS76FHFqLFIZfrDMff4kP08nblUkihrxltoGBjg/edit#gid=934712705"",""ESENCIAL!A6:BG""),3,FALSE))"),"")</f>
        <v/>
      </c>
      <c r="I328" s="5" t="str">
        <f ca="1">IFERROR(__xludf.DUMMYFUNCTION("IFERROR(VLOOKUP(F594,IMPORTRANGE(""https://docs.google.com/spreadsheets/d/1Kvs4KS76FHFqLFIZfrDMff4kP08nblUkihrxltoGBjg/edit#gid=934712705"",""ESENCIAL!A6:BG""),8,FALSE))"),"")</f>
        <v/>
      </c>
      <c r="J328" s="39"/>
      <c r="M328" s="287"/>
      <c r="AV328" s="41" t="str">
        <f t="shared" si="20"/>
        <v/>
      </c>
      <c r="AW328" s="5" t="str">
        <f ca="1">IFERROR(__xludf.DUMMYFUNCTION("IFERROR(VLOOKUP(E594&amp;F594,IMPORTRANGE(""https://docs.google.com/spreadsheets/d/1Uw7-A9f9R21vMXxHZFNpYNeKFtG8_yji4HS352LGlSQ/edit?pli=1#gid=0"",""1_ACUM!A4:S""),11,FALSE))"),"")</f>
        <v/>
      </c>
      <c r="AX328" s="42" t="str">
        <f ca="1">IFERROR(__xludf.DUMMYFUNCTION("IFERROR(VLOOKUP(F594,IMPORTRANGE(""https://docs.google.com/spreadsheets/d/1Kvs4KS76FHFqLFIZfrDMff4kP08nblUkihrxltoGBjg/edit#gid=934712705"",""ESENCIAL!A6:BG""),15,FALSE))"),"")</f>
        <v/>
      </c>
      <c r="AY328" s="110" t="str">
        <f ca="1">IFERROR(__xludf.DUMMYFUNCTION("IFERROR(VLOOKUP(E594&amp;F594,IMPORTRANGE(""https://docs.google.com/spreadsheets/d/1Uw7-A9f9R21vMXxHZFNpYNeKFtG8_yji4HS352LGlSQ/edit?pli=1#gid=0"",""1_ACUM!A4:S""),13,FALSE))"),"")</f>
        <v/>
      </c>
      <c r="AZ328" s="43" t="str">
        <f ca="1">IFERROR(__xludf.DUMMYFUNCTION("IFERROR(VLOOKUP(E594&amp;F594,IMPORTRANGE(""https://docs.google.com/spreadsheets/d/1Uw7-A9f9R21vMXxHZFNpYNeKFtG8_yji4HS352LGlSQ/edit?pli=1#gid=0"",""1_ACUM!A4:S""),13,FALSE))"),"")</f>
        <v/>
      </c>
      <c r="BA328" s="43" t="str">
        <f ca="1">IFERROR(__xludf.DUMMYFUNCTION("IFERROR(VLOOKUP(E594&amp;F594,IMPORTRANGE(""https://docs.google.com/spreadsheets/d/1Uw7-A9f9R21vMXxHZFNpYNeKFtG8_yji4HS352LGlSQ/edit?pli=1#gid=0"",""1_ACUM!A4:S""),14,FALSE))"),"")</f>
        <v/>
      </c>
      <c r="BB328" s="43" t="str">
        <f ca="1">IFERROR(__xludf.DUMMYFUNCTION("IFERROR(VLOOKUP(E594&amp;F594,IMPORTRANGE(""https://docs.google.com/spreadsheets/d/1Uw7-A9f9R21vMXxHZFNpYNeKFtG8_yji4HS352LGlSQ/edit?pli=1#gid=0"",""1_ACUM!A4:S""),15,FALSE))"),"")</f>
        <v/>
      </c>
      <c r="BC328" s="43" t="str">
        <f ca="1">IFERROR(__xludf.DUMMYFUNCTION("IFERROR(VLOOKUP(E594&amp;F594,IMPORTRANGE(""https://docs.google.com/spreadsheets/d/1Uw7-A9f9R21vMXxHZFNpYNeKFtG8_yji4HS352LGlSQ/edit?pli=1#gid=0"",""1_ACUM!A4:S""),16,FALSE))"),"")</f>
        <v/>
      </c>
      <c r="BD328" s="43" t="str">
        <f ca="1">IFERROR(__xludf.DUMMYFUNCTION("IFERROR(VLOOKUP(E594&amp;F594,IMPORTRANGE(""https://docs.google.com/spreadsheets/d/1Uw7-A9f9R21vMXxHZFNpYNeKFtG8_yji4HS352LGlSQ/edit?pli=1#gid=0"",""1_ACUM!A4:S""),17,FALSE))"),"")</f>
        <v/>
      </c>
      <c r="BE328" s="44" t="str">
        <f ca="1">IFERROR(__xludf.DUMMYFUNCTION("IFERROR(VLOOKUP(E594&amp;F594,IMPORTRANGE(""https://docs.google.com/spreadsheets/d/1Uw7-A9f9R21vMXxHZFNpYNeKFtG8_yji4HS352LGlSQ/edit?pli=1#gid=0"",""1_ACUM!A4:S""),18,FALSE))"),"")</f>
        <v/>
      </c>
      <c r="BF328" s="44" t="str">
        <f ca="1">IFERROR(__xludf.DUMMYFUNCTION("IFERROR(VLOOKUP(E594&amp;F594,IMPORTRANGE(""https://docs.google.com/spreadsheets/d/1Uw7-A9f9R21vMXxHZFNpYNeKFtG8_yji4HS352LGlSQ/edit?pli=1#gid=0"",""1_ACUM!A4:S""),19,FALSE))"),"")</f>
        <v/>
      </c>
      <c r="BG328" s="98" t="str">
        <f ca="1">IFERROR(__xludf.DUMMYFUNCTION("IFERROR(VLOOKUP(F594,IMPORTRANGE(""https://docs.google.com/spreadsheets/d/1Kvs4KS76FHFqLFIZfrDMff4kP08nblUkihrxltoGBjg/edit#gid=934712705"",""ESENCIAL!A6:BG""),5,FALSE))"),"")</f>
        <v/>
      </c>
      <c r="BH328" s="98" t="str">
        <f t="shared" si="21"/>
        <v/>
      </c>
      <c r="BI328" s="99" t="str">
        <f t="shared" si="22"/>
        <v/>
      </c>
      <c r="BJ328" s="100" t="str">
        <f ca="1">IFERROR(__xludf.DUMMYFUNCTION("IFERROR(VLOOKUP(F594,IMPORTRANGE(""https://docs.google.com/spreadsheets/d/1Kvs4KS76FHFqLFIZfrDMff4kP08nblUkihrxltoGBjg/edit#gid=934712705"",""ESENCIAL!A6:BG""),2,FALSE))"),"")</f>
        <v/>
      </c>
      <c r="BK328" s="19" t="str">
        <f t="shared" si="23"/>
        <v/>
      </c>
      <c r="BL328" s="100"/>
      <c r="BM328" s="100"/>
    </row>
    <row r="329" spans="2:65" ht="15">
      <c r="B329" s="39"/>
      <c r="C329" s="5"/>
      <c r="D329" s="123"/>
      <c r="E329" s="39"/>
      <c r="F329" s="39"/>
      <c r="G329" s="39"/>
      <c r="H329" s="5" t="str">
        <f ca="1">IFERROR(__xludf.DUMMYFUNCTION("IFERROR(VLOOKUP(F595,IMPORTRANGE(""https://docs.google.com/spreadsheets/d/1Kvs4KS76FHFqLFIZfrDMff4kP08nblUkihrxltoGBjg/edit#gid=934712705"",""ESENCIAL!A6:BG""),3,FALSE))"),"")</f>
        <v/>
      </c>
      <c r="I329" s="5" t="str">
        <f ca="1">IFERROR(__xludf.DUMMYFUNCTION("IFERROR(VLOOKUP(F595,IMPORTRANGE(""https://docs.google.com/spreadsheets/d/1Kvs4KS76FHFqLFIZfrDMff4kP08nblUkihrxltoGBjg/edit#gid=934712705"",""ESENCIAL!A6:BG""),8,FALSE))"),"")</f>
        <v/>
      </c>
      <c r="J329" s="39"/>
      <c r="M329" s="287"/>
      <c r="AV329" s="41" t="str">
        <f t="shared" si="20"/>
        <v/>
      </c>
      <c r="AW329" s="5" t="str">
        <f ca="1">IFERROR(__xludf.DUMMYFUNCTION("IFERROR(VLOOKUP(E595&amp;F595,IMPORTRANGE(""https://docs.google.com/spreadsheets/d/1Uw7-A9f9R21vMXxHZFNpYNeKFtG8_yji4HS352LGlSQ/edit?pli=1#gid=0"",""1_ACUM!A4:S""),11,FALSE))"),"")</f>
        <v/>
      </c>
      <c r="AX329" s="42" t="str">
        <f ca="1">IFERROR(__xludf.DUMMYFUNCTION("IFERROR(VLOOKUP(F595,IMPORTRANGE(""https://docs.google.com/spreadsheets/d/1Kvs4KS76FHFqLFIZfrDMff4kP08nblUkihrxltoGBjg/edit#gid=934712705"",""ESENCIAL!A6:BG""),15,FALSE))"),"")</f>
        <v/>
      </c>
      <c r="AY329" s="110" t="str">
        <f ca="1">IFERROR(__xludf.DUMMYFUNCTION("IFERROR(VLOOKUP(E595&amp;F595,IMPORTRANGE(""https://docs.google.com/spreadsheets/d/1Uw7-A9f9R21vMXxHZFNpYNeKFtG8_yji4HS352LGlSQ/edit?pli=1#gid=0"",""1_ACUM!A4:S""),13,FALSE))"),"")</f>
        <v/>
      </c>
      <c r="AZ329" s="43" t="str">
        <f ca="1">IFERROR(__xludf.DUMMYFUNCTION("IFERROR(VLOOKUP(E595&amp;F595,IMPORTRANGE(""https://docs.google.com/spreadsheets/d/1Uw7-A9f9R21vMXxHZFNpYNeKFtG8_yji4HS352LGlSQ/edit?pli=1#gid=0"",""1_ACUM!A4:S""),13,FALSE))"),"")</f>
        <v/>
      </c>
      <c r="BA329" s="43" t="str">
        <f ca="1">IFERROR(__xludf.DUMMYFUNCTION("IFERROR(VLOOKUP(E595&amp;F595,IMPORTRANGE(""https://docs.google.com/spreadsheets/d/1Uw7-A9f9R21vMXxHZFNpYNeKFtG8_yji4HS352LGlSQ/edit?pli=1#gid=0"",""1_ACUM!A4:S""),14,FALSE))"),"")</f>
        <v/>
      </c>
      <c r="BB329" s="43" t="str">
        <f ca="1">IFERROR(__xludf.DUMMYFUNCTION("IFERROR(VLOOKUP(E595&amp;F595,IMPORTRANGE(""https://docs.google.com/spreadsheets/d/1Uw7-A9f9R21vMXxHZFNpYNeKFtG8_yji4HS352LGlSQ/edit?pli=1#gid=0"",""1_ACUM!A4:S""),15,FALSE))"),"")</f>
        <v/>
      </c>
      <c r="BC329" s="43" t="str">
        <f ca="1">IFERROR(__xludf.DUMMYFUNCTION("IFERROR(VLOOKUP(E595&amp;F595,IMPORTRANGE(""https://docs.google.com/spreadsheets/d/1Uw7-A9f9R21vMXxHZFNpYNeKFtG8_yji4HS352LGlSQ/edit?pli=1#gid=0"",""1_ACUM!A4:S""),16,FALSE))"),"")</f>
        <v/>
      </c>
      <c r="BD329" s="43" t="str">
        <f ca="1">IFERROR(__xludf.DUMMYFUNCTION("IFERROR(VLOOKUP(E595&amp;F595,IMPORTRANGE(""https://docs.google.com/spreadsheets/d/1Uw7-A9f9R21vMXxHZFNpYNeKFtG8_yji4HS352LGlSQ/edit?pli=1#gid=0"",""1_ACUM!A4:S""),17,FALSE))"),"")</f>
        <v/>
      </c>
      <c r="BE329" s="44" t="str">
        <f ca="1">IFERROR(__xludf.DUMMYFUNCTION("IFERROR(VLOOKUP(E595&amp;F595,IMPORTRANGE(""https://docs.google.com/spreadsheets/d/1Uw7-A9f9R21vMXxHZFNpYNeKFtG8_yji4HS352LGlSQ/edit?pli=1#gid=0"",""1_ACUM!A4:S""),18,FALSE))"),"")</f>
        <v/>
      </c>
      <c r="BF329" s="44" t="str">
        <f ca="1">IFERROR(__xludf.DUMMYFUNCTION("IFERROR(VLOOKUP(E595&amp;F595,IMPORTRANGE(""https://docs.google.com/spreadsheets/d/1Uw7-A9f9R21vMXxHZFNpYNeKFtG8_yji4HS352LGlSQ/edit?pli=1#gid=0"",""1_ACUM!A4:S""),19,FALSE))"),"")</f>
        <v/>
      </c>
      <c r="BG329" s="98" t="str">
        <f ca="1">IFERROR(__xludf.DUMMYFUNCTION("IFERROR(VLOOKUP(F595,IMPORTRANGE(""https://docs.google.com/spreadsheets/d/1Kvs4KS76FHFqLFIZfrDMff4kP08nblUkihrxltoGBjg/edit#gid=934712705"",""ESENCIAL!A6:BG""),5,FALSE))"),"")</f>
        <v/>
      </c>
      <c r="BH329" s="98" t="str">
        <f t="shared" si="21"/>
        <v/>
      </c>
      <c r="BI329" s="99" t="str">
        <f t="shared" si="22"/>
        <v/>
      </c>
      <c r="BJ329" s="100" t="str">
        <f ca="1">IFERROR(__xludf.DUMMYFUNCTION("IFERROR(VLOOKUP(F595,IMPORTRANGE(""https://docs.google.com/spreadsheets/d/1Kvs4KS76FHFqLFIZfrDMff4kP08nblUkihrxltoGBjg/edit#gid=934712705"",""ESENCIAL!A6:BG""),2,FALSE))"),"")</f>
        <v/>
      </c>
      <c r="BK329" s="19" t="str">
        <f t="shared" si="23"/>
        <v/>
      </c>
      <c r="BL329" s="100"/>
      <c r="BM329" s="100"/>
    </row>
    <row r="330" spans="2:65" ht="15">
      <c r="B330" s="39"/>
      <c r="C330" s="5"/>
      <c r="D330" s="123"/>
      <c r="E330" s="39"/>
      <c r="F330" s="39"/>
      <c r="G330" s="39"/>
      <c r="H330" s="5" t="str">
        <f ca="1">IFERROR(__xludf.DUMMYFUNCTION("IFERROR(VLOOKUP(F596,IMPORTRANGE(""https://docs.google.com/spreadsheets/d/1Kvs4KS76FHFqLFIZfrDMff4kP08nblUkihrxltoGBjg/edit#gid=934712705"",""ESENCIAL!A6:BG""),3,FALSE))"),"")</f>
        <v/>
      </c>
      <c r="I330" s="5" t="str">
        <f ca="1">IFERROR(__xludf.DUMMYFUNCTION("IFERROR(VLOOKUP(F596,IMPORTRANGE(""https://docs.google.com/spreadsheets/d/1Kvs4KS76FHFqLFIZfrDMff4kP08nblUkihrxltoGBjg/edit#gid=934712705"",""ESENCIAL!A6:BG""),8,FALSE))"),"")</f>
        <v/>
      </c>
      <c r="J330" s="39"/>
      <c r="M330" s="287"/>
      <c r="AV330" s="41" t="str">
        <f t="shared" si="20"/>
        <v/>
      </c>
      <c r="AW330" s="5" t="str">
        <f ca="1">IFERROR(__xludf.DUMMYFUNCTION("IFERROR(VLOOKUP(E596&amp;F596,IMPORTRANGE(""https://docs.google.com/spreadsheets/d/1Uw7-A9f9R21vMXxHZFNpYNeKFtG8_yji4HS352LGlSQ/edit?pli=1#gid=0"",""1_ACUM!A4:S""),11,FALSE))"),"")</f>
        <v/>
      </c>
      <c r="AX330" s="42" t="str">
        <f ca="1">IFERROR(__xludf.DUMMYFUNCTION("IFERROR(VLOOKUP(F596,IMPORTRANGE(""https://docs.google.com/spreadsheets/d/1Kvs4KS76FHFqLFIZfrDMff4kP08nblUkihrxltoGBjg/edit#gid=934712705"",""ESENCIAL!A6:BG""),15,FALSE))"),"")</f>
        <v/>
      </c>
      <c r="AY330" s="110" t="str">
        <f ca="1">IFERROR(__xludf.DUMMYFUNCTION("IFERROR(VLOOKUP(E596&amp;F596,IMPORTRANGE(""https://docs.google.com/spreadsheets/d/1Uw7-A9f9R21vMXxHZFNpYNeKFtG8_yji4HS352LGlSQ/edit?pli=1#gid=0"",""1_ACUM!A4:S""),13,FALSE))"),"")</f>
        <v/>
      </c>
      <c r="AZ330" s="43" t="str">
        <f ca="1">IFERROR(__xludf.DUMMYFUNCTION("IFERROR(VLOOKUP(E596&amp;F596,IMPORTRANGE(""https://docs.google.com/spreadsheets/d/1Uw7-A9f9R21vMXxHZFNpYNeKFtG8_yji4HS352LGlSQ/edit?pli=1#gid=0"",""1_ACUM!A4:S""),13,FALSE))"),"")</f>
        <v/>
      </c>
      <c r="BA330" s="43" t="str">
        <f ca="1">IFERROR(__xludf.DUMMYFUNCTION("IFERROR(VLOOKUP(E596&amp;F596,IMPORTRANGE(""https://docs.google.com/spreadsheets/d/1Uw7-A9f9R21vMXxHZFNpYNeKFtG8_yji4HS352LGlSQ/edit?pli=1#gid=0"",""1_ACUM!A4:S""),14,FALSE))"),"")</f>
        <v/>
      </c>
      <c r="BB330" s="43" t="str">
        <f ca="1">IFERROR(__xludf.DUMMYFUNCTION("IFERROR(VLOOKUP(E596&amp;F596,IMPORTRANGE(""https://docs.google.com/spreadsheets/d/1Uw7-A9f9R21vMXxHZFNpYNeKFtG8_yji4HS352LGlSQ/edit?pli=1#gid=0"",""1_ACUM!A4:S""),15,FALSE))"),"")</f>
        <v/>
      </c>
      <c r="BC330" s="43" t="str">
        <f ca="1">IFERROR(__xludf.DUMMYFUNCTION("IFERROR(VLOOKUP(E596&amp;F596,IMPORTRANGE(""https://docs.google.com/spreadsheets/d/1Uw7-A9f9R21vMXxHZFNpYNeKFtG8_yji4HS352LGlSQ/edit?pli=1#gid=0"",""1_ACUM!A4:S""),16,FALSE))"),"")</f>
        <v/>
      </c>
      <c r="BD330" s="43" t="str">
        <f ca="1">IFERROR(__xludf.DUMMYFUNCTION("IFERROR(VLOOKUP(E596&amp;F596,IMPORTRANGE(""https://docs.google.com/spreadsheets/d/1Uw7-A9f9R21vMXxHZFNpYNeKFtG8_yji4HS352LGlSQ/edit?pli=1#gid=0"",""1_ACUM!A4:S""),17,FALSE))"),"")</f>
        <v/>
      </c>
      <c r="BE330" s="44" t="str">
        <f ca="1">IFERROR(__xludf.DUMMYFUNCTION("IFERROR(VLOOKUP(E596&amp;F596,IMPORTRANGE(""https://docs.google.com/spreadsheets/d/1Uw7-A9f9R21vMXxHZFNpYNeKFtG8_yji4HS352LGlSQ/edit?pli=1#gid=0"",""1_ACUM!A4:S""),18,FALSE))"),"")</f>
        <v/>
      </c>
      <c r="BF330" s="44" t="str">
        <f ca="1">IFERROR(__xludf.DUMMYFUNCTION("IFERROR(VLOOKUP(E596&amp;F596,IMPORTRANGE(""https://docs.google.com/spreadsheets/d/1Uw7-A9f9R21vMXxHZFNpYNeKFtG8_yji4HS352LGlSQ/edit?pli=1#gid=0"",""1_ACUM!A4:S""),19,FALSE))"),"")</f>
        <v/>
      </c>
      <c r="BG330" s="98" t="str">
        <f ca="1">IFERROR(__xludf.DUMMYFUNCTION("IFERROR(VLOOKUP(F596,IMPORTRANGE(""https://docs.google.com/spreadsheets/d/1Kvs4KS76FHFqLFIZfrDMff4kP08nblUkihrxltoGBjg/edit#gid=934712705"",""ESENCIAL!A6:BG""),5,FALSE))"),"")</f>
        <v/>
      </c>
      <c r="BH330" s="98" t="str">
        <f t="shared" si="21"/>
        <v/>
      </c>
      <c r="BI330" s="99" t="str">
        <f t="shared" si="22"/>
        <v/>
      </c>
      <c r="BJ330" s="100" t="str">
        <f ca="1">IFERROR(__xludf.DUMMYFUNCTION("IFERROR(VLOOKUP(F596,IMPORTRANGE(""https://docs.google.com/spreadsheets/d/1Kvs4KS76FHFqLFIZfrDMff4kP08nblUkihrxltoGBjg/edit#gid=934712705"",""ESENCIAL!A6:BG""),2,FALSE))"),"")</f>
        <v/>
      </c>
      <c r="BK330" s="19" t="str">
        <f t="shared" si="23"/>
        <v/>
      </c>
      <c r="BL330" s="100"/>
      <c r="BM330" s="100"/>
    </row>
    <row r="331" spans="2:65" ht="15">
      <c r="B331" s="39"/>
      <c r="C331" s="5"/>
      <c r="D331" s="123"/>
      <c r="E331" s="39"/>
      <c r="F331" s="39"/>
      <c r="G331" s="39"/>
      <c r="H331" s="5" t="str">
        <f ca="1">IFERROR(__xludf.DUMMYFUNCTION("IFERROR(VLOOKUP(F597,IMPORTRANGE(""https://docs.google.com/spreadsheets/d/1Kvs4KS76FHFqLFIZfrDMff4kP08nblUkihrxltoGBjg/edit#gid=934712705"",""ESENCIAL!A6:BG""),3,FALSE))"),"")</f>
        <v/>
      </c>
      <c r="I331" s="5" t="str">
        <f ca="1">IFERROR(__xludf.DUMMYFUNCTION("IFERROR(VLOOKUP(F597,IMPORTRANGE(""https://docs.google.com/spreadsheets/d/1Kvs4KS76FHFqLFIZfrDMff4kP08nblUkihrxltoGBjg/edit#gid=934712705"",""ESENCIAL!A6:BG""),8,FALSE))"),"")</f>
        <v/>
      </c>
      <c r="J331" s="39"/>
      <c r="M331" s="287"/>
      <c r="AV331" s="41" t="str">
        <f t="shared" si="20"/>
        <v/>
      </c>
      <c r="AW331" s="5" t="str">
        <f ca="1">IFERROR(__xludf.DUMMYFUNCTION("IFERROR(VLOOKUP(E597&amp;F597,IMPORTRANGE(""https://docs.google.com/spreadsheets/d/1Uw7-A9f9R21vMXxHZFNpYNeKFtG8_yji4HS352LGlSQ/edit?pli=1#gid=0"",""1_ACUM!A4:S""),11,FALSE))"),"")</f>
        <v/>
      </c>
      <c r="AX331" s="42" t="str">
        <f ca="1">IFERROR(__xludf.DUMMYFUNCTION("IFERROR(VLOOKUP(F597,IMPORTRANGE(""https://docs.google.com/spreadsheets/d/1Kvs4KS76FHFqLFIZfrDMff4kP08nblUkihrxltoGBjg/edit#gid=934712705"",""ESENCIAL!A6:BG""),15,FALSE))"),"")</f>
        <v/>
      </c>
      <c r="AY331" s="110" t="str">
        <f ca="1">IFERROR(__xludf.DUMMYFUNCTION("IFERROR(VLOOKUP(E597&amp;F597,IMPORTRANGE(""https://docs.google.com/spreadsheets/d/1Uw7-A9f9R21vMXxHZFNpYNeKFtG8_yji4HS352LGlSQ/edit?pli=1#gid=0"",""1_ACUM!A4:S""),13,FALSE))"),"")</f>
        <v/>
      </c>
      <c r="AZ331" s="43" t="str">
        <f ca="1">IFERROR(__xludf.DUMMYFUNCTION("IFERROR(VLOOKUP(E597&amp;F597,IMPORTRANGE(""https://docs.google.com/spreadsheets/d/1Uw7-A9f9R21vMXxHZFNpYNeKFtG8_yji4HS352LGlSQ/edit?pli=1#gid=0"",""1_ACUM!A4:S""),13,FALSE))"),"")</f>
        <v/>
      </c>
      <c r="BA331" s="43" t="str">
        <f ca="1">IFERROR(__xludf.DUMMYFUNCTION("IFERROR(VLOOKUP(E597&amp;F597,IMPORTRANGE(""https://docs.google.com/spreadsheets/d/1Uw7-A9f9R21vMXxHZFNpYNeKFtG8_yji4HS352LGlSQ/edit?pli=1#gid=0"",""1_ACUM!A4:S""),14,FALSE))"),"")</f>
        <v/>
      </c>
      <c r="BB331" s="43" t="str">
        <f ca="1">IFERROR(__xludf.DUMMYFUNCTION("IFERROR(VLOOKUP(E597&amp;F597,IMPORTRANGE(""https://docs.google.com/spreadsheets/d/1Uw7-A9f9R21vMXxHZFNpYNeKFtG8_yji4HS352LGlSQ/edit?pli=1#gid=0"",""1_ACUM!A4:S""),15,FALSE))"),"")</f>
        <v/>
      </c>
      <c r="BC331" s="43" t="str">
        <f ca="1">IFERROR(__xludf.DUMMYFUNCTION("IFERROR(VLOOKUP(E597&amp;F597,IMPORTRANGE(""https://docs.google.com/spreadsheets/d/1Uw7-A9f9R21vMXxHZFNpYNeKFtG8_yji4HS352LGlSQ/edit?pli=1#gid=0"",""1_ACUM!A4:S""),16,FALSE))"),"")</f>
        <v/>
      </c>
      <c r="BD331" s="43" t="str">
        <f ca="1">IFERROR(__xludf.DUMMYFUNCTION("IFERROR(VLOOKUP(E597&amp;F597,IMPORTRANGE(""https://docs.google.com/spreadsheets/d/1Uw7-A9f9R21vMXxHZFNpYNeKFtG8_yji4HS352LGlSQ/edit?pli=1#gid=0"",""1_ACUM!A4:S""),17,FALSE))"),"")</f>
        <v/>
      </c>
      <c r="BE331" s="44" t="str">
        <f ca="1">IFERROR(__xludf.DUMMYFUNCTION("IFERROR(VLOOKUP(E597&amp;F597,IMPORTRANGE(""https://docs.google.com/spreadsheets/d/1Uw7-A9f9R21vMXxHZFNpYNeKFtG8_yji4HS352LGlSQ/edit?pli=1#gid=0"",""1_ACUM!A4:S""),18,FALSE))"),"")</f>
        <v/>
      </c>
      <c r="BF331" s="44" t="str">
        <f ca="1">IFERROR(__xludf.DUMMYFUNCTION("IFERROR(VLOOKUP(E597&amp;F597,IMPORTRANGE(""https://docs.google.com/spreadsheets/d/1Uw7-A9f9R21vMXxHZFNpYNeKFtG8_yji4HS352LGlSQ/edit?pli=1#gid=0"",""1_ACUM!A4:S""),19,FALSE))"),"")</f>
        <v/>
      </c>
      <c r="BG331" s="98" t="str">
        <f ca="1">IFERROR(__xludf.DUMMYFUNCTION("IFERROR(VLOOKUP(F597,IMPORTRANGE(""https://docs.google.com/spreadsheets/d/1Kvs4KS76FHFqLFIZfrDMff4kP08nblUkihrxltoGBjg/edit#gid=934712705"",""ESENCIAL!A6:BG""),5,FALSE))"),"")</f>
        <v/>
      </c>
      <c r="BH331" s="98" t="str">
        <f t="shared" si="21"/>
        <v/>
      </c>
      <c r="BI331" s="99" t="str">
        <f t="shared" si="22"/>
        <v/>
      </c>
      <c r="BJ331" s="100" t="str">
        <f ca="1">IFERROR(__xludf.DUMMYFUNCTION("IFERROR(VLOOKUP(F597,IMPORTRANGE(""https://docs.google.com/spreadsheets/d/1Kvs4KS76FHFqLFIZfrDMff4kP08nblUkihrxltoGBjg/edit#gid=934712705"",""ESENCIAL!A6:BG""),2,FALSE))"),"")</f>
        <v/>
      </c>
      <c r="BK331" s="19" t="str">
        <f t="shared" si="23"/>
        <v/>
      </c>
      <c r="BL331" s="100"/>
      <c r="BM331" s="100"/>
    </row>
    <row r="332" spans="2:65" ht="15">
      <c r="B332" s="39"/>
      <c r="C332" s="5"/>
      <c r="D332" s="123"/>
      <c r="E332" s="39"/>
      <c r="F332" s="39"/>
      <c r="G332" s="39"/>
      <c r="H332" s="5" t="str">
        <f ca="1">IFERROR(__xludf.DUMMYFUNCTION("IFERROR(VLOOKUP(F598,IMPORTRANGE(""https://docs.google.com/spreadsheets/d/1Kvs4KS76FHFqLFIZfrDMff4kP08nblUkihrxltoGBjg/edit#gid=934712705"",""ESENCIAL!A6:BG""),3,FALSE))"),"")</f>
        <v/>
      </c>
      <c r="I332" s="5" t="str">
        <f ca="1">IFERROR(__xludf.DUMMYFUNCTION("IFERROR(VLOOKUP(F598,IMPORTRANGE(""https://docs.google.com/spreadsheets/d/1Kvs4KS76FHFqLFIZfrDMff4kP08nblUkihrxltoGBjg/edit#gid=934712705"",""ESENCIAL!A6:BG""),8,FALSE))"),"")</f>
        <v/>
      </c>
      <c r="J332" s="39"/>
      <c r="M332" s="287"/>
      <c r="AV332" s="41" t="str">
        <f t="shared" si="20"/>
        <v/>
      </c>
      <c r="AW332" s="5" t="str">
        <f ca="1">IFERROR(__xludf.DUMMYFUNCTION("IFERROR(VLOOKUP(E598&amp;F598,IMPORTRANGE(""https://docs.google.com/spreadsheets/d/1Uw7-A9f9R21vMXxHZFNpYNeKFtG8_yji4HS352LGlSQ/edit?pli=1#gid=0"",""1_ACUM!A4:S""),11,FALSE))"),"")</f>
        <v/>
      </c>
      <c r="AX332" s="42" t="str">
        <f ca="1">IFERROR(__xludf.DUMMYFUNCTION("IFERROR(VLOOKUP(F598,IMPORTRANGE(""https://docs.google.com/spreadsheets/d/1Kvs4KS76FHFqLFIZfrDMff4kP08nblUkihrxltoGBjg/edit#gid=934712705"",""ESENCIAL!A6:BG""),15,FALSE))"),"")</f>
        <v/>
      </c>
      <c r="AY332" s="110" t="str">
        <f ca="1">IFERROR(__xludf.DUMMYFUNCTION("IFERROR(VLOOKUP(E598&amp;F598,IMPORTRANGE(""https://docs.google.com/spreadsheets/d/1Uw7-A9f9R21vMXxHZFNpYNeKFtG8_yji4HS352LGlSQ/edit?pli=1#gid=0"",""1_ACUM!A4:S""),13,FALSE))"),"")</f>
        <v/>
      </c>
      <c r="AZ332" s="43" t="str">
        <f ca="1">IFERROR(__xludf.DUMMYFUNCTION("IFERROR(VLOOKUP(E598&amp;F598,IMPORTRANGE(""https://docs.google.com/spreadsheets/d/1Uw7-A9f9R21vMXxHZFNpYNeKFtG8_yji4HS352LGlSQ/edit?pli=1#gid=0"",""1_ACUM!A4:S""),13,FALSE))"),"")</f>
        <v/>
      </c>
      <c r="BA332" s="43" t="str">
        <f ca="1">IFERROR(__xludf.DUMMYFUNCTION("IFERROR(VLOOKUP(E598&amp;F598,IMPORTRANGE(""https://docs.google.com/spreadsheets/d/1Uw7-A9f9R21vMXxHZFNpYNeKFtG8_yji4HS352LGlSQ/edit?pli=1#gid=0"",""1_ACUM!A4:S""),14,FALSE))"),"")</f>
        <v/>
      </c>
      <c r="BB332" s="43" t="str">
        <f ca="1">IFERROR(__xludf.DUMMYFUNCTION("IFERROR(VLOOKUP(E598&amp;F598,IMPORTRANGE(""https://docs.google.com/spreadsheets/d/1Uw7-A9f9R21vMXxHZFNpYNeKFtG8_yji4HS352LGlSQ/edit?pli=1#gid=0"",""1_ACUM!A4:S""),15,FALSE))"),"")</f>
        <v/>
      </c>
      <c r="BC332" s="43" t="str">
        <f ca="1">IFERROR(__xludf.DUMMYFUNCTION("IFERROR(VLOOKUP(E598&amp;F598,IMPORTRANGE(""https://docs.google.com/spreadsheets/d/1Uw7-A9f9R21vMXxHZFNpYNeKFtG8_yji4HS352LGlSQ/edit?pli=1#gid=0"",""1_ACUM!A4:S""),16,FALSE))"),"")</f>
        <v/>
      </c>
      <c r="BD332" s="43" t="str">
        <f ca="1">IFERROR(__xludf.DUMMYFUNCTION("IFERROR(VLOOKUP(E598&amp;F598,IMPORTRANGE(""https://docs.google.com/spreadsheets/d/1Uw7-A9f9R21vMXxHZFNpYNeKFtG8_yji4HS352LGlSQ/edit?pli=1#gid=0"",""1_ACUM!A4:S""),17,FALSE))"),"")</f>
        <v/>
      </c>
      <c r="BE332" s="44" t="str">
        <f ca="1">IFERROR(__xludf.DUMMYFUNCTION("IFERROR(VLOOKUP(E598&amp;F598,IMPORTRANGE(""https://docs.google.com/spreadsheets/d/1Uw7-A9f9R21vMXxHZFNpYNeKFtG8_yji4HS352LGlSQ/edit?pli=1#gid=0"",""1_ACUM!A4:S""),18,FALSE))"),"")</f>
        <v/>
      </c>
      <c r="BF332" s="44" t="str">
        <f ca="1">IFERROR(__xludf.DUMMYFUNCTION("IFERROR(VLOOKUP(E598&amp;F598,IMPORTRANGE(""https://docs.google.com/spreadsheets/d/1Uw7-A9f9R21vMXxHZFNpYNeKFtG8_yji4HS352LGlSQ/edit?pli=1#gid=0"",""1_ACUM!A4:S""),19,FALSE))"),"")</f>
        <v/>
      </c>
      <c r="BG332" s="98" t="str">
        <f ca="1">IFERROR(__xludf.DUMMYFUNCTION("IFERROR(VLOOKUP(F598,IMPORTRANGE(""https://docs.google.com/spreadsheets/d/1Kvs4KS76FHFqLFIZfrDMff4kP08nblUkihrxltoGBjg/edit#gid=934712705"",""ESENCIAL!A6:BG""),5,FALSE))"),"")</f>
        <v/>
      </c>
      <c r="BH332" s="98" t="str">
        <f t="shared" si="21"/>
        <v/>
      </c>
      <c r="BI332" s="99" t="str">
        <f t="shared" si="22"/>
        <v/>
      </c>
      <c r="BJ332" s="100" t="str">
        <f ca="1">IFERROR(__xludf.DUMMYFUNCTION("IFERROR(VLOOKUP(F598,IMPORTRANGE(""https://docs.google.com/spreadsheets/d/1Kvs4KS76FHFqLFIZfrDMff4kP08nblUkihrxltoGBjg/edit#gid=934712705"",""ESENCIAL!A6:BG""),2,FALSE))"),"")</f>
        <v/>
      </c>
      <c r="BK332" s="19" t="str">
        <f t="shared" si="23"/>
        <v/>
      </c>
      <c r="BL332" s="100"/>
      <c r="BM332" s="100"/>
    </row>
    <row r="333" spans="2:65" ht="15">
      <c r="B333" s="39"/>
      <c r="C333" s="5"/>
      <c r="D333" s="123"/>
      <c r="E333" s="39"/>
      <c r="F333" s="39"/>
      <c r="G333" s="39"/>
      <c r="H333" s="5" t="str">
        <f ca="1">IFERROR(__xludf.DUMMYFUNCTION("IFERROR(VLOOKUP(F599,IMPORTRANGE(""https://docs.google.com/spreadsheets/d/1Kvs4KS76FHFqLFIZfrDMff4kP08nblUkihrxltoGBjg/edit#gid=934712705"",""ESENCIAL!A6:BG""),3,FALSE))"),"")</f>
        <v/>
      </c>
      <c r="I333" s="5" t="str">
        <f ca="1">IFERROR(__xludf.DUMMYFUNCTION("IFERROR(VLOOKUP(F599,IMPORTRANGE(""https://docs.google.com/spreadsheets/d/1Kvs4KS76FHFqLFIZfrDMff4kP08nblUkihrxltoGBjg/edit#gid=934712705"",""ESENCIAL!A6:BG""),8,FALSE))"),"")</f>
        <v/>
      </c>
      <c r="J333" s="39"/>
      <c r="M333" s="287"/>
      <c r="AV333" s="41" t="str">
        <f t="shared" si="20"/>
        <v/>
      </c>
      <c r="AW333" s="5" t="str">
        <f ca="1">IFERROR(__xludf.DUMMYFUNCTION("IFERROR(VLOOKUP(E599&amp;F599,IMPORTRANGE(""https://docs.google.com/spreadsheets/d/1Uw7-A9f9R21vMXxHZFNpYNeKFtG8_yji4HS352LGlSQ/edit?pli=1#gid=0"",""1_ACUM!A4:S""),11,FALSE))"),"")</f>
        <v/>
      </c>
      <c r="AX333" s="42" t="str">
        <f ca="1">IFERROR(__xludf.DUMMYFUNCTION("IFERROR(VLOOKUP(F599,IMPORTRANGE(""https://docs.google.com/spreadsheets/d/1Kvs4KS76FHFqLFIZfrDMff4kP08nblUkihrxltoGBjg/edit#gid=934712705"",""ESENCIAL!A6:BG""),15,FALSE))"),"")</f>
        <v/>
      </c>
      <c r="AY333" s="110" t="str">
        <f ca="1">IFERROR(__xludf.DUMMYFUNCTION("IFERROR(VLOOKUP(E599&amp;F599,IMPORTRANGE(""https://docs.google.com/spreadsheets/d/1Uw7-A9f9R21vMXxHZFNpYNeKFtG8_yji4HS352LGlSQ/edit?pli=1#gid=0"",""1_ACUM!A4:S""),13,FALSE))"),"")</f>
        <v/>
      </c>
      <c r="AZ333" s="43" t="str">
        <f ca="1">IFERROR(__xludf.DUMMYFUNCTION("IFERROR(VLOOKUP(E599&amp;F599,IMPORTRANGE(""https://docs.google.com/spreadsheets/d/1Uw7-A9f9R21vMXxHZFNpYNeKFtG8_yji4HS352LGlSQ/edit?pli=1#gid=0"",""1_ACUM!A4:S""),13,FALSE))"),"")</f>
        <v/>
      </c>
      <c r="BA333" s="43" t="str">
        <f ca="1">IFERROR(__xludf.DUMMYFUNCTION("IFERROR(VLOOKUP(E599&amp;F599,IMPORTRANGE(""https://docs.google.com/spreadsheets/d/1Uw7-A9f9R21vMXxHZFNpYNeKFtG8_yji4HS352LGlSQ/edit?pli=1#gid=0"",""1_ACUM!A4:S""),14,FALSE))"),"")</f>
        <v/>
      </c>
      <c r="BB333" s="43" t="str">
        <f ca="1">IFERROR(__xludf.DUMMYFUNCTION("IFERROR(VLOOKUP(E599&amp;F599,IMPORTRANGE(""https://docs.google.com/spreadsheets/d/1Uw7-A9f9R21vMXxHZFNpYNeKFtG8_yji4HS352LGlSQ/edit?pli=1#gid=0"",""1_ACUM!A4:S""),15,FALSE))"),"")</f>
        <v/>
      </c>
      <c r="BC333" s="43" t="str">
        <f ca="1">IFERROR(__xludf.DUMMYFUNCTION("IFERROR(VLOOKUP(E599&amp;F599,IMPORTRANGE(""https://docs.google.com/spreadsheets/d/1Uw7-A9f9R21vMXxHZFNpYNeKFtG8_yji4HS352LGlSQ/edit?pli=1#gid=0"",""1_ACUM!A4:S""),16,FALSE))"),"")</f>
        <v/>
      </c>
      <c r="BD333" s="43" t="str">
        <f ca="1">IFERROR(__xludf.DUMMYFUNCTION("IFERROR(VLOOKUP(E599&amp;F599,IMPORTRANGE(""https://docs.google.com/spreadsheets/d/1Uw7-A9f9R21vMXxHZFNpYNeKFtG8_yji4HS352LGlSQ/edit?pli=1#gid=0"",""1_ACUM!A4:S""),17,FALSE))"),"")</f>
        <v/>
      </c>
      <c r="BE333" s="44" t="str">
        <f ca="1">IFERROR(__xludf.DUMMYFUNCTION("IFERROR(VLOOKUP(E599&amp;F599,IMPORTRANGE(""https://docs.google.com/spreadsheets/d/1Uw7-A9f9R21vMXxHZFNpYNeKFtG8_yji4HS352LGlSQ/edit?pli=1#gid=0"",""1_ACUM!A4:S""),18,FALSE))"),"")</f>
        <v/>
      </c>
      <c r="BF333" s="44" t="str">
        <f ca="1">IFERROR(__xludf.DUMMYFUNCTION("IFERROR(VLOOKUP(E599&amp;F599,IMPORTRANGE(""https://docs.google.com/spreadsheets/d/1Uw7-A9f9R21vMXxHZFNpYNeKFtG8_yji4HS352LGlSQ/edit?pli=1#gid=0"",""1_ACUM!A4:S""),19,FALSE))"),"")</f>
        <v/>
      </c>
      <c r="BG333" s="98" t="str">
        <f ca="1">IFERROR(__xludf.DUMMYFUNCTION("IFERROR(VLOOKUP(F599,IMPORTRANGE(""https://docs.google.com/spreadsheets/d/1Kvs4KS76FHFqLFIZfrDMff4kP08nblUkihrxltoGBjg/edit#gid=934712705"",""ESENCIAL!A6:BG""),5,FALSE))"),"")</f>
        <v/>
      </c>
      <c r="BH333" s="98" t="str">
        <f t="shared" si="21"/>
        <v/>
      </c>
      <c r="BI333" s="99" t="str">
        <f t="shared" si="22"/>
        <v/>
      </c>
      <c r="BJ333" s="100" t="str">
        <f ca="1">IFERROR(__xludf.DUMMYFUNCTION("IFERROR(VLOOKUP(F599,IMPORTRANGE(""https://docs.google.com/spreadsheets/d/1Kvs4KS76FHFqLFIZfrDMff4kP08nblUkihrxltoGBjg/edit#gid=934712705"",""ESENCIAL!A6:BG""),2,FALSE))"),"")</f>
        <v/>
      </c>
      <c r="BK333" s="19" t="str">
        <f t="shared" si="23"/>
        <v/>
      </c>
      <c r="BL333" s="100"/>
      <c r="BM333" s="100"/>
    </row>
    <row r="334" spans="2:65" ht="15">
      <c r="B334" s="39"/>
      <c r="C334" s="5"/>
      <c r="D334" s="123"/>
      <c r="E334" s="39"/>
      <c r="F334" s="39"/>
      <c r="G334" s="39"/>
      <c r="H334" s="5" t="str">
        <f ca="1">IFERROR(__xludf.DUMMYFUNCTION("IFERROR(VLOOKUP(F600,IMPORTRANGE(""https://docs.google.com/spreadsheets/d/1Kvs4KS76FHFqLFIZfrDMff4kP08nblUkihrxltoGBjg/edit#gid=934712705"",""ESENCIAL!A6:BG""),3,FALSE))"),"")</f>
        <v/>
      </c>
      <c r="I334" s="5" t="str">
        <f ca="1">IFERROR(__xludf.DUMMYFUNCTION("IFERROR(VLOOKUP(F600,IMPORTRANGE(""https://docs.google.com/spreadsheets/d/1Kvs4KS76FHFqLFIZfrDMff4kP08nblUkihrxltoGBjg/edit#gid=934712705"",""ESENCIAL!A6:BG""),8,FALSE))"),"")</f>
        <v/>
      </c>
      <c r="J334" s="39"/>
      <c r="M334" s="287"/>
      <c r="AV334" s="41" t="str">
        <f t="shared" si="20"/>
        <v/>
      </c>
      <c r="AW334" s="5" t="str">
        <f ca="1">IFERROR(__xludf.DUMMYFUNCTION("IFERROR(VLOOKUP(E600&amp;F600,IMPORTRANGE(""https://docs.google.com/spreadsheets/d/1Uw7-A9f9R21vMXxHZFNpYNeKFtG8_yji4HS352LGlSQ/edit?pli=1#gid=0"",""1_ACUM!A4:S""),11,FALSE))"),"")</f>
        <v/>
      </c>
      <c r="AX334" s="42" t="str">
        <f ca="1">IFERROR(__xludf.DUMMYFUNCTION("IFERROR(VLOOKUP(F600,IMPORTRANGE(""https://docs.google.com/spreadsheets/d/1Kvs4KS76FHFqLFIZfrDMff4kP08nblUkihrxltoGBjg/edit#gid=934712705"",""ESENCIAL!A6:BG""),15,FALSE))"),"")</f>
        <v/>
      </c>
      <c r="AY334" s="110" t="str">
        <f ca="1">IFERROR(__xludf.DUMMYFUNCTION("IFERROR(VLOOKUP(E600&amp;F600,IMPORTRANGE(""https://docs.google.com/spreadsheets/d/1Uw7-A9f9R21vMXxHZFNpYNeKFtG8_yji4HS352LGlSQ/edit?pli=1#gid=0"",""1_ACUM!A4:S""),13,FALSE))"),"")</f>
        <v/>
      </c>
      <c r="AZ334" s="43" t="str">
        <f ca="1">IFERROR(__xludf.DUMMYFUNCTION("IFERROR(VLOOKUP(E600&amp;F600,IMPORTRANGE(""https://docs.google.com/spreadsheets/d/1Uw7-A9f9R21vMXxHZFNpYNeKFtG8_yji4HS352LGlSQ/edit?pli=1#gid=0"",""1_ACUM!A4:S""),13,FALSE))"),"")</f>
        <v/>
      </c>
      <c r="BA334" s="43" t="str">
        <f ca="1">IFERROR(__xludf.DUMMYFUNCTION("IFERROR(VLOOKUP(E600&amp;F600,IMPORTRANGE(""https://docs.google.com/spreadsheets/d/1Uw7-A9f9R21vMXxHZFNpYNeKFtG8_yji4HS352LGlSQ/edit?pli=1#gid=0"",""1_ACUM!A4:S""),14,FALSE))"),"")</f>
        <v/>
      </c>
      <c r="BB334" s="43" t="str">
        <f ca="1">IFERROR(__xludf.DUMMYFUNCTION("IFERROR(VLOOKUP(E600&amp;F600,IMPORTRANGE(""https://docs.google.com/spreadsheets/d/1Uw7-A9f9R21vMXxHZFNpYNeKFtG8_yji4HS352LGlSQ/edit?pli=1#gid=0"",""1_ACUM!A4:S""),15,FALSE))"),"")</f>
        <v/>
      </c>
      <c r="BC334" s="43" t="str">
        <f ca="1">IFERROR(__xludf.DUMMYFUNCTION("IFERROR(VLOOKUP(E600&amp;F600,IMPORTRANGE(""https://docs.google.com/spreadsheets/d/1Uw7-A9f9R21vMXxHZFNpYNeKFtG8_yji4HS352LGlSQ/edit?pli=1#gid=0"",""1_ACUM!A4:S""),16,FALSE))"),"")</f>
        <v/>
      </c>
      <c r="BD334" s="43" t="str">
        <f ca="1">IFERROR(__xludf.DUMMYFUNCTION("IFERROR(VLOOKUP(E600&amp;F600,IMPORTRANGE(""https://docs.google.com/spreadsheets/d/1Uw7-A9f9R21vMXxHZFNpYNeKFtG8_yji4HS352LGlSQ/edit?pli=1#gid=0"",""1_ACUM!A4:S""),17,FALSE))"),"")</f>
        <v/>
      </c>
      <c r="BE334" s="44" t="str">
        <f ca="1">IFERROR(__xludf.DUMMYFUNCTION("IFERROR(VLOOKUP(E600&amp;F600,IMPORTRANGE(""https://docs.google.com/spreadsheets/d/1Uw7-A9f9R21vMXxHZFNpYNeKFtG8_yji4HS352LGlSQ/edit?pli=1#gid=0"",""1_ACUM!A4:S""),18,FALSE))"),"")</f>
        <v/>
      </c>
      <c r="BF334" s="44" t="str">
        <f ca="1">IFERROR(__xludf.DUMMYFUNCTION("IFERROR(VLOOKUP(E600&amp;F600,IMPORTRANGE(""https://docs.google.com/spreadsheets/d/1Uw7-A9f9R21vMXxHZFNpYNeKFtG8_yji4HS352LGlSQ/edit?pli=1#gid=0"",""1_ACUM!A4:S""),19,FALSE))"),"")</f>
        <v/>
      </c>
      <c r="BG334" s="98" t="str">
        <f ca="1">IFERROR(__xludf.DUMMYFUNCTION("IFERROR(VLOOKUP(F600,IMPORTRANGE(""https://docs.google.com/spreadsheets/d/1Kvs4KS76FHFqLFIZfrDMff4kP08nblUkihrxltoGBjg/edit#gid=934712705"",""ESENCIAL!A6:BG""),5,FALSE))"),"")</f>
        <v/>
      </c>
      <c r="BH334" s="98" t="str">
        <f t="shared" si="21"/>
        <v/>
      </c>
      <c r="BI334" s="99" t="str">
        <f t="shared" si="22"/>
        <v/>
      </c>
      <c r="BJ334" s="100" t="str">
        <f ca="1">IFERROR(__xludf.DUMMYFUNCTION("IFERROR(VLOOKUP(F600,IMPORTRANGE(""https://docs.google.com/spreadsheets/d/1Kvs4KS76FHFqLFIZfrDMff4kP08nblUkihrxltoGBjg/edit#gid=934712705"",""ESENCIAL!A6:BG""),2,FALSE))"),"")</f>
        <v/>
      </c>
      <c r="BK334" s="19" t="str">
        <f t="shared" si="23"/>
        <v/>
      </c>
      <c r="BL334" s="100"/>
      <c r="BM334" s="100"/>
    </row>
    <row r="335" spans="2:65" ht="15">
      <c r="B335" s="39"/>
      <c r="C335" s="5"/>
      <c r="D335" s="123"/>
      <c r="E335" s="39"/>
      <c r="F335" s="39"/>
      <c r="G335" s="39"/>
      <c r="H335" s="5" t="str">
        <f ca="1">IFERROR(__xludf.DUMMYFUNCTION("IFERROR(VLOOKUP(F601,IMPORTRANGE(""https://docs.google.com/spreadsheets/d/1Kvs4KS76FHFqLFIZfrDMff4kP08nblUkihrxltoGBjg/edit#gid=934712705"",""ESENCIAL!A6:BG""),3,FALSE))"),"")</f>
        <v/>
      </c>
      <c r="I335" s="5" t="str">
        <f ca="1">IFERROR(__xludf.DUMMYFUNCTION("IFERROR(VLOOKUP(F601,IMPORTRANGE(""https://docs.google.com/spreadsheets/d/1Kvs4KS76FHFqLFIZfrDMff4kP08nblUkihrxltoGBjg/edit#gid=934712705"",""ESENCIAL!A6:BG""),8,FALSE))"),"")</f>
        <v/>
      </c>
      <c r="J335" s="39"/>
      <c r="M335" s="287"/>
      <c r="AV335" s="41" t="str">
        <f t="shared" si="20"/>
        <v/>
      </c>
      <c r="AW335" s="5" t="str">
        <f ca="1">IFERROR(__xludf.DUMMYFUNCTION("IFERROR(VLOOKUP(E601&amp;F601,IMPORTRANGE(""https://docs.google.com/spreadsheets/d/1Uw7-A9f9R21vMXxHZFNpYNeKFtG8_yji4HS352LGlSQ/edit?pli=1#gid=0"",""1_ACUM!A4:S""),11,FALSE))"),"")</f>
        <v/>
      </c>
      <c r="AX335" s="42" t="str">
        <f ca="1">IFERROR(__xludf.DUMMYFUNCTION("IFERROR(VLOOKUP(F601,IMPORTRANGE(""https://docs.google.com/spreadsheets/d/1Kvs4KS76FHFqLFIZfrDMff4kP08nblUkihrxltoGBjg/edit#gid=934712705"",""ESENCIAL!A6:BG""),15,FALSE))"),"")</f>
        <v/>
      </c>
      <c r="AY335" s="110" t="str">
        <f ca="1">IFERROR(__xludf.DUMMYFUNCTION("IFERROR(VLOOKUP(E601&amp;F601,IMPORTRANGE(""https://docs.google.com/spreadsheets/d/1Uw7-A9f9R21vMXxHZFNpYNeKFtG8_yji4HS352LGlSQ/edit?pli=1#gid=0"",""1_ACUM!A4:S""),13,FALSE))"),"")</f>
        <v/>
      </c>
      <c r="AZ335" s="43" t="str">
        <f ca="1">IFERROR(__xludf.DUMMYFUNCTION("IFERROR(VLOOKUP(E601&amp;F601,IMPORTRANGE(""https://docs.google.com/spreadsheets/d/1Uw7-A9f9R21vMXxHZFNpYNeKFtG8_yji4HS352LGlSQ/edit?pli=1#gid=0"",""1_ACUM!A4:S""),13,FALSE))"),"")</f>
        <v/>
      </c>
      <c r="BA335" s="43" t="str">
        <f ca="1">IFERROR(__xludf.DUMMYFUNCTION("IFERROR(VLOOKUP(E601&amp;F601,IMPORTRANGE(""https://docs.google.com/spreadsheets/d/1Uw7-A9f9R21vMXxHZFNpYNeKFtG8_yji4HS352LGlSQ/edit?pli=1#gid=0"",""1_ACUM!A4:S""),14,FALSE))"),"")</f>
        <v/>
      </c>
      <c r="BB335" s="43" t="str">
        <f ca="1">IFERROR(__xludf.DUMMYFUNCTION("IFERROR(VLOOKUP(E601&amp;F601,IMPORTRANGE(""https://docs.google.com/spreadsheets/d/1Uw7-A9f9R21vMXxHZFNpYNeKFtG8_yji4HS352LGlSQ/edit?pli=1#gid=0"",""1_ACUM!A4:S""),15,FALSE))"),"")</f>
        <v/>
      </c>
      <c r="BC335" s="43" t="str">
        <f ca="1">IFERROR(__xludf.DUMMYFUNCTION("IFERROR(VLOOKUP(E601&amp;F601,IMPORTRANGE(""https://docs.google.com/spreadsheets/d/1Uw7-A9f9R21vMXxHZFNpYNeKFtG8_yji4HS352LGlSQ/edit?pli=1#gid=0"",""1_ACUM!A4:S""),16,FALSE))"),"")</f>
        <v/>
      </c>
      <c r="BD335" s="43" t="str">
        <f ca="1">IFERROR(__xludf.DUMMYFUNCTION("IFERROR(VLOOKUP(E601&amp;F601,IMPORTRANGE(""https://docs.google.com/spreadsheets/d/1Uw7-A9f9R21vMXxHZFNpYNeKFtG8_yji4HS352LGlSQ/edit?pli=1#gid=0"",""1_ACUM!A4:S""),17,FALSE))"),"")</f>
        <v/>
      </c>
      <c r="BE335" s="44" t="str">
        <f ca="1">IFERROR(__xludf.DUMMYFUNCTION("IFERROR(VLOOKUP(E601&amp;F601,IMPORTRANGE(""https://docs.google.com/spreadsheets/d/1Uw7-A9f9R21vMXxHZFNpYNeKFtG8_yji4HS352LGlSQ/edit?pli=1#gid=0"",""1_ACUM!A4:S""),18,FALSE))"),"")</f>
        <v/>
      </c>
      <c r="BF335" s="44" t="str">
        <f ca="1">IFERROR(__xludf.DUMMYFUNCTION("IFERROR(VLOOKUP(E601&amp;F601,IMPORTRANGE(""https://docs.google.com/spreadsheets/d/1Uw7-A9f9R21vMXxHZFNpYNeKFtG8_yji4HS352LGlSQ/edit?pli=1#gid=0"",""1_ACUM!A4:S""),19,FALSE))"),"")</f>
        <v/>
      </c>
      <c r="BG335" s="98" t="str">
        <f ca="1">IFERROR(__xludf.DUMMYFUNCTION("IFERROR(VLOOKUP(F601,IMPORTRANGE(""https://docs.google.com/spreadsheets/d/1Kvs4KS76FHFqLFIZfrDMff4kP08nblUkihrxltoGBjg/edit#gid=934712705"",""ESENCIAL!A6:BG""),5,FALSE))"),"")</f>
        <v/>
      </c>
      <c r="BH335" s="98" t="str">
        <f t="shared" si="21"/>
        <v/>
      </c>
      <c r="BI335" s="99" t="str">
        <f t="shared" si="22"/>
        <v/>
      </c>
      <c r="BJ335" s="100" t="str">
        <f ca="1">IFERROR(__xludf.DUMMYFUNCTION("IFERROR(VLOOKUP(F601,IMPORTRANGE(""https://docs.google.com/spreadsheets/d/1Kvs4KS76FHFqLFIZfrDMff4kP08nblUkihrxltoGBjg/edit#gid=934712705"",""ESENCIAL!A6:BG""),2,FALSE))"),"")</f>
        <v/>
      </c>
      <c r="BK335" s="19" t="str">
        <f t="shared" si="23"/>
        <v/>
      </c>
      <c r="BL335" s="100"/>
      <c r="BM335" s="100"/>
    </row>
    <row r="336" spans="2:65" ht="15">
      <c r="B336" s="39"/>
      <c r="C336" s="5"/>
      <c r="D336" s="123"/>
      <c r="E336" s="39"/>
      <c r="F336" s="39"/>
      <c r="G336" s="39"/>
      <c r="H336" s="5" t="str">
        <f ca="1">IFERROR(__xludf.DUMMYFUNCTION("IFERROR(VLOOKUP(F602,IMPORTRANGE(""https://docs.google.com/spreadsheets/d/1Kvs4KS76FHFqLFIZfrDMff4kP08nblUkihrxltoGBjg/edit#gid=934712705"",""ESENCIAL!A6:BG""),3,FALSE))"),"")</f>
        <v/>
      </c>
      <c r="I336" s="5" t="str">
        <f ca="1">IFERROR(__xludf.DUMMYFUNCTION("IFERROR(VLOOKUP(F602,IMPORTRANGE(""https://docs.google.com/spreadsheets/d/1Kvs4KS76FHFqLFIZfrDMff4kP08nblUkihrxltoGBjg/edit#gid=934712705"",""ESENCIAL!A6:BG""),8,FALSE))"),"")</f>
        <v/>
      </c>
      <c r="J336" s="39"/>
      <c r="M336" s="287"/>
      <c r="AV336" s="41" t="str">
        <f t="shared" si="20"/>
        <v/>
      </c>
      <c r="AW336" s="5" t="str">
        <f ca="1">IFERROR(__xludf.DUMMYFUNCTION("IFERROR(VLOOKUP(E602&amp;F602,IMPORTRANGE(""https://docs.google.com/spreadsheets/d/1Uw7-A9f9R21vMXxHZFNpYNeKFtG8_yji4HS352LGlSQ/edit?pli=1#gid=0"",""1_ACUM!A4:S""),11,FALSE))"),"")</f>
        <v/>
      </c>
      <c r="AX336" s="42" t="str">
        <f ca="1">IFERROR(__xludf.DUMMYFUNCTION("IFERROR(VLOOKUP(F602,IMPORTRANGE(""https://docs.google.com/spreadsheets/d/1Kvs4KS76FHFqLFIZfrDMff4kP08nblUkihrxltoGBjg/edit#gid=934712705"",""ESENCIAL!A6:BG""),15,FALSE))"),"")</f>
        <v/>
      </c>
      <c r="AY336" s="110" t="str">
        <f ca="1">IFERROR(__xludf.DUMMYFUNCTION("IFERROR(VLOOKUP(E602&amp;F602,IMPORTRANGE(""https://docs.google.com/spreadsheets/d/1Uw7-A9f9R21vMXxHZFNpYNeKFtG8_yji4HS352LGlSQ/edit?pli=1#gid=0"",""1_ACUM!A4:S""),13,FALSE))"),"")</f>
        <v/>
      </c>
      <c r="AZ336" s="43" t="str">
        <f ca="1">IFERROR(__xludf.DUMMYFUNCTION("IFERROR(VLOOKUP(E602&amp;F602,IMPORTRANGE(""https://docs.google.com/spreadsheets/d/1Uw7-A9f9R21vMXxHZFNpYNeKFtG8_yji4HS352LGlSQ/edit?pli=1#gid=0"",""1_ACUM!A4:S""),13,FALSE))"),"")</f>
        <v/>
      </c>
      <c r="BA336" s="43" t="str">
        <f ca="1">IFERROR(__xludf.DUMMYFUNCTION("IFERROR(VLOOKUP(E602&amp;F602,IMPORTRANGE(""https://docs.google.com/spreadsheets/d/1Uw7-A9f9R21vMXxHZFNpYNeKFtG8_yji4HS352LGlSQ/edit?pli=1#gid=0"",""1_ACUM!A4:S""),14,FALSE))"),"")</f>
        <v/>
      </c>
      <c r="BB336" s="43" t="str">
        <f ca="1">IFERROR(__xludf.DUMMYFUNCTION("IFERROR(VLOOKUP(E602&amp;F602,IMPORTRANGE(""https://docs.google.com/spreadsheets/d/1Uw7-A9f9R21vMXxHZFNpYNeKFtG8_yji4HS352LGlSQ/edit?pli=1#gid=0"",""1_ACUM!A4:S""),15,FALSE))"),"")</f>
        <v/>
      </c>
      <c r="BC336" s="43" t="str">
        <f ca="1">IFERROR(__xludf.DUMMYFUNCTION("IFERROR(VLOOKUP(E602&amp;F602,IMPORTRANGE(""https://docs.google.com/spreadsheets/d/1Uw7-A9f9R21vMXxHZFNpYNeKFtG8_yji4HS352LGlSQ/edit?pli=1#gid=0"",""1_ACUM!A4:S""),16,FALSE))"),"")</f>
        <v/>
      </c>
      <c r="BD336" s="43" t="str">
        <f ca="1">IFERROR(__xludf.DUMMYFUNCTION("IFERROR(VLOOKUP(E602&amp;F602,IMPORTRANGE(""https://docs.google.com/spreadsheets/d/1Uw7-A9f9R21vMXxHZFNpYNeKFtG8_yji4HS352LGlSQ/edit?pli=1#gid=0"",""1_ACUM!A4:S""),17,FALSE))"),"")</f>
        <v/>
      </c>
      <c r="BE336" s="44" t="str">
        <f ca="1">IFERROR(__xludf.DUMMYFUNCTION("IFERROR(VLOOKUP(E602&amp;F602,IMPORTRANGE(""https://docs.google.com/spreadsheets/d/1Uw7-A9f9R21vMXxHZFNpYNeKFtG8_yji4HS352LGlSQ/edit?pli=1#gid=0"",""1_ACUM!A4:S""),18,FALSE))"),"")</f>
        <v/>
      </c>
      <c r="BF336" s="44" t="str">
        <f ca="1">IFERROR(__xludf.DUMMYFUNCTION("IFERROR(VLOOKUP(E602&amp;F602,IMPORTRANGE(""https://docs.google.com/spreadsheets/d/1Uw7-A9f9R21vMXxHZFNpYNeKFtG8_yji4HS352LGlSQ/edit?pli=1#gid=0"",""1_ACUM!A4:S""),19,FALSE))"),"")</f>
        <v/>
      </c>
      <c r="BG336" s="98" t="str">
        <f ca="1">IFERROR(__xludf.DUMMYFUNCTION("IFERROR(VLOOKUP(F602,IMPORTRANGE(""https://docs.google.com/spreadsheets/d/1Kvs4KS76FHFqLFIZfrDMff4kP08nblUkihrxltoGBjg/edit#gid=934712705"",""ESENCIAL!A6:BG""),5,FALSE))"),"")</f>
        <v/>
      </c>
      <c r="BH336" s="98" t="str">
        <f t="shared" si="21"/>
        <v/>
      </c>
      <c r="BI336" s="99" t="str">
        <f t="shared" si="22"/>
        <v/>
      </c>
      <c r="BJ336" s="100" t="str">
        <f ca="1">IFERROR(__xludf.DUMMYFUNCTION("IFERROR(VLOOKUP(F602,IMPORTRANGE(""https://docs.google.com/spreadsheets/d/1Kvs4KS76FHFqLFIZfrDMff4kP08nblUkihrxltoGBjg/edit#gid=934712705"",""ESENCIAL!A6:BG""),2,FALSE))"),"")</f>
        <v/>
      </c>
      <c r="BK336" s="19" t="str">
        <f t="shared" si="23"/>
        <v/>
      </c>
      <c r="BL336" s="100"/>
      <c r="BM336" s="100"/>
    </row>
    <row r="337" spans="2:65" ht="15">
      <c r="B337" s="39"/>
      <c r="C337" s="5"/>
      <c r="D337" s="123"/>
      <c r="E337" s="39"/>
      <c r="F337" s="39"/>
      <c r="G337" s="39"/>
      <c r="H337" s="5" t="str">
        <f ca="1">IFERROR(__xludf.DUMMYFUNCTION("IFERROR(VLOOKUP(F603,IMPORTRANGE(""https://docs.google.com/spreadsheets/d/1Kvs4KS76FHFqLFIZfrDMff4kP08nblUkihrxltoGBjg/edit#gid=934712705"",""ESENCIAL!A6:BG""),3,FALSE))"),"")</f>
        <v/>
      </c>
      <c r="I337" s="5" t="str">
        <f ca="1">IFERROR(__xludf.DUMMYFUNCTION("IFERROR(VLOOKUP(F603,IMPORTRANGE(""https://docs.google.com/spreadsheets/d/1Kvs4KS76FHFqLFIZfrDMff4kP08nblUkihrxltoGBjg/edit#gid=934712705"",""ESENCIAL!A6:BG""),8,FALSE))"),"")</f>
        <v/>
      </c>
      <c r="J337" s="39"/>
      <c r="M337" s="287"/>
      <c r="AV337" s="41" t="str">
        <f t="shared" si="20"/>
        <v/>
      </c>
      <c r="AW337" s="5" t="str">
        <f ca="1">IFERROR(__xludf.DUMMYFUNCTION("IFERROR(VLOOKUP(E603&amp;F603,IMPORTRANGE(""https://docs.google.com/spreadsheets/d/1Uw7-A9f9R21vMXxHZFNpYNeKFtG8_yji4HS352LGlSQ/edit?pli=1#gid=0"",""1_ACUM!A4:S""),11,FALSE))"),"")</f>
        <v/>
      </c>
      <c r="AX337" s="42" t="str">
        <f ca="1">IFERROR(__xludf.DUMMYFUNCTION("IFERROR(VLOOKUP(F603,IMPORTRANGE(""https://docs.google.com/spreadsheets/d/1Kvs4KS76FHFqLFIZfrDMff4kP08nblUkihrxltoGBjg/edit#gid=934712705"",""ESENCIAL!A6:BG""),15,FALSE))"),"")</f>
        <v/>
      </c>
      <c r="AY337" s="110" t="str">
        <f ca="1">IFERROR(__xludf.DUMMYFUNCTION("IFERROR(VLOOKUP(E603&amp;F603,IMPORTRANGE(""https://docs.google.com/spreadsheets/d/1Uw7-A9f9R21vMXxHZFNpYNeKFtG8_yji4HS352LGlSQ/edit?pli=1#gid=0"",""1_ACUM!A4:S""),13,FALSE))"),"")</f>
        <v/>
      </c>
      <c r="AZ337" s="43" t="str">
        <f ca="1">IFERROR(__xludf.DUMMYFUNCTION("IFERROR(VLOOKUP(E603&amp;F603,IMPORTRANGE(""https://docs.google.com/spreadsheets/d/1Uw7-A9f9R21vMXxHZFNpYNeKFtG8_yji4HS352LGlSQ/edit?pli=1#gid=0"",""1_ACUM!A4:S""),13,FALSE))"),"")</f>
        <v/>
      </c>
      <c r="BA337" s="43" t="str">
        <f ca="1">IFERROR(__xludf.DUMMYFUNCTION("IFERROR(VLOOKUP(E603&amp;F603,IMPORTRANGE(""https://docs.google.com/spreadsheets/d/1Uw7-A9f9R21vMXxHZFNpYNeKFtG8_yji4HS352LGlSQ/edit?pli=1#gid=0"",""1_ACUM!A4:S""),14,FALSE))"),"")</f>
        <v/>
      </c>
      <c r="BB337" s="43" t="str">
        <f ca="1">IFERROR(__xludf.DUMMYFUNCTION("IFERROR(VLOOKUP(E603&amp;F603,IMPORTRANGE(""https://docs.google.com/spreadsheets/d/1Uw7-A9f9R21vMXxHZFNpYNeKFtG8_yji4HS352LGlSQ/edit?pli=1#gid=0"",""1_ACUM!A4:S""),15,FALSE))"),"")</f>
        <v/>
      </c>
      <c r="BC337" s="43" t="str">
        <f ca="1">IFERROR(__xludf.DUMMYFUNCTION("IFERROR(VLOOKUP(E603&amp;F603,IMPORTRANGE(""https://docs.google.com/spreadsheets/d/1Uw7-A9f9R21vMXxHZFNpYNeKFtG8_yji4HS352LGlSQ/edit?pli=1#gid=0"",""1_ACUM!A4:S""),16,FALSE))"),"")</f>
        <v/>
      </c>
      <c r="BD337" s="43" t="str">
        <f ca="1">IFERROR(__xludf.DUMMYFUNCTION("IFERROR(VLOOKUP(E603&amp;F603,IMPORTRANGE(""https://docs.google.com/spreadsheets/d/1Uw7-A9f9R21vMXxHZFNpYNeKFtG8_yji4HS352LGlSQ/edit?pli=1#gid=0"",""1_ACUM!A4:S""),17,FALSE))"),"")</f>
        <v/>
      </c>
      <c r="BE337" s="44" t="str">
        <f ca="1">IFERROR(__xludf.DUMMYFUNCTION("IFERROR(VLOOKUP(E603&amp;F603,IMPORTRANGE(""https://docs.google.com/spreadsheets/d/1Uw7-A9f9R21vMXxHZFNpYNeKFtG8_yji4HS352LGlSQ/edit?pli=1#gid=0"",""1_ACUM!A4:S""),18,FALSE))"),"")</f>
        <v/>
      </c>
      <c r="BF337" s="44" t="str">
        <f ca="1">IFERROR(__xludf.DUMMYFUNCTION("IFERROR(VLOOKUP(E603&amp;F603,IMPORTRANGE(""https://docs.google.com/spreadsheets/d/1Uw7-A9f9R21vMXxHZFNpYNeKFtG8_yji4HS352LGlSQ/edit?pli=1#gid=0"",""1_ACUM!A4:S""),19,FALSE))"),"")</f>
        <v/>
      </c>
      <c r="BG337" s="98" t="str">
        <f ca="1">IFERROR(__xludf.DUMMYFUNCTION("IFERROR(VLOOKUP(F603,IMPORTRANGE(""https://docs.google.com/spreadsheets/d/1Kvs4KS76FHFqLFIZfrDMff4kP08nblUkihrxltoGBjg/edit#gid=934712705"",""ESENCIAL!A6:BG""),5,FALSE))"),"")</f>
        <v/>
      </c>
      <c r="BH337" s="98" t="str">
        <f t="shared" si="21"/>
        <v/>
      </c>
      <c r="BI337" s="99" t="str">
        <f t="shared" si="22"/>
        <v/>
      </c>
      <c r="BJ337" s="100" t="str">
        <f ca="1">IFERROR(__xludf.DUMMYFUNCTION("IFERROR(VLOOKUP(F603,IMPORTRANGE(""https://docs.google.com/spreadsheets/d/1Kvs4KS76FHFqLFIZfrDMff4kP08nblUkihrxltoGBjg/edit#gid=934712705"",""ESENCIAL!A6:BG""),2,FALSE))"),"")</f>
        <v/>
      </c>
      <c r="BK337" s="19" t="str">
        <f t="shared" si="23"/>
        <v/>
      </c>
      <c r="BL337" s="100"/>
      <c r="BM337" s="100"/>
    </row>
    <row r="338" spans="2:65" ht="15">
      <c r="B338" s="39"/>
      <c r="C338" s="5"/>
      <c r="D338" s="123"/>
      <c r="E338" s="39"/>
      <c r="F338" s="39"/>
      <c r="G338" s="39"/>
      <c r="H338" s="5" t="str">
        <f ca="1">IFERROR(__xludf.DUMMYFUNCTION("IFERROR(VLOOKUP(F604,IMPORTRANGE(""https://docs.google.com/spreadsheets/d/1Kvs4KS76FHFqLFIZfrDMff4kP08nblUkihrxltoGBjg/edit#gid=934712705"",""ESENCIAL!A6:BG""),3,FALSE))"),"")</f>
        <v/>
      </c>
      <c r="I338" s="5" t="str">
        <f ca="1">IFERROR(__xludf.DUMMYFUNCTION("IFERROR(VLOOKUP(F604,IMPORTRANGE(""https://docs.google.com/spreadsheets/d/1Kvs4KS76FHFqLFIZfrDMff4kP08nblUkihrxltoGBjg/edit#gid=934712705"",""ESENCIAL!A6:BG""),8,FALSE))"),"")</f>
        <v/>
      </c>
      <c r="J338" s="39"/>
      <c r="M338" s="287"/>
      <c r="AV338" s="41" t="str">
        <f t="shared" si="20"/>
        <v/>
      </c>
      <c r="AW338" s="5" t="str">
        <f ca="1">IFERROR(__xludf.DUMMYFUNCTION("IFERROR(VLOOKUP(E604&amp;F604,IMPORTRANGE(""https://docs.google.com/spreadsheets/d/1Uw7-A9f9R21vMXxHZFNpYNeKFtG8_yji4HS352LGlSQ/edit?pli=1#gid=0"",""1_ACUM!A4:S""),11,FALSE))"),"")</f>
        <v/>
      </c>
      <c r="AX338" s="42" t="str">
        <f ca="1">IFERROR(__xludf.DUMMYFUNCTION("IFERROR(VLOOKUP(F604,IMPORTRANGE(""https://docs.google.com/spreadsheets/d/1Kvs4KS76FHFqLFIZfrDMff4kP08nblUkihrxltoGBjg/edit#gid=934712705"",""ESENCIAL!A6:BG""),15,FALSE))"),"")</f>
        <v/>
      </c>
      <c r="AY338" s="110" t="str">
        <f ca="1">IFERROR(__xludf.DUMMYFUNCTION("IFERROR(VLOOKUP(E604&amp;F604,IMPORTRANGE(""https://docs.google.com/spreadsheets/d/1Uw7-A9f9R21vMXxHZFNpYNeKFtG8_yji4HS352LGlSQ/edit?pli=1#gid=0"",""1_ACUM!A4:S""),13,FALSE))"),"")</f>
        <v/>
      </c>
      <c r="AZ338" s="43" t="str">
        <f ca="1">IFERROR(__xludf.DUMMYFUNCTION("IFERROR(VLOOKUP(E604&amp;F604,IMPORTRANGE(""https://docs.google.com/spreadsheets/d/1Uw7-A9f9R21vMXxHZFNpYNeKFtG8_yji4HS352LGlSQ/edit?pli=1#gid=0"",""1_ACUM!A4:S""),13,FALSE))"),"")</f>
        <v/>
      </c>
      <c r="BA338" s="43" t="str">
        <f ca="1">IFERROR(__xludf.DUMMYFUNCTION("IFERROR(VLOOKUP(E604&amp;F604,IMPORTRANGE(""https://docs.google.com/spreadsheets/d/1Uw7-A9f9R21vMXxHZFNpYNeKFtG8_yji4HS352LGlSQ/edit?pli=1#gid=0"",""1_ACUM!A4:S""),14,FALSE))"),"")</f>
        <v/>
      </c>
      <c r="BB338" s="43" t="str">
        <f ca="1">IFERROR(__xludf.DUMMYFUNCTION("IFERROR(VLOOKUP(E604&amp;F604,IMPORTRANGE(""https://docs.google.com/spreadsheets/d/1Uw7-A9f9R21vMXxHZFNpYNeKFtG8_yji4HS352LGlSQ/edit?pli=1#gid=0"",""1_ACUM!A4:S""),15,FALSE))"),"")</f>
        <v/>
      </c>
      <c r="BC338" s="43" t="str">
        <f ca="1">IFERROR(__xludf.DUMMYFUNCTION("IFERROR(VLOOKUP(E604&amp;F604,IMPORTRANGE(""https://docs.google.com/spreadsheets/d/1Uw7-A9f9R21vMXxHZFNpYNeKFtG8_yji4HS352LGlSQ/edit?pli=1#gid=0"",""1_ACUM!A4:S""),16,FALSE))"),"")</f>
        <v/>
      </c>
      <c r="BD338" s="43" t="str">
        <f ca="1">IFERROR(__xludf.DUMMYFUNCTION("IFERROR(VLOOKUP(E604&amp;F604,IMPORTRANGE(""https://docs.google.com/spreadsheets/d/1Uw7-A9f9R21vMXxHZFNpYNeKFtG8_yji4HS352LGlSQ/edit?pli=1#gid=0"",""1_ACUM!A4:S""),17,FALSE))"),"")</f>
        <v/>
      </c>
      <c r="BE338" s="44" t="str">
        <f ca="1">IFERROR(__xludf.DUMMYFUNCTION("IFERROR(VLOOKUP(E604&amp;F604,IMPORTRANGE(""https://docs.google.com/spreadsheets/d/1Uw7-A9f9R21vMXxHZFNpYNeKFtG8_yji4HS352LGlSQ/edit?pli=1#gid=0"",""1_ACUM!A4:S""),18,FALSE))"),"")</f>
        <v/>
      </c>
      <c r="BF338" s="44" t="str">
        <f ca="1">IFERROR(__xludf.DUMMYFUNCTION("IFERROR(VLOOKUP(E604&amp;F604,IMPORTRANGE(""https://docs.google.com/spreadsheets/d/1Uw7-A9f9R21vMXxHZFNpYNeKFtG8_yji4HS352LGlSQ/edit?pli=1#gid=0"",""1_ACUM!A4:S""),19,FALSE))"),"")</f>
        <v/>
      </c>
      <c r="BG338" s="98" t="str">
        <f ca="1">IFERROR(__xludf.DUMMYFUNCTION("IFERROR(VLOOKUP(F604,IMPORTRANGE(""https://docs.google.com/spreadsheets/d/1Kvs4KS76FHFqLFIZfrDMff4kP08nblUkihrxltoGBjg/edit#gid=934712705"",""ESENCIAL!A6:BG""),5,FALSE))"),"")</f>
        <v/>
      </c>
      <c r="BH338" s="98" t="str">
        <f t="shared" si="21"/>
        <v/>
      </c>
      <c r="BI338" s="99" t="str">
        <f t="shared" si="22"/>
        <v/>
      </c>
      <c r="BJ338" s="100" t="str">
        <f ca="1">IFERROR(__xludf.DUMMYFUNCTION("IFERROR(VLOOKUP(F604,IMPORTRANGE(""https://docs.google.com/spreadsheets/d/1Kvs4KS76FHFqLFIZfrDMff4kP08nblUkihrxltoGBjg/edit#gid=934712705"",""ESENCIAL!A6:BG""),2,FALSE))"),"")</f>
        <v/>
      </c>
      <c r="BK338" s="19" t="str">
        <f t="shared" si="23"/>
        <v/>
      </c>
      <c r="BL338" s="100"/>
      <c r="BM338" s="100"/>
    </row>
    <row r="339" spans="2:65" ht="15">
      <c r="B339" s="39"/>
      <c r="C339" s="5"/>
      <c r="D339" s="123"/>
      <c r="E339" s="39"/>
      <c r="F339" s="39"/>
      <c r="G339" s="39"/>
      <c r="H339" s="5" t="str">
        <f ca="1">IFERROR(__xludf.DUMMYFUNCTION("IFERROR(VLOOKUP(F605,IMPORTRANGE(""https://docs.google.com/spreadsheets/d/1Kvs4KS76FHFqLFIZfrDMff4kP08nblUkihrxltoGBjg/edit#gid=934712705"",""ESENCIAL!A6:BG""),3,FALSE))"),"")</f>
        <v/>
      </c>
      <c r="I339" s="5" t="str">
        <f ca="1">IFERROR(__xludf.DUMMYFUNCTION("IFERROR(VLOOKUP(F605,IMPORTRANGE(""https://docs.google.com/spreadsheets/d/1Kvs4KS76FHFqLFIZfrDMff4kP08nblUkihrxltoGBjg/edit#gid=934712705"",""ESENCIAL!A6:BG""),8,FALSE))"),"")</f>
        <v/>
      </c>
      <c r="J339" s="39"/>
      <c r="M339" s="287"/>
      <c r="AV339" s="41" t="str">
        <f t="shared" si="20"/>
        <v/>
      </c>
      <c r="AW339" s="5" t="str">
        <f ca="1">IFERROR(__xludf.DUMMYFUNCTION("IFERROR(VLOOKUP(E605&amp;F605,IMPORTRANGE(""https://docs.google.com/spreadsheets/d/1Uw7-A9f9R21vMXxHZFNpYNeKFtG8_yji4HS352LGlSQ/edit?pli=1#gid=0"",""1_ACUM!A4:S""),11,FALSE))"),"")</f>
        <v/>
      </c>
      <c r="AX339" s="42" t="str">
        <f ca="1">IFERROR(__xludf.DUMMYFUNCTION("IFERROR(VLOOKUP(F605,IMPORTRANGE(""https://docs.google.com/spreadsheets/d/1Kvs4KS76FHFqLFIZfrDMff4kP08nblUkihrxltoGBjg/edit#gid=934712705"",""ESENCIAL!A6:BG""),15,FALSE))"),"")</f>
        <v/>
      </c>
      <c r="AY339" s="110" t="str">
        <f ca="1">IFERROR(__xludf.DUMMYFUNCTION("IFERROR(VLOOKUP(E605&amp;F605,IMPORTRANGE(""https://docs.google.com/spreadsheets/d/1Uw7-A9f9R21vMXxHZFNpYNeKFtG8_yji4HS352LGlSQ/edit?pli=1#gid=0"",""1_ACUM!A4:S""),13,FALSE))"),"")</f>
        <v/>
      </c>
      <c r="AZ339" s="43" t="str">
        <f ca="1">IFERROR(__xludf.DUMMYFUNCTION("IFERROR(VLOOKUP(E605&amp;F605,IMPORTRANGE(""https://docs.google.com/spreadsheets/d/1Uw7-A9f9R21vMXxHZFNpYNeKFtG8_yji4HS352LGlSQ/edit?pli=1#gid=0"",""1_ACUM!A4:S""),13,FALSE))"),"")</f>
        <v/>
      </c>
      <c r="BA339" s="43" t="str">
        <f ca="1">IFERROR(__xludf.DUMMYFUNCTION("IFERROR(VLOOKUP(E605&amp;F605,IMPORTRANGE(""https://docs.google.com/spreadsheets/d/1Uw7-A9f9R21vMXxHZFNpYNeKFtG8_yji4HS352LGlSQ/edit?pli=1#gid=0"",""1_ACUM!A4:S""),14,FALSE))"),"")</f>
        <v/>
      </c>
      <c r="BB339" s="43" t="str">
        <f ca="1">IFERROR(__xludf.DUMMYFUNCTION("IFERROR(VLOOKUP(E605&amp;F605,IMPORTRANGE(""https://docs.google.com/spreadsheets/d/1Uw7-A9f9R21vMXxHZFNpYNeKFtG8_yji4HS352LGlSQ/edit?pli=1#gid=0"",""1_ACUM!A4:S""),15,FALSE))"),"")</f>
        <v/>
      </c>
      <c r="BC339" s="43" t="str">
        <f ca="1">IFERROR(__xludf.DUMMYFUNCTION("IFERROR(VLOOKUP(E605&amp;F605,IMPORTRANGE(""https://docs.google.com/spreadsheets/d/1Uw7-A9f9R21vMXxHZFNpYNeKFtG8_yji4HS352LGlSQ/edit?pli=1#gid=0"",""1_ACUM!A4:S""),16,FALSE))"),"")</f>
        <v/>
      </c>
      <c r="BD339" s="43" t="str">
        <f ca="1">IFERROR(__xludf.DUMMYFUNCTION("IFERROR(VLOOKUP(E605&amp;F605,IMPORTRANGE(""https://docs.google.com/spreadsheets/d/1Uw7-A9f9R21vMXxHZFNpYNeKFtG8_yji4HS352LGlSQ/edit?pli=1#gid=0"",""1_ACUM!A4:S""),17,FALSE))"),"")</f>
        <v/>
      </c>
      <c r="BE339" s="44" t="str">
        <f ca="1">IFERROR(__xludf.DUMMYFUNCTION("IFERROR(VLOOKUP(E605&amp;F605,IMPORTRANGE(""https://docs.google.com/spreadsheets/d/1Uw7-A9f9R21vMXxHZFNpYNeKFtG8_yji4HS352LGlSQ/edit?pli=1#gid=0"",""1_ACUM!A4:S""),18,FALSE))"),"")</f>
        <v/>
      </c>
      <c r="BF339" s="44" t="str">
        <f ca="1">IFERROR(__xludf.DUMMYFUNCTION("IFERROR(VLOOKUP(E605&amp;F605,IMPORTRANGE(""https://docs.google.com/spreadsheets/d/1Uw7-A9f9R21vMXxHZFNpYNeKFtG8_yji4HS352LGlSQ/edit?pli=1#gid=0"",""1_ACUM!A4:S""),19,FALSE))"),"")</f>
        <v/>
      </c>
      <c r="BG339" s="98" t="str">
        <f ca="1">IFERROR(__xludf.DUMMYFUNCTION("IFERROR(VLOOKUP(F605,IMPORTRANGE(""https://docs.google.com/spreadsheets/d/1Kvs4KS76FHFqLFIZfrDMff4kP08nblUkihrxltoGBjg/edit#gid=934712705"",""ESENCIAL!A6:BG""),5,FALSE))"),"")</f>
        <v/>
      </c>
      <c r="BH339" s="98" t="str">
        <f t="shared" si="21"/>
        <v/>
      </c>
      <c r="BI339" s="99" t="str">
        <f t="shared" si="22"/>
        <v/>
      </c>
      <c r="BJ339" s="100" t="str">
        <f ca="1">IFERROR(__xludf.DUMMYFUNCTION("IFERROR(VLOOKUP(F605,IMPORTRANGE(""https://docs.google.com/spreadsheets/d/1Kvs4KS76FHFqLFIZfrDMff4kP08nblUkihrxltoGBjg/edit#gid=934712705"",""ESENCIAL!A6:BG""),2,FALSE))"),"")</f>
        <v/>
      </c>
      <c r="BK339" s="19" t="str">
        <f t="shared" si="23"/>
        <v/>
      </c>
      <c r="BL339" s="100"/>
      <c r="BM339" s="100"/>
    </row>
    <row r="340" spans="2:65" ht="15">
      <c r="B340" s="39"/>
      <c r="C340" s="5"/>
      <c r="D340" s="123"/>
      <c r="E340" s="39"/>
      <c r="F340" s="39"/>
      <c r="G340" s="39"/>
      <c r="H340" s="5" t="str">
        <f ca="1">IFERROR(__xludf.DUMMYFUNCTION("IFERROR(VLOOKUP(F606,IMPORTRANGE(""https://docs.google.com/spreadsheets/d/1Kvs4KS76FHFqLFIZfrDMff4kP08nblUkihrxltoGBjg/edit#gid=934712705"",""ESENCIAL!A6:BG""),3,FALSE))"),"")</f>
        <v/>
      </c>
      <c r="I340" s="5" t="str">
        <f ca="1">IFERROR(__xludf.DUMMYFUNCTION("IFERROR(VLOOKUP(F606,IMPORTRANGE(""https://docs.google.com/spreadsheets/d/1Kvs4KS76FHFqLFIZfrDMff4kP08nblUkihrxltoGBjg/edit#gid=934712705"",""ESENCIAL!A6:BG""),8,FALSE))"),"")</f>
        <v/>
      </c>
      <c r="J340" s="39"/>
      <c r="M340" s="287"/>
      <c r="AV340" s="41" t="str">
        <f t="shared" si="20"/>
        <v/>
      </c>
      <c r="AW340" s="5" t="str">
        <f ca="1">IFERROR(__xludf.DUMMYFUNCTION("IFERROR(VLOOKUP(E606&amp;F606,IMPORTRANGE(""https://docs.google.com/spreadsheets/d/1Uw7-A9f9R21vMXxHZFNpYNeKFtG8_yji4HS352LGlSQ/edit?pli=1#gid=0"",""1_ACUM!A4:S""),11,FALSE))"),"")</f>
        <v/>
      </c>
      <c r="AX340" s="42" t="str">
        <f ca="1">IFERROR(__xludf.DUMMYFUNCTION("IFERROR(VLOOKUP(F606,IMPORTRANGE(""https://docs.google.com/spreadsheets/d/1Kvs4KS76FHFqLFIZfrDMff4kP08nblUkihrxltoGBjg/edit#gid=934712705"",""ESENCIAL!A6:BG""),15,FALSE))"),"")</f>
        <v/>
      </c>
      <c r="AY340" s="110" t="str">
        <f ca="1">IFERROR(__xludf.DUMMYFUNCTION("IFERROR(VLOOKUP(E606&amp;F606,IMPORTRANGE(""https://docs.google.com/spreadsheets/d/1Uw7-A9f9R21vMXxHZFNpYNeKFtG8_yji4HS352LGlSQ/edit?pli=1#gid=0"",""1_ACUM!A4:S""),13,FALSE))"),"")</f>
        <v/>
      </c>
      <c r="AZ340" s="43" t="str">
        <f ca="1">IFERROR(__xludf.DUMMYFUNCTION("IFERROR(VLOOKUP(E606&amp;F606,IMPORTRANGE(""https://docs.google.com/spreadsheets/d/1Uw7-A9f9R21vMXxHZFNpYNeKFtG8_yji4HS352LGlSQ/edit?pli=1#gid=0"",""1_ACUM!A4:S""),13,FALSE))"),"")</f>
        <v/>
      </c>
      <c r="BA340" s="43" t="str">
        <f ca="1">IFERROR(__xludf.DUMMYFUNCTION("IFERROR(VLOOKUP(E606&amp;F606,IMPORTRANGE(""https://docs.google.com/spreadsheets/d/1Uw7-A9f9R21vMXxHZFNpYNeKFtG8_yji4HS352LGlSQ/edit?pli=1#gid=0"",""1_ACUM!A4:S""),14,FALSE))"),"")</f>
        <v/>
      </c>
      <c r="BB340" s="43" t="str">
        <f ca="1">IFERROR(__xludf.DUMMYFUNCTION("IFERROR(VLOOKUP(E606&amp;F606,IMPORTRANGE(""https://docs.google.com/spreadsheets/d/1Uw7-A9f9R21vMXxHZFNpYNeKFtG8_yji4HS352LGlSQ/edit?pli=1#gid=0"",""1_ACUM!A4:S""),15,FALSE))"),"")</f>
        <v/>
      </c>
      <c r="BC340" s="43" t="str">
        <f ca="1">IFERROR(__xludf.DUMMYFUNCTION("IFERROR(VLOOKUP(E606&amp;F606,IMPORTRANGE(""https://docs.google.com/spreadsheets/d/1Uw7-A9f9R21vMXxHZFNpYNeKFtG8_yji4HS352LGlSQ/edit?pli=1#gid=0"",""1_ACUM!A4:S""),16,FALSE))"),"")</f>
        <v/>
      </c>
      <c r="BD340" s="43" t="str">
        <f ca="1">IFERROR(__xludf.DUMMYFUNCTION("IFERROR(VLOOKUP(E606&amp;F606,IMPORTRANGE(""https://docs.google.com/spreadsheets/d/1Uw7-A9f9R21vMXxHZFNpYNeKFtG8_yji4HS352LGlSQ/edit?pli=1#gid=0"",""1_ACUM!A4:S""),17,FALSE))"),"")</f>
        <v/>
      </c>
      <c r="BE340" s="44" t="str">
        <f ca="1">IFERROR(__xludf.DUMMYFUNCTION("IFERROR(VLOOKUP(E606&amp;F606,IMPORTRANGE(""https://docs.google.com/spreadsheets/d/1Uw7-A9f9R21vMXxHZFNpYNeKFtG8_yji4HS352LGlSQ/edit?pli=1#gid=0"",""1_ACUM!A4:S""),18,FALSE))"),"")</f>
        <v/>
      </c>
      <c r="BF340" s="44" t="str">
        <f ca="1">IFERROR(__xludf.DUMMYFUNCTION("IFERROR(VLOOKUP(E606&amp;F606,IMPORTRANGE(""https://docs.google.com/spreadsheets/d/1Uw7-A9f9R21vMXxHZFNpYNeKFtG8_yji4HS352LGlSQ/edit?pli=1#gid=0"",""1_ACUM!A4:S""),19,FALSE))"),"")</f>
        <v/>
      </c>
      <c r="BG340" s="98" t="str">
        <f ca="1">IFERROR(__xludf.DUMMYFUNCTION("IFERROR(VLOOKUP(F606,IMPORTRANGE(""https://docs.google.com/spreadsheets/d/1Kvs4KS76FHFqLFIZfrDMff4kP08nblUkihrxltoGBjg/edit#gid=934712705"",""ESENCIAL!A6:BG""),5,FALSE))"),"")</f>
        <v/>
      </c>
      <c r="BH340" s="98" t="str">
        <f t="shared" si="21"/>
        <v/>
      </c>
      <c r="BI340" s="99" t="str">
        <f t="shared" si="22"/>
        <v/>
      </c>
      <c r="BJ340" s="100" t="str">
        <f ca="1">IFERROR(__xludf.DUMMYFUNCTION("IFERROR(VLOOKUP(F606,IMPORTRANGE(""https://docs.google.com/spreadsheets/d/1Kvs4KS76FHFqLFIZfrDMff4kP08nblUkihrxltoGBjg/edit#gid=934712705"",""ESENCIAL!A6:BG""),2,FALSE))"),"")</f>
        <v/>
      </c>
      <c r="BK340" s="19" t="str">
        <f t="shared" si="23"/>
        <v/>
      </c>
      <c r="BL340" s="100"/>
      <c r="BM340" s="100"/>
    </row>
    <row r="341" spans="2:65" ht="15">
      <c r="B341" s="39"/>
      <c r="C341" s="5"/>
      <c r="D341" s="123"/>
      <c r="E341" s="39"/>
      <c r="F341" s="39"/>
      <c r="G341" s="39"/>
      <c r="H341" s="5" t="str">
        <f ca="1">IFERROR(__xludf.DUMMYFUNCTION("IFERROR(VLOOKUP(F607,IMPORTRANGE(""https://docs.google.com/spreadsheets/d/1Kvs4KS76FHFqLFIZfrDMff4kP08nblUkihrxltoGBjg/edit#gid=934712705"",""ESENCIAL!A6:BG""),3,FALSE))"),"")</f>
        <v/>
      </c>
      <c r="I341" s="5" t="str">
        <f ca="1">IFERROR(__xludf.DUMMYFUNCTION("IFERROR(VLOOKUP(F607,IMPORTRANGE(""https://docs.google.com/spreadsheets/d/1Kvs4KS76FHFqLFIZfrDMff4kP08nblUkihrxltoGBjg/edit#gid=934712705"",""ESENCIAL!A6:BG""),8,FALSE))"),"")</f>
        <v/>
      </c>
      <c r="J341" s="39"/>
      <c r="M341" s="287"/>
      <c r="AV341" s="41" t="str">
        <f t="shared" si="20"/>
        <v/>
      </c>
      <c r="AW341" s="5" t="str">
        <f ca="1">IFERROR(__xludf.DUMMYFUNCTION("IFERROR(VLOOKUP(E607&amp;F607,IMPORTRANGE(""https://docs.google.com/spreadsheets/d/1Uw7-A9f9R21vMXxHZFNpYNeKFtG8_yji4HS352LGlSQ/edit?pli=1#gid=0"",""1_ACUM!A4:S""),11,FALSE))"),"")</f>
        <v/>
      </c>
      <c r="AX341" s="42" t="str">
        <f ca="1">IFERROR(__xludf.DUMMYFUNCTION("IFERROR(VLOOKUP(F607,IMPORTRANGE(""https://docs.google.com/spreadsheets/d/1Kvs4KS76FHFqLFIZfrDMff4kP08nblUkihrxltoGBjg/edit#gid=934712705"",""ESENCIAL!A6:BG""),15,FALSE))"),"")</f>
        <v/>
      </c>
      <c r="AY341" s="110" t="str">
        <f ca="1">IFERROR(__xludf.DUMMYFUNCTION("IFERROR(VLOOKUP(E607&amp;F607,IMPORTRANGE(""https://docs.google.com/spreadsheets/d/1Uw7-A9f9R21vMXxHZFNpYNeKFtG8_yji4HS352LGlSQ/edit?pli=1#gid=0"",""1_ACUM!A4:S""),13,FALSE))"),"")</f>
        <v/>
      </c>
      <c r="AZ341" s="43" t="str">
        <f ca="1">IFERROR(__xludf.DUMMYFUNCTION("IFERROR(VLOOKUP(E607&amp;F607,IMPORTRANGE(""https://docs.google.com/spreadsheets/d/1Uw7-A9f9R21vMXxHZFNpYNeKFtG8_yji4HS352LGlSQ/edit?pli=1#gid=0"",""1_ACUM!A4:S""),13,FALSE))"),"")</f>
        <v/>
      </c>
      <c r="BA341" s="43" t="str">
        <f ca="1">IFERROR(__xludf.DUMMYFUNCTION("IFERROR(VLOOKUP(E607&amp;F607,IMPORTRANGE(""https://docs.google.com/spreadsheets/d/1Uw7-A9f9R21vMXxHZFNpYNeKFtG8_yji4HS352LGlSQ/edit?pli=1#gid=0"",""1_ACUM!A4:S""),14,FALSE))"),"")</f>
        <v/>
      </c>
      <c r="BB341" s="43" t="str">
        <f ca="1">IFERROR(__xludf.DUMMYFUNCTION("IFERROR(VLOOKUP(E607&amp;F607,IMPORTRANGE(""https://docs.google.com/spreadsheets/d/1Uw7-A9f9R21vMXxHZFNpYNeKFtG8_yji4HS352LGlSQ/edit?pli=1#gid=0"",""1_ACUM!A4:S""),15,FALSE))"),"")</f>
        <v/>
      </c>
      <c r="BC341" s="43" t="str">
        <f ca="1">IFERROR(__xludf.DUMMYFUNCTION("IFERROR(VLOOKUP(E607&amp;F607,IMPORTRANGE(""https://docs.google.com/spreadsheets/d/1Uw7-A9f9R21vMXxHZFNpYNeKFtG8_yji4HS352LGlSQ/edit?pli=1#gid=0"",""1_ACUM!A4:S""),16,FALSE))"),"")</f>
        <v/>
      </c>
      <c r="BD341" s="43" t="str">
        <f ca="1">IFERROR(__xludf.DUMMYFUNCTION("IFERROR(VLOOKUP(E607&amp;F607,IMPORTRANGE(""https://docs.google.com/spreadsheets/d/1Uw7-A9f9R21vMXxHZFNpYNeKFtG8_yji4HS352LGlSQ/edit?pli=1#gid=0"",""1_ACUM!A4:S""),17,FALSE))"),"")</f>
        <v/>
      </c>
      <c r="BE341" s="44" t="str">
        <f ca="1">IFERROR(__xludf.DUMMYFUNCTION("IFERROR(VLOOKUP(E607&amp;F607,IMPORTRANGE(""https://docs.google.com/spreadsheets/d/1Uw7-A9f9R21vMXxHZFNpYNeKFtG8_yji4HS352LGlSQ/edit?pli=1#gid=0"",""1_ACUM!A4:S""),18,FALSE))"),"")</f>
        <v/>
      </c>
      <c r="BF341" s="44" t="str">
        <f ca="1">IFERROR(__xludf.DUMMYFUNCTION("IFERROR(VLOOKUP(E607&amp;F607,IMPORTRANGE(""https://docs.google.com/spreadsheets/d/1Uw7-A9f9R21vMXxHZFNpYNeKFtG8_yji4HS352LGlSQ/edit?pli=1#gid=0"",""1_ACUM!A4:S""),19,FALSE))"),"")</f>
        <v/>
      </c>
      <c r="BG341" s="98" t="str">
        <f ca="1">IFERROR(__xludf.DUMMYFUNCTION("IFERROR(VLOOKUP(F607,IMPORTRANGE(""https://docs.google.com/spreadsheets/d/1Kvs4KS76FHFqLFIZfrDMff4kP08nblUkihrxltoGBjg/edit#gid=934712705"",""ESENCIAL!A6:BG""),5,FALSE))"),"")</f>
        <v/>
      </c>
      <c r="BH341" s="98" t="str">
        <f t="shared" si="21"/>
        <v/>
      </c>
      <c r="BI341" s="99" t="str">
        <f t="shared" si="22"/>
        <v/>
      </c>
      <c r="BJ341" s="100" t="str">
        <f ca="1">IFERROR(__xludf.DUMMYFUNCTION("IFERROR(VLOOKUP(F607,IMPORTRANGE(""https://docs.google.com/spreadsheets/d/1Kvs4KS76FHFqLFIZfrDMff4kP08nblUkihrxltoGBjg/edit#gid=934712705"",""ESENCIAL!A6:BG""),2,FALSE))"),"")</f>
        <v/>
      </c>
      <c r="BK341" s="19" t="str">
        <f t="shared" si="23"/>
        <v/>
      </c>
      <c r="BL341" s="100"/>
      <c r="BM341" s="100"/>
    </row>
    <row r="342" spans="2:65" ht="15">
      <c r="B342" s="39"/>
      <c r="C342" s="5"/>
      <c r="D342" s="123"/>
      <c r="E342" s="39"/>
      <c r="F342" s="39"/>
      <c r="G342" s="39"/>
      <c r="H342" s="5" t="str">
        <f ca="1">IFERROR(__xludf.DUMMYFUNCTION("IFERROR(VLOOKUP(F608,IMPORTRANGE(""https://docs.google.com/spreadsheets/d/1Kvs4KS76FHFqLFIZfrDMff4kP08nblUkihrxltoGBjg/edit#gid=934712705"",""ESENCIAL!A6:BG""),3,FALSE))"),"")</f>
        <v/>
      </c>
      <c r="I342" s="5" t="str">
        <f ca="1">IFERROR(__xludf.DUMMYFUNCTION("IFERROR(VLOOKUP(F608,IMPORTRANGE(""https://docs.google.com/spreadsheets/d/1Kvs4KS76FHFqLFIZfrDMff4kP08nblUkihrxltoGBjg/edit#gid=934712705"",""ESENCIAL!A6:BG""),8,FALSE))"),"")</f>
        <v/>
      </c>
      <c r="J342" s="39"/>
      <c r="M342" s="287"/>
      <c r="AV342" s="41" t="str">
        <f t="shared" si="20"/>
        <v/>
      </c>
      <c r="AW342" s="5" t="str">
        <f ca="1">IFERROR(__xludf.DUMMYFUNCTION("IFERROR(VLOOKUP(E608&amp;F608,IMPORTRANGE(""https://docs.google.com/spreadsheets/d/1Uw7-A9f9R21vMXxHZFNpYNeKFtG8_yji4HS352LGlSQ/edit?pli=1#gid=0"",""1_ACUM!A4:S""),11,FALSE))"),"")</f>
        <v/>
      </c>
      <c r="AX342" s="42" t="str">
        <f ca="1">IFERROR(__xludf.DUMMYFUNCTION("IFERROR(VLOOKUP(F608,IMPORTRANGE(""https://docs.google.com/spreadsheets/d/1Kvs4KS76FHFqLFIZfrDMff4kP08nblUkihrxltoGBjg/edit#gid=934712705"",""ESENCIAL!A6:BG""),15,FALSE))"),"")</f>
        <v/>
      </c>
      <c r="AY342" s="110" t="str">
        <f ca="1">IFERROR(__xludf.DUMMYFUNCTION("IFERROR(VLOOKUP(E608&amp;F608,IMPORTRANGE(""https://docs.google.com/spreadsheets/d/1Uw7-A9f9R21vMXxHZFNpYNeKFtG8_yji4HS352LGlSQ/edit?pli=1#gid=0"",""1_ACUM!A4:S""),13,FALSE))"),"")</f>
        <v/>
      </c>
      <c r="AZ342" s="43" t="str">
        <f ca="1">IFERROR(__xludf.DUMMYFUNCTION("IFERROR(VLOOKUP(E608&amp;F608,IMPORTRANGE(""https://docs.google.com/spreadsheets/d/1Uw7-A9f9R21vMXxHZFNpYNeKFtG8_yji4HS352LGlSQ/edit?pli=1#gid=0"",""1_ACUM!A4:S""),13,FALSE))"),"")</f>
        <v/>
      </c>
      <c r="BA342" s="43" t="str">
        <f ca="1">IFERROR(__xludf.DUMMYFUNCTION("IFERROR(VLOOKUP(E608&amp;F608,IMPORTRANGE(""https://docs.google.com/spreadsheets/d/1Uw7-A9f9R21vMXxHZFNpYNeKFtG8_yji4HS352LGlSQ/edit?pli=1#gid=0"",""1_ACUM!A4:S""),14,FALSE))"),"")</f>
        <v/>
      </c>
      <c r="BB342" s="43" t="str">
        <f ca="1">IFERROR(__xludf.DUMMYFUNCTION("IFERROR(VLOOKUP(E608&amp;F608,IMPORTRANGE(""https://docs.google.com/spreadsheets/d/1Uw7-A9f9R21vMXxHZFNpYNeKFtG8_yji4HS352LGlSQ/edit?pli=1#gid=0"",""1_ACUM!A4:S""),15,FALSE))"),"")</f>
        <v/>
      </c>
      <c r="BC342" s="43" t="str">
        <f ca="1">IFERROR(__xludf.DUMMYFUNCTION("IFERROR(VLOOKUP(E608&amp;F608,IMPORTRANGE(""https://docs.google.com/spreadsheets/d/1Uw7-A9f9R21vMXxHZFNpYNeKFtG8_yji4HS352LGlSQ/edit?pli=1#gid=0"",""1_ACUM!A4:S""),16,FALSE))"),"")</f>
        <v/>
      </c>
      <c r="BD342" s="43" t="str">
        <f ca="1">IFERROR(__xludf.DUMMYFUNCTION("IFERROR(VLOOKUP(E608&amp;F608,IMPORTRANGE(""https://docs.google.com/spreadsheets/d/1Uw7-A9f9R21vMXxHZFNpYNeKFtG8_yji4HS352LGlSQ/edit?pli=1#gid=0"",""1_ACUM!A4:S""),17,FALSE))"),"")</f>
        <v/>
      </c>
      <c r="BE342" s="44" t="str">
        <f ca="1">IFERROR(__xludf.DUMMYFUNCTION("IFERROR(VLOOKUP(E608&amp;F608,IMPORTRANGE(""https://docs.google.com/spreadsheets/d/1Uw7-A9f9R21vMXxHZFNpYNeKFtG8_yji4HS352LGlSQ/edit?pli=1#gid=0"",""1_ACUM!A4:S""),18,FALSE))"),"")</f>
        <v/>
      </c>
      <c r="BF342" s="44" t="str">
        <f ca="1">IFERROR(__xludf.DUMMYFUNCTION("IFERROR(VLOOKUP(E608&amp;F608,IMPORTRANGE(""https://docs.google.com/spreadsheets/d/1Uw7-A9f9R21vMXxHZFNpYNeKFtG8_yji4HS352LGlSQ/edit?pli=1#gid=0"",""1_ACUM!A4:S""),19,FALSE))"),"")</f>
        <v/>
      </c>
      <c r="BG342" s="98" t="str">
        <f ca="1">IFERROR(__xludf.DUMMYFUNCTION("IFERROR(VLOOKUP(F608,IMPORTRANGE(""https://docs.google.com/spreadsheets/d/1Kvs4KS76FHFqLFIZfrDMff4kP08nblUkihrxltoGBjg/edit#gid=934712705"",""ESENCIAL!A6:BG""),5,FALSE))"),"")</f>
        <v/>
      </c>
      <c r="BH342" s="98" t="str">
        <f t="shared" si="21"/>
        <v/>
      </c>
      <c r="BI342" s="99" t="str">
        <f t="shared" si="22"/>
        <v/>
      </c>
      <c r="BJ342" s="100" t="str">
        <f ca="1">IFERROR(__xludf.DUMMYFUNCTION("IFERROR(VLOOKUP(F608,IMPORTRANGE(""https://docs.google.com/spreadsheets/d/1Kvs4KS76FHFqLFIZfrDMff4kP08nblUkihrxltoGBjg/edit#gid=934712705"",""ESENCIAL!A6:BG""),2,FALSE))"),"")</f>
        <v/>
      </c>
      <c r="BK342" s="19" t="str">
        <f t="shared" si="23"/>
        <v/>
      </c>
      <c r="BL342" s="100"/>
      <c r="BM342" s="100"/>
    </row>
    <row r="343" spans="2:65" ht="15">
      <c r="B343" s="39"/>
      <c r="C343" s="5"/>
      <c r="D343" s="123"/>
      <c r="E343" s="39"/>
      <c r="F343" s="39"/>
      <c r="G343" s="39"/>
      <c r="H343" s="5" t="str">
        <f ca="1">IFERROR(__xludf.DUMMYFUNCTION("IFERROR(VLOOKUP(F609,IMPORTRANGE(""https://docs.google.com/spreadsheets/d/1Kvs4KS76FHFqLFIZfrDMff4kP08nblUkihrxltoGBjg/edit#gid=934712705"",""ESENCIAL!A6:BG""),3,FALSE))"),"")</f>
        <v/>
      </c>
      <c r="I343" s="5" t="str">
        <f ca="1">IFERROR(__xludf.DUMMYFUNCTION("IFERROR(VLOOKUP(F609,IMPORTRANGE(""https://docs.google.com/spreadsheets/d/1Kvs4KS76FHFqLFIZfrDMff4kP08nblUkihrxltoGBjg/edit#gid=934712705"",""ESENCIAL!A6:BG""),8,FALSE))"),"")</f>
        <v/>
      </c>
      <c r="J343" s="39"/>
      <c r="M343" s="287"/>
      <c r="AV343" s="41" t="str">
        <f t="shared" si="20"/>
        <v/>
      </c>
      <c r="AW343" s="5" t="str">
        <f ca="1">IFERROR(__xludf.DUMMYFUNCTION("IFERROR(VLOOKUP(E609&amp;F609,IMPORTRANGE(""https://docs.google.com/spreadsheets/d/1Uw7-A9f9R21vMXxHZFNpYNeKFtG8_yji4HS352LGlSQ/edit?pli=1#gid=0"",""1_ACUM!A4:S""),11,FALSE))"),"")</f>
        <v/>
      </c>
      <c r="AX343" s="42" t="str">
        <f ca="1">IFERROR(__xludf.DUMMYFUNCTION("IFERROR(VLOOKUP(F609,IMPORTRANGE(""https://docs.google.com/spreadsheets/d/1Kvs4KS76FHFqLFIZfrDMff4kP08nblUkihrxltoGBjg/edit#gid=934712705"",""ESENCIAL!A6:BG""),15,FALSE))"),"")</f>
        <v/>
      </c>
      <c r="AY343" s="110" t="str">
        <f ca="1">IFERROR(__xludf.DUMMYFUNCTION("IFERROR(VLOOKUP(E609&amp;F609,IMPORTRANGE(""https://docs.google.com/spreadsheets/d/1Uw7-A9f9R21vMXxHZFNpYNeKFtG8_yji4HS352LGlSQ/edit?pli=1#gid=0"",""1_ACUM!A4:S""),13,FALSE))"),"")</f>
        <v/>
      </c>
      <c r="AZ343" s="43" t="str">
        <f ca="1">IFERROR(__xludf.DUMMYFUNCTION("IFERROR(VLOOKUP(E609&amp;F609,IMPORTRANGE(""https://docs.google.com/spreadsheets/d/1Uw7-A9f9R21vMXxHZFNpYNeKFtG8_yji4HS352LGlSQ/edit?pli=1#gid=0"",""1_ACUM!A4:S""),13,FALSE))"),"")</f>
        <v/>
      </c>
      <c r="BA343" s="43" t="str">
        <f ca="1">IFERROR(__xludf.DUMMYFUNCTION("IFERROR(VLOOKUP(E609&amp;F609,IMPORTRANGE(""https://docs.google.com/spreadsheets/d/1Uw7-A9f9R21vMXxHZFNpYNeKFtG8_yji4HS352LGlSQ/edit?pli=1#gid=0"",""1_ACUM!A4:S""),14,FALSE))"),"")</f>
        <v/>
      </c>
      <c r="BB343" s="43" t="str">
        <f ca="1">IFERROR(__xludf.DUMMYFUNCTION("IFERROR(VLOOKUP(E609&amp;F609,IMPORTRANGE(""https://docs.google.com/spreadsheets/d/1Uw7-A9f9R21vMXxHZFNpYNeKFtG8_yji4HS352LGlSQ/edit?pli=1#gid=0"",""1_ACUM!A4:S""),15,FALSE))"),"")</f>
        <v/>
      </c>
      <c r="BC343" s="43" t="str">
        <f ca="1">IFERROR(__xludf.DUMMYFUNCTION("IFERROR(VLOOKUP(E609&amp;F609,IMPORTRANGE(""https://docs.google.com/spreadsheets/d/1Uw7-A9f9R21vMXxHZFNpYNeKFtG8_yji4HS352LGlSQ/edit?pli=1#gid=0"",""1_ACUM!A4:S""),16,FALSE))"),"")</f>
        <v/>
      </c>
      <c r="BD343" s="43" t="str">
        <f ca="1">IFERROR(__xludf.DUMMYFUNCTION("IFERROR(VLOOKUP(E609&amp;F609,IMPORTRANGE(""https://docs.google.com/spreadsheets/d/1Uw7-A9f9R21vMXxHZFNpYNeKFtG8_yji4HS352LGlSQ/edit?pli=1#gid=0"",""1_ACUM!A4:S""),17,FALSE))"),"")</f>
        <v/>
      </c>
      <c r="BE343" s="44" t="str">
        <f ca="1">IFERROR(__xludf.DUMMYFUNCTION("IFERROR(VLOOKUP(E609&amp;F609,IMPORTRANGE(""https://docs.google.com/spreadsheets/d/1Uw7-A9f9R21vMXxHZFNpYNeKFtG8_yji4HS352LGlSQ/edit?pli=1#gid=0"",""1_ACUM!A4:S""),18,FALSE))"),"")</f>
        <v/>
      </c>
      <c r="BF343" s="44" t="str">
        <f ca="1">IFERROR(__xludf.DUMMYFUNCTION("IFERROR(VLOOKUP(E609&amp;F609,IMPORTRANGE(""https://docs.google.com/spreadsheets/d/1Uw7-A9f9R21vMXxHZFNpYNeKFtG8_yji4HS352LGlSQ/edit?pli=1#gid=0"",""1_ACUM!A4:S""),19,FALSE))"),"")</f>
        <v/>
      </c>
      <c r="BG343" s="98" t="str">
        <f ca="1">IFERROR(__xludf.DUMMYFUNCTION("IFERROR(VLOOKUP(F609,IMPORTRANGE(""https://docs.google.com/spreadsheets/d/1Kvs4KS76FHFqLFIZfrDMff4kP08nblUkihrxltoGBjg/edit#gid=934712705"",""ESENCIAL!A6:BG""),5,FALSE))"),"")</f>
        <v/>
      </c>
      <c r="BH343" s="98" t="str">
        <f t="shared" si="21"/>
        <v/>
      </c>
      <c r="BI343" s="99" t="str">
        <f t="shared" si="22"/>
        <v/>
      </c>
      <c r="BJ343" s="100" t="str">
        <f ca="1">IFERROR(__xludf.DUMMYFUNCTION("IFERROR(VLOOKUP(F609,IMPORTRANGE(""https://docs.google.com/spreadsheets/d/1Kvs4KS76FHFqLFIZfrDMff4kP08nblUkihrxltoGBjg/edit#gid=934712705"",""ESENCIAL!A6:BG""),2,FALSE))"),"")</f>
        <v/>
      </c>
      <c r="BK343" s="19" t="str">
        <f t="shared" si="23"/>
        <v/>
      </c>
      <c r="BL343" s="100"/>
      <c r="BM343" s="100"/>
    </row>
    <row r="344" spans="2:65" ht="15">
      <c r="B344" s="39"/>
      <c r="C344" s="5"/>
      <c r="D344" s="123"/>
      <c r="E344" s="39"/>
      <c r="F344" s="39"/>
      <c r="G344" s="39"/>
      <c r="H344" s="5" t="str">
        <f ca="1">IFERROR(__xludf.DUMMYFUNCTION("IFERROR(VLOOKUP(F610,IMPORTRANGE(""https://docs.google.com/spreadsheets/d/1Kvs4KS76FHFqLFIZfrDMff4kP08nblUkihrxltoGBjg/edit#gid=934712705"",""ESENCIAL!A6:BG""),3,FALSE))"),"")</f>
        <v/>
      </c>
      <c r="I344" s="5" t="str">
        <f ca="1">IFERROR(__xludf.DUMMYFUNCTION("IFERROR(VLOOKUP(F610,IMPORTRANGE(""https://docs.google.com/spreadsheets/d/1Kvs4KS76FHFqLFIZfrDMff4kP08nblUkihrxltoGBjg/edit#gid=934712705"",""ESENCIAL!A6:BG""),8,FALSE))"),"")</f>
        <v/>
      </c>
      <c r="J344" s="39"/>
      <c r="M344" s="287"/>
      <c r="AV344" s="41" t="str">
        <f t="shared" si="20"/>
        <v/>
      </c>
      <c r="AW344" s="5" t="str">
        <f ca="1">IFERROR(__xludf.DUMMYFUNCTION("IFERROR(VLOOKUP(E610&amp;F610,IMPORTRANGE(""https://docs.google.com/spreadsheets/d/1Uw7-A9f9R21vMXxHZFNpYNeKFtG8_yji4HS352LGlSQ/edit?pli=1#gid=0"",""1_ACUM!A4:S""),11,FALSE))"),"")</f>
        <v/>
      </c>
      <c r="AX344" s="42" t="str">
        <f ca="1">IFERROR(__xludf.DUMMYFUNCTION("IFERROR(VLOOKUP(F610,IMPORTRANGE(""https://docs.google.com/spreadsheets/d/1Kvs4KS76FHFqLFIZfrDMff4kP08nblUkihrxltoGBjg/edit#gid=934712705"",""ESENCIAL!A6:BG""),15,FALSE))"),"")</f>
        <v/>
      </c>
      <c r="AY344" s="110" t="str">
        <f ca="1">IFERROR(__xludf.DUMMYFUNCTION("IFERROR(VLOOKUP(E610&amp;F610,IMPORTRANGE(""https://docs.google.com/spreadsheets/d/1Uw7-A9f9R21vMXxHZFNpYNeKFtG8_yji4HS352LGlSQ/edit?pli=1#gid=0"",""1_ACUM!A4:S""),13,FALSE))"),"")</f>
        <v/>
      </c>
      <c r="AZ344" s="43" t="str">
        <f ca="1">IFERROR(__xludf.DUMMYFUNCTION("IFERROR(VLOOKUP(E610&amp;F610,IMPORTRANGE(""https://docs.google.com/spreadsheets/d/1Uw7-A9f9R21vMXxHZFNpYNeKFtG8_yji4HS352LGlSQ/edit?pli=1#gid=0"",""1_ACUM!A4:S""),13,FALSE))"),"")</f>
        <v/>
      </c>
      <c r="BA344" s="43" t="str">
        <f ca="1">IFERROR(__xludf.DUMMYFUNCTION("IFERROR(VLOOKUP(E610&amp;F610,IMPORTRANGE(""https://docs.google.com/spreadsheets/d/1Uw7-A9f9R21vMXxHZFNpYNeKFtG8_yji4HS352LGlSQ/edit?pli=1#gid=0"",""1_ACUM!A4:S""),14,FALSE))"),"")</f>
        <v/>
      </c>
      <c r="BB344" s="43" t="str">
        <f ca="1">IFERROR(__xludf.DUMMYFUNCTION("IFERROR(VLOOKUP(E610&amp;F610,IMPORTRANGE(""https://docs.google.com/spreadsheets/d/1Uw7-A9f9R21vMXxHZFNpYNeKFtG8_yji4HS352LGlSQ/edit?pli=1#gid=0"",""1_ACUM!A4:S""),15,FALSE))"),"")</f>
        <v/>
      </c>
      <c r="BC344" s="43" t="str">
        <f ca="1">IFERROR(__xludf.DUMMYFUNCTION("IFERROR(VLOOKUP(E610&amp;F610,IMPORTRANGE(""https://docs.google.com/spreadsheets/d/1Uw7-A9f9R21vMXxHZFNpYNeKFtG8_yji4HS352LGlSQ/edit?pli=1#gid=0"",""1_ACUM!A4:S""),16,FALSE))"),"")</f>
        <v/>
      </c>
      <c r="BD344" s="43" t="str">
        <f ca="1">IFERROR(__xludf.DUMMYFUNCTION("IFERROR(VLOOKUP(E610&amp;F610,IMPORTRANGE(""https://docs.google.com/spreadsheets/d/1Uw7-A9f9R21vMXxHZFNpYNeKFtG8_yji4HS352LGlSQ/edit?pli=1#gid=0"",""1_ACUM!A4:S""),17,FALSE))"),"")</f>
        <v/>
      </c>
      <c r="BE344" s="44" t="str">
        <f ca="1">IFERROR(__xludf.DUMMYFUNCTION("IFERROR(VLOOKUP(E610&amp;F610,IMPORTRANGE(""https://docs.google.com/spreadsheets/d/1Uw7-A9f9R21vMXxHZFNpYNeKFtG8_yji4HS352LGlSQ/edit?pli=1#gid=0"",""1_ACUM!A4:S""),18,FALSE))"),"")</f>
        <v/>
      </c>
      <c r="BF344" s="44" t="str">
        <f ca="1">IFERROR(__xludf.DUMMYFUNCTION("IFERROR(VLOOKUP(E610&amp;F610,IMPORTRANGE(""https://docs.google.com/spreadsheets/d/1Uw7-A9f9R21vMXxHZFNpYNeKFtG8_yji4HS352LGlSQ/edit?pli=1#gid=0"",""1_ACUM!A4:S""),19,FALSE))"),"")</f>
        <v/>
      </c>
      <c r="BG344" s="98" t="str">
        <f ca="1">IFERROR(__xludf.DUMMYFUNCTION("IFERROR(VLOOKUP(F610,IMPORTRANGE(""https://docs.google.com/spreadsheets/d/1Kvs4KS76FHFqLFIZfrDMff4kP08nblUkihrxltoGBjg/edit#gid=934712705"",""ESENCIAL!A6:BG""),5,FALSE))"),"")</f>
        <v/>
      </c>
      <c r="BH344" s="98" t="str">
        <f t="shared" si="21"/>
        <v/>
      </c>
      <c r="BI344" s="99" t="str">
        <f t="shared" si="22"/>
        <v/>
      </c>
      <c r="BJ344" s="100" t="str">
        <f ca="1">IFERROR(__xludf.DUMMYFUNCTION("IFERROR(VLOOKUP(F610,IMPORTRANGE(""https://docs.google.com/spreadsheets/d/1Kvs4KS76FHFqLFIZfrDMff4kP08nblUkihrxltoGBjg/edit#gid=934712705"",""ESENCIAL!A6:BG""),2,FALSE))"),"")</f>
        <v/>
      </c>
      <c r="BK344" s="19" t="str">
        <f t="shared" si="23"/>
        <v/>
      </c>
      <c r="BL344" s="100"/>
      <c r="BM344" s="100"/>
    </row>
    <row r="345" spans="2:65" ht="15">
      <c r="B345" s="39"/>
      <c r="C345" s="5"/>
      <c r="D345" s="123"/>
      <c r="E345" s="39"/>
      <c r="F345" s="39"/>
      <c r="G345" s="39"/>
      <c r="H345" s="5" t="str">
        <f ca="1">IFERROR(__xludf.DUMMYFUNCTION("IFERROR(VLOOKUP(F611,IMPORTRANGE(""https://docs.google.com/spreadsheets/d/1Kvs4KS76FHFqLFIZfrDMff4kP08nblUkihrxltoGBjg/edit#gid=934712705"",""ESENCIAL!A6:BG""),3,FALSE))"),"")</f>
        <v/>
      </c>
      <c r="I345" s="5" t="str">
        <f ca="1">IFERROR(__xludf.DUMMYFUNCTION("IFERROR(VLOOKUP(F611,IMPORTRANGE(""https://docs.google.com/spreadsheets/d/1Kvs4KS76FHFqLFIZfrDMff4kP08nblUkihrxltoGBjg/edit#gid=934712705"",""ESENCIAL!A6:BG""),8,FALSE))"),"")</f>
        <v/>
      </c>
      <c r="J345" s="39"/>
      <c r="M345" s="287"/>
      <c r="AV345" s="41" t="str">
        <f t="shared" si="20"/>
        <v/>
      </c>
      <c r="AW345" s="5" t="str">
        <f ca="1">IFERROR(__xludf.DUMMYFUNCTION("IFERROR(VLOOKUP(E611&amp;F611,IMPORTRANGE(""https://docs.google.com/spreadsheets/d/1Uw7-A9f9R21vMXxHZFNpYNeKFtG8_yji4HS352LGlSQ/edit?pli=1#gid=0"",""1_ACUM!A4:S""),11,FALSE))"),"")</f>
        <v/>
      </c>
      <c r="AX345" s="42" t="str">
        <f ca="1">IFERROR(__xludf.DUMMYFUNCTION("IFERROR(VLOOKUP(F611,IMPORTRANGE(""https://docs.google.com/spreadsheets/d/1Kvs4KS76FHFqLFIZfrDMff4kP08nblUkihrxltoGBjg/edit#gid=934712705"",""ESENCIAL!A6:BG""),15,FALSE))"),"")</f>
        <v/>
      </c>
      <c r="AY345" s="110" t="str">
        <f ca="1">IFERROR(__xludf.DUMMYFUNCTION("IFERROR(VLOOKUP(E611&amp;F611,IMPORTRANGE(""https://docs.google.com/spreadsheets/d/1Uw7-A9f9R21vMXxHZFNpYNeKFtG8_yji4HS352LGlSQ/edit?pli=1#gid=0"",""1_ACUM!A4:S""),13,FALSE))"),"")</f>
        <v/>
      </c>
      <c r="AZ345" s="43" t="str">
        <f ca="1">IFERROR(__xludf.DUMMYFUNCTION("IFERROR(VLOOKUP(E611&amp;F611,IMPORTRANGE(""https://docs.google.com/spreadsheets/d/1Uw7-A9f9R21vMXxHZFNpYNeKFtG8_yji4HS352LGlSQ/edit?pli=1#gid=0"",""1_ACUM!A4:S""),13,FALSE))"),"")</f>
        <v/>
      </c>
      <c r="BA345" s="43" t="str">
        <f ca="1">IFERROR(__xludf.DUMMYFUNCTION("IFERROR(VLOOKUP(E611&amp;F611,IMPORTRANGE(""https://docs.google.com/spreadsheets/d/1Uw7-A9f9R21vMXxHZFNpYNeKFtG8_yji4HS352LGlSQ/edit?pli=1#gid=0"",""1_ACUM!A4:S""),14,FALSE))"),"")</f>
        <v/>
      </c>
      <c r="BB345" s="43" t="str">
        <f ca="1">IFERROR(__xludf.DUMMYFUNCTION("IFERROR(VLOOKUP(E611&amp;F611,IMPORTRANGE(""https://docs.google.com/spreadsheets/d/1Uw7-A9f9R21vMXxHZFNpYNeKFtG8_yji4HS352LGlSQ/edit?pli=1#gid=0"",""1_ACUM!A4:S""),15,FALSE))"),"")</f>
        <v/>
      </c>
      <c r="BC345" s="43" t="str">
        <f ca="1">IFERROR(__xludf.DUMMYFUNCTION("IFERROR(VLOOKUP(E611&amp;F611,IMPORTRANGE(""https://docs.google.com/spreadsheets/d/1Uw7-A9f9R21vMXxHZFNpYNeKFtG8_yji4HS352LGlSQ/edit?pli=1#gid=0"",""1_ACUM!A4:S""),16,FALSE))"),"")</f>
        <v/>
      </c>
      <c r="BD345" s="43" t="str">
        <f ca="1">IFERROR(__xludf.DUMMYFUNCTION("IFERROR(VLOOKUP(E611&amp;F611,IMPORTRANGE(""https://docs.google.com/spreadsheets/d/1Uw7-A9f9R21vMXxHZFNpYNeKFtG8_yji4HS352LGlSQ/edit?pli=1#gid=0"",""1_ACUM!A4:S""),17,FALSE))"),"")</f>
        <v/>
      </c>
      <c r="BE345" s="44" t="str">
        <f ca="1">IFERROR(__xludf.DUMMYFUNCTION("IFERROR(VLOOKUP(E611&amp;F611,IMPORTRANGE(""https://docs.google.com/spreadsheets/d/1Uw7-A9f9R21vMXxHZFNpYNeKFtG8_yji4HS352LGlSQ/edit?pli=1#gid=0"",""1_ACUM!A4:S""),18,FALSE))"),"")</f>
        <v/>
      </c>
      <c r="BF345" s="44" t="str">
        <f ca="1">IFERROR(__xludf.DUMMYFUNCTION("IFERROR(VLOOKUP(E611&amp;F611,IMPORTRANGE(""https://docs.google.com/spreadsheets/d/1Uw7-A9f9R21vMXxHZFNpYNeKFtG8_yji4HS352LGlSQ/edit?pli=1#gid=0"",""1_ACUM!A4:S""),19,FALSE))"),"")</f>
        <v/>
      </c>
      <c r="BG345" s="98" t="str">
        <f ca="1">IFERROR(__xludf.DUMMYFUNCTION("IFERROR(VLOOKUP(F611,IMPORTRANGE(""https://docs.google.com/spreadsheets/d/1Kvs4KS76FHFqLFIZfrDMff4kP08nblUkihrxltoGBjg/edit#gid=934712705"",""ESENCIAL!A6:BG""),5,FALSE))"),"")</f>
        <v/>
      </c>
      <c r="BH345" s="98" t="str">
        <f t="shared" si="21"/>
        <v/>
      </c>
      <c r="BI345" s="99" t="str">
        <f t="shared" si="22"/>
        <v/>
      </c>
      <c r="BJ345" s="100" t="str">
        <f ca="1">IFERROR(__xludf.DUMMYFUNCTION("IFERROR(VLOOKUP(F611,IMPORTRANGE(""https://docs.google.com/spreadsheets/d/1Kvs4KS76FHFqLFIZfrDMff4kP08nblUkihrxltoGBjg/edit#gid=934712705"",""ESENCIAL!A6:BG""),2,FALSE))"),"")</f>
        <v/>
      </c>
      <c r="BK345" s="19" t="str">
        <f t="shared" si="23"/>
        <v/>
      </c>
      <c r="BL345" s="100"/>
      <c r="BM345" s="100"/>
    </row>
    <row r="346" spans="2:65" ht="15">
      <c r="B346" s="39"/>
      <c r="C346" s="5"/>
      <c r="D346" s="123"/>
      <c r="E346" s="39"/>
      <c r="F346" s="39"/>
      <c r="G346" s="39"/>
      <c r="H346" s="5" t="str">
        <f ca="1">IFERROR(__xludf.DUMMYFUNCTION("IFERROR(VLOOKUP(F612,IMPORTRANGE(""https://docs.google.com/spreadsheets/d/1Kvs4KS76FHFqLFIZfrDMff4kP08nblUkihrxltoGBjg/edit#gid=934712705"",""ESENCIAL!A6:BG""),3,FALSE))"),"")</f>
        <v/>
      </c>
      <c r="I346" s="5" t="str">
        <f ca="1">IFERROR(__xludf.DUMMYFUNCTION("IFERROR(VLOOKUP(F612,IMPORTRANGE(""https://docs.google.com/spreadsheets/d/1Kvs4KS76FHFqLFIZfrDMff4kP08nblUkihrxltoGBjg/edit#gid=934712705"",""ESENCIAL!A6:BG""),8,FALSE))"),"")</f>
        <v/>
      </c>
      <c r="J346" s="39"/>
      <c r="M346" s="287"/>
      <c r="AV346" s="41" t="str">
        <f t="shared" si="20"/>
        <v/>
      </c>
      <c r="AW346" s="5" t="str">
        <f ca="1">IFERROR(__xludf.DUMMYFUNCTION("IFERROR(VLOOKUP(E612&amp;F612,IMPORTRANGE(""https://docs.google.com/spreadsheets/d/1Uw7-A9f9R21vMXxHZFNpYNeKFtG8_yji4HS352LGlSQ/edit?pli=1#gid=0"",""1_ACUM!A4:S""),11,FALSE))"),"")</f>
        <v/>
      </c>
      <c r="AX346" s="42" t="str">
        <f ca="1">IFERROR(__xludf.DUMMYFUNCTION("IFERROR(VLOOKUP(F612,IMPORTRANGE(""https://docs.google.com/spreadsheets/d/1Kvs4KS76FHFqLFIZfrDMff4kP08nblUkihrxltoGBjg/edit#gid=934712705"",""ESENCIAL!A6:BG""),15,FALSE))"),"")</f>
        <v/>
      </c>
      <c r="AY346" s="110" t="str">
        <f ca="1">IFERROR(__xludf.DUMMYFUNCTION("IFERROR(VLOOKUP(E612&amp;F612,IMPORTRANGE(""https://docs.google.com/spreadsheets/d/1Uw7-A9f9R21vMXxHZFNpYNeKFtG8_yji4HS352LGlSQ/edit?pli=1#gid=0"",""1_ACUM!A4:S""),13,FALSE))"),"")</f>
        <v/>
      </c>
      <c r="AZ346" s="43" t="str">
        <f ca="1">IFERROR(__xludf.DUMMYFUNCTION("IFERROR(VLOOKUP(E612&amp;F612,IMPORTRANGE(""https://docs.google.com/spreadsheets/d/1Uw7-A9f9R21vMXxHZFNpYNeKFtG8_yji4HS352LGlSQ/edit?pli=1#gid=0"",""1_ACUM!A4:S""),13,FALSE))"),"")</f>
        <v/>
      </c>
      <c r="BA346" s="43" t="str">
        <f ca="1">IFERROR(__xludf.DUMMYFUNCTION("IFERROR(VLOOKUP(E612&amp;F612,IMPORTRANGE(""https://docs.google.com/spreadsheets/d/1Uw7-A9f9R21vMXxHZFNpYNeKFtG8_yji4HS352LGlSQ/edit?pli=1#gid=0"",""1_ACUM!A4:S""),14,FALSE))"),"")</f>
        <v/>
      </c>
      <c r="BB346" s="43" t="str">
        <f ca="1">IFERROR(__xludf.DUMMYFUNCTION("IFERROR(VLOOKUP(E612&amp;F612,IMPORTRANGE(""https://docs.google.com/spreadsheets/d/1Uw7-A9f9R21vMXxHZFNpYNeKFtG8_yji4HS352LGlSQ/edit?pli=1#gid=0"",""1_ACUM!A4:S""),15,FALSE))"),"")</f>
        <v/>
      </c>
      <c r="BC346" s="43" t="str">
        <f ca="1">IFERROR(__xludf.DUMMYFUNCTION("IFERROR(VLOOKUP(E612&amp;F612,IMPORTRANGE(""https://docs.google.com/spreadsheets/d/1Uw7-A9f9R21vMXxHZFNpYNeKFtG8_yji4HS352LGlSQ/edit?pli=1#gid=0"",""1_ACUM!A4:S""),16,FALSE))"),"")</f>
        <v/>
      </c>
      <c r="BD346" s="43" t="str">
        <f ca="1">IFERROR(__xludf.DUMMYFUNCTION("IFERROR(VLOOKUP(E612&amp;F612,IMPORTRANGE(""https://docs.google.com/spreadsheets/d/1Uw7-A9f9R21vMXxHZFNpYNeKFtG8_yji4HS352LGlSQ/edit?pli=1#gid=0"",""1_ACUM!A4:S""),17,FALSE))"),"")</f>
        <v/>
      </c>
      <c r="BE346" s="44" t="str">
        <f ca="1">IFERROR(__xludf.DUMMYFUNCTION("IFERROR(VLOOKUP(E612&amp;F612,IMPORTRANGE(""https://docs.google.com/spreadsheets/d/1Uw7-A9f9R21vMXxHZFNpYNeKFtG8_yji4HS352LGlSQ/edit?pli=1#gid=0"",""1_ACUM!A4:S""),18,FALSE))"),"")</f>
        <v/>
      </c>
      <c r="BF346" s="44" t="str">
        <f ca="1">IFERROR(__xludf.DUMMYFUNCTION("IFERROR(VLOOKUP(E612&amp;F612,IMPORTRANGE(""https://docs.google.com/spreadsheets/d/1Uw7-A9f9R21vMXxHZFNpYNeKFtG8_yji4HS352LGlSQ/edit?pli=1#gid=0"",""1_ACUM!A4:S""),19,FALSE))"),"")</f>
        <v/>
      </c>
      <c r="BG346" s="98" t="str">
        <f ca="1">IFERROR(__xludf.DUMMYFUNCTION("IFERROR(VLOOKUP(F612,IMPORTRANGE(""https://docs.google.com/spreadsheets/d/1Kvs4KS76FHFqLFIZfrDMff4kP08nblUkihrxltoGBjg/edit#gid=934712705"",""ESENCIAL!A6:BG""),5,FALSE))"),"")</f>
        <v/>
      </c>
      <c r="BH346" s="98" t="str">
        <f t="shared" si="21"/>
        <v/>
      </c>
      <c r="BI346" s="99" t="str">
        <f t="shared" si="22"/>
        <v/>
      </c>
      <c r="BJ346" s="100" t="str">
        <f ca="1">IFERROR(__xludf.DUMMYFUNCTION("IFERROR(VLOOKUP(F612,IMPORTRANGE(""https://docs.google.com/spreadsheets/d/1Kvs4KS76FHFqLFIZfrDMff4kP08nblUkihrxltoGBjg/edit#gid=934712705"",""ESENCIAL!A6:BG""),2,FALSE))"),"")</f>
        <v/>
      </c>
      <c r="BK346" s="19" t="str">
        <f t="shared" si="23"/>
        <v/>
      </c>
      <c r="BL346" s="100"/>
      <c r="BM346" s="100"/>
    </row>
    <row r="347" spans="2:65" ht="15">
      <c r="B347" s="39"/>
      <c r="C347" s="5"/>
      <c r="D347" s="123"/>
      <c r="E347" s="39"/>
      <c r="F347" s="39"/>
      <c r="G347" s="39"/>
      <c r="H347" s="5" t="str">
        <f ca="1">IFERROR(__xludf.DUMMYFUNCTION("IFERROR(VLOOKUP(F613,IMPORTRANGE(""https://docs.google.com/spreadsheets/d/1Kvs4KS76FHFqLFIZfrDMff4kP08nblUkihrxltoGBjg/edit#gid=934712705"",""ESENCIAL!A6:BG""),3,FALSE))"),"")</f>
        <v/>
      </c>
      <c r="I347" s="5" t="str">
        <f ca="1">IFERROR(__xludf.DUMMYFUNCTION("IFERROR(VLOOKUP(F613,IMPORTRANGE(""https://docs.google.com/spreadsheets/d/1Kvs4KS76FHFqLFIZfrDMff4kP08nblUkihrxltoGBjg/edit#gid=934712705"",""ESENCIAL!A6:BG""),8,FALSE))"),"")</f>
        <v/>
      </c>
      <c r="J347" s="39"/>
      <c r="M347" s="287"/>
      <c r="AV347" s="41" t="str">
        <f t="shared" si="20"/>
        <v/>
      </c>
      <c r="AW347" s="5" t="str">
        <f ca="1">IFERROR(__xludf.DUMMYFUNCTION("IFERROR(VLOOKUP(E613&amp;F613,IMPORTRANGE(""https://docs.google.com/spreadsheets/d/1Uw7-A9f9R21vMXxHZFNpYNeKFtG8_yji4HS352LGlSQ/edit?pli=1#gid=0"",""1_ACUM!A4:S""),11,FALSE))"),"")</f>
        <v/>
      </c>
      <c r="AX347" s="42" t="str">
        <f ca="1">IFERROR(__xludf.DUMMYFUNCTION("IFERROR(VLOOKUP(F613,IMPORTRANGE(""https://docs.google.com/spreadsheets/d/1Kvs4KS76FHFqLFIZfrDMff4kP08nblUkihrxltoGBjg/edit#gid=934712705"",""ESENCIAL!A6:BG""),15,FALSE))"),"")</f>
        <v/>
      </c>
      <c r="AY347" s="110" t="str">
        <f ca="1">IFERROR(__xludf.DUMMYFUNCTION("IFERROR(VLOOKUP(E613&amp;F613,IMPORTRANGE(""https://docs.google.com/spreadsheets/d/1Uw7-A9f9R21vMXxHZFNpYNeKFtG8_yji4HS352LGlSQ/edit?pli=1#gid=0"",""1_ACUM!A4:S""),13,FALSE))"),"")</f>
        <v/>
      </c>
      <c r="AZ347" s="43" t="str">
        <f ca="1">IFERROR(__xludf.DUMMYFUNCTION("IFERROR(VLOOKUP(E613&amp;F613,IMPORTRANGE(""https://docs.google.com/spreadsheets/d/1Uw7-A9f9R21vMXxHZFNpYNeKFtG8_yji4HS352LGlSQ/edit?pli=1#gid=0"",""1_ACUM!A4:S""),13,FALSE))"),"")</f>
        <v/>
      </c>
      <c r="BA347" s="43" t="str">
        <f ca="1">IFERROR(__xludf.DUMMYFUNCTION("IFERROR(VLOOKUP(E613&amp;F613,IMPORTRANGE(""https://docs.google.com/spreadsheets/d/1Uw7-A9f9R21vMXxHZFNpYNeKFtG8_yji4HS352LGlSQ/edit?pli=1#gid=0"",""1_ACUM!A4:S""),14,FALSE))"),"")</f>
        <v/>
      </c>
      <c r="BB347" s="43" t="str">
        <f ca="1">IFERROR(__xludf.DUMMYFUNCTION("IFERROR(VLOOKUP(E613&amp;F613,IMPORTRANGE(""https://docs.google.com/spreadsheets/d/1Uw7-A9f9R21vMXxHZFNpYNeKFtG8_yji4HS352LGlSQ/edit?pli=1#gid=0"",""1_ACUM!A4:S""),15,FALSE))"),"")</f>
        <v/>
      </c>
      <c r="BC347" s="43" t="str">
        <f ca="1">IFERROR(__xludf.DUMMYFUNCTION("IFERROR(VLOOKUP(E613&amp;F613,IMPORTRANGE(""https://docs.google.com/spreadsheets/d/1Uw7-A9f9R21vMXxHZFNpYNeKFtG8_yji4HS352LGlSQ/edit?pli=1#gid=0"",""1_ACUM!A4:S""),16,FALSE))"),"")</f>
        <v/>
      </c>
      <c r="BD347" s="43" t="str">
        <f ca="1">IFERROR(__xludf.DUMMYFUNCTION("IFERROR(VLOOKUP(E613&amp;F613,IMPORTRANGE(""https://docs.google.com/spreadsheets/d/1Uw7-A9f9R21vMXxHZFNpYNeKFtG8_yji4HS352LGlSQ/edit?pli=1#gid=0"",""1_ACUM!A4:S""),17,FALSE))"),"")</f>
        <v/>
      </c>
      <c r="BE347" s="44" t="str">
        <f ca="1">IFERROR(__xludf.DUMMYFUNCTION("IFERROR(VLOOKUP(E613&amp;F613,IMPORTRANGE(""https://docs.google.com/spreadsheets/d/1Uw7-A9f9R21vMXxHZFNpYNeKFtG8_yji4HS352LGlSQ/edit?pli=1#gid=0"",""1_ACUM!A4:S""),18,FALSE))"),"")</f>
        <v/>
      </c>
      <c r="BF347" s="44" t="str">
        <f ca="1">IFERROR(__xludf.DUMMYFUNCTION("IFERROR(VLOOKUP(E613&amp;F613,IMPORTRANGE(""https://docs.google.com/spreadsheets/d/1Uw7-A9f9R21vMXxHZFNpYNeKFtG8_yji4HS352LGlSQ/edit?pli=1#gid=0"",""1_ACUM!A4:S""),19,FALSE))"),"")</f>
        <v/>
      </c>
      <c r="BG347" s="98" t="str">
        <f ca="1">IFERROR(__xludf.DUMMYFUNCTION("IFERROR(VLOOKUP(F613,IMPORTRANGE(""https://docs.google.com/spreadsheets/d/1Kvs4KS76FHFqLFIZfrDMff4kP08nblUkihrxltoGBjg/edit#gid=934712705"",""ESENCIAL!A6:BG""),5,FALSE))"),"")</f>
        <v/>
      </c>
      <c r="BH347" s="98" t="str">
        <f t="shared" si="21"/>
        <v/>
      </c>
      <c r="BI347" s="99" t="str">
        <f t="shared" si="22"/>
        <v/>
      </c>
      <c r="BJ347" s="100" t="str">
        <f ca="1">IFERROR(__xludf.DUMMYFUNCTION("IFERROR(VLOOKUP(F613,IMPORTRANGE(""https://docs.google.com/spreadsheets/d/1Kvs4KS76FHFqLFIZfrDMff4kP08nblUkihrxltoGBjg/edit#gid=934712705"",""ESENCIAL!A6:BG""),2,FALSE))"),"")</f>
        <v/>
      </c>
      <c r="BK347" s="19" t="str">
        <f t="shared" si="23"/>
        <v/>
      </c>
      <c r="BL347" s="100"/>
      <c r="BM347" s="100"/>
    </row>
    <row r="348" spans="2:65" ht="15">
      <c r="B348" s="39"/>
      <c r="C348" s="5"/>
      <c r="D348" s="123"/>
      <c r="E348" s="39"/>
      <c r="F348" s="39"/>
      <c r="G348" s="39"/>
      <c r="H348" s="5" t="str">
        <f ca="1">IFERROR(__xludf.DUMMYFUNCTION("IFERROR(VLOOKUP(F614,IMPORTRANGE(""https://docs.google.com/spreadsheets/d/1Kvs4KS76FHFqLFIZfrDMff4kP08nblUkihrxltoGBjg/edit#gid=934712705"",""ESENCIAL!A6:BG""),3,FALSE))"),"")</f>
        <v/>
      </c>
      <c r="I348" s="5" t="str">
        <f ca="1">IFERROR(__xludf.DUMMYFUNCTION("IFERROR(VLOOKUP(F614,IMPORTRANGE(""https://docs.google.com/spreadsheets/d/1Kvs4KS76FHFqLFIZfrDMff4kP08nblUkihrxltoGBjg/edit#gid=934712705"",""ESENCIAL!A6:BG""),8,FALSE))"),"")</f>
        <v/>
      </c>
      <c r="J348" s="39"/>
      <c r="M348" s="287"/>
      <c r="AV348" s="41" t="str">
        <f t="shared" si="20"/>
        <v/>
      </c>
      <c r="AW348" s="5" t="str">
        <f ca="1">IFERROR(__xludf.DUMMYFUNCTION("IFERROR(VLOOKUP(E614&amp;F614,IMPORTRANGE(""https://docs.google.com/spreadsheets/d/1Uw7-A9f9R21vMXxHZFNpYNeKFtG8_yji4HS352LGlSQ/edit?pli=1#gid=0"",""1_ACUM!A4:S""),11,FALSE))"),"")</f>
        <v/>
      </c>
      <c r="AX348" s="42" t="str">
        <f ca="1">IFERROR(__xludf.DUMMYFUNCTION("IFERROR(VLOOKUP(F614,IMPORTRANGE(""https://docs.google.com/spreadsheets/d/1Kvs4KS76FHFqLFIZfrDMff4kP08nblUkihrxltoGBjg/edit#gid=934712705"",""ESENCIAL!A6:BG""),15,FALSE))"),"")</f>
        <v/>
      </c>
      <c r="AY348" s="110" t="str">
        <f ca="1">IFERROR(__xludf.DUMMYFUNCTION("IFERROR(VLOOKUP(E614&amp;F614,IMPORTRANGE(""https://docs.google.com/spreadsheets/d/1Uw7-A9f9R21vMXxHZFNpYNeKFtG8_yji4HS352LGlSQ/edit?pli=1#gid=0"",""1_ACUM!A4:S""),13,FALSE))"),"")</f>
        <v/>
      </c>
      <c r="AZ348" s="43" t="str">
        <f ca="1">IFERROR(__xludf.DUMMYFUNCTION("IFERROR(VLOOKUP(E614&amp;F614,IMPORTRANGE(""https://docs.google.com/spreadsheets/d/1Uw7-A9f9R21vMXxHZFNpYNeKFtG8_yji4HS352LGlSQ/edit?pli=1#gid=0"",""1_ACUM!A4:S""),13,FALSE))"),"")</f>
        <v/>
      </c>
      <c r="BA348" s="43" t="str">
        <f ca="1">IFERROR(__xludf.DUMMYFUNCTION("IFERROR(VLOOKUP(E614&amp;F614,IMPORTRANGE(""https://docs.google.com/spreadsheets/d/1Uw7-A9f9R21vMXxHZFNpYNeKFtG8_yji4HS352LGlSQ/edit?pli=1#gid=0"",""1_ACUM!A4:S""),14,FALSE))"),"")</f>
        <v/>
      </c>
      <c r="BB348" s="43" t="str">
        <f ca="1">IFERROR(__xludf.DUMMYFUNCTION("IFERROR(VLOOKUP(E614&amp;F614,IMPORTRANGE(""https://docs.google.com/spreadsheets/d/1Uw7-A9f9R21vMXxHZFNpYNeKFtG8_yji4HS352LGlSQ/edit?pli=1#gid=0"",""1_ACUM!A4:S""),15,FALSE))"),"")</f>
        <v/>
      </c>
      <c r="BC348" s="43" t="str">
        <f ca="1">IFERROR(__xludf.DUMMYFUNCTION("IFERROR(VLOOKUP(E614&amp;F614,IMPORTRANGE(""https://docs.google.com/spreadsheets/d/1Uw7-A9f9R21vMXxHZFNpYNeKFtG8_yji4HS352LGlSQ/edit?pli=1#gid=0"",""1_ACUM!A4:S""),16,FALSE))"),"")</f>
        <v/>
      </c>
      <c r="BD348" s="43" t="str">
        <f ca="1">IFERROR(__xludf.DUMMYFUNCTION("IFERROR(VLOOKUP(E614&amp;F614,IMPORTRANGE(""https://docs.google.com/spreadsheets/d/1Uw7-A9f9R21vMXxHZFNpYNeKFtG8_yji4HS352LGlSQ/edit?pli=1#gid=0"",""1_ACUM!A4:S""),17,FALSE))"),"")</f>
        <v/>
      </c>
      <c r="BE348" s="44" t="str">
        <f ca="1">IFERROR(__xludf.DUMMYFUNCTION("IFERROR(VLOOKUP(E614&amp;F614,IMPORTRANGE(""https://docs.google.com/spreadsheets/d/1Uw7-A9f9R21vMXxHZFNpYNeKFtG8_yji4HS352LGlSQ/edit?pli=1#gid=0"",""1_ACUM!A4:S""),18,FALSE))"),"")</f>
        <v/>
      </c>
      <c r="BF348" s="44" t="str">
        <f ca="1">IFERROR(__xludf.DUMMYFUNCTION("IFERROR(VLOOKUP(E614&amp;F614,IMPORTRANGE(""https://docs.google.com/spreadsheets/d/1Uw7-A9f9R21vMXxHZFNpYNeKFtG8_yji4HS352LGlSQ/edit?pli=1#gid=0"",""1_ACUM!A4:S""),19,FALSE))"),"")</f>
        <v/>
      </c>
      <c r="BG348" s="98" t="str">
        <f ca="1">IFERROR(__xludf.DUMMYFUNCTION("IFERROR(VLOOKUP(F614,IMPORTRANGE(""https://docs.google.com/spreadsheets/d/1Kvs4KS76FHFqLFIZfrDMff4kP08nblUkihrxltoGBjg/edit#gid=934712705"",""ESENCIAL!A6:BG""),5,FALSE))"),"")</f>
        <v/>
      </c>
      <c r="BH348" s="98" t="str">
        <f t="shared" si="21"/>
        <v/>
      </c>
      <c r="BI348" s="99" t="str">
        <f t="shared" si="22"/>
        <v/>
      </c>
      <c r="BJ348" s="100" t="str">
        <f ca="1">IFERROR(__xludf.DUMMYFUNCTION("IFERROR(VLOOKUP(F614,IMPORTRANGE(""https://docs.google.com/spreadsheets/d/1Kvs4KS76FHFqLFIZfrDMff4kP08nblUkihrxltoGBjg/edit#gid=934712705"",""ESENCIAL!A6:BG""),2,FALSE))"),"")</f>
        <v/>
      </c>
      <c r="BK348" s="19" t="str">
        <f t="shared" si="23"/>
        <v/>
      </c>
      <c r="BL348" s="100"/>
      <c r="BM348" s="100"/>
    </row>
    <row r="349" spans="2:65" ht="15">
      <c r="B349" s="39"/>
      <c r="C349" s="5"/>
      <c r="D349" s="123"/>
      <c r="E349" s="39"/>
      <c r="F349" s="39"/>
      <c r="G349" s="39"/>
      <c r="H349" s="5" t="str">
        <f ca="1">IFERROR(__xludf.DUMMYFUNCTION("IFERROR(VLOOKUP(F615,IMPORTRANGE(""https://docs.google.com/spreadsheets/d/1Kvs4KS76FHFqLFIZfrDMff4kP08nblUkihrxltoGBjg/edit#gid=934712705"",""ESENCIAL!A6:BG""),3,FALSE))"),"")</f>
        <v/>
      </c>
      <c r="I349" s="5" t="str">
        <f ca="1">IFERROR(__xludf.DUMMYFUNCTION("IFERROR(VLOOKUP(F615,IMPORTRANGE(""https://docs.google.com/spreadsheets/d/1Kvs4KS76FHFqLFIZfrDMff4kP08nblUkihrxltoGBjg/edit#gid=934712705"",""ESENCIAL!A6:BG""),8,FALSE))"),"")</f>
        <v/>
      </c>
      <c r="J349" s="39"/>
      <c r="M349" s="287"/>
      <c r="AV349" s="41" t="str">
        <f t="shared" si="20"/>
        <v/>
      </c>
      <c r="AW349" s="5" t="str">
        <f ca="1">IFERROR(__xludf.DUMMYFUNCTION("IFERROR(VLOOKUP(E615&amp;F615,IMPORTRANGE(""https://docs.google.com/spreadsheets/d/1Uw7-A9f9R21vMXxHZFNpYNeKFtG8_yji4HS352LGlSQ/edit?pli=1#gid=0"",""1_ACUM!A4:S""),11,FALSE))"),"")</f>
        <v/>
      </c>
      <c r="AX349" s="42" t="str">
        <f ca="1">IFERROR(__xludf.DUMMYFUNCTION("IFERROR(VLOOKUP(F615,IMPORTRANGE(""https://docs.google.com/spreadsheets/d/1Kvs4KS76FHFqLFIZfrDMff4kP08nblUkihrxltoGBjg/edit#gid=934712705"",""ESENCIAL!A6:BG""),15,FALSE))"),"")</f>
        <v/>
      </c>
      <c r="AY349" s="110" t="str">
        <f ca="1">IFERROR(__xludf.DUMMYFUNCTION("IFERROR(VLOOKUP(E615&amp;F615,IMPORTRANGE(""https://docs.google.com/spreadsheets/d/1Uw7-A9f9R21vMXxHZFNpYNeKFtG8_yji4HS352LGlSQ/edit?pli=1#gid=0"",""1_ACUM!A4:S""),13,FALSE))"),"")</f>
        <v/>
      </c>
      <c r="AZ349" s="43" t="str">
        <f ca="1">IFERROR(__xludf.DUMMYFUNCTION("IFERROR(VLOOKUP(E615&amp;F615,IMPORTRANGE(""https://docs.google.com/spreadsheets/d/1Uw7-A9f9R21vMXxHZFNpYNeKFtG8_yji4HS352LGlSQ/edit?pli=1#gid=0"",""1_ACUM!A4:S""),13,FALSE))"),"")</f>
        <v/>
      </c>
      <c r="BA349" s="43" t="str">
        <f ca="1">IFERROR(__xludf.DUMMYFUNCTION("IFERROR(VLOOKUP(E615&amp;F615,IMPORTRANGE(""https://docs.google.com/spreadsheets/d/1Uw7-A9f9R21vMXxHZFNpYNeKFtG8_yji4HS352LGlSQ/edit?pli=1#gid=0"",""1_ACUM!A4:S""),14,FALSE))"),"")</f>
        <v/>
      </c>
      <c r="BB349" s="43" t="str">
        <f ca="1">IFERROR(__xludf.DUMMYFUNCTION("IFERROR(VLOOKUP(E615&amp;F615,IMPORTRANGE(""https://docs.google.com/spreadsheets/d/1Uw7-A9f9R21vMXxHZFNpYNeKFtG8_yji4HS352LGlSQ/edit?pli=1#gid=0"",""1_ACUM!A4:S""),15,FALSE))"),"")</f>
        <v/>
      </c>
      <c r="BC349" s="43" t="str">
        <f ca="1">IFERROR(__xludf.DUMMYFUNCTION("IFERROR(VLOOKUP(E615&amp;F615,IMPORTRANGE(""https://docs.google.com/spreadsheets/d/1Uw7-A9f9R21vMXxHZFNpYNeKFtG8_yji4HS352LGlSQ/edit?pli=1#gid=0"",""1_ACUM!A4:S""),16,FALSE))"),"")</f>
        <v/>
      </c>
      <c r="BD349" s="43" t="str">
        <f ca="1">IFERROR(__xludf.DUMMYFUNCTION("IFERROR(VLOOKUP(E615&amp;F615,IMPORTRANGE(""https://docs.google.com/spreadsheets/d/1Uw7-A9f9R21vMXxHZFNpYNeKFtG8_yji4HS352LGlSQ/edit?pli=1#gid=0"",""1_ACUM!A4:S""),17,FALSE))"),"")</f>
        <v/>
      </c>
      <c r="BE349" s="44" t="str">
        <f ca="1">IFERROR(__xludf.DUMMYFUNCTION("IFERROR(VLOOKUP(E615&amp;F615,IMPORTRANGE(""https://docs.google.com/spreadsheets/d/1Uw7-A9f9R21vMXxHZFNpYNeKFtG8_yji4HS352LGlSQ/edit?pli=1#gid=0"",""1_ACUM!A4:S""),18,FALSE))"),"")</f>
        <v/>
      </c>
      <c r="BF349" s="44" t="str">
        <f ca="1">IFERROR(__xludf.DUMMYFUNCTION("IFERROR(VLOOKUP(E615&amp;F615,IMPORTRANGE(""https://docs.google.com/spreadsheets/d/1Uw7-A9f9R21vMXxHZFNpYNeKFtG8_yji4HS352LGlSQ/edit?pli=1#gid=0"",""1_ACUM!A4:S""),19,FALSE))"),"")</f>
        <v/>
      </c>
      <c r="BG349" s="98" t="str">
        <f ca="1">IFERROR(__xludf.DUMMYFUNCTION("IFERROR(VLOOKUP(F615,IMPORTRANGE(""https://docs.google.com/spreadsheets/d/1Kvs4KS76FHFqLFIZfrDMff4kP08nblUkihrxltoGBjg/edit#gid=934712705"",""ESENCIAL!A6:BG""),5,FALSE))"),"")</f>
        <v/>
      </c>
      <c r="BH349" s="98" t="str">
        <f t="shared" si="21"/>
        <v/>
      </c>
      <c r="BI349" s="99" t="str">
        <f t="shared" si="22"/>
        <v/>
      </c>
      <c r="BJ349" s="100" t="str">
        <f ca="1">IFERROR(__xludf.DUMMYFUNCTION("IFERROR(VLOOKUP(F615,IMPORTRANGE(""https://docs.google.com/spreadsheets/d/1Kvs4KS76FHFqLFIZfrDMff4kP08nblUkihrxltoGBjg/edit#gid=934712705"",""ESENCIAL!A6:BG""),2,FALSE))"),"")</f>
        <v/>
      </c>
      <c r="BK349" s="19" t="str">
        <f t="shared" si="23"/>
        <v/>
      </c>
      <c r="BL349" s="100"/>
      <c r="BM349" s="100"/>
    </row>
    <row r="350" spans="2:65" ht="15">
      <c r="B350" s="39"/>
      <c r="C350" s="5"/>
      <c r="D350" s="123"/>
      <c r="E350" s="39"/>
      <c r="F350" s="39"/>
      <c r="G350" s="39"/>
      <c r="H350" s="5" t="str">
        <f ca="1">IFERROR(__xludf.DUMMYFUNCTION("IFERROR(VLOOKUP(F616,IMPORTRANGE(""https://docs.google.com/spreadsheets/d/1Kvs4KS76FHFqLFIZfrDMff4kP08nblUkihrxltoGBjg/edit#gid=934712705"",""ESENCIAL!A6:BG""),3,FALSE))"),"")</f>
        <v/>
      </c>
      <c r="I350" s="5" t="str">
        <f ca="1">IFERROR(__xludf.DUMMYFUNCTION("IFERROR(VLOOKUP(F616,IMPORTRANGE(""https://docs.google.com/spreadsheets/d/1Kvs4KS76FHFqLFIZfrDMff4kP08nblUkihrxltoGBjg/edit#gid=934712705"",""ESENCIAL!A6:BG""),8,FALSE))"),"")</f>
        <v/>
      </c>
      <c r="J350" s="39"/>
      <c r="M350" s="287"/>
      <c r="AV350" s="41" t="str">
        <f t="shared" si="20"/>
        <v/>
      </c>
      <c r="AW350" s="5" t="str">
        <f ca="1">IFERROR(__xludf.DUMMYFUNCTION("IFERROR(VLOOKUP(E616&amp;F616,IMPORTRANGE(""https://docs.google.com/spreadsheets/d/1Uw7-A9f9R21vMXxHZFNpYNeKFtG8_yji4HS352LGlSQ/edit?pli=1#gid=0"",""1_ACUM!A4:S""),11,FALSE))"),"")</f>
        <v/>
      </c>
      <c r="AX350" s="42" t="str">
        <f ca="1">IFERROR(__xludf.DUMMYFUNCTION("IFERROR(VLOOKUP(F616,IMPORTRANGE(""https://docs.google.com/spreadsheets/d/1Kvs4KS76FHFqLFIZfrDMff4kP08nblUkihrxltoGBjg/edit#gid=934712705"",""ESENCIAL!A6:BG""),15,FALSE))"),"")</f>
        <v/>
      </c>
      <c r="AY350" s="110" t="str">
        <f ca="1">IFERROR(__xludf.DUMMYFUNCTION("IFERROR(VLOOKUP(E616&amp;F616,IMPORTRANGE(""https://docs.google.com/spreadsheets/d/1Uw7-A9f9R21vMXxHZFNpYNeKFtG8_yji4HS352LGlSQ/edit?pli=1#gid=0"",""1_ACUM!A4:S""),13,FALSE))"),"")</f>
        <v/>
      </c>
      <c r="AZ350" s="43" t="str">
        <f ca="1">IFERROR(__xludf.DUMMYFUNCTION("IFERROR(VLOOKUP(E616&amp;F616,IMPORTRANGE(""https://docs.google.com/spreadsheets/d/1Uw7-A9f9R21vMXxHZFNpYNeKFtG8_yji4HS352LGlSQ/edit?pli=1#gid=0"",""1_ACUM!A4:S""),13,FALSE))"),"")</f>
        <v/>
      </c>
      <c r="BA350" s="43" t="str">
        <f ca="1">IFERROR(__xludf.DUMMYFUNCTION("IFERROR(VLOOKUP(E616&amp;F616,IMPORTRANGE(""https://docs.google.com/spreadsheets/d/1Uw7-A9f9R21vMXxHZFNpYNeKFtG8_yji4HS352LGlSQ/edit?pli=1#gid=0"",""1_ACUM!A4:S""),14,FALSE))"),"")</f>
        <v/>
      </c>
      <c r="BB350" s="43" t="str">
        <f ca="1">IFERROR(__xludf.DUMMYFUNCTION("IFERROR(VLOOKUP(E616&amp;F616,IMPORTRANGE(""https://docs.google.com/spreadsheets/d/1Uw7-A9f9R21vMXxHZFNpYNeKFtG8_yji4HS352LGlSQ/edit?pli=1#gid=0"",""1_ACUM!A4:S""),15,FALSE))"),"")</f>
        <v/>
      </c>
      <c r="BC350" s="43" t="str">
        <f ca="1">IFERROR(__xludf.DUMMYFUNCTION("IFERROR(VLOOKUP(E616&amp;F616,IMPORTRANGE(""https://docs.google.com/spreadsheets/d/1Uw7-A9f9R21vMXxHZFNpYNeKFtG8_yji4HS352LGlSQ/edit?pli=1#gid=0"",""1_ACUM!A4:S""),16,FALSE))"),"")</f>
        <v/>
      </c>
      <c r="BD350" s="43" t="str">
        <f ca="1">IFERROR(__xludf.DUMMYFUNCTION("IFERROR(VLOOKUP(E616&amp;F616,IMPORTRANGE(""https://docs.google.com/spreadsheets/d/1Uw7-A9f9R21vMXxHZFNpYNeKFtG8_yji4HS352LGlSQ/edit?pli=1#gid=0"",""1_ACUM!A4:S""),17,FALSE))"),"")</f>
        <v/>
      </c>
      <c r="BE350" s="44" t="str">
        <f ca="1">IFERROR(__xludf.DUMMYFUNCTION("IFERROR(VLOOKUP(E616&amp;F616,IMPORTRANGE(""https://docs.google.com/spreadsheets/d/1Uw7-A9f9R21vMXxHZFNpYNeKFtG8_yji4HS352LGlSQ/edit?pli=1#gid=0"",""1_ACUM!A4:S""),18,FALSE))"),"")</f>
        <v/>
      </c>
      <c r="BF350" s="44" t="str">
        <f ca="1">IFERROR(__xludf.DUMMYFUNCTION("IFERROR(VLOOKUP(E616&amp;F616,IMPORTRANGE(""https://docs.google.com/spreadsheets/d/1Uw7-A9f9R21vMXxHZFNpYNeKFtG8_yji4HS352LGlSQ/edit?pli=1#gid=0"",""1_ACUM!A4:S""),19,FALSE))"),"")</f>
        <v/>
      </c>
      <c r="BG350" s="98" t="str">
        <f ca="1">IFERROR(__xludf.DUMMYFUNCTION("IFERROR(VLOOKUP(F616,IMPORTRANGE(""https://docs.google.com/spreadsheets/d/1Kvs4KS76FHFqLFIZfrDMff4kP08nblUkihrxltoGBjg/edit#gid=934712705"",""ESENCIAL!A6:BG""),5,FALSE))"),"")</f>
        <v/>
      </c>
      <c r="BH350" s="98" t="str">
        <f t="shared" si="21"/>
        <v/>
      </c>
      <c r="BI350" s="99" t="str">
        <f t="shared" si="22"/>
        <v/>
      </c>
      <c r="BJ350" s="100" t="str">
        <f ca="1">IFERROR(__xludf.DUMMYFUNCTION("IFERROR(VLOOKUP(F616,IMPORTRANGE(""https://docs.google.com/spreadsheets/d/1Kvs4KS76FHFqLFIZfrDMff4kP08nblUkihrxltoGBjg/edit#gid=934712705"",""ESENCIAL!A6:BG""),2,FALSE))"),"")</f>
        <v/>
      </c>
      <c r="BK350" s="19" t="str">
        <f t="shared" si="23"/>
        <v/>
      </c>
      <c r="BL350" s="100"/>
      <c r="BM350" s="100"/>
    </row>
    <row r="351" spans="2:65" ht="15">
      <c r="B351" s="39"/>
      <c r="C351" s="5"/>
      <c r="D351" s="123"/>
      <c r="E351" s="39"/>
      <c r="F351" s="39"/>
      <c r="G351" s="39"/>
      <c r="H351" s="5" t="str">
        <f ca="1">IFERROR(__xludf.DUMMYFUNCTION("IFERROR(VLOOKUP(F617,IMPORTRANGE(""https://docs.google.com/spreadsheets/d/1Kvs4KS76FHFqLFIZfrDMff4kP08nblUkihrxltoGBjg/edit#gid=934712705"",""ESENCIAL!A6:BG""),3,FALSE))"),"")</f>
        <v/>
      </c>
      <c r="I351" s="5" t="str">
        <f ca="1">IFERROR(__xludf.DUMMYFUNCTION("IFERROR(VLOOKUP(F617,IMPORTRANGE(""https://docs.google.com/spreadsheets/d/1Kvs4KS76FHFqLFIZfrDMff4kP08nblUkihrxltoGBjg/edit#gid=934712705"",""ESENCIAL!A6:BG""),8,FALSE))"),"")</f>
        <v/>
      </c>
      <c r="J351" s="39"/>
      <c r="M351" s="287"/>
      <c r="AV351" s="41" t="str">
        <f t="shared" si="20"/>
        <v/>
      </c>
      <c r="AW351" s="5" t="str">
        <f ca="1">IFERROR(__xludf.DUMMYFUNCTION("IFERROR(VLOOKUP(E617&amp;F617,IMPORTRANGE(""https://docs.google.com/spreadsheets/d/1Uw7-A9f9R21vMXxHZFNpYNeKFtG8_yji4HS352LGlSQ/edit?pli=1#gid=0"",""1_ACUM!A4:S""),11,FALSE))"),"")</f>
        <v/>
      </c>
      <c r="AX351" s="42" t="str">
        <f ca="1">IFERROR(__xludf.DUMMYFUNCTION("IFERROR(VLOOKUP(F617,IMPORTRANGE(""https://docs.google.com/spreadsheets/d/1Kvs4KS76FHFqLFIZfrDMff4kP08nblUkihrxltoGBjg/edit#gid=934712705"",""ESENCIAL!A6:BG""),15,FALSE))"),"")</f>
        <v/>
      </c>
      <c r="AY351" s="110" t="str">
        <f ca="1">IFERROR(__xludf.DUMMYFUNCTION("IFERROR(VLOOKUP(E617&amp;F617,IMPORTRANGE(""https://docs.google.com/spreadsheets/d/1Uw7-A9f9R21vMXxHZFNpYNeKFtG8_yji4HS352LGlSQ/edit?pli=1#gid=0"",""1_ACUM!A4:S""),13,FALSE))"),"")</f>
        <v/>
      </c>
      <c r="AZ351" s="43" t="str">
        <f ca="1">IFERROR(__xludf.DUMMYFUNCTION("IFERROR(VLOOKUP(E617&amp;F617,IMPORTRANGE(""https://docs.google.com/spreadsheets/d/1Uw7-A9f9R21vMXxHZFNpYNeKFtG8_yji4HS352LGlSQ/edit?pli=1#gid=0"",""1_ACUM!A4:S""),13,FALSE))"),"")</f>
        <v/>
      </c>
      <c r="BA351" s="43" t="str">
        <f ca="1">IFERROR(__xludf.DUMMYFUNCTION("IFERROR(VLOOKUP(E617&amp;F617,IMPORTRANGE(""https://docs.google.com/spreadsheets/d/1Uw7-A9f9R21vMXxHZFNpYNeKFtG8_yji4HS352LGlSQ/edit?pli=1#gid=0"",""1_ACUM!A4:S""),14,FALSE))"),"")</f>
        <v/>
      </c>
      <c r="BB351" s="43" t="str">
        <f ca="1">IFERROR(__xludf.DUMMYFUNCTION("IFERROR(VLOOKUP(E617&amp;F617,IMPORTRANGE(""https://docs.google.com/spreadsheets/d/1Uw7-A9f9R21vMXxHZFNpYNeKFtG8_yji4HS352LGlSQ/edit?pli=1#gid=0"",""1_ACUM!A4:S""),15,FALSE))"),"")</f>
        <v/>
      </c>
      <c r="BC351" s="43" t="str">
        <f ca="1">IFERROR(__xludf.DUMMYFUNCTION("IFERROR(VLOOKUP(E617&amp;F617,IMPORTRANGE(""https://docs.google.com/spreadsheets/d/1Uw7-A9f9R21vMXxHZFNpYNeKFtG8_yji4HS352LGlSQ/edit?pli=1#gid=0"",""1_ACUM!A4:S""),16,FALSE))"),"")</f>
        <v/>
      </c>
      <c r="BD351" s="43" t="str">
        <f ca="1">IFERROR(__xludf.DUMMYFUNCTION("IFERROR(VLOOKUP(E617&amp;F617,IMPORTRANGE(""https://docs.google.com/spreadsheets/d/1Uw7-A9f9R21vMXxHZFNpYNeKFtG8_yji4HS352LGlSQ/edit?pli=1#gid=0"",""1_ACUM!A4:S""),17,FALSE))"),"")</f>
        <v/>
      </c>
      <c r="BE351" s="44" t="str">
        <f ca="1">IFERROR(__xludf.DUMMYFUNCTION("IFERROR(VLOOKUP(E617&amp;F617,IMPORTRANGE(""https://docs.google.com/spreadsheets/d/1Uw7-A9f9R21vMXxHZFNpYNeKFtG8_yji4HS352LGlSQ/edit?pli=1#gid=0"",""1_ACUM!A4:S""),18,FALSE))"),"")</f>
        <v/>
      </c>
      <c r="BF351" s="44" t="str">
        <f ca="1">IFERROR(__xludf.DUMMYFUNCTION("IFERROR(VLOOKUP(E617&amp;F617,IMPORTRANGE(""https://docs.google.com/spreadsheets/d/1Uw7-A9f9R21vMXxHZFNpYNeKFtG8_yji4HS352LGlSQ/edit?pli=1#gid=0"",""1_ACUM!A4:S""),19,FALSE))"),"")</f>
        <v/>
      </c>
      <c r="BG351" s="98" t="str">
        <f ca="1">IFERROR(__xludf.DUMMYFUNCTION("IFERROR(VLOOKUP(F617,IMPORTRANGE(""https://docs.google.com/spreadsheets/d/1Kvs4KS76FHFqLFIZfrDMff4kP08nblUkihrxltoGBjg/edit#gid=934712705"",""ESENCIAL!A6:BG""),5,FALSE))"),"")</f>
        <v/>
      </c>
      <c r="BH351" s="98" t="str">
        <f t="shared" si="21"/>
        <v/>
      </c>
      <c r="BI351" s="99" t="str">
        <f t="shared" si="22"/>
        <v/>
      </c>
      <c r="BJ351" s="100" t="str">
        <f ca="1">IFERROR(__xludf.DUMMYFUNCTION("IFERROR(VLOOKUP(F617,IMPORTRANGE(""https://docs.google.com/spreadsheets/d/1Kvs4KS76FHFqLFIZfrDMff4kP08nblUkihrxltoGBjg/edit#gid=934712705"",""ESENCIAL!A6:BG""),2,FALSE))"),"")</f>
        <v/>
      </c>
      <c r="BK351" s="19" t="str">
        <f t="shared" si="23"/>
        <v/>
      </c>
      <c r="BL351" s="100"/>
      <c r="BM351" s="100"/>
    </row>
    <row r="352" spans="2:65" ht="15">
      <c r="B352" s="39"/>
      <c r="C352" s="5"/>
      <c r="D352" s="123"/>
      <c r="E352" s="39"/>
      <c r="F352" s="39"/>
      <c r="G352" s="39"/>
      <c r="H352" s="5" t="str">
        <f ca="1">IFERROR(__xludf.DUMMYFUNCTION("IFERROR(VLOOKUP(F618,IMPORTRANGE(""https://docs.google.com/spreadsheets/d/1Kvs4KS76FHFqLFIZfrDMff4kP08nblUkihrxltoGBjg/edit#gid=934712705"",""ESENCIAL!A6:BG""),3,FALSE))"),"")</f>
        <v/>
      </c>
      <c r="I352" s="5" t="str">
        <f ca="1">IFERROR(__xludf.DUMMYFUNCTION("IFERROR(VLOOKUP(F618,IMPORTRANGE(""https://docs.google.com/spreadsheets/d/1Kvs4KS76FHFqLFIZfrDMff4kP08nblUkihrxltoGBjg/edit#gid=934712705"",""ESENCIAL!A6:BG""),8,FALSE))"),"")</f>
        <v/>
      </c>
      <c r="J352" s="39"/>
      <c r="M352" s="287"/>
      <c r="AV352" s="41" t="str">
        <f t="shared" si="20"/>
        <v/>
      </c>
      <c r="AW352" s="5" t="str">
        <f ca="1">IFERROR(__xludf.DUMMYFUNCTION("IFERROR(VLOOKUP(E618&amp;F618,IMPORTRANGE(""https://docs.google.com/spreadsheets/d/1Uw7-A9f9R21vMXxHZFNpYNeKFtG8_yji4HS352LGlSQ/edit?pli=1#gid=0"",""1_ACUM!A4:S""),11,FALSE))"),"")</f>
        <v/>
      </c>
      <c r="AX352" s="42" t="str">
        <f ca="1">IFERROR(__xludf.DUMMYFUNCTION("IFERROR(VLOOKUP(F618,IMPORTRANGE(""https://docs.google.com/spreadsheets/d/1Kvs4KS76FHFqLFIZfrDMff4kP08nblUkihrxltoGBjg/edit#gid=934712705"",""ESENCIAL!A6:BG""),15,FALSE))"),"")</f>
        <v/>
      </c>
      <c r="AY352" s="110" t="str">
        <f ca="1">IFERROR(__xludf.DUMMYFUNCTION("IFERROR(VLOOKUP(E618&amp;F618,IMPORTRANGE(""https://docs.google.com/spreadsheets/d/1Uw7-A9f9R21vMXxHZFNpYNeKFtG8_yji4HS352LGlSQ/edit?pli=1#gid=0"",""1_ACUM!A4:S""),13,FALSE))"),"")</f>
        <v/>
      </c>
      <c r="AZ352" s="43" t="str">
        <f ca="1">IFERROR(__xludf.DUMMYFUNCTION("IFERROR(VLOOKUP(E618&amp;F618,IMPORTRANGE(""https://docs.google.com/spreadsheets/d/1Uw7-A9f9R21vMXxHZFNpYNeKFtG8_yji4HS352LGlSQ/edit?pli=1#gid=0"",""1_ACUM!A4:S""),13,FALSE))"),"")</f>
        <v/>
      </c>
      <c r="BA352" s="43" t="str">
        <f ca="1">IFERROR(__xludf.DUMMYFUNCTION("IFERROR(VLOOKUP(E618&amp;F618,IMPORTRANGE(""https://docs.google.com/spreadsheets/d/1Uw7-A9f9R21vMXxHZFNpYNeKFtG8_yji4HS352LGlSQ/edit?pli=1#gid=0"",""1_ACUM!A4:S""),14,FALSE))"),"")</f>
        <v/>
      </c>
      <c r="BB352" s="43" t="str">
        <f ca="1">IFERROR(__xludf.DUMMYFUNCTION("IFERROR(VLOOKUP(E618&amp;F618,IMPORTRANGE(""https://docs.google.com/spreadsheets/d/1Uw7-A9f9R21vMXxHZFNpYNeKFtG8_yji4HS352LGlSQ/edit?pli=1#gid=0"",""1_ACUM!A4:S""),15,FALSE))"),"")</f>
        <v/>
      </c>
      <c r="BC352" s="43" t="str">
        <f ca="1">IFERROR(__xludf.DUMMYFUNCTION("IFERROR(VLOOKUP(E618&amp;F618,IMPORTRANGE(""https://docs.google.com/spreadsheets/d/1Uw7-A9f9R21vMXxHZFNpYNeKFtG8_yji4HS352LGlSQ/edit?pli=1#gid=0"",""1_ACUM!A4:S""),16,FALSE))"),"")</f>
        <v/>
      </c>
      <c r="BD352" s="43" t="str">
        <f ca="1">IFERROR(__xludf.DUMMYFUNCTION("IFERROR(VLOOKUP(E618&amp;F618,IMPORTRANGE(""https://docs.google.com/spreadsheets/d/1Uw7-A9f9R21vMXxHZFNpYNeKFtG8_yji4HS352LGlSQ/edit?pli=1#gid=0"",""1_ACUM!A4:S""),17,FALSE))"),"")</f>
        <v/>
      </c>
      <c r="BE352" s="44" t="str">
        <f ca="1">IFERROR(__xludf.DUMMYFUNCTION("IFERROR(VLOOKUP(E618&amp;F618,IMPORTRANGE(""https://docs.google.com/spreadsheets/d/1Uw7-A9f9R21vMXxHZFNpYNeKFtG8_yji4HS352LGlSQ/edit?pli=1#gid=0"",""1_ACUM!A4:S""),18,FALSE))"),"")</f>
        <v/>
      </c>
      <c r="BF352" s="44" t="str">
        <f ca="1">IFERROR(__xludf.DUMMYFUNCTION("IFERROR(VLOOKUP(E618&amp;F618,IMPORTRANGE(""https://docs.google.com/spreadsheets/d/1Uw7-A9f9R21vMXxHZFNpYNeKFtG8_yji4HS352LGlSQ/edit?pli=1#gid=0"",""1_ACUM!A4:S""),19,FALSE))"),"")</f>
        <v/>
      </c>
      <c r="BG352" s="98" t="str">
        <f ca="1">IFERROR(__xludf.DUMMYFUNCTION("IFERROR(VLOOKUP(F618,IMPORTRANGE(""https://docs.google.com/spreadsheets/d/1Kvs4KS76FHFqLFIZfrDMff4kP08nblUkihrxltoGBjg/edit#gid=934712705"",""ESENCIAL!A6:BG""),5,FALSE))"),"")</f>
        <v/>
      </c>
      <c r="BH352" s="98" t="str">
        <f t="shared" si="21"/>
        <v/>
      </c>
      <c r="BI352" s="99" t="str">
        <f t="shared" si="22"/>
        <v/>
      </c>
      <c r="BJ352" s="100" t="str">
        <f ca="1">IFERROR(__xludf.DUMMYFUNCTION("IFERROR(VLOOKUP(F618,IMPORTRANGE(""https://docs.google.com/spreadsheets/d/1Kvs4KS76FHFqLFIZfrDMff4kP08nblUkihrxltoGBjg/edit#gid=934712705"",""ESENCIAL!A6:BG""),2,FALSE))"),"")</f>
        <v/>
      </c>
      <c r="BK352" s="19" t="str">
        <f t="shared" si="23"/>
        <v/>
      </c>
      <c r="BL352" s="100"/>
      <c r="BM352" s="100"/>
    </row>
    <row r="353" spans="2:65" ht="15">
      <c r="B353" s="39"/>
      <c r="C353" s="5"/>
      <c r="D353" s="123"/>
      <c r="E353" s="39"/>
      <c r="F353" s="39"/>
      <c r="G353" s="39"/>
      <c r="H353" s="5" t="str">
        <f ca="1">IFERROR(__xludf.DUMMYFUNCTION("IFERROR(VLOOKUP(F619,IMPORTRANGE(""https://docs.google.com/spreadsheets/d/1Kvs4KS76FHFqLFIZfrDMff4kP08nblUkihrxltoGBjg/edit#gid=934712705"",""ESENCIAL!A6:BG""),3,FALSE))"),"")</f>
        <v/>
      </c>
      <c r="I353" s="5" t="str">
        <f ca="1">IFERROR(__xludf.DUMMYFUNCTION("IFERROR(VLOOKUP(F619,IMPORTRANGE(""https://docs.google.com/spreadsheets/d/1Kvs4KS76FHFqLFIZfrDMff4kP08nblUkihrxltoGBjg/edit#gid=934712705"",""ESENCIAL!A6:BG""),8,FALSE))"),"")</f>
        <v/>
      </c>
      <c r="J353" s="39"/>
      <c r="M353" s="287"/>
      <c r="AV353" s="41" t="str">
        <f t="shared" si="20"/>
        <v/>
      </c>
      <c r="AW353" s="5" t="str">
        <f ca="1">IFERROR(__xludf.DUMMYFUNCTION("IFERROR(VLOOKUP(E619&amp;F619,IMPORTRANGE(""https://docs.google.com/spreadsheets/d/1Uw7-A9f9R21vMXxHZFNpYNeKFtG8_yji4HS352LGlSQ/edit?pli=1#gid=0"",""1_ACUM!A4:S""),11,FALSE))"),"")</f>
        <v/>
      </c>
      <c r="AX353" s="42" t="str">
        <f ca="1">IFERROR(__xludf.DUMMYFUNCTION("IFERROR(VLOOKUP(F619,IMPORTRANGE(""https://docs.google.com/spreadsheets/d/1Kvs4KS76FHFqLFIZfrDMff4kP08nblUkihrxltoGBjg/edit#gid=934712705"",""ESENCIAL!A6:BG""),15,FALSE))"),"")</f>
        <v/>
      </c>
      <c r="AY353" s="110" t="str">
        <f ca="1">IFERROR(__xludf.DUMMYFUNCTION("IFERROR(VLOOKUP(E619&amp;F619,IMPORTRANGE(""https://docs.google.com/spreadsheets/d/1Uw7-A9f9R21vMXxHZFNpYNeKFtG8_yji4HS352LGlSQ/edit?pli=1#gid=0"",""1_ACUM!A4:S""),13,FALSE))"),"")</f>
        <v/>
      </c>
      <c r="AZ353" s="43" t="str">
        <f ca="1">IFERROR(__xludf.DUMMYFUNCTION("IFERROR(VLOOKUP(E619&amp;F619,IMPORTRANGE(""https://docs.google.com/spreadsheets/d/1Uw7-A9f9R21vMXxHZFNpYNeKFtG8_yji4HS352LGlSQ/edit?pli=1#gid=0"",""1_ACUM!A4:S""),13,FALSE))"),"")</f>
        <v/>
      </c>
      <c r="BA353" s="43" t="str">
        <f ca="1">IFERROR(__xludf.DUMMYFUNCTION("IFERROR(VLOOKUP(E619&amp;F619,IMPORTRANGE(""https://docs.google.com/spreadsheets/d/1Uw7-A9f9R21vMXxHZFNpYNeKFtG8_yji4HS352LGlSQ/edit?pli=1#gid=0"",""1_ACUM!A4:S""),14,FALSE))"),"")</f>
        <v/>
      </c>
      <c r="BB353" s="43" t="str">
        <f ca="1">IFERROR(__xludf.DUMMYFUNCTION("IFERROR(VLOOKUP(E619&amp;F619,IMPORTRANGE(""https://docs.google.com/spreadsheets/d/1Uw7-A9f9R21vMXxHZFNpYNeKFtG8_yji4HS352LGlSQ/edit?pli=1#gid=0"",""1_ACUM!A4:S""),15,FALSE))"),"")</f>
        <v/>
      </c>
      <c r="BC353" s="43" t="str">
        <f ca="1">IFERROR(__xludf.DUMMYFUNCTION("IFERROR(VLOOKUP(E619&amp;F619,IMPORTRANGE(""https://docs.google.com/spreadsheets/d/1Uw7-A9f9R21vMXxHZFNpYNeKFtG8_yji4HS352LGlSQ/edit?pli=1#gid=0"",""1_ACUM!A4:S""),16,FALSE))"),"")</f>
        <v/>
      </c>
      <c r="BD353" s="43" t="str">
        <f ca="1">IFERROR(__xludf.DUMMYFUNCTION("IFERROR(VLOOKUP(E619&amp;F619,IMPORTRANGE(""https://docs.google.com/spreadsheets/d/1Uw7-A9f9R21vMXxHZFNpYNeKFtG8_yji4HS352LGlSQ/edit?pli=1#gid=0"",""1_ACUM!A4:S""),17,FALSE))"),"")</f>
        <v/>
      </c>
      <c r="BE353" s="44" t="str">
        <f ca="1">IFERROR(__xludf.DUMMYFUNCTION("IFERROR(VLOOKUP(E619&amp;F619,IMPORTRANGE(""https://docs.google.com/spreadsheets/d/1Uw7-A9f9R21vMXxHZFNpYNeKFtG8_yji4HS352LGlSQ/edit?pli=1#gid=0"",""1_ACUM!A4:S""),18,FALSE))"),"")</f>
        <v/>
      </c>
      <c r="BF353" s="44" t="str">
        <f ca="1">IFERROR(__xludf.DUMMYFUNCTION("IFERROR(VLOOKUP(E619&amp;F619,IMPORTRANGE(""https://docs.google.com/spreadsheets/d/1Uw7-A9f9R21vMXxHZFNpYNeKFtG8_yji4HS352LGlSQ/edit?pli=1#gid=0"",""1_ACUM!A4:S""),19,FALSE))"),"")</f>
        <v/>
      </c>
      <c r="BG353" s="98" t="str">
        <f ca="1">IFERROR(__xludf.DUMMYFUNCTION("IFERROR(VLOOKUP(F619,IMPORTRANGE(""https://docs.google.com/spreadsheets/d/1Kvs4KS76FHFqLFIZfrDMff4kP08nblUkihrxltoGBjg/edit#gid=934712705"",""ESENCIAL!A6:BG""),5,FALSE))"),"")</f>
        <v/>
      </c>
      <c r="BH353" s="98" t="str">
        <f t="shared" si="21"/>
        <v/>
      </c>
      <c r="BI353" s="99" t="str">
        <f t="shared" si="22"/>
        <v/>
      </c>
      <c r="BJ353" s="100" t="str">
        <f ca="1">IFERROR(__xludf.DUMMYFUNCTION("IFERROR(VLOOKUP(F619,IMPORTRANGE(""https://docs.google.com/spreadsheets/d/1Kvs4KS76FHFqLFIZfrDMff4kP08nblUkihrxltoGBjg/edit#gid=934712705"",""ESENCIAL!A6:BG""),2,FALSE))"),"")</f>
        <v/>
      </c>
      <c r="BK353" s="19" t="str">
        <f t="shared" si="23"/>
        <v/>
      </c>
      <c r="BL353" s="100"/>
      <c r="BM353" s="100"/>
    </row>
    <row r="354" spans="2:65" ht="15">
      <c r="B354" s="39"/>
      <c r="C354" s="5"/>
      <c r="D354" s="123"/>
      <c r="E354" s="39"/>
      <c r="F354" s="39"/>
      <c r="G354" s="39"/>
      <c r="H354" s="5" t="str">
        <f ca="1">IFERROR(__xludf.DUMMYFUNCTION("IFERROR(VLOOKUP(F620,IMPORTRANGE(""https://docs.google.com/spreadsheets/d/1Kvs4KS76FHFqLFIZfrDMff4kP08nblUkihrxltoGBjg/edit#gid=934712705"",""ESENCIAL!A6:BG""),3,FALSE))"),"")</f>
        <v/>
      </c>
      <c r="I354" s="5" t="str">
        <f ca="1">IFERROR(__xludf.DUMMYFUNCTION("IFERROR(VLOOKUP(F620,IMPORTRANGE(""https://docs.google.com/spreadsheets/d/1Kvs4KS76FHFqLFIZfrDMff4kP08nblUkihrxltoGBjg/edit#gid=934712705"",""ESENCIAL!A6:BG""),8,FALSE))"),"")</f>
        <v/>
      </c>
      <c r="J354" s="39"/>
      <c r="M354" s="287"/>
      <c r="AV354" s="41" t="str">
        <f t="shared" si="20"/>
        <v/>
      </c>
      <c r="AW354" s="5" t="str">
        <f ca="1">IFERROR(__xludf.DUMMYFUNCTION("IFERROR(VLOOKUP(E620&amp;F620,IMPORTRANGE(""https://docs.google.com/spreadsheets/d/1Uw7-A9f9R21vMXxHZFNpYNeKFtG8_yji4HS352LGlSQ/edit?pli=1#gid=0"",""1_ACUM!A4:S""),11,FALSE))"),"")</f>
        <v/>
      </c>
      <c r="AX354" s="42" t="str">
        <f ca="1">IFERROR(__xludf.DUMMYFUNCTION("IFERROR(VLOOKUP(F620,IMPORTRANGE(""https://docs.google.com/spreadsheets/d/1Kvs4KS76FHFqLFIZfrDMff4kP08nblUkihrxltoGBjg/edit#gid=934712705"",""ESENCIAL!A6:BG""),15,FALSE))"),"")</f>
        <v/>
      </c>
      <c r="AY354" s="110" t="str">
        <f ca="1">IFERROR(__xludf.DUMMYFUNCTION("IFERROR(VLOOKUP(E620&amp;F620,IMPORTRANGE(""https://docs.google.com/spreadsheets/d/1Uw7-A9f9R21vMXxHZFNpYNeKFtG8_yji4HS352LGlSQ/edit?pli=1#gid=0"",""1_ACUM!A4:S""),13,FALSE))"),"")</f>
        <v/>
      </c>
      <c r="AZ354" s="43" t="str">
        <f ca="1">IFERROR(__xludf.DUMMYFUNCTION("IFERROR(VLOOKUP(E620&amp;F620,IMPORTRANGE(""https://docs.google.com/spreadsheets/d/1Uw7-A9f9R21vMXxHZFNpYNeKFtG8_yji4HS352LGlSQ/edit?pli=1#gid=0"",""1_ACUM!A4:S""),13,FALSE))"),"")</f>
        <v/>
      </c>
      <c r="BA354" s="43" t="str">
        <f ca="1">IFERROR(__xludf.DUMMYFUNCTION("IFERROR(VLOOKUP(E620&amp;F620,IMPORTRANGE(""https://docs.google.com/spreadsheets/d/1Uw7-A9f9R21vMXxHZFNpYNeKFtG8_yji4HS352LGlSQ/edit?pli=1#gid=0"",""1_ACUM!A4:S""),14,FALSE))"),"")</f>
        <v/>
      </c>
      <c r="BB354" s="43" t="str">
        <f ca="1">IFERROR(__xludf.DUMMYFUNCTION("IFERROR(VLOOKUP(E620&amp;F620,IMPORTRANGE(""https://docs.google.com/spreadsheets/d/1Uw7-A9f9R21vMXxHZFNpYNeKFtG8_yji4HS352LGlSQ/edit?pli=1#gid=0"",""1_ACUM!A4:S""),15,FALSE))"),"")</f>
        <v/>
      </c>
      <c r="BC354" s="43" t="str">
        <f ca="1">IFERROR(__xludf.DUMMYFUNCTION("IFERROR(VLOOKUP(E620&amp;F620,IMPORTRANGE(""https://docs.google.com/spreadsheets/d/1Uw7-A9f9R21vMXxHZFNpYNeKFtG8_yji4HS352LGlSQ/edit?pli=1#gid=0"",""1_ACUM!A4:S""),16,FALSE))"),"")</f>
        <v/>
      </c>
      <c r="BD354" s="43" t="str">
        <f ca="1">IFERROR(__xludf.DUMMYFUNCTION("IFERROR(VLOOKUP(E620&amp;F620,IMPORTRANGE(""https://docs.google.com/spreadsheets/d/1Uw7-A9f9R21vMXxHZFNpYNeKFtG8_yji4HS352LGlSQ/edit?pli=1#gid=0"",""1_ACUM!A4:S""),17,FALSE))"),"")</f>
        <v/>
      </c>
      <c r="BE354" s="44" t="str">
        <f ca="1">IFERROR(__xludf.DUMMYFUNCTION("IFERROR(VLOOKUP(E620&amp;F620,IMPORTRANGE(""https://docs.google.com/spreadsheets/d/1Uw7-A9f9R21vMXxHZFNpYNeKFtG8_yji4HS352LGlSQ/edit?pli=1#gid=0"",""1_ACUM!A4:S""),18,FALSE))"),"")</f>
        <v/>
      </c>
      <c r="BF354" s="44" t="str">
        <f ca="1">IFERROR(__xludf.DUMMYFUNCTION("IFERROR(VLOOKUP(E620&amp;F620,IMPORTRANGE(""https://docs.google.com/spreadsheets/d/1Uw7-A9f9R21vMXxHZFNpYNeKFtG8_yji4HS352LGlSQ/edit?pli=1#gid=0"",""1_ACUM!A4:S""),19,FALSE))"),"")</f>
        <v/>
      </c>
      <c r="BG354" s="98" t="str">
        <f ca="1">IFERROR(__xludf.DUMMYFUNCTION("IFERROR(VLOOKUP(F620,IMPORTRANGE(""https://docs.google.com/spreadsheets/d/1Kvs4KS76FHFqLFIZfrDMff4kP08nblUkihrxltoGBjg/edit#gid=934712705"",""ESENCIAL!A6:BG""),5,FALSE))"),"")</f>
        <v/>
      </c>
      <c r="BH354" s="98" t="str">
        <f t="shared" si="21"/>
        <v/>
      </c>
      <c r="BI354" s="99" t="str">
        <f t="shared" si="22"/>
        <v/>
      </c>
      <c r="BJ354" s="100" t="str">
        <f ca="1">IFERROR(__xludf.DUMMYFUNCTION("IFERROR(VLOOKUP(F620,IMPORTRANGE(""https://docs.google.com/spreadsheets/d/1Kvs4KS76FHFqLFIZfrDMff4kP08nblUkihrxltoGBjg/edit#gid=934712705"",""ESENCIAL!A6:BG""),2,FALSE))"),"")</f>
        <v/>
      </c>
      <c r="BK354" s="19" t="str">
        <f t="shared" si="23"/>
        <v/>
      </c>
      <c r="BL354" s="100"/>
      <c r="BM354" s="100"/>
    </row>
    <row r="355" spans="2:65" ht="15">
      <c r="B355" s="39"/>
      <c r="C355" s="5"/>
      <c r="D355" s="123"/>
      <c r="E355" s="39"/>
      <c r="F355" s="39"/>
      <c r="G355" s="39"/>
      <c r="H355" s="5" t="str">
        <f ca="1">IFERROR(__xludf.DUMMYFUNCTION("IFERROR(VLOOKUP(F621,IMPORTRANGE(""https://docs.google.com/spreadsheets/d/1Kvs4KS76FHFqLFIZfrDMff4kP08nblUkihrxltoGBjg/edit#gid=934712705"",""ESENCIAL!A6:BG""),3,FALSE))"),"")</f>
        <v/>
      </c>
      <c r="I355" s="5" t="str">
        <f ca="1">IFERROR(__xludf.DUMMYFUNCTION("IFERROR(VLOOKUP(F621,IMPORTRANGE(""https://docs.google.com/spreadsheets/d/1Kvs4KS76FHFqLFIZfrDMff4kP08nblUkihrxltoGBjg/edit#gid=934712705"",""ESENCIAL!A6:BG""),8,FALSE))"),"")</f>
        <v/>
      </c>
      <c r="J355" s="39"/>
      <c r="M355" s="287"/>
      <c r="AV355" s="41" t="str">
        <f t="shared" si="20"/>
        <v/>
      </c>
      <c r="AW355" s="5" t="str">
        <f ca="1">IFERROR(__xludf.DUMMYFUNCTION("IFERROR(VLOOKUP(E621&amp;F621,IMPORTRANGE(""https://docs.google.com/spreadsheets/d/1Uw7-A9f9R21vMXxHZFNpYNeKFtG8_yji4HS352LGlSQ/edit?pli=1#gid=0"",""1_ACUM!A4:S""),11,FALSE))"),"")</f>
        <v/>
      </c>
      <c r="AX355" s="42" t="str">
        <f ca="1">IFERROR(__xludf.DUMMYFUNCTION("IFERROR(VLOOKUP(F621,IMPORTRANGE(""https://docs.google.com/spreadsheets/d/1Kvs4KS76FHFqLFIZfrDMff4kP08nblUkihrxltoGBjg/edit#gid=934712705"",""ESENCIAL!A6:BG""),15,FALSE))"),"")</f>
        <v/>
      </c>
      <c r="AY355" s="110" t="str">
        <f ca="1">IFERROR(__xludf.DUMMYFUNCTION("IFERROR(VLOOKUP(E621&amp;F621,IMPORTRANGE(""https://docs.google.com/spreadsheets/d/1Uw7-A9f9R21vMXxHZFNpYNeKFtG8_yji4HS352LGlSQ/edit?pli=1#gid=0"",""1_ACUM!A4:S""),13,FALSE))"),"")</f>
        <v/>
      </c>
      <c r="AZ355" s="43" t="str">
        <f ca="1">IFERROR(__xludf.DUMMYFUNCTION("IFERROR(VLOOKUP(E621&amp;F621,IMPORTRANGE(""https://docs.google.com/spreadsheets/d/1Uw7-A9f9R21vMXxHZFNpYNeKFtG8_yji4HS352LGlSQ/edit?pli=1#gid=0"",""1_ACUM!A4:S""),13,FALSE))"),"")</f>
        <v/>
      </c>
      <c r="BA355" s="43" t="str">
        <f ca="1">IFERROR(__xludf.DUMMYFUNCTION("IFERROR(VLOOKUP(E621&amp;F621,IMPORTRANGE(""https://docs.google.com/spreadsheets/d/1Uw7-A9f9R21vMXxHZFNpYNeKFtG8_yji4HS352LGlSQ/edit?pli=1#gid=0"",""1_ACUM!A4:S""),14,FALSE))"),"")</f>
        <v/>
      </c>
      <c r="BB355" s="43" t="str">
        <f ca="1">IFERROR(__xludf.DUMMYFUNCTION("IFERROR(VLOOKUP(E621&amp;F621,IMPORTRANGE(""https://docs.google.com/spreadsheets/d/1Uw7-A9f9R21vMXxHZFNpYNeKFtG8_yji4HS352LGlSQ/edit?pli=1#gid=0"",""1_ACUM!A4:S""),15,FALSE))"),"")</f>
        <v/>
      </c>
      <c r="BC355" s="43" t="str">
        <f ca="1">IFERROR(__xludf.DUMMYFUNCTION("IFERROR(VLOOKUP(E621&amp;F621,IMPORTRANGE(""https://docs.google.com/spreadsheets/d/1Uw7-A9f9R21vMXxHZFNpYNeKFtG8_yji4HS352LGlSQ/edit?pli=1#gid=0"",""1_ACUM!A4:S""),16,FALSE))"),"")</f>
        <v/>
      </c>
      <c r="BD355" s="43" t="str">
        <f ca="1">IFERROR(__xludf.DUMMYFUNCTION("IFERROR(VLOOKUP(E621&amp;F621,IMPORTRANGE(""https://docs.google.com/spreadsheets/d/1Uw7-A9f9R21vMXxHZFNpYNeKFtG8_yji4HS352LGlSQ/edit?pli=1#gid=0"",""1_ACUM!A4:S""),17,FALSE))"),"")</f>
        <v/>
      </c>
      <c r="BE355" s="44" t="str">
        <f ca="1">IFERROR(__xludf.DUMMYFUNCTION("IFERROR(VLOOKUP(E621&amp;F621,IMPORTRANGE(""https://docs.google.com/spreadsheets/d/1Uw7-A9f9R21vMXxHZFNpYNeKFtG8_yji4HS352LGlSQ/edit?pli=1#gid=0"",""1_ACUM!A4:S""),18,FALSE))"),"")</f>
        <v/>
      </c>
      <c r="BF355" s="44" t="str">
        <f ca="1">IFERROR(__xludf.DUMMYFUNCTION("IFERROR(VLOOKUP(E621&amp;F621,IMPORTRANGE(""https://docs.google.com/spreadsheets/d/1Uw7-A9f9R21vMXxHZFNpYNeKFtG8_yji4HS352LGlSQ/edit?pli=1#gid=0"",""1_ACUM!A4:S""),19,FALSE))"),"")</f>
        <v/>
      </c>
      <c r="BG355" s="98" t="str">
        <f ca="1">IFERROR(__xludf.DUMMYFUNCTION("IFERROR(VLOOKUP(F621,IMPORTRANGE(""https://docs.google.com/spreadsheets/d/1Kvs4KS76FHFqLFIZfrDMff4kP08nblUkihrxltoGBjg/edit#gid=934712705"",""ESENCIAL!A6:BG""),5,FALSE))"),"")</f>
        <v/>
      </c>
      <c r="BH355" s="98" t="str">
        <f t="shared" si="21"/>
        <v/>
      </c>
      <c r="BI355" s="99" t="str">
        <f t="shared" si="22"/>
        <v/>
      </c>
      <c r="BJ355" s="100" t="str">
        <f ca="1">IFERROR(__xludf.DUMMYFUNCTION("IFERROR(VLOOKUP(F621,IMPORTRANGE(""https://docs.google.com/spreadsheets/d/1Kvs4KS76FHFqLFIZfrDMff4kP08nblUkihrxltoGBjg/edit#gid=934712705"",""ESENCIAL!A6:BG""),2,FALSE))"),"")</f>
        <v/>
      </c>
      <c r="BK355" s="19" t="str">
        <f t="shared" si="23"/>
        <v/>
      </c>
      <c r="BL355" s="100"/>
      <c r="BM355" s="100"/>
    </row>
    <row r="356" spans="2:65" ht="15">
      <c r="B356" s="39"/>
      <c r="C356" s="5"/>
      <c r="D356" s="123"/>
      <c r="E356" s="39"/>
      <c r="F356" s="39"/>
      <c r="G356" s="39"/>
      <c r="H356" s="5" t="str">
        <f ca="1">IFERROR(__xludf.DUMMYFUNCTION("IFERROR(VLOOKUP(F622,IMPORTRANGE(""https://docs.google.com/spreadsheets/d/1Kvs4KS76FHFqLFIZfrDMff4kP08nblUkihrxltoGBjg/edit#gid=934712705"",""ESENCIAL!A6:BG""),3,FALSE))"),"")</f>
        <v/>
      </c>
      <c r="I356" s="5" t="str">
        <f ca="1">IFERROR(__xludf.DUMMYFUNCTION("IFERROR(VLOOKUP(F622,IMPORTRANGE(""https://docs.google.com/spreadsheets/d/1Kvs4KS76FHFqLFIZfrDMff4kP08nblUkihrxltoGBjg/edit#gid=934712705"",""ESENCIAL!A6:BG""),8,FALSE))"),"")</f>
        <v/>
      </c>
      <c r="J356" s="39"/>
      <c r="M356" s="287"/>
      <c r="AV356" s="41" t="str">
        <f t="shared" si="20"/>
        <v/>
      </c>
      <c r="AW356" s="5" t="str">
        <f ca="1">IFERROR(__xludf.DUMMYFUNCTION("IFERROR(VLOOKUP(E622&amp;F622,IMPORTRANGE(""https://docs.google.com/spreadsheets/d/1Uw7-A9f9R21vMXxHZFNpYNeKFtG8_yji4HS352LGlSQ/edit?pli=1#gid=0"",""1_ACUM!A4:S""),11,FALSE))"),"")</f>
        <v/>
      </c>
      <c r="AX356" s="42" t="str">
        <f ca="1">IFERROR(__xludf.DUMMYFUNCTION("IFERROR(VLOOKUP(F622,IMPORTRANGE(""https://docs.google.com/spreadsheets/d/1Kvs4KS76FHFqLFIZfrDMff4kP08nblUkihrxltoGBjg/edit#gid=934712705"",""ESENCIAL!A6:BG""),15,FALSE))"),"")</f>
        <v/>
      </c>
      <c r="AY356" s="110" t="str">
        <f ca="1">IFERROR(__xludf.DUMMYFUNCTION("IFERROR(VLOOKUP(E622&amp;F622,IMPORTRANGE(""https://docs.google.com/spreadsheets/d/1Uw7-A9f9R21vMXxHZFNpYNeKFtG8_yji4HS352LGlSQ/edit?pli=1#gid=0"",""1_ACUM!A4:S""),13,FALSE))"),"")</f>
        <v/>
      </c>
      <c r="AZ356" s="43" t="str">
        <f ca="1">IFERROR(__xludf.DUMMYFUNCTION("IFERROR(VLOOKUP(E622&amp;F622,IMPORTRANGE(""https://docs.google.com/spreadsheets/d/1Uw7-A9f9R21vMXxHZFNpYNeKFtG8_yji4HS352LGlSQ/edit?pli=1#gid=0"",""1_ACUM!A4:S""),13,FALSE))"),"")</f>
        <v/>
      </c>
      <c r="BA356" s="43" t="str">
        <f ca="1">IFERROR(__xludf.DUMMYFUNCTION("IFERROR(VLOOKUP(E622&amp;F622,IMPORTRANGE(""https://docs.google.com/spreadsheets/d/1Uw7-A9f9R21vMXxHZFNpYNeKFtG8_yji4HS352LGlSQ/edit?pli=1#gid=0"",""1_ACUM!A4:S""),14,FALSE))"),"")</f>
        <v/>
      </c>
      <c r="BB356" s="43" t="str">
        <f ca="1">IFERROR(__xludf.DUMMYFUNCTION("IFERROR(VLOOKUP(E622&amp;F622,IMPORTRANGE(""https://docs.google.com/spreadsheets/d/1Uw7-A9f9R21vMXxHZFNpYNeKFtG8_yji4HS352LGlSQ/edit?pli=1#gid=0"",""1_ACUM!A4:S""),15,FALSE))"),"")</f>
        <v/>
      </c>
      <c r="BC356" s="43" t="str">
        <f ca="1">IFERROR(__xludf.DUMMYFUNCTION("IFERROR(VLOOKUP(E622&amp;F622,IMPORTRANGE(""https://docs.google.com/spreadsheets/d/1Uw7-A9f9R21vMXxHZFNpYNeKFtG8_yji4HS352LGlSQ/edit?pli=1#gid=0"",""1_ACUM!A4:S""),16,FALSE))"),"")</f>
        <v/>
      </c>
      <c r="BD356" s="43" t="str">
        <f ca="1">IFERROR(__xludf.DUMMYFUNCTION("IFERROR(VLOOKUP(E622&amp;F622,IMPORTRANGE(""https://docs.google.com/spreadsheets/d/1Uw7-A9f9R21vMXxHZFNpYNeKFtG8_yji4HS352LGlSQ/edit?pli=1#gid=0"",""1_ACUM!A4:S""),17,FALSE))"),"")</f>
        <v/>
      </c>
      <c r="BE356" s="44" t="str">
        <f ca="1">IFERROR(__xludf.DUMMYFUNCTION("IFERROR(VLOOKUP(E622&amp;F622,IMPORTRANGE(""https://docs.google.com/spreadsheets/d/1Uw7-A9f9R21vMXxHZFNpYNeKFtG8_yji4HS352LGlSQ/edit?pli=1#gid=0"",""1_ACUM!A4:S""),18,FALSE))"),"")</f>
        <v/>
      </c>
      <c r="BF356" s="44" t="str">
        <f ca="1">IFERROR(__xludf.DUMMYFUNCTION("IFERROR(VLOOKUP(E622&amp;F622,IMPORTRANGE(""https://docs.google.com/spreadsheets/d/1Uw7-A9f9R21vMXxHZFNpYNeKFtG8_yji4HS352LGlSQ/edit?pli=1#gid=0"",""1_ACUM!A4:S""),19,FALSE))"),"")</f>
        <v/>
      </c>
      <c r="BG356" s="98" t="str">
        <f ca="1">IFERROR(__xludf.DUMMYFUNCTION("IFERROR(VLOOKUP(F622,IMPORTRANGE(""https://docs.google.com/spreadsheets/d/1Kvs4KS76FHFqLFIZfrDMff4kP08nblUkihrxltoGBjg/edit#gid=934712705"",""ESENCIAL!A6:BG""),5,FALSE))"),"")</f>
        <v/>
      </c>
      <c r="BH356" s="98" t="str">
        <f t="shared" si="21"/>
        <v/>
      </c>
      <c r="BI356" s="99" t="str">
        <f t="shared" si="22"/>
        <v/>
      </c>
      <c r="BJ356" s="100" t="str">
        <f ca="1">IFERROR(__xludf.DUMMYFUNCTION("IFERROR(VLOOKUP(F622,IMPORTRANGE(""https://docs.google.com/spreadsheets/d/1Kvs4KS76FHFqLFIZfrDMff4kP08nblUkihrxltoGBjg/edit#gid=934712705"",""ESENCIAL!A6:BG""),2,FALSE))"),"")</f>
        <v/>
      </c>
      <c r="BK356" s="19" t="str">
        <f t="shared" si="23"/>
        <v/>
      </c>
      <c r="BL356" s="100"/>
      <c r="BM356" s="100"/>
    </row>
    <row r="357" spans="2:65" ht="15">
      <c r="B357" s="39"/>
      <c r="C357" s="5"/>
      <c r="D357" s="123"/>
      <c r="E357" s="39"/>
      <c r="F357" s="39"/>
      <c r="G357" s="39"/>
      <c r="H357" s="5" t="str">
        <f ca="1">IFERROR(__xludf.DUMMYFUNCTION("IFERROR(VLOOKUP(F623,IMPORTRANGE(""https://docs.google.com/spreadsheets/d/1Kvs4KS76FHFqLFIZfrDMff4kP08nblUkihrxltoGBjg/edit#gid=934712705"",""ESENCIAL!A6:BG""),3,FALSE))"),"")</f>
        <v/>
      </c>
      <c r="I357" s="5" t="str">
        <f ca="1">IFERROR(__xludf.DUMMYFUNCTION("IFERROR(VLOOKUP(F623,IMPORTRANGE(""https://docs.google.com/spreadsheets/d/1Kvs4KS76FHFqLFIZfrDMff4kP08nblUkihrxltoGBjg/edit#gid=934712705"",""ESENCIAL!A6:BG""),8,FALSE))"),"")</f>
        <v/>
      </c>
      <c r="J357" s="39"/>
      <c r="M357" s="287"/>
      <c r="AV357" s="41" t="str">
        <f t="shared" si="20"/>
        <v/>
      </c>
      <c r="AW357" s="5" t="str">
        <f ca="1">IFERROR(__xludf.DUMMYFUNCTION("IFERROR(VLOOKUP(E623&amp;F623,IMPORTRANGE(""https://docs.google.com/spreadsheets/d/1Uw7-A9f9R21vMXxHZFNpYNeKFtG8_yji4HS352LGlSQ/edit?pli=1#gid=0"",""1_ACUM!A4:S""),11,FALSE))"),"")</f>
        <v/>
      </c>
      <c r="AX357" s="42" t="str">
        <f ca="1">IFERROR(__xludf.DUMMYFUNCTION("IFERROR(VLOOKUP(F623,IMPORTRANGE(""https://docs.google.com/spreadsheets/d/1Kvs4KS76FHFqLFIZfrDMff4kP08nblUkihrxltoGBjg/edit#gid=934712705"",""ESENCIAL!A6:BG""),15,FALSE))"),"")</f>
        <v/>
      </c>
      <c r="AY357" s="110" t="str">
        <f ca="1">IFERROR(__xludf.DUMMYFUNCTION("IFERROR(VLOOKUP(E623&amp;F623,IMPORTRANGE(""https://docs.google.com/spreadsheets/d/1Uw7-A9f9R21vMXxHZFNpYNeKFtG8_yji4HS352LGlSQ/edit?pli=1#gid=0"",""1_ACUM!A4:S""),13,FALSE))"),"")</f>
        <v/>
      </c>
      <c r="AZ357" s="43" t="str">
        <f ca="1">IFERROR(__xludf.DUMMYFUNCTION("IFERROR(VLOOKUP(E623&amp;F623,IMPORTRANGE(""https://docs.google.com/spreadsheets/d/1Uw7-A9f9R21vMXxHZFNpYNeKFtG8_yji4HS352LGlSQ/edit?pli=1#gid=0"",""1_ACUM!A4:S""),13,FALSE))"),"")</f>
        <v/>
      </c>
      <c r="BA357" s="43" t="str">
        <f ca="1">IFERROR(__xludf.DUMMYFUNCTION("IFERROR(VLOOKUP(E623&amp;F623,IMPORTRANGE(""https://docs.google.com/spreadsheets/d/1Uw7-A9f9R21vMXxHZFNpYNeKFtG8_yji4HS352LGlSQ/edit?pli=1#gid=0"",""1_ACUM!A4:S""),14,FALSE))"),"")</f>
        <v/>
      </c>
      <c r="BB357" s="43" t="str">
        <f ca="1">IFERROR(__xludf.DUMMYFUNCTION("IFERROR(VLOOKUP(E623&amp;F623,IMPORTRANGE(""https://docs.google.com/spreadsheets/d/1Uw7-A9f9R21vMXxHZFNpYNeKFtG8_yji4HS352LGlSQ/edit?pli=1#gid=0"",""1_ACUM!A4:S""),15,FALSE))"),"")</f>
        <v/>
      </c>
      <c r="BC357" s="43" t="str">
        <f ca="1">IFERROR(__xludf.DUMMYFUNCTION("IFERROR(VLOOKUP(E623&amp;F623,IMPORTRANGE(""https://docs.google.com/spreadsheets/d/1Uw7-A9f9R21vMXxHZFNpYNeKFtG8_yji4HS352LGlSQ/edit?pli=1#gid=0"",""1_ACUM!A4:S""),16,FALSE))"),"")</f>
        <v/>
      </c>
      <c r="BD357" s="43" t="str">
        <f ca="1">IFERROR(__xludf.DUMMYFUNCTION("IFERROR(VLOOKUP(E623&amp;F623,IMPORTRANGE(""https://docs.google.com/spreadsheets/d/1Uw7-A9f9R21vMXxHZFNpYNeKFtG8_yji4HS352LGlSQ/edit?pli=1#gid=0"",""1_ACUM!A4:S""),17,FALSE))"),"")</f>
        <v/>
      </c>
      <c r="BE357" s="44" t="str">
        <f ca="1">IFERROR(__xludf.DUMMYFUNCTION("IFERROR(VLOOKUP(E623&amp;F623,IMPORTRANGE(""https://docs.google.com/spreadsheets/d/1Uw7-A9f9R21vMXxHZFNpYNeKFtG8_yji4HS352LGlSQ/edit?pli=1#gid=0"",""1_ACUM!A4:S""),18,FALSE))"),"")</f>
        <v/>
      </c>
      <c r="BF357" s="44" t="str">
        <f ca="1">IFERROR(__xludf.DUMMYFUNCTION("IFERROR(VLOOKUP(E623&amp;F623,IMPORTRANGE(""https://docs.google.com/spreadsheets/d/1Uw7-A9f9R21vMXxHZFNpYNeKFtG8_yji4HS352LGlSQ/edit?pli=1#gid=0"",""1_ACUM!A4:S""),19,FALSE))"),"")</f>
        <v/>
      </c>
      <c r="BG357" s="98" t="str">
        <f ca="1">IFERROR(__xludf.DUMMYFUNCTION("IFERROR(VLOOKUP(F623,IMPORTRANGE(""https://docs.google.com/spreadsheets/d/1Kvs4KS76FHFqLFIZfrDMff4kP08nblUkihrxltoGBjg/edit#gid=934712705"",""ESENCIAL!A6:BG""),5,FALSE))"),"")</f>
        <v/>
      </c>
      <c r="BH357" s="98" t="str">
        <f t="shared" si="21"/>
        <v/>
      </c>
      <c r="BI357" s="99" t="str">
        <f t="shared" si="22"/>
        <v/>
      </c>
      <c r="BJ357" s="100" t="str">
        <f ca="1">IFERROR(__xludf.DUMMYFUNCTION("IFERROR(VLOOKUP(F623,IMPORTRANGE(""https://docs.google.com/spreadsheets/d/1Kvs4KS76FHFqLFIZfrDMff4kP08nblUkihrxltoGBjg/edit#gid=934712705"",""ESENCIAL!A6:BG""),2,FALSE))"),"")</f>
        <v/>
      </c>
      <c r="BK357" s="19" t="str">
        <f t="shared" si="23"/>
        <v/>
      </c>
      <c r="BL357" s="100"/>
      <c r="BM357" s="100"/>
    </row>
    <row r="358" spans="2:65" ht="15">
      <c r="B358" s="39"/>
      <c r="C358" s="5"/>
      <c r="D358" s="123"/>
      <c r="E358" s="39"/>
      <c r="F358" s="39"/>
      <c r="G358" s="39"/>
      <c r="H358" s="5" t="str">
        <f ca="1">IFERROR(__xludf.DUMMYFUNCTION("IFERROR(VLOOKUP(F624,IMPORTRANGE(""https://docs.google.com/spreadsheets/d/1Kvs4KS76FHFqLFIZfrDMff4kP08nblUkihrxltoGBjg/edit#gid=934712705"",""ESENCIAL!A6:BG""),3,FALSE))"),"")</f>
        <v/>
      </c>
      <c r="I358" s="5" t="str">
        <f ca="1">IFERROR(__xludf.DUMMYFUNCTION("IFERROR(VLOOKUP(F624,IMPORTRANGE(""https://docs.google.com/spreadsheets/d/1Kvs4KS76FHFqLFIZfrDMff4kP08nblUkihrxltoGBjg/edit#gid=934712705"",""ESENCIAL!A6:BG""),8,FALSE))"),"")</f>
        <v/>
      </c>
      <c r="J358" s="39"/>
      <c r="M358" s="287"/>
      <c r="AV358" s="41" t="str">
        <f t="shared" si="20"/>
        <v/>
      </c>
      <c r="AW358" s="5" t="str">
        <f ca="1">IFERROR(__xludf.DUMMYFUNCTION("IFERROR(VLOOKUP(E624&amp;F624,IMPORTRANGE(""https://docs.google.com/spreadsheets/d/1Uw7-A9f9R21vMXxHZFNpYNeKFtG8_yji4HS352LGlSQ/edit?pli=1#gid=0"",""1_ACUM!A4:S""),11,FALSE))"),"")</f>
        <v/>
      </c>
      <c r="AX358" s="42" t="str">
        <f ca="1">IFERROR(__xludf.DUMMYFUNCTION("IFERROR(VLOOKUP(F624,IMPORTRANGE(""https://docs.google.com/spreadsheets/d/1Kvs4KS76FHFqLFIZfrDMff4kP08nblUkihrxltoGBjg/edit#gid=934712705"",""ESENCIAL!A6:BG""),15,FALSE))"),"")</f>
        <v/>
      </c>
      <c r="AY358" s="110" t="str">
        <f ca="1">IFERROR(__xludf.DUMMYFUNCTION("IFERROR(VLOOKUP(E624&amp;F624,IMPORTRANGE(""https://docs.google.com/spreadsheets/d/1Uw7-A9f9R21vMXxHZFNpYNeKFtG8_yji4HS352LGlSQ/edit?pli=1#gid=0"",""1_ACUM!A4:S""),13,FALSE))"),"")</f>
        <v/>
      </c>
      <c r="AZ358" s="43" t="str">
        <f ca="1">IFERROR(__xludf.DUMMYFUNCTION("IFERROR(VLOOKUP(E624&amp;F624,IMPORTRANGE(""https://docs.google.com/spreadsheets/d/1Uw7-A9f9R21vMXxHZFNpYNeKFtG8_yji4HS352LGlSQ/edit?pli=1#gid=0"",""1_ACUM!A4:S""),13,FALSE))"),"")</f>
        <v/>
      </c>
      <c r="BA358" s="43" t="str">
        <f ca="1">IFERROR(__xludf.DUMMYFUNCTION("IFERROR(VLOOKUP(E624&amp;F624,IMPORTRANGE(""https://docs.google.com/spreadsheets/d/1Uw7-A9f9R21vMXxHZFNpYNeKFtG8_yji4HS352LGlSQ/edit?pli=1#gid=0"",""1_ACUM!A4:S""),14,FALSE))"),"")</f>
        <v/>
      </c>
      <c r="BB358" s="43" t="str">
        <f ca="1">IFERROR(__xludf.DUMMYFUNCTION("IFERROR(VLOOKUP(E624&amp;F624,IMPORTRANGE(""https://docs.google.com/spreadsheets/d/1Uw7-A9f9R21vMXxHZFNpYNeKFtG8_yji4HS352LGlSQ/edit?pli=1#gid=0"",""1_ACUM!A4:S""),15,FALSE))"),"")</f>
        <v/>
      </c>
      <c r="BC358" s="43" t="str">
        <f ca="1">IFERROR(__xludf.DUMMYFUNCTION("IFERROR(VLOOKUP(E624&amp;F624,IMPORTRANGE(""https://docs.google.com/spreadsheets/d/1Uw7-A9f9R21vMXxHZFNpYNeKFtG8_yji4HS352LGlSQ/edit?pli=1#gid=0"",""1_ACUM!A4:S""),16,FALSE))"),"")</f>
        <v/>
      </c>
      <c r="BD358" s="43" t="str">
        <f ca="1">IFERROR(__xludf.DUMMYFUNCTION("IFERROR(VLOOKUP(E624&amp;F624,IMPORTRANGE(""https://docs.google.com/spreadsheets/d/1Uw7-A9f9R21vMXxHZFNpYNeKFtG8_yji4HS352LGlSQ/edit?pli=1#gid=0"",""1_ACUM!A4:S""),17,FALSE))"),"")</f>
        <v/>
      </c>
      <c r="BE358" s="44" t="str">
        <f ca="1">IFERROR(__xludf.DUMMYFUNCTION("IFERROR(VLOOKUP(E624&amp;F624,IMPORTRANGE(""https://docs.google.com/spreadsheets/d/1Uw7-A9f9R21vMXxHZFNpYNeKFtG8_yji4HS352LGlSQ/edit?pli=1#gid=0"",""1_ACUM!A4:S""),18,FALSE))"),"")</f>
        <v/>
      </c>
      <c r="BF358" s="44" t="str">
        <f ca="1">IFERROR(__xludf.DUMMYFUNCTION("IFERROR(VLOOKUP(E624&amp;F624,IMPORTRANGE(""https://docs.google.com/spreadsheets/d/1Uw7-A9f9R21vMXxHZFNpYNeKFtG8_yji4HS352LGlSQ/edit?pli=1#gid=0"",""1_ACUM!A4:S""),19,FALSE))"),"")</f>
        <v/>
      </c>
      <c r="BG358" s="98" t="str">
        <f ca="1">IFERROR(__xludf.DUMMYFUNCTION("IFERROR(VLOOKUP(F624,IMPORTRANGE(""https://docs.google.com/spreadsheets/d/1Kvs4KS76FHFqLFIZfrDMff4kP08nblUkihrxltoGBjg/edit#gid=934712705"",""ESENCIAL!A6:BG""),5,FALSE))"),"")</f>
        <v/>
      </c>
      <c r="BH358" s="98" t="str">
        <f t="shared" si="21"/>
        <v/>
      </c>
      <c r="BI358" s="99" t="str">
        <f t="shared" si="22"/>
        <v/>
      </c>
      <c r="BJ358" s="100" t="str">
        <f ca="1">IFERROR(__xludf.DUMMYFUNCTION("IFERROR(VLOOKUP(F624,IMPORTRANGE(""https://docs.google.com/spreadsheets/d/1Kvs4KS76FHFqLFIZfrDMff4kP08nblUkihrxltoGBjg/edit#gid=934712705"",""ESENCIAL!A6:BG""),2,FALSE))"),"")</f>
        <v/>
      </c>
      <c r="BK358" s="19" t="str">
        <f t="shared" si="23"/>
        <v/>
      </c>
      <c r="BL358" s="100"/>
      <c r="BM358" s="100"/>
    </row>
    <row r="359" spans="2:65" ht="15">
      <c r="B359" s="39"/>
      <c r="C359" s="5"/>
      <c r="D359" s="123"/>
      <c r="E359" s="39"/>
      <c r="F359" s="39"/>
      <c r="G359" s="39"/>
      <c r="H359" s="5" t="str">
        <f ca="1">IFERROR(__xludf.DUMMYFUNCTION("IFERROR(VLOOKUP(F625,IMPORTRANGE(""https://docs.google.com/spreadsheets/d/1Kvs4KS76FHFqLFIZfrDMff4kP08nblUkihrxltoGBjg/edit#gid=934712705"",""ESENCIAL!A6:BG""),3,FALSE))"),"")</f>
        <v/>
      </c>
      <c r="I359" s="5" t="str">
        <f ca="1">IFERROR(__xludf.DUMMYFUNCTION("IFERROR(VLOOKUP(F625,IMPORTRANGE(""https://docs.google.com/spreadsheets/d/1Kvs4KS76FHFqLFIZfrDMff4kP08nblUkihrxltoGBjg/edit#gid=934712705"",""ESENCIAL!A6:BG""),8,FALSE))"),"")</f>
        <v/>
      </c>
      <c r="J359" s="39"/>
      <c r="M359" s="287"/>
      <c r="AV359" s="41" t="str">
        <f t="shared" si="20"/>
        <v/>
      </c>
      <c r="AW359" s="5" t="str">
        <f ca="1">IFERROR(__xludf.DUMMYFUNCTION("IFERROR(VLOOKUP(E625&amp;F625,IMPORTRANGE(""https://docs.google.com/spreadsheets/d/1Uw7-A9f9R21vMXxHZFNpYNeKFtG8_yji4HS352LGlSQ/edit?pli=1#gid=0"",""1_ACUM!A4:S""),11,FALSE))"),"")</f>
        <v/>
      </c>
      <c r="AX359" s="42" t="str">
        <f ca="1">IFERROR(__xludf.DUMMYFUNCTION("IFERROR(VLOOKUP(F625,IMPORTRANGE(""https://docs.google.com/spreadsheets/d/1Kvs4KS76FHFqLFIZfrDMff4kP08nblUkihrxltoGBjg/edit#gid=934712705"",""ESENCIAL!A6:BG""),15,FALSE))"),"")</f>
        <v/>
      </c>
      <c r="AY359" s="110" t="str">
        <f ca="1">IFERROR(__xludf.DUMMYFUNCTION("IFERROR(VLOOKUP(E625&amp;F625,IMPORTRANGE(""https://docs.google.com/spreadsheets/d/1Uw7-A9f9R21vMXxHZFNpYNeKFtG8_yji4HS352LGlSQ/edit?pli=1#gid=0"",""1_ACUM!A4:S""),13,FALSE))"),"")</f>
        <v/>
      </c>
      <c r="AZ359" s="43" t="str">
        <f ca="1">IFERROR(__xludf.DUMMYFUNCTION("IFERROR(VLOOKUP(E625&amp;F625,IMPORTRANGE(""https://docs.google.com/spreadsheets/d/1Uw7-A9f9R21vMXxHZFNpYNeKFtG8_yji4HS352LGlSQ/edit?pli=1#gid=0"",""1_ACUM!A4:S""),13,FALSE))"),"")</f>
        <v/>
      </c>
      <c r="BA359" s="43" t="str">
        <f ca="1">IFERROR(__xludf.DUMMYFUNCTION("IFERROR(VLOOKUP(E625&amp;F625,IMPORTRANGE(""https://docs.google.com/spreadsheets/d/1Uw7-A9f9R21vMXxHZFNpYNeKFtG8_yji4HS352LGlSQ/edit?pli=1#gid=0"",""1_ACUM!A4:S""),14,FALSE))"),"")</f>
        <v/>
      </c>
      <c r="BB359" s="43" t="str">
        <f ca="1">IFERROR(__xludf.DUMMYFUNCTION("IFERROR(VLOOKUP(E625&amp;F625,IMPORTRANGE(""https://docs.google.com/spreadsheets/d/1Uw7-A9f9R21vMXxHZFNpYNeKFtG8_yji4HS352LGlSQ/edit?pli=1#gid=0"",""1_ACUM!A4:S""),15,FALSE))"),"")</f>
        <v/>
      </c>
      <c r="BC359" s="43" t="str">
        <f ca="1">IFERROR(__xludf.DUMMYFUNCTION("IFERROR(VLOOKUP(E625&amp;F625,IMPORTRANGE(""https://docs.google.com/spreadsheets/d/1Uw7-A9f9R21vMXxHZFNpYNeKFtG8_yji4HS352LGlSQ/edit?pli=1#gid=0"",""1_ACUM!A4:S""),16,FALSE))"),"")</f>
        <v/>
      </c>
      <c r="BD359" s="43" t="str">
        <f ca="1">IFERROR(__xludf.DUMMYFUNCTION("IFERROR(VLOOKUP(E625&amp;F625,IMPORTRANGE(""https://docs.google.com/spreadsheets/d/1Uw7-A9f9R21vMXxHZFNpYNeKFtG8_yji4HS352LGlSQ/edit?pli=1#gid=0"",""1_ACUM!A4:S""),17,FALSE))"),"")</f>
        <v/>
      </c>
      <c r="BE359" s="44" t="str">
        <f ca="1">IFERROR(__xludf.DUMMYFUNCTION("IFERROR(VLOOKUP(E625&amp;F625,IMPORTRANGE(""https://docs.google.com/spreadsheets/d/1Uw7-A9f9R21vMXxHZFNpYNeKFtG8_yji4HS352LGlSQ/edit?pli=1#gid=0"",""1_ACUM!A4:S""),18,FALSE))"),"")</f>
        <v/>
      </c>
      <c r="BF359" s="44" t="str">
        <f ca="1">IFERROR(__xludf.DUMMYFUNCTION("IFERROR(VLOOKUP(E625&amp;F625,IMPORTRANGE(""https://docs.google.com/spreadsheets/d/1Uw7-A9f9R21vMXxHZFNpYNeKFtG8_yji4HS352LGlSQ/edit?pli=1#gid=0"",""1_ACUM!A4:S""),19,FALSE))"),"")</f>
        <v/>
      </c>
      <c r="BG359" s="98" t="str">
        <f ca="1">IFERROR(__xludf.DUMMYFUNCTION("IFERROR(VLOOKUP(F625,IMPORTRANGE(""https://docs.google.com/spreadsheets/d/1Kvs4KS76FHFqLFIZfrDMff4kP08nblUkihrxltoGBjg/edit#gid=934712705"",""ESENCIAL!A6:BG""),5,FALSE))"),"")</f>
        <v/>
      </c>
      <c r="BH359" s="98" t="str">
        <f t="shared" si="21"/>
        <v/>
      </c>
      <c r="BI359" s="99" t="str">
        <f t="shared" si="22"/>
        <v/>
      </c>
      <c r="BJ359" s="100" t="str">
        <f ca="1">IFERROR(__xludf.DUMMYFUNCTION("IFERROR(VLOOKUP(F625,IMPORTRANGE(""https://docs.google.com/spreadsheets/d/1Kvs4KS76FHFqLFIZfrDMff4kP08nblUkihrxltoGBjg/edit#gid=934712705"",""ESENCIAL!A6:BG""),2,FALSE))"),"")</f>
        <v/>
      </c>
      <c r="BK359" s="19" t="str">
        <f t="shared" si="23"/>
        <v/>
      </c>
      <c r="BL359" s="100"/>
      <c r="BM359" s="100"/>
    </row>
    <row r="360" spans="2:65" ht="15">
      <c r="B360" s="39"/>
      <c r="C360" s="5"/>
      <c r="D360" s="123"/>
      <c r="E360" s="39"/>
      <c r="F360" s="39"/>
      <c r="G360" s="39"/>
      <c r="H360" s="5" t="str">
        <f ca="1">IFERROR(__xludf.DUMMYFUNCTION("IFERROR(VLOOKUP(F626,IMPORTRANGE(""https://docs.google.com/spreadsheets/d/1Kvs4KS76FHFqLFIZfrDMff4kP08nblUkihrxltoGBjg/edit#gid=934712705"",""ESENCIAL!A6:BG""),3,FALSE))"),"")</f>
        <v/>
      </c>
      <c r="I360" s="5" t="str">
        <f ca="1">IFERROR(__xludf.DUMMYFUNCTION("IFERROR(VLOOKUP(F626,IMPORTRANGE(""https://docs.google.com/spreadsheets/d/1Kvs4KS76FHFqLFIZfrDMff4kP08nblUkihrxltoGBjg/edit#gid=934712705"",""ESENCIAL!A6:BG""),8,FALSE))"),"")</f>
        <v/>
      </c>
      <c r="J360" s="39"/>
      <c r="M360" s="287"/>
      <c r="AV360" s="41" t="str">
        <f t="shared" si="20"/>
        <v/>
      </c>
      <c r="AW360" s="5" t="str">
        <f ca="1">IFERROR(__xludf.DUMMYFUNCTION("IFERROR(VLOOKUP(E626&amp;F626,IMPORTRANGE(""https://docs.google.com/spreadsheets/d/1Uw7-A9f9R21vMXxHZFNpYNeKFtG8_yji4HS352LGlSQ/edit?pli=1#gid=0"",""1_ACUM!A4:S""),11,FALSE))"),"")</f>
        <v/>
      </c>
      <c r="AX360" s="42" t="str">
        <f ca="1">IFERROR(__xludf.DUMMYFUNCTION("IFERROR(VLOOKUP(F626,IMPORTRANGE(""https://docs.google.com/spreadsheets/d/1Kvs4KS76FHFqLFIZfrDMff4kP08nblUkihrxltoGBjg/edit#gid=934712705"",""ESENCIAL!A6:BG""),15,FALSE))"),"")</f>
        <v/>
      </c>
      <c r="AY360" s="110" t="str">
        <f ca="1">IFERROR(__xludf.DUMMYFUNCTION("IFERROR(VLOOKUP(E626&amp;F626,IMPORTRANGE(""https://docs.google.com/spreadsheets/d/1Uw7-A9f9R21vMXxHZFNpYNeKFtG8_yji4HS352LGlSQ/edit?pli=1#gid=0"",""1_ACUM!A4:S""),13,FALSE))"),"")</f>
        <v/>
      </c>
      <c r="AZ360" s="43" t="str">
        <f ca="1">IFERROR(__xludf.DUMMYFUNCTION("IFERROR(VLOOKUP(E626&amp;F626,IMPORTRANGE(""https://docs.google.com/spreadsheets/d/1Uw7-A9f9R21vMXxHZFNpYNeKFtG8_yji4HS352LGlSQ/edit?pli=1#gid=0"",""1_ACUM!A4:S""),13,FALSE))"),"")</f>
        <v/>
      </c>
      <c r="BA360" s="43" t="str">
        <f ca="1">IFERROR(__xludf.DUMMYFUNCTION("IFERROR(VLOOKUP(E626&amp;F626,IMPORTRANGE(""https://docs.google.com/spreadsheets/d/1Uw7-A9f9R21vMXxHZFNpYNeKFtG8_yji4HS352LGlSQ/edit?pli=1#gid=0"",""1_ACUM!A4:S""),14,FALSE))"),"")</f>
        <v/>
      </c>
      <c r="BB360" s="43" t="str">
        <f ca="1">IFERROR(__xludf.DUMMYFUNCTION("IFERROR(VLOOKUP(E626&amp;F626,IMPORTRANGE(""https://docs.google.com/spreadsheets/d/1Uw7-A9f9R21vMXxHZFNpYNeKFtG8_yji4HS352LGlSQ/edit?pli=1#gid=0"",""1_ACUM!A4:S""),15,FALSE))"),"")</f>
        <v/>
      </c>
      <c r="BC360" s="43" t="str">
        <f ca="1">IFERROR(__xludf.DUMMYFUNCTION("IFERROR(VLOOKUP(E626&amp;F626,IMPORTRANGE(""https://docs.google.com/spreadsheets/d/1Uw7-A9f9R21vMXxHZFNpYNeKFtG8_yji4HS352LGlSQ/edit?pli=1#gid=0"",""1_ACUM!A4:S""),16,FALSE))"),"")</f>
        <v/>
      </c>
      <c r="BD360" s="43" t="str">
        <f ca="1">IFERROR(__xludf.DUMMYFUNCTION("IFERROR(VLOOKUP(E626&amp;F626,IMPORTRANGE(""https://docs.google.com/spreadsheets/d/1Uw7-A9f9R21vMXxHZFNpYNeKFtG8_yji4HS352LGlSQ/edit?pli=1#gid=0"",""1_ACUM!A4:S""),17,FALSE))"),"")</f>
        <v/>
      </c>
      <c r="BE360" s="44" t="str">
        <f ca="1">IFERROR(__xludf.DUMMYFUNCTION("IFERROR(VLOOKUP(E626&amp;F626,IMPORTRANGE(""https://docs.google.com/spreadsheets/d/1Uw7-A9f9R21vMXxHZFNpYNeKFtG8_yji4HS352LGlSQ/edit?pli=1#gid=0"",""1_ACUM!A4:S""),18,FALSE))"),"")</f>
        <v/>
      </c>
      <c r="BF360" s="44" t="str">
        <f ca="1">IFERROR(__xludf.DUMMYFUNCTION("IFERROR(VLOOKUP(E626&amp;F626,IMPORTRANGE(""https://docs.google.com/spreadsheets/d/1Uw7-A9f9R21vMXxHZFNpYNeKFtG8_yji4HS352LGlSQ/edit?pli=1#gid=0"",""1_ACUM!A4:S""),19,FALSE))"),"")</f>
        <v/>
      </c>
      <c r="BG360" s="98" t="str">
        <f ca="1">IFERROR(__xludf.DUMMYFUNCTION("IFERROR(VLOOKUP(F626,IMPORTRANGE(""https://docs.google.com/spreadsheets/d/1Kvs4KS76FHFqLFIZfrDMff4kP08nblUkihrxltoGBjg/edit#gid=934712705"",""ESENCIAL!A6:BG""),5,FALSE))"),"")</f>
        <v/>
      </c>
      <c r="BH360" s="98" t="str">
        <f t="shared" si="21"/>
        <v/>
      </c>
      <c r="BI360" s="99" t="str">
        <f t="shared" si="22"/>
        <v/>
      </c>
      <c r="BJ360" s="100" t="str">
        <f ca="1">IFERROR(__xludf.DUMMYFUNCTION("IFERROR(VLOOKUP(F626,IMPORTRANGE(""https://docs.google.com/spreadsheets/d/1Kvs4KS76FHFqLFIZfrDMff4kP08nblUkihrxltoGBjg/edit#gid=934712705"",""ESENCIAL!A6:BG""),2,FALSE))"),"")</f>
        <v/>
      </c>
      <c r="BK360" s="19" t="str">
        <f t="shared" si="23"/>
        <v/>
      </c>
      <c r="BL360" s="100"/>
      <c r="BM360" s="100"/>
    </row>
    <row r="361" spans="2:65" ht="15">
      <c r="B361" s="39"/>
      <c r="C361" s="5"/>
      <c r="D361" s="123"/>
      <c r="E361" s="39"/>
      <c r="F361" s="39"/>
      <c r="G361" s="39"/>
      <c r="H361" s="5" t="str">
        <f ca="1">IFERROR(__xludf.DUMMYFUNCTION("IFERROR(VLOOKUP(F627,IMPORTRANGE(""https://docs.google.com/spreadsheets/d/1Kvs4KS76FHFqLFIZfrDMff4kP08nblUkihrxltoGBjg/edit#gid=934712705"",""ESENCIAL!A6:BG""),3,FALSE))"),"")</f>
        <v/>
      </c>
      <c r="I361" s="5" t="str">
        <f ca="1">IFERROR(__xludf.DUMMYFUNCTION("IFERROR(VLOOKUP(F627,IMPORTRANGE(""https://docs.google.com/spreadsheets/d/1Kvs4KS76FHFqLFIZfrDMff4kP08nblUkihrxltoGBjg/edit#gid=934712705"",""ESENCIAL!A6:BG""),8,FALSE))"),"")</f>
        <v/>
      </c>
      <c r="J361" s="39"/>
      <c r="M361" s="287"/>
      <c r="AV361" s="41" t="str">
        <f t="shared" si="20"/>
        <v/>
      </c>
      <c r="AW361" s="5" t="str">
        <f ca="1">IFERROR(__xludf.DUMMYFUNCTION("IFERROR(VLOOKUP(E627&amp;F627,IMPORTRANGE(""https://docs.google.com/spreadsheets/d/1Uw7-A9f9R21vMXxHZFNpYNeKFtG8_yji4HS352LGlSQ/edit?pli=1#gid=0"",""1_ACUM!A4:S""),11,FALSE))"),"")</f>
        <v/>
      </c>
      <c r="AX361" s="42" t="str">
        <f ca="1">IFERROR(__xludf.DUMMYFUNCTION("IFERROR(VLOOKUP(F627,IMPORTRANGE(""https://docs.google.com/spreadsheets/d/1Kvs4KS76FHFqLFIZfrDMff4kP08nblUkihrxltoGBjg/edit#gid=934712705"",""ESENCIAL!A6:BG""),15,FALSE))"),"")</f>
        <v/>
      </c>
      <c r="AY361" s="110" t="str">
        <f ca="1">IFERROR(__xludf.DUMMYFUNCTION("IFERROR(VLOOKUP(E627&amp;F627,IMPORTRANGE(""https://docs.google.com/spreadsheets/d/1Uw7-A9f9R21vMXxHZFNpYNeKFtG8_yji4HS352LGlSQ/edit?pli=1#gid=0"",""1_ACUM!A4:S""),13,FALSE))"),"")</f>
        <v/>
      </c>
      <c r="AZ361" s="43" t="str">
        <f ca="1">IFERROR(__xludf.DUMMYFUNCTION("IFERROR(VLOOKUP(E627&amp;F627,IMPORTRANGE(""https://docs.google.com/spreadsheets/d/1Uw7-A9f9R21vMXxHZFNpYNeKFtG8_yji4HS352LGlSQ/edit?pli=1#gid=0"",""1_ACUM!A4:S""),13,FALSE))"),"")</f>
        <v/>
      </c>
      <c r="BA361" s="43" t="str">
        <f ca="1">IFERROR(__xludf.DUMMYFUNCTION("IFERROR(VLOOKUP(E627&amp;F627,IMPORTRANGE(""https://docs.google.com/spreadsheets/d/1Uw7-A9f9R21vMXxHZFNpYNeKFtG8_yji4HS352LGlSQ/edit?pli=1#gid=0"",""1_ACUM!A4:S""),14,FALSE))"),"")</f>
        <v/>
      </c>
      <c r="BB361" s="43" t="str">
        <f ca="1">IFERROR(__xludf.DUMMYFUNCTION("IFERROR(VLOOKUP(E627&amp;F627,IMPORTRANGE(""https://docs.google.com/spreadsheets/d/1Uw7-A9f9R21vMXxHZFNpYNeKFtG8_yji4HS352LGlSQ/edit?pli=1#gid=0"",""1_ACUM!A4:S""),15,FALSE))"),"")</f>
        <v/>
      </c>
      <c r="BC361" s="43" t="str">
        <f ca="1">IFERROR(__xludf.DUMMYFUNCTION("IFERROR(VLOOKUP(E627&amp;F627,IMPORTRANGE(""https://docs.google.com/spreadsheets/d/1Uw7-A9f9R21vMXxHZFNpYNeKFtG8_yji4HS352LGlSQ/edit?pli=1#gid=0"",""1_ACUM!A4:S""),16,FALSE))"),"")</f>
        <v/>
      </c>
      <c r="BD361" s="43" t="str">
        <f ca="1">IFERROR(__xludf.DUMMYFUNCTION("IFERROR(VLOOKUP(E627&amp;F627,IMPORTRANGE(""https://docs.google.com/spreadsheets/d/1Uw7-A9f9R21vMXxHZFNpYNeKFtG8_yji4HS352LGlSQ/edit?pli=1#gid=0"",""1_ACUM!A4:S""),17,FALSE))"),"")</f>
        <v/>
      </c>
      <c r="BE361" s="44" t="str">
        <f ca="1">IFERROR(__xludf.DUMMYFUNCTION("IFERROR(VLOOKUP(E627&amp;F627,IMPORTRANGE(""https://docs.google.com/spreadsheets/d/1Uw7-A9f9R21vMXxHZFNpYNeKFtG8_yji4HS352LGlSQ/edit?pli=1#gid=0"",""1_ACUM!A4:S""),18,FALSE))"),"")</f>
        <v/>
      </c>
      <c r="BF361" s="44" t="str">
        <f ca="1">IFERROR(__xludf.DUMMYFUNCTION("IFERROR(VLOOKUP(E627&amp;F627,IMPORTRANGE(""https://docs.google.com/spreadsheets/d/1Uw7-A9f9R21vMXxHZFNpYNeKFtG8_yji4HS352LGlSQ/edit?pli=1#gid=0"",""1_ACUM!A4:S""),19,FALSE))"),"")</f>
        <v/>
      </c>
      <c r="BG361" s="98" t="str">
        <f ca="1">IFERROR(__xludf.DUMMYFUNCTION("IFERROR(VLOOKUP(F627,IMPORTRANGE(""https://docs.google.com/spreadsheets/d/1Kvs4KS76FHFqLFIZfrDMff4kP08nblUkihrxltoGBjg/edit#gid=934712705"",""ESENCIAL!A6:BG""),5,FALSE))"),"")</f>
        <v/>
      </c>
      <c r="BH361" s="98" t="str">
        <f t="shared" si="21"/>
        <v/>
      </c>
      <c r="BI361" s="99" t="str">
        <f t="shared" si="22"/>
        <v/>
      </c>
      <c r="BJ361" s="100" t="str">
        <f ca="1">IFERROR(__xludf.DUMMYFUNCTION("IFERROR(VLOOKUP(F627,IMPORTRANGE(""https://docs.google.com/spreadsheets/d/1Kvs4KS76FHFqLFIZfrDMff4kP08nblUkihrxltoGBjg/edit#gid=934712705"",""ESENCIAL!A6:BG""),2,FALSE))"),"")</f>
        <v/>
      </c>
      <c r="BK361" s="19" t="str">
        <f t="shared" si="23"/>
        <v/>
      </c>
      <c r="BL361" s="100"/>
      <c r="BM361" s="100"/>
    </row>
    <row r="362" spans="2:65" ht="15">
      <c r="B362" s="39"/>
      <c r="C362" s="5"/>
      <c r="D362" s="123"/>
      <c r="E362" s="39"/>
      <c r="F362" s="39"/>
      <c r="G362" s="39"/>
      <c r="H362" s="5" t="str">
        <f ca="1">IFERROR(__xludf.DUMMYFUNCTION("IFERROR(VLOOKUP(F628,IMPORTRANGE(""https://docs.google.com/spreadsheets/d/1Kvs4KS76FHFqLFIZfrDMff4kP08nblUkihrxltoGBjg/edit#gid=934712705"",""ESENCIAL!A6:BG""),3,FALSE))"),"")</f>
        <v/>
      </c>
      <c r="I362" s="5" t="str">
        <f ca="1">IFERROR(__xludf.DUMMYFUNCTION("IFERROR(VLOOKUP(F628,IMPORTRANGE(""https://docs.google.com/spreadsheets/d/1Kvs4KS76FHFqLFIZfrDMff4kP08nblUkihrxltoGBjg/edit#gid=934712705"",""ESENCIAL!A6:BG""),8,FALSE))"),"")</f>
        <v/>
      </c>
      <c r="J362" s="39"/>
      <c r="M362" s="287"/>
      <c r="AV362" s="41" t="str">
        <f t="shared" si="20"/>
        <v/>
      </c>
      <c r="AW362" s="5" t="str">
        <f ca="1">IFERROR(__xludf.DUMMYFUNCTION("IFERROR(VLOOKUP(E628&amp;F628,IMPORTRANGE(""https://docs.google.com/spreadsheets/d/1Uw7-A9f9R21vMXxHZFNpYNeKFtG8_yji4HS352LGlSQ/edit?pli=1#gid=0"",""1_ACUM!A4:S""),11,FALSE))"),"")</f>
        <v/>
      </c>
      <c r="AX362" s="42" t="str">
        <f ca="1">IFERROR(__xludf.DUMMYFUNCTION("IFERROR(VLOOKUP(F628,IMPORTRANGE(""https://docs.google.com/spreadsheets/d/1Kvs4KS76FHFqLFIZfrDMff4kP08nblUkihrxltoGBjg/edit#gid=934712705"",""ESENCIAL!A6:BG""),15,FALSE))"),"")</f>
        <v/>
      </c>
      <c r="AY362" s="110" t="str">
        <f ca="1">IFERROR(__xludf.DUMMYFUNCTION("IFERROR(VLOOKUP(E628&amp;F628,IMPORTRANGE(""https://docs.google.com/spreadsheets/d/1Uw7-A9f9R21vMXxHZFNpYNeKFtG8_yji4HS352LGlSQ/edit?pli=1#gid=0"",""1_ACUM!A4:S""),13,FALSE))"),"")</f>
        <v/>
      </c>
      <c r="AZ362" s="43" t="str">
        <f ca="1">IFERROR(__xludf.DUMMYFUNCTION("IFERROR(VLOOKUP(E628&amp;F628,IMPORTRANGE(""https://docs.google.com/spreadsheets/d/1Uw7-A9f9R21vMXxHZFNpYNeKFtG8_yji4HS352LGlSQ/edit?pli=1#gid=0"",""1_ACUM!A4:S""),13,FALSE))"),"")</f>
        <v/>
      </c>
      <c r="BA362" s="43" t="str">
        <f ca="1">IFERROR(__xludf.DUMMYFUNCTION("IFERROR(VLOOKUP(E628&amp;F628,IMPORTRANGE(""https://docs.google.com/spreadsheets/d/1Uw7-A9f9R21vMXxHZFNpYNeKFtG8_yji4HS352LGlSQ/edit?pli=1#gid=0"",""1_ACUM!A4:S""),14,FALSE))"),"")</f>
        <v/>
      </c>
      <c r="BB362" s="43" t="str">
        <f ca="1">IFERROR(__xludf.DUMMYFUNCTION("IFERROR(VLOOKUP(E628&amp;F628,IMPORTRANGE(""https://docs.google.com/spreadsheets/d/1Uw7-A9f9R21vMXxHZFNpYNeKFtG8_yji4HS352LGlSQ/edit?pli=1#gid=0"",""1_ACUM!A4:S""),15,FALSE))"),"")</f>
        <v/>
      </c>
      <c r="BC362" s="43" t="str">
        <f ca="1">IFERROR(__xludf.DUMMYFUNCTION("IFERROR(VLOOKUP(E628&amp;F628,IMPORTRANGE(""https://docs.google.com/spreadsheets/d/1Uw7-A9f9R21vMXxHZFNpYNeKFtG8_yji4HS352LGlSQ/edit?pli=1#gid=0"",""1_ACUM!A4:S""),16,FALSE))"),"")</f>
        <v/>
      </c>
      <c r="BD362" s="43" t="str">
        <f ca="1">IFERROR(__xludf.DUMMYFUNCTION("IFERROR(VLOOKUP(E628&amp;F628,IMPORTRANGE(""https://docs.google.com/spreadsheets/d/1Uw7-A9f9R21vMXxHZFNpYNeKFtG8_yji4HS352LGlSQ/edit?pli=1#gid=0"",""1_ACUM!A4:S""),17,FALSE))"),"")</f>
        <v/>
      </c>
      <c r="BE362" s="44" t="str">
        <f ca="1">IFERROR(__xludf.DUMMYFUNCTION("IFERROR(VLOOKUP(E628&amp;F628,IMPORTRANGE(""https://docs.google.com/spreadsheets/d/1Uw7-A9f9R21vMXxHZFNpYNeKFtG8_yji4HS352LGlSQ/edit?pli=1#gid=0"",""1_ACUM!A4:S""),18,FALSE))"),"")</f>
        <v/>
      </c>
      <c r="BF362" s="44" t="str">
        <f ca="1">IFERROR(__xludf.DUMMYFUNCTION("IFERROR(VLOOKUP(E628&amp;F628,IMPORTRANGE(""https://docs.google.com/spreadsheets/d/1Uw7-A9f9R21vMXxHZFNpYNeKFtG8_yji4HS352LGlSQ/edit?pli=1#gid=0"",""1_ACUM!A4:S""),19,FALSE))"),"")</f>
        <v/>
      </c>
      <c r="BG362" s="98" t="str">
        <f ca="1">IFERROR(__xludf.DUMMYFUNCTION("IFERROR(VLOOKUP(F628,IMPORTRANGE(""https://docs.google.com/spreadsheets/d/1Kvs4KS76FHFqLFIZfrDMff4kP08nblUkihrxltoGBjg/edit#gid=934712705"",""ESENCIAL!A6:BG""),5,FALSE))"),"")</f>
        <v/>
      </c>
      <c r="BH362" s="98" t="str">
        <f t="shared" si="21"/>
        <v/>
      </c>
      <c r="BI362" s="99" t="str">
        <f t="shared" si="22"/>
        <v/>
      </c>
      <c r="BJ362" s="100" t="str">
        <f ca="1">IFERROR(__xludf.DUMMYFUNCTION("IFERROR(VLOOKUP(F628,IMPORTRANGE(""https://docs.google.com/spreadsheets/d/1Kvs4KS76FHFqLFIZfrDMff4kP08nblUkihrxltoGBjg/edit#gid=934712705"",""ESENCIAL!A6:BG""),2,FALSE))"),"")</f>
        <v/>
      </c>
      <c r="BK362" s="19" t="str">
        <f t="shared" si="23"/>
        <v/>
      </c>
      <c r="BL362" s="100"/>
      <c r="BM362" s="100"/>
    </row>
    <row r="363" spans="2:65" ht="15">
      <c r="B363" s="39"/>
      <c r="C363" s="5"/>
      <c r="D363" s="123"/>
      <c r="E363" s="39"/>
      <c r="F363" s="39"/>
      <c r="G363" s="39"/>
      <c r="H363" s="5" t="str">
        <f ca="1">IFERROR(__xludf.DUMMYFUNCTION("IFERROR(VLOOKUP(F629,IMPORTRANGE(""https://docs.google.com/spreadsheets/d/1Kvs4KS76FHFqLFIZfrDMff4kP08nblUkihrxltoGBjg/edit#gid=934712705"",""ESENCIAL!A6:BG""),3,FALSE))"),"")</f>
        <v/>
      </c>
      <c r="I363" s="5" t="str">
        <f ca="1">IFERROR(__xludf.DUMMYFUNCTION("IFERROR(VLOOKUP(F629,IMPORTRANGE(""https://docs.google.com/spreadsheets/d/1Kvs4KS76FHFqLFIZfrDMff4kP08nblUkihrxltoGBjg/edit#gid=934712705"",""ESENCIAL!A6:BG""),8,FALSE))"),"")</f>
        <v/>
      </c>
      <c r="J363" s="39"/>
      <c r="M363" s="287"/>
      <c r="AV363" s="41" t="str">
        <f t="shared" si="20"/>
        <v/>
      </c>
      <c r="AW363" s="5" t="str">
        <f ca="1">IFERROR(__xludf.DUMMYFUNCTION("IFERROR(VLOOKUP(E629&amp;F629,IMPORTRANGE(""https://docs.google.com/spreadsheets/d/1Uw7-A9f9R21vMXxHZFNpYNeKFtG8_yji4HS352LGlSQ/edit?pli=1#gid=0"",""1_ACUM!A4:S""),11,FALSE))"),"")</f>
        <v/>
      </c>
      <c r="AX363" s="42" t="str">
        <f ca="1">IFERROR(__xludf.DUMMYFUNCTION("IFERROR(VLOOKUP(F629,IMPORTRANGE(""https://docs.google.com/spreadsheets/d/1Kvs4KS76FHFqLFIZfrDMff4kP08nblUkihrxltoGBjg/edit#gid=934712705"",""ESENCIAL!A6:BG""),15,FALSE))"),"")</f>
        <v/>
      </c>
      <c r="AY363" s="110" t="str">
        <f ca="1">IFERROR(__xludf.DUMMYFUNCTION("IFERROR(VLOOKUP(E629&amp;F629,IMPORTRANGE(""https://docs.google.com/spreadsheets/d/1Uw7-A9f9R21vMXxHZFNpYNeKFtG8_yji4HS352LGlSQ/edit?pli=1#gid=0"",""1_ACUM!A4:S""),13,FALSE))"),"")</f>
        <v/>
      </c>
      <c r="AZ363" s="43" t="str">
        <f ca="1">IFERROR(__xludf.DUMMYFUNCTION("IFERROR(VLOOKUP(E629&amp;F629,IMPORTRANGE(""https://docs.google.com/spreadsheets/d/1Uw7-A9f9R21vMXxHZFNpYNeKFtG8_yji4HS352LGlSQ/edit?pli=1#gid=0"",""1_ACUM!A4:S""),13,FALSE))"),"")</f>
        <v/>
      </c>
      <c r="BA363" s="43" t="str">
        <f ca="1">IFERROR(__xludf.DUMMYFUNCTION("IFERROR(VLOOKUP(E629&amp;F629,IMPORTRANGE(""https://docs.google.com/spreadsheets/d/1Uw7-A9f9R21vMXxHZFNpYNeKFtG8_yji4HS352LGlSQ/edit?pli=1#gid=0"",""1_ACUM!A4:S""),14,FALSE))"),"")</f>
        <v/>
      </c>
      <c r="BB363" s="43" t="str">
        <f ca="1">IFERROR(__xludf.DUMMYFUNCTION("IFERROR(VLOOKUP(E629&amp;F629,IMPORTRANGE(""https://docs.google.com/spreadsheets/d/1Uw7-A9f9R21vMXxHZFNpYNeKFtG8_yji4HS352LGlSQ/edit?pli=1#gid=0"",""1_ACUM!A4:S""),15,FALSE))"),"")</f>
        <v/>
      </c>
      <c r="BC363" s="43" t="str">
        <f ca="1">IFERROR(__xludf.DUMMYFUNCTION("IFERROR(VLOOKUP(E629&amp;F629,IMPORTRANGE(""https://docs.google.com/spreadsheets/d/1Uw7-A9f9R21vMXxHZFNpYNeKFtG8_yji4HS352LGlSQ/edit?pli=1#gid=0"",""1_ACUM!A4:S""),16,FALSE))"),"")</f>
        <v/>
      </c>
      <c r="BD363" s="43" t="str">
        <f ca="1">IFERROR(__xludf.DUMMYFUNCTION("IFERROR(VLOOKUP(E629&amp;F629,IMPORTRANGE(""https://docs.google.com/spreadsheets/d/1Uw7-A9f9R21vMXxHZFNpYNeKFtG8_yji4HS352LGlSQ/edit?pli=1#gid=0"",""1_ACUM!A4:S""),17,FALSE))"),"")</f>
        <v/>
      </c>
      <c r="BE363" s="44" t="str">
        <f ca="1">IFERROR(__xludf.DUMMYFUNCTION("IFERROR(VLOOKUP(E629&amp;F629,IMPORTRANGE(""https://docs.google.com/spreadsheets/d/1Uw7-A9f9R21vMXxHZFNpYNeKFtG8_yji4HS352LGlSQ/edit?pli=1#gid=0"",""1_ACUM!A4:S""),18,FALSE))"),"")</f>
        <v/>
      </c>
      <c r="BF363" s="44" t="str">
        <f ca="1">IFERROR(__xludf.DUMMYFUNCTION("IFERROR(VLOOKUP(E629&amp;F629,IMPORTRANGE(""https://docs.google.com/spreadsheets/d/1Uw7-A9f9R21vMXxHZFNpYNeKFtG8_yji4HS352LGlSQ/edit?pli=1#gid=0"",""1_ACUM!A4:S""),19,FALSE))"),"")</f>
        <v/>
      </c>
      <c r="BG363" s="98" t="str">
        <f ca="1">IFERROR(__xludf.DUMMYFUNCTION("IFERROR(VLOOKUP(F629,IMPORTRANGE(""https://docs.google.com/spreadsheets/d/1Kvs4KS76FHFqLFIZfrDMff4kP08nblUkihrxltoGBjg/edit#gid=934712705"",""ESENCIAL!A6:BG""),5,FALSE))"),"")</f>
        <v/>
      </c>
      <c r="BH363" s="98" t="str">
        <f t="shared" si="21"/>
        <v/>
      </c>
      <c r="BI363" s="99" t="str">
        <f t="shared" si="22"/>
        <v/>
      </c>
      <c r="BJ363" s="100" t="str">
        <f ca="1">IFERROR(__xludf.DUMMYFUNCTION("IFERROR(VLOOKUP(F629,IMPORTRANGE(""https://docs.google.com/spreadsheets/d/1Kvs4KS76FHFqLFIZfrDMff4kP08nblUkihrxltoGBjg/edit#gid=934712705"",""ESENCIAL!A6:BG""),2,FALSE))"),"")</f>
        <v/>
      </c>
      <c r="BK363" s="19" t="str">
        <f t="shared" si="23"/>
        <v/>
      </c>
      <c r="BL363" s="100"/>
      <c r="BM363" s="100"/>
    </row>
    <row r="364" spans="2:65" ht="15">
      <c r="B364" s="39"/>
      <c r="C364" s="5"/>
      <c r="D364" s="123"/>
      <c r="E364" s="39"/>
      <c r="F364" s="39"/>
      <c r="G364" s="39"/>
      <c r="H364" s="5" t="str">
        <f ca="1">IFERROR(__xludf.DUMMYFUNCTION("IFERROR(VLOOKUP(F630,IMPORTRANGE(""https://docs.google.com/spreadsheets/d/1Kvs4KS76FHFqLFIZfrDMff4kP08nblUkihrxltoGBjg/edit#gid=934712705"",""ESENCIAL!A6:BG""),3,FALSE))"),"")</f>
        <v/>
      </c>
      <c r="I364" s="5" t="str">
        <f ca="1">IFERROR(__xludf.DUMMYFUNCTION("IFERROR(VLOOKUP(F630,IMPORTRANGE(""https://docs.google.com/spreadsheets/d/1Kvs4KS76FHFqLFIZfrDMff4kP08nblUkihrxltoGBjg/edit#gid=934712705"",""ESENCIAL!A6:BG""),8,FALSE))"),"")</f>
        <v/>
      </c>
      <c r="J364" s="39"/>
      <c r="M364" s="287"/>
      <c r="AV364" s="41" t="str">
        <f t="shared" si="20"/>
        <v/>
      </c>
      <c r="AW364" s="5" t="str">
        <f ca="1">IFERROR(__xludf.DUMMYFUNCTION("IFERROR(VLOOKUP(E630&amp;F630,IMPORTRANGE(""https://docs.google.com/spreadsheets/d/1Uw7-A9f9R21vMXxHZFNpYNeKFtG8_yji4HS352LGlSQ/edit?pli=1#gid=0"",""1_ACUM!A4:S""),11,FALSE))"),"")</f>
        <v/>
      </c>
      <c r="AX364" s="42" t="str">
        <f ca="1">IFERROR(__xludf.DUMMYFUNCTION("IFERROR(VLOOKUP(F630,IMPORTRANGE(""https://docs.google.com/spreadsheets/d/1Kvs4KS76FHFqLFIZfrDMff4kP08nblUkihrxltoGBjg/edit#gid=934712705"",""ESENCIAL!A6:BG""),15,FALSE))"),"")</f>
        <v/>
      </c>
      <c r="AY364" s="110" t="str">
        <f ca="1">IFERROR(__xludf.DUMMYFUNCTION("IFERROR(VLOOKUP(E630&amp;F630,IMPORTRANGE(""https://docs.google.com/spreadsheets/d/1Uw7-A9f9R21vMXxHZFNpYNeKFtG8_yji4HS352LGlSQ/edit?pli=1#gid=0"",""1_ACUM!A4:S""),13,FALSE))"),"")</f>
        <v/>
      </c>
      <c r="AZ364" s="43" t="str">
        <f ca="1">IFERROR(__xludf.DUMMYFUNCTION("IFERROR(VLOOKUP(E630&amp;F630,IMPORTRANGE(""https://docs.google.com/spreadsheets/d/1Uw7-A9f9R21vMXxHZFNpYNeKFtG8_yji4HS352LGlSQ/edit?pli=1#gid=0"",""1_ACUM!A4:S""),13,FALSE))"),"")</f>
        <v/>
      </c>
      <c r="BA364" s="43" t="str">
        <f ca="1">IFERROR(__xludf.DUMMYFUNCTION("IFERROR(VLOOKUP(E630&amp;F630,IMPORTRANGE(""https://docs.google.com/spreadsheets/d/1Uw7-A9f9R21vMXxHZFNpYNeKFtG8_yji4HS352LGlSQ/edit?pli=1#gid=0"",""1_ACUM!A4:S""),14,FALSE))"),"")</f>
        <v/>
      </c>
      <c r="BB364" s="43" t="str">
        <f ca="1">IFERROR(__xludf.DUMMYFUNCTION("IFERROR(VLOOKUP(E630&amp;F630,IMPORTRANGE(""https://docs.google.com/spreadsheets/d/1Uw7-A9f9R21vMXxHZFNpYNeKFtG8_yji4HS352LGlSQ/edit?pli=1#gid=0"",""1_ACUM!A4:S""),15,FALSE))"),"")</f>
        <v/>
      </c>
      <c r="BC364" s="43" t="str">
        <f ca="1">IFERROR(__xludf.DUMMYFUNCTION("IFERROR(VLOOKUP(E630&amp;F630,IMPORTRANGE(""https://docs.google.com/spreadsheets/d/1Uw7-A9f9R21vMXxHZFNpYNeKFtG8_yji4HS352LGlSQ/edit?pli=1#gid=0"",""1_ACUM!A4:S""),16,FALSE))"),"")</f>
        <v/>
      </c>
      <c r="BD364" s="43" t="str">
        <f ca="1">IFERROR(__xludf.DUMMYFUNCTION("IFERROR(VLOOKUP(E630&amp;F630,IMPORTRANGE(""https://docs.google.com/spreadsheets/d/1Uw7-A9f9R21vMXxHZFNpYNeKFtG8_yji4HS352LGlSQ/edit?pli=1#gid=0"",""1_ACUM!A4:S""),17,FALSE))"),"")</f>
        <v/>
      </c>
      <c r="BE364" s="44" t="str">
        <f ca="1">IFERROR(__xludf.DUMMYFUNCTION("IFERROR(VLOOKUP(E630&amp;F630,IMPORTRANGE(""https://docs.google.com/spreadsheets/d/1Uw7-A9f9R21vMXxHZFNpYNeKFtG8_yji4HS352LGlSQ/edit?pli=1#gid=0"",""1_ACUM!A4:S""),18,FALSE))"),"")</f>
        <v/>
      </c>
      <c r="BF364" s="44" t="str">
        <f ca="1">IFERROR(__xludf.DUMMYFUNCTION("IFERROR(VLOOKUP(E630&amp;F630,IMPORTRANGE(""https://docs.google.com/spreadsheets/d/1Uw7-A9f9R21vMXxHZFNpYNeKFtG8_yji4HS352LGlSQ/edit?pli=1#gid=0"",""1_ACUM!A4:S""),19,FALSE))"),"")</f>
        <v/>
      </c>
      <c r="BG364" s="98" t="str">
        <f ca="1">IFERROR(__xludf.DUMMYFUNCTION("IFERROR(VLOOKUP(F630,IMPORTRANGE(""https://docs.google.com/spreadsheets/d/1Kvs4KS76FHFqLFIZfrDMff4kP08nblUkihrxltoGBjg/edit#gid=934712705"",""ESENCIAL!A6:BG""),5,FALSE))"),"")</f>
        <v/>
      </c>
      <c r="BH364" s="98" t="str">
        <f t="shared" si="21"/>
        <v/>
      </c>
      <c r="BI364" s="99" t="str">
        <f t="shared" si="22"/>
        <v/>
      </c>
      <c r="BJ364" s="100" t="str">
        <f ca="1">IFERROR(__xludf.DUMMYFUNCTION("IFERROR(VLOOKUP(F630,IMPORTRANGE(""https://docs.google.com/spreadsheets/d/1Kvs4KS76FHFqLFIZfrDMff4kP08nblUkihrxltoGBjg/edit#gid=934712705"",""ESENCIAL!A6:BG""),2,FALSE))"),"")</f>
        <v/>
      </c>
      <c r="BK364" s="19" t="str">
        <f t="shared" si="23"/>
        <v/>
      </c>
      <c r="BL364" s="100"/>
      <c r="BM364" s="100"/>
    </row>
    <row r="365" spans="2:65" ht="15">
      <c r="B365" s="39"/>
      <c r="C365" s="5"/>
      <c r="D365" s="123"/>
      <c r="E365" s="39"/>
      <c r="F365" s="39"/>
      <c r="G365" s="39"/>
      <c r="H365" s="5" t="str">
        <f ca="1">IFERROR(__xludf.DUMMYFUNCTION("IFERROR(VLOOKUP(F631,IMPORTRANGE(""https://docs.google.com/spreadsheets/d/1Kvs4KS76FHFqLFIZfrDMff4kP08nblUkihrxltoGBjg/edit#gid=934712705"",""ESENCIAL!A6:BG""),3,FALSE))"),"")</f>
        <v/>
      </c>
      <c r="I365" s="5" t="str">
        <f ca="1">IFERROR(__xludf.DUMMYFUNCTION("IFERROR(VLOOKUP(F631,IMPORTRANGE(""https://docs.google.com/spreadsheets/d/1Kvs4KS76FHFqLFIZfrDMff4kP08nblUkihrxltoGBjg/edit#gid=934712705"",""ESENCIAL!A6:BG""),8,FALSE))"),"")</f>
        <v/>
      </c>
      <c r="J365" s="39"/>
      <c r="M365" s="287"/>
      <c r="AV365" s="41" t="str">
        <f t="shared" si="20"/>
        <v/>
      </c>
      <c r="AW365" s="5" t="str">
        <f ca="1">IFERROR(__xludf.DUMMYFUNCTION("IFERROR(VLOOKUP(E631&amp;F631,IMPORTRANGE(""https://docs.google.com/spreadsheets/d/1Uw7-A9f9R21vMXxHZFNpYNeKFtG8_yji4HS352LGlSQ/edit?pli=1#gid=0"",""1_ACUM!A4:S""),11,FALSE))"),"")</f>
        <v/>
      </c>
      <c r="AX365" s="42" t="str">
        <f ca="1">IFERROR(__xludf.DUMMYFUNCTION("IFERROR(VLOOKUP(F631,IMPORTRANGE(""https://docs.google.com/spreadsheets/d/1Kvs4KS76FHFqLFIZfrDMff4kP08nblUkihrxltoGBjg/edit#gid=934712705"",""ESENCIAL!A6:BG""),15,FALSE))"),"")</f>
        <v/>
      </c>
      <c r="AY365" s="110" t="str">
        <f ca="1">IFERROR(__xludf.DUMMYFUNCTION("IFERROR(VLOOKUP(E631&amp;F631,IMPORTRANGE(""https://docs.google.com/spreadsheets/d/1Uw7-A9f9R21vMXxHZFNpYNeKFtG8_yji4HS352LGlSQ/edit?pli=1#gid=0"",""1_ACUM!A4:S""),13,FALSE))"),"")</f>
        <v/>
      </c>
      <c r="AZ365" s="43" t="str">
        <f ca="1">IFERROR(__xludf.DUMMYFUNCTION("IFERROR(VLOOKUP(E631&amp;F631,IMPORTRANGE(""https://docs.google.com/spreadsheets/d/1Uw7-A9f9R21vMXxHZFNpYNeKFtG8_yji4HS352LGlSQ/edit?pli=1#gid=0"",""1_ACUM!A4:S""),13,FALSE))"),"")</f>
        <v/>
      </c>
      <c r="BA365" s="43" t="str">
        <f ca="1">IFERROR(__xludf.DUMMYFUNCTION("IFERROR(VLOOKUP(E631&amp;F631,IMPORTRANGE(""https://docs.google.com/spreadsheets/d/1Uw7-A9f9R21vMXxHZFNpYNeKFtG8_yji4HS352LGlSQ/edit?pli=1#gid=0"",""1_ACUM!A4:S""),14,FALSE))"),"")</f>
        <v/>
      </c>
      <c r="BB365" s="43" t="str">
        <f ca="1">IFERROR(__xludf.DUMMYFUNCTION("IFERROR(VLOOKUP(E631&amp;F631,IMPORTRANGE(""https://docs.google.com/spreadsheets/d/1Uw7-A9f9R21vMXxHZFNpYNeKFtG8_yji4HS352LGlSQ/edit?pli=1#gid=0"",""1_ACUM!A4:S""),15,FALSE))"),"")</f>
        <v/>
      </c>
      <c r="BC365" s="43" t="str">
        <f ca="1">IFERROR(__xludf.DUMMYFUNCTION("IFERROR(VLOOKUP(E631&amp;F631,IMPORTRANGE(""https://docs.google.com/spreadsheets/d/1Uw7-A9f9R21vMXxHZFNpYNeKFtG8_yji4HS352LGlSQ/edit?pli=1#gid=0"",""1_ACUM!A4:S""),16,FALSE))"),"")</f>
        <v/>
      </c>
      <c r="BD365" s="43" t="str">
        <f ca="1">IFERROR(__xludf.DUMMYFUNCTION("IFERROR(VLOOKUP(E631&amp;F631,IMPORTRANGE(""https://docs.google.com/spreadsheets/d/1Uw7-A9f9R21vMXxHZFNpYNeKFtG8_yji4HS352LGlSQ/edit?pli=1#gid=0"",""1_ACUM!A4:S""),17,FALSE))"),"")</f>
        <v/>
      </c>
      <c r="BE365" s="44" t="str">
        <f ca="1">IFERROR(__xludf.DUMMYFUNCTION("IFERROR(VLOOKUP(E631&amp;F631,IMPORTRANGE(""https://docs.google.com/spreadsheets/d/1Uw7-A9f9R21vMXxHZFNpYNeKFtG8_yji4HS352LGlSQ/edit?pli=1#gid=0"",""1_ACUM!A4:S""),18,FALSE))"),"")</f>
        <v/>
      </c>
      <c r="BF365" s="44" t="str">
        <f ca="1">IFERROR(__xludf.DUMMYFUNCTION("IFERROR(VLOOKUP(E631&amp;F631,IMPORTRANGE(""https://docs.google.com/spreadsheets/d/1Uw7-A9f9R21vMXxHZFNpYNeKFtG8_yji4HS352LGlSQ/edit?pli=1#gid=0"",""1_ACUM!A4:S""),19,FALSE))"),"")</f>
        <v/>
      </c>
      <c r="BG365" s="98" t="str">
        <f ca="1">IFERROR(__xludf.DUMMYFUNCTION("IFERROR(VLOOKUP(F631,IMPORTRANGE(""https://docs.google.com/spreadsheets/d/1Kvs4KS76FHFqLFIZfrDMff4kP08nblUkihrxltoGBjg/edit#gid=934712705"",""ESENCIAL!A6:BG""),5,FALSE))"),"")</f>
        <v/>
      </c>
      <c r="BH365" s="98" t="str">
        <f t="shared" si="21"/>
        <v/>
      </c>
      <c r="BI365" s="99" t="str">
        <f t="shared" si="22"/>
        <v/>
      </c>
      <c r="BJ365" s="100" t="str">
        <f ca="1">IFERROR(__xludf.DUMMYFUNCTION("IFERROR(VLOOKUP(F631,IMPORTRANGE(""https://docs.google.com/spreadsheets/d/1Kvs4KS76FHFqLFIZfrDMff4kP08nblUkihrxltoGBjg/edit#gid=934712705"",""ESENCIAL!A6:BG""),2,FALSE))"),"")</f>
        <v/>
      </c>
      <c r="BK365" s="19" t="str">
        <f t="shared" si="23"/>
        <v/>
      </c>
      <c r="BL365" s="100"/>
      <c r="BM365" s="100"/>
    </row>
    <row r="366" spans="2:65" ht="15">
      <c r="B366" s="39"/>
      <c r="C366" s="5"/>
      <c r="D366" s="123"/>
      <c r="E366" s="39"/>
      <c r="F366" s="39"/>
      <c r="G366" s="39"/>
      <c r="H366" s="5" t="str">
        <f ca="1">IFERROR(__xludf.DUMMYFUNCTION("IFERROR(VLOOKUP(F632,IMPORTRANGE(""https://docs.google.com/spreadsheets/d/1Kvs4KS76FHFqLFIZfrDMff4kP08nblUkihrxltoGBjg/edit#gid=934712705"",""ESENCIAL!A6:BG""),3,FALSE))"),"")</f>
        <v/>
      </c>
      <c r="I366" s="5" t="str">
        <f ca="1">IFERROR(__xludf.DUMMYFUNCTION("IFERROR(VLOOKUP(F632,IMPORTRANGE(""https://docs.google.com/spreadsheets/d/1Kvs4KS76FHFqLFIZfrDMff4kP08nblUkihrxltoGBjg/edit#gid=934712705"",""ESENCIAL!A6:BG""),8,FALSE))"),"")</f>
        <v/>
      </c>
      <c r="J366" s="39"/>
      <c r="M366" s="287"/>
      <c r="AV366" s="41" t="str">
        <f t="shared" si="20"/>
        <v/>
      </c>
      <c r="AW366" s="5" t="str">
        <f ca="1">IFERROR(__xludf.DUMMYFUNCTION("IFERROR(VLOOKUP(E632&amp;F632,IMPORTRANGE(""https://docs.google.com/spreadsheets/d/1Uw7-A9f9R21vMXxHZFNpYNeKFtG8_yji4HS352LGlSQ/edit?pli=1#gid=0"",""1_ACUM!A4:S""),11,FALSE))"),"")</f>
        <v/>
      </c>
      <c r="AX366" s="42" t="str">
        <f ca="1">IFERROR(__xludf.DUMMYFUNCTION("IFERROR(VLOOKUP(F632,IMPORTRANGE(""https://docs.google.com/spreadsheets/d/1Kvs4KS76FHFqLFIZfrDMff4kP08nblUkihrxltoGBjg/edit#gid=934712705"",""ESENCIAL!A6:BG""),15,FALSE))"),"")</f>
        <v/>
      </c>
      <c r="AY366" s="110" t="str">
        <f ca="1">IFERROR(__xludf.DUMMYFUNCTION("IFERROR(VLOOKUP(E632&amp;F632,IMPORTRANGE(""https://docs.google.com/spreadsheets/d/1Uw7-A9f9R21vMXxHZFNpYNeKFtG8_yji4HS352LGlSQ/edit?pli=1#gid=0"",""1_ACUM!A4:S""),13,FALSE))"),"")</f>
        <v/>
      </c>
      <c r="AZ366" s="43" t="str">
        <f ca="1">IFERROR(__xludf.DUMMYFUNCTION("IFERROR(VLOOKUP(E632&amp;F632,IMPORTRANGE(""https://docs.google.com/spreadsheets/d/1Uw7-A9f9R21vMXxHZFNpYNeKFtG8_yji4HS352LGlSQ/edit?pli=1#gid=0"",""1_ACUM!A4:S""),13,FALSE))"),"")</f>
        <v/>
      </c>
      <c r="BA366" s="43" t="str">
        <f ca="1">IFERROR(__xludf.DUMMYFUNCTION("IFERROR(VLOOKUP(E632&amp;F632,IMPORTRANGE(""https://docs.google.com/spreadsheets/d/1Uw7-A9f9R21vMXxHZFNpYNeKFtG8_yji4HS352LGlSQ/edit?pli=1#gid=0"",""1_ACUM!A4:S""),14,FALSE))"),"")</f>
        <v/>
      </c>
      <c r="BB366" s="43" t="str">
        <f ca="1">IFERROR(__xludf.DUMMYFUNCTION("IFERROR(VLOOKUP(E632&amp;F632,IMPORTRANGE(""https://docs.google.com/spreadsheets/d/1Uw7-A9f9R21vMXxHZFNpYNeKFtG8_yji4HS352LGlSQ/edit?pli=1#gid=0"",""1_ACUM!A4:S""),15,FALSE))"),"")</f>
        <v/>
      </c>
      <c r="BC366" s="43" t="str">
        <f ca="1">IFERROR(__xludf.DUMMYFUNCTION("IFERROR(VLOOKUP(E632&amp;F632,IMPORTRANGE(""https://docs.google.com/spreadsheets/d/1Uw7-A9f9R21vMXxHZFNpYNeKFtG8_yji4HS352LGlSQ/edit?pli=1#gid=0"",""1_ACUM!A4:S""),16,FALSE))"),"")</f>
        <v/>
      </c>
      <c r="BD366" s="43" t="str">
        <f ca="1">IFERROR(__xludf.DUMMYFUNCTION("IFERROR(VLOOKUP(E632&amp;F632,IMPORTRANGE(""https://docs.google.com/spreadsheets/d/1Uw7-A9f9R21vMXxHZFNpYNeKFtG8_yji4HS352LGlSQ/edit?pli=1#gid=0"",""1_ACUM!A4:S""),17,FALSE))"),"")</f>
        <v/>
      </c>
      <c r="BE366" s="44" t="str">
        <f ca="1">IFERROR(__xludf.DUMMYFUNCTION("IFERROR(VLOOKUP(E632&amp;F632,IMPORTRANGE(""https://docs.google.com/spreadsheets/d/1Uw7-A9f9R21vMXxHZFNpYNeKFtG8_yji4HS352LGlSQ/edit?pli=1#gid=0"",""1_ACUM!A4:S""),18,FALSE))"),"")</f>
        <v/>
      </c>
      <c r="BF366" s="44" t="str">
        <f ca="1">IFERROR(__xludf.DUMMYFUNCTION("IFERROR(VLOOKUP(E632&amp;F632,IMPORTRANGE(""https://docs.google.com/spreadsheets/d/1Uw7-A9f9R21vMXxHZFNpYNeKFtG8_yji4HS352LGlSQ/edit?pli=1#gid=0"",""1_ACUM!A4:S""),19,FALSE))"),"")</f>
        <v/>
      </c>
      <c r="BG366" s="98" t="str">
        <f ca="1">IFERROR(__xludf.DUMMYFUNCTION("IFERROR(VLOOKUP(F632,IMPORTRANGE(""https://docs.google.com/spreadsheets/d/1Kvs4KS76FHFqLFIZfrDMff4kP08nblUkihrxltoGBjg/edit#gid=934712705"",""ESENCIAL!A6:BG""),5,FALSE))"),"")</f>
        <v/>
      </c>
      <c r="BH366" s="98" t="str">
        <f t="shared" si="21"/>
        <v/>
      </c>
      <c r="BI366" s="99" t="str">
        <f t="shared" si="22"/>
        <v/>
      </c>
      <c r="BJ366" s="100" t="str">
        <f ca="1">IFERROR(__xludf.DUMMYFUNCTION("IFERROR(VLOOKUP(F632,IMPORTRANGE(""https://docs.google.com/spreadsheets/d/1Kvs4KS76FHFqLFIZfrDMff4kP08nblUkihrxltoGBjg/edit#gid=934712705"",""ESENCIAL!A6:BG""),2,FALSE))"),"")</f>
        <v/>
      </c>
      <c r="BK366" s="19" t="str">
        <f t="shared" si="23"/>
        <v/>
      </c>
      <c r="BL366" s="100"/>
      <c r="BM366" s="100"/>
    </row>
    <row r="367" spans="2:65" ht="15">
      <c r="B367" s="39"/>
      <c r="C367" s="5"/>
      <c r="D367" s="123"/>
      <c r="E367" s="39"/>
      <c r="F367" s="39"/>
      <c r="G367" s="39"/>
      <c r="H367" s="5" t="str">
        <f ca="1">IFERROR(__xludf.DUMMYFUNCTION("IFERROR(VLOOKUP(F633,IMPORTRANGE(""https://docs.google.com/spreadsheets/d/1Kvs4KS76FHFqLFIZfrDMff4kP08nblUkihrxltoGBjg/edit#gid=934712705"",""ESENCIAL!A6:BG""),3,FALSE))"),"")</f>
        <v/>
      </c>
      <c r="I367" s="5" t="str">
        <f ca="1">IFERROR(__xludf.DUMMYFUNCTION("IFERROR(VLOOKUP(F633,IMPORTRANGE(""https://docs.google.com/spreadsheets/d/1Kvs4KS76FHFqLFIZfrDMff4kP08nblUkihrxltoGBjg/edit#gid=934712705"",""ESENCIAL!A6:BG""),8,FALSE))"),"")</f>
        <v/>
      </c>
      <c r="J367" s="39"/>
      <c r="M367" s="287"/>
      <c r="AV367" s="41" t="str">
        <f t="shared" si="20"/>
        <v/>
      </c>
      <c r="AW367" s="5" t="str">
        <f ca="1">IFERROR(__xludf.DUMMYFUNCTION("IFERROR(VLOOKUP(E633&amp;F633,IMPORTRANGE(""https://docs.google.com/spreadsheets/d/1Uw7-A9f9R21vMXxHZFNpYNeKFtG8_yji4HS352LGlSQ/edit?pli=1#gid=0"",""1_ACUM!A4:S""),11,FALSE))"),"")</f>
        <v/>
      </c>
      <c r="AX367" s="42" t="str">
        <f ca="1">IFERROR(__xludf.DUMMYFUNCTION("IFERROR(VLOOKUP(F633,IMPORTRANGE(""https://docs.google.com/spreadsheets/d/1Kvs4KS76FHFqLFIZfrDMff4kP08nblUkihrxltoGBjg/edit#gid=934712705"",""ESENCIAL!A6:BG""),15,FALSE))"),"")</f>
        <v/>
      </c>
      <c r="AY367" s="110" t="str">
        <f ca="1">IFERROR(__xludf.DUMMYFUNCTION("IFERROR(VLOOKUP(E633&amp;F633,IMPORTRANGE(""https://docs.google.com/spreadsheets/d/1Uw7-A9f9R21vMXxHZFNpYNeKFtG8_yji4HS352LGlSQ/edit?pli=1#gid=0"",""1_ACUM!A4:S""),13,FALSE))"),"")</f>
        <v/>
      </c>
      <c r="AZ367" s="43" t="str">
        <f ca="1">IFERROR(__xludf.DUMMYFUNCTION("IFERROR(VLOOKUP(E633&amp;F633,IMPORTRANGE(""https://docs.google.com/spreadsheets/d/1Uw7-A9f9R21vMXxHZFNpYNeKFtG8_yji4HS352LGlSQ/edit?pli=1#gid=0"",""1_ACUM!A4:S""),13,FALSE))"),"")</f>
        <v/>
      </c>
      <c r="BA367" s="43" t="str">
        <f ca="1">IFERROR(__xludf.DUMMYFUNCTION("IFERROR(VLOOKUP(E633&amp;F633,IMPORTRANGE(""https://docs.google.com/spreadsheets/d/1Uw7-A9f9R21vMXxHZFNpYNeKFtG8_yji4HS352LGlSQ/edit?pli=1#gid=0"",""1_ACUM!A4:S""),14,FALSE))"),"")</f>
        <v/>
      </c>
      <c r="BB367" s="43" t="str">
        <f ca="1">IFERROR(__xludf.DUMMYFUNCTION("IFERROR(VLOOKUP(E633&amp;F633,IMPORTRANGE(""https://docs.google.com/spreadsheets/d/1Uw7-A9f9R21vMXxHZFNpYNeKFtG8_yji4HS352LGlSQ/edit?pli=1#gid=0"",""1_ACUM!A4:S""),15,FALSE))"),"")</f>
        <v/>
      </c>
      <c r="BC367" s="43" t="str">
        <f ca="1">IFERROR(__xludf.DUMMYFUNCTION("IFERROR(VLOOKUP(E633&amp;F633,IMPORTRANGE(""https://docs.google.com/spreadsheets/d/1Uw7-A9f9R21vMXxHZFNpYNeKFtG8_yji4HS352LGlSQ/edit?pli=1#gid=0"",""1_ACUM!A4:S""),16,FALSE))"),"")</f>
        <v/>
      </c>
      <c r="BD367" s="43" t="str">
        <f ca="1">IFERROR(__xludf.DUMMYFUNCTION("IFERROR(VLOOKUP(E633&amp;F633,IMPORTRANGE(""https://docs.google.com/spreadsheets/d/1Uw7-A9f9R21vMXxHZFNpYNeKFtG8_yji4HS352LGlSQ/edit?pli=1#gid=0"",""1_ACUM!A4:S""),17,FALSE))"),"")</f>
        <v/>
      </c>
      <c r="BE367" s="44" t="str">
        <f ca="1">IFERROR(__xludf.DUMMYFUNCTION("IFERROR(VLOOKUP(E633&amp;F633,IMPORTRANGE(""https://docs.google.com/spreadsheets/d/1Uw7-A9f9R21vMXxHZFNpYNeKFtG8_yji4HS352LGlSQ/edit?pli=1#gid=0"",""1_ACUM!A4:S""),18,FALSE))"),"")</f>
        <v/>
      </c>
      <c r="BF367" s="44" t="str">
        <f ca="1">IFERROR(__xludf.DUMMYFUNCTION("IFERROR(VLOOKUP(E633&amp;F633,IMPORTRANGE(""https://docs.google.com/spreadsheets/d/1Uw7-A9f9R21vMXxHZFNpYNeKFtG8_yji4HS352LGlSQ/edit?pli=1#gid=0"",""1_ACUM!A4:S""),19,FALSE))"),"")</f>
        <v/>
      </c>
      <c r="BG367" s="98" t="str">
        <f ca="1">IFERROR(__xludf.DUMMYFUNCTION("IFERROR(VLOOKUP(F633,IMPORTRANGE(""https://docs.google.com/spreadsheets/d/1Kvs4KS76FHFqLFIZfrDMff4kP08nblUkihrxltoGBjg/edit#gid=934712705"",""ESENCIAL!A6:BG""),5,FALSE))"),"")</f>
        <v/>
      </c>
      <c r="BH367" s="98" t="str">
        <f t="shared" si="21"/>
        <v/>
      </c>
      <c r="BI367" s="99" t="str">
        <f t="shared" si="22"/>
        <v/>
      </c>
      <c r="BJ367" s="100" t="str">
        <f ca="1">IFERROR(__xludf.DUMMYFUNCTION("IFERROR(VLOOKUP(F633,IMPORTRANGE(""https://docs.google.com/spreadsheets/d/1Kvs4KS76FHFqLFIZfrDMff4kP08nblUkihrxltoGBjg/edit#gid=934712705"",""ESENCIAL!A6:BG""),2,FALSE))"),"")</f>
        <v/>
      </c>
      <c r="BK367" s="19" t="str">
        <f t="shared" si="23"/>
        <v/>
      </c>
      <c r="BL367" s="100"/>
      <c r="BM367" s="100"/>
    </row>
    <row r="368" spans="2:65" ht="15">
      <c r="B368" s="39"/>
      <c r="C368" s="5"/>
      <c r="D368" s="123"/>
      <c r="E368" s="39"/>
      <c r="F368" s="39"/>
      <c r="G368" s="39"/>
      <c r="H368" s="5" t="str">
        <f ca="1">IFERROR(__xludf.DUMMYFUNCTION("IFERROR(VLOOKUP(F634,IMPORTRANGE(""https://docs.google.com/spreadsheets/d/1Kvs4KS76FHFqLFIZfrDMff4kP08nblUkihrxltoGBjg/edit#gid=934712705"",""ESENCIAL!A6:BG""),3,FALSE))"),"")</f>
        <v/>
      </c>
      <c r="I368" s="5" t="str">
        <f ca="1">IFERROR(__xludf.DUMMYFUNCTION("IFERROR(VLOOKUP(F634,IMPORTRANGE(""https://docs.google.com/spreadsheets/d/1Kvs4KS76FHFqLFIZfrDMff4kP08nblUkihrxltoGBjg/edit#gid=934712705"",""ESENCIAL!A6:BG""),8,FALSE))"),"")</f>
        <v/>
      </c>
      <c r="J368" s="39"/>
      <c r="M368" s="287"/>
      <c r="AV368" s="41" t="str">
        <f t="shared" si="20"/>
        <v/>
      </c>
      <c r="AW368" s="5" t="str">
        <f ca="1">IFERROR(__xludf.DUMMYFUNCTION("IFERROR(VLOOKUP(E634&amp;F634,IMPORTRANGE(""https://docs.google.com/spreadsheets/d/1Uw7-A9f9R21vMXxHZFNpYNeKFtG8_yji4HS352LGlSQ/edit?pli=1#gid=0"",""1_ACUM!A4:S""),11,FALSE))"),"")</f>
        <v/>
      </c>
      <c r="AX368" s="42" t="str">
        <f ca="1">IFERROR(__xludf.DUMMYFUNCTION("IFERROR(VLOOKUP(F634,IMPORTRANGE(""https://docs.google.com/spreadsheets/d/1Kvs4KS76FHFqLFIZfrDMff4kP08nblUkihrxltoGBjg/edit#gid=934712705"",""ESENCIAL!A6:BG""),15,FALSE))"),"")</f>
        <v/>
      </c>
      <c r="AY368" s="110" t="str">
        <f ca="1">IFERROR(__xludf.DUMMYFUNCTION("IFERROR(VLOOKUP(E634&amp;F634,IMPORTRANGE(""https://docs.google.com/spreadsheets/d/1Uw7-A9f9R21vMXxHZFNpYNeKFtG8_yji4HS352LGlSQ/edit?pli=1#gid=0"",""1_ACUM!A4:S""),13,FALSE))"),"")</f>
        <v/>
      </c>
      <c r="AZ368" s="43" t="str">
        <f ca="1">IFERROR(__xludf.DUMMYFUNCTION("IFERROR(VLOOKUP(E634&amp;F634,IMPORTRANGE(""https://docs.google.com/spreadsheets/d/1Uw7-A9f9R21vMXxHZFNpYNeKFtG8_yji4HS352LGlSQ/edit?pli=1#gid=0"",""1_ACUM!A4:S""),13,FALSE))"),"")</f>
        <v/>
      </c>
      <c r="BA368" s="43" t="str">
        <f ca="1">IFERROR(__xludf.DUMMYFUNCTION("IFERROR(VLOOKUP(E634&amp;F634,IMPORTRANGE(""https://docs.google.com/spreadsheets/d/1Uw7-A9f9R21vMXxHZFNpYNeKFtG8_yji4HS352LGlSQ/edit?pli=1#gid=0"",""1_ACUM!A4:S""),14,FALSE))"),"")</f>
        <v/>
      </c>
      <c r="BB368" s="43" t="str">
        <f ca="1">IFERROR(__xludf.DUMMYFUNCTION("IFERROR(VLOOKUP(E634&amp;F634,IMPORTRANGE(""https://docs.google.com/spreadsheets/d/1Uw7-A9f9R21vMXxHZFNpYNeKFtG8_yji4HS352LGlSQ/edit?pli=1#gid=0"",""1_ACUM!A4:S""),15,FALSE))"),"")</f>
        <v/>
      </c>
      <c r="BC368" s="43" t="str">
        <f ca="1">IFERROR(__xludf.DUMMYFUNCTION("IFERROR(VLOOKUP(E634&amp;F634,IMPORTRANGE(""https://docs.google.com/spreadsheets/d/1Uw7-A9f9R21vMXxHZFNpYNeKFtG8_yji4HS352LGlSQ/edit?pli=1#gid=0"",""1_ACUM!A4:S""),16,FALSE))"),"")</f>
        <v/>
      </c>
      <c r="BD368" s="43" t="str">
        <f ca="1">IFERROR(__xludf.DUMMYFUNCTION("IFERROR(VLOOKUP(E634&amp;F634,IMPORTRANGE(""https://docs.google.com/spreadsheets/d/1Uw7-A9f9R21vMXxHZFNpYNeKFtG8_yji4HS352LGlSQ/edit?pli=1#gid=0"",""1_ACUM!A4:S""),17,FALSE))"),"")</f>
        <v/>
      </c>
      <c r="BE368" s="44" t="str">
        <f ca="1">IFERROR(__xludf.DUMMYFUNCTION("IFERROR(VLOOKUP(E634&amp;F634,IMPORTRANGE(""https://docs.google.com/spreadsheets/d/1Uw7-A9f9R21vMXxHZFNpYNeKFtG8_yji4HS352LGlSQ/edit?pli=1#gid=0"",""1_ACUM!A4:S""),18,FALSE))"),"")</f>
        <v/>
      </c>
      <c r="BF368" s="44" t="str">
        <f ca="1">IFERROR(__xludf.DUMMYFUNCTION("IFERROR(VLOOKUP(E634&amp;F634,IMPORTRANGE(""https://docs.google.com/spreadsheets/d/1Uw7-A9f9R21vMXxHZFNpYNeKFtG8_yji4HS352LGlSQ/edit?pli=1#gid=0"",""1_ACUM!A4:S""),19,FALSE))"),"")</f>
        <v/>
      </c>
      <c r="BG368" s="98" t="str">
        <f ca="1">IFERROR(__xludf.DUMMYFUNCTION("IFERROR(VLOOKUP(F634,IMPORTRANGE(""https://docs.google.com/spreadsheets/d/1Kvs4KS76FHFqLFIZfrDMff4kP08nblUkihrxltoGBjg/edit#gid=934712705"",""ESENCIAL!A6:BG""),5,FALSE))"),"")</f>
        <v/>
      </c>
      <c r="BH368" s="98" t="str">
        <f t="shared" si="21"/>
        <v/>
      </c>
      <c r="BI368" s="99" t="str">
        <f t="shared" si="22"/>
        <v/>
      </c>
      <c r="BJ368" s="100" t="str">
        <f ca="1">IFERROR(__xludf.DUMMYFUNCTION("IFERROR(VLOOKUP(F634,IMPORTRANGE(""https://docs.google.com/spreadsheets/d/1Kvs4KS76FHFqLFIZfrDMff4kP08nblUkihrxltoGBjg/edit#gid=934712705"",""ESENCIAL!A6:BG""),2,FALSE))"),"")</f>
        <v/>
      </c>
      <c r="BK368" s="19" t="str">
        <f t="shared" si="23"/>
        <v/>
      </c>
      <c r="BL368" s="100"/>
      <c r="BM368" s="100"/>
    </row>
    <row r="369" spans="2:65" ht="15">
      <c r="B369" s="39"/>
      <c r="C369" s="5"/>
      <c r="D369" s="123"/>
      <c r="E369" s="39"/>
      <c r="F369" s="39"/>
      <c r="G369" s="39"/>
      <c r="H369" s="5" t="str">
        <f ca="1">IFERROR(__xludf.DUMMYFUNCTION("IFERROR(VLOOKUP(F635,IMPORTRANGE(""https://docs.google.com/spreadsheets/d/1Kvs4KS76FHFqLFIZfrDMff4kP08nblUkihrxltoGBjg/edit#gid=934712705"",""ESENCIAL!A6:BG""),3,FALSE))"),"")</f>
        <v/>
      </c>
      <c r="I369" s="5" t="str">
        <f ca="1">IFERROR(__xludf.DUMMYFUNCTION("IFERROR(VLOOKUP(F635,IMPORTRANGE(""https://docs.google.com/spreadsheets/d/1Kvs4KS76FHFqLFIZfrDMff4kP08nblUkihrxltoGBjg/edit#gid=934712705"",""ESENCIAL!A6:BG""),8,FALSE))"),"")</f>
        <v/>
      </c>
      <c r="J369" s="39"/>
      <c r="M369" s="287"/>
      <c r="AV369" s="41" t="str">
        <f t="shared" si="20"/>
        <v/>
      </c>
      <c r="AW369" s="5" t="str">
        <f ca="1">IFERROR(__xludf.DUMMYFUNCTION("IFERROR(VLOOKUP(E635&amp;F635,IMPORTRANGE(""https://docs.google.com/spreadsheets/d/1Uw7-A9f9R21vMXxHZFNpYNeKFtG8_yji4HS352LGlSQ/edit?pli=1#gid=0"",""1_ACUM!A4:S""),11,FALSE))"),"")</f>
        <v/>
      </c>
      <c r="AX369" s="42" t="str">
        <f ca="1">IFERROR(__xludf.DUMMYFUNCTION("IFERROR(VLOOKUP(F635,IMPORTRANGE(""https://docs.google.com/spreadsheets/d/1Kvs4KS76FHFqLFIZfrDMff4kP08nblUkihrxltoGBjg/edit#gid=934712705"",""ESENCIAL!A6:BG""),15,FALSE))"),"")</f>
        <v/>
      </c>
      <c r="AY369" s="110" t="str">
        <f ca="1">IFERROR(__xludf.DUMMYFUNCTION("IFERROR(VLOOKUP(E635&amp;F635,IMPORTRANGE(""https://docs.google.com/spreadsheets/d/1Uw7-A9f9R21vMXxHZFNpYNeKFtG8_yji4HS352LGlSQ/edit?pli=1#gid=0"",""1_ACUM!A4:S""),13,FALSE))"),"")</f>
        <v/>
      </c>
      <c r="AZ369" s="43" t="str">
        <f ca="1">IFERROR(__xludf.DUMMYFUNCTION("IFERROR(VLOOKUP(E635&amp;F635,IMPORTRANGE(""https://docs.google.com/spreadsheets/d/1Uw7-A9f9R21vMXxHZFNpYNeKFtG8_yji4HS352LGlSQ/edit?pli=1#gid=0"",""1_ACUM!A4:S""),13,FALSE))"),"")</f>
        <v/>
      </c>
      <c r="BA369" s="43" t="str">
        <f ca="1">IFERROR(__xludf.DUMMYFUNCTION("IFERROR(VLOOKUP(E635&amp;F635,IMPORTRANGE(""https://docs.google.com/spreadsheets/d/1Uw7-A9f9R21vMXxHZFNpYNeKFtG8_yji4HS352LGlSQ/edit?pli=1#gid=0"",""1_ACUM!A4:S""),14,FALSE))"),"")</f>
        <v/>
      </c>
      <c r="BB369" s="43" t="str">
        <f ca="1">IFERROR(__xludf.DUMMYFUNCTION("IFERROR(VLOOKUP(E635&amp;F635,IMPORTRANGE(""https://docs.google.com/spreadsheets/d/1Uw7-A9f9R21vMXxHZFNpYNeKFtG8_yji4HS352LGlSQ/edit?pli=1#gid=0"",""1_ACUM!A4:S""),15,FALSE))"),"")</f>
        <v/>
      </c>
      <c r="BC369" s="43" t="str">
        <f ca="1">IFERROR(__xludf.DUMMYFUNCTION("IFERROR(VLOOKUP(E635&amp;F635,IMPORTRANGE(""https://docs.google.com/spreadsheets/d/1Uw7-A9f9R21vMXxHZFNpYNeKFtG8_yji4HS352LGlSQ/edit?pli=1#gid=0"",""1_ACUM!A4:S""),16,FALSE))"),"")</f>
        <v/>
      </c>
      <c r="BD369" s="43" t="str">
        <f ca="1">IFERROR(__xludf.DUMMYFUNCTION("IFERROR(VLOOKUP(E635&amp;F635,IMPORTRANGE(""https://docs.google.com/spreadsheets/d/1Uw7-A9f9R21vMXxHZFNpYNeKFtG8_yji4HS352LGlSQ/edit?pli=1#gid=0"",""1_ACUM!A4:S""),17,FALSE))"),"")</f>
        <v/>
      </c>
      <c r="BE369" s="44" t="str">
        <f ca="1">IFERROR(__xludf.DUMMYFUNCTION("IFERROR(VLOOKUP(E635&amp;F635,IMPORTRANGE(""https://docs.google.com/spreadsheets/d/1Uw7-A9f9R21vMXxHZFNpYNeKFtG8_yji4HS352LGlSQ/edit?pli=1#gid=0"",""1_ACUM!A4:S""),18,FALSE))"),"")</f>
        <v/>
      </c>
      <c r="BF369" s="44" t="str">
        <f ca="1">IFERROR(__xludf.DUMMYFUNCTION("IFERROR(VLOOKUP(E635&amp;F635,IMPORTRANGE(""https://docs.google.com/spreadsheets/d/1Uw7-A9f9R21vMXxHZFNpYNeKFtG8_yji4HS352LGlSQ/edit?pli=1#gid=0"",""1_ACUM!A4:S""),19,FALSE))"),"")</f>
        <v/>
      </c>
      <c r="BG369" s="98" t="str">
        <f ca="1">IFERROR(__xludf.DUMMYFUNCTION("IFERROR(VLOOKUP(F635,IMPORTRANGE(""https://docs.google.com/spreadsheets/d/1Kvs4KS76FHFqLFIZfrDMff4kP08nblUkihrxltoGBjg/edit#gid=934712705"",""ESENCIAL!A6:BG""),5,FALSE))"),"")</f>
        <v/>
      </c>
      <c r="BH369" s="98" t="str">
        <f t="shared" si="21"/>
        <v/>
      </c>
      <c r="BI369" s="99" t="str">
        <f t="shared" si="22"/>
        <v/>
      </c>
      <c r="BJ369" s="100" t="str">
        <f ca="1">IFERROR(__xludf.DUMMYFUNCTION("IFERROR(VLOOKUP(F635,IMPORTRANGE(""https://docs.google.com/spreadsheets/d/1Kvs4KS76FHFqLFIZfrDMff4kP08nblUkihrxltoGBjg/edit#gid=934712705"",""ESENCIAL!A6:BG""),2,FALSE))"),"")</f>
        <v/>
      </c>
      <c r="BK369" s="19" t="str">
        <f t="shared" si="23"/>
        <v/>
      </c>
      <c r="BL369" s="100"/>
      <c r="BM369" s="100"/>
    </row>
    <row r="370" spans="2:65" ht="15">
      <c r="B370" s="39"/>
      <c r="C370" s="5"/>
      <c r="D370" s="123"/>
      <c r="E370" s="39"/>
      <c r="F370" s="39"/>
      <c r="G370" s="39"/>
      <c r="H370" s="5" t="str">
        <f ca="1">IFERROR(__xludf.DUMMYFUNCTION("IFERROR(VLOOKUP(F636,IMPORTRANGE(""https://docs.google.com/spreadsheets/d/1Kvs4KS76FHFqLFIZfrDMff4kP08nblUkihrxltoGBjg/edit#gid=934712705"",""ESENCIAL!A6:BG""),3,FALSE))"),"")</f>
        <v/>
      </c>
      <c r="I370" s="5" t="str">
        <f ca="1">IFERROR(__xludf.DUMMYFUNCTION("IFERROR(VLOOKUP(F636,IMPORTRANGE(""https://docs.google.com/spreadsheets/d/1Kvs4KS76FHFqLFIZfrDMff4kP08nblUkihrxltoGBjg/edit#gid=934712705"",""ESENCIAL!A6:BG""),8,FALSE))"),"")</f>
        <v/>
      </c>
      <c r="J370" s="39"/>
      <c r="M370" s="287"/>
      <c r="AV370" s="41" t="str">
        <f t="shared" si="20"/>
        <v/>
      </c>
      <c r="AW370" s="5" t="str">
        <f ca="1">IFERROR(__xludf.DUMMYFUNCTION("IFERROR(VLOOKUP(E636&amp;F636,IMPORTRANGE(""https://docs.google.com/spreadsheets/d/1Uw7-A9f9R21vMXxHZFNpYNeKFtG8_yji4HS352LGlSQ/edit?pli=1#gid=0"",""1_ACUM!A4:S""),11,FALSE))"),"")</f>
        <v/>
      </c>
      <c r="AX370" s="42" t="str">
        <f ca="1">IFERROR(__xludf.DUMMYFUNCTION("IFERROR(VLOOKUP(F636,IMPORTRANGE(""https://docs.google.com/spreadsheets/d/1Kvs4KS76FHFqLFIZfrDMff4kP08nblUkihrxltoGBjg/edit#gid=934712705"",""ESENCIAL!A6:BG""),15,FALSE))"),"")</f>
        <v/>
      </c>
      <c r="AY370" s="110" t="str">
        <f ca="1">IFERROR(__xludf.DUMMYFUNCTION("IFERROR(VLOOKUP(E636&amp;F636,IMPORTRANGE(""https://docs.google.com/spreadsheets/d/1Uw7-A9f9R21vMXxHZFNpYNeKFtG8_yji4HS352LGlSQ/edit?pli=1#gid=0"",""1_ACUM!A4:S""),13,FALSE))"),"")</f>
        <v/>
      </c>
      <c r="AZ370" s="43" t="str">
        <f ca="1">IFERROR(__xludf.DUMMYFUNCTION("IFERROR(VLOOKUP(E636&amp;F636,IMPORTRANGE(""https://docs.google.com/spreadsheets/d/1Uw7-A9f9R21vMXxHZFNpYNeKFtG8_yji4HS352LGlSQ/edit?pli=1#gid=0"",""1_ACUM!A4:S""),13,FALSE))"),"")</f>
        <v/>
      </c>
      <c r="BA370" s="43" t="str">
        <f ca="1">IFERROR(__xludf.DUMMYFUNCTION("IFERROR(VLOOKUP(E636&amp;F636,IMPORTRANGE(""https://docs.google.com/spreadsheets/d/1Uw7-A9f9R21vMXxHZFNpYNeKFtG8_yji4HS352LGlSQ/edit?pli=1#gid=0"",""1_ACUM!A4:S""),14,FALSE))"),"")</f>
        <v/>
      </c>
      <c r="BB370" s="43" t="str">
        <f ca="1">IFERROR(__xludf.DUMMYFUNCTION("IFERROR(VLOOKUP(E636&amp;F636,IMPORTRANGE(""https://docs.google.com/spreadsheets/d/1Uw7-A9f9R21vMXxHZFNpYNeKFtG8_yji4HS352LGlSQ/edit?pli=1#gid=0"",""1_ACUM!A4:S""),15,FALSE))"),"")</f>
        <v/>
      </c>
      <c r="BC370" s="43" t="str">
        <f ca="1">IFERROR(__xludf.DUMMYFUNCTION("IFERROR(VLOOKUP(E636&amp;F636,IMPORTRANGE(""https://docs.google.com/spreadsheets/d/1Uw7-A9f9R21vMXxHZFNpYNeKFtG8_yji4HS352LGlSQ/edit?pli=1#gid=0"",""1_ACUM!A4:S""),16,FALSE))"),"")</f>
        <v/>
      </c>
      <c r="BD370" s="43" t="str">
        <f ca="1">IFERROR(__xludf.DUMMYFUNCTION("IFERROR(VLOOKUP(E636&amp;F636,IMPORTRANGE(""https://docs.google.com/spreadsheets/d/1Uw7-A9f9R21vMXxHZFNpYNeKFtG8_yji4HS352LGlSQ/edit?pli=1#gid=0"",""1_ACUM!A4:S""),17,FALSE))"),"")</f>
        <v/>
      </c>
      <c r="BE370" s="44" t="str">
        <f ca="1">IFERROR(__xludf.DUMMYFUNCTION("IFERROR(VLOOKUP(E636&amp;F636,IMPORTRANGE(""https://docs.google.com/spreadsheets/d/1Uw7-A9f9R21vMXxHZFNpYNeKFtG8_yji4HS352LGlSQ/edit?pli=1#gid=0"",""1_ACUM!A4:S""),18,FALSE))"),"")</f>
        <v/>
      </c>
      <c r="BF370" s="44" t="str">
        <f ca="1">IFERROR(__xludf.DUMMYFUNCTION("IFERROR(VLOOKUP(E636&amp;F636,IMPORTRANGE(""https://docs.google.com/spreadsheets/d/1Uw7-A9f9R21vMXxHZFNpYNeKFtG8_yji4HS352LGlSQ/edit?pli=1#gid=0"",""1_ACUM!A4:S""),19,FALSE))"),"")</f>
        <v/>
      </c>
      <c r="BG370" s="98" t="str">
        <f ca="1">IFERROR(__xludf.DUMMYFUNCTION("IFERROR(VLOOKUP(F636,IMPORTRANGE(""https://docs.google.com/spreadsheets/d/1Kvs4KS76FHFqLFIZfrDMff4kP08nblUkihrxltoGBjg/edit#gid=934712705"",""ESENCIAL!A6:BG""),5,FALSE))"),"")</f>
        <v/>
      </c>
      <c r="BH370" s="98" t="str">
        <f t="shared" si="21"/>
        <v/>
      </c>
      <c r="BI370" s="99" t="str">
        <f t="shared" si="22"/>
        <v/>
      </c>
      <c r="BJ370" s="100" t="str">
        <f ca="1">IFERROR(__xludf.DUMMYFUNCTION("IFERROR(VLOOKUP(F636,IMPORTRANGE(""https://docs.google.com/spreadsheets/d/1Kvs4KS76FHFqLFIZfrDMff4kP08nblUkihrxltoGBjg/edit#gid=934712705"",""ESENCIAL!A6:BG""),2,FALSE))"),"")</f>
        <v/>
      </c>
      <c r="BK370" s="19" t="str">
        <f t="shared" si="23"/>
        <v/>
      </c>
      <c r="BL370" s="100"/>
      <c r="BM370" s="100"/>
    </row>
    <row r="371" spans="2:65" ht="15">
      <c r="B371" s="39"/>
      <c r="C371" s="5"/>
      <c r="D371" s="123"/>
      <c r="E371" s="39"/>
      <c r="F371" s="39"/>
      <c r="G371" s="39"/>
      <c r="H371" s="5" t="str">
        <f ca="1">IFERROR(__xludf.DUMMYFUNCTION("IFERROR(VLOOKUP(F637,IMPORTRANGE(""https://docs.google.com/spreadsheets/d/1Kvs4KS76FHFqLFIZfrDMff4kP08nblUkihrxltoGBjg/edit#gid=934712705"",""ESENCIAL!A6:BG""),3,FALSE))"),"")</f>
        <v/>
      </c>
      <c r="I371" s="5" t="str">
        <f ca="1">IFERROR(__xludf.DUMMYFUNCTION("IFERROR(VLOOKUP(F637,IMPORTRANGE(""https://docs.google.com/spreadsheets/d/1Kvs4KS76FHFqLFIZfrDMff4kP08nblUkihrxltoGBjg/edit#gid=934712705"",""ESENCIAL!A6:BG""),8,FALSE))"),"")</f>
        <v/>
      </c>
      <c r="J371" s="39"/>
      <c r="M371" s="287"/>
      <c r="AV371" s="41" t="str">
        <f t="shared" si="20"/>
        <v/>
      </c>
      <c r="AW371" s="5" t="str">
        <f ca="1">IFERROR(__xludf.DUMMYFUNCTION("IFERROR(VLOOKUP(E637&amp;F637,IMPORTRANGE(""https://docs.google.com/spreadsheets/d/1Uw7-A9f9R21vMXxHZFNpYNeKFtG8_yji4HS352LGlSQ/edit?pli=1#gid=0"",""1_ACUM!A4:S""),11,FALSE))"),"")</f>
        <v/>
      </c>
      <c r="AX371" s="42" t="str">
        <f ca="1">IFERROR(__xludf.DUMMYFUNCTION("IFERROR(VLOOKUP(F637,IMPORTRANGE(""https://docs.google.com/spreadsheets/d/1Kvs4KS76FHFqLFIZfrDMff4kP08nblUkihrxltoGBjg/edit#gid=934712705"",""ESENCIAL!A6:BG""),15,FALSE))"),"")</f>
        <v/>
      </c>
      <c r="AY371" s="110" t="str">
        <f ca="1">IFERROR(__xludf.DUMMYFUNCTION("IFERROR(VLOOKUP(E637&amp;F637,IMPORTRANGE(""https://docs.google.com/spreadsheets/d/1Uw7-A9f9R21vMXxHZFNpYNeKFtG8_yji4HS352LGlSQ/edit?pli=1#gid=0"",""1_ACUM!A4:S""),13,FALSE))"),"")</f>
        <v/>
      </c>
      <c r="AZ371" s="43" t="str">
        <f ca="1">IFERROR(__xludf.DUMMYFUNCTION("IFERROR(VLOOKUP(E637&amp;F637,IMPORTRANGE(""https://docs.google.com/spreadsheets/d/1Uw7-A9f9R21vMXxHZFNpYNeKFtG8_yji4HS352LGlSQ/edit?pli=1#gid=0"",""1_ACUM!A4:S""),13,FALSE))"),"")</f>
        <v/>
      </c>
      <c r="BA371" s="43" t="str">
        <f ca="1">IFERROR(__xludf.DUMMYFUNCTION("IFERROR(VLOOKUP(E637&amp;F637,IMPORTRANGE(""https://docs.google.com/spreadsheets/d/1Uw7-A9f9R21vMXxHZFNpYNeKFtG8_yji4HS352LGlSQ/edit?pli=1#gid=0"",""1_ACUM!A4:S""),14,FALSE))"),"")</f>
        <v/>
      </c>
      <c r="BB371" s="43" t="str">
        <f ca="1">IFERROR(__xludf.DUMMYFUNCTION("IFERROR(VLOOKUP(E637&amp;F637,IMPORTRANGE(""https://docs.google.com/spreadsheets/d/1Uw7-A9f9R21vMXxHZFNpYNeKFtG8_yji4HS352LGlSQ/edit?pli=1#gid=0"",""1_ACUM!A4:S""),15,FALSE))"),"")</f>
        <v/>
      </c>
      <c r="BC371" s="43" t="str">
        <f ca="1">IFERROR(__xludf.DUMMYFUNCTION("IFERROR(VLOOKUP(E637&amp;F637,IMPORTRANGE(""https://docs.google.com/spreadsheets/d/1Uw7-A9f9R21vMXxHZFNpYNeKFtG8_yji4HS352LGlSQ/edit?pli=1#gid=0"",""1_ACUM!A4:S""),16,FALSE))"),"")</f>
        <v/>
      </c>
      <c r="BD371" s="43" t="str">
        <f ca="1">IFERROR(__xludf.DUMMYFUNCTION("IFERROR(VLOOKUP(E637&amp;F637,IMPORTRANGE(""https://docs.google.com/spreadsheets/d/1Uw7-A9f9R21vMXxHZFNpYNeKFtG8_yji4HS352LGlSQ/edit?pli=1#gid=0"",""1_ACUM!A4:S""),17,FALSE))"),"")</f>
        <v/>
      </c>
      <c r="BE371" s="44" t="str">
        <f ca="1">IFERROR(__xludf.DUMMYFUNCTION("IFERROR(VLOOKUP(E637&amp;F637,IMPORTRANGE(""https://docs.google.com/spreadsheets/d/1Uw7-A9f9R21vMXxHZFNpYNeKFtG8_yji4HS352LGlSQ/edit?pli=1#gid=0"",""1_ACUM!A4:S""),18,FALSE))"),"")</f>
        <v/>
      </c>
      <c r="BF371" s="44" t="str">
        <f ca="1">IFERROR(__xludf.DUMMYFUNCTION("IFERROR(VLOOKUP(E637&amp;F637,IMPORTRANGE(""https://docs.google.com/spreadsheets/d/1Uw7-A9f9R21vMXxHZFNpYNeKFtG8_yji4HS352LGlSQ/edit?pli=1#gid=0"",""1_ACUM!A4:S""),19,FALSE))"),"")</f>
        <v/>
      </c>
      <c r="BG371" s="98" t="str">
        <f ca="1">IFERROR(__xludf.DUMMYFUNCTION("IFERROR(VLOOKUP(F637,IMPORTRANGE(""https://docs.google.com/spreadsheets/d/1Kvs4KS76FHFqLFIZfrDMff4kP08nblUkihrxltoGBjg/edit#gid=934712705"",""ESENCIAL!A6:BG""),5,FALSE))"),"")</f>
        <v/>
      </c>
      <c r="BH371" s="98" t="str">
        <f t="shared" si="21"/>
        <v/>
      </c>
      <c r="BI371" s="99" t="str">
        <f t="shared" si="22"/>
        <v/>
      </c>
      <c r="BJ371" s="100" t="str">
        <f ca="1">IFERROR(__xludf.DUMMYFUNCTION("IFERROR(VLOOKUP(F637,IMPORTRANGE(""https://docs.google.com/spreadsheets/d/1Kvs4KS76FHFqLFIZfrDMff4kP08nblUkihrxltoGBjg/edit#gid=934712705"",""ESENCIAL!A6:BG""),2,FALSE))"),"")</f>
        <v/>
      </c>
      <c r="BK371" s="19" t="str">
        <f t="shared" si="23"/>
        <v/>
      </c>
      <c r="BL371" s="100"/>
      <c r="BM371" s="100"/>
    </row>
    <row r="372" spans="2:65" ht="15">
      <c r="B372" s="39"/>
      <c r="C372" s="5"/>
      <c r="D372" s="123"/>
      <c r="E372" s="39"/>
      <c r="F372" s="39"/>
      <c r="G372" s="39"/>
      <c r="H372" s="5" t="str">
        <f ca="1">IFERROR(__xludf.DUMMYFUNCTION("IFERROR(VLOOKUP(F638,IMPORTRANGE(""https://docs.google.com/spreadsheets/d/1Kvs4KS76FHFqLFIZfrDMff4kP08nblUkihrxltoGBjg/edit#gid=934712705"",""ESENCIAL!A6:BG""),3,FALSE))"),"")</f>
        <v/>
      </c>
      <c r="I372" s="5" t="str">
        <f ca="1">IFERROR(__xludf.DUMMYFUNCTION("IFERROR(VLOOKUP(F638,IMPORTRANGE(""https://docs.google.com/spreadsheets/d/1Kvs4KS76FHFqLFIZfrDMff4kP08nblUkihrxltoGBjg/edit#gid=934712705"",""ESENCIAL!A6:BG""),8,FALSE))"),"")</f>
        <v/>
      </c>
      <c r="J372" s="39"/>
      <c r="M372" s="287"/>
      <c r="AV372" s="41" t="str">
        <f t="shared" si="20"/>
        <v/>
      </c>
      <c r="AW372" s="5" t="str">
        <f ca="1">IFERROR(__xludf.DUMMYFUNCTION("IFERROR(VLOOKUP(E638&amp;F638,IMPORTRANGE(""https://docs.google.com/spreadsheets/d/1Uw7-A9f9R21vMXxHZFNpYNeKFtG8_yji4HS352LGlSQ/edit?pli=1#gid=0"",""1_ACUM!A4:S""),11,FALSE))"),"")</f>
        <v/>
      </c>
      <c r="AX372" s="42" t="str">
        <f ca="1">IFERROR(__xludf.DUMMYFUNCTION("IFERROR(VLOOKUP(F638,IMPORTRANGE(""https://docs.google.com/spreadsheets/d/1Kvs4KS76FHFqLFIZfrDMff4kP08nblUkihrxltoGBjg/edit#gid=934712705"",""ESENCIAL!A6:BG""),15,FALSE))"),"")</f>
        <v/>
      </c>
      <c r="AY372" s="110" t="str">
        <f ca="1">IFERROR(__xludf.DUMMYFUNCTION("IFERROR(VLOOKUP(E638&amp;F638,IMPORTRANGE(""https://docs.google.com/spreadsheets/d/1Uw7-A9f9R21vMXxHZFNpYNeKFtG8_yji4HS352LGlSQ/edit?pli=1#gid=0"",""1_ACUM!A4:S""),13,FALSE))"),"")</f>
        <v/>
      </c>
      <c r="AZ372" s="43" t="str">
        <f ca="1">IFERROR(__xludf.DUMMYFUNCTION("IFERROR(VLOOKUP(E638&amp;F638,IMPORTRANGE(""https://docs.google.com/spreadsheets/d/1Uw7-A9f9R21vMXxHZFNpYNeKFtG8_yji4HS352LGlSQ/edit?pli=1#gid=0"",""1_ACUM!A4:S""),13,FALSE))"),"")</f>
        <v/>
      </c>
      <c r="BA372" s="43" t="str">
        <f ca="1">IFERROR(__xludf.DUMMYFUNCTION("IFERROR(VLOOKUP(E638&amp;F638,IMPORTRANGE(""https://docs.google.com/spreadsheets/d/1Uw7-A9f9R21vMXxHZFNpYNeKFtG8_yji4HS352LGlSQ/edit?pli=1#gid=0"",""1_ACUM!A4:S""),14,FALSE))"),"")</f>
        <v/>
      </c>
      <c r="BB372" s="43" t="str">
        <f ca="1">IFERROR(__xludf.DUMMYFUNCTION("IFERROR(VLOOKUP(E638&amp;F638,IMPORTRANGE(""https://docs.google.com/spreadsheets/d/1Uw7-A9f9R21vMXxHZFNpYNeKFtG8_yji4HS352LGlSQ/edit?pli=1#gid=0"",""1_ACUM!A4:S""),15,FALSE))"),"")</f>
        <v/>
      </c>
      <c r="BC372" s="43" t="str">
        <f ca="1">IFERROR(__xludf.DUMMYFUNCTION("IFERROR(VLOOKUP(E638&amp;F638,IMPORTRANGE(""https://docs.google.com/spreadsheets/d/1Uw7-A9f9R21vMXxHZFNpYNeKFtG8_yji4HS352LGlSQ/edit?pli=1#gid=0"",""1_ACUM!A4:S""),16,FALSE))"),"")</f>
        <v/>
      </c>
      <c r="BD372" s="43" t="str">
        <f ca="1">IFERROR(__xludf.DUMMYFUNCTION("IFERROR(VLOOKUP(E638&amp;F638,IMPORTRANGE(""https://docs.google.com/spreadsheets/d/1Uw7-A9f9R21vMXxHZFNpYNeKFtG8_yji4HS352LGlSQ/edit?pli=1#gid=0"",""1_ACUM!A4:S""),17,FALSE))"),"")</f>
        <v/>
      </c>
      <c r="BE372" s="44" t="str">
        <f ca="1">IFERROR(__xludf.DUMMYFUNCTION("IFERROR(VLOOKUP(E638&amp;F638,IMPORTRANGE(""https://docs.google.com/spreadsheets/d/1Uw7-A9f9R21vMXxHZFNpYNeKFtG8_yji4HS352LGlSQ/edit?pli=1#gid=0"",""1_ACUM!A4:S""),18,FALSE))"),"")</f>
        <v/>
      </c>
      <c r="BF372" s="44" t="str">
        <f ca="1">IFERROR(__xludf.DUMMYFUNCTION("IFERROR(VLOOKUP(E638&amp;F638,IMPORTRANGE(""https://docs.google.com/spreadsheets/d/1Uw7-A9f9R21vMXxHZFNpYNeKFtG8_yji4HS352LGlSQ/edit?pli=1#gid=0"",""1_ACUM!A4:S""),19,FALSE))"),"")</f>
        <v/>
      </c>
      <c r="BG372" s="98" t="str">
        <f ca="1">IFERROR(__xludf.DUMMYFUNCTION("IFERROR(VLOOKUP(F638,IMPORTRANGE(""https://docs.google.com/spreadsheets/d/1Kvs4KS76FHFqLFIZfrDMff4kP08nblUkihrxltoGBjg/edit#gid=934712705"",""ESENCIAL!A6:BG""),5,FALSE))"),"")</f>
        <v/>
      </c>
      <c r="BH372" s="98" t="str">
        <f t="shared" si="21"/>
        <v/>
      </c>
      <c r="BI372" s="99" t="str">
        <f t="shared" si="22"/>
        <v/>
      </c>
      <c r="BJ372" s="100" t="str">
        <f ca="1">IFERROR(__xludf.DUMMYFUNCTION("IFERROR(VLOOKUP(F638,IMPORTRANGE(""https://docs.google.com/spreadsheets/d/1Kvs4KS76FHFqLFIZfrDMff4kP08nblUkihrxltoGBjg/edit#gid=934712705"",""ESENCIAL!A6:BG""),2,FALSE))"),"")</f>
        <v/>
      </c>
      <c r="BK372" s="19" t="str">
        <f t="shared" si="23"/>
        <v/>
      </c>
      <c r="BL372" s="100"/>
      <c r="BM372" s="100"/>
    </row>
    <row r="373" spans="2:65" ht="15">
      <c r="B373" s="39"/>
      <c r="C373" s="5"/>
      <c r="D373" s="123"/>
      <c r="E373" s="39"/>
      <c r="F373" s="39"/>
      <c r="G373" s="39"/>
      <c r="H373" s="5" t="str">
        <f ca="1">IFERROR(__xludf.DUMMYFUNCTION("IFERROR(VLOOKUP(F639,IMPORTRANGE(""https://docs.google.com/spreadsheets/d/1Kvs4KS76FHFqLFIZfrDMff4kP08nblUkihrxltoGBjg/edit#gid=934712705"",""ESENCIAL!A6:BG""),3,FALSE))"),"")</f>
        <v/>
      </c>
      <c r="I373" s="5" t="str">
        <f ca="1">IFERROR(__xludf.DUMMYFUNCTION("IFERROR(VLOOKUP(F639,IMPORTRANGE(""https://docs.google.com/spreadsheets/d/1Kvs4KS76FHFqLFIZfrDMff4kP08nblUkihrxltoGBjg/edit#gid=934712705"",""ESENCIAL!A6:BG""),8,FALSE))"),"")</f>
        <v/>
      </c>
      <c r="J373" s="39"/>
      <c r="M373" s="287"/>
      <c r="AV373" s="41" t="str">
        <f t="shared" si="20"/>
        <v/>
      </c>
      <c r="AW373" s="5" t="str">
        <f ca="1">IFERROR(__xludf.DUMMYFUNCTION("IFERROR(VLOOKUP(E639&amp;F639,IMPORTRANGE(""https://docs.google.com/spreadsheets/d/1Uw7-A9f9R21vMXxHZFNpYNeKFtG8_yji4HS352LGlSQ/edit?pli=1#gid=0"",""1_ACUM!A4:S""),11,FALSE))"),"")</f>
        <v/>
      </c>
      <c r="AX373" s="42" t="str">
        <f ca="1">IFERROR(__xludf.DUMMYFUNCTION("IFERROR(VLOOKUP(F639,IMPORTRANGE(""https://docs.google.com/spreadsheets/d/1Kvs4KS76FHFqLFIZfrDMff4kP08nblUkihrxltoGBjg/edit#gid=934712705"",""ESENCIAL!A6:BG""),15,FALSE))"),"")</f>
        <v/>
      </c>
      <c r="AY373" s="110" t="str">
        <f ca="1">IFERROR(__xludf.DUMMYFUNCTION("IFERROR(VLOOKUP(E639&amp;F639,IMPORTRANGE(""https://docs.google.com/spreadsheets/d/1Uw7-A9f9R21vMXxHZFNpYNeKFtG8_yji4HS352LGlSQ/edit?pli=1#gid=0"",""1_ACUM!A4:S""),13,FALSE))"),"")</f>
        <v/>
      </c>
      <c r="AZ373" s="43" t="str">
        <f ca="1">IFERROR(__xludf.DUMMYFUNCTION("IFERROR(VLOOKUP(E639&amp;F639,IMPORTRANGE(""https://docs.google.com/spreadsheets/d/1Uw7-A9f9R21vMXxHZFNpYNeKFtG8_yji4HS352LGlSQ/edit?pli=1#gid=0"",""1_ACUM!A4:S""),13,FALSE))"),"")</f>
        <v/>
      </c>
      <c r="BA373" s="43" t="str">
        <f ca="1">IFERROR(__xludf.DUMMYFUNCTION("IFERROR(VLOOKUP(E639&amp;F639,IMPORTRANGE(""https://docs.google.com/spreadsheets/d/1Uw7-A9f9R21vMXxHZFNpYNeKFtG8_yji4HS352LGlSQ/edit?pli=1#gid=0"",""1_ACUM!A4:S""),14,FALSE))"),"")</f>
        <v/>
      </c>
      <c r="BB373" s="43" t="str">
        <f ca="1">IFERROR(__xludf.DUMMYFUNCTION("IFERROR(VLOOKUP(E639&amp;F639,IMPORTRANGE(""https://docs.google.com/spreadsheets/d/1Uw7-A9f9R21vMXxHZFNpYNeKFtG8_yji4HS352LGlSQ/edit?pli=1#gid=0"",""1_ACUM!A4:S""),15,FALSE))"),"")</f>
        <v/>
      </c>
      <c r="BC373" s="43" t="str">
        <f ca="1">IFERROR(__xludf.DUMMYFUNCTION("IFERROR(VLOOKUP(E639&amp;F639,IMPORTRANGE(""https://docs.google.com/spreadsheets/d/1Uw7-A9f9R21vMXxHZFNpYNeKFtG8_yji4HS352LGlSQ/edit?pli=1#gid=0"",""1_ACUM!A4:S""),16,FALSE))"),"")</f>
        <v/>
      </c>
      <c r="BD373" s="43" t="str">
        <f ca="1">IFERROR(__xludf.DUMMYFUNCTION("IFERROR(VLOOKUP(E639&amp;F639,IMPORTRANGE(""https://docs.google.com/spreadsheets/d/1Uw7-A9f9R21vMXxHZFNpYNeKFtG8_yji4HS352LGlSQ/edit?pli=1#gid=0"",""1_ACUM!A4:S""),17,FALSE))"),"")</f>
        <v/>
      </c>
      <c r="BE373" s="44" t="str">
        <f ca="1">IFERROR(__xludf.DUMMYFUNCTION("IFERROR(VLOOKUP(E639&amp;F639,IMPORTRANGE(""https://docs.google.com/spreadsheets/d/1Uw7-A9f9R21vMXxHZFNpYNeKFtG8_yji4HS352LGlSQ/edit?pli=1#gid=0"",""1_ACUM!A4:S""),18,FALSE))"),"")</f>
        <v/>
      </c>
      <c r="BF373" s="44" t="str">
        <f ca="1">IFERROR(__xludf.DUMMYFUNCTION("IFERROR(VLOOKUP(E639&amp;F639,IMPORTRANGE(""https://docs.google.com/spreadsheets/d/1Uw7-A9f9R21vMXxHZFNpYNeKFtG8_yji4HS352LGlSQ/edit?pli=1#gid=0"",""1_ACUM!A4:S""),19,FALSE))"),"")</f>
        <v/>
      </c>
      <c r="BG373" s="98" t="str">
        <f ca="1">IFERROR(__xludf.DUMMYFUNCTION("IFERROR(VLOOKUP(F639,IMPORTRANGE(""https://docs.google.com/spreadsheets/d/1Kvs4KS76FHFqLFIZfrDMff4kP08nblUkihrxltoGBjg/edit#gid=934712705"",""ESENCIAL!A6:BG""),5,FALSE))"),"")</f>
        <v/>
      </c>
      <c r="BH373" s="98" t="str">
        <f t="shared" si="21"/>
        <v/>
      </c>
      <c r="BI373" s="99" t="str">
        <f t="shared" si="22"/>
        <v/>
      </c>
      <c r="BJ373" s="100" t="str">
        <f ca="1">IFERROR(__xludf.DUMMYFUNCTION("IFERROR(VLOOKUP(F639,IMPORTRANGE(""https://docs.google.com/spreadsheets/d/1Kvs4KS76FHFqLFIZfrDMff4kP08nblUkihrxltoGBjg/edit#gid=934712705"",""ESENCIAL!A6:BG""),2,FALSE))"),"")</f>
        <v/>
      </c>
      <c r="BK373" s="19" t="str">
        <f t="shared" si="23"/>
        <v/>
      </c>
      <c r="BL373" s="100"/>
      <c r="BM373" s="100"/>
    </row>
    <row r="374" spans="2:65" ht="15">
      <c r="B374" s="39"/>
      <c r="C374" s="5"/>
      <c r="D374" s="123"/>
      <c r="E374" s="39"/>
      <c r="F374" s="39"/>
      <c r="G374" s="39"/>
      <c r="H374" s="5" t="str">
        <f ca="1">IFERROR(__xludf.DUMMYFUNCTION("IFERROR(VLOOKUP(F640,IMPORTRANGE(""https://docs.google.com/spreadsheets/d/1Kvs4KS76FHFqLFIZfrDMff4kP08nblUkihrxltoGBjg/edit#gid=934712705"",""ESENCIAL!A6:BG""),3,FALSE))"),"")</f>
        <v/>
      </c>
      <c r="I374" s="5" t="str">
        <f ca="1">IFERROR(__xludf.DUMMYFUNCTION("IFERROR(VLOOKUP(F640,IMPORTRANGE(""https://docs.google.com/spreadsheets/d/1Kvs4KS76FHFqLFIZfrDMff4kP08nblUkihrxltoGBjg/edit#gid=934712705"",""ESENCIAL!A6:BG""),8,FALSE))"),"")</f>
        <v/>
      </c>
      <c r="J374" s="39"/>
      <c r="M374" s="287"/>
      <c r="AV374" s="41" t="str">
        <f t="shared" si="20"/>
        <v/>
      </c>
      <c r="AW374" s="5" t="str">
        <f ca="1">IFERROR(__xludf.DUMMYFUNCTION("IFERROR(VLOOKUP(E640&amp;F640,IMPORTRANGE(""https://docs.google.com/spreadsheets/d/1Uw7-A9f9R21vMXxHZFNpYNeKFtG8_yji4HS352LGlSQ/edit?pli=1#gid=0"",""1_ACUM!A4:S""),11,FALSE))"),"")</f>
        <v/>
      </c>
      <c r="AX374" s="42" t="str">
        <f ca="1">IFERROR(__xludf.DUMMYFUNCTION("IFERROR(VLOOKUP(F640,IMPORTRANGE(""https://docs.google.com/spreadsheets/d/1Kvs4KS76FHFqLFIZfrDMff4kP08nblUkihrxltoGBjg/edit#gid=934712705"",""ESENCIAL!A6:BG""),15,FALSE))"),"")</f>
        <v/>
      </c>
      <c r="AY374" s="110" t="str">
        <f ca="1">IFERROR(__xludf.DUMMYFUNCTION("IFERROR(VLOOKUP(E640&amp;F640,IMPORTRANGE(""https://docs.google.com/spreadsheets/d/1Uw7-A9f9R21vMXxHZFNpYNeKFtG8_yji4HS352LGlSQ/edit?pli=1#gid=0"",""1_ACUM!A4:S""),13,FALSE))"),"")</f>
        <v/>
      </c>
      <c r="AZ374" s="43" t="str">
        <f ca="1">IFERROR(__xludf.DUMMYFUNCTION("IFERROR(VLOOKUP(E640&amp;F640,IMPORTRANGE(""https://docs.google.com/spreadsheets/d/1Uw7-A9f9R21vMXxHZFNpYNeKFtG8_yji4HS352LGlSQ/edit?pli=1#gid=0"",""1_ACUM!A4:S""),13,FALSE))"),"")</f>
        <v/>
      </c>
      <c r="BA374" s="43" t="str">
        <f ca="1">IFERROR(__xludf.DUMMYFUNCTION("IFERROR(VLOOKUP(E640&amp;F640,IMPORTRANGE(""https://docs.google.com/spreadsheets/d/1Uw7-A9f9R21vMXxHZFNpYNeKFtG8_yji4HS352LGlSQ/edit?pli=1#gid=0"",""1_ACUM!A4:S""),14,FALSE))"),"")</f>
        <v/>
      </c>
      <c r="BB374" s="43" t="str">
        <f ca="1">IFERROR(__xludf.DUMMYFUNCTION("IFERROR(VLOOKUP(E640&amp;F640,IMPORTRANGE(""https://docs.google.com/spreadsheets/d/1Uw7-A9f9R21vMXxHZFNpYNeKFtG8_yji4HS352LGlSQ/edit?pli=1#gid=0"",""1_ACUM!A4:S""),15,FALSE))"),"")</f>
        <v/>
      </c>
      <c r="BC374" s="43" t="str">
        <f ca="1">IFERROR(__xludf.DUMMYFUNCTION("IFERROR(VLOOKUP(E640&amp;F640,IMPORTRANGE(""https://docs.google.com/spreadsheets/d/1Uw7-A9f9R21vMXxHZFNpYNeKFtG8_yji4HS352LGlSQ/edit?pli=1#gid=0"",""1_ACUM!A4:S""),16,FALSE))"),"")</f>
        <v/>
      </c>
      <c r="BD374" s="43" t="str">
        <f ca="1">IFERROR(__xludf.DUMMYFUNCTION("IFERROR(VLOOKUP(E640&amp;F640,IMPORTRANGE(""https://docs.google.com/spreadsheets/d/1Uw7-A9f9R21vMXxHZFNpYNeKFtG8_yji4HS352LGlSQ/edit?pli=1#gid=0"",""1_ACUM!A4:S""),17,FALSE))"),"")</f>
        <v/>
      </c>
      <c r="BE374" s="44" t="str">
        <f ca="1">IFERROR(__xludf.DUMMYFUNCTION("IFERROR(VLOOKUP(E640&amp;F640,IMPORTRANGE(""https://docs.google.com/spreadsheets/d/1Uw7-A9f9R21vMXxHZFNpYNeKFtG8_yji4HS352LGlSQ/edit?pli=1#gid=0"",""1_ACUM!A4:S""),18,FALSE))"),"")</f>
        <v/>
      </c>
      <c r="BF374" s="44" t="str">
        <f ca="1">IFERROR(__xludf.DUMMYFUNCTION("IFERROR(VLOOKUP(E640&amp;F640,IMPORTRANGE(""https://docs.google.com/spreadsheets/d/1Uw7-A9f9R21vMXxHZFNpYNeKFtG8_yji4HS352LGlSQ/edit?pli=1#gid=0"",""1_ACUM!A4:S""),19,FALSE))"),"")</f>
        <v/>
      </c>
      <c r="BG374" s="98" t="str">
        <f ca="1">IFERROR(__xludf.DUMMYFUNCTION("IFERROR(VLOOKUP(F640,IMPORTRANGE(""https://docs.google.com/spreadsheets/d/1Kvs4KS76FHFqLFIZfrDMff4kP08nblUkihrxltoGBjg/edit#gid=934712705"",""ESENCIAL!A6:BG""),5,FALSE))"),"")</f>
        <v/>
      </c>
      <c r="BH374" s="98" t="str">
        <f t="shared" si="21"/>
        <v/>
      </c>
      <c r="BI374" s="99" t="str">
        <f t="shared" si="22"/>
        <v/>
      </c>
      <c r="BJ374" s="100" t="str">
        <f ca="1">IFERROR(__xludf.DUMMYFUNCTION("IFERROR(VLOOKUP(F640,IMPORTRANGE(""https://docs.google.com/spreadsheets/d/1Kvs4KS76FHFqLFIZfrDMff4kP08nblUkihrxltoGBjg/edit#gid=934712705"",""ESENCIAL!A6:BG""),2,FALSE))"),"")</f>
        <v/>
      </c>
      <c r="BK374" s="19" t="str">
        <f t="shared" si="23"/>
        <v/>
      </c>
      <c r="BL374" s="100"/>
      <c r="BM374" s="100"/>
    </row>
    <row r="375" spans="2:65" ht="15">
      <c r="B375" s="39"/>
      <c r="C375" s="5"/>
      <c r="D375" s="123"/>
      <c r="E375" s="39"/>
      <c r="F375" s="39"/>
      <c r="G375" s="39"/>
      <c r="H375" s="5" t="str">
        <f ca="1">IFERROR(__xludf.DUMMYFUNCTION("IFERROR(VLOOKUP(F641,IMPORTRANGE(""https://docs.google.com/spreadsheets/d/1Kvs4KS76FHFqLFIZfrDMff4kP08nblUkihrxltoGBjg/edit#gid=934712705"",""ESENCIAL!A6:BG""),3,FALSE))"),"")</f>
        <v/>
      </c>
      <c r="I375" s="5" t="str">
        <f ca="1">IFERROR(__xludf.DUMMYFUNCTION("IFERROR(VLOOKUP(F641,IMPORTRANGE(""https://docs.google.com/spreadsheets/d/1Kvs4KS76FHFqLFIZfrDMff4kP08nblUkihrxltoGBjg/edit#gid=934712705"",""ESENCIAL!A6:BG""),8,FALSE))"),"")</f>
        <v/>
      </c>
      <c r="J375" s="39"/>
      <c r="M375" s="287"/>
      <c r="AV375" s="41" t="str">
        <f t="shared" si="20"/>
        <v/>
      </c>
      <c r="AW375" s="5" t="str">
        <f ca="1">IFERROR(__xludf.DUMMYFUNCTION("IFERROR(VLOOKUP(E641&amp;F641,IMPORTRANGE(""https://docs.google.com/spreadsheets/d/1Uw7-A9f9R21vMXxHZFNpYNeKFtG8_yji4HS352LGlSQ/edit?pli=1#gid=0"",""1_ACUM!A4:S""),11,FALSE))"),"")</f>
        <v/>
      </c>
      <c r="AX375" s="42" t="str">
        <f ca="1">IFERROR(__xludf.DUMMYFUNCTION("IFERROR(VLOOKUP(F641,IMPORTRANGE(""https://docs.google.com/spreadsheets/d/1Kvs4KS76FHFqLFIZfrDMff4kP08nblUkihrxltoGBjg/edit#gid=934712705"",""ESENCIAL!A6:BG""),15,FALSE))"),"")</f>
        <v/>
      </c>
      <c r="AY375" s="110" t="str">
        <f ca="1">IFERROR(__xludf.DUMMYFUNCTION("IFERROR(VLOOKUP(E641&amp;F641,IMPORTRANGE(""https://docs.google.com/spreadsheets/d/1Uw7-A9f9R21vMXxHZFNpYNeKFtG8_yji4HS352LGlSQ/edit?pli=1#gid=0"",""1_ACUM!A4:S""),13,FALSE))"),"")</f>
        <v/>
      </c>
      <c r="AZ375" s="43" t="str">
        <f ca="1">IFERROR(__xludf.DUMMYFUNCTION("IFERROR(VLOOKUP(E641&amp;F641,IMPORTRANGE(""https://docs.google.com/spreadsheets/d/1Uw7-A9f9R21vMXxHZFNpYNeKFtG8_yji4HS352LGlSQ/edit?pli=1#gid=0"",""1_ACUM!A4:S""),13,FALSE))"),"")</f>
        <v/>
      </c>
      <c r="BA375" s="43" t="str">
        <f ca="1">IFERROR(__xludf.DUMMYFUNCTION("IFERROR(VLOOKUP(E641&amp;F641,IMPORTRANGE(""https://docs.google.com/spreadsheets/d/1Uw7-A9f9R21vMXxHZFNpYNeKFtG8_yji4HS352LGlSQ/edit?pli=1#gid=0"",""1_ACUM!A4:S""),14,FALSE))"),"")</f>
        <v/>
      </c>
      <c r="BB375" s="43" t="str">
        <f ca="1">IFERROR(__xludf.DUMMYFUNCTION("IFERROR(VLOOKUP(E641&amp;F641,IMPORTRANGE(""https://docs.google.com/spreadsheets/d/1Uw7-A9f9R21vMXxHZFNpYNeKFtG8_yji4HS352LGlSQ/edit?pli=1#gid=0"",""1_ACUM!A4:S""),15,FALSE))"),"")</f>
        <v/>
      </c>
      <c r="BC375" s="43" t="str">
        <f ca="1">IFERROR(__xludf.DUMMYFUNCTION("IFERROR(VLOOKUP(E641&amp;F641,IMPORTRANGE(""https://docs.google.com/spreadsheets/d/1Uw7-A9f9R21vMXxHZFNpYNeKFtG8_yji4HS352LGlSQ/edit?pli=1#gid=0"",""1_ACUM!A4:S""),16,FALSE))"),"")</f>
        <v/>
      </c>
      <c r="BD375" s="43" t="str">
        <f ca="1">IFERROR(__xludf.DUMMYFUNCTION("IFERROR(VLOOKUP(E641&amp;F641,IMPORTRANGE(""https://docs.google.com/spreadsheets/d/1Uw7-A9f9R21vMXxHZFNpYNeKFtG8_yji4HS352LGlSQ/edit?pli=1#gid=0"",""1_ACUM!A4:S""),17,FALSE))"),"")</f>
        <v/>
      </c>
      <c r="BE375" s="44" t="str">
        <f ca="1">IFERROR(__xludf.DUMMYFUNCTION("IFERROR(VLOOKUP(E641&amp;F641,IMPORTRANGE(""https://docs.google.com/spreadsheets/d/1Uw7-A9f9R21vMXxHZFNpYNeKFtG8_yji4HS352LGlSQ/edit?pli=1#gid=0"",""1_ACUM!A4:S""),18,FALSE))"),"")</f>
        <v/>
      </c>
      <c r="BF375" s="44" t="str">
        <f ca="1">IFERROR(__xludf.DUMMYFUNCTION("IFERROR(VLOOKUP(E641&amp;F641,IMPORTRANGE(""https://docs.google.com/spreadsheets/d/1Uw7-A9f9R21vMXxHZFNpYNeKFtG8_yji4HS352LGlSQ/edit?pli=1#gid=0"",""1_ACUM!A4:S""),19,FALSE))"),"")</f>
        <v/>
      </c>
      <c r="BG375" s="98" t="str">
        <f ca="1">IFERROR(__xludf.DUMMYFUNCTION("IFERROR(VLOOKUP(F641,IMPORTRANGE(""https://docs.google.com/spreadsheets/d/1Kvs4KS76FHFqLFIZfrDMff4kP08nblUkihrxltoGBjg/edit#gid=934712705"",""ESENCIAL!A6:BG""),5,FALSE))"),"")</f>
        <v/>
      </c>
      <c r="BH375" s="98" t="str">
        <f t="shared" si="21"/>
        <v/>
      </c>
      <c r="BI375" s="99" t="str">
        <f t="shared" si="22"/>
        <v/>
      </c>
      <c r="BJ375" s="100" t="str">
        <f ca="1">IFERROR(__xludf.DUMMYFUNCTION("IFERROR(VLOOKUP(F641,IMPORTRANGE(""https://docs.google.com/spreadsheets/d/1Kvs4KS76FHFqLFIZfrDMff4kP08nblUkihrxltoGBjg/edit#gid=934712705"",""ESENCIAL!A6:BG""),2,FALSE))"),"")</f>
        <v/>
      </c>
      <c r="BK375" s="19" t="str">
        <f t="shared" si="23"/>
        <v/>
      </c>
      <c r="BL375" s="100"/>
      <c r="BM375" s="100"/>
    </row>
    <row r="376" spans="2:65" ht="15">
      <c r="B376" s="39"/>
      <c r="C376" s="5"/>
      <c r="D376" s="123"/>
      <c r="E376" s="39"/>
      <c r="F376" s="39"/>
      <c r="G376" s="39"/>
      <c r="H376" s="5" t="str">
        <f ca="1">IFERROR(__xludf.DUMMYFUNCTION("IFERROR(VLOOKUP(F642,IMPORTRANGE(""https://docs.google.com/spreadsheets/d/1Kvs4KS76FHFqLFIZfrDMff4kP08nblUkihrxltoGBjg/edit#gid=934712705"",""ESENCIAL!A6:BG""),3,FALSE))"),"")</f>
        <v/>
      </c>
      <c r="I376" s="5" t="str">
        <f ca="1">IFERROR(__xludf.DUMMYFUNCTION("IFERROR(VLOOKUP(F642,IMPORTRANGE(""https://docs.google.com/spreadsheets/d/1Kvs4KS76FHFqLFIZfrDMff4kP08nblUkihrxltoGBjg/edit#gid=934712705"",""ESENCIAL!A6:BG""),8,FALSE))"),"")</f>
        <v/>
      </c>
      <c r="J376" s="39"/>
      <c r="M376" s="287"/>
      <c r="AV376" s="41" t="str">
        <f t="shared" si="20"/>
        <v/>
      </c>
      <c r="AW376" s="5" t="str">
        <f ca="1">IFERROR(__xludf.DUMMYFUNCTION("IFERROR(VLOOKUP(E642&amp;F642,IMPORTRANGE(""https://docs.google.com/spreadsheets/d/1Uw7-A9f9R21vMXxHZFNpYNeKFtG8_yji4HS352LGlSQ/edit?pli=1#gid=0"",""1_ACUM!A4:S""),11,FALSE))"),"")</f>
        <v/>
      </c>
      <c r="AX376" s="42" t="str">
        <f ca="1">IFERROR(__xludf.DUMMYFUNCTION("IFERROR(VLOOKUP(F642,IMPORTRANGE(""https://docs.google.com/spreadsheets/d/1Kvs4KS76FHFqLFIZfrDMff4kP08nblUkihrxltoGBjg/edit#gid=934712705"",""ESENCIAL!A6:BG""),15,FALSE))"),"")</f>
        <v/>
      </c>
      <c r="AY376" s="110" t="str">
        <f ca="1">IFERROR(__xludf.DUMMYFUNCTION("IFERROR(VLOOKUP(E642&amp;F642,IMPORTRANGE(""https://docs.google.com/spreadsheets/d/1Uw7-A9f9R21vMXxHZFNpYNeKFtG8_yji4HS352LGlSQ/edit?pli=1#gid=0"",""1_ACUM!A4:S""),13,FALSE))"),"")</f>
        <v/>
      </c>
      <c r="AZ376" s="43" t="str">
        <f ca="1">IFERROR(__xludf.DUMMYFUNCTION("IFERROR(VLOOKUP(E642&amp;F642,IMPORTRANGE(""https://docs.google.com/spreadsheets/d/1Uw7-A9f9R21vMXxHZFNpYNeKFtG8_yji4HS352LGlSQ/edit?pli=1#gid=0"",""1_ACUM!A4:S""),13,FALSE))"),"")</f>
        <v/>
      </c>
      <c r="BA376" s="43" t="str">
        <f ca="1">IFERROR(__xludf.DUMMYFUNCTION("IFERROR(VLOOKUP(E642&amp;F642,IMPORTRANGE(""https://docs.google.com/spreadsheets/d/1Uw7-A9f9R21vMXxHZFNpYNeKFtG8_yji4HS352LGlSQ/edit?pli=1#gid=0"",""1_ACUM!A4:S""),14,FALSE))"),"")</f>
        <v/>
      </c>
      <c r="BB376" s="43" t="str">
        <f ca="1">IFERROR(__xludf.DUMMYFUNCTION("IFERROR(VLOOKUP(E642&amp;F642,IMPORTRANGE(""https://docs.google.com/spreadsheets/d/1Uw7-A9f9R21vMXxHZFNpYNeKFtG8_yji4HS352LGlSQ/edit?pli=1#gid=0"",""1_ACUM!A4:S""),15,FALSE))"),"")</f>
        <v/>
      </c>
      <c r="BC376" s="43" t="str">
        <f ca="1">IFERROR(__xludf.DUMMYFUNCTION("IFERROR(VLOOKUP(E642&amp;F642,IMPORTRANGE(""https://docs.google.com/spreadsheets/d/1Uw7-A9f9R21vMXxHZFNpYNeKFtG8_yji4HS352LGlSQ/edit?pli=1#gid=0"",""1_ACUM!A4:S""),16,FALSE))"),"")</f>
        <v/>
      </c>
      <c r="BD376" s="43" t="str">
        <f ca="1">IFERROR(__xludf.DUMMYFUNCTION("IFERROR(VLOOKUP(E642&amp;F642,IMPORTRANGE(""https://docs.google.com/spreadsheets/d/1Uw7-A9f9R21vMXxHZFNpYNeKFtG8_yji4HS352LGlSQ/edit?pli=1#gid=0"",""1_ACUM!A4:S""),17,FALSE))"),"")</f>
        <v/>
      </c>
      <c r="BE376" s="44" t="str">
        <f ca="1">IFERROR(__xludf.DUMMYFUNCTION("IFERROR(VLOOKUP(E642&amp;F642,IMPORTRANGE(""https://docs.google.com/spreadsheets/d/1Uw7-A9f9R21vMXxHZFNpYNeKFtG8_yji4HS352LGlSQ/edit?pli=1#gid=0"",""1_ACUM!A4:S""),18,FALSE))"),"")</f>
        <v/>
      </c>
      <c r="BF376" s="44" t="str">
        <f ca="1">IFERROR(__xludf.DUMMYFUNCTION("IFERROR(VLOOKUP(E642&amp;F642,IMPORTRANGE(""https://docs.google.com/spreadsheets/d/1Uw7-A9f9R21vMXxHZFNpYNeKFtG8_yji4HS352LGlSQ/edit?pli=1#gid=0"",""1_ACUM!A4:S""),19,FALSE))"),"")</f>
        <v/>
      </c>
      <c r="BG376" s="98" t="str">
        <f ca="1">IFERROR(__xludf.DUMMYFUNCTION("IFERROR(VLOOKUP(F642,IMPORTRANGE(""https://docs.google.com/spreadsheets/d/1Kvs4KS76FHFqLFIZfrDMff4kP08nblUkihrxltoGBjg/edit#gid=934712705"",""ESENCIAL!A6:BG""),5,FALSE))"),"")</f>
        <v/>
      </c>
      <c r="BH376" s="98" t="str">
        <f t="shared" si="21"/>
        <v/>
      </c>
      <c r="BI376" s="99" t="str">
        <f t="shared" si="22"/>
        <v/>
      </c>
      <c r="BJ376" s="100" t="str">
        <f ca="1">IFERROR(__xludf.DUMMYFUNCTION("IFERROR(VLOOKUP(F642,IMPORTRANGE(""https://docs.google.com/spreadsheets/d/1Kvs4KS76FHFqLFIZfrDMff4kP08nblUkihrxltoGBjg/edit#gid=934712705"",""ESENCIAL!A6:BG""),2,FALSE))"),"")</f>
        <v/>
      </c>
      <c r="BK376" s="19" t="str">
        <f t="shared" si="23"/>
        <v/>
      </c>
      <c r="BL376" s="100"/>
      <c r="BM376" s="100"/>
    </row>
    <row r="377" spans="2:65" ht="15">
      <c r="B377" s="39"/>
      <c r="C377" s="5"/>
      <c r="D377" s="123"/>
      <c r="E377" s="39"/>
      <c r="F377" s="39"/>
      <c r="G377" s="39"/>
      <c r="H377" s="5" t="str">
        <f ca="1">IFERROR(__xludf.DUMMYFUNCTION("IFERROR(VLOOKUP(F643,IMPORTRANGE(""https://docs.google.com/spreadsheets/d/1Kvs4KS76FHFqLFIZfrDMff4kP08nblUkihrxltoGBjg/edit#gid=934712705"",""ESENCIAL!A6:BG""),3,FALSE))"),"")</f>
        <v/>
      </c>
      <c r="I377" s="5" t="str">
        <f ca="1">IFERROR(__xludf.DUMMYFUNCTION("IFERROR(VLOOKUP(F643,IMPORTRANGE(""https://docs.google.com/spreadsheets/d/1Kvs4KS76FHFqLFIZfrDMff4kP08nblUkihrxltoGBjg/edit#gid=934712705"",""ESENCIAL!A6:BG""),8,FALSE))"),"")</f>
        <v/>
      </c>
      <c r="J377" s="39"/>
      <c r="M377" s="287"/>
      <c r="AV377" s="41" t="str">
        <f t="shared" si="20"/>
        <v/>
      </c>
      <c r="AW377" s="5" t="str">
        <f ca="1">IFERROR(__xludf.DUMMYFUNCTION("IFERROR(VLOOKUP(E643&amp;F643,IMPORTRANGE(""https://docs.google.com/spreadsheets/d/1Uw7-A9f9R21vMXxHZFNpYNeKFtG8_yji4HS352LGlSQ/edit?pli=1#gid=0"",""1_ACUM!A4:S""),11,FALSE))"),"")</f>
        <v/>
      </c>
      <c r="AX377" s="42" t="str">
        <f ca="1">IFERROR(__xludf.DUMMYFUNCTION("IFERROR(VLOOKUP(F643,IMPORTRANGE(""https://docs.google.com/spreadsheets/d/1Kvs4KS76FHFqLFIZfrDMff4kP08nblUkihrxltoGBjg/edit#gid=934712705"",""ESENCIAL!A6:BG""),15,FALSE))"),"")</f>
        <v/>
      </c>
      <c r="AY377" s="110" t="str">
        <f ca="1">IFERROR(__xludf.DUMMYFUNCTION("IFERROR(VLOOKUP(E643&amp;F643,IMPORTRANGE(""https://docs.google.com/spreadsheets/d/1Uw7-A9f9R21vMXxHZFNpYNeKFtG8_yji4HS352LGlSQ/edit?pli=1#gid=0"",""1_ACUM!A4:S""),13,FALSE))"),"")</f>
        <v/>
      </c>
      <c r="AZ377" s="43" t="str">
        <f ca="1">IFERROR(__xludf.DUMMYFUNCTION("IFERROR(VLOOKUP(E643&amp;F643,IMPORTRANGE(""https://docs.google.com/spreadsheets/d/1Uw7-A9f9R21vMXxHZFNpYNeKFtG8_yji4HS352LGlSQ/edit?pli=1#gid=0"",""1_ACUM!A4:S""),13,FALSE))"),"")</f>
        <v/>
      </c>
      <c r="BA377" s="43" t="str">
        <f ca="1">IFERROR(__xludf.DUMMYFUNCTION("IFERROR(VLOOKUP(E643&amp;F643,IMPORTRANGE(""https://docs.google.com/spreadsheets/d/1Uw7-A9f9R21vMXxHZFNpYNeKFtG8_yji4HS352LGlSQ/edit?pli=1#gid=0"",""1_ACUM!A4:S""),14,FALSE))"),"")</f>
        <v/>
      </c>
      <c r="BB377" s="43" t="str">
        <f ca="1">IFERROR(__xludf.DUMMYFUNCTION("IFERROR(VLOOKUP(E643&amp;F643,IMPORTRANGE(""https://docs.google.com/spreadsheets/d/1Uw7-A9f9R21vMXxHZFNpYNeKFtG8_yji4HS352LGlSQ/edit?pli=1#gid=0"",""1_ACUM!A4:S""),15,FALSE))"),"")</f>
        <v/>
      </c>
      <c r="BC377" s="43" t="str">
        <f ca="1">IFERROR(__xludf.DUMMYFUNCTION("IFERROR(VLOOKUP(E643&amp;F643,IMPORTRANGE(""https://docs.google.com/spreadsheets/d/1Uw7-A9f9R21vMXxHZFNpYNeKFtG8_yji4HS352LGlSQ/edit?pli=1#gid=0"",""1_ACUM!A4:S""),16,FALSE))"),"")</f>
        <v/>
      </c>
      <c r="BD377" s="43" t="str">
        <f ca="1">IFERROR(__xludf.DUMMYFUNCTION("IFERROR(VLOOKUP(E643&amp;F643,IMPORTRANGE(""https://docs.google.com/spreadsheets/d/1Uw7-A9f9R21vMXxHZFNpYNeKFtG8_yji4HS352LGlSQ/edit?pli=1#gid=0"",""1_ACUM!A4:S""),17,FALSE))"),"")</f>
        <v/>
      </c>
      <c r="BE377" s="44" t="str">
        <f ca="1">IFERROR(__xludf.DUMMYFUNCTION("IFERROR(VLOOKUP(E643&amp;F643,IMPORTRANGE(""https://docs.google.com/spreadsheets/d/1Uw7-A9f9R21vMXxHZFNpYNeKFtG8_yji4HS352LGlSQ/edit?pli=1#gid=0"",""1_ACUM!A4:S""),18,FALSE))"),"")</f>
        <v/>
      </c>
      <c r="BF377" s="44" t="str">
        <f ca="1">IFERROR(__xludf.DUMMYFUNCTION("IFERROR(VLOOKUP(E643&amp;F643,IMPORTRANGE(""https://docs.google.com/spreadsheets/d/1Uw7-A9f9R21vMXxHZFNpYNeKFtG8_yji4HS352LGlSQ/edit?pli=1#gid=0"",""1_ACUM!A4:S""),19,FALSE))"),"")</f>
        <v/>
      </c>
      <c r="BG377" s="98" t="str">
        <f ca="1">IFERROR(__xludf.DUMMYFUNCTION("IFERROR(VLOOKUP(F643,IMPORTRANGE(""https://docs.google.com/spreadsheets/d/1Kvs4KS76FHFqLFIZfrDMff4kP08nblUkihrxltoGBjg/edit#gid=934712705"",""ESENCIAL!A6:BG""),5,FALSE))"),"")</f>
        <v/>
      </c>
      <c r="BH377" s="98" t="str">
        <f t="shared" si="21"/>
        <v/>
      </c>
      <c r="BI377" s="99" t="str">
        <f t="shared" si="22"/>
        <v/>
      </c>
      <c r="BJ377" s="100" t="str">
        <f ca="1">IFERROR(__xludf.DUMMYFUNCTION("IFERROR(VLOOKUP(F643,IMPORTRANGE(""https://docs.google.com/spreadsheets/d/1Kvs4KS76FHFqLFIZfrDMff4kP08nblUkihrxltoGBjg/edit#gid=934712705"",""ESENCIAL!A6:BG""),2,FALSE))"),"")</f>
        <v/>
      </c>
      <c r="BK377" s="19" t="str">
        <f t="shared" si="23"/>
        <v/>
      </c>
      <c r="BL377" s="100"/>
      <c r="BM377" s="100"/>
    </row>
    <row r="378" spans="2:65" ht="15">
      <c r="B378" s="39"/>
      <c r="C378" s="5"/>
      <c r="D378" s="123"/>
      <c r="E378" s="39"/>
      <c r="F378" s="39"/>
      <c r="G378" s="39"/>
      <c r="H378" s="5" t="str">
        <f ca="1">IFERROR(__xludf.DUMMYFUNCTION("IFERROR(VLOOKUP(F644,IMPORTRANGE(""https://docs.google.com/spreadsheets/d/1Kvs4KS76FHFqLFIZfrDMff4kP08nblUkihrxltoGBjg/edit#gid=934712705"",""ESENCIAL!A6:BG""),3,FALSE))"),"")</f>
        <v/>
      </c>
      <c r="I378" s="5" t="str">
        <f ca="1">IFERROR(__xludf.DUMMYFUNCTION("IFERROR(VLOOKUP(F644,IMPORTRANGE(""https://docs.google.com/spreadsheets/d/1Kvs4KS76FHFqLFIZfrDMff4kP08nblUkihrxltoGBjg/edit#gid=934712705"",""ESENCIAL!A6:BG""),8,FALSE))"),"")</f>
        <v/>
      </c>
      <c r="J378" s="39"/>
      <c r="M378" s="287"/>
      <c r="AV378" s="41" t="str">
        <f t="shared" si="20"/>
        <v/>
      </c>
      <c r="AW378" s="5" t="str">
        <f ca="1">IFERROR(__xludf.DUMMYFUNCTION("IFERROR(VLOOKUP(E644&amp;F644,IMPORTRANGE(""https://docs.google.com/spreadsheets/d/1Uw7-A9f9R21vMXxHZFNpYNeKFtG8_yji4HS352LGlSQ/edit?pli=1#gid=0"",""1_ACUM!A4:S""),11,FALSE))"),"")</f>
        <v/>
      </c>
      <c r="AX378" s="42" t="str">
        <f ca="1">IFERROR(__xludf.DUMMYFUNCTION("IFERROR(VLOOKUP(F644,IMPORTRANGE(""https://docs.google.com/spreadsheets/d/1Kvs4KS76FHFqLFIZfrDMff4kP08nblUkihrxltoGBjg/edit#gid=934712705"",""ESENCIAL!A6:BG""),15,FALSE))"),"")</f>
        <v/>
      </c>
      <c r="AY378" s="110" t="str">
        <f ca="1">IFERROR(__xludf.DUMMYFUNCTION("IFERROR(VLOOKUP(E644&amp;F644,IMPORTRANGE(""https://docs.google.com/spreadsheets/d/1Uw7-A9f9R21vMXxHZFNpYNeKFtG8_yji4HS352LGlSQ/edit?pli=1#gid=0"",""1_ACUM!A4:S""),13,FALSE))"),"")</f>
        <v/>
      </c>
      <c r="AZ378" s="43" t="str">
        <f ca="1">IFERROR(__xludf.DUMMYFUNCTION("IFERROR(VLOOKUP(E644&amp;F644,IMPORTRANGE(""https://docs.google.com/spreadsheets/d/1Uw7-A9f9R21vMXxHZFNpYNeKFtG8_yji4HS352LGlSQ/edit?pli=1#gid=0"",""1_ACUM!A4:S""),13,FALSE))"),"")</f>
        <v/>
      </c>
      <c r="BA378" s="43" t="str">
        <f ca="1">IFERROR(__xludf.DUMMYFUNCTION("IFERROR(VLOOKUP(E644&amp;F644,IMPORTRANGE(""https://docs.google.com/spreadsheets/d/1Uw7-A9f9R21vMXxHZFNpYNeKFtG8_yji4HS352LGlSQ/edit?pli=1#gid=0"",""1_ACUM!A4:S""),14,FALSE))"),"")</f>
        <v/>
      </c>
      <c r="BB378" s="43" t="str">
        <f ca="1">IFERROR(__xludf.DUMMYFUNCTION("IFERROR(VLOOKUP(E644&amp;F644,IMPORTRANGE(""https://docs.google.com/spreadsheets/d/1Uw7-A9f9R21vMXxHZFNpYNeKFtG8_yji4HS352LGlSQ/edit?pli=1#gid=0"",""1_ACUM!A4:S""),15,FALSE))"),"")</f>
        <v/>
      </c>
      <c r="BC378" s="43" t="str">
        <f ca="1">IFERROR(__xludf.DUMMYFUNCTION("IFERROR(VLOOKUP(E644&amp;F644,IMPORTRANGE(""https://docs.google.com/spreadsheets/d/1Uw7-A9f9R21vMXxHZFNpYNeKFtG8_yji4HS352LGlSQ/edit?pli=1#gid=0"",""1_ACUM!A4:S""),16,FALSE))"),"")</f>
        <v/>
      </c>
      <c r="BD378" s="43" t="str">
        <f ca="1">IFERROR(__xludf.DUMMYFUNCTION("IFERROR(VLOOKUP(E644&amp;F644,IMPORTRANGE(""https://docs.google.com/spreadsheets/d/1Uw7-A9f9R21vMXxHZFNpYNeKFtG8_yji4HS352LGlSQ/edit?pli=1#gid=0"",""1_ACUM!A4:S""),17,FALSE))"),"")</f>
        <v/>
      </c>
      <c r="BE378" s="44" t="str">
        <f ca="1">IFERROR(__xludf.DUMMYFUNCTION("IFERROR(VLOOKUP(E644&amp;F644,IMPORTRANGE(""https://docs.google.com/spreadsheets/d/1Uw7-A9f9R21vMXxHZFNpYNeKFtG8_yji4HS352LGlSQ/edit?pli=1#gid=0"",""1_ACUM!A4:S""),18,FALSE))"),"")</f>
        <v/>
      </c>
      <c r="BF378" s="44" t="str">
        <f ca="1">IFERROR(__xludf.DUMMYFUNCTION("IFERROR(VLOOKUP(E644&amp;F644,IMPORTRANGE(""https://docs.google.com/spreadsheets/d/1Uw7-A9f9R21vMXxHZFNpYNeKFtG8_yji4HS352LGlSQ/edit?pli=1#gid=0"",""1_ACUM!A4:S""),19,FALSE))"),"")</f>
        <v/>
      </c>
      <c r="BG378" s="98" t="str">
        <f ca="1">IFERROR(__xludf.DUMMYFUNCTION("IFERROR(VLOOKUP(F644,IMPORTRANGE(""https://docs.google.com/spreadsheets/d/1Kvs4KS76FHFqLFIZfrDMff4kP08nblUkihrxltoGBjg/edit#gid=934712705"",""ESENCIAL!A6:BG""),5,FALSE))"),"")</f>
        <v/>
      </c>
      <c r="BH378" s="98" t="str">
        <f t="shared" si="21"/>
        <v/>
      </c>
      <c r="BI378" s="99" t="str">
        <f t="shared" si="22"/>
        <v/>
      </c>
      <c r="BJ378" s="100" t="str">
        <f ca="1">IFERROR(__xludf.DUMMYFUNCTION("IFERROR(VLOOKUP(F644,IMPORTRANGE(""https://docs.google.com/spreadsheets/d/1Kvs4KS76FHFqLFIZfrDMff4kP08nblUkihrxltoGBjg/edit#gid=934712705"",""ESENCIAL!A6:BG""),2,FALSE))"),"")</f>
        <v/>
      </c>
      <c r="BK378" s="19" t="str">
        <f t="shared" si="23"/>
        <v/>
      </c>
      <c r="BL378" s="100"/>
      <c r="BM378" s="100"/>
    </row>
    <row r="379" spans="2:65" ht="15">
      <c r="B379" s="39"/>
      <c r="C379" s="5"/>
      <c r="D379" s="123"/>
      <c r="E379" s="39"/>
      <c r="F379" s="39"/>
      <c r="G379" s="39"/>
      <c r="H379" s="5" t="str">
        <f ca="1">IFERROR(__xludf.DUMMYFUNCTION("IFERROR(VLOOKUP(F645,IMPORTRANGE(""https://docs.google.com/spreadsheets/d/1Kvs4KS76FHFqLFIZfrDMff4kP08nblUkihrxltoGBjg/edit#gid=934712705"",""ESENCIAL!A6:BG""),3,FALSE))"),"")</f>
        <v/>
      </c>
      <c r="I379" s="5" t="str">
        <f ca="1">IFERROR(__xludf.DUMMYFUNCTION("IFERROR(VLOOKUP(F645,IMPORTRANGE(""https://docs.google.com/spreadsheets/d/1Kvs4KS76FHFqLFIZfrDMff4kP08nblUkihrxltoGBjg/edit#gid=934712705"",""ESENCIAL!A6:BG""),8,FALSE))"),"")</f>
        <v/>
      </c>
      <c r="J379" s="39"/>
      <c r="M379" s="287"/>
      <c r="AV379" s="41" t="str">
        <f t="shared" si="20"/>
        <v/>
      </c>
      <c r="AW379" s="5" t="str">
        <f ca="1">IFERROR(__xludf.DUMMYFUNCTION("IFERROR(VLOOKUP(E645&amp;F645,IMPORTRANGE(""https://docs.google.com/spreadsheets/d/1Uw7-A9f9R21vMXxHZFNpYNeKFtG8_yji4HS352LGlSQ/edit?pli=1#gid=0"",""1_ACUM!A4:S""),11,FALSE))"),"")</f>
        <v/>
      </c>
      <c r="AX379" s="42" t="str">
        <f ca="1">IFERROR(__xludf.DUMMYFUNCTION("IFERROR(VLOOKUP(F645,IMPORTRANGE(""https://docs.google.com/spreadsheets/d/1Kvs4KS76FHFqLFIZfrDMff4kP08nblUkihrxltoGBjg/edit#gid=934712705"",""ESENCIAL!A6:BG""),15,FALSE))"),"")</f>
        <v/>
      </c>
      <c r="AY379" s="110" t="str">
        <f ca="1">IFERROR(__xludf.DUMMYFUNCTION("IFERROR(VLOOKUP(E645&amp;F645,IMPORTRANGE(""https://docs.google.com/spreadsheets/d/1Uw7-A9f9R21vMXxHZFNpYNeKFtG8_yji4HS352LGlSQ/edit?pli=1#gid=0"",""1_ACUM!A4:S""),13,FALSE))"),"")</f>
        <v/>
      </c>
      <c r="AZ379" s="43" t="str">
        <f ca="1">IFERROR(__xludf.DUMMYFUNCTION("IFERROR(VLOOKUP(E645&amp;F645,IMPORTRANGE(""https://docs.google.com/spreadsheets/d/1Uw7-A9f9R21vMXxHZFNpYNeKFtG8_yji4HS352LGlSQ/edit?pli=1#gid=0"",""1_ACUM!A4:S""),13,FALSE))"),"")</f>
        <v/>
      </c>
      <c r="BA379" s="43" t="str">
        <f ca="1">IFERROR(__xludf.DUMMYFUNCTION("IFERROR(VLOOKUP(E645&amp;F645,IMPORTRANGE(""https://docs.google.com/spreadsheets/d/1Uw7-A9f9R21vMXxHZFNpYNeKFtG8_yji4HS352LGlSQ/edit?pli=1#gid=0"",""1_ACUM!A4:S""),14,FALSE))"),"")</f>
        <v/>
      </c>
      <c r="BB379" s="43" t="str">
        <f ca="1">IFERROR(__xludf.DUMMYFUNCTION("IFERROR(VLOOKUP(E645&amp;F645,IMPORTRANGE(""https://docs.google.com/spreadsheets/d/1Uw7-A9f9R21vMXxHZFNpYNeKFtG8_yji4HS352LGlSQ/edit?pli=1#gid=0"",""1_ACUM!A4:S""),15,FALSE))"),"")</f>
        <v/>
      </c>
      <c r="BC379" s="43" t="str">
        <f ca="1">IFERROR(__xludf.DUMMYFUNCTION("IFERROR(VLOOKUP(E645&amp;F645,IMPORTRANGE(""https://docs.google.com/spreadsheets/d/1Uw7-A9f9R21vMXxHZFNpYNeKFtG8_yji4HS352LGlSQ/edit?pli=1#gid=0"",""1_ACUM!A4:S""),16,FALSE))"),"")</f>
        <v/>
      </c>
      <c r="BD379" s="43" t="str">
        <f ca="1">IFERROR(__xludf.DUMMYFUNCTION("IFERROR(VLOOKUP(E645&amp;F645,IMPORTRANGE(""https://docs.google.com/spreadsheets/d/1Uw7-A9f9R21vMXxHZFNpYNeKFtG8_yji4HS352LGlSQ/edit?pli=1#gid=0"",""1_ACUM!A4:S""),17,FALSE))"),"")</f>
        <v/>
      </c>
      <c r="BE379" s="44" t="str">
        <f ca="1">IFERROR(__xludf.DUMMYFUNCTION("IFERROR(VLOOKUP(E645&amp;F645,IMPORTRANGE(""https://docs.google.com/spreadsheets/d/1Uw7-A9f9R21vMXxHZFNpYNeKFtG8_yji4HS352LGlSQ/edit?pli=1#gid=0"",""1_ACUM!A4:S""),18,FALSE))"),"")</f>
        <v/>
      </c>
      <c r="BF379" s="44" t="str">
        <f ca="1">IFERROR(__xludf.DUMMYFUNCTION("IFERROR(VLOOKUP(E645&amp;F645,IMPORTRANGE(""https://docs.google.com/spreadsheets/d/1Uw7-A9f9R21vMXxHZFNpYNeKFtG8_yji4HS352LGlSQ/edit?pli=1#gid=0"",""1_ACUM!A4:S""),19,FALSE))"),"")</f>
        <v/>
      </c>
      <c r="BG379" s="98" t="str">
        <f ca="1">IFERROR(__xludf.DUMMYFUNCTION("IFERROR(VLOOKUP(F645,IMPORTRANGE(""https://docs.google.com/spreadsheets/d/1Kvs4KS76FHFqLFIZfrDMff4kP08nblUkihrxltoGBjg/edit#gid=934712705"",""ESENCIAL!A6:BG""),5,FALSE))"),"")</f>
        <v/>
      </c>
      <c r="BH379" s="98" t="str">
        <f t="shared" si="21"/>
        <v/>
      </c>
      <c r="BI379" s="99" t="str">
        <f t="shared" si="22"/>
        <v/>
      </c>
      <c r="BJ379" s="100" t="str">
        <f ca="1">IFERROR(__xludf.DUMMYFUNCTION("IFERROR(VLOOKUP(F645,IMPORTRANGE(""https://docs.google.com/spreadsheets/d/1Kvs4KS76FHFqLFIZfrDMff4kP08nblUkihrxltoGBjg/edit#gid=934712705"",""ESENCIAL!A6:BG""),2,FALSE))"),"")</f>
        <v/>
      </c>
      <c r="BK379" s="19" t="str">
        <f t="shared" si="23"/>
        <v/>
      </c>
      <c r="BL379" s="100"/>
      <c r="BM379" s="100"/>
    </row>
    <row r="380" spans="2:65" ht="15">
      <c r="B380" s="39"/>
      <c r="C380" s="5"/>
      <c r="D380" s="123"/>
      <c r="E380" s="39"/>
      <c r="F380" s="39"/>
      <c r="G380" s="39"/>
      <c r="H380" s="5" t="str">
        <f ca="1">IFERROR(__xludf.DUMMYFUNCTION("IFERROR(VLOOKUP(F646,IMPORTRANGE(""https://docs.google.com/spreadsheets/d/1Kvs4KS76FHFqLFIZfrDMff4kP08nblUkihrxltoGBjg/edit#gid=934712705"",""ESENCIAL!A6:BG""),3,FALSE))"),"")</f>
        <v/>
      </c>
      <c r="I380" s="5" t="str">
        <f ca="1">IFERROR(__xludf.DUMMYFUNCTION("IFERROR(VLOOKUP(F646,IMPORTRANGE(""https://docs.google.com/spreadsheets/d/1Kvs4KS76FHFqLFIZfrDMff4kP08nblUkihrxltoGBjg/edit#gid=934712705"",""ESENCIAL!A6:BG""),8,FALSE))"),"")</f>
        <v/>
      </c>
      <c r="J380" s="39"/>
      <c r="M380" s="287"/>
      <c r="AV380" s="41" t="str">
        <f t="shared" si="20"/>
        <v/>
      </c>
      <c r="AW380" s="5" t="str">
        <f ca="1">IFERROR(__xludf.DUMMYFUNCTION("IFERROR(VLOOKUP(E646&amp;F646,IMPORTRANGE(""https://docs.google.com/spreadsheets/d/1Uw7-A9f9R21vMXxHZFNpYNeKFtG8_yji4HS352LGlSQ/edit?pli=1#gid=0"",""1_ACUM!A4:S""),11,FALSE))"),"")</f>
        <v/>
      </c>
      <c r="AX380" s="42" t="str">
        <f ca="1">IFERROR(__xludf.DUMMYFUNCTION("IFERROR(VLOOKUP(F646,IMPORTRANGE(""https://docs.google.com/spreadsheets/d/1Kvs4KS76FHFqLFIZfrDMff4kP08nblUkihrxltoGBjg/edit#gid=934712705"",""ESENCIAL!A6:BG""),15,FALSE))"),"")</f>
        <v/>
      </c>
      <c r="AY380" s="110" t="str">
        <f ca="1">IFERROR(__xludf.DUMMYFUNCTION("IFERROR(VLOOKUP(E646&amp;F646,IMPORTRANGE(""https://docs.google.com/spreadsheets/d/1Uw7-A9f9R21vMXxHZFNpYNeKFtG8_yji4HS352LGlSQ/edit?pli=1#gid=0"",""1_ACUM!A4:S""),13,FALSE))"),"")</f>
        <v/>
      </c>
      <c r="AZ380" s="43" t="str">
        <f ca="1">IFERROR(__xludf.DUMMYFUNCTION("IFERROR(VLOOKUP(E646&amp;F646,IMPORTRANGE(""https://docs.google.com/spreadsheets/d/1Uw7-A9f9R21vMXxHZFNpYNeKFtG8_yji4HS352LGlSQ/edit?pli=1#gid=0"",""1_ACUM!A4:S""),13,FALSE))"),"")</f>
        <v/>
      </c>
      <c r="BA380" s="43" t="str">
        <f ca="1">IFERROR(__xludf.DUMMYFUNCTION("IFERROR(VLOOKUP(E646&amp;F646,IMPORTRANGE(""https://docs.google.com/spreadsheets/d/1Uw7-A9f9R21vMXxHZFNpYNeKFtG8_yji4HS352LGlSQ/edit?pli=1#gid=0"",""1_ACUM!A4:S""),14,FALSE))"),"")</f>
        <v/>
      </c>
      <c r="BB380" s="43" t="str">
        <f ca="1">IFERROR(__xludf.DUMMYFUNCTION("IFERROR(VLOOKUP(E646&amp;F646,IMPORTRANGE(""https://docs.google.com/spreadsheets/d/1Uw7-A9f9R21vMXxHZFNpYNeKFtG8_yji4HS352LGlSQ/edit?pli=1#gid=0"",""1_ACUM!A4:S""),15,FALSE))"),"")</f>
        <v/>
      </c>
      <c r="BC380" s="43" t="str">
        <f ca="1">IFERROR(__xludf.DUMMYFUNCTION("IFERROR(VLOOKUP(E646&amp;F646,IMPORTRANGE(""https://docs.google.com/spreadsheets/d/1Uw7-A9f9R21vMXxHZFNpYNeKFtG8_yji4HS352LGlSQ/edit?pli=1#gid=0"",""1_ACUM!A4:S""),16,FALSE))"),"")</f>
        <v/>
      </c>
      <c r="BD380" s="43" t="str">
        <f ca="1">IFERROR(__xludf.DUMMYFUNCTION("IFERROR(VLOOKUP(E646&amp;F646,IMPORTRANGE(""https://docs.google.com/spreadsheets/d/1Uw7-A9f9R21vMXxHZFNpYNeKFtG8_yji4HS352LGlSQ/edit?pli=1#gid=0"",""1_ACUM!A4:S""),17,FALSE))"),"")</f>
        <v/>
      </c>
      <c r="BE380" s="44" t="str">
        <f ca="1">IFERROR(__xludf.DUMMYFUNCTION("IFERROR(VLOOKUP(E646&amp;F646,IMPORTRANGE(""https://docs.google.com/spreadsheets/d/1Uw7-A9f9R21vMXxHZFNpYNeKFtG8_yji4HS352LGlSQ/edit?pli=1#gid=0"",""1_ACUM!A4:S""),18,FALSE))"),"")</f>
        <v/>
      </c>
      <c r="BF380" s="44" t="str">
        <f ca="1">IFERROR(__xludf.DUMMYFUNCTION("IFERROR(VLOOKUP(E646&amp;F646,IMPORTRANGE(""https://docs.google.com/spreadsheets/d/1Uw7-A9f9R21vMXxHZFNpYNeKFtG8_yji4HS352LGlSQ/edit?pli=1#gid=0"",""1_ACUM!A4:S""),19,FALSE))"),"")</f>
        <v/>
      </c>
      <c r="BG380" s="98" t="str">
        <f ca="1">IFERROR(__xludf.DUMMYFUNCTION("IFERROR(VLOOKUP(F646,IMPORTRANGE(""https://docs.google.com/spreadsheets/d/1Kvs4KS76FHFqLFIZfrDMff4kP08nblUkihrxltoGBjg/edit#gid=934712705"",""ESENCIAL!A6:BG""),5,FALSE))"),"")</f>
        <v/>
      </c>
      <c r="BH380" s="98" t="str">
        <f t="shared" si="21"/>
        <v/>
      </c>
      <c r="BI380" s="99" t="str">
        <f t="shared" si="22"/>
        <v/>
      </c>
      <c r="BJ380" s="100" t="str">
        <f ca="1">IFERROR(__xludf.DUMMYFUNCTION("IFERROR(VLOOKUP(F646,IMPORTRANGE(""https://docs.google.com/spreadsheets/d/1Kvs4KS76FHFqLFIZfrDMff4kP08nblUkihrxltoGBjg/edit#gid=934712705"",""ESENCIAL!A6:BG""),2,FALSE))"),"")</f>
        <v/>
      </c>
      <c r="BK380" s="19" t="str">
        <f t="shared" si="23"/>
        <v/>
      </c>
      <c r="BL380" s="100"/>
      <c r="BM380" s="100"/>
    </row>
    <row r="381" spans="2:65" ht="15">
      <c r="B381" s="39"/>
      <c r="C381" s="5"/>
      <c r="D381" s="123"/>
      <c r="E381" s="39"/>
      <c r="F381" s="39"/>
      <c r="G381" s="39"/>
      <c r="H381" s="5" t="str">
        <f ca="1">IFERROR(__xludf.DUMMYFUNCTION("IFERROR(VLOOKUP(F647,IMPORTRANGE(""https://docs.google.com/spreadsheets/d/1Kvs4KS76FHFqLFIZfrDMff4kP08nblUkihrxltoGBjg/edit#gid=934712705"",""ESENCIAL!A6:BG""),3,FALSE))"),"")</f>
        <v/>
      </c>
      <c r="I381" s="5" t="str">
        <f ca="1">IFERROR(__xludf.DUMMYFUNCTION("IFERROR(VLOOKUP(F647,IMPORTRANGE(""https://docs.google.com/spreadsheets/d/1Kvs4KS76FHFqLFIZfrDMff4kP08nblUkihrxltoGBjg/edit#gid=934712705"",""ESENCIAL!A6:BG""),8,FALSE))"),"")</f>
        <v/>
      </c>
      <c r="J381" s="39"/>
      <c r="M381" s="287"/>
      <c r="AV381" s="41" t="str">
        <f t="shared" si="20"/>
        <v/>
      </c>
      <c r="AW381" s="5" t="str">
        <f ca="1">IFERROR(__xludf.DUMMYFUNCTION("IFERROR(VLOOKUP(E647&amp;F647,IMPORTRANGE(""https://docs.google.com/spreadsheets/d/1Uw7-A9f9R21vMXxHZFNpYNeKFtG8_yji4HS352LGlSQ/edit?pli=1#gid=0"",""1_ACUM!A4:S""),11,FALSE))"),"")</f>
        <v/>
      </c>
      <c r="AX381" s="42" t="str">
        <f ca="1">IFERROR(__xludf.DUMMYFUNCTION("IFERROR(VLOOKUP(F647,IMPORTRANGE(""https://docs.google.com/spreadsheets/d/1Kvs4KS76FHFqLFIZfrDMff4kP08nblUkihrxltoGBjg/edit#gid=934712705"",""ESENCIAL!A6:BG""),15,FALSE))"),"")</f>
        <v/>
      </c>
      <c r="AY381" s="110" t="str">
        <f ca="1">IFERROR(__xludf.DUMMYFUNCTION("IFERROR(VLOOKUP(E647&amp;F647,IMPORTRANGE(""https://docs.google.com/spreadsheets/d/1Uw7-A9f9R21vMXxHZFNpYNeKFtG8_yji4HS352LGlSQ/edit?pli=1#gid=0"",""1_ACUM!A4:S""),13,FALSE))"),"")</f>
        <v/>
      </c>
      <c r="AZ381" s="43" t="str">
        <f ca="1">IFERROR(__xludf.DUMMYFUNCTION("IFERROR(VLOOKUP(E647&amp;F647,IMPORTRANGE(""https://docs.google.com/spreadsheets/d/1Uw7-A9f9R21vMXxHZFNpYNeKFtG8_yji4HS352LGlSQ/edit?pli=1#gid=0"",""1_ACUM!A4:S""),13,FALSE))"),"")</f>
        <v/>
      </c>
      <c r="BA381" s="43" t="str">
        <f ca="1">IFERROR(__xludf.DUMMYFUNCTION("IFERROR(VLOOKUP(E647&amp;F647,IMPORTRANGE(""https://docs.google.com/spreadsheets/d/1Uw7-A9f9R21vMXxHZFNpYNeKFtG8_yji4HS352LGlSQ/edit?pli=1#gid=0"",""1_ACUM!A4:S""),14,FALSE))"),"")</f>
        <v/>
      </c>
      <c r="BB381" s="43" t="str">
        <f ca="1">IFERROR(__xludf.DUMMYFUNCTION("IFERROR(VLOOKUP(E647&amp;F647,IMPORTRANGE(""https://docs.google.com/spreadsheets/d/1Uw7-A9f9R21vMXxHZFNpYNeKFtG8_yji4HS352LGlSQ/edit?pli=1#gid=0"",""1_ACUM!A4:S""),15,FALSE))"),"")</f>
        <v/>
      </c>
      <c r="BC381" s="43" t="str">
        <f ca="1">IFERROR(__xludf.DUMMYFUNCTION("IFERROR(VLOOKUP(E647&amp;F647,IMPORTRANGE(""https://docs.google.com/spreadsheets/d/1Uw7-A9f9R21vMXxHZFNpYNeKFtG8_yji4HS352LGlSQ/edit?pli=1#gid=0"",""1_ACUM!A4:S""),16,FALSE))"),"")</f>
        <v/>
      </c>
      <c r="BD381" s="43" t="str">
        <f ca="1">IFERROR(__xludf.DUMMYFUNCTION("IFERROR(VLOOKUP(E647&amp;F647,IMPORTRANGE(""https://docs.google.com/spreadsheets/d/1Uw7-A9f9R21vMXxHZFNpYNeKFtG8_yji4HS352LGlSQ/edit?pli=1#gid=0"",""1_ACUM!A4:S""),17,FALSE))"),"")</f>
        <v/>
      </c>
      <c r="BE381" s="44" t="str">
        <f ca="1">IFERROR(__xludf.DUMMYFUNCTION("IFERROR(VLOOKUP(E647&amp;F647,IMPORTRANGE(""https://docs.google.com/spreadsheets/d/1Uw7-A9f9R21vMXxHZFNpYNeKFtG8_yji4HS352LGlSQ/edit?pli=1#gid=0"",""1_ACUM!A4:S""),18,FALSE))"),"")</f>
        <v/>
      </c>
      <c r="BF381" s="44" t="str">
        <f ca="1">IFERROR(__xludf.DUMMYFUNCTION("IFERROR(VLOOKUP(E647&amp;F647,IMPORTRANGE(""https://docs.google.com/spreadsheets/d/1Uw7-A9f9R21vMXxHZFNpYNeKFtG8_yji4HS352LGlSQ/edit?pli=1#gid=0"",""1_ACUM!A4:S""),19,FALSE))"),"")</f>
        <v/>
      </c>
      <c r="BG381" s="98" t="str">
        <f ca="1">IFERROR(__xludf.DUMMYFUNCTION("IFERROR(VLOOKUP(F647,IMPORTRANGE(""https://docs.google.com/spreadsheets/d/1Kvs4KS76FHFqLFIZfrDMff4kP08nblUkihrxltoGBjg/edit#gid=934712705"",""ESENCIAL!A6:BG""),5,FALSE))"),"")</f>
        <v/>
      </c>
      <c r="BH381" s="98" t="str">
        <f t="shared" si="21"/>
        <v/>
      </c>
      <c r="BI381" s="99" t="str">
        <f t="shared" si="22"/>
        <v/>
      </c>
      <c r="BJ381" s="100" t="str">
        <f ca="1">IFERROR(__xludf.DUMMYFUNCTION("IFERROR(VLOOKUP(F647,IMPORTRANGE(""https://docs.google.com/spreadsheets/d/1Kvs4KS76FHFqLFIZfrDMff4kP08nblUkihrxltoGBjg/edit#gid=934712705"",""ESENCIAL!A6:BG""),2,FALSE))"),"")</f>
        <v/>
      </c>
      <c r="BK381" s="19" t="str">
        <f t="shared" si="23"/>
        <v/>
      </c>
      <c r="BL381" s="100"/>
      <c r="BM381" s="100"/>
    </row>
    <row r="382" spans="2:65" ht="15">
      <c r="B382" s="39"/>
      <c r="C382" s="5"/>
      <c r="D382" s="123"/>
      <c r="E382" s="39"/>
      <c r="F382" s="39"/>
      <c r="G382" s="39"/>
      <c r="H382" s="5" t="str">
        <f ca="1">IFERROR(__xludf.DUMMYFUNCTION("IFERROR(VLOOKUP(F648,IMPORTRANGE(""https://docs.google.com/spreadsheets/d/1Kvs4KS76FHFqLFIZfrDMff4kP08nblUkihrxltoGBjg/edit#gid=934712705"",""ESENCIAL!A6:BG""),3,FALSE))"),"")</f>
        <v/>
      </c>
      <c r="I382" s="5" t="str">
        <f ca="1">IFERROR(__xludf.DUMMYFUNCTION("IFERROR(VLOOKUP(F648,IMPORTRANGE(""https://docs.google.com/spreadsheets/d/1Kvs4KS76FHFqLFIZfrDMff4kP08nblUkihrxltoGBjg/edit#gid=934712705"",""ESENCIAL!A6:BG""),8,FALSE))"),"")</f>
        <v/>
      </c>
      <c r="J382" s="39"/>
      <c r="M382" s="287"/>
      <c r="AV382" s="41" t="str">
        <f t="shared" si="20"/>
        <v/>
      </c>
      <c r="AW382" s="5" t="str">
        <f ca="1">IFERROR(__xludf.DUMMYFUNCTION("IFERROR(VLOOKUP(E648&amp;F648,IMPORTRANGE(""https://docs.google.com/spreadsheets/d/1Uw7-A9f9R21vMXxHZFNpYNeKFtG8_yji4HS352LGlSQ/edit?pli=1#gid=0"",""1_ACUM!A4:S""),11,FALSE))"),"")</f>
        <v/>
      </c>
      <c r="AX382" s="42" t="str">
        <f ca="1">IFERROR(__xludf.DUMMYFUNCTION("IFERROR(VLOOKUP(F648,IMPORTRANGE(""https://docs.google.com/spreadsheets/d/1Kvs4KS76FHFqLFIZfrDMff4kP08nblUkihrxltoGBjg/edit#gid=934712705"",""ESENCIAL!A6:BG""),15,FALSE))"),"")</f>
        <v/>
      </c>
      <c r="AY382" s="110" t="str">
        <f ca="1">IFERROR(__xludf.DUMMYFUNCTION("IFERROR(VLOOKUP(E648&amp;F648,IMPORTRANGE(""https://docs.google.com/spreadsheets/d/1Uw7-A9f9R21vMXxHZFNpYNeKFtG8_yji4HS352LGlSQ/edit?pli=1#gid=0"",""1_ACUM!A4:S""),13,FALSE))"),"")</f>
        <v/>
      </c>
      <c r="AZ382" s="43" t="str">
        <f ca="1">IFERROR(__xludf.DUMMYFUNCTION("IFERROR(VLOOKUP(E648&amp;F648,IMPORTRANGE(""https://docs.google.com/spreadsheets/d/1Uw7-A9f9R21vMXxHZFNpYNeKFtG8_yji4HS352LGlSQ/edit?pli=1#gid=0"",""1_ACUM!A4:S""),13,FALSE))"),"")</f>
        <v/>
      </c>
      <c r="BA382" s="43" t="str">
        <f ca="1">IFERROR(__xludf.DUMMYFUNCTION("IFERROR(VLOOKUP(E648&amp;F648,IMPORTRANGE(""https://docs.google.com/spreadsheets/d/1Uw7-A9f9R21vMXxHZFNpYNeKFtG8_yji4HS352LGlSQ/edit?pli=1#gid=0"",""1_ACUM!A4:S""),14,FALSE))"),"")</f>
        <v/>
      </c>
      <c r="BB382" s="43" t="str">
        <f ca="1">IFERROR(__xludf.DUMMYFUNCTION("IFERROR(VLOOKUP(E648&amp;F648,IMPORTRANGE(""https://docs.google.com/spreadsheets/d/1Uw7-A9f9R21vMXxHZFNpYNeKFtG8_yji4HS352LGlSQ/edit?pli=1#gid=0"",""1_ACUM!A4:S""),15,FALSE))"),"")</f>
        <v/>
      </c>
      <c r="BC382" s="43" t="str">
        <f ca="1">IFERROR(__xludf.DUMMYFUNCTION("IFERROR(VLOOKUP(E648&amp;F648,IMPORTRANGE(""https://docs.google.com/spreadsheets/d/1Uw7-A9f9R21vMXxHZFNpYNeKFtG8_yji4HS352LGlSQ/edit?pli=1#gid=0"",""1_ACUM!A4:S""),16,FALSE))"),"")</f>
        <v/>
      </c>
      <c r="BD382" s="43" t="str">
        <f ca="1">IFERROR(__xludf.DUMMYFUNCTION("IFERROR(VLOOKUP(E648&amp;F648,IMPORTRANGE(""https://docs.google.com/spreadsheets/d/1Uw7-A9f9R21vMXxHZFNpYNeKFtG8_yji4HS352LGlSQ/edit?pli=1#gid=0"",""1_ACUM!A4:S""),17,FALSE))"),"")</f>
        <v/>
      </c>
      <c r="BE382" s="44" t="str">
        <f ca="1">IFERROR(__xludf.DUMMYFUNCTION("IFERROR(VLOOKUP(E648&amp;F648,IMPORTRANGE(""https://docs.google.com/spreadsheets/d/1Uw7-A9f9R21vMXxHZFNpYNeKFtG8_yji4HS352LGlSQ/edit?pli=1#gid=0"",""1_ACUM!A4:S""),18,FALSE))"),"")</f>
        <v/>
      </c>
      <c r="BF382" s="44" t="str">
        <f ca="1">IFERROR(__xludf.DUMMYFUNCTION("IFERROR(VLOOKUP(E648&amp;F648,IMPORTRANGE(""https://docs.google.com/spreadsheets/d/1Uw7-A9f9R21vMXxHZFNpYNeKFtG8_yji4HS352LGlSQ/edit?pli=1#gid=0"",""1_ACUM!A4:S""),19,FALSE))"),"")</f>
        <v/>
      </c>
      <c r="BG382" s="98" t="str">
        <f ca="1">IFERROR(__xludf.DUMMYFUNCTION("IFERROR(VLOOKUP(F648,IMPORTRANGE(""https://docs.google.com/spreadsheets/d/1Kvs4KS76FHFqLFIZfrDMff4kP08nblUkihrxltoGBjg/edit#gid=934712705"",""ESENCIAL!A6:BG""),5,FALSE))"),"")</f>
        <v/>
      </c>
      <c r="BH382" s="98" t="str">
        <f t="shared" si="21"/>
        <v/>
      </c>
      <c r="BI382" s="99" t="str">
        <f t="shared" si="22"/>
        <v/>
      </c>
      <c r="BJ382" s="100" t="str">
        <f ca="1">IFERROR(__xludf.DUMMYFUNCTION("IFERROR(VLOOKUP(F648,IMPORTRANGE(""https://docs.google.com/spreadsheets/d/1Kvs4KS76FHFqLFIZfrDMff4kP08nblUkihrxltoGBjg/edit#gid=934712705"",""ESENCIAL!A6:BG""),2,FALSE))"),"")</f>
        <v/>
      </c>
      <c r="BK382" s="19" t="str">
        <f t="shared" si="23"/>
        <v/>
      </c>
      <c r="BL382" s="100"/>
      <c r="BM382" s="100"/>
    </row>
    <row r="383" spans="2:65" ht="15">
      <c r="B383" s="39"/>
      <c r="C383" s="5"/>
      <c r="D383" s="123"/>
      <c r="E383" s="39"/>
      <c r="F383" s="39"/>
      <c r="G383" s="39"/>
      <c r="H383" s="5" t="str">
        <f ca="1">IFERROR(__xludf.DUMMYFUNCTION("IFERROR(VLOOKUP(F649,IMPORTRANGE(""https://docs.google.com/spreadsheets/d/1Kvs4KS76FHFqLFIZfrDMff4kP08nblUkihrxltoGBjg/edit#gid=934712705"",""ESENCIAL!A6:BG""),3,FALSE))"),"")</f>
        <v/>
      </c>
      <c r="I383" s="5" t="str">
        <f ca="1">IFERROR(__xludf.DUMMYFUNCTION("IFERROR(VLOOKUP(F649,IMPORTRANGE(""https://docs.google.com/spreadsheets/d/1Kvs4KS76FHFqLFIZfrDMff4kP08nblUkihrxltoGBjg/edit#gid=934712705"",""ESENCIAL!A6:BG""),8,FALSE))"),"")</f>
        <v/>
      </c>
      <c r="J383" s="39"/>
      <c r="M383" s="287"/>
      <c r="AV383" s="41" t="str">
        <f t="shared" si="20"/>
        <v/>
      </c>
      <c r="AW383" s="5" t="str">
        <f ca="1">IFERROR(__xludf.DUMMYFUNCTION("IFERROR(VLOOKUP(E649&amp;F649,IMPORTRANGE(""https://docs.google.com/spreadsheets/d/1Uw7-A9f9R21vMXxHZFNpYNeKFtG8_yji4HS352LGlSQ/edit?pli=1#gid=0"",""1_ACUM!A4:S""),11,FALSE))"),"")</f>
        <v/>
      </c>
      <c r="AX383" s="42" t="str">
        <f ca="1">IFERROR(__xludf.DUMMYFUNCTION("IFERROR(VLOOKUP(F649,IMPORTRANGE(""https://docs.google.com/spreadsheets/d/1Kvs4KS76FHFqLFIZfrDMff4kP08nblUkihrxltoGBjg/edit#gid=934712705"",""ESENCIAL!A6:BG""),15,FALSE))"),"")</f>
        <v/>
      </c>
      <c r="AY383" s="110" t="str">
        <f ca="1">IFERROR(__xludf.DUMMYFUNCTION("IFERROR(VLOOKUP(E649&amp;F649,IMPORTRANGE(""https://docs.google.com/spreadsheets/d/1Uw7-A9f9R21vMXxHZFNpYNeKFtG8_yji4HS352LGlSQ/edit?pli=1#gid=0"",""1_ACUM!A4:S""),13,FALSE))"),"")</f>
        <v/>
      </c>
      <c r="AZ383" s="43" t="str">
        <f ca="1">IFERROR(__xludf.DUMMYFUNCTION("IFERROR(VLOOKUP(E649&amp;F649,IMPORTRANGE(""https://docs.google.com/spreadsheets/d/1Uw7-A9f9R21vMXxHZFNpYNeKFtG8_yji4HS352LGlSQ/edit?pli=1#gid=0"",""1_ACUM!A4:S""),13,FALSE))"),"")</f>
        <v/>
      </c>
      <c r="BA383" s="43" t="str">
        <f ca="1">IFERROR(__xludf.DUMMYFUNCTION("IFERROR(VLOOKUP(E649&amp;F649,IMPORTRANGE(""https://docs.google.com/spreadsheets/d/1Uw7-A9f9R21vMXxHZFNpYNeKFtG8_yji4HS352LGlSQ/edit?pli=1#gid=0"",""1_ACUM!A4:S""),14,FALSE))"),"")</f>
        <v/>
      </c>
      <c r="BB383" s="43" t="str">
        <f ca="1">IFERROR(__xludf.DUMMYFUNCTION("IFERROR(VLOOKUP(E649&amp;F649,IMPORTRANGE(""https://docs.google.com/spreadsheets/d/1Uw7-A9f9R21vMXxHZFNpYNeKFtG8_yji4HS352LGlSQ/edit?pli=1#gid=0"",""1_ACUM!A4:S""),15,FALSE))"),"")</f>
        <v/>
      </c>
      <c r="BC383" s="43" t="str">
        <f ca="1">IFERROR(__xludf.DUMMYFUNCTION("IFERROR(VLOOKUP(E649&amp;F649,IMPORTRANGE(""https://docs.google.com/spreadsheets/d/1Uw7-A9f9R21vMXxHZFNpYNeKFtG8_yji4HS352LGlSQ/edit?pli=1#gid=0"",""1_ACUM!A4:S""),16,FALSE))"),"")</f>
        <v/>
      </c>
      <c r="BD383" s="43" t="str">
        <f ca="1">IFERROR(__xludf.DUMMYFUNCTION("IFERROR(VLOOKUP(E649&amp;F649,IMPORTRANGE(""https://docs.google.com/spreadsheets/d/1Uw7-A9f9R21vMXxHZFNpYNeKFtG8_yji4HS352LGlSQ/edit?pli=1#gid=0"",""1_ACUM!A4:S""),17,FALSE))"),"")</f>
        <v/>
      </c>
      <c r="BE383" s="44" t="str">
        <f ca="1">IFERROR(__xludf.DUMMYFUNCTION("IFERROR(VLOOKUP(E649&amp;F649,IMPORTRANGE(""https://docs.google.com/spreadsheets/d/1Uw7-A9f9R21vMXxHZFNpYNeKFtG8_yji4HS352LGlSQ/edit?pli=1#gid=0"",""1_ACUM!A4:S""),18,FALSE))"),"")</f>
        <v/>
      </c>
      <c r="BF383" s="44" t="str">
        <f ca="1">IFERROR(__xludf.DUMMYFUNCTION("IFERROR(VLOOKUP(E649&amp;F649,IMPORTRANGE(""https://docs.google.com/spreadsheets/d/1Uw7-A9f9R21vMXxHZFNpYNeKFtG8_yji4HS352LGlSQ/edit?pli=1#gid=0"",""1_ACUM!A4:S""),19,FALSE))"),"")</f>
        <v/>
      </c>
      <c r="BG383" s="98" t="str">
        <f ca="1">IFERROR(__xludf.DUMMYFUNCTION("IFERROR(VLOOKUP(F649,IMPORTRANGE(""https://docs.google.com/spreadsheets/d/1Kvs4KS76FHFqLFIZfrDMff4kP08nblUkihrxltoGBjg/edit#gid=934712705"",""ESENCIAL!A6:BG""),5,FALSE))"),"")</f>
        <v/>
      </c>
      <c r="BH383" s="98" t="str">
        <f t="shared" si="21"/>
        <v/>
      </c>
      <c r="BI383" s="99" t="str">
        <f t="shared" si="22"/>
        <v/>
      </c>
      <c r="BJ383" s="100" t="str">
        <f ca="1">IFERROR(__xludf.DUMMYFUNCTION("IFERROR(VLOOKUP(F649,IMPORTRANGE(""https://docs.google.com/spreadsheets/d/1Kvs4KS76FHFqLFIZfrDMff4kP08nblUkihrxltoGBjg/edit#gid=934712705"",""ESENCIAL!A6:BG""),2,FALSE))"),"")</f>
        <v/>
      </c>
      <c r="BK383" s="19" t="str">
        <f t="shared" si="23"/>
        <v/>
      </c>
      <c r="BL383" s="100"/>
      <c r="BM383" s="100"/>
    </row>
    <row r="384" spans="2:65" ht="15">
      <c r="B384" s="39"/>
      <c r="C384" s="5"/>
      <c r="D384" s="123"/>
      <c r="E384" s="39"/>
      <c r="F384" s="39"/>
      <c r="G384" s="39"/>
      <c r="H384" s="5" t="str">
        <f ca="1">IFERROR(__xludf.DUMMYFUNCTION("IFERROR(VLOOKUP(F650,IMPORTRANGE(""https://docs.google.com/spreadsheets/d/1Kvs4KS76FHFqLFIZfrDMff4kP08nblUkihrxltoGBjg/edit#gid=934712705"",""ESENCIAL!A6:BG""),3,FALSE))"),"")</f>
        <v/>
      </c>
      <c r="I384" s="5" t="str">
        <f ca="1">IFERROR(__xludf.DUMMYFUNCTION("IFERROR(VLOOKUP(F650,IMPORTRANGE(""https://docs.google.com/spreadsheets/d/1Kvs4KS76FHFqLFIZfrDMff4kP08nblUkihrxltoGBjg/edit#gid=934712705"",""ESENCIAL!A6:BG""),8,FALSE))"),"")</f>
        <v/>
      </c>
      <c r="J384" s="39"/>
      <c r="M384" s="287"/>
      <c r="AV384" s="41" t="str">
        <f t="shared" si="20"/>
        <v/>
      </c>
      <c r="AW384" s="5" t="str">
        <f ca="1">IFERROR(__xludf.DUMMYFUNCTION("IFERROR(VLOOKUP(E650&amp;F650,IMPORTRANGE(""https://docs.google.com/spreadsheets/d/1Uw7-A9f9R21vMXxHZFNpYNeKFtG8_yji4HS352LGlSQ/edit?pli=1#gid=0"",""1_ACUM!A4:S""),11,FALSE))"),"")</f>
        <v/>
      </c>
      <c r="AX384" s="42" t="str">
        <f ca="1">IFERROR(__xludf.DUMMYFUNCTION("IFERROR(VLOOKUP(F650,IMPORTRANGE(""https://docs.google.com/spreadsheets/d/1Kvs4KS76FHFqLFIZfrDMff4kP08nblUkihrxltoGBjg/edit#gid=934712705"",""ESENCIAL!A6:BG""),15,FALSE))"),"")</f>
        <v/>
      </c>
      <c r="AY384" s="110" t="str">
        <f ca="1">IFERROR(__xludf.DUMMYFUNCTION("IFERROR(VLOOKUP(E650&amp;F650,IMPORTRANGE(""https://docs.google.com/spreadsheets/d/1Uw7-A9f9R21vMXxHZFNpYNeKFtG8_yji4HS352LGlSQ/edit?pli=1#gid=0"",""1_ACUM!A4:S""),13,FALSE))"),"")</f>
        <v/>
      </c>
      <c r="AZ384" s="43" t="str">
        <f ca="1">IFERROR(__xludf.DUMMYFUNCTION("IFERROR(VLOOKUP(E650&amp;F650,IMPORTRANGE(""https://docs.google.com/spreadsheets/d/1Uw7-A9f9R21vMXxHZFNpYNeKFtG8_yji4HS352LGlSQ/edit?pli=1#gid=0"",""1_ACUM!A4:S""),13,FALSE))"),"")</f>
        <v/>
      </c>
      <c r="BA384" s="43" t="str">
        <f ca="1">IFERROR(__xludf.DUMMYFUNCTION("IFERROR(VLOOKUP(E650&amp;F650,IMPORTRANGE(""https://docs.google.com/spreadsheets/d/1Uw7-A9f9R21vMXxHZFNpYNeKFtG8_yji4HS352LGlSQ/edit?pli=1#gid=0"",""1_ACUM!A4:S""),14,FALSE))"),"")</f>
        <v/>
      </c>
      <c r="BB384" s="43" t="str">
        <f ca="1">IFERROR(__xludf.DUMMYFUNCTION("IFERROR(VLOOKUP(E650&amp;F650,IMPORTRANGE(""https://docs.google.com/spreadsheets/d/1Uw7-A9f9R21vMXxHZFNpYNeKFtG8_yji4HS352LGlSQ/edit?pli=1#gid=0"",""1_ACUM!A4:S""),15,FALSE))"),"")</f>
        <v/>
      </c>
      <c r="BC384" s="43" t="str">
        <f ca="1">IFERROR(__xludf.DUMMYFUNCTION("IFERROR(VLOOKUP(E650&amp;F650,IMPORTRANGE(""https://docs.google.com/spreadsheets/d/1Uw7-A9f9R21vMXxHZFNpYNeKFtG8_yji4HS352LGlSQ/edit?pli=1#gid=0"",""1_ACUM!A4:S""),16,FALSE))"),"")</f>
        <v/>
      </c>
      <c r="BD384" s="43" t="str">
        <f ca="1">IFERROR(__xludf.DUMMYFUNCTION("IFERROR(VLOOKUP(E650&amp;F650,IMPORTRANGE(""https://docs.google.com/spreadsheets/d/1Uw7-A9f9R21vMXxHZFNpYNeKFtG8_yji4HS352LGlSQ/edit?pli=1#gid=0"",""1_ACUM!A4:S""),17,FALSE))"),"")</f>
        <v/>
      </c>
      <c r="BE384" s="44" t="str">
        <f ca="1">IFERROR(__xludf.DUMMYFUNCTION("IFERROR(VLOOKUP(E650&amp;F650,IMPORTRANGE(""https://docs.google.com/spreadsheets/d/1Uw7-A9f9R21vMXxHZFNpYNeKFtG8_yji4HS352LGlSQ/edit?pli=1#gid=0"",""1_ACUM!A4:S""),18,FALSE))"),"")</f>
        <v/>
      </c>
      <c r="BF384" s="44" t="str">
        <f ca="1">IFERROR(__xludf.DUMMYFUNCTION("IFERROR(VLOOKUP(E650&amp;F650,IMPORTRANGE(""https://docs.google.com/spreadsheets/d/1Uw7-A9f9R21vMXxHZFNpYNeKFtG8_yji4HS352LGlSQ/edit?pli=1#gid=0"",""1_ACUM!A4:S""),19,FALSE))"),"")</f>
        <v/>
      </c>
      <c r="BG384" s="98" t="str">
        <f ca="1">IFERROR(__xludf.DUMMYFUNCTION("IFERROR(VLOOKUP(F650,IMPORTRANGE(""https://docs.google.com/spreadsheets/d/1Kvs4KS76FHFqLFIZfrDMff4kP08nblUkihrxltoGBjg/edit#gid=934712705"",""ESENCIAL!A6:BG""),5,FALSE))"),"")</f>
        <v/>
      </c>
      <c r="BH384" s="98" t="str">
        <f t="shared" si="21"/>
        <v/>
      </c>
      <c r="BI384" s="99" t="str">
        <f t="shared" si="22"/>
        <v/>
      </c>
      <c r="BJ384" s="100" t="str">
        <f ca="1">IFERROR(__xludf.DUMMYFUNCTION("IFERROR(VLOOKUP(F650,IMPORTRANGE(""https://docs.google.com/spreadsheets/d/1Kvs4KS76FHFqLFIZfrDMff4kP08nblUkihrxltoGBjg/edit#gid=934712705"",""ESENCIAL!A6:BG""),2,FALSE))"),"")</f>
        <v/>
      </c>
      <c r="BK384" s="19" t="str">
        <f t="shared" si="23"/>
        <v/>
      </c>
      <c r="BL384" s="100"/>
      <c r="BM384" s="100"/>
    </row>
    <row r="385" spans="2:65" ht="15">
      <c r="B385" s="39"/>
      <c r="C385" s="5"/>
      <c r="D385" s="123"/>
      <c r="E385" s="39"/>
      <c r="F385" s="39"/>
      <c r="G385" s="39"/>
      <c r="H385" s="5" t="str">
        <f ca="1">IFERROR(__xludf.DUMMYFUNCTION("IFERROR(VLOOKUP(F651,IMPORTRANGE(""https://docs.google.com/spreadsheets/d/1Kvs4KS76FHFqLFIZfrDMff4kP08nblUkihrxltoGBjg/edit#gid=934712705"",""ESENCIAL!A6:BG""),3,FALSE))"),"")</f>
        <v/>
      </c>
      <c r="I385" s="5" t="str">
        <f ca="1">IFERROR(__xludf.DUMMYFUNCTION("IFERROR(VLOOKUP(F651,IMPORTRANGE(""https://docs.google.com/spreadsheets/d/1Kvs4KS76FHFqLFIZfrDMff4kP08nblUkihrxltoGBjg/edit#gid=934712705"",""ESENCIAL!A6:BG""),8,FALSE))"),"")</f>
        <v/>
      </c>
      <c r="J385" s="39"/>
      <c r="M385" s="287"/>
      <c r="AV385" s="41" t="str">
        <f t="shared" si="20"/>
        <v/>
      </c>
      <c r="AW385" s="5" t="str">
        <f ca="1">IFERROR(__xludf.DUMMYFUNCTION("IFERROR(VLOOKUP(E651&amp;F651,IMPORTRANGE(""https://docs.google.com/spreadsheets/d/1Uw7-A9f9R21vMXxHZFNpYNeKFtG8_yji4HS352LGlSQ/edit?pli=1#gid=0"",""1_ACUM!A4:S""),11,FALSE))"),"")</f>
        <v/>
      </c>
      <c r="AX385" s="42" t="str">
        <f ca="1">IFERROR(__xludf.DUMMYFUNCTION("IFERROR(VLOOKUP(F651,IMPORTRANGE(""https://docs.google.com/spreadsheets/d/1Kvs4KS76FHFqLFIZfrDMff4kP08nblUkihrxltoGBjg/edit#gid=934712705"",""ESENCIAL!A6:BG""),15,FALSE))"),"")</f>
        <v/>
      </c>
      <c r="AY385" s="110" t="str">
        <f ca="1">IFERROR(__xludf.DUMMYFUNCTION("IFERROR(VLOOKUP(E651&amp;F651,IMPORTRANGE(""https://docs.google.com/spreadsheets/d/1Uw7-A9f9R21vMXxHZFNpYNeKFtG8_yji4HS352LGlSQ/edit?pli=1#gid=0"",""1_ACUM!A4:S""),13,FALSE))"),"")</f>
        <v/>
      </c>
      <c r="AZ385" s="43" t="str">
        <f ca="1">IFERROR(__xludf.DUMMYFUNCTION("IFERROR(VLOOKUP(E651&amp;F651,IMPORTRANGE(""https://docs.google.com/spreadsheets/d/1Uw7-A9f9R21vMXxHZFNpYNeKFtG8_yji4HS352LGlSQ/edit?pli=1#gid=0"",""1_ACUM!A4:S""),13,FALSE))"),"")</f>
        <v/>
      </c>
      <c r="BA385" s="43" t="str">
        <f ca="1">IFERROR(__xludf.DUMMYFUNCTION("IFERROR(VLOOKUP(E651&amp;F651,IMPORTRANGE(""https://docs.google.com/spreadsheets/d/1Uw7-A9f9R21vMXxHZFNpYNeKFtG8_yji4HS352LGlSQ/edit?pli=1#gid=0"",""1_ACUM!A4:S""),14,FALSE))"),"")</f>
        <v/>
      </c>
      <c r="BB385" s="43" t="str">
        <f ca="1">IFERROR(__xludf.DUMMYFUNCTION("IFERROR(VLOOKUP(E651&amp;F651,IMPORTRANGE(""https://docs.google.com/spreadsheets/d/1Uw7-A9f9R21vMXxHZFNpYNeKFtG8_yji4HS352LGlSQ/edit?pli=1#gid=0"",""1_ACUM!A4:S""),15,FALSE))"),"")</f>
        <v/>
      </c>
      <c r="BC385" s="43" t="str">
        <f ca="1">IFERROR(__xludf.DUMMYFUNCTION("IFERROR(VLOOKUP(E651&amp;F651,IMPORTRANGE(""https://docs.google.com/spreadsheets/d/1Uw7-A9f9R21vMXxHZFNpYNeKFtG8_yji4HS352LGlSQ/edit?pli=1#gid=0"",""1_ACUM!A4:S""),16,FALSE))"),"")</f>
        <v/>
      </c>
      <c r="BD385" s="43" t="str">
        <f ca="1">IFERROR(__xludf.DUMMYFUNCTION("IFERROR(VLOOKUP(E651&amp;F651,IMPORTRANGE(""https://docs.google.com/spreadsheets/d/1Uw7-A9f9R21vMXxHZFNpYNeKFtG8_yji4HS352LGlSQ/edit?pli=1#gid=0"",""1_ACUM!A4:S""),17,FALSE))"),"")</f>
        <v/>
      </c>
      <c r="BE385" s="44" t="str">
        <f ca="1">IFERROR(__xludf.DUMMYFUNCTION("IFERROR(VLOOKUP(E651&amp;F651,IMPORTRANGE(""https://docs.google.com/spreadsheets/d/1Uw7-A9f9R21vMXxHZFNpYNeKFtG8_yji4HS352LGlSQ/edit?pli=1#gid=0"",""1_ACUM!A4:S""),18,FALSE))"),"")</f>
        <v/>
      </c>
      <c r="BF385" s="44" t="str">
        <f ca="1">IFERROR(__xludf.DUMMYFUNCTION("IFERROR(VLOOKUP(E651&amp;F651,IMPORTRANGE(""https://docs.google.com/spreadsheets/d/1Uw7-A9f9R21vMXxHZFNpYNeKFtG8_yji4HS352LGlSQ/edit?pli=1#gid=0"",""1_ACUM!A4:S""),19,FALSE))"),"")</f>
        <v/>
      </c>
      <c r="BG385" s="98" t="str">
        <f ca="1">IFERROR(__xludf.DUMMYFUNCTION("IFERROR(VLOOKUP(F651,IMPORTRANGE(""https://docs.google.com/spreadsheets/d/1Kvs4KS76FHFqLFIZfrDMff4kP08nblUkihrxltoGBjg/edit#gid=934712705"",""ESENCIAL!A6:BG""),5,FALSE))"),"")</f>
        <v/>
      </c>
      <c r="BH385" s="98" t="str">
        <f t="shared" si="21"/>
        <v/>
      </c>
      <c r="BI385" s="99" t="str">
        <f t="shared" si="22"/>
        <v/>
      </c>
      <c r="BJ385" s="100" t="str">
        <f ca="1">IFERROR(__xludf.DUMMYFUNCTION("IFERROR(VLOOKUP(F651,IMPORTRANGE(""https://docs.google.com/spreadsheets/d/1Kvs4KS76FHFqLFIZfrDMff4kP08nblUkihrxltoGBjg/edit#gid=934712705"",""ESENCIAL!A6:BG""),2,FALSE))"),"")</f>
        <v/>
      </c>
      <c r="BK385" s="19" t="str">
        <f t="shared" si="23"/>
        <v/>
      </c>
      <c r="BL385" s="100"/>
      <c r="BM385" s="100"/>
    </row>
    <row r="386" spans="2:65" ht="15">
      <c r="B386" s="39"/>
      <c r="C386" s="5"/>
      <c r="D386" s="123"/>
      <c r="E386" s="39"/>
      <c r="F386" s="39"/>
      <c r="G386" s="39"/>
      <c r="H386" s="5" t="str">
        <f ca="1">IFERROR(__xludf.DUMMYFUNCTION("IFERROR(VLOOKUP(F652,IMPORTRANGE(""https://docs.google.com/spreadsheets/d/1Kvs4KS76FHFqLFIZfrDMff4kP08nblUkihrxltoGBjg/edit#gid=934712705"",""ESENCIAL!A6:BG""),3,FALSE))"),"")</f>
        <v/>
      </c>
      <c r="I386" s="5" t="str">
        <f ca="1">IFERROR(__xludf.DUMMYFUNCTION("IFERROR(VLOOKUP(F652,IMPORTRANGE(""https://docs.google.com/spreadsheets/d/1Kvs4KS76FHFqLFIZfrDMff4kP08nblUkihrxltoGBjg/edit#gid=934712705"",""ESENCIAL!A6:BG""),8,FALSE))"),"")</f>
        <v/>
      </c>
      <c r="J386" s="39"/>
      <c r="M386" s="287"/>
      <c r="AV386" s="41" t="str">
        <f t="shared" si="20"/>
        <v/>
      </c>
      <c r="AW386" s="5" t="str">
        <f ca="1">IFERROR(__xludf.DUMMYFUNCTION("IFERROR(VLOOKUP(E652&amp;F652,IMPORTRANGE(""https://docs.google.com/spreadsheets/d/1Uw7-A9f9R21vMXxHZFNpYNeKFtG8_yji4HS352LGlSQ/edit?pli=1#gid=0"",""1_ACUM!A4:S""),11,FALSE))"),"")</f>
        <v/>
      </c>
      <c r="AX386" s="42" t="str">
        <f ca="1">IFERROR(__xludf.DUMMYFUNCTION("IFERROR(VLOOKUP(F652,IMPORTRANGE(""https://docs.google.com/spreadsheets/d/1Kvs4KS76FHFqLFIZfrDMff4kP08nblUkihrxltoGBjg/edit#gid=934712705"",""ESENCIAL!A6:BG""),15,FALSE))"),"")</f>
        <v/>
      </c>
      <c r="AY386" s="110" t="str">
        <f ca="1">IFERROR(__xludf.DUMMYFUNCTION("IFERROR(VLOOKUP(E652&amp;F652,IMPORTRANGE(""https://docs.google.com/spreadsheets/d/1Uw7-A9f9R21vMXxHZFNpYNeKFtG8_yji4HS352LGlSQ/edit?pli=1#gid=0"",""1_ACUM!A4:S""),13,FALSE))"),"")</f>
        <v/>
      </c>
      <c r="AZ386" s="43" t="str">
        <f ca="1">IFERROR(__xludf.DUMMYFUNCTION("IFERROR(VLOOKUP(E652&amp;F652,IMPORTRANGE(""https://docs.google.com/spreadsheets/d/1Uw7-A9f9R21vMXxHZFNpYNeKFtG8_yji4HS352LGlSQ/edit?pli=1#gid=0"",""1_ACUM!A4:S""),13,FALSE))"),"")</f>
        <v/>
      </c>
      <c r="BA386" s="43" t="str">
        <f ca="1">IFERROR(__xludf.DUMMYFUNCTION("IFERROR(VLOOKUP(E652&amp;F652,IMPORTRANGE(""https://docs.google.com/spreadsheets/d/1Uw7-A9f9R21vMXxHZFNpYNeKFtG8_yji4HS352LGlSQ/edit?pli=1#gid=0"",""1_ACUM!A4:S""),14,FALSE))"),"")</f>
        <v/>
      </c>
      <c r="BB386" s="43" t="str">
        <f ca="1">IFERROR(__xludf.DUMMYFUNCTION("IFERROR(VLOOKUP(E652&amp;F652,IMPORTRANGE(""https://docs.google.com/spreadsheets/d/1Uw7-A9f9R21vMXxHZFNpYNeKFtG8_yji4HS352LGlSQ/edit?pli=1#gid=0"",""1_ACUM!A4:S""),15,FALSE))"),"")</f>
        <v/>
      </c>
      <c r="BC386" s="43" t="str">
        <f ca="1">IFERROR(__xludf.DUMMYFUNCTION("IFERROR(VLOOKUP(E652&amp;F652,IMPORTRANGE(""https://docs.google.com/spreadsheets/d/1Uw7-A9f9R21vMXxHZFNpYNeKFtG8_yji4HS352LGlSQ/edit?pli=1#gid=0"",""1_ACUM!A4:S""),16,FALSE))"),"")</f>
        <v/>
      </c>
      <c r="BD386" s="43" t="str">
        <f ca="1">IFERROR(__xludf.DUMMYFUNCTION("IFERROR(VLOOKUP(E652&amp;F652,IMPORTRANGE(""https://docs.google.com/spreadsheets/d/1Uw7-A9f9R21vMXxHZFNpYNeKFtG8_yji4HS352LGlSQ/edit?pli=1#gid=0"",""1_ACUM!A4:S""),17,FALSE))"),"")</f>
        <v/>
      </c>
      <c r="BE386" s="44" t="str">
        <f ca="1">IFERROR(__xludf.DUMMYFUNCTION("IFERROR(VLOOKUP(E652&amp;F652,IMPORTRANGE(""https://docs.google.com/spreadsheets/d/1Uw7-A9f9R21vMXxHZFNpYNeKFtG8_yji4HS352LGlSQ/edit?pli=1#gid=0"",""1_ACUM!A4:S""),18,FALSE))"),"")</f>
        <v/>
      </c>
      <c r="BF386" s="44" t="str">
        <f ca="1">IFERROR(__xludf.DUMMYFUNCTION("IFERROR(VLOOKUP(E652&amp;F652,IMPORTRANGE(""https://docs.google.com/spreadsheets/d/1Uw7-A9f9R21vMXxHZFNpYNeKFtG8_yji4HS352LGlSQ/edit?pli=1#gid=0"",""1_ACUM!A4:S""),19,FALSE))"),"")</f>
        <v/>
      </c>
      <c r="BG386" s="98" t="str">
        <f ca="1">IFERROR(__xludf.DUMMYFUNCTION("IFERROR(VLOOKUP(F652,IMPORTRANGE(""https://docs.google.com/spreadsheets/d/1Kvs4KS76FHFqLFIZfrDMff4kP08nblUkihrxltoGBjg/edit#gid=934712705"",""ESENCIAL!A6:BG""),5,FALSE))"),"")</f>
        <v/>
      </c>
      <c r="BH386" s="98" t="str">
        <f t="shared" si="21"/>
        <v/>
      </c>
      <c r="BI386" s="99" t="str">
        <f t="shared" si="22"/>
        <v/>
      </c>
      <c r="BJ386" s="100" t="str">
        <f ca="1">IFERROR(__xludf.DUMMYFUNCTION("IFERROR(VLOOKUP(F652,IMPORTRANGE(""https://docs.google.com/spreadsheets/d/1Kvs4KS76FHFqLFIZfrDMff4kP08nblUkihrxltoGBjg/edit#gid=934712705"",""ESENCIAL!A6:BG""),2,FALSE))"),"")</f>
        <v/>
      </c>
      <c r="BK386" s="19" t="str">
        <f t="shared" si="23"/>
        <v/>
      </c>
      <c r="BL386" s="100"/>
      <c r="BM386" s="100"/>
    </row>
    <row r="387" spans="2:65" ht="15">
      <c r="B387" s="39"/>
      <c r="C387" s="5"/>
      <c r="D387" s="123"/>
      <c r="E387" s="39"/>
      <c r="F387" s="39"/>
      <c r="G387" s="39"/>
      <c r="H387" s="5" t="str">
        <f ca="1">IFERROR(__xludf.DUMMYFUNCTION("IFERROR(VLOOKUP(F653,IMPORTRANGE(""https://docs.google.com/spreadsheets/d/1Kvs4KS76FHFqLFIZfrDMff4kP08nblUkihrxltoGBjg/edit#gid=934712705"",""ESENCIAL!A6:BG""),3,FALSE))"),"")</f>
        <v/>
      </c>
      <c r="I387" s="5" t="str">
        <f ca="1">IFERROR(__xludf.DUMMYFUNCTION("IFERROR(VLOOKUP(F653,IMPORTRANGE(""https://docs.google.com/spreadsheets/d/1Kvs4KS76FHFqLFIZfrDMff4kP08nblUkihrxltoGBjg/edit#gid=934712705"",""ESENCIAL!A6:BG""),8,FALSE))"),"")</f>
        <v/>
      </c>
      <c r="J387" s="39"/>
      <c r="M387" s="287"/>
      <c r="AV387" s="41" t="str">
        <f t="shared" si="20"/>
        <v/>
      </c>
      <c r="AW387" s="5" t="str">
        <f ca="1">IFERROR(__xludf.DUMMYFUNCTION("IFERROR(VLOOKUP(E653&amp;F653,IMPORTRANGE(""https://docs.google.com/spreadsheets/d/1Uw7-A9f9R21vMXxHZFNpYNeKFtG8_yji4HS352LGlSQ/edit?pli=1#gid=0"",""1_ACUM!A4:S""),11,FALSE))"),"")</f>
        <v/>
      </c>
      <c r="AX387" s="42" t="str">
        <f ca="1">IFERROR(__xludf.DUMMYFUNCTION("IFERROR(VLOOKUP(F653,IMPORTRANGE(""https://docs.google.com/spreadsheets/d/1Kvs4KS76FHFqLFIZfrDMff4kP08nblUkihrxltoGBjg/edit#gid=934712705"",""ESENCIAL!A6:BG""),15,FALSE))"),"")</f>
        <v/>
      </c>
      <c r="AY387" s="110" t="str">
        <f ca="1">IFERROR(__xludf.DUMMYFUNCTION("IFERROR(VLOOKUP(E653&amp;F653,IMPORTRANGE(""https://docs.google.com/spreadsheets/d/1Uw7-A9f9R21vMXxHZFNpYNeKFtG8_yji4HS352LGlSQ/edit?pli=1#gid=0"",""1_ACUM!A4:S""),13,FALSE))"),"")</f>
        <v/>
      </c>
      <c r="AZ387" s="43" t="str">
        <f ca="1">IFERROR(__xludf.DUMMYFUNCTION("IFERROR(VLOOKUP(E653&amp;F653,IMPORTRANGE(""https://docs.google.com/spreadsheets/d/1Uw7-A9f9R21vMXxHZFNpYNeKFtG8_yji4HS352LGlSQ/edit?pli=1#gid=0"",""1_ACUM!A4:S""),13,FALSE))"),"")</f>
        <v/>
      </c>
      <c r="BA387" s="43" t="str">
        <f ca="1">IFERROR(__xludf.DUMMYFUNCTION("IFERROR(VLOOKUP(E653&amp;F653,IMPORTRANGE(""https://docs.google.com/spreadsheets/d/1Uw7-A9f9R21vMXxHZFNpYNeKFtG8_yji4HS352LGlSQ/edit?pli=1#gid=0"",""1_ACUM!A4:S""),14,FALSE))"),"")</f>
        <v/>
      </c>
      <c r="BB387" s="43" t="str">
        <f ca="1">IFERROR(__xludf.DUMMYFUNCTION("IFERROR(VLOOKUP(E653&amp;F653,IMPORTRANGE(""https://docs.google.com/spreadsheets/d/1Uw7-A9f9R21vMXxHZFNpYNeKFtG8_yji4HS352LGlSQ/edit?pli=1#gid=0"",""1_ACUM!A4:S""),15,FALSE))"),"")</f>
        <v/>
      </c>
      <c r="BC387" s="43" t="str">
        <f ca="1">IFERROR(__xludf.DUMMYFUNCTION("IFERROR(VLOOKUP(E653&amp;F653,IMPORTRANGE(""https://docs.google.com/spreadsheets/d/1Uw7-A9f9R21vMXxHZFNpYNeKFtG8_yji4HS352LGlSQ/edit?pli=1#gid=0"",""1_ACUM!A4:S""),16,FALSE))"),"")</f>
        <v/>
      </c>
      <c r="BD387" s="43" t="str">
        <f ca="1">IFERROR(__xludf.DUMMYFUNCTION("IFERROR(VLOOKUP(E653&amp;F653,IMPORTRANGE(""https://docs.google.com/spreadsheets/d/1Uw7-A9f9R21vMXxHZFNpYNeKFtG8_yji4HS352LGlSQ/edit?pli=1#gid=0"",""1_ACUM!A4:S""),17,FALSE))"),"")</f>
        <v/>
      </c>
      <c r="BE387" s="44" t="str">
        <f ca="1">IFERROR(__xludf.DUMMYFUNCTION("IFERROR(VLOOKUP(E653&amp;F653,IMPORTRANGE(""https://docs.google.com/spreadsheets/d/1Uw7-A9f9R21vMXxHZFNpYNeKFtG8_yji4HS352LGlSQ/edit?pli=1#gid=0"",""1_ACUM!A4:S""),18,FALSE))"),"")</f>
        <v/>
      </c>
      <c r="BF387" s="44" t="str">
        <f ca="1">IFERROR(__xludf.DUMMYFUNCTION("IFERROR(VLOOKUP(E653&amp;F653,IMPORTRANGE(""https://docs.google.com/spreadsheets/d/1Uw7-A9f9R21vMXxHZFNpYNeKFtG8_yji4HS352LGlSQ/edit?pli=1#gid=0"",""1_ACUM!A4:S""),19,FALSE))"),"")</f>
        <v/>
      </c>
      <c r="BG387" s="98" t="str">
        <f ca="1">IFERROR(__xludf.DUMMYFUNCTION("IFERROR(VLOOKUP(F653,IMPORTRANGE(""https://docs.google.com/spreadsheets/d/1Kvs4KS76FHFqLFIZfrDMff4kP08nblUkihrxltoGBjg/edit#gid=934712705"",""ESENCIAL!A6:BG""),5,FALSE))"),"")</f>
        <v/>
      </c>
      <c r="BH387" s="98" t="str">
        <f t="shared" si="21"/>
        <v/>
      </c>
      <c r="BI387" s="99" t="str">
        <f t="shared" si="22"/>
        <v/>
      </c>
      <c r="BJ387" s="100" t="str">
        <f ca="1">IFERROR(__xludf.DUMMYFUNCTION("IFERROR(VLOOKUP(F653,IMPORTRANGE(""https://docs.google.com/spreadsheets/d/1Kvs4KS76FHFqLFIZfrDMff4kP08nblUkihrxltoGBjg/edit#gid=934712705"",""ESENCIAL!A6:BG""),2,FALSE))"),"")</f>
        <v/>
      </c>
      <c r="BK387" s="19" t="str">
        <f t="shared" si="23"/>
        <v/>
      </c>
      <c r="BL387" s="100"/>
      <c r="BM387" s="100"/>
    </row>
    <row r="388" spans="2:65" ht="15">
      <c r="B388" s="39"/>
      <c r="C388" s="5"/>
      <c r="D388" s="123"/>
      <c r="E388" s="39"/>
      <c r="F388" s="39"/>
      <c r="G388" s="39"/>
      <c r="H388" s="5" t="str">
        <f ca="1">IFERROR(__xludf.DUMMYFUNCTION("IFERROR(VLOOKUP(F654,IMPORTRANGE(""https://docs.google.com/spreadsheets/d/1Kvs4KS76FHFqLFIZfrDMff4kP08nblUkihrxltoGBjg/edit#gid=934712705"",""ESENCIAL!A6:BG""),3,FALSE))"),"")</f>
        <v/>
      </c>
      <c r="I388" s="5" t="str">
        <f ca="1">IFERROR(__xludf.DUMMYFUNCTION("IFERROR(VLOOKUP(F654,IMPORTRANGE(""https://docs.google.com/spreadsheets/d/1Kvs4KS76FHFqLFIZfrDMff4kP08nblUkihrxltoGBjg/edit#gid=934712705"",""ESENCIAL!A6:BG""),8,FALSE))"),"")</f>
        <v/>
      </c>
      <c r="J388" s="39"/>
      <c r="M388" s="287"/>
      <c r="AV388" s="41" t="str">
        <f t="shared" si="20"/>
        <v/>
      </c>
      <c r="AW388" s="5" t="str">
        <f ca="1">IFERROR(__xludf.DUMMYFUNCTION("IFERROR(VLOOKUP(E654&amp;F654,IMPORTRANGE(""https://docs.google.com/spreadsheets/d/1Uw7-A9f9R21vMXxHZFNpYNeKFtG8_yji4HS352LGlSQ/edit?pli=1#gid=0"",""1_ACUM!A4:S""),11,FALSE))"),"")</f>
        <v/>
      </c>
      <c r="AX388" s="42" t="str">
        <f ca="1">IFERROR(__xludf.DUMMYFUNCTION("IFERROR(VLOOKUP(F654,IMPORTRANGE(""https://docs.google.com/spreadsheets/d/1Kvs4KS76FHFqLFIZfrDMff4kP08nblUkihrxltoGBjg/edit#gid=934712705"",""ESENCIAL!A6:BG""),15,FALSE))"),"")</f>
        <v/>
      </c>
      <c r="AY388" s="110" t="str">
        <f ca="1">IFERROR(__xludf.DUMMYFUNCTION("IFERROR(VLOOKUP(E654&amp;F654,IMPORTRANGE(""https://docs.google.com/spreadsheets/d/1Uw7-A9f9R21vMXxHZFNpYNeKFtG8_yji4HS352LGlSQ/edit?pli=1#gid=0"",""1_ACUM!A4:S""),13,FALSE))"),"")</f>
        <v/>
      </c>
      <c r="AZ388" s="43" t="str">
        <f ca="1">IFERROR(__xludf.DUMMYFUNCTION("IFERROR(VLOOKUP(E654&amp;F654,IMPORTRANGE(""https://docs.google.com/spreadsheets/d/1Uw7-A9f9R21vMXxHZFNpYNeKFtG8_yji4HS352LGlSQ/edit?pli=1#gid=0"",""1_ACUM!A4:S""),13,FALSE))"),"")</f>
        <v/>
      </c>
      <c r="BA388" s="43" t="str">
        <f ca="1">IFERROR(__xludf.DUMMYFUNCTION("IFERROR(VLOOKUP(E654&amp;F654,IMPORTRANGE(""https://docs.google.com/spreadsheets/d/1Uw7-A9f9R21vMXxHZFNpYNeKFtG8_yji4HS352LGlSQ/edit?pli=1#gid=0"",""1_ACUM!A4:S""),14,FALSE))"),"")</f>
        <v/>
      </c>
      <c r="BB388" s="43" t="str">
        <f ca="1">IFERROR(__xludf.DUMMYFUNCTION("IFERROR(VLOOKUP(E654&amp;F654,IMPORTRANGE(""https://docs.google.com/spreadsheets/d/1Uw7-A9f9R21vMXxHZFNpYNeKFtG8_yji4HS352LGlSQ/edit?pli=1#gid=0"",""1_ACUM!A4:S""),15,FALSE))"),"")</f>
        <v/>
      </c>
      <c r="BC388" s="43" t="str">
        <f ca="1">IFERROR(__xludf.DUMMYFUNCTION("IFERROR(VLOOKUP(E654&amp;F654,IMPORTRANGE(""https://docs.google.com/spreadsheets/d/1Uw7-A9f9R21vMXxHZFNpYNeKFtG8_yji4HS352LGlSQ/edit?pli=1#gid=0"",""1_ACUM!A4:S""),16,FALSE))"),"")</f>
        <v/>
      </c>
      <c r="BD388" s="43" t="str">
        <f ca="1">IFERROR(__xludf.DUMMYFUNCTION("IFERROR(VLOOKUP(E654&amp;F654,IMPORTRANGE(""https://docs.google.com/spreadsheets/d/1Uw7-A9f9R21vMXxHZFNpYNeKFtG8_yji4HS352LGlSQ/edit?pli=1#gid=0"",""1_ACUM!A4:S""),17,FALSE))"),"")</f>
        <v/>
      </c>
      <c r="BE388" s="44" t="str">
        <f ca="1">IFERROR(__xludf.DUMMYFUNCTION("IFERROR(VLOOKUP(E654&amp;F654,IMPORTRANGE(""https://docs.google.com/spreadsheets/d/1Uw7-A9f9R21vMXxHZFNpYNeKFtG8_yji4HS352LGlSQ/edit?pli=1#gid=0"",""1_ACUM!A4:S""),18,FALSE))"),"")</f>
        <v/>
      </c>
      <c r="BF388" s="44" t="str">
        <f ca="1">IFERROR(__xludf.DUMMYFUNCTION("IFERROR(VLOOKUP(E654&amp;F654,IMPORTRANGE(""https://docs.google.com/spreadsheets/d/1Uw7-A9f9R21vMXxHZFNpYNeKFtG8_yji4HS352LGlSQ/edit?pli=1#gid=0"",""1_ACUM!A4:S""),19,FALSE))"),"")</f>
        <v/>
      </c>
      <c r="BG388" s="98" t="str">
        <f ca="1">IFERROR(__xludf.DUMMYFUNCTION("IFERROR(VLOOKUP(F654,IMPORTRANGE(""https://docs.google.com/spreadsheets/d/1Kvs4KS76FHFqLFIZfrDMff4kP08nblUkihrxltoGBjg/edit#gid=934712705"",""ESENCIAL!A6:BG""),5,FALSE))"),"")</f>
        <v/>
      </c>
      <c r="BH388" s="98" t="str">
        <f t="shared" si="21"/>
        <v/>
      </c>
      <c r="BI388" s="99" t="str">
        <f t="shared" si="22"/>
        <v/>
      </c>
      <c r="BJ388" s="100" t="str">
        <f ca="1">IFERROR(__xludf.DUMMYFUNCTION("IFERROR(VLOOKUP(F654,IMPORTRANGE(""https://docs.google.com/spreadsheets/d/1Kvs4KS76FHFqLFIZfrDMff4kP08nblUkihrxltoGBjg/edit#gid=934712705"",""ESENCIAL!A6:BG""),2,FALSE))"),"")</f>
        <v/>
      </c>
      <c r="BK388" s="19" t="str">
        <f t="shared" si="23"/>
        <v/>
      </c>
      <c r="BL388" s="100"/>
      <c r="BM388" s="100"/>
    </row>
    <row r="389" spans="2:65" ht="15">
      <c r="B389" s="39"/>
      <c r="C389" s="5"/>
      <c r="D389" s="123"/>
      <c r="E389" s="39"/>
      <c r="F389" s="39"/>
      <c r="G389" s="39"/>
      <c r="H389" s="5" t="str">
        <f ca="1">IFERROR(__xludf.DUMMYFUNCTION("IFERROR(VLOOKUP(F655,IMPORTRANGE(""https://docs.google.com/spreadsheets/d/1Kvs4KS76FHFqLFIZfrDMff4kP08nblUkihrxltoGBjg/edit#gid=934712705"",""ESENCIAL!A6:BG""),3,FALSE))"),"")</f>
        <v/>
      </c>
      <c r="I389" s="5" t="str">
        <f ca="1">IFERROR(__xludf.DUMMYFUNCTION("IFERROR(VLOOKUP(F655,IMPORTRANGE(""https://docs.google.com/spreadsheets/d/1Kvs4KS76FHFqLFIZfrDMff4kP08nblUkihrxltoGBjg/edit#gid=934712705"",""ESENCIAL!A6:BG""),8,FALSE))"),"")</f>
        <v/>
      </c>
      <c r="J389" s="39"/>
      <c r="M389" s="287"/>
      <c r="AV389" s="41" t="str">
        <f t="shared" si="20"/>
        <v/>
      </c>
      <c r="AW389" s="5" t="str">
        <f ca="1">IFERROR(__xludf.DUMMYFUNCTION("IFERROR(VLOOKUP(E655&amp;F655,IMPORTRANGE(""https://docs.google.com/spreadsheets/d/1Uw7-A9f9R21vMXxHZFNpYNeKFtG8_yji4HS352LGlSQ/edit?pli=1#gid=0"",""1_ACUM!A4:S""),11,FALSE))"),"")</f>
        <v/>
      </c>
      <c r="AX389" s="42" t="str">
        <f ca="1">IFERROR(__xludf.DUMMYFUNCTION("IFERROR(VLOOKUP(F655,IMPORTRANGE(""https://docs.google.com/spreadsheets/d/1Kvs4KS76FHFqLFIZfrDMff4kP08nblUkihrxltoGBjg/edit#gid=934712705"",""ESENCIAL!A6:BG""),15,FALSE))"),"")</f>
        <v/>
      </c>
      <c r="AY389" s="110" t="str">
        <f ca="1">IFERROR(__xludf.DUMMYFUNCTION("IFERROR(VLOOKUP(E655&amp;F655,IMPORTRANGE(""https://docs.google.com/spreadsheets/d/1Uw7-A9f9R21vMXxHZFNpYNeKFtG8_yji4HS352LGlSQ/edit?pli=1#gid=0"",""1_ACUM!A4:S""),13,FALSE))"),"")</f>
        <v/>
      </c>
      <c r="AZ389" s="43" t="str">
        <f ca="1">IFERROR(__xludf.DUMMYFUNCTION("IFERROR(VLOOKUP(E655&amp;F655,IMPORTRANGE(""https://docs.google.com/spreadsheets/d/1Uw7-A9f9R21vMXxHZFNpYNeKFtG8_yji4HS352LGlSQ/edit?pli=1#gid=0"",""1_ACUM!A4:S""),13,FALSE))"),"")</f>
        <v/>
      </c>
      <c r="BA389" s="43" t="str">
        <f ca="1">IFERROR(__xludf.DUMMYFUNCTION("IFERROR(VLOOKUP(E655&amp;F655,IMPORTRANGE(""https://docs.google.com/spreadsheets/d/1Uw7-A9f9R21vMXxHZFNpYNeKFtG8_yji4HS352LGlSQ/edit?pli=1#gid=0"",""1_ACUM!A4:S""),14,FALSE))"),"")</f>
        <v/>
      </c>
      <c r="BB389" s="43" t="str">
        <f ca="1">IFERROR(__xludf.DUMMYFUNCTION("IFERROR(VLOOKUP(E655&amp;F655,IMPORTRANGE(""https://docs.google.com/spreadsheets/d/1Uw7-A9f9R21vMXxHZFNpYNeKFtG8_yji4HS352LGlSQ/edit?pli=1#gid=0"",""1_ACUM!A4:S""),15,FALSE))"),"")</f>
        <v/>
      </c>
      <c r="BC389" s="43" t="str">
        <f ca="1">IFERROR(__xludf.DUMMYFUNCTION("IFERROR(VLOOKUP(E655&amp;F655,IMPORTRANGE(""https://docs.google.com/spreadsheets/d/1Uw7-A9f9R21vMXxHZFNpYNeKFtG8_yji4HS352LGlSQ/edit?pli=1#gid=0"",""1_ACUM!A4:S""),16,FALSE))"),"")</f>
        <v/>
      </c>
      <c r="BD389" s="43" t="str">
        <f ca="1">IFERROR(__xludf.DUMMYFUNCTION("IFERROR(VLOOKUP(E655&amp;F655,IMPORTRANGE(""https://docs.google.com/spreadsheets/d/1Uw7-A9f9R21vMXxHZFNpYNeKFtG8_yji4HS352LGlSQ/edit?pli=1#gid=0"",""1_ACUM!A4:S""),17,FALSE))"),"")</f>
        <v/>
      </c>
      <c r="BE389" s="44" t="str">
        <f ca="1">IFERROR(__xludf.DUMMYFUNCTION("IFERROR(VLOOKUP(E655&amp;F655,IMPORTRANGE(""https://docs.google.com/spreadsheets/d/1Uw7-A9f9R21vMXxHZFNpYNeKFtG8_yji4HS352LGlSQ/edit?pli=1#gid=0"",""1_ACUM!A4:S""),18,FALSE))"),"")</f>
        <v/>
      </c>
      <c r="BF389" s="44" t="str">
        <f ca="1">IFERROR(__xludf.DUMMYFUNCTION("IFERROR(VLOOKUP(E655&amp;F655,IMPORTRANGE(""https://docs.google.com/spreadsheets/d/1Uw7-A9f9R21vMXxHZFNpYNeKFtG8_yji4HS352LGlSQ/edit?pli=1#gid=0"",""1_ACUM!A4:S""),19,FALSE))"),"")</f>
        <v/>
      </c>
      <c r="BG389" s="98" t="str">
        <f ca="1">IFERROR(__xludf.DUMMYFUNCTION("IFERROR(VLOOKUP(F655,IMPORTRANGE(""https://docs.google.com/spreadsheets/d/1Kvs4KS76FHFqLFIZfrDMff4kP08nblUkihrxltoGBjg/edit#gid=934712705"",""ESENCIAL!A6:BG""),5,FALSE))"),"")</f>
        <v/>
      </c>
      <c r="BH389" s="98" t="str">
        <f t="shared" si="21"/>
        <v/>
      </c>
      <c r="BI389" s="99" t="str">
        <f t="shared" si="22"/>
        <v/>
      </c>
      <c r="BJ389" s="100" t="str">
        <f ca="1">IFERROR(__xludf.DUMMYFUNCTION("IFERROR(VLOOKUP(F655,IMPORTRANGE(""https://docs.google.com/spreadsheets/d/1Kvs4KS76FHFqLFIZfrDMff4kP08nblUkihrxltoGBjg/edit#gid=934712705"",""ESENCIAL!A6:BG""),2,FALSE))"),"")</f>
        <v/>
      </c>
      <c r="BK389" s="19" t="str">
        <f t="shared" si="23"/>
        <v/>
      </c>
      <c r="BL389" s="100"/>
      <c r="BM389" s="100"/>
    </row>
    <row r="390" spans="2:65" ht="15">
      <c r="B390" s="39"/>
      <c r="C390" s="5"/>
      <c r="D390" s="123"/>
      <c r="E390" s="39"/>
      <c r="F390" s="39"/>
      <c r="G390" s="39"/>
      <c r="H390" s="5" t="str">
        <f ca="1">IFERROR(__xludf.DUMMYFUNCTION("IFERROR(VLOOKUP(F656,IMPORTRANGE(""https://docs.google.com/spreadsheets/d/1Kvs4KS76FHFqLFIZfrDMff4kP08nblUkihrxltoGBjg/edit#gid=934712705"",""ESENCIAL!A6:BG""),3,FALSE))"),"")</f>
        <v/>
      </c>
      <c r="I390" s="5" t="str">
        <f ca="1">IFERROR(__xludf.DUMMYFUNCTION("IFERROR(VLOOKUP(F656,IMPORTRANGE(""https://docs.google.com/spreadsheets/d/1Kvs4KS76FHFqLFIZfrDMff4kP08nblUkihrxltoGBjg/edit#gid=934712705"",""ESENCIAL!A6:BG""),8,FALSE))"),"")</f>
        <v/>
      </c>
      <c r="J390" s="39"/>
      <c r="M390" s="287"/>
      <c r="AV390" s="41" t="str">
        <f t="shared" si="20"/>
        <v/>
      </c>
      <c r="AW390" s="5" t="str">
        <f ca="1">IFERROR(__xludf.DUMMYFUNCTION("IFERROR(VLOOKUP(E656&amp;F656,IMPORTRANGE(""https://docs.google.com/spreadsheets/d/1Uw7-A9f9R21vMXxHZFNpYNeKFtG8_yji4HS352LGlSQ/edit?pli=1#gid=0"",""1_ACUM!A4:S""),11,FALSE))"),"")</f>
        <v/>
      </c>
      <c r="AX390" s="42" t="str">
        <f ca="1">IFERROR(__xludf.DUMMYFUNCTION("IFERROR(VLOOKUP(F656,IMPORTRANGE(""https://docs.google.com/spreadsheets/d/1Kvs4KS76FHFqLFIZfrDMff4kP08nblUkihrxltoGBjg/edit#gid=934712705"",""ESENCIAL!A6:BG""),15,FALSE))"),"")</f>
        <v/>
      </c>
      <c r="AY390" s="110" t="str">
        <f ca="1">IFERROR(__xludf.DUMMYFUNCTION("IFERROR(VLOOKUP(E656&amp;F656,IMPORTRANGE(""https://docs.google.com/spreadsheets/d/1Uw7-A9f9R21vMXxHZFNpYNeKFtG8_yji4HS352LGlSQ/edit?pli=1#gid=0"",""1_ACUM!A4:S""),13,FALSE))"),"")</f>
        <v/>
      </c>
      <c r="AZ390" s="43" t="str">
        <f ca="1">IFERROR(__xludf.DUMMYFUNCTION("IFERROR(VLOOKUP(E656&amp;F656,IMPORTRANGE(""https://docs.google.com/spreadsheets/d/1Uw7-A9f9R21vMXxHZFNpYNeKFtG8_yji4HS352LGlSQ/edit?pli=1#gid=0"",""1_ACUM!A4:S""),13,FALSE))"),"")</f>
        <v/>
      </c>
      <c r="BA390" s="43" t="str">
        <f ca="1">IFERROR(__xludf.DUMMYFUNCTION("IFERROR(VLOOKUP(E656&amp;F656,IMPORTRANGE(""https://docs.google.com/spreadsheets/d/1Uw7-A9f9R21vMXxHZFNpYNeKFtG8_yji4HS352LGlSQ/edit?pli=1#gid=0"",""1_ACUM!A4:S""),14,FALSE))"),"")</f>
        <v/>
      </c>
      <c r="BB390" s="43" t="str">
        <f ca="1">IFERROR(__xludf.DUMMYFUNCTION("IFERROR(VLOOKUP(E656&amp;F656,IMPORTRANGE(""https://docs.google.com/spreadsheets/d/1Uw7-A9f9R21vMXxHZFNpYNeKFtG8_yji4HS352LGlSQ/edit?pli=1#gid=0"",""1_ACUM!A4:S""),15,FALSE))"),"")</f>
        <v/>
      </c>
      <c r="BC390" s="43" t="str">
        <f ca="1">IFERROR(__xludf.DUMMYFUNCTION("IFERROR(VLOOKUP(E656&amp;F656,IMPORTRANGE(""https://docs.google.com/spreadsheets/d/1Uw7-A9f9R21vMXxHZFNpYNeKFtG8_yji4HS352LGlSQ/edit?pli=1#gid=0"",""1_ACUM!A4:S""),16,FALSE))"),"")</f>
        <v/>
      </c>
      <c r="BD390" s="43" t="str">
        <f ca="1">IFERROR(__xludf.DUMMYFUNCTION("IFERROR(VLOOKUP(E656&amp;F656,IMPORTRANGE(""https://docs.google.com/spreadsheets/d/1Uw7-A9f9R21vMXxHZFNpYNeKFtG8_yji4HS352LGlSQ/edit?pli=1#gid=0"",""1_ACUM!A4:S""),17,FALSE))"),"")</f>
        <v/>
      </c>
      <c r="BE390" s="44" t="str">
        <f ca="1">IFERROR(__xludf.DUMMYFUNCTION("IFERROR(VLOOKUP(E656&amp;F656,IMPORTRANGE(""https://docs.google.com/spreadsheets/d/1Uw7-A9f9R21vMXxHZFNpYNeKFtG8_yji4HS352LGlSQ/edit?pli=1#gid=0"",""1_ACUM!A4:S""),18,FALSE))"),"")</f>
        <v/>
      </c>
      <c r="BF390" s="44" t="str">
        <f ca="1">IFERROR(__xludf.DUMMYFUNCTION("IFERROR(VLOOKUP(E656&amp;F656,IMPORTRANGE(""https://docs.google.com/spreadsheets/d/1Uw7-A9f9R21vMXxHZFNpYNeKFtG8_yji4HS352LGlSQ/edit?pli=1#gid=0"",""1_ACUM!A4:S""),19,FALSE))"),"")</f>
        <v/>
      </c>
      <c r="BG390" s="98" t="str">
        <f ca="1">IFERROR(__xludf.DUMMYFUNCTION("IFERROR(VLOOKUP(F656,IMPORTRANGE(""https://docs.google.com/spreadsheets/d/1Kvs4KS76FHFqLFIZfrDMff4kP08nblUkihrxltoGBjg/edit#gid=934712705"",""ESENCIAL!A6:BG""),5,FALSE))"),"")</f>
        <v/>
      </c>
      <c r="BH390" s="98" t="str">
        <f t="shared" si="21"/>
        <v/>
      </c>
      <c r="BI390" s="99" t="str">
        <f t="shared" si="22"/>
        <v/>
      </c>
      <c r="BJ390" s="100" t="str">
        <f ca="1">IFERROR(__xludf.DUMMYFUNCTION("IFERROR(VLOOKUP(F656,IMPORTRANGE(""https://docs.google.com/spreadsheets/d/1Kvs4KS76FHFqLFIZfrDMff4kP08nblUkihrxltoGBjg/edit#gid=934712705"",""ESENCIAL!A6:BG""),2,FALSE))"),"")</f>
        <v/>
      </c>
      <c r="BK390" s="19" t="str">
        <f t="shared" si="23"/>
        <v/>
      </c>
      <c r="BL390" s="100"/>
      <c r="BM390" s="100"/>
    </row>
    <row r="391" spans="2:65" ht="15">
      <c r="B391" s="39"/>
      <c r="C391" s="5"/>
      <c r="D391" s="123"/>
      <c r="E391" s="39"/>
      <c r="F391" s="39"/>
      <c r="G391" s="39"/>
      <c r="H391" s="5" t="str">
        <f ca="1">IFERROR(__xludf.DUMMYFUNCTION("IFERROR(VLOOKUP(F657,IMPORTRANGE(""https://docs.google.com/spreadsheets/d/1Kvs4KS76FHFqLFIZfrDMff4kP08nblUkihrxltoGBjg/edit#gid=934712705"",""ESENCIAL!A6:BG""),3,FALSE))"),"")</f>
        <v/>
      </c>
      <c r="I391" s="5" t="str">
        <f ca="1">IFERROR(__xludf.DUMMYFUNCTION("IFERROR(VLOOKUP(F657,IMPORTRANGE(""https://docs.google.com/spreadsheets/d/1Kvs4KS76FHFqLFIZfrDMff4kP08nblUkihrxltoGBjg/edit#gid=934712705"",""ESENCIAL!A6:BG""),8,FALSE))"),"")</f>
        <v/>
      </c>
      <c r="J391" s="39"/>
      <c r="M391" s="287"/>
      <c r="AV391" s="41" t="str">
        <f t="shared" si="20"/>
        <v/>
      </c>
      <c r="AW391" s="5" t="str">
        <f ca="1">IFERROR(__xludf.DUMMYFUNCTION("IFERROR(VLOOKUP(E657&amp;F657,IMPORTRANGE(""https://docs.google.com/spreadsheets/d/1Uw7-A9f9R21vMXxHZFNpYNeKFtG8_yji4HS352LGlSQ/edit?pli=1#gid=0"",""1_ACUM!A4:S""),11,FALSE))"),"")</f>
        <v/>
      </c>
      <c r="AX391" s="42" t="str">
        <f ca="1">IFERROR(__xludf.DUMMYFUNCTION("IFERROR(VLOOKUP(F657,IMPORTRANGE(""https://docs.google.com/spreadsheets/d/1Kvs4KS76FHFqLFIZfrDMff4kP08nblUkihrxltoGBjg/edit#gid=934712705"",""ESENCIAL!A6:BG""),15,FALSE))"),"")</f>
        <v/>
      </c>
      <c r="AY391" s="110" t="str">
        <f ca="1">IFERROR(__xludf.DUMMYFUNCTION("IFERROR(VLOOKUP(E657&amp;F657,IMPORTRANGE(""https://docs.google.com/spreadsheets/d/1Uw7-A9f9R21vMXxHZFNpYNeKFtG8_yji4HS352LGlSQ/edit?pli=1#gid=0"",""1_ACUM!A4:S""),13,FALSE))"),"")</f>
        <v/>
      </c>
      <c r="AZ391" s="43" t="str">
        <f ca="1">IFERROR(__xludf.DUMMYFUNCTION("IFERROR(VLOOKUP(E657&amp;F657,IMPORTRANGE(""https://docs.google.com/spreadsheets/d/1Uw7-A9f9R21vMXxHZFNpYNeKFtG8_yji4HS352LGlSQ/edit?pli=1#gid=0"",""1_ACUM!A4:S""),13,FALSE))"),"")</f>
        <v/>
      </c>
      <c r="BA391" s="43" t="str">
        <f ca="1">IFERROR(__xludf.DUMMYFUNCTION("IFERROR(VLOOKUP(E657&amp;F657,IMPORTRANGE(""https://docs.google.com/spreadsheets/d/1Uw7-A9f9R21vMXxHZFNpYNeKFtG8_yji4HS352LGlSQ/edit?pli=1#gid=0"",""1_ACUM!A4:S""),14,FALSE))"),"")</f>
        <v/>
      </c>
      <c r="BB391" s="43" t="str">
        <f ca="1">IFERROR(__xludf.DUMMYFUNCTION("IFERROR(VLOOKUP(E657&amp;F657,IMPORTRANGE(""https://docs.google.com/spreadsheets/d/1Uw7-A9f9R21vMXxHZFNpYNeKFtG8_yji4HS352LGlSQ/edit?pli=1#gid=0"",""1_ACUM!A4:S""),15,FALSE))"),"")</f>
        <v/>
      </c>
      <c r="BC391" s="43" t="str">
        <f ca="1">IFERROR(__xludf.DUMMYFUNCTION("IFERROR(VLOOKUP(E657&amp;F657,IMPORTRANGE(""https://docs.google.com/spreadsheets/d/1Uw7-A9f9R21vMXxHZFNpYNeKFtG8_yji4HS352LGlSQ/edit?pli=1#gid=0"",""1_ACUM!A4:S""),16,FALSE))"),"")</f>
        <v/>
      </c>
      <c r="BD391" s="43" t="str">
        <f ca="1">IFERROR(__xludf.DUMMYFUNCTION("IFERROR(VLOOKUP(E657&amp;F657,IMPORTRANGE(""https://docs.google.com/spreadsheets/d/1Uw7-A9f9R21vMXxHZFNpYNeKFtG8_yji4HS352LGlSQ/edit?pli=1#gid=0"",""1_ACUM!A4:S""),17,FALSE))"),"")</f>
        <v/>
      </c>
      <c r="BE391" s="44" t="str">
        <f ca="1">IFERROR(__xludf.DUMMYFUNCTION("IFERROR(VLOOKUP(E657&amp;F657,IMPORTRANGE(""https://docs.google.com/spreadsheets/d/1Uw7-A9f9R21vMXxHZFNpYNeKFtG8_yji4HS352LGlSQ/edit?pli=1#gid=0"",""1_ACUM!A4:S""),18,FALSE))"),"")</f>
        <v/>
      </c>
      <c r="BF391" s="44" t="str">
        <f ca="1">IFERROR(__xludf.DUMMYFUNCTION("IFERROR(VLOOKUP(E657&amp;F657,IMPORTRANGE(""https://docs.google.com/spreadsheets/d/1Uw7-A9f9R21vMXxHZFNpYNeKFtG8_yji4HS352LGlSQ/edit?pli=1#gid=0"",""1_ACUM!A4:S""),19,FALSE))"),"")</f>
        <v/>
      </c>
      <c r="BG391" s="98" t="str">
        <f ca="1">IFERROR(__xludf.DUMMYFUNCTION("IFERROR(VLOOKUP(F657,IMPORTRANGE(""https://docs.google.com/spreadsheets/d/1Kvs4KS76FHFqLFIZfrDMff4kP08nblUkihrxltoGBjg/edit#gid=934712705"",""ESENCIAL!A6:BG""),5,FALSE))"),"")</f>
        <v/>
      </c>
      <c r="BH391" s="98" t="str">
        <f t="shared" si="21"/>
        <v/>
      </c>
      <c r="BI391" s="99" t="str">
        <f t="shared" si="22"/>
        <v/>
      </c>
      <c r="BJ391" s="100" t="str">
        <f ca="1">IFERROR(__xludf.DUMMYFUNCTION("IFERROR(VLOOKUP(F657,IMPORTRANGE(""https://docs.google.com/spreadsheets/d/1Kvs4KS76FHFqLFIZfrDMff4kP08nblUkihrxltoGBjg/edit#gid=934712705"",""ESENCIAL!A6:BG""),2,FALSE))"),"")</f>
        <v/>
      </c>
      <c r="BK391" s="19" t="str">
        <f t="shared" si="23"/>
        <v/>
      </c>
      <c r="BL391" s="100"/>
      <c r="BM391" s="100"/>
    </row>
    <row r="392" spans="2:65" ht="15">
      <c r="B392" s="39"/>
      <c r="C392" s="5"/>
      <c r="D392" s="123"/>
      <c r="E392" s="39"/>
      <c r="F392" s="39"/>
      <c r="G392" s="39"/>
      <c r="H392" s="5" t="str">
        <f ca="1">IFERROR(__xludf.DUMMYFUNCTION("IFERROR(VLOOKUP(F658,IMPORTRANGE(""https://docs.google.com/spreadsheets/d/1Kvs4KS76FHFqLFIZfrDMff4kP08nblUkihrxltoGBjg/edit#gid=934712705"",""ESENCIAL!A6:BG""),3,FALSE))"),"")</f>
        <v/>
      </c>
      <c r="I392" s="5" t="str">
        <f ca="1">IFERROR(__xludf.DUMMYFUNCTION("IFERROR(VLOOKUP(F658,IMPORTRANGE(""https://docs.google.com/spreadsheets/d/1Kvs4KS76FHFqLFIZfrDMff4kP08nblUkihrxltoGBjg/edit#gid=934712705"",""ESENCIAL!A6:BG""),8,FALSE))"),"")</f>
        <v/>
      </c>
      <c r="J392" s="39"/>
      <c r="M392" s="287"/>
      <c r="AV392" s="41" t="str">
        <f t="shared" si="20"/>
        <v/>
      </c>
      <c r="AW392" s="5" t="str">
        <f ca="1">IFERROR(__xludf.DUMMYFUNCTION("IFERROR(VLOOKUP(E658&amp;F658,IMPORTRANGE(""https://docs.google.com/spreadsheets/d/1Uw7-A9f9R21vMXxHZFNpYNeKFtG8_yji4HS352LGlSQ/edit?pli=1#gid=0"",""1_ACUM!A4:S""),11,FALSE))"),"")</f>
        <v/>
      </c>
      <c r="AX392" s="42" t="str">
        <f ca="1">IFERROR(__xludf.DUMMYFUNCTION("IFERROR(VLOOKUP(F658,IMPORTRANGE(""https://docs.google.com/spreadsheets/d/1Kvs4KS76FHFqLFIZfrDMff4kP08nblUkihrxltoGBjg/edit#gid=934712705"",""ESENCIAL!A6:BG""),15,FALSE))"),"")</f>
        <v/>
      </c>
      <c r="AY392" s="110" t="str">
        <f ca="1">IFERROR(__xludf.DUMMYFUNCTION("IFERROR(VLOOKUP(E658&amp;F658,IMPORTRANGE(""https://docs.google.com/spreadsheets/d/1Uw7-A9f9R21vMXxHZFNpYNeKFtG8_yji4HS352LGlSQ/edit?pli=1#gid=0"",""1_ACUM!A4:S""),13,FALSE))"),"")</f>
        <v/>
      </c>
      <c r="AZ392" s="43" t="str">
        <f ca="1">IFERROR(__xludf.DUMMYFUNCTION("IFERROR(VLOOKUP(E658&amp;F658,IMPORTRANGE(""https://docs.google.com/spreadsheets/d/1Uw7-A9f9R21vMXxHZFNpYNeKFtG8_yji4HS352LGlSQ/edit?pli=1#gid=0"",""1_ACUM!A4:S""),13,FALSE))"),"")</f>
        <v/>
      </c>
      <c r="BA392" s="43" t="str">
        <f ca="1">IFERROR(__xludf.DUMMYFUNCTION("IFERROR(VLOOKUP(E658&amp;F658,IMPORTRANGE(""https://docs.google.com/spreadsheets/d/1Uw7-A9f9R21vMXxHZFNpYNeKFtG8_yji4HS352LGlSQ/edit?pli=1#gid=0"",""1_ACUM!A4:S""),14,FALSE))"),"")</f>
        <v/>
      </c>
      <c r="BB392" s="43" t="str">
        <f ca="1">IFERROR(__xludf.DUMMYFUNCTION("IFERROR(VLOOKUP(E658&amp;F658,IMPORTRANGE(""https://docs.google.com/spreadsheets/d/1Uw7-A9f9R21vMXxHZFNpYNeKFtG8_yji4HS352LGlSQ/edit?pli=1#gid=0"",""1_ACUM!A4:S""),15,FALSE))"),"")</f>
        <v/>
      </c>
      <c r="BC392" s="43" t="str">
        <f ca="1">IFERROR(__xludf.DUMMYFUNCTION("IFERROR(VLOOKUP(E658&amp;F658,IMPORTRANGE(""https://docs.google.com/spreadsheets/d/1Uw7-A9f9R21vMXxHZFNpYNeKFtG8_yji4HS352LGlSQ/edit?pli=1#gid=0"",""1_ACUM!A4:S""),16,FALSE))"),"")</f>
        <v/>
      </c>
      <c r="BD392" s="43" t="str">
        <f ca="1">IFERROR(__xludf.DUMMYFUNCTION("IFERROR(VLOOKUP(E658&amp;F658,IMPORTRANGE(""https://docs.google.com/spreadsheets/d/1Uw7-A9f9R21vMXxHZFNpYNeKFtG8_yji4HS352LGlSQ/edit?pli=1#gid=0"",""1_ACUM!A4:S""),17,FALSE))"),"")</f>
        <v/>
      </c>
      <c r="BE392" s="44" t="str">
        <f ca="1">IFERROR(__xludf.DUMMYFUNCTION("IFERROR(VLOOKUP(E658&amp;F658,IMPORTRANGE(""https://docs.google.com/spreadsheets/d/1Uw7-A9f9R21vMXxHZFNpYNeKFtG8_yji4HS352LGlSQ/edit?pli=1#gid=0"",""1_ACUM!A4:S""),18,FALSE))"),"")</f>
        <v/>
      </c>
      <c r="BF392" s="44" t="str">
        <f ca="1">IFERROR(__xludf.DUMMYFUNCTION("IFERROR(VLOOKUP(E658&amp;F658,IMPORTRANGE(""https://docs.google.com/spreadsheets/d/1Uw7-A9f9R21vMXxHZFNpYNeKFtG8_yji4HS352LGlSQ/edit?pli=1#gid=0"",""1_ACUM!A4:S""),19,FALSE))"),"")</f>
        <v/>
      </c>
      <c r="BG392" s="98" t="str">
        <f ca="1">IFERROR(__xludf.DUMMYFUNCTION("IFERROR(VLOOKUP(F658,IMPORTRANGE(""https://docs.google.com/spreadsheets/d/1Kvs4KS76FHFqLFIZfrDMff4kP08nblUkihrxltoGBjg/edit#gid=934712705"",""ESENCIAL!A6:BG""),5,FALSE))"),"")</f>
        <v/>
      </c>
      <c r="BH392" s="98" t="str">
        <f t="shared" si="21"/>
        <v/>
      </c>
      <c r="BI392" s="99" t="str">
        <f t="shared" si="22"/>
        <v/>
      </c>
      <c r="BJ392" s="100" t="str">
        <f ca="1">IFERROR(__xludf.DUMMYFUNCTION("IFERROR(VLOOKUP(F658,IMPORTRANGE(""https://docs.google.com/spreadsheets/d/1Kvs4KS76FHFqLFIZfrDMff4kP08nblUkihrxltoGBjg/edit#gid=934712705"",""ESENCIAL!A6:BG""),2,FALSE))"),"")</f>
        <v/>
      </c>
      <c r="BK392" s="19" t="str">
        <f t="shared" si="23"/>
        <v/>
      </c>
      <c r="BL392" s="100"/>
      <c r="BM392" s="100"/>
    </row>
    <row r="393" spans="2:65" ht="15">
      <c r="B393" s="39"/>
      <c r="C393" s="5"/>
      <c r="D393" s="123"/>
      <c r="E393" s="39"/>
      <c r="F393" s="39"/>
      <c r="G393" s="39"/>
      <c r="H393" s="5" t="str">
        <f ca="1">IFERROR(__xludf.DUMMYFUNCTION("IFERROR(VLOOKUP(F659,IMPORTRANGE(""https://docs.google.com/spreadsheets/d/1Kvs4KS76FHFqLFIZfrDMff4kP08nblUkihrxltoGBjg/edit#gid=934712705"",""ESENCIAL!A6:BG""),3,FALSE))"),"")</f>
        <v/>
      </c>
      <c r="I393" s="5" t="str">
        <f ca="1">IFERROR(__xludf.DUMMYFUNCTION("IFERROR(VLOOKUP(F659,IMPORTRANGE(""https://docs.google.com/spreadsheets/d/1Kvs4KS76FHFqLFIZfrDMff4kP08nblUkihrxltoGBjg/edit#gid=934712705"",""ESENCIAL!A6:BG""),8,FALSE))"),"")</f>
        <v/>
      </c>
      <c r="J393" s="39"/>
      <c r="M393" s="287"/>
      <c r="AV393" s="41" t="str">
        <f t="shared" si="20"/>
        <v/>
      </c>
      <c r="AW393" s="5" t="str">
        <f ca="1">IFERROR(__xludf.DUMMYFUNCTION("IFERROR(VLOOKUP(E659&amp;F659,IMPORTRANGE(""https://docs.google.com/spreadsheets/d/1Uw7-A9f9R21vMXxHZFNpYNeKFtG8_yji4HS352LGlSQ/edit?pli=1#gid=0"",""1_ACUM!A4:S""),11,FALSE))"),"")</f>
        <v/>
      </c>
      <c r="AX393" s="42" t="str">
        <f ca="1">IFERROR(__xludf.DUMMYFUNCTION("IFERROR(VLOOKUP(F659,IMPORTRANGE(""https://docs.google.com/spreadsheets/d/1Kvs4KS76FHFqLFIZfrDMff4kP08nblUkihrxltoGBjg/edit#gid=934712705"",""ESENCIAL!A6:BG""),15,FALSE))"),"")</f>
        <v/>
      </c>
      <c r="AY393" s="110" t="str">
        <f ca="1">IFERROR(__xludf.DUMMYFUNCTION("IFERROR(VLOOKUP(E659&amp;F659,IMPORTRANGE(""https://docs.google.com/spreadsheets/d/1Uw7-A9f9R21vMXxHZFNpYNeKFtG8_yji4HS352LGlSQ/edit?pli=1#gid=0"",""1_ACUM!A4:S""),13,FALSE))"),"")</f>
        <v/>
      </c>
      <c r="AZ393" s="43" t="str">
        <f ca="1">IFERROR(__xludf.DUMMYFUNCTION("IFERROR(VLOOKUP(E659&amp;F659,IMPORTRANGE(""https://docs.google.com/spreadsheets/d/1Uw7-A9f9R21vMXxHZFNpYNeKFtG8_yji4HS352LGlSQ/edit?pli=1#gid=0"",""1_ACUM!A4:S""),13,FALSE))"),"")</f>
        <v/>
      </c>
      <c r="BA393" s="43" t="str">
        <f ca="1">IFERROR(__xludf.DUMMYFUNCTION("IFERROR(VLOOKUP(E659&amp;F659,IMPORTRANGE(""https://docs.google.com/spreadsheets/d/1Uw7-A9f9R21vMXxHZFNpYNeKFtG8_yji4HS352LGlSQ/edit?pli=1#gid=0"",""1_ACUM!A4:S""),14,FALSE))"),"")</f>
        <v/>
      </c>
      <c r="BB393" s="43" t="str">
        <f ca="1">IFERROR(__xludf.DUMMYFUNCTION("IFERROR(VLOOKUP(E659&amp;F659,IMPORTRANGE(""https://docs.google.com/spreadsheets/d/1Uw7-A9f9R21vMXxHZFNpYNeKFtG8_yji4HS352LGlSQ/edit?pli=1#gid=0"",""1_ACUM!A4:S""),15,FALSE))"),"")</f>
        <v/>
      </c>
      <c r="BC393" s="43" t="str">
        <f ca="1">IFERROR(__xludf.DUMMYFUNCTION("IFERROR(VLOOKUP(E659&amp;F659,IMPORTRANGE(""https://docs.google.com/spreadsheets/d/1Uw7-A9f9R21vMXxHZFNpYNeKFtG8_yji4HS352LGlSQ/edit?pli=1#gid=0"",""1_ACUM!A4:S""),16,FALSE))"),"")</f>
        <v/>
      </c>
      <c r="BD393" s="43" t="str">
        <f ca="1">IFERROR(__xludf.DUMMYFUNCTION("IFERROR(VLOOKUP(E659&amp;F659,IMPORTRANGE(""https://docs.google.com/spreadsheets/d/1Uw7-A9f9R21vMXxHZFNpYNeKFtG8_yji4HS352LGlSQ/edit?pli=1#gid=0"",""1_ACUM!A4:S""),17,FALSE))"),"")</f>
        <v/>
      </c>
      <c r="BE393" s="44" t="str">
        <f ca="1">IFERROR(__xludf.DUMMYFUNCTION("IFERROR(VLOOKUP(E659&amp;F659,IMPORTRANGE(""https://docs.google.com/spreadsheets/d/1Uw7-A9f9R21vMXxHZFNpYNeKFtG8_yji4HS352LGlSQ/edit?pli=1#gid=0"",""1_ACUM!A4:S""),18,FALSE))"),"")</f>
        <v/>
      </c>
      <c r="BF393" s="44" t="str">
        <f ca="1">IFERROR(__xludf.DUMMYFUNCTION("IFERROR(VLOOKUP(E659&amp;F659,IMPORTRANGE(""https://docs.google.com/spreadsheets/d/1Uw7-A9f9R21vMXxHZFNpYNeKFtG8_yji4HS352LGlSQ/edit?pli=1#gid=0"",""1_ACUM!A4:S""),19,FALSE))"),"")</f>
        <v/>
      </c>
      <c r="BG393" s="98" t="str">
        <f ca="1">IFERROR(__xludf.DUMMYFUNCTION("IFERROR(VLOOKUP(F659,IMPORTRANGE(""https://docs.google.com/spreadsheets/d/1Kvs4KS76FHFqLFIZfrDMff4kP08nblUkihrxltoGBjg/edit#gid=934712705"",""ESENCIAL!A6:BG""),5,FALSE))"),"")</f>
        <v/>
      </c>
      <c r="BH393" s="98" t="str">
        <f t="shared" si="21"/>
        <v/>
      </c>
      <c r="BI393" s="99" t="str">
        <f t="shared" si="22"/>
        <v/>
      </c>
      <c r="BJ393" s="100" t="str">
        <f ca="1">IFERROR(__xludf.DUMMYFUNCTION("IFERROR(VLOOKUP(F659,IMPORTRANGE(""https://docs.google.com/spreadsheets/d/1Kvs4KS76FHFqLFIZfrDMff4kP08nblUkihrxltoGBjg/edit#gid=934712705"",""ESENCIAL!A6:BG""),2,FALSE))"),"")</f>
        <v/>
      </c>
      <c r="BK393" s="19" t="str">
        <f t="shared" si="23"/>
        <v/>
      </c>
      <c r="BL393" s="100"/>
      <c r="BM393" s="100"/>
    </row>
    <row r="394" spans="2:65" ht="15">
      <c r="B394" s="39"/>
      <c r="C394" s="5"/>
      <c r="D394" s="123"/>
      <c r="E394" s="39"/>
      <c r="F394" s="39"/>
      <c r="G394" s="39"/>
      <c r="H394" s="5" t="str">
        <f ca="1">IFERROR(__xludf.DUMMYFUNCTION("IFERROR(VLOOKUP(F660,IMPORTRANGE(""https://docs.google.com/spreadsheets/d/1Kvs4KS76FHFqLFIZfrDMff4kP08nblUkihrxltoGBjg/edit#gid=934712705"",""ESENCIAL!A6:BG""),3,FALSE))"),"")</f>
        <v/>
      </c>
      <c r="I394" s="5" t="str">
        <f ca="1">IFERROR(__xludf.DUMMYFUNCTION("IFERROR(VLOOKUP(F660,IMPORTRANGE(""https://docs.google.com/spreadsheets/d/1Kvs4KS76FHFqLFIZfrDMff4kP08nblUkihrxltoGBjg/edit#gid=934712705"",""ESENCIAL!A6:BG""),8,FALSE))"),"")</f>
        <v/>
      </c>
      <c r="J394" s="39"/>
      <c r="M394" s="287"/>
      <c r="AV394" s="41" t="str">
        <f t="shared" si="20"/>
        <v/>
      </c>
      <c r="AW394" s="5" t="str">
        <f ca="1">IFERROR(__xludf.DUMMYFUNCTION("IFERROR(VLOOKUP(E660&amp;F660,IMPORTRANGE(""https://docs.google.com/spreadsheets/d/1Uw7-A9f9R21vMXxHZFNpYNeKFtG8_yji4HS352LGlSQ/edit?pli=1#gid=0"",""1_ACUM!A4:S""),11,FALSE))"),"")</f>
        <v/>
      </c>
      <c r="AX394" s="42" t="str">
        <f ca="1">IFERROR(__xludf.DUMMYFUNCTION("IFERROR(VLOOKUP(F660,IMPORTRANGE(""https://docs.google.com/spreadsheets/d/1Kvs4KS76FHFqLFIZfrDMff4kP08nblUkihrxltoGBjg/edit#gid=934712705"",""ESENCIAL!A6:BG""),15,FALSE))"),"")</f>
        <v/>
      </c>
      <c r="AY394" s="110" t="str">
        <f ca="1">IFERROR(__xludf.DUMMYFUNCTION("IFERROR(VLOOKUP(E660&amp;F660,IMPORTRANGE(""https://docs.google.com/spreadsheets/d/1Uw7-A9f9R21vMXxHZFNpYNeKFtG8_yji4HS352LGlSQ/edit?pli=1#gid=0"",""1_ACUM!A4:S""),13,FALSE))"),"")</f>
        <v/>
      </c>
      <c r="AZ394" s="43" t="str">
        <f ca="1">IFERROR(__xludf.DUMMYFUNCTION("IFERROR(VLOOKUP(E660&amp;F660,IMPORTRANGE(""https://docs.google.com/spreadsheets/d/1Uw7-A9f9R21vMXxHZFNpYNeKFtG8_yji4HS352LGlSQ/edit?pli=1#gid=0"",""1_ACUM!A4:S""),13,FALSE))"),"")</f>
        <v/>
      </c>
      <c r="BA394" s="43" t="str">
        <f ca="1">IFERROR(__xludf.DUMMYFUNCTION("IFERROR(VLOOKUP(E660&amp;F660,IMPORTRANGE(""https://docs.google.com/spreadsheets/d/1Uw7-A9f9R21vMXxHZFNpYNeKFtG8_yji4HS352LGlSQ/edit?pli=1#gid=0"",""1_ACUM!A4:S""),14,FALSE))"),"")</f>
        <v/>
      </c>
      <c r="BB394" s="43" t="str">
        <f ca="1">IFERROR(__xludf.DUMMYFUNCTION("IFERROR(VLOOKUP(E660&amp;F660,IMPORTRANGE(""https://docs.google.com/spreadsheets/d/1Uw7-A9f9R21vMXxHZFNpYNeKFtG8_yji4HS352LGlSQ/edit?pli=1#gid=0"",""1_ACUM!A4:S""),15,FALSE))"),"")</f>
        <v/>
      </c>
      <c r="BC394" s="43" t="str">
        <f ca="1">IFERROR(__xludf.DUMMYFUNCTION("IFERROR(VLOOKUP(E660&amp;F660,IMPORTRANGE(""https://docs.google.com/spreadsheets/d/1Uw7-A9f9R21vMXxHZFNpYNeKFtG8_yji4HS352LGlSQ/edit?pli=1#gid=0"",""1_ACUM!A4:S""),16,FALSE))"),"")</f>
        <v/>
      </c>
      <c r="BD394" s="43" t="str">
        <f ca="1">IFERROR(__xludf.DUMMYFUNCTION("IFERROR(VLOOKUP(E660&amp;F660,IMPORTRANGE(""https://docs.google.com/spreadsheets/d/1Uw7-A9f9R21vMXxHZFNpYNeKFtG8_yji4HS352LGlSQ/edit?pli=1#gid=0"",""1_ACUM!A4:S""),17,FALSE))"),"")</f>
        <v/>
      </c>
      <c r="BE394" s="44" t="str">
        <f ca="1">IFERROR(__xludf.DUMMYFUNCTION("IFERROR(VLOOKUP(E660&amp;F660,IMPORTRANGE(""https://docs.google.com/spreadsheets/d/1Uw7-A9f9R21vMXxHZFNpYNeKFtG8_yji4HS352LGlSQ/edit?pli=1#gid=0"",""1_ACUM!A4:S""),18,FALSE))"),"")</f>
        <v/>
      </c>
      <c r="BF394" s="44" t="str">
        <f ca="1">IFERROR(__xludf.DUMMYFUNCTION("IFERROR(VLOOKUP(E660&amp;F660,IMPORTRANGE(""https://docs.google.com/spreadsheets/d/1Uw7-A9f9R21vMXxHZFNpYNeKFtG8_yji4HS352LGlSQ/edit?pli=1#gid=0"",""1_ACUM!A4:S""),19,FALSE))"),"")</f>
        <v/>
      </c>
      <c r="BG394" s="98" t="str">
        <f ca="1">IFERROR(__xludf.DUMMYFUNCTION("IFERROR(VLOOKUP(F660,IMPORTRANGE(""https://docs.google.com/spreadsheets/d/1Kvs4KS76FHFqLFIZfrDMff4kP08nblUkihrxltoGBjg/edit#gid=934712705"",""ESENCIAL!A6:BG""),5,FALSE))"),"")</f>
        <v/>
      </c>
      <c r="BH394" s="98" t="str">
        <f t="shared" si="21"/>
        <v/>
      </c>
      <c r="BI394" s="99" t="str">
        <f t="shared" si="22"/>
        <v/>
      </c>
      <c r="BJ394" s="100" t="str">
        <f ca="1">IFERROR(__xludf.DUMMYFUNCTION("IFERROR(VLOOKUP(F660,IMPORTRANGE(""https://docs.google.com/spreadsheets/d/1Kvs4KS76FHFqLFIZfrDMff4kP08nblUkihrxltoGBjg/edit#gid=934712705"",""ESENCIAL!A6:BG""),2,FALSE))"),"")</f>
        <v/>
      </c>
      <c r="BK394" s="19" t="str">
        <f t="shared" si="23"/>
        <v/>
      </c>
      <c r="BL394" s="100"/>
      <c r="BM394" s="100"/>
    </row>
    <row r="395" spans="2:65" ht="15">
      <c r="B395" s="39"/>
      <c r="C395" s="5"/>
      <c r="D395" s="123"/>
      <c r="E395" s="39"/>
      <c r="F395" s="39"/>
      <c r="G395" s="39"/>
      <c r="H395" s="5" t="str">
        <f ca="1">IFERROR(__xludf.DUMMYFUNCTION("IFERROR(VLOOKUP(F661,IMPORTRANGE(""https://docs.google.com/spreadsheets/d/1Kvs4KS76FHFqLFIZfrDMff4kP08nblUkihrxltoGBjg/edit#gid=934712705"",""ESENCIAL!A6:BG""),3,FALSE))"),"")</f>
        <v/>
      </c>
      <c r="I395" s="5" t="str">
        <f ca="1">IFERROR(__xludf.DUMMYFUNCTION("IFERROR(VLOOKUP(F661,IMPORTRANGE(""https://docs.google.com/spreadsheets/d/1Kvs4KS76FHFqLFIZfrDMff4kP08nblUkihrxltoGBjg/edit#gid=934712705"",""ESENCIAL!A6:BG""),8,FALSE))"),"")</f>
        <v/>
      </c>
      <c r="J395" s="39"/>
      <c r="M395" s="287"/>
      <c r="AV395" s="41" t="str">
        <f t="shared" si="20"/>
        <v/>
      </c>
      <c r="AW395" s="5" t="str">
        <f ca="1">IFERROR(__xludf.DUMMYFUNCTION("IFERROR(VLOOKUP(E661&amp;F661,IMPORTRANGE(""https://docs.google.com/spreadsheets/d/1Uw7-A9f9R21vMXxHZFNpYNeKFtG8_yji4HS352LGlSQ/edit?pli=1#gid=0"",""1_ACUM!A4:S""),11,FALSE))"),"")</f>
        <v/>
      </c>
      <c r="AX395" s="42" t="str">
        <f ca="1">IFERROR(__xludf.DUMMYFUNCTION("IFERROR(VLOOKUP(F661,IMPORTRANGE(""https://docs.google.com/spreadsheets/d/1Kvs4KS76FHFqLFIZfrDMff4kP08nblUkihrxltoGBjg/edit#gid=934712705"",""ESENCIAL!A6:BG""),15,FALSE))"),"")</f>
        <v/>
      </c>
      <c r="AY395" s="110" t="str">
        <f ca="1">IFERROR(__xludf.DUMMYFUNCTION("IFERROR(VLOOKUP(E661&amp;F661,IMPORTRANGE(""https://docs.google.com/spreadsheets/d/1Uw7-A9f9R21vMXxHZFNpYNeKFtG8_yji4HS352LGlSQ/edit?pli=1#gid=0"",""1_ACUM!A4:S""),13,FALSE))"),"")</f>
        <v/>
      </c>
      <c r="AZ395" s="43" t="str">
        <f ca="1">IFERROR(__xludf.DUMMYFUNCTION("IFERROR(VLOOKUP(E661&amp;F661,IMPORTRANGE(""https://docs.google.com/spreadsheets/d/1Uw7-A9f9R21vMXxHZFNpYNeKFtG8_yji4HS352LGlSQ/edit?pli=1#gid=0"",""1_ACUM!A4:S""),13,FALSE))"),"")</f>
        <v/>
      </c>
      <c r="BA395" s="43" t="str">
        <f ca="1">IFERROR(__xludf.DUMMYFUNCTION("IFERROR(VLOOKUP(E661&amp;F661,IMPORTRANGE(""https://docs.google.com/spreadsheets/d/1Uw7-A9f9R21vMXxHZFNpYNeKFtG8_yji4HS352LGlSQ/edit?pli=1#gid=0"",""1_ACUM!A4:S""),14,FALSE))"),"")</f>
        <v/>
      </c>
      <c r="BB395" s="43" t="str">
        <f ca="1">IFERROR(__xludf.DUMMYFUNCTION("IFERROR(VLOOKUP(E661&amp;F661,IMPORTRANGE(""https://docs.google.com/spreadsheets/d/1Uw7-A9f9R21vMXxHZFNpYNeKFtG8_yji4HS352LGlSQ/edit?pli=1#gid=0"",""1_ACUM!A4:S""),15,FALSE))"),"")</f>
        <v/>
      </c>
      <c r="BC395" s="43" t="str">
        <f ca="1">IFERROR(__xludf.DUMMYFUNCTION("IFERROR(VLOOKUP(E661&amp;F661,IMPORTRANGE(""https://docs.google.com/spreadsheets/d/1Uw7-A9f9R21vMXxHZFNpYNeKFtG8_yji4HS352LGlSQ/edit?pli=1#gid=0"",""1_ACUM!A4:S""),16,FALSE))"),"")</f>
        <v/>
      </c>
      <c r="BD395" s="43" t="str">
        <f ca="1">IFERROR(__xludf.DUMMYFUNCTION("IFERROR(VLOOKUP(E661&amp;F661,IMPORTRANGE(""https://docs.google.com/spreadsheets/d/1Uw7-A9f9R21vMXxHZFNpYNeKFtG8_yji4HS352LGlSQ/edit?pli=1#gid=0"",""1_ACUM!A4:S""),17,FALSE))"),"")</f>
        <v/>
      </c>
      <c r="BE395" s="44" t="str">
        <f ca="1">IFERROR(__xludf.DUMMYFUNCTION("IFERROR(VLOOKUP(E661&amp;F661,IMPORTRANGE(""https://docs.google.com/spreadsheets/d/1Uw7-A9f9R21vMXxHZFNpYNeKFtG8_yji4HS352LGlSQ/edit?pli=1#gid=0"",""1_ACUM!A4:S""),18,FALSE))"),"")</f>
        <v/>
      </c>
      <c r="BF395" s="44" t="str">
        <f ca="1">IFERROR(__xludf.DUMMYFUNCTION("IFERROR(VLOOKUP(E661&amp;F661,IMPORTRANGE(""https://docs.google.com/spreadsheets/d/1Uw7-A9f9R21vMXxHZFNpYNeKFtG8_yji4HS352LGlSQ/edit?pli=1#gid=0"",""1_ACUM!A4:S""),19,FALSE))"),"")</f>
        <v/>
      </c>
      <c r="BG395" s="98" t="str">
        <f ca="1">IFERROR(__xludf.DUMMYFUNCTION("IFERROR(VLOOKUP(F661,IMPORTRANGE(""https://docs.google.com/spreadsheets/d/1Kvs4KS76FHFqLFIZfrDMff4kP08nblUkihrxltoGBjg/edit#gid=934712705"",""ESENCIAL!A6:BG""),5,FALSE))"),"")</f>
        <v/>
      </c>
      <c r="BH395" s="98" t="str">
        <f t="shared" si="21"/>
        <v/>
      </c>
      <c r="BI395" s="99" t="str">
        <f t="shared" si="22"/>
        <v/>
      </c>
      <c r="BJ395" s="100" t="str">
        <f ca="1">IFERROR(__xludf.DUMMYFUNCTION("IFERROR(VLOOKUP(F661,IMPORTRANGE(""https://docs.google.com/spreadsheets/d/1Kvs4KS76FHFqLFIZfrDMff4kP08nblUkihrxltoGBjg/edit#gid=934712705"",""ESENCIAL!A6:BG""),2,FALSE))"),"")</f>
        <v/>
      </c>
      <c r="BK395" s="19" t="str">
        <f t="shared" si="23"/>
        <v/>
      </c>
      <c r="BL395" s="100"/>
      <c r="BM395" s="100"/>
    </row>
    <row r="396" spans="2:65" ht="15">
      <c r="B396" s="39"/>
      <c r="C396" s="5"/>
      <c r="D396" s="123"/>
      <c r="E396" s="39"/>
      <c r="F396" s="39"/>
      <c r="G396" s="39"/>
      <c r="H396" s="5" t="str">
        <f ca="1">IFERROR(__xludf.DUMMYFUNCTION("IFERROR(VLOOKUP(F662,IMPORTRANGE(""https://docs.google.com/spreadsheets/d/1Kvs4KS76FHFqLFIZfrDMff4kP08nblUkihrxltoGBjg/edit#gid=934712705"",""ESENCIAL!A6:BG""),3,FALSE))"),"")</f>
        <v/>
      </c>
      <c r="I396" s="5" t="str">
        <f ca="1">IFERROR(__xludf.DUMMYFUNCTION("IFERROR(VLOOKUP(F662,IMPORTRANGE(""https://docs.google.com/spreadsheets/d/1Kvs4KS76FHFqLFIZfrDMff4kP08nblUkihrxltoGBjg/edit#gid=934712705"",""ESENCIAL!A6:BG""),8,FALSE))"),"")</f>
        <v/>
      </c>
      <c r="J396" s="39"/>
      <c r="M396" s="287"/>
      <c r="AV396" s="41" t="str">
        <f t="shared" si="20"/>
        <v/>
      </c>
      <c r="AW396" s="5" t="str">
        <f ca="1">IFERROR(__xludf.DUMMYFUNCTION("IFERROR(VLOOKUP(E662&amp;F662,IMPORTRANGE(""https://docs.google.com/spreadsheets/d/1Uw7-A9f9R21vMXxHZFNpYNeKFtG8_yji4HS352LGlSQ/edit?pli=1#gid=0"",""1_ACUM!A4:S""),11,FALSE))"),"")</f>
        <v/>
      </c>
      <c r="AX396" s="42" t="str">
        <f ca="1">IFERROR(__xludf.DUMMYFUNCTION("IFERROR(VLOOKUP(F662,IMPORTRANGE(""https://docs.google.com/spreadsheets/d/1Kvs4KS76FHFqLFIZfrDMff4kP08nblUkihrxltoGBjg/edit#gid=934712705"",""ESENCIAL!A6:BG""),15,FALSE))"),"")</f>
        <v/>
      </c>
      <c r="AY396" s="110" t="str">
        <f ca="1">IFERROR(__xludf.DUMMYFUNCTION("IFERROR(VLOOKUP(E662&amp;F662,IMPORTRANGE(""https://docs.google.com/spreadsheets/d/1Uw7-A9f9R21vMXxHZFNpYNeKFtG8_yji4HS352LGlSQ/edit?pli=1#gid=0"",""1_ACUM!A4:S""),13,FALSE))"),"")</f>
        <v/>
      </c>
      <c r="AZ396" s="43" t="str">
        <f ca="1">IFERROR(__xludf.DUMMYFUNCTION("IFERROR(VLOOKUP(E662&amp;F662,IMPORTRANGE(""https://docs.google.com/spreadsheets/d/1Uw7-A9f9R21vMXxHZFNpYNeKFtG8_yji4HS352LGlSQ/edit?pli=1#gid=0"",""1_ACUM!A4:S""),13,FALSE))"),"")</f>
        <v/>
      </c>
      <c r="BA396" s="43" t="str">
        <f ca="1">IFERROR(__xludf.DUMMYFUNCTION("IFERROR(VLOOKUP(E662&amp;F662,IMPORTRANGE(""https://docs.google.com/spreadsheets/d/1Uw7-A9f9R21vMXxHZFNpYNeKFtG8_yji4HS352LGlSQ/edit?pli=1#gid=0"",""1_ACUM!A4:S""),14,FALSE))"),"")</f>
        <v/>
      </c>
      <c r="BB396" s="43" t="str">
        <f ca="1">IFERROR(__xludf.DUMMYFUNCTION("IFERROR(VLOOKUP(E662&amp;F662,IMPORTRANGE(""https://docs.google.com/spreadsheets/d/1Uw7-A9f9R21vMXxHZFNpYNeKFtG8_yji4HS352LGlSQ/edit?pli=1#gid=0"",""1_ACUM!A4:S""),15,FALSE))"),"")</f>
        <v/>
      </c>
      <c r="BC396" s="43" t="str">
        <f ca="1">IFERROR(__xludf.DUMMYFUNCTION("IFERROR(VLOOKUP(E662&amp;F662,IMPORTRANGE(""https://docs.google.com/spreadsheets/d/1Uw7-A9f9R21vMXxHZFNpYNeKFtG8_yji4HS352LGlSQ/edit?pli=1#gid=0"",""1_ACUM!A4:S""),16,FALSE))"),"")</f>
        <v/>
      </c>
      <c r="BD396" s="43" t="str">
        <f ca="1">IFERROR(__xludf.DUMMYFUNCTION("IFERROR(VLOOKUP(E662&amp;F662,IMPORTRANGE(""https://docs.google.com/spreadsheets/d/1Uw7-A9f9R21vMXxHZFNpYNeKFtG8_yji4HS352LGlSQ/edit?pli=1#gid=0"",""1_ACUM!A4:S""),17,FALSE))"),"")</f>
        <v/>
      </c>
      <c r="BE396" s="44" t="str">
        <f ca="1">IFERROR(__xludf.DUMMYFUNCTION("IFERROR(VLOOKUP(E662&amp;F662,IMPORTRANGE(""https://docs.google.com/spreadsheets/d/1Uw7-A9f9R21vMXxHZFNpYNeKFtG8_yji4HS352LGlSQ/edit?pli=1#gid=0"",""1_ACUM!A4:S""),18,FALSE))"),"")</f>
        <v/>
      </c>
      <c r="BF396" s="44" t="str">
        <f ca="1">IFERROR(__xludf.DUMMYFUNCTION("IFERROR(VLOOKUP(E662&amp;F662,IMPORTRANGE(""https://docs.google.com/spreadsheets/d/1Uw7-A9f9R21vMXxHZFNpYNeKFtG8_yji4HS352LGlSQ/edit?pli=1#gid=0"",""1_ACUM!A4:S""),19,FALSE))"),"")</f>
        <v/>
      </c>
      <c r="BG396" s="98" t="str">
        <f ca="1">IFERROR(__xludf.DUMMYFUNCTION("IFERROR(VLOOKUP(F662,IMPORTRANGE(""https://docs.google.com/spreadsheets/d/1Kvs4KS76FHFqLFIZfrDMff4kP08nblUkihrxltoGBjg/edit#gid=934712705"",""ESENCIAL!A6:BG""),5,FALSE))"),"")</f>
        <v/>
      </c>
      <c r="BH396" s="98" t="str">
        <f t="shared" si="21"/>
        <v/>
      </c>
      <c r="BI396" s="99" t="str">
        <f t="shared" si="22"/>
        <v/>
      </c>
      <c r="BJ396" s="100" t="str">
        <f ca="1">IFERROR(__xludf.DUMMYFUNCTION("IFERROR(VLOOKUP(F662,IMPORTRANGE(""https://docs.google.com/spreadsheets/d/1Kvs4KS76FHFqLFIZfrDMff4kP08nblUkihrxltoGBjg/edit#gid=934712705"",""ESENCIAL!A6:BG""),2,FALSE))"),"")</f>
        <v/>
      </c>
      <c r="BK396" s="19" t="str">
        <f t="shared" si="23"/>
        <v/>
      </c>
      <c r="BL396" s="100"/>
      <c r="BM396" s="100"/>
    </row>
    <row r="397" spans="2:65" ht="15">
      <c r="B397" s="39"/>
      <c r="C397" s="5"/>
      <c r="D397" s="123"/>
      <c r="E397" s="39"/>
      <c r="F397" s="39"/>
      <c r="G397" s="39"/>
      <c r="H397" s="5" t="str">
        <f ca="1">IFERROR(__xludf.DUMMYFUNCTION("IFERROR(VLOOKUP(F663,IMPORTRANGE(""https://docs.google.com/spreadsheets/d/1Kvs4KS76FHFqLFIZfrDMff4kP08nblUkihrxltoGBjg/edit#gid=934712705"",""ESENCIAL!A6:BG""),3,FALSE))"),"")</f>
        <v/>
      </c>
      <c r="I397" s="5" t="str">
        <f ca="1">IFERROR(__xludf.DUMMYFUNCTION("IFERROR(VLOOKUP(F663,IMPORTRANGE(""https://docs.google.com/spreadsheets/d/1Kvs4KS76FHFqLFIZfrDMff4kP08nblUkihrxltoGBjg/edit#gid=934712705"",""ESENCIAL!A6:BG""),8,FALSE))"),"")</f>
        <v/>
      </c>
      <c r="J397" s="39"/>
      <c r="M397" s="287"/>
      <c r="AV397" s="41" t="str">
        <f t="shared" si="20"/>
        <v/>
      </c>
      <c r="AW397" s="5" t="str">
        <f ca="1">IFERROR(__xludf.DUMMYFUNCTION("IFERROR(VLOOKUP(E663&amp;F663,IMPORTRANGE(""https://docs.google.com/spreadsheets/d/1Uw7-A9f9R21vMXxHZFNpYNeKFtG8_yji4HS352LGlSQ/edit?pli=1#gid=0"",""1_ACUM!A4:S""),11,FALSE))"),"")</f>
        <v/>
      </c>
      <c r="AX397" s="42" t="str">
        <f ca="1">IFERROR(__xludf.DUMMYFUNCTION("IFERROR(VLOOKUP(F663,IMPORTRANGE(""https://docs.google.com/spreadsheets/d/1Kvs4KS76FHFqLFIZfrDMff4kP08nblUkihrxltoGBjg/edit#gid=934712705"",""ESENCIAL!A6:BG""),15,FALSE))"),"")</f>
        <v/>
      </c>
      <c r="AY397" s="110" t="str">
        <f ca="1">IFERROR(__xludf.DUMMYFUNCTION("IFERROR(VLOOKUP(E663&amp;F663,IMPORTRANGE(""https://docs.google.com/spreadsheets/d/1Uw7-A9f9R21vMXxHZFNpYNeKFtG8_yji4HS352LGlSQ/edit?pli=1#gid=0"",""1_ACUM!A4:S""),13,FALSE))"),"")</f>
        <v/>
      </c>
      <c r="AZ397" s="43" t="str">
        <f ca="1">IFERROR(__xludf.DUMMYFUNCTION("IFERROR(VLOOKUP(E663&amp;F663,IMPORTRANGE(""https://docs.google.com/spreadsheets/d/1Uw7-A9f9R21vMXxHZFNpYNeKFtG8_yji4HS352LGlSQ/edit?pli=1#gid=0"",""1_ACUM!A4:S""),13,FALSE))"),"")</f>
        <v/>
      </c>
      <c r="BA397" s="43" t="str">
        <f ca="1">IFERROR(__xludf.DUMMYFUNCTION("IFERROR(VLOOKUP(E663&amp;F663,IMPORTRANGE(""https://docs.google.com/spreadsheets/d/1Uw7-A9f9R21vMXxHZFNpYNeKFtG8_yji4HS352LGlSQ/edit?pli=1#gid=0"",""1_ACUM!A4:S""),14,FALSE))"),"")</f>
        <v/>
      </c>
      <c r="BB397" s="43" t="str">
        <f ca="1">IFERROR(__xludf.DUMMYFUNCTION("IFERROR(VLOOKUP(E663&amp;F663,IMPORTRANGE(""https://docs.google.com/spreadsheets/d/1Uw7-A9f9R21vMXxHZFNpYNeKFtG8_yji4HS352LGlSQ/edit?pli=1#gid=0"",""1_ACUM!A4:S""),15,FALSE))"),"")</f>
        <v/>
      </c>
      <c r="BC397" s="43" t="str">
        <f ca="1">IFERROR(__xludf.DUMMYFUNCTION("IFERROR(VLOOKUP(E663&amp;F663,IMPORTRANGE(""https://docs.google.com/spreadsheets/d/1Uw7-A9f9R21vMXxHZFNpYNeKFtG8_yji4HS352LGlSQ/edit?pli=1#gid=0"",""1_ACUM!A4:S""),16,FALSE))"),"")</f>
        <v/>
      </c>
      <c r="BD397" s="43" t="str">
        <f ca="1">IFERROR(__xludf.DUMMYFUNCTION("IFERROR(VLOOKUP(E663&amp;F663,IMPORTRANGE(""https://docs.google.com/spreadsheets/d/1Uw7-A9f9R21vMXxHZFNpYNeKFtG8_yji4HS352LGlSQ/edit?pli=1#gid=0"",""1_ACUM!A4:S""),17,FALSE))"),"")</f>
        <v/>
      </c>
      <c r="BE397" s="44" t="str">
        <f ca="1">IFERROR(__xludf.DUMMYFUNCTION("IFERROR(VLOOKUP(E663&amp;F663,IMPORTRANGE(""https://docs.google.com/spreadsheets/d/1Uw7-A9f9R21vMXxHZFNpYNeKFtG8_yji4HS352LGlSQ/edit?pli=1#gid=0"",""1_ACUM!A4:S""),18,FALSE))"),"")</f>
        <v/>
      </c>
      <c r="BF397" s="44" t="str">
        <f ca="1">IFERROR(__xludf.DUMMYFUNCTION("IFERROR(VLOOKUP(E663&amp;F663,IMPORTRANGE(""https://docs.google.com/spreadsheets/d/1Uw7-A9f9R21vMXxHZFNpYNeKFtG8_yji4HS352LGlSQ/edit?pli=1#gid=0"",""1_ACUM!A4:S""),19,FALSE))"),"")</f>
        <v/>
      </c>
      <c r="BG397" s="98" t="str">
        <f ca="1">IFERROR(__xludf.DUMMYFUNCTION("IFERROR(VLOOKUP(F663,IMPORTRANGE(""https://docs.google.com/spreadsheets/d/1Kvs4KS76FHFqLFIZfrDMff4kP08nblUkihrxltoGBjg/edit#gid=934712705"",""ESENCIAL!A6:BG""),5,FALSE))"),"")</f>
        <v/>
      </c>
      <c r="BH397" s="98" t="str">
        <f t="shared" si="21"/>
        <v/>
      </c>
      <c r="BI397" s="99" t="str">
        <f t="shared" si="22"/>
        <v/>
      </c>
      <c r="BJ397" s="100" t="str">
        <f ca="1">IFERROR(__xludf.DUMMYFUNCTION("IFERROR(VLOOKUP(F663,IMPORTRANGE(""https://docs.google.com/spreadsheets/d/1Kvs4KS76FHFqLFIZfrDMff4kP08nblUkihrxltoGBjg/edit#gid=934712705"",""ESENCIAL!A6:BG""),2,FALSE))"),"")</f>
        <v/>
      </c>
      <c r="BK397" s="19" t="str">
        <f t="shared" si="23"/>
        <v/>
      </c>
      <c r="BL397" s="100"/>
      <c r="BM397" s="100"/>
    </row>
    <row r="398" spans="2:65" ht="15">
      <c r="B398" s="39"/>
      <c r="C398" s="5"/>
      <c r="D398" s="123"/>
      <c r="E398" s="39"/>
      <c r="F398" s="39"/>
      <c r="G398" s="39"/>
      <c r="H398" s="5" t="str">
        <f ca="1">IFERROR(__xludf.DUMMYFUNCTION("IFERROR(VLOOKUP(F664,IMPORTRANGE(""https://docs.google.com/spreadsheets/d/1Kvs4KS76FHFqLFIZfrDMff4kP08nblUkihrxltoGBjg/edit#gid=934712705"",""ESENCIAL!A6:BG""),3,FALSE))"),"")</f>
        <v/>
      </c>
      <c r="I398" s="5" t="str">
        <f ca="1">IFERROR(__xludf.DUMMYFUNCTION("IFERROR(VLOOKUP(F664,IMPORTRANGE(""https://docs.google.com/spreadsheets/d/1Kvs4KS76FHFqLFIZfrDMff4kP08nblUkihrxltoGBjg/edit#gid=934712705"",""ESENCIAL!A6:BG""),8,FALSE))"),"")</f>
        <v/>
      </c>
      <c r="J398" s="39"/>
      <c r="M398" s="287"/>
      <c r="AV398" s="41" t="str">
        <f t="shared" si="20"/>
        <v/>
      </c>
      <c r="AW398" s="5" t="str">
        <f ca="1">IFERROR(__xludf.DUMMYFUNCTION("IFERROR(VLOOKUP(E664&amp;F664,IMPORTRANGE(""https://docs.google.com/spreadsheets/d/1Uw7-A9f9R21vMXxHZFNpYNeKFtG8_yji4HS352LGlSQ/edit?pli=1#gid=0"",""1_ACUM!A4:S""),11,FALSE))"),"")</f>
        <v/>
      </c>
      <c r="AX398" s="42" t="str">
        <f ca="1">IFERROR(__xludf.DUMMYFUNCTION("IFERROR(VLOOKUP(F664,IMPORTRANGE(""https://docs.google.com/spreadsheets/d/1Kvs4KS76FHFqLFIZfrDMff4kP08nblUkihrxltoGBjg/edit#gid=934712705"",""ESENCIAL!A6:BG""),15,FALSE))"),"")</f>
        <v/>
      </c>
      <c r="AY398" s="110" t="str">
        <f ca="1">IFERROR(__xludf.DUMMYFUNCTION("IFERROR(VLOOKUP(E664&amp;F664,IMPORTRANGE(""https://docs.google.com/spreadsheets/d/1Uw7-A9f9R21vMXxHZFNpYNeKFtG8_yji4HS352LGlSQ/edit?pli=1#gid=0"",""1_ACUM!A4:S""),13,FALSE))"),"")</f>
        <v/>
      </c>
      <c r="AZ398" s="43" t="str">
        <f ca="1">IFERROR(__xludf.DUMMYFUNCTION("IFERROR(VLOOKUP(E664&amp;F664,IMPORTRANGE(""https://docs.google.com/spreadsheets/d/1Uw7-A9f9R21vMXxHZFNpYNeKFtG8_yji4HS352LGlSQ/edit?pli=1#gid=0"",""1_ACUM!A4:S""),13,FALSE))"),"")</f>
        <v/>
      </c>
      <c r="BA398" s="43" t="str">
        <f ca="1">IFERROR(__xludf.DUMMYFUNCTION("IFERROR(VLOOKUP(E664&amp;F664,IMPORTRANGE(""https://docs.google.com/spreadsheets/d/1Uw7-A9f9R21vMXxHZFNpYNeKFtG8_yji4HS352LGlSQ/edit?pli=1#gid=0"",""1_ACUM!A4:S""),14,FALSE))"),"")</f>
        <v/>
      </c>
      <c r="BB398" s="43" t="str">
        <f ca="1">IFERROR(__xludf.DUMMYFUNCTION("IFERROR(VLOOKUP(E664&amp;F664,IMPORTRANGE(""https://docs.google.com/spreadsheets/d/1Uw7-A9f9R21vMXxHZFNpYNeKFtG8_yji4HS352LGlSQ/edit?pli=1#gid=0"",""1_ACUM!A4:S""),15,FALSE))"),"")</f>
        <v/>
      </c>
      <c r="BC398" s="43" t="str">
        <f ca="1">IFERROR(__xludf.DUMMYFUNCTION("IFERROR(VLOOKUP(E664&amp;F664,IMPORTRANGE(""https://docs.google.com/spreadsheets/d/1Uw7-A9f9R21vMXxHZFNpYNeKFtG8_yji4HS352LGlSQ/edit?pli=1#gid=0"",""1_ACUM!A4:S""),16,FALSE))"),"")</f>
        <v/>
      </c>
      <c r="BD398" s="43" t="str">
        <f ca="1">IFERROR(__xludf.DUMMYFUNCTION("IFERROR(VLOOKUP(E664&amp;F664,IMPORTRANGE(""https://docs.google.com/spreadsheets/d/1Uw7-A9f9R21vMXxHZFNpYNeKFtG8_yji4HS352LGlSQ/edit?pli=1#gid=0"",""1_ACUM!A4:S""),17,FALSE))"),"")</f>
        <v/>
      </c>
      <c r="BE398" s="44" t="str">
        <f ca="1">IFERROR(__xludf.DUMMYFUNCTION("IFERROR(VLOOKUP(E664&amp;F664,IMPORTRANGE(""https://docs.google.com/spreadsheets/d/1Uw7-A9f9R21vMXxHZFNpYNeKFtG8_yji4HS352LGlSQ/edit?pli=1#gid=0"",""1_ACUM!A4:S""),18,FALSE))"),"")</f>
        <v/>
      </c>
      <c r="BF398" s="44" t="str">
        <f ca="1">IFERROR(__xludf.DUMMYFUNCTION("IFERROR(VLOOKUP(E664&amp;F664,IMPORTRANGE(""https://docs.google.com/spreadsheets/d/1Uw7-A9f9R21vMXxHZFNpYNeKFtG8_yji4HS352LGlSQ/edit?pli=1#gid=0"",""1_ACUM!A4:S""),19,FALSE))"),"")</f>
        <v/>
      </c>
      <c r="BG398" s="98" t="str">
        <f ca="1">IFERROR(__xludf.DUMMYFUNCTION("IFERROR(VLOOKUP(F664,IMPORTRANGE(""https://docs.google.com/spreadsheets/d/1Kvs4KS76FHFqLFIZfrDMff4kP08nblUkihrxltoGBjg/edit#gid=934712705"",""ESENCIAL!A6:BG""),5,FALSE))"),"")</f>
        <v/>
      </c>
      <c r="BH398" s="98" t="str">
        <f t="shared" si="21"/>
        <v/>
      </c>
      <c r="BI398" s="99" t="str">
        <f t="shared" si="22"/>
        <v/>
      </c>
      <c r="BJ398" s="100" t="str">
        <f ca="1">IFERROR(__xludf.DUMMYFUNCTION("IFERROR(VLOOKUP(F664,IMPORTRANGE(""https://docs.google.com/spreadsheets/d/1Kvs4KS76FHFqLFIZfrDMff4kP08nblUkihrxltoGBjg/edit#gid=934712705"",""ESENCIAL!A6:BG""),2,FALSE))"),"")</f>
        <v/>
      </c>
      <c r="BK398" s="19" t="str">
        <f t="shared" si="23"/>
        <v/>
      </c>
      <c r="BL398" s="100"/>
      <c r="BM398" s="100"/>
    </row>
    <row r="399" spans="2:65" ht="15">
      <c r="B399" s="39"/>
      <c r="C399" s="5"/>
      <c r="D399" s="123"/>
      <c r="E399" s="39"/>
      <c r="F399" s="39"/>
      <c r="G399" s="39"/>
      <c r="H399" s="5" t="str">
        <f ca="1">IFERROR(__xludf.DUMMYFUNCTION("IFERROR(VLOOKUP(F665,IMPORTRANGE(""https://docs.google.com/spreadsheets/d/1Kvs4KS76FHFqLFIZfrDMff4kP08nblUkihrxltoGBjg/edit#gid=934712705"",""ESENCIAL!A6:BG""),3,FALSE))"),"")</f>
        <v/>
      </c>
      <c r="I399" s="5" t="str">
        <f ca="1">IFERROR(__xludf.DUMMYFUNCTION("IFERROR(VLOOKUP(F665,IMPORTRANGE(""https://docs.google.com/spreadsheets/d/1Kvs4KS76FHFqLFIZfrDMff4kP08nblUkihrxltoGBjg/edit#gid=934712705"",""ESENCIAL!A6:BG""),8,FALSE))"),"")</f>
        <v/>
      </c>
      <c r="J399" s="39"/>
      <c r="M399" s="287"/>
      <c r="AV399" s="41" t="str">
        <f t="shared" si="20"/>
        <v/>
      </c>
      <c r="AW399" s="5" t="str">
        <f ca="1">IFERROR(__xludf.DUMMYFUNCTION("IFERROR(VLOOKUP(E665&amp;F665,IMPORTRANGE(""https://docs.google.com/spreadsheets/d/1Uw7-A9f9R21vMXxHZFNpYNeKFtG8_yji4HS352LGlSQ/edit?pli=1#gid=0"",""1_ACUM!A4:S""),11,FALSE))"),"")</f>
        <v/>
      </c>
      <c r="AX399" s="42" t="str">
        <f ca="1">IFERROR(__xludf.DUMMYFUNCTION("IFERROR(VLOOKUP(F665,IMPORTRANGE(""https://docs.google.com/spreadsheets/d/1Kvs4KS76FHFqLFIZfrDMff4kP08nblUkihrxltoGBjg/edit#gid=934712705"",""ESENCIAL!A6:BG""),15,FALSE))"),"")</f>
        <v/>
      </c>
      <c r="AY399" s="110" t="str">
        <f ca="1">IFERROR(__xludf.DUMMYFUNCTION("IFERROR(VLOOKUP(E665&amp;F665,IMPORTRANGE(""https://docs.google.com/spreadsheets/d/1Uw7-A9f9R21vMXxHZFNpYNeKFtG8_yji4HS352LGlSQ/edit?pli=1#gid=0"",""1_ACUM!A4:S""),13,FALSE))"),"")</f>
        <v/>
      </c>
      <c r="AZ399" s="43" t="str">
        <f ca="1">IFERROR(__xludf.DUMMYFUNCTION("IFERROR(VLOOKUP(E665&amp;F665,IMPORTRANGE(""https://docs.google.com/spreadsheets/d/1Uw7-A9f9R21vMXxHZFNpYNeKFtG8_yji4HS352LGlSQ/edit?pli=1#gid=0"",""1_ACUM!A4:S""),13,FALSE))"),"")</f>
        <v/>
      </c>
      <c r="BA399" s="43" t="str">
        <f ca="1">IFERROR(__xludf.DUMMYFUNCTION("IFERROR(VLOOKUP(E665&amp;F665,IMPORTRANGE(""https://docs.google.com/spreadsheets/d/1Uw7-A9f9R21vMXxHZFNpYNeKFtG8_yji4HS352LGlSQ/edit?pli=1#gid=0"",""1_ACUM!A4:S""),14,FALSE))"),"")</f>
        <v/>
      </c>
      <c r="BB399" s="43" t="str">
        <f ca="1">IFERROR(__xludf.DUMMYFUNCTION("IFERROR(VLOOKUP(E665&amp;F665,IMPORTRANGE(""https://docs.google.com/spreadsheets/d/1Uw7-A9f9R21vMXxHZFNpYNeKFtG8_yji4HS352LGlSQ/edit?pli=1#gid=0"",""1_ACUM!A4:S""),15,FALSE))"),"")</f>
        <v/>
      </c>
      <c r="BC399" s="43" t="str">
        <f ca="1">IFERROR(__xludf.DUMMYFUNCTION("IFERROR(VLOOKUP(E665&amp;F665,IMPORTRANGE(""https://docs.google.com/spreadsheets/d/1Uw7-A9f9R21vMXxHZFNpYNeKFtG8_yji4HS352LGlSQ/edit?pli=1#gid=0"",""1_ACUM!A4:S""),16,FALSE))"),"")</f>
        <v/>
      </c>
      <c r="BD399" s="43" t="str">
        <f ca="1">IFERROR(__xludf.DUMMYFUNCTION("IFERROR(VLOOKUP(E665&amp;F665,IMPORTRANGE(""https://docs.google.com/spreadsheets/d/1Uw7-A9f9R21vMXxHZFNpYNeKFtG8_yji4HS352LGlSQ/edit?pli=1#gid=0"",""1_ACUM!A4:S""),17,FALSE))"),"")</f>
        <v/>
      </c>
      <c r="BE399" s="44" t="str">
        <f ca="1">IFERROR(__xludf.DUMMYFUNCTION("IFERROR(VLOOKUP(E665&amp;F665,IMPORTRANGE(""https://docs.google.com/spreadsheets/d/1Uw7-A9f9R21vMXxHZFNpYNeKFtG8_yji4HS352LGlSQ/edit?pli=1#gid=0"",""1_ACUM!A4:S""),18,FALSE))"),"")</f>
        <v/>
      </c>
      <c r="BF399" s="44" t="str">
        <f ca="1">IFERROR(__xludf.DUMMYFUNCTION("IFERROR(VLOOKUP(E665&amp;F665,IMPORTRANGE(""https://docs.google.com/spreadsheets/d/1Uw7-A9f9R21vMXxHZFNpYNeKFtG8_yji4HS352LGlSQ/edit?pli=1#gid=0"",""1_ACUM!A4:S""),19,FALSE))"),"")</f>
        <v/>
      </c>
      <c r="BG399" s="98" t="str">
        <f ca="1">IFERROR(__xludf.DUMMYFUNCTION("IFERROR(VLOOKUP(F665,IMPORTRANGE(""https://docs.google.com/spreadsheets/d/1Kvs4KS76FHFqLFIZfrDMff4kP08nblUkihrxltoGBjg/edit#gid=934712705"",""ESENCIAL!A6:BG""),5,FALSE))"),"")</f>
        <v/>
      </c>
      <c r="BH399" s="98" t="str">
        <f t="shared" si="21"/>
        <v/>
      </c>
      <c r="BI399" s="99" t="str">
        <f t="shared" si="22"/>
        <v/>
      </c>
      <c r="BJ399" s="100" t="str">
        <f ca="1">IFERROR(__xludf.DUMMYFUNCTION("IFERROR(VLOOKUP(F665,IMPORTRANGE(""https://docs.google.com/spreadsheets/d/1Kvs4KS76FHFqLFIZfrDMff4kP08nblUkihrxltoGBjg/edit#gid=934712705"",""ESENCIAL!A6:BG""),2,FALSE))"),"")</f>
        <v/>
      </c>
      <c r="BK399" s="19" t="str">
        <f t="shared" si="23"/>
        <v/>
      </c>
      <c r="BL399" s="100"/>
      <c r="BM399" s="100"/>
    </row>
    <row r="400" spans="2:65" ht="15">
      <c r="B400" s="39"/>
      <c r="C400" s="5"/>
      <c r="D400" s="123"/>
      <c r="E400" s="39"/>
      <c r="F400" s="39"/>
      <c r="G400" s="39"/>
      <c r="H400" s="5" t="str">
        <f ca="1">IFERROR(__xludf.DUMMYFUNCTION("IFERROR(VLOOKUP(F666,IMPORTRANGE(""https://docs.google.com/spreadsheets/d/1Kvs4KS76FHFqLFIZfrDMff4kP08nblUkihrxltoGBjg/edit#gid=934712705"",""ESENCIAL!A6:BG""),3,FALSE))"),"")</f>
        <v/>
      </c>
      <c r="I400" s="5" t="str">
        <f ca="1">IFERROR(__xludf.DUMMYFUNCTION("IFERROR(VLOOKUP(F666,IMPORTRANGE(""https://docs.google.com/spreadsheets/d/1Kvs4KS76FHFqLFIZfrDMff4kP08nblUkihrxltoGBjg/edit#gid=934712705"",""ESENCIAL!A6:BG""),8,FALSE))"),"")</f>
        <v/>
      </c>
      <c r="J400" s="39"/>
      <c r="M400" s="287"/>
      <c r="AV400" s="41" t="str">
        <f t="shared" si="20"/>
        <v/>
      </c>
      <c r="AW400" s="5" t="str">
        <f ca="1">IFERROR(__xludf.DUMMYFUNCTION("IFERROR(VLOOKUP(E666&amp;F666,IMPORTRANGE(""https://docs.google.com/spreadsheets/d/1Uw7-A9f9R21vMXxHZFNpYNeKFtG8_yji4HS352LGlSQ/edit?pli=1#gid=0"",""1_ACUM!A4:S""),11,FALSE))"),"")</f>
        <v/>
      </c>
      <c r="AX400" s="42" t="str">
        <f ca="1">IFERROR(__xludf.DUMMYFUNCTION("IFERROR(VLOOKUP(F666,IMPORTRANGE(""https://docs.google.com/spreadsheets/d/1Kvs4KS76FHFqLFIZfrDMff4kP08nblUkihrxltoGBjg/edit#gid=934712705"",""ESENCIAL!A6:BG""),15,FALSE))"),"")</f>
        <v/>
      </c>
      <c r="AY400" s="110" t="str">
        <f ca="1">IFERROR(__xludf.DUMMYFUNCTION("IFERROR(VLOOKUP(E666&amp;F666,IMPORTRANGE(""https://docs.google.com/spreadsheets/d/1Uw7-A9f9R21vMXxHZFNpYNeKFtG8_yji4HS352LGlSQ/edit?pli=1#gid=0"",""1_ACUM!A4:S""),13,FALSE))"),"")</f>
        <v/>
      </c>
      <c r="AZ400" s="43" t="str">
        <f ca="1">IFERROR(__xludf.DUMMYFUNCTION("IFERROR(VLOOKUP(E666&amp;F666,IMPORTRANGE(""https://docs.google.com/spreadsheets/d/1Uw7-A9f9R21vMXxHZFNpYNeKFtG8_yji4HS352LGlSQ/edit?pli=1#gid=0"",""1_ACUM!A4:S""),13,FALSE))"),"")</f>
        <v/>
      </c>
      <c r="BA400" s="43" t="str">
        <f ca="1">IFERROR(__xludf.DUMMYFUNCTION("IFERROR(VLOOKUP(E666&amp;F666,IMPORTRANGE(""https://docs.google.com/spreadsheets/d/1Uw7-A9f9R21vMXxHZFNpYNeKFtG8_yji4HS352LGlSQ/edit?pli=1#gid=0"",""1_ACUM!A4:S""),14,FALSE))"),"")</f>
        <v/>
      </c>
      <c r="BB400" s="43" t="str">
        <f ca="1">IFERROR(__xludf.DUMMYFUNCTION("IFERROR(VLOOKUP(E666&amp;F666,IMPORTRANGE(""https://docs.google.com/spreadsheets/d/1Uw7-A9f9R21vMXxHZFNpYNeKFtG8_yji4HS352LGlSQ/edit?pli=1#gid=0"",""1_ACUM!A4:S""),15,FALSE))"),"")</f>
        <v/>
      </c>
      <c r="BC400" s="43" t="str">
        <f ca="1">IFERROR(__xludf.DUMMYFUNCTION("IFERROR(VLOOKUP(E666&amp;F666,IMPORTRANGE(""https://docs.google.com/spreadsheets/d/1Uw7-A9f9R21vMXxHZFNpYNeKFtG8_yji4HS352LGlSQ/edit?pli=1#gid=0"",""1_ACUM!A4:S""),16,FALSE))"),"")</f>
        <v/>
      </c>
      <c r="BD400" s="43" t="str">
        <f ca="1">IFERROR(__xludf.DUMMYFUNCTION("IFERROR(VLOOKUP(E666&amp;F666,IMPORTRANGE(""https://docs.google.com/spreadsheets/d/1Uw7-A9f9R21vMXxHZFNpYNeKFtG8_yji4HS352LGlSQ/edit?pli=1#gid=0"",""1_ACUM!A4:S""),17,FALSE))"),"")</f>
        <v/>
      </c>
      <c r="BE400" s="44" t="str">
        <f ca="1">IFERROR(__xludf.DUMMYFUNCTION("IFERROR(VLOOKUP(E666&amp;F666,IMPORTRANGE(""https://docs.google.com/spreadsheets/d/1Uw7-A9f9R21vMXxHZFNpYNeKFtG8_yji4HS352LGlSQ/edit?pli=1#gid=0"",""1_ACUM!A4:S""),18,FALSE))"),"")</f>
        <v/>
      </c>
      <c r="BF400" s="44" t="str">
        <f ca="1">IFERROR(__xludf.DUMMYFUNCTION("IFERROR(VLOOKUP(E666&amp;F666,IMPORTRANGE(""https://docs.google.com/spreadsheets/d/1Uw7-A9f9R21vMXxHZFNpYNeKFtG8_yji4HS352LGlSQ/edit?pli=1#gid=0"",""1_ACUM!A4:S""),19,FALSE))"),"")</f>
        <v/>
      </c>
      <c r="BG400" s="98" t="str">
        <f ca="1">IFERROR(__xludf.DUMMYFUNCTION("IFERROR(VLOOKUP(F666,IMPORTRANGE(""https://docs.google.com/spreadsheets/d/1Kvs4KS76FHFqLFIZfrDMff4kP08nblUkihrxltoGBjg/edit#gid=934712705"",""ESENCIAL!A6:BG""),5,FALSE))"),"")</f>
        <v/>
      </c>
      <c r="BH400" s="98" t="str">
        <f t="shared" si="21"/>
        <v/>
      </c>
      <c r="BI400" s="99" t="str">
        <f t="shared" si="22"/>
        <v/>
      </c>
      <c r="BJ400" s="100" t="str">
        <f ca="1">IFERROR(__xludf.DUMMYFUNCTION("IFERROR(VLOOKUP(F666,IMPORTRANGE(""https://docs.google.com/spreadsheets/d/1Kvs4KS76FHFqLFIZfrDMff4kP08nblUkihrxltoGBjg/edit#gid=934712705"",""ESENCIAL!A6:BG""),2,FALSE))"),"")</f>
        <v/>
      </c>
      <c r="BK400" s="19" t="str">
        <f t="shared" si="23"/>
        <v/>
      </c>
      <c r="BL400" s="100"/>
      <c r="BM400" s="100"/>
    </row>
    <row r="401" spans="2:65" ht="15">
      <c r="B401" s="39"/>
      <c r="C401" s="5"/>
      <c r="D401" s="123"/>
      <c r="E401" s="39"/>
      <c r="F401" s="39"/>
      <c r="G401" s="39"/>
      <c r="H401" s="5" t="str">
        <f ca="1">IFERROR(__xludf.DUMMYFUNCTION("IFERROR(VLOOKUP(F667,IMPORTRANGE(""https://docs.google.com/spreadsheets/d/1Kvs4KS76FHFqLFIZfrDMff4kP08nblUkihrxltoGBjg/edit#gid=934712705"",""ESENCIAL!A6:BG""),3,FALSE))"),"")</f>
        <v/>
      </c>
      <c r="I401" s="5" t="str">
        <f ca="1">IFERROR(__xludf.DUMMYFUNCTION("IFERROR(VLOOKUP(F667,IMPORTRANGE(""https://docs.google.com/spreadsheets/d/1Kvs4KS76FHFqLFIZfrDMff4kP08nblUkihrxltoGBjg/edit#gid=934712705"",""ESENCIAL!A6:BG""),8,FALSE))"),"")</f>
        <v/>
      </c>
      <c r="J401" s="39"/>
      <c r="M401" s="287"/>
      <c r="AV401" s="41" t="str">
        <f t="shared" si="20"/>
        <v/>
      </c>
      <c r="AW401" s="5" t="str">
        <f ca="1">IFERROR(__xludf.DUMMYFUNCTION("IFERROR(VLOOKUP(E667&amp;F667,IMPORTRANGE(""https://docs.google.com/spreadsheets/d/1Uw7-A9f9R21vMXxHZFNpYNeKFtG8_yji4HS352LGlSQ/edit?pli=1#gid=0"",""1_ACUM!A4:S""),11,FALSE))"),"")</f>
        <v/>
      </c>
      <c r="AX401" s="42" t="str">
        <f ca="1">IFERROR(__xludf.DUMMYFUNCTION("IFERROR(VLOOKUP(F667,IMPORTRANGE(""https://docs.google.com/spreadsheets/d/1Kvs4KS76FHFqLFIZfrDMff4kP08nblUkihrxltoGBjg/edit#gid=934712705"",""ESENCIAL!A6:BG""),15,FALSE))"),"")</f>
        <v/>
      </c>
      <c r="AY401" s="110" t="str">
        <f ca="1">IFERROR(__xludf.DUMMYFUNCTION("IFERROR(VLOOKUP(E667&amp;F667,IMPORTRANGE(""https://docs.google.com/spreadsheets/d/1Uw7-A9f9R21vMXxHZFNpYNeKFtG8_yji4HS352LGlSQ/edit?pli=1#gid=0"",""1_ACUM!A4:S""),13,FALSE))"),"")</f>
        <v/>
      </c>
      <c r="AZ401" s="43" t="str">
        <f ca="1">IFERROR(__xludf.DUMMYFUNCTION("IFERROR(VLOOKUP(E667&amp;F667,IMPORTRANGE(""https://docs.google.com/spreadsheets/d/1Uw7-A9f9R21vMXxHZFNpYNeKFtG8_yji4HS352LGlSQ/edit?pli=1#gid=0"",""1_ACUM!A4:S""),13,FALSE))"),"")</f>
        <v/>
      </c>
      <c r="BA401" s="43" t="str">
        <f ca="1">IFERROR(__xludf.DUMMYFUNCTION("IFERROR(VLOOKUP(E667&amp;F667,IMPORTRANGE(""https://docs.google.com/spreadsheets/d/1Uw7-A9f9R21vMXxHZFNpYNeKFtG8_yji4HS352LGlSQ/edit?pli=1#gid=0"",""1_ACUM!A4:S""),14,FALSE))"),"")</f>
        <v/>
      </c>
      <c r="BB401" s="43" t="str">
        <f ca="1">IFERROR(__xludf.DUMMYFUNCTION("IFERROR(VLOOKUP(E667&amp;F667,IMPORTRANGE(""https://docs.google.com/spreadsheets/d/1Uw7-A9f9R21vMXxHZFNpYNeKFtG8_yji4HS352LGlSQ/edit?pli=1#gid=0"",""1_ACUM!A4:S""),15,FALSE))"),"")</f>
        <v/>
      </c>
      <c r="BC401" s="43" t="str">
        <f ca="1">IFERROR(__xludf.DUMMYFUNCTION("IFERROR(VLOOKUP(E667&amp;F667,IMPORTRANGE(""https://docs.google.com/spreadsheets/d/1Uw7-A9f9R21vMXxHZFNpYNeKFtG8_yji4HS352LGlSQ/edit?pli=1#gid=0"",""1_ACUM!A4:S""),16,FALSE))"),"")</f>
        <v/>
      </c>
      <c r="BD401" s="43" t="str">
        <f ca="1">IFERROR(__xludf.DUMMYFUNCTION("IFERROR(VLOOKUP(E667&amp;F667,IMPORTRANGE(""https://docs.google.com/spreadsheets/d/1Uw7-A9f9R21vMXxHZFNpYNeKFtG8_yji4HS352LGlSQ/edit?pli=1#gid=0"",""1_ACUM!A4:S""),17,FALSE))"),"")</f>
        <v/>
      </c>
      <c r="BE401" s="44" t="str">
        <f ca="1">IFERROR(__xludf.DUMMYFUNCTION("IFERROR(VLOOKUP(E667&amp;F667,IMPORTRANGE(""https://docs.google.com/spreadsheets/d/1Uw7-A9f9R21vMXxHZFNpYNeKFtG8_yji4HS352LGlSQ/edit?pli=1#gid=0"",""1_ACUM!A4:S""),18,FALSE))"),"")</f>
        <v/>
      </c>
      <c r="BF401" s="44" t="str">
        <f ca="1">IFERROR(__xludf.DUMMYFUNCTION("IFERROR(VLOOKUP(E667&amp;F667,IMPORTRANGE(""https://docs.google.com/spreadsheets/d/1Uw7-A9f9R21vMXxHZFNpYNeKFtG8_yji4HS352LGlSQ/edit?pli=1#gid=0"",""1_ACUM!A4:S""),19,FALSE))"),"")</f>
        <v/>
      </c>
      <c r="BG401" s="98" t="str">
        <f ca="1">IFERROR(__xludf.DUMMYFUNCTION("IFERROR(VLOOKUP(F667,IMPORTRANGE(""https://docs.google.com/spreadsheets/d/1Kvs4KS76FHFqLFIZfrDMff4kP08nblUkihrxltoGBjg/edit#gid=934712705"",""ESENCIAL!A6:BG""),5,FALSE))"),"")</f>
        <v/>
      </c>
      <c r="BH401" s="98" t="str">
        <f t="shared" si="21"/>
        <v/>
      </c>
      <c r="BI401" s="99" t="str">
        <f t="shared" si="22"/>
        <v/>
      </c>
      <c r="BJ401" s="100" t="str">
        <f ca="1">IFERROR(__xludf.DUMMYFUNCTION("IFERROR(VLOOKUP(F667,IMPORTRANGE(""https://docs.google.com/spreadsheets/d/1Kvs4KS76FHFqLFIZfrDMff4kP08nblUkihrxltoGBjg/edit#gid=934712705"",""ESENCIAL!A6:BG""),2,FALSE))"),"")</f>
        <v/>
      </c>
      <c r="BK401" s="19" t="str">
        <f t="shared" si="23"/>
        <v/>
      </c>
      <c r="BL401" s="100"/>
      <c r="BM401" s="100"/>
    </row>
    <row r="402" spans="2:65" ht="15">
      <c r="B402" s="39"/>
      <c r="C402" s="5"/>
      <c r="D402" s="123"/>
      <c r="E402" s="39"/>
      <c r="F402" s="39"/>
      <c r="G402" s="39"/>
      <c r="H402" s="5" t="str">
        <f ca="1">IFERROR(__xludf.DUMMYFUNCTION("IFERROR(VLOOKUP(F668,IMPORTRANGE(""https://docs.google.com/spreadsheets/d/1Kvs4KS76FHFqLFIZfrDMff4kP08nblUkihrxltoGBjg/edit#gid=934712705"",""ESENCIAL!A6:BG""),3,FALSE))"),"")</f>
        <v/>
      </c>
      <c r="I402" s="5" t="str">
        <f ca="1">IFERROR(__xludf.DUMMYFUNCTION("IFERROR(VLOOKUP(F668,IMPORTRANGE(""https://docs.google.com/spreadsheets/d/1Kvs4KS76FHFqLFIZfrDMff4kP08nblUkihrxltoGBjg/edit#gid=934712705"",""ESENCIAL!A6:BG""),8,FALSE))"),"")</f>
        <v/>
      </c>
      <c r="J402" s="39"/>
      <c r="M402" s="287"/>
      <c r="AV402" s="41" t="str">
        <f t="shared" si="20"/>
        <v/>
      </c>
      <c r="AW402" s="5" t="str">
        <f ca="1">IFERROR(__xludf.DUMMYFUNCTION("IFERROR(VLOOKUP(E668&amp;F668,IMPORTRANGE(""https://docs.google.com/spreadsheets/d/1Uw7-A9f9R21vMXxHZFNpYNeKFtG8_yji4HS352LGlSQ/edit?pli=1#gid=0"",""1_ACUM!A4:S""),11,FALSE))"),"")</f>
        <v/>
      </c>
      <c r="AX402" s="42" t="str">
        <f ca="1">IFERROR(__xludf.DUMMYFUNCTION("IFERROR(VLOOKUP(F668,IMPORTRANGE(""https://docs.google.com/spreadsheets/d/1Kvs4KS76FHFqLFIZfrDMff4kP08nblUkihrxltoGBjg/edit#gid=934712705"",""ESENCIAL!A6:BG""),15,FALSE))"),"")</f>
        <v/>
      </c>
      <c r="AY402" s="110" t="str">
        <f ca="1">IFERROR(__xludf.DUMMYFUNCTION("IFERROR(VLOOKUP(E668&amp;F668,IMPORTRANGE(""https://docs.google.com/spreadsheets/d/1Uw7-A9f9R21vMXxHZFNpYNeKFtG8_yji4HS352LGlSQ/edit?pli=1#gid=0"",""1_ACUM!A4:S""),13,FALSE))"),"")</f>
        <v/>
      </c>
      <c r="AZ402" s="43" t="str">
        <f ca="1">IFERROR(__xludf.DUMMYFUNCTION("IFERROR(VLOOKUP(E668&amp;F668,IMPORTRANGE(""https://docs.google.com/spreadsheets/d/1Uw7-A9f9R21vMXxHZFNpYNeKFtG8_yji4HS352LGlSQ/edit?pli=1#gid=0"",""1_ACUM!A4:S""),13,FALSE))"),"")</f>
        <v/>
      </c>
      <c r="BA402" s="43" t="str">
        <f ca="1">IFERROR(__xludf.DUMMYFUNCTION("IFERROR(VLOOKUP(E668&amp;F668,IMPORTRANGE(""https://docs.google.com/spreadsheets/d/1Uw7-A9f9R21vMXxHZFNpYNeKFtG8_yji4HS352LGlSQ/edit?pli=1#gid=0"",""1_ACUM!A4:S""),14,FALSE))"),"")</f>
        <v/>
      </c>
      <c r="BB402" s="43" t="str">
        <f ca="1">IFERROR(__xludf.DUMMYFUNCTION("IFERROR(VLOOKUP(E668&amp;F668,IMPORTRANGE(""https://docs.google.com/spreadsheets/d/1Uw7-A9f9R21vMXxHZFNpYNeKFtG8_yji4HS352LGlSQ/edit?pli=1#gid=0"",""1_ACUM!A4:S""),15,FALSE))"),"")</f>
        <v/>
      </c>
      <c r="BC402" s="43" t="str">
        <f ca="1">IFERROR(__xludf.DUMMYFUNCTION("IFERROR(VLOOKUP(E668&amp;F668,IMPORTRANGE(""https://docs.google.com/spreadsheets/d/1Uw7-A9f9R21vMXxHZFNpYNeKFtG8_yji4HS352LGlSQ/edit?pli=1#gid=0"",""1_ACUM!A4:S""),16,FALSE))"),"")</f>
        <v/>
      </c>
      <c r="BD402" s="43" t="str">
        <f ca="1">IFERROR(__xludf.DUMMYFUNCTION("IFERROR(VLOOKUP(E668&amp;F668,IMPORTRANGE(""https://docs.google.com/spreadsheets/d/1Uw7-A9f9R21vMXxHZFNpYNeKFtG8_yji4HS352LGlSQ/edit?pli=1#gid=0"",""1_ACUM!A4:S""),17,FALSE))"),"")</f>
        <v/>
      </c>
      <c r="BE402" s="44" t="str">
        <f ca="1">IFERROR(__xludf.DUMMYFUNCTION("IFERROR(VLOOKUP(E668&amp;F668,IMPORTRANGE(""https://docs.google.com/spreadsheets/d/1Uw7-A9f9R21vMXxHZFNpYNeKFtG8_yji4HS352LGlSQ/edit?pli=1#gid=0"",""1_ACUM!A4:S""),18,FALSE))"),"")</f>
        <v/>
      </c>
      <c r="BF402" s="44" t="str">
        <f ca="1">IFERROR(__xludf.DUMMYFUNCTION("IFERROR(VLOOKUP(E668&amp;F668,IMPORTRANGE(""https://docs.google.com/spreadsheets/d/1Uw7-A9f9R21vMXxHZFNpYNeKFtG8_yji4HS352LGlSQ/edit?pli=1#gid=0"",""1_ACUM!A4:S""),19,FALSE))"),"")</f>
        <v/>
      </c>
      <c r="BG402" s="98" t="str">
        <f ca="1">IFERROR(__xludf.DUMMYFUNCTION("IFERROR(VLOOKUP(F668,IMPORTRANGE(""https://docs.google.com/spreadsheets/d/1Kvs4KS76FHFqLFIZfrDMff4kP08nblUkihrxltoGBjg/edit#gid=934712705"",""ESENCIAL!A6:BG""),5,FALSE))"),"")</f>
        <v/>
      </c>
      <c r="BH402" s="98" t="str">
        <f t="shared" si="21"/>
        <v/>
      </c>
      <c r="BI402" s="99" t="str">
        <f t="shared" si="22"/>
        <v/>
      </c>
      <c r="BJ402" s="100" t="str">
        <f ca="1">IFERROR(__xludf.DUMMYFUNCTION("IFERROR(VLOOKUP(F668,IMPORTRANGE(""https://docs.google.com/spreadsheets/d/1Kvs4KS76FHFqLFIZfrDMff4kP08nblUkihrxltoGBjg/edit#gid=934712705"",""ESENCIAL!A6:BG""),2,FALSE))"),"")</f>
        <v/>
      </c>
      <c r="BK402" s="19" t="str">
        <f t="shared" si="23"/>
        <v/>
      </c>
      <c r="BL402" s="100"/>
      <c r="BM402" s="100"/>
    </row>
    <row r="403" spans="2:65" ht="15">
      <c r="B403" s="39"/>
      <c r="C403" s="5"/>
      <c r="D403" s="123"/>
      <c r="E403" s="39"/>
      <c r="F403" s="39"/>
      <c r="G403" s="39"/>
      <c r="H403" s="5" t="str">
        <f ca="1">IFERROR(__xludf.DUMMYFUNCTION("IFERROR(VLOOKUP(F669,IMPORTRANGE(""https://docs.google.com/spreadsheets/d/1Kvs4KS76FHFqLFIZfrDMff4kP08nblUkihrxltoGBjg/edit#gid=934712705"",""ESENCIAL!A6:BG""),3,FALSE))"),"")</f>
        <v/>
      </c>
      <c r="I403" s="5" t="str">
        <f ca="1">IFERROR(__xludf.DUMMYFUNCTION("IFERROR(VLOOKUP(F669,IMPORTRANGE(""https://docs.google.com/spreadsheets/d/1Kvs4KS76FHFqLFIZfrDMff4kP08nblUkihrxltoGBjg/edit#gid=934712705"",""ESENCIAL!A6:BG""),8,FALSE))"),"")</f>
        <v/>
      </c>
      <c r="J403" s="39"/>
      <c r="M403" s="287"/>
      <c r="AV403" s="41" t="str">
        <f t="shared" si="20"/>
        <v/>
      </c>
      <c r="AW403" s="5" t="str">
        <f ca="1">IFERROR(__xludf.DUMMYFUNCTION("IFERROR(VLOOKUP(E669&amp;F669,IMPORTRANGE(""https://docs.google.com/spreadsheets/d/1Uw7-A9f9R21vMXxHZFNpYNeKFtG8_yji4HS352LGlSQ/edit?pli=1#gid=0"",""1_ACUM!A4:S""),11,FALSE))"),"")</f>
        <v/>
      </c>
      <c r="AX403" s="42" t="str">
        <f ca="1">IFERROR(__xludf.DUMMYFUNCTION("IFERROR(VLOOKUP(F669,IMPORTRANGE(""https://docs.google.com/spreadsheets/d/1Kvs4KS76FHFqLFIZfrDMff4kP08nblUkihrxltoGBjg/edit#gid=934712705"",""ESENCIAL!A6:BG""),15,FALSE))"),"")</f>
        <v/>
      </c>
      <c r="AY403" s="110" t="str">
        <f ca="1">IFERROR(__xludf.DUMMYFUNCTION("IFERROR(VLOOKUP(E669&amp;F669,IMPORTRANGE(""https://docs.google.com/spreadsheets/d/1Uw7-A9f9R21vMXxHZFNpYNeKFtG8_yji4HS352LGlSQ/edit?pli=1#gid=0"",""1_ACUM!A4:S""),13,FALSE))"),"")</f>
        <v/>
      </c>
      <c r="AZ403" s="43" t="str">
        <f ca="1">IFERROR(__xludf.DUMMYFUNCTION("IFERROR(VLOOKUP(E669&amp;F669,IMPORTRANGE(""https://docs.google.com/spreadsheets/d/1Uw7-A9f9R21vMXxHZFNpYNeKFtG8_yji4HS352LGlSQ/edit?pli=1#gid=0"",""1_ACUM!A4:S""),13,FALSE))"),"")</f>
        <v/>
      </c>
      <c r="BA403" s="43" t="str">
        <f ca="1">IFERROR(__xludf.DUMMYFUNCTION("IFERROR(VLOOKUP(E669&amp;F669,IMPORTRANGE(""https://docs.google.com/spreadsheets/d/1Uw7-A9f9R21vMXxHZFNpYNeKFtG8_yji4HS352LGlSQ/edit?pli=1#gid=0"",""1_ACUM!A4:S""),14,FALSE))"),"")</f>
        <v/>
      </c>
      <c r="BB403" s="43" t="str">
        <f ca="1">IFERROR(__xludf.DUMMYFUNCTION("IFERROR(VLOOKUP(E669&amp;F669,IMPORTRANGE(""https://docs.google.com/spreadsheets/d/1Uw7-A9f9R21vMXxHZFNpYNeKFtG8_yji4HS352LGlSQ/edit?pli=1#gid=0"",""1_ACUM!A4:S""),15,FALSE))"),"")</f>
        <v/>
      </c>
      <c r="BC403" s="43" t="str">
        <f ca="1">IFERROR(__xludf.DUMMYFUNCTION("IFERROR(VLOOKUP(E669&amp;F669,IMPORTRANGE(""https://docs.google.com/spreadsheets/d/1Uw7-A9f9R21vMXxHZFNpYNeKFtG8_yji4HS352LGlSQ/edit?pli=1#gid=0"",""1_ACUM!A4:S""),16,FALSE))"),"")</f>
        <v/>
      </c>
      <c r="BD403" s="43" t="str">
        <f ca="1">IFERROR(__xludf.DUMMYFUNCTION("IFERROR(VLOOKUP(E669&amp;F669,IMPORTRANGE(""https://docs.google.com/spreadsheets/d/1Uw7-A9f9R21vMXxHZFNpYNeKFtG8_yji4HS352LGlSQ/edit?pli=1#gid=0"",""1_ACUM!A4:S""),17,FALSE))"),"")</f>
        <v/>
      </c>
      <c r="BE403" s="44" t="str">
        <f ca="1">IFERROR(__xludf.DUMMYFUNCTION("IFERROR(VLOOKUP(E669&amp;F669,IMPORTRANGE(""https://docs.google.com/spreadsheets/d/1Uw7-A9f9R21vMXxHZFNpYNeKFtG8_yji4HS352LGlSQ/edit?pli=1#gid=0"",""1_ACUM!A4:S""),18,FALSE))"),"")</f>
        <v/>
      </c>
      <c r="BF403" s="44" t="str">
        <f ca="1">IFERROR(__xludf.DUMMYFUNCTION("IFERROR(VLOOKUP(E669&amp;F669,IMPORTRANGE(""https://docs.google.com/spreadsheets/d/1Uw7-A9f9R21vMXxHZFNpYNeKFtG8_yji4HS352LGlSQ/edit?pli=1#gid=0"",""1_ACUM!A4:S""),19,FALSE))"),"")</f>
        <v/>
      </c>
      <c r="BG403" s="98" t="str">
        <f ca="1">IFERROR(__xludf.DUMMYFUNCTION("IFERROR(VLOOKUP(F669,IMPORTRANGE(""https://docs.google.com/spreadsheets/d/1Kvs4KS76FHFqLFIZfrDMff4kP08nblUkihrxltoGBjg/edit#gid=934712705"",""ESENCIAL!A6:BG""),5,FALSE))"),"")</f>
        <v/>
      </c>
      <c r="BH403" s="98" t="str">
        <f t="shared" si="21"/>
        <v/>
      </c>
      <c r="BI403" s="99" t="str">
        <f t="shared" si="22"/>
        <v/>
      </c>
      <c r="BJ403" s="100" t="str">
        <f ca="1">IFERROR(__xludf.DUMMYFUNCTION("IFERROR(VLOOKUP(F669,IMPORTRANGE(""https://docs.google.com/spreadsheets/d/1Kvs4KS76FHFqLFIZfrDMff4kP08nblUkihrxltoGBjg/edit#gid=934712705"",""ESENCIAL!A6:BG""),2,FALSE))"),"")</f>
        <v/>
      </c>
      <c r="BK403" s="19" t="str">
        <f t="shared" si="23"/>
        <v/>
      </c>
      <c r="BL403" s="100"/>
      <c r="BM403" s="100"/>
    </row>
    <row r="404" spans="2:65" ht="15">
      <c r="B404" s="39"/>
      <c r="C404" s="5"/>
      <c r="D404" s="123"/>
      <c r="E404" s="39"/>
      <c r="F404" s="39"/>
      <c r="G404" s="39"/>
      <c r="H404" s="5" t="str">
        <f ca="1">IFERROR(__xludf.DUMMYFUNCTION("IFERROR(VLOOKUP(F670,IMPORTRANGE(""https://docs.google.com/spreadsheets/d/1Kvs4KS76FHFqLFIZfrDMff4kP08nblUkihrxltoGBjg/edit#gid=934712705"",""ESENCIAL!A6:BG""),3,FALSE))"),"")</f>
        <v/>
      </c>
      <c r="I404" s="5" t="str">
        <f ca="1">IFERROR(__xludf.DUMMYFUNCTION("IFERROR(VLOOKUP(F670,IMPORTRANGE(""https://docs.google.com/spreadsheets/d/1Kvs4KS76FHFqLFIZfrDMff4kP08nblUkihrxltoGBjg/edit#gid=934712705"",""ESENCIAL!A6:BG""),8,FALSE))"),"")</f>
        <v/>
      </c>
      <c r="J404" s="39"/>
      <c r="M404" s="287"/>
      <c r="AV404" s="41" t="str">
        <f t="shared" si="20"/>
        <v/>
      </c>
      <c r="AW404" s="5" t="str">
        <f ca="1">IFERROR(__xludf.DUMMYFUNCTION("IFERROR(VLOOKUP(E670&amp;F670,IMPORTRANGE(""https://docs.google.com/spreadsheets/d/1Uw7-A9f9R21vMXxHZFNpYNeKFtG8_yji4HS352LGlSQ/edit?pli=1#gid=0"",""1_ACUM!A4:S""),11,FALSE))"),"")</f>
        <v/>
      </c>
      <c r="AX404" s="42" t="str">
        <f ca="1">IFERROR(__xludf.DUMMYFUNCTION("IFERROR(VLOOKUP(F670,IMPORTRANGE(""https://docs.google.com/spreadsheets/d/1Kvs4KS76FHFqLFIZfrDMff4kP08nblUkihrxltoGBjg/edit#gid=934712705"",""ESENCIAL!A6:BG""),15,FALSE))"),"")</f>
        <v/>
      </c>
      <c r="AY404" s="110" t="str">
        <f ca="1">IFERROR(__xludf.DUMMYFUNCTION("IFERROR(VLOOKUP(E670&amp;F670,IMPORTRANGE(""https://docs.google.com/spreadsheets/d/1Uw7-A9f9R21vMXxHZFNpYNeKFtG8_yji4HS352LGlSQ/edit?pli=1#gid=0"",""1_ACUM!A4:S""),13,FALSE))"),"")</f>
        <v/>
      </c>
      <c r="AZ404" s="43" t="str">
        <f ca="1">IFERROR(__xludf.DUMMYFUNCTION("IFERROR(VLOOKUP(E670&amp;F670,IMPORTRANGE(""https://docs.google.com/spreadsheets/d/1Uw7-A9f9R21vMXxHZFNpYNeKFtG8_yji4HS352LGlSQ/edit?pli=1#gid=0"",""1_ACUM!A4:S""),13,FALSE))"),"")</f>
        <v/>
      </c>
      <c r="BA404" s="43" t="str">
        <f ca="1">IFERROR(__xludf.DUMMYFUNCTION("IFERROR(VLOOKUP(E670&amp;F670,IMPORTRANGE(""https://docs.google.com/spreadsheets/d/1Uw7-A9f9R21vMXxHZFNpYNeKFtG8_yji4HS352LGlSQ/edit?pli=1#gid=0"",""1_ACUM!A4:S""),14,FALSE))"),"")</f>
        <v/>
      </c>
      <c r="BB404" s="43" t="str">
        <f ca="1">IFERROR(__xludf.DUMMYFUNCTION("IFERROR(VLOOKUP(E670&amp;F670,IMPORTRANGE(""https://docs.google.com/spreadsheets/d/1Uw7-A9f9R21vMXxHZFNpYNeKFtG8_yji4HS352LGlSQ/edit?pli=1#gid=0"",""1_ACUM!A4:S""),15,FALSE))"),"")</f>
        <v/>
      </c>
      <c r="BC404" s="43" t="str">
        <f ca="1">IFERROR(__xludf.DUMMYFUNCTION("IFERROR(VLOOKUP(E670&amp;F670,IMPORTRANGE(""https://docs.google.com/spreadsheets/d/1Uw7-A9f9R21vMXxHZFNpYNeKFtG8_yji4HS352LGlSQ/edit?pli=1#gid=0"",""1_ACUM!A4:S""),16,FALSE))"),"")</f>
        <v/>
      </c>
      <c r="BD404" s="43" t="str">
        <f ca="1">IFERROR(__xludf.DUMMYFUNCTION("IFERROR(VLOOKUP(E670&amp;F670,IMPORTRANGE(""https://docs.google.com/spreadsheets/d/1Uw7-A9f9R21vMXxHZFNpYNeKFtG8_yji4HS352LGlSQ/edit?pli=1#gid=0"",""1_ACUM!A4:S""),17,FALSE))"),"")</f>
        <v/>
      </c>
      <c r="BE404" s="44" t="str">
        <f ca="1">IFERROR(__xludf.DUMMYFUNCTION("IFERROR(VLOOKUP(E670&amp;F670,IMPORTRANGE(""https://docs.google.com/spreadsheets/d/1Uw7-A9f9R21vMXxHZFNpYNeKFtG8_yji4HS352LGlSQ/edit?pli=1#gid=0"",""1_ACUM!A4:S""),18,FALSE))"),"")</f>
        <v/>
      </c>
      <c r="BF404" s="44" t="str">
        <f ca="1">IFERROR(__xludf.DUMMYFUNCTION("IFERROR(VLOOKUP(E670&amp;F670,IMPORTRANGE(""https://docs.google.com/spreadsheets/d/1Uw7-A9f9R21vMXxHZFNpYNeKFtG8_yji4HS352LGlSQ/edit?pli=1#gid=0"",""1_ACUM!A4:S""),19,FALSE))"),"")</f>
        <v/>
      </c>
      <c r="BG404" s="98" t="str">
        <f ca="1">IFERROR(__xludf.DUMMYFUNCTION("IFERROR(VLOOKUP(F670,IMPORTRANGE(""https://docs.google.com/spreadsheets/d/1Kvs4KS76FHFqLFIZfrDMff4kP08nblUkihrxltoGBjg/edit#gid=934712705"",""ESENCIAL!A6:BG""),5,FALSE))"),"")</f>
        <v/>
      </c>
      <c r="BH404" s="98" t="str">
        <f t="shared" si="21"/>
        <v/>
      </c>
      <c r="BI404" s="99" t="str">
        <f t="shared" si="22"/>
        <v/>
      </c>
      <c r="BJ404" s="100" t="str">
        <f ca="1">IFERROR(__xludf.DUMMYFUNCTION("IFERROR(VLOOKUP(F670,IMPORTRANGE(""https://docs.google.com/spreadsheets/d/1Kvs4KS76FHFqLFIZfrDMff4kP08nblUkihrxltoGBjg/edit#gid=934712705"",""ESENCIAL!A6:BG""),2,FALSE))"),"")</f>
        <v/>
      </c>
      <c r="BK404" s="19" t="str">
        <f t="shared" si="23"/>
        <v/>
      </c>
      <c r="BL404" s="100"/>
      <c r="BM404" s="100"/>
    </row>
    <row r="405" spans="2:65" ht="15">
      <c r="B405" s="39"/>
      <c r="C405" s="5"/>
      <c r="D405" s="123"/>
      <c r="E405" s="39"/>
      <c r="F405" s="39"/>
      <c r="G405" s="39"/>
      <c r="H405" s="5" t="str">
        <f ca="1">IFERROR(__xludf.DUMMYFUNCTION("IFERROR(VLOOKUP(F671,IMPORTRANGE(""https://docs.google.com/spreadsheets/d/1Kvs4KS76FHFqLFIZfrDMff4kP08nblUkihrxltoGBjg/edit#gid=934712705"",""ESENCIAL!A6:BG""),3,FALSE))"),"")</f>
        <v/>
      </c>
      <c r="I405" s="5" t="str">
        <f ca="1">IFERROR(__xludf.DUMMYFUNCTION("IFERROR(VLOOKUP(F671,IMPORTRANGE(""https://docs.google.com/spreadsheets/d/1Kvs4KS76FHFqLFIZfrDMff4kP08nblUkihrxltoGBjg/edit#gid=934712705"",""ESENCIAL!A6:BG""),8,FALSE))"),"")</f>
        <v/>
      </c>
      <c r="J405" s="39"/>
      <c r="M405" s="287"/>
      <c r="AV405" s="41" t="str">
        <f t="shared" si="20"/>
        <v/>
      </c>
      <c r="AW405" s="5" t="str">
        <f ca="1">IFERROR(__xludf.DUMMYFUNCTION("IFERROR(VLOOKUP(E671&amp;F671,IMPORTRANGE(""https://docs.google.com/spreadsheets/d/1Uw7-A9f9R21vMXxHZFNpYNeKFtG8_yji4HS352LGlSQ/edit?pli=1#gid=0"",""1_ACUM!A4:S""),11,FALSE))"),"")</f>
        <v/>
      </c>
      <c r="AX405" s="42" t="str">
        <f ca="1">IFERROR(__xludf.DUMMYFUNCTION("IFERROR(VLOOKUP(F671,IMPORTRANGE(""https://docs.google.com/spreadsheets/d/1Kvs4KS76FHFqLFIZfrDMff4kP08nblUkihrxltoGBjg/edit#gid=934712705"",""ESENCIAL!A6:BG""),15,FALSE))"),"")</f>
        <v/>
      </c>
      <c r="AY405" s="110" t="str">
        <f ca="1">IFERROR(__xludf.DUMMYFUNCTION("IFERROR(VLOOKUP(E671&amp;F671,IMPORTRANGE(""https://docs.google.com/spreadsheets/d/1Uw7-A9f9R21vMXxHZFNpYNeKFtG8_yji4HS352LGlSQ/edit?pli=1#gid=0"",""1_ACUM!A4:S""),13,FALSE))"),"")</f>
        <v/>
      </c>
      <c r="AZ405" s="43" t="str">
        <f ca="1">IFERROR(__xludf.DUMMYFUNCTION("IFERROR(VLOOKUP(E671&amp;F671,IMPORTRANGE(""https://docs.google.com/spreadsheets/d/1Uw7-A9f9R21vMXxHZFNpYNeKFtG8_yji4HS352LGlSQ/edit?pli=1#gid=0"",""1_ACUM!A4:S""),13,FALSE))"),"")</f>
        <v/>
      </c>
      <c r="BA405" s="43" t="str">
        <f ca="1">IFERROR(__xludf.DUMMYFUNCTION("IFERROR(VLOOKUP(E671&amp;F671,IMPORTRANGE(""https://docs.google.com/spreadsheets/d/1Uw7-A9f9R21vMXxHZFNpYNeKFtG8_yji4HS352LGlSQ/edit?pli=1#gid=0"",""1_ACUM!A4:S""),14,FALSE))"),"")</f>
        <v/>
      </c>
      <c r="BB405" s="43" t="str">
        <f ca="1">IFERROR(__xludf.DUMMYFUNCTION("IFERROR(VLOOKUP(E671&amp;F671,IMPORTRANGE(""https://docs.google.com/spreadsheets/d/1Uw7-A9f9R21vMXxHZFNpYNeKFtG8_yji4HS352LGlSQ/edit?pli=1#gid=0"",""1_ACUM!A4:S""),15,FALSE))"),"")</f>
        <v/>
      </c>
      <c r="BC405" s="43" t="str">
        <f ca="1">IFERROR(__xludf.DUMMYFUNCTION("IFERROR(VLOOKUP(E671&amp;F671,IMPORTRANGE(""https://docs.google.com/spreadsheets/d/1Uw7-A9f9R21vMXxHZFNpYNeKFtG8_yji4HS352LGlSQ/edit?pli=1#gid=0"",""1_ACUM!A4:S""),16,FALSE))"),"")</f>
        <v/>
      </c>
      <c r="BD405" s="43" t="str">
        <f ca="1">IFERROR(__xludf.DUMMYFUNCTION("IFERROR(VLOOKUP(E671&amp;F671,IMPORTRANGE(""https://docs.google.com/spreadsheets/d/1Uw7-A9f9R21vMXxHZFNpYNeKFtG8_yji4HS352LGlSQ/edit?pli=1#gid=0"",""1_ACUM!A4:S""),17,FALSE))"),"")</f>
        <v/>
      </c>
      <c r="BE405" s="44" t="str">
        <f ca="1">IFERROR(__xludf.DUMMYFUNCTION("IFERROR(VLOOKUP(E671&amp;F671,IMPORTRANGE(""https://docs.google.com/spreadsheets/d/1Uw7-A9f9R21vMXxHZFNpYNeKFtG8_yji4HS352LGlSQ/edit?pli=1#gid=0"",""1_ACUM!A4:S""),18,FALSE))"),"")</f>
        <v/>
      </c>
      <c r="BF405" s="44" t="str">
        <f ca="1">IFERROR(__xludf.DUMMYFUNCTION("IFERROR(VLOOKUP(E671&amp;F671,IMPORTRANGE(""https://docs.google.com/spreadsheets/d/1Uw7-A9f9R21vMXxHZFNpYNeKFtG8_yji4HS352LGlSQ/edit?pli=1#gid=0"",""1_ACUM!A4:S""),19,FALSE))"),"")</f>
        <v/>
      </c>
      <c r="BG405" s="98" t="str">
        <f ca="1">IFERROR(__xludf.DUMMYFUNCTION("IFERROR(VLOOKUP(F671,IMPORTRANGE(""https://docs.google.com/spreadsheets/d/1Kvs4KS76FHFqLFIZfrDMff4kP08nblUkihrxltoGBjg/edit#gid=934712705"",""ESENCIAL!A6:BG""),5,FALSE))"),"")</f>
        <v/>
      </c>
      <c r="BH405" s="98" t="str">
        <f t="shared" si="21"/>
        <v/>
      </c>
      <c r="BI405" s="99" t="str">
        <f t="shared" si="22"/>
        <v/>
      </c>
      <c r="BJ405" s="100" t="str">
        <f ca="1">IFERROR(__xludf.DUMMYFUNCTION("IFERROR(VLOOKUP(F671,IMPORTRANGE(""https://docs.google.com/spreadsheets/d/1Kvs4KS76FHFqLFIZfrDMff4kP08nblUkihrxltoGBjg/edit#gid=934712705"",""ESENCIAL!A6:BG""),2,FALSE))"),"")</f>
        <v/>
      </c>
      <c r="BK405" s="19" t="str">
        <f t="shared" si="23"/>
        <v/>
      </c>
      <c r="BL405" s="100"/>
      <c r="BM405" s="100"/>
    </row>
    <row r="406" spans="2:65" ht="15">
      <c r="B406" s="39"/>
      <c r="C406" s="5"/>
      <c r="D406" s="123"/>
      <c r="E406" s="39"/>
      <c r="F406" s="39"/>
      <c r="G406" s="39"/>
      <c r="H406" s="5" t="str">
        <f ca="1">IFERROR(__xludf.DUMMYFUNCTION("IFERROR(VLOOKUP(F672,IMPORTRANGE(""https://docs.google.com/spreadsheets/d/1Kvs4KS76FHFqLFIZfrDMff4kP08nblUkihrxltoGBjg/edit#gid=934712705"",""ESENCIAL!A6:BG""),3,FALSE))"),"")</f>
        <v/>
      </c>
      <c r="I406" s="5" t="str">
        <f ca="1">IFERROR(__xludf.DUMMYFUNCTION("IFERROR(VLOOKUP(F672,IMPORTRANGE(""https://docs.google.com/spreadsheets/d/1Kvs4KS76FHFqLFIZfrDMff4kP08nblUkihrxltoGBjg/edit#gid=934712705"",""ESENCIAL!A6:BG""),8,FALSE))"),"")</f>
        <v/>
      </c>
      <c r="J406" s="39"/>
      <c r="M406" s="287"/>
      <c r="AV406" s="41" t="str">
        <f t="shared" si="20"/>
        <v/>
      </c>
      <c r="AW406" s="5" t="str">
        <f ca="1">IFERROR(__xludf.DUMMYFUNCTION("IFERROR(VLOOKUP(E672&amp;F672,IMPORTRANGE(""https://docs.google.com/spreadsheets/d/1Uw7-A9f9R21vMXxHZFNpYNeKFtG8_yji4HS352LGlSQ/edit?pli=1#gid=0"",""1_ACUM!A4:S""),11,FALSE))"),"")</f>
        <v/>
      </c>
      <c r="AX406" s="42" t="str">
        <f ca="1">IFERROR(__xludf.DUMMYFUNCTION("IFERROR(VLOOKUP(F672,IMPORTRANGE(""https://docs.google.com/spreadsheets/d/1Kvs4KS76FHFqLFIZfrDMff4kP08nblUkihrxltoGBjg/edit#gid=934712705"",""ESENCIAL!A6:BG""),15,FALSE))"),"")</f>
        <v/>
      </c>
      <c r="AY406" s="110" t="str">
        <f ca="1">IFERROR(__xludf.DUMMYFUNCTION("IFERROR(VLOOKUP(E672&amp;F672,IMPORTRANGE(""https://docs.google.com/spreadsheets/d/1Uw7-A9f9R21vMXxHZFNpYNeKFtG8_yji4HS352LGlSQ/edit?pli=1#gid=0"",""1_ACUM!A4:S""),13,FALSE))"),"")</f>
        <v/>
      </c>
      <c r="AZ406" s="43" t="str">
        <f ca="1">IFERROR(__xludf.DUMMYFUNCTION("IFERROR(VLOOKUP(E672&amp;F672,IMPORTRANGE(""https://docs.google.com/spreadsheets/d/1Uw7-A9f9R21vMXxHZFNpYNeKFtG8_yji4HS352LGlSQ/edit?pli=1#gid=0"",""1_ACUM!A4:S""),13,FALSE))"),"")</f>
        <v/>
      </c>
      <c r="BA406" s="43" t="str">
        <f ca="1">IFERROR(__xludf.DUMMYFUNCTION("IFERROR(VLOOKUP(E672&amp;F672,IMPORTRANGE(""https://docs.google.com/spreadsheets/d/1Uw7-A9f9R21vMXxHZFNpYNeKFtG8_yji4HS352LGlSQ/edit?pli=1#gid=0"",""1_ACUM!A4:S""),14,FALSE))"),"")</f>
        <v/>
      </c>
      <c r="BB406" s="43" t="str">
        <f ca="1">IFERROR(__xludf.DUMMYFUNCTION("IFERROR(VLOOKUP(E672&amp;F672,IMPORTRANGE(""https://docs.google.com/spreadsheets/d/1Uw7-A9f9R21vMXxHZFNpYNeKFtG8_yji4HS352LGlSQ/edit?pli=1#gid=0"",""1_ACUM!A4:S""),15,FALSE))"),"")</f>
        <v/>
      </c>
      <c r="BC406" s="43" t="str">
        <f ca="1">IFERROR(__xludf.DUMMYFUNCTION("IFERROR(VLOOKUP(E672&amp;F672,IMPORTRANGE(""https://docs.google.com/spreadsheets/d/1Uw7-A9f9R21vMXxHZFNpYNeKFtG8_yji4HS352LGlSQ/edit?pli=1#gid=0"",""1_ACUM!A4:S""),16,FALSE))"),"")</f>
        <v/>
      </c>
      <c r="BD406" s="43" t="str">
        <f ca="1">IFERROR(__xludf.DUMMYFUNCTION("IFERROR(VLOOKUP(E672&amp;F672,IMPORTRANGE(""https://docs.google.com/spreadsheets/d/1Uw7-A9f9R21vMXxHZFNpYNeKFtG8_yji4HS352LGlSQ/edit?pli=1#gid=0"",""1_ACUM!A4:S""),17,FALSE))"),"")</f>
        <v/>
      </c>
      <c r="BE406" s="44" t="str">
        <f ca="1">IFERROR(__xludf.DUMMYFUNCTION("IFERROR(VLOOKUP(E672&amp;F672,IMPORTRANGE(""https://docs.google.com/spreadsheets/d/1Uw7-A9f9R21vMXxHZFNpYNeKFtG8_yji4HS352LGlSQ/edit?pli=1#gid=0"",""1_ACUM!A4:S""),18,FALSE))"),"")</f>
        <v/>
      </c>
      <c r="BF406" s="44" t="str">
        <f ca="1">IFERROR(__xludf.DUMMYFUNCTION("IFERROR(VLOOKUP(E672&amp;F672,IMPORTRANGE(""https://docs.google.com/spreadsheets/d/1Uw7-A9f9R21vMXxHZFNpYNeKFtG8_yji4HS352LGlSQ/edit?pli=1#gid=0"",""1_ACUM!A4:S""),19,FALSE))"),"")</f>
        <v/>
      </c>
      <c r="BG406" s="98" t="str">
        <f ca="1">IFERROR(__xludf.DUMMYFUNCTION("IFERROR(VLOOKUP(F672,IMPORTRANGE(""https://docs.google.com/spreadsheets/d/1Kvs4KS76FHFqLFIZfrDMff4kP08nblUkihrxltoGBjg/edit#gid=934712705"",""ESENCIAL!A6:BG""),5,FALSE))"),"")</f>
        <v/>
      </c>
      <c r="BH406" s="98" t="str">
        <f t="shared" si="21"/>
        <v/>
      </c>
      <c r="BI406" s="99" t="str">
        <f t="shared" si="22"/>
        <v/>
      </c>
      <c r="BJ406" s="100" t="str">
        <f ca="1">IFERROR(__xludf.DUMMYFUNCTION("IFERROR(VLOOKUP(F672,IMPORTRANGE(""https://docs.google.com/spreadsheets/d/1Kvs4KS76FHFqLFIZfrDMff4kP08nblUkihrxltoGBjg/edit#gid=934712705"",""ESENCIAL!A6:BG""),2,FALSE))"),"")</f>
        <v/>
      </c>
      <c r="BK406" s="19" t="str">
        <f t="shared" si="23"/>
        <v/>
      </c>
      <c r="BL406" s="100"/>
      <c r="BM406" s="100"/>
    </row>
    <row r="407" spans="2:65" ht="15">
      <c r="B407" s="39"/>
      <c r="C407" s="5"/>
      <c r="D407" s="123"/>
      <c r="E407" s="39"/>
      <c r="F407" s="39"/>
      <c r="G407" s="39"/>
      <c r="H407" s="5" t="str">
        <f ca="1">IFERROR(__xludf.DUMMYFUNCTION("IFERROR(VLOOKUP(F673,IMPORTRANGE(""https://docs.google.com/spreadsheets/d/1Kvs4KS76FHFqLFIZfrDMff4kP08nblUkihrxltoGBjg/edit#gid=934712705"",""ESENCIAL!A6:BG""),3,FALSE))"),"")</f>
        <v/>
      </c>
      <c r="I407" s="5" t="str">
        <f ca="1">IFERROR(__xludf.DUMMYFUNCTION("IFERROR(VLOOKUP(F673,IMPORTRANGE(""https://docs.google.com/spreadsheets/d/1Kvs4KS76FHFqLFIZfrDMff4kP08nblUkihrxltoGBjg/edit#gid=934712705"",""ESENCIAL!A6:BG""),8,FALSE))"),"")</f>
        <v/>
      </c>
      <c r="J407" s="39"/>
      <c r="M407" s="287"/>
      <c r="AV407" s="41" t="str">
        <f t="shared" si="20"/>
        <v/>
      </c>
      <c r="AW407" s="5" t="str">
        <f ca="1">IFERROR(__xludf.DUMMYFUNCTION("IFERROR(VLOOKUP(E673&amp;F673,IMPORTRANGE(""https://docs.google.com/spreadsheets/d/1Uw7-A9f9R21vMXxHZFNpYNeKFtG8_yji4HS352LGlSQ/edit?pli=1#gid=0"",""1_ACUM!A4:S""),11,FALSE))"),"")</f>
        <v/>
      </c>
      <c r="AX407" s="42" t="str">
        <f ca="1">IFERROR(__xludf.DUMMYFUNCTION("IFERROR(VLOOKUP(F673,IMPORTRANGE(""https://docs.google.com/spreadsheets/d/1Kvs4KS76FHFqLFIZfrDMff4kP08nblUkihrxltoGBjg/edit#gid=934712705"",""ESENCIAL!A6:BG""),15,FALSE))"),"")</f>
        <v/>
      </c>
      <c r="AY407" s="110" t="str">
        <f ca="1">IFERROR(__xludf.DUMMYFUNCTION("IFERROR(VLOOKUP(E673&amp;F673,IMPORTRANGE(""https://docs.google.com/spreadsheets/d/1Uw7-A9f9R21vMXxHZFNpYNeKFtG8_yji4HS352LGlSQ/edit?pli=1#gid=0"",""1_ACUM!A4:S""),13,FALSE))"),"")</f>
        <v/>
      </c>
      <c r="AZ407" s="43" t="str">
        <f ca="1">IFERROR(__xludf.DUMMYFUNCTION("IFERROR(VLOOKUP(E673&amp;F673,IMPORTRANGE(""https://docs.google.com/spreadsheets/d/1Uw7-A9f9R21vMXxHZFNpYNeKFtG8_yji4HS352LGlSQ/edit?pli=1#gid=0"",""1_ACUM!A4:S""),13,FALSE))"),"")</f>
        <v/>
      </c>
      <c r="BA407" s="43" t="str">
        <f ca="1">IFERROR(__xludf.DUMMYFUNCTION("IFERROR(VLOOKUP(E673&amp;F673,IMPORTRANGE(""https://docs.google.com/spreadsheets/d/1Uw7-A9f9R21vMXxHZFNpYNeKFtG8_yji4HS352LGlSQ/edit?pli=1#gid=0"",""1_ACUM!A4:S""),14,FALSE))"),"")</f>
        <v/>
      </c>
      <c r="BB407" s="43" t="str">
        <f ca="1">IFERROR(__xludf.DUMMYFUNCTION("IFERROR(VLOOKUP(E673&amp;F673,IMPORTRANGE(""https://docs.google.com/spreadsheets/d/1Uw7-A9f9R21vMXxHZFNpYNeKFtG8_yji4HS352LGlSQ/edit?pli=1#gid=0"",""1_ACUM!A4:S""),15,FALSE))"),"")</f>
        <v/>
      </c>
      <c r="BC407" s="43" t="str">
        <f ca="1">IFERROR(__xludf.DUMMYFUNCTION("IFERROR(VLOOKUP(E673&amp;F673,IMPORTRANGE(""https://docs.google.com/spreadsheets/d/1Uw7-A9f9R21vMXxHZFNpYNeKFtG8_yji4HS352LGlSQ/edit?pli=1#gid=0"",""1_ACUM!A4:S""),16,FALSE))"),"")</f>
        <v/>
      </c>
      <c r="BD407" s="43" t="str">
        <f ca="1">IFERROR(__xludf.DUMMYFUNCTION("IFERROR(VLOOKUP(E673&amp;F673,IMPORTRANGE(""https://docs.google.com/spreadsheets/d/1Uw7-A9f9R21vMXxHZFNpYNeKFtG8_yji4HS352LGlSQ/edit?pli=1#gid=0"",""1_ACUM!A4:S""),17,FALSE))"),"")</f>
        <v/>
      </c>
      <c r="BE407" s="44" t="str">
        <f ca="1">IFERROR(__xludf.DUMMYFUNCTION("IFERROR(VLOOKUP(E673&amp;F673,IMPORTRANGE(""https://docs.google.com/spreadsheets/d/1Uw7-A9f9R21vMXxHZFNpYNeKFtG8_yji4HS352LGlSQ/edit?pli=1#gid=0"",""1_ACUM!A4:S""),18,FALSE))"),"")</f>
        <v/>
      </c>
      <c r="BF407" s="44" t="str">
        <f ca="1">IFERROR(__xludf.DUMMYFUNCTION("IFERROR(VLOOKUP(E673&amp;F673,IMPORTRANGE(""https://docs.google.com/spreadsheets/d/1Uw7-A9f9R21vMXxHZFNpYNeKFtG8_yji4HS352LGlSQ/edit?pli=1#gid=0"",""1_ACUM!A4:S""),19,FALSE))"),"")</f>
        <v/>
      </c>
      <c r="BG407" s="98" t="str">
        <f ca="1">IFERROR(__xludf.DUMMYFUNCTION("IFERROR(VLOOKUP(F673,IMPORTRANGE(""https://docs.google.com/spreadsheets/d/1Kvs4KS76FHFqLFIZfrDMff4kP08nblUkihrxltoGBjg/edit#gid=934712705"",""ESENCIAL!A6:BG""),5,FALSE))"),"")</f>
        <v/>
      </c>
      <c r="BH407" s="98" t="str">
        <f t="shared" si="21"/>
        <v/>
      </c>
      <c r="BI407" s="99" t="str">
        <f t="shared" si="22"/>
        <v/>
      </c>
      <c r="BJ407" s="100" t="str">
        <f ca="1">IFERROR(__xludf.DUMMYFUNCTION("IFERROR(VLOOKUP(F673,IMPORTRANGE(""https://docs.google.com/spreadsheets/d/1Kvs4KS76FHFqLFIZfrDMff4kP08nblUkihrxltoGBjg/edit#gid=934712705"",""ESENCIAL!A6:BG""),2,FALSE))"),"")</f>
        <v/>
      </c>
      <c r="BK407" s="19" t="str">
        <f t="shared" si="23"/>
        <v/>
      </c>
      <c r="BL407" s="100"/>
      <c r="BM407" s="100"/>
    </row>
    <row r="408" spans="2:65" ht="15">
      <c r="B408" s="39"/>
      <c r="C408" s="5"/>
      <c r="D408" s="123"/>
      <c r="E408" s="39"/>
      <c r="F408" s="39"/>
      <c r="G408" s="39"/>
      <c r="H408" s="5" t="str">
        <f ca="1">IFERROR(__xludf.DUMMYFUNCTION("IFERROR(VLOOKUP(F674,IMPORTRANGE(""https://docs.google.com/spreadsheets/d/1Kvs4KS76FHFqLFIZfrDMff4kP08nblUkihrxltoGBjg/edit#gid=934712705"",""ESENCIAL!A6:BG""),3,FALSE))"),"")</f>
        <v/>
      </c>
      <c r="I408" s="5" t="str">
        <f ca="1">IFERROR(__xludf.DUMMYFUNCTION("IFERROR(VLOOKUP(F674,IMPORTRANGE(""https://docs.google.com/spreadsheets/d/1Kvs4KS76FHFqLFIZfrDMff4kP08nblUkihrxltoGBjg/edit#gid=934712705"",""ESENCIAL!A6:BG""),8,FALSE))"),"")</f>
        <v/>
      </c>
      <c r="J408" s="39"/>
      <c r="M408" s="287"/>
      <c r="AV408" s="41" t="str">
        <f t="shared" si="20"/>
        <v/>
      </c>
      <c r="AW408" s="5" t="str">
        <f ca="1">IFERROR(__xludf.DUMMYFUNCTION("IFERROR(VLOOKUP(E674&amp;F674,IMPORTRANGE(""https://docs.google.com/spreadsheets/d/1Uw7-A9f9R21vMXxHZFNpYNeKFtG8_yji4HS352LGlSQ/edit?pli=1#gid=0"",""1_ACUM!A4:S""),11,FALSE))"),"")</f>
        <v/>
      </c>
      <c r="AX408" s="42" t="str">
        <f ca="1">IFERROR(__xludf.DUMMYFUNCTION("IFERROR(VLOOKUP(F674,IMPORTRANGE(""https://docs.google.com/spreadsheets/d/1Kvs4KS76FHFqLFIZfrDMff4kP08nblUkihrxltoGBjg/edit#gid=934712705"",""ESENCIAL!A6:BG""),15,FALSE))"),"")</f>
        <v/>
      </c>
      <c r="AY408" s="110" t="str">
        <f ca="1">IFERROR(__xludf.DUMMYFUNCTION("IFERROR(VLOOKUP(E674&amp;F674,IMPORTRANGE(""https://docs.google.com/spreadsheets/d/1Uw7-A9f9R21vMXxHZFNpYNeKFtG8_yji4HS352LGlSQ/edit?pli=1#gid=0"",""1_ACUM!A4:S""),13,FALSE))"),"")</f>
        <v/>
      </c>
      <c r="AZ408" s="43" t="str">
        <f ca="1">IFERROR(__xludf.DUMMYFUNCTION("IFERROR(VLOOKUP(E674&amp;F674,IMPORTRANGE(""https://docs.google.com/spreadsheets/d/1Uw7-A9f9R21vMXxHZFNpYNeKFtG8_yji4HS352LGlSQ/edit?pli=1#gid=0"",""1_ACUM!A4:S""),13,FALSE))"),"")</f>
        <v/>
      </c>
      <c r="BA408" s="43" t="str">
        <f ca="1">IFERROR(__xludf.DUMMYFUNCTION("IFERROR(VLOOKUP(E674&amp;F674,IMPORTRANGE(""https://docs.google.com/spreadsheets/d/1Uw7-A9f9R21vMXxHZFNpYNeKFtG8_yji4HS352LGlSQ/edit?pli=1#gid=0"",""1_ACUM!A4:S""),14,FALSE))"),"")</f>
        <v/>
      </c>
      <c r="BB408" s="43" t="str">
        <f ca="1">IFERROR(__xludf.DUMMYFUNCTION("IFERROR(VLOOKUP(E674&amp;F674,IMPORTRANGE(""https://docs.google.com/spreadsheets/d/1Uw7-A9f9R21vMXxHZFNpYNeKFtG8_yji4HS352LGlSQ/edit?pli=1#gid=0"",""1_ACUM!A4:S""),15,FALSE))"),"")</f>
        <v/>
      </c>
      <c r="BC408" s="43" t="str">
        <f ca="1">IFERROR(__xludf.DUMMYFUNCTION("IFERROR(VLOOKUP(E674&amp;F674,IMPORTRANGE(""https://docs.google.com/spreadsheets/d/1Uw7-A9f9R21vMXxHZFNpYNeKFtG8_yji4HS352LGlSQ/edit?pli=1#gid=0"",""1_ACUM!A4:S""),16,FALSE))"),"")</f>
        <v/>
      </c>
      <c r="BD408" s="43" t="str">
        <f ca="1">IFERROR(__xludf.DUMMYFUNCTION("IFERROR(VLOOKUP(E674&amp;F674,IMPORTRANGE(""https://docs.google.com/spreadsheets/d/1Uw7-A9f9R21vMXxHZFNpYNeKFtG8_yji4HS352LGlSQ/edit?pli=1#gid=0"",""1_ACUM!A4:S""),17,FALSE))"),"")</f>
        <v/>
      </c>
      <c r="BE408" s="44" t="str">
        <f ca="1">IFERROR(__xludf.DUMMYFUNCTION("IFERROR(VLOOKUP(E674&amp;F674,IMPORTRANGE(""https://docs.google.com/spreadsheets/d/1Uw7-A9f9R21vMXxHZFNpYNeKFtG8_yji4HS352LGlSQ/edit?pli=1#gid=0"",""1_ACUM!A4:S""),18,FALSE))"),"")</f>
        <v/>
      </c>
      <c r="BF408" s="44" t="str">
        <f ca="1">IFERROR(__xludf.DUMMYFUNCTION("IFERROR(VLOOKUP(E674&amp;F674,IMPORTRANGE(""https://docs.google.com/spreadsheets/d/1Uw7-A9f9R21vMXxHZFNpYNeKFtG8_yji4HS352LGlSQ/edit?pli=1#gid=0"",""1_ACUM!A4:S""),19,FALSE))"),"")</f>
        <v/>
      </c>
      <c r="BG408" s="98" t="str">
        <f ca="1">IFERROR(__xludf.DUMMYFUNCTION("IFERROR(VLOOKUP(F674,IMPORTRANGE(""https://docs.google.com/spreadsheets/d/1Kvs4KS76FHFqLFIZfrDMff4kP08nblUkihrxltoGBjg/edit#gid=934712705"",""ESENCIAL!A6:BG""),5,FALSE))"),"")</f>
        <v/>
      </c>
      <c r="BH408" s="98" t="str">
        <f t="shared" si="21"/>
        <v/>
      </c>
      <c r="BI408" s="99" t="str">
        <f t="shared" si="22"/>
        <v/>
      </c>
      <c r="BJ408" s="100" t="str">
        <f ca="1">IFERROR(__xludf.DUMMYFUNCTION("IFERROR(VLOOKUP(F674,IMPORTRANGE(""https://docs.google.com/spreadsheets/d/1Kvs4KS76FHFqLFIZfrDMff4kP08nblUkihrxltoGBjg/edit#gid=934712705"",""ESENCIAL!A6:BG""),2,FALSE))"),"")</f>
        <v/>
      </c>
      <c r="BK408" s="19" t="str">
        <f t="shared" si="23"/>
        <v/>
      </c>
      <c r="BL408" s="100"/>
      <c r="BM408" s="100"/>
    </row>
    <row r="409" spans="2:65" ht="15">
      <c r="B409" s="39"/>
      <c r="C409" s="5"/>
      <c r="D409" s="123"/>
      <c r="E409" s="39"/>
      <c r="F409" s="39"/>
      <c r="G409" s="39"/>
      <c r="H409" s="5" t="str">
        <f ca="1">IFERROR(__xludf.DUMMYFUNCTION("IFERROR(VLOOKUP(F675,IMPORTRANGE(""https://docs.google.com/spreadsheets/d/1Kvs4KS76FHFqLFIZfrDMff4kP08nblUkihrxltoGBjg/edit#gid=934712705"",""ESENCIAL!A6:BG""),3,FALSE))"),"")</f>
        <v/>
      </c>
      <c r="I409" s="5" t="str">
        <f ca="1">IFERROR(__xludf.DUMMYFUNCTION("IFERROR(VLOOKUP(F675,IMPORTRANGE(""https://docs.google.com/spreadsheets/d/1Kvs4KS76FHFqLFIZfrDMff4kP08nblUkihrxltoGBjg/edit#gid=934712705"",""ESENCIAL!A6:BG""),8,FALSE))"),"")</f>
        <v/>
      </c>
      <c r="J409" s="39"/>
      <c r="M409" s="287"/>
      <c r="AV409" s="41" t="str">
        <f t="shared" si="20"/>
        <v/>
      </c>
      <c r="AW409" s="5" t="str">
        <f ca="1">IFERROR(__xludf.DUMMYFUNCTION("IFERROR(VLOOKUP(E675&amp;F675,IMPORTRANGE(""https://docs.google.com/spreadsheets/d/1Uw7-A9f9R21vMXxHZFNpYNeKFtG8_yji4HS352LGlSQ/edit?pli=1#gid=0"",""1_ACUM!A4:S""),11,FALSE))"),"")</f>
        <v/>
      </c>
      <c r="AX409" s="42" t="str">
        <f ca="1">IFERROR(__xludf.DUMMYFUNCTION("IFERROR(VLOOKUP(F675,IMPORTRANGE(""https://docs.google.com/spreadsheets/d/1Kvs4KS76FHFqLFIZfrDMff4kP08nblUkihrxltoGBjg/edit#gid=934712705"",""ESENCIAL!A6:BG""),15,FALSE))"),"")</f>
        <v/>
      </c>
      <c r="AY409" s="110" t="str">
        <f ca="1">IFERROR(__xludf.DUMMYFUNCTION("IFERROR(VLOOKUP(E675&amp;F675,IMPORTRANGE(""https://docs.google.com/spreadsheets/d/1Uw7-A9f9R21vMXxHZFNpYNeKFtG8_yji4HS352LGlSQ/edit?pli=1#gid=0"",""1_ACUM!A4:S""),13,FALSE))"),"")</f>
        <v/>
      </c>
      <c r="AZ409" s="43" t="str">
        <f ca="1">IFERROR(__xludf.DUMMYFUNCTION("IFERROR(VLOOKUP(E675&amp;F675,IMPORTRANGE(""https://docs.google.com/spreadsheets/d/1Uw7-A9f9R21vMXxHZFNpYNeKFtG8_yji4HS352LGlSQ/edit?pli=1#gid=0"",""1_ACUM!A4:S""),13,FALSE))"),"")</f>
        <v/>
      </c>
      <c r="BA409" s="43" t="str">
        <f ca="1">IFERROR(__xludf.DUMMYFUNCTION("IFERROR(VLOOKUP(E675&amp;F675,IMPORTRANGE(""https://docs.google.com/spreadsheets/d/1Uw7-A9f9R21vMXxHZFNpYNeKFtG8_yji4HS352LGlSQ/edit?pli=1#gid=0"",""1_ACUM!A4:S""),14,FALSE))"),"")</f>
        <v/>
      </c>
      <c r="BB409" s="43" t="str">
        <f ca="1">IFERROR(__xludf.DUMMYFUNCTION("IFERROR(VLOOKUP(E675&amp;F675,IMPORTRANGE(""https://docs.google.com/spreadsheets/d/1Uw7-A9f9R21vMXxHZFNpYNeKFtG8_yji4HS352LGlSQ/edit?pli=1#gid=0"",""1_ACUM!A4:S""),15,FALSE))"),"")</f>
        <v/>
      </c>
      <c r="BC409" s="43" t="str">
        <f ca="1">IFERROR(__xludf.DUMMYFUNCTION("IFERROR(VLOOKUP(E675&amp;F675,IMPORTRANGE(""https://docs.google.com/spreadsheets/d/1Uw7-A9f9R21vMXxHZFNpYNeKFtG8_yji4HS352LGlSQ/edit?pli=1#gid=0"",""1_ACUM!A4:S""),16,FALSE))"),"")</f>
        <v/>
      </c>
      <c r="BD409" s="43" t="str">
        <f ca="1">IFERROR(__xludf.DUMMYFUNCTION("IFERROR(VLOOKUP(E675&amp;F675,IMPORTRANGE(""https://docs.google.com/spreadsheets/d/1Uw7-A9f9R21vMXxHZFNpYNeKFtG8_yji4HS352LGlSQ/edit?pli=1#gid=0"",""1_ACUM!A4:S""),17,FALSE))"),"")</f>
        <v/>
      </c>
      <c r="BE409" s="44" t="str">
        <f ca="1">IFERROR(__xludf.DUMMYFUNCTION("IFERROR(VLOOKUP(E675&amp;F675,IMPORTRANGE(""https://docs.google.com/spreadsheets/d/1Uw7-A9f9R21vMXxHZFNpYNeKFtG8_yji4HS352LGlSQ/edit?pli=1#gid=0"",""1_ACUM!A4:S""),18,FALSE))"),"")</f>
        <v/>
      </c>
      <c r="BF409" s="44" t="str">
        <f ca="1">IFERROR(__xludf.DUMMYFUNCTION("IFERROR(VLOOKUP(E675&amp;F675,IMPORTRANGE(""https://docs.google.com/spreadsheets/d/1Uw7-A9f9R21vMXxHZFNpYNeKFtG8_yji4HS352LGlSQ/edit?pli=1#gid=0"",""1_ACUM!A4:S""),19,FALSE))"),"")</f>
        <v/>
      </c>
      <c r="BG409" s="98" t="str">
        <f ca="1">IFERROR(__xludf.DUMMYFUNCTION("IFERROR(VLOOKUP(F675,IMPORTRANGE(""https://docs.google.com/spreadsheets/d/1Kvs4KS76FHFqLFIZfrDMff4kP08nblUkihrxltoGBjg/edit#gid=934712705"",""ESENCIAL!A6:BG""),5,FALSE))"),"")</f>
        <v/>
      </c>
      <c r="BH409" s="98" t="str">
        <f t="shared" si="21"/>
        <v/>
      </c>
      <c r="BI409" s="99" t="str">
        <f t="shared" si="22"/>
        <v/>
      </c>
      <c r="BJ409" s="100" t="str">
        <f ca="1">IFERROR(__xludf.DUMMYFUNCTION("IFERROR(VLOOKUP(F675,IMPORTRANGE(""https://docs.google.com/spreadsheets/d/1Kvs4KS76FHFqLFIZfrDMff4kP08nblUkihrxltoGBjg/edit#gid=934712705"",""ESENCIAL!A6:BG""),2,FALSE))"),"")</f>
        <v/>
      </c>
      <c r="BK409" s="19" t="str">
        <f t="shared" si="23"/>
        <v/>
      </c>
      <c r="BL409" s="100"/>
      <c r="BM409" s="100"/>
    </row>
    <row r="410" spans="2:65" ht="15">
      <c r="B410" s="39"/>
      <c r="C410" s="5"/>
      <c r="D410" s="123"/>
      <c r="E410" s="39"/>
      <c r="F410" s="39"/>
      <c r="G410" s="39"/>
      <c r="H410" s="5" t="str">
        <f ca="1">IFERROR(__xludf.DUMMYFUNCTION("IFERROR(VLOOKUP(F676,IMPORTRANGE(""https://docs.google.com/spreadsheets/d/1Kvs4KS76FHFqLFIZfrDMff4kP08nblUkihrxltoGBjg/edit#gid=934712705"",""ESENCIAL!A6:BG""),3,FALSE))"),"")</f>
        <v/>
      </c>
      <c r="I410" s="5" t="str">
        <f ca="1">IFERROR(__xludf.DUMMYFUNCTION("IFERROR(VLOOKUP(F676,IMPORTRANGE(""https://docs.google.com/spreadsheets/d/1Kvs4KS76FHFqLFIZfrDMff4kP08nblUkihrxltoGBjg/edit#gid=934712705"",""ESENCIAL!A6:BG""),8,FALSE))"),"")</f>
        <v/>
      </c>
      <c r="J410" s="39"/>
      <c r="M410" s="287"/>
      <c r="AV410" s="41" t="str">
        <f t="shared" si="20"/>
        <v/>
      </c>
      <c r="AW410" s="5" t="str">
        <f ca="1">IFERROR(__xludf.DUMMYFUNCTION("IFERROR(VLOOKUP(E676&amp;F676,IMPORTRANGE(""https://docs.google.com/spreadsheets/d/1Uw7-A9f9R21vMXxHZFNpYNeKFtG8_yji4HS352LGlSQ/edit?pli=1#gid=0"",""1_ACUM!A4:S""),11,FALSE))"),"")</f>
        <v/>
      </c>
      <c r="AX410" s="42" t="str">
        <f ca="1">IFERROR(__xludf.DUMMYFUNCTION("IFERROR(VLOOKUP(F676,IMPORTRANGE(""https://docs.google.com/spreadsheets/d/1Kvs4KS76FHFqLFIZfrDMff4kP08nblUkihrxltoGBjg/edit#gid=934712705"",""ESENCIAL!A6:BG""),15,FALSE))"),"")</f>
        <v/>
      </c>
      <c r="AY410" s="110" t="str">
        <f ca="1">IFERROR(__xludf.DUMMYFUNCTION("IFERROR(VLOOKUP(E676&amp;F676,IMPORTRANGE(""https://docs.google.com/spreadsheets/d/1Uw7-A9f9R21vMXxHZFNpYNeKFtG8_yji4HS352LGlSQ/edit?pli=1#gid=0"",""1_ACUM!A4:S""),13,FALSE))"),"")</f>
        <v/>
      </c>
      <c r="AZ410" s="43" t="str">
        <f ca="1">IFERROR(__xludf.DUMMYFUNCTION("IFERROR(VLOOKUP(E676&amp;F676,IMPORTRANGE(""https://docs.google.com/spreadsheets/d/1Uw7-A9f9R21vMXxHZFNpYNeKFtG8_yji4HS352LGlSQ/edit?pli=1#gid=0"",""1_ACUM!A4:S""),13,FALSE))"),"")</f>
        <v/>
      </c>
      <c r="BA410" s="43" t="str">
        <f ca="1">IFERROR(__xludf.DUMMYFUNCTION("IFERROR(VLOOKUP(E676&amp;F676,IMPORTRANGE(""https://docs.google.com/spreadsheets/d/1Uw7-A9f9R21vMXxHZFNpYNeKFtG8_yji4HS352LGlSQ/edit?pli=1#gid=0"",""1_ACUM!A4:S""),14,FALSE))"),"")</f>
        <v/>
      </c>
      <c r="BB410" s="43" t="str">
        <f ca="1">IFERROR(__xludf.DUMMYFUNCTION("IFERROR(VLOOKUP(E676&amp;F676,IMPORTRANGE(""https://docs.google.com/spreadsheets/d/1Uw7-A9f9R21vMXxHZFNpYNeKFtG8_yji4HS352LGlSQ/edit?pli=1#gid=0"",""1_ACUM!A4:S""),15,FALSE))"),"")</f>
        <v/>
      </c>
      <c r="BC410" s="43" t="str">
        <f ca="1">IFERROR(__xludf.DUMMYFUNCTION("IFERROR(VLOOKUP(E676&amp;F676,IMPORTRANGE(""https://docs.google.com/spreadsheets/d/1Uw7-A9f9R21vMXxHZFNpYNeKFtG8_yji4HS352LGlSQ/edit?pli=1#gid=0"",""1_ACUM!A4:S""),16,FALSE))"),"")</f>
        <v/>
      </c>
      <c r="BD410" s="43" t="str">
        <f ca="1">IFERROR(__xludf.DUMMYFUNCTION("IFERROR(VLOOKUP(E676&amp;F676,IMPORTRANGE(""https://docs.google.com/spreadsheets/d/1Uw7-A9f9R21vMXxHZFNpYNeKFtG8_yji4HS352LGlSQ/edit?pli=1#gid=0"",""1_ACUM!A4:S""),17,FALSE))"),"")</f>
        <v/>
      </c>
      <c r="BE410" s="44" t="str">
        <f ca="1">IFERROR(__xludf.DUMMYFUNCTION("IFERROR(VLOOKUP(E676&amp;F676,IMPORTRANGE(""https://docs.google.com/spreadsheets/d/1Uw7-A9f9R21vMXxHZFNpYNeKFtG8_yji4HS352LGlSQ/edit?pli=1#gid=0"",""1_ACUM!A4:S""),18,FALSE))"),"")</f>
        <v/>
      </c>
      <c r="BF410" s="44" t="str">
        <f ca="1">IFERROR(__xludf.DUMMYFUNCTION("IFERROR(VLOOKUP(E676&amp;F676,IMPORTRANGE(""https://docs.google.com/spreadsheets/d/1Uw7-A9f9R21vMXxHZFNpYNeKFtG8_yji4HS352LGlSQ/edit?pli=1#gid=0"",""1_ACUM!A4:S""),19,FALSE))"),"")</f>
        <v/>
      </c>
      <c r="BG410" s="98" t="str">
        <f ca="1">IFERROR(__xludf.DUMMYFUNCTION("IFERROR(VLOOKUP(F676,IMPORTRANGE(""https://docs.google.com/spreadsheets/d/1Kvs4KS76FHFqLFIZfrDMff4kP08nblUkihrxltoGBjg/edit#gid=934712705"",""ESENCIAL!A6:BG""),5,FALSE))"),"")</f>
        <v/>
      </c>
      <c r="BH410" s="98" t="str">
        <f t="shared" si="21"/>
        <v/>
      </c>
      <c r="BI410" s="99" t="str">
        <f t="shared" si="22"/>
        <v/>
      </c>
      <c r="BJ410" s="100" t="str">
        <f ca="1">IFERROR(__xludf.DUMMYFUNCTION("IFERROR(VLOOKUP(F676,IMPORTRANGE(""https://docs.google.com/spreadsheets/d/1Kvs4KS76FHFqLFIZfrDMff4kP08nblUkihrxltoGBjg/edit#gid=934712705"",""ESENCIAL!A6:BG""),2,FALSE))"),"")</f>
        <v/>
      </c>
      <c r="BK410" s="19" t="str">
        <f t="shared" si="23"/>
        <v/>
      </c>
      <c r="BL410" s="100"/>
      <c r="BM410" s="100"/>
    </row>
    <row r="411" spans="2:65" ht="15">
      <c r="B411" s="39"/>
      <c r="C411" s="5"/>
      <c r="D411" s="123"/>
      <c r="E411" s="39"/>
      <c r="F411" s="39"/>
      <c r="G411" s="39"/>
      <c r="H411" s="5" t="str">
        <f ca="1">IFERROR(__xludf.DUMMYFUNCTION("IFERROR(VLOOKUP(F677,IMPORTRANGE(""https://docs.google.com/spreadsheets/d/1Kvs4KS76FHFqLFIZfrDMff4kP08nblUkihrxltoGBjg/edit#gid=934712705"",""ESENCIAL!A6:BG""),3,FALSE))"),"")</f>
        <v/>
      </c>
      <c r="I411" s="5" t="str">
        <f ca="1">IFERROR(__xludf.DUMMYFUNCTION("IFERROR(VLOOKUP(F677,IMPORTRANGE(""https://docs.google.com/spreadsheets/d/1Kvs4KS76FHFqLFIZfrDMff4kP08nblUkihrxltoGBjg/edit#gid=934712705"",""ESENCIAL!A6:BG""),8,FALSE))"),"")</f>
        <v/>
      </c>
      <c r="J411" s="39"/>
      <c r="M411" s="287"/>
      <c r="AV411" s="41" t="str">
        <f t="shared" si="20"/>
        <v/>
      </c>
      <c r="AW411" s="5" t="str">
        <f ca="1">IFERROR(__xludf.DUMMYFUNCTION("IFERROR(VLOOKUP(E677&amp;F677,IMPORTRANGE(""https://docs.google.com/spreadsheets/d/1Uw7-A9f9R21vMXxHZFNpYNeKFtG8_yji4HS352LGlSQ/edit?pli=1#gid=0"",""1_ACUM!A4:S""),11,FALSE))"),"")</f>
        <v/>
      </c>
      <c r="AX411" s="42" t="str">
        <f ca="1">IFERROR(__xludf.DUMMYFUNCTION("IFERROR(VLOOKUP(F677,IMPORTRANGE(""https://docs.google.com/spreadsheets/d/1Kvs4KS76FHFqLFIZfrDMff4kP08nblUkihrxltoGBjg/edit#gid=934712705"",""ESENCIAL!A6:BG""),15,FALSE))"),"")</f>
        <v/>
      </c>
      <c r="AY411" s="110" t="str">
        <f ca="1">IFERROR(__xludf.DUMMYFUNCTION("IFERROR(VLOOKUP(E677&amp;F677,IMPORTRANGE(""https://docs.google.com/spreadsheets/d/1Uw7-A9f9R21vMXxHZFNpYNeKFtG8_yji4HS352LGlSQ/edit?pli=1#gid=0"",""1_ACUM!A4:S""),13,FALSE))"),"")</f>
        <v/>
      </c>
      <c r="AZ411" s="43" t="str">
        <f ca="1">IFERROR(__xludf.DUMMYFUNCTION("IFERROR(VLOOKUP(E677&amp;F677,IMPORTRANGE(""https://docs.google.com/spreadsheets/d/1Uw7-A9f9R21vMXxHZFNpYNeKFtG8_yji4HS352LGlSQ/edit?pli=1#gid=0"",""1_ACUM!A4:S""),13,FALSE))"),"")</f>
        <v/>
      </c>
      <c r="BA411" s="43" t="str">
        <f ca="1">IFERROR(__xludf.DUMMYFUNCTION("IFERROR(VLOOKUP(E677&amp;F677,IMPORTRANGE(""https://docs.google.com/spreadsheets/d/1Uw7-A9f9R21vMXxHZFNpYNeKFtG8_yji4HS352LGlSQ/edit?pli=1#gid=0"",""1_ACUM!A4:S""),14,FALSE))"),"")</f>
        <v/>
      </c>
      <c r="BB411" s="43" t="str">
        <f ca="1">IFERROR(__xludf.DUMMYFUNCTION("IFERROR(VLOOKUP(E677&amp;F677,IMPORTRANGE(""https://docs.google.com/spreadsheets/d/1Uw7-A9f9R21vMXxHZFNpYNeKFtG8_yji4HS352LGlSQ/edit?pli=1#gid=0"",""1_ACUM!A4:S""),15,FALSE))"),"")</f>
        <v/>
      </c>
      <c r="BC411" s="43" t="str">
        <f ca="1">IFERROR(__xludf.DUMMYFUNCTION("IFERROR(VLOOKUP(E677&amp;F677,IMPORTRANGE(""https://docs.google.com/spreadsheets/d/1Uw7-A9f9R21vMXxHZFNpYNeKFtG8_yji4HS352LGlSQ/edit?pli=1#gid=0"",""1_ACUM!A4:S""),16,FALSE))"),"")</f>
        <v/>
      </c>
      <c r="BD411" s="43" t="str">
        <f ca="1">IFERROR(__xludf.DUMMYFUNCTION("IFERROR(VLOOKUP(E677&amp;F677,IMPORTRANGE(""https://docs.google.com/spreadsheets/d/1Uw7-A9f9R21vMXxHZFNpYNeKFtG8_yji4HS352LGlSQ/edit?pli=1#gid=0"",""1_ACUM!A4:S""),17,FALSE))"),"")</f>
        <v/>
      </c>
      <c r="BE411" s="44" t="str">
        <f ca="1">IFERROR(__xludf.DUMMYFUNCTION("IFERROR(VLOOKUP(E677&amp;F677,IMPORTRANGE(""https://docs.google.com/spreadsheets/d/1Uw7-A9f9R21vMXxHZFNpYNeKFtG8_yji4HS352LGlSQ/edit?pli=1#gid=0"",""1_ACUM!A4:S""),18,FALSE))"),"")</f>
        <v/>
      </c>
      <c r="BF411" s="44" t="str">
        <f ca="1">IFERROR(__xludf.DUMMYFUNCTION("IFERROR(VLOOKUP(E677&amp;F677,IMPORTRANGE(""https://docs.google.com/spreadsheets/d/1Uw7-A9f9R21vMXxHZFNpYNeKFtG8_yji4HS352LGlSQ/edit?pli=1#gid=0"",""1_ACUM!A4:S""),19,FALSE))"),"")</f>
        <v/>
      </c>
      <c r="BG411" s="98" t="str">
        <f ca="1">IFERROR(__xludf.DUMMYFUNCTION("IFERROR(VLOOKUP(F677,IMPORTRANGE(""https://docs.google.com/spreadsheets/d/1Kvs4KS76FHFqLFIZfrDMff4kP08nblUkihrxltoGBjg/edit#gid=934712705"",""ESENCIAL!A6:BG""),5,FALSE))"),"")</f>
        <v/>
      </c>
      <c r="BH411" s="98" t="str">
        <f t="shared" si="21"/>
        <v/>
      </c>
      <c r="BI411" s="99" t="str">
        <f t="shared" si="22"/>
        <v/>
      </c>
      <c r="BJ411" s="100" t="str">
        <f ca="1">IFERROR(__xludf.DUMMYFUNCTION("IFERROR(VLOOKUP(F677,IMPORTRANGE(""https://docs.google.com/spreadsheets/d/1Kvs4KS76FHFqLFIZfrDMff4kP08nblUkihrxltoGBjg/edit#gid=934712705"",""ESENCIAL!A6:BG""),2,FALSE))"),"")</f>
        <v/>
      </c>
      <c r="BK411" s="19" t="str">
        <f t="shared" si="23"/>
        <v/>
      </c>
      <c r="BL411" s="100"/>
      <c r="BM411" s="100"/>
    </row>
    <row r="412" spans="2:65" ht="15">
      <c r="B412" s="39"/>
      <c r="C412" s="5"/>
      <c r="D412" s="123"/>
      <c r="E412" s="39"/>
      <c r="F412" s="39"/>
      <c r="G412" s="39"/>
      <c r="H412" s="5" t="str">
        <f ca="1">IFERROR(__xludf.DUMMYFUNCTION("IFERROR(VLOOKUP(F678,IMPORTRANGE(""https://docs.google.com/spreadsheets/d/1Kvs4KS76FHFqLFIZfrDMff4kP08nblUkihrxltoGBjg/edit#gid=934712705"",""ESENCIAL!A6:BG""),3,FALSE))"),"")</f>
        <v/>
      </c>
      <c r="I412" s="5" t="str">
        <f ca="1">IFERROR(__xludf.DUMMYFUNCTION("IFERROR(VLOOKUP(F678,IMPORTRANGE(""https://docs.google.com/spreadsheets/d/1Kvs4KS76FHFqLFIZfrDMff4kP08nblUkihrxltoGBjg/edit#gid=934712705"",""ESENCIAL!A6:BG""),8,FALSE))"),"")</f>
        <v/>
      </c>
      <c r="J412" s="39"/>
      <c r="M412" s="287"/>
      <c r="AV412" s="41" t="str">
        <f t="shared" si="20"/>
        <v/>
      </c>
      <c r="AW412" s="5" t="str">
        <f ca="1">IFERROR(__xludf.DUMMYFUNCTION("IFERROR(VLOOKUP(E678&amp;F678,IMPORTRANGE(""https://docs.google.com/spreadsheets/d/1Uw7-A9f9R21vMXxHZFNpYNeKFtG8_yji4HS352LGlSQ/edit?pli=1#gid=0"",""1_ACUM!A4:S""),11,FALSE))"),"")</f>
        <v/>
      </c>
      <c r="AX412" s="42" t="str">
        <f ca="1">IFERROR(__xludf.DUMMYFUNCTION("IFERROR(VLOOKUP(F678,IMPORTRANGE(""https://docs.google.com/spreadsheets/d/1Kvs4KS76FHFqLFIZfrDMff4kP08nblUkihrxltoGBjg/edit#gid=934712705"",""ESENCIAL!A6:BG""),15,FALSE))"),"")</f>
        <v/>
      </c>
      <c r="AY412" s="110" t="str">
        <f ca="1">IFERROR(__xludf.DUMMYFUNCTION("IFERROR(VLOOKUP(E678&amp;F678,IMPORTRANGE(""https://docs.google.com/spreadsheets/d/1Uw7-A9f9R21vMXxHZFNpYNeKFtG8_yji4HS352LGlSQ/edit?pli=1#gid=0"",""1_ACUM!A4:S""),13,FALSE))"),"")</f>
        <v/>
      </c>
      <c r="AZ412" s="43" t="str">
        <f ca="1">IFERROR(__xludf.DUMMYFUNCTION("IFERROR(VLOOKUP(E678&amp;F678,IMPORTRANGE(""https://docs.google.com/spreadsheets/d/1Uw7-A9f9R21vMXxHZFNpYNeKFtG8_yji4HS352LGlSQ/edit?pli=1#gid=0"",""1_ACUM!A4:S""),13,FALSE))"),"")</f>
        <v/>
      </c>
      <c r="BA412" s="43" t="str">
        <f ca="1">IFERROR(__xludf.DUMMYFUNCTION("IFERROR(VLOOKUP(E678&amp;F678,IMPORTRANGE(""https://docs.google.com/spreadsheets/d/1Uw7-A9f9R21vMXxHZFNpYNeKFtG8_yji4HS352LGlSQ/edit?pli=1#gid=0"",""1_ACUM!A4:S""),14,FALSE))"),"")</f>
        <v/>
      </c>
      <c r="BB412" s="43" t="str">
        <f ca="1">IFERROR(__xludf.DUMMYFUNCTION("IFERROR(VLOOKUP(E678&amp;F678,IMPORTRANGE(""https://docs.google.com/spreadsheets/d/1Uw7-A9f9R21vMXxHZFNpYNeKFtG8_yji4HS352LGlSQ/edit?pli=1#gid=0"",""1_ACUM!A4:S""),15,FALSE))"),"")</f>
        <v/>
      </c>
      <c r="BC412" s="43" t="str">
        <f ca="1">IFERROR(__xludf.DUMMYFUNCTION("IFERROR(VLOOKUP(E678&amp;F678,IMPORTRANGE(""https://docs.google.com/spreadsheets/d/1Uw7-A9f9R21vMXxHZFNpYNeKFtG8_yji4HS352LGlSQ/edit?pli=1#gid=0"",""1_ACUM!A4:S""),16,FALSE))"),"")</f>
        <v/>
      </c>
      <c r="BD412" s="43" t="str">
        <f ca="1">IFERROR(__xludf.DUMMYFUNCTION("IFERROR(VLOOKUP(E678&amp;F678,IMPORTRANGE(""https://docs.google.com/spreadsheets/d/1Uw7-A9f9R21vMXxHZFNpYNeKFtG8_yji4HS352LGlSQ/edit?pli=1#gid=0"",""1_ACUM!A4:S""),17,FALSE))"),"")</f>
        <v/>
      </c>
      <c r="BE412" s="44" t="str">
        <f ca="1">IFERROR(__xludf.DUMMYFUNCTION("IFERROR(VLOOKUP(E678&amp;F678,IMPORTRANGE(""https://docs.google.com/spreadsheets/d/1Uw7-A9f9R21vMXxHZFNpYNeKFtG8_yji4HS352LGlSQ/edit?pli=1#gid=0"",""1_ACUM!A4:S""),18,FALSE))"),"")</f>
        <v/>
      </c>
      <c r="BF412" s="44" t="str">
        <f ca="1">IFERROR(__xludf.DUMMYFUNCTION("IFERROR(VLOOKUP(E678&amp;F678,IMPORTRANGE(""https://docs.google.com/spreadsheets/d/1Uw7-A9f9R21vMXxHZFNpYNeKFtG8_yji4HS352LGlSQ/edit?pli=1#gid=0"",""1_ACUM!A4:S""),19,FALSE))"),"")</f>
        <v/>
      </c>
      <c r="BG412" s="98" t="str">
        <f ca="1">IFERROR(__xludf.DUMMYFUNCTION("IFERROR(VLOOKUP(F678,IMPORTRANGE(""https://docs.google.com/spreadsheets/d/1Kvs4KS76FHFqLFIZfrDMff4kP08nblUkihrxltoGBjg/edit#gid=934712705"",""ESENCIAL!A6:BG""),5,FALSE))"),"")</f>
        <v/>
      </c>
      <c r="BH412" s="98" t="str">
        <f t="shared" si="21"/>
        <v/>
      </c>
      <c r="BI412" s="99" t="str">
        <f t="shared" si="22"/>
        <v/>
      </c>
      <c r="BJ412" s="100" t="str">
        <f ca="1">IFERROR(__xludf.DUMMYFUNCTION("IFERROR(VLOOKUP(F678,IMPORTRANGE(""https://docs.google.com/spreadsheets/d/1Kvs4KS76FHFqLFIZfrDMff4kP08nblUkihrxltoGBjg/edit#gid=934712705"",""ESENCIAL!A6:BG""),2,FALSE))"),"")</f>
        <v/>
      </c>
      <c r="BK412" s="19" t="str">
        <f t="shared" si="23"/>
        <v/>
      </c>
      <c r="BL412" s="100"/>
      <c r="BM412" s="100"/>
    </row>
    <row r="413" spans="2:65" ht="15">
      <c r="B413" s="39"/>
      <c r="C413" s="5"/>
      <c r="D413" s="123"/>
      <c r="E413" s="39"/>
      <c r="F413" s="39"/>
      <c r="G413" s="39"/>
      <c r="H413" s="5" t="str">
        <f ca="1">IFERROR(__xludf.DUMMYFUNCTION("IFERROR(VLOOKUP(F679,IMPORTRANGE(""https://docs.google.com/spreadsheets/d/1Kvs4KS76FHFqLFIZfrDMff4kP08nblUkihrxltoGBjg/edit#gid=934712705"",""ESENCIAL!A6:BG""),3,FALSE))"),"")</f>
        <v/>
      </c>
      <c r="I413" s="5" t="str">
        <f ca="1">IFERROR(__xludf.DUMMYFUNCTION("IFERROR(VLOOKUP(F679,IMPORTRANGE(""https://docs.google.com/spreadsheets/d/1Kvs4KS76FHFqLFIZfrDMff4kP08nblUkihrxltoGBjg/edit#gid=934712705"",""ESENCIAL!A6:BG""),8,FALSE))"),"")</f>
        <v/>
      </c>
      <c r="J413" s="39"/>
      <c r="M413" s="287"/>
      <c r="AV413" s="41" t="str">
        <f t="shared" si="20"/>
        <v/>
      </c>
      <c r="AW413" s="5" t="str">
        <f ca="1">IFERROR(__xludf.DUMMYFUNCTION("IFERROR(VLOOKUP(E679&amp;F679,IMPORTRANGE(""https://docs.google.com/spreadsheets/d/1Uw7-A9f9R21vMXxHZFNpYNeKFtG8_yji4HS352LGlSQ/edit?pli=1#gid=0"",""1_ACUM!A4:S""),11,FALSE))"),"")</f>
        <v/>
      </c>
      <c r="AX413" s="42" t="str">
        <f ca="1">IFERROR(__xludf.DUMMYFUNCTION("IFERROR(VLOOKUP(F679,IMPORTRANGE(""https://docs.google.com/spreadsheets/d/1Kvs4KS76FHFqLFIZfrDMff4kP08nblUkihrxltoGBjg/edit#gid=934712705"",""ESENCIAL!A6:BG""),15,FALSE))"),"")</f>
        <v/>
      </c>
      <c r="AY413" s="110" t="str">
        <f ca="1">IFERROR(__xludf.DUMMYFUNCTION("IFERROR(VLOOKUP(E679&amp;F679,IMPORTRANGE(""https://docs.google.com/spreadsheets/d/1Uw7-A9f9R21vMXxHZFNpYNeKFtG8_yji4HS352LGlSQ/edit?pli=1#gid=0"",""1_ACUM!A4:S""),13,FALSE))"),"")</f>
        <v/>
      </c>
      <c r="AZ413" s="43" t="str">
        <f ca="1">IFERROR(__xludf.DUMMYFUNCTION("IFERROR(VLOOKUP(E679&amp;F679,IMPORTRANGE(""https://docs.google.com/spreadsheets/d/1Uw7-A9f9R21vMXxHZFNpYNeKFtG8_yji4HS352LGlSQ/edit?pli=1#gid=0"",""1_ACUM!A4:S""),13,FALSE))"),"")</f>
        <v/>
      </c>
      <c r="BA413" s="43" t="str">
        <f ca="1">IFERROR(__xludf.DUMMYFUNCTION("IFERROR(VLOOKUP(E679&amp;F679,IMPORTRANGE(""https://docs.google.com/spreadsheets/d/1Uw7-A9f9R21vMXxHZFNpYNeKFtG8_yji4HS352LGlSQ/edit?pli=1#gid=0"",""1_ACUM!A4:S""),14,FALSE))"),"")</f>
        <v/>
      </c>
      <c r="BB413" s="43" t="str">
        <f ca="1">IFERROR(__xludf.DUMMYFUNCTION("IFERROR(VLOOKUP(E679&amp;F679,IMPORTRANGE(""https://docs.google.com/spreadsheets/d/1Uw7-A9f9R21vMXxHZFNpYNeKFtG8_yji4HS352LGlSQ/edit?pli=1#gid=0"",""1_ACUM!A4:S""),15,FALSE))"),"")</f>
        <v/>
      </c>
      <c r="BC413" s="43" t="str">
        <f ca="1">IFERROR(__xludf.DUMMYFUNCTION("IFERROR(VLOOKUP(E679&amp;F679,IMPORTRANGE(""https://docs.google.com/spreadsheets/d/1Uw7-A9f9R21vMXxHZFNpYNeKFtG8_yji4HS352LGlSQ/edit?pli=1#gid=0"",""1_ACUM!A4:S""),16,FALSE))"),"")</f>
        <v/>
      </c>
      <c r="BD413" s="43" t="str">
        <f ca="1">IFERROR(__xludf.DUMMYFUNCTION("IFERROR(VLOOKUP(E679&amp;F679,IMPORTRANGE(""https://docs.google.com/spreadsheets/d/1Uw7-A9f9R21vMXxHZFNpYNeKFtG8_yji4HS352LGlSQ/edit?pli=1#gid=0"",""1_ACUM!A4:S""),17,FALSE))"),"")</f>
        <v/>
      </c>
      <c r="BE413" s="44" t="str">
        <f ca="1">IFERROR(__xludf.DUMMYFUNCTION("IFERROR(VLOOKUP(E679&amp;F679,IMPORTRANGE(""https://docs.google.com/spreadsheets/d/1Uw7-A9f9R21vMXxHZFNpYNeKFtG8_yji4HS352LGlSQ/edit?pli=1#gid=0"",""1_ACUM!A4:S""),18,FALSE))"),"")</f>
        <v/>
      </c>
      <c r="BF413" s="44" t="str">
        <f ca="1">IFERROR(__xludf.DUMMYFUNCTION("IFERROR(VLOOKUP(E679&amp;F679,IMPORTRANGE(""https://docs.google.com/spreadsheets/d/1Uw7-A9f9R21vMXxHZFNpYNeKFtG8_yji4HS352LGlSQ/edit?pli=1#gid=0"",""1_ACUM!A4:S""),19,FALSE))"),"")</f>
        <v/>
      </c>
      <c r="BG413" s="98" t="str">
        <f ca="1">IFERROR(__xludf.DUMMYFUNCTION("IFERROR(VLOOKUP(F679,IMPORTRANGE(""https://docs.google.com/spreadsheets/d/1Kvs4KS76FHFqLFIZfrDMff4kP08nblUkihrxltoGBjg/edit#gid=934712705"",""ESENCIAL!A6:BG""),5,FALSE))"),"")</f>
        <v/>
      </c>
      <c r="BH413" s="98" t="str">
        <f t="shared" si="21"/>
        <v/>
      </c>
      <c r="BI413" s="99" t="str">
        <f t="shared" si="22"/>
        <v/>
      </c>
      <c r="BJ413" s="100" t="str">
        <f ca="1">IFERROR(__xludf.DUMMYFUNCTION("IFERROR(VLOOKUP(F679,IMPORTRANGE(""https://docs.google.com/spreadsheets/d/1Kvs4KS76FHFqLFIZfrDMff4kP08nblUkihrxltoGBjg/edit#gid=934712705"",""ESENCIAL!A6:BG""),2,FALSE))"),"")</f>
        <v/>
      </c>
      <c r="BK413" s="19" t="str">
        <f t="shared" si="23"/>
        <v/>
      </c>
      <c r="BL413" s="100"/>
      <c r="BM413" s="100"/>
    </row>
    <row r="414" spans="2:65" ht="15">
      <c r="B414" s="39"/>
      <c r="C414" s="5"/>
      <c r="D414" s="123"/>
      <c r="E414" s="39"/>
      <c r="F414" s="39"/>
      <c r="G414" s="39"/>
      <c r="H414" s="5" t="str">
        <f ca="1">IFERROR(__xludf.DUMMYFUNCTION("IFERROR(VLOOKUP(F680,IMPORTRANGE(""https://docs.google.com/spreadsheets/d/1Kvs4KS76FHFqLFIZfrDMff4kP08nblUkihrxltoGBjg/edit#gid=934712705"",""ESENCIAL!A6:BG""),3,FALSE))"),"")</f>
        <v/>
      </c>
      <c r="I414" s="5" t="str">
        <f ca="1">IFERROR(__xludf.DUMMYFUNCTION("IFERROR(VLOOKUP(F680,IMPORTRANGE(""https://docs.google.com/spreadsheets/d/1Kvs4KS76FHFqLFIZfrDMff4kP08nblUkihrxltoGBjg/edit#gid=934712705"",""ESENCIAL!A6:BG""),8,FALSE))"),"")</f>
        <v/>
      </c>
      <c r="J414" s="39"/>
      <c r="M414" s="287"/>
      <c r="AV414" s="41" t="str">
        <f t="shared" si="20"/>
        <v/>
      </c>
      <c r="AW414" s="5" t="str">
        <f ca="1">IFERROR(__xludf.DUMMYFUNCTION("IFERROR(VLOOKUP(E680&amp;F680,IMPORTRANGE(""https://docs.google.com/spreadsheets/d/1Uw7-A9f9R21vMXxHZFNpYNeKFtG8_yji4HS352LGlSQ/edit?pli=1#gid=0"",""1_ACUM!A4:S""),11,FALSE))"),"")</f>
        <v/>
      </c>
      <c r="AX414" s="42" t="str">
        <f ca="1">IFERROR(__xludf.DUMMYFUNCTION("IFERROR(VLOOKUP(F680,IMPORTRANGE(""https://docs.google.com/spreadsheets/d/1Kvs4KS76FHFqLFIZfrDMff4kP08nblUkihrxltoGBjg/edit#gid=934712705"",""ESENCIAL!A6:BG""),15,FALSE))"),"")</f>
        <v/>
      </c>
      <c r="AY414" s="110" t="str">
        <f ca="1">IFERROR(__xludf.DUMMYFUNCTION("IFERROR(VLOOKUP(E680&amp;F680,IMPORTRANGE(""https://docs.google.com/spreadsheets/d/1Uw7-A9f9R21vMXxHZFNpYNeKFtG8_yji4HS352LGlSQ/edit?pli=1#gid=0"",""1_ACUM!A4:S""),13,FALSE))"),"")</f>
        <v/>
      </c>
      <c r="AZ414" s="43" t="str">
        <f ca="1">IFERROR(__xludf.DUMMYFUNCTION("IFERROR(VLOOKUP(E680&amp;F680,IMPORTRANGE(""https://docs.google.com/spreadsheets/d/1Uw7-A9f9R21vMXxHZFNpYNeKFtG8_yji4HS352LGlSQ/edit?pli=1#gid=0"",""1_ACUM!A4:S""),13,FALSE))"),"")</f>
        <v/>
      </c>
      <c r="BA414" s="43" t="str">
        <f ca="1">IFERROR(__xludf.DUMMYFUNCTION("IFERROR(VLOOKUP(E680&amp;F680,IMPORTRANGE(""https://docs.google.com/spreadsheets/d/1Uw7-A9f9R21vMXxHZFNpYNeKFtG8_yji4HS352LGlSQ/edit?pli=1#gid=0"",""1_ACUM!A4:S""),14,FALSE))"),"")</f>
        <v/>
      </c>
      <c r="BB414" s="43" t="str">
        <f ca="1">IFERROR(__xludf.DUMMYFUNCTION("IFERROR(VLOOKUP(E680&amp;F680,IMPORTRANGE(""https://docs.google.com/spreadsheets/d/1Uw7-A9f9R21vMXxHZFNpYNeKFtG8_yji4HS352LGlSQ/edit?pli=1#gid=0"",""1_ACUM!A4:S""),15,FALSE))"),"")</f>
        <v/>
      </c>
      <c r="BC414" s="43" t="str">
        <f ca="1">IFERROR(__xludf.DUMMYFUNCTION("IFERROR(VLOOKUP(E680&amp;F680,IMPORTRANGE(""https://docs.google.com/spreadsheets/d/1Uw7-A9f9R21vMXxHZFNpYNeKFtG8_yji4HS352LGlSQ/edit?pli=1#gid=0"",""1_ACUM!A4:S""),16,FALSE))"),"")</f>
        <v/>
      </c>
      <c r="BD414" s="43" t="str">
        <f ca="1">IFERROR(__xludf.DUMMYFUNCTION("IFERROR(VLOOKUP(E680&amp;F680,IMPORTRANGE(""https://docs.google.com/spreadsheets/d/1Uw7-A9f9R21vMXxHZFNpYNeKFtG8_yji4HS352LGlSQ/edit?pli=1#gid=0"",""1_ACUM!A4:S""),17,FALSE))"),"")</f>
        <v/>
      </c>
      <c r="BE414" s="44" t="str">
        <f ca="1">IFERROR(__xludf.DUMMYFUNCTION("IFERROR(VLOOKUP(E680&amp;F680,IMPORTRANGE(""https://docs.google.com/spreadsheets/d/1Uw7-A9f9R21vMXxHZFNpYNeKFtG8_yji4HS352LGlSQ/edit?pli=1#gid=0"",""1_ACUM!A4:S""),18,FALSE))"),"")</f>
        <v/>
      </c>
      <c r="BF414" s="44" t="str">
        <f ca="1">IFERROR(__xludf.DUMMYFUNCTION("IFERROR(VLOOKUP(E680&amp;F680,IMPORTRANGE(""https://docs.google.com/spreadsheets/d/1Uw7-A9f9R21vMXxHZFNpYNeKFtG8_yji4HS352LGlSQ/edit?pli=1#gid=0"",""1_ACUM!A4:S""),19,FALSE))"),"")</f>
        <v/>
      </c>
      <c r="BG414" s="98" t="str">
        <f ca="1">IFERROR(__xludf.DUMMYFUNCTION("IFERROR(VLOOKUP(F680,IMPORTRANGE(""https://docs.google.com/spreadsheets/d/1Kvs4KS76FHFqLFIZfrDMff4kP08nblUkihrxltoGBjg/edit#gid=934712705"",""ESENCIAL!A6:BG""),5,FALSE))"),"")</f>
        <v/>
      </c>
      <c r="BH414" s="98" t="str">
        <f t="shared" si="21"/>
        <v/>
      </c>
      <c r="BI414" s="99" t="str">
        <f t="shared" si="22"/>
        <v/>
      </c>
      <c r="BJ414" s="100" t="str">
        <f ca="1">IFERROR(__xludf.DUMMYFUNCTION("IFERROR(VLOOKUP(F680,IMPORTRANGE(""https://docs.google.com/spreadsheets/d/1Kvs4KS76FHFqLFIZfrDMff4kP08nblUkihrxltoGBjg/edit#gid=934712705"",""ESENCIAL!A6:BG""),2,FALSE))"),"")</f>
        <v/>
      </c>
      <c r="BK414" s="19" t="str">
        <f t="shared" si="23"/>
        <v/>
      </c>
      <c r="BL414" s="100"/>
      <c r="BM414" s="100"/>
    </row>
    <row r="415" spans="2:65" ht="15">
      <c r="B415" s="39"/>
      <c r="C415" s="5"/>
      <c r="D415" s="123"/>
      <c r="E415" s="39"/>
      <c r="F415" s="39"/>
      <c r="G415" s="39"/>
      <c r="H415" s="5" t="str">
        <f ca="1">IFERROR(__xludf.DUMMYFUNCTION("IFERROR(VLOOKUP(F681,IMPORTRANGE(""https://docs.google.com/spreadsheets/d/1Kvs4KS76FHFqLFIZfrDMff4kP08nblUkihrxltoGBjg/edit#gid=934712705"",""ESENCIAL!A6:BG""),3,FALSE))"),"")</f>
        <v/>
      </c>
      <c r="I415" s="5" t="str">
        <f ca="1">IFERROR(__xludf.DUMMYFUNCTION("IFERROR(VLOOKUP(F681,IMPORTRANGE(""https://docs.google.com/spreadsheets/d/1Kvs4KS76FHFqLFIZfrDMff4kP08nblUkihrxltoGBjg/edit#gid=934712705"",""ESENCIAL!A6:BG""),8,FALSE))"),"")</f>
        <v/>
      </c>
      <c r="J415" s="39"/>
      <c r="M415" s="287"/>
      <c r="AV415" s="41" t="str">
        <f t="shared" si="20"/>
        <v/>
      </c>
      <c r="AW415" s="5" t="str">
        <f ca="1">IFERROR(__xludf.DUMMYFUNCTION("IFERROR(VLOOKUP(E681&amp;F681,IMPORTRANGE(""https://docs.google.com/spreadsheets/d/1Uw7-A9f9R21vMXxHZFNpYNeKFtG8_yji4HS352LGlSQ/edit?pli=1#gid=0"",""1_ACUM!A4:S""),11,FALSE))"),"")</f>
        <v/>
      </c>
      <c r="AX415" s="42" t="str">
        <f ca="1">IFERROR(__xludf.DUMMYFUNCTION("IFERROR(VLOOKUP(F681,IMPORTRANGE(""https://docs.google.com/spreadsheets/d/1Kvs4KS76FHFqLFIZfrDMff4kP08nblUkihrxltoGBjg/edit#gid=934712705"",""ESENCIAL!A6:BG""),15,FALSE))"),"")</f>
        <v/>
      </c>
      <c r="AY415" s="110" t="str">
        <f ca="1">IFERROR(__xludf.DUMMYFUNCTION("IFERROR(VLOOKUP(E681&amp;F681,IMPORTRANGE(""https://docs.google.com/spreadsheets/d/1Uw7-A9f9R21vMXxHZFNpYNeKFtG8_yji4HS352LGlSQ/edit?pli=1#gid=0"",""1_ACUM!A4:S""),13,FALSE))"),"")</f>
        <v/>
      </c>
      <c r="AZ415" s="43" t="str">
        <f ca="1">IFERROR(__xludf.DUMMYFUNCTION("IFERROR(VLOOKUP(E681&amp;F681,IMPORTRANGE(""https://docs.google.com/spreadsheets/d/1Uw7-A9f9R21vMXxHZFNpYNeKFtG8_yji4HS352LGlSQ/edit?pli=1#gid=0"",""1_ACUM!A4:S""),13,FALSE))"),"")</f>
        <v/>
      </c>
      <c r="BA415" s="43" t="str">
        <f ca="1">IFERROR(__xludf.DUMMYFUNCTION("IFERROR(VLOOKUP(E681&amp;F681,IMPORTRANGE(""https://docs.google.com/spreadsheets/d/1Uw7-A9f9R21vMXxHZFNpYNeKFtG8_yji4HS352LGlSQ/edit?pli=1#gid=0"",""1_ACUM!A4:S""),14,FALSE))"),"")</f>
        <v/>
      </c>
      <c r="BB415" s="43" t="str">
        <f ca="1">IFERROR(__xludf.DUMMYFUNCTION("IFERROR(VLOOKUP(E681&amp;F681,IMPORTRANGE(""https://docs.google.com/spreadsheets/d/1Uw7-A9f9R21vMXxHZFNpYNeKFtG8_yji4HS352LGlSQ/edit?pli=1#gid=0"",""1_ACUM!A4:S""),15,FALSE))"),"")</f>
        <v/>
      </c>
      <c r="BC415" s="43" t="str">
        <f ca="1">IFERROR(__xludf.DUMMYFUNCTION("IFERROR(VLOOKUP(E681&amp;F681,IMPORTRANGE(""https://docs.google.com/spreadsheets/d/1Uw7-A9f9R21vMXxHZFNpYNeKFtG8_yji4HS352LGlSQ/edit?pli=1#gid=0"",""1_ACUM!A4:S""),16,FALSE))"),"")</f>
        <v/>
      </c>
      <c r="BD415" s="43" t="str">
        <f ca="1">IFERROR(__xludf.DUMMYFUNCTION("IFERROR(VLOOKUP(E681&amp;F681,IMPORTRANGE(""https://docs.google.com/spreadsheets/d/1Uw7-A9f9R21vMXxHZFNpYNeKFtG8_yji4HS352LGlSQ/edit?pli=1#gid=0"",""1_ACUM!A4:S""),17,FALSE))"),"")</f>
        <v/>
      </c>
      <c r="BE415" s="44" t="str">
        <f ca="1">IFERROR(__xludf.DUMMYFUNCTION("IFERROR(VLOOKUP(E681&amp;F681,IMPORTRANGE(""https://docs.google.com/spreadsheets/d/1Uw7-A9f9R21vMXxHZFNpYNeKFtG8_yji4HS352LGlSQ/edit?pli=1#gid=0"",""1_ACUM!A4:S""),18,FALSE))"),"")</f>
        <v/>
      </c>
      <c r="BF415" s="44" t="str">
        <f ca="1">IFERROR(__xludf.DUMMYFUNCTION("IFERROR(VLOOKUP(E681&amp;F681,IMPORTRANGE(""https://docs.google.com/spreadsheets/d/1Uw7-A9f9R21vMXxHZFNpYNeKFtG8_yji4HS352LGlSQ/edit?pli=1#gid=0"",""1_ACUM!A4:S""),19,FALSE))"),"")</f>
        <v/>
      </c>
      <c r="BG415" s="98" t="str">
        <f ca="1">IFERROR(__xludf.DUMMYFUNCTION("IFERROR(VLOOKUP(F681,IMPORTRANGE(""https://docs.google.com/spreadsheets/d/1Kvs4KS76FHFqLFIZfrDMff4kP08nblUkihrxltoGBjg/edit#gid=934712705"",""ESENCIAL!A6:BG""),5,FALSE))"),"")</f>
        <v/>
      </c>
      <c r="BH415" s="98" t="str">
        <f t="shared" si="21"/>
        <v/>
      </c>
      <c r="BI415" s="99" t="str">
        <f t="shared" si="22"/>
        <v/>
      </c>
      <c r="BJ415" s="100" t="str">
        <f ca="1">IFERROR(__xludf.DUMMYFUNCTION("IFERROR(VLOOKUP(F681,IMPORTRANGE(""https://docs.google.com/spreadsheets/d/1Kvs4KS76FHFqLFIZfrDMff4kP08nblUkihrxltoGBjg/edit#gid=934712705"",""ESENCIAL!A6:BG""),2,FALSE))"),"")</f>
        <v/>
      </c>
      <c r="BK415" s="19" t="str">
        <f t="shared" si="23"/>
        <v/>
      </c>
      <c r="BL415" s="100"/>
      <c r="BM415" s="100"/>
    </row>
    <row r="416" spans="2:65" ht="15">
      <c r="B416" s="39"/>
      <c r="C416" s="5"/>
      <c r="D416" s="123"/>
      <c r="E416" s="39"/>
      <c r="F416" s="39"/>
      <c r="G416" s="39"/>
      <c r="H416" s="5" t="str">
        <f ca="1">IFERROR(__xludf.DUMMYFUNCTION("IFERROR(VLOOKUP(F682,IMPORTRANGE(""https://docs.google.com/spreadsheets/d/1Kvs4KS76FHFqLFIZfrDMff4kP08nblUkihrxltoGBjg/edit#gid=934712705"",""ESENCIAL!A6:BG""),3,FALSE))"),"")</f>
        <v/>
      </c>
      <c r="I416" s="5" t="str">
        <f ca="1">IFERROR(__xludf.DUMMYFUNCTION("IFERROR(VLOOKUP(F682,IMPORTRANGE(""https://docs.google.com/spreadsheets/d/1Kvs4KS76FHFqLFIZfrDMff4kP08nblUkihrxltoGBjg/edit#gid=934712705"",""ESENCIAL!A6:BG""),8,FALSE))"),"")</f>
        <v/>
      </c>
      <c r="J416" s="39"/>
      <c r="M416" s="287"/>
      <c r="AV416" s="41" t="str">
        <f t="shared" si="20"/>
        <v/>
      </c>
      <c r="AW416" s="5" t="str">
        <f ca="1">IFERROR(__xludf.DUMMYFUNCTION("IFERROR(VLOOKUP(E682&amp;F682,IMPORTRANGE(""https://docs.google.com/spreadsheets/d/1Uw7-A9f9R21vMXxHZFNpYNeKFtG8_yji4HS352LGlSQ/edit?pli=1#gid=0"",""1_ACUM!A4:S""),11,FALSE))"),"")</f>
        <v/>
      </c>
      <c r="AX416" s="42" t="str">
        <f ca="1">IFERROR(__xludf.DUMMYFUNCTION("IFERROR(VLOOKUP(F682,IMPORTRANGE(""https://docs.google.com/spreadsheets/d/1Kvs4KS76FHFqLFIZfrDMff4kP08nblUkihrxltoGBjg/edit#gid=934712705"",""ESENCIAL!A6:BG""),15,FALSE))"),"")</f>
        <v/>
      </c>
      <c r="AY416" s="110" t="str">
        <f ca="1">IFERROR(__xludf.DUMMYFUNCTION("IFERROR(VLOOKUP(E682&amp;F682,IMPORTRANGE(""https://docs.google.com/spreadsheets/d/1Uw7-A9f9R21vMXxHZFNpYNeKFtG8_yji4HS352LGlSQ/edit?pli=1#gid=0"",""1_ACUM!A4:S""),13,FALSE))"),"")</f>
        <v/>
      </c>
      <c r="AZ416" s="43" t="str">
        <f ca="1">IFERROR(__xludf.DUMMYFUNCTION("IFERROR(VLOOKUP(E682&amp;F682,IMPORTRANGE(""https://docs.google.com/spreadsheets/d/1Uw7-A9f9R21vMXxHZFNpYNeKFtG8_yji4HS352LGlSQ/edit?pli=1#gid=0"",""1_ACUM!A4:S""),13,FALSE))"),"")</f>
        <v/>
      </c>
      <c r="BA416" s="43" t="str">
        <f ca="1">IFERROR(__xludf.DUMMYFUNCTION("IFERROR(VLOOKUP(E682&amp;F682,IMPORTRANGE(""https://docs.google.com/spreadsheets/d/1Uw7-A9f9R21vMXxHZFNpYNeKFtG8_yji4HS352LGlSQ/edit?pli=1#gid=0"",""1_ACUM!A4:S""),14,FALSE))"),"")</f>
        <v/>
      </c>
      <c r="BB416" s="43" t="str">
        <f ca="1">IFERROR(__xludf.DUMMYFUNCTION("IFERROR(VLOOKUP(E682&amp;F682,IMPORTRANGE(""https://docs.google.com/spreadsheets/d/1Uw7-A9f9R21vMXxHZFNpYNeKFtG8_yji4HS352LGlSQ/edit?pli=1#gid=0"",""1_ACUM!A4:S""),15,FALSE))"),"")</f>
        <v/>
      </c>
      <c r="BC416" s="43" t="str">
        <f ca="1">IFERROR(__xludf.DUMMYFUNCTION("IFERROR(VLOOKUP(E682&amp;F682,IMPORTRANGE(""https://docs.google.com/spreadsheets/d/1Uw7-A9f9R21vMXxHZFNpYNeKFtG8_yji4HS352LGlSQ/edit?pli=1#gid=0"",""1_ACUM!A4:S""),16,FALSE))"),"")</f>
        <v/>
      </c>
      <c r="BD416" s="43" t="str">
        <f ca="1">IFERROR(__xludf.DUMMYFUNCTION("IFERROR(VLOOKUP(E682&amp;F682,IMPORTRANGE(""https://docs.google.com/spreadsheets/d/1Uw7-A9f9R21vMXxHZFNpYNeKFtG8_yji4HS352LGlSQ/edit?pli=1#gid=0"",""1_ACUM!A4:S""),17,FALSE))"),"")</f>
        <v/>
      </c>
      <c r="BE416" s="44" t="str">
        <f ca="1">IFERROR(__xludf.DUMMYFUNCTION("IFERROR(VLOOKUP(E682&amp;F682,IMPORTRANGE(""https://docs.google.com/spreadsheets/d/1Uw7-A9f9R21vMXxHZFNpYNeKFtG8_yji4HS352LGlSQ/edit?pli=1#gid=0"",""1_ACUM!A4:S""),18,FALSE))"),"")</f>
        <v/>
      </c>
      <c r="BF416" s="44" t="str">
        <f ca="1">IFERROR(__xludf.DUMMYFUNCTION("IFERROR(VLOOKUP(E682&amp;F682,IMPORTRANGE(""https://docs.google.com/spreadsheets/d/1Uw7-A9f9R21vMXxHZFNpYNeKFtG8_yji4HS352LGlSQ/edit?pli=1#gid=0"",""1_ACUM!A4:S""),19,FALSE))"),"")</f>
        <v/>
      </c>
      <c r="BG416" s="98" t="str">
        <f ca="1">IFERROR(__xludf.DUMMYFUNCTION("IFERROR(VLOOKUP(F682,IMPORTRANGE(""https://docs.google.com/spreadsheets/d/1Kvs4KS76FHFqLFIZfrDMff4kP08nblUkihrxltoGBjg/edit#gid=934712705"",""ESENCIAL!A6:BG""),5,FALSE))"),"")</f>
        <v/>
      </c>
      <c r="BH416" s="98" t="str">
        <f t="shared" si="21"/>
        <v/>
      </c>
      <c r="BI416" s="99" t="str">
        <f t="shared" si="22"/>
        <v/>
      </c>
      <c r="BJ416" s="100" t="str">
        <f ca="1">IFERROR(__xludf.DUMMYFUNCTION("IFERROR(VLOOKUP(F682,IMPORTRANGE(""https://docs.google.com/spreadsheets/d/1Kvs4KS76FHFqLFIZfrDMff4kP08nblUkihrxltoGBjg/edit#gid=934712705"",""ESENCIAL!A6:BG""),2,FALSE))"),"")</f>
        <v/>
      </c>
      <c r="BK416" s="19" t="str">
        <f t="shared" si="23"/>
        <v/>
      </c>
      <c r="BL416" s="100"/>
      <c r="BM416" s="100"/>
    </row>
    <row r="417" spans="2:65" ht="15">
      <c r="B417" s="39"/>
      <c r="C417" s="5"/>
      <c r="D417" s="123"/>
      <c r="E417" s="39"/>
      <c r="F417" s="39"/>
      <c r="G417" s="39"/>
      <c r="H417" s="5" t="str">
        <f ca="1">IFERROR(__xludf.DUMMYFUNCTION("IFERROR(VLOOKUP(F683,IMPORTRANGE(""https://docs.google.com/spreadsheets/d/1Kvs4KS76FHFqLFIZfrDMff4kP08nblUkihrxltoGBjg/edit#gid=934712705"",""ESENCIAL!A6:BG""),3,FALSE))"),"")</f>
        <v/>
      </c>
      <c r="I417" s="5" t="str">
        <f ca="1">IFERROR(__xludf.DUMMYFUNCTION("IFERROR(VLOOKUP(F683,IMPORTRANGE(""https://docs.google.com/spreadsheets/d/1Kvs4KS76FHFqLFIZfrDMff4kP08nblUkihrxltoGBjg/edit#gid=934712705"",""ESENCIAL!A6:BG""),8,FALSE))"),"")</f>
        <v/>
      </c>
      <c r="J417" s="39"/>
      <c r="M417" s="287"/>
      <c r="AV417" s="41" t="str">
        <f t="shared" si="20"/>
        <v/>
      </c>
      <c r="AW417" s="5" t="str">
        <f ca="1">IFERROR(__xludf.DUMMYFUNCTION("IFERROR(VLOOKUP(E683&amp;F683,IMPORTRANGE(""https://docs.google.com/spreadsheets/d/1Uw7-A9f9R21vMXxHZFNpYNeKFtG8_yji4HS352LGlSQ/edit?pli=1#gid=0"",""1_ACUM!A4:S""),11,FALSE))"),"")</f>
        <v/>
      </c>
      <c r="AX417" s="42" t="str">
        <f ca="1">IFERROR(__xludf.DUMMYFUNCTION("IFERROR(VLOOKUP(F683,IMPORTRANGE(""https://docs.google.com/spreadsheets/d/1Kvs4KS76FHFqLFIZfrDMff4kP08nblUkihrxltoGBjg/edit#gid=934712705"",""ESENCIAL!A6:BG""),15,FALSE))"),"")</f>
        <v/>
      </c>
      <c r="AY417" s="110" t="str">
        <f ca="1">IFERROR(__xludf.DUMMYFUNCTION("IFERROR(VLOOKUP(E683&amp;F683,IMPORTRANGE(""https://docs.google.com/spreadsheets/d/1Uw7-A9f9R21vMXxHZFNpYNeKFtG8_yji4HS352LGlSQ/edit?pli=1#gid=0"",""1_ACUM!A4:S""),13,FALSE))"),"")</f>
        <v/>
      </c>
      <c r="AZ417" s="43" t="str">
        <f ca="1">IFERROR(__xludf.DUMMYFUNCTION("IFERROR(VLOOKUP(E683&amp;F683,IMPORTRANGE(""https://docs.google.com/spreadsheets/d/1Uw7-A9f9R21vMXxHZFNpYNeKFtG8_yji4HS352LGlSQ/edit?pli=1#gid=0"",""1_ACUM!A4:S""),13,FALSE))"),"")</f>
        <v/>
      </c>
      <c r="BA417" s="43" t="str">
        <f ca="1">IFERROR(__xludf.DUMMYFUNCTION("IFERROR(VLOOKUP(E683&amp;F683,IMPORTRANGE(""https://docs.google.com/spreadsheets/d/1Uw7-A9f9R21vMXxHZFNpYNeKFtG8_yji4HS352LGlSQ/edit?pli=1#gid=0"",""1_ACUM!A4:S""),14,FALSE))"),"")</f>
        <v/>
      </c>
      <c r="BB417" s="43" t="str">
        <f ca="1">IFERROR(__xludf.DUMMYFUNCTION("IFERROR(VLOOKUP(E683&amp;F683,IMPORTRANGE(""https://docs.google.com/spreadsheets/d/1Uw7-A9f9R21vMXxHZFNpYNeKFtG8_yji4HS352LGlSQ/edit?pli=1#gid=0"",""1_ACUM!A4:S""),15,FALSE))"),"")</f>
        <v/>
      </c>
      <c r="BC417" s="43" t="str">
        <f ca="1">IFERROR(__xludf.DUMMYFUNCTION("IFERROR(VLOOKUP(E683&amp;F683,IMPORTRANGE(""https://docs.google.com/spreadsheets/d/1Uw7-A9f9R21vMXxHZFNpYNeKFtG8_yji4HS352LGlSQ/edit?pli=1#gid=0"",""1_ACUM!A4:S""),16,FALSE))"),"")</f>
        <v/>
      </c>
      <c r="BD417" s="43" t="str">
        <f ca="1">IFERROR(__xludf.DUMMYFUNCTION("IFERROR(VLOOKUP(E683&amp;F683,IMPORTRANGE(""https://docs.google.com/spreadsheets/d/1Uw7-A9f9R21vMXxHZFNpYNeKFtG8_yji4HS352LGlSQ/edit?pli=1#gid=0"",""1_ACUM!A4:S""),17,FALSE))"),"")</f>
        <v/>
      </c>
      <c r="BE417" s="44" t="str">
        <f ca="1">IFERROR(__xludf.DUMMYFUNCTION("IFERROR(VLOOKUP(E683&amp;F683,IMPORTRANGE(""https://docs.google.com/spreadsheets/d/1Uw7-A9f9R21vMXxHZFNpYNeKFtG8_yji4HS352LGlSQ/edit?pli=1#gid=0"",""1_ACUM!A4:S""),18,FALSE))"),"")</f>
        <v/>
      </c>
      <c r="BF417" s="44" t="str">
        <f ca="1">IFERROR(__xludf.DUMMYFUNCTION("IFERROR(VLOOKUP(E683&amp;F683,IMPORTRANGE(""https://docs.google.com/spreadsheets/d/1Uw7-A9f9R21vMXxHZFNpYNeKFtG8_yji4HS352LGlSQ/edit?pli=1#gid=0"",""1_ACUM!A4:S""),19,FALSE))"),"")</f>
        <v/>
      </c>
      <c r="BG417" s="98" t="str">
        <f ca="1">IFERROR(__xludf.DUMMYFUNCTION("IFERROR(VLOOKUP(F683,IMPORTRANGE(""https://docs.google.com/spreadsheets/d/1Kvs4KS76FHFqLFIZfrDMff4kP08nblUkihrxltoGBjg/edit#gid=934712705"",""ESENCIAL!A6:BG""),5,FALSE))"),"")</f>
        <v/>
      </c>
      <c r="BH417" s="98" t="str">
        <f t="shared" si="21"/>
        <v/>
      </c>
      <c r="BI417" s="99" t="str">
        <f t="shared" si="22"/>
        <v/>
      </c>
      <c r="BJ417" s="100" t="str">
        <f ca="1">IFERROR(__xludf.DUMMYFUNCTION("IFERROR(VLOOKUP(F683,IMPORTRANGE(""https://docs.google.com/spreadsheets/d/1Kvs4KS76FHFqLFIZfrDMff4kP08nblUkihrxltoGBjg/edit#gid=934712705"",""ESENCIAL!A6:BG""),2,FALSE))"),"")</f>
        <v/>
      </c>
      <c r="BK417" s="19" t="str">
        <f t="shared" si="23"/>
        <v/>
      </c>
      <c r="BL417" s="100"/>
      <c r="BM417" s="100"/>
    </row>
    <row r="418" spans="2:65" ht="15">
      <c r="B418" s="39"/>
      <c r="C418" s="5"/>
      <c r="D418" s="123"/>
      <c r="E418" s="39"/>
      <c r="F418" s="39"/>
      <c r="G418" s="39"/>
      <c r="H418" s="5" t="str">
        <f ca="1">IFERROR(__xludf.DUMMYFUNCTION("IFERROR(VLOOKUP(F684,IMPORTRANGE(""https://docs.google.com/spreadsheets/d/1Kvs4KS76FHFqLFIZfrDMff4kP08nblUkihrxltoGBjg/edit#gid=934712705"",""ESENCIAL!A6:BG""),3,FALSE))"),"")</f>
        <v/>
      </c>
      <c r="I418" s="5" t="str">
        <f ca="1">IFERROR(__xludf.DUMMYFUNCTION("IFERROR(VLOOKUP(F684,IMPORTRANGE(""https://docs.google.com/spreadsheets/d/1Kvs4KS76FHFqLFIZfrDMff4kP08nblUkihrxltoGBjg/edit#gid=934712705"",""ESENCIAL!A6:BG""),8,FALSE))"),"")</f>
        <v/>
      </c>
      <c r="J418" s="39"/>
      <c r="M418" s="287"/>
      <c r="AV418" s="41" t="str">
        <f t="shared" si="20"/>
        <v/>
      </c>
      <c r="AW418" s="5" t="str">
        <f ca="1">IFERROR(__xludf.DUMMYFUNCTION("IFERROR(VLOOKUP(E684&amp;F684,IMPORTRANGE(""https://docs.google.com/spreadsheets/d/1Uw7-A9f9R21vMXxHZFNpYNeKFtG8_yji4HS352LGlSQ/edit?pli=1#gid=0"",""1_ACUM!A4:S""),11,FALSE))"),"")</f>
        <v/>
      </c>
      <c r="AX418" s="42" t="str">
        <f ca="1">IFERROR(__xludf.DUMMYFUNCTION("IFERROR(VLOOKUP(F684,IMPORTRANGE(""https://docs.google.com/spreadsheets/d/1Kvs4KS76FHFqLFIZfrDMff4kP08nblUkihrxltoGBjg/edit#gid=934712705"",""ESENCIAL!A6:BG""),15,FALSE))"),"")</f>
        <v/>
      </c>
      <c r="AY418" s="110" t="str">
        <f ca="1">IFERROR(__xludf.DUMMYFUNCTION("IFERROR(VLOOKUP(E684&amp;F684,IMPORTRANGE(""https://docs.google.com/spreadsheets/d/1Uw7-A9f9R21vMXxHZFNpYNeKFtG8_yji4HS352LGlSQ/edit?pli=1#gid=0"",""1_ACUM!A4:S""),13,FALSE))"),"")</f>
        <v/>
      </c>
      <c r="AZ418" s="43" t="str">
        <f ca="1">IFERROR(__xludf.DUMMYFUNCTION("IFERROR(VLOOKUP(E684&amp;F684,IMPORTRANGE(""https://docs.google.com/spreadsheets/d/1Uw7-A9f9R21vMXxHZFNpYNeKFtG8_yji4HS352LGlSQ/edit?pli=1#gid=0"",""1_ACUM!A4:S""),13,FALSE))"),"")</f>
        <v/>
      </c>
      <c r="BA418" s="43" t="str">
        <f ca="1">IFERROR(__xludf.DUMMYFUNCTION("IFERROR(VLOOKUP(E684&amp;F684,IMPORTRANGE(""https://docs.google.com/spreadsheets/d/1Uw7-A9f9R21vMXxHZFNpYNeKFtG8_yji4HS352LGlSQ/edit?pli=1#gid=0"",""1_ACUM!A4:S""),14,FALSE))"),"")</f>
        <v/>
      </c>
      <c r="BB418" s="43" t="str">
        <f ca="1">IFERROR(__xludf.DUMMYFUNCTION("IFERROR(VLOOKUP(E684&amp;F684,IMPORTRANGE(""https://docs.google.com/spreadsheets/d/1Uw7-A9f9R21vMXxHZFNpYNeKFtG8_yji4HS352LGlSQ/edit?pli=1#gid=0"",""1_ACUM!A4:S""),15,FALSE))"),"")</f>
        <v/>
      </c>
      <c r="BC418" s="43" t="str">
        <f ca="1">IFERROR(__xludf.DUMMYFUNCTION("IFERROR(VLOOKUP(E684&amp;F684,IMPORTRANGE(""https://docs.google.com/spreadsheets/d/1Uw7-A9f9R21vMXxHZFNpYNeKFtG8_yji4HS352LGlSQ/edit?pli=1#gid=0"",""1_ACUM!A4:S""),16,FALSE))"),"")</f>
        <v/>
      </c>
      <c r="BD418" s="43" t="str">
        <f ca="1">IFERROR(__xludf.DUMMYFUNCTION("IFERROR(VLOOKUP(E684&amp;F684,IMPORTRANGE(""https://docs.google.com/spreadsheets/d/1Uw7-A9f9R21vMXxHZFNpYNeKFtG8_yji4HS352LGlSQ/edit?pli=1#gid=0"",""1_ACUM!A4:S""),17,FALSE))"),"")</f>
        <v/>
      </c>
      <c r="BE418" s="44" t="str">
        <f ca="1">IFERROR(__xludf.DUMMYFUNCTION("IFERROR(VLOOKUP(E684&amp;F684,IMPORTRANGE(""https://docs.google.com/spreadsheets/d/1Uw7-A9f9R21vMXxHZFNpYNeKFtG8_yji4HS352LGlSQ/edit?pli=1#gid=0"",""1_ACUM!A4:S""),18,FALSE))"),"")</f>
        <v/>
      </c>
      <c r="BF418" s="44" t="str">
        <f ca="1">IFERROR(__xludf.DUMMYFUNCTION("IFERROR(VLOOKUP(E684&amp;F684,IMPORTRANGE(""https://docs.google.com/spreadsheets/d/1Uw7-A9f9R21vMXxHZFNpYNeKFtG8_yji4HS352LGlSQ/edit?pli=1#gid=0"",""1_ACUM!A4:S""),19,FALSE))"),"")</f>
        <v/>
      </c>
      <c r="BG418" s="98" t="str">
        <f ca="1">IFERROR(__xludf.DUMMYFUNCTION("IFERROR(VLOOKUP(F684,IMPORTRANGE(""https://docs.google.com/spreadsheets/d/1Kvs4KS76FHFqLFIZfrDMff4kP08nblUkihrxltoGBjg/edit#gid=934712705"",""ESENCIAL!A6:BG""),5,FALSE))"),"")</f>
        <v/>
      </c>
      <c r="BH418" s="98" t="str">
        <f t="shared" si="21"/>
        <v/>
      </c>
      <c r="BI418" s="99" t="str">
        <f t="shared" si="22"/>
        <v/>
      </c>
      <c r="BJ418" s="100" t="str">
        <f ca="1">IFERROR(__xludf.DUMMYFUNCTION("IFERROR(VLOOKUP(F684,IMPORTRANGE(""https://docs.google.com/spreadsheets/d/1Kvs4KS76FHFqLFIZfrDMff4kP08nblUkihrxltoGBjg/edit#gid=934712705"",""ESENCIAL!A6:BG""),2,FALSE))"),"")</f>
        <v/>
      </c>
      <c r="BK418" s="19" t="str">
        <f t="shared" si="23"/>
        <v/>
      </c>
      <c r="BL418" s="100"/>
      <c r="BM418" s="100"/>
    </row>
    <row r="419" spans="2:65" ht="15">
      <c r="B419" s="39"/>
      <c r="C419" s="5"/>
      <c r="D419" s="123"/>
      <c r="E419" s="39"/>
      <c r="F419" s="39"/>
      <c r="G419" s="39"/>
      <c r="H419" s="5" t="str">
        <f ca="1">IFERROR(__xludf.DUMMYFUNCTION("IFERROR(VLOOKUP(F685,IMPORTRANGE(""https://docs.google.com/spreadsheets/d/1Kvs4KS76FHFqLFIZfrDMff4kP08nblUkihrxltoGBjg/edit#gid=934712705"",""ESENCIAL!A6:BG""),3,FALSE))"),"")</f>
        <v/>
      </c>
      <c r="I419" s="5" t="str">
        <f ca="1">IFERROR(__xludf.DUMMYFUNCTION("IFERROR(VLOOKUP(F685,IMPORTRANGE(""https://docs.google.com/spreadsheets/d/1Kvs4KS76FHFqLFIZfrDMff4kP08nblUkihrxltoGBjg/edit#gid=934712705"",""ESENCIAL!A6:BG""),8,FALSE))"),"")</f>
        <v/>
      </c>
      <c r="J419" s="39"/>
      <c r="M419" s="287"/>
      <c r="AV419" s="41" t="str">
        <f t="shared" si="20"/>
        <v/>
      </c>
      <c r="AW419" s="5" t="str">
        <f ca="1">IFERROR(__xludf.DUMMYFUNCTION("IFERROR(VLOOKUP(E685&amp;F685,IMPORTRANGE(""https://docs.google.com/spreadsheets/d/1Uw7-A9f9R21vMXxHZFNpYNeKFtG8_yji4HS352LGlSQ/edit?pli=1#gid=0"",""1_ACUM!A4:S""),11,FALSE))"),"")</f>
        <v/>
      </c>
      <c r="AX419" s="42" t="str">
        <f ca="1">IFERROR(__xludf.DUMMYFUNCTION("IFERROR(VLOOKUP(F685,IMPORTRANGE(""https://docs.google.com/spreadsheets/d/1Kvs4KS76FHFqLFIZfrDMff4kP08nblUkihrxltoGBjg/edit#gid=934712705"",""ESENCIAL!A6:BG""),15,FALSE))"),"")</f>
        <v/>
      </c>
      <c r="AY419" s="110" t="str">
        <f ca="1">IFERROR(__xludf.DUMMYFUNCTION("IFERROR(VLOOKUP(E685&amp;F685,IMPORTRANGE(""https://docs.google.com/spreadsheets/d/1Uw7-A9f9R21vMXxHZFNpYNeKFtG8_yji4HS352LGlSQ/edit?pli=1#gid=0"",""1_ACUM!A4:S""),13,FALSE))"),"")</f>
        <v/>
      </c>
      <c r="AZ419" s="43" t="str">
        <f ca="1">IFERROR(__xludf.DUMMYFUNCTION("IFERROR(VLOOKUP(E685&amp;F685,IMPORTRANGE(""https://docs.google.com/spreadsheets/d/1Uw7-A9f9R21vMXxHZFNpYNeKFtG8_yji4HS352LGlSQ/edit?pli=1#gid=0"",""1_ACUM!A4:S""),13,FALSE))"),"")</f>
        <v/>
      </c>
      <c r="BA419" s="43" t="str">
        <f ca="1">IFERROR(__xludf.DUMMYFUNCTION("IFERROR(VLOOKUP(E685&amp;F685,IMPORTRANGE(""https://docs.google.com/spreadsheets/d/1Uw7-A9f9R21vMXxHZFNpYNeKFtG8_yji4HS352LGlSQ/edit?pli=1#gid=0"",""1_ACUM!A4:S""),14,FALSE))"),"")</f>
        <v/>
      </c>
      <c r="BB419" s="43" t="str">
        <f ca="1">IFERROR(__xludf.DUMMYFUNCTION("IFERROR(VLOOKUP(E685&amp;F685,IMPORTRANGE(""https://docs.google.com/spreadsheets/d/1Uw7-A9f9R21vMXxHZFNpYNeKFtG8_yji4HS352LGlSQ/edit?pli=1#gid=0"",""1_ACUM!A4:S""),15,FALSE))"),"")</f>
        <v/>
      </c>
      <c r="BC419" s="43" t="str">
        <f ca="1">IFERROR(__xludf.DUMMYFUNCTION("IFERROR(VLOOKUP(E685&amp;F685,IMPORTRANGE(""https://docs.google.com/spreadsheets/d/1Uw7-A9f9R21vMXxHZFNpYNeKFtG8_yji4HS352LGlSQ/edit?pli=1#gid=0"",""1_ACUM!A4:S""),16,FALSE))"),"")</f>
        <v/>
      </c>
      <c r="BD419" s="43" t="str">
        <f ca="1">IFERROR(__xludf.DUMMYFUNCTION("IFERROR(VLOOKUP(E685&amp;F685,IMPORTRANGE(""https://docs.google.com/spreadsheets/d/1Uw7-A9f9R21vMXxHZFNpYNeKFtG8_yji4HS352LGlSQ/edit?pli=1#gid=0"",""1_ACUM!A4:S""),17,FALSE))"),"")</f>
        <v/>
      </c>
      <c r="BE419" s="44" t="str">
        <f ca="1">IFERROR(__xludf.DUMMYFUNCTION("IFERROR(VLOOKUP(E685&amp;F685,IMPORTRANGE(""https://docs.google.com/spreadsheets/d/1Uw7-A9f9R21vMXxHZFNpYNeKFtG8_yji4HS352LGlSQ/edit?pli=1#gid=0"",""1_ACUM!A4:S""),18,FALSE))"),"")</f>
        <v/>
      </c>
      <c r="BF419" s="44" t="str">
        <f ca="1">IFERROR(__xludf.DUMMYFUNCTION("IFERROR(VLOOKUP(E685&amp;F685,IMPORTRANGE(""https://docs.google.com/spreadsheets/d/1Uw7-A9f9R21vMXxHZFNpYNeKFtG8_yji4HS352LGlSQ/edit?pli=1#gid=0"",""1_ACUM!A4:S""),19,FALSE))"),"")</f>
        <v/>
      </c>
      <c r="BG419" s="98" t="str">
        <f ca="1">IFERROR(__xludf.DUMMYFUNCTION("IFERROR(VLOOKUP(F685,IMPORTRANGE(""https://docs.google.com/spreadsheets/d/1Kvs4KS76FHFqLFIZfrDMff4kP08nblUkihrxltoGBjg/edit#gid=934712705"",""ESENCIAL!A6:BG""),5,FALSE))"),"")</f>
        <v/>
      </c>
      <c r="BH419" s="98" t="str">
        <f t="shared" si="21"/>
        <v/>
      </c>
      <c r="BI419" s="99" t="str">
        <f t="shared" si="22"/>
        <v/>
      </c>
      <c r="BJ419" s="100" t="str">
        <f ca="1">IFERROR(__xludf.DUMMYFUNCTION("IFERROR(VLOOKUP(F685,IMPORTRANGE(""https://docs.google.com/spreadsheets/d/1Kvs4KS76FHFqLFIZfrDMff4kP08nblUkihrxltoGBjg/edit#gid=934712705"",""ESENCIAL!A6:BG""),2,FALSE))"),"")</f>
        <v/>
      </c>
      <c r="BK419" s="19" t="str">
        <f t="shared" si="23"/>
        <v/>
      </c>
      <c r="BL419" s="100"/>
      <c r="BM419" s="100"/>
    </row>
    <row r="420" spans="2:65" ht="15">
      <c r="B420" s="39"/>
      <c r="C420" s="5"/>
      <c r="D420" s="123"/>
      <c r="E420" s="39"/>
      <c r="F420" s="39"/>
      <c r="G420" s="39"/>
      <c r="H420" s="5" t="str">
        <f ca="1">IFERROR(__xludf.DUMMYFUNCTION("IFERROR(VLOOKUP(F686,IMPORTRANGE(""https://docs.google.com/spreadsheets/d/1Kvs4KS76FHFqLFIZfrDMff4kP08nblUkihrxltoGBjg/edit#gid=934712705"",""ESENCIAL!A6:BG""),3,FALSE))"),"")</f>
        <v/>
      </c>
      <c r="I420" s="5" t="str">
        <f ca="1">IFERROR(__xludf.DUMMYFUNCTION("IFERROR(VLOOKUP(F686,IMPORTRANGE(""https://docs.google.com/spreadsheets/d/1Kvs4KS76FHFqLFIZfrDMff4kP08nblUkihrxltoGBjg/edit#gid=934712705"",""ESENCIAL!A6:BG""),8,FALSE))"),"")</f>
        <v/>
      </c>
      <c r="J420" s="39"/>
      <c r="M420" s="287"/>
      <c r="AV420" s="41" t="str">
        <f t="shared" si="20"/>
        <v/>
      </c>
      <c r="AW420" s="5" t="str">
        <f ca="1">IFERROR(__xludf.DUMMYFUNCTION("IFERROR(VLOOKUP(E686&amp;F686,IMPORTRANGE(""https://docs.google.com/spreadsheets/d/1Uw7-A9f9R21vMXxHZFNpYNeKFtG8_yji4HS352LGlSQ/edit?pli=1#gid=0"",""1_ACUM!A4:S""),11,FALSE))"),"")</f>
        <v/>
      </c>
      <c r="AX420" s="42" t="str">
        <f ca="1">IFERROR(__xludf.DUMMYFUNCTION("IFERROR(VLOOKUP(F686,IMPORTRANGE(""https://docs.google.com/spreadsheets/d/1Kvs4KS76FHFqLFIZfrDMff4kP08nblUkihrxltoGBjg/edit#gid=934712705"",""ESENCIAL!A6:BG""),15,FALSE))"),"")</f>
        <v/>
      </c>
      <c r="AY420" s="110" t="str">
        <f ca="1">IFERROR(__xludf.DUMMYFUNCTION("IFERROR(VLOOKUP(E686&amp;F686,IMPORTRANGE(""https://docs.google.com/spreadsheets/d/1Uw7-A9f9R21vMXxHZFNpYNeKFtG8_yji4HS352LGlSQ/edit?pli=1#gid=0"",""1_ACUM!A4:S""),13,FALSE))"),"")</f>
        <v/>
      </c>
      <c r="AZ420" s="43" t="str">
        <f ca="1">IFERROR(__xludf.DUMMYFUNCTION("IFERROR(VLOOKUP(E686&amp;F686,IMPORTRANGE(""https://docs.google.com/spreadsheets/d/1Uw7-A9f9R21vMXxHZFNpYNeKFtG8_yji4HS352LGlSQ/edit?pli=1#gid=0"",""1_ACUM!A4:S""),13,FALSE))"),"")</f>
        <v/>
      </c>
      <c r="BA420" s="43" t="str">
        <f ca="1">IFERROR(__xludf.DUMMYFUNCTION("IFERROR(VLOOKUP(E686&amp;F686,IMPORTRANGE(""https://docs.google.com/spreadsheets/d/1Uw7-A9f9R21vMXxHZFNpYNeKFtG8_yji4HS352LGlSQ/edit?pli=1#gid=0"",""1_ACUM!A4:S""),14,FALSE))"),"")</f>
        <v/>
      </c>
      <c r="BB420" s="43" t="str">
        <f ca="1">IFERROR(__xludf.DUMMYFUNCTION("IFERROR(VLOOKUP(E686&amp;F686,IMPORTRANGE(""https://docs.google.com/spreadsheets/d/1Uw7-A9f9R21vMXxHZFNpYNeKFtG8_yji4HS352LGlSQ/edit?pli=1#gid=0"",""1_ACUM!A4:S""),15,FALSE))"),"")</f>
        <v/>
      </c>
      <c r="BC420" s="43" t="str">
        <f ca="1">IFERROR(__xludf.DUMMYFUNCTION("IFERROR(VLOOKUP(E686&amp;F686,IMPORTRANGE(""https://docs.google.com/spreadsheets/d/1Uw7-A9f9R21vMXxHZFNpYNeKFtG8_yji4HS352LGlSQ/edit?pli=1#gid=0"",""1_ACUM!A4:S""),16,FALSE))"),"")</f>
        <v/>
      </c>
      <c r="BD420" s="43" t="str">
        <f ca="1">IFERROR(__xludf.DUMMYFUNCTION("IFERROR(VLOOKUP(E686&amp;F686,IMPORTRANGE(""https://docs.google.com/spreadsheets/d/1Uw7-A9f9R21vMXxHZFNpYNeKFtG8_yji4HS352LGlSQ/edit?pli=1#gid=0"",""1_ACUM!A4:S""),17,FALSE))"),"")</f>
        <v/>
      </c>
      <c r="BE420" s="44" t="str">
        <f ca="1">IFERROR(__xludf.DUMMYFUNCTION("IFERROR(VLOOKUP(E686&amp;F686,IMPORTRANGE(""https://docs.google.com/spreadsheets/d/1Uw7-A9f9R21vMXxHZFNpYNeKFtG8_yji4HS352LGlSQ/edit?pli=1#gid=0"",""1_ACUM!A4:S""),18,FALSE))"),"")</f>
        <v/>
      </c>
      <c r="BF420" s="44" t="str">
        <f ca="1">IFERROR(__xludf.DUMMYFUNCTION("IFERROR(VLOOKUP(E686&amp;F686,IMPORTRANGE(""https://docs.google.com/spreadsheets/d/1Uw7-A9f9R21vMXxHZFNpYNeKFtG8_yji4HS352LGlSQ/edit?pli=1#gid=0"",""1_ACUM!A4:S""),19,FALSE))"),"")</f>
        <v/>
      </c>
      <c r="BG420" s="98" t="str">
        <f ca="1">IFERROR(__xludf.DUMMYFUNCTION("IFERROR(VLOOKUP(F686,IMPORTRANGE(""https://docs.google.com/spreadsheets/d/1Kvs4KS76FHFqLFIZfrDMff4kP08nblUkihrxltoGBjg/edit#gid=934712705"",""ESENCIAL!A6:BG""),5,FALSE))"),"")</f>
        <v/>
      </c>
      <c r="BH420" s="98" t="str">
        <f t="shared" si="21"/>
        <v/>
      </c>
      <c r="BI420" s="99" t="str">
        <f t="shared" si="22"/>
        <v/>
      </c>
      <c r="BJ420" s="100" t="str">
        <f ca="1">IFERROR(__xludf.DUMMYFUNCTION("IFERROR(VLOOKUP(F686,IMPORTRANGE(""https://docs.google.com/spreadsheets/d/1Kvs4KS76FHFqLFIZfrDMff4kP08nblUkihrxltoGBjg/edit#gid=934712705"",""ESENCIAL!A6:BG""),2,FALSE))"),"")</f>
        <v/>
      </c>
      <c r="BK420" s="19" t="str">
        <f t="shared" si="23"/>
        <v/>
      </c>
      <c r="BL420" s="100"/>
      <c r="BM420" s="100"/>
    </row>
    <row r="421" spans="2:65" ht="15">
      <c r="B421" s="39"/>
      <c r="C421" s="5"/>
      <c r="D421" s="123"/>
      <c r="E421" s="39"/>
      <c r="F421" s="39"/>
      <c r="G421" s="39"/>
      <c r="H421" s="5" t="str">
        <f ca="1">IFERROR(__xludf.DUMMYFUNCTION("IFERROR(VLOOKUP(F687,IMPORTRANGE(""https://docs.google.com/spreadsheets/d/1Kvs4KS76FHFqLFIZfrDMff4kP08nblUkihrxltoGBjg/edit#gid=934712705"",""ESENCIAL!A6:BG""),3,FALSE))"),"")</f>
        <v/>
      </c>
      <c r="I421" s="5" t="str">
        <f ca="1">IFERROR(__xludf.DUMMYFUNCTION("IFERROR(VLOOKUP(F687,IMPORTRANGE(""https://docs.google.com/spreadsheets/d/1Kvs4KS76FHFqLFIZfrDMff4kP08nblUkihrxltoGBjg/edit#gid=934712705"",""ESENCIAL!A6:BG""),8,FALSE))"),"")</f>
        <v/>
      </c>
      <c r="J421" s="39"/>
      <c r="M421" s="287"/>
      <c r="AV421" s="41" t="str">
        <f t="shared" si="20"/>
        <v/>
      </c>
      <c r="AW421" s="5" t="str">
        <f ca="1">IFERROR(__xludf.DUMMYFUNCTION("IFERROR(VLOOKUP(E687&amp;F687,IMPORTRANGE(""https://docs.google.com/spreadsheets/d/1Uw7-A9f9R21vMXxHZFNpYNeKFtG8_yji4HS352LGlSQ/edit?pli=1#gid=0"",""1_ACUM!A4:S""),11,FALSE))"),"")</f>
        <v/>
      </c>
      <c r="AX421" s="42" t="str">
        <f ca="1">IFERROR(__xludf.DUMMYFUNCTION("IFERROR(VLOOKUP(F687,IMPORTRANGE(""https://docs.google.com/spreadsheets/d/1Kvs4KS76FHFqLFIZfrDMff4kP08nblUkihrxltoGBjg/edit#gid=934712705"",""ESENCIAL!A6:BG""),15,FALSE))"),"")</f>
        <v/>
      </c>
      <c r="AY421" s="110" t="str">
        <f ca="1">IFERROR(__xludf.DUMMYFUNCTION("IFERROR(VLOOKUP(E687&amp;F687,IMPORTRANGE(""https://docs.google.com/spreadsheets/d/1Uw7-A9f9R21vMXxHZFNpYNeKFtG8_yji4HS352LGlSQ/edit?pli=1#gid=0"",""1_ACUM!A4:S""),13,FALSE))"),"")</f>
        <v/>
      </c>
      <c r="AZ421" s="43" t="str">
        <f ca="1">IFERROR(__xludf.DUMMYFUNCTION("IFERROR(VLOOKUP(E687&amp;F687,IMPORTRANGE(""https://docs.google.com/spreadsheets/d/1Uw7-A9f9R21vMXxHZFNpYNeKFtG8_yji4HS352LGlSQ/edit?pli=1#gid=0"",""1_ACUM!A4:S""),13,FALSE))"),"")</f>
        <v/>
      </c>
      <c r="BA421" s="43" t="str">
        <f ca="1">IFERROR(__xludf.DUMMYFUNCTION("IFERROR(VLOOKUP(E687&amp;F687,IMPORTRANGE(""https://docs.google.com/spreadsheets/d/1Uw7-A9f9R21vMXxHZFNpYNeKFtG8_yji4HS352LGlSQ/edit?pli=1#gid=0"",""1_ACUM!A4:S""),14,FALSE))"),"")</f>
        <v/>
      </c>
      <c r="BB421" s="43" t="str">
        <f ca="1">IFERROR(__xludf.DUMMYFUNCTION("IFERROR(VLOOKUP(E687&amp;F687,IMPORTRANGE(""https://docs.google.com/spreadsheets/d/1Uw7-A9f9R21vMXxHZFNpYNeKFtG8_yji4HS352LGlSQ/edit?pli=1#gid=0"",""1_ACUM!A4:S""),15,FALSE))"),"")</f>
        <v/>
      </c>
      <c r="BC421" s="43" t="str">
        <f ca="1">IFERROR(__xludf.DUMMYFUNCTION("IFERROR(VLOOKUP(E687&amp;F687,IMPORTRANGE(""https://docs.google.com/spreadsheets/d/1Uw7-A9f9R21vMXxHZFNpYNeKFtG8_yji4HS352LGlSQ/edit?pli=1#gid=0"",""1_ACUM!A4:S""),16,FALSE))"),"")</f>
        <v/>
      </c>
      <c r="BD421" s="43" t="str">
        <f ca="1">IFERROR(__xludf.DUMMYFUNCTION("IFERROR(VLOOKUP(E687&amp;F687,IMPORTRANGE(""https://docs.google.com/spreadsheets/d/1Uw7-A9f9R21vMXxHZFNpYNeKFtG8_yji4HS352LGlSQ/edit?pli=1#gid=0"",""1_ACUM!A4:S""),17,FALSE))"),"")</f>
        <v/>
      </c>
      <c r="BE421" s="44" t="str">
        <f ca="1">IFERROR(__xludf.DUMMYFUNCTION("IFERROR(VLOOKUP(E687&amp;F687,IMPORTRANGE(""https://docs.google.com/spreadsheets/d/1Uw7-A9f9R21vMXxHZFNpYNeKFtG8_yji4HS352LGlSQ/edit?pli=1#gid=0"",""1_ACUM!A4:S""),18,FALSE))"),"")</f>
        <v/>
      </c>
      <c r="BF421" s="44" t="str">
        <f ca="1">IFERROR(__xludf.DUMMYFUNCTION("IFERROR(VLOOKUP(E687&amp;F687,IMPORTRANGE(""https://docs.google.com/spreadsheets/d/1Uw7-A9f9R21vMXxHZFNpYNeKFtG8_yji4HS352LGlSQ/edit?pli=1#gid=0"",""1_ACUM!A4:S""),19,FALSE))"),"")</f>
        <v/>
      </c>
      <c r="BG421" s="98" t="str">
        <f ca="1">IFERROR(__xludf.DUMMYFUNCTION("IFERROR(VLOOKUP(F687,IMPORTRANGE(""https://docs.google.com/spreadsheets/d/1Kvs4KS76FHFqLFIZfrDMff4kP08nblUkihrxltoGBjg/edit#gid=934712705"",""ESENCIAL!A6:BG""),5,FALSE))"),"")</f>
        <v/>
      </c>
      <c r="BH421" s="98" t="str">
        <f t="shared" si="21"/>
        <v/>
      </c>
      <c r="BI421" s="99" t="str">
        <f t="shared" si="22"/>
        <v/>
      </c>
      <c r="BJ421" s="100" t="str">
        <f ca="1">IFERROR(__xludf.DUMMYFUNCTION("IFERROR(VLOOKUP(F687,IMPORTRANGE(""https://docs.google.com/spreadsheets/d/1Kvs4KS76FHFqLFIZfrDMff4kP08nblUkihrxltoGBjg/edit#gid=934712705"",""ESENCIAL!A6:BG""),2,FALSE))"),"")</f>
        <v/>
      </c>
      <c r="BK421" s="19" t="str">
        <f t="shared" si="23"/>
        <v/>
      </c>
      <c r="BL421" s="100"/>
      <c r="BM421" s="100"/>
    </row>
    <row r="422" spans="2:65" ht="15">
      <c r="B422" s="39"/>
      <c r="C422" s="5"/>
      <c r="D422" s="123"/>
      <c r="E422" s="39"/>
      <c r="F422" s="39"/>
      <c r="G422" s="39"/>
      <c r="H422" s="5" t="str">
        <f ca="1">IFERROR(__xludf.DUMMYFUNCTION("IFERROR(VLOOKUP(F688,IMPORTRANGE(""https://docs.google.com/spreadsheets/d/1Kvs4KS76FHFqLFIZfrDMff4kP08nblUkihrxltoGBjg/edit#gid=934712705"",""ESENCIAL!A6:BG""),3,FALSE))"),"")</f>
        <v/>
      </c>
      <c r="I422" s="5" t="str">
        <f ca="1">IFERROR(__xludf.DUMMYFUNCTION("IFERROR(VLOOKUP(F688,IMPORTRANGE(""https://docs.google.com/spreadsheets/d/1Kvs4KS76FHFqLFIZfrDMff4kP08nblUkihrxltoGBjg/edit#gid=934712705"",""ESENCIAL!A6:BG""),8,FALSE))"),"")</f>
        <v/>
      </c>
      <c r="J422" s="39"/>
      <c r="M422" s="287"/>
      <c r="AV422" s="41" t="str">
        <f t="shared" si="20"/>
        <v/>
      </c>
      <c r="AW422" s="5" t="str">
        <f ca="1">IFERROR(__xludf.DUMMYFUNCTION("IFERROR(VLOOKUP(E688&amp;F688,IMPORTRANGE(""https://docs.google.com/spreadsheets/d/1Uw7-A9f9R21vMXxHZFNpYNeKFtG8_yji4HS352LGlSQ/edit?pli=1#gid=0"",""1_ACUM!A4:S""),11,FALSE))"),"")</f>
        <v/>
      </c>
      <c r="AX422" s="42" t="str">
        <f ca="1">IFERROR(__xludf.DUMMYFUNCTION("IFERROR(VLOOKUP(F688,IMPORTRANGE(""https://docs.google.com/spreadsheets/d/1Kvs4KS76FHFqLFIZfrDMff4kP08nblUkihrxltoGBjg/edit#gid=934712705"",""ESENCIAL!A6:BG""),15,FALSE))"),"")</f>
        <v/>
      </c>
      <c r="AY422" s="110" t="str">
        <f ca="1">IFERROR(__xludf.DUMMYFUNCTION("IFERROR(VLOOKUP(E688&amp;F688,IMPORTRANGE(""https://docs.google.com/spreadsheets/d/1Uw7-A9f9R21vMXxHZFNpYNeKFtG8_yji4HS352LGlSQ/edit?pli=1#gid=0"",""1_ACUM!A4:S""),13,FALSE))"),"")</f>
        <v/>
      </c>
      <c r="AZ422" s="43" t="str">
        <f ca="1">IFERROR(__xludf.DUMMYFUNCTION("IFERROR(VLOOKUP(E688&amp;F688,IMPORTRANGE(""https://docs.google.com/spreadsheets/d/1Uw7-A9f9R21vMXxHZFNpYNeKFtG8_yji4HS352LGlSQ/edit?pli=1#gid=0"",""1_ACUM!A4:S""),13,FALSE))"),"")</f>
        <v/>
      </c>
      <c r="BA422" s="43" t="str">
        <f ca="1">IFERROR(__xludf.DUMMYFUNCTION("IFERROR(VLOOKUP(E688&amp;F688,IMPORTRANGE(""https://docs.google.com/spreadsheets/d/1Uw7-A9f9R21vMXxHZFNpYNeKFtG8_yji4HS352LGlSQ/edit?pli=1#gid=0"",""1_ACUM!A4:S""),14,FALSE))"),"")</f>
        <v/>
      </c>
      <c r="BB422" s="43" t="str">
        <f ca="1">IFERROR(__xludf.DUMMYFUNCTION("IFERROR(VLOOKUP(E688&amp;F688,IMPORTRANGE(""https://docs.google.com/spreadsheets/d/1Uw7-A9f9R21vMXxHZFNpYNeKFtG8_yji4HS352LGlSQ/edit?pli=1#gid=0"",""1_ACUM!A4:S""),15,FALSE))"),"")</f>
        <v/>
      </c>
      <c r="BC422" s="43" t="str">
        <f ca="1">IFERROR(__xludf.DUMMYFUNCTION("IFERROR(VLOOKUP(E688&amp;F688,IMPORTRANGE(""https://docs.google.com/spreadsheets/d/1Uw7-A9f9R21vMXxHZFNpYNeKFtG8_yji4HS352LGlSQ/edit?pli=1#gid=0"",""1_ACUM!A4:S""),16,FALSE))"),"")</f>
        <v/>
      </c>
      <c r="BD422" s="43" t="str">
        <f ca="1">IFERROR(__xludf.DUMMYFUNCTION("IFERROR(VLOOKUP(E688&amp;F688,IMPORTRANGE(""https://docs.google.com/spreadsheets/d/1Uw7-A9f9R21vMXxHZFNpYNeKFtG8_yji4HS352LGlSQ/edit?pli=1#gid=0"",""1_ACUM!A4:S""),17,FALSE))"),"")</f>
        <v/>
      </c>
      <c r="BE422" s="44" t="str">
        <f ca="1">IFERROR(__xludf.DUMMYFUNCTION("IFERROR(VLOOKUP(E688&amp;F688,IMPORTRANGE(""https://docs.google.com/spreadsheets/d/1Uw7-A9f9R21vMXxHZFNpYNeKFtG8_yji4HS352LGlSQ/edit?pli=1#gid=0"",""1_ACUM!A4:S""),18,FALSE))"),"")</f>
        <v/>
      </c>
      <c r="BF422" s="44" t="str">
        <f ca="1">IFERROR(__xludf.DUMMYFUNCTION("IFERROR(VLOOKUP(E688&amp;F688,IMPORTRANGE(""https://docs.google.com/spreadsheets/d/1Uw7-A9f9R21vMXxHZFNpYNeKFtG8_yji4HS352LGlSQ/edit?pli=1#gid=0"",""1_ACUM!A4:S""),19,FALSE))"),"")</f>
        <v/>
      </c>
      <c r="BG422" s="98" t="str">
        <f ca="1">IFERROR(__xludf.DUMMYFUNCTION("IFERROR(VLOOKUP(F688,IMPORTRANGE(""https://docs.google.com/spreadsheets/d/1Kvs4KS76FHFqLFIZfrDMff4kP08nblUkihrxltoGBjg/edit#gid=934712705"",""ESENCIAL!A6:BG""),5,FALSE))"),"")</f>
        <v/>
      </c>
      <c r="BH422" s="98" t="str">
        <f t="shared" si="21"/>
        <v/>
      </c>
      <c r="BI422" s="99" t="str">
        <f t="shared" si="22"/>
        <v/>
      </c>
      <c r="BJ422" s="100" t="str">
        <f ca="1">IFERROR(__xludf.DUMMYFUNCTION("IFERROR(VLOOKUP(F688,IMPORTRANGE(""https://docs.google.com/spreadsheets/d/1Kvs4KS76FHFqLFIZfrDMff4kP08nblUkihrxltoGBjg/edit#gid=934712705"",""ESENCIAL!A6:BG""),2,FALSE))"),"")</f>
        <v/>
      </c>
      <c r="BK422" s="19" t="str">
        <f t="shared" si="23"/>
        <v/>
      </c>
      <c r="BL422" s="100"/>
      <c r="BM422" s="100"/>
    </row>
    <row r="423" spans="2:65" ht="15">
      <c r="B423" s="39"/>
      <c r="C423" s="5"/>
      <c r="D423" s="123"/>
      <c r="E423" s="39"/>
      <c r="F423" s="39"/>
      <c r="G423" s="39"/>
      <c r="H423" s="5" t="str">
        <f ca="1">IFERROR(__xludf.DUMMYFUNCTION("IFERROR(VLOOKUP(F689,IMPORTRANGE(""https://docs.google.com/spreadsheets/d/1Kvs4KS76FHFqLFIZfrDMff4kP08nblUkihrxltoGBjg/edit#gid=934712705"",""ESENCIAL!A6:BG""),3,FALSE))"),"")</f>
        <v/>
      </c>
      <c r="I423" s="5" t="str">
        <f ca="1">IFERROR(__xludf.DUMMYFUNCTION("IFERROR(VLOOKUP(F689,IMPORTRANGE(""https://docs.google.com/spreadsheets/d/1Kvs4KS76FHFqLFIZfrDMff4kP08nblUkihrxltoGBjg/edit#gid=934712705"",""ESENCIAL!A6:BG""),8,FALSE))"),"")</f>
        <v/>
      </c>
      <c r="J423" s="39"/>
      <c r="M423" s="287"/>
      <c r="AV423" s="41" t="str">
        <f t="shared" si="20"/>
        <v/>
      </c>
      <c r="AW423" s="5" t="str">
        <f ca="1">IFERROR(__xludf.DUMMYFUNCTION("IFERROR(VLOOKUP(E689&amp;F689,IMPORTRANGE(""https://docs.google.com/spreadsheets/d/1Uw7-A9f9R21vMXxHZFNpYNeKFtG8_yji4HS352LGlSQ/edit?pli=1#gid=0"",""1_ACUM!A4:S""),11,FALSE))"),"")</f>
        <v/>
      </c>
      <c r="AX423" s="42" t="str">
        <f ca="1">IFERROR(__xludf.DUMMYFUNCTION("IFERROR(VLOOKUP(F689,IMPORTRANGE(""https://docs.google.com/spreadsheets/d/1Kvs4KS76FHFqLFIZfrDMff4kP08nblUkihrxltoGBjg/edit#gid=934712705"",""ESENCIAL!A6:BG""),15,FALSE))"),"")</f>
        <v/>
      </c>
      <c r="AY423" s="110" t="str">
        <f ca="1">IFERROR(__xludf.DUMMYFUNCTION("IFERROR(VLOOKUP(E689&amp;F689,IMPORTRANGE(""https://docs.google.com/spreadsheets/d/1Uw7-A9f9R21vMXxHZFNpYNeKFtG8_yji4HS352LGlSQ/edit?pli=1#gid=0"",""1_ACUM!A4:S""),13,FALSE))"),"")</f>
        <v/>
      </c>
      <c r="AZ423" s="43" t="str">
        <f ca="1">IFERROR(__xludf.DUMMYFUNCTION("IFERROR(VLOOKUP(E689&amp;F689,IMPORTRANGE(""https://docs.google.com/spreadsheets/d/1Uw7-A9f9R21vMXxHZFNpYNeKFtG8_yji4HS352LGlSQ/edit?pli=1#gid=0"",""1_ACUM!A4:S""),13,FALSE))"),"")</f>
        <v/>
      </c>
      <c r="BA423" s="43" t="str">
        <f ca="1">IFERROR(__xludf.DUMMYFUNCTION("IFERROR(VLOOKUP(E689&amp;F689,IMPORTRANGE(""https://docs.google.com/spreadsheets/d/1Uw7-A9f9R21vMXxHZFNpYNeKFtG8_yji4HS352LGlSQ/edit?pli=1#gid=0"",""1_ACUM!A4:S""),14,FALSE))"),"")</f>
        <v/>
      </c>
      <c r="BB423" s="43" t="str">
        <f ca="1">IFERROR(__xludf.DUMMYFUNCTION("IFERROR(VLOOKUP(E689&amp;F689,IMPORTRANGE(""https://docs.google.com/spreadsheets/d/1Uw7-A9f9R21vMXxHZFNpYNeKFtG8_yji4HS352LGlSQ/edit?pli=1#gid=0"",""1_ACUM!A4:S""),15,FALSE))"),"")</f>
        <v/>
      </c>
      <c r="BC423" s="43" t="str">
        <f ca="1">IFERROR(__xludf.DUMMYFUNCTION("IFERROR(VLOOKUP(E689&amp;F689,IMPORTRANGE(""https://docs.google.com/spreadsheets/d/1Uw7-A9f9R21vMXxHZFNpYNeKFtG8_yji4HS352LGlSQ/edit?pli=1#gid=0"",""1_ACUM!A4:S""),16,FALSE))"),"")</f>
        <v/>
      </c>
      <c r="BD423" s="43" t="str">
        <f ca="1">IFERROR(__xludf.DUMMYFUNCTION("IFERROR(VLOOKUP(E689&amp;F689,IMPORTRANGE(""https://docs.google.com/spreadsheets/d/1Uw7-A9f9R21vMXxHZFNpYNeKFtG8_yji4HS352LGlSQ/edit?pli=1#gid=0"",""1_ACUM!A4:S""),17,FALSE))"),"")</f>
        <v/>
      </c>
      <c r="BE423" s="44" t="str">
        <f ca="1">IFERROR(__xludf.DUMMYFUNCTION("IFERROR(VLOOKUP(E689&amp;F689,IMPORTRANGE(""https://docs.google.com/spreadsheets/d/1Uw7-A9f9R21vMXxHZFNpYNeKFtG8_yji4HS352LGlSQ/edit?pli=1#gid=0"",""1_ACUM!A4:S""),18,FALSE))"),"")</f>
        <v/>
      </c>
      <c r="BF423" s="44" t="str">
        <f ca="1">IFERROR(__xludf.DUMMYFUNCTION("IFERROR(VLOOKUP(E689&amp;F689,IMPORTRANGE(""https://docs.google.com/spreadsheets/d/1Uw7-A9f9R21vMXxHZFNpYNeKFtG8_yji4HS352LGlSQ/edit?pli=1#gid=0"",""1_ACUM!A4:S""),19,FALSE))"),"")</f>
        <v/>
      </c>
      <c r="BG423" s="98" t="str">
        <f ca="1">IFERROR(__xludf.DUMMYFUNCTION("IFERROR(VLOOKUP(F689,IMPORTRANGE(""https://docs.google.com/spreadsheets/d/1Kvs4KS76FHFqLFIZfrDMff4kP08nblUkihrxltoGBjg/edit#gid=934712705"",""ESENCIAL!A6:BG""),5,FALSE))"),"")</f>
        <v/>
      </c>
      <c r="BH423" s="98" t="str">
        <f t="shared" si="21"/>
        <v/>
      </c>
      <c r="BI423" s="99" t="str">
        <f t="shared" si="22"/>
        <v/>
      </c>
      <c r="BJ423" s="100" t="str">
        <f ca="1">IFERROR(__xludf.DUMMYFUNCTION("IFERROR(VLOOKUP(F689,IMPORTRANGE(""https://docs.google.com/spreadsheets/d/1Kvs4KS76FHFqLFIZfrDMff4kP08nblUkihrxltoGBjg/edit#gid=934712705"",""ESENCIAL!A6:BG""),2,FALSE))"),"")</f>
        <v/>
      </c>
      <c r="BK423" s="19" t="str">
        <f t="shared" si="23"/>
        <v/>
      </c>
      <c r="BL423" s="100"/>
      <c r="BM423" s="100"/>
    </row>
    <row r="424" spans="2:65" ht="15">
      <c r="B424" s="39"/>
      <c r="C424" s="5"/>
      <c r="D424" s="123"/>
      <c r="E424" s="39"/>
      <c r="F424" s="39"/>
      <c r="G424" s="39"/>
      <c r="H424" s="5" t="str">
        <f ca="1">IFERROR(__xludf.DUMMYFUNCTION("IFERROR(VLOOKUP(F690,IMPORTRANGE(""https://docs.google.com/spreadsheets/d/1Kvs4KS76FHFqLFIZfrDMff4kP08nblUkihrxltoGBjg/edit#gid=934712705"",""ESENCIAL!A6:BG""),3,FALSE))"),"")</f>
        <v/>
      </c>
      <c r="I424" s="5" t="str">
        <f ca="1">IFERROR(__xludf.DUMMYFUNCTION("IFERROR(VLOOKUP(F690,IMPORTRANGE(""https://docs.google.com/spreadsheets/d/1Kvs4KS76FHFqLFIZfrDMff4kP08nblUkihrxltoGBjg/edit#gid=934712705"",""ESENCIAL!A6:BG""),8,FALSE))"),"")</f>
        <v/>
      </c>
      <c r="J424" s="39"/>
      <c r="M424" s="287"/>
      <c r="AV424" s="41" t="str">
        <f t="shared" si="20"/>
        <v/>
      </c>
      <c r="AW424" s="5" t="str">
        <f ca="1">IFERROR(__xludf.DUMMYFUNCTION("IFERROR(VLOOKUP(E690&amp;F690,IMPORTRANGE(""https://docs.google.com/spreadsheets/d/1Uw7-A9f9R21vMXxHZFNpYNeKFtG8_yji4HS352LGlSQ/edit?pli=1#gid=0"",""1_ACUM!A4:S""),11,FALSE))"),"")</f>
        <v/>
      </c>
      <c r="AX424" s="42" t="str">
        <f ca="1">IFERROR(__xludf.DUMMYFUNCTION("IFERROR(VLOOKUP(F690,IMPORTRANGE(""https://docs.google.com/spreadsheets/d/1Kvs4KS76FHFqLFIZfrDMff4kP08nblUkihrxltoGBjg/edit#gid=934712705"",""ESENCIAL!A6:BG""),15,FALSE))"),"")</f>
        <v/>
      </c>
      <c r="AY424" s="110" t="str">
        <f ca="1">IFERROR(__xludf.DUMMYFUNCTION("IFERROR(VLOOKUP(E690&amp;F690,IMPORTRANGE(""https://docs.google.com/spreadsheets/d/1Uw7-A9f9R21vMXxHZFNpYNeKFtG8_yji4HS352LGlSQ/edit?pli=1#gid=0"",""1_ACUM!A4:S""),13,FALSE))"),"")</f>
        <v/>
      </c>
      <c r="AZ424" s="43" t="str">
        <f ca="1">IFERROR(__xludf.DUMMYFUNCTION("IFERROR(VLOOKUP(E690&amp;F690,IMPORTRANGE(""https://docs.google.com/spreadsheets/d/1Uw7-A9f9R21vMXxHZFNpYNeKFtG8_yji4HS352LGlSQ/edit?pli=1#gid=0"",""1_ACUM!A4:S""),13,FALSE))"),"")</f>
        <v/>
      </c>
      <c r="BA424" s="43" t="str">
        <f ca="1">IFERROR(__xludf.DUMMYFUNCTION("IFERROR(VLOOKUP(E690&amp;F690,IMPORTRANGE(""https://docs.google.com/spreadsheets/d/1Uw7-A9f9R21vMXxHZFNpYNeKFtG8_yji4HS352LGlSQ/edit?pli=1#gid=0"",""1_ACUM!A4:S""),14,FALSE))"),"")</f>
        <v/>
      </c>
      <c r="BB424" s="43" t="str">
        <f ca="1">IFERROR(__xludf.DUMMYFUNCTION("IFERROR(VLOOKUP(E690&amp;F690,IMPORTRANGE(""https://docs.google.com/spreadsheets/d/1Uw7-A9f9R21vMXxHZFNpYNeKFtG8_yji4HS352LGlSQ/edit?pli=1#gid=0"",""1_ACUM!A4:S""),15,FALSE))"),"")</f>
        <v/>
      </c>
      <c r="BC424" s="43" t="str">
        <f ca="1">IFERROR(__xludf.DUMMYFUNCTION("IFERROR(VLOOKUP(E690&amp;F690,IMPORTRANGE(""https://docs.google.com/spreadsheets/d/1Uw7-A9f9R21vMXxHZFNpYNeKFtG8_yji4HS352LGlSQ/edit?pli=1#gid=0"",""1_ACUM!A4:S""),16,FALSE))"),"")</f>
        <v/>
      </c>
      <c r="BD424" s="43" t="str">
        <f ca="1">IFERROR(__xludf.DUMMYFUNCTION("IFERROR(VLOOKUP(E690&amp;F690,IMPORTRANGE(""https://docs.google.com/spreadsheets/d/1Uw7-A9f9R21vMXxHZFNpYNeKFtG8_yji4HS352LGlSQ/edit?pli=1#gid=0"",""1_ACUM!A4:S""),17,FALSE))"),"")</f>
        <v/>
      </c>
      <c r="BE424" s="44" t="str">
        <f ca="1">IFERROR(__xludf.DUMMYFUNCTION("IFERROR(VLOOKUP(E690&amp;F690,IMPORTRANGE(""https://docs.google.com/spreadsheets/d/1Uw7-A9f9R21vMXxHZFNpYNeKFtG8_yji4HS352LGlSQ/edit?pli=1#gid=0"",""1_ACUM!A4:S""),18,FALSE))"),"")</f>
        <v/>
      </c>
      <c r="BF424" s="44" t="str">
        <f ca="1">IFERROR(__xludf.DUMMYFUNCTION("IFERROR(VLOOKUP(E690&amp;F690,IMPORTRANGE(""https://docs.google.com/spreadsheets/d/1Uw7-A9f9R21vMXxHZFNpYNeKFtG8_yji4HS352LGlSQ/edit?pli=1#gid=0"",""1_ACUM!A4:S""),19,FALSE))"),"")</f>
        <v/>
      </c>
      <c r="BG424" s="98" t="str">
        <f ca="1">IFERROR(__xludf.DUMMYFUNCTION("IFERROR(VLOOKUP(F690,IMPORTRANGE(""https://docs.google.com/spreadsheets/d/1Kvs4KS76FHFqLFIZfrDMff4kP08nblUkihrxltoGBjg/edit#gid=934712705"",""ESENCIAL!A6:BG""),5,FALSE))"),"")</f>
        <v/>
      </c>
      <c r="BH424" s="98" t="str">
        <f t="shared" si="21"/>
        <v/>
      </c>
      <c r="BI424" s="99" t="str">
        <f t="shared" si="22"/>
        <v/>
      </c>
      <c r="BJ424" s="100" t="str">
        <f ca="1">IFERROR(__xludf.DUMMYFUNCTION("IFERROR(VLOOKUP(F690,IMPORTRANGE(""https://docs.google.com/spreadsheets/d/1Kvs4KS76FHFqLFIZfrDMff4kP08nblUkihrxltoGBjg/edit#gid=934712705"",""ESENCIAL!A6:BG""),2,FALSE))"),"")</f>
        <v/>
      </c>
      <c r="BK424" s="19" t="str">
        <f t="shared" si="23"/>
        <v/>
      </c>
      <c r="BL424" s="100"/>
      <c r="BM424" s="100"/>
    </row>
    <row r="425" spans="2:65" ht="15">
      <c r="B425" s="39"/>
      <c r="C425" s="5"/>
      <c r="D425" s="123"/>
      <c r="E425" s="39"/>
      <c r="F425" s="39"/>
      <c r="G425" s="39"/>
      <c r="H425" s="5" t="str">
        <f ca="1">IFERROR(__xludf.DUMMYFUNCTION("IFERROR(VLOOKUP(F691,IMPORTRANGE(""https://docs.google.com/spreadsheets/d/1Kvs4KS76FHFqLFIZfrDMff4kP08nblUkihrxltoGBjg/edit#gid=934712705"",""ESENCIAL!A6:BG""),3,FALSE))"),"")</f>
        <v/>
      </c>
      <c r="I425" s="5" t="str">
        <f ca="1">IFERROR(__xludf.DUMMYFUNCTION("IFERROR(VLOOKUP(F691,IMPORTRANGE(""https://docs.google.com/spreadsheets/d/1Kvs4KS76FHFqLFIZfrDMff4kP08nblUkihrxltoGBjg/edit#gid=934712705"",""ESENCIAL!A6:BG""),8,FALSE))"),"")</f>
        <v/>
      </c>
      <c r="J425" s="39"/>
      <c r="M425" s="287"/>
      <c r="AV425" s="41" t="str">
        <f t="shared" si="20"/>
        <v/>
      </c>
      <c r="AW425" s="5" t="str">
        <f ca="1">IFERROR(__xludf.DUMMYFUNCTION("IFERROR(VLOOKUP(E691&amp;F691,IMPORTRANGE(""https://docs.google.com/spreadsheets/d/1Uw7-A9f9R21vMXxHZFNpYNeKFtG8_yji4HS352LGlSQ/edit?pli=1#gid=0"",""1_ACUM!A4:S""),11,FALSE))"),"")</f>
        <v/>
      </c>
      <c r="AX425" s="42" t="str">
        <f ca="1">IFERROR(__xludf.DUMMYFUNCTION("IFERROR(VLOOKUP(F691,IMPORTRANGE(""https://docs.google.com/spreadsheets/d/1Kvs4KS76FHFqLFIZfrDMff4kP08nblUkihrxltoGBjg/edit#gid=934712705"",""ESENCIAL!A6:BG""),15,FALSE))"),"")</f>
        <v/>
      </c>
      <c r="AY425" s="110" t="str">
        <f ca="1">IFERROR(__xludf.DUMMYFUNCTION("IFERROR(VLOOKUP(E691&amp;F691,IMPORTRANGE(""https://docs.google.com/spreadsheets/d/1Uw7-A9f9R21vMXxHZFNpYNeKFtG8_yji4HS352LGlSQ/edit?pli=1#gid=0"",""1_ACUM!A4:S""),13,FALSE))"),"")</f>
        <v/>
      </c>
      <c r="AZ425" s="43" t="str">
        <f ca="1">IFERROR(__xludf.DUMMYFUNCTION("IFERROR(VLOOKUP(E691&amp;F691,IMPORTRANGE(""https://docs.google.com/spreadsheets/d/1Uw7-A9f9R21vMXxHZFNpYNeKFtG8_yji4HS352LGlSQ/edit?pli=1#gid=0"",""1_ACUM!A4:S""),13,FALSE))"),"")</f>
        <v/>
      </c>
      <c r="BA425" s="43" t="str">
        <f ca="1">IFERROR(__xludf.DUMMYFUNCTION("IFERROR(VLOOKUP(E691&amp;F691,IMPORTRANGE(""https://docs.google.com/spreadsheets/d/1Uw7-A9f9R21vMXxHZFNpYNeKFtG8_yji4HS352LGlSQ/edit?pli=1#gid=0"",""1_ACUM!A4:S""),14,FALSE))"),"")</f>
        <v/>
      </c>
      <c r="BB425" s="43" t="str">
        <f ca="1">IFERROR(__xludf.DUMMYFUNCTION("IFERROR(VLOOKUP(E691&amp;F691,IMPORTRANGE(""https://docs.google.com/spreadsheets/d/1Uw7-A9f9R21vMXxHZFNpYNeKFtG8_yji4HS352LGlSQ/edit?pli=1#gid=0"",""1_ACUM!A4:S""),15,FALSE))"),"")</f>
        <v/>
      </c>
      <c r="BC425" s="43" t="str">
        <f ca="1">IFERROR(__xludf.DUMMYFUNCTION("IFERROR(VLOOKUP(E691&amp;F691,IMPORTRANGE(""https://docs.google.com/spreadsheets/d/1Uw7-A9f9R21vMXxHZFNpYNeKFtG8_yji4HS352LGlSQ/edit?pli=1#gid=0"",""1_ACUM!A4:S""),16,FALSE))"),"")</f>
        <v/>
      </c>
      <c r="BD425" s="43" t="str">
        <f ca="1">IFERROR(__xludf.DUMMYFUNCTION("IFERROR(VLOOKUP(E691&amp;F691,IMPORTRANGE(""https://docs.google.com/spreadsheets/d/1Uw7-A9f9R21vMXxHZFNpYNeKFtG8_yji4HS352LGlSQ/edit?pli=1#gid=0"",""1_ACUM!A4:S""),17,FALSE))"),"")</f>
        <v/>
      </c>
      <c r="BE425" s="44" t="str">
        <f ca="1">IFERROR(__xludf.DUMMYFUNCTION("IFERROR(VLOOKUP(E691&amp;F691,IMPORTRANGE(""https://docs.google.com/spreadsheets/d/1Uw7-A9f9R21vMXxHZFNpYNeKFtG8_yji4HS352LGlSQ/edit?pli=1#gid=0"",""1_ACUM!A4:S""),18,FALSE))"),"")</f>
        <v/>
      </c>
      <c r="BF425" s="44" t="str">
        <f ca="1">IFERROR(__xludf.DUMMYFUNCTION("IFERROR(VLOOKUP(E691&amp;F691,IMPORTRANGE(""https://docs.google.com/spreadsheets/d/1Uw7-A9f9R21vMXxHZFNpYNeKFtG8_yji4HS352LGlSQ/edit?pli=1#gid=0"",""1_ACUM!A4:S""),19,FALSE))"),"")</f>
        <v/>
      </c>
      <c r="BG425" s="98" t="str">
        <f ca="1">IFERROR(__xludf.DUMMYFUNCTION("IFERROR(VLOOKUP(F691,IMPORTRANGE(""https://docs.google.com/spreadsheets/d/1Kvs4KS76FHFqLFIZfrDMff4kP08nblUkihrxltoGBjg/edit#gid=934712705"",""ESENCIAL!A6:BG""),5,FALSE))"),"")</f>
        <v/>
      </c>
      <c r="BH425" s="98" t="str">
        <f t="shared" si="21"/>
        <v/>
      </c>
      <c r="BI425" s="99" t="str">
        <f t="shared" si="22"/>
        <v/>
      </c>
      <c r="BJ425" s="100" t="str">
        <f ca="1">IFERROR(__xludf.DUMMYFUNCTION("IFERROR(VLOOKUP(F691,IMPORTRANGE(""https://docs.google.com/spreadsheets/d/1Kvs4KS76FHFqLFIZfrDMff4kP08nblUkihrxltoGBjg/edit#gid=934712705"",""ESENCIAL!A6:BG""),2,FALSE))"),"")</f>
        <v/>
      </c>
      <c r="BK425" s="19" t="str">
        <f t="shared" si="23"/>
        <v/>
      </c>
      <c r="BL425" s="100"/>
      <c r="BM425" s="100"/>
    </row>
    <row r="426" spans="2:65" ht="15">
      <c r="B426" s="39"/>
      <c r="C426" s="5"/>
      <c r="D426" s="123"/>
      <c r="E426" s="39"/>
      <c r="F426" s="39"/>
      <c r="G426" s="39"/>
      <c r="H426" s="5" t="str">
        <f ca="1">IFERROR(__xludf.DUMMYFUNCTION("IFERROR(VLOOKUP(F692,IMPORTRANGE(""https://docs.google.com/spreadsheets/d/1Kvs4KS76FHFqLFIZfrDMff4kP08nblUkihrxltoGBjg/edit#gid=934712705"",""ESENCIAL!A6:BG""),3,FALSE))"),"")</f>
        <v/>
      </c>
      <c r="I426" s="5" t="str">
        <f ca="1">IFERROR(__xludf.DUMMYFUNCTION("IFERROR(VLOOKUP(F692,IMPORTRANGE(""https://docs.google.com/spreadsheets/d/1Kvs4KS76FHFqLFIZfrDMff4kP08nblUkihrxltoGBjg/edit#gid=934712705"",""ESENCIAL!A6:BG""),8,FALSE))"),"")</f>
        <v/>
      </c>
      <c r="J426" s="39"/>
      <c r="M426" s="287"/>
      <c r="AV426" s="41" t="str">
        <f t="shared" si="20"/>
        <v/>
      </c>
      <c r="AW426" s="5" t="str">
        <f ca="1">IFERROR(__xludf.DUMMYFUNCTION("IFERROR(VLOOKUP(E692&amp;F692,IMPORTRANGE(""https://docs.google.com/spreadsheets/d/1Uw7-A9f9R21vMXxHZFNpYNeKFtG8_yji4HS352LGlSQ/edit?pli=1#gid=0"",""1_ACUM!A4:S""),11,FALSE))"),"")</f>
        <v/>
      </c>
      <c r="AX426" s="42" t="str">
        <f ca="1">IFERROR(__xludf.DUMMYFUNCTION("IFERROR(VLOOKUP(F692,IMPORTRANGE(""https://docs.google.com/spreadsheets/d/1Kvs4KS76FHFqLFIZfrDMff4kP08nblUkihrxltoGBjg/edit#gid=934712705"",""ESENCIAL!A6:BG""),15,FALSE))"),"")</f>
        <v/>
      </c>
      <c r="AY426" s="110" t="str">
        <f ca="1">IFERROR(__xludf.DUMMYFUNCTION("IFERROR(VLOOKUP(E692&amp;F692,IMPORTRANGE(""https://docs.google.com/spreadsheets/d/1Uw7-A9f9R21vMXxHZFNpYNeKFtG8_yji4HS352LGlSQ/edit?pli=1#gid=0"",""1_ACUM!A4:S""),13,FALSE))"),"")</f>
        <v/>
      </c>
      <c r="AZ426" s="43" t="str">
        <f ca="1">IFERROR(__xludf.DUMMYFUNCTION("IFERROR(VLOOKUP(E692&amp;F692,IMPORTRANGE(""https://docs.google.com/spreadsheets/d/1Uw7-A9f9R21vMXxHZFNpYNeKFtG8_yji4HS352LGlSQ/edit?pli=1#gid=0"",""1_ACUM!A4:S""),13,FALSE))"),"")</f>
        <v/>
      </c>
      <c r="BA426" s="43" t="str">
        <f ca="1">IFERROR(__xludf.DUMMYFUNCTION("IFERROR(VLOOKUP(E692&amp;F692,IMPORTRANGE(""https://docs.google.com/spreadsheets/d/1Uw7-A9f9R21vMXxHZFNpYNeKFtG8_yji4HS352LGlSQ/edit?pli=1#gid=0"",""1_ACUM!A4:S""),14,FALSE))"),"")</f>
        <v/>
      </c>
      <c r="BB426" s="43" t="str">
        <f ca="1">IFERROR(__xludf.DUMMYFUNCTION("IFERROR(VLOOKUP(E692&amp;F692,IMPORTRANGE(""https://docs.google.com/spreadsheets/d/1Uw7-A9f9R21vMXxHZFNpYNeKFtG8_yji4HS352LGlSQ/edit?pli=1#gid=0"",""1_ACUM!A4:S""),15,FALSE))"),"")</f>
        <v/>
      </c>
      <c r="BC426" s="43" t="str">
        <f ca="1">IFERROR(__xludf.DUMMYFUNCTION("IFERROR(VLOOKUP(E692&amp;F692,IMPORTRANGE(""https://docs.google.com/spreadsheets/d/1Uw7-A9f9R21vMXxHZFNpYNeKFtG8_yji4HS352LGlSQ/edit?pli=1#gid=0"",""1_ACUM!A4:S""),16,FALSE))"),"")</f>
        <v/>
      </c>
      <c r="BD426" s="43" t="str">
        <f ca="1">IFERROR(__xludf.DUMMYFUNCTION("IFERROR(VLOOKUP(E692&amp;F692,IMPORTRANGE(""https://docs.google.com/spreadsheets/d/1Uw7-A9f9R21vMXxHZFNpYNeKFtG8_yji4HS352LGlSQ/edit?pli=1#gid=0"",""1_ACUM!A4:S""),17,FALSE))"),"")</f>
        <v/>
      </c>
      <c r="BE426" s="44" t="str">
        <f ca="1">IFERROR(__xludf.DUMMYFUNCTION("IFERROR(VLOOKUP(E692&amp;F692,IMPORTRANGE(""https://docs.google.com/spreadsheets/d/1Uw7-A9f9R21vMXxHZFNpYNeKFtG8_yji4HS352LGlSQ/edit?pli=1#gid=0"",""1_ACUM!A4:S""),18,FALSE))"),"")</f>
        <v/>
      </c>
      <c r="BF426" s="44" t="str">
        <f ca="1">IFERROR(__xludf.DUMMYFUNCTION("IFERROR(VLOOKUP(E692&amp;F692,IMPORTRANGE(""https://docs.google.com/spreadsheets/d/1Uw7-A9f9R21vMXxHZFNpYNeKFtG8_yji4HS352LGlSQ/edit?pli=1#gid=0"",""1_ACUM!A4:S""),19,FALSE))"),"")</f>
        <v/>
      </c>
      <c r="BG426" s="98" t="str">
        <f ca="1">IFERROR(__xludf.DUMMYFUNCTION("IFERROR(VLOOKUP(F692,IMPORTRANGE(""https://docs.google.com/spreadsheets/d/1Kvs4KS76FHFqLFIZfrDMff4kP08nblUkihrxltoGBjg/edit#gid=934712705"",""ESENCIAL!A6:BG""),5,FALSE))"),"")</f>
        <v/>
      </c>
      <c r="BH426" s="98" t="str">
        <f t="shared" si="21"/>
        <v/>
      </c>
      <c r="BI426" s="99" t="str">
        <f t="shared" si="22"/>
        <v/>
      </c>
      <c r="BJ426" s="100" t="str">
        <f ca="1">IFERROR(__xludf.DUMMYFUNCTION("IFERROR(VLOOKUP(F692,IMPORTRANGE(""https://docs.google.com/spreadsheets/d/1Kvs4KS76FHFqLFIZfrDMff4kP08nblUkihrxltoGBjg/edit#gid=934712705"",""ESENCIAL!A6:BG""),2,FALSE))"),"")</f>
        <v/>
      </c>
      <c r="BK426" s="19" t="str">
        <f t="shared" si="23"/>
        <v/>
      </c>
      <c r="BL426" s="100"/>
      <c r="BM426" s="100"/>
    </row>
    <row r="427" spans="2:65" ht="15">
      <c r="B427" s="39"/>
      <c r="C427" s="5"/>
      <c r="D427" s="123"/>
      <c r="E427" s="39"/>
      <c r="F427" s="39"/>
      <c r="G427" s="39"/>
      <c r="H427" s="5" t="str">
        <f ca="1">IFERROR(__xludf.DUMMYFUNCTION("IFERROR(VLOOKUP(F693,IMPORTRANGE(""https://docs.google.com/spreadsheets/d/1Kvs4KS76FHFqLFIZfrDMff4kP08nblUkihrxltoGBjg/edit#gid=934712705"",""ESENCIAL!A6:BG""),3,FALSE))"),"")</f>
        <v/>
      </c>
      <c r="I427" s="5" t="str">
        <f ca="1">IFERROR(__xludf.DUMMYFUNCTION("IFERROR(VLOOKUP(F693,IMPORTRANGE(""https://docs.google.com/spreadsheets/d/1Kvs4KS76FHFqLFIZfrDMff4kP08nblUkihrxltoGBjg/edit#gid=934712705"",""ESENCIAL!A6:BG""),8,FALSE))"),"")</f>
        <v/>
      </c>
      <c r="J427" s="39"/>
      <c r="M427" s="287"/>
      <c r="AV427" s="41" t="str">
        <f t="shared" si="20"/>
        <v/>
      </c>
      <c r="AW427" s="5" t="str">
        <f ca="1">IFERROR(__xludf.DUMMYFUNCTION("IFERROR(VLOOKUP(E693&amp;F693,IMPORTRANGE(""https://docs.google.com/spreadsheets/d/1Uw7-A9f9R21vMXxHZFNpYNeKFtG8_yji4HS352LGlSQ/edit?pli=1#gid=0"",""1_ACUM!A4:S""),11,FALSE))"),"")</f>
        <v/>
      </c>
      <c r="AX427" s="42" t="str">
        <f ca="1">IFERROR(__xludf.DUMMYFUNCTION("IFERROR(VLOOKUP(F693,IMPORTRANGE(""https://docs.google.com/spreadsheets/d/1Kvs4KS76FHFqLFIZfrDMff4kP08nblUkihrxltoGBjg/edit#gid=934712705"",""ESENCIAL!A6:BG""),15,FALSE))"),"")</f>
        <v/>
      </c>
      <c r="AY427" s="110" t="str">
        <f ca="1">IFERROR(__xludf.DUMMYFUNCTION("IFERROR(VLOOKUP(E693&amp;F693,IMPORTRANGE(""https://docs.google.com/spreadsheets/d/1Uw7-A9f9R21vMXxHZFNpYNeKFtG8_yji4HS352LGlSQ/edit?pli=1#gid=0"",""1_ACUM!A4:S""),13,FALSE))"),"")</f>
        <v/>
      </c>
      <c r="AZ427" s="43" t="str">
        <f ca="1">IFERROR(__xludf.DUMMYFUNCTION("IFERROR(VLOOKUP(E693&amp;F693,IMPORTRANGE(""https://docs.google.com/spreadsheets/d/1Uw7-A9f9R21vMXxHZFNpYNeKFtG8_yji4HS352LGlSQ/edit?pli=1#gid=0"",""1_ACUM!A4:S""),13,FALSE))"),"")</f>
        <v/>
      </c>
      <c r="BA427" s="43" t="str">
        <f ca="1">IFERROR(__xludf.DUMMYFUNCTION("IFERROR(VLOOKUP(E693&amp;F693,IMPORTRANGE(""https://docs.google.com/spreadsheets/d/1Uw7-A9f9R21vMXxHZFNpYNeKFtG8_yji4HS352LGlSQ/edit?pli=1#gid=0"",""1_ACUM!A4:S""),14,FALSE))"),"")</f>
        <v/>
      </c>
      <c r="BB427" s="43" t="str">
        <f ca="1">IFERROR(__xludf.DUMMYFUNCTION("IFERROR(VLOOKUP(E693&amp;F693,IMPORTRANGE(""https://docs.google.com/spreadsheets/d/1Uw7-A9f9R21vMXxHZFNpYNeKFtG8_yji4HS352LGlSQ/edit?pli=1#gid=0"",""1_ACUM!A4:S""),15,FALSE))"),"")</f>
        <v/>
      </c>
      <c r="BC427" s="43" t="str">
        <f ca="1">IFERROR(__xludf.DUMMYFUNCTION("IFERROR(VLOOKUP(E693&amp;F693,IMPORTRANGE(""https://docs.google.com/spreadsheets/d/1Uw7-A9f9R21vMXxHZFNpYNeKFtG8_yji4HS352LGlSQ/edit?pli=1#gid=0"",""1_ACUM!A4:S""),16,FALSE))"),"")</f>
        <v/>
      </c>
      <c r="BD427" s="43" t="str">
        <f ca="1">IFERROR(__xludf.DUMMYFUNCTION("IFERROR(VLOOKUP(E693&amp;F693,IMPORTRANGE(""https://docs.google.com/spreadsheets/d/1Uw7-A9f9R21vMXxHZFNpYNeKFtG8_yji4HS352LGlSQ/edit?pli=1#gid=0"",""1_ACUM!A4:S""),17,FALSE))"),"")</f>
        <v/>
      </c>
      <c r="BE427" s="44" t="str">
        <f ca="1">IFERROR(__xludf.DUMMYFUNCTION("IFERROR(VLOOKUP(E693&amp;F693,IMPORTRANGE(""https://docs.google.com/spreadsheets/d/1Uw7-A9f9R21vMXxHZFNpYNeKFtG8_yji4HS352LGlSQ/edit?pli=1#gid=0"",""1_ACUM!A4:S""),18,FALSE))"),"")</f>
        <v/>
      </c>
      <c r="BF427" s="44" t="str">
        <f ca="1">IFERROR(__xludf.DUMMYFUNCTION("IFERROR(VLOOKUP(E693&amp;F693,IMPORTRANGE(""https://docs.google.com/spreadsheets/d/1Uw7-A9f9R21vMXxHZFNpYNeKFtG8_yji4HS352LGlSQ/edit?pli=1#gid=0"",""1_ACUM!A4:S""),19,FALSE))"),"")</f>
        <v/>
      </c>
      <c r="BG427" s="98" t="str">
        <f ca="1">IFERROR(__xludf.DUMMYFUNCTION("IFERROR(VLOOKUP(F693,IMPORTRANGE(""https://docs.google.com/spreadsheets/d/1Kvs4KS76FHFqLFIZfrDMff4kP08nblUkihrxltoGBjg/edit#gid=934712705"",""ESENCIAL!A6:BG""),5,FALSE))"),"")</f>
        <v/>
      </c>
      <c r="BH427" s="98" t="str">
        <f t="shared" si="21"/>
        <v/>
      </c>
      <c r="BI427" s="99" t="str">
        <f t="shared" si="22"/>
        <v/>
      </c>
      <c r="BJ427" s="100" t="str">
        <f ca="1">IFERROR(__xludf.DUMMYFUNCTION("IFERROR(VLOOKUP(F693,IMPORTRANGE(""https://docs.google.com/spreadsheets/d/1Kvs4KS76FHFqLFIZfrDMff4kP08nblUkihrxltoGBjg/edit#gid=934712705"",""ESENCIAL!A6:BG""),2,FALSE))"),"")</f>
        <v/>
      </c>
      <c r="BK427" s="19" t="str">
        <f t="shared" si="23"/>
        <v/>
      </c>
      <c r="BL427" s="100"/>
      <c r="BM427" s="100"/>
    </row>
    <row r="428" spans="2:65" ht="15">
      <c r="B428" s="39"/>
      <c r="C428" s="5"/>
      <c r="D428" s="123"/>
      <c r="E428" s="39"/>
      <c r="F428" s="39"/>
      <c r="G428" s="39"/>
      <c r="H428" s="5" t="str">
        <f ca="1">IFERROR(__xludf.DUMMYFUNCTION("IFERROR(VLOOKUP(F694,IMPORTRANGE(""https://docs.google.com/spreadsheets/d/1Kvs4KS76FHFqLFIZfrDMff4kP08nblUkihrxltoGBjg/edit#gid=934712705"",""ESENCIAL!A6:BG""),3,FALSE))"),"")</f>
        <v/>
      </c>
      <c r="I428" s="5" t="str">
        <f ca="1">IFERROR(__xludf.DUMMYFUNCTION("IFERROR(VLOOKUP(F694,IMPORTRANGE(""https://docs.google.com/spreadsheets/d/1Kvs4KS76FHFqLFIZfrDMff4kP08nblUkihrxltoGBjg/edit#gid=934712705"",""ESENCIAL!A6:BG""),8,FALSE))"),"")</f>
        <v/>
      </c>
      <c r="J428" s="39"/>
      <c r="M428" s="287"/>
      <c r="AV428" s="41" t="str">
        <f t="shared" si="20"/>
        <v/>
      </c>
      <c r="AW428" s="5" t="str">
        <f ca="1">IFERROR(__xludf.DUMMYFUNCTION("IFERROR(VLOOKUP(E694&amp;F694,IMPORTRANGE(""https://docs.google.com/spreadsheets/d/1Uw7-A9f9R21vMXxHZFNpYNeKFtG8_yji4HS352LGlSQ/edit?pli=1#gid=0"",""1_ACUM!A4:S""),11,FALSE))"),"")</f>
        <v/>
      </c>
      <c r="AX428" s="42" t="str">
        <f ca="1">IFERROR(__xludf.DUMMYFUNCTION("IFERROR(VLOOKUP(F694,IMPORTRANGE(""https://docs.google.com/spreadsheets/d/1Kvs4KS76FHFqLFIZfrDMff4kP08nblUkihrxltoGBjg/edit#gid=934712705"",""ESENCIAL!A6:BG""),15,FALSE))"),"")</f>
        <v/>
      </c>
      <c r="AY428" s="110" t="str">
        <f ca="1">IFERROR(__xludf.DUMMYFUNCTION("IFERROR(VLOOKUP(E694&amp;F694,IMPORTRANGE(""https://docs.google.com/spreadsheets/d/1Uw7-A9f9R21vMXxHZFNpYNeKFtG8_yji4HS352LGlSQ/edit?pli=1#gid=0"",""1_ACUM!A4:S""),13,FALSE))"),"")</f>
        <v/>
      </c>
      <c r="AZ428" s="43" t="str">
        <f ca="1">IFERROR(__xludf.DUMMYFUNCTION("IFERROR(VLOOKUP(E694&amp;F694,IMPORTRANGE(""https://docs.google.com/spreadsheets/d/1Uw7-A9f9R21vMXxHZFNpYNeKFtG8_yji4HS352LGlSQ/edit?pli=1#gid=0"",""1_ACUM!A4:S""),13,FALSE))"),"")</f>
        <v/>
      </c>
      <c r="BA428" s="43" t="str">
        <f ca="1">IFERROR(__xludf.DUMMYFUNCTION("IFERROR(VLOOKUP(E694&amp;F694,IMPORTRANGE(""https://docs.google.com/spreadsheets/d/1Uw7-A9f9R21vMXxHZFNpYNeKFtG8_yji4HS352LGlSQ/edit?pli=1#gid=0"",""1_ACUM!A4:S""),14,FALSE))"),"")</f>
        <v/>
      </c>
      <c r="BB428" s="43" t="str">
        <f ca="1">IFERROR(__xludf.DUMMYFUNCTION("IFERROR(VLOOKUP(E694&amp;F694,IMPORTRANGE(""https://docs.google.com/spreadsheets/d/1Uw7-A9f9R21vMXxHZFNpYNeKFtG8_yji4HS352LGlSQ/edit?pli=1#gid=0"",""1_ACUM!A4:S""),15,FALSE))"),"")</f>
        <v/>
      </c>
      <c r="BC428" s="43" t="str">
        <f ca="1">IFERROR(__xludf.DUMMYFUNCTION("IFERROR(VLOOKUP(E694&amp;F694,IMPORTRANGE(""https://docs.google.com/spreadsheets/d/1Uw7-A9f9R21vMXxHZFNpYNeKFtG8_yji4HS352LGlSQ/edit?pli=1#gid=0"",""1_ACUM!A4:S""),16,FALSE))"),"")</f>
        <v/>
      </c>
      <c r="BD428" s="43" t="str">
        <f ca="1">IFERROR(__xludf.DUMMYFUNCTION("IFERROR(VLOOKUP(E694&amp;F694,IMPORTRANGE(""https://docs.google.com/spreadsheets/d/1Uw7-A9f9R21vMXxHZFNpYNeKFtG8_yji4HS352LGlSQ/edit?pli=1#gid=0"",""1_ACUM!A4:S""),17,FALSE))"),"")</f>
        <v/>
      </c>
      <c r="BE428" s="44" t="str">
        <f ca="1">IFERROR(__xludf.DUMMYFUNCTION("IFERROR(VLOOKUP(E694&amp;F694,IMPORTRANGE(""https://docs.google.com/spreadsheets/d/1Uw7-A9f9R21vMXxHZFNpYNeKFtG8_yji4HS352LGlSQ/edit?pli=1#gid=0"",""1_ACUM!A4:S""),18,FALSE))"),"")</f>
        <v/>
      </c>
      <c r="BF428" s="44" t="str">
        <f ca="1">IFERROR(__xludf.DUMMYFUNCTION("IFERROR(VLOOKUP(E694&amp;F694,IMPORTRANGE(""https://docs.google.com/spreadsheets/d/1Uw7-A9f9R21vMXxHZFNpYNeKFtG8_yji4HS352LGlSQ/edit?pli=1#gid=0"",""1_ACUM!A4:S""),19,FALSE))"),"")</f>
        <v/>
      </c>
      <c r="BG428" s="98" t="str">
        <f ca="1">IFERROR(__xludf.DUMMYFUNCTION("IFERROR(VLOOKUP(F694,IMPORTRANGE(""https://docs.google.com/spreadsheets/d/1Kvs4KS76FHFqLFIZfrDMff4kP08nblUkihrxltoGBjg/edit#gid=934712705"",""ESENCIAL!A6:BG""),5,FALSE))"),"")</f>
        <v/>
      </c>
      <c r="BH428" s="98" t="str">
        <f t="shared" si="21"/>
        <v/>
      </c>
      <c r="BI428" s="99" t="str">
        <f t="shared" si="22"/>
        <v/>
      </c>
      <c r="BJ428" s="100" t="str">
        <f ca="1">IFERROR(__xludf.DUMMYFUNCTION("IFERROR(VLOOKUP(F694,IMPORTRANGE(""https://docs.google.com/spreadsheets/d/1Kvs4KS76FHFqLFIZfrDMff4kP08nblUkihrxltoGBjg/edit#gid=934712705"",""ESENCIAL!A6:BG""),2,FALSE))"),"")</f>
        <v/>
      </c>
      <c r="BK428" s="19" t="str">
        <f t="shared" si="23"/>
        <v/>
      </c>
      <c r="BL428" s="100"/>
      <c r="BM428" s="100"/>
    </row>
    <row r="429" spans="2:65" ht="15">
      <c r="B429" s="39"/>
      <c r="C429" s="5"/>
      <c r="D429" s="123"/>
      <c r="E429" s="39"/>
      <c r="F429" s="39"/>
      <c r="G429" s="39"/>
      <c r="H429" s="5" t="str">
        <f ca="1">IFERROR(__xludf.DUMMYFUNCTION("IFERROR(VLOOKUP(F695,IMPORTRANGE(""https://docs.google.com/spreadsheets/d/1Kvs4KS76FHFqLFIZfrDMff4kP08nblUkihrxltoGBjg/edit#gid=934712705"",""ESENCIAL!A6:BG""),3,FALSE))"),"")</f>
        <v/>
      </c>
      <c r="I429" s="5" t="str">
        <f ca="1">IFERROR(__xludf.DUMMYFUNCTION("IFERROR(VLOOKUP(F695,IMPORTRANGE(""https://docs.google.com/spreadsheets/d/1Kvs4KS76FHFqLFIZfrDMff4kP08nblUkihrxltoGBjg/edit#gid=934712705"",""ESENCIAL!A6:BG""),8,FALSE))"),"")</f>
        <v/>
      </c>
      <c r="J429" s="39"/>
      <c r="M429" s="287"/>
      <c r="AV429" s="41" t="str">
        <f t="shared" si="20"/>
        <v/>
      </c>
      <c r="AW429" s="5" t="str">
        <f ca="1">IFERROR(__xludf.DUMMYFUNCTION("IFERROR(VLOOKUP(E695&amp;F695,IMPORTRANGE(""https://docs.google.com/spreadsheets/d/1Uw7-A9f9R21vMXxHZFNpYNeKFtG8_yji4HS352LGlSQ/edit?pli=1#gid=0"",""1_ACUM!A4:S""),11,FALSE))"),"")</f>
        <v/>
      </c>
      <c r="AX429" s="42" t="str">
        <f ca="1">IFERROR(__xludf.DUMMYFUNCTION("IFERROR(VLOOKUP(F695,IMPORTRANGE(""https://docs.google.com/spreadsheets/d/1Kvs4KS76FHFqLFIZfrDMff4kP08nblUkihrxltoGBjg/edit#gid=934712705"",""ESENCIAL!A6:BG""),15,FALSE))"),"")</f>
        <v/>
      </c>
      <c r="AY429" s="110" t="str">
        <f ca="1">IFERROR(__xludf.DUMMYFUNCTION("IFERROR(VLOOKUP(E695&amp;F695,IMPORTRANGE(""https://docs.google.com/spreadsheets/d/1Uw7-A9f9R21vMXxHZFNpYNeKFtG8_yji4HS352LGlSQ/edit?pli=1#gid=0"",""1_ACUM!A4:S""),13,FALSE))"),"")</f>
        <v/>
      </c>
      <c r="AZ429" s="43" t="str">
        <f ca="1">IFERROR(__xludf.DUMMYFUNCTION("IFERROR(VLOOKUP(E695&amp;F695,IMPORTRANGE(""https://docs.google.com/spreadsheets/d/1Uw7-A9f9R21vMXxHZFNpYNeKFtG8_yji4HS352LGlSQ/edit?pli=1#gid=0"",""1_ACUM!A4:S""),13,FALSE))"),"")</f>
        <v/>
      </c>
      <c r="BA429" s="43" t="str">
        <f ca="1">IFERROR(__xludf.DUMMYFUNCTION("IFERROR(VLOOKUP(E695&amp;F695,IMPORTRANGE(""https://docs.google.com/spreadsheets/d/1Uw7-A9f9R21vMXxHZFNpYNeKFtG8_yji4HS352LGlSQ/edit?pli=1#gid=0"",""1_ACUM!A4:S""),14,FALSE))"),"")</f>
        <v/>
      </c>
      <c r="BB429" s="43" t="str">
        <f ca="1">IFERROR(__xludf.DUMMYFUNCTION("IFERROR(VLOOKUP(E695&amp;F695,IMPORTRANGE(""https://docs.google.com/spreadsheets/d/1Uw7-A9f9R21vMXxHZFNpYNeKFtG8_yji4HS352LGlSQ/edit?pli=1#gid=0"",""1_ACUM!A4:S""),15,FALSE))"),"")</f>
        <v/>
      </c>
      <c r="BC429" s="43" t="str">
        <f ca="1">IFERROR(__xludf.DUMMYFUNCTION("IFERROR(VLOOKUP(E695&amp;F695,IMPORTRANGE(""https://docs.google.com/spreadsheets/d/1Uw7-A9f9R21vMXxHZFNpYNeKFtG8_yji4HS352LGlSQ/edit?pli=1#gid=0"",""1_ACUM!A4:S""),16,FALSE))"),"")</f>
        <v/>
      </c>
      <c r="BD429" s="43" t="str">
        <f ca="1">IFERROR(__xludf.DUMMYFUNCTION("IFERROR(VLOOKUP(E695&amp;F695,IMPORTRANGE(""https://docs.google.com/spreadsheets/d/1Uw7-A9f9R21vMXxHZFNpYNeKFtG8_yji4HS352LGlSQ/edit?pli=1#gid=0"",""1_ACUM!A4:S""),17,FALSE))"),"")</f>
        <v/>
      </c>
      <c r="BE429" s="44" t="str">
        <f ca="1">IFERROR(__xludf.DUMMYFUNCTION("IFERROR(VLOOKUP(E695&amp;F695,IMPORTRANGE(""https://docs.google.com/spreadsheets/d/1Uw7-A9f9R21vMXxHZFNpYNeKFtG8_yji4HS352LGlSQ/edit?pli=1#gid=0"",""1_ACUM!A4:S""),18,FALSE))"),"")</f>
        <v/>
      </c>
      <c r="BF429" s="44" t="str">
        <f ca="1">IFERROR(__xludf.DUMMYFUNCTION("IFERROR(VLOOKUP(E695&amp;F695,IMPORTRANGE(""https://docs.google.com/spreadsheets/d/1Uw7-A9f9R21vMXxHZFNpYNeKFtG8_yji4HS352LGlSQ/edit?pli=1#gid=0"",""1_ACUM!A4:S""),19,FALSE))"),"")</f>
        <v/>
      </c>
      <c r="BG429" s="98" t="str">
        <f ca="1">IFERROR(__xludf.DUMMYFUNCTION("IFERROR(VLOOKUP(F695,IMPORTRANGE(""https://docs.google.com/spreadsheets/d/1Kvs4KS76FHFqLFIZfrDMff4kP08nblUkihrxltoGBjg/edit#gid=934712705"",""ESENCIAL!A6:BG""),5,FALSE))"),"")</f>
        <v/>
      </c>
      <c r="BH429" s="98" t="str">
        <f t="shared" si="21"/>
        <v/>
      </c>
      <c r="BI429" s="99" t="str">
        <f t="shared" si="22"/>
        <v/>
      </c>
      <c r="BJ429" s="100" t="str">
        <f ca="1">IFERROR(__xludf.DUMMYFUNCTION("IFERROR(VLOOKUP(F695,IMPORTRANGE(""https://docs.google.com/spreadsheets/d/1Kvs4KS76FHFqLFIZfrDMff4kP08nblUkihrxltoGBjg/edit#gid=934712705"",""ESENCIAL!A6:BG""),2,FALSE))"),"")</f>
        <v/>
      </c>
      <c r="BK429" s="19" t="str">
        <f t="shared" si="23"/>
        <v/>
      </c>
      <c r="BL429" s="100"/>
      <c r="BM429" s="100"/>
    </row>
    <row r="430" spans="2:65" ht="15">
      <c r="B430" s="39"/>
      <c r="C430" s="5"/>
      <c r="D430" s="123"/>
      <c r="E430" s="39"/>
      <c r="F430" s="39"/>
      <c r="G430" s="39"/>
      <c r="H430" s="5" t="str">
        <f ca="1">IFERROR(__xludf.DUMMYFUNCTION("IFERROR(VLOOKUP(F696,IMPORTRANGE(""https://docs.google.com/spreadsheets/d/1Kvs4KS76FHFqLFIZfrDMff4kP08nblUkihrxltoGBjg/edit#gid=934712705"",""ESENCIAL!A6:BG""),3,FALSE))"),"")</f>
        <v/>
      </c>
      <c r="I430" s="5" t="str">
        <f ca="1">IFERROR(__xludf.DUMMYFUNCTION("IFERROR(VLOOKUP(F696,IMPORTRANGE(""https://docs.google.com/spreadsheets/d/1Kvs4KS76FHFqLFIZfrDMff4kP08nblUkihrxltoGBjg/edit#gid=934712705"",""ESENCIAL!A6:BG""),8,FALSE))"),"")</f>
        <v/>
      </c>
      <c r="J430" s="39"/>
      <c r="M430" s="287"/>
      <c r="AV430" s="41" t="str">
        <f t="shared" si="20"/>
        <v/>
      </c>
      <c r="AW430" s="5" t="str">
        <f ca="1">IFERROR(__xludf.DUMMYFUNCTION("IFERROR(VLOOKUP(E696&amp;F696,IMPORTRANGE(""https://docs.google.com/spreadsheets/d/1Uw7-A9f9R21vMXxHZFNpYNeKFtG8_yji4HS352LGlSQ/edit?pli=1#gid=0"",""1_ACUM!A4:S""),11,FALSE))"),"")</f>
        <v/>
      </c>
      <c r="AX430" s="42" t="str">
        <f ca="1">IFERROR(__xludf.DUMMYFUNCTION("IFERROR(VLOOKUP(F696,IMPORTRANGE(""https://docs.google.com/spreadsheets/d/1Kvs4KS76FHFqLFIZfrDMff4kP08nblUkihrxltoGBjg/edit#gid=934712705"",""ESENCIAL!A6:BG""),15,FALSE))"),"")</f>
        <v/>
      </c>
      <c r="AY430" s="110" t="str">
        <f ca="1">IFERROR(__xludf.DUMMYFUNCTION("IFERROR(VLOOKUP(E696&amp;F696,IMPORTRANGE(""https://docs.google.com/spreadsheets/d/1Uw7-A9f9R21vMXxHZFNpYNeKFtG8_yji4HS352LGlSQ/edit?pli=1#gid=0"",""1_ACUM!A4:S""),13,FALSE))"),"")</f>
        <v/>
      </c>
      <c r="AZ430" s="43" t="str">
        <f ca="1">IFERROR(__xludf.DUMMYFUNCTION("IFERROR(VLOOKUP(E696&amp;F696,IMPORTRANGE(""https://docs.google.com/spreadsheets/d/1Uw7-A9f9R21vMXxHZFNpYNeKFtG8_yji4HS352LGlSQ/edit?pli=1#gid=0"",""1_ACUM!A4:S""),13,FALSE))"),"")</f>
        <v/>
      </c>
      <c r="BA430" s="43" t="str">
        <f ca="1">IFERROR(__xludf.DUMMYFUNCTION("IFERROR(VLOOKUP(E696&amp;F696,IMPORTRANGE(""https://docs.google.com/spreadsheets/d/1Uw7-A9f9R21vMXxHZFNpYNeKFtG8_yji4HS352LGlSQ/edit?pli=1#gid=0"",""1_ACUM!A4:S""),14,FALSE))"),"")</f>
        <v/>
      </c>
      <c r="BB430" s="43" t="str">
        <f ca="1">IFERROR(__xludf.DUMMYFUNCTION("IFERROR(VLOOKUP(E696&amp;F696,IMPORTRANGE(""https://docs.google.com/spreadsheets/d/1Uw7-A9f9R21vMXxHZFNpYNeKFtG8_yji4HS352LGlSQ/edit?pli=1#gid=0"",""1_ACUM!A4:S""),15,FALSE))"),"")</f>
        <v/>
      </c>
      <c r="BC430" s="43" t="str">
        <f ca="1">IFERROR(__xludf.DUMMYFUNCTION("IFERROR(VLOOKUP(E696&amp;F696,IMPORTRANGE(""https://docs.google.com/spreadsheets/d/1Uw7-A9f9R21vMXxHZFNpYNeKFtG8_yji4HS352LGlSQ/edit?pli=1#gid=0"",""1_ACUM!A4:S""),16,FALSE))"),"")</f>
        <v/>
      </c>
      <c r="BD430" s="43" t="str">
        <f ca="1">IFERROR(__xludf.DUMMYFUNCTION("IFERROR(VLOOKUP(E696&amp;F696,IMPORTRANGE(""https://docs.google.com/spreadsheets/d/1Uw7-A9f9R21vMXxHZFNpYNeKFtG8_yji4HS352LGlSQ/edit?pli=1#gid=0"",""1_ACUM!A4:S""),17,FALSE))"),"")</f>
        <v/>
      </c>
      <c r="BE430" s="44" t="str">
        <f ca="1">IFERROR(__xludf.DUMMYFUNCTION("IFERROR(VLOOKUP(E696&amp;F696,IMPORTRANGE(""https://docs.google.com/spreadsheets/d/1Uw7-A9f9R21vMXxHZFNpYNeKFtG8_yji4HS352LGlSQ/edit?pli=1#gid=0"",""1_ACUM!A4:S""),18,FALSE))"),"")</f>
        <v/>
      </c>
      <c r="BF430" s="44" t="str">
        <f ca="1">IFERROR(__xludf.DUMMYFUNCTION("IFERROR(VLOOKUP(E696&amp;F696,IMPORTRANGE(""https://docs.google.com/spreadsheets/d/1Uw7-A9f9R21vMXxHZFNpYNeKFtG8_yji4HS352LGlSQ/edit?pli=1#gid=0"",""1_ACUM!A4:S""),19,FALSE))"),"")</f>
        <v/>
      </c>
      <c r="BG430" s="98" t="str">
        <f ca="1">IFERROR(__xludf.DUMMYFUNCTION("IFERROR(VLOOKUP(F696,IMPORTRANGE(""https://docs.google.com/spreadsheets/d/1Kvs4KS76FHFqLFIZfrDMff4kP08nblUkihrxltoGBjg/edit#gid=934712705"",""ESENCIAL!A6:BG""),5,FALSE))"),"")</f>
        <v/>
      </c>
      <c r="BH430" s="98" t="str">
        <f t="shared" si="21"/>
        <v/>
      </c>
      <c r="BI430" s="99" t="str">
        <f t="shared" si="22"/>
        <v/>
      </c>
      <c r="BJ430" s="100" t="str">
        <f ca="1">IFERROR(__xludf.DUMMYFUNCTION("IFERROR(VLOOKUP(F696,IMPORTRANGE(""https://docs.google.com/spreadsheets/d/1Kvs4KS76FHFqLFIZfrDMff4kP08nblUkihrxltoGBjg/edit#gid=934712705"",""ESENCIAL!A6:BG""),2,FALSE))"),"")</f>
        <v/>
      </c>
      <c r="BK430" s="19" t="str">
        <f t="shared" si="23"/>
        <v/>
      </c>
      <c r="BL430" s="100"/>
      <c r="BM430" s="100"/>
    </row>
    <row r="431" spans="2:65" ht="15">
      <c r="B431" s="39"/>
      <c r="C431" s="5"/>
      <c r="D431" s="123"/>
      <c r="E431" s="39"/>
      <c r="F431" s="39"/>
      <c r="G431" s="39"/>
      <c r="H431" s="5" t="str">
        <f ca="1">IFERROR(__xludf.DUMMYFUNCTION("IFERROR(VLOOKUP(F697,IMPORTRANGE(""https://docs.google.com/spreadsheets/d/1Kvs4KS76FHFqLFIZfrDMff4kP08nblUkihrxltoGBjg/edit#gid=934712705"",""ESENCIAL!A6:BG""),3,FALSE))"),"")</f>
        <v/>
      </c>
      <c r="I431" s="5" t="str">
        <f ca="1">IFERROR(__xludf.DUMMYFUNCTION("IFERROR(VLOOKUP(F697,IMPORTRANGE(""https://docs.google.com/spreadsheets/d/1Kvs4KS76FHFqLFIZfrDMff4kP08nblUkihrxltoGBjg/edit#gid=934712705"",""ESENCIAL!A6:BG""),8,FALSE))"),"")</f>
        <v/>
      </c>
      <c r="J431" s="39"/>
      <c r="M431" s="287"/>
      <c r="AV431" s="41" t="str">
        <f t="shared" si="20"/>
        <v/>
      </c>
      <c r="AW431" s="5" t="str">
        <f ca="1">IFERROR(__xludf.DUMMYFUNCTION("IFERROR(VLOOKUP(E697&amp;F697,IMPORTRANGE(""https://docs.google.com/spreadsheets/d/1Uw7-A9f9R21vMXxHZFNpYNeKFtG8_yji4HS352LGlSQ/edit?pli=1#gid=0"",""1_ACUM!A4:S""),11,FALSE))"),"")</f>
        <v/>
      </c>
      <c r="AX431" s="42" t="str">
        <f ca="1">IFERROR(__xludf.DUMMYFUNCTION("IFERROR(VLOOKUP(F697,IMPORTRANGE(""https://docs.google.com/spreadsheets/d/1Kvs4KS76FHFqLFIZfrDMff4kP08nblUkihrxltoGBjg/edit#gid=934712705"",""ESENCIAL!A6:BG""),15,FALSE))"),"")</f>
        <v/>
      </c>
      <c r="AY431" s="110" t="str">
        <f ca="1">IFERROR(__xludf.DUMMYFUNCTION("IFERROR(VLOOKUP(E697&amp;F697,IMPORTRANGE(""https://docs.google.com/spreadsheets/d/1Uw7-A9f9R21vMXxHZFNpYNeKFtG8_yji4HS352LGlSQ/edit?pli=1#gid=0"",""1_ACUM!A4:S""),13,FALSE))"),"")</f>
        <v/>
      </c>
      <c r="AZ431" s="43" t="str">
        <f ca="1">IFERROR(__xludf.DUMMYFUNCTION("IFERROR(VLOOKUP(E697&amp;F697,IMPORTRANGE(""https://docs.google.com/spreadsheets/d/1Uw7-A9f9R21vMXxHZFNpYNeKFtG8_yji4HS352LGlSQ/edit?pli=1#gid=0"",""1_ACUM!A4:S""),13,FALSE))"),"")</f>
        <v/>
      </c>
      <c r="BA431" s="43" t="str">
        <f ca="1">IFERROR(__xludf.DUMMYFUNCTION("IFERROR(VLOOKUP(E697&amp;F697,IMPORTRANGE(""https://docs.google.com/spreadsheets/d/1Uw7-A9f9R21vMXxHZFNpYNeKFtG8_yji4HS352LGlSQ/edit?pli=1#gid=0"",""1_ACUM!A4:S""),14,FALSE))"),"")</f>
        <v/>
      </c>
      <c r="BB431" s="43" t="str">
        <f ca="1">IFERROR(__xludf.DUMMYFUNCTION("IFERROR(VLOOKUP(E697&amp;F697,IMPORTRANGE(""https://docs.google.com/spreadsheets/d/1Uw7-A9f9R21vMXxHZFNpYNeKFtG8_yji4HS352LGlSQ/edit?pli=1#gid=0"",""1_ACUM!A4:S""),15,FALSE))"),"")</f>
        <v/>
      </c>
      <c r="BC431" s="43" t="str">
        <f ca="1">IFERROR(__xludf.DUMMYFUNCTION("IFERROR(VLOOKUP(E697&amp;F697,IMPORTRANGE(""https://docs.google.com/spreadsheets/d/1Uw7-A9f9R21vMXxHZFNpYNeKFtG8_yji4HS352LGlSQ/edit?pli=1#gid=0"",""1_ACUM!A4:S""),16,FALSE))"),"")</f>
        <v/>
      </c>
      <c r="BD431" s="43" t="str">
        <f ca="1">IFERROR(__xludf.DUMMYFUNCTION("IFERROR(VLOOKUP(E697&amp;F697,IMPORTRANGE(""https://docs.google.com/spreadsheets/d/1Uw7-A9f9R21vMXxHZFNpYNeKFtG8_yji4HS352LGlSQ/edit?pli=1#gid=0"",""1_ACUM!A4:S""),17,FALSE))"),"")</f>
        <v/>
      </c>
      <c r="BE431" s="44" t="str">
        <f ca="1">IFERROR(__xludf.DUMMYFUNCTION("IFERROR(VLOOKUP(E697&amp;F697,IMPORTRANGE(""https://docs.google.com/spreadsheets/d/1Uw7-A9f9R21vMXxHZFNpYNeKFtG8_yji4HS352LGlSQ/edit?pli=1#gid=0"",""1_ACUM!A4:S""),18,FALSE))"),"")</f>
        <v/>
      </c>
      <c r="BF431" s="44" t="str">
        <f ca="1">IFERROR(__xludf.DUMMYFUNCTION("IFERROR(VLOOKUP(E697&amp;F697,IMPORTRANGE(""https://docs.google.com/spreadsheets/d/1Uw7-A9f9R21vMXxHZFNpYNeKFtG8_yji4HS352LGlSQ/edit?pli=1#gid=0"",""1_ACUM!A4:S""),19,FALSE))"),"")</f>
        <v/>
      </c>
      <c r="BG431" s="98" t="str">
        <f ca="1">IFERROR(__xludf.DUMMYFUNCTION("IFERROR(VLOOKUP(F697,IMPORTRANGE(""https://docs.google.com/spreadsheets/d/1Kvs4KS76FHFqLFIZfrDMff4kP08nblUkihrxltoGBjg/edit#gid=934712705"",""ESENCIAL!A6:BG""),5,FALSE))"),"")</f>
        <v/>
      </c>
      <c r="BH431" s="98" t="str">
        <f t="shared" si="21"/>
        <v/>
      </c>
      <c r="BI431" s="99" t="str">
        <f t="shared" si="22"/>
        <v/>
      </c>
      <c r="BJ431" s="100" t="str">
        <f ca="1">IFERROR(__xludf.DUMMYFUNCTION("IFERROR(VLOOKUP(F697,IMPORTRANGE(""https://docs.google.com/spreadsheets/d/1Kvs4KS76FHFqLFIZfrDMff4kP08nblUkihrxltoGBjg/edit#gid=934712705"",""ESENCIAL!A6:BG""),2,FALSE))"),"")</f>
        <v/>
      </c>
      <c r="BK431" s="19" t="str">
        <f t="shared" si="23"/>
        <v/>
      </c>
      <c r="BL431" s="100"/>
      <c r="BM431" s="100"/>
    </row>
    <row r="432" spans="2:65" ht="15">
      <c r="B432" s="39"/>
      <c r="C432" s="5"/>
      <c r="D432" s="123"/>
      <c r="E432" s="39"/>
      <c r="F432" s="39"/>
      <c r="G432" s="39"/>
      <c r="H432" s="5" t="str">
        <f ca="1">IFERROR(__xludf.DUMMYFUNCTION("IFERROR(VLOOKUP(F698,IMPORTRANGE(""https://docs.google.com/spreadsheets/d/1Kvs4KS76FHFqLFIZfrDMff4kP08nblUkihrxltoGBjg/edit#gid=934712705"",""ESENCIAL!A6:BG""),3,FALSE))"),"")</f>
        <v/>
      </c>
      <c r="I432" s="5" t="str">
        <f ca="1">IFERROR(__xludf.DUMMYFUNCTION("IFERROR(VLOOKUP(F698,IMPORTRANGE(""https://docs.google.com/spreadsheets/d/1Kvs4KS76FHFqLFIZfrDMff4kP08nblUkihrxltoGBjg/edit#gid=934712705"",""ESENCIAL!A6:BG""),8,FALSE))"),"")</f>
        <v/>
      </c>
      <c r="J432" s="39"/>
      <c r="M432" s="287"/>
      <c r="AV432" s="41" t="str">
        <f t="shared" si="20"/>
        <v/>
      </c>
      <c r="AW432" s="5" t="str">
        <f ca="1">IFERROR(__xludf.DUMMYFUNCTION("IFERROR(VLOOKUP(E698&amp;F698,IMPORTRANGE(""https://docs.google.com/spreadsheets/d/1Uw7-A9f9R21vMXxHZFNpYNeKFtG8_yji4HS352LGlSQ/edit?pli=1#gid=0"",""1_ACUM!A4:S""),11,FALSE))"),"")</f>
        <v/>
      </c>
      <c r="AX432" s="42" t="str">
        <f ca="1">IFERROR(__xludf.DUMMYFUNCTION("IFERROR(VLOOKUP(F698,IMPORTRANGE(""https://docs.google.com/spreadsheets/d/1Kvs4KS76FHFqLFIZfrDMff4kP08nblUkihrxltoGBjg/edit#gid=934712705"",""ESENCIAL!A6:BG""),15,FALSE))"),"")</f>
        <v/>
      </c>
      <c r="AY432" s="110" t="str">
        <f ca="1">IFERROR(__xludf.DUMMYFUNCTION("IFERROR(VLOOKUP(E698&amp;F698,IMPORTRANGE(""https://docs.google.com/spreadsheets/d/1Uw7-A9f9R21vMXxHZFNpYNeKFtG8_yji4HS352LGlSQ/edit?pli=1#gid=0"",""1_ACUM!A4:S""),13,FALSE))"),"")</f>
        <v/>
      </c>
      <c r="AZ432" s="43" t="str">
        <f ca="1">IFERROR(__xludf.DUMMYFUNCTION("IFERROR(VLOOKUP(E698&amp;F698,IMPORTRANGE(""https://docs.google.com/spreadsheets/d/1Uw7-A9f9R21vMXxHZFNpYNeKFtG8_yji4HS352LGlSQ/edit?pli=1#gid=0"",""1_ACUM!A4:S""),13,FALSE))"),"")</f>
        <v/>
      </c>
      <c r="BA432" s="43" t="str">
        <f ca="1">IFERROR(__xludf.DUMMYFUNCTION("IFERROR(VLOOKUP(E698&amp;F698,IMPORTRANGE(""https://docs.google.com/spreadsheets/d/1Uw7-A9f9R21vMXxHZFNpYNeKFtG8_yji4HS352LGlSQ/edit?pli=1#gid=0"",""1_ACUM!A4:S""),14,FALSE))"),"")</f>
        <v/>
      </c>
      <c r="BB432" s="43" t="str">
        <f ca="1">IFERROR(__xludf.DUMMYFUNCTION("IFERROR(VLOOKUP(E698&amp;F698,IMPORTRANGE(""https://docs.google.com/spreadsheets/d/1Uw7-A9f9R21vMXxHZFNpYNeKFtG8_yji4HS352LGlSQ/edit?pli=1#gid=0"",""1_ACUM!A4:S""),15,FALSE))"),"")</f>
        <v/>
      </c>
      <c r="BC432" s="43" t="str">
        <f ca="1">IFERROR(__xludf.DUMMYFUNCTION("IFERROR(VLOOKUP(E698&amp;F698,IMPORTRANGE(""https://docs.google.com/spreadsheets/d/1Uw7-A9f9R21vMXxHZFNpYNeKFtG8_yji4HS352LGlSQ/edit?pli=1#gid=0"",""1_ACUM!A4:S""),16,FALSE))"),"")</f>
        <v/>
      </c>
      <c r="BD432" s="43" t="str">
        <f ca="1">IFERROR(__xludf.DUMMYFUNCTION("IFERROR(VLOOKUP(E698&amp;F698,IMPORTRANGE(""https://docs.google.com/spreadsheets/d/1Uw7-A9f9R21vMXxHZFNpYNeKFtG8_yji4HS352LGlSQ/edit?pli=1#gid=0"",""1_ACUM!A4:S""),17,FALSE))"),"")</f>
        <v/>
      </c>
      <c r="BE432" s="44" t="str">
        <f ca="1">IFERROR(__xludf.DUMMYFUNCTION("IFERROR(VLOOKUP(E698&amp;F698,IMPORTRANGE(""https://docs.google.com/spreadsheets/d/1Uw7-A9f9R21vMXxHZFNpYNeKFtG8_yji4HS352LGlSQ/edit?pli=1#gid=0"",""1_ACUM!A4:S""),18,FALSE))"),"")</f>
        <v/>
      </c>
      <c r="BF432" s="44" t="str">
        <f ca="1">IFERROR(__xludf.DUMMYFUNCTION("IFERROR(VLOOKUP(E698&amp;F698,IMPORTRANGE(""https://docs.google.com/spreadsheets/d/1Uw7-A9f9R21vMXxHZFNpYNeKFtG8_yji4HS352LGlSQ/edit?pli=1#gid=0"",""1_ACUM!A4:S""),19,FALSE))"),"")</f>
        <v/>
      </c>
      <c r="BG432" s="98" t="str">
        <f ca="1">IFERROR(__xludf.DUMMYFUNCTION("IFERROR(VLOOKUP(F698,IMPORTRANGE(""https://docs.google.com/spreadsheets/d/1Kvs4KS76FHFqLFIZfrDMff4kP08nblUkihrxltoGBjg/edit#gid=934712705"",""ESENCIAL!A6:BG""),5,FALSE))"),"")</f>
        <v/>
      </c>
      <c r="BH432" s="98" t="str">
        <f t="shared" si="21"/>
        <v/>
      </c>
      <c r="BI432" s="99" t="str">
        <f t="shared" si="22"/>
        <v/>
      </c>
      <c r="BJ432" s="100" t="str">
        <f ca="1">IFERROR(__xludf.DUMMYFUNCTION("IFERROR(VLOOKUP(F698,IMPORTRANGE(""https://docs.google.com/spreadsheets/d/1Kvs4KS76FHFqLFIZfrDMff4kP08nblUkihrxltoGBjg/edit#gid=934712705"",""ESENCIAL!A6:BG""),2,FALSE))"),"")</f>
        <v/>
      </c>
      <c r="BK432" s="19" t="str">
        <f t="shared" si="23"/>
        <v/>
      </c>
      <c r="BL432" s="100"/>
      <c r="BM432" s="100"/>
    </row>
    <row r="433" spans="2:65" ht="15">
      <c r="B433" s="39"/>
      <c r="C433" s="5"/>
      <c r="D433" s="123"/>
      <c r="E433" s="39"/>
      <c r="F433" s="39"/>
      <c r="G433" s="39"/>
      <c r="H433" s="5" t="str">
        <f ca="1">IFERROR(__xludf.DUMMYFUNCTION("IFERROR(VLOOKUP(F699,IMPORTRANGE(""https://docs.google.com/spreadsheets/d/1Kvs4KS76FHFqLFIZfrDMff4kP08nblUkihrxltoGBjg/edit#gid=934712705"",""ESENCIAL!A6:BG""),3,FALSE))"),"")</f>
        <v/>
      </c>
      <c r="I433" s="5" t="str">
        <f ca="1">IFERROR(__xludf.DUMMYFUNCTION("IFERROR(VLOOKUP(F699,IMPORTRANGE(""https://docs.google.com/spreadsheets/d/1Kvs4KS76FHFqLFIZfrDMff4kP08nblUkihrxltoGBjg/edit#gid=934712705"",""ESENCIAL!A6:BG""),8,FALSE))"),"")</f>
        <v/>
      </c>
      <c r="J433" s="39"/>
      <c r="M433" s="287"/>
      <c r="AV433" s="41" t="str">
        <f t="shared" si="20"/>
        <v/>
      </c>
      <c r="AW433" s="5" t="str">
        <f ca="1">IFERROR(__xludf.DUMMYFUNCTION("IFERROR(VLOOKUP(E699&amp;F699,IMPORTRANGE(""https://docs.google.com/spreadsheets/d/1Uw7-A9f9R21vMXxHZFNpYNeKFtG8_yji4HS352LGlSQ/edit?pli=1#gid=0"",""1_ACUM!A4:S""),11,FALSE))"),"")</f>
        <v/>
      </c>
      <c r="AX433" s="42" t="str">
        <f ca="1">IFERROR(__xludf.DUMMYFUNCTION("IFERROR(VLOOKUP(F699,IMPORTRANGE(""https://docs.google.com/spreadsheets/d/1Kvs4KS76FHFqLFIZfrDMff4kP08nblUkihrxltoGBjg/edit#gid=934712705"",""ESENCIAL!A6:BG""),15,FALSE))"),"")</f>
        <v/>
      </c>
      <c r="AY433" s="110" t="str">
        <f ca="1">IFERROR(__xludf.DUMMYFUNCTION("IFERROR(VLOOKUP(E699&amp;F699,IMPORTRANGE(""https://docs.google.com/spreadsheets/d/1Uw7-A9f9R21vMXxHZFNpYNeKFtG8_yji4HS352LGlSQ/edit?pli=1#gid=0"",""1_ACUM!A4:S""),13,FALSE))"),"")</f>
        <v/>
      </c>
      <c r="AZ433" s="43" t="str">
        <f ca="1">IFERROR(__xludf.DUMMYFUNCTION("IFERROR(VLOOKUP(E699&amp;F699,IMPORTRANGE(""https://docs.google.com/spreadsheets/d/1Uw7-A9f9R21vMXxHZFNpYNeKFtG8_yji4HS352LGlSQ/edit?pli=1#gid=0"",""1_ACUM!A4:S""),13,FALSE))"),"")</f>
        <v/>
      </c>
      <c r="BA433" s="43" t="str">
        <f ca="1">IFERROR(__xludf.DUMMYFUNCTION("IFERROR(VLOOKUP(E699&amp;F699,IMPORTRANGE(""https://docs.google.com/spreadsheets/d/1Uw7-A9f9R21vMXxHZFNpYNeKFtG8_yji4HS352LGlSQ/edit?pli=1#gid=0"",""1_ACUM!A4:S""),14,FALSE))"),"")</f>
        <v/>
      </c>
      <c r="BB433" s="43" t="str">
        <f ca="1">IFERROR(__xludf.DUMMYFUNCTION("IFERROR(VLOOKUP(E699&amp;F699,IMPORTRANGE(""https://docs.google.com/spreadsheets/d/1Uw7-A9f9R21vMXxHZFNpYNeKFtG8_yji4HS352LGlSQ/edit?pli=1#gid=0"",""1_ACUM!A4:S""),15,FALSE))"),"")</f>
        <v/>
      </c>
      <c r="BC433" s="43" t="str">
        <f ca="1">IFERROR(__xludf.DUMMYFUNCTION("IFERROR(VLOOKUP(E699&amp;F699,IMPORTRANGE(""https://docs.google.com/spreadsheets/d/1Uw7-A9f9R21vMXxHZFNpYNeKFtG8_yji4HS352LGlSQ/edit?pli=1#gid=0"",""1_ACUM!A4:S""),16,FALSE))"),"")</f>
        <v/>
      </c>
      <c r="BD433" s="43" t="str">
        <f ca="1">IFERROR(__xludf.DUMMYFUNCTION("IFERROR(VLOOKUP(E699&amp;F699,IMPORTRANGE(""https://docs.google.com/spreadsheets/d/1Uw7-A9f9R21vMXxHZFNpYNeKFtG8_yji4HS352LGlSQ/edit?pli=1#gid=0"",""1_ACUM!A4:S""),17,FALSE))"),"")</f>
        <v/>
      </c>
      <c r="BE433" s="44" t="str">
        <f ca="1">IFERROR(__xludf.DUMMYFUNCTION("IFERROR(VLOOKUP(E699&amp;F699,IMPORTRANGE(""https://docs.google.com/spreadsheets/d/1Uw7-A9f9R21vMXxHZFNpYNeKFtG8_yji4HS352LGlSQ/edit?pli=1#gid=0"",""1_ACUM!A4:S""),18,FALSE))"),"")</f>
        <v/>
      </c>
      <c r="BF433" s="44" t="str">
        <f ca="1">IFERROR(__xludf.DUMMYFUNCTION("IFERROR(VLOOKUP(E699&amp;F699,IMPORTRANGE(""https://docs.google.com/spreadsheets/d/1Uw7-A9f9R21vMXxHZFNpYNeKFtG8_yji4HS352LGlSQ/edit?pli=1#gid=0"",""1_ACUM!A4:S""),19,FALSE))"),"")</f>
        <v/>
      </c>
      <c r="BG433" s="98" t="str">
        <f ca="1">IFERROR(__xludf.DUMMYFUNCTION("IFERROR(VLOOKUP(F699,IMPORTRANGE(""https://docs.google.com/spreadsheets/d/1Kvs4KS76FHFqLFIZfrDMff4kP08nblUkihrxltoGBjg/edit#gid=934712705"",""ESENCIAL!A6:BG""),5,FALSE))"),"")</f>
        <v/>
      </c>
      <c r="BH433" s="98" t="str">
        <f t="shared" si="21"/>
        <v/>
      </c>
      <c r="BI433" s="99" t="str">
        <f t="shared" si="22"/>
        <v/>
      </c>
      <c r="BJ433" s="100" t="str">
        <f ca="1">IFERROR(__xludf.DUMMYFUNCTION("IFERROR(VLOOKUP(F699,IMPORTRANGE(""https://docs.google.com/spreadsheets/d/1Kvs4KS76FHFqLFIZfrDMff4kP08nblUkihrxltoGBjg/edit#gid=934712705"",""ESENCIAL!A6:BG""),2,FALSE))"),"")</f>
        <v/>
      </c>
      <c r="BK433" s="19" t="str">
        <f t="shared" si="23"/>
        <v/>
      </c>
      <c r="BL433" s="100"/>
      <c r="BM433" s="100"/>
    </row>
    <row r="434" spans="2:65" ht="15">
      <c r="B434" s="39"/>
      <c r="C434" s="5"/>
      <c r="D434" s="123"/>
      <c r="E434" s="39"/>
      <c r="F434" s="39"/>
      <c r="G434" s="39"/>
      <c r="H434" s="5" t="str">
        <f ca="1">IFERROR(__xludf.DUMMYFUNCTION("IFERROR(VLOOKUP(F700,IMPORTRANGE(""https://docs.google.com/spreadsheets/d/1Kvs4KS76FHFqLFIZfrDMff4kP08nblUkihrxltoGBjg/edit#gid=934712705"",""ESENCIAL!A6:BG""),3,FALSE))"),"")</f>
        <v/>
      </c>
      <c r="I434" s="5" t="str">
        <f ca="1">IFERROR(__xludf.DUMMYFUNCTION("IFERROR(VLOOKUP(F700,IMPORTRANGE(""https://docs.google.com/spreadsheets/d/1Kvs4KS76FHFqLFIZfrDMff4kP08nblUkihrxltoGBjg/edit#gid=934712705"",""ESENCIAL!A6:BG""),8,FALSE))"),"")</f>
        <v/>
      </c>
      <c r="J434" s="39"/>
      <c r="M434" s="287"/>
      <c r="AV434" s="41" t="str">
        <f t="shared" si="20"/>
        <v/>
      </c>
      <c r="AW434" s="5" t="str">
        <f ca="1">IFERROR(__xludf.DUMMYFUNCTION("IFERROR(VLOOKUP(E700&amp;F700,IMPORTRANGE(""https://docs.google.com/spreadsheets/d/1Uw7-A9f9R21vMXxHZFNpYNeKFtG8_yji4HS352LGlSQ/edit?pli=1#gid=0"",""1_ACUM!A4:S""),11,FALSE))"),"")</f>
        <v/>
      </c>
      <c r="AX434" s="42" t="str">
        <f ca="1">IFERROR(__xludf.DUMMYFUNCTION("IFERROR(VLOOKUP(F700,IMPORTRANGE(""https://docs.google.com/spreadsheets/d/1Kvs4KS76FHFqLFIZfrDMff4kP08nblUkihrxltoGBjg/edit#gid=934712705"",""ESENCIAL!A6:BG""),15,FALSE))"),"")</f>
        <v/>
      </c>
      <c r="AY434" s="110" t="str">
        <f ca="1">IFERROR(__xludf.DUMMYFUNCTION("IFERROR(VLOOKUP(E700&amp;F700,IMPORTRANGE(""https://docs.google.com/spreadsheets/d/1Uw7-A9f9R21vMXxHZFNpYNeKFtG8_yji4HS352LGlSQ/edit?pli=1#gid=0"",""1_ACUM!A4:S""),13,FALSE))"),"")</f>
        <v/>
      </c>
      <c r="AZ434" s="43" t="str">
        <f ca="1">IFERROR(__xludf.DUMMYFUNCTION("IFERROR(VLOOKUP(E700&amp;F700,IMPORTRANGE(""https://docs.google.com/spreadsheets/d/1Uw7-A9f9R21vMXxHZFNpYNeKFtG8_yji4HS352LGlSQ/edit?pli=1#gid=0"",""1_ACUM!A4:S""),13,FALSE))"),"")</f>
        <v/>
      </c>
      <c r="BA434" s="43" t="str">
        <f ca="1">IFERROR(__xludf.DUMMYFUNCTION("IFERROR(VLOOKUP(E700&amp;F700,IMPORTRANGE(""https://docs.google.com/spreadsheets/d/1Uw7-A9f9R21vMXxHZFNpYNeKFtG8_yji4HS352LGlSQ/edit?pli=1#gid=0"",""1_ACUM!A4:S""),14,FALSE))"),"")</f>
        <v/>
      </c>
      <c r="BB434" s="43" t="str">
        <f ca="1">IFERROR(__xludf.DUMMYFUNCTION("IFERROR(VLOOKUP(E700&amp;F700,IMPORTRANGE(""https://docs.google.com/spreadsheets/d/1Uw7-A9f9R21vMXxHZFNpYNeKFtG8_yji4HS352LGlSQ/edit?pli=1#gid=0"",""1_ACUM!A4:S""),15,FALSE))"),"")</f>
        <v/>
      </c>
      <c r="BC434" s="43" t="str">
        <f ca="1">IFERROR(__xludf.DUMMYFUNCTION("IFERROR(VLOOKUP(E700&amp;F700,IMPORTRANGE(""https://docs.google.com/spreadsheets/d/1Uw7-A9f9R21vMXxHZFNpYNeKFtG8_yji4HS352LGlSQ/edit?pli=1#gid=0"",""1_ACUM!A4:S""),16,FALSE))"),"")</f>
        <v/>
      </c>
      <c r="BD434" s="43" t="str">
        <f ca="1">IFERROR(__xludf.DUMMYFUNCTION("IFERROR(VLOOKUP(E700&amp;F700,IMPORTRANGE(""https://docs.google.com/spreadsheets/d/1Uw7-A9f9R21vMXxHZFNpYNeKFtG8_yji4HS352LGlSQ/edit?pli=1#gid=0"",""1_ACUM!A4:S""),17,FALSE))"),"")</f>
        <v/>
      </c>
      <c r="BE434" s="44" t="str">
        <f ca="1">IFERROR(__xludf.DUMMYFUNCTION("IFERROR(VLOOKUP(E700&amp;F700,IMPORTRANGE(""https://docs.google.com/spreadsheets/d/1Uw7-A9f9R21vMXxHZFNpYNeKFtG8_yji4HS352LGlSQ/edit?pli=1#gid=0"",""1_ACUM!A4:S""),18,FALSE))"),"")</f>
        <v/>
      </c>
      <c r="BF434" s="44" t="str">
        <f ca="1">IFERROR(__xludf.DUMMYFUNCTION("IFERROR(VLOOKUP(E700&amp;F700,IMPORTRANGE(""https://docs.google.com/spreadsheets/d/1Uw7-A9f9R21vMXxHZFNpYNeKFtG8_yji4HS352LGlSQ/edit?pli=1#gid=0"",""1_ACUM!A4:S""),19,FALSE))"),"")</f>
        <v/>
      </c>
      <c r="BG434" s="98" t="str">
        <f ca="1">IFERROR(__xludf.DUMMYFUNCTION("IFERROR(VLOOKUP(F700,IMPORTRANGE(""https://docs.google.com/spreadsheets/d/1Kvs4KS76FHFqLFIZfrDMff4kP08nblUkihrxltoGBjg/edit#gid=934712705"",""ESENCIAL!A6:BG""),5,FALSE))"),"")</f>
        <v/>
      </c>
      <c r="BH434" s="98" t="str">
        <f t="shared" si="21"/>
        <v/>
      </c>
      <c r="BI434" s="99" t="str">
        <f t="shared" si="22"/>
        <v/>
      </c>
      <c r="BJ434" s="100" t="str">
        <f ca="1">IFERROR(__xludf.DUMMYFUNCTION("IFERROR(VLOOKUP(F700,IMPORTRANGE(""https://docs.google.com/spreadsheets/d/1Kvs4KS76FHFqLFIZfrDMff4kP08nblUkihrxltoGBjg/edit#gid=934712705"",""ESENCIAL!A6:BG""),2,FALSE))"),"")</f>
        <v/>
      </c>
      <c r="BK434" s="19" t="str">
        <f t="shared" si="23"/>
        <v/>
      </c>
      <c r="BL434" s="100"/>
      <c r="BM434" s="100"/>
    </row>
    <row r="435" spans="2:65" ht="15">
      <c r="B435" s="39"/>
      <c r="C435" s="5"/>
      <c r="D435" s="123"/>
      <c r="E435" s="39"/>
      <c r="F435" s="39"/>
      <c r="G435" s="39"/>
      <c r="H435" s="5" t="str">
        <f ca="1">IFERROR(__xludf.DUMMYFUNCTION("IFERROR(VLOOKUP(F701,IMPORTRANGE(""https://docs.google.com/spreadsheets/d/1Kvs4KS76FHFqLFIZfrDMff4kP08nblUkihrxltoGBjg/edit#gid=934712705"",""ESENCIAL!A6:BG""),3,FALSE))"),"")</f>
        <v/>
      </c>
      <c r="I435" s="5" t="str">
        <f ca="1">IFERROR(__xludf.DUMMYFUNCTION("IFERROR(VLOOKUP(F701,IMPORTRANGE(""https://docs.google.com/spreadsheets/d/1Kvs4KS76FHFqLFIZfrDMff4kP08nblUkihrxltoGBjg/edit#gid=934712705"",""ESENCIAL!A6:BG""),8,FALSE))"),"")</f>
        <v/>
      </c>
      <c r="J435" s="39"/>
      <c r="M435" s="287"/>
      <c r="AV435" s="41" t="str">
        <f t="shared" si="20"/>
        <v/>
      </c>
      <c r="AW435" s="5" t="str">
        <f ca="1">IFERROR(__xludf.DUMMYFUNCTION("IFERROR(VLOOKUP(E701&amp;F701,IMPORTRANGE(""https://docs.google.com/spreadsheets/d/1Uw7-A9f9R21vMXxHZFNpYNeKFtG8_yji4HS352LGlSQ/edit?pli=1#gid=0"",""1_ACUM!A4:S""),11,FALSE))"),"")</f>
        <v/>
      </c>
      <c r="AX435" s="42" t="str">
        <f ca="1">IFERROR(__xludf.DUMMYFUNCTION("IFERROR(VLOOKUP(F701,IMPORTRANGE(""https://docs.google.com/spreadsheets/d/1Kvs4KS76FHFqLFIZfrDMff4kP08nblUkihrxltoGBjg/edit#gid=934712705"",""ESENCIAL!A6:BG""),15,FALSE))"),"")</f>
        <v/>
      </c>
      <c r="AY435" s="110" t="str">
        <f ca="1">IFERROR(__xludf.DUMMYFUNCTION("IFERROR(VLOOKUP(E701&amp;F701,IMPORTRANGE(""https://docs.google.com/spreadsheets/d/1Uw7-A9f9R21vMXxHZFNpYNeKFtG8_yji4HS352LGlSQ/edit?pli=1#gid=0"",""1_ACUM!A4:S""),13,FALSE))"),"")</f>
        <v/>
      </c>
      <c r="AZ435" s="43" t="str">
        <f ca="1">IFERROR(__xludf.DUMMYFUNCTION("IFERROR(VLOOKUP(E701&amp;F701,IMPORTRANGE(""https://docs.google.com/spreadsheets/d/1Uw7-A9f9R21vMXxHZFNpYNeKFtG8_yji4HS352LGlSQ/edit?pli=1#gid=0"",""1_ACUM!A4:S""),13,FALSE))"),"")</f>
        <v/>
      </c>
      <c r="BA435" s="43" t="str">
        <f ca="1">IFERROR(__xludf.DUMMYFUNCTION("IFERROR(VLOOKUP(E701&amp;F701,IMPORTRANGE(""https://docs.google.com/spreadsheets/d/1Uw7-A9f9R21vMXxHZFNpYNeKFtG8_yji4HS352LGlSQ/edit?pli=1#gid=0"",""1_ACUM!A4:S""),14,FALSE))"),"")</f>
        <v/>
      </c>
      <c r="BB435" s="43" t="str">
        <f ca="1">IFERROR(__xludf.DUMMYFUNCTION("IFERROR(VLOOKUP(E701&amp;F701,IMPORTRANGE(""https://docs.google.com/spreadsheets/d/1Uw7-A9f9R21vMXxHZFNpYNeKFtG8_yji4HS352LGlSQ/edit?pli=1#gid=0"",""1_ACUM!A4:S""),15,FALSE))"),"")</f>
        <v/>
      </c>
      <c r="BC435" s="43" t="str">
        <f ca="1">IFERROR(__xludf.DUMMYFUNCTION("IFERROR(VLOOKUP(E701&amp;F701,IMPORTRANGE(""https://docs.google.com/spreadsheets/d/1Uw7-A9f9R21vMXxHZFNpYNeKFtG8_yji4HS352LGlSQ/edit?pli=1#gid=0"",""1_ACUM!A4:S""),16,FALSE))"),"")</f>
        <v/>
      </c>
      <c r="BD435" s="43" t="str">
        <f ca="1">IFERROR(__xludf.DUMMYFUNCTION("IFERROR(VLOOKUP(E701&amp;F701,IMPORTRANGE(""https://docs.google.com/spreadsheets/d/1Uw7-A9f9R21vMXxHZFNpYNeKFtG8_yji4HS352LGlSQ/edit?pli=1#gid=0"",""1_ACUM!A4:S""),17,FALSE))"),"")</f>
        <v/>
      </c>
      <c r="BE435" s="44" t="str">
        <f ca="1">IFERROR(__xludf.DUMMYFUNCTION("IFERROR(VLOOKUP(E701&amp;F701,IMPORTRANGE(""https://docs.google.com/spreadsheets/d/1Uw7-A9f9R21vMXxHZFNpYNeKFtG8_yji4HS352LGlSQ/edit?pli=1#gid=0"",""1_ACUM!A4:S""),18,FALSE))"),"")</f>
        <v/>
      </c>
      <c r="BF435" s="44" t="str">
        <f ca="1">IFERROR(__xludf.DUMMYFUNCTION("IFERROR(VLOOKUP(E701&amp;F701,IMPORTRANGE(""https://docs.google.com/spreadsheets/d/1Uw7-A9f9R21vMXxHZFNpYNeKFtG8_yji4HS352LGlSQ/edit?pli=1#gid=0"",""1_ACUM!A4:S""),19,FALSE))"),"")</f>
        <v/>
      </c>
      <c r="BG435" s="98" t="str">
        <f ca="1">IFERROR(__xludf.DUMMYFUNCTION("IFERROR(VLOOKUP(F701,IMPORTRANGE(""https://docs.google.com/spreadsheets/d/1Kvs4KS76FHFqLFIZfrDMff4kP08nblUkihrxltoGBjg/edit#gid=934712705"",""ESENCIAL!A6:BG""),5,FALSE))"),"")</f>
        <v/>
      </c>
      <c r="BH435" s="98" t="str">
        <f t="shared" si="21"/>
        <v/>
      </c>
      <c r="BI435" s="99" t="str">
        <f t="shared" si="22"/>
        <v/>
      </c>
      <c r="BJ435" s="100" t="str">
        <f ca="1">IFERROR(__xludf.DUMMYFUNCTION("IFERROR(VLOOKUP(F701,IMPORTRANGE(""https://docs.google.com/spreadsheets/d/1Kvs4KS76FHFqLFIZfrDMff4kP08nblUkihrxltoGBjg/edit#gid=934712705"",""ESENCIAL!A6:BG""),2,FALSE))"),"")</f>
        <v/>
      </c>
      <c r="BK435" s="19" t="str">
        <f t="shared" si="23"/>
        <v/>
      </c>
      <c r="BL435" s="100"/>
      <c r="BM435" s="100"/>
    </row>
    <row r="436" spans="2:65" ht="15">
      <c r="B436" s="39"/>
      <c r="C436" s="5"/>
      <c r="D436" s="123"/>
      <c r="E436" s="39"/>
      <c r="F436" s="39"/>
      <c r="G436" s="39"/>
      <c r="H436" s="5" t="str">
        <f ca="1">IFERROR(__xludf.DUMMYFUNCTION("IFERROR(VLOOKUP(F702,IMPORTRANGE(""https://docs.google.com/spreadsheets/d/1Kvs4KS76FHFqLFIZfrDMff4kP08nblUkihrxltoGBjg/edit#gid=934712705"",""ESENCIAL!A6:BG""),3,FALSE))"),"")</f>
        <v/>
      </c>
      <c r="I436" s="5" t="str">
        <f ca="1">IFERROR(__xludf.DUMMYFUNCTION("IFERROR(VLOOKUP(F702,IMPORTRANGE(""https://docs.google.com/spreadsheets/d/1Kvs4KS76FHFqLFIZfrDMff4kP08nblUkihrxltoGBjg/edit#gid=934712705"",""ESENCIAL!A6:BG""),8,FALSE))"),"")</f>
        <v/>
      </c>
      <c r="J436" s="39"/>
      <c r="M436" s="287"/>
      <c r="AV436" s="41" t="str">
        <f t="shared" si="20"/>
        <v/>
      </c>
      <c r="AW436" s="5" t="str">
        <f ca="1">IFERROR(__xludf.DUMMYFUNCTION("IFERROR(VLOOKUP(E702&amp;F702,IMPORTRANGE(""https://docs.google.com/spreadsheets/d/1Uw7-A9f9R21vMXxHZFNpYNeKFtG8_yji4HS352LGlSQ/edit?pli=1#gid=0"",""1_ACUM!A4:S""),11,FALSE))"),"")</f>
        <v/>
      </c>
      <c r="AX436" s="42" t="str">
        <f ca="1">IFERROR(__xludf.DUMMYFUNCTION("IFERROR(VLOOKUP(F702,IMPORTRANGE(""https://docs.google.com/spreadsheets/d/1Kvs4KS76FHFqLFIZfrDMff4kP08nblUkihrxltoGBjg/edit#gid=934712705"",""ESENCIAL!A6:BG""),15,FALSE))"),"")</f>
        <v/>
      </c>
      <c r="AY436" s="110" t="str">
        <f ca="1">IFERROR(__xludf.DUMMYFUNCTION("IFERROR(VLOOKUP(E702&amp;F702,IMPORTRANGE(""https://docs.google.com/spreadsheets/d/1Uw7-A9f9R21vMXxHZFNpYNeKFtG8_yji4HS352LGlSQ/edit?pli=1#gid=0"",""1_ACUM!A4:S""),13,FALSE))"),"")</f>
        <v/>
      </c>
      <c r="AZ436" s="43" t="str">
        <f ca="1">IFERROR(__xludf.DUMMYFUNCTION("IFERROR(VLOOKUP(E702&amp;F702,IMPORTRANGE(""https://docs.google.com/spreadsheets/d/1Uw7-A9f9R21vMXxHZFNpYNeKFtG8_yji4HS352LGlSQ/edit?pli=1#gid=0"",""1_ACUM!A4:S""),13,FALSE))"),"")</f>
        <v/>
      </c>
      <c r="BA436" s="43" t="str">
        <f ca="1">IFERROR(__xludf.DUMMYFUNCTION("IFERROR(VLOOKUP(E702&amp;F702,IMPORTRANGE(""https://docs.google.com/spreadsheets/d/1Uw7-A9f9R21vMXxHZFNpYNeKFtG8_yji4HS352LGlSQ/edit?pli=1#gid=0"",""1_ACUM!A4:S""),14,FALSE))"),"")</f>
        <v/>
      </c>
      <c r="BB436" s="43" t="str">
        <f ca="1">IFERROR(__xludf.DUMMYFUNCTION("IFERROR(VLOOKUP(E702&amp;F702,IMPORTRANGE(""https://docs.google.com/spreadsheets/d/1Uw7-A9f9R21vMXxHZFNpYNeKFtG8_yji4HS352LGlSQ/edit?pli=1#gid=0"",""1_ACUM!A4:S""),15,FALSE))"),"")</f>
        <v/>
      </c>
      <c r="BC436" s="43" t="str">
        <f ca="1">IFERROR(__xludf.DUMMYFUNCTION("IFERROR(VLOOKUP(E702&amp;F702,IMPORTRANGE(""https://docs.google.com/spreadsheets/d/1Uw7-A9f9R21vMXxHZFNpYNeKFtG8_yji4HS352LGlSQ/edit?pli=1#gid=0"",""1_ACUM!A4:S""),16,FALSE))"),"")</f>
        <v/>
      </c>
      <c r="BD436" s="43" t="str">
        <f ca="1">IFERROR(__xludf.DUMMYFUNCTION("IFERROR(VLOOKUP(E702&amp;F702,IMPORTRANGE(""https://docs.google.com/spreadsheets/d/1Uw7-A9f9R21vMXxHZFNpYNeKFtG8_yji4HS352LGlSQ/edit?pli=1#gid=0"",""1_ACUM!A4:S""),17,FALSE))"),"")</f>
        <v/>
      </c>
      <c r="BE436" s="44" t="str">
        <f ca="1">IFERROR(__xludf.DUMMYFUNCTION("IFERROR(VLOOKUP(E702&amp;F702,IMPORTRANGE(""https://docs.google.com/spreadsheets/d/1Uw7-A9f9R21vMXxHZFNpYNeKFtG8_yji4HS352LGlSQ/edit?pli=1#gid=0"",""1_ACUM!A4:S""),18,FALSE))"),"")</f>
        <v/>
      </c>
      <c r="BF436" s="44" t="str">
        <f ca="1">IFERROR(__xludf.DUMMYFUNCTION("IFERROR(VLOOKUP(E702&amp;F702,IMPORTRANGE(""https://docs.google.com/spreadsheets/d/1Uw7-A9f9R21vMXxHZFNpYNeKFtG8_yji4HS352LGlSQ/edit?pli=1#gid=0"",""1_ACUM!A4:S""),19,FALSE))"),"")</f>
        <v/>
      </c>
      <c r="BG436" s="98" t="str">
        <f ca="1">IFERROR(__xludf.DUMMYFUNCTION("IFERROR(VLOOKUP(F702,IMPORTRANGE(""https://docs.google.com/spreadsheets/d/1Kvs4KS76FHFqLFIZfrDMff4kP08nblUkihrxltoGBjg/edit#gid=934712705"",""ESENCIAL!A6:BG""),5,FALSE))"),"")</f>
        <v/>
      </c>
      <c r="BH436" s="98" t="str">
        <f t="shared" si="21"/>
        <v/>
      </c>
      <c r="BI436" s="99" t="str">
        <f t="shared" si="22"/>
        <v/>
      </c>
      <c r="BJ436" s="100" t="str">
        <f ca="1">IFERROR(__xludf.DUMMYFUNCTION("IFERROR(VLOOKUP(F702,IMPORTRANGE(""https://docs.google.com/spreadsheets/d/1Kvs4KS76FHFqLFIZfrDMff4kP08nblUkihrxltoGBjg/edit#gid=934712705"",""ESENCIAL!A6:BG""),2,FALSE))"),"")</f>
        <v/>
      </c>
      <c r="BK436" s="19" t="str">
        <f t="shared" si="23"/>
        <v/>
      </c>
      <c r="BL436" s="100"/>
      <c r="BM436" s="100"/>
    </row>
    <row r="437" spans="2:65" ht="15">
      <c r="B437" s="39"/>
      <c r="C437" s="5"/>
      <c r="D437" s="123"/>
      <c r="E437" s="39"/>
      <c r="F437" s="39"/>
      <c r="G437" s="39"/>
      <c r="H437" s="5" t="str">
        <f ca="1">IFERROR(__xludf.DUMMYFUNCTION("IFERROR(VLOOKUP(F703,IMPORTRANGE(""https://docs.google.com/spreadsheets/d/1Kvs4KS76FHFqLFIZfrDMff4kP08nblUkihrxltoGBjg/edit#gid=934712705"",""ESENCIAL!A6:BG""),3,FALSE))"),"")</f>
        <v/>
      </c>
      <c r="I437" s="5" t="str">
        <f ca="1">IFERROR(__xludf.DUMMYFUNCTION("IFERROR(VLOOKUP(F703,IMPORTRANGE(""https://docs.google.com/spreadsheets/d/1Kvs4KS76FHFqLFIZfrDMff4kP08nblUkihrxltoGBjg/edit#gid=934712705"",""ESENCIAL!A6:BG""),8,FALSE))"),"")</f>
        <v/>
      </c>
      <c r="J437" s="39"/>
      <c r="M437" s="287"/>
      <c r="AV437" s="41" t="str">
        <f t="shared" si="20"/>
        <v/>
      </c>
      <c r="AW437" s="5" t="str">
        <f ca="1">IFERROR(__xludf.DUMMYFUNCTION("IFERROR(VLOOKUP(E703&amp;F703,IMPORTRANGE(""https://docs.google.com/spreadsheets/d/1Uw7-A9f9R21vMXxHZFNpYNeKFtG8_yji4HS352LGlSQ/edit?pli=1#gid=0"",""1_ACUM!A4:S""),11,FALSE))"),"")</f>
        <v/>
      </c>
      <c r="AX437" s="42" t="str">
        <f ca="1">IFERROR(__xludf.DUMMYFUNCTION("IFERROR(VLOOKUP(F703,IMPORTRANGE(""https://docs.google.com/spreadsheets/d/1Kvs4KS76FHFqLFIZfrDMff4kP08nblUkihrxltoGBjg/edit#gid=934712705"",""ESENCIAL!A6:BG""),15,FALSE))"),"")</f>
        <v/>
      </c>
      <c r="AY437" s="110" t="str">
        <f ca="1">IFERROR(__xludf.DUMMYFUNCTION("IFERROR(VLOOKUP(E703&amp;F703,IMPORTRANGE(""https://docs.google.com/spreadsheets/d/1Uw7-A9f9R21vMXxHZFNpYNeKFtG8_yji4HS352LGlSQ/edit?pli=1#gid=0"",""1_ACUM!A4:S""),13,FALSE))"),"")</f>
        <v/>
      </c>
      <c r="AZ437" s="43" t="str">
        <f ca="1">IFERROR(__xludf.DUMMYFUNCTION("IFERROR(VLOOKUP(E703&amp;F703,IMPORTRANGE(""https://docs.google.com/spreadsheets/d/1Uw7-A9f9R21vMXxHZFNpYNeKFtG8_yji4HS352LGlSQ/edit?pli=1#gid=0"",""1_ACUM!A4:S""),13,FALSE))"),"")</f>
        <v/>
      </c>
      <c r="BA437" s="43" t="str">
        <f ca="1">IFERROR(__xludf.DUMMYFUNCTION("IFERROR(VLOOKUP(E703&amp;F703,IMPORTRANGE(""https://docs.google.com/spreadsheets/d/1Uw7-A9f9R21vMXxHZFNpYNeKFtG8_yji4HS352LGlSQ/edit?pli=1#gid=0"",""1_ACUM!A4:S""),14,FALSE))"),"")</f>
        <v/>
      </c>
      <c r="BB437" s="43" t="str">
        <f ca="1">IFERROR(__xludf.DUMMYFUNCTION("IFERROR(VLOOKUP(E703&amp;F703,IMPORTRANGE(""https://docs.google.com/spreadsheets/d/1Uw7-A9f9R21vMXxHZFNpYNeKFtG8_yji4HS352LGlSQ/edit?pli=1#gid=0"",""1_ACUM!A4:S""),15,FALSE))"),"")</f>
        <v/>
      </c>
      <c r="BC437" s="43" t="str">
        <f ca="1">IFERROR(__xludf.DUMMYFUNCTION("IFERROR(VLOOKUP(E703&amp;F703,IMPORTRANGE(""https://docs.google.com/spreadsheets/d/1Uw7-A9f9R21vMXxHZFNpYNeKFtG8_yji4HS352LGlSQ/edit?pli=1#gid=0"",""1_ACUM!A4:S""),16,FALSE))"),"")</f>
        <v/>
      </c>
      <c r="BD437" s="43" t="str">
        <f ca="1">IFERROR(__xludf.DUMMYFUNCTION("IFERROR(VLOOKUP(E703&amp;F703,IMPORTRANGE(""https://docs.google.com/spreadsheets/d/1Uw7-A9f9R21vMXxHZFNpYNeKFtG8_yji4HS352LGlSQ/edit?pli=1#gid=0"",""1_ACUM!A4:S""),17,FALSE))"),"")</f>
        <v/>
      </c>
      <c r="BE437" s="44" t="str">
        <f ca="1">IFERROR(__xludf.DUMMYFUNCTION("IFERROR(VLOOKUP(E703&amp;F703,IMPORTRANGE(""https://docs.google.com/spreadsheets/d/1Uw7-A9f9R21vMXxHZFNpYNeKFtG8_yji4HS352LGlSQ/edit?pli=1#gid=0"",""1_ACUM!A4:S""),18,FALSE))"),"")</f>
        <v/>
      </c>
      <c r="BF437" s="44" t="str">
        <f ca="1">IFERROR(__xludf.DUMMYFUNCTION("IFERROR(VLOOKUP(E703&amp;F703,IMPORTRANGE(""https://docs.google.com/spreadsheets/d/1Uw7-A9f9R21vMXxHZFNpYNeKFtG8_yji4HS352LGlSQ/edit?pli=1#gid=0"",""1_ACUM!A4:S""),19,FALSE))"),"")</f>
        <v/>
      </c>
      <c r="BG437" s="98" t="str">
        <f ca="1">IFERROR(__xludf.DUMMYFUNCTION("IFERROR(VLOOKUP(F703,IMPORTRANGE(""https://docs.google.com/spreadsheets/d/1Kvs4KS76FHFqLFIZfrDMff4kP08nblUkihrxltoGBjg/edit#gid=934712705"",""ESENCIAL!A6:BG""),5,FALSE))"),"")</f>
        <v/>
      </c>
      <c r="BH437" s="98" t="str">
        <f t="shared" si="21"/>
        <v/>
      </c>
      <c r="BI437" s="99" t="str">
        <f t="shared" si="22"/>
        <v/>
      </c>
      <c r="BJ437" s="100" t="str">
        <f ca="1">IFERROR(__xludf.DUMMYFUNCTION("IFERROR(VLOOKUP(F703,IMPORTRANGE(""https://docs.google.com/spreadsheets/d/1Kvs4KS76FHFqLFIZfrDMff4kP08nblUkihrxltoGBjg/edit#gid=934712705"",""ESENCIAL!A6:BG""),2,FALSE))"),"")</f>
        <v/>
      </c>
      <c r="BK437" s="19" t="str">
        <f t="shared" si="23"/>
        <v/>
      </c>
      <c r="BL437" s="100"/>
      <c r="BM437" s="100"/>
    </row>
    <row r="438" spans="2:65" ht="15">
      <c r="B438" s="39"/>
      <c r="C438" s="5"/>
      <c r="D438" s="123"/>
      <c r="E438" s="39"/>
      <c r="F438" s="39"/>
      <c r="G438" s="39"/>
      <c r="H438" s="5" t="str">
        <f ca="1">IFERROR(__xludf.DUMMYFUNCTION("IFERROR(VLOOKUP(F704,IMPORTRANGE(""https://docs.google.com/spreadsheets/d/1Kvs4KS76FHFqLFIZfrDMff4kP08nblUkihrxltoGBjg/edit#gid=934712705"",""ESENCIAL!A6:BG""),3,FALSE))"),"")</f>
        <v/>
      </c>
      <c r="I438" s="5" t="str">
        <f ca="1">IFERROR(__xludf.DUMMYFUNCTION("IFERROR(VLOOKUP(F704,IMPORTRANGE(""https://docs.google.com/spreadsheets/d/1Kvs4KS76FHFqLFIZfrDMff4kP08nblUkihrxltoGBjg/edit#gid=934712705"",""ESENCIAL!A6:BG""),8,FALSE))"),"")</f>
        <v/>
      </c>
      <c r="J438" s="39"/>
      <c r="M438" s="287"/>
      <c r="AV438" s="41" t="str">
        <f t="shared" si="20"/>
        <v/>
      </c>
      <c r="AW438" s="5" t="str">
        <f ca="1">IFERROR(__xludf.DUMMYFUNCTION("IFERROR(VLOOKUP(E704&amp;F704,IMPORTRANGE(""https://docs.google.com/spreadsheets/d/1Uw7-A9f9R21vMXxHZFNpYNeKFtG8_yji4HS352LGlSQ/edit?pli=1#gid=0"",""1_ACUM!A4:S""),11,FALSE))"),"")</f>
        <v/>
      </c>
      <c r="AX438" s="42" t="str">
        <f ca="1">IFERROR(__xludf.DUMMYFUNCTION("IFERROR(VLOOKUP(F704,IMPORTRANGE(""https://docs.google.com/spreadsheets/d/1Kvs4KS76FHFqLFIZfrDMff4kP08nblUkihrxltoGBjg/edit#gid=934712705"",""ESENCIAL!A6:BG""),15,FALSE))"),"")</f>
        <v/>
      </c>
      <c r="AY438" s="110" t="str">
        <f ca="1">IFERROR(__xludf.DUMMYFUNCTION("IFERROR(VLOOKUP(E704&amp;F704,IMPORTRANGE(""https://docs.google.com/spreadsheets/d/1Uw7-A9f9R21vMXxHZFNpYNeKFtG8_yji4HS352LGlSQ/edit?pli=1#gid=0"",""1_ACUM!A4:S""),13,FALSE))"),"")</f>
        <v/>
      </c>
      <c r="AZ438" s="43" t="str">
        <f ca="1">IFERROR(__xludf.DUMMYFUNCTION("IFERROR(VLOOKUP(E704&amp;F704,IMPORTRANGE(""https://docs.google.com/spreadsheets/d/1Uw7-A9f9R21vMXxHZFNpYNeKFtG8_yji4HS352LGlSQ/edit?pli=1#gid=0"",""1_ACUM!A4:S""),13,FALSE))"),"")</f>
        <v/>
      </c>
      <c r="BA438" s="43" t="str">
        <f ca="1">IFERROR(__xludf.DUMMYFUNCTION("IFERROR(VLOOKUP(E704&amp;F704,IMPORTRANGE(""https://docs.google.com/spreadsheets/d/1Uw7-A9f9R21vMXxHZFNpYNeKFtG8_yji4HS352LGlSQ/edit?pli=1#gid=0"",""1_ACUM!A4:S""),14,FALSE))"),"")</f>
        <v/>
      </c>
      <c r="BB438" s="43" t="str">
        <f ca="1">IFERROR(__xludf.DUMMYFUNCTION("IFERROR(VLOOKUP(E704&amp;F704,IMPORTRANGE(""https://docs.google.com/spreadsheets/d/1Uw7-A9f9R21vMXxHZFNpYNeKFtG8_yji4HS352LGlSQ/edit?pli=1#gid=0"",""1_ACUM!A4:S""),15,FALSE))"),"")</f>
        <v/>
      </c>
      <c r="BC438" s="43" t="str">
        <f ca="1">IFERROR(__xludf.DUMMYFUNCTION("IFERROR(VLOOKUP(E704&amp;F704,IMPORTRANGE(""https://docs.google.com/spreadsheets/d/1Uw7-A9f9R21vMXxHZFNpYNeKFtG8_yji4HS352LGlSQ/edit?pli=1#gid=0"",""1_ACUM!A4:S""),16,FALSE))"),"")</f>
        <v/>
      </c>
      <c r="BD438" s="43" t="str">
        <f ca="1">IFERROR(__xludf.DUMMYFUNCTION("IFERROR(VLOOKUP(E704&amp;F704,IMPORTRANGE(""https://docs.google.com/spreadsheets/d/1Uw7-A9f9R21vMXxHZFNpYNeKFtG8_yji4HS352LGlSQ/edit?pli=1#gid=0"",""1_ACUM!A4:S""),17,FALSE))"),"")</f>
        <v/>
      </c>
      <c r="BE438" s="44" t="str">
        <f ca="1">IFERROR(__xludf.DUMMYFUNCTION("IFERROR(VLOOKUP(E704&amp;F704,IMPORTRANGE(""https://docs.google.com/spreadsheets/d/1Uw7-A9f9R21vMXxHZFNpYNeKFtG8_yji4HS352LGlSQ/edit?pli=1#gid=0"",""1_ACUM!A4:S""),18,FALSE))"),"")</f>
        <v/>
      </c>
      <c r="BF438" s="44" t="str">
        <f ca="1">IFERROR(__xludf.DUMMYFUNCTION("IFERROR(VLOOKUP(E704&amp;F704,IMPORTRANGE(""https://docs.google.com/spreadsheets/d/1Uw7-A9f9R21vMXxHZFNpYNeKFtG8_yji4HS352LGlSQ/edit?pli=1#gid=0"",""1_ACUM!A4:S""),19,FALSE))"),"")</f>
        <v/>
      </c>
      <c r="BG438" s="98" t="str">
        <f ca="1">IFERROR(__xludf.DUMMYFUNCTION("IFERROR(VLOOKUP(F704,IMPORTRANGE(""https://docs.google.com/spreadsheets/d/1Kvs4KS76FHFqLFIZfrDMff4kP08nblUkihrxltoGBjg/edit#gid=934712705"",""ESENCIAL!A6:BG""),5,FALSE))"),"")</f>
        <v/>
      </c>
      <c r="BH438" s="98" t="str">
        <f t="shared" si="21"/>
        <v/>
      </c>
      <c r="BI438" s="99" t="str">
        <f t="shared" si="22"/>
        <v/>
      </c>
      <c r="BJ438" s="100" t="str">
        <f ca="1">IFERROR(__xludf.DUMMYFUNCTION("IFERROR(VLOOKUP(F704,IMPORTRANGE(""https://docs.google.com/spreadsheets/d/1Kvs4KS76FHFqLFIZfrDMff4kP08nblUkihrxltoGBjg/edit#gid=934712705"",""ESENCIAL!A6:BG""),2,FALSE))"),"")</f>
        <v/>
      </c>
      <c r="BK438" s="19" t="str">
        <f t="shared" si="23"/>
        <v/>
      </c>
      <c r="BL438" s="100"/>
      <c r="BM438" s="100"/>
    </row>
    <row r="439" spans="2:65" ht="15">
      <c r="B439" s="39"/>
      <c r="C439" s="5"/>
      <c r="D439" s="123"/>
      <c r="E439" s="39"/>
      <c r="F439" s="39"/>
      <c r="G439" s="39"/>
      <c r="H439" s="5" t="str">
        <f ca="1">IFERROR(__xludf.DUMMYFUNCTION("IFERROR(VLOOKUP(F705,IMPORTRANGE(""https://docs.google.com/spreadsheets/d/1Kvs4KS76FHFqLFIZfrDMff4kP08nblUkihrxltoGBjg/edit#gid=934712705"",""ESENCIAL!A6:BG""),3,FALSE))"),"")</f>
        <v/>
      </c>
      <c r="I439" s="5" t="str">
        <f ca="1">IFERROR(__xludf.DUMMYFUNCTION("IFERROR(VLOOKUP(F705,IMPORTRANGE(""https://docs.google.com/spreadsheets/d/1Kvs4KS76FHFqLFIZfrDMff4kP08nblUkihrxltoGBjg/edit#gid=934712705"",""ESENCIAL!A6:BG""),8,FALSE))"),"")</f>
        <v/>
      </c>
      <c r="J439" s="39"/>
      <c r="M439" s="287"/>
      <c r="AV439" s="41" t="str">
        <f t="shared" si="20"/>
        <v/>
      </c>
      <c r="AW439" s="5" t="str">
        <f ca="1">IFERROR(__xludf.DUMMYFUNCTION("IFERROR(VLOOKUP(E705&amp;F705,IMPORTRANGE(""https://docs.google.com/spreadsheets/d/1Uw7-A9f9R21vMXxHZFNpYNeKFtG8_yji4HS352LGlSQ/edit?pli=1#gid=0"",""1_ACUM!A4:S""),11,FALSE))"),"")</f>
        <v/>
      </c>
      <c r="AX439" s="42" t="str">
        <f ca="1">IFERROR(__xludf.DUMMYFUNCTION("IFERROR(VLOOKUP(F705,IMPORTRANGE(""https://docs.google.com/spreadsheets/d/1Kvs4KS76FHFqLFIZfrDMff4kP08nblUkihrxltoGBjg/edit#gid=934712705"",""ESENCIAL!A6:BG""),15,FALSE))"),"")</f>
        <v/>
      </c>
      <c r="AY439" s="110" t="str">
        <f ca="1">IFERROR(__xludf.DUMMYFUNCTION("IFERROR(VLOOKUP(E705&amp;F705,IMPORTRANGE(""https://docs.google.com/spreadsheets/d/1Uw7-A9f9R21vMXxHZFNpYNeKFtG8_yji4HS352LGlSQ/edit?pli=1#gid=0"",""1_ACUM!A4:S""),13,FALSE))"),"")</f>
        <v/>
      </c>
      <c r="AZ439" s="43" t="str">
        <f ca="1">IFERROR(__xludf.DUMMYFUNCTION("IFERROR(VLOOKUP(E705&amp;F705,IMPORTRANGE(""https://docs.google.com/spreadsheets/d/1Uw7-A9f9R21vMXxHZFNpYNeKFtG8_yji4HS352LGlSQ/edit?pli=1#gid=0"",""1_ACUM!A4:S""),13,FALSE))"),"")</f>
        <v/>
      </c>
      <c r="BA439" s="43" t="str">
        <f ca="1">IFERROR(__xludf.DUMMYFUNCTION("IFERROR(VLOOKUP(E705&amp;F705,IMPORTRANGE(""https://docs.google.com/spreadsheets/d/1Uw7-A9f9R21vMXxHZFNpYNeKFtG8_yji4HS352LGlSQ/edit?pli=1#gid=0"",""1_ACUM!A4:S""),14,FALSE))"),"")</f>
        <v/>
      </c>
      <c r="BB439" s="43" t="str">
        <f ca="1">IFERROR(__xludf.DUMMYFUNCTION("IFERROR(VLOOKUP(E705&amp;F705,IMPORTRANGE(""https://docs.google.com/spreadsheets/d/1Uw7-A9f9R21vMXxHZFNpYNeKFtG8_yji4HS352LGlSQ/edit?pli=1#gid=0"",""1_ACUM!A4:S""),15,FALSE))"),"")</f>
        <v/>
      </c>
      <c r="BC439" s="43" t="str">
        <f ca="1">IFERROR(__xludf.DUMMYFUNCTION("IFERROR(VLOOKUP(E705&amp;F705,IMPORTRANGE(""https://docs.google.com/spreadsheets/d/1Uw7-A9f9R21vMXxHZFNpYNeKFtG8_yji4HS352LGlSQ/edit?pli=1#gid=0"",""1_ACUM!A4:S""),16,FALSE))"),"")</f>
        <v/>
      </c>
      <c r="BD439" s="43" t="str">
        <f ca="1">IFERROR(__xludf.DUMMYFUNCTION("IFERROR(VLOOKUP(E705&amp;F705,IMPORTRANGE(""https://docs.google.com/spreadsheets/d/1Uw7-A9f9R21vMXxHZFNpYNeKFtG8_yji4HS352LGlSQ/edit?pli=1#gid=0"",""1_ACUM!A4:S""),17,FALSE))"),"")</f>
        <v/>
      </c>
      <c r="BE439" s="44" t="str">
        <f ca="1">IFERROR(__xludf.DUMMYFUNCTION("IFERROR(VLOOKUP(E705&amp;F705,IMPORTRANGE(""https://docs.google.com/spreadsheets/d/1Uw7-A9f9R21vMXxHZFNpYNeKFtG8_yji4HS352LGlSQ/edit?pli=1#gid=0"",""1_ACUM!A4:S""),18,FALSE))"),"")</f>
        <v/>
      </c>
      <c r="BF439" s="44" t="str">
        <f ca="1">IFERROR(__xludf.DUMMYFUNCTION("IFERROR(VLOOKUP(E705&amp;F705,IMPORTRANGE(""https://docs.google.com/spreadsheets/d/1Uw7-A9f9R21vMXxHZFNpYNeKFtG8_yji4HS352LGlSQ/edit?pli=1#gid=0"",""1_ACUM!A4:S""),19,FALSE))"),"")</f>
        <v/>
      </c>
      <c r="BG439" s="98" t="str">
        <f ca="1">IFERROR(__xludf.DUMMYFUNCTION("IFERROR(VLOOKUP(F705,IMPORTRANGE(""https://docs.google.com/spreadsheets/d/1Kvs4KS76FHFqLFIZfrDMff4kP08nblUkihrxltoGBjg/edit#gid=934712705"",""ESENCIAL!A6:BG""),5,FALSE))"),"")</f>
        <v/>
      </c>
      <c r="BH439" s="98" t="str">
        <f t="shared" si="21"/>
        <v/>
      </c>
      <c r="BI439" s="99" t="str">
        <f t="shared" si="22"/>
        <v/>
      </c>
      <c r="BJ439" s="100" t="str">
        <f ca="1">IFERROR(__xludf.DUMMYFUNCTION("IFERROR(VLOOKUP(F705,IMPORTRANGE(""https://docs.google.com/spreadsheets/d/1Kvs4KS76FHFqLFIZfrDMff4kP08nblUkihrxltoGBjg/edit#gid=934712705"",""ESENCIAL!A6:BG""),2,FALSE))"),"")</f>
        <v/>
      </c>
      <c r="BK439" s="19" t="str">
        <f t="shared" si="23"/>
        <v/>
      </c>
      <c r="BL439" s="100"/>
      <c r="BM439" s="100"/>
    </row>
    <row r="440" spans="2:65" ht="15">
      <c r="B440" s="39"/>
      <c r="C440" s="5"/>
      <c r="D440" s="123"/>
      <c r="E440" s="39"/>
      <c r="F440" s="39"/>
      <c r="G440" s="39"/>
      <c r="H440" s="5" t="str">
        <f ca="1">IFERROR(__xludf.DUMMYFUNCTION("IFERROR(VLOOKUP(F706,IMPORTRANGE(""https://docs.google.com/spreadsheets/d/1Kvs4KS76FHFqLFIZfrDMff4kP08nblUkihrxltoGBjg/edit#gid=934712705"",""ESENCIAL!A6:BG""),3,FALSE))"),"")</f>
        <v/>
      </c>
      <c r="I440" s="5" t="str">
        <f ca="1">IFERROR(__xludf.DUMMYFUNCTION("IFERROR(VLOOKUP(F706,IMPORTRANGE(""https://docs.google.com/spreadsheets/d/1Kvs4KS76FHFqLFIZfrDMff4kP08nblUkihrxltoGBjg/edit#gid=934712705"",""ESENCIAL!A6:BG""),8,FALSE))"),"")</f>
        <v/>
      </c>
      <c r="J440" s="39"/>
      <c r="M440" s="287"/>
      <c r="AV440" s="41" t="str">
        <f t="shared" si="20"/>
        <v/>
      </c>
      <c r="AW440" s="5" t="str">
        <f ca="1">IFERROR(__xludf.DUMMYFUNCTION("IFERROR(VLOOKUP(E706&amp;F706,IMPORTRANGE(""https://docs.google.com/spreadsheets/d/1Uw7-A9f9R21vMXxHZFNpYNeKFtG8_yji4HS352LGlSQ/edit?pli=1#gid=0"",""1_ACUM!A4:S""),11,FALSE))"),"")</f>
        <v/>
      </c>
      <c r="AX440" s="42" t="str">
        <f ca="1">IFERROR(__xludf.DUMMYFUNCTION("IFERROR(VLOOKUP(F706,IMPORTRANGE(""https://docs.google.com/spreadsheets/d/1Kvs4KS76FHFqLFIZfrDMff4kP08nblUkihrxltoGBjg/edit#gid=934712705"",""ESENCIAL!A6:BG""),15,FALSE))"),"")</f>
        <v/>
      </c>
      <c r="AY440" s="110" t="str">
        <f ca="1">IFERROR(__xludf.DUMMYFUNCTION("IFERROR(VLOOKUP(E706&amp;F706,IMPORTRANGE(""https://docs.google.com/spreadsheets/d/1Uw7-A9f9R21vMXxHZFNpYNeKFtG8_yji4HS352LGlSQ/edit?pli=1#gid=0"",""1_ACUM!A4:S""),13,FALSE))"),"")</f>
        <v/>
      </c>
      <c r="AZ440" s="43" t="str">
        <f ca="1">IFERROR(__xludf.DUMMYFUNCTION("IFERROR(VLOOKUP(E706&amp;F706,IMPORTRANGE(""https://docs.google.com/spreadsheets/d/1Uw7-A9f9R21vMXxHZFNpYNeKFtG8_yji4HS352LGlSQ/edit?pli=1#gid=0"",""1_ACUM!A4:S""),13,FALSE))"),"")</f>
        <v/>
      </c>
      <c r="BA440" s="43" t="str">
        <f ca="1">IFERROR(__xludf.DUMMYFUNCTION("IFERROR(VLOOKUP(E706&amp;F706,IMPORTRANGE(""https://docs.google.com/spreadsheets/d/1Uw7-A9f9R21vMXxHZFNpYNeKFtG8_yji4HS352LGlSQ/edit?pli=1#gid=0"",""1_ACUM!A4:S""),14,FALSE))"),"")</f>
        <v/>
      </c>
      <c r="BB440" s="43" t="str">
        <f ca="1">IFERROR(__xludf.DUMMYFUNCTION("IFERROR(VLOOKUP(E706&amp;F706,IMPORTRANGE(""https://docs.google.com/spreadsheets/d/1Uw7-A9f9R21vMXxHZFNpYNeKFtG8_yji4HS352LGlSQ/edit?pli=1#gid=0"",""1_ACUM!A4:S""),15,FALSE))"),"")</f>
        <v/>
      </c>
      <c r="BC440" s="43" t="str">
        <f ca="1">IFERROR(__xludf.DUMMYFUNCTION("IFERROR(VLOOKUP(E706&amp;F706,IMPORTRANGE(""https://docs.google.com/spreadsheets/d/1Uw7-A9f9R21vMXxHZFNpYNeKFtG8_yji4HS352LGlSQ/edit?pli=1#gid=0"",""1_ACUM!A4:S""),16,FALSE))"),"")</f>
        <v/>
      </c>
      <c r="BD440" s="43" t="str">
        <f ca="1">IFERROR(__xludf.DUMMYFUNCTION("IFERROR(VLOOKUP(E706&amp;F706,IMPORTRANGE(""https://docs.google.com/spreadsheets/d/1Uw7-A9f9R21vMXxHZFNpYNeKFtG8_yji4HS352LGlSQ/edit?pli=1#gid=0"",""1_ACUM!A4:S""),17,FALSE))"),"")</f>
        <v/>
      </c>
      <c r="BE440" s="44" t="str">
        <f ca="1">IFERROR(__xludf.DUMMYFUNCTION("IFERROR(VLOOKUP(E706&amp;F706,IMPORTRANGE(""https://docs.google.com/spreadsheets/d/1Uw7-A9f9R21vMXxHZFNpYNeKFtG8_yji4HS352LGlSQ/edit?pli=1#gid=0"",""1_ACUM!A4:S""),18,FALSE))"),"")</f>
        <v/>
      </c>
      <c r="BF440" s="44" t="str">
        <f ca="1">IFERROR(__xludf.DUMMYFUNCTION("IFERROR(VLOOKUP(E706&amp;F706,IMPORTRANGE(""https://docs.google.com/spreadsheets/d/1Uw7-A9f9R21vMXxHZFNpYNeKFtG8_yji4HS352LGlSQ/edit?pli=1#gid=0"",""1_ACUM!A4:S""),19,FALSE))"),"")</f>
        <v/>
      </c>
      <c r="BG440" s="98" t="str">
        <f ca="1">IFERROR(__xludf.DUMMYFUNCTION("IFERROR(VLOOKUP(F706,IMPORTRANGE(""https://docs.google.com/spreadsheets/d/1Kvs4KS76FHFqLFIZfrDMff4kP08nblUkihrxltoGBjg/edit#gid=934712705"",""ESENCIAL!A6:BG""),5,FALSE))"),"")</f>
        <v/>
      </c>
      <c r="BH440" s="98" t="str">
        <f t="shared" si="21"/>
        <v/>
      </c>
      <c r="BI440" s="99" t="str">
        <f t="shared" si="22"/>
        <v/>
      </c>
      <c r="BJ440" s="100" t="str">
        <f ca="1">IFERROR(__xludf.DUMMYFUNCTION("IFERROR(VLOOKUP(F706,IMPORTRANGE(""https://docs.google.com/spreadsheets/d/1Kvs4KS76FHFqLFIZfrDMff4kP08nblUkihrxltoGBjg/edit#gid=934712705"",""ESENCIAL!A6:BG""),2,FALSE))"),"")</f>
        <v/>
      </c>
      <c r="BK440" s="19" t="str">
        <f t="shared" si="23"/>
        <v/>
      </c>
      <c r="BL440" s="100"/>
      <c r="BM440" s="100"/>
    </row>
    <row r="441" spans="2:65" ht="15">
      <c r="B441" s="39"/>
      <c r="C441" s="5"/>
      <c r="D441" s="123"/>
      <c r="E441" s="39"/>
      <c r="F441" s="39"/>
      <c r="G441" s="39"/>
      <c r="H441" s="5" t="str">
        <f ca="1">IFERROR(__xludf.DUMMYFUNCTION("IFERROR(VLOOKUP(F707,IMPORTRANGE(""https://docs.google.com/spreadsheets/d/1Kvs4KS76FHFqLFIZfrDMff4kP08nblUkihrxltoGBjg/edit#gid=934712705"",""ESENCIAL!A6:BG""),3,FALSE))"),"")</f>
        <v/>
      </c>
      <c r="I441" s="5" t="str">
        <f ca="1">IFERROR(__xludf.DUMMYFUNCTION("IFERROR(VLOOKUP(F707,IMPORTRANGE(""https://docs.google.com/spreadsheets/d/1Kvs4KS76FHFqLFIZfrDMff4kP08nblUkihrxltoGBjg/edit#gid=934712705"",""ESENCIAL!A6:BG""),8,FALSE))"),"")</f>
        <v/>
      </c>
      <c r="J441" s="39"/>
      <c r="M441" s="287"/>
      <c r="AV441" s="41" t="str">
        <f t="shared" si="20"/>
        <v/>
      </c>
      <c r="AW441" s="5" t="str">
        <f ca="1">IFERROR(__xludf.DUMMYFUNCTION("IFERROR(VLOOKUP(E707&amp;F707,IMPORTRANGE(""https://docs.google.com/spreadsheets/d/1Uw7-A9f9R21vMXxHZFNpYNeKFtG8_yji4HS352LGlSQ/edit?pli=1#gid=0"",""1_ACUM!A4:S""),11,FALSE))"),"")</f>
        <v/>
      </c>
      <c r="AX441" s="42" t="str">
        <f ca="1">IFERROR(__xludf.DUMMYFUNCTION("IFERROR(VLOOKUP(F707,IMPORTRANGE(""https://docs.google.com/spreadsheets/d/1Kvs4KS76FHFqLFIZfrDMff4kP08nblUkihrxltoGBjg/edit#gid=934712705"",""ESENCIAL!A6:BG""),15,FALSE))"),"")</f>
        <v/>
      </c>
      <c r="AY441" s="110" t="str">
        <f ca="1">IFERROR(__xludf.DUMMYFUNCTION("IFERROR(VLOOKUP(E707&amp;F707,IMPORTRANGE(""https://docs.google.com/spreadsheets/d/1Uw7-A9f9R21vMXxHZFNpYNeKFtG8_yji4HS352LGlSQ/edit?pli=1#gid=0"",""1_ACUM!A4:S""),13,FALSE))"),"")</f>
        <v/>
      </c>
      <c r="AZ441" s="43" t="str">
        <f ca="1">IFERROR(__xludf.DUMMYFUNCTION("IFERROR(VLOOKUP(E707&amp;F707,IMPORTRANGE(""https://docs.google.com/spreadsheets/d/1Uw7-A9f9R21vMXxHZFNpYNeKFtG8_yji4HS352LGlSQ/edit?pli=1#gid=0"",""1_ACUM!A4:S""),13,FALSE))"),"")</f>
        <v/>
      </c>
      <c r="BA441" s="43" t="str">
        <f ca="1">IFERROR(__xludf.DUMMYFUNCTION("IFERROR(VLOOKUP(E707&amp;F707,IMPORTRANGE(""https://docs.google.com/spreadsheets/d/1Uw7-A9f9R21vMXxHZFNpYNeKFtG8_yji4HS352LGlSQ/edit?pli=1#gid=0"",""1_ACUM!A4:S""),14,FALSE))"),"")</f>
        <v/>
      </c>
      <c r="BB441" s="43" t="str">
        <f ca="1">IFERROR(__xludf.DUMMYFUNCTION("IFERROR(VLOOKUP(E707&amp;F707,IMPORTRANGE(""https://docs.google.com/spreadsheets/d/1Uw7-A9f9R21vMXxHZFNpYNeKFtG8_yji4HS352LGlSQ/edit?pli=1#gid=0"",""1_ACUM!A4:S""),15,FALSE))"),"")</f>
        <v/>
      </c>
      <c r="BC441" s="43" t="str">
        <f ca="1">IFERROR(__xludf.DUMMYFUNCTION("IFERROR(VLOOKUP(E707&amp;F707,IMPORTRANGE(""https://docs.google.com/spreadsheets/d/1Uw7-A9f9R21vMXxHZFNpYNeKFtG8_yji4HS352LGlSQ/edit?pli=1#gid=0"",""1_ACUM!A4:S""),16,FALSE))"),"")</f>
        <v/>
      </c>
      <c r="BD441" s="43" t="str">
        <f ca="1">IFERROR(__xludf.DUMMYFUNCTION("IFERROR(VLOOKUP(E707&amp;F707,IMPORTRANGE(""https://docs.google.com/spreadsheets/d/1Uw7-A9f9R21vMXxHZFNpYNeKFtG8_yji4HS352LGlSQ/edit?pli=1#gid=0"",""1_ACUM!A4:S""),17,FALSE))"),"")</f>
        <v/>
      </c>
      <c r="BE441" s="44" t="str">
        <f ca="1">IFERROR(__xludf.DUMMYFUNCTION("IFERROR(VLOOKUP(E707&amp;F707,IMPORTRANGE(""https://docs.google.com/spreadsheets/d/1Uw7-A9f9R21vMXxHZFNpYNeKFtG8_yji4HS352LGlSQ/edit?pli=1#gid=0"",""1_ACUM!A4:S""),18,FALSE))"),"")</f>
        <v/>
      </c>
      <c r="BF441" s="44" t="str">
        <f ca="1">IFERROR(__xludf.DUMMYFUNCTION("IFERROR(VLOOKUP(E707&amp;F707,IMPORTRANGE(""https://docs.google.com/spreadsheets/d/1Uw7-A9f9R21vMXxHZFNpYNeKFtG8_yji4HS352LGlSQ/edit?pli=1#gid=0"",""1_ACUM!A4:S""),19,FALSE))"),"")</f>
        <v/>
      </c>
      <c r="BG441" s="98" t="str">
        <f ca="1">IFERROR(__xludf.DUMMYFUNCTION("IFERROR(VLOOKUP(F707,IMPORTRANGE(""https://docs.google.com/spreadsheets/d/1Kvs4KS76FHFqLFIZfrDMff4kP08nblUkihrxltoGBjg/edit#gid=934712705"",""ESENCIAL!A6:BG""),5,FALSE))"),"")</f>
        <v/>
      </c>
      <c r="BH441" s="98" t="str">
        <f t="shared" si="21"/>
        <v/>
      </c>
      <c r="BI441" s="99" t="str">
        <f t="shared" si="22"/>
        <v/>
      </c>
      <c r="BJ441" s="100" t="str">
        <f ca="1">IFERROR(__xludf.DUMMYFUNCTION("IFERROR(VLOOKUP(F707,IMPORTRANGE(""https://docs.google.com/spreadsheets/d/1Kvs4KS76FHFqLFIZfrDMff4kP08nblUkihrxltoGBjg/edit#gid=934712705"",""ESENCIAL!A6:BG""),2,FALSE))"),"")</f>
        <v/>
      </c>
      <c r="BK441" s="19" t="str">
        <f t="shared" si="23"/>
        <v/>
      </c>
      <c r="BL441" s="100"/>
      <c r="BM441" s="100"/>
    </row>
    <row r="442" spans="2:65" ht="15">
      <c r="B442" s="39"/>
      <c r="C442" s="5"/>
      <c r="D442" s="123"/>
      <c r="E442" s="39"/>
      <c r="F442" s="39"/>
      <c r="G442" s="39"/>
      <c r="H442" s="5" t="str">
        <f ca="1">IFERROR(__xludf.DUMMYFUNCTION("IFERROR(VLOOKUP(F708,IMPORTRANGE(""https://docs.google.com/spreadsheets/d/1Kvs4KS76FHFqLFIZfrDMff4kP08nblUkihrxltoGBjg/edit#gid=934712705"",""ESENCIAL!A6:BG""),3,FALSE))"),"")</f>
        <v/>
      </c>
      <c r="I442" s="5" t="str">
        <f ca="1">IFERROR(__xludf.DUMMYFUNCTION("IFERROR(VLOOKUP(F708,IMPORTRANGE(""https://docs.google.com/spreadsheets/d/1Kvs4KS76FHFqLFIZfrDMff4kP08nblUkihrxltoGBjg/edit#gid=934712705"",""ESENCIAL!A6:BG""),8,FALSE))"),"")</f>
        <v/>
      </c>
      <c r="J442" s="39"/>
      <c r="M442" s="287"/>
      <c r="AV442" s="41" t="str">
        <f t="shared" si="20"/>
        <v/>
      </c>
      <c r="AW442" s="5" t="str">
        <f ca="1">IFERROR(__xludf.DUMMYFUNCTION("IFERROR(VLOOKUP(E708&amp;F708,IMPORTRANGE(""https://docs.google.com/spreadsheets/d/1Uw7-A9f9R21vMXxHZFNpYNeKFtG8_yji4HS352LGlSQ/edit?pli=1#gid=0"",""1_ACUM!A4:S""),11,FALSE))"),"")</f>
        <v/>
      </c>
      <c r="AX442" s="42" t="str">
        <f ca="1">IFERROR(__xludf.DUMMYFUNCTION("IFERROR(VLOOKUP(F708,IMPORTRANGE(""https://docs.google.com/spreadsheets/d/1Kvs4KS76FHFqLFIZfrDMff4kP08nblUkihrxltoGBjg/edit#gid=934712705"",""ESENCIAL!A6:BG""),15,FALSE))"),"")</f>
        <v/>
      </c>
      <c r="AY442" s="110" t="str">
        <f ca="1">IFERROR(__xludf.DUMMYFUNCTION("IFERROR(VLOOKUP(E708&amp;F708,IMPORTRANGE(""https://docs.google.com/spreadsheets/d/1Uw7-A9f9R21vMXxHZFNpYNeKFtG8_yji4HS352LGlSQ/edit?pli=1#gid=0"",""1_ACUM!A4:S""),13,FALSE))"),"")</f>
        <v/>
      </c>
      <c r="AZ442" s="43" t="str">
        <f ca="1">IFERROR(__xludf.DUMMYFUNCTION("IFERROR(VLOOKUP(E708&amp;F708,IMPORTRANGE(""https://docs.google.com/spreadsheets/d/1Uw7-A9f9R21vMXxHZFNpYNeKFtG8_yji4HS352LGlSQ/edit?pli=1#gid=0"",""1_ACUM!A4:S""),13,FALSE))"),"")</f>
        <v/>
      </c>
      <c r="BA442" s="43" t="str">
        <f ca="1">IFERROR(__xludf.DUMMYFUNCTION("IFERROR(VLOOKUP(E708&amp;F708,IMPORTRANGE(""https://docs.google.com/spreadsheets/d/1Uw7-A9f9R21vMXxHZFNpYNeKFtG8_yji4HS352LGlSQ/edit?pli=1#gid=0"",""1_ACUM!A4:S""),14,FALSE))"),"")</f>
        <v/>
      </c>
      <c r="BB442" s="43" t="str">
        <f ca="1">IFERROR(__xludf.DUMMYFUNCTION("IFERROR(VLOOKUP(E708&amp;F708,IMPORTRANGE(""https://docs.google.com/spreadsheets/d/1Uw7-A9f9R21vMXxHZFNpYNeKFtG8_yji4HS352LGlSQ/edit?pli=1#gid=0"",""1_ACUM!A4:S""),15,FALSE))"),"")</f>
        <v/>
      </c>
      <c r="BC442" s="43" t="str">
        <f ca="1">IFERROR(__xludf.DUMMYFUNCTION("IFERROR(VLOOKUP(E708&amp;F708,IMPORTRANGE(""https://docs.google.com/spreadsheets/d/1Uw7-A9f9R21vMXxHZFNpYNeKFtG8_yji4HS352LGlSQ/edit?pli=1#gid=0"",""1_ACUM!A4:S""),16,FALSE))"),"")</f>
        <v/>
      </c>
      <c r="BD442" s="43" t="str">
        <f ca="1">IFERROR(__xludf.DUMMYFUNCTION("IFERROR(VLOOKUP(E708&amp;F708,IMPORTRANGE(""https://docs.google.com/spreadsheets/d/1Uw7-A9f9R21vMXxHZFNpYNeKFtG8_yji4HS352LGlSQ/edit?pli=1#gid=0"",""1_ACUM!A4:S""),17,FALSE))"),"")</f>
        <v/>
      </c>
      <c r="BE442" s="44" t="str">
        <f ca="1">IFERROR(__xludf.DUMMYFUNCTION("IFERROR(VLOOKUP(E708&amp;F708,IMPORTRANGE(""https://docs.google.com/spreadsheets/d/1Uw7-A9f9R21vMXxHZFNpYNeKFtG8_yji4HS352LGlSQ/edit?pli=1#gid=0"",""1_ACUM!A4:S""),18,FALSE))"),"")</f>
        <v/>
      </c>
      <c r="BF442" s="44" t="str">
        <f ca="1">IFERROR(__xludf.DUMMYFUNCTION("IFERROR(VLOOKUP(E708&amp;F708,IMPORTRANGE(""https://docs.google.com/spreadsheets/d/1Uw7-A9f9R21vMXxHZFNpYNeKFtG8_yji4HS352LGlSQ/edit?pli=1#gid=0"",""1_ACUM!A4:S""),19,FALSE))"),"")</f>
        <v/>
      </c>
      <c r="BG442" s="98" t="str">
        <f ca="1">IFERROR(__xludf.DUMMYFUNCTION("IFERROR(VLOOKUP(F708,IMPORTRANGE(""https://docs.google.com/spreadsheets/d/1Kvs4KS76FHFqLFIZfrDMff4kP08nblUkihrxltoGBjg/edit#gid=934712705"",""ESENCIAL!A6:BG""),5,FALSE))"),"")</f>
        <v/>
      </c>
      <c r="BH442" s="98" t="str">
        <f t="shared" si="21"/>
        <v/>
      </c>
      <c r="BI442" s="99" t="str">
        <f t="shared" si="22"/>
        <v/>
      </c>
      <c r="BJ442" s="100" t="str">
        <f ca="1">IFERROR(__xludf.DUMMYFUNCTION("IFERROR(VLOOKUP(F708,IMPORTRANGE(""https://docs.google.com/spreadsheets/d/1Kvs4KS76FHFqLFIZfrDMff4kP08nblUkihrxltoGBjg/edit#gid=934712705"",""ESENCIAL!A6:BG""),2,FALSE))"),"")</f>
        <v/>
      </c>
      <c r="BK442" s="19" t="str">
        <f t="shared" si="23"/>
        <v/>
      </c>
      <c r="BL442" s="100"/>
      <c r="BM442" s="100"/>
    </row>
    <row r="443" spans="2:65" ht="15">
      <c r="B443" s="39"/>
      <c r="C443" s="5"/>
      <c r="D443" s="123"/>
      <c r="E443" s="39"/>
      <c r="F443" s="39"/>
      <c r="G443" s="39"/>
      <c r="H443" s="5" t="str">
        <f ca="1">IFERROR(__xludf.DUMMYFUNCTION("IFERROR(VLOOKUP(F709,IMPORTRANGE(""https://docs.google.com/spreadsheets/d/1Kvs4KS76FHFqLFIZfrDMff4kP08nblUkihrxltoGBjg/edit#gid=934712705"",""ESENCIAL!A6:BG""),3,FALSE))"),"")</f>
        <v/>
      </c>
      <c r="I443" s="5" t="str">
        <f ca="1">IFERROR(__xludf.DUMMYFUNCTION("IFERROR(VLOOKUP(F709,IMPORTRANGE(""https://docs.google.com/spreadsheets/d/1Kvs4KS76FHFqLFIZfrDMff4kP08nblUkihrxltoGBjg/edit#gid=934712705"",""ESENCIAL!A6:BG""),8,FALSE))"),"")</f>
        <v/>
      </c>
      <c r="J443" s="39"/>
      <c r="M443" s="287"/>
      <c r="AV443" s="41" t="str">
        <f t="shared" si="20"/>
        <v/>
      </c>
      <c r="AW443" s="5" t="str">
        <f ca="1">IFERROR(__xludf.DUMMYFUNCTION("IFERROR(VLOOKUP(E709&amp;F709,IMPORTRANGE(""https://docs.google.com/spreadsheets/d/1Uw7-A9f9R21vMXxHZFNpYNeKFtG8_yji4HS352LGlSQ/edit?pli=1#gid=0"",""1_ACUM!A4:S""),11,FALSE))"),"")</f>
        <v/>
      </c>
      <c r="AX443" s="42" t="str">
        <f ca="1">IFERROR(__xludf.DUMMYFUNCTION("IFERROR(VLOOKUP(F709,IMPORTRANGE(""https://docs.google.com/spreadsheets/d/1Kvs4KS76FHFqLFIZfrDMff4kP08nblUkihrxltoGBjg/edit#gid=934712705"",""ESENCIAL!A6:BG""),15,FALSE))"),"")</f>
        <v/>
      </c>
      <c r="AY443" s="110" t="str">
        <f ca="1">IFERROR(__xludf.DUMMYFUNCTION("IFERROR(VLOOKUP(E709&amp;F709,IMPORTRANGE(""https://docs.google.com/spreadsheets/d/1Uw7-A9f9R21vMXxHZFNpYNeKFtG8_yji4HS352LGlSQ/edit?pli=1#gid=0"",""1_ACUM!A4:S""),13,FALSE))"),"")</f>
        <v/>
      </c>
      <c r="AZ443" s="43" t="str">
        <f ca="1">IFERROR(__xludf.DUMMYFUNCTION("IFERROR(VLOOKUP(E709&amp;F709,IMPORTRANGE(""https://docs.google.com/spreadsheets/d/1Uw7-A9f9R21vMXxHZFNpYNeKFtG8_yji4HS352LGlSQ/edit?pli=1#gid=0"",""1_ACUM!A4:S""),13,FALSE))"),"")</f>
        <v/>
      </c>
      <c r="BA443" s="43" t="str">
        <f ca="1">IFERROR(__xludf.DUMMYFUNCTION("IFERROR(VLOOKUP(E709&amp;F709,IMPORTRANGE(""https://docs.google.com/spreadsheets/d/1Uw7-A9f9R21vMXxHZFNpYNeKFtG8_yji4HS352LGlSQ/edit?pli=1#gid=0"",""1_ACUM!A4:S""),14,FALSE))"),"")</f>
        <v/>
      </c>
      <c r="BB443" s="43" t="str">
        <f ca="1">IFERROR(__xludf.DUMMYFUNCTION("IFERROR(VLOOKUP(E709&amp;F709,IMPORTRANGE(""https://docs.google.com/spreadsheets/d/1Uw7-A9f9R21vMXxHZFNpYNeKFtG8_yji4HS352LGlSQ/edit?pli=1#gid=0"",""1_ACUM!A4:S""),15,FALSE))"),"")</f>
        <v/>
      </c>
      <c r="BC443" s="43" t="str">
        <f ca="1">IFERROR(__xludf.DUMMYFUNCTION("IFERROR(VLOOKUP(E709&amp;F709,IMPORTRANGE(""https://docs.google.com/spreadsheets/d/1Uw7-A9f9R21vMXxHZFNpYNeKFtG8_yji4HS352LGlSQ/edit?pli=1#gid=0"",""1_ACUM!A4:S""),16,FALSE))"),"")</f>
        <v/>
      </c>
      <c r="BD443" s="43" t="str">
        <f ca="1">IFERROR(__xludf.DUMMYFUNCTION("IFERROR(VLOOKUP(E709&amp;F709,IMPORTRANGE(""https://docs.google.com/spreadsheets/d/1Uw7-A9f9R21vMXxHZFNpYNeKFtG8_yji4HS352LGlSQ/edit?pli=1#gid=0"",""1_ACUM!A4:S""),17,FALSE))"),"")</f>
        <v/>
      </c>
      <c r="BE443" s="44" t="str">
        <f ca="1">IFERROR(__xludf.DUMMYFUNCTION("IFERROR(VLOOKUP(E709&amp;F709,IMPORTRANGE(""https://docs.google.com/spreadsheets/d/1Uw7-A9f9R21vMXxHZFNpYNeKFtG8_yji4HS352LGlSQ/edit?pli=1#gid=0"",""1_ACUM!A4:S""),18,FALSE))"),"")</f>
        <v/>
      </c>
      <c r="BF443" s="44" t="str">
        <f ca="1">IFERROR(__xludf.DUMMYFUNCTION("IFERROR(VLOOKUP(E709&amp;F709,IMPORTRANGE(""https://docs.google.com/spreadsheets/d/1Uw7-A9f9R21vMXxHZFNpYNeKFtG8_yji4HS352LGlSQ/edit?pli=1#gid=0"",""1_ACUM!A4:S""),19,FALSE))"),"")</f>
        <v/>
      </c>
      <c r="BG443" s="98" t="str">
        <f ca="1">IFERROR(__xludf.DUMMYFUNCTION("IFERROR(VLOOKUP(F709,IMPORTRANGE(""https://docs.google.com/spreadsheets/d/1Kvs4KS76FHFqLFIZfrDMff4kP08nblUkihrxltoGBjg/edit#gid=934712705"",""ESENCIAL!A6:BG""),5,FALSE))"),"")</f>
        <v/>
      </c>
      <c r="BH443" s="98" t="str">
        <f t="shared" si="21"/>
        <v/>
      </c>
      <c r="BI443" s="99" t="str">
        <f t="shared" si="22"/>
        <v/>
      </c>
      <c r="BJ443" s="100" t="str">
        <f ca="1">IFERROR(__xludf.DUMMYFUNCTION("IFERROR(VLOOKUP(F709,IMPORTRANGE(""https://docs.google.com/spreadsheets/d/1Kvs4KS76FHFqLFIZfrDMff4kP08nblUkihrxltoGBjg/edit#gid=934712705"",""ESENCIAL!A6:BG""),2,FALSE))"),"")</f>
        <v/>
      </c>
      <c r="BK443" s="19" t="str">
        <f t="shared" si="23"/>
        <v/>
      </c>
      <c r="BL443" s="100"/>
      <c r="BM443" s="100"/>
    </row>
    <row r="444" spans="2:65" ht="15">
      <c r="B444" s="39"/>
      <c r="C444" s="5"/>
      <c r="D444" s="123"/>
      <c r="E444" s="39"/>
      <c r="F444" s="39"/>
      <c r="G444" s="39"/>
      <c r="H444" s="5" t="str">
        <f ca="1">IFERROR(__xludf.DUMMYFUNCTION("IFERROR(VLOOKUP(F710,IMPORTRANGE(""https://docs.google.com/spreadsheets/d/1Kvs4KS76FHFqLFIZfrDMff4kP08nblUkihrxltoGBjg/edit#gid=934712705"",""ESENCIAL!A6:BG""),3,FALSE))"),"")</f>
        <v/>
      </c>
      <c r="I444" s="5" t="str">
        <f ca="1">IFERROR(__xludf.DUMMYFUNCTION("IFERROR(VLOOKUP(F710,IMPORTRANGE(""https://docs.google.com/spreadsheets/d/1Kvs4KS76FHFqLFIZfrDMff4kP08nblUkihrxltoGBjg/edit#gid=934712705"",""ESENCIAL!A6:BG""),8,FALSE))"),"")</f>
        <v/>
      </c>
      <c r="J444" s="39"/>
      <c r="M444" s="287"/>
      <c r="AV444" s="41" t="str">
        <f t="shared" si="20"/>
        <v/>
      </c>
      <c r="AW444" s="5" t="str">
        <f ca="1">IFERROR(__xludf.DUMMYFUNCTION("IFERROR(VLOOKUP(E710&amp;F710,IMPORTRANGE(""https://docs.google.com/spreadsheets/d/1Uw7-A9f9R21vMXxHZFNpYNeKFtG8_yji4HS352LGlSQ/edit?pli=1#gid=0"",""1_ACUM!A4:S""),11,FALSE))"),"")</f>
        <v/>
      </c>
      <c r="AX444" s="42" t="str">
        <f ca="1">IFERROR(__xludf.DUMMYFUNCTION("IFERROR(VLOOKUP(F710,IMPORTRANGE(""https://docs.google.com/spreadsheets/d/1Kvs4KS76FHFqLFIZfrDMff4kP08nblUkihrxltoGBjg/edit#gid=934712705"",""ESENCIAL!A6:BG""),15,FALSE))"),"")</f>
        <v/>
      </c>
      <c r="AY444" s="110" t="str">
        <f ca="1">IFERROR(__xludf.DUMMYFUNCTION("IFERROR(VLOOKUP(E710&amp;F710,IMPORTRANGE(""https://docs.google.com/spreadsheets/d/1Uw7-A9f9R21vMXxHZFNpYNeKFtG8_yji4HS352LGlSQ/edit?pli=1#gid=0"",""1_ACUM!A4:S""),13,FALSE))"),"")</f>
        <v/>
      </c>
      <c r="AZ444" s="43" t="str">
        <f ca="1">IFERROR(__xludf.DUMMYFUNCTION("IFERROR(VLOOKUP(E710&amp;F710,IMPORTRANGE(""https://docs.google.com/spreadsheets/d/1Uw7-A9f9R21vMXxHZFNpYNeKFtG8_yji4HS352LGlSQ/edit?pli=1#gid=0"",""1_ACUM!A4:S""),13,FALSE))"),"")</f>
        <v/>
      </c>
      <c r="BA444" s="43" t="str">
        <f ca="1">IFERROR(__xludf.DUMMYFUNCTION("IFERROR(VLOOKUP(E710&amp;F710,IMPORTRANGE(""https://docs.google.com/spreadsheets/d/1Uw7-A9f9R21vMXxHZFNpYNeKFtG8_yji4HS352LGlSQ/edit?pli=1#gid=0"",""1_ACUM!A4:S""),14,FALSE))"),"")</f>
        <v/>
      </c>
      <c r="BB444" s="43" t="str">
        <f ca="1">IFERROR(__xludf.DUMMYFUNCTION("IFERROR(VLOOKUP(E710&amp;F710,IMPORTRANGE(""https://docs.google.com/spreadsheets/d/1Uw7-A9f9R21vMXxHZFNpYNeKFtG8_yji4HS352LGlSQ/edit?pli=1#gid=0"",""1_ACUM!A4:S""),15,FALSE))"),"")</f>
        <v/>
      </c>
      <c r="BC444" s="43" t="str">
        <f ca="1">IFERROR(__xludf.DUMMYFUNCTION("IFERROR(VLOOKUP(E710&amp;F710,IMPORTRANGE(""https://docs.google.com/spreadsheets/d/1Uw7-A9f9R21vMXxHZFNpYNeKFtG8_yji4HS352LGlSQ/edit?pli=1#gid=0"",""1_ACUM!A4:S""),16,FALSE))"),"")</f>
        <v/>
      </c>
      <c r="BD444" s="43" t="str">
        <f ca="1">IFERROR(__xludf.DUMMYFUNCTION("IFERROR(VLOOKUP(E710&amp;F710,IMPORTRANGE(""https://docs.google.com/spreadsheets/d/1Uw7-A9f9R21vMXxHZFNpYNeKFtG8_yji4HS352LGlSQ/edit?pli=1#gid=0"",""1_ACUM!A4:S""),17,FALSE))"),"")</f>
        <v/>
      </c>
      <c r="BE444" s="44" t="str">
        <f ca="1">IFERROR(__xludf.DUMMYFUNCTION("IFERROR(VLOOKUP(E710&amp;F710,IMPORTRANGE(""https://docs.google.com/spreadsheets/d/1Uw7-A9f9R21vMXxHZFNpYNeKFtG8_yji4HS352LGlSQ/edit?pli=1#gid=0"",""1_ACUM!A4:S""),18,FALSE))"),"")</f>
        <v/>
      </c>
      <c r="BF444" s="44" t="str">
        <f ca="1">IFERROR(__xludf.DUMMYFUNCTION("IFERROR(VLOOKUP(E710&amp;F710,IMPORTRANGE(""https://docs.google.com/spreadsheets/d/1Uw7-A9f9R21vMXxHZFNpYNeKFtG8_yji4HS352LGlSQ/edit?pli=1#gid=0"",""1_ACUM!A4:S""),19,FALSE))"),"")</f>
        <v/>
      </c>
      <c r="BG444" s="98" t="str">
        <f ca="1">IFERROR(__xludf.DUMMYFUNCTION("IFERROR(VLOOKUP(F710,IMPORTRANGE(""https://docs.google.com/spreadsheets/d/1Kvs4KS76FHFqLFIZfrDMff4kP08nblUkihrxltoGBjg/edit#gid=934712705"",""ESENCIAL!A6:BG""),5,FALSE))"),"")</f>
        <v/>
      </c>
      <c r="BH444" s="98" t="str">
        <f t="shared" si="21"/>
        <v/>
      </c>
      <c r="BI444" s="99" t="str">
        <f t="shared" si="22"/>
        <v/>
      </c>
      <c r="BJ444" s="100" t="str">
        <f ca="1">IFERROR(__xludf.DUMMYFUNCTION("IFERROR(VLOOKUP(F710,IMPORTRANGE(""https://docs.google.com/spreadsheets/d/1Kvs4KS76FHFqLFIZfrDMff4kP08nblUkihrxltoGBjg/edit#gid=934712705"",""ESENCIAL!A6:BG""),2,FALSE))"),"")</f>
        <v/>
      </c>
      <c r="BK444" s="19" t="str">
        <f t="shared" si="23"/>
        <v/>
      </c>
      <c r="BL444" s="100"/>
      <c r="BM444" s="100"/>
    </row>
    <row r="445" spans="2:65" ht="15">
      <c r="B445" s="39"/>
      <c r="C445" s="5"/>
      <c r="D445" s="123"/>
      <c r="E445" s="39"/>
      <c r="F445" s="39"/>
      <c r="G445" s="39"/>
      <c r="H445" s="5" t="str">
        <f ca="1">IFERROR(__xludf.DUMMYFUNCTION("IFERROR(VLOOKUP(F711,IMPORTRANGE(""https://docs.google.com/spreadsheets/d/1Kvs4KS76FHFqLFIZfrDMff4kP08nblUkihrxltoGBjg/edit#gid=934712705"",""ESENCIAL!A6:BG""),3,FALSE))"),"")</f>
        <v/>
      </c>
      <c r="I445" s="5" t="str">
        <f ca="1">IFERROR(__xludf.DUMMYFUNCTION("IFERROR(VLOOKUP(F711,IMPORTRANGE(""https://docs.google.com/spreadsheets/d/1Kvs4KS76FHFqLFIZfrDMff4kP08nblUkihrxltoGBjg/edit#gid=934712705"",""ESENCIAL!A6:BG""),8,FALSE))"),"")</f>
        <v/>
      </c>
      <c r="J445" s="39"/>
      <c r="M445" s="287"/>
      <c r="AV445" s="41" t="str">
        <f t="shared" si="20"/>
        <v/>
      </c>
      <c r="AW445" s="5" t="str">
        <f ca="1">IFERROR(__xludf.DUMMYFUNCTION("IFERROR(VLOOKUP(E711&amp;F711,IMPORTRANGE(""https://docs.google.com/spreadsheets/d/1Uw7-A9f9R21vMXxHZFNpYNeKFtG8_yji4HS352LGlSQ/edit?pli=1#gid=0"",""1_ACUM!A4:S""),11,FALSE))"),"")</f>
        <v/>
      </c>
      <c r="AX445" s="42" t="str">
        <f ca="1">IFERROR(__xludf.DUMMYFUNCTION("IFERROR(VLOOKUP(F711,IMPORTRANGE(""https://docs.google.com/spreadsheets/d/1Kvs4KS76FHFqLFIZfrDMff4kP08nblUkihrxltoGBjg/edit#gid=934712705"",""ESENCIAL!A6:BG""),15,FALSE))"),"")</f>
        <v/>
      </c>
      <c r="AY445" s="110" t="str">
        <f ca="1">IFERROR(__xludf.DUMMYFUNCTION("IFERROR(VLOOKUP(E711&amp;F711,IMPORTRANGE(""https://docs.google.com/spreadsheets/d/1Uw7-A9f9R21vMXxHZFNpYNeKFtG8_yji4HS352LGlSQ/edit?pli=1#gid=0"",""1_ACUM!A4:S""),13,FALSE))"),"")</f>
        <v/>
      </c>
      <c r="AZ445" s="43" t="str">
        <f ca="1">IFERROR(__xludf.DUMMYFUNCTION("IFERROR(VLOOKUP(E711&amp;F711,IMPORTRANGE(""https://docs.google.com/spreadsheets/d/1Uw7-A9f9R21vMXxHZFNpYNeKFtG8_yji4HS352LGlSQ/edit?pli=1#gid=0"",""1_ACUM!A4:S""),13,FALSE))"),"")</f>
        <v/>
      </c>
      <c r="BA445" s="43" t="str">
        <f ca="1">IFERROR(__xludf.DUMMYFUNCTION("IFERROR(VLOOKUP(E711&amp;F711,IMPORTRANGE(""https://docs.google.com/spreadsheets/d/1Uw7-A9f9R21vMXxHZFNpYNeKFtG8_yji4HS352LGlSQ/edit?pli=1#gid=0"",""1_ACUM!A4:S""),14,FALSE))"),"")</f>
        <v/>
      </c>
      <c r="BB445" s="43" t="str">
        <f ca="1">IFERROR(__xludf.DUMMYFUNCTION("IFERROR(VLOOKUP(E711&amp;F711,IMPORTRANGE(""https://docs.google.com/spreadsheets/d/1Uw7-A9f9R21vMXxHZFNpYNeKFtG8_yji4HS352LGlSQ/edit?pli=1#gid=0"",""1_ACUM!A4:S""),15,FALSE))"),"")</f>
        <v/>
      </c>
      <c r="BC445" s="43" t="str">
        <f ca="1">IFERROR(__xludf.DUMMYFUNCTION("IFERROR(VLOOKUP(E711&amp;F711,IMPORTRANGE(""https://docs.google.com/spreadsheets/d/1Uw7-A9f9R21vMXxHZFNpYNeKFtG8_yji4HS352LGlSQ/edit?pli=1#gid=0"",""1_ACUM!A4:S""),16,FALSE))"),"")</f>
        <v/>
      </c>
      <c r="BD445" s="43" t="str">
        <f ca="1">IFERROR(__xludf.DUMMYFUNCTION("IFERROR(VLOOKUP(E711&amp;F711,IMPORTRANGE(""https://docs.google.com/spreadsheets/d/1Uw7-A9f9R21vMXxHZFNpYNeKFtG8_yji4HS352LGlSQ/edit?pli=1#gid=0"",""1_ACUM!A4:S""),17,FALSE))"),"")</f>
        <v/>
      </c>
      <c r="BE445" s="44" t="str">
        <f ca="1">IFERROR(__xludf.DUMMYFUNCTION("IFERROR(VLOOKUP(E711&amp;F711,IMPORTRANGE(""https://docs.google.com/spreadsheets/d/1Uw7-A9f9R21vMXxHZFNpYNeKFtG8_yji4HS352LGlSQ/edit?pli=1#gid=0"",""1_ACUM!A4:S""),18,FALSE))"),"")</f>
        <v/>
      </c>
      <c r="BF445" s="44" t="str">
        <f ca="1">IFERROR(__xludf.DUMMYFUNCTION("IFERROR(VLOOKUP(E711&amp;F711,IMPORTRANGE(""https://docs.google.com/spreadsheets/d/1Uw7-A9f9R21vMXxHZFNpYNeKFtG8_yji4HS352LGlSQ/edit?pli=1#gid=0"",""1_ACUM!A4:S""),19,FALSE))"),"")</f>
        <v/>
      </c>
      <c r="BG445" s="98" t="str">
        <f ca="1">IFERROR(__xludf.DUMMYFUNCTION("IFERROR(VLOOKUP(F711,IMPORTRANGE(""https://docs.google.com/spreadsheets/d/1Kvs4KS76FHFqLFIZfrDMff4kP08nblUkihrxltoGBjg/edit#gid=934712705"",""ESENCIAL!A6:BG""),5,FALSE))"),"")</f>
        <v/>
      </c>
      <c r="BH445" s="98" t="str">
        <f t="shared" si="21"/>
        <v/>
      </c>
      <c r="BI445" s="99" t="str">
        <f t="shared" si="22"/>
        <v/>
      </c>
      <c r="BJ445" s="100" t="str">
        <f ca="1">IFERROR(__xludf.DUMMYFUNCTION("IFERROR(VLOOKUP(F711,IMPORTRANGE(""https://docs.google.com/spreadsheets/d/1Kvs4KS76FHFqLFIZfrDMff4kP08nblUkihrxltoGBjg/edit#gid=934712705"",""ESENCIAL!A6:BG""),2,FALSE))"),"")</f>
        <v/>
      </c>
      <c r="BK445" s="19" t="str">
        <f t="shared" si="23"/>
        <v/>
      </c>
      <c r="BL445" s="100"/>
      <c r="BM445" s="100"/>
    </row>
    <row r="446" spans="2:65" ht="15">
      <c r="B446" s="39"/>
      <c r="C446" s="5"/>
      <c r="D446" s="123"/>
      <c r="E446" s="39"/>
      <c r="F446" s="39"/>
      <c r="G446" s="39"/>
      <c r="H446" s="5" t="str">
        <f ca="1">IFERROR(__xludf.DUMMYFUNCTION("IFERROR(VLOOKUP(F712,IMPORTRANGE(""https://docs.google.com/spreadsheets/d/1Kvs4KS76FHFqLFIZfrDMff4kP08nblUkihrxltoGBjg/edit#gid=934712705"",""ESENCIAL!A6:BG""),3,FALSE))"),"")</f>
        <v/>
      </c>
      <c r="I446" s="5" t="str">
        <f ca="1">IFERROR(__xludf.DUMMYFUNCTION("IFERROR(VLOOKUP(F712,IMPORTRANGE(""https://docs.google.com/spreadsheets/d/1Kvs4KS76FHFqLFIZfrDMff4kP08nblUkihrxltoGBjg/edit#gid=934712705"",""ESENCIAL!A6:BG""),8,FALSE))"),"")</f>
        <v/>
      </c>
      <c r="J446" s="39"/>
      <c r="M446" s="287"/>
      <c r="AV446" s="41" t="str">
        <f t="shared" si="20"/>
        <v/>
      </c>
      <c r="AW446" s="5" t="str">
        <f ca="1">IFERROR(__xludf.DUMMYFUNCTION("IFERROR(VLOOKUP(E712&amp;F712,IMPORTRANGE(""https://docs.google.com/spreadsheets/d/1Uw7-A9f9R21vMXxHZFNpYNeKFtG8_yji4HS352LGlSQ/edit?pli=1#gid=0"",""1_ACUM!A4:S""),11,FALSE))"),"")</f>
        <v/>
      </c>
      <c r="AX446" s="42" t="str">
        <f ca="1">IFERROR(__xludf.DUMMYFUNCTION("IFERROR(VLOOKUP(F712,IMPORTRANGE(""https://docs.google.com/spreadsheets/d/1Kvs4KS76FHFqLFIZfrDMff4kP08nblUkihrxltoGBjg/edit#gid=934712705"",""ESENCIAL!A6:BG""),15,FALSE))"),"")</f>
        <v/>
      </c>
      <c r="AY446" s="110" t="str">
        <f ca="1">IFERROR(__xludf.DUMMYFUNCTION("IFERROR(VLOOKUP(E712&amp;F712,IMPORTRANGE(""https://docs.google.com/spreadsheets/d/1Uw7-A9f9R21vMXxHZFNpYNeKFtG8_yji4HS352LGlSQ/edit?pli=1#gid=0"",""1_ACUM!A4:S""),13,FALSE))"),"")</f>
        <v/>
      </c>
      <c r="AZ446" s="43" t="str">
        <f ca="1">IFERROR(__xludf.DUMMYFUNCTION("IFERROR(VLOOKUP(E712&amp;F712,IMPORTRANGE(""https://docs.google.com/spreadsheets/d/1Uw7-A9f9R21vMXxHZFNpYNeKFtG8_yji4HS352LGlSQ/edit?pli=1#gid=0"",""1_ACUM!A4:S""),13,FALSE))"),"")</f>
        <v/>
      </c>
      <c r="BA446" s="43" t="str">
        <f ca="1">IFERROR(__xludf.DUMMYFUNCTION("IFERROR(VLOOKUP(E712&amp;F712,IMPORTRANGE(""https://docs.google.com/spreadsheets/d/1Uw7-A9f9R21vMXxHZFNpYNeKFtG8_yji4HS352LGlSQ/edit?pli=1#gid=0"",""1_ACUM!A4:S""),14,FALSE))"),"")</f>
        <v/>
      </c>
      <c r="BB446" s="43" t="str">
        <f ca="1">IFERROR(__xludf.DUMMYFUNCTION("IFERROR(VLOOKUP(E712&amp;F712,IMPORTRANGE(""https://docs.google.com/spreadsheets/d/1Uw7-A9f9R21vMXxHZFNpYNeKFtG8_yji4HS352LGlSQ/edit?pli=1#gid=0"",""1_ACUM!A4:S""),15,FALSE))"),"")</f>
        <v/>
      </c>
      <c r="BC446" s="43" t="str">
        <f ca="1">IFERROR(__xludf.DUMMYFUNCTION("IFERROR(VLOOKUP(E712&amp;F712,IMPORTRANGE(""https://docs.google.com/spreadsheets/d/1Uw7-A9f9R21vMXxHZFNpYNeKFtG8_yji4HS352LGlSQ/edit?pli=1#gid=0"",""1_ACUM!A4:S""),16,FALSE))"),"")</f>
        <v/>
      </c>
      <c r="BD446" s="43" t="str">
        <f ca="1">IFERROR(__xludf.DUMMYFUNCTION("IFERROR(VLOOKUP(E712&amp;F712,IMPORTRANGE(""https://docs.google.com/spreadsheets/d/1Uw7-A9f9R21vMXxHZFNpYNeKFtG8_yji4HS352LGlSQ/edit?pli=1#gid=0"",""1_ACUM!A4:S""),17,FALSE))"),"")</f>
        <v/>
      </c>
      <c r="BE446" s="44" t="str">
        <f ca="1">IFERROR(__xludf.DUMMYFUNCTION("IFERROR(VLOOKUP(E712&amp;F712,IMPORTRANGE(""https://docs.google.com/spreadsheets/d/1Uw7-A9f9R21vMXxHZFNpYNeKFtG8_yji4HS352LGlSQ/edit?pli=1#gid=0"",""1_ACUM!A4:S""),18,FALSE))"),"")</f>
        <v/>
      </c>
      <c r="BF446" s="44" t="str">
        <f ca="1">IFERROR(__xludf.DUMMYFUNCTION("IFERROR(VLOOKUP(E712&amp;F712,IMPORTRANGE(""https://docs.google.com/spreadsheets/d/1Uw7-A9f9R21vMXxHZFNpYNeKFtG8_yji4HS352LGlSQ/edit?pli=1#gid=0"",""1_ACUM!A4:S""),19,FALSE))"),"")</f>
        <v/>
      </c>
      <c r="BG446" s="98" t="str">
        <f ca="1">IFERROR(__xludf.DUMMYFUNCTION("IFERROR(VLOOKUP(F712,IMPORTRANGE(""https://docs.google.com/spreadsheets/d/1Kvs4KS76FHFqLFIZfrDMff4kP08nblUkihrxltoGBjg/edit#gid=934712705"",""ESENCIAL!A6:BG""),5,FALSE))"),"")</f>
        <v/>
      </c>
      <c r="BH446" s="98" t="str">
        <f t="shared" si="21"/>
        <v/>
      </c>
      <c r="BI446" s="99" t="str">
        <f t="shared" si="22"/>
        <v/>
      </c>
      <c r="BJ446" s="100" t="str">
        <f ca="1">IFERROR(__xludf.DUMMYFUNCTION("IFERROR(VLOOKUP(F712,IMPORTRANGE(""https://docs.google.com/spreadsheets/d/1Kvs4KS76FHFqLFIZfrDMff4kP08nblUkihrxltoGBjg/edit#gid=934712705"",""ESENCIAL!A6:BG""),2,FALSE))"),"")</f>
        <v/>
      </c>
      <c r="BK446" s="19" t="str">
        <f t="shared" si="23"/>
        <v/>
      </c>
      <c r="BL446" s="100"/>
      <c r="BM446" s="100"/>
    </row>
    <row r="447" spans="2:65" ht="15">
      <c r="B447" s="39"/>
      <c r="C447" s="5"/>
      <c r="D447" s="123"/>
      <c r="E447" s="39"/>
      <c r="F447" s="39"/>
      <c r="G447" s="39"/>
      <c r="H447" s="5" t="str">
        <f ca="1">IFERROR(__xludf.DUMMYFUNCTION("IFERROR(VLOOKUP(F713,IMPORTRANGE(""https://docs.google.com/spreadsheets/d/1Kvs4KS76FHFqLFIZfrDMff4kP08nblUkihrxltoGBjg/edit#gid=934712705"",""ESENCIAL!A6:BG""),3,FALSE))"),"")</f>
        <v/>
      </c>
      <c r="I447" s="5" t="str">
        <f ca="1">IFERROR(__xludf.DUMMYFUNCTION("IFERROR(VLOOKUP(F713,IMPORTRANGE(""https://docs.google.com/spreadsheets/d/1Kvs4KS76FHFqLFIZfrDMff4kP08nblUkihrxltoGBjg/edit#gid=934712705"",""ESENCIAL!A6:BG""),8,FALSE))"),"")</f>
        <v/>
      </c>
      <c r="J447" s="39"/>
      <c r="M447" s="287"/>
      <c r="AV447" s="41" t="str">
        <f t="shared" si="20"/>
        <v/>
      </c>
      <c r="AW447" s="5" t="str">
        <f ca="1">IFERROR(__xludf.DUMMYFUNCTION("IFERROR(VLOOKUP(E713&amp;F713,IMPORTRANGE(""https://docs.google.com/spreadsheets/d/1Uw7-A9f9R21vMXxHZFNpYNeKFtG8_yji4HS352LGlSQ/edit?pli=1#gid=0"",""1_ACUM!A4:S""),11,FALSE))"),"")</f>
        <v/>
      </c>
      <c r="AX447" s="42" t="str">
        <f ca="1">IFERROR(__xludf.DUMMYFUNCTION("IFERROR(VLOOKUP(F713,IMPORTRANGE(""https://docs.google.com/spreadsheets/d/1Kvs4KS76FHFqLFIZfrDMff4kP08nblUkihrxltoGBjg/edit#gid=934712705"",""ESENCIAL!A6:BG""),15,FALSE))"),"")</f>
        <v/>
      </c>
      <c r="AY447" s="110" t="str">
        <f ca="1">IFERROR(__xludf.DUMMYFUNCTION("IFERROR(VLOOKUP(E713&amp;F713,IMPORTRANGE(""https://docs.google.com/spreadsheets/d/1Uw7-A9f9R21vMXxHZFNpYNeKFtG8_yji4HS352LGlSQ/edit?pli=1#gid=0"",""1_ACUM!A4:S""),13,FALSE))"),"")</f>
        <v/>
      </c>
      <c r="AZ447" s="43" t="str">
        <f ca="1">IFERROR(__xludf.DUMMYFUNCTION("IFERROR(VLOOKUP(E713&amp;F713,IMPORTRANGE(""https://docs.google.com/spreadsheets/d/1Uw7-A9f9R21vMXxHZFNpYNeKFtG8_yji4HS352LGlSQ/edit?pli=1#gid=0"",""1_ACUM!A4:S""),13,FALSE))"),"")</f>
        <v/>
      </c>
      <c r="BA447" s="43" t="str">
        <f ca="1">IFERROR(__xludf.DUMMYFUNCTION("IFERROR(VLOOKUP(E713&amp;F713,IMPORTRANGE(""https://docs.google.com/spreadsheets/d/1Uw7-A9f9R21vMXxHZFNpYNeKFtG8_yji4HS352LGlSQ/edit?pli=1#gid=0"",""1_ACUM!A4:S""),14,FALSE))"),"")</f>
        <v/>
      </c>
      <c r="BB447" s="43" t="str">
        <f ca="1">IFERROR(__xludf.DUMMYFUNCTION("IFERROR(VLOOKUP(E713&amp;F713,IMPORTRANGE(""https://docs.google.com/spreadsheets/d/1Uw7-A9f9R21vMXxHZFNpYNeKFtG8_yji4HS352LGlSQ/edit?pli=1#gid=0"",""1_ACUM!A4:S""),15,FALSE))"),"")</f>
        <v/>
      </c>
      <c r="BC447" s="43" t="str">
        <f ca="1">IFERROR(__xludf.DUMMYFUNCTION("IFERROR(VLOOKUP(E713&amp;F713,IMPORTRANGE(""https://docs.google.com/spreadsheets/d/1Uw7-A9f9R21vMXxHZFNpYNeKFtG8_yji4HS352LGlSQ/edit?pli=1#gid=0"",""1_ACUM!A4:S""),16,FALSE))"),"")</f>
        <v/>
      </c>
      <c r="BD447" s="43" t="str">
        <f ca="1">IFERROR(__xludf.DUMMYFUNCTION("IFERROR(VLOOKUP(E713&amp;F713,IMPORTRANGE(""https://docs.google.com/spreadsheets/d/1Uw7-A9f9R21vMXxHZFNpYNeKFtG8_yji4HS352LGlSQ/edit?pli=1#gid=0"",""1_ACUM!A4:S""),17,FALSE))"),"")</f>
        <v/>
      </c>
      <c r="BE447" s="44" t="str">
        <f ca="1">IFERROR(__xludf.DUMMYFUNCTION("IFERROR(VLOOKUP(E713&amp;F713,IMPORTRANGE(""https://docs.google.com/spreadsheets/d/1Uw7-A9f9R21vMXxHZFNpYNeKFtG8_yji4HS352LGlSQ/edit?pli=1#gid=0"",""1_ACUM!A4:S""),18,FALSE))"),"")</f>
        <v/>
      </c>
      <c r="BF447" s="44" t="str">
        <f ca="1">IFERROR(__xludf.DUMMYFUNCTION("IFERROR(VLOOKUP(E713&amp;F713,IMPORTRANGE(""https://docs.google.com/spreadsheets/d/1Uw7-A9f9R21vMXxHZFNpYNeKFtG8_yji4HS352LGlSQ/edit?pli=1#gid=0"",""1_ACUM!A4:S""),19,FALSE))"),"")</f>
        <v/>
      </c>
      <c r="BG447" s="98" t="str">
        <f ca="1">IFERROR(__xludf.DUMMYFUNCTION("IFERROR(VLOOKUP(F713,IMPORTRANGE(""https://docs.google.com/spreadsheets/d/1Kvs4KS76FHFqLFIZfrDMff4kP08nblUkihrxltoGBjg/edit#gid=934712705"",""ESENCIAL!A6:BG""),5,FALSE))"),"")</f>
        <v/>
      </c>
      <c r="BH447" s="98" t="str">
        <f t="shared" si="21"/>
        <v/>
      </c>
      <c r="BI447" s="99" t="str">
        <f t="shared" si="22"/>
        <v/>
      </c>
      <c r="BJ447" s="100" t="str">
        <f ca="1">IFERROR(__xludf.DUMMYFUNCTION("IFERROR(VLOOKUP(F713,IMPORTRANGE(""https://docs.google.com/spreadsheets/d/1Kvs4KS76FHFqLFIZfrDMff4kP08nblUkihrxltoGBjg/edit#gid=934712705"",""ESENCIAL!A6:BG""),2,FALSE))"),"")</f>
        <v/>
      </c>
      <c r="BK447" s="19" t="str">
        <f t="shared" si="23"/>
        <v/>
      </c>
      <c r="BL447" s="100"/>
      <c r="BM447" s="100"/>
    </row>
    <row r="448" spans="2:65" ht="15">
      <c r="B448" s="39"/>
      <c r="C448" s="5"/>
      <c r="D448" s="123"/>
      <c r="E448" s="39"/>
      <c r="F448" s="39"/>
      <c r="G448" s="39"/>
      <c r="H448" s="5" t="str">
        <f ca="1">IFERROR(__xludf.DUMMYFUNCTION("IFERROR(VLOOKUP(F714,IMPORTRANGE(""https://docs.google.com/spreadsheets/d/1Kvs4KS76FHFqLFIZfrDMff4kP08nblUkihrxltoGBjg/edit#gid=934712705"",""ESENCIAL!A6:BG""),3,FALSE))"),"")</f>
        <v/>
      </c>
      <c r="I448" s="5" t="str">
        <f ca="1">IFERROR(__xludf.DUMMYFUNCTION("IFERROR(VLOOKUP(F714,IMPORTRANGE(""https://docs.google.com/spreadsheets/d/1Kvs4KS76FHFqLFIZfrDMff4kP08nblUkihrxltoGBjg/edit#gid=934712705"",""ESENCIAL!A6:BG""),8,FALSE))"),"")</f>
        <v/>
      </c>
      <c r="J448" s="39"/>
      <c r="M448" s="287"/>
      <c r="AV448" s="41" t="str">
        <f t="shared" si="20"/>
        <v/>
      </c>
      <c r="AW448" s="5" t="str">
        <f ca="1">IFERROR(__xludf.DUMMYFUNCTION("IFERROR(VLOOKUP(E714&amp;F714,IMPORTRANGE(""https://docs.google.com/spreadsheets/d/1Uw7-A9f9R21vMXxHZFNpYNeKFtG8_yji4HS352LGlSQ/edit?pli=1#gid=0"",""1_ACUM!A4:S""),11,FALSE))"),"")</f>
        <v/>
      </c>
      <c r="AX448" s="42" t="str">
        <f ca="1">IFERROR(__xludf.DUMMYFUNCTION("IFERROR(VLOOKUP(F714,IMPORTRANGE(""https://docs.google.com/spreadsheets/d/1Kvs4KS76FHFqLFIZfrDMff4kP08nblUkihrxltoGBjg/edit#gid=934712705"",""ESENCIAL!A6:BG""),15,FALSE))"),"")</f>
        <v/>
      </c>
      <c r="AY448" s="110" t="str">
        <f ca="1">IFERROR(__xludf.DUMMYFUNCTION("IFERROR(VLOOKUP(E714&amp;F714,IMPORTRANGE(""https://docs.google.com/spreadsheets/d/1Uw7-A9f9R21vMXxHZFNpYNeKFtG8_yji4HS352LGlSQ/edit?pli=1#gid=0"",""1_ACUM!A4:S""),13,FALSE))"),"")</f>
        <v/>
      </c>
      <c r="AZ448" s="43" t="str">
        <f ca="1">IFERROR(__xludf.DUMMYFUNCTION("IFERROR(VLOOKUP(E714&amp;F714,IMPORTRANGE(""https://docs.google.com/spreadsheets/d/1Uw7-A9f9R21vMXxHZFNpYNeKFtG8_yji4HS352LGlSQ/edit?pli=1#gid=0"",""1_ACUM!A4:S""),13,FALSE))"),"")</f>
        <v/>
      </c>
      <c r="BA448" s="43" t="str">
        <f ca="1">IFERROR(__xludf.DUMMYFUNCTION("IFERROR(VLOOKUP(E714&amp;F714,IMPORTRANGE(""https://docs.google.com/spreadsheets/d/1Uw7-A9f9R21vMXxHZFNpYNeKFtG8_yji4HS352LGlSQ/edit?pli=1#gid=0"",""1_ACUM!A4:S""),14,FALSE))"),"")</f>
        <v/>
      </c>
      <c r="BB448" s="43" t="str">
        <f ca="1">IFERROR(__xludf.DUMMYFUNCTION("IFERROR(VLOOKUP(E714&amp;F714,IMPORTRANGE(""https://docs.google.com/spreadsheets/d/1Uw7-A9f9R21vMXxHZFNpYNeKFtG8_yji4HS352LGlSQ/edit?pli=1#gid=0"",""1_ACUM!A4:S""),15,FALSE))"),"")</f>
        <v/>
      </c>
      <c r="BC448" s="43" t="str">
        <f ca="1">IFERROR(__xludf.DUMMYFUNCTION("IFERROR(VLOOKUP(E714&amp;F714,IMPORTRANGE(""https://docs.google.com/spreadsheets/d/1Uw7-A9f9R21vMXxHZFNpYNeKFtG8_yji4HS352LGlSQ/edit?pli=1#gid=0"",""1_ACUM!A4:S""),16,FALSE))"),"")</f>
        <v/>
      </c>
      <c r="BD448" s="43" t="str">
        <f ca="1">IFERROR(__xludf.DUMMYFUNCTION("IFERROR(VLOOKUP(E714&amp;F714,IMPORTRANGE(""https://docs.google.com/spreadsheets/d/1Uw7-A9f9R21vMXxHZFNpYNeKFtG8_yji4HS352LGlSQ/edit?pli=1#gid=0"",""1_ACUM!A4:S""),17,FALSE))"),"")</f>
        <v/>
      </c>
      <c r="BE448" s="44" t="str">
        <f ca="1">IFERROR(__xludf.DUMMYFUNCTION("IFERROR(VLOOKUP(E714&amp;F714,IMPORTRANGE(""https://docs.google.com/spreadsheets/d/1Uw7-A9f9R21vMXxHZFNpYNeKFtG8_yji4HS352LGlSQ/edit?pli=1#gid=0"",""1_ACUM!A4:S""),18,FALSE))"),"")</f>
        <v/>
      </c>
      <c r="BF448" s="44" t="str">
        <f ca="1">IFERROR(__xludf.DUMMYFUNCTION("IFERROR(VLOOKUP(E714&amp;F714,IMPORTRANGE(""https://docs.google.com/spreadsheets/d/1Uw7-A9f9R21vMXxHZFNpYNeKFtG8_yji4HS352LGlSQ/edit?pli=1#gid=0"",""1_ACUM!A4:S""),19,FALSE))"),"")</f>
        <v/>
      </c>
      <c r="BG448" s="98" t="str">
        <f ca="1">IFERROR(__xludf.DUMMYFUNCTION("IFERROR(VLOOKUP(F714,IMPORTRANGE(""https://docs.google.com/spreadsheets/d/1Kvs4KS76FHFqLFIZfrDMff4kP08nblUkihrxltoGBjg/edit#gid=934712705"",""ESENCIAL!A6:BG""),5,FALSE))"),"")</f>
        <v/>
      </c>
      <c r="BH448" s="98" t="str">
        <f t="shared" si="21"/>
        <v/>
      </c>
      <c r="BI448" s="99" t="str">
        <f t="shared" si="22"/>
        <v/>
      </c>
      <c r="BJ448" s="100" t="str">
        <f ca="1">IFERROR(__xludf.DUMMYFUNCTION("IFERROR(VLOOKUP(F714,IMPORTRANGE(""https://docs.google.com/spreadsheets/d/1Kvs4KS76FHFqLFIZfrDMff4kP08nblUkihrxltoGBjg/edit#gid=934712705"",""ESENCIAL!A6:BG""),2,FALSE))"),"")</f>
        <v/>
      </c>
      <c r="BK448" s="19" t="str">
        <f t="shared" si="23"/>
        <v/>
      </c>
      <c r="BL448" s="100"/>
      <c r="BM448" s="100"/>
    </row>
    <row r="449" spans="2:65" ht="15">
      <c r="B449" s="39"/>
      <c r="C449" s="5"/>
      <c r="D449" s="123"/>
      <c r="E449" s="39"/>
      <c r="F449" s="39"/>
      <c r="G449" s="39"/>
      <c r="H449" s="5" t="str">
        <f ca="1">IFERROR(__xludf.DUMMYFUNCTION("IFERROR(VLOOKUP(F715,IMPORTRANGE(""https://docs.google.com/spreadsheets/d/1Kvs4KS76FHFqLFIZfrDMff4kP08nblUkihrxltoGBjg/edit#gid=934712705"",""ESENCIAL!A6:BG""),3,FALSE))"),"")</f>
        <v/>
      </c>
      <c r="I449" s="5" t="str">
        <f ca="1">IFERROR(__xludf.DUMMYFUNCTION("IFERROR(VLOOKUP(F715,IMPORTRANGE(""https://docs.google.com/spreadsheets/d/1Kvs4KS76FHFqLFIZfrDMff4kP08nblUkihrxltoGBjg/edit#gid=934712705"",""ESENCIAL!A6:BG""),8,FALSE))"),"")</f>
        <v/>
      </c>
      <c r="J449" s="39"/>
      <c r="M449" s="287"/>
      <c r="AV449" s="41" t="str">
        <f t="shared" si="20"/>
        <v/>
      </c>
      <c r="AW449" s="5" t="str">
        <f ca="1">IFERROR(__xludf.DUMMYFUNCTION("IFERROR(VLOOKUP(E715&amp;F715,IMPORTRANGE(""https://docs.google.com/spreadsheets/d/1Uw7-A9f9R21vMXxHZFNpYNeKFtG8_yji4HS352LGlSQ/edit?pli=1#gid=0"",""1_ACUM!A4:S""),11,FALSE))"),"")</f>
        <v/>
      </c>
      <c r="AX449" s="42" t="str">
        <f ca="1">IFERROR(__xludf.DUMMYFUNCTION("IFERROR(VLOOKUP(F715,IMPORTRANGE(""https://docs.google.com/spreadsheets/d/1Kvs4KS76FHFqLFIZfrDMff4kP08nblUkihrxltoGBjg/edit#gid=934712705"",""ESENCIAL!A6:BG""),15,FALSE))"),"")</f>
        <v/>
      </c>
      <c r="AY449" s="110" t="str">
        <f ca="1">IFERROR(__xludf.DUMMYFUNCTION("IFERROR(VLOOKUP(E715&amp;F715,IMPORTRANGE(""https://docs.google.com/spreadsheets/d/1Uw7-A9f9R21vMXxHZFNpYNeKFtG8_yji4HS352LGlSQ/edit?pli=1#gid=0"",""1_ACUM!A4:S""),13,FALSE))"),"")</f>
        <v/>
      </c>
      <c r="AZ449" s="43" t="str">
        <f ca="1">IFERROR(__xludf.DUMMYFUNCTION("IFERROR(VLOOKUP(E715&amp;F715,IMPORTRANGE(""https://docs.google.com/spreadsheets/d/1Uw7-A9f9R21vMXxHZFNpYNeKFtG8_yji4HS352LGlSQ/edit?pli=1#gid=0"",""1_ACUM!A4:S""),13,FALSE))"),"")</f>
        <v/>
      </c>
      <c r="BA449" s="43" t="str">
        <f ca="1">IFERROR(__xludf.DUMMYFUNCTION("IFERROR(VLOOKUP(E715&amp;F715,IMPORTRANGE(""https://docs.google.com/spreadsheets/d/1Uw7-A9f9R21vMXxHZFNpYNeKFtG8_yji4HS352LGlSQ/edit?pli=1#gid=0"",""1_ACUM!A4:S""),14,FALSE))"),"")</f>
        <v/>
      </c>
      <c r="BB449" s="43" t="str">
        <f ca="1">IFERROR(__xludf.DUMMYFUNCTION("IFERROR(VLOOKUP(E715&amp;F715,IMPORTRANGE(""https://docs.google.com/spreadsheets/d/1Uw7-A9f9R21vMXxHZFNpYNeKFtG8_yji4HS352LGlSQ/edit?pli=1#gid=0"",""1_ACUM!A4:S""),15,FALSE))"),"")</f>
        <v/>
      </c>
      <c r="BC449" s="43" t="str">
        <f ca="1">IFERROR(__xludf.DUMMYFUNCTION("IFERROR(VLOOKUP(E715&amp;F715,IMPORTRANGE(""https://docs.google.com/spreadsheets/d/1Uw7-A9f9R21vMXxHZFNpYNeKFtG8_yji4HS352LGlSQ/edit?pli=1#gid=0"",""1_ACUM!A4:S""),16,FALSE))"),"")</f>
        <v/>
      </c>
      <c r="BD449" s="43" t="str">
        <f ca="1">IFERROR(__xludf.DUMMYFUNCTION("IFERROR(VLOOKUP(E715&amp;F715,IMPORTRANGE(""https://docs.google.com/spreadsheets/d/1Uw7-A9f9R21vMXxHZFNpYNeKFtG8_yji4HS352LGlSQ/edit?pli=1#gid=0"",""1_ACUM!A4:S""),17,FALSE))"),"")</f>
        <v/>
      </c>
      <c r="BE449" s="44" t="str">
        <f ca="1">IFERROR(__xludf.DUMMYFUNCTION("IFERROR(VLOOKUP(E715&amp;F715,IMPORTRANGE(""https://docs.google.com/spreadsheets/d/1Uw7-A9f9R21vMXxHZFNpYNeKFtG8_yji4HS352LGlSQ/edit?pli=1#gid=0"",""1_ACUM!A4:S""),18,FALSE))"),"")</f>
        <v/>
      </c>
      <c r="BF449" s="44" t="str">
        <f ca="1">IFERROR(__xludf.DUMMYFUNCTION("IFERROR(VLOOKUP(E715&amp;F715,IMPORTRANGE(""https://docs.google.com/spreadsheets/d/1Uw7-A9f9R21vMXxHZFNpYNeKFtG8_yji4HS352LGlSQ/edit?pli=1#gid=0"",""1_ACUM!A4:S""),19,FALSE))"),"")</f>
        <v/>
      </c>
      <c r="BG449" s="98" t="str">
        <f ca="1">IFERROR(__xludf.DUMMYFUNCTION("IFERROR(VLOOKUP(F715,IMPORTRANGE(""https://docs.google.com/spreadsheets/d/1Kvs4KS76FHFqLFIZfrDMff4kP08nblUkihrxltoGBjg/edit#gid=934712705"",""ESENCIAL!A6:BG""),5,FALSE))"),"")</f>
        <v/>
      </c>
      <c r="BH449" s="98" t="str">
        <f t="shared" si="21"/>
        <v/>
      </c>
      <c r="BI449" s="99" t="str">
        <f t="shared" si="22"/>
        <v/>
      </c>
      <c r="BJ449" s="100" t="str">
        <f ca="1">IFERROR(__xludf.DUMMYFUNCTION("IFERROR(VLOOKUP(F715,IMPORTRANGE(""https://docs.google.com/spreadsheets/d/1Kvs4KS76FHFqLFIZfrDMff4kP08nblUkihrxltoGBjg/edit#gid=934712705"",""ESENCIAL!A6:BG""),2,FALSE))"),"")</f>
        <v/>
      </c>
      <c r="BK449" s="19" t="str">
        <f t="shared" si="23"/>
        <v/>
      </c>
      <c r="BL449" s="100"/>
      <c r="BM449" s="100"/>
    </row>
    <row r="450" spans="2:65" ht="15">
      <c r="B450" s="39"/>
      <c r="C450" s="5"/>
      <c r="D450" s="123"/>
      <c r="E450" s="39"/>
      <c r="F450" s="39"/>
      <c r="G450" s="39"/>
      <c r="H450" s="5" t="str">
        <f ca="1">IFERROR(__xludf.DUMMYFUNCTION("IFERROR(VLOOKUP(F716,IMPORTRANGE(""https://docs.google.com/spreadsheets/d/1Kvs4KS76FHFqLFIZfrDMff4kP08nblUkihrxltoGBjg/edit#gid=934712705"",""ESENCIAL!A6:BG""),3,FALSE))"),"")</f>
        <v/>
      </c>
      <c r="I450" s="5" t="str">
        <f ca="1">IFERROR(__xludf.DUMMYFUNCTION("IFERROR(VLOOKUP(F716,IMPORTRANGE(""https://docs.google.com/spreadsheets/d/1Kvs4KS76FHFqLFIZfrDMff4kP08nblUkihrxltoGBjg/edit#gid=934712705"",""ESENCIAL!A6:BG""),8,FALSE))"),"")</f>
        <v/>
      </c>
      <c r="J450" s="39"/>
      <c r="M450" s="287"/>
      <c r="AV450" s="41" t="str">
        <f t="shared" si="20"/>
        <v/>
      </c>
      <c r="AW450" s="5" t="str">
        <f ca="1">IFERROR(__xludf.DUMMYFUNCTION("IFERROR(VLOOKUP(E716&amp;F716,IMPORTRANGE(""https://docs.google.com/spreadsheets/d/1Uw7-A9f9R21vMXxHZFNpYNeKFtG8_yji4HS352LGlSQ/edit?pli=1#gid=0"",""1_ACUM!A4:S""),11,FALSE))"),"")</f>
        <v/>
      </c>
      <c r="AX450" s="42" t="str">
        <f ca="1">IFERROR(__xludf.DUMMYFUNCTION("IFERROR(VLOOKUP(F716,IMPORTRANGE(""https://docs.google.com/spreadsheets/d/1Kvs4KS76FHFqLFIZfrDMff4kP08nblUkihrxltoGBjg/edit#gid=934712705"",""ESENCIAL!A6:BG""),15,FALSE))"),"")</f>
        <v/>
      </c>
      <c r="AY450" s="110" t="str">
        <f ca="1">IFERROR(__xludf.DUMMYFUNCTION("IFERROR(VLOOKUP(E716&amp;F716,IMPORTRANGE(""https://docs.google.com/spreadsheets/d/1Uw7-A9f9R21vMXxHZFNpYNeKFtG8_yji4HS352LGlSQ/edit?pli=1#gid=0"",""1_ACUM!A4:S""),13,FALSE))"),"")</f>
        <v/>
      </c>
      <c r="AZ450" s="43" t="str">
        <f ca="1">IFERROR(__xludf.DUMMYFUNCTION("IFERROR(VLOOKUP(E716&amp;F716,IMPORTRANGE(""https://docs.google.com/spreadsheets/d/1Uw7-A9f9R21vMXxHZFNpYNeKFtG8_yji4HS352LGlSQ/edit?pli=1#gid=0"",""1_ACUM!A4:S""),13,FALSE))"),"")</f>
        <v/>
      </c>
      <c r="BA450" s="43" t="str">
        <f ca="1">IFERROR(__xludf.DUMMYFUNCTION("IFERROR(VLOOKUP(E716&amp;F716,IMPORTRANGE(""https://docs.google.com/spreadsheets/d/1Uw7-A9f9R21vMXxHZFNpYNeKFtG8_yji4HS352LGlSQ/edit?pli=1#gid=0"",""1_ACUM!A4:S""),14,FALSE))"),"")</f>
        <v/>
      </c>
      <c r="BB450" s="43" t="str">
        <f ca="1">IFERROR(__xludf.DUMMYFUNCTION("IFERROR(VLOOKUP(E716&amp;F716,IMPORTRANGE(""https://docs.google.com/spreadsheets/d/1Uw7-A9f9R21vMXxHZFNpYNeKFtG8_yji4HS352LGlSQ/edit?pli=1#gid=0"",""1_ACUM!A4:S""),15,FALSE))"),"")</f>
        <v/>
      </c>
      <c r="BC450" s="43" t="str">
        <f ca="1">IFERROR(__xludf.DUMMYFUNCTION("IFERROR(VLOOKUP(E716&amp;F716,IMPORTRANGE(""https://docs.google.com/spreadsheets/d/1Uw7-A9f9R21vMXxHZFNpYNeKFtG8_yji4HS352LGlSQ/edit?pli=1#gid=0"",""1_ACUM!A4:S""),16,FALSE))"),"")</f>
        <v/>
      </c>
      <c r="BD450" s="43" t="str">
        <f ca="1">IFERROR(__xludf.DUMMYFUNCTION("IFERROR(VLOOKUP(E716&amp;F716,IMPORTRANGE(""https://docs.google.com/spreadsheets/d/1Uw7-A9f9R21vMXxHZFNpYNeKFtG8_yji4HS352LGlSQ/edit?pli=1#gid=0"",""1_ACUM!A4:S""),17,FALSE))"),"")</f>
        <v/>
      </c>
      <c r="BE450" s="44" t="str">
        <f ca="1">IFERROR(__xludf.DUMMYFUNCTION("IFERROR(VLOOKUP(E716&amp;F716,IMPORTRANGE(""https://docs.google.com/spreadsheets/d/1Uw7-A9f9R21vMXxHZFNpYNeKFtG8_yji4HS352LGlSQ/edit?pli=1#gid=0"",""1_ACUM!A4:S""),18,FALSE))"),"")</f>
        <v/>
      </c>
      <c r="BF450" s="44" t="str">
        <f ca="1">IFERROR(__xludf.DUMMYFUNCTION("IFERROR(VLOOKUP(E716&amp;F716,IMPORTRANGE(""https://docs.google.com/spreadsheets/d/1Uw7-A9f9R21vMXxHZFNpYNeKFtG8_yji4HS352LGlSQ/edit?pli=1#gid=0"",""1_ACUM!A4:S""),19,FALSE))"),"")</f>
        <v/>
      </c>
      <c r="BG450" s="98" t="str">
        <f ca="1">IFERROR(__xludf.DUMMYFUNCTION("IFERROR(VLOOKUP(F716,IMPORTRANGE(""https://docs.google.com/spreadsheets/d/1Kvs4KS76FHFqLFIZfrDMff4kP08nblUkihrxltoGBjg/edit#gid=934712705"",""ESENCIAL!A6:BG""),5,FALSE))"),"")</f>
        <v/>
      </c>
      <c r="BH450" s="98" t="str">
        <f t="shared" si="21"/>
        <v/>
      </c>
      <c r="BI450" s="99" t="str">
        <f t="shared" si="22"/>
        <v/>
      </c>
      <c r="BJ450" s="100" t="str">
        <f ca="1">IFERROR(__xludf.DUMMYFUNCTION("IFERROR(VLOOKUP(F716,IMPORTRANGE(""https://docs.google.com/spreadsheets/d/1Kvs4KS76FHFqLFIZfrDMff4kP08nblUkihrxltoGBjg/edit#gid=934712705"",""ESENCIAL!A6:BG""),2,FALSE))"),"")</f>
        <v/>
      </c>
      <c r="BK450" s="19" t="str">
        <f t="shared" si="23"/>
        <v/>
      </c>
      <c r="BL450" s="100"/>
      <c r="BM450" s="100"/>
    </row>
    <row r="451" spans="2:65" ht="15">
      <c r="B451" s="39"/>
      <c r="C451" s="5"/>
      <c r="D451" s="123"/>
      <c r="E451" s="39"/>
      <c r="F451" s="39"/>
      <c r="G451" s="39"/>
      <c r="H451" s="5" t="str">
        <f ca="1">IFERROR(__xludf.DUMMYFUNCTION("IFERROR(VLOOKUP(F717,IMPORTRANGE(""https://docs.google.com/spreadsheets/d/1Kvs4KS76FHFqLFIZfrDMff4kP08nblUkihrxltoGBjg/edit#gid=934712705"",""ESENCIAL!A6:BG""),3,FALSE))"),"")</f>
        <v/>
      </c>
      <c r="I451" s="5" t="str">
        <f ca="1">IFERROR(__xludf.DUMMYFUNCTION("IFERROR(VLOOKUP(F717,IMPORTRANGE(""https://docs.google.com/spreadsheets/d/1Kvs4KS76FHFqLFIZfrDMff4kP08nblUkihrxltoGBjg/edit#gid=934712705"",""ESENCIAL!A6:BG""),8,FALSE))"),"")</f>
        <v/>
      </c>
      <c r="J451" s="39"/>
      <c r="M451" s="287"/>
      <c r="AV451" s="41" t="str">
        <f t="shared" si="20"/>
        <v/>
      </c>
      <c r="AW451" s="5" t="str">
        <f ca="1">IFERROR(__xludf.DUMMYFUNCTION("IFERROR(VLOOKUP(E717&amp;F717,IMPORTRANGE(""https://docs.google.com/spreadsheets/d/1Uw7-A9f9R21vMXxHZFNpYNeKFtG8_yji4HS352LGlSQ/edit?pli=1#gid=0"",""1_ACUM!A4:S""),11,FALSE))"),"")</f>
        <v/>
      </c>
      <c r="AX451" s="42" t="str">
        <f ca="1">IFERROR(__xludf.DUMMYFUNCTION("IFERROR(VLOOKUP(F717,IMPORTRANGE(""https://docs.google.com/spreadsheets/d/1Kvs4KS76FHFqLFIZfrDMff4kP08nblUkihrxltoGBjg/edit#gid=934712705"",""ESENCIAL!A6:BG""),15,FALSE))"),"")</f>
        <v/>
      </c>
      <c r="AY451" s="110" t="str">
        <f ca="1">IFERROR(__xludf.DUMMYFUNCTION("IFERROR(VLOOKUP(E717&amp;F717,IMPORTRANGE(""https://docs.google.com/spreadsheets/d/1Uw7-A9f9R21vMXxHZFNpYNeKFtG8_yji4HS352LGlSQ/edit?pli=1#gid=0"",""1_ACUM!A4:S""),13,FALSE))"),"")</f>
        <v/>
      </c>
      <c r="AZ451" s="43" t="str">
        <f ca="1">IFERROR(__xludf.DUMMYFUNCTION("IFERROR(VLOOKUP(E717&amp;F717,IMPORTRANGE(""https://docs.google.com/spreadsheets/d/1Uw7-A9f9R21vMXxHZFNpYNeKFtG8_yji4HS352LGlSQ/edit?pli=1#gid=0"",""1_ACUM!A4:S""),13,FALSE))"),"")</f>
        <v/>
      </c>
      <c r="BA451" s="43" t="str">
        <f ca="1">IFERROR(__xludf.DUMMYFUNCTION("IFERROR(VLOOKUP(E717&amp;F717,IMPORTRANGE(""https://docs.google.com/spreadsheets/d/1Uw7-A9f9R21vMXxHZFNpYNeKFtG8_yji4HS352LGlSQ/edit?pli=1#gid=0"",""1_ACUM!A4:S""),14,FALSE))"),"")</f>
        <v/>
      </c>
      <c r="BB451" s="43" t="str">
        <f ca="1">IFERROR(__xludf.DUMMYFUNCTION("IFERROR(VLOOKUP(E717&amp;F717,IMPORTRANGE(""https://docs.google.com/spreadsheets/d/1Uw7-A9f9R21vMXxHZFNpYNeKFtG8_yji4HS352LGlSQ/edit?pli=1#gid=0"",""1_ACUM!A4:S""),15,FALSE))"),"")</f>
        <v/>
      </c>
      <c r="BC451" s="43" t="str">
        <f ca="1">IFERROR(__xludf.DUMMYFUNCTION("IFERROR(VLOOKUP(E717&amp;F717,IMPORTRANGE(""https://docs.google.com/spreadsheets/d/1Uw7-A9f9R21vMXxHZFNpYNeKFtG8_yji4HS352LGlSQ/edit?pli=1#gid=0"",""1_ACUM!A4:S""),16,FALSE))"),"")</f>
        <v/>
      </c>
      <c r="BD451" s="43" t="str">
        <f ca="1">IFERROR(__xludf.DUMMYFUNCTION("IFERROR(VLOOKUP(E717&amp;F717,IMPORTRANGE(""https://docs.google.com/spreadsheets/d/1Uw7-A9f9R21vMXxHZFNpYNeKFtG8_yji4HS352LGlSQ/edit?pli=1#gid=0"",""1_ACUM!A4:S""),17,FALSE))"),"")</f>
        <v/>
      </c>
      <c r="BE451" s="44" t="str">
        <f ca="1">IFERROR(__xludf.DUMMYFUNCTION("IFERROR(VLOOKUP(E717&amp;F717,IMPORTRANGE(""https://docs.google.com/spreadsheets/d/1Uw7-A9f9R21vMXxHZFNpYNeKFtG8_yji4HS352LGlSQ/edit?pli=1#gid=0"",""1_ACUM!A4:S""),18,FALSE))"),"")</f>
        <v/>
      </c>
      <c r="BF451" s="44" t="str">
        <f ca="1">IFERROR(__xludf.DUMMYFUNCTION("IFERROR(VLOOKUP(E717&amp;F717,IMPORTRANGE(""https://docs.google.com/spreadsheets/d/1Uw7-A9f9R21vMXxHZFNpYNeKFtG8_yji4HS352LGlSQ/edit?pli=1#gid=0"",""1_ACUM!A4:S""),19,FALSE))"),"")</f>
        <v/>
      </c>
      <c r="BG451" s="98" t="str">
        <f ca="1">IFERROR(__xludf.DUMMYFUNCTION("IFERROR(VLOOKUP(F717,IMPORTRANGE(""https://docs.google.com/spreadsheets/d/1Kvs4KS76FHFqLFIZfrDMff4kP08nblUkihrxltoGBjg/edit#gid=934712705"",""ESENCIAL!A6:BG""),5,FALSE))"),"")</f>
        <v/>
      </c>
      <c r="BH451" s="98" t="str">
        <f t="shared" si="21"/>
        <v/>
      </c>
      <c r="BI451" s="99" t="str">
        <f t="shared" si="22"/>
        <v/>
      </c>
      <c r="BJ451" s="100" t="str">
        <f ca="1">IFERROR(__xludf.DUMMYFUNCTION("IFERROR(VLOOKUP(F717,IMPORTRANGE(""https://docs.google.com/spreadsheets/d/1Kvs4KS76FHFqLFIZfrDMff4kP08nblUkihrxltoGBjg/edit#gid=934712705"",""ESENCIAL!A6:BG""),2,FALSE))"),"")</f>
        <v/>
      </c>
      <c r="BK451" s="19" t="str">
        <f t="shared" si="23"/>
        <v/>
      </c>
      <c r="BL451" s="100"/>
      <c r="BM451" s="100"/>
    </row>
    <row r="452" spans="2:65" ht="15">
      <c r="B452" s="39"/>
      <c r="C452" s="5"/>
      <c r="D452" s="123"/>
      <c r="E452" s="39"/>
      <c r="F452" s="39"/>
      <c r="G452" s="39"/>
      <c r="H452" s="5" t="str">
        <f ca="1">IFERROR(__xludf.DUMMYFUNCTION("IFERROR(VLOOKUP(F718,IMPORTRANGE(""https://docs.google.com/spreadsheets/d/1Kvs4KS76FHFqLFIZfrDMff4kP08nblUkihrxltoGBjg/edit#gid=934712705"",""ESENCIAL!A6:BG""),3,FALSE))"),"")</f>
        <v/>
      </c>
      <c r="I452" s="5" t="str">
        <f ca="1">IFERROR(__xludf.DUMMYFUNCTION("IFERROR(VLOOKUP(F718,IMPORTRANGE(""https://docs.google.com/spreadsheets/d/1Kvs4KS76FHFqLFIZfrDMff4kP08nblUkihrxltoGBjg/edit#gid=934712705"",""ESENCIAL!A6:BG""),8,FALSE))"),"")</f>
        <v/>
      </c>
      <c r="J452" s="39"/>
      <c r="M452" s="287"/>
      <c r="AV452" s="41" t="str">
        <f t="shared" si="20"/>
        <v/>
      </c>
      <c r="AW452" s="5" t="str">
        <f ca="1">IFERROR(__xludf.DUMMYFUNCTION("IFERROR(VLOOKUP(E718&amp;F718,IMPORTRANGE(""https://docs.google.com/spreadsheets/d/1Uw7-A9f9R21vMXxHZFNpYNeKFtG8_yji4HS352LGlSQ/edit?pli=1#gid=0"",""1_ACUM!A4:S""),11,FALSE))"),"")</f>
        <v/>
      </c>
      <c r="AX452" s="42" t="str">
        <f ca="1">IFERROR(__xludf.DUMMYFUNCTION("IFERROR(VLOOKUP(F718,IMPORTRANGE(""https://docs.google.com/spreadsheets/d/1Kvs4KS76FHFqLFIZfrDMff4kP08nblUkihrxltoGBjg/edit#gid=934712705"",""ESENCIAL!A6:BG""),15,FALSE))"),"")</f>
        <v/>
      </c>
      <c r="AY452" s="110" t="str">
        <f ca="1">IFERROR(__xludf.DUMMYFUNCTION("IFERROR(VLOOKUP(E718&amp;F718,IMPORTRANGE(""https://docs.google.com/spreadsheets/d/1Uw7-A9f9R21vMXxHZFNpYNeKFtG8_yji4HS352LGlSQ/edit?pli=1#gid=0"",""1_ACUM!A4:S""),13,FALSE))"),"")</f>
        <v/>
      </c>
      <c r="AZ452" s="43" t="str">
        <f ca="1">IFERROR(__xludf.DUMMYFUNCTION("IFERROR(VLOOKUP(E718&amp;F718,IMPORTRANGE(""https://docs.google.com/spreadsheets/d/1Uw7-A9f9R21vMXxHZFNpYNeKFtG8_yji4HS352LGlSQ/edit?pli=1#gid=0"",""1_ACUM!A4:S""),13,FALSE))"),"")</f>
        <v/>
      </c>
      <c r="BA452" s="43" t="str">
        <f ca="1">IFERROR(__xludf.DUMMYFUNCTION("IFERROR(VLOOKUP(E718&amp;F718,IMPORTRANGE(""https://docs.google.com/spreadsheets/d/1Uw7-A9f9R21vMXxHZFNpYNeKFtG8_yji4HS352LGlSQ/edit?pli=1#gid=0"",""1_ACUM!A4:S""),14,FALSE))"),"")</f>
        <v/>
      </c>
      <c r="BB452" s="43" t="str">
        <f ca="1">IFERROR(__xludf.DUMMYFUNCTION("IFERROR(VLOOKUP(E718&amp;F718,IMPORTRANGE(""https://docs.google.com/spreadsheets/d/1Uw7-A9f9R21vMXxHZFNpYNeKFtG8_yji4HS352LGlSQ/edit?pli=1#gid=0"",""1_ACUM!A4:S""),15,FALSE))"),"")</f>
        <v/>
      </c>
      <c r="BC452" s="43" t="str">
        <f ca="1">IFERROR(__xludf.DUMMYFUNCTION("IFERROR(VLOOKUP(E718&amp;F718,IMPORTRANGE(""https://docs.google.com/spreadsheets/d/1Uw7-A9f9R21vMXxHZFNpYNeKFtG8_yji4HS352LGlSQ/edit?pli=1#gid=0"",""1_ACUM!A4:S""),16,FALSE))"),"")</f>
        <v/>
      </c>
      <c r="BD452" s="43" t="str">
        <f ca="1">IFERROR(__xludf.DUMMYFUNCTION("IFERROR(VLOOKUP(E718&amp;F718,IMPORTRANGE(""https://docs.google.com/spreadsheets/d/1Uw7-A9f9R21vMXxHZFNpYNeKFtG8_yji4HS352LGlSQ/edit?pli=1#gid=0"",""1_ACUM!A4:S""),17,FALSE))"),"")</f>
        <v/>
      </c>
      <c r="BE452" s="44" t="str">
        <f ca="1">IFERROR(__xludf.DUMMYFUNCTION("IFERROR(VLOOKUP(E718&amp;F718,IMPORTRANGE(""https://docs.google.com/spreadsheets/d/1Uw7-A9f9R21vMXxHZFNpYNeKFtG8_yji4HS352LGlSQ/edit?pli=1#gid=0"",""1_ACUM!A4:S""),18,FALSE))"),"")</f>
        <v/>
      </c>
      <c r="BF452" s="44" t="str">
        <f ca="1">IFERROR(__xludf.DUMMYFUNCTION("IFERROR(VLOOKUP(E718&amp;F718,IMPORTRANGE(""https://docs.google.com/spreadsheets/d/1Uw7-A9f9R21vMXxHZFNpYNeKFtG8_yji4HS352LGlSQ/edit?pli=1#gid=0"",""1_ACUM!A4:S""),19,FALSE))"),"")</f>
        <v/>
      </c>
      <c r="BG452" s="98" t="str">
        <f ca="1">IFERROR(__xludf.DUMMYFUNCTION("IFERROR(VLOOKUP(F718,IMPORTRANGE(""https://docs.google.com/spreadsheets/d/1Kvs4KS76FHFqLFIZfrDMff4kP08nblUkihrxltoGBjg/edit#gid=934712705"",""ESENCIAL!A6:BG""),5,FALSE))"),"")</f>
        <v/>
      </c>
      <c r="BH452" s="98" t="str">
        <f t="shared" si="21"/>
        <v/>
      </c>
      <c r="BI452" s="99" t="str">
        <f t="shared" si="22"/>
        <v/>
      </c>
      <c r="BJ452" s="100" t="str">
        <f ca="1">IFERROR(__xludf.DUMMYFUNCTION("IFERROR(VLOOKUP(F718,IMPORTRANGE(""https://docs.google.com/spreadsheets/d/1Kvs4KS76FHFqLFIZfrDMff4kP08nblUkihrxltoGBjg/edit#gid=934712705"",""ESENCIAL!A6:BG""),2,FALSE))"),"")</f>
        <v/>
      </c>
      <c r="BK452" s="19" t="str">
        <f t="shared" si="23"/>
        <v/>
      </c>
      <c r="BL452" s="100"/>
      <c r="BM452" s="100"/>
    </row>
    <row r="453" spans="2:65" ht="15">
      <c r="B453" s="39"/>
      <c r="C453" s="5"/>
      <c r="D453" s="123"/>
      <c r="E453" s="39"/>
      <c r="F453" s="39"/>
      <c r="G453" s="39"/>
      <c r="H453" s="5" t="str">
        <f ca="1">IFERROR(__xludf.DUMMYFUNCTION("IFERROR(VLOOKUP(F719,IMPORTRANGE(""https://docs.google.com/spreadsheets/d/1Kvs4KS76FHFqLFIZfrDMff4kP08nblUkihrxltoGBjg/edit#gid=934712705"",""ESENCIAL!A6:BG""),3,FALSE))"),"")</f>
        <v/>
      </c>
      <c r="I453" s="5" t="str">
        <f ca="1">IFERROR(__xludf.DUMMYFUNCTION("IFERROR(VLOOKUP(F719,IMPORTRANGE(""https://docs.google.com/spreadsheets/d/1Kvs4KS76FHFqLFIZfrDMff4kP08nblUkihrxltoGBjg/edit#gid=934712705"",""ESENCIAL!A6:BG""),8,FALSE))"),"")</f>
        <v/>
      </c>
      <c r="J453" s="39"/>
      <c r="M453" s="287"/>
      <c r="AV453" s="41" t="str">
        <f t="shared" si="20"/>
        <v/>
      </c>
      <c r="AW453" s="5" t="str">
        <f ca="1">IFERROR(__xludf.DUMMYFUNCTION("IFERROR(VLOOKUP(E719&amp;F719,IMPORTRANGE(""https://docs.google.com/spreadsheets/d/1Uw7-A9f9R21vMXxHZFNpYNeKFtG8_yji4HS352LGlSQ/edit?pli=1#gid=0"",""1_ACUM!A4:S""),11,FALSE))"),"")</f>
        <v/>
      </c>
      <c r="AX453" s="42" t="str">
        <f ca="1">IFERROR(__xludf.DUMMYFUNCTION("IFERROR(VLOOKUP(F719,IMPORTRANGE(""https://docs.google.com/spreadsheets/d/1Kvs4KS76FHFqLFIZfrDMff4kP08nblUkihrxltoGBjg/edit#gid=934712705"",""ESENCIAL!A6:BG""),15,FALSE))"),"")</f>
        <v/>
      </c>
      <c r="AY453" s="110" t="str">
        <f ca="1">IFERROR(__xludf.DUMMYFUNCTION("IFERROR(VLOOKUP(E719&amp;F719,IMPORTRANGE(""https://docs.google.com/spreadsheets/d/1Uw7-A9f9R21vMXxHZFNpYNeKFtG8_yji4HS352LGlSQ/edit?pli=1#gid=0"",""1_ACUM!A4:S""),13,FALSE))"),"")</f>
        <v/>
      </c>
      <c r="AZ453" s="43" t="str">
        <f ca="1">IFERROR(__xludf.DUMMYFUNCTION("IFERROR(VLOOKUP(E719&amp;F719,IMPORTRANGE(""https://docs.google.com/spreadsheets/d/1Uw7-A9f9R21vMXxHZFNpYNeKFtG8_yji4HS352LGlSQ/edit?pli=1#gid=0"",""1_ACUM!A4:S""),13,FALSE))"),"")</f>
        <v/>
      </c>
      <c r="BA453" s="43" t="str">
        <f ca="1">IFERROR(__xludf.DUMMYFUNCTION("IFERROR(VLOOKUP(E719&amp;F719,IMPORTRANGE(""https://docs.google.com/spreadsheets/d/1Uw7-A9f9R21vMXxHZFNpYNeKFtG8_yji4HS352LGlSQ/edit?pli=1#gid=0"",""1_ACUM!A4:S""),14,FALSE))"),"")</f>
        <v/>
      </c>
      <c r="BB453" s="43" t="str">
        <f ca="1">IFERROR(__xludf.DUMMYFUNCTION("IFERROR(VLOOKUP(E719&amp;F719,IMPORTRANGE(""https://docs.google.com/spreadsheets/d/1Uw7-A9f9R21vMXxHZFNpYNeKFtG8_yji4HS352LGlSQ/edit?pli=1#gid=0"",""1_ACUM!A4:S""),15,FALSE))"),"")</f>
        <v/>
      </c>
      <c r="BC453" s="43" t="str">
        <f ca="1">IFERROR(__xludf.DUMMYFUNCTION("IFERROR(VLOOKUP(E719&amp;F719,IMPORTRANGE(""https://docs.google.com/spreadsheets/d/1Uw7-A9f9R21vMXxHZFNpYNeKFtG8_yji4HS352LGlSQ/edit?pli=1#gid=0"",""1_ACUM!A4:S""),16,FALSE))"),"")</f>
        <v/>
      </c>
      <c r="BD453" s="43" t="str">
        <f ca="1">IFERROR(__xludf.DUMMYFUNCTION("IFERROR(VLOOKUP(E719&amp;F719,IMPORTRANGE(""https://docs.google.com/spreadsheets/d/1Uw7-A9f9R21vMXxHZFNpYNeKFtG8_yji4HS352LGlSQ/edit?pli=1#gid=0"",""1_ACUM!A4:S""),17,FALSE))"),"")</f>
        <v/>
      </c>
      <c r="BE453" s="44" t="str">
        <f ca="1">IFERROR(__xludf.DUMMYFUNCTION("IFERROR(VLOOKUP(E719&amp;F719,IMPORTRANGE(""https://docs.google.com/spreadsheets/d/1Uw7-A9f9R21vMXxHZFNpYNeKFtG8_yji4HS352LGlSQ/edit?pli=1#gid=0"",""1_ACUM!A4:S""),18,FALSE))"),"")</f>
        <v/>
      </c>
      <c r="BF453" s="44" t="str">
        <f ca="1">IFERROR(__xludf.DUMMYFUNCTION("IFERROR(VLOOKUP(E719&amp;F719,IMPORTRANGE(""https://docs.google.com/spreadsheets/d/1Uw7-A9f9R21vMXxHZFNpYNeKFtG8_yji4HS352LGlSQ/edit?pli=1#gid=0"",""1_ACUM!A4:S""),19,FALSE))"),"")</f>
        <v/>
      </c>
      <c r="BG453" s="98" t="str">
        <f ca="1">IFERROR(__xludf.DUMMYFUNCTION("IFERROR(VLOOKUP(F719,IMPORTRANGE(""https://docs.google.com/spreadsheets/d/1Kvs4KS76FHFqLFIZfrDMff4kP08nblUkihrxltoGBjg/edit#gid=934712705"",""ESENCIAL!A6:BG""),5,FALSE))"),"")</f>
        <v/>
      </c>
      <c r="BH453" s="98" t="str">
        <f t="shared" si="21"/>
        <v/>
      </c>
      <c r="BI453" s="99" t="str">
        <f t="shared" si="22"/>
        <v/>
      </c>
      <c r="BJ453" s="100" t="str">
        <f ca="1">IFERROR(__xludf.DUMMYFUNCTION("IFERROR(VLOOKUP(F719,IMPORTRANGE(""https://docs.google.com/spreadsheets/d/1Kvs4KS76FHFqLFIZfrDMff4kP08nblUkihrxltoGBjg/edit#gid=934712705"",""ESENCIAL!A6:BG""),2,FALSE))"),"")</f>
        <v/>
      </c>
      <c r="BK453" s="19" t="str">
        <f t="shared" si="23"/>
        <v/>
      </c>
      <c r="BL453" s="100"/>
      <c r="BM453" s="100"/>
    </row>
    <row r="454" spans="2:65" ht="15">
      <c r="B454" s="39"/>
      <c r="C454" s="5"/>
      <c r="D454" s="123"/>
      <c r="E454" s="39"/>
      <c r="F454" s="39"/>
      <c r="G454" s="39"/>
      <c r="H454" s="5" t="str">
        <f ca="1">IFERROR(__xludf.DUMMYFUNCTION("IFERROR(VLOOKUP(F720,IMPORTRANGE(""https://docs.google.com/spreadsheets/d/1Kvs4KS76FHFqLFIZfrDMff4kP08nblUkihrxltoGBjg/edit#gid=934712705"",""ESENCIAL!A6:BG""),3,FALSE))"),"")</f>
        <v/>
      </c>
      <c r="I454" s="5" t="str">
        <f ca="1">IFERROR(__xludf.DUMMYFUNCTION("IFERROR(VLOOKUP(F720,IMPORTRANGE(""https://docs.google.com/spreadsheets/d/1Kvs4KS76FHFqLFIZfrDMff4kP08nblUkihrxltoGBjg/edit#gid=934712705"",""ESENCIAL!A6:BG""),8,FALSE))"),"")</f>
        <v/>
      </c>
      <c r="J454" s="39"/>
      <c r="M454" s="287"/>
      <c r="AV454" s="41" t="str">
        <f t="shared" si="20"/>
        <v/>
      </c>
      <c r="AW454" s="5" t="str">
        <f ca="1">IFERROR(__xludf.DUMMYFUNCTION("IFERROR(VLOOKUP(E720&amp;F720,IMPORTRANGE(""https://docs.google.com/spreadsheets/d/1Uw7-A9f9R21vMXxHZFNpYNeKFtG8_yji4HS352LGlSQ/edit?pli=1#gid=0"",""1_ACUM!A4:S""),11,FALSE))"),"")</f>
        <v/>
      </c>
      <c r="AX454" s="42" t="str">
        <f ca="1">IFERROR(__xludf.DUMMYFUNCTION("IFERROR(VLOOKUP(F720,IMPORTRANGE(""https://docs.google.com/spreadsheets/d/1Kvs4KS76FHFqLFIZfrDMff4kP08nblUkihrxltoGBjg/edit#gid=934712705"",""ESENCIAL!A6:BG""),15,FALSE))"),"")</f>
        <v/>
      </c>
      <c r="AY454" s="110" t="str">
        <f ca="1">IFERROR(__xludf.DUMMYFUNCTION("IFERROR(VLOOKUP(E720&amp;F720,IMPORTRANGE(""https://docs.google.com/spreadsheets/d/1Uw7-A9f9R21vMXxHZFNpYNeKFtG8_yji4HS352LGlSQ/edit?pli=1#gid=0"",""1_ACUM!A4:S""),13,FALSE))"),"")</f>
        <v/>
      </c>
      <c r="AZ454" s="43" t="str">
        <f ca="1">IFERROR(__xludf.DUMMYFUNCTION("IFERROR(VLOOKUP(E720&amp;F720,IMPORTRANGE(""https://docs.google.com/spreadsheets/d/1Uw7-A9f9R21vMXxHZFNpYNeKFtG8_yji4HS352LGlSQ/edit?pli=1#gid=0"",""1_ACUM!A4:S""),13,FALSE))"),"")</f>
        <v/>
      </c>
      <c r="BA454" s="43" t="str">
        <f ca="1">IFERROR(__xludf.DUMMYFUNCTION("IFERROR(VLOOKUP(E720&amp;F720,IMPORTRANGE(""https://docs.google.com/spreadsheets/d/1Uw7-A9f9R21vMXxHZFNpYNeKFtG8_yji4HS352LGlSQ/edit?pli=1#gid=0"",""1_ACUM!A4:S""),14,FALSE))"),"")</f>
        <v/>
      </c>
      <c r="BB454" s="43" t="str">
        <f ca="1">IFERROR(__xludf.DUMMYFUNCTION("IFERROR(VLOOKUP(E720&amp;F720,IMPORTRANGE(""https://docs.google.com/spreadsheets/d/1Uw7-A9f9R21vMXxHZFNpYNeKFtG8_yji4HS352LGlSQ/edit?pli=1#gid=0"",""1_ACUM!A4:S""),15,FALSE))"),"")</f>
        <v/>
      </c>
      <c r="BC454" s="43" t="str">
        <f ca="1">IFERROR(__xludf.DUMMYFUNCTION("IFERROR(VLOOKUP(E720&amp;F720,IMPORTRANGE(""https://docs.google.com/spreadsheets/d/1Uw7-A9f9R21vMXxHZFNpYNeKFtG8_yji4HS352LGlSQ/edit?pli=1#gid=0"",""1_ACUM!A4:S""),16,FALSE))"),"")</f>
        <v/>
      </c>
      <c r="BD454" s="43" t="str">
        <f ca="1">IFERROR(__xludf.DUMMYFUNCTION("IFERROR(VLOOKUP(E720&amp;F720,IMPORTRANGE(""https://docs.google.com/spreadsheets/d/1Uw7-A9f9R21vMXxHZFNpYNeKFtG8_yji4HS352LGlSQ/edit?pli=1#gid=0"",""1_ACUM!A4:S""),17,FALSE))"),"")</f>
        <v/>
      </c>
      <c r="BE454" s="44" t="str">
        <f ca="1">IFERROR(__xludf.DUMMYFUNCTION("IFERROR(VLOOKUP(E720&amp;F720,IMPORTRANGE(""https://docs.google.com/spreadsheets/d/1Uw7-A9f9R21vMXxHZFNpYNeKFtG8_yji4HS352LGlSQ/edit?pli=1#gid=0"",""1_ACUM!A4:S""),18,FALSE))"),"")</f>
        <v/>
      </c>
      <c r="BF454" s="44" t="str">
        <f ca="1">IFERROR(__xludf.DUMMYFUNCTION("IFERROR(VLOOKUP(E720&amp;F720,IMPORTRANGE(""https://docs.google.com/spreadsheets/d/1Uw7-A9f9R21vMXxHZFNpYNeKFtG8_yji4HS352LGlSQ/edit?pli=1#gid=0"",""1_ACUM!A4:S""),19,FALSE))"),"")</f>
        <v/>
      </c>
      <c r="BG454" s="98" t="str">
        <f ca="1">IFERROR(__xludf.DUMMYFUNCTION("IFERROR(VLOOKUP(F720,IMPORTRANGE(""https://docs.google.com/spreadsheets/d/1Kvs4KS76FHFqLFIZfrDMff4kP08nblUkihrxltoGBjg/edit#gid=934712705"",""ESENCIAL!A6:BG""),5,FALSE))"),"")</f>
        <v/>
      </c>
      <c r="BH454" s="98" t="str">
        <f t="shared" si="21"/>
        <v/>
      </c>
      <c r="BI454" s="99" t="str">
        <f t="shared" si="22"/>
        <v/>
      </c>
      <c r="BJ454" s="100" t="str">
        <f ca="1">IFERROR(__xludf.DUMMYFUNCTION("IFERROR(VLOOKUP(F720,IMPORTRANGE(""https://docs.google.com/spreadsheets/d/1Kvs4KS76FHFqLFIZfrDMff4kP08nblUkihrxltoGBjg/edit#gid=934712705"",""ESENCIAL!A6:BG""),2,FALSE))"),"")</f>
        <v/>
      </c>
      <c r="BK454" s="19" t="str">
        <f t="shared" si="23"/>
        <v/>
      </c>
      <c r="BL454" s="100"/>
      <c r="BM454" s="100"/>
    </row>
    <row r="455" spans="2:65" ht="15">
      <c r="B455" s="39"/>
      <c r="C455" s="5"/>
      <c r="D455" s="123"/>
      <c r="E455" s="39"/>
      <c r="F455" s="39"/>
      <c r="G455" s="39"/>
      <c r="H455" s="5" t="str">
        <f ca="1">IFERROR(__xludf.DUMMYFUNCTION("IFERROR(VLOOKUP(F721,IMPORTRANGE(""https://docs.google.com/spreadsheets/d/1Kvs4KS76FHFqLFIZfrDMff4kP08nblUkihrxltoGBjg/edit#gid=934712705"",""ESENCIAL!A6:BG""),3,FALSE))"),"")</f>
        <v/>
      </c>
      <c r="I455" s="5" t="str">
        <f ca="1">IFERROR(__xludf.DUMMYFUNCTION("IFERROR(VLOOKUP(F721,IMPORTRANGE(""https://docs.google.com/spreadsheets/d/1Kvs4KS76FHFqLFIZfrDMff4kP08nblUkihrxltoGBjg/edit#gid=934712705"",""ESENCIAL!A6:BG""),8,FALSE))"),"")</f>
        <v/>
      </c>
      <c r="J455" s="39"/>
      <c r="M455" s="287"/>
      <c r="AV455" s="41" t="str">
        <f t="shared" si="20"/>
        <v/>
      </c>
      <c r="AW455" s="5" t="str">
        <f ca="1">IFERROR(__xludf.DUMMYFUNCTION("IFERROR(VLOOKUP(E721&amp;F721,IMPORTRANGE(""https://docs.google.com/spreadsheets/d/1Uw7-A9f9R21vMXxHZFNpYNeKFtG8_yji4HS352LGlSQ/edit?pli=1#gid=0"",""1_ACUM!A4:S""),11,FALSE))"),"")</f>
        <v/>
      </c>
      <c r="AX455" s="42" t="str">
        <f ca="1">IFERROR(__xludf.DUMMYFUNCTION("IFERROR(VLOOKUP(F721,IMPORTRANGE(""https://docs.google.com/spreadsheets/d/1Kvs4KS76FHFqLFIZfrDMff4kP08nblUkihrxltoGBjg/edit#gid=934712705"",""ESENCIAL!A6:BG""),15,FALSE))"),"")</f>
        <v/>
      </c>
      <c r="AY455" s="110" t="str">
        <f ca="1">IFERROR(__xludf.DUMMYFUNCTION("IFERROR(VLOOKUP(E721&amp;F721,IMPORTRANGE(""https://docs.google.com/spreadsheets/d/1Uw7-A9f9R21vMXxHZFNpYNeKFtG8_yji4HS352LGlSQ/edit?pli=1#gid=0"",""1_ACUM!A4:S""),13,FALSE))"),"")</f>
        <v/>
      </c>
      <c r="AZ455" s="43" t="str">
        <f ca="1">IFERROR(__xludf.DUMMYFUNCTION("IFERROR(VLOOKUP(E721&amp;F721,IMPORTRANGE(""https://docs.google.com/spreadsheets/d/1Uw7-A9f9R21vMXxHZFNpYNeKFtG8_yji4HS352LGlSQ/edit?pli=1#gid=0"",""1_ACUM!A4:S""),13,FALSE))"),"")</f>
        <v/>
      </c>
      <c r="BA455" s="43" t="str">
        <f ca="1">IFERROR(__xludf.DUMMYFUNCTION("IFERROR(VLOOKUP(E721&amp;F721,IMPORTRANGE(""https://docs.google.com/spreadsheets/d/1Uw7-A9f9R21vMXxHZFNpYNeKFtG8_yji4HS352LGlSQ/edit?pli=1#gid=0"",""1_ACUM!A4:S""),14,FALSE))"),"")</f>
        <v/>
      </c>
      <c r="BB455" s="43" t="str">
        <f ca="1">IFERROR(__xludf.DUMMYFUNCTION("IFERROR(VLOOKUP(E721&amp;F721,IMPORTRANGE(""https://docs.google.com/spreadsheets/d/1Uw7-A9f9R21vMXxHZFNpYNeKFtG8_yji4HS352LGlSQ/edit?pli=1#gid=0"",""1_ACUM!A4:S""),15,FALSE))"),"")</f>
        <v/>
      </c>
      <c r="BC455" s="43" t="str">
        <f ca="1">IFERROR(__xludf.DUMMYFUNCTION("IFERROR(VLOOKUP(E721&amp;F721,IMPORTRANGE(""https://docs.google.com/spreadsheets/d/1Uw7-A9f9R21vMXxHZFNpYNeKFtG8_yji4HS352LGlSQ/edit?pli=1#gid=0"",""1_ACUM!A4:S""),16,FALSE))"),"")</f>
        <v/>
      </c>
      <c r="BD455" s="43" t="str">
        <f ca="1">IFERROR(__xludf.DUMMYFUNCTION("IFERROR(VLOOKUP(E721&amp;F721,IMPORTRANGE(""https://docs.google.com/spreadsheets/d/1Uw7-A9f9R21vMXxHZFNpYNeKFtG8_yji4HS352LGlSQ/edit?pli=1#gid=0"",""1_ACUM!A4:S""),17,FALSE))"),"")</f>
        <v/>
      </c>
      <c r="BE455" s="44" t="str">
        <f ca="1">IFERROR(__xludf.DUMMYFUNCTION("IFERROR(VLOOKUP(E721&amp;F721,IMPORTRANGE(""https://docs.google.com/spreadsheets/d/1Uw7-A9f9R21vMXxHZFNpYNeKFtG8_yji4HS352LGlSQ/edit?pli=1#gid=0"",""1_ACUM!A4:S""),18,FALSE))"),"")</f>
        <v/>
      </c>
      <c r="BF455" s="44" t="str">
        <f ca="1">IFERROR(__xludf.DUMMYFUNCTION("IFERROR(VLOOKUP(E721&amp;F721,IMPORTRANGE(""https://docs.google.com/spreadsheets/d/1Uw7-A9f9R21vMXxHZFNpYNeKFtG8_yji4HS352LGlSQ/edit?pli=1#gid=0"",""1_ACUM!A4:S""),19,FALSE))"),"")</f>
        <v/>
      </c>
      <c r="BG455" s="98" t="str">
        <f ca="1">IFERROR(__xludf.DUMMYFUNCTION("IFERROR(VLOOKUP(F721,IMPORTRANGE(""https://docs.google.com/spreadsheets/d/1Kvs4KS76FHFqLFIZfrDMff4kP08nblUkihrxltoGBjg/edit#gid=934712705"",""ESENCIAL!A6:BG""),5,FALSE))"),"")</f>
        <v/>
      </c>
      <c r="BH455" s="98" t="str">
        <f t="shared" si="21"/>
        <v/>
      </c>
      <c r="BI455" s="99" t="str">
        <f t="shared" si="22"/>
        <v/>
      </c>
      <c r="BJ455" s="100" t="str">
        <f ca="1">IFERROR(__xludf.DUMMYFUNCTION("IFERROR(VLOOKUP(F721,IMPORTRANGE(""https://docs.google.com/spreadsheets/d/1Kvs4KS76FHFqLFIZfrDMff4kP08nblUkihrxltoGBjg/edit#gid=934712705"",""ESENCIAL!A6:BG""),2,FALSE))"),"")</f>
        <v/>
      </c>
      <c r="BK455" s="19" t="str">
        <f t="shared" si="23"/>
        <v/>
      </c>
      <c r="BL455" s="100"/>
      <c r="BM455" s="100"/>
    </row>
    <row r="456" spans="2:65" ht="15">
      <c r="B456" s="39"/>
      <c r="C456" s="5"/>
      <c r="D456" s="123"/>
      <c r="E456" s="39"/>
      <c r="F456" s="39"/>
      <c r="G456" s="39"/>
      <c r="H456" s="5" t="str">
        <f ca="1">IFERROR(__xludf.DUMMYFUNCTION("IFERROR(VLOOKUP(F722,IMPORTRANGE(""https://docs.google.com/spreadsheets/d/1Kvs4KS76FHFqLFIZfrDMff4kP08nblUkihrxltoGBjg/edit#gid=934712705"",""ESENCIAL!A6:BG""),3,FALSE))"),"")</f>
        <v/>
      </c>
      <c r="I456" s="5" t="str">
        <f ca="1">IFERROR(__xludf.DUMMYFUNCTION("IFERROR(VLOOKUP(F722,IMPORTRANGE(""https://docs.google.com/spreadsheets/d/1Kvs4KS76FHFqLFIZfrDMff4kP08nblUkihrxltoGBjg/edit#gid=934712705"",""ESENCIAL!A6:BG""),8,FALSE))"),"")</f>
        <v/>
      </c>
      <c r="J456" s="39"/>
      <c r="M456" s="287"/>
      <c r="AV456" s="41" t="str">
        <f t="shared" si="20"/>
        <v/>
      </c>
      <c r="AW456" s="5" t="str">
        <f ca="1">IFERROR(__xludf.DUMMYFUNCTION("IFERROR(VLOOKUP(E722&amp;F722,IMPORTRANGE(""https://docs.google.com/spreadsheets/d/1Uw7-A9f9R21vMXxHZFNpYNeKFtG8_yji4HS352LGlSQ/edit?pli=1#gid=0"",""1_ACUM!A4:S""),11,FALSE))"),"")</f>
        <v/>
      </c>
      <c r="AX456" s="42" t="str">
        <f ca="1">IFERROR(__xludf.DUMMYFUNCTION("IFERROR(VLOOKUP(F722,IMPORTRANGE(""https://docs.google.com/spreadsheets/d/1Kvs4KS76FHFqLFIZfrDMff4kP08nblUkihrxltoGBjg/edit#gid=934712705"",""ESENCIAL!A6:BG""),15,FALSE))"),"")</f>
        <v/>
      </c>
      <c r="AY456" s="110" t="str">
        <f ca="1">IFERROR(__xludf.DUMMYFUNCTION("IFERROR(VLOOKUP(E722&amp;F722,IMPORTRANGE(""https://docs.google.com/spreadsheets/d/1Uw7-A9f9R21vMXxHZFNpYNeKFtG8_yji4HS352LGlSQ/edit?pli=1#gid=0"",""1_ACUM!A4:S""),13,FALSE))"),"")</f>
        <v/>
      </c>
      <c r="AZ456" s="43" t="str">
        <f ca="1">IFERROR(__xludf.DUMMYFUNCTION("IFERROR(VLOOKUP(E722&amp;F722,IMPORTRANGE(""https://docs.google.com/spreadsheets/d/1Uw7-A9f9R21vMXxHZFNpYNeKFtG8_yji4HS352LGlSQ/edit?pli=1#gid=0"",""1_ACUM!A4:S""),13,FALSE))"),"")</f>
        <v/>
      </c>
      <c r="BA456" s="43" t="str">
        <f ca="1">IFERROR(__xludf.DUMMYFUNCTION("IFERROR(VLOOKUP(E722&amp;F722,IMPORTRANGE(""https://docs.google.com/spreadsheets/d/1Uw7-A9f9R21vMXxHZFNpYNeKFtG8_yji4HS352LGlSQ/edit?pli=1#gid=0"",""1_ACUM!A4:S""),14,FALSE))"),"")</f>
        <v/>
      </c>
      <c r="BB456" s="43" t="str">
        <f ca="1">IFERROR(__xludf.DUMMYFUNCTION("IFERROR(VLOOKUP(E722&amp;F722,IMPORTRANGE(""https://docs.google.com/spreadsheets/d/1Uw7-A9f9R21vMXxHZFNpYNeKFtG8_yji4HS352LGlSQ/edit?pli=1#gid=0"",""1_ACUM!A4:S""),15,FALSE))"),"")</f>
        <v/>
      </c>
      <c r="BC456" s="43" t="str">
        <f ca="1">IFERROR(__xludf.DUMMYFUNCTION("IFERROR(VLOOKUP(E722&amp;F722,IMPORTRANGE(""https://docs.google.com/spreadsheets/d/1Uw7-A9f9R21vMXxHZFNpYNeKFtG8_yji4HS352LGlSQ/edit?pli=1#gid=0"",""1_ACUM!A4:S""),16,FALSE))"),"")</f>
        <v/>
      </c>
      <c r="BD456" s="43" t="str">
        <f ca="1">IFERROR(__xludf.DUMMYFUNCTION("IFERROR(VLOOKUP(E722&amp;F722,IMPORTRANGE(""https://docs.google.com/spreadsheets/d/1Uw7-A9f9R21vMXxHZFNpYNeKFtG8_yji4HS352LGlSQ/edit?pli=1#gid=0"",""1_ACUM!A4:S""),17,FALSE))"),"")</f>
        <v/>
      </c>
      <c r="BE456" s="44" t="str">
        <f ca="1">IFERROR(__xludf.DUMMYFUNCTION("IFERROR(VLOOKUP(E722&amp;F722,IMPORTRANGE(""https://docs.google.com/spreadsheets/d/1Uw7-A9f9R21vMXxHZFNpYNeKFtG8_yji4HS352LGlSQ/edit?pli=1#gid=0"",""1_ACUM!A4:S""),18,FALSE))"),"")</f>
        <v/>
      </c>
      <c r="BF456" s="44" t="str">
        <f ca="1">IFERROR(__xludf.DUMMYFUNCTION("IFERROR(VLOOKUP(E722&amp;F722,IMPORTRANGE(""https://docs.google.com/spreadsheets/d/1Uw7-A9f9R21vMXxHZFNpYNeKFtG8_yji4HS352LGlSQ/edit?pli=1#gid=0"",""1_ACUM!A4:S""),19,FALSE))"),"")</f>
        <v/>
      </c>
      <c r="BG456" s="98" t="str">
        <f ca="1">IFERROR(__xludf.DUMMYFUNCTION("IFERROR(VLOOKUP(F722,IMPORTRANGE(""https://docs.google.com/spreadsheets/d/1Kvs4KS76FHFqLFIZfrDMff4kP08nblUkihrxltoGBjg/edit#gid=934712705"",""ESENCIAL!A6:BG""),5,FALSE))"),"")</f>
        <v/>
      </c>
      <c r="BH456" s="98" t="str">
        <f t="shared" si="21"/>
        <v/>
      </c>
      <c r="BI456" s="99" t="str">
        <f t="shared" si="22"/>
        <v/>
      </c>
      <c r="BJ456" s="100" t="str">
        <f ca="1">IFERROR(__xludf.DUMMYFUNCTION("IFERROR(VLOOKUP(F722,IMPORTRANGE(""https://docs.google.com/spreadsheets/d/1Kvs4KS76FHFqLFIZfrDMff4kP08nblUkihrxltoGBjg/edit#gid=934712705"",""ESENCIAL!A6:BG""),2,FALSE))"),"")</f>
        <v/>
      </c>
      <c r="BK456" s="19" t="str">
        <f t="shared" si="23"/>
        <v/>
      </c>
      <c r="BL456" s="100"/>
      <c r="BM456" s="100"/>
    </row>
    <row r="457" spans="2:65" ht="15">
      <c r="B457" s="39"/>
      <c r="C457" s="5"/>
      <c r="D457" s="123"/>
      <c r="E457" s="39"/>
      <c r="F457" s="39"/>
      <c r="G457" s="39"/>
      <c r="H457" s="5" t="str">
        <f ca="1">IFERROR(__xludf.DUMMYFUNCTION("IFERROR(VLOOKUP(F723,IMPORTRANGE(""https://docs.google.com/spreadsheets/d/1Kvs4KS76FHFqLFIZfrDMff4kP08nblUkihrxltoGBjg/edit#gid=934712705"",""ESENCIAL!A6:BG""),3,FALSE))"),"")</f>
        <v/>
      </c>
      <c r="I457" s="5" t="str">
        <f ca="1">IFERROR(__xludf.DUMMYFUNCTION("IFERROR(VLOOKUP(F723,IMPORTRANGE(""https://docs.google.com/spreadsheets/d/1Kvs4KS76FHFqLFIZfrDMff4kP08nblUkihrxltoGBjg/edit#gid=934712705"",""ESENCIAL!A6:BG""),8,FALSE))"),"")</f>
        <v/>
      </c>
      <c r="J457" s="39"/>
      <c r="M457" s="40"/>
      <c r="AV457" s="41" t="str">
        <f t="shared" si="20"/>
        <v/>
      </c>
      <c r="AW457" s="5" t="str">
        <f ca="1">IFERROR(__xludf.DUMMYFUNCTION("IFERROR(VLOOKUP(E723&amp;F723,IMPORTRANGE(""https://docs.google.com/spreadsheets/d/1Uw7-A9f9R21vMXxHZFNpYNeKFtG8_yji4HS352LGlSQ/edit?pli=1#gid=0"",""1_ACUM!A4:S""),11,FALSE))"),"")</f>
        <v/>
      </c>
      <c r="AX457" s="42" t="str">
        <f ca="1">IFERROR(__xludf.DUMMYFUNCTION("IFERROR(VLOOKUP(F723,IMPORTRANGE(""https://docs.google.com/spreadsheets/d/1Kvs4KS76FHFqLFIZfrDMff4kP08nblUkihrxltoGBjg/edit#gid=934712705"",""ESENCIAL!A6:BG""),15,FALSE))"),"")</f>
        <v/>
      </c>
      <c r="AY457" s="110" t="str">
        <f ca="1">IFERROR(__xludf.DUMMYFUNCTION("IFERROR(VLOOKUP(E723&amp;F723,IMPORTRANGE(""https://docs.google.com/spreadsheets/d/1Uw7-A9f9R21vMXxHZFNpYNeKFtG8_yji4HS352LGlSQ/edit?pli=1#gid=0"",""1_ACUM!A4:S""),13,FALSE))"),"")</f>
        <v/>
      </c>
      <c r="AZ457" s="43" t="str">
        <f ca="1">IFERROR(__xludf.DUMMYFUNCTION("IFERROR(VLOOKUP(E723&amp;F723,IMPORTRANGE(""https://docs.google.com/spreadsheets/d/1Uw7-A9f9R21vMXxHZFNpYNeKFtG8_yji4HS352LGlSQ/edit?pli=1#gid=0"",""1_ACUM!A4:S""),13,FALSE))"),"")</f>
        <v/>
      </c>
      <c r="BA457" s="43" t="str">
        <f ca="1">IFERROR(__xludf.DUMMYFUNCTION("IFERROR(VLOOKUP(E723&amp;F723,IMPORTRANGE(""https://docs.google.com/spreadsheets/d/1Uw7-A9f9R21vMXxHZFNpYNeKFtG8_yji4HS352LGlSQ/edit?pli=1#gid=0"",""1_ACUM!A4:S""),14,FALSE))"),"")</f>
        <v/>
      </c>
      <c r="BB457" s="43" t="str">
        <f ca="1">IFERROR(__xludf.DUMMYFUNCTION("IFERROR(VLOOKUP(E723&amp;F723,IMPORTRANGE(""https://docs.google.com/spreadsheets/d/1Uw7-A9f9R21vMXxHZFNpYNeKFtG8_yji4HS352LGlSQ/edit?pli=1#gid=0"",""1_ACUM!A4:S""),15,FALSE))"),"")</f>
        <v/>
      </c>
      <c r="BC457" s="43" t="str">
        <f ca="1">IFERROR(__xludf.DUMMYFUNCTION("IFERROR(VLOOKUP(E723&amp;F723,IMPORTRANGE(""https://docs.google.com/spreadsheets/d/1Uw7-A9f9R21vMXxHZFNpYNeKFtG8_yji4HS352LGlSQ/edit?pli=1#gid=0"",""1_ACUM!A4:S""),16,FALSE))"),"")</f>
        <v/>
      </c>
      <c r="BD457" s="43" t="str">
        <f ca="1">IFERROR(__xludf.DUMMYFUNCTION("IFERROR(VLOOKUP(E723&amp;F723,IMPORTRANGE(""https://docs.google.com/spreadsheets/d/1Uw7-A9f9R21vMXxHZFNpYNeKFtG8_yji4HS352LGlSQ/edit?pli=1#gid=0"",""1_ACUM!A4:S""),17,FALSE))"),"")</f>
        <v/>
      </c>
      <c r="BE457" s="44" t="str">
        <f ca="1">IFERROR(__xludf.DUMMYFUNCTION("IFERROR(VLOOKUP(E723&amp;F723,IMPORTRANGE(""https://docs.google.com/spreadsheets/d/1Uw7-A9f9R21vMXxHZFNpYNeKFtG8_yji4HS352LGlSQ/edit?pli=1#gid=0"",""1_ACUM!A4:S""),18,FALSE))"),"")</f>
        <v/>
      </c>
      <c r="BF457" s="44" t="str">
        <f ca="1">IFERROR(__xludf.DUMMYFUNCTION("IFERROR(VLOOKUP(E723&amp;F723,IMPORTRANGE(""https://docs.google.com/spreadsheets/d/1Uw7-A9f9R21vMXxHZFNpYNeKFtG8_yji4HS352LGlSQ/edit?pli=1#gid=0"",""1_ACUM!A4:S""),19,FALSE))"),"")</f>
        <v/>
      </c>
      <c r="BG457" s="98" t="str">
        <f ca="1">IFERROR(__xludf.DUMMYFUNCTION("IFERROR(VLOOKUP(F723,IMPORTRANGE(""https://docs.google.com/spreadsheets/d/1Kvs4KS76FHFqLFIZfrDMff4kP08nblUkihrxltoGBjg/edit#gid=934712705"",""ESENCIAL!A6:BG""),5,FALSE))"),"")</f>
        <v/>
      </c>
      <c r="BH457" s="98" t="str">
        <f t="shared" si="21"/>
        <v/>
      </c>
      <c r="BI457" s="99" t="str">
        <f t="shared" si="22"/>
        <v/>
      </c>
      <c r="BJ457" s="100" t="str">
        <f ca="1">IFERROR(__xludf.DUMMYFUNCTION("IFERROR(VLOOKUP(F723,IMPORTRANGE(""https://docs.google.com/spreadsheets/d/1Kvs4KS76FHFqLFIZfrDMff4kP08nblUkihrxltoGBjg/edit#gid=934712705"",""ESENCIAL!A6:BG""),2,FALSE))"),"")</f>
        <v/>
      </c>
      <c r="BK457" s="19" t="str">
        <f t="shared" si="23"/>
        <v/>
      </c>
      <c r="BL457" s="100"/>
      <c r="BM457" s="100"/>
    </row>
    <row r="458" spans="2:65" ht="15">
      <c r="B458" s="39"/>
      <c r="C458" s="5"/>
      <c r="D458" s="123"/>
      <c r="E458" s="39"/>
      <c r="F458" s="39"/>
      <c r="G458" s="39"/>
      <c r="H458" s="5" t="str">
        <f ca="1">IFERROR(__xludf.DUMMYFUNCTION("IFERROR(VLOOKUP(F724,IMPORTRANGE(""https://docs.google.com/spreadsheets/d/1Kvs4KS76FHFqLFIZfrDMff4kP08nblUkihrxltoGBjg/edit#gid=934712705"",""ESENCIAL!A6:BG""),3,FALSE))"),"")</f>
        <v/>
      </c>
      <c r="I458" s="5" t="str">
        <f ca="1">IFERROR(__xludf.DUMMYFUNCTION("IFERROR(VLOOKUP(F724,IMPORTRANGE(""https://docs.google.com/spreadsheets/d/1Kvs4KS76FHFqLFIZfrDMff4kP08nblUkihrxltoGBjg/edit#gid=934712705"",""ESENCIAL!A6:BG""),8,FALSE))"),"")</f>
        <v/>
      </c>
      <c r="J458" s="39"/>
      <c r="M458" s="40"/>
      <c r="AV458" s="41" t="str">
        <f t="shared" si="20"/>
        <v/>
      </c>
      <c r="AW458" s="5" t="str">
        <f ca="1">IFERROR(__xludf.DUMMYFUNCTION("IFERROR(VLOOKUP(E724&amp;F724,IMPORTRANGE(""https://docs.google.com/spreadsheets/d/1Uw7-A9f9R21vMXxHZFNpYNeKFtG8_yji4HS352LGlSQ/edit?pli=1#gid=0"",""1_ACUM!A4:S""),11,FALSE))"),"")</f>
        <v/>
      </c>
      <c r="AX458" s="42" t="str">
        <f ca="1">IFERROR(__xludf.DUMMYFUNCTION("IFERROR(VLOOKUP(F724,IMPORTRANGE(""https://docs.google.com/spreadsheets/d/1Kvs4KS76FHFqLFIZfrDMff4kP08nblUkihrxltoGBjg/edit#gid=934712705"",""ESENCIAL!A6:BG""),15,FALSE))"),"")</f>
        <v/>
      </c>
      <c r="AY458" s="110" t="str">
        <f ca="1">IFERROR(__xludf.DUMMYFUNCTION("IFERROR(VLOOKUP(E724&amp;F724,IMPORTRANGE(""https://docs.google.com/spreadsheets/d/1Uw7-A9f9R21vMXxHZFNpYNeKFtG8_yji4HS352LGlSQ/edit?pli=1#gid=0"",""1_ACUM!A4:S""),13,FALSE))"),"")</f>
        <v/>
      </c>
      <c r="AZ458" s="43" t="str">
        <f ca="1">IFERROR(__xludf.DUMMYFUNCTION("IFERROR(VLOOKUP(E724&amp;F724,IMPORTRANGE(""https://docs.google.com/spreadsheets/d/1Uw7-A9f9R21vMXxHZFNpYNeKFtG8_yji4HS352LGlSQ/edit?pli=1#gid=0"",""1_ACUM!A4:S""),13,FALSE))"),"")</f>
        <v/>
      </c>
      <c r="BA458" s="43" t="str">
        <f ca="1">IFERROR(__xludf.DUMMYFUNCTION("IFERROR(VLOOKUP(E724&amp;F724,IMPORTRANGE(""https://docs.google.com/spreadsheets/d/1Uw7-A9f9R21vMXxHZFNpYNeKFtG8_yji4HS352LGlSQ/edit?pli=1#gid=0"",""1_ACUM!A4:S""),14,FALSE))"),"")</f>
        <v/>
      </c>
      <c r="BB458" s="43" t="str">
        <f ca="1">IFERROR(__xludf.DUMMYFUNCTION("IFERROR(VLOOKUP(E724&amp;F724,IMPORTRANGE(""https://docs.google.com/spreadsheets/d/1Uw7-A9f9R21vMXxHZFNpYNeKFtG8_yji4HS352LGlSQ/edit?pli=1#gid=0"",""1_ACUM!A4:S""),15,FALSE))"),"")</f>
        <v/>
      </c>
      <c r="BC458" s="43" t="str">
        <f ca="1">IFERROR(__xludf.DUMMYFUNCTION("IFERROR(VLOOKUP(E724&amp;F724,IMPORTRANGE(""https://docs.google.com/spreadsheets/d/1Uw7-A9f9R21vMXxHZFNpYNeKFtG8_yji4HS352LGlSQ/edit?pli=1#gid=0"",""1_ACUM!A4:S""),16,FALSE))"),"")</f>
        <v/>
      </c>
      <c r="BD458" s="43" t="str">
        <f ca="1">IFERROR(__xludf.DUMMYFUNCTION("IFERROR(VLOOKUP(E724&amp;F724,IMPORTRANGE(""https://docs.google.com/spreadsheets/d/1Uw7-A9f9R21vMXxHZFNpYNeKFtG8_yji4HS352LGlSQ/edit?pli=1#gid=0"",""1_ACUM!A4:S""),17,FALSE))"),"")</f>
        <v/>
      </c>
      <c r="BE458" s="44" t="str">
        <f ca="1">IFERROR(__xludf.DUMMYFUNCTION("IFERROR(VLOOKUP(E724&amp;F724,IMPORTRANGE(""https://docs.google.com/spreadsheets/d/1Uw7-A9f9R21vMXxHZFNpYNeKFtG8_yji4HS352LGlSQ/edit?pli=1#gid=0"",""1_ACUM!A4:S""),18,FALSE))"),"")</f>
        <v/>
      </c>
      <c r="BF458" s="44" t="str">
        <f ca="1">IFERROR(__xludf.DUMMYFUNCTION("IFERROR(VLOOKUP(E724&amp;F724,IMPORTRANGE(""https://docs.google.com/spreadsheets/d/1Uw7-A9f9R21vMXxHZFNpYNeKFtG8_yji4HS352LGlSQ/edit?pli=1#gid=0"",""1_ACUM!A4:S""),19,FALSE))"),"")</f>
        <v/>
      </c>
      <c r="BG458" s="98" t="str">
        <f ca="1">IFERROR(__xludf.DUMMYFUNCTION("IFERROR(VLOOKUP(F724,IMPORTRANGE(""https://docs.google.com/spreadsheets/d/1Kvs4KS76FHFqLFIZfrDMff4kP08nblUkihrxltoGBjg/edit#gid=934712705"",""ESENCIAL!A6:BG""),5,FALSE))"),"")</f>
        <v/>
      </c>
      <c r="BH458" s="98" t="str">
        <f t="shared" si="21"/>
        <v/>
      </c>
      <c r="BI458" s="99" t="str">
        <f t="shared" si="22"/>
        <v/>
      </c>
      <c r="BJ458" s="100" t="str">
        <f ca="1">IFERROR(__xludf.DUMMYFUNCTION("IFERROR(VLOOKUP(F724,IMPORTRANGE(""https://docs.google.com/spreadsheets/d/1Kvs4KS76FHFqLFIZfrDMff4kP08nblUkihrxltoGBjg/edit#gid=934712705"",""ESENCIAL!A6:BG""),2,FALSE))"),"")</f>
        <v/>
      </c>
      <c r="BK458" s="19" t="str">
        <f t="shared" si="23"/>
        <v/>
      </c>
      <c r="BL458" s="100"/>
      <c r="BM458" s="100"/>
    </row>
    <row r="459" spans="2:65" ht="15">
      <c r="B459" s="39"/>
      <c r="C459" s="5"/>
      <c r="D459" s="123"/>
      <c r="E459" s="39"/>
      <c r="F459" s="39"/>
      <c r="G459" s="39"/>
      <c r="H459" s="5" t="str">
        <f ca="1">IFERROR(__xludf.DUMMYFUNCTION("IFERROR(VLOOKUP(F725,IMPORTRANGE(""https://docs.google.com/spreadsheets/d/1Kvs4KS76FHFqLFIZfrDMff4kP08nblUkihrxltoGBjg/edit#gid=934712705"",""ESENCIAL!A6:BG""),3,FALSE))"),"")</f>
        <v/>
      </c>
      <c r="I459" s="5" t="str">
        <f ca="1">IFERROR(__xludf.DUMMYFUNCTION("IFERROR(VLOOKUP(F725,IMPORTRANGE(""https://docs.google.com/spreadsheets/d/1Kvs4KS76FHFqLFIZfrDMff4kP08nblUkihrxltoGBjg/edit#gid=934712705"",""ESENCIAL!A6:BG""),8,FALSE))"),"")</f>
        <v/>
      </c>
      <c r="J459" s="39"/>
      <c r="M459" s="40"/>
      <c r="AV459" s="41" t="str">
        <f t="shared" si="20"/>
        <v/>
      </c>
      <c r="AW459" s="5" t="str">
        <f ca="1">IFERROR(__xludf.DUMMYFUNCTION("IFERROR(VLOOKUP(E725&amp;F725,IMPORTRANGE(""https://docs.google.com/spreadsheets/d/1Uw7-A9f9R21vMXxHZFNpYNeKFtG8_yji4HS352LGlSQ/edit?pli=1#gid=0"",""1_ACUM!A4:S""),11,FALSE))"),"")</f>
        <v/>
      </c>
      <c r="AX459" s="42" t="str">
        <f ca="1">IFERROR(__xludf.DUMMYFUNCTION("IFERROR(VLOOKUP(F725,IMPORTRANGE(""https://docs.google.com/spreadsheets/d/1Kvs4KS76FHFqLFIZfrDMff4kP08nblUkihrxltoGBjg/edit#gid=934712705"",""ESENCIAL!A6:BG""),15,FALSE))"),"")</f>
        <v/>
      </c>
      <c r="AY459" s="110" t="str">
        <f ca="1">IFERROR(__xludf.DUMMYFUNCTION("IFERROR(VLOOKUP(E725&amp;F725,IMPORTRANGE(""https://docs.google.com/spreadsheets/d/1Uw7-A9f9R21vMXxHZFNpYNeKFtG8_yji4HS352LGlSQ/edit?pli=1#gid=0"",""1_ACUM!A4:S""),13,FALSE))"),"")</f>
        <v/>
      </c>
      <c r="AZ459" s="43" t="str">
        <f ca="1">IFERROR(__xludf.DUMMYFUNCTION("IFERROR(VLOOKUP(E725&amp;F725,IMPORTRANGE(""https://docs.google.com/spreadsheets/d/1Uw7-A9f9R21vMXxHZFNpYNeKFtG8_yji4HS352LGlSQ/edit?pli=1#gid=0"",""1_ACUM!A4:S""),13,FALSE))"),"")</f>
        <v/>
      </c>
      <c r="BA459" s="43" t="str">
        <f ca="1">IFERROR(__xludf.DUMMYFUNCTION("IFERROR(VLOOKUP(E725&amp;F725,IMPORTRANGE(""https://docs.google.com/spreadsheets/d/1Uw7-A9f9R21vMXxHZFNpYNeKFtG8_yji4HS352LGlSQ/edit?pli=1#gid=0"",""1_ACUM!A4:S""),14,FALSE))"),"")</f>
        <v/>
      </c>
      <c r="BB459" s="43" t="str">
        <f ca="1">IFERROR(__xludf.DUMMYFUNCTION("IFERROR(VLOOKUP(E725&amp;F725,IMPORTRANGE(""https://docs.google.com/spreadsheets/d/1Uw7-A9f9R21vMXxHZFNpYNeKFtG8_yji4HS352LGlSQ/edit?pli=1#gid=0"",""1_ACUM!A4:S""),15,FALSE))"),"")</f>
        <v/>
      </c>
      <c r="BC459" s="43" t="str">
        <f ca="1">IFERROR(__xludf.DUMMYFUNCTION("IFERROR(VLOOKUP(E725&amp;F725,IMPORTRANGE(""https://docs.google.com/spreadsheets/d/1Uw7-A9f9R21vMXxHZFNpYNeKFtG8_yji4HS352LGlSQ/edit?pli=1#gid=0"",""1_ACUM!A4:S""),16,FALSE))"),"")</f>
        <v/>
      </c>
      <c r="BD459" s="43" t="str">
        <f ca="1">IFERROR(__xludf.DUMMYFUNCTION("IFERROR(VLOOKUP(E725&amp;F725,IMPORTRANGE(""https://docs.google.com/spreadsheets/d/1Uw7-A9f9R21vMXxHZFNpYNeKFtG8_yji4HS352LGlSQ/edit?pli=1#gid=0"",""1_ACUM!A4:S""),17,FALSE))"),"")</f>
        <v/>
      </c>
      <c r="BE459" s="44" t="str">
        <f ca="1">IFERROR(__xludf.DUMMYFUNCTION("IFERROR(VLOOKUP(E725&amp;F725,IMPORTRANGE(""https://docs.google.com/spreadsheets/d/1Uw7-A9f9R21vMXxHZFNpYNeKFtG8_yji4HS352LGlSQ/edit?pli=1#gid=0"",""1_ACUM!A4:S""),18,FALSE))"),"")</f>
        <v/>
      </c>
      <c r="BF459" s="44" t="str">
        <f ca="1">IFERROR(__xludf.DUMMYFUNCTION("IFERROR(VLOOKUP(E725&amp;F725,IMPORTRANGE(""https://docs.google.com/spreadsheets/d/1Uw7-A9f9R21vMXxHZFNpYNeKFtG8_yji4HS352LGlSQ/edit?pli=1#gid=0"",""1_ACUM!A4:S""),19,FALSE))"),"")</f>
        <v/>
      </c>
      <c r="BG459" s="98" t="str">
        <f ca="1">IFERROR(__xludf.DUMMYFUNCTION("IFERROR(VLOOKUP(F725,IMPORTRANGE(""https://docs.google.com/spreadsheets/d/1Kvs4KS76FHFqLFIZfrDMff4kP08nblUkihrxltoGBjg/edit#gid=934712705"",""ESENCIAL!A6:BG""),5,FALSE))"),"")</f>
        <v/>
      </c>
      <c r="BH459" s="98" t="str">
        <f t="shared" si="21"/>
        <v/>
      </c>
      <c r="BI459" s="99" t="str">
        <f t="shared" si="22"/>
        <v/>
      </c>
      <c r="BJ459" s="100" t="str">
        <f ca="1">IFERROR(__xludf.DUMMYFUNCTION("IFERROR(VLOOKUP(F725,IMPORTRANGE(""https://docs.google.com/spreadsheets/d/1Kvs4KS76FHFqLFIZfrDMff4kP08nblUkihrxltoGBjg/edit#gid=934712705"",""ESENCIAL!A6:BG""),2,FALSE))"),"")</f>
        <v/>
      </c>
      <c r="BK459" s="19" t="str">
        <f t="shared" si="23"/>
        <v/>
      </c>
      <c r="BL459" s="100"/>
      <c r="BM459" s="100"/>
    </row>
    <row r="460" spans="2:65" ht="15">
      <c r="B460" s="39"/>
      <c r="C460" s="5"/>
      <c r="D460" s="123"/>
      <c r="E460" s="39"/>
      <c r="F460" s="39"/>
      <c r="G460" s="39"/>
      <c r="H460" s="5" t="str">
        <f ca="1">IFERROR(__xludf.DUMMYFUNCTION("IFERROR(VLOOKUP(F726,IMPORTRANGE(""https://docs.google.com/spreadsheets/d/1Kvs4KS76FHFqLFIZfrDMff4kP08nblUkihrxltoGBjg/edit#gid=934712705"",""ESENCIAL!A6:BG""),3,FALSE))"),"")</f>
        <v/>
      </c>
      <c r="I460" s="5" t="str">
        <f ca="1">IFERROR(__xludf.DUMMYFUNCTION("IFERROR(VLOOKUP(F726,IMPORTRANGE(""https://docs.google.com/spreadsheets/d/1Kvs4KS76FHFqLFIZfrDMff4kP08nblUkihrxltoGBjg/edit#gid=934712705"",""ESENCIAL!A6:BG""),8,FALSE))"),"")</f>
        <v/>
      </c>
      <c r="J460" s="39"/>
      <c r="M460" s="40"/>
      <c r="AV460" s="41" t="str">
        <f t="shared" si="20"/>
        <v/>
      </c>
      <c r="AW460" s="5" t="str">
        <f ca="1">IFERROR(__xludf.DUMMYFUNCTION("IFERROR(VLOOKUP(E726&amp;F726,IMPORTRANGE(""https://docs.google.com/spreadsheets/d/1Uw7-A9f9R21vMXxHZFNpYNeKFtG8_yji4HS352LGlSQ/edit?pli=1#gid=0"",""1_ACUM!A4:S""),11,FALSE))"),"")</f>
        <v/>
      </c>
      <c r="AX460" s="42" t="str">
        <f ca="1">IFERROR(__xludf.DUMMYFUNCTION("IFERROR(VLOOKUP(F726,IMPORTRANGE(""https://docs.google.com/spreadsheets/d/1Kvs4KS76FHFqLFIZfrDMff4kP08nblUkihrxltoGBjg/edit#gid=934712705"",""ESENCIAL!A6:BG""),15,FALSE))"),"")</f>
        <v/>
      </c>
      <c r="AY460" s="110" t="str">
        <f ca="1">IFERROR(__xludf.DUMMYFUNCTION("IFERROR(VLOOKUP(E726&amp;F726,IMPORTRANGE(""https://docs.google.com/spreadsheets/d/1Uw7-A9f9R21vMXxHZFNpYNeKFtG8_yji4HS352LGlSQ/edit?pli=1#gid=0"",""1_ACUM!A4:S""),13,FALSE))"),"")</f>
        <v/>
      </c>
      <c r="AZ460" s="43" t="str">
        <f ca="1">IFERROR(__xludf.DUMMYFUNCTION("IFERROR(VLOOKUP(E726&amp;F726,IMPORTRANGE(""https://docs.google.com/spreadsheets/d/1Uw7-A9f9R21vMXxHZFNpYNeKFtG8_yji4HS352LGlSQ/edit?pli=1#gid=0"",""1_ACUM!A4:S""),13,FALSE))"),"")</f>
        <v/>
      </c>
      <c r="BA460" s="43" t="str">
        <f ca="1">IFERROR(__xludf.DUMMYFUNCTION("IFERROR(VLOOKUP(E726&amp;F726,IMPORTRANGE(""https://docs.google.com/spreadsheets/d/1Uw7-A9f9R21vMXxHZFNpYNeKFtG8_yji4HS352LGlSQ/edit?pli=1#gid=0"",""1_ACUM!A4:S""),14,FALSE))"),"")</f>
        <v/>
      </c>
      <c r="BB460" s="43" t="str">
        <f ca="1">IFERROR(__xludf.DUMMYFUNCTION("IFERROR(VLOOKUP(E726&amp;F726,IMPORTRANGE(""https://docs.google.com/spreadsheets/d/1Uw7-A9f9R21vMXxHZFNpYNeKFtG8_yji4HS352LGlSQ/edit?pli=1#gid=0"",""1_ACUM!A4:S""),15,FALSE))"),"")</f>
        <v/>
      </c>
      <c r="BC460" s="43" t="str">
        <f ca="1">IFERROR(__xludf.DUMMYFUNCTION("IFERROR(VLOOKUP(E726&amp;F726,IMPORTRANGE(""https://docs.google.com/spreadsheets/d/1Uw7-A9f9R21vMXxHZFNpYNeKFtG8_yji4HS352LGlSQ/edit?pli=1#gid=0"",""1_ACUM!A4:S""),16,FALSE))"),"")</f>
        <v/>
      </c>
      <c r="BD460" s="43" t="str">
        <f ca="1">IFERROR(__xludf.DUMMYFUNCTION("IFERROR(VLOOKUP(E726&amp;F726,IMPORTRANGE(""https://docs.google.com/spreadsheets/d/1Uw7-A9f9R21vMXxHZFNpYNeKFtG8_yji4HS352LGlSQ/edit?pli=1#gid=0"",""1_ACUM!A4:S""),17,FALSE))"),"")</f>
        <v/>
      </c>
      <c r="BE460" s="44" t="str">
        <f ca="1">IFERROR(__xludf.DUMMYFUNCTION("IFERROR(VLOOKUP(E726&amp;F726,IMPORTRANGE(""https://docs.google.com/spreadsheets/d/1Uw7-A9f9R21vMXxHZFNpYNeKFtG8_yji4HS352LGlSQ/edit?pli=1#gid=0"",""1_ACUM!A4:S""),18,FALSE))"),"")</f>
        <v/>
      </c>
      <c r="BF460" s="44" t="str">
        <f ca="1">IFERROR(__xludf.DUMMYFUNCTION("IFERROR(VLOOKUP(E726&amp;F726,IMPORTRANGE(""https://docs.google.com/spreadsheets/d/1Uw7-A9f9R21vMXxHZFNpYNeKFtG8_yji4HS352LGlSQ/edit?pli=1#gid=0"",""1_ACUM!A4:S""),19,FALSE))"),"")</f>
        <v/>
      </c>
      <c r="BG460" s="98" t="str">
        <f ca="1">IFERROR(__xludf.DUMMYFUNCTION("IFERROR(VLOOKUP(F726,IMPORTRANGE(""https://docs.google.com/spreadsheets/d/1Kvs4KS76FHFqLFIZfrDMff4kP08nblUkihrxltoGBjg/edit#gid=934712705"",""ESENCIAL!A6:BG""),5,FALSE))"),"")</f>
        <v/>
      </c>
      <c r="BH460" s="98" t="str">
        <f t="shared" si="21"/>
        <v/>
      </c>
      <c r="BI460" s="99" t="str">
        <f t="shared" si="22"/>
        <v/>
      </c>
      <c r="BJ460" s="100" t="str">
        <f ca="1">IFERROR(__xludf.DUMMYFUNCTION("IFERROR(VLOOKUP(F726,IMPORTRANGE(""https://docs.google.com/spreadsheets/d/1Kvs4KS76FHFqLFIZfrDMff4kP08nblUkihrxltoGBjg/edit#gid=934712705"",""ESENCIAL!A6:BG""),2,FALSE))"),"")</f>
        <v/>
      </c>
      <c r="BK460" s="19" t="str">
        <f t="shared" si="23"/>
        <v/>
      </c>
      <c r="BL460" s="100"/>
      <c r="BM460" s="100"/>
    </row>
    <row r="461" spans="2:65" ht="15">
      <c r="B461" s="39"/>
      <c r="C461" s="5"/>
      <c r="D461" s="123"/>
      <c r="E461" s="39"/>
      <c r="F461" s="39"/>
      <c r="G461" s="39"/>
      <c r="H461" s="5" t="str">
        <f ca="1">IFERROR(__xludf.DUMMYFUNCTION("IFERROR(VLOOKUP(F727,IMPORTRANGE(""https://docs.google.com/spreadsheets/d/1Kvs4KS76FHFqLFIZfrDMff4kP08nblUkihrxltoGBjg/edit#gid=934712705"",""ESENCIAL!A6:BG""),3,FALSE))"),"")</f>
        <v/>
      </c>
      <c r="I461" s="5" t="str">
        <f ca="1">IFERROR(__xludf.DUMMYFUNCTION("IFERROR(VLOOKUP(F727,IMPORTRANGE(""https://docs.google.com/spreadsheets/d/1Kvs4KS76FHFqLFIZfrDMff4kP08nblUkihrxltoGBjg/edit#gid=934712705"",""ESENCIAL!A6:BG""),8,FALSE))"),"")</f>
        <v/>
      </c>
      <c r="J461" s="39"/>
      <c r="M461" s="40"/>
      <c r="AV461" s="41" t="str">
        <f t="shared" si="20"/>
        <v/>
      </c>
      <c r="AW461" s="5" t="str">
        <f ca="1">IFERROR(__xludf.DUMMYFUNCTION("IFERROR(VLOOKUP(E727&amp;F727,IMPORTRANGE(""https://docs.google.com/spreadsheets/d/1Uw7-A9f9R21vMXxHZFNpYNeKFtG8_yji4HS352LGlSQ/edit?pli=1#gid=0"",""1_ACUM!A4:S""),11,FALSE))"),"")</f>
        <v/>
      </c>
      <c r="AX461" s="42" t="str">
        <f ca="1">IFERROR(__xludf.DUMMYFUNCTION("IFERROR(VLOOKUP(F727,IMPORTRANGE(""https://docs.google.com/spreadsheets/d/1Kvs4KS76FHFqLFIZfrDMff4kP08nblUkihrxltoGBjg/edit#gid=934712705"",""ESENCIAL!A6:BG""),15,FALSE))"),"")</f>
        <v/>
      </c>
      <c r="AY461" s="110" t="str">
        <f ca="1">IFERROR(__xludf.DUMMYFUNCTION("IFERROR(VLOOKUP(E727&amp;F727,IMPORTRANGE(""https://docs.google.com/spreadsheets/d/1Uw7-A9f9R21vMXxHZFNpYNeKFtG8_yji4HS352LGlSQ/edit?pli=1#gid=0"",""1_ACUM!A4:S""),13,FALSE))"),"")</f>
        <v/>
      </c>
      <c r="AZ461" s="43" t="str">
        <f ca="1">IFERROR(__xludf.DUMMYFUNCTION("IFERROR(VLOOKUP(E727&amp;F727,IMPORTRANGE(""https://docs.google.com/spreadsheets/d/1Uw7-A9f9R21vMXxHZFNpYNeKFtG8_yji4HS352LGlSQ/edit?pli=1#gid=0"",""1_ACUM!A4:S""),13,FALSE))"),"")</f>
        <v/>
      </c>
      <c r="BA461" s="43" t="str">
        <f ca="1">IFERROR(__xludf.DUMMYFUNCTION("IFERROR(VLOOKUP(E727&amp;F727,IMPORTRANGE(""https://docs.google.com/spreadsheets/d/1Uw7-A9f9R21vMXxHZFNpYNeKFtG8_yji4HS352LGlSQ/edit?pli=1#gid=0"",""1_ACUM!A4:S""),14,FALSE))"),"")</f>
        <v/>
      </c>
      <c r="BB461" s="43" t="str">
        <f ca="1">IFERROR(__xludf.DUMMYFUNCTION("IFERROR(VLOOKUP(E727&amp;F727,IMPORTRANGE(""https://docs.google.com/spreadsheets/d/1Uw7-A9f9R21vMXxHZFNpYNeKFtG8_yji4HS352LGlSQ/edit?pli=1#gid=0"",""1_ACUM!A4:S""),15,FALSE))"),"")</f>
        <v/>
      </c>
      <c r="BC461" s="43" t="str">
        <f ca="1">IFERROR(__xludf.DUMMYFUNCTION("IFERROR(VLOOKUP(E727&amp;F727,IMPORTRANGE(""https://docs.google.com/spreadsheets/d/1Uw7-A9f9R21vMXxHZFNpYNeKFtG8_yji4HS352LGlSQ/edit?pli=1#gid=0"",""1_ACUM!A4:S""),16,FALSE))"),"")</f>
        <v/>
      </c>
      <c r="BD461" s="43" t="str">
        <f ca="1">IFERROR(__xludf.DUMMYFUNCTION("IFERROR(VLOOKUP(E727&amp;F727,IMPORTRANGE(""https://docs.google.com/spreadsheets/d/1Uw7-A9f9R21vMXxHZFNpYNeKFtG8_yji4HS352LGlSQ/edit?pli=1#gid=0"",""1_ACUM!A4:S""),17,FALSE))"),"")</f>
        <v/>
      </c>
      <c r="BE461" s="44" t="str">
        <f ca="1">IFERROR(__xludf.DUMMYFUNCTION("IFERROR(VLOOKUP(E727&amp;F727,IMPORTRANGE(""https://docs.google.com/spreadsheets/d/1Uw7-A9f9R21vMXxHZFNpYNeKFtG8_yji4HS352LGlSQ/edit?pli=1#gid=0"",""1_ACUM!A4:S""),18,FALSE))"),"")</f>
        <v/>
      </c>
      <c r="BF461" s="44" t="str">
        <f ca="1">IFERROR(__xludf.DUMMYFUNCTION("IFERROR(VLOOKUP(E727&amp;F727,IMPORTRANGE(""https://docs.google.com/spreadsheets/d/1Uw7-A9f9R21vMXxHZFNpYNeKFtG8_yji4HS352LGlSQ/edit?pli=1#gid=0"",""1_ACUM!A4:S""),19,FALSE))"),"")</f>
        <v/>
      </c>
      <c r="BG461" s="98" t="str">
        <f ca="1">IFERROR(__xludf.DUMMYFUNCTION("IFERROR(VLOOKUP(F727,IMPORTRANGE(""https://docs.google.com/spreadsheets/d/1Kvs4KS76FHFqLFIZfrDMff4kP08nblUkihrxltoGBjg/edit#gid=934712705"",""ESENCIAL!A6:BG""),5,FALSE))"),"")</f>
        <v/>
      </c>
      <c r="BH461" s="98" t="str">
        <f t="shared" si="21"/>
        <v/>
      </c>
      <c r="BI461" s="99" t="str">
        <f t="shared" si="22"/>
        <v/>
      </c>
      <c r="BJ461" s="100" t="str">
        <f ca="1">IFERROR(__xludf.DUMMYFUNCTION("IFERROR(VLOOKUP(F727,IMPORTRANGE(""https://docs.google.com/spreadsheets/d/1Kvs4KS76FHFqLFIZfrDMff4kP08nblUkihrxltoGBjg/edit#gid=934712705"",""ESENCIAL!A6:BG""),2,FALSE))"),"")</f>
        <v/>
      </c>
      <c r="BK461" s="19" t="str">
        <f t="shared" si="23"/>
        <v/>
      </c>
      <c r="BL461" s="100"/>
      <c r="BM461" s="100"/>
    </row>
    <row r="462" spans="2:65" ht="15">
      <c r="B462" s="39"/>
      <c r="C462" s="5"/>
      <c r="D462" s="123"/>
      <c r="E462" s="39"/>
      <c r="F462" s="39"/>
      <c r="G462" s="39"/>
      <c r="H462" s="5" t="str">
        <f ca="1">IFERROR(__xludf.DUMMYFUNCTION("IFERROR(VLOOKUP(F728,IMPORTRANGE(""https://docs.google.com/spreadsheets/d/1Kvs4KS76FHFqLFIZfrDMff4kP08nblUkihrxltoGBjg/edit#gid=934712705"",""ESENCIAL!A6:BG""),3,FALSE))"),"")</f>
        <v/>
      </c>
      <c r="I462" s="5" t="str">
        <f ca="1">IFERROR(__xludf.DUMMYFUNCTION("IFERROR(VLOOKUP(F728,IMPORTRANGE(""https://docs.google.com/spreadsheets/d/1Kvs4KS76FHFqLFIZfrDMff4kP08nblUkihrxltoGBjg/edit#gid=934712705"",""ESENCIAL!A6:BG""),8,FALSE))"),"")</f>
        <v/>
      </c>
      <c r="J462" s="39"/>
      <c r="M462" s="40"/>
      <c r="AV462" s="41" t="str">
        <f t="shared" si="20"/>
        <v/>
      </c>
      <c r="AW462" s="5" t="str">
        <f ca="1">IFERROR(__xludf.DUMMYFUNCTION("IFERROR(VLOOKUP(E728&amp;F728,IMPORTRANGE(""https://docs.google.com/spreadsheets/d/1Uw7-A9f9R21vMXxHZFNpYNeKFtG8_yji4HS352LGlSQ/edit?pli=1#gid=0"",""1_ACUM!A4:S""),11,FALSE))"),"")</f>
        <v/>
      </c>
      <c r="AX462" s="42" t="str">
        <f ca="1">IFERROR(__xludf.DUMMYFUNCTION("IFERROR(VLOOKUP(F728,IMPORTRANGE(""https://docs.google.com/spreadsheets/d/1Kvs4KS76FHFqLFIZfrDMff4kP08nblUkihrxltoGBjg/edit#gid=934712705"",""ESENCIAL!A6:BG""),15,FALSE))"),"")</f>
        <v/>
      </c>
      <c r="AY462" s="110" t="str">
        <f ca="1">IFERROR(__xludf.DUMMYFUNCTION("IFERROR(VLOOKUP(E728&amp;F728,IMPORTRANGE(""https://docs.google.com/spreadsheets/d/1Uw7-A9f9R21vMXxHZFNpYNeKFtG8_yji4HS352LGlSQ/edit?pli=1#gid=0"",""1_ACUM!A4:S""),13,FALSE))"),"")</f>
        <v/>
      </c>
      <c r="AZ462" s="43" t="str">
        <f ca="1">IFERROR(__xludf.DUMMYFUNCTION("IFERROR(VLOOKUP(E728&amp;F728,IMPORTRANGE(""https://docs.google.com/spreadsheets/d/1Uw7-A9f9R21vMXxHZFNpYNeKFtG8_yji4HS352LGlSQ/edit?pli=1#gid=0"",""1_ACUM!A4:S""),13,FALSE))"),"")</f>
        <v/>
      </c>
      <c r="BA462" s="43" t="str">
        <f ca="1">IFERROR(__xludf.DUMMYFUNCTION("IFERROR(VLOOKUP(E728&amp;F728,IMPORTRANGE(""https://docs.google.com/spreadsheets/d/1Uw7-A9f9R21vMXxHZFNpYNeKFtG8_yji4HS352LGlSQ/edit?pli=1#gid=0"",""1_ACUM!A4:S""),14,FALSE))"),"")</f>
        <v/>
      </c>
      <c r="BB462" s="43" t="str">
        <f ca="1">IFERROR(__xludf.DUMMYFUNCTION("IFERROR(VLOOKUP(E728&amp;F728,IMPORTRANGE(""https://docs.google.com/spreadsheets/d/1Uw7-A9f9R21vMXxHZFNpYNeKFtG8_yji4HS352LGlSQ/edit?pli=1#gid=0"",""1_ACUM!A4:S""),15,FALSE))"),"")</f>
        <v/>
      </c>
      <c r="BC462" s="43" t="str">
        <f ca="1">IFERROR(__xludf.DUMMYFUNCTION("IFERROR(VLOOKUP(E728&amp;F728,IMPORTRANGE(""https://docs.google.com/spreadsheets/d/1Uw7-A9f9R21vMXxHZFNpYNeKFtG8_yji4HS352LGlSQ/edit?pli=1#gid=0"",""1_ACUM!A4:S""),16,FALSE))"),"")</f>
        <v/>
      </c>
      <c r="BD462" s="43" t="str">
        <f ca="1">IFERROR(__xludf.DUMMYFUNCTION("IFERROR(VLOOKUP(E728&amp;F728,IMPORTRANGE(""https://docs.google.com/spreadsheets/d/1Uw7-A9f9R21vMXxHZFNpYNeKFtG8_yji4HS352LGlSQ/edit?pli=1#gid=0"",""1_ACUM!A4:S""),17,FALSE))"),"")</f>
        <v/>
      </c>
      <c r="BE462" s="44" t="str">
        <f ca="1">IFERROR(__xludf.DUMMYFUNCTION("IFERROR(VLOOKUP(E728&amp;F728,IMPORTRANGE(""https://docs.google.com/spreadsheets/d/1Uw7-A9f9R21vMXxHZFNpYNeKFtG8_yji4HS352LGlSQ/edit?pli=1#gid=0"",""1_ACUM!A4:S""),18,FALSE))"),"")</f>
        <v/>
      </c>
      <c r="BF462" s="44" t="str">
        <f ca="1">IFERROR(__xludf.DUMMYFUNCTION("IFERROR(VLOOKUP(E728&amp;F728,IMPORTRANGE(""https://docs.google.com/spreadsheets/d/1Uw7-A9f9R21vMXxHZFNpYNeKFtG8_yji4HS352LGlSQ/edit?pli=1#gid=0"",""1_ACUM!A4:S""),19,FALSE))"),"")</f>
        <v/>
      </c>
      <c r="BG462" s="98" t="str">
        <f ca="1">IFERROR(__xludf.DUMMYFUNCTION("IFERROR(VLOOKUP(F728,IMPORTRANGE(""https://docs.google.com/spreadsheets/d/1Kvs4KS76FHFqLFIZfrDMff4kP08nblUkihrxltoGBjg/edit#gid=934712705"",""ESENCIAL!A6:BG""),5,FALSE))"),"")</f>
        <v/>
      </c>
      <c r="BH462" s="98" t="str">
        <f t="shared" si="21"/>
        <v/>
      </c>
      <c r="BI462" s="99" t="str">
        <f t="shared" si="22"/>
        <v/>
      </c>
      <c r="BJ462" s="100" t="str">
        <f ca="1">IFERROR(__xludf.DUMMYFUNCTION("IFERROR(VLOOKUP(F728,IMPORTRANGE(""https://docs.google.com/spreadsheets/d/1Kvs4KS76FHFqLFIZfrDMff4kP08nblUkihrxltoGBjg/edit#gid=934712705"",""ESENCIAL!A6:BG""),2,FALSE))"),"")</f>
        <v/>
      </c>
      <c r="BK462" s="19" t="str">
        <f t="shared" si="23"/>
        <v/>
      </c>
      <c r="BL462" s="100"/>
      <c r="BM462" s="100"/>
    </row>
    <row r="463" spans="2:65" ht="15">
      <c r="B463" s="39"/>
      <c r="C463" s="5"/>
      <c r="D463" s="123"/>
      <c r="E463" s="39"/>
      <c r="F463" s="39"/>
      <c r="G463" s="39"/>
      <c r="H463" s="5" t="str">
        <f ca="1">IFERROR(__xludf.DUMMYFUNCTION("IFERROR(VLOOKUP(F729,IMPORTRANGE(""https://docs.google.com/spreadsheets/d/1Kvs4KS76FHFqLFIZfrDMff4kP08nblUkihrxltoGBjg/edit#gid=934712705"",""ESENCIAL!A6:BG""),3,FALSE))"),"")</f>
        <v/>
      </c>
      <c r="I463" s="5" t="str">
        <f ca="1">IFERROR(__xludf.DUMMYFUNCTION("IFERROR(VLOOKUP(F729,IMPORTRANGE(""https://docs.google.com/spreadsheets/d/1Kvs4KS76FHFqLFIZfrDMff4kP08nblUkihrxltoGBjg/edit#gid=934712705"",""ESENCIAL!A6:BG""),8,FALSE))"),"")</f>
        <v/>
      </c>
      <c r="J463" s="39"/>
      <c r="M463" s="40"/>
      <c r="AV463" s="41" t="str">
        <f t="shared" si="20"/>
        <v/>
      </c>
      <c r="AW463" s="5" t="str">
        <f ca="1">IFERROR(__xludf.DUMMYFUNCTION("IFERROR(VLOOKUP(E729&amp;F729,IMPORTRANGE(""https://docs.google.com/spreadsheets/d/1Uw7-A9f9R21vMXxHZFNpYNeKFtG8_yji4HS352LGlSQ/edit?pli=1#gid=0"",""1_ACUM!A4:S""),11,FALSE))"),"")</f>
        <v/>
      </c>
      <c r="AX463" s="42" t="str">
        <f ca="1">IFERROR(__xludf.DUMMYFUNCTION("IFERROR(VLOOKUP(F729,IMPORTRANGE(""https://docs.google.com/spreadsheets/d/1Kvs4KS76FHFqLFIZfrDMff4kP08nblUkihrxltoGBjg/edit#gid=934712705"",""ESENCIAL!A6:BG""),15,FALSE))"),"")</f>
        <v/>
      </c>
      <c r="AY463" s="110" t="str">
        <f ca="1">IFERROR(__xludf.DUMMYFUNCTION("IFERROR(VLOOKUP(E729&amp;F729,IMPORTRANGE(""https://docs.google.com/spreadsheets/d/1Uw7-A9f9R21vMXxHZFNpYNeKFtG8_yji4HS352LGlSQ/edit?pli=1#gid=0"",""1_ACUM!A4:S""),13,FALSE))"),"")</f>
        <v/>
      </c>
      <c r="AZ463" s="43" t="str">
        <f ca="1">IFERROR(__xludf.DUMMYFUNCTION("IFERROR(VLOOKUP(E729&amp;F729,IMPORTRANGE(""https://docs.google.com/spreadsheets/d/1Uw7-A9f9R21vMXxHZFNpYNeKFtG8_yji4HS352LGlSQ/edit?pli=1#gid=0"",""1_ACUM!A4:S""),13,FALSE))"),"")</f>
        <v/>
      </c>
      <c r="BA463" s="43" t="str">
        <f ca="1">IFERROR(__xludf.DUMMYFUNCTION("IFERROR(VLOOKUP(E729&amp;F729,IMPORTRANGE(""https://docs.google.com/spreadsheets/d/1Uw7-A9f9R21vMXxHZFNpYNeKFtG8_yji4HS352LGlSQ/edit?pli=1#gid=0"",""1_ACUM!A4:S""),14,FALSE))"),"")</f>
        <v/>
      </c>
      <c r="BB463" s="43" t="str">
        <f ca="1">IFERROR(__xludf.DUMMYFUNCTION("IFERROR(VLOOKUP(E729&amp;F729,IMPORTRANGE(""https://docs.google.com/spreadsheets/d/1Uw7-A9f9R21vMXxHZFNpYNeKFtG8_yji4HS352LGlSQ/edit?pli=1#gid=0"",""1_ACUM!A4:S""),15,FALSE))"),"")</f>
        <v/>
      </c>
      <c r="BC463" s="43" t="str">
        <f ca="1">IFERROR(__xludf.DUMMYFUNCTION("IFERROR(VLOOKUP(E729&amp;F729,IMPORTRANGE(""https://docs.google.com/spreadsheets/d/1Uw7-A9f9R21vMXxHZFNpYNeKFtG8_yji4HS352LGlSQ/edit?pli=1#gid=0"",""1_ACUM!A4:S""),16,FALSE))"),"")</f>
        <v/>
      </c>
      <c r="BD463" s="43" t="str">
        <f ca="1">IFERROR(__xludf.DUMMYFUNCTION("IFERROR(VLOOKUP(E729&amp;F729,IMPORTRANGE(""https://docs.google.com/spreadsheets/d/1Uw7-A9f9R21vMXxHZFNpYNeKFtG8_yji4HS352LGlSQ/edit?pli=1#gid=0"",""1_ACUM!A4:S""),17,FALSE))"),"")</f>
        <v/>
      </c>
      <c r="BE463" s="44" t="str">
        <f ca="1">IFERROR(__xludf.DUMMYFUNCTION("IFERROR(VLOOKUP(E729&amp;F729,IMPORTRANGE(""https://docs.google.com/spreadsheets/d/1Uw7-A9f9R21vMXxHZFNpYNeKFtG8_yji4HS352LGlSQ/edit?pli=1#gid=0"",""1_ACUM!A4:S""),18,FALSE))"),"")</f>
        <v/>
      </c>
      <c r="BF463" s="44" t="str">
        <f ca="1">IFERROR(__xludf.DUMMYFUNCTION("IFERROR(VLOOKUP(E729&amp;F729,IMPORTRANGE(""https://docs.google.com/spreadsheets/d/1Uw7-A9f9R21vMXxHZFNpYNeKFtG8_yji4HS352LGlSQ/edit?pli=1#gid=0"",""1_ACUM!A4:S""),19,FALSE))"),"")</f>
        <v/>
      </c>
      <c r="BG463" s="98" t="str">
        <f ca="1">IFERROR(__xludf.DUMMYFUNCTION("IFERROR(VLOOKUP(F729,IMPORTRANGE(""https://docs.google.com/spreadsheets/d/1Kvs4KS76FHFqLFIZfrDMff4kP08nblUkihrxltoGBjg/edit#gid=934712705"",""ESENCIAL!A6:BG""),5,FALSE))"),"")</f>
        <v/>
      </c>
      <c r="BH463" s="98" t="str">
        <f t="shared" si="21"/>
        <v/>
      </c>
      <c r="BI463" s="99" t="str">
        <f t="shared" si="22"/>
        <v/>
      </c>
      <c r="BJ463" s="100" t="str">
        <f ca="1">IFERROR(__xludf.DUMMYFUNCTION("IFERROR(VLOOKUP(F729,IMPORTRANGE(""https://docs.google.com/spreadsheets/d/1Kvs4KS76FHFqLFIZfrDMff4kP08nblUkihrxltoGBjg/edit#gid=934712705"",""ESENCIAL!A6:BG""),2,FALSE))"),"")</f>
        <v/>
      </c>
      <c r="BK463" s="19" t="str">
        <f t="shared" si="23"/>
        <v/>
      </c>
      <c r="BL463" s="100"/>
      <c r="BM463" s="100"/>
    </row>
    <row r="464" spans="2:65" ht="15">
      <c r="B464" s="39"/>
      <c r="C464" s="5"/>
      <c r="D464" s="123"/>
      <c r="E464" s="39"/>
      <c r="F464" s="39"/>
      <c r="G464" s="39"/>
      <c r="H464" s="5" t="str">
        <f ca="1">IFERROR(__xludf.DUMMYFUNCTION("IFERROR(VLOOKUP(F730,IMPORTRANGE(""https://docs.google.com/spreadsheets/d/1Kvs4KS76FHFqLFIZfrDMff4kP08nblUkihrxltoGBjg/edit#gid=934712705"",""ESENCIAL!A6:BG""),3,FALSE))"),"")</f>
        <v/>
      </c>
      <c r="I464" s="5" t="str">
        <f ca="1">IFERROR(__xludf.DUMMYFUNCTION("IFERROR(VLOOKUP(F730,IMPORTRANGE(""https://docs.google.com/spreadsheets/d/1Kvs4KS76FHFqLFIZfrDMff4kP08nblUkihrxltoGBjg/edit#gid=934712705"",""ESENCIAL!A6:BG""),8,FALSE))"),"")</f>
        <v/>
      </c>
      <c r="J464" s="39"/>
      <c r="M464" s="40"/>
      <c r="AV464" s="41" t="str">
        <f t="shared" si="20"/>
        <v/>
      </c>
      <c r="AW464" s="5" t="str">
        <f ca="1">IFERROR(__xludf.DUMMYFUNCTION("IFERROR(VLOOKUP(E730&amp;F730,IMPORTRANGE(""https://docs.google.com/spreadsheets/d/1Uw7-A9f9R21vMXxHZFNpYNeKFtG8_yji4HS352LGlSQ/edit?pli=1#gid=0"",""1_ACUM!A4:S""),11,FALSE))"),"")</f>
        <v/>
      </c>
      <c r="AX464" s="42" t="str">
        <f ca="1">IFERROR(__xludf.DUMMYFUNCTION("IFERROR(VLOOKUP(F730,IMPORTRANGE(""https://docs.google.com/spreadsheets/d/1Kvs4KS76FHFqLFIZfrDMff4kP08nblUkihrxltoGBjg/edit#gid=934712705"",""ESENCIAL!A6:BG""),15,FALSE))"),"")</f>
        <v/>
      </c>
      <c r="AY464" s="110" t="str">
        <f ca="1">IFERROR(__xludf.DUMMYFUNCTION("IFERROR(VLOOKUP(E730&amp;F730,IMPORTRANGE(""https://docs.google.com/spreadsheets/d/1Uw7-A9f9R21vMXxHZFNpYNeKFtG8_yji4HS352LGlSQ/edit?pli=1#gid=0"",""1_ACUM!A4:S""),13,FALSE))"),"")</f>
        <v/>
      </c>
      <c r="AZ464" s="43" t="str">
        <f ca="1">IFERROR(__xludf.DUMMYFUNCTION("IFERROR(VLOOKUP(E730&amp;F730,IMPORTRANGE(""https://docs.google.com/spreadsheets/d/1Uw7-A9f9R21vMXxHZFNpYNeKFtG8_yji4HS352LGlSQ/edit?pli=1#gid=0"",""1_ACUM!A4:S""),13,FALSE))"),"")</f>
        <v/>
      </c>
      <c r="BA464" s="43" t="str">
        <f ca="1">IFERROR(__xludf.DUMMYFUNCTION("IFERROR(VLOOKUP(E730&amp;F730,IMPORTRANGE(""https://docs.google.com/spreadsheets/d/1Uw7-A9f9R21vMXxHZFNpYNeKFtG8_yji4HS352LGlSQ/edit?pli=1#gid=0"",""1_ACUM!A4:S""),14,FALSE))"),"")</f>
        <v/>
      </c>
      <c r="BB464" s="43" t="str">
        <f ca="1">IFERROR(__xludf.DUMMYFUNCTION("IFERROR(VLOOKUP(E730&amp;F730,IMPORTRANGE(""https://docs.google.com/spreadsheets/d/1Uw7-A9f9R21vMXxHZFNpYNeKFtG8_yji4HS352LGlSQ/edit?pli=1#gid=0"",""1_ACUM!A4:S""),15,FALSE))"),"")</f>
        <v/>
      </c>
      <c r="BC464" s="43" t="str">
        <f ca="1">IFERROR(__xludf.DUMMYFUNCTION("IFERROR(VLOOKUP(E730&amp;F730,IMPORTRANGE(""https://docs.google.com/spreadsheets/d/1Uw7-A9f9R21vMXxHZFNpYNeKFtG8_yji4HS352LGlSQ/edit?pli=1#gid=0"",""1_ACUM!A4:S""),16,FALSE))"),"")</f>
        <v/>
      </c>
      <c r="BD464" s="43" t="str">
        <f ca="1">IFERROR(__xludf.DUMMYFUNCTION("IFERROR(VLOOKUP(E730&amp;F730,IMPORTRANGE(""https://docs.google.com/spreadsheets/d/1Uw7-A9f9R21vMXxHZFNpYNeKFtG8_yji4HS352LGlSQ/edit?pli=1#gid=0"",""1_ACUM!A4:S""),17,FALSE))"),"")</f>
        <v/>
      </c>
      <c r="BE464" s="44" t="str">
        <f ca="1">IFERROR(__xludf.DUMMYFUNCTION("IFERROR(VLOOKUP(E730&amp;F730,IMPORTRANGE(""https://docs.google.com/spreadsheets/d/1Uw7-A9f9R21vMXxHZFNpYNeKFtG8_yji4HS352LGlSQ/edit?pli=1#gid=0"",""1_ACUM!A4:S""),18,FALSE))"),"")</f>
        <v/>
      </c>
      <c r="BF464" s="44" t="str">
        <f ca="1">IFERROR(__xludf.DUMMYFUNCTION("IFERROR(VLOOKUP(E730&amp;F730,IMPORTRANGE(""https://docs.google.com/spreadsheets/d/1Uw7-A9f9R21vMXxHZFNpYNeKFtG8_yji4HS352LGlSQ/edit?pli=1#gid=0"",""1_ACUM!A4:S""),19,FALSE))"),"")</f>
        <v/>
      </c>
      <c r="BG464" s="98" t="str">
        <f ca="1">IFERROR(__xludf.DUMMYFUNCTION("IFERROR(VLOOKUP(F730,IMPORTRANGE(""https://docs.google.com/spreadsheets/d/1Kvs4KS76FHFqLFIZfrDMff4kP08nblUkihrxltoGBjg/edit#gid=934712705"",""ESENCIAL!A6:BG""),5,FALSE))"),"")</f>
        <v/>
      </c>
      <c r="BH464" s="98" t="str">
        <f t="shared" si="21"/>
        <v/>
      </c>
      <c r="BI464" s="99" t="str">
        <f t="shared" si="22"/>
        <v/>
      </c>
      <c r="BJ464" s="100" t="str">
        <f ca="1">IFERROR(__xludf.DUMMYFUNCTION("IFERROR(VLOOKUP(F730,IMPORTRANGE(""https://docs.google.com/spreadsheets/d/1Kvs4KS76FHFqLFIZfrDMff4kP08nblUkihrxltoGBjg/edit#gid=934712705"",""ESENCIAL!A6:BG""),2,FALSE))"),"")</f>
        <v/>
      </c>
      <c r="BK464" s="19" t="str">
        <f t="shared" si="23"/>
        <v/>
      </c>
      <c r="BL464" s="100"/>
      <c r="BM464" s="100"/>
    </row>
    <row r="465" spans="2:65" ht="15">
      <c r="B465" s="39"/>
      <c r="C465" s="5"/>
      <c r="D465" s="123"/>
      <c r="E465" s="39"/>
      <c r="F465" s="39"/>
      <c r="G465" s="39"/>
      <c r="H465" s="5" t="str">
        <f ca="1">IFERROR(__xludf.DUMMYFUNCTION("IFERROR(VLOOKUP(F731,IMPORTRANGE(""https://docs.google.com/spreadsheets/d/1Kvs4KS76FHFqLFIZfrDMff4kP08nblUkihrxltoGBjg/edit#gid=934712705"",""ESENCIAL!A6:BG""),3,FALSE))"),"")</f>
        <v/>
      </c>
      <c r="I465" s="5" t="str">
        <f ca="1">IFERROR(__xludf.DUMMYFUNCTION("IFERROR(VLOOKUP(F731,IMPORTRANGE(""https://docs.google.com/spreadsheets/d/1Kvs4KS76FHFqLFIZfrDMff4kP08nblUkihrxltoGBjg/edit#gid=934712705"",""ESENCIAL!A6:BG""),8,FALSE))"),"")</f>
        <v/>
      </c>
      <c r="J465" s="39"/>
      <c r="M465" s="40"/>
      <c r="AV465" s="41" t="str">
        <f t="shared" si="20"/>
        <v/>
      </c>
      <c r="AW465" s="5" t="str">
        <f ca="1">IFERROR(__xludf.DUMMYFUNCTION("IFERROR(VLOOKUP(E731&amp;F731,IMPORTRANGE(""https://docs.google.com/spreadsheets/d/1Uw7-A9f9R21vMXxHZFNpYNeKFtG8_yji4HS352LGlSQ/edit?pli=1#gid=0"",""1_ACUM!A4:S""),11,FALSE))"),"")</f>
        <v/>
      </c>
      <c r="AX465" s="42" t="str">
        <f ca="1">IFERROR(__xludf.DUMMYFUNCTION("IFERROR(VLOOKUP(F731,IMPORTRANGE(""https://docs.google.com/spreadsheets/d/1Kvs4KS76FHFqLFIZfrDMff4kP08nblUkihrxltoGBjg/edit#gid=934712705"",""ESENCIAL!A6:BG""),15,FALSE))"),"")</f>
        <v/>
      </c>
      <c r="AY465" s="110" t="str">
        <f ca="1">IFERROR(__xludf.DUMMYFUNCTION("IFERROR(VLOOKUP(E731&amp;F731,IMPORTRANGE(""https://docs.google.com/spreadsheets/d/1Uw7-A9f9R21vMXxHZFNpYNeKFtG8_yji4HS352LGlSQ/edit?pli=1#gid=0"",""1_ACUM!A4:S""),13,FALSE))"),"")</f>
        <v/>
      </c>
      <c r="AZ465" s="43" t="str">
        <f ca="1">IFERROR(__xludf.DUMMYFUNCTION("IFERROR(VLOOKUP(E731&amp;F731,IMPORTRANGE(""https://docs.google.com/spreadsheets/d/1Uw7-A9f9R21vMXxHZFNpYNeKFtG8_yji4HS352LGlSQ/edit?pli=1#gid=0"",""1_ACUM!A4:S""),13,FALSE))"),"")</f>
        <v/>
      </c>
      <c r="BA465" s="43" t="str">
        <f ca="1">IFERROR(__xludf.DUMMYFUNCTION("IFERROR(VLOOKUP(E731&amp;F731,IMPORTRANGE(""https://docs.google.com/spreadsheets/d/1Uw7-A9f9R21vMXxHZFNpYNeKFtG8_yji4HS352LGlSQ/edit?pli=1#gid=0"",""1_ACUM!A4:S""),14,FALSE))"),"")</f>
        <v/>
      </c>
      <c r="BB465" s="43" t="str">
        <f ca="1">IFERROR(__xludf.DUMMYFUNCTION("IFERROR(VLOOKUP(E731&amp;F731,IMPORTRANGE(""https://docs.google.com/spreadsheets/d/1Uw7-A9f9R21vMXxHZFNpYNeKFtG8_yji4HS352LGlSQ/edit?pli=1#gid=0"",""1_ACUM!A4:S""),15,FALSE))"),"")</f>
        <v/>
      </c>
      <c r="BC465" s="43" t="str">
        <f ca="1">IFERROR(__xludf.DUMMYFUNCTION("IFERROR(VLOOKUP(E731&amp;F731,IMPORTRANGE(""https://docs.google.com/spreadsheets/d/1Uw7-A9f9R21vMXxHZFNpYNeKFtG8_yji4HS352LGlSQ/edit?pli=1#gid=0"",""1_ACUM!A4:S""),16,FALSE))"),"")</f>
        <v/>
      </c>
      <c r="BD465" s="43" t="str">
        <f ca="1">IFERROR(__xludf.DUMMYFUNCTION("IFERROR(VLOOKUP(E731&amp;F731,IMPORTRANGE(""https://docs.google.com/spreadsheets/d/1Uw7-A9f9R21vMXxHZFNpYNeKFtG8_yji4HS352LGlSQ/edit?pli=1#gid=0"",""1_ACUM!A4:S""),17,FALSE))"),"")</f>
        <v/>
      </c>
      <c r="BE465" s="44" t="str">
        <f ca="1">IFERROR(__xludf.DUMMYFUNCTION("IFERROR(VLOOKUP(E731&amp;F731,IMPORTRANGE(""https://docs.google.com/spreadsheets/d/1Uw7-A9f9R21vMXxHZFNpYNeKFtG8_yji4HS352LGlSQ/edit?pli=1#gid=0"",""1_ACUM!A4:S""),18,FALSE))"),"")</f>
        <v/>
      </c>
      <c r="BF465" s="44" t="str">
        <f ca="1">IFERROR(__xludf.DUMMYFUNCTION("IFERROR(VLOOKUP(E731&amp;F731,IMPORTRANGE(""https://docs.google.com/spreadsheets/d/1Uw7-A9f9R21vMXxHZFNpYNeKFtG8_yji4HS352LGlSQ/edit?pli=1#gid=0"",""1_ACUM!A4:S""),19,FALSE))"),"")</f>
        <v/>
      </c>
      <c r="BG465" s="98" t="str">
        <f ca="1">IFERROR(__xludf.DUMMYFUNCTION("IFERROR(VLOOKUP(F731,IMPORTRANGE(""https://docs.google.com/spreadsheets/d/1Kvs4KS76FHFqLFIZfrDMff4kP08nblUkihrxltoGBjg/edit#gid=934712705"",""ESENCIAL!A6:BG""),5,FALSE))"),"")</f>
        <v/>
      </c>
      <c r="BH465" s="98" t="str">
        <f t="shared" si="21"/>
        <v/>
      </c>
      <c r="BI465" s="99" t="str">
        <f t="shared" si="22"/>
        <v/>
      </c>
      <c r="BJ465" s="100" t="str">
        <f ca="1">IFERROR(__xludf.DUMMYFUNCTION("IFERROR(VLOOKUP(F731,IMPORTRANGE(""https://docs.google.com/spreadsheets/d/1Kvs4KS76FHFqLFIZfrDMff4kP08nblUkihrxltoGBjg/edit#gid=934712705"",""ESENCIAL!A6:BG""),2,FALSE))"),"")</f>
        <v/>
      </c>
      <c r="BK465" s="19" t="str">
        <f t="shared" si="23"/>
        <v/>
      </c>
      <c r="BL465" s="100"/>
      <c r="BM465" s="100"/>
    </row>
    <row r="466" spans="2:65" ht="15">
      <c r="B466" s="39"/>
      <c r="C466" s="5"/>
      <c r="D466" s="123"/>
      <c r="E466" s="39"/>
      <c r="F466" s="39"/>
      <c r="G466" s="39"/>
      <c r="H466" s="5" t="str">
        <f ca="1">IFERROR(__xludf.DUMMYFUNCTION("IFERROR(VLOOKUP(F732,IMPORTRANGE(""https://docs.google.com/spreadsheets/d/1Kvs4KS76FHFqLFIZfrDMff4kP08nblUkihrxltoGBjg/edit#gid=934712705"",""ESENCIAL!A6:BG""),3,FALSE))"),"")</f>
        <v/>
      </c>
      <c r="I466" s="5" t="str">
        <f ca="1">IFERROR(__xludf.DUMMYFUNCTION("IFERROR(VLOOKUP(F732,IMPORTRANGE(""https://docs.google.com/spreadsheets/d/1Kvs4KS76FHFqLFIZfrDMff4kP08nblUkihrxltoGBjg/edit#gid=934712705"",""ESENCIAL!A6:BG""),8,FALSE))"),"")</f>
        <v/>
      </c>
      <c r="J466" s="39"/>
      <c r="M466" s="40"/>
      <c r="AV466" s="41" t="str">
        <f t="shared" si="20"/>
        <v/>
      </c>
      <c r="AW466" s="5" t="str">
        <f ca="1">IFERROR(__xludf.DUMMYFUNCTION("IFERROR(VLOOKUP(E732&amp;F732,IMPORTRANGE(""https://docs.google.com/spreadsheets/d/1Uw7-A9f9R21vMXxHZFNpYNeKFtG8_yji4HS352LGlSQ/edit?pli=1#gid=0"",""1_ACUM!A4:S""),11,FALSE))"),"")</f>
        <v/>
      </c>
      <c r="AX466" s="42" t="str">
        <f ca="1">IFERROR(__xludf.DUMMYFUNCTION("IFERROR(VLOOKUP(F732,IMPORTRANGE(""https://docs.google.com/spreadsheets/d/1Kvs4KS76FHFqLFIZfrDMff4kP08nblUkihrxltoGBjg/edit#gid=934712705"",""ESENCIAL!A6:BG""),15,FALSE))"),"")</f>
        <v/>
      </c>
      <c r="AY466" s="110" t="str">
        <f ca="1">IFERROR(__xludf.DUMMYFUNCTION("IFERROR(VLOOKUP(E732&amp;F732,IMPORTRANGE(""https://docs.google.com/spreadsheets/d/1Uw7-A9f9R21vMXxHZFNpYNeKFtG8_yji4HS352LGlSQ/edit?pli=1#gid=0"",""1_ACUM!A4:S""),13,FALSE))"),"")</f>
        <v/>
      </c>
      <c r="AZ466" s="43" t="str">
        <f ca="1">IFERROR(__xludf.DUMMYFUNCTION("IFERROR(VLOOKUP(E732&amp;F732,IMPORTRANGE(""https://docs.google.com/spreadsheets/d/1Uw7-A9f9R21vMXxHZFNpYNeKFtG8_yji4HS352LGlSQ/edit?pli=1#gid=0"",""1_ACUM!A4:S""),13,FALSE))"),"")</f>
        <v/>
      </c>
      <c r="BA466" s="43" t="str">
        <f ca="1">IFERROR(__xludf.DUMMYFUNCTION("IFERROR(VLOOKUP(E732&amp;F732,IMPORTRANGE(""https://docs.google.com/spreadsheets/d/1Uw7-A9f9R21vMXxHZFNpYNeKFtG8_yji4HS352LGlSQ/edit?pli=1#gid=0"",""1_ACUM!A4:S""),14,FALSE))"),"")</f>
        <v/>
      </c>
      <c r="BB466" s="43" t="str">
        <f ca="1">IFERROR(__xludf.DUMMYFUNCTION("IFERROR(VLOOKUP(E732&amp;F732,IMPORTRANGE(""https://docs.google.com/spreadsheets/d/1Uw7-A9f9R21vMXxHZFNpYNeKFtG8_yji4HS352LGlSQ/edit?pli=1#gid=0"",""1_ACUM!A4:S""),15,FALSE))"),"")</f>
        <v/>
      </c>
      <c r="BC466" s="43" t="str">
        <f ca="1">IFERROR(__xludf.DUMMYFUNCTION("IFERROR(VLOOKUP(E732&amp;F732,IMPORTRANGE(""https://docs.google.com/spreadsheets/d/1Uw7-A9f9R21vMXxHZFNpYNeKFtG8_yji4HS352LGlSQ/edit?pli=1#gid=0"",""1_ACUM!A4:S""),16,FALSE))"),"")</f>
        <v/>
      </c>
      <c r="BD466" s="43" t="str">
        <f ca="1">IFERROR(__xludf.DUMMYFUNCTION("IFERROR(VLOOKUP(E732&amp;F732,IMPORTRANGE(""https://docs.google.com/spreadsheets/d/1Uw7-A9f9R21vMXxHZFNpYNeKFtG8_yji4HS352LGlSQ/edit?pli=1#gid=0"",""1_ACUM!A4:S""),17,FALSE))"),"")</f>
        <v/>
      </c>
      <c r="BE466" s="44" t="str">
        <f ca="1">IFERROR(__xludf.DUMMYFUNCTION("IFERROR(VLOOKUP(E732&amp;F732,IMPORTRANGE(""https://docs.google.com/spreadsheets/d/1Uw7-A9f9R21vMXxHZFNpYNeKFtG8_yji4HS352LGlSQ/edit?pli=1#gid=0"",""1_ACUM!A4:S""),18,FALSE))"),"")</f>
        <v/>
      </c>
      <c r="BF466" s="44" t="str">
        <f ca="1">IFERROR(__xludf.DUMMYFUNCTION("IFERROR(VLOOKUP(E732&amp;F732,IMPORTRANGE(""https://docs.google.com/spreadsheets/d/1Uw7-A9f9R21vMXxHZFNpYNeKFtG8_yji4HS352LGlSQ/edit?pli=1#gid=0"",""1_ACUM!A4:S""),19,FALSE))"),"")</f>
        <v/>
      </c>
      <c r="BG466" s="98" t="str">
        <f ca="1">IFERROR(__xludf.DUMMYFUNCTION("IFERROR(VLOOKUP(F732,IMPORTRANGE(""https://docs.google.com/spreadsheets/d/1Kvs4KS76FHFqLFIZfrDMff4kP08nblUkihrxltoGBjg/edit#gid=934712705"",""ESENCIAL!A6:BG""),5,FALSE))"),"")</f>
        <v/>
      </c>
      <c r="BH466" s="98" t="str">
        <f t="shared" si="21"/>
        <v/>
      </c>
      <c r="BI466" s="99" t="str">
        <f t="shared" si="22"/>
        <v/>
      </c>
      <c r="BJ466" s="100" t="str">
        <f ca="1">IFERROR(__xludf.DUMMYFUNCTION("IFERROR(VLOOKUP(F732,IMPORTRANGE(""https://docs.google.com/spreadsheets/d/1Kvs4KS76FHFqLFIZfrDMff4kP08nblUkihrxltoGBjg/edit#gid=934712705"",""ESENCIAL!A6:BG""),2,FALSE))"),"")</f>
        <v/>
      </c>
      <c r="BK466" s="19" t="str">
        <f t="shared" si="23"/>
        <v/>
      </c>
      <c r="BL466" s="100"/>
      <c r="BM466" s="100"/>
    </row>
    <row r="467" spans="2:65" ht="15">
      <c r="B467" s="39"/>
      <c r="C467" s="5"/>
      <c r="D467" s="123"/>
      <c r="E467" s="39"/>
      <c r="F467" s="39"/>
      <c r="G467" s="39"/>
      <c r="H467" s="5" t="str">
        <f ca="1">IFERROR(__xludf.DUMMYFUNCTION("IFERROR(VLOOKUP(F733,IMPORTRANGE(""https://docs.google.com/spreadsheets/d/1Kvs4KS76FHFqLFIZfrDMff4kP08nblUkihrxltoGBjg/edit#gid=934712705"",""ESENCIAL!A6:BG""),3,FALSE))"),"")</f>
        <v/>
      </c>
      <c r="I467" s="5" t="str">
        <f ca="1">IFERROR(__xludf.DUMMYFUNCTION("IFERROR(VLOOKUP(F733,IMPORTRANGE(""https://docs.google.com/spreadsheets/d/1Kvs4KS76FHFqLFIZfrDMff4kP08nblUkihrxltoGBjg/edit#gid=934712705"",""ESENCIAL!A6:BG""),8,FALSE))"),"")</f>
        <v/>
      </c>
      <c r="J467" s="39"/>
      <c r="M467" s="40"/>
      <c r="AV467" s="41" t="str">
        <f t="shared" si="20"/>
        <v/>
      </c>
      <c r="AW467" s="5" t="str">
        <f ca="1">IFERROR(__xludf.DUMMYFUNCTION("IFERROR(VLOOKUP(E733&amp;F733,IMPORTRANGE(""https://docs.google.com/spreadsheets/d/1Uw7-A9f9R21vMXxHZFNpYNeKFtG8_yji4HS352LGlSQ/edit?pli=1#gid=0"",""1_ACUM!A4:S""),11,FALSE))"),"")</f>
        <v/>
      </c>
      <c r="AX467" s="42" t="str">
        <f ca="1">IFERROR(__xludf.DUMMYFUNCTION("IFERROR(VLOOKUP(F733,IMPORTRANGE(""https://docs.google.com/spreadsheets/d/1Kvs4KS76FHFqLFIZfrDMff4kP08nblUkihrxltoGBjg/edit#gid=934712705"",""ESENCIAL!A6:BG""),15,FALSE))"),"")</f>
        <v/>
      </c>
      <c r="AY467" s="110" t="str">
        <f ca="1">IFERROR(__xludf.DUMMYFUNCTION("IFERROR(VLOOKUP(E733&amp;F733,IMPORTRANGE(""https://docs.google.com/spreadsheets/d/1Uw7-A9f9R21vMXxHZFNpYNeKFtG8_yji4HS352LGlSQ/edit?pli=1#gid=0"",""1_ACUM!A4:S""),13,FALSE))"),"")</f>
        <v/>
      </c>
      <c r="AZ467" s="43" t="str">
        <f ca="1">IFERROR(__xludf.DUMMYFUNCTION("IFERROR(VLOOKUP(E733&amp;F733,IMPORTRANGE(""https://docs.google.com/spreadsheets/d/1Uw7-A9f9R21vMXxHZFNpYNeKFtG8_yji4HS352LGlSQ/edit?pli=1#gid=0"",""1_ACUM!A4:S""),13,FALSE))"),"")</f>
        <v/>
      </c>
      <c r="BA467" s="43" t="str">
        <f ca="1">IFERROR(__xludf.DUMMYFUNCTION("IFERROR(VLOOKUP(E733&amp;F733,IMPORTRANGE(""https://docs.google.com/spreadsheets/d/1Uw7-A9f9R21vMXxHZFNpYNeKFtG8_yji4HS352LGlSQ/edit?pli=1#gid=0"",""1_ACUM!A4:S""),14,FALSE))"),"")</f>
        <v/>
      </c>
      <c r="BB467" s="43" t="str">
        <f ca="1">IFERROR(__xludf.DUMMYFUNCTION("IFERROR(VLOOKUP(E733&amp;F733,IMPORTRANGE(""https://docs.google.com/spreadsheets/d/1Uw7-A9f9R21vMXxHZFNpYNeKFtG8_yji4HS352LGlSQ/edit?pli=1#gid=0"",""1_ACUM!A4:S""),15,FALSE))"),"")</f>
        <v/>
      </c>
      <c r="BC467" s="43" t="str">
        <f ca="1">IFERROR(__xludf.DUMMYFUNCTION("IFERROR(VLOOKUP(E733&amp;F733,IMPORTRANGE(""https://docs.google.com/spreadsheets/d/1Uw7-A9f9R21vMXxHZFNpYNeKFtG8_yji4HS352LGlSQ/edit?pli=1#gid=0"",""1_ACUM!A4:S""),16,FALSE))"),"")</f>
        <v/>
      </c>
      <c r="BD467" s="43" t="str">
        <f ca="1">IFERROR(__xludf.DUMMYFUNCTION("IFERROR(VLOOKUP(E733&amp;F733,IMPORTRANGE(""https://docs.google.com/spreadsheets/d/1Uw7-A9f9R21vMXxHZFNpYNeKFtG8_yji4HS352LGlSQ/edit?pli=1#gid=0"",""1_ACUM!A4:S""),17,FALSE))"),"")</f>
        <v/>
      </c>
      <c r="BE467" s="44" t="str">
        <f ca="1">IFERROR(__xludf.DUMMYFUNCTION("IFERROR(VLOOKUP(E733&amp;F733,IMPORTRANGE(""https://docs.google.com/spreadsheets/d/1Uw7-A9f9R21vMXxHZFNpYNeKFtG8_yji4HS352LGlSQ/edit?pli=1#gid=0"",""1_ACUM!A4:S""),18,FALSE))"),"")</f>
        <v/>
      </c>
      <c r="BF467" s="44" t="str">
        <f ca="1">IFERROR(__xludf.DUMMYFUNCTION("IFERROR(VLOOKUP(E733&amp;F733,IMPORTRANGE(""https://docs.google.com/spreadsheets/d/1Uw7-A9f9R21vMXxHZFNpYNeKFtG8_yji4HS352LGlSQ/edit?pli=1#gid=0"",""1_ACUM!A4:S""),19,FALSE))"),"")</f>
        <v/>
      </c>
      <c r="BG467" s="98" t="str">
        <f ca="1">IFERROR(__xludf.DUMMYFUNCTION("IFERROR(VLOOKUP(F733,IMPORTRANGE(""https://docs.google.com/spreadsheets/d/1Kvs4KS76FHFqLFIZfrDMff4kP08nblUkihrxltoGBjg/edit#gid=934712705"",""ESENCIAL!A6:BG""),5,FALSE))"),"")</f>
        <v/>
      </c>
      <c r="BH467" s="98" t="str">
        <f t="shared" si="21"/>
        <v/>
      </c>
      <c r="BI467" s="99" t="str">
        <f t="shared" si="22"/>
        <v/>
      </c>
      <c r="BJ467" s="100" t="str">
        <f ca="1">IFERROR(__xludf.DUMMYFUNCTION("IFERROR(VLOOKUP(F733,IMPORTRANGE(""https://docs.google.com/spreadsheets/d/1Kvs4KS76FHFqLFIZfrDMff4kP08nblUkihrxltoGBjg/edit#gid=934712705"",""ESENCIAL!A6:BG""),2,FALSE))"),"")</f>
        <v/>
      </c>
      <c r="BK467" s="19" t="str">
        <f t="shared" si="23"/>
        <v/>
      </c>
      <c r="BL467" s="100"/>
      <c r="BM467" s="100"/>
    </row>
    <row r="468" spans="2:65" ht="15">
      <c r="B468" s="39"/>
      <c r="C468" s="5"/>
      <c r="D468" s="123"/>
      <c r="E468" s="39"/>
      <c r="F468" s="39"/>
      <c r="G468" s="39"/>
      <c r="H468" s="5" t="str">
        <f ca="1">IFERROR(__xludf.DUMMYFUNCTION("IFERROR(VLOOKUP(F734,IMPORTRANGE(""https://docs.google.com/spreadsheets/d/1Kvs4KS76FHFqLFIZfrDMff4kP08nblUkihrxltoGBjg/edit#gid=934712705"",""ESENCIAL!A6:BG""),3,FALSE))"),"")</f>
        <v/>
      </c>
      <c r="I468" s="5" t="str">
        <f ca="1">IFERROR(__xludf.DUMMYFUNCTION("IFERROR(VLOOKUP(F734,IMPORTRANGE(""https://docs.google.com/spreadsheets/d/1Kvs4KS76FHFqLFIZfrDMff4kP08nblUkihrxltoGBjg/edit#gid=934712705"",""ESENCIAL!A6:BG""),8,FALSE))"),"")</f>
        <v/>
      </c>
      <c r="J468" s="39"/>
      <c r="M468" s="40"/>
      <c r="AV468" s="41" t="str">
        <f t="shared" si="20"/>
        <v/>
      </c>
      <c r="AW468" s="5" t="str">
        <f ca="1">IFERROR(__xludf.DUMMYFUNCTION("IFERROR(VLOOKUP(E734&amp;F734,IMPORTRANGE(""https://docs.google.com/spreadsheets/d/1Uw7-A9f9R21vMXxHZFNpYNeKFtG8_yji4HS352LGlSQ/edit?pli=1#gid=0"",""1_ACUM!A4:S""),11,FALSE))"),"")</f>
        <v/>
      </c>
      <c r="AX468" s="42" t="str">
        <f ca="1">IFERROR(__xludf.DUMMYFUNCTION("IFERROR(VLOOKUP(F734,IMPORTRANGE(""https://docs.google.com/spreadsheets/d/1Kvs4KS76FHFqLFIZfrDMff4kP08nblUkihrxltoGBjg/edit#gid=934712705"",""ESENCIAL!A6:BG""),15,FALSE))"),"")</f>
        <v/>
      </c>
      <c r="AY468" s="110" t="str">
        <f ca="1">IFERROR(__xludf.DUMMYFUNCTION("IFERROR(VLOOKUP(E734&amp;F734,IMPORTRANGE(""https://docs.google.com/spreadsheets/d/1Uw7-A9f9R21vMXxHZFNpYNeKFtG8_yji4HS352LGlSQ/edit?pli=1#gid=0"",""1_ACUM!A4:S""),13,FALSE))"),"")</f>
        <v/>
      </c>
      <c r="AZ468" s="43" t="str">
        <f ca="1">IFERROR(__xludf.DUMMYFUNCTION("IFERROR(VLOOKUP(E734&amp;F734,IMPORTRANGE(""https://docs.google.com/spreadsheets/d/1Uw7-A9f9R21vMXxHZFNpYNeKFtG8_yji4HS352LGlSQ/edit?pli=1#gid=0"",""1_ACUM!A4:S""),13,FALSE))"),"")</f>
        <v/>
      </c>
      <c r="BA468" s="43" t="str">
        <f ca="1">IFERROR(__xludf.DUMMYFUNCTION("IFERROR(VLOOKUP(E734&amp;F734,IMPORTRANGE(""https://docs.google.com/spreadsheets/d/1Uw7-A9f9R21vMXxHZFNpYNeKFtG8_yji4HS352LGlSQ/edit?pli=1#gid=0"",""1_ACUM!A4:S""),14,FALSE))"),"")</f>
        <v/>
      </c>
      <c r="BB468" s="43" t="str">
        <f ca="1">IFERROR(__xludf.DUMMYFUNCTION("IFERROR(VLOOKUP(E734&amp;F734,IMPORTRANGE(""https://docs.google.com/spreadsheets/d/1Uw7-A9f9R21vMXxHZFNpYNeKFtG8_yji4HS352LGlSQ/edit?pli=1#gid=0"",""1_ACUM!A4:S""),15,FALSE))"),"")</f>
        <v/>
      </c>
      <c r="BC468" s="43" t="str">
        <f ca="1">IFERROR(__xludf.DUMMYFUNCTION("IFERROR(VLOOKUP(E734&amp;F734,IMPORTRANGE(""https://docs.google.com/spreadsheets/d/1Uw7-A9f9R21vMXxHZFNpYNeKFtG8_yji4HS352LGlSQ/edit?pli=1#gid=0"",""1_ACUM!A4:S""),16,FALSE))"),"")</f>
        <v/>
      </c>
      <c r="BD468" s="43" t="str">
        <f ca="1">IFERROR(__xludf.DUMMYFUNCTION("IFERROR(VLOOKUP(E734&amp;F734,IMPORTRANGE(""https://docs.google.com/spreadsheets/d/1Uw7-A9f9R21vMXxHZFNpYNeKFtG8_yji4HS352LGlSQ/edit?pli=1#gid=0"",""1_ACUM!A4:S""),17,FALSE))"),"")</f>
        <v/>
      </c>
      <c r="BE468" s="44" t="str">
        <f ca="1">IFERROR(__xludf.DUMMYFUNCTION("IFERROR(VLOOKUP(E734&amp;F734,IMPORTRANGE(""https://docs.google.com/spreadsheets/d/1Uw7-A9f9R21vMXxHZFNpYNeKFtG8_yji4HS352LGlSQ/edit?pli=1#gid=0"",""1_ACUM!A4:S""),18,FALSE))"),"")</f>
        <v/>
      </c>
      <c r="BF468" s="44" t="str">
        <f ca="1">IFERROR(__xludf.DUMMYFUNCTION("IFERROR(VLOOKUP(E734&amp;F734,IMPORTRANGE(""https://docs.google.com/spreadsheets/d/1Uw7-A9f9R21vMXxHZFNpYNeKFtG8_yji4HS352LGlSQ/edit?pli=1#gid=0"",""1_ACUM!A4:S""),19,FALSE))"),"")</f>
        <v/>
      </c>
      <c r="BG468" s="98" t="str">
        <f ca="1">IFERROR(__xludf.DUMMYFUNCTION("IFERROR(VLOOKUP(F734,IMPORTRANGE(""https://docs.google.com/spreadsheets/d/1Kvs4KS76FHFqLFIZfrDMff4kP08nblUkihrxltoGBjg/edit#gid=934712705"",""ESENCIAL!A6:BG""),5,FALSE))"),"")</f>
        <v/>
      </c>
      <c r="BH468" s="98" t="str">
        <f t="shared" si="21"/>
        <v/>
      </c>
      <c r="BI468" s="99" t="str">
        <f t="shared" si="22"/>
        <v/>
      </c>
      <c r="BJ468" s="100" t="str">
        <f ca="1">IFERROR(__xludf.DUMMYFUNCTION("IFERROR(VLOOKUP(F734,IMPORTRANGE(""https://docs.google.com/spreadsheets/d/1Kvs4KS76FHFqLFIZfrDMff4kP08nblUkihrxltoGBjg/edit#gid=934712705"",""ESENCIAL!A6:BG""),2,FALSE))"),"")</f>
        <v/>
      </c>
      <c r="BK468" s="19" t="str">
        <f t="shared" si="23"/>
        <v/>
      </c>
      <c r="BL468" s="100"/>
      <c r="BM468" s="100"/>
    </row>
    <row r="469" spans="2:65" ht="15">
      <c r="B469" s="39"/>
      <c r="C469" s="5"/>
      <c r="D469" s="123"/>
      <c r="E469" s="39"/>
      <c r="F469" s="39"/>
      <c r="G469" s="39"/>
      <c r="H469" s="5" t="str">
        <f ca="1">IFERROR(__xludf.DUMMYFUNCTION("IFERROR(VLOOKUP(F735,IMPORTRANGE(""https://docs.google.com/spreadsheets/d/1Kvs4KS76FHFqLFIZfrDMff4kP08nblUkihrxltoGBjg/edit#gid=934712705"",""ESENCIAL!A6:BG""),3,FALSE))"),"")</f>
        <v/>
      </c>
      <c r="I469" s="5" t="str">
        <f ca="1">IFERROR(__xludf.DUMMYFUNCTION("IFERROR(VLOOKUP(F735,IMPORTRANGE(""https://docs.google.com/spreadsheets/d/1Kvs4KS76FHFqLFIZfrDMff4kP08nblUkihrxltoGBjg/edit#gid=934712705"",""ESENCIAL!A6:BG""),8,FALSE))"),"")</f>
        <v/>
      </c>
      <c r="J469" s="39"/>
      <c r="M469" s="40"/>
      <c r="AV469" s="41" t="str">
        <f t="shared" si="20"/>
        <v/>
      </c>
      <c r="AW469" s="5" t="str">
        <f ca="1">IFERROR(__xludf.DUMMYFUNCTION("IFERROR(VLOOKUP(E735&amp;F735,IMPORTRANGE(""https://docs.google.com/spreadsheets/d/1Uw7-A9f9R21vMXxHZFNpYNeKFtG8_yji4HS352LGlSQ/edit?pli=1#gid=0"",""1_ACUM!A4:S""),11,FALSE))"),"")</f>
        <v/>
      </c>
      <c r="AX469" s="42" t="str">
        <f ca="1">IFERROR(__xludf.DUMMYFUNCTION("IFERROR(VLOOKUP(F735,IMPORTRANGE(""https://docs.google.com/spreadsheets/d/1Kvs4KS76FHFqLFIZfrDMff4kP08nblUkihrxltoGBjg/edit#gid=934712705"",""ESENCIAL!A6:BG""),15,FALSE))"),"")</f>
        <v/>
      </c>
      <c r="AY469" s="110" t="str">
        <f ca="1">IFERROR(__xludf.DUMMYFUNCTION("IFERROR(VLOOKUP(E735&amp;F735,IMPORTRANGE(""https://docs.google.com/spreadsheets/d/1Uw7-A9f9R21vMXxHZFNpYNeKFtG8_yji4HS352LGlSQ/edit?pli=1#gid=0"",""1_ACUM!A4:S""),13,FALSE))"),"")</f>
        <v/>
      </c>
      <c r="AZ469" s="43" t="str">
        <f ca="1">IFERROR(__xludf.DUMMYFUNCTION("IFERROR(VLOOKUP(E735&amp;F735,IMPORTRANGE(""https://docs.google.com/spreadsheets/d/1Uw7-A9f9R21vMXxHZFNpYNeKFtG8_yji4HS352LGlSQ/edit?pli=1#gid=0"",""1_ACUM!A4:S""),13,FALSE))"),"")</f>
        <v/>
      </c>
      <c r="BA469" s="43" t="str">
        <f ca="1">IFERROR(__xludf.DUMMYFUNCTION("IFERROR(VLOOKUP(E735&amp;F735,IMPORTRANGE(""https://docs.google.com/spreadsheets/d/1Uw7-A9f9R21vMXxHZFNpYNeKFtG8_yji4HS352LGlSQ/edit?pli=1#gid=0"",""1_ACUM!A4:S""),14,FALSE))"),"")</f>
        <v/>
      </c>
      <c r="BB469" s="43" t="str">
        <f ca="1">IFERROR(__xludf.DUMMYFUNCTION("IFERROR(VLOOKUP(E735&amp;F735,IMPORTRANGE(""https://docs.google.com/spreadsheets/d/1Uw7-A9f9R21vMXxHZFNpYNeKFtG8_yji4HS352LGlSQ/edit?pli=1#gid=0"",""1_ACUM!A4:S""),15,FALSE))"),"")</f>
        <v/>
      </c>
      <c r="BC469" s="43" t="str">
        <f ca="1">IFERROR(__xludf.DUMMYFUNCTION("IFERROR(VLOOKUP(E735&amp;F735,IMPORTRANGE(""https://docs.google.com/spreadsheets/d/1Uw7-A9f9R21vMXxHZFNpYNeKFtG8_yji4HS352LGlSQ/edit?pli=1#gid=0"",""1_ACUM!A4:S""),16,FALSE))"),"")</f>
        <v/>
      </c>
      <c r="BD469" s="43" t="str">
        <f ca="1">IFERROR(__xludf.DUMMYFUNCTION("IFERROR(VLOOKUP(E735&amp;F735,IMPORTRANGE(""https://docs.google.com/spreadsheets/d/1Uw7-A9f9R21vMXxHZFNpYNeKFtG8_yji4HS352LGlSQ/edit?pli=1#gid=0"",""1_ACUM!A4:S""),17,FALSE))"),"")</f>
        <v/>
      </c>
      <c r="BE469" s="44" t="str">
        <f ca="1">IFERROR(__xludf.DUMMYFUNCTION("IFERROR(VLOOKUP(E735&amp;F735,IMPORTRANGE(""https://docs.google.com/spreadsheets/d/1Uw7-A9f9R21vMXxHZFNpYNeKFtG8_yji4HS352LGlSQ/edit?pli=1#gid=0"",""1_ACUM!A4:S""),18,FALSE))"),"")</f>
        <v/>
      </c>
      <c r="BF469" s="44" t="str">
        <f ca="1">IFERROR(__xludf.DUMMYFUNCTION("IFERROR(VLOOKUP(E735&amp;F735,IMPORTRANGE(""https://docs.google.com/spreadsheets/d/1Uw7-A9f9R21vMXxHZFNpYNeKFtG8_yji4HS352LGlSQ/edit?pli=1#gid=0"",""1_ACUM!A4:S""),19,FALSE))"),"")</f>
        <v/>
      </c>
      <c r="BG469" s="98" t="str">
        <f ca="1">IFERROR(__xludf.DUMMYFUNCTION("IFERROR(VLOOKUP(F735,IMPORTRANGE(""https://docs.google.com/spreadsheets/d/1Kvs4KS76FHFqLFIZfrDMff4kP08nblUkihrxltoGBjg/edit#gid=934712705"",""ESENCIAL!A6:BG""),5,FALSE))"),"")</f>
        <v/>
      </c>
      <c r="BH469" s="98" t="str">
        <f t="shared" si="21"/>
        <v/>
      </c>
      <c r="BI469" s="99" t="str">
        <f t="shared" si="22"/>
        <v/>
      </c>
      <c r="BJ469" s="100" t="str">
        <f ca="1">IFERROR(__xludf.DUMMYFUNCTION("IFERROR(VLOOKUP(F735,IMPORTRANGE(""https://docs.google.com/spreadsheets/d/1Kvs4KS76FHFqLFIZfrDMff4kP08nblUkihrxltoGBjg/edit#gid=934712705"",""ESENCIAL!A6:BG""),2,FALSE))"),"")</f>
        <v/>
      </c>
      <c r="BK469" s="19" t="str">
        <f t="shared" si="23"/>
        <v/>
      </c>
      <c r="BL469" s="100"/>
      <c r="BM469" s="100"/>
    </row>
    <row r="470" spans="2:65" ht="15">
      <c r="B470" s="39"/>
      <c r="C470" s="5"/>
      <c r="D470" s="123"/>
      <c r="E470" s="39"/>
      <c r="F470" s="39"/>
      <c r="G470" s="39"/>
      <c r="H470" s="5" t="str">
        <f ca="1">IFERROR(__xludf.DUMMYFUNCTION("IFERROR(VLOOKUP(F736,IMPORTRANGE(""https://docs.google.com/spreadsheets/d/1Kvs4KS76FHFqLFIZfrDMff4kP08nblUkihrxltoGBjg/edit#gid=934712705"",""ESENCIAL!A6:BG""),3,FALSE))"),"")</f>
        <v/>
      </c>
      <c r="I470" s="5" t="str">
        <f ca="1">IFERROR(__xludf.DUMMYFUNCTION("IFERROR(VLOOKUP(F736,IMPORTRANGE(""https://docs.google.com/spreadsheets/d/1Kvs4KS76FHFqLFIZfrDMff4kP08nblUkihrxltoGBjg/edit#gid=934712705"",""ESENCIAL!A6:BG""),8,FALSE))"),"")</f>
        <v/>
      </c>
      <c r="J470" s="39"/>
      <c r="M470" s="40"/>
      <c r="AV470" s="41" t="str">
        <f t="shared" si="20"/>
        <v/>
      </c>
      <c r="AW470" s="5" t="str">
        <f ca="1">IFERROR(__xludf.DUMMYFUNCTION("IFERROR(VLOOKUP(E736&amp;F736,IMPORTRANGE(""https://docs.google.com/spreadsheets/d/1Uw7-A9f9R21vMXxHZFNpYNeKFtG8_yji4HS352LGlSQ/edit?pli=1#gid=0"",""1_ACUM!A4:S""),11,FALSE))"),"")</f>
        <v/>
      </c>
      <c r="AX470" s="42" t="str">
        <f ca="1">IFERROR(__xludf.DUMMYFUNCTION("IFERROR(VLOOKUP(F736,IMPORTRANGE(""https://docs.google.com/spreadsheets/d/1Kvs4KS76FHFqLFIZfrDMff4kP08nblUkihrxltoGBjg/edit#gid=934712705"",""ESENCIAL!A6:BG""),15,FALSE))"),"")</f>
        <v/>
      </c>
      <c r="AY470" s="110" t="str">
        <f ca="1">IFERROR(__xludf.DUMMYFUNCTION("IFERROR(VLOOKUP(E736&amp;F736,IMPORTRANGE(""https://docs.google.com/spreadsheets/d/1Uw7-A9f9R21vMXxHZFNpYNeKFtG8_yji4HS352LGlSQ/edit?pli=1#gid=0"",""1_ACUM!A4:S""),13,FALSE))"),"")</f>
        <v/>
      </c>
      <c r="AZ470" s="43" t="str">
        <f ca="1">IFERROR(__xludf.DUMMYFUNCTION("IFERROR(VLOOKUP(E736&amp;F736,IMPORTRANGE(""https://docs.google.com/spreadsheets/d/1Uw7-A9f9R21vMXxHZFNpYNeKFtG8_yji4HS352LGlSQ/edit?pli=1#gid=0"",""1_ACUM!A4:S""),13,FALSE))"),"")</f>
        <v/>
      </c>
      <c r="BA470" s="43" t="str">
        <f ca="1">IFERROR(__xludf.DUMMYFUNCTION("IFERROR(VLOOKUP(E736&amp;F736,IMPORTRANGE(""https://docs.google.com/spreadsheets/d/1Uw7-A9f9R21vMXxHZFNpYNeKFtG8_yji4HS352LGlSQ/edit?pli=1#gid=0"",""1_ACUM!A4:S""),14,FALSE))"),"")</f>
        <v/>
      </c>
      <c r="BB470" s="43" t="str">
        <f ca="1">IFERROR(__xludf.DUMMYFUNCTION("IFERROR(VLOOKUP(E736&amp;F736,IMPORTRANGE(""https://docs.google.com/spreadsheets/d/1Uw7-A9f9R21vMXxHZFNpYNeKFtG8_yji4HS352LGlSQ/edit?pli=1#gid=0"",""1_ACUM!A4:S""),15,FALSE))"),"")</f>
        <v/>
      </c>
      <c r="BC470" s="43" t="str">
        <f ca="1">IFERROR(__xludf.DUMMYFUNCTION("IFERROR(VLOOKUP(E736&amp;F736,IMPORTRANGE(""https://docs.google.com/spreadsheets/d/1Uw7-A9f9R21vMXxHZFNpYNeKFtG8_yji4HS352LGlSQ/edit?pli=1#gid=0"",""1_ACUM!A4:S""),16,FALSE))"),"")</f>
        <v/>
      </c>
      <c r="BD470" s="43" t="str">
        <f ca="1">IFERROR(__xludf.DUMMYFUNCTION("IFERROR(VLOOKUP(E736&amp;F736,IMPORTRANGE(""https://docs.google.com/spreadsheets/d/1Uw7-A9f9R21vMXxHZFNpYNeKFtG8_yji4HS352LGlSQ/edit?pli=1#gid=0"",""1_ACUM!A4:S""),17,FALSE))"),"")</f>
        <v/>
      </c>
      <c r="BE470" s="44" t="str">
        <f ca="1">IFERROR(__xludf.DUMMYFUNCTION("IFERROR(VLOOKUP(E736&amp;F736,IMPORTRANGE(""https://docs.google.com/spreadsheets/d/1Uw7-A9f9R21vMXxHZFNpYNeKFtG8_yji4HS352LGlSQ/edit?pli=1#gid=0"",""1_ACUM!A4:S""),18,FALSE))"),"")</f>
        <v/>
      </c>
      <c r="BF470" s="44" t="str">
        <f ca="1">IFERROR(__xludf.DUMMYFUNCTION("IFERROR(VLOOKUP(E736&amp;F736,IMPORTRANGE(""https://docs.google.com/spreadsheets/d/1Uw7-A9f9R21vMXxHZFNpYNeKFtG8_yji4HS352LGlSQ/edit?pli=1#gid=0"",""1_ACUM!A4:S""),19,FALSE))"),"")</f>
        <v/>
      </c>
      <c r="BG470" s="98" t="str">
        <f ca="1">IFERROR(__xludf.DUMMYFUNCTION("IFERROR(VLOOKUP(F736,IMPORTRANGE(""https://docs.google.com/spreadsheets/d/1Kvs4KS76FHFqLFIZfrDMff4kP08nblUkihrxltoGBjg/edit#gid=934712705"",""ESENCIAL!A6:BG""),5,FALSE))"),"")</f>
        <v/>
      </c>
      <c r="BH470" s="98" t="str">
        <f t="shared" si="21"/>
        <v/>
      </c>
      <c r="BI470" s="99" t="str">
        <f t="shared" si="22"/>
        <v/>
      </c>
      <c r="BJ470" s="100" t="str">
        <f ca="1">IFERROR(__xludf.DUMMYFUNCTION("IFERROR(VLOOKUP(F736,IMPORTRANGE(""https://docs.google.com/spreadsheets/d/1Kvs4KS76FHFqLFIZfrDMff4kP08nblUkihrxltoGBjg/edit#gid=934712705"",""ESENCIAL!A6:BG""),2,FALSE))"),"")</f>
        <v/>
      </c>
      <c r="BK470" s="19" t="str">
        <f t="shared" si="23"/>
        <v/>
      </c>
      <c r="BL470" s="100"/>
      <c r="BM470" s="100"/>
    </row>
    <row r="471" spans="2:65" ht="15">
      <c r="B471" s="39"/>
      <c r="C471" s="5"/>
      <c r="D471" s="123"/>
      <c r="E471" s="39"/>
      <c r="F471" s="39"/>
      <c r="G471" s="39"/>
      <c r="H471" s="5" t="str">
        <f ca="1">IFERROR(__xludf.DUMMYFUNCTION("IFERROR(VLOOKUP(F737,IMPORTRANGE(""https://docs.google.com/spreadsheets/d/1Kvs4KS76FHFqLFIZfrDMff4kP08nblUkihrxltoGBjg/edit#gid=934712705"",""ESENCIAL!A6:BG""),3,FALSE))"),"")</f>
        <v/>
      </c>
      <c r="I471" s="5" t="str">
        <f ca="1">IFERROR(__xludf.DUMMYFUNCTION("IFERROR(VLOOKUP(F737,IMPORTRANGE(""https://docs.google.com/spreadsheets/d/1Kvs4KS76FHFqLFIZfrDMff4kP08nblUkihrxltoGBjg/edit#gid=934712705"",""ESENCIAL!A6:BG""),8,FALSE))"),"")</f>
        <v/>
      </c>
      <c r="J471" s="39"/>
      <c r="M471" s="40"/>
      <c r="AV471" s="41" t="str">
        <f t="shared" si="20"/>
        <v/>
      </c>
      <c r="AW471" s="5" t="str">
        <f ca="1">IFERROR(__xludf.DUMMYFUNCTION("IFERROR(VLOOKUP(E737&amp;F737,IMPORTRANGE(""https://docs.google.com/spreadsheets/d/1Uw7-A9f9R21vMXxHZFNpYNeKFtG8_yji4HS352LGlSQ/edit?pli=1#gid=0"",""1_ACUM!A4:S""),11,FALSE))"),"")</f>
        <v/>
      </c>
      <c r="AX471" s="42" t="str">
        <f ca="1">IFERROR(__xludf.DUMMYFUNCTION("IFERROR(VLOOKUP(F737,IMPORTRANGE(""https://docs.google.com/spreadsheets/d/1Kvs4KS76FHFqLFIZfrDMff4kP08nblUkihrxltoGBjg/edit#gid=934712705"",""ESENCIAL!A6:BG""),15,FALSE))"),"")</f>
        <v/>
      </c>
      <c r="AY471" s="110" t="str">
        <f ca="1">IFERROR(__xludf.DUMMYFUNCTION("IFERROR(VLOOKUP(E737&amp;F737,IMPORTRANGE(""https://docs.google.com/spreadsheets/d/1Uw7-A9f9R21vMXxHZFNpYNeKFtG8_yji4HS352LGlSQ/edit?pli=1#gid=0"",""1_ACUM!A4:S""),13,FALSE))"),"")</f>
        <v/>
      </c>
      <c r="AZ471" s="43" t="str">
        <f ca="1">IFERROR(__xludf.DUMMYFUNCTION("IFERROR(VLOOKUP(E737&amp;F737,IMPORTRANGE(""https://docs.google.com/spreadsheets/d/1Uw7-A9f9R21vMXxHZFNpYNeKFtG8_yji4HS352LGlSQ/edit?pli=1#gid=0"",""1_ACUM!A4:S""),13,FALSE))"),"")</f>
        <v/>
      </c>
      <c r="BA471" s="43" t="str">
        <f ca="1">IFERROR(__xludf.DUMMYFUNCTION("IFERROR(VLOOKUP(E737&amp;F737,IMPORTRANGE(""https://docs.google.com/spreadsheets/d/1Uw7-A9f9R21vMXxHZFNpYNeKFtG8_yji4HS352LGlSQ/edit?pli=1#gid=0"",""1_ACUM!A4:S""),14,FALSE))"),"")</f>
        <v/>
      </c>
      <c r="BB471" s="43" t="str">
        <f ca="1">IFERROR(__xludf.DUMMYFUNCTION("IFERROR(VLOOKUP(E737&amp;F737,IMPORTRANGE(""https://docs.google.com/spreadsheets/d/1Uw7-A9f9R21vMXxHZFNpYNeKFtG8_yji4HS352LGlSQ/edit?pli=1#gid=0"",""1_ACUM!A4:S""),15,FALSE))"),"")</f>
        <v/>
      </c>
      <c r="BC471" s="43" t="str">
        <f ca="1">IFERROR(__xludf.DUMMYFUNCTION("IFERROR(VLOOKUP(E737&amp;F737,IMPORTRANGE(""https://docs.google.com/spreadsheets/d/1Uw7-A9f9R21vMXxHZFNpYNeKFtG8_yji4HS352LGlSQ/edit?pli=1#gid=0"",""1_ACUM!A4:S""),16,FALSE))"),"")</f>
        <v/>
      </c>
      <c r="BD471" s="43" t="str">
        <f ca="1">IFERROR(__xludf.DUMMYFUNCTION("IFERROR(VLOOKUP(E737&amp;F737,IMPORTRANGE(""https://docs.google.com/spreadsheets/d/1Uw7-A9f9R21vMXxHZFNpYNeKFtG8_yji4HS352LGlSQ/edit?pli=1#gid=0"",""1_ACUM!A4:S""),17,FALSE))"),"")</f>
        <v/>
      </c>
      <c r="BE471" s="44" t="str">
        <f ca="1">IFERROR(__xludf.DUMMYFUNCTION("IFERROR(VLOOKUP(E737&amp;F737,IMPORTRANGE(""https://docs.google.com/spreadsheets/d/1Uw7-A9f9R21vMXxHZFNpYNeKFtG8_yji4HS352LGlSQ/edit?pli=1#gid=0"",""1_ACUM!A4:S""),18,FALSE))"),"")</f>
        <v/>
      </c>
      <c r="BF471" s="44" t="str">
        <f ca="1">IFERROR(__xludf.DUMMYFUNCTION("IFERROR(VLOOKUP(E737&amp;F737,IMPORTRANGE(""https://docs.google.com/spreadsheets/d/1Uw7-A9f9R21vMXxHZFNpYNeKFtG8_yji4HS352LGlSQ/edit?pli=1#gid=0"",""1_ACUM!A4:S""),19,FALSE))"),"")</f>
        <v/>
      </c>
      <c r="BG471" s="98" t="str">
        <f ca="1">IFERROR(__xludf.DUMMYFUNCTION("IFERROR(VLOOKUP(F737,IMPORTRANGE(""https://docs.google.com/spreadsheets/d/1Kvs4KS76FHFqLFIZfrDMff4kP08nblUkihrxltoGBjg/edit#gid=934712705"",""ESENCIAL!A6:BG""),5,FALSE))"),"")</f>
        <v/>
      </c>
      <c r="BH471" s="98" t="str">
        <f t="shared" si="21"/>
        <v/>
      </c>
      <c r="BI471" s="99" t="str">
        <f t="shared" si="22"/>
        <v/>
      </c>
      <c r="BJ471" s="100" t="str">
        <f ca="1">IFERROR(__xludf.DUMMYFUNCTION("IFERROR(VLOOKUP(F737,IMPORTRANGE(""https://docs.google.com/spreadsheets/d/1Kvs4KS76FHFqLFIZfrDMff4kP08nblUkihrxltoGBjg/edit#gid=934712705"",""ESENCIAL!A6:BG""),2,FALSE))"),"")</f>
        <v/>
      </c>
      <c r="BK471" s="19" t="str">
        <f t="shared" si="23"/>
        <v/>
      </c>
      <c r="BL471" s="100"/>
      <c r="BM471" s="100"/>
    </row>
    <row r="472" spans="2:65" ht="15">
      <c r="B472" s="39"/>
      <c r="C472" s="5"/>
      <c r="D472" s="123"/>
      <c r="E472" s="39"/>
      <c r="F472" s="39"/>
      <c r="G472" s="39"/>
      <c r="H472" s="5" t="str">
        <f ca="1">IFERROR(__xludf.DUMMYFUNCTION("IFERROR(VLOOKUP(F738,IMPORTRANGE(""https://docs.google.com/spreadsheets/d/1Kvs4KS76FHFqLFIZfrDMff4kP08nblUkihrxltoGBjg/edit#gid=934712705"",""ESENCIAL!A6:BG""),3,FALSE))"),"")</f>
        <v/>
      </c>
      <c r="I472" s="5" t="str">
        <f ca="1">IFERROR(__xludf.DUMMYFUNCTION("IFERROR(VLOOKUP(F738,IMPORTRANGE(""https://docs.google.com/spreadsheets/d/1Kvs4KS76FHFqLFIZfrDMff4kP08nblUkihrxltoGBjg/edit#gid=934712705"",""ESENCIAL!A6:BG""),8,FALSE))"),"")</f>
        <v/>
      </c>
      <c r="J472" s="39"/>
      <c r="M472" s="40"/>
      <c r="AV472" s="41" t="str">
        <f t="shared" si="20"/>
        <v/>
      </c>
      <c r="AW472" s="5" t="str">
        <f ca="1">IFERROR(__xludf.DUMMYFUNCTION("IFERROR(VLOOKUP(E738&amp;F738,IMPORTRANGE(""https://docs.google.com/spreadsheets/d/1Uw7-A9f9R21vMXxHZFNpYNeKFtG8_yji4HS352LGlSQ/edit?pli=1#gid=0"",""1_ACUM!A4:S""),11,FALSE))"),"")</f>
        <v/>
      </c>
      <c r="AX472" s="42" t="str">
        <f ca="1">IFERROR(__xludf.DUMMYFUNCTION("IFERROR(VLOOKUP(F738,IMPORTRANGE(""https://docs.google.com/spreadsheets/d/1Kvs4KS76FHFqLFIZfrDMff4kP08nblUkihrxltoGBjg/edit#gid=934712705"",""ESENCIAL!A6:BG""),15,FALSE))"),"")</f>
        <v/>
      </c>
      <c r="AY472" s="110" t="str">
        <f ca="1">IFERROR(__xludf.DUMMYFUNCTION("IFERROR(VLOOKUP(E738&amp;F738,IMPORTRANGE(""https://docs.google.com/spreadsheets/d/1Uw7-A9f9R21vMXxHZFNpYNeKFtG8_yji4HS352LGlSQ/edit?pli=1#gid=0"",""1_ACUM!A4:S""),13,FALSE))"),"")</f>
        <v/>
      </c>
      <c r="AZ472" s="43" t="str">
        <f ca="1">IFERROR(__xludf.DUMMYFUNCTION("IFERROR(VLOOKUP(E738&amp;F738,IMPORTRANGE(""https://docs.google.com/spreadsheets/d/1Uw7-A9f9R21vMXxHZFNpYNeKFtG8_yji4HS352LGlSQ/edit?pli=1#gid=0"",""1_ACUM!A4:S""),13,FALSE))"),"")</f>
        <v/>
      </c>
      <c r="BA472" s="43" t="str">
        <f ca="1">IFERROR(__xludf.DUMMYFUNCTION("IFERROR(VLOOKUP(E738&amp;F738,IMPORTRANGE(""https://docs.google.com/spreadsheets/d/1Uw7-A9f9R21vMXxHZFNpYNeKFtG8_yji4HS352LGlSQ/edit?pli=1#gid=0"",""1_ACUM!A4:S""),14,FALSE))"),"")</f>
        <v/>
      </c>
      <c r="BB472" s="43" t="str">
        <f ca="1">IFERROR(__xludf.DUMMYFUNCTION("IFERROR(VLOOKUP(E738&amp;F738,IMPORTRANGE(""https://docs.google.com/spreadsheets/d/1Uw7-A9f9R21vMXxHZFNpYNeKFtG8_yji4HS352LGlSQ/edit?pli=1#gid=0"",""1_ACUM!A4:S""),15,FALSE))"),"")</f>
        <v/>
      </c>
      <c r="BC472" s="43" t="str">
        <f ca="1">IFERROR(__xludf.DUMMYFUNCTION("IFERROR(VLOOKUP(E738&amp;F738,IMPORTRANGE(""https://docs.google.com/spreadsheets/d/1Uw7-A9f9R21vMXxHZFNpYNeKFtG8_yji4HS352LGlSQ/edit?pli=1#gid=0"",""1_ACUM!A4:S""),16,FALSE))"),"")</f>
        <v/>
      </c>
      <c r="BD472" s="43" t="str">
        <f ca="1">IFERROR(__xludf.DUMMYFUNCTION("IFERROR(VLOOKUP(E738&amp;F738,IMPORTRANGE(""https://docs.google.com/spreadsheets/d/1Uw7-A9f9R21vMXxHZFNpYNeKFtG8_yji4HS352LGlSQ/edit?pli=1#gid=0"",""1_ACUM!A4:S""),17,FALSE))"),"")</f>
        <v/>
      </c>
      <c r="BE472" s="44" t="str">
        <f ca="1">IFERROR(__xludf.DUMMYFUNCTION("IFERROR(VLOOKUP(E738&amp;F738,IMPORTRANGE(""https://docs.google.com/spreadsheets/d/1Uw7-A9f9R21vMXxHZFNpYNeKFtG8_yji4HS352LGlSQ/edit?pli=1#gid=0"",""1_ACUM!A4:S""),18,FALSE))"),"")</f>
        <v/>
      </c>
      <c r="BF472" s="44" t="str">
        <f ca="1">IFERROR(__xludf.DUMMYFUNCTION("IFERROR(VLOOKUP(E738&amp;F738,IMPORTRANGE(""https://docs.google.com/spreadsheets/d/1Uw7-A9f9R21vMXxHZFNpYNeKFtG8_yji4HS352LGlSQ/edit?pli=1#gid=0"",""1_ACUM!A4:S""),19,FALSE))"),"")</f>
        <v/>
      </c>
      <c r="BG472" s="98" t="str">
        <f ca="1">IFERROR(__xludf.DUMMYFUNCTION("IFERROR(VLOOKUP(F738,IMPORTRANGE(""https://docs.google.com/spreadsheets/d/1Kvs4KS76FHFqLFIZfrDMff4kP08nblUkihrxltoGBjg/edit#gid=934712705"",""ESENCIAL!A6:BG""),5,FALSE))"),"")</f>
        <v/>
      </c>
      <c r="BH472" s="98" t="str">
        <f t="shared" si="21"/>
        <v/>
      </c>
      <c r="BI472" s="99" t="str">
        <f t="shared" si="22"/>
        <v/>
      </c>
      <c r="BJ472" s="100" t="str">
        <f ca="1">IFERROR(__xludf.DUMMYFUNCTION("IFERROR(VLOOKUP(F738,IMPORTRANGE(""https://docs.google.com/spreadsheets/d/1Kvs4KS76FHFqLFIZfrDMff4kP08nblUkihrxltoGBjg/edit#gid=934712705"",""ESENCIAL!A6:BG""),2,FALSE))"),"")</f>
        <v/>
      </c>
      <c r="BK472" s="19" t="str">
        <f t="shared" si="23"/>
        <v/>
      </c>
      <c r="BL472" s="100"/>
      <c r="BM472" s="100"/>
    </row>
    <row r="473" spans="2:65" ht="15">
      <c r="B473" s="39"/>
      <c r="C473" s="5"/>
      <c r="D473" s="123"/>
      <c r="E473" s="39"/>
      <c r="F473" s="39"/>
      <c r="G473" s="39"/>
      <c r="H473" s="5" t="str">
        <f ca="1">IFERROR(__xludf.DUMMYFUNCTION("IFERROR(VLOOKUP(F739,IMPORTRANGE(""https://docs.google.com/spreadsheets/d/1Kvs4KS76FHFqLFIZfrDMff4kP08nblUkihrxltoGBjg/edit#gid=934712705"",""ESENCIAL!A6:BG""),3,FALSE))"),"")</f>
        <v/>
      </c>
      <c r="I473" s="5" t="str">
        <f ca="1">IFERROR(__xludf.DUMMYFUNCTION("IFERROR(VLOOKUP(F739,IMPORTRANGE(""https://docs.google.com/spreadsheets/d/1Kvs4KS76FHFqLFIZfrDMff4kP08nblUkihrxltoGBjg/edit#gid=934712705"",""ESENCIAL!A6:BG""),8,FALSE))"),"")</f>
        <v/>
      </c>
      <c r="J473" s="39"/>
      <c r="M473" s="40"/>
      <c r="AV473" s="41" t="str">
        <f t="shared" si="20"/>
        <v/>
      </c>
      <c r="AW473" s="5" t="str">
        <f ca="1">IFERROR(__xludf.DUMMYFUNCTION("IFERROR(VLOOKUP(E739&amp;F739,IMPORTRANGE(""https://docs.google.com/spreadsheets/d/1Uw7-A9f9R21vMXxHZFNpYNeKFtG8_yji4HS352LGlSQ/edit?pli=1#gid=0"",""1_ACUM!A4:S""),11,FALSE))"),"")</f>
        <v/>
      </c>
      <c r="AX473" s="42" t="str">
        <f ca="1">IFERROR(__xludf.DUMMYFUNCTION("IFERROR(VLOOKUP(F739,IMPORTRANGE(""https://docs.google.com/spreadsheets/d/1Kvs4KS76FHFqLFIZfrDMff4kP08nblUkihrxltoGBjg/edit#gid=934712705"",""ESENCIAL!A6:BG""),15,FALSE))"),"")</f>
        <v/>
      </c>
      <c r="AY473" s="110" t="str">
        <f ca="1">IFERROR(__xludf.DUMMYFUNCTION("IFERROR(VLOOKUP(E739&amp;F739,IMPORTRANGE(""https://docs.google.com/spreadsheets/d/1Uw7-A9f9R21vMXxHZFNpYNeKFtG8_yji4HS352LGlSQ/edit?pli=1#gid=0"",""1_ACUM!A4:S""),13,FALSE))"),"")</f>
        <v/>
      </c>
      <c r="AZ473" s="43" t="str">
        <f ca="1">IFERROR(__xludf.DUMMYFUNCTION("IFERROR(VLOOKUP(E739&amp;F739,IMPORTRANGE(""https://docs.google.com/spreadsheets/d/1Uw7-A9f9R21vMXxHZFNpYNeKFtG8_yji4HS352LGlSQ/edit?pli=1#gid=0"",""1_ACUM!A4:S""),13,FALSE))"),"")</f>
        <v/>
      </c>
      <c r="BA473" s="43" t="str">
        <f ca="1">IFERROR(__xludf.DUMMYFUNCTION("IFERROR(VLOOKUP(E739&amp;F739,IMPORTRANGE(""https://docs.google.com/spreadsheets/d/1Uw7-A9f9R21vMXxHZFNpYNeKFtG8_yji4HS352LGlSQ/edit?pli=1#gid=0"",""1_ACUM!A4:S""),14,FALSE))"),"")</f>
        <v/>
      </c>
      <c r="BB473" s="43" t="str">
        <f ca="1">IFERROR(__xludf.DUMMYFUNCTION("IFERROR(VLOOKUP(E739&amp;F739,IMPORTRANGE(""https://docs.google.com/spreadsheets/d/1Uw7-A9f9R21vMXxHZFNpYNeKFtG8_yji4HS352LGlSQ/edit?pli=1#gid=0"",""1_ACUM!A4:S""),15,FALSE))"),"")</f>
        <v/>
      </c>
      <c r="BC473" s="43" t="str">
        <f ca="1">IFERROR(__xludf.DUMMYFUNCTION("IFERROR(VLOOKUP(E739&amp;F739,IMPORTRANGE(""https://docs.google.com/spreadsheets/d/1Uw7-A9f9R21vMXxHZFNpYNeKFtG8_yji4HS352LGlSQ/edit?pli=1#gid=0"",""1_ACUM!A4:S""),16,FALSE))"),"")</f>
        <v/>
      </c>
      <c r="BD473" s="43" t="str">
        <f ca="1">IFERROR(__xludf.DUMMYFUNCTION("IFERROR(VLOOKUP(E739&amp;F739,IMPORTRANGE(""https://docs.google.com/spreadsheets/d/1Uw7-A9f9R21vMXxHZFNpYNeKFtG8_yji4HS352LGlSQ/edit?pli=1#gid=0"",""1_ACUM!A4:S""),17,FALSE))"),"")</f>
        <v/>
      </c>
      <c r="BE473" s="44" t="str">
        <f ca="1">IFERROR(__xludf.DUMMYFUNCTION("IFERROR(VLOOKUP(E739&amp;F739,IMPORTRANGE(""https://docs.google.com/spreadsheets/d/1Uw7-A9f9R21vMXxHZFNpYNeKFtG8_yji4HS352LGlSQ/edit?pli=1#gid=0"",""1_ACUM!A4:S""),18,FALSE))"),"")</f>
        <v/>
      </c>
      <c r="BF473" s="44" t="str">
        <f ca="1">IFERROR(__xludf.DUMMYFUNCTION("IFERROR(VLOOKUP(E739&amp;F739,IMPORTRANGE(""https://docs.google.com/spreadsheets/d/1Uw7-A9f9R21vMXxHZFNpYNeKFtG8_yji4HS352LGlSQ/edit?pli=1#gid=0"",""1_ACUM!A4:S""),19,FALSE))"),"")</f>
        <v/>
      </c>
      <c r="BG473" s="98" t="str">
        <f ca="1">IFERROR(__xludf.DUMMYFUNCTION("IFERROR(VLOOKUP(F739,IMPORTRANGE(""https://docs.google.com/spreadsheets/d/1Kvs4KS76FHFqLFIZfrDMff4kP08nblUkihrxltoGBjg/edit#gid=934712705"",""ESENCIAL!A6:BG""),5,FALSE))"),"")</f>
        <v/>
      </c>
      <c r="BH473" s="98" t="str">
        <f t="shared" si="21"/>
        <v/>
      </c>
      <c r="BI473" s="99" t="str">
        <f t="shared" si="22"/>
        <v/>
      </c>
      <c r="BJ473" s="100" t="str">
        <f ca="1">IFERROR(__xludf.DUMMYFUNCTION("IFERROR(VLOOKUP(F739,IMPORTRANGE(""https://docs.google.com/spreadsheets/d/1Kvs4KS76FHFqLFIZfrDMff4kP08nblUkihrxltoGBjg/edit#gid=934712705"",""ESENCIAL!A6:BG""),2,FALSE))"),"")</f>
        <v/>
      </c>
      <c r="BK473" s="19" t="str">
        <f t="shared" si="23"/>
        <v/>
      </c>
      <c r="BL473" s="100"/>
      <c r="BM473" s="100"/>
    </row>
    <row r="474" spans="2:65" ht="15">
      <c r="B474" s="39"/>
      <c r="C474" s="5"/>
      <c r="D474" s="123"/>
      <c r="E474" s="39"/>
      <c r="F474" s="39"/>
      <c r="G474" s="39"/>
      <c r="H474" s="5" t="str">
        <f ca="1">IFERROR(__xludf.DUMMYFUNCTION("IFERROR(VLOOKUP(F740,IMPORTRANGE(""https://docs.google.com/spreadsheets/d/1Kvs4KS76FHFqLFIZfrDMff4kP08nblUkihrxltoGBjg/edit#gid=934712705"",""ESENCIAL!A6:BG""),3,FALSE))"),"")</f>
        <v/>
      </c>
      <c r="I474" s="5" t="str">
        <f ca="1">IFERROR(__xludf.DUMMYFUNCTION("IFERROR(VLOOKUP(F740,IMPORTRANGE(""https://docs.google.com/spreadsheets/d/1Kvs4KS76FHFqLFIZfrDMff4kP08nblUkihrxltoGBjg/edit#gid=934712705"",""ESENCIAL!A6:BG""),8,FALSE))"),"")</f>
        <v/>
      </c>
      <c r="J474" s="39"/>
      <c r="M474" s="40"/>
      <c r="AV474" s="41" t="str">
        <f t="shared" si="20"/>
        <v/>
      </c>
      <c r="AW474" s="5" t="str">
        <f ca="1">IFERROR(__xludf.DUMMYFUNCTION("IFERROR(VLOOKUP(E740&amp;F740,IMPORTRANGE(""https://docs.google.com/spreadsheets/d/1Uw7-A9f9R21vMXxHZFNpYNeKFtG8_yji4HS352LGlSQ/edit?pli=1#gid=0"",""1_ACUM!A4:S""),11,FALSE))"),"")</f>
        <v/>
      </c>
      <c r="AX474" s="42" t="str">
        <f ca="1">IFERROR(__xludf.DUMMYFUNCTION("IFERROR(VLOOKUP(F740,IMPORTRANGE(""https://docs.google.com/spreadsheets/d/1Kvs4KS76FHFqLFIZfrDMff4kP08nblUkihrxltoGBjg/edit#gid=934712705"",""ESENCIAL!A6:BG""),15,FALSE))"),"")</f>
        <v/>
      </c>
      <c r="AY474" s="110" t="str">
        <f ca="1">IFERROR(__xludf.DUMMYFUNCTION("IFERROR(VLOOKUP(E740&amp;F740,IMPORTRANGE(""https://docs.google.com/spreadsheets/d/1Uw7-A9f9R21vMXxHZFNpYNeKFtG8_yji4HS352LGlSQ/edit?pli=1#gid=0"",""1_ACUM!A4:S""),13,FALSE))"),"")</f>
        <v/>
      </c>
      <c r="AZ474" s="43" t="str">
        <f ca="1">IFERROR(__xludf.DUMMYFUNCTION("IFERROR(VLOOKUP(E740&amp;F740,IMPORTRANGE(""https://docs.google.com/spreadsheets/d/1Uw7-A9f9R21vMXxHZFNpYNeKFtG8_yji4HS352LGlSQ/edit?pli=1#gid=0"",""1_ACUM!A4:S""),13,FALSE))"),"")</f>
        <v/>
      </c>
      <c r="BA474" s="43" t="str">
        <f ca="1">IFERROR(__xludf.DUMMYFUNCTION("IFERROR(VLOOKUP(E740&amp;F740,IMPORTRANGE(""https://docs.google.com/spreadsheets/d/1Uw7-A9f9R21vMXxHZFNpYNeKFtG8_yji4HS352LGlSQ/edit?pli=1#gid=0"",""1_ACUM!A4:S""),14,FALSE))"),"")</f>
        <v/>
      </c>
      <c r="BB474" s="43" t="str">
        <f ca="1">IFERROR(__xludf.DUMMYFUNCTION("IFERROR(VLOOKUP(E740&amp;F740,IMPORTRANGE(""https://docs.google.com/spreadsheets/d/1Uw7-A9f9R21vMXxHZFNpYNeKFtG8_yji4HS352LGlSQ/edit?pli=1#gid=0"",""1_ACUM!A4:S""),15,FALSE))"),"")</f>
        <v/>
      </c>
      <c r="BC474" s="43" t="str">
        <f ca="1">IFERROR(__xludf.DUMMYFUNCTION("IFERROR(VLOOKUP(E740&amp;F740,IMPORTRANGE(""https://docs.google.com/spreadsheets/d/1Uw7-A9f9R21vMXxHZFNpYNeKFtG8_yji4HS352LGlSQ/edit?pli=1#gid=0"",""1_ACUM!A4:S""),16,FALSE))"),"")</f>
        <v/>
      </c>
      <c r="BD474" s="43" t="str">
        <f ca="1">IFERROR(__xludf.DUMMYFUNCTION("IFERROR(VLOOKUP(E740&amp;F740,IMPORTRANGE(""https://docs.google.com/spreadsheets/d/1Uw7-A9f9R21vMXxHZFNpYNeKFtG8_yji4HS352LGlSQ/edit?pli=1#gid=0"",""1_ACUM!A4:S""),17,FALSE))"),"")</f>
        <v/>
      </c>
      <c r="BE474" s="44" t="str">
        <f ca="1">IFERROR(__xludf.DUMMYFUNCTION("IFERROR(VLOOKUP(E740&amp;F740,IMPORTRANGE(""https://docs.google.com/spreadsheets/d/1Uw7-A9f9R21vMXxHZFNpYNeKFtG8_yji4HS352LGlSQ/edit?pli=1#gid=0"",""1_ACUM!A4:S""),18,FALSE))"),"")</f>
        <v/>
      </c>
      <c r="BF474" s="44" t="str">
        <f ca="1">IFERROR(__xludf.DUMMYFUNCTION("IFERROR(VLOOKUP(E740&amp;F740,IMPORTRANGE(""https://docs.google.com/spreadsheets/d/1Uw7-A9f9R21vMXxHZFNpYNeKFtG8_yji4HS352LGlSQ/edit?pli=1#gid=0"",""1_ACUM!A4:S""),19,FALSE))"),"")</f>
        <v/>
      </c>
      <c r="BG474" s="98" t="str">
        <f ca="1">IFERROR(__xludf.DUMMYFUNCTION("IFERROR(VLOOKUP(F740,IMPORTRANGE(""https://docs.google.com/spreadsheets/d/1Kvs4KS76FHFqLFIZfrDMff4kP08nblUkihrxltoGBjg/edit#gid=934712705"",""ESENCIAL!A6:BG""),5,FALSE))"),"")</f>
        <v/>
      </c>
      <c r="BH474" s="98" t="str">
        <f t="shared" si="21"/>
        <v/>
      </c>
      <c r="BI474" s="99" t="str">
        <f t="shared" si="22"/>
        <v/>
      </c>
      <c r="BJ474" s="100" t="str">
        <f ca="1">IFERROR(__xludf.DUMMYFUNCTION("IFERROR(VLOOKUP(F740,IMPORTRANGE(""https://docs.google.com/spreadsheets/d/1Kvs4KS76FHFqLFIZfrDMff4kP08nblUkihrxltoGBjg/edit#gid=934712705"",""ESENCIAL!A6:BG""),2,FALSE))"),"")</f>
        <v/>
      </c>
      <c r="BK474" s="19" t="str">
        <f t="shared" si="23"/>
        <v/>
      </c>
      <c r="BL474" s="100"/>
      <c r="BM474" s="100"/>
    </row>
    <row r="475" spans="2:65" ht="15">
      <c r="B475" s="39"/>
      <c r="C475" s="5"/>
      <c r="D475" s="123"/>
      <c r="E475" s="39"/>
      <c r="F475" s="39"/>
      <c r="G475" s="39"/>
      <c r="H475" s="5" t="str">
        <f ca="1">IFERROR(__xludf.DUMMYFUNCTION("IFERROR(VLOOKUP(F741,IMPORTRANGE(""https://docs.google.com/spreadsheets/d/1Kvs4KS76FHFqLFIZfrDMff4kP08nblUkihrxltoGBjg/edit#gid=934712705"",""ESENCIAL!A6:BG""),3,FALSE))"),"")</f>
        <v/>
      </c>
      <c r="I475" s="5" t="str">
        <f ca="1">IFERROR(__xludf.DUMMYFUNCTION("IFERROR(VLOOKUP(F741,IMPORTRANGE(""https://docs.google.com/spreadsheets/d/1Kvs4KS76FHFqLFIZfrDMff4kP08nblUkihrxltoGBjg/edit#gid=934712705"",""ESENCIAL!A6:BG""),8,FALSE))"),"")</f>
        <v/>
      </c>
      <c r="J475" s="39"/>
      <c r="M475" s="40"/>
      <c r="AV475" s="41" t="str">
        <f t="shared" si="20"/>
        <v/>
      </c>
      <c r="AW475" s="5" t="str">
        <f ca="1">IFERROR(__xludf.DUMMYFUNCTION("IFERROR(VLOOKUP(E741&amp;F741,IMPORTRANGE(""https://docs.google.com/spreadsheets/d/1Uw7-A9f9R21vMXxHZFNpYNeKFtG8_yji4HS352LGlSQ/edit?pli=1#gid=0"",""1_ACUM!A4:S""),11,FALSE))"),"")</f>
        <v/>
      </c>
      <c r="AX475" s="42" t="str">
        <f ca="1">IFERROR(__xludf.DUMMYFUNCTION("IFERROR(VLOOKUP(F741,IMPORTRANGE(""https://docs.google.com/spreadsheets/d/1Kvs4KS76FHFqLFIZfrDMff4kP08nblUkihrxltoGBjg/edit#gid=934712705"",""ESENCIAL!A6:BG""),15,FALSE))"),"")</f>
        <v/>
      </c>
      <c r="AY475" s="110" t="str">
        <f ca="1">IFERROR(__xludf.DUMMYFUNCTION("IFERROR(VLOOKUP(E741&amp;F741,IMPORTRANGE(""https://docs.google.com/spreadsheets/d/1Uw7-A9f9R21vMXxHZFNpYNeKFtG8_yji4HS352LGlSQ/edit?pli=1#gid=0"",""1_ACUM!A4:S""),13,FALSE))"),"")</f>
        <v/>
      </c>
      <c r="AZ475" s="43" t="str">
        <f ca="1">IFERROR(__xludf.DUMMYFUNCTION("IFERROR(VLOOKUP(E741&amp;F741,IMPORTRANGE(""https://docs.google.com/spreadsheets/d/1Uw7-A9f9R21vMXxHZFNpYNeKFtG8_yji4HS352LGlSQ/edit?pli=1#gid=0"",""1_ACUM!A4:S""),13,FALSE))"),"")</f>
        <v/>
      </c>
      <c r="BA475" s="43" t="str">
        <f ca="1">IFERROR(__xludf.DUMMYFUNCTION("IFERROR(VLOOKUP(E741&amp;F741,IMPORTRANGE(""https://docs.google.com/spreadsheets/d/1Uw7-A9f9R21vMXxHZFNpYNeKFtG8_yji4HS352LGlSQ/edit?pli=1#gid=0"",""1_ACUM!A4:S""),14,FALSE))"),"")</f>
        <v/>
      </c>
      <c r="BB475" s="43" t="str">
        <f ca="1">IFERROR(__xludf.DUMMYFUNCTION("IFERROR(VLOOKUP(E741&amp;F741,IMPORTRANGE(""https://docs.google.com/spreadsheets/d/1Uw7-A9f9R21vMXxHZFNpYNeKFtG8_yji4HS352LGlSQ/edit?pli=1#gid=0"",""1_ACUM!A4:S""),15,FALSE))"),"")</f>
        <v/>
      </c>
      <c r="BC475" s="43" t="str">
        <f ca="1">IFERROR(__xludf.DUMMYFUNCTION("IFERROR(VLOOKUP(E741&amp;F741,IMPORTRANGE(""https://docs.google.com/spreadsheets/d/1Uw7-A9f9R21vMXxHZFNpYNeKFtG8_yji4HS352LGlSQ/edit?pli=1#gid=0"",""1_ACUM!A4:S""),16,FALSE))"),"")</f>
        <v/>
      </c>
      <c r="BD475" s="43" t="str">
        <f ca="1">IFERROR(__xludf.DUMMYFUNCTION("IFERROR(VLOOKUP(E741&amp;F741,IMPORTRANGE(""https://docs.google.com/spreadsheets/d/1Uw7-A9f9R21vMXxHZFNpYNeKFtG8_yji4HS352LGlSQ/edit?pli=1#gid=0"",""1_ACUM!A4:S""),17,FALSE))"),"")</f>
        <v/>
      </c>
      <c r="BE475" s="44" t="str">
        <f ca="1">IFERROR(__xludf.DUMMYFUNCTION("IFERROR(VLOOKUP(E741&amp;F741,IMPORTRANGE(""https://docs.google.com/spreadsheets/d/1Uw7-A9f9R21vMXxHZFNpYNeKFtG8_yji4HS352LGlSQ/edit?pli=1#gid=0"",""1_ACUM!A4:S""),18,FALSE))"),"")</f>
        <v/>
      </c>
      <c r="BF475" s="44" t="str">
        <f ca="1">IFERROR(__xludf.DUMMYFUNCTION("IFERROR(VLOOKUP(E741&amp;F741,IMPORTRANGE(""https://docs.google.com/spreadsheets/d/1Uw7-A9f9R21vMXxHZFNpYNeKFtG8_yji4HS352LGlSQ/edit?pli=1#gid=0"",""1_ACUM!A4:S""),19,FALSE))"),"")</f>
        <v/>
      </c>
      <c r="BG475" s="98" t="str">
        <f ca="1">IFERROR(__xludf.DUMMYFUNCTION("IFERROR(VLOOKUP(F741,IMPORTRANGE(""https://docs.google.com/spreadsheets/d/1Kvs4KS76FHFqLFIZfrDMff4kP08nblUkihrxltoGBjg/edit#gid=934712705"",""ESENCIAL!A6:BG""),5,FALSE))"),"")</f>
        <v/>
      </c>
      <c r="BH475" s="98" t="str">
        <f t="shared" si="21"/>
        <v/>
      </c>
      <c r="BI475" s="99" t="str">
        <f t="shared" si="22"/>
        <v/>
      </c>
      <c r="BJ475" s="100" t="str">
        <f ca="1">IFERROR(__xludf.DUMMYFUNCTION("IFERROR(VLOOKUP(F741,IMPORTRANGE(""https://docs.google.com/spreadsheets/d/1Kvs4KS76FHFqLFIZfrDMff4kP08nblUkihrxltoGBjg/edit#gid=934712705"",""ESENCIAL!A6:BG""),2,FALSE))"),"")</f>
        <v/>
      </c>
      <c r="BK475" s="19" t="str">
        <f t="shared" si="23"/>
        <v/>
      </c>
      <c r="BL475" s="100"/>
      <c r="BM475" s="100"/>
    </row>
    <row r="476" spans="2:65" ht="15">
      <c r="B476" s="39"/>
      <c r="C476" s="5"/>
      <c r="D476" s="123"/>
      <c r="E476" s="39"/>
      <c r="F476" s="39"/>
      <c r="G476" s="39"/>
      <c r="H476" s="5" t="str">
        <f ca="1">IFERROR(__xludf.DUMMYFUNCTION("IFERROR(VLOOKUP(F742,IMPORTRANGE(""https://docs.google.com/spreadsheets/d/1Kvs4KS76FHFqLFIZfrDMff4kP08nblUkihrxltoGBjg/edit#gid=934712705"",""ESENCIAL!A6:BG""),3,FALSE))"),"")</f>
        <v/>
      </c>
      <c r="I476" s="5" t="str">
        <f ca="1">IFERROR(__xludf.DUMMYFUNCTION("IFERROR(VLOOKUP(F742,IMPORTRANGE(""https://docs.google.com/spreadsheets/d/1Kvs4KS76FHFqLFIZfrDMff4kP08nblUkihrxltoGBjg/edit#gid=934712705"",""ESENCIAL!A6:BG""),8,FALSE))"),"")</f>
        <v/>
      </c>
      <c r="J476" s="39"/>
      <c r="M476" s="40"/>
      <c r="AV476" s="41" t="str">
        <f t="shared" si="20"/>
        <v/>
      </c>
      <c r="AW476" s="5" t="str">
        <f ca="1">IFERROR(__xludf.DUMMYFUNCTION("IFERROR(VLOOKUP(E742&amp;F742,IMPORTRANGE(""https://docs.google.com/spreadsheets/d/1Uw7-A9f9R21vMXxHZFNpYNeKFtG8_yji4HS352LGlSQ/edit?pli=1#gid=0"",""1_ACUM!A4:S""),11,FALSE))"),"")</f>
        <v/>
      </c>
      <c r="AX476" s="42" t="str">
        <f ca="1">IFERROR(__xludf.DUMMYFUNCTION("IFERROR(VLOOKUP(F742,IMPORTRANGE(""https://docs.google.com/spreadsheets/d/1Kvs4KS76FHFqLFIZfrDMff4kP08nblUkihrxltoGBjg/edit#gid=934712705"",""ESENCIAL!A6:BG""),15,FALSE))"),"")</f>
        <v/>
      </c>
      <c r="AY476" s="110" t="str">
        <f ca="1">IFERROR(__xludf.DUMMYFUNCTION("IFERROR(VLOOKUP(E742&amp;F742,IMPORTRANGE(""https://docs.google.com/spreadsheets/d/1Uw7-A9f9R21vMXxHZFNpYNeKFtG8_yji4HS352LGlSQ/edit?pli=1#gid=0"",""1_ACUM!A4:S""),13,FALSE))"),"")</f>
        <v/>
      </c>
      <c r="AZ476" s="43" t="str">
        <f ca="1">IFERROR(__xludf.DUMMYFUNCTION("IFERROR(VLOOKUP(E742&amp;F742,IMPORTRANGE(""https://docs.google.com/spreadsheets/d/1Uw7-A9f9R21vMXxHZFNpYNeKFtG8_yji4HS352LGlSQ/edit?pli=1#gid=0"",""1_ACUM!A4:S""),13,FALSE))"),"")</f>
        <v/>
      </c>
      <c r="BA476" s="43" t="str">
        <f ca="1">IFERROR(__xludf.DUMMYFUNCTION("IFERROR(VLOOKUP(E742&amp;F742,IMPORTRANGE(""https://docs.google.com/spreadsheets/d/1Uw7-A9f9R21vMXxHZFNpYNeKFtG8_yji4HS352LGlSQ/edit?pli=1#gid=0"",""1_ACUM!A4:S""),14,FALSE))"),"")</f>
        <v/>
      </c>
      <c r="BB476" s="43" t="str">
        <f ca="1">IFERROR(__xludf.DUMMYFUNCTION("IFERROR(VLOOKUP(E742&amp;F742,IMPORTRANGE(""https://docs.google.com/spreadsheets/d/1Uw7-A9f9R21vMXxHZFNpYNeKFtG8_yji4HS352LGlSQ/edit?pli=1#gid=0"",""1_ACUM!A4:S""),15,FALSE))"),"")</f>
        <v/>
      </c>
      <c r="BC476" s="43" t="str">
        <f ca="1">IFERROR(__xludf.DUMMYFUNCTION("IFERROR(VLOOKUP(E742&amp;F742,IMPORTRANGE(""https://docs.google.com/spreadsheets/d/1Uw7-A9f9R21vMXxHZFNpYNeKFtG8_yji4HS352LGlSQ/edit?pli=1#gid=0"",""1_ACUM!A4:S""),16,FALSE))"),"")</f>
        <v/>
      </c>
      <c r="BD476" s="43" t="str">
        <f ca="1">IFERROR(__xludf.DUMMYFUNCTION("IFERROR(VLOOKUP(E742&amp;F742,IMPORTRANGE(""https://docs.google.com/spreadsheets/d/1Uw7-A9f9R21vMXxHZFNpYNeKFtG8_yji4HS352LGlSQ/edit?pli=1#gid=0"",""1_ACUM!A4:S""),17,FALSE))"),"")</f>
        <v/>
      </c>
      <c r="BE476" s="44" t="str">
        <f ca="1">IFERROR(__xludf.DUMMYFUNCTION("IFERROR(VLOOKUP(E742&amp;F742,IMPORTRANGE(""https://docs.google.com/spreadsheets/d/1Uw7-A9f9R21vMXxHZFNpYNeKFtG8_yji4HS352LGlSQ/edit?pli=1#gid=0"",""1_ACUM!A4:S""),18,FALSE))"),"")</f>
        <v/>
      </c>
      <c r="BF476" s="44" t="str">
        <f ca="1">IFERROR(__xludf.DUMMYFUNCTION("IFERROR(VLOOKUP(E742&amp;F742,IMPORTRANGE(""https://docs.google.com/spreadsheets/d/1Uw7-A9f9R21vMXxHZFNpYNeKFtG8_yji4HS352LGlSQ/edit?pli=1#gid=0"",""1_ACUM!A4:S""),19,FALSE))"),"")</f>
        <v/>
      </c>
      <c r="BG476" s="98" t="str">
        <f ca="1">IFERROR(__xludf.DUMMYFUNCTION("IFERROR(VLOOKUP(F742,IMPORTRANGE(""https://docs.google.com/spreadsheets/d/1Kvs4KS76FHFqLFIZfrDMff4kP08nblUkihrxltoGBjg/edit#gid=934712705"",""ESENCIAL!A6:BG""),5,FALSE))"),"")</f>
        <v/>
      </c>
      <c r="BH476" s="98" t="str">
        <f t="shared" si="21"/>
        <v/>
      </c>
      <c r="BI476" s="99" t="str">
        <f t="shared" si="22"/>
        <v/>
      </c>
      <c r="BJ476" s="100" t="str">
        <f ca="1">IFERROR(__xludf.DUMMYFUNCTION("IFERROR(VLOOKUP(F742,IMPORTRANGE(""https://docs.google.com/spreadsheets/d/1Kvs4KS76FHFqLFIZfrDMff4kP08nblUkihrxltoGBjg/edit#gid=934712705"",""ESENCIAL!A6:BG""),2,FALSE))"),"")</f>
        <v/>
      </c>
      <c r="BK476" s="19" t="str">
        <f t="shared" si="23"/>
        <v/>
      </c>
      <c r="BL476" s="100"/>
      <c r="BM476" s="100"/>
    </row>
    <row r="477" spans="2:65" ht="15">
      <c r="B477" s="39"/>
      <c r="C477" s="5"/>
      <c r="D477" s="123"/>
      <c r="E477" s="39"/>
      <c r="F477" s="39"/>
      <c r="G477" s="39"/>
      <c r="H477" s="5" t="str">
        <f ca="1">IFERROR(__xludf.DUMMYFUNCTION("IFERROR(VLOOKUP(F743,IMPORTRANGE(""https://docs.google.com/spreadsheets/d/1Kvs4KS76FHFqLFIZfrDMff4kP08nblUkihrxltoGBjg/edit#gid=934712705"",""ESENCIAL!A6:BG""),3,FALSE))"),"")</f>
        <v/>
      </c>
      <c r="I477" s="5" t="str">
        <f ca="1">IFERROR(__xludf.DUMMYFUNCTION("IFERROR(VLOOKUP(F743,IMPORTRANGE(""https://docs.google.com/spreadsheets/d/1Kvs4KS76FHFqLFIZfrDMff4kP08nblUkihrxltoGBjg/edit#gid=934712705"",""ESENCIAL!A6:BG""),8,FALSE))"),"")</f>
        <v/>
      </c>
      <c r="J477" s="39"/>
      <c r="M477" s="40"/>
      <c r="AV477" s="41" t="str">
        <f t="shared" si="20"/>
        <v/>
      </c>
      <c r="AW477" s="5" t="str">
        <f ca="1">IFERROR(__xludf.DUMMYFUNCTION("IFERROR(VLOOKUP(E743&amp;F743,IMPORTRANGE(""https://docs.google.com/spreadsheets/d/1Uw7-A9f9R21vMXxHZFNpYNeKFtG8_yji4HS352LGlSQ/edit?pli=1#gid=0"",""1_ACUM!A4:S""),11,FALSE))"),"")</f>
        <v/>
      </c>
      <c r="AX477" s="42" t="str">
        <f ca="1">IFERROR(__xludf.DUMMYFUNCTION("IFERROR(VLOOKUP(F743,IMPORTRANGE(""https://docs.google.com/spreadsheets/d/1Kvs4KS76FHFqLFIZfrDMff4kP08nblUkihrxltoGBjg/edit#gid=934712705"",""ESENCIAL!A6:BG""),15,FALSE))"),"")</f>
        <v/>
      </c>
      <c r="AY477" s="110" t="str">
        <f ca="1">IFERROR(__xludf.DUMMYFUNCTION("IFERROR(VLOOKUP(E743&amp;F743,IMPORTRANGE(""https://docs.google.com/spreadsheets/d/1Uw7-A9f9R21vMXxHZFNpYNeKFtG8_yji4HS352LGlSQ/edit?pli=1#gid=0"",""1_ACUM!A4:S""),13,FALSE))"),"")</f>
        <v/>
      </c>
      <c r="AZ477" s="43" t="str">
        <f ca="1">IFERROR(__xludf.DUMMYFUNCTION("IFERROR(VLOOKUP(E743&amp;F743,IMPORTRANGE(""https://docs.google.com/spreadsheets/d/1Uw7-A9f9R21vMXxHZFNpYNeKFtG8_yji4HS352LGlSQ/edit?pli=1#gid=0"",""1_ACUM!A4:S""),13,FALSE))"),"")</f>
        <v/>
      </c>
      <c r="BA477" s="43" t="str">
        <f ca="1">IFERROR(__xludf.DUMMYFUNCTION("IFERROR(VLOOKUP(E743&amp;F743,IMPORTRANGE(""https://docs.google.com/spreadsheets/d/1Uw7-A9f9R21vMXxHZFNpYNeKFtG8_yji4HS352LGlSQ/edit?pli=1#gid=0"",""1_ACUM!A4:S""),14,FALSE))"),"")</f>
        <v/>
      </c>
      <c r="BB477" s="43" t="str">
        <f ca="1">IFERROR(__xludf.DUMMYFUNCTION("IFERROR(VLOOKUP(E743&amp;F743,IMPORTRANGE(""https://docs.google.com/spreadsheets/d/1Uw7-A9f9R21vMXxHZFNpYNeKFtG8_yji4HS352LGlSQ/edit?pli=1#gid=0"",""1_ACUM!A4:S""),15,FALSE))"),"")</f>
        <v/>
      </c>
      <c r="BC477" s="43" t="str">
        <f ca="1">IFERROR(__xludf.DUMMYFUNCTION("IFERROR(VLOOKUP(E743&amp;F743,IMPORTRANGE(""https://docs.google.com/spreadsheets/d/1Uw7-A9f9R21vMXxHZFNpYNeKFtG8_yji4HS352LGlSQ/edit?pli=1#gid=0"",""1_ACUM!A4:S""),16,FALSE))"),"")</f>
        <v/>
      </c>
      <c r="BD477" s="43" t="str">
        <f ca="1">IFERROR(__xludf.DUMMYFUNCTION("IFERROR(VLOOKUP(E743&amp;F743,IMPORTRANGE(""https://docs.google.com/spreadsheets/d/1Uw7-A9f9R21vMXxHZFNpYNeKFtG8_yji4HS352LGlSQ/edit?pli=1#gid=0"",""1_ACUM!A4:S""),17,FALSE))"),"")</f>
        <v/>
      </c>
      <c r="BE477" s="44" t="str">
        <f ca="1">IFERROR(__xludf.DUMMYFUNCTION("IFERROR(VLOOKUP(E743&amp;F743,IMPORTRANGE(""https://docs.google.com/spreadsheets/d/1Uw7-A9f9R21vMXxHZFNpYNeKFtG8_yji4HS352LGlSQ/edit?pli=1#gid=0"",""1_ACUM!A4:S""),18,FALSE))"),"")</f>
        <v/>
      </c>
      <c r="BF477" s="44" t="str">
        <f ca="1">IFERROR(__xludf.DUMMYFUNCTION("IFERROR(VLOOKUP(E743&amp;F743,IMPORTRANGE(""https://docs.google.com/spreadsheets/d/1Uw7-A9f9R21vMXxHZFNpYNeKFtG8_yji4HS352LGlSQ/edit?pli=1#gid=0"",""1_ACUM!A4:S""),19,FALSE))"),"")</f>
        <v/>
      </c>
      <c r="BG477" s="98" t="str">
        <f ca="1">IFERROR(__xludf.DUMMYFUNCTION("IFERROR(VLOOKUP(F743,IMPORTRANGE(""https://docs.google.com/spreadsheets/d/1Kvs4KS76FHFqLFIZfrDMff4kP08nblUkihrxltoGBjg/edit#gid=934712705"",""ESENCIAL!A6:BG""),5,FALSE))"),"")</f>
        <v/>
      </c>
      <c r="BH477" s="98" t="str">
        <f t="shared" si="21"/>
        <v/>
      </c>
      <c r="BI477" s="99" t="str">
        <f t="shared" si="22"/>
        <v/>
      </c>
      <c r="BJ477" s="100" t="str">
        <f ca="1">IFERROR(__xludf.DUMMYFUNCTION("IFERROR(VLOOKUP(F743,IMPORTRANGE(""https://docs.google.com/spreadsheets/d/1Kvs4KS76FHFqLFIZfrDMff4kP08nblUkihrxltoGBjg/edit#gid=934712705"",""ESENCIAL!A6:BG""),2,FALSE))"),"")</f>
        <v/>
      </c>
      <c r="BK477" s="19" t="str">
        <f t="shared" si="23"/>
        <v/>
      </c>
      <c r="BL477" s="100"/>
      <c r="BM477" s="100"/>
    </row>
    <row r="478" spans="2:65" ht="15">
      <c r="B478" s="39"/>
      <c r="C478" s="5"/>
      <c r="D478" s="123"/>
      <c r="E478" s="39"/>
      <c r="F478" s="39"/>
      <c r="G478" s="39"/>
      <c r="H478" s="5" t="str">
        <f ca="1">IFERROR(__xludf.DUMMYFUNCTION("IFERROR(VLOOKUP(F744,IMPORTRANGE(""https://docs.google.com/spreadsheets/d/1Kvs4KS76FHFqLFIZfrDMff4kP08nblUkihrxltoGBjg/edit#gid=934712705"",""ESENCIAL!A6:BG""),3,FALSE))"),"")</f>
        <v/>
      </c>
      <c r="I478" s="5" t="str">
        <f ca="1">IFERROR(__xludf.DUMMYFUNCTION("IFERROR(VLOOKUP(F744,IMPORTRANGE(""https://docs.google.com/spreadsheets/d/1Kvs4KS76FHFqLFIZfrDMff4kP08nblUkihrxltoGBjg/edit#gid=934712705"",""ESENCIAL!A6:BG""),8,FALSE))"),"")</f>
        <v/>
      </c>
      <c r="J478" s="39"/>
      <c r="M478" s="40"/>
      <c r="AV478" s="41" t="str">
        <f t="shared" si="20"/>
        <v/>
      </c>
      <c r="AW478" s="5" t="str">
        <f ca="1">IFERROR(__xludf.DUMMYFUNCTION("IFERROR(VLOOKUP(E744&amp;F744,IMPORTRANGE(""https://docs.google.com/spreadsheets/d/1Uw7-A9f9R21vMXxHZFNpYNeKFtG8_yji4HS352LGlSQ/edit?pli=1#gid=0"",""1_ACUM!A4:S""),11,FALSE))"),"")</f>
        <v/>
      </c>
      <c r="AX478" s="42" t="str">
        <f ca="1">IFERROR(__xludf.DUMMYFUNCTION("IFERROR(VLOOKUP(F744,IMPORTRANGE(""https://docs.google.com/spreadsheets/d/1Kvs4KS76FHFqLFIZfrDMff4kP08nblUkihrxltoGBjg/edit#gid=934712705"",""ESENCIAL!A6:BG""),15,FALSE))"),"")</f>
        <v/>
      </c>
      <c r="AY478" s="110" t="str">
        <f ca="1">IFERROR(__xludf.DUMMYFUNCTION("IFERROR(VLOOKUP(E744&amp;F744,IMPORTRANGE(""https://docs.google.com/spreadsheets/d/1Uw7-A9f9R21vMXxHZFNpYNeKFtG8_yji4HS352LGlSQ/edit?pli=1#gid=0"",""1_ACUM!A4:S""),13,FALSE))"),"")</f>
        <v/>
      </c>
      <c r="AZ478" s="43" t="str">
        <f ca="1">IFERROR(__xludf.DUMMYFUNCTION("IFERROR(VLOOKUP(E744&amp;F744,IMPORTRANGE(""https://docs.google.com/spreadsheets/d/1Uw7-A9f9R21vMXxHZFNpYNeKFtG8_yji4HS352LGlSQ/edit?pli=1#gid=0"",""1_ACUM!A4:S""),13,FALSE))"),"")</f>
        <v/>
      </c>
      <c r="BA478" s="43" t="str">
        <f ca="1">IFERROR(__xludf.DUMMYFUNCTION("IFERROR(VLOOKUP(E744&amp;F744,IMPORTRANGE(""https://docs.google.com/spreadsheets/d/1Uw7-A9f9R21vMXxHZFNpYNeKFtG8_yji4HS352LGlSQ/edit?pli=1#gid=0"",""1_ACUM!A4:S""),14,FALSE))"),"")</f>
        <v/>
      </c>
      <c r="BB478" s="43" t="str">
        <f ca="1">IFERROR(__xludf.DUMMYFUNCTION("IFERROR(VLOOKUP(E744&amp;F744,IMPORTRANGE(""https://docs.google.com/spreadsheets/d/1Uw7-A9f9R21vMXxHZFNpYNeKFtG8_yji4HS352LGlSQ/edit?pli=1#gid=0"",""1_ACUM!A4:S""),15,FALSE))"),"")</f>
        <v/>
      </c>
      <c r="BC478" s="43" t="str">
        <f ca="1">IFERROR(__xludf.DUMMYFUNCTION("IFERROR(VLOOKUP(E744&amp;F744,IMPORTRANGE(""https://docs.google.com/spreadsheets/d/1Uw7-A9f9R21vMXxHZFNpYNeKFtG8_yji4HS352LGlSQ/edit?pli=1#gid=0"",""1_ACUM!A4:S""),16,FALSE))"),"")</f>
        <v/>
      </c>
      <c r="BD478" s="43" t="str">
        <f ca="1">IFERROR(__xludf.DUMMYFUNCTION("IFERROR(VLOOKUP(E744&amp;F744,IMPORTRANGE(""https://docs.google.com/spreadsheets/d/1Uw7-A9f9R21vMXxHZFNpYNeKFtG8_yji4HS352LGlSQ/edit?pli=1#gid=0"",""1_ACUM!A4:S""),17,FALSE))"),"")</f>
        <v/>
      </c>
      <c r="BE478" s="44" t="str">
        <f ca="1">IFERROR(__xludf.DUMMYFUNCTION("IFERROR(VLOOKUP(E744&amp;F744,IMPORTRANGE(""https://docs.google.com/spreadsheets/d/1Uw7-A9f9R21vMXxHZFNpYNeKFtG8_yji4HS352LGlSQ/edit?pli=1#gid=0"",""1_ACUM!A4:S""),18,FALSE))"),"")</f>
        <v/>
      </c>
      <c r="BF478" s="44" t="str">
        <f ca="1">IFERROR(__xludf.DUMMYFUNCTION("IFERROR(VLOOKUP(E744&amp;F744,IMPORTRANGE(""https://docs.google.com/spreadsheets/d/1Uw7-A9f9R21vMXxHZFNpYNeKFtG8_yji4HS352LGlSQ/edit?pli=1#gid=0"",""1_ACUM!A4:S""),19,FALSE))"),"")</f>
        <v/>
      </c>
      <c r="BG478" s="98" t="str">
        <f ca="1">IFERROR(__xludf.DUMMYFUNCTION("IFERROR(VLOOKUP(F744,IMPORTRANGE(""https://docs.google.com/spreadsheets/d/1Kvs4KS76FHFqLFIZfrDMff4kP08nblUkihrxltoGBjg/edit#gid=934712705"",""ESENCIAL!A6:BG""),5,FALSE))"),"")</f>
        <v/>
      </c>
      <c r="BH478" s="98" t="str">
        <f t="shared" si="21"/>
        <v/>
      </c>
      <c r="BI478" s="99" t="str">
        <f t="shared" si="22"/>
        <v/>
      </c>
      <c r="BJ478" s="100" t="str">
        <f ca="1">IFERROR(__xludf.DUMMYFUNCTION("IFERROR(VLOOKUP(F744,IMPORTRANGE(""https://docs.google.com/spreadsheets/d/1Kvs4KS76FHFqLFIZfrDMff4kP08nblUkihrxltoGBjg/edit#gid=934712705"",""ESENCIAL!A6:BG""),2,FALSE))"),"")</f>
        <v/>
      </c>
      <c r="BK478" s="19" t="str">
        <f t="shared" si="23"/>
        <v/>
      </c>
      <c r="BL478" s="100"/>
      <c r="BM478" s="100"/>
    </row>
    <row r="479" spans="2:65" ht="15">
      <c r="B479" s="39"/>
      <c r="C479" s="5"/>
      <c r="D479" s="123"/>
      <c r="E479" s="39"/>
      <c r="F479" s="39"/>
      <c r="G479" s="39"/>
      <c r="H479" s="5" t="str">
        <f ca="1">IFERROR(__xludf.DUMMYFUNCTION("IFERROR(VLOOKUP(F745,IMPORTRANGE(""https://docs.google.com/spreadsheets/d/1Kvs4KS76FHFqLFIZfrDMff4kP08nblUkihrxltoGBjg/edit#gid=934712705"",""ESENCIAL!A6:BG""),3,FALSE))"),"")</f>
        <v/>
      </c>
      <c r="I479" s="5" t="str">
        <f ca="1">IFERROR(__xludf.DUMMYFUNCTION("IFERROR(VLOOKUP(F745,IMPORTRANGE(""https://docs.google.com/spreadsheets/d/1Kvs4KS76FHFqLFIZfrDMff4kP08nblUkihrxltoGBjg/edit#gid=934712705"",""ESENCIAL!A6:BG""),8,FALSE))"),"")</f>
        <v/>
      </c>
      <c r="J479" s="39"/>
      <c r="M479" s="40"/>
      <c r="AV479" s="41" t="str">
        <f t="shared" si="20"/>
        <v/>
      </c>
      <c r="AW479" s="5" t="str">
        <f ca="1">IFERROR(__xludf.DUMMYFUNCTION("IFERROR(VLOOKUP(E745&amp;F745,IMPORTRANGE(""https://docs.google.com/spreadsheets/d/1Uw7-A9f9R21vMXxHZFNpYNeKFtG8_yji4HS352LGlSQ/edit?pli=1#gid=0"",""1_ACUM!A4:S""),11,FALSE))"),"")</f>
        <v/>
      </c>
      <c r="AX479" s="42" t="str">
        <f ca="1">IFERROR(__xludf.DUMMYFUNCTION("IFERROR(VLOOKUP(F745,IMPORTRANGE(""https://docs.google.com/spreadsheets/d/1Kvs4KS76FHFqLFIZfrDMff4kP08nblUkihrxltoGBjg/edit#gid=934712705"",""ESENCIAL!A6:BG""),15,FALSE))"),"")</f>
        <v/>
      </c>
      <c r="AY479" s="110" t="str">
        <f ca="1">IFERROR(__xludf.DUMMYFUNCTION("IFERROR(VLOOKUP(E745&amp;F745,IMPORTRANGE(""https://docs.google.com/spreadsheets/d/1Uw7-A9f9R21vMXxHZFNpYNeKFtG8_yji4HS352LGlSQ/edit?pli=1#gid=0"",""1_ACUM!A4:S""),13,FALSE))"),"")</f>
        <v/>
      </c>
      <c r="AZ479" s="43" t="str">
        <f ca="1">IFERROR(__xludf.DUMMYFUNCTION("IFERROR(VLOOKUP(E745&amp;F745,IMPORTRANGE(""https://docs.google.com/spreadsheets/d/1Uw7-A9f9R21vMXxHZFNpYNeKFtG8_yji4HS352LGlSQ/edit?pli=1#gid=0"",""1_ACUM!A4:S""),13,FALSE))"),"")</f>
        <v/>
      </c>
      <c r="BA479" s="43" t="str">
        <f ca="1">IFERROR(__xludf.DUMMYFUNCTION("IFERROR(VLOOKUP(E745&amp;F745,IMPORTRANGE(""https://docs.google.com/spreadsheets/d/1Uw7-A9f9R21vMXxHZFNpYNeKFtG8_yji4HS352LGlSQ/edit?pli=1#gid=0"",""1_ACUM!A4:S""),14,FALSE))"),"")</f>
        <v/>
      </c>
      <c r="BB479" s="43" t="str">
        <f ca="1">IFERROR(__xludf.DUMMYFUNCTION("IFERROR(VLOOKUP(E745&amp;F745,IMPORTRANGE(""https://docs.google.com/spreadsheets/d/1Uw7-A9f9R21vMXxHZFNpYNeKFtG8_yji4HS352LGlSQ/edit?pli=1#gid=0"",""1_ACUM!A4:S""),15,FALSE))"),"")</f>
        <v/>
      </c>
      <c r="BC479" s="43" t="str">
        <f ca="1">IFERROR(__xludf.DUMMYFUNCTION("IFERROR(VLOOKUP(E745&amp;F745,IMPORTRANGE(""https://docs.google.com/spreadsheets/d/1Uw7-A9f9R21vMXxHZFNpYNeKFtG8_yji4HS352LGlSQ/edit?pli=1#gid=0"",""1_ACUM!A4:S""),16,FALSE))"),"")</f>
        <v/>
      </c>
      <c r="BD479" s="43" t="str">
        <f ca="1">IFERROR(__xludf.DUMMYFUNCTION("IFERROR(VLOOKUP(E745&amp;F745,IMPORTRANGE(""https://docs.google.com/spreadsheets/d/1Uw7-A9f9R21vMXxHZFNpYNeKFtG8_yji4HS352LGlSQ/edit?pli=1#gid=0"",""1_ACUM!A4:S""),17,FALSE))"),"")</f>
        <v/>
      </c>
      <c r="BE479" s="44" t="str">
        <f ca="1">IFERROR(__xludf.DUMMYFUNCTION("IFERROR(VLOOKUP(E745&amp;F745,IMPORTRANGE(""https://docs.google.com/spreadsheets/d/1Uw7-A9f9R21vMXxHZFNpYNeKFtG8_yji4HS352LGlSQ/edit?pli=1#gid=0"",""1_ACUM!A4:S""),18,FALSE))"),"")</f>
        <v/>
      </c>
      <c r="BF479" s="44" t="str">
        <f ca="1">IFERROR(__xludf.DUMMYFUNCTION("IFERROR(VLOOKUP(E745&amp;F745,IMPORTRANGE(""https://docs.google.com/spreadsheets/d/1Uw7-A9f9R21vMXxHZFNpYNeKFtG8_yji4HS352LGlSQ/edit?pli=1#gid=0"",""1_ACUM!A4:S""),19,FALSE))"),"")</f>
        <v/>
      </c>
      <c r="BG479" s="98" t="str">
        <f ca="1">IFERROR(__xludf.DUMMYFUNCTION("IFERROR(VLOOKUP(F745,IMPORTRANGE(""https://docs.google.com/spreadsheets/d/1Kvs4KS76FHFqLFIZfrDMff4kP08nblUkihrxltoGBjg/edit#gid=934712705"",""ESENCIAL!A6:BG""),5,FALSE))"),"")</f>
        <v/>
      </c>
      <c r="BH479" s="98" t="str">
        <f t="shared" si="21"/>
        <v/>
      </c>
      <c r="BI479" s="99" t="str">
        <f t="shared" si="22"/>
        <v/>
      </c>
      <c r="BJ479" s="100" t="str">
        <f ca="1">IFERROR(__xludf.DUMMYFUNCTION("IFERROR(VLOOKUP(F745,IMPORTRANGE(""https://docs.google.com/spreadsheets/d/1Kvs4KS76FHFqLFIZfrDMff4kP08nblUkihrxltoGBjg/edit#gid=934712705"",""ESENCIAL!A6:BG""),2,FALSE))"),"")</f>
        <v/>
      </c>
      <c r="BK479" s="19" t="str">
        <f t="shared" si="23"/>
        <v/>
      </c>
      <c r="BL479" s="100"/>
      <c r="BM479" s="100"/>
    </row>
    <row r="480" spans="2:65" ht="15">
      <c r="B480" s="39"/>
      <c r="C480" s="5"/>
      <c r="D480" s="123"/>
      <c r="E480" s="39"/>
      <c r="F480" s="39"/>
      <c r="G480" s="39"/>
      <c r="H480" s="5" t="str">
        <f ca="1">IFERROR(__xludf.DUMMYFUNCTION("IFERROR(VLOOKUP(F746,IMPORTRANGE(""https://docs.google.com/spreadsheets/d/1Kvs4KS76FHFqLFIZfrDMff4kP08nblUkihrxltoGBjg/edit#gid=934712705"",""ESENCIAL!A6:BG""),3,FALSE))"),"")</f>
        <v/>
      </c>
      <c r="I480" s="5" t="str">
        <f ca="1">IFERROR(__xludf.DUMMYFUNCTION("IFERROR(VLOOKUP(F746,IMPORTRANGE(""https://docs.google.com/spreadsheets/d/1Kvs4KS76FHFqLFIZfrDMff4kP08nblUkihrxltoGBjg/edit#gid=934712705"",""ESENCIAL!A6:BG""),8,FALSE))"),"")</f>
        <v/>
      </c>
      <c r="J480" s="39"/>
      <c r="M480" s="40"/>
      <c r="AV480" s="41" t="str">
        <f t="shared" si="20"/>
        <v/>
      </c>
      <c r="AW480" s="5" t="str">
        <f ca="1">IFERROR(__xludf.DUMMYFUNCTION("IFERROR(VLOOKUP(E746&amp;F746,IMPORTRANGE(""https://docs.google.com/spreadsheets/d/1Uw7-A9f9R21vMXxHZFNpYNeKFtG8_yji4HS352LGlSQ/edit?pli=1#gid=0"",""1_ACUM!A4:S""),11,FALSE))"),"")</f>
        <v/>
      </c>
      <c r="AX480" s="42" t="str">
        <f ca="1">IFERROR(__xludf.DUMMYFUNCTION("IFERROR(VLOOKUP(F746,IMPORTRANGE(""https://docs.google.com/spreadsheets/d/1Kvs4KS76FHFqLFIZfrDMff4kP08nblUkihrxltoGBjg/edit#gid=934712705"",""ESENCIAL!A6:BG""),15,FALSE))"),"")</f>
        <v/>
      </c>
      <c r="AY480" s="110" t="str">
        <f ca="1">IFERROR(__xludf.DUMMYFUNCTION("IFERROR(VLOOKUP(E746&amp;F746,IMPORTRANGE(""https://docs.google.com/spreadsheets/d/1Uw7-A9f9R21vMXxHZFNpYNeKFtG8_yji4HS352LGlSQ/edit?pli=1#gid=0"",""1_ACUM!A4:S""),13,FALSE))"),"")</f>
        <v/>
      </c>
      <c r="AZ480" s="43" t="str">
        <f ca="1">IFERROR(__xludf.DUMMYFUNCTION("IFERROR(VLOOKUP(E746&amp;F746,IMPORTRANGE(""https://docs.google.com/spreadsheets/d/1Uw7-A9f9R21vMXxHZFNpYNeKFtG8_yji4HS352LGlSQ/edit?pli=1#gid=0"",""1_ACUM!A4:S""),13,FALSE))"),"")</f>
        <v/>
      </c>
      <c r="BA480" s="43" t="str">
        <f ca="1">IFERROR(__xludf.DUMMYFUNCTION("IFERROR(VLOOKUP(E746&amp;F746,IMPORTRANGE(""https://docs.google.com/spreadsheets/d/1Uw7-A9f9R21vMXxHZFNpYNeKFtG8_yji4HS352LGlSQ/edit?pli=1#gid=0"",""1_ACUM!A4:S""),14,FALSE))"),"")</f>
        <v/>
      </c>
      <c r="BB480" s="43" t="str">
        <f ca="1">IFERROR(__xludf.DUMMYFUNCTION("IFERROR(VLOOKUP(E746&amp;F746,IMPORTRANGE(""https://docs.google.com/spreadsheets/d/1Uw7-A9f9R21vMXxHZFNpYNeKFtG8_yji4HS352LGlSQ/edit?pli=1#gid=0"",""1_ACUM!A4:S""),15,FALSE))"),"")</f>
        <v/>
      </c>
      <c r="BC480" s="43" t="str">
        <f ca="1">IFERROR(__xludf.DUMMYFUNCTION("IFERROR(VLOOKUP(E746&amp;F746,IMPORTRANGE(""https://docs.google.com/spreadsheets/d/1Uw7-A9f9R21vMXxHZFNpYNeKFtG8_yji4HS352LGlSQ/edit?pli=1#gid=0"",""1_ACUM!A4:S""),16,FALSE))"),"")</f>
        <v/>
      </c>
      <c r="BD480" s="43" t="str">
        <f ca="1">IFERROR(__xludf.DUMMYFUNCTION("IFERROR(VLOOKUP(E746&amp;F746,IMPORTRANGE(""https://docs.google.com/spreadsheets/d/1Uw7-A9f9R21vMXxHZFNpYNeKFtG8_yji4HS352LGlSQ/edit?pli=1#gid=0"",""1_ACUM!A4:S""),17,FALSE))"),"")</f>
        <v/>
      </c>
      <c r="BE480" s="44" t="str">
        <f ca="1">IFERROR(__xludf.DUMMYFUNCTION("IFERROR(VLOOKUP(E746&amp;F746,IMPORTRANGE(""https://docs.google.com/spreadsheets/d/1Uw7-A9f9R21vMXxHZFNpYNeKFtG8_yji4HS352LGlSQ/edit?pli=1#gid=0"",""1_ACUM!A4:S""),18,FALSE))"),"")</f>
        <v/>
      </c>
      <c r="BF480" s="44" t="str">
        <f ca="1">IFERROR(__xludf.DUMMYFUNCTION("IFERROR(VLOOKUP(E746&amp;F746,IMPORTRANGE(""https://docs.google.com/spreadsheets/d/1Uw7-A9f9R21vMXxHZFNpYNeKFtG8_yji4HS352LGlSQ/edit?pli=1#gid=0"",""1_ACUM!A4:S""),19,FALSE))"),"")</f>
        <v/>
      </c>
      <c r="BG480" s="98" t="str">
        <f ca="1">IFERROR(__xludf.DUMMYFUNCTION("IFERROR(VLOOKUP(F746,IMPORTRANGE(""https://docs.google.com/spreadsheets/d/1Kvs4KS76FHFqLFIZfrDMff4kP08nblUkihrxltoGBjg/edit#gid=934712705"",""ESENCIAL!A6:BG""),5,FALSE))"),"")</f>
        <v/>
      </c>
      <c r="BH480" s="98" t="str">
        <f t="shared" si="21"/>
        <v/>
      </c>
      <c r="BI480" s="99" t="str">
        <f t="shared" si="22"/>
        <v/>
      </c>
      <c r="BJ480" s="100" t="str">
        <f ca="1">IFERROR(__xludf.DUMMYFUNCTION("IFERROR(VLOOKUP(F746,IMPORTRANGE(""https://docs.google.com/spreadsheets/d/1Kvs4KS76FHFqLFIZfrDMff4kP08nblUkihrxltoGBjg/edit#gid=934712705"",""ESENCIAL!A6:BG""),2,FALSE))"),"")</f>
        <v/>
      </c>
      <c r="BK480" s="19" t="str">
        <f t="shared" si="23"/>
        <v/>
      </c>
      <c r="BL480" s="100"/>
      <c r="BM480" s="100"/>
    </row>
    <row r="481" spans="2:65" ht="15">
      <c r="B481" s="39"/>
      <c r="C481" s="5"/>
      <c r="D481" s="123"/>
      <c r="E481" s="39"/>
      <c r="F481" s="39"/>
      <c r="G481" s="39"/>
      <c r="H481" s="5" t="str">
        <f ca="1">IFERROR(__xludf.DUMMYFUNCTION("IFERROR(VLOOKUP(F747,IMPORTRANGE(""https://docs.google.com/spreadsheets/d/1Kvs4KS76FHFqLFIZfrDMff4kP08nblUkihrxltoGBjg/edit#gid=934712705"",""ESENCIAL!A6:BG""),3,FALSE))"),"")</f>
        <v/>
      </c>
      <c r="I481" s="5" t="str">
        <f ca="1">IFERROR(__xludf.DUMMYFUNCTION("IFERROR(VLOOKUP(F747,IMPORTRANGE(""https://docs.google.com/spreadsheets/d/1Kvs4KS76FHFqLFIZfrDMff4kP08nblUkihrxltoGBjg/edit#gid=934712705"",""ESENCIAL!A6:BG""),8,FALSE))"),"")</f>
        <v/>
      </c>
      <c r="J481" s="39"/>
      <c r="M481" s="40"/>
      <c r="AV481" s="41" t="str">
        <f t="shared" si="20"/>
        <v/>
      </c>
      <c r="AW481" s="5" t="str">
        <f ca="1">IFERROR(__xludf.DUMMYFUNCTION("IFERROR(VLOOKUP(E747&amp;F747,IMPORTRANGE(""https://docs.google.com/spreadsheets/d/1Uw7-A9f9R21vMXxHZFNpYNeKFtG8_yji4HS352LGlSQ/edit?pli=1#gid=0"",""1_ACUM!A4:S""),11,FALSE))"),"")</f>
        <v/>
      </c>
      <c r="AX481" s="42" t="str">
        <f ca="1">IFERROR(__xludf.DUMMYFUNCTION("IFERROR(VLOOKUP(F747,IMPORTRANGE(""https://docs.google.com/spreadsheets/d/1Kvs4KS76FHFqLFIZfrDMff4kP08nblUkihrxltoGBjg/edit#gid=934712705"",""ESENCIAL!A6:BG""),15,FALSE))"),"")</f>
        <v/>
      </c>
      <c r="AY481" s="110" t="str">
        <f ca="1">IFERROR(__xludf.DUMMYFUNCTION("IFERROR(VLOOKUP(E747&amp;F747,IMPORTRANGE(""https://docs.google.com/spreadsheets/d/1Uw7-A9f9R21vMXxHZFNpYNeKFtG8_yji4HS352LGlSQ/edit?pli=1#gid=0"",""1_ACUM!A4:S""),13,FALSE))"),"")</f>
        <v/>
      </c>
      <c r="AZ481" s="43" t="str">
        <f ca="1">IFERROR(__xludf.DUMMYFUNCTION("IFERROR(VLOOKUP(E747&amp;F747,IMPORTRANGE(""https://docs.google.com/spreadsheets/d/1Uw7-A9f9R21vMXxHZFNpYNeKFtG8_yji4HS352LGlSQ/edit?pli=1#gid=0"",""1_ACUM!A4:S""),13,FALSE))"),"")</f>
        <v/>
      </c>
      <c r="BA481" s="43" t="str">
        <f ca="1">IFERROR(__xludf.DUMMYFUNCTION("IFERROR(VLOOKUP(E747&amp;F747,IMPORTRANGE(""https://docs.google.com/spreadsheets/d/1Uw7-A9f9R21vMXxHZFNpYNeKFtG8_yji4HS352LGlSQ/edit?pli=1#gid=0"",""1_ACUM!A4:S""),14,FALSE))"),"")</f>
        <v/>
      </c>
      <c r="BB481" s="43" t="str">
        <f ca="1">IFERROR(__xludf.DUMMYFUNCTION("IFERROR(VLOOKUP(E747&amp;F747,IMPORTRANGE(""https://docs.google.com/spreadsheets/d/1Uw7-A9f9R21vMXxHZFNpYNeKFtG8_yji4HS352LGlSQ/edit?pli=1#gid=0"",""1_ACUM!A4:S""),15,FALSE))"),"")</f>
        <v/>
      </c>
      <c r="BC481" s="43" t="str">
        <f ca="1">IFERROR(__xludf.DUMMYFUNCTION("IFERROR(VLOOKUP(E747&amp;F747,IMPORTRANGE(""https://docs.google.com/spreadsheets/d/1Uw7-A9f9R21vMXxHZFNpYNeKFtG8_yji4HS352LGlSQ/edit?pli=1#gid=0"",""1_ACUM!A4:S""),16,FALSE))"),"")</f>
        <v/>
      </c>
      <c r="BD481" s="43" t="str">
        <f ca="1">IFERROR(__xludf.DUMMYFUNCTION("IFERROR(VLOOKUP(E747&amp;F747,IMPORTRANGE(""https://docs.google.com/spreadsheets/d/1Uw7-A9f9R21vMXxHZFNpYNeKFtG8_yji4HS352LGlSQ/edit?pli=1#gid=0"",""1_ACUM!A4:S""),17,FALSE))"),"")</f>
        <v/>
      </c>
      <c r="BE481" s="44" t="str">
        <f ca="1">IFERROR(__xludf.DUMMYFUNCTION("IFERROR(VLOOKUP(E747&amp;F747,IMPORTRANGE(""https://docs.google.com/spreadsheets/d/1Uw7-A9f9R21vMXxHZFNpYNeKFtG8_yji4HS352LGlSQ/edit?pli=1#gid=0"",""1_ACUM!A4:S""),18,FALSE))"),"")</f>
        <v/>
      </c>
      <c r="BF481" s="44" t="str">
        <f ca="1">IFERROR(__xludf.DUMMYFUNCTION("IFERROR(VLOOKUP(E747&amp;F747,IMPORTRANGE(""https://docs.google.com/spreadsheets/d/1Uw7-A9f9R21vMXxHZFNpYNeKFtG8_yji4HS352LGlSQ/edit?pli=1#gid=0"",""1_ACUM!A4:S""),19,FALSE))"),"")</f>
        <v/>
      </c>
      <c r="BG481" s="98" t="str">
        <f ca="1">IFERROR(__xludf.DUMMYFUNCTION("IFERROR(VLOOKUP(F747,IMPORTRANGE(""https://docs.google.com/spreadsheets/d/1Kvs4KS76FHFqLFIZfrDMff4kP08nblUkihrxltoGBjg/edit#gid=934712705"",""ESENCIAL!A6:BG""),5,FALSE))"),"")</f>
        <v/>
      </c>
      <c r="BH481" s="98" t="str">
        <f t="shared" si="21"/>
        <v/>
      </c>
      <c r="BI481" s="99" t="str">
        <f t="shared" si="22"/>
        <v/>
      </c>
      <c r="BJ481" s="100" t="str">
        <f ca="1">IFERROR(__xludf.DUMMYFUNCTION("IFERROR(VLOOKUP(F747,IMPORTRANGE(""https://docs.google.com/spreadsheets/d/1Kvs4KS76FHFqLFIZfrDMff4kP08nblUkihrxltoGBjg/edit#gid=934712705"",""ESENCIAL!A6:BG""),2,FALSE))"),"")</f>
        <v/>
      </c>
      <c r="BK481" s="19" t="str">
        <f t="shared" si="23"/>
        <v/>
      </c>
      <c r="BL481" s="100"/>
      <c r="BM481" s="100"/>
    </row>
    <row r="482" spans="2:65" ht="15">
      <c r="B482" s="39"/>
      <c r="C482" s="5"/>
      <c r="D482" s="123"/>
      <c r="E482" s="39"/>
      <c r="F482" s="39"/>
      <c r="G482" s="39"/>
      <c r="H482" s="5" t="str">
        <f ca="1">IFERROR(__xludf.DUMMYFUNCTION("IFERROR(VLOOKUP(F748,IMPORTRANGE(""https://docs.google.com/spreadsheets/d/1Kvs4KS76FHFqLFIZfrDMff4kP08nblUkihrxltoGBjg/edit#gid=934712705"",""ESENCIAL!A6:BG""),3,FALSE))"),"")</f>
        <v/>
      </c>
      <c r="I482" s="5" t="str">
        <f ca="1">IFERROR(__xludf.DUMMYFUNCTION("IFERROR(VLOOKUP(F748,IMPORTRANGE(""https://docs.google.com/spreadsheets/d/1Kvs4KS76FHFqLFIZfrDMff4kP08nblUkihrxltoGBjg/edit#gid=934712705"",""ESENCIAL!A6:BG""),8,FALSE))"),"")</f>
        <v/>
      </c>
      <c r="J482" s="39"/>
      <c r="M482" s="40"/>
      <c r="AV482" s="41" t="str">
        <f t="shared" si="20"/>
        <v/>
      </c>
      <c r="AW482" s="5" t="str">
        <f ca="1">IFERROR(__xludf.DUMMYFUNCTION("IFERROR(VLOOKUP(E748&amp;F748,IMPORTRANGE(""https://docs.google.com/spreadsheets/d/1Uw7-A9f9R21vMXxHZFNpYNeKFtG8_yji4HS352LGlSQ/edit?pli=1#gid=0"",""1_ACUM!A4:S""),11,FALSE))"),"")</f>
        <v/>
      </c>
      <c r="AX482" s="42" t="str">
        <f ca="1">IFERROR(__xludf.DUMMYFUNCTION("IFERROR(VLOOKUP(F748,IMPORTRANGE(""https://docs.google.com/spreadsheets/d/1Kvs4KS76FHFqLFIZfrDMff4kP08nblUkihrxltoGBjg/edit#gid=934712705"",""ESENCIAL!A6:BG""),15,FALSE))"),"")</f>
        <v/>
      </c>
      <c r="AY482" s="110" t="str">
        <f ca="1">IFERROR(__xludf.DUMMYFUNCTION("IFERROR(VLOOKUP(E748&amp;F748,IMPORTRANGE(""https://docs.google.com/spreadsheets/d/1Uw7-A9f9R21vMXxHZFNpYNeKFtG8_yji4HS352LGlSQ/edit?pli=1#gid=0"",""1_ACUM!A4:S""),13,FALSE))"),"")</f>
        <v/>
      </c>
      <c r="AZ482" s="43" t="str">
        <f ca="1">IFERROR(__xludf.DUMMYFUNCTION("IFERROR(VLOOKUP(E748&amp;F748,IMPORTRANGE(""https://docs.google.com/spreadsheets/d/1Uw7-A9f9R21vMXxHZFNpYNeKFtG8_yji4HS352LGlSQ/edit?pli=1#gid=0"",""1_ACUM!A4:S""),13,FALSE))"),"")</f>
        <v/>
      </c>
      <c r="BA482" s="43" t="str">
        <f ca="1">IFERROR(__xludf.DUMMYFUNCTION("IFERROR(VLOOKUP(E748&amp;F748,IMPORTRANGE(""https://docs.google.com/spreadsheets/d/1Uw7-A9f9R21vMXxHZFNpYNeKFtG8_yji4HS352LGlSQ/edit?pli=1#gid=0"",""1_ACUM!A4:S""),14,FALSE))"),"")</f>
        <v/>
      </c>
      <c r="BB482" s="43" t="str">
        <f ca="1">IFERROR(__xludf.DUMMYFUNCTION("IFERROR(VLOOKUP(E748&amp;F748,IMPORTRANGE(""https://docs.google.com/spreadsheets/d/1Uw7-A9f9R21vMXxHZFNpYNeKFtG8_yji4HS352LGlSQ/edit?pli=1#gid=0"",""1_ACUM!A4:S""),15,FALSE))"),"")</f>
        <v/>
      </c>
      <c r="BC482" s="43" t="str">
        <f ca="1">IFERROR(__xludf.DUMMYFUNCTION("IFERROR(VLOOKUP(E748&amp;F748,IMPORTRANGE(""https://docs.google.com/spreadsheets/d/1Uw7-A9f9R21vMXxHZFNpYNeKFtG8_yji4HS352LGlSQ/edit?pli=1#gid=0"",""1_ACUM!A4:S""),16,FALSE))"),"")</f>
        <v/>
      </c>
      <c r="BD482" s="43" t="str">
        <f ca="1">IFERROR(__xludf.DUMMYFUNCTION("IFERROR(VLOOKUP(E748&amp;F748,IMPORTRANGE(""https://docs.google.com/spreadsheets/d/1Uw7-A9f9R21vMXxHZFNpYNeKFtG8_yji4HS352LGlSQ/edit?pli=1#gid=0"",""1_ACUM!A4:S""),17,FALSE))"),"")</f>
        <v/>
      </c>
      <c r="BE482" s="44" t="str">
        <f ca="1">IFERROR(__xludf.DUMMYFUNCTION("IFERROR(VLOOKUP(E748&amp;F748,IMPORTRANGE(""https://docs.google.com/spreadsheets/d/1Uw7-A9f9R21vMXxHZFNpYNeKFtG8_yji4HS352LGlSQ/edit?pli=1#gid=0"",""1_ACUM!A4:S""),18,FALSE))"),"")</f>
        <v/>
      </c>
      <c r="BF482" s="44" t="str">
        <f ca="1">IFERROR(__xludf.DUMMYFUNCTION("IFERROR(VLOOKUP(E748&amp;F748,IMPORTRANGE(""https://docs.google.com/spreadsheets/d/1Uw7-A9f9R21vMXxHZFNpYNeKFtG8_yji4HS352LGlSQ/edit?pli=1#gid=0"",""1_ACUM!A4:S""),19,FALSE))"),"")</f>
        <v/>
      </c>
      <c r="BG482" s="98" t="str">
        <f ca="1">IFERROR(__xludf.DUMMYFUNCTION("IFERROR(VLOOKUP(F748,IMPORTRANGE(""https://docs.google.com/spreadsheets/d/1Kvs4KS76FHFqLFIZfrDMff4kP08nblUkihrxltoGBjg/edit#gid=934712705"",""ESENCIAL!A6:BG""),5,FALSE))"),"")</f>
        <v/>
      </c>
      <c r="BH482" s="98" t="str">
        <f t="shared" si="21"/>
        <v/>
      </c>
      <c r="BI482" s="99" t="str">
        <f t="shared" si="22"/>
        <v/>
      </c>
      <c r="BJ482" s="100" t="str">
        <f ca="1">IFERROR(__xludf.DUMMYFUNCTION("IFERROR(VLOOKUP(F748,IMPORTRANGE(""https://docs.google.com/spreadsheets/d/1Kvs4KS76FHFqLFIZfrDMff4kP08nblUkihrxltoGBjg/edit#gid=934712705"",""ESENCIAL!A6:BG""),2,FALSE))"),"")</f>
        <v/>
      </c>
      <c r="BK482" s="19" t="str">
        <f t="shared" si="23"/>
        <v/>
      </c>
      <c r="BL482" s="100"/>
      <c r="BM482" s="100"/>
    </row>
    <row r="483" spans="2:65" ht="15">
      <c r="B483" s="39"/>
      <c r="C483" s="5"/>
      <c r="D483" s="123"/>
      <c r="E483" s="39"/>
      <c r="F483" s="39"/>
      <c r="G483" s="39"/>
      <c r="H483" s="5" t="str">
        <f ca="1">IFERROR(__xludf.DUMMYFUNCTION("IFERROR(VLOOKUP(F749,IMPORTRANGE(""https://docs.google.com/spreadsheets/d/1Kvs4KS76FHFqLFIZfrDMff4kP08nblUkihrxltoGBjg/edit#gid=934712705"",""ESENCIAL!A6:BG""),3,FALSE))"),"")</f>
        <v/>
      </c>
      <c r="I483" s="5" t="str">
        <f ca="1">IFERROR(__xludf.DUMMYFUNCTION("IFERROR(VLOOKUP(F749,IMPORTRANGE(""https://docs.google.com/spreadsheets/d/1Kvs4KS76FHFqLFIZfrDMff4kP08nblUkihrxltoGBjg/edit#gid=934712705"",""ESENCIAL!A6:BG""),8,FALSE))"),"")</f>
        <v/>
      </c>
      <c r="J483" s="39"/>
      <c r="M483" s="40"/>
      <c r="AV483" s="41" t="str">
        <f t="shared" si="20"/>
        <v/>
      </c>
      <c r="AW483" s="5" t="str">
        <f ca="1">IFERROR(__xludf.DUMMYFUNCTION("IFERROR(VLOOKUP(E749&amp;F749,IMPORTRANGE(""https://docs.google.com/spreadsheets/d/1Uw7-A9f9R21vMXxHZFNpYNeKFtG8_yji4HS352LGlSQ/edit?pli=1#gid=0"",""1_ACUM!A4:S""),11,FALSE))"),"")</f>
        <v/>
      </c>
      <c r="AX483" s="42" t="str">
        <f ca="1">IFERROR(__xludf.DUMMYFUNCTION("IFERROR(VLOOKUP(F749,IMPORTRANGE(""https://docs.google.com/spreadsheets/d/1Kvs4KS76FHFqLFIZfrDMff4kP08nblUkihrxltoGBjg/edit#gid=934712705"",""ESENCIAL!A6:BG""),15,FALSE))"),"")</f>
        <v/>
      </c>
      <c r="AY483" s="110" t="str">
        <f ca="1">IFERROR(__xludf.DUMMYFUNCTION("IFERROR(VLOOKUP(E749&amp;F749,IMPORTRANGE(""https://docs.google.com/spreadsheets/d/1Uw7-A9f9R21vMXxHZFNpYNeKFtG8_yji4HS352LGlSQ/edit?pli=1#gid=0"",""1_ACUM!A4:S""),13,FALSE))"),"")</f>
        <v/>
      </c>
      <c r="AZ483" s="43" t="str">
        <f ca="1">IFERROR(__xludf.DUMMYFUNCTION("IFERROR(VLOOKUP(E749&amp;F749,IMPORTRANGE(""https://docs.google.com/spreadsheets/d/1Uw7-A9f9R21vMXxHZFNpYNeKFtG8_yji4HS352LGlSQ/edit?pli=1#gid=0"",""1_ACUM!A4:S""),13,FALSE))"),"")</f>
        <v/>
      </c>
      <c r="BA483" s="43" t="str">
        <f ca="1">IFERROR(__xludf.DUMMYFUNCTION("IFERROR(VLOOKUP(E749&amp;F749,IMPORTRANGE(""https://docs.google.com/spreadsheets/d/1Uw7-A9f9R21vMXxHZFNpYNeKFtG8_yji4HS352LGlSQ/edit?pli=1#gid=0"",""1_ACUM!A4:S""),14,FALSE))"),"")</f>
        <v/>
      </c>
      <c r="BB483" s="43" t="str">
        <f ca="1">IFERROR(__xludf.DUMMYFUNCTION("IFERROR(VLOOKUP(E749&amp;F749,IMPORTRANGE(""https://docs.google.com/spreadsheets/d/1Uw7-A9f9R21vMXxHZFNpYNeKFtG8_yji4HS352LGlSQ/edit?pli=1#gid=0"",""1_ACUM!A4:S""),15,FALSE))"),"")</f>
        <v/>
      </c>
      <c r="BC483" s="43" t="str">
        <f ca="1">IFERROR(__xludf.DUMMYFUNCTION("IFERROR(VLOOKUP(E749&amp;F749,IMPORTRANGE(""https://docs.google.com/spreadsheets/d/1Uw7-A9f9R21vMXxHZFNpYNeKFtG8_yji4HS352LGlSQ/edit?pli=1#gid=0"",""1_ACUM!A4:S""),16,FALSE))"),"")</f>
        <v/>
      </c>
      <c r="BD483" s="43" t="str">
        <f ca="1">IFERROR(__xludf.DUMMYFUNCTION("IFERROR(VLOOKUP(E749&amp;F749,IMPORTRANGE(""https://docs.google.com/spreadsheets/d/1Uw7-A9f9R21vMXxHZFNpYNeKFtG8_yji4HS352LGlSQ/edit?pli=1#gid=0"",""1_ACUM!A4:S""),17,FALSE))"),"")</f>
        <v/>
      </c>
      <c r="BE483" s="44" t="str">
        <f ca="1">IFERROR(__xludf.DUMMYFUNCTION("IFERROR(VLOOKUP(E749&amp;F749,IMPORTRANGE(""https://docs.google.com/spreadsheets/d/1Uw7-A9f9R21vMXxHZFNpYNeKFtG8_yji4HS352LGlSQ/edit?pli=1#gid=0"",""1_ACUM!A4:S""),18,FALSE))"),"")</f>
        <v/>
      </c>
      <c r="BF483" s="44" t="str">
        <f ca="1">IFERROR(__xludf.DUMMYFUNCTION("IFERROR(VLOOKUP(E749&amp;F749,IMPORTRANGE(""https://docs.google.com/spreadsheets/d/1Uw7-A9f9R21vMXxHZFNpYNeKFtG8_yji4HS352LGlSQ/edit?pli=1#gid=0"",""1_ACUM!A4:S""),19,FALSE))"),"")</f>
        <v/>
      </c>
      <c r="BG483" s="98" t="str">
        <f ca="1">IFERROR(__xludf.DUMMYFUNCTION("IFERROR(VLOOKUP(F749,IMPORTRANGE(""https://docs.google.com/spreadsheets/d/1Kvs4KS76FHFqLFIZfrDMff4kP08nblUkihrxltoGBjg/edit#gid=934712705"",""ESENCIAL!A6:BG""),5,FALSE))"),"")</f>
        <v/>
      </c>
      <c r="BH483" s="98" t="str">
        <f t="shared" si="21"/>
        <v/>
      </c>
      <c r="BI483" s="99" t="str">
        <f t="shared" si="22"/>
        <v/>
      </c>
      <c r="BJ483" s="100" t="str">
        <f ca="1">IFERROR(__xludf.DUMMYFUNCTION("IFERROR(VLOOKUP(F749,IMPORTRANGE(""https://docs.google.com/spreadsheets/d/1Kvs4KS76FHFqLFIZfrDMff4kP08nblUkihrxltoGBjg/edit#gid=934712705"",""ESENCIAL!A6:BG""),2,FALSE))"),"")</f>
        <v/>
      </c>
      <c r="BK483" s="19" t="str">
        <f t="shared" si="23"/>
        <v/>
      </c>
      <c r="BL483" s="100"/>
      <c r="BM483" s="100"/>
    </row>
    <row r="484" spans="2:65" ht="15">
      <c r="B484" s="39"/>
      <c r="C484" s="5"/>
      <c r="D484" s="123"/>
      <c r="E484" s="39"/>
      <c r="F484" s="39"/>
      <c r="G484" s="39"/>
      <c r="H484" s="5" t="str">
        <f ca="1">IFERROR(__xludf.DUMMYFUNCTION("IFERROR(VLOOKUP(F750,IMPORTRANGE(""https://docs.google.com/spreadsheets/d/1Kvs4KS76FHFqLFIZfrDMff4kP08nblUkihrxltoGBjg/edit#gid=934712705"",""ESENCIAL!A6:BG""),3,FALSE))"),"")</f>
        <v/>
      </c>
      <c r="I484" s="5" t="str">
        <f ca="1">IFERROR(__xludf.DUMMYFUNCTION("IFERROR(VLOOKUP(F750,IMPORTRANGE(""https://docs.google.com/spreadsheets/d/1Kvs4KS76FHFqLFIZfrDMff4kP08nblUkihrxltoGBjg/edit#gid=934712705"",""ESENCIAL!A6:BG""),8,FALSE))"),"")</f>
        <v/>
      </c>
      <c r="J484" s="39"/>
      <c r="M484" s="40"/>
      <c r="AV484" s="41" t="str">
        <f t="shared" si="20"/>
        <v/>
      </c>
      <c r="AW484" s="5" t="str">
        <f ca="1">IFERROR(__xludf.DUMMYFUNCTION("IFERROR(VLOOKUP(E750&amp;F750,IMPORTRANGE(""https://docs.google.com/spreadsheets/d/1Uw7-A9f9R21vMXxHZFNpYNeKFtG8_yji4HS352LGlSQ/edit?pli=1#gid=0"",""1_ACUM!A4:S""),11,FALSE))"),"")</f>
        <v/>
      </c>
      <c r="AX484" s="42" t="str">
        <f ca="1">IFERROR(__xludf.DUMMYFUNCTION("IFERROR(VLOOKUP(F750,IMPORTRANGE(""https://docs.google.com/spreadsheets/d/1Kvs4KS76FHFqLFIZfrDMff4kP08nblUkihrxltoGBjg/edit#gid=934712705"",""ESENCIAL!A6:BG""),15,FALSE))"),"")</f>
        <v/>
      </c>
      <c r="AY484" s="110" t="str">
        <f ca="1">IFERROR(__xludf.DUMMYFUNCTION("IFERROR(VLOOKUP(E750&amp;F750,IMPORTRANGE(""https://docs.google.com/spreadsheets/d/1Uw7-A9f9R21vMXxHZFNpYNeKFtG8_yji4HS352LGlSQ/edit?pli=1#gid=0"",""1_ACUM!A4:S""),13,FALSE))"),"")</f>
        <v/>
      </c>
      <c r="AZ484" s="43" t="str">
        <f ca="1">IFERROR(__xludf.DUMMYFUNCTION("IFERROR(VLOOKUP(E750&amp;F750,IMPORTRANGE(""https://docs.google.com/spreadsheets/d/1Uw7-A9f9R21vMXxHZFNpYNeKFtG8_yji4HS352LGlSQ/edit?pli=1#gid=0"",""1_ACUM!A4:S""),13,FALSE))"),"")</f>
        <v/>
      </c>
      <c r="BA484" s="43" t="str">
        <f ca="1">IFERROR(__xludf.DUMMYFUNCTION("IFERROR(VLOOKUP(E750&amp;F750,IMPORTRANGE(""https://docs.google.com/spreadsheets/d/1Uw7-A9f9R21vMXxHZFNpYNeKFtG8_yji4HS352LGlSQ/edit?pli=1#gid=0"",""1_ACUM!A4:S""),14,FALSE))"),"")</f>
        <v/>
      </c>
      <c r="BB484" s="43" t="str">
        <f ca="1">IFERROR(__xludf.DUMMYFUNCTION("IFERROR(VLOOKUP(E750&amp;F750,IMPORTRANGE(""https://docs.google.com/spreadsheets/d/1Uw7-A9f9R21vMXxHZFNpYNeKFtG8_yji4HS352LGlSQ/edit?pli=1#gid=0"",""1_ACUM!A4:S""),15,FALSE))"),"")</f>
        <v/>
      </c>
      <c r="BC484" s="43" t="str">
        <f ca="1">IFERROR(__xludf.DUMMYFUNCTION("IFERROR(VLOOKUP(E750&amp;F750,IMPORTRANGE(""https://docs.google.com/spreadsheets/d/1Uw7-A9f9R21vMXxHZFNpYNeKFtG8_yji4HS352LGlSQ/edit?pli=1#gid=0"",""1_ACUM!A4:S""),16,FALSE))"),"")</f>
        <v/>
      </c>
      <c r="BD484" s="43" t="str">
        <f ca="1">IFERROR(__xludf.DUMMYFUNCTION("IFERROR(VLOOKUP(E750&amp;F750,IMPORTRANGE(""https://docs.google.com/spreadsheets/d/1Uw7-A9f9R21vMXxHZFNpYNeKFtG8_yji4HS352LGlSQ/edit?pli=1#gid=0"",""1_ACUM!A4:S""),17,FALSE))"),"")</f>
        <v/>
      </c>
      <c r="BE484" s="44" t="str">
        <f ca="1">IFERROR(__xludf.DUMMYFUNCTION("IFERROR(VLOOKUP(E750&amp;F750,IMPORTRANGE(""https://docs.google.com/spreadsheets/d/1Uw7-A9f9R21vMXxHZFNpYNeKFtG8_yji4HS352LGlSQ/edit?pli=1#gid=0"",""1_ACUM!A4:S""),18,FALSE))"),"")</f>
        <v/>
      </c>
      <c r="BF484" s="44" t="str">
        <f ca="1">IFERROR(__xludf.DUMMYFUNCTION("IFERROR(VLOOKUP(E750&amp;F750,IMPORTRANGE(""https://docs.google.com/spreadsheets/d/1Uw7-A9f9R21vMXxHZFNpYNeKFtG8_yji4HS352LGlSQ/edit?pli=1#gid=0"",""1_ACUM!A4:S""),19,FALSE))"),"")</f>
        <v/>
      </c>
      <c r="BG484" s="98" t="str">
        <f ca="1">IFERROR(__xludf.DUMMYFUNCTION("IFERROR(VLOOKUP(F750,IMPORTRANGE(""https://docs.google.com/spreadsheets/d/1Kvs4KS76FHFqLFIZfrDMff4kP08nblUkihrxltoGBjg/edit#gid=934712705"",""ESENCIAL!A6:BG""),5,FALSE))"),"")</f>
        <v/>
      </c>
      <c r="BH484" s="98" t="str">
        <f t="shared" si="21"/>
        <v/>
      </c>
      <c r="BI484" s="99" t="str">
        <f t="shared" si="22"/>
        <v/>
      </c>
      <c r="BJ484" s="100" t="str">
        <f ca="1">IFERROR(__xludf.DUMMYFUNCTION("IFERROR(VLOOKUP(F750,IMPORTRANGE(""https://docs.google.com/spreadsheets/d/1Kvs4KS76FHFqLFIZfrDMff4kP08nblUkihrxltoGBjg/edit#gid=934712705"",""ESENCIAL!A6:BG""),2,FALSE))"),"")</f>
        <v/>
      </c>
      <c r="BK484" s="19" t="str">
        <f t="shared" si="23"/>
        <v/>
      </c>
      <c r="BL484" s="100"/>
      <c r="BM484" s="100"/>
    </row>
    <row r="485" spans="2:65" ht="15">
      <c r="B485" s="39"/>
      <c r="C485" s="5"/>
      <c r="D485" s="123"/>
      <c r="E485" s="39"/>
      <c r="F485" s="39"/>
      <c r="G485" s="39"/>
      <c r="H485" s="5" t="str">
        <f ca="1">IFERROR(__xludf.DUMMYFUNCTION("IFERROR(VLOOKUP(F751,IMPORTRANGE(""https://docs.google.com/spreadsheets/d/1Kvs4KS76FHFqLFIZfrDMff4kP08nblUkihrxltoGBjg/edit#gid=934712705"",""ESENCIAL!A6:BG""),3,FALSE))"),"")</f>
        <v/>
      </c>
      <c r="I485" s="5" t="str">
        <f ca="1">IFERROR(__xludf.DUMMYFUNCTION("IFERROR(VLOOKUP(F751,IMPORTRANGE(""https://docs.google.com/spreadsheets/d/1Kvs4KS76FHFqLFIZfrDMff4kP08nblUkihrxltoGBjg/edit#gid=934712705"",""ESENCIAL!A6:BG""),8,FALSE))"),"")</f>
        <v/>
      </c>
      <c r="J485" s="39"/>
      <c r="M485" s="40"/>
      <c r="AV485" s="41" t="str">
        <f t="shared" si="20"/>
        <v/>
      </c>
      <c r="AW485" s="5" t="str">
        <f ca="1">IFERROR(__xludf.DUMMYFUNCTION("IFERROR(VLOOKUP(E751&amp;F751,IMPORTRANGE(""https://docs.google.com/spreadsheets/d/1Uw7-A9f9R21vMXxHZFNpYNeKFtG8_yji4HS352LGlSQ/edit?pli=1#gid=0"",""1_ACUM!A4:S""),11,FALSE))"),"")</f>
        <v/>
      </c>
      <c r="AX485" s="42" t="str">
        <f ca="1">IFERROR(__xludf.DUMMYFUNCTION("IFERROR(VLOOKUP(F751,IMPORTRANGE(""https://docs.google.com/spreadsheets/d/1Kvs4KS76FHFqLFIZfrDMff4kP08nblUkihrxltoGBjg/edit#gid=934712705"",""ESENCIAL!A6:BG""),15,FALSE))"),"")</f>
        <v/>
      </c>
      <c r="AY485" s="110" t="str">
        <f ca="1">IFERROR(__xludf.DUMMYFUNCTION("IFERROR(VLOOKUP(E751&amp;F751,IMPORTRANGE(""https://docs.google.com/spreadsheets/d/1Uw7-A9f9R21vMXxHZFNpYNeKFtG8_yji4HS352LGlSQ/edit?pli=1#gid=0"",""1_ACUM!A4:S""),13,FALSE))"),"")</f>
        <v/>
      </c>
      <c r="AZ485" s="43" t="str">
        <f ca="1">IFERROR(__xludf.DUMMYFUNCTION("IFERROR(VLOOKUP(E751&amp;F751,IMPORTRANGE(""https://docs.google.com/spreadsheets/d/1Uw7-A9f9R21vMXxHZFNpYNeKFtG8_yji4HS352LGlSQ/edit?pli=1#gid=0"",""1_ACUM!A4:S""),13,FALSE))"),"")</f>
        <v/>
      </c>
      <c r="BA485" s="43" t="str">
        <f ca="1">IFERROR(__xludf.DUMMYFUNCTION("IFERROR(VLOOKUP(E751&amp;F751,IMPORTRANGE(""https://docs.google.com/spreadsheets/d/1Uw7-A9f9R21vMXxHZFNpYNeKFtG8_yji4HS352LGlSQ/edit?pli=1#gid=0"",""1_ACUM!A4:S""),14,FALSE))"),"")</f>
        <v/>
      </c>
      <c r="BB485" s="43" t="str">
        <f ca="1">IFERROR(__xludf.DUMMYFUNCTION("IFERROR(VLOOKUP(E751&amp;F751,IMPORTRANGE(""https://docs.google.com/spreadsheets/d/1Uw7-A9f9R21vMXxHZFNpYNeKFtG8_yji4HS352LGlSQ/edit?pli=1#gid=0"",""1_ACUM!A4:S""),15,FALSE))"),"")</f>
        <v/>
      </c>
      <c r="BC485" s="43" t="str">
        <f ca="1">IFERROR(__xludf.DUMMYFUNCTION("IFERROR(VLOOKUP(E751&amp;F751,IMPORTRANGE(""https://docs.google.com/spreadsheets/d/1Uw7-A9f9R21vMXxHZFNpYNeKFtG8_yji4HS352LGlSQ/edit?pli=1#gid=0"",""1_ACUM!A4:S""),16,FALSE))"),"")</f>
        <v/>
      </c>
      <c r="BD485" s="43" t="str">
        <f ca="1">IFERROR(__xludf.DUMMYFUNCTION("IFERROR(VLOOKUP(E751&amp;F751,IMPORTRANGE(""https://docs.google.com/spreadsheets/d/1Uw7-A9f9R21vMXxHZFNpYNeKFtG8_yji4HS352LGlSQ/edit?pli=1#gid=0"",""1_ACUM!A4:S""),17,FALSE))"),"")</f>
        <v/>
      </c>
      <c r="BE485" s="44" t="str">
        <f ca="1">IFERROR(__xludf.DUMMYFUNCTION("IFERROR(VLOOKUP(E751&amp;F751,IMPORTRANGE(""https://docs.google.com/spreadsheets/d/1Uw7-A9f9R21vMXxHZFNpYNeKFtG8_yji4HS352LGlSQ/edit?pli=1#gid=0"",""1_ACUM!A4:S""),18,FALSE))"),"")</f>
        <v/>
      </c>
      <c r="BF485" s="44" t="str">
        <f ca="1">IFERROR(__xludf.DUMMYFUNCTION("IFERROR(VLOOKUP(E751&amp;F751,IMPORTRANGE(""https://docs.google.com/spreadsheets/d/1Uw7-A9f9R21vMXxHZFNpYNeKFtG8_yji4HS352LGlSQ/edit?pli=1#gid=0"",""1_ACUM!A4:S""),19,FALSE))"),"")</f>
        <v/>
      </c>
      <c r="BG485" s="98" t="str">
        <f ca="1">IFERROR(__xludf.DUMMYFUNCTION("IFERROR(VLOOKUP(F751,IMPORTRANGE(""https://docs.google.com/spreadsheets/d/1Kvs4KS76FHFqLFIZfrDMff4kP08nblUkihrxltoGBjg/edit#gid=934712705"",""ESENCIAL!A6:BG""),5,FALSE))"),"")</f>
        <v/>
      </c>
      <c r="BH485" s="98" t="str">
        <f t="shared" si="21"/>
        <v/>
      </c>
      <c r="BI485" s="99" t="str">
        <f t="shared" si="22"/>
        <v/>
      </c>
      <c r="BJ485" s="100" t="str">
        <f ca="1">IFERROR(__xludf.DUMMYFUNCTION("IFERROR(VLOOKUP(F751,IMPORTRANGE(""https://docs.google.com/spreadsheets/d/1Kvs4KS76FHFqLFIZfrDMff4kP08nblUkihrxltoGBjg/edit#gid=934712705"",""ESENCIAL!A6:BG""),2,FALSE))"),"")</f>
        <v/>
      </c>
      <c r="BK485" s="19" t="str">
        <f t="shared" si="23"/>
        <v/>
      </c>
      <c r="BL485" s="100"/>
      <c r="BM485" s="100"/>
    </row>
    <row r="486" spans="2:65" ht="15">
      <c r="B486" s="39"/>
      <c r="C486" s="5"/>
      <c r="D486" s="123"/>
      <c r="E486" s="39"/>
      <c r="F486" s="39"/>
      <c r="G486" s="39"/>
      <c r="H486" s="5" t="str">
        <f ca="1">IFERROR(__xludf.DUMMYFUNCTION("IFERROR(VLOOKUP(F752,IMPORTRANGE(""https://docs.google.com/spreadsheets/d/1Kvs4KS76FHFqLFIZfrDMff4kP08nblUkihrxltoGBjg/edit#gid=934712705"",""ESENCIAL!A6:BG""),3,FALSE))"),"")</f>
        <v/>
      </c>
      <c r="I486" s="5" t="str">
        <f ca="1">IFERROR(__xludf.DUMMYFUNCTION("IFERROR(VLOOKUP(F752,IMPORTRANGE(""https://docs.google.com/spreadsheets/d/1Kvs4KS76FHFqLFIZfrDMff4kP08nblUkihrxltoGBjg/edit#gid=934712705"",""ESENCIAL!A6:BG""),8,FALSE))"),"")</f>
        <v/>
      </c>
      <c r="J486" s="39"/>
      <c r="M486" s="40"/>
      <c r="AV486" s="41" t="str">
        <f t="shared" si="20"/>
        <v/>
      </c>
      <c r="AW486" s="5" t="str">
        <f ca="1">IFERROR(__xludf.DUMMYFUNCTION("IFERROR(VLOOKUP(E752&amp;F752,IMPORTRANGE(""https://docs.google.com/spreadsheets/d/1Uw7-A9f9R21vMXxHZFNpYNeKFtG8_yji4HS352LGlSQ/edit?pli=1#gid=0"",""1_ACUM!A4:S""),11,FALSE))"),"")</f>
        <v/>
      </c>
      <c r="AX486" s="42" t="str">
        <f ca="1">IFERROR(__xludf.DUMMYFUNCTION("IFERROR(VLOOKUP(F752,IMPORTRANGE(""https://docs.google.com/spreadsheets/d/1Kvs4KS76FHFqLFIZfrDMff4kP08nblUkihrxltoGBjg/edit#gid=934712705"",""ESENCIAL!A6:BG""),15,FALSE))"),"")</f>
        <v/>
      </c>
      <c r="AY486" s="110" t="str">
        <f ca="1">IFERROR(__xludf.DUMMYFUNCTION("IFERROR(VLOOKUP(E752&amp;F752,IMPORTRANGE(""https://docs.google.com/spreadsheets/d/1Uw7-A9f9R21vMXxHZFNpYNeKFtG8_yji4HS352LGlSQ/edit?pli=1#gid=0"",""1_ACUM!A4:S""),13,FALSE))"),"")</f>
        <v/>
      </c>
      <c r="AZ486" s="43" t="str">
        <f ca="1">IFERROR(__xludf.DUMMYFUNCTION("IFERROR(VLOOKUP(E752&amp;F752,IMPORTRANGE(""https://docs.google.com/spreadsheets/d/1Uw7-A9f9R21vMXxHZFNpYNeKFtG8_yji4HS352LGlSQ/edit?pli=1#gid=0"",""1_ACUM!A4:S""),13,FALSE))"),"")</f>
        <v/>
      </c>
      <c r="BA486" s="43" t="str">
        <f ca="1">IFERROR(__xludf.DUMMYFUNCTION("IFERROR(VLOOKUP(E752&amp;F752,IMPORTRANGE(""https://docs.google.com/spreadsheets/d/1Uw7-A9f9R21vMXxHZFNpYNeKFtG8_yji4HS352LGlSQ/edit?pli=1#gid=0"",""1_ACUM!A4:S""),14,FALSE))"),"")</f>
        <v/>
      </c>
      <c r="BB486" s="43" t="str">
        <f ca="1">IFERROR(__xludf.DUMMYFUNCTION("IFERROR(VLOOKUP(E752&amp;F752,IMPORTRANGE(""https://docs.google.com/spreadsheets/d/1Uw7-A9f9R21vMXxHZFNpYNeKFtG8_yji4HS352LGlSQ/edit?pli=1#gid=0"",""1_ACUM!A4:S""),15,FALSE))"),"")</f>
        <v/>
      </c>
      <c r="BC486" s="43" t="str">
        <f ca="1">IFERROR(__xludf.DUMMYFUNCTION("IFERROR(VLOOKUP(E752&amp;F752,IMPORTRANGE(""https://docs.google.com/spreadsheets/d/1Uw7-A9f9R21vMXxHZFNpYNeKFtG8_yji4HS352LGlSQ/edit?pli=1#gid=0"",""1_ACUM!A4:S""),16,FALSE))"),"")</f>
        <v/>
      </c>
      <c r="BD486" s="43" t="str">
        <f ca="1">IFERROR(__xludf.DUMMYFUNCTION("IFERROR(VLOOKUP(E752&amp;F752,IMPORTRANGE(""https://docs.google.com/spreadsheets/d/1Uw7-A9f9R21vMXxHZFNpYNeKFtG8_yji4HS352LGlSQ/edit?pli=1#gid=0"",""1_ACUM!A4:S""),17,FALSE))"),"")</f>
        <v/>
      </c>
      <c r="BE486" s="44" t="str">
        <f ca="1">IFERROR(__xludf.DUMMYFUNCTION("IFERROR(VLOOKUP(E752&amp;F752,IMPORTRANGE(""https://docs.google.com/spreadsheets/d/1Uw7-A9f9R21vMXxHZFNpYNeKFtG8_yji4HS352LGlSQ/edit?pli=1#gid=0"",""1_ACUM!A4:S""),18,FALSE))"),"")</f>
        <v/>
      </c>
      <c r="BF486" s="44" t="str">
        <f ca="1">IFERROR(__xludf.DUMMYFUNCTION("IFERROR(VLOOKUP(E752&amp;F752,IMPORTRANGE(""https://docs.google.com/spreadsheets/d/1Uw7-A9f9R21vMXxHZFNpYNeKFtG8_yji4HS352LGlSQ/edit?pli=1#gid=0"",""1_ACUM!A4:S""),19,FALSE))"),"")</f>
        <v/>
      </c>
      <c r="BG486" s="98" t="str">
        <f ca="1">IFERROR(__xludf.DUMMYFUNCTION("IFERROR(VLOOKUP(F752,IMPORTRANGE(""https://docs.google.com/spreadsheets/d/1Kvs4KS76FHFqLFIZfrDMff4kP08nblUkihrxltoGBjg/edit#gid=934712705"",""ESENCIAL!A6:BG""),5,FALSE))"),"")</f>
        <v/>
      </c>
      <c r="BH486" s="98" t="str">
        <f t="shared" si="21"/>
        <v/>
      </c>
      <c r="BI486" s="99" t="str">
        <f t="shared" si="22"/>
        <v/>
      </c>
      <c r="BJ486" s="100" t="str">
        <f ca="1">IFERROR(__xludf.DUMMYFUNCTION("IFERROR(VLOOKUP(F752,IMPORTRANGE(""https://docs.google.com/spreadsheets/d/1Kvs4KS76FHFqLFIZfrDMff4kP08nblUkihrxltoGBjg/edit#gid=934712705"",""ESENCIAL!A6:BG""),2,FALSE))"),"")</f>
        <v/>
      </c>
      <c r="BK486" s="19" t="str">
        <f t="shared" si="23"/>
        <v/>
      </c>
      <c r="BL486" s="100"/>
      <c r="BM486" s="100"/>
    </row>
    <row r="487" spans="2:65" ht="15">
      <c r="B487" s="39"/>
      <c r="C487" s="5"/>
      <c r="D487" s="123"/>
      <c r="E487" s="39"/>
      <c r="F487" s="39"/>
      <c r="G487" s="39"/>
      <c r="H487" s="5" t="str">
        <f ca="1">IFERROR(__xludf.DUMMYFUNCTION("IFERROR(VLOOKUP(F753,IMPORTRANGE(""https://docs.google.com/spreadsheets/d/1Kvs4KS76FHFqLFIZfrDMff4kP08nblUkihrxltoGBjg/edit#gid=934712705"",""ESENCIAL!A6:BG""),3,FALSE))"),"")</f>
        <v/>
      </c>
      <c r="I487" s="5" t="str">
        <f ca="1">IFERROR(__xludf.DUMMYFUNCTION("IFERROR(VLOOKUP(F753,IMPORTRANGE(""https://docs.google.com/spreadsheets/d/1Kvs4KS76FHFqLFIZfrDMff4kP08nblUkihrxltoGBjg/edit#gid=934712705"",""ESENCIAL!A6:BG""),8,FALSE))"),"")</f>
        <v/>
      </c>
      <c r="J487" s="39"/>
      <c r="M487" s="40"/>
      <c r="AV487" s="41" t="str">
        <f t="shared" si="20"/>
        <v/>
      </c>
      <c r="AW487" s="5" t="str">
        <f ca="1">IFERROR(__xludf.DUMMYFUNCTION("IFERROR(VLOOKUP(E753&amp;F753,IMPORTRANGE(""https://docs.google.com/spreadsheets/d/1Uw7-A9f9R21vMXxHZFNpYNeKFtG8_yji4HS352LGlSQ/edit?pli=1#gid=0"",""1_ACUM!A4:S""),11,FALSE))"),"")</f>
        <v/>
      </c>
      <c r="AX487" s="42" t="str">
        <f ca="1">IFERROR(__xludf.DUMMYFUNCTION("IFERROR(VLOOKUP(F753,IMPORTRANGE(""https://docs.google.com/spreadsheets/d/1Kvs4KS76FHFqLFIZfrDMff4kP08nblUkihrxltoGBjg/edit#gid=934712705"",""ESENCIAL!A6:BG""),15,FALSE))"),"")</f>
        <v/>
      </c>
      <c r="AY487" s="110" t="str">
        <f ca="1">IFERROR(__xludf.DUMMYFUNCTION("IFERROR(VLOOKUP(E753&amp;F753,IMPORTRANGE(""https://docs.google.com/spreadsheets/d/1Uw7-A9f9R21vMXxHZFNpYNeKFtG8_yji4HS352LGlSQ/edit?pli=1#gid=0"",""1_ACUM!A4:S""),13,FALSE))"),"")</f>
        <v/>
      </c>
      <c r="AZ487" s="43" t="str">
        <f ca="1">IFERROR(__xludf.DUMMYFUNCTION("IFERROR(VLOOKUP(E753&amp;F753,IMPORTRANGE(""https://docs.google.com/spreadsheets/d/1Uw7-A9f9R21vMXxHZFNpYNeKFtG8_yji4HS352LGlSQ/edit?pli=1#gid=0"",""1_ACUM!A4:S""),13,FALSE))"),"")</f>
        <v/>
      </c>
      <c r="BA487" s="43" t="str">
        <f ca="1">IFERROR(__xludf.DUMMYFUNCTION("IFERROR(VLOOKUP(E753&amp;F753,IMPORTRANGE(""https://docs.google.com/spreadsheets/d/1Uw7-A9f9R21vMXxHZFNpYNeKFtG8_yji4HS352LGlSQ/edit?pli=1#gid=0"",""1_ACUM!A4:S""),14,FALSE))"),"")</f>
        <v/>
      </c>
      <c r="BB487" s="43" t="str">
        <f ca="1">IFERROR(__xludf.DUMMYFUNCTION("IFERROR(VLOOKUP(E753&amp;F753,IMPORTRANGE(""https://docs.google.com/spreadsheets/d/1Uw7-A9f9R21vMXxHZFNpYNeKFtG8_yji4HS352LGlSQ/edit?pli=1#gid=0"",""1_ACUM!A4:S""),15,FALSE))"),"")</f>
        <v/>
      </c>
      <c r="BC487" s="43" t="str">
        <f ca="1">IFERROR(__xludf.DUMMYFUNCTION("IFERROR(VLOOKUP(E753&amp;F753,IMPORTRANGE(""https://docs.google.com/spreadsheets/d/1Uw7-A9f9R21vMXxHZFNpYNeKFtG8_yji4HS352LGlSQ/edit?pli=1#gid=0"",""1_ACUM!A4:S""),16,FALSE))"),"")</f>
        <v/>
      </c>
      <c r="BD487" s="43" t="str">
        <f ca="1">IFERROR(__xludf.DUMMYFUNCTION("IFERROR(VLOOKUP(E753&amp;F753,IMPORTRANGE(""https://docs.google.com/spreadsheets/d/1Uw7-A9f9R21vMXxHZFNpYNeKFtG8_yji4HS352LGlSQ/edit?pli=1#gid=0"",""1_ACUM!A4:S""),17,FALSE))"),"")</f>
        <v/>
      </c>
      <c r="BE487" s="44" t="str">
        <f ca="1">IFERROR(__xludf.DUMMYFUNCTION("IFERROR(VLOOKUP(E753&amp;F753,IMPORTRANGE(""https://docs.google.com/spreadsheets/d/1Uw7-A9f9R21vMXxHZFNpYNeKFtG8_yji4HS352LGlSQ/edit?pli=1#gid=0"",""1_ACUM!A4:S""),18,FALSE))"),"")</f>
        <v/>
      </c>
      <c r="BF487" s="44" t="str">
        <f ca="1">IFERROR(__xludf.DUMMYFUNCTION("IFERROR(VLOOKUP(E753&amp;F753,IMPORTRANGE(""https://docs.google.com/spreadsheets/d/1Uw7-A9f9R21vMXxHZFNpYNeKFtG8_yji4HS352LGlSQ/edit?pli=1#gid=0"",""1_ACUM!A4:S""),19,FALSE))"),"")</f>
        <v/>
      </c>
      <c r="BG487" s="98" t="str">
        <f ca="1">IFERROR(__xludf.DUMMYFUNCTION("IFERROR(VLOOKUP(F753,IMPORTRANGE(""https://docs.google.com/spreadsheets/d/1Kvs4KS76FHFqLFIZfrDMff4kP08nblUkihrxltoGBjg/edit#gid=934712705"",""ESENCIAL!A6:BG""),5,FALSE))"),"")</f>
        <v/>
      </c>
      <c r="BH487" s="98" t="str">
        <f t="shared" si="21"/>
        <v/>
      </c>
      <c r="BI487" s="99" t="str">
        <f t="shared" si="22"/>
        <v/>
      </c>
      <c r="BJ487" s="100" t="str">
        <f ca="1">IFERROR(__xludf.DUMMYFUNCTION("IFERROR(VLOOKUP(F753,IMPORTRANGE(""https://docs.google.com/spreadsheets/d/1Kvs4KS76FHFqLFIZfrDMff4kP08nblUkihrxltoGBjg/edit#gid=934712705"",""ESENCIAL!A6:BG""),2,FALSE))"),"")</f>
        <v/>
      </c>
      <c r="BK487" s="19" t="str">
        <f t="shared" si="23"/>
        <v/>
      </c>
      <c r="BL487" s="100"/>
      <c r="BM487" s="100"/>
    </row>
    <row r="488" spans="2:65" ht="15">
      <c r="B488" s="39"/>
      <c r="C488" s="5"/>
      <c r="D488" s="123"/>
      <c r="E488" s="39"/>
      <c r="F488" s="39"/>
      <c r="G488" s="39"/>
      <c r="H488" s="5" t="str">
        <f ca="1">IFERROR(__xludf.DUMMYFUNCTION("IFERROR(VLOOKUP(F754,IMPORTRANGE(""https://docs.google.com/spreadsheets/d/1Kvs4KS76FHFqLFIZfrDMff4kP08nblUkihrxltoGBjg/edit#gid=934712705"",""ESENCIAL!A6:BG""),3,FALSE))"),"")</f>
        <v/>
      </c>
      <c r="I488" s="5" t="str">
        <f ca="1">IFERROR(__xludf.DUMMYFUNCTION("IFERROR(VLOOKUP(F754,IMPORTRANGE(""https://docs.google.com/spreadsheets/d/1Kvs4KS76FHFqLFIZfrDMff4kP08nblUkihrxltoGBjg/edit#gid=934712705"",""ESENCIAL!A6:BG""),8,FALSE))"),"")</f>
        <v/>
      </c>
      <c r="J488" s="39"/>
      <c r="M488" s="40"/>
      <c r="AV488" s="41" t="str">
        <f t="shared" si="20"/>
        <v/>
      </c>
      <c r="AW488" s="5" t="str">
        <f ca="1">IFERROR(__xludf.DUMMYFUNCTION("IFERROR(VLOOKUP(E754&amp;F754,IMPORTRANGE(""https://docs.google.com/spreadsheets/d/1Uw7-A9f9R21vMXxHZFNpYNeKFtG8_yji4HS352LGlSQ/edit?pli=1#gid=0"",""1_ACUM!A4:S""),11,FALSE))"),"")</f>
        <v/>
      </c>
      <c r="AX488" s="42" t="str">
        <f ca="1">IFERROR(__xludf.DUMMYFUNCTION("IFERROR(VLOOKUP(F754,IMPORTRANGE(""https://docs.google.com/spreadsheets/d/1Kvs4KS76FHFqLFIZfrDMff4kP08nblUkihrxltoGBjg/edit#gid=934712705"",""ESENCIAL!A6:BG""),15,FALSE))"),"")</f>
        <v/>
      </c>
      <c r="AY488" s="110" t="str">
        <f ca="1">IFERROR(__xludf.DUMMYFUNCTION("IFERROR(VLOOKUP(E754&amp;F754,IMPORTRANGE(""https://docs.google.com/spreadsheets/d/1Uw7-A9f9R21vMXxHZFNpYNeKFtG8_yji4HS352LGlSQ/edit?pli=1#gid=0"",""1_ACUM!A4:S""),13,FALSE))"),"")</f>
        <v/>
      </c>
      <c r="AZ488" s="43" t="str">
        <f ca="1">IFERROR(__xludf.DUMMYFUNCTION("IFERROR(VLOOKUP(E754&amp;F754,IMPORTRANGE(""https://docs.google.com/spreadsheets/d/1Uw7-A9f9R21vMXxHZFNpYNeKFtG8_yji4HS352LGlSQ/edit?pli=1#gid=0"",""1_ACUM!A4:S""),13,FALSE))"),"")</f>
        <v/>
      </c>
      <c r="BA488" s="43" t="str">
        <f ca="1">IFERROR(__xludf.DUMMYFUNCTION("IFERROR(VLOOKUP(E754&amp;F754,IMPORTRANGE(""https://docs.google.com/spreadsheets/d/1Uw7-A9f9R21vMXxHZFNpYNeKFtG8_yji4HS352LGlSQ/edit?pli=1#gid=0"",""1_ACUM!A4:S""),14,FALSE))"),"")</f>
        <v/>
      </c>
      <c r="BB488" s="43" t="str">
        <f ca="1">IFERROR(__xludf.DUMMYFUNCTION("IFERROR(VLOOKUP(E754&amp;F754,IMPORTRANGE(""https://docs.google.com/spreadsheets/d/1Uw7-A9f9R21vMXxHZFNpYNeKFtG8_yji4HS352LGlSQ/edit?pli=1#gid=0"",""1_ACUM!A4:S""),15,FALSE))"),"")</f>
        <v/>
      </c>
      <c r="BC488" s="43" t="str">
        <f ca="1">IFERROR(__xludf.DUMMYFUNCTION("IFERROR(VLOOKUP(E754&amp;F754,IMPORTRANGE(""https://docs.google.com/spreadsheets/d/1Uw7-A9f9R21vMXxHZFNpYNeKFtG8_yji4HS352LGlSQ/edit?pli=1#gid=0"",""1_ACUM!A4:S""),16,FALSE))"),"")</f>
        <v/>
      </c>
      <c r="BD488" s="43" t="str">
        <f ca="1">IFERROR(__xludf.DUMMYFUNCTION("IFERROR(VLOOKUP(E754&amp;F754,IMPORTRANGE(""https://docs.google.com/spreadsheets/d/1Uw7-A9f9R21vMXxHZFNpYNeKFtG8_yji4HS352LGlSQ/edit?pli=1#gid=0"",""1_ACUM!A4:S""),17,FALSE))"),"")</f>
        <v/>
      </c>
      <c r="BE488" s="44" t="str">
        <f ca="1">IFERROR(__xludf.DUMMYFUNCTION("IFERROR(VLOOKUP(E754&amp;F754,IMPORTRANGE(""https://docs.google.com/spreadsheets/d/1Uw7-A9f9R21vMXxHZFNpYNeKFtG8_yji4HS352LGlSQ/edit?pli=1#gid=0"",""1_ACUM!A4:S""),18,FALSE))"),"")</f>
        <v/>
      </c>
      <c r="BF488" s="44" t="str">
        <f ca="1">IFERROR(__xludf.DUMMYFUNCTION("IFERROR(VLOOKUP(E754&amp;F754,IMPORTRANGE(""https://docs.google.com/spreadsheets/d/1Uw7-A9f9R21vMXxHZFNpYNeKFtG8_yji4HS352LGlSQ/edit?pli=1#gid=0"",""1_ACUM!A4:S""),19,FALSE))"),"")</f>
        <v/>
      </c>
      <c r="BG488" s="98" t="str">
        <f ca="1">IFERROR(__xludf.DUMMYFUNCTION("IFERROR(VLOOKUP(F754,IMPORTRANGE(""https://docs.google.com/spreadsheets/d/1Kvs4KS76FHFqLFIZfrDMff4kP08nblUkihrxltoGBjg/edit#gid=934712705"",""ESENCIAL!A6:BG""),5,FALSE))"),"")</f>
        <v/>
      </c>
      <c r="BH488" s="98" t="str">
        <f t="shared" si="21"/>
        <v/>
      </c>
      <c r="BI488" s="99" t="str">
        <f t="shared" si="22"/>
        <v/>
      </c>
      <c r="BJ488" s="100" t="str">
        <f ca="1">IFERROR(__xludf.DUMMYFUNCTION("IFERROR(VLOOKUP(F754,IMPORTRANGE(""https://docs.google.com/spreadsheets/d/1Kvs4KS76FHFqLFIZfrDMff4kP08nblUkihrxltoGBjg/edit#gid=934712705"",""ESENCIAL!A6:BG""),2,FALSE))"),"")</f>
        <v/>
      </c>
      <c r="BK488" s="19" t="str">
        <f t="shared" si="23"/>
        <v/>
      </c>
      <c r="BL488" s="100"/>
      <c r="BM488" s="100"/>
    </row>
    <row r="489" spans="2:65" ht="15">
      <c r="B489" s="39"/>
      <c r="C489" s="5"/>
      <c r="D489" s="123"/>
      <c r="E489" s="39"/>
      <c r="F489" s="39"/>
      <c r="G489" s="39"/>
      <c r="H489" s="5" t="str">
        <f ca="1">IFERROR(__xludf.DUMMYFUNCTION("IFERROR(VLOOKUP(F755,IMPORTRANGE(""https://docs.google.com/spreadsheets/d/1Kvs4KS76FHFqLFIZfrDMff4kP08nblUkihrxltoGBjg/edit#gid=934712705"",""ESENCIAL!A6:BG""),3,FALSE))"),"")</f>
        <v/>
      </c>
      <c r="I489" s="5" t="str">
        <f ca="1">IFERROR(__xludf.DUMMYFUNCTION("IFERROR(VLOOKUP(F755,IMPORTRANGE(""https://docs.google.com/spreadsheets/d/1Kvs4KS76FHFqLFIZfrDMff4kP08nblUkihrxltoGBjg/edit#gid=934712705"",""ESENCIAL!A6:BG""),8,FALSE))"),"")</f>
        <v/>
      </c>
      <c r="J489" s="39"/>
      <c r="M489" s="40"/>
      <c r="AV489" s="41" t="str">
        <f t="shared" si="20"/>
        <v/>
      </c>
      <c r="AW489" s="5" t="str">
        <f ca="1">IFERROR(__xludf.DUMMYFUNCTION("IFERROR(VLOOKUP(E755&amp;F755,IMPORTRANGE(""https://docs.google.com/spreadsheets/d/1Uw7-A9f9R21vMXxHZFNpYNeKFtG8_yji4HS352LGlSQ/edit?pli=1#gid=0"",""1_ACUM!A4:S""),11,FALSE))"),"")</f>
        <v/>
      </c>
      <c r="AX489" s="42" t="str">
        <f ca="1">IFERROR(__xludf.DUMMYFUNCTION("IFERROR(VLOOKUP(F755,IMPORTRANGE(""https://docs.google.com/spreadsheets/d/1Kvs4KS76FHFqLFIZfrDMff4kP08nblUkihrxltoGBjg/edit#gid=934712705"",""ESENCIAL!A6:BG""),15,FALSE))"),"")</f>
        <v/>
      </c>
      <c r="AY489" s="110" t="str">
        <f ca="1">IFERROR(__xludf.DUMMYFUNCTION("IFERROR(VLOOKUP(E755&amp;F755,IMPORTRANGE(""https://docs.google.com/spreadsheets/d/1Uw7-A9f9R21vMXxHZFNpYNeKFtG8_yji4HS352LGlSQ/edit?pli=1#gid=0"",""1_ACUM!A4:S""),13,FALSE))"),"")</f>
        <v/>
      </c>
      <c r="AZ489" s="43" t="str">
        <f ca="1">IFERROR(__xludf.DUMMYFUNCTION("IFERROR(VLOOKUP(E755&amp;F755,IMPORTRANGE(""https://docs.google.com/spreadsheets/d/1Uw7-A9f9R21vMXxHZFNpYNeKFtG8_yji4HS352LGlSQ/edit?pli=1#gid=0"",""1_ACUM!A4:S""),13,FALSE))"),"")</f>
        <v/>
      </c>
      <c r="BA489" s="43" t="str">
        <f ca="1">IFERROR(__xludf.DUMMYFUNCTION("IFERROR(VLOOKUP(E755&amp;F755,IMPORTRANGE(""https://docs.google.com/spreadsheets/d/1Uw7-A9f9R21vMXxHZFNpYNeKFtG8_yji4HS352LGlSQ/edit?pli=1#gid=0"",""1_ACUM!A4:S""),14,FALSE))"),"")</f>
        <v/>
      </c>
      <c r="BB489" s="43" t="str">
        <f ca="1">IFERROR(__xludf.DUMMYFUNCTION("IFERROR(VLOOKUP(E755&amp;F755,IMPORTRANGE(""https://docs.google.com/spreadsheets/d/1Uw7-A9f9R21vMXxHZFNpYNeKFtG8_yji4HS352LGlSQ/edit?pli=1#gid=0"",""1_ACUM!A4:S""),15,FALSE))"),"")</f>
        <v/>
      </c>
      <c r="BC489" s="43" t="str">
        <f ca="1">IFERROR(__xludf.DUMMYFUNCTION("IFERROR(VLOOKUP(E755&amp;F755,IMPORTRANGE(""https://docs.google.com/spreadsheets/d/1Uw7-A9f9R21vMXxHZFNpYNeKFtG8_yji4HS352LGlSQ/edit?pli=1#gid=0"",""1_ACUM!A4:S""),16,FALSE))"),"")</f>
        <v/>
      </c>
      <c r="BD489" s="43" t="str">
        <f ca="1">IFERROR(__xludf.DUMMYFUNCTION("IFERROR(VLOOKUP(E755&amp;F755,IMPORTRANGE(""https://docs.google.com/spreadsheets/d/1Uw7-A9f9R21vMXxHZFNpYNeKFtG8_yji4HS352LGlSQ/edit?pli=1#gid=0"",""1_ACUM!A4:S""),17,FALSE))"),"")</f>
        <v/>
      </c>
      <c r="BE489" s="44" t="str">
        <f ca="1">IFERROR(__xludf.DUMMYFUNCTION("IFERROR(VLOOKUP(E755&amp;F755,IMPORTRANGE(""https://docs.google.com/spreadsheets/d/1Uw7-A9f9R21vMXxHZFNpYNeKFtG8_yji4HS352LGlSQ/edit?pli=1#gid=0"",""1_ACUM!A4:S""),18,FALSE))"),"")</f>
        <v/>
      </c>
      <c r="BF489" s="44" t="str">
        <f ca="1">IFERROR(__xludf.DUMMYFUNCTION("IFERROR(VLOOKUP(E755&amp;F755,IMPORTRANGE(""https://docs.google.com/spreadsheets/d/1Uw7-A9f9R21vMXxHZFNpYNeKFtG8_yji4HS352LGlSQ/edit?pli=1#gid=0"",""1_ACUM!A4:S""),19,FALSE))"),"")</f>
        <v/>
      </c>
      <c r="BG489" s="98" t="str">
        <f ca="1">IFERROR(__xludf.DUMMYFUNCTION("IFERROR(VLOOKUP(F755,IMPORTRANGE(""https://docs.google.com/spreadsheets/d/1Kvs4KS76FHFqLFIZfrDMff4kP08nblUkihrxltoGBjg/edit#gid=934712705"",""ESENCIAL!A6:BG""),5,FALSE))"),"")</f>
        <v/>
      </c>
      <c r="BH489" s="98" t="str">
        <f t="shared" si="21"/>
        <v/>
      </c>
      <c r="BI489" s="99" t="str">
        <f t="shared" si="22"/>
        <v/>
      </c>
      <c r="BJ489" s="100" t="str">
        <f ca="1">IFERROR(__xludf.DUMMYFUNCTION("IFERROR(VLOOKUP(F755,IMPORTRANGE(""https://docs.google.com/spreadsheets/d/1Kvs4KS76FHFqLFIZfrDMff4kP08nblUkihrxltoGBjg/edit#gid=934712705"",""ESENCIAL!A6:BG""),2,FALSE))"),"")</f>
        <v/>
      </c>
      <c r="BK489" s="19" t="str">
        <f t="shared" si="23"/>
        <v/>
      </c>
      <c r="BL489" s="100"/>
      <c r="BM489" s="100"/>
    </row>
    <row r="490" spans="2:65" ht="15">
      <c r="B490" s="39"/>
      <c r="C490" s="5"/>
      <c r="D490" s="123"/>
      <c r="E490" s="39"/>
      <c r="F490" s="39"/>
      <c r="G490" s="39"/>
      <c r="H490" s="5" t="str">
        <f ca="1">IFERROR(__xludf.DUMMYFUNCTION("IFERROR(VLOOKUP(F756,IMPORTRANGE(""https://docs.google.com/spreadsheets/d/1Kvs4KS76FHFqLFIZfrDMff4kP08nblUkihrxltoGBjg/edit#gid=934712705"",""ESENCIAL!A6:BG""),3,FALSE))"),"")</f>
        <v/>
      </c>
      <c r="I490" s="5" t="str">
        <f ca="1">IFERROR(__xludf.DUMMYFUNCTION("IFERROR(VLOOKUP(F756,IMPORTRANGE(""https://docs.google.com/spreadsheets/d/1Kvs4KS76FHFqLFIZfrDMff4kP08nblUkihrxltoGBjg/edit#gid=934712705"",""ESENCIAL!A6:BG""),8,FALSE))"),"")</f>
        <v/>
      </c>
      <c r="J490" s="39"/>
      <c r="M490" s="40"/>
      <c r="AV490" s="41" t="str">
        <f t="shared" si="20"/>
        <v/>
      </c>
      <c r="AW490" s="5" t="str">
        <f ca="1">IFERROR(__xludf.DUMMYFUNCTION("IFERROR(VLOOKUP(E756&amp;F756,IMPORTRANGE(""https://docs.google.com/spreadsheets/d/1Uw7-A9f9R21vMXxHZFNpYNeKFtG8_yji4HS352LGlSQ/edit?pli=1#gid=0"",""1_ACUM!A4:S""),11,FALSE))"),"")</f>
        <v/>
      </c>
      <c r="AX490" s="42" t="str">
        <f ca="1">IFERROR(__xludf.DUMMYFUNCTION("IFERROR(VLOOKUP(F756,IMPORTRANGE(""https://docs.google.com/spreadsheets/d/1Kvs4KS76FHFqLFIZfrDMff4kP08nblUkihrxltoGBjg/edit#gid=934712705"",""ESENCIAL!A6:BG""),15,FALSE))"),"")</f>
        <v/>
      </c>
      <c r="AY490" s="110" t="str">
        <f ca="1">IFERROR(__xludf.DUMMYFUNCTION("IFERROR(VLOOKUP(E756&amp;F756,IMPORTRANGE(""https://docs.google.com/spreadsheets/d/1Uw7-A9f9R21vMXxHZFNpYNeKFtG8_yji4HS352LGlSQ/edit?pli=1#gid=0"",""1_ACUM!A4:S""),13,FALSE))"),"")</f>
        <v/>
      </c>
      <c r="AZ490" s="43" t="str">
        <f ca="1">IFERROR(__xludf.DUMMYFUNCTION("IFERROR(VLOOKUP(E756&amp;F756,IMPORTRANGE(""https://docs.google.com/spreadsheets/d/1Uw7-A9f9R21vMXxHZFNpYNeKFtG8_yji4HS352LGlSQ/edit?pli=1#gid=0"",""1_ACUM!A4:S""),13,FALSE))"),"")</f>
        <v/>
      </c>
      <c r="BA490" s="43" t="str">
        <f ca="1">IFERROR(__xludf.DUMMYFUNCTION("IFERROR(VLOOKUP(E756&amp;F756,IMPORTRANGE(""https://docs.google.com/spreadsheets/d/1Uw7-A9f9R21vMXxHZFNpYNeKFtG8_yji4HS352LGlSQ/edit?pli=1#gid=0"",""1_ACUM!A4:S""),14,FALSE))"),"")</f>
        <v/>
      </c>
      <c r="BB490" s="43" t="str">
        <f ca="1">IFERROR(__xludf.DUMMYFUNCTION("IFERROR(VLOOKUP(E756&amp;F756,IMPORTRANGE(""https://docs.google.com/spreadsheets/d/1Uw7-A9f9R21vMXxHZFNpYNeKFtG8_yji4HS352LGlSQ/edit?pli=1#gid=0"",""1_ACUM!A4:S""),15,FALSE))"),"")</f>
        <v/>
      </c>
      <c r="BC490" s="43" t="str">
        <f ca="1">IFERROR(__xludf.DUMMYFUNCTION("IFERROR(VLOOKUP(E756&amp;F756,IMPORTRANGE(""https://docs.google.com/spreadsheets/d/1Uw7-A9f9R21vMXxHZFNpYNeKFtG8_yji4HS352LGlSQ/edit?pli=1#gid=0"",""1_ACUM!A4:S""),16,FALSE))"),"")</f>
        <v/>
      </c>
      <c r="BD490" s="43" t="str">
        <f ca="1">IFERROR(__xludf.DUMMYFUNCTION("IFERROR(VLOOKUP(E756&amp;F756,IMPORTRANGE(""https://docs.google.com/spreadsheets/d/1Uw7-A9f9R21vMXxHZFNpYNeKFtG8_yji4HS352LGlSQ/edit?pli=1#gid=0"",""1_ACUM!A4:S""),17,FALSE))"),"")</f>
        <v/>
      </c>
      <c r="BE490" s="44" t="str">
        <f ca="1">IFERROR(__xludf.DUMMYFUNCTION("IFERROR(VLOOKUP(E756&amp;F756,IMPORTRANGE(""https://docs.google.com/spreadsheets/d/1Uw7-A9f9R21vMXxHZFNpYNeKFtG8_yji4HS352LGlSQ/edit?pli=1#gid=0"",""1_ACUM!A4:S""),18,FALSE))"),"")</f>
        <v/>
      </c>
      <c r="BF490" s="44" t="str">
        <f ca="1">IFERROR(__xludf.DUMMYFUNCTION("IFERROR(VLOOKUP(E756&amp;F756,IMPORTRANGE(""https://docs.google.com/spreadsheets/d/1Uw7-A9f9R21vMXxHZFNpYNeKFtG8_yji4HS352LGlSQ/edit?pli=1#gid=0"",""1_ACUM!A4:S""),19,FALSE))"),"")</f>
        <v/>
      </c>
      <c r="BG490" s="98" t="str">
        <f ca="1">IFERROR(__xludf.DUMMYFUNCTION("IFERROR(VLOOKUP(F756,IMPORTRANGE(""https://docs.google.com/spreadsheets/d/1Kvs4KS76FHFqLFIZfrDMff4kP08nblUkihrxltoGBjg/edit#gid=934712705"",""ESENCIAL!A6:BG""),5,FALSE))"),"")</f>
        <v/>
      </c>
      <c r="BH490" s="98" t="str">
        <f t="shared" si="21"/>
        <v/>
      </c>
      <c r="BI490" s="99" t="str">
        <f t="shared" si="22"/>
        <v/>
      </c>
      <c r="BJ490" s="100" t="str">
        <f ca="1">IFERROR(__xludf.DUMMYFUNCTION("IFERROR(VLOOKUP(F756,IMPORTRANGE(""https://docs.google.com/spreadsheets/d/1Kvs4KS76FHFqLFIZfrDMff4kP08nblUkihrxltoGBjg/edit#gid=934712705"",""ESENCIAL!A6:BG""),2,FALSE))"),"")</f>
        <v/>
      </c>
      <c r="BK490" s="19" t="str">
        <f t="shared" si="23"/>
        <v/>
      </c>
      <c r="BL490" s="100"/>
      <c r="BM490" s="100"/>
    </row>
    <row r="491" spans="2:65" ht="15">
      <c r="B491" s="39"/>
      <c r="C491" s="5"/>
      <c r="D491" s="123"/>
      <c r="E491" s="39"/>
      <c r="F491" s="39"/>
      <c r="G491" s="39"/>
      <c r="H491" s="5" t="str">
        <f ca="1">IFERROR(__xludf.DUMMYFUNCTION("IFERROR(VLOOKUP(F757,IMPORTRANGE(""https://docs.google.com/spreadsheets/d/1Kvs4KS76FHFqLFIZfrDMff4kP08nblUkihrxltoGBjg/edit#gid=934712705"",""ESENCIAL!A6:BG""),3,FALSE))"),"")</f>
        <v/>
      </c>
      <c r="I491" s="5" t="str">
        <f ca="1">IFERROR(__xludf.DUMMYFUNCTION("IFERROR(VLOOKUP(F757,IMPORTRANGE(""https://docs.google.com/spreadsheets/d/1Kvs4KS76FHFqLFIZfrDMff4kP08nblUkihrxltoGBjg/edit#gid=934712705"",""ESENCIAL!A6:BG""),8,FALSE))"),"")</f>
        <v/>
      </c>
      <c r="J491" s="39"/>
      <c r="M491" s="40"/>
      <c r="AV491" s="41" t="str">
        <f t="shared" si="20"/>
        <v/>
      </c>
      <c r="AW491" s="5" t="str">
        <f ca="1">IFERROR(__xludf.DUMMYFUNCTION("IFERROR(VLOOKUP(E757&amp;F757,IMPORTRANGE(""https://docs.google.com/spreadsheets/d/1Uw7-A9f9R21vMXxHZFNpYNeKFtG8_yji4HS352LGlSQ/edit?pli=1#gid=0"",""1_ACUM!A4:S""),11,FALSE))"),"")</f>
        <v/>
      </c>
      <c r="AX491" s="42" t="str">
        <f ca="1">IFERROR(__xludf.DUMMYFUNCTION("IFERROR(VLOOKUP(F757,IMPORTRANGE(""https://docs.google.com/spreadsheets/d/1Kvs4KS76FHFqLFIZfrDMff4kP08nblUkihrxltoGBjg/edit#gid=934712705"",""ESENCIAL!A6:BG""),15,FALSE))"),"")</f>
        <v/>
      </c>
      <c r="AY491" s="110" t="str">
        <f ca="1">IFERROR(__xludf.DUMMYFUNCTION("IFERROR(VLOOKUP(E757&amp;F757,IMPORTRANGE(""https://docs.google.com/spreadsheets/d/1Uw7-A9f9R21vMXxHZFNpYNeKFtG8_yji4HS352LGlSQ/edit?pli=1#gid=0"",""1_ACUM!A4:S""),13,FALSE))"),"")</f>
        <v/>
      </c>
      <c r="AZ491" s="43" t="str">
        <f ca="1">IFERROR(__xludf.DUMMYFUNCTION("IFERROR(VLOOKUP(E757&amp;F757,IMPORTRANGE(""https://docs.google.com/spreadsheets/d/1Uw7-A9f9R21vMXxHZFNpYNeKFtG8_yji4HS352LGlSQ/edit?pli=1#gid=0"",""1_ACUM!A4:S""),13,FALSE))"),"")</f>
        <v/>
      </c>
      <c r="BA491" s="43" t="str">
        <f ca="1">IFERROR(__xludf.DUMMYFUNCTION("IFERROR(VLOOKUP(E757&amp;F757,IMPORTRANGE(""https://docs.google.com/spreadsheets/d/1Uw7-A9f9R21vMXxHZFNpYNeKFtG8_yji4HS352LGlSQ/edit?pli=1#gid=0"",""1_ACUM!A4:S""),14,FALSE))"),"")</f>
        <v/>
      </c>
      <c r="BB491" s="43" t="str">
        <f ca="1">IFERROR(__xludf.DUMMYFUNCTION("IFERROR(VLOOKUP(E757&amp;F757,IMPORTRANGE(""https://docs.google.com/spreadsheets/d/1Uw7-A9f9R21vMXxHZFNpYNeKFtG8_yji4HS352LGlSQ/edit?pli=1#gid=0"",""1_ACUM!A4:S""),15,FALSE))"),"")</f>
        <v/>
      </c>
      <c r="BC491" s="43" t="str">
        <f ca="1">IFERROR(__xludf.DUMMYFUNCTION("IFERROR(VLOOKUP(E757&amp;F757,IMPORTRANGE(""https://docs.google.com/spreadsheets/d/1Uw7-A9f9R21vMXxHZFNpYNeKFtG8_yji4HS352LGlSQ/edit?pli=1#gid=0"",""1_ACUM!A4:S""),16,FALSE))"),"")</f>
        <v/>
      </c>
      <c r="BD491" s="43" t="str">
        <f ca="1">IFERROR(__xludf.DUMMYFUNCTION("IFERROR(VLOOKUP(E757&amp;F757,IMPORTRANGE(""https://docs.google.com/spreadsheets/d/1Uw7-A9f9R21vMXxHZFNpYNeKFtG8_yji4HS352LGlSQ/edit?pli=1#gid=0"",""1_ACUM!A4:S""),17,FALSE))"),"")</f>
        <v/>
      </c>
      <c r="BE491" s="44" t="str">
        <f ca="1">IFERROR(__xludf.DUMMYFUNCTION("IFERROR(VLOOKUP(E757&amp;F757,IMPORTRANGE(""https://docs.google.com/spreadsheets/d/1Uw7-A9f9R21vMXxHZFNpYNeKFtG8_yji4HS352LGlSQ/edit?pli=1#gid=0"",""1_ACUM!A4:S""),18,FALSE))"),"")</f>
        <v/>
      </c>
      <c r="BF491" s="44" t="str">
        <f ca="1">IFERROR(__xludf.DUMMYFUNCTION("IFERROR(VLOOKUP(E757&amp;F757,IMPORTRANGE(""https://docs.google.com/spreadsheets/d/1Uw7-A9f9R21vMXxHZFNpYNeKFtG8_yji4HS352LGlSQ/edit?pli=1#gid=0"",""1_ACUM!A4:S""),19,FALSE))"),"")</f>
        <v/>
      </c>
      <c r="BG491" s="98" t="str">
        <f ca="1">IFERROR(__xludf.DUMMYFUNCTION("IFERROR(VLOOKUP(F757,IMPORTRANGE(""https://docs.google.com/spreadsheets/d/1Kvs4KS76FHFqLFIZfrDMff4kP08nblUkihrxltoGBjg/edit#gid=934712705"",""ESENCIAL!A6:BG""),5,FALSE))"),"")</f>
        <v/>
      </c>
      <c r="BH491" s="98" t="str">
        <f t="shared" si="21"/>
        <v/>
      </c>
      <c r="BI491" s="99" t="str">
        <f t="shared" si="22"/>
        <v/>
      </c>
      <c r="BJ491" s="100" t="str">
        <f ca="1">IFERROR(__xludf.DUMMYFUNCTION("IFERROR(VLOOKUP(F757,IMPORTRANGE(""https://docs.google.com/spreadsheets/d/1Kvs4KS76FHFqLFIZfrDMff4kP08nblUkihrxltoGBjg/edit#gid=934712705"",""ESENCIAL!A6:BG""),2,FALSE))"),"")</f>
        <v/>
      </c>
      <c r="BK491" s="19" t="str">
        <f t="shared" si="23"/>
        <v/>
      </c>
      <c r="BL491" s="100"/>
      <c r="BM491" s="100"/>
    </row>
    <row r="492" spans="2:65" ht="15">
      <c r="B492" s="39"/>
      <c r="C492" s="5"/>
      <c r="D492" s="123"/>
      <c r="E492" s="39"/>
      <c r="F492" s="39"/>
      <c r="G492" s="39"/>
      <c r="H492" s="5" t="str">
        <f ca="1">IFERROR(__xludf.DUMMYFUNCTION("IFERROR(VLOOKUP(F758,IMPORTRANGE(""https://docs.google.com/spreadsheets/d/1Kvs4KS76FHFqLFIZfrDMff4kP08nblUkihrxltoGBjg/edit#gid=934712705"",""ESENCIAL!A6:BG""),3,FALSE))"),"")</f>
        <v/>
      </c>
      <c r="I492" s="5" t="str">
        <f ca="1">IFERROR(__xludf.DUMMYFUNCTION("IFERROR(VLOOKUP(F758,IMPORTRANGE(""https://docs.google.com/spreadsheets/d/1Kvs4KS76FHFqLFIZfrDMff4kP08nblUkihrxltoGBjg/edit#gid=934712705"",""ESENCIAL!A6:BG""),8,FALSE))"),"")</f>
        <v/>
      </c>
      <c r="J492" s="39"/>
      <c r="M492" s="40"/>
      <c r="AV492" s="41" t="str">
        <f t="shared" si="20"/>
        <v/>
      </c>
      <c r="AW492" s="5" t="str">
        <f ca="1">IFERROR(__xludf.DUMMYFUNCTION("IFERROR(VLOOKUP(E758&amp;F758,IMPORTRANGE(""https://docs.google.com/spreadsheets/d/1Uw7-A9f9R21vMXxHZFNpYNeKFtG8_yji4HS352LGlSQ/edit?pli=1#gid=0"",""1_ACUM!A4:S""),11,FALSE))"),"")</f>
        <v/>
      </c>
      <c r="AX492" s="42" t="str">
        <f ca="1">IFERROR(__xludf.DUMMYFUNCTION("IFERROR(VLOOKUP(F758,IMPORTRANGE(""https://docs.google.com/spreadsheets/d/1Kvs4KS76FHFqLFIZfrDMff4kP08nblUkihrxltoGBjg/edit#gid=934712705"",""ESENCIAL!A6:BG""),15,FALSE))"),"")</f>
        <v/>
      </c>
      <c r="AY492" s="110" t="str">
        <f ca="1">IFERROR(__xludf.DUMMYFUNCTION("IFERROR(VLOOKUP(E758&amp;F758,IMPORTRANGE(""https://docs.google.com/spreadsheets/d/1Uw7-A9f9R21vMXxHZFNpYNeKFtG8_yji4HS352LGlSQ/edit?pli=1#gid=0"",""1_ACUM!A4:S""),13,FALSE))"),"")</f>
        <v/>
      </c>
      <c r="AZ492" s="43" t="str">
        <f ca="1">IFERROR(__xludf.DUMMYFUNCTION("IFERROR(VLOOKUP(E758&amp;F758,IMPORTRANGE(""https://docs.google.com/spreadsheets/d/1Uw7-A9f9R21vMXxHZFNpYNeKFtG8_yji4HS352LGlSQ/edit?pli=1#gid=0"",""1_ACUM!A4:S""),13,FALSE))"),"")</f>
        <v/>
      </c>
      <c r="BA492" s="43" t="str">
        <f ca="1">IFERROR(__xludf.DUMMYFUNCTION("IFERROR(VLOOKUP(E758&amp;F758,IMPORTRANGE(""https://docs.google.com/spreadsheets/d/1Uw7-A9f9R21vMXxHZFNpYNeKFtG8_yji4HS352LGlSQ/edit?pli=1#gid=0"",""1_ACUM!A4:S""),14,FALSE))"),"")</f>
        <v/>
      </c>
      <c r="BB492" s="43" t="str">
        <f ca="1">IFERROR(__xludf.DUMMYFUNCTION("IFERROR(VLOOKUP(E758&amp;F758,IMPORTRANGE(""https://docs.google.com/spreadsheets/d/1Uw7-A9f9R21vMXxHZFNpYNeKFtG8_yji4HS352LGlSQ/edit?pli=1#gid=0"",""1_ACUM!A4:S""),15,FALSE))"),"")</f>
        <v/>
      </c>
      <c r="BC492" s="43" t="str">
        <f ca="1">IFERROR(__xludf.DUMMYFUNCTION("IFERROR(VLOOKUP(E758&amp;F758,IMPORTRANGE(""https://docs.google.com/spreadsheets/d/1Uw7-A9f9R21vMXxHZFNpYNeKFtG8_yji4HS352LGlSQ/edit?pli=1#gid=0"",""1_ACUM!A4:S""),16,FALSE))"),"")</f>
        <v/>
      </c>
      <c r="BD492" s="43" t="str">
        <f ca="1">IFERROR(__xludf.DUMMYFUNCTION("IFERROR(VLOOKUP(E758&amp;F758,IMPORTRANGE(""https://docs.google.com/spreadsheets/d/1Uw7-A9f9R21vMXxHZFNpYNeKFtG8_yji4HS352LGlSQ/edit?pli=1#gid=0"",""1_ACUM!A4:S""),17,FALSE))"),"")</f>
        <v/>
      </c>
      <c r="BE492" s="44" t="str">
        <f ca="1">IFERROR(__xludf.DUMMYFUNCTION("IFERROR(VLOOKUP(E758&amp;F758,IMPORTRANGE(""https://docs.google.com/spreadsheets/d/1Uw7-A9f9R21vMXxHZFNpYNeKFtG8_yji4HS352LGlSQ/edit?pli=1#gid=0"",""1_ACUM!A4:S""),18,FALSE))"),"")</f>
        <v/>
      </c>
      <c r="BF492" s="44" t="str">
        <f ca="1">IFERROR(__xludf.DUMMYFUNCTION("IFERROR(VLOOKUP(E758&amp;F758,IMPORTRANGE(""https://docs.google.com/spreadsheets/d/1Uw7-A9f9R21vMXxHZFNpYNeKFtG8_yji4HS352LGlSQ/edit?pli=1#gid=0"",""1_ACUM!A4:S""),19,FALSE))"),"")</f>
        <v/>
      </c>
      <c r="BG492" s="98" t="str">
        <f ca="1">IFERROR(__xludf.DUMMYFUNCTION("IFERROR(VLOOKUP(F758,IMPORTRANGE(""https://docs.google.com/spreadsheets/d/1Kvs4KS76FHFqLFIZfrDMff4kP08nblUkihrxltoGBjg/edit#gid=934712705"",""ESENCIAL!A6:BG""),5,FALSE))"),"")</f>
        <v/>
      </c>
      <c r="BH492" s="98" t="str">
        <f t="shared" si="21"/>
        <v/>
      </c>
      <c r="BI492" s="99" t="str">
        <f t="shared" si="22"/>
        <v/>
      </c>
      <c r="BJ492" s="100" t="str">
        <f ca="1">IFERROR(__xludf.DUMMYFUNCTION("IFERROR(VLOOKUP(F758,IMPORTRANGE(""https://docs.google.com/spreadsheets/d/1Kvs4KS76FHFqLFIZfrDMff4kP08nblUkihrxltoGBjg/edit#gid=934712705"",""ESENCIAL!A6:BG""),2,FALSE))"),"")</f>
        <v/>
      </c>
      <c r="BK492" s="19" t="str">
        <f t="shared" si="23"/>
        <v/>
      </c>
      <c r="BL492" s="100"/>
      <c r="BM492" s="100"/>
    </row>
    <row r="493" spans="2:65" ht="15">
      <c r="B493" s="39"/>
      <c r="C493" s="5"/>
      <c r="D493" s="123"/>
      <c r="E493" s="39"/>
      <c r="F493" s="39"/>
      <c r="G493" s="39"/>
      <c r="H493" s="5" t="str">
        <f ca="1">IFERROR(__xludf.DUMMYFUNCTION("IFERROR(VLOOKUP(F759,IMPORTRANGE(""https://docs.google.com/spreadsheets/d/1Kvs4KS76FHFqLFIZfrDMff4kP08nblUkihrxltoGBjg/edit#gid=934712705"",""ESENCIAL!A6:BG""),3,FALSE))"),"")</f>
        <v/>
      </c>
      <c r="I493" s="5" t="str">
        <f ca="1">IFERROR(__xludf.DUMMYFUNCTION("IFERROR(VLOOKUP(F759,IMPORTRANGE(""https://docs.google.com/spreadsheets/d/1Kvs4KS76FHFqLFIZfrDMff4kP08nblUkihrxltoGBjg/edit#gid=934712705"",""ESENCIAL!A6:BG""),8,FALSE))"),"")</f>
        <v/>
      </c>
      <c r="J493" s="39"/>
      <c r="M493" s="40"/>
      <c r="AV493" s="41" t="str">
        <f t="shared" si="20"/>
        <v/>
      </c>
      <c r="AW493" s="5" t="str">
        <f ca="1">IFERROR(__xludf.DUMMYFUNCTION("IFERROR(VLOOKUP(E759&amp;F759,IMPORTRANGE(""https://docs.google.com/spreadsheets/d/1Uw7-A9f9R21vMXxHZFNpYNeKFtG8_yji4HS352LGlSQ/edit?pli=1#gid=0"",""1_ACUM!A4:S""),11,FALSE))"),"")</f>
        <v/>
      </c>
      <c r="AX493" s="42" t="str">
        <f ca="1">IFERROR(__xludf.DUMMYFUNCTION("IFERROR(VLOOKUP(F759,IMPORTRANGE(""https://docs.google.com/spreadsheets/d/1Kvs4KS76FHFqLFIZfrDMff4kP08nblUkihrxltoGBjg/edit#gid=934712705"",""ESENCIAL!A6:BG""),15,FALSE))"),"")</f>
        <v/>
      </c>
      <c r="AY493" s="110" t="str">
        <f ca="1">IFERROR(__xludf.DUMMYFUNCTION("IFERROR(VLOOKUP(E759&amp;F759,IMPORTRANGE(""https://docs.google.com/spreadsheets/d/1Uw7-A9f9R21vMXxHZFNpYNeKFtG8_yji4HS352LGlSQ/edit?pli=1#gid=0"",""1_ACUM!A4:S""),13,FALSE))"),"")</f>
        <v/>
      </c>
      <c r="AZ493" s="43" t="str">
        <f ca="1">IFERROR(__xludf.DUMMYFUNCTION("IFERROR(VLOOKUP(E759&amp;F759,IMPORTRANGE(""https://docs.google.com/spreadsheets/d/1Uw7-A9f9R21vMXxHZFNpYNeKFtG8_yji4HS352LGlSQ/edit?pli=1#gid=0"",""1_ACUM!A4:S""),13,FALSE))"),"")</f>
        <v/>
      </c>
      <c r="BA493" s="43" t="str">
        <f ca="1">IFERROR(__xludf.DUMMYFUNCTION("IFERROR(VLOOKUP(E759&amp;F759,IMPORTRANGE(""https://docs.google.com/spreadsheets/d/1Uw7-A9f9R21vMXxHZFNpYNeKFtG8_yji4HS352LGlSQ/edit?pli=1#gid=0"",""1_ACUM!A4:S""),14,FALSE))"),"")</f>
        <v/>
      </c>
      <c r="BB493" s="43" t="str">
        <f ca="1">IFERROR(__xludf.DUMMYFUNCTION("IFERROR(VLOOKUP(E759&amp;F759,IMPORTRANGE(""https://docs.google.com/spreadsheets/d/1Uw7-A9f9R21vMXxHZFNpYNeKFtG8_yji4HS352LGlSQ/edit?pli=1#gid=0"",""1_ACUM!A4:S""),15,FALSE))"),"")</f>
        <v/>
      </c>
      <c r="BC493" s="43" t="str">
        <f ca="1">IFERROR(__xludf.DUMMYFUNCTION("IFERROR(VLOOKUP(E759&amp;F759,IMPORTRANGE(""https://docs.google.com/spreadsheets/d/1Uw7-A9f9R21vMXxHZFNpYNeKFtG8_yji4HS352LGlSQ/edit?pli=1#gid=0"",""1_ACUM!A4:S""),16,FALSE))"),"")</f>
        <v/>
      </c>
      <c r="BD493" s="43" t="str">
        <f ca="1">IFERROR(__xludf.DUMMYFUNCTION("IFERROR(VLOOKUP(E759&amp;F759,IMPORTRANGE(""https://docs.google.com/spreadsheets/d/1Uw7-A9f9R21vMXxHZFNpYNeKFtG8_yji4HS352LGlSQ/edit?pli=1#gid=0"",""1_ACUM!A4:S""),17,FALSE))"),"")</f>
        <v/>
      </c>
      <c r="BE493" s="44" t="str">
        <f ca="1">IFERROR(__xludf.DUMMYFUNCTION("IFERROR(VLOOKUP(E759&amp;F759,IMPORTRANGE(""https://docs.google.com/spreadsheets/d/1Uw7-A9f9R21vMXxHZFNpYNeKFtG8_yji4HS352LGlSQ/edit?pli=1#gid=0"",""1_ACUM!A4:S""),18,FALSE))"),"")</f>
        <v/>
      </c>
      <c r="BF493" s="44" t="str">
        <f ca="1">IFERROR(__xludf.DUMMYFUNCTION("IFERROR(VLOOKUP(E759&amp;F759,IMPORTRANGE(""https://docs.google.com/spreadsheets/d/1Uw7-A9f9R21vMXxHZFNpYNeKFtG8_yji4HS352LGlSQ/edit?pli=1#gid=0"",""1_ACUM!A4:S""),19,FALSE))"),"")</f>
        <v/>
      </c>
      <c r="BG493" s="98" t="str">
        <f ca="1">IFERROR(__xludf.DUMMYFUNCTION("IFERROR(VLOOKUP(F759,IMPORTRANGE(""https://docs.google.com/spreadsheets/d/1Kvs4KS76FHFqLFIZfrDMff4kP08nblUkihrxltoGBjg/edit#gid=934712705"",""ESENCIAL!A6:BG""),5,FALSE))"),"")</f>
        <v/>
      </c>
      <c r="BH493" s="98" t="str">
        <f t="shared" si="21"/>
        <v/>
      </c>
      <c r="BI493" s="99" t="str">
        <f t="shared" si="22"/>
        <v/>
      </c>
      <c r="BJ493" s="100" t="str">
        <f ca="1">IFERROR(__xludf.DUMMYFUNCTION("IFERROR(VLOOKUP(F759,IMPORTRANGE(""https://docs.google.com/spreadsheets/d/1Kvs4KS76FHFqLFIZfrDMff4kP08nblUkihrxltoGBjg/edit#gid=934712705"",""ESENCIAL!A6:BG""),2,FALSE))"),"")</f>
        <v/>
      </c>
      <c r="BK493" s="19" t="str">
        <f t="shared" si="23"/>
        <v/>
      </c>
      <c r="BL493" s="100"/>
      <c r="BM493" s="100"/>
    </row>
    <row r="494" spans="2:65" ht="15">
      <c r="B494" s="39"/>
      <c r="C494" s="5"/>
      <c r="D494" s="123"/>
      <c r="E494" s="39"/>
      <c r="F494" s="39"/>
      <c r="G494" s="39"/>
      <c r="H494" s="5" t="str">
        <f ca="1">IFERROR(__xludf.DUMMYFUNCTION("IFERROR(VLOOKUP(F760,IMPORTRANGE(""https://docs.google.com/spreadsheets/d/1Kvs4KS76FHFqLFIZfrDMff4kP08nblUkihrxltoGBjg/edit#gid=934712705"",""ESENCIAL!A6:BG""),3,FALSE))"),"")</f>
        <v/>
      </c>
      <c r="I494" s="5" t="str">
        <f ca="1">IFERROR(__xludf.DUMMYFUNCTION("IFERROR(VLOOKUP(F760,IMPORTRANGE(""https://docs.google.com/spreadsheets/d/1Kvs4KS76FHFqLFIZfrDMff4kP08nblUkihrxltoGBjg/edit#gid=934712705"",""ESENCIAL!A6:BG""),8,FALSE))"),"")</f>
        <v/>
      </c>
      <c r="J494" s="39"/>
      <c r="M494" s="40"/>
      <c r="AV494" s="41" t="str">
        <f t="shared" si="20"/>
        <v/>
      </c>
      <c r="AW494" s="5" t="str">
        <f ca="1">IFERROR(__xludf.DUMMYFUNCTION("IFERROR(VLOOKUP(E760&amp;F760,IMPORTRANGE(""https://docs.google.com/spreadsheets/d/1Uw7-A9f9R21vMXxHZFNpYNeKFtG8_yji4HS352LGlSQ/edit?pli=1#gid=0"",""1_ACUM!A4:S""),11,FALSE))"),"")</f>
        <v/>
      </c>
      <c r="AX494" s="42" t="str">
        <f ca="1">IFERROR(__xludf.DUMMYFUNCTION("IFERROR(VLOOKUP(F760,IMPORTRANGE(""https://docs.google.com/spreadsheets/d/1Kvs4KS76FHFqLFIZfrDMff4kP08nblUkihrxltoGBjg/edit#gid=934712705"",""ESENCIAL!A6:BG""),15,FALSE))"),"")</f>
        <v/>
      </c>
      <c r="AY494" s="110" t="str">
        <f ca="1">IFERROR(__xludf.DUMMYFUNCTION("IFERROR(VLOOKUP(E760&amp;F760,IMPORTRANGE(""https://docs.google.com/spreadsheets/d/1Uw7-A9f9R21vMXxHZFNpYNeKFtG8_yji4HS352LGlSQ/edit?pli=1#gid=0"",""1_ACUM!A4:S""),13,FALSE))"),"")</f>
        <v/>
      </c>
      <c r="AZ494" s="43" t="str">
        <f ca="1">IFERROR(__xludf.DUMMYFUNCTION("IFERROR(VLOOKUP(E760&amp;F760,IMPORTRANGE(""https://docs.google.com/spreadsheets/d/1Uw7-A9f9R21vMXxHZFNpYNeKFtG8_yji4HS352LGlSQ/edit?pli=1#gid=0"",""1_ACUM!A4:S""),13,FALSE))"),"")</f>
        <v/>
      </c>
      <c r="BA494" s="43" t="str">
        <f ca="1">IFERROR(__xludf.DUMMYFUNCTION("IFERROR(VLOOKUP(E760&amp;F760,IMPORTRANGE(""https://docs.google.com/spreadsheets/d/1Uw7-A9f9R21vMXxHZFNpYNeKFtG8_yji4HS352LGlSQ/edit?pli=1#gid=0"",""1_ACUM!A4:S""),14,FALSE))"),"")</f>
        <v/>
      </c>
      <c r="BB494" s="43" t="str">
        <f ca="1">IFERROR(__xludf.DUMMYFUNCTION("IFERROR(VLOOKUP(E760&amp;F760,IMPORTRANGE(""https://docs.google.com/spreadsheets/d/1Uw7-A9f9R21vMXxHZFNpYNeKFtG8_yji4HS352LGlSQ/edit?pli=1#gid=0"",""1_ACUM!A4:S""),15,FALSE))"),"")</f>
        <v/>
      </c>
      <c r="BC494" s="43" t="str">
        <f ca="1">IFERROR(__xludf.DUMMYFUNCTION("IFERROR(VLOOKUP(E760&amp;F760,IMPORTRANGE(""https://docs.google.com/spreadsheets/d/1Uw7-A9f9R21vMXxHZFNpYNeKFtG8_yji4HS352LGlSQ/edit?pli=1#gid=0"",""1_ACUM!A4:S""),16,FALSE))"),"")</f>
        <v/>
      </c>
      <c r="BD494" s="43" t="str">
        <f ca="1">IFERROR(__xludf.DUMMYFUNCTION("IFERROR(VLOOKUP(E760&amp;F760,IMPORTRANGE(""https://docs.google.com/spreadsheets/d/1Uw7-A9f9R21vMXxHZFNpYNeKFtG8_yji4HS352LGlSQ/edit?pli=1#gid=0"",""1_ACUM!A4:S""),17,FALSE))"),"")</f>
        <v/>
      </c>
      <c r="BE494" s="44" t="str">
        <f ca="1">IFERROR(__xludf.DUMMYFUNCTION("IFERROR(VLOOKUP(E760&amp;F760,IMPORTRANGE(""https://docs.google.com/spreadsheets/d/1Uw7-A9f9R21vMXxHZFNpYNeKFtG8_yji4HS352LGlSQ/edit?pli=1#gid=0"",""1_ACUM!A4:S""),18,FALSE))"),"")</f>
        <v/>
      </c>
      <c r="BF494" s="44" t="str">
        <f ca="1">IFERROR(__xludf.DUMMYFUNCTION("IFERROR(VLOOKUP(E760&amp;F760,IMPORTRANGE(""https://docs.google.com/spreadsheets/d/1Uw7-A9f9R21vMXxHZFNpYNeKFtG8_yji4HS352LGlSQ/edit?pli=1#gid=0"",""1_ACUM!A4:S""),19,FALSE))"),"")</f>
        <v/>
      </c>
      <c r="BG494" s="98" t="str">
        <f ca="1">IFERROR(__xludf.DUMMYFUNCTION("IFERROR(VLOOKUP(F760,IMPORTRANGE(""https://docs.google.com/spreadsheets/d/1Kvs4KS76FHFqLFIZfrDMff4kP08nblUkihrxltoGBjg/edit#gid=934712705"",""ESENCIAL!A6:BG""),5,FALSE))"),"")</f>
        <v/>
      </c>
      <c r="BH494" s="98" t="str">
        <f t="shared" si="21"/>
        <v/>
      </c>
      <c r="BI494" s="99" t="str">
        <f t="shared" si="22"/>
        <v/>
      </c>
      <c r="BJ494" s="100" t="str">
        <f ca="1">IFERROR(__xludf.DUMMYFUNCTION("IFERROR(VLOOKUP(F760,IMPORTRANGE(""https://docs.google.com/spreadsheets/d/1Kvs4KS76FHFqLFIZfrDMff4kP08nblUkihrxltoGBjg/edit#gid=934712705"",""ESENCIAL!A6:BG""),2,FALSE))"),"")</f>
        <v/>
      </c>
      <c r="BK494" s="19" t="str">
        <f t="shared" si="23"/>
        <v/>
      </c>
      <c r="BL494" s="100"/>
      <c r="BM494" s="100"/>
    </row>
    <row r="495" spans="2:65" ht="15">
      <c r="B495" s="39"/>
      <c r="C495" s="5"/>
      <c r="D495" s="123"/>
      <c r="E495" s="39"/>
      <c r="F495" s="39"/>
      <c r="G495" s="39"/>
      <c r="H495" s="5" t="str">
        <f ca="1">IFERROR(__xludf.DUMMYFUNCTION("IFERROR(VLOOKUP(F761,IMPORTRANGE(""https://docs.google.com/spreadsheets/d/1Kvs4KS76FHFqLFIZfrDMff4kP08nblUkihrxltoGBjg/edit#gid=934712705"",""ESENCIAL!A6:BG""),3,FALSE))"),"")</f>
        <v/>
      </c>
      <c r="I495" s="5" t="str">
        <f ca="1">IFERROR(__xludf.DUMMYFUNCTION("IFERROR(VLOOKUP(F761,IMPORTRANGE(""https://docs.google.com/spreadsheets/d/1Kvs4KS76FHFqLFIZfrDMff4kP08nblUkihrxltoGBjg/edit#gid=934712705"",""ESENCIAL!A6:BG""),8,FALSE))"),"")</f>
        <v/>
      </c>
      <c r="J495" s="39"/>
      <c r="M495" s="40"/>
      <c r="AV495" s="41" t="str">
        <f t="shared" si="20"/>
        <v/>
      </c>
      <c r="AW495" s="5" t="str">
        <f ca="1">IFERROR(__xludf.DUMMYFUNCTION("IFERROR(VLOOKUP(E761&amp;F761,IMPORTRANGE(""https://docs.google.com/spreadsheets/d/1Uw7-A9f9R21vMXxHZFNpYNeKFtG8_yji4HS352LGlSQ/edit?pli=1#gid=0"",""1_ACUM!A4:S""),11,FALSE))"),"")</f>
        <v/>
      </c>
      <c r="AX495" s="42" t="str">
        <f ca="1">IFERROR(__xludf.DUMMYFUNCTION("IFERROR(VLOOKUP(F761,IMPORTRANGE(""https://docs.google.com/spreadsheets/d/1Kvs4KS76FHFqLFIZfrDMff4kP08nblUkihrxltoGBjg/edit#gid=934712705"",""ESENCIAL!A6:BG""),15,FALSE))"),"")</f>
        <v/>
      </c>
      <c r="AY495" s="110" t="str">
        <f ca="1">IFERROR(__xludf.DUMMYFUNCTION("IFERROR(VLOOKUP(E761&amp;F761,IMPORTRANGE(""https://docs.google.com/spreadsheets/d/1Uw7-A9f9R21vMXxHZFNpYNeKFtG8_yji4HS352LGlSQ/edit?pli=1#gid=0"",""1_ACUM!A4:S""),13,FALSE))"),"")</f>
        <v/>
      </c>
      <c r="AZ495" s="43" t="str">
        <f ca="1">IFERROR(__xludf.DUMMYFUNCTION("IFERROR(VLOOKUP(E761&amp;F761,IMPORTRANGE(""https://docs.google.com/spreadsheets/d/1Uw7-A9f9R21vMXxHZFNpYNeKFtG8_yji4HS352LGlSQ/edit?pli=1#gid=0"",""1_ACUM!A4:S""),13,FALSE))"),"")</f>
        <v/>
      </c>
      <c r="BA495" s="43" t="str">
        <f ca="1">IFERROR(__xludf.DUMMYFUNCTION("IFERROR(VLOOKUP(E761&amp;F761,IMPORTRANGE(""https://docs.google.com/spreadsheets/d/1Uw7-A9f9R21vMXxHZFNpYNeKFtG8_yji4HS352LGlSQ/edit?pli=1#gid=0"",""1_ACUM!A4:S""),14,FALSE))"),"")</f>
        <v/>
      </c>
      <c r="BB495" s="43" t="str">
        <f ca="1">IFERROR(__xludf.DUMMYFUNCTION("IFERROR(VLOOKUP(E761&amp;F761,IMPORTRANGE(""https://docs.google.com/spreadsheets/d/1Uw7-A9f9R21vMXxHZFNpYNeKFtG8_yji4HS352LGlSQ/edit?pli=1#gid=0"",""1_ACUM!A4:S""),15,FALSE))"),"")</f>
        <v/>
      </c>
      <c r="BC495" s="43" t="str">
        <f ca="1">IFERROR(__xludf.DUMMYFUNCTION("IFERROR(VLOOKUP(E761&amp;F761,IMPORTRANGE(""https://docs.google.com/spreadsheets/d/1Uw7-A9f9R21vMXxHZFNpYNeKFtG8_yji4HS352LGlSQ/edit?pli=1#gid=0"",""1_ACUM!A4:S""),16,FALSE))"),"")</f>
        <v/>
      </c>
      <c r="BD495" s="43" t="str">
        <f ca="1">IFERROR(__xludf.DUMMYFUNCTION("IFERROR(VLOOKUP(E761&amp;F761,IMPORTRANGE(""https://docs.google.com/spreadsheets/d/1Uw7-A9f9R21vMXxHZFNpYNeKFtG8_yji4HS352LGlSQ/edit?pli=1#gid=0"",""1_ACUM!A4:S""),17,FALSE))"),"")</f>
        <v/>
      </c>
      <c r="BE495" s="44" t="str">
        <f ca="1">IFERROR(__xludf.DUMMYFUNCTION("IFERROR(VLOOKUP(E761&amp;F761,IMPORTRANGE(""https://docs.google.com/spreadsheets/d/1Uw7-A9f9R21vMXxHZFNpYNeKFtG8_yji4HS352LGlSQ/edit?pli=1#gid=0"",""1_ACUM!A4:S""),18,FALSE))"),"")</f>
        <v/>
      </c>
      <c r="BF495" s="44" t="str">
        <f ca="1">IFERROR(__xludf.DUMMYFUNCTION("IFERROR(VLOOKUP(E761&amp;F761,IMPORTRANGE(""https://docs.google.com/spreadsheets/d/1Uw7-A9f9R21vMXxHZFNpYNeKFtG8_yji4HS352LGlSQ/edit?pli=1#gid=0"",""1_ACUM!A4:S""),19,FALSE))"),"")</f>
        <v/>
      </c>
      <c r="BG495" s="98" t="str">
        <f ca="1">IFERROR(__xludf.DUMMYFUNCTION("IFERROR(VLOOKUP(F761,IMPORTRANGE(""https://docs.google.com/spreadsheets/d/1Kvs4KS76FHFqLFIZfrDMff4kP08nblUkihrxltoGBjg/edit#gid=934712705"",""ESENCIAL!A6:BG""),5,FALSE))"),"")</f>
        <v/>
      </c>
      <c r="BH495" s="98" t="str">
        <f t="shared" si="21"/>
        <v/>
      </c>
      <c r="BI495" s="99" t="str">
        <f t="shared" si="22"/>
        <v/>
      </c>
      <c r="BJ495" s="100" t="str">
        <f ca="1">IFERROR(__xludf.DUMMYFUNCTION("IFERROR(VLOOKUP(F761,IMPORTRANGE(""https://docs.google.com/spreadsheets/d/1Kvs4KS76FHFqLFIZfrDMff4kP08nblUkihrxltoGBjg/edit#gid=934712705"",""ESENCIAL!A6:BG""),2,FALSE))"),"")</f>
        <v/>
      </c>
      <c r="BK495" s="19" t="str">
        <f t="shared" si="23"/>
        <v/>
      </c>
      <c r="BL495" s="100"/>
      <c r="BM495" s="100"/>
    </row>
    <row r="496" spans="2:65" ht="15">
      <c r="B496" s="39"/>
      <c r="C496" s="5"/>
      <c r="D496" s="123"/>
      <c r="E496" s="39"/>
      <c r="F496" s="39"/>
      <c r="G496" s="39"/>
      <c r="H496" s="5" t="str">
        <f ca="1">IFERROR(__xludf.DUMMYFUNCTION("IFERROR(VLOOKUP(F762,IMPORTRANGE(""https://docs.google.com/spreadsheets/d/1Kvs4KS76FHFqLFIZfrDMff4kP08nblUkihrxltoGBjg/edit#gid=934712705"",""ESENCIAL!A6:BG""),3,FALSE))"),"")</f>
        <v/>
      </c>
      <c r="I496" s="5" t="str">
        <f ca="1">IFERROR(__xludf.DUMMYFUNCTION("IFERROR(VLOOKUP(F762,IMPORTRANGE(""https://docs.google.com/spreadsheets/d/1Kvs4KS76FHFqLFIZfrDMff4kP08nblUkihrxltoGBjg/edit#gid=934712705"",""ESENCIAL!A6:BG""),8,FALSE))"),"")</f>
        <v/>
      </c>
      <c r="J496" s="39"/>
      <c r="M496" s="40"/>
      <c r="AV496" s="41" t="str">
        <f t="shared" si="20"/>
        <v/>
      </c>
      <c r="AW496" s="5" t="str">
        <f ca="1">IFERROR(__xludf.DUMMYFUNCTION("IFERROR(VLOOKUP(E762&amp;F762,IMPORTRANGE(""https://docs.google.com/spreadsheets/d/1Uw7-A9f9R21vMXxHZFNpYNeKFtG8_yji4HS352LGlSQ/edit?pli=1#gid=0"",""1_ACUM!A4:S""),11,FALSE))"),"")</f>
        <v/>
      </c>
      <c r="AX496" s="42" t="str">
        <f ca="1">IFERROR(__xludf.DUMMYFUNCTION("IFERROR(VLOOKUP(F762,IMPORTRANGE(""https://docs.google.com/spreadsheets/d/1Kvs4KS76FHFqLFIZfrDMff4kP08nblUkihrxltoGBjg/edit#gid=934712705"",""ESENCIAL!A6:BG""),15,FALSE))"),"")</f>
        <v/>
      </c>
      <c r="AY496" s="110" t="str">
        <f ca="1">IFERROR(__xludf.DUMMYFUNCTION("IFERROR(VLOOKUP(E762&amp;F762,IMPORTRANGE(""https://docs.google.com/spreadsheets/d/1Uw7-A9f9R21vMXxHZFNpYNeKFtG8_yji4HS352LGlSQ/edit?pli=1#gid=0"",""1_ACUM!A4:S""),13,FALSE))"),"")</f>
        <v/>
      </c>
      <c r="AZ496" s="43" t="str">
        <f ca="1">IFERROR(__xludf.DUMMYFUNCTION("IFERROR(VLOOKUP(E762&amp;F762,IMPORTRANGE(""https://docs.google.com/spreadsheets/d/1Uw7-A9f9R21vMXxHZFNpYNeKFtG8_yji4HS352LGlSQ/edit?pli=1#gid=0"",""1_ACUM!A4:S""),13,FALSE))"),"")</f>
        <v/>
      </c>
      <c r="BA496" s="43" t="str">
        <f ca="1">IFERROR(__xludf.DUMMYFUNCTION("IFERROR(VLOOKUP(E762&amp;F762,IMPORTRANGE(""https://docs.google.com/spreadsheets/d/1Uw7-A9f9R21vMXxHZFNpYNeKFtG8_yji4HS352LGlSQ/edit?pli=1#gid=0"",""1_ACUM!A4:S""),14,FALSE))"),"")</f>
        <v/>
      </c>
      <c r="BB496" s="43" t="str">
        <f ca="1">IFERROR(__xludf.DUMMYFUNCTION("IFERROR(VLOOKUP(E762&amp;F762,IMPORTRANGE(""https://docs.google.com/spreadsheets/d/1Uw7-A9f9R21vMXxHZFNpYNeKFtG8_yji4HS352LGlSQ/edit?pli=1#gid=0"",""1_ACUM!A4:S""),15,FALSE))"),"")</f>
        <v/>
      </c>
      <c r="BC496" s="43" t="str">
        <f ca="1">IFERROR(__xludf.DUMMYFUNCTION("IFERROR(VLOOKUP(E762&amp;F762,IMPORTRANGE(""https://docs.google.com/spreadsheets/d/1Uw7-A9f9R21vMXxHZFNpYNeKFtG8_yji4HS352LGlSQ/edit?pli=1#gid=0"",""1_ACUM!A4:S""),16,FALSE))"),"")</f>
        <v/>
      </c>
      <c r="BD496" s="43" t="str">
        <f ca="1">IFERROR(__xludf.DUMMYFUNCTION("IFERROR(VLOOKUP(E762&amp;F762,IMPORTRANGE(""https://docs.google.com/spreadsheets/d/1Uw7-A9f9R21vMXxHZFNpYNeKFtG8_yji4HS352LGlSQ/edit?pli=1#gid=0"",""1_ACUM!A4:S""),17,FALSE))"),"")</f>
        <v/>
      </c>
      <c r="BE496" s="44" t="str">
        <f ca="1">IFERROR(__xludf.DUMMYFUNCTION("IFERROR(VLOOKUP(E762&amp;F762,IMPORTRANGE(""https://docs.google.com/spreadsheets/d/1Uw7-A9f9R21vMXxHZFNpYNeKFtG8_yji4HS352LGlSQ/edit?pli=1#gid=0"",""1_ACUM!A4:S""),18,FALSE))"),"")</f>
        <v/>
      </c>
      <c r="BF496" s="44" t="str">
        <f ca="1">IFERROR(__xludf.DUMMYFUNCTION("IFERROR(VLOOKUP(E762&amp;F762,IMPORTRANGE(""https://docs.google.com/spreadsheets/d/1Uw7-A9f9R21vMXxHZFNpYNeKFtG8_yji4HS352LGlSQ/edit?pli=1#gid=0"",""1_ACUM!A4:S""),19,FALSE))"),"")</f>
        <v/>
      </c>
      <c r="BG496" s="98" t="str">
        <f ca="1">IFERROR(__xludf.DUMMYFUNCTION("IFERROR(VLOOKUP(F762,IMPORTRANGE(""https://docs.google.com/spreadsheets/d/1Kvs4KS76FHFqLFIZfrDMff4kP08nblUkihrxltoGBjg/edit#gid=934712705"",""ESENCIAL!A6:BG""),5,FALSE))"),"")</f>
        <v/>
      </c>
      <c r="BH496" s="98" t="str">
        <f t="shared" si="21"/>
        <v/>
      </c>
      <c r="BI496" s="99" t="str">
        <f t="shared" si="22"/>
        <v/>
      </c>
      <c r="BJ496" s="100" t="str">
        <f ca="1">IFERROR(__xludf.DUMMYFUNCTION("IFERROR(VLOOKUP(F762,IMPORTRANGE(""https://docs.google.com/spreadsheets/d/1Kvs4KS76FHFqLFIZfrDMff4kP08nblUkihrxltoGBjg/edit#gid=934712705"",""ESENCIAL!A6:BG""),2,FALSE))"),"")</f>
        <v/>
      </c>
      <c r="BK496" s="19" t="str">
        <f t="shared" si="23"/>
        <v/>
      </c>
      <c r="BL496" s="100"/>
      <c r="BM496" s="100"/>
    </row>
    <row r="497" spans="2:65" ht="15">
      <c r="B497" s="39"/>
      <c r="C497" s="5"/>
      <c r="D497" s="123"/>
      <c r="E497" s="39"/>
      <c r="F497" s="39"/>
      <c r="G497" s="39"/>
      <c r="H497" s="5" t="str">
        <f ca="1">IFERROR(__xludf.DUMMYFUNCTION("IFERROR(VLOOKUP(F763,IMPORTRANGE(""https://docs.google.com/spreadsheets/d/1Kvs4KS76FHFqLFIZfrDMff4kP08nblUkihrxltoGBjg/edit#gid=934712705"",""ESENCIAL!A6:BG""),3,FALSE))"),"")</f>
        <v/>
      </c>
      <c r="I497" s="5" t="str">
        <f ca="1">IFERROR(__xludf.DUMMYFUNCTION("IFERROR(VLOOKUP(F763,IMPORTRANGE(""https://docs.google.com/spreadsheets/d/1Kvs4KS76FHFqLFIZfrDMff4kP08nblUkihrxltoGBjg/edit#gid=934712705"",""ESENCIAL!A6:BG""),8,FALSE))"),"")</f>
        <v/>
      </c>
      <c r="J497" s="39"/>
      <c r="M497" s="40"/>
      <c r="AV497" s="41" t="str">
        <f t="shared" si="20"/>
        <v/>
      </c>
      <c r="AW497" s="5" t="str">
        <f ca="1">IFERROR(__xludf.DUMMYFUNCTION("IFERROR(VLOOKUP(E763&amp;F763,IMPORTRANGE(""https://docs.google.com/spreadsheets/d/1Uw7-A9f9R21vMXxHZFNpYNeKFtG8_yji4HS352LGlSQ/edit?pli=1#gid=0"",""1_ACUM!A4:S""),11,FALSE))"),"")</f>
        <v/>
      </c>
      <c r="AX497" s="42" t="str">
        <f ca="1">IFERROR(__xludf.DUMMYFUNCTION("IFERROR(VLOOKUP(F763,IMPORTRANGE(""https://docs.google.com/spreadsheets/d/1Kvs4KS76FHFqLFIZfrDMff4kP08nblUkihrxltoGBjg/edit#gid=934712705"",""ESENCIAL!A6:BG""),15,FALSE))"),"")</f>
        <v/>
      </c>
      <c r="AY497" s="110" t="str">
        <f ca="1">IFERROR(__xludf.DUMMYFUNCTION("IFERROR(VLOOKUP(E763&amp;F763,IMPORTRANGE(""https://docs.google.com/spreadsheets/d/1Uw7-A9f9R21vMXxHZFNpYNeKFtG8_yji4HS352LGlSQ/edit?pli=1#gid=0"",""1_ACUM!A4:S""),13,FALSE))"),"")</f>
        <v/>
      </c>
      <c r="AZ497" s="43" t="str">
        <f ca="1">IFERROR(__xludf.DUMMYFUNCTION("IFERROR(VLOOKUP(E763&amp;F763,IMPORTRANGE(""https://docs.google.com/spreadsheets/d/1Uw7-A9f9R21vMXxHZFNpYNeKFtG8_yji4HS352LGlSQ/edit?pli=1#gid=0"",""1_ACUM!A4:S""),13,FALSE))"),"")</f>
        <v/>
      </c>
      <c r="BA497" s="43" t="str">
        <f ca="1">IFERROR(__xludf.DUMMYFUNCTION("IFERROR(VLOOKUP(E763&amp;F763,IMPORTRANGE(""https://docs.google.com/spreadsheets/d/1Uw7-A9f9R21vMXxHZFNpYNeKFtG8_yji4HS352LGlSQ/edit?pli=1#gid=0"",""1_ACUM!A4:S""),14,FALSE))"),"")</f>
        <v/>
      </c>
      <c r="BB497" s="43" t="str">
        <f ca="1">IFERROR(__xludf.DUMMYFUNCTION("IFERROR(VLOOKUP(E763&amp;F763,IMPORTRANGE(""https://docs.google.com/spreadsheets/d/1Uw7-A9f9R21vMXxHZFNpYNeKFtG8_yji4HS352LGlSQ/edit?pli=1#gid=0"",""1_ACUM!A4:S""),15,FALSE))"),"")</f>
        <v/>
      </c>
      <c r="BC497" s="43" t="str">
        <f ca="1">IFERROR(__xludf.DUMMYFUNCTION("IFERROR(VLOOKUP(E763&amp;F763,IMPORTRANGE(""https://docs.google.com/spreadsheets/d/1Uw7-A9f9R21vMXxHZFNpYNeKFtG8_yji4HS352LGlSQ/edit?pli=1#gid=0"",""1_ACUM!A4:S""),16,FALSE))"),"")</f>
        <v/>
      </c>
      <c r="BD497" s="43" t="str">
        <f ca="1">IFERROR(__xludf.DUMMYFUNCTION("IFERROR(VLOOKUP(E763&amp;F763,IMPORTRANGE(""https://docs.google.com/spreadsheets/d/1Uw7-A9f9R21vMXxHZFNpYNeKFtG8_yji4HS352LGlSQ/edit?pli=1#gid=0"",""1_ACUM!A4:S""),17,FALSE))"),"")</f>
        <v/>
      </c>
      <c r="BE497" s="44" t="str">
        <f ca="1">IFERROR(__xludf.DUMMYFUNCTION("IFERROR(VLOOKUP(E763&amp;F763,IMPORTRANGE(""https://docs.google.com/spreadsheets/d/1Uw7-A9f9R21vMXxHZFNpYNeKFtG8_yji4HS352LGlSQ/edit?pli=1#gid=0"",""1_ACUM!A4:S""),18,FALSE))"),"")</f>
        <v/>
      </c>
      <c r="BF497" s="44" t="str">
        <f ca="1">IFERROR(__xludf.DUMMYFUNCTION("IFERROR(VLOOKUP(E763&amp;F763,IMPORTRANGE(""https://docs.google.com/spreadsheets/d/1Uw7-A9f9R21vMXxHZFNpYNeKFtG8_yji4HS352LGlSQ/edit?pli=1#gid=0"",""1_ACUM!A4:S""),19,FALSE))"),"")</f>
        <v/>
      </c>
      <c r="BG497" s="98" t="str">
        <f ca="1">IFERROR(__xludf.DUMMYFUNCTION("IFERROR(VLOOKUP(F763,IMPORTRANGE(""https://docs.google.com/spreadsheets/d/1Kvs4KS76FHFqLFIZfrDMff4kP08nblUkihrxltoGBjg/edit#gid=934712705"",""ESENCIAL!A6:BG""),5,FALSE))"),"")</f>
        <v/>
      </c>
      <c r="BH497" s="98" t="str">
        <f t="shared" si="21"/>
        <v/>
      </c>
      <c r="BI497" s="99" t="str">
        <f t="shared" si="22"/>
        <v/>
      </c>
      <c r="BJ497" s="100" t="str">
        <f ca="1">IFERROR(__xludf.DUMMYFUNCTION("IFERROR(VLOOKUP(F763,IMPORTRANGE(""https://docs.google.com/spreadsheets/d/1Kvs4KS76FHFqLFIZfrDMff4kP08nblUkihrxltoGBjg/edit#gid=934712705"",""ESENCIAL!A6:BG""),2,FALSE))"),"")</f>
        <v/>
      </c>
      <c r="BK497" s="19" t="str">
        <f t="shared" si="23"/>
        <v/>
      </c>
      <c r="BL497" s="100"/>
      <c r="BM497" s="100"/>
    </row>
    <row r="498" spans="2:65" ht="15">
      <c r="B498" s="39"/>
      <c r="C498" s="5"/>
      <c r="D498" s="123"/>
      <c r="E498" s="39"/>
      <c r="F498" s="39"/>
      <c r="G498" s="39"/>
      <c r="H498" s="5" t="str">
        <f ca="1">IFERROR(__xludf.DUMMYFUNCTION("IFERROR(VLOOKUP(F764,IMPORTRANGE(""https://docs.google.com/spreadsheets/d/1Kvs4KS76FHFqLFIZfrDMff4kP08nblUkihrxltoGBjg/edit#gid=934712705"",""ESENCIAL!A6:BG""),3,FALSE))"),"")</f>
        <v/>
      </c>
      <c r="I498" s="5" t="str">
        <f ca="1">IFERROR(__xludf.DUMMYFUNCTION("IFERROR(VLOOKUP(F764,IMPORTRANGE(""https://docs.google.com/spreadsheets/d/1Kvs4KS76FHFqLFIZfrDMff4kP08nblUkihrxltoGBjg/edit#gid=934712705"",""ESENCIAL!A6:BG""),8,FALSE))"),"")</f>
        <v/>
      </c>
      <c r="J498" s="39"/>
      <c r="M498" s="40"/>
      <c r="AV498" s="41" t="str">
        <f t="shared" si="20"/>
        <v/>
      </c>
      <c r="AW498" s="5" t="str">
        <f ca="1">IFERROR(__xludf.DUMMYFUNCTION("IFERROR(VLOOKUP(E764&amp;F764,IMPORTRANGE(""https://docs.google.com/spreadsheets/d/1Uw7-A9f9R21vMXxHZFNpYNeKFtG8_yji4HS352LGlSQ/edit?pli=1#gid=0"",""1_ACUM!A4:S""),11,FALSE))"),"")</f>
        <v/>
      </c>
      <c r="AX498" s="42" t="str">
        <f ca="1">IFERROR(__xludf.DUMMYFUNCTION("IFERROR(VLOOKUP(F764,IMPORTRANGE(""https://docs.google.com/spreadsheets/d/1Kvs4KS76FHFqLFIZfrDMff4kP08nblUkihrxltoGBjg/edit#gid=934712705"",""ESENCIAL!A6:BG""),15,FALSE))"),"")</f>
        <v/>
      </c>
      <c r="AY498" s="110" t="str">
        <f ca="1">IFERROR(__xludf.DUMMYFUNCTION("IFERROR(VLOOKUP(E764&amp;F764,IMPORTRANGE(""https://docs.google.com/spreadsheets/d/1Uw7-A9f9R21vMXxHZFNpYNeKFtG8_yji4HS352LGlSQ/edit?pli=1#gid=0"",""1_ACUM!A4:S""),13,FALSE))"),"")</f>
        <v/>
      </c>
      <c r="AZ498" s="43" t="str">
        <f ca="1">IFERROR(__xludf.DUMMYFUNCTION("IFERROR(VLOOKUP(E764&amp;F764,IMPORTRANGE(""https://docs.google.com/spreadsheets/d/1Uw7-A9f9R21vMXxHZFNpYNeKFtG8_yji4HS352LGlSQ/edit?pli=1#gid=0"",""1_ACUM!A4:S""),13,FALSE))"),"")</f>
        <v/>
      </c>
      <c r="BA498" s="43" t="str">
        <f ca="1">IFERROR(__xludf.DUMMYFUNCTION("IFERROR(VLOOKUP(E764&amp;F764,IMPORTRANGE(""https://docs.google.com/spreadsheets/d/1Uw7-A9f9R21vMXxHZFNpYNeKFtG8_yji4HS352LGlSQ/edit?pli=1#gid=0"",""1_ACUM!A4:S""),14,FALSE))"),"")</f>
        <v/>
      </c>
      <c r="BB498" s="43" t="str">
        <f ca="1">IFERROR(__xludf.DUMMYFUNCTION("IFERROR(VLOOKUP(E764&amp;F764,IMPORTRANGE(""https://docs.google.com/spreadsheets/d/1Uw7-A9f9R21vMXxHZFNpYNeKFtG8_yji4HS352LGlSQ/edit?pli=1#gid=0"",""1_ACUM!A4:S""),15,FALSE))"),"")</f>
        <v/>
      </c>
      <c r="BC498" s="43" t="str">
        <f ca="1">IFERROR(__xludf.DUMMYFUNCTION("IFERROR(VLOOKUP(E764&amp;F764,IMPORTRANGE(""https://docs.google.com/spreadsheets/d/1Uw7-A9f9R21vMXxHZFNpYNeKFtG8_yji4HS352LGlSQ/edit?pli=1#gid=0"",""1_ACUM!A4:S""),16,FALSE))"),"")</f>
        <v/>
      </c>
      <c r="BD498" s="43" t="str">
        <f ca="1">IFERROR(__xludf.DUMMYFUNCTION("IFERROR(VLOOKUP(E764&amp;F764,IMPORTRANGE(""https://docs.google.com/spreadsheets/d/1Uw7-A9f9R21vMXxHZFNpYNeKFtG8_yji4HS352LGlSQ/edit?pli=1#gid=0"",""1_ACUM!A4:S""),17,FALSE))"),"")</f>
        <v/>
      </c>
      <c r="BE498" s="44" t="str">
        <f ca="1">IFERROR(__xludf.DUMMYFUNCTION("IFERROR(VLOOKUP(E764&amp;F764,IMPORTRANGE(""https://docs.google.com/spreadsheets/d/1Uw7-A9f9R21vMXxHZFNpYNeKFtG8_yji4HS352LGlSQ/edit?pli=1#gid=0"",""1_ACUM!A4:S""),18,FALSE))"),"")</f>
        <v/>
      </c>
      <c r="BF498" s="44" t="str">
        <f ca="1">IFERROR(__xludf.DUMMYFUNCTION("IFERROR(VLOOKUP(E764&amp;F764,IMPORTRANGE(""https://docs.google.com/spreadsheets/d/1Uw7-A9f9R21vMXxHZFNpYNeKFtG8_yji4HS352LGlSQ/edit?pli=1#gid=0"",""1_ACUM!A4:S""),19,FALSE))"),"")</f>
        <v/>
      </c>
      <c r="BG498" s="98" t="str">
        <f ca="1">IFERROR(__xludf.DUMMYFUNCTION("IFERROR(VLOOKUP(F764,IMPORTRANGE(""https://docs.google.com/spreadsheets/d/1Kvs4KS76FHFqLFIZfrDMff4kP08nblUkihrxltoGBjg/edit#gid=934712705"",""ESENCIAL!A6:BG""),5,FALSE))"),"")</f>
        <v/>
      </c>
      <c r="BH498" s="98" t="str">
        <f t="shared" si="21"/>
        <v/>
      </c>
      <c r="BI498" s="99" t="str">
        <f t="shared" si="22"/>
        <v/>
      </c>
      <c r="BJ498" s="100" t="str">
        <f ca="1">IFERROR(__xludf.DUMMYFUNCTION("IFERROR(VLOOKUP(F764,IMPORTRANGE(""https://docs.google.com/spreadsheets/d/1Kvs4KS76FHFqLFIZfrDMff4kP08nblUkihrxltoGBjg/edit#gid=934712705"",""ESENCIAL!A6:BG""),2,FALSE))"),"")</f>
        <v/>
      </c>
      <c r="BK498" s="19" t="str">
        <f t="shared" si="23"/>
        <v/>
      </c>
      <c r="BL498" s="100"/>
      <c r="BM498" s="100"/>
    </row>
    <row r="499" spans="2:65" ht="15">
      <c r="B499" s="39"/>
      <c r="C499" s="5"/>
      <c r="D499" s="123"/>
      <c r="E499" s="39"/>
      <c r="F499" s="39"/>
      <c r="G499" s="39"/>
      <c r="H499" s="5" t="str">
        <f ca="1">IFERROR(__xludf.DUMMYFUNCTION("IFERROR(VLOOKUP(F765,IMPORTRANGE(""https://docs.google.com/spreadsheets/d/1Kvs4KS76FHFqLFIZfrDMff4kP08nblUkihrxltoGBjg/edit#gid=934712705"",""ESENCIAL!A6:BG""),3,FALSE))"),"")</f>
        <v/>
      </c>
      <c r="I499" s="5" t="str">
        <f ca="1">IFERROR(__xludf.DUMMYFUNCTION("IFERROR(VLOOKUP(F765,IMPORTRANGE(""https://docs.google.com/spreadsheets/d/1Kvs4KS76FHFqLFIZfrDMff4kP08nblUkihrxltoGBjg/edit#gid=934712705"",""ESENCIAL!A6:BG""),8,FALSE))"),"")</f>
        <v/>
      </c>
      <c r="J499" s="39"/>
      <c r="M499" s="40"/>
      <c r="AV499" s="41" t="str">
        <f t="shared" si="20"/>
        <v/>
      </c>
      <c r="AW499" s="5" t="str">
        <f ca="1">IFERROR(__xludf.DUMMYFUNCTION("IFERROR(VLOOKUP(E765&amp;F765,IMPORTRANGE(""https://docs.google.com/spreadsheets/d/1Uw7-A9f9R21vMXxHZFNpYNeKFtG8_yji4HS352LGlSQ/edit?pli=1#gid=0"",""1_ACUM!A4:S""),11,FALSE))"),"")</f>
        <v/>
      </c>
      <c r="AX499" s="42" t="str">
        <f ca="1">IFERROR(__xludf.DUMMYFUNCTION("IFERROR(VLOOKUP(F765,IMPORTRANGE(""https://docs.google.com/spreadsheets/d/1Kvs4KS76FHFqLFIZfrDMff4kP08nblUkihrxltoGBjg/edit#gid=934712705"",""ESENCIAL!A6:BG""),15,FALSE))"),"")</f>
        <v/>
      </c>
      <c r="AY499" s="110" t="str">
        <f ca="1">IFERROR(__xludf.DUMMYFUNCTION("IFERROR(VLOOKUP(E765&amp;F765,IMPORTRANGE(""https://docs.google.com/spreadsheets/d/1Uw7-A9f9R21vMXxHZFNpYNeKFtG8_yji4HS352LGlSQ/edit?pli=1#gid=0"",""1_ACUM!A4:S""),13,FALSE))"),"")</f>
        <v/>
      </c>
      <c r="AZ499" s="43" t="str">
        <f ca="1">IFERROR(__xludf.DUMMYFUNCTION("IFERROR(VLOOKUP(E765&amp;F765,IMPORTRANGE(""https://docs.google.com/spreadsheets/d/1Uw7-A9f9R21vMXxHZFNpYNeKFtG8_yji4HS352LGlSQ/edit?pli=1#gid=0"",""1_ACUM!A4:S""),13,FALSE))"),"")</f>
        <v/>
      </c>
      <c r="BA499" s="43" t="str">
        <f ca="1">IFERROR(__xludf.DUMMYFUNCTION("IFERROR(VLOOKUP(E765&amp;F765,IMPORTRANGE(""https://docs.google.com/spreadsheets/d/1Uw7-A9f9R21vMXxHZFNpYNeKFtG8_yji4HS352LGlSQ/edit?pli=1#gid=0"",""1_ACUM!A4:S""),14,FALSE))"),"")</f>
        <v/>
      </c>
      <c r="BB499" s="43" t="str">
        <f ca="1">IFERROR(__xludf.DUMMYFUNCTION("IFERROR(VLOOKUP(E765&amp;F765,IMPORTRANGE(""https://docs.google.com/spreadsheets/d/1Uw7-A9f9R21vMXxHZFNpYNeKFtG8_yji4HS352LGlSQ/edit?pli=1#gid=0"",""1_ACUM!A4:S""),15,FALSE))"),"")</f>
        <v/>
      </c>
      <c r="BC499" s="43" t="str">
        <f ca="1">IFERROR(__xludf.DUMMYFUNCTION("IFERROR(VLOOKUP(E765&amp;F765,IMPORTRANGE(""https://docs.google.com/spreadsheets/d/1Uw7-A9f9R21vMXxHZFNpYNeKFtG8_yji4HS352LGlSQ/edit?pli=1#gid=0"",""1_ACUM!A4:S""),16,FALSE))"),"")</f>
        <v/>
      </c>
      <c r="BD499" s="43" t="str">
        <f ca="1">IFERROR(__xludf.DUMMYFUNCTION("IFERROR(VLOOKUP(E765&amp;F765,IMPORTRANGE(""https://docs.google.com/spreadsheets/d/1Uw7-A9f9R21vMXxHZFNpYNeKFtG8_yji4HS352LGlSQ/edit?pli=1#gid=0"",""1_ACUM!A4:S""),17,FALSE))"),"")</f>
        <v/>
      </c>
      <c r="BE499" s="44" t="str">
        <f ca="1">IFERROR(__xludf.DUMMYFUNCTION("IFERROR(VLOOKUP(E765&amp;F765,IMPORTRANGE(""https://docs.google.com/spreadsheets/d/1Uw7-A9f9R21vMXxHZFNpYNeKFtG8_yji4HS352LGlSQ/edit?pli=1#gid=0"",""1_ACUM!A4:S""),18,FALSE))"),"")</f>
        <v/>
      </c>
      <c r="BF499" s="44" t="str">
        <f ca="1">IFERROR(__xludf.DUMMYFUNCTION("IFERROR(VLOOKUP(E765&amp;F765,IMPORTRANGE(""https://docs.google.com/spreadsheets/d/1Uw7-A9f9R21vMXxHZFNpYNeKFtG8_yji4HS352LGlSQ/edit?pli=1#gid=0"",""1_ACUM!A4:S""),19,FALSE))"),"")</f>
        <v/>
      </c>
      <c r="BG499" s="98" t="str">
        <f ca="1">IFERROR(__xludf.DUMMYFUNCTION("IFERROR(VLOOKUP(F765,IMPORTRANGE(""https://docs.google.com/spreadsheets/d/1Kvs4KS76FHFqLFIZfrDMff4kP08nblUkihrxltoGBjg/edit#gid=934712705"",""ESENCIAL!A6:BG""),5,FALSE))"),"")</f>
        <v/>
      </c>
      <c r="BH499" s="98" t="str">
        <f t="shared" si="21"/>
        <v/>
      </c>
      <c r="BI499" s="99" t="str">
        <f t="shared" si="22"/>
        <v/>
      </c>
      <c r="BJ499" s="100" t="str">
        <f ca="1">IFERROR(__xludf.DUMMYFUNCTION("IFERROR(VLOOKUP(F765,IMPORTRANGE(""https://docs.google.com/spreadsheets/d/1Kvs4KS76FHFqLFIZfrDMff4kP08nblUkihrxltoGBjg/edit#gid=934712705"",""ESENCIAL!A6:BG""),2,FALSE))"),"")</f>
        <v/>
      </c>
      <c r="BK499" s="19" t="str">
        <f t="shared" si="23"/>
        <v/>
      </c>
      <c r="BL499" s="100"/>
      <c r="BM499" s="100"/>
    </row>
    <row r="500" spans="2:65" ht="15">
      <c r="B500" s="39"/>
      <c r="C500" s="5"/>
      <c r="D500" s="123"/>
      <c r="E500" s="39"/>
      <c r="F500" s="39"/>
      <c r="G500" s="39"/>
      <c r="H500" s="5" t="str">
        <f ca="1">IFERROR(__xludf.DUMMYFUNCTION("IFERROR(VLOOKUP(F766,IMPORTRANGE(""https://docs.google.com/spreadsheets/d/1Kvs4KS76FHFqLFIZfrDMff4kP08nblUkihrxltoGBjg/edit#gid=934712705"",""ESENCIAL!A6:BG""),3,FALSE))"),"")</f>
        <v/>
      </c>
      <c r="I500" s="5" t="str">
        <f ca="1">IFERROR(__xludf.DUMMYFUNCTION("IFERROR(VLOOKUP(F766,IMPORTRANGE(""https://docs.google.com/spreadsheets/d/1Kvs4KS76FHFqLFIZfrDMff4kP08nblUkihrxltoGBjg/edit#gid=934712705"",""ESENCIAL!A6:BG""),8,FALSE))"),"")</f>
        <v/>
      </c>
      <c r="J500" s="39"/>
      <c r="M500" s="40"/>
      <c r="AV500" s="41" t="str">
        <f t="shared" si="20"/>
        <v/>
      </c>
      <c r="AW500" s="5" t="str">
        <f ca="1">IFERROR(__xludf.DUMMYFUNCTION("IFERROR(VLOOKUP(E766&amp;F766,IMPORTRANGE(""https://docs.google.com/spreadsheets/d/1Uw7-A9f9R21vMXxHZFNpYNeKFtG8_yji4HS352LGlSQ/edit?pli=1#gid=0"",""1_ACUM!A4:S""),11,FALSE))"),"")</f>
        <v/>
      </c>
      <c r="AX500" s="42" t="str">
        <f ca="1">IFERROR(__xludf.DUMMYFUNCTION("IFERROR(VLOOKUP(F766,IMPORTRANGE(""https://docs.google.com/spreadsheets/d/1Kvs4KS76FHFqLFIZfrDMff4kP08nblUkihrxltoGBjg/edit#gid=934712705"",""ESENCIAL!A6:BG""),15,FALSE))"),"")</f>
        <v/>
      </c>
      <c r="AY500" s="110" t="str">
        <f ca="1">IFERROR(__xludf.DUMMYFUNCTION("IFERROR(VLOOKUP(E766&amp;F766,IMPORTRANGE(""https://docs.google.com/spreadsheets/d/1Uw7-A9f9R21vMXxHZFNpYNeKFtG8_yji4HS352LGlSQ/edit?pli=1#gid=0"",""1_ACUM!A4:S""),13,FALSE))"),"")</f>
        <v/>
      </c>
      <c r="AZ500" s="43" t="str">
        <f ca="1">IFERROR(__xludf.DUMMYFUNCTION("IFERROR(VLOOKUP(E766&amp;F766,IMPORTRANGE(""https://docs.google.com/spreadsheets/d/1Uw7-A9f9R21vMXxHZFNpYNeKFtG8_yji4HS352LGlSQ/edit?pli=1#gid=0"",""1_ACUM!A4:S""),13,FALSE))"),"")</f>
        <v/>
      </c>
      <c r="BA500" s="43" t="str">
        <f ca="1">IFERROR(__xludf.DUMMYFUNCTION("IFERROR(VLOOKUP(E766&amp;F766,IMPORTRANGE(""https://docs.google.com/spreadsheets/d/1Uw7-A9f9R21vMXxHZFNpYNeKFtG8_yji4HS352LGlSQ/edit?pli=1#gid=0"",""1_ACUM!A4:S""),14,FALSE))"),"")</f>
        <v/>
      </c>
      <c r="BB500" s="43" t="str">
        <f ca="1">IFERROR(__xludf.DUMMYFUNCTION("IFERROR(VLOOKUP(E766&amp;F766,IMPORTRANGE(""https://docs.google.com/spreadsheets/d/1Uw7-A9f9R21vMXxHZFNpYNeKFtG8_yji4HS352LGlSQ/edit?pli=1#gid=0"",""1_ACUM!A4:S""),15,FALSE))"),"")</f>
        <v/>
      </c>
      <c r="BC500" s="43" t="str">
        <f ca="1">IFERROR(__xludf.DUMMYFUNCTION("IFERROR(VLOOKUP(E766&amp;F766,IMPORTRANGE(""https://docs.google.com/spreadsheets/d/1Uw7-A9f9R21vMXxHZFNpYNeKFtG8_yji4HS352LGlSQ/edit?pli=1#gid=0"",""1_ACUM!A4:S""),16,FALSE))"),"")</f>
        <v/>
      </c>
      <c r="BD500" s="43" t="str">
        <f ca="1">IFERROR(__xludf.DUMMYFUNCTION("IFERROR(VLOOKUP(E766&amp;F766,IMPORTRANGE(""https://docs.google.com/spreadsheets/d/1Uw7-A9f9R21vMXxHZFNpYNeKFtG8_yji4HS352LGlSQ/edit?pli=1#gid=0"",""1_ACUM!A4:S""),17,FALSE))"),"")</f>
        <v/>
      </c>
      <c r="BE500" s="44" t="str">
        <f ca="1">IFERROR(__xludf.DUMMYFUNCTION("IFERROR(VLOOKUP(E766&amp;F766,IMPORTRANGE(""https://docs.google.com/spreadsheets/d/1Uw7-A9f9R21vMXxHZFNpYNeKFtG8_yji4HS352LGlSQ/edit?pli=1#gid=0"",""1_ACUM!A4:S""),18,FALSE))"),"")</f>
        <v/>
      </c>
      <c r="BF500" s="44" t="str">
        <f ca="1">IFERROR(__xludf.DUMMYFUNCTION("IFERROR(VLOOKUP(E766&amp;F766,IMPORTRANGE(""https://docs.google.com/spreadsheets/d/1Uw7-A9f9R21vMXxHZFNpYNeKFtG8_yji4HS352LGlSQ/edit?pli=1#gid=0"",""1_ACUM!A4:S""),19,FALSE))"),"")</f>
        <v/>
      </c>
      <c r="BG500" s="98" t="str">
        <f ca="1">IFERROR(__xludf.DUMMYFUNCTION("IFERROR(VLOOKUP(F766,IMPORTRANGE(""https://docs.google.com/spreadsheets/d/1Kvs4KS76FHFqLFIZfrDMff4kP08nblUkihrxltoGBjg/edit#gid=934712705"",""ESENCIAL!A6:BG""),5,FALSE))"),"")</f>
        <v/>
      </c>
      <c r="BH500" s="98" t="str">
        <f t="shared" si="21"/>
        <v/>
      </c>
      <c r="BI500" s="99" t="str">
        <f t="shared" si="22"/>
        <v/>
      </c>
      <c r="BJ500" s="100" t="str">
        <f ca="1">IFERROR(__xludf.DUMMYFUNCTION("IFERROR(VLOOKUP(F766,IMPORTRANGE(""https://docs.google.com/spreadsheets/d/1Kvs4KS76FHFqLFIZfrDMff4kP08nblUkihrxltoGBjg/edit#gid=934712705"",""ESENCIAL!A6:BG""),2,FALSE))"),"")</f>
        <v/>
      </c>
      <c r="BK500" s="19" t="str">
        <f t="shared" si="23"/>
        <v/>
      </c>
      <c r="BL500" s="100"/>
      <c r="BM500" s="100"/>
    </row>
    <row r="501" spans="2:65" ht="15">
      <c r="B501" s="39"/>
      <c r="C501" s="5"/>
      <c r="D501" s="123"/>
      <c r="E501" s="39"/>
      <c r="F501" s="39"/>
      <c r="G501" s="39"/>
      <c r="H501" s="5" t="str">
        <f ca="1">IFERROR(__xludf.DUMMYFUNCTION("IFERROR(VLOOKUP(F767,IMPORTRANGE(""https://docs.google.com/spreadsheets/d/1Kvs4KS76FHFqLFIZfrDMff4kP08nblUkihrxltoGBjg/edit#gid=934712705"",""ESENCIAL!A6:BG""),3,FALSE))"),"")</f>
        <v/>
      </c>
      <c r="I501" s="5" t="str">
        <f ca="1">IFERROR(__xludf.DUMMYFUNCTION("IFERROR(VLOOKUP(F767,IMPORTRANGE(""https://docs.google.com/spreadsheets/d/1Kvs4KS76FHFqLFIZfrDMff4kP08nblUkihrxltoGBjg/edit#gid=934712705"",""ESENCIAL!A6:BG""),8,FALSE))"),"")</f>
        <v/>
      </c>
      <c r="J501" s="39"/>
      <c r="M501" s="40"/>
      <c r="AV501" s="41" t="str">
        <f t="shared" si="20"/>
        <v/>
      </c>
      <c r="AW501" s="5" t="str">
        <f ca="1">IFERROR(__xludf.DUMMYFUNCTION("IFERROR(VLOOKUP(E767&amp;F767,IMPORTRANGE(""https://docs.google.com/spreadsheets/d/1Uw7-A9f9R21vMXxHZFNpYNeKFtG8_yji4HS352LGlSQ/edit?pli=1#gid=0"",""1_ACUM!A4:S""),11,FALSE))"),"")</f>
        <v/>
      </c>
      <c r="AX501" s="42" t="str">
        <f ca="1">IFERROR(__xludf.DUMMYFUNCTION("IFERROR(VLOOKUP(F767,IMPORTRANGE(""https://docs.google.com/spreadsheets/d/1Kvs4KS76FHFqLFIZfrDMff4kP08nblUkihrxltoGBjg/edit#gid=934712705"",""ESENCIAL!A6:BG""),15,FALSE))"),"")</f>
        <v/>
      </c>
      <c r="AY501" s="110" t="str">
        <f ca="1">IFERROR(__xludf.DUMMYFUNCTION("IFERROR(VLOOKUP(E767&amp;F767,IMPORTRANGE(""https://docs.google.com/spreadsheets/d/1Uw7-A9f9R21vMXxHZFNpYNeKFtG8_yji4HS352LGlSQ/edit?pli=1#gid=0"",""1_ACUM!A4:S""),13,FALSE))"),"")</f>
        <v/>
      </c>
      <c r="AZ501" s="43" t="str">
        <f ca="1">IFERROR(__xludf.DUMMYFUNCTION("IFERROR(VLOOKUP(E767&amp;F767,IMPORTRANGE(""https://docs.google.com/spreadsheets/d/1Uw7-A9f9R21vMXxHZFNpYNeKFtG8_yji4HS352LGlSQ/edit?pli=1#gid=0"",""1_ACUM!A4:S""),13,FALSE))"),"")</f>
        <v/>
      </c>
      <c r="BA501" s="43" t="str">
        <f ca="1">IFERROR(__xludf.DUMMYFUNCTION("IFERROR(VLOOKUP(E767&amp;F767,IMPORTRANGE(""https://docs.google.com/spreadsheets/d/1Uw7-A9f9R21vMXxHZFNpYNeKFtG8_yji4HS352LGlSQ/edit?pli=1#gid=0"",""1_ACUM!A4:S""),14,FALSE))"),"")</f>
        <v/>
      </c>
      <c r="BB501" s="43" t="str">
        <f ca="1">IFERROR(__xludf.DUMMYFUNCTION("IFERROR(VLOOKUP(E767&amp;F767,IMPORTRANGE(""https://docs.google.com/spreadsheets/d/1Uw7-A9f9R21vMXxHZFNpYNeKFtG8_yji4HS352LGlSQ/edit?pli=1#gid=0"",""1_ACUM!A4:S""),15,FALSE))"),"")</f>
        <v/>
      </c>
      <c r="BC501" s="43" t="str">
        <f ca="1">IFERROR(__xludf.DUMMYFUNCTION("IFERROR(VLOOKUP(E767&amp;F767,IMPORTRANGE(""https://docs.google.com/spreadsheets/d/1Uw7-A9f9R21vMXxHZFNpYNeKFtG8_yji4HS352LGlSQ/edit?pli=1#gid=0"",""1_ACUM!A4:S""),16,FALSE))"),"")</f>
        <v/>
      </c>
      <c r="BD501" s="43" t="str">
        <f ca="1">IFERROR(__xludf.DUMMYFUNCTION("IFERROR(VLOOKUP(E767&amp;F767,IMPORTRANGE(""https://docs.google.com/spreadsheets/d/1Uw7-A9f9R21vMXxHZFNpYNeKFtG8_yji4HS352LGlSQ/edit?pli=1#gid=0"",""1_ACUM!A4:S""),17,FALSE))"),"")</f>
        <v/>
      </c>
      <c r="BE501" s="44" t="str">
        <f ca="1">IFERROR(__xludf.DUMMYFUNCTION("IFERROR(VLOOKUP(E767&amp;F767,IMPORTRANGE(""https://docs.google.com/spreadsheets/d/1Uw7-A9f9R21vMXxHZFNpYNeKFtG8_yji4HS352LGlSQ/edit?pli=1#gid=0"",""1_ACUM!A4:S""),18,FALSE))"),"")</f>
        <v/>
      </c>
      <c r="BF501" s="44" t="str">
        <f ca="1">IFERROR(__xludf.DUMMYFUNCTION("IFERROR(VLOOKUP(E767&amp;F767,IMPORTRANGE(""https://docs.google.com/spreadsheets/d/1Uw7-A9f9R21vMXxHZFNpYNeKFtG8_yji4HS352LGlSQ/edit?pli=1#gid=0"",""1_ACUM!A4:S""),19,FALSE))"),"")</f>
        <v/>
      </c>
      <c r="BG501" s="98" t="str">
        <f ca="1">IFERROR(__xludf.DUMMYFUNCTION("IFERROR(VLOOKUP(F767,IMPORTRANGE(""https://docs.google.com/spreadsheets/d/1Kvs4KS76FHFqLFIZfrDMff4kP08nblUkihrxltoGBjg/edit#gid=934712705"",""ESENCIAL!A6:BG""),5,FALSE))"),"")</f>
        <v/>
      </c>
      <c r="BH501" s="98" t="str">
        <f t="shared" si="21"/>
        <v/>
      </c>
      <c r="BI501" s="99" t="str">
        <f t="shared" si="22"/>
        <v/>
      </c>
      <c r="BJ501" s="100" t="str">
        <f ca="1">IFERROR(__xludf.DUMMYFUNCTION("IFERROR(VLOOKUP(F767,IMPORTRANGE(""https://docs.google.com/spreadsheets/d/1Kvs4KS76FHFqLFIZfrDMff4kP08nblUkihrxltoGBjg/edit#gid=934712705"",""ESENCIAL!A6:BG""),2,FALSE))"),"")</f>
        <v/>
      </c>
      <c r="BK501" s="19" t="str">
        <f t="shared" si="23"/>
        <v/>
      </c>
      <c r="BL501" s="100"/>
      <c r="BM501" s="100"/>
    </row>
    <row r="502" spans="2:65" ht="15">
      <c r="B502" s="39"/>
      <c r="C502" s="5"/>
      <c r="D502" s="123"/>
      <c r="E502" s="39"/>
      <c r="F502" s="39"/>
      <c r="G502" s="39"/>
      <c r="H502" s="5" t="str">
        <f ca="1">IFERROR(__xludf.DUMMYFUNCTION("IFERROR(VLOOKUP(F768,IMPORTRANGE(""https://docs.google.com/spreadsheets/d/1Kvs4KS76FHFqLFIZfrDMff4kP08nblUkihrxltoGBjg/edit#gid=934712705"",""ESENCIAL!A6:BG""),3,FALSE))"),"")</f>
        <v/>
      </c>
      <c r="I502" s="5" t="str">
        <f ca="1">IFERROR(__xludf.DUMMYFUNCTION("IFERROR(VLOOKUP(F768,IMPORTRANGE(""https://docs.google.com/spreadsheets/d/1Kvs4KS76FHFqLFIZfrDMff4kP08nblUkihrxltoGBjg/edit#gid=934712705"",""ESENCIAL!A6:BG""),8,FALSE))"),"")</f>
        <v/>
      </c>
      <c r="J502" s="39"/>
      <c r="M502" s="40"/>
      <c r="AV502" s="41" t="str">
        <f t="shared" ref="AV502:AV636" si="24">IF(F502&gt;0,IF(AND(BD502=1,BA502=1),"Procede_E_P","NO_CUMPLE"),"")</f>
        <v/>
      </c>
      <c r="AW502" s="5" t="str">
        <f ca="1">IFERROR(__xludf.DUMMYFUNCTION("IFERROR(VLOOKUP(E768&amp;F768,IMPORTRANGE(""https://docs.google.com/spreadsheets/d/1Uw7-A9f9R21vMXxHZFNpYNeKFtG8_yji4HS352LGlSQ/edit?pli=1#gid=0"",""1_ACUM!A4:S""),11,FALSE))"),"")</f>
        <v/>
      </c>
      <c r="AX502" s="42" t="str">
        <f ca="1">IFERROR(__xludf.DUMMYFUNCTION("IFERROR(VLOOKUP(F768,IMPORTRANGE(""https://docs.google.com/spreadsheets/d/1Kvs4KS76FHFqLFIZfrDMff4kP08nblUkihrxltoGBjg/edit#gid=934712705"",""ESENCIAL!A6:BG""),15,FALSE))"),"")</f>
        <v/>
      </c>
      <c r="AY502" s="110" t="str">
        <f ca="1">IFERROR(__xludf.DUMMYFUNCTION("IFERROR(VLOOKUP(E768&amp;F768,IMPORTRANGE(""https://docs.google.com/spreadsheets/d/1Uw7-A9f9R21vMXxHZFNpYNeKFtG8_yji4HS352LGlSQ/edit?pli=1#gid=0"",""1_ACUM!A4:S""),13,FALSE))"),"")</f>
        <v/>
      </c>
      <c r="AZ502" s="43" t="str">
        <f ca="1">IFERROR(__xludf.DUMMYFUNCTION("IFERROR(VLOOKUP(E768&amp;F768,IMPORTRANGE(""https://docs.google.com/spreadsheets/d/1Uw7-A9f9R21vMXxHZFNpYNeKFtG8_yji4HS352LGlSQ/edit?pli=1#gid=0"",""1_ACUM!A4:S""),13,FALSE))"),"")</f>
        <v/>
      </c>
      <c r="BA502" s="43" t="str">
        <f ca="1">IFERROR(__xludf.DUMMYFUNCTION("IFERROR(VLOOKUP(E768&amp;F768,IMPORTRANGE(""https://docs.google.com/spreadsheets/d/1Uw7-A9f9R21vMXxHZFNpYNeKFtG8_yji4HS352LGlSQ/edit?pli=1#gid=0"",""1_ACUM!A4:S""),14,FALSE))"),"")</f>
        <v/>
      </c>
      <c r="BB502" s="43" t="str">
        <f ca="1">IFERROR(__xludf.DUMMYFUNCTION("IFERROR(VLOOKUP(E768&amp;F768,IMPORTRANGE(""https://docs.google.com/spreadsheets/d/1Uw7-A9f9R21vMXxHZFNpYNeKFtG8_yji4HS352LGlSQ/edit?pli=1#gid=0"",""1_ACUM!A4:S""),15,FALSE))"),"")</f>
        <v/>
      </c>
      <c r="BC502" s="43" t="str">
        <f ca="1">IFERROR(__xludf.DUMMYFUNCTION("IFERROR(VLOOKUP(E768&amp;F768,IMPORTRANGE(""https://docs.google.com/spreadsheets/d/1Uw7-A9f9R21vMXxHZFNpYNeKFtG8_yji4HS352LGlSQ/edit?pli=1#gid=0"",""1_ACUM!A4:S""),16,FALSE))"),"")</f>
        <v/>
      </c>
      <c r="BD502" s="43" t="str">
        <f ca="1">IFERROR(__xludf.DUMMYFUNCTION("IFERROR(VLOOKUP(E768&amp;F768,IMPORTRANGE(""https://docs.google.com/spreadsheets/d/1Uw7-A9f9R21vMXxHZFNpYNeKFtG8_yji4HS352LGlSQ/edit?pli=1#gid=0"",""1_ACUM!A4:S""),17,FALSE))"),"")</f>
        <v/>
      </c>
      <c r="BE502" s="44" t="str">
        <f ca="1">IFERROR(__xludf.DUMMYFUNCTION("IFERROR(VLOOKUP(E768&amp;F768,IMPORTRANGE(""https://docs.google.com/spreadsheets/d/1Uw7-A9f9R21vMXxHZFNpYNeKFtG8_yji4HS352LGlSQ/edit?pli=1#gid=0"",""1_ACUM!A4:S""),18,FALSE))"),"")</f>
        <v/>
      </c>
      <c r="BF502" s="44" t="str">
        <f ca="1">IFERROR(__xludf.DUMMYFUNCTION("IFERROR(VLOOKUP(E768&amp;F768,IMPORTRANGE(""https://docs.google.com/spreadsheets/d/1Uw7-A9f9R21vMXxHZFNpYNeKFtG8_yji4HS352LGlSQ/edit?pli=1#gid=0"",""1_ACUM!A4:S""),19,FALSE))"),"")</f>
        <v/>
      </c>
      <c r="BG502" s="98" t="str">
        <f ca="1">IFERROR(__xludf.DUMMYFUNCTION("IFERROR(VLOOKUP(F768,IMPORTRANGE(""https://docs.google.com/spreadsheets/d/1Kvs4KS76FHFqLFIZfrDMff4kP08nblUkihrxltoGBjg/edit#gid=934712705"",""ESENCIAL!A6:BG""),5,FALSE))"),"")</f>
        <v/>
      </c>
      <c r="BH502" s="98" t="str">
        <f t="shared" ref="BH502:BH636" si="25">IF(G502&gt;0,EDATE(BG502,18),"")</f>
        <v/>
      </c>
      <c r="BI502" s="99" t="str">
        <f t="shared" ref="BI502:BI636" si="26">IF(G502&gt;0,IF(BH502&lt;$BI$1,"FINALIZAR FICHA","FICHA EN TIEMPO-18 MESES"),"")</f>
        <v/>
      </c>
      <c r="BJ502" s="100" t="str">
        <f ca="1">IFERROR(__xludf.DUMMYFUNCTION("IFERROR(VLOOKUP(F768,IMPORTRANGE(""https://docs.google.com/spreadsheets/d/1Kvs4KS76FHFqLFIZfrDMff4kP08nblUkihrxltoGBjg/edit#gid=934712705"",""ESENCIAL!A6:BG""),2,FALSE))"),"")</f>
        <v/>
      </c>
      <c r="BK502" s="19" t="str">
        <f t="shared" ref="BK502:BK636" si="27">IF(G502&gt;0,"Yamboro","")</f>
        <v/>
      </c>
      <c r="BL502" s="100"/>
      <c r="BM502" s="100"/>
    </row>
    <row r="503" spans="2:65" ht="15">
      <c r="B503" s="39"/>
      <c r="C503" s="5"/>
      <c r="D503" s="123"/>
      <c r="E503" s="39"/>
      <c r="F503" s="39"/>
      <c r="G503" s="39"/>
      <c r="H503" s="5" t="str">
        <f ca="1">IFERROR(__xludf.DUMMYFUNCTION("IFERROR(VLOOKUP(F769,IMPORTRANGE(""https://docs.google.com/spreadsheets/d/1Kvs4KS76FHFqLFIZfrDMff4kP08nblUkihrxltoGBjg/edit#gid=934712705"",""ESENCIAL!A6:BG""),3,FALSE))"),"")</f>
        <v/>
      </c>
      <c r="I503" s="5" t="str">
        <f ca="1">IFERROR(__xludf.DUMMYFUNCTION("IFERROR(VLOOKUP(F769,IMPORTRANGE(""https://docs.google.com/spreadsheets/d/1Kvs4KS76FHFqLFIZfrDMff4kP08nblUkihrxltoGBjg/edit#gid=934712705"",""ESENCIAL!A6:BG""),8,FALSE))"),"")</f>
        <v/>
      </c>
      <c r="J503" s="39"/>
      <c r="M503" s="40"/>
      <c r="AV503" s="41" t="str">
        <f t="shared" si="24"/>
        <v/>
      </c>
      <c r="AW503" s="5" t="str">
        <f ca="1">IFERROR(__xludf.DUMMYFUNCTION("IFERROR(VLOOKUP(E769&amp;F769,IMPORTRANGE(""https://docs.google.com/spreadsheets/d/1Uw7-A9f9R21vMXxHZFNpYNeKFtG8_yji4HS352LGlSQ/edit?pli=1#gid=0"",""1_ACUM!A4:S""),11,FALSE))"),"")</f>
        <v/>
      </c>
      <c r="AX503" s="42" t="str">
        <f ca="1">IFERROR(__xludf.DUMMYFUNCTION("IFERROR(VLOOKUP(F769,IMPORTRANGE(""https://docs.google.com/spreadsheets/d/1Kvs4KS76FHFqLFIZfrDMff4kP08nblUkihrxltoGBjg/edit#gid=934712705"",""ESENCIAL!A6:BG""),15,FALSE))"),"")</f>
        <v/>
      </c>
      <c r="AY503" s="110" t="str">
        <f ca="1">IFERROR(__xludf.DUMMYFUNCTION("IFERROR(VLOOKUP(E769&amp;F769,IMPORTRANGE(""https://docs.google.com/spreadsheets/d/1Uw7-A9f9R21vMXxHZFNpYNeKFtG8_yji4HS352LGlSQ/edit?pli=1#gid=0"",""1_ACUM!A4:S""),13,FALSE))"),"")</f>
        <v/>
      </c>
      <c r="AZ503" s="43" t="str">
        <f ca="1">IFERROR(__xludf.DUMMYFUNCTION("IFERROR(VLOOKUP(E769&amp;F769,IMPORTRANGE(""https://docs.google.com/spreadsheets/d/1Uw7-A9f9R21vMXxHZFNpYNeKFtG8_yji4HS352LGlSQ/edit?pli=1#gid=0"",""1_ACUM!A4:S""),13,FALSE))"),"")</f>
        <v/>
      </c>
      <c r="BA503" s="43" t="str">
        <f ca="1">IFERROR(__xludf.DUMMYFUNCTION("IFERROR(VLOOKUP(E769&amp;F769,IMPORTRANGE(""https://docs.google.com/spreadsheets/d/1Uw7-A9f9R21vMXxHZFNpYNeKFtG8_yji4HS352LGlSQ/edit?pli=1#gid=0"",""1_ACUM!A4:S""),14,FALSE))"),"")</f>
        <v/>
      </c>
      <c r="BB503" s="43" t="str">
        <f ca="1">IFERROR(__xludf.DUMMYFUNCTION("IFERROR(VLOOKUP(E769&amp;F769,IMPORTRANGE(""https://docs.google.com/spreadsheets/d/1Uw7-A9f9R21vMXxHZFNpYNeKFtG8_yji4HS352LGlSQ/edit?pli=1#gid=0"",""1_ACUM!A4:S""),15,FALSE))"),"")</f>
        <v/>
      </c>
      <c r="BC503" s="43" t="str">
        <f ca="1">IFERROR(__xludf.DUMMYFUNCTION("IFERROR(VLOOKUP(E769&amp;F769,IMPORTRANGE(""https://docs.google.com/spreadsheets/d/1Uw7-A9f9R21vMXxHZFNpYNeKFtG8_yji4HS352LGlSQ/edit?pli=1#gid=0"",""1_ACUM!A4:S""),16,FALSE))"),"")</f>
        <v/>
      </c>
      <c r="BD503" s="43" t="str">
        <f ca="1">IFERROR(__xludf.DUMMYFUNCTION("IFERROR(VLOOKUP(E769&amp;F769,IMPORTRANGE(""https://docs.google.com/spreadsheets/d/1Uw7-A9f9R21vMXxHZFNpYNeKFtG8_yji4HS352LGlSQ/edit?pli=1#gid=0"",""1_ACUM!A4:S""),17,FALSE))"),"")</f>
        <v/>
      </c>
      <c r="BE503" s="44" t="str">
        <f ca="1">IFERROR(__xludf.DUMMYFUNCTION("IFERROR(VLOOKUP(E769&amp;F769,IMPORTRANGE(""https://docs.google.com/spreadsheets/d/1Uw7-A9f9R21vMXxHZFNpYNeKFtG8_yji4HS352LGlSQ/edit?pli=1#gid=0"",""1_ACUM!A4:S""),18,FALSE))"),"")</f>
        <v/>
      </c>
      <c r="BF503" s="44" t="str">
        <f ca="1">IFERROR(__xludf.DUMMYFUNCTION("IFERROR(VLOOKUP(E769&amp;F769,IMPORTRANGE(""https://docs.google.com/spreadsheets/d/1Uw7-A9f9R21vMXxHZFNpYNeKFtG8_yji4HS352LGlSQ/edit?pli=1#gid=0"",""1_ACUM!A4:S""),19,FALSE))"),"")</f>
        <v/>
      </c>
      <c r="BG503" s="98" t="str">
        <f ca="1">IFERROR(__xludf.DUMMYFUNCTION("IFERROR(VLOOKUP(F769,IMPORTRANGE(""https://docs.google.com/spreadsheets/d/1Kvs4KS76FHFqLFIZfrDMff4kP08nblUkihrxltoGBjg/edit#gid=934712705"",""ESENCIAL!A6:BG""),5,FALSE))"),"")</f>
        <v/>
      </c>
      <c r="BH503" s="98" t="str">
        <f t="shared" si="25"/>
        <v/>
      </c>
      <c r="BI503" s="99" t="str">
        <f t="shared" si="26"/>
        <v/>
      </c>
      <c r="BJ503" s="100" t="str">
        <f ca="1">IFERROR(__xludf.DUMMYFUNCTION("IFERROR(VLOOKUP(F769,IMPORTRANGE(""https://docs.google.com/spreadsheets/d/1Kvs4KS76FHFqLFIZfrDMff4kP08nblUkihrxltoGBjg/edit#gid=934712705"",""ESENCIAL!A6:BG""),2,FALSE))"),"")</f>
        <v/>
      </c>
      <c r="BK503" s="19" t="str">
        <f t="shared" si="27"/>
        <v/>
      </c>
      <c r="BL503" s="100"/>
      <c r="BM503" s="100"/>
    </row>
    <row r="504" spans="2:65" ht="15">
      <c r="B504" s="39"/>
      <c r="C504" s="5"/>
      <c r="D504" s="123"/>
      <c r="E504" s="39"/>
      <c r="F504" s="39"/>
      <c r="G504" s="39"/>
      <c r="H504" s="5" t="str">
        <f ca="1">IFERROR(__xludf.DUMMYFUNCTION("IFERROR(VLOOKUP(F770,IMPORTRANGE(""https://docs.google.com/spreadsheets/d/1Kvs4KS76FHFqLFIZfrDMff4kP08nblUkihrxltoGBjg/edit#gid=934712705"",""ESENCIAL!A6:BG""),3,FALSE))"),"")</f>
        <v/>
      </c>
      <c r="I504" s="5" t="str">
        <f ca="1">IFERROR(__xludf.DUMMYFUNCTION("IFERROR(VLOOKUP(F770,IMPORTRANGE(""https://docs.google.com/spreadsheets/d/1Kvs4KS76FHFqLFIZfrDMff4kP08nblUkihrxltoGBjg/edit#gid=934712705"",""ESENCIAL!A6:BG""),8,FALSE))"),"")</f>
        <v/>
      </c>
      <c r="J504" s="39"/>
      <c r="M504" s="40"/>
      <c r="AV504" s="41" t="str">
        <f t="shared" si="24"/>
        <v/>
      </c>
      <c r="AW504" s="5" t="str">
        <f ca="1">IFERROR(__xludf.DUMMYFUNCTION("IFERROR(VLOOKUP(E770&amp;F770,IMPORTRANGE(""https://docs.google.com/spreadsheets/d/1Uw7-A9f9R21vMXxHZFNpYNeKFtG8_yji4HS352LGlSQ/edit?pli=1#gid=0"",""1_ACUM!A4:S""),11,FALSE))"),"")</f>
        <v/>
      </c>
      <c r="AX504" s="42" t="str">
        <f ca="1">IFERROR(__xludf.DUMMYFUNCTION("IFERROR(VLOOKUP(F770,IMPORTRANGE(""https://docs.google.com/spreadsheets/d/1Kvs4KS76FHFqLFIZfrDMff4kP08nblUkihrxltoGBjg/edit#gid=934712705"",""ESENCIAL!A6:BG""),15,FALSE))"),"")</f>
        <v/>
      </c>
      <c r="AY504" s="110" t="str">
        <f ca="1">IFERROR(__xludf.DUMMYFUNCTION("IFERROR(VLOOKUP(E770&amp;F770,IMPORTRANGE(""https://docs.google.com/spreadsheets/d/1Uw7-A9f9R21vMXxHZFNpYNeKFtG8_yji4HS352LGlSQ/edit?pli=1#gid=0"",""1_ACUM!A4:S""),13,FALSE))"),"")</f>
        <v/>
      </c>
      <c r="AZ504" s="43" t="str">
        <f ca="1">IFERROR(__xludf.DUMMYFUNCTION("IFERROR(VLOOKUP(E770&amp;F770,IMPORTRANGE(""https://docs.google.com/spreadsheets/d/1Uw7-A9f9R21vMXxHZFNpYNeKFtG8_yji4HS352LGlSQ/edit?pli=1#gid=0"",""1_ACUM!A4:S""),13,FALSE))"),"")</f>
        <v/>
      </c>
      <c r="BA504" s="43" t="str">
        <f ca="1">IFERROR(__xludf.DUMMYFUNCTION("IFERROR(VLOOKUP(E770&amp;F770,IMPORTRANGE(""https://docs.google.com/spreadsheets/d/1Uw7-A9f9R21vMXxHZFNpYNeKFtG8_yji4HS352LGlSQ/edit?pli=1#gid=0"",""1_ACUM!A4:S""),14,FALSE))"),"")</f>
        <v/>
      </c>
      <c r="BB504" s="43" t="str">
        <f ca="1">IFERROR(__xludf.DUMMYFUNCTION("IFERROR(VLOOKUP(E770&amp;F770,IMPORTRANGE(""https://docs.google.com/spreadsheets/d/1Uw7-A9f9R21vMXxHZFNpYNeKFtG8_yji4HS352LGlSQ/edit?pli=1#gid=0"",""1_ACUM!A4:S""),15,FALSE))"),"")</f>
        <v/>
      </c>
      <c r="BC504" s="43" t="str">
        <f ca="1">IFERROR(__xludf.DUMMYFUNCTION("IFERROR(VLOOKUP(E770&amp;F770,IMPORTRANGE(""https://docs.google.com/spreadsheets/d/1Uw7-A9f9R21vMXxHZFNpYNeKFtG8_yji4HS352LGlSQ/edit?pli=1#gid=0"",""1_ACUM!A4:S""),16,FALSE))"),"")</f>
        <v/>
      </c>
      <c r="BD504" s="43" t="str">
        <f ca="1">IFERROR(__xludf.DUMMYFUNCTION("IFERROR(VLOOKUP(E770&amp;F770,IMPORTRANGE(""https://docs.google.com/spreadsheets/d/1Uw7-A9f9R21vMXxHZFNpYNeKFtG8_yji4HS352LGlSQ/edit?pli=1#gid=0"",""1_ACUM!A4:S""),17,FALSE))"),"")</f>
        <v/>
      </c>
      <c r="BE504" s="44" t="str">
        <f ca="1">IFERROR(__xludf.DUMMYFUNCTION("IFERROR(VLOOKUP(E770&amp;F770,IMPORTRANGE(""https://docs.google.com/spreadsheets/d/1Uw7-A9f9R21vMXxHZFNpYNeKFtG8_yji4HS352LGlSQ/edit?pli=1#gid=0"",""1_ACUM!A4:S""),18,FALSE))"),"")</f>
        <v/>
      </c>
      <c r="BF504" s="44" t="str">
        <f ca="1">IFERROR(__xludf.DUMMYFUNCTION("IFERROR(VLOOKUP(E770&amp;F770,IMPORTRANGE(""https://docs.google.com/spreadsheets/d/1Uw7-A9f9R21vMXxHZFNpYNeKFtG8_yji4HS352LGlSQ/edit?pli=1#gid=0"",""1_ACUM!A4:S""),19,FALSE))"),"")</f>
        <v/>
      </c>
      <c r="BG504" s="98" t="str">
        <f ca="1">IFERROR(__xludf.DUMMYFUNCTION("IFERROR(VLOOKUP(F770,IMPORTRANGE(""https://docs.google.com/spreadsheets/d/1Kvs4KS76FHFqLFIZfrDMff4kP08nblUkihrxltoGBjg/edit#gid=934712705"",""ESENCIAL!A6:BG""),5,FALSE))"),"")</f>
        <v/>
      </c>
      <c r="BH504" s="98" t="str">
        <f t="shared" si="25"/>
        <v/>
      </c>
      <c r="BI504" s="99" t="str">
        <f t="shared" si="26"/>
        <v/>
      </c>
      <c r="BJ504" s="100" t="str">
        <f ca="1">IFERROR(__xludf.DUMMYFUNCTION("IFERROR(VLOOKUP(F770,IMPORTRANGE(""https://docs.google.com/spreadsheets/d/1Kvs4KS76FHFqLFIZfrDMff4kP08nblUkihrxltoGBjg/edit#gid=934712705"",""ESENCIAL!A6:BG""),2,FALSE))"),"")</f>
        <v/>
      </c>
      <c r="BK504" s="19" t="str">
        <f t="shared" si="27"/>
        <v/>
      </c>
      <c r="BL504" s="100"/>
      <c r="BM504" s="100"/>
    </row>
    <row r="505" spans="2:65" ht="15">
      <c r="B505" s="39"/>
      <c r="C505" s="5"/>
      <c r="D505" s="123"/>
      <c r="E505" s="39"/>
      <c r="F505" s="39"/>
      <c r="G505" s="39"/>
      <c r="H505" s="5" t="str">
        <f ca="1">IFERROR(__xludf.DUMMYFUNCTION("IFERROR(VLOOKUP(F771,IMPORTRANGE(""https://docs.google.com/spreadsheets/d/1Kvs4KS76FHFqLFIZfrDMff4kP08nblUkihrxltoGBjg/edit#gid=934712705"",""ESENCIAL!A6:BG""),3,FALSE))"),"")</f>
        <v/>
      </c>
      <c r="I505" s="5" t="str">
        <f ca="1">IFERROR(__xludf.DUMMYFUNCTION("IFERROR(VLOOKUP(F771,IMPORTRANGE(""https://docs.google.com/spreadsheets/d/1Kvs4KS76FHFqLFIZfrDMff4kP08nblUkihrxltoGBjg/edit#gid=934712705"",""ESENCIAL!A6:BG""),8,FALSE))"),"")</f>
        <v/>
      </c>
      <c r="J505" s="39"/>
      <c r="M505" s="40"/>
      <c r="AV505" s="41" t="str">
        <f t="shared" si="24"/>
        <v/>
      </c>
      <c r="AW505" s="5" t="str">
        <f ca="1">IFERROR(__xludf.DUMMYFUNCTION("IFERROR(VLOOKUP(E771&amp;F771,IMPORTRANGE(""https://docs.google.com/spreadsheets/d/1Uw7-A9f9R21vMXxHZFNpYNeKFtG8_yji4HS352LGlSQ/edit?pli=1#gid=0"",""1_ACUM!A4:S""),11,FALSE))"),"")</f>
        <v/>
      </c>
      <c r="AX505" s="42" t="str">
        <f ca="1">IFERROR(__xludf.DUMMYFUNCTION("IFERROR(VLOOKUP(F771,IMPORTRANGE(""https://docs.google.com/spreadsheets/d/1Kvs4KS76FHFqLFIZfrDMff4kP08nblUkihrxltoGBjg/edit#gid=934712705"",""ESENCIAL!A6:BG""),15,FALSE))"),"")</f>
        <v/>
      </c>
      <c r="AY505" s="110" t="str">
        <f ca="1">IFERROR(__xludf.DUMMYFUNCTION("IFERROR(VLOOKUP(E771&amp;F771,IMPORTRANGE(""https://docs.google.com/spreadsheets/d/1Uw7-A9f9R21vMXxHZFNpYNeKFtG8_yji4HS352LGlSQ/edit?pli=1#gid=0"",""1_ACUM!A4:S""),13,FALSE))"),"")</f>
        <v/>
      </c>
      <c r="AZ505" s="43" t="str">
        <f ca="1">IFERROR(__xludf.DUMMYFUNCTION("IFERROR(VLOOKUP(E771&amp;F771,IMPORTRANGE(""https://docs.google.com/spreadsheets/d/1Uw7-A9f9R21vMXxHZFNpYNeKFtG8_yji4HS352LGlSQ/edit?pli=1#gid=0"",""1_ACUM!A4:S""),13,FALSE))"),"")</f>
        <v/>
      </c>
      <c r="BA505" s="43" t="str">
        <f ca="1">IFERROR(__xludf.DUMMYFUNCTION("IFERROR(VLOOKUP(E771&amp;F771,IMPORTRANGE(""https://docs.google.com/spreadsheets/d/1Uw7-A9f9R21vMXxHZFNpYNeKFtG8_yji4HS352LGlSQ/edit?pli=1#gid=0"",""1_ACUM!A4:S""),14,FALSE))"),"")</f>
        <v/>
      </c>
      <c r="BB505" s="43" t="str">
        <f ca="1">IFERROR(__xludf.DUMMYFUNCTION("IFERROR(VLOOKUP(E771&amp;F771,IMPORTRANGE(""https://docs.google.com/spreadsheets/d/1Uw7-A9f9R21vMXxHZFNpYNeKFtG8_yji4HS352LGlSQ/edit?pli=1#gid=0"",""1_ACUM!A4:S""),15,FALSE))"),"")</f>
        <v/>
      </c>
      <c r="BC505" s="43" t="str">
        <f ca="1">IFERROR(__xludf.DUMMYFUNCTION("IFERROR(VLOOKUP(E771&amp;F771,IMPORTRANGE(""https://docs.google.com/spreadsheets/d/1Uw7-A9f9R21vMXxHZFNpYNeKFtG8_yji4HS352LGlSQ/edit?pli=1#gid=0"",""1_ACUM!A4:S""),16,FALSE))"),"")</f>
        <v/>
      </c>
      <c r="BD505" s="43" t="str">
        <f ca="1">IFERROR(__xludf.DUMMYFUNCTION("IFERROR(VLOOKUP(E771&amp;F771,IMPORTRANGE(""https://docs.google.com/spreadsheets/d/1Uw7-A9f9R21vMXxHZFNpYNeKFtG8_yji4HS352LGlSQ/edit?pli=1#gid=0"",""1_ACUM!A4:S""),17,FALSE))"),"")</f>
        <v/>
      </c>
      <c r="BE505" s="44" t="str">
        <f ca="1">IFERROR(__xludf.DUMMYFUNCTION("IFERROR(VLOOKUP(E771&amp;F771,IMPORTRANGE(""https://docs.google.com/spreadsheets/d/1Uw7-A9f9R21vMXxHZFNpYNeKFtG8_yji4HS352LGlSQ/edit?pli=1#gid=0"",""1_ACUM!A4:S""),18,FALSE))"),"")</f>
        <v/>
      </c>
      <c r="BF505" s="44" t="str">
        <f ca="1">IFERROR(__xludf.DUMMYFUNCTION("IFERROR(VLOOKUP(E771&amp;F771,IMPORTRANGE(""https://docs.google.com/spreadsheets/d/1Uw7-A9f9R21vMXxHZFNpYNeKFtG8_yji4HS352LGlSQ/edit?pli=1#gid=0"",""1_ACUM!A4:S""),19,FALSE))"),"")</f>
        <v/>
      </c>
      <c r="BG505" s="98" t="str">
        <f ca="1">IFERROR(__xludf.DUMMYFUNCTION("IFERROR(VLOOKUP(F771,IMPORTRANGE(""https://docs.google.com/spreadsheets/d/1Kvs4KS76FHFqLFIZfrDMff4kP08nblUkihrxltoGBjg/edit#gid=934712705"",""ESENCIAL!A6:BG""),5,FALSE))"),"")</f>
        <v/>
      </c>
      <c r="BH505" s="98" t="str">
        <f t="shared" si="25"/>
        <v/>
      </c>
      <c r="BI505" s="99" t="str">
        <f t="shared" si="26"/>
        <v/>
      </c>
      <c r="BJ505" s="100" t="str">
        <f ca="1">IFERROR(__xludf.DUMMYFUNCTION("IFERROR(VLOOKUP(F771,IMPORTRANGE(""https://docs.google.com/spreadsheets/d/1Kvs4KS76FHFqLFIZfrDMff4kP08nblUkihrxltoGBjg/edit#gid=934712705"",""ESENCIAL!A6:BG""),2,FALSE))"),"")</f>
        <v/>
      </c>
      <c r="BK505" s="19" t="str">
        <f t="shared" si="27"/>
        <v/>
      </c>
      <c r="BL505" s="100"/>
      <c r="BM505" s="100"/>
    </row>
    <row r="506" spans="2:65" ht="15">
      <c r="B506" s="39"/>
      <c r="C506" s="5"/>
      <c r="D506" s="123"/>
      <c r="E506" s="39"/>
      <c r="F506" s="39"/>
      <c r="G506" s="39"/>
      <c r="H506" s="5" t="str">
        <f ca="1">IFERROR(__xludf.DUMMYFUNCTION("IFERROR(VLOOKUP(F772,IMPORTRANGE(""https://docs.google.com/spreadsheets/d/1Kvs4KS76FHFqLFIZfrDMff4kP08nblUkihrxltoGBjg/edit#gid=934712705"",""ESENCIAL!A6:BG""),3,FALSE))"),"")</f>
        <v/>
      </c>
      <c r="I506" s="5" t="str">
        <f ca="1">IFERROR(__xludf.DUMMYFUNCTION("IFERROR(VLOOKUP(F772,IMPORTRANGE(""https://docs.google.com/spreadsheets/d/1Kvs4KS76FHFqLFIZfrDMff4kP08nblUkihrxltoGBjg/edit#gid=934712705"",""ESENCIAL!A6:BG""),8,FALSE))"),"")</f>
        <v/>
      </c>
      <c r="J506" s="39"/>
      <c r="M506" s="40"/>
      <c r="AV506" s="41" t="str">
        <f t="shared" si="24"/>
        <v/>
      </c>
      <c r="AW506" s="5" t="str">
        <f ca="1">IFERROR(__xludf.DUMMYFUNCTION("IFERROR(VLOOKUP(E772&amp;F772,IMPORTRANGE(""https://docs.google.com/spreadsheets/d/1Uw7-A9f9R21vMXxHZFNpYNeKFtG8_yji4HS352LGlSQ/edit?pli=1#gid=0"",""1_ACUM!A4:S""),11,FALSE))"),"")</f>
        <v/>
      </c>
      <c r="AX506" s="42" t="str">
        <f ca="1">IFERROR(__xludf.DUMMYFUNCTION("IFERROR(VLOOKUP(F772,IMPORTRANGE(""https://docs.google.com/spreadsheets/d/1Kvs4KS76FHFqLFIZfrDMff4kP08nblUkihrxltoGBjg/edit#gid=934712705"",""ESENCIAL!A6:BG""),15,FALSE))"),"")</f>
        <v/>
      </c>
      <c r="AY506" s="110" t="str">
        <f ca="1">IFERROR(__xludf.DUMMYFUNCTION("IFERROR(VLOOKUP(E772&amp;F772,IMPORTRANGE(""https://docs.google.com/spreadsheets/d/1Uw7-A9f9R21vMXxHZFNpYNeKFtG8_yji4HS352LGlSQ/edit?pli=1#gid=0"",""1_ACUM!A4:S""),13,FALSE))"),"")</f>
        <v/>
      </c>
      <c r="AZ506" s="43" t="str">
        <f ca="1">IFERROR(__xludf.DUMMYFUNCTION("IFERROR(VLOOKUP(E772&amp;F772,IMPORTRANGE(""https://docs.google.com/spreadsheets/d/1Uw7-A9f9R21vMXxHZFNpYNeKFtG8_yji4HS352LGlSQ/edit?pli=1#gid=0"",""1_ACUM!A4:S""),13,FALSE))"),"")</f>
        <v/>
      </c>
      <c r="BA506" s="43" t="str">
        <f ca="1">IFERROR(__xludf.DUMMYFUNCTION("IFERROR(VLOOKUP(E772&amp;F772,IMPORTRANGE(""https://docs.google.com/spreadsheets/d/1Uw7-A9f9R21vMXxHZFNpYNeKFtG8_yji4HS352LGlSQ/edit?pli=1#gid=0"",""1_ACUM!A4:S""),14,FALSE))"),"")</f>
        <v/>
      </c>
      <c r="BB506" s="43" t="str">
        <f ca="1">IFERROR(__xludf.DUMMYFUNCTION("IFERROR(VLOOKUP(E772&amp;F772,IMPORTRANGE(""https://docs.google.com/spreadsheets/d/1Uw7-A9f9R21vMXxHZFNpYNeKFtG8_yji4HS352LGlSQ/edit?pli=1#gid=0"",""1_ACUM!A4:S""),15,FALSE))"),"")</f>
        <v/>
      </c>
      <c r="BC506" s="43" t="str">
        <f ca="1">IFERROR(__xludf.DUMMYFUNCTION("IFERROR(VLOOKUP(E772&amp;F772,IMPORTRANGE(""https://docs.google.com/spreadsheets/d/1Uw7-A9f9R21vMXxHZFNpYNeKFtG8_yji4HS352LGlSQ/edit?pli=1#gid=0"",""1_ACUM!A4:S""),16,FALSE))"),"")</f>
        <v/>
      </c>
      <c r="BD506" s="43" t="str">
        <f ca="1">IFERROR(__xludf.DUMMYFUNCTION("IFERROR(VLOOKUP(E772&amp;F772,IMPORTRANGE(""https://docs.google.com/spreadsheets/d/1Uw7-A9f9R21vMXxHZFNpYNeKFtG8_yji4HS352LGlSQ/edit?pli=1#gid=0"",""1_ACUM!A4:S""),17,FALSE))"),"")</f>
        <v/>
      </c>
      <c r="BE506" s="44" t="str">
        <f ca="1">IFERROR(__xludf.DUMMYFUNCTION("IFERROR(VLOOKUP(E772&amp;F772,IMPORTRANGE(""https://docs.google.com/spreadsheets/d/1Uw7-A9f9R21vMXxHZFNpYNeKFtG8_yji4HS352LGlSQ/edit?pli=1#gid=0"",""1_ACUM!A4:S""),18,FALSE))"),"")</f>
        <v/>
      </c>
      <c r="BF506" s="44" t="str">
        <f ca="1">IFERROR(__xludf.DUMMYFUNCTION("IFERROR(VLOOKUP(E772&amp;F772,IMPORTRANGE(""https://docs.google.com/spreadsheets/d/1Uw7-A9f9R21vMXxHZFNpYNeKFtG8_yji4HS352LGlSQ/edit?pli=1#gid=0"",""1_ACUM!A4:S""),19,FALSE))"),"")</f>
        <v/>
      </c>
      <c r="BG506" s="98" t="str">
        <f ca="1">IFERROR(__xludf.DUMMYFUNCTION("IFERROR(VLOOKUP(F772,IMPORTRANGE(""https://docs.google.com/spreadsheets/d/1Kvs4KS76FHFqLFIZfrDMff4kP08nblUkihrxltoGBjg/edit#gid=934712705"",""ESENCIAL!A6:BG""),5,FALSE))"),"")</f>
        <v/>
      </c>
      <c r="BH506" s="98" t="str">
        <f t="shared" si="25"/>
        <v/>
      </c>
      <c r="BI506" s="99" t="str">
        <f t="shared" si="26"/>
        <v/>
      </c>
      <c r="BJ506" s="100" t="str">
        <f ca="1">IFERROR(__xludf.DUMMYFUNCTION("IFERROR(VLOOKUP(F772,IMPORTRANGE(""https://docs.google.com/spreadsheets/d/1Kvs4KS76FHFqLFIZfrDMff4kP08nblUkihrxltoGBjg/edit#gid=934712705"",""ESENCIAL!A6:BG""),2,FALSE))"),"")</f>
        <v/>
      </c>
      <c r="BK506" s="19" t="str">
        <f t="shared" si="27"/>
        <v/>
      </c>
      <c r="BL506" s="100"/>
      <c r="BM506" s="100"/>
    </row>
    <row r="507" spans="2:65" ht="15">
      <c r="B507" s="39"/>
      <c r="C507" s="5"/>
      <c r="D507" s="123"/>
      <c r="E507" s="39"/>
      <c r="F507" s="39"/>
      <c r="G507" s="39"/>
      <c r="H507" s="5" t="str">
        <f ca="1">IFERROR(__xludf.DUMMYFUNCTION("IFERROR(VLOOKUP(F773,IMPORTRANGE(""https://docs.google.com/spreadsheets/d/1Kvs4KS76FHFqLFIZfrDMff4kP08nblUkihrxltoGBjg/edit#gid=934712705"",""ESENCIAL!A6:BG""),3,FALSE))"),"")</f>
        <v/>
      </c>
      <c r="I507" s="5" t="str">
        <f ca="1">IFERROR(__xludf.DUMMYFUNCTION("IFERROR(VLOOKUP(F773,IMPORTRANGE(""https://docs.google.com/spreadsheets/d/1Kvs4KS76FHFqLFIZfrDMff4kP08nblUkihrxltoGBjg/edit#gid=934712705"",""ESENCIAL!A6:BG""),8,FALSE))"),"")</f>
        <v/>
      </c>
      <c r="J507" s="39"/>
      <c r="M507" s="40"/>
      <c r="AV507" s="41" t="str">
        <f t="shared" si="24"/>
        <v/>
      </c>
      <c r="AW507" s="5" t="str">
        <f ca="1">IFERROR(__xludf.DUMMYFUNCTION("IFERROR(VLOOKUP(E773&amp;F773,IMPORTRANGE(""https://docs.google.com/spreadsheets/d/1Uw7-A9f9R21vMXxHZFNpYNeKFtG8_yji4HS352LGlSQ/edit?pli=1#gid=0"",""1_ACUM!A4:S""),11,FALSE))"),"")</f>
        <v/>
      </c>
      <c r="AX507" s="42" t="str">
        <f ca="1">IFERROR(__xludf.DUMMYFUNCTION("IFERROR(VLOOKUP(F773,IMPORTRANGE(""https://docs.google.com/spreadsheets/d/1Kvs4KS76FHFqLFIZfrDMff4kP08nblUkihrxltoGBjg/edit#gid=934712705"",""ESENCIAL!A6:BG""),15,FALSE))"),"")</f>
        <v/>
      </c>
      <c r="AY507" s="110" t="str">
        <f ca="1">IFERROR(__xludf.DUMMYFUNCTION("IFERROR(VLOOKUP(E773&amp;F773,IMPORTRANGE(""https://docs.google.com/spreadsheets/d/1Uw7-A9f9R21vMXxHZFNpYNeKFtG8_yji4HS352LGlSQ/edit?pli=1#gid=0"",""1_ACUM!A4:S""),13,FALSE))"),"")</f>
        <v/>
      </c>
      <c r="AZ507" s="43" t="str">
        <f ca="1">IFERROR(__xludf.DUMMYFUNCTION("IFERROR(VLOOKUP(E773&amp;F773,IMPORTRANGE(""https://docs.google.com/spreadsheets/d/1Uw7-A9f9R21vMXxHZFNpYNeKFtG8_yji4HS352LGlSQ/edit?pli=1#gid=0"",""1_ACUM!A4:S""),13,FALSE))"),"")</f>
        <v/>
      </c>
      <c r="BA507" s="43" t="str">
        <f ca="1">IFERROR(__xludf.DUMMYFUNCTION("IFERROR(VLOOKUP(E773&amp;F773,IMPORTRANGE(""https://docs.google.com/spreadsheets/d/1Uw7-A9f9R21vMXxHZFNpYNeKFtG8_yji4HS352LGlSQ/edit?pli=1#gid=0"",""1_ACUM!A4:S""),14,FALSE))"),"")</f>
        <v/>
      </c>
      <c r="BB507" s="43" t="str">
        <f ca="1">IFERROR(__xludf.DUMMYFUNCTION("IFERROR(VLOOKUP(E773&amp;F773,IMPORTRANGE(""https://docs.google.com/spreadsheets/d/1Uw7-A9f9R21vMXxHZFNpYNeKFtG8_yji4HS352LGlSQ/edit?pli=1#gid=0"",""1_ACUM!A4:S""),15,FALSE))"),"")</f>
        <v/>
      </c>
      <c r="BC507" s="43" t="str">
        <f ca="1">IFERROR(__xludf.DUMMYFUNCTION("IFERROR(VLOOKUP(E773&amp;F773,IMPORTRANGE(""https://docs.google.com/spreadsheets/d/1Uw7-A9f9R21vMXxHZFNpYNeKFtG8_yji4HS352LGlSQ/edit?pli=1#gid=0"",""1_ACUM!A4:S""),16,FALSE))"),"")</f>
        <v/>
      </c>
      <c r="BD507" s="43" t="str">
        <f ca="1">IFERROR(__xludf.DUMMYFUNCTION("IFERROR(VLOOKUP(E773&amp;F773,IMPORTRANGE(""https://docs.google.com/spreadsheets/d/1Uw7-A9f9R21vMXxHZFNpYNeKFtG8_yji4HS352LGlSQ/edit?pli=1#gid=0"",""1_ACUM!A4:S""),17,FALSE))"),"")</f>
        <v/>
      </c>
      <c r="BE507" s="44" t="str">
        <f ca="1">IFERROR(__xludf.DUMMYFUNCTION("IFERROR(VLOOKUP(E773&amp;F773,IMPORTRANGE(""https://docs.google.com/spreadsheets/d/1Uw7-A9f9R21vMXxHZFNpYNeKFtG8_yji4HS352LGlSQ/edit?pli=1#gid=0"",""1_ACUM!A4:S""),18,FALSE))"),"")</f>
        <v/>
      </c>
      <c r="BF507" s="44" t="str">
        <f ca="1">IFERROR(__xludf.DUMMYFUNCTION("IFERROR(VLOOKUP(E773&amp;F773,IMPORTRANGE(""https://docs.google.com/spreadsheets/d/1Uw7-A9f9R21vMXxHZFNpYNeKFtG8_yji4HS352LGlSQ/edit?pli=1#gid=0"",""1_ACUM!A4:S""),19,FALSE))"),"")</f>
        <v/>
      </c>
      <c r="BG507" s="98" t="str">
        <f ca="1">IFERROR(__xludf.DUMMYFUNCTION("IFERROR(VLOOKUP(F773,IMPORTRANGE(""https://docs.google.com/spreadsheets/d/1Kvs4KS76FHFqLFIZfrDMff4kP08nblUkihrxltoGBjg/edit#gid=934712705"",""ESENCIAL!A6:BG""),5,FALSE))"),"")</f>
        <v/>
      </c>
      <c r="BH507" s="98" t="str">
        <f t="shared" si="25"/>
        <v/>
      </c>
      <c r="BI507" s="99" t="str">
        <f t="shared" si="26"/>
        <v/>
      </c>
      <c r="BJ507" s="100" t="str">
        <f ca="1">IFERROR(__xludf.DUMMYFUNCTION("IFERROR(VLOOKUP(F773,IMPORTRANGE(""https://docs.google.com/spreadsheets/d/1Kvs4KS76FHFqLFIZfrDMff4kP08nblUkihrxltoGBjg/edit#gid=934712705"",""ESENCIAL!A6:BG""),2,FALSE))"),"")</f>
        <v/>
      </c>
      <c r="BK507" s="19" t="str">
        <f t="shared" si="27"/>
        <v/>
      </c>
      <c r="BL507" s="100"/>
      <c r="BM507" s="100"/>
    </row>
    <row r="508" spans="2:65" ht="15">
      <c r="B508" s="39"/>
      <c r="C508" s="5"/>
      <c r="D508" s="123"/>
      <c r="E508" s="39"/>
      <c r="F508" s="39"/>
      <c r="G508" s="39"/>
      <c r="H508" s="5" t="str">
        <f ca="1">IFERROR(__xludf.DUMMYFUNCTION("IFERROR(VLOOKUP(F774,IMPORTRANGE(""https://docs.google.com/spreadsheets/d/1Kvs4KS76FHFqLFIZfrDMff4kP08nblUkihrxltoGBjg/edit#gid=934712705"",""ESENCIAL!A6:BG""),3,FALSE))"),"")</f>
        <v/>
      </c>
      <c r="I508" s="5" t="str">
        <f ca="1">IFERROR(__xludf.DUMMYFUNCTION("IFERROR(VLOOKUP(F774,IMPORTRANGE(""https://docs.google.com/spreadsheets/d/1Kvs4KS76FHFqLFIZfrDMff4kP08nblUkihrxltoGBjg/edit#gid=934712705"",""ESENCIAL!A6:BG""),8,FALSE))"),"")</f>
        <v/>
      </c>
      <c r="J508" s="39"/>
      <c r="M508" s="40"/>
      <c r="AV508" s="41" t="str">
        <f t="shared" si="24"/>
        <v/>
      </c>
      <c r="AW508" s="5" t="str">
        <f ca="1">IFERROR(__xludf.DUMMYFUNCTION("IFERROR(VLOOKUP(E774&amp;F774,IMPORTRANGE(""https://docs.google.com/spreadsheets/d/1Uw7-A9f9R21vMXxHZFNpYNeKFtG8_yji4HS352LGlSQ/edit?pli=1#gid=0"",""1_ACUM!A4:S""),11,FALSE))"),"")</f>
        <v/>
      </c>
      <c r="AX508" s="42" t="str">
        <f ca="1">IFERROR(__xludf.DUMMYFUNCTION("IFERROR(VLOOKUP(F774,IMPORTRANGE(""https://docs.google.com/spreadsheets/d/1Kvs4KS76FHFqLFIZfrDMff4kP08nblUkihrxltoGBjg/edit#gid=934712705"",""ESENCIAL!A6:BG""),15,FALSE))"),"")</f>
        <v/>
      </c>
      <c r="AY508" s="110" t="str">
        <f ca="1">IFERROR(__xludf.DUMMYFUNCTION("IFERROR(VLOOKUP(E774&amp;F774,IMPORTRANGE(""https://docs.google.com/spreadsheets/d/1Uw7-A9f9R21vMXxHZFNpYNeKFtG8_yji4HS352LGlSQ/edit?pli=1#gid=0"",""1_ACUM!A4:S""),13,FALSE))"),"")</f>
        <v/>
      </c>
      <c r="AZ508" s="43" t="str">
        <f ca="1">IFERROR(__xludf.DUMMYFUNCTION("IFERROR(VLOOKUP(E774&amp;F774,IMPORTRANGE(""https://docs.google.com/spreadsheets/d/1Uw7-A9f9R21vMXxHZFNpYNeKFtG8_yji4HS352LGlSQ/edit?pli=1#gid=0"",""1_ACUM!A4:S""),13,FALSE))"),"")</f>
        <v/>
      </c>
      <c r="BA508" s="43" t="str">
        <f ca="1">IFERROR(__xludf.DUMMYFUNCTION("IFERROR(VLOOKUP(E774&amp;F774,IMPORTRANGE(""https://docs.google.com/spreadsheets/d/1Uw7-A9f9R21vMXxHZFNpYNeKFtG8_yji4HS352LGlSQ/edit?pli=1#gid=0"",""1_ACUM!A4:S""),14,FALSE))"),"")</f>
        <v/>
      </c>
      <c r="BB508" s="43" t="str">
        <f ca="1">IFERROR(__xludf.DUMMYFUNCTION("IFERROR(VLOOKUP(E774&amp;F774,IMPORTRANGE(""https://docs.google.com/spreadsheets/d/1Uw7-A9f9R21vMXxHZFNpYNeKFtG8_yji4HS352LGlSQ/edit?pli=1#gid=0"",""1_ACUM!A4:S""),15,FALSE))"),"")</f>
        <v/>
      </c>
      <c r="BC508" s="43" t="str">
        <f ca="1">IFERROR(__xludf.DUMMYFUNCTION("IFERROR(VLOOKUP(E774&amp;F774,IMPORTRANGE(""https://docs.google.com/spreadsheets/d/1Uw7-A9f9R21vMXxHZFNpYNeKFtG8_yji4HS352LGlSQ/edit?pli=1#gid=0"",""1_ACUM!A4:S""),16,FALSE))"),"")</f>
        <v/>
      </c>
      <c r="BD508" s="43" t="str">
        <f ca="1">IFERROR(__xludf.DUMMYFUNCTION("IFERROR(VLOOKUP(E774&amp;F774,IMPORTRANGE(""https://docs.google.com/spreadsheets/d/1Uw7-A9f9R21vMXxHZFNpYNeKFtG8_yji4HS352LGlSQ/edit?pli=1#gid=0"",""1_ACUM!A4:S""),17,FALSE))"),"")</f>
        <v/>
      </c>
      <c r="BE508" s="44" t="str">
        <f ca="1">IFERROR(__xludf.DUMMYFUNCTION("IFERROR(VLOOKUP(E774&amp;F774,IMPORTRANGE(""https://docs.google.com/spreadsheets/d/1Uw7-A9f9R21vMXxHZFNpYNeKFtG8_yji4HS352LGlSQ/edit?pli=1#gid=0"",""1_ACUM!A4:S""),18,FALSE))"),"")</f>
        <v/>
      </c>
      <c r="BF508" s="44" t="str">
        <f ca="1">IFERROR(__xludf.DUMMYFUNCTION("IFERROR(VLOOKUP(E774&amp;F774,IMPORTRANGE(""https://docs.google.com/spreadsheets/d/1Uw7-A9f9R21vMXxHZFNpYNeKFtG8_yji4HS352LGlSQ/edit?pli=1#gid=0"",""1_ACUM!A4:S""),19,FALSE))"),"")</f>
        <v/>
      </c>
      <c r="BG508" s="98" t="str">
        <f ca="1">IFERROR(__xludf.DUMMYFUNCTION("IFERROR(VLOOKUP(F774,IMPORTRANGE(""https://docs.google.com/spreadsheets/d/1Kvs4KS76FHFqLFIZfrDMff4kP08nblUkihrxltoGBjg/edit#gid=934712705"",""ESENCIAL!A6:BG""),5,FALSE))"),"")</f>
        <v/>
      </c>
      <c r="BH508" s="98" t="str">
        <f t="shared" si="25"/>
        <v/>
      </c>
      <c r="BI508" s="99" t="str">
        <f t="shared" si="26"/>
        <v/>
      </c>
      <c r="BJ508" s="100" t="str">
        <f ca="1">IFERROR(__xludf.DUMMYFUNCTION("IFERROR(VLOOKUP(F774,IMPORTRANGE(""https://docs.google.com/spreadsheets/d/1Kvs4KS76FHFqLFIZfrDMff4kP08nblUkihrxltoGBjg/edit#gid=934712705"",""ESENCIAL!A6:BG""),2,FALSE))"),"")</f>
        <v/>
      </c>
      <c r="BK508" s="19" t="str">
        <f t="shared" si="27"/>
        <v/>
      </c>
      <c r="BL508" s="100"/>
      <c r="BM508" s="100"/>
    </row>
    <row r="509" spans="2:65" ht="15">
      <c r="B509" s="39"/>
      <c r="C509" s="5"/>
      <c r="D509" s="123"/>
      <c r="E509" s="39"/>
      <c r="F509" s="39"/>
      <c r="G509" s="39"/>
      <c r="H509" s="5" t="str">
        <f ca="1">IFERROR(__xludf.DUMMYFUNCTION("IFERROR(VLOOKUP(F775,IMPORTRANGE(""https://docs.google.com/spreadsheets/d/1Kvs4KS76FHFqLFIZfrDMff4kP08nblUkihrxltoGBjg/edit#gid=934712705"",""ESENCIAL!A6:BG""),3,FALSE))"),"")</f>
        <v/>
      </c>
      <c r="I509" s="5" t="str">
        <f ca="1">IFERROR(__xludf.DUMMYFUNCTION("IFERROR(VLOOKUP(F775,IMPORTRANGE(""https://docs.google.com/spreadsheets/d/1Kvs4KS76FHFqLFIZfrDMff4kP08nblUkihrxltoGBjg/edit#gid=934712705"",""ESENCIAL!A6:BG""),8,FALSE))"),"")</f>
        <v/>
      </c>
      <c r="J509" s="39"/>
      <c r="M509" s="40"/>
      <c r="AV509" s="41" t="str">
        <f t="shared" si="24"/>
        <v/>
      </c>
      <c r="AW509" s="5" t="str">
        <f ca="1">IFERROR(__xludf.DUMMYFUNCTION("IFERROR(VLOOKUP(E775&amp;F775,IMPORTRANGE(""https://docs.google.com/spreadsheets/d/1Uw7-A9f9R21vMXxHZFNpYNeKFtG8_yji4HS352LGlSQ/edit?pli=1#gid=0"",""1_ACUM!A4:S""),11,FALSE))"),"")</f>
        <v/>
      </c>
      <c r="AX509" s="42" t="str">
        <f ca="1">IFERROR(__xludf.DUMMYFUNCTION("IFERROR(VLOOKUP(F775,IMPORTRANGE(""https://docs.google.com/spreadsheets/d/1Kvs4KS76FHFqLFIZfrDMff4kP08nblUkihrxltoGBjg/edit#gid=934712705"",""ESENCIAL!A6:BG""),15,FALSE))"),"")</f>
        <v/>
      </c>
      <c r="AY509" s="110" t="str">
        <f ca="1">IFERROR(__xludf.DUMMYFUNCTION("IFERROR(VLOOKUP(E775&amp;F775,IMPORTRANGE(""https://docs.google.com/spreadsheets/d/1Uw7-A9f9R21vMXxHZFNpYNeKFtG8_yji4HS352LGlSQ/edit?pli=1#gid=0"",""1_ACUM!A4:S""),13,FALSE))"),"")</f>
        <v/>
      </c>
      <c r="AZ509" s="43" t="str">
        <f ca="1">IFERROR(__xludf.DUMMYFUNCTION("IFERROR(VLOOKUP(E775&amp;F775,IMPORTRANGE(""https://docs.google.com/spreadsheets/d/1Uw7-A9f9R21vMXxHZFNpYNeKFtG8_yji4HS352LGlSQ/edit?pli=1#gid=0"",""1_ACUM!A4:S""),13,FALSE))"),"")</f>
        <v/>
      </c>
      <c r="BA509" s="43" t="str">
        <f ca="1">IFERROR(__xludf.DUMMYFUNCTION("IFERROR(VLOOKUP(E775&amp;F775,IMPORTRANGE(""https://docs.google.com/spreadsheets/d/1Uw7-A9f9R21vMXxHZFNpYNeKFtG8_yji4HS352LGlSQ/edit?pli=1#gid=0"",""1_ACUM!A4:S""),14,FALSE))"),"")</f>
        <v/>
      </c>
      <c r="BB509" s="43" t="str">
        <f ca="1">IFERROR(__xludf.DUMMYFUNCTION("IFERROR(VLOOKUP(E775&amp;F775,IMPORTRANGE(""https://docs.google.com/spreadsheets/d/1Uw7-A9f9R21vMXxHZFNpYNeKFtG8_yji4HS352LGlSQ/edit?pli=1#gid=0"",""1_ACUM!A4:S""),15,FALSE))"),"")</f>
        <v/>
      </c>
      <c r="BC509" s="43" t="str">
        <f ca="1">IFERROR(__xludf.DUMMYFUNCTION("IFERROR(VLOOKUP(E775&amp;F775,IMPORTRANGE(""https://docs.google.com/spreadsheets/d/1Uw7-A9f9R21vMXxHZFNpYNeKFtG8_yji4HS352LGlSQ/edit?pli=1#gid=0"",""1_ACUM!A4:S""),16,FALSE))"),"")</f>
        <v/>
      </c>
      <c r="BD509" s="43" t="str">
        <f ca="1">IFERROR(__xludf.DUMMYFUNCTION("IFERROR(VLOOKUP(E775&amp;F775,IMPORTRANGE(""https://docs.google.com/spreadsheets/d/1Uw7-A9f9R21vMXxHZFNpYNeKFtG8_yji4HS352LGlSQ/edit?pli=1#gid=0"",""1_ACUM!A4:S""),17,FALSE))"),"")</f>
        <v/>
      </c>
      <c r="BE509" s="44" t="str">
        <f ca="1">IFERROR(__xludf.DUMMYFUNCTION("IFERROR(VLOOKUP(E775&amp;F775,IMPORTRANGE(""https://docs.google.com/spreadsheets/d/1Uw7-A9f9R21vMXxHZFNpYNeKFtG8_yji4HS352LGlSQ/edit?pli=1#gid=0"",""1_ACUM!A4:S""),18,FALSE))"),"")</f>
        <v/>
      </c>
      <c r="BF509" s="44" t="str">
        <f ca="1">IFERROR(__xludf.DUMMYFUNCTION("IFERROR(VLOOKUP(E775&amp;F775,IMPORTRANGE(""https://docs.google.com/spreadsheets/d/1Uw7-A9f9R21vMXxHZFNpYNeKFtG8_yji4HS352LGlSQ/edit?pli=1#gid=0"",""1_ACUM!A4:S""),19,FALSE))"),"")</f>
        <v/>
      </c>
      <c r="BG509" s="98" t="str">
        <f ca="1">IFERROR(__xludf.DUMMYFUNCTION("IFERROR(VLOOKUP(F775,IMPORTRANGE(""https://docs.google.com/spreadsheets/d/1Kvs4KS76FHFqLFIZfrDMff4kP08nblUkihrxltoGBjg/edit#gid=934712705"",""ESENCIAL!A6:BG""),5,FALSE))"),"")</f>
        <v/>
      </c>
      <c r="BH509" s="98" t="str">
        <f t="shared" si="25"/>
        <v/>
      </c>
      <c r="BI509" s="99" t="str">
        <f t="shared" si="26"/>
        <v/>
      </c>
      <c r="BJ509" s="100" t="str">
        <f ca="1">IFERROR(__xludf.DUMMYFUNCTION("IFERROR(VLOOKUP(F775,IMPORTRANGE(""https://docs.google.com/spreadsheets/d/1Kvs4KS76FHFqLFIZfrDMff4kP08nblUkihrxltoGBjg/edit#gid=934712705"",""ESENCIAL!A6:BG""),2,FALSE))"),"")</f>
        <v/>
      </c>
      <c r="BK509" s="19" t="str">
        <f t="shared" si="27"/>
        <v/>
      </c>
      <c r="BL509" s="100"/>
      <c r="BM509" s="100"/>
    </row>
    <row r="510" spans="2:65" ht="15">
      <c r="B510" s="39"/>
      <c r="C510" s="5"/>
      <c r="D510" s="123"/>
      <c r="E510" s="39"/>
      <c r="F510" s="39"/>
      <c r="G510" s="39"/>
      <c r="H510" s="5" t="str">
        <f ca="1">IFERROR(__xludf.DUMMYFUNCTION("IFERROR(VLOOKUP(F776,IMPORTRANGE(""https://docs.google.com/spreadsheets/d/1Kvs4KS76FHFqLFIZfrDMff4kP08nblUkihrxltoGBjg/edit#gid=934712705"",""ESENCIAL!A6:BG""),3,FALSE))"),"")</f>
        <v/>
      </c>
      <c r="I510" s="5" t="str">
        <f ca="1">IFERROR(__xludf.DUMMYFUNCTION("IFERROR(VLOOKUP(F776,IMPORTRANGE(""https://docs.google.com/spreadsheets/d/1Kvs4KS76FHFqLFIZfrDMff4kP08nblUkihrxltoGBjg/edit#gid=934712705"",""ESENCIAL!A6:BG""),8,FALSE))"),"")</f>
        <v/>
      </c>
      <c r="J510" s="39"/>
      <c r="M510" s="40"/>
      <c r="AV510" s="41" t="str">
        <f t="shared" si="24"/>
        <v/>
      </c>
      <c r="AW510" s="5" t="str">
        <f ca="1">IFERROR(__xludf.DUMMYFUNCTION("IFERROR(VLOOKUP(E776&amp;F776,IMPORTRANGE(""https://docs.google.com/spreadsheets/d/1Uw7-A9f9R21vMXxHZFNpYNeKFtG8_yji4HS352LGlSQ/edit?pli=1#gid=0"",""1_ACUM!A4:S""),11,FALSE))"),"")</f>
        <v/>
      </c>
      <c r="AX510" s="42" t="str">
        <f ca="1">IFERROR(__xludf.DUMMYFUNCTION("IFERROR(VLOOKUP(F776,IMPORTRANGE(""https://docs.google.com/spreadsheets/d/1Kvs4KS76FHFqLFIZfrDMff4kP08nblUkihrxltoGBjg/edit#gid=934712705"",""ESENCIAL!A6:BG""),15,FALSE))"),"")</f>
        <v/>
      </c>
      <c r="AY510" s="110" t="str">
        <f ca="1">IFERROR(__xludf.DUMMYFUNCTION("IFERROR(VLOOKUP(E776&amp;F776,IMPORTRANGE(""https://docs.google.com/spreadsheets/d/1Uw7-A9f9R21vMXxHZFNpYNeKFtG8_yji4HS352LGlSQ/edit?pli=1#gid=0"",""1_ACUM!A4:S""),13,FALSE))"),"")</f>
        <v/>
      </c>
      <c r="AZ510" s="43" t="str">
        <f ca="1">IFERROR(__xludf.DUMMYFUNCTION("IFERROR(VLOOKUP(E776&amp;F776,IMPORTRANGE(""https://docs.google.com/spreadsheets/d/1Uw7-A9f9R21vMXxHZFNpYNeKFtG8_yji4HS352LGlSQ/edit?pli=1#gid=0"",""1_ACUM!A4:S""),13,FALSE))"),"")</f>
        <v/>
      </c>
      <c r="BA510" s="43" t="str">
        <f ca="1">IFERROR(__xludf.DUMMYFUNCTION("IFERROR(VLOOKUP(E776&amp;F776,IMPORTRANGE(""https://docs.google.com/spreadsheets/d/1Uw7-A9f9R21vMXxHZFNpYNeKFtG8_yji4HS352LGlSQ/edit?pli=1#gid=0"",""1_ACUM!A4:S""),14,FALSE))"),"")</f>
        <v/>
      </c>
      <c r="BB510" s="43" t="str">
        <f ca="1">IFERROR(__xludf.DUMMYFUNCTION("IFERROR(VLOOKUP(E776&amp;F776,IMPORTRANGE(""https://docs.google.com/spreadsheets/d/1Uw7-A9f9R21vMXxHZFNpYNeKFtG8_yji4HS352LGlSQ/edit?pli=1#gid=0"",""1_ACUM!A4:S""),15,FALSE))"),"")</f>
        <v/>
      </c>
      <c r="BC510" s="43" t="str">
        <f ca="1">IFERROR(__xludf.DUMMYFUNCTION("IFERROR(VLOOKUP(E776&amp;F776,IMPORTRANGE(""https://docs.google.com/spreadsheets/d/1Uw7-A9f9R21vMXxHZFNpYNeKFtG8_yji4HS352LGlSQ/edit?pli=1#gid=0"",""1_ACUM!A4:S""),16,FALSE))"),"")</f>
        <v/>
      </c>
      <c r="BD510" s="43" t="str">
        <f ca="1">IFERROR(__xludf.DUMMYFUNCTION("IFERROR(VLOOKUP(E776&amp;F776,IMPORTRANGE(""https://docs.google.com/spreadsheets/d/1Uw7-A9f9R21vMXxHZFNpYNeKFtG8_yji4HS352LGlSQ/edit?pli=1#gid=0"",""1_ACUM!A4:S""),17,FALSE))"),"")</f>
        <v/>
      </c>
      <c r="BE510" s="44" t="str">
        <f ca="1">IFERROR(__xludf.DUMMYFUNCTION("IFERROR(VLOOKUP(E776&amp;F776,IMPORTRANGE(""https://docs.google.com/spreadsheets/d/1Uw7-A9f9R21vMXxHZFNpYNeKFtG8_yji4HS352LGlSQ/edit?pli=1#gid=0"",""1_ACUM!A4:S""),18,FALSE))"),"")</f>
        <v/>
      </c>
      <c r="BF510" s="44" t="str">
        <f ca="1">IFERROR(__xludf.DUMMYFUNCTION("IFERROR(VLOOKUP(E776&amp;F776,IMPORTRANGE(""https://docs.google.com/spreadsheets/d/1Uw7-A9f9R21vMXxHZFNpYNeKFtG8_yji4HS352LGlSQ/edit?pli=1#gid=0"",""1_ACUM!A4:S""),19,FALSE))"),"")</f>
        <v/>
      </c>
      <c r="BG510" s="98" t="str">
        <f ca="1">IFERROR(__xludf.DUMMYFUNCTION("IFERROR(VLOOKUP(F776,IMPORTRANGE(""https://docs.google.com/spreadsheets/d/1Kvs4KS76FHFqLFIZfrDMff4kP08nblUkihrxltoGBjg/edit#gid=934712705"",""ESENCIAL!A6:BG""),5,FALSE))"),"")</f>
        <v/>
      </c>
      <c r="BH510" s="98" t="str">
        <f t="shared" si="25"/>
        <v/>
      </c>
      <c r="BI510" s="99" t="str">
        <f t="shared" si="26"/>
        <v/>
      </c>
      <c r="BJ510" s="100" t="str">
        <f ca="1">IFERROR(__xludf.DUMMYFUNCTION("IFERROR(VLOOKUP(F776,IMPORTRANGE(""https://docs.google.com/spreadsheets/d/1Kvs4KS76FHFqLFIZfrDMff4kP08nblUkihrxltoGBjg/edit#gid=934712705"",""ESENCIAL!A6:BG""),2,FALSE))"),"")</f>
        <v/>
      </c>
      <c r="BK510" s="19" t="str">
        <f t="shared" si="27"/>
        <v/>
      </c>
      <c r="BL510" s="100"/>
      <c r="BM510" s="100"/>
    </row>
    <row r="511" spans="2:65" ht="15">
      <c r="B511" s="39"/>
      <c r="C511" s="5"/>
      <c r="D511" s="123"/>
      <c r="E511" s="39"/>
      <c r="F511" s="39"/>
      <c r="G511" s="39"/>
      <c r="H511" s="5" t="str">
        <f ca="1">IFERROR(__xludf.DUMMYFUNCTION("IFERROR(VLOOKUP(F777,IMPORTRANGE(""https://docs.google.com/spreadsheets/d/1Kvs4KS76FHFqLFIZfrDMff4kP08nblUkihrxltoGBjg/edit#gid=934712705"",""ESENCIAL!A6:BG""),3,FALSE))"),"")</f>
        <v/>
      </c>
      <c r="I511" s="5" t="str">
        <f ca="1">IFERROR(__xludf.DUMMYFUNCTION("IFERROR(VLOOKUP(F777,IMPORTRANGE(""https://docs.google.com/spreadsheets/d/1Kvs4KS76FHFqLFIZfrDMff4kP08nblUkihrxltoGBjg/edit#gid=934712705"",""ESENCIAL!A6:BG""),8,FALSE))"),"")</f>
        <v/>
      </c>
      <c r="J511" s="39"/>
      <c r="M511" s="40"/>
      <c r="AV511" s="41" t="str">
        <f t="shared" si="24"/>
        <v/>
      </c>
      <c r="AW511" s="5" t="str">
        <f ca="1">IFERROR(__xludf.DUMMYFUNCTION("IFERROR(VLOOKUP(E777&amp;F777,IMPORTRANGE(""https://docs.google.com/spreadsheets/d/1Uw7-A9f9R21vMXxHZFNpYNeKFtG8_yji4HS352LGlSQ/edit?pli=1#gid=0"",""1_ACUM!A4:S""),11,FALSE))"),"")</f>
        <v/>
      </c>
      <c r="AX511" s="42" t="str">
        <f ca="1">IFERROR(__xludf.DUMMYFUNCTION("IFERROR(VLOOKUP(F777,IMPORTRANGE(""https://docs.google.com/spreadsheets/d/1Kvs4KS76FHFqLFIZfrDMff4kP08nblUkihrxltoGBjg/edit#gid=934712705"",""ESENCIAL!A6:BG""),15,FALSE))"),"")</f>
        <v/>
      </c>
      <c r="AY511" s="110" t="str">
        <f ca="1">IFERROR(__xludf.DUMMYFUNCTION("IFERROR(VLOOKUP(E777&amp;F777,IMPORTRANGE(""https://docs.google.com/spreadsheets/d/1Uw7-A9f9R21vMXxHZFNpYNeKFtG8_yji4HS352LGlSQ/edit?pli=1#gid=0"",""1_ACUM!A4:S""),13,FALSE))"),"")</f>
        <v/>
      </c>
      <c r="AZ511" s="43" t="str">
        <f ca="1">IFERROR(__xludf.DUMMYFUNCTION("IFERROR(VLOOKUP(E777&amp;F777,IMPORTRANGE(""https://docs.google.com/spreadsheets/d/1Uw7-A9f9R21vMXxHZFNpYNeKFtG8_yji4HS352LGlSQ/edit?pli=1#gid=0"",""1_ACUM!A4:S""),13,FALSE))"),"")</f>
        <v/>
      </c>
      <c r="BA511" s="43" t="str">
        <f ca="1">IFERROR(__xludf.DUMMYFUNCTION("IFERROR(VLOOKUP(E777&amp;F777,IMPORTRANGE(""https://docs.google.com/spreadsheets/d/1Uw7-A9f9R21vMXxHZFNpYNeKFtG8_yji4HS352LGlSQ/edit?pli=1#gid=0"",""1_ACUM!A4:S""),14,FALSE))"),"")</f>
        <v/>
      </c>
      <c r="BB511" s="43" t="str">
        <f ca="1">IFERROR(__xludf.DUMMYFUNCTION("IFERROR(VLOOKUP(E777&amp;F777,IMPORTRANGE(""https://docs.google.com/spreadsheets/d/1Uw7-A9f9R21vMXxHZFNpYNeKFtG8_yji4HS352LGlSQ/edit?pli=1#gid=0"",""1_ACUM!A4:S""),15,FALSE))"),"")</f>
        <v/>
      </c>
      <c r="BC511" s="43" t="str">
        <f ca="1">IFERROR(__xludf.DUMMYFUNCTION("IFERROR(VLOOKUP(E777&amp;F777,IMPORTRANGE(""https://docs.google.com/spreadsheets/d/1Uw7-A9f9R21vMXxHZFNpYNeKFtG8_yji4HS352LGlSQ/edit?pli=1#gid=0"",""1_ACUM!A4:S""),16,FALSE))"),"")</f>
        <v/>
      </c>
      <c r="BD511" s="43" t="str">
        <f ca="1">IFERROR(__xludf.DUMMYFUNCTION("IFERROR(VLOOKUP(E777&amp;F777,IMPORTRANGE(""https://docs.google.com/spreadsheets/d/1Uw7-A9f9R21vMXxHZFNpYNeKFtG8_yji4HS352LGlSQ/edit?pli=1#gid=0"",""1_ACUM!A4:S""),17,FALSE))"),"")</f>
        <v/>
      </c>
      <c r="BE511" s="44" t="str">
        <f ca="1">IFERROR(__xludf.DUMMYFUNCTION("IFERROR(VLOOKUP(E777&amp;F777,IMPORTRANGE(""https://docs.google.com/spreadsheets/d/1Uw7-A9f9R21vMXxHZFNpYNeKFtG8_yji4HS352LGlSQ/edit?pli=1#gid=0"",""1_ACUM!A4:S""),18,FALSE))"),"")</f>
        <v/>
      </c>
      <c r="BF511" s="44" t="str">
        <f ca="1">IFERROR(__xludf.DUMMYFUNCTION("IFERROR(VLOOKUP(E777&amp;F777,IMPORTRANGE(""https://docs.google.com/spreadsheets/d/1Uw7-A9f9R21vMXxHZFNpYNeKFtG8_yji4HS352LGlSQ/edit?pli=1#gid=0"",""1_ACUM!A4:S""),19,FALSE))"),"")</f>
        <v/>
      </c>
      <c r="BG511" s="98" t="str">
        <f ca="1">IFERROR(__xludf.DUMMYFUNCTION("IFERROR(VLOOKUP(F777,IMPORTRANGE(""https://docs.google.com/spreadsheets/d/1Kvs4KS76FHFqLFIZfrDMff4kP08nblUkihrxltoGBjg/edit#gid=934712705"",""ESENCIAL!A6:BG""),5,FALSE))"),"")</f>
        <v/>
      </c>
      <c r="BH511" s="98" t="str">
        <f t="shared" si="25"/>
        <v/>
      </c>
      <c r="BI511" s="99" t="str">
        <f t="shared" si="26"/>
        <v/>
      </c>
      <c r="BJ511" s="100" t="str">
        <f ca="1">IFERROR(__xludf.DUMMYFUNCTION("IFERROR(VLOOKUP(F777,IMPORTRANGE(""https://docs.google.com/spreadsheets/d/1Kvs4KS76FHFqLFIZfrDMff4kP08nblUkihrxltoGBjg/edit#gid=934712705"",""ESENCIAL!A6:BG""),2,FALSE))"),"")</f>
        <v/>
      </c>
      <c r="BK511" s="19" t="str">
        <f t="shared" si="27"/>
        <v/>
      </c>
      <c r="BL511" s="100"/>
      <c r="BM511" s="100"/>
    </row>
    <row r="512" spans="2:65" ht="15">
      <c r="B512" s="39"/>
      <c r="C512" s="5"/>
      <c r="D512" s="123"/>
      <c r="E512" s="39"/>
      <c r="F512" s="39"/>
      <c r="G512" s="39"/>
      <c r="H512" s="5" t="str">
        <f ca="1">IFERROR(__xludf.DUMMYFUNCTION("IFERROR(VLOOKUP(F778,IMPORTRANGE(""https://docs.google.com/spreadsheets/d/1Kvs4KS76FHFqLFIZfrDMff4kP08nblUkihrxltoGBjg/edit#gid=934712705"",""ESENCIAL!A6:BG""),3,FALSE))"),"")</f>
        <v/>
      </c>
      <c r="I512" s="5" t="str">
        <f ca="1">IFERROR(__xludf.DUMMYFUNCTION("IFERROR(VLOOKUP(F778,IMPORTRANGE(""https://docs.google.com/spreadsheets/d/1Kvs4KS76FHFqLFIZfrDMff4kP08nblUkihrxltoGBjg/edit#gid=934712705"",""ESENCIAL!A6:BG""),8,FALSE))"),"")</f>
        <v/>
      </c>
      <c r="J512" s="39"/>
      <c r="M512" s="40"/>
      <c r="AV512" s="41" t="str">
        <f t="shared" si="24"/>
        <v/>
      </c>
      <c r="AW512" s="5" t="str">
        <f ca="1">IFERROR(__xludf.DUMMYFUNCTION("IFERROR(VLOOKUP(E778&amp;F778,IMPORTRANGE(""https://docs.google.com/spreadsheets/d/1Uw7-A9f9R21vMXxHZFNpYNeKFtG8_yji4HS352LGlSQ/edit?pli=1#gid=0"",""1_ACUM!A4:S""),11,FALSE))"),"")</f>
        <v/>
      </c>
      <c r="AX512" s="42" t="str">
        <f ca="1">IFERROR(__xludf.DUMMYFUNCTION("IFERROR(VLOOKUP(F778,IMPORTRANGE(""https://docs.google.com/spreadsheets/d/1Kvs4KS76FHFqLFIZfrDMff4kP08nblUkihrxltoGBjg/edit#gid=934712705"",""ESENCIAL!A6:BG""),15,FALSE))"),"")</f>
        <v/>
      </c>
      <c r="AY512" s="110" t="str">
        <f ca="1">IFERROR(__xludf.DUMMYFUNCTION("IFERROR(VLOOKUP(E778&amp;F778,IMPORTRANGE(""https://docs.google.com/spreadsheets/d/1Uw7-A9f9R21vMXxHZFNpYNeKFtG8_yji4HS352LGlSQ/edit?pli=1#gid=0"",""1_ACUM!A4:S""),13,FALSE))"),"")</f>
        <v/>
      </c>
      <c r="AZ512" s="43" t="str">
        <f ca="1">IFERROR(__xludf.DUMMYFUNCTION("IFERROR(VLOOKUP(E778&amp;F778,IMPORTRANGE(""https://docs.google.com/spreadsheets/d/1Uw7-A9f9R21vMXxHZFNpYNeKFtG8_yji4HS352LGlSQ/edit?pli=1#gid=0"",""1_ACUM!A4:S""),13,FALSE))"),"")</f>
        <v/>
      </c>
      <c r="BA512" s="43" t="str">
        <f ca="1">IFERROR(__xludf.DUMMYFUNCTION("IFERROR(VLOOKUP(E778&amp;F778,IMPORTRANGE(""https://docs.google.com/spreadsheets/d/1Uw7-A9f9R21vMXxHZFNpYNeKFtG8_yji4HS352LGlSQ/edit?pli=1#gid=0"",""1_ACUM!A4:S""),14,FALSE))"),"")</f>
        <v/>
      </c>
      <c r="BB512" s="43" t="str">
        <f ca="1">IFERROR(__xludf.DUMMYFUNCTION("IFERROR(VLOOKUP(E778&amp;F778,IMPORTRANGE(""https://docs.google.com/spreadsheets/d/1Uw7-A9f9R21vMXxHZFNpYNeKFtG8_yji4HS352LGlSQ/edit?pli=1#gid=0"",""1_ACUM!A4:S""),15,FALSE))"),"")</f>
        <v/>
      </c>
      <c r="BC512" s="43" t="str">
        <f ca="1">IFERROR(__xludf.DUMMYFUNCTION("IFERROR(VLOOKUP(E778&amp;F778,IMPORTRANGE(""https://docs.google.com/spreadsheets/d/1Uw7-A9f9R21vMXxHZFNpYNeKFtG8_yji4HS352LGlSQ/edit?pli=1#gid=0"",""1_ACUM!A4:S""),16,FALSE))"),"")</f>
        <v/>
      </c>
      <c r="BD512" s="43" t="str">
        <f ca="1">IFERROR(__xludf.DUMMYFUNCTION("IFERROR(VLOOKUP(E778&amp;F778,IMPORTRANGE(""https://docs.google.com/spreadsheets/d/1Uw7-A9f9R21vMXxHZFNpYNeKFtG8_yji4HS352LGlSQ/edit?pli=1#gid=0"",""1_ACUM!A4:S""),17,FALSE))"),"")</f>
        <v/>
      </c>
      <c r="BE512" s="44" t="str">
        <f ca="1">IFERROR(__xludf.DUMMYFUNCTION("IFERROR(VLOOKUP(E778&amp;F778,IMPORTRANGE(""https://docs.google.com/spreadsheets/d/1Uw7-A9f9R21vMXxHZFNpYNeKFtG8_yji4HS352LGlSQ/edit?pli=1#gid=0"",""1_ACUM!A4:S""),18,FALSE))"),"")</f>
        <v/>
      </c>
      <c r="BF512" s="44" t="str">
        <f ca="1">IFERROR(__xludf.DUMMYFUNCTION("IFERROR(VLOOKUP(E778&amp;F778,IMPORTRANGE(""https://docs.google.com/spreadsheets/d/1Uw7-A9f9R21vMXxHZFNpYNeKFtG8_yji4HS352LGlSQ/edit?pli=1#gid=0"",""1_ACUM!A4:S""),19,FALSE))"),"")</f>
        <v/>
      </c>
      <c r="BG512" s="98" t="str">
        <f ca="1">IFERROR(__xludf.DUMMYFUNCTION("IFERROR(VLOOKUP(F778,IMPORTRANGE(""https://docs.google.com/spreadsheets/d/1Kvs4KS76FHFqLFIZfrDMff4kP08nblUkihrxltoGBjg/edit#gid=934712705"",""ESENCIAL!A6:BG""),5,FALSE))"),"")</f>
        <v/>
      </c>
      <c r="BH512" s="98" t="str">
        <f t="shared" si="25"/>
        <v/>
      </c>
      <c r="BI512" s="99" t="str">
        <f t="shared" si="26"/>
        <v/>
      </c>
      <c r="BJ512" s="100" t="str">
        <f ca="1">IFERROR(__xludf.DUMMYFUNCTION("IFERROR(VLOOKUP(F778,IMPORTRANGE(""https://docs.google.com/spreadsheets/d/1Kvs4KS76FHFqLFIZfrDMff4kP08nblUkihrxltoGBjg/edit#gid=934712705"",""ESENCIAL!A6:BG""),2,FALSE))"),"")</f>
        <v/>
      </c>
      <c r="BK512" s="19" t="str">
        <f t="shared" si="27"/>
        <v/>
      </c>
      <c r="BL512" s="100"/>
      <c r="BM512" s="100"/>
    </row>
    <row r="513" spans="2:65" ht="15">
      <c r="B513" s="39"/>
      <c r="C513" s="5"/>
      <c r="D513" s="123"/>
      <c r="E513" s="39"/>
      <c r="F513" s="39"/>
      <c r="G513" s="39"/>
      <c r="H513" s="5" t="str">
        <f ca="1">IFERROR(__xludf.DUMMYFUNCTION("IFERROR(VLOOKUP(F779,IMPORTRANGE(""https://docs.google.com/spreadsheets/d/1Kvs4KS76FHFqLFIZfrDMff4kP08nblUkihrxltoGBjg/edit#gid=934712705"",""ESENCIAL!A6:BG""),3,FALSE))"),"")</f>
        <v/>
      </c>
      <c r="I513" s="5" t="str">
        <f ca="1">IFERROR(__xludf.DUMMYFUNCTION("IFERROR(VLOOKUP(F779,IMPORTRANGE(""https://docs.google.com/spreadsheets/d/1Kvs4KS76FHFqLFIZfrDMff4kP08nblUkihrxltoGBjg/edit#gid=934712705"",""ESENCIAL!A6:BG""),8,FALSE))"),"")</f>
        <v/>
      </c>
      <c r="J513" s="39"/>
      <c r="M513" s="40"/>
      <c r="AV513" s="41" t="str">
        <f t="shared" si="24"/>
        <v/>
      </c>
      <c r="AW513" s="5" t="str">
        <f ca="1">IFERROR(__xludf.DUMMYFUNCTION("IFERROR(VLOOKUP(E779&amp;F779,IMPORTRANGE(""https://docs.google.com/spreadsheets/d/1Uw7-A9f9R21vMXxHZFNpYNeKFtG8_yji4HS352LGlSQ/edit?pli=1#gid=0"",""1_ACUM!A4:S""),11,FALSE))"),"")</f>
        <v/>
      </c>
      <c r="AX513" s="42" t="str">
        <f ca="1">IFERROR(__xludf.DUMMYFUNCTION("IFERROR(VLOOKUP(F779,IMPORTRANGE(""https://docs.google.com/spreadsheets/d/1Kvs4KS76FHFqLFIZfrDMff4kP08nblUkihrxltoGBjg/edit#gid=934712705"",""ESENCIAL!A6:BG""),15,FALSE))"),"")</f>
        <v/>
      </c>
      <c r="AY513" s="110" t="str">
        <f ca="1">IFERROR(__xludf.DUMMYFUNCTION("IFERROR(VLOOKUP(E779&amp;F779,IMPORTRANGE(""https://docs.google.com/spreadsheets/d/1Uw7-A9f9R21vMXxHZFNpYNeKFtG8_yji4HS352LGlSQ/edit?pli=1#gid=0"",""1_ACUM!A4:S""),13,FALSE))"),"")</f>
        <v/>
      </c>
      <c r="AZ513" s="43" t="str">
        <f ca="1">IFERROR(__xludf.DUMMYFUNCTION("IFERROR(VLOOKUP(E779&amp;F779,IMPORTRANGE(""https://docs.google.com/spreadsheets/d/1Uw7-A9f9R21vMXxHZFNpYNeKFtG8_yji4HS352LGlSQ/edit?pli=1#gid=0"",""1_ACUM!A4:S""),13,FALSE))"),"")</f>
        <v/>
      </c>
      <c r="BA513" s="43" t="str">
        <f ca="1">IFERROR(__xludf.DUMMYFUNCTION("IFERROR(VLOOKUP(E779&amp;F779,IMPORTRANGE(""https://docs.google.com/spreadsheets/d/1Uw7-A9f9R21vMXxHZFNpYNeKFtG8_yji4HS352LGlSQ/edit?pli=1#gid=0"",""1_ACUM!A4:S""),14,FALSE))"),"")</f>
        <v/>
      </c>
      <c r="BB513" s="43" t="str">
        <f ca="1">IFERROR(__xludf.DUMMYFUNCTION("IFERROR(VLOOKUP(E779&amp;F779,IMPORTRANGE(""https://docs.google.com/spreadsheets/d/1Uw7-A9f9R21vMXxHZFNpYNeKFtG8_yji4HS352LGlSQ/edit?pli=1#gid=0"",""1_ACUM!A4:S""),15,FALSE))"),"")</f>
        <v/>
      </c>
      <c r="BC513" s="43" t="str">
        <f ca="1">IFERROR(__xludf.DUMMYFUNCTION("IFERROR(VLOOKUP(E779&amp;F779,IMPORTRANGE(""https://docs.google.com/spreadsheets/d/1Uw7-A9f9R21vMXxHZFNpYNeKFtG8_yji4HS352LGlSQ/edit?pli=1#gid=0"",""1_ACUM!A4:S""),16,FALSE))"),"")</f>
        <v/>
      </c>
      <c r="BD513" s="43" t="str">
        <f ca="1">IFERROR(__xludf.DUMMYFUNCTION("IFERROR(VLOOKUP(E779&amp;F779,IMPORTRANGE(""https://docs.google.com/spreadsheets/d/1Uw7-A9f9R21vMXxHZFNpYNeKFtG8_yji4HS352LGlSQ/edit?pli=1#gid=0"",""1_ACUM!A4:S""),17,FALSE))"),"")</f>
        <v/>
      </c>
      <c r="BE513" s="44" t="str">
        <f ca="1">IFERROR(__xludf.DUMMYFUNCTION("IFERROR(VLOOKUP(E779&amp;F779,IMPORTRANGE(""https://docs.google.com/spreadsheets/d/1Uw7-A9f9R21vMXxHZFNpYNeKFtG8_yji4HS352LGlSQ/edit?pli=1#gid=0"",""1_ACUM!A4:S""),18,FALSE))"),"")</f>
        <v/>
      </c>
      <c r="BF513" s="44" t="str">
        <f ca="1">IFERROR(__xludf.DUMMYFUNCTION("IFERROR(VLOOKUP(E779&amp;F779,IMPORTRANGE(""https://docs.google.com/spreadsheets/d/1Uw7-A9f9R21vMXxHZFNpYNeKFtG8_yji4HS352LGlSQ/edit?pli=1#gid=0"",""1_ACUM!A4:S""),19,FALSE))"),"")</f>
        <v/>
      </c>
      <c r="BG513" s="98" t="str">
        <f ca="1">IFERROR(__xludf.DUMMYFUNCTION("IFERROR(VLOOKUP(F779,IMPORTRANGE(""https://docs.google.com/spreadsheets/d/1Kvs4KS76FHFqLFIZfrDMff4kP08nblUkihrxltoGBjg/edit#gid=934712705"",""ESENCIAL!A6:BG""),5,FALSE))"),"")</f>
        <v/>
      </c>
      <c r="BH513" s="98" t="str">
        <f t="shared" si="25"/>
        <v/>
      </c>
      <c r="BI513" s="99" t="str">
        <f t="shared" si="26"/>
        <v/>
      </c>
      <c r="BJ513" s="100" t="str">
        <f ca="1">IFERROR(__xludf.DUMMYFUNCTION("IFERROR(VLOOKUP(F779,IMPORTRANGE(""https://docs.google.com/spreadsheets/d/1Kvs4KS76FHFqLFIZfrDMff4kP08nblUkihrxltoGBjg/edit#gid=934712705"",""ESENCIAL!A6:BG""),2,FALSE))"),"")</f>
        <v/>
      </c>
      <c r="BK513" s="19" t="str">
        <f t="shared" si="27"/>
        <v/>
      </c>
      <c r="BL513" s="100"/>
      <c r="BM513" s="100"/>
    </row>
    <row r="514" spans="2:65" ht="15">
      <c r="B514" s="39"/>
      <c r="C514" s="5"/>
      <c r="D514" s="123"/>
      <c r="E514" s="39"/>
      <c r="F514" s="39"/>
      <c r="G514" s="39"/>
      <c r="H514" s="5" t="str">
        <f ca="1">IFERROR(__xludf.DUMMYFUNCTION("IFERROR(VLOOKUP(F780,IMPORTRANGE(""https://docs.google.com/spreadsheets/d/1Kvs4KS76FHFqLFIZfrDMff4kP08nblUkihrxltoGBjg/edit#gid=934712705"",""ESENCIAL!A6:BG""),3,FALSE))"),"")</f>
        <v/>
      </c>
      <c r="I514" s="5" t="str">
        <f ca="1">IFERROR(__xludf.DUMMYFUNCTION("IFERROR(VLOOKUP(F780,IMPORTRANGE(""https://docs.google.com/spreadsheets/d/1Kvs4KS76FHFqLFIZfrDMff4kP08nblUkihrxltoGBjg/edit#gid=934712705"",""ESENCIAL!A6:BG""),8,FALSE))"),"")</f>
        <v/>
      </c>
      <c r="J514" s="39"/>
      <c r="M514" s="40"/>
      <c r="AV514" s="41" t="str">
        <f t="shared" si="24"/>
        <v/>
      </c>
      <c r="AW514" s="5" t="str">
        <f ca="1">IFERROR(__xludf.DUMMYFUNCTION("IFERROR(VLOOKUP(E780&amp;F780,IMPORTRANGE(""https://docs.google.com/spreadsheets/d/1Uw7-A9f9R21vMXxHZFNpYNeKFtG8_yji4HS352LGlSQ/edit?pli=1#gid=0"",""1_ACUM!A4:S""),11,FALSE))"),"")</f>
        <v/>
      </c>
      <c r="AX514" s="42" t="str">
        <f ca="1">IFERROR(__xludf.DUMMYFUNCTION("IFERROR(VLOOKUP(F780,IMPORTRANGE(""https://docs.google.com/spreadsheets/d/1Kvs4KS76FHFqLFIZfrDMff4kP08nblUkihrxltoGBjg/edit#gid=934712705"",""ESENCIAL!A6:BG""),15,FALSE))"),"")</f>
        <v/>
      </c>
      <c r="AY514" s="110" t="str">
        <f ca="1">IFERROR(__xludf.DUMMYFUNCTION("IFERROR(VLOOKUP(E780&amp;F780,IMPORTRANGE(""https://docs.google.com/spreadsheets/d/1Uw7-A9f9R21vMXxHZFNpYNeKFtG8_yji4HS352LGlSQ/edit?pli=1#gid=0"",""1_ACUM!A4:S""),13,FALSE))"),"")</f>
        <v/>
      </c>
      <c r="AZ514" s="43" t="str">
        <f ca="1">IFERROR(__xludf.DUMMYFUNCTION("IFERROR(VLOOKUP(E780&amp;F780,IMPORTRANGE(""https://docs.google.com/spreadsheets/d/1Uw7-A9f9R21vMXxHZFNpYNeKFtG8_yji4HS352LGlSQ/edit?pli=1#gid=0"",""1_ACUM!A4:S""),13,FALSE))"),"")</f>
        <v/>
      </c>
      <c r="BA514" s="43" t="str">
        <f ca="1">IFERROR(__xludf.DUMMYFUNCTION("IFERROR(VLOOKUP(E780&amp;F780,IMPORTRANGE(""https://docs.google.com/spreadsheets/d/1Uw7-A9f9R21vMXxHZFNpYNeKFtG8_yji4HS352LGlSQ/edit?pli=1#gid=0"",""1_ACUM!A4:S""),14,FALSE))"),"")</f>
        <v/>
      </c>
      <c r="BB514" s="43" t="str">
        <f ca="1">IFERROR(__xludf.DUMMYFUNCTION("IFERROR(VLOOKUP(E780&amp;F780,IMPORTRANGE(""https://docs.google.com/spreadsheets/d/1Uw7-A9f9R21vMXxHZFNpYNeKFtG8_yji4HS352LGlSQ/edit?pli=1#gid=0"",""1_ACUM!A4:S""),15,FALSE))"),"")</f>
        <v/>
      </c>
      <c r="BC514" s="43" t="str">
        <f ca="1">IFERROR(__xludf.DUMMYFUNCTION("IFERROR(VLOOKUP(E780&amp;F780,IMPORTRANGE(""https://docs.google.com/spreadsheets/d/1Uw7-A9f9R21vMXxHZFNpYNeKFtG8_yji4HS352LGlSQ/edit?pli=1#gid=0"",""1_ACUM!A4:S""),16,FALSE))"),"")</f>
        <v/>
      </c>
      <c r="BD514" s="43" t="str">
        <f ca="1">IFERROR(__xludf.DUMMYFUNCTION("IFERROR(VLOOKUP(E780&amp;F780,IMPORTRANGE(""https://docs.google.com/spreadsheets/d/1Uw7-A9f9R21vMXxHZFNpYNeKFtG8_yji4HS352LGlSQ/edit?pli=1#gid=0"",""1_ACUM!A4:S""),17,FALSE))"),"")</f>
        <v/>
      </c>
      <c r="BE514" s="44" t="str">
        <f ca="1">IFERROR(__xludf.DUMMYFUNCTION("IFERROR(VLOOKUP(E780&amp;F780,IMPORTRANGE(""https://docs.google.com/spreadsheets/d/1Uw7-A9f9R21vMXxHZFNpYNeKFtG8_yji4HS352LGlSQ/edit?pli=1#gid=0"",""1_ACUM!A4:S""),18,FALSE))"),"")</f>
        <v/>
      </c>
      <c r="BF514" s="44" t="str">
        <f ca="1">IFERROR(__xludf.DUMMYFUNCTION("IFERROR(VLOOKUP(E780&amp;F780,IMPORTRANGE(""https://docs.google.com/spreadsheets/d/1Uw7-A9f9R21vMXxHZFNpYNeKFtG8_yji4HS352LGlSQ/edit?pli=1#gid=0"",""1_ACUM!A4:S""),19,FALSE))"),"")</f>
        <v/>
      </c>
      <c r="BG514" s="98" t="str">
        <f ca="1">IFERROR(__xludf.DUMMYFUNCTION("IFERROR(VLOOKUP(F780,IMPORTRANGE(""https://docs.google.com/spreadsheets/d/1Kvs4KS76FHFqLFIZfrDMff4kP08nblUkihrxltoGBjg/edit#gid=934712705"",""ESENCIAL!A6:BG""),5,FALSE))"),"")</f>
        <v/>
      </c>
      <c r="BH514" s="98" t="str">
        <f t="shared" si="25"/>
        <v/>
      </c>
      <c r="BI514" s="99" t="str">
        <f t="shared" si="26"/>
        <v/>
      </c>
      <c r="BJ514" s="100" t="str">
        <f ca="1">IFERROR(__xludf.DUMMYFUNCTION("IFERROR(VLOOKUP(F780,IMPORTRANGE(""https://docs.google.com/spreadsheets/d/1Kvs4KS76FHFqLFIZfrDMff4kP08nblUkihrxltoGBjg/edit#gid=934712705"",""ESENCIAL!A6:BG""),2,FALSE))"),"")</f>
        <v/>
      </c>
      <c r="BK514" s="19" t="str">
        <f t="shared" si="27"/>
        <v/>
      </c>
      <c r="BL514" s="100"/>
      <c r="BM514" s="100"/>
    </row>
    <row r="515" spans="2:65" ht="15">
      <c r="B515" s="39"/>
      <c r="C515" s="5"/>
      <c r="D515" s="123"/>
      <c r="E515" s="39"/>
      <c r="F515" s="39"/>
      <c r="G515" s="39"/>
      <c r="H515" s="5" t="str">
        <f ca="1">IFERROR(__xludf.DUMMYFUNCTION("IFERROR(VLOOKUP(F781,IMPORTRANGE(""https://docs.google.com/spreadsheets/d/1Kvs4KS76FHFqLFIZfrDMff4kP08nblUkihrxltoGBjg/edit#gid=934712705"",""ESENCIAL!A6:BG""),3,FALSE))"),"")</f>
        <v/>
      </c>
      <c r="I515" s="5" t="str">
        <f ca="1">IFERROR(__xludf.DUMMYFUNCTION("IFERROR(VLOOKUP(F781,IMPORTRANGE(""https://docs.google.com/spreadsheets/d/1Kvs4KS76FHFqLFIZfrDMff4kP08nblUkihrxltoGBjg/edit#gid=934712705"",""ESENCIAL!A6:BG""),8,FALSE))"),"")</f>
        <v/>
      </c>
      <c r="J515" s="39"/>
      <c r="M515" s="40"/>
      <c r="AV515" s="41" t="str">
        <f t="shared" si="24"/>
        <v/>
      </c>
      <c r="AW515" s="5" t="str">
        <f ca="1">IFERROR(__xludf.DUMMYFUNCTION("IFERROR(VLOOKUP(E781&amp;F781,IMPORTRANGE(""https://docs.google.com/spreadsheets/d/1Uw7-A9f9R21vMXxHZFNpYNeKFtG8_yji4HS352LGlSQ/edit?pli=1#gid=0"",""1_ACUM!A4:S""),11,FALSE))"),"")</f>
        <v/>
      </c>
      <c r="AX515" s="42" t="str">
        <f ca="1">IFERROR(__xludf.DUMMYFUNCTION("IFERROR(VLOOKUP(F781,IMPORTRANGE(""https://docs.google.com/spreadsheets/d/1Kvs4KS76FHFqLFIZfrDMff4kP08nblUkihrxltoGBjg/edit#gid=934712705"",""ESENCIAL!A6:BG""),15,FALSE))"),"")</f>
        <v/>
      </c>
      <c r="AY515" s="110" t="str">
        <f ca="1">IFERROR(__xludf.DUMMYFUNCTION("IFERROR(VLOOKUP(E781&amp;F781,IMPORTRANGE(""https://docs.google.com/spreadsheets/d/1Uw7-A9f9R21vMXxHZFNpYNeKFtG8_yji4HS352LGlSQ/edit?pli=1#gid=0"",""1_ACUM!A4:S""),13,FALSE))"),"")</f>
        <v/>
      </c>
      <c r="AZ515" s="43" t="str">
        <f ca="1">IFERROR(__xludf.DUMMYFUNCTION("IFERROR(VLOOKUP(E781&amp;F781,IMPORTRANGE(""https://docs.google.com/spreadsheets/d/1Uw7-A9f9R21vMXxHZFNpYNeKFtG8_yji4HS352LGlSQ/edit?pli=1#gid=0"",""1_ACUM!A4:S""),13,FALSE))"),"")</f>
        <v/>
      </c>
      <c r="BA515" s="43" t="str">
        <f ca="1">IFERROR(__xludf.DUMMYFUNCTION("IFERROR(VLOOKUP(E781&amp;F781,IMPORTRANGE(""https://docs.google.com/spreadsheets/d/1Uw7-A9f9R21vMXxHZFNpYNeKFtG8_yji4HS352LGlSQ/edit?pli=1#gid=0"",""1_ACUM!A4:S""),14,FALSE))"),"")</f>
        <v/>
      </c>
      <c r="BB515" s="43" t="str">
        <f ca="1">IFERROR(__xludf.DUMMYFUNCTION("IFERROR(VLOOKUP(E781&amp;F781,IMPORTRANGE(""https://docs.google.com/spreadsheets/d/1Uw7-A9f9R21vMXxHZFNpYNeKFtG8_yji4HS352LGlSQ/edit?pli=1#gid=0"",""1_ACUM!A4:S""),15,FALSE))"),"")</f>
        <v/>
      </c>
      <c r="BC515" s="43" t="str">
        <f ca="1">IFERROR(__xludf.DUMMYFUNCTION("IFERROR(VLOOKUP(E781&amp;F781,IMPORTRANGE(""https://docs.google.com/spreadsheets/d/1Uw7-A9f9R21vMXxHZFNpYNeKFtG8_yji4HS352LGlSQ/edit?pli=1#gid=0"",""1_ACUM!A4:S""),16,FALSE))"),"")</f>
        <v/>
      </c>
      <c r="BD515" s="43" t="str">
        <f ca="1">IFERROR(__xludf.DUMMYFUNCTION("IFERROR(VLOOKUP(E781&amp;F781,IMPORTRANGE(""https://docs.google.com/spreadsheets/d/1Uw7-A9f9R21vMXxHZFNpYNeKFtG8_yji4HS352LGlSQ/edit?pli=1#gid=0"",""1_ACUM!A4:S""),17,FALSE))"),"")</f>
        <v/>
      </c>
      <c r="BE515" s="44" t="str">
        <f ca="1">IFERROR(__xludf.DUMMYFUNCTION("IFERROR(VLOOKUP(E781&amp;F781,IMPORTRANGE(""https://docs.google.com/spreadsheets/d/1Uw7-A9f9R21vMXxHZFNpYNeKFtG8_yji4HS352LGlSQ/edit?pli=1#gid=0"",""1_ACUM!A4:S""),18,FALSE))"),"")</f>
        <v/>
      </c>
      <c r="BF515" s="44" t="str">
        <f ca="1">IFERROR(__xludf.DUMMYFUNCTION("IFERROR(VLOOKUP(E781&amp;F781,IMPORTRANGE(""https://docs.google.com/spreadsheets/d/1Uw7-A9f9R21vMXxHZFNpYNeKFtG8_yji4HS352LGlSQ/edit?pli=1#gid=0"",""1_ACUM!A4:S""),19,FALSE))"),"")</f>
        <v/>
      </c>
      <c r="BG515" s="98" t="str">
        <f ca="1">IFERROR(__xludf.DUMMYFUNCTION("IFERROR(VLOOKUP(F781,IMPORTRANGE(""https://docs.google.com/spreadsheets/d/1Kvs4KS76FHFqLFIZfrDMff4kP08nblUkihrxltoGBjg/edit#gid=934712705"",""ESENCIAL!A6:BG""),5,FALSE))"),"")</f>
        <v/>
      </c>
      <c r="BH515" s="98" t="str">
        <f t="shared" si="25"/>
        <v/>
      </c>
      <c r="BI515" s="99" t="str">
        <f t="shared" si="26"/>
        <v/>
      </c>
      <c r="BJ515" s="100" t="str">
        <f ca="1">IFERROR(__xludf.DUMMYFUNCTION("IFERROR(VLOOKUP(F781,IMPORTRANGE(""https://docs.google.com/spreadsheets/d/1Kvs4KS76FHFqLFIZfrDMff4kP08nblUkihrxltoGBjg/edit#gid=934712705"",""ESENCIAL!A6:BG""),2,FALSE))"),"")</f>
        <v/>
      </c>
      <c r="BK515" s="19" t="str">
        <f t="shared" si="27"/>
        <v/>
      </c>
      <c r="BL515" s="100"/>
      <c r="BM515" s="100"/>
    </row>
    <row r="516" spans="2:65" ht="15">
      <c r="B516" s="39"/>
      <c r="C516" s="5"/>
      <c r="D516" s="123"/>
      <c r="E516" s="39"/>
      <c r="F516" s="39"/>
      <c r="G516" s="39"/>
      <c r="H516" s="5" t="str">
        <f ca="1">IFERROR(__xludf.DUMMYFUNCTION("IFERROR(VLOOKUP(F782,IMPORTRANGE(""https://docs.google.com/spreadsheets/d/1Kvs4KS76FHFqLFIZfrDMff4kP08nblUkihrxltoGBjg/edit#gid=934712705"",""ESENCIAL!A6:BG""),3,FALSE))"),"")</f>
        <v/>
      </c>
      <c r="I516" s="5" t="str">
        <f ca="1">IFERROR(__xludf.DUMMYFUNCTION("IFERROR(VLOOKUP(F782,IMPORTRANGE(""https://docs.google.com/spreadsheets/d/1Kvs4KS76FHFqLFIZfrDMff4kP08nblUkihrxltoGBjg/edit#gid=934712705"",""ESENCIAL!A6:BG""),8,FALSE))"),"")</f>
        <v/>
      </c>
      <c r="J516" s="39"/>
      <c r="M516" s="40"/>
      <c r="AV516" s="41" t="str">
        <f t="shared" si="24"/>
        <v/>
      </c>
      <c r="AW516" s="5" t="str">
        <f ca="1">IFERROR(__xludf.DUMMYFUNCTION("IFERROR(VLOOKUP(E782&amp;F782,IMPORTRANGE(""https://docs.google.com/spreadsheets/d/1Uw7-A9f9R21vMXxHZFNpYNeKFtG8_yji4HS352LGlSQ/edit?pli=1#gid=0"",""1_ACUM!A4:S""),11,FALSE))"),"")</f>
        <v/>
      </c>
      <c r="AX516" s="42" t="str">
        <f ca="1">IFERROR(__xludf.DUMMYFUNCTION("IFERROR(VLOOKUP(F782,IMPORTRANGE(""https://docs.google.com/spreadsheets/d/1Kvs4KS76FHFqLFIZfrDMff4kP08nblUkihrxltoGBjg/edit#gid=934712705"",""ESENCIAL!A6:BG""),15,FALSE))"),"")</f>
        <v/>
      </c>
      <c r="AY516" s="110" t="str">
        <f ca="1">IFERROR(__xludf.DUMMYFUNCTION("IFERROR(VLOOKUP(E782&amp;F782,IMPORTRANGE(""https://docs.google.com/spreadsheets/d/1Uw7-A9f9R21vMXxHZFNpYNeKFtG8_yji4HS352LGlSQ/edit?pli=1#gid=0"",""1_ACUM!A4:S""),13,FALSE))"),"")</f>
        <v/>
      </c>
      <c r="AZ516" s="43" t="str">
        <f ca="1">IFERROR(__xludf.DUMMYFUNCTION("IFERROR(VLOOKUP(E782&amp;F782,IMPORTRANGE(""https://docs.google.com/spreadsheets/d/1Uw7-A9f9R21vMXxHZFNpYNeKFtG8_yji4HS352LGlSQ/edit?pli=1#gid=0"",""1_ACUM!A4:S""),13,FALSE))"),"")</f>
        <v/>
      </c>
      <c r="BA516" s="43" t="str">
        <f ca="1">IFERROR(__xludf.DUMMYFUNCTION("IFERROR(VLOOKUP(E782&amp;F782,IMPORTRANGE(""https://docs.google.com/spreadsheets/d/1Uw7-A9f9R21vMXxHZFNpYNeKFtG8_yji4HS352LGlSQ/edit?pli=1#gid=0"",""1_ACUM!A4:S""),14,FALSE))"),"")</f>
        <v/>
      </c>
      <c r="BB516" s="43" t="str">
        <f ca="1">IFERROR(__xludf.DUMMYFUNCTION("IFERROR(VLOOKUP(E782&amp;F782,IMPORTRANGE(""https://docs.google.com/spreadsheets/d/1Uw7-A9f9R21vMXxHZFNpYNeKFtG8_yji4HS352LGlSQ/edit?pli=1#gid=0"",""1_ACUM!A4:S""),15,FALSE))"),"")</f>
        <v/>
      </c>
      <c r="BC516" s="43" t="str">
        <f ca="1">IFERROR(__xludf.DUMMYFUNCTION("IFERROR(VLOOKUP(E782&amp;F782,IMPORTRANGE(""https://docs.google.com/spreadsheets/d/1Uw7-A9f9R21vMXxHZFNpYNeKFtG8_yji4HS352LGlSQ/edit?pli=1#gid=0"",""1_ACUM!A4:S""),16,FALSE))"),"")</f>
        <v/>
      </c>
      <c r="BD516" s="43" t="str">
        <f ca="1">IFERROR(__xludf.DUMMYFUNCTION("IFERROR(VLOOKUP(E782&amp;F782,IMPORTRANGE(""https://docs.google.com/spreadsheets/d/1Uw7-A9f9R21vMXxHZFNpYNeKFtG8_yji4HS352LGlSQ/edit?pli=1#gid=0"",""1_ACUM!A4:S""),17,FALSE))"),"")</f>
        <v/>
      </c>
      <c r="BE516" s="44" t="str">
        <f ca="1">IFERROR(__xludf.DUMMYFUNCTION("IFERROR(VLOOKUP(E782&amp;F782,IMPORTRANGE(""https://docs.google.com/spreadsheets/d/1Uw7-A9f9R21vMXxHZFNpYNeKFtG8_yji4HS352LGlSQ/edit?pli=1#gid=0"",""1_ACUM!A4:S""),18,FALSE))"),"")</f>
        <v/>
      </c>
      <c r="BF516" s="44" t="str">
        <f ca="1">IFERROR(__xludf.DUMMYFUNCTION("IFERROR(VLOOKUP(E782&amp;F782,IMPORTRANGE(""https://docs.google.com/spreadsheets/d/1Uw7-A9f9R21vMXxHZFNpYNeKFtG8_yji4HS352LGlSQ/edit?pli=1#gid=0"",""1_ACUM!A4:S""),19,FALSE))"),"")</f>
        <v/>
      </c>
      <c r="BG516" s="98" t="str">
        <f ca="1">IFERROR(__xludf.DUMMYFUNCTION("IFERROR(VLOOKUP(F782,IMPORTRANGE(""https://docs.google.com/spreadsheets/d/1Kvs4KS76FHFqLFIZfrDMff4kP08nblUkihrxltoGBjg/edit#gid=934712705"",""ESENCIAL!A6:BG""),5,FALSE))"),"")</f>
        <v/>
      </c>
      <c r="BH516" s="98" t="str">
        <f t="shared" si="25"/>
        <v/>
      </c>
      <c r="BI516" s="99" t="str">
        <f t="shared" si="26"/>
        <v/>
      </c>
      <c r="BJ516" s="100" t="str">
        <f ca="1">IFERROR(__xludf.DUMMYFUNCTION("IFERROR(VLOOKUP(F782,IMPORTRANGE(""https://docs.google.com/spreadsheets/d/1Kvs4KS76FHFqLFIZfrDMff4kP08nblUkihrxltoGBjg/edit#gid=934712705"",""ESENCIAL!A6:BG""),2,FALSE))"),"")</f>
        <v/>
      </c>
      <c r="BK516" s="19" t="str">
        <f t="shared" si="27"/>
        <v/>
      </c>
      <c r="BL516" s="100"/>
      <c r="BM516" s="100"/>
    </row>
    <row r="517" spans="2:65" ht="15">
      <c r="B517" s="39"/>
      <c r="C517" s="5"/>
      <c r="D517" s="123"/>
      <c r="E517" s="39"/>
      <c r="F517" s="39"/>
      <c r="G517" s="39"/>
      <c r="H517" s="5" t="str">
        <f ca="1">IFERROR(__xludf.DUMMYFUNCTION("IFERROR(VLOOKUP(F783,IMPORTRANGE(""https://docs.google.com/spreadsheets/d/1Kvs4KS76FHFqLFIZfrDMff4kP08nblUkihrxltoGBjg/edit#gid=934712705"",""ESENCIAL!A6:BG""),3,FALSE))"),"")</f>
        <v/>
      </c>
      <c r="I517" s="5" t="str">
        <f ca="1">IFERROR(__xludf.DUMMYFUNCTION("IFERROR(VLOOKUP(F783,IMPORTRANGE(""https://docs.google.com/spreadsheets/d/1Kvs4KS76FHFqLFIZfrDMff4kP08nblUkihrxltoGBjg/edit#gid=934712705"",""ESENCIAL!A6:BG""),8,FALSE))"),"")</f>
        <v/>
      </c>
      <c r="J517" s="39"/>
      <c r="M517" s="40"/>
      <c r="AV517" s="41" t="str">
        <f t="shared" si="24"/>
        <v/>
      </c>
      <c r="AW517" s="5" t="str">
        <f ca="1">IFERROR(__xludf.DUMMYFUNCTION("IFERROR(VLOOKUP(E783&amp;F783,IMPORTRANGE(""https://docs.google.com/spreadsheets/d/1Uw7-A9f9R21vMXxHZFNpYNeKFtG8_yji4HS352LGlSQ/edit?pli=1#gid=0"",""1_ACUM!A4:S""),11,FALSE))"),"")</f>
        <v/>
      </c>
      <c r="AX517" s="42" t="str">
        <f ca="1">IFERROR(__xludf.DUMMYFUNCTION("IFERROR(VLOOKUP(F783,IMPORTRANGE(""https://docs.google.com/spreadsheets/d/1Kvs4KS76FHFqLFIZfrDMff4kP08nblUkihrxltoGBjg/edit#gid=934712705"",""ESENCIAL!A6:BG""),15,FALSE))"),"")</f>
        <v/>
      </c>
      <c r="AY517" s="110" t="str">
        <f ca="1">IFERROR(__xludf.DUMMYFUNCTION("IFERROR(VLOOKUP(E783&amp;F783,IMPORTRANGE(""https://docs.google.com/spreadsheets/d/1Uw7-A9f9R21vMXxHZFNpYNeKFtG8_yji4HS352LGlSQ/edit?pli=1#gid=0"",""1_ACUM!A4:S""),13,FALSE))"),"")</f>
        <v/>
      </c>
      <c r="AZ517" s="43" t="str">
        <f ca="1">IFERROR(__xludf.DUMMYFUNCTION("IFERROR(VLOOKUP(E783&amp;F783,IMPORTRANGE(""https://docs.google.com/spreadsheets/d/1Uw7-A9f9R21vMXxHZFNpYNeKFtG8_yji4HS352LGlSQ/edit?pli=1#gid=0"",""1_ACUM!A4:S""),13,FALSE))"),"")</f>
        <v/>
      </c>
      <c r="BA517" s="43" t="str">
        <f ca="1">IFERROR(__xludf.DUMMYFUNCTION("IFERROR(VLOOKUP(E783&amp;F783,IMPORTRANGE(""https://docs.google.com/spreadsheets/d/1Uw7-A9f9R21vMXxHZFNpYNeKFtG8_yji4HS352LGlSQ/edit?pli=1#gid=0"",""1_ACUM!A4:S""),14,FALSE))"),"")</f>
        <v/>
      </c>
      <c r="BB517" s="43" t="str">
        <f ca="1">IFERROR(__xludf.DUMMYFUNCTION("IFERROR(VLOOKUP(E783&amp;F783,IMPORTRANGE(""https://docs.google.com/spreadsheets/d/1Uw7-A9f9R21vMXxHZFNpYNeKFtG8_yji4HS352LGlSQ/edit?pli=1#gid=0"",""1_ACUM!A4:S""),15,FALSE))"),"")</f>
        <v/>
      </c>
      <c r="BC517" s="43" t="str">
        <f ca="1">IFERROR(__xludf.DUMMYFUNCTION("IFERROR(VLOOKUP(E783&amp;F783,IMPORTRANGE(""https://docs.google.com/spreadsheets/d/1Uw7-A9f9R21vMXxHZFNpYNeKFtG8_yji4HS352LGlSQ/edit?pli=1#gid=0"",""1_ACUM!A4:S""),16,FALSE))"),"")</f>
        <v/>
      </c>
      <c r="BD517" s="43" t="str">
        <f ca="1">IFERROR(__xludf.DUMMYFUNCTION("IFERROR(VLOOKUP(E783&amp;F783,IMPORTRANGE(""https://docs.google.com/spreadsheets/d/1Uw7-A9f9R21vMXxHZFNpYNeKFtG8_yji4HS352LGlSQ/edit?pli=1#gid=0"",""1_ACUM!A4:S""),17,FALSE))"),"")</f>
        <v/>
      </c>
      <c r="BE517" s="44" t="str">
        <f ca="1">IFERROR(__xludf.DUMMYFUNCTION("IFERROR(VLOOKUP(E783&amp;F783,IMPORTRANGE(""https://docs.google.com/spreadsheets/d/1Uw7-A9f9R21vMXxHZFNpYNeKFtG8_yji4HS352LGlSQ/edit?pli=1#gid=0"",""1_ACUM!A4:S""),18,FALSE))"),"")</f>
        <v/>
      </c>
      <c r="BF517" s="44" t="str">
        <f ca="1">IFERROR(__xludf.DUMMYFUNCTION("IFERROR(VLOOKUP(E783&amp;F783,IMPORTRANGE(""https://docs.google.com/spreadsheets/d/1Uw7-A9f9R21vMXxHZFNpYNeKFtG8_yji4HS352LGlSQ/edit?pli=1#gid=0"",""1_ACUM!A4:S""),19,FALSE))"),"")</f>
        <v/>
      </c>
      <c r="BG517" s="98" t="str">
        <f ca="1">IFERROR(__xludf.DUMMYFUNCTION("IFERROR(VLOOKUP(F783,IMPORTRANGE(""https://docs.google.com/spreadsheets/d/1Kvs4KS76FHFqLFIZfrDMff4kP08nblUkihrxltoGBjg/edit#gid=934712705"",""ESENCIAL!A6:BG""),5,FALSE))"),"")</f>
        <v/>
      </c>
      <c r="BH517" s="98" t="str">
        <f t="shared" si="25"/>
        <v/>
      </c>
      <c r="BI517" s="99" t="str">
        <f t="shared" si="26"/>
        <v/>
      </c>
      <c r="BJ517" s="100" t="str">
        <f ca="1">IFERROR(__xludf.DUMMYFUNCTION("IFERROR(VLOOKUP(F783,IMPORTRANGE(""https://docs.google.com/spreadsheets/d/1Kvs4KS76FHFqLFIZfrDMff4kP08nblUkihrxltoGBjg/edit#gid=934712705"",""ESENCIAL!A6:BG""),2,FALSE))"),"")</f>
        <v/>
      </c>
      <c r="BK517" s="19" t="str">
        <f t="shared" si="27"/>
        <v/>
      </c>
      <c r="BL517" s="100"/>
      <c r="BM517" s="100"/>
    </row>
    <row r="518" spans="2:65" ht="15">
      <c r="B518" s="39"/>
      <c r="C518" s="5"/>
      <c r="D518" s="123"/>
      <c r="E518" s="39"/>
      <c r="F518" s="39"/>
      <c r="G518" s="39"/>
      <c r="H518" s="5" t="str">
        <f ca="1">IFERROR(__xludf.DUMMYFUNCTION("IFERROR(VLOOKUP(F784,IMPORTRANGE(""https://docs.google.com/spreadsheets/d/1Kvs4KS76FHFqLFIZfrDMff4kP08nblUkihrxltoGBjg/edit#gid=934712705"",""ESENCIAL!A6:BG""),3,FALSE))"),"")</f>
        <v/>
      </c>
      <c r="I518" s="5" t="str">
        <f ca="1">IFERROR(__xludf.DUMMYFUNCTION("IFERROR(VLOOKUP(F784,IMPORTRANGE(""https://docs.google.com/spreadsheets/d/1Kvs4KS76FHFqLFIZfrDMff4kP08nblUkihrxltoGBjg/edit#gid=934712705"",""ESENCIAL!A6:BG""),8,FALSE))"),"")</f>
        <v/>
      </c>
      <c r="J518" s="39"/>
      <c r="M518" s="40"/>
      <c r="AV518" s="41" t="str">
        <f t="shared" si="24"/>
        <v/>
      </c>
      <c r="AW518" s="5" t="str">
        <f ca="1">IFERROR(__xludf.DUMMYFUNCTION("IFERROR(VLOOKUP(E784&amp;F784,IMPORTRANGE(""https://docs.google.com/spreadsheets/d/1Uw7-A9f9R21vMXxHZFNpYNeKFtG8_yji4HS352LGlSQ/edit?pli=1#gid=0"",""1_ACUM!A4:S""),11,FALSE))"),"")</f>
        <v/>
      </c>
      <c r="AX518" s="42" t="str">
        <f ca="1">IFERROR(__xludf.DUMMYFUNCTION("IFERROR(VLOOKUP(F784,IMPORTRANGE(""https://docs.google.com/spreadsheets/d/1Kvs4KS76FHFqLFIZfrDMff4kP08nblUkihrxltoGBjg/edit#gid=934712705"",""ESENCIAL!A6:BG""),15,FALSE))"),"")</f>
        <v/>
      </c>
      <c r="AY518" s="110" t="str">
        <f ca="1">IFERROR(__xludf.DUMMYFUNCTION("IFERROR(VLOOKUP(E784&amp;F784,IMPORTRANGE(""https://docs.google.com/spreadsheets/d/1Uw7-A9f9R21vMXxHZFNpYNeKFtG8_yji4HS352LGlSQ/edit?pli=1#gid=0"",""1_ACUM!A4:S""),13,FALSE))"),"")</f>
        <v/>
      </c>
      <c r="AZ518" s="43" t="str">
        <f ca="1">IFERROR(__xludf.DUMMYFUNCTION("IFERROR(VLOOKUP(E784&amp;F784,IMPORTRANGE(""https://docs.google.com/spreadsheets/d/1Uw7-A9f9R21vMXxHZFNpYNeKFtG8_yji4HS352LGlSQ/edit?pli=1#gid=0"",""1_ACUM!A4:S""),13,FALSE))"),"")</f>
        <v/>
      </c>
      <c r="BA518" s="43" t="str">
        <f ca="1">IFERROR(__xludf.DUMMYFUNCTION("IFERROR(VLOOKUP(E784&amp;F784,IMPORTRANGE(""https://docs.google.com/spreadsheets/d/1Uw7-A9f9R21vMXxHZFNpYNeKFtG8_yji4HS352LGlSQ/edit?pli=1#gid=0"",""1_ACUM!A4:S""),14,FALSE))"),"")</f>
        <v/>
      </c>
      <c r="BB518" s="43" t="str">
        <f ca="1">IFERROR(__xludf.DUMMYFUNCTION("IFERROR(VLOOKUP(E784&amp;F784,IMPORTRANGE(""https://docs.google.com/spreadsheets/d/1Uw7-A9f9R21vMXxHZFNpYNeKFtG8_yji4HS352LGlSQ/edit?pli=1#gid=0"",""1_ACUM!A4:S""),15,FALSE))"),"")</f>
        <v/>
      </c>
      <c r="BC518" s="43" t="str">
        <f ca="1">IFERROR(__xludf.DUMMYFUNCTION("IFERROR(VLOOKUP(E784&amp;F784,IMPORTRANGE(""https://docs.google.com/spreadsheets/d/1Uw7-A9f9R21vMXxHZFNpYNeKFtG8_yji4HS352LGlSQ/edit?pli=1#gid=0"",""1_ACUM!A4:S""),16,FALSE))"),"")</f>
        <v/>
      </c>
      <c r="BD518" s="43" t="str">
        <f ca="1">IFERROR(__xludf.DUMMYFUNCTION("IFERROR(VLOOKUP(E784&amp;F784,IMPORTRANGE(""https://docs.google.com/spreadsheets/d/1Uw7-A9f9R21vMXxHZFNpYNeKFtG8_yji4HS352LGlSQ/edit?pli=1#gid=0"",""1_ACUM!A4:S""),17,FALSE))"),"")</f>
        <v/>
      </c>
      <c r="BE518" s="44" t="str">
        <f ca="1">IFERROR(__xludf.DUMMYFUNCTION("IFERROR(VLOOKUP(E784&amp;F784,IMPORTRANGE(""https://docs.google.com/spreadsheets/d/1Uw7-A9f9R21vMXxHZFNpYNeKFtG8_yji4HS352LGlSQ/edit?pli=1#gid=0"",""1_ACUM!A4:S""),18,FALSE))"),"")</f>
        <v/>
      </c>
      <c r="BF518" s="44" t="str">
        <f ca="1">IFERROR(__xludf.DUMMYFUNCTION("IFERROR(VLOOKUP(E784&amp;F784,IMPORTRANGE(""https://docs.google.com/spreadsheets/d/1Uw7-A9f9R21vMXxHZFNpYNeKFtG8_yji4HS352LGlSQ/edit?pli=1#gid=0"",""1_ACUM!A4:S""),19,FALSE))"),"")</f>
        <v/>
      </c>
      <c r="BG518" s="98" t="str">
        <f ca="1">IFERROR(__xludf.DUMMYFUNCTION("IFERROR(VLOOKUP(F784,IMPORTRANGE(""https://docs.google.com/spreadsheets/d/1Kvs4KS76FHFqLFIZfrDMff4kP08nblUkihrxltoGBjg/edit#gid=934712705"",""ESENCIAL!A6:BG""),5,FALSE))"),"")</f>
        <v/>
      </c>
      <c r="BH518" s="98" t="str">
        <f t="shared" si="25"/>
        <v/>
      </c>
      <c r="BI518" s="99" t="str">
        <f t="shared" si="26"/>
        <v/>
      </c>
      <c r="BJ518" s="100" t="str">
        <f ca="1">IFERROR(__xludf.DUMMYFUNCTION("IFERROR(VLOOKUP(F784,IMPORTRANGE(""https://docs.google.com/spreadsheets/d/1Kvs4KS76FHFqLFIZfrDMff4kP08nblUkihrxltoGBjg/edit#gid=934712705"",""ESENCIAL!A6:BG""),2,FALSE))"),"")</f>
        <v/>
      </c>
      <c r="BK518" s="19" t="str">
        <f t="shared" si="27"/>
        <v/>
      </c>
      <c r="BL518" s="100"/>
      <c r="BM518" s="100"/>
    </row>
    <row r="519" spans="2:65" ht="15">
      <c r="B519" s="39"/>
      <c r="C519" s="5"/>
      <c r="D519" s="123"/>
      <c r="E519" s="39"/>
      <c r="F519" s="39"/>
      <c r="G519" s="39"/>
      <c r="H519" s="5" t="str">
        <f ca="1">IFERROR(__xludf.DUMMYFUNCTION("IFERROR(VLOOKUP(F785,IMPORTRANGE(""https://docs.google.com/spreadsheets/d/1Kvs4KS76FHFqLFIZfrDMff4kP08nblUkihrxltoGBjg/edit#gid=934712705"",""ESENCIAL!A6:BG""),3,FALSE))"),"")</f>
        <v/>
      </c>
      <c r="I519" s="5" t="str">
        <f ca="1">IFERROR(__xludf.DUMMYFUNCTION("IFERROR(VLOOKUP(F785,IMPORTRANGE(""https://docs.google.com/spreadsheets/d/1Kvs4KS76FHFqLFIZfrDMff4kP08nblUkihrxltoGBjg/edit#gid=934712705"",""ESENCIAL!A6:BG""),8,FALSE))"),"")</f>
        <v/>
      </c>
      <c r="J519" s="39"/>
      <c r="M519" s="40"/>
      <c r="AV519" s="41" t="str">
        <f t="shared" si="24"/>
        <v/>
      </c>
      <c r="AW519" s="5" t="str">
        <f ca="1">IFERROR(__xludf.DUMMYFUNCTION("IFERROR(VLOOKUP(E785&amp;F785,IMPORTRANGE(""https://docs.google.com/spreadsheets/d/1Uw7-A9f9R21vMXxHZFNpYNeKFtG8_yji4HS352LGlSQ/edit?pli=1#gid=0"",""1_ACUM!A4:S""),11,FALSE))"),"")</f>
        <v/>
      </c>
      <c r="AX519" s="42" t="str">
        <f ca="1">IFERROR(__xludf.DUMMYFUNCTION("IFERROR(VLOOKUP(F785,IMPORTRANGE(""https://docs.google.com/spreadsheets/d/1Kvs4KS76FHFqLFIZfrDMff4kP08nblUkihrxltoGBjg/edit#gid=934712705"",""ESENCIAL!A6:BG""),15,FALSE))"),"")</f>
        <v/>
      </c>
      <c r="AY519" s="110" t="str">
        <f ca="1">IFERROR(__xludf.DUMMYFUNCTION("IFERROR(VLOOKUP(E785&amp;F785,IMPORTRANGE(""https://docs.google.com/spreadsheets/d/1Uw7-A9f9R21vMXxHZFNpYNeKFtG8_yji4HS352LGlSQ/edit?pli=1#gid=0"",""1_ACUM!A4:S""),13,FALSE))"),"")</f>
        <v/>
      </c>
      <c r="AZ519" s="43" t="str">
        <f ca="1">IFERROR(__xludf.DUMMYFUNCTION("IFERROR(VLOOKUP(E785&amp;F785,IMPORTRANGE(""https://docs.google.com/spreadsheets/d/1Uw7-A9f9R21vMXxHZFNpYNeKFtG8_yji4HS352LGlSQ/edit?pli=1#gid=0"",""1_ACUM!A4:S""),13,FALSE))"),"")</f>
        <v/>
      </c>
      <c r="BA519" s="43" t="str">
        <f ca="1">IFERROR(__xludf.DUMMYFUNCTION("IFERROR(VLOOKUP(E785&amp;F785,IMPORTRANGE(""https://docs.google.com/spreadsheets/d/1Uw7-A9f9R21vMXxHZFNpYNeKFtG8_yji4HS352LGlSQ/edit?pli=1#gid=0"",""1_ACUM!A4:S""),14,FALSE))"),"")</f>
        <v/>
      </c>
      <c r="BB519" s="43" t="str">
        <f ca="1">IFERROR(__xludf.DUMMYFUNCTION("IFERROR(VLOOKUP(E785&amp;F785,IMPORTRANGE(""https://docs.google.com/spreadsheets/d/1Uw7-A9f9R21vMXxHZFNpYNeKFtG8_yji4HS352LGlSQ/edit?pli=1#gid=0"",""1_ACUM!A4:S""),15,FALSE))"),"")</f>
        <v/>
      </c>
      <c r="BC519" s="43" t="str">
        <f ca="1">IFERROR(__xludf.DUMMYFUNCTION("IFERROR(VLOOKUP(E785&amp;F785,IMPORTRANGE(""https://docs.google.com/spreadsheets/d/1Uw7-A9f9R21vMXxHZFNpYNeKFtG8_yji4HS352LGlSQ/edit?pli=1#gid=0"",""1_ACUM!A4:S""),16,FALSE))"),"")</f>
        <v/>
      </c>
      <c r="BD519" s="43" t="str">
        <f ca="1">IFERROR(__xludf.DUMMYFUNCTION("IFERROR(VLOOKUP(E785&amp;F785,IMPORTRANGE(""https://docs.google.com/spreadsheets/d/1Uw7-A9f9R21vMXxHZFNpYNeKFtG8_yji4HS352LGlSQ/edit?pli=1#gid=0"",""1_ACUM!A4:S""),17,FALSE))"),"")</f>
        <v/>
      </c>
      <c r="BE519" s="44" t="str">
        <f ca="1">IFERROR(__xludf.DUMMYFUNCTION("IFERROR(VLOOKUP(E785&amp;F785,IMPORTRANGE(""https://docs.google.com/spreadsheets/d/1Uw7-A9f9R21vMXxHZFNpYNeKFtG8_yji4HS352LGlSQ/edit?pli=1#gid=0"",""1_ACUM!A4:S""),18,FALSE))"),"")</f>
        <v/>
      </c>
      <c r="BF519" s="44" t="str">
        <f ca="1">IFERROR(__xludf.DUMMYFUNCTION("IFERROR(VLOOKUP(E785&amp;F785,IMPORTRANGE(""https://docs.google.com/spreadsheets/d/1Uw7-A9f9R21vMXxHZFNpYNeKFtG8_yji4HS352LGlSQ/edit?pli=1#gid=0"",""1_ACUM!A4:S""),19,FALSE))"),"")</f>
        <v/>
      </c>
      <c r="BG519" s="98" t="str">
        <f ca="1">IFERROR(__xludf.DUMMYFUNCTION("IFERROR(VLOOKUP(F785,IMPORTRANGE(""https://docs.google.com/spreadsheets/d/1Kvs4KS76FHFqLFIZfrDMff4kP08nblUkihrxltoGBjg/edit#gid=934712705"",""ESENCIAL!A6:BG""),5,FALSE))"),"")</f>
        <v/>
      </c>
      <c r="BH519" s="98" t="str">
        <f t="shared" si="25"/>
        <v/>
      </c>
      <c r="BI519" s="99" t="str">
        <f t="shared" si="26"/>
        <v/>
      </c>
      <c r="BJ519" s="100" t="str">
        <f ca="1">IFERROR(__xludf.DUMMYFUNCTION("IFERROR(VLOOKUP(F785,IMPORTRANGE(""https://docs.google.com/spreadsheets/d/1Kvs4KS76FHFqLFIZfrDMff4kP08nblUkihrxltoGBjg/edit#gid=934712705"",""ESENCIAL!A6:BG""),2,FALSE))"),"")</f>
        <v/>
      </c>
      <c r="BK519" s="19" t="str">
        <f t="shared" si="27"/>
        <v/>
      </c>
      <c r="BL519" s="100"/>
      <c r="BM519" s="100"/>
    </row>
    <row r="520" spans="2:65" ht="15">
      <c r="B520" s="39"/>
      <c r="C520" s="5"/>
      <c r="D520" s="123"/>
      <c r="E520" s="39"/>
      <c r="F520" s="39"/>
      <c r="G520" s="39"/>
      <c r="H520" s="5" t="str">
        <f ca="1">IFERROR(__xludf.DUMMYFUNCTION("IFERROR(VLOOKUP(F786,IMPORTRANGE(""https://docs.google.com/spreadsheets/d/1Kvs4KS76FHFqLFIZfrDMff4kP08nblUkihrxltoGBjg/edit#gid=934712705"",""ESENCIAL!A6:BG""),3,FALSE))"),"")</f>
        <v/>
      </c>
      <c r="I520" s="5" t="str">
        <f ca="1">IFERROR(__xludf.DUMMYFUNCTION("IFERROR(VLOOKUP(F786,IMPORTRANGE(""https://docs.google.com/spreadsheets/d/1Kvs4KS76FHFqLFIZfrDMff4kP08nblUkihrxltoGBjg/edit#gid=934712705"",""ESENCIAL!A6:BG""),8,FALSE))"),"")</f>
        <v/>
      </c>
      <c r="J520" s="39"/>
      <c r="M520" s="40"/>
      <c r="AV520" s="41" t="str">
        <f t="shared" si="24"/>
        <v/>
      </c>
      <c r="AW520" s="5" t="str">
        <f ca="1">IFERROR(__xludf.DUMMYFUNCTION("IFERROR(VLOOKUP(E786&amp;F786,IMPORTRANGE(""https://docs.google.com/spreadsheets/d/1Uw7-A9f9R21vMXxHZFNpYNeKFtG8_yji4HS352LGlSQ/edit?pli=1#gid=0"",""1_ACUM!A4:S""),11,FALSE))"),"")</f>
        <v/>
      </c>
      <c r="AX520" s="42" t="str">
        <f ca="1">IFERROR(__xludf.DUMMYFUNCTION("IFERROR(VLOOKUP(F786,IMPORTRANGE(""https://docs.google.com/spreadsheets/d/1Kvs4KS76FHFqLFIZfrDMff4kP08nblUkihrxltoGBjg/edit#gid=934712705"",""ESENCIAL!A6:BG""),15,FALSE))"),"")</f>
        <v/>
      </c>
      <c r="AY520" s="110" t="str">
        <f ca="1">IFERROR(__xludf.DUMMYFUNCTION("IFERROR(VLOOKUP(E786&amp;F786,IMPORTRANGE(""https://docs.google.com/spreadsheets/d/1Uw7-A9f9R21vMXxHZFNpYNeKFtG8_yji4HS352LGlSQ/edit?pli=1#gid=0"",""1_ACUM!A4:S""),13,FALSE))"),"")</f>
        <v/>
      </c>
      <c r="AZ520" s="43" t="str">
        <f ca="1">IFERROR(__xludf.DUMMYFUNCTION("IFERROR(VLOOKUP(E786&amp;F786,IMPORTRANGE(""https://docs.google.com/spreadsheets/d/1Uw7-A9f9R21vMXxHZFNpYNeKFtG8_yji4HS352LGlSQ/edit?pli=1#gid=0"",""1_ACUM!A4:S""),13,FALSE))"),"")</f>
        <v/>
      </c>
      <c r="BA520" s="43" t="str">
        <f ca="1">IFERROR(__xludf.DUMMYFUNCTION("IFERROR(VLOOKUP(E786&amp;F786,IMPORTRANGE(""https://docs.google.com/spreadsheets/d/1Uw7-A9f9R21vMXxHZFNpYNeKFtG8_yji4HS352LGlSQ/edit?pli=1#gid=0"",""1_ACUM!A4:S""),14,FALSE))"),"")</f>
        <v/>
      </c>
      <c r="BB520" s="43" t="str">
        <f ca="1">IFERROR(__xludf.DUMMYFUNCTION("IFERROR(VLOOKUP(E786&amp;F786,IMPORTRANGE(""https://docs.google.com/spreadsheets/d/1Uw7-A9f9R21vMXxHZFNpYNeKFtG8_yji4HS352LGlSQ/edit?pli=1#gid=0"",""1_ACUM!A4:S""),15,FALSE))"),"")</f>
        <v/>
      </c>
      <c r="BC520" s="43" t="str">
        <f ca="1">IFERROR(__xludf.DUMMYFUNCTION("IFERROR(VLOOKUP(E786&amp;F786,IMPORTRANGE(""https://docs.google.com/spreadsheets/d/1Uw7-A9f9R21vMXxHZFNpYNeKFtG8_yji4HS352LGlSQ/edit?pli=1#gid=0"",""1_ACUM!A4:S""),16,FALSE))"),"")</f>
        <v/>
      </c>
      <c r="BD520" s="43" t="str">
        <f ca="1">IFERROR(__xludf.DUMMYFUNCTION("IFERROR(VLOOKUP(E786&amp;F786,IMPORTRANGE(""https://docs.google.com/spreadsheets/d/1Uw7-A9f9R21vMXxHZFNpYNeKFtG8_yji4HS352LGlSQ/edit?pli=1#gid=0"",""1_ACUM!A4:S""),17,FALSE))"),"")</f>
        <v/>
      </c>
      <c r="BE520" s="44" t="str">
        <f ca="1">IFERROR(__xludf.DUMMYFUNCTION("IFERROR(VLOOKUP(E786&amp;F786,IMPORTRANGE(""https://docs.google.com/spreadsheets/d/1Uw7-A9f9R21vMXxHZFNpYNeKFtG8_yji4HS352LGlSQ/edit?pli=1#gid=0"",""1_ACUM!A4:S""),18,FALSE))"),"")</f>
        <v/>
      </c>
      <c r="BF520" s="44" t="str">
        <f ca="1">IFERROR(__xludf.DUMMYFUNCTION("IFERROR(VLOOKUP(E786&amp;F786,IMPORTRANGE(""https://docs.google.com/spreadsheets/d/1Uw7-A9f9R21vMXxHZFNpYNeKFtG8_yji4HS352LGlSQ/edit?pli=1#gid=0"",""1_ACUM!A4:S""),19,FALSE))"),"")</f>
        <v/>
      </c>
      <c r="BG520" s="98" t="str">
        <f ca="1">IFERROR(__xludf.DUMMYFUNCTION("IFERROR(VLOOKUP(F786,IMPORTRANGE(""https://docs.google.com/spreadsheets/d/1Kvs4KS76FHFqLFIZfrDMff4kP08nblUkihrxltoGBjg/edit#gid=934712705"",""ESENCIAL!A6:BG""),5,FALSE))"),"")</f>
        <v/>
      </c>
      <c r="BH520" s="98" t="str">
        <f t="shared" si="25"/>
        <v/>
      </c>
      <c r="BI520" s="99" t="str">
        <f t="shared" si="26"/>
        <v/>
      </c>
      <c r="BJ520" s="100" t="str">
        <f ca="1">IFERROR(__xludf.DUMMYFUNCTION("IFERROR(VLOOKUP(F786,IMPORTRANGE(""https://docs.google.com/spreadsheets/d/1Kvs4KS76FHFqLFIZfrDMff4kP08nblUkihrxltoGBjg/edit#gid=934712705"",""ESENCIAL!A6:BG""),2,FALSE))"),"")</f>
        <v/>
      </c>
      <c r="BK520" s="19" t="str">
        <f t="shared" si="27"/>
        <v/>
      </c>
      <c r="BL520" s="100"/>
      <c r="BM520" s="100"/>
    </row>
    <row r="521" spans="2:65" ht="15">
      <c r="B521" s="39"/>
      <c r="C521" s="5"/>
      <c r="D521" s="123"/>
      <c r="E521" s="39"/>
      <c r="F521" s="39"/>
      <c r="G521" s="39"/>
      <c r="H521" s="5" t="str">
        <f ca="1">IFERROR(__xludf.DUMMYFUNCTION("IFERROR(VLOOKUP(F787,IMPORTRANGE(""https://docs.google.com/spreadsheets/d/1Kvs4KS76FHFqLFIZfrDMff4kP08nblUkihrxltoGBjg/edit#gid=934712705"",""ESENCIAL!A6:BG""),3,FALSE))"),"")</f>
        <v/>
      </c>
      <c r="I521" s="5" t="str">
        <f ca="1">IFERROR(__xludf.DUMMYFUNCTION("IFERROR(VLOOKUP(F787,IMPORTRANGE(""https://docs.google.com/spreadsheets/d/1Kvs4KS76FHFqLFIZfrDMff4kP08nblUkihrxltoGBjg/edit#gid=934712705"",""ESENCIAL!A6:BG""),8,FALSE))"),"")</f>
        <v/>
      </c>
      <c r="J521" s="39"/>
      <c r="M521" s="40"/>
      <c r="AV521" s="41" t="str">
        <f t="shared" si="24"/>
        <v/>
      </c>
      <c r="AW521" s="5" t="str">
        <f ca="1">IFERROR(__xludf.DUMMYFUNCTION("IFERROR(VLOOKUP(E787&amp;F787,IMPORTRANGE(""https://docs.google.com/spreadsheets/d/1Uw7-A9f9R21vMXxHZFNpYNeKFtG8_yji4HS352LGlSQ/edit?pli=1#gid=0"",""1_ACUM!A4:S""),11,FALSE))"),"")</f>
        <v/>
      </c>
      <c r="AX521" s="42" t="str">
        <f ca="1">IFERROR(__xludf.DUMMYFUNCTION("IFERROR(VLOOKUP(F787,IMPORTRANGE(""https://docs.google.com/spreadsheets/d/1Kvs4KS76FHFqLFIZfrDMff4kP08nblUkihrxltoGBjg/edit#gid=934712705"",""ESENCIAL!A6:BG""),15,FALSE))"),"")</f>
        <v/>
      </c>
      <c r="AY521" s="110" t="str">
        <f ca="1">IFERROR(__xludf.DUMMYFUNCTION("IFERROR(VLOOKUP(E787&amp;F787,IMPORTRANGE(""https://docs.google.com/spreadsheets/d/1Uw7-A9f9R21vMXxHZFNpYNeKFtG8_yji4HS352LGlSQ/edit?pli=1#gid=0"",""1_ACUM!A4:S""),13,FALSE))"),"")</f>
        <v/>
      </c>
      <c r="AZ521" s="43" t="str">
        <f ca="1">IFERROR(__xludf.DUMMYFUNCTION("IFERROR(VLOOKUP(E787&amp;F787,IMPORTRANGE(""https://docs.google.com/spreadsheets/d/1Uw7-A9f9R21vMXxHZFNpYNeKFtG8_yji4HS352LGlSQ/edit?pli=1#gid=0"",""1_ACUM!A4:S""),13,FALSE))"),"")</f>
        <v/>
      </c>
      <c r="BA521" s="43" t="str">
        <f ca="1">IFERROR(__xludf.DUMMYFUNCTION("IFERROR(VLOOKUP(E787&amp;F787,IMPORTRANGE(""https://docs.google.com/spreadsheets/d/1Uw7-A9f9R21vMXxHZFNpYNeKFtG8_yji4HS352LGlSQ/edit?pli=1#gid=0"",""1_ACUM!A4:S""),14,FALSE))"),"")</f>
        <v/>
      </c>
      <c r="BB521" s="43" t="str">
        <f ca="1">IFERROR(__xludf.DUMMYFUNCTION("IFERROR(VLOOKUP(E787&amp;F787,IMPORTRANGE(""https://docs.google.com/spreadsheets/d/1Uw7-A9f9R21vMXxHZFNpYNeKFtG8_yji4HS352LGlSQ/edit?pli=1#gid=0"",""1_ACUM!A4:S""),15,FALSE))"),"")</f>
        <v/>
      </c>
      <c r="BC521" s="43" t="str">
        <f ca="1">IFERROR(__xludf.DUMMYFUNCTION("IFERROR(VLOOKUP(E787&amp;F787,IMPORTRANGE(""https://docs.google.com/spreadsheets/d/1Uw7-A9f9R21vMXxHZFNpYNeKFtG8_yji4HS352LGlSQ/edit?pli=1#gid=0"",""1_ACUM!A4:S""),16,FALSE))"),"")</f>
        <v/>
      </c>
      <c r="BD521" s="43" t="str">
        <f ca="1">IFERROR(__xludf.DUMMYFUNCTION("IFERROR(VLOOKUP(E787&amp;F787,IMPORTRANGE(""https://docs.google.com/spreadsheets/d/1Uw7-A9f9R21vMXxHZFNpYNeKFtG8_yji4HS352LGlSQ/edit?pli=1#gid=0"",""1_ACUM!A4:S""),17,FALSE))"),"")</f>
        <v/>
      </c>
      <c r="BE521" s="44" t="str">
        <f ca="1">IFERROR(__xludf.DUMMYFUNCTION("IFERROR(VLOOKUP(E787&amp;F787,IMPORTRANGE(""https://docs.google.com/spreadsheets/d/1Uw7-A9f9R21vMXxHZFNpYNeKFtG8_yji4HS352LGlSQ/edit?pli=1#gid=0"",""1_ACUM!A4:S""),18,FALSE))"),"")</f>
        <v/>
      </c>
      <c r="BF521" s="44" t="str">
        <f ca="1">IFERROR(__xludf.DUMMYFUNCTION("IFERROR(VLOOKUP(E787&amp;F787,IMPORTRANGE(""https://docs.google.com/spreadsheets/d/1Uw7-A9f9R21vMXxHZFNpYNeKFtG8_yji4HS352LGlSQ/edit?pli=1#gid=0"",""1_ACUM!A4:S""),19,FALSE))"),"")</f>
        <v/>
      </c>
      <c r="BG521" s="98" t="str">
        <f ca="1">IFERROR(__xludf.DUMMYFUNCTION("IFERROR(VLOOKUP(F787,IMPORTRANGE(""https://docs.google.com/spreadsheets/d/1Kvs4KS76FHFqLFIZfrDMff4kP08nblUkihrxltoGBjg/edit#gid=934712705"",""ESENCIAL!A6:BG""),5,FALSE))"),"")</f>
        <v/>
      </c>
      <c r="BH521" s="98" t="str">
        <f t="shared" si="25"/>
        <v/>
      </c>
      <c r="BI521" s="99" t="str">
        <f t="shared" si="26"/>
        <v/>
      </c>
      <c r="BJ521" s="100" t="str">
        <f ca="1">IFERROR(__xludf.DUMMYFUNCTION("IFERROR(VLOOKUP(F787,IMPORTRANGE(""https://docs.google.com/spreadsheets/d/1Kvs4KS76FHFqLFIZfrDMff4kP08nblUkihrxltoGBjg/edit#gid=934712705"",""ESENCIAL!A6:BG""),2,FALSE))"),"")</f>
        <v/>
      </c>
      <c r="BK521" s="19" t="str">
        <f t="shared" si="27"/>
        <v/>
      </c>
      <c r="BL521" s="100"/>
      <c r="BM521" s="100"/>
    </row>
    <row r="522" spans="2:65" ht="15">
      <c r="B522" s="39"/>
      <c r="C522" s="5"/>
      <c r="D522" s="123"/>
      <c r="E522" s="39"/>
      <c r="F522" s="39"/>
      <c r="G522" s="39"/>
      <c r="H522" s="5" t="str">
        <f ca="1">IFERROR(__xludf.DUMMYFUNCTION("IFERROR(VLOOKUP(F788,IMPORTRANGE(""https://docs.google.com/spreadsheets/d/1Kvs4KS76FHFqLFIZfrDMff4kP08nblUkihrxltoGBjg/edit#gid=934712705"",""ESENCIAL!A6:BG""),3,FALSE))"),"")</f>
        <v/>
      </c>
      <c r="I522" s="5" t="str">
        <f ca="1">IFERROR(__xludf.DUMMYFUNCTION("IFERROR(VLOOKUP(F788,IMPORTRANGE(""https://docs.google.com/spreadsheets/d/1Kvs4KS76FHFqLFIZfrDMff4kP08nblUkihrxltoGBjg/edit#gid=934712705"",""ESENCIAL!A6:BG""),8,FALSE))"),"")</f>
        <v/>
      </c>
      <c r="J522" s="39"/>
      <c r="M522" s="40"/>
      <c r="AV522" s="41" t="str">
        <f t="shared" si="24"/>
        <v/>
      </c>
      <c r="AW522" s="5" t="str">
        <f ca="1">IFERROR(__xludf.DUMMYFUNCTION("IFERROR(VLOOKUP(E788&amp;F788,IMPORTRANGE(""https://docs.google.com/spreadsheets/d/1Uw7-A9f9R21vMXxHZFNpYNeKFtG8_yji4HS352LGlSQ/edit?pli=1#gid=0"",""1_ACUM!A4:S""),11,FALSE))"),"")</f>
        <v/>
      </c>
      <c r="AX522" s="42" t="str">
        <f ca="1">IFERROR(__xludf.DUMMYFUNCTION("IFERROR(VLOOKUP(F788,IMPORTRANGE(""https://docs.google.com/spreadsheets/d/1Kvs4KS76FHFqLFIZfrDMff4kP08nblUkihrxltoGBjg/edit#gid=934712705"",""ESENCIAL!A6:BG""),15,FALSE))"),"")</f>
        <v/>
      </c>
      <c r="AY522" s="110" t="str">
        <f ca="1">IFERROR(__xludf.DUMMYFUNCTION("IFERROR(VLOOKUP(E788&amp;F788,IMPORTRANGE(""https://docs.google.com/spreadsheets/d/1Uw7-A9f9R21vMXxHZFNpYNeKFtG8_yji4HS352LGlSQ/edit?pli=1#gid=0"",""1_ACUM!A4:S""),13,FALSE))"),"")</f>
        <v/>
      </c>
      <c r="AZ522" s="43" t="str">
        <f ca="1">IFERROR(__xludf.DUMMYFUNCTION("IFERROR(VLOOKUP(E788&amp;F788,IMPORTRANGE(""https://docs.google.com/spreadsheets/d/1Uw7-A9f9R21vMXxHZFNpYNeKFtG8_yji4HS352LGlSQ/edit?pli=1#gid=0"",""1_ACUM!A4:S""),13,FALSE))"),"")</f>
        <v/>
      </c>
      <c r="BA522" s="43" t="str">
        <f ca="1">IFERROR(__xludf.DUMMYFUNCTION("IFERROR(VLOOKUP(E788&amp;F788,IMPORTRANGE(""https://docs.google.com/spreadsheets/d/1Uw7-A9f9R21vMXxHZFNpYNeKFtG8_yji4HS352LGlSQ/edit?pli=1#gid=0"",""1_ACUM!A4:S""),14,FALSE))"),"")</f>
        <v/>
      </c>
      <c r="BB522" s="43" t="str">
        <f ca="1">IFERROR(__xludf.DUMMYFUNCTION("IFERROR(VLOOKUP(E788&amp;F788,IMPORTRANGE(""https://docs.google.com/spreadsheets/d/1Uw7-A9f9R21vMXxHZFNpYNeKFtG8_yji4HS352LGlSQ/edit?pli=1#gid=0"",""1_ACUM!A4:S""),15,FALSE))"),"")</f>
        <v/>
      </c>
      <c r="BC522" s="43" t="str">
        <f ca="1">IFERROR(__xludf.DUMMYFUNCTION("IFERROR(VLOOKUP(E788&amp;F788,IMPORTRANGE(""https://docs.google.com/spreadsheets/d/1Uw7-A9f9R21vMXxHZFNpYNeKFtG8_yji4HS352LGlSQ/edit?pli=1#gid=0"",""1_ACUM!A4:S""),16,FALSE))"),"")</f>
        <v/>
      </c>
      <c r="BD522" s="43" t="str">
        <f ca="1">IFERROR(__xludf.DUMMYFUNCTION("IFERROR(VLOOKUP(E788&amp;F788,IMPORTRANGE(""https://docs.google.com/spreadsheets/d/1Uw7-A9f9R21vMXxHZFNpYNeKFtG8_yji4HS352LGlSQ/edit?pli=1#gid=0"",""1_ACUM!A4:S""),17,FALSE))"),"")</f>
        <v/>
      </c>
      <c r="BE522" s="44" t="str">
        <f ca="1">IFERROR(__xludf.DUMMYFUNCTION("IFERROR(VLOOKUP(E788&amp;F788,IMPORTRANGE(""https://docs.google.com/spreadsheets/d/1Uw7-A9f9R21vMXxHZFNpYNeKFtG8_yji4HS352LGlSQ/edit?pli=1#gid=0"",""1_ACUM!A4:S""),18,FALSE))"),"")</f>
        <v/>
      </c>
      <c r="BF522" s="44" t="str">
        <f ca="1">IFERROR(__xludf.DUMMYFUNCTION("IFERROR(VLOOKUP(E788&amp;F788,IMPORTRANGE(""https://docs.google.com/spreadsheets/d/1Uw7-A9f9R21vMXxHZFNpYNeKFtG8_yji4HS352LGlSQ/edit?pli=1#gid=0"",""1_ACUM!A4:S""),19,FALSE))"),"")</f>
        <v/>
      </c>
      <c r="BG522" s="98" t="str">
        <f ca="1">IFERROR(__xludf.DUMMYFUNCTION("IFERROR(VLOOKUP(F788,IMPORTRANGE(""https://docs.google.com/spreadsheets/d/1Kvs4KS76FHFqLFIZfrDMff4kP08nblUkihrxltoGBjg/edit#gid=934712705"",""ESENCIAL!A6:BG""),5,FALSE))"),"")</f>
        <v/>
      </c>
      <c r="BH522" s="98" t="str">
        <f t="shared" si="25"/>
        <v/>
      </c>
      <c r="BI522" s="99" t="str">
        <f t="shared" si="26"/>
        <v/>
      </c>
      <c r="BJ522" s="100" t="str">
        <f ca="1">IFERROR(__xludf.DUMMYFUNCTION("IFERROR(VLOOKUP(F788,IMPORTRANGE(""https://docs.google.com/spreadsheets/d/1Kvs4KS76FHFqLFIZfrDMff4kP08nblUkihrxltoGBjg/edit#gid=934712705"",""ESENCIAL!A6:BG""),2,FALSE))"),"")</f>
        <v/>
      </c>
      <c r="BK522" s="19" t="str">
        <f t="shared" si="27"/>
        <v/>
      </c>
      <c r="BL522" s="100"/>
      <c r="BM522" s="100"/>
    </row>
    <row r="523" spans="2:65" ht="15">
      <c r="B523" s="39"/>
      <c r="C523" s="5"/>
      <c r="D523" s="123"/>
      <c r="E523" s="39"/>
      <c r="F523" s="39"/>
      <c r="G523" s="39"/>
      <c r="H523" s="5" t="str">
        <f ca="1">IFERROR(__xludf.DUMMYFUNCTION("IFERROR(VLOOKUP(F789,IMPORTRANGE(""https://docs.google.com/spreadsheets/d/1Kvs4KS76FHFqLFIZfrDMff4kP08nblUkihrxltoGBjg/edit#gid=934712705"",""ESENCIAL!A6:BG""),3,FALSE))"),"")</f>
        <v/>
      </c>
      <c r="I523" s="5" t="str">
        <f ca="1">IFERROR(__xludf.DUMMYFUNCTION("IFERROR(VLOOKUP(F789,IMPORTRANGE(""https://docs.google.com/spreadsheets/d/1Kvs4KS76FHFqLFIZfrDMff4kP08nblUkihrxltoGBjg/edit#gid=934712705"",""ESENCIAL!A6:BG""),8,FALSE))"),"")</f>
        <v/>
      </c>
      <c r="J523" s="39"/>
      <c r="M523" s="40"/>
      <c r="AV523" s="41" t="str">
        <f t="shared" si="24"/>
        <v/>
      </c>
      <c r="AW523" s="5" t="str">
        <f ca="1">IFERROR(__xludf.DUMMYFUNCTION("IFERROR(VLOOKUP(E789&amp;F789,IMPORTRANGE(""https://docs.google.com/spreadsheets/d/1Uw7-A9f9R21vMXxHZFNpYNeKFtG8_yji4HS352LGlSQ/edit?pli=1#gid=0"",""1_ACUM!A4:S""),11,FALSE))"),"")</f>
        <v/>
      </c>
      <c r="AX523" s="42" t="str">
        <f ca="1">IFERROR(__xludf.DUMMYFUNCTION("IFERROR(VLOOKUP(F789,IMPORTRANGE(""https://docs.google.com/spreadsheets/d/1Kvs4KS76FHFqLFIZfrDMff4kP08nblUkihrxltoGBjg/edit#gid=934712705"",""ESENCIAL!A6:BG""),15,FALSE))"),"")</f>
        <v/>
      </c>
      <c r="AY523" s="110" t="str">
        <f ca="1">IFERROR(__xludf.DUMMYFUNCTION("IFERROR(VLOOKUP(E789&amp;F789,IMPORTRANGE(""https://docs.google.com/spreadsheets/d/1Uw7-A9f9R21vMXxHZFNpYNeKFtG8_yji4HS352LGlSQ/edit?pli=1#gid=0"",""1_ACUM!A4:S""),13,FALSE))"),"")</f>
        <v/>
      </c>
      <c r="AZ523" s="43" t="str">
        <f ca="1">IFERROR(__xludf.DUMMYFUNCTION("IFERROR(VLOOKUP(E789&amp;F789,IMPORTRANGE(""https://docs.google.com/spreadsheets/d/1Uw7-A9f9R21vMXxHZFNpYNeKFtG8_yji4HS352LGlSQ/edit?pli=1#gid=0"",""1_ACUM!A4:S""),13,FALSE))"),"")</f>
        <v/>
      </c>
      <c r="BA523" s="43" t="str">
        <f ca="1">IFERROR(__xludf.DUMMYFUNCTION("IFERROR(VLOOKUP(E789&amp;F789,IMPORTRANGE(""https://docs.google.com/spreadsheets/d/1Uw7-A9f9R21vMXxHZFNpYNeKFtG8_yji4HS352LGlSQ/edit?pli=1#gid=0"",""1_ACUM!A4:S""),14,FALSE))"),"")</f>
        <v/>
      </c>
      <c r="BB523" s="43" t="str">
        <f ca="1">IFERROR(__xludf.DUMMYFUNCTION("IFERROR(VLOOKUP(E789&amp;F789,IMPORTRANGE(""https://docs.google.com/spreadsheets/d/1Uw7-A9f9R21vMXxHZFNpYNeKFtG8_yji4HS352LGlSQ/edit?pli=1#gid=0"",""1_ACUM!A4:S""),15,FALSE))"),"")</f>
        <v/>
      </c>
      <c r="BC523" s="43" t="str">
        <f ca="1">IFERROR(__xludf.DUMMYFUNCTION("IFERROR(VLOOKUP(E789&amp;F789,IMPORTRANGE(""https://docs.google.com/spreadsheets/d/1Uw7-A9f9R21vMXxHZFNpYNeKFtG8_yji4HS352LGlSQ/edit?pli=1#gid=0"",""1_ACUM!A4:S""),16,FALSE))"),"")</f>
        <v/>
      </c>
      <c r="BD523" s="43" t="str">
        <f ca="1">IFERROR(__xludf.DUMMYFUNCTION("IFERROR(VLOOKUP(E789&amp;F789,IMPORTRANGE(""https://docs.google.com/spreadsheets/d/1Uw7-A9f9R21vMXxHZFNpYNeKFtG8_yji4HS352LGlSQ/edit?pli=1#gid=0"",""1_ACUM!A4:S""),17,FALSE))"),"")</f>
        <v/>
      </c>
      <c r="BE523" s="44" t="str">
        <f ca="1">IFERROR(__xludf.DUMMYFUNCTION("IFERROR(VLOOKUP(E789&amp;F789,IMPORTRANGE(""https://docs.google.com/spreadsheets/d/1Uw7-A9f9R21vMXxHZFNpYNeKFtG8_yji4HS352LGlSQ/edit?pli=1#gid=0"",""1_ACUM!A4:S""),18,FALSE))"),"")</f>
        <v/>
      </c>
      <c r="BF523" s="44" t="str">
        <f ca="1">IFERROR(__xludf.DUMMYFUNCTION("IFERROR(VLOOKUP(E789&amp;F789,IMPORTRANGE(""https://docs.google.com/spreadsheets/d/1Uw7-A9f9R21vMXxHZFNpYNeKFtG8_yji4HS352LGlSQ/edit?pli=1#gid=0"",""1_ACUM!A4:S""),19,FALSE))"),"")</f>
        <v/>
      </c>
      <c r="BG523" s="98" t="str">
        <f ca="1">IFERROR(__xludf.DUMMYFUNCTION("IFERROR(VLOOKUP(F789,IMPORTRANGE(""https://docs.google.com/spreadsheets/d/1Kvs4KS76FHFqLFIZfrDMff4kP08nblUkihrxltoGBjg/edit#gid=934712705"",""ESENCIAL!A6:BG""),5,FALSE))"),"")</f>
        <v/>
      </c>
      <c r="BH523" s="98" t="str">
        <f t="shared" si="25"/>
        <v/>
      </c>
      <c r="BI523" s="99" t="str">
        <f t="shared" si="26"/>
        <v/>
      </c>
      <c r="BJ523" s="100" t="str">
        <f ca="1">IFERROR(__xludf.DUMMYFUNCTION("IFERROR(VLOOKUP(F789,IMPORTRANGE(""https://docs.google.com/spreadsheets/d/1Kvs4KS76FHFqLFIZfrDMff4kP08nblUkihrxltoGBjg/edit#gid=934712705"",""ESENCIAL!A6:BG""),2,FALSE))"),"")</f>
        <v/>
      </c>
      <c r="BK523" s="19" t="str">
        <f t="shared" si="27"/>
        <v/>
      </c>
      <c r="BL523" s="100"/>
      <c r="BM523" s="100"/>
    </row>
    <row r="524" spans="2:65" ht="15">
      <c r="B524" s="39"/>
      <c r="C524" s="5"/>
      <c r="D524" s="123"/>
      <c r="E524" s="39"/>
      <c r="F524" s="39"/>
      <c r="G524" s="39"/>
      <c r="H524" s="5" t="str">
        <f ca="1">IFERROR(__xludf.DUMMYFUNCTION("IFERROR(VLOOKUP(F790,IMPORTRANGE(""https://docs.google.com/spreadsheets/d/1Kvs4KS76FHFqLFIZfrDMff4kP08nblUkihrxltoGBjg/edit#gid=934712705"",""ESENCIAL!A6:BG""),3,FALSE))"),"")</f>
        <v/>
      </c>
      <c r="I524" s="5" t="str">
        <f ca="1">IFERROR(__xludf.DUMMYFUNCTION("IFERROR(VLOOKUP(F790,IMPORTRANGE(""https://docs.google.com/spreadsheets/d/1Kvs4KS76FHFqLFIZfrDMff4kP08nblUkihrxltoGBjg/edit#gid=934712705"",""ESENCIAL!A6:BG""),8,FALSE))"),"")</f>
        <v/>
      </c>
      <c r="J524" s="39"/>
      <c r="M524" s="40"/>
      <c r="AV524" s="41" t="str">
        <f t="shared" si="24"/>
        <v/>
      </c>
      <c r="AW524" s="5" t="str">
        <f ca="1">IFERROR(__xludf.DUMMYFUNCTION("IFERROR(VLOOKUP(E790&amp;F790,IMPORTRANGE(""https://docs.google.com/spreadsheets/d/1Uw7-A9f9R21vMXxHZFNpYNeKFtG8_yji4HS352LGlSQ/edit?pli=1#gid=0"",""1_ACUM!A4:S""),11,FALSE))"),"")</f>
        <v/>
      </c>
      <c r="AX524" s="42" t="str">
        <f ca="1">IFERROR(__xludf.DUMMYFUNCTION("IFERROR(VLOOKUP(F790,IMPORTRANGE(""https://docs.google.com/spreadsheets/d/1Kvs4KS76FHFqLFIZfrDMff4kP08nblUkihrxltoGBjg/edit#gid=934712705"",""ESENCIAL!A6:BG""),15,FALSE))"),"")</f>
        <v/>
      </c>
      <c r="AY524" s="110" t="str">
        <f ca="1">IFERROR(__xludf.DUMMYFUNCTION("IFERROR(VLOOKUP(E790&amp;F790,IMPORTRANGE(""https://docs.google.com/spreadsheets/d/1Uw7-A9f9R21vMXxHZFNpYNeKFtG8_yji4HS352LGlSQ/edit?pli=1#gid=0"",""1_ACUM!A4:S""),13,FALSE))"),"")</f>
        <v/>
      </c>
      <c r="AZ524" s="43" t="str">
        <f ca="1">IFERROR(__xludf.DUMMYFUNCTION("IFERROR(VLOOKUP(E790&amp;F790,IMPORTRANGE(""https://docs.google.com/spreadsheets/d/1Uw7-A9f9R21vMXxHZFNpYNeKFtG8_yji4HS352LGlSQ/edit?pli=1#gid=0"",""1_ACUM!A4:S""),13,FALSE))"),"")</f>
        <v/>
      </c>
      <c r="BA524" s="43" t="str">
        <f ca="1">IFERROR(__xludf.DUMMYFUNCTION("IFERROR(VLOOKUP(E790&amp;F790,IMPORTRANGE(""https://docs.google.com/spreadsheets/d/1Uw7-A9f9R21vMXxHZFNpYNeKFtG8_yji4HS352LGlSQ/edit?pli=1#gid=0"",""1_ACUM!A4:S""),14,FALSE))"),"")</f>
        <v/>
      </c>
      <c r="BB524" s="43" t="str">
        <f ca="1">IFERROR(__xludf.DUMMYFUNCTION("IFERROR(VLOOKUP(E790&amp;F790,IMPORTRANGE(""https://docs.google.com/spreadsheets/d/1Uw7-A9f9R21vMXxHZFNpYNeKFtG8_yji4HS352LGlSQ/edit?pli=1#gid=0"",""1_ACUM!A4:S""),15,FALSE))"),"")</f>
        <v/>
      </c>
      <c r="BC524" s="43" t="str">
        <f ca="1">IFERROR(__xludf.DUMMYFUNCTION("IFERROR(VLOOKUP(E790&amp;F790,IMPORTRANGE(""https://docs.google.com/spreadsheets/d/1Uw7-A9f9R21vMXxHZFNpYNeKFtG8_yji4HS352LGlSQ/edit?pli=1#gid=0"",""1_ACUM!A4:S""),16,FALSE))"),"")</f>
        <v/>
      </c>
      <c r="BD524" s="43" t="str">
        <f ca="1">IFERROR(__xludf.DUMMYFUNCTION("IFERROR(VLOOKUP(E790&amp;F790,IMPORTRANGE(""https://docs.google.com/spreadsheets/d/1Uw7-A9f9R21vMXxHZFNpYNeKFtG8_yji4HS352LGlSQ/edit?pli=1#gid=0"",""1_ACUM!A4:S""),17,FALSE))"),"")</f>
        <v/>
      </c>
      <c r="BE524" s="44" t="str">
        <f ca="1">IFERROR(__xludf.DUMMYFUNCTION("IFERROR(VLOOKUP(E790&amp;F790,IMPORTRANGE(""https://docs.google.com/spreadsheets/d/1Uw7-A9f9R21vMXxHZFNpYNeKFtG8_yji4HS352LGlSQ/edit?pli=1#gid=0"",""1_ACUM!A4:S""),18,FALSE))"),"")</f>
        <v/>
      </c>
      <c r="BF524" s="44" t="str">
        <f ca="1">IFERROR(__xludf.DUMMYFUNCTION("IFERROR(VLOOKUP(E790&amp;F790,IMPORTRANGE(""https://docs.google.com/spreadsheets/d/1Uw7-A9f9R21vMXxHZFNpYNeKFtG8_yji4HS352LGlSQ/edit?pli=1#gid=0"",""1_ACUM!A4:S""),19,FALSE))"),"")</f>
        <v/>
      </c>
      <c r="BG524" s="98" t="str">
        <f ca="1">IFERROR(__xludf.DUMMYFUNCTION("IFERROR(VLOOKUP(F790,IMPORTRANGE(""https://docs.google.com/spreadsheets/d/1Kvs4KS76FHFqLFIZfrDMff4kP08nblUkihrxltoGBjg/edit#gid=934712705"",""ESENCIAL!A6:BG""),5,FALSE))"),"")</f>
        <v/>
      </c>
      <c r="BH524" s="98" t="str">
        <f t="shared" si="25"/>
        <v/>
      </c>
      <c r="BI524" s="99" t="str">
        <f t="shared" si="26"/>
        <v/>
      </c>
      <c r="BJ524" s="100" t="str">
        <f ca="1">IFERROR(__xludf.DUMMYFUNCTION("IFERROR(VLOOKUP(F790,IMPORTRANGE(""https://docs.google.com/spreadsheets/d/1Kvs4KS76FHFqLFIZfrDMff4kP08nblUkihrxltoGBjg/edit#gid=934712705"",""ESENCIAL!A6:BG""),2,FALSE))"),"")</f>
        <v/>
      </c>
      <c r="BK524" s="19" t="str">
        <f t="shared" si="27"/>
        <v/>
      </c>
      <c r="BL524" s="100"/>
      <c r="BM524" s="100"/>
    </row>
    <row r="525" spans="2:65" ht="15">
      <c r="B525" s="39"/>
      <c r="C525" s="5"/>
      <c r="D525" s="123"/>
      <c r="E525" s="39"/>
      <c r="F525" s="39"/>
      <c r="G525" s="39"/>
      <c r="H525" s="5" t="str">
        <f ca="1">IFERROR(__xludf.DUMMYFUNCTION("IFERROR(VLOOKUP(F791,IMPORTRANGE(""https://docs.google.com/spreadsheets/d/1Kvs4KS76FHFqLFIZfrDMff4kP08nblUkihrxltoGBjg/edit#gid=934712705"",""ESENCIAL!A6:BG""),3,FALSE))"),"")</f>
        <v/>
      </c>
      <c r="I525" s="5" t="str">
        <f ca="1">IFERROR(__xludf.DUMMYFUNCTION("IFERROR(VLOOKUP(F791,IMPORTRANGE(""https://docs.google.com/spreadsheets/d/1Kvs4KS76FHFqLFIZfrDMff4kP08nblUkihrxltoGBjg/edit#gid=934712705"",""ESENCIAL!A6:BG""),8,FALSE))"),"")</f>
        <v/>
      </c>
      <c r="J525" s="39"/>
      <c r="M525" s="40"/>
      <c r="AV525" s="41" t="str">
        <f t="shared" si="24"/>
        <v/>
      </c>
      <c r="AW525" s="5" t="str">
        <f ca="1">IFERROR(__xludf.DUMMYFUNCTION("IFERROR(VLOOKUP(E791&amp;F791,IMPORTRANGE(""https://docs.google.com/spreadsheets/d/1Uw7-A9f9R21vMXxHZFNpYNeKFtG8_yji4HS352LGlSQ/edit?pli=1#gid=0"",""1_ACUM!A4:S""),11,FALSE))"),"")</f>
        <v/>
      </c>
      <c r="AX525" s="42" t="str">
        <f ca="1">IFERROR(__xludf.DUMMYFUNCTION("IFERROR(VLOOKUP(F791,IMPORTRANGE(""https://docs.google.com/spreadsheets/d/1Kvs4KS76FHFqLFIZfrDMff4kP08nblUkihrxltoGBjg/edit#gid=934712705"",""ESENCIAL!A6:BG""),15,FALSE))"),"")</f>
        <v/>
      </c>
      <c r="AY525" s="110" t="str">
        <f ca="1">IFERROR(__xludf.DUMMYFUNCTION("IFERROR(VLOOKUP(E791&amp;F791,IMPORTRANGE(""https://docs.google.com/spreadsheets/d/1Uw7-A9f9R21vMXxHZFNpYNeKFtG8_yji4HS352LGlSQ/edit?pli=1#gid=0"",""1_ACUM!A4:S""),13,FALSE))"),"")</f>
        <v/>
      </c>
      <c r="AZ525" s="43" t="str">
        <f ca="1">IFERROR(__xludf.DUMMYFUNCTION("IFERROR(VLOOKUP(E791&amp;F791,IMPORTRANGE(""https://docs.google.com/spreadsheets/d/1Uw7-A9f9R21vMXxHZFNpYNeKFtG8_yji4HS352LGlSQ/edit?pli=1#gid=0"",""1_ACUM!A4:S""),13,FALSE))"),"")</f>
        <v/>
      </c>
      <c r="BA525" s="43" t="str">
        <f ca="1">IFERROR(__xludf.DUMMYFUNCTION("IFERROR(VLOOKUP(E791&amp;F791,IMPORTRANGE(""https://docs.google.com/spreadsheets/d/1Uw7-A9f9R21vMXxHZFNpYNeKFtG8_yji4HS352LGlSQ/edit?pli=1#gid=0"",""1_ACUM!A4:S""),14,FALSE))"),"")</f>
        <v/>
      </c>
      <c r="BB525" s="43" t="str">
        <f ca="1">IFERROR(__xludf.DUMMYFUNCTION("IFERROR(VLOOKUP(E791&amp;F791,IMPORTRANGE(""https://docs.google.com/spreadsheets/d/1Uw7-A9f9R21vMXxHZFNpYNeKFtG8_yji4HS352LGlSQ/edit?pli=1#gid=0"",""1_ACUM!A4:S""),15,FALSE))"),"")</f>
        <v/>
      </c>
      <c r="BC525" s="43" t="str">
        <f ca="1">IFERROR(__xludf.DUMMYFUNCTION("IFERROR(VLOOKUP(E791&amp;F791,IMPORTRANGE(""https://docs.google.com/spreadsheets/d/1Uw7-A9f9R21vMXxHZFNpYNeKFtG8_yji4HS352LGlSQ/edit?pli=1#gid=0"",""1_ACUM!A4:S""),16,FALSE))"),"")</f>
        <v/>
      </c>
      <c r="BD525" s="43" t="str">
        <f ca="1">IFERROR(__xludf.DUMMYFUNCTION("IFERROR(VLOOKUP(E791&amp;F791,IMPORTRANGE(""https://docs.google.com/spreadsheets/d/1Uw7-A9f9R21vMXxHZFNpYNeKFtG8_yji4HS352LGlSQ/edit?pli=1#gid=0"",""1_ACUM!A4:S""),17,FALSE))"),"")</f>
        <v/>
      </c>
      <c r="BE525" s="44" t="str">
        <f ca="1">IFERROR(__xludf.DUMMYFUNCTION("IFERROR(VLOOKUP(E791&amp;F791,IMPORTRANGE(""https://docs.google.com/spreadsheets/d/1Uw7-A9f9R21vMXxHZFNpYNeKFtG8_yji4HS352LGlSQ/edit?pli=1#gid=0"",""1_ACUM!A4:S""),18,FALSE))"),"")</f>
        <v/>
      </c>
      <c r="BF525" s="44" t="str">
        <f ca="1">IFERROR(__xludf.DUMMYFUNCTION("IFERROR(VLOOKUP(E791&amp;F791,IMPORTRANGE(""https://docs.google.com/spreadsheets/d/1Uw7-A9f9R21vMXxHZFNpYNeKFtG8_yji4HS352LGlSQ/edit?pli=1#gid=0"",""1_ACUM!A4:S""),19,FALSE))"),"")</f>
        <v/>
      </c>
      <c r="BG525" s="98" t="str">
        <f ca="1">IFERROR(__xludf.DUMMYFUNCTION("IFERROR(VLOOKUP(F791,IMPORTRANGE(""https://docs.google.com/spreadsheets/d/1Kvs4KS76FHFqLFIZfrDMff4kP08nblUkihrxltoGBjg/edit#gid=934712705"",""ESENCIAL!A6:BG""),5,FALSE))"),"")</f>
        <v/>
      </c>
      <c r="BH525" s="98" t="str">
        <f t="shared" si="25"/>
        <v/>
      </c>
      <c r="BI525" s="99" t="str">
        <f t="shared" si="26"/>
        <v/>
      </c>
      <c r="BJ525" s="100" t="str">
        <f ca="1">IFERROR(__xludf.DUMMYFUNCTION("IFERROR(VLOOKUP(F791,IMPORTRANGE(""https://docs.google.com/spreadsheets/d/1Kvs4KS76FHFqLFIZfrDMff4kP08nblUkihrxltoGBjg/edit#gid=934712705"",""ESENCIAL!A6:BG""),2,FALSE))"),"")</f>
        <v/>
      </c>
      <c r="BK525" s="19" t="str">
        <f t="shared" si="27"/>
        <v/>
      </c>
      <c r="BL525" s="100"/>
      <c r="BM525" s="100"/>
    </row>
    <row r="526" spans="2:65" ht="15">
      <c r="B526" s="39"/>
      <c r="C526" s="5"/>
      <c r="D526" s="123"/>
      <c r="E526" s="39"/>
      <c r="F526" s="39"/>
      <c r="G526" s="39"/>
      <c r="H526" s="5" t="str">
        <f ca="1">IFERROR(__xludf.DUMMYFUNCTION("IFERROR(VLOOKUP(F792,IMPORTRANGE(""https://docs.google.com/spreadsheets/d/1Kvs4KS76FHFqLFIZfrDMff4kP08nblUkihrxltoGBjg/edit#gid=934712705"",""ESENCIAL!A6:BG""),3,FALSE))"),"")</f>
        <v/>
      </c>
      <c r="I526" s="5" t="str">
        <f ca="1">IFERROR(__xludf.DUMMYFUNCTION("IFERROR(VLOOKUP(F792,IMPORTRANGE(""https://docs.google.com/spreadsheets/d/1Kvs4KS76FHFqLFIZfrDMff4kP08nblUkihrxltoGBjg/edit#gid=934712705"",""ESENCIAL!A6:BG""),8,FALSE))"),"")</f>
        <v/>
      </c>
      <c r="J526" s="39"/>
      <c r="M526" s="40"/>
      <c r="AV526" s="41" t="str">
        <f t="shared" si="24"/>
        <v/>
      </c>
      <c r="AW526" s="5" t="str">
        <f ca="1">IFERROR(__xludf.DUMMYFUNCTION("IFERROR(VLOOKUP(E792&amp;F792,IMPORTRANGE(""https://docs.google.com/spreadsheets/d/1Uw7-A9f9R21vMXxHZFNpYNeKFtG8_yji4HS352LGlSQ/edit?pli=1#gid=0"",""1_ACUM!A4:S""),11,FALSE))"),"")</f>
        <v/>
      </c>
      <c r="AX526" s="42" t="str">
        <f ca="1">IFERROR(__xludf.DUMMYFUNCTION("IFERROR(VLOOKUP(F792,IMPORTRANGE(""https://docs.google.com/spreadsheets/d/1Kvs4KS76FHFqLFIZfrDMff4kP08nblUkihrxltoGBjg/edit#gid=934712705"",""ESENCIAL!A6:BG""),15,FALSE))"),"")</f>
        <v/>
      </c>
      <c r="AY526" s="110" t="str">
        <f ca="1">IFERROR(__xludf.DUMMYFUNCTION("IFERROR(VLOOKUP(E792&amp;F792,IMPORTRANGE(""https://docs.google.com/spreadsheets/d/1Uw7-A9f9R21vMXxHZFNpYNeKFtG8_yji4HS352LGlSQ/edit?pli=1#gid=0"",""1_ACUM!A4:S""),13,FALSE))"),"")</f>
        <v/>
      </c>
      <c r="AZ526" s="43" t="str">
        <f ca="1">IFERROR(__xludf.DUMMYFUNCTION("IFERROR(VLOOKUP(E792&amp;F792,IMPORTRANGE(""https://docs.google.com/spreadsheets/d/1Uw7-A9f9R21vMXxHZFNpYNeKFtG8_yji4HS352LGlSQ/edit?pli=1#gid=0"",""1_ACUM!A4:S""),13,FALSE))"),"")</f>
        <v/>
      </c>
      <c r="BA526" s="43" t="str">
        <f ca="1">IFERROR(__xludf.DUMMYFUNCTION("IFERROR(VLOOKUP(E792&amp;F792,IMPORTRANGE(""https://docs.google.com/spreadsheets/d/1Uw7-A9f9R21vMXxHZFNpYNeKFtG8_yji4HS352LGlSQ/edit?pli=1#gid=0"",""1_ACUM!A4:S""),14,FALSE))"),"")</f>
        <v/>
      </c>
      <c r="BB526" s="43" t="str">
        <f ca="1">IFERROR(__xludf.DUMMYFUNCTION("IFERROR(VLOOKUP(E792&amp;F792,IMPORTRANGE(""https://docs.google.com/spreadsheets/d/1Uw7-A9f9R21vMXxHZFNpYNeKFtG8_yji4HS352LGlSQ/edit?pli=1#gid=0"",""1_ACUM!A4:S""),15,FALSE))"),"")</f>
        <v/>
      </c>
      <c r="BC526" s="43" t="str">
        <f ca="1">IFERROR(__xludf.DUMMYFUNCTION("IFERROR(VLOOKUP(E792&amp;F792,IMPORTRANGE(""https://docs.google.com/spreadsheets/d/1Uw7-A9f9R21vMXxHZFNpYNeKFtG8_yji4HS352LGlSQ/edit?pli=1#gid=0"",""1_ACUM!A4:S""),16,FALSE))"),"")</f>
        <v/>
      </c>
      <c r="BD526" s="43" t="str">
        <f ca="1">IFERROR(__xludf.DUMMYFUNCTION("IFERROR(VLOOKUP(E792&amp;F792,IMPORTRANGE(""https://docs.google.com/spreadsheets/d/1Uw7-A9f9R21vMXxHZFNpYNeKFtG8_yji4HS352LGlSQ/edit?pli=1#gid=0"",""1_ACUM!A4:S""),17,FALSE))"),"")</f>
        <v/>
      </c>
      <c r="BE526" s="44" t="str">
        <f ca="1">IFERROR(__xludf.DUMMYFUNCTION("IFERROR(VLOOKUP(E792&amp;F792,IMPORTRANGE(""https://docs.google.com/spreadsheets/d/1Uw7-A9f9R21vMXxHZFNpYNeKFtG8_yji4HS352LGlSQ/edit?pli=1#gid=0"",""1_ACUM!A4:S""),18,FALSE))"),"")</f>
        <v/>
      </c>
      <c r="BF526" s="44" t="str">
        <f ca="1">IFERROR(__xludf.DUMMYFUNCTION("IFERROR(VLOOKUP(E792&amp;F792,IMPORTRANGE(""https://docs.google.com/spreadsheets/d/1Uw7-A9f9R21vMXxHZFNpYNeKFtG8_yji4HS352LGlSQ/edit?pli=1#gid=0"",""1_ACUM!A4:S""),19,FALSE))"),"")</f>
        <v/>
      </c>
      <c r="BG526" s="98" t="str">
        <f ca="1">IFERROR(__xludf.DUMMYFUNCTION("IFERROR(VLOOKUP(F792,IMPORTRANGE(""https://docs.google.com/spreadsheets/d/1Kvs4KS76FHFqLFIZfrDMff4kP08nblUkihrxltoGBjg/edit#gid=934712705"",""ESENCIAL!A6:BG""),5,FALSE))"),"")</f>
        <v/>
      </c>
      <c r="BH526" s="98" t="str">
        <f t="shared" si="25"/>
        <v/>
      </c>
      <c r="BI526" s="99" t="str">
        <f t="shared" si="26"/>
        <v/>
      </c>
      <c r="BJ526" s="100" t="str">
        <f ca="1">IFERROR(__xludf.DUMMYFUNCTION("IFERROR(VLOOKUP(F792,IMPORTRANGE(""https://docs.google.com/spreadsheets/d/1Kvs4KS76FHFqLFIZfrDMff4kP08nblUkihrxltoGBjg/edit#gid=934712705"",""ESENCIAL!A6:BG""),2,FALSE))"),"")</f>
        <v/>
      </c>
      <c r="BK526" s="19" t="str">
        <f t="shared" si="27"/>
        <v/>
      </c>
      <c r="BL526" s="100"/>
      <c r="BM526" s="100"/>
    </row>
    <row r="527" spans="2:65" ht="15">
      <c r="B527" s="39"/>
      <c r="C527" s="5"/>
      <c r="D527" s="123"/>
      <c r="E527" s="39"/>
      <c r="F527" s="39"/>
      <c r="G527" s="39"/>
      <c r="H527" s="5" t="str">
        <f ca="1">IFERROR(__xludf.DUMMYFUNCTION("IFERROR(VLOOKUP(F793,IMPORTRANGE(""https://docs.google.com/spreadsheets/d/1Kvs4KS76FHFqLFIZfrDMff4kP08nblUkihrxltoGBjg/edit#gid=934712705"",""ESENCIAL!A6:BG""),3,FALSE))"),"")</f>
        <v/>
      </c>
      <c r="I527" s="5" t="str">
        <f ca="1">IFERROR(__xludf.DUMMYFUNCTION("IFERROR(VLOOKUP(F793,IMPORTRANGE(""https://docs.google.com/spreadsheets/d/1Kvs4KS76FHFqLFIZfrDMff4kP08nblUkihrxltoGBjg/edit#gid=934712705"",""ESENCIAL!A6:BG""),8,FALSE))"),"")</f>
        <v/>
      </c>
      <c r="J527" s="39"/>
      <c r="M527" s="40"/>
      <c r="AV527" s="41" t="str">
        <f t="shared" si="24"/>
        <v/>
      </c>
      <c r="AW527" s="5" t="str">
        <f ca="1">IFERROR(__xludf.DUMMYFUNCTION("IFERROR(VLOOKUP(E793&amp;F793,IMPORTRANGE(""https://docs.google.com/spreadsheets/d/1Uw7-A9f9R21vMXxHZFNpYNeKFtG8_yji4HS352LGlSQ/edit?pli=1#gid=0"",""1_ACUM!A4:S""),11,FALSE))"),"")</f>
        <v/>
      </c>
      <c r="AX527" s="42" t="str">
        <f ca="1">IFERROR(__xludf.DUMMYFUNCTION("IFERROR(VLOOKUP(F793,IMPORTRANGE(""https://docs.google.com/spreadsheets/d/1Kvs4KS76FHFqLFIZfrDMff4kP08nblUkihrxltoGBjg/edit#gid=934712705"",""ESENCIAL!A6:BG""),15,FALSE))"),"")</f>
        <v/>
      </c>
      <c r="AY527" s="110" t="str">
        <f ca="1">IFERROR(__xludf.DUMMYFUNCTION("IFERROR(VLOOKUP(E793&amp;F793,IMPORTRANGE(""https://docs.google.com/spreadsheets/d/1Uw7-A9f9R21vMXxHZFNpYNeKFtG8_yji4HS352LGlSQ/edit?pli=1#gid=0"",""1_ACUM!A4:S""),13,FALSE))"),"")</f>
        <v/>
      </c>
      <c r="AZ527" s="43" t="str">
        <f ca="1">IFERROR(__xludf.DUMMYFUNCTION("IFERROR(VLOOKUP(E793&amp;F793,IMPORTRANGE(""https://docs.google.com/spreadsheets/d/1Uw7-A9f9R21vMXxHZFNpYNeKFtG8_yji4HS352LGlSQ/edit?pli=1#gid=0"",""1_ACUM!A4:S""),13,FALSE))"),"")</f>
        <v/>
      </c>
      <c r="BA527" s="43" t="str">
        <f ca="1">IFERROR(__xludf.DUMMYFUNCTION("IFERROR(VLOOKUP(E793&amp;F793,IMPORTRANGE(""https://docs.google.com/spreadsheets/d/1Uw7-A9f9R21vMXxHZFNpYNeKFtG8_yji4HS352LGlSQ/edit?pli=1#gid=0"",""1_ACUM!A4:S""),14,FALSE))"),"")</f>
        <v/>
      </c>
      <c r="BB527" s="43" t="str">
        <f ca="1">IFERROR(__xludf.DUMMYFUNCTION("IFERROR(VLOOKUP(E793&amp;F793,IMPORTRANGE(""https://docs.google.com/spreadsheets/d/1Uw7-A9f9R21vMXxHZFNpYNeKFtG8_yji4HS352LGlSQ/edit?pli=1#gid=0"",""1_ACUM!A4:S""),15,FALSE))"),"")</f>
        <v/>
      </c>
      <c r="BC527" s="43" t="str">
        <f ca="1">IFERROR(__xludf.DUMMYFUNCTION("IFERROR(VLOOKUP(E793&amp;F793,IMPORTRANGE(""https://docs.google.com/spreadsheets/d/1Uw7-A9f9R21vMXxHZFNpYNeKFtG8_yji4HS352LGlSQ/edit?pli=1#gid=0"",""1_ACUM!A4:S""),16,FALSE))"),"")</f>
        <v/>
      </c>
      <c r="BD527" s="43" t="str">
        <f ca="1">IFERROR(__xludf.DUMMYFUNCTION("IFERROR(VLOOKUP(E793&amp;F793,IMPORTRANGE(""https://docs.google.com/spreadsheets/d/1Uw7-A9f9R21vMXxHZFNpYNeKFtG8_yji4HS352LGlSQ/edit?pli=1#gid=0"",""1_ACUM!A4:S""),17,FALSE))"),"")</f>
        <v/>
      </c>
      <c r="BE527" s="44" t="str">
        <f ca="1">IFERROR(__xludf.DUMMYFUNCTION("IFERROR(VLOOKUP(E793&amp;F793,IMPORTRANGE(""https://docs.google.com/spreadsheets/d/1Uw7-A9f9R21vMXxHZFNpYNeKFtG8_yji4HS352LGlSQ/edit?pli=1#gid=0"",""1_ACUM!A4:S""),18,FALSE))"),"")</f>
        <v/>
      </c>
      <c r="BF527" s="44" t="str">
        <f ca="1">IFERROR(__xludf.DUMMYFUNCTION("IFERROR(VLOOKUP(E793&amp;F793,IMPORTRANGE(""https://docs.google.com/spreadsheets/d/1Uw7-A9f9R21vMXxHZFNpYNeKFtG8_yji4HS352LGlSQ/edit?pli=1#gid=0"",""1_ACUM!A4:S""),19,FALSE))"),"")</f>
        <v/>
      </c>
      <c r="BG527" s="98" t="str">
        <f ca="1">IFERROR(__xludf.DUMMYFUNCTION("IFERROR(VLOOKUP(F793,IMPORTRANGE(""https://docs.google.com/spreadsheets/d/1Kvs4KS76FHFqLFIZfrDMff4kP08nblUkihrxltoGBjg/edit#gid=934712705"",""ESENCIAL!A6:BG""),5,FALSE))"),"")</f>
        <v/>
      </c>
      <c r="BH527" s="98" t="str">
        <f t="shared" si="25"/>
        <v/>
      </c>
      <c r="BI527" s="99" t="str">
        <f t="shared" si="26"/>
        <v/>
      </c>
      <c r="BJ527" s="100" t="str">
        <f ca="1">IFERROR(__xludf.DUMMYFUNCTION("IFERROR(VLOOKUP(F793,IMPORTRANGE(""https://docs.google.com/spreadsheets/d/1Kvs4KS76FHFqLFIZfrDMff4kP08nblUkihrxltoGBjg/edit#gid=934712705"",""ESENCIAL!A6:BG""),2,FALSE))"),"")</f>
        <v/>
      </c>
      <c r="BK527" s="19" t="str">
        <f t="shared" si="27"/>
        <v/>
      </c>
      <c r="BL527" s="100"/>
      <c r="BM527" s="100"/>
    </row>
    <row r="528" spans="2:65" ht="15">
      <c r="B528" s="39"/>
      <c r="C528" s="5"/>
      <c r="D528" s="123"/>
      <c r="E528" s="39"/>
      <c r="F528" s="39"/>
      <c r="G528" s="39"/>
      <c r="H528" s="5" t="str">
        <f ca="1">IFERROR(__xludf.DUMMYFUNCTION("IFERROR(VLOOKUP(F794,IMPORTRANGE(""https://docs.google.com/spreadsheets/d/1Kvs4KS76FHFqLFIZfrDMff4kP08nblUkihrxltoGBjg/edit#gid=934712705"",""ESENCIAL!A6:BG""),3,FALSE))"),"")</f>
        <v/>
      </c>
      <c r="I528" s="5" t="str">
        <f ca="1">IFERROR(__xludf.DUMMYFUNCTION("IFERROR(VLOOKUP(F794,IMPORTRANGE(""https://docs.google.com/spreadsheets/d/1Kvs4KS76FHFqLFIZfrDMff4kP08nblUkihrxltoGBjg/edit#gid=934712705"",""ESENCIAL!A6:BG""),8,FALSE))"),"")</f>
        <v/>
      </c>
      <c r="J528" s="39"/>
      <c r="M528" s="40"/>
      <c r="AV528" s="41" t="str">
        <f t="shared" si="24"/>
        <v/>
      </c>
      <c r="AW528" s="5" t="str">
        <f ca="1">IFERROR(__xludf.DUMMYFUNCTION("IFERROR(VLOOKUP(E794&amp;F794,IMPORTRANGE(""https://docs.google.com/spreadsheets/d/1Uw7-A9f9R21vMXxHZFNpYNeKFtG8_yji4HS352LGlSQ/edit?pli=1#gid=0"",""1_ACUM!A4:S""),11,FALSE))"),"")</f>
        <v/>
      </c>
      <c r="AX528" s="42" t="str">
        <f ca="1">IFERROR(__xludf.DUMMYFUNCTION("IFERROR(VLOOKUP(F794,IMPORTRANGE(""https://docs.google.com/spreadsheets/d/1Kvs4KS76FHFqLFIZfrDMff4kP08nblUkihrxltoGBjg/edit#gid=934712705"",""ESENCIAL!A6:BG""),15,FALSE))"),"")</f>
        <v/>
      </c>
      <c r="AY528" s="110" t="str">
        <f ca="1">IFERROR(__xludf.DUMMYFUNCTION("IFERROR(VLOOKUP(E794&amp;F794,IMPORTRANGE(""https://docs.google.com/spreadsheets/d/1Uw7-A9f9R21vMXxHZFNpYNeKFtG8_yji4HS352LGlSQ/edit?pli=1#gid=0"",""1_ACUM!A4:S""),13,FALSE))"),"")</f>
        <v/>
      </c>
      <c r="AZ528" s="43" t="str">
        <f ca="1">IFERROR(__xludf.DUMMYFUNCTION("IFERROR(VLOOKUP(E794&amp;F794,IMPORTRANGE(""https://docs.google.com/spreadsheets/d/1Uw7-A9f9R21vMXxHZFNpYNeKFtG8_yji4HS352LGlSQ/edit?pli=1#gid=0"",""1_ACUM!A4:S""),13,FALSE))"),"")</f>
        <v/>
      </c>
      <c r="BA528" s="43" t="str">
        <f ca="1">IFERROR(__xludf.DUMMYFUNCTION("IFERROR(VLOOKUP(E794&amp;F794,IMPORTRANGE(""https://docs.google.com/spreadsheets/d/1Uw7-A9f9R21vMXxHZFNpYNeKFtG8_yji4HS352LGlSQ/edit?pli=1#gid=0"",""1_ACUM!A4:S""),14,FALSE))"),"")</f>
        <v/>
      </c>
      <c r="BB528" s="43" t="str">
        <f ca="1">IFERROR(__xludf.DUMMYFUNCTION("IFERROR(VLOOKUP(E794&amp;F794,IMPORTRANGE(""https://docs.google.com/spreadsheets/d/1Uw7-A9f9R21vMXxHZFNpYNeKFtG8_yji4HS352LGlSQ/edit?pli=1#gid=0"",""1_ACUM!A4:S""),15,FALSE))"),"")</f>
        <v/>
      </c>
      <c r="BC528" s="43" t="str">
        <f ca="1">IFERROR(__xludf.DUMMYFUNCTION("IFERROR(VLOOKUP(E794&amp;F794,IMPORTRANGE(""https://docs.google.com/spreadsheets/d/1Uw7-A9f9R21vMXxHZFNpYNeKFtG8_yji4HS352LGlSQ/edit?pli=1#gid=0"",""1_ACUM!A4:S""),16,FALSE))"),"")</f>
        <v/>
      </c>
      <c r="BD528" s="43" t="str">
        <f ca="1">IFERROR(__xludf.DUMMYFUNCTION("IFERROR(VLOOKUP(E794&amp;F794,IMPORTRANGE(""https://docs.google.com/spreadsheets/d/1Uw7-A9f9R21vMXxHZFNpYNeKFtG8_yji4HS352LGlSQ/edit?pli=1#gid=0"",""1_ACUM!A4:S""),17,FALSE))"),"")</f>
        <v/>
      </c>
      <c r="BE528" s="44" t="str">
        <f ca="1">IFERROR(__xludf.DUMMYFUNCTION("IFERROR(VLOOKUP(E794&amp;F794,IMPORTRANGE(""https://docs.google.com/spreadsheets/d/1Uw7-A9f9R21vMXxHZFNpYNeKFtG8_yji4HS352LGlSQ/edit?pli=1#gid=0"",""1_ACUM!A4:S""),18,FALSE))"),"")</f>
        <v/>
      </c>
      <c r="BF528" s="44" t="str">
        <f ca="1">IFERROR(__xludf.DUMMYFUNCTION("IFERROR(VLOOKUP(E794&amp;F794,IMPORTRANGE(""https://docs.google.com/spreadsheets/d/1Uw7-A9f9R21vMXxHZFNpYNeKFtG8_yji4HS352LGlSQ/edit?pli=1#gid=0"",""1_ACUM!A4:S""),19,FALSE))"),"")</f>
        <v/>
      </c>
      <c r="BG528" s="98" t="str">
        <f ca="1">IFERROR(__xludf.DUMMYFUNCTION("IFERROR(VLOOKUP(F794,IMPORTRANGE(""https://docs.google.com/spreadsheets/d/1Kvs4KS76FHFqLFIZfrDMff4kP08nblUkihrxltoGBjg/edit#gid=934712705"",""ESENCIAL!A6:BG""),5,FALSE))"),"")</f>
        <v/>
      </c>
      <c r="BH528" s="98" t="str">
        <f t="shared" si="25"/>
        <v/>
      </c>
      <c r="BI528" s="99" t="str">
        <f t="shared" si="26"/>
        <v/>
      </c>
      <c r="BJ528" s="100" t="str">
        <f ca="1">IFERROR(__xludf.DUMMYFUNCTION("IFERROR(VLOOKUP(F794,IMPORTRANGE(""https://docs.google.com/spreadsheets/d/1Kvs4KS76FHFqLFIZfrDMff4kP08nblUkihrxltoGBjg/edit#gid=934712705"",""ESENCIAL!A6:BG""),2,FALSE))"),"")</f>
        <v/>
      </c>
      <c r="BK528" s="19" t="str">
        <f t="shared" si="27"/>
        <v/>
      </c>
      <c r="BL528" s="100"/>
      <c r="BM528" s="100"/>
    </row>
    <row r="529" spans="2:65" ht="15">
      <c r="B529" s="39"/>
      <c r="C529" s="5"/>
      <c r="D529" s="123"/>
      <c r="E529" s="39"/>
      <c r="F529" s="39"/>
      <c r="G529" s="39"/>
      <c r="H529" s="5" t="str">
        <f ca="1">IFERROR(__xludf.DUMMYFUNCTION("IFERROR(VLOOKUP(F795,IMPORTRANGE(""https://docs.google.com/spreadsheets/d/1Kvs4KS76FHFqLFIZfrDMff4kP08nblUkihrxltoGBjg/edit#gid=934712705"",""ESENCIAL!A6:BG""),3,FALSE))"),"")</f>
        <v/>
      </c>
      <c r="I529" s="5" t="str">
        <f ca="1">IFERROR(__xludf.DUMMYFUNCTION("IFERROR(VLOOKUP(F795,IMPORTRANGE(""https://docs.google.com/spreadsheets/d/1Kvs4KS76FHFqLFIZfrDMff4kP08nblUkihrxltoGBjg/edit#gid=934712705"",""ESENCIAL!A6:BG""),8,FALSE))"),"")</f>
        <v/>
      </c>
      <c r="J529" s="39"/>
      <c r="M529" s="40"/>
      <c r="AV529" s="41" t="str">
        <f t="shared" si="24"/>
        <v/>
      </c>
      <c r="AW529" s="5" t="str">
        <f ca="1">IFERROR(__xludf.DUMMYFUNCTION("IFERROR(VLOOKUP(E795&amp;F795,IMPORTRANGE(""https://docs.google.com/spreadsheets/d/1Uw7-A9f9R21vMXxHZFNpYNeKFtG8_yji4HS352LGlSQ/edit?pli=1#gid=0"",""1_ACUM!A4:S""),11,FALSE))"),"")</f>
        <v/>
      </c>
      <c r="AX529" s="42" t="str">
        <f ca="1">IFERROR(__xludf.DUMMYFUNCTION("IFERROR(VLOOKUP(F795,IMPORTRANGE(""https://docs.google.com/spreadsheets/d/1Kvs4KS76FHFqLFIZfrDMff4kP08nblUkihrxltoGBjg/edit#gid=934712705"",""ESENCIAL!A6:BG""),15,FALSE))"),"")</f>
        <v/>
      </c>
      <c r="AY529" s="110" t="str">
        <f ca="1">IFERROR(__xludf.DUMMYFUNCTION("IFERROR(VLOOKUP(E795&amp;F795,IMPORTRANGE(""https://docs.google.com/spreadsheets/d/1Uw7-A9f9R21vMXxHZFNpYNeKFtG8_yji4HS352LGlSQ/edit?pli=1#gid=0"",""1_ACUM!A4:S""),13,FALSE))"),"")</f>
        <v/>
      </c>
      <c r="AZ529" s="43" t="str">
        <f ca="1">IFERROR(__xludf.DUMMYFUNCTION("IFERROR(VLOOKUP(E795&amp;F795,IMPORTRANGE(""https://docs.google.com/spreadsheets/d/1Uw7-A9f9R21vMXxHZFNpYNeKFtG8_yji4HS352LGlSQ/edit?pli=1#gid=0"",""1_ACUM!A4:S""),13,FALSE))"),"")</f>
        <v/>
      </c>
      <c r="BA529" s="43" t="str">
        <f ca="1">IFERROR(__xludf.DUMMYFUNCTION("IFERROR(VLOOKUP(E795&amp;F795,IMPORTRANGE(""https://docs.google.com/spreadsheets/d/1Uw7-A9f9R21vMXxHZFNpYNeKFtG8_yji4HS352LGlSQ/edit?pli=1#gid=0"",""1_ACUM!A4:S""),14,FALSE))"),"")</f>
        <v/>
      </c>
      <c r="BB529" s="43" t="str">
        <f ca="1">IFERROR(__xludf.DUMMYFUNCTION("IFERROR(VLOOKUP(E795&amp;F795,IMPORTRANGE(""https://docs.google.com/spreadsheets/d/1Uw7-A9f9R21vMXxHZFNpYNeKFtG8_yji4HS352LGlSQ/edit?pli=1#gid=0"",""1_ACUM!A4:S""),15,FALSE))"),"")</f>
        <v/>
      </c>
      <c r="BC529" s="43" t="str">
        <f ca="1">IFERROR(__xludf.DUMMYFUNCTION("IFERROR(VLOOKUP(E795&amp;F795,IMPORTRANGE(""https://docs.google.com/spreadsheets/d/1Uw7-A9f9R21vMXxHZFNpYNeKFtG8_yji4HS352LGlSQ/edit?pli=1#gid=0"",""1_ACUM!A4:S""),16,FALSE))"),"")</f>
        <v/>
      </c>
      <c r="BD529" s="43" t="str">
        <f ca="1">IFERROR(__xludf.DUMMYFUNCTION("IFERROR(VLOOKUP(E795&amp;F795,IMPORTRANGE(""https://docs.google.com/spreadsheets/d/1Uw7-A9f9R21vMXxHZFNpYNeKFtG8_yji4HS352LGlSQ/edit?pli=1#gid=0"",""1_ACUM!A4:S""),17,FALSE))"),"")</f>
        <v/>
      </c>
      <c r="BE529" s="44" t="str">
        <f ca="1">IFERROR(__xludf.DUMMYFUNCTION("IFERROR(VLOOKUP(E795&amp;F795,IMPORTRANGE(""https://docs.google.com/spreadsheets/d/1Uw7-A9f9R21vMXxHZFNpYNeKFtG8_yji4HS352LGlSQ/edit?pli=1#gid=0"",""1_ACUM!A4:S""),18,FALSE))"),"")</f>
        <v/>
      </c>
      <c r="BF529" s="44" t="str">
        <f ca="1">IFERROR(__xludf.DUMMYFUNCTION("IFERROR(VLOOKUP(E795&amp;F795,IMPORTRANGE(""https://docs.google.com/spreadsheets/d/1Uw7-A9f9R21vMXxHZFNpYNeKFtG8_yji4HS352LGlSQ/edit?pli=1#gid=0"",""1_ACUM!A4:S""),19,FALSE))"),"")</f>
        <v/>
      </c>
      <c r="BG529" s="98" t="str">
        <f ca="1">IFERROR(__xludf.DUMMYFUNCTION("IFERROR(VLOOKUP(F795,IMPORTRANGE(""https://docs.google.com/spreadsheets/d/1Kvs4KS76FHFqLFIZfrDMff4kP08nblUkihrxltoGBjg/edit#gid=934712705"",""ESENCIAL!A6:BG""),5,FALSE))"),"")</f>
        <v/>
      </c>
      <c r="BH529" s="98" t="str">
        <f t="shared" si="25"/>
        <v/>
      </c>
      <c r="BI529" s="99" t="str">
        <f t="shared" si="26"/>
        <v/>
      </c>
      <c r="BJ529" s="100" t="str">
        <f ca="1">IFERROR(__xludf.DUMMYFUNCTION("IFERROR(VLOOKUP(F795,IMPORTRANGE(""https://docs.google.com/spreadsheets/d/1Kvs4KS76FHFqLFIZfrDMff4kP08nblUkihrxltoGBjg/edit#gid=934712705"",""ESENCIAL!A6:BG""),2,FALSE))"),"")</f>
        <v/>
      </c>
      <c r="BK529" s="19" t="str">
        <f t="shared" si="27"/>
        <v/>
      </c>
      <c r="BL529" s="100"/>
      <c r="BM529" s="100"/>
    </row>
    <row r="530" spans="2:65" ht="15">
      <c r="B530" s="39"/>
      <c r="C530" s="5"/>
      <c r="D530" s="123"/>
      <c r="E530" s="39"/>
      <c r="F530" s="39"/>
      <c r="G530" s="39"/>
      <c r="H530" s="5" t="str">
        <f ca="1">IFERROR(__xludf.DUMMYFUNCTION("IFERROR(VLOOKUP(F796,IMPORTRANGE(""https://docs.google.com/spreadsheets/d/1Kvs4KS76FHFqLFIZfrDMff4kP08nblUkihrxltoGBjg/edit#gid=934712705"",""ESENCIAL!A6:BG""),3,FALSE))"),"")</f>
        <v/>
      </c>
      <c r="I530" s="5" t="str">
        <f ca="1">IFERROR(__xludf.DUMMYFUNCTION("IFERROR(VLOOKUP(F796,IMPORTRANGE(""https://docs.google.com/spreadsheets/d/1Kvs4KS76FHFqLFIZfrDMff4kP08nblUkihrxltoGBjg/edit#gid=934712705"",""ESENCIAL!A6:BG""),8,FALSE))"),"")</f>
        <v/>
      </c>
      <c r="J530" s="39"/>
      <c r="M530" s="40"/>
      <c r="AV530" s="41" t="str">
        <f t="shared" si="24"/>
        <v/>
      </c>
      <c r="AW530" s="5" t="str">
        <f ca="1">IFERROR(__xludf.DUMMYFUNCTION("IFERROR(VLOOKUP(E796&amp;F796,IMPORTRANGE(""https://docs.google.com/spreadsheets/d/1Uw7-A9f9R21vMXxHZFNpYNeKFtG8_yji4HS352LGlSQ/edit?pli=1#gid=0"",""1_ACUM!A4:S""),11,FALSE))"),"")</f>
        <v/>
      </c>
      <c r="AX530" s="42" t="str">
        <f ca="1">IFERROR(__xludf.DUMMYFUNCTION("IFERROR(VLOOKUP(F796,IMPORTRANGE(""https://docs.google.com/spreadsheets/d/1Kvs4KS76FHFqLFIZfrDMff4kP08nblUkihrxltoGBjg/edit#gid=934712705"",""ESENCIAL!A6:BG""),15,FALSE))"),"")</f>
        <v/>
      </c>
      <c r="AY530" s="110" t="str">
        <f ca="1">IFERROR(__xludf.DUMMYFUNCTION("IFERROR(VLOOKUP(E796&amp;F796,IMPORTRANGE(""https://docs.google.com/spreadsheets/d/1Uw7-A9f9R21vMXxHZFNpYNeKFtG8_yji4HS352LGlSQ/edit?pli=1#gid=0"",""1_ACUM!A4:S""),13,FALSE))"),"")</f>
        <v/>
      </c>
      <c r="AZ530" s="43" t="str">
        <f ca="1">IFERROR(__xludf.DUMMYFUNCTION("IFERROR(VLOOKUP(E796&amp;F796,IMPORTRANGE(""https://docs.google.com/spreadsheets/d/1Uw7-A9f9R21vMXxHZFNpYNeKFtG8_yji4HS352LGlSQ/edit?pli=1#gid=0"",""1_ACUM!A4:S""),13,FALSE))"),"")</f>
        <v/>
      </c>
      <c r="BA530" s="43" t="str">
        <f ca="1">IFERROR(__xludf.DUMMYFUNCTION("IFERROR(VLOOKUP(E796&amp;F796,IMPORTRANGE(""https://docs.google.com/spreadsheets/d/1Uw7-A9f9R21vMXxHZFNpYNeKFtG8_yji4HS352LGlSQ/edit?pli=1#gid=0"",""1_ACUM!A4:S""),14,FALSE))"),"")</f>
        <v/>
      </c>
      <c r="BB530" s="43" t="str">
        <f ca="1">IFERROR(__xludf.DUMMYFUNCTION("IFERROR(VLOOKUP(E796&amp;F796,IMPORTRANGE(""https://docs.google.com/spreadsheets/d/1Uw7-A9f9R21vMXxHZFNpYNeKFtG8_yji4HS352LGlSQ/edit?pli=1#gid=0"",""1_ACUM!A4:S""),15,FALSE))"),"")</f>
        <v/>
      </c>
      <c r="BC530" s="43" t="str">
        <f ca="1">IFERROR(__xludf.DUMMYFUNCTION("IFERROR(VLOOKUP(E796&amp;F796,IMPORTRANGE(""https://docs.google.com/spreadsheets/d/1Uw7-A9f9R21vMXxHZFNpYNeKFtG8_yji4HS352LGlSQ/edit?pli=1#gid=0"",""1_ACUM!A4:S""),16,FALSE))"),"")</f>
        <v/>
      </c>
      <c r="BD530" s="43" t="str">
        <f ca="1">IFERROR(__xludf.DUMMYFUNCTION("IFERROR(VLOOKUP(E796&amp;F796,IMPORTRANGE(""https://docs.google.com/spreadsheets/d/1Uw7-A9f9R21vMXxHZFNpYNeKFtG8_yji4HS352LGlSQ/edit?pli=1#gid=0"",""1_ACUM!A4:S""),17,FALSE))"),"")</f>
        <v/>
      </c>
      <c r="BE530" s="44" t="str">
        <f ca="1">IFERROR(__xludf.DUMMYFUNCTION("IFERROR(VLOOKUP(E796&amp;F796,IMPORTRANGE(""https://docs.google.com/spreadsheets/d/1Uw7-A9f9R21vMXxHZFNpYNeKFtG8_yji4HS352LGlSQ/edit?pli=1#gid=0"",""1_ACUM!A4:S""),18,FALSE))"),"")</f>
        <v/>
      </c>
      <c r="BF530" s="44" t="str">
        <f ca="1">IFERROR(__xludf.DUMMYFUNCTION("IFERROR(VLOOKUP(E796&amp;F796,IMPORTRANGE(""https://docs.google.com/spreadsheets/d/1Uw7-A9f9R21vMXxHZFNpYNeKFtG8_yji4HS352LGlSQ/edit?pli=1#gid=0"",""1_ACUM!A4:S""),19,FALSE))"),"")</f>
        <v/>
      </c>
      <c r="BG530" s="98" t="str">
        <f ca="1">IFERROR(__xludf.DUMMYFUNCTION("IFERROR(VLOOKUP(F796,IMPORTRANGE(""https://docs.google.com/spreadsheets/d/1Kvs4KS76FHFqLFIZfrDMff4kP08nblUkihrxltoGBjg/edit#gid=934712705"",""ESENCIAL!A6:BG""),5,FALSE))"),"")</f>
        <v/>
      </c>
      <c r="BH530" s="98" t="str">
        <f t="shared" si="25"/>
        <v/>
      </c>
      <c r="BI530" s="99" t="str">
        <f t="shared" si="26"/>
        <v/>
      </c>
      <c r="BJ530" s="100" t="str">
        <f ca="1">IFERROR(__xludf.DUMMYFUNCTION("IFERROR(VLOOKUP(F796,IMPORTRANGE(""https://docs.google.com/spreadsheets/d/1Kvs4KS76FHFqLFIZfrDMff4kP08nblUkihrxltoGBjg/edit#gid=934712705"",""ESENCIAL!A6:BG""),2,FALSE))"),"")</f>
        <v/>
      </c>
      <c r="BK530" s="19" t="str">
        <f t="shared" si="27"/>
        <v/>
      </c>
      <c r="BL530" s="100"/>
      <c r="BM530" s="100"/>
    </row>
    <row r="531" spans="2:65" ht="15">
      <c r="B531" s="39"/>
      <c r="C531" s="5"/>
      <c r="D531" s="123"/>
      <c r="E531" s="39"/>
      <c r="F531" s="39"/>
      <c r="G531" s="39"/>
      <c r="H531" s="5" t="str">
        <f ca="1">IFERROR(__xludf.DUMMYFUNCTION("IFERROR(VLOOKUP(F797,IMPORTRANGE(""https://docs.google.com/spreadsheets/d/1Kvs4KS76FHFqLFIZfrDMff4kP08nblUkihrxltoGBjg/edit#gid=934712705"",""ESENCIAL!A6:BG""),3,FALSE))"),"")</f>
        <v/>
      </c>
      <c r="I531" s="5" t="str">
        <f ca="1">IFERROR(__xludf.DUMMYFUNCTION("IFERROR(VLOOKUP(F797,IMPORTRANGE(""https://docs.google.com/spreadsheets/d/1Kvs4KS76FHFqLFIZfrDMff4kP08nblUkihrxltoGBjg/edit#gid=934712705"",""ESENCIAL!A6:BG""),8,FALSE))"),"")</f>
        <v/>
      </c>
      <c r="J531" s="39"/>
      <c r="M531" s="40"/>
      <c r="AV531" s="41" t="str">
        <f t="shared" si="24"/>
        <v/>
      </c>
      <c r="AW531" s="5" t="str">
        <f ca="1">IFERROR(__xludf.DUMMYFUNCTION("IFERROR(VLOOKUP(E797&amp;F797,IMPORTRANGE(""https://docs.google.com/spreadsheets/d/1Uw7-A9f9R21vMXxHZFNpYNeKFtG8_yji4HS352LGlSQ/edit?pli=1#gid=0"",""1_ACUM!A4:S""),11,FALSE))"),"")</f>
        <v/>
      </c>
      <c r="AX531" s="42" t="str">
        <f ca="1">IFERROR(__xludf.DUMMYFUNCTION("IFERROR(VLOOKUP(F797,IMPORTRANGE(""https://docs.google.com/spreadsheets/d/1Kvs4KS76FHFqLFIZfrDMff4kP08nblUkihrxltoGBjg/edit#gid=934712705"",""ESENCIAL!A6:BG""),15,FALSE))"),"")</f>
        <v/>
      </c>
      <c r="AY531" s="110" t="str">
        <f ca="1">IFERROR(__xludf.DUMMYFUNCTION("IFERROR(VLOOKUP(E797&amp;F797,IMPORTRANGE(""https://docs.google.com/spreadsheets/d/1Uw7-A9f9R21vMXxHZFNpYNeKFtG8_yji4HS352LGlSQ/edit?pli=1#gid=0"",""1_ACUM!A4:S""),13,FALSE))"),"")</f>
        <v/>
      </c>
      <c r="AZ531" s="43" t="str">
        <f ca="1">IFERROR(__xludf.DUMMYFUNCTION("IFERROR(VLOOKUP(E797&amp;F797,IMPORTRANGE(""https://docs.google.com/spreadsheets/d/1Uw7-A9f9R21vMXxHZFNpYNeKFtG8_yji4HS352LGlSQ/edit?pli=1#gid=0"",""1_ACUM!A4:S""),13,FALSE))"),"")</f>
        <v/>
      </c>
      <c r="BA531" s="43" t="str">
        <f ca="1">IFERROR(__xludf.DUMMYFUNCTION("IFERROR(VLOOKUP(E797&amp;F797,IMPORTRANGE(""https://docs.google.com/spreadsheets/d/1Uw7-A9f9R21vMXxHZFNpYNeKFtG8_yji4HS352LGlSQ/edit?pli=1#gid=0"",""1_ACUM!A4:S""),14,FALSE))"),"")</f>
        <v/>
      </c>
      <c r="BB531" s="43" t="str">
        <f ca="1">IFERROR(__xludf.DUMMYFUNCTION("IFERROR(VLOOKUP(E797&amp;F797,IMPORTRANGE(""https://docs.google.com/spreadsheets/d/1Uw7-A9f9R21vMXxHZFNpYNeKFtG8_yji4HS352LGlSQ/edit?pli=1#gid=0"",""1_ACUM!A4:S""),15,FALSE))"),"")</f>
        <v/>
      </c>
      <c r="BC531" s="43" t="str">
        <f ca="1">IFERROR(__xludf.DUMMYFUNCTION("IFERROR(VLOOKUP(E797&amp;F797,IMPORTRANGE(""https://docs.google.com/spreadsheets/d/1Uw7-A9f9R21vMXxHZFNpYNeKFtG8_yji4HS352LGlSQ/edit?pli=1#gid=0"",""1_ACUM!A4:S""),16,FALSE))"),"")</f>
        <v/>
      </c>
      <c r="BD531" s="43" t="str">
        <f ca="1">IFERROR(__xludf.DUMMYFUNCTION("IFERROR(VLOOKUP(E797&amp;F797,IMPORTRANGE(""https://docs.google.com/spreadsheets/d/1Uw7-A9f9R21vMXxHZFNpYNeKFtG8_yji4HS352LGlSQ/edit?pli=1#gid=0"",""1_ACUM!A4:S""),17,FALSE))"),"")</f>
        <v/>
      </c>
      <c r="BE531" s="44" t="str">
        <f ca="1">IFERROR(__xludf.DUMMYFUNCTION("IFERROR(VLOOKUP(E797&amp;F797,IMPORTRANGE(""https://docs.google.com/spreadsheets/d/1Uw7-A9f9R21vMXxHZFNpYNeKFtG8_yji4HS352LGlSQ/edit?pli=1#gid=0"",""1_ACUM!A4:S""),18,FALSE))"),"")</f>
        <v/>
      </c>
      <c r="BF531" s="44" t="str">
        <f ca="1">IFERROR(__xludf.DUMMYFUNCTION("IFERROR(VLOOKUP(E797&amp;F797,IMPORTRANGE(""https://docs.google.com/spreadsheets/d/1Uw7-A9f9R21vMXxHZFNpYNeKFtG8_yji4HS352LGlSQ/edit?pli=1#gid=0"",""1_ACUM!A4:S""),19,FALSE))"),"")</f>
        <v/>
      </c>
      <c r="BG531" s="98" t="str">
        <f ca="1">IFERROR(__xludf.DUMMYFUNCTION("IFERROR(VLOOKUP(F797,IMPORTRANGE(""https://docs.google.com/spreadsheets/d/1Kvs4KS76FHFqLFIZfrDMff4kP08nblUkihrxltoGBjg/edit#gid=934712705"",""ESENCIAL!A6:BG""),5,FALSE))"),"")</f>
        <v/>
      </c>
      <c r="BH531" s="98" t="str">
        <f t="shared" si="25"/>
        <v/>
      </c>
      <c r="BI531" s="99" t="str">
        <f t="shared" si="26"/>
        <v/>
      </c>
      <c r="BJ531" s="100" t="str">
        <f ca="1">IFERROR(__xludf.DUMMYFUNCTION("IFERROR(VLOOKUP(F797,IMPORTRANGE(""https://docs.google.com/spreadsheets/d/1Kvs4KS76FHFqLFIZfrDMff4kP08nblUkihrxltoGBjg/edit#gid=934712705"",""ESENCIAL!A6:BG""),2,FALSE))"),"")</f>
        <v/>
      </c>
      <c r="BK531" s="19" t="str">
        <f t="shared" si="27"/>
        <v/>
      </c>
      <c r="BL531" s="100"/>
      <c r="BM531" s="100"/>
    </row>
    <row r="532" spans="2:65" ht="15">
      <c r="B532" s="39"/>
      <c r="C532" s="5"/>
      <c r="D532" s="123"/>
      <c r="E532" s="39"/>
      <c r="F532" s="39"/>
      <c r="G532" s="39"/>
      <c r="H532" s="5" t="str">
        <f ca="1">IFERROR(__xludf.DUMMYFUNCTION("IFERROR(VLOOKUP(F798,IMPORTRANGE(""https://docs.google.com/spreadsheets/d/1Kvs4KS76FHFqLFIZfrDMff4kP08nblUkihrxltoGBjg/edit#gid=934712705"",""ESENCIAL!A6:BG""),3,FALSE))"),"")</f>
        <v/>
      </c>
      <c r="I532" s="5" t="str">
        <f ca="1">IFERROR(__xludf.DUMMYFUNCTION("IFERROR(VLOOKUP(F798,IMPORTRANGE(""https://docs.google.com/spreadsheets/d/1Kvs4KS76FHFqLFIZfrDMff4kP08nblUkihrxltoGBjg/edit#gid=934712705"",""ESENCIAL!A6:BG""),8,FALSE))"),"")</f>
        <v/>
      </c>
      <c r="J532" s="39"/>
      <c r="M532" s="40"/>
      <c r="AV532" s="41" t="str">
        <f t="shared" si="24"/>
        <v/>
      </c>
      <c r="AW532" s="5" t="str">
        <f ca="1">IFERROR(__xludf.DUMMYFUNCTION("IFERROR(VLOOKUP(E798&amp;F798,IMPORTRANGE(""https://docs.google.com/spreadsheets/d/1Uw7-A9f9R21vMXxHZFNpYNeKFtG8_yji4HS352LGlSQ/edit?pli=1#gid=0"",""1_ACUM!A4:S""),11,FALSE))"),"")</f>
        <v/>
      </c>
      <c r="AX532" s="42" t="str">
        <f ca="1">IFERROR(__xludf.DUMMYFUNCTION("IFERROR(VLOOKUP(F798,IMPORTRANGE(""https://docs.google.com/spreadsheets/d/1Kvs4KS76FHFqLFIZfrDMff4kP08nblUkihrxltoGBjg/edit#gid=934712705"",""ESENCIAL!A6:BG""),15,FALSE))"),"")</f>
        <v/>
      </c>
      <c r="AY532" s="110" t="str">
        <f ca="1">IFERROR(__xludf.DUMMYFUNCTION("IFERROR(VLOOKUP(E798&amp;F798,IMPORTRANGE(""https://docs.google.com/spreadsheets/d/1Uw7-A9f9R21vMXxHZFNpYNeKFtG8_yji4HS352LGlSQ/edit?pli=1#gid=0"",""1_ACUM!A4:S""),13,FALSE))"),"")</f>
        <v/>
      </c>
      <c r="AZ532" s="43" t="str">
        <f ca="1">IFERROR(__xludf.DUMMYFUNCTION("IFERROR(VLOOKUP(E798&amp;F798,IMPORTRANGE(""https://docs.google.com/spreadsheets/d/1Uw7-A9f9R21vMXxHZFNpYNeKFtG8_yji4HS352LGlSQ/edit?pli=1#gid=0"",""1_ACUM!A4:S""),13,FALSE))"),"")</f>
        <v/>
      </c>
      <c r="BA532" s="43" t="str">
        <f ca="1">IFERROR(__xludf.DUMMYFUNCTION("IFERROR(VLOOKUP(E798&amp;F798,IMPORTRANGE(""https://docs.google.com/spreadsheets/d/1Uw7-A9f9R21vMXxHZFNpYNeKFtG8_yji4HS352LGlSQ/edit?pli=1#gid=0"",""1_ACUM!A4:S""),14,FALSE))"),"")</f>
        <v/>
      </c>
      <c r="BB532" s="43" t="str">
        <f ca="1">IFERROR(__xludf.DUMMYFUNCTION("IFERROR(VLOOKUP(E798&amp;F798,IMPORTRANGE(""https://docs.google.com/spreadsheets/d/1Uw7-A9f9R21vMXxHZFNpYNeKFtG8_yji4HS352LGlSQ/edit?pli=1#gid=0"",""1_ACUM!A4:S""),15,FALSE))"),"")</f>
        <v/>
      </c>
      <c r="BC532" s="43" t="str">
        <f ca="1">IFERROR(__xludf.DUMMYFUNCTION("IFERROR(VLOOKUP(E798&amp;F798,IMPORTRANGE(""https://docs.google.com/spreadsheets/d/1Uw7-A9f9R21vMXxHZFNpYNeKFtG8_yji4HS352LGlSQ/edit?pli=1#gid=0"",""1_ACUM!A4:S""),16,FALSE))"),"")</f>
        <v/>
      </c>
      <c r="BD532" s="43" t="str">
        <f ca="1">IFERROR(__xludf.DUMMYFUNCTION("IFERROR(VLOOKUP(E798&amp;F798,IMPORTRANGE(""https://docs.google.com/spreadsheets/d/1Uw7-A9f9R21vMXxHZFNpYNeKFtG8_yji4HS352LGlSQ/edit?pli=1#gid=0"",""1_ACUM!A4:S""),17,FALSE))"),"")</f>
        <v/>
      </c>
      <c r="BE532" s="44" t="str">
        <f ca="1">IFERROR(__xludf.DUMMYFUNCTION("IFERROR(VLOOKUP(E798&amp;F798,IMPORTRANGE(""https://docs.google.com/spreadsheets/d/1Uw7-A9f9R21vMXxHZFNpYNeKFtG8_yji4HS352LGlSQ/edit?pli=1#gid=0"",""1_ACUM!A4:S""),18,FALSE))"),"")</f>
        <v/>
      </c>
      <c r="BF532" s="44" t="str">
        <f ca="1">IFERROR(__xludf.DUMMYFUNCTION("IFERROR(VLOOKUP(E798&amp;F798,IMPORTRANGE(""https://docs.google.com/spreadsheets/d/1Uw7-A9f9R21vMXxHZFNpYNeKFtG8_yji4HS352LGlSQ/edit?pli=1#gid=0"",""1_ACUM!A4:S""),19,FALSE))"),"")</f>
        <v/>
      </c>
      <c r="BG532" s="98" t="str">
        <f ca="1">IFERROR(__xludf.DUMMYFUNCTION("IFERROR(VLOOKUP(F798,IMPORTRANGE(""https://docs.google.com/spreadsheets/d/1Kvs4KS76FHFqLFIZfrDMff4kP08nblUkihrxltoGBjg/edit#gid=934712705"",""ESENCIAL!A6:BG""),5,FALSE))"),"")</f>
        <v/>
      </c>
      <c r="BH532" s="98" t="str">
        <f t="shared" si="25"/>
        <v/>
      </c>
      <c r="BI532" s="99" t="str">
        <f t="shared" si="26"/>
        <v/>
      </c>
      <c r="BJ532" s="100" t="str">
        <f ca="1">IFERROR(__xludf.DUMMYFUNCTION("IFERROR(VLOOKUP(F798,IMPORTRANGE(""https://docs.google.com/spreadsheets/d/1Kvs4KS76FHFqLFIZfrDMff4kP08nblUkihrxltoGBjg/edit#gid=934712705"",""ESENCIAL!A6:BG""),2,FALSE))"),"")</f>
        <v/>
      </c>
      <c r="BK532" s="19" t="str">
        <f t="shared" si="27"/>
        <v/>
      </c>
      <c r="BL532" s="100"/>
      <c r="BM532" s="100"/>
    </row>
    <row r="533" spans="2:65" ht="15">
      <c r="B533" s="39"/>
      <c r="C533" s="5"/>
      <c r="D533" s="123"/>
      <c r="E533" s="39"/>
      <c r="F533" s="39"/>
      <c r="G533" s="39"/>
      <c r="H533" s="5" t="str">
        <f ca="1">IFERROR(__xludf.DUMMYFUNCTION("IFERROR(VLOOKUP(F799,IMPORTRANGE(""https://docs.google.com/spreadsheets/d/1Kvs4KS76FHFqLFIZfrDMff4kP08nblUkihrxltoGBjg/edit#gid=934712705"",""ESENCIAL!A6:BG""),3,FALSE))"),"")</f>
        <v/>
      </c>
      <c r="I533" s="5" t="str">
        <f ca="1">IFERROR(__xludf.DUMMYFUNCTION("IFERROR(VLOOKUP(F799,IMPORTRANGE(""https://docs.google.com/spreadsheets/d/1Kvs4KS76FHFqLFIZfrDMff4kP08nblUkihrxltoGBjg/edit#gid=934712705"",""ESENCIAL!A6:BG""),8,FALSE))"),"")</f>
        <v/>
      </c>
      <c r="J533" s="39"/>
      <c r="M533" s="40"/>
      <c r="AV533" s="41" t="str">
        <f t="shared" si="24"/>
        <v/>
      </c>
      <c r="AW533" s="5" t="str">
        <f ca="1">IFERROR(__xludf.DUMMYFUNCTION("IFERROR(VLOOKUP(E799&amp;F799,IMPORTRANGE(""https://docs.google.com/spreadsheets/d/1Uw7-A9f9R21vMXxHZFNpYNeKFtG8_yji4HS352LGlSQ/edit?pli=1#gid=0"",""1_ACUM!A4:S""),11,FALSE))"),"")</f>
        <v/>
      </c>
      <c r="AX533" s="42" t="str">
        <f ca="1">IFERROR(__xludf.DUMMYFUNCTION("IFERROR(VLOOKUP(F799,IMPORTRANGE(""https://docs.google.com/spreadsheets/d/1Kvs4KS76FHFqLFIZfrDMff4kP08nblUkihrxltoGBjg/edit#gid=934712705"",""ESENCIAL!A6:BG""),15,FALSE))"),"")</f>
        <v/>
      </c>
      <c r="AY533" s="110" t="str">
        <f ca="1">IFERROR(__xludf.DUMMYFUNCTION("IFERROR(VLOOKUP(E799&amp;F799,IMPORTRANGE(""https://docs.google.com/spreadsheets/d/1Uw7-A9f9R21vMXxHZFNpYNeKFtG8_yji4HS352LGlSQ/edit?pli=1#gid=0"",""1_ACUM!A4:S""),13,FALSE))"),"")</f>
        <v/>
      </c>
      <c r="AZ533" s="43" t="str">
        <f ca="1">IFERROR(__xludf.DUMMYFUNCTION("IFERROR(VLOOKUP(E799&amp;F799,IMPORTRANGE(""https://docs.google.com/spreadsheets/d/1Uw7-A9f9R21vMXxHZFNpYNeKFtG8_yji4HS352LGlSQ/edit?pli=1#gid=0"",""1_ACUM!A4:S""),13,FALSE))"),"")</f>
        <v/>
      </c>
      <c r="BA533" s="43" t="str">
        <f ca="1">IFERROR(__xludf.DUMMYFUNCTION("IFERROR(VLOOKUP(E799&amp;F799,IMPORTRANGE(""https://docs.google.com/spreadsheets/d/1Uw7-A9f9R21vMXxHZFNpYNeKFtG8_yji4HS352LGlSQ/edit?pli=1#gid=0"",""1_ACUM!A4:S""),14,FALSE))"),"")</f>
        <v/>
      </c>
      <c r="BB533" s="43" t="str">
        <f ca="1">IFERROR(__xludf.DUMMYFUNCTION("IFERROR(VLOOKUP(E799&amp;F799,IMPORTRANGE(""https://docs.google.com/spreadsheets/d/1Uw7-A9f9R21vMXxHZFNpYNeKFtG8_yji4HS352LGlSQ/edit?pli=1#gid=0"",""1_ACUM!A4:S""),15,FALSE))"),"")</f>
        <v/>
      </c>
      <c r="BC533" s="43" t="str">
        <f ca="1">IFERROR(__xludf.DUMMYFUNCTION("IFERROR(VLOOKUP(E799&amp;F799,IMPORTRANGE(""https://docs.google.com/spreadsheets/d/1Uw7-A9f9R21vMXxHZFNpYNeKFtG8_yji4HS352LGlSQ/edit?pli=1#gid=0"",""1_ACUM!A4:S""),16,FALSE))"),"")</f>
        <v/>
      </c>
      <c r="BD533" s="43" t="str">
        <f ca="1">IFERROR(__xludf.DUMMYFUNCTION("IFERROR(VLOOKUP(E799&amp;F799,IMPORTRANGE(""https://docs.google.com/spreadsheets/d/1Uw7-A9f9R21vMXxHZFNpYNeKFtG8_yji4HS352LGlSQ/edit?pli=1#gid=0"",""1_ACUM!A4:S""),17,FALSE))"),"")</f>
        <v/>
      </c>
      <c r="BE533" s="44" t="str">
        <f ca="1">IFERROR(__xludf.DUMMYFUNCTION("IFERROR(VLOOKUP(E799&amp;F799,IMPORTRANGE(""https://docs.google.com/spreadsheets/d/1Uw7-A9f9R21vMXxHZFNpYNeKFtG8_yji4HS352LGlSQ/edit?pli=1#gid=0"",""1_ACUM!A4:S""),18,FALSE))"),"")</f>
        <v/>
      </c>
      <c r="BF533" s="44" t="str">
        <f ca="1">IFERROR(__xludf.DUMMYFUNCTION("IFERROR(VLOOKUP(E799&amp;F799,IMPORTRANGE(""https://docs.google.com/spreadsheets/d/1Uw7-A9f9R21vMXxHZFNpYNeKFtG8_yji4HS352LGlSQ/edit?pli=1#gid=0"",""1_ACUM!A4:S""),19,FALSE))"),"")</f>
        <v/>
      </c>
      <c r="BG533" s="98" t="str">
        <f ca="1">IFERROR(__xludf.DUMMYFUNCTION("IFERROR(VLOOKUP(F799,IMPORTRANGE(""https://docs.google.com/spreadsheets/d/1Kvs4KS76FHFqLFIZfrDMff4kP08nblUkihrxltoGBjg/edit#gid=934712705"",""ESENCIAL!A6:BG""),5,FALSE))"),"")</f>
        <v/>
      </c>
      <c r="BH533" s="98" t="str">
        <f t="shared" si="25"/>
        <v/>
      </c>
      <c r="BI533" s="99" t="str">
        <f t="shared" si="26"/>
        <v/>
      </c>
      <c r="BJ533" s="100" t="str">
        <f ca="1">IFERROR(__xludf.DUMMYFUNCTION("IFERROR(VLOOKUP(F799,IMPORTRANGE(""https://docs.google.com/spreadsheets/d/1Kvs4KS76FHFqLFIZfrDMff4kP08nblUkihrxltoGBjg/edit#gid=934712705"",""ESENCIAL!A6:BG""),2,FALSE))"),"")</f>
        <v/>
      </c>
      <c r="BK533" s="19" t="str">
        <f t="shared" si="27"/>
        <v/>
      </c>
      <c r="BL533" s="100"/>
      <c r="BM533" s="100"/>
    </row>
    <row r="534" spans="2:65" ht="15">
      <c r="B534" s="39"/>
      <c r="C534" s="5"/>
      <c r="D534" s="123"/>
      <c r="E534" s="39"/>
      <c r="F534" s="39"/>
      <c r="G534" s="39"/>
      <c r="H534" s="5" t="str">
        <f ca="1">IFERROR(__xludf.DUMMYFUNCTION("IFERROR(VLOOKUP(F800,IMPORTRANGE(""https://docs.google.com/spreadsheets/d/1Kvs4KS76FHFqLFIZfrDMff4kP08nblUkihrxltoGBjg/edit#gid=934712705"",""ESENCIAL!A6:BG""),3,FALSE))"),"")</f>
        <v/>
      </c>
      <c r="I534" s="5" t="str">
        <f ca="1">IFERROR(__xludf.DUMMYFUNCTION("IFERROR(VLOOKUP(F800,IMPORTRANGE(""https://docs.google.com/spreadsheets/d/1Kvs4KS76FHFqLFIZfrDMff4kP08nblUkihrxltoGBjg/edit#gid=934712705"",""ESENCIAL!A6:BG""),8,FALSE))"),"")</f>
        <v/>
      </c>
      <c r="J534" s="39"/>
      <c r="M534" s="40"/>
      <c r="AV534" s="41" t="str">
        <f t="shared" si="24"/>
        <v/>
      </c>
      <c r="AW534" s="5" t="str">
        <f ca="1">IFERROR(__xludf.DUMMYFUNCTION("IFERROR(VLOOKUP(E800&amp;F800,IMPORTRANGE(""https://docs.google.com/spreadsheets/d/1Uw7-A9f9R21vMXxHZFNpYNeKFtG8_yji4HS352LGlSQ/edit?pli=1#gid=0"",""1_ACUM!A4:S""),11,FALSE))"),"")</f>
        <v/>
      </c>
      <c r="AX534" s="42" t="str">
        <f ca="1">IFERROR(__xludf.DUMMYFUNCTION("IFERROR(VLOOKUP(F800,IMPORTRANGE(""https://docs.google.com/spreadsheets/d/1Kvs4KS76FHFqLFIZfrDMff4kP08nblUkihrxltoGBjg/edit#gid=934712705"",""ESENCIAL!A6:BG""),15,FALSE))"),"")</f>
        <v/>
      </c>
      <c r="AY534" s="110" t="str">
        <f ca="1">IFERROR(__xludf.DUMMYFUNCTION("IFERROR(VLOOKUP(E800&amp;F800,IMPORTRANGE(""https://docs.google.com/spreadsheets/d/1Uw7-A9f9R21vMXxHZFNpYNeKFtG8_yji4HS352LGlSQ/edit?pli=1#gid=0"",""1_ACUM!A4:S""),13,FALSE))"),"")</f>
        <v/>
      </c>
      <c r="AZ534" s="43" t="str">
        <f ca="1">IFERROR(__xludf.DUMMYFUNCTION("IFERROR(VLOOKUP(E800&amp;F800,IMPORTRANGE(""https://docs.google.com/spreadsheets/d/1Uw7-A9f9R21vMXxHZFNpYNeKFtG8_yji4HS352LGlSQ/edit?pli=1#gid=0"",""1_ACUM!A4:S""),13,FALSE))"),"")</f>
        <v/>
      </c>
      <c r="BA534" s="43" t="str">
        <f ca="1">IFERROR(__xludf.DUMMYFUNCTION("IFERROR(VLOOKUP(E800&amp;F800,IMPORTRANGE(""https://docs.google.com/spreadsheets/d/1Uw7-A9f9R21vMXxHZFNpYNeKFtG8_yji4HS352LGlSQ/edit?pli=1#gid=0"",""1_ACUM!A4:S""),14,FALSE))"),"")</f>
        <v/>
      </c>
      <c r="BB534" s="43" t="str">
        <f ca="1">IFERROR(__xludf.DUMMYFUNCTION("IFERROR(VLOOKUP(E800&amp;F800,IMPORTRANGE(""https://docs.google.com/spreadsheets/d/1Uw7-A9f9R21vMXxHZFNpYNeKFtG8_yji4HS352LGlSQ/edit?pli=1#gid=0"",""1_ACUM!A4:S""),15,FALSE))"),"")</f>
        <v/>
      </c>
      <c r="BC534" s="43" t="str">
        <f ca="1">IFERROR(__xludf.DUMMYFUNCTION("IFERROR(VLOOKUP(E800&amp;F800,IMPORTRANGE(""https://docs.google.com/spreadsheets/d/1Uw7-A9f9R21vMXxHZFNpYNeKFtG8_yji4HS352LGlSQ/edit?pli=1#gid=0"",""1_ACUM!A4:S""),16,FALSE))"),"")</f>
        <v/>
      </c>
      <c r="BD534" s="43" t="str">
        <f ca="1">IFERROR(__xludf.DUMMYFUNCTION("IFERROR(VLOOKUP(E800&amp;F800,IMPORTRANGE(""https://docs.google.com/spreadsheets/d/1Uw7-A9f9R21vMXxHZFNpYNeKFtG8_yji4HS352LGlSQ/edit?pli=1#gid=0"",""1_ACUM!A4:S""),17,FALSE))"),"")</f>
        <v/>
      </c>
      <c r="BE534" s="44" t="str">
        <f ca="1">IFERROR(__xludf.DUMMYFUNCTION("IFERROR(VLOOKUP(E800&amp;F800,IMPORTRANGE(""https://docs.google.com/spreadsheets/d/1Uw7-A9f9R21vMXxHZFNpYNeKFtG8_yji4HS352LGlSQ/edit?pli=1#gid=0"",""1_ACUM!A4:S""),18,FALSE))"),"")</f>
        <v/>
      </c>
      <c r="BF534" s="44" t="str">
        <f ca="1">IFERROR(__xludf.DUMMYFUNCTION("IFERROR(VLOOKUP(E800&amp;F800,IMPORTRANGE(""https://docs.google.com/spreadsheets/d/1Uw7-A9f9R21vMXxHZFNpYNeKFtG8_yji4HS352LGlSQ/edit?pli=1#gid=0"",""1_ACUM!A4:S""),19,FALSE))"),"")</f>
        <v/>
      </c>
      <c r="BG534" s="98" t="str">
        <f ca="1">IFERROR(__xludf.DUMMYFUNCTION("IFERROR(VLOOKUP(F800,IMPORTRANGE(""https://docs.google.com/spreadsheets/d/1Kvs4KS76FHFqLFIZfrDMff4kP08nblUkihrxltoGBjg/edit#gid=934712705"",""ESENCIAL!A6:BG""),5,FALSE))"),"")</f>
        <v/>
      </c>
      <c r="BH534" s="98" t="str">
        <f t="shared" si="25"/>
        <v/>
      </c>
      <c r="BI534" s="99" t="str">
        <f t="shared" si="26"/>
        <v/>
      </c>
      <c r="BJ534" s="100" t="str">
        <f ca="1">IFERROR(__xludf.DUMMYFUNCTION("IFERROR(VLOOKUP(F800,IMPORTRANGE(""https://docs.google.com/spreadsheets/d/1Kvs4KS76FHFqLFIZfrDMff4kP08nblUkihrxltoGBjg/edit#gid=934712705"",""ESENCIAL!A6:BG""),2,FALSE))"),"")</f>
        <v/>
      </c>
      <c r="BK534" s="19" t="str">
        <f t="shared" si="27"/>
        <v/>
      </c>
      <c r="BL534" s="100"/>
      <c r="BM534" s="100"/>
    </row>
    <row r="535" spans="2:65" ht="15">
      <c r="B535" s="39"/>
      <c r="C535" s="5"/>
      <c r="D535" s="123"/>
      <c r="E535" s="39"/>
      <c r="F535" s="39"/>
      <c r="G535" s="39"/>
      <c r="H535" s="5" t="str">
        <f ca="1">IFERROR(__xludf.DUMMYFUNCTION("IFERROR(VLOOKUP(F801,IMPORTRANGE(""https://docs.google.com/spreadsheets/d/1Kvs4KS76FHFqLFIZfrDMff4kP08nblUkihrxltoGBjg/edit#gid=934712705"",""ESENCIAL!A6:BG""),3,FALSE))"),"")</f>
        <v/>
      </c>
      <c r="I535" s="5" t="str">
        <f ca="1">IFERROR(__xludf.DUMMYFUNCTION("IFERROR(VLOOKUP(F801,IMPORTRANGE(""https://docs.google.com/spreadsheets/d/1Kvs4KS76FHFqLFIZfrDMff4kP08nblUkihrxltoGBjg/edit#gid=934712705"",""ESENCIAL!A6:BG""),8,FALSE))"),"")</f>
        <v/>
      </c>
      <c r="J535" s="39"/>
      <c r="M535" s="40"/>
      <c r="AV535" s="41" t="str">
        <f t="shared" si="24"/>
        <v/>
      </c>
      <c r="AW535" s="5" t="str">
        <f ca="1">IFERROR(__xludf.DUMMYFUNCTION("IFERROR(VLOOKUP(E801&amp;F801,IMPORTRANGE(""https://docs.google.com/spreadsheets/d/1Uw7-A9f9R21vMXxHZFNpYNeKFtG8_yji4HS352LGlSQ/edit?pli=1#gid=0"",""1_ACUM!A4:S""),11,FALSE))"),"")</f>
        <v/>
      </c>
      <c r="AX535" s="42" t="str">
        <f ca="1">IFERROR(__xludf.DUMMYFUNCTION("IFERROR(VLOOKUP(F801,IMPORTRANGE(""https://docs.google.com/spreadsheets/d/1Kvs4KS76FHFqLFIZfrDMff4kP08nblUkihrxltoGBjg/edit#gid=934712705"",""ESENCIAL!A6:BG""),15,FALSE))"),"")</f>
        <v/>
      </c>
      <c r="AY535" s="110" t="str">
        <f ca="1">IFERROR(__xludf.DUMMYFUNCTION("IFERROR(VLOOKUP(E801&amp;F801,IMPORTRANGE(""https://docs.google.com/spreadsheets/d/1Uw7-A9f9R21vMXxHZFNpYNeKFtG8_yji4HS352LGlSQ/edit?pli=1#gid=0"",""1_ACUM!A4:S""),13,FALSE))"),"")</f>
        <v/>
      </c>
      <c r="AZ535" s="43" t="str">
        <f ca="1">IFERROR(__xludf.DUMMYFUNCTION("IFERROR(VLOOKUP(E801&amp;F801,IMPORTRANGE(""https://docs.google.com/spreadsheets/d/1Uw7-A9f9R21vMXxHZFNpYNeKFtG8_yji4HS352LGlSQ/edit?pli=1#gid=0"",""1_ACUM!A4:S""),13,FALSE))"),"")</f>
        <v/>
      </c>
      <c r="BA535" s="43" t="str">
        <f ca="1">IFERROR(__xludf.DUMMYFUNCTION("IFERROR(VLOOKUP(E801&amp;F801,IMPORTRANGE(""https://docs.google.com/spreadsheets/d/1Uw7-A9f9R21vMXxHZFNpYNeKFtG8_yji4HS352LGlSQ/edit?pli=1#gid=0"",""1_ACUM!A4:S""),14,FALSE))"),"")</f>
        <v/>
      </c>
      <c r="BB535" s="43" t="str">
        <f ca="1">IFERROR(__xludf.DUMMYFUNCTION("IFERROR(VLOOKUP(E801&amp;F801,IMPORTRANGE(""https://docs.google.com/spreadsheets/d/1Uw7-A9f9R21vMXxHZFNpYNeKFtG8_yji4HS352LGlSQ/edit?pli=1#gid=0"",""1_ACUM!A4:S""),15,FALSE))"),"")</f>
        <v/>
      </c>
      <c r="BC535" s="43" t="str">
        <f ca="1">IFERROR(__xludf.DUMMYFUNCTION("IFERROR(VLOOKUP(E801&amp;F801,IMPORTRANGE(""https://docs.google.com/spreadsheets/d/1Uw7-A9f9R21vMXxHZFNpYNeKFtG8_yji4HS352LGlSQ/edit?pli=1#gid=0"",""1_ACUM!A4:S""),16,FALSE))"),"")</f>
        <v/>
      </c>
      <c r="BD535" s="43" t="str">
        <f ca="1">IFERROR(__xludf.DUMMYFUNCTION("IFERROR(VLOOKUP(E801&amp;F801,IMPORTRANGE(""https://docs.google.com/spreadsheets/d/1Uw7-A9f9R21vMXxHZFNpYNeKFtG8_yji4HS352LGlSQ/edit?pli=1#gid=0"",""1_ACUM!A4:S""),17,FALSE))"),"")</f>
        <v/>
      </c>
      <c r="BE535" s="44" t="str">
        <f ca="1">IFERROR(__xludf.DUMMYFUNCTION("IFERROR(VLOOKUP(E801&amp;F801,IMPORTRANGE(""https://docs.google.com/spreadsheets/d/1Uw7-A9f9R21vMXxHZFNpYNeKFtG8_yji4HS352LGlSQ/edit?pli=1#gid=0"",""1_ACUM!A4:S""),18,FALSE))"),"")</f>
        <v/>
      </c>
      <c r="BF535" s="44" t="str">
        <f ca="1">IFERROR(__xludf.DUMMYFUNCTION("IFERROR(VLOOKUP(E801&amp;F801,IMPORTRANGE(""https://docs.google.com/spreadsheets/d/1Uw7-A9f9R21vMXxHZFNpYNeKFtG8_yji4HS352LGlSQ/edit?pli=1#gid=0"",""1_ACUM!A4:S""),19,FALSE))"),"")</f>
        <v/>
      </c>
      <c r="BG535" s="98" t="str">
        <f ca="1">IFERROR(__xludf.DUMMYFUNCTION("IFERROR(VLOOKUP(F801,IMPORTRANGE(""https://docs.google.com/spreadsheets/d/1Kvs4KS76FHFqLFIZfrDMff4kP08nblUkihrxltoGBjg/edit#gid=934712705"",""ESENCIAL!A6:BG""),5,FALSE))"),"")</f>
        <v/>
      </c>
      <c r="BH535" s="98" t="str">
        <f t="shared" si="25"/>
        <v/>
      </c>
      <c r="BI535" s="99" t="str">
        <f t="shared" si="26"/>
        <v/>
      </c>
      <c r="BJ535" s="100" t="str">
        <f ca="1">IFERROR(__xludf.DUMMYFUNCTION("IFERROR(VLOOKUP(F801,IMPORTRANGE(""https://docs.google.com/spreadsheets/d/1Kvs4KS76FHFqLFIZfrDMff4kP08nblUkihrxltoGBjg/edit#gid=934712705"",""ESENCIAL!A6:BG""),2,FALSE))"),"")</f>
        <v/>
      </c>
      <c r="BK535" s="19" t="str">
        <f t="shared" si="27"/>
        <v/>
      </c>
      <c r="BL535" s="100"/>
      <c r="BM535" s="100"/>
    </row>
    <row r="536" spans="2:65" ht="15">
      <c r="B536" s="39"/>
      <c r="C536" s="5"/>
      <c r="D536" s="123"/>
      <c r="E536" s="39"/>
      <c r="F536" s="39"/>
      <c r="G536" s="39"/>
      <c r="H536" s="5" t="str">
        <f ca="1">IFERROR(__xludf.DUMMYFUNCTION("IFERROR(VLOOKUP(F802,IMPORTRANGE(""https://docs.google.com/spreadsheets/d/1Kvs4KS76FHFqLFIZfrDMff4kP08nblUkihrxltoGBjg/edit#gid=934712705"",""ESENCIAL!A6:BG""),3,FALSE))"),"")</f>
        <v/>
      </c>
      <c r="I536" s="5" t="str">
        <f ca="1">IFERROR(__xludf.DUMMYFUNCTION("IFERROR(VLOOKUP(F802,IMPORTRANGE(""https://docs.google.com/spreadsheets/d/1Kvs4KS76FHFqLFIZfrDMff4kP08nblUkihrxltoGBjg/edit#gid=934712705"",""ESENCIAL!A6:BG""),8,FALSE))"),"")</f>
        <v/>
      </c>
      <c r="J536" s="39"/>
      <c r="M536" s="40"/>
      <c r="AV536" s="41" t="str">
        <f t="shared" si="24"/>
        <v/>
      </c>
      <c r="AW536" s="5" t="str">
        <f ca="1">IFERROR(__xludf.DUMMYFUNCTION("IFERROR(VLOOKUP(E802&amp;F802,IMPORTRANGE(""https://docs.google.com/spreadsheets/d/1Uw7-A9f9R21vMXxHZFNpYNeKFtG8_yji4HS352LGlSQ/edit?pli=1#gid=0"",""1_ACUM!A4:S""),11,FALSE))"),"")</f>
        <v/>
      </c>
      <c r="AX536" s="42" t="str">
        <f ca="1">IFERROR(__xludf.DUMMYFUNCTION("IFERROR(VLOOKUP(F802,IMPORTRANGE(""https://docs.google.com/spreadsheets/d/1Kvs4KS76FHFqLFIZfrDMff4kP08nblUkihrxltoGBjg/edit#gid=934712705"",""ESENCIAL!A6:BG""),15,FALSE))"),"")</f>
        <v/>
      </c>
      <c r="AY536" s="110" t="str">
        <f ca="1">IFERROR(__xludf.DUMMYFUNCTION("IFERROR(VLOOKUP(E802&amp;F802,IMPORTRANGE(""https://docs.google.com/spreadsheets/d/1Uw7-A9f9R21vMXxHZFNpYNeKFtG8_yji4HS352LGlSQ/edit?pli=1#gid=0"",""1_ACUM!A4:S""),13,FALSE))"),"")</f>
        <v/>
      </c>
      <c r="AZ536" s="43" t="str">
        <f ca="1">IFERROR(__xludf.DUMMYFUNCTION("IFERROR(VLOOKUP(E802&amp;F802,IMPORTRANGE(""https://docs.google.com/spreadsheets/d/1Uw7-A9f9R21vMXxHZFNpYNeKFtG8_yji4HS352LGlSQ/edit?pli=1#gid=0"",""1_ACUM!A4:S""),13,FALSE))"),"")</f>
        <v/>
      </c>
      <c r="BA536" s="43" t="str">
        <f ca="1">IFERROR(__xludf.DUMMYFUNCTION("IFERROR(VLOOKUP(E802&amp;F802,IMPORTRANGE(""https://docs.google.com/spreadsheets/d/1Uw7-A9f9R21vMXxHZFNpYNeKFtG8_yji4HS352LGlSQ/edit?pli=1#gid=0"",""1_ACUM!A4:S""),14,FALSE))"),"")</f>
        <v/>
      </c>
      <c r="BB536" s="43" t="str">
        <f ca="1">IFERROR(__xludf.DUMMYFUNCTION("IFERROR(VLOOKUP(E802&amp;F802,IMPORTRANGE(""https://docs.google.com/spreadsheets/d/1Uw7-A9f9R21vMXxHZFNpYNeKFtG8_yji4HS352LGlSQ/edit?pli=1#gid=0"",""1_ACUM!A4:S""),15,FALSE))"),"")</f>
        <v/>
      </c>
      <c r="BC536" s="43" t="str">
        <f ca="1">IFERROR(__xludf.DUMMYFUNCTION("IFERROR(VLOOKUP(E802&amp;F802,IMPORTRANGE(""https://docs.google.com/spreadsheets/d/1Uw7-A9f9R21vMXxHZFNpYNeKFtG8_yji4HS352LGlSQ/edit?pli=1#gid=0"",""1_ACUM!A4:S""),16,FALSE))"),"")</f>
        <v/>
      </c>
      <c r="BD536" s="43" t="str">
        <f ca="1">IFERROR(__xludf.DUMMYFUNCTION("IFERROR(VLOOKUP(E802&amp;F802,IMPORTRANGE(""https://docs.google.com/spreadsheets/d/1Uw7-A9f9R21vMXxHZFNpYNeKFtG8_yji4HS352LGlSQ/edit?pli=1#gid=0"",""1_ACUM!A4:S""),17,FALSE))"),"")</f>
        <v/>
      </c>
      <c r="BE536" s="44" t="str">
        <f ca="1">IFERROR(__xludf.DUMMYFUNCTION("IFERROR(VLOOKUP(E802&amp;F802,IMPORTRANGE(""https://docs.google.com/spreadsheets/d/1Uw7-A9f9R21vMXxHZFNpYNeKFtG8_yji4HS352LGlSQ/edit?pli=1#gid=0"",""1_ACUM!A4:S""),18,FALSE))"),"")</f>
        <v/>
      </c>
      <c r="BF536" s="44" t="str">
        <f ca="1">IFERROR(__xludf.DUMMYFUNCTION("IFERROR(VLOOKUP(E802&amp;F802,IMPORTRANGE(""https://docs.google.com/spreadsheets/d/1Uw7-A9f9R21vMXxHZFNpYNeKFtG8_yji4HS352LGlSQ/edit?pli=1#gid=0"",""1_ACUM!A4:S""),19,FALSE))"),"")</f>
        <v/>
      </c>
      <c r="BG536" s="98" t="str">
        <f ca="1">IFERROR(__xludf.DUMMYFUNCTION("IFERROR(VLOOKUP(F802,IMPORTRANGE(""https://docs.google.com/spreadsheets/d/1Kvs4KS76FHFqLFIZfrDMff4kP08nblUkihrxltoGBjg/edit#gid=934712705"",""ESENCIAL!A6:BG""),5,FALSE))"),"")</f>
        <v/>
      </c>
      <c r="BH536" s="98" t="str">
        <f t="shared" si="25"/>
        <v/>
      </c>
      <c r="BI536" s="99" t="str">
        <f t="shared" si="26"/>
        <v/>
      </c>
      <c r="BJ536" s="100" t="str">
        <f ca="1">IFERROR(__xludf.DUMMYFUNCTION("IFERROR(VLOOKUP(F802,IMPORTRANGE(""https://docs.google.com/spreadsheets/d/1Kvs4KS76FHFqLFIZfrDMff4kP08nblUkihrxltoGBjg/edit#gid=934712705"",""ESENCIAL!A6:BG""),2,FALSE))"),"")</f>
        <v/>
      </c>
      <c r="BK536" s="19" t="str">
        <f t="shared" si="27"/>
        <v/>
      </c>
      <c r="BL536" s="100"/>
      <c r="BM536" s="100"/>
    </row>
    <row r="537" spans="2:65" ht="15">
      <c r="B537" s="39"/>
      <c r="C537" s="5"/>
      <c r="D537" s="123"/>
      <c r="E537" s="39"/>
      <c r="F537" s="39"/>
      <c r="G537" s="39"/>
      <c r="H537" s="5" t="str">
        <f ca="1">IFERROR(__xludf.DUMMYFUNCTION("IFERROR(VLOOKUP(F803,IMPORTRANGE(""https://docs.google.com/spreadsheets/d/1Kvs4KS76FHFqLFIZfrDMff4kP08nblUkihrxltoGBjg/edit#gid=934712705"",""ESENCIAL!A6:BG""),3,FALSE))"),"")</f>
        <v/>
      </c>
      <c r="I537" s="5" t="str">
        <f ca="1">IFERROR(__xludf.DUMMYFUNCTION("IFERROR(VLOOKUP(F803,IMPORTRANGE(""https://docs.google.com/spreadsheets/d/1Kvs4KS76FHFqLFIZfrDMff4kP08nblUkihrxltoGBjg/edit#gid=934712705"",""ESENCIAL!A6:BG""),8,FALSE))"),"")</f>
        <v/>
      </c>
      <c r="J537" s="39"/>
      <c r="M537" s="40"/>
      <c r="AV537" s="41" t="str">
        <f t="shared" si="24"/>
        <v/>
      </c>
      <c r="AW537" s="5" t="str">
        <f ca="1">IFERROR(__xludf.DUMMYFUNCTION("IFERROR(VLOOKUP(E803&amp;F803,IMPORTRANGE(""https://docs.google.com/spreadsheets/d/1Uw7-A9f9R21vMXxHZFNpYNeKFtG8_yji4HS352LGlSQ/edit?pli=1#gid=0"",""1_ACUM!A4:S""),11,FALSE))"),"")</f>
        <v/>
      </c>
      <c r="AX537" s="42" t="str">
        <f ca="1">IFERROR(__xludf.DUMMYFUNCTION("IFERROR(VLOOKUP(F803,IMPORTRANGE(""https://docs.google.com/spreadsheets/d/1Kvs4KS76FHFqLFIZfrDMff4kP08nblUkihrxltoGBjg/edit#gid=934712705"",""ESENCIAL!A6:BG""),15,FALSE))"),"")</f>
        <v/>
      </c>
      <c r="AY537" s="110" t="str">
        <f ca="1">IFERROR(__xludf.DUMMYFUNCTION("IFERROR(VLOOKUP(E803&amp;F803,IMPORTRANGE(""https://docs.google.com/spreadsheets/d/1Uw7-A9f9R21vMXxHZFNpYNeKFtG8_yji4HS352LGlSQ/edit?pli=1#gid=0"",""1_ACUM!A4:S""),13,FALSE))"),"")</f>
        <v/>
      </c>
      <c r="AZ537" s="43" t="str">
        <f ca="1">IFERROR(__xludf.DUMMYFUNCTION("IFERROR(VLOOKUP(E803&amp;F803,IMPORTRANGE(""https://docs.google.com/spreadsheets/d/1Uw7-A9f9R21vMXxHZFNpYNeKFtG8_yji4HS352LGlSQ/edit?pli=1#gid=0"",""1_ACUM!A4:S""),13,FALSE))"),"")</f>
        <v/>
      </c>
      <c r="BA537" s="43" t="str">
        <f ca="1">IFERROR(__xludf.DUMMYFUNCTION("IFERROR(VLOOKUP(E803&amp;F803,IMPORTRANGE(""https://docs.google.com/spreadsheets/d/1Uw7-A9f9R21vMXxHZFNpYNeKFtG8_yji4HS352LGlSQ/edit?pli=1#gid=0"",""1_ACUM!A4:S""),14,FALSE))"),"")</f>
        <v/>
      </c>
      <c r="BB537" s="43" t="str">
        <f ca="1">IFERROR(__xludf.DUMMYFUNCTION("IFERROR(VLOOKUP(E803&amp;F803,IMPORTRANGE(""https://docs.google.com/spreadsheets/d/1Uw7-A9f9R21vMXxHZFNpYNeKFtG8_yji4HS352LGlSQ/edit?pli=1#gid=0"",""1_ACUM!A4:S""),15,FALSE))"),"")</f>
        <v/>
      </c>
      <c r="BC537" s="43" t="str">
        <f ca="1">IFERROR(__xludf.DUMMYFUNCTION("IFERROR(VLOOKUP(E803&amp;F803,IMPORTRANGE(""https://docs.google.com/spreadsheets/d/1Uw7-A9f9R21vMXxHZFNpYNeKFtG8_yji4HS352LGlSQ/edit?pli=1#gid=0"",""1_ACUM!A4:S""),16,FALSE))"),"")</f>
        <v/>
      </c>
      <c r="BD537" s="43" t="str">
        <f ca="1">IFERROR(__xludf.DUMMYFUNCTION("IFERROR(VLOOKUP(E803&amp;F803,IMPORTRANGE(""https://docs.google.com/spreadsheets/d/1Uw7-A9f9R21vMXxHZFNpYNeKFtG8_yji4HS352LGlSQ/edit?pli=1#gid=0"",""1_ACUM!A4:S""),17,FALSE))"),"")</f>
        <v/>
      </c>
      <c r="BE537" s="44" t="str">
        <f ca="1">IFERROR(__xludf.DUMMYFUNCTION("IFERROR(VLOOKUP(E803&amp;F803,IMPORTRANGE(""https://docs.google.com/spreadsheets/d/1Uw7-A9f9R21vMXxHZFNpYNeKFtG8_yji4HS352LGlSQ/edit?pli=1#gid=0"",""1_ACUM!A4:S""),18,FALSE))"),"")</f>
        <v/>
      </c>
      <c r="BF537" s="44" t="str">
        <f ca="1">IFERROR(__xludf.DUMMYFUNCTION("IFERROR(VLOOKUP(E803&amp;F803,IMPORTRANGE(""https://docs.google.com/spreadsheets/d/1Uw7-A9f9R21vMXxHZFNpYNeKFtG8_yji4HS352LGlSQ/edit?pli=1#gid=0"",""1_ACUM!A4:S""),19,FALSE))"),"")</f>
        <v/>
      </c>
      <c r="BG537" s="98" t="str">
        <f ca="1">IFERROR(__xludf.DUMMYFUNCTION("IFERROR(VLOOKUP(F803,IMPORTRANGE(""https://docs.google.com/spreadsheets/d/1Kvs4KS76FHFqLFIZfrDMff4kP08nblUkihrxltoGBjg/edit#gid=934712705"",""ESENCIAL!A6:BG""),5,FALSE))"),"")</f>
        <v/>
      </c>
      <c r="BH537" s="98" t="str">
        <f t="shared" si="25"/>
        <v/>
      </c>
      <c r="BI537" s="99" t="str">
        <f t="shared" si="26"/>
        <v/>
      </c>
      <c r="BJ537" s="100" t="str">
        <f ca="1">IFERROR(__xludf.DUMMYFUNCTION("IFERROR(VLOOKUP(F803,IMPORTRANGE(""https://docs.google.com/spreadsheets/d/1Kvs4KS76FHFqLFIZfrDMff4kP08nblUkihrxltoGBjg/edit#gid=934712705"",""ESENCIAL!A6:BG""),2,FALSE))"),"")</f>
        <v/>
      </c>
      <c r="BK537" s="19" t="str">
        <f t="shared" si="27"/>
        <v/>
      </c>
      <c r="BL537" s="100"/>
      <c r="BM537" s="100"/>
    </row>
    <row r="538" spans="2:65" ht="15">
      <c r="B538" s="39"/>
      <c r="C538" s="5"/>
      <c r="D538" s="123"/>
      <c r="E538" s="39"/>
      <c r="F538" s="39"/>
      <c r="G538" s="39"/>
      <c r="H538" s="5" t="str">
        <f ca="1">IFERROR(__xludf.DUMMYFUNCTION("IFERROR(VLOOKUP(F804,IMPORTRANGE(""https://docs.google.com/spreadsheets/d/1Kvs4KS76FHFqLFIZfrDMff4kP08nblUkihrxltoGBjg/edit#gid=934712705"",""ESENCIAL!A6:BG""),3,FALSE))"),"")</f>
        <v/>
      </c>
      <c r="I538" s="5" t="str">
        <f ca="1">IFERROR(__xludf.DUMMYFUNCTION("IFERROR(VLOOKUP(F804,IMPORTRANGE(""https://docs.google.com/spreadsheets/d/1Kvs4KS76FHFqLFIZfrDMff4kP08nblUkihrxltoGBjg/edit#gid=934712705"",""ESENCIAL!A6:BG""),8,FALSE))"),"")</f>
        <v/>
      </c>
      <c r="J538" s="39"/>
      <c r="M538" s="40"/>
      <c r="AV538" s="41" t="str">
        <f t="shared" si="24"/>
        <v/>
      </c>
      <c r="AW538" s="5" t="str">
        <f ca="1">IFERROR(__xludf.DUMMYFUNCTION("IFERROR(VLOOKUP(E804&amp;F804,IMPORTRANGE(""https://docs.google.com/spreadsheets/d/1Uw7-A9f9R21vMXxHZFNpYNeKFtG8_yji4HS352LGlSQ/edit?pli=1#gid=0"",""1_ACUM!A4:S""),11,FALSE))"),"")</f>
        <v/>
      </c>
      <c r="AX538" s="42" t="str">
        <f ca="1">IFERROR(__xludf.DUMMYFUNCTION("IFERROR(VLOOKUP(F804,IMPORTRANGE(""https://docs.google.com/spreadsheets/d/1Kvs4KS76FHFqLFIZfrDMff4kP08nblUkihrxltoGBjg/edit#gid=934712705"",""ESENCIAL!A6:BG""),15,FALSE))"),"")</f>
        <v/>
      </c>
      <c r="AY538" s="110" t="str">
        <f ca="1">IFERROR(__xludf.DUMMYFUNCTION("IFERROR(VLOOKUP(E804&amp;F804,IMPORTRANGE(""https://docs.google.com/spreadsheets/d/1Uw7-A9f9R21vMXxHZFNpYNeKFtG8_yji4HS352LGlSQ/edit?pli=1#gid=0"",""1_ACUM!A4:S""),13,FALSE))"),"")</f>
        <v/>
      </c>
      <c r="AZ538" s="43" t="str">
        <f ca="1">IFERROR(__xludf.DUMMYFUNCTION("IFERROR(VLOOKUP(E804&amp;F804,IMPORTRANGE(""https://docs.google.com/spreadsheets/d/1Uw7-A9f9R21vMXxHZFNpYNeKFtG8_yji4HS352LGlSQ/edit?pli=1#gid=0"",""1_ACUM!A4:S""),13,FALSE))"),"")</f>
        <v/>
      </c>
      <c r="BA538" s="43" t="str">
        <f ca="1">IFERROR(__xludf.DUMMYFUNCTION("IFERROR(VLOOKUP(E804&amp;F804,IMPORTRANGE(""https://docs.google.com/spreadsheets/d/1Uw7-A9f9R21vMXxHZFNpYNeKFtG8_yji4HS352LGlSQ/edit?pli=1#gid=0"",""1_ACUM!A4:S""),14,FALSE))"),"")</f>
        <v/>
      </c>
      <c r="BB538" s="43" t="str">
        <f ca="1">IFERROR(__xludf.DUMMYFUNCTION("IFERROR(VLOOKUP(E804&amp;F804,IMPORTRANGE(""https://docs.google.com/spreadsheets/d/1Uw7-A9f9R21vMXxHZFNpYNeKFtG8_yji4HS352LGlSQ/edit?pli=1#gid=0"",""1_ACUM!A4:S""),15,FALSE))"),"")</f>
        <v/>
      </c>
      <c r="BC538" s="43" t="str">
        <f ca="1">IFERROR(__xludf.DUMMYFUNCTION("IFERROR(VLOOKUP(E804&amp;F804,IMPORTRANGE(""https://docs.google.com/spreadsheets/d/1Uw7-A9f9R21vMXxHZFNpYNeKFtG8_yji4HS352LGlSQ/edit?pli=1#gid=0"",""1_ACUM!A4:S""),16,FALSE))"),"")</f>
        <v/>
      </c>
      <c r="BD538" s="43" t="str">
        <f ca="1">IFERROR(__xludf.DUMMYFUNCTION("IFERROR(VLOOKUP(E804&amp;F804,IMPORTRANGE(""https://docs.google.com/spreadsheets/d/1Uw7-A9f9R21vMXxHZFNpYNeKFtG8_yji4HS352LGlSQ/edit?pli=1#gid=0"",""1_ACUM!A4:S""),17,FALSE))"),"")</f>
        <v/>
      </c>
      <c r="BE538" s="44" t="str">
        <f ca="1">IFERROR(__xludf.DUMMYFUNCTION("IFERROR(VLOOKUP(E804&amp;F804,IMPORTRANGE(""https://docs.google.com/spreadsheets/d/1Uw7-A9f9R21vMXxHZFNpYNeKFtG8_yji4HS352LGlSQ/edit?pli=1#gid=0"",""1_ACUM!A4:S""),18,FALSE))"),"")</f>
        <v/>
      </c>
      <c r="BF538" s="44" t="str">
        <f ca="1">IFERROR(__xludf.DUMMYFUNCTION("IFERROR(VLOOKUP(E804&amp;F804,IMPORTRANGE(""https://docs.google.com/spreadsheets/d/1Uw7-A9f9R21vMXxHZFNpYNeKFtG8_yji4HS352LGlSQ/edit?pli=1#gid=0"",""1_ACUM!A4:S""),19,FALSE))"),"")</f>
        <v/>
      </c>
      <c r="BG538" s="98" t="str">
        <f ca="1">IFERROR(__xludf.DUMMYFUNCTION("IFERROR(VLOOKUP(F804,IMPORTRANGE(""https://docs.google.com/spreadsheets/d/1Kvs4KS76FHFqLFIZfrDMff4kP08nblUkihrxltoGBjg/edit#gid=934712705"",""ESENCIAL!A6:BG""),5,FALSE))"),"")</f>
        <v/>
      </c>
      <c r="BH538" s="98" t="str">
        <f t="shared" si="25"/>
        <v/>
      </c>
      <c r="BI538" s="99" t="str">
        <f t="shared" si="26"/>
        <v/>
      </c>
      <c r="BJ538" s="100" t="str">
        <f ca="1">IFERROR(__xludf.DUMMYFUNCTION("IFERROR(VLOOKUP(F804,IMPORTRANGE(""https://docs.google.com/spreadsheets/d/1Kvs4KS76FHFqLFIZfrDMff4kP08nblUkihrxltoGBjg/edit#gid=934712705"",""ESENCIAL!A6:BG""),2,FALSE))"),"")</f>
        <v/>
      </c>
      <c r="BK538" s="19" t="str">
        <f t="shared" si="27"/>
        <v/>
      </c>
      <c r="BL538" s="100"/>
      <c r="BM538" s="100"/>
    </row>
    <row r="539" spans="2:65" ht="15">
      <c r="B539" s="39"/>
      <c r="C539" s="5"/>
      <c r="D539" s="123"/>
      <c r="E539" s="39"/>
      <c r="F539" s="39"/>
      <c r="G539" s="39"/>
      <c r="H539" s="5" t="str">
        <f ca="1">IFERROR(__xludf.DUMMYFUNCTION("IFERROR(VLOOKUP(F805,IMPORTRANGE(""https://docs.google.com/spreadsheets/d/1Kvs4KS76FHFqLFIZfrDMff4kP08nblUkihrxltoGBjg/edit#gid=934712705"",""ESENCIAL!A6:BG""),3,FALSE))"),"")</f>
        <v/>
      </c>
      <c r="I539" s="5" t="str">
        <f ca="1">IFERROR(__xludf.DUMMYFUNCTION("IFERROR(VLOOKUP(F805,IMPORTRANGE(""https://docs.google.com/spreadsheets/d/1Kvs4KS76FHFqLFIZfrDMff4kP08nblUkihrxltoGBjg/edit#gid=934712705"",""ESENCIAL!A6:BG""),8,FALSE))"),"")</f>
        <v/>
      </c>
      <c r="J539" s="39"/>
      <c r="M539" s="40"/>
      <c r="AV539" s="41" t="str">
        <f t="shared" si="24"/>
        <v/>
      </c>
      <c r="AW539" s="5" t="str">
        <f ca="1">IFERROR(__xludf.DUMMYFUNCTION("IFERROR(VLOOKUP(E805&amp;F805,IMPORTRANGE(""https://docs.google.com/spreadsheets/d/1Uw7-A9f9R21vMXxHZFNpYNeKFtG8_yji4HS352LGlSQ/edit?pli=1#gid=0"",""1_ACUM!A4:S""),11,FALSE))"),"")</f>
        <v/>
      </c>
      <c r="AX539" s="42" t="str">
        <f ca="1">IFERROR(__xludf.DUMMYFUNCTION("IFERROR(VLOOKUP(F805,IMPORTRANGE(""https://docs.google.com/spreadsheets/d/1Kvs4KS76FHFqLFIZfrDMff4kP08nblUkihrxltoGBjg/edit#gid=934712705"",""ESENCIAL!A6:BG""),15,FALSE))"),"")</f>
        <v/>
      </c>
      <c r="AY539" s="110" t="str">
        <f ca="1">IFERROR(__xludf.DUMMYFUNCTION("IFERROR(VLOOKUP(E805&amp;F805,IMPORTRANGE(""https://docs.google.com/spreadsheets/d/1Uw7-A9f9R21vMXxHZFNpYNeKFtG8_yji4HS352LGlSQ/edit?pli=1#gid=0"",""1_ACUM!A4:S""),13,FALSE))"),"")</f>
        <v/>
      </c>
      <c r="AZ539" s="43" t="str">
        <f ca="1">IFERROR(__xludf.DUMMYFUNCTION("IFERROR(VLOOKUP(E805&amp;F805,IMPORTRANGE(""https://docs.google.com/spreadsheets/d/1Uw7-A9f9R21vMXxHZFNpYNeKFtG8_yji4HS352LGlSQ/edit?pli=1#gid=0"",""1_ACUM!A4:S""),13,FALSE))"),"")</f>
        <v/>
      </c>
      <c r="BA539" s="43" t="str">
        <f ca="1">IFERROR(__xludf.DUMMYFUNCTION("IFERROR(VLOOKUP(E805&amp;F805,IMPORTRANGE(""https://docs.google.com/spreadsheets/d/1Uw7-A9f9R21vMXxHZFNpYNeKFtG8_yji4HS352LGlSQ/edit?pli=1#gid=0"",""1_ACUM!A4:S""),14,FALSE))"),"")</f>
        <v/>
      </c>
      <c r="BB539" s="43" t="str">
        <f ca="1">IFERROR(__xludf.DUMMYFUNCTION("IFERROR(VLOOKUP(E805&amp;F805,IMPORTRANGE(""https://docs.google.com/spreadsheets/d/1Uw7-A9f9R21vMXxHZFNpYNeKFtG8_yji4HS352LGlSQ/edit?pli=1#gid=0"",""1_ACUM!A4:S""),15,FALSE))"),"")</f>
        <v/>
      </c>
      <c r="BC539" s="43" t="str">
        <f ca="1">IFERROR(__xludf.DUMMYFUNCTION("IFERROR(VLOOKUP(E805&amp;F805,IMPORTRANGE(""https://docs.google.com/spreadsheets/d/1Uw7-A9f9R21vMXxHZFNpYNeKFtG8_yji4HS352LGlSQ/edit?pli=1#gid=0"",""1_ACUM!A4:S""),16,FALSE))"),"")</f>
        <v/>
      </c>
      <c r="BD539" s="43" t="str">
        <f ca="1">IFERROR(__xludf.DUMMYFUNCTION("IFERROR(VLOOKUP(E805&amp;F805,IMPORTRANGE(""https://docs.google.com/spreadsheets/d/1Uw7-A9f9R21vMXxHZFNpYNeKFtG8_yji4HS352LGlSQ/edit?pli=1#gid=0"",""1_ACUM!A4:S""),17,FALSE))"),"")</f>
        <v/>
      </c>
      <c r="BE539" s="44" t="str">
        <f ca="1">IFERROR(__xludf.DUMMYFUNCTION("IFERROR(VLOOKUP(E805&amp;F805,IMPORTRANGE(""https://docs.google.com/spreadsheets/d/1Uw7-A9f9R21vMXxHZFNpYNeKFtG8_yji4HS352LGlSQ/edit?pli=1#gid=0"",""1_ACUM!A4:S""),18,FALSE))"),"")</f>
        <v/>
      </c>
      <c r="BF539" s="44" t="str">
        <f ca="1">IFERROR(__xludf.DUMMYFUNCTION("IFERROR(VLOOKUP(E805&amp;F805,IMPORTRANGE(""https://docs.google.com/spreadsheets/d/1Uw7-A9f9R21vMXxHZFNpYNeKFtG8_yji4HS352LGlSQ/edit?pli=1#gid=0"",""1_ACUM!A4:S""),19,FALSE))"),"")</f>
        <v/>
      </c>
      <c r="BG539" s="98" t="str">
        <f ca="1">IFERROR(__xludf.DUMMYFUNCTION("IFERROR(VLOOKUP(F805,IMPORTRANGE(""https://docs.google.com/spreadsheets/d/1Kvs4KS76FHFqLFIZfrDMff4kP08nblUkihrxltoGBjg/edit#gid=934712705"",""ESENCIAL!A6:BG""),5,FALSE))"),"")</f>
        <v/>
      </c>
      <c r="BH539" s="98" t="str">
        <f t="shared" si="25"/>
        <v/>
      </c>
      <c r="BI539" s="99" t="str">
        <f t="shared" si="26"/>
        <v/>
      </c>
      <c r="BJ539" s="100" t="str">
        <f ca="1">IFERROR(__xludf.DUMMYFUNCTION("IFERROR(VLOOKUP(F805,IMPORTRANGE(""https://docs.google.com/spreadsheets/d/1Kvs4KS76FHFqLFIZfrDMff4kP08nblUkihrxltoGBjg/edit#gid=934712705"",""ESENCIAL!A6:BG""),2,FALSE))"),"")</f>
        <v/>
      </c>
      <c r="BK539" s="19" t="str">
        <f t="shared" si="27"/>
        <v/>
      </c>
      <c r="BL539" s="100"/>
      <c r="BM539" s="100"/>
    </row>
    <row r="540" spans="2:65" ht="15">
      <c r="B540" s="39"/>
      <c r="C540" s="5"/>
      <c r="D540" s="123"/>
      <c r="E540" s="39"/>
      <c r="F540" s="39"/>
      <c r="G540" s="39"/>
      <c r="H540" s="5" t="str">
        <f ca="1">IFERROR(__xludf.DUMMYFUNCTION("IFERROR(VLOOKUP(F806,IMPORTRANGE(""https://docs.google.com/spreadsheets/d/1Kvs4KS76FHFqLFIZfrDMff4kP08nblUkihrxltoGBjg/edit#gid=934712705"",""ESENCIAL!A6:BG""),3,FALSE))"),"")</f>
        <v/>
      </c>
      <c r="I540" s="5" t="str">
        <f ca="1">IFERROR(__xludf.DUMMYFUNCTION("IFERROR(VLOOKUP(F806,IMPORTRANGE(""https://docs.google.com/spreadsheets/d/1Kvs4KS76FHFqLFIZfrDMff4kP08nblUkihrxltoGBjg/edit#gid=934712705"",""ESENCIAL!A6:BG""),8,FALSE))"),"")</f>
        <v/>
      </c>
      <c r="J540" s="39"/>
      <c r="M540" s="40"/>
      <c r="AV540" s="41" t="str">
        <f t="shared" si="24"/>
        <v/>
      </c>
      <c r="AW540" s="5" t="str">
        <f ca="1">IFERROR(__xludf.DUMMYFUNCTION("IFERROR(VLOOKUP(E806&amp;F806,IMPORTRANGE(""https://docs.google.com/spreadsheets/d/1Uw7-A9f9R21vMXxHZFNpYNeKFtG8_yji4HS352LGlSQ/edit?pli=1#gid=0"",""1_ACUM!A4:S""),11,FALSE))"),"")</f>
        <v/>
      </c>
      <c r="AX540" s="42" t="str">
        <f ca="1">IFERROR(__xludf.DUMMYFUNCTION("IFERROR(VLOOKUP(F806,IMPORTRANGE(""https://docs.google.com/spreadsheets/d/1Kvs4KS76FHFqLFIZfrDMff4kP08nblUkihrxltoGBjg/edit#gid=934712705"",""ESENCIAL!A6:BG""),15,FALSE))"),"")</f>
        <v/>
      </c>
      <c r="AY540" s="110" t="str">
        <f ca="1">IFERROR(__xludf.DUMMYFUNCTION("IFERROR(VLOOKUP(E806&amp;F806,IMPORTRANGE(""https://docs.google.com/spreadsheets/d/1Uw7-A9f9R21vMXxHZFNpYNeKFtG8_yji4HS352LGlSQ/edit?pli=1#gid=0"",""1_ACUM!A4:S""),13,FALSE))"),"")</f>
        <v/>
      </c>
      <c r="AZ540" s="43" t="str">
        <f ca="1">IFERROR(__xludf.DUMMYFUNCTION("IFERROR(VLOOKUP(E806&amp;F806,IMPORTRANGE(""https://docs.google.com/spreadsheets/d/1Uw7-A9f9R21vMXxHZFNpYNeKFtG8_yji4HS352LGlSQ/edit?pli=1#gid=0"",""1_ACUM!A4:S""),13,FALSE))"),"")</f>
        <v/>
      </c>
      <c r="BA540" s="43" t="str">
        <f ca="1">IFERROR(__xludf.DUMMYFUNCTION("IFERROR(VLOOKUP(E806&amp;F806,IMPORTRANGE(""https://docs.google.com/spreadsheets/d/1Uw7-A9f9R21vMXxHZFNpYNeKFtG8_yji4HS352LGlSQ/edit?pli=1#gid=0"",""1_ACUM!A4:S""),14,FALSE))"),"")</f>
        <v/>
      </c>
      <c r="BB540" s="43" t="str">
        <f ca="1">IFERROR(__xludf.DUMMYFUNCTION("IFERROR(VLOOKUP(E806&amp;F806,IMPORTRANGE(""https://docs.google.com/spreadsheets/d/1Uw7-A9f9R21vMXxHZFNpYNeKFtG8_yji4HS352LGlSQ/edit?pli=1#gid=0"",""1_ACUM!A4:S""),15,FALSE))"),"")</f>
        <v/>
      </c>
      <c r="BC540" s="43" t="str">
        <f ca="1">IFERROR(__xludf.DUMMYFUNCTION("IFERROR(VLOOKUP(E806&amp;F806,IMPORTRANGE(""https://docs.google.com/spreadsheets/d/1Uw7-A9f9R21vMXxHZFNpYNeKFtG8_yji4HS352LGlSQ/edit?pli=1#gid=0"",""1_ACUM!A4:S""),16,FALSE))"),"")</f>
        <v/>
      </c>
      <c r="BD540" s="43" t="str">
        <f ca="1">IFERROR(__xludf.DUMMYFUNCTION("IFERROR(VLOOKUP(E806&amp;F806,IMPORTRANGE(""https://docs.google.com/spreadsheets/d/1Uw7-A9f9R21vMXxHZFNpYNeKFtG8_yji4HS352LGlSQ/edit?pli=1#gid=0"",""1_ACUM!A4:S""),17,FALSE))"),"")</f>
        <v/>
      </c>
      <c r="BE540" s="44" t="str">
        <f ca="1">IFERROR(__xludf.DUMMYFUNCTION("IFERROR(VLOOKUP(E806&amp;F806,IMPORTRANGE(""https://docs.google.com/spreadsheets/d/1Uw7-A9f9R21vMXxHZFNpYNeKFtG8_yji4HS352LGlSQ/edit?pli=1#gid=0"",""1_ACUM!A4:S""),18,FALSE))"),"")</f>
        <v/>
      </c>
      <c r="BF540" s="44" t="str">
        <f ca="1">IFERROR(__xludf.DUMMYFUNCTION("IFERROR(VLOOKUP(E806&amp;F806,IMPORTRANGE(""https://docs.google.com/spreadsheets/d/1Uw7-A9f9R21vMXxHZFNpYNeKFtG8_yji4HS352LGlSQ/edit?pli=1#gid=0"",""1_ACUM!A4:S""),19,FALSE))"),"")</f>
        <v/>
      </c>
      <c r="BG540" s="98" t="str">
        <f ca="1">IFERROR(__xludf.DUMMYFUNCTION("IFERROR(VLOOKUP(F806,IMPORTRANGE(""https://docs.google.com/spreadsheets/d/1Kvs4KS76FHFqLFIZfrDMff4kP08nblUkihrxltoGBjg/edit#gid=934712705"",""ESENCIAL!A6:BG""),5,FALSE))"),"")</f>
        <v/>
      </c>
      <c r="BH540" s="98" t="str">
        <f t="shared" si="25"/>
        <v/>
      </c>
      <c r="BI540" s="99" t="str">
        <f t="shared" si="26"/>
        <v/>
      </c>
      <c r="BJ540" s="100" t="str">
        <f ca="1">IFERROR(__xludf.DUMMYFUNCTION("IFERROR(VLOOKUP(F806,IMPORTRANGE(""https://docs.google.com/spreadsheets/d/1Kvs4KS76FHFqLFIZfrDMff4kP08nblUkihrxltoGBjg/edit#gid=934712705"",""ESENCIAL!A6:BG""),2,FALSE))"),"")</f>
        <v/>
      </c>
      <c r="BK540" s="19" t="str">
        <f t="shared" si="27"/>
        <v/>
      </c>
      <c r="BL540" s="100"/>
      <c r="BM540" s="100"/>
    </row>
    <row r="541" spans="2:65" ht="15">
      <c r="B541" s="39"/>
      <c r="C541" s="5"/>
      <c r="D541" s="123"/>
      <c r="E541" s="39"/>
      <c r="F541" s="39"/>
      <c r="G541" s="39"/>
      <c r="H541" s="5" t="str">
        <f ca="1">IFERROR(__xludf.DUMMYFUNCTION("IFERROR(VLOOKUP(F807,IMPORTRANGE(""https://docs.google.com/spreadsheets/d/1Kvs4KS76FHFqLFIZfrDMff4kP08nblUkihrxltoGBjg/edit#gid=934712705"",""ESENCIAL!A6:BG""),3,FALSE))"),"")</f>
        <v/>
      </c>
      <c r="I541" s="5" t="str">
        <f ca="1">IFERROR(__xludf.DUMMYFUNCTION("IFERROR(VLOOKUP(F807,IMPORTRANGE(""https://docs.google.com/spreadsheets/d/1Kvs4KS76FHFqLFIZfrDMff4kP08nblUkihrxltoGBjg/edit#gid=934712705"",""ESENCIAL!A6:BG""),8,FALSE))"),"")</f>
        <v/>
      </c>
      <c r="J541" s="39"/>
      <c r="M541" s="40"/>
      <c r="AV541" s="41" t="str">
        <f t="shared" si="24"/>
        <v/>
      </c>
      <c r="AW541" s="5" t="str">
        <f ca="1">IFERROR(__xludf.DUMMYFUNCTION("IFERROR(VLOOKUP(E807&amp;F807,IMPORTRANGE(""https://docs.google.com/spreadsheets/d/1Uw7-A9f9R21vMXxHZFNpYNeKFtG8_yji4HS352LGlSQ/edit?pli=1#gid=0"",""1_ACUM!A4:S""),11,FALSE))"),"")</f>
        <v/>
      </c>
      <c r="AX541" s="42" t="str">
        <f ca="1">IFERROR(__xludf.DUMMYFUNCTION("IFERROR(VLOOKUP(F807,IMPORTRANGE(""https://docs.google.com/spreadsheets/d/1Kvs4KS76FHFqLFIZfrDMff4kP08nblUkihrxltoGBjg/edit#gid=934712705"",""ESENCIAL!A6:BG""),15,FALSE))"),"")</f>
        <v/>
      </c>
      <c r="AY541" s="110" t="str">
        <f ca="1">IFERROR(__xludf.DUMMYFUNCTION("IFERROR(VLOOKUP(E807&amp;F807,IMPORTRANGE(""https://docs.google.com/spreadsheets/d/1Uw7-A9f9R21vMXxHZFNpYNeKFtG8_yji4HS352LGlSQ/edit?pli=1#gid=0"",""1_ACUM!A4:S""),13,FALSE))"),"")</f>
        <v/>
      </c>
      <c r="AZ541" s="43" t="str">
        <f ca="1">IFERROR(__xludf.DUMMYFUNCTION("IFERROR(VLOOKUP(E807&amp;F807,IMPORTRANGE(""https://docs.google.com/spreadsheets/d/1Uw7-A9f9R21vMXxHZFNpYNeKFtG8_yji4HS352LGlSQ/edit?pli=1#gid=0"",""1_ACUM!A4:S""),13,FALSE))"),"")</f>
        <v/>
      </c>
      <c r="BA541" s="43" t="str">
        <f ca="1">IFERROR(__xludf.DUMMYFUNCTION("IFERROR(VLOOKUP(E807&amp;F807,IMPORTRANGE(""https://docs.google.com/spreadsheets/d/1Uw7-A9f9R21vMXxHZFNpYNeKFtG8_yji4HS352LGlSQ/edit?pli=1#gid=0"",""1_ACUM!A4:S""),14,FALSE))"),"")</f>
        <v/>
      </c>
      <c r="BB541" s="43" t="str">
        <f ca="1">IFERROR(__xludf.DUMMYFUNCTION("IFERROR(VLOOKUP(E807&amp;F807,IMPORTRANGE(""https://docs.google.com/spreadsheets/d/1Uw7-A9f9R21vMXxHZFNpYNeKFtG8_yji4HS352LGlSQ/edit?pli=1#gid=0"",""1_ACUM!A4:S""),15,FALSE))"),"")</f>
        <v/>
      </c>
      <c r="BC541" s="43" t="str">
        <f ca="1">IFERROR(__xludf.DUMMYFUNCTION("IFERROR(VLOOKUP(E807&amp;F807,IMPORTRANGE(""https://docs.google.com/spreadsheets/d/1Uw7-A9f9R21vMXxHZFNpYNeKFtG8_yji4HS352LGlSQ/edit?pli=1#gid=0"",""1_ACUM!A4:S""),16,FALSE))"),"")</f>
        <v/>
      </c>
      <c r="BD541" s="43" t="str">
        <f ca="1">IFERROR(__xludf.DUMMYFUNCTION("IFERROR(VLOOKUP(E807&amp;F807,IMPORTRANGE(""https://docs.google.com/spreadsheets/d/1Uw7-A9f9R21vMXxHZFNpYNeKFtG8_yji4HS352LGlSQ/edit?pli=1#gid=0"",""1_ACUM!A4:S""),17,FALSE))"),"")</f>
        <v/>
      </c>
      <c r="BE541" s="44" t="str">
        <f ca="1">IFERROR(__xludf.DUMMYFUNCTION("IFERROR(VLOOKUP(E807&amp;F807,IMPORTRANGE(""https://docs.google.com/spreadsheets/d/1Uw7-A9f9R21vMXxHZFNpYNeKFtG8_yji4HS352LGlSQ/edit?pli=1#gid=0"",""1_ACUM!A4:S""),18,FALSE))"),"")</f>
        <v/>
      </c>
      <c r="BF541" s="44" t="str">
        <f ca="1">IFERROR(__xludf.DUMMYFUNCTION("IFERROR(VLOOKUP(E807&amp;F807,IMPORTRANGE(""https://docs.google.com/spreadsheets/d/1Uw7-A9f9R21vMXxHZFNpYNeKFtG8_yji4HS352LGlSQ/edit?pli=1#gid=0"",""1_ACUM!A4:S""),19,FALSE))"),"")</f>
        <v/>
      </c>
      <c r="BG541" s="98" t="str">
        <f ca="1">IFERROR(__xludf.DUMMYFUNCTION("IFERROR(VLOOKUP(F807,IMPORTRANGE(""https://docs.google.com/spreadsheets/d/1Kvs4KS76FHFqLFIZfrDMff4kP08nblUkihrxltoGBjg/edit#gid=934712705"",""ESENCIAL!A6:BG""),5,FALSE))"),"")</f>
        <v/>
      </c>
      <c r="BH541" s="98" t="str">
        <f t="shared" si="25"/>
        <v/>
      </c>
      <c r="BI541" s="99" t="str">
        <f t="shared" si="26"/>
        <v/>
      </c>
      <c r="BJ541" s="100" t="str">
        <f ca="1">IFERROR(__xludf.DUMMYFUNCTION("IFERROR(VLOOKUP(F807,IMPORTRANGE(""https://docs.google.com/spreadsheets/d/1Kvs4KS76FHFqLFIZfrDMff4kP08nblUkihrxltoGBjg/edit#gid=934712705"",""ESENCIAL!A6:BG""),2,FALSE))"),"")</f>
        <v/>
      </c>
      <c r="BK541" s="19" t="str">
        <f t="shared" si="27"/>
        <v/>
      </c>
      <c r="BL541" s="100"/>
      <c r="BM541" s="100"/>
    </row>
    <row r="542" spans="2:65" ht="15">
      <c r="B542" s="39"/>
      <c r="C542" s="5"/>
      <c r="D542" s="123"/>
      <c r="E542" s="39"/>
      <c r="F542" s="39"/>
      <c r="G542" s="39"/>
      <c r="H542" s="5" t="str">
        <f ca="1">IFERROR(__xludf.DUMMYFUNCTION("IFERROR(VLOOKUP(F808,IMPORTRANGE(""https://docs.google.com/spreadsheets/d/1Kvs4KS76FHFqLFIZfrDMff4kP08nblUkihrxltoGBjg/edit#gid=934712705"",""ESENCIAL!A6:BG""),3,FALSE))"),"")</f>
        <v/>
      </c>
      <c r="I542" s="5" t="str">
        <f ca="1">IFERROR(__xludf.DUMMYFUNCTION("IFERROR(VLOOKUP(F808,IMPORTRANGE(""https://docs.google.com/spreadsheets/d/1Kvs4KS76FHFqLFIZfrDMff4kP08nblUkihrxltoGBjg/edit#gid=934712705"",""ESENCIAL!A6:BG""),8,FALSE))"),"")</f>
        <v/>
      </c>
      <c r="J542" s="39"/>
      <c r="M542" s="40"/>
      <c r="AV542" s="41" t="str">
        <f t="shared" si="24"/>
        <v/>
      </c>
      <c r="AW542" s="5" t="str">
        <f ca="1">IFERROR(__xludf.DUMMYFUNCTION("IFERROR(VLOOKUP(E808&amp;F808,IMPORTRANGE(""https://docs.google.com/spreadsheets/d/1Uw7-A9f9R21vMXxHZFNpYNeKFtG8_yji4HS352LGlSQ/edit?pli=1#gid=0"",""1_ACUM!A4:S""),11,FALSE))"),"")</f>
        <v/>
      </c>
      <c r="AX542" s="42" t="str">
        <f ca="1">IFERROR(__xludf.DUMMYFUNCTION("IFERROR(VLOOKUP(F808,IMPORTRANGE(""https://docs.google.com/spreadsheets/d/1Kvs4KS76FHFqLFIZfrDMff4kP08nblUkihrxltoGBjg/edit#gid=934712705"",""ESENCIAL!A6:BG""),15,FALSE))"),"")</f>
        <v/>
      </c>
      <c r="AY542" s="110" t="str">
        <f ca="1">IFERROR(__xludf.DUMMYFUNCTION("IFERROR(VLOOKUP(E808&amp;F808,IMPORTRANGE(""https://docs.google.com/spreadsheets/d/1Uw7-A9f9R21vMXxHZFNpYNeKFtG8_yji4HS352LGlSQ/edit?pli=1#gid=0"",""1_ACUM!A4:S""),13,FALSE))"),"")</f>
        <v/>
      </c>
      <c r="AZ542" s="43" t="str">
        <f ca="1">IFERROR(__xludf.DUMMYFUNCTION("IFERROR(VLOOKUP(E808&amp;F808,IMPORTRANGE(""https://docs.google.com/spreadsheets/d/1Uw7-A9f9R21vMXxHZFNpYNeKFtG8_yji4HS352LGlSQ/edit?pli=1#gid=0"",""1_ACUM!A4:S""),13,FALSE))"),"")</f>
        <v/>
      </c>
      <c r="BA542" s="43" t="str">
        <f ca="1">IFERROR(__xludf.DUMMYFUNCTION("IFERROR(VLOOKUP(E808&amp;F808,IMPORTRANGE(""https://docs.google.com/spreadsheets/d/1Uw7-A9f9R21vMXxHZFNpYNeKFtG8_yji4HS352LGlSQ/edit?pli=1#gid=0"",""1_ACUM!A4:S""),14,FALSE))"),"")</f>
        <v/>
      </c>
      <c r="BB542" s="43" t="str">
        <f ca="1">IFERROR(__xludf.DUMMYFUNCTION("IFERROR(VLOOKUP(E808&amp;F808,IMPORTRANGE(""https://docs.google.com/spreadsheets/d/1Uw7-A9f9R21vMXxHZFNpYNeKFtG8_yji4HS352LGlSQ/edit?pli=1#gid=0"",""1_ACUM!A4:S""),15,FALSE))"),"")</f>
        <v/>
      </c>
      <c r="BC542" s="43" t="str">
        <f ca="1">IFERROR(__xludf.DUMMYFUNCTION("IFERROR(VLOOKUP(E808&amp;F808,IMPORTRANGE(""https://docs.google.com/spreadsheets/d/1Uw7-A9f9R21vMXxHZFNpYNeKFtG8_yji4HS352LGlSQ/edit?pli=1#gid=0"",""1_ACUM!A4:S""),16,FALSE))"),"")</f>
        <v/>
      </c>
      <c r="BD542" s="43" t="str">
        <f ca="1">IFERROR(__xludf.DUMMYFUNCTION("IFERROR(VLOOKUP(E808&amp;F808,IMPORTRANGE(""https://docs.google.com/spreadsheets/d/1Uw7-A9f9R21vMXxHZFNpYNeKFtG8_yji4HS352LGlSQ/edit?pli=1#gid=0"",""1_ACUM!A4:S""),17,FALSE))"),"")</f>
        <v/>
      </c>
      <c r="BE542" s="44" t="str">
        <f ca="1">IFERROR(__xludf.DUMMYFUNCTION("IFERROR(VLOOKUP(E808&amp;F808,IMPORTRANGE(""https://docs.google.com/spreadsheets/d/1Uw7-A9f9R21vMXxHZFNpYNeKFtG8_yji4HS352LGlSQ/edit?pli=1#gid=0"",""1_ACUM!A4:S""),18,FALSE))"),"")</f>
        <v/>
      </c>
      <c r="BF542" s="44" t="str">
        <f ca="1">IFERROR(__xludf.DUMMYFUNCTION("IFERROR(VLOOKUP(E808&amp;F808,IMPORTRANGE(""https://docs.google.com/spreadsheets/d/1Uw7-A9f9R21vMXxHZFNpYNeKFtG8_yji4HS352LGlSQ/edit?pli=1#gid=0"",""1_ACUM!A4:S""),19,FALSE))"),"")</f>
        <v/>
      </c>
      <c r="BG542" s="98" t="str">
        <f ca="1">IFERROR(__xludf.DUMMYFUNCTION("IFERROR(VLOOKUP(F808,IMPORTRANGE(""https://docs.google.com/spreadsheets/d/1Kvs4KS76FHFqLFIZfrDMff4kP08nblUkihrxltoGBjg/edit#gid=934712705"",""ESENCIAL!A6:BG""),5,FALSE))"),"")</f>
        <v/>
      </c>
      <c r="BH542" s="98" t="str">
        <f t="shared" si="25"/>
        <v/>
      </c>
      <c r="BI542" s="99" t="str">
        <f t="shared" si="26"/>
        <v/>
      </c>
      <c r="BJ542" s="100" t="str">
        <f ca="1">IFERROR(__xludf.DUMMYFUNCTION("IFERROR(VLOOKUP(F808,IMPORTRANGE(""https://docs.google.com/spreadsheets/d/1Kvs4KS76FHFqLFIZfrDMff4kP08nblUkihrxltoGBjg/edit#gid=934712705"",""ESENCIAL!A6:BG""),2,FALSE))"),"")</f>
        <v/>
      </c>
      <c r="BK542" s="19" t="str">
        <f t="shared" si="27"/>
        <v/>
      </c>
      <c r="BL542" s="100"/>
      <c r="BM542" s="100"/>
    </row>
    <row r="543" spans="2:65" ht="15">
      <c r="B543" s="39"/>
      <c r="C543" s="5"/>
      <c r="D543" s="123"/>
      <c r="E543" s="39"/>
      <c r="F543" s="39"/>
      <c r="G543" s="39"/>
      <c r="H543" s="5" t="str">
        <f ca="1">IFERROR(__xludf.DUMMYFUNCTION("IFERROR(VLOOKUP(F809,IMPORTRANGE(""https://docs.google.com/spreadsheets/d/1Kvs4KS76FHFqLFIZfrDMff4kP08nblUkihrxltoGBjg/edit#gid=934712705"",""ESENCIAL!A6:BG""),3,FALSE))"),"")</f>
        <v/>
      </c>
      <c r="I543" s="5" t="str">
        <f ca="1">IFERROR(__xludf.DUMMYFUNCTION("IFERROR(VLOOKUP(F809,IMPORTRANGE(""https://docs.google.com/spreadsheets/d/1Kvs4KS76FHFqLFIZfrDMff4kP08nblUkihrxltoGBjg/edit#gid=934712705"",""ESENCIAL!A6:BG""),8,FALSE))"),"")</f>
        <v/>
      </c>
      <c r="J543" s="39"/>
      <c r="M543" s="40"/>
      <c r="AV543" s="41" t="str">
        <f t="shared" si="24"/>
        <v/>
      </c>
      <c r="AW543" s="5" t="str">
        <f ca="1">IFERROR(__xludf.DUMMYFUNCTION("IFERROR(VLOOKUP(E809&amp;F809,IMPORTRANGE(""https://docs.google.com/spreadsheets/d/1Uw7-A9f9R21vMXxHZFNpYNeKFtG8_yji4HS352LGlSQ/edit?pli=1#gid=0"",""1_ACUM!A4:S""),11,FALSE))"),"")</f>
        <v/>
      </c>
      <c r="AX543" s="42" t="str">
        <f ca="1">IFERROR(__xludf.DUMMYFUNCTION("IFERROR(VLOOKUP(F809,IMPORTRANGE(""https://docs.google.com/spreadsheets/d/1Kvs4KS76FHFqLFIZfrDMff4kP08nblUkihrxltoGBjg/edit#gid=934712705"",""ESENCIAL!A6:BG""),15,FALSE))"),"")</f>
        <v/>
      </c>
      <c r="AY543" s="110" t="str">
        <f ca="1">IFERROR(__xludf.DUMMYFUNCTION("IFERROR(VLOOKUP(E809&amp;F809,IMPORTRANGE(""https://docs.google.com/spreadsheets/d/1Uw7-A9f9R21vMXxHZFNpYNeKFtG8_yji4HS352LGlSQ/edit?pli=1#gid=0"",""1_ACUM!A4:S""),13,FALSE))"),"")</f>
        <v/>
      </c>
      <c r="AZ543" s="43" t="str">
        <f ca="1">IFERROR(__xludf.DUMMYFUNCTION("IFERROR(VLOOKUP(E809&amp;F809,IMPORTRANGE(""https://docs.google.com/spreadsheets/d/1Uw7-A9f9R21vMXxHZFNpYNeKFtG8_yji4HS352LGlSQ/edit?pli=1#gid=0"",""1_ACUM!A4:S""),13,FALSE))"),"")</f>
        <v/>
      </c>
      <c r="BA543" s="43" t="str">
        <f ca="1">IFERROR(__xludf.DUMMYFUNCTION("IFERROR(VLOOKUP(E809&amp;F809,IMPORTRANGE(""https://docs.google.com/spreadsheets/d/1Uw7-A9f9R21vMXxHZFNpYNeKFtG8_yji4HS352LGlSQ/edit?pli=1#gid=0"",""1_ACUM!A4:S""),14,FALSE))"),"")</f>
        <v/>
      </c>
      <c r="BB543" s="43" t="str">
        <f ca="1">IFERROR(__xludf.DUMMYFUNCTION("IFERROR(VLOOKUP(E809&amp;F809,IMPORTRANGE(""https://docs.google.com/spreadsheets/d/1Uw7-A9f9R21vMXxHZFNpYNeKFtG8_yji4HS352LGlSQ/edit?pli=1#gid=0"",""1_ACUM!A4:S""),15,FALSE))"),"")</f>
        <v/>
      </c>
      <c r="BC543" s="43" t="str">
        <f ca="1">IFERROR(__xludf.DUMMYFUNCTION("IFERROR(VLOOKUP(E809&amp;F809,IMPORTRANGE(""https://docs.google.com/spreadsheets/d/1Uw7-A9f9R21vMXxHZFNpYNeKFtG8_yji4HS352LGlSQ/edit?pli=1#gid=0"",""1_ACUM!A4:S""),16,FALSE))"),"")</f>
        <v/>
      </c>
      <c r="BD543" s="43" t="str">
        <f ca="1">IFERROR(__xludf.DUMMYFUNCTION("IFERROR(VLOOKUP(E809&amp;F809,IMPORTRANGE(""https://docs.google.com/spreadsheets/d/1Uw7-A9f9R21vMXxHZFNpYNeKFtG8_yji4HS352LGlSQ/edit?pli=1#gid=0"",""1_ACUM!A4:S""),17,FALSE))"),"")</f>
        <v/>
      </c>
      <c r="BE543" s="44" t="str">
        <f ca="1">IFERROR(__xludf.DUMMYFUNCTION("IFERROR(VLOOKUP(E809&amp;F809,IMPORTRANGE(""https://docs.google.com/spreadsheets/d/1Uw7-A9f9R21vMXxHZFNpYNeKFtG8_yji4HS352LGlSQ/edit?pli=1#gid=0"",""1_ACUM!A4:S""),18,FALSE))"),"")</f>
        <v/>
      </c>
      <c r="BF543" s="44" t="str">
        <f ca="1">IFERROR(__xludf.DUMMYFUNCTION("IFERROR(VLOOKUP(E809&amp;F809,IMPORTRANGE(""https://docs.google.com/spreadsheets/d/1Uw7-A9f9R21vMXxHZFNpYNeKFtG8_yji4HS352LGlSQ/edit?pli=1#gid=0"",""1_ACUM!A4:S""),19,FALSE))"),"")</f>
        <v/>
      </c>
      <c r="BG543" s="98" t="str">
        <f ca="1">IFERROR(__xludf.DUMMYFUNCTION("IFERROR(VLOOKUP(F809,IMPORTRANGE(""https://docs.google.com/spreadsheets/d/1Kvs4KS76FHFqLFIZfrDMff4kP08nblUkihrxltoGBjg/edit#gid=934712705"",""ESENCIAL!A6:BG""),5,FALSE))"),"")</f>
        <v/>
      </c>
      <c r="BH543" s="98" t="str">
        <f t="shared" si="25"/>
        <v/>
      </c>
      <c r="BI543" s="99" t="str">
        <f t="shared" si="26"/>
        <v/>
      </c>
      <c r="BJ543" s="100" t="str">
        <f ca="1">IFERROR(__xludf.DUMMYFUNCTION("IFERROR(VLOOKUP(F809,IMPORTRANGE(""https://docs.google.com/spreadsheets/d/1Kvs4KS76FHFqLFIZfrDMff4kP08nblUkihrxltoGBjg/edit#gid=934712705"",""ESENCIAL!A6:BG""),2,FALSE))"),"")</f>
        <v/>
      </c>
      <c r="BK543" s="19" t="str">
        <f t="shared" si="27"/>
        <v/>
      </c>
      <c r="BL543" s="100"/>
      <c r="BM543" s="100"/>
    </row>
    <row r="544" spans="2:65" ht="15">
      <c r="B544" s="39"/>
      <c r="C544" s="5"/>
      <c r="D544" s="123"/>
      <c r="E544" s="39"/>
      <c r="F544" s="39"/>
      <c r="G544" s="39"/>
      <c r="H544" s="5" t="str">
        <f ca="1">IFERROR(__xludf.DUMMYFUNCTION("IFERROR(VLOOKUP(F810,IMPORTRANGE(""https://docs.google.com/spreadsheets/d/1Kvs4KS76FHFqLFIZfrDMff4kP08nblUkihrxltoGBjg/edit#gid=934712705"",""ESENCIAL!A6:BG""),3,FALSE))"),"")</f>
        <v/>
      </c>
      <c r="I544" s="5" t="str">
        <f ca="1">IFERROR(__xludf.DUMMYFUNCTION("IFERROR(VLOOKUP(F810,IMPORTRANGE(""https://docs.google.com/spreadsheets/d/1Kvs4KS76FHFqLFIZfrDMff4kP08nblUkihrxltoGBjg/edit#gid=934712705"",""ESENCIAL!A6:BG""),8,FALSE))"),"")</f>
        <v/>
      </c>
      <c r="J544" s="39"/>
      <c r="M544" s="40"/>
      <c r="AV544" s="41" t="str">
        <f t="shared" si="24"/>
        <v/>
      </c>
      <c r="AW544" s="5" t="str">
        <f ca="1">IFERROR(__xludf.DUMMYFUNCTION("IFERROR(VLOOKUP(E810&amp;F810,IMPORTRANGE(""https://docs.google.com/spreadsheets/d/1Uw7-A9f9R21vMXxHZFNpYNeKFtG8_yji4HS352LGlSQ/edit?pli=1#gid=0"",""1_ACUM!A4:S""),11,FALSE))"),"")</f>
        <v/>
      </c>
      <c r="AX544" s="42" t="str">
        <f ca="1">IFERROR(__xludf.DUMMYFUNCTION("IFERROR(VLOOKUP(F810,IMPORTRANGE(""https://docs.google.com/spreadsheets/d/1Kvs4KS76FHFqLFIZfrDMff4kP08nblUkihrxltoGBjg/edit#gid=934712705"",""ESENCIAL!A6:BG""),15,FALSE))"),"")</f>
        <v/>
      </c>
      <c r="AY544" s="110" t="str">
        <f ca="1">IFERROR(__xludf.DUMMYFUNCTION("IFERROR(VLOOKUP(E810&amp;F810,IMPORTRANGE(""https://docs.google.com/spreadsheets/d/1Uw7-A9f9R21vMXxHZFNpYNeKFtG8_yji4HS352LGlSQ/edit?pli=1#gid=0"",""1_ACUM!A4:S""),13,FALSE))"),"")</f>
        <v/>
      </c>
      <c r="AZ544" s="43" t="str">
        <f ca="1">IFERROR(__xludf.DUMMYFUNCTION("IFERROR(VLOOKUP(E810&amp;F810,IMPORTRANGE(""https://docs.google.com/spreadsheets/d/1Uw7-A9f9R21vMXxHZFNpYNeKFtG8_yji4HS352LGlSQ/edit?pli=1#gid=0"",""1_ACUM!A4:S""),13,FALSE))"),"")</f>
        <v/>
      </c>
      <c r="BA544" s="43" t="str">
        <f ca="1">IFERROR(__xludf.DUMMYFUNCTION("IFERROR(VLOOKUP(E810&amp;F810,IMPORTRANGE(""https://docs.google.com/spreadsheets/d/1Uw7-A9f9R21vMXxHZFNpYNeKFtG8_yji4HS352LGlSQ/edit?pli=1#gid=0"",""1_ACUM!A4:S""),14,FALSE))"),"")</f>
        <v/>
      </c>
      <c r="BB544" s="43" t="str">
        <f ca="1">IFERROR(__xludf.DUMMYFUNCTION("IFERROR(VLOOKUP(E810&amp;F810,IMPORTRANGE(""https://docs.google.com/spreadsheets/d/1Uw7-A9f9R21vMXxHZFNpYNeKFtG8_yji4HS352LGlSQ/edit?pli=1#gid=0"",""1_ACUM!A4:S""),15,FALSE))"),"")</f>
        <v/>
      </c>
      <c r="BC544" s="43" t="str">
        <f ca="1">IFERROR(__xludf.DUMMYFUNCTION("IFERROR(VLOOKUP(E810&amp;F810,IMPORTRANGE(""https://docs.google.com/spreadsheets/d/1Uw7-A9f9R21vMXxHZFNpYNeKFtG8_yji4HS352LGlSQ/edit?pli=1#gid=0"",""1_ACUM!A4:S""),16,FALSE))"),"")</f>
        <v/>
      </c>
      <c r="BD544" s="43" t="str">
        <f ca="1">IFERROR(__xludf.DUMMYFUNCTION("IFERROR(VLOOKUP(E810&amp;F810,IMPORTRANGE(""https://docs.google.com/spreadsheets/d/1Uw7-A9f9R21vMXxHZFNpYNeKFtG8_yji4HS352LGlSQ/edit?pli=1#gid=0"",""1_ACUM!A4:S""),17,FALSE))"),"")</f>
        <v/>
      </c>
      <c r="BE544" s="44" t="str">
        <f ca="1">IFERROR(__xludf.DUMMYFUNCTION("IFERROR(VLOOKUP(E810&amp;F810,IMPORTRANGE(""https://docs.google.com/spreadsheets/d/1Uw7-A9f9R21vMXxHZFNpYNeKFtG8_yji4HS352LGlSQ/edit?pli=1#gid=0"",""1_ACUM!A4:S""),18,FALSE))"),"")</f>
        <v/>
      </c>
      <c r="BF544" s="44" t="str">
        <f ca="1">IFERROR(__xludf.DUMMYFUNCTION("IFERROR(VLOOKUP(E810&amp;F810,IMPORTRANGE(""https://docs.google.com/spreadsheets/d/1Uw7-A9f9R21vMXxHZFNpYNeKFtG8_yji4HS352LGlSQ/edit?pli=1#gid=0"",""1_ACUM!A4:S""),19,FALSE))"),"")</f>
        <v/>
      </c>
      <c r="BG544" s="98" t="str">
        <f ca="1">IFERROR(__xludf.DUMMYFUNCTION("IFERROR(VLOOKUP(F810,IMPORTRANGE(""https://docs.google.com/spreadsheets/d/1Kvs4KS76FHFqLFIZfrDMff4kP08nblUkihrxltoGBjg/edit#gid=934712705"",""ESENCIAL!A6:BG""),5,FALSE))"),"")</f>
        <v/>
      </c>
      <c r="BH544" s="98" t="str">
        <f t="shared" si="25"/>
        <v/>
      </c>
      <c r="BI544" s="99" t="str">
        <f t="shared" si="26"/>
        <v/>
      </c>
      <c r="BJ544" s="100" t="str">
        <f ca="1">IFERROR(__xludf.DUMMYFUNCTION("IFERROR(VLOOKUP(F810,IMPORTRANGE(""https://docs.google.com/spreadsheets/d/1Kvs4KS76FHFqLFIZfrDMff4kP08nblUkihrxltoGBjg/edit#gid=934712705"",""ESENCIAL!A6:BG""),2,FALSE))"),"")</f>
        <v/>
      </c>
      <c r="BK544" s="19" t="str">
        <f t="shared" si="27"/>
        <v/>
      </c>
      <c r="BL544" s="100"/>
      <c r="BM544" s="100"/>
    </row>
    <row r="545" spans="2:65" ht="15">
      <c r="B545" s="39"/>
      <c r="C545" s="5"/>
      <c r="D545" s="123"/>
      <c r="E545" s="39"/>
      <c r="F545" s="39"/>
      <c r="G545" s="39"/>
      <c r="H545" s="5" t="str">
        <f ca="1">IFERROR(__xludf.DUMMYFUNCTION("IFERROR(VLOOKUP(F811,IMPORTRANGE(""https://docs.google.com/spreadsheets/d/1Kvs4KS76FHFqLFIZfrDMff4kP08nblUkihrxltoGBjg/edit#gid=934712705"",""ESENCIAL!A6:BG""),3,FALSE))"),"")</f>
        <v/>
      </c>
      <c r="I545" s="5" t="str">
        <f ca="1">IFERROR(__xludf.DUMMYFUNCTION("IFERROR(VLOOKUP(F811,IMPORTRANGE(""https://docs.google.com/spreadsheets/d/1Kvs4KS76FHFqLFIZfrDMff4kP08nblUkihrxltoGBjg/edit#gid=934712705"",""ESENCIAL!A6:BG""),8,FALSE))"),"")</f>
        <v/>
      </c>
      <c r="J545" s="39"/>
      <c r="M545" s="40"/>
      <c r="AV545" s="41" t="str">
        <f t="shared" si="24"/>
        <v/>
      </c>
      <c r="AW545" s="5" t="str">
        <f ca="1">IFERROR(__xludf.DUMMYFUNCTION("IFERROR(VLOOKUP(E811&amp;F811,IMPORTRANGE(""https://docs.google.com/spreadsheets/d/1Uw7-A9f9R21vMXxHZFNpYNeKFtG8_yji4HS352LGlSQ/edit?pli=1#gid=0"",""1_ACUM!A4:S""),11,FALSE))"),"")</f>
        <v/>
      </c>
      <c r="AX545" s="42" t="str">
        <f ca="1">IFERROR(__xludf.DUMMYFUNCTION("IFERROR(VLOOKUP(F811,IMPORTRANGE(""https://docs.google.com/spreadsheets/d/1Kvs4KS76FHFqLFIZfrDMff4kP08nblUkihrxltoGBjg/edit#gid=934712705"",""ESENCIAL!A6:BG""),15,FALSE))"),"")</f>
        <v/>
      </c>
      <c r="AY545" s="110" t="str">
        <f ca="1">IFERROR(__xludf.DUMMYFUNCTION("IFERROR(VLOOKUP(E811&amp;F811,IMPORTRANGE(""https://docs.google.com/spreadsheets/d/1Uw7-A9f9R21vMXxHZFNpYNeKFtG8_yji4HS352LGlSQ/edit?pli=1#gid=0"",""1_ACUM!A4:S""),13,FALSE))"),"")</f>
        <v/>
      </c>
      <c r="AZ545" s="43" t="str">
        <f ca="1">IFERROR(__xludf.DUMMYFUNCTION("IFERROR(VLOOKUP(E811&amp;F811,IMPORTRANGE(""https://docs.google.com/spreadsheets/d/1Uw7-A9f9R21vMXxHZFNpYNeKFtG8_yji4HS352LGlSQ/edit?pli=1#gid=0"",""1_ACUM!A4:S""),13,FALSE))"),"")</f>
        <v/>
      </c>
      <c r="BA545" s="43" t="str">
        <f ca="1">IFERROR(__xludf.DUMMYFUNCTION("IFERROR(VLOOKUP(E811&amp;F811,IMPORTRANGE(""https://docs.google.com/spreadsheets/d/1Uw7-A9f9R21vMXxHZFNpYNeKFtG8_yji4HS352LGlSQ/edit?pli=1#gid=0"",""1_ACUM!A4:S""),14,FALSE))"),"")</f>
        <v/>
      </c>
      <c r="BB545" s="43" t="str">
        <f ca="1">IFERROR(__xludf.DUMMYFUNCTION("IFERROR(VLOOKUP(E811&amp;F811,IMPORTRANGE(""https://docs.google.com/spreadsheets/d/1Uw7-A9f9R21vMXxHZFNpYNeKFtG8_yji4HS352LGlSQ/edit?pli=1#gid=0"",""1_ACUM!A4:S""),15,FALSE))"),"")</f>
        <v/>
      </c>
      <c r="BC545" s="43" t="str">
        <f ca="1">IFERROR(__xludf.DUMMYFUNCTION("IFERROR(VLOOKUP(E811&amp;F811,IMPORTRANGE(""https://docs.google.com/spreadsheets/d/1Uw7-A9f9R21vMXxHZFNpYNeKFtG8_yji4HS352LGlSQ/edit?pli=1#gid=0"",""1_ACUM!A4:S""),16,FALSE))"),"")</f>
        <v/>
      </c>
      <c r="BD545" s="43" t="str">
        <f ca="1">IFERROR(__xludf.DUMMYFUNCTION("IFERROR(VLOOKUP(E811&amp;F811,IMPORTRANGE(""https://docs.google.com/spreadsheets/d/1Uw7-A9f9R21vMXxHZFNpYNeKFtG8_yji4HS352LGlSQ/edit?pli=1#gid=0"",""1_ACUM!A4:S""),17,FALSE))"),"")</f>
        <v/>
      </c>
      <c r="BE545" s="44" t="str">
        <f ca="1">IFERROR(__xludf.DUMMYFUNCTION("IFERROR(VLOOKUP(E811&amp;F811,IMPORTRANGE(""https://docs.google.com/spreadsheets/d/1Uw7-A9f9R21vMXxHZFNpYNeKFtG8_yji4HS352LGlSQ/edit?pli=1#gid=0"",""1_ACUM!A4:S""),18,FALSE))"),"")</f>
        <v/>
      </c>
      <c r="BF545" s="44" t="str">
        <f ca="1">IFERROR(__xludf.DUMMYFUNCTION("IFERROR(VLOOKUP(E811&amp;F811,IMPORTRANGE(""https://docs.google.com/spreadsheets/d/1Uw7-A9f9R21vMXxHZFNpYNeKFtG8_yji4HS352LGlSQ/edit?pli=1#gid=0"",""1_ACUM!A4:S""),19,FALSE))"),"")</f>
        <v/>
      </c>
      <c r="BG545" s="98" t="str">
        <f ca="1">IFERROR(__xludf.DUMMYFUNCTION("IFERROR(VLOOKUP(F811,IMPORTRANGE(""https://docs.google.com/spreadsheets/d/1Kvs4KS76FHFqLFIZfrDMff4kP08nblUkihrxltoGBjg/edit#gid=934712705"",""ESENCIAL!A6:BG""),5,FALSE))"),"")</f>
        <v/>
      </c>
      <c r="BH545" s="98" t="str">
        <f t="shared" si="25"/>
        <v/>
      </c>
      <c r="BI545" s="99" t="str">
        <f t="shared" si="26"/>
        <v/>
      </c>
      <c r="BJ545" s="100" t="str">
        <f ca="1">IFERROR(__xludf.DUMMYFUNCTION("IFERROR(VLOOKUP(F811,IMPORTRANGE(""https://docs.google.com/spreadsheets/d/1Kvs4KS76FHFqLFIZfrDMff4kP08nblUkihrxltoGBjg/edit#gid=934712705"",""ESENCIAL!A6:BG""),2,FALSE))"),"")</f>
        <v/>
      </c>
      <c r="BK545" s="19" t="str">
        <f t="shared" si="27"/>
        <v/>
      </c>
      <c r="BL545" s="100"/>
      <c r="BM545" s="100"/>
    </row>
    <row r="546" spans="2:65" ht="15">
      <c r="B546" s="39"/>
      <c r="C546" s="5"/>
      <c r="D546" s="123"/>
      <c r="E546" s="39"/>
      <c r="F546" s="39"/>
      <c r="G546" s="39"/>
      <c r="H546" s="5" t="str">
        <f ca="1">IFERROR(__xludf.DUMMYFUNCTION("IFERROR(VLOOKUP(F812,IMPORTRANGE(""https://docs.google.com/spreadsheets/d/1Kvs4KS76FHFqLFIZfrDMff4kP08nblUkihrxltoGBjg/edit#gid=934712705"",""ESENCIAL!A6:BG""),3,FALSE))"),"")</f>
        <v/>
      </c>
      <c r="I546" s="5" t="str">
        <f ca="1">IFERROR(__xludf.DUMMYFUNCTION("IFERROR(VLOOKUP(F812,IMPORTRANGE(""https://docs.google.com/spreadsheets/d/1Kvs4KS76FHFqLFIZfrDMff4kP08nblUkihrxltoGBjg/edit#gid=934712705"",""ESENCIAL!A6:BG""),8,FALSE))"),"")</f>
        <v/>
      </c>
      <c r="J546" s="39"/>
      <c r="M546" s="40"/>
      <c r="AV546" s="41" t="str">
        <f t="shared" si="24"/>
        <v/>
      </c>
      <c r="AW546" s="5" t="str">
        <f ca="1">IFERROR(__xludf.DUMMYFUNCTION("IFERROR(VLOOKUP(E812&amp;F812,IMPORTRANGE(""https://docs.google.com/spreadsheets/d/1Uw7-A9f9R21vMXxHZFNpYNeKFtG8_yji4HS352LGlSQ/edit?pli=1#gid=0"",""1_ACUM!A4:S""),11,FALSE))"),"")</f>
        <v/>
      </c>
      <c r="AX546" s="42" t="str">
        <f ca="1">IFERROR(__xludf.DUMMYFUNCTION("IFERROR(VLOOKUP(F812,IMPORTRANGE(""https://docs.google.com/spreadsheets/d/1Kvs4KS76FHFqLFIZfrDMff4kP08nblUkihrxltoGBjg/edit#gid=934712705"",""ESENCIAL!A6:BG""),15,FALSE))"),"")</f>
        <v/>
      </c>
      <c r="AY546" s="110" t="str">
        <f ca="1">IFERROR(__xludf.DUMMYFUNCTION("IFERROR(VLOOKUP(E812&amp;F812,IMPORTRANGE(""https://docs.google.com/spreadsheets/d/1Uw7-A9f9R21vMXxHZFNpYNeKFtG8_yji4HS352LGlSQ/edit?pli=1#gid=0"",""1_ACUM!A4:S""),13,FALSE))"),"")</f>
        <v/>
      </c>
      <c r="AZ546" s="43" t="str">
        <f ca="1">IFERROR(__xludf.DUMMYFUNCTION("IFERROR(VLOOKUP(E812&amp;F812,IMPORTRANGE(""https://docs.google.com/spreadsheets/d/1Uw7-A9f9R21vMXxHZFNpYNeKFtG8_yji4HS352LGlSQ/edit?pli=1#gid=0"",""1_ACUM!A4:S""),13,FALSE))"),"")</f>
        <v/>
      </c>
      <c r="BA546" s="43" t="str">
        <f ca="1">IFERROR(__xludf.DUMMYFUNCTION("IFERROR(VLOOKUP(E812&amp;F812,IMPORTRANGE(""https://docs.google.com/spreadsheets/d/1Uw7-A9f9R21vMXxHZFNpYNeKFtG8_yji4HS352LGlSQ/edit?pli=1#gid=0"",""1_ACUM!A4:S""),14,FALSE))"),"")</f>
        <v/>
      </c>
      <c r="BB546" s="43" t="str">
        <f ca="1">IFERROR(__xludf.DUMMYFUNCTION("IFERROR(VLOOKUP(E812&amp;F812,IMPORTRANGE(""https://docs.google.com/spreadsheets/d/1Uw7-A9f9R21vMXxHZFNpYNeKFtG8_yji4HS352LGlSQ/edit?pli=1#gid=0"",""1_ACUM!A4:S""),15,FALSE))"),"")</f>
        <v/>
      </c>
      <c r="BC546" s="43" t="str">
        <f ca="1">IFERROR(__xludf.DUMMYFUNCTION("IFERROR(VLOOKUP(E812&amp;F812,IMPORTRANGE(""https://docs.google.com/spreadsheets/d/1Uw7-A9f9R21vMXxHZFNpYNeKFtG8_yji4HS352LGlSQ/edit?pli=1#gid=0"",""1_ACUM!A4:S""),16,FALSE))"),"")</f>
        <v/>
      </c>
      <c r="BD546" s="43" t="str">
        <f ca="1">IFERROR(__xludf.DUMMYFUNCTION("IFERROR(VLOOKUP(E812&amp;F812,IMPORTRANGE(""https://docs.google.com/spreadsheets/d/1Uw7-A9f9R21vMXxHZFNpYNeKFtG8_yji4HS352LGlSQ/edit?pli=1#gid=0"",""1_ACUM!A4:S""),17,FALSE))"),"")</f>
        <v/>
      </c>
      <c r="BE546" s="44" t="str">
        <f ca="1">IFERROR(__xludf.DUMMYFUNCTION("IFERROR(VLOOKUP(E812&amp;F812,IMPORTRANGE(""https://docs.google.com/spreadsheets/d/1Uw7-A9f9R21vMXxHZFNpYNeKFtG8_yji4HS352LGlSQ/edit?pli=1#gid=0"",""1_ACUM!A4:S""),18,FALSE))"),"")</f>
        <v/>
      </c>
      <c r="BF546" s="44" t="str">
        <f ca="1">IFERROR(__xludf.DUMMYFUNCTION("IFERROR(VLOOKUP(E812&amp;F812,IMPORTRANGE(""https://docs.google.com/spreadsheets/d/1Uw7-A9f9R21vMXxHZFNpYNeKFtG8_yji4HS352LGlSQ/edit?pli=1#gid=0"",""1_ACUM!A4:S""),19,FALSE))"),"")</f>
        <v/>
      </c>
      <c r="BG546" s="98" t="str">
        <f ca="1">IFERROR(__xludf.DUMMYFUNCTION("IFERROR(VLOOKUP(F812,IMPORTRANGE(""https://docs.google.com/spreadsheets/d/1Kvs4KS76FHFqLFIZfrDMff4kP08nblUkihrxltoGBjg/edit#gid=934712705"",""ESENCIAL!A6:BG""),5,FALSE))"),"")</f>
        <v/>
      </c>
      <c r="BH546" s="98" t="str">
        <f t="shared" si="25"/>
        <v/>
      </c>
      <c r="BI546" s="99" t="str">
        <f t="shared" si="26"/>
        <v/>
      </c>
      <c r="BJ546" s="100" t="str">
        <f ca="1">IFERROR(__xludf.DUMMYFUNCTION("IFERROR(VLOOKUP(F812,IMPORTRANGE(""https://docs.google.com/spreadsheets/d/1Kvs4KS76FHFqLFIZfrDMff4kP08nblUkihrxltoGBjg/edit#gid=934712705"",""ESENCIAL!A6:BG""),2,FALSE))"),"")</f>
        <v/>
      </c>
      <c r="BK546" s="19" t="str">
        <f t="shared" si="27"/>
        <v/>
      </c>
      <c r="BL546" s="100"/>
      <c r="BM546" s="100"/>
    </row>
    <row r="547" spans="2:65" ht="15">
      <c r="B547" s="39"/>
      <c r="C547" s="5"/>
      <c r="D547" s="123"/>
      <c r="E547" s="39"/>
      <c r="F547" s="39"/>
      <c r="G547" s="39"/>
      <c r="H547" s="5" t="str">
        <f ca="1">IFERROR(__xludf.DUMMYFUNCTION("IFERROR(VLOOKUP(F813,IMPORTRANGE(""https://docs.google.com/spreadsheets/d/1Kvs4KS76FHFqLFIZfrDMff4kP08nblUkihrxltoGBjg/edit#gid=934712705"",""ESENCIAL!A6:BG""),3,FALSE))"),"")</f>
        <v/>
      </c>
      <c r="I547" s="5" t="str">
        <f ca="1">IFERROR(__xludf.DUMMYFUNCTION("IFERROR(VLOOKUP(F813,IMPORTRANGE(""https://docs.google.com/spreadsheets/d/1Kvs4KS76FHFqLFIZfrDMff4kP08nblUkihrxltoGBjg/edit#gid=934712705"",""ESENCIAL!A6:BG""),8,FALSE))"),"")</f>
        <v/>
      </c>
      <c r="J547" s="39"/>
      <c r="M547" s="40"/>
      <c r="AV547" s="41" t="str">
        <f t="shared" si="24"/>
        <v/>
      </c>
      <c r="AW547" s="5" t="str">
        <f ca="1">IFERROR(__xludf.DUMMYFUNCTION("IFERROR(VLOOKUP(E813&amp;F813,IMPORTRANGE(""https://docs.google.com/spreadsheets/d/1Uw7-A9f9R21vMXxHZFNpYNeKFtG8_yji4HS352LGlSQ/edit?pli=1#gid=0"",""1_ACUM!A4:S""),11,FALSE))"),"")</f>
        <v/>
      </c>
      <c r="AX547" s="42" t="str">
        <f ca="1">IFERROR(__xludf.DUMMYFUNCTION("IFERROR(VLOOKUP(F813,IMPORTRANGE(""https://docs.google.com/spreadsheets/d/1Kvs4KS76FHFqLFIZfrDMff4kP08nblUkihrxltoGBjg/edit#gid=934712705"",""ESENCIAL!A6:BG""),15,FALSE))"),"")</f>
        <v/>
      </c>
      <c r="AY547" s="110" t="str">
        <f ca="1">IFERROR(__xludf.DUMMYFUNCTION("IFERROR(VLOOKUP(E813&amp;F813,IMPORTRANGE(""https://docs.google.com/spreadsheets/d/1Uw7-A9f9R21vMXxHZFNpYNeKFtG8_yji4HS352LGlSQ/edit?pli=1#gid=0"",""1_ACUM!A4:S""),13,FALSE))"),"")</f>
        <v/>
      </c>
      <c r="AZ547" s="43" t="str">
        <f ca="1">IFERROR(__xludf.DUMMYFUNCTION("IFERROR(VLOOKUP(E813&amp;F813,IMPORTRANGE(""https://docs.google.com/spreadsheets/d/1Uw7-A9f9R21vMXxHZFNpYNeKFtG8_yji4HS352LGlSQ/edit?pli=1#gid=0"",""1_ACUM!A4:S""),13,FALSE))"),"")</f>
        <v/>
      </c>
      <c r="BA547" s="43" t="str">
        <f ca="1">IFERROR(__xludf.DUMMYFUNCTION("IFERROR(VLOOKUP(E813&amp;F813,IMPORTRANGE(""https://docs.google.com/spreadsheets/d/1Uw7-A9f9R21vMXxHZFNpYNeKFtG8_yji4HS352LGlSQ/edit?pli=1#gid=0"",""1_ACUM!A4:S""),14,FALSE))"),"")</f>
        <v/>
      </c>
      <c r="BB547" s="43" t="str">
        <f ca="1">IFERROR(__xludf.DUMMYFUNCTION("IFERROR(VLOOKUP(E813&amp;F813,IMPORTRANGE(""https://docs.google.com/spreadsheets/d/1Uw7-A9f9R21vMXxHZFNpYNeKFtG8_yji4HS352LGlSQ/edit?pli=1#gid=0"",""1_ACUM!A4:S""),15,FALSE))"),"")</f>
        <v/>
      </c>
      <c r="BC547" s="43" t="str">
        <f ca="1">IFERROR(__xludf.DUMMYFUNCTION("IFERROR(VLOOKUP(E813&amp;F813,IMPORTRANGE(""https://docs.google.com/spreadsheets/d/1Uw7-A9f9R21vMXxHZFNpYNeKFtG8_yji4HS352LGlSQ/edit?pli=1#gid=0"",""1_ACUM!A4:S""),16,FALSE))"),"")</f>
        <v/>
      </c>
      <c r="BD547" s="43" t="str">
        <f ca="1">IFERROR(__xludf.DUMMYFUNCTION("IFERROR(VLOOKUP(E813&amp;F813,IMPORTRANGE(""https://docs.google.com/spreadsheets/d/1Uw7-A9f9R21vMXxHZFNpYNeKFtG8_yji4HS352LGlSQ/edit?pli=1#gid=0"",""1_ACUM!A4:S""),17,FALSE))"),"")</f>
        <v/>
      </c>
      <c r="BE547" s="44" t="str">
        <f ca="1">IFERROR(__xludf.DUMMYFUNCTION("IFERROR(VLOOKUP(E813&amp;F813,IMPORTRANGE(""https://docs.google.com/spreadsheets/d/1Uw7-A9f9R21vMXxHZFNpYNeKFtG8_yji4HS352LGlSQ/edit?pli=1#gid=0"",""1_ACUM!A4:S""),18,FALSE))"),"")</f>
        <v/>
      </c>
      <c r="BF547" s="44" t="str">
        <f ca="1">IFERROR(__xludf.DUMMYFUNCTION("IFERROR(VLOOKUP(E813&amp;F813,IMPORTRANGE(""https://docs.google.com/spreadsheets/d/1Uw7-A9f9R21vMXxHZFNpYNeKFtG8_yji4HS352LGlSQ/edit?pli=1#gid=0"",""1_ACUM!A4:S""),19,FALSE))"),"")</f>
        <v/>
      </c>
      <c r="BG547" s="98" t="str">
        <f ca="1">IFERROR(__xludf.DUMMYFUNCTION("IFERROR(VLOOKUP(F813,IMPORTRANGE(""https://docs.google.com/spreadsheets/d/1Kvs4KS76FHFqLFIZfrDMff4kP08nblUkihrxltoGBjg/edit#gid=934712705"",""ESENCIAL!A6:BG""),5,FALSE))"),"")</f>
        <v/>
      </c>
      <c r="BH547" s="98" t="str">
        <f t="shared" si="25"/>
        <v/>
      </c>
      <c r="BI547" s="99" t="str">
        <f t="shared" si="26"/>
        <v/>
      </c>
      <c r="BJ547" s="100" t="str">
        <f ca="1">IFERROR(__xludf.DUMMYFUNCTION("IFERROR(VLOOKUP(F813,IMPORTRANGE(""https://docs.google.com/spreadsheets/d/1Kvs4KS76FHFqLFIZfrDMff4kP08nblUkihrxltoGBjg/edit#gid=934712705"",""ESENCIAL!A6:BG""),2,FALSE))"),"")</f>
        <v/>
      </c>
      <c r="BK547" s="19" t="str">
        <f t="shared" si="27"/>
        <v/>
      </c>
      <c r="BL547" s="100"/>
      <c r="BM547" s="100"/>
    </row>
    <row r="548" spans="2:65" ht="15">
      <c r="B548" s="39"/>
      <c r="C548" s="5"/>
      <c r="D548" s="123"/>
      <c r="E548" s="39"/>
      <c r="F548" s="39"/>
      <c r="G548" s="39"/>
      <c r="H548" s="5" t="str">
        <f ca="1">IFERROR(__xludf.DUMMYFUNCTION("IFERROR(VLOOKUP(F814,IMPORTRANGE(""https://docs.google.com/spreadsheets/d/1Kvs4KS76FHFqLFIZfrDMff4kP08nblUkihrxltoGBjg/edit#gid=934712705"",""ESENCIAL!A6:BG""),3,FALSE))"),"")</f>
        <v/>
      </c>
      <c r="I548" s="5" t="str">
        <f ca="1">IFERROR(__xludf.DUMMYFUNCTION("IFERROR(VLOOKUP(F814,IMPORTRANGE(""https://docs.google.com/spreadsheets/d/1Kvs4KS76FHFqLFIZfrDMff4kP08nblUkihrxltoGBjg/edit#gid=934712705"",""ESENCIAL!A6:BG""),8,FALSE))"),"")</f>
        <v/>
      </c>
      <c r="J548" s="39"/>
      <c r="M548" s="40"/>
      <c r="AV548" s="41" t="str">
        <f t="shared" si="24"/>
        <v/>
      </c>
      <c r="AW548" s="5" t="str">
        <f ca="1">IFERROR(__xludf.DUMMYFUNCTION("IFERROR(VLOOKUP(E814&amp;F814,IMPORTRANGE(""https://docs.google.com/spreadsheets/d/1Uw7-A9f9R21vMXxHZFNpYNeKFtG8_yji4HS352LGlSQ/edit?pli=1#gid=0"",""1_ACUM!A4:S""),11,FALSE))"),"")</f>
        <v/>
      </c>
      <c r="AX548" s="42" t="str">
        <f ca="1">IFERROR(__xludf.DUMMYFUNCTION("IFERROR(VLOOKUP(F814,IMPORTRANGE(""https://docs.google.com/spreadsheets/d/1Kvs4KS76FHFqLFIZfrDMff4kP08nblUkihrxltoGBjg/edit#gid=934712705"",""ESENCIAL!A6:BG""),15,FALSE))"),"")</f>
        <v/>
      </c>
      <c r="AY548" s="110" t="str">
        <f ca="1">IFERROR(__xludf.DUMMYFUNCTION("IFERROR(VLOOKUP(E814&amp;F814,IMPORTRANGE(""https://docs.google.com/spreadsheets/d/1Uw7-A9f9R21vMXxHZFNpYNeKFtG8_yji4HS352LGlSQ/edit?pli=1#gid=0"",""1_ACUM!A4:S""),13,FALSE))"),"")</f>
        <v/>
      </c>
      <c r="AZ548" s="43" t="str">
        <f ca="1">IFERROR(__xludf.DUMMYFUNCTION("IFERROR(VLOOKUP(E814&amp;F814,IMPORTRANGE(""https://docs.google.com/spreadsheets/d/1Uw7-A9f9R21vMXxHZFNpYNeKFtG8_yji4HS352LGlSQ/edit?pli=1#gid=0"",""1_ACUM!A4:S""),13,FALSE))"),"")</f>
        <v/>
      </c>
      <c r="BA548" s="43" t="str">
        <f ca="1">IFERROR(__xludf.DUMMYFUNCTION("IFERROR(VLOOKUP(E814&amp;F814,IMPORTRANGE(""https://docs.google.com/spreadsheets/d/1Uw7-A9f9R21vMXxHZFNpYNeKFtG8_yji4HS352LGlSQ/edit?pli=1#gid=0"",""1_ACUM!A4:S""),14,FALSE))"),"")</f>
        <v/>
      </c>
      <c r="BB548" s="43" t="str">
        <f ca="1">IFERROR(__xludf.DUMMYFUNCTION("IFERROR(VLOOKUP(E814&amp;F814,IMPORTRANGE(""https://docs.google.com/spreadsheets/d/1Uw7-A9f9R21vMXxHZFNpYNeKFtG8_yji4HS352LGlSQ/edit?pli=1#gid=0"",""1_ACUM!A4:S""),15,FALSE))"),"")</f>
        <v/>
      </c>
      <c r="BC548" s="43" t="str">
        <f ca="1">IFERROR(__xludf.DUMMYFUNCTION("IFERROR(VLOOKUP(E814&amp;F814,IMPORTRANGE(""https://docs.google.com/spreadsheets/d/1Uw7-A9f9R21vMXxHZFNpYNeKFtG8_yji4HS352LGlSQ/edit?pli=1#gid=0"",""1_ACUM!A4:S""),16,FALSE))"),"")</f>
        <v/>
      </c>
      <c r="BD548" s="43" t="str">
        <f ca="1">IFERROR(__xludf.DUMMYFUNCTION("IFERROR(VLOOKUP(E814&amp;F814,IMPORTRANGE(""https://docs.google.com/spreadsheets/d/1Uw7-A9f9R21vMXxHZFNpYNeKFtG8_yji4HS352LGlSQ/edit?pli=1#gid=0"",""1_ACUM!A4:S""),17,FALSE))"),"")</f>
        <v/>
      </c>
      <c r="BE548" s="44" t="str">
        <f ca="1">IFERROR(__xludf.DUMMYFUNCTION("IFERROR(VLOOKUP(E814&amp;F814,IMPORTRANGE(""https://docs.google.com/spreadsheets/d/1Uw7-A9f9R21vMXxHZFNpYNeKFtG8_yji4HS352LGlSQ/edit?pli=1#gid=0"",""1_ACUM!A4:S""),18,FALSE))"),"")</f>
        <v/>
      </c>
      <c r="BF548" s="44" t="str">
        <f ca="1">IFERROR(__xludf.DUMMYFUNCTION("IFERROR(VLOOKUP(E814&amp;F814,IMPORTRANGE(""https://docs.google.com/spreadsheets/d/1Uw7-A9f9R21vMXxHZFNpYNeKFtG8_yji4HS352LGlSQ/edit?pli=1#gid=0"",""1_ACUM!A4:S""),19,FALSE))"),"")</f>
        <v/>
      </c>
      <c r="BG548" s="98" t="str">
        <f ca="1">IFERROR(__xludf.DUMMYFUNCTION("IFERROR(VLOOKUP(F814,IMPORTRANGE(""https://docs.google.com/spreadsheets/d/1Kvs4KS76FHFqLFIZfrDMff4kP08nblUkihrxltoGBjg/edit#gid=934712705"",""ESENCIAL!A6:BG""),5,FALSE))"),"")</f>
        <v/>
      </c>
      <c r="BH548" s="98" t="str">
        <f t="shared" si="25"/>
        <v/>
      </c>
      <c r="BI548" s="99" t="str">
        <f t="shared" si="26"/>
        <v/>
      </c>
      <c r="BJ548" s="100" t="str">
        <f ca="1">IFERROR(__xludf.DUMMYFUNCTION("IFERROR(VLOOKUP(F814,IMPORTRANGE(""https://docs.google.com/spreadsheets/d/1Kvs4KS76FHFqLFIZfrDMff4kP08nblUkihrxltoGBjg/edit#gid=934712705"",""ESENCIAL!A6:BG""),2,FALSE))"),"")</f>
        <v/>
      </c>
      <c r="BK548" s="19" t="str">
        <f t="shared" si="27"/>
        <v/>
      </c>
      <c r="BL548" s="100"/>
      <c r="BM548" s="100"/>
    </row>
    <row r="549" spans="2:65" ht="15">
      <c r="B549" s="39"/>
      <c r="C549" s="5"/>
      <c r="D549" s="123"/>
      <c r="E549" s="39"/>
      <c r="F549" s="39"/>
      <c r="G549" s="39"/>
      <c r="H549" s="5" t="str">
        <f ca="1">IFERROR(__xludf.DUMMYFUNCTION("IFERROR(VLOOKUP(F815,IMPORTRANGE(""https://docs.google.com/spreadsheets/d/1Kvs4KS76FHFqLFIZfrDMff4kP08nblUkihrxltoGBjg/edit#gid=934712705"",""ESENCIAL!A6:BG""),3,FALSE))"),"")</f>
        <v/>
      </c>
      <c r="I549" s="5" t="str">
        <f ca="1">IFERROR(__xludf.DUMMYFUNCTION("IFERROR(VLOOKUP(F815,IMPORTRANGE(""https://docs.google.com/spreadsheets/d/1Kvs4KS76FHFqLFIZfrDMff4kP08nblUkihrxltoGBjg/edit#gid=934712705"",""ESENCIAL!A6:BG""),8,FALSE))"),"")</f>
        <v/>
      </c>
      <c r="J549" s="39"/>
      <c r="M549" s="40"/>
      <c r="AV549" s="41" t="str">
        <f t="shared" si="24"/>
        <v/>
      </c>
      <c r="AW549" s="5" t="str">
        <f ca="1">IFERROR(__xludf.DUMMYFUNCTION("IFERROR(VLOOKUP(E815&amp;F815,IMPORTRANGE(""https://docs.google.com/spreadsheets/d/1Uw7-A9f9R21vMXxHZFNpYNeKFtG8_yji4HS352LGlSQ/edit?pli=1#gid=0"",""1_ACUM!A4:S""),11,FALSE))"),"")</f>
        <v/>
      </c>
      <c r="AX549" s="42" t="str">
        <f ca="1">IFERROR(__xludf.DUMMYFUNCTION("IFERROR(VLOOKUP(F815,IMPORTRANGE(""https://docs.google.com/spreadsheets/d/1Kvs4KS76FHFqLFIZfrDMff4kP08nblUkihrxltoGBjg/edit#gid=934712705"",""ESENCIAL!A6:BG""),15,FALSE))"),"")</f>
        <v/>
      </c>
      <c r="AY549" s="110" t="str">
        <f ca="1">IFERROR(__xludf.DUMMYFUNCTION("IFERROR(VLOOKUP(E815&amp;F815,IMPORTRANGE(""https://docs.google.com/spreadsheets/d/1Uw7-A9f9R21vMXxHZFNpYNeKFtG8_yji4HS352LGlSQ/edit?pli=1#gid=0"",""1_ACUM!A4:S""),13,FALSE))"),"")</f>
        <v/>
      </c>
      <c r="AZ549" s="43" t="str">
        <f ca="1">IFERROR(__xludf.DUMMYFUNCTION("IFERROR(VLOOKUP(E815&amp;F815,IMPORTRANGE(""https://docs.google.com/spreadsheets/d/1Uw7-A9f9R21vMXxHZFNpYNeKFtG8_yji4HS352LGlSQ/edit?pli=1#gid=0"",""1_ACUM!A4:S""),13,FALSE))"),"")</f>
        <v/>
      </c>
      <c r="BA549" s="43" t="str">
        <f ca="1">IFERROR(__xludf.DUMMYFUNCTION("IFERROR(VLOOKUP(E815&amp;F815,IMPORTRANGE(""https://docs.google.com/spreadsheets/d/1Uw7-A9f9R21vMXxHZFNpYNeKFtG8_yji4HS352LGlSQ/edit?pli=1#gid=0"",""1_ACUM!A4:S""),14,FALSE))"),"")</f>
        <v/>
      </c>
      <c r="BB549" s="43" t="str">
        <f ca="1">IFERROR(__xludf.DUMMYFUNCTION("IFERROR(VLOOKUP(E815&amp;F815,IMPORTRANGE(""https://docs.google.com/spreadsheets/d/1Uw7-A9f9R21vMXxHZFNpYNeKFtG8_yji4HS352LGlSQ/edit?pli=1#gid=0"",""1_ACUM!A4:S""),15,FALSE))"),"")</f>
        <v/>
      </c>
      <c r="BC549" s="43" t="str">
        <f ca="1">IFERROR(__xludf.DUMMYFUNCTION("IFERROR(VLOOKUP(E815&amp;F815,IMPORTRANGE(""https://docs.google.com/spreadsheets/d/1Uw7-A9f9R21vMXxHZFNpYNeKFtG8_yji4HS352LGlSQ/edit?pli=1#gid=0"",""1_ACUM!A4:S""),16,FALSE))"),"")</f>
        <v/>
      </c>
      <c r="BD549" s="43" t="str">
        <f ca="1">IFERROR(__xludf.DUMMYFUNCTION("IFERROR(VLOOKUP(E815&amp;F815,IMPORTRANGE(""https://docs.google.com/spreadsheets/d/1Uw7-A9f9R21vMXxHZFNpYNeKFtG8_yji4HS352LGlSQ/edit?pli=1#gid=0"",""1_ACUM!A4:S""),17,FALSE))"),"")</f>
        <v/>
      </c>
      <c r="BE549" s="44" t="str">
        <f ca="1">IFERROR(__xludf.DUMMYFUNCTION("IFERROR(VLOOKUP(E815&amp;F815,IMPORTRANGE(""https://docs.google.com/spreadsheets/d/1Uw7-A9f9R21vMXxHZFNpYNeKFtG8_yji4HS352LGlSQ/edit?pli=1#gid=0"",""1_ACUM!A4:S""),18,FALSE))"),"")</f>
        <v/>
      </c>
      <c r="BF549" s="44" t="str">
        <f ca="1">IFERROR(__xludf.DUMMYFUNCTION("IFERROR(VLOOKUP(E815&amp;F815,IMPORTRANGE(""https://docs.google.com/spreadsheets/d/1Uw7-A9f9R21vMXxHZFNpYNeKFtG8_yji4HS352LGlSQ/edit?pli=1#gid=0"",""1_ACUM!A4:S""),19,FALSE))"),"")</f>
        <v/>
      </c>
      <c r="BG549" s="98" t="str">
        <f ca="1">IFERROR(__xludf.DUMMYFUNCTION("IFERROR(VLOOKUP(F815,IMPORTRANGE(""https://docs.google.com/spreadsheets/d/1Kvs4KS76FHFqLFIZfrDMff4kP08nblUkihrxltoGBjg/edit#gid=934712705"",""ESENCIAL!A6:BG""),5,FALSE))"),"")</f>
        <v/>
      </c>
      <c r="BH549" s="98" t="str">
        <f t="shared" si="25"/>
        <v/>
      </c>
      <c r="BI549" s="99" t="str">
        <f t="shared" si="26"/>
        <v/>
      </c>
      <c r="BJ549" s="100" t="str">
        <f ca="1">IFERROR(__xludf.DUMMYFUNCTION("IFERROR(VLOOKUP(F815,IMPORTRANGE(""https://docs.google.com/spreadsheets/d/1Kvs4KS76FHFqLFIZfrDMff4kP08nblUkihrxltoGBjg/edit#gid=934712705"",""ESENCIAL!A6:BG""),2,FALSE))"),"")</f>
        <v/>
      </c>
      <c r="BK549" s="19" t="str">
        <f t="shared" si="27"/>
        <v/>
      </c>
      <c r="BL549" s="100"/>
      <c r="BM549" s="100"/>
    </row>
    <row r="550" spans="2:65" ht="15">
      <c r="B550" s="39"/>
      <c r="C550" s="5"/>
      <c r="D550" s="123"/>
      <c r="E550" s="39"/>
      <c r="F550" s="39"/>
      <c r="G550" s="39"/>
      <c r="H550" s="5" t="str">
        <f ca="1">IFERROR(__xludf.DUMMYFUNCTION("IFERROR(VLOOKUP(F816,IMPORTRANGE(""https://docs.google.com/spreadsheets/d/1Kvs4KS76FHFqLFIZfrDMff4kP08nblUkihrxltoGBjg/edit#gid=934712705"",""ESENCIAL!A6:BG""),3,FALSE))"),"")</f>
        <v/>
      </c>
      <c r="I550" s="5" t="str">
        <f ca="1">IFERROR(__xludf.DUMMYFUNCTION("IFERROR(VLOOKUP(F816,IMPORTRANGE(""https://docs.google.com/spreadsheets/d/1Kvs4KS76FHFqLFIZfrDMff4kP08nblUkihrxltoGBjg/edit#gid=934712705"",""ESENCIAL!A6:BG""),8,FALSE))"),"")</f>
        <v/>
      </c>
      <c r="J550" s="39"/>
      <c r="M550" s="40"/>
      <c r="AV550" s="41" t="str">
        <f t="shared" si="24"/>
        <v/>
      </c>
      <c r="AW550" s="5" t="str">
        <f ca="1">IFERROR(__xludf.DUMMYFUNCTION("IFERROR(VLOOKUP(E816&amp;F816,IMPORTRANGE(""https://docs.google.com/spreadsheets/d/1Uw7-A9f9R21vMXxHZFNpYNeKFtG8_yji4HS352LGlSQ/edit?pli=1#gid=0"",""1_ACUM!A4:S""),11,FALSE))"),"")</f>
        <v/>
      </c>
      <c r="AX550" s="42" t="str">
        <f ca="1">IFERROR(__xludf.DUMMYFUNCTION("IFERROR(VLOOKUP(F816,IMPORTRANGE(""https://docs.google.com/spreadsheets/d/1Kvs4KS76FHFqLFIZfrDMff4kP08nblUkihrxltoGBjg/edit#gid=934712705"",""ESENCIAL!A6:BG""),15,FALSE))"),"")</f>
        <v/>
      </c>
      <c r="AY550" s="110" t="str">
        <f ca="1">IFERROR(__xludf.DUMMYFUNCTION("IFERROR(VLOOKUP(E816&amp;F816,IMPORTRANGE(""https://docs.google.com/spreadsheets/d/1Uw7-A9f9R21vMXxHZFNpYNeKFtG8_yji4HS352LGlSQ/edit?pli=1#gid=0"",""1_ACUM!A4:S""),13,FALSE))"),"")</f>
        <v/>
      </c>
      <c r="AZ550" s="43" t="str">
        <f ca="1">IFERROR(__xludf.DUMMYFUNCTION("IFERROR(VLOOKUP(E816&amp;F816,IMPORTRANGE(""https://docs.google.com/spreadsheets/d/1Uw7-A9f9R21vMXxHZFNpYNeKFtG8_yji4HS352LGlSQ/edit?pli=1#gid=0"",""1_ACUM!A4:S""),13,FALSE))"),"")</f>
        <v/>
      </c>
      <c r="BA550" s="43" t="str">
        <f ca="1">IFERROR(__xludf.DUMMYFUNCTION("IFERROR(VLOOKUP(E816&amp;F816,IMPORTRANGE(""https://docs.google.com/spreadsheets/d/1Uw7-A9f9R21vMXxHZFNpYNeKFtG8_yji4HS352LGlSQ/edit?pli=1#gid=0"",""1_ACUM!A4:S""),14,FALSE))"),"")</f>
        <v/>
      </c>
      <c r="BB550" s="43" t="str">
        <f ca="1">IFERROR(__xludf.DUMMYFUNCTION("IFERROR(VLOOKUP(E816&amp;F816,IMPORTRANGE(""https://docs.google.com/spreadsheets/d/1Uw7-A9f9R21vMXxHZFNpYNeKFtG8_yji4HS352LGlSQ/edit?pli=1#gid=0"",""1_ACUM!A4:S""),15,FALSE))"),"")</f>
        <v/>
      </c>
      <c r="BC550" s="43" t="str">
        <f ca="1">IFERROR(__xludf.DUMMYFUNCTION("IFERROR(VLOOKUP(E816&amp;F816,IMPORTRANGE(""https://docs.google.com/spreadsheets/d/1Uw7-A9f9R21vMXxHZFNpYNeKFtG8_yji4HS352LGlSQ/edit?pli=1#gid=0"",""1_ACUM!A4:S""),16,FALSE))"),"")</f>
        <v/>
      </c>
      <c r="BD550" s="43" t="str">
        <f ca="1">IFERROR(__xludf.DUMMYFUNCTION("IFERROR(VLOOKUP(E816&amp;F816,IMPORTRANGE(""https://docs.google.com/spreadsheets/d/1Uw7-A9f9R21vMXxHZFNpYNeKFtG8_yji4HS352LGlSQ/edit?pli=1#gid=0"",""1_ACUM!A4:S""),17,FALSE))"),"")</f>
        <v/>
      </c>
      <c r="BE550" s="44" t="str">
        <f ca="1">IFERROR(__xludf.DUMMYFUNCTION("IFERROR(VLOOKUP(E816&amp;F816,IMPORTRANGE(""https://docs.google.com/spreadsheets/d/1Uw7-A9f9R21vMXxHZFNpYNeKFtG8_yji4HS352LGlSQ/edit?pli=1#gid=0"",""1_ACUM!A4:S""),18,FALSE))"),"")</f>
        <v/>
      </c>
      <c r="BF550" s="44" t="str">
        <f ca="1">IFERROR(__xludf.DUMMYFUNCTION("IFERROR(VLOOKUP(E816&amp;F816,IMPORTRANGE(""https://docs.google.com/spreadsheets/d/1Uw7-A9f9R21vMXxHZFNpYNeKFtG8_yji4HS352LGlSQ/edit?pli=1#gid=0"",""1_ACUM!A4:S""),19,FALSE))"),"")</f>
        <v/>
      </c>
      <c r="BG550" s="98" t="str">
        <f ca="1">IFERROR(__xludf.DUMMYFUNCTION("IFERROR(VLOOKUP(F816,IMPORTRANGE(""https://docs.google.com/spreadsheets/d/1Kvs4KS76FHFqLFIZfrDMff4kP08nblUkihrxltoGBjg/edit#gid=934712705"",""ESENCIAL!A6:BG""),5,FALSE))"),"")</f>
        <v/>
      </c>
      <c r="BH550" s="98" t="str">
        <f t="shared" si="25"/>
        <v/>
      </c>
      <c r="BI550" s="99" t="str">
        <f t="shared" si="26"/>
        <v/>
      </c>
      <c r="BJ550" s="100" t="str">
        <f ca="1">IFERROR(__xludf.DUMMYFUNCTION("IFERROR(VLOOKUP(F816,IMPORTRANGE(""https://docs.google.com/spreadsheets/d/1Kvs4KS76FHFqLFIZfrDMff4kP08nblUkihrxltoGBjg/edit#gid=934712705"",""ESENCIAL!A6:BG""),2,FALSE))"),"")</f>
        <v/>
      </c>
      <c r="BK550" s="19" t="str">
        <f t="shared" si="27"/>
        <v/>
      </c>
      <c r="BL550" s="100"/>
      <c r="BM550" s="100"/>
    </row>
    <row r="551" spans="2:65" ht="15">
      <c r="B551" s="39"/>
      <c r="C551" s="5"/>
      <c r="D551" s="123"/>
      <c r="E551" s="39"/>
      <c r="F551" s="39"/>
      <c r="G551" s="39"/>
      <c r="H551" s="5" t="str">
        <f ca="1">IFERROR(__xludf.DUMMYFUNCTION("IFERROR(VLOOKUP(F817,IMPORTRANGE(""https://docs.google.com/spreadsheets/d/1Kvs4KS76FHFqLFIZfrDMff4kP08nblUkihrxltoGBjg/edit#gid=934712705"",""ESENCIAL!A6:BG""),3,FALSE))"),"")</f>
        <v/>
      </c>
      <c r="I551" s="5" t="str">
        <f ca="1">IFERROR(__xludf.DUMMYFUNCTION("IFERROR(VLOOKUP(F817,IMPORTRANGE(""https://docs.google.com/spreadsheets/d/1Kvs4KS76FHFqLFIZfrDMff4kP08nblUkihrxltoGBjg/edit#gid=934712705"",""ESENCIAL!A6:BG""),8,FALSE))"),"")</f>
        <v/>
      </c>
      <c r="J551" s="39"/>
      <c r="M551" s="40"/>
      <c r="AV551" s="41" t="str">
        <f t="shared" si="24"/>
        <v/>
      </c>
      <c r="AW551" s="5" t="str">
        <f ca="1">IFERROR(__xludf.DUMMYFUNCTION("IFERROR(VLOOKUP(E817&amp;F817,IMPORTRANGE(""https://docs.google.com/spreadsheets/d/1Uw7-A9f9R21vMXxHZFNpYNeKFtG8_yji4HS352LGlSQ/edit?pli=1#gid=0"",""1_ACUM!A4:S""),11,FALSE))"),"")</f>
        <v/>
      </c>
      <c r="AX551" s="42" t="str">
        <f ca="1">IFERROR(__xludf.DUMMYFUNCTION("IFERROR(VLOOKUP(F817,IMPORTRANGE(""https://docs.google.com/spreadsheets/d/1Kvs4KS76FHFqLFIZfrDMff4kP08nblUkihrxltoGBjg/edit#gid=934712705"",""ESENCIAL!A6:BG""),15,FALSE))"),"")</f>
        <v/>
      </c>
      <c r="AY551" s="110" t="str">
        <f ca="1">IFERROR(__xludf.DUMMYFUNCTION("IFERROR(VLOOKUP(E817&amp;F817,IMPORTRANGE(""https://docs.google.com/spreadsheets/d/1Uw7-A9f9R21vMXxHZFNpYNeKFtG8_yji4HS352LGlSQ/edit?pli=1#gid=0"",""1_ACUM!A4:S""),13,FALSE))"),"")</f>
        <v/>
      </c>
      <c r="AZ551" s="43" t="str">
        <f ca="1">IFERROR(__xludf.DUMMYFUNCTION("IFERROR(VLOOKUP(E817&amp;F817,IMPORTRANGE(""https://docs.google.com/spreadsheets/d/1Uw7-A9f9R21vMXxHZFNpYNeKFtG8_yji4HS352LGlSQ/edit?pli=1#gid=0"",""1_ACUM!A4:S""),13,FALSE))"),"")</f>
        <v/>
      </c>
      <c r="BA551" s="43" t="str">
        <f ca="1">IFERROR(__xludf.DUMMYFUNCTION("IFERROR(VLOOKUP(E817&amp;F817,IMPORTRANGE(""https://docs.google.com/spreadsheets/d/1Uw7-A9f9R21vMXxHZFNpYNeKFtG8_yji4HS352LGlSQ/edit?pli=1#gid=0"",""1_ACUM!A4:S""),14,FALSE))"),"")</f>
        <v/>
      </c>
      <c r="BB551" s="43" t="str">
        <f ca="1">IFERROR(__xludf.DUMMYFUNCTION("IFERROR(VLOOKUP(E817&amp;F817,IMPORTRANGE(""https://docs.google.com/spreadsheets/d/1Uw7-A9f9R21vMXxHZFNpYNeKFtG8_yji4HS352LGlSQ/edit?pli=1#gid=0"",""1_ACUM!A4:S""),15,FALSE))"),"")</f>
        <v/>
      </c>
      <c r="BC551" s="43" t="str">
        <f ca="1">IFERROR(__xludf.DUMMYFUNCTION("IFERROR(VLOOKUP(E817&amp;F817,IMPORTRANGE(""https://docs.google.com/spreadsheets/d/1Uw7-A9f9R21vMXxHZFNpYNeKFtG8_yji4HS352LGlSQ/edit?pli=1#gid=0"",""1_ACUM!A4:S""),16,FALSE))"),"")</f>
        <v/>
      </c>
      <c r="BD551" s="43" t="str">
        <f ca="1">IFERROR(__xludf.DUMMYFUNCTION("IFERROR(VLOOKUP(E817&amp;F817,IMPORTRANGE(""https://docs.google.com/spreadsheets/d/1Uw7-A9f9R21vMXxHZFNpYNeKFtG8_yji4HS352LGlSQ/edit?pli=1#gid=0"",""1_ACUM!A4:S""),17,FALSE))"),"")</f>
        <v/>
      </c>
      <c r="BE551" s="44" t="str">
        <f ca="1">IFERROR(__xludf.DUMMYFUNCTION("IFERROR(VLOOKUP(E817&amp;F817,IMPORTRANGE(""https://docs.google.com/spreadsheets/d/1Uw7-A9f9R21vMXxHZFNpYNeKFtG8_yji4HS352LGlSQ/edit?pli=1#gid=0"",""1_ACUM!A4:S""),18,FALSE))"),"")</f>
        <v/>
      </c>
      <c r="BF551" s="44" t="str">
        <f ca="1">IFERROR(__xludf.DUMMYFUNCTION("IFERROR(VLOOKUP(E817&amp;F817,IMPORTRANGE(""https://docs.google.com/spreadsheets/d/1Uw7-A9f9R21vMXxHZFNpYNeKFtG8_yji4HS352LGlSQ/edit?pli=1#gid=0"",""1_ACUM!A4:S""),19,FALSE))"),"")</f>
        <v/>
      </c>
      <c r="BG551" s="98" t="str">
        <f ca="1">IFERROR(__xludf.DUMMYFUNCTION("IFERROR(VLOOKUP(F817,IMPORTRANGE(""https://docs.google.com/spreadsheets/d/1Kvs4KS76FHFqLFIZfrDMff4kP08nblUkihrxltoGBjg/edit#gid=934712705"",""ESENCIAL!A6:BG""),5,FALSE))"),"")</f>
        <v/>
      </c>
      <c r="BH551" s="98" t="str">
        <f t="shared" si="25"/>
        <v/>
      </c>
      <c r="BI551" s="99" t="str">
        <f t="shared" si="26"/>
        <v/>
      </c>
      <c r="BJ551" s="100" t="str">
        <f ca="1">IFERROR(__xludf.DUMMYFUNCTION("IFERROR(VLOOKUP(F817,IMPORTRANGE(""https://docs.google.com/spreadsheets/d/1Kvs4KS76FHFqLFIZfrDMff4kP08nblUkihrxltoGBjg/edit#gid=934712705"",""ESENCIAL!A6:BG""),2,FALSE))"),"")</f>
        <v/>
      </c>
      <c r="BK551" s="19" t="str">
        <f t="shared" si="27"/>
        <v/>
      </c>
      <c r="BL551" s="100"/>
      <c r="BM551" s="100"/>
    </row>
    <row r="552" spans="2:65" ht="15">
      <c r="B552" s="39"/>
      <c r="C552" s="5"/>
      <c r="D552" s="123"/>
      <c r="E552" s="39"/>
      <c r="F552" s="39"/>
      <c r="G552" s="39"/>
      <c r="H552" s="5" t="str">
        <f ca="1">IFERROR(__xludf.DUMMYFUNCTION("IFERROR(VLOOKUP(F818,IMPORTRANGE(""https://docs.google.com/spreadsheets/d/1Kvs4KS76FHFqLFIZfrDMff4kP08nblUkihrxltoGBjg/edit#gid=934712705"",""ESENCIAL!A6:BG""),3,FALSE))"),"")</f>
        <v/>
      </c>
      <c r="I552" s="5" t="str">
        <f ca="1">IFERROR(__xludf.DUMMYFUNCTION("IFERROR(VLOOKUP(F818,IMPORTRANGE(""https://docs.google.com/spreadsheets/d/1Kvs4KS76FHFqLFIZfrDMff4kP08nblUkihrxltoGBjg/edit#gid=934712705"",""ESENCIAL!A6:BG""),8,FALSE))"),"")</f>
        <v/>
      </c>
      <c r="J552" s="39"/>
      <c r="M552" s="40"/>
      <c r="AV552" s="41" t="str">
        <f t="shared" si="24"/>
        <v/>
      </c>
      <c r="AW552" s="5" t="str">
        <f ca="1">IFERROR(__xludf.DUMMYFUNCTION("IFERROR(VLOOKUP(E818&amp;F818,IMPORTRANGE(""https://docs.google.com/spreadsheets/d/1Uw7-A9f9R21vMXxHZFNpYNeKFtG8_yji4HS352LGlSQ/edit?pli=1#gid=0"",""1_ACUM!A4:S""),11,FALSE))"),"")</f>
        <v/>
      </c>
      <c r="AX552" s="42" t="str">
        <f ca="1">IFERROR(__xludf.DUMMYFUNCTION("IFERROR(VLOOKUP(F818,IMPORTRANGE(""https://docs.google.com/spreadsheets/d/1Kvs4KS76FHFqLFIZfrDMff4kP08nblUkihrxltoGBjg/edit#gid=934712705"",""ESENCIAL!A6:BG""),15,FALSE))"),"")</f>
        <v/>
      </c>
      <c r="AY552" s="110" t="str">
        <f ca="1">IFERROR(__xludf.DUMMYFUNCTION("IFERROR(VLOOKUP(E818&amp;F818,IMPORTRANGE(""https://docs.google.com/spreadsheets/d/1Uw7-A9f9R21vMXxHZFNpYNeKFtG8_yji4HS352LGlSQ/edit?pli=1#gid=0"",""1_ACUM!A4:S""),13,FALSE))"),"")</f>
        <v/>
      </c>
      <c r="AZ552" s="43" t="str">
        <f ca="1">IFERROR(__xludf.DUMMYFUNCTION("IFERROR(VLOOKUP(E818&amp;F818,IMPORTRANGE(""https://docs.google.com/spreadsheets/d/1Uw7-A9f9R21vMXxHZFNpYNeKFtG8_yji4HS352LGlSQ/edit?pli=1#gid=0"",""1_ACUM!A4:S""),13,FALSE))"),"")</f>
        <v/>
      </c>
      <c r="BA552" s="43" t="str">
        <f ca="1">IFERROR(__xludf.DUMMYFUNCTION("IFERROR(VLOOKUP(E818&amp;F818,IMPORTRANGE(""https://docs.google.com/spreadsheets/d/1Uw7-A9f9R21vMXxHZFNpYNeKFtG8_yji4HS352LGlSQ/edit?pli=1#gid=0"",""1_ACUM!A4:S""),14,FALSE))"),"")</f>
        <v/>
      </c>
      <c r="BB552" s="43" t="str">
        <f ca="1">IFERROR(__xludf.DUMMYFUNCTION("IFERROR(VLOOKUP(E818&amp;F818,IMPORTRANGE(""https://docs.google.com/spreadsheets/d/1Uw7-A9f9R21vMXxHZFNpYNeKFtG8_yji4HS352LGlSQ/edit?pli=1#gid=0"",""1_ACUM!A4:S""),15,FALSE))"),"")</f>
        <v/>
      </c>
      <c r="BC552" s="43" t="str">
        <f ca="1">IFERROR(__xludf.DUMMYFUNCTION("IFERROR(VLOOKUP(E818&amp;F818,IMPORTRANGE(""https://docs.google.com/spreadsheets/d/1Uw7-A9f9R21vMXxHZFNpYNeKFtG8_yji4HS352LGlSQ/edit?pli=1#gid=0"",""1_ACUM!A4:S""),16,FALSE))"),"")</f>
        <v/>
      </c>
      <c r="BD552" s="43" t="str">
        <f ca="1">IFERROR(__xludf.DUMMYFUNCTION("IFERROR(VLOOKUP(E818&amp;F818,IMPORTRANGE(""https://docs.google.com/spreadsheets/d/1Uw7-A9f9R21vMXxHZFNpYNeKFtG8_yji4HS352LGlSQ/edit?pli=1#gid=0"",""1_ACUM!A4:S""),17,FALSE))"),"")</f>
        <v/>
      </c>
      <c r="BE552" s="44" t="str">
        <f ca="1">IFERROR(__xludf.DUMMYFUNCTION("IFERROR(VLOOKUP(E818&amp;F818,IMPORTRANGE(""https://docs.google.com/spreadsheets/d/1Uw7-A9f9R21vMXxHZFNpYNeKFtG8_yji4HS352LGlSQ/edit?pli=1#gid=0"",""1_ACUM!A4:S""),18,FALSE))"),"")</f>
        <v/>
      </c>
      <c r="BF552" s="44" t="str">
        <f ca="1">IFERROR(__xludf.DUMMYFUNCTION("IFERROR(VLOOKUP(E818&amp;F818,IMPORTRANGE(""https://docs.google.com/spreadsheets/d/1Uw7-A9f9R21vMXxHZFNpYNeKFtG8_yji4HS352LGlSQ/edit?pli=1#gid=0"",""1_ACUM!A4:S""),19,FALSE))"),"")</f>
        <v/>
      </c>
      <c r="BG552" s="98" t="str">
        <f ca="1">IFERROR(__xludf.DUMMYFUNCTION("IFERROR(VLOOKUP(F818,IMPORTRANGE(""https://docs.google.com/spreadsheets/d/1Kvs4KS76FHFqLFIZfrDMff4kP08nblUkihrxltoGBjg/edit#gid=934712705"",""ESENCIAL!A6:BG""),5,FALSE))"),"")</f>
        <v/>
      </c>
      <c r="BH552" s="98" t="str">
        <f t="shared" si="25"/>
        <v/>
      </c>
      <c r="BI552" s="99" t="str">
        <f t="shared" si="26"/>
        <v/>
      </c>
      <c r="BJ552" s="100" t="str">
        <f ca="1">IFERROR(__xludf.DUMMYFUNCTION("IFERROR(VLOOKUP(F818,IMPORTRANGE(""https://docs.google.com/spreadsheets/d/1Kvs4KS76FHFqLFIZfrDMff4kP08nblUkihrxltoGBjg/edit#gid=934712705"",""ESENCIAL!A6:BG""),2,FALSE))"),"")</f>
        <v/>
      </c>
      <c r="BK552" s="19" t="str">
        <f t="shared" si="27"/>
        <v/>
      </c>
      <c r="BL552" s="100"/>
      <c r="BM552" s="100"/>
    </row>
    <row r="553" spans="2:65" ht="15">
      <c r="B553" s="39"/>
      <c r="C553" s="5"/>
      <c r="D553" s="123"/>
      <c r="E553" s="39"/>
      <c r="F553" s="39"/>
      <c r="G553" s="39"/>
      <c r="H553" s="5" t="str">
        <f ca="1">IFERROR(__xludf.DUMMYFUNCTION("IFERROR(VLOOKUP(F819,IMPORTRANGE(""https://docs.google.com/spreadsheets/d/1Kvs4KS76FHFqLFIZfrDMff4kP08nblUkihrxltoGBjg/edit#gid=934712705"",""ESENCIAL!A6:BG""),3,FALSE))"),"")</f>
        <v/>
      </c>
      <c r="I553" s="5" t="str">
        <f ca="1">IFERROR(__xludf.DUMMYFUNCTION("IFERROR(VLOOKUP(F819,IMPORTRANGE(""https://docs.google.com/spreadsheets/d/1Kvs4KS76FHFqLFIZfrDMff4kP08nblUkihrxltoGBjg/edit#gid=934712705"",""ESENCIAL!A6:BG""),8,FALSE))"),"")</f>
        <v/>
      </c>
      <c r="J553" s="39"/>
      <c r="M553" s="40"/>
      <c r="AV553" s="41" t="str">
        <f t="shared" si="24"/>
        <v/>
      </c>
      <c r="AW553" s="5" t="str">
        <f ca="1">IFERROR(__xludf.DUMMYFUNCTION("IFERROR(VLOOKUP(E819&amp;F819,IMPORTRANGE(""https://docs.google.com/spreadsheets/d/1Uw7-A9f9R21vMXxHZFNpYNeKFtG8_yji4HS352LGlSQ/edit?pli=1#gid=0"",""1_ACUM!A4:S""),11,FALSE))"),"")</f>
        <v/>
      </c>
      <c r="AX553" s="42" t="str">
        <f ca="1">IFERROR(__xludf.DUMMYFUNCTION("IFERROR(VLOOKUP(F819,IMPORTRANGE(""https://docs.google.com/spreadsheets/d/1Kvs4KS76FHFqLFIZfrDMff4kP08nblUkihrxltoGBjg/edit#gid=934712705"",""ESENCIAL!A6:BG""),15,FALSE))"),"")</f>
        <v/>
      </c>
      <c r="AY553" s="110" t="str">
        <f ca="1">IFERROR(__xludf.DUMMYFUNCTION("IFERROR(VLOOKUP(E819&amp;F819,IMPORTRANGE(""https://docs.google.com/spreadsheets/d/1Uw7-A9f9R21vMXxHZFNpYNeKFtG8_yji4HS352LGlSQ/edit?pli=1#gid=0"",""1_ACUM!A4:S""),13,FALSE))"),"")</f>
        <v/>
      </c>
      <c r="AZ553" s="43" t="str">
        <f ca="1">IFERROR(__xludf.DUMMYFUNCTION("IFERROR(VLOOKUP(E819&amp;F819,IMPORTRANGE(""https://docs.google.com/spreadsheets/d/1Uw7-A9f9R21vMXxHZFNpYNeKFtG8_yji4HS352LGlSQ/edit?pli=1#gid=0"",""1_ACUM!A4:S""),13,FALSE))"),"")</f>
        <v/>
      </c>
      <c r="BA553" s="43" t="str">
        <f ca="1">IFERROR(__xludf.DUMMYFUNCTION("IFERROR(VLOOKUP(E819&amp;F819,IMPORTRANGE(""https://docs.google.com/spreadsheets/d/1Uw7-A9f9R21vMXxHZFNpYNeKFtG8_yji4HS352LGlSQ/edit?pli=1#gid=0"",""1_ACUM!A4:S""),14,FALSE))"),"")</f>
        <v/>
      </c>
      <c r="BB553" s="43" t="str">
        <f ca="1">IFERROR(__xludf.DUMMYFUNCTION("IFERROR(VLOOKUP(E819&amp;F819,IMPORTRANGE(""https://docs.google.com/spreadsheets/d/1Uw7-A9f9R21vMXxHZFNpYNeKFtG8_yji4HS352LGlSQ/edit?pli=1#gid=0"",""1_ACUM!A4:S""),15,FALSE))"),"")</f>
        <v/>
      </c>
      <c r="BC553" s="43" t="str">
        <f ca="1">IFERROR(__xludf.DUMMYFUNCTION("IFERROR(VLOOKUP(E819&amp;F819,IMPORTRANGE(""https://docs.google.com/spreadsheets/d/1Uw7-A9f9R21vMXxHZFNpYNeKFtG8_yji4HS352LGlSQ/edit?pli=1#gid=0"",""1_ACUM!A4:S""),16,FALSE))"),"")</f>
        <v/>
      </c>
      <c r="BD553" s="43" t="str">
        <f ca="1">IFERROR(__xludf.DUMMYFUNCTION("IFERROR(VLOOKUP(E819&amp;F819,IMPORTRANGE(""https://docs.google.com/spreadsheets/d/1Uw7-A9f9R21vMXxHZFNpYNeKFtG8_yji4HS352LGlSQ/edit?pli=1#gid=0"",""1_ACUM!A4:S""),17,FALSE))"),"")</f>
        <v/>
      </c>
      <c r="BE553" s="44" t="str">
        <f ca="1">IFERROR(__xludf.DUMMYFUNCTION("IFERROR(VLOOKUP(E819&amp;F819,IMPORTRANGE(""https://docs.google.com/spreadsheets/d/1Uw7-A9f9R21vMXxHZFNpYNeKFtG8_yji4HS352LGlSQ/edit?pli=1#gid=0"",""1_ACUM!A4:S""),18,FALSE))"),"")</f>
        <v/>
      </c>
      <c r="BF553" s="44" t="str">
        <f ca="1">IFERROR(__xludf.DUMMYFUNCTION("IFERROR(VLOOKUP(E819&amp;F819,IMPORTRANGE(""https://docs.google.com/spreadsheets/d/1Uw7-A9f9R21vMXxHZFNpYNeKFtG8_yji4HS352LGlSQ/edit?pli=1#gid=0"",""1_ACUM!A4:S""),19,FALSE))"),"")</f>
        <v/>
      </c>
      <c r="BG553" s="98" t="str">
        <f ca="1">IFERROR(__xludf.DUMMYFUNCTION("IFERROR(VLOOKUP(F819,IMPORTRANGE(""https://docs.google.com/spreadsheets/d/1Kvs4KS76FHFqLFIZfrDMff4kP08nblUkihrxltoGBjg/edit#gid=934712705"",""ESENCIAL!A6:BG""),5,FALSE))"),"")</f>
        <v/>
      </c>
      <c r="BH553" s="98" t="str">
        <f t="shared" si="25"/>
        <v/>
      </c>
      <c r="BI553" s="99" t="str">
        <f t="shared" si="26"/>
        <v/>
      </c>
      <c r="BJ553" s="100" t="str">
        <f ca="1">IFERROR(__xludf.DUMMYFUNCTION("IFERROR(VLOOKUP(F819,IMPORTRANGE(""https://docs.google.com/spreadsheets/d/1Kvs4KS76FHFqLFIZfrDMff4kP08nblUkihrxltoGBjg/edit#gid=934712705"",""ESENCIAL!A6:BG""),2,FALSE))"),"")</f>
        <v/>
      </c>
      <c r="BK553" s="19" t="str">
        <f t="shared" si="27"/>
        <v/>
      </c>
      <c r="BL553" s="100"/>
      <c r="BM553" s="100"/>
    </row>
    <row r="554" spans="2:65" ht="15">
      <c r="B554" s="39"/>
      <c r="C554" s="5"/>
      <c r="D554" s="123"/>
      <c r="E554" s="39"/>
      <c r="F554" s="39"/>
      <c r="G554" s="39"/>
      <c r="H554" s="5" t="str">
        <f ca="1">IFERROR(__xludf.DUMMYFUNCTION("IFERROR(VLOOKUP(F820,IMPORTRANGE(""https://docs.google.com/spreadsheets/d/1Kvs4KS76FHFqLFIZfrDMff4kP08nblUkihrxltoGBjg/edit#gid=934712705"",""ESENCIAL!A6:BG""),3,FALSE))"),"")</f>
        <v/>
      </c>
      <c r="I554" s="5" t="str">
        <f ca="1">IFERROR(__xludf.DUMMYFUNCTION("IFERROR(VLOOKUP(F820,IMPORTRANGE(""https://docs.google.com/spreadsheets/d/1Kvs4KS76FHFqLFIZfrDMff4kP08nblUkihrxltoGBjg/edit#gid=934712705"",""ESENCIAL!A6:BG""),8,FALSE))"),"")</f>
        <v/>
      </c>
      <c r="J554" s="39"/>
      <c r="M554" s="40"/>
      <c r="AV554" s="41" t="str">
        <f t="shared" si="24"/>
        <v/>
      </c>
      <c r="AW554" s="5" t="str">
        <f ca="1">IFERROR(__xludf.DUMMYFUNCTION("IFERROR(VLOOKUP(E820&amp;F820,IMPORTRANGE(""https://docs.google.com/spreadsheets/d/1Uw7-A9f9R21vMXxHZFNpYNeKFtG8_yji4HS352LGlSQ/edit?pli=1#gid=0"",""1_ACUM!A4:S""),11,FALSE))"),"")</f>
        <v/>
      </c>
      <c r="AX554" s="42" t="str">
        <f ca="1">IFERROR(__xludf.DUMMYFUNCTION("IFERROR(VLOOKUP(F820,IMPORTRANGE(""https://docs.google.com/spreadsheets/d/1Kvs4KS76FHFqLFIZfrDMff4kP08nblUkihrxltoGBjg/edit#gid=934712705"",""ESENCIAL!A6:BG""),15,FALSE))"),"")</f>
        <v/>
      </c>
      <c r="AY554" s="110" t="str">
        <f ca="1">IFERROR(__xludf.DUMMYFUNCTION("IFERROR(VLOOKUP(E820&amp;F820,IMPORTRANGE(""https://docs.google.com/spreadsheets/d/1Uw7-A9f9R21vMXxHZFNpYNeKFtG8_yji4HS352LGlSQ/edit?pli=1#gid=0"",""1_ACUM!A4:S""),13,FALSE))"),"")</f>
        <v/>
      </c>
      <c r="AZ554" s="43" t="str">
        <f ca="1">IFERROR(__xludf.DUMMYFUNCTION("IFERROR(VLOOKUP(E820&amp;F820,IMPORTRANGE(""https://docs.google.com/spreadsheets/d/1Uw7-A9f9R21vMXxHZFNpYNeKFtG8_yji4HS352LGlSQ/edit?pli=1#gid=0"",""1_ACUM!A4:S""),13,FALSE))"),"")</f>
        <v/>
      </c>
      <c r="BA554" s="43" t="str">
        <f ca="1">IFERROR(__xludf.DUMMYFUNCTION("IFERROR(VLOOKUP(E820&amp;F820,IMPORTRANGE(""https://docs.google.com/spreadsheets/d/1Uw7-A9f9R21vMXxHZFNpYNeKFtG8_yji4HS352LGlSQ/edit?pli=1#gid=0"",""1_ACUM!A4:S""),14,FALSE))"),"")</f>
        <v/>
      </c>
      <c r="BB554" s="43" t="str">
        <f ca="1">IFERROR(__xludf.DUMMYFUNCTION("IFERROR(VLOOKUP(E820&amp;F820,IMPORTRANGE(""https://docs.google.com/spreadsheets/d/1Uw7-A9f9R21vMXxHZFNpYNeKFtG8_yji4HS352LGlSQ/edit?pli=1#gid=0"",""1_ACUM!A4:S""),15,FALSE))"),"")</f>
        <v/>
      </c>
      <c r="BC554" s="43" t="str">
        <f ca="1">IFERROR(__xludf.DUMMYFUNCTION("IFERROR(VLOOKUP(E820&amp;F820,IMPORTRANGE(""https://docs.google.com/spreadsheets/d/1Uw7-A9f9R21vMXxHZFNpYNeKFtG8_yji4HS352LGlSQ/edit?pli=1#gid=0"",""1_ACUM!A4:S""),16,FALSE))"),"")</f>
        <v/>
      </c>
      <c r="BD554" s="43" t="str">
        <f ca="1">IFERROR(__xludf.DUMMYFUNCTION("IFERROR(VLOOKUP(E820&amp;F820,IMPORTRANGE(""https://docs.google.com/spreadsheets/d/1Uw7-A9f9R21vMXxHZFNpYNeKFtG8_yji4HS352LGlSQ/edit?pli=1#gid=0"",""1_ACUM!A4:S""),17,FALSE))"),"")</f>
        <v/>
      </c>
      <c r="BE554" s="44" t="str">
        <f ca="1">IFERROR(__xludf.DUMMYFUNCTION("IFERROR(VLOOKUP(E820&amp;F820,IMPORTRANGE(""https://docs.google.com/spreadsheets/d/1Uw7-A9f9R21vMXxHZFNpYNeKFtG8_yji4HS352LGlSQ/edit?pli=1#gid=0"",""1_ACUM!A4:S""),18,FALSE))"),"")</f>
        <v/>
      </c>
      <c r="BF554" s="44" t="str">
        <f ca="1">IFERROR(__xludf.DUMMYFUNCTION("IFERROR(VLOOKUP(E820&amp;F820,IMPORTRANGE(""https://docs.google.com/spreadsheets/d/1Uw7-A9f9R21vMXxHZFNpYNeKFtG8_yji4HS352LGlSQ/edit?pli=1#gid=0"",""1_ACUM!A4:S""),19,FALSE))"),"")</f>
        <v/>
      </c>
      <c r="BG554" s="98" t="str">
        <f ca="1">IFERROR(__xludf.DUMMYFUNCTION("IFERROR(VLOOKUP(F820,IMPORTRANGE(""https://docs.google.com/spreadsheets/d/1Kvs4KS76FHFqLFIZfrDMff4kP08nblUkihrxltoGBjg/edit#gid=934712705"",""ESENCIAL!A6:BG""),5,FALSE))"),"")</f>
        <v/>
      </c>
      <c r="BH554" s="98" t="str">
        <f t="shared" si="25"/>
        <v/>
      </c>
      <c r="BI554" s="99" t="str">
        <f t="shared" si="26"/>
        <v/>
      </c>
      <c r="BJ554" s="100" t="str">
        <f ca="1">IFERROR(__xludf.DUMMYFUNCTION("IFERROR(VLOOKUP(F820,IMPORTRANGE(""https://docs.google.com/spreadsheets/d/1Kvs4KS76FHFqLFIZfrDMff4kP08nblUkihrxltoGBjg/edit#gid=934712705"",""ESENCIAL!A6:BG""),2,FALSE))"),"")</f>
        <v/>
      </c>
      <c r="BK554" s="19" t="str">
        <f t="shared" si="27"/>
        <v/>
      </c>
      <c r="BL554" s="100"/>
      <c r="BM554" s="100"/>
    </row>
    <row r="555" spans="2:65" ht="15">
      <c r="B555" s="39"/>
      <c r="C555" s="5"/>
      <c r="D555" s="123"/>
      <c r="E555" s="39"/>
      <c r="F555" s="39"/>
      <c r="G555" s="39"/>
      <c r="H555" s="5" t="str">
        <f ca="1">IFERROR(__xludf.DUMMYFUNCTION("IFERROR(VLOOKUP(F821,IMPORTRANGE(""https://docs.google.com/spreadsheets/d/1Kvs4KS76FHFqLFIZfrDMff4kP08nblUkihrxltoGBjg/edit#gid=934712705"",""ESENCIAL!A6:BG""),3,FALSE))"),"")</f>
        <v/>
      </c>
      <c r="I555" s="5" t="str">
        <f ca="1">IFERROR(__xludf.DUMMYFUNCTION("IFERROR(VLOOKUP(F821,IMPORTRANGE(""https://docs.google.com/spreadsheets/d/1Kvs4KS76FHFqLFIZfrDMff4kP08nblUkihrxltoGBjg/edit#gid=934712705"",""ESENCIAL!A6:BG""),8,FALSE))"),"")</f>
        <v/>
      </c>
      <c r="J555" s="39"/>
      <c r="M555" s="40"/>
      <c r="AV555" s="41" t="str">
        <f t="shared" si="24"/>
        <v/>
      </c>
      <c r="AW555" s="5" t="str">
        <f ca="1">IFERROR(__xludf.DUMMYFUNCTION("IFERROR(VLOOKUP(E821&amp;F821,IMPORTRANGE(""https://docs.google.com/spreadsheets/d/1Uw7-A9f9R21vMXxHZFNpYNeKFtG8_yji4HS352LGlSQ/edit?pli=1#gid=0"",""1_ACUM!A4:S""),11,FALSE))"),"")</f>
        <v/>
      </c>
      <c r="AX555" s="42" t="str">
        <f ca="1">IFERROR(__xludf.DUMMYFUNCTION("IFERROR(VLOOKUP(F821,IMPORTRANGE(""https://docs.google.com/spreadsheets/d/1Kvs4KS76FHFqLFIZfrDMff4kP08nblUkihrxltoGBjg/edit#gid=934712705"",""ESENCIAL!A6:BG""),15,FALSE))"),"")</f>
        <v/>
      </c>
      <c r="AY555" s="110" t="str">
        <f ca="1">IFERROR(__xludf.DUMMYFUNCTION("IFERROR(VLOOKUP(E821&amp;F821,IMPORTRANGE(""https://docs.google.com/spreadsheets/d/1Uw7-A9f9R21vMXxHZFNpYNeKFtG8_yji4HS352LGlSQ/edit?pli=1#gid=0"",""1_ACUM!A4:S""),13,FALSE))"),"")</f>
        <v/>
      </c>
      <c r="AZ555" s="43" t="str">
        <f ca="1">IFERROR(__xludf.DUMMYFUNCTION("IFERROR(VLOOKUP(E821&amp;F821,IMPORTRANGE(""https://docs.google.com/spreadsheets/d/1Uw7-A9f9R21vMXxHZFNpYNeKFtG8_yji4HS352LGlSQ/edit?pli=1#gid=0"",""1_ACUM!A4:S""),13,FALSE))"),"")</f>
        <v/>
      </c>
      <c r="BA555" s="43" t="str">
        <f ca="1">IFERROR(__xludf.DUMMYFUNCTION("IFERROR(VLOOKUP(E821&amp;F821,IMPORTRANGE(""https://docs.google.com/spreadsheets/d/1Uw7-A9f9R21vMXxHZFNpYNeKFtG8_yji4HS352LGlSQ/edit?pli=1#gid=0"",""1_ACUM!A4:S""),14,FALSE))"),"")</f>
        <v/>
      </c>
      <c r="BB555" s="43" t="str">
        <f ca="1">IFERROR(__xludf.DUMMYFUNCTION("IFERROR(VLOOKUP(E821&amp;F821,IMPORTRANGE(""https://docs.google.com/spreadsheets/d/1Uw7-A9f9R21vMXxHZFNpYNeKFtG8_yji4HS352LGlSQ/edit?pli=1#gid=0"",""1_ACUM!A4:S""),15,FALSE))"),"")</f>
        <v/>
      </c>
      <c r="BC555" s="43" t="str">
        <f ca="1">IFERROR(__xludf.DUMMYFUNCTION("IFERROR(VLOOKUP(E821&amp;F821,IMPORTRANGE(""https://docs.google.com/spreadsheets/d/1Uw7-A9f9R21vMXxHZFNpYNeKFtG8_yji4HS352LGlSQ/edit?pli=1#gid=0"",""1_ACUM!A4:S""),16,FALSE))"),"")</f>
        <v/>
      </c>
      <c r="BD555" s="43" t="str">
        <f ca="1">IFERROR(__xludf.DUMMYFUNCTION("IFERROR(VLOOKUP(E821&amp;F821,IMPORTRANGE(""https://docs.google.com/spreadsheets/d/1Uw7-A9f9R21vMXxHZFNpYNeKFtG8_yji4HS352LGlSQ/edit?pli=1#gid=0"",""1_ACUM!A4:S""),17,FALSE))"),"")</f>
        <v/>
      </c>
      <c r="BE555" s="44" t="str">
        <f ca="1">IFERROR(__xludf.DUMMYFUNCTION("IFERROR(VLOOKUP(E821&amp;F821,IMPORTRANGE(""https://docs.google.com/spreadsheets/d/1Uw7-A9f9R21vMXxHZFNpYNeKFtG8_yji4HS352LGlSQ/edit?pli=1#gid=0"",""1_ACUM!A4:S""),18,FALSE))"),"")</f>
        <v/>
      </c>
      <c r="BF555" s="44" t="str">
        <f ca="1">IFERROR(__xludf.DUMMYFUNCTION("IFERROR(VLOOKUP(E821&amp;F821,IMPORTRANGE(""https://docs.google.com/spreadsheets/d/1Uw7-A9f9R21vMXxHZFNpYNeKFtG8_yji4HS352LGlSQ/edit?pli=1#gid=0"",""1_ACUM!A4:S""),19,FALSE))"),"")</f>
        <v/>
      </c>
      <c r="BG555" s="98" t="str">
        <f ca="1">IFERROR(__xludf.DUMMYFUNCTION("IFERROR(VLOOKUP(F821,IMPORTRANGE(""https://docs.google.com/spreadsheets/d/1Kvs4KS76FHFqLFIZfrDMff4kP08nblUkihrxltoGBjg/edit#gid=934712705"",""ESENCIAL!A6:BG""),5,FALSE))"),"")</f>
        <v/>
      </c>
      <c r="BH555" s="98" t="str">
        <f t="shared" si="25"/>
        <v/>
      </c>
      <c r="BI555" s="99" t="str">
        <f t="shared" si="26"/>
        <v/>
      </c>
      <c r="BJ555" s="100" t="str">
        <f ca="1">IFERROR(__xludf.DUMMYFUNCTION("IFERROR(VLOOKUP(F821,IMPORTRANGE(""https://docs.google.com/spreadsheets/d/1Kvs4KS76FHFqLFIZfrDMff4kP08nblUkihrxltoGBjg/edit#gid=934712705"",""ESENCIAL!A6:BG""),2,FALSE))"),"")</f>
        <v/>
      </c>
      <c r="BK555" s="19" t="str">
        <f t="shared" si="27"/>
        <v/>
      </c>
      <c r="BL555" s="100"/>
      <c r="BM555" s="100"/>
    </row>
    <row r="556" spans="2:65" ht="15">
      <c r="B556" s="39"/>
      <c r="C556" s="5"/>
      <c r="D556" s="123"/>
      <c r="E556" s="39"/>
      <c r="F556" s="39"/>
      <c r="G556" s="39"/>
      <c r="H556" s="5" t="str">
        <f ca="1">IFERROR(__xludf.DUMMYFUNCTION("IFERROR(VLOOKUP(F822,IMPORTRANGE(""https://docs.google.com/spreadsheets/d/1Kvs4KS76FHFqLFIZfrDMff4kP08nblUkihrxltoGBjg/edit#gid=934712705"",""ESENCIAL!A6:BG""),3,FALSE))"),"")</f>
        <v/>
      </c>
      <c r="I556" s="5" t="str">
        <f ca="1">IFERROR(__xludf.DUMMYFUNCTION("IFERROR(VLOOKUP(F822,IMPORTRANGE(""https://docs.google.com/spreadsheets/d/1Kvs4KS76FHFqLFIZfrDMff4kP08nblUkihrxltoGBjg/edit#gid=934712705"",""ESENCIAL!A6:BG""),8,FALSE))"),"")</f>
        <v/>
      </c>
      <c r="J556" s="39"/>
      <c r="M556" s="40"/>
      <c r="AV556" s="41" t="str">
        <f t="shared" si="24"/>
        <v/>
      </c>
      <c r="AW556" s="5" t="str">
        <f ca="1">IFERROR(__xludf.DUMMYFUNCTION("IFERROR(VLOOKUP(E822&amp;F822,IMPORTRANGE(""https://docs.google.com/spreadsheets/d/1Uw7-A9f9R21vMXxHZFNpYNeKFtG8_yji4HS352LGlSQ/edit?pli=1#gid=0"",""1_ACUM!A4:S""),11,FALSE))"),"")</f>
        <v/>
      </c>
      <c r="AX556" s="42" t="str">
        <f ca="1">IFERROR(__xludf.DUMMYFUNCTION("IFERROR(VLOOKUP(F822,IMPORTRANGE(""https://docs.google.com/spreadsheets/d/1Kvs4KS76FHFqLFIZfrDMff4kP08nblUkihrxltoGBjg/edit#gid=934712705"",""ESENCIAL!A6:BG""),15,FALSE))"),"")</f>
        <v/>
      </c>
      <c r="AY556" s="110" t="str">
        <f ca="1">IFERROR(__xludf.DUMMYFUNCTION("IFERROR(VLOOKUP(E822&amp;F822,IMPORTRANGE(""https://docs.google.com/spreadsheets/d/1Uw7-A9f9R21vMXxHZFNpYNeKFtG8_yji4HS352LGlSQ/edit?pli=1#gid=0"",""1_ACUM!A4:S""),13,FALSE))"),"")</f>
        <v/>
      </c>
      <c r="AZ556" s="43" t="str">
        <f ca="1">IFERROR(__xludf.DUMMYFUNCTION("IFERROR(VLOOKUP(E822&amp;F822,IMPORTRANGE(""https://docs.google.com/spreadsheets/d/1Uw7-A9f9R21vMXxHZFNpYNeKFtG8_yji4HS352LGlSQ/edit?pli=1#gid=0"",""1_ACUM!A4:S""),13,FALSE))"),"")</f>
        <v/>
      </c>
      <c r="BA556" s="43" t="str">
        <f ca="1">IFERROR(__xludf.DUMMYFUNCTION("IFERROR(VLOOKUP(E822&amp;F822,IMPORTRANGE(""https://docs.google.com/spreadsheets/d/1Uw7-A9f9R21vMXxHZFNpYNeKFtG8_yji4HS352LGlSQ/edit?pli=1#gid=0"",""1_ACUM!A4:S""),14,FALSE))"),"")</f>
        <v/>
      </c>
      <c r="BB556" s="43" t="str">
        <f ca="1">IFERROR(__xludf.DUMMYFUNCTION("IFERROR(VLOOKUP(E822&amp;F822,IMPORTRANGE(""https://docs.google.com/spreadsheets/d/1Uw7-A9f9R21vMXxHZFNpYNeKFtG8_yji4HS352LGlSQ/edit?pli=1#gid=0"",""1_ACUM!A4:S""),15,FALSE))"),"")</f>
        <v/>
      </c>
      <c r="BC556" s="43" t="str">
        <f ca="1">IFERROR(__xludf.DUMMYFUNCTION("IFERROR(VLOOKUP(E822&amp;F822,IMPORTRANGE(""https://docs.google.com/spreadsheets/d/1Uw7-A9f9R21vMXxHZFNpYNeKFtG8_yji4HS352LGlSQ/edit?pli=1#gid=0"",""1_ACUM!A4:S""),16,FALSE))"),"")</f>
        <v/>
      </c>
      <c r="BD556" s="43" t="str">
        <f ca="1">IFERROR(__xludf.DUMMYFUNCTION("IFERROR(VLOOKUP(E822&amp;F822,IMPORTRANGE(""https://docs.google.com/spreadsheets/d/1Uw7-A9f9R21vMXxHZFNpYNeKFtG8_yji4HS352LGlSQ/edit?pli=1#gid=0"",""1_ACUM!A4:S""),17,FALSE))"),"")</f>
        <v/>
      </c>
      <c r="BE556" s="44" t="str">
        <f ca="1">IFERROR(__xludf.DUMMYFUNCTION("IFERROR(VLOOKUP(E822&amp;F822,IMPORTRANGE(""https://docs.google.com/spreadsheets/d/1Uw7-A9f9R21vMXxHZFNpYNeKFtG8_yji4HS352LGlSQ/edit?pli=1#gid=0"",""1_ACUM!A4:S""),18,FALSE))"),"")</f>
        <v/>
      </c>
      <c r="BF556" s="44" t="str">
        <f ca="1">IFERROR(__xludf.DUMMYFUNCTION("IFERROR(VLOOKUP(E822&amp;F822,IMPORTRANGE(""https://docs.google.com/spreadsheets/d/1Uw7-A9f9R21vMXxHZFNpYNeKFtG8_yji4HS352LGlSQ/edit?pli=1#gid=0"",""1_ACUM!A4:S""),19,FALSE))"),"")</f>
        <v/>
      </c>
      <c r="BG556" s="98" t="str">
        <f ca="1">IFERROR(__xludf.DUMMYFUNCTION("IFERROR(VLOOKUP(F822,IMPORTRANGE(""https://docs.google.com/spreadsheets/d/1Kvs4KS76FHFqLFIZfrDMff4kP08nblUkihrxltoGBjg/edit#gid=934712705"",""ESENCIAL!A6:BG""),5,FALSE))"),"")</f>
        <v/>
      </c>
      <c r="BH556" s="98" t="str">
        <f t="shared" si="25"/>
        <v/>
      </c>
      <c r="BI556" s="99" t="str">
        <f t="shared" si="26"/>
        <v/>
      </c>
      <c r="BJ556" s="100" t="str">
        <f ca="1">IFERROR(__xludf.DUMMYFUNCTION("IFERROR(VLOOKUP(F822,IMPORTRANGE(""https://docs.google.com/spreadsheets/d/1Kvs4KS76FHFqLFIZfrDMff4kP08nblUkihrxltoGBjg/edit#gid=934712705"",""ESENCIAL!A6:BG""),2,FALSE))"),"")</f>
        <v/>
      </c>
      <c r="BK556" s="19" t="str">
        <f t="shared" si="27"/>
        <v/>
      </c>
      <c r="BL556" s="100"/>
      <c r="BM556" s="100"/>
    </row>
    <row r="557" spans="2:65" ht="15">
      <c r="B557" s="39"/>
      <c r="C557" s="5"/>
      <c r="D557" s="123"/>
      <c r="E557" s="39"/>
      <c r="F557" s="39"/>
      <c r="G557" s="39"/>
      <c r="H557" s="5" t="str">
        <f ca="1">IFERROR(__xludf.DUMMYFUNCTION("IFERROR(VLOOKUP(F823,IMPORTRANGE(""https://docs.google.com/spreadsheets/d/1Kvs4KS76FHFqLFIZfrDMff4kP08nblUkihrxltoGBjg/edit#gid=934712705"",""ESENCIAL!A6:BG""),3,FALSE))"),"")</f>
        <v/>
      </c>
      <c r="I557" s="5" t="str">
        <f ca="1">IFERROR(__xludf.DUMMYFUNCTION("IFERROR(VLOOKUP(F823,IMPORTRANGE(""https://docs.google.com/spreadsheets/d/1Kvs4KS76FHFqLFIZfrDMff4kP08nblUkihrxltoGBjg/edit#gid=934712705"",""ESENCIAL!A6:BG""),8,FALSE))"),"")</f>
        <v/>
      </c>
      <c r="J557" s="39"/>
      <c r="M557" s="40"/>
      <c r="AV557" s="41" t="str">
        <f t="shared" si="24"/>
        <v/>
      </c>
      <c r="AW557" s="5" t="str">
        <f ca="1">IFERROR(__xludf.DUMMYFUNCTION("IFERROR(VLOOKUP(E823&amp;F823,IMPORTRANGE(""https://docs.google.com/spreadsheets/d/1Uw7-A9f9R21vMXxHZFNpYNeKFtG8_yji4HS352LGlSQ/edit?pli=1#gid=0"",""1_ACUM!A4:S""),11,FALSE))"),"")</f>
        <v/>
      </c>
      <c r="AX557" s="42" t="str">
        <f ca="1">IFERROR(__xludf.DUMMYFUNCTION("IFERROR(VLOOKUP(F823,IMPORTRANGE(""https://docs.google.com/spreadsheets/d/1Kvs4KS76FHFqLFIZfrDMff4kP08nblUkihrxltoGBjg/edit#gid=934712705"",""ESENCIAL!A6:BG""),15,FALSE))"),"")</f>
        <v/>
      </c>
      <c r="AY557" s="110" t="str">
        <f ca="1">IFERROR(__xludf.DUMMYFUNCTION("IFERROR(VLOOKUP(E823&amp;F823,IMPORTRANGE(""https://docs.google.com/spreadsheets/d/1Uw7-A9f9R21vMXxHZFNpYNeKFtG8_yji4HS352LGlSQ/edit?pli=1#gid=0"",""1_ACUM!A4:S""),13,FALSE))"),"")</f>
        <v/>
      </c>
      <c r="AZ557" s="43" t="str">
        <f ca="1">IFERROR(__xludf.DUMMYFUNCTION("IFERROR(VLOOKUP(E823&amp;F823,IMPORTRANGE(""https://docs.google.com/spreadsheets/d/1Uw7-A9f9R21vMXxHZFNpYNeKFtG8_yji4HS352LGlSQ/edit?pli=1#gid=0"",""1_ACUM!A4:S""),13,FALSE))"),"")</f>
        <v/>
      </c>
      <c r="BA557" s="43" t="str">
        <f ca="1">IFERROR(__xludf.DUMMYFUNCTION("IFERROR(VLOOKUP(E823&amp;F823,IMPORTRANGE(""https://docs.google.com/spreadsheets/d/1Uw7-A9f9R21vMXxHZFNpYNeKFtG8_yji4HS352LGlSQ/edit?pli=1#gid=0"",""1_ACUM!A4:S""),14,FALSE))"),"")</f>
        <v/>
      </c>
      <c r="BB557" s="43" t="str">
        <f ca="1">IFERROR(__xludf.DUMMYFUNCTION("IFERROR(VLOOKUP(E823&amp;F823,IMPORTRANGE(""https://docs.google.com/spreadsheets/d/1Uw7-A9f9R21vMXxHZFNpYNeKFtG8_yji4HS352LGlSQ/edit?pli=1#gid=0"",""1_ACUM!A4:S""),15,FALSE))"),"")</f>
        <v/>
      </c>
      <c r="BC557" s="43" t="str">
        <f ca="1">IFERROR(__xludf.DUMMYFUNCTION("IFERROR(VLOOKUP(E823&amp;F823,IMPORTRANGE(""https://docs.google.com/spreadsheets/d/1Uw7-A9f9R21vMXxHZFNpYNeKFtG8_yji4HS352LGlSQ/edit?pli=1#gid=0"",""1_ACUM!A4:S""),16,FALSE))"),"")</f>
        <v/>
      </c>
      <c r="BD557" s="43" t="str">
        <f ca="1">IFERROR(__xludf.DUMMYFUNCTION("IFERROR(VLOOKUP(E823&amp;F823,IMPORTRANGE(""https://docs.google.com/spreadsheets/d/1Uw7-A9f9R21vMXxHZFNpYNeKFtG8_yji4HS352LGlSQ/edit?pli=1#gid=0"",""1_ACUM!A4:S""),17,FALSE))"),"")</f>
        <v/>
      </c>
      <c r="BE557" s="44" t="str">
        <f ca="1">IFERROR(__xludf.DUMMYFUNCTION("IFERROR(VLOOKUP(E823&amp;F823,IMPORTRANGE(""https://docs.google.com/spreadsheets/d/1Uw7-A9f9R21vMXxHZFNpYNeKFtG8_yji4HS352LGlSQ/edit?pli=1#gid=0"",""1_ACUM!A4:S""),18,FALSE))"),"")</f>
        <v/>
      </c>
      <c r="BF557" s="44" t="str">
        <f ca="1">IFERROR(__xludf.DUMMYFUNCTION("IFERROR(VLOOKUP(E823&amp;F823,IMPORTRANGE(""https://docs.google.com/spreadsheets/d/1Uw7-A9f9R21vMXxHZFNpYNeKFtG8_yji4HS352LGlSQ/edit?pli=1#gid=0"",""1_ACUM!A4:S""),19,FALSE))"),"")</f>
        <v/>
      </c>
      <c r="BG557" s="98" t="str">
        <f ca="1">IFERROR(__xludf.DUMMYFUNCTION("IFERROR(VLOOKUP(F823,IMPORTRANGE(""https://docs.google.com/spreadsheets/d/1Kvs4KS76FHFqLFIZfrDMff4kP08nblUkihrxltoGBjg/edit#gid=934712705"",""ESENCIAL!A6:BG""),5,FALSE))"),"")</f>
        <v/>
      </c>
      <c r="BH557" s="98" t="str">
        <f t="shared" si="25"/>
        <v/>
      </c>
      <c r="BI557" s="99" t="str">
        <f t="shared" si="26"/>
        <v/>
      </c>
      <c r="BJ557" s="100" t="str">
        <f ca="1">IFERROR(__xludf.DUMMYFUNCTION("IFERROR(VLOOKUP(F823,IMPORTRANGE(""https://docs.google.com/spreadsheets/d/1Kvs4KS76FHFqLFIZfrDMff4kP08nblUkihrxltoGBjg/edit#gid=934712705"",""ESENCIAL!A6:BG""),2,FALSE))"),"")</f>
        <v/>
      </c>
      <c r="BK557" s="19" t="str">
        <f t="shared" si="27"/>
        <v/>
      </c>
      <c r="BL557" s="100"/>
      <c r="BM557" s="100"/>
    </row>
    <row r="558" spans="2:65" ht="15">
      <c r="B558" s="39"/>
      <c r="C558" s="5"/>
      <c r="D558" s="123"/>
      <c r="E558" s="39"/>
      <c r="F558" s="39"/>
      <c r="G558" s="39"/>
      <c r="H558" s="5" t="str">
        <f ca="1">IFERROR(__xludf.DUMMYFUNCTION("IFERROR(VLOOKUP(F824,IMPORTRANGE(""https://docs.google.com/spreadsheets/d/1Kvs4KS76FHFqLFIZfrDMff4kP08nblUkihrxltoGBjg/edit#gid=934712705"",""ESENCIAL!A6:BG""),3,FALSE))"),"")</f>
        <v/>
      </c>
      <c r="I558" s="5" t="str">
        <f ca="1">IFERROR(__xludf.DUMMYFUNCTION("IFERROR(VLOOKUP(F824,IMPORTRANGE(""https://docs.google.com/spreadsheets/d/1Kvs4KS76FHFqLFIZfrDMff4kP08nblUkihrxltoGBjg/edit#gid=934712705"",""ESENCIAL!A6:BG""),8,FALSE))"),"")</f>
        <v/>
      </c>
      <c r="J558" s="39"/>
      <c r="M558" s="40"/>
      <c r="AV558" s="41" t="str">
        <f t="shared" si="24"/>
        <v/>
      </c>
      <c r="AW558" s="5" t="str">
        <f ca="1">IFERROR(__xludf.DUMMYFUNCTION("IFERROR(VLOOKUP(E824&amp;F824,IMPORTRANGE(""https://docs.google.com/spreadsheets/d/1Uw7-A9f9R21vMXxHZFNpYNeKFtG8_yji4HS352LGlSQ/edit?pli=1#gid=0"",""1_ACUM!A4:S""),11,FALSE))"),"")</f>
        <v/>
      </c>
      <c r="AX558" s="42" t="str">
        <f ca="1">IFERROR(__xludf.DUMMYFUNCTION("IFERROR(VLOOKUP(F824,IMPORTRANGE(""https://docs.google.com/spreadsheets/d/1Kvs4KS76FHFqLFIZfrDMff4kP08nblUkihrxltoGBjg/edit#gid=934712705"",""ESENCIAL!A6:BG""),15,FALSE))"),"")</f>
        <v/>
      </c>
      <c r="AY558" s="110" t="str">
        <f ca="1">IFERROR(__xludf.DUMMYFUNCTION("IFERROR(VLOOKUP(E824&amp;F824,IMPORTRANGE(""https://docs.google.com/spreadsheets/d/1Uw7-A9f9R21vMXxHZFNpYNeKFtG8_yji4HS352LGlSQ/edit?pli=1#gid=0"",""1_ACUM!A4:S""),13,FALSE))"),"")</f>
        <v/>
      </c>
      <c r="AZ558" s="43" t="str">
        <f ca="1">IFERROR(__xludf.DUMMYFUNCTION("IFERROR(VLOOKUP(E824&amp;F824,IMPORTRANGE(""https://docs.google.com/spreadsheets/d/1Uw7-A9f9R21vMXxHZFNpYNeKFtG8_yji4HS352LGlSQ/edit?pli=1#gid=0"",""1_ACUM!A4:S""),13,FALSE))"),"")</f>
        <v/>
      </c>
      <c r="BA558" s="43" t="str">
        <f ca="1">IFERROR(__xludf.DUMMYFUNCTION("IFERROR(VLOOKUP(E824&amp;F824,IMPORTRANGE(""https://docs.google.com/spreadsheets/d/1Uw7-A9f9R21vMXxHZFNpYNeKFtG8_yji4HS352LGlSQ/edit?pli=1#gid=0"",""1_ACUM!A4:S""),14,FALSE))"),"")</f>
        <v/>
      </c>
      <c r="BB558" s="43" t="str">
        <f ca="1">IFERROR(__xludf.DUMMYFUNCTION("IFERROR(VLOOKUP(E824&amp;F824,IMPORTRANGE(""https://docs.google.com/spreadsheets/d/1Uw7-A9f9R21vMXxHZFNpYNeKFtG8_yji4HS352LGlSQ/edit?pli=1#gid=0"",""1_ACUM!A4:S""),15,FALSE))"),"")</f>
        <v/>
      </c>
      <c r="BC558" s="43" t="str">
        <f ca="1">IFERROR(__xludf.DUMMYFUNCTION("IFERROR(VLOOKUP(E824&amp;F824,IMPORTRANGE(""https://docs.google.com/spreadsheets/d/1Uw7-A9f9R21vMXxHZFNpYNeKFtG8_yji4HS352LGlSQ/edit?pli=1#gid=0"",""1_ACUM!A4:S""),16,FALSE))"),"")</f>
        <v/>
      </c>
      <c r="BD558" s="43" t="str">
        <f ca="1">IFERROR(__xludf.DUMMYFUNCTION("IFERROR(VLOOKUP(E824&amp;F824,IMPORTRANGE(""https://docs.google.com/spreadsheets/d/1Uw7-A9f9R21vMXxHZFNpYNeKFtG8_yji4HS352LGlSQ/edit?pli=1#gid=0"",""1_ACUM!A4:S""),17,FALSE))"),"")</f>
        <v/>
      </c>
      <c r="BE558" s="44" t="str">
        <f ca="1">IFERROR(__xludf.DUMMYFUNCTION("IFERROR(VLOOKUP(E824&amp;F824,IMPORTRANGE(""https://docs.google.com/spreadsheets/d/1Uw7-A9f9R21vMXxHZFNpYNeKFtG8_yji4HS352LGlSQ/edit?pli=1#gid=0"",""1_ACUM!A4:S""),18,FALSE))"),"")</f>
        <v/>
      </c>
      <c r="BF558" s="44" t="str">
        <f ca="1">IFERROR(__xludf.DUMMYFUNCTION("IFERROR(VLOOKUP(E824&amp;F824,IMPORTRANGE(""https://docs.google.com/spreadsheets/d/1Uw7-A9f9R21vMXxHZFNpYNeKFtG8_yji4HS352LGlSQ/edit?pli=1#gid=0"",""1_ACUM!A4:S""),19,FALSE))"),"")</f>
        <v/>
      </c>
      <c r="BG558" s="98" t="str">
        <f ca="1">IFERROR(__xludf.DUMMYFUNCTION("IFERROR(VLOOKUP(F824,IMPORTRANGE(""https://docs.google.com/spreadsheets/d/1Kvs4KS76FHFqLFIZfrDMff4kP08nblUkihrxltoGBjg/edit#gid=934712705"",""ESENCIAL!A6:BG""),5,FALSE))"),"")</f>
        <v/>
      </c>
      <c r="BH558" s="98" t="str">
        <f t="shared" si="25"/>
        <v/>
      </c>
      <c r="BI558" s="99" t="str">
        <f t="shared" si="26"/>
        <v/>
      </c>
      <c r="BJ558" s="100" t="str">
        <f ca="1">IFERROR(__xludf.DUMMYFUNCTION("IFERROR(VLOOKUP(F824,IMPORTRANGE(""https://docs.google.com/spreadsheets/d/1Kvs4KS76FHFqLFIZfrDMff4kP08nblUkihrxltoGBjg/edit#gid=934712705"",""ESENCIAL!A6:BG""),2,FALSE))"),"")</f>
        <v/>
      </c>
      <c r="BK558" s="19" t="str">
        <f t="shared" si="27"/>
        <v/>
      </c>
      <c r="BL558" s="100"/>
      <c r="BM558" s="100"/>
    </row>
    <row r="559" spans="2:65" ht="15">
      <c r="B559" s="39"/>
      <c r="C559" s="5"/>
      <c r="D559" s="123"/>
      <c r="E559" s="39"/>
      <c r="F559" s="39"/>
      <c r="G559" s="39"/>
      <c r="H559" s="5" t="str">
        <f ca="1">IFERROR(__xludf.DUMMYFUNCTION("IFERROR(VLOOKUP(F825,IMPORTRANGE(""https://docs.google.com/spreadsheets/d/1Kvs4KS76FHFqLFIZfrDMff4kP08nblUkihrxltoGBjg/edit#gid=934712705"",""ESENCIAL!A6:BG""),3,FALSE))"),"")</f>
        <v/>
      </c>
      <c r="I559" s="5" t="str">
        <f ca="1">IFERROR(__xludf.DUMMYFUNCTION("IFERROR(VLOOKUP(F825,IMPORTRANGE(""https://docs.google.com/spreadsheets/d/1Kvs4KS76FHFqLFIZfrDMff4kP08nblUkihrxltoGBjg/edit#gid=934712705"",""ESENCIAL!A6:BG""),8,FALSE))"),"")</f>
        <v/>
      </c>
      <c r="J559" s="39"/>
      <c r="M559" s="40"/>
      <c r="AV559" s="41" t="str">
        <f t="shared" si="24"/>
        <v/>
      </c>
      <c r="AW559" s="5" t="str">
        <f ca="1">IFERROR(__xludf.DUMMYFUNCTION("IFERROR(VLOOKUP(E825&amp;F825,IMPORTRANGE(""https://docs.google.com/spreadsheets/d/1Uw7-A9f9R21vMXxHZFNpYNeKFtG8_yji4HS352LGlSQ/edit?pli=1#gid=0"",""1_ACUM!A4:S""),11,FALSE))"),"")</f>
        <v/>
      </c>
      <c r="AX559" s="42" t="str">
        <f ca="1">IFERROR(__xludf.DUMMYFUNCTION("IFERROR(VLOOKUP(F825,IMPORTRANGE(""https://docs.google.com/spreadsheets/d/1Kvs4KS76FHFqLFIZfrDMff4kP08nblUkihrxltoGBjg/edit#gid=934712705"",""ESENCIAL!A6:BG""),15,FALSE))"),"")</f>
        <v/>
      </c>
      <c r="AY559" s="110" t="str">
        <f ca="1">IFERROR(__xludf.DUMMYFUNCTION("IFERROR(VLOOKUP(E825&amp;F825,IMPORTRANGE(""https://docs.google.com/spreadsheets/d/1Uw7-A9f9R21vMXxHZFNpYNeKFtG8_yji4HS352LGlSQ/edit?pli=1#gid=0"",""1_ACUM!A4:S""),13,FALSE))"),"")</f>
        <v/>
      </c>
      <c r="AZ559" s="43" t="str">
        <f ca="1">IFERROR(__xludf.DUMMYFUNCTION("IFERROR(VLOOKUP(E825&amp;F825,IMPORTRANGE(""https://docs.google.com/spreadsheets/d/1Uw7-A9f9R21vMXxHZFNpYNeKFtG8_yji4HS352LGlSQ/edit?pli=1#gid=0"",""1_ACUM!A4:S""),13,FALSE))"),"")</f>
        <v/>
      </c>
      <c r="BA559" s="43" t="str">
        <f ca="1">IFERROR(__xludf.DUMMYFUNCTION("IFERROR(VLOOKUP(E825&amp;F825,IMPORTRANGE(""https://docs.google.com/spreadsheets/d/1Uw7-A9f9R21vMXxHZFNpYNeKFtG8_yji4HS352LGlSQ/edit?pli=1#gid=0"",""1_ACUM!A4:S""),14,FALSE))"),"")</f>
        <v/>
      </c>
      <c r="BB559" s="43" t="str">
        <f ca="1">IFERROR(__xludf.DUMMYFUNCTION("IFERROR(VLOOKUP(E825&amp;F825,IMPORTRANGE(""https://docs.google.com/spreadsheets/d/1Uw7-A9f9R21vMXxHZFNpYNeKFtG8_yji4HS352LGlSQ/edit?pli=1#gid=0"",""1_ACUM!A4:S""),15,FALSE))"),"")</f>
        <v/>
      </c>
      <c r="BC559" s="43" t="str">
        <f ca="1">IFERROR(__xludf.DUMMYFUNCTION("IFERROR(VLOOKUP(E825&amp;F825,IMPORTRANGE(""https://docs.google.com/spreadsheets/d/1Uw7-A9f9R21vMXxHZFNpYNeKFtG8_yji4HS352LGlSQ/edit?pli=1#gid=0"",""1_ACUM!A4:S""),16,FALSE))"),"")</f>
        <v/>
      </c>
      <c r="BD559" s="43" t="str">
        <f ca="1">IFERROR(__xludf.DUMMYFUNCTION("IFERROR(VLOOKUP(E825&amp;F825,IMPORTRANGE(""https://docs.google.com/spreadsheets/d/1Uw7-A9f9R21vMXxHZFNpYNeKFtG8_yji4HS352LGlSQ/edit?pli=1#gid=0"",""1_ACUM!A4:S""),17,FALSE))"),"")</f>
        <v/>
      </c>
      <c r="BE559" s="44" t="str">
        <f ca="1">IFERROR(__xludf.DUMMYFUNCTION("IFERROR(VLOOKUP(E825&amp;F825,IMPORTRANGE(""https://docs.google.com/spreadsheets/d/1Uw7-A9f9R21vMXxHZFNpYNeKFtG8_yji4HS352LGlSQ/edit?pli=1#gid=0"",""1_ACUM!A4:S""),18,FALSE))"),"")</f>
        <v/>
      </c>
      <c r="BF559" s="44" t="str">
        <f ca="1">IFERROR(__xludf.DUMMYFUNCTION("IFERROR(VLOOKUP(E825&amp;F825,IMPORTRANGE(""https://docs.google.com/spreadsheets/d/1Uw7-A9f9R21vMXxHZFNpYNeKFtG8_yji4HS352LGlSQ/edit?pli=1#gid=0"",""1_ACUM!A4:S""),19,FALSE))"),"")</f>
        <v/>
      </c>
      <c r="BG559" s="98" t="str">
        <f ca="1">IFERROR(__xludf.DUMMYFUNCTION("IFERROR(VLOOKUP(F825,IMPORTRANGE(""https://docs.google.com/spreadsheets/d/1Kvs4KS76FHFqLFIZfrDMff4kP08nblUkihrxltoGBjg/edit#gid=934712705"",""ESENCIAL!A6:BG""),5,FALSE))"),"")</f>
        <v/>
      </c>
      <c r="BH559" s="98" t="str">
        <f t="shared" si="25"/>
        <v/>
      </c>
      <c r="BI559" s="99" t="str">
        <f t="shared" si="26"/>
        <v/>
      </c>
      <c r="BJ559" s="100" t="str">
        <f ca="1">IFERROR(__xludf.DUMMYFUNCTION("IFERROR(VLOOKUP(F825,IMPORTRANGE(""https://docs.google.com/spreadsheets/d/1Kvs4KS76FHFqLFIZfrDMff4kP08nblUkihrxltoGBjg/edit#gid=934712705"",""ESENCIAL!A6:BG""),2,FALSE))"),"")</f>
        <v/>
      </c>
      <c r="BK559" s="19" t="str">
        <f t="shared" si="27"/>
        <v/>
      </c>
      <c r="BL559" s="100"/>
      <c r="BM559" s="100"/>
    </row>
    <row r="560" spans="2:65" ht="15">
      <c r="B560" s="39"/>
      <c r="C560" s="5"/>
      <c r="D560" s="123"/>
      <c r="E560" s="39"/>
      <c r="F560" s="39"/>
      <c r="G560" s="39"/>
      <c r="H560" s="5" t="str">
        <f ca="1">IFERROR(__xludf.DUMMYFUNCTION("IFERROR(VLOOKUP(F826,IMPORTRANGE(""https://docs.google.com/spreadsheets/d/1Kvs4KS76FHFqLFIZfrDMff4kP08nblUkihrxltoGBjg/edit#gid=934712705"",""ESENCIAL!A6:BG""),3,FALSE))"),"")</f>
        <v/>
      </c>
      <c r="I560" s="5" t="str">
        <f ca="1">IFERROR(__xludf.DUMMYFUNCTION("IFERROR(VLOOKUP(F826,IMPORTRANGE(""https://docs.google.com/spreadsheets/d/1Kvs4KS76FHFqLFIZfrDMff4kP08nblUkihrxltoGBjg/edit#gid=934712705"",""ESENCIAL!A6:BG""),8,FALSE))"),"")</f>
        <v/>
      </c>
      <c r="J560" s="39"/>
      <c r="M560" s="40"/>
      <c r="AV560" s="41" t="str">
        <f t="shared" si="24"/>
        <v/>
      </c>
      <c r="AW560" s="5" t="str">
        <f ca="1">IFERROR(__xludf.DUMMYFUNCTION("IFERROR(VLOOKUP(E826&amp;F826,IMPORTRANGE(""https://docs.google.com/spreadsheets/d/1Uw7-A9f9R21vMXxHZFNpYNeKFtG8_yji4HS352LGlSQ/edit?pli=1#gid=0"",""1_ACUM!A4:S""),11,FALSE))"),"")</f>
        <v/>
      </c>
      <c r="AX560" s="42" t="str">
        <f ca="1">IFERROR(__xludf.DUMMYFUNCTION("IFERROR(VLOOKUP(F826,IMPORTRANGE(""https://docs.google.com/spreadsheets/d/1Kvs4KS76FHFqLFIZfrDMff4kP08nblUkihrxltoGBjg/edit#gid=934712705"",""ESENCIAL!A6:BG""),15,FALSE))"),"")</f>
        <v/>
      </c>
      <c r="AY560" s="110" t="str">
        <f ca="1">IFERROR(__xludf.DUMMYFUNCTION("IFERROR(VLOOKUP(E826&amp;F826,IMPORTRANGE(""https://docs.google.com/spreadsheets/d/1Uw7-A9f9R21vMXxHZFNpYNeKFtG8_yji4HS352LGlSQ/edit?pli=1#gid=0"",""1_ACUM!A4:S""),13,FALSE))"),"")</f>
        <v/>
      </c>
      <c r="AZ560" s="43" t="str">
        <f ca="1">IFERROR(__xludf.DUMMYFUNCTION("IFERROR(VLOOKUP(E826&amp;F826,IMPORTRANGE(""https://docs.google.com/spreadsheets/d/1Uw7-A9f9R21vMXxHZFNpYNeKFtG8_yji4HS352LGlSQ/edit?pli=1#gid=0"",""1_ACUM!A4:S""),13,FALSE))"),"")</f>
        <v/>
      </c>
      <c r="BA560" s="43" t="str">
        <f ca="1">IFERROR(__xludf.DUMMYFUNCTION("IFERROR(VLOOKUP(E826&amp;F826,IMPORTRANGE(""https://docs.google.com/spreadsheets/d/1Uw7-A9f9R21vMXxHZFNpYNeKFtG8_yji4HS352LGlSQ/edit?pli=1#gid=0"",""1_ACUM!A4:S""),14,FALSE))"),"")</f>
        <v/>
      </c>
      <c r="BB560" s="43" t="str">
        <f ca="1">IFERROR(__xludf.DUMMYFUNCTION("IFERROR(VLOOKUP(E826&amp;F826,IMPORTRANGE(""https://docs.google.com/spreadsheets/d/1Uw7-A9f9R21vMXxHZFNpYNeKFtG8_yji4HS352LGlSQ/edit?pli=1#gid=0"",""1_ACUM!A4:S""),15,FALSE))"),"")</f>
        <v/>
      </c>
      <c r="BC560" s="43" t="str">
        <f ca="1">IFERROR(__xludf.DUMMYFUNCTION("IFERROR(VLOOKUP(E826&amp;F826,IMPORTRANGE(""https://docs.google.com/spreadsheets/d/1Uw7-A9f9R21vMXxHZFNpYNeKFtG8_yji4HS352LGlSQ/edit?pli=1#gid=0"",""1_ACUM!A4:S""),16,FALSE))"),"")</f>
        <v/>
      </c>
      <c r="BD560" s="43" t="str">
        <f ca="1">IFERROR(__xludf.DUMMYFUNCTION("IFERROR(VLOOKUP(E826&amp;F826,IMPORTRANGE(""https://docs.google.com/spreadsheets/d/1Uw7-A9f9R21vMXxHZFNpYNeKFtG8_yji4HS352LGlSQ/edit?pli=1#gid=0"",""1_ACUM!A4:S""),17,FALSE))"),"")</f>
        <v/>
      </c>
      <c r="BE560" s="44" t="str">
        <f ca="1">IFERROR(__xludf.DUMMYFUNCTION("IFERROR(VLOOKUP(E826&amp;F826,IMPORTRANGE(""https://docs.google.com/spreadsheets/d/1Uw7-A9f9R21vMXxHZFNpYNeKFtG8_yji4HS352LGlSQ/edit?pli=1#gid=0"",""1_ACUM!A4:S""),18,FALSE))"),"")</f>
        <v/>
      </c>
      <c r="BF560" s="44" t="str">
        <f ca="1">IFERROR(__xludf.DUMMYFUNCTION("IFERROR(VLOOKUP(E826&amp;F826,IMPORTRANGE(""https://docs.google.com/spreadsheets/d/1Uw7-A9f9R21vMXxHZFNpYNeKFtG8_yji4HS352LGlSQ/edit?pli=1#gid=0"",""1_ACUM!A4:S""),19,FALSE))"),"")</f>
        <v/>
      </c>
      <c r="BG560" s="98" t="str">
        <f ca="1">IFERROR(__xludf.DUMMYFUNCTION("IFERROR(VLOOKUP(F826,IMPORTRANGE(""https://docs.google.com/spreadsheets/d/1Kvs4KS76FHFqLFIZfrDMff4kP08nblUkihrxltoGBjg/edit#gid=934712705"",""ESENCIAL!A6:BG""),5,FALSE))"),"")</f>
        <v/>
      </c>
      <c r="BH560" s="98" t="str">
        <f t="shared" si="25"/>
        <v/>
      </c>
      <c r="BI560" s="99" t="str">
        <f t="shared" si="26"/>
        <v/>
      </c>
      <c r="BJ560" s="100" t="str">
        <f ca="1">IFERROR(__xludf.DUMMYFUNCTION("IFERROR(VLOOKUP(F826,IMPORTRANGE(""https://docs.google.com/spreadsheets/d/1Kvs4KS76FHFqLFIZfrDMff4kP08nblUkihrxltoGBjg/edit#gid=934712705"",""ESENCIAL!A6:BG""),2,FALSE))"),"")</f>
        <v/>
      </c>
      <c r="BK560" s="19" t="str">
        <f t="shared" si="27"/>
        <v/>
      </c>
      <c r="BL560" s="100"/>
      <c r="BM560" s="100"/>
    </row>
    <row r="561" spans="2:65" ht="15">
      <c r="B561" s="39"/>
      <c r="C561" s="5"/>
      <c r="D561" s="123"/>
      <c r="E561" s="39"/>
      <c r="F561" s="39"/>
      <c r="G561" s="39"/>
      <c r="H561" s="5" t="str">
        <f ca="1">IFERROR(__xludf.DUMMYFUNCTION("IFERROR(VLOOKUP(F827,IMPORTRANGE(""https://docs.google.com/spreadsheets/d/1Kvs4KS76FHFqLFIZfrDMff4kP08nblUkihrxltoGBjg/edit#gid=934712705"",""ESENCIAL!A6:BG""),3,FALSE))"),"")</f>
        <v/>
      </c>
      <c r="I561" s="5" t="str">
        <f ca="1">IFERROR(__xludf.DUMMYFUNCTION("IFERROR(VLOOKUP(F827,IMPORTRANGE(""https://docs.google.com/spreadsheets/d/1Kvs4KS76FHFqLFIZfrDMff4kP08nblUkihrxltoGBjg/edit#gid=934712705"",""ESENCIAL!A6:BG""),8,FALSE))"),"")</f>
        <v/>
      </c>
      <c r="J561" s="39"/>
      <c r="M561" s="40"/>
      <c r="AV561" s="41" t="str">
        <f t="shared" si="24"/>
        <v/>
      </c>
      <c r="AW561" s="5" t="str">
        <f ca="1">IFERROR(__xludf.DUMMYFUNCTION("IFERROR(VLOOKUP(E827&amp;F827,IMPORTRANGE(""https://docs.google.com/spreadsheets/d/1Uw7-A9f9R21vMXxHZFNpYNeKFtG8_yji4HS352LGlSQ/edit?pli=1#gid=0"",""1_ACUM!A4:S""),11,FALSE))"),"")</f>
        <v/>
      </c>
      <c r="AX561" s="42" t="str">
        <f ca="1">IFERROR(__xludf.DUMMYFUNCTION("IFERROR(VLOOKUP(F827,IMPORTRANGE(""https://docs.google.com/spreadsheets/d/1Kvs4KS76FHFqLFIZfrDMff4kP08nblUkihrxltoGBjg/edit#gid=934712705"",""ESENCIAL!A6:BG""),15,FALSE))"),"")</f>
        <v/>
      </c>
      <c r="AY561" s="110" t="str">
        <f ca="1">IFERROR(__xludf.DUMMYFUNCTION("IFERROR(VLOOKUP(E827&amp;F827,IMPORTRANGE(""https://docs.google.com/spreadsheets/d/1Uw7-A9f9R21vMXxHZFNpYNeKFtG8_yji4HS352LGlSQ/edit?pli=1#gid=0"",""1_ACUM!A4:S""),13,FALSE))"),"")</f>
        <v/>
      </c>
      <c r="AZ561" s="43" t="str">
        <f ca="1">IFERROR(__xludf.DUMMYFUNCTION("IFERROR(VLOOKUP(E827&amp;F827,IMPORTRANGE(""https://docs.google.com/spreadsheets/d/1Uw7-A9f9R21vMXxHZFNpYNeKFtG8_yji4HS352LGlSQ/edit?pli=1#gid=0"",""1_ACUM!A4:S""),13,FALSE))"),"")</f>
        <v/>
      </c>
      <c r="BA561" s="43" t="str">
        <f ca="1">IFERROR(__xludf.DUMMYFUNCTION("IFERROR(VLOOKUP(E827&amp;F827,IMPORTRANGE(""https://docs.google.com/spreadsheets/d/1Uw7-A9f9R21vMXxHZFNpYNeKFtG8_yji4HS352LGlSQ/edit?pli=1#gid=0"",""1_ACUM!A4:S""),14,FALSE))"),"")</f>
        <v/>
      </c>
      <c r="BB561" s="43" t="str">
        <f ca="1">IFERROR(__xludf.DUMMYFUNCTION("IFERROR(VLOOKUP(E827&amp;F827,IMPORTRANGE(""https://docs.google.com/spreadsheets/d/1Uw7-A9f9R21vMXxHZFNpYNeKFtG8_yji4HS352LGlSQ/edit?pli=1#gid=0"",""1_ACUM!A4:S""),15,FALSE))"),"")</f>
        <v/>
      </c>
      <c r="BC561" s="43" t="str">
        <f ca="1">IFERROR(__xludf.DUMMYFUNCTION("IFERROR(VLOOKUP(E827&amp;F827,IMPORTRANGE(""https://docs.google.com/spreadsheets/d/1Uw7-A9f9R21vMXxHZFNpYNeKFtG8_yji4HS352LGlSQ/edit?pli=1#gid=0"",""1_ACUM!A4:S""),16,FALSE))"),"")</f>
        <v/>
      </c>
      <c r="BD561" s="43" t="str">
        <f ca="1">IFERROR(__xludf.DUMMYFUNCTION("IFERROR(VLOOKUP(E827&amp;F827,IMPORTRANGE(""https://docs.google.com/spreadsheets/d/1Uw7-A9f9R21vMXxHZFNpYNeKFtG8_yji4HS352LGlSQ/edit?pli=1#gid=0"",""1_ACUM!A4:S""),17,FALSE))"),"")</f>
        <v/>
      </c>
      <c r="BE561" s="44" t="str">
        <f ca="1">IFERROR(__xludf.DUMMYFUNCTION("IFERROR(VLOOKUP(E827&amp;F827,IMPORTRANGE(""https://docs.google.com/spreadsheets/d/1Uw7-A9f9R21vMXxHZFNpYNeKFtG8_yji4HS352LGlSQ/edit?pli=1#gid=0"",""1_ACUM!A4:S""),18,FALSE))"),"")</f>
        <v/>
      </c>
      <c r="BF561" s="44" t="str">
        <f ca="1">IFERROR(__xludf.DUMMYFUNCTION("IFERROR(VLOOKUP(E827&amp;F827,IMPORTRANGE(""https://docs.google.com/spreadsheets/d/1Uw7-A9f9R21vMXxHZFNpYNeKFtG8_yji4HS352LGlSQ/edit?pli=1#gid=0"",""1_ACUM!A4:S""),19,FALSE))"),"")</f>
        <v/>
      </c>
      <c r="BG561" s="98" t="str">
        <f ca="1">IFERROR(__xludf.DUMMYFUNCTION("IFERROR(VLOOKUP(F827,IMPORTRANGE(""https://docs.google.com/spreadsheets/d/1Kvs4KS76FHFqLFIZfrDMff4kP08nblUkihrxltoGBjg/edit#gid=934712705"",""ESENCIAL!A6:BG""),5,FALSE))"),"")</f>
        <v/>
      </c>
      <c r="BH561" s="98" t="str">
        <f t="shared" si="25"/>
        <v/>
      </c>
      <c r="BI561" s="99" t="str">
        <f t="shared" si="26"/>
        <v/>
      </c>
      <c r="BJ561" s="100" t="str">
        <f ca="1">IFERROR(__xludf.DUMMYFUNCTION("IFERROR(VLOOKUP(F827,IMPORTRANGE(""https://docs.google.com/spreadsheets/d/1Kvs4KS76FHFqLFIZfrDMff4kP08nblUkihrxltoGBjg/edit#gid=934712705"",""ESENCIAL!A6:BG""),2,FALSE))"),"")</f>
        <v/>
      </c>
      <c r="BK561" s="19" t="str">
        <f t="shared" si="27"/>
        <v/>
      </c>
      <c r="BL561" s="100"/>
      <c r="BM561" s="100"/>
    </row>
    <row r="562" spans="2:65" ht="15">
      <c r="B562" s="39"/>
      <c r="C562" s="5"/>
      <c r="D562" s="123"/>
      <c r="E562" s="39"/>
      <c r="F562" s="39"/>
      <c r="G562" s="39"/>
      <c r="H562" s="5" t="str">
        <f ca="1">IFERROR(__xludf.DUMMYFUNCTION("IFERROR(VLOOKUP(F828,IMPORTRANGE(""https://docs.google.com/spreadsheets/d/1Kvs4KS76FHFqLFIZfrDMff4kP08nblUkihrxltoGBjg/edit#gid=934712705"",""ESENCIAL!A6:BG""),3,FALSE))"),"")</f>
        <v/>
      </c>
      <c r="I562" s="5" t="str">
        <f ca="1">IFERROR(__xludf.DUMMYFUNCTION("IFERROR(VLOOKUP(F828,IMPORTRANGE(""https://docs.google.com/spreadsheets/d/1Kvs4KS76FHFqLFIZfrDMff4kP08nblUkihrxltoGBjg/edit#gid=934712705"",""ESENCIAL!A6:BG""),8,FALSE))"),"")</f>
        <v/>
      </c>
      <c r="J562" s="39"/>
      <c r="M562" s="40"/>
      <c r="AV562" s="41" t="str">
        <f t="shared" si="24"/>
        <v/>
      </c>
      <c r="AW562" s="5" t="str">
        <f ca="1">IFERROR(__xludf.DUMMYFUNCTION("IFERROR(VLOOKUP(E828&amp;F828,IMPORTRANGE(""https://docs.google.com/spreadsheets/d/1Uw7-A9f9R21vMXxHZFNpYNeKFtG8_yji4HS352LGlSQ/edit?pli=1#gid=0"",""1_ACUM!A4:S""),11,FALSE))"),"")</f>
        <v/>
      </c>
      <c r="AX562" s="42" t="str">
        <f ca="1">IFERROR(__xludf.DUMMYFUNCTION("IFERROR(VLOOKUP(F828,IMPORTRANGE(""https://docs.google.com/spreadsheets/d/1Kvs4KS76FHFqLFIZfrDMff4kP08nblUkihrxltoGBjg/edit#gid=934712705"",""ESENCIAL!A6:BG""),15,FALSE))"),"")</f>
        <v/>
      </c>
      <c r="AY562" s="110" t="str">
        <f ca="1">IFERROR(__xludf.DUMMYFUNCTION("IFERROR(VLOOKUP(E828&amp;F828,IMPORTRANGE(""https://docs.google.com/spreadsheets/d/1Uw7-A9f9R21vMXxHZFNpYNeKFtG8_yji4HS352LGlSQ/edit?pli=1#gid=0"",""1_ACUM!A4:S""),13,FALSE))"),"")</f>
        <v/>
      </c>
      <c r="AZ562" s="43" t="str">
        <f ca="1">IFERROR(__xludf.DUMMYFUNCTION("IFERROR(VLOOKUP(E828&amp;F828,IMPORTRANGE(""https://docs.google.com/spreadsheets/d/1Uw7-A9f9R21vMXxHZFNpYNeKFtG8_yji4HS352LGlSQ/edit?pli=1#gid=0"",""1_ACUM!A4:S""),13,FALSE))"),"")</f>
        <v/>
      </c>
      <c r="BA562" s="43" t="str">
        <f ca="1">IFERROR(__xludf.DUMMYFUNCTION("IFERROR(VLOOKUP(E828&amp;F828,IMPORTRANGE(""https://docs.google.com/spreadsheets/d/1Uw7-A9f9R21vMXxHZFNpYNeKFtG8_yji4HS352LGlSQ/edit?pli=1#gid=0"",""1_ACUM!A4:S""),14,FALSE))"),"")</f>
        <v/>
      </c>
      <c r="BB562" s="43" t="str">
        <f ca="1">IFERROR(__xludf.DUMMYFUNCTION("IFERROR(VLOOKUP(E828&amp;F828,IMPORTRANGE(""https://docs.google.com/spreadsheets/d/1Uw7-A9f9R21vMXxHZFNpYNeKFtG8_yji4HS352LGlSQ/edit?pli=1#gid=0"",""1_ACUM!A4:S""),15,FALSE))"),"")</f>
        <v/>
      </c>
      <c r="BC562" s="43" t="str">
        <f ca="1">IFERROR(__xludf.DUMMYFUNCTION("IFERROR(VLOOKUP(E828&amp;F828,IMPORTRANGE(""https://docs.google.com/spreadsheets/d/1Uw7-A9f9R21vMXxHZFNpYNeKFtG8_yji4HS352LGlSQ/edit?pli=1#gid=0"",""1_ACUM!A4:S""),16,FALSE))"),"")</f>
        <v/>
      </c>
      <c r="BD562" s="43" t="str">
        <f ca="1">IFERROR(__xludf.DUMMYFUNCTION("IFERROR(VLOOKUP(E828&amp;F828,IMPORTRANGE(""https://docs.google.com/spreadsheets/d/1Uw7-A9f9R21vMXxHZFNpYNeKFtG8_yji4HS352LGlSQ/edit?pli=1#gid=0"",""1_ACUM!A4:S""),17,FALSE))"),"")</f>
        <v/>
      </c>
      <c r="BE562" s="44" t="str">
        <f ca="1">IFERROR(__xludf.DUMMYFUNCTION("IFERROR(VLOOKUP(E828&amp;F828,IMPORTRANGE(""https://docs.google.com/spreadsheets/d/1Uw7-A9f9R21vMXxHZFNpYNeKFtG8_yji4HS352LGlSQ/edit?pli=1#gid=0"",""1_ACUM!A4:S""),18,FALSE))"),"")</f>
        <v/>
      </c>
      <c r="BF562" s="44" t="str">
        <f ca="1">IFERROR(__xludf.DUMMYFUNCTION("IFERROR(VLOOKUP(E828&amp;F828,IMPORTRANGE(""https://docs.google.com/spreadsheets/d/1Uw7-A9f9R21vMXxHZFNpYNeKFtG8_yji4HS352LGlSQ/edit?pli=1#gid=0"",""1_ACUM!A4:S""),19,FALSE))"),"")</f>
        <v/>
      </c>
      <c r="BG562" s="98" t="str">
        <f ca="1">IFERROR(__xludf.DUMMYFUNCTION("IFERROR(VLOOKUP(F828,IMPORTRANGE(""https://docs.google.com/spreadsheets/d/1Kvs4KS76FHFqLFIZfrDMff4kP08nblUkihrxltoGBjg/edit#gid=934712705"",""ESENCIAL!A6:BG""),5,FALSE))"),"")</f>
        <v/>
      </c>
      <c r="BH562" s="98" t="str">
        <f t="shared" si="25"/>
        <v/>
      </c>
      <c r="BI562" s="99" t="str">
        <f t="shared" si="26"/>
        <v/>
      </c>
      <c r="BJ562" s="100" t="str">
        <f ca="1">IFERROR(__xludf.DUMMYFUNCTION("IFERROR(VLOOKUP(F828,IMPORTRANGE(""https://docs.google.com/spreadsheets/d/1Kvs4KS76FHFqLFIZfrDMff4kP08nblUkihrxltoGBjg/edit#gid=934712705"",""ESENCIAL!A6:BG""),2,FALSE))"),"")</f>
        <v/>
      </c>
      <c r="BK562" s="19" t="str">
        <f t="shared" si="27"/>
        <v/>
      </c>
      <c r="BL562" s="100"/>
      <c r="BM562" s="100"/>
    </row>
    <row r="563" spans="2:65" ht="15">
      <c r="B563" s="39"/>
      <c r="C563" s="5"/>
      <c r="D563" s="123"/>
      <c r="E563" s="39"/>
      <c r="F563" s="39"/>
      <c r="G563" s="39"/>
      <c r="H563" s="5" t="str">
        <f ca="1">IFERROR(__xludf.DUMMYFUNCTION("IFERROR(VLOOKUP(F829,IMPORTRANGE(""https://docs.google.com/spreadsheets/d/1Kvs4KS76FHFqLFIZfrDMff4kP08nblUkihrxltoGBjg/edit#gid=934712705"",""ESENCIAL!A6:BG""),3,FALSE))"),"")</f>
        <v/>
      </c>
      <c r="I563" s="5" t="str">
        <f ca="1">IFERROR(__xludf.DUMMYFUNCTION("IFERROR(VLOOKUP(F829,IMPORTRANGE(""https://docs.google.com/spreadsheets/d/1Kvs4KS76FHFqLFIZfrDMff4kP08nblUkihrxltoGBjg/edit#gid=934712705"",""ESENCIAL!A6:BG""),8,FALSE))"),"")</f>
        <v/>
      </c>
      <c r="J563" s="39"/>
      <c r="M563" s="40"/>
      <c r="AV563" s="41" t="str">
        <f t="shared" si="24"/>
        <v/>
      </c>
      <c r="AW563" s="5" t="str">
        <f ca="1">IFERROR(__xludf.DUMMYFUNCTION("IFERROR(VLOOKUP(E829&amp;F829,IMPORTRANGE(""https://docs.google.com/spreadsheets/d/1Uw7-A9f9R21vMXxHZFNpYNeKFtG8_yji4HS352LGlSQ/edit?pli=1#gid=0"",""1_ACUM!A4:S""),11,FALSE))"),"")</f>
        <v/>
      </c>
      <c r="AX563" s="42" t="str">
        <f ca="1">IFERROR(__xludf.DUMMYFUNCTION("IFERROR(VLOOKUP(F829,IMPORTRANGE(""https://docs.google.com/spreadsheets/d/1Kvs4KS76FHFqLFIZfrDMff4kP08nblUkihrxltoGBjg/edit#gid=934712705"",""ESENCIAL!A6:BG""),15,FALSE))"),"")</f>
        <v/>
      </c>
      <c r="AY563" s="110" t="str">
        <f ca="1">IFERROR(__xludf.DUMMYFUNCTION("IFERROR(VLOOKUP(E829&amp;F829,IMPORTRANGE(""https://docs.google.com/spreadsheets/d/1Uw7-A9f9R21vMXxHZFNpYNeKFtG8_yji4HS352LGlSQ/edit?pli=1#gid=0"",""1_ACUM!A4:S""),13,FALSE))"),"")</f>
        <v/>
      </c>
      <c r="AZ563" s="43" t="str">
        <f ca="1">IFERROR(__xludf.DUMMYFUNCTION("IFERROR(VLOOKUP(E829&amp;F829,IMPORTRANGE(""https://docs.google.com/spreadsheets/d/1Uw7-A9f9R21vMXxHZFNpYNeKFtG8_yji4HS352LGlSQ/edit?pli=1#gid=0"",""1_ACUM!A4:S""),13,FALSE))"),"")</f>
        <v/>
      </c>
      <c r="BA563" s="43" t="str">
        <f ca="1">IFERROR(__xludf.DUMMYFUNCTION("IFERROR(VLOOKUP(E829&amp;F829,IMPORTRANGE(""https://docs.google.com/spreadsheets/d/1Uw7-A9f9R21vMXxHZFNpYNeKFtG8_yji4HS352LGlSQ/edit?pli=1#gid=0"",""1_ACUM!A4:S""),14,FALSE))"),"")</f>
        <v/>
      </c>
      <c r="BB563" s="43" t="str">
        <f ca="1">IFERROR(__xludf.DUMMYFUNCTION("IFERROR(VLOOKUP(E829&amp;F829,IMPORTRANGE(""https://docs.google.com/spreadsheets/d/1Uw7-A9f9R21vMXxHZFNpYNeKFtG8_yji4HS352LGlSQ/edit?pli=1#gid=0"",""1_ACUM!A4:S""),15,FALSE))"),"")</f>
        <v/>
      </c>
      <c r="BC563" s="43" t="str">
        <f ca="1">IFERROR(__xludf.DUMMYFUNCTION("IFERROR(VLOOKUP(E829&amp;F829,IMPORTRANGE(""https://docs.google.com/spreadsheets/d/1Uw7-A9f9R21vMXxHZFNpYNeKFtG8_yji4HS352LGlSQ/edit?pli=1#gid=0"",""1_ACUM!A4:S""),16,FALSE))"),"")</f>
        <v/>
      </c>
      <c r="BD563" s="43" t="str">
        <f ca="1">IFERROR(__xludf.DUMMYFUNCTION("IFERROR(VLOOKUP(E829&amp;F829,IMPORTRANGE(""https://docs.google.com/spreadsheets/d/1Uw7-A9f9R21vMXxHZFNpYNeKFtG8_yji4HS352LGlSQ/edit?pli=1#gid=0"",""1_ACUM!A4:S""),17,FALSE))"),"")</f>
        <v/>
      </c>
      <c r="BE563" s="44" t="str">
        <f ca="1">IFERROR(__xludf.DUMMYFUNCTION("IFERROR(VLOOKUP(E829&amp;F829,IMPORTRANGE(""https://docs.google.com/spreadsheets/d/1Uw7-A9f9R21vMXxHZFNpYNeKFtG8_yji4HS352LGlSQ/edit?pli=1#gid=0"",""1_ACUM!A4:S""),18,FALSE))"),"")</f>
        <v/>
      </c>
      <c r="BF563" s="44" t="str">
        <f ca="1">IFERROR(__xludf.DUMMYFUNCTION("IFERROR(VLOOKUP(E829&amp;F829,IMPORTRANGE(""https://docs.google.com/spreadsheets/d/1Uw7-A9f9R21vMXxHZFNpYNeKFtG8_yji4HS352LGlSQ/edit?pli=1#gid=0"",""1_ACUM!A4:S""),19,FALSE))"),"")</f>
        <v/>
      </c>
      <c r="BG563" s="98" t="str">
        <f ca="1">IFERROR(__xludf.DUMMYFUNCTION("IFERROR(VLOOKUP(F829,IMPORTRANGE(""https://docs.google.com/spreadsheets/d/1Kvs4KS76FHFqLFIZfrDMff4kP08nblUkihrxltoGBjg/edit#gid=934712705"",""ESENCIAL!A6:BG""),5,FALSE))"),"")</f>
        <v/>
      </c>
      <c r="BH563" s="98" t="str">
        <f t="shared" si="25"/>
        <v/>
      </c>
      <c r="BI563" s="99" t="str">
        <f t="shared" si="26"/>
        <v/>
      </c>
      <c r="BJ563" s="100" t="str">
        <f ca="1">IFERROR(__xludf.DUMMYFUNCTION("IFERROR(VLOOKUP(F829,IMPORTRANGE(""https://docs.google.com/spreadsheets/d/1Kvs4KS76FHFqLFIZfrDMff4kP08nblUkihrxltoGBjg/edit#gid=934712705"",""ESENCIAL!A6:BG""),2,FALSE))"),"")</f>
        <v/>
      </c>
      <c r="BK563" s="19" t="str">
        <f t="shared" si="27"/>
        <v/>
      </c>
      <c r="BL563" s="100"/>
      <c r="BM563" s="100"/>
    </row>
    <row r="564" spans="2:65" ht="15">
      <c r="B564" s="39"/>
      <c r="C564" s="5"/>
      <c r="D564" s="123"/>
      <c r="E564" s="39"/>
      <c r="F564" s="39"/>
      <c r="G564" s="39"/>
      <c r="H564" s="5" t="str">
        <f ca="1">IFERROR(__xludf.DUMMYFUNCTION("IFERROR(VLOOKUP(F830,IMPORTRANGE(""https://docs.google.com/spreadsheets/d/1Kvs4KS76FHFqLFIZfrDMff4kP08nblUkihrxltoGBjg/edit#gid=934712705"",""ESENCIAL!A6:BG""),3,FALSE))"),"")</f>
        <v/>
      </c>
      <c r="I564" s="5" t="str">
        <f ca="1">IFERROR(__xludf.DUMMYFUNCTION("IFERROR(VLOOKUP(F830,IMPORTRANGE(""https://docs.google.com/spreadsheets/d/1Kvs4KS76FHFqLFIZfrDMff4kP08nblUkihrxltoGBjg/edit#gid=934712705"",""ESENCIAL!A6:BG""),8,FALSE))"),"")</f>
        <v/>
      </c>
      <c r="J564" s="39"/>
      <c r="M564" s="40"/>
      <c r="AV564" s="41" t="str">
        <f t="shared" si="24"/>
        <v/>
      </c>
      <c r="AW564" s="5" t="str">
        <f ca="1">IFERROR(__xludf.DUMMYFUNCTION("IFERROR(VLOOKUP(E830&amp;F830,IMPORTRANGE(""https://docs.google.com/spreadsheets/d/1Uw7-A9f9R21vMXxHZFNpYNeKFtG8_yji4HS352LGlSQ/edit?pli=1#gid=0"",""1_ACUM!A4:S""),11,FALSE))"),"")</f>
        <v/>
      </c>
      <c r="AX564" s="42" t="str">
        <f ca="1">IFERROR(__xludf.DUMMYFUNCTION("IFERROR(VLOOKUP(F830,IMPORTRANGE(""https://docs.google.com/spreadsheets/d/1Kvs4KS76FHFqLFIZfrDMff4kP08nblUkihrxltoGBjg/edit#gid=934712705"",""ESENCIAL!A6:BG""),15,FALSE))"),"")</f>
        <v/>
      </c>
      <c r="AY564" s="110" t="str">
        <f ca="1">IFERROR(__xludf.DUMMYFUNCTION("IFERROR(VLOOKUP(E830&amp;F830,IMPORTRANGE(""https://docs.google.com/spreadsheets/d/1Uw7-A9f9R21vMXxHZFNpYNeKFtG8_yji4HS352LGlSQ/edit?pli=1#gid=0"",""1_ACUM!A4:S""),13,FALSE))"),"")</f>
        <v/>
      </c>
      <c r="AZ564" s="43" t="str">
        <f ca="1">IFERROR(__xludf.DUMMYFUNCTION("IFERROR(VLOOKUP(E830&amp;F830,IMPORTRANGE(""https://docs.google.com/spreadsheets/d/1Uw7-A9f9R21vMXxHZFNpYNeKFtG8_yji4HS352LGlSQ/edit?pli=1#gid=0"",""1_ACUM!A4:S""),13,FALSE))"),"")</f>
        <v/>
      </c>
      <c r="BA564" s="43" t="str">
        <f ca="1">IFERROR(__xludf.DUMMYFUNCTION("IFERROR(VLOOKUP(E830&amp;F830,IMPORTRANGE(""https://docs.google.com/spreadsheets/d/1Uw7-A9f9R21vMXxHZFNpYNeKFtG8_yji4HS352LGlSQ/edit?pli=1#gid=0"",""1_ACUM!A4:S""),14,FALSE))"),"")</f>
        <v/>
      </c>
      <c r="BB564" s="43" t="str">
        <f ca="1">IFERROR(__xludf.DUMMYFUNCTION("IFERROR(VLOOKUP(E830&amp;F830,IMPORTRANGE(""https://docs.google.com/spreadsheets/d/1Uw7-A9f9R21vMXxHZFNpYNeKFtG8_yji4HS352LGlSQ/edit?pli=1#gid=0"",""1_ACUM!A4:S""),15,FALSE))"),"")</f>
        <v/>
      </c>
      <c r="BC564" s="43" t="str">
        <f ca="1">IFERROR(__xludf.DUMMYFUNCTION("IFERROR(VLOOKUP(E830&amp;F830,IMPORTRANGE(""https://docs.google.com/spreadsheets/d/1Uw7-A9f9R21vMXxHZFNpYNeKFtG8_yji4HS352LGlSQ/edit?pli=1#gid=0"",""1_ACUM!A4:S""),16,FALSE))"),"")</f>
        <v/>
      </c>
      <c r="BD564" s="43" t="str">
        <f ca="1">IFERROR(__xludf.DUMMYFUNCTION("IFERROR(VLOOKUP(E830&amp;F830,IMPORTRANGE(""https://docs.google.com/spreadsheets/d/1Uw7-A9f9R21vMXxHZFNpYNeKFtG8_yji4HS352LGlSQ/edit?pli=1#gid=0"",""1_ACUM!A4:S""),17,FALSE))"),"")</f>
        <v/>
      </c>
      <c r="BE564" s="44" t="str">
        <f ca="1">IFERROR(__xludf.DUMMYFUNCTION("IFERROR(VLOOKUP(E830&amp;F830,IMPORTRANGE(""https://docs.google.com/spreadsheets/d/1Uw7-A9f9R21vMXxHZFNpYNeKFtG8_yji4HS352LGlSQ/edit?pli=1#gid=0"",""1_ACUM!A4:S""),18,FALSE))"),"")</f>
        <v/>
      </c>
      <c r="BF564" s="44" t="str">
        <f ca="1">IFERROR(__xludf.DUMMYFUNCTION("IFERROR(VLOOKUP(E830&amp;F830,IMPORTRANGE(""https://docs.google.com/spreadsheets/d/1Uw7-A9f9R21vMXxHZFNpYNeKFtG8_yji4HS352LGlSQ/edit?pli=1#gid=0"",""1_ACUM!A4:S""),19,FALSE))"),"")</f>
        <v/>
      </c>
      <c r="BG564" s="98" t="str">
        <f ca="1">IFERROR(__xludf.DUMMYFUNCTION("IFERROR(VLOOKUP(F830,IMPORTRANGE(""https://docs.google.com/spreadsheets/d/1Kvs4KS76FHFqLFIZfrDMff4kP08nblUkihrxltoGBjg/edit#gid=934712705"",""ESENCIAL!A6:BG""),5,FALSE))"),"")</f>
        <v/>
      </c>
      <c r="BH564" s="98" t="str">
        <f t="shared" si="25"/>
        <v/>
      </c>
      <c r="BI564" s="99" t="str">
        <f t="shared" si="26"/>
        <v/>
      </c>
      <c r="BJ564" s="100" t="str">
        <f ca="1">IFERROR(__xludf.DUMMYFUNCTION("IFERROR(VLOOKUP(F830,IMPORTRANGE(""https://docs.google.com/spreadsheets/d/1Kvs4KS76FHFqLFIZfrDMff4kP08nblUkihrxltoGBjg/edit#gid=934712705"",""ESENCIAL!A6:BG""),2,FALSE))"),"")</f>
        <v/>
      </c>
      <c r="BK564" s="19" t="str">
        <f t="shared" si="27"/>
        <v/>
      </c>
      <c r="BL564" s="100"/>
      <c r="BM564" s="100"/>
    </row>
    <row r="565" spans="2:65" ht="15">
      <c r="B565" s="39"/>
      <c r="C565" s="5"/>
      <c r="D565" s="123"/>
      <c r="E565" s="39"/>
      <c r="F565" s="39"/>
      <c r="G565" s="39"/>
      <c r="H565" s="5" t="str">
        <f ca="1">IFERROR(__xludf.DUMMYFUNCTION("IFERROR(VLOOKUP(F831,IMPORTRANGE(""https://docs.google.com/spreadsheets/d/1Kvs4KS76FHFqLFIZfrDMff4kP08nblUkihrxltoGBjg/edit#gid=934712705"",""ESENCIAL!A6:BG""),3,FALSE))"),"")</f>
        <v/>
      </c>
      <c r="I565" s="5" t="str">
        <f ca="1">IFERROR(__xludf.DUMMYFUNCTION("IFERROR(VLOOKUP(F831,IMPORTRANGE(""https://docs.google.com/spreadsheets/d/1Kvs4KS76FHFqLFIZfrDMff4kP08nblUkihrxltoGBjg/edit#gid=934712705"",""ESENCIAL!A6:BG""),8,FALSE))"),"")</f>
        <v/>
      </c>
      <c r="J565" s="39"/>
      <c r="M565" s="40"/>
      <c r="AV565" s="41" t="str">
        <f t="shared" si="24"/>
        <v/>
      </c>
      <c r="AW565" s="5" t="str">
        <f ca="1">IFERROR(__xludf.DUMMYFUNCTION("IFERROR(VLOOKUP(E831&amp;F831,IMPORTRANGE(""https://docs.google.com/spreadsheets/d/1Uw7-A9f9R21vMXxHZFNpYNeKFtG8_yji4HS352LGlSQ/edit?pli=1#gid=0"",""1_ACUM!A4:S""),11,FALSE))"),"")</f>
        <v/>
      </c>
      <c r="AX565" s="42" t="str">
        <f ca="1">IFERROR(__xludf.DUMMYFUNCTION("IFERROR(VLOOKUP(F831,IMPORTRANGE(""https://docs.google.com/spreadsheets/d/1Kvs4KS76FHFqLFIZfrDMff4kP08nblUkihrxltoGBjg/edit#gid=934712705"",""ESENCIAL!A6:BG""),15,FALSE))"),"")</f>
        <v/>
      </c>
      <c r="AY565" s="110" t="str">
        <f ca="1">IFERROR(__xludf.DUMMYFUNCTION("IFERROR(VLOOKUP(E831&amp;F831,IMPORTRANGE(""https://docs.google.com/spreadsheets/d/1Uw7-A9f9R21vMXxHZFNpYNeKFtG8_yji4HS352LGlSQ/edit?pli=1#gid=0"",""1_ACUM!A4:S""),13,FALSE))"),"")</f>
        <v/>
      </c>
      <c r="AZ565" s="43" t="str">
        <f ca="1">IFERROR(__xludf.DUMMYFUNCTION("IFERROR(VLOOKUP(E831&amp;F831,IMPORTRANGE(""https://docs.google.com/spreadsheets/d/1Uw7-A9f9R21vMXxHZFNpYNeKFtG8_yji4HS352LGlSQ/edit?pli=1#gid=0"",""1_ACUM!A4:S""),13,FALSE))"),"")</f>
        <v/>
      </c>
      <c r="BA565" s="43" t="str">
        <f ca="1">IFERROR(__xludf.DUMMYFUNCTION("IFERROR(VLOOKUP(E831&amp;F831,IMPORTRANGE(""https://docs.google.com/spreadsheets/d/1Uw7-A9f9R21vMXxHZFNpYNeKFtG8_yji4HS352LGlSQ/edit?pli=1#gid=0"",""1_ACUM!A4:S""),14,FALSE))"),"")</f>
        <v/>
      </c>
      <c r="BB565" s="43" t="str">
        <f ca="1">IFERROR(__xludf.DUMMYFUNCTION("IFERROR(VLOOKUP(E831&amp;F831,IMPORTRANGE(""https://docs.google.com/spreadsheets/d/1Uw7-A9f9R21vMXxHZFNpYNeKFtG8_yji4HS352LGlSQ/edit?pli=1#gid=0"",""1_ACUM!A4:S""),15,FALSE))"),"")</f>
        <v/>
      </c>
      <c r="BC565" s="43" t="str">
        <f ca="1">IFERROR(__xludf.DUMMYFUNCTION("IFERROR(VLOOKUP(E831&amp;F831,IMPORTRANGE(""https://docs.google.com/spreadsheets/d/1Uw7-A9f9R21vMXxHZFNpYNeKFtG8_yji4HS352LGlSQ/edit?pli=1#gid=0"",""1_ACUM!A4:S""),16,FALSE))"),"")</f>
        <v/>
      </c>
      <c r="BD565" s="43" t="str">
        <f ca="1">IFERROR(__xludf.DUMMYFUNCTION("IFERROR(VLOOKUP(E831&amp;F831,IMPORTRANGE(""https://docs.google.com/spreadsheets/d/1Uw7-A9f9R21vMXxHZFNpYNeKFtG8_yji4HS352LGlSQ/edit?pli=1#gid=0"",""1_ACUM!A4:S""),17,FALSE))"),"")</f>
        <v/>
      </c>
      <c r="BE565" s="44" t="str">
        <f ca="1">IFERROR(__xludf.DUMMYFUNCTION("IFERROR(VLOOKUP(E831&amp;F831,IMPORTRANGE(""https://docs.google.com/spreadsheets/d/1Uw7-A9f9R21vMXxHZFNpYNeKFtG8_yji4HS352LGlSQ/edit?pli=1#gid=0"",""1_ACUM!A4:S""),18,FALSE))"),"")</f>
        <v/>
      </c>
      <c r="BF565" s="44" t="str">
        <f ca="1">IFERROR(__xludf.DUMMYFUNCTION("IFERROR(VLOOKUP(E831&amp;F831,IMPORTRANGE(""https://docs.google.com/spreadsheets/d/1Uw7-A9f9R21vMXxHZFNpYNeKFtG8_yji4HS352LGlSQ/edit?pli=1#gid=0"",""1_ACUM!A4:S""),19,FALSE))"),"")</f>
        <v/>
      </c>
      <c r="BG565" s="98" t="str">
        <f ca="1">IFERROR(__xludf.DUMMYFUNCTION("IFERROR(VLOOKUP(F831,IMPORTRANGE(""https://docs.google.com/spreadsheets/d/1Kvs4KS76FHFqLFIZfrDMff4kP08nblUkihrxltoGBjg/edit#gid=934712705"",""ESENCIAL!A6:BG""),5,FALSE))"),"")</f>
        <v/>
      </c>
      <c r="BH565" s="98" t="str">
        <f t="shared" si="25"/>
        <v/>
      </c>
      <c r="BI565" s="99" t="str">
        <f t="shared" si="26"/>
        <v/>
      </c>
      <c r="BJ565" s="100" t="str">
        <f ca="1">IFERROR(__xludf.DUMMYFUNCTION("IFERROR(VLOOKUP(F831,IMPORTRANGE(""https://docs.google.com/spreadsheets/d/1Kvs4KS76FHFqLFIZfrDMff4kP08nblUkihrxltoGBjg/edit#gid=934712705"",""ESENCIAL!A6:BG""),2,FALSE))"),"")</f>
        <v/>
      </c>
      <c r="BK565" s="19" t="str">
        <f t="shared" si="27"/>
        <v/>
      </c>
      <c r="BL565" s="100"/>
      <c r="BM565" s="100"/>
    </row>
    <row r="566" spans="2:65" ht="15">
      <c r="B566" s="39"/>
      <c r="C566" s="5"/>
      <c r="D566" s="123"/>
      <c r="E566" s="39"/>
      <c r="F566" s="39"/>
      <c r="G566" s="39"/>
      <c r="H566" s="5" t="str">
        <f ca="1">IFERROR(__xludf.DUMMYFUNCTION("IFERROR(VLOOKUP(F832,IMPORTRANGE(""https://docs.google.com/spreadsheets/d/1Kvs4KS76FHFqLFIZfrDMff4kP08nblUkihrxltoGBjg/edit#gid=934712705"",""ESENCIAL!A6:BG""),3,FALSE))"),"")</f>
        <v/>
      </c>
      <c r="I566" s="5" t="str">
        <f ca="1">IFERROR(__xludf.DUMMYFUNCTION("IFERROR(VLOOKUP(F832,IMPORTRANGE(""https://docs.google.com/spreadsheets/d/1Kvs4KS76FHFqLFIZfrDMff4kP08nblUkihrxltoGBjg/edit#gid=934712705"",""ESENCIAL!A6:BG""),8,FALSE))"),"")</f>
        <v/>
      </c>
      <c r="J566" s="39"/>
      <c r="M566" s="40"/>
      <c r="AV566" s="41" t="str">
        <f t="shared" si="24"/>
        <v/>
      </c>
      <c r="AW566" s="5" t="str">
        <f ca="1">IFERROR(__xludf.DUMMYFUNCTION("IFERROR(VLOOKUP(E832&amp;F832,IMPORTRANGE(""https://docs.google.com/spreadsheets/d/1Uw7-A9f9R21vMXxHZFNpYNeKFtG8_yji4HS352LGlSQ/edit?pli=1#gid=0"",""1_ACUM!A4:S""),11,FALSE))"),"")</f>
        <v/>
      </c>
      <c r="AX566" s="42" t="str">
        <f ca="1">IFERROR(__xludf.DUMMYFUNCTION("IFERROR(VLOOKUP(F832,IMPORTRANGE(""https://docs.google.com/spreadsheets/d/1Kvs4KS76FHFqLFIZfrDMff4kP08nblUkihrxltoGBjg/edit#gid=934712705"",""ESENCIAL!A6:BG""),15,FALSE))"),"")</f>
        <v/>
      </c>
      <c r="AY566" s="110" t="str">
        <f ca="1">IFERROR(__xludf.DUMMYFUNCTION("IFERROR(VLOOKUP(E832&amp;F832,IMPORTRANGE(""https://docs.google.com/spreadsheets/d/1Uw7-A9f9R21vMXxHZFNpYNeKFtG8_yji4HS352LGlSQ/edit?pli=1#gid=0"",""1_ACUM!A4:S""),13,FALSE))"),"")</f>
        <v/>
      </c>
      <c r="AZ566" s="43" t="str">
        <f ca="1">IFERROR(__xludf.DUMMYFUNCTION("IFERROR(VLOOKUP(E832&amp;F832,IMPORTRANGE(""https://docs.google.com/spreadsheets/d/1Uw7-A9f9R21vMXxHZFNpYNeKFtG8_yji4HS352LGlSQ/edit?pli=1#gid=0"",""1_ACUM!A4:S""),13,FALSE))"),"")</f>
        <v/>
      </c>
      <c r="BA566" s="43" t="str">
        <f ca="1">IFERROR(__xludf.DUMMYFUNCTION("IFERROR(VLOOKUP(E832&amp;F832,IMPORTRANGE(""https://docs.google.com/spreadsheets/d/1Uw7-A9f9R21vMXxHZFNpYNeKFtG8_yji4HS352LGlSQ/edit?pli=1#gid=0"",""1_ACUM!A4:S""),14,FALSE))"),"")</f>
        <v/>
      </c>
      <c r="BB566" s="43" t="str">
        <f ca="1">IFERROR(__xludf.DUMMYFUNCTION("IFERROR(VLOOKUP(E832&amp;F832,IMPORTRANGE(""https://docs.google.com/spreadsheets/d/1Uw7-A9f9R21vMXxHZFNpYNeKFtG8_yji4HS352LGlSQ/edit?pli=1#gid=0"",""1_ACUM!A4:S""),15,FALSE))"),"")</f>
        <v/>
      </c>
      <c r="BC566" s="43" t="str">
        <f ca="1">IFERROR(__xludf.DUMMYFUNCTION("IFERROR(VLOOKUP(E832&amp;F832,IMPORTRANGE(""https://docs.google.com/spreadsheets/d/1Uw7-A9f9R21vMXxHZFNpYNeKFtG8_yji4HS352LGlSQ/edit?pli=1#gid=0"",""1_ACUM!A4:S""),16,FALSE))"),"")</f>
        <v/>
      </c>
      <c r="BD566" s="43" t="str">
        <f ca="1">IFERROR(__xludf.DUMMYFUNCTION("IFERROR(VLOOKUP(E832&amp;F832,IMPORTRANGE(""https://docs.google.com/spreadsheets/d/1Uw7-A9f9R21vMXxHZFNpYNeKFtG8_yji4HS352LGlSQ/edit?pli=1#gid=0"",""1_ACUM!A4:S""),17,FALSE))"),"")</f>
        <v/>
      </c>
      <c r="BE566" s="44" t="str">
        <f ca="1">IFERROR(__xludf.DUMMYFUNCTION("IFERROR(VLOOKUP(E832&amp;F832,IMPORTRANGE(""https://docs.google.com/spreadsheets/d/1Uw7-A9f9R21vMXxHZFNpYNeKFtG8_yji4HS352LGlSQ/edit?pli=1#gid=0"",""1_ACUM!A4:S""),18,FALSE))"),"")</f>
        <v/>
      </c>
      <c r="BF566" s="44" t="str">
        <f ca="1">IFERROR(__xludf.DUMMYFUNCTION("IFERROR(VLOOKUP(E832&amp;F832,IMPORTRANGE(""https://docs.google.com/spreadsheets/d/1Uw7-A9f9R21vMXxHZFNpYNeKFtG8_yji4HS352LGlSQ/edit?pli=1#gid=0"",""1_ACUM!A4:S""),19,FALSE))"),"")</f>
        <v/>
      </c>
      <c r="BG566" s="98" t="str">
        <f ca="1">IFERROR(__xludf.DUMMYFUNCTION("IFERROR(VLOOKUP(F832,IMPORTRANGE(""https://docs.google.com/spreadsheets/d/1Kvs4KS76FHFqLFIZfrDMff4kP08nblUkihrxltoGBjg/edit#gid=934712705"",""ESENCIAL!A6:BG""),5,FALSE))"),"")</f>
        <v/>
      </c>
      <c r="BH566" s="98" t="str">
        <f t="shared" si="25"/>
        <v/>
      </c>
      <c r="BI566" s="99" t="str">
        <f t="shared" si="26"/>
        <v/>
      </c>
      <c r="BJ566" s="100" t="str">
        <f ca="1">IFERROR(__xludf.DUMMYFUNCTION("IFERROR(VLOOKUP(F832,IMPORTRANGE(""https://docs.google.com/spreadsheets/d/1Kvs4KS76FHFqLFIZfrDMff4kP08nblUkihrxltoGBjg/edit#gid=934712705"",""ESENCIAL!A6:BG""),2,FALSE))"),"")</f>
        <v/>
      </c>
      <c r="BK566" s="19" t="str">
        <f t="shared" si="27"/>
        <v/>
      </c>
      <c r="BL566" s="100"/>
      <c r="BM566" s="100"/>
    </row>
    <row r="567" spans="2:65" ht="15">
      <c r="B567" s="39"/>
      <c r="C567" s="5"/>
      <c r="D567" s="123"/>
      <c r="E567" s="39"/>
      <c r="F567" s="39"/>
      <c r="G567" s="39"/>
      <c r="H567" s="5" t="str">
        <f ca="1">IFERROR(__xludf.DUMMYFUNCTION("IFERROR(VLOOKUP(F833,IMPORTRANGE(""https://docs.google.com/spreadsheets/d/1Kvs4KS76FHFqLFIZfrDMff4kP08nblUkihrxltoGBjg/edit#gid=934712705"",""ESENCIAL!A6:BG""),3,FALSE))"),"")</f>
        <v/>
      </c>
      <c r="I567" s="5" t="str">
        <f ca="1">IFERROR(__xludf.DUMMYFUNCTION("IFERROR(VLOOKUP(F833,IMPORTRANGE(""https://docs.google.com/spreadsheets/d/1Kvs4KS76FHFqLFIZfrDMff4kP08nblUkihrxltoGBjg/edit#gid=934712705"",""ESENCIAL!A6:BG""),8,FALSE))"),"")</f>
        <v/>
      </c>
      <c r="J567" s="39"/>
      <c r="M567" s="40"/>
      <c r="AV567" s="41" t="str">
        <f t="shared" si="24"/>
        <v/>
      </c>
      <c r="AW567" s="5" t="str">
        <f ca="1">IFERROR(__xludf.DUMMYFUNCTION("IFERROR(VLOOKUP(E833&amp;F833,IMPORTRANGE(""https://docs.google.com/spreadsheets/d/1Uw7-A9f9R21vMXxHZFNpYNeKFtG8_yji4HS352LGlSQ/edit?pli=1#gid=0"",""1_ACUM!A4:S""),11,FALSE))"),"")</f>
        <v/>
      </c>
      <c r="AX567" s="42" t="str">
        <f ca="1">IFERROR(__xludf.DUMMYFUNCTION("IFERROR(VLOOKUP(F833,IMPORTRANGE(""https://docs.google.com/spreadsheets/d/1Kvs4KS76FHFqLFIZfrDMff4kP08nblUkihrxltoGBjg/edit#gid=934712705"",""ESENCIAL!A6:BG""),15,FALSE))"),"")</f>
        <v/>
      </c>
      <c r="AY567" s="110" t="str">
        <f ca="1">IFERROR(__xludf.DUMMYFUNCTION("IFERROR(VLOOKUP(E833&amp;F833,IMPORTRANGE(""https://docs.google.com/spreadsheets/d/1Uw7-A9f9R21vMXxHZFNpYNeKFtG8_yji4HS352LGlSQ/edit?pli=1#gid=0"",""1_ACUM!A4:S""),13,FALSE))"),"")</f>
        <v/>
      </c>
      <c r="AZ567" s="43" t="str">
        <f ca="1">IFERROR(__xludf.DUMMYFUNCTION("IFERROR(VLOOKUP(E833&amp;F833,IMPORTRANGE(""https://docs.google.com/spreadsheets/d/1Uw7-A9f9R21vMXxHZFNpYNeKFtG8_yji4HS352LGlSQ/edit?pli=1#gid=0"",""1_ACUM!A4:S""),13,FALSE))"),"")</f>
        <v/>
      </c>
      <c r="BA567" s="43" t="str">
        <f ca="1">IFERROR(__xludf.DUMMYFUNCTION("IFERROR(VLOOKUP(E833&amp;F833,IMPORTRANGE(""https://docs.google.com/spreadsheets/d/1Uw7-A9f9R21vMXxHZFNpYNeKFtG8_yji4HS352LGlSQ/edit?pli=1#gid=0"",""1_ACUM!A4:S""),14,FALSE))"),"")</f>
        <v/>
      </c>
      <c r="BB567" s="43" t="str">
        <f ca="1">IFERROR(__xludf.DUMMYFUNCTION("IFERROR(VLOOKUP(E833&amp;F833,IMPORTRANGE(""https://docs.google.com/spreadsheets/d/1Uw7-A9f9R21vMXxHZFNpYNeKFtG8_yji4HS352LGlSQ/edit?pli=1#gid=0"",""1_ACUM!A4:S""),15,FALSE))"),"")</f>
        <v/>
      </c>
      <c r="BC567" s="43" t="str">
        <f ca="1">IFERROR(__xludf.DUMMYFUNCTION("IFERROR(VLOOKUP(E833&amp;F833,IMPORTRANGE(""https://docs.google.com/spreadsheets/d/1Uw7-A9f9R21vMXxHZFNpYNeKFtG8_yji4HS352LGlSQ/edit?pli=1#gid=0"",""1_ACUM!A4:S""),16,FALSE))"),"")</f>
        <v/>
      </c>
      <c r="BD567" s="43" t="str">
        <f ca="1">IFERROR(__xludf.DUMMYFUNCTION("IFERROR(VLOOKUP(E833&amp;F833,IMPORTRANGE(""https://docs.google.com/spreadsheets/d/1Uw7-A9f9R21vMXxHZFNpYNeKFtG8_yji4HS352LGlSQ/edit?pli=1#gid=0"",""1_ACUM!A4:S""),17,FALSE))"),"")</f>
        <v/>
      </c>
      <c r="BE567" s="44" t="str">
        <f ca="1">IFERROR(__xludf.DUMMYFUNCTION("IFERROR(VLOOKUP(E833&amp;F833,IMPORTRANGE(""https://docs.google.com/spreadsheets/d/1Uw7-A9f9R21vMXxHZFNpYNeKFtG8_yji4HS352LGlSQ/edit?pli=1#gid=0"",""1_ACUM!A4:S""),18,FALSE))"),"")</f>
        <v/>
      </c>
      <c r="BF567" s="44" t="str">
        <f ca="1">IFERROR(__xludf.DUMMYFUNCTION("IFERROR(VLOOKUP(E833&amp;F833,IMPORTRANGE(""https://docs.google.com/spreadsheets/d/1Uw7-A9f9R21vMXxHZFNpYNeKFtG8_yji4HS352LGlSQ/edit?pli=1#gid=0"",""1_ACUM!A4:S""),19,FALSE))"),"")</f>
        <v/>
      </c>
      <c r="BG567" s="98" t="str">
        <f ca="1">IFERROR(__xludf.DUMMYFUNCTION("IFERROR(VLOOKUP(F833,IMPORTRANGE(""https://docs.google.com/spreadsheets/d/1Kvs4KS76FHFqLFIZfrDMff4kP08nblUkihrxltoGBjg/edit#gid=934712705"",""ESENCIAL!A6:BG""),5,FALSE))"),"")</f>
        <v/>
      </c>
      <c r="BH567" s="98" t="str">
        <f t="shared" si="25"/>
        <v/>
      </c>
      <c r="BI567" s="99" t="str">
        <f t="shared" si="26"/>
        <v/>
      </c>
      <c r="BJ567" s="100" t="str">
        <f ca="1">IFERROR(__xludf.DUMMYFUNCTION("IFERROR(VLOOKUP(F833,IMPORTRANGE(""https://docs.google.com/spreadsheets/d/1Kvs4KS76FHFqLFIZfrDMff4kP08nblUkihrxltoGBjg/edit#gid=934712705"",""ESENCIAL!A6:BG""),2,FALSE))"),"")</f>
        <v/>
      </c>
      <c r="BK567" s="19" t="str">
        <f t="shared" si="27"/>
        <v/>
      </c>
      <c r="BL567" s="100"/>
      <c r="BM567" s="100"/>
    </row>
    <row r="568" spans="2:65" ht="15">
      <c r="B568" s="39"/>
      <c r="C568" s="5"/>
      <c r="D568" s="123"/>
      <c r="E568" s="39"/>
      <c r="F568" s="39"/>
      <c r="G568" s="39"/>
      <c r="H568" s="5" t="str">
        <f ca="1">IFERROR(__xludf.DUMMYFUNCTION("IFERROR(VLOOKUP(F834,IMPORTRANGE(""https://docs.google.com/spreadsheets/d/1Kvs4KS76FHFqLFIZfrDMff4kP08nblUkihrxltoGBjg/edit#gid=934712705"",""ESENCIAL!A6:BG""),3,FALSE))"),"")</f>
        <v/>
      </c>
      <c r="I568" s="5" t="str">
        <f ca="1">IFERROR(__xludf.DUMMYFUNCTION("IFERROR(VLOOKUP(F834,IMPORTRANGE(""https://docs.google.com/spreadsheets/d/1Kvs4KS76FHFqLFIZfrDMff4kP08nblUkihrxltoGBjg/edit#gid=934712705"",""ESENCIAL!A6:BG""),8,FALSE))"),"")</f>
        <v/>
      </c>
      <c r="J568" s="39"/>
      <c r="M568" s="40"/>
      <c r="AV568" s="41" t="str">
        <f t="shared" si="24"/>
        <v/>
      </c>
      <c r="AW568" s="5" t="str">
        <f ca="1">IFERROR(__xludf.DUMMYFUNCTION("IFERROR(VLOOKUP(E834&amp;F834,IMPORTRANGE(""https://docs.google.com/spreadsheets/d/1Uw7-A9f9R21vMXxHZFNpYNeKFtG8_yji4HS352LGlSQ/edit?pli=1#gid=0"",""1_ACUM!A4:S""),11,FALSE))"),"")</f>
        <v/>
      </c>
      <c r="AX568" s="42" t="str">
        <f ca="1">IFERROR(__xludf.DUMMYFUNCTION("IFERROR(VLOOKUP(F834,IMPORTRANGE(""https://docs.google.com/spreadsheets/d/1Kvs4KS76FHFqLFIZfrDMff4kP08nblUkihrxltoGBjg/edit#gid=934712705"",""ESENCIAL!A6:BG""),15,FALSE))"),"")</f>
        <v/>
      </c>
      <c r="AY568" s="110" t="str">
        <f ca="1">IFERROR(__xludf.DUMMYFUNCTION("IFERROR(VLOOKUP(E834&amp;F834,IMPORTRANGE(""https://docs.google.com/spreadsheets/d/1Uw7-A9f9R21vMXxHZFNpYNeKFtG8_yji4HS352LGlSQ/edit?pli=1#gid=0"",""1_ACUM!A4:S""),13,FALSE))"),"")</f>
        <v/>
      </c>
      <c r="AZ568" s="43" t="str">
        <f ca="1">IFERROR(__xludf.DUMMYFUNCTION("IFERROR(VLOOKUP(E834&amp;F834,IMPORTRANGE(""https://docs.google.com/spreadsheets/d/1Uw7-A9f9R21vMXxHZFNpYNeKFtG8_yji4HS352LGlSQ/edit?pli=1#gid=0"",""1_ACUM!A4:S""),13,FALSE))"),"")</f>
        <v/>
      </c>
      <c r="BA568" s="43" t="str">
        <f ca="1">IFERROR(__xludf.DUMMYFUNCTION("IFERROR(VLOOKUP(E834&amp;F834,IMPORTRANGE(""https://docs.google.com/spreadsheets/d/1Uw7-A9f9R21vMXxHZFNpYNeKFtG8_yji4HS352LGlSQ/edit?pli=1#gid=0"",""1_ACUM!A4:S""),14,FALSE))"),"")</f>
        <v/>
      </c>
      <c r="BB568" s="43" t="str">
        <f ca="1">IFERROR(__xludf.DUMMYFUNCTION("IFERROR(VLOOKUP(E834&amp;F834,IMPORTRANGE(""https://docs.google.com/spreadsheets/d/1Uw7-A9f9R21vMXxHZFNpYNeKFtG8_yji4HS352LGlSQ/edit?pli=1#gid=0"",""1_ACUM!A4:S""),15,FALSE))"),"")</f>
        <v/>
      </c>
      <c r="BC568" s="43" t="str">
        <f ca="1">IFERROR(__xludf.DUMMYFUNCTION("IFERROR(VLOOKUP(E834&amp;F834,IMPORTRANGE(""https://docs.google.com/spreadsheets/d/1Uw7-A9f9R21vMXxHZFNpYNeKFtG8_yji4HS352LGlSQ/edit?pli=1#gid=0"",""1_ACUM!A4:S""),16,FALSE))"),"")</f>
        <v/>
      </c>
      <c r="BD568" s="43" t="str">
        <f ca="1">IFERROR(__xludf.DUMMYFUNCTION("IFERROR(VLOOKUP(E834&amp;F834,IMPORTRANGE(""https://docs.google.com/spreadsheets/d/1Uw7-A9f9R21vMXxHZFNpYNeKFtG8_yji4HS352LGlSQ/edit?pli=1#gid=0"",""1_ACUM!A4:S""),17,FALSE))"),"")</f>
        <v/>
      </c>
      <c r="BE568" s="44" t="str">
        <f ca="1">IFERROR(__xludf.DUMMYFUNCTION("IFERROR(VLOOKUP(E834&amp;F834,IMPORTRANGE(""https://docs.google.com/spreadsheets/d/1Uw7-A9f9R21vMXxHZFNpYNeKFtG8_yji4HS352LGlSQ/edit?pli=1#gid=0"",""1_ACUM!A4:S""),18,FALSE))"),"")</f>
        <v/>
      </c>
      <c r="BF568" s="44" t="str">
        <f ca="1">IFERROR(__xludf.DUMMYFUNCTION("IFERROR(VLOOKUP(E834&amp;F834,IMPORTRANGE(""https://docs.google.com/spreadsheets/d/1Uw7-A9f9R21vMXxHZFNpYNeKFtG8_yji4HS352LGlSQ/edit?pli=1#gid=0"",""1_ACUM!A4:S""),19,FALSE))"),"")</f>
        <v/>
      </c>
      <c r="BG568" s="98" t="str">
        <f ca="1">IFERROR(__xludf.DUMMYFUNCTION("IFERROR(VLOOKUP(F834,IMPORTRANGE(""https://docs.google.com/spreadsheets/d/1Kvs4KS76FHFqLFIZfrDMff4kP08nblUkihrxltoGBjg/edit#gid=934712705"",""ESENCIAL!A6:BG""),5,FALSE))"),"")</f>
        <v/>
      </c>
      <c r="BH568" s="98" t="str">
        <f t="shared" si="25"/>
        <v/>
      </c>
      <c r="BI568" s="99" t="str">
        <f t="shared" si="26"/>
        <v/>
      </c>
      <c r="BJ568" s="100" t="str">
        <f ca="1">IFERROR(__xludf.DUMMYFUNCTION("IFERROR(VLOOKUP(F834,IMPORTRANGE(""https://docs.google.com/spreadsheets/d/1Kvs4KS76FHFqLFIZfrDMff4kP08nblUkihrxltoGBjg/edit#gid=934712705"",""ESENCIAL!A6:BG""),2,FALSE))"),"")</f>
        <v/>
      </c>
      <c r="BK568" s="19" t="str">
        <f t="shared" si="27"/>
        <v/>
      </c>
      <c r="BL568" s="100"/>
      <c r="BM568" s="100"/>
    </row>
    <row r="569" spans="2:65" ht="15">
      <c r="B569" s="39"/>
      <c r="C569" s="5"/>
      <c r="D569" s="123"/>
      <c r="E569" s="39"/>
      <c r="F569" s="39"/>
      <c r="G569" s="39"/>
      <c r="H569" s="5" t="str">
        <f ca="1">IFERROR(__xludf.DUMMYFUNCTION("IFERROR(VLOOKUP(F835,IMPORTRANGE(""https://docs.google.com/spreadsheets/d/1Kvs4KS76FHFqLFIZfrDMff4kP08nblUkihrxltoGBjg/edit#gid=934712705"",""ESENCIAL!A6:BG""),3,FALSE))"),"")</f>
        <v/>
      </c>
      <c r="I569" s="5" t="str">
        <f ca="1">IFERROR(__xludf.DUMMYFUNCTION("IFERROR(VLOOKUP(F835,IMPORTRANGE(""https://docs.google.com/spreadsheets/d/1Kvs4KS76FHFqLFIZfrDMff4kP08nblUkihrxltoGBjg/edit#gid=934712705"",""ESENCIAL!A6:BG""),8,FALSE))"),"")</f>
        <v/>
      </c>
      <c r="J569" s="39"/>
      <c r="M569" s="40"/>
      <c r="AV569" s="41" t="str">
        <f t="shared" si="24"/>
        <v/>
      </c>
      <c r="AW569" s="5" t="str">
        <f ca="1">IFERROR(__xludf.DUMMYFUNCTION("IFERROR(VLOOKUP(E835&amp;F835,IMPORTRANGE(""https://docs.google.com/spreadsheets/d/1Uw7-A9f9R21vMXxHZFNpYNeKFtG8_yji4HS352LGlSQ/edit?pli=1#gid=0"",""1_ACUM!A4:S""),11,FALSE))"),"")</f>
        <v/>
      </c>
      <c r="AX569" s="42" t="str">
        <f ca="1">IFERROR(__xludf.DUMMYFUNCTION("IFERROR(VLOOKUP(F835,IMPORTRANGE(""https://docs.google.com/spreadsheets/d/1Kvs4KS76FHFqLFIZfrDMff4kP08nblUkihrxltoGBjg/edit#gid=934712705"",""ESENCIAL!A6:BG""),15,FALSE))"),"")</f>
        <v/>
      </c>
      <c r="AY569" s="110" t="str">
        <f ca="1">IFERROR(__xludf.DUMMYFUNCTION("IFERROR(VLOOKUP(E835&amp;F835,IMPORTRANGE(""https://docs.google.com/spreadsheets/d/1Uw7-A9f9R21vMXxHZFNpYNeKFtG8_yji4HS352LGlSQ/edit?pli=1#gid=0"",""1_ACUM!A4:S""),13,FALSE))"),"")</f>
        <v/>
      </c>
      <c r="AZ569" s="43" t="str">
        <f ca="1">IFERROR(__xludf.DUMMYFUNCTION("IFERROR(VLOOKUP(E835&amp;F835,IMPORTRANGE(""https://docs.google.com/spreadsheets/d/1Uw7-A9f9R21vMXxHZFNpYNeKFtG8_yji4HS352LGlSQ/edit?pli=1#gid=0"",""1_ACUM!A4:S""),13,FALSE))"),"")</f>
        <v/>
      </c>
      <c r="BA569" s="43" t="str">
        <f ca="1">IFERROR(__xludf.DUMMYFUNCTION("IFERROR(VLOOKUP(E835&amp;F835,IMPORTRANGE(""https://docs.google.com/spreadsheets/d/1Uw7-A9f9R21vMXxHZFNpYNeKFtG8_yji4HS352LGlSQ/edit?pli=1#gid=0"",""1_ACUM!A4:S""),14,FALSE))"),"")</f>
        <v/>
      </c>
      <c r="BB569" s="43" t="str">
        <f ca="1">IFERROR(__xludf.DUMMYFUNCTION("IFERROR(VLOOKUP(E835&amp;F835,IMPORTRANGE(""https://docs.google.com/spreadsheets/d/1Uw7-A9f9R21vMXxHZFNpYNeKFtG8_yji4HS352LGlSQ/edit?pli=1#gid=0"",""1_ACUM!A4:S""),15,FALSE))"),"")</f>
        <v/>
      </c>
      <c r="BC569" s="43" t="str">
        <f ca="1">IFERROR(__xludf.DUMMYFUNCTION("IFERROR(VLOOKUP(E835&amp;F835,IMPORTRANGE(""https://docs.google.com/spreadsheets/d/1Uw7-A9f9R21vMXxHZFNpYNeKFtG8_yji4HS352LGlSQ/edit?pli=1#gid=0"",""1_ACUM!A4:S""),16,FALSE))"),"")</f>
        <v/>
      </c>
      <c r="BD569" s="43" t="str">
        <f ca="1">IFERROR(__xludf.DUMMYFUNCTION("IFERROR(VLOOKUP(E835&amp;F835,IMPORTRANGE(""https://docs.google.com/spreadsheets/d/1Uw7-A9f9R21vMXxHZFNpYNeKFtG8_yji4HS352LGlSQ/edit?pli=1#gid=0"",""1_ACUM!A4:S""),17,FALSE))"),"")</f>
        <v/>
      </c>
      <c r="BE569" s="44" t="str">
        <f ca="1">IFERROR(__xludf.DUMMYFUNCTION("IFERROR(VLOOKUP(E835&amp;F835,IMPORTRANGE(""https://docs.google.com/spreadsheets/d/1Uw7-A9f9R21vMXxHZFNpYNeKFtG8_yji4HS352LGlSQ/edit?pli=1#gid=0"",""1_ACUM!A4:S""),18,FALSE))"),"")</f>
        <v/>
      </c>
      <c r="BF569" s="44" t="str">
        <f ca="1">IFERROR(__xludf.DUMMYFUNCTION("IFERROR(VLOOKUP(E835&amp;F835,IMPORTRANGE(""https://docs.google.com/spreadsheets/d/1Uw7-A9f9R21vMXxHZFNpYNeKFtG8_yji4HS352LGlSQ/edit?pli=1#gid=0"",""1_ACUM!A4:S""),19,FALSE))"),"")</f>
        <v/>
      </c>
      <c r="BG569" s="98" t="str">
        <f ca="1">IFERROR(__xludf.DUMMYFUNCTION("IFERROR(VLOOKUP(F835,IMPORTRANGE(""https://docs.google.com/spreadsheets/d/1Kvs4KS76FHFqLFIZfrDMff4kP08nblUkihrxltoGBjg/edit#gid=934712705"",""ESENCIAL!A6:BG""),5,FALSE))"),"")</f>
        <v/>
      </c>
      <c r="BH569" s="98" t="str">
        <f t="shared" si="25"/>
        <v/>
      </c>
      <c r="BI569" s="99" t="str">
        <f t="shared" si="26"/>
        <v/>
      </c>
      <c r="BJ569" s="100" t="str">
        <f ca="1">IFERROR(__xludf.DUMMYFUNCTION("IFERROR(VLOOKUP(F835,IMPORTRANGE(""https://docs.google.com/spreadsheets/d/1Kvs4KS76FHFqLFIZfrDMff4kP08nblUkihrxltoGBjg/edit#gid=934712705"",""ESENCIAL!A6:BG""),2,FALSE))"),"")</f>
        <v/>
      </c>
      <c r="BK569" s="19" t="str">
        <f t="shared" si="27"/>
        <v/>
      </c>
      <c r="BL569" s="100"/>
      <c r="BM569" s="100"/>
    </row>
    <row r="570" spans="2:65" ht="15">
      <c r="B570" s="39"/>
      <c r="C570" s="5"/>
      <c r="D570" s="123"/>
      <c r="E570" s="39"/>
      <c r="F570" s="39"/>
      <c r="G570" s="39"/>
      <c r="H570" s="5" t="str">
        <f ca="1">IFERROR(__xludf.DUMMYFUNCTION("IFERROR(VLOOKUP(F836,IMPORTRANGE(""https://docs.google.com/spreadsheets/d/1Kvs4KS76FHFqLFIZfrDMff4kP08nblUkihrxltoGBjg/edit#gid=934712705"",""ESENCIAL!A6:BG""),3,FALSE))"),"")</f>
        <v/>
      </c>
      <c r="I570" s="5" t="str">
        <f ca="1">IFERROR(__xludf.DUMMYFUNCTION("IFERROR(VLOOKUP(F836,IMPORTRANGE(""https://docs.google.com/spreadsheets/d/1Kvs4KS76FHFqLFIZfrDMff4kP08nblUkihrxltoGBjg/edit#gid=934712705"",""ESENCIAL!A6:BG""),8,FALSE))"),"")</f>
        <v/>
      </c>
      <c r="J570" s="39"/>
      <c r="M570" s="40"/>
      <c r="AV570" s="41" t="str">
        <f t="shared" si="24"/>
        <v/>
      </c>
      <c r="AW570" s="5" t="str">
        <f ca="1">IFERROR(__xludf.DUMMYFUNCTION("IFERROR(VLOOKUP(E836&amp;F836,IMPORTRANGE(""https://docs.google.com/spreadsheets/d/1Uw7-A9f9R21vMXxHZFNpYNeKFtG8_yji4HS352LGlSQ/edit?pli=1#gid=0"",""1_ACUM!A4:S""),11,FALSE))"),"")</f>
        <v/>
      </c>
      <c r="AX570" s="42" t="str">
        <f ca="1">IFERROR(__xludf.DUMMYFUNCTION("IFERROR(VLOOKUP(F836,IMPORTRANGE(""https://docs.google.com/spreadsheets/d/1Kvs4KS76FHFqLFIZfrDMff4kP08nblUkihrxltoGBjg/edit#gid=934712705"",""ESENCIAL!A6:BG""),15,FALSE))"),"")</f>
        <v/>
      </c>
      <c r="AY570" s="110" t="str">
        <f ca="1">IFERROR(__xludf.DUMMYFUNCTION("IFERROR(VLOOKUP(E836&amp;F836,IMPORTRANGE(""https://docs.google.com/spreadsheets/d/1Uw7-A9f9R21vMXxHZFNpYNeKFtG8_yji4HS352LGlSQ/edit?pli=1#gid=0"",""1_ACUM!A4:S""),13,FALSE))"),"")</f>
        <v/>
      </c>
      <c r="AZ570" s="43" t="str">
        <f ca="1">IFERROR(__xludf.DUMMYFUNCTION("IFERROR(VLOOKUP(E836&amp;F836,IMPORTRANGE(""https://docs.google.com/spreadsheets/d/1Uw7-A9f9R21vMXxHZFNpYNeKFtG8_yji4HS352LGlSQ/edit?pli=1#gid=0"",""1_ACUM!A4:S""),13,FALSE))"),"")</f>
        <v/>
      </c>
      <c r="BA570" s="43" t="str">
        <f ca="1">IFERROR(__xludf.DUMMYFUNCTION("IFERROR(VLOOKUP(E836&amp;F836,IMPORTRANGE(""https://docs.google.com/spreadsheets/d/1Uw7-A9f9R21vMXxHZFNpYNeKFtG8_yji4HS352LGlSQ/edit?pli=1#gid=0"",""1_ACUM!A4:S""),14,FALSE))"),"")</f>
        <v/>
      </c>
      <c r="BB570" s="43" t="str">
        <f ca="1">IFERROR(__xludf.DUMMYFUNCTION("IFERROR(VLOOKUP(E836&amp;F836,IMPORTRANGE(""https://docs.google.com/spreadsheets/d/1Uw7-A9f9R21vMXxHZFNpYNeKFtG8_yji4HS352LGlSQ/edit?pli=1#gid=0"",""1_ACUM!A4:S""),15,FALSE))"),"")</f>
        <v/>
      </c>
      <c r="BC570" s="43" t="str">
        <f ca="1">IFERROR(__xludf.DUMMYFUNCTION("IFERROR(VLOOKUP(E836&amp;F836,IMPORTRANGE(""https://docs.google.com/spreadsheets/d/1Uw7-A9f9R21vMXxHZFNpYNeKFtG8_yji4HS352LGlSQ/edit?pli=1#gid=0"",""1_ACUM!A4:S""),16,FALSE))"),"")</f>
        <v/>
      </c>
      <c r="BD570" s="43" t="str">
        <f ca="1">IFERROR(__xludf.DUMMYFUNCTION("IFERROR(VLOOKUP(E836&amp;F836,IMPORTRANGE(""https://docs.google.com/spreadsheets/d/1Uw7-A9f9R21vMXxHZFNpYNeKFtG8_yji4HS352LGlSQ/edit?pli=1#gid=0"",""1_ACUM!A4:S""),17,FALSE))"),"")</f>
        <v/>
      </c>
      <c r="BE570" s="44" t="str">
        <f ca="1">IFERROR(__xludf.DUMMYFUNCTION("IFERROR(VLOOKUP(E836&amp;F836,IMPORTRANGE(""https://docs.google.com/spreadsheets/d/1Uw7-A9f9R21vMXxHZFNpYNeKFtG8_yji4HS352LGlSQ/edit?pli=1#gid=0"",""1_ACUM!A4:S""),18,FALSE))"),"")</f>
        <v/>
      </c>
      <c r="BF570" s="44" t="str">
        <f ca="1">IFERROR(__xludf.DUMMYFUNCTION("IFERROR(VLOOKUP(E836&amp;F836,IMPORTRANGE(""https://docs.google.com/spreadsheets/d/1Uw7-A9f9R21vMXxHZFNpYNeKFtG8_yji4HS352LGlSQ/edit?pli=1#gid=0"",""1_ACUM!A4:S""),19,FALSE))"),"")</f>
        <v/>
      </c>
      <c r="BG570" s="98" t="str">
        <f ca="1">IFERROR(__xludf.DUMMYFUNCTION("IFERROR(VLOOKUP(F836,IMPORTRANGE(""https://docs.google.com/spreadsheets/d/1Kvs4KS76FHFqLFIZfrDMff4kP08nblUkihrxltoGBjg/edit#gid=934712705"",""ESENCIAL!A6:BG""),5,FALSE))"),"")</f>
        <v/>
      </c>
      <c r="BH570" s="98" t="str">
        <f t="shared" si="25"/>
        <v/>
      </c>
      <c r="BI570" s="99" t="str">
        <f t="shared" si="26"/>
        <v/>
      </c>
      <c r="BJ570" s="100" t="str">
        <f ca="1">IFERROR(__xludf.DUMMYFUNCTION("IFERROR(VLOOKUP(F836,IMPORTRANGE(""https://docs.google.com/spreadsheets/d/1Kvs4KS76FHFqLFIZfrDMff4kP08nblUkihrxltoGBjg/edit#gid=934712705"",""ESENCIAL!A6:BG""),2,FALSE))"),"")</f>
        <v/>
      </c>
      <c r="BK570" s="19" t="str">
        <f t="shared" si="27"/>
        <v/>
      </c>
      <c r="BL570" s="100"/>
      <c r="BM570" s="100"/>
    </row>
    <row r="571" spans="2:65" ht="15">
      <c r="B571" s="39"/>
      <c r="C571" s="5"/>
      <c r="D571" s="123"/>
      <c r="E571" s="39"/>
      <c r="F571" s="39"/>
      <c r="G571" s="39"/>
      <c r="H571" s="5" t="str">
        <f ca="1">IFERROR(__xludf.DUMMYFUNCTION("IFERROR(VLOOKUP(F837,IMPORTRANGE(""https://docs.google.com/spreadsheets/d/1Kvs4KS76FHFqLFIZfrDMff4kP08nblUkihrxltoGBjg/edit#gid=934712705"",""ESENCIAL!A6:BG""),3,FALSE))"),"")</f>
        <v/>
      </c>
      <c r="I571" s="5" t="str">
        <f ca="1">IFERROR(__xludf.DUMMYFUNCTION("IFERROR(VLOOKUP(F837,IMPORTRANGE(""https://docs.google.com/spreadsheets/d/1Kvs4KS76FHFqLFIZfrDMff4kP08nblUkihrxltoGBjg/edit#gid=934712705"",""ESENCIAL!A6:BG""),8,FALSE))"),"")</f>
        <v/>
      </c>
      <c r="J571" s="39"/>
      <c r="M571" s="40"/>
      <c r="AV571" s="41" t="str">
        <f t="shared" si="24"/>
        <v/>
      </c>
      <c r="AW571" s="5" t="str">
        <f ca="1">IFERROR(__xludf.DUMMYFUNCTION("IFERROR(VLOOKUP(E837&amp;F837,IMPORTRANGE(""https://docs.google.com/spreadsheets/d/1Uw7-A9f9R21vMXxHZFNpYNeKFtG8_yji4HS352LGlSQ/edit?pli=1#gid=0"",""1_ACUM!A4:S""),11,FALSE))"),"")</f>
        <v/>
      </c>
      <c r="AX571" s="42" t="str">
        <f ca="1">IFERROR(__xludf.DUMMYFUNCTION("IFERROR(VLOOKUP(F837,IMPORTRANGE(""https://docs.google.com/spreadsheets/d/1Kvs4KS76FHFqLFIZfrDMff4kP08nblUkihrxltoGBjg/edit#gid=934712705"",""ESENCIAL!A6:BG""),15,FALSE))"),"")</f>
        <v/>
      </c>
      <c r="AY571" s="110" t="str">
        <f ca="1">IFERROR(__xludf.DUMMYFUNCTION("IFERROR(VLOOKUP(E837&amp;F837,IMPORTRANGE(""https://docs.google.com/spreadsheets/d/1Uw7-A9f9R21vMXxHZFNpYNeKFtG8_yji4HS352LGlSQ/edit?pli=1#gid=0"",""1_ACUM!A4:S""),13,FALSE))"),"")</f>
        <v/>
      </c>
      <c r="AZ571" s="43" t="str">
        <f ca="1">IFERROR(__xludf.DUMMYFUNCTION("IFERROR(VLOOKUP(E837&amp;F837,IMPORTRANGE(""https://docs.google.com/spreadsheets/d/1Uw7-A9f9R21vMXxHZFNpYNeKFtG8_yji4HS352LGlSQ/edit?pli=1#gid=0"",""1_ACUM!A4:S""),13,FALSE))"),"")</f>
        <v/>
      </c>
      <c r="BA571" s="43" t="str">
        <f ca="1">IFERROR(__xludf.DUMMYFUNCTION("IFERROR(VLOOKUP(E837&amp;F837,IMPORTRANGE(""https://docs.google.com/spreadsheets/d/1Uw7-A9f9R21vMXxHZFNpYNeKFtG8_yji4HS352LGlSQ/edit?pli=1#gid=0"",""1_ACUM!A4:S""),14,FALSE))"),"")</f>
        <v/>
      </c>
      <c r="BB571" s="43" t="str">
        <f ca="1">IFERROR(__xludf.DUMMYFUNCTION("IFERROR(VLOOKUP(E837&amp;F837,IMPORTRANGE(""https://docs.google.com/spreadsheets/d/1Uw7-A9f9R21vMXxHZFNpYNeKFtG8_yji4HS352LGlSQ/edit?pli=1#gid=0"",""1_ACUM!A4:S""),15,FALSE))"),"")</f>
        <v/>
      </c>
      <c r="BC571" s="43" t="str">
        <f ca="1">IFERROR(__xludf.DUMMYFUNCTION("IFERROR(VLOOKUP(E837&amp;F837,IMPORTRANGE(""https://docs.google.com/spreadsheets/d/1Uw7-A9f9R21vMXxHZFNpYNeKFtG8_yji4HS352LGlSQ/edit?pli=1#gid=0"",""1_ACUM!A4:S""),16,FALSE))"),"")</f>
        <v/>
      </c>
      <c r="BD571" s="43" t="str">
        <f ca="1">IFERROR(__xludf.DUMMYFUNCTION("IFERROR(VLOOKUP(E837&amp;F837,IMPORTRANGE(""https://docs.google.com/spreadsheets/d/1Uw7-A9f9R21vMXxHZFNpYNeKFtG8_yji4HS352LGlSQ/edit?pli=1#gid=0"",""1_ACUM!A4:S""),17,FALSE))"),"")</f>
        <v/>
      </c>
      <c r="BE571" s="44" t="str">
        <f ca="1">IFERROR(__xludf.DUMMYFUNCTION("IFERROR(VLOOKUP(E837&amp;F837,IMPORTRANGE(""https://docs.google.com/spreadsheets/d/1Uw7-A9f9R21vMXxHZFNpYNeKFtG8_yji4HS352LGlSQ/edit?pli=1#gid=0"",""1_ACUM!A4:S""),18,FALSE))"),"")</f>
        <v/>
      </c>
      <c r="BF571" s="44" t="str">
        <f ca="1">IFERROR(__xludf.DUMMYFUNCTION("IFERROR(VLOOKUP(E837&amp;F837,IMPORTRANGE(""https://docs.google.com/spreadsheets/d/1Uw7-A9f9R21vMXxHZFNpYNeKFtG8_yji4HS352LGlSQ/edit?pli=1#gid=0"",""1_ACUM!A4:S""),19,FALSE))"),"")</f>
        <v/>
      </c>
      <c r="BG571" s="98" t="str">
        <f ca="1">IFERROR(__xludf.DUMMYFUNCTION("IFERROR(VLOOKUP(F837,IMPORTRANGE(""https://docs.google.com/spreadsheets/d/1Kvs4KS76FHFqLFIZfrDMff4kP08nblUkihrxltoGBjg/edit#gid=934712705"",""ESENCIAL!A6:BG""),5,FALSE))"),"")</f>
        <v/>
      </c>
      <c r="BH571" s="98" t="str">
        <f t="shared" si="25"/>
        <v/>
      </c>
      <c r="BI571" s="99" t="str">
        <f t="shared" si="26"/>
        <v/>
      </c>
      <c r="BJ571" s="100" t="str">
        <f ca="1">IFERROR(__xludf.DUMMYFUNCTION("IFERROR(VLOOKUP(F837,IMPORTRANGE(""https://docs.google.com/spreadsheets/d/1Kvs4KS76FHFqLFIZfrDMff4kP08nblUkihrxltoGBjg/edit#gid=934712705"",""ESENCIAL!A6:BG""),2,FALSE))"),"")</f>
        <v/>
      </c>
      <c r="BK571" s="19" t="str">
        <f t="shared" si="27"/>
        <v/>
      </c>
      <c r="BL571" s="100"/>
      <c r="BM571" s="100"/>
    </row>
    <row r="572" spans="2:65" ht="15">
      <c r="B572" s="39"/>
      <c r="C572" s="5"/>
      <c r="D572" s="123"/>
      <c r="E572" s="39"/>
      <c r="F572" s="39"/>
      <c r="G572" s="39"/>
      <c r="H572" s="5" t="str">
        <f ca="1">IFERROR(__xludf.DUMMYFUNCTION("IFERROR(VLOOKUP(F838,IMPORTRANGE(""https://docs.google.com/spreadsheets/d/1Kvs4KS76FHFqLFIZfrDMff4kP08nblUkihrxltoGBjg/edit#gid=934712705"",""ESENCIAL!A6:BG""),3,FALSE))"),"")</f>
        <v/>
      </c>
      <c r="I572" s="5" t="str">
        <f ca="1">IFERROR(__xludf.DUMMYFUNCTION("IFERROR(VLOOKUP(F838,IMPORTRANGE(""https://docs.google.com/spreadsheets/d/1Kvs4KS76FHFqLFIZfrDMff4kP08nblUkihrxltoGBjg/edit#gid=934712705"",""ESENCIAL!A6:BG""),8,FALSE))"),"")</f>
        <v/>
      </c>
      <c r="J572" s="39"/>
      <c r="M572" s="40"/>
      <c r="AV572" s="41" t="str">
        <f t="shared" si="24"/>
        <v/>
      </c>
      <c r="AW572" s="5" t="str">
        <f ca="1">IFERROR(__xludf.DUMMYFUNCTION("IFERROR(VLOOKUP(E838&amp;F838,IMPORTRANGE(""https://docs.google.com/spreadsheets/d/1Uw7-A9f9R21vMXxHZFNpYNeKFtG8_yji4HS352LGlSQ/edit?pli=1#gid=0"",""1_ACUM!A4:S""),11,FALSE))"),"")</f>
        <v/>
      </c>
      <c r="AX572" s="42" t="str">
        <f ca="1">IFERROR(__xludf.DUMMYFUNCTION("IFERROR(VLOOKUP(F838,IMPORTRANGE(""https://docs.google.com/spreadsheets/d/1Kvs4KS76FHFqLFIZfrDMff4kP08nblUkihrxltoGBjg/edit#gid=934712705"",""ESENCIAL!A6:BG""),15,FALSE))"),"")</f>
        <v/>
      </c>
      <c r="AY572" s="110" t="str">
        <f ca="1">IFERROR(__xludf.DUMMYFUNCTION("IFERROR(VLOOKUP(E838&amp;F838,IMPORTRANGE(""https://docs.google.com/spreadsheets/d/1Uw7-A9f9R21vMXxHZFNpYNeKFtG8_yji4HS352LGlSQ/edit?pli=1#gid=0"",""1_ACUM!A4:S""),13,FALSE))"),"")</f>
        <v/>
      </c>
      <c r="AZ572" s="43" t="str">
        <f ca="1">IFERROR(__xludf.DUMMYFUNCTION("IFERROR(VLOOKUP(E838&amp;F838,IMPORTRANGE(""https://docs.google.com/spreadsheets/d/1Uw7-A9f9R21vMXxHZFNpYNeKFtG8_yji4HS352LGlSQ/edit?pli=1#gid=0"",""1_ACUM!A4:S""),13,FALSE))"),"")</f>
        <v/>
      </c>
      <c r="BA572" s="43" t="str">
        <f ca="1">IFERROR(__xludf.DUMMYFUNCTION("IFERROR(VLOOKUP(E838&amp;F838,IMPORTRANGE(""https://docs.google.com/spreadsheets/d/1Uw7-A9f9R21vMXxHZFNpYNeKFtG8_yji4HS352LGlSQ/edit?pli=1#gid=0"",""1_ACUM!A4:S""),14,FALSE))"),"")</f>
        <v/>
      </c>
      <c r="BB572" s="43" t="str">
        <f ca="1">IFERROR(__xludf.DUMMYFUNCTION("IFERROR(VLOOKUP(E838&amp;F838,IMPORTRANGE(""https://docs.google.com/spreadsheets/d/1Uw7-A9f9R21vMXxHZFNpYNeKFtG8_yji4HS352LGlSQ/edit?pli=1#gid=0"",""1_ACUM!A4:S""),15,FALSE))"),"")</f>
        <v/>
      </c>
      <c r="BC572" s="43" t="str">
        <f ca="1">IFERROR(__xludf.DUMMYFUNCTION("IFERROR(VLOOKUP(E838&amp;F838,IMPORTRANGE(""https://docs.google.com/spreadsheets/d/1Uw7-A9f9R21vMXxHZFNpYNeKFtG8_yji4HS352LGlSQ/edit?pli=1#gid=0"",""1_ACUM!A4:S""),16,FALSE))"),"")</f>
        <v/>
      </c>
      <c r="BD572" s="43" t="str">
        <f ca="1">IFERROR(__xludf.DUMMYFUNCTION("IFERROR(VLOOKUP(E838&amp;F838,IMPORTRANGE(""https://docs.google.com/spreadsheets/d/1Uw7-A9f9R21vMXxHZFNpYNeKFtG8_yji4HS352LGlSQ/edit?pli=1#gid=0"",""1_ACUM!A4:S""),17,FALSE))"),"")</f>
        <v/>
      </c>
      <c r="BE572" s="44" t="str">
        <f ca="1">IFERROR(__xludf.DUMMYFUNCTION("IFERROR(VLOOKUP(E838&amp;F838,IMPORTRANGE(""https://docs.google.com/spreadsheets/d/1Uw7-A9f9R21vMXxHZFNpYNeKFtG8_yji4HS352LGlSQ/edit?pli=1#gid=0"",""1_ACUM!A4:S""),18,FALSE))"),"")</f>
        <v/>
      </c>
      <c r="BF572" s="44" t="str">
        <f ca="1">IFERROR(__xludf.DUMMYFUNCTION("IFERROR(VLOOKUP(E838&amp;F838,IMPORTRANGE(""https://docs.google.com/spreadsheets/d/1Uw7-A9f9R21vMXxHZFNpYNeKFtG8_yji4HS352LGlSQ/edit?pli=1#gid=0"",""1_ACUM!A4:S""),19,FALSE))"),"")</f>
        <v/>
      </c>
      <c r="BG572" s="98" t="str">
        <f ca="1">IFERROR(__xludf.DUMMYFUNCTION("IFERROR(VLOOKUP(F838,IMPORTRANGE(""https://docs.google.com/spreadsheets/d/1Kvs4KS76FHFqLFIZfrDMff4kP08nblUkihrxltoGBjg/edit#gid=934712705"",""ESENCIAL!A6:BG""),5,FALSE))"),"")</f>
        <v/>
      </c>
      <c r="BH572" s="98" t="str">
        <f t="shared" si="25"/>
        <v/>
      </c>
      <c r="BI572" s="99" t="str">
        <f t="shared" si="26"/>
        <v/>
      </c>
      <c r="BJ572" s="100" t="str">
        <f ca="1">IFERROR(__xludf.DUMMYFUNCTION("IFERROR(VLOOKUP(F838,IMPORTRANGE(""https://docs.google.com/spreadsheets/d/1Kvs4KS76FHFqLFIZfrDMff4kP08nblUkihrxltoGBjg/edit#gid=934712705"",""ESENCIAL!A6:BG""),2,FALSE))"),"")</f>
        <v/>
      </c>
      <c r="BK572" s="19" t="str">
        <f t="shared" si="27"/>
        <v/>
      </c>
      <c r="BL572" s="100"/>
      <c r="BM572" s="100"/>
    </row>
    <row r="573" spans="2:65" ht="15">
      <c r="B573" s="39"/>
      <c r="C573" s="5"/>
      <c r="D573" s="123"/>
      <c r="E573" s="39"/>
      <c r="F573" s="39"/>
      <c r="G573" s="39"/>
      <c r="H573" s="5" t="str">
        <f ca="1">IFERROR(__xludf.DUMMYFUNCTION("IFERROR(VLOOKUP(F839,IMPORTRANGE(""https://docs.google.com/spreadsheets/d/1Kvs4KS76FHFqLFIZfrDMff4kP08nblUkihrxltoGBjg/edit#gid=934712705"",""ESENCIAL!A6:BG""),3,FALSE))"),"")</f>
        <v/>
      </c>
      <c r="I573" s="5" t="str">
        <f ca="1">IFERROR(__xludf.DUMMYFUNCTION("IFERROR(VLOOKUP(F839,IMPORTRANGE(""https://docs.google.com/spreadsheets/d/1Kvs4KS76FHFqLFIZfrDMff4kP08nblUkihrxltoGBjg/edit#gid=934712705"",""ESENCIAL!A6:BG""),8,FALSE))"),"")</f>
        <v/>
      </c>
      <c r="J573" s="39"/>
      <c r="M573" s="40"/>
      <c r="AV573" s="41" t="str">
        <f t="shared" si="24"/>
        <v/>
      </c>
      <c r="AW573" s="5" t="str">
        <f ca="1">IFERROR(__xludf.DUMMYFUNCTION("IFERROR(VLOOKUP(E839&amp;F839,IMPORTRANGE(""https://docs.google.com/spreadsheets/d/1Uw7-A9f9R21vMXxHZFNpYNeKFtG8_yji4HS352LGlSQ/edit?pli=1#gid=0"",""1_ACUM!A4:S""),11,FALSE))"),"")</f>
        <v/>
      </c>
      <c r="AX573" s="42" t="str">
        <f ca="1">IFERROR(__xludf.DUMMYFUNCTION("IFERROR(VLOOKUP(F839,IMPORTRANGE(""https://docs.google.com/spreadsheets/d/1Kvs4KS76FHFqLFIZfrDMff4kP08nblUkihrxltoGBjg/edit#gid=934712705"",""ESENCIAL!A6:BG""),15,FALSE))"),"")</f>
        <v/>
      </c>
      <c r="AY573" s="110" t="str">
        <f ca="1">IFERROR(__xludf.DUMMYFUNCTION("IFERROR(VLOOKUP(E839&amp;F839,IMPORTRANGE(""https://docs.google.com/spreadsheets/d/1Uw7-A9f9R21vMXxHZFNpYNeKFtG8_yji4HS352LGlSQ/edit?pli=1#gid=0"",""1_ACUM!A4:S""),13,FALSE))"),"")</f>
        <v/>
      </c>
      <c r="AZ573" s="43" t="str">
        <f ca="1">IFERROR(__xludf.DUMMYFUNCTION("IFERROR(VLOOKUP(E839&amp;F839,IMPORTRANGE(""https://docs.google.com/spreadsheets/d/1Uw7-A9f9R21vMXxHZFNpYNeKFtG8_yji4HS352LGlSQ/edit?pli=1#gid=0"",""1_ACUM!A4:S""),13,FALSE))"),"")</f>
        <v/>
      </c>
      <c r="BA573" s="43" t="str">
        <f ca="1">IFERROR(__xludf.DUMMYFUNCTION("IFERROR(VLOOKUP(E839&amp;F839,IMPORTRANGE(""https://docs.google.com/spreadsheets/d/1Uw7-A9f9R21vMXxHZFNpYNeKFtG8_yji4HS352LGlSQ/edit?pli=1#gid=0"",""1_ACUM!A4:S""),14,FALSE))"),"")</f>
        <v/>
      </c>
      <c r="BB573" s="43" t="str">
        <f ca="1">IFERROR(__xludf.DUMMYFUNCTION("IFERROR(VLOOKUP(E839&amp;F839,IMPORTRANGE(""https://docs.google.com/spreadsheets/d/1Uw7-A9f9R21vMXxHZFNpYNeKFtG8_yji4HS352LGlSQ/edit?pli=1#gid=0"",""1_ACUM!A4:S""),15,FALSE))"),"")</f>
        <v/>
      </c>
      <c r="BC573" s="43" t="str">
        <f ca="1">IFERROR(__xludf.DUMMYFUNCTION("IFERROR(VLOOKUP(E839&amp;F839,IMPORTRANGE(""https://docs.google.com/spreadsheets/d/1Uw7-A9f9R21vMXxHZFNpYNeKFtG8_yji4HS352LGlSQ/edit?pli=1#gid=0"",""1_ACUM!A4:S""),16,FALSE))"),"")</f>
        <v/>
      </c>
      <c r="BD573" s="43" t="str">
        <f ca="1">IFERROR(__xludf.DUMMYFUNCTION("IFERROR(VLOOKUP(E839&amp;F839,IMPORTRANGE(""https://docs.google.com/spreadsheets/d/1Uw7-A9f9R21vMXxHZFNpYNeKFtG8_yji4HS352LGlSQ/edit?pli=1#gid=0"",""1_ACUM!A4:S""),17,FALSE))"),"")</f>
        <v/>
      </c>
      <c r="BE573" s="44" t="str">
        <f ca="1">IFERROR(__xludf.DUMMYFUNCTION("IFERROR(VLOOKUP(E839&amp;F839,IMPORTRANGE(""https://docs.google.com/spreadsheets/d/1Uw7-A9f9R21vMXxHZFNpYNeKFtG8_yji4HS352LGlSQ/edit?pli=1#gid=0"",""1_ACUM!A4:S""),18,FALSE))"),"")</f>
        <v/>
      </c>
      <c r="BF573" s="44" t="str">
        <f ca="1">IFERROR(__xludf.DUMMYFUNCTION("IFERROR(VLOOKUP(E839&amp;F839,IMPORTRANGE(""https://docs.google.com/spreadsheets/d/1Uw7-A9f9R21vMXxHZFNpYNeKFtG8_yji4HS352LGlSQ/edit?pli=1#gid=0"",""1_ACUM!A4:S""),19,FALSE))"),"")</f>
        <v/>
      </c>
      <c r="BG573" s="98" t="str">
        <f ca="1">IFERROR(__xludf.DUMMYFUNCTION("IFERROR(VLOOKUP(F839,IMPORTRANGE(""https://docs.google.com/spreadsheets/d/1Kvs4KS76FHFqLFIZfrDMff4kP08nblUkihrxltoGBjg/edit#gid=934712705"",""ESENCIAL!A6:BG""),5,FALSE))"),"")</f>
        <v/>
      </c>
      <c r="BH573" s="98" t="str">
        <f t="shared" si="25"/>
        <v/>
      </c>
      <c r="BI573" s="99" t="str">
        <f t="shared" si="26"/>
        <v/>
      </c>
      <c r="BJ573" s="100" t="str">
        <f ca="1">IFERROR(__xludf.DUMMYFUNCTION("IFERROR(VLOOKUP(F839,IMPORTRANGE(""https://docs.google.com/spreadsheets/d/1Kvs4KS76FHFqLFIZfrDMff4kP08nblUkihrxltoGBjg/edit#gid=934712705"",""ESENCIAL!A6:BG""),2,FALSE))"),"")</f>
        <v/>
      </c>
      <c r="BK573" s="19" t="str">
        <f t="shared" si="27"/>
        <v/>
      </c>
      <c r="BL573" s="100"/>
      <c r="BM573" s="100"/>
    </row>
    <row r="574" spans="2:65" ht="15">
      <c r="B574" s="39"/>
      <c r="C574" s="5"/>
      <c r="D574" s="123"/>
      <c r="E574" s="39"/>
      <c r="F574" s="39"/>
      <c r="G574" s="39"/>
      <c r="H574" s="5" t="str">
        <f ca="1">IFERROR(__xludf.DUMMYFUNCTION("IFERROR(VLOOKUP(F840,IMPORTRANGE(""https://docs.google.com/spreadsheets/d/1Kvs4KS76FHFqLFIZfrDMff4kP08nblUkihrxltoGBjg/edit#gid=934712705"",""ESENCIAL!A6:BG""),3,FALSE))"),"")</f>
        <v/>
      </c>
      <c r="I574" s="5" t="str">
        <f ca="1">IFERROR(__xludf.DUMMYFUNCTION("IFERROR(VLOOKUP(F840,IMPORTRANGE(""https://docs.google.com/spreadsheets/d/1Kvs4KS76FHFqLFIZfrDMff4kP08nblUkihrxltoGBjg/edit#gid=934712705"",""ESENCIAL!A6:BG""),8,FALSE))"),"")</f>
        <v/>
      </c>
      <c r="J574" s="39"/>
      <c r="M574" s="40"/>
      <c r="AV574" s="41" t="str">
        <f t="shared" si="24"/>
        <v/>
      </c>
      <c r="AW574" s="5" t="str">
        <f ca="1">IFERROR(__xludf.DUMMYFUNCTION("IFERROR(VLOOKUP(E840&amp;F840,IMPORTRANGE(""https://docs.google.com/spreadsheets/d/1Uw7-A9f9R21vMXxHZFNpYNeKFtG8_yji4HS352LGlSQ/edit?pli=1#gid=0"",""1_ACUM!A4:S""),11,FALSE))"),"")</f>
        <v/>
      </c>
      <c r="AX574" s="42" t="str">
        <f ca="1">IFERROR(__xludf.DUMMYFUNCTION("IFERROR(VLOOKUP(F840,IMPORTRANGE(""https://docs.google.com/spreadsheets/d/1Kvs4KS76FHFqLFIZfrDMff4kP08nblUkihrxltoGBjg/edit#gid=934712705"",""ESENCIAL!A6:BG""),15,FALSE))"),"")</f>
        <v/>
      </c>
      <c r="AY574" s="110" t="str">
        <f ca="1">IFERROR(__xludf.DUMMYFUNCTION("IFERROR(VLOOKUP(E840&amp;F840,IMPORTRANGE(""https://docs.google.com/spreadsheets/d/1Uw7-A9f9R21vMXxHZFNpYNeKFtG8_yji4HS352LGlSQ/edit?pli=1#gid=0"",""1_ACUM!A4:S""),13,FALSE))"),"")</f>
        <v/>
      </c>
      <c r="AZ574" s="43" t="str">
        <f ca="1">IFERROR(__xludf.DUMMYFUNCTION("IFERROR(VLOOKUP(E840&amp;F840,IMPORTRANGE(""https://docs.google.com/spreadsheets/d/1Uw7-A9f9R21vMXxHZFNpYNeKFtG8_yji4HS352LGlSQ/edit?pli=1#gid=0"",""1_ACUM!A4:S""),13,FALSE))"),"")</f>
        <v/>
      </c>
      <c r="BA574" s="43" t="str">
        <f ca="1">IFERROR(__xludf.DUMMYFUNCTION("IFERROR(VLOOKUP(E840&amp;F840,IMPORTRANGE(""https://docs.google.com/spreadsheets/d/1Uw7-A9f9R21vMXxHZFNpYNeKFtG8_yji4HS352LGlSQ/edit?pli=1#gid=0"",""1_ACUM!A4:S""),14,FALSE))"),"")</f>
        <v/>
      </c>
      <c r="BB574" s="43" t="str">
        <f ca="1">IFERROR(__xludf.DUMMYFUNCTION("IFERROR(VLOOKUP(E840&amp;F840,IMPORTRANGE(""https://docs.google.com/spreadsheets/d/1Uw7-A9f9R21vMXxHZFNpYNeKFtG8_yji4HS352LGlSQ/edit?pli=1#gid=0"",""1_ACUM!A4:S""),15,FALSE))"),"")</f>
        <v/>
      </c>
      <c r="BC574" s="43" t="str">
        <f ca="1">IFERROR(__xludf.DUMMYFUNCTION("IFERROR(VLOOKUP(E840&amp;F840,IMPORTRANGE(""https://docs.google.com/spreadsheets/d/1Uw7-A9f9R21vMXxHZFNpYNeKFtG8_yji4HS352LGlSQ/edit?pli=1#gid=0"",""1_ACUM!A4:S""),16,FALSE))"),"")</f>
        <v/>
      </c>
      <c r="BD574" s="43" t="str">
        <f ca="1">IFERROR(__xludf.DUMMYFUNCTION("IFERROR(VLOOKUP(E840&amp;F840,IMPORTRANGE(""https://docs.google.com/spreadsheets/d/1Uw7-A9f9R21vMXxHZFNpYNeKFtG8_yji4HS352LGlSQ/edit?pli=1#gid=0"",""1_ACUM!A4:S""),17,FALSE))"),"")</f>
        <v/>
      </c>
      <c r="BE574" s="44" t="str">
        <f ca="1">IFERROR(__xludf.DUMMYFUNCTION("IFERROR(VLOOKUP(E840&amp;F840,IMPORTRANGE(""https://docs.google.com/spreadsheets/d/1Uw7-A9f9R21vMXxHZFNpYNeKFtG8_yji4HS352LGlSQ/edit?pli=1#gid=0"",""1_ACUM!A4:S""),18,FALSE))"),"")</f>
        <v/>
      </c>
      <c r="BF574" s="44" t="str">
        <f ca="1">IFERROR(__xludf.DUMMYFUNCTION("IFERROR(VLOOKUP(E840&amp;F840,IMPORTRANGE(""https://docs.google.com/spreadsheets/d/1Uw7-A9f9R21vMXxHZFNpYNeKFtG8_yji4HS352LGlSQ/edit?pli=1#gid=0"",""1_ACUM!A4:S""),19,FALSE))"),"")</f>
        <v/>
      </c>
      <c r="BG574" s="98" t="str">
        <f ca="1">IFERROR(__xludf.DUMMYFUNCTION("IFERROR(VLOOKUP(F840,IMPORTRANGE(""https://docs.google.com/spreadsheets/d/1Kvs4KS76FHFqLFIZfrDMff4kP08nblUkihrxltoGBjg/edit#gid=934712705"",""ESENCIAL!A6:BG""),5,FALSE))"),"")</f>
        <v/>
      </c>
      <c r="BH574" s="98" t="str">
        <f t="shared" si="25"/>
        <v/>
      </c>
      <c r="BI574" s="99" t="str">
        <f t="shared" si="26"/>
        <v/>
      </c>
      <c r="BJ574" s="100" t="str">
        <f ca="1">IFERROR(__xludf.DUMMYFUNCTION("IFERROR(VLOOKUP(F840,IMPORTRANGE(""https://docs.google.com/spreadsheets/d/1Kvs4KS76FHFqLFIZfrDMff4kP08nblUkihrxltoGBjg/edit#gid=934712705"",""ESENCIAL!A6:BG""),2,FALSE))"),"")</f>
        <v/>
      </c>
      <c r="BK574" s="19" t="str">
        <f t="shared" si="27"/>
        <v/>
      </c>
      <c r="BL574" s="100"/>
      <c r="BM574" s="100"/>
    </row>
    <row r="575" spans="2:65" ht="15">
      <c r="B575" s="39"/>
      <c r="C575" s="5"/>
      <c r="D575" s="123"/>
      <c r="E575" s="39"/>
      <c r="F575" s="39"/>
      <c r="G575" s="39"/>
      <c r="H575" s="5" t="str">
        <f ca="1">IFERROR(__xludf.DUMMYFUNCTION("IFERROR(VLOOKUP(F841,IMPORTRANGE(""https://docs.google.com/spreadsheets/d/1Kvs4KS76FHFqLFIZfrDMff4kP08nblUkihrxltoGBjg/edit#gid=934712705"",""ESENCIAL!A6:BG""),3,FALSE))"),"")</f>
        <v/>
      </c>
      <c r="I575" s="5" t="str">
        <f ca="1">IFERROR(__xludf.DUMMYFUNCTION("IFERROR(VLOOKUP(F841,IMPORTRANGE(""https://docs.google.com/spreadsheets/d/1Kvs4KS76FHFqLFIZfrDMff4kP08nblUkihrxltoGBjg/edit#gid=934712705"",""ESENCIAL!A6:BG""),8,FALSE))"),"")</f>
        <v/>
      </c>
      <c r="J575" s="39"/>
      <c r="M575" s="40"/>
      <c r="AV575" s="41" t="str">
        <f t="shared" si="24"/>
        <v/>
      </c>
      <c r="AW575" s="5" t="str">
        <f ca="1">IFERROR(__xludf.DUMMYFUNCTION("IFERROR(VLOOKUP(E841&amp;F841,IMPORTRANGE(""https://docs.google.com/spreadsheets/d/1Uw7-A9f9R21vMXxHZFNpYNeKFtG8_yji4HS352LGlSQ/edit?pli=1#gid=0"",""1_ACUM!A4:S""),11,FALSE))"),"")</f>
        <v/>
      </c>
      <c r="AX575" s="42" t="str">
        <f ca="1">IFERROR(__xludf.DUMMYFUNCTION("IFERROR(VLOOKUP(F841,IMPORTRANGE(""https://docs.google.com/spreadsheets/d/1Kvs4KS76FHFqLFIZfrDMff4kP08nblUkihrxltoGBjg/edit#gid=934712705"",""ESENCIAL!A6:BG""),15,FALSE))"),"")</f>
        <v/>
      </c>
      <c r="AY575" s="110" t="str">
        <f ca="1">IFERROR(__xludf.DUMMYFUNCTION("IFERROR(VLOOKUP(E841&amp;F841,IMPORTRANGE(""https://docs.google.com/spreadsheets/d/1Uw7-A9f9R21vMXxHZFNpYNeKFtG8_yji4HS352LGlSQ/edit?pli=1#gid=0"",""1_ACUM!A4:S""),13,FALSE))"),"")</f>
        <v/>
      </c>
      <c r="AZ575" s="43" t="str">
        <f ca="1">IFERROR(__xludf.DUMMYFUNCTION("IFERROR(VLOOKUP(E841&amp;F841,IMPORTRANGE(""https://docs.google.com/spreadsheets/d/1Uw7-A9f9R21vMXxHZFNpYNeKFtG8_yji4HS352LGlSQ/edit?pli=1#gid=0"",""1_ACUM!A4:S""),13,FALSE))"),"")</f>
        <v/>
      </c>
      <c r="BA575" s="43" t="str">
        <f ca="1">IFERROR(__xludf.DUMMYFUNCTION("IFERROR(VLOOKUP(E841&amp;F841,IMPORTRANGE(""https://docs.google.com/spreadsheets/d/1Uw7-A9f9R21vMXxHZFNpYNeKFtG8_yji4HS352LGlSQ/edit?pli=1#gid=0"",""1_ACUM!A4:S""),14,FALSE))"),"")</f>
        <v/>
      </c>
      <c r="BB575" s="43" t="str">
        <f ca="1">IFERROR(__xludf.DUMMYFUNCTION("IFERROR(VLOOKUP(E841&amp;F841,IMPORTRANGE(""https://docs.google.com/spreadsheets/d/1Uw7-A9f9R21vMXxHZFNpYNeKFtG8_yji4HS352LGlSQ/edit?pli=1#gid=0"",""1_ACUM!A4:S""),15,FALSE))"),"")</f>
        <v/>
      </c>
      <c r="BC575" s="43" t="str">
        <f ca="1">IFERROR(__xludf.DUMMYFUNCTION("IFERROR(VLOOKUP(E841&amp;F841,IMPORTRANGE(""https://docs.google.com/spreadsheets/d/1Uw7-A9f9R21vMXxHZFNpYNeKFtG8_yji4HS352LGlSQ/edit?pli=1#gid=0"",""1_ACUM!A4:S""),16,FALSE))"),"")</f>
        <v/>
      </c>
      <c r="BD575" s="43" t="str">
        <f ca="1">IFERROR(__xludf.DUMMYFUNCTION("IFERROR(VLOOKUP(E841&amp;F841,IMPORTRANGE(""https://docs.google.com/spreadsheets/d/1Uw7-A9f9R21vMXxHZFNpYNeKFtG8_yji4HS352LGlSQ/edit?pli=1#gid=0"",""1_ACUM!A4:S""),17,FALSE))"),"")</f>
        <v/>
      </c>
      <c r="BE575" s="44" t="str">
        <f ca="1">IFERROR(__xludf.DUMMYFUNCTION("IFERROR(VLOOKUP(E841&amp;F841,IMPORTRANGE(""https://docs.google.com/spreadsheets/d/1Uw7-A9f9R21vMXxHZFNpYNeKFtG8_yji4HS352LGlSQ/edit?pli=1#gid=0"",""1_ACUM!A4:S""),18,FALSE))"),"")</f>
        <v/>
      </c>
      <c r="BF575" s="44" t="str">
        <f ca="1">IFERROR(__xludf.DUMMYFUNCTION("IFERROR(VLOOKUP(E841&amp;F841,IMPORTRANGE(""https://docs.google.com/spreadsheets/d/1Uw7-A9f9R21vMXxHZFNpYNeKFtG8_yji4HS352LGlSQ/edit?pli=1#gid=0"",""1_ACUM!A4:S""),19,FALSE))"),"")</f>
        <v/>
      </c>
      <c r="BG575" s="98" t="str">
        <f ca="1">IFERROR(__xludf.DUMMYFUNCTION("IFERROR(VLOOKUP(F841,IMPORTRANGE(""https://docs.google.com/spreadsheets/d/1Kvs4KS76FHFqLFIZfrDMff4kP08nblUkihrxltoGBjg/edit#gid=934712705"",""ESENCIAL!A6:BG""),5,FALSE))"),"")</f>
        <v/>
      </c>
      <c r="BH575" s="98" t="str">
        <f t="shared" si="25"/>
        <v/>
      </c>
      <c r="BI575" s="99" t="str">
        <f t="shared" si="26"/>
        <v/>
      </c>
      <c r="BJ575" s="100" t="str">
        <f ca="1">IFERROR(__xludf.DUMMYFUNCTION("IFERROR(VLOOKUP(F841,IMPORTRANGE(""https://docs.google.com/spreadsheets/d/1Kvs4KS76FHFqLFIZfrDMff4kP08nblUkihrxltoGBjg/edit#gid=934712705"",""ESENCIAL!A6:BG""),2,FALSE))"),"")</f>
        <v/>
      </c>
      <c r="BK575" s="19" t="str">
        <f t="shared" si="27"/>
        <v/>
      </c>
      <c r="BL575" s="100"/>
      <c r="BM575" s="100"/>
    </row>
    <row r="576" spans="2:65" ht="15">
      <c r="B576" s="39"/>
      <c r="C576" s="5"/>
      <c r="D576" s="123"/>
      <c r="E576" s="39"/>
      <c r="F576" s="39"/>
      <c r="G576" s="39"/>
      <c r="H576" s="5" t="str">
        <f ca="1">IFERROR(__xludf.DUMMYFUNCTION("IFERROR(VLOOKUP(F842,IMPORTRANGE(""https://docs.google.com/spreadsheets/d/1Kvs4KS76FHFqLFIZfrDMff4kP08nblUkihrxltoGBjg/edit#gid=934712705"",""ESENCIAL!A6:BG""),3,FALSE))"),"")</f>
        <v/>
      </c>
      <c r="I576" s="5" t="str">
        <f ca="1">IFERROR(__xludf.DUMMYFUNCTION("IFERROR(VLOOKUP(F842,IMPORTRANGE(""https://docs.google.com/spreadsheets/d/1Kvs4KS76FHFqLFIZfrDMff4kP08nblUkihrxltoGBjg/edit#gid=934712705"",""ESENCIAL!A6:BG""),8,FALSE))"),"")</f>
        <v/>
      </c>
      <c r="J576" s="39"/>
      <c r="M576" s="40"/>
      <c r="AV576" s="41" t="str">
        <f t="shared" si="24"/>
        <v/>
      </c>
      <c r="AW576" s="5" t="str">
        <f ca="1">IFERROR(__xludf.DUMMYFUNCTION("IFERROR(VLOOKUP(E842&amp;F842,IMPORTRANGE(""https://docs.google.com/spreadsheets/d/1Uw7-A9f9R21vMXxHZFNpYNeKFtG8_yji4HS352LGlSQ/edit?pli=1#gid=0"",""1_ACUM!A4:S""),11,FALSE))"),"")</f>
        <v/>
      </c>
      <c r="AX576" s="42" t="str">
        <f ca="1">IFERROR(__xludf.DUMMYFUNCTION("IFERROR(VLOOKUP(F842,IMPORTRANGE(""https://docs.google.com/spreadsheets/d/1Kvs4KS76FHFqLFIZfrDMff4kP08nblUkihrxltoGBjg/edit#gid=934712705"",""ESENCIAL!A6:BG""),15,FALSE))"),"")</f>
        <v/>
      </c>
      <c r="AY576" s="110" t="str">
        <f ca="1">IFERROR(__xludf.DUMMYFUNCTION("IFERROR(VLOOKUP(E842&amp;F842,IMPORTRANGE(""https://docs.google.com/spreadsheets/d/1Uw7-A9f9R21vMXxHZFNpYNeKFtG8_yji4HS352LGlSQ/edit?pli=1#gid=0"",""1_ACUM!A4:S""),13,FALSE))"),"")</f>
        <v/>
      </c>
      <c r="AZ576" s="43" t="str">
        <f ca="1">IFERROR(__xludf.DUMMYFUNCTION("IFERROR(VLOOKUP(E842&amp;F842,IMPORTRANGE(""https://docs.google.com/spreadsheets/d/1Uw7-A9f9R21vMXxHZFNpYNeKFtG8_yji4HS352LGlSQ/edit?pli=1#gid=0"",""1_ACUM!A4:S""),13,FALSE))"),"")</f>
        <v/>
      </c>
      <c r="BA576" s="43" t="str">
        <f ca="1">IFERROR(__xludf.DUMMYFUNCTION("IFERROR(VLOOKUP(E842&amp;F842,IMPORTRANGE(""https://docs.google.com/spreadsheets/d/1Uw7-A9f9R21vMXxHZFNpYNeKFtG8_yji4HS352LGlSQ/edit?pli=1#gid=0"",""1_ACUM!A4:S""),14,FALSE))"),"")</f>
        <v/>
      </c>
      <c r="BB576" s="43" t="str">
        <f ca="1">IFERROR(__xludf.DUMMYFUNCTION("IFERROR(VLOOKUP(E842&amp;F842,IMPORTRANGE(""https://docs.google.com/spreadsheets/d/1Uw7-A9f9R21vMXxHZFNpYNeKFtG8_yji4HS352LGlSQ/edit?pli=1#gid=0"",""1_ACUM!A4:S""),15,FALSE))"),"")</f>
        <v/>
      </c>
      <c r="BC576" s="43" t="str">
        <f ca="1">IFERROR(__xludf.DUMMYFUNCTION("IFERROR(VLOOKUP(E842&amp;F842,IMPORTRANGE(""https://docs.google.com/spreadsheets/d/1Uw7-A9f9R21vMXxHZFNpYNeKFtG8_yji4HS352LGlSQ/edit?pli=1#gid=0"",""1_ACUM!A4:S""),16,FALSE))"),"")</f>
        <v/>
      </c>
      <c r="BD576" s="43" t="str">
        <f ca="1">IFERROR(__xludf.DUMMYFUNCTION("IFERROR(VLOOKUP(E842&amp;F842,IMPORTRANGE(""https://docs.google.com/spreadsheets/d/1Uw7-A9f9R21vMXxHZFNpYNeKFtG8_yji4HS352LGlSQ/edit?pli=1#gid=0"",""1_ACUM!A4:S""),17,FALSE))"),"")</f>
        <v/>
      </c>
      <c r="BE576" s="44" t="str">
        <f ca="1">IFERROR(__xludf.DUMMYFUNCTION("IFERROR(VLOOKUP(E842&amp;F842,IMPORTRANGE(""https://docs.google.com/spreadsheets/d/1Uw7-A9f9R21vMXxHZFNpYNeKFtG8_yji4HS352LGlSQ/edit?pli=1#gid=0"",""1_ACUM!A4:S""),18,FALSE))"),"")</f>
        <v/>
      </c>
      <c r="BF576" s="44" t="str">
        <f ca="1">IFERROR(__xludf.DUMMYFUNCTION("IFERROR(VLOOKUP(E842&amp;F842,IMPORTRANGE(""https://docs.google.com/spreadsheets/d/1Uw7-A9f9R21vMXxHZFNpYNeKFtG8_yji4HS352LGlSQ/edit?pli=1#gid=0"",""1_ACUM!A4:S""),19,FALSE))"),"")</f>
        <v/>
      </c>
      <c r="BG576" s="98" t="str">
        <f ca="1">IFERROR(__xludf.DUMMYFUNCTION("IFERROR(VLOOKUP(F842,IMPORTRANGE(""https://docs.google.com/spreadsheets/d/1Kvs4KS76FHFqLFIZfrDMff4kP08nblUkihrxltoGBjg/edit#gid=934712705"",""ESENCIAL!A6:BG""),5,FALSE))"),"")</f>
        <v/>
      </c>
      <c r="BH576" s="98" t="str">
        <f t="shared" si="25"/>
        <v/>
      </c>
      <c r="BI576" s="99" t="str">
        <f t="shared" si="26"/>
        <v/>
      </c>
      <c r="BJ576" s="100" t="str">
        <f ca="1">IFERROR(__xludf.DUMMYFUNCTION("IFERROR(VLOOKUP(F842,IMPORTRANGE(""https://docs.google.com/spreadsheets/d/1Kvs4KS76FHFqLFIZfrDMff4kP08nblUkihrxltoGBjg/edit#gid=934712705"",""ESENCIAL!A6:BG""),2,FALSE))"),"")</f>
        <v/>
      </c>
      <c r="BK576" s="19" t="str">
        <f t="shared" si="27"/>
        <v/>
      </c>
      <c r="BL576" s="100"/>
      <c r="BM576" s="100"/>
    </row>
    <row r="577" spans="2:65" ht="15">
      <c r="B577" s="39"/>
      <c r="C577" s="5"/>
      <c r="D577" s="123"/>
      <c r="E577" s="39"/>
      <c r="F577" s="39"/>
      <c r="G577" s="39"/>
      <c r="H577" s="5" t="str">
        <f ca="1">IFERROR(__xludf.DUMMYFUNCTION("IFERROR(VLOOKUP(F843,IMPORTRANGE(""https://docs.google.com/spreadsheets/d/1Kvs4KS76FHFqLFIZfrDMff4kP08nblUkihrxltoGBjg/edit#gid=934712705"",""ESENCIAL!A6:BG""),3,FALSE))"),"")</f>
        <v/>
      </c>
      <c r="I577" s="5" t="str">
        <f ca="1">IFERROR(__xludf.DUMMYFUNCTION("IFERROR(VLOOKUP(F843,IMPORTRANGE(""https://docs.google.com/spreadsheets/d/1Kvs4KS76FHFqLFIZfrDMff4kP08nblUkihrxltoGBjg/edit#gid=934712705"",""ESENCIAL!A6:BG""),8,FALSE))"),"")</f>
        <v/>
      </c>
      <c r="J577" s="39"/>
      <c r="M577" s="40"/>
      <c r="AV577" s="41" t="str">
        <f t="shared" si="24"/>
        <v/>
      </c>
      <c r="AW577" s="5" t="str">
        <f ca="1">IFERROR(__xludf.DUMMYFUNCTION("IFERROR(VLOOKUP(E843&amp;F843,IMPORTRANGE(""https://docs.google.com/spreadsheets/d/1Uw7-A9f9R21vMXxHZFNpYNeKFtG8_yji4HS352LGlSQ/edit?pli=1#gid=0"",""1_ACUM!A4:S""),11,FALSE))"),"")</f>
        <v/>
      </c>
      <c r="AX577" s="42" t="str">
        <f ca="1">IFERROR(__xludf.DUMMYFUNCTION("IFERROR(VLOOKUP(F843,IMPORTRANGE(""https://docs.google.com/spreadsheets/d/1Kvs4KS76FHFqLFIZfrDMff4kP08nblUkihrxltoGBjg/edit#gid=934712705"",""ESENCIAL!A6:BG""),15,FALSE))"),"")</f>
        <v/>
      </c>
      <c r="AY577" s="110" t="str">
        <f ca="1">IFERROR(__xludf.DUMMYFUNCTION("IFERROR(VLOOKUP(E843&amp;F843,IMPORTRANGE(""https://docs.google.com/spreadsheets/d/1Uw7-A9f9R21vMXxHZFNpYNeKFtG8_yji4HS352LGlSQ/edit?pli=1#gid=0"",""1_ACUM!A4:S""),13,FALSE))"),"")</f>
        <v/>
      </c>
      <c r="AZ577" s="43" t="str">
        <f ca="1">IFERROR(__xludf.DUMMYFUNCTION("IFERROR(VLOOKUP(E843&amp;F843,IMPORTRANGE(""https://docs.google.com/spreadsheets/d/1Uw7-A9f9R21vMXxHZFNpYNeKFtG8_yji4HS352LGlSQ/edit?pli=1#gid=0"",""1_ACUM!A4:S""),13,FALSE))"),"")</f>
        <v/>
      </c>
      <c r="BA577" s="43" t="str">
        <f ca="1">IFERROR(__xludf.DUMMYFUNCTION("IFERROR(VLOOKUP(E843&amp;F843,IMPORTRANGE(""https://docs.google.com/spreadsheets/d/1Uw7-A9f9R21vMXxHZFNpYNeKFtG8_yji4HS352LGlSQ/edit?pli=1#gid=0"",""1_ACUM!A4:S""),14,FALSE))"),"")</f>
        <v/>
      </c>
      <c r="BB577" s="43" t="str">
        <f ca="1">IFERROR(__xludf.DUMMYFUNCTION("IFERROR(VLOOKUP(E843&amp;F843,IMPORTRANGE(""https://docs.google.com/spreadsheets/d/1Uw7-A9f9R21vMXxHZFNpYNeKFtG8_yji4HS352LGlSQ/edit?pli=1#gid=0"",""1_ACUM!A4:S""),15,FALSE))"),"")</f>
        <v/>
      </c>
      <c r="BC577" s="43" t="str">
        <f ca="1">IFERROR(__xludf.DUMMYFUNCTION("IFERROR(VLOOKUP(E843&amp;F843,IMPORTRANGE(""https://docs.google.com/spreadsheets/d/1Uw7-A9f9R21vMXxHZFNpYNeKFtG8_yji4HS352LGlSQ/edit?pli=1#gid=0"",""1_ACUM!A4:S""),16,FALSE))"),"")</f>
        <v/>
      </c>
      <c r="BD577" s="43" t="str">
        <f ca="1">IFERROR(__xludf.DUMMYFUNCTION("IFERROR(VLOOKUP(E843&amp;F843,IMPORTRANGE(""https://docs.google.com/spreadsheets/d/1Uw7-A9f9R21vMXxHZFNpYNeKFtG8_yji4HS352LGlSQ/edit?pli=1#gid=0"",""1_ACUM!A4:S""),17,FALSE))"),"")</f>
        <v/>
      </c>
      <c r="BE577" s="44" t="str">
        <f ca="1">IFERROR(__xludf.DUMMYFUNCTION("IFERROR(VLOOKUP(E843&amp;F843,IMPORTRANGE(""https://docs.google.com/spreadsheets/d/1Uw7-A9f9R21vMXxHZFNpYNeKFtG8_yji4HS352LGlSQ/edit?pli=1#gid=0"",""1_ACUM!A4:S""),18,FALSE))"),"")</f>
        <v/>
      </c>
      <c r="BF577" s="44" t="str">
        <f ca="1">IFERROR(__xludf.DUMMYFUNCTION("IFERROR(VLOOKUP(E843&amp;F843,IMPORTRANGE(""https://docs.google.com/spreadsheets/d/1Uw7-A9f9R21vMXxHZFNpYNeKFtG8_yji4HS352LGlSQ/edit?pli=1#gid=0"",""1_ACUM!A4:S""),19,FALSE))"),"")</f>
        <v/>
      </c>
      <c r="BG577" s="98" t="str">
        <f ca="1">IFERROR(__xludf.DUMMYFUNCTION("IFERROR(VLOOKUP(F843,IMPORTRANGE(""https://docs.google.com/spreadsheets/d/1Kvs4KS76FHFqLFIZfrDMff4kP08nblUkihrxltoGBjg/edit#gid=934712705"",""ESENCIAL!A6:BG""),5,FALSE))"),"")</f>
        <v/>
      </c>
      <c r="BH577" s="98" t="str">
        <f t="shared" si="25"/>
        <v/>
      </c>
      <c r="BI577" s="99" t="str">
        <f t="shared" si="26"/>
        <v/>
      </c>
      <c r="BJ577" s="100" t="str">
        <f ca="1">IFERROR(__xludf.DUMMYFUNCTION("IFERROR(VLOOKUP(F843,IMPORTRANGE(""https://docs.google.com/spreadsheets/d/1Kvs4KS76FHFqLFIZfrDMff4kP08nblUkihrxltoGBjg/edit#gid=934712705"",""ESENCIAL!A6:BG""),2,FALSE))"),"")</f>
        <v/>
      </c>
      <c r="BK577" s="19" t="str">
        <f t="shared" si="27"/>
        <v/>
      </c>
      <c r="BL577" s="100"/>
      <c r="BM577" s="100"/>
    </row>
    <row r="578" spans="2:65" ht="15">
      <c r="B578" s="39"/>
      <c r="C578" s="5"/>
      <c r="D578" s="123"/>
      <c r="E578" s="39"/>
      <c r="F578" s="39"/>
      <c r="G578" s="39"/>
      <c r="H578" s="5" t="str">
        <f ca="1">IFERROR(__xludf.DUMMYFUNCTION("IFERROR(VLOOKUP(F844,IMPORTRANGE(""https://docs.google.com/spreadsheets/d/1Kvs4KS76FHFqLFIZfrDMff4kP08nblUkihrxltoGBjg/edit#gid=934712705"",""ESENCIAL!A6:BG""),3,FALSE))"),"")</f>
        <v/>
      </c>
      <c r="I578" s="5" t="str">
        <f ca="1">IFERROR(__xludf.DUMMYFUNCTION("IFERROR(VLOOKUP(F844,IMPORTRANGE(""https://docs.google.com/spreadsheets/d/1Kvs4KS76FHFqLFIZfrDMff4kP08nblUkihrxltoGBjg/edit#gid=934712705"",""ESENCIAL!A6:BG""),8,FALSE))"),"")</f>
        <v/>
      </c>
      <c r="J578" s="39"/>
      <c r="M578" s="40"/>
      <c r="AV578" s="41" t="str">
        <f t="shared" si="24"/>
        <v/>
      </c>
      <c r="AW578" s="5" t="str">
        <f ca="1">IFERROR(__xludf.DUMMYFUNCTION("IFERROR(VLOOKUP(E844&amp;F844,IMPORTRANGE(""https://docs.google.com/spreadsheets/d/1Uw7-A9f9R21vMXxHZFNpYNeKFtG8_yji4HS352LGlSQ/edit?pli=1#gid=0"",""1_ACUM!A4:S""),11,FALSE))"),"")</f>
        <v/>
      </c>
      <c r="AX578" s="42" t="str">
        <f ca="1">IFERROR(__xludf.DUMMYFUNCTION("IFERROR(VLOOKUP(F844,IMPORTRANGE(""https://docs.google.com/spreadsheets/d/1Kvs4KS76FHFqLFIZfrDMff4kP08nblUkihrxltoGBjg/edit#gid=934712705"",""ESENCIAL!A6:BG""),15,FALSE))"),"")</f>
        <v/>
      </c>
      <c r="AY578" s="110" t="str">
        <f ca="1">IFERROR(__xludf.DUMMYFUNCTION("IFERROR(VLOOKUP(E844&amp;F844,IMPORTRANGE(""https://docs.google.com/spreadsheets/d/1Uw7-A9f9R21vMXxHZFNpYNeKFtG8_yji4HS352LGlSQ/edit?pli=1#gid=0"",""1_ACUM!A4:S""),13,FALSE))"),"")</f>
        <v/>
      </c>
      <c r="AZ578" s="43" t="str">
        <f ca="1">IFERROR(__xludf.DUMMYFUNCTION("IFERROR(VLOOKUP(E844&amp;F844,IMPORTRANGE(""https://docs.google.com/spreadsheets/d/1Uw7-A9f9R21vMXxHZFNpYNeKFtG8_yji4HS352LGlSQ/edit?pli=1#gid=0"",""1_ACUM!A4:S""),13,FALSE))"),"")</f>
        <v/>
      </c>
      <c r="BA578" s="43" t="str">
        <f ca="1">IFERROR(__xludf.DUMMYFUNCTION("IFERROR(VLOOKUP(E844&amp;F844,IMPORTRANGE(""https://docs.google.com/spreadsheets/d/1Uw7-A9f9R21vMXxHZFNpYNeKFtG8_yji4HS352LGlSQ/edit?pli=1#gid=0"",""1_ACUM!A4:S""),14,FALSE))"),"")</f>
        <v/>
      </c>
      <c r="BB578" s="43" t="str">
        <f ca="1">IFERROR(__xludf.DUMMYFUNCTION("IFERROR(VLOOKUP(E844&amp;F844,IMPORTRANGE(""https://docs.google.com/spreadsheets/d/1Uw7-A9f9R21vMXxHZFNpYNeKFtG8_yji4HS352LGlSQ/edit?pli=1#gid=0"",""1_ACUM!A4:S""),15,FALSE))"),"")</f>
        <v/>
      </c>
      <c r="BC578" s="43" t="str">
        <f ca="1">IFERROR(__xludf.DUMMYFUNCTION("IFERROR(VLOOKUP(E844&amp;F844,IMPORTRANGE(""https://docs.google.com/spreadsheets/d/1Uw7-A9f9R21vMXxHZFNpYNeKFtG8_yji4HS352LGlSQ/edit?pli=1#gid=0"",""1_ACUM!A4:S""),16,FALSE))"),"")</f>
        <v/>
      </c>
      <c r="BD578" s="43" t="str">
        <f ca="1">IFERROR(__xludf.DUMMYFUNCTION("IFERROR(VLOOKUP(E844&amp;F844,IMPORTRANGE(""https://docs.google.com/spreadsheets/d/1Uw7-A9f9R21vMXxHZFNpYNeKFtG8_yji4HS352LGlSQ/edit?pli=1#gid=0"",""1_ACUM!A4:S""),17,FALSE))"),"")</f>
        <v/>
      </c>
      <c r="BE578" s="44" t="str">
        <f ca="1">IFERROR(__xludf.DUMMYFUNCTION("IFERROR(VLOOKUP(E844&amp;F844,IMPORTRANGE(""https://docs.google.com/spreadsheets/d/1Uw7-A9f9R21vMXxHZFNpYNeKFtG8_yji4HS352LGlSQ/edit?pli=1#gid=0"",""1_ACUM!A4:S""),18,FALSE))"),"")</f>
        <v/>
      </c>
      <c r="BF578" s="44" t="str">
        <f ca="1">IFERROR(__xludf.DUMMYFUNCTION("IFERROR(VLOOKUP(E844&amp;F844,IMPORTRANGE(""https://docs.google.com/spreadsheets/d/1Uw7-A9f9R21vMXxHZFNpYNeKFtG8_yji4HS352LGlSQ/edit?pli=1#gid=0"",""1_ACUM!A4:S""),19,FALSE))"),"")</f>
        <v/>
      </c>
      <c r="BG578" s="98" t="str">
        <f ca="1">IFERROR(__xludf.DUMMYFUNCTION("IFERROR(VLOOKUP(F844,IMPORTRANGE(""https://docs.google.com/spreadsheets/d/1Kvs4KS76FHFqLFIZfrDMff4kP08nblUkihrxltoGBjg/edit#gid=934712705"",""ESENCIAL!A6:BG""),5,FALSE))"),"")</f>
        <v/>
      </c>
      <c r="BH578" s="98" t="str">
        <f t="shared" si="25"/>
        <v/>
      </c>
      <c r="BI578" s="99" t="str">
        <f t="shared" si="26"/>
        <v/>
      </c>
      <c r="BJ578" s="100" t="str">
        <f ca="1">IFERROR(__xludf.DUMMYFUNCTION("IFERROR(VLOOKUP(F844,IMPORTRANGE(""https://docs.google.com/spreadsheets/d/1Kvs4KS76FHFqLFIZfrDMff4kP08nblUkihrxltoGBjg/edit#gid=934712705"",""ESENCIAL!A6:BG""),2,FALSE))"),"")</f>
        <v/>
      </c>
      <c r="BK578" s="19" t="str">
        <f t="shared" si="27"/>
        <v/>
      </c>
      <c r="BL578" s="100"/>
      <c r="BM578" s="100"/>
    </row>
    <row r="579" spans="2:65" ht="15">
      <c r="B579" s="39"/>
      <c r="C579" s="5"/>
      <c r="D579" s="123"/>
      <c r="E579" s="39"/>
      <c r="F579" s="39"/>
      <c r="G579" s="39"/>
      <c r="H579" s="5" t="str">
        <f ca="1">IFERROR(__xludf.DUMMYFUNCTION("IFERROR(VLOOKUP(F845,IMPORTRANGE(""https://docs.google.com/spreadsheets/d/1Kvs4KS76FHFqLFIZfrDMff4kP08nblUkihrxltoGBjg/edit#gid=934712705"",""ESENCIAL!A6:BG""),3,FALSE))"),"")</f>
        <v/>
      </c>
      <c r="I579" s="5" t="str">
        <f ca="1">IFERROR(__xludf.DUMMYFUNCTION("IFERROR(VLOOKUP(F845,IMPORTRANGE(""https://docs.google.com/spreadsheets/d/1Kvs4KS76FHFqLFIZfrDMff4kP08nblUkihrxltoGBjg/edit#gid=934712705"",""ESENCIAL!A6:BG""),8,FALSE))"),"")</f>
        <v/>
      </c>
      <c r="J579" s="39"/>
      <c r="M579" s="40"/>
      <c r="AV579" s="41" t="str">
        <f t="shared" si="24"/>
        <v/>
      </c>
      <c r="AW579" s="5" t="str">
        <f ca="1">IFERROR(__xludf.DUMMYFUNCTION("IFERROR(VLOOKUP(E845&amp;F845,IMPORTRANGE(""https://docs.google.com/spreadsheets/d/1Uw7-A9f9R21vMXxHZFNpYNeKFtG8_yji4HS352LGlSQ/edit?pli=1#gid=0"",""1_ACUM!A4:S""),11,FALSE))"),"")</f>
        <v/>
      </c>
      <c r="AX579" s="42" t="str">
        <f ca="1">IFERROR(__xludf.DUMMYFUNCTION("IFERROR(VLOOKUP(F845,IMPORTRANGE(""https://docs.google.com/spreadsheets/d/1Kvs4KS76FHFqLFIZfrDMff4kP08nblUkihrxltoGBjg/edit#gid=934712705"",""ESENCIAL!A6:BG""),15,FALSE))"),"")</f>
        <v/>
      </c>
      <c r="AY579" s="110" t="str">
        <f ca="1">IFERROR(__xludf.DUMMYFUNCTION("IFERROR(VLOOKUP(E845&amp;F845,IMPORTRANGE(""https://docs.google.com/spreadsheets/d/1Uw7-A9f9R21vMXxHZFNpYNeKFtG8_yji4HS352LGlSQ/edit?pli=1#gid=0"",""1_ACUM!A4:S""),13,FALSE))"),"")</f>
        <v/>
      </c>
      <c r="AZ579" s="43" t="str">
        <f ca="1">IFERROR(__xludf.DUMMYFUNCTION("IFERROR(VLOOKUP(E845&amp;F845,IMPORTRANGE(""https://docs.google.com/spreadsheets/d/1Uw7-A9f9R21vMXxHZFNpYNeKFtG8_yji4HS352LGlSQ/edit?pli=1#gid=0"",""1_ACUM!A4:S""),13,FALSE))"),"")</f>
        <v/>
      </c>
      <c r="BA579" s="43" t="str">
        <f ca="1">IFERROR(__xludf.DUMMYFUNCTION("IFERROR(VLOOKUP(E845&amp;F845,IMPORTRANGE(""https://docs.google.com/spreadsheets/d/1Uw7-A9f9R21vMXxHZFNpYNeKFtG8_yji4HS352LGlSQ/edit?pli=1#gid=0"",""1_ACUM!A4:S""),14,FALSE))"),"")</f>
        <v/>
      </c>
      <c r="BB579" s="43" t="str">
        <f ca="1">IFERROR(__xludf.DUMMYFUNCTION("IFERROR(VLOOKUP(E845&amp;F845,IMPORTRANGE(""https://docs.google.com/spreadsheets/d/1Uw7-A9f9R21vMXxHZFNpYNeKFtG8_yji4HS352LGlSQ/edit?pli=1#gid=0"",""1_ACUM!A4:S""),15,FALSE))"),"")</f>
        <v/>
      </c>
      <c r="BC579" s="43" t="str">
        <f ca="1">IFERROR(__xludf.DUMMYFUNCTION("IFERROR(VLOOKUP(E845&amp;F845,IMPORTRANGE(""https://docs.google.com/spreadsheets/d/1Uw7-A9f9R21vMXxHZFNpYNeKFtG8_yji4HS352LGlSQ/edit?pli=1#gid=0"",""1_ACUM!A4:S""),16,FALSE))"),"")</f>
        <v/>
      </c>
      <c r="BD579" s="43" t="str">
        <f ca="1">IFERROR(__xludf.DUMMYFUNCTION("IFERROR(VLOOKUP(E845&amp;F845,IMPORTRANGE(""https://docs.google.com/spreadsheets/d/1Uw7-A9f9R21vMXxHZFNpYNeKFtG8_yji4HS352LGlSQ/edit?pli=1#gid=0"",""1_ACUM!A4:S""),17,FALSE))"),"")</f>
        <v/>
      </c>
      <c r="BE579" s="44" t="str">
        <f ca="1">IFERROR(__xludf.DUMMYFUNCTION("IFERROR(VLOOKUP(E845&amp;F845,IMPORTRANGE(""https://docs.google.com/spreadsheets/d/1Uw7-A9f9R21vMXxHZFNpYNeKFtG8_yji4HS352LGlSQ/edit?pli=1#gid=0"",""1_ACUM!A4:S""),18,FALSE))"),"")</f>
        <v/>
      </c>
      <c r="BF579" s="44" t="str">
        <f ca="1">IFERROR(__xludf.DUMMYFUNCTION("IFERROR(VLOOKUP(E845&amp;F845,IMPORTRANGE(""https://docs.google.com/spreadsheets/d/1Uw7-A9f9R21vMXxHZFNpYNeKFtG8_yji4HS352LGlSQ/edit?pli=1#gid=0"",""1_ACUM!A4:S""),19,FALSE))"),"")</f>
        <v/>
      </c>
      <c r="BG579" s="98" t="str">
        <f ca="1">IFERROR(__xludf.DUMMYFUNCTION("IFERROR(VLOOKUP(F845,IMPORTRANGE(""https://docs.google.com/spreadsheets/d/1Kvs4KS76FHFqLFIZfrDMff4kP08nblUkihrxltoGBjg/edit#gid=934712705"",""ESENCIAL!A6:BG""),5,FALSE))"),"")</f>
        <v/>
      </c>
      <c r="BH579" s="98" t="str">
        <f t="shared" si="25"/>
        <v/>
      </c>
      <c r="BI579" s="99" t="str">
        <f t="shared" si="26"/>
        <v/>
      </c>
      <c r="BJ579" s="100" t="str">
        <f ca="1">IFERROR(__xludf.DUMMYFUNCTION("IFERROR(VLOOKUP(F845,IMPORTRANGE(""https://docs.google.com/spreadsheets/d/1Kvs4KS76FHFqLFIZfrDMff4kP08nblUkihrxltoGBjg/edit#gid=934712705"",""ESENCIAL!A6:BG""),2,FALSE))"),"")</f>
        <v/>
      </c>
      <c r="BK579" s="19" t="str">
        <f t="shared" si="27"/>
        <v/>
      </c>
      <c r="BL579" s="100"/>
      <c r="BM579" s="100"/>
    </row>
    <row r="580" spans="2:65" ht="15">
      <c r="B580" s="39"/>
      <c r="C580" s="5"/>
      <c r="D580" s="123"/>
      <c r="E580" s="39"/>
      <c r="F580" s="39"/>
      <c r="G580" s="39"/>
      <c r="H580" s="5" t="str">
        <f ca="1">IFERROR(__xludf.DUMMYFUNCTION("IFERROR(VLOOKUP(F846,IMPORTRANGE(""https://docs.google.com/spreadsheets/d/1Kvs4KS76FHFqLFIZfrDMff4kP08nblUkihrxltoGBjg/edit#gid=934712705"",""ESENCIAL!A6:BG""),3,FALSE))"),"")</f>
        <v/>
      </c>
      <c r="I580" s="5" t="str">
        <f ca="1">IFERROR(__xludf.DUMMYFUNCTION("IFERROR(VLOOKUP(F846,IMPORTRANGE(""https://docs.google.com/spreadsheets/d/1Kvs4KS76FHFqLFIZfrDMff4kP08nblUkihrxltoGBjg/edit#gid=934712705"",""ESENCIAL!A6:BG""),8,FALSE))"),"")</f>
        <v/>
      </c>
      <c r="J580" s="39"/>
      <c r="M580" s="40"/>
      <c r="AV580" s="41" t="str">
        <f t="shared" si="24"/>
        <v/>
      </c>
      <c r="AW580" s="5" t="str">
        <f ca="1">IFERROR(__xludf.DUMMYFUNCTION("IFERROR(VLOOKUP(E846&amp;F846,IMPORTRANGE(""https://docs.google.com/spreadsheets/d/1Uw7-A9f9R21vMXxHZFNpYNeKFtG8_yji4HS352LGlSQ/edit?pli=1#gid=0"",""1_ACUM!A4:S""),11,FALSE))"),"")</f>
        <v/>
      </c>
      <c r="AX580" s="42" t="str">
        <f ca="1">IFERROR(__xludf.DUMMYFUNCTION("IFERROR(VLOOKUP(F846,IMPORTRANGE(""https://docs.google.com/spreadsheets/d/1Kvs4KS76FHFqLFIZfrDMff4kP08nblUkihrxltoGBjg/edit#gid=934712705"",""ESENCIAL!A6:BG""),15,FALSE))"),"")</f>
        <v/>
      </c>
      <c r="AY580" s="110" t="str">
        <f ca="1">IFERROR(__xludf.DUMMYFUNCTION("IFERROR(VLOOKUP(E846&amp;F846,IMPORTRANGE(""https://docs.google.com/spreadsheets/d/1Uw7-A9f9R21vMXxHZFNpYNeKFtG8_yji4HS352LGlSQ/edit?pli=1#gid=0"",""1_ACUM!A4:S""),13,FALSE))"),"")</f>
        <v/>
      </c>
      <c r="AZ580" s="43" t="str">
        <f ca="1">IFERROR(__xludf.DUMMYFUNCTION("IFERROR(VLOOKUP(E846&amp;F846,IMPORTRANGE(""https://docs.google.com/spreadsheets/d/1Uw7-A9f9R21vMXxHZFNpYNeKFtG8_yji4HS352LGlSQ/edit?pli=1#gid=0"",""1_ACUM!A4:S""),13,FALSE))"),"")</f>
        <v/>
      </c>
      <c r="BA580" s="43" t="str">
        <f ca="1">IFERROR(__xludf.DUMMYFUNCTION("IFERROR(VLOOKUP(E846&amp;F846,IMPORTRANGE(""https://docs.google.com/spreadsheets/d/1Uw7-A9f9R21vMXxHZFNpYNeKFtG8_yji4HS352LGlSQ/edit?pli=1#gid=0"",""1_ACUM!A4:S""),14,FALSE))"),"")</f>
        <v/>
      </c>
      <c r="BB580" s="43" t="str">
        <f ca="1">IFERROR(__xludf.DUMMYFUNCTION("IFERROR(VLOOKUP(E846&amp;F846,IMPORTRANGE(""https://docs.google.com/spreadsheets/d/1Uw7-A9f9R21vMXxHZFNpYNeKFtG8_yji4HS352LGlSQ/edit?pli=1#gid=0"",""1_ACUM!A4:S""),15,FALSE))"),"")</f>
        <v/>
      </c>
      <c r="BC580" s="43" t="str">
        <f ca="1">IFERROR(__xludf.DUMMYFUNCTION("IFERROR(VLOOKUP(E846&amp;F846,IMPORTRANGE(""https://docs.google.com/spreadsheets/d/1Uw7-A9f9R21vMXxHZFNpYNeKFtG8_yji4HS352LGlSQ/edit?pli=1#gid=0"",""1_ACUM!A4:S""),16,FALSE))"),"")</f>
        <v/>
      </c>
      <c r="BD580" s="43" t="str">
        <f ca="1">IFERROR(__xludf.DUMMYFUNCTION("IFERROR(VLOOKUP(E846&amp;F846,IMPORTRANGE(""https://docs.google.com/spreadsheets/d/1Uw7-A9f9R21vMXxHZFNpYNeKFtG8_yji4HS352LGlSQ/edit?pli=1#gid=0"",""1_ACUM!A4:S""),17,FALSE))"),"")</f>
        <v/>
      </c>
      <c r="BE580" s="44" t="str">
        <f ca="1">IFERROR(__xludf.DUMMYFUNCTION("IFERROR(VLOOKUP(E846&amp;F846,IMPORTRANGE(""https://docs.google.com/spreadsheets/d/1Uw7-A9f9R21vMXxHZFNpYNeKFtG8_yji4HS352LGlSQ/edit?pli=1#gid=0"",""1_ACUM!A4:S""),18,FALSE))"),"")</f>
        <v/>
      </c>
      <c r="BF580" s="44" t="str">
        <f ca="1">IFERROR(__xludf.DUMMYFUNCTION("IFERROR(VLOOKUP(E846&amp;F846,IMPORTRANGE(""https://docs.google.com/spreadsheets/d/1Uw7-A9f9R21vMXxHZFNpYNeKFtG8_yji4HS352LGlSQ/edit?pli=1#gid=0"",""1_ACUM!A4:S""),19,FALSE))"),"")</f>
        <v/>
      </c>
      <c r="BG580" s="98" t="str">
        <f ca="1">IFERROR(__xludf.DUMMYFUNCTION("IFERROR(VLOOKUP(F846,IMPORTRANGE(""https://docs.google.com/spreadsheets/d/1Kvs4KS76FHFqLFIZfrDMff4kP08nblUkihrxltoGBjg/edit#gid=934712705"",""ESENCIAL!A6:BG""),5,FALSE))"),"")</f>
        <v/>
      </c>
      <c r="BH580" s="98" t="str">
        <f t="shared" si="25"/>
        <v/>
      </c>
      <c r="BI580" s="99" t="str">
        <f t="shared" si="26"/>
        <v/>
      </c>
      <c r="BJ580" s="100" t="str">
        <f ca="1">IFERROR(__xludf.DUMMYFUNCTION("IFERROR(VLOOKUP(F846,IMPORTRANGE(""https://docs.google.com/spreadsheets/d/1Kvs4KS76FHFqLFIZfrDMff4kP08nblUkihrxltoGBjg/edit#gid=934712705"",""ESENCIAL!A6:BG""),2,FALSE))"),"")</f>
        <v/>
      </c>
      <c r="BK580" s="19" t="str">
        <f t="shared" si="27"/>
        <v/>
      </c>
      <c r="BL580" s="100"/>
      <c r="BM580" s="100"/>
    </row>
    <row r="581" spans="2:65" ht="15">
      <c r="B581" s="39"/>
      <c r="C581" s="5"/>
      <c r="D581" s="123"/>
      <c r="E581" s="39"/>
      <c r="F581" s="39"/>
      <c r="G581" s="39"/>
      <c r="H581" s="5" t="str">
        <f ca="1">IFERROR(__xludf.DUMMYFUNCTION("IFERROR(VLOOKUP(F847,IMPORTRANGE(""https://docs.google.com/spreadsheets/d/1Kvs4KS76FHFqLFIZfrDMff4kP08nblUkihrxltoGBjg/edit#gid=934712705"",""ESENCIAL!A6:BG""),3,FALSE))"),"")</f>
        <v/>
      </c>
      <c r="I581" s="5" t="str">
        <f ca="1">IFERROR(__xludf.DUMMYFUNCTION("IFERROR(VLOOKUP(F847,IMPORTRANGE(""https://docs.google.com/spreadsheets/d/1Kvs4KS76FHFqLFIZfrDMff4kP08nblUkihrxltoGBjg/edit#gid=934712705"",""ESENCIAL!A6:BG""),8,FALSE))"),"")</f>
        <v/>
      </c>
      <c r="J581" s="39"/>
      <c r="M581" s="40"/>
      <c r="AV581" s="41" t="str">
        <f t="shared" si="24"/>
        <v/>
      </c>
      <c r="AW581" s="5" t="str">
        <f ca="1">IFERROR(__xludf.DUMMYFUNCTION("IFERROR(VLOOKUP(E847&amp;F847,IMPORTRANGE(""https://docs.google.com/spreadsheets/d/1Uw7-A9f9R21vMXxHZFNpYNeKFtG8_yji4HS352LGlSQ/edit?pli=1#gid=0"",""1_ACUM!A4:S""),11,FALSE))"),"")</f>
        <v/>
      </c>
      <c r="AX581" s="42" t="str">
        <f ca="1">IFERROR(__xludf.DUMMYFUNCTION("IFERROR(VLOOKUP(F847,IMPORTRANGE(""https://docs.google.com/spreadsheets/d/1Kvs4KS76FHFqLFIZfrDMff4kP08nblUkihrxltoGBjg/edit#gid=934712705"",""ESENCIAL!A6:BG""),15,FALSE))"),"")</f>
        <v/>
      </c>
      <c r="AY581" s="110" t="str">
        <f ca="1">IFERROR(__xludf.DUMMYFUNCTION("IFERROR(VLOOKUP(E847&amp;F847,IMPORTRANGE(""https://docs.google.com/spreadsheets/d/1Uw7-A9f9R21vMXxHZFNpYNeKFtG8_yji4HS352LGlSQ/edit?pli=1#gid=0"",""1_ACUM!A4:S""),13,FALSE))"),"")</f>
        <v/>
      </c>
      <c r="AZ581" s="43" t="str">
        <f ca="1">IFERROR(__xludf.DUMMYFUNCTION("IFERROR(VLOOKUP(E847&amp;F847,IMPORTRANGE(""https://docs.google.com/spreadsheets/d/1Uw7-A9f9R21vMXxHZFNpYNeKFtG8_yji4HS352LGlSQ/edit?pli=1#gid=0"",""1_ACUM!A4:S""),13,FALSE))"),"")</f>
        <v/>
      </c>
      <c r="BA581" s="43" t="str">
        <f ca="1">IFERROR(__xludf.DUMMYFUNCTION("IFERROR(VLOOKUP(E847&amp;F847,IMPORTRANGE(""https://docs.google.com/spreadsheets/d/1Uw7-A9f9R21vMXxHZFNpYNeKFtG8_yji4HS352LGlSQ/edit?pli=1#gid=0"",""1_ACUM!A4:S""),14,FALSE))"),"")</f>
        <v/>
      </c>
      <c r="BB581" s="43" t="str">
        <f ca="1">IFERROR(__xludf.DUMMYFUNCTION("IFERROR(VLOOKUP(E847&amp;F847,IMPORTRANGE(""https://docs.google.com/spreadsheets/d/1Uw7-A9f9R21vMXxHZFNpYNeKFtG8_yji4HS352LGlSQ/edit?pli=1#gid=0"",""1_ACUM!A4:S""),15,FALSE))"),"")</f>
        <v/>
      </c>
      <c r="BC581" s="43" t="str">
        <f ca="1">IFERROR(__xludf.DUMMYFUNCTION("IFERROR(VLOOKUP(E847&amp;F847,IMPORTRANGE(""https://docs.google.com/spreadsheets/d/1Uw7-A9f9R21vMXxHZFNpYNeKFtG8_yji4HS352LGlSQ/edit?pli=1#gid=0"",""1_ACUM!A4:S""),16,FALSE))"),"")</f>
        <v/>
      </c>
      <c r="BD581" s="43" t="str">
        <f ca="1">IFERROR(__xludf.DUMMYFUNCTION("IFERROR(VLOOKUP(E847&amp;F847,IMPORTRANGE(""https://docs.google.com/spreadsheets/d/1Uw7-A9f9R21vMXxHZFNpYNeKFtG8_yji4HS352LGlSQ/edit?pli=1#gid=0"",""1_ACUM!A4:S""),17,FALSE))"),"")</f>
        <v/>
      </c>
      <c r="BE581" s="44" t="str">
        <f ca="1">IFERROR(__xludf.DUMMYFUNCTION("IFERROR(VLOOKUP(E847&amp;F847,IMPORTRANGE(""https://docs.google.com/spreadsheets/d/1Uw7-A9f9R21vMXxHZFNpYNeKFtG8_yji4HS352LGlSQ/edit?pli=1#gid=0"",""1_ACUM!A4:S""),18,FALSE))"),"")</f>
        <v/>
      </c>
      <c r="BF581" s="44" t="str">
        <f ca="1">IFERROR(__xludf.DUMMYFUNCTION("IFERROR(VLOOKUP(E847&amp;F847,IMPORTRANGE(""https://docs.google.com/spreadsheets/d/1Uw7-A9f9R21vMXxHZFNpYNeKFtG8_yji4HS352LGlSQ/edit?pli=1#gid=0"",""1_ACUM!A4:S""),19,FALSE))"),"")</f>
        <v/>
      </c>
      <c r="BG581" s="98" t="str">
        <f ca="1">IFERROR(__xludf.DUMMYFUNCTION("IFERROR(VLOOKUP(F847,IMPORTRANGE(""https://docs.google.com/spreadsheets/d/1Kvs4KS76FHFqLFIZfrDMff4kP08nblUkihrxltoGBjg/edit#gid=934712705"",""ESENCIAL!A6:BG""),5,FALSE))"),"")</f>
        <v/>
      </c>
      <c r="BH581" s="98" t="str">
        <f t="shared" si="25"/>
        <v/>
      </c>
      <c r="BI581" s="99" t="str">
        <f t="shared" si="26"/>
        <v/>
      </c>
      <c r="BJ581" s="100" t="str">
        <f ca="1">IFERROR(__xludf.DUMMYFUNCTION("IFERROR(VLOOKUP(F847,IMPORTRANGE(""https://docs.google.com/spreadsheets/d/1Kvs4KS76FHFqLFIZfrDMff4kP08nblUkihrxltoGBjg/edit#gid=934712705"",""ESENCIAL!A6:BG""),2,FALSE))"),"")</f>
        <v/>
      </c>
      <c r="BK581" s="19" t="str">
        <f t="shared" si="27"/>
        <v/>
      </c>
      <c r="BL581" s="100"/>
      <c r="BM581" s="100"/>
    </row>
    <row r="582" spans="2:65" ht="15">
      <c r="B582" s="39"/>
      <c r="C582" s="5"/>
      <c r="D582" s="123"/>
      <c r="E582" s="39"/>
      <c r="F582" s="39"/>
      <c r="G582" s="39"/>
      <c r="H582" s="5" t="str">
        <f ca="1">IFERROR(__xludf.DUMMYFUNCTION("IFERROR(VLOOKUP(F848,IMPORTRANGE(""https://docs.google.com/spreadsheets/d/1Kvs4KS76FHFqLFIZfrDMff4kP08nblUkihrxltoGBjg/edit#gid=934712705"",""ESENCIAL!A6:BG""),3,FALSE))"),"")</f>
        <v/>
      </c>
      <c r="I582" s="5" t="str">
        <f ca="1">IFERROR(__xludf.DUMMYFUNCTION("IFERROR(VLOOKUP(F848,IMPORTRANGE(""https://docs.google.com/spreadsheets/d/1Kvs4KS76FHFqLFIZfrDMff4kP08nblUkihrxltoGBjg/edit#gid=934712705"",""ESENCIAL!A6:BG""),8,FALSE))"),"")</f>
        <v/>
      </c>
      <c r="J582" s="39"/>
      <c r="M582" s="40"/>
      <c r="AV582" s="41" t="str">
        <f t="shared" si="24"/>
        <v/>
      </c>
      <c r="AW582" s="5" t="str">
        <f ca="1">IFERROR(__xludf.DUMMYFUNCTION("IFERROR(VLOOKUP(E848&amp;F848,IMPORTRANGE(""https://docs.google.com/spreadsheets/d/1Uw7-A9f9R21vMXxHZFNpYNeKFtG8_yji4HS352LGlSQ/edit?pli=1#gid=0"",""1_ACUM!A4:S""),11,FALSE))"),"")</f>
        <v/>
      </c>
      <c r="AX582" s="42" t="str">
        <f ca="1">IFERROR(__xludf.DUMMYFUNCTION("IFERROR(VLOOKUP(F848,IMPORTRANGE(""https://docs.google.com/spreadsheets/d/1Kvs4KS76FHFqLFIZfrDMff4kP08nblUkihrxltoGBjg/edit#gid=934712705"",""ESENCIAL!A6:BG""),15,FALSE))"),"")</f>
        <v/>
      </c>
      <c r="AY582" s="110" t="str">
        <f ca="1">IFERROR(__xludf.DUMMYFUNCTION("IFERROR(VLOOKUP(E848&amp;F848,IMPORTRANGE(""https://docs.google.com/spreadsheets/d/1Uw7-A9f9R21vMXxHZFNpYNeKFtG8_yji4HS352LGlSQ/edit?pli=1#gid=0"",""1_ACUM!A4:S""),13,FALSE))"),"")</f>
        <v/>
      </c>
      <c r="AZ582" s="43" t="str">
        <f ca="1">IFERROR(__xludf.DUMMYFUNCTION("IFERROR(VLOOKUP(E848&amp;F848,IMPORTRANGE(""https://docs.google.com/spreadsheets/d/1Uw7-A9f9R21vMXxHZFNpYNeKFtG8_yji4HS352LGlSQ/edit?pli=1#gid=0"",""1_ACUM!A4:S""),13,FALSE))"),"")</f>
        <v/>
      </c>
      <c r="BA582" s="43" t="str">
        <f ca="1">IFERROR(__xludf.DUMMYFUNCTION("IFERROR(VLOOKUP(E848&amp;F848,IMPORTRANGE(""https://docs.google.com/spreadsheets/d/1Uw7-A9f9R21vMXxHZFNpYNeKFtG8_yji4HS352LGlSQ/edit?pli=1#gid=0"",""1_ACUM!A4:S""),14,FALSE))"),"")</f>
        <v/>
      </c>
      <c r="BB582" s="43" t="str">
        <f ca="1">IFERROR(__xludf.DUMMYFUNCTION("IFERROR(VLOOKUP(E848&amp;F848,IMPORTRANGE(""https://docs.google.com/spreadsheets/d/1Uw7-A9f9R21vMXxHZFNpYNeKFtG8_yji4HS352LGlSQ/edit?pli=1#gid=0"",""1_ACUM!A4:S""),15,FALSE))"),"")</f>
        <v/>
      </c>
      <c r="BC582" s="43" t="str">
        <f ca="1">IFERROR(__xludf.DUMMYFUNCTION("IFERROR(VLOOKUP(E848&amp;F848,IMPORTRANGE(""https://docs.google.com/spreadsheets/d/1Uw7-A9f9R21vMXxHZFNpYNeKFtG8_yji4HS352LGlSQ/edit?pli=1#gid=0"",""1_ACUM!A4:S""),16,FALSE))"),"")</f>
        <v/>
      </c>
      <c r="BD582" s="43" t="str">
        <f ca="1">IFERROR(__xludf.DUMMYFUNCTION("IFERROR(VLOOKUP(E848&amp;F848,IMPORTRANGE(""https://docs.google.com/spreadsheets/d/1Uw7-A9f9R21vMXxHZFNpYNeKFtG8_yji4HS352LGlSQ/edit?pli=1#gid=0"",""1_ACUM!A4:S""),17,FALSE))"),"")</f>
        <v/>
      </c>
      <c r="BE582" s="44" t="str">
        <f ca="1">IFERROR(__xludf.DUMMYFUNCTION("IFERROR(VLOOKUP(E848&amp;F848,IMPORTRANGE(""https://docs.google.com/spreadsheets/d/1Uw7-A9f9R21vMXxHZFNpYNeKFtG8_yji4HS352LGlSQ/edit?pli=1#gid=0"",""1_ACUM!A4:S""),18,FALSE))"),"")</f>
        <v/>
      </c>
      <c r="BF582" s="44" t="str">
        <f ca="1">IFERROR(__xludf.DUMMYFUNCTION("IFERROR(VLOOKUP(E848&amp;F848,IMPORTRANGE(""https://docs.google.com/spreadsheets/d/1Uw7-A9f9R21vMXxHZFNpYNeKFtG8_yji4HS352LGlSQ/edit?pli=1#gid=0"",""1_ACUM!A4:S""),19,FALSE))"),"")</f>
        <v/>
      </c>
      <c r="BG582" s="98" t="str">
        <f ca="1">IFERROR(__xludf.DUMMYFUNCTION("IFERROR(VLOOKUP(F848,IMPORTRANGE(""https://docs.google.com/spreadsheets/d/1Kvs4KS76FHFqLFIZfrDMff4kP08nblUkihrxltoGBjg/edit#gid=934712705"",""ESENCIAL!A6:BG""),5,FALSE))"),"")</f>
        <v/>
      </c>
      <c r="BH582" s="98" t="str">
        <f t="shared" si="25"/>
        <v/>
      </c>
      <c r="BI582" s="99" t="str">
        <f t="shared" si="26"/>
        <v/>
      </c>
      <c r="BJ582" s="100" t="str">
        <f ca="1">IFERROR(__xludf.DUMMYFUNCTION("IFERROR(VLOOKUP(F848,IMPORTRANGE(""https://docs.google.com/spreadsheets/d/1Kvs4KS76FHFqLFIZfrDMff4kP08nblUkihrxltoGBjg/edit#gid=934712705"",""ESENCIAL!A6:BG""),2,FALSE))"),"")</f>
        <v/>
      </c>
      <c r="BK582" s="19" t="str">
        <f t="shared" si="27"/>
        <v/>
      </c>
      <c r="BL582" s="100"/>
      <c r="BM582" s="100"/>
    </row>
    <row r="583" spans="2:65" ht="15">
      <c r="B583" s="39"/>
      <c r="C583" s="5"/>
      <c r="D583" s="123"/>
      <c r="E583" s="39"/>
      <c r="F583" s="39"/>
      <c r="G583" s="39"/>
      <c r="H583" s="5" t="str">
        <f ca="1">IFERROR(__xludf.DUMMYFUNCTION("IFERROR(VLOOKUP(F849,IMPORTRANGE(""https://docs.google.com/spreadsheets/d/1Kvs4KS76FHFqLFIZfrDMff4kP08nblUkihrxltoGBjg/edit#gid=934712705"",""ESENCIAL!A6:BG""),3,FALSE))"),"")</f>
        <v/>
      </c>
      <c r="I583" s="5" t="str">
        <f ca="1">IFERROR(__xludf.DUMMYFUNCTION("IFERROR(VLOOKUP(F849,IMPORTRANGE(""https://docs.google.com/spreadsheets/d/1Kvs4KS76FHFqLFIZfrDMff4kP08nblUkihrxltoGBjg/edit#gid=934712705"",""ESENCIAL!A6:BG""),8,FALSE))"),"")</f>
        <v/>
      </c>
      <c r="J583" s="39"/>
      <c r="M583" s="40"/>
      <c r="AV583" s="41" t="str">
        <f t="shared" si="24"/>
        <v/>
      </c>
      <c r="AW583" s="5" t="str">
        <f ca="1">IFERROR(__xludf.DUMMYFUNCTION("IFERROR(VLOOKUP(E849&amp;F849,IMPORTRANGE(""https://docs.google.com/spreadsheets/d/1Uw7-A9f9R21vMXxHZFNpYNeKFtG8_yji4HS352LGlSQ/edit?pli=1#gid=0"",""1_ACUM!A4:S""),11,FALSE))"),"")</f>
        <v/>
      </c>
      <c r="AX583" s="42" t="str">
        <f ca="1">IFERROR(__xludf.DUMMYFUNCTION("IFERROR(VLOOKUP(F849,IMPORTRANGE(""https://docs.google.com/spreadsheets/d/1Kvs4KS76FHFqLFIZfrDMff4kP08nblUkihrxltoGBjg/edit#gid=934712705"",""ESENCIAL!A6:BG""),15,FALSE))"),"")</f>
        <v/>
      </c>
      <c r="AY583" s="110" t="str">
        <f ca="1">IFERROR(__xludf.DUMMYFUNCTION("IFERROR(VLOOKUP(E849&amp;F849,IMPORTRANGE(""https://docs.google.com/spreadsheets/d/1Uw7-A9f9R21vMXxHZFNpYNeKFtG8_yji4HS352LGlSQ/edit?pli=1#gid=0"",""1_ACUM!A4:S""),13,FALSE))"),"")</f>
        <v/>
      </c>
      <c r="AZ583" s="43" t="str">
        <f ca="1">IFERROR(__xludf.DUMMYFUNCTION("IFERROR(VLOOKUP(E849&amp;F849,IMPORTRANGE(""https://docs.google.com/spreadsheets/d/1Uw7-A9f9R21vMXxHZFNpYNeKFtG8_yji4HS352LGlSQ/edit?pli=1#gid=0"",""1_ACUM!A4:S""),13,FALSE))"),"")</f>
        <v/>
      </c>
      <c r="BA583" s="43" t="str">
        <f ca="1">IFERROR(__xludf.DUMMYFUNCTION("IFERROR(VLOOKUP(E849&amp;F849,IMPORTRANGE(""https://docs.google.com/spreadsheets/d/1Uw7-A9f9R21vMXxHZFNpYNeKFtG8_yji4HS352LGlSQ/edit?pli=1#gid=0"",""1_ACUM!A4:S""),14,FALSE))"),"")</f>
        <v/>
      </c>
      <c r="BB583" s="43" t="str">
        <f ca="1">IFERROR(__xludf.DUMMYFUNCTION("IFERROR(VLOOKUP(E849&amp;F849,IMPORTRANGE(""https://docs.google.com/spreadsheets/d/1Uw7-A9f9R21vMXxHZFNpYNeKFtG8_yji4HS352LGlSQ/edit?pli=1#gid=0"",""1_ACUM!A4:S""),15,FALSE))"),"")</f>
        <v/>
      </c>
      <c r="BC583" s="43" t="str">
        <f ca="1">IFERROR(__xludf.DUMMYFUNCTION("IFERROR(VLOOKUP(E849&amp;F849,IMPORTRANGE(""https://docs.google.com/spreadsheets/d/1Uw7-A9f9R21vMXxHZFNpYNeKFtG8_yji4HS352LGlSQ/edit?pli=1#gid=0"",""1_ACUM!A4:S""),16,FALSE))"),"")</f>
        <v/>
      </c>
      <c r="BD583" s="43" t="str">
        <f ca="1">IFERROR(__xludf.DUMMYFUNCTION("IFERROR(VLOOKUP(E849&amp;F849,IMPORTRANGE(""https://docs.google.com/spreadsheets/d/1Uw7-A9f9R21vMXxHZFNpYNeKFtG8_yji4HS352LGlSQ/edit?pli=1#gid=0"",""1_ACUM!A4:S""),17,FALSE))"),"")</f>
        <v/>
      </c>
      <c r="BE583" s="44" t="str">
        <f ca="1">IFERROR(__xludf.DUMMYFUNCTION("IFERROR(VLOOKUP(E849&amp;F849,IMPORTRANGE(""https://docs.google.com/spreadsheets/d/1Uw7-A9f9R21vMXxHZFNpYNeKFtG8_yji4HS352LGlSQ/edit?pli=1#gid=0"",""1_ACUM!A4:S""),18,FALSE))"),"")</f>
        <v/>
      </c>
      <c r="BF583" s="44" t="str">
        <f ca="1">IFERROR(__xludf.DUMMYFUNCTION("IFERROR(VLOOKUP(E849&amp;F849,IMPORTRANGE(""https://docs.google.com/spreadsheets/d/1Uw7-A9f9R21vMXxHZFNpYNeKFtG8_yji4HS352LGlSQ/edit?pli=1#gid=0"",""1_ACUM!A4:S""),19,FALSE))"),"")</f>
        <v/>
      </c>
      <c r="BG583" s="98" t="str">
        <f ca="1">IFERROR(__xludf.DUMMYFUNCTION("IFERROR(VLOOKUP(F849,IMPORTRANGE(""https://docs.google.com/spreadsheets/d/1Kvs4KS76FHFqLFIZfrDMff4kP08nblUkihrxltoGBjg/edit#gid=934712705"",""ESENCIAL!A6:BG""),5,FALSE))"),"")</f>
        <v/>
      </c>
      <c r="BH583" s="98" t="str">
        <f t="shared" si="25"/>
        <v/>
      </c>
      <c r="BI583" s="99" t="str">
        <f t="shared" si="26"/>
        <v/>
      </c>
      <c r="BJ583" s="100" t="str">
        <f ca="1">IFERROR(__xludf.DUMMYFUNCTION("IFERROR(VLOOKUP(F849,IMPORTRANGE(""https://docs.google.com/spreadsheets/d/1Kvs4KS76FHFqLFIZfrDMff4kP08nblUkihrxltoGBjg/edit#gid=934712705"",""ESENCIAL!A6:BG""),2,FALSE))"),"")</f>
        <v/>
      </c>
      <c r="BK583" s="19" t="str">
        <f t="shared" si="27"/>
        <v/>
      </c>
      <c r="BL583" s="100"/>
      <c r="BM583" s="100"/>
    </row>
    <row r="584" spans="2:65" ht="15">
      <c r="B584" s="39"/>
      <c r="C584" s="5"/>
      <c r="D584" s="123"/>
      <c r="E584" s="39"/>
      <c r="F584" s="39"/>
      <c r="G584" s="39"/>
      <c r="H584" s="5" t="str">
        <f ca="1">IFERROR(__xludf.DUMMYFUNCTION("IFERROR(VLOOKUP(F850,IMPORTRANGE(""https://docs.google.com/spreadsheets/d/1Kvs4KS76FHFqLFIZfrDMff4kP08nblUkihrxltoGBjg/edit#gid=934712705"",""ESENCIAL!A6:BG""),3,FALSE))"),"")</f>
        <v/>
      </c>
      <c r="I584" s="5" t="str">
        <f ca="1">IFERROR(__xludf.DUMMYFUNCTION("IFERROR(VLOOKUP(F850,IMPORTRANGE(""https://docs.google.com/spreadsheets/d/1Kvs4KS76FHFqLFIZfrDMff4kP08nblUkihrxltoGBjg/edit#gid=934712705"",""ESENCIAL!A6:BG""),8,FALSE))"),"")</f>
        <v/>
      </c>
      <c r="J584" s="39"/>
      <c r="M584" s="40"/>
      <c r="AV584" s="41" t="str">
        <f t="shared" si="24"/>
        <v/>
      </c>
      <c r="AW584" s="5" t="str">
        <f ca="1">IFERROR(__xludf.DUMMYFUNCTION("IFERROR(VLOOKUP(E850&amp;F850,IMPORTRANGE(""https://docs.google.com/spreadsheets/d/1Uw7-A9f9R21vMXxHZFNpYNeKFtG8_yji4HS352LGlSQ/edit?pli=1#gid=0"",""1_ACUM!A4:S""),11,FALSE))"),"")</f>
        <v/>
      </c>
      <c r="AX584" s="42" t="str">
        <f ca="1">IFERROR(__xludf.DUMMYFUNCTION("IFERROR(VLOOKUP(F850,IMPORTRANGE(""https://docs.google.com/spreadsheets/d/1Kvs4KS76FHFqLFIZfrDMff4kP08nblUkihrxltoGBjg/edit#gid=934712705"",""ESENCIAL!A6:BG""),15,FALSE))"),"")</f>
        <v/>
      </c>
      <c r="AY584" s="110" t="str">
        <f ca="1">IFERROR(__xludf.DUMMYFUNCTION("IFERROR(VLOOKUP(E850&amp;F850,IMPORTRANGE(""https://docs.google.com/spreadsheets/d/1Uw7-A9f9R21vMXxHZFNpYNeKFtG8_yji4HS352LGlSQ/edit?pli=1#gid=0"",""1_ACUM!A4:S""),13,FALSE))"),"")</f>
        <v/>
      </c>
      <c r="AZ584" s="43" t="str">
        <f ca="1">IFERROR(__xludf.DUMMYFUNCTION("IFERROR(VLOOKUP(E850&amp;F850,IMPORTRANGE(""https://docs.google.com/spreadsheets/d/1Uw7-A9f9R21vMXxHZFNpYNeKFtG8_yji4HS352LGlSQ/edit?pli=1#gid=0"",""1_ACUM!A4:S""),13,FALSE))"),"")</f>
        <v/>
      </c>
      <c r="BA584" s="43" t="str">
        <f ca="1">IFERROR(__xludf.DUMMYFUNCTION("IFERROR(VLOOKUP(E850&amp;F850,IMPORTRANGE(""https://docs.google.com/spreadsheets/d/1Uw7-A9f9R21vMXxHZFNpYNeKFtG8_yji4HS352LGlSQ/edit?pli=1#gid=0"",""1_ACUM!A4:S""),14,FALSE))"),"")</f>
        <v/>
      </c>
      <c r="BB584" s="43" t="str">
        <f ca="1">IFERROR(__xludf.DUMMYFUNCTION("IFERROR(VLOOKUP(E850&amp;F850,IMPORTRANGE(""https://docs.google.com/spreadsheets/d/1Uw7-A9f9R21vMXxHZFNpYNeKFtG8_yji4HS352LGlSQ/edit?pli=1#gid=0"",""1_ACUM!A4:S""),15,FALSE))"),"")</f>
        <v/>
      </c>
      <c r="BC584" s="43" t="str">
        <f ca="1">IFERROR(__xludf.DUMMYFUNCTION("IFERROR(VLOOKUP(E850&amp;F850,IMPORTRANGE(""https://docs.google.com/spreadsheets/d/1Uw7-A9f9R21vMXxHZFNpYNeKFtG8_yji4HS352LGlSQ/edit?pli=1#gid=0"",""1_ACUM!A4:S""),16,FALSE))"),"")</f>
        <v/>
      </c>
      <c r="BD584" s="43" t="str">
        <f ca="1">IFERROR(__xludf.DUMMYFUNCTION("IFERROR(VLOOKUP(E850&amp;F850,IMPORTRANGE(""https://docs.google.com/spreadsheets/d/1Uw7-A9f9R21vMXxHZFNpYNeKFtG8_yji4HS352LGlSQ/edit?pli=1#gid=0"",""1_ACUM!A4:S""),17,FALSE))"),"")</f>
        <v/>
      </c>
      <c r="BE584" s="44" t="str">
        <f ca="1">IFERROR(__xludf.DUMMYFUNCTION("IFERROR(VLOOKUP(E850&amp;F850,IMPORTRANGE(""https://docs.google.com/spreadsheets/d/1Uw7-A9f9R21vMXxHZFNpYNeKFtG8_yji4HS352LGlSQ/edit?pli=1#gid=0"",""1_ACUM!A4:S""),18,FALSE))"),"")</f>
        <v/>
      </c>
      <c r="BF584" s="44" t="str">
        <f ca="1">IFERROR(__xludf.DUMMYFUNCTION("IFERROR(VLOOKUP(E850&amp;F850,IMPORTRANGE(""https://docs.google.com/spreadsheets/d/1Uw7-A9f9R21vMXxHZFNpYNeKFtG8_yji4HS352LGlSQ/edit?pli=1#gid=0"",""1_ACUM!A4:S""),19,FALSE))"),"")</f>
        <v/>
      </c>
      <c r="BG584" s="98" t="str">
        <f ca="1">IFERROR(__xludf.DUMMYFUNCTION("IFERROR(VLOOKUP(F850,IMPORTRANGE(""https://docs.google.com/spreadsheets/d/1Kvs4KS76FHFqLFIZfrDMff4kP08nblUkihrxltoGBjg/edit#gid=934712705"",""ESENCIAL!A6:BG""),5,FALSE))"),"")</f>
        <v/>
      </c>
      <c r="BH584" s="98" t="str">
        <f t="shared" si="25"/>
        <v/>
      </c>
      <c r="BI584" s="99" t="str">
        <f t="shared" si="26"/>
        <v/>
      </c>
      <c r="BJ584" s="100" t="str">
        <f ca="1">IFERROR(__xludf.DUMMYFUNCTION("IFERROR(VLOOKUP(F850,IMPORTRANGE(""https://docs.google.com/spreadsheets/d/1Kvs4KS76FHFqLFIZfrDMff4kP08nblUkihrxltoGBjg/edit#gid=934712705"",""ESENCIAL!A6:BG""),2,FALSE))"),"")</f>
        <v/>
      </c>
      <c r="BK584" s="19" t="str">
        <f t="shared" si="27"/>
        <v/>
      </c>
      <c r="BL584" s="100"/>
      <c r="BM584" s="100"/>
    </row>
    <row r="585" spans="2:65" ht="15">
      <c r="B585" s="39"/>
      <c r="C585" s="5"/>
      <c r="D585" s="123"/>
      <c r="E585" s="39"/>
      <c r="F585" s="39"/>
      <c r="G585" s="39"/>
      <c r="H585" s="5" t="str">
        <f ca="1">IFERROR(__xludf.DUMMYFUNCTION("IFERROR(VLOOKUP(F851,IMPORTRANGE(""https://docs.google.com/spreadsheets/d/1Kvs4KS76FHFqLFIZfrDMff4kP08nblUkihrxltoGBjg/edit#gid=934712705"",""ESENCIAL!A6:BG""),3,FALSE))"),"")</f>
        <v/>
      </c>
      <c r="I585" s="5" t="str">
        <f ca="1">IFERROR(__xludf.DUMMYFUNCTION("IFERROR(VLOOKUP(F851,IMPORTRANGE(""https://docs.google.com/spreadsheets/d/1Kvs4KS76FHFqLFIZfrDMff4kP08nblUkihrxltoGBjg/edit#gid=934712705"",""ESENCIAL!A6:BG""),8,FALSE))"),"")</f>
        <v/>
      </c>
      <c r="J585" s="39"/>
      <c r="M585" s="40"/>
      <c r="AV585" s="41" t="str">
        <f t="shared" si="24"/>
        <v/>
      </c>
      <c r="AW585" s="5" t="str">
        <f ca="1">IFERROR(__xludf.DUMMYFUNCTION("IFERROR(VLOOKUP(E851&amp;F851,IMPORTRANGE(""https://docs.google.com/spreadsheets/d/1Uw7-A9f9R21vMXxHZFNpYNeKFtG8_yji4HS352LGlSQ/edit?pli=1#gid=0"",""1_ACUM!A4:S""),11,FALSE))"),"")</f>
        <v/>
      </c>
      <c r="AX585" s="42" t="str">
        <f ca="1">IFERROR(__xludf.DUMMYFUNCTION("IFERROR(VLOOKUP(F851,IMPORTRANGE(""https://docs.google.com/spreadsheets/d/1Kvs4KS76FHFqLFIZfrDMff4kP08nblUkihrxltoGBjg/edit#gid=934712705"",""ESENCIAL!A6:BG""),15,FALSE))"),"")</f>
        <v/>
      </c>
      <c r="AY585" s="110" t="str">
        <f ca="1">IFERROR(__xludf.DUMMYFUNCTION("IFERROR(VLOOKUP(E851&amp;F851,IMPORTRANGE(""https://docs.google.com/spreadsheets/d/1Uw7-A9f9R21vMXxHZFNpYNeKFtG8_yji4HS352LGlSQ/edit?pli=1#gid=0"",""1_ACUM!A4:S""),13,FALSE))"),"")</f>
        <v/>
      </c>
      <c r="AZ585" s="43" t="str">
        <f ca="1">IFERROR(__xludf.DUMMYFUNCTION("IFERROR(VLOOKUP(E851&amp;F851,IMPORTRANGE(""https://docs.google.com/spreadsheets/d/1Uw7-A9f9R21vMXxHZFNpYNeKFtG8_yji4HS352LGlSQ/edit?pli=1#gid=0"",""1_ACUM!A4:S""),13,FALSE))"),"")</f>
        <v/>
      </c>
      <c r="BA585" s="43" t="str">
        <f ca="1">IFERROR(__xludf.DUMMYFUNCTION("IFERROR(VLOOKUP(E851&amp;F851,IMPORTRANGE(""https://docs.google.com/spreadsheets/d/1Uw7-A9f9R21vMXxHZFNpYNeKFtG8_yji4HS352LGlSQ/edit?pli=1#gid=0"",""1_ACUM!A4:S""),14,FALSE))"),"")</f>
        <v/>
      </c>
      <c r="BB585" s="43" t="str">
        <f ca="1">IFERROR(__xludf.DUMMYFUNCTION("IFERROR(VLOOKUP(E851&amp;F851,IMPORTRANGE(""https://docs.google.com/spreadsheets/d/1Uw7-A9f9R21vMXxHZFNpYNeKFtG8_yji4HS352LGlSQ/edit?pli=1#gid=0"",""1_ACUM!A4:S""),15,FALSE))"),"")</f>
        <v/>
      </c>
      <c r="BC585" s="43" t="str">
        <f ca="1">IFERROR(__xludf.DUMMYFUNCTION("IFERROR(VLOOKUP(E851&amp;F851,IMPORTRANGE(""https://docs.google.com/spreadsheets/d/1Uw7-A9f9R21vMXxHZFNpYNeKFtG8_yji4HS352LGlSQ/edit?pli=1#gid=0"",""1_ACUM!A4:S""),16,FALSE))"),"")</f>
        <v/>
      </c>
      <c r="BD585" s="43" t="str">
        <f ca="1">IFERROR(__xludf.DUMMYFUNCTION("IFERROR(VLOOKUP(E851&amp;F851,IMPORTRANGE(""https://docs.google.com/spreadsheets/d/1Uw7-A9f9R21vMXxHZFNpYNeKFtG8_yji4HS352LGlSQ/edit?pli=1#gid=0"",""1_ACUM!A4:S""),17,FALSE))"),"")</f>
        <v/>
      </c>
      <c r="BE585" s="44" t="str">
        <f ca="1">IFERROR(__xludf.DUMMYFUNCTION("IFERROR(VLOOKUP(E851&amp;F851,IMPORTRANGE(""https://docs.google.com/spreadsheets/d/1Uw7-A9f9R21vMXxHZFNpYNeKFtG8_yji4HS352LGlSQ/edit?pli=1#gid=0"",""1_ACUM!A4:S""),18,FALSE))"),"")</f>
        <v/>
      </c>
      <c r="BF585" s="44" t="str">
        <f ca="1">IFERROR(__xludf.DUMMYFUNCTION("IFERROR(VLOOKUP(E851&amp;F851,IMPORTRANGE(""https://docs.google.com/spreadsheets/d/1Uw7-A9f9R21vMXxHZFNpYNeKFtG8_yji4HS352LGlSQ/edit?pli=1#gid=0"",""1_ACUM!A4:S""),19,FALSE))"),"")</f>
        <v/>
      </c>
      <c r="BG585" s="98" t="str">
        <f ca="1">IFERROR(__xludf.DUMMYFUNCTION("IFERROR(VLOOKUP(F851,IMPORTRANGE(""https://docs.google.com/spreadsheets/d/1Kvs4KS76FHFqLFIZfrDMff4kP08nblUkihrxltoGBjg/edit#gid=934712705"",""ESENCIAL!A6:BG""),5,FALSE))"),"")</f>
        <v/>
      </c>
      <c r="BH585" s="98" t="str">
        <f t="shared" si="25"/>
        <v/>
      </c>
      <c r="BI585" s="99" t="str">
        <f t="shared" si="26"/>
        <v/>
      </c>
      <c r="BJ585" s="100" t="str">
        <f ca="1">IFERROR(__xludf.DUMMYFUNCTION("IFERROR(VLOOKUP(F851,IMPORTRANGE(""https://docs.google.com/spreadsheets/d/1Kvs4KS76FHFqLFIZfrDMff4kP08nblUkihrxltoGBjg/edit#gid=934712705"",""ESENCIAL!A6:BG""),2,FALSE))"),"")</f>
        <v/>
      </c>
      <c r="BK585" s="19" t="str">
        <f t="shared" si="27"/>
        <v/>
      </c>
      <c r="BL585" s="100"/>
      <c r="BM585" s="100"/>
    </row>
    <row r="586" spans="2:65" ht="15">
      <c r="B586" s="39"/>
      <c r="C586" s="5"/>
      <c r="D586" s="123"/>
      <c r="E586" s="39"/>
      <c r="F586" s="39"/>
      <c r="G586" s="39"/>
      <c r="H586" s="5" t="str">
        <f ca="1">IFERROR(__xludf.DUMMYFUNCTION("IFERROR(VLOOKUP(F852,IMPORTRANGE(""https://docs.google.com/spreadsheets/d/1Kvs4KS76FHFqLFIZfrDMff4kP08nblUkihrxltoGBjg/edit#gid=934712705"",""ESENCIAL!A6:BG""),3,FALSE))"),"")</f>
        <v/>
      </c>
      <c r="I586" s="5" t="str">
        <f ca="1">IFERROR(__xludf.DUMMYFUNCTION("IFERROR(VLOOKUP(F852,IMPORTRANGE(""https://docs.google.com/spreadsheets/d/1Kvs4KS76FHFqLFIZfrDMff4kP08nblUkihrxltoGBjg/edit#gid=934712705"",""ESENCIAL!A6:BG""),8,FALSE))"),"")</f>
        <v/>
      </c>
      <c r="J586" s="39"/>
      <c r="M586" s="40"/>
      <c r="AV586" s="41" t="str">
        <f t="shared" si="24"/>
        <v/>
      </c>
      <c r="AW586" s="5" t="str">
        <f ca="1">IFERROR(__xludf.DUMMYFUNCTION("IFERROR(VLOOKUP(E852&amp;F852,IMPORTRANGE(""https://docs.google.com/spreadsheets/d/1Uw7-A9f9R21vMXxHZFNpYNeKFtG8_yji4HS352LGlSQ/edit?pli=1#gid=0"",""1_ACUM!A4:S""),11,FALSE))"),"")</f>
        <v/>
      </c>
      <c r="AX586" s="42" t="str">
        <f ca="1">IFERROR(__xludf.DUMMYFUNCTION("IFERROR(VLOOKUP(F852,IMPORTRANGE(""https://docs.google.com/spreadsheets/d/1Kvs4KS76FHFqLFIZfrDMff4kP08nblUkihrxltoGBjg/edit#gid=934712705"",""ESENCIAL!A6:BG""),15,FALSE))"),"")</f>
        <v/>
      </c>
      <c r="AY586" s="110" t="str">
        <f ca="1">IFERROR(__xludf.DUMMYFUNCTION("IFERROR(VLOOKUP(E852&amp;F852,IMPORTRANGE(""https://docs.google.com/spreadsheets/d/1Uw7-A9f9R21vMXxHZFNpYNeKFtG8_yji4HS352LGlSQ/edit?pli=1#gid=0"",""1_ACUM!A4:S""),13,FALSE))"),"")</f>
        <v/>
      </c>
      <c r="AZ586" s="43" t="str">
        <f ca="1">IFERROR(__xludf.DUMMYFUNCTION("IFERROR(VLOOKUP(E852&amp;F852,IMPORTRANGE(""https://docs.google.com/spreadsheets/d/1Uw7-A9f9R21vMXxHZFNpYNeKFtG8_yji4HS352LGlSQ/edit?pli=1#gid=0"",""1_ACUM!A4:S""),13,FALSE))"),"")</f>
        <v/>
      </c>
      <c r="BA586" s="43" t="str">
        <f ca="1">IFERROR(__xludf.DUMMYFUNCTION("IFERROR(VLOOKUP(E852&amp;F852,IMPORTRANGE(""https://docs.google.com/spreadsheets/d/1Uw7-A9f9R21vMXxHZFNpYNeKFtG8_yji4HS352LGlSQ/edit?pli=1#gid=0"",""1_ACUM!A4:S""),14,FALSE))"),"")</f>
        <v/>
      </c>
      <c r="BB586" s="43" t="str">
        <f ca="1">IFERROR(__xludf.DUMMYFUNCTION("IFERROR(VLOOKUP(E852&amp;F852,IMPORTRANGE(""https://docs.google.com/spreadsheets/d/1Uw7-A9f9R21vMXxHZFNpYNeKFtG8_yji4HS352LGlSQ/edit?pli=1#gid=0"",""1_ACUM!A4:S""),15,FALSE))"),"")</f>
        <v/>
      </c>
      <c r="BC586" s="43" t="str">
        <f ca="1">IFERROR(__xludf.DUMMYFUNCTION("IFERROR(VLOOKUP(E852&amp;F852,IMPORTRANGE(""https://docs.google.com/spreadsheets/d/1Uw7-A9f9R21vMXxHZFNpYNeKFtG8_yji4HS352LGlSQ/edit?pli=1#gid=0"",""1_ACUM!A4:S""),16,FALSE))"),"")</f>
        <v/>
      </c>
      <c r="BD586" s="43" t="str">
        <f ca="1">IFERROR(__xludf.DUMMYFUNCTION("IFERROR(VLOOKUP(E852&amp;F852,IMPORTRANGE(""https://docs.google.com/spreadsheets/d/1Uw7-A9f9R21vMXxHZFNpYNeKFtG8_yji4HS352LGlSQ/edit?pli=1#gid=0"",""1_ACUM!A4:S""),17,FALSE))"),"")</f>
        <v/>
      </c>
      <c r="BE586" s="44" t="str">
        <f ca="1">IFERROR(__xludf.DUMMYFUNCTION("IFERROR(VLOOKUP(E852&amp;F852,IMPORTRANGE(""https://docs.google.com/spreadsheets/d/1Uw7-A9f9R21vMXxHZFNpYNeKFtG8_yji4HS352LGlSQ/edit?pli=1#gid=0"",""1_ACUM!A4:S""),18,FALSE))"),"")</f>
        <v/>
      </c>
      <c r="BF586" s="44" t="str">
        <f ca="1">IFERROR(__xludf.DUMMYFUNCTION("IFERROR(VLOOKUP(E852&amp;F852,IMPORTRANGE(""https://docs.google.com/spreadsheets/d/1Uw7-A9f9R21vMXxHZFNpYNeKFtG8_yji4HS352LGlSQ/edit?pli=1#gid=0"",""1_ACUM!A4:S""),19,FALSE))"),"")</f>
        <v/>
      </c>
      <c r="BG586" s="98" t="str">
        <f ca="1">IFERROR(__xludf.DUMMYFUNCTION("IFERROR(VLOOKUP(F852,IMPORTRANGE(""https://docs.google.com/spreadsheets/d/1Kvs4KS76FHFqLFIZfrDMff4kP08nblUkihrxltoGBjg/edit#gid=934712705"",""ESENCIAL!A6:BG""),5,FALSE))"),"")</f>
        <v/>
      </c>
      <c r="BH586" s="98" t="str">
        <f t="shared" si="25"/>
        <v/>
      </c>
      <c r="BI586" s="99" t="str">
        <f t="shared" si="26"/>
        <v/>
      </c>
      <c r="BJ586" s="100" t="str">
        <f ca="1">IFERROR(__xludf.DUMMYFUNCTION("IFERROR(VLOOKUP(F852,IMPORTRANGE(""https://docs.google.com/spreadsheets/d/1Kvs4KS76FHFqLFIZfrDMff4kP08nblUkihrxltoGBjg/edit#gid=934712705"",""ESENCIAL!A6:BG""),2,FALSE))"),"")</f>
        <v/>
      </c>
      <c r="BK586" s="19" t="str">
        <f t="shared" si="27"/>
        <v/>
      </c>
      <c r="BL586" s="100"/>
      <c r="BM586" s="100"/>
    </row>
    <row r="587" spans="2:65" ht="15">
      <c r="B587" s="39"/>
      <c r="C587" s="5"/>
      <c r="D587" s="123"/>
      <c r="E587" s="39"/>
      <c r="F587" s="39"/>
      <c r="G587" s="39"/>
      <c r="H587" s="5" t="str">
        <f ca="1">IFERROR(__xludf.DUMMYFUNCTION("IFERROR(VLOOKUP(F853,IMPORTRANGE(""https://docs.google.com/spreadsheets/d/1Kvs4KS76FHFqLFIZfrDMff4kP08nblUkihrxltoGBjg/edit#gid=934712705"",""ESENCIAL!A6:BG""),3,FALSE))"),"")</f>
        <v/>
      </c>
      <c r="I587" s="5" t="str">
        <f ca="1">IFERROR(__xludf.DUMMYFUNCTION("IFERROR(VLOOKUP(F853,IMPORTRANGE(""https://docs.google.com/spreadsheets/d/1Kvs4KS76FHFqLFIZfrDMff4kP08nblUkihrxltoGBjg/edit#gid=934712705"",""ESENCIAL!A6:BG""),8,FALSE))"),"")</f>
        <v/>
      </c>
      <c r="J587" s="39"/>
      <c r="M587" s="40"/>
      <c r="AV587" s="41" t="str">
        <f t="shared" si="24"/>
        <v/>
      </c>
      <c r="AW587" s="5" t="str">
        <f ca="1">IFERROR(__xludf.DUMMYFUNCTION("IFERROR(VLOOKUP(E853&amp;F853,IMPORTRANGE(""https://docs.google.com/spreadsheets/d/1Uw7-A9f9R21vMXxHZFNpYNeKFtG8_yji4HS352LGlSQ/edit?pli=1#gid=0"",""1_ACUM!A4:S""),11,FALSE))"),"")</f>
        <v/>
      </c>
      <c r="AX587" s="42" t="str">
        <f ca="1">IFERROR(__xludf.DUMMYFUNCTION("IFERROR(VLOOKUP(F853,IMPORTRANGE(""https://docs.google.com/spreadsheets/d/1Kvs4KS76FHFqLFIZfrDMff4kP08nblUkihrxltoGBjg/edit#gid=934712705"",""ESENCIAL!A6:BG""),15,FALSE))"),"")</f>
        <v/>
      </c>
      <c r="AY587" s="110" t="str">
        <f ca="1">IFERROR(__xludf.DUMMYFUNCTION("IFERROR(VLOOKUP(E853&amp;F853,IMPORTRANGE(""https://docs.google.com/spreadsheets/d/1Uw7-A9f9R21vMXxHZFNpYNeKFtG8_yji4HS352LGlSQ/edit?pli=1#gid=0"",""1_ACUM!A4:S""),13,FALSE))"),"")</f>
        <v/>
      </c>
      <c r="AZ587" s="43" t="str">
        <f ca="1">IFERROR(__xludf.DUMMYFUNCTION("IFERROR(VLOOKUP(E853&amp;F853,IMPORTRANGE(""https://docs.google.com/spreadsheets/d/1Uw7-A9f9R21vMXxHZFNpYNeKFtG8_yji4HS352LGlSQ/edit?pli=1#gid=0"",""1_ACUM!A4:S""),13,FALSE))"),"")</f>
        <v/>
      </c>
      <c r="BA587" s="43" t="str">
        <f ca="1">IFERROR(__xludf.DUMMYFUNCTION("IFERROR(VLOOKUP(E853&amp;F853,IMPORTRANGE(""https://docs.google.com/spreadsheets/d/1Uw7-A9f9R21vMXxHZFNpYNeKFtG8_yji4HS352LGlSQ/edit?pli=1#gid=0"",""1_ACUM!A4:S""),14,FALSE))"),"")</f>
        <v/>
      </c>
      <c r="BB587" s="43" t="str">
        <f ca="1">IFERROR(__xludf.DUMMYFUNCTION("IFERROR(VLOOKUP(E853&amp;F853,IMPORTRANGE(""https://docs.google.com/spreadsheets/d/1Uw7-A9f9R21vMXxHZFNpYNeKFtG8_yji4HS352LGlSQ/edit?pli=1#gid=0"",""1_ACUM!A4:S""),15,FALSE))"),"")</f>
        <v/>
      </c>
      <c r="BC587" s="43" t="str">
        <f ca="1">IFERROR(__xludf.DUMMYFUNCTION("IFERROR(VLOOKUP(E853&amp;F853,IMPORTRANGE(""https://docs.google.com/spreadsheets/d/1Uw7-A9f9R21vMXxHZFNpYNeKFtG8_yji4HS352LGlSQ/edit?pli=1#gid=0"",""1_ACUM!A4:S""),16,FALSE))"),"")</f>
        <v/>
      </c>
      <c r="BD587" s="43" t="str">
        <f ca="1">IFERROR(__xludf.DUMMYFUNCTION("IFERROR(VLOOKUP(E853&amp;F853,IMPORTRANGE(""https://docs.google.com/spreadsheets/d/1Uw7-A9f9R21vMXxHZFNpYNeKFtG8_yji4HS352LGlSQ/edit?pli=1#gid=0"",""1_ACUM!A4:S""),17,FALSE))"),"")</f>
        <v/>
      </c>
      <c r="BE587" s="44" t="str">
        <f ca="1">IFERROR(__xludf.DUMMYFUNCTION("IFERROR(VLOOKUP(E853&amp;F853,IMPORTRANGE(""https://docs.google.com/spreadsheets/d/1Uw7-A9f9R21vMXxHZFNpYNeKFtG8_yji4HS352LGlSQ/edit?pli=1#gid=0"",""1_ACUM!A4:S""),18,FALSE))"),"")</f>
        <v/>
      </c>
      <c r="BF587" s="44" t="str">
        <f ca="1">IFERROR(__xludf.DUMMYFUNCTION("IFERROR(VLOOKUP(E853&amp;F853,IMPORTRANGE(""https://docs.google.com/spreadsheets/d/1Uw7-A9f9R21vMXxHZFNpYNeKFtG8_yji4HS352LGlSQ/edit?pli=1#gid=0"",""1_ACUM!A4:S""),19,FALSE))"),"")</f>
        <v/>
      </c>
      <c r="BG587" s="98" t="str">
        <f ca="1">IFERROR(__xludf.DUMMYFUNCTION("IFERROR(VLOOKUP(F853,IMPORTRANGE(""https://docs.google.com/spreadsheets/d/1Kvs4KS76FHFqLFIZfrDMff4kP08nblUkihrxltoGBjg/edit#gid=934712705"",""ESENCIAL!A6:BG""),5,FALSE))"),"")</f>
        <v/>
      </c>
      <c r="BH587" s="98" t="str">
        <f t="shared" si="25"/>
        <v/>
      </c>
      <c r="BI587" s="99" t="str">
        <f t="shared" si="26"/>
        <v/>
      </c>
      <c r="BJ587" s="100" t="str">
        <f ca="1">IFERROR(__xludf.DUMMYFUNCTION("IFERROR(VLOOKUP(F853,IMPORTRANGE(""https://docs.google.com/spreadsheets/d/1Kvs4KS76FHFqLFIZfrDMff4kP08nblUkihrxltoGBjg/edit#gid=934712705"",""ESENCIAL!A6:BG""),2,FALSE))"),"")</f>
        <v/>
      </c>
      <c r="BK587" s="19" t="str">
        <f t="shared" si="27"/>
        <v/>
      </c>
      <c r="BL587" s="100"/>
      <c r="BM587" s="100"/>
    </row>
    <row r="588" spans="2:65" ht="15">
      <c r="B588" s="39"/>
      <c r="C588" s="5"/>
      <c r="D588" s="123"/>
      <c r="E588" s="39"/>
      <c r="F588" s="39"/>
      <c r="G588" s="39"/>
      <c r="H588" s="5" t="str">
        <f ca="1">IFERROR(__xludf.DUMMYFUNCTION("IFERROR(VLOOKUP(F854,IMPORTRANGE(""https://docs.google.com/spreadsheets/d/1Kvs4KS76FHFqLFIZfrDMff4kP08nblUkihrxltoGBjg/edit#gid=934712705"",""ESENCIAL!A6:BG""),3,FALSE))"),"")</f>
        <v/>
      </c>
      <c r="I588" s="5" t="str">
        <f ca="1">IFERROR(__xludf.DUMMYFUNCTION("IFERROR(VLOOKUP(F854,IMPORTRANGE(""https://docs.google.com/spreadsheets/d/1Kvs4KS76FHFqLFIZfrDMff4kP08nblUkihrxltoGBjg/edit#gid=934712705"",""ESENCIAL!A6:BG""),8,FALSE))"),"")</f>
        <v/>
      </c>
      <c r="J588" s="39"/>
      <c r="M588" s="40"/>
      <c r="AV588" s="41" t="str">
        <f t="shared" si="24"/>
        <v/>
      </c>
      <c r="AW588" s="5" t="str">
        <f ca="1">IFERROR(__xludf.DUMMYFUNCTION("IFERROR(VLOOKUP(E854&amp;F854,IMPORTRANGE(""https://docs.google.com/spreadsheets/d/1Uw7-A9f9R21vMXxHZFNpYNeKFtG8_yji4HS352LGlSQ/edit?pli=1#gid=0"",""1_ACUM!A4:S""),11,FALSE))"),"")</f>
        <v/>
      </c>
      <c r="AX588" s="42" t="str">
        <f ca="1">IFERROR(__xludf.DUMMYFUNCTION("IFERROR(VLOOKUP(F854,IMPORTRANGE(""https://docs.google.com/spreadsheets/d/1Kvs4KS76FHFqLFIZfrDMff4kP08nblUkihrxltoGBjg/edit#gid=934712705"",""ESENCIAL!A6:BG""),15,FALSE))"),"")</f>
        <v/>
      </c>
      <c r="AY588" s="110" t="str">
        <f ca="1">IFERROR(__xludf.DUMMYFUNCTION("IFERROR(VLOOKUP(E854&amp;F854,IMPORTRANGE(""https://docs.google.com/spreadsheets/d/1Uw7-A9f9R21vMXxHZFNpYNeKFtG8_yji4HS352LGlSQ/edit?pli=1#gid=0"",""1_ACUM!A4:S""),13,FALSE))"),"")</f>
        <v/>
      </c>
      <c r="AZ588" s="43" t="str">
        <f ca="1">IFERROR(__xludf.DUMMYFUNCTION("IFERROR(VLOOKUP(E854&amp;F854,IMPORTRANGE(""https://docs.google.com/spreadsheets/d/1Uw7-A9f9R21vMXxHZFNpYNeKFtG8_yji4HS352LGlSQ/edit?pli=1#gid=0"",""1_ACUM!A4:S""),13,FALSE))"),"")</f>
        <v/>
      </c>
      <c r="BA588" s="43" t="str">
        <f ca="1">IFERROR(__xludf.DUMMYFUNCTION("IFERROR(VLOOKUP(E854&amp;F854,IMPORTRANGE(""https://docs.google.com/spreadsheets/d/1Uw7-A9f9R21vMXxHZFNpYNeKFtG8_yji4HS352LGlSQ/edit?pli=1#gid=0"",""1_ACUM!A4:S""),14,FALSE))"),"")</f>
        <v/>
      </c>
      <c r="BB588" s="43" t="str">
        <f ca="1">IFERROR(__xludf.DUMMYFUNCTION("IFERROR(VLOOKUP(E854&amp;F854,IMPORTRANGE(""https://docs.google.com/spreadsheets/d/1Uw7-A9f9R21vMXxHZFNpYNeKFtG8_yji4HS352LGlSQ/edit?pli=1#gid=0"",""1_ACUM!A4:S""),15,FALSE))"),"")</f>
        <v/>
      </c>
      <c r="BC588" s="43" t="str">
        <f ca="1">IFERROR(__xludf.DUMMYFUNCTION("IFERROR(VLOOKUP(E854&amp;F854,IMPORTRANGE(""https://docs.google.com/spreadsheets/d/1Uw7-A9f9R21vMXxHZFNpYNeKFtG8_yji4HS352LGlSQ/edit?pli=1#gid=0"",""1_ACUM!A4:S""),16,FALSE))"),"")</f>
        <v/>
      </c>
      <c r="BD588" s="43" t="str">
        <f ca="1">IFERROR(__xludf.DUMMYFUNCTION("IFERROR(VLOOKUP(E854&amp;F854,IMPORTRANGE(""https://docs.google.com/spreadsheets/d/1Uw7-A9f9R21vMXxHZFNpYNeKFtG8_yji4HS352LGlSQ/edit?pli=1#gid=0"",""1_ACUM!A4:S""),17,FALSE))"),"")</f>
        <v/>
      </c>
      <c r="BE588" s="44" t="str">
        <f ca="1">IFERROR(__xludf.DUMMYFUNCTION("IFERROR(VLOOKUP(E854&amp;F854,IMPORTRANGE(""https://docs.google.com/spreadsheets/d/1Uw7-A9f9R21vMXxHZFNpYNeKFtG8_yji4HS352LGlSQ/edit?pli=1#gid=0"",""1_ACUM!A4:S""),18,FALSE))"),"")</f>
        <v/>
      </c>
      <c r="BF588" s="44" t="str">
        <f ca="1">IFERROR(__xludf.DUMMYFUNCTION("IFERROR(VLOOKUP(E854&amp;F854,IMPORTRANGE(""https://docs.google.com/spreadsheets/d/1Uw7-A9f9R21vMXxHZFNpYNeKFtG8_yji4HS352LGlSQ/edit?pli=1#gid=0"",""1_ACUM!A4:S""),19,FALSE))"),"")</f>
        <v/>
      </c>
      <c r="BG588" s="98" t="str">
        <f ca="1">IFERROR(__xludf.DUMMYFUNCTION("IFERROR(VLOOKUP(F854,IMPORTRANGE(""https://docs.google.com/spreadsheets/d/1Kvs4KS76FHFqLFIZfrDMff4kP08nblUkihrxltoGBjg/edit#gid=934712705"",""ESENCIAL!A6:BG""),5,FALSE))"),"")</f>
        <v/>
      </c>
      <c r="BH588" s="98" t="str">
        <f t="shared" si="25"/>
        <v/>
      </c>
      <c r="BI588" s="99" t="str">
        <f t="shared" si="26"/>
        <v/>
      </c>
      <c r="BJ588" s="100" t="str">
        <f ca="1">IFERROR(__xludf.DUMMYFUNCTION("IFERROR(VLOOKUP(F854,IMPORTRANGE(""https://docs.google.com/spreadsheets/d/1Kvs4KS76FHFqLFIZfrDMff4kP08nblUkihrxltoGBjg/edit#gid=934712705"",""ESENCIAL!A6:BG""),2,FALSE))"),"")</f>
        <v/>
      </c>
      <c r="BK588" s="19" t="str">
        <f t="shared" si="27"/>
        <v/>
      </c>
      <c r="BL588" s="100"/>
      <c r="BM588" s="100"/>
    </row>
    <row r="589" spans="2:65" ht="15">
      <c r="B589" s="39"/>
      <c r="C589" s="5"/>
      <c r="D589" s="123"/>
      <c r="E589" s="39"/>
      <c r="F589" s="39"/>
      <c r="G589" s="39"/>
      <c r="H589" s="5" t="str">
        <f ca="1">IFERROR(__xludf.DUMMYFUNCTION("IFERROR(VLOOKUP(F855,IMPORTRANGE(""https://docs.google.com/spreadsheets/d/1Kvs4KS76FHFqLFIZfrDMff4kP08nblUkihrxltoGBjg/edit#gid=934712705"",""ESENCIAL!A6:BG""),3,FALSE))"),"")</f>
        <v/>
      </c>
      <c r="I589" s="5" t="str">
        <f ca="1">IFERROR(__xludf.DUMMYFUNCTION("IFERROR(VLOOKUP(F855,IMPORTRANGE(""https://docs.google.com/spreadsheets/d/1Kvs4KS76FHFqLFIZfrDMff4kP08nblUkihrxltoGBjg/edit#gid=934712705"",""ESENCIAL!A6:BG""),8,FALSE))"),"")</f>
        <v/>
      </c>
      <c r="J589" s="39"/>
      <c r="M589" s="40"/>
      <c r="AV589" s="41" t="str">
        <f t="shared" si="24"/>
        <v/>
      </c>
      <c r="AW589" s="5" t="str">
        <f ca="1">IFERROR(__xludf.DUMMYFUNCTION("IFERROR(VLOOKUP(E855&amp;F855,IMPORTRANGE(""https://docs.google.com/spreadsheets/d/1Uw7-A9f9R21vMXxHZFNpYNeKFtG8_yji4HS352LGlSQ/edit?pli=1#gid=0"",""1_ACUM!A4:S""),11,FALSE))"),"")</f>
        <v/>
      </c>
      <c r="AX589" s="42" t="str">
        <f ca="1">IFERROR(__xludf.DUMMYFUNCTION("IFERROR(VLOOKUP(F855,IMPORTRANGE(""https://docs.google.com/spreadsheets/d/1Kvs4KS76FHFqLFIZfrDMff4kP08nblUkihrxltoGBjg/edit#gid=934712705"",""ESENCIAL!A6:BG""),15,FALSE))"),"")</f>
        <v/>
      </c>
      <c r="AY589" s="110" t="str">
        <f ca="1">IFERROR(__xludf.DUMMYFUNCTION("IFERROR(VLOOKUP(E855&amp;F855,IMPORTRANGE(""https://docs.google.com/spreadsheets/d/1Uw7-A9f9R21vMXxHZFNpYNeKFtG8_yji4HS352LGlSQ/edit?pli=1#gid=0"",""1_ACUM!A4:S""),13,FALSE))"),"")</f>
        <v/>
      </c>
      <c r="AZ589" s="43" t="str">
        <f ca="1">IFERROR(__xludf.DUMMYFUNCTION("IFERROR(VLOOKUP(E855&amp;F855,IMPORTRANGE(""https://docs.google.com/spreadsheets/d/1Uw7-A9f9R21vMXxHZFNpYNeKFtG8_yji4HS352LGlSQ/edit?pli=1#gid=0"",""1_ACUM!A4:S""),13,FALSE))"),"")</f>
        <v/>
      </c>
      <c r="BA589" s="43" t="str">
        <f ca="1">IFERROR(__xludf.DUMMYFUNCTION("IFERROR(VLOOKUP(E855&amp;F855,IMPORTRANGE(""https://docs.google.com/spreadsheets/d/1Uw7-A9f9R21vMXxHZFNpYNeKFtG8_yji4HS352LGlSQ/edit?pli=1#gid=0"",""1_ACUM!A4:S""),14,FALSE))"),"")</f>
        <v/>
      </c>
      <c r="BB589" s="43" t="str">
        <f ca="1">IFERROR(__xludf.DUMMYFUNCTION("IFERROR(VLOOKUP(E855&amp;F855,IMPORTRANGE(""https://docs.google.com/spreadsheets/d/1Uw7-A9f9R21vMXxHZFNpYNeKFtG8_yji4HS352LGlSQ/edit?pli=1#gid=0"",""1_ACUM!A4:S""),15,FALSE))"),"")</f>
        <v/>
      </c>
      <c r="BC589" s="43" t="str">
        <f ca="1">IFERROR(__xludf.DUMMYFUNCTION("IFERROR(VLOOKUP(E855&amp;F855,IMPORTRANGE(""https://docs.google.com/spreadsheets/d/1Uw7-A9f9R21vMXxHZFNpYNeKFtG8_yji4HS352LGlSQ/edit?pli=1#gid=0"",""1_ACUM!A4:S""),16,FALSE))"),"")</f>
        <v/>
      </c>
      <c r="BD589" s="43" t="str">
        <f ca="1">IFERROR(__xludf.DUMMYFUNCTION("IFERROR(VLOOKUP(E855&amp;F855,IMPORTRANGE(""https://docs.google.com/spreadsheets/d/1Uw7-A9f9R21vMXxHZFNpYNeKFtG8_yji4HS352LGlSQ/edit?pli=1#gid=0"",""1_ACUM!A4:S""),17,FALSE))"),"")</f>
        <v/>
      </c>
      <c r="BE589" s="44" t="str">
        <f ca="1">IFERROR(__xludf.DUMMYFUNCTION("IFERROR(VLOOKUP(E855&amp;F855,IMPORTRANGE(""https://docs.google.com/spreadsheets/d/1Uw7-A9f9R21vMXxHZFNpYNeKFtG8_yji4HS352LGlSQ/edit?pli=1#gid=0"",""1_ACUM!A4:S""),18,FALSE))"),"")</f>
        <v/>
      </c>
      <c r="BF589" s="44" t="str">
        <f ca="1">IFERROR(__xludf.DUMMYFUNCTION("IFERROR(VLOOKUP(E855&amp;F855,IMPORTRANGE(""https://docs.google.com/spreadsheets/d/1Uw7-A9f9R21vMXxHZFNpYNeKFtG8_yji4HS352LGlSQ/edit?pli=1#gid=0"",""1_ACUM!A4:S""),19,FALSE))"),"")</f>
        <v/>
      </c>
      <c r="BG589" s="98" t="str">
        <f ca="1">IFERROR(__xludf.DUMMYFUNCTION("IFERROR(VLOOKUP(F855,IMPORTRANGE(""https://docs.google.com/spreadsheets/d/1Kvs4KS76FHFqLFIZfrDMff4kP08nblUkihrxltoGBjg/edit#gid=934712705"",""ESENCIAL!A6:BG""),5,FALSE))"),"")</f>
        <v/>
      </c>
      <c r="BH589" s="98" t="str">
        <f t="shared" si="25"/>
        <v/>
      </c>
      <c r="BI589" s="99" t="str">
        <f t="shared" si="26"/>
        <v/>
      </c>
      <c r="BJ589" s="100" t="str">
        <f ca="1">IFERROR(__xludf.DUMMYFUNCTION("IFERROR(VLOOKUP(F855,IMPORTRANGE(""https://docs.google.com/spreadsheets/d/1Kvs4KS76FHFqLFIZfrDMff4kP08nblUkihrxltoGBjg/edit#gid=934712705"",""ESENCIAL!A6:BG""),2,FALSE))"),"")</f>
        <v/>
      </c>
      <c r="BK589" s="19" t="str">
        <f t="shared" si="27"/>
        <v/>
      </c>
      <c r="BL589" s="100"/>
      <c r="BM589" s="100"/>
    </row>
    <row r="590" spans="2:65" ht="15">
      <c r="B590" s="39"/>
      <c r="C590" s="5"/>
      <c r="D590" s="123"/>
      <c r="E590" s="39"/>
      <c r="F590" s="39"/>
      <c r="G590" s="39"/>
      <c r="H590" s="5" t="str">
        <f ca="1">IFERROR(__xludf.DUMMYFUNCTION("IFERROR(VLOOKUP(F856,IMPORTRANGE(""https://docs.google.com/spreadsheets/d/1Kvs4KS76FHFqLFIZfrDMff4kP08nblUkihrxltoGBjg/edit#gid=934712705"",""ESENCIAL!A6:BG""),3,FALSE))"),"")</f>
        <v/>
      </c>
      <c r="I590" s="5" t="str">
        <f ca="1">IFERROR(__xludf.DUMMYFUNCTION("IFERROR(VLOOKUP(F856,IMPORTRANGE(""https://docs.google.com/spreadsheets/d/1Kvs4KS76FHFqLFIZfrDMff4kP08nblUkihrxltoGBjg/edit#gid=934712705"",""ESENCIAL!A6:BG""),8,FALSE))"),"")</f>
        <v/>
      </c>
      <c r="J590" s="39"/>
      <c r="M590" s="40"/>
      <c r="AV590" s="41" t="str">
        <f t="shared" si="24"/>
        <v/>
      </c>
      <c r="AW590" s="5" t="str">
        <f ca="1">IFERROR(__xludf.DUMMYFUNCTION("IFERROR(VLOOKUP(E856&amp;F856,IMPORTRANGE(""https://docs.google.com/spreadsheets/d/1Uw7-A9f9R21vMXxHZFNpYNeKFtG8_yji4HS352LGlSQ/edit?pli=1#gid=0"",""1_ACUM!A4:S""),11,FALSE))"),"")</f>
        <v/>
      </c>
      <c r="AX590" s="42" t="str">
        <f ca="1">IFERROR(__xludf.DUMMYFUNCTION("IFERROR(VLOOKUP(F856,IMPORTRANGE(""https://docs.google.com/spreadsheets/d/1Kvs4KS76FHFqLFIZfrDMff4kP08nblUkihrxltoGBjg/edit#gid=934712705"",""ESENCIAL!A6:BG""),15,FALSE))"),"")</f>
        <v/>
      </c>
      <c r="AY590" s="110" t="str">
        <f ca="1">IFERROR(__xludf.DUMMYFUNCTION("IFERROR(VLOOKUP(E856&amp;F856,IMPORTRANGE(""https://docs.google.com/spreadsheets/d/1Uw7-A9f9R21vMXxHZFNpYNeKFtG8_yji4HS352LGlSQ/edit?pli=1#gid=0"",""1_ACUM!A4:S""),13,FALSE))"),"")</f>
        <v/>
      </c>
      <c r="AZ590" s="43" t="str">
        <f ca="1">IFERROR(__xludf.DUMMYFUNCTION("IFERROR(VLOOKUP(E856&amp;F856,IMPORTRANGE(""https://docs.google.com/spreadsheets/d/1Uw7-A9f9R21vMXxHZFNpYNeKFtG8_yji4HS352LGlSQ/edit?pli=1#gid=0"",""1_ACUM!A4:S""),13,FALSE))"),"")</f>
        <v/>
      </c>
      <c r="BA590" s="43" t="str">
        <f ca="1">IFERROR(__xludf.DUMMYFUNCTION("IFERROR(VLOOKUP(E856&amp;F856,IMPORTRANGE(""https://docs.google.com/spreadsheets/d/1Uw7-A9f9R21vMXxHZFNpYNeKFtG8_yji4HS352LGlSQ/edit?pli=1#gid=0"",""1_ACUM!A4:S""),14,FALSE))"),"")</f>
        <v/>
      </c>
      <c r="BB590" s="43" t="str">
        <f ca="1">IFERROR(__xludf.DUMMYFUNCTION("IFERROR(VLOOKUP(E856&amp;F856,IMPORTRANGE(""https://docs.google.com/spreadsheets/d/1Uw7-A9f9R21vMXxHZFNpYNeKFtG8_yji4HS352LGlSQ/edit?pli=1#gid=0"",""1_ACUM!A4:S""),15,FALSE))"),"")</f>
        <v/>
      </c>
      <c r="BC590" s="43" t="str">
        <f ca="1">IFERROR(__xludf.DUMMYFUNCTION("IFERROR(VLOOKUP(E856&amp;F856,IMPORTRANGE(""https://docs.google.com/spreadsheets/d/1Uw7-A9f9R21vMXxHZFNpYNeKFtG8_yji4HS352LGlSQ/edit?pli=1#gid=0"",""1_ACUM!A4:S""),16,FALSE))"),"")</f>
        <v/>
      </c>
      <c r="BD590" s="43" t="str">
        <f ca="1">IFERROR(__xludf.DUMMYFUNCTION("IFERROR(VLOOKUP(E856&amp;F856,IMPORTRANGE(""https://docs.google.com/spreadsheets/d/1Uw7-A9f9R21vMXxHZFNpYNeKFtG8_yji4HS352LGlSQ/edit?pli=1#gid=0"",""1_ACUM!A4:S""),17,FALSE))"),"")</f>
        <v/>
      </c>
      <c r="BE590" s="44" t="str">
        <f ca="1">IFERROR(__xludf.DUMMYFUNCTION("IFERROR(VLOOKUP(E856&amp;F856,IMPORTRANGE(""https://docs.google.com/spreadsheets/d/1Uw7-A9f9R21vMXxHZFNpYNeKFtG8_yji4HS352LGlSQ/edit?pli=1#gid=0"",""1_ACUM!A4:S""),18,FALSE))"),"")</f>
        <v/>
      </c>
      <c r="BF590" s="44" t="str">
        <f ca="1">IFERROR(__xludf.DUMMYFUNCTION("IFERROR(VLOOKUP(E856&amp;F856,IMPORTRANGE(""https://docs.google.com/spreadsheets/d/1Uw7-A9f9R21vMXxHZFNpYNeKFtG8_yji4HS352LGlSQ/edit?pli=1#gid=0"",""1_ACUM!A4:S""),19,FALSE))"),"")</f>
        <v/>
      </c>
      <c r="BG590" s="98" t="str">
        <f ca="1">IFERROR(__xludf.DUMMYFUNCTION("IFERROR(VLOOKUP(F856,IMPORTRANGE(""https://docs.google.com/spreadsheets/d/1Kvs4KS76FHFqLFIZfrDMff4kP08nblUkihrxltoGBjg/edit#gid=934712705"",""ESENCIAL!A6:BG""),5,FALSE))"),"")</f>
        <v/>
      </c>
      <c r="BH590" s="98" t="str">
        <f t="shared" si="25"/>
        <v/>
      </c>
      <c r="BI590" s="99" t="str">
        <f t="shared" si="26"/>
        <v/>
      </c>
      <c r="BJ590" s="100" t="str">
        <f ca="1">IFERROR(__xludf.DUMMYFUNCTION("IFERROR(VLOOKUP(F856,IMPORTRANGE(""https://docs.google.com/spreadsheets/d/1Kvs4KS76FHFqLFIZfrDMff4kP08nblUkihrxltoGBjg/edit#gid=934712705"",""ESENCIAL!A6:BG""),2,FALSE))"),"")</f>
        <v/>
      </c>
      <c r="BK590" s="19" t="str">
        <f t="shared" si="27"/>
        <v/>
      </c>
      <c r="BL590" s="100"/>
      <c r="BM590" s="100"/>
    </row>
    <row r="591" spans="2:65" ht="15">
      <c r="B591" s="39"/>
      <c r="C591" s="5"/>
      <c r="D591" s="123"/>
      <c r="E591" s="39"/>
      <c r="F591" s="39"/>
      <c r="G591" s="39"/>
      <c r="H591" s="5" t="str">
        <f ca="1">IFERROR(__xludf.DUMMYFUNCTION("IFERROR(VLOOKUP(F857,IMPORTRANGE(""https://docs.google.com/spreadsheets/d/1Kvs4KS76FHFqLFIZfrDMff4kP08nblUkihrxltoGBjg/edit#gid=934712705"",""ESENCIAL!A6:BG""),3,FALSE))"),"")</f>
        <v/>
      </c>
      <c r="I591" s="5" t="str">
        <f ca="1">IFERROR(__xludf.DUMMYFUNCTION("IFERROR(VLOOKUP(F857,IMPORTRANGE(""https://docs.google.com/spreadsheets/d/1Kvs4KS76FHFqLFIZfrDMff4kP08nblUkihrxltoGBjg/edit#gid=934712705"",""ESENCIAL!A6:BG""),8,FALSE))"),"")</f>
        <v/>
      </c>
      <c r="J591" s="39"/>
      <c r="M591" s="40"/>
      <c r="AV591" s="41" t="str">
        <f t="shared" si="24"/>
        <v/>
      </c>
      <c r="AW591" s="5" t="str">
        <f ca="1">IFERROR(__xludf.DUMMYFUNCTION("IFERROR(VLOOKUP(E857&amp;F857,IMPORTRANGE(""https://docs.google.com/spreadsheets/d/1Uw7-A9f9R21vMXxHZFNpYNeKFtG8_yji4HS352LGlSQ/edit?pli=1#gid=0"",""1_ACUM!A4:S""),11,FALSE))"),"")</f>
        <v/>
      </c>
      <c r="AX591" s="42" t="str">
        <f ca="1">IFERROR(__xludf.DUMMYFUNCTION("IFERROR(VLOOKUP(F857,IMPORTRANGE(""https://docs.google.com/spreadsheets/d/1Kvs4KS76FHFqLFIZfrDMff4kP08nblUkihrxltoGBjg/edit#gid=934712705"",""ESENCIAL!A6:BG""),15,FALSE))"),"")</f>
        <v/>
      </c>
      <c r="AY591" s="110" t="str">
        <f ca="1">IFERROR(__xludf.DUMMYFUNCTION("IFERROR(VLOOKUP(E857&amp;F857,IMPORTRANGE(""https://docs.google.com/spreadsheets/d/1Uw7-A9f9R21vMXxHZFNpYNeKFtG8_yji4HS352LGlSQ/edit?pli=1#gid=0"",""1_ACUM!A4:S""),13,FALSE))"),"")</f>
        <v/>
      </c>
      <c r="AZ591" s="43" t="str">
        <f ca="1">IFERROR(__xludf.DUMMYFUNCTION("IFERROR(VLOOKUP(E857&amp;F857,IMPORTRANGE(""https://docs.google.com/spreadsheets/d/1Uw7-A9f9R21vMXxHZFNpYNeKFtG8_yji4HS352LGlSQ/edit?pli=1#gid=0"",""1_ACUM!A4:S""),13,FALSE))"),"")</f>
        <v/>
      </c>
      <c r="BA591" s="43" t="str">
        <f ca="1">IFERROR(__xludf.DUMMYFUNCTION("IFERROR(VLOOKUP(E857&amp;F857,IMPORTRANGE(""https://docs.google.com/spreadsheets/d/1Uw7-A9f9R21vMXxHZFNpYNeKFtG8_yji4HS352LGlSQ/edit?pli=1#gid=0"",""1_ACUM!A4:S""),14,FALSE))"),"")</f>
        <v/>
      </c>
      <c r="BB591" s="43" t="str">
        <f ca="1">IFERROR(__xludf.DUMMYFUNCTION("IFERROR(VLOOKUP(E857&amp;F857,IMPORTRANGE(""https://docs.google.com/spreadsheets/d/1Uw7-A9f9R21vMXxHZFNpYNeKFtG8_yji4HS352LGlSQ/edit?pli=1#gid=0"",""1_ACUM!A4:S""),15,FALSE))"),"")</f>
        <v/>
      </c>
      <c r="BC591" s="43" t="str">
        <f ca="1">IFERROR(__xludf.DUMMYFUNCTION("IFERROR(VLOOKUP(E857&amp;F857,IMPORTRANGE(""https://docs.google.com/spreadsheets/d/1Uw7-A9f9R21vMXxHZFNpYNeKFtG8_yji4HS352LGlSQ/edit?pli=1#gid=0"",""1_ACUM!A4:S""),16,FALSE))"),"")</f>
        <v/>
      </c>
      <c r="BD591" s="43" t="str">
        <f ca="1">IFERROR(__xludf.DUMMYFUNCTION("IFERROR(VLOOKUP(E857&amp;F857,IMPORTRANGE(""https://docs.google.com/spreadsheets/d/1Uw7-A9f9R21vMXxHZFNpYNeKFtG8_yji4HS352LGlSQ/edit?pli=1#gid=0"",""1_ACUM!A4:S""),17,FALSE))"),"")</f>
        <v/>
      </c>
      <c r="BE591" s="44" t="str">
        <f ca="1">IFERROR(__xludf.DUMMYFUNCTION("IFERROR(VLOOKUP(E857&amp;F857,IMPORTRANGE(""https://docs.google.com/spreadsheets/d/1Uw7-A9f9R21vMXxHZFNpYNeKFtG8_yji4HS352LGlSQ/edit?pli=1#gid=0"",""1_ACUM!A4:S""),18,FALSE))"),"")</f>
        <v/>
      </c>
      <c r="BF591" s="44" t="str">
        <f ca="1">IFERROR(__xludf.DUMMYFUNCTION("IFERROR(VLOOKUP(E857&amp;F857,IMPORTRANGE(""https://docs.google.com/spreadsheets/d/1Uw7-A9f9R21vMXxHZFNpYNeKFtG8_yji4HS352LGlSQ/edit?pli=1#gid=0"",""1_ACUM!A4:S""),19,FALSE))"),"")</f>
        <v/>
      </c>
      <c r="BG591" s="98" t="str">
        <f ca="1">IFERROR(__xludf.DUMMYFUNCTION("IFERROR(VLOOKUP(F857,IMPORTRANGE(""https://docs.google.com/spreadsheets/d/1Kvs4KS76FHFqLFIZfrDMff4kP08nblUkihrxltoGBjg/edit#gid=934712705"",""ESENCIAL!A6:BG""),5,FALSE))"),"")</f>
        <v/>
      </c>
      <c r="BH591" s="98" t="str">
        <f t="shared" si="25"/>
        <v/>
      </c>
      <c r="BI591" s="99" t="str">
        <f t="shared" si="26"/>
        <v/>
      </c>
      <c r="BJ591" s="100" t="str">
        <f ca="1">IFERROR(__xludf.DUMMYFUNCTION("IFERROR(VLOOKUP(F857,IMPORTRANGE(""https://docs.google.com/spreadsheets/d/1Kvs4KS76FHFqLFIZfrDMff4kP08nblUkihrxltoGBjg/edit#gid=934712705"",""ESENCIAL!A6:BG""),2,FALSE))"),"")</f>
        <v/>
      </c>
      <c r="BK591" s="19" t="str">
        <f t="shared" si="27"/>
        <v/>
      </c>
      <c r="BL591" s="100"/>
      <c r="BM591" s="100"/>
    </row>
    <row r="592" spans="2:65" ht="15">
      <c r="B592" s="39"/>
      <c r="C592" s="5"/>
      <c r="D592" s="123"/>
      <c r="E592" s="39"/>
      <c r="F592" s="39"/>
      <c r="G592" s="39"/>
      <c r="H592" s="5" t="str">
        <f ca="1">IFERROR(__xludf.DUMMYFUNCTION("IFERROR(VLOOKUP(F858,IMPORTRANGE(""https://docs.google.com/spreadsheets/d/1Kvs4KS76FHFqLFIZfrDMff4kP08nblUkihrxltoGBjg/edit#gid=934712705"",""ESENCIAL!A6:BG""),3,FALSE))"),"")</f>
        <v/>
      </c>
      <c r="I592" s="5" t="str">
        <f ca="1">IFERROR(__xludf.DUMMYFUNCTION("IFERROR(VLOOKUP(F858,IMPORTRANGE(""https://docs.google.com/spreadsheets/d/1Kvs4KS76FHFqLFIZfrDMff4kP08nblUkihrxltoGBjg/edit#gid=934712705"",""ESENCIAL!A6:BG""),8,FALSE))"),"")</f>
        <v/>
      </c>
      <c r="J592" s="39"/>
      <c r="M592" s="40"/>
      <c r="AV592" s="41" t="str">
        <f t="shared" si="24"/>
        <v/>
      </c>
      <c r="AW592" s="5" t="str">
        <f ca="1">IFERROR(__xludf.DUMMYFUNCTION("IFERROR(VLOOKUP(E858&amp;F858,IMPORTRANGE(""https://docs.google.com/spreadsheets/d/1Uw7-A9f9R21vMXxHZFNpYNeKFtG8_yji4HS352LGlSQ/edit?pli=1#gid=0"",""1_ACUM!A4:S""),11,FALSE))"),"")</f>
        <v/>
      </c>
      <c r="AX592" s="42" t="str">
        <f ca="1">IFERROR(__xludf.DUMMYFUNCTION("IFERROR(VLOOKUP(F858,IMPORTRANGE(""https://docs.google.com/spreadsheets/d/1Kvs4KS76FHFqLFIZfrDMff4kP08nblUkihrxltoGBjg/edit#gid=934712705"",""ESENCIAL!A6:BG""),15,FALSE))"),"")</f>
        <v/>
      </c>
      <c r="AY592" s="110" t="str">
        <f ca="1">IFERROR(__xludf.DUMMYFUNCTION("IFERROR(VLOOKUP(E858&amp;F858,IMPORTRANGE(""https://docs.google.com/spreadsheets/d/1Uw7-A9f9R21vMXxHZFNpYNeKFtG8_yji4HS352LGlSQ/edit?pli=1#gid=0"",""1_ACUM!A4:S""),13,FALSE))"),"")</f>
        <v/>
      </c>
      <c r="AZ592" s="43" t="str">
        <f ca="1">IFERROR(__xludf.DUMMYFUNCTION("IFERROR(VLOOKUP(E858&amp;F858,IMPORTRANGE(""https://docs.google.com/spreadsheets/d/1Uw7-A9f9R21vMXxHZFNpYNeKFtG8_yji4HS352LGlSQ/edit?pli=1#gid=0"",""1_ACUM!A4:S""),13,FALSE))"),"")</f>
        <v/>
      </c>
      <c r="BA592" s="43" t="str">
        <f ca="1">IFERROR(__xludf.DUMMYFUNCTION("IFERROR(VLOOKUP(E858&amp;F858,IMPORTRANGE(""https://docs.google.com/spreadsheets/d/1Uw7-A9f9R21vMXxHZFNpYNeKFtG8_yji4HS352LGlSQ/edit?pli=1#gid=0"",""1_ACUM!A4:S""),14,FALSE))"),"")</f>
        <v/>
      </c>
      <c r="BB592" s="43" t="str">
        <f ca="1">IFERROR(__xludf.DUMMYFUNCTION("IFERROR(VLOOKUP(E858&amp;F858,IMPORTRANGE(""https://docs.google.com/spreadsheets/d/1Uw7-A9f9R21vMXxHZFNpYNeKFtG8_yji4HS352LGlSQ/edit?pli=1#gid=0"",""1_ACUM!A4:S""),15,FALSE))"),"")</f>
        <v/>
      </c>
      <c r="BC592" s="43" t="str">
        <f ca="1">IFERROR(__xludf.DUMMYFUNCTION("IFERROR(VLOOKUP(E858&amp;F858,IMPORTRANGE(""https://docs.google.com/spreadsheets/d/1Uw7-A9f9R21vMXxHZFNpYNeKFtG8_yji4HS352LGlSQ/edit?pli=1#gid=0"",""1_ACUM!A4:S""),16,FALSE))"),"")</f>
        <v/>
      </c>
      <c r="BD592" s="43" t="str">
        <f ca="1">IFERROR(__xludf.DUMMYFUNCTION("IFERROR(VLOOKUP(E858&amp;F858,IMPORTRANGE(""https://docs.google.com/spreadsheets/d/1Uw7-A9f9R21vMXxHZFNpYNeKFtG8_yji4HS352LGlSQ/edit?pli=1#gid=0"",""1_ACUM!A4:S""),17,FALSE))"),"")</f>
        <v/>
      </c>
      <c r="BE592" s="44" t="str">
        <f ca="1">IFERROR(__xludf.DUMMYFUNCTION("IFERROR(VLOOKUP(E858&amp;F858,IMPORTRANGE(""https://docs.google.com/spreadsheets/d/1Uw7-A9f9R21vMXxHZFNpYNeKFtG8_yji4HS352LGlSQ/edit?pli=1#gid=0"",""1_ACUM!A4:S""),18,FALSE))"),"")</f>
        <v/>
      </c>
      <c r="BF592" s="44" t="str">
        <f ca="1">IFERROR(__xludf.DUMMYFUNCTION("IFERROR(VLOOKUP(E858&amp;F858,IMPORTRANGE(""https://docs.google.com/spreadsheets/d/1Uw7-A9f9R21vMXxHZFNpYNeKFtG8_yji4HS352LGlSQ/edit?pli=1#gid=0"",""1_ACUM!A4:S""),19,FALSE))"),"")</f>
        <v/>
      </c>
      <c r="BG592" s="98" t="str">
        <f ca="1">IFERROR(__xludf.DUMMYFUNCTION("IFERROR(VLOOKUP(F858,IMPORTRANGE(""https://docs.google.com/spreadsheets/d/1Kvs4KS76FHFqLFIZfrDMff4kP08nblUkihrxltoGBjg/edit#gid=934712705"",""ESENCIAL!A6:BG""),5,FALSE))"),"")</f>
        <v/>
      </c>
      <c r="BH592" s="98" t="str">
        <f t="shared" si="25"/>
        <v/>
      </c>
      <c r="BI592" s="99" t="str">
        <f t="shared" si="26"/>
        <v/>
      </c>
      <c r="BJ592" s="100" t="str">
        <f ca="1">IFERROR(__xludf.DUMMYFUNCTION("IFERROR(VLOOKUP(F858,IMPORTRANGE(""https://docs.google.com/spreadsheets/d/1Kvs4KS76FHFqLFIZfrDMff4kP08nblUkihrxltoGBjg/edit#gid=934712705"",""ESENCIAL!A6:BG""),2,FALSE))"),"")</f>
        <v/>
      </c>
      <c r="BK592" s="19" t="str">
        <f t="shared" si="27"/>
        <v/>
      </c>
      <c r="BL592" s="100"/>
      <c r="BM592" s="100"/>
    </row>
    <row r="593" spans="2:65" ht="15">
      <c r="B593" s="39"/>
      <c r="C593" s="5"/>
      <c r="D593" s="123"/>
      <c r="E593" s="39"/>
      <c r="F593" s="39"/>
      <c r="G593" s="39"/>
      <c r="H593" s="5" t="str">
        <f ca="1">IFERROR(__xludf.DUMMYFUNCTION("IFERROR(VLOOKUP(F859,IMPORTRANGE(""https://docs.google.com/spreadsheets/d/1Kvs4KS76FHFqLFIZfrDMff4kP08nblUkihrxltoGBjg/edit#gid=934712705"",""ESENCIAL!A6:BG""),3,FALSE))"),"")</f>
        <v/>
      </c>
      <c r="I593" s="5" t="str">
        <f ca="1">IFERROR(__xludf.DUMMYFUNCTION("IFERROR(VLOOKUP(F859,IMPORTRANGE(""https://docs.google.com/spreadsheets/d/1Kvs4KS76FHFqLFIZfrDMff4kP08nblUkihrxltoGBjg/edit#gid=934712705"",""ESENCIAL!A6:BG""),8,FALSE))"),"")</f>
        <v/>
      </c>
      <c r="J593" s="39"/>
      <c r="M593" s="40"/>
      <c r="AV593" s="41" t="str">
        <f t="shared" si="24"/>
        <v/>
      </c>
      <c r="AW593" s="5" t="str">
        <f ca="1">IFERROR(__xludf.DUMMYFUNCTION("IFERROR(VLOOKUP(E859&amp;F859,IMPORTRANGE(""https://docs.google.com/spreadsheets/d/1Uw7-A9f9R21vMXxHZFNpYNeKFtG8_yji4HS352LGlSQ/edit?pli=1#gid=0"",""1_ACUM!A4:S""),11,FALSE))"),"")</f>
        <v/>
      </c>
      <c r="AX593" s="42" t="str">
        <f ca="1">IFERROR(__xludf.DUMMYFUNCTION("IFERROR(VLOOKUP(F859,IMPORTRANGE(""https://docs.google.com/spreadsheets/d/1Kvs4KS76FHFqLFIZfrDMff4kP08nblUkihrxltoGBjg/edit#gid=934712705"",""ESENCIAL!A6:BG""),15,FALSE))"),"")</f>
        <v/>
      </c>
      <c r="AY593" s="110" t="str">
        <f ca="1">IFERROR(__xludf.DUMMYFUNCTION("IFERROR(VLOOKUP(E859&amp;F859,IMPORTRANGE(""https://docs.google.com/spreadsheets/d/1Uw7-A9f9R21vMXxHZFNpYNeKFtG8_yji4HS352LGlSQ/edit?pli=1#gid=0"",""1_ACUM!A4:S""),13,FALSE))"),"")</f>
        <v/>
      </c>
      <c r="AZ593" s="43" t="str">
        <f ca="1">IFERROR(__xludf.DUMMYFUNCTION("IFERROR(VLOOKUP(E859&amp;F859,IMPORTRANGE(""https://docs.google.com/spreadsheets/d/1Uw7-A9f9R21vMXxHZFNpYNeKFtG8_yji4HS352LGlSQ/edit?pli=1#gid=0"",""1_ACUM!A4:S""),13,FALSE))"),"")</f>
        <v/>
      </c>
      <c r="BA593" s="43" t="str">
        <f ca="1">IFERROR(__xludf.DUMMYFUNCTION("IFERROR(VLOOKUP(E859&amp;F859,IMPORTRANGE(""https://docs.google.com/spreadsheets/d/1Uw7-A9f9R21vMXxHZFNpYNeKFtG8_yji4HS352LGlSQ/edit?pli=1#gid=0"",""1_ACUM!A4:S""),14,FALSE))"),"")</f>
        <v/>
      </c>
      <c r="BB593" s="43" t="str">
        <f ca="1">IFERROR(__xludf.DUMMYFUNCTION("IFERROR(VLOOKUP(E859&amp;F859,IMPORTRANGE(""https://docs.google.com/spreadsheets/d/1Uw7-A9f9R21vMXxHZFNpYNeKFtG8_yji4HS352LGlSQ/edit?pli=1#gid=0"",""1_ACUM!A4:S""),15,FALSE))"),"")</f>
        <v/>
      </c>
      <c r="BC593" s="43" t="str">
        <f ca="1">IFERROR(__xludf.DUMMYFUNCTION("IFERROR(VLOOKUP(E859&amp;F859,IMPORTRANGE(""https://docs.google.com/spreadsheets/d/1Uw7-A9f9R21vMXxHZFNpYNeKFtG8_yji4HS352LGlSQ/edit?pli=1#gid=0"",""1_ACUM!A4:S""),16,FALSE))"),"")</f>
        <v/>
      </c>
      <c r="BD593" s="43" t="str">
        <f ca="1">IFERROR(__xludf.DUMMYFUNCTION("IFERROR(VLOOKUP(E859&amp;F859,IMPORTRANGE(""https://docs.google.com/spreadsheets/d/1Uw7-A9f9R21vMXxHZFNpYNeKFtG8_yji4HS352LGlSQ/edit?pli=1#gid=0"",""1_ACUM!A4:S""),17,FALSE))"),"")</f>
        <v/>
      </c>
      <c r="BE593" s="44" t="str">
        <f ca="1">IFERROR(__xludf.DUMMYFUNCTION("IFERROR(VLOOKUP(E859&amp;F859,IMPORTRANGE(""https://docs.google.com/spreadsheets/d/1Uw7-A9f9R21vMXxHZFNpYNeKFtG8_yji4HS352LGlSQ/edit?pli=1#gid=0"",""1_ACUM!A4:S""),18,FALSE))"),"")</f>
        <v/>
      </c>
      <c r="BF593" s="44" t="str">
        <f ca="1">IFERROR(__xludf.DUMMYFUNCTION("IFERROR(VLOOKUP(E859&amp;F859,IMPORTRANGE(""https://docs.google.com/spreadsheets/d/1Uw7-A9f9R21vMXxHZFNpYNeKFtG8_yji4HS352LGlSQ/edit?pli=1#gid=0"",""1_ACUM!A4:S""),19,FALSE))"),"")</f>
        <v/>
      </c>
      <c r="BG593" s="98" t="str">
        <f ca="1">IFERROR(__xludf.DUMMYFUNCTION("IFERROR(VLOOKUP(F859,IMPORTRANGE(""https://docs.google.com/spreadsheets/d/1Kvs4KS76FHFqLFIZfrDMff4kP08nblUkihrxltoGBjg/edit#gid=934712705"",""ESENCIAL!A6:BG""),5,FALSE))"),"")</f>
        <v/>
      </c>
      <c r="BH593" s="98" t="str">
        <f t="shared" si="25"/>
        <v/>
      </c>
      <c r="BI593" s="99" t="str">
        <f t="shared" si="26"/>
        <v/>
      </c>
      <c r="BJ593" s="100" t="str">
        <f ca="1">IFERROR(__xludf.DUMMYFUNCTION("IFERROR(VLOOKUP(F859,IMPORTRANGE(""https://docs.google.com/spreadsheets/d/1Kvs4KS76FHFqLFIZfrDMff4kP08nblUkihrxltoGBjg/edit#gid=934712705"",""ESENCIAL!A6:BG""),2,FALSE))"),"")</f>
        <v/>
      </c>
      <c r="BK593" s="19" t="str">
        <f t="shared" si="27"/>
        <v/>
      </c>
      <c r="BL593" s="100"/>
      <c r="BM593" s="100"/>
    </row>
    <row r="594" spans="2:65" ht="15">
      <c r="B594" s="39"/>
      <c r="C594" s="5"/>
      <c r="D594" s="123"/>
      <c r="E594" s="39"/>
      <c r="F594" s="39"/>
      <c r="G594" s="39"/>
      <c r="H594" s="5" t="str">
        <f ca="1">IFERROR(__xludf.DUMMYFUNCTION("IFERROR(VLOOKUP(F860,IMPORTRANGE(""https://docs.google.com/spreadsheets/d/1Kvs4KS76FHFqLFIZfrDMff4kP08nblUkihrxltoGBjg/edit#gid=934712705"",""ESENCIAL!A6:BG""),3,FALSE))"),"")</f>
        <v/>
      </c>
      <c r="I594" s="5" t="str">
        <f ca="1">IFERROR(__xludf.DUMMYFUNCTION("IFERROR(VLOOKUP(F860,IMPORTRANGE(""https://docs.google.com/spreadsheets/d/1Kvs4KS76FHFqLFIZfrDMff4kP08nblUkihrxltoGBjg/edit#gid=934712705"",""ESENCIAL!A6:BG""),8,FALSE))"),"")</f>
        <v/>
      </c>
      <c r="J594" s="39"/>
      <c r="M594" s="40"/>
      <c r="AV594" s="41" t="str">
        <f t="shared" si="24"/>
        <v/>
      </c>
      <c r="AW594" s="5" t="str">
        <f ca="1">IFERROR(__xludf.DUMMYFUNCTION("IFERROR(VLOOKUP(E860&amp;F860,IMPORTRANGE(""https://docs.google.com/spreadsheets/d/1Uw7-A9f9R21vMXxHZFNpYNeKFtG8_yji4HS352LGlSQ/edit?pli=1#gid=0"",""1_ACUM!A4:S""),11,FALSE))"),"")</f>
        <v/>
      </c>
      <c r="AX594" s="42" t="str">
        <f ca="1">IFERROR(__xludf.DUMMYFUNCTION("IFERROR(VLOOKUP(F860,IMPORTRANGE(""https://docs.google.com/spreadsheets/d/1Kvs4KS76FHFqLFIZfrDMff4kP08nblUkihrxltoGBjg/edit#gid=934712705"",""ESENCIAL!A6:BG""),15,FALSE))"),"")</f>
        <v/>
      </c>
      <c r="AY594" s="110" t="str">
        <f ca="1">IFERROR(__xludf.DUMMYFUNCTION("IFERROR(VLOOKUP(E860&amp;F860,IMPORTRANGE(""https://docs.google.com/spreadsheets/d/1Uw7-A9f9R21vMXxHZFNpYNeKFtG8_yji4HS352LGlSQ/edit?pli=1#gid=0"",""1_ACUM!A4:S""),13,FALSE))"),"")</f>
        <v/>
      </c>
      <c r="AZ594" s="43" t="str">
        <f ca="1">IFERROR(__xludf.DUMMYFUNCTION("IFERROR(VLOOKUP(E860&amp;F860,IMPORTRANGE(""https://docs.google.com/spreadsheets/d/1Uw7-A9f9R21vMXxHZFNpYNeKFtG8_yji4HS352LGlSQ/edit?pli=1#gid=0"",""1_ACUM!A4:S""),13,FALSE))"),"")</f>
        <v/>
      </c>
      <c r="BA594" s="43" t="str">
        <f ca="1">IFERROR(__xludf.DUMMYFUNCTION("IFERROR(VLOOKUP(E860&amp;F860,IMPORTRANGE(""https://docs.google.com/spreadsheets/d/1Uw7-A9f9R21vMXxHZFNpYNeKFtG8_yji4HS352LGlSQ/edit?pli=1#gid=0"",""1_ACUM!A4:S""),14,FALSE))"),"")</f>
        <v/>
      </c>
      <c r="BB594" s="43" t="str">
        <f ca="1">IFERROR(__xludf.DUMMYFUNCTION("IFERROR(VLOOKUP(E860&amp;F860,IMPORTRANGE(""https://docs.google.com/spreadsheets/d/1Uw7-A9f9R21vMXxHZFNpYNeKFtG8_yji4HS352LGlSQ/edit?pli=1#gid=0"",""1_ACUM!A4:S""),15,FALSE))"),"")</f>
        <v/>
      </c>
      <c r="BC594" s="43" t="str">
        <f ca="1">IFERROR(__xludf.DUMMYFUNCTION("IFERROR(VLOOKUP(E860&amp;F860,IMPORTRANGE(""https://docs.google.com/spreadsheets/d/1Uw7-A9f9R21vMXxHZFNpYNeKFtG8_yji4HS352LGlSQ/edit?pli=1#gid=0"",""1_ACUM!A4:S""),16,FALSE))"),"")</f>
        <v/>
      </c>
      <c r="BD594" s="43" t="str">
        <f ca="1">IFERROR(__xludf.DUMMYFUNCTION("IFERROR(VLOOKUP(E860&amp;F860,IMPORTRANGE(""https://docs.google.com/spreadsheets/d/1Uw7-A9f9R21vMXxHZFNpYNeKFtG8_yji4HS352LGlSQ/edit?pli=1#gid=0"",""1_ACUM!A4:S""),17,FALSE))"),"")</f>
        <v/>
      </c>
      <c r="BE594" s="44" t="str">
        <f ca="1">IFERROR(__xludf.DUMMYFUNCTION("IFERROR(VLOOKUP(E860&amp;F860,IMPORTRANGE(""https://docs.google.com/spreadsheets/d/1Uw7-A9f9R21vMXxHZFNpYNeKFtG8_yji4HS352LGlSQ/edit?pli=1#gid=0"",""1_ACUM!A4:S""),18,FALSE))"),"")</f>
        <v/>
      </c>
      <c r="BF594" s="44" t="str">
        <f ca="1">IFERROR(__xludf.DUMMYFUNCTION("IFERROR(VLOOKUP(E860&amp;F860,IMPORTRANGE(""https://docs.google.com/spreadsheets/d/1Uw7-A9f9R21vMXxHZFNpYNeKFtG8_yji4HS352LGlSQ/edit?pli=1#gid=0"",""1_ACUM!A4:S""),19,FALSE))"),"")</f>
        <v/>
      </c>
      <c r="BG594" s="98" t="str">
        <f ca="1">IFERROR(__xludf.DUMMYFUNCTION("IFERROR(VLOOKUP(F860,IMPORTRANGE(""https://docs.google.com/spreadsheets/d/1Kvs4KS76FHFqLFIZfrDMff4kP08nblUkihrxltoGBjg/edit#gid=934712705"",""ESENCIAL!A6:BG""),5,FALSE))"),"")</f>
        <v/>
      </c>
      <c r="BH594" s="98" t="str">
        <f t="shared" si="25"/>
        <v/>
      </c>
      <c r="BI594" s="99" t="str">
        <f t="shared" si="26"/>
        <v/>
      </c>
      <c r="BJ594" s="100" t="str">
        <f ca="1">IFERROR(__xludf.DUMMYFUNCTION("IFERROR(VLOOKUP(F860,IMPORTRANGE(""https://docs.google.com/spreadsheets/d/1Kvs4KS76FHFqLFIZfrDMff4kP08nblUkihrxltoGBjg/edit#gid=934712705"",""ESENCIAL!A6:BG""),2,FALSE))"),"")</f>
        <v/>
      </c>
      <c r="BK594" s="19" t="str">
        <f t="shared" si="27"/>
        <v/>
      </c>
      <c r="BL594" s="100"/>
      <c r="BM594" s="100"/>
    </row>
    <row r="595" spans="2:65" ht="15">
      <c r="B595" s="39"/>
      <c r="C595" s="5"/>
      <c r="D595" s="123"/>
      <c r="E595" s="39"/>
      <c r="F595" s="39"/>
      <c r="G595" s="39"/>
      <c r="H595" s="5" t="str">
        <f ca="1">IFERROR(__xludf.DUMMYFUNCTION("IFERROR(VLOOKUP(F861,IMPORTRANGE(""https://docs.google.com/spreadsheets/d/1Kvs4KS76FHFqLFIZfrDMff4kP08nblUkihrxltoGBjg/edit#gid=934712705"",""ESENCIAL!A6:BG""),3,FALSE))"),"")</f>
        <v/>
      </c>
      <c r="I595" s="5" t="str">
        <f ca="1">IFERROR(__xludf.DUMMYFUNCTION("IFERROR(VLOOKUP(F861,IMPORTRANGE(""https://docs.google.com/spreadsheets/d/1Kvs4KS76FHFqLFIZfrDMff4kP08nblUkihrxltoGBjg/edit#gid=934712705"",""ESENCIAL!A6:BG""),8,FALSE))"),"")</f>
        <v/>
      </c>
      <c r="J595" s="39"/>
      <c r="M595" s="40"/>
      <c r="AV595" s="41" t="str">
        <f t="shared" si="24"/>
        <v/>
      </c>
      <c r="AW595" s="5" t="str">
        <f ca="1">IFERROR(__xludf.DUMMYFUNCTION("IFERROR(VLOOKUP(E861&amp;F861,IMPORTRANGE(""https://docs.google.com/spreadsheets/d/1Uw7-A9f9R21vMXxHZFNpYNeKFtG8_yji4HS352LGlSQ/edit?pli=1#gid=0"",""1_ACUM!A4:S""),11,FALSE))"),"")</f>
        <v/>
      </c>
      <c r="AX595" s="42" t="str">
        <f ca="1">IFERROR(__xludf.DUMMYFUNCTION("IFERROR(VLOOKUP(F861,IMPORTRANGE(""https://docs.google.com/spreadsheets/d/1Kvs4KS76FHFqLFIZfrDMff4kP08nblUkihrxltoGBjg/edit#gid=934712705"",""ESENCIAL!A6:BG""),15,FALSE))"),"")</f>
        <v/>
      </c>
      <c r="AY595" s="110" t="str">
        <f ca="1">IFERROR(__xludf.DUMMYFUNCTION("IFERROR(VLOOKUP(E861&amp;F861,IMPORTRANGE(""https://docs.google.com/spreadsheets/d/1Uw7-A9f9R21vMXxHZFNpYNeKFtG8_yji4HS352LGlSQ/edit?pli=1#gid=0"",""1_ACUM!A4:S""),13,FALSE))"),"")</f>
        <v/>
      </c>
      <c r="AZ595" s="43" t="str">
        <f ca="1">IFERROR(__xludf.DUMMYFUNCTION("IFERROR(VLOOKUP(E861&amp;F861,IMPORTRANGE(""https://docs.google.com/spreadsheets/d/1Uw7-A9f9R21vMXxHZFNpYNeKFtG8_yji4HS352LGlSQ/edit?pli=1#gid=0"",""1_ACUM!A4:S""),13,FALSE))"),"")</f>
        <v/>
      </c>
      <c r="BA595" s="43" t="str">
        <f ca="1">IFERROR(__xludf.DUMMYFUNCTION("IFERROR(VLOOKUP(E861&amp;F861,IMPORTRANGE(""https://docs.google.com/spreadsheets/d/1Uw7-A9f9R21vMXxHZFNpYNeKFtG8_yji4HS352LGlSQ/edit?pli=1#gid=0"",""1_ACUM!A4:S""),14,FALSE))"),"")</f>
        <v/>
      </c>
      <c r="BB595" s="43" t="str">
        <f ca="1">IFERROR(__xludf.DUMMYFUNCTION("IFERROR(VLOOKUP(E861&amp;F861,IMPORTRANGE(""https://docs.google.com/spreadsheets/d/1Uw7-A9f9R21vMXxHZFNpYNeKFtG8_yji4HS352LGlSQ/edit?pli=1#gid=0"",""1_ACUM!A4:S""),15,FALSE))"),"")</f>
        <v/>
      </c>
      <c r="BC595" s="43" t="str">
        <f ca="1">IFERROR(__xludf.DUMMYFUNCTION("IFERROR(VLOOKUP(E861&amp;F861,IMPORTRANGE(""https://docs.google.com/spreadsheets/d/1Uw7-A9f9R21vMXxHZFNpYNeKFtG8_yji4HS352LGlSQ/edit?pli=1#gid=0"",""1_ACUM!A4:S""),16,FALSE))"),"")</f>
        <v/>
      </c>
      <c r="BD595" s="43" t="str">
        <f ca="1">IFERROR(__xludf.DUMMYFUNCTION("IFERROR(VLOOKUP(E861&amp;F861,IMPORTRANGE(""https://docs.google.com/spreadsheets/d/1Uw7-A9f9R21vMXxHZFNpYNeKFtG8_yji4HS352LGlSQ/edit?pli=1#gid=0"",""1_ACUM!A4:S""),17,FALSE))"),"")</f>
        <v/>
      </c>
      <c r="BE595" s="44" t="str">
        <f ca="1">IFERROR(__xludf.DUMMYFUNCTION("IFERROR(VLOOKUP(E861&amp;F861,IMPORTRANGE(""https://docs.google.com/spreadsheets/d/1Uw7-A9f9R21vMXxHZFNpYNeKFtG8_yji4HS352LGlSQ/edit?pli=1#gid=0"",""1_ACUM!A4:S""),18,FALSE))"),"")</f>
        <v/>
      </c>
      <c r="BF595" s="44" t="str">
        <f ca="1">IFERROR(__xludf.DUMMYFUNCTION("IFERROR(VLOOKUP(E861&amp;F861,IMPORTRANGE(""https://docs.google.com/spreadsheets/d/1Uw7-A9f9R21vMXxHZFNpYNeKFtG8_yji4HS352LGlSQ/edit?pli=1#gid=0"",""1_ACUM!A4:S""),19,FALSE))"),"")</f>
        <v/>
      </c>
      <c r="BG595" s="98" t="str">
        <f ca="1">IFERROR(__xludf.DUMMYFUNCTION("IFERROR(VLOOKUP(F861,IMPORTRANGE(""https://docs.google.com/spreadsheets/d/1Kvs4KS76FHFqLFIZfrDMff4kP08nblUkihrxltoGBjg/edit#gid=934712705"",""ESENCIAL!A6:BG""),5,FALSE))"),"")</f>
        <v/>
      </c>
      <c r="BH595" s="98" t="str">
        <f t="shared" si="25"/>
        <v/>
      </c>
      <c r="BI595" s="99" t="str">
        <f t="shared" si="26"/>
        <v/>
      </c>
      <c r="BJ595" s="100" t="str">
        <f ca="1">IFERROR(__xludf.DUMMYFUNCTION("IFERROR(VLOOKUP(F861,IMPORTRANGE(""https://docs.google.com/spreadsheets/d/1Kvs4KS76FHFqLFIZfrDMff4kP08nblUkihrxltoGBjg/edit#gid=934712705"",""ESENCIAL!A6:BG""),2,FALSE))"),"")</f>
        <v/>
      </c>
      <c r="BK595" s="19" t="str">
        <f t="shared" si="27"/>
        <v/>
      </c>
      <c r="BL595" s="100"/>
      <c r="BM595" s="100"/>
    </row>
    <row r="596" spans="2:65" ht="15">
      <c r="B596" s="39"/>
      <c r="C596" s="5"/>
      <c r="D596" s="123"/>
      <c r="E596" s="39"/>
      <c r="F596" s="39"/>
      <c r="G596" s="39"/>
      <c r="H596" s="5" t="str">
        <f ca="1">IFERROR(__xludf.DUMMYFUNCTION("IFERROR(VLOOKUP(F862,IMPORTRANGE(""https://docs.google.com/spreadsheets/d/1Kvs4KS76FHFqLFIZfrDMff4kP08nblUkihrxltoGBjg/edit#gid=934712705"",""ESENCIAL!A6:BG""),3,FALSE))"),"")</f>
        <v/>
      </c>
      <c r="I596" s="5" t="str">
        <f ca="1">IFERROR(__xludf.DUMMYFUNCTION("IFERROR(VLOOKUP(F862,IMPORTRANGE(""https://docs.google.com/spreadsheets/d/1Kvs4KS76FHFqLFIZfrDMff4kP08nblUkihrxltoGBjg/edit#gid=934712705"",""ESENCIAL!A6:BG""),8,FALSE))"),"")</f>
        <v/>
      </c>
      <c r="J596" s="39"/>
      <c r="M596" s="40"/>
      <c r="AV596" s="41" t="str">
        <f t="shared" si="24"/>
        <v/>
      </c>
      <c r="AW596" s="5" t="str">
        <f ca="1">IFERROR(__xludf.DUMMYFUNCTION("IFERROR(VLOOKUP(E862&amp;F862,IMPORTRANGE(""https://docs.google.com/spreadsheets/d/1Uw7-A9f9R21vMXxHZFNpYNeKFtG8_yji4HS352LGlSQ/edit?pli=1#gid=0"",""1_ACUM!A4:S""),11,FALSE))"),"")</f>
        <v/>
      </c>
      <c r="AX596" s="42" t="str">
        <f ca="1">IFERROR(__xludf.DUMMYFUNCTION("IFERROR(VLOOKUP(F862,IMPORTRANGE(""https://docs.google.com/spreadsheets/d/1Kvs4KS76FHFqLFIZfrDMff4kP08nblUkihrxltoGBjg/edit#gid=934712705"",""ESENCIAL!A6:BG""),15,FALSE))"),"")</f>
        <v/>
      </c>
      <c r="AY596" s="110" t="str">
        <f ca="1">IFERROR(__xludf.DUMMYFUNCTION("IFERROR(VLOOKUP(E862&amp;F862,IMPORTRANGE(""https://docs.google.com/spreadsheets/d/1Uw7-A9f9R21vMXxHZFNpYNeKFtG8_yji4HS352LGlSQ/edit?pli=1#gid=0"",""1_ACUM!A4:S""),13,FALSE))"),"")</f>
        <v/>
      </c>
      <c r="AZ596" s="43" t="str">
        <f ca="1">IFERROR(__xludf.DUMMYFUNCTION("IFERROR(VLOOKUP(E862&amp;F862,IMPORTRANGE(""https://docs.google.com/spreadsheets/d/1Uw7-A9f9R21vMXxHZFNpYNeKFtG8_yji4HS352LGlSQ/edit?pli=1#gid=0"",""1_ACUM!A4:S""),13,FALSE))"),"")</f>
        <v/>
      </c>
      <c r="BA596" s="43" t="str">
        <f ca="1">IFERROR(__xludf.DUMMYFUNCTION("IFERROR(VLOOKUP(E862&amp;F862,IMPORTRANGE(""https://docs.google.com/spreadsheets/d/1Uw7-A9f9R21vMXxHZFNpYNeKFtG8_yji4HS352LGlSQ/edit?pli=1#gid=0"",""1_ACUM!A4:S""),14,FALSE))"),"")</f>
        <v/>
      </c>
      <c r="BB596" s="43" t="str">
        <f ca="1">IFERROR(__xludf.DUMMYFUNCTION("IFERROR(VLOOKUP(E862&amp;F862,IMPORTRANGE(""https://docs.google.com/spreadsheets/d/1Uw7-A9f9R21vMXxHZFNpYNeKFtG8_yji4HS352LGlSQ/edit?pli=1#gid=0"",""1_ACUM!A4:S""),15,FALSE))"),"")</f>
        <v/>
      </c>
      <c r="BC596" s="43" t="str">
        <f ca="1">IFERROR(__xludf.DUMMYFUNCTION("IFERROR(VLOOKUP(E862&amp;F862,IMPORTRANGE(""https://docs.google.com/spreadsheets/d/1Uw7-A9f9R21vMXxHZFNpYNeKFtG8_yji4HS352LGlSQ/edit?pli=1#gid=0"",""1_ACUM!A4:S""),16,FALSE))"),"")</f>
        <v/>
      </c>
      <c r="BD596" s="43" t="str">
        <f ca="1">IFERROR(__xludf.DUMMYFUNCTION("IFERROR(VLOOKUP(E862&amp;F862,IMPORTRANGE(""https://docs.google.com/spreadsheets/d/1Uw7-A9f9R21vMXxHZFNpYNeKFtG8_yji4HS352LGlSQ/edit?pli=1#gid=0"",""1_ACUM!A4:S""),17,FALSE))"),"")</f>
        <v/>
      </c>
      <c r="BE596" s="44" t="str">
        <f ca="1">IFERROR(__xludf.DUMMYFUNCTION("IFERROR(VLOOKUP(E862&amp;F862,IMPORTRANGE(""https://docs.google.com/spreadsheets/d/1Uw7-A9f9R21vMXxHZFNpYNeKFtG8_yji4HS352LGlSQ/edit?pli=1#gid=0"",""1_ACUM!A4:S""),18,FALSE))"),"")</f>
        <v/>
      </c>
      <c r="BF596" s="44" t="str">
        <f ca="1">IFERROR(__xludf.DUMMYFUNCTION("IFERROR(VLOOKUP(E862&amp;F862,IMPORTRANGE(""https://docs.google.com/spreadsheets/d/1Uw7-A9f9R21vMXxHZFNpYNeKFtG8_yji4HS352LGlSQ/edit?pli=1#gid=0"",""1_ACUM!A4:S""),19,FALSE))"),"")</f>
        <v/>
      </c>
      <c r="BG596" s="98" t="str">
        <f ca="1">IFERROR(__xludf.DUMMYFUNCTION("IFERROR(VLOOKUP(F862,IMPORTRANGE(""https://docs.google.com/spreadsheets/d/1Kvs4KS76FHFqLFIZfrDMff4kP08nblUkihrxltoGBjg/edit#gid=934712705"",""ESENCIAL!A6:BG""),5,FALSE))"),"")</f>
        <v/>
      </c>
      <c r="BH596" s="98" t="str">
        <f t="shared" si="25"/>
        <v/>
      </c>
      <c r="BI596" s="99" t="str">
        <f t="shared" si="26"/>
        <v/>
      </c>
      <c r="BJ596" s="100" t="str">
        <f ca="1">IFERROR(__xludf.DUMMYFUNCTION("IFERROR(VLOOKUP(F862,IMPORTRANGE(""https://docs.google.com/spreadsheets/d/1Kvs4KS76FHFqLFIZfrDMff4kP08nblUkihrxltoGBjg/edit#gid=934712705"",""ESENCIAL!A6:BG""),2,FALSE))"),"")</f>
        <v/>
      </c>
      <c r="BK596" s="19" t="str">
        <f t="shared" si="27"/>
        <v/>
      </c>
      <c r="BL596" s="100"/>
      <c r="BM596" s="100"/>
    </row>
    <row r="597" spans="2:65" ht="15">
      <c r="B597" s="39"/>
      <c r="C597" s="5"/>
      <c r="D597" s="123"/>
      <c r="E597" s="39"/>
      <c r="F597" s="39"/>
      <c r="G597" s="39"/>
      <c r="H597" s="5" t="str">
        <f ca="1">IFERROR(__xludf.DUMMYFUNCTION("IFERROR(VLOOKUP(F863,IMPORTRANGE(""https://docs.google.com/spreadsheets/d/1Kvs4KS76FHFqLFIZfrDMff4kP08nblUkihrxltoGBjg/edit#gid=934712705"",""ESENCIAL!A6:BG""),3,FALSE))"),"")</f>
        <v/>
      </c>
      <c r="I597" s="5" t="str">
        <f ca="1">IFERROR(__xludf.DUMMYFUNCTION("IFERROR(VLOOKUP(F863,IMPORTRANGE(""https://docs.google.com/spreadsheets/d/1Kvs4KS76FHFqLFIZfrDMff4kP08nblUkihrxltoGBjg/edit#gid=934712705"",""ESENCIAL!A6:BG""),8,FALSE))"),"")</f>
        <v/>
      </c>
      <c r="J597" s="39"/>
      <c r="M597" s="40"/>
      <c r="AV597" s="41" t="str">
        <f t="shared" si="24"/>
        <v/>
      </c>
      <c r="AW597" s="5" t="str">
        <f ca="1">IFERROR(__xludf.DUMMYFUNCTION("IFERROR(VLOOKUP(E863&amp;F863,IMPORTRANGE(""https://docs.google.com/spreadsheets/d/1Uw7-A9f9R21vMXxHZFNpYNeKFtG8_yji4HS352LGlSQ/edit?pli=1#gid=0"",""1_ACUM!A4:S""),11,FALSE))"),"")</f>
        <v/>
      </c>
      <c r="AX597" s="42" t="str">
        <f ca="1">IFERROR(__xludf.DUMMYFUNCTION("IFERROR(VLOOKUP(F863,IMPORTRANGE(""https://docs.google.com/spreadsheets/d/1Kvs4KS76FHFqLFIZfrDMff4kP08nblUkihrxltoGBjg/edit#gid=934712705"",""ESENCIAL!A6:BG""),15,FALSE))"),"")</f>
        <v/>
      </c>
      <c r="AY597" s="110" t="str">
        <f ca="1">IFERROR(__xludf.DUMMYFUNCTION("IFERROR(VLOOKUP(E863&amp;F863,IMPORTRANGE(""https://docs.google.com/spreadsheets/d/1Uw7-A9f9R21vMXxHZFNpYNeKFtG8_yji4HS352LGlSQ/edit?pli=1#gid=0"",""1_ACUM!A4:S""),13,FALSE))"),"")</f>
        <v/>
      </c>
      <c r="AZ597" s="43" t="str">
        <f ca="1">IFERROR(__xludf.DUMMYFUNCTION("IFERROR(VLOOKUP(E863&amp;F863,IMPORTRANGE(""https://docs.google.com/spreadsheets/d/1Uw7-A9f9R21vMXxHZFNpYNeKFtG8_yji4HS352LGlSQ/edit?pli=1#gid=0"",""1_ACUM!A4:S""),13,FALSE))"),"")</f>
        <v/>
      </c>
      <c r="BA597" s="43" t="str">
        <f ca="1">IFERROR(__xludf.DUMMYFUNCTION("IFERROR(VLOOKUP(E863&amp;F863,IMPORTRANGE(""https://docs.google.com/spreadsheets/d/1Uw7-A9f9R21vMXxHZFNpYNeKFtG8_yji4HS352LGlSQ/edit?pli=1#gid=0"",""1_ACUM!A4:S""),14,FALSE))"),"")</f>
        <v/>
      </c>
      <c r="BB597" s="43" t="str">
        <f ca="1">IFERROR(__xludf.DUMMYFUNCTION("IFERROR(VLOOKUP(E863&amp;F863,IMPORTRANGE(""https://docs.google.com/spreadsheets/d/1Uw7-A9f9R21vMXxHZFNpYNeKFtG8_yji4HS352LGlSQ/edit?pli=1#gid=0"",""1_ACUM!A4:S""),15,FALSE))"),"")</f>
        <v/>
      </c>
      <c r="BC597" s="43" t="str">
        <f ca="1">IFERROR(__xludf.DUMMYFUNCTION("IFERROR(VLOOKUP(E863&amp;F863,IMPORTRANGE(""https://docs.google.com/spreadsheets/d/1Uw7-A9f9R21vMXxHZFNpYNeKFtG8_yji4HS352LGlSQ/edit?pli=1#gid=0"",""1_ACUM!A4:S""),16,FALSE))"),"")</f>
        <v/>
      </c>
      <c r="BD597" s="43" t="str">
        <f ca="1">IFERROR(__xludf.DUMMYFUNCTION("IFERROR(VLOOKUP(E863&amp;F863,IMPORTRANGE(""https://docs.google.com/spreadsheets/d/1Uw7-A9f9R21vMXxHZFNpYNeKFtG8_yji4HS352LGlSQ/edit?pli=1#gid=0"",""1_ACUM!A4:S""),17,FALSE))"),"")</f>
        <v/>
      </c>
      <c r="BE597" s="44" t="str">
        <f ca="1">IFERROR(__xludf.DUMMYFUNCTION("IFERROR(VLOOKUP(E863&amp;F863,IMPORTRANGE(""https://docs.google.com/spreadsheets/d/1Uw7-A9f9R21vMXxHZFNpYNeKFtG8_yji4HS352LGlSQ/edit?pli=1#gid=0"",""1_ACUM!A4:S""),18,FALSE))"),"")</f>
        <v/>
      </c>
      <c r="BF597" s="44" t="str">
        <f ca="1">IFERROR(__xludf.DUMMYFUNCTION("IFERROR(VLOOKUP(E863&amp;F863,IMPORTRANGE(""https://docs.google.com/spreadsheets/d/1Uw7-A9f9R21vMXxHZFNpYNeKFtG8_yji4HS352LGlSQ/edit?pli=1#gid=0"",""1_ACUM!A4:S""),19,FALSE))"),"")</f>
        <v/>
      </c>
      <c r="BG597" s="98" t="str">
        <f ca="1">IFERROR(__xludf.DUMMYFUNCTION("IFERROR(VLOOKUP(F863,IMPORTRANGE(""https://docs.google.com/spreadsheets/d/1Kvs4KS76FHFqLFIZfrDMff4kP08nblUkihrxltoGBjg/edit#gid=934712705"",""ESENCIAL!A6:BG""),5,FALSE))"),"")</f>
        <v/>
      </c>
      <c r="BH597" s="98" t="str">
        <f t="shared" si="25"/>
        <v/>
      </c>
      <c r="BI597" s="99" t="str">
        <f t="shared" si="26"/>
        <v/>
      </c>
      <c r="BJ597" s="100" t="str">
        <f ca="1">IFERROR(__xludf.DUMMYFUNCTION("IFERROR(VLOOKUP(F863,IMPORTRANGE(""https://docs.google.com/spreadsheets/d/1Kvs4KS76FHFqLFIZfrDMff4kP08nblUkihrxltoGBjg/edit#gid=934712705"",""ESENCIAL!A6:BG""),2,FALSE))"),"")</f>
        <v/>
      </c>
      <c r="BK597" s="19" t="str">
        <f t="shared" si="27"/>
        <v/>
      </c>
      <c r="BL597" s="100"/>
      <c r="BM597" s="100"/>
    </row>
    <row r="598" spans="2:65" ht="15">
      <c r="B598" s="39"/>
      <c r="C598" s="5"/>
      <c r="D598" s="123"/>
      <c r="E598" s="39"/>
      <c r="F598" s="39"/>
      <c r="G598" s="39"/>
      <c r="H598" s="5" t="str">
        <f ca="1">IFERROR(__xludf.DUMMYFUNCTION("IFERROR(VLOOKUP(F864,IMPORTRANGE(""https://docs.google.com/spreadsheets/d/1Kvs4KS76FHFqLFIZfrDMff4kP08nblUkihrxltoGBjg/edit#gid=934712705"",""ESENCIAL!A6:BG""),3,FALSE))"),"")</f>
        <v/>
      </c>
      <c r="I598" s="5" t="str">
        <f ca="1">IFERROR(__xludf.DUMMYFUNCTION("IFERROR(VLOOKUP(F864,IMPORTRANGE(""https://docs.google.com/spreadsheets/d/1Kvs4KS76FHFqLFIZfrDMff4kP08nblUkihrxltoGBjg/edit#gid=934712705"",""ESENCIAL!A6:BG""),8,FALSE))"),"")</f>
        <v/>
      </c>
      <c r="J598" s="39"/>
      <c r="M598" s="40"/>
      <c r="AV598" s="41" t="str">
        <f t="shared" si="24"/>
        <v/>
      </c>
      <c r="AW598" s="5" t="str">
        <f ca="1">IFERROR(__xludf.DUMMYFUNCTION("IFERROR(VLOOKUP(E864&amp;F864,IMPORTRANGE(""https://docs.google.com/spreadsheets/d/1Uw7-A9f9R21vMXxHZFNpYNeKFtG8_yji4HS352LGlSQ/edit?pli=1#gid=0"",""1_ACUM!A4:S""),11,FALSE))"),"")</f>
        <v/>
      </c>
      <c r="AX598" s="42" t="str">
        <f ca="1">IFERROR(__xludf.DUMMYFUNCTION("IFERROR(VLOOKUP(F864,IMPORTRANGE(""https://docs.google.com/spreadsheets/d/1Kvs4KS76FHFqLFIZfrDMff4kP08nblUkihrxltoGBjg/edit#gid=934712705"",""ESENCIAL!A6:BG""),15,FALSE))"),"")</f>
        <v/>
      </c>
      <c r="AY598" s="110" t="str">
        <f ca="1">IFERROR(__xludf.DUMMYFUNCTION("IFERROR(VLOOKUP(E864&amp;F864,IMPORTRANGE(""https://docs.google.com/spreadsheets/d/1Uw7-A9f9R21vMXxHZFNpYNeKFtG8_yji4HS352LGlSQ/edit?pli=1#gid=0"",""1_ACUM!A4:S""),13,FALSE))"),"")</f>
        <v/>
      </c>
      <c r="AZ598" s="43" t="str">
        <f ca="1">IFERROR(__xludf.DUMMYFUNCTION("IFERROR(VLOOKUP(E864&amp;F864,IMPORTRANGE(""https://docs.google.com/spreadsheets/d/1Uw7-A9f9R21vMXxHZFNpYNeKFtG8_yji4HS352LGlSQ/edit?pli=1#gid=0"",""1_ACUM!A4:S""),13,FALSE))"),"")</f>
        <v/>
      </c>
      <c r="BA598" s="43" t="str">
        <f ca="1">IFERROR(__xludf.DUMMYFUNCTION("IFERROR(VLOOKUP(E864&amp;F864,IMPORTRANGE(""https://docs.google.com/spreadsheets/d/1Uw7-A9f9R21vMXxHZFNpYNeKFtG8_yji4HS352LGlSQ/edit?pli=1#gid=0"",""1_ACUM!A4:S""),14,FALSE))"),"")</f>
        <v/>
      </c>
      <c r="BB598" s="43" t="str">
        <f ca="1">IFERROR(__xludf.DUMMYFUNCTION("IFERROR(VLOOKUP(E864&amp;F864,IMPORTRANGE(""https://docs.google.com/spreadsheets/d/1Uw7-A9f9R21vMXxHZFNpYNeKFtG8_yji4HS352LGlSQ/edit?pli=1#gid=0"",""1_ACUM!A4:S""),15,FALSE))"),"")</f>
        <v/>
      </c>
      <c r="BC598" s="43" t="str">
        <f ca="1">IFERROR(__xludf.DUMMYFUNCTION("IFERROR(VLOOKUP(E864&amp;F864,IMPORTRANGE(""https://docs.google.com/spreadsheets/d/1Uw7-A9f9R21vMXxHZFNpYNeKFtG8_yji4HS352LGlSQ/edit?pli=1#gid=0"",""1_ACUM!A4:S""),16,FALSE))"),"")</f>
        <v/>
      </c>
      <c r="BD598" s="43" t="str">
        <f ca="1">IFERROR(__xludf.DUMMYFUNCTION("IFERROR(VLOOKUP(E864&amp;F864,IMPORTRANGE(""https://docs.google.com/spreadsheets/d/1Uw7-A9f9R21vMXxHZFNpYNeKFtG8_yji4HS352LGlSQ/edit?pli=1#gid=0"",""1_ACUM!A4:S""),17,FALSE))"),"")</f>
        <v/>
      </c>
      <c r="BE598" s="44" t="str">
        <f ca="1">IFERROR(__xludf.DUMMYFUNCTION("IFERROR(VLOOKUP(E864&amp;F864,IMPORTRANGE(""https://docs.google.com/spreadsheets/d/1Uw7-A9f9R21vMXxHZFNpYNeKFtG8_yji4HS352LGlSQ/edit?pli=1#gid=0"",""1_ACUM!A4:S""),18,FALSE))"),"")</f>
        <v/>
      </c>
      <c r="BF598" s="44" t="str">
        <f ca="1">IFERROR(__xludf.DUMMYFUNCTION("IFERROR(VLOOKUP(E864&amp;F864,IMPORTRANGE(""https://docs.google.com/spreadsheets/d/1Uw7-A9f9R21vMXxHZFNpYNeKFtG8_yji4HS352LGlSQ/edit?pli=1#gid=0"",""1_ACUM!A4:S""),19,FALSE))"),"")</f>
        <v/>
      </c>
      <c r="BG598" s="98" t="str">
        <f ca="1">IFERROR(__xludf.DUMMYFUNCTION("IFERROR(VLOOKUP(F864,IMPORTRANGE(""https://docs.google.com/spreadsheets/d/1Kvs4KS76FHFqLFIZfrDMff4kP08nblUkihrxltoGBjg/edit#gid=934712705"",""ESENCIAL!A6:BG""),5,FALSE))"),"")</f>
        <v/>
      </c>
      <c r="BH598" s="98" t="str">
        <f t="shared" si="25"/>
        <v/>
      </c>
      <c r="BI598" s="99" t="str">
        <f t="shared" si="26"/>
        <v/>
      </c>
      <c r="BJ598" s="100" t="str">
        <f ca="1">IFERROR(__xludf.DUMMYFUNCTION("IFERROR(VLOOKUP(F864,IMPORTRANGE(""https://docs.google.com/spreadsheets/d/1Kvs4KS76FHFqLFIZfrDMff4kP08nblUkihrxltoGBjg/edit#gid=934712705"",""ESENCIAL!A6:BG""),2,FALSE))"),"")</f>
        <v/>
      </c>
      <c r="BK598" s="19" t="str">
        <f t="shared" si="27"/>
        <v/>
      </c>
      <c r="BL598" s="100"/>
      <c r="BM598" s="100"/>
    </row>
    <row r="599" spans="2:65" ht="15">
      <c r="B599" s="39"/>
      <c r="C599" s="5"/>
      <c r="D599" s="123"/>
      <c r="E599" s="39"/>
      <c r="F599" s="39"/>
      <c r="G599" s="39"/>
      <c r="H599" s="5" t="str">
        <f ca="1">IFERROR(__xludf.DUMMYFUNCTION("IFERROR(VLOOKUP(F865,IMPORTRANGE(""https://docs.google.com/spreadsheets/d/1Kvs4KS76FHFqLFIZfrDMff4kP08nblUkihrxltoGBjg/edit#gid=934712705"",""ESENCIAL!A6:BG""),3,FALSE))"),"")</f>
        <v/>
      </c>
      <c r="I599" s="5" t="str">
        <f ca="1">IFERROR(__xludf.DUMMYFUNCTION("IFERROR(VLOOKUP(F865,IMPORTRANGE(""https://docs.google.com/spreadsheets/d/1Kvs4KS76FHFqLFIZfrDMff4kP08nblUkihrxltoGBjg/edit#gid=934712705"",""ESENCIAL!A6:BG""),8,FALSE))"),"")</f>
        <v/>
      </c>
      <c r="J599" s="39"/>
      <c r="M599" s="40"/>
      <c r="AV599" s="41" t="str">
        <f t="shared" si="24"/>
        <v/>
      </c>
      <c r="AW599" s="5" t="str">
        <f ca="1">IFERROR(__xludf.DUMMYFUNCTION("IFERROR(VLOOKUP(E865&amp;F865,IMPORTRANGE(""https://docs.google.com/spreadsheets/d/1Uw7-A9f9R21vMXxHZFNpYNeKFtG8_yji4HS352LGlSQ/edit?pli=1#gid=0"",""1_ACUM!A4:S""),11,FALSE))"),"")</f>
        <v/>
      </c>
      <c r="AX599" s="42" t="str">
        <f ca="1">IFERROR(__xludf.DUMMYFUNCTION("IFERROR(VLOOKUP(F865,IMPORTRANGE(""https://docs.google.com/spreadsheets/d/1Kvs4KS76FHFqLFIZfrDMff4kP08nblUkihrxltoGBjg/edit#gid=934712705"",""ESENCIAL!A6:BG""),15,FALSE))"),"")</f>
        <v/>
      </c>
      <c r="AY599" s="110" t="str">
        <f ca="1">IFERROR(__xludf.DUMMYFUNCTION("IFERROR(VLOOKUP(E865&amp;F865,IMPORTRANGE(""https://docs.google.com/spreadsheets/d/1Uw7-A9f9R21vMXxHZFNpYNeKFtG8_yji4HS352LGlSQ/edit?pli=1#gid=0"",""1_ACUM!A4:S""),13,FALSE))"),"")</f>
        <v/>
      </c>
      <c r="AZ599" s="43" t="str">
        <f ca="1">IFERROR(__xludf.DUMMYFUNCTION("IFERROR(VLOOKUP(E865&amp;F865,IMPORTRANGE(""https://docs.google.com/spreadsheets/d/1Uw7-A9f9R21vMXxHZFNpYNeKFtG8_yji4HS352LGlSQ/edit?pli=1#gid=0"",""1_ACUM!A4:S""),13,FALSE))"),"")</f>
        <v/>
      </c>
      <c r="BA599" s="43" t="str">
        <f ca="1">IFERROR(__xludf.DUMMYFUNCTION("IFERROR(VLOOKUP(E865&amp;F865,IMPORTRANGE(""https://docs.google.com/spreadsheets/d/1Uw7-A9f9R21vMXxHZFNpYNeKFtG8_yji4HS352LGlSQ/edit?pli=1#gid=0"",""1_ACUM!A4:S""),14,FALSE))"),"")</f>
        <v/>
      </c>
      <c r="BB599" s="43" t="str">
        <f ca="1">IFERROR(__xludf.DUMMYFUNCTION("IFERROR(VLOOKUP(E865&amp;F865,IMPORTRANGE(""https://docs.google.com/spreadsheets/d/1Uw7-A9f9R21vMXxHZFNpYNeKFtG8_yji4HS352LGlSQ/edit?pli=1#gid=0"",""1_ACUM!A4:S""),15,FALSE))"),"")</f>
        <v/>
      </c>
      <c r="BC599" s="43" t="str">
        <f ca="1">IFERROR(__xludf.DUMMYFUNCTION("IFERROR(VLOOKUP(E865&amp;F865,IMPORTRANGE(""https://docs.google.com/spreadsheets/d/1Uw7-A9f9R21vMXxHZFNpYNeKFtG8_yji4HS352LGlSQ/edit?pli=1#gid=0"",""1_ACUM!A4:S""),16,FALSE))"),"")</f>
        <v/>
      </c>
      <c r="BD599" s="43" t="str">
        <f ca="1">IFERROR(__xludf.DUMMYFUNCTION("IFERROR(VLOOKUP(E865&amp;F865,IMPORTRANGE(""https://docs.google.com/spreadsheets/d/1Uw7-A9f9R21vMXxHZFNpYNeKFtG8_yji4HS352LGlSQ/edit?pli=1#gid=0"",""1_ACUM!A4:S""),17,FALSE))"),"")</f>
        <v/>
      </c>
      <c r="BE599" s="44" t="str">
        <f ca="1">IFERROR(__xludf.DUMMYFUNCTION("IFERROR(VLOOKUP(E865&amp;F865,IMPORTRANGE(""https://docs.google.com/spreadsheets/d/1Uw7-A9f9R21vMXxHZFNpYNeKFtG8_yji4HS352LGlSQ/edit?pli=1#gid=0"",""1_ACUM!A4:S""),18,FALSE))"),"")</f>
        <v/>
      </c>
      <c r="BF599" s="44" t="str">
        <f ca="1">IFERROR(__xludf.DUMMYFUNCTION("IFERROR(VLOOKUP(E865&amp;F865,IMPORTRANGE(""https://docs.google.com/spreadsheets/d/1Uw7-A9f9R21vMXxHZFNpYNeKFtG8_yji4HS352LGlSQ/edit?pli=1#gid=0"",""1_ACUM!A4:S""),19,FALSE))"),"")</f>
        <v/>
      </c>
      <c r="BG599" s="98" t="str">
        <f ca="1">IFERROR(__xludf.DUMMYFUNCTION("IFERROR(VLOOKUP(F865,IMPORTRANGE(""https://docs.google.com/spreadsheets/d/1Kvs4KS76FHFqLFIZfrDMff4kP08nblUkihrxltoGBjg/edit#gid=934712705"",""ESENCIAL!A6:BG""),5,FALSE))"),"")</f>
        <v/>
      </c>
      <c r="BH599" s="98" t="str">
        <f t="shared" si="25"/>
        <v/>
      </c>
      <c r="BI599" s="99" t="str">
        <f t="shared" si="26"/>
        <v/>
      </c>
      <c r="BJ599" s="100" t="str">
        <f ca="1">IFERROR(__xludf.DUMMYFUNCTION("IFERROR(VLOOKUP(F865,IMPORTRANGE(""https://docs.google.com/spreadsheets/d/1Kvs4KS76FHFqLFIZfrDMff4kP08nblUkihrxltoGBjg/edit#gid=934712705"",""ESENCIAL!A6:BG""),2,FALSE))"),"")</f>
        <v/>
      </c>
      <c r="BK599" s="19" t="str">
        <f t="shared" si="27"/>
        <v/>
      </c>
      <c r="BL599" s="100"/>
      <c r="BM599" s="100"/>
    </row>
    <row r="600" spans="2:65" ht="15">
      <c r="B600" s="39"/>
      <c r="C600" s="5"/>
      <c r="D600" s="123"/>
      <c r="E600" s="39"/>
      <c r="F600" s="39"/>
      <c r="G600" s="39"/>
      <c r="H600" s="5" t="str">
        <f ca="1">IFERROR(__xludf.DUMMYFUNCTION("IFERROR(VLOOKUP(F866,IMPORTRANGE(""https://docs.google.com/spreadsheets/d/1Kvs4KS76FHFqLFIZfrDMff4kP08nblUkihrxltoGBjg/edit#gid=934712705"",""ESENCIAL!A6:BG""),3,FALSE))"),"")</f>
        <v/>
      </c>
      <c r="I600" s="5" t="str">
        <f ca="1">IFERROR(__xludf.DUMMYFUNCTION("IFERROR(VLOOKUP(F866,IMPORTRANGE(""https://docs.google.com/spreadsheets/d/1Kvs4KS76FHFqLFIZfrDMff4kP08nblUkihrxltoGBjg/edit#gid=934712705"",""ESENCIAL!A6:BG""),8,FALSE))"),"")</f>
        <v/>
      </c>
      <c r="J600" s="39"/>
      <c r="M600" s="40"/>
      <c r="AV600" s="41" t="str">
        <f t="shared" si="24"/>
        <v/>
      </c>
      <c r="AW600" s="5" t="str">
        <f ca="1">IFERROR(__xludf.DUMMYFUNCTION("IFERROR(VLOOKUP(E866&amp;F866,IMPORTRANGE(""https://docs.google.com/spreadsheets/d/1Uw7-A9f9R21vMXxHZFNpYNeKFtG8_yji4HS352LGlSQ/edit?pli=1#gid=0"",""1_ACUM!A4:S""),11,FALSE))"),"")</f>
        <v/>
      </c>
      <c r="AX600" s="42" t="str">
        <f ca="1">IFERROR(__xludf.DUMMYFUNCTION("IFERROR(VLOOKUP(F866,IMPORTRANGE(""https://docs.google.com/spreadsheets/d/1Kvs4KS76FHFqLFIZfrDMff4kP08nblUkihrxltoGBjg/edit#gid=934712705"",""ESENCIAL!A6:BG""),15,FALSE))"),"")</f>
        <v/>
      </c>
      <c r="AY600" s="110" t="str">
        <f ca="1">IFERROR(__xludf.DUMMYFUNCTION("IFERROR(VLOOKUP(E866&amp;F866,IMPORTRANGE(""https://docs.google.com/spreadsheets/d/1Uw7-A9f9R21vMXxHZFNpYNeKFtG8_yji4HS352LGlSQ/edit?pli=1#gid=0"",""1_ACUM!A4:S""),13,FALSE))"),"")</f>
        <v/>
      </c>
      <c r="AZ600" s="43" t="str">
        <f ca="1">IFERROR(__xludf.DUMMYFUNCTION("IFERROR(VLOOKUP(E866&amp;F866,IMPORTRANGE(""https://docs.google.com/spreadsheets/d/1Uw7-A9f9R21vMXxHZFNpYNeKFtG8_yji4HS352LGlSQ/edit?pli=1#gid=0"",""1_ACUM!A4:S""),13,FALSE))"),"")</f>
        <v/>
      </c>
      <c r="BA600" s="43" t="str">
        <f ca="1">IFERROR(__xludf.DUMMYFUNCTION("IFERROR(VLOOKUP(E866&amp;F866,IMPORTRANGE(""https://docs.google.com/spreadsheets/d/1Uw7-A9f9R21vMXxHZFNpYNeKFtG8_yji4HS352LGlSQ/edit?pli=1#gid=0"",""1_ACUM!A4:S""),14,FALSE))"),"")</f>
        <v/>
      </c>
      <c r="BB600" s="43" t="str">
        <f ca="1">IFERROR(__xludf.DUMMYFUNCTION("IFERROR(VLOOKUP(E866&amp;F866,IMPORTRANGE(""https://docs.google.com/spreadsheets/d/1Uw7-A9f9R21vMXxHZFNpYNeKFtG8_yji4HS352LGlSQ/edit?pli=1#gid=0"",""1_ACUM!A4:S""),15,FALSE))"),"")</f>
        <v/>
      </c>
      <c r="BC600" s="43" t="str">
        <f ca="1">IFERROR(__xludf.DUMMYFUNCTION("IFERROR(VLOOKUP(E866&amp;F866,IMPORTRANGE(""https://docs.google.com/spreadsheets/d/1Uw7-A9f9R21vMXxHZFNpYNeKFtG8_yji4HS352LGlSQ/edit?pli=1#gid=0"",""1_ACUM!A4:S""),16,FALSE))"),"")</f>
        <v/>
      </c>
      <c r="BD600" s="43" t="str">
        <f ca="1">IFERROR(__xludf.DUMMYFUNCTION("IFERROR(VLOOKUP(E866&amp;F866,IMPORTRANGE(""https://docs.google.com/spreadsheets/d/1Uw7-A9f9R21vMXxHZFNpYNeKFtG8_yji4HS352LGlSQ/edit?pli=1#gid=0"",""1_ACUM!A4:S""),17,FALSE))"),"")</f>
        <v/>
      </c>
      <c r="BE600" s="44" t="str">
        <f ca="1">IFERROR(__xludf.DUMMYFUNCTION("IFERROR(VLOOKUP(E866&amp;F866,IMPORTRANGE(""https://docs.google.com/spreadsheets/d/1Uw7-A9f9R21vMXxHZFNpYNeKFtG8_yji4HS352LGlSQ/edit?pli=1#gid=0"",""1_ACUM!A4:S""),18,FALSE))"),"")</f>
        <v/>
      </c>
      <c r="BF600" s="44" t="str">
        <f ca="1">IFERROR(__xludf.DUMMYFUNCTION("IFERROR(VLOOKUP(E866&amp;F866,IMPORTRANGE(""https://docs.google.com/spreadsheets/d/1Uw7-A9f9R21vMXxHZFNpYNeKFtG8_yji4HS352LGlSQ/edit?pli=1#gid=0"",""1_ACUM!A4:S""),19,FALSE))"),"")</f>
        <v/>
      </c>
      <c r="BG600" s="98" t="str">
        <f ca="1">IFERROR(__xludf.DUMMYFUNCTION("IFERROR(VLOOKUP(F866,IMPORTRANGE(""https://docs.google.com/spreadsheets/d/1Kvs4KS76FHFqLFIZfrDMff4kP08nblUkihrxltoGBjg/edit#gid=934712705"",""ESENCIAL!A6:BG""),5,FALSE))"),"")</f>
        <v/>
      </c>
      <c r="BH600" s="98" t="str">
        <f t="shared" si="25"/>
        <v/>
      </c>
      <c r="BI600" s="99" t="str">
        <f t="shared" si="26"/>
        <v/>
      </c>
      <c r="BJ600" s="100" t="str">
        <f ca="1">IFERROR(__xludf.DUMMYFUNCTION("IFERROR(VLOOKUP(F866,IMPORTRANGE(""https://docs.google.com/spreadsheets/d/1Kvs4KS76FHFqLFIZfrDMff4kP08nblUkihrxltoGBjg/edit#gid=934712705"",""ESENCIAL!A6:BG""),2,FALSE))"),"")</f>
        <v/>
      </c>
      <c r="BK600" s="19" t="str">
        <f t="shared" si="27"/>
        <v/>
      </c>
      <c r="BL600" s="100"/>
      <c r="BM600" s="100"/>
    </row>
    <row r="601" spans="2:65" ht="15">
      <c r="B601" s="39"/>
      <c r="C601" s="5"/>
      <c r="D601" s="123"/>
      <c r="E601" s="39"/>
      <c r="F601" s="39"/>
      <c r="G601" s="39"/>
      <c r="H601" s="5" t="str">
        <f ca="1">IFERROR(__xludf.DUMMYFUNCTION("IFERROR(VLOOKUP(F867,IMPORTRANGE(""https://docs.google.com/spreadsheets/d/1Kvs4KS76FHFqLFIZfrDMff4kP08nblUkihrxltoGBjg/edit#gid=934712705"",""ESENCIAL!A6:BG""),3,FALSE))"),"")</f>
        <v/>
      </c>
      <c r="I601" s="5" t="str">
        <f ca="1">IFERROR(__xludf.DUMMYFUNCTION("IFERROR(VLOOKUP(F867,IMPORTRANGE(""https://docs.google.com/spreadsheets/d/1Kvs4KS76FHFqLFIZfrDMff4kP08nblUkihrxltoGBjg/edit#gid=934712705"",""ESENCIAL!A6:BG""),8,FALSE))"),"")</f>
        <v/>
      </c>
      <c r="J601" s="39"/>
      <c r="M601" s="40"/>
      <c r="AV601" s="41" t="str">
        <f t="shared" si="24"/>
        <v/>
      </c>
      <c r="AW601" s="5" t="str">
        <f ca="1">IFERROR(__xludf.DUMMYFUNCTION("IFERROR(VLOOKUP(E867&amp;F867,IMPORTRANGE(""https://docs.google.com/spreadsheets/d/1Uw7-A9f9R21vMXxHZFNpYNeKFtG8_yji4HS352LGlSQ/edit?pli=1#gid=0"",""1_ACUM!A4:S""),11,FALSE))"),"")</f>
        <v/>
      </c>
      <c r="AX601" s="42" t="str">
        <f ca="1">IFERROR(__xludf.DUMMYFUNCTION("IFERROR(VLOOKUP(F867,IMPORTRANGE(""https://docs.google.com/spreadsheets/d/1Kvs4KS76FHFqLFIZfrDMff4kP08nblUkihrxltoGBjg/edit#gid=934712705"",""ESENCIAL!A6:BG""),15,FALSE))"),"")</f>
        <v/>
      </c>
      <c r="AY601" s="110" t="str">
        <f ca="1">IFERROR(__xludf.DUMMYFUNCTION("IFERROR(VLOOKUP(E867&amp;F867,IMPORTRANGE(""https://docs.google.com/spreadsheets/d/1Uw7-A9f9R21vMXxHZFNpYNeKFtG8_yji4HS352LGlSQ/edit?pli=1#gid=0"",""1_ACUM!A4:S""),13,FALSE))"),"")</f>
        <v/>
      </c>
      <c r="AZ601" s="43" t="str">
        <f ca="1">IFERROR(__xludf.DUMMYFUNCTION("IFERROR(VLOOKUP(E867&amp;F867,IMPORTRANGE(""https://docs.google.com/spreadsheets/d/1Uw7-A9f9R21vMXxHZFNpYNeKFtG8_yji4HS352LGlSQ/edit?pli=1#gid=0"",""1_ACUM!A4:S""),13,FALSE))"),"")</f>
        <v/>
      </c>
      <c r="BA601" s="43" t="str">
        <f ca="1">IFERROR(__xludf.DUMMYFUNCTION("IFERROR(VLOOKUP(E867&amp;F867,IMPORTRANGE(""https://docs.google.com/spreadsheets/d/1Uw7-A9f9R21vMXxHZFNpYNeKFtG8_yji4HS352LGlSQ/edit?pli=1#gid=0"",""1_ACUM!A4:S""),14,FALSE))"),"")</f>
        <v/>
      </c>
      <c r="BB601" s="43" t="str">
        <f ca="1">IFERROR(__xludf.DUMMYFUNCTION("IFERROR(VLOOKUP(E867&amp;F867,IMPORTRANGE(""https://docs.google.com/spreadsheets/d/1Uw7-A9f9R21vMXxHZFNpYNeKFtG8_yji4HS352LGlSQ/edit?pli=1#gid=0"",""1_ACUM!A4:S""),15,FALSE))"),"")</f>
        <v/>
      </c>
      <c r="BC601" s="43" t="str">
        <f ca="1">IFERROR(__xludf.DUMMYFUNCTION("IFERROR(VLOOKUP(E867&amp;F867,IMPORTRANGE(""https://docs.google.com/spreadsheets/d/1Uw7-A9f9R21vMXxHZFNpYNeKFtG8_yji4HS352LGlSQ/edit?pli=1#gid=0"",""1_ACUM!A4:S""),16,FALSE))"),"")</f>
        <v/>
      </c>
      <c r="BD601" s="43" t="str">
        <f ca="1">IFERROR(__xludf.DUMMYFUNCTION("IFERROR(VLOOKUP(E867&amp;F867,IMPORTRANGE(""https://docs.google.com/spreadsheets/d/1Uw7-A9f9R21vMXxHZFNpYNeKFtG8_yji4HS352LGlSQ/edit?pli=1#gid=0"",""1_ACUM!A4:S""),17,FALSE))"),"")</f>
        <v/>
      </c>
      <c r="BE601" s="44" t="str">
        <f ca="1">IFERROR(__xludf.DUMMYFUNCTION("IFERROR(VLOOKUP(E867&amp;F867,IMPORTRANGE(""https://docs.google.com/spreadsheets/d/1Uw7-A9f9R21vMXxHZFNpYNeKFtG8_yji4HS352LGlSQ/edit?pli=1#gid=0"",""1_ACUM!A4:S""),18,FALSE))"),"")</f>
        <v/>
      </c>
      <c r="BF601" s="44" t="str">
        <f ca="1">IFERROR(__xludf.DUMMYFUNCTION("IFERROR(VLOOKUP(E867&amp;F867,IMPORTRANGE(""https://docs.google.com/spreadsheets/d/1Uw7-A9f9R21vMXxHZFNpYNeKFtG8_yji4HS352LGlSQ/edit?pli=1#gid=0"",""1_ACUM!A4:S""),19,FALSE))"),"")</f>
        <v/>
      </c>
      <c r="BG601" s="98" t="str">
        <f ca="1">IFERROR(__xludf.DUMMYFUNCTION("IFERROR(VLOOKUP(F867,IMPORTRANGE(""https://docs.google.com/spreadsheets/d/1Kvs4KS76FHFqLFIZfrDMff4kP08nblUkihrxltoGBjg/edit#gid=934712705"",""ESENCIAL!A6:BG""),5,FALSE))"),"")</f>
        <v/>
      </c>
      <c r="BH601" s="98" t="str">
        <f t="shared" si="25"/>
        <v/>
      </c>
      <c r="BI601" s="99" t="str">
        <f t="shared" si="26"/>
        <v/>
      </c>
      <c r="BJ601" s="100" t="str">
        <f ca="1">IFERROR(__xludf.DUMMYFUNCTION("IFERROR(VLOOKUP(F867,IMPORTRANGE(""https://docs.google.com/spreadsheets/d/1Kvs4KS76FHFqLFIZfrDMff4kP08nblUkihrxltoGBjg/edit#gid=934712705"",""ESENCIAL!A6:BG""),2,FALSE))"),"")</f>
        <v/>
      </c>
      <c r="BK601" s="19" t="str">
        <f t="shared" si="27"/>
        <v/>
      </c>
      <c r="BL601" s="100"/>
      <c r="BM601" s="100"/>
    </row>
    <row r="602" spans="2:65" ht="15">
      <c r="B602" s="39"/>
      <c r="C602" s="5"/>
      <c r="D602" s="123"/>
      <c r="E602" s="39"/>
      <c r="F602" s="39"/>
      <c r="G602" s="39"/>
      <c r="H602" s="5" t="str">
        <f ca="1">IFERROR(__xludf.DUMMYFUNCTION("IFERROR(VLOOKUP(F868,IMPORTRANGE(""https://docs.google.com/spreadsheets/d/1Kvs4KS76FHFqLFIZfrDMff4kP08nblUkihrxltoGBjg/edit#gid=934712705"",""ESENCIAL!A6:BG""),3,FALSE))"),"")</f>
        <v/>
      </c>
      <c r="I602" s="5" t="str">
        <f ca="1">IFERROR(__xludf.DUMMYFUNCTION("IFERROR(VLOOKUP(F868,IMPORTRANGE(""https://docs.google.com/spreadsheets/d/1Kvs4KS76FHFqLFIZfrDMff4kP08nblUkihrxltoGBjg/edit#gid=934712705"",""ESENCIAL!A6:BG""),8,FALSE))"),"")</f>
        <v/>
      </c>
      <c r="J602" s="39"/>
      <c r="M602" s="40"/>
      <c r="AV602" s="41" t="str">
        <f t="shared" si="24"/>
        <v/>
      </c>
      <c r="AW602" s="5" t="str">
        <f ca="1">IFERROR(__xludf.DUMMYFUNCTION("IFERROR(VLOOKUP(E868&amp;F868,IMPORTRANGE(""https://docs.google.com/spreadsheets/d/1Uw7-A9f9R21vMXxHZFNpYNeKFtG8_yji4HS352LGlSQ/edit?pli=1#gid=0"",""1_ACUM!A4:S""),11,FALSE))"),"")</f>
        <v/>
      </c>
      <c r="AX602" s="42" t="str">
        <f ca="1">IFERROR(__xludf.DUMMYFUNCTION("IFERROR(VLOOKUP(F868,IMPORTRANGE(""https://docs.google.com/spreadsheets/d/1Kvs4KS76FHFqLFIZfrDMff4kP08nblUkihrxltoGBjg/edit#gid=934712705"",""ESENCIAL!A6:BG""),15,FALSE))"),"")</f>
        <v/>
      </c>
      <c r="AY602" s="110" t="str">
        <f ca="1">IFERROR(__xludf.DUMMYFUNCTION("IFERROR(VLOOKUP(E868&amp;F868,IMPORTRANGE(""https://docs.google.com/spreadsheets/d/1Uw7-A9f9R21vMXxHZFNpYNeKFtG8_yji4HS352LGlSQ/edit?pli=1#gid=0"",""1_ACUM!A4:S""),13,FALSE))"),"")</f>
        <v/>
      </c>
      <c r="AZ602" s="43" t="str">
        <f ca="1">IFERROR(__xludf.DUMMYFUNCTION("IFERROR(VLOOKUP(E868&amp;F868,IMPORTRANGE(""https://docs.google.com/spreadsheets/d/1Uw7-A9f9R21vMXxHZFNpYNeKFtG8_yji4HS352LGlSQ/edit?pli=1#gid=0"",""1_ACUM!A4:S""),13,FALSE))"),"")</f>
        <v/>
      </c>
      <c r="BA602" s="43" t="str">
        <f ca="1">IFERROR(__xludf.DUMMYFUNCTION("IFERROR(VLOOKUP(E868&amp;F868,IMPORTRANGE(""https://docs.google.com/spreadsheets/d/1Uw7-A9f9R21vMXxHZFNpYNeKFtG8_yji4HS352LGlSQ/edit?pli=1#gid=0"",""1_ACUM!A4:S""),14,FALSE))"),"")</f>
        <v/>
      </c>
      <c r="BB602" s="43" t="str">
        <f ca="1">IFERROR(__xludf.DUMMYFUNCTION("IFERROR(VLOOKUP(E868&amp;F868,IMPORTRANGE(""https://docs.google.com/spreadsheets/d/1Uw7-A9f9R21vMXxHZFNpYNeKFtG8_yji4HS352LGlSQ/edit?pli=1#gid=0"",""1_ACUM!A4:S""),15,FALSE))"),"")</f>
        <v/>
      </c>
      <c r="BC602" s="43" t="str">
        <f ca="1">IFERROR(__xludf.DUMMYFUNCTION("IFERROR(VLOOKUP(E868&amp;F868,IMPORTRANGE(""https://docs.google.com/spreadsheets/d/1Uw7-A9f9R21vMXxHZFNpYNeKFtG8_yji4HS352LGlSQ/edit?pli=1#gid=0"",""1_ACUM!A4:S""),16,FALSE))"),"")</f>
        <v/>
      </c>
      <c r="BD602" s="43" t="str">
        <f ca="1">IFERROR(__xludf.DUMMYFUNCTION("IFERROR(VLOOKUP(E868&amp;F868,IMPORTRANGE(""https://docs.google.com/spreadsheets/d/1Uw7-A9f9R21vMXxHZFNpYNeKFtG8_yji4HS352LGlSQ/edit?pli=1#gid=0"",""1_ACUM!A4:S""),17,FALSE))"),"")</f>
        <v/>
      </c>
      <c r="BE602" s="44" t="str">
        <f ca="1">IFERROR(__xludf.DUMMYFUNCTION("IFERROR(VLOOKUP(E868&amp;F868,IMPORTRANGE(""https://docs.google.com/spreadsheets/d/1Uw7-A9f9R21vMXxHZFNpYNeKFtG8_yji4HS352LGlSQ/edit?pli=1#gid=0"",""1_ACUM!A4:S""),18,FALSE))"),"")</f>
        <v/>
      </c>
      <c r="BF602" s="44" t="str">
        <f ca="1">IFERROR(__xludf.DUMMYFUNCTION("IFERROR(VLOOKUP(E868&amp;F868,IMPORTRANGE(""https://docs.google.com/spreadsheets/d/1Uw7-A9f9R21vMXxHZFNpYNeKFtG8_yji4HS352LGlSQ/edit?pli=1#gid=0"",""1_ACUM!A4:S""),19,FALSE))"),"")</f>
        <v/>
      </c>
      <c r="BG602" s="98" t="str">
        <f ca="1">IFERROR(__xludf.DUMMYFUNCTION("IFERROR(VLOOKUP(F868,IMPORTRANGE(""https://docs.google.com/spreadsheets/d/1Kvs4KS76FHFqLFIZfrDMff4kP08nblUkihrxltoGBjg/edit#gid=934712705"",""ESENCIAL!A6:BG""),5,FALSE))"),"")</f>
        <v/>
      </c>
      <c r="BH602" s="98" t="str">
        <f t="shared" si="25"/>
        <v/>
      </c>
      <c r="BI602" s="99" t="str">
        <f t="shared" si="26"/>
        <v/>
      </c>
      <c r="BJ602" s="100" t="str">
        <f ca="1">IFERROR(__xludf.DUMMYFUNCTION("IFERROR(VLOOKUP(F868,IMPORTRANGE(""https://docs.google.com/spreadsheets/d/1Kvs4KS76FHFqLFIZfrDMff4kP08nblUkihrxltoGBjg/edit#gid=934712705"",""ESENCIAL!A6:BG""),2,FALSE))"),"")</f>
        <v/>
      </c>
      <c r="BK602" s="19" t="str">
        <f t="shared" si="27"/>
        <v/>
      </c>
      <c r="BL602" s="100"/>
      <c r="BM602" s="100"/>
    </row>
    <row r="603" spans="2:65" ht="15">
      <c r="B603" s="39"/>
      <c r="C603" s="5"/>
      <c r="D603" s="123"/>
      <c r="E603" s="39"/>
      <c r="F603" s="39"/>
      <c r="G603" s="39"/>
      <c r="H603" s="5" t="str">
        <f ca="1">IFERROR(__xludf.DUMMYFUNCTION("IFERROR(VLOOKUP(F869,IMPORTRANGE(""https://docs.google.com/spreadsheets/d/1Kvs4KS76FHFqLFIZfrDMff4kP08nblUkihrxltoGBjg/edit#gid=934712705"",""ESENCIAL!A6:BG""),3,FALSE))"),"")</f>
        <v/>
      </c>
      <c r="I603" s="5" t="str">
        <f ca="1">IFERROR(__xludf.DUMMYFUNCTION("IFERROR(VLOOKUP(F869,IMPORTRANGE(""https://docs.google.com/spreadsheets/d/1Kvs4KS76FHFqLFIZfrDMff4kP08nblUkihrxltoGBjg/edit#gid=934712705"",""ESENCIAL!A6:BG""),8,FALSE))"),"")</f>
        <v/>
      </c>
      <c r="J603" s="39"/>
      <c r="M603" s="40"/>
      <c r="AV603" s="41" t="str">
        <f t="shared" si="24"/>
        <v/>
      </c>
      <c r="AW603" s="5" t="str">
        <f ca="1">IFERROR(__xludf.DUMMYFUNCTION("IFERROR(VLOOKUP(E869&amp;F869,IMPORTRANGE(""https://docs.google.com/spreadsheets/d/1Uw7-A9f9R21vMXxHZFNpYNeKFtG8_yji4HS352LGlSQ/edit?pli=1#gid=0"",""1_ACUM!A4:S""),11,FALSE))"),"")</f>
        <v/>
      </c>
      <c r="AX603" s="42" t="str">
        <f ca="1">IFERROR(__xludf.DUMMYFUNCTION("IFERROR(VLOOKUP(F869,IMPORTRANGE(""https://docs.google.com/spreadsheets/d/1Kvs4KS76FHFqLFIZfrDMff4kP08nblUkihrxltoGBjg/edit#gid=934712705"",""ESENCIAL!A6:BG""),15,FALSE))"),"")</f>
        <v/>
      </c>
      <c r="AY603" s="110" t="str">
        <f ca="1">IFERROR(__xludf.DUMMYFUNCTION("IFERROR(VLOOKUP(E869&amp;F869,IMPORTRANGE(""https://docs.google.com/spreadsheets/d/1Uw7-A9f9R21vMXxHZFNpYNeKFtG8_yji4HS352LGlSQ/edit?pli=1#gid=0"",""1_ACUM!A4:S""),13,FALSE))"),"")</f>
        <v/>
      </c>
      <c r="AZ603" s="43" t="str">
        <f ca="1">IFERROR(__xludf.DUMMYFUNCTION("IFERROR(VLOOKUP(E869&amp;F869,IMPORTRANGE(""https://docs.google.com/spreadsheets/d/1Uw7-A9f9R21vMXxHZFNpYNeKFtG8_yji4HS352LGlSQ/edit?pli=1#gid=0"",""1_ACUM!A4:S""),13,FALSE))"),"")</f>
        <v/>
      </c>
      <c r="BA603" s="43" t="str">
        <f ca="1">IFERROR(__xludf.DUMMYFUNCTION("IFERROR(VLOOKUP(E869&amp;F869,IMPORTRANGE(""https://docs.google.com/spreadsheets/d/1Uw7-A9f9R21vMXxHZFNpYNeKFtG8_yji4HS352LGlSQ/edit?pli=1#gid=0"",""1_ACUM!A4:S""),14,FALSE))"),"")</f>
        <v/>
      </c>
      <c r="BB603" s="43" t="str">
        <f ca="1">IFERROR(__xludf.DUMMYFUNCTION("IFERROR(VLOOKUP(E869&amp;F869,IMPORTRANGE(""https://docs.google.com/spreadsheets/d/1Uw7-A9f9R21vMXxHZFNpYNeKFtG8_yji4HS352LGlSQ/edit?pli=1#gid=0"",""1_ACUM!A4:S""),15,FALSE))"),"")</f>
        <v/>
      </c>
      <c r="BC603" s="43" t="str">
        <f ca="1">IFERROR(__xludf.DUMMYFUNCTION("IFERROR(VLOOKUP(E869&amp;F869,IMPORTRANGE(""https://docs.google.com/spreadsheets/d/1Uw7-A9f9R21vMXxHZFNpYNeKFtG8_yji4HS352LGlSQ/edit?pli=1#gid=0"",""1_ACUM!A4:S""),16,FALSE))"),"")</f>
        <v/>
      </c>
      <c r="BD603" s="43" t="str">
        <f ca="1">IFERROR(__xludf.DUMMYFUNCTION("IFERROR(VLOOKUP(E869&amp;F869,IMPORTRANGE(""https://docs.google.com/spreadsheets/d/1Uw7-A9f9R21vMXxHZFNpYNeKFtG8_yji4HS352LGlSQ/edit?pli=1#gid=0"",""1_ACUM!A4:S""),17,FALSE))"),"")</f>
        <v/>
      </c>
      <c r="BE603" s="44" t="str">
        <f ca="1">IFERROR(__xludf.DUMMYFUNCTION("IFERROR(VLOOKUP(E869&amp;F869,IMPORTRANGE(""https://docs.google.com/spreadsheets/d/1Uw7-A9f9R21vMXxHZFNpYNeKFtG8_yji4HS352LGlSQ/edit?pli=1#gid=0"",""1_ACUM!A4:S""),18,FALSE))"),"")</f>
        <v/>
      </c>
      <c r="BF603" s="44" t="str">
        <f ca="1">IFERROR(__xludf.DUMMYFUNCTION("IFERROR(VLOOKUP(E869&amp;F869,IMPORTRANGE(""https://docs.google.com/spreadsheets/d/1Uw7-A9f9R21vMXxHZFNpYNeKFtG8_yji4HS352LGlSQ/edit?pli=1#gid=0"",""1_ACUM!A4:S""),19,FALSE))"),"")</f>
        <v/>
      </c>
      <c r="BG603" s="98" t="str">
        <f ca="1">IFERROR(__xludf.DUMMYFUNCTION("IFERROR(VLOOKUP(F869,IMPORTRANGE(""https://docs.google.com/spreadsheets/d/1Kvs4KS76FHFqLFIZfrDMff4kP08nblUkihrxltoGBjg/edit#gid=934712705"",""ESENCIAL!A6:BG""),5,FALSE))"),"")</f>
        <v/>
      </c>
      <c r="BH603" s="98" t="str">
        <f t="shared" si="25"/>
        <v/>
      </c>
      <c r="BI603" s="99" t="str">
        <f t="shared" si="26"/>
        <v/>
      </c>
      <c r="BJ603" s="100" t="str">
        <f ca="1">IFERROR(__xludf.DUMMYFUNCTION("IFERROR(VLOOKUP(F869,IMPORTRANGE(""https://docs.google.com/spreadsheets/d/1Kvs4KS76FHFqLFIZfrDMff4kP08nblUkihrxltoGBjg/edit#gid=934712705"",""ESENCIAL!A6:BG""),2,FALSE))"),"")</f>
        <v/>
      </c>
      <c r="BK603" s="19" t="str">
        <f t="shared" si="27"/>
        <v/>
      </c>
      <c r="BL603" s="100"/>
      <c r="BM603" s="100"/>
    </row>
    <row r="604" spans="2:65" ht="15">
      <c r="B604" s="39"/>
      <c r="C604" s="5"/>
      <c r="D604" s="123"/>
      <c r="E604" s="39"/>
      <c r="F604" s="39"/>
      <c r="G604" s="39"/>
      <c r="H604" s="5" t="str">
        <f ca="1">IFERROR(__xludf.DUMMYFUNCTION("IFERROR(VLOOKUP(F870,IMPORTRANGE(""https://docs.google.com/spreadsheets/d/1Kvs4KS76FHFqLFIZfrDMff4kP08nblUkihrxltoGBjg/edit#gid=934712705"",""ESENCIAL!A6:BG""),3,FALSE))"),"")</f>
        <v/>
      </c>
      <c r="I604" s="5" t="str">
        <f ca="1">IFERROR(__xludf.DUMMYFUNCTION("IFERROR(VLOOKUP(F870,IMPORTRANGE(""https://docs.google.com/spreadsheets/d/1Kvs4KS76FHFqLFIZfrDMff4kP08nblUkihrxltoGBjg/edit#gid=934712705"",""ESENCIAL!A6:BG""),8,FALSE))"),"")</f>
        <v/>
      </c>
      <c r="J604" s="39"/>
      <c r="M604" s="40"/>
      <c r="AV604" s="41" t="str">
        <f t="shared" si="24"/>
        <v/>
      </c>
      <c r="AW604" s="5" t="str">
        <f ca="1">IFERROR(__xludf.DUMMYFUNCTION("IFERROR(VLOOKUP(E870&amp;F870,IMPORTRANGE(""https://docs.google.com/spreadsheets/d/1Uw7-A9f9R21vMXxHZFNpYNeKFtG8_yji4HS352LGlSQ/edit?pli=1#gid=0"",""1_ACUM!A4:S""),11,FALSE))"),"")</f>
        <v/>
      </c>
      <c r="AX604" s="42" t="str">
        <f ca="1">IFERROR(__xludf.DUMMYFUNCTION("IFERROR(VLOOKUP(F870,IMPORTRANGE(""https://docs.google.com/spreadsheets/d/1Kvs4KS76FHFqLFIZfrDMff4kP08nblUkihrxltoGBjg/edit#gid=934712705"",""ESENCIAL!A6:BG""),15,FALSE))"),"")</f>
        <v/>
      </c>
      <c r="AY604" s="110" t="str">
        <f ca="1">IFERROR(__xludf.DUMMYFUNCTION("IFERROR(VLOOKUP(E870&amp;F870,IMPORTRANGE(""https://docs.google.com/spreadsheets/d/1Uw7-A9f9R21vMXxHZFNpYNeKFtG8_yji4HS352LGlSQ/edit?pli=1#gid=0"",""1_ACUM!A4:S""),13,FALSE))"),"")</f>
        <v/>
      </c>
      <c r="AZ604" s="43" t="str">
        <f ca="1">IFERROR(__xludf.DUMMYFUNCTION("IFERROR(VLOOKUP(E870&amp;F870,IMPORTRANGE(""https://docs.google.com/spreadsheets/d/1Uw7-A9f9R21vMXxHZFNpYNeKFtG8_yji4HS352LGlSQ/edit?pli=1#gid=0"",""1_ACUM!A4:S""),13,FALSE))"),"")</f>
        <v/>
      </c>
      <c r="BA604" s="43" t="str">
        <f ca="1">IFERROR(__xludf.DUMMYFUNCTION("IFERROR(VLOOKUP(E870&amp;F870,IMPORTRANGE(""https://docs.google.com/spreadsheets/d/1Uw7-A9f9R21vMXxHZFNpYNeKFtG8_yji4HS352LGlSQ/edit?pli=1#gid=0"",""1_ACUM!A4:S""),14,FALSE))"),"")</f>
        <v/>
      </c>
      <c r="BB604" s="43" t="str">
        <f ca="1">IFERROR(__xludf.DUMMYFUNCTION("IFERROR(VLOOKUP(E870&amp;F870,IMPORTRANGE(""https://docs.google.com/spreadsheets/d/1Uw7-A9f9R21vMXxHZFNpYNeKFtG8_yji4HS352LGlSQ/edit?pli=1#gid=0"",""1_ACUM!A4:S""),15,FALSE))"),"")</f>
        <v/>
      </c>
      <c r="BC604" s="43" t="str">
        <f ca="1">IFERROR(__xludf.DUMMYFUNCTION("IFERROR(VLOOKUP(E870&amp;F870,IMPORTRANGE(""https://docs.google.com/spreadsheets/d/1Uw7-A9f9R21vMXxHZFNpYNeKFtG8_yji4HS352LGlSQ/edit?pli=1#gid=0"",""1_ACUM!A4:S""),16,FALSE))"),"")</f>
        <v/>
      </c>
      <c r="BD604" s="43" t="str">
        <f ca="1">IFERROR(__xludf.DUMMYFUNCTION("IFERROR(VLOOKUP(E870&amp;F870,IMPORTRANGE(""https://docs.google.com/spreadsheets/d/1Uw7-A9f9R21vMXxHZFNpYNeKFtG8_yji4HS352LGlSQ/edit?pli=1#gid=0"",""1_ACUM!A4:S""),17,FALSE))"),"")</f>
        <v/>
      </c>
      <c r="BE604" s="44" t="str">
        <f ca="1">IFERROR(__xludf.DUMMYFUNCTION("IFERROR(VLOOKUP(E870&amp;F870,IMPORTRANGE(""https://docs.google.com/spreadsheets/d/1Uw7-A9f9R21vMXxHZFNpYNeKFtG8_yji4HS352LGlSQ/edit?pli=1#gid=0"",""1_ACUM!A4:S""),18,FALSE))"),"")</f>
        <v/>
      </c>
      <c r="BF604" s="44" t="str">
        <f ca="1">IFERROR(__xludf.DUMMYFUNCTION("IFERROR(VLOOKUP(E870&amp;F870,IMPORTRANGE(""https://docs.google.com/spreadsheets/d/1Uw7-A9f9R21vMXxHZFNpYNeKFtG8_yji4HS352LGlSQ/edit?pli=1#gid=0"",""1_ACUM!A4:S""),19,FALSE))"),"")</f>
        <v/>
      </c>
      <c r="BG604" s="98" t="str">
        <f ca="1">IFERROR(__xludf.DUMMYFUNCTION("IFERROR(VLOOKUP(F870,IMPORTRANGE(""https://docs.google.com/spreadsheets/d/1Kvs4KS76FHFqLFIZfrDMff4kP08nblUkihrxltoGBjg/edit#gid=934712705"",""ESENCIAL!A6:BG""),5,FALSE))"),"")</f>
        <v/>
      </c>
      <c r="BH604" s="98" t="str">
        <f t="shared" si="25"/>
        <v/>
      </c>
      <c r="BI604" s="99" t="str">
        <f t="shared" si="26"/>
        <v/>
      </c>
      <c r="BJ604" s="100" t="str">
        <f ca="1">IFERROR(__xludf.DUMMYFUNCTION("IFERROR(VLOOKUP(F870,IMPORTRANGE(""https://docs.google.com/spreadsheets/d/1Kvs4KS76FHFqLFIZfrDMff4kP08nblUkihrxltoGBjg/edit#gid=934712705"",""ESENCIAL!A6:BG""),2,FALSE))"),"")</f>
        <v/>
      </c>
      <c r="BK604" s="19" t="str">
        <f t="shared" si="27"/>
        <v/>
      </c>
      <c r="BL604" s="100"/>
      <c r="BM604" s="100"/>
    </row>
    <row r="605" spans="2:65" ht="15">
      <c r="B605" s="39"/>
      <c r="C605" s="5"/>
      <c r="D605" s="123"/>
      <c r="E605" s="39"/>
      <c r="F605" s="39"/>
      <c r="G605" s="39"/>
      <c r="H605" s="5" t="str">
        <f ca="1">IFERROR(__xludf.DUMMYFUNCTION("IFERROR(VLOOKUP(F871,IMPORTRANGE(""https://docs.google.com/spreadsheets/d/1Kvs4KS76FHFqLFIZfrDMff4kP08nblUkihrxltoGBjg/edit#gid=934712705"",""ESENCIAL!A6:BG""),3,FALSE))"),"")</f>
        <v/>
      </c>
      <c r="I605" s="5" t="str">
        <f ca="1">IFERROR(__xludf.DUMMYFUNCTION("IFERROR(VLOOKUP(F871,IMPORTRANGE(""https://docs.google.com/spreadsheets/d/1Kvs4KS76FHFqLFIZfrDMff4kP08nblUkihrxltoGBjg/edit#gid=934712705"",""ESENCIAL!A6:BG""),8,FALSE))"),"")</f>
        <v/>
      </c>
      <c r="J605" s="39"/>
      <c r="M605" s="40"/>
      <c r="AV605" s="41" t="str">
        <f t="shared" si="24"/>
        <v/>
      </c>
      <c r="AW605" s="5" t="str">
        <f ca="1">IFERROR(__xludf.DUMMYFUNCTION("IFERROR(VLOOKUP(E871&amp;F871,IMPORTRANGE(""https://docs.google.com/spreadsheets/d/1Uw7-A9f9R21vMXxHZFNpYNeKFtG8_yji4HS352LGlSQ/edit?pli=1#gid=0"",""1_ACUM!A4:S""),11,FALSE))"),"")</f>
        <v/>
      </c>
      <c r="AX605" s="42" t="str">
        <f ca="1">IFERROR(__xludf.DUMMYFUNCTION("IFERROR(VLOOKUP(F871,IMPORTRANGE(""https://docs.google.com/spreadsheets/d/1Kvs4KS76FHFqLFIZfrDMff4kP08nblUkihrxltoGBjg/edit#gid=934712705"",""ESENCIAL!A6:BG""),15,FALSE))"),"")</f>
        <v/>
      </c>
      <c r="AY605" s="110" t="str">
        <f ca="1">IFERROR(__xludf.DUMMYFUNCTION("IFERROR(VLOOKUP(E871&amp;F871,IMPORTRANGE(""https://docs.google.com/spreadsheets/d/1Uw7-A9f9R21vMXxHZFNpYNeKFtG8_yji4HS352LGlSQ/edit?pli=1#gid=0"",""1_ACUM!A4:S""),13,FALSE))"),"")</f>
        <v/>
      </c>
      <c r="AZ605" s="43" t="str">
        <f ca="1">IFERROR(__xludf.DUMMYFUNCTION("IFERROR(VLOOKUP(E871&amp;F871,IMPORTRANGE(""https://docs.google.com/spreadsheets/d/1Uw7-A9f9R21vMXxHZFNpYNeKFtG8_yji4HS352LGlSQ/edit?pli=1#gid=0"",""1_ACUM!A4:S""),13,FALSE))"),"")</f>
        <v/>
      </c>
      <c r="BA605" s="43" t="str">
        <f ca="1">IFERROR(__xludf.DUMMYFUNCTION("IFERROR(VLOOKUP(E871&amp;F871,IMPORTRANGE(""https://docs.google.com/spreadsheets/d/1Uw7-A9f9R21vMXxHZFNpYNeKFtG8_yji4HS352LGlSQ/edit?pli=1#gid=0"",""1_ACUM!A4:S""),14,FALSE))"),"")</f>
        <v/>
      </c>
      <c r="BB605" s="43" t="str">
        <f ca="1">IFERROR(__xludf.DUMMYFUNCTION("IFERROR(VLOOKUP(E871&amp;F871,IMPORTRANGE(""https://docs.google.com/spreadsheets/d/1Uw7-A9f9R21vMXxHZFNpYNeKFtG8_yji4HS352LGlSQ/edit?pli=1#gid=0"",""1_ACUM!A4:S""),15,FALSE))"),"")</f>
        <v/>
      </c>
      <c r="BC605" s="43" t="str">
        <f ca="1">IFERROR(__xludf.DUMMYFUNCTION("IFERROR(VLOOKUP(E871&amp;F871,IMPORTRANGE(""https://docs.google.com/spreadsheets/d/1Uw7-A9f9R21vMXxHZFNpYNeKFtG8_yji4HS352LGlSQ/edit?pli=1#gid=0"",""1_ACUM!A4:S""),16,FALSE))"),"")</f>
        <v/>
      </c>
      <c r="BD605" s="43" t="str">
        <f ca="1">IFERROR(__xludf.DUMMYFUNCTION("IFERROR(VLOOKUP(E871&amp;F871,IMPORTRANGE(""https://docs.google.com/spreadsheets/d/1Uw7-A9f9R21vMXxHZFNpYNeKFtG8_yji4HS352LGlSQ/edit?pli=1#gid=0"",""1_ACUM!A4:S""),17,FALSE))"),"")</f>
        <v/>
      </c>
      <c r="BE605" s="44" t="str">
        <f ca="1">IFERROR(__xludf.DUMMYFUNCTION("IFERROR(VLOOKUP(E871&amp;F871,IMPORTRANGE(""https://docs.google.com/spreadsheets/d/1Uw7-A9f9R21vMXxHZFNpYNeKFtG8_yji4HS352LGlSQ/edit?pli=1#gid=0"",""1_ACUM!A4:S""),18,FALSE))"),"")</f>
        <v/>
      </c>
      <c r="BF605" s="44" t="str">
        <f ca="1">IFERROR(__xludf.DUMMYFUNCTION("IFERROR(VLOOKUP(E871&amp;F871,IMPORTRANGE(""https://docs.google.com/spreadsheets/d/1Uw7-A9f9R21vMXxHZFNpYNeKFtG8_yji4HS352LGlSQ/edit?pli=1#gid=0"",""1_ACUM!A4:S""),19,FALSE))"),"")</f>
        <v/>
      </c>
      <c r="BG605" s="98" t="str">
        <f ca="1">IFERROR(__xludf.DUMMYFUNCTION("IFERROR(VLOOKUP(F871,IMPORTRANGE(""https://docs.google.com/spreadsheets/d/1Kvs4KS76FHFqLFIZfrDMff4kP08nblUkihrxltoGBjg/edit#gid=934712705"",""ESENCIAL!A6:BG""),5,FALSE))"),"")</f>
        <v/>
      </c>
      <c r="BH605" s="98" t="str">
        <f t="shared" si="25"/>
        <v/>
      </c>
      <c r="BI605" s="99" t="str">
        <f t="shared" si="26"/>
        <v/>
      </c>
      <c r="BJ605" s="100" t="str">
        <f ca="1">IFERROR(__xludf.DUMMYFUNCTION("IFERROR(VLOOKUP(F871,IMPORTRANGE(""https://docs.google.com/spreadsheets/d/1Kvs4KS76FHFqLFIZfrDMff4kP08nblUkihrxltoGBjg/edit#gid=934712705"",""ESENCIAL!A6:BG""),2,FALSE))"),"")</f>
        <v/>
      </c>
      <c r="BK605" s="19" t="str">
        <f t="shared" si="27"/>
        <v/>
      </c>
      <c r="BL605" s="100"/>
      <c r="BM605" s="100"/>
    </row>
    <row r="606" spans="2:65" ht="15">
      <c r="B606" s="39"/>
      <c r="C606" s="5"/>
      <c r="D606" s="123"/>
      <c r="E606" s="39"/>
      <c r="F606" s="39"/>
      <c r="G606" s="39"/>
      <c r="H606" s="5" t="str">
        <f ca="1">IFERROR(__xludf.DUMMYFUNCTION("IFERROR(VLOOKUP(F872,IMPORTRANGE(""https://docs.google.com/spreadsheets/d/1Kvs4KS76FHFqLFIZfrDMff4kP08nblUkihrxltoGBjg/edit#gid=934712705"",""ESENCIAL!A6:BG""),3,FALSE))"),"")</f>
        <v/>
      </c>
      <c r="I606" s="5" t="str">
        <f ca="1">IFERROR(__xludf.DUMMYFUNCTION("IFERROR(VLOOKUP(F872,IMPORTRANGE(""https://docs.google.com/spreadsheets/d/1Kvs4KS76FHFqLFIZfrDMff4kP08nblUkihrxltoGBjg/edit#gid=934712705"",""ESENCIAL!A6:BG""),8,FALSE))"),"")</f>
        <v/>
      </c>
      <c r="J606" s="39"/>
      <c r="M606" s="40"/>
      <c r="AV606" s="41" t="str">
        <f t="shared" si="24"/>
        <v/>
      </c>
      <c r="AW606" s="5" t="str">
        <f ca="1">IFERROR(__xludf.DUMMYFUNCTION("IFERROR(VLOOKUP(E872&amp;F872,IMPORTRANGE(""https://docs.google.com/spreadsheets/d/1Uw7-A9f9R21vMXxHZFNpYNeKFtG8_yji4HS352LGlSQ/edit?pli=1#gid=0"",""1_ACUM!A4:S""),11,FALSE))"),"")</f>
        <v/>
      </c>
      <c r="AX606" s="42" t="str">
        <f ca="1">IFERROR(__xludf.DUMMYFUNCTION("IFERROR(VLOOKUP(F872,IMPORTRANGE(""https://docs.google.com/spreadsheets/d/1Kvs4KS76FHFqLFIZfrDMff4kP08nblUkihrxltoGBjg/edit#gid=934712705"",""ESENCIAL!A6:BG""),15,FALSE))"),"")</f>
        <v/>
      </c>
      <c r="AY606" s="110" t="str">
        <f ca="1">IFERROR(__xludf.DUMMYFUNCTION("IFERROR(VLOOKUP(E872&amp;F872,IMPORTRANGE(""https://docs.google.com/spreadsheets/d/1Uw7-A9f9R21vMXxHZFNpYNeKFtG8_yji4HS352LGlSQ/edit?pli=1#gid=0"",""1_ACUM!A4:S""),13,FALSE))"),"")</f>
        <v/>
      </c>
      <c r="AZ606" s="43" t="str">
        <f ca="1">IFERROR(__xludf.DUMMYFUNCTION("IFERROR(VLOOKUP(E872&amp;F872,IMPORTRANGE(""https://docs.google.com/spreadsheets/d/1Uw7-A9f9R21vMXxHZFNpYNeKFtG8_yji4HS352LGlSQ/edit?pli=1#gid=0"",""1_ACUM!A4:S""),13,FALSE))"),"")</f>
        <v/>
      </c>
      <c r="BA606" s="43" t="str">
        <f ca="1">IFERROR(__xludf.DUMMYFUNCTION("IFERROR(VLOOKUP(E872&amp;F872,IMPORTRANGE(""https://docs.google.com/spreadsheets/d/1Uw7-A9f9R21vMXxHZFNpYNeKFtG8_yji4HS352LGlSQ/edit?pli=1#gid=0"",""1_ACUM!A4:S""),14,FALSE))"),"")</f>
        <v/>
      </c>
      <c r="BB606" s="43" t="str">
        <f ca="1">IFERROR(__xludf.DUMMYFUNCTION("IFERROR(VLOOKUP(E872&amp;F872,IMPORTRANGE(""https://docs.google.com/spreadsheets/d/1Uw7-A9f9R21vMXxHZFNpYNeKFtG8_yji4HS352LGlSQ/edit?pli=1#gid=0"",""1_ACUM!A4:S""),15,FALSE))"),"")</f>
        <v/>
      </c>
      <c r="BC606" s="43" t="str">
        <f ca="1">IFERROR(__xludf.DUMMYFUNCTION("IFERROR(VLOOKUP(E872&amp;F872,IMPORTRANGE(""https://docs.google.com/spreadsheets/d/1Uw7-A9f9R21vMXxHZFNpYNeKFtG8_yji4HS352LGlSQ/edit?pli=1#gid=0"",""1_ACUM!A4:S""),16,FALSE))"),"")</f>
        <v/>
      </c>
      <c r="BD606" s="43" t="str">
        <f ca="1">IFERROR(__xludf.DUMMYFUNCTION("IFERROR(VLOOKUP(E872&amp;F872,IMPORTRANGE(""https://docs.google.com/spreadsheets/d/1Uw7-A9f9R21vMXxHZFNpYNeKFtG8_yji4HS352LGlSQ/edit?pli=1#gid=0"",""1_ACUM!A4:S""),17,FALSE))"),"")</f>
        <v/>
      </c>
      <c r="BE606" s="44" t="str">
        <f ca="1">IFERROR(__xludf.DUMMYFUNCTION("IFERROR(VLOOKUP(E872&amp;F872,IMPORTRANGE(""https://docs.google.com/spreadsheets/d/1Uw7-A9f9R21vMXxHZFNpYNeKFtG8_yji4HS352LGlSQ/edit?pli=1#gid=0"",""1_ACUM!A4:S""),18,FALSE))"),"")</f>
        <v/>
      </c>
      <c r="BF606" s="44" t="str">
        <f ca="1">IFERROR(__xludf.DUMMYFUNCTION("IFERROR(VLOOKUP(E872&amp;F872,IMPORTRANGE(""https://docs.google.com/spreadsheets/d/1Uw7-A9f9R21vMXxHZFNpYNeKFtG8_yji4HS352LGlSQ/edit?pli=1#gid=0"",""1_ACUM!A4:S""),19,FALSE))"),"")</f>
        <v/>
      </c>
      <c r="BG606" s="98" t="str">
        <f ca="1">IFERROR(__xludf.DUMMYFUNCTION("IFERROR(VLOOKUP(F872,IMPORTRANGE(""https://docs.google.com/spreadsheets/d/1Kvs4KS76FHFqLFIZfrDMff4kP08nblUkihrxltoGBjg/edit#gid=934712705"",""ESENCIAL!A6:BG""),5,FALSE))"),"")</f>
        <v/>
      </c>
      <c r="BH606" s="98" t="str">
        <f t="shared" si="25"/>
        <v/>
      </c>
      <c r="BI606" s="99" t="str">
        <f t="shared" si="26"/>
        <v/>
      </c>
      <c r="BJ606" s="100" t="str">
        <f ca="1">IFERROR(__xludf.DUMMYFUNCTION("IFERROR(VLOOKUP(F872,IMPORTRANGE(""https://docs.google.com/spreadsheets/d/1Kvs4KS76FHFqLFIZfrDMff4kP08nblUkihrxltoGBjg/edit#gid=934712705"",""ESENCIAL!A6:BG""),2,FALSE))"),"")</f>
        <v/>
      </c>
      <c r="BK606" s="19" t="str">
        <f t="shared" si="27"/>
        <v/>
      </c>
      <c r="BL606" s="100"/>
      <c r="BM606" s="100"/>
    </row>
    <row r="607" spans="2:65" ht="15">
      <c r="B607" s="39"/>
      <c r="C607" s="5"/>
      <c r="D607" s="123"/>
      <c r="E607" s="39"/>
      <c r="F607" s="39"/>
      <c r="G607" s="39"/>
      <c r="H607" s="5" t="str">
        <f ca="1">IFERROR(__xludf.DUMMYFUNCTION("IFERROR(VLOOKUP(F873,IMPORTRANGE(""https://docs.google.com/spreadsheets/d/1Kvs4KS76FHFqLFIZfrDMff4kP08nblUkihrxltoGBjg/edit#gid=934712705"",""ESENCIAL!A6:BG""),3,FALSE))"),"")</f>
        <v/>
      </c>
      <c r="I607" s="5" t="str">
        <f ca="1">IFERROR(__xludf.DUMMYFUNCTION("IFERROR(VLOOKUP(F873,IMPORTRANGE(""https://docs.google.com/spreadsheets/d/1Kvs4KS76FHFqLFIZfrDMff4kP08nblUkihrxltoGBjg/edit#gid=934712705"",""ESENCIAL!A6:BG""),8,FALSE))"),"")</f>
        <v/>
      </c>
      <c r="J607" s="39"/>
      <c r="M607" s="40"/>
      <c r="AV607" s="41" t="str">
        <f t="shared" si="24"/>
        <v/>
      </c>
      <c r="AW607" s="5" t="str">
        <f ca="1">IFERROR(__xludf.DUMMYFUNCTION("IFERROR(VLOOKUP(E873&amp;F873,IMPORTRANGE(""https://docs.google.com/spreadsheets/d/1Uw7-A9f9R21vMXxHZFNpYNeKFtG8_yji4HS352LGlSQ/edit?pli=1#gid=0"",""1_ACUM!A4:S""),11,FALSE))"),"")</f>
        <v/>
      </c>
      <c r="AX607" s="42" t="str">
        <f ca="1">IFERROR(__xludf.DUMMYFUNCTION("IFERROR(VLOOKUP(F873,IMPORTRANGE(""https://docs.google.com/spreadsheets/d/1Kvs4KS76FHFqLFIZfrDMff4kP08nblUkihrxltoGBjg/edit#gid=934712705"",""ESENCIAL!A6:BG""),15,FALSE))"),"")</f>
        <v/>
      </c>
      <c r="AY607" s="110" t="str">
        <f ca="1">IFERROR(__xludf.DUMMYFUNCTION("IFERROR(VLOOKUP(E873&amp;F873,IMPORTRANGE(""https://docs.google.com/spreadsheets/d/1Uw7-A9f9R21vMXxHZFNpYNeKFtG8_yji4HS352LGlSQ/edit?pli=1#gid=0"",""1_ACUM!A4:S""),13,FALSE))"),"")</f>
        <v/>
      </c>
      <c r="AZ607" s="43" t="str">
        <f ca="1">IFERROR(__xludf.DUMMYFUNCTION("IFERROR(VLOOKUP(E873&amp;F873,IMPORTRANGE(""https://docs.google.com/spreadsheets/d/1Uw7-A9f9R21vMXxHZFNpYNeKFtG8_yji4HS352LGlSQ/edit?pli=1#gid=0"",""1_ACUM!A4:S""),13,FALSE))"),"")</f>
        <v/>
      </c>
      <c r="BA607" s="43" t="str">
        <f ca="1">IFERROR(__xludf.DUMMYFUNCTION("IFERROR(VLOOKUP(E873&amp;F873,IMPORTRANGE(""https://docs.google.com/spreadsheets/d/1Uw7-A9f9R21vMXxHZFNpYNeKFtG8_yji4HS352LGlSQ/edit?pli=1#gid=0"",""1_ACUM!A4:S""),14,FALSE))"),"")</f>
        <v/>
      </c>
      <c r="BB607" s="43" t="str">
        <f ca="1">IFERROR(__xludf.DUMMYFUNCTION("IFERROR(VLOOKUP(E873&amp;F873,IMPORTRANGE(""https://docs.google.com/spreadsheets/d/1Uw7-A9f9R21vMXxHZFNpYNeKFtG8_yji4HS352LGlSQ/edit?pli=1#gid=0"",""1_ACUM!A4:S""),15,FALSE))"),"")</f>
        <v/>
      </c>
      <c r="BC607" s="43" t="str">
        <f ca="1">IFERROR(__xludf.DUMMYFUNCTION("IFERROR(VLOOKUP(E873&amp;F873,IMPORTRANGE(""https://docs.google.com/spreadsheets/d/1Uw7-A9f9R21vMXxHZFNpYNeKFtG8_yji4HS352LGlSQ/edit?pli=1#gid=0"",""1_ACUM!A4:S""),16,FALSE))"),"")</f>
        <v/>
      </c>
      <c r="BD607" s="43" t="str">
        <f ca="1">IFERROR(__xludf.DUMMYFUNCTION("IFERROR(VLOOKUP(E873&amp;F873,IMPORTRANGE(""https://docs.google.com/spreadsheets/d/1Uw7-A9f9R21vMXxHZFNpYNeKFtG8_yji4HS352LGlSQ/edit?pli=1#gid=0"",""1_ACUM!A4:S""),17,FALSE))"),"")</f>
        <v/>
      </c>
      <c r="BE607" s="44" t="str">
        <f ca="1">IFERROR(__xludf.DUMMYFUNCTION("IFERROR(VLOOKUP(E873&amp;F873,IMPORTRANGE(""https://docs.google.com/spreadsheets/d/1Uw7-A9f9R21vMXxHZFNpYNeKFtG8_yji4HS352LGlSQ/edit?pli=1#gid=0"",""1_ACUM!A4:S""),18,FALSE))"),"")</f>
        <v/>
      </c>
      <c r="BF607" s="44" t="str">
        <f ca="1">IFERROR(__xludf.DUMMYFUNCTION("IFERROR(VLOOKUP(E873&amp;F873,IMPORTRANGE(""https://docs.google.com/spreadsheets/d/1Uw7-A9f9R21vMXxHZFNpYNeKFtG8_yji4HS352LGlSQ/edit?pli=1#gid=0"",""1_ACUM!A4:S""),19,FALSE))"),"")</f>
        <v/>
      </c>
      <c r="BG607" s="98" t="str">
        <f ca="1">IFERROR(__xludf.DUMMYFUNCTION("IFERROR(VLOOKUP(F873,IMPORTRANGE(""https://docs.google.com/spreadsheets/d/1Kvs4KS76FHFqLFIZfrDMff4kP08nblUkihrxltoGBjg/edit#gid=934712705"",""ESENCIAL!A6:BG""),5,FALSE))"),"")</f>
        <v/>
      </c>
      <c r="BH607" s="98" t="str">
        <f t="shared" si="25"/>
        <v/>
      </c>
      <c r="BI607" s="99" t="str">
        <f t="shared" si="26"/>
        <v/>
      </c>
      <c r="BJ607" s="100" t="str">
        <f ca="1">IFERROR(__xludf.DUMMYFUNCTION("IFERROR(VLOOKUP(F873,IMPORTRANGE(""https://docs.google.com/spreadsheets/d/1Kvs4KS76FHFqLFIZfrDMff4kP08nblUkihrxltoGBjg/edit#gid=934712705"",""ESENCIAL!A6:BG""),2,FALSE))"),"")</f>
        <v/>
      </c>
      <c r="BK607" s="19" t="str">
        <f t="shared" si="27"/>
        <v/>
      </c>
      <c r="BL607" s="100"/>
      <c r="BM607" s="100"/>
    </row>
    <row r="608" spans="2:65" ht="15">
      <c r="B608" s="39"/>
      <c r="C608" s="5"/>
      <c r="D608" s="123"/>
      <c r="E608" s="39"/>
      <c r="F608" s="39"/>
      <c r="G608" s="39"/>
      <c r="H608" s="5" t="str">
        <f ca="1">IFERROR(__xludf.DUMMYFUNCTION("IFERROR(VLOOKUP(F874,IMPORTRANGE(""https://docs.google.com/spreadsheets/d/1Kvs4KS76FHFqLFIZfrDMff4kP08nblUkihrxltoGBjg/edit#gid=934712705"",""ESENCIAL!A6:BG""),3,FALSE))"),"")</f>
        <v/>
      </c>
      <c r="I608" s="5" t="str">
        <f ca="1">IFERROR(__xludf.DUMMYFUNCTION("IFERROR(VLOOKUP(F874,IMPORTRANGE(""https://docs.google.com/spreadsheets/d/1Kvs4KS76FHFqLFIZfrDMff4kP08nblUkihrxltoGBjg/edit#gid=934712705"",""ESENCIAL!A6:BG""),8,FALSE))"),"")</f>
        <v/>
      </c>
      <c r="J608" s="39"/>
      <c r="M608" s="40"/>
      <c r="AV608" s="41" t="str">
        <f t="shared" si="24"/>
        <v/>
      </c>
      <c r="AW608" s="5" t="str">
        <f ca="1">IFERROR(__xludf.DUMMYFUNCTION("IFERROR(VLOOKUP(E874&amp;F874,IMPORTRANGE(""https://docs.google.com/spreadsheets/d/1Uw7-A9f9R21vMXxHZFNpYNeKFtG8_yji4HS352LGlSQ/edit?pli=1#gid=0"",""1_ACUM!A4:S""),11,FALSE))"),"")</f>
        <v/>
      </c>
      <c r="AX608" s="42" t="str">
        <f ca="1">IFERROR(__xludf.DUMMYFUNCTION("IFERROR(VLOOKUP(F874,IMPORTRANGE(""https://docs.google.com/spreadsheets/d/1Kvs4KS76FHFqLFIZfrDMff4kP08nblUkihrxltoGBjg/edit#gid=934712705"",""ESENCIAL!A6:BG""),15,FALSE))"),"")</f>
        <v/>
      </c>
      <c r="AY608" s="110" t="str">
        <f ca="1">IFERROR(__xludf.DUMMYFUNCTION("IFERROR(VLOOKUP(E874&amp;F874,IMPORTRANGE(""https://docs.google.com/spreadsheets/d/1Uw7-A9f9R21vMXxHZFNpYNeKFtG8_yji4HS352LGlSQ/edit?pli=1#gid=0"",""1_ACUM!A4:S""),13,FALSE))"),"")</f>
        <v/>
      </c>
      <c r="AZ608" s="43" t="str">
        <f ca="1">IFERROR(__xludf.DUMMYFUNCTION("IFERROR(VLOOKUP(E874&amp;F874,IMPORTRANGE(""https://docs.google.com/spreadsheets/d/1Uw7-A9f9R21vMXxHZFNpYNeKFtG8_yji4HS352LGlSQ/edit?pli=1#gid=0"",""1_ACUM!A4:S""),13,FALSE))"),"")</f>
        <v/>
      </c>
      <c r="BA608" s="43" t="str">
        <f ca="1">IFERROR(__xludf.DUMMYFUNCTION("IFERROR(VLOOKUP(E874&amp;F874,IMPORTRANGE(""https://docs.google.com/spreadsheets/d/1Uw7-A9f9R21vMXxHZFNpYNeKFtG8_yji4HS352LGlSQ/edit?pli=1#gid=0"",""1_ACUM!A4:S""),14,FALSE))"),"")</f>
        <v/>
      </c>
      <c r="BB608" s="43" t="str">
        <f ca="1">IFERROR(__xludf.DUMMYFUNCTION("IFERROR(VLOOKUP(E874&amp;F874,IMPORTRANGE(""https://docs.google.com/spreadsheets/d/1Uw7-A9f9R21vMXxHZFNpYNeKFtG8_yji4HS352LGlSQ/edit?pli=1#gid=0"",""1_ACUM!A4:S""),15,FALSE))"),"")</f>
        <v/>
      </c>
      <c r="BC608" s="43" t="str">
        <f ca="1">IFERROR(__xludf.DUMMYFUNCTION("IFERROR(VLOOKUP(E874&amp;F874,IMPORTRANGE(""https://docs.google.com/spreadsheets/d/1Uw7-A9f9R21vMXxHZFNpYNeKFtG8_yji4HS352LGlSQ/edit?pli=1#gid=0"",""1_ACUM!A4:S""),16,FALSE))"),"")</f>
        <v/>
      </c>
      <c r="BD608" s="43" t="str">
        <f ca="1">IFERROR(__xludf.DUMMYFUNCTION("IFERROR(VLOOKUP(E874&amp;F874,IMPORTRANGE(""https://docs.google.com/spreadsheets/d/1Uw7-A9f9R21vMXxHZFNpYNeKFtG8_yji4HS352LGlSQ/edit?pli=1#gid=0"",""1_ACUM!A4:S""),17,FALSE))"),"")</f>
        <v/>
      </c>
      <c r="BE608" s="44" t="str">
        <f ca="1">IFERROR(__xludf.DUMMYFUNCTION("IFERROR(VLOOKUP(E874&amp;F874,IMPORTRANGE(""https://docs.google.com/spreadsheets/d/1Uw7-A9f9R21vMXxHZFNpYNeKFtG8_yji4HS352LGlSQ/edit?pli=1#gid=0"",""1_ACUM!A4:S""),18,FALSE))"),"")</f>
        <v/>
      </c>
      <c r="BF608" s="44" t="str">
        <f ca="1">IFERROR(__xludf.DUMMYFUNCTION("IFERROR(VLOOKUP(E874&amp;F874,IMPORTRANGE(""https://docs.google.com/spreadsheets/d/1Uw7-A9f9R21vMXxHZFNpYNeKFtG8_yji4HS352LGlSQ/edit?pli=1#gid=0"",""1_ACUM!A4:S""),19,FALSE))"),"")</f>
        <v/>
      </c>
      <c r="BG608" s="98" t="str">
        <f ca="1">IFERROR(__xludf.DUMMYFUNCTION("IFERROR(VLOOKUP(F874,IMPORTRANGE(""https://docs.google.com/spreadsheets/d/1Kvs4KS76FHFqLFIZfrDMff4kP08nblUkihrxltoGBjg/edit#gid=934712705"",""ESENCIAL!A6:BG""),5,FALSE))"),"")</f>
        <v/>
      </c>
      <c r="BH608" s="98" t="str">
        <f t="shared" si="25"/>
        <v/>
      </c>
      <c r="BI608" s="99" t="str">
        <f t="shared" si="26"/>
        <v/>
      </c>
      <c r="BJ608" s="100" t="str">
        <f ca="1">IFERROR(__xludf.DUMMYFUNCTION("IFERROR(VLOOKUP(F874,IMPORTRANGE(""https://docs.google.com/spreadsheets/d/1Kvs4KS76FHFqLFIZfrDMff4kP08nblUkihrxltoGBjg/edit#gid=934712705"",""ESENCIAL!A6:BG""),2,FALSE))"),"")</f>
        <v/>
      </c>
      <c r="BK608" s="19" t="str">
        <f t="shared" si="27"/>
        <v/>
      </c>
      <c r="BL608" s="100"/>
      <c r="BM608" s="100"/>
    </row>
    <row r="609" spans="2:65" ht="15">
      <c r="B609" s="39"/>
      <c r="C609" s="5"/>
      <c r="D609" s="123"/>
      <c r="E609" s="39"/>
      <c r="F609" s="39"/>
      <c r="G609" s="39"/>
      <c r="H609" s="5" t="str">
        <f ca="1">IFERROR(__xludf.DUMMYFUNCTION("IFERROR(VLOOKUP(F875,IMPORTRANGE(""https://docs.google.com/spreadsheets/d/1Kvs4KS76FHFqLFIZfrDMff4kP08nblUkihrxltoGBjg/edit#gid=934712705"",""ESENCIAL!A6:BG""),3,FALSE))"),"")</f>
        <v/>
      </c>
      <c r="I609" s="5" t="str">
        <f ca="1">IFERROR(__xludf.DUMMYFUNCTION("IFERROR(VLOOKUP(F875,IMPORTRANGE(""https://docs.google.com/spreadsheets/d/1Kvs4KS76FHFqLFIZfrDMff4kP08nblUkihrxltoGBjg/edit#gid=934712705"",""ESENCIAL!A6:BG""),8,FALSE))"),"")</f>
        <v/>
      </c>
      <c r="J609" s="39"/>
      <c r="M609" s="40"/>
      <c r="AV609" s="41" t="str">
        <f t="shared" si="24"/>
        <v/>
      </c>
      <c r="AW609" s="5" t="str">
        <f ca="1">IFERROR(__xludf.DUMMYFUNCTION("IFERROR(VLOOKUP(E875&amp;F875,IMPORTRANGE(""https://docs.google.com/spreadsheets/d/1Uw7-A9f9R21vMXxHZFNpYNeKFtG8_yji4HS352LGlSQ/edit?pli=1#gid=0"",""1_ACUM!A4:S""),11,FALSE))"),"")</f>
        <v/>
      </c>
      <c r="AX609" s="42" t="str">
        <f ca="1">IFERROR(__xludf.DUMMYFUNCTION("IFERROR(VLOOKUP(F875,IMPORTRANGE(""https://docs.google.com/spreadsheets/d/1Kvs4KS76FHFqLFIZfrDMff4kP08nblUkihrxltoGBjg/edit#gid=934712705"",""ESENCIAL!A6:BG""),15,FALSE))"),"")</f>
        <v/>
      </c>
      <c r="AY609" s="110" t="str">
        <f ca="1">IFERROR(__xludf.DUMMYFUNCTION("IFERROR(VLOOKUP(E875&amp;F875,IMPORTRANGE(""https://docs.google.com/spreadsheets/d/1Uw7-A9f9R21vMXxHZFNpYNeKFtG8_yji4HS352LGlSQ/edit?pli=1#gid=0"",""1_ACUM!A4:S""),13,FALSE))"),"")</f>
        <v/>
      </c>
      <c r="AZ609" s="43" t="str">
        <f ca="1">IFERROR(__xludf.DUMMYFUNCTION("IFERROR(VLOOKUP(E875&amp;F875,IMPORTRANGE(""https://docs.google.com/spreadsheets/d/1Uw7-A9f9R21vMXxHZFNpYNeKFtG8_yji4HS352LGlSQ/edit?pli=1#gid=0"",""1_ACUM!A4:S""),13,FALSE))"),"")</f>
        <v/>
      </c>
      <c r="BA609" s="43" t="str">
        <f ca="1">IFERROR(__xludf.DUMMYFUNCTION("IFERROR(VLOOKUP(E875&amp;F875,IMPORTRANGE(""https://docs.google.com/spreadsheets/d/1Uw7-A9f9R21vMXxHZFNpYNeKFtG8_yji4HS352LGlSQ/edit?pli=1#gid=0"",""1_ACUM!A4:S""),14,FALSE))"),"")</f>
        <v/>
      </c>
      <c r="BB609" s="43" t="str">
        <f ca="1">IFERROR(__xludf.DUMMYFUNCTION("IFERROR(VLOOKUP(E875&amp;F875,IMPORTRANGE(""https://docs.google.com/spreadsheets/d/1Uw7-A9f9R21vMXxHZFNpYNeKFtG8_yji4HS352LGlSQ/edit?pli=1#gid=0"",""1_ACUM!A4:S""),15,FALSE))"),"")</f>
        <v/>
      </c>
      <c r="BC609" s="43" t="str">
        <f ca="1">IFERROR(__xludf.DUMMYFUNCTION("IFERROR(VLOOKUP(E875&amp;F875,IMPORTRANGE(""https://docs.google.com/spreadsheets/d/1Uw7-A9f9R21vMXxHZFNpYNeKFtG8_yji4HS352LGlSQ/edit?pli=1#gid=0"",""1_ACUM!A4:S""),16,FALSE))"),"")</f>
        <v/>
      </c>
      <c r="BD609" s="43" t="str">
        <f ca="1">IFERROR(__xludf.DUMMYFUNCTION("IFERROR(VLOOKUP(E875&amp;F875,IMPORTRANGE(""https://docs.google.com/spreadsheets/d/1Uw7-A9f9R21vMXxHZFNpYNeKFtG8_yji4HS352LGlSQ/edit?pli=1#gid=0"",""1_ACUM!A4:S""),17,FALSE))"),"")</f>
        <v/>
      </c>
      <c r="BE609" s="44" t="str">
        <f ca="1">IFERROR(__xludf.DUMMYFUNCTION("IFERROR(VLOOKUP(E875&amp;F875,IMPORTRANGE(""https://docs.google.com/spreadsheets/d/1Uw7-A9f9R21vMXxHZFNpYNeKFtG8_yji4HS352LGlSQ/edit?pli=1#gid=0"",""1_ACUM!A4:S""),18,FALSE))"),"")</f>
        <v/>
      </c>
      <c r="BF609" s="44" t="str">
        <f ca="1">IFERROR(__xludf.DUMMYFUNCTION("IFERROR(VLOOKUP(E875&amp;F875,IMPORTRANGE(""https://docs.google.com/spreadsheets/d/1Uw7-A9f9R21vMXxHZFNpYNeKFtG8_yji4HS352LGlSQ/edit?pli=1#gid=0"",""1_ACUM!A4:S""),19,FALSE))"),"")</f>
        <v/>
      </c>
      <c r="BG609" s="98" t="str">
        <f ca="1">IFERROR(__xludf.DUMMYFUNCTION("IFERROR(VLOOKUP(F875,IMPORTRANGE(""https://docs.google.com/spreadsheets/d/1Kvs4KS76FHFqLFIZfrDMff4kP08nblUkihrxltoGBjg/edit#gid=934712705"",""ESENCIAL!A6:BG""),5,FALSE))"),"")</f>
        <v/>
      </c>
      <c r="BH609" s="98" t="str">
        <f t="shared" si="25"/>
        <v/>
      </c>
      <c r="BI609" s="99" t="str">
        <f t="shared" si="26"/>
        <v/>
      </c>
      <c r="BJ609" s="100" t="str">
        <f ca="1">IFERROR(__xludf.DUMMYFUNCTION("IFERROR(VLOOKUP(F875,IMPORTRANGE(""https://docs.google.com/spreadsheets/d/1Kvs4KS76FHFqLFIZfrDMff4kP08nblUkihrxltoGBjg/edit#gid=934712705"",""ESENCIAL!A6:BG""),2,FALSE))"),"")</f>
        <v/>
      </c>
      <c r="BK609" s="19" t="str">
        <f t="shared" si="27"/>
        <v/>
      </c>
      <c r="BL609" s="100"/>
      <c r="BM609" s="100"/>
    </row>
    <row r="610" spans="2:65" ht="15">
      <c r="B610" s="39"/>
      <c r="C610" s="5"/>
      <c r="D610" s="123"/>
      <c r="E610" s="39"/>
      <c r="F610" s="39"/>
      <c r="G610" s="39"/>
      <c r="H610" s="5" t="str">
        <f ca="1">IFERROR(__xludf.DUMMYFUNCTION("IFERROR(VLOOKUP(F876,IMPORTRANGE(""https://docs.google.com/spreadsheets/d/1Kvs4KS76FHFqLFIZfrDMff4kP08nblUkihrxltoGBjg/edit#gid=934712705"",""ESENCIAL!A6:BG""),3,FALSE))"),"")</f>
        <v/>
      </c>
      <c r="I610" s="5" t="str">
        <f ca="1">IFERROR(__xludf.DUMMYFUNCTION("IFERROR(VLOOKUP(F876,IMPORTRANGE(""https://docs.google.com/spreadsheets/d/1Kvs4KS76FHFqLFIZfrDMff4kP08nblUkihrxltoGBjg/edit#gid=934712705"",""ESENCIAL!A6:BG""),8,FALSE))"),"")</f>
        <v/>
      </c>
      <c r="J610" s="39"/>
      <c r="M610" s="40"/>
      <c r="AV610" s="41" t="str">
        <f t="shared" si="24"/>
        <v/>
      </c>
      <c r="AW610" s="5" t="str">
        <f ca="1">IFERROR(__xludf.DUMMYFUNCTION("IFERROR(VLOOKUP(E876&amp;F876,IMPORTRANGE(""https://docs.google.com/spreadsheets/d/1Uw7-A9f9R21vMXxHZFNpYNeKFtG8_yji4HS352LGlSQ/edit?pli=1#gid=0"",""1_ACUM!A4:S""),11,FALSE))"),"")</f>
        <v/>
      </c>
      <c r="AX610" s="42" t="str">
        <f ca="1">IFERROR(__xludf.DUMMYFUNCTION("IFERROR(VLOOKUP(F876,IMPORTRANGE(""https://docs.google.com/spreadsheets/d/1Kvs4KS76FHFqLFIZfrDMff4kP08nblUkihrxltoGBjg/edit#gid=934712705"",""ESENCIAL!A6:BG""),15,FALSE))"),"")</f>
        <v/>
      </c>
      <c r="AY610" s="110" t="str">
        <f ca="1">IFERROR(__xludf.DUMMYFUNCTION("IFERROR(VLOOKUP(E876&amp;F876,IMPORTRANGE(""https://docs.google.com/spreadsheets/d/1Uw7-A9f9R21vMXxHZFNpYNeKFtG8_yji4HS352LGlSQ/edit?pli=1#gid=0"",""1_ACUM!A4:S""),13,FALSE))"),"")</f>
        <v/>
      </c>
      <c r="AZ610" s="43" t="str">
        <f ca="1">IFERROR(__xludf.DUMMYFUNCTION("IFERROR(VLOOKUP(E876&amp;F876,IMPORTRANGE(""https://docs.google.com/spreadsheets/d/1Uw7-A9f9R21vMXxHZFNpYNeKFtG8_yji4HS352LGlSQ/edit?pli=1#gid=0"",""1_ACUM!A4:S""),13,FALSE))"),"")</f>
        <v/>
      </c>
      <c r="BA610" s="43" t="str">
        <f ca="1">IFERROR(__xludf.DUMMYFUNCTION("IFERROR(VLOOKUP(E876&amp;F876,IMPORTRANGE(""https://docs.google.com/spreadsheets/d/1Uw7-A9f9R21vMXxHZFNpYNeKFtG8_yji4HS352LGlSQ/edit?pli=1#gid=0"",""1_ACUM!A4:S""),14,FALSE))"),"")</f>
        <v/>
      </c>
      <c r="BB610" s="43" t="str">
        <f ca="1">IFERROR(__xludf.DUMMYFUNCTION("IFERROR(VLOOKUP(E876&amp;F876,IMPORTRANGE(""https://docs.google.com/spreadsheets/d/1Uw7-A9f9R21vMXxHZFNpYNeKFtG8_yji4HS352LGlSQ/edit?pli=1#gid=0"",""1_ACUM!A4:S""),15,FALSE))"),"")</f>
        <v/>
      </c>
      <c r="BC610" s="43" t="str">
        <f ca="1">IFERROR(__xludf.DUMMYFUNCTION("IFERROR(VLOOKUP(E876&amp;F876,IMPORTRANGE(""https://docs.google.com/spreadsheets/d/1Uw7-A9f9R21vMXxHZFNpYNeKFtG8_yji4HS352LGlSQ/edit?pli=1#gid=0"",""1_ACUM!A4:S""),16,FALSE))"),"")</f>
        <v/>
      </c>
      <c r="BD610" s="43" t="str">
        <f ca="1">IFERROR(__xludf.DUMMYFUNCTION("IFERROR(VLOOKUP(E876&amp;F876,IMPORTRANGE(""https://docs.google.com/spreadsheets/d/1Uw7-A9f9R21vMXxHZFNpYNeKFtG8_yji4HS352LGlSQ/edit?pli=1#gid=0"",""1_ACUM!A4:S""),17,FALSE))"),"")</f>
        <v/>
      </c>
      <c r="BE610" s="44" t="str">
        <f ca="1">IFERROR(__xludf.DUMMYFUNCTION("IFERROR(VLOOKUP(E876&amp;F876,IMPORTRANGE(""https://docs.google.com/spreadsheets/d/1Uw7-A9f9R21vMXxHZFNpYNeKFtG8_yji4HS352LGlSQ/edit?pli=1#gid=0"",""1_ACUM!A4:S""),18,FALSE))"),"")</f>
        <v/>
      </c>
      <c r="BF610" s="44" t="str">
        <f ca="1">IFERROR(__xludf.DUMMYFUNCTION("IFERROR(VLOOKUP(E876&amp;F876,IMPORTRANGE(""https://docs.google.com/spreadsheets/d/1Uw7-A9f9R21vMXxHZFNpYNeKFtG8_yji4HS352LGlSQ/edit?pli=1#gid=0"",""1_ACUM!A4:S""),19,FALSE))"),"")</f>
        <v/>
      </c>
      <c r="BG610" s="98" t="str">
        <f ca="1">IFERROR(__xludf.DUMMYFUNCTION("IFERROR(VLOOKUP(F876,IMPORTRANGE(""https://docs.google.com/spreadsheets/d/1Kvs4KS76FHFqLFIZfrDMff4kP08nblUkihrxltoGBjg/edit#gid=934712705"",""ESENCIAL!A6:BG""),5,FALSE))"),"")</f>
        <v/>
      </c>
      <c r="BH610" s="98" t="str">
        <f t="shared" si="25"/>
        <v/>
      </c>
      <c r="BI610" s="99" t="str">
        <f t="shared" si="26"/>
        <v/>
      </c>
      <c r="BJ610" s="100" t="str">
        <f ca="1">IFERROR(__xludf.DUMMYFUNCTION("IFERROR(VLOOKUP(F876,IMPORTRANGE(""https://docs.google.com/spreadsheets/d/1Kvs4KS76FHFqLFIZfrDMff4kP08nblUkihrxltoGBjg/edit#gid=934712705"",""ESENCIAL!A6:BG""),2,FALSE))"),"")</f>
        <v/>
      </c>
      <c r="BK610" s="19" t="str">
        <f t="shared" si="27"/>
        <v/>
      </c>
      <c r="BL610" s="100"/>
      <c r="BM610" s="100"/>
    </row>
    <row r="611" spans="2:65" ht="15">
      <c r="B611" s="39"/>
      <c r="C611" s="5"/>
      <c r="D611" s="123"/>
      <c r="E611" s="39"/>
      <c r="F611" s="39"/>
      <c r="G611" s="39"/>
      <c r="H611" s="5" t="str">
        <f ca="1">IFERROR(__xludf.DUMMYFUNCTION("IFERROR(VLOOKUP(F877,IMPORTRANGE(""https://docs.google.com/spreadsheets/d/1Kvs4KS76FHFqLFIZfrDMff4kP08nblUkihrxltoGBjg/edit#gid=934712705"",""ESENCIAL!A6:BG""),3,FALSE))"),"")</f>
        <v/>
      </c>
      <c r="I611" s="5" t="str">
        <f ca="1">IFERROR(__xludf.DUMMYFUNCTION("IFERROR(VLOOKUP(F877,IMPORTRANGE(""https://docs.google.com/spreadsheets/d/1Kvs4KS76FHFqLFIZfrDMff4kP08nblUkihrxltoGBjg/edit#gid=934712705"",""ESENCIAL!A6:BG""),8,FALSE))"),"")</f>
        <v/>
      </c>
      <c r="J611" s="39"/>
      <c r="M611" s="40"/>
      <c r="AV611" s="41" t="str">
        <f t="shared" si="24"/>
        <v/>
      </c>
      <c r="AW611" s="5" t="str">
        <f ca="1">IFERROR(__xludf.DUMMYFUNCTION("IFERROR(VLOOKUP(E877&amp;F877,IMPORTRANGE(""https://docs.google.com/spreadsheets/d/1Uw7-A9f9R21vMXxHZFNpYNeKFtG8_yji4HS352LGlSQ/edit?pli=1#gid=0"",""1_ACUM!A4:S""),11,FALSE))"),"")</f>
        <v/>
      </c>
      <c r="AX611" s="42" t="str">
        <f ca="1">IFERROR(__xludf.DUMMYFUNCTION("IFERROR(VLOOKUP(F877,IMPORTRANGE(""https://docs.google.com/spreadsheets/d/1Kvs4KS76FHFqLFIZfrDMff4kP08nblUkihrxltoGBjg/edit#gid=934712705"",""ESENCIAL!A6:BG""),15,FALSE))"),"")</f>
        <v/>
      </c>
      <c r="AY611" s="110" t="str">
        <f ca="1">IFERROR(__xludf.DUMMYFUNCTION("IFERROR(VLOOKUP(E877&amp;F877,IMPORTRANGE(""https://docs.google.com/spreadsheets/d/1Uw7-A9f9R21vMXxHZFNpYNeKFtG8_yji4HS352LGlSQ/edit?pli=1#gid=0"",""1_ACUM!A4:S""),13,FALSE))"),"")</f>
        <v/>
      </c>
      <c r="AZ611" s="43" t="str">
        <f ca="1">IFERROR(__xludf.DUMMYFUNCTION("IFERROR(VLOOKUP(E877&amp;F877,IMPORTRANGE(""https://docs.google.com/spreadsheets/d/1Uw7-A9f9R21vMXxHZFNpYNeKFtG8_yji4HS352LGlSQ/edit?pli=1#gid=0"",""1_ACUM!A4:S""),13,FALSE))"),"")</f>
        <v/>
      </c>
      <c r="BA611" s="43" t="str">
        <f ca="1">IFERROR(__xludf.DUMMYFUNCTION("IFERROR(VLOOKUP(E877&amp;F877,IMPORTRANGE(""https://docs.google.com/spreadsheets/d/1Uw7-A9f9R21vMXxHZFNpYNeKFtG8_yji4HS352LGlSQ/edit?pli=1#gid=0"",""1_ACUM!A4:S""),14,FALSE))"),"")</f>
        <v/>
      </c>
      <c r="BB611" s="43" t="str">
        <f ca="1">IFERROR(__xludf.DUMMYFUNCTION("IFERROR(VLOOKUP(E877&amp;F877,IMPORTRANGE(""https://docs.google.com/spreadsheets/d/1Uw7-A9f9R21vMXxHZFNpYNeKFtG8_yji4HS352LGlSQ/edit?pli=1#gid=0"",""1_ACUM!A4:S""),15,FALSE))"),"")</f>
        <v/>
      </c>
      <c r="BC611" s="43" t="str">
        <f ca="1">IFERROR(__xludf.DUMMYFUNCTION("IFERROR(VLOOKUP(E877&amp;F877,IMPORTRANGE(""https://docs.google.com/spreadsheets/d/1Uw7-A9f9R21vMXxHZFNpYNeKFtG8_yji4HS352LGlSQ/edit?pli=1#gid=0"",""1_ACUM!A4:S""),16,FALSE))"),"")</f>
        <v/>
      </c>
      <c r="BD611" s="43" t="str">
        <f ca="1">IFERROR(__xludf.DUMMYFUNCTION("IFERROR(VLOOKUP(E877&amp;F877,IMPORTRANGE(""https://docs.google.com/spreadsheets/d/1Uw7-A9f9R21vMXxHZFNpYNeKFtG8_yji4HS352LGlSQ/edit?pli=1#gid=0"",""1_ACUM!A4:S""),17,FALSE))"),"")</f>
        <v/>
      </c>
      <c r="BE611" s="44" t="str">
        <f ca="1">IFERROR(__xludf.DUMMYFUNCTION("IFERROR(VLOOKUP(E877&amp;F877,IMPORTRANGE(""https://docs.google.com/spreadsheets/d/1Uw7-A9f9R21vMXxHZFNpYNeKFtG8_yji4HS352LGlSQ/edit?pli=1#gid=0"",""1_ACUM!A4:S""),18,FALSE))"),"")</f>
        <v/>
      </c>
      <c r="BF611" s="44" t="str">
        <f ca="1">IFERROR(__xludf.DUMMYFUNCTION("IFERROR(VLOOKUP(E877&amp;F877,IMPORTRANGE(""https://docs.google.com/spreadsheets/d/1Uw7-A9f9R21vMXxHZFNpYNeKFtG8_yji4HS352LGlSQ/edit?pli=1#gid=0"",""1_ACUM!A4:S""),19,FALSE))"),"")</f>
        <v/>
      </c>
      <c r="BG611" s="98" t="str">
        <f ca="1">IFERROR(__xludf.DUMMYFUNCTION("IFERROR(VLOOKUP(F877,IMPORTRANGE(""https://docs.google.com/spreadsheets/d/1Kvs4KS76FHFqLFIZfrDMff4kP08nblUkihrxltoGBjg/edit#gid=934712705"",""ESENCIAL!A6:BG""),5,FALSE))"),"")</f>
        <v/>
      </c>
      <c r="BH611" s="98" t="str">
        <f t="shared" si="25"/>
        <v/>
      </c>
      <c r="BI611" s="99" t="str">
        <f t="shared" si="26"/>
        <v/>
      </c>
      <c r="BJ611" s="100" t="str">
        <f ca="1">IFERROR(__xludf.DUMMYFUNCTION("IFERROR(VLOOKUP(F877,IMPORTRANGE(""https://docs.google.com/spreadsheets/d/1Kvs4KS76FHFqLFIZfrDMff4kP08nblUkihrxltoGBjg/edit#gid=934712705"",""ESENCIAL!A6:BG""),2,FALSE))"),"")</f>
        <v/>
      </c>
      <c r="BK611" s="19" t="str">
        <f t="shared" si="27"/>
        <v/>
      </c>
      <c r="BL611" s="100"/>
      <c r="BM611" s="100"/>
    </row>
    <row r="612" spans="2:65" ht="15">
      <c r="B612" s="39"/>
      <c r="C612" s="5"/>
      <c r="D612" s="123"/>
      <c r="E612" s="39"/>
      <c r="F612" s="39"/>
      <c r="G612" s="39"/>
      <c r="H612" s="5" t="str">
        <f ca="1">IFERROR(__xludf.DUMMYFUNCTION("IFERROR(VLOOKUP(F878,IMPORTRANGE(""https://docs.google.com/spreadsheets/d/1Kvs4KS76FHFqLFIZfrDMff4kP08nblUkihrxltoGBjg/edit#gid=934712705"",""ESENCIAL!A6:BG""),3,FALSE))"),"")</f>
        <v/>
      </c>
      <c r="I612" s="5" t="str">
        <f ca="1">IFERROR(__xludf.DUMMYFUNCTION("IFERROR(VLOOKUP(F878,IMPORTRANGE(""https://docs.google.com/spreadsheets/d/1Kvs4KS76FHFqLFIZfrDMff4kP08nblUkihrxltoGBjg/edit#gid=934712705"",""ESENCIAL!A6:BG""),8,FALSE))"),"")</f>
        <v/>
      </c>
      <c r="J612" s="39"/>
      <c r="M612" s="40"/>
      <c r="AV612" s="41" t="str">
        <f t="shared" si="24"/>
        <v/>
      </c>
      <c r="AW612" s="5" t="str">
        <f ca="1">IFERROR(__xludf.DUMMYFUNCTION("IFERROR(VLOOKUP(E878&amp;F878,IMPORTRANGE(""https://docs.google.com/spreadsheets/d/1Uw7-A9f9R21vMXxHZFNpYNeKFtG8_yji4HS352LGlSQ/edit?pli=1#gid=0"",""1_ACUM!A4:S""),11,FALSE))"),"")</f>
        <v/>
      </c>
      <c r="AX612" s="42" t="str">
        <f ca="1">IFERROR(__xludf.DUMMYFUNCTION("IFERROR(VLOOKUP(F878,IMPORTRANGE(""https://docs.google.com/spreadsheets/d/1Kvs4KS76FHFqLFIZfrDMff4kP08nblUkihrxltoGBjg/edit#gid=934712705"",""ESENCIAL!A6:BG""),15,FALSE))"),"")</f>
        <v/>
      </c>
      <c r="AY612" s="110" t="str">
        <f ca="1">IFERROR(__xludf.DUMMYFUNCTION("IFERROR(VLOOKUP(E878&amp;F878,IMPORTRANGE(""https://docs.google.com/spreadsheets/d/1Uw7-A9f9R21vMXxHZFNpYNeKFtG8_yji4HS352LGlSQ/edit?pli=1#gid=0"",""1_ACUM!A4:S""),13,FALSE))"),"")</f>
        <v/>
      </c>
      <c r="AZ612" s="43" t="str">
        <f ca="1">IFERROR(__xludf.DUMMYFUNCTION("IFERROR(VLOOKUP(E878&amp;F878,IMPORTRANGE(""https://docs.google.com/spreadsheets/d/1Uw7-A9f9R21vMXxHZFNpYNeKFtG8_yji4HS352LGlSQ/edit?pli=1#gid=0"",""1_ACUM!A4:S""),13,FALSE))"),"")</f>
        <v/>
      </c>
      <c r="BA612" s="43" t="str">
        <f ca="1">IFERROR(__xludf.DUMMYFUNCTION("IFERROR(VLOOKUP(E878&amp;F878,IMPORTRANGE(""https://docs.google.com/spreadsheets/d/1Uw7-A9f9R21vMXxHZFNpYNeKFtG8_yji4HS352LGlSQ/edit?pli=1#gid=0"",""1_ACUM!A4:S""),14,FALSE))"),"")</f>
        <v/>
      </c>
      <c r="BB612" s="43" t="str">
        <f ca="1">IFERROR(__xludf.DUMMYFUNCTION("IFERROR(VLOOKUP(E878&amp;F878,IMPORTRANGE(""https://docs.google.com/spreadsheets/d/1Uw7-A9f9R21vMXxHZFNpYNeKFtG8_yji4HS352LGlSQ/edit?pli=1#gid=0"",""1_ACUM!A4:S""),15,FALSE))"),"")</f>
        <v/>
      </c>
      <c r="BC612" s="43" t="str">
        <f ca="1">IFERROR(__xludf.DUMMYFUNCTION("IFERROR(VLOOKUP(E878&amp;F878,IMPORTRANGE(""https://docs.google.com/spreadsheets/d/1Uw7-A9f9R21vMXxHZFNpYNeKFtG8_yji4HS352LGlSQ/edit?pli=1#gid=0"",""1_ACUM!A4:S""),16,FALSE))"),"")</f>
        <v/>
      </c>
      <c r="BD612" s="43" t="str">
        <f ca="1">IFERROR(__xludf.DUMMYFUNCTION("IFERROR(VLOOKUP(E878&amp;F878,IMPORTRANGE(""https://docs.google.com/spreadsheets/d/1Uw7-A9f9R21vMXxHZFNpYNeKFtG8_yji4HS352LGlSQ/edit?pli=1#gid=0"",""1_ACUM!A4:S""),17,FALSE))"),"")</f>
        <v/>
      </c>
      <c r="BE612" s="44" t="str">
        <f ca="1">IFERROR(__xludf.DUMMYFUNCTION("IFERROR(VLOOKUP(E878&amp;F878,IMPORTRANGE(""https://docs.google.com/spreadsheets/d/1Uw7-A9f9R21vMXxHZFNpYNeKFtG8_yji4HS352LGlSQ/edit?pli=1#gid=0"",""1_ACUM!A4:S""),18,FALSE))"),"")</f>
        <v/>
      </c>
      <c r="BF612" s="44" t="str">
        <f ca="1">IFERROR(__xludf.DUMMYFUNCTION("IFERROR(VLOOKUP(E878&amp;F878,IMPORTRANGE(""https://docs.google.com/spreadsheets/d/1Uw7-A9f9R21vMXxHZFNpYNeKFtG8_yji4HS352LGlSQ/edit?pli=1#gid=0"",""1_ACUM!A4:S""),19,FALSE))"),"")</f>
        <v/>
      </c>
      <c r="BG612" s="98" t="str">
        <f ca="1">IFERROR(__xludf.DUMMYFUNCTION("IFERROR(VLOOKUP(F878,IMPORTRANGE(""https://docs.google.com/spreadsheets/d/1Kvs4KS76FHFqLFIZfrDMff4kP08nblUkihrxltoGBjg/edit#gid=934712705"",""ESENCIAL!A6:BG""),5,FALSE))"),"")</f>
        <v/>
      </c>
      <c r="BH612" s="98" t="str">
        <f t="shared" si="25"/>
        <v/>
      </c>
      <c r="BI612" s="99" t="str">
        <f t="shared" si="26"/>
        <v/>
      </c>
      <c r="BJ612" s="100" t="str">
        <f ca="1">IFERROR(__xludf.DUMMYFUNCTION("IFERROR(VLOOKUP(F878,IMPORTRANGE(""https://docs.google.com/spreadsheets/d/1Kvs4KS76FHFqLFIZfrDMff4kP08nblUkihrxltoGBjg/edit#gid=934712705"",""ESENCIAL!A6:BG""),2,FALSE))"),"")</f>
        <v/>
      </c>
      <c r="BK612" s="19" t="str">
        <f t="shared" si="27"/>
        <v/>
      </c>
      <c r="BL612" s="100"/>
      <c r="BM612" s="100"/>
    </row>
    <row r="613" spans="2:65" ht="15">
      <c r="B613" s="39"/>
      <c r="C613" s="5"/>
      <c r="D613" s="123"/>
      <c r="E613" s="39"/>
      <c r="F613" s="39"/>
      <c r="G613" s="39"/>
      <c r="H613" s="5" t="str">
        <f ca="1">IFERROR(__xludf.DUMMYFUNCTION("IFERROR(VLOOKUP(F879,IMPORTRANGE(""https://docs.google.com/spreadsheets/d/1Kvs4KS76FHFqLFIZfrDMff4kP08nblUkihrxltoGBjg/edit#gid=934712705"",""ESENCIAL!A6:BG""),3,FALSE))"),"")</f>
        <v/>
      </c>
      <c r="I613" s="5" t="str">
        <f ca="1">IFERROR(__xludf.DUMMYFUNCTION("IFERROR(VLOOKUP(F879,IMPORTRANGE(""https://docs.google.com/spreadsheets/d/1Kvs4KS76FHFqLFIZfrDMff4kP08nblUkihrxltoGBjg/edit#gid=934712705"",""ESENCIAL!A6:BG""),8,FALSE))"),"")</f>
        <v/>
      </c>
      <c r="J613" s="39"/>
      <c r="M613" s="40"/>
      <c r="AV613" s="41" t="str">
        <f t="shared" si="24"/>
        <v/>
      </c>
      <c r="AW613" s="5" t="str">
        <f ca="1">IFERROR(__xludf.DUMMYFUNCTION("IFERROR(VLOOKUP(E879&amp;F879,IMPORTRANGE(""https://docs.google.com/spreadsheets/d/1Uw7-A9f9R21vMXxHZFNpYNeKFtG8_yji4HS352LGlSQ/edit?pli=1#gid=0"",""1_ACUM!A4:S""),11,FALSE))"),"")</f>
        <v/>
      </c>
      <c r="AX613" s="42" t="str">
        <f ca="1">IFERROR(__xludf.DUMMYFUNCTION("IFERROR(VLOOKUP(F879,IMPORTRANGE(""https://docs.google.com/spreadsheets/d/1Kvs4KS76FHFqLFIZfrDMff4kP08nblUkihrxltoGBjg/edit#gid=934712705"",""ESENCIAL!A6:BG""),15,FALSE))"),"")</f>
        <v/>
      </c>
      <c r="AY613" s="110" t="str">
        <f ca="1">IFERROR(__xludf.DUMMYFUNCTION("IFERROR(VLOOKUP(E879&amp;F879,IMPORTRANGE(""https://docs.google.com/spreadsheets/d/1Uw7-A9f9R21vMXxHZFNpYNeKFtG8_yji4HS352LGlSQ/edit?pli=1#gid=0"",""1_ACUM!A4:S""),13,FALSE))"),"")</f>
        <v/>
      </c>
      <c r="AZ613" s="43" t="str">
        <f ca="1">IFERROR(__xludf.DUMMYFUNCTION("IFERROR(VLOOKUP(E879&amp;F879,IMPORTRANGE(""https://docs.google.com/spreadsheets/d/1Uw7-A9f9R21vMXxHZFNpYNeKFtG8_yji4HS352LGlSQ/edit?pli=1#gid=0"",""1_ACUM!A4:S""),13,FALSE))"),"")</f>
        <v/>
      </c>
      <c r="BA613" s="43" t="str">
        <f ca="1">IFERROR(__xludf.DUMMYFUNCTION("IFERROR(VLOOKUP(E879&amp;F879,IMPORTRANGE(""https://docs.google.com/spreadsheets/d/1Uw7-A9f9R21vMXxHZFNpYNeKFtG8_yji4HS352LGlSQ/edit?pli=1#gid=0"",""1_ACUM!A4:S""),14,FALSE))"),"")</f>
        <v/>
      </c>
      <c r="BB613" s="43" t="str">
        <f ca="1">IFERROR(__xludf.DUMMYFUNCTION("IFERROR(VLOOKUP(E879&amp;F879,IMPORTRANGE(""https://docs.google.com/spreadsheets/d/1Uw7-A9f9R21vMXxHZFNpYNeKFtG8_yji4HS352LGlSQ/edit?pli=1#gid=0"",""1_ACUM!A4:S""),15,FALSE))"),"")</f>
        <v/>
      </c>
      <c r="BC613" s="43" t="str">
        <f ca="1">IFERROR(__xludf.DUMMYFUNCTION("IFERROR(VLOOKUP(E879&amp;F879,IMPORTRANGE(""https://docs.google.com/spreadsheets/d/1Uw7-A9f9R21vMXxHZFNpYNeKFtG8_yji4HS352LGlSQ/edit?pli=1#gid=0"",""1_ACUM!A4:S""),16,FALSE))"),"")</f>
        <v/>
      </c>
      <c r="BD613" s="43" t="str">
        <f ca="1">IFERROR(__xludf.DUMMYFUNCTION("IFERROR(VLOOKUP(E879&amp;F879,IMPORTRANGE(""https://docs.google.com/spreadsheets/d/1Uw7-A9f9R21vMXxHZFNpYNeKFtG8_yji4HS352LGlSQ/edit?pli=1#gid=0"",""1_ACUM!A4:S""),17,FALSE))"),"")</f>
        <v/>
      </c>
      <c r="BE613" s="44" t="str">
        <f ca="1">IFERROR(__xludf.DUMMYFUNCTION("IFERROR(VLOOKUP(E879&amp;F879,IMPORTRANGE(""https://docs.google.com/spreadsheets/d/1Uw7-A9f9R21vMXxHZFNpYNeKFtG8_yji4HS352LGlSQ/edit?pli=1#gid=0"",""1_ACUM!A4:S""),18,FALSE))"),"")</f>
        <v/>
      </c>
      <c r="BF613" s="44" t="str">
        <f ca="1">IFERROR(__xludf.DUMMYFUNCTION("IFERROR(VLOOKUP(E879&amp;F879,IMPORTRANGE(""https://docs.google.com/spreadsheets/d/1Uw7-A9f9R21vMXxHZFNpYNeKFtG8_yji4HS352LGlSQ/edit?pli=1#gid=0"",""1_ACUM!A4:S""),19,FALSE))"),"")</f>
        <v/>
      </c>
      <c r="BG613" s="98" t="str">
        <f ca="1">IFERROR(__xludf.DUMMYFUNCTION("IFERROR(VLOOKUP(F879,IMPORTRANGE(""https://docs.google.com/spreadsheets/d/1Kvs4KS76FHFqLFIZfrDMff4kP08nblUkihrxltoGBjg/edit#gid=934712705"",""ESENCIAL!A6:BG""),5,FALSE))"),"")</f>
        <v/>
      </c>
      <c r="BH613" s="98" t="str">
        <f t="shared" si="25"/>
        <v/>
      </c>
      <c r="BI613" s="99" t="str">
        <f t="shared" si="26"/>
        <v/>
      </c>
      <c r="BJ613" s="100" t="str">
        <f ca="1">IFERROR(__xludf.DUMMYFUNCTION("IFERROR(VLOOKUP(F879,IMPORTRANGE(""https://docs.google.com/spreadsheets/d/1Kvs4KS76FHFqLFIZfrDMff4kP08nblUkihrxltoGBjg/edit#gid=934712705"",""ESENCIAL!A6:BG""),2,FALSE))"),"")</f>
        <v/>
      </c>
      <c r="BK613" s="19" t="str">
        <f t="shared" si="27"/>
        <v/>
      </c>
      <c r="BL613" s="100"/>
      <c r="BM613" s="100"/>
    </row>
    <row r="614" spans="2:65" ht="15">
      <c r="B614" s="39"/>
      <c r="C614" s="5"/>
      <c r="D614" s="123"/>
      <c r="E614" s="39"/>
      <c r="F614" s="39"/>
      <c r="G614" s="39"/>
      <c r="H614" s="5" t="str">
        <f ca="1">IFERROR(__xludf.DUMMYFUNCTION("IFERROR(VLOOKUP(F880,IMPORTRANGE(""https://docs.google.com/spreadsheets/d/1Kvs4KS76FHFqLFIZfrDMff4kP08nblUkihrxltoGBjg/edit#gid=934712705"",""ESENCIAL!A6:BG""),3,FALSE))"),"")</f>
        <v/>
      </c>
      <c r="I614" s="5" t="str">
        <f ca="1">IFERROR(__xludf.DUMMYFUNCTION("IFERROR(VLOOKUP(F880,IMPORTRANGE(""https://docs.google.com/spreadsheets/d/1Kvs4KS76FHFqLFIZfrDMff4kP08nblUkihrxltoGBjg/edit#gid=934712705"",""ESENCIAL!A6:BG""),8,FALSE))"),"")</f>
        <v/>
      </c>
      <c r="J614" s="39"/>
      <c r="M614" s="40"/>
      <c r="AV614" s="41" t="str">
        <f t="shared" si="24"/>
        <v/>
      </c>
      <c r="AW614" s="5" t="str">
        <f ca="1">IFERROR(__xludf.DUMMYFUNCTION("IFERROR(VLOOKUP(E880&amp;F880,IMPORTRANGE(""https://docs.google.com/spreadsheets/d/1Uw7-A9f9R21vMXxHZFNpYNeKFtG8_yji4HS352LGlSQ/edit?pli=1#gid=0"",""1_ACUM!A4:S""),11,FALSE))"),"")</f>
        <v/>
      </c>
      <c r="AX614" s="42" t="str">
        <f ca="1">IFERROR(__xludf.DUMMYFUNCTION("IFERROR(VLOOKUP(F880,IMPORTRANGE(""https://docs.google.com/spreadsheets/d/1Kvs4KS76FHFqLFIZfrDMff4kP08nblUkihrxltoGBjg/edit#gid=934712705"",""ESENCIAL!A6:BG""),15,FALSE))"),"")</f>
        <v/>
      </c>
      <c r="AY614" s="110" t="str">
        <f ca="1">IFERROR(__xludf.DUMMYFUNCTION("IFERROR(VLOOKUP(E880&amp;F880,IMPORTRANGE(""https://docs.google.com/spreadsheets/d/1Uw7-A9f9R21vMXxHZFNpYNeKFtG8_yji4HS352LGlSQ/edit?pli=1#gid=0"",""1_ACUM!A4:S""),13,FALSE))"),"")</f>
        <v/>
      </c>
      <c r="AZ614" s="43" t="str">
        <f ca="1">IFERROR(__xludf.DUMMYFUNCTION("IFERROR(VLOOKUP(E880&amp;F880,IMPORTRANGE(""https://docs.google.com/spreadsheets/d/1Uw7-A9f9R21vMXxHZFNpYNeKFtG8_yji4HS352LGlSQ/edit?pli=1#gid=0"",""1_ACUM!A4:S""),13,FALSE))"),"")</f>
        <v/>
      </c>
      <c r="BA614" s="43" t="str">
        <f ca="1">IFERROR(__xludf.DUMMYFUNCTION("IFERROR(VLOOKUP(E880&amp;F880,IMPORTRANGE(""https://docs.google.com/spreadsheets/d/1Uw7-A9f9R21vMXxHZFNpYNeKFtG8_yji4HS352LGlSQ/edit?pli=1#gid=0"",""1_ACUM!A4:S""),14,FALSE))"),"")</f>
        <v/>
      </c>
      <c r="BB614" s="43" t="str">
        <f ca="1">IFERROR(__xludf.DUMMYFUNCTION("IFERROR(VLOOKUP(E880&amp;F880,IMPORTRANGE(""https://docs.google.com/spreadsheets/d/1Uw7-A9f9R21vMXxHZFNpYNeKFtG8_yji4HS352LGlSQ/edit?pli=1#gid=0"",""1_ACUM!A4:S""),15,FALSE))"),"")</f>
        <v/>
      </c>
      <c r="BC614" s="43" t="str">
        <f ca="1">IFERROR(__xludf.DUMMYFUNCTION("IFERROR(VLOOKUP(E880&amp;F880,IMPORTRANGE(""https://docs.google.com/spreadsheets/d/1Uw7-A9f9R21vMXxHZFNpYNeKFtG8_yji4HS352LGlSQ/edit?pli=1#gid=0"",""1_ACUM!A4:S""),16,FALSE))"),"")</f>
        <v/>
      </c>
      <c r="BD614" s="43" t="str">
        <f ca="1">IFERROR(__xludf.DUMMYFUNCTION("IFERROR(VLOOKUP(E880&amp;F880,IMPORTRANGE(""https://docs.google.com/spreadsheets/d/1Uw7-A9f9R21vMXxHZFNpYNeKFtG8_yji4HS352LGlSQ/edit?pli=1#gid=0"",""1_ACUM!A4:S""),17,FALSE))"),"")</f>
        <v/>
      </c>
      <c r="BE614" s="44" t="str">
        <f ca="1">IFERROR(__xludf.DUMMYFUNCTION("IFERROR(VLOOKUP(E880&amp;F880,IMPORTRANGE(""https://docs.google.com/spreadsheets/d/1Uw7-A9f9R21vMXxHZFNpYNeKFtG8_yji4HS352LGlSQ/edit?pli=1#gid=0"",""1_ACUM!A4:S""),18,FALSE))"),"")</f>
        <v/>
      </c>
      <c r="BF614" s="44" t="str">
        <f ca="1">IFERROR(__xludf.DUMMYFUNCTION("IFERROR(VLOOKUP(E880&amp;F880,IMPORTRANGE(""https://docs.google.com/spreadsheets/d/1Uw7-A9f9R21vMXxHZFNpYNeKFtG8_yji4HS352LGlSQ/edit?pli=1#gid=0"",""1_ACUM!A4:S""),19,FALSE))"),"")</f>
        <v/>
      </c>
      <c r="BG614" s="98" t="str">
        <f ca="1">IFERROR(__xludf.DUMMYFUNCTION("IFERROR(VLOOKUP(F880,IMPORTRANGE(""https://docs.google.com/spreadsheets/d/1Kvs4KS76FHFqLFIZfrDMff4kP08nblUkihrxltoGBjg/edit#gid=934712705"",""ESENCIAL!A6:BG""),5,FALSE))"),"")</f>
        <v/>
      </c>
      <c r="BH614" s="98" t="str">
        <f t="shared" si="25"/>
        <v/>
      </c>
      <c r="BI614" s="99" t="str">
        <f t="shared" si="26"/>
        <v/>
      </c>
      <c r="BJ614" s="100" t="str">
        <f ca="1">IFERROR(__xludf.DUMMYFUNCTION("IFERROR(VLOOKUP(F880,IMPORTRANGE(""https://docs.google.com/spreadsheets/d/1Kvs4KS76FHFqLFIZfrDMff4kP08nblUkihrxltoGBjg/edit#gid=934712705"",""ESENCIAL!A6:BG""),2,FALSE))"),"")</f>
        <v/>
      </c>
      <c r="BK614" s="19" t="str">
        <f t="shared" si="27"/>
        <v/>
      </c>
      <c r="BL614" s="100"/>
      <c r="BM614" s="100"/>
    </row>
    <row r="615" spans="2:65" ht="15">
      <c r="B615" s="39"/>
      <c r="C615" s="5"/>
      <c r="D615" s="123"/>
      <c r="E615" s="39"/>
      <c r="F615" s="39"/>
      <c r="G615" s="39"/>
      <c r="H615" s="5" t="str">
        <f ca="1">IFERROR(__xludf.DUMMYFUNCTION("IFERROR(VLOOKUP(F881,IMPORTRANGE(""https://docs.google.com/spreadsheets/d/1Kvs4KS76FHFqLFIZfrDMff4kP08nblUkihrxltoGBjg/edit#gid=934712705"",""ESENCIAL!A6:BG""),3,FALSE))"),"")</f>
        <v/>
      </c>
      <c r="I615" s="5" t="str">
        <f ca="1">IFERROR(__xludf.DUMMYFUNCTION("IFERROR(VLOOKUP(F881,IMPORTRANGE(""https://docs.google.com/spreadsheets/d/1Kvs4KS76FHFqLFIZfrDMff4kP08nblUkihrxltoGBjg/edit#gid=934712705"",""ESENCIAL!A6:BG""),8,FALSE))"),"")</f>
        <v/>
      </c>
      <c r="J615" s="39"/>
      <c r="M615" s="40"/>
      <c r="AV615" s="41" t="str">
        <f t="shared" si="24"/>
        <v/>
      </c>
      <c r="AW615" s="5" t="str">
        <f ca="1">IFERROR(__xludf.DUMMYFUNCTION("IFERROR(VLOOKUP(E881&amp;F881,IMPORTRANGE(""https://docs.google.com/spreadsheets/d/1Uw7-A9f9R21vMXxHZFNpYNeKFtG8_yji4HS352LGlSQ/edit?pli=1#gid=0"",""1_ACUM!A4:S""),11,FALSE))"),"")</f>
        <v/>
      </c>
      <c r="AX615" s="42" t="str">
        <f ca="1">IFERROR(__xludf.DUMMYFUNCTION("IFERROR(VLOOKUP(F881,IMPORTRANGE(""https://docs.google.com/spreadsheets/d/1Kvs4KS76FHFqLFIZfrDMff4kP08nblUkihrxltoGBjg/edit#gid=934712705"",""ESENCIAL!A6:BG""),15,FALSE))"),"")</f>
        <v/>
      </c>
      <c r="AY615" s="110" t="str">
        <f ca="1">IFERROR(__xludf.DUMMYFUNCTION("IFERROR(VLOOKUP(E881&amp;F881,IMPORTRANGE(""https://docs.google.com/spreadsheets/d/1Uw7-A9f9R21vMXxHZFNpYNeKFtG8_yji4HS352LGlSQ/edit?pli=1#gid=0"",""1_ACUM!A4:S""),13,FALSE))"),"")</f>
        <v/>
      </c>
      <c r="AZ615" s="43" t="str">
        <f ca="1">IFERROR(__xludf.DUMMYFUNCTION("IFERROR(VLOOKUP(E881&amp;F881,IMPORTRANGE(""https://docs.google.com/spreadsheets/d/1Uw7-A9f9R21vMXxHZFNpYNeKFtG8_yji4HS352LGlSQ/edit?pli=1#gid=0"",""1_ACUM!A4:S""),13,FALSE))"),"")</f>
        <v/>
      </c>
      <c r="BA615" s="43" t="str">
        <f ca="1">IFERROR(__xludf.DUMMYFUNCTION("IFERROR(VLOOKUP(E881&amp;F881,IMPORTRANGE(""https://docs.google.com/spreadsheets/d/1Uw7-A9f9R21vMXxHZFNpYNeKFtG8_yji4HS352LGlSQ/edit?pli=1#gid=0"",""1_ACUM!A4:S""),14,FALSE))"),"")</f>
        <v/>
      </c>
      <c r="BB615" s="43" t="str">
        <f ca="1">IFERROR(__xludf.DUMMYFUNCTION("IFERROR(VLOOKUP(E881&amp;F881,IMPORTRANGE(""https://docs.google.com/spreadsheets/d/1Uw7-A9f9R21vMXxHZFNpYNeKFtG8_yji4HS352LGlSQ/edit?pli=1#gid=0"",""1_ACUM!A4:S""),15,FALSE))"),"")</f>
        <v/>
      </c>
      <c r="BC615" s="43" t="str">
        <f ca="1">IFERROR(__xludf.DUMMYFUNCTION("IFERROR(VLOOKUP(E881&amp;F881,IMPORTRANGE(""https://docs.google.com/spreadsheets/d/1Uw7-A9f9R21vMXxHZFNpYNeKFtG8_yji4HS352LGlSQ/edit?pli=1#gid=0"",""1_ACUM!A4:S""),16,FALSE))"),"")</f>
        <v/>
      </c>
      <c r="BD615" s="43" t="str">
        <f ca="1">IFERROR(__xludf.DUMMYFUNCTION("IFERROR(VLOOKUP(E881&amp;F881,IMPORTRANGE(""https://docs.google.com/spreadsheets/d/1Uw7-A9f9R21vMXxHZFNpYNeKFtG8_yji4HS352LGlSQ/edit?pli=1#gid=0"",""1_ACUM!A4:S""),17,FALSE))"),"")</f>
        <v/>
      </c>
      <c r="BE615" s="44" t="str">
        <f ca="1">IFERROR(__xludf.DUMMYFUNCTION("IFERROR(VLOOKUP(E881&amp;F881,IMPORTRANGE(""https://docs.google.com/spreadsheets/d/1Uw7-A9f9R21vMXxHZFNpYNeKFtG8_yji4HS352LGlSQ/edit?pli=1#gid=0"",""1_ACUM!A4:S""),18,FALSE))"),"")</f>
        <v/>
      </c>
      <c r="BF615" s="44" t="str">
        <f ca="1">IFERROR(__xludf.DUMMYFUNCTION("IFERROR(VLOOKUP(E881&amp;F881,IMPORTRANGE(""https://docs.google.com/spreadsheets/d/1Uw7-A9f9R21vMXxHZFNpYNeKFtG8_yji4HS352LGlSQ/edit?pli=1#gid=0"",""1_ACUM!A4:S""),19,FALSE))"),"")</f>
        <v/>
      </c>
      <c r="BG615" s="98" t="str">
        <f ca="1">IFERROR(__xludf.DUMMYFUNCTION("IFERROR(VLOOKUP(F881,IMPORTRANGE(""https://docs.google.com/spreadsheets/d/1Kvs4KS76FHFqLFIZfrDMff4kP08nblUkihrxltoGBjg/edit#gid=934712705"",""ESENCIAL!A6:BG""),5,FALSE))"),"")</f>
        <v/>
      </c>
      <c r="BH615" s="98" t="str">
        <f t="shared" si="25"/>
        <v/>
      </c>
      <c r="BI615" s="99" t="str">
        <f t="shared" si="26"/>
        <v/>
      </c>
      <c r="BJ615" s="100" t="str">
        <f ca="1">IFERROR(__xludf.DUMMYFUNCTION("IFERROR(VLOOKUP(F881,IMPORTRANGE(""https://docs.google.com/spreadsheets/d/1Kvs4KS76FHFqLFIZfrDMff4kP08nblUkihrxltoGBjg/edit#gid=934712705"",""ESENCIAL!A6:BG""),2,FALSE))"),"")</f>
        <v/>
      </c>
      <c r="BK615" s="19" t="str">
        <f t="shared" si="27"/>
        <v/>
      </c>
      <c r="BL615" s="100"/>
      <c r="BM615" s="100"/>
    </row>
    <row r="616" spans="2:65" ht="15">
      <c r="B616" s="39"/>
      <c r="C616" s="5"/>
      <c r="D616" s="123"/>
      <c r="E616" s="39"/>
      <c r="F616" s="39"/>
      <c r="G616" s="39"/>
      <c r="H616" s="5" t="str">
        <f ca="1">IFERROR(__xludf.DUMMYFUNCTION("IFERROR(VLOOKUP(F882,IMPORTRANGE(""https://docs.google.com/spreadsheets/d/1Kvs4KS76FHFqLFIZfrDMff4kP08nblUkihrxltoGBjg/edit#gid=934712705"",""ESENCIAL!A6:BG""),3,FALSE))"),"")</f>
        <v/>
      </c>
      <c r="I616" s="5" t="str">
        <f ca="1">IFERROR(__xludf.DUMMYFUNCTION("IFERROR(VLOOKUP(F882,IMPORTRANGE(""https://docs.google.com/spreadsheets/d/1Kvs4KS76FHFqLFIZfrDMff4kP08nblUkihrxltoGBjg/edit#gid=934712705"",""ESENCIAL!A6:BG""),8,FALSE))"),"")</f>
        <v/>
      </c>
      <c r="J616" s="39"/>
      <c r="M616" s="40"/>
      <c r="AV616" s="41" t="str">
        <f t="shared" si="24"/>
        <v/>
      </c>
      <c r="AW616" s="5" t="str">
        <f ca="1">IFERROR(__xludf.DUMMYFUNCTION("IFERROR(VLOOKUP(E882&amp;F882,IMPORTRANGE(""https://docs.google.com/spreadsheets/d/1Uw7-A9f9R21vMXxHZFNpYNeKFtG8_yji4HS352LGlSQ/edit?pli=1#gid=0"",""1_ACUM!A4:S""),11,FALSE))"),"")</f>
        <v/>
      </c>
      <c r="AX616" s="42" t="str">
        <f ca="1">IFERROR(__xludf.DUMMYFUNCTION("IFERROR(VLOOKUP(F882,IMPORTRANGE(""https://docs.google.com/spreadsheets/d/1Kvs4KS76FHFqLFIZfrDMff4kP08nblUkihrxltoGBjg/edit#gid=934712705"",""ESENCIAL!A6:BG""),15,FALSE))"),"")</f>
        <v/>
      </c>
      <c r="AY616" s="110" t="str">
        <f ca="1">IFERROR(__xludf.DUMMYFUNCTION("IFERROR(VLOOKUP(E882&amp;F882,IMPORTRANGE(""https://docs.google.com/spreadsheets/d/1Uw7-A9f9R21vMXxHZFNpYNeKFtG8_yji4HS352LGlSQ/edit?pli=1#gid=0"",""1_ACUM!A4:S""),13,FALSE))"),"")</f>
        <v/>
      </c>
      <c r="AZ616" s="43" t="str">
        <f ca="1">IFERROR(__xludf.DUMMYFUNCTION("IFERROR(VLOOKUP(E882&amp;F882,IMPORTRANGE(""https://docs.google.com/spreadsheets/d/1Uw7-A9f9R21vMXxHZFNpYNeKFtG8_yji4HS352LGlSQ/edit?pli=1#gid=0"",""1_ACUM!A4:S""),13,FALSE))"),"")</f>
        <v/>
      </c>
      <c r="BA616" s="43" t="str">
        <f ca="1">IFERROR(__xludf.DUMMYFUNCTION("IFERROR(VLOOKUP(E882&amp;F882,IMPORTRANGE(""https://docs.google.com/spreadsheets/d/1Uw7-A9f9R21vMXxHZFNpYNeKFtG8_yji4HS352LGlSQ/edit?pli=1#gid=0"",""1_ACUM!A4:S""),14,FALSE))"),"")</f>
        <v/>
      </c>
      <c r="BB616" s="43" t="str">
        <f ca="1">IFERROR(__xludf.DUMMYFUNCTION("IFERROR(VLOOKUP(E882&amp;F882,IMPORTRANGE(""https://docs.google.com/spreadsheets/d/1Uw7-A9f9R21vMXxHZFNpYNeKFtG8_yji4HS352LGlSQ/edit?pli=1#gid=0"",""1_ACUM!A4:S""),15,FALSE))"),"")</f>
        <v/>
      </c>
      <c r="BC616" s="43" t="str">
        <f ca="1">IFERROR(__xludf.DUMMYFUNCTION("IFERROR(VLOOKUP(E882&amp;F882,IMPORTRANGE(""https://docs.google.com/spreadsheets/d/1Uw7-A9f9R21vMXxHZFNpYNeKFtG8_yji4HS352LGlSQ/edit?pli=1#gid=0"",""1_ACUM!A4:S""),16,FALSE))"),"")</f>
        <v/>
      </c>
      <c r="BD616" s="43" t="str">
        <f ca="1">IFERROR(__xludf.DUMMYFUNCTION("IFERROR(VLOOKUP(E882&amp;F882,IMPORTRANGE(""https://docs.google.com/spreadsheets/d/1Uw7-A9f9R21vMXxHZFNpYNeKFtG8_yji4HS352LGlSQ/edit?pli=1#gid=0"",""1_ACUM!A4:S""),17,FALSE))"),"")</f>
        <v/>
      </c>
      <c r="BE616" s="44" t="str">
        <f ca="1">IFERROR(__xludf.DUMMYFUNCTION("IFERROR(VLOOKUP(E882&amp;F882,IMPORTRANGE(""https://docs.google.com/spreadsheets/d/1Uw7-A9f9R21vMXxHZFNpYNeKFtG8_yji4HS352LGlSQ/edit?pli=1#gid=0"",""1_ACUM!A4:S""),18,FALSE))"),"")</f>
        <v/>
      </c>
      <c r="BF616" s="44" t="str">
        <f ca="1">IFERROR(__xludf.DUMMYFUNCTION("IFERROR(VLOOKUP(E882&amp;F882,IMPORTRANGE(""https://docs.google.com/spreadsheets/d/1Uw7-A9f9R21vMXxHZFNpYNeKFtG8_yji4HS352LGlSQ/edit?pli=1#gid=0"",""1_ACUM!A4:S""),19,FALSE))"),"")</f>
        <v/>
      </c>
      <c r="BG616" s="98" t="str">
        <f ca="1">IFERROR(__xludf.DUMMYFUNCTION("IFERROR(VLOOKUP(F882,IMPORTRANGE(""https://docs.google.com/spreadsheets/d/1Kvs4KS76FHFqLFIZfrDMff4kP08nblUkihrxltoGBjg/edit#gid=934712705"",""ESENCIAL!A6:BG""),5,FALSE))"),"")</f>
        <v/>
      </c>
      <c r="BH616" s="98" t="str">
        <f t="shared" si="25"/>
        <v/>
      </c>
      <c r="BI616" s="99" t="str">
        <f t="shared" si="26"/>
        <v/>
      </c>
      <c r="BJ616" s="100" t="str">
        <f ca="1">IFERROR(__xludf.DUMMYFUNCTION("IFERROR(VLOOKUP(F882,IMPORTRANGE(""https://docs.google.com/spreadsheets/d/1Kvs4KS76FHFqLFIZfrDMff4kP08nblUkihrxltoGBjg/edit#gid=934712705"",""ESENCIAL!A6:BG""),2,FALSE))"),"")</f>
        <v/>
      </c>
      <c r="BK616" s="19" t="str">
        <f t="shared" si="27"/>
        <v/>
      </c>
      <c r="BL616" s="100"/>
      <c r="BM616" s="100"/>
    </row>
    <row r="617" spans="2:65" ht="15">
      <c r="B617" s="39"/>
      <c r="C617" s="5"/>
      <c r="D617" s="123"/>
      <c r="E617" s="39"/>
      <c r="F617" s="39"/>
      <c r="G617" s="39"/>
      <c r="H617" s="5" t="str">
        <f ca="1">IFERROR(__xludf.DUMMYFUNCTION("IFERROR(VLOOKUP(F883,IMPORTRANGE(""https://docs.google.com/spreadsheets/d/1Kvs4KS76FHFqLFIZfrDMff4kP08nblUkihrxltoGBjg/edit#gid=934712705"",""ESENCIAL!A6:BG""),3,FALSE))"),"")</f>
        <v/>
      </c>
      <c r="I617" s="5" t="str">
        <f ca="1">IFERROR(__xludf.DUMMYFUNCTION("IFERROR(VLOOKUP(F883,IMPORTRANGE(""https://docs.google.com/spreadsheets/d/1Kvs4KS76FHFqLFIZfrDMff4kP08nblUkihrxltoGBjg/edit#gid=934712705"",""ESENCIAL!A6:BG""),8,FALSE))"),"")</f>
        <v/>
      </c>
      <c r="J617" s="39"/>
      <c r="M617" s="40"/>
      <c r="AV617" s="41" t="str">
        <f t="shared" si="24"/>
        <v/>
      </c>
      <c r="AW617" s="5" t="str">
        <f ca="1">IFERROR(__xludf.DUMMYFUNCTION("IFERROR(VLOOKUP(E883&amp;F883,IMPORTRANGE(""https://docs.google.com/spreadsheets/d/1Uw7-A9f9R21vMXxHZFNpYNeKFtG8_yji4HS352LGlSQ/edit?pli=1#gid=0"",""1_ACUM!A4:S""),11,FALSE))"),"")</f>
        <v/>
      </c>
      <c r="AX617" s="42" t="str">
        <f ca="1">IFERROR(__xludf.DUMMYFUNCTION("IFERROR(VLOOKUP(F883,IMPORTRANGE(""https://docs.google.com/spreadsheets/d/1Kvs4KS76FHFqLFIZfrDMff4kP08nblUkihrxltoGBjg/edit#gid=934712705"",""ESENCIAL!A6:BG""),15,FALSE))"),"")</f>
        <v/>
      </c>
      <c r="AY617" s="110" t="str">
        <f ca="1">IFERROR(__xludf.DUMMYFUNCTION("IFERROR(VLOOKUP(E883&amp;F883,IMPORTRANGE(""https://docs.google.com/spreadsheets/d/1Uw7-A9f9R21vMXxHZFNpYNeKFtG8_yji4HS352LGlSQ/edit?pli=1#gid=0"",""1_ACUM!A4:S""),13,FALSE))"),"")</f>
        <v/>
      </c>
      <c r="AZ617" s="43" t="str">
        <f ca="1">IFERROR(__xludf.DUMMYFUNCTION("IFERROR(VLOOKUP(E883&amp;F883,IMPORTRANGE(""https://docs.google.com/spreadsheets/d/1Uw7-A9f9R21vMXxHZFNpYNeKFtG8_yji4HS352LGlSQ/edit?pli=1#gid=0"",""1_ACUM!A4:S""),13,FALSE))"),"")</f>
        <v/>
      </c>
      <c r="BA617" s="43" t="str">
        <f ca="1">IFERROR(__xludf.DUMMYFUNCTION("IFERROR(VLOOKUP(E883&amp;F883,IMPORTRANGE(""https://docs.google.com/spreadsheets/d/1Uw7-A9f9R21vMXxHZFNpYNeKFtG8_yji4HS352LGlSQ/edit?pli=1#gid=0"",""1_ACUM!A4:S""),14,FALSE))"),"")</f>
        <v/>
      </c>
      <c r="BB617" s="43" t="str">
        <f ca="1">IFERROR(__xludf.DUMMYFUNCTION("IFERROR(VLOOKUP(E883&amp;F883,IMPORTRANGE(""https://docs.google.com/spreadsheets/d/1Uw7-A9f9R21vMXxHZFNpYNeKFtG8_yji4HS352LGlSQ/edit?pli=1#gid=0"",""1_ACUM!A4:S""),15,FALSE))"),"")</f>
        <v/>
      </c>
      <c r="BC617" s="43" t="str">
        <f ca="1">IFERROR(__xludf.DUMMYFUNCTION("IFERROR(VLOOKUP(E883&amp;F883,IMPORTRANGE(""https://docs.google.com/spreadsheets/d/1Uw7-A9f9R21vMXxHZFNpYNeKFtG8_yji4HS352LGlSQ/edit?pli=1#gid=0"",""1_ACUM!A4:S""),16,FALSE))"),"")</f>
        <v/>
      </c>
      <c r="BD617" s="43" t="str">
        <f ca="1">IFERROR(__xludf.DUMMYFUNCTION("IFERROR(VLOOKUP(E883&amp;F883,IMPORTRANGE(""https://docs.google.com/spreadsheets/d/1Uw7-A9f9R21vMXxHZFNpYNeKFtG8_yji4HS352LGlSQ/edit?pli=1#gid=0"",""1_ACUM!A4:S""),17,FALSE))"),"")</f>
        <v/>
      </c>
      <c r="BE617" s="44" t="str">
        <f ca="1">IFERROR(__xludf.DUMMYFUNCTION("IFERROR(VLOOKUP(E883&amp;F883,IMPORTRANGE(""https://docs.google.com/spreadsheets/d/1Uw7-A9f9R21vMXxHZFNpYNeKFtG8_yji4HS352LGlSQ/edit?pli=1#gid=0"",""1_ACUM!A4:S""),18,FALSE))"),"")</f>
        <v/>
      </c>
      <c r="BF617" s="44" t="str">
        <f ca="1">IFERROR(__xludf.DUMMYFUNCTION("IFERROR(VLOOKUP(E883&amp;F883,IMPORTRANGE(""https://docs.google.com/spreadsheets/d/1Uw7-A9f9R21vMXxHZFNpYNeKFtG8_yji4HS352LGlSQ/edit?pli=1#gid=0"",""1_ACUM!A4:S""),19,FALSE))"),"")</f>
        <v/>
      </c>
      <c r="BG617" s="98" t="str">
        <f ca="1">IFERROR(__xludf.DUMMYFUNCTION("IFERROR(VLOOKUP(F883,IMPORTRANGE(""https://docs.google.com/spreadsheets/d/1Kvs4KS76FHFqLFIZfrDMff4kP08nblUkihrxltoGBjg/edit#gid=934712705"",""ESENCIAL!A6:BG""),5,FALSE))"),"")</f>
        <v/>
      </c>
      <c r="BH617" s="98" t="str">
        <f t="shared" si="25"/>
        <v/>
      </c>
      <c r="BI617" s="99" t="str">
        <f t="shared" si="26"/>
        <v/>
      </c>
      <c r="BJ617" s="100" t="str">
        <f ca="1">IFERROR(__xludf.DUMMYFUNCTION("IFERROR(VLOOKUP(F883,IMPORTRANGE(""https://docs.google.com/spreadsheets/d/1Kvs4KS76FHFqLFIZfrDMff4kP08nblUkihrxltoGBjg/edit#gid=934712705"",""ESENCIAL!A6:BG""),2,FALSE))"),"")</f>
        <v/>
      </c>
      <c r="BK617" s="19" t="str">
        <f t="shared" si="27"/>
        <v/>
      </c>
      <c r="BL617" s="100"/>
      <c r="BM617" s="100"/>
    </row>
    <row r="618" spans="2:65" ht="15">
      <c r="B618" s="39"/>
      <c r="C618" s="5"/>
      <c r="D618" s="123"/>
      <c r="E618" s="39"/>
      <c r="F618" s="39"/>
      <c r="G618" s="39"/>
      <c r="H618" s="5" t="str">
        <f ca="1">IFERROR(__xludf.DUMMYFUNCTION("IFERROR(VLOOKUP(F884,IMPORTRANGE(""https://docs.google.com/spreadsheets/d/1Kvs4KS76FHFqLFIZfrDMff4kP08nblUkihrxltoGBjg/edit#gid=934712705"",""ESENCIAL!A6:BG""),3,FALSE))"),"")</f>
        <v/>
      </c>
      <c r="I618" s="5" t="str">
        <f ca="1">IFERROR(__xludf.DUMMYFUNCTION("IFERROR(VLOOKUP(F884,IMPORTRANGE(""https://docs.google.com/spreadsheets/d/1Kvs4KS76FHFqLFIZfrDMff4kP08nblUkihrxltoGBjg/edit#gid=934712705"",""ESENCIAL!A6:BG""),8,FALSE))"),"")</f>
        <v/>
      </c>
      <c r="J618" s="39"/>
      <c r="M618" s="40"/>
      <c r="AV618" s="41" t="str">
        <f t="shared" si="24"/>
        <v/>
      </c>
      <c r="AW618" s="5" t="str">
        <f ca="1">IFERROR(__xludf.DUMMYFUNCTION("IFERROR(VLOOKUP(E884&amp;F884,IMPORTRANGE(""https://docs.google.com/spreadsheets/d/1Uw7-A9f9R21vMXxHZFNpYNeKFtG8_yji4HS352LGlSQ/edit?pli=1#gid=0"",""1_ACUM!A4:S""),11,FALSE))"),"")</f>
        <v/>
      </c>
      <c r="AX618" s="42" t="str">
        <f ca="1">IFERROR(__xludf.DUMMYFUNCTION("IFERROR(VLOOKUP(F884,IMPORTRANGE(""https://docs.google.com/spreadsheets/d/1Kvs4KS76FHFqLFIZfrDMff4kP08nblUkihrxltoGBjg/edit#gid=934712705"",""ESENCIAL!A6:BG""),15,FALSE))"),"")</f>
        <v/>
      </c>
      <c r="AY618" s="110" t="str">
        <f ca="1">IFERROR(__xludf.DUMMYFUNCTION("IFERROR(VLOOKUP(E884&amp;F884,IMPORTRANGE(""https://docs.google.com/spreadsheets/d/1Uw7-A9f9R21vMXxHZFNpYNeKFtG8_yji4HS352LGlSQ/edit?pli=1#gid=0"",""1_ACUM!A4:S""),13,FALSE))"),"")</f>
        <v/>
      </c>
      <c r="AZ618" s="43" t="str">
        <f ca="1">IFERROR(__xludf.DUMMYFUNCTION("IFERROR(VLOOKUP(E884&amp;F884,IMPORTRANGE(""https://docs.google.com/spreadsheets/d/1Uw7-A9f9R21vMXxHZFNpYNeKFtG8_yji4HS352LGlSQ/edit?pli=1#gid=0"",""1_ACUM!A4:S""),13,FALSE))"),"")</f>
        <v/>
      </c>
      <c r="BA618" s="43" t="str">
        <f ca="1">IFERROR(__xludf.DUMMYFUNCTION("IFERROR(VLOOKUP(E884&amp;F884,IMPORTRANGE(""https://docs.google.com/spreadsheets/d/1Uw7-A9f9R21vMXxHZFNpYNeKFtG8_yji4HS352LGlSQ/edit?pli=1#gid=0"",""1_ACUM!A4:S""),14,FALSE))"),"")</f>
        <v/>
      </c>
      <c r="BB618" s="43" t="str">
        <f ca="1">IFERROR(__xludf.DUMMYFUNCTION("IFERROR(VLOOKUP(E884&amp;F884,IMPORTRANGE(""https://docs.google.com/spreadsheets/d/1Uw7-A9f9R21vMXxHZFNpYNeKFtG8_yji4HS352LGlSQ/edit?pli=1#gid=0"",""1_ACUM!A4:S""),15,FALSE))"),"")</f>
        <v/>
      </c>
      <c r="BC618" s="43" t="str">
        <f ca="1">IFERROR(__xludf.DUMMYFUNCTION("IFERROR(VLOOKUP(E884&amp;F884,IMPORTRANGE(""https://docs.google.com/spreadsheets/d/1Uw7-A9f9R21vMXxHZFNpYNeKFtG8_yji4HS352LGlSQ/edit?pli=1#gid=0"",""1_ACUM!A4:S""),16,FALSE))"),"")</f>
        <v/>
      </c>
      <c r="BD618" s="43" t="str">
        <f ca="1">IFERROR(__xludf.DUMMYFUNCTION("IFERROR(VLOOKUP(E884&amp;F884,IMPORTRANGE(""https://docs.google.com/spreadsheets/d/1Uw7-A9f9R21vMXxHZFNpYNeKFtG8_yji4HS352LGlSQ/edit?pli=1#gid=0"",""1_ACUM!A4:S""),17,FALSE))"),"")</f>
        <v/>
      </c>
      <c r="BE618" s="44" t="str">
        <f ca="1">IFERROR(__xludf.DUMMYFUNCTION("IFERROR(VLOOKUP(E884&amp;F884,IMPORTRANGE(""https://docs.google.com/spreadsheets/d/1Uw7-A9f9R21vMXxHZFNpYNeKFtG8_yji4HS352LGlSQ/edit?pli=1#gid=0"",""1_ACUM!A4:S""),18,FALSE))"),"")</f>
        <v/>
      </c>
      <c r="BF618" s="44" t="str">
        <f ca="1">IFERROR(__xludf.DUMMYFUNCTION("IFERROR(VLOOKUP(E884&amp;F884,IMPORTRANGE(""https://docs.google.com/spreadsheets/d/1Uw7-A9f9R21vMXxHZFNpYNeKFtG8_yji4HS352LGlSQ/edit?pli=1#gid=0"",""1_ACUM!A4:S""),19,FALSE))"),"")</f>
        <v/>
      </c>
      <c r="BG618" s="98" t="str">
        <f ca="1">IFERROR(__xludf.DUMMYFUNCTION("IFERROR(VLOOKUP(F884,IMPORTRANGE(""https://docs.google.com/spreadsheets/d/1Kvs4KS76FHFqLFIZfrDMff4kP08nblUkihrxltoGBjg/edit#gid=934712705"",""ESENCIAL!A6:BG""),5,FALSE))"),"")</f>
        <v/>
      </c>
      <c r="BH618" s="98" t="str">
        <f t="shared" si="25"/>
        <v/>
      </c>
      <c r="BI618" s="99" t="str">
        <f t="shared" si="26"/>
        <v/>
      </c>
      <c r="BJ618" s="100" t="str">
        <f ca="1">IFERROR(__xludf.DUMMYFUNCTION("IFERROR(VLOOKUP(F884,IMPORTRANGE(""https://docs.google.com/spreadsheets/d/1Kvs4KS76FHFqLFIZfrDMff4kP08nblUkihrxltoGBjg/edit#gid=934712705"",""ESENCIAL!A6:BG""),2,FALSE))"),"")</f>
        <v/>
      </c>
      <c r="BK618" s="19" t="str">
        <f t="shared" si="27"/>
        <v/>
      </c>
      <c r="BL618" s="100"/>
      <c r="BM618" s="100"/>
    </row>
    <row r="619" spans="2:65" ht="15">
      <c r="B619" s="39"/>
      <c r="C619" s="5"/>
      <c r="D619" s="123"/>
      <c r="E619" s="39"/>
      <c r="F619" s="39"/>
      <c r="G619" s="39"/>
      <c r="H619" s="5" t="str">
        <f ca="1">IFERROR(__xludf.DUMMYFUNCTION("IFERROR(VLOOKUP(F885,IMPORTRANGE(""https://docs.google.com/spreadsheets/d/1Kvs4KS76FHFqLFIZfrDMff4kP08nblUkihrxltoGBjg/edit#gid=934712705"",""ESENCIAL!A6:BG""),3,FALSE))"),"")</f>
        <v/>
      </c>
      <c r="I619" s="5" t="str">
        <f ca="1">IFERROR(__xludf.DUMMYFUNCTION("IFERROR(VLOOKUP(F885,IMPORTRANGE(""https://docs.google.com/spreadsheets/d/1Kvs4KS76FHFqLFIZfrDMff4kP08nblUkihrxltoGBjg/edit#gid=934712705"",""ESENCIAL!A6:BG""),8,FALSE))"),"")</f>
        <v/>
      </c>
      <c r="J619" s="39"/>
      <c r="M619" s="40"/>
      <c r="AV619" s="41" t="str">
        <f t="shared" si="24"/>
        <v/>
      </c>
      <c r="AW619" s="5" t="str">
        <f ca="1">IFERROR(__xludf.DUMMYFUNCTION("IFERROR(VLOOKUP(E885&amp;F885,IMPORTRANGE(""https://docs.google.com/spreadsheets/d/1Uw7-A9f9R21vMXxHZFNpYNeKFtG8_yji4HS352LGlSQ/edit?pli=1#gid=0"",""1_ACUM!A4:S""),11,FALSE))"),"")</f>
        <v/>
      </c>
      <c r="AX619" s="42" t="str">
        <f ca="1">IFERROR(__xludf.DUMMYFUNCTION("IFERROR(VLOOKUP(F885,IMPORTRANGE(""https://docs.google.com/spreadsheets/d/1Kvs4KS76FHFqLFIZfrDMff4kP08nblUkihrxltoGBjg/edit#gid=934712705"",""ESENCIAL!A6:BG""),15,FALSE))"),"")</f>
        <v/>
      </c>
      <c r="AY619" s="110" t="str">
        <f ca="1">IFERROR(__xludf.DUMMYFUNCTION("IFERROR(VLOOKUP(E885&amp;F885,IMPORTRANGE(""https://docs.google.com/spreadsheets/d/1Uw7-A9f9R21vMXxHZFNpYNeKFtG8_yji4HS352LGlSQ/edit?pli=1#gid=0"",""1_ACUM!A4:S""),13,FALSE))"),"")</f>
        <v/>
      </c>
      <c r="AZ619" s="43" t="str">
        <f ca="1">IFERROR(__xludf.DUMMYFUNCTION("IFERROR(VLOOKUP(E885&amp;F885,IMPORTRANGE(""https://docs.google.com/spreadsheets/d/1Uw7-A9f9R21vMXxHZFNpYNeKFtG8_yji4HS352LGlSQ/edit?pli=1#gid=0"",""1_ACUM!A4:S""),13,FALSE))"),"")</f>
        <v/>
      </c>
      <c r="BA619" s="43" t="str">
        <f ca="1">IFERROR(__xludf.DUMMYFUNCTION("IFERROR(VLOOKUP(E885&amp;F885,IMPORTRANGE(""https://docs.google.com/spreadsheets/d/1Uw7-A9f9R21vMXxHZFNpYNeKFtG8_yji4HS352LGlSQ/edit?pli=1#gid=0"",""1_ACUM!A4:S""),14,FALSE))"),"")</f>
        <v/>
      </c>
      <c r="BB619" s="43" t="str">
        <f ca="1">IFERROR(__xludf.DUMMYFUNCTION("IFERROR(VLOOKUP(E885&amp;F885,IMPORTRANGE(""https://docs.google.com/spreadsheets/d/1Uw7-A9f9R21vMXxHZFNpYNeKFtG8_yji4HS352LGlSQ/edit?pli=1#gid=0"",""1_ACUM!A4:S""),15,FALSE))"),"")</f>
        <v/>
      </c>
      <c r="BC619" s="43" t="str">
        <f ca="1">IFERROR(__xludf.DUMMYFUNCTION("IFERROR(VLOOKUP(E885&amp;F885,IMPORTRANGE(""https://docs.google.com/spreadsheets/d/1Uw7-A9f9R21vMXxHZFNpYNeKFtG8_yji4HS352LGlSQ/edit?pli=1#gid=0"",""1_ACUM!A4:S""),16,FALSE))"),"")</f>
        <v/>
      </c>
      <c r="BD619" s="43" t="str">
        <f ca="1">IFERROR(__xludf.DUMMYFUNCTION("IFERROR(VLOOKUP(E885&amp;F885,IMPORTRANGE(""https://docs.google.com/spreadsheets/d/1Uw7-A9f9R21vMXxHZFNpYNeKFtG8_yji4HS352LGlSQ/edit?pli=1#gid=0"",""1_ACUM!A4:S""),17,FALSE))"),"")</f>
        <v/>
      </c>
      <c r="BE619" s="44" t="str">
        <f ca="1">IFERROR(__xludf.DUMMYFUNCTION("IFERROR(VLOOKUP(E885&amp;F885,IMPORTRANGE(""https://docs.google.com/spreadsheets/d/1Uw7-A9f9R21vMXxHZFNpYNeKFtG8_yji4HS352LGlSQ/edit?pli=1#gid=0"",""1_ACUM!A4:S""),18,FALSE))"),"")</f>
        <v/>
      </c>
      <c r="BF619" s="44" t="str">
        <f ca="1">IFERROR(__xludf.DUMMYFUNCTION("IFERROR(VLOOKUP(E885&amp;F885,IMPORTRANGE(""https://docs.google.com/spreadsheets/d/1Uw7-A9f9R21vMXxHZFNpYNeKFtG8_yji4HS352LGlSQ/edit?pli=1#gid=0"",""1_ACUM!A4:S""),19,FALSE))"),"")</f>
        <v/>
      </c>
      <c r="BG619" s="98" t="str">
        <f ca="1">IFERROR(__xludf.DUMMYFUNCTION("IFERROR(VLOOKUP(F885,IMPORTRANGE(""https://docs.google.com/spreadsheets/d/1Kvs4KS76FHFqLFIZfrDMff4kP08nblUkihrxltoGBjg/edit#gid=934712705"",""ESENCIAL!A6:BG""),5,FALSE))"),"")</f>
        <v/>
      </c>
      <c r="BH619" s="98" t="str">
        <f t="shared" si="25"/>
        <v/>
      </c>
      <c r="BI619" s="99" t="str">
        <f t="shared" si="26"/>
        <v/>
      </c>
      <c r="BJ619" s="100" t="str">
        <f ca="1">IFERROR(__xludf.DUMMYFUNCTION("IFERROR(VLOOKUP(F885,IMPORTRANGE(""https://docs.google.com/spreadsheets/d/1Kvs4KS76FHFqLFIZfrDMff4kP08nblUkihrxltoGBjg/edit#gid=934712705"",""ESENCIAL!A6:BG""),2,FALSE))"),"")</f>
        <v/>
      </c>
      <c r="BK619" s="19" t="str">
        <f t="shared" si="27"/>
        <v/>
      </c>
      <c r="BL619" s="100"/>
      <c r="BM619" s="100"/>
    </row>
    <row r="620" spans="2:65" ht="15">
      <c r="B620" s="39"/>
      <c r="C620" s="5"/>
      <c r="D620" s="123"/>
      <c r="E620" s="39"/>
      <c r="F620" s="39"/>
      <c r="G620" s="39"/>
      <c r="H620" s="5" t="str">
        <f ca="1">IFERROR(__xludf.DUMMYFUNCTION("IFERROR(VLOOKUP(F886,IMPORTRANGE(""https://docs.google.com/spreadsheets/d/1Kvs4KS76FHFqLFIZfrDMff4kP08nblUkihrxltoGBjg/edit#gid=934712705"",""ESENCIAL!A6:BG""),3,FALSE))"),"")</f>
        <v/>
      </c>
      <c r="I620" s="5" t="str">
        <f ca="1">IFERROR(__xludf.DUMMYFUNCTION("IFERROR(VLOOKUP(F886,IMPORTRANGE(""https://docs.google.com/spreadsheets/d/1Kvs4KS76FHFqLFIZfrDMff4kP08nblUkihrxltoGBjg/edit#gid=934712705"",""ESENCIAL!A6:BG""),8,FALSE))"),"")</f>
        <v/>
      </c>
      <c r="J620" s="39"/>
      <c r="M620" s="40"/>
      <c r="AV620" s="41" t="str">
        <f t="shared" si="24"/>
        <v/>
      </c>
      <c r="AW620" s="5" t="str">
        <f ca="1">IFERROR(__xludf.DUMMYFUNCTION("IFERROR(VLOOKUP(E886&amp;F886,IMPORTRANGE(""https://docs.google.com/spreadsheets/d/1Uw7-A9f9R21vMXxHZFNpYNeKFtG8_yji4HS352LGlSQ/edit?pli=1#gid=0"",""1_ACUM!A4:S""),11,FALSE))"),"")</f>
        <v/>
      </c>
      <c r="AX620" s="42" t="str">
        <f ca="1">IFERROR(__xludf.DUMMYFUNCTION("IFERROR(VLOOKUP(F886,IMPORTRANGE(""https://docs.google.com/spreadsheets/d/1Kvs4KS76FHFqLFIZfrDMff4kP08nblUkihrxltoGBjg/edit#gid=934712705"",""ESENCIAL!A6:BG""),15,FALSE))"),"")</f>
        <v/>
      </c>
      <c r="AY620" s="110" t="str">
        <f ca="1">IFERROR(__xludf.DUMMYFUNCTION("IFERROR(VLOOKUP(E886&amp;F886,IMPORTRANGE(""https://docs.google.com/spreadsheets/d/1Uw7-A9f9R21vMXxHZFNpYNeKFtG8_yji4HS352LGlSQ/edit?pli=1#gid=0"",""1_ACUM!A4:S""),13,FALSE))"),"")</f>
        <v/>
      </c>
      <c r="AZ620" s="43" t="str">
        <f ca="1">IFERROR(__xludf.DUMMYFUNCTION("IFERROR(VLOOKUP(E886&amp;F886,IMPORTRANGE(""https://docs.google.com/spreadsheets/d/1Uw7-A9f9R21vMXxHZFNpYNeKFtG8_yji4HS352LGlSQ/edit?pli=1#gid=0"",""1_ACUM!A4:S""),13,FALSE))"),"")</f>
        <v/>
      </c>
      <c r="BA620" s="43" t="str">
        <f ca="1">IFERROR(__xludf.DUMMYFUNCTION("IFERROR(VLOOKUP(E886&amp;F886,IMPORTRANGE(""https://docs.google.com/spreadsheets/d/1Uw7-A9f9R21vMXxHZFNpYNeKFtG8_yji4HS352LGlSQ/edit?pli=1#gid=0"",""1_ACUM!A4:S""),14,FALSE))"),"")</f>
        <v/>
      </c>
      <c r="BB620" s="43" t="str">
        <f ca="1">IFERROR(__xludf.DUMMYFUNCTION("IFERROR(VLOOKUP(E886&amp;F886,IMPORTRANGE(""https://docs.google.com/spreadsheets/d/1Uw7-A9f9R21vMXxHZFNpYNeKFtG8_yji4HS352LGlSQ/edit?pli=1#gid=0"",""1_ACUM!A4:S""),15,FALSE))"),"")</f>
        <v/>
      </c>
      <c r="BC620" s="43" t="str">
        <f ca="1">IFERROR(__xludf.DUMMYFUNCTION("IFERROR(VLOOKUP(E886&amp;F886,IMPORTRANGE(""https://docs.google.com/spreadsheets/d/1Uw7-A9f9R21vMXxHZFNpYNeKFtG8_yji4HS352LGlSQ/edit?pli=1#gid=0"",""1_ACUM!A4:S""),16,FALSE))"),"")</f>
        <v/>
      </c>
      <c r="BD620" s="43" t="str">
        <f ca="1">IFERROR(__xludf.DUMMYFUNCTION("IFERROR(VLOOKUP(E886&amp;F886,IMPORTRANGE(""https://docs.google.com/spreadsheets/d/1Uw7-A9f9R21vMXxHZFNpYNeKFtG8_yji4HS352LGlSQ/edit?pli=1#gid=0"",""1_ACUM!A4:S""),17,FALSE))"),"")</f>
        <v/>
      </c>
      <c r="BE620" s="44" t="str">
        <f ca="1">IFERROR(__xludf.DUMMYFUNCTION("IFERROR(VLOOKUP(E886&amp;F886,IMPORTRANGE(""https://docs.google.com/spreadsheets/d/1Uw7-A9f9R21vMXxHZFNpYNeKFtG8_yji4HS352LGlSQ/edit?pli=1#gid=0"",""1_ACUM!A4:S""),18,FALSE))"),"")</f>
        <v/>
      </c>
      <c r="BF620" s="44" t="str">
        <f ca="1">IFERROR(__xludf.DUMMYFUNCTION("IFERROR(VLOOKUP(E886&amp;F886,IMPORTRANGE(""https://docs.google.com/spreadsheets/d/1Uw7-A9f9R21vMXxHZFNpYNeKFtG8_yji4HS352LGlSQ/edit?pli=1#gid=0"",""1_ACUM!A4:S""),19,FALSE))"),"")</f>
        <v/>
      </c>
      <c r="BG620" s="98" t="str">
        <f ca="1">IFERROR(__xludf.DUMMYFUNCTION("IFERROR(VLOOKUP(F886,IMPORTRANGE(""https://docs.google.com/spreadsheets/d/1Kvs4KS76FHFqLFIZfrDMff4kP08nblUkihrxltoGBjg/edit#gid=934712705"",""ESENCIAL!A6:BG""),5,FALSE))"),"")</f>
        <v/>
      </c>
      <c r="BH620" s="98" t="str">
        <f t="shared" si="25"/>
        <v/>
      </c>
      <c r="BI620" s="99" t="str">
        <f t="shared" si="26"/>
        <v/>
      </c>
      <c r="BJ620" s="100" t="str">
        <f ca="1">IFERROR(__xludf.DUMMYFUNCTION("IFERROR(VLOOKUP(F886,IMPORTRANGE(""https://docs.google.com/spreadsheets/d/1Kvs4KS76FHFqLFIZfrDMff4kP08nblUkihrxltoGBjg/edit#gid=934712705"",""ESENCIAL!A6:BG""),2,FALSE))"),"")</f>
        <v/>
      </c>
      <c r="BK620" s="19" t="str">
        <f t="shared" si="27"/>
        <v/>
      </c>
      <c r="BL620" s="100"/>
      <c r="BM620" s="100"/>
    </row>
    <row r="621" spans="2:65" ht="15">
      <c r="B621" s="39"/>
      <c r="C621" s="5"/>
      <c r="D621" s="123"/>
      <c r="E621" s="39"/>
      <c r="F621" s="39"/>
      <c r="G621" s="39"/>
      <c r="H621" s="5" t="str">
        <f ca="1">IFERROR(__xludf.DUMMYFUNCTION("IFERROR(VLOOKUP(F887,IMPORTRANGE(""https://docs.google.com/spreadsheets/d/1Kvs4KS76FHFqLFIZfrDMff4kP08nblUkihrxltoGBjg/edit#gid=934712705"",""ESENCIAL!A6:BG""),3,FALSE))"),"")</f>
        <v/>
      </c>
      <c r="I621" s="5" t="str">
        <f ca="1">IFERROR(__xludf.DUMMYFUNCTION("IFERROR(VLOOKUP(F887,IMPORTRANGE(""https://docs.google.com/spreadsheets/d/1Kvs4KS76FHFqLFIZfrDMff4kP08nblUkihrxltoGBjg/edit#gid=934712705"",""ESENCIAL!A6:BG""),8,FALSE))"),"")</f>
        <v/>
      </c>
      <c r="J621" s="39"/>
      <c r="M621" s="40"/>
      <c r="AV621" s="41" t="str">
        <f t="shared" si="24"/>
        <v/>
      </c>
      <c r="AW621" s="5" t="str">
        <f ca="1">IFERROR(__xludf.DUMMYFUNCTION("IFERROR(VLOOKUP(E887&amp;F887,IMPORTRANGE(""https://docs.google.com/spreadsheets/d/1Uw7-A9f9R21vMXxHZFNpYNeKFtG8_yji4HS352LGlSQ/edit?pli=1#gid=0"",""1_ACUM!A4:S""),11,FALSE))"),"")</f>
        <v/>
      </c>
      <c r="AX621" s="42" t="str">
        <f ca="1">IFERROR(__xludf.DUMMYFUNCTION("IFERROR(VLOOKUP(F887,IMPORTRANGE(""https://docs.google.com/spreadsheets/d/1Kvs4KS76FHFqLFIZfrDMff4kP08nblUkihrxltoGBjg/edit#gid=934712705"",""ESENCIAL!A6:BG""),15,FALSE))"),"")</f>
        <v/>
      </c>
      <c r="AY621" s="110" t="str">
        <f ca="1">IFERROR(__xludf.DUMMYFUNCTION("IFERROR(VLOOKUP(E887&amp;F887,IMPORTRANGE(""https://docs.google.com/spreadsheets/d/1Uw7-A9f9R21vMXxHZFNpYNeKFtG8_yji4HS352LGlSQ/edit?pli=1#gid=0"",""1_ACUM!A4:S""),13,FALSE))"),"")</f>
        <v/>
      </c>
      <c r="AZ621" s="43" t="str">
        <f ca="1">IFERROR(__xludf.DUMMYFUNCTION("IFERROR(VLOOKUP(E887&amp;F887,IMPORTRANGE(""https://docs.google.com/spreadsheets/d/1Uw7-A9f9R21vMXxHZFNpYNeKFtG8_yji4HS352LGlSQ/edit?pli=1#gid=0"",""1_ACUM!A4:S""),13,FALSE))"),"")</f>
        <v/>
      </c>
      <c r="BA621" s="43" t="str">
        <f ca="1">IFERROR(__xludf.DUMMYFUNCTION("IFERROR(VLOOKUP(E887&amp;F887,IMPORTRANGE(""https://docs.google.com/spreadsheets/d/1Uw7-A9f9R21vMXxHZFNpYNeKFtG8_yji4HS352LGlSQ/edit?pli=1#gid=0"",""1_ACUM!A4:S""),14,FALSE))"),"")</f>
        <v/>
      </c>
      <c r="BB621" s="43" t="str">
        <f ca="1">IFERROR(__xludf.DUMMYFUNCTION("IFERROR(VLOOKUP(E887&amp;F887,IMPORTRANGE(""https://docs.google.com/spreadsheets/d/1Uw7-A9f9R21vMXxHZFNpYNeKFtG8_yji4HS352LGlSQ/edit?pli=1#gid=0"",""1_ACUM!A4:S""),15,FALSE))"),"")</f>
        <v/>
      </c>
      <c r="BC621" s="43" t="str">
        <f ca="1">IFERROR(__xludf.DUMMYFUNCTION("IFERROR(VLOOKUP(E887&amp;F887,IMPORTRANGE(""https://docs.google.com/spreadsheets/d/1Uw7-A9f9R21vMXxHZFNpYNeKFtG8_yji4HS352LGlSQ/edit?pli=1#gid=0"",""1_ACUM!A4:S""),16,FALSE))"),"")</f>
        <v/>
      </c>
      <c r="BD621" s="43" t="str">
        <f ca="1">IFERROR(__xludf.DUMMYFUNCTION("IFERROR(VLOOKUP(E887&amp;F887,IMPORTRANGE(""https://docs.google.com/spreadsheets/d/1Uw7-A9f9R21vMXxHZFNpYNeKFtG8_yji4HS352LGlSQ/edit?pli=1#gid=0"",""1_ACUM!A4:S""),17,FALSE))"),"")</f>
        <v/>
      </c>
      <c r="BE621" s="44" t="str">
        <f ca="1">IFERROR(__xludf.DUMMYFUNCTION("IFERROR(VLOOKUP(E887&amp;F887,IMPORTRANGE(""https://docs.google.com/spreadsheets/d/1Uw7-A9f9R21vMXxHZFNpYNeKFtG8_yji4HS352LGlSQ/edit?pli=1#gid=0"",""1_ACUM!A4:S""),18,FALSE))"),"")</f>
        <v/>
      </c>
      <c r="BF621" s="44" t="str">
        <f ca="1">IFERROR(__xludf.DUMMYFUNCTION("IFERROR(VLOOKUP(E887&amp;F887,IMPORTRANGE(""https://docs.google.com/spreadsheets/d/1Uw7-A9f9R21vMXxHZFNpYNeKFtG8_yji4HS352LGlSQ/edit?pli=1#gid=0"",""1_ACUM!A4:S""),19,FALSE))"),"")</f>
        <v/>
      </c>
      <c r="BG621" s="98" t="str">
        <f ca="1">IFERROR(__xludf.DUMMYFUNCTION("IFERROR(VLOOKUP(F887,IMPORTRANGE(""https://docs.google.com/spreadsheets/d/1Kvs4KS76FHFqLFIZfrDMff4kP08nblUkihrxltoGBjg/edit#gid=934712705"",""ESENCIAL!A6:BG""),5,FALSE))"),"")</f>
        <v/>
      </c>
      <c r="BH621" s="98" t="str">
        <f t="shared" si="25"/>
        <v/>
      </c>
      <c r="BI621" s="99" t="str">
        <f t="shared" si="26"/>
        <v/>
      </c>
      <c r="BJ621" s="100" t="str">
        <f ca="1">IFERROR(__xludf.DUMMYFUNCTION("IFERROR(VLOOKUP(F887,IMPORTRANGE(""https://docs.google.com/spreadsheets/d/1Kvs4KS76FHFqLFIZfrDMff4kP08nblUkihrxltoGBjg/edit#gid=934712705"",""ESENCIAL!A6:BG""),2,FALSE))"),"")</f>
        <v/>
      </c>
      <c r="BK621" s="19" t="str">
        <f t="shared" si="27"/>
        <v/>
      </c>
      <c r="BL621" s="100"/>
      <c r="BM621" s="100"/>
    </row>
    <row r="622" spans="2:65" ht="15">
      <c r="B622" s="39"/>
      <c r="C622" s="5"/>
      <c r="D622" s="123"/>
      <c r="E622" s="39"/>
      <c r="F622" s="39"/>
      <c r="G622" s="39"/>
      <c r="H622" s="5" t="str">
        <f ca="1">IFERROR(__xludf.DUMMYFUNCTION("IFERROR(VLOOKUP(F888,IMPORTRANGE(""https://docs.google.com/spreadsheets/d/1Kvs4KS76FHFqLFIZfrDMff4kP08nblUkihrxltoGBjg/edit#gid=934712705"",""ESENCIAL!A6:BG""),3,FALSE))"),"")</f>
        <v/>
      </c>
      <c r="I622" s="5" t="str">
        <f ca="1">IFERROR(__xludf.DUMMYFUNCTION("IFERROR(VLOOKUP(F888,IMPORTRANGE(""https://docs.google.com/spreadsheets/d/1Kvs4KS76FHFqLFIZfrDMff4kP08nblUkihrxltoGBjg/edit#gid=934712705"",""ESENCIAL!A6:BG""),8,FALSE))"),"")</f>
        <v/>
      </c>
      <c r="J622" s="39"/>
      <c r="M622" s="40"/>
      <c r="AV622" s="41" t="str">
        <f t="shared" si="24"/>
        <v/>
      </c>
      <c r="AW622" s="5" t="str">
        <f ca="1">IFERROR(__xludf.DUMMYFUNCTION("IFERROR(VLOOKUP(E888&amp;F888,IMPORTRANGE(""https://docs.google.com/spreadsheets/d/1Uw7-A9f9R21vMXxHZFNpYNeKFtG8_yji4HS352LGlSQ/edit?pli=1#gid=0"",""1_ACUM!A4:S""),11,FALSE))"),"")</f>
        <v/>
      </c>
      <c r="AX622" s="42" t="str">
        <f ca="1">IFERROR(__xludf.DUMMYFUNCTION("IFERROR(VLOOKUP(F888,IMPORTRANGE(""https://docs.google.com/spreadsheets/d/1Kvs4KS76FHFqLFIZfrDMff4kP08nblUkihrxltoGBjg/edit#gid=934712705"",""ESENCIAL!A6:BG""),15,FALSE))"),"")</f>
        <v/>
      </c>
      <c r="AY622" s="110" t="str">
        <f ca="1">IFERROR(__xludf.DUMMYFUNCTION("IFERROR(VLOOKUP(E888&amp;F888,IMPORTRANGE(""https://docs.google.com/spreadsheets/d/1Uw7-A9f9R21vMXxHZFNpYNeKFtG8_yji4HS352LGlSQ/edit?pli=1#gid=0"",""1_ACUM!A4:S""),13,FALSE))"),"")</f>
        <v/>
      </c>
      <c r="AZ622" s="43" t="str">
        <f ca="1">IFERROR(__xludf.DUMMYFUNCTION("IFERROR(VLOOKUP(E888&amp;F888,IMPORTRANGE(""https://docs.google.com/spreadsheets/d/1Uw7-A9f9R21vMXxHZFNpYNeKFtG8_yji4HS352LGlSQ/edit?pli=1#gid=0"",""1_ACUM!A4:S""),13,FALSE))"),"")</f>
        <v/>
      </c>
      <c r="BA622" s="43" t="str">
        <f ca="1">IFERROR(__xludf.DUMMYFUNCTION("IFERROR(VLOOKUP(E888&amp;F888,IMPORTRANGE(""https://docs.google.com/spreadsheets/d/1Uw7-A9f9R21vMXxHZFNpYNeKFtG8_yji4HS352LGlSQ/edit?pli=1#gid=0"",""1_ACUM!A4:S""),14,FALSE))"),"")</f>
        <v/>
      </c>
      <c r="BB622" s="43" t="str">
        <f ca="1">IFERROR(__xludf.DUMMYFUNCTION("IFERROR(VLOOKUP(E888&amp;F888,IMPORTRANGE(""https://docs.google.com/spreadsheets/d/1Uw7-A9f9R21vMXxHZFNpYNeKFtG8_yji4HS352LGlSQ/edit?pli=1#gid=0"",""1_ACUM!A4:S""),15,FALSE))"),"")</f>
        <v/>
      </c>
      <c r="BC622" s="43" t="str">
        <f ca="1">IFERROR(__xludf.DUMMYFUNCTION("IFERROR(VLOOKUP(E888&amp;F888,IMPORTRANGE(""https://docs.google.com/spreadsheets/d/1Uw7-A9f9R21vMXxHZFNpYNeKFtG8_yji4HS352LGlSQ/edit?pli=1#gid=0"",""1_ACUM!A4:S""),16,FALSE))"),"")</f>
        <v/>
      </c>
      <c r="BD622" s="43" t="str">
        <f ca="1">IFERROR(__xludf.DUMMYFUNCTION("IFERROR(VLOOKUP(E888&amp;F888,IMPORTRANGE(""https://docs.google.com/spreadsheets/d/1Uw7-A9f9R21vMXxHZFNpYNeKFtG8_yji4HS352LGlSQ/edit?pli=1#gid=0"",""1_ACUM!A4:S""),17,FALSE))"),"")</f>
        <v/>
      </c>
      <c r="BE622" s="44" t="str">
        <f ca="1">IFERROR(__xludf.DUMMYFUNCTION("IFERROR(VLOOKUP(E888&amp;F888,IMPORTRANGE(""https://docs.google.com/spreadsheets/d/1Uw7-A9f9R21vMXxHZFNpYNeKFtG8_yji4HS352LGlSQ/edit?pli=1#gid=0"",""1_ACUM!A4:S""),18,FALSE))"),"")</f>
        <v/>
      </c>
      <c r="BF622" s="44" t="str">
        <f ca="1">IFERROR(__xludf.DUMMYFUNCTION("IFERROR(VLOOKUP(E888&amp;F888,IMPORTRANGE(""https://docs.google.com/spreadsheets/d/1Uw7-A9f9R21vMXxHZFNpYNeKFtG8_yji4HS352LGlSQ/edit?pli=1#gid=0"",""1_ACUM!A4:S""),19,FALSE))"),"")</f>
        <v/>
      </c>
      <c r="BG622" s="98" t="str">
        <f ca="1">IFERROR(__xludf.DUMMYFUNCTION("IFERROR(VLOOKUP(F888,IMPORTRANGE(""https://docs.google.com/spreadsheets/d/1Kvs4KS76FHFqLFIZfrDMff4kP08nblUkihrxltoGBjg/edit#gid=934712705"",""ESENCIAL!A6:BG""),5,FALSE))"),"")</f>
        <v/>
      </c>
      <c r="BH622" s="98" t="str">
        <f t="shared" si="25"/>
        <v/>
      </c>
      <c r="BI622" s="99" t="str">
        <f t="shared" si="26"/>
        <v/>
      </c>
      <c r="BJ622" s="100" t="str">
        <f ca="1">IFERROR(__xludf.DUMMYFUNCTION("IFERROR(VLOOKUP(F888,IMPORTRANGE(""https://docs.google.com/spreadsheets/d/1Kvs4KS76FHFqLFIZfrDMff4kP08nblUkihrxltoGBjg/edit#gid=934712705"",""ESENCIAL!A6:BG""),2,FALSE))"),"")</f>
        <v/>
      </c>
      <c r="BK622" s="19" t="str">
        <f t="shared" si="27"/>
        <v/>
      </c>
      <c r="BL622" s="100"/>
      <c r="BM622" s="100"/>
    </row>
    <row r="623" spans="2:65" ht="15">
      <c r="B623" s="39"/>
      <c r="C623" s="5"/>
      <c r="D623" s="123"/>
      <c r="E623" s="39"/>
      <c r="F623" s="39"/>
      <c r="G623" s="39"/>
      <c r="H623" s="5" t="str">
        <f ca="1">IFERROR(__xludf.DUMMYFUNCTION("IFERROR(VLOOKUP(F889,IMPORTRANGE(""https://docs.google.com/spreadsheets/d/1Kvs4KS76FHFqLFIZfrDMff4kP08nblUkihrxltoGBjg/edit#gid=934712705"",""ESENCIAL!A6:BG""),3,FALSE))"),"")</f>
        <v/>
      </c>
      <c r="I623" s="5" t="str">
        <f ca="1">IFERROR(__xludf.DUMMYFUNCTION("IFERROR(VLOOKUP(F889,IMPORTRANGE(""https://docs.google.com/spreadsheets/d/1Kvs4KS76FHFqLFIZfrDMff4kP08nblUkihrxltoGBjg/edit#gid=934712705"",""ESENCIAL!A6:BG""),8,FALSE))"),"")</f>
        <v/>
      </c>
      <c r="J623" s="39"/>
      <c r="M623" s="40"/>
      <c r="AV623" s="41" t="str">
        <f t="shared" si="24"/>
        <v/>
      </c>
      <c r="AW623" s="5" t="str">
        <f ca="1">IFERROR(__xludf.DUMMYFUNCTION("IFERROR(VLOOKUP(E889&amp;F889,IMPORTRANGE(""https://docs.google.com/spreadsheets/d/1Uw7-A9f9R21vMXxHZFNpYNeKFtG8_yji4HS352LGlSQ/edit?pli=1#gid=0"",""1_ACUM!A4:S""),11,FALSE))"),"")</f>
        <v/>
      </c>
      <c r="AX623" s="42" t="str">
        <f ca="1">IFERROR(__xludf.DUMMYFUNCTION("IFERROR(VLOOKUP(F889,IMPORTRANGE(""https://docs.google.com/spreadsheets/d/1Kvs4KS76FHFqLFIZfrDMff4kP08nblUkihrxltoGBjg/edit#gid=934712705"",""ESENCIAL!A6:BG""),15,FALSE))"),"")</f>
        <v/>
      </c>
      <c r="AY623" s="110" t="str">
        <f ca="1">IFERROR(__xludf.DUMMYFUNCTION("IFERROR(VLOOKUP(E889&amp;F889,IMPORTRANGE(""https://docs.google.com/spreadsheets/d/1Uw7-A9f9R21vMXxHZFNpYNeKFtG8_yji4HS352LGlSQ/edit?pli=1#gid=0"",""1_ACUM!A4:S""),13,FALSE))"),"")</f>
        <v/>
      </c>
      <c r="AZ623" s="43" t="str">
        <f ca="1">IFERROR(__xludf.DUMMYFUNCTION("IFERROR(VLOOKUP(E889&amp;F889,IMPORTRANGE(""https://docs.google.com/spreadsheets/d/1Uw7-A9f9R21vMXxHZFNpYNeKFtG8_yji4HS352LGlSQ/edit?pli=1#gid=0"",""1_ACUM!A4:S""),13,FALSE))"),"")</f>
        <v/>
      </c>
      <c r="BA623" s="43" t="str">
        <f ca="1">IFERROR(__xludf.DUMMYFUNCTION("IFERROR(VLOOKUP(E889&amp;F889,IMPORTRANGE(""https://docs.google.com/spreadsheets/d/1Uw7-A9f9R21vMXxHZFNpYNeKFtG8_yji4HS352LGlSQ/edit?pli=1#gid=0"",""1_ACUM!A4:S""),14,FALSE))"),"")</f>
        <v/>
      </c>
      <c r="BB623" s="43" t="str">
        <f ca="1">IFERROR(__xludf.DUMMYFUNCTION("IFERROR(VLOOKUP(E889&amp;F889,IMPORTRANGE(""https://docs.google.com/spreadsheets/d/1Uw7-A9f9R21vMXxHZFNpYNeKFtG8_yji4HS352LGlSQ/edit?pli=1#gid=0"",""1_ACUM!A4:S""),15,FALSE))"),"")</f>
        <v/>
      </c>
      <c r="BC623" s="43" t="str">
        <f ca="1">IFERROR(__xludf.DUMMYFUNCTION("IFERROR(VLOOKUP(E889&amp;F889,IMPORTRANGE(""https://docs.google.com/spreadsheets/d/1Uw7-A9f9R21vMXxHZFNpYNeKFtG8_yji4HS352LGlSQ/edit?pli=1#gid=0"",""1_ACUM!A4:S""),16,FALSE))"),"")</f>
        <v/>
      </c>
      <c r="BD623" s="43" t="str">
        <f ca="1">IFERROR(__xludf.DUMMYFUNCTION("IFERROR(VLOOKUP(E889&amp;F889,IMPORTRANGE(""https://docs.google.com/spreadsheets/d/1Uw7-A9f9R21vMXxHZFNpYNeKFtG8_yji4HS352LGlSQ/edit?pli=1#gid=0"",""1_ACUM!A4:S""),17,FALSE))"),"")</f>
        <v/>
      </c>
      <c r="BE623" s="44" t="str">
        <f ca="1">IFERROR(__xludf.DUMMYFUNCTION("IFERROR(VLOOKUP(E889&amp;F889,IMPORTRANGE(""https://docs.google.com/spreadsheets/d/1Uw7-A9f9R21vMXxHZFNpYNeKFtG8_yji4HS352LGlSQ/edit?pli=1#gid=0"",""1_ACUM!A4:S""),18,FALSE))"),"")</f>
        <v/>
      </c>
      <c r="BF623" s="44" t="str">
        <f ca="1">IFERROR(__xludf.DUMMYFUNCTION("IFERROR(VLOOKUP(E889&amp;F889,IMPORTRANGE(""https://docs.google.com/spreadsheets/d/1Uw7-A9f9R21vMXxHZFNpYNeKFtG8_yji4HS352LGlSQ/edit?pli=1#gid=0"",""1_ACUM!A4:S""),19,FALSE))"),"")</f>
        <v/>
      </c>
      <c r="BG623" s="98" t="str">
        <f ca="1">IFERROR(__xludf.DUMMYFUNCTION("IFERROR(VLOOKUP(F889,IMPORTRANGE(""https://docs.google.com/spreadsheets/d/1Kvs4KS76FHFqLFIZfrDMff4kP08nblUkihrxltoGBjg/edit#gid=934712705"",""ESENCIAL!A6:BG""),5,FALSE))"),"")</f>
        <v/>
      </c>
      <c r="BH623" s="98" t="str">
        <f t="shared" si="25"/>
        <v/>
      </c>
      <c r="BI623" s="99" t="str">
        <f t="shared" si="26"/>
        <v/>
      </c>
      <c r="BJ623" s="100" t="str">
        <f ca="1">IFERROR(__xludf.DUMMYFUNCTION("IFERROR(VLOOKUP(F889,IMPORTRANGE(""https://docs.google.com/spreadsheets/d/1Kvs4KS76FHFqLFIZfrDMff4kP08nblUkihrxltoGBjg/edit#gid=934712705"",""ESENCIAL!A6:BG""),2,FALSE))"),"")</f>
        <v/>
      </c>
      <c r="BK623" s="19" t="str">
        <f t="shared" si="27"/>
        <v/>
      </c>
      <c r="BL623" s="100"/>
      <c r="BM623" s="100"/>
    </row>
    <row r="624" spans="2:65" ht="15">
      <c r="B624" s="39"/>
      <c r="C624" s="5"/>
      <c r="D624" s="123"/>
      <c r="E624" s="39"/>
      <c r="F624" s="39"/>
      <c r="G624" s="39"/>
      <c r="H624" s="5" t="str">
        <f ca="1">IFERROR(__xludf.DUMMYFUNCTION("IFERROR(VLOOKUP(F890,IMPORTRANGE(""https://docs.google.com/spreadsheets/d/1Kvs4KS76FHFqLFIZfrDMff4kP08nblUkihrxltoGBjg/edit#gid=934712705"",""ESENCIAL!A6:BG""),3,FALSE))"),"")</f>
        <v/>
      </c>
      <c r="I624" s="5" t="str">
        <f ca="1">IFERROR(__xludf.DUMMYFUNCTION("IFERROR(VLOOKUP(F890,IMPORTRANGE(""https://docs.google.com/spreadsheets/d/1Kvs4KS76FHFqLFIZfrDMff4kP08nblUkihrxltoGBjg/edit#gid=934712705"",""ESENCIAL!A6:BG""),8,FALSE))"),"")</f>
        <v/>
      </c>
      <c r="J624" s="39"/>
      <c r="M624" s="40"/>
      <c r="AV624" s="41" t="str">
        <f t="shared" si="24"/>
        <v/>
      </c>
      <c r="AW624" s="5" t="str">
        <f ca="1">IFERROR(__xludf.DUMMYFUNCTION("IFERROR(VLOOKUP(E890&amp;F890,IMPORTRANGE(""https://docs.google.com/spreadsheets/d/1Uw7-A9f9R21vMXxHZFNpYNeKFtG8_yji4HS352LGlSQ/edit?pli=1#gid=0"",""1_ACUM!A4:S""),11,FALSE))"),"")</f>
        <v/>
      </c>
      <c r="AX624" s="42" t="str">
        <f ca="1">IFERROR(__xludf.DUMMYFUNCTION("IFERROR(VLOOKUP(F890,IMPORTRANGE(""https://docs.google.com/spreadsheets/d/1Kvs4KS76FHFqLFIZfrDMff4kP08nblUkihrxltoGBjg/edit#gid=934712705"",""ESENCIAL!A6:BG""),15,FALSE))"),"")</f>
        <v/>
      </c>
      <c r="AY624" s="110" t="str">
        <f ca="1">IFERROR(__xludf.DUMMYFUNCTION("IFERROR(VLOOKUP(E890&amp;F890,IMPORTRANGE(""https://docs.google.com/spreadsheets/d/1Uw7-A9f9R21vMXxHZFNpYNeKFtG8_yji4HS352LGlSQ/edit?pli=1#gid=0"",""1_ACUM!A4:S""),13,FALSE))"),"")</f>
        <v/>
      </c>
      <c r="AZ624" s="43" t="str">
        <f ca="1">IFERROR(__xludf.DUMMYFUNCTION("IFERROR(VLOOKUP(E890&amp;F890,IMPORTRANGE(""https://docs.google.com/spreadsheets/d/1Uw7-A9f9R21vMXxHZFNpYNeKFtG8_yji4HS352LGlSQ/edit?pli=1#gid=0"",""1_ACUM!A4:S""),13,FALSE))"),"")</f>
        <v/>
      </c>
      <c r="BA624" s="43" t="str">
        <f ca="1">IFERROR(__xludf.DUMMYFUNCTION("IFERROR(VLOOKUP(E890&amp;F890,IMPORTRANGE(""https://docs.google.com/spreadsheets/d/1Uw7-A9f9R21vMXxHZFNpYNeKFtG8_yji4HS352LGlSQ/edit?pli=1#gid=0"",""1_ACUM!A4:S""),14,FALSE))"),"")</f>
        <v/>
      </c>
      <c r="BB624" s="43" t="str">
        <f ca="1">IFERROR(__xludf.DUMMYFUNCTION("IFERROR(VLOOKUP(E890&amp;F890,IMPORTRANGE(""https://docs.google.com/spreadsheets/d/1Uw7-A9f9R21vMXxHZFNpYNeKFtG8_yji4HS352LGlSQ/edit?pli=1#gid=0"",""1_ACUM!A4:S""),15,FALSE))"),"")</f>
        <v/>
      </c>
      <c r="BC624" s="43" t="str">
        <f ca="1">IFERROR(__xludf.DUMMYFUNCTION("IFERROR(VLOOKUP(E890&amp;F890,IMPORTRANGE(""https://docs.google.com/spreadsheets/d/1Uw7-A9f9R21vMXxHZFNpYNeKFtG8_yji4HS352LGlSQ/edit?pli=1#gid=0"",""1_ACUM!A4:S""),16,FALSE))"),"")</f>
        <v/>
      </c>
      <c r="BD624" s="43" t="str">
        <f ca="1">IFERROR(__xludf.DUMMYFUNCTION("IFERROR(VLOOKUP(E890&amp;F890,IMPORTRANGE(""https://docs.google.com/spreadsheets/d/1Uw7-A9f9R21vMXxHZFNpYNeKFtG8_yji4HS352LGlSQ/edit?pli=1#gid=0"",""1_ACUM!A4:S""),17,FALSE))"),"")</f>
        <v/>
      </c>
      <c r="BE624" s="44" t="str">
        <f ca="1">IFERROR(__xludf.DUMMYFUNCTION("IFERROR(VLOOKUP(E890&amp;F890,IMPORTRANGE(""https://docs.google.com/spreadsheets/d/1Uw7-A9f9R21vMXxHZFNpYNeKFtG8_yji4HS352LGlSQ/edit?pli=1#gid=0"",""1_ACUM!A4:S""),18,FALSE))"),"")</f>
        <v/>
      </c>
      <c r="BF624" s="44" t="str">
        <f ca="1">IFERROR(__xludf.DUMMYFUNCTION("IFERROR(VLOOKUP(E890&amp;F890,IMPORTRANGE(""https://docs.google.com/spreadsheets/d/1Uw7-A9f9R21vMXxHZFNpYNeKFtG8_yji4HS352LGlSQ/edit?pli=1#gid=0"",""1_ACUM!A4:S""),19,FALSE))"),"")</f>
        <v/>
      </c>
      <c r="BG624" s="98" t="str">
        <f ca="1">IFERROR(__xludf.DUMMYFUNCTION("IFERROR(VLOOKUP(F890,IMPORTRANGE(""https://docs.google.com/spreadsheets/d/1Kvs4KS76FHFqLFIZfrDMff4kP08nblUkihrxltoGBjg/edit#gid=934712705"",""ESENCIAL!A6:BG""),5,FALSE))"),"")</f>
        <v/>
      </c>
      <c r="BH624" s="98" t="str">
        <f t="shared" si="25"/>
        <v/>
      </c>
      <c r="BI624" s="99" t="str">
        <f t="shared" si="26"/>
        <v/>
      </c>
      <c r="BJ624" s="100" t="str">
        <f ca="1">IFERROR(__xludf.DUMMYFUNCTION("IFERROR(VLOOKUP(F890,IMPORTRANGE(""https://docs.google.com/spreadsheets/d/1Kvs4KS76FHFqLFIZfrDMff4kP08nblUkihrxltoGBjg/edit#gid=934712705"",""ESENCIAL!A6:BG""),2,FALSE))"),"")</f>
        <v/>
      </c>
      <c r="BK624" s="19" t="str">
        <f t="shared" si="27"/>
        <v/>
      </c>
      <c r="BL624" s="100"/>
      <c r="BM624" s="100"/>
    </row>
    <row r="625" spans="2:65" ht="15">
      <c r="B625" s="39"/>
      <c r="C625" s="5"/>
      <c r="D625" s="123"/>
      <c r="E625" s="39"/>
      <c r="F625" s="39"/>
      <c r="G625" s="39"/>
      <c r="H625" s="5" t="str">
        <f ca="1">IFERROR(__xludf.DUMMYFUNCTION("IFERROR(VLOOKUP(F891,IMPORTRANGE(""https://docs.google.com/spreadsheets/d/1Kvs4KS76FHFqLFIZfrDMff4kP08nblUkihrxltoGBjg/edit#gid=934712705"",""ESENCIAL!A6:BG""),3,FALSE))"),"")</f>
        <v/>
      </c>
      <c r="I625" s="5" t="str">
        <f ca="1">IFERROR(__xludf.DUMMYFUNCTION("IFERROR(VLOOKUP(F891,IMPORTRANGE(""https://docs.google.com/spreadsheets/d/1Kvs4KS76FHFqLFIZfrDMff4kP08nblUkihrxltoGBjg/edit#gid=934712705"",""ESENCIAL!A6:BG""),8,FALSE))"),"")</f>
        <v/>
      </c>
      <c r="J625" s="39"/>
      <c r="M625" s="40"/>
      <c r="AV625" s="41" t="str">
        <f t="shared" si="24"/>
        <v/>
      </c>
      <c r="AW625" s="5" t="str">
        <f ca="1">IFERROR(__xludf.DUMMYFUNCTION("IFERROR(VLOOKUP(E891&amp;F891,IMPORTRANGE(""https://docs.google.com/spreadsheets/d/1Uw7-A9f9R21vMXxHZFNpYNeKFtG8_yji4HS352LGlSQ/edit?pli=1#gid=0"",""1_ACUM!A4:S""),11,FALSE))"),"")</f>
        <v/>
      </c>
      <c r="AX625" s="42" t="str">
        <f ca="1">IFERROR(__xludf.DUMMYFUNCTION("IFERROR(VLOOKUP(F891,IMPORTRANGE(""https://docs.google.com/spreadsheets/d/1Kvs4KS76FHFqLFIZfrDMff4kP08nblUkihrxltoGBjg/edit#gid=934712705"",""ESENCIAL!A6:BG""),15,FALSE))"),"")</f>
        <v/>
      </c>
      <c r="AY625" s="110" t="str">
        <f ca="1">IFERROR(__xludf.DUMMYFUNCTION("IFERROR(VLOOKUP(E891&amp;F891,IMPORTRANGE(""https://docs.google.com/spreadsheets/d/1Uw7-A9f9R21vMXxHZFNpYNeKFtG8_yji4HS352LGlSQ/edit?pli=1#gid=0"",""1_ACUM!A4:S""),13,FALSE))"),"")</f>
        <v/>
      </c>
      <c r="AZ625" s="43" t="str">
        <f ca="1">IFERROR(__xludf.DUMMYFUNCTION("IFERROR(VLOOKUP(E891&amp;F891,IMPORTRANGE(""https://docs.google.com/spreadsheets/d/1Uw7-A9f9R21vMXxHZFNpYNeKFtG8_yji4HS352LGlSQ/edit?pli=1#gid=0"",""1_ACUM!A4:S""),13,FALSE))"),"")</f>
        <v/>
      </c>
      <c r="BA625" s="43" t="str">
        <f ca="1">IFERROR(__xludf.DUMMYFUNCTION("IFERROR(VLOOKUP(E891&amp;F891,IMPORTRANGE(""https://docs.google.com/spreadsheets/d/1Uw7-A9f9R21vMXxHZFNpYNeKFtG8_yji4HS352LGlSQ/edit?pli=1#gid=0"",""1_ACUM!A4:S""),14,FALSE))"),"")</f>
        <v/>
      </c>
      <c r="BB625" s="43" t="str">
        <f ca="1">IFERROR(__xludf.DUMMYFUNCTION("IFERROR(VLOOKUP(E891&amp;F891,IMPORTRANGE(""https://docs.google.com/spreadsheets/d/1Uw7-A9f9R21vMXxHZFNpYNeKFtG8_yji4HS352LGlSQ/edit?pli=1#gid=0"",""1_ACUM!A4:S""),15,FALSE))"),"")</f>
        <v/>
      </c>
      <c r="BC625" s="43" t="str">
        <f ca="1">IFERROR(__xludf.DUMMYFUNCTION("IFERROR(VLOOKUP(E891&amp;F891,IMPORTRANGE(""https://docs.google.com/spreadsheets/d/1Uw7-A9f9R21vMXxHZFNpYNeKFtG8_yji4HS352LGlSQ/edit?pli=1#gid=0"",""1_ACUM!A4:S""),16,FALSE))"),"")</f>
        <v/>
      </c>
      <c r="BD625" s="43" t="str">
        <f ca="1">IFERROR(__xludf.DUMMYFUNCTION("IFERROR(VLOOKUP(E891&amp;F891,IMPORTRANGE(""https://docs.google.com/spreadsheets/d/1Uw7-A9f9R21vMXxHZFNpYNeKFtG8_yji4HS352LGlSQ/edit?pli=1#gid=0"",""1_ACUM!A4:S""),17,FALSE))"),"")</f>
        <v/>
      </c>
      <c r="BE625" s="44" t="str">
        <f ca="1">IFERROR(__xludf.DUMMYFUNCTION("IFERROR(VLOOKUP(E891&amp;F891,IMPORTRANGE(""https://docs.google.com/spreadsheets/d/1Uw7-A9f9R21vMXxHZFNpYNeKFtG8_yji4HS352LGlSQ/edit?pli=1#gid=0"",""1_ACUM!A4:S""),18,FALSE))"),"")</f>
        <v/>
      </c>
      <c r="BF625" s="44" t="str">
        <f ca="1">IFERROR(__xludf.DUMMYFUNCTION("IFERROR(VLOOKUP(E891&amp;F891,IMPORTRANGE(""https://docs.google.com/spreadsheets/d/1Uw7-A9f9R21vMXxHZFNpYNeKFtG8_yji4HS352LGlSQ/edit?pli=1#gid=0"",""1_ACUM!A4:S""),19,FALSE))"),"")</f>
        <v/>
      </c>
      <c r="BG625" s="98" t="str">
        <f ca="1">IFERROR(__xludf.DUMMYFUNCTION("IFERROR(VLOOKUP(F891,IMPORTRANGE(""https://docs.google.com/spreadsheets/d/1Kvs4KS76FHFqLFIZfrDMff4kP08nblUkihrxltoGBjg/edit#gid=934712705"",""ESENCIAL!A6:BG""),5,FALSE))"),"")</f>
        <v/>
      </c>
      <c r="BH625" s="98" t="str">
        <f t="shared" si="25"/>
        <v/>
      </c>
      <c r="BI625" s="99" t="str">
        <f t="shared" si="26"/>
        <v/>
      </c>
      <c r="BJ625" s="100" t="str">
        <f ca="1">IFERROR(__xludf.DUMMYFUNCTION("IFERROR(VLOOKUP(F891,IMPORTRANGE(""https://docs.google.com/spreadsheets/d/1Kvs4KS76FHFqLFIZfrDMff4kP08nblUkihrxltoGBjg/edit#gid=934712705"",""ESENCIAL!A6:BG""),2,FALSE))"),"")</f>
        <v/>
      </c>
      <c r="BK625" s="19" t="str">
        <f t="shared" si="27"/>
        <v/>
      </c>
      <c r="BL625" s="100"/>
      <c r="BM625" s="100"/>
    </row>
    <row r="626" spans="2:65" ht="15">
      <c r="B626" s="39"/>
      <c r="C626" s="5"/>
      <c r="D626" s="123"/>
      <c r="E626" s="39"/>
      <c r="F626" s="39"/>
      <c r="G626" s="39"/>
      <c r="H626" s="5" t="str">
        <f ca="1">IFERROR(__xludf.DUMMYFUNCTION("IFERROR(VLOOKUP(F892,IMPORTRANGE(""https://docs.google.com/spreadsheets/d/1Kvs4KS76FHFqLFIZfrDMff4kP08nblUkihrxltoGBjg/edit#gid=934712705"",""ESENCIAL!A6:BG""),3,FALSE))"),"")</f>
        <v/>
      </c>
      <c r="I626" s="5" t="str">
        <f ca="1">IFERROR(__xludf.DUMMYFUNCTION("IFERROR(VLOOKUP(F892,IMPORTRANGE(""https://docs.google.com/spreadsheets/d/1Kvs4KS76FHFqLFIZfrDMff4kP08nblUkihrxltoGBjg/edit#gid=934712705"",""ESENCIAL!A6:BG""),8,FALSE))"),"")</f>
        <v/>
      </c>
      <c r="J626" s="39"/>
      <c r="M626" s="40"/>
      <c r="AV626" s="41" t="str">
        <f t="shared" si="24"/>
        <v/>
      </c>
      <c r="AW626" s="5" t="str">
        <f ca="1">IFERROR(__xludf.DUMMYFUNCTION("IFERROR(VLOOKUP(E892&amp;F892,IMPORTRANGE(""https://docs.google.com/spreadsheets/d/1Uw7-A9f9R21vMXxHZFNpYNeKFtG8_yji4HS352LGlSQ/edit?pli=1#gid=0"",""1_ACUM!A4:S""),11,FALSE))"),"")</f>
        <v/>
      </c>
      <c r="AX626" s="42" t="str">
        <f ca="1">IFERROR(__xludf.DUMMYFUNCTION("IFERROR(VLOOKUP(F892,IMPORTRANGE(""https://docs.google.com/spreadsheets/d/1Kvs4KS76FHFqLFIZfrDMff4kP08nblUkihrxltoGBjg/edit#gid=934712705"",""ESENCIAL!A6:BG""),15,FALSE))"),"")</f>
        <v/>
      </c>
      <c r="AY626" s="110" t="str">
        <f ca="1">IFERROR(__xludf.DUMMYFUNCTION("IFERROR(VLOOKUP(E892&amp;F892,IMPORTRANGE(""https://docs.google.com/spreadsheets/d/1Uw7-A9f9R21vMXxHZFNpYNeKFtG8_yji4HS352LGlSQ/edit?pli=1#gid=0"",""1_ACUM!A4:S""),13,FALSE))"),"")</f>
        <v/>
      </c>
      <c r="AZ626" s="43" t="str">
        <f ca="1">IFERROR(__xludf.DUMMYFUNCTION("IFERROR(VLOOKUP(E892&amp;F892,IMPORTRANGE(""https://docs.google.com/spreadsheets/d/1Uw7-A9f9R21vMXxHZFNpYNeKFtG8_yji4HS352LGlSQ/edit?pli=1#gid=0"",""1_ACUM!A4:S""),13,FALSE))"),"")</f>
        <v/>
      </c>
      <c r="BA626" s="43" t="str">
        <f ca="1">IFERROR(__xludf.DUMMYFUNCTION("IFERROR(VLOOKUP(E892&amp;F892,IMPORTRANGE(""https://docs.google.com/spreadsheets/d/1Uw7-A9f9R21vMXxHZFNpYNeKFtG8_yji4HS352LGlSQ/edit?pli=1#gid=0"",""1_ACUM!A4:S""),14,FALSE))"),"")</f>
        <v/>
      </c>
      <c r="BB626" s="43" t="str">
        <f ca="1">IFERROR(__xludf.DUMMYFUNCTION("IFERROR(VLOOKUP(E892&amp;F892,IMPORTRANGE(""https://docs.google.com/spreadsheets/d/1Uw7-A9f9R21vMXxHZFNpYNeKFtG8_yji4HS352LGlSQ/edit?pli=1#gid=0"",""1_ACUM!A4:S""),15,FALSE))"),"")</f>
        <v/>
      </c>
      <c r="BC626" s="43" t="str">
        <f ca="1">IFERROR(__xludf.DUMMYFUNCTION("IFERROR(VLOOKUP(E892&amp;F892,IMPORTRANGE(""https://docs.google.com/spreadsheets/d/1Uw7-A9f9R21vMXxHZFNpYNeKFtG8_yji4HS352LGlSQ/edit?pli=1#gid=0"",""1_ACUM!A4:S""),16,FALSE))"),"")</f>
        <v/>
      </c>
      <c r="BD626" s="43" t="str">
        <f ca="1">IFERROR(__xludf.DUMMYFUNCTION("IFERROR(VLOOKUP(E892&amp;F892,IMPORTRANGE(""https://docs.google.com/spreadsheets/d/1Uw7-A9f9R21vMXxHZFNpYNeKFtG8_yji4HS352LGlSQ/edit?pli=1#gid=0"",""1_ACUM!A4:S""),17,FALSE))"),"")</f>
        <v/>
      </c>
      <c r="BE626" s="44" t="str">
        <f ca="1">IFERROR(__xludf.DUMMYFUNCTION("IFERROR(VLOOKUP(E892&amp;F892,IMPORTRANGE(""https://docs.google.com/spreadsheets/d/1Uw7-A9f9R21vMXxHZFNpYNeKFtG8_yji4HS352LGlSQ/edit?pli=1#gid=0"",""1_ACUM!A4:S""),18,FALSE))"),"")</f>
        <v/>
      </c>
      <c r="BF626" s="44" t="str">
        <f ca="1">IFERROR(__xludf.DUMMYFUNCTION("IFERROR(VLOOKUP(E892&amp;F892,IMPORTRANGE(""https://docs.google.com/spreadsheets/d/1Uw7-A9f9R21vMXxHZFNpYNeKFtG8_yji4HS352LGlSQ/edit?pli=1#gid=0"",""1_ACUM!A4:S""),19,FALSE))"),"")</f>
        <v/>
      </c>
      <c r="BG626" s="98" t="str">
        <f ca="1">IFERROR(__xludf.DUMMYFUNCTION("IFERROR(VLOOKUP(F892,IMPORTRANGE(""https://docs.google.com/spreadsheets/d/1Kvs4KS76FHFqLFIZfrDMff4kP08nblUkihrxltoGBjg/edit#gid=934712705"",""ESENCIAL!A6:BG""),5,FALSE))"),"")</f>
        <v/>
      </c>
      <c r="BH626" s="98" t="str">
        <f t="shared" si="25"/>
        <v/>
      </c>
      <c r="BI626" s="99" t="str">
        <f t="shared" si="26"/>
        <v/>
      </c>
      <c r="BJ626" s="100" t="str">
        <f ca="1">IFERROR(__xludf.DUMMYFUNCTION("IFERROR(VLOOKUP(F892,IMPORTRANGE(""https://docs.google.com/spreadsheets/d/1Kvs4KS76FHFqLFIZfrDMff4kP08nblUkihrxltoGBjg/edit#gid=934712705"",""ESENCIAL!A6:BG""),2,FALSE))"),"")</f>
        <v/>
      </c>
      <c r="BK626" s="19" t="str">
        <f t="shared" si="27"/>
        <v/>
      </c>
      <c r="BL626" s="100"/>
      <c r="BM626" s="100"/>
    </row>
    <row r="627" spans="2:65" ht="15">
      <c r="B627" s="39"/>
      <c r="C627" s="5"/>
      <c r="D627" s="123"/>
      <c r="E627" s="39"/>
      <c r="F627" s="39"/>
      <c r="G627" s="39"/>
      <c r="H627" s="5" t="str">
        <f ca="1">IFERROR(__xludf.DUMMYFUNCTION("IFERROR(VLOOKUP(F893,IMPORTRANGE(""https://docs.google.com/spreadsheets/d/1Kvs4KS76FHFqLFIZfrDMff4kP08nblUkihrxltoGBjg/edit#gid=934712705"",""ESENCIAL!A6:BG""),3,FALSE))"),"")</f>
        <v/>
      </c>
      <c r="I627" s="5" t="str">
        <f ca="1">IFERROR(__xludf.DUMMYFUNCTION("IFERROR(VLOOKUP(F893,IMPORTRANGE(""https://docs.google.com/spreadsheets/d/1Kvs4KS76FHFqLFIZfrDMff4kP08nblUkihrxltoGBjg/edit#gid=934712705"",""ESENCIAL!A6:BG""),8,FALSE))"),"")</f>
        <v/>
      </c>
      <c r="J627" s="39"/>
      <c r="M627" s="40"/>
      <c r="AV627" s="41" t="str">
        <f t="shared" si="24"/>
        <v/>
      </c>
      <c r="AW627" s="5" t="str">
        <f ca="1">IFERROR(__xludf.DUMMYFUNCTION("IFERROR(VLOOKUP(E893&amp;F893,IMPORTRANGE(""https://docs.google.com/spreadsheets/d/1Uw7-A9f9R21vMXxHZFNpYNeKFtG8_yji4HS352LGlSQ/edit?pli=1#gid=0"",""1_ACUM!A4:S""),11,FALSE))"),"")</f>
        <v/>
      </c>
      <c r="AX627" s="42" t="str">
        <f ca="1">IFERROR(__xludf.DUMMYFUNCTION("IFERROR(VLOOKUP(F893,IMPORTRANGE(""https://docs.google.com/spreadsheets/d/1Kvs4KS76FHFqLFIZfrDMff4kP08nblUkihrxltoGBjg/edit#gid=934712705"",""ESENCIAL!A6:BG""),15,FALSE))"),"")</f>
        <v/>
      </c>
      <c r="AY627" s="110" t="str">
        <f ca="1">IFERROR(__xludf.DUMMYFUNCTION("IFERROR(VLOOKUP(E893&amp;F893,IMPORTRANGE(""https://docs.google.com/spreadsheets/d/1Uw7-A9f9R21vMXxHZFNpYNeKFtG8_yji4HS352LGlSQ/edit?pli=1#gid=0"",""1_ACUM!A4:S""),13,FALSE))"),"")</f>
        <v/>
      </c>
      <c r="AZ627" s="43" t="str">
        <f ca="1">IFERROR(__xludf.DUMMYFUNCTION("IFERROR(VLOOKUP(E893&amp;F893,IMPORTRANGE(""https://docs.google.com/spreadsheets/d/1Uw7-A9f9R21vMXxHZFNpYNeKFtG8_yji4HS352LGlSQ/edit?pli=1#gid=0"",""1_ACUM!A4:S""),13,FALSE))"),"")</f>
        <v/>
      </c>
      <c r="BA627" s="43" t="str">
        <f ca="1">IFERROR(__xludf.DUMMYFUNCTION("IFERROR(VLOOKUP(E893&amp;F893,IMPORTRANGE(""https://docs.google.com/spreadsheets/d/1Uw7-A9f9R21vMXxHZFNpYNeKFtG8_yji4HS352LGlSQ/edit?pli=1#gid=0"",""1_ACUM!A4:S""),14,FALSE))"),"")</f>
        <v/>
      </c>
      <c r="BB627" s="43" t="str">
        <f ca="1">IFERROR(__xludf.DUMMYFUNCTION("IFERROR(VLOOKUP(E893&amp;F893,IMPORTRANGE(""https://docs.google.com/spreadsheets/d/1Uw7-A9f9R21vMXxHZFNpYNeKFtG8_yji4HS352LGlSQ/edit?pli=1#gid=0"",""1_ACUM!A4:S""),15,FALSE))"),"")</f>
        <v/>
      </c>
      <c r="BC627" s="43" t="str">
        <f ca="1">IFERROR(__xludf.DUMMYFUNCTION("IFERROR(VLOOKUP(E893&amp;F893,IMPORTRANGE(""https://docs.google.com/spreadsheets/d/1Uw7-A9f9R21vMXxHZFNpYNeKFtG8_yji4HS352LGlSQ/edit?pli=1#gid=0"",""1_ACUM!A4:S""),16,FALSE))"),"")</f>
        <v/>
      </c>
      <c r="BD627" s="43" t="str">
        <f ca="1">IFERROR(__xludf.DUMMYFUNCTION("IFERROR(VLOOKUP(E893&amp;F893,IMPORTRANGE(""https://docs.google.com/spreadsheets/d/1Uw7-A9f9R21vMXxHZFNpYNeKFtG8_yji4HS352LGlSQ/edit?pli=1#gid=0"",""1_ACUM!A4:S""),17,FALSE))"),"")</f>
        <v/>
      </c>
      <c r="BE627" s="44" t="str">
        <f ca="1">IFERROR(__xludf.DUMMYFUNCTION("IFERROR(VLOOKUP(E893&amp;F893,IMPORTRANGE(""https://docs.google.com/spreadsheets/d/1Uw7-A9f9R21vMXxHZFNpYNeKFtG8_yji4HS352LGlSQ/edit?pli=1#gid=0"",""1_ACUM!A4:S""),18,FALSE))"),"")</f>
        <v/>
      </c>
      <c r="BF627" s="44" t="str">
        <f ca="1">IFERROR(__xludf.DUMMYFUNCTION("IFERROR(VLOOKUP(E893&amp;F893,IMPORTRANGE(""https://docs.google.com/spreadsheets/d/1Uw7-A9f9R21vMXxHZFNpYNeKFtG8_yji4HS352LGlSQ/edit?pli=1#gid=0"",""1_ACUM!A4:S""),19,FALSE))"),"")</f>
        <v/>
      </c>
      <c r="BG627" s="98" t="str">
        <f ca="1">IFERROR(__xludf.DUMMYFUNCTION("IFERROR(VLOOKUP(F893,IMPORTRANGE(""https://docs.google.com/spreadsheets/d/1Kvs4KS76FHFqLFIZfrDMff4kP08nblUkihrxltoGBjg/edit#gid=934712705"",""ESENCIAL!A6:BG""),5,FALSE))"),"")</f>
        <v/>
      </c>
      <c r="BH627" s="98" t="str">
        <f t="shared" si="25"/>
        <v/>
      </c>
      <c r="BI627" s="99" t="str">
        <f t="shared" si="26"/>
        <v/>
      </c>
      <c r="BJ627" s="100" t="str">
        <f ca="1">IFERROR(__xludf.DUMMYFUNCTION("IFERROR(VLOOKUP(F893,IMPORTRANGE(""https://docs.google.com/spreadsheets/d/1Kvs4KS76FHFqLFIZfrDMff4kP08nblUkihrxltoGBjg/edit#gid=934712705"",""ESENCIAL!A6:BG""),2,FALSE))"),"")</f>
        <v/>
      </c>
      <c r="BK627" s="19" t="str">
        <f t="shared" si="27"/>
        <v/>
      </c>
      <c r="BL627" s="100"/>
      <c r="BM627" s="100"/>
    </row>
    <row r="628" spans="2:65" ht="15">
      <c r="B628" s="39"/>
      <c r="C628" s="5"/>
      <c r="D628" s="123"/>
      <c r="E628" s="39"/>
      <c r="F628" s="39"/>
      <c r="G628" s="39"/>
      <c r="H628" s="5" t="str">
        <f ca="1">IFERROR(__xludf.DUMMYFUNCTION("IFERROR(VLOOKUP(F894,IMPORTRANGE(""https://docs.google.com/spreadsheets/d/1Kvs4KS76FHFqLFIZfrDMff4kP08nblUkihrxltoGBjg/edit#gid=934712705"",""ESENCIAL!A6:BG""),3,FALSE))"),"")</f>
        <v/>
      </c>
      <c r="I628" s="5" t="str">
        <f ca="1">IFERROR(__xludf.DUMMYFUNCTION("IFERROR(VLOOKUP(F894,IMPORTRANGE(""https://docs.google.com/spreadsheets/d/1Kvs4KS76FHFqLFIZfrDMff4kP08nblUkihrxltoGBjg/edit#gid=934712705"",""ESENCIAL!A6:BG""),8,FALSE))"),"")</f>
        <v/>
      </c>
      <c r="J628" s="39"/>
      <c r="M628" s="40"/>
      <c r="AV628" s="41" t="str">
        <f t="shared" si="24"/>
        <v/>
      </c>
      <c r="AW628" s="5" t="str">
        <f ca="1">IFERROR(__xludf.DUMMYFUNCTION("IFERROR(VLOOKUP(E894&amp;F894,IMPORTRANGE(""https://docs.google.com/spreadsheets/d/1Uw7-A9f9R21vMXxHZFNpYNeKFtG8_yji4HS352LGlSQ/edit?pli=1#gid=0"",""1_ACUM!A4:S""),11,FALSE))"),"")</f>
        <v/>
      </c>
      <c r="AX628" s="42" t="str">
        <f ca="1">IFERROR(__xludf.DUMMYFUNCTION("IFERROR(VLOOKUP(F894,IMPORTRANGE(""https://docs.google.com/spreadsheets/d/1Kvs4KS76FHFqLFIZfrDMff4kP08nblUkihrxltoGBjg/edit#gid=934712705"",""ESENCIAL!A6:BG""),15,FALSE))"),"")</f>
        <v/>
      </c>
      <c r="AY628" s="110" t="str">
        <f ca="1">IFERROR(__xludf.DUMMYFUNCTION("IFERROR(VLOOKUP(E894&amp;F894,IMPORTRANGE(""https://docs.google.com/spreadsheets/d/1Uw7-A9f9R21vMXxHZFNpYNeKFtG8_yji4HS352LGlSQ/edit?pli=1#gid=0"",""1_ACUM!A4:S""),13,FALSE))"),"")</f>
        <v/>
      </c>
      <c r="AZ628" s="43" t="str">
        <f ca="1">IFERROR(__xludf.DUMMYFUNCTION("IFERROR(VLOOKUP(E894&amp;F894,IMPORTRANGE(""https://docs.google.com/spreadsheets/d/1Uw7-A9f9R21vMXxHZFNpYNeKFtG8_yji4HS352LGlSQ/edit?pli=1#gid=0"",""1_ACUM!A4:S""),13,FALSE))"),"")</f>
        <v/>
      </c>
      <c r="BA628" s="43" t="str">
        <f ca="1">IFERROR(__xludf.DUMMYFUNCTION("IFERROR(VLOOKUP(E894&amp;F894,IMPORTRANGE(""https://docs.google.com/spreadsheets/d/1Uw7-A9f9R21vMXxHZFNpYNeKFtG8_yji4HS352LGlSQ/edit?pli=1#gid=0"",""1_ACUM!A4:S""),14,FALSE))"),"")</f>
        <v/>
      </c>
      <c r="BB628" s="43" t="str">
        <f ca="1">IFERROR(__xludf.DUMMYFUNCTION("IFERROR(VLOOKUP(E894&amp;F894,IMPORTRANGE(""https://docs.google.com/spreadsheets/d/1Uw7-A9f9R21vMXxHZFNpYNeKFtG8_yji4HS352LGlSQ/edit?pli=1#gid=0"",""1_ACUM!A4:S""),15,FALSE))"),"")</f>
        <v/>
      </c>
      <c r="BC628" s="43" t="str">
        <f ca="1">IFERROR(__xludf.DUMMYFUNCTION("IFERROR(VLOOKUP(E894&amp;F894,IMPORTRANGE(""https://docs.google.com/spreadsheets/d/1Uw7-A9f9R21vMXxHZFNpYNeKFtG8_yji4HS352LGlSQ/edit?pli=1#gid=0"",""1_ACUM!A4:S""),16,FALSE))"),"")</f>
        <v/>
      </c>
      <c r="BD628" s="43" t="str">
        <f ca="1">IFERROR(__xludf.DUMMYFUNCTION("IFERROR(VLOOKUP(E894&amp;F894,IMPORTRANGE(""https://docs.google.com/spreadsheets/d/1Uw7-A9f9R21vMXxHZFNpYNeKFtG8_yji4HS352LGlSQ/edit?pli=1#gid=0"",""1_ACUM!A4:S""),17,FALSE))"),"")</f>
        <v/>
      </c>
      <c r="BE628" s="44" t="str">
        <f ca="1">IFERROR(__xludf.DUMMYFUNCTION("IFERROR(VLOOKUP(E894&amp;F894,IMPORTRANGE(""https://docs.google.com/spreadsheets/d/1Uw7-A9f9R21vMXxHZFNpYNeKFtG8_yji4HS352LGlSQ/edit?pli=1#gid=0"",""1_ACUM!A4:S""),18,FALSE))"),"")</f>
        <v/>
      </c>
      <c r="BF628" s="44" t="str">
        <f ca="1">IFERROR(__xludf.DUMMYFUNCTION("IFERROR(VLOOKUP(E894&amp;F894,IMPORTRANGE(""https://docs.google.com/spreadsheets/d/1Uw7-A9f9R21vMXxHZFNpYNeKFtG8_yji4HS352LGlSQ/edit?pli=1#gid=0"",""1_ACUM!A4:S""),19,FALSE))"),"")</f>
        <v/>
      </c>
      <c r="BG628" s="98" t="str">
        <f ca="1">IFERROR(__xludf.DUMMYFUNCTION("IFERROR(VLOOKUP(F894,IMPORTRANGE(""https://docs.google.com/spreadsheets/d/1Kvs4KS76FHFqLFIZfrDMff4kP08nblUkihrxltoGBjg/edit#gid=934712705"",""ESENCIAL!A6:BG""),5,FALSE))"),"")</f>
        <v/>
      </c>
      <c r="BH628" s="98" t="str">
        <f t="shared" si="25"/>
        <v/>
      </c>
      <c r="BI628" s="99" t="str">
        <f t="shared" si="26"/>
        <v/>
      </c>
      <c r="BJ628" s="100" t="str">
        <f ca="1">IFERROR(__xludf.DUMMYFUNCTION("IFERROR(VLOOKUP(F894,IMPORTRANGE(""https://docs.google.com/spreadsheets/d/1Kvs4KS76FHFqLFIZfrDMff4kP08nblUkihrxltoGBjg/edit#gid=934712705"",""ESENCIAL!A6:BG""),2,FALSE))"),"")</f>
        <v/>
      </c>
      <c r="BK628" s="19" t="str">
        <f t="shared" si="27"/>
        <v/>
      </c>
      <c r="BL628" s="100"/>
      <c r="BM628" s="100"/>
    </row>
    <row r="629" spans="2:65" ht="15">
      <c r="B629" s="39"/>
      <c r="C629" s="5"/>
      <c r="D629" s="123"/>
      <c r="E629" s="39"/>
      <c r="F629" s="39"/>
      <c r="G629" s="39"/>
      <c r="H629" s="5" t="str">
        <f ca="1">IFERROR(__xludf.DUMMYFUNCTION("IFERROR(VLOOKUP(F895,IMPORTRANGE(""https://docs.google.com/spreadsheets/d/1Kvs4KS76FHFqLFIZfrDMff4kP08nblUkihrxltoGBjg/edit#gid=934712705"",""ESENCIAL!A6:BG""),3,FALSE))"),"")</f>
        <v/>
      </c>
      <c r="I629" s="5" t="str">
        <f ca="1">IFERROR(__xludf.DUMMYFUNCTION("IFERROR(VLOOKUP(F895,IMPORTRANGE(""https://docs.google.com/spreadsheets/d/1Kvs4KS76FHFqLFIZfrDMff4kP08nblUkihrxltoGBjg/edit#gid=934712705"",""ESENCIAL!A6:BG""),8,FALSE))"),"")</f>
        <v/>
      </c>
      <c r="J629" s="39"/>
      <c r="M629" s="40"/>
      <c r="AV629" s="41" t="str">
        <f t="shared" si="24"/>
        <v/>
      </c>
      <c r="AW629" s="5" t="str">
        <f ca="1">IFERROR(__xludf.DUMMYFUNCTION("IFERROR(VLOOKUP(E895&amp;F895,IMPORTRANGE(""https://docs.google.com/spreadsheets/d/1Uw7-A9f9R21vMXxHZFNpYNeKFtG8_yji4HS352LGlSQ/edit?pli=1#gid=0"",""1_ACUM!A4:S""),11,FALSE))"),"")</f>
        <v/>
      </c>
      <c r="AX629" s="42" t="str">
        <f ca="1">IFERROR(__xludf.DUMMYFUNCTION("IFERROR(VLOOKUP(F895,IMPORTRANGE(""https://docs.google.com/spreadsheets/d/1Kvs4KS76FHFqLFIZfrDMff4kP08nblUkihrxltoGBjg/edit#gid=934712705"",""ESENCIAL!A6:BG""),15,FALSE))"),"")</f>
        <v/>
      </c>
      <c r="AY629" s="110" t="str">
        <f ca="1">IFERROR(__xludf.DUMMYFUNCTION("IFERROR(VLOOKUP(E895&amp;F895,IMPORTRANGE(""https://docs.google.com/spreadsheets/d/1Uw7-A9f9R21vMXxHZFNpYNeKFtG8_yji4HS352LGlSQ/edit?pli=1#gid=0"",""1_ACUM!A4:S""),13,FALSE))"),"")</f>
        <v/>
      </c>
      <c r="AZ629" s="43" t="str">
        <f ca="1">IFERROR(__xludf.DUMMYFUNCTION("IFERROR(VLOOKUP(E895&amp;F895,IMPORTRANGE(""https://docs.google.com/spreadsheets/d/1Uw7-A9f9R21vMXxHZFNpYNeKFtG8_yji4HS352LGlSQ/edit?pli=1#gid=0"",""1_ACUM!A4:S""),13,FALSE))"),"")</f>
        <v/>
      </c>
      <c r="BA629" s="43" t="str">
        <f ca="1">IFERROR(__xludf.DUMMYFUNCTION("IFERROR(VLOOKUP(E895&amp;F895,IMPORTRANGE(""https://docs.google.com/spreadsheets/d/1Uw7-A9f9R21vMXxHZFNpYNeKFtG8_yji4HS352LGlSQ/edit?pli=1#gid=0"",""1_ACUM!A4:S""),14,FALSE))"),"")</f>
        <v/>
      </c>
      <c r="BB629" s="43" t="str">
        <f ca="1">IFERROR(__xludf.DUMMYFUNCTION("IFERROR(VLOOKUP(E895&amp;F895,IMPORTRANGE(""https://docs.google.com/spreadsheets/d/1Uw7-A9f9R21vMXxHZFNpYNeKFtG8_yji4HS352LGlSQ/edit?pli=1#gid=0"",""1_ACUM!A4:S""),15,FALSE))"),"")</f>
        <v/>
      </c>
      <c r="BC629" s="43" t="str">
        <f ca="1">IFERROR(__xludf.DUMMYFUNCTION("IFERROR(VLOOKUP(E895&amp;F895,IMPORTRANGE(""https://docs.google.com/spreadsheets/d/1Uw7-A9f9R21vMXxHZFNpYNeKFtG8_yji4HS352LGlSQ/edit?pli=1#gid=0"",""1_ACUM!A4:S""),16,FALSE))"),"")</f>
        <v/>
      </c>
      <c r="BD629" s="43" t="str">
        <f ca="1">IFERROR(__xludf.DUMMYFUNCTION("IFERROR(VLOOKUP(E895&amp;F895,IMPORTRANGE(""https://docs.google.com/spreadsheets/d/1Uw7-A9f9R21vMXxHZFNpYNeKFtG8_yji4HS352LGlSQ/edit?pli=1#gid=0"",""1_ACUM!A4:S""),17,FALSE))"),"")</f>
        <v/>
      </c>
      <c r="BE629" s="44" t="str">
        <f ca="1">IFERROR(__xludf.DUMMYFUNCTION("IFERROR(VLOOKUP(E895&amp;F895,IMPORTRANGE(""https://docs.google.com/spreadsheets/d/1Uw7-A9f9R21vMXxHZFNpYNeKFtG8_yji4HS352LGlSQ/edit?pli=1#gid=0"",""1_ACUM!A4:S""),18,FALSE))"),"")</f>
        <v/>
      </c>
      <c r="BF629" s="44" t="str">
        <f ca="1">IFERROR(__xludf.DUMMYFUNCTION("IFERROR(VLOOKUP(E895&amp;F895,IMPORTRANGE(""https://docs.google.com/spreadsheets/d/1Uw7-A9f9R21vMXxHZFNpYNeKFtG8_yji4HS352LGlSQ/edit?pli=1#gid=0"",""1_ACUM!A4:S""),19,FALSE))"),"")</f>
        <v/>
      </c>
      <c r="BG629" s="98" t="str">
        <f ca="1">IFERROR(__xludf.DUMMYFUNCTION("IFERROR(VLOOKUP(F895,IMPORTRANGE(""https://docs.google.com/spreadsheets/d/1Kvs4KS76FHFqLFIZfrDMff4kP08nblUkihrxltoGBjg/edit#gid=934712705"",""ESENCIAL!A6:BG""),5,FALSE))"),"")</f>
        <v/>
      </c>
      <c r="BH629" s="98" t="str">
        <f t="shared" si="25"/>
        <v/>
      </c>
      <c r="BI629" s="99" t="str">
        <f t="shared" si="26"/>
        <v/>
      </c>
      <c r="BJ629" s="100" t="str">
        <f ca="1">IFERROR(__xludf.DUMMYFUNCTION("IFERROR(VLOOKUP(F895,IMPORTRANGE(""https://docs.google.com/spreadsheets/d/1Kvs4KS76FHFqLFIZfrDMff4kP08nblUkihrxltoGBjg/edit#gid=934712705"",""ESENCIAL!A6:BG""),2,FALSE))"),"")</f>
        <v/>
      </c>
      <c r="BK629" s="19" t="str">
        <f t="shared" si="27"/>
        <v/>
      </c>
      <c r="BL629" s="100"/>
      <c r="BM629" s="100"/>
    </row>
    <row r="630" spans="2:65" ht="15">
      <c r="B630" s="39"/>
      <c r="C630" s="5"/>
      <c r="D630" s="123"/>
      <c r="E630" s="39"/>
      <c r="F630" s="39"/>
      <c r="G630" s="39"/>
      <c r="H630" s="5" t="str">
        <f ca="1">IFERROR(__xludf.DUMMYFUNCTION("IFERROR(VLOOKUP(F896,IMPORTRANGE(""https://docs.google.com/spreadsheets/d/1Kvs4KS76FHFqLFIZfrDMff4kP08nblUkihrxltoGBjg/edit#gid=934712705"",""ESENCIAL!A6:BG""),3,FALSE))"),"")</f>
        <v/>
      </c>
      <c r="I630" s="5" t="str">
        <f ca="1">IFERROR(__xludf.DUMMYFUNCTION("IFERROR(VLOOKUP(F896,IMPORTRANGE(""https://docs.google.com/spreadsheets/d/1Kvs4KS76FHFqLFIZfrDMff4kP08nblUkihrxltoGBjg/edit#gid=934712705"",""ESENCIAL!A6:BG""),8,FALSE))"),"")</f>
        <v/>
      </c>
      <c r="J630" s="39"/>
      <c r="M630" s="40"/>
      <c r="AV630" s="41" t="str">
        <f t="shared" si="24"/>
        <v/>
      </c>
      <c r="AW630" s="5" t="str">
        <f ca="1">IFERROR(__xludf.DUMMYFUNCTION("IFERROR(VLOOKUP(E896&amp;F896,IMPORTRANGE(""https://docs.google.com/spreadsheets/d/1Uw7-A9f9R21vMXxHZFNpYNeKFtG8_yji4HS352LGlSQ/edit?pli=1#gid=0"",""1_ACUM!A4:S""),11,FALSE))"),"")</f>
        <v/>
      </c>
      <c r="AX630" s="42" t="str">
        <f ca="1">IFERROR(__xludf.DUMMYFUNCTION("IFERROR(VLOOKUP(F896,IMPORTRANGE(""https://docs.google.com/spreadsheets/d/1Kvs4KS76FHFqLFIZfrDMff4kP08nblUkihrxltoGBjg/edit#gid=934712705"",""ESENCIAL!A6:BG""),15,FALSE))"),"")</f>
        <v/>
      </c>
      <c r="AY630" s="110" t="str">
        <f ca="1">IFERROR(__xludf.DUMMYFUNCTION("IFERROR(VLOOKUP(E896&amp;F896,IMPORTRANGE(""https://docs.google.com/spreadsheets/d/1Uw7-A9f9R21vMXxHZFNpYNeKFtG8_yji4HS352LGlSQ/edit?pli=1#gid=0"",""1_ACUM!A4:S""),13,FALSE))"),"")</f>
        <v/>
      </c>
      <c r="AZ630" s="43" t="str">
        <f ca="1">IFERROR(__xludf.DUMMYFUNCTION("IFERROR(VLOOKUP(E896&amp;F896,IMPORTRANGE(""https://docs.google.com/spreadsheets/d/1Uw7-A9f9R21vMXxHZFNpYNeKFtG8_yji4HS352LGlSQ/edit?pli=1#gid=0"",""1_ACUM!A4:S""),13,FALSE))"),"")</f>
        <v/>
      </c>
      <c r="BA630" s="43" t="str">
        <f ca="1">IFERROR(__xludf.DUMMYFUNCTION("IFERROR(VLOOKUP(E896&amp;F896,IMPORTRANGE(""https://docs.google.com/spreadsheets/d/1Uw7-A9f9R21vMXxHZFNpYNeKFtG8_yji4HS352LGlSQ/edit?pli=1#gid=0"",""1_ACUM!A4:S""),14,FALSE))"),"")</f>
        <v/>
      </c>
      <c r="BB630" s="43" t="str">
        <f ca="1">IFERROR(__xludf.DUMMYFUNCTION("IFERROR(VLOOKUP(E896&amp;F896,IMPORTRANGE(""https://docs.google.com/spreadsheets/d/1Uw7-A9f9R21vMXxHZFNpYNeKFtG8_yji4HS352LGlSQ/edit?pli=1#gid=0"",""1_ACUM!A4:S""),15,FALSE))"),"")</f>
        <v/>
      </c>
      <c r="BC630" s="43" t="str">
        <f ca="1">IFERROR(__xludf.DUMMYFUNCTION("IFERROR(VLOOKUP(E896&amp;F896,IMPORTRANGE(""https://docs.google.com/spreadsheets/d/1Uw7-A9f9R21vMXxHZFNpYNeKFtG8_yji4HS352LGlSQ/edit?pli=1#gid=0"",""1_ACUM!A4:S""),16,FALSE))"),"")</f>
        <v/>
      </c>
      <c r="BD630" s="43" t="str">
        <f ca="1">IFERROR(__xludf.DUMMYFUNCTION("IFERROR(VLOOKUP(E896&amp;F896,IMPORTRANGE(""https://docs.google.com/spreadsheets/d/1Uw7-A9f9R21vMXxHZFNpYNeKFtG8_yji4HS352LGlSQ/edit?pli=1#gid=0"",""1_ACUM!A4:S""),17,FALSE))"),"")</f>
        <v/>
      </c>
      <c r="BE630" s="44" t="str">
        <f ca="1">IFERROR(__xludf.DUMMYFUNCTION("IFERROR(VLOOKUP(E896&amp;F896,IMPORTRANGE(""https://docs.google.com/spreadsheets/d/1Uw7-A9f9R21vMXxHZFNpYNeKFtG8_yji4HS352LGlSQ/edit?pli=1#gid=0"",""1_ACUM!A4:S""),18,FALSE))"),"")</f>
        <v/>
      </c>
      <c r="BF630" s="44" t="str">
        <f ca="1">IFERROR(__xludf.DUMMYFUNCTION("IFERROR(VLOOKUP(E896&amp;F896,IMPORTRANGE(""https://docs.google.com/spreadsheets/d/1Uw7-A9f9R21vMXxHZFNpYNeKFtG8_yji4HS352LGlSQ/edit?pli=1#gid=0"",""1_ACUM!A4:S""),19,FALSE))"),"")</f>
        <v/>
      </c>
      <c r="BG630" s="98" t="str">
        <f ca="1">IFERROR(__xludf.DUMMYFUNCTION("IFERROR(VLOOKUP(F896,IMPORTRANGE(""https://docs.google.com/spreadsheets/d/1Kvs4KS76FHFqLFIZfrDMff4kP08nblUkihrxltoGBjg/edit#gid=934712705"",""ESENCIAL!A6:BG""),5,FALSE))"),"")</f>
        <v/>
      </c>
      <c r="BH630" s="98" t="str">
        <f t="shared" si="25"/>
        <v/>
      </c>
      <c r="BI630" s="99" t="str">
        <f t="shared" si="26"/>
        <v/>
      </c>
      <c r="BJ630" s="100" t="str">
        <f ca="1">IFERROR(__xludf.DUMMYFUNCTION("IFERROR(VLOOKUP(F896,IMPORTRANGE(""https://docs.google.com/spreadsheets/d/1Kvs4KS76FHFqLFIZfrDMff4kP08nblUkihrxltoGBjg/edit#gid=934712705"",""ESENCIAL!A6:BG""),2,FALSE))"),"")</f>
        <v/>
      </c>
      <c r="BK630" s="19" t="str">
        <f t="shared" si="27"/>
        <v/>
      </c>
      <c r="BL630" s="100"/>
      <c r="BM630" s="100"/>
    </row>
    <row r="631" spans="2:65" ht="15">
      <c r="B631" s="39"/>
      <c r="C631" s="5"/>
      <c r="D631" s="123"/>
      <c r="E631" s="39"/>
      <c r="F631" s="39"/>
      <c r="G631" s="39"/>
      <c r="H631" s="5" t="str">
        <f ca="1">IFERROR(__xludf.DUMMYFUNCTION("IFERROR(VLOOKUP(F897,IMPORTRANGE(""https://docs.google.com/spreadsheets/d/1Kvs4KS76FHFqLFIZfrDMff4kP08nblUkihrxltoGBjg/edit#gid=934712705"",""ESENCIAL!A6:BG""),3,FALSE))"),"")</f>
        <v/>
      </c>
      <c r="I631" s="5" t="str">
        <f ca="1">IFERROR(__xludf.DUMMYFUNCTION("IFERROR(VLOOKUP(F897,IMPORTRANGE(""https://docs.google.com/spreadsheets/d/1Kvs4KS76FHFqLFIZfrDMff4kP08nblUkihrxltoGBjg/edit#gid=934712705"",""ESENCIAL!A6:BG""),8,FALSE))"),"")</f>
        <v/>
      </c>
      <c r="J631" s="39"/>
      <c r="M631" s="40"/>
      <c r="AV631" s="41" t="str">
        <f t="shared" si="24"/>
        <v/>
      </c>
      <c r="AW631" s="5" t="str">
        <f ca="1">IFERROR(__xludf.DUMMYFUNCTION("IFERROR(VLOOKUP(E897&amp;F897,IMPORTRANGE(""https://docs.google.com/spreadsheets/d/1Uw7-A9f9R21vMXxHZFNpYNeKFtG8_yji4HS352LGlSQ/edit?pli=1#gid=0"",""1_ACUM!A4:S""),11,FALSE))"),"")</f>
        <v/>
      </c>
      <c r="AX631" s="42" t="str">
        <f ca="1">IFERROR(__xludf.DUMMYFUNCTION("IFERROR(VLOOKUP(F897,IMPORTRANGE(""https://docs.google.com/spreadsheets/d/1Kvs4KS76FHFqLFIZfrDMff4kP08nblUkihrxltoGBjg/edit#gid=934712705"",""ESENCIAL!A6:BG""),15,FALSE))"),"")</f>
        <v/>
      </c>
      <c r="AY631" s="110" t="str">
        <f ca="1">IFERROR(__xludf.DUMMYFUNCTION("IFERROR(VLOOKUP(E897&amp;F897,IMPORTRANGE(""https://docs.google.com/spreadsheets/d/1Uw7-A9f9R21vMXxHZFNpYNeKFtG8_yji4HS352LGlSQ/edit?pli=1#gid=0"",""1_ACUM!A4:S""),13,FALSE))"),"")</f>
        <v/>
      </c>
      <c r="AZ631" s="43" t="str">
        <f ca="1">IFERROR(__xludf.DUMMYFUNCTION("IFERROR(VLOOKUP(E897&amp;F897,IMPORTRANGE(""https://docs.google.com/spreadsheets/d/1Uw7-A9f9R21vMXxHZFNpYNeKFtG8_yji4HS352LGlSQ/edit?pli=1#gid=0"",""1_ACUM!A4:S""),13,FALSE))"),"")</f>
        <v/>
      </c>
      <c r="BA631" s="43" t="str">
        <f ca="1">IFERROR(__xludf.DUMMYFUNCTION("IFERROR(VLOOKUP(E897&amp;F897,IMPORTRANGE(""https://docs.google.com/spreadsheets/d/1Uw7-A9f9R21vMXxHZFNpYNeKFtG8_yji4HS352LGlSQ/edit?pli=1#gid=0"",""1_ACUM!A4:S""),14,FALSE))"),"")</f>
        <v/>
      </c>
      <c r="BB631" s="43" t="str">
        <f ca="1">IFERROR(__xludf.DUMMYFUNCTION("IFERROR(VLOOKUP(E897&amp;F897,IMPORTRANGE(""https://docs.google.com/spreadsheets/d/1Uw7-A9f9R21vMXxHZFNpYNeKFtG8_yji4HS352LGlSQ/edit?pli=1#gid=0"",""1_ACUM!A4:S""),15,FALSE))"),"")</f>
        <v/>
      </c>
      <c r="BC631" s="43" t="str">
        <f ca="1">IFERROR(__xludf.DUMMYFUNCTION("IFERROR(VLOOKUP(E897&amp;F897,IMPORTRANGE(""https://docs.google.com/spreadsheets/d/1Uw7-A9f9R21vMXxHZFNpYNeKFtG8_yji4HS352LGlSQ/edit?pli=1#gid=0"",""1_ACUM!A4:S""),16,FALSE))"),"")</f>
        <v/>
      </c>
      <c r="BD631" s="43" t="str">
        <f ca="1">IFERROR(__xludf.DUMMYFUNCTION("IFERROR(VLOOKUP(E897&amp;F897,IMPORTRANGE(""https://docs.google.com/spreadsheets/d/1Uw7-A9f9R21vMXxHZFNpYNeKFtG8_yji4HS352LGlSQ/edit?pli=1#gid=0"",""1_ACUM!A4:S""),17,FALSE))"),"")</f>
        <v/>
      </c>
      <c r="BE631" s="44" t="str">
        <f ca="1">IFERROR(__xludf.DUMMYFUNCTION("IFERROR(VLOOKUP(E897&amp;F897,IMPORTRANGE(""https://docs.google.com/spreadsheets/d/1Uw7-A9f9R21vMXxHZFNpYNeKFtG8_yji4HS352LGlSQ/edit?pli=1#gid=0"",""1_ACUM!A4:S""),18,FALSE))"),"")</f>
        <v/>
      </c>
      <c r="BF631" s="44" t="str">
        <f ca="1">IFERROR(__xludf.DUMMYFUNCTION("IFERROR(VLOOKUP(E897&amp;F897,IMPORTRANGE(""https://docs.google.com/spreadsheets/d/1Uw7-A9f9R21vMXxHZFNpYNeKFtG8_yji4HS352LGlSQ/edit?pli=1#gid=0"",""1_ACUM!A4:S""),19,FALSE))"),"")</f>
        <v/>
      </c>
      <c r="BG631" s="98" t="str">
        <f ca="1">IFERROR(__xludf.DUMMYFUNCTION("IFERROR(VLOOKUP(F897,IMPORTRANGE(""https://docs.google.com/spreadsheets/d/1Kvs4KS76FHFqLFIZfrDMff4kP08nblUkihrxltoGBjg/edit#gid=934712705"",""ESENCIAL!A6:BG""),5,FALSE))"),"")</f>
        <v/>
      </c>
      <c r="BH631" s="98" t="str">
        <f t="shared" si="25"/>
        <v/>
      </c>
      <c r="BI631" s="99" t="str">
        <f t="shared" si="26"/>
        <v/>
      </c>
      <c r="BJ631" s="100" t="str">
        <f ca="1">IFERROR(__xludf.DUMMYFUNCTION("IFERROR(VLOOKUP(F897,IMPORTRANGE(""https://docs.google.com/spreadsheets/d/1Kvs4KS76FHFqLFIZfrDMff4kP08nblUkihrxltoGBjg/edit#gid=934712705"",""ESENCIAL!A6:BG""),2,FALSE))"),"")</f>
        <v/>
      </c>
      <c r="BK631" s="19" t="str">
        <f t="shared" si="27"/>
        <v/>
      </c>
      <c r="BL631" s="100"/>
      <c r="BM631" s="100"/>
    </row>
    <row r="632" spans="2:65" ht="15">
      <c r="B632" s="39"/>
      <c r="C632" s="5"/>
      <c r="D632" s="123"/>
      <c r="E632" s="39"/>
      <c r="F632" s="39"/>
      <c r="G632" s="39"/>
      <c r="H632" s="5" t="str">
        <f ca="1">IFERROR(__xludf.DUMMYFUNCTION("IFERROR(VLOOKUP(F898,IMPORTRANGE(""https://docs.google.com/spreadsheets/d/1Kvs4KS76FHFqLFIZfrDMff4kP08nblUkihrxltoGBjg/edit#gid=934712705"",""ESENCIAL!A6:BG""),3,FALSE))"),"")</f>
        <v/>
      </c>
      <c r="I632" s="5" t="str">
        <f ca="1">IFERROR(__xludf.DUMMYFUNCTION("IFERROR(VLOOKUP(F898,IMPORTRANGE(""https://docs.google.com/spreadsheets/d/1Kvs4KS76FHFqLFIZfrDMff4kP08nblUkihrxltoGBjg/edit#gid=934712705"",""ESENCIAL!A6:BG""),8,FALSE))"),"")</f>
        <v/>
      </c>
      <c r="J632" s="39"/>
      <c r="M632" s="40"/>
      <c r="AV632" s="41" t="str">
        <f t="shared" si="24"/>
        <v/>
      </c>
      <c r="AW632" s="5" t="str">
        <f ca="1">IFERROR(__xludf.DUMMYFUNCTION("IFERROR(VLOOKUP(E898&amp;F898,IMPORTRANGE(""https://docs.google.com/spreadsheets/d/1Uw7-A9f9R21vMXxHZFNpYNeKFtG8_yji4HS352LGlSQ/edit?pli=1#gid=0"",""1_ACUM!A4:S""),11,FALSE))"),"")</f>
        <v/>
      </c>
      <c r="AX632" s="42" t="str">
        <f ca="1">IFERROR(__xludf.DUMMYFUNCTION("IFERROR(VLOOKUP(F898,IMPORTRANGE(""https://docs.google.com/spreadsheets/d/1Kvs4KS76FHFqLFIZfrDMff4kP08nblUkihrxltoGBjg/edit#gid=934712705"",""ESENCIAL!A6:BG""),15,FALSE))"),"")</f>
        <v/>
      </c>
      <c r="AY632" s="110" t="str">
        <f ca="1">IFERROR(__xludf.DUMMYFUNCTION("IFERROR(VLOOKUP(E898&amp;F898,IMPORTRANGE(""https://docs.google.com/spreadsheets/d/1Uw7-A9f9R21vMXxHZFNpYNeKFtG8_yji4HS352LGlSQ/edit?pli=1#gid=0"",""1_ACUM!A4:S""),13,FALSE))"),"")</f>
        <v/>
      </c>
      <c r="AZ632" s="43" t="str">
        <f ca="1">IFERROR(__xludf.DUMMYFUNCTION("IFERROR(VLOOKUP(E898&amp;F898,IMPORTRANGE(""https://docs.google.com/spreadsheets/d/1Uw7-A9f9R21vMXxHZFNpYNeKFtG8_yji4HS352LGlSQ/edit?pli=1#gid=0"",""1_ACUM!A4:S""),13,FALSE))"),"")</f>
        <v/>
      </c>
      <c r="BA632" s="43" t="str">
        <f ca="1">IFERROR(__xludf.DUMMYFUNCTION("IFERROR(VLOOKUP(E898&amp;F898,IMPORTRANGE(""https://docs.google.com/spreadsheets/d/1Uw7-A9f9R21vMXxHZFNpYNeKFtG8_yji4HS352LGlSQ/edit?pli=1#gid=0"",""1_ACUM!A4:S""),14,FALSE))"),"")</f>
        <v/>
      </c>
      <c r="BB632" s="43" t="str">
        <f ca="1">IFERROR(__xludf.DUMMYFUNCTION("IFERROR(VLOOKUP(E898&amp;F898,IMPORTRANGE(""https://docs.google.com/spreadsheets/d/1Uw7-A9f9R21vMXxHZFNpYNeKFtG8_yji4HS352LGlSQ/edit?pli=1#gid=0"",""1_ACUM!A4:S""),15,FALSE))"),"")</f>
        <v/>
      </c>
      <c r="BC632" s="43" t="str">
        <f ca="1">IFERROR(__xludf.DUMMYFUNCTION("IFERROR(VLOOKUP(E898&amp;F898,IMPORTRANGE(""https://docs.google.com/spreadsheets/d/1Uw7-A9f9R21vMXxHZFNpYNeKFtG8_yji4HS352LGlSQ/edit?pli=1#gid=0"",""1_ACUM!A4:S""),16,FALSE))"),"")</f>
        <v/>
      </c>
      <c r="BD632" s="43" t="str">
        <f ca="1">IFERROR(__xludf.DUMMYFUNCTION("IFERROR(VLOOKUP(E898&amp;F898,IMPORTRANGE(""https://docs.google.com/spreadsheets/d/1Uw7-A9f9R21vMXxHZFNpYNeKFtG8_yji4HS352LGlSQ/edit?pli=1#gid=0"",""1_ACUM!A4:S""),17,FALSE))"),"")</f>
        <v/>
      </c>
      <c r="BE632" s="44" t="str">
        <f ca="1">IFERROR(__xludf.DUMMYFUNCTION("IFERROR(VLOOKUP(E898&amp;F898,IMPORTRANGE(""https://docs.google.com/spreadsheets/d/1Uw7-A9f9R21vMXxHZFNpYNeKFtG8_yji4HS352LGlSQ/edit?pli=1#gid=0"",""1_ACUM!A4:S""),18,FALSE))"),"")</f>
        <v/>
      </c>
      <c r="BF632" s="44" t="str">
        <f ca="1">IFERROR(__xludf.DUMMYFUNCTION("IFERROR(VLOOKUP(E898&amp;F898,IMPORTRANGE(""https://docs.google.com/spreadsheets/d/1Uw7-A9f9R21vMXxHZFNpYNeKFtG8_yji4HS352LGlSQ/edit?pli=1#gid=0"",""1_ACUM!A4:S""),19,FALSE))"),"")</f>
        <v/>
      </c>
      <c r="BG632" s="98" t="str">
        <f ca="1">IFERROR(__xludf.DUMMYFUNCTION("IFERROR(VLOOKUP(F898,IMPORTRANGE(""https://docs.google.com/spreadsheets/d/1Kvs4KS76FHFqLFIZfrDMff4kP08nblUkihrxltoGBjg/edit#gid=934712705"",""ESENCIAL!A6:BG""),5,FALSE))"),"")</f>
        <v/>
      </c>
      <c r="BH632" s="98" t="str">
        <f t="shared" si="25"/>
        <v/>
      </c>
      <c r="BI632" s="99" t="str">
        <f t="shared" si="26"/>
        <v/>
      </c>
      <c r="BJ632" s="100" t="str">
        <f ca="1">IFERROR(__xludf.DUMMYFUNCTION("IFERROR(VLOOKUP(F898,IMPORTRANGE(""https://docs.google.com/spreadsheets/d/1Kvs4KS76FHFqLFIZfrDMff4kP08nblUkihrxltoGBjg/edit#gid=934712705"",""ESENCIAL!A6:BG""),2,FALSE))"),"")</f>
        <v/>
      </c>
      <c r="BK632" s="19" t="str">
        <f t="shared" si="27"/>
        <v/>
      </c>
      <c r="BL632" s="100"/>
      <c r="BM632" s="100"/>
    </row>
    <row r="633" spans="2:65" ht="15">
      <c r="B633" s="39"/>
      <c r="C633" s="5"/>
      <c r="D633" s="123"/>
      <c r="E633" s="39"/>
      <c r="F633" s="39"/>
      <c r="G633" s="39"/>
      <c r="H633" s="5" t="str">
        <f ca="1">IFERROR(__xludf.DUMMYFUNCTION("IFERROR(VLOOKUP(F899,IMPORTRANGE(""https://docs.google.com/spreadsheets/d/1Kvs4KS76FHFqLFIZfrDMff4kP08nblUkihrxltoGBjg/edit#gid=934712705"",""ESENCIAL!A6:BG""),3,FALSE))"),"")</f>
        <v/>
      </c>
      <c r="I633" s="5" t="str">
        <f ca="1">IFERROR(__xludf.DUMMYFUNCTION("IFERROR(VLOOKUP(F899,IMPORTRANGE(""https://docs.google.com/spreadsheets/d/1Kvs4KS76FHFqLFIZfrDMff4kP08nblUkihrxltoGBjg/edit#gid=934712705"",""ESENCIAL!A6:BG""),8,FALSE))"),"")</f>
        <v/>
      </c>
      <c r="J633" s="39"/>
      <c r="M633" s="40"/>
      <c r="AV633" s="41" t="str">
        <f t="shared" si="24"/>
        <v/>
      </c>
      <c r="AW633" s="5" t="str">
        <f ca="1">IFERROR(__xludf.DUMMYFUNCTION("IFERROR(VLOOKUP(E899&amp;F899,IMPORTRANGE(""https://docs.google.com/spreadsheets/d/1Uw7-A9f9R21vMXxHZFNpYNeKFtG8_yji4HS352LGlSQ/edit?pli=1#gid=0"",""1_ACUM!A4:S""),11,FALSE))"),"")</f>
        <v/>
      </c>
      <c r="AX633" s="42" t="str">
        <f ca="1">IFERROR(__xludf.DUMMYFUNCTION("IFERROR(VLOOKUP(F899,IMPORTRANGE(""https://docs.google.com/spreadsheets/d/1Kvs4KS76FHFqLFIZfrDMff4kP08nblUkihrxltoGBjg/edit#gid=934712705"",""ESENCIAL!A6:BG""),15,FALSE))"),"")</f>
        <v/>
      </c>
      <c r="AY633" s="110" t="str">
        <f ca="1">IFERROR(__xludf.DUMMYFUNCTION("IFERROR(VLOOKUP(E899&amp;F899,IMPORTRANGE(""https://docs.google.com/spreadsheets/d/1Uw7-A9f9R21vMXxHZFNpYNeKFtG8_yji4HS352LGlSQ/edit?pli=1#gid=0"",""1_ACUM!A4:S""),13,FALSE))"),"")</f>
        <v/>
      </c>
      <c r="AZ633" s="43" t="str">
        <f ca="1">IFERROR(__xludf.DUMMYFUNCTION("IFERROR(VLOOKUP(E899&amp;F899,IMPORTRANGE(""https://docs.google.com/spreadsheets/d/1Uw7-A9f9R21vMXxHZFNpYNeKFtG8_yji4HS352LGlSQ/edit?pli=1#gid=0"",""1_ACUM!A4:S""),13,FALSE))"),"")</f>
        <v/>
      </c>
      <c r="BA633" s="43" t="str">
        <f ca="1">IFERROR(__xludf.DUMMYFUNCTION("IFERROR(VLOOKUP(E899&amp;F899,IMPORTRANGE(""https://docs.google.com/spreadsheets/d/1Uw7-A9f9R21vMXxHZFNpYNeKFtG8_yji4HS352LGlSQ/edit?pli=1#gid=0"",""1_ACUM!A4:S""),14,FALSE))"),"")</f>
        <v/>
      </c>
      <c r="BB633" s="43" t="str">
        <f ca="1">IFERROR(__xludf.DUMMYFUNCTION("IFERROR(VLOOKUP(E899&amp;F899,IMPORTRANGE(""https://docs.google.com/spreadsheets/d/1Uw7-A9f9R21vMXxHZFNpYNeKFtG8_yji4HS352LGlSQ/edit?pli=1#gid=0"",""1_ACUM!A4:S""),15,FALSE))"),"")</f>
        <v/>
      </c>
      <c r="BC633" s="43" t="str">
        <f ca="1">IFERROR(__xludf.DUMMYFUNCTION("IFERROR(VLOOKUP(E899&amp;F899,IMPORTRANGE(""https://docs.google.com/spreadsheets/d/1Uw7-A9f9R21vMXxHZFNpYNeKFtG8_yji4HS352LGlSQ/edit?pli=1#gid=0"",""1_ACUM!A4:S""),16,FALSE))"),"")</f>
        <v/>
      </c>
      <c r="BD633" s="43" t="str">
        <f ca="1">IFERROR(__xludf.DUMMYFUNCTION("IFERROR(VLOOKUP(E899&amp;F899,IMPORTRANGE(""https://docs.google.com/spreadsheets/d/1Uw7-A9f9R21vMXxHZFNpYNeKFtG8_yji4HS352LGlSQ/edit?pli=1#gid=0"",""1_ACUM!A4:S""),17,FALSE))"),"")</f>
        <v/>
      </c>
      <c r="BE633" s="44" t="str">
        <f ca="1">IFERROR(__xludf.DUMMYFUNCTION("IFERROR(VLOOKUP(E899&amp;F899,IMPORTRANGE(""https://docs.google.com/spreadsheets/d/1Uw7-A9f9R21vMXxHZFNpYNeKFtG8_yji4HS352LGlSQ/edit?pli=1#gid=0"",""1_ACUM!A4:S""),18,FALSE))"),"")</f>
        <v/>
      </c>
      <c r="BF633" s="44" t="str">
        <f ca="1">IFERROR(__xludf.DUMMYFUNCTION("IFERROR(VLOOKUP(E899&amp;F899,IMPORTRANGE(""https://docs.google.com/spreadsheets/d/1Uw7-A9f9R21vMXxHZFNpYNeKFtG8_yji4HS352LGlSQ/edit?pli=1#gid=0"",""1_ACUM!A4:S""),19,FALSE))"),"")</f>
        <v/>
      </c>
      <c r="BG633" s="98" t="str">
        <f ca="1">IFERROR(__xludf.DUMMYFUNCTION("IFERROR(VLOOKUP(F899,IMPORTRANGE(""https://docs.google.com/spreadsheets/d/1Kvs4KS76FHFqLFIZfrDMff4kP08nblUkihrxltoGBjg/edit#gid=934712705"",""ESENCIAL!A6:BG""),5,FALSE))"),"")</f>
        <v/>
      </c>
      <c r="BH633" s="98" t="str">
        <f t="shared" si="25"/>
        <v/>
      </c>
      <c r="BI633" s="99" t="str">
        <f t="shared" si="26"/>
        <v/>
      </c>
      <c r="BJ633" s="100" t="str">
        <f ca="1">IFERROR(__xludf.DUMMYFUNCTION("IFERROR(VLOOKUP(F899,IMPORTRANGE(""https://docs.google.com/spreadsheets/d/1Kvs4KS76FHFqLFIZfrDMff4kP08nblUkihrxltoGBjg/edit#gid=934712705"",""ESENCIAL!A6:BG""),2,FALSE))"),"")</f>
        <v/>
      </c>
      <c r="BK633" s="19" t="str">
        <f t="shared" si="27"/>
        <v/>
      </c>
      <c r="BL633" s="100"/>
      <c r="BM633" s="100"/>
    </row>
    <row r="634" spans="2:65" ht="15">
      <c r="B634" s="39"/>
      <c r="C634" s="5"/>
      <c r="D634" s="123"/>
      <c r="E634" s="39"/>
      <c r="F634" s="39"/>
      <c r="G634" s="39"/>
      <c r="H634" s="5" t="str">
        <f ca="1">IFERROR(__xludf.DUMMYFUNCTION("IFERROR(VLOOKUP(F900,IMPORTRANGE(""https://docs.google.com/spreadsheets/d/1Kvs4KS76FHFqLFIZfrDMff4kP08nblUkihrxltoGBjg/edit#gid=934712705"",""ESENCIAL!A6:BG""),3,FALSE))"),"")</f>
        <v/>
      </c>
      <c r="I634" s="5" t="str">
        <f ca="1">IFERROR(__xludf.DUMMYFUNCTION("IFERROR(VLOOKUP(F900,IMPORTRANGE(""https://docs.google.com/spreadsheets/d/1Kvs4KS76FHFqLFIZfrDMff4kP08nblUkihrxltoGBjg/edit#gid=934712705"",""ESENCIAL!A6:BG""),8,FALSE))"),"")</f>
        <v/>
      </c>
      <c r="J634" s="39"/>
      <c r="M634" s="40"/>
      <c r="AV634" s="41" t="str">
        <f t="shared" si="24"/>
        <v/>
      </c>
      <c r="AW634" s="5" t="str">
        <f ca="1">IFERROR(__xludf.DUMMYFUNCTION("IFERROR(VLOOKUP(E900&amp;F900,IMPORTRANGE(""https://docs.google.com/spreadsheets/d/1Uw7-A9f9R21vMXxHZFNpYNeKFtG8_yji4HS352LGlSQ/edit?pli=1#gid=0"",""1_ACUM!A4:S""),11,FALSE))"),"")</f>
        <v/>
      </c>
      <c r="AX634" s="42" t="str">
        <f ca="1">IFERROR(__xludf.DUMMYFUNCTION("IFERROR(VLOOKUP(F900,IMPORTRANGE(""https://docs.google.com/spreadsheets/d/1Kvs4KS76FHFqLFIZfrDMff4kP08nblUkihrxltoGBjg/edit#gid=934712705"",""ESENCIAL!A6:BG""),15,FALSE))"),"")</f>
        <v/>
      </c>
      <c r="AY634" s="110" t="str">
        <f ca="1">IFERROR(__xludf.DUMMYFUNCTION("IFERROR(VLOOKUP(E900&amp;F900,IMPORTRANGE(""https://docs.google.com/spreadsheets/d/1Uw7-A9f9R21vMXxHZFNpYNeKFtG8_yji4HS352LGlSQ/edit?pli=1#gid=0"",""1_ACUM!A4:S""),13,FALSE))"),"")</f>
        <v/>
      </c>
      <c r="AZ634" s="43" t="str">
        <f ca="1">IFERROR(__xludf.DUMMYFUNCTION("IFERROR(VLOOKUP(E900&amp;F900,IMPORTRANGE(""https://docs.google.com/spreadsheets/d/1Uw7-A9f9R21vMXxHZFNpYNeKFtG8_yji4HS352LGlSQ/edit?pli=1#gid=0"",""1_ACUM!A4:S""),13,FALSE))"),"")</f>
        <v/>
      </c>
      <c r="BA634" s="43" t="str">
        <f ca="1">IFERROR(__xludf.DUMMYFUNCTION("IFERROR(VLOOKUP(E900&amp;F900,IMPORTRANGE(""https://docs.google.com/spreadsheets/d/1Uw7-A9f9R21vMXxHZFNpYNeKFtG8_yji4HS352LGlSQ/edit?pli=1#gid=0"",""1_ACUM!A4:S""),14,FALSE))"),"")</f>
        <v/>
      </c>
      <c r="BB634" s="43" t="str">
        <f ca="1">IFERROR(__xludf.DUMMYFUNCTION("IFERROR(VLOOKUP(E900&amp;F900,IMPORTRANGE(""https://docs.google.com/spreadsheets/d/1Uw7-A9f9R21vMXxHZFNpYNeKFtG8_yji4HS352LGlSQ/edit?pli=1#gid=0"",""1_ACUM!A4:S""),15,FALSE))"),"")</f>
        <v/>
      </c>
      <c r="BC634" s="43" t="str">
        <f ca="1">IFERROR(__xludf.DUMMYFUNCTION("IFERROR(VLOOKUP(E900&amp;F900,IMPORTRANGE(""https://docs.google.com/spreadsheets/d/1Uw7-A9f9R21vMXxHZFNpYNeKFtG8_yji4HS352LGlSQ/edit?pli=1#gid=0"",""1_ACUM!A4:S""),16,FALSE))"),"")</f>
        <v/>
      </c>
      <c r="BD634" s="43" t="str">
        <f ca="1">IFERROR(__xludf.DUMMYFUNCTION("IFERROR(VLOOKUP(E900&amp;F900,IMPORTRANGE(""https://docs.google.com/spreadsheets/d/1Uw7-A9f9R21vMXxHZFNpYNeKFtG8_yji4HS352LGlSQ/edit?pli=1#gid=0"",""1_ACUM!A4:S""),17,FALSE))"),"")</f>
        <v/>
      </c>
      <c r="BE634" s="44" t="str">
        <f ca="1">IFERROR(__xludf.DUMMYFUNCTION("IFERROR(VLOOKUP(E900&amp;F900,IMPORTRANGE(""https://docs.google.com/spreadsheets/d/1Uw7-A9f9R21vMXxHZFNpYNeKFtG8_yji4HS352LGlSQ/edit?pli=1#gid=0"",""1_ACUM!A4:S""),18,FALSE))"),"")</f>
        <v/>
      </c>
      <c r="BF634" s="44" t="str">
        <f ca="1">IFERROR(__xludf.DUMMYFUNCTION("IFERROR(VLOOKUP(E900&amp;F900,IMPORTRANGE(""https://docs.google.com/spreadsheets/d/1Uw7-A9f9R21vMXxHZFNpYNeKFtG8_yji4HS352LGlSQ/edit?pli=1#gid=0"",""1_ACUM!A4:S""),19,FALSE))"),"")</f>
        <v/>
      </c>
      <c r="BG634" s="98" t="str">
        <f ca="1">IFERROR(__xludf.DUMMYFUNCTION("IFERROR(VLOOKUP(F900,IMPORTRANGE(""https://docs.google.com/spreadsheets/d/1Kvs4KS76FHFqLFIZfrDMff4kP08nblUkihrxltoGBjg/edit#gid=934712705"",""ESENCIAL!A6:BG""),5,FALSE))"),"")</f>
        <v/>
      </c>
      <c r="BH634" s="98" t="str">
        <f t="shared" si="25"/>
        <v/>
      </c>
      <c r="BI634" s="99" t="str">
        <f t="shared" si="26"/>
        <v/>
      </c>
      <c r="BJ634" s="100" t="str">
        <f ca="1">IFERROR(__xludf.DUMMYFUNCTION("IFERROR(VLOOKUP(F900,IMPORTRANGE(""https://docs.google.com/spreadsheets/d/1Kvs4KS76FHFqLFIZfrDMff4kP08nblUkihrxltoGBjg/edit#gid=934712705"",""ESENCIAL!A6:BG""),2,FALSE))"),"")</f>
        <v/>
      </c>
      <c r="BK634" s="19" t="str">
        <f t="shared" si="27"/>
        <v/>
      </c>
      <c r="BL634" s="100"/>
      <c r="BM634" s="100"/>
    </row>
    <row r="635" spans="2:65" ht="15">
      <c r="B635" s="39"/>
      <c r="C635" s="5"/>
      <c r="D635" s="123"/>
      <c r="E635" s="39"/>
      <c r="F635" s="39"/>
      <c r="G635" s="39"/>
      <c r="H635" s="5" t="str">
        <f ca="1">IFERROR(__xludf.DUMMYFUNCTION("IFERROR(VLOOKUP(F901,IMPORTRANGE(""https://docs.google.com/spreadsheets/d/1Kvs4KS76FHFqLFIZfrDMff4kP08nblUkihrxltoGBjg/edit#gid=934712705"",""ESENCIAL!A6:BG""),3,FALSE))"),"")</f>
        <v/>
      </c>
      <c r="I635" s="5" t="str">
        <f ca="1">IFERROR(__xludf.DUMMYFUNCTION("IFERROR(VLOOKUP(F901,IMPORTRANGE(""https://docs.google.com/spreadsheets/d/1Kvs4KS76FHFqLFIZfrDMff4kP08nblUkihrxltoGBjg/edit#gid=934712705"",""ESENCIAL!A6:BG""),8,FALSE))"),"")</f>
        <v/>
      </c>
      <c r="J635" s="39"/>
      <c r="M635" s="40"/>
      <c r="AV635" s="41" t="str">
        <f t="shared" si="24"/>
        <v/>
      </c>
      <c r="AW635" s="5" t="str">
        <f ca="1">IFERROR(__xludf.DUMMYFUNCTION("IFERROR(VLOOKUP(E901&amp;F901,IMPORTRANGE(""https://docs.google.com/spreadsheets/d/1Uw7-A9f9R21vMXxHZFNpYNeKFtG8_yji4HS352LGlSQ/edit?pli=1#gid=0"",""1_ACUM!A4:S""),11,FALSE))"),"")</f>
        <v/>
      </c>
      <c r="AX635" s="42" t="str">
        <f ca="1">IFERROR(__xludf.DUMMYFUNCTION("IFERROR(VLOOKUP(F901,IMPORTRANGE(""https://docs.google.com/spreadsheets/d/1Kvs4KS76FHFqLFIZfrDMff4kP08nblUkihrxltoGBjg/edit#gid=934712705"",""ESENCIAL!A6:BG""),15,FALSE))"),"")</f>
        <v/>
      </c>
      <c r="AY635" s="110" t="str">
        <f ca="1">IFERROR(__xludf.DUMMYFUNCTION("IFERROR(VLOOKUP(E901&amp;F901,IMPORTRANGE(""https://docs.google.com/spreadsheets/d/1Uw7-A9f9R21vMXxHZFNpYNeKFtG8_yji4HS352LGlSQ/edit?pli=1#gid=0"",""1_ACUM!A4:S""),13,FALSE))"),"")</f>
        <v/>
      </c>
      <c r="AZ635" s="43" t="str">
        <f ca="1">IFERROR(__xludf.DUMMYFUNCTION("IFERROR(VLOOKUP(E901&amp;F901,IMPORTRANGE(""https://docs.google.com/spreadsheets/d/1Uw7-A9f9R21vMXxHZFNpYNeKFtG8_yji4HS352LGlSQ/edit?pli=1#gid=0"",""1_ACUM!A4:S""),13,FALSE))"),"")</f>
        <v/>
      </c>
      <c r="BA635" s="43" t="str">
        <f ca="1">IFERROR(__xludf.DUMMYFUNCTION("IFERROR(VLOOKUP(E901&amp;F901,IMPORTRANGE(""https://docs.google.com/spreadsheets/d/1Uw7-A9f9R21vMXxHZFNpYNeKFtG8_yji4HS352LGlSQ/edit?pli=1#gid=0"",""1_ACUM!A4:S""),14,FALSE))"),"")</f>
        <v/>
      </c>
      <c r="BB635" s="43" t="str">
        <f ca="1">IFERROR(__xludf.DUMMYFUNCTION("IFERROR(VLOOKUP(E901&amp;F901,IMPORTRANGE(""https://docs.google.com/spreadsheets/d/1Uw7-A9f9R21vMXxHZFNpYNeKFtG8_yji4HS352LGlSQ/edit?pli=1#gid=0"",""1_ACUM!A4:S""),15,FALSE))"),"")</f>
        <v/>
      </c>
      <c r="BC635" s="43" t="str">
        <f ca="1">IFERROR(__xludf.DUMMYFUNCTION("IFERROR(VLOOKUP(E901&amp;F901,IMPORTRANGE(""https://docs.google.com/spreadsheets/d/1Uw7-A9f9R21vMXxHZFNpYNeKFtG8_yji4HS352LGlSQ/edit?pli=1#gid=0"",""1_ACUM!A4:S""),16,FALSE))"),"")</f>
        <v/>
      </c>
      <c r="BD635" s="43" t="str">
        <f ca="1">IFERROR(__xludf.DUMMYFUNCTION("IFERROR(VLOOKUP(E901&amp;F901,IMPORTRANGE(""https://docs.google.com/spreadsheets/d/1Uw7-A9f9R21vMXxHZFNpYNeKFtG8_yji4HS352LGlSQ/edit?pli=1#gid=0"",""1_ACUM!A4:S""),17,FALSE))"),"")</f>
        <v/>
      </c>
      <c r="BE635" s="44" t="str">
        <f ca="1">IFERROR(__xludf.DUMMYFUNCTION("IFERROR(VLOOKUP(E901&amp;F901,IMPORTRANGE(""https://docs.google.com/spreadsheets/d/1Uw7-A9f9R21vMXxHZFNpYNeKFtG8_yji4HS352LGlSQ/edit?pli=1#gid=0"",""1_ACUM!A4:S""),18,FALSE))"),"")</f>
        <v/>
      </c>
      <c r="BF635" s="44" t="str">
        <f ca="1">IFERROR(__xludf.DUMMYFUNCTION("IFERROR(VLOOKUP(E901&amp;F901,IMPORTRANGE(""https://docs.google.com/spreadsheets/d/1Uw7-A9f9R21vMXxHZFNpYNeKFtG8_yji4HS352LGlSQ/edit?pli=1#gid=0"",""1_ACUM!A4:S""),19,FALSE))"),"")</f>
        <v/>
      </c>
      <c r="BG635" s="98" t="str">
        <f ca="1">IFERROR(__xludf.DUMMYFUNCTION("IFERROR(VLOOKUP(F901,IMPORTRANGE(""https://docs.google.com/spreadsheets/d/1Kvs4KS76FHFqLFIZfrDMff4kP08nblUkihrxltoGBjg/edit#gid=934712705"",""ESENCIAL!A6:BG""),5,FALSE))"),"")</f>
        <v/>
      </c>
      <c r="BH635" s="98" t="str">
        <f t="shared" si="25"/>
        <v/>
      </c>
      <c r="BI635" s="99" t="str">
        <f t="shared" si="26"/>
        <v/>
      </c>
      <c r="BJ635" s="100" t="str">
        <f ca="1">IFERROR(__xludf.DUMMYFUNCTION("IFERROR(VLOOKUP(F901,IMPORTRANGE(""https://docs.google.com/spreadsheets/d/1Kvs4KS76FHFqLFIZfrDMff4kP08nblUkihrxltoGBjg/edit#gid=934712705"",""ESENCIAL!A6:BG""),2,FALSE))"),"")</f>
        <v/>
      </c>
      <c r="BK635" s="19" t="str">
        <f t="shared" si="27"/>
        <v/>
      </c>
      <c r="BL635" s="100"/>
      <c r="BM635" s="100"/>
    </row>
    <row r="636" spans="2:65" ht="15">
      <c r="B636" s="39"/>
      <c r="C636" s="5"/>
      <c r="D636" s="123"/>
      <c r="E636" s="39"/>
      <c r="F636" s="39"/>
      <c r="G636" s="39"/>
      <c r="H636" s="5" t="str">
        <f ca="1">IFERROR(__xludf.DUMMYFUNCTION("IFERROR(VLOOKUP(F902,IMPORTRANGE(""https://docs.google.com/spreadsheets/d/1Kvs4KS76FHFqLFIZfrDMff4kP08nblUkihrxltoGBjg/edit#gid=934712705"",""ESENCIAL!A6:BG""),3,FALSE))"),"")</f>
        <v/>
      </c>
      <c r="I636" s="5" t="str">
        <f ca="1">IFERROR(__xludf.DUMMYFUNCTION("IFERROR(VLOOKUP(F902,IMPORTRANGE(""https://docs.google.com/spreadsheets/d/1Kvs4KS76FHFqLFIZfrDMff4kP08nblUkihrxltoGBjg/edit#gid=934712705"",""ESENCIAL!A6:BG""),8,FALSE))"),"")</f>
        <v/>
      </c>
      <c r="J636" s="39"/>
      <c r="M636" s="40"/>
      <c r="AV636" s="41" t="str">
        <f t="shared" si="24"/>
        <v/>
      </c>
      <c r="AW636" s="5" t="str">
        <f ca="1">IFERROR(__xludf.DUMMYFUNCTION("IFERROR(VLOOKUP(E902&amp;F902,IMPORTRANGE(""https://docs.google.com/spreadsheets/d/1Uw7-A9f9R21vMXxHZFNpYNeKFtG8_yji4HS352LGlSQ/edit?pli=1#gid=0"",""1_ACUM!A4:S""),11,FALSE))"),"")</f>
        <v/>
      </c>
      <c r="AX636" s="42" t="str">
        <f ca="1">IFERROR(__xludf.DUMMYFUNCTION("IFERROR(VLOOKUP(F902,IMPORTRANGE(""https://docs.google.com/spreadsheets/d/1Kvs4KS76FHFqLFIZfrDMff4kP08nblUkihrxltoGBjg/edit#gid=934712705"",""ESENCIAL!A6:BG""),15,FALSE))"),"")</f>
        <v/>
      </c>
      <c r="AY636" s="110" t="str">
        <f ca="1">IFERROR(__xludf.DUMMYFUNCTION("IFERROR(VLOOKUP(E902&amp;F902,IMPORTRANGE(""https://docs.google.com/spreadsheets/d/1Uw7-A9f9R21vMXxHZFNpYNeKFtG8_yji4HS352LGlSQ/edit?pli=1#gid=0"",""1_ACUM!A4:S""),13,FALSE))"),"")</f>
        <v/>
      </c>
      <c r="AZ636" s="43" t="str">
        <f ca="1">IFERROR(__xludf.DUMMYFUNCTION("IFERROR(VLOOKUP(E902&amp;F902,IMPORTRANGE(""https://docs.google.com/spreadsheets/d/1Uw7-A9f9R21vMXxHZFNpYNeKFtG8_yji4HS352LGlSQ/edit?pli=1#gid=0"",""1_ACUM!A4:S""),13,FALSE))"),"")</f>
        <v/>
      </c>
      <c r="BA636" s="43" t="str">
        <f ca="1">IFERROR(__xludf.DUMMYFUNCTION("IFERROR(VLOOKUP(E902&amp;F902,IMPORTRANGE(""https://docs.google.com/spreadsheets/d/1Uw7-A9f9R21vMXxHZFNpYNeKFtG8_yji4HS352LGlSQ/edit?pli=1#gid=0"",""1_ACUM!A4:S""),14,FALSE))"),"")</f>
        <v/>
      </c>
      <c r="BB636" s="43" t="str">
        <f ca="1">IFERROR(__xludf.DUMMYFUNCTION("IFERROR(VLOOKUP(E902&amp;F902,IMPORTRANGE(""https://docs.google.com/spreadsheets/d/1Uw7-A9f9R21vMXxHZFNpYNeKFtG8_yji4HS352LGlSQ/edit?pli=1#gid=0"",""1_ACUM!A4:S""),15,FALSE))"),"")</f>
        <v/>
      </c>
      <c r="BC636" s="43" t="str">
        <f ca="1">IFERROR(__xludf.DUMMYFUNCTION("IFERROR(VLOOKUP(E902&amp;F902,IMPORTRANGE(""https://docs.google.com/spreadsheets/d/1Uw7-A9f9R21vMXxHZFNpYNeKFtG8_yji4HS352LGlSQ/edit?pli=1#gid=0"",""1_ACUM!A4:S""),16,FALSE))"),"")</f>
        <v/>
      </c>
      <c r="BD636" s="43" t="str">
        <f ca="1">IFERROR(__xludf.DUMMYFUNCTION("IFERROR(VLOOKUP(E902&amp;F902,IMPORTRANGE(""https://docs.google.com/spreadsheets/d/1Uw7-A9f9R21vMXxHZFNpYNeKFtG8_yji4HS352LGlSQ/edit?pli=1#gid=0"",""1_ACUM!A4:S""),17,FALSE))"),"")</f>
        <v/>
      </c>
      <c r="BE636" s="44" t="str">
        <f ca="1">IFERROR(__xludf.DUMMYFUNCTION("IFERROR(VLOOKUP(E902&amp;F902,IMPORTRANGE(""https://docs.google.com/spreadsheets/d/1Uw7-A9f9R21vMXxHZFNpYNeKFtG8_yji4HS352LGlSQ/edit?pli=1#gid=0"",""1_ACUM!A4:S""),18,FALSE))"),"")</f>
        <v/>
      </c>
      <c r="BF636" s="44" t="str">
        <f ca="1">IFERROR(__xludf.DUMMYFUNCTION("IFERROR(VLOOKUP(E902&amp;F902,IMPORTRANGE(""https://docs.google.com/spreadsheets/d/1Uw7-A9f9R21vMXxHZFNpYNeKFtG8_yji4HS352LGlSQ/edit?pli=1#gid=0"",""1_ACUM!A4:S""),19,FALSE))"),"")</f>
        <v/>
      </c>
      <c r="BG636" s="98" t="str">
        <f ca="1">IFERROR(__xludf.DUMMYFUNCTION("IFERROR(VLOOKUP(F902,IMPORTRANGE(""https://docs.google.com/spreadsheets/d/1Kvs4KS76FHFqLFIZfrDMff4kP08nblUkihrxltoGBjg/edit#gid=934712705"",""ESENCIAL!A6:BG""),5,FALSE))"),"")</f>
        <v/>
      </c>
      <c r="BH636" s="98" t="str">
        <f t="shared" si="25"/>
        <v/>
      </c>
      <c r="BI636" s="99" t="str">
        <f t="shared" si="26"/>
        <v/>
      </c>
      <c r="BJ636" s="100" t="str">
        <f ca="1">IFERROR(__xludf.DUMMYFUNCTION("IFERROR(VLOOKUP(F902,IMPORTRANGE(""https://docs.google.com/spreadsheets/d/1Kvs4KS76FHFqLFIZfrDMff4kP08nblUkihrxltoGBjg/edit#gid=934712705"",""ESENCIAL!A6:BG""),2,FALSE))"),"")</f>
        <v/>
      </c>
      <c r="BK636" s="19" t="str">
        <f t="shared" si="27"/>
        <v/>
      </c>
      <c r="BL636" s="100"/>
      <c r="BM636" s="100"/>
    </row>
  </sheetData>
  <customSheetViews>
    <customSheetView guid="{8F08FB73-6374-4F55-A96D-C098EEA51CA4}" filter="1" showAutoFilter="1">
      <pageMargins left="0" right="0" top="0" bottom="0" header="0" footer="0"/>
      <autoFilter ref="A2:BI902" xr:uid="{4A1B0C41-8162-1342-8C97-6D3AB25BD823}">
        <filterColumn colId="1">
          <filters blank="1">
            <filter val="APLAZADO  18/10/2022"/>
            <filter val="CONDICIONADO 18/10/2022"/>
            <filter val="FORMACIÓN 18/10/2022"/>
            <filter val="INDUCCIÓN 18/10/2022"/>
          </filters>
        </filterColumn>
        <filterColumn colId="7">
          <filters blank="1">
            <filter val="ANALISIS Y DESARROLLO DE SISTEMAS DE INFORMACION"/>
            <filter val="PRODUCCION DE MULTIMEDIA"/>
            <filter val="PROGRAMACION DE SOFTWARE ."/>
            <filter val="SISTEMAS."/>
          </filters>
        </filterColumn>
        <filterColumn colId="11">
          <filters blank="1">
            <filter val="NO HA INICIADO ETAPA PRODUCTIVA"/>
            <filter val="TERMINADO"/>
            <filter val="UNIDAD PRODUCTIVA"/>
            <filter val="VINCULACIÓN LABORAL"/>
          </filters>
        </filterColumn>
      </autoFilter>
    </customSheetView>
    <customSheetView guid="{1595741D-5B83-4B67-A5B8-38E51C4A1B31}" filter="1" showAutoFilter="1">
      <pageMargins left="0" right="0" top="0" bottom="0" header="0" footer="0"/>
      <autoFilter ref="A2:BI902" xr:uid="{A2C44CD7-380E-274E-AF06-295CB9E68FF0}"/>
    </customSheetView>
    <customSheetView guid="{BBB32CBF-1206-49CF-9564-FFF3E5D3FB23}" filter="1" showAutoFilter="1">
      <pageMargins left="0" right="0" top="0" bottom="0" header="0" footer="0"/>
      <autoFilter ref="A2:BL341" xr:uid="{F8A1A7AE-C49F-3E4D-A0D4-D8AA994F2FC5}"/>
    </customSheetView>
    <customSheetView guid="{E88A738E-D6BC-407B-95EB-EA4EB8AE1667}" filter="1" showAutoFilter="1">
      <pageMargins left="0" right="0" top="0" bottom="0" header="0" footer="0"/>
      <autoFilter ref="A2:BI902" xr:uid="{F1D21572-6CB1-5948-ACAE-D3E3298CA676}">
        <filterColumn colId="3">
          <filters blank="1">
            <filter val="cc"/>
            <filter val="CE"/>
            <filter val="DNI"/>
            <filter val="TI"/>
          </filters>
        </filterColumn>
        <filterColumn colId="11">
          <filters>
            <filter val="NO HA INICIADO ETAPA PRODUCTIVA"/>
            <filter val="TERMINADO"/>
            <filter val="UNIDAD PRODUCTIVA"/>
            <filter val="VINCULACIÓN LABORAL"/>
          </filters>
        </filterColumn>
      </autoFilter>
    </customSheetView>
    <customSheetView guid="{84E55A85-4999-488C-B8FB-CF76BA148A0B}" filter="1" showAutoFilter="1">
      <pageMargins left="0" right="0" top="0" bottom="0" header="0" footer="0"/>
      <autoFilter ref="A2:BI902" xr:uid="{B32287A0-E48B-DC46-BF06-CA37F7DA9872}">
        <filterColumn colId="11">
          <filters>
            <filter val="CONTRATO DE APRENDIZAJE"/>
            <filter val="NO HA INICIADO ETAPA PRODUCTIVA"/>
            <filter val="TERMINADO"/>
            <filter val="UNIDAD PRODUCTIVA"/>
            <filter val="VINCULACIÓN LABORAL"/>
          </filters>
        </filterColumn>
      </autoFilter>
    </customSheetView>
    <customSheetView guid="{58B89FF3-C647-47FD-9CC2-FAEF34225D14}" filter="1" showAutoFilter="1">
      <pageMargins left="0" right="0" top="0" bottom="0" header="0" footer="0"/>
      <autoFilter ref="A2:AL902" xr:uid="{41FDFA66-0615-0A4C-BB02-CF838E523411}"/>
    </customSheetView>
    <customSheetView guid="{942B7108-0506-4047-9340-9E431C336232}" filter="1" showAutoFilter="1">
      <pageMargins left="0" right="0" top="0" bottom="0" header="0" footer="0"/>
      <autoFilter ref="A2:BI902" xr:uid="{FED6CEFE-16F9-D148-8A1F-FE0BA3CB7753}">
        <filterColumn colId="11">
          <filters blank="1">
            <filter val="NO HA INICIADO ETAPA PRODUCTIVA"/>
            <filter val="TERMINADO"/>
            <filter val="UNIDAD PRODUCTIVA"/>
            <filter val="VINCULACIÓN LABORAL"/>
          </filters>
        </filterColumn>
      </autoFilter>
    </customSheetView>
    <customSheetView guid="{EAC82E0D-75FA-41B7-8B62-97FB6A6849EA}" filter="1" showAutoFilter="1">
      <pageMargins left="0" right="0" top="0" bottom="0" header="0" footer="0"/>
      <autoFilter ref="A2:AL902" xr:uid="{8DB8D31A-714A-C64A-9C68-9B5F789845EE}">
        <filterColumn colId="1">
          <filters blank="1">
            <filter val="APLAZADO  18/10/2022"/>
            <filter val="CONDICIONADO 18/10/2022"/>
            <filter val="FORMACIÓN 18/10/2022"/>
            <filter val="INDUCCIÓN 18/10/2022"/>
          </filters>
        </filterColumn>
        <filterColumn colId="11">
          <filters blank="1">
            <filter val="NO HA INICIADO ETAPA PRODUCTIVA"/>
            <filter val="PROYECTO PRODUCTIVO"/>
            <filter val="TERMINADO"/>
            <filter val="UNIDAD PRODUCTIVA"/>
            <filter val="VINCULACIÓN LABORAL"/>
          </filters>
        </filterColumn>
      </autoFilter>
    </customSheetView>
    <customSheetView guid="{F538DE6E-16F6-4729-8AE2-7E15099C785E}" filter="1" showAutoFilter="1">
      <pageMargins left="0" right="0" top="0" bottom="0" header="0" footer="0"/>
      <autoFilter ref="A2:BI902" xr:uid="{299E67EB-5B2C-334D-8FDF-B9CDF6FA8BDB}">
        <filterColumn colId="3">
          <filters>
            <filter val="CC"/>
          </filters>
        </filterColumn>
        <filterColumn colId="11">
          <filters blank="1">
            <filter val="NO HA INICIADO ETAPA PRODUCTIVA"/>
            <filter val="TERMINADO"/>
            <filter val="UNIDAD PRODUCTIVA"/>
            <filter val="VINCULACIÓN LABORAL"/>
          </filters>
        </filterColumn>
      </autoFilter>
    </customSheetView>
  </customSheetViews>
  <mergeCells count="3">
    <mergeCell ref="D1:M1"/>
    <mergeCell ref="N1:R1"/>
    <mergeCell ref="S1:U1"/>
  </mergeCells>
  <dataValidations count="2">
    <dataValidation type="list" allowBlank="1" showInputMessage="1" showErrorMessage="1" prompt="Haz clic e introduce un valor de la lista de elementos" sqref="M35:M36 M94 M56:M64 M117 M457:M636 M19 M24 M26 M31 M33 M39:M40 M42:M47 M49:M50 M54 M80 M82 M88:M92 M98:M99 M102 M107:M109 M111:M113 M3:M15" xr:uid="{00000000-0002-0000-0600-000000000000}">
      <formula1>"UNIDAD PRODUCTIVA,CONTRATO DE APRENDIZAJE,NO HA INICIADO ETAPA PRODUCTIVA,NO TIENE LEGALIZACIÓN,NO VA A RELIZAR ETAPA PRODUCTIVA,PASANTÍAS,PENDIENTE,PROYECTO PRODUCTIVO,PRODUCTIVO,RENUNCIO A CONTRATO DE APRENDIZAJE,RETIRO DE SU ETAPA PRODUCTIVA,RETIRO VOL"&amp;"UNTARIO,SI REALIZO PRACTICAS,TERMINADO,TERMINO CONTRATO DE APRENDIZAJE,TRABAJADOR(A) INDEPENDIENTE,VINCULACIÓN LABORAL"</formula1>
    </dataValidation>
    <dataValidation type="list" allowBlank="1" showInputMessage="1" showErrorMessage="1" sqref="M120:M456 M16:M18 M20:M23 M25 M27:M30 M32 M34 M37 M41 M114:M115 M48 M51:M53 M55 M65:M66 M68:M79 M81 M83:M87 M93 M95 M97 M100:M101 M103:M106 M110" xr:uid="{C75428C2-FDEE-4A91-8E04-DF0035BAF1B6}">
      <formula1>"CONTRATO DE APRENDIZAJE,NO HA INICIADO ETAPA PRODUCTIVA,PASANTÍAS,PROYECTO PRODUCTIVO,RENUNCIO A CONTRATO DE APRENDIZAJE,TERMINADO,TERMINADO EL CONTRATO,VINCULACIÓN LABORAL"</formula1>
    </dataValidation>
  </dataValidations>
  <hyperlinks>
    <hyperlink ref="K20" r:id="rId1" xr:uid="{00000000-0004-0000-0600-000002000000}"/>
    <hyperlink ref="K22" r:id="rId2" xr:uid="{00000000-0004-0000-0600-000003000000}"/>
    <hyperlink ref="K3" r:id="rId3" xr:uid="{00000000-0004-0000-0600-000004000000}"/>
    <hyperlink ref="K61" r:id="rId4" xr:uid="{00000000-0004-0000-0600-000008000000}"/>
    <hyperlink ref="K64" r:id="rId5" xr:uid="{00000000-0004-0000-0600-000009000000}"/>
    <hyperlink ref="K65" r:id="rId6" xr:uid="{00000000-0004-0000-0600-00000A000000}"/>
    <hyperlink ref="K17" r:id="rId7" xr:uid="{00000000-0004-0000-0600-00000B000000}"/>
    <hyperlink ref="K88" r:id="rId8" xr:uid="{00000000-0004-0000-0600-00000C000000}"/>
    <hyperlink ref="K89" r:id="rId9" xr:uid="{00000000-0004-0000-0600-00000D000000}"/>
    <hyperlink ref="K94" r:id="rId10" xr:uid="{00000000-0004-0000-0600-00000E000000}"/>
    <hyperlink ref="K95" r:id="rId11" xr:uid="{00000000-0004-0000-0600-00000F000000}"/>
    <hyperlink ref="K96" r:id="rId12" xr:uid="{00000000-0004-0000-0600-000010000000}"/>
    <hyperlink ref="K97" r:id="rId13" xr:uid="{00000000-0004-0000-0600-000011000000}"/>
    <hyperlink ref="K98" r:id="rId14" xr:uid="{00000000-0004-0000-0600-000012000000}"/>
    <hyperlink ref="K99" r:id="rId15" xr:uid="{00000000-0004-0000-0600-000013000000}"/>
    <hyperlink ref="K19" r:id="rId16" xr:uid="{00000000-0004-0000-0600-000014000000}"/>
    <hyperlink ref="K100" r:id="rId17" xr:uid="{00000000-0004-0000-0600-000015000000}"/>
    <hyperlink ref="R13" r:id="rId18" xr:uid="{3AA8C4B6-FC66-43AD-9D45-B3353FD23200}"/>
    <hyperlink ref="K90" r:id="rId19" xr:uid="{59AA291C-D3D6-4ED2-BB43-D6C48CB49EE8}"/>
    <hyperlink ref="R90" r:id="rId20" xr:uid="{078FEA38-85FC-466D-B7F4-89D1A9EA1491}"/>
    <hyperlink ref="K42" r:id="rId21" xr:uid="{B5925449-3130-4C7F-829B-599B2CFC89F4}"/>
    <hyperlink ref="R42" r:id="rId22" xr:uid="{4D8935FB-59F8-4A4B-81C6-259D9198C23E}"/>
    <hyperlink ref="K21" r:id="rId23" xr:uid="{2E3BF544-6912-4F94-B96D-6A75E107236C}"/>
    <hyperlink ref="K24" r:id="rId24" xr:uid="{E9516328-DA69-43C5-86A6-CC685A80AC89}"/>
    <hyperlink ref="K25" r:id="rId25" xr:uid="{F9BFC28D-F36A-47C7-8319-3021DEEBB6D3}"/>
    <hyperlink ref="K26" r:id="rId26" xr:uid="{9042256D-7AFE-4DFC-A2B9-CF3331AE9CFF}"/>
    <hyperlink ref="R96" r:id="rId27" xr:uid="{98CCC444-6C0D-4234-AB6E-AF89C41FF8C7}"/>
    <hyperlink ref="R108" r:id="rId28" xr:uid="{2CFF3433-518C-4EF5-9973-D70E4EEE04F5}"/>
    <hyperlink ref="K108" r:id="rId29" xr:uid="{748328F8-02F8-4EB5-88B0-04E6B55902BA}"/>
    <hyperlink ref="K47" r:id="rId30" xr:uid="{127E499A-9B30-4C9F-BB68-04BEA7C27BE5}"/>
    <hyperlink ref="K4" r:id="rId31" xr:uid="{72534B60-9226-4372-8187-2D0D90B84000}"/>
    <hyperlink ref="K83" r:id="rId32" xr:uid="{B317E5CF-436A-4E09-8F92-4E93774E178F}"/>
    <hyperlink ref="K116" r:id="rId33" xr:uid="{CA86FAA2-FEE8-40F5-AD4A-4B7DDADD30EE}"/>
    <hyperlink ref="R116" r:id="rId34" xr:uid="{04B5778C-7657-499A-B13C-4C08DC27A3C6}"/>
    <hyperlink ref="K118" r:id="rId35" xr:uid="{EE198666-ADE1-4BE0-A8A0-1302E3FD3057}"/>
    <hyperlink ref="R118" r:id="rId36" xr:uid="{00056841-6F25-47D4-84A4-1E56325653BF}"/>
    <hyperlink ref="K119" r:id="rId37" xr:uid="{EC31B377-2C81-4D84-95D8-68643DF4D13D}"/>
    <hyperlink ref="R119" r:id="rId38" xr:uid="{0C4C84BB-548A-44B0-8F52-C34B53CBB536}"/>
    <hyperlink ref="R102" r:id="rId39" xr:uid="{560065A1-86A1-4EBF-BF3F-FB96ED6D8C90}"/>
    <hyperlink ref="K102" r:id="rId40" xr:uid="{C94FD1F7-4171-4D02-8ACC-B48421BFB000}"/>
    <hyperlink ref="R107" r:id="rId41" xr:uid="{246781F4-B5A5-40C7-8791-F14056F1CDF7}"/>
    <hyperlink ref="K46" r:id="rId42" xr:uid="{D4146A72-1234-4046-A017-5466BFC5D2D7}"/>
    <hyperlink ref="K111" r:id="rId43" xr:uid="{1814427C-7641-4148-90B1-37AB933A8F4C}"/>
  </hyperlinks>
  <pageMargins left="0" right="0" top="0" bottom="0" header="0" footer="0"/>
  <tableParts count="1">
    <tablePart r:id="rId4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Q941"/>
  <sheetViews>
    <sheetView workbookViewId="0">
      <selection activeCell="C1" sqref="C1:L1"/>
    </sheetView>
  </sheetViews>
  <sheetFormatPr baseColWidth="10" defaultColWidth="12.5" defaultRowHeight="15.75" customHeight="1"/>
  <cols>
    <col min="1" max="1" width="23.5" customWidth="1"/>
    <col min="2" max="2" width="12.5" customWidth="1"/>
    <col min="3" max="3" width="34.83203125" customWidth="1"/>
    <col min="4" max="4" width="23" customWidth="1"/>
    <col min="5" max="5" width="17.5" customWidth="1"/>
    <col min="6" max="8" width="12.5" customWidth="1"/>
    <col min="9" max="9" width="13" customWidth="1"/>
    <col min="10" max="10" width="11.5" customWidth="1"/>
    <col min="11" max="11" width="11.83203125" customWidth="1"/>
    <col min="12" max="12" width="34.33203125" customWidth="1"/>
    <col min="13" max="13" width="14.5" customWidth="1"/>
    <col min="14" max="14" width="15.33203125" customWidth="1"/>
    <col min="15" max="15" width="15" customWidth="1"/>
    <col min="16" max="16" width="12.5" customWidth="1"/>
    <col min="17" max="17" width="46.83203125" customWidth="1"/>
    <col min="18" max="18" width="26.83203125" customWidth="1"/>
    <col min="19" max="19" width="24.5" customWidth="1"/>
    <col min="20" max="20" width="40.5" customWidth="1"/>
    <col min="21" max="21" width="28.5" customWidth="1"/>
    <col min="22" max="22" width="21.83203125" customWidth="1"/>
    <col min="23" max="23" width="17.5" customWidth="1"/>
    <col min="26" max="26" width="16.6640625" customWidth="1"/>
    <col min="27" max="27" width="30.83203125" customWidth="1"/>
    <col min="28" max="28" width="16.5" customWidth="1"/>
    <col min="29" max="29" width="23" customWidth="1"/>
    <col min="30" max="30" width="39.33203125" customWidth="1"/>
    <col min="31" max="31" width="41.1640625" customWidth="1"/>
    <col min="32" max="32" width="34.5" customWidth="1"/>
    <col min="33" max="33" width="36.33203125" customWidth="1"/>
    <col min="34" max="34" width="35.5" customWidth="1"/>
    <col min="35" max="35" width="25.6640625" customWidth="1"/>
    <col min="36" max="36" width="22.33203125" customWidth="1"/>
    <col min="37" max="37" width="21.5" customWidth="1"/>
    <col min="38" max="38" width="22" customWidth="1"/>
    <col min="39" max="39" width="40.5" customWidth="1"/>
    <col min="40" max="40" width="21.1640625" customWidth="1"/>
    <col min="41" max="43" width="15.83203125" customWidth="1"/>
  </cols>
  <sheetData>
    <row r="1" spans="1:43" ht="15">
      <c r="A1" s="45"/>
      <c r="B1" s="46"/>
      <c r="C1" s="633" t="s">
        <v>0</v>
      </c>
      <c r="D1" s="623"/>
      <c r="E1" s="623"/>
      <c r="F1" s="623"/>
      <c r="G1" s="623"/>
      <c r="H1" s="623"/>
      <c r="I1" s="623"/>
      <c r="J1" s="623"/>
      <c r="K1" s="623"/>
      <c r="L1" s="621"/>
      <c r="M1" s="628" t="s">
        <v>1</v>
      </c>
      <c r="N1" s="623"/>
      <c r="O1" s="623"/>
      <c r="P1" s="623"/>
      <c r="Q1" s="621"/>
      <c r="R1" s="634" t="s">
        <v>2</v>
      </c>
      <c r="S1" s="623"/>
      <c r="T1" s="621"/>
      <c r="U1" s="5"/>
      <c r="V1" s="5"/>
      <c r="W1" s="5"/>
      <c r="X1" s="5"/>
      <c r="Y1" s="5"/>
      <c r="Z1" s="5"/>
      <c r="AA1" s="5"/>
      <c r="AB1" s="5"/>
      <c r="AC1" s="5"/>
      <c r="AD1" s="5"/>
      <c r="AE1" s="5"/>
      <c r="AF1" s="5"/>
      <c r="AG1" s="5"/>
      <c r="AH1" s="5"/>
      <c r="AI1" s="5"/>
      <c r="AJ1" s="5"/>
      <c r="AK1" s="5"/>
      <c r="AL1" s="6" t="s">
        <v>540</v>
      </c>
      <c r="AM1" s="7">
        <f ca="1">TODAY()</f>
        <v>45028</v>
      </c>
      <c r="AN1" s="5"/>
      <c r="AO1" s="5"/>
      <c r="AP1" s="5"/>
      <c r="AQ1" s="5"/>
    </row>
    <row r="2" spans="1:43" ht="46">
      <c r="A2" s="297" t="s">
        <v>3</v>
      </c>
      <c r="B2" s="47" t="s">
        <v>4</v>
      </c>
      <c r="C2" s="47" t="s">
        <v>182</v>
      </c>
      <c r="D2" s="47" t="s">
        <v>6</v>
      </c>
      <c r="E2" s="47" t="s">
        <v>7</v>
      </c>
      <c r="F2" s="47" t="s">
        <v>8</v>
      </c>
      <c r="G2" s="9" t="s">
        <v>9</v>
      </c>
      <c r="H2" s="9" t="s">
        <v>10</v>
      </c>
      <c r="I2" s="47" t="s">
        <v>11</v>
      </c>
      <c r="J2" s="47" t="s">
        <v>12</v>
      </c>
      <c r="K2" s="47" t="s">
        <v>13</v>
      </c>
      <c r="L2" s="47" t="s">
        <v>14</v>
      </c>
      <c r="M2" s="48" t="s">
        <v>15</v>
      </c>
      <c r="N2" s="48" t="s">
        <v>16</v>
      </c>
      <c r="O2" s="48" t="s">
        <v>17</v>
      </c>
      <c r="P2" s="48" t="s">
        <v>18</v>
      </c>
      <c r="Q2" s="48" t="s">
        <v>19</v>
      </c>
      <c r="R2" s="49" t="s">
        <v>20</v>
      </c>
      <c r="S2" s="49" t="s">
        <v>21</v>
      </c>
      <c r="T2" s="9" t="s">
        <v>22</v>
      </c>
      <c r="U2" s="9" t="s">
        <v>985</v>
      </c>
      <c r="V2" s="11" t="s">
        <v>986</v>
      </c>
      <c r="W2" s="11" t="s">
        <v>987</v>
      </c>
      <c r="X2" s="11" t="s">
        <v>988</v>
      </c>
      <c r="Y2" s="11" t="s">
        <v>989</v>
      </c>
      <c r="Z2" s="12" t="s">
        <v>546</v>
      </c>
      <c r="AA2" s="12" t="s">
        <v>547</v>
      </c>
      <c r="AB2" s="12" t="s">
        <v>548</v>
      </c>
      <c r="AC2" s="12" t="s">
        <v>549</v>
      </c>
      <c r="AD2" s="12" t="s">
        <v>550</v>
      </c>
      <c r="AE2" s="12" t="s">
        <v>551</v>
      </c>
      <c r="AF2" s="12" t="s">
        <v>552</v>
      </c>
      <c r="AG2" s="12" t="s">
        <v>553</v>
      </c>
      <c r="AH2" s="12" t="s">
        <v>554</v>
      </c>
      <c r="AI2" s="12" t="s">
        <v>204</v>
      </c>
      <c r="AJ2" s="12" t="s">
        <v>205</v>
      </c>
      <c r="AK2" s="13" t="s">
        <v>206</v>
      </c>
      <c r="AL2" s="13" t="s">
        <v>207</v>
      </c>
      <c r="AM2" s="14" t="s">
        <v>208</v>
      </c>
      <c r="AN2" s="14" t="s">
        <v>209</v>
      </c>
      <c r="AO2" s="15" t="s">
        <v>555</v>
      </c>
      <c r="AP2" s="294"/>
      <c r="AQ2" s="14"/>
    </row>
    <row r="3" spans="1:43" ht="18" customHeight="1">
      <c r="A3" s="300" t="s">
        <v>990</v>
      </c>
      <c r="B3" s="167" t="s">
        <v>25</v>
      </c>
      <c r="C3" s="168" t="s">
        <v>991</v>
      </c>
      <c r="D3" s="168" t="s">
        <v>27</v>
      </c>
      <c r="E3" s="168">
        <v>1004083605</v>
      </c>
      <c r="F3" s="168">
        <v>2280187</v>
      </c>
      <c r="G3" s="166" t="str">
        <f ca="1">IFERROR(__xludf.DUMMYFUNCTION("IFERROR(VLOOKUP(F37,IMPORTRANGE(""https://docs.google.com/spreadsheets/d/1Kvs4KS76FHFqLFIZfrDMff4kP08nblUkihrxltoGBjg/edit#gid=934712705"",""ESENCIAL!A6:BG""),3,FALSE))"),"TÉCNICO")</f>
        <v>TÉCNICO</v>
      </c>
      <c r="H3" s="166" t="str">
        <f ca="1">IFERROR(__xludf.DUMMYFUNCTION("IFERROR(VLOOKUP(F37,IMPORTRANGE(""https://docs.google.com/spreadsheets/d/1Kvs4KS76FHFqLFIZfrDMff4kP08nblUkihrxltoGBjg/edit#gid=934712705"",""ESENCIAL!A6:BG""),8,FALSE))"),"COCINA.")</f>
        <v>COCINA.</v>
      </c>
      <c r="I3" s="184">
        <v>3105536106</v>
      </c>
      <c r="J3" s="184" t="s">
        <v>992</v>
      </c>
      <c r="K3" s="189" t="s">
        <v>993</v>
      </c>
      <c r="L3" s="273" t="s">
        <v>28</v>
      </c>
      <c r="M3" s="169" t="s">
        <v>994</v>
      </c>
      <c r="N3" s="170"/>
      <c r="O3" s="169"/>
      <c r="P3" s="169"/>
      <c r="Q3" s="169"/>
      <c r="R3" s="198">
        <v>44716</v>
      </c>
      <c r="S3" s="198">
        <v>44898</v>
      </c>
      <c r="T3" s="169"/>
      <c r="U3" s="169"/>
      <c r="V3" s="172" t="s">
        <v>995</v>
      </c>
      <c r="W3" s="172" t="s">
        <v>996</v>
      </c>
      <c r="X3" s="172"/>
      <c r="Y3" s="172"/>
      <c r="Z3" s="173" t="str">
        <f t="shared" ref="Z3:Z48" ca="1" si="0">IF(E3&gt;0,IF(AND(AH3=1,AE3=1),"Procede_E_P","NO_CUMPLE"),"")</f>
        <v>Procede_E_P</v>
      </c>
      <c r="AA3" s="166" t="str">
        <f ca="1">IFERROR(__xludf.DUMMYFUNCTION("IFERROR(VLOOKUP(E37&amp;F37,IMPORTRANGE(""https://docs.google.com/spreadsheets/d/1Uw7-A9f9R21vMXxHZFNpYNeKFtG8_yji4HS352LGlSQ/edit?pli=1#gid=0"",""1_ACUM!A4:S""),11,FALSE))"),"EN FORMACION")</f>
        <v>EN FORMACION</v>
      </c>
      <c r="AB3" s="174" t="str">
        <f ca="1">IFERROR(__xludf.DUMMYFUNCTION("IFERROR(VLOOKUP(F37,IMPORTRANGE(""https://docs.google.com/spreadsheets/d/1Kvs4KS76FHFqLFIZfrDMff4kP08nblUkihrxltoGBjg/edit#gid=934712705"",""ESENCIAL!A6:BG""),15,FALSE))"),"TURISMO")</f>
        <v>TURISMO</v>
      </c>
      <c r="AC3" s="175">
        <f ca="1">IFERROR(__xludf.DUMMYFUNCTION("IFERROR(VLOOKUP(E37&amp;F37,IMPORTRANGE(""https://docs.google.com/spreadsheets/d/1Uw7-A9f9R21vMXxHZFNpYNeKFtG8_yji4HS352LGlSQ/edit?pli=1#gid=0"",""1_ACUM!A4:S""),13,FALSE))"),0)</f>
        <v>0</v>
      </c>
      <c r="AD3" s="176">
        <f ca="1">IFERROR(__xludf.DUMMYFUNCTION("IFERROR(VLOOKUP(E37&amp;F37,IMPORTRANGE(""https://docs.google.com/spreadsheets/d/1Uw7-A9f9R21vMXxHZFNpYNeKFtG8_yji4HS352LGlSQ/edit?pli=1#gid=0"",""1_ACUM!A4:S""),13,FALSE))"),0)</f>
        <v>0</v>
      </c>
      <c r="AE3" s="176">
        <f ca="1">IFERROR(__xludf.DUMMYFUNCTION("IFERROR(VLOOKUP(E37&amp;F37,IMPORTRANGE(""https://docs.google.com/spreadsheets/d/1Uw7-A9f9R21vMXxHZFNpYNeKFtG8_yji4HS352LGlSQ/edit?pli=1#gid=0"",""1_ACUM!A4:S""),14,FALSE))"),1)</f>
        <v>1</v>
      </c>
      <c r="AF3" s="176">
        <f ca="1">IFERROR(__xludf.DUMMYFUNCTION("IFERROR(VLOOKUP(E37&amp;F37,IMPORTRANGE(""https://docs.google.com/spreadsheets/d/1Uw7-A9f9R21vMXxHZFNpYNeKFtG8_yji4HS352LGlSQ/edit?pli=1#gid=0"",""1_ACUM!A4:S""),15,FALSE))"),0)</f>
        <v>0</v>
      </c>
      <c r="AG3" s="176">
        <f ca="1">IFERROR(__xludf.DUMMYFUNCTION("IFERROR(VLOOKUP(E37&amp;F37,IMPORTRANGE(""https://docs.google.com/spreadsheets/d/1Uw7-A9f9R21vMXxHZFNpYNeKFtG8_yji4HS352LGlSQ/edit?pli=1#gid=0"",""1_ACUM!A4:S""),16,FALSE))"),0)</f>
        <v>0</v>
      </c>
      <c r="AH3" s="176">
        <f ca="1">IFERROR(__xludf.DUMMYFUNCTION("IFERROR(VLOOKUP(E37&amp;F37,IMPORTRANGE(""https://docs.google.com/spreadsheets/d/1Uw7-A9f9R21vMXxHZFNpYNeKFtG8_yji4HS352LGlSQ/edit?pli=1#gid=0"",""1_ACUM!A4:S""),17,FALSE))"),1)</f>
        <v>1</v>
      </c>
      <c r="AI3" s="177">
        <f ca="1">IFERROR(__xludf.DUMMYFUNCTION("IFERROR(VLOOKUP(E37&amp;F37,IMPORTRANGE(""https://docs.google.com/spreadsheets/d/1Uw7-A9f9R21vMXxHZFNpYNeKFtG8_yji4HS352LGlSQ/edit?pli=1#gid=0"",""1_ACUM!A4:S""),18,FALSE))"),44301)</f>
        <v>44301</v>
      </c>
      <c r="AJ3" s="177">
        <f ca="1">IFERROR(__xludf.DUMMYFUNCTION("IFERROR(VLOOKUP(E37&amp;F37,IMPORTRANGE(""https://docs.google.com/spreadsheets/d/1Uw7-A9f9R21vMXxHZFNpYNeKFtG8_yji4HS352LGlSQ/edit?pli=1#gid=0"",""1_ACUM!A4:S""),19,FALSE))"),44575)</f>
        <v>44575</v>
      </c>
      <c r="AK3" s="178">
        <f ca="1">IFERROR(__xludf.DUMMYFUNCTION("IFERROR(VLOOKUP(F37,IMPORTRANGE(""https://docs.google.com/spreadsheets/d/1Kvs4KS76FHFqLFIZfrDMff4kP08nblUkihrxltoGBjg/edit#gid=934712705"",""ESENCIAL!A6:BG""),5,FALSE))"),44756)</f>
        <v>44756</v>
      </c>
      <c r="AL3" s="178">
        <f t="shared" ref="AL3:AL48" ca="1" si="1">IF(F3&gt;0,EDATE(AK3,18),"")</f>
        <v>45305</v>
      </c>
      <c r="AM3" s="179" t="str">
        <f t="shared" ref="AM3:AM48" ca="1" si="2">IF(F3&gt;0,IF(AL3&lt;$AM$1,"FINALIZAR FICHA","FICHA EN TIEMPO-18 MESES"),"")</f>
        <v>FICHA EN TIEMPO-18 MESES</v>
      </c>
      <c r="AN3" s="173" t="str">
        <f ca="1">IFERROR(__xludf.DUMMYFUNCTION("IFERROR(VLOOKUP(F37,IMPORTRANGE(""https://docs.google.com/spreadsheets/d/1Kvs4KS76FHFqLFIZfrDMff4kP08nblUkihrxltoGBjg/edit#gid=934712705"",""ESENCIAL!A6:BG""),2,FALSE))"),"Terminada por fecha")</f>
        <v>Terminada por fecha</v>
      </c>
      <c r="AO3" s="173" t="str">
        <f t="shared" ref="AO3:AO48" si="3">IF(F3&gt;0,"Yamboro","")</f>
        <v>Yamboro</v>
      </c>
      <c r="AP3" s="292"/>
      <c r="AQ3" s="38"/>
    </row>
    <row r="4" spans="1:43" ht="18" customHeight="1">
      <c r="A4" s="300" t="s">
        <v>990</v>
      </c>
      <c r="B4" s="167" t="s">
        <v>25</v>
      </c>
      <c r="C4" s="168" t="s">
        <v>997</v>
      </c>
      <c r="D4" s="168"/>
      <c r="E4" s="168">
        <v>1007163615</v>
      </c>
      <c r="F4" s="168">
        <v>2280187</v>
      </c>
      <c r="G4" s="166" t="str">
        <f ca="1">IFERROR(__xludf.DUMMYFUNCTION("IFERROR(VLOOKUP(F40,IMPORTRANGE(""https://docs.google.com/spreadsheets/d/1Kvs4KS76FHFqLFIZfrDMff4kP08nblUkihrxltoGBjg/edit#gid=934712705"",""ESENCIAL!A6:BG""),3,FALSE))"),"TÉCNICO")</f>
        <v>TÉCNICO</v>
      </c>
      <c r="H4" s="166" t="str">
        <f ca="1">IFERROR(__xludf.DUMMYFUNCTION("IFERROR(VLOOKUP(F40,IMPORTRANGE(""https://docs.google.com/spreadsheets/d/1Kvs4KS76FHFqLFIZfrDMff4kP08nblUkihrxltoGBjg/edit#gid=934712705"",""ESENCIAL!A6:BG""),8,FALSE))"),"COCINA.")</f>
        <v>COCINA.</v>
      </c>
      <c r="I4" s="168">
        <v>3177551998</v>
      </c>
      <c r="J4" s="168" t="s">
        <v>998</v>
      </c>
      <c r="K4" s="168" t="s">
        <v>84</v>
      </c>
      <c r="L4" s="206" t="s">
        <v>28</v>
      </c>
      <c r="M4" s="166" t="s">
        <v>999</v>
      </c>
      <c r="N4" s="169" t="s">
        <v>1000</v>
      </c>
      <c r="O4" s="169">
        <v>3204185963</v>
      </c>
      <c r="P4" s="169" t="s">
        <v>1001</v>
      </c>
      <c r="Q4" s="350" t="s">
        <v>1002</v>
      </c>
      <c r="R4" s="171" t="s">
        <v>1003</v>
      </c>
      <c r="S4" s="170" t="s">
        <v>1004</v>
      </c>
      <c r="T4" s="169"/>
      <c r="U4" s="169"/>
      <c r="V4" s="172"/>
      <c r="W4" s="172"/>
      <c r="X4" s="172"/>
      <c r="Y4" s="172"/>
      <c r="Z4" s="173" t="str">
        <f t="shared" ca="1" si="0"/>
        <v>Procede_E_P</v>
      </c>
      <c r="AA4" s="166" t="str">
        <f ca="1">IFERROR(__xludf.DUMMYFUNCTION("IFERROR(VLOOKUP(E40&amp;F40,IMPORTRANGE(""https://docs.google.com/spreadsheets/d/1Uw7-A9f9R21vMXxHZFNpYNeKFtG8_yji4HS352LGlSQ/edit?pli=1#gid=0"",""1_ACUM!A4:S""),11,FALSE))"),"EN FORMACION")</f>
        <v>EN FORMACION</v>
      </c>
      <c r="AB4" s="174" t="str">
        <f ca="1">IFERROR(__xludf.DUMMYFUNCTION("IFERROR(VLOOKUP(F40,IMPORTRANGE(""https://docs.google.com/spreadsheets/d/1Kvs4KS76FHFqLFIZfrDMff4kP08nblUkihrxltoGBjg/edit#gid=934712705"",""ESENCIAL!A6:BG""),15,FALSE))"),"TURISMO")</f>
        <v>TURISMO</v>
      </c>
      <c r="AC4" s="175">
        <f ca="1">IFERROR(__xludf.DUMMYFUNCTION("IFERROR(VLOOKUP(E40&amp;F40,IMPORTRANGE(""https://docs.google.com/spreadsheets/d/1Uw7-A9f9R21vMXxHZFNpYNeKFtG8_yji4HS352LGlSQ/edit?pli=1#gid=0"",""1_ACUM!A4:S""),13,FALSE))"),0)</f>
        <v>0</v>
      </c>
      <c r="AD4" s="176">
        <f ca="1">IFERROR(__xludf.DUMMYFUNCTION("IFERROR(VLOOKUP(E40&amp;F40,IMPORTRANGE(""https://docs.google.com/spreadsheets/d/1Uw7-A9f9R21vMXxHZFNpYNeKFtG8_yji4HS352LGlSQ/edit?pli=1#gid=0"",""1_ACUM!A4:S""),13,FALSE))"),0)</f>
        <v>0</v>
      </c>
      <c r="AE4" s="176">
        <f ca="1">IFERROR(__xludf.DUMMYFUNCTION("IFERROR(VLOOKUP(E40&amp;F40,IMPORTRANGE(""https://docs.google.com/spreadsheets/d/1Uw7-A9f9R21vMXxHZFNpYNeKFtG8_yji4HS352LGlSQ/edit?pli=1#gid=0"",""1_ACUM!A4:S""),14,FALSE))"),1)</f>
        <v>1</v>
      </c>
      <c r="AF4" s="176">
        <f ca="1">IFERROR(__xludf.DUMMYFUNCTION("IFERROR(VLOOKUP(E40&amp;F40,IMPORTRANGE(""https://docs.google.com/spreadsheets/d/1Uw7-A9f9R21vMXxHZFNpYNeKFtG8_yji4HS352LGlSQ/edit?pli=1#gid=0"",""1_ACUM!A4:S""),15,FALSE))"),0)</f>
        <v>0</v>
      </c>
      <c r="AG4" s="176">
        <f ca="1">IFERROR(__xludf.DUMMYFUNCTION("IFERROR(VLOOKUP(E40&amp;F40,IMPORTRANGE(""https://docs.google.com/spreadsheets/d/1Uw7-A9f9R21vMXxHZFNpYNeKFtG8_yji4HS352LGlSQ/edit?pli=1#gid=0"",""1_ACUM!A4:S""),16,FALSE))"),0)</f>
        <v>0</v>
      </c>
      <c r="AH4" s="176">
        <f ca="1">IFERROR(__xludf.DUMMYFUNCTION("IFERROR(VLOOKUP(E40&amp;F40,IMPORTRANGE(""https://docs.google.com/spreadsheets/d/1Uw7-A9f9R21vMXxHZFNpYNeKFtG8_yji4HS352LGlSQ/edit?pli=1#gid=0"",""1_ACUM!A4:S""),17,FALSE))"),1)</f>
        <v>1</v>
      </c>
      <c r="AI4" s="177">
        <f ca="1">IFERROR(__xludf.DUMMYFUNCTION("IFERROR(VLOOKUP(E40&amp;F40,IMPORTRANGE(""https://docs.google.com/spreadsheets/d/1Uw7-A9f9R21vMXxHZFNpYNeKFtG8_yji4HS352LGlSQ/edit?pli=1#gid=0"",""1_ACUM!A4:S""),18,FALSE))"),44301)</f>
        <v>44301</v>
      </c>
      <c r="AJ4" s="177">
        <f ca="1">IFERROR(__xludf.DUMMYFUNCTION("IFERROR(VLOOKUP(E40&amp;F40,IMPORTRANGE(""https://docs.google.com/spreadsheets/d/1Uw7-A9f9R21vMXxHZFNpYNeKFtG8_yji4HS352LGlSQ/edit?pli=1#gid=0"",""1_ACUM!A4:S""),19,FALSE))"),44575)</f>
        <v>44575</v>
      </c>
      <c r="AK4" s="178">
        <f ca="1">IFERROR(__xludf.DUMMYFUNCTION("IFERROR(VLOOKUP(F40,IMPORTRANGE(""https://docs.google.com/spreadsheets/d/1Kvs4KS76FHFqLFIZfrDMff4kP08nblUkihrxltoGBjg/edit#gid=934712705"",""ESENCIAL!A6:BG""),5,FALSE))"),44756)</f>
        <v>44756</v>
      </c>
      <c r="AL4" s="178">
        <f t="shared" ca="1" si="1"/>
        <v>45305</v>
      </c>
      <c r="AM4" s="179" t="str">
        <f t="shared" ca="1" si="2"/>
        <v>FICHA EN TIEMPO-18 MESES</v>
      </c>
      <c r="AN4" s="173" t="str">
        <f ca="1">IFERROR(__xludf.DUMMYFUNCTION("IFERROR(VLOOKUP(F40,IMPORTRANGE(""https://docs.google.com/spreadsheets/d/1Kvs4KS76FHFqLFIZfrDMff4kP08nblUkihrxltoGBjg/edit#gid=934712705"",""ESENCIAL!A6:BG""),2,FALSE))"),"Terminada por fecha")</f>
        <v>Terminada por fecha</v>
      </c>
      <c r="AO4" s="173" t="str">
        <f t="shared" si="3"/>
        <v>Yamboro</v>
      </c>
      <c r="AP4" s="291"/>
      <c r="AQ4" s="19"/>
    </row>
    <row r="5" spans="1:43" ht="18" customHeight="1">
      <c r="A5" s="300" t="s">
        <v>990</v>
      </c>
      <c r="B5" s="167" t="s">
        <v>25</v>
      </c>
      <c r="C5" s="168" t="s">
        <v>1005</v>
      </c>
      <c r="D5" s="168" t="s">
        <v>27</v>
      </c>
      <c r="E5" s="168">
        <v>1007502741</v>
      </c>
      <c r="F5" s="168">
        <v>2280187</v>
      </c>
      <c r="G5" s="166" t="str">
        <f ca="1">IFERROR(__xludf.DUMMYFUNCTION("IFERROR(VLOOKUP(F41,IMPORTRANGE(""https://docs.google.com/spreadsheets/d/1Kvs4KS76FHFqLFIZfrDMff4kP08nblUkihrxltoGBjg/edit#gid=934712705"",""ESENCIAL!A6:BG""),3,FALSE))"),"TÉCNICO")</f>
        <v>TÉCNICO</v>
      </c>
      <c r="H5" s="166" t="str">
        <f ca="1">IFERROR(__xludf.DUMMYFUNCTION("IFERROR(VLOOKUP(F41,IMPORTRANGE(""https://docs.google.com/spreadsheets/d/1Kvs4KS76FHFqLFIZfrDMff4kP08nblUkihrxltoGBjg/edit#gid=934712705"",""ESENCIAL!A6:BG""),8,FALSE))"),"COCINA.")</f>
        <v>COCINA.</v>
      </c>
      <c r="I5" s="168"/>
      <c r="J5" s="168"/>
      <c r="K5" s="168"/>
      <c r="L5" s="206" t="s">
        <v>1006</v>
      </c>
      <c r="M5" s="166" t="s">
        <v>1007</v>
      </c>
      <c r="N5" s="169" t="s">
        <v>84</v>
      </c>
      <c r="O5" s="169"/>
      <c r="P5" s="169" t="s">
        <v>84</v>
      </c>
      <c r="Q5" s="170"/>
      <c r="R5" s="170">
        <v>44714</v>
      </c>
      <c r="S5" s="170">
        <v>44881</v>
      </c>
      <c r="T5" s="169"/>
      <c r="U5" s="169"/>
      <c r="V5" s="172"/>
      <c r="W5" s="172"/>
      <c r="X5" s="172"/>
      <c r="Y5" s="172"/>
      <c r="Z5" s="173" t="str">
        <f t="shared" ca="1" si="0"/>
        <v>Procede_E_P</v>
      </c>
      <c r="AA5" s="166" t="str">
        <f ca="1">IFERROR(__xludf.DUMMYFUNCTION("IFERROR(VLOOKUP(E41&amp;F41,IMPORTRANGE(""https://docs.google.com/spreadsheets/d/1Uw7-A9f9R21vMXxHZFNpYNeKFtG8_yji4HS352LGlSQ/edit?pli=1#gid=0"",""1_ACUM!A4:S""),11,FALSE))"),"EN FORMACION")</f>
        <v>EN FORMACION</v>
      </c>
      <c r="AB5" s="174" t="str">
        <f ca="1">IFERROR(__xludf.DUMMYFUNCTION("IFERROR(VLOOKUP(F41,IMPORTRANGE(""https://docs.google.com/spreadsheets/d/1Kvs4KS76FHFqLFIZfrDMff4kP08nblUkihrxltoGBjg/edit#gid=934712705"",""ESENCIAL!A6:BG""),15,FALSE))"),"TURISMO")</f>
        <v>TURISMO</v>
      </c>
      <c r="AC5" s="175">
        <f ca="1">IFERROR(__xludf.DUMMYFUNCTION("IFERROR(VLOOKUP(E41&amp;F41,IMPORTRANGE(""https://docs.google.com/spreadsheets/d/1Uw7-A9f9R21vMXxHZFNpYNeKFtG8_yji4HS352LGlSQ/edit?pli=1#gid=0"",""1_ACUM!A4:S""),13,FALSE))"),0)</f>
        <v>0</v>
      </c>
      <c r="AD5" s="176">
        <f ca="1">IFERROR(__xludf.DUMMYFUNCTION("IFERROR(VLOOKUP(E41&amp;F41,IMPORTRANGE(""https://docs.google.com/spreadsheets/d/1Uw7-A9f9R21vMXxHZFNpYNeKFtG8_yji4HS352LGlSQ/edit?pli=1#gid=0"",""1_ACUM!A4:S""),13,FALSE))"),0)</f>
        <v>0</v>
      </c>
      <c r="AE5" s="176">
        <f ca="1">IFERROR(__xludf.DUMMYFUNCTION("IFERROR(VLOOKUP(E41&amp;F41,IMPORTRANGE(""https://docs.google.com/spreadsheets/d/1Uw7-A9f9R21vMXxHZFNpYNeKFtG8_yji4HS352LGlSQ/edit?pli=1#gid=0"",""1_ACUM!A4:S""),14,FALSE))"),1)</f>
        <v>1</v>
      </c>
      <c r="AF5" s="176">
        <f ca="1">IFERROR(__xludf.DUMMYFUNCTION("IFERROR(VLOOKUP(E41&amp;F41,IMPORTRANGE(""https://docs.google.com/spreadsheets/d/1Uw7-A9f9R21vMXxHZFNpYNeKFtG8_yji4HS352LGlSQ/edit?pli=1#gid=0"",""1_ACUM!A4:S""),15,FALSE))"),0)</f>
        <v>0</v>
      </c>
      <c r="AG5" s="176">
        <f ca="1">IFERROR(__xludf.DUMMYFUNCTION("IFERROR(VLOOKUP(E41&amp;F41,IMPORTRANGE(""https://docs.google.com/spreadsheets/d/1Uw7-A9f9R21vMXxHZFNpYNeKFtG8_yji4HS352LGlSQ/edit?pli=1#gid=0"",""1_ACUM!A4:S""),16,FALSE))"),0)</f>
        <v>0</v>
      </c>
      <c r="AH5" s="176">
        <f ca="1">IFERROR(__xludf.DUMMYFUNCTION("IFERROR(VLOOKUP(E41&amp;F41,IMPORTRANGE(""https://docs.google.com/spreadsheets/d/1Uw7-A9f9R21vMXxHZFNpYNeKFtG8_yji4HS352LGlSQ/edit?pli=1#gid=0"",""1_ACUM!A4:S""),17,FALSE))"),1)</f>
        <v>1</v>
      </c>
      <c r="AI5" s="177">
        <f ca="1">IFERROR(__xludf.DUMMYFUNCTION("IFERROR(VLOOKUP(E41&amp;F41,IMPORTRANGE(""https://docs.google.com/spreadsheets/d/1Uw7-A9f9R21vMXxHZFNpYNeKFtG8_yji4HS352LGlSQ/edit?pli=1#gid=0"",""1_ACUM!A4:S""),18,FALSE))"),44301)</f>
        <v>44301</v>
      </c>
      <c r="AJ5" s="177">
        <f ca="1">IFERROR(__xludf.DUMMYFUNCTION("IFERROR(VLOOKUP(E41&amp;F41,IMPORTRANGE(""https://docs.google.com/spreadsheets/d/1Uw7-A9f9R21vMXxHZFNpYNeKFtG8_yji4HS352LGlSQ/edit?pli=1#gid=0"",""1_ACUM!A4:S""),19,FALSE))"),44575)</f>
        <v>44575</v>
      </c>
      <c r="AK5" s="178">
        <f ca="1">IFERROR(__xludf.DUMMYFUNCTION("IFERROR(VLOOKUP(F41,IMPORTRANGE(""https://docs.google.com/spreadsheets/d/1Kvs4KS76FHFqLFIZfrDMff4kP08nblUkihrxltoGBjg/edit#gid=934712705"",""ESENCIAL!A6:BG""),5,FALSE))"),44756)</f>
        <v>44756</v>
      </c>
      <c r="AL5" s="178">
        <f t="shared" ca="1" si="1"/>
        <v>45305</v>
      </c>
      <c r="AM5" s="179" t="str">
        <f t="shared" ca="1" si="2"/>
        <v>FICHA EN TIEMPO-18 MESES</v>
      </c>
      <c r="AN5" s="173" t="str">
        <f ca="1">IFERROR(__xludf.DUMMYFUNCTION("IFERROR(VLOOKUP(F41,IMPORTRANGE(""https://docs.google.com/spreadsheets/d/1Kvs4KS76FHFqLFIZfrDMff4kP08nblUkihrxltoGBjg/edit#gid=934712705"",""ESENCIAL!A6:BG""),2,FALSE))"),"Terminada por fecha")</f>
        <v>Terminada por fecha</v>
      </c>
      <c r="AO5" s="173" t="str">
        <f t="shared" si="3"/>
        <v>Yamboro</v>
      </c>
      <c r="AP5" s="292"/>
      <c r="AQ5" s="38"/>
    </row>
    <row r="6" spans="1:43" ht="18" customHeight="1">
      <c r="A6" s="300" t="s">
        <v>990</v>
      </c>
      <c r="B6" s="167" t="s">
        <v>25</v>
      </c>
      <c r="C6" s="168" t="s">
        <v>1008</v>
      </c>
      <c r="D6" s="168" t="s">
        <v>67</v>
      </c>
      <c r="E6" s="168">
        <v>1083868206</v>
      </c>
      <c r="F6" s="168">
        <v>2280187</v>
      </c>
      <c r="G6" s="166" t="str">
        <f ca="1">IFERROR(__xludf.DUMMYFUNCTION("IFERROR(VLOOKUP(F44,IMPORTRANGE(""https://docs.google.com/spreadsheets/d/1Kvs4KS76FHFqLFIZfrDMff4kP08nblUkihrxltoGBjg/edit#gid=934712705"",""ESENCIAL!A6:BG""),3,FALSE))"),"TÉCNICO")</f>
        <v>TÉCNICO</v>
      </c>
      <c r="H6" s="166" t="str">
        <f ca="1">IFERROR(__xludf.DUMMYFUNCTION("IFERROR(VLOOKUP(F44,IMPORTRANGE(""https://docs.google.com/spreadsheets/d/1Kvs4KS76FHFqLFIZfrDMff4kP08nblUkihrxltoGBjg/edit#gid=934712705"",""ESENCIAL!A6:BG""),8,FALSE))"),"COCINA.")</f>
        <v>COCINA.</v>
      </c>
      <c r="I6" s="168">
        <v>3213157802</v>
      </c>
      <c r="J6" s="189" t="s">
        <v>1009</v>
      </c>
      <c r="K6" s="168" t="s">
        <v>73</v>
      </c>
      <c r="L6" s="206" t="s">
        <v>28</v>
      </c>
      <c r="M6" s="169" t="s">
        <v>1010</v>
      </c>
      <c r="N6" s="169" t="s">
        <v>1011</v>
      </c>
      <c r="O6" s="169">
        <v>2670088</v>
      </c>
      <c r="P6" s="169" t="s">
        <v>1012</v>
      </c>
      <c r="Q6" s="169"/>
      <c r="R6" s="170">
        <v>44743</v>
      </c>
      <c r="S6" s="170">
        <v>44926</v>
      </c>
      <c r="T6" s="169"/>
      <c r="U6" s="199"/>
      <c r="V6" s="172"/>
      <c r="W6" s="172"/>
      <c r="X6" s="172"/>
      <c r="Y6" s="172"/>
      <c r="Z6" s="173" t="str">
        <f t="shared" ca="1" si="0"/>
        <v>Procede_E_P</v>
      </c>
      <c r="AA6" s="166" t="str">
        <f ca="1">IFERROR(__xludf.DUMMYFUNCTION("IFERROR(VLOOKUP(E44&amp;F44,IMPORTRANGE(""https://docs.google.com/spreadsheets/d/1Uw7-A9f9R21vMXxHZFNpYNeKFtG8_yji4HS352LGlSQ/edit?pli=1#gid=0"",""1_ACUM!A4:S""),11,FALSE))"),"EN FORMACION")</f>
        <v>EN FORMACION</v>
      </c>
      <c r="AB6" s="174" t="str">
        <f ca="1">IFERROR(__xludf.DUMMYFUNCTION("IFERROR(VLOOKUP(F44,IMPORTRANGE(""https://docs.google.com/spreadsheets/d/1Kvs4KS76FHFqLFIZfrDMff4kP08nblUkihrxltoGBjg/edit#gid=934712705"",""ESENCIAL!A6:BG""),15,FALSE))"),"TURISMO")</f>
        <v>TURISMO</v>
      </c>
      <c r="AC6" s="175">
        <f ca="1">IFERROR(__xludf.DUMMYFUNCTION("IFERROR(VLOOKUP(E44&amp;F44,IMPORTRANGE(""https://docs.google.com/spreadsheets/d/1Uw7-A9f9R21vMXxHZFNpYNeKFtG8_yji4HS352LGlSQ/edit?pli=1#gid=0"",""1_ACUM!A4:S""),13,FALSE))"),0)</f>
        <v>0</v>
      </c>
      <c r="AD6" s="176">
        <f ca="1">IFERROR(__xludf.DUMMYFUNCTION("IFERROR(VLOOKUP(E44&amp;F44,IMPORTRANGE(""https://docs.google.com/spreadsheets/d/1Uw7-A9f9R21vMXxHZFNpYNeKFtG8_yji4HS352LGlSQ/edit?pli=1#gid=0"",""1_ACUM!A4:S""),13,FALSE))"),0)</f>
        <v>0</v>
      </c>
      <c r="AE6" s="176">
        <f ca="1">IFERROR(__xludf.DUMMYFUNCTION("IFERROR(VLOOKUP(E44&amp;F44,IMPORTRANGE(""https://docs.google.com/spreadsheets/d/1Uw7-A9f9R21vMXxHZFNpYNeKFtG8_yji4HS352LGlSQ/edit?pli=1#gid=0"",""1_ACUM!A4:S""),14,FALSE))"),1)</f>
        <v>1</v>
      </c>
      <c r="AF6" s="176">
        <f ca="1">IFERROR(__xludf.DUMMYFUNCTION("IFERROR(VLOOKUP(E44&amp;F44,IMPORTRANGE(""https://docs.google.com/spreadsheets/d/1Uw7-A9f9R21vMXxHZFNpYNeKFtG8_yji4HS352LGlSQ/edit?pli=1#gid=0"",""1_ACUM!A4:S""),15,FALSE))"),0)</f>
        <v>0</v>
      </c>
      <c r="AG6" s="176">
        <f ca="1">IFERROR(__xludf.DUMMYFUNCTION("IFERROR(VLOOKUP(E44&amp;F44,IMPORTRANGE(""https://docs.google.com/spreadsheets/d/1Uw7-A9f9R21vMXxHZFNpYNeKFtG8_yji4HS352LGlSQ/edit?pli=1#gid=0"",""1_ACUM!A4:S""),16,FALSE))"),0)</f>
        <v>0</v>
      </c>
      <c r="AH6" s="176">
        <f ca="1">IFERROR(__xludf.DUMMYFUNCTION("IFERROR(VLOOKUP(E44&amp;F44,IMPORTRANGE(""https://docs.google.com/spreadsheets/d/1Uw7-A9f9R21vMXxHZFNpYNeKFtG8_yji4HS352LGlSQ/edit?pli=1#gid=0"",""1_ACUM!A4:S""),17,FALSE))"),1)</f>
        <v>1</v>
      </c>
      <c r="AI6" s="177">
        <f ca="1">IFERROR(__xludf.DUMMYFUNCTION("IFERROR(VLOOKUP(E44&amp;F44,IMPORTRANGE(""https://docs.google.com/spreadsheets/d/1Uw7-A9f9R21vMXxHZFNpYNeKFtG8_yji4HS352LGlSQ/edit?pli=1#gid=0"",""1_ACUM!A4:S""),18,FALSE))"),44301)</f>
        <v>44301</v>
      </c>
      <c r="AJ6" s="177">
        <f ca="1">IFERROR(__xludf.DUMMYFUNCTION("IFERROR(VLOOKUP(E44&amp;F44,IMPORTRANGE(""https://docs.google.com/spreadsheets/d/1Uw7-A9f9R21vMXxHZFNpYNeKFtG8_yji4HS352LGlSQ/edit?pli=1#gid=0"",""1_ACUM!A4:S""),19,FALSE))"),44575)</f>
        <v>44575</v>
      </c>
      <c r="AK6" s="178">
        <f ca="1">IFERROR(__xludf.DUMMYFUNCTION("IFERROR(VLOOKUP(F44,IMPORTRANGE(""https://docs.google.com/spreadsheets/d/1Kvs4KS76FHFqLFIZfrDMff4kP08nblUkihrxltoGBjg/edit#gid=934712705"",""ESENCIAL!A6:BG""),5,FALSE))"),44756)</f>
        <v>44756</v>
      </c>
      <c r="AL6" s="178">
        <f t="shared" ca="1" si="1"/>
        <v>45305</v>
      </c>
      <c r="AM6" s="179" t="str">
        <f t="shared" ca="1" si="2"/>
        <v>FICHA EN TIEMPO-18 MESES</v>
      </c>
      <c r="AN6" s="173" t="str">
        <f ca="1">IFERROR(__xludf.DUMMYFUNCTION("IFERROR(VLOOKUP(F44,IMPORTRANGE(""https://docs.google.com/spreadsheets/d/1Kvs4KS76FHFqLFIZfrDMff4kP08nblUkihrxltoGBjg/edit#gid=934712705"",""ESENCIAL!A6:BG""),2,FALSE))"),"Terminada por fecha")</f>
        <v>Terminada por fecha</v>
      </c>
      <c r="AO6" s="173" t="str">
        <f t="shared" si="3"/>
        <v>Yamboro</v>
      </c>
      <c r="AP6" s="292"/>
      <c r="AQ6" s="38"/>
    </row>
    <row r="7" spans="1:43" ht="18" hidden="1" customHeight="1">
      <c r="A7" s="289"/>
      <c r="B7" s="145" t="s">
        <v>25</v>
      </c>
      <c r="C7" s="25" t="s">
        <v>1013</v>
      </c>
      <c r="D7" s="25" t="s">
        <v>67</v>
      </c>
      <c r="E7" s="25">
        <v>1004083002</v>
      </c>
      <c r="F7" s="25">
        <v>1835254</v>
      </c>
      <c r="G7" s="11" t="str">
        <f ca="1">IFERROR(__xludf.DUMMYFUNCTION("IFERROR(VLOOKUP(F17,IMPORTRANGE(""https://docs.google.com/spreadsheets/d/1Kvs4KS76FHFqLFIZfrDMff4kP08nblUkihrxltoGBjg/edit#gid=934712705"",""ESENCIAL!A6:BG""),3,FALSE))"),"TÉCNICO")</f>
        <v>TÉCNICO</v>
      </c>
      <c r="H7" s="11" t="str">
        <f ca="1">IFERROR(__xludf.DUMMYFUNCTION("IFERROR(VLOOKUP(F17,IMPORTRANGE(""https://docs.google.com/spreadsheets/d/1Kvs4KS76FHFqLFIZfrDMff4kP08nblUkihrxltoGBjg/edit#gid=934712705"",""ESENCIAL!A6:BG""),8,FALSE))"),"COCINA.")</f>
        <v>COCINA.</v>
      </c>
      <c r="I7" s="25">
        <v>3186018620</v>
      </c>
      <c r="J7" s="25" t="s">
        <v>1014</v>
      </c>
      <c r="K7" s="25"/>
      <c r="L7" s="303" t="s">
        <v>44</v>
      </c>
      <c r="M7" s="31"/>
      <c r="N7" s="31"/>
      <c r="O7" s="31"/>
      <c r="P7" s="31"/>
      <c r="Q7" s="31"/>
      <c r="R7" s="32"/>
      <c r="S7" s="32"/>
      <c r="T7" s="31"/>
      <c r="U7" s="31"/>
      <c r="V7" s="28"/>
      <c r="W7" s="28"/>
      <c r="X7" s="28"/>
      <c r="Y7" s="28"/>
      <c r="Z7" s="19" t="str">
        <f t="shared" ca="1" si="0"/>
        <v>NO_CUMPLE</v>
      </c>
      <c r="AA7" s="11" t="str">
        <f ca="1">IFERROR(__xludf.DUMMYFUNCTION("IFERROR(VLOOKUP(E17&amp;F17,IMPORTRANGE(""https://docs.google.com/spreadsheets/d/1Uw7-A9f9R21vMXxHZFNpYNeKFtG8_yji4HS352LGlSQ/edit?pli=1#gid=0"",""1_ACUM!A4:S""),11,FALSE))"),"EN FORMACION")</f>
        <v>EN FORMACION</v>
      </c>
      <c r="AB7" s="20" t="str">
        <f ca="1">IFERROR(__xludf.DUMMYFUNCTION("IFERROR(VLOOKUP(F17,IMPORTRANGE(""https://docs.google.com/spreadsheets/d/1Kvs4KS76FHFqLFIZfrDMff4kP08nblUkihrxltoGBjg/edit#gid=934712705"",""ESENCIAL!A6:BG""),15,FALSE))"),"TURISMO")</f>
        <v>TURISMO</v>
      </c>
      <c r="AC7" s="21">
        <f ca="1">IFERROR(__xludf.DUMMYFUNCTION("IFERROR(VLOOKUP(E17&amp;F17,IMPORTRANGE(""https://docs.google.com/spreadsheets/d/1Uw7-A9f9R21vMXxHZFNpYNeKFtG8_yji4HS352LGlSQ/edit?pli=1#gid=0"",""1_ACUM!A4:S""),13,FALSE))"),0)</f>
        <v>0</v>
      </c>
      <c r="AD7" s="22">
        <f ca="1">IFERROR(__xludf.DUMMYFUNCTION("IFERROR(VLOOKUP(E17&amp;F17,IMPORTRANGE(""https://docs.google.com/spreadsheets/d/1Uw7-A9f9R21vMXxHZFNpYNeKFtG8_yji4HS352LGlSQ/edit?pli=1#gid=0"",""1_ACUM!A4:S""),13,FALSE))"),0)</f>
        <v>0</v>
      </c>
      <c r="AE7" s="22">
        <f ca="1">IFERROR(__xludf.DUMMYFUNCTION("IFERROR(VLOOKUP(E17&amp;F17,IMPORTRANGE(""https://docs.google.com/spreadsheets/d/1Uw7-A9f9R21vMXxHZFNpYNeKFtG8_yji4HS352LGlSQ/edit?pli=1#gid=0"",""1_ACUM!A4:S""),14,FALSE))"),1)</f>
        <v>1</v>
      </c>
      <c r="AF7" s="22">
        <f ca="1">IFERROR(__xludf.DUMMYFUNCTION("IFERROR(VLOOKUP(E17&amp;F17,IMPORTRANGE(""https://docs.google.com/spreadsheets/d/1Uw7-A9f9R21vMXxHZFNpYNeKFtG8_yji4HS352LGlSQ/edit?pli=1#gid=0"",""1_ACUM!A4:S""),15,FALSE))"),4)</f>
        <v>4</v>
      </c>
      <c r="AG7" s="22">
        <f ca="1">IFERROR(__xludf.DUMMYFUNCTION("IFERROR(VLOOKUP(E17&amp;F17,IMPORTRANGE(""https://docs.google.com/spreadsheets/d/1Uw7-A9f9R21vMXxHZFNpYNeKFtG8_yji4HS352LGlSQ/edit?pli=1#gid=0"",""1_ACUM!A4:S""),16,FALSE))"),0)</f>
        <v>0</v>
      </c>
      <c r="AH7" s="22">
        <f ca="1">IFERROR(__xludf.DUMMYFUNCTION("IFERROR(VLOOKUP(E17&amp;F17,IMPORTRANGE(""https://docs.google.com/spreadsheets/d/1Uw7-A9f9R21vMXxHZFNpYNeKFtG8_yji4HS352LGlSQ/edit?pli=1#gid=0"",""1_ACUM!A4:S""),17,FALSE))"),5)</f>
        <v>5</v>
      </c>
      <c r="AI7" s="23">
        <f ca="1">IFERROR(__xludf.DUMMYFUNCTION("IFERROR(VLOOKUP(E17&amp;F17,IMPORTRANGE(""https://docs.google.com/spreadsheets/d/1Uw7-A9f9R21vMXxHZFNpYNeKFtG8_yji4HS352LGlSQ/edit?pli=1#gid=0"",""1_ACUM!A4:S""),18,FALSE))"),43577)</f>
        <v>43577</v>
      </c>
      <c r="AJ7" s="23">
        <f ca="1">IFERROR(__xludf.DUMMYFUNCTION("IFERROR(VLOOKUP(E17&amp;F17,IMPORTRANGE(""https://docs.google.com/spreadsheets/d/1Uw7-A9f9R21vMXxHZFNpYNeKFtG8_yji4HS352LGlSQ/edit?pli=1#gid=0"",""1_ACUM!A4:S""),19,FALSE))"),43852)</f>
        <v>43852</v>
      </c>
      <c r="AK7" s="68">
        <f ca="1">IFERROR(__xludf.DUMMYFUNCTION("IFERROR(VLOOKUP(F17,IMPORTRANGE(""https://docs.google.com/spreadsheets/d/1Kvs4KS76FHFqLFIZfrDMff4kP08nblUkihrxltoGBjg/edit#gid=934712705"",""ESENCIAL!A6:BG""),5,FALSE))"),44034)</f>
        <v>44034</v>
      </c>
      <c r="AL7" s="68">
        <f t="shared" ca="1" si="1"/>
        <v>44583</v>
      </c>
      <c r="AM7" s="17" t="str">
        <f t="shared" ca="1" si="2"/>
        <v>FINALIZAR FICHA</v>
      </c>
      <c r="AN7" s="38" t="str">
        <f ca="1">IFERROR(__xludf.DUMMYFUNCTION("IFERROR(VLOOKUP(F17,IMPORTRANGE(""https://docs.google.com/spreadsheets/d/1Kvs4KS76FHFqLFIZfrDMff4kP08nblUkihrxltoGBjg/edit#gid=934712705"",""ESENCIAL!A6:BG""),2,FALSE))"),"Terminada por fecha")</f>
        <v>Terminada por fecha</v>
      </c>
      <c r="AO7" s="19" t="str">
        <f t="shared" si="3"/>
        <v>Yamboro</v>
      </c>
      <c r="AP7" s="292"/>
      <c r="AQ7" s="38"/>
    </row>
    <row r="8" spans="1:43" ht="18" hidden="1" customHeight="1">
      <c r="A8" s="289"/>
      <c r="B8" s="145" t="s">
        <v>25</v>
      </c>
      <c r="C8" s="50" t="s">
        <v>1015</v>
      </c>
      <c r="D8" s="50" t="s">
        <v>27</v>
      </c>
      <c r="E8" s="50">
        <v>1007462613</v>
      </c>
      <c r="F8" s="50">
        <v>1835254</v>
      </c>
      <c r="G8" s="11" t="str">
        <f ca="1">IFERROR(__xludf.DUMMYFUNCTION("IFERROR(VLOOKUP(F18,IMPORTRANGE(""https://docs.google.com/spreadsheets/d/1Kvs4KS76FHFqLFIZfrDMff4kP08nblUkihrxltoGBjg/edit#gid=934712705"",""ESENCIAL!A6:BG""),3,FALSE))"),"TÉCNICO")</f>
        <v>TÉCNICO</v>
      </c>
      <c r="H8" s="11" t="str">
        <f ca="1">IFERROR(__xludf.DUMMYFUNCTION("IFERROR(VLOOKUP(F18,IMPORTRANGE(""https://docs.google.com/spreadsheets/d/1Kvs4KS76FHFqLFIZfrDMff4kP08nblUkihrxltoGBjg/edit#gid=934712705"",""ESENCIAL!A6:BG""),8,FALSE))"),"COCINA.")</f>
        <v>COCINA.</v>
      </c>
      <c r="I8" s="50">
        <v>3172416277</v>
      </c>
      <c r="J8" s="50" t="s">
        <v>1016</v>
      </c>
      <c r="K8" s="50" t="s">
        <v>84</v>
      </c>
      <c r="L8" s="303" t="s">
        <v>44</v>
      </c>
      <c r="M8" s="31"/>
      <c r="N8" s="31"/>
      <c r="O8" s="31"/>
      <c r="P8" s="31"/>
      <c r="Q8" s="31"/>
      <c r="R8" s="32"/>
      <c r="S8" s="32"/>
      <c r="T8" s="31"/>
      <c r="U8" s="31"/>
      <c r="V8" s="51"/>
      <c r="W8" s="51"/>
      <c r="X8" s="51"/>
      <c r="Y8" s="51"/>
      <c r="Z8" s="19" t="str">
        <f t="shared" ca="1" si="0"/>
        <v>Procede_E_P</v>
      </c>
      <c r="AA8" s="11" t="str">
        <f ca="1">IFERROR(__xludf.DUMMYFUNCTION("IFERROR(VLOOKUP(E18&amp;F18,IMPORTRANGE(""https://docs.google.com/spreadsheets/d/1Uw7-A9f9R21vMXxHZFNpYNeKFtG8_yji4HS352LGlSQ/edit?pli=1#gid=0"",""1_ACUM!A4:S""),11,FALSE))"),"EN FORMACION")</f>
        <v>EN FORMACION</v>
      </c>
      <c r="AB8" s="20" t="str">
        <f ca="1">IFERROR(__xludf.DUMMYFUNCTION("IFERROR(VLOOKUP(F18,IMPORTRANGE(""https://docs.google.com/spreadsheets/d/1Kvs4KS76FHFqLFIZfrDMff4kP08nblUkihrxltoGBjg/edit#gid=934712705"",""ESENCIAL!A6:BG""),15,FALSE))"),"TURISMO")</f>
        <v>TURISMO</v>
      </c>
      <c r="AC8" s="21">
        <f ca="1">IFERROR(__xludf.DUMMYFUNCTION("IFERROR(VLOOKUP(E18&amp;F18,IMPORTRANGE(""https://docs.google.com/spreadsheets/d/1Uw7-A9f9R21vMXxHZFNpYNeKFtG8_yji4HS352LGlSQ/edit?pli=1#gid=0"",""1_ACUM!A4:S""),13,FALSE))"),0)</f>
        <v>0</v>
      </c>
      <c r="AD8" s="22">
        <f ca="1">IFERROR(__xludf.DUMMYFUNCTION("IFERROR(VLOOKUP(E18&amp;F18,IMPORTRANGE(""https://docs.google.com/spreadsheets/d/1Uw7-A9f9R21vMXxHZFNpYNeKFtG8_yji4HS352LGlSQ/edit?pli=1#gid=0"",""1_ACUM!A4:S""),13,FALSE))"),0)</f>
        <v>0</v>
      </c>
      <c r="AE8" s="22">
        <f ca="1">IFERROR(__xludf.DUMMYFUNCTION("IFERROR(VLOOKUP(E18&amp;F18,IMPORTRANGE(""https://docs.google.com/spreadsheets/d/1Uw7-A9f9R21vMXxHZFNpYNeKFtG8_yji4HS352LGlSQ/edit?pli=1#gid=0"",""1_ACUM!A4:S""),14,FALSE))"),1)</f>
        <v>1</v>
      </c>
      <c r="AF8" s="22">
        <f ca="1">IFERROR(__xludf.DUMMYFUNCTION("IFERROR(VLOOKUP(E18&amp;F18,IMPORTRANGE(""https://docs.google.com/spreadsheets/d/1Uw7-A9f9R21vMXxHZFNpYNeKFtG8_yji4HS352LGlSQ/edit?pli=1#gid=0"",""1_ACUM!A4:S""),15,FALSE))"),0)</f>
        <v>0</v>
      </c>
      <c r="AG8" s="22">
        <f ca="1">IFERROR(__xludf.DUMMYFUNCTION("IFERROR(VLOOKUP(E18&amp;F18,IMPORTRANGE(""https://docs.google.com/spreadsheets/d/1Uw7-A9f9R21vMXxHZFNpYNeKFtG8_yji4HS352LGlSQ/edit?pli=1#gid=0"",""1_ACUM!A4:S""),16,FALSE))"),0)</f>
        <v>0</v>
      </c>
      <c r="AH8" s="22">
        <f ca="1">IFERROR(__xludf.DUMMYFUNCTION("IFERROR(VLOOKUP(E18&amp;F18,IMPORTRANGE(""https://docs.google.com/spreadsheets/d/1Uw7-A9f9R21vMXxHZFNpYNeKFtG8_yji4HS352LGlSQ/edit?pli=1#gid=0"",""1_ACUM!A4:S""),17,FALSE))"),1)</f>
        <v>1</v>
      </c>
      <c r="AI8" s="23">
        <f ca="1">IFERROR(__xludf.DUMMYFUNCTION("IFERROR(VLOOKUP(E18&amp;F18,IMPORTRANGE(""https://docs.google.com/spreadsheets/d/1Uw7-A9f9R21vMXxHZFNpYNeKFtG8_yji4HS352LGlSQ/edit?pli=1#gid=0"",""1_ACUM!A4:S""),18,FALSE))"),43577)</f>
        <v>43577</v>
      </c>
      <c r="AJ8" s="23">
        <f ca="1">IFERROR(__xludf.DUMMYFUNCTION("IFERROR(VLOOKUP(E18&amp;F18,IMPORTRANGE(""https://docs.google.com/spreadsheets/d/1Uw7-A9f9R21vMXxHZFNpYNeKFtG8_yji4HS352LGlSQ/edit?pli=1#gid=0"",""1_ACUM!A4:S""),19,FALSE))"),43852)</f>
        <v>43852</v>
      </c>
      <c r="AK8" s="108">
        <f ca="1">IFERROR(__xludf.DUMMYFUNCTION("IFERROR(VLOOKUP(F18,IMPORTRANGE(""https://docs.google.com/spreadsheets/d/1Kvs4KS76FHFqLFIZfrDMff4kP08nblUkihrxltoGBjg/edit#gid=934712705"",""ESENCIAL!A6:BG""),5,FALSE))"),44034)</f>
        <v>44034</v>
      </c>
      <c r="AL8" s="108">
        <f t="shared" ca="1" si="1"/>
        <v>44583</v>
      </c>
      <c r="AM8" s="16" t="str">
        <f t="shared" ca="1" si="2"/>
        <v>FINALIZAR FICHA</v>
      </c>
      <c r="AN8" s="19" t="str">
        <f ca="1">IFERROR(__xludf.DUMMYFUNCTION("IFERROR(VLOOKUP(F18,IMPORTRANGE(""https://docs.google.com/spreadsheets/d/1Kvs4KS76FHFqLFIZfrDMff4kP08nblUkihrxltoGBjg/edit#gid=934712705"",""ESENCIAL!A6:BG""),2,FALSE))"),"Terminada por fecha")</f>
        <v>Terminada por fecha</v>
      </c>
      <c r="AO8" s="19" t="str">
        <f t="shared" si="3"/>
        <v>Yamboro</v>
      </c>
      <c r="AP8" s="292"/>
      <c r="AQ8" s="38"/>
    </row>
    <row r="9" spans="1:43" ht="18" hidden="1" customHeight="1">
      <c r="A9" s="289"/>
      <c r="B9" s="145" t="s">
        <v>25</v>
      </c>
      <c r="C9" s="25" t="s">
        <v>1017</v>
      </c>
      <c r="D9" s="25" t="s">
        <v>67</v>
      </c>
      <c r="E9" s="25">
        <v>1007521233</v>
      </c>
      <c r="F9" s="25">
        <v>1835254</v>
      </c>
      <c r="G9" s="11" t="str">
        <f ca="1">IFERROR(__xludf.DUMMYFUNCTION("IFERROR(VLOOKUP(F19,IMPORTRANGE(""https://docs.google.com/spreadsheets/d/1Kvs4KS76FHFqLFIZfrDMff4kP08nblUkihrxltoGBjg/edit#gid=934712705"",""ESENCIAL!A6:BG""),3,FALSE))"),"TÉCNICO")</f>
        <v>TÉCNICO</v>
      </c>
      <c r="H9" s="11" t="str">
        <f ca="1">IFERROR(__xludf.DUMMYFUNCTION("IFERROR(VLOOKUP(F19,IMPORTRANGE(""https://docs.google.com/spreadsheets/d/1Kvs4KS76FHFqLFIZfrDMff4kP08nblUkihrxltoGBjg/edit#gid=934712705"",""ESENCIAL!A6:BG""),8,FALSE))"),"COCINA.")</f>
        <v>COCINA.</v>
      </c>
      <c r="I9" s="25">
        <v>3167623030</v>
      </c>
      <c r="J9" s="25" t="s">
        <v>1018</v>
      </c>
      <c r="K9" s="25" t="s">
        <v>84</v>
      </c>
      <c r="L9" s="303" t="s">
        <v>44</v>
      </c>
      <c r="M9" s="31"/>
      <c r="N9" s="31"/>
      <c r="O9" s="31"/>
      <c r="P9" s="31"/>
      <c r="Q9" s="31"/>
      <c r="R9" s="32"/>
      <c r="S9" s="32"/>
      <c r="T9" s="31"/>
      <c r="U9" s="31"/>
      <c r="V9" s="28"/>
      <c r="W9" s="28"/>
      <c r="X9" s="28"/>
      <c r="Y9" s="28"/>
      <c r="Z9" s="19" t="str">
        <f t="shared" ca="1" si="0"/>
        <v>NO_CUMPLE</v>
      </c>
      <c r="AA9" s="11" t="str">
        <f ca="1">IFERROR(__xludf.DUMMYFUNCTION("IFERROR(VLOOKUP(E19&amp;F19,IMPORTRANGE(""https://docs.google.com/spreadsheets/d/1Uw7-A9f9R21vMXxHZFNpYNeKFtG8_yji4HS352LGlSQ/edit?pli=1#gid=0"",""1_ACUM!A4:S""),11,FALSE))"),"EN FORMACION")</f>
        <v>EN FORMACION</v>
      </c>
      <c r="AB9" s="20" t="str">
        <f ca="1">IFERROR(__xludf.DUMMYFUNCTION("IFERROR(VLOOKUP(F19,IMPORTRANGE(""https://docs.google.com/spreadsheets/d/1Kvs4KS76FHFqLFIZfrDMff4kP08nblUkihrxltoGBjg/edit#gid=934712705"",""ESENCIAL!A6:BG""),15,FALSE))"),"TURISMO")</f>
        <v>TURISMO</v>
      </c>
      <c r="AC9" s="21">
        <f ca="1">IFERROR(__xludf.DUMMYFUNCTION("IFERROR(VLOOKUP(E19&amp;F19,IMPORTRANGE(""https://docs.google.com/spreadsheets/d/1Uw7-A9f9R21vMXxHZFNpYNeKFtG8_yji4HS352LGlSQ/edit?pli=1#gid=0"",""1_ACUM!A4:S""),13,FALSE))"),0)</f>
        <v>0</v>
      </c>
      <c r="AD9" s="22">
        <f ca="1">IFERROR(__xludf.DUMMYFUNCTION("IFERROR(VLOOKUP(E19&amp;F19,IMPORTRANGE(""https://docs.google.com/spreadsheets/d/1Uw7-A9f9R21vMXxHZFNpYNeKFtG8_yji4HS352LGlSQ/edit?pli=1#gid=0"",""1_ACUM!A4:S""),13,FALSE))"),0)</f>
        <v>0</v>
      </c>
      <c r="AE9" s="22">
        <f ca="1">IFERROR(__xludf.DUMMYFUNCTION("IFERROR(VLOOKUP(E19&amp;F19,IMPORTRANGE(""https://docs.google.com/spreadsheets/d/1Uw7-A9f9R21vMXxHZFNpYNeKFtG8_yji4HS352LGlSQ/edit?pli=1#gid=0"",""1_ACUM!A4:S""),14,FALSE))"),1)</f>
        <v>1</v>
      </c>
      <c r="AF9" s="22">
        <f ca="1">IFERROR(__xludf.DUMMYFUNCTION("IFERROR(VLOOKUP(E19&amp;F19,IMPORTRANGE(""https://docs.google.com/spreadsheets/d/1Uw7-A9f9R21vMXxHZFNpYNeKFtG8_yji4HS352LGlSQ/edit?pli=1#gid=0"",""1_ACUM!A4:S""),15,FALSE))"),4)</f>
        <v>4</v>
      </c>
      <c r="AG9" s="22">
        <f ca="1">IFERROR(__xludf.DUMMYFUNCTION("IFERROR(VLOOKUP(E19&amp;F19,IMPORTRANGE(""https://docs.google.com/spreadsheets/d/1Uw7-A9f9R21vMXxHZFNpYNeKFtG8_yji4HS352LGlSQ/edit?pli=1#gid=0"",""1_ACUM!A4:S""),16,FALSE))"),0)</f>
        <v>0</v>
      </c>
      <c r="AH9" s="22">
        <f ca="1">IFERROR(__xludf.DUMMYFUNCTION("IFERROR(VLOOKUP(E19&amp;F19,IMPORTRANGE(""https://docs.google.com/spreadsheets/d/1Uw7-A9f9R21vMXxHZFNpYNeKFtG8_yji4HS352LGlSQ/edit?pli=1#gid=0"",""1_ACUM!A4:S""),17,FALSE))"),5)</f>
        <v>5</v>
      </c>
      <c r="AI9" s="23">
        <f ca="1">IFERROR(__xludf.DUMMYFUNCTION("IFERROR(VLOOKUP(E19&amp;F19,IMPORTRANGE(""https://docs.google.com/spreadsheets/d/1Uw7-A9f9R21vMXxHZFNpYNeKFtG8_yji4HS352LGlSQ/edit?pli=1#gid=0"",""1_ACUM!A4:S""),18,FALSE))"),43577)</f>
        <v>43577</v>
      </c>
      <c r="AJ9" s="23">
        <f ca="1">IFERROR(__xludf.DUMMYFUNCTION("IFERROR(VLOOKUP(E19&amp;F19,IMPORTRANGE(""https://docs.google.com/spreadsheets/d/1Uw7-A9f9R21vMXxHZFNpYNeKFtG8_yji4HS352LGlSQ/edit?pli=1#gid=0"",""1_ACUM!A4:S""),19,FALSE))"),43852)</f>
        <v>43852</v>
      </c>
      <c r="AK9" s="68">
        <f ca="1">IFERROR(__xludf.DUMMYFUNCTION("IFERROR(VLOOKUP(F19,IMPORTRANGE(""https://docs.google.com/spreadsheets/d/1Kvs4KS76FHFqLFIZfrDMff4kP08nblUkihrxltoGBjg/edit#gid=934712705"",""ESENCIAL!A6:BG""),5,FALSE))"),44034)</f>
        <v>44034</v>
      </c>
      <c r="AL9" s="68">
        <f t="shared" ca="1" si="1"/>
        <v>44583</v>
      </c>
      <c r="AM9" s="17" t="str">
        <f t="shared" ca="1" si="2"/>
        <v>FINALIZAR FICHA</v>
      </c>
      <c r="AN9" s="38" t="str">
        <f ca="1">IFERROR(__xludf.DUMMYFUNCTION("IFERROR(VLOOKUP(F19,IMPORTRANGE(""https://docs.google.com/spreadsheets/d/1Kvs4KS76FHFqLFIZfrDMff4kP08nblUkihrxltoGBjg/edit#gid=934712705"",""ESENCIAL!A6:BG""),2,FALSE))"),"Terminada por fecha")</f>
        <v>Terminada por fecha</v>
      </c>
      <c r="AO9" s="19" t="str">
        <f t="shared" si="3"/>
        <v>Yamboro</v>
      </c>
      <c r="AP9" s="292"/>
      <c r="AQ9" s="38"/>
    </row>
    <row r="10" spans="1:43" ht="18" hidden="1" customHeight="1">
      <c r="A10" s="289"/>
      <c r="B10" s="145" t="s">
        <v>25</v>
      </c>
      <c r="C10" s="25" t="s">
        <v>1019</v>
      </c>
      <c r="D10" s="25" t="s">
        <v>27</v>
      </c>
      <c r="E10" s="25">
        <v>1007575995</v>
      </c>
      <c r="F10" s="25">
        <v>1835254</v>
      </c>
      <c r="G10" s="11" t="str">
        <f ca="1">IFERROR(__xludf.DUMMYFUNCTION("IFERROR(VLOOKUP(F20,IMPORTRANGE(""https://docs.google.com/spreadsheets/d/1Kvs4KS76FHFqLFIZfrDMff4kP08nblUkihrxltoGBjg/edit#gid=934712705"",""ESENCIAL!A6:BG""),3,FALSE))"),"TÉCNICO")</f>
        <v>TÉCNICO</v>
      </c>
      <c r="H10" s="11" t="str">
        <f ca="1">IFERROR(__xludf.DUMMYFUNCTION("IFERROR(VLOOKUP(F20,IMPORTRANGE(""https://docs.google.com/spreadsheets/d/1Kvs4KS76FHFqLFIZfrDMff4kP08nblUkihrxltoGBjg/edit#gid=934712705"",""ESENCIAL!A6:BG""),8,FALSE))"),"COCINA.")</f>
        <v>COCINA.</v>
      </c>
      <c r="I10" s="25">
        <v>3144612027</v>
      </c>
      <c r="J10" s="25" t="s">
        <v>1020</v>
      </c>
      <c r="K10" s="25"/>
      <c r="L10" s="303" t="s">
        <v>44</v>
      </c>
      <c r="M10" s="31"/>
      <c r="N10" s="31"/>
      <c r="O10" s="31"/>
      <c r="P10" s="31"/>
      <c r="Q10" s="31"/>
      <c r="R10" s="32"/>
      <c r="S10" s="32"/>
      <c r="T10" s="31"/>
      <c r="U10" s="31"/>
      <c r="V10" s="28"/>
      <c r="W10" s="28"/>
      <c r="X10" s="28"/>
      <c r="Y10" s="28"/>
      <c r="Z10" s="19" t="str">
        <f t="shared" ca="1" si="0"/>
        <v>NO_CUMPLE</v>
      </c>
      <c r="AA10" s="11" t="str">
        <f ca="1">IFERROR(__xludf.DUMMYFUNCTION("IFERROR(VLOOKUP(E20&amp;F20,IMPORTRANGE(""https://docs.google.com/spreadsheets/d/1Uw7-A9f9R21vMXxHZFNpYNeKFtG8_yji4HS352LGlSQ/edit?pli=1#gid=0"",""1_ACUM!A4:S""),11,FALSE))"),"EN FORMACION")</f>
        <v>EN FORMACION</v>
      </c>
      <c r="AB10" s="20" t="str">
        <f ca="1">IFERROR(__xludf.DUMMYFUNCTION("IFERROR(VLOOKUP(F20,IMPORTRANGE(""https://docs.google.com/spreadsheets/d/1Kvs4KS76FHFqLFIZfrDMff4kP08nblUkihrxltoGBjg/edit#gid=934712705"",""ESENCIAL!A6:BG""),15,FALSE))"),"TURISMO")</f>
        <v>TURISMO</v>
      </c>
      <c r="AC10" s="21">
        <f ca="1">IFERROR(__xludf.DUMMYFUNCTION("IFERROR(VLOOKUP(E20&amp;F20,IMPORTRANGE(""https://docs.google.com/spreadsheets/d/1Uw7-A9f9R21vMXxHZFNpYNeKFtG8_yji4HS352LGlSQ/edit?pli=1#gid=0"",""1_ACUM!A4:S""),13,FALSE))"),0)</f>
        <v>0</v>
      </c>
      <c r="AD10" s="22">
        <f ca="1">IFERROR(__xludf.DUMMYFUNCTION("IFERROR(VLOOKUP(E20&amp;F20,IMPORTRANGE(""https://docs.google.com/spreadsheets/d/1Uw7-A9f9R21vMXxHZFNpYNeKFtG8_yji4HS352LGlSQ/edit?pli=1#gid=0"",""1_ACUM!A4:S""),13,FALSE))"),0)</f>
        <v>0</v>
      </c>
      <c r="AE10" s="22">
        <f ca="1">IFERROR(__xludf.DUMMYFUNCTION("IFERROR(VLOOKUP(E20&amp;F20,IMPORTRANGE(""https://docs.google.com/spreadsheets/d/1Uw7-A9f9R21vMXxHZFNpYNeKFtG8_yji4HS352LGlSQ/edit?pli=1#gid=0"",""1_ACUM!A4:S""),14,FALSE))"),1)</f>
        <v>1</v>
      </c>
      <c r="AF10" s="22">
        <f ca="1">IFERROR(__xludf.DUMMYFUNCTION("IFERROR(VLOOKUP(E20&amp;F20,IMPORTRANGE(""https://docs.google.com/spreadsheets/d/1Uw7-A9f9R21vMXxHZFNpYNeKFtG8_yji4HS352LGlSQ/edit?pli=1#gid=0"",""1_ACUM!A4:S""),15,FALSE))"),2)</f>
        <v>2</v>
      </c>
      <c r="AG10" s="22">
        <f ca="1">IFERROR(__xludf.DUMMYFUNCTION("IFERROR(VLOOKUP(E20&amp;F20,IMPORTRANGE(""https://docs.google.com/spreadsheets/d/1Uw7-A9f9R21vMXxHZFNpYNeKFtG8_yji4HS352LGlSQ/edit?pli=1#gid=0"",""1_ACUM!A4:S""),16,FALSE))"),0)</f>
        <v>0</v>
      </c>
      <c r="AH10" s="22">
        <f ca="1">IFERROR(__xludf.DUMMYFUNCTION("IFERROR(VLOOKUP(E20&amp;F20,IMPORTRANGE(""https://docs.google.com/spreadsheets/d/1Uw7-A9f9R21vMXxHZFNpYNeKFtG8_yji4HS352LGlSQ/edit?pli=1#gid=0"",""1_ACUM!A4:S""),17,FALSE))"),3)</f>
        <v>3</v>
      </c>
      <c r="AI10" s="23">
        <f ca="1">IFERROR(__xludf.DUMMYFUNCTION("IFERROR(VLOOKUP(E20&amp;F20,IMPORTRANGE(""https://docs.google.com/spreadsheets/d/1Uw7-A9f9R21vMXxHZFNpYNeKFtG8_yji4HS352LGlSQ/edit?pli=1#gid=0"",""1_ACUM!A4:S""),18,FALSE))"),43577)</f>
        <v>43577</v>
      </c>
      <c r="AJ10" s="23">
        <f ca="1">IFERROR(__xludf.DUMMYFUNCTION("IFERROR(VLOOKUP(E20&amp;F20,IMPORTRANGE(""https://docs.google.com/spreadsheets/d/1Uw7-A9f9R21vMXxHZFNpYNeKFtG8_yji4HS352LGlSQ/edit?pli=1#gid=0"",""1_ACUM!A4:S""),19,FALSE))"),43852)</f>
        <v>43852</v>
      </c>
      <c r="AK10" s="68">
        <f ca="1">IFERROR(__xludf.DUMMYFUNCTION("IFERROR(VLOOKUP(F20,IMPORTRANGE(""https://docs.google.com/spreadsheets/d/1Kvs4KS76FHFqLFIZfrDMff4kP08nblUkihrxltoGBjg/edit#gid=934712705"",""ESENCIAL!A6:BG""),5,FALSE))"),44034)</f>
        <v>44034</v>
      </c>
      <c r="AL10" s="68">
        <f t="shared" ca="1" si="1"/>
        <v>44583</v>
      </c>
      <c r="AM10" s="17" t="str">
        <f t="shared" ca="1" si="2"/>
        <v>FINALIZAR FICHA</v>
      </c>
      <c r="AN10" s="38" t="str">
        <f ca="1">IFERROR(__xludf.DUMMYFUNCTION("IFERROR(VLOOKUP(F20,IMPORTRANGE(""https://docs.google.com/spreadsheets/d/1Kvs4KS76FHFqLFIZfrDMff4kP08nblUkihrxltoGBjg/edit#gid=934712705"",""ESENCIAL!A6:BG""),2,FALSE))"),"Terminada por fecha")</f>
        <v>Terminada por fecha</v>
      </c>
      <c r="AO10" s="19" t="str">
        <f t="shared" si="3"/>
        <v>Yamboro</v>
      </c>
      <c r="AP10" s="292"/>
      <c r="AQ10" s="38"/>
    </row>
    <row r="11" spans="1:43" ht="18" hidden="1" customHeight="1">
      <c r="A11" s="289"/>
      <c r="B11" s="145" t="s">
        <v>25</v>
      </c>
      <c r="C11" s="25" t="s">
        <v>1021</v>
      </c>
      <c r="D11" s="25" t="s">
        <v>27</v>
      </c>
      <c r="E11" s="25">
        <v>1075290343</v>
      </c>
      <c r="F11" s="25">
        <v>1835254</v>
      </c>
      <c r="G11" s="11" t="str">
        <f ca="1">IFERROR(__xludf.DUMMYFUNCTION("IFERROR(VLOOKUP(F21,IMPORTRANGE(""https://docs.google.com/spreadsheets/d/1Kvs4KS76FHFqLFIZfrDMff4kP08nblUkihrxltoGBjg/edit#gid=934712705"",""ESENCIAL!A6:BG""),3,FALSE))"),"TÉCNICO")</f>
        <v>TÉCNICO</v>
      </c>
      <c r="H11" s="11" t="str">
        <f ca="1">IFERROR(__xludf.DUMMYFUNCTION("IFERROR(VLOOKUP(F21,IMPORTRANGE(""https://docs.google.com/spreadsheets/d/1Kvs4KS76FHFqLFIZfrDMff4kP08nblUkihrxltoGBjg/edit#gid=934712705"",""ESENCIAL!A6:BG""),8,FALSE))"),"COCINA.")</f>
        <v>COCINA.</v>
      </c>
      <c r="I11" s="25">
        <v>3123190438</v>
      </c>
      <c r="J11" s="25" t="s">
        <v>1022</v>
      </c>
      <c r="K11" s="25"/>
      <c r="L11" s="303" t="s">
        <v>44</v>
      </c>
      <c r="M11" s="31"/>
      <c r="N11" s="31"/>
      <c r="O11" s="31"/>
      <c r="P11" s="31"/>
      <c r="Q11" s="31"/>
      <c r="R11" s="32"/>
      <c r="S11" s="32"/>
      <c r="T11" s="31"/>
      <c r="U11" s="31"/>
      <c r="V11" s="28"/>
      <c r="W11" s="28"/>
      <c r="X11" s="28"/>
      <c r="Y11" s="28"/>
      <c r="Z11" s="19" t="str">
        <f t="shared" ca="1" si="0"/>
        <v>Procede_E_P</v>
      </c>
      <c r="AA11" s="11" t="str">
        <f ca="1">IFERROR(__xludf.DUMMYFUNCTION("IFERROR(VLOOKUP(E21&amp;F21,IMPORTRANGE(""https://docs.google.com/spreadsheets/d/1Uw7-A9f9R21vMXxHZFNpYNeKFtG8_yji4HS352LGlSQ/edit?pli=1#gid=0"",""1_ACUM!A4:S""),11,FALSE))"),"EN FORMACION")</f>
        <v>EN FORMACION</v>
      </c>
      <c r="AB11" s="20" t="str">
        <f ca="1">IFERROR(__xludf.DUMMYFUNCTION("IFERROR(VLOOKUP(F21,IMPORTRANGE(""https://docs.google.com/spreadsheets/d/1Kvs4KS76FHFqLFIZfrDMff4kP08nblUkihrxltoGBjg/edit#gid=934712705"",""ESENCIAL!A6:BG""),15,FALSE))"),"TURISMO")</f>
        <v>TURISMO</v>
      </c>
      <c r="AC11" s="21">
        <f ca="1">IFERROR(__xludf.DUMMYFUNCTION("IFERROR(VLOOKUP(E21&amp;F21,IMPORTRANGE(""https://docs.google.com/spreadsheets/d/1Uw7-A9f9R21vMXxHZFNpYNeKFtG8_yji4HS352LGlSQ/edit?pli=1#gid=0"",""1_ACUM!A4:S""),13,FALSE))"),0)</f>
        <v>0</v>
      </c>
      <c r="AD11" s="22">
        <f ca="1">IFERROR(__xludf.DUMMYFUNCTION("IFERROR(VLOOKUP(E21&amp;F21,IMPORTRANGE(""https://docs.google.com/spreadsheets/d/1Uw7-A9f9R21vMXxHZFNpYNeKFtG8_yji4HS352LGlSQ/edit?pli=1#gid=0"",""1_ACUM!A4:S""),13,FALSE))"),0)</f>
        <v>0</v>
      </c>
      <c r="AE11" s="22">
        <f ca="1">IFERROR(__xludf.DUMMYFUNCTION("IFERROR(VLOOKUP(E21&amp;F21,IMPORTRANGE(""https://docs.google.com/spreadsheets/d/1Uw7-A9f9R21vMXxHZFNpYNeKFtG8_yji4HS352LGlSQ/edit?pli=1#gid=0"",""1_ACUM!A4:S""),14,FALSE))"),1)</f>
        <v>1</v>
      </c>
      <c r="AF11" s="22">
        <f ca="1">IFERROR(__xludf.DUMMYFUNCTION("IFERROR(VLOOKUP(E21&amp;F21,IMPORTRANGE(""https://docs.google.com/spreadsheets/d/1Uw7-A9f9R21vMXxHZFNpYNeKFtG8_yji4HS352LGlSQ/edit?pli=1#gid=0"",""1_ACUM!A4:S""),15,FALSE))"),0)</f>
        <v>0</v>
      </c>
      <c r="AG11" s="22">
        <f ca="1">IFERROR(__xludf.DUMMYFUNCTION("IFERROR(VLOOKUP(E21&amp;F21,IMPORTRANGE(""https://docs.google.com/spreadsheets/d/1Uw7-A9f9R21vMXxHZFNpYNeKFtG8_yji4HS352LGlSQ/edit?pli=1#gid=0"",""1_ACUM!A4:S""),16,FALSE))"),0)</f>
        <v>0</v>
      </c>
      <c r="AH11" s="22">
        <f ca="1">IFERROR(__xludf.DUMMYFUNCTION("IFERROR(VLOOKUP(E21&amp;F21,IMPORTRANGE(""https://docs.google.com/spreadsheets/d/1Uw7-A9f9R21vMXxHZFNpYNeKFtG8_yji4HS352LGlSQ/edit?pli=1#gid=0"",""1_ACUM!A4:S""),17,FALSE))"),1)</f>
        <v>1</v>
      </c>
      <c r="AI11" s="23">
        <f ca="1">IFERROR(__xludf.DUMMYFUNCTION("IFERROR(VLOOKUP(E21&amp;F21,IMPORTRANGE(""https://docs.google.com/spreadsheets/d/1Uw7-A9f9R21vMXxHZFNpYNeKFtG8_yji4HS352LGlSQ/edit?pli=1#gid=0"",""1_ACUM!A4:S""),18,FALSE))"),43577)</f>
        <v>43577</v>
      </c>
      <c r="AJ11" s="23">
        <f ca="1">IFERROR(__xludf.DUMMYFUNCTION("IFERROR(VLOOKUP(E21&amp;F21,IMPORTRANGE(""https://docs.google.com/spreadsheets/d/1Uw7-A9f9R21vMXxHZFNpYNeKFtG8_yji4HS352LGlSQ/edit?pli=1#gid=0"",""1_ACUM!A4:S""),19,FALSE))"),43852)</f>
        <v>43852</v>
      </c>
      <c r="AK11" s="68">
        <f ca="1">IFERROR(__xludf.DUMMYFUNCTION("IFERROR(VLOOKUP(F21,IMPORTRANGE(""https://docs.google.com/spreadsheets/d/1Kvs4KS76FHFqLFIZfrDMff4kP08nblUkihrxltoGBjg/edit#gid=934712705"",""ESENCIAL!A6:BG""),5,FALSE))"),44034)</f>
        <v>44034</v>
      </c>
      <c r="AL11" s="68">
        <f t="shared" ca="1" si="1"/>
        <v>44583</v>
      </c>
      <c r="AM11" s="17" t="str">
        <f t="shared" ca="1" si="2"/>
        <v>FINALIZAR FICHA</v>
      </c>
      <c r="AN11" s="38" t="str">
        <f ca="1">IFERROR(__xludf.DUMMYFUNCTION("IFERROR(VLOOKUP(F21,IMPORTRANGE(""https://docs.google.com/spreadsheets/d/1Kvs4KS76FHFqLFIZfrDMff4kP08nblUkihrxltoGBjg/edit#gid=934712705"",""ESENCIAL!A6:BG""),2,FALSE))"),"Terminada por fecha")</f>
        <v>Terminada por fecha</v>
      </c>
      <c r="AO11" s="19" t="str">
        <f t="shared" si="3"/>
        <v>Yamboro</v>
      </c>
      <c r="AP11" s="292"/>
      <c r="AQ11" s="38"/>
    </row>
    <row r="12" spans="1:43" ht="18" hidden="1" customHeight="1">
      <c r="A12" s="289"/>
      <c r="B12" s="145" t="s">
        <v>25</v>
      </c>
      <c r="C12" s="25" t="s">
        <v>1023</v>
      </c>
      <c r="D12" s="25" t="s">
        <v>27</v>
      </c>
      <c r="E12" s="25">
        <v>1083914863</v>
      </c>
      <c r="F12" s="25">
        <v>1835254</v>
      </c>
      <c r="G12" s="11" t="str">
        <f ca="1">IFERROR(__xludf.DUMMYFUNCTION("IFERROR(VLOOKUP(F23,IMPORTRANGE(""https://docs.google.com/spreadsheets/d/1Kvs4KS76FHFqLFIZfrDMff4kP08nblUkihrxltoGBjg/edit#gid=934712705"",""ESENCIAL!A6:BG""),3,FALSE))"),"TÉCNICO")</f>
        <v>TÉCNICO</v>
      </c>
      <c r="H12" s="11" t="str">
        <f ca="1">IFERROR(__xludf.DUMMYFUNCTION("IFERROR(VLOOKUP(F23,IMPORTRANGE(""https://docs.google.com/spreadsheets/d/1Kvs4KS76FHFqLFIZfrDMff4kP08nblUkihrxltoGBjg/edit#gid=934712705"",""ESENCIAL!A6:BG""),8,FALSE))"),"COCINA.")</f>
        <v>COCINA.</v>
      </c>
      <c r="I12" s="25">
        <v>3132303345</v>
      </c>
      <c r="J12" s="25" t="s">
        <v>1024</v>
      </c>
      <c r="K12" s="25" t="s">
        <v>1025</v>
      </c>
      <c r="L12" s="303" t="s">
        <v>44</v>
      </c>
      <c r="M12" s="31"/>
      <c r="N12" s="31"/>
      <c r="O12" s="31"/>
      <c r="P12" s="31"/>
      <c r="Q12" s="31"/>
      <c r="R12" s="32"/>
      <c r="S12" s="32"/>
      <c r="T12" s="31"/>
      <c r="U12" s="31"/>
      <c r="V12" s="28"/>
      <c r="W12" s="28"/>
      <c r="X12" s="28"/>
      <c r="Y12" s="28"/>
      <c r="Z12" s="19" t="str">
        <f t="shared" ca="1" si="0"/>
        <v>NO_CUMPLE</v>
      </c>
      <c r="AA12" s="11" t="str">
        <f ca="1">IFERROR(__xludf.DUMMYFUNCTION("IFERROR(VLOOKUP(E23&amp;F23,IMPORTRANGE(""https://docs.google.com/spreadsheets/d/1Uw7-A9f9R21vMXxHZFNpYNeKFtG8_yji4HS352LGlSQ/edit?pli=1#gid=0"",""1_ACUM!A4:S""),11,FALSE))"),"EN FORMACION")</f>
        <v>EN FORMACION</v>
      </c>
      <c r="AB12" s="20" t="str">
        <f ca="1">IFERROR(__xludf.DUMMYFUNCTION("IFERROR(VLOOKUP(F23,IMPORTRANGE(""https://docs.google.com/spreadsheets/d/1Kvs4KS76FHFqLFIZfrDMff4kP08nblUkihrxltoGBjg/edit#gid=934712705"",""ESENCIAL!A6:BG""),15,FALSE))"),"TURISMO")</f>
        <v>TURISMO</v>
      </c>
      <c r="AC12" s="21">
        <f ca="1">IFERROR(__xludf.DUMMYFUNCTION("IFERROR(VLOOKUP(E23&amp;F23,IMPORTRANGE(""https://docs.google.com/spreadsheets/d/1Uw7-A9f9R21vMXxHZFNpYNeKFtG8_yji4HS352LGlSQ/edit?pli=1#gid=0"",""1_ACUM!A4:S""),13,FALSE))"),0)</f>
        <v>0</v>
      </c>
      <c r="AD12" s="22">
        <f ca="1">IFERROR(__xludf.DUMMYFUNCTION("IFERROR(VLOOKUP(E23&amp;F23,IMPORTRANGE(""https://docs.google.com/spreadsheets/d/1Uw7-A9f9R21vMXxHZFNpYNeKFtG8_yji4HS352LGlSQ/edit?pli=1#gid=0"",""1_ACUM!A4:S""),13,FALSE))"),0)</f>
        <v>0</v>
      </c>
      <c r="AE12" s="22">
        <f ca="1">IFERROR(__xludf.DUMMYFUNCTION("IFERROR(VLOOKUP(E23&amp;F23,IMPORTRANGE(""https://docs.google.com/spreadsheets/d/1Uw7-A9f9R21vMXxHZFNpYNeKFtG8_yji4HS352LGlSQ/edit?pli=1#gid=0"",""1_ACUM!A4:S""),14,FALSE))"),1)</f>
        <v>1</v>
      </c>
      <c r="AF12" s="22">
        <f ca="1">IFERROR(__xludf.DUMMYFUNCTION("IFERROR(VLOOKUP(E23&amp;F23,IMPORTRANGE(""https://docs.google.com/spreadsheets/d/1Uw7-A9f9R21vMXxHZFNpYNeKFtG8_yji4HS352LGlSQ/edit?pli=1#gid=0"",""1_ACUM!A4:S""),15,FALSE))"),4)</f>
        <v>4</v>
      </c>
      <c r="AG12" s="22">
        <f ca="1">IFERROR(__xludf.DUMMYFUNCTION("IFERROR(VLOOKUP(E23&amp;F23,IMPORTRANGE(""https://docs.google.com/spreadsheets/d/1Uw7-A9f9R21vMXxHZFNpYNeKFtG8_yji4HS352LGlSQ/edit?pli=1#gid=0"",""1_ACUM!A4:S""),16,FALSE))"),0)</f>
        <v>0</v>
      </c>
      <c r="AH12" s="22">
        <f ca="1">IFERROR(__xludf.DUMMYFUNCTION("IFERROR(VLOOKUP(E23&amp;F23,IMPORTRANGE(""https://docs.google.com/spreadsheets/d/1Uw7-A9f9R21vMXxHZFNpYNeKFtG8_yji4HS352LGlSQ/edit?pli=1#gid=0"",""1_ACUM!A4:S""),17,FALSE))"),5)</f>
        <v>5</v>
      </c>
      <c r="AI12" s="23">
        <f ca="1">IFERROR(__xludf.DUMMYFUNCTION("IFERROR(VLOOKUP(E23&amp;F23,IMPORTRANGE(""https://docs.google.com/spreadsheets/d/1Uw7-A9f9R21vMXxHZFNpYNeKFtG8_yji4HS352LGlSQ/edit?pli=1#gid=0"",""1_ACUM!A4:S""),18,FALSE))"),43577)</f>
        <v>43577</v>
      </c>
      <c r="AJ12" s="23">
        <f ca="1">IFERROR(__xludf.DUMMYFUNCTION("IFERROR(VLOOKUP(E23&amp;F23,IMPORTRANGE(""https://docs.google.com/spreadsheets/d/1Uw7-A9f9R21vMXxHZFNpYNeKFtG8_yji4HS352LGlSQ/edit?pli=1#gid=0"",""1_ACUM!A4:S""),19,FALSE))"),43852)</f>
        <v>43852</v>
      </c>
      <c r="AK12" s="68">
        <f ca="1">IFERROR(__xludf.DUMMYFUNCTION("IFERROR(VLOOKUP(F23,IMPORTRANGE(""https://docs.google.com/spreadsheets/d/1Kvs4KS76FHFqLFIZfrDMff4kP08nblUkihrxltoGBjg/edit#gid=934712705"",""ESENCIAL!A6:BG""),5,FALSE))"),44034)</f>
        <v>44034</v>
      </c>
      <c r="AL12" s="68">
        <f t="shared" ca="1" si="1"/>
        <v>44583</v>
      </c>
      <c r="AM12" s="17" t="str">
        <f t="shared" ca="1" si="2"/>
        <v>FINALIZAR FICHA</v>
      </c>
      <c r="AN12" s="38" t="str">
        <f ca="1">IFERROR(__xludf.DUMMYFUNCTION("IFERROR(VLOOKUP(F23,IMPORTRANGE(""https://docs.google.com/spreadsheets/d/1Kvs4KS76FHFqLFIZfrDMff4kP08nblUkihrxltoGBjg/edit#gid=934712705"",""ESENCIAL!A6:BG""),2,FALSE))"),"Terminada por fecha")</f>
        <v>Terminada por fecha</v>
      </c>
      <c r="AO12" s="19" t="str">
        <f t="shared" si="3"/>
        <v>Yamboro</v>
      </c>
      <c r="AP12" s="292"/>
      <c r="AQ12" s="38"/>
    </row>
    <row r="13" spans="1:43" ht="18" hidden="1" customHeight="1">
      <c r="A13" s="289"/>
      <c r="B13" s="145" t="s">
        <v>25</v>
      </c>
      <c r="C13" s="25" t="s">
        <v>1026</v>
      </c>
      <c r="D13" s="25" t="s">
        <v>27</v>
      </c>
      <c r="E13" s="25">
        <v>1083916387</v>
      </c>
      <c r="F13" s="25">
        <v>1835254</v>
      </c>
      <c r="G13" s="11" t="str">
        <f ca="1">IFERROR(__xludf.DUMMYFUNCTION("IFERROR(VLOOKUP(F24,IMPORTRANGE(""https://docs.google.com/spreadsheets/d/1Kvs4KS76FHFqLFIZfrDMff4kP08nblUkihrxltoGBjg/edit#gid=934712705"",""ESENCIAL!A6:BG""),3,FALSE))"),"TÉCNICO")</f>
        <v>TÉCNICO</v>
      </c>
      <c r="H13" s="11" t="str">
        <f ca="1">IFERROR(__xludf.DUMMYFUNCTION("IFERROR(VLOOKUP(F24,IMPORTRANGE(""https://docs.google.com/spreadsheets/d/1Kvs4KS76FHFqLFIZfrDMff4kP08nblUkihrxltoGBjg/edit#gid=934712705"",""ESENCIAL!A6:BG""),8,FALSE))"),"COCINA.")</f>
        <v>COCINA.</v>
      </c>
      <c r="I13" s="25">
        <v>3203705188</v>
      </c>
      <c r="J13" s="25" t="s">
        <v>1027</v>
      </c>
      <c r="K13" s="25" t="s">
        <v>84</v>
      </c>
      <c r="L13" s="303" t="s">
        <v>44</v>
      </c>
      <c r="M13" s="31"/>
      <c r="N13" s="31"/>
      <c r="O13" s="31"/>
      <c r="P13" s="31"/>
      <c r="Q13" s="31"/>
      <c r="R13" s="32"/>
      <c r="S13" s="32"/>
      <c r="T13" s="31"/>
      <c r="U13" s="31"/>
      <c r="V13" s="28"/>
      <c r="W13" s="28"/>
      <c r="X13" s="28"/>
      <c r="Y13" s="28"/>
      <c r="Z13" s="19" t="str">
        <f t="shared" ca="1" si="0"/>
        <v>Procede_E_P</v>
      </c>
      <c r="AA13" s="11" t="str">
        <f ca="1">IFERROR(__xludf.DUMMYFUNCTION("IFERROR(VLOOKUP(E24&amp;F24,IMPORTRANGE(""https://docs.google.com/spreadsheets/d/1Uw7-A9f9R21vMXxHZFNpYNeKFtG8_yji4HS352LGlSQ/edit?pli=1#gid=0"",""1_ACUM!A4:S""),11,FALSE))"),"EN FORMACION")</f>
        <v>EN FORMACION</v>
      </c>
      <c r="AB13" s="20" t="str">
        <f ca="1">IFERROR(__xludf.DUMMYFUNCTION("IFERROR(VLOOKUP(F24,IMPORTRANGE(""https://docs.google.com/spreadsheets/d/1Kvs4KS76FHFqLFIZfrDMff4kP08nblUkihrxltoGBjg/edit#gid=934712705"",""ESENCIAL!A6:BG""),15,FALSE))"),"TURISMO")</f>
        <v>TURISMO</v>
      </c>
      <c r="AC13" s="21">
        <f ca="1">IFERROR(__xludf.DUMMYFUNCTION("IFERROR(VLOOKUP(E24&amp;F24,IMPORTRANGE(""https://docs.google.com/spreadsheets/d/1Uw7-A9f9R21vMXxHZFNpYNeKFtG8_yji4HS352LGlSQ/edit?pli=1#gid=0"",""1_ACUM!A4:S""),13,FALSE))"),0)</f>
        <v>0</v>
      </c>
      <c r="AD13" s="22">
        <f ca="1">IFERROR(__xludf.DUMMYFUNCTION("IFERROR(VLOOKUP(E24&amp;F24,IMPORTRANGE(""https://docs.google.com/spreadsheets/d/1Uw7-A9f9R21vMXxHZFNpYNeKFtG8_yji4HS352LGlSQ/edit?pli=1#gid=0"",""1_ACUM!A4:S""),13,FALSE))"),0)</f>
        <v>0</v>
      </c>
      <c r="AE13" s="22">
        <f ca="1">IFERROR(__xludf.DUMMYFUNCTION("IFERROR(VLOOKUP(E24&amp;F24,IMPORTRANGE(""https://docs.google.com/spreadsheets/d/1Uw7-A9f9R21vMXxHZFNpYNeKFtG8_yji4HS352LGlSQ/edit?pli=1#gid=0"",""1_ACUM!A4:S""),14,FALSE))"),1)</f>
        <v>1</v>
      </c>
      <c r="AF13" s="22">
        <f ca="1">IFERROR(__xludf.DUMMYFUNCTION("IFERROR(VLOOKUP(E24&amp;F24,IMPORTRANGE(""https://docs.google.com/spreadsheets/d/1Uw7-A9f9R21vMXxHZFNpYNeKFtG8_yji4HS352LGlSQ/edit?pli=1#gid=0"",""1_ACUM!A4:S""),15,FALSE))"),0)</f>
        <v>0</v>
      </c>
      <c r="AG13" s="22">
        <f ca="1">IFERROR(__xludf.DUMMYFUNCTION("IFERROR(VLOOKUP(E24&amp;F24,IMPORTRANGE(""https://docs.google.com/spreadsheets/d/1Uw7-A9f9R21vMXxHZFNpYNeKFtG8_yji4HS352LGlSQ/edit?pli=1#gid=0"",""1_ACUM!A4:S""),16,FALSE))"),0)</f>
        <v>0</v>
      </c>
      <c r="AH13" s="22">
        <f ca="1">IFERROR(__xludf.DUMMYFUNCTION("IFERROR(VLOOKUP(E24&amp;F24,IMPORTRANGE(""https://docs.google.com/spreadsheets/d/1Uw7-A9f9R21vMXxHZFNpYNeKFtG8_yji4HS352LGlSQ/edit?pli=1#gid=0"",""1_ACUM!A4:S""),17,FALSE))"),1)</f>
        <v>1</v>
      </c>
      <c r="AI13" s="23">
        <f ca="1">IFERROR(__xludf.DUMMYFUNCTION("IFERROR(VLOOKUP(E24&amp;F24,IMPORTRANGE(""https://docs.google.com/spreadsheets/d/1Uw7-A9f9R21vMXxHZFNpYNeKFtG8_yji4HS352LGlSQ/edit?pli=1#gid=0"",""1_ACUM!A4:S""),18,FALSE))"),43577)</f>
        <v>43577</v>
      </c>
      <c r="AJ13" s="23">
        <f ca="1">IFERROR(__xludf.DUMMYFUNCTION("IFERROR(VLOOKUP(E24&amp;F24,IMPORTRANGE(""https://docs.google.com/spreadsheets/d/1Uw7-A9f9R21vMXxHZFNpYNeKFtG8_yji4HS352LGlSQ/edit?pli=1#gid=0"",""1_ACUM!A4:S""),19,FALSE))"),43852)</f>
        <v>43852</v>
      </c>
      <c r="AK13" s="68">
        <f ca="1">IFERROR(__xludf.DUMMYFUNCTION("IFERROR(VLOOKUP(F24,IMPORTRANGE(""https://docs.google.com/spreadsheets/d/1Kvs4KS76FHFqLFIZfrDMff4kP08nblUkihrxltoGBjg/edit#gid=934712705"",""ESENCIAL!A6:BG""),5,FALSE))"),44034)</f>
        <v>44034</v>
      </c>
      <c r="AL13" s="68">
        <f t="shared" ca="1" si="1"/>
        <v>44583</v>
      </c>
      <c r="AM13" s="17" t="str">
        <f t="shared" ca="1" si="2"/>
        <v>FINALIZAR FICHA</v>
      </c>
      <c r="AN13" s="38" t="str">
        <f ca="1">IFERROR(__xludf.DUMMYFUNCTION("IFERROR(VLOOKUP(F24,IMPORTRANGE(""https://docs.google.com/spreadsheets/d/1Kvs4KS76FHFqLFIZfrDMff4kP08nblUkihrxltoGBjg/edit#gid=934712705"",""ESENCIAL!A6:BG""),2,FALSE))"),"Terminada por fecha")</f>
        <v>Terminada por fecha</v>
      </c>
      <c r="AO13" s="19" t="str">
        <f t="shared" si="3"/>
        <v>Yamboro</v>
      </c>
      <c r="AP13" s="292"/>
      <c r="AQ13" s="38"/>
    </row>
    <row r="14" spans="1:43" ht="18" hidden="1" customHeight="1">
      <c r="A14" s="289"/>
      <c r="B14" s="145" t="s">
        <v>25</v>
      </c>
      <c r="C14" s="25" t="s">
        <v>1028</v>
      </c>
      <c r="D14" s="25" t="s">
        <v>27</v>
      </c>
      <c r="E14" s="25">
        <v>1083920511</v>
      </c>
      <c r="F14" s="25">
        <v>1835254</v>
      </c>
      <c r="G14" s="11" t="str">
        <f ca="1">IFERROR(__xludf.DUMMYFUNCTION("IFERROR(VLOOKUP(F25,IMPORTRANGE(""https://docs.google.com/spreadsheets/d/1Kvs4KS76FHFqLFIZfrDMff4kP08nblUkihrxltoGBjg/edit#gid=934712705"",""ESENCIAL!A6:BG""),3,FALSE))"),"TÉCNICO")</f>
        <v>TÉCNICO</v>
      </c>
      <c r="H14" s="11" t="str">
        <f ca="1">IFERROR(__xludf.DUMMYFUNCTION("IFERROR(VLOOKUP(F25,IMPORTRANGE(""https://docs.google.com/spreadsheets/d/1Kvs4KS76FHFqLFIZfrDMff4kP08nblUkihrxltoGBjg/edit#gid=934712705"",""ESENCIAL!A6:BG""),8,FALSE))"),"COCINA.")</f>
        <v>COCINA.</v>
      </c>
      <c r="I14" s="25"/>
      <c r="J14" s="25" t="s">
        <v>1029</v>
      </c>
      <c r="K14" s="25"/>
      <c r="L14" s="303" t="s">
        <v>44</v>
      </c>
      <c r="M14" s="31"/>
      <c r="N14" s="31"/>
      <c r="O14" s="31"/>
      <c r="P14" s="31"/>
      <c r="Q14" s="31"/>
      <c r="R14" s="32"/>
      <c r="S14" s="32"/>
      <c r="T14" s="31"/>
      <c r="U14" s="31"/>
      <c r="V14" s="28"/>
      <c r="W14" s="28"/>
      <c r="X14" s="28"/>
      <c r="Y14" s="28"/>
      <c r="Z14" s="19" t="str">
        <f t="shared" ca="1" si="0"/>
        <v>NO_CUMPLE</v>
      </c>
      <c r="AA14" s="11" t="str">
        <f ca="1">IFERROR(__xludf.DUMMYFUNCTION("IFERROR(VLOOKUP(E25&amp;F25,IMPORTRANGE(""https://docs.google.com/spreadsheets/d/1Uw7-A9f9R21vMXxHZFNpYNeKFtG8_yji4HS352LGlSQ/edit?pli=1#gid=0"",""1_ACUM!A4:S""),11,FALSE))"),"EN FORMACION")</f>
        <v>EN FORMACION</v>
      </c>
      <c r="AB14" s="20" t="str">
        <f ca="1">IFERROR(__xludf.DUMMYFUNCTION("IFERROR(VLOOKUP(F25,IMPORTRANGE(""https://docs.google.com/spreadsheets/d/1Kvs4KS76FHFqLFIZfrDMff4kP08nblUkihrxltoGBjg/edit#gid=934712705"",""ESENCIAL!A6:BG""),15,FALSE))"),"TURISMO")</f>
        <v>TURISMO</v>
      </c>
      <c r="AC14" s="21">
        <f ca="1">IFERROR(__xludf.DUMMYFUNCTION("IFERROR(VLOOKUP(E25&amp;F25,IMPORTRANGE(""https://docs.google.com/spreadsheets/d/1Uw7-A9f9R21vMXxHZFNpYNeKFtG8_yji4HS352LGlSQ/edit?pli=1#gid=0"",""1_ACUM!A4:S""),13,FALSE))"),1)</f>
        <v>1</v>
      </c>
      <c r="AD14" s="22">
        <f ca="1">IFERROR(__xludf.DUMMYFUNCTION("IFERROR(VLOOKUP(E25&amp;F25,IMPORTRANGE(""https://docs.google.com/spreadsheets/d/1Uw7-A9f9R21vMXxHZFNpYNeKFtG8_yji4HS352LGlSQ/edit?pli=1#gid=0"",""1_ACUM!A4:S""),13,FALSE))"),1)</f>
        <v>1</v>
      </c>
      <c r="AE14" s="22">
        <f ca="1">IFERROR(__xludf.DUMMYFUNCTION("IFERROR(VLOOKUP(E25&amp;F25,IMPORTRANGE(""https://docs.google.com/spreadsheets/d/1Uw7-A9f9R21vMXxHZFNpYNeKFtG8_yji4HS352LGlSQ/edit?pli=1#gid=0"",""1_ACUM!A4:S""),14,FALSE))"),1)</f>
        <v>1</v>
      </c>
      <c r="AF14" s="22">
        <f ca="1">IFERROR(__xludf.DUMMYFUNCTION("IFERROR(VLOOKUP(E25&amp;F25,IMPORTRANGE(""https://docs.google.com/spreadsheets/d/1Uw7-A9f9R21vMXxHZFNpYNeKFtG8_yji4HS352LGlSQ/edit?pli=1#gid=0"",""1_ACUM!A4:S""),15,FALSE))"),4)</f>
        <v>4</v>
      </c>
      <c r="AG14" s="22">
        <f ca="1">IFERROR(__xludf.DUMMYFUNCTION("IFERROR(VLOOKUP(E25&amp;F25,IMPORTRANGE(""https://docs.google.com/spreadsheets/d/1Uw7-A9f9R21vMXxHZFNpYNeKFtG8_yji4HS352LGlSQ/edit?pli=1#gid=0"",""1_ACUM!A4:S""),16,FALSE))"),0)</f>
        <v>0</v>
      </c>
      <c r="AH14" s="22">
        <f ca="1">IFERROR(__xludf.DUMMYFUNCTION("IFERROR(VLOOKUP(E25&amp;F25,IMPORTRANGE(""https://docs.google.com/spreadsheets/d/1Uw7-A9f9R21vMXxHZFNpYNeKFtG8_yji4HS352LGlSQ/edit?pli=1#gid=0"",""1_ACUM!A4:S""),17,FALSE))"),6)</f>
        <v>6</v>
      </c>
      <c r="AI14" s="23">
        <f ca="1">IFERROR(__xludf.DUMMYFUNCTION("IFERROR(VLOOKUP(E25&amp;F25,IMPORTRANGE(""https://docs.google.com/spreadsheets/d/1Uw7-A9f9R21vMXxHZFNpYNeKFtG8_yji4HS352LGlSQ/edit?pli=1#gid=0"",""1_ACUM!A4:S""),18,FALSE))"),43577)</f>
        <v>43577</v>
      </c>
      <c r="AJ14" s="23">
        <f ca="1">IFERROR(__xludf.DUMMYFUNCTION("IFERROR(VLOOKUP(E25&amp;F25,IMPORTRANGE(""https://docs.google.com/spreadsheets/d/1Uw7-A9f9R21vMXxHZFNpYNeKFtG8_yji4HS352LGlSQ/edit?pli=1#gid=0"",""1_ACUM!A4:S""),19,FALSE))"),43852)</f>
        <v>43852</v>
      </c>
      <c r="AK14" s="68">
        <f ca="1">IFERROR(__xludf.DUMMYFUNCTION("IFERROR(VLOOKUP(F25,IMPORTRANGE(""https://docs.google.com/spreadsheets/d/1Kvs4KS76FHFqLFIZfrDMff4kP08nblUkihrxltoGBjg/edit#gid=934712705"",""ESENCIAL!A6:BG""),5,FALSE))"),44034)</f>
        <v>44034</v>
      </c>
      <c r="AL14" s="68">
        <f t="shared" ca="1" si="1"/>
        <v>44583</v>
      </c>
      <c r="AM14" s="17" t="str">
        <f t="shared" ca="1" si="2"/>
        <v>FINALIZAR FICHA</v>
      </c>
      <c r="AN14" s="38" t="str">
        <f ca="1">IFERROR(__xludf.DUMMYFUNCTION("IFERROR(VLOOKUP(F25,IMPORTRANGE(""https://docs.google.com/spreadsheets/d/1Kvs4KS76FHFqLFIZfrDMff4kP08nblUkihrxltoGBjg/edit#gid=934712705"",""ESENCIAL!A6:BG""),2,FALSE))"),"Terminada por fecha")</f>
        <v>Terminada por fecha</v>
      </c>
      <c r="AO14" s="19" t="str">
        <f t="shared" si="3"/>
        <v>Yamboro</v>
      </c>
      <c r="AP14" s="292"/>
      <c r="AQ14" s="38"/>
    </row>
    <row r="15" spans="1:43" ht="18" hidden="1" customHeight="1">
      <c r="A15" s="289"/>
      <c r="B15" s="145" t="s">
        <v>25</v>
      </c>
      <c r="C15" s="25" t="s">
        <v>1030</v>
      </c>
      <c r="D15" s="25" t="s">
        <v>27</v>
      </c>
      <c r="E15" s="25">
        <v>1109495515</v>
      </c>
      <c r="F15" s="25">
        <v>1835254</v>
      </c>
      <c r="G15" s="11" t="str">
        <f ca="1">IFERROR(__xludf.DUMMYFUNCTION("IFERROR(VLOOKUP(F26,IMPORTRANGE(""https://docs.google.com/spreadsheets/d/1Kvs4KS76FHFqLFIZfrDMff4kP08nblUkihrxltoGBjg/edit#gid=934712705"",""ESENCIAL!A6:BG""),3,FALSE))"),"TÉCNICO")</f>
        <v>TÉCNICO</v>
      </c>
      <c r="H15" s="11" t="str">
        <f ca="1">IFERROR(__xludf.DUMMYFUNCTION("IFERROR(VLOOKUP(F26,IMPORTRANGE(""https://docs.google.com/spreadsheets/d/1Kvs4KS76FHFqLFIZfrDMff4kP08nblUkihrxltoGBjg/edit#gid=934712705"",""ESENCIAL!A6:BG""),8,FALSE))"),"COCINA.")</f>
        <v>COCINA.</v>
      </c>
      <c r="I15" s="25">
        <v>3163684622</v>
      </c>
      <c r="J15" s="25" t="s">
        <v>1031</v>
      </c>
      <c r="K15" s="25" t="s">
        <v>84</v>
      </c>
      <c r="L15" s="303" t="s">
        <v>44</v>
      </c>
      <c r="M15" s="31"/>
      <c r="N15" s="31"/>
      <c r="O15" s="31"/>
      <c r="P15" s="31"/>
      <c r="Q15" s="31"/>
      <c r="R15" s="32"/>
      <c r="S15" s="32"/>
      <c r="T15" s="31"/>
      <c r="U15" s="31"/>
      <c r="V15" s="28"/>
      <c r="W15" s="28"/>
      <c r="X15" s="28"/>
      <c r="Y15" s="28"/>
      <c r="Z15" s="19" t="str">
        <f t="shared" ca="1" si="0"/>
        <v>Procede_E_P</v>
      </c>
      <c r="AA15" s="11" t="str">
        <f ca="1">IFERROR(__xludf.DUMMYFUNCTION("IFERROR(VLOOKUP(E26&amp;F26,IMPORTRANGE(""https://docs.google.com/spreadsheets/d/1Uw7-A9f9R21vMXxHZFNpYNeKFtG8_yji4HS352LGlSQ/edit?pli=1#gid=0"",""1_ACUM!A4:S""),11,FALSE))"),"EN FORMACION")</f>
        <v>EN FORMACION</v>
      </c>
      <c r="AB15" s="20" t="str">
        <f ca="1">IFERROR(__xludf.DUMMYFUNCTION("IFERROR(VLOOKUP(F26,IMPORTRANGE(""https://docs.google.com/spreadsheets/d/1Kvs4KS76FHFqLFIZfrDMff4kP08nblUkihrxltoGBjg/edit#gid=934712705"",""ESENCIAL!A6:BG""),15,FALSE))"),"TURISMO")</f>
        <v>TURISMO</v>
      </c>
      <c r="AC15" s="21">
        <f ca="1">IFERROR(__xludf.DUMMYFUNCTION("IFERROR(VLOOKUP(E26&amp;F26,IMPORTRANGE(""https://docs.google.com/spreadsheets/d/1Uw7-A9f9R21vMXxHZFNpYNeKFtG8_yji4HS352LGlSQ/edit?pli=1#gid=0"",""1_ACUM!A4:S""),13,FALSE))"),0)</f>
        <v>0</v>
      </c>
      <c r="AD15" s="22">
        <f ca="1">IFERROR(__xludf.DUMMYFUNCTION("IFERROR(VLOOKUP(E26&amp;F26,IMPORTRANGE(""https://docs.google.com/spreadsheets/d/1Uw7-A9f9R21vMXxHZFNpYNeKFtG8_yji4HS352LGlSQ/edit?pli=1#gid=0"",""1_ACUM!A4:S""),13,FALSE))"),0)</f>
        <v>0</v>
      </c>
      <c r="AE15" s="22">
        <f ca="1">IFERROR(__xludf.DUMMYFUNCTION("IFERROR(VLOOKUP(E26&amp;F26,IMPORTRANGE(""https://docs.google.com/spreadsheets/d/1Uw7-A9f9R21vMXxHZFNpYNeKFtG8_yji4HS352LGlSQ/edit?pli=1#gid=0"",""1_ACUM!A4:S""),14,FALSE))"),1)</f>
        <v>1</v>
      </c>
      <c r="AF15" s="22">
        <f ca="1">IFERROR(__xludf.DUMMYFUNCTION("IFERROR(VLOOKUP(E26&amp;F26,IMPORTRANGE(""https://docs.google.com/spreadsheets/d/1Uw7-A9f9R21vMXxHZFNpYNeKFtG8_yji4HS352LGlSQ/edit?pli=1#gid=0"",""1_ACUM!A4:S""),15,FALSE))"),0)</f>
        <v>0</v>
      </c>
      <c r="AG15" s="22">
        <f ca="1">IFERROR(__xludf.DUMMYFUNCTION("IFERROR(VLOOKUP(E26&amp;F26,IMPORTRANGE(""https://docs.google.com/spreadsheets/d/1Uw7-A9f9R21vMXxHZFNpYNeKFtG8_yji4HS352LGlSQ/edit?pli=1#gid=0"",""1_ACUM!A4:S""),16,FALSE))"),0)</f>
        <v>0</v>
      </c>
      <c r="AH15" s="22">
        <f ca="1">IFERROR(__xludf.DUMMYFUNCTION("IFERROR(VLOOKUP(E26&amp;F26,IMPORTRANGE(""https://docs.google.com/spreadsheets/d/1Uw7-A9f9R21vMXxHZFNpYNeKFtG8_yji4HS352LGlSQ/edit?pli=1#gid=0"",""1_ACUM!A4:S""),17,FALSE))"),1)</f>
        <v>1</v>
      </c>
      <c r="AI15" s="23">
        <f ca="1">IFERROR(__xludf.DUMMYFUNCTION("IFERROR(VLOOKUP(E26&amp;F26,IMPORTRANGE(""https://docs.google.com/spreadsheets/d/1Uw7-A9f9R21vMXxHZFNpYNeKFtG8_yji4HS352LGlSQ/edit?pli=1#gid=0"",""1_ACUM!A4:S""),18,FALSE))"),43577)</f>
        <v>43577</v>
      </c>
      <c r="AJ15" s="23">
        <f ca="1">IFERROR(__xludf.DUMMYFUNCTION("IFERROR(VLOOKUP(E26&amp;F26,IMPORTRANGE(""https://docs.google.com/spreadsheets/d/1Uw7-A9f9R21vMXxHZFNpYNeKFtG8_yji4HS352LGlSQ/edit?pli=1#gid=0"",""1_ACUM!A4:S""),19,FALSE))"),43852)</f>
        <v>43852</v>
      </c>
      <c r="AK15" s="68">
        <f ca="1">IFERROR(__xludf.DUMMYFUNCTION("IFERROR(VLOOKUP(F26,IMPORTRANGE(""https://docs.google.com/spreadsheets/d/1Kvs4KS76FHFqLFIZfrDMff4kP08nblUkihrxltoGBjg/edit#gid=934712705"",""ESENCIAL!A6:BG""),5,FALSE))"),44034)</f>
        <v>44034</v>
      </c>
      <c r="AL15" s="68">
        <f t="shared" ca="1" si="1"/>
        <v>44583</v>
      </c>
      <c r="AM15" s="17" t="str">
        <f t="shared" ca="1" si="2"/>
        <v>FINALIZAR FICHA</v>
      </c>
      <c r="AN15" s="38" t="str">
        <f ca="1">IFERROR(__xludf.DUMMYFUNCTION("IFERROR(VLOOKUP(F26,IMPORTRANGE(""https://docs.google.com/spreadsheets/d/1Kvs4KS76FHFqLFIZfrDMff4kP08nblUkihrxltoGBjg/edit#gid=934712705"",""ESENCIAL!A6:BG""),2,FALSE))"),"Terminada por fecha")</f>
        <v>Terminada por fecha</v>
      </c>
      <c r="AO15" s="19" t="str">
        <f t="shared" si="3"/>
        <v>Yamboro</v>
      </c>
      <c r="AP15" s="292"/>
      <c r="AQ15" s="38"/>
    </row>
    <row r="16" spans="1:43" s="180" customFormat="1" ht="18" hidden="1" customHeight="1">
      <c r="A16" s="289"/>
      <c r="B16" s="145" t="s">
        <v>25</v>
      </c>
      <c r="C16" s="25" t="s">
        <v>1032</v>
      </c>
      <c r="D16" s="25" t="s">
        <v>27</v>
      </c>
      <c r="E16" s="25">
        <v>36277618</v>
      </c>
      <c r="F16" s="25">
        <v>1835254</v>
      </c>
      <c r="G16" s="11" t="str">
        <f ca="1">IFERROR(__xludf.DUMMYFUNCTION("IFERROR(VLOOKUP(F27,IMPORTRANGE(""https://docs.google.com/spreadsheets/d/1Kvs4KS76FHFqLFIZfrDMff4kP08nblUkihrxltoGBjg/edit#gid=934712705"",""ESENCIAL!A6:BG""),3,FALSE))"),"TÉCNICO")</f>
        <v>TÉCNICO</v>
      </c>
      <c r="H16" s="11" t="str">
        <f ca="1">IFERROR(__xludf.DUMMYFUNCTION("IFERROR(VLOOKUP(F27,IMPORTRANGE(""https://docs.google.com/spreadsheets/d/1Kvs4KS76FHFqLFIZfrDMff4kP08nblUkihrxltoGBjg/edit#gid=934712705"",""ESENCIAL!A6:BG""),8,FALSE))"),"COCINA.")</f>
        <v>COCINA.</v>
      </c>
      <c r="I16" s="25"/>
      <c r="J16" s="25" t="s">
        <v>1033</v>
      </c>
      <c r="K16" s="25"/>
      <c r="L16" s="303" t="s">
        <v>44</v>
      </c>
      <c r="M16" s="31"/>
      <c r="N16" s="31"/>
      <c r="O16" s="31"/>
      <c r="P16" s="31"/>
      <c r="Q16" s="31"/>
      <c r="R16" s="32"/>
      <c r="S16" s="32"/>
      <c r="T16" s="31"/>
      <c r="U16" s="31"/>
      <c r="V16" s="28"/>
      <c r="W16" s="28"/>
      <c r="X16" s="28"/>
      <c r="Y16" s="28"/>
      <c r="Z16" s="19" t="str">
        <f t="shared" ca="1" si="0"/>
        <v>Procede_E_P</v>
      </c>
      <c r="AA16" s="11" t="str">
        <f ca="1">IFERROR(__xludf.DUMMYFUNCTION("IFERROR(VLOOKUP(E27&amp;F27,IMPORTRANGE(""https://docs.google.com/spreadsheets/d/1Uw7-A9f9R21vMXxHZFNpYNeKFtG8_yji4HS352LGlSQ/edit?pli=1#gid=0"",""1_ACUM!A4:S""),11,FALSE))"),"EN FORMACION")</f>
        <v>EN FORMACION</v>
      </c>
      <c r="AB16" s="20" t="str">
        <f ca="1">IFERROR(__xludf.DUMMYFUNCTION("IFERROR(VLOOKUP(F27,IMPORTRANGE(""https://docs.google.com/spreadsheets/d/1Kvs4KS76FHFqLFIZfrDMff4kP08nblUkihrxltoGBjg/edit#gid=934712705"",""ESENCIAL!A6:BG""),15,FALSE))"),"TURISMO")</f>
        <v>TURISMO</v>
      </c>
      <c r="AC16" s="21">
        <f ca="1">IFERROR(__xludf.DUMMYFUNCTION("IFERROR(VLOOKUP(E27&amp;F27,IMPORTRANGE(""https://docs.google.com/spreadsheets/d/1Uw7-A9f9R21vMXxHZFNpYNeKFtG8_yji4HS352LGlSQ/edit?pli=1#gid=0"",""1_ACUM!A4:S""),13,FALSE))"),0)</f>
        <v>0</v>
      </c>
      <c r="AD16" s="22">
        <f ca="1">IFERROR(__xludf.DUMMYFUNCTION("IFERROR(VLOOKUP(E27&amp;F27,IMPORTRANGE(""https://docs.google.com/spreadsheets/d/1Uw7-A9f9R21vMXxHZFNpYNeKFtG8_yji4HS352LGlSQ/edit?pli=1#gid=0"",""1_ACUM!A4:S""),13,FALSE))"),0)</f>
        <v>0</v>
      </c>
      <c r="AE16" s="22">
        <f ca="1">IFERROR(__xludf.DUMMYFUNCTION("IFERROR(VLOOKUP(E27&amp;F27,IMPORTRANGE(""https://docs.google.com/spreadsheets/d/1Uw7-A9f9R21vMXxHZFNpYNeKFtG8_yji4HS352LGlSQ/edit?pli=1#gid=0"",""1_ACUM!A4:S""),14,FALSE))"),1)</f>
        <v>1</v>
      </c>
      <c r="AF16" s="22">
        <f ca="1">IFERROR(__xludf.DUMMYFUNCTION("IFERROR(VLOOKUP(E27&amp;F27,IMPORTRANGE(""https://docs.google.com/spreadsheets/d/1Uw7-A9f9R21vMXxHZFNpYNeKFtG8_yji4HS352LGlSQ/edit?pli=1#gid=0"",""1_ACUM!A4:S""),15,FALSE))"),0)</f>
        <v>0</v>
      </c>
      <c r="AG16" s="22">
        <f ca="1">IFERROR(__xludf.DUMMYFUNCTION("IFERROR(VLOOKUP(E27&amp;F27,IMPORTRANGE(""https://docs.google.com/spreadsheets/d/1Uw7-A9f9R21vMXxHZFNpYNeKFtG8_yji4HS352LGlSQ/edit?pli=1#gid=0"",""1_ACUM!A4:S""),16,FALSE))"),0)</f>
        <v>0</v>
      </c>
      <c r="AH16" s="22">
        <f ca="1">IFERROR(__xludf.DUMMYFUNCTION("IFERROR(VLOOKUP(E27&amp;F27,IMPORTRANGE(""https://docs.google.com/spreadsheets/d/1Uw7-A9f9R21vMXxHZFNpYNeKFtG8_yji4HS352LGlSQ/edit?pli=1#gid=0"",""1_ACUM!A4:S""),17,FALSE))"),1)</f>
        <v>1</v>
      </c>
      <c r="AI16" s="23">
        <f ca="1">IFERROR(__xludf.DUMMYFUNCTION("IFERROR(VLOOKUP(E27&amp;F27,IMPORTRANGE(""https://docs.google.com/spreadsheets/d/1Uw7-A9f9R21vMXxHZFNpYNeKFtG8_yji4HS352LGlSQ/edit?pli=1#gid=0"",""1_ACUM!A4:S""),18,FALSE))"),43577)</f>
        <v>43577</v>
      </c>
      <c r="AJ16" s="23">
        <f ca="1">IFERROR(__xludf.DUMMYFUNCTION("IFERROR(VLOOKUP(E27&amp;F27,IMPORTRANGE(""https://docs.google.com/spreadsheets/d/1Uw7-A9f9R21vMXxHZFNpYNeKFtG8_yji4HS352LGlSQ/edit?pli=1#gid=0"",""1_ACUM!A4:S""),19,FALSE))"),43852)</f>
        <v>43852</v>
      </c>
      <c r="AK16" s="68">
        <f ca="1">IFERROR(__xludf.DUMMYFUNCTION("IFERROR(VLOOKUP(F27,IMPORTRANGE(""https://docs.google.com/spreadsheets/d/1Kvs4KS76FHFqLFIZfrDMff4kP08nblUkihrxltoGBjg/edit#gid=934712705"",""ESENCIAL!A6:BG""),5,FALSE))"),44034)</f>
        <v>44034</v>
      </c>
      <c r="AL16" s="68">
        <f t="shared" ca="1" si="1"/>
        <v>44583</v>
      </c>
      <c r="AM16" s="17" t="str">
        <f t="shared" ca="1" si="2"/>
        <v>FINALIZAR FICHA</v>
      </c>
      <c r="AN16" s="38" t="str">
        <f ca="1">IFERROR(__xludf.DUMMYFUNCTION("IFERROR(VLOOKUP(F27,IMPORTRANGE(""https://docs.google.com/spreadsheets/d/1Kvs4KS76FHFqLFIZfrDMff4kP08nblUkihrxltoGBjg/edit#gid=934712705"",""ESENCIAL!A6:BG""),2,FALSE))"),"Terminada por fecha")</f>
        <v>Terminada por fecha</v>
      </c>
      <c r="AO16" s="19" t="str">
        <f t="shared" si="3"/>
        <v>Yamboro</v>
      </c>
      <c r="AP16" s="295"/>
      <c r="AQ16" s="173"/>
    </row>
    <row r="17" spans="1:43" ht="18" customHeight="1">
      <c r="A17" s="290" t="s">
        <v>990</v>
      </c>
      <c r="B17" s="145" t="s">
        <v>25</v>
      </c>
      <c r="C17" s="25" t="s">
        <v>1034</v>
      </c>
      <c r="D17" s="25" t="s">
        <v>27</v>
      </c>
      <c r="E17" s="25">
        <v>1030637928</v>
      </c>
      <c r="F17" s="25">
        <v>2166553</v>
      </c>
      <c r="G17" s="11" t="str">
        <f ca="1">IFERROR(__xludf.DUMMYFUNCTION("IFERROR(VLOOKUP(F34,IMPORTRANGE(""https://docs.google.com/spreadsheets/d/1Kvs4KS76FHFqLFIZfrDMff4kP08nblUkihrxltoGBjg/edit#gid=934712705"",""ESENCIAL!A6:BG""),3,FALSE))"),"TÉCNICO")</f>
        <v>TÉCNICO</v>
      </c>
      <c r="H17" s="11" t="str">
        <f ca="1">IFERROR(__xludf.DUMMYFUNCTION("IFERROR(VLOOKUP(F34,IMPORTRANGE(""https://docs.google.com/spreadsheets/d/1Kvs4KS76FHFqLFIZfrDMff4kP08nblUkihrxltoGBjg/edit#gid=934712705"",""ESENCIAL!A6:BG""),8,FALSE))"),"COCINA.")</f>
        <v>COCINA.</v>
      </c>
      <c r="I17" s="25">
        <v>3204366786</v>
      </c>
      <c r="J17" s="25" t="s">
        <v>1035</v>
      </c>
      <c r="K17" s="25" t="s">
        <v>84</v>
      </c>
      <c r="L17" s="303" t="s">
        <v>44</v>
      </c>
      <c r="M17" s="31"/>
      <c r="N17" s="31"/>
      <c r="O17" s="31"/>
      <c r="P17" s="31"/>
      <c r="Q17" s="31"/>
      <c r="R17" s="32"/>
      <c r="S17" s="32"/>
      <c r="T17" s="31"/>
      <c r="U17" s="31"/>
      <c r="V17" s="28"/>
      <c r="W17" s="28"/>
      <c r="X17" s="28"/>
      <c r="Y17" s="28"/>
      <c r="Z17" s="19" t="str">
        <f t="shared" ca="1" si="0"/>
        <v>Procede_E_P</v>
      </c>
      <c r="AA17" s="11" t="str">
        <f ca="1">IFERROR(__xludf.DUMMYFUNCTION("IFERROR(VLOOKUP(E34&amp;F34,IMPORTRANGE(""https://docs.google.com/spreadsheets/d/1Uw7-A9f9R21vMXxHZFNpYNeKFtG8_yji4HS352LGlSQ/edit?pli=1#gid=0"",""1_ACUM!A4:S""),11,FALSE))"),"EN FORMACION")</f>
        <v>EN FORMACION</v>
      </c>
      <c r="AB17" s="20" t="str">
        <f ca="1">IFERROR(__xludf.DUMMYFUNCTION("IFERROR(VLOOKUP(F34,IMPORTRANGE(""https://docs.google.com/spreadsheets/d/1Kvs4KS76FHFqLFIZfrDMff4kP08nblUkihrxltoGBjg/edit#gid=934712705"",""ESENCIAL!A6:BG""),15,FALSE))"),"TURISMO")</f>
        <v>TURISMO</v>
      </c>
      <c r="AC17" s="21">
        <f ca="1">IFERROR(__xludf.DUMMYFUNCTION("IFERROR(VLOOKUP(E34&amp;F34,IMPORTRANGE(""https://docs.google.com/spreadsheets/d/1Uw7-A9f9R21vMXxHZFNpYNeKFtG8_yji4HS352LGlSQ/edit?pli=1#gid=0"",""1_ACUM!A4:S""),13,FALSE))"),0)</f>
        <v>0</v>
      </c>
      <c r="AD17" s="22">
        <f ca="1">IFERROR(__xludf.DUMMYFUNCTION("IFERROR(VLOOKUP(E34&amp;F34,IMPORTRANGE(""https://docs.google.com/spreadsheets/d/1Uw7-A9f9R21vMXxHZFNpYNeKFtG8_yji4HS352LGlSQ/edit?pli=1#gid=0"",""1_ACUM!A4:S""),13,FALSE))"),0)</f>
        <v>0</v>
      </c>
      <c r="AE17" s="22">
        <f ca="1">IFERROR(__xludf.DUMMYFUNCTION("IFERROR(VLOOKUP(E34&amp;F34,IMPORTRANGE(""https://docs.google.com/spreadsheets/d/1Uw7-A9f9R21vMXxHZFNpYNeKFtG8_yji4HS352LGlSQ/edit?pli=1#gid=0"",""1_ACUM!A4:S""),14,FALSE))"),1)</f>
        <v>1</v>
      </c>
      <c r="AF17" s="22">
        <f ca="1">IFERROR(__xludf.DUMMYFUNCTION("IFERROR(VLOOKUP(E34&amp;F34,IMPORTRANGE(""https://docs.google.com/spreadsheets/d/1Uw7-A9f9R21vMXxHZFNpYNeKFtG8_yji4HS352LGlSQ/edit?pli=1#gid=0"",""1_ACUM!A4:S""),15,FALSE))"),0)</f>
        <v>0</v>
      </c>
      <c r="AG17" s="22">
        <f ca="1">IFERROR(__xludf.DUMMYFUNCTION("IFERROR(VLOOKUP(E34&amp;F34,IMPORTRANGE(""https://docs.google.com/spreadsheets/d/1Uw7-A9f9R21vMXxHZFNpYNeKFtG8_yji4HS352LGlSQ/edit?pli=1#gid=0"",""1_ACUM!A4:S""),16,FALSE))"),0)</f>
        <v>0</v>
      </c>
      <c r="AH17" s="22">
        <f ca="1">IFERROR(__xludf.DUMMYFUNCTION("IFERROR(VLOOKUP(E34&amp;F34,IMPORTRANGE(""https://docs.google.com/spreadsheets/d/1Uw7-A9f9R21vMXxHZFNpYNeKFtG8_yji4HS352LGlSQ/edit?pli=1#gid=0"",""1_ACUM!A4:S""),17,FALSE))"),1)</f>
        <v>1</v>
      </c>
      <c r="AI17" s="23">
        <f ca="1">IFERROR(__xludf.DUMMYFUNCTION("IFERROR(VLOOKUP(E34&amp;F34,IMPORTRANGE(""https://docs.google.com/spreadsheets/d/1Uw7-A9f9R21vMXxHZFNpYNeKFtG8_yji4HS352LGlSQ/edit?pli=1#gid=0"",""1_ACUM!A4:S""),18,FALSE))"),44075)</f>
        <v>44075</v>
      </c>
      <c r="AJ17" s="23">
        <f ca="1">IFERROR(__xludf.DUMMYFUNCTION("IFERROR(VLOOKUP(E34&amp;F34,IMPORTRANGE(""https://docs.google.com/spreadsheets/d/1Uw7-A9f9R21vMXxHZFNpYNeKFtG8_yji4HS352LGlSQ/edit?pli=1#gid=0"",""1_ACUM!A4:S""),19,FALSE))"),44346)</f>
        <v>44346</v>
      </c>
      <c r="AK17" s="68">
        <f ca="1">IFERROR(__xludf.DUMMYFUNCTION("IFERROR(VLOOKUP(F34,IMPORTRANGE(""https://docs.google.com/spreadsheets/d/1Kvs4KS76FHFqLFIZfrDMff4kP08nblUkihrxltoGBjg/edit#gid=934712705"",""ESENCIAL!A6:BG""),5,FALSE))"),44530)</f>
        <v>44530</v>
      </c>
      <c r="AL17" s="68">
        <f t="shared" ca="1" si="1"/>
        <v>45076</v>
      </c>
      <c r="AM17" s="17" t="str">
        <f t="shared" ca="1" si="2"/>
        <v>FICHA EN TIEMPO-18 MESES</v>
      </c>
      <c r="AN17" s="38" t="str">
        <f ca="1">IFERROR(__xludf.DUMMYFUNCTION("IFERROR(VLOOKUP(F34,IMPORTRANGE(""https://docs.google.com/spreadsheets/d/1Kvs4KS76FHFqLFIZfrDMff4kP08nblUkihrxltoGBjg/edit#gid=934712705"",""ESENCIAL!A6:BG""),2,FALSE))"),"Terminada por fecha")</f>
        <v>Terminada por fecha</v>
      </c>
      <c r="AO17" s="19" t="str">
        <f t="shared" si="3"/>
        <v>Yamboro</v>
      </c>
      <c r="AP17" s="292"/>
      <c r="AQ17" s="38"/>
    </row>
    <row r="18" spans="1:43" ht="18" customHeight="1">
      <c r="A18" s="290" t="s">
        <v>990</v>
      </c>
      <c r="B18" s="145" t="s">
        <v>25</v>
      </c>
      <c r="C18" s="25" t="s">
        <v>1036</v>
      </c>
      <c r="D18" s="25" t="s">
        <v>27</v>
      </c>
      <c r="E18" s="25">
        <v>51969812</v>
      </c>
      <c r="F18" s="25">
        <v>2166553</v>
      </c>
      <c r="G18" s="11" t="str">
        <f ca="1">IFERROR(__xludf.DUMMYFUNCTION("IFERROR(VLOOKUP(F35,IMPORTRANGE(""https://docs.google.com/spreadsheets/d/1Kvs4KS76FHFqLFIZfrDMff4kP08nblUkihrxltoGBjg/edit#gid=934712705"",""ESENCIAL!A6:BG""),3,FALSE))"),"TÉCNICO")</f>
        <v>TÉCNICO</v>
      </c>
      <c r="H18" s="11" t="str">
        <f ca="1">IFERROR(__xludf.DUMMYFUNCTION("IFERROR(VLOOKUP(F35,IMPORTRANGE(""https://docs.google.com/spreadsheets/d/1Kvs4KS76FHFqLFIZfrDMff4kP08nblUkihrxltoGBjg/edit#gid=934712705"",""ESENCIAL!A6:BG""),8,FALSE))"),"COCINA.")</f>
        <v>COCINA.</v>
      </c>
      <c r="I18" s="25">
        <v>3212176674</v>
      </c>
      <c r="J18" s="25" t="s">
        <v>1037</v>
      </c>
      <c r="K18" s="25" t="s">
        <v>84</v>
      </c>
      <c r="L18" s="303" t="s">
        <v>44</v>
      </c>
      <c r="M18" s="31"/>
      <c r="N18" s="31"/>
      <c r="O18" s="31"/>
      <c r="P18" s="31"/>
      <c r="Q18" s="31"/>
      <c r="R18" s="32"/>
      <c r="S18" s="32"/>
      <c r="T18" s="31"/>
      <c r="U18" s="31"/>
      <c r="V18" s="28"/>
      <c r="W18" s="28"/>
      <c r="X18" s="28"/>
      <c r="Y18" s="28"/>
      <c r="Z18" s="19" t="str">
        <f t="shared" ca="1" si="0"/>
        <v>Procede_E_P</v>
      </c>
      <c r="AA18" s="11" t="str">
        <f ca="1">IFERROR(__xludf.DUMMYFUNCTION("IFERROR(VLOOKUP(E35&amp;F35,IMPORTRANGE(""https://docs.google.com/spreadsheets/d/1Uw7-A9f9R21vMXxHZFNpYNeKFtG8_yji4HS352LGlSQ/edit?pli=1#gid=0"",""1_ACUM!A4:S""),11,FALSE))"),"EN FORMACION")</f>
        <v>EN FORMACION</v>
      </c>
      <c r="AB18" s="20" t="str">
        <f ca="1">IFERROR(__xludf.DUMMYFUNCTION("IFERROR(VLOOKUP(F35,IMPORTRANGE(""https://docs.google.com/spreadsheets/d/1Kvs4KS76FHFqLFIZfrDMff4kP08nblUkihrxltoGBjg/edit#gid=934712705"",""ESENCIAL!A6:BG""),15,FALSE))"),"TURISMO")</f>
        <v>TURISMO</v>
      </c>
      <c r="AC18" s="21">
        <f ca="1">IFERROR(__xludf.DUMMYFUNCTION("IFERROR(VLOOKUP(E35&amp;F35,IMPORTRANGE(""https://docs.google.com/spreadsheets/d/1Uw7-A9f9R21vMXxHZFNpYNeKFtG8_yji4HS352LGlSQ/edit?pli=1#gid=0"",""1_ACUM!A4:S""),13,FALSE))"),0)</f>
        <v>0</v>
      </c>
      <c r="AD18" s="22">
        <f ca="1">IFERROR(__xludf.DUMMYFUNCTION("IFERROR(VLOOKUP(E35&amp;F35,IMPORTRANGE(""https://docs.google.com/spreadsheets/d/1Uw7-A9f9R21vMXxHZFNpYNeKFtG8_yji4HS352LGlSQ/edit?pli=1#gid=0"",""1_ACUM!A4:S""),13,FALSE))"),0)</f>
        <v>0</v>
      </c>
      <c r="AE18" s="22">
        <f ca="1">IFERROR(__xludf.DUMMYFUNCTION("IFERROR(VLOOKUP(E35&amp;F35,IMPORTRANGE(""https://docs.google.com/spreadsheets/d/1Uw7-A9f9R21vMXxHZFNpYNeKFtG8_yji4HS352LGlSQ/edit?pli=1#gid=0"",""1_ACUM!A4:S""),14,FALSE))"),1)</f>
        <v>1</v>
      </c>
      <c r="AF18" s="22">
        <f ca="1">IFERROR(__xludf.DUMMYFUNCTION("IFERROR(VLOOKUP(E35&amp;F35,IMPORTRANGE(""https://docs.google.com/spreadsheets/d/1Uw7-A9f9R21vMXxHZFNpYNeKFtG8_yji4HS352LGlSQ/edit?pli=1#gid=0"",""1_ACUM!A4:S""),15,FALSE))"),0)</f>
        <v>0</v>
      </c>
      <c r="AG18" s="22">
        <f ca="1">IFERROR(__xludf.DUMMYFUNCTION("IFERROR(VLOOKUP(E35&amp;F35,IMPORTRANGE(""https://docs.google.com/spreadsheets/d/1Uw7-A9f9R21vMXxHZFNpYNeKFtG8_yji4HS352LGlSQ/edit?pli=1#gid=0"",""1_ACUM!A4:S""),16,FALSE))"),0)</f>
        <v>0</v>
      </c>
      <c r="AH18" s="22">
        <f ca="1">IFERROR(__xludf.DUMMYFUNCTION("IFERROR(VLOOKUP(E35&amp;F35,IMPORTRANGE(""https://docs.google.com/spreadsheets/d/1Uw7-A9f9R21vMXxHZFNpYNeKFtG8_yji4HS352LGlSQ/edit?pli=1#gid=0"",""1_ACUM!A4:S""),17,FALSE))"),1)</f>
        <v>1</v>
      </c>
      <c r="AI18" s="23">
        <f ca="1">IFERROR(__xludf.DUMMYFUNCTION("IFERROR(VLOOKUP(E35&amp;F35,IMPORTRANGE(""https://docs.google.com/spreadsheets/d/1Uw7-A9f9R21vMXxHZFNpYNeKFtG8_yji4HS352LGlSQ/edit?pli=1#gid=0"",""1_ACUM!A4:S""),18,FALSE))"),44075)</f>
        <v>44075</v>
      </c>
      <c r="AJ18" s="23">
        <f ca="1">IFERROR(__xludf.DUMMYFUNCTION("IFERROR(VLOOKUP(E35&amp;F35,IMPORTRANGE(""https://docs.google.com/spreadsheets/d/1Uw7-A9f9R21vMXxHZFNpYNeKFtG8_yji4HS352LGlSQ/edit?pli=1#gid=0"",""1_ACUM!A4:S""),19,FALSE))"),44346)</f>
        <v>44346</v>
      </c>
      <c r="AK18" s="68">
        <f ca="1">IFERROR(__xludf.DUMMYFUNCTION("IFERROR(VLOOKUP(F35,IMPORTRANGE(""https://docs.google.com/spreadsheets/d/1Kvs4KS76FHFqLFIZfrDMff4kP08nblUkihrxltoGBjg/edit#gid=934712705"",""ESENCIAL!A6:BG""),5,FALSE))"),44530)</f>
        <v>44530</v>
      </c>
      <c r="AL18" s="68">
        <f t="shared" ca="1" si="1"/>
        <v>45076</v>
      </c>
      <c r="AM18" s="17" t="str">
        <f t="shared" ca="1" si="2"/>
        <v>FICHA EN TIEMPO-18 MESES</v>
      </c>
      <c r="AN18" s="38" t="str">
        <f ca="1">IFERROR(__xludf.DUMMYFUNCTION("IFERROR(VLOOKUP(F35,IMPORTRANGE(""https://docs.google.com/spreadsheets/d/1Kvs4KS76FHFqLFIZfrDMff4kP08nblUkihrxltoGBjg/edit#gid=934712705"",""ESENCIAL!A6:BG""),2,FALSE))"),"Terminada por fecha")</f>
        <v>Terminada por fecha</v>
      </c>
      <c r="AO18" s="19" t="str">
        <f t="shared" si="3"/>
        <v>Yamboro</v>
      </c>
      <c r="AP18" s="292"/>
      <c r="AQ18" s="38"/>
    </row>
    <row r="19" spans="1:43" s="180" customFormat="1" ht="18" customHeight="1">
      <c r="A19" s="290" t="s">
        <v>1038</v>
      </c>
      <c r="B19" s="147" t="s">
        <v>1039</v>
      </c>
      <c r="C19" s="56" t="s">
        <v>1040</v>
      </c>
      <c r="D19" s="25" t="s">
        <v>27</v>
      </c>
      <c r="E19" s="57">
        <v>1082779707</v>
      </c>
      <c r="F19" s="25">
        <v>2166553</v>
      </c>
      <c r="G19" s="11" t="str">
        <f ca="1">IFERROR(__xludf.DUMMYFUNCTION("IFERROR(VLOOKUP(F36,IMPORTRANGE(""https://docs.google.com/spreadsheets/d/1Kvs4KS76FHFqLFIZfrDMff4kP08nblUkihrxltoGBjg/edit#gid=934712705"",""ESENCIAL!A6:BG""),3,FALSE))"),"TÉCNICO")</f>
        <v>TÉCNICO</v>
      </c>
      <c r="H19" s="11" t="str">
        <f ca="1">IFERROR(__xludf.DUMMYFUNCTION("IFERROR(VLOOKUP(F36,IMPORTRANGE(""https://docs.google.com/spreadsheets/d/1Kvs4KS76FHFqLFIZfrDMff4kP08nblUkihrxltoGBjg/edit#gid=934712705"",""ESENCIAL!A6:BG""),8,FALSE))"),"COCINA.")</f>
        <v>COCINA.</v>
      </c>
      <c r="I19" s="25"/>
      <c r="J19" s="25"/>
      <c r="K19" s="25"/>
      <c r="L19" s="303" t="s">
        <v>44</v>
      </c>
      <c r="M19" s="31"/>
      <c r="N19" s="31"/>
      <c r="O19" s="31"/>
      <c r="P19" s="31"/>
      <c r="Q19" s="351"/>
      <c r="R19" s="32"/>
      <c r="S19" s="32"/>
      <c r="T19" s="31"/>
      <c r="U19" s="31"/>
      <c r="V19" s="28"/>
      <c r="W19" s="28"/>
      <c r="X19" s="28"/>
      <c r="Y19" s="28"/>
      <c r="Z19" s="19" t="str">
        <f t="shared" ca="1" si="0"/>
        <v>NO_CUMPLE</v>
      </c>
      <c r="AA19" s="11" t="str">
        <f ca="1">IFERROR(__xludf.DUMMYFUNCTION("IFERROR(VLOOKUP(E36&amp;F36,IMPORTRANGE(""https://docs.google.com/spreadsheets/d/1Uw7-A9f9R21vMXxHZFNpYNeKFtG8_yji4HS352LGlSQ/edit?pli=1#gid=0"",""1_ACUM!A4:S""),11,FALSE))"),"CONDICIONADO")</f>
        <v>CONDICIONADO</v>
      </c>
      <c r="AB19" s="20" t="str">
        <f ca="1">IFERROR(__xludf.DUMMYFUNCTION("IFERROR(VLOOKUP(F36,IMPORTRANGE(""https://docs.google.com/spreadsheets/d/1Kvs4KS76FHFqLFIZfrDMff4kP08nblUkihrxltoGBjg/edit#gid=934712705"",""ESENCIAL!A6:BG""),15,FALSE))"),"TURISMO")</f>
        <v>TURISMO</v>
      </c>
      <c r="AC19" s="21">
        <f ca="1">IFERROR(__xludf.DUMMYFUNCTION("IFERROR(VLOOKUP(E36&amp;F36,IMPORTRANGE(""https://docs.google.com/spreadsheets/d/1Uw7-A9f9R21vMXxHZFNpYNeKFtG8_yji4HS352LGlSQ/edit?pli=1#gid=0"",""1_ACUM!A4:S""),13,FALSE))"),8)</f>
        <v>8</v>
      </c>
      <c r="AD19" s="22">
        <f ca="1">IFERROR(__xludf.DUMMYFUNCTION("IFERROR(VLOOKUP(E36&amp;F36,IMPORTRANGE(""https://docs.google.com/spreadsheets/d/1Uw7-A9f9R21vMXxHZFNpYNeKFtG8_yji4HS352LGlSQ/edit?pli=1#gid=0"",""1_ACUM!A4:S""),13,FALSE))"),8)</f>
        <v>8</v>
      </c>
      <c r="AE19" s="22">
        <f ca="1">IFERROR(__xludf.DUMMYFUNCTION("IFERROR(VLOOKUP(E36&amp;F36,IMPORTRANGE(""https://docs.google.com/spreadsheets/d/1Uw7-A9f9R21vMXxHZFNpYNeKFtG8_yji4HS352LGlSQ/edit?pli=1#gid=0"",""1_ACUM!A4:S""),14,FALSE))"),1)</f>
        <v>1</v>
      </c>
      <c r="AF19" s="22">
        <f ca="1">IFERROR(__xludf.DUMMYFUNCTION("IFERROR(VLOOKUP(E36&amp;F36,IMPORTRANGE(""https://docs.google.com/spreadsheets/d/1Uw7-A9f9R21vMXxHZFNpYNeKFtG8_yji4HS352LGlSQ/edit?pli=1#gid=0"",""1_ACUM!A4:S""),15,FALSE))"),0)</f>
        <v>0</v>
      </c>
      <c r="AG19" s="22">
        <f ca="1">IFERROR(__xludf.DUMMYFUNCTION("IFERROR(VLOOKUP(E36&amp;F36,IMPORTRANGE(""https://docs.google.com/spreadsheets/d/1Uw7-A9f9R21vMXxHZFNpYNeKFtG8_yji4HS352LGlSQ/edit?pli=1#gid=0"",""1_ACUM!A4:S""),16,FALSE))"),0)</f>
        <v>0</v>
      </c>
      <c r="AH19" s="22">
        <f ca="1">IFERROR(__xludf.DUMMYFUNCTION("IFERROR(VLOOKUP(E36&amp;F36,IMPORTRANGE(""https://docs.google.com/spreadsheets/d/1Uw7-A9f9R21vMXxHZFNpYNeKFtG8_yji4HS352LGlSQ/edit?pli=1#gid=0"",""1_ACUM!A4:S""),17,FALSE))"),9)</f>
        <v>9</v>
      </c>
      <c r="AI19" s="23">
        <f ca="1">IFERROR(__xludf.DUMMYFUNCTION("IFERROR(VLOOKUP(E36&amp;F36,IMPORTRANGE(""https://docs.google.com/spreadsheets/d/1Uw7-A9f9R21vMXxHZFNpYNeKFtG8_yji4HS352LGlSQ/edit?pli=1#gid=0"",""1_ACUM!A4:S""),18,FALSE))"),44075)</f>
        <v>44075</v>
      </c>
      <c r="AJ19" s="23">
        <f ca="1">IFERROR(__xludf.DUMMYFUNCTION("IFERROR(VLOOKUP(E36&amp;F36,IMPORTRANGE(""https://docs.google.com/spreadsheets/d/1Uw7-A9f9R21vMXxHZFNpYNeKFtG8_yji4HS352LGlSQ/edit?pli=1#gid=0"",""1_ACUM!A4:S""),19,FALSE))"),44346)</f>
        <v>44346</v>
      </c>
      <c r="AK19" s="68">
        <f ca="1">IFERROR(__xludf.DUMMYFUNCTION("IFERROR(VLOOKUP(F36,IMPORTRANGE(""https://docs.google.com/spreadsheets/d/1Kvs4KS76FHFqLFIZfrDMff4kP08nblUkihrxltoGBjg/edit#gid=934712705"",""ESENCIAL!A6:BG""),5,FALSE))"),44530)</f>
        <v>44530</v>
      </c>
      <c r="AL19" s="68">
        <f t="shared" ca="1" si="1"/>
        <v>45076</v>
      </c>
      <c r="AM19" s="17" t="str">
        <f t="shared" ca="1" si="2"/>
        <v>FICHA EN TIEMPO-18 MESES</v>
      </c>
      <c r="AN19" s="38" t="str">
        <f ca="1">IFERROR(__xludf.DUMMYFUNCTION("IFERROR(VLOOKUP(F36,IMPORTRANGE(""https://docs.google.com/spreadsheets/d/1Kvs4KS76FHFqLFIZfrDMff4kP08nblUkihrxltoGBjg/edit#gid=934712705"",""ESENCIAL!A6:BG""),2,FALSE))"),"Terminada por fecha")</f>
        <v>Terminada por fecha</v>
      </c>
      <c r="AO19" s="19" t="str">
        <f t="shared" si="3"/>
        <v>Yamboro</v>
      </c>
      <c r="AP19" s="295"/>
      <c r="AQ19" s="173"/>
    </row>
    <row r="20" spans="1:43" s="180" customFormat="1" ht="18" customHeight="1">
      <c r="A20" s="290" t="s">
        <v>1038</v>
      </c>
      <c r="B20" s="145" t="s">
        <v>25</v>
      </c>
      <c r="C20" s="25" t="s">
        <v>1041</v>
      </c>
      <c r="D20" s="25" t="s">
        <v>27</v>
      </c>
      <c r="E20" s="25">
        <v>1004441815</v>
      </c>
      <c r="F20" s="25">
        <v>2280187</v>
      </c>
      <c r="G20" s="11" t="str">
        <f ca="1">IFERROR(__xludf.DUMMYFUNCTION("IFERROR(VLOOKUP(F38,IMPORTRANGE(""https://docs.google.com/spreadsheets/d/1Kvs4KS76FHFqLFIZfrDMff4kP08nblUkihrxltoGBjg/edit#gid=934712705"",""ESENCIAL!A6:BG""),3,FALSE))"),"TÉCNICO")</f>
        <v>TÉCNICO</v>
      </c>
      <c r="H20" s="11" t="str">
        <f ca="1">IFERROR(__xludf.DUMMYFUNCTION("IFERROR(VLOOKUP(F38,IMPORTRANGE(""https://docs.google.com/spreadsheets/d/1Kvs4KS76FHFqLFIZfrDMff4kP08nblUkihrxltoGBjg/edit#gid=934712705"",""ESENCIAL!A6:BG""),8,FALSE))"),"COCINA.")</f>
        <v>COCINA.</v>
      </c>
      <c r="I20" s="25"/>
      <c r="J20" s="25"/>
      <c r="K20" s="25"/>
      <c r="L20" s="303" t="s">
        <v>44</v>
      </c>
      <c r="M20" s="31"/>
      <c r="N20" s="31"/>
      <c r="O20" s="31"/>
      <c r="P20" s="31"/>
      <c r="Q20" s="31"/>
      <c r="R20" s="32"/>
      <c r="S20" s="32"/>
      <c r="T20" s="31"/>
      <c r="U20" s="31"/>
      <c r="V20" s="28"/>
      <c r="W20" s="28"/>
      <c r="X20" s="28"/>
      <c r="Y20" s="28"/>
      <c r="Z20" s="19" t="str">
        <f t="shared" ca="1" si="0"/>
        <v>Procede_E_P</v>
      </c>
      <c r="AA20" s="11" t="str">
        <f ca="1">IFERROR(__xludf.DUMMYFUNCTION("IFERROR(VLOOKUP(E38&amp;F38,IMPORTRANGE(""https://docs.google.com/spreadsheets/d/1Uw7-A9f9R21vMXxHZFNpYNeKFtG8_yji4HS352LGlSQ/edit?pli=1#gid=0"",""1_ACUM!A4:S""),11,FALSE))"),"EN FORMACION")</f>
        <v>EN FORMACION</v>
      </c>
      <c r="AB20" s="20" t="str">
        <f ca="1">IFERROR(__xludf.DUMMYFUNCTION("IFERROR(VLOOKUP(F38,IMPORTRANGE(""https://docs.google.com/spreadsheets/d/1Kvs4KS76FHFqLFIZfrDMff4kP08nblUkihrxltoGBjg/edit#gid=934712705"",""ESENCIAL!A6:BG""),15,FALSE))"),"TURISMO")</f>
        <v>TURISMO</v>
      </c>
      <c r="AC20" s="21">
        <f ca="1">IFERROR(__xludf.DUMMYFUNCTION("IFERROR(VLOOKUP(E38&amp;F38,IMPORTRANGE(""https://docs.google.com/spreadsheets/d/1Uw7-A9f9R21vMXxHZFNpYNeKFtG8_yji4HS352LGlSQ/edit?pli=1#gid=0"",""1_ACUM!A4:S""),13,FALSE))"),0)</f>
        <v>0</v>
      </c>
      <c r="AD20" s="22">
        <f ca="1">IFERROR(__xludf.DUMMYFUNCTION("IFERROR(VLOOKUP(E38&amp;F38,IMPORTRANGE(""https://docs.google.com/spreadsheets/d/1Uw7-A9f9R21vMXxHZFNpYNeKFtG8_yji4HS352LGlSQ/edit?pli=1#gid=0"",""1_ACUM!A4:S""),13,FALSE))"),0)</f>
        <v>0</v>
      </c>
      <c r="AE20" s="22">
        <f ca="1">IFERROR(__xludf.DUMMYFUNCTION("IFERROR(VLOOKUP(E38&amp;F38,IMPORTRANGE(""https://docs.google.com/spreadsheets/d/1Uw7-A9f9R21vMXxHZFNpYNeKFtG8_yji4HS352LGlSQ/edit?pli=1#gid=0"",""1_ACUM!A4:S""),14,FALSE))"),1)</f>
        <v>1</v>
      </c>
      <c r="AF20" s="22">
        <f ca="1">IFERROR(__xludf.DUMMYFUNCTION("IFERROR(VLOOKUP(E38&amp;F38,IMPORTRANGE(""https://docs.google.com/spreadsheets/d/1Uw7-A9f9R21vMXxHZFNpYNeKFtG8_yji4HS352LGlSQ/edit?pli=1#gid=0"",""1_ACUM!A4:S""),15,FALSE))"),0)</f>
        <v>0</v>
      </c>
      <c r="AG20" s="22">
        <f ca="1">IFERROR(__xludf.DUMMYFUNCTION("IFERROR(VLOOKUP(E38&amp;F38,IMPORTRANGE(""https://docs.google.com/spreadsheets/d/1Uw7-A9f9R21vMXxHZFNpYNeKFtG8_yji4HS352LGlSQ/edit?pli=1#gid=0"",""1_ACUM!A4:S""),16,FALSE))"),0)</f>
        <v>0</v>
      </c>
      <c r="AH20" s="22">
        <f ca="1">IFERROR(__xludf.DUMMYFUNCTION("IFERROR(VLOOKUP(E38&amp;F38,IMPORTRANGE(""https://docs.google.com/spreadsheets/d/1Uw7-A9f9R21vMXxHZFNpYNeKFtG8_yji4HS352LGlSQ/edit?pli=1#gid=0"",""1_ACUM!A4:S""),17,FALSE))"),1)</f>
        <v>1</v>
      </c>
      <c r="AI20" s="23">
        <f ca="1">IFERROR(__xludf.DUMMYFUNCTION("IFERROR(VLOOKUP(E38&amp;F38,IMPORTRANGE(""https://docs.google.com/spreadsheets/d/1Uw7-A9f9R21vMXxHZFNpYNeKFtG8_yji4HS352LGlSQ/edit?pli=1#gid=0"",""1_ACUM!A4:S""),18,FALSE))"),44301)</f>
        <v>44301</v>
      </c>
      <c r="AJ20" s="23">
        <f ca="1">IFERROR(__xludf.DUMMYFUNCTION("IFERROR(VLOOKUP(E38&amp;F38,IMPORTRANGE(""https://docs.google.com/spreadsheets/d/1Uw7-A9f9R21vMXxHZFNpYNeKFtG8_yji4HS352LGlSQ/edit?pli=1#gid=0"",""1_ACUM!A4:S""),19,FALSE))"),44575)</f>
        <v>44575</v>
      </c>
      <c r="AK20" s="68">
        <f ca="1">IFERROR(__xludf.DUMMYFUNCTION("IFERROR(VLOOKUP(F38,IMPORTRANGE(""https://docs.google.com/spreadsheets/d/1Kvs4KS76FHFqLFIZfrDMff4kP08nblUkihrxltoGBjg/edit#gid=934712705"",""ESENCIAL!A6:BG""),5,FALSE))"),44756)</f>
        <v>44756</v>
      </c>
      <c r="AL20" s="68">
        <f t="shared" ca="1" si="1"/>
        <v>45305</v>
      </c>
      <c r="AM20" s="17" t="str">
        <f t="shared" ca="1" si="2"/>
        <v>FICHA EN TIEMPO-18 MESES</v>
      </c>
      <c r="AN20" s="38" t="str">
        <f ca="1">IFERROR(__xludf.DUMMYFUNCTION("IFERROR(VLOOKUP(F38,IMPORTRANGE(""https://docs.google.com/spreadsheets/d/1Kvs4KS76FHFqLFIZfrDMff4kP08nblUkihrxltoGBjg/edit#gid=934712705"",""ESENCIAL!A6:BG""),2,FALSE))"),"Terminada por fecha")</f>
        <v>Terminada por fecha</v>
      </c>
      <c r="AO20" s="19" t="str">
        <f t="shared" si="3"/>
        <v>Yamboro</v>
      </c>
      <c r="AP20" s="295"/>
      <c r="AQ20" s="173"/>
    </row>
    <row r="21" spans="1:43" ht="18" customHeight="1">
      <c r="A21" s="290" t="s">
        <v>1038</v>
      </c>
      <c r="B21" s="145" t="s">
        <v>25</v>
      </c>
      <c r="C21" s="25" t="s">
        <v>1042</v>
      </c>
      <c r="D21" s="25" t="s">
        <v>27</v>
      </c>
      <c r="E21" s="25">
        <v>1004492715</v>
      </c>
      <c r="F21" s="25">
        <v>2280187</v>
      </c>
      <c r="G21" s="11" t="str">
        <f ca="1">IFERROR(__xludf.DUMMYFUNCTION("IFERROR(VLOOKUP(F39,IMPORTRANGE(""https://docs.google.com/spreadsheets/d/1Kvs4KS76FHFqLFIZfrDMff4kP08nblUkihrxltoGBjg/edit#gid=934712705"",""ESENCIAL!A6:BG""),3,FALSE))"),"TÉCNICO")</f>
        <v>TÉCNICO</v>
      </c>
      <c r="H21" s="11" t="str">
        <f ca="1">IFERROR(__xludf.DUMMYFUNCTION("IFERROR(VLOOKUP(F39,IMPORTRANGE(""https://docs.google.com/spreadsheets/d/1Kvs4KS76FHFqLFIZfrDMff4kP08nblUkihrxltoGBjg/edit#gid=934712705"",""ESENCIAL!A6:BG""),8,FALSE))"),"COCINA.")</f>
        <v>COCINA.</v>
      </c>
      <c r="I21" s="25"/>
      <c r="J21" s="25"/>
      <c r="K21" s="25"/>
      <c r="L21" s="303" t="s">
        <v>44</v>
      </c>
      <c r="M21" s="31"/>
      <c r="N21" s="31"/>
      <c r="O21" s="31"/>
      <c r="P21" s="31"/>
      <c r="Q21" s="31"/>
      <c r="R21" s="32"/>
      <c r="S21" s="32"/>
      <c r="T21" s="31"/>
      <c r="U21" s="31"/>
      <c r="V21" s="28"/>
      <c r="W21" s="28"/>
      <c r="X21" s="28"/>
      <c r="Y21" s="28"/>
      <c r="Z21" s="19" t="str">
        <f t="shared" ca="1" si="0"/>
        <v>Procede_E_P</v>
      </c>
      <c r="AA21" s="11" t="str">
        <f ca="1">IFERROR(__xludf.DUMMYFUNCTION("IFERROR(VLOOKUP(E39&amp;F39,IMPORTRANGE(""https://docs.google.com/spreadsheets/d/1Uw7-A9f9R21vMXxHZFNpYNeKFtG8_yji4HS352LGlSQ/edit?pli=1#gid=0"",""1_ACUM!A4:S""),11,FALSE))"),"EN FORMACION")</f>
        <v>EN FORMACION</v>
      </c>
      <c r="AB21" s="20" t="str">
        <f ca="1">IFERROR(__xludf.DUMMYFUNCTION("IFERROR(VLOOKUP(F39,IMPORTRANGE(""https://docs.google.com/spreadsheets/d/1Kvs4KS76FHFqLFIZfrDMff4kP08nblUkihrxltoGBjg/edit#gid=934712705"",""ESENCIAL!A6:BG""),15,FALSE))"),"TURISMO")</f>
        <v>TURISMO</v>
      </c>
      <c r="AC21" s="21">
        <f ca="1">IFERROR(__xludf.DUMMYFUNCTION("IFERROR(VLOOKUP(E39&amp;F39,IMPORTRANGE(""https://docs.google.com/spreadsheets/d/1Uw7-A9f9R21vMXxHZFNpYNeKFtG8_yji4HS352LGlSQ/edit?pli=1#gid=0"",""1_ACUM!A4:S""),13,FALSE))"),0)</f>
        <v>0</v>
      </c>
      <c r="AD21" s="22">
        <f ca="1">IFERROR(__xludf.DUMMYFUNCTION("IFERROR(VLOOKUP(E39&amp;F39,IMPORTRANGE(""https://docs.google.com/spreadsheets/d/1Uw7-A9f9R21vMXxHZFNpYNeKFtG8_yji4HS352LGlSQ/edit?pli=1#gid=0"",""1_ACUM!A4:S""),13,FALSE))"),0)</f>
        <v>0</v>
      </c>
      <c r="AE21" s="22">
        <f ca="1">IFERROR(__xludf.DUMMYFUNCTION("IFERROR(VLOOKUP(E39&amp;F39,IMPORTRANGE(""https://docs.google.com/spreadsheets/d/1Uw7-A9f9R21vMXxHZFNpYNeKFtG8_yji4HS352LGlSQ/edit?pli=1#gid=0"",""1_ACUM!A4:S""),14,FALSE))"),1)</f>
        <v>1</v>
      </c>
      <c r="AF21" s="22">
        <f ca="1">IFERROR(__xludf.DUMMYFUNCTION("IFERROR(VLOOKUP(E39&amp;F39,IMPORTRANGE(""https://docs.google.com/spreadsheets/d/1Uw7-A9f9R21vMXxHZFNpYNeKFtG8_yji4HS352LGlSQ/edit?pli=1#gid=0"",""1_ACUM!A4:S""),15,FALSE))"),0)</f>
        <v>0</v>
      </c>
      <c r="AG21" s="22">
        <f ca="1">IFERROR(__xludf.DUMMYFUNCTION("IFERROR(VLOOKUP(E39&amp;F39,IMPORTRANGE(""https://docs.google.com/spreadsheets/d/1Uw7-A9f9R21vMXxHZFNpYNeKFtG8_yji4HS352LGlSQ/edit?pli=1#gid=0"",""1_ACUM!A4:S""),16,FALSE))"),0)</f>
        <v>0</v>
      </c>
      <c r="AH21" s="22">
        <f ca="1">IFERROR(__xludf.DUMMYFUNCTION("IFERROR(VLOOKUP(E39&amp;F39,IMPORTRANGE(""https://docs.google.com/spreadsheets/d/1Uw7-A9f9R21vMXxHZFNpYNeKFtG8_yji4HS352LGlSQ/edit?pli=1#gid=0"",""1_ACUM!A4:S""),17,FALSE))"),1)</f>
        <v>1</v>
      </c>
      <c r="AI21" s="23">
        <f ca="1">IFERROR(__xludf.DUMMYFUNCTION("IFERROR(VLOOKUP(E39&amp;F39,IMPORTRANGE(""https://docs.google.com/spreadsheets/d/1Uw7-A9f9R21vMXxHZFNpYNeKFtG8_yji4HS352LGlSQ/edit?pli=1#gid=0"",""1_ACUM!A4:S""),18,FALSE))"),44301)</f>
        <v>44301</v>
      </c>
      <c r="AJ21" s="23">
        <f ca="1">IFERROR(__xludf.DUMMYFUNCTION("IFERROR(VLOOKUP(E39&amp;F39,IMPORTRANGE(""https://docs.google.com/spreadsheets/d/1Uw7-A9f9R21vMXxHZFNpYNeKFtG8_yji4HS352LGlSQ/edit?pli=1#gid=0"",""1_ACUM!A4:S""),19,FALSE))"),44575)</f>
        <v>44575</v>
      </c>
      <c r="AK21" s="68">
        <f ca="1">IFERROR(__xludf.DUMMYFUNCTION("IFERROR(VLOOKUP(F39,IMPORTRANGE(""https://docs.google.com/spreadsheets/d/1Kvs4KS76FHFqLFIZfrDMff4kP08nblUkihrxltoGBjg/edit#gid=934712705"",""ESENCIAL!A6:BG""),5,FALSE))"),44756)</f>
        <v>44756</v>
      </c>
      <c r="AL21" s="68">
        <f t="shared" ca="1" si="1"/>
        <v>45305</v>
      </c>
      <c r="AM21" s="17" t="str">
        <f t="shared" ca="1" si="2"/>
        <v>FICHA EN TIEMPO-18 MESES</v>
      </c>
      <c r="AN21" s="38" t="str">
        <f ca="1">IFERROR(__xludf.DUMMYFUNCTION("IFERROR(VLOOKUP(F39,IMPORTRANGE(""https://docs.google.com/spreadsheets/d/1Kvs4KS76FHFqLFIZfrDMff4kP08nblUkihrxltoGBjg/edit#gid=934712705"",""ESENCIAL!A6:BG""),2,FALSE))"),"Terminada por fecha")</f>
        <v>Terminada por fecha</v>
      </c>
      <c r="AO21" s="19" t="str">
        <f t="shared" si="3"/>
        <v>Yamboro</v>
      </c>
      <c r="AP21" s="292"/>
      <c r="AQ21" s="38"/>
    </row>
    <row r="22" spans="1:43" ht="18" customHeight="1">
      <c r="A22" s="290" t="s">
        <v>1038</v>
      </c>
      <c r="B22" s="145" t="s">
        <v>25</v>
      </c>
      <c r="C22" s="25" t="s">
        <v>1043</v>
      </c>
      <c r="D22" s="25" t="s">
        <v>27</v>
      </c>
      <c r="E22" s="25">
        <v>1007520957</v>
      </c>
      <c r="F22" s="25">
        <v>2280187</v>
      </c>
      <c r="G22" s="11" t="str">
        <f ca="1">IFERROR(__xludf.DUMMYFUNCTION("IFERROR(VLOOKUP(F42,IMPORTRANGE(""https://docs.google.com/spreadsheets/d/1Kvs4KS76FHFqLFIZfrDMff4kP08nblUkihrxltoGBjg/edit#gid=934712705"",""ESENCIAL!A6:BG""),3,FALSE))"),"TÉCNICO")</f>
        <v>TÉCNICO</v>
      </c>
      <c r="H22" s="11" t="str">
        <f ca="1">IFERROR(__xludf.DUMMYFUNCTION("IFERROR(VLOOKUP(F42,IMPORTRANGE(""https://docs.google.com/spreadsheets/d/1Kvs4KS76FHFqLFIZfrDMff4kP08nblUkihrxltoGBjg/edit#gid=934712705"",""ESENCIAL!A6:BG""),8,FALSE))"),"COCINA.")</f>
        <v>COCINA.</v>
      </c>
      <c r="I22" s="25"/>
      <c r="J22" s="25"/>
      <c r="K22" s="25"/>
      <c r="L22" s="303" t="s">
        <v>44</v>
      </c>
      <c r="M22" s="31"/>
      <c r="N22" s="31"/>
      <c r="O22" s="31"/>
      <c r="P22" s="31"/>
      <c r="Q22" s="31"/>
      <c r="R22" s="32"/>
      <c r="S22" s="32"/>
      <c r="T22" s="31"/>
      <c r="U22" s="31"/>
      <c r="V22" s="28"/>
      <c r="W22" s="28"/>
      <c r="X22" s="28"/>
      <c r="Y22" s="28"/>
      <c r="Z22" s="19" t="str">
        <f t="shared" ca="1" si="0"/>
        <v>NO_CUMPLE</v>
      </c>
      <c r="AA22" s="11" t="str">
        <f ca="1">IFERROR(__xludf.DUMMYFUNCTION("IFERROR(VLOOKUP(E42&amp;F42,IMPORTRANGE(""https://docs.google.com/spreadsheets/d/1Uw7-A9f9R21vMXxHZFNpYNeKFtG8_yji4HS352LGlSQ/edit?pli=1#gid=0"",""1_ACUM!A4:S""),11,FALSE))"),"EN FORMACION")</f>
        <v>EN FORMACION</v>
      </c>
      <c r="AB22" s="20" t="str">
        <f ca="1">IFERROR(__xludf.DUMMYFUNCTION("IFERROR(VLOOKUP(F42,IMPORTRANGE(""https://docs.google.com/spreadsheets/d/1Kvs4KS76FHFqLFIZfrDMff4kP08nblUkihrxltoGBjg/edit#gid=934712705"",""ESENCIAL!A6:BG""),15,FALSE))"),"TURISMO")</f>
        <v>TURISMO</v>
      </c>
      <c r="AC22" s="21">
        <f ca="1">IFERROR(__xludf.DUMMYFUNCTION("IFERROR(VLOOKUP(E42&amp;F42,IMPORTRANGE(""https://docs.google.com/spreadsheets/d/1Uw7-A9f9R21vMXxHZFNpYNeKFtG8_yji4HS352LGlSQ/edit?pli=1#gid=0"",""1_ACUM!A4:S""),13,FALSE))"),3)</f>
        <v>3</v>
      </c>
      <c r="AD22" s="22">
        <f ca="1">IFERROR(__xludf.DUMMYFUNCTION("IFERROR(VLOOKUP(E42&amp;F42,IMPORTRANGE(""https://docs.google.com/spreadsheets/d/1Uw7-A9f9R21vMXxHZFNpYNeKFtG8_yji4HS352LGlSQ/edit?pli=1#gid=0"",""1_ACUM!A4:S""),13,FALSE))"),3)</f>
        <v>3</v>
      </c>
      <c r="AE22" s="22">
        <f ca="1">IFERROR(__xludf.DUMMYFUNCTION("IFERROR(VLOOKUP(E42&amp;F42,IMPORTRANGE(""https://docs.google.com/spreadsheets/d/1Uw7-A9f9R21vMXxHZFNpYNeKFtG8_yji4HS352LGlSQ/edit?pli=1#gid=0"",""1_ACUM!A4:S""),14,FALSE))"),1)</f>
        <v>1</v>
      </c>
      <c r="AF22" s="22">
        <f ca="1">IFERROR(__xludf.DUMMYFUNCTION("IFERROR(VLOOKUP(E42&amp;F42,IMPORTRANGE(""https://docs.google.com/spreadsheets/d/1Uw7-A9f9R21vMXxHZFNpYNeKFtG8_yji4HS352LGlSQ/edit?pli=1#gid=0"",""1_ACUM!A4:S""),15,FALSE))"),0)</f>
        <v>0</v>
      </c>
      <c r="AG22" s="22">
        <f ca="1">IFERROR(__xludf.DUMMYFUNCTION("IFERROR(VLOOKUP(E42&amp;F42,IMPORTRANGE(""https://docs.google.com/spreadsheets/d/1Uw7-A9f9R21vMXxHZFNpYNeKFtG8_yji4HS352LGlSQ/edit?pli=1#gid=0"",""1_ACUM!A4:S""),16,FALSE))"),2)</f>
        <v>2</v>
      </c>
      <c r="AH22" s="22">
        <f ca="1">IFERROR(__xludf.DUMMYFUNCTION("IFERROR(VLOOKUP(E42&amp;F42,IMPORTRANGE(""https://docs.google.com/spreadsheets/d/1Uw7-A9f9R21vMXxHZFNpYNeKFtG8_yji4HS352LGlSQ/edit?pli=1#gid=0"",""1_ACUM!A4:S""),17,FALSE))"),6)</f>
        <v>6</v>
      </c>
      <c r="AI22" s="23">
        <f ca="1">IFERROR(__xludf.DUMMYFUNCTION("IFERROR(VLOOKUP(E42&amp;F42,IMPORTRANGE(""https://docs.google.com/spreadsheets/d/1Uw7-A9f9R21vMXxHZFNpYNeKFtG8_yji4HS352LGlSQ/edit?pli=1#gid=0"",""1_ACUM!A4:S""),18,FALSE))"),44301)</f>
        <v>44301</v>
      </c>
      <c r="AJ22" s="23">
        <f ca="1">IFERROR(__xludf.DUMMYFUNCTION("IFERROR(VLOOKUP(E42&amp;F42,IMPORTRANGE(""https://docs.google.com/spreadsheets/d/1Uw7-A9f9R21vMXxHZFNpYNeKFtG8_yji4HS352LGlSQ/edit?pli=1#gid=0"",""1_ACUM!A4:S""),19,FALSE))"),44575)</f>
        <v>44575</v>
      </c>
      <c r="AK22" s="68">
        <f ca="1">IFERROR(__xludf.DUMMYFUNCTION("IFERROR(VLOOKUP(F42,IMPORTRANGE(""https://docs.google.com/spreadsheets/d/1Kvs4KS76FHFqLFIZfrDMff4kP08nblUkihrxltoGBjg/edit#gid=934712705"",""ESENCIAL!A6:BG""),5,FALSE))"),44756)</f>
        <v>44756</v>
      </c>
      <c r="AL22" s="68">
        <f t="shared" ca="1" si="1"/>
        <v>45305</v>
      </c>
      <c r="AM22" s="17" t="str">
        <f t="shared" ca="1" si="2"/>
        <v>FICHA EN TIEMPO-18 MESES</v>
      </c>
      <c r="AN22" s="38" t="str">
        <f ca="1">IFERROR(__xludf.DUMMYFUNCTION("IFERROR(VLOOKUP(F42,IMPORTRANGE(""https://docs.google.com/spreadsheets/d/1Kvs4KS76FHFqLFIZfrDMff4kP08nblUkihrxltoGBjg/edit#gid=934712705"",""ESENCIAL!A6:BG""),2,FALSE))"),"Terminada por fecha")</f>
        <v>Terminada por fecha</v>
      </c>
      <c r="AO22" s="19" t="str">
        <f t="shared" si="3"/>
        <v>Yamboro</v>
      </c>
      <c r="AP22" s="292"/>
      <c r="AQ22" s="38"/>
    </row>
    <row r="23" spans="1:43" s="180" customFormat="1" ht="18" customHeight="1">
      <c r="A23" s="300" t="s">
        <v>990</v>
      </c>
      <c r="B23" s="145" t="s">
        <v>25</v>
      </c>
      <c r="C23" s="25" t="s">
        <v>1044</v>
      </c>
      <c r="D23" s="25" t="s">
        <v>27</v>
      </c>
      <c r="E23" s="25">
        <v>1082777709</v>
      </c>
      <c r="F23" s="25">
        <v>2280187</v>
      </c>
      <c r="G23" s="11" t="str">
        <f ca="1">IFERROR(__xludf.DUMMYFUNCTION("IFERROR(VLOOKUP(F43,IMPORTRANGE(""https://docs.google.com/spreadsheets/d/1Kvs4KS76FHFqLFIZfrDMff4kP08nblUkihrxltoGBjg/edit#gid=934712705"",""ESENCIAL!A6:BG""),3,FALSE))"),"TÉCNICO")</f>
        <v>TÉCNICO</v>
      </c>
      <c r="H23" s="11" t="str">
        <f ca="1">IFERROR(__xludf.DUMMYFUNCTION("IFERROR(VLOOKUP(F43,IMPORTRANGE(""https://docs.google.com/spreadsheets/d/1Kvs4KS76FHFqLFIZfrDMff4kP08nblUkihrxltoGBjg/edit#gid=934712705"",""ESENCIAL!A6:BG""),8,FALSE))"),"COCINA.")</f>
        <v>COCINA.</v>
      </c>
      <c r="I23" s="25"/>
      <c r="J23" s="25"/>
      <c r="K23" s="25"/>
      <c r="L23" s="206" t="s">
        <v>1006</v>
      </c>
      <c r="M23" s="31" t="s">
        <v>1045</v>
      </c>
      <c r="N23" s="31" t="s">
        <v>1046</v>
      </c>
      <c r="O23" s="31">
        <v>3233921332</v>
      </c>
      <c r="P23" s="31" t="s">
        <v>58</v>
      </c>
      <c r="Q23" s="31" t="s">
        <v>1047</v>
      </c>
      <c r="R23" s="32">
        <v>44883</v>
      </c>
      <c r="S23" s="32">
        <v>45063</v>
      </c>
      <c r="T23" s="31"/>
      <c r="U23" s="109"/>
      <c r="V23" s="28"/>
      <c r="W23" s="28"/>
      <c r="X23" s="28"/>
      <c r="Y23" s="28"/>
      <c r="Z23" s="19" t="str">
        <f t="shared" ca="1" si="0"/>
        <v>Procede_E_P</v>
      </c>
      <c r="AA23" s="11" t="str">
        <f ca="1">IFERROR(__xludf.DUMMYFUNCTION("IFERROR(VLOOKUP(E43&amp;F43,IMPORTRANGE(""https://docs.google.com/spreadsheets/d/1Uw7-A9f9R21vMXxHZFNpYNeKFtG8_yji4HS352LGlSQ/edit?pli=1#gid=0"",""1_ACUM!A4:S""),11,FALSE))"),"EN FORMACION")</f>
        <v>EN FORMACION</v>
      </c>
      <c r="AB23" s="20" t="str">
        <f ca="1">IFERROR(__xludf.DUMMYFUNCTION("IFERROR(VLOOKUP(F43,IMPORTRANGE(""https://docs.google.com/spreadsheets/d/1Kvs4KS76FHFqLFIZfrDMff4kP08nblUkihrxltoGBjg/edit#gid=934712705"",""ESENCIAL!A6:BG""),15,FALSE))"),"TURISMO")</f>
        <v>TURISMO</v>
      </c>
      <c r="AC23" s="21">
        <f ca="1">IFERROR(__xludf.DUMMYFUNCTION("IFERROR(VLOOKUP(E43&amp;F43,IMPORTRANGE(""https://docs.google.com/spreadsheets/d/1Uw7-A9f9R21vMXxHZFNpYNeKFtG8_yji4HS352LGlSQ/edit?pli=1#gid=0"",""1_ACUM!A4:S""),13,FALSE))"),0)</f>
        <v>0</v>
      </c>
      <c r="AD23" s="22">
        <f ca="1">IFERROR(__xludf.DUMMYFUNCTION("IFERROR(VLOOKUP(E43&amp;F43,IMPORTRANGE(""https://docs.google.com/spreadsheets/d/1Uw7-A9f9R21vMXxHZFNpYNeKFtG8_yji4HS352LGlSQ/edit?pli=1#gid=0"",""1_ACUM!A4:S""),13,FALSE))"),0)</f>
        <v>0</v>
      </c>
      <c r="AE23" s="22">
        <f ca="1">IFERROR(__xludf.DUMMYFUNCTION("IFERROR(VLOOKUP(E43&amp;F43,IMPORTRANGE(""https://docs.google.com/spreadsheets/d/1Uw7-A9f9R21vMXxHZFNpYNeKFtG8_yji4HS352LGlSQ/edit?pli=1#gid=0"",""1_ACUM!A4:S""),14,FALSE))"),1)</f>
        <v>1</v>
      </c>
      <c r="AF23" s="22">
        <f ca="1">IFERROR(__xludf.DUMMYFUNCTION("IFERROR(VLOOKUP(E43&amp;F43,IMPORTRANGE(""https://docs.google.com/spreadsheets/d/1Uw7-A9f9R21vMXxHZFNpYNeKFtG8_yji4HS352LGlSQ/edit?pli=1#gid=0"",""1_ACUM!A4:S""),15,FALSE))"),0)</f>
        <v>0</v>
      </c>
      <c r="AG23" s="22">
        <f ca="1">IFERROR(__xludf.DUMMYFUNCTION("IFERROR(VLOOKUP(E43&amp;F43,IMPORTRANGE(""https://docs.google.com/spreadsheets/d/1Uw7-A9f9R21vMXxHZFNpYNeKFtG8_yji4HS352LGlSQ/edit?pli=1#gid=0"",""1_ACUM!A4:S""),16,FALSE))"),0)</f>
        <v>0</v>
      </c>
      <c r="AH23" s="22">
        <f ca="1">IFERROR(__xludf.DUMMYFUNCTION("IFERROR(VLOOKUP(E43&amp;F43,IMPORTRANGE(""https://docs.google.com/spreadsheets/d/1Uw7-A9f9R21vMXxHZFNpYNeKFtG8_yji4HS352LGlSQ/edit?pli=1#gid=0"",""1_ACUM!A4:S""),17,FALSE))"),1)</f>
        <v>1</v>
      </c>
      <c r="AI23" s="23">
        <f ca="1">IFERROR(__xludf.DUMMYFUNCTION("IFERROR(VLOOKUP(E43&amp;F43,IMPORTRANGE(""https://docs.google.com/spreadsheets/d/1Uw7-A9f9R21vMXxHZFNpYNeKFtG8_yji4HS352LGlSQ/edit?pli=1#gid=0"",""1_ACUM!A4:S""),18,FALSE))"),44301)</f>
        <v>44301</v>
      </c>
      <c r="AJ23" s="23">
        <f ca="1">IFERROR(__xludf.DUMMYFUNCTION("IFERROR(VLOOKUP(E43&amp;F43,IMPORTRANGE(""https://docs.google.com/spreadsheets/d/1Uw7-A9f9R21vMXxHZFNpYNeKFtG8_yji4HS352LGlSQ/edit?pli=1#gid=0"",""1_ACUM!A4:S""),19,FALSE))"),44575)</f>
        <v>44575</v>
      </c>
      <c r="AK23" s="68">
        <f ca="1">IFERROR(__xludf.DUMMYFUNCTION("IFERROR(VLOOKUP(F43,IMPORTRANGE(""https://docs.google.com/spreadsheets/d/1Kvs4KS76FHFqLFIZfrDMff4kP08nblUkihrxltoGBjg/edit#gid=934712705"",""ESENCIAL!A6:BG""),5,FALSE))"),44756)</f>
        <v>44756</v>
      </c>
      <c r="AL23" s="68">
        <f t="shared" ca="1" si="1"/>
        <v>45305</v>
      </c>
      <c r="AM23" s="17" t="str">
        <f t="shared" ca="1" si="2"/>
        <v>FICHA EN TIEMPO-18 MESES</v>
      </c>
      <c r="AN23" s="38" t="str">
        <f ca="1">IFERROR(__xludf.DUMMYFUNCTION("IFERROR(VLOOKUP(F43,IMPORTRANGE(""https://docs.google.com/spreadsheets/d/1Kvs4KS76FHFqLFIZfrDMff4kP08nblUkihrxltoGBjg/edit#gid=934712705"",""ESENCIAL!A6:BG""),2,FALSE))"),"Terminada por fecha")</f>
        <v>Terminada por fecha</v>
      </c>
      <c r="AO23" s="19" t="str">
        <f t="shared" si="3"/>
        <v>Yamboro</v>
      </c>
      <c r="AP23" s="295"/>
      <c r="AQ23" s="173"/>
    </row>
    <row r="24" spans="1:43" ht="18" customHeight="1">
      <c r="A24" s="300" t="s">
        <v>990</v>
      </c>
      <c r="B24" s="145" t="s">
        <v>25</v>
      </c>
      <c r="C24" s="25" t="s">
        <v>1048</v>
      </c>
      <c r="D24" s="25" t="s">
        <v>67</v>
      </c>
      <c r="E24" s="25">
        <v>1117232018</v>
      </c>
      <c r="F24" s="25">
        <v>2280187</v>
      </c>
      <c r="G24" s="11" t="str">
        <f ca="1">IFERROR(__xludf.DUMMYFUNCTION("IFERROR(VLOOKUP(F45,IMPORTRANGE(""https://docs.google.com/spreadsheets/d/1Kvs4KS76FHFqLFIZfrDMff4kP08nblUkihrxltoGBjg/edit#gid=934712705"",""ESENCIAL!A6:BG""),3,FALSE))"),"TÉCNICO")</f>
        <v>TÉCNICO</v>
      </c>
      <c r="H24" s="11" t="str">
        <f ca="1">IFERROR(__xludf.DUMMYFUNCTION("IFERROR(VLOOKUP(F45,IMPORTRANGE(""https://docs.google.com/spreadsheets/d/1Kvs4KS76FHFqLFIZfrDMff4kP08nblUkihrxltoGBjg/edit#gid=934712705"",""ESENCIAL!A6:BG""),8,FALSE))"),"COCINA.")</f>
        <v>COCINA.</v>
      </c>
      <c r="I24" s="25"/>
      <c r="J24" s="25"/>
      <c r="K24" s="25"/>
      <c r="L24" s="206" t="s">
        <v>1006</v>
      </c>
      <c r="M24" s="31" t="s">
        <v>1049</v>
      </c>
      <c r="N24" s="31" t="s">
        <v>84</v>
      </c>
      <c r="O24" s="31">
        <v>3112159629</v>
      </c>
      <c r="P24" s="31" t="s">
        <v>84</v>
      </c>
      <c r="Q24" s="31" t="s">
        <v>1050</v>
      </c>
      <c r="R24" s="32">
        <v>44839</v>
      </c>
      <c r="S24" s="32">
        <v>45020</v>
      </c>
      <c r="T24" s="31"/>
      <c r="U24" s="109"/>
      <c r="V24" s="28"/>
      <c r="W24" s="28"/>
      <c r="X24" s="28"/>
      <c r="Y24" s="28"/>
      <c r="Z24" s="19" t="str">
        <f t="shared" ca="1" si="0"/>
        <v>Procede_E_P</v>
      </c>
      <c r="AA24" s="11" t="str">
        <f ca="1">IFERROR(__xludf.DUMMYFUNCTION("IFERROR(VLOOKUP(E45&amp;F45,IMPORTRANGE(""https://docs.google.com/spreadsheets/d/1Uw7-A9f9R21vMXxHZFNpYNeKFtG8_yji4HS352LGlSQ/edit?pli=1#gid=0"",""1_ACUM!A4:S""),11,FALSE))"),"EN FORMACION")</f>
        <v>EN FORMACION</v>
      </c>
      <c r="AB24" s="20" t="str">
        <f ca="1">IFERROR(__xludf.DUMMYFUNCTION("IFERROR(VLOOKUP(F45,IMPORTRANGE(""https://docs.google.com/spreadsheets/d/1Kvs4KS76FHFqLFIZfrDMff4kP08nblUkihrxltoGBjg/edit#gid=934712705"",""ESENCIAL!A6:BG""),15,FALSE))"),"TURISMO")</f>
        <v>TURISMO</v>
      </c>
      <c r="AC24" s="21">
        <f ca="1">IFERROR(__xludf.DUMMYFUNCTION("IFERROR(VLOOKUP(E45&amp;F45,IMPORTRANGE(""https://docs.google.com/spreadsheets/d/1Uw7-A9f9R21vMXxHZFNpYNeKFtG8_yji4HS352LGlSQ/edit?pli=1#gid=0"",""1_ACUM!A4:S""),13,FALSE))"),0)</f>
        <v>0</v>
      </c>
      <c r="AD24" s="22">
        <f ca="1">IFERROR(__xludf.DUMMYFUNCTION("IFERROR(VLOOKUP(E45&amp;F45,IMPORTRANGE(""https://docs.google.com/spreadsheets/d/1Uw7-A9f9R21vMXxHZFNpYNeKFtG8_yji4HS352LGlSQ/edit?pli=1#gid=0"",""1_ACUM!A4:S""),13,FALSE))"),0)</f>
        <v>0</v>
      </c>
      <c r="AE24" s="22">
        <f ca="1">IFERROR(__xludf.DUMMYFUNCTION("IFERROR(VLOOKUP(E45&amp;F45,IMPORTRANGE(""https://docs.google.com/spreadsheets/d/1Uw7-A9f9R21vMXxHZFNpYNeKFtG8_yji4HS352LGlSQ/edit?pli=1#gid=0"",""1_ACUM!A4:S""),14,FALSE))"),1)</f>
        <v>1</v>
      </c>
      <c r="AF24" s="22">
        <f ca="1">IFERROR(__xludf.DUMMYFUNCTION("IFERROR(VLOOKUP(E45&amp;F45,IMPORTRANGE(""https://docs.google.com/spreadsheets/d/1Uw7-A9f9R21vMXxHZFNpYNeKFtG8_yji4HS352LGlSQ/edit?pli=1#gid=0"",""1_ACUM!A4:S""),15,FALSE))"),0)</f>
        <v>0</v>
      </c>
      <c r="AG24" s="22">
        <f ca="1">IFERROR(__xludf.DUMMYFUNCTION("IFERROR(VLOOKUP(E45&amp;F45,IMPORTRANGE(""https://docs.google.com/spreadsheets/d/1Uw7-A9f9R21vMXxHZFNpYNeKFtG8_yji4HS352LGlSQ/edit?pli=1#gid=0"",""1_ACUM!A4:S""),16,FALSE))"),0)</f>
        <v>0</v>
      </c>
      <c r="AH24" s="22">
        <f ca="1">IFERROR(__xludf.DUMMYFUNCTION("IFERROR(VLOOKUP(E45&amp;F45,IMPORTRANGE(""https://docs.google.com/spreadsheets/d/1Uw7-A9f9R21vMXxHZFNpYNeKFtG8_yji4HS352LGlSQ/edit?pli=1#gid=0"",""1_ACUM!A4:S""),17,FALSE))"),1)</f>
        <v>1</v>
      </c>
      <c r="AI24" s="23">
        <f ca="1">IFERROR(__xludf.DUMMYFUNCTION("IFERROR(VLOOKUP(E45&amp;F45,IMPORTRANGE(""https://docs.google.com/spreadsheets/d/1Uw7-A9f9R21vMXxHZFNpYNeKFtG8_yji4HS352LGlSQ/edit?pli=1#gid=0"",""1_ACUM!A4:S""),18,FALSE))"),44301)</f>
        <v>44301</v>
      </c>
      <c r="AJ24" s="23">
        <f ca="1">IFERROR(__xludf.DUMMYFUNCTION("IFERROR(VLOOKUP(E45&amp;F45,IMPORTRANGE(""https://docs.google.com/spreadsheets/d/1Uw7-A9f9R21vMXxHZFNpYNeKFtG8_yji4HS352LGlSQ/edit?pli=1#gid=0"",""1_ACUM!A4:S""),19,FALSE))"),44575)</f>
        <v>44575</v>
      </c>
      <c r="AK24" s="68">
        <f ca="1">IFERROR(__xludf.DUMMYFUNCTION("IFERROR(VLOOKUP(F45,IMPORTRANGE(""https://docs.google.com/spreadsheets/d/1Kvs4KS76FHFqLFIZfrDMff4kP08nblUkihrxltoGBjg/edit#gid=934712705"",""ESENCIAL!A6:BG""),5,FALSE))"),44756)</f>
        <v>44756</v>
      </c>
      <c r="AL24" s="68">
        <f t="shared" ca="1" si="1"/>
        <v>45305</v>
      </c>
      <c r="AM24" s="17" t="str">
        <f t="shared" ca="1" si="2"/>
        <v>FICHA EN TIEMPO-18 MESES</v>
      </c>
      <c r="AN24" s="38" t="str">
        <f ca="1">IFERROR(__xludf.DUMMYFUNCTION("IFERROR(VLOOKUP(F45,IMPORTRANGE(""https://docs.google.com/spreadsheets/d/1Kvs4KS76FHFqLFIZfrDMff4kP08nblUkihrxltoGBjg/edit#gid=934712705"",""ESENCIAL!A6:BG""),2,FALSE))"),"Terminada por fecha")</f>
        <v>Terminada por fecha</v>
      </c>
      <c r="AO24" s="19" t="str">
        <f t="shared" si="3"/>
        <v>Yamboro</v>
      </c>
      <c r="AP24" s="292"/>
      <c r="AQ24" s="38"/>
    </row>
    <row r="25" spans="1:43" ht="18" customHeight="1">
      <c r="A25" s="290" t="s">
        <v>1038</v>
      </c>
      <c r="B25" s="145" t="s">
        <v>25</v>
      </c>
      <c r="C25" s="56" t="s">
        <v>1051</v>
      </c>
      <c r="D25" s="25" t="s">
        <v>67</v>
      </c>
      <c r="E25" s="57">
        <v>1084330297</v>
      </c>
      <c r="F25" s="25">
        <v>2280187</v>
      </c>
      <c r="G25" s="11" t="str">
        <f ca="1">IFERROR(__xludf.DUMMYFUNCTION("IFERROR(VLOOKUP(F46,IMPORTRANGE(""https://docs.google.com/spreadsheets/d/1Kvs4KS76FHFqLFIZfrDMff4kP08nblUkihrxltoGBjg/edit#gid=934712705"",""ESENCIAL!A6:BG""),3,FALSE))"),"TÉCNICO")</f>
        <v>TÉCNICO</v>
      </c>
      <c r="H25" s="11" t="str">
        <f ca="1">IFERROR(__xludf.DUMMYFUNCTION("IFERROR(VLOOKUP(F46,IMPORTRANGE(""https://docs.google.com/spreadsheets/d/1Kvs4KS76FHFqLFIZfrDMff4kP08nblUkihrxltoGBjg/edit#gid=934712705"",""ESENCIAL!A6:BG""),8,FALSE))"),"COCINA.")</f>
        <v>COCINA.</v>
      </c>
      <c r="I25" s="25"/>
      <c r="J25" s="25"/>
      <c r="K25" s="25"/>
      <c r="L25" s="303" t="s">
        <v>44</v>
      </c>
      <c r="M25" s="31"/>
      <c r="N25" s="31"/>
      <c r="O25" s="31"/>
      <c r="P25" s="31"/>
      <c r="Q25" s="31"/>
      <c r="R25" s="32"/>
      <c r="S25" s="32"/>
      <c r="T25" s="31"/>
      <c r="U25" s="31"/>
      <c r="V25" s="28"/>
      <c r="W25" s="28"/>
      <c r="X25" s="28"/>
      <c r="Y25" s="28"/>
      <c r="Z25" s="19" t="str">
        <f t="shared" ca="1" si="0"/>
        <v>Procede_E_P</v>
      </c>
      <c r="AA25" s="11" t="str">
        <f ca="1">IFERROR(__xludf.DUMMYFUNCTION("IFERROR(VLOOKUP(E46&amp;F46,IMPORTRANGE(""https://docs.google.com/spreadsheets/d/1Uw7-A9f9R21vMXxHZFNpYNeKFtG8_yji4HS352LGlSQ/edit?pli=1#gid=0"",""1_ACUM!A4:S""),11,FALSE))"),"EN FORMACION")</f>
        <v>EN FORMACION</v>
      </c>
      <c r="AB25" s="20" t="str">
        <f ca="1">IFERROR(__xludf.DUMMYFUNCTION("IFERROR(VLOOKUP(F46,IMPORTRANGE(""https://docs.google.com/spreadsheets/d/1Kvs4KS76FHFqLFIZfrDMff4kP08nblUkihrxltoGBjg/edit#gid=934712705"",""ESENCIAL!A6:BG""),15,FALSE))"),"TURISMO")</f>
        <v>TURISMO</v>
      </c>
      <c r="AC25" s="21">
        <f ca="1">IFERROR(__xludf.DUMMYFUNCTION("IFERROR(VLOOKUP(E46&amp;F46,IMPORTRANGE(""https://docs.google.com/spreadsheets/d/1Uw7-A9f9R21vMXxHZFNpYNeKFtG8_yji4HS352LGlSQ/edit?pli=1#gid=0"",""1_ACUM!A4:S""),13,FALSE))"),0)</f>
        <v>0</v>
      </c>
      <c r="AD25" s="22">
        <f ca="1">IFERROR(__xludf.DUMMYFUNCTION("IFERROR(VLOOKUP(E46&amp;F46,IMPORTRANGE(""https://docs.google.com/spreadsheets/d/1Uw7-A9f9R21vMXxHZFNpYNeKFtG8_yji4HS352LGlSQ/edit?pli=1#gid=0"",""1_ACUM!A4:S""),13,FALSE))"),0)</f>
        <v>0</v>
      </c>
      <c r="AE25" s="22">
        <f ca="1">IFERROR(__xludf.DUMMYFUNCTION("IFERROR(VLOOKUP(E46&amp;F46,IMPORTRANGE(""https://docs.google.com/spreadsheets/d/1Uw7-A9f9R21vMXxHZFNpYNeKFtG8_yji4HS352LGlSQ/edit?pli=1#gid=0"",""1_ACUM!A4:S""),14,FALSE))"),1)</f>
        <v>1</v>
      </c>
      <c r="AF25" s="22">
        <f ca="1">IFERROR(__xludf.DUMMYFUNCTION("IFERROR(VLOOKUP(E46&amp;F46,IMPORTRANGE(""https://docs.google.com/spreadsheets/d/1Uw7-A9f9R21vMXxHZFNpYNeKFtG8_yji4HS352LGlSQ/edit?pli=1#gid=0"",""1_ACUM!A4:S""),15,FALSE))"),0)</f>
        <v>0</v>
      </c>
      <c r="AG25" s="22">
        <f ca="1">IFERROR(__xludf.DUMMYFUNCTION("IFERROR(VLOOKUP(E46&amp;F46,IMPORTRANGE(""https://docs.google.com/spreadsheets/d/1Uw7-A9f9R21vMXxHZFNpYNeKFtG8_yji4HS352LGlSQ/edit?pli=1#gid=0"",""1_ACUM!A4:S""),16,FALSE))"),0)</f>
        <v>0</v>
      </c>
      <c r="AH25" s="22">
        <f ca="1">IFERROR(__xludf.DUMMYFUNCTION("IFERROR(VLOOKUP(E46&amp;F46,IMPORTRANGE(""https://docs.google.com/spreadsheets/d/1Uw7-A9f9R21vMXxHZFNpYNeKFtG8_yji4HS352LGlSQ/edit?pli=1#gid=0"",""1_ACUM!A4:S""),17,FALSE))"),1)</f>
        <v>1</v>
      </c>
      <c r="AI25" s="23">
        <f ca="1">IFERROR(__xludf.DUMMYFUNCTION("IFERROR(VLOOKUP(E46&amp;F46,IMPORTRANGE(""https://docs.google.com/spreadsheets/d/1Uw7-A9f9R21vMXxHZFNpYNeKFtG8_yji4HS352LGlSQ/edit?pli=1#gid=0"",""1_ACUM!A4:S""),18,FALSE))"),44301)</f>
        <v>44301</v>
      </c>
      <c r="AJ25" s="23">
        <f ca="1">IFERROR(__xludf.DUMMYFUNCTION("IFERROR(VLOOKUP(E46&amp;F46,IMPORTRANGE(""https://docs.google.com/spreadsheets/d/1Uw7-A9f9R21vMXxHZFNpYNeKFtG8_yji4HS352LGlSQ/edit?pli=1#gid=0"",""1_ACUM!A4:S""),19,FALSE))"),44575)</f>
        <v>44575</v>
      </c>
      <c r="AK25" s="68">
        <f ca="1">IFERROR(__xludf.DUMMYFUNCTION("IFERROR(VLOOKUP(F46,IMPORTRANGE(""https://docs.google.com/spreadsheets/d/1Kvs4KS76FHFqLFIZfrDMff4kP08nblUkihrxltoGBjg/edit#gid=934712705"",""ESENCIAL!A6:BG""),5,FALSE))"),44756)</f>
        <v>44756</v>
      </c>
      <c r="AL25" s="68">
        <f t="shared" ca="1" si="1"/>
        <v>45305</v>
      </c>
      <c r="AM25" s="17" t="str">
        <f t="shared" ca="1" si="2"/>
        <v>FICHA EN TIEMPO-18 MESES</v>
      </c>
      <c r="AN25" s="38" t="str">
        <f ca="1">IFERROR(__xludf.DUMMYFUNCTION("IFERROR(VLOOKUP(F46,IMPORTRANGE(""https://docs.google.com/spreadsheets/d/1Kvs4KS76FHFqLFIZfrDMff4kP08nblUkihrxltoGBjg/edit#gid=934712705"",""ESENCIAL!A6:BG""),2,FALSE))"),"Terminada por fecha")</f>
        <v>Terminada por fecha</v>
      </c>
      <c r="AO25" s="19" t="str">
        <f t="shared" si="3"/>
        <v>Yamboro</v>
      </c>
      <c r="AP25" s="292"/>
      <c r="AQ25" s="38"/>
    </row>
    <row r="26" spans="1:43" ht="18" customHeight="1">
      <c r="A26" s="300" t="s">
        <v>990</v>
      </c>
      <c r="B26" s="145" t="s">
        <v>25</v>
      </c>
      <c r="C26" s="25" t="s">
        <v>1052</v>
      </c>
      <c r="D26" s="25" t="s">
        <v>27</v>
      </c>
      <c r="E26" s="25">
        <v>36297102</v>
      </c>
      <c r="F26" s="25">
        <v>2280187</v>
      </c>
      <c r="G26" s="11" t="str">
        <f ca="1">IFERROR(__xludf.DUMMYFUNCTION("IFERROR(VLOOKUP(F47,IMPORTRANGE(""https://docs.google.com/spreadsheets/d/1Kvs4KS76FHFqLFIZfrDMff4kP08nblUkihrxltoGBjg/edit#gid=934712705"",""ESENCIAL!A6:BG""),3,FALSE))"),"TÉCNICO")</f>
        <v>TÉCNICO</v>
      </c>
      <c r="H26" s="11" t="str">
        <f ca="1">IFERROR(__xludf.DUMMYFUNCTION("IFERROR(VLOOKUP(F47,IMPORTRANGE(""https://docs.google.com/spreadsheets/d/1Kvs4KS76FHFqLFIZfrDMff4kP08nblUkihrxltoGBjg/edit#gid=934712705"",""ESENCIAL!A6:BG""),8,FALSE))"),"COCINA.")</f>
        <v>COCINA.</v>
      </c>
      <c r="I26" s="25">
        <v>3138541528</v>
      </c>
      <c r="J26" s="25" t="s">
        <v>1053</v>
      </c>
      <c r="K26" s="25" t="s">
        <v>1054</v>
      </c>
      <c r="L26" s="206" t="s">
        <v>28</v>
      </c>
      <c r="M26" s="31" t="s">
        <v>121</v>
      </c>
      <c r="N26" s="31" t="s">
        <v>1055</v>
      </c>
      <c r="O26" s="31">
        <v>3115696128</v>
      </c>
      <c r="P26" s="31" t="s">
        <v>442</v>
      </c>
      <c r="Q26" s="31" t="s">
        <v>1056</v>
      </c>
      <c r="R26" s="32">
        <v>44852</v>
      </c>
      <c r="S26" s="32">
        <v>45046</v>
      </c>
      <c r="T26" s="31"/>
      <c r="U26" s="31"/>
      <c r="V26" s="28"/>
      <c r="W26" s="28"/>
      <c r="X26" s="28"/>
      <c r="Y26" s="28"/>
      <c r="Z26" s="19" t="str">
        <f t="shared" ca="1" si="0"/>
        <v>Procede_E_P</v>
      </c>
      <c r="AA26" s="11" t="str">
        <f ca="1">IFERROR(__xludf.DUMMYFUNCTION("IFERROR(VLOOKUP(E47&amp;F47,IMPORTRANGE(""https://docs.google.com/spreadsheets/d/1Uw7-A9f9R21vMXxHZFNpYNeKFtG8_yji4HS352LGlSQ/edit?pli=1#gid=0"",""1_ACUM!A4:S""),11,FALSE))"),"EN FORMACION")</f>
        <v>EN FORMACION</v>
      </c>
      <c r="AB26" s="20" t="str">
        <f ca="1">IFERROR(__xludf.DUMMYFUNCTION("IFERROR(VLOOKUP(F47,IMPORTRANGE(""https://docs.google.com/spreadsheets/d/1Kvs4KS76FHFqLFIZfrDMff4kP08nblUkihrxltoGBjg/edit#gid=934712705"",""ESENCIAL!A6:BG""),15,FALSE))"),"TURISMO")</f>
        <v>TURISMO</v>
      </c>
      <c r="AC26" s="21">
        <f ca="1">IFERROR(__xludf.DUMMYFUNCTION("IFERROR(VLOOKUP(E47&amp;F47,IMPORTRANGE(""https://docs.google.com/spreadsheets/d/1Uw7-A9f9R21vMXxHZFNpYNeKFtG8_yji4HS352LGlSQ/edit?pli=1#gid=0"",""1_ACUM!A4:S""),13,FALSE))"),0)</f>
        <v>0</v>
      </c>
      <c r="AD26" s="22">
        <f ca="1">IFERROR(__xludf.DUMMYFUNCTION("IFERROR(VLOOKUP(E47&amp;F47,IMPORTRANGE(""https://docs.google.com/spreadsheets/d/1Uw7-A9f9R21vMXxHZFNpYNeKFtG8_yji4HS352LGlSQ/edit?pli=1#gid=0"",""1_ACUM!A4:S""),13,FALSE))"),0)</f>
        <v>0</v>
      </c>
      <c r="AE26" s="22">
        <f ca="1">IFERROR(__xludf.DUMMYFUNCTION("IFERROR(VLOOKUP(E47&amp;F47,IMPORTRANGE(""https://docs.google.com/spreadsheets/d/1Uw7-A9f9R21vMXxHZFNpYNeKFtG8_yji4HS352LGlSQ/edit?pli=1#gid=0"",""1_ACUM!A4:S""),14,FALSE))"),1)</f>
        <v>1</v>
      </c>
      <c r="AF26" s="22">
        <f ca="1">IFERROR(__xludf.DUMMYFUNCTION("IFERROR(VLOOKUP(E47&amp;F47,IMPORTRANGE(""https://docs.google.com/spreadsheets/d/1Uw7-A9f9R21vMXxHZFNpYNeKFtG8_yji4HS352LGlSQ/edit?pli=1#gid=0"",""1_ACUM!A4:S""),15,FALSE))"),0)</f>
        <v>0</v>
      </c>
      <c r="AG26" s="22">
        <f ca="1">IFERROR(__xludf.DUMMYFUNCTION("IFERROR(VLOOKUP(E47&amp;F47,IMPORTRANGE(""https://docs.google.com/spreadsheets/d/1Uw7-A9f9R21vMXxHZFNpYNeKFtG8_yji4HS352LGlSQ/edit?pli=1#gid=0"",""1_ACUM!A4:S""),16,FALSE))"),0)</f>
        <v>0</v>
      </c>
      <c r="AH26" s="22">
        <f ca="1">IFERROR(__xludf.DUMMYFUNCTION("IFERROR(VLOOKUP(E47&amp;F47,IMPORTRANGE(""https://docs.google.com/spreadsheets/d/1Uw7-A9f9R21vMXxHZFNpYNeKFtG8_yji4HS352LGlSQ/edit?pli=1#gid=0"",""1_ACUM!A4:S""),17,FALSE))"),1)</f>
        <v>1</v>
      </c>
      <c r="AI26" s="23">
        <f ca="1">IFERROR(__xludf.DUMMYFUNCTION("IFERROR(VLOOKUP(E47&amp;F47,IMPORTRANGE(""https://docs.google.com/spreadsheets/d/1Uw7-A9f9R21vMXxHZFNpYNeKFtG8_yji4HS352LGlSQ/edit?pli=1#gid=0"",""1_ACUM!A4:S""),18,FALSE))"),44301)</f>
        <v>44301</v>
      </c>
      <c r="AJ26" s="23">
        <f ca="1">IFERROR(__xludf.DUMMYFUNCTION("IFERROR(VLOOKUP(E47&amp;F47,IMPORTRANGE(""https://docs.google.com/spreadsheets/d/1Uw7-A9f9R21vMXxHZFNpYNeKFtG8_yji4HS352LGlSQ/edit?pli=1#gid=0"",""1_ACUM!A4:S""),19,FALSE))"),44575)</f>
        <v>44575</v>
      </c>
      <c r="AK26" s="68">
        <f ca="1">IFERROR(__xludf.DUMMYFUNCTION("IFERROR(VLOOKUP(F47,IMPORTRANGE(""https://docs.google.com/spreadsheets/d/1Kvs4KS76FHFqLFIZfrDMff4kP08nblUkihrxltoGBjg/edit#gid=934712705"",""ESENCIAL!A6:BG""),5,FALSE))"),44756)</f>
        <v>44756</v>
      </c>
      <c r="AL26" s="68">
        <f t="shared" ca="1" si="1"/>
        <v>45305</v>
      </c>
      <c r="AM26" s="17" t="str">
        <f t="shared" ca="1" si="2"/>
        <v>FICHA EN TIEMPO-18 MESES</v>
      </c>
      <c r="AN26" s="38" t="str">
        <f ca="1">IFERROR(__xludf.DUMMYFUNCTION("IFERROR(VLOOKUP(F47,IMPORTRANGE(""https://docs.google.com/spreadsheets/d/1Kvs4KS76FHFqLFIZfrDMff4kP08nblUkihrxltoGBjg/edit#gid=934712705"",""ESENCIAL!A6:BG""),2,FALSE))"),"Terminada por fecha")</f>
        <v>Terminada por fecha</v>
      </c>
      <c r="AO26" s="19" t="str">
        <f t="shared" si="3"/>
        <v>Yamboro</v>
      </c>
      <c r="AP26" s="292"/>
      <c r="AQ26" s="38"/>
    </row>
    <row r="27" spans="1:43" ht="18" customHeight="1">
      <c r="A27" s="290" t="s">
        <v>1038</v>
      </c>
      <c r="B27" s="145" t="s">
        <v>25</v>
      </c>
      <c r="C27" s="25" t="s">
        <v>1057</v>
      </c>
      <c r="D27" s="25" t="s">
        <v>27</v>
      </c>
      <c r="E27" s="25">
        <v>1004419452</v>
      </c>
      <c r="F27" s="25">
        <v>2380837</v>
      </c>
      <c r="G27" s="11" t="str">
        <f ca="1">IFERROR(__xludf.DUMMYFUNCTION("IFERROR(VLOOKUP(F48,IMPORTRANGE(""https://docs.google.com/spreadsheets/d/1Kvs4KS76FHFqLFIZfrDMff4kP08nblUkihrxltoGBjg/edit#gid=934712705"",""ESENCIAL!A6:BG""),3,FALSE))"),"TÉCNICO")</f>
        <v>TÉCNICO</v>
      </c>
      <c r="H27" s="11" t="str">
        <f ca="1">IFERROR(__xludf.DUMMYFUNCTION("IFERROR(VLOOKUP(F48,IMPORTRANGE(""https://docs.google.com/spreadsheets/d/1Kvs4KS76FHFqLFIZfrDMff4kP08nblUkihrxltoGBjg/edit#gid=934712705"",""ESENCIAL!A6:BG""),8,FALSE))"),"COCINA.")</f>
        <v>COCINA.</v>
      </c>
      <c r="I27" s="25"/>
      <c r="J27" s="25"/>
      <c r="K27" s="25"/>
      <c r="L27" s="303" t="s">
        <v>44</v>
      </c>
      <c r="M27" s="31"/>
      <c r="N27" s="31"/>
      <c r="O27" s="31"/>
      <c r="P27" s="31"/>
      <c r="Q27" s="31"/>
      <c r="R27" s="32"/>
      <c r="S27" s="32"/>
      <c r="T27" s="31"/>
      <c r="U27" s="31"/>
      <c r="V27" s="28"/>
      <c r="W27" s="28"/>
      <c r="X27" s="28"/>
      <c r="Y27" s="28"/>
      <c r="Z27" s="19" t="str">
        <f t="shared" ca="1" si="0"/>
        <v>Procede_E_P</v>
      </c>
      <c r="AA27" s="11" t="str">
        <f ca="1">IFERROR(__xludf.DUMMYFUNCTION("IFERROR(VLOOKUP(E48&amp;F48,IMPORTRANGE(""https://docs.google.com/spreadsheets/d/1Uw7-A9f9R21vMXxHZFNpYNeKFtG8_yji4HS352LGlSQ/edit?pli=1#gid=0"",""1_ACUM!A4:S""),11,FALSE))"),"EN FORMACION")</f>
        <v>EN FORMACION</v>
      </c>
      <c r="AB27" s="20" t="str">
        <f ca="1">IFERROR(__xludf.DUMMYFUNCTION("IFERROR(VLOOKUP(F48,IMPORTRANGE(""https://docs.google.com/spreadsheets/d/1Kvs4KS76FHFqLFIZfrDMff4kP08nblUkihrxltoGBjg/edit#gid=934712705"",""ESENCIAL!A6:BG""),15,FALSE))"),"TURISMO")</f>
        <v>TURISMO</v>
      </c>
      <c r="AC27" s="21">
        <f ca="1">IFERROR(__xludf.DUMMYFUNCTION("IFERROR(VLOOKUP(E48&amp;F48,IMPORTRANGE(""https://docs.google.com/spreadsheets/d/1Uw7-A9f9R21vMXxHZFNpYNeKFtG8_yji4HS352LGlSQ/edit?pli=1#gid=0"",""1_ACUM!A4:S""),13,FALSE))"),0)</f>
        <v>0</v>
      </c>
      <c r="AD27" s="22">
        <f ca="1">IFERROR(__xludf.DUMMYFUNCTION("IFERROR(VLOOKUP(E48&amp;F48,IMPORTRANGE(""https://docs.google.com/spreadsheets/d/1Uw7-A9f9R21vMXxHZFNpYNeKFtG8_yji4HS352LGlSQ/edit?pli=1#gid=0"",""1_ACUM!A4:S""),13,FALSE))"),0)</f>
        <v>0</v>
      </c>
      <c r="AE27" s="22">
        <f ca="1">IFERROR(__xludf.DUMMYFUNCTION("IFERROR(VLOOKUP(E48&amp;F48,IMPORTRANGE(""https://docs.google.com/spreadsheets/d/1Uw7-A9f9R21vMXxHZFNpYNeKFtG8_yji4HS352LGlSQ/edit?pli=1#gid=0"",""1_ACUM!A4:S""),14,FALSE))"),1)</f>
        <v>1</v>
      </c>
      <c r="AF27" s="22">
        <f ca="1">IFERROR(__xludf.DUMMYFUNCTION("IFERROR(VLOOKUP(E48&amp;F48,IMPORTRANGE(""https://docs.google.com/spreadsheets/d/1Uw7-A9f9R21vMXxHZFNpYNeKFtG8_yji4HS352LGlSQ/edit?pli=1#gid=0"",""1_ACUM!A4:S""),15,FALSE))"),0)</f>
        <v>0</v>
      </c>
      <c r="AG27" s="22">
        <f ca="1">IFERROR(__xludf.DUMMYFUNCTION("IFERROR(VLOOKUP(E48&amp;F48,IMPORTRANGE(""https://docs.google.com/spreadsheets/d/1Uw7-A9f9R21vMXxHZFNpYNeKFtG8_yji4HS352LGlSQ/edit?pli=1#gid=0"",""1_ACUM!A4:S""),16,FALSE))"),0)</f>
        <v>0</v>
      </c>
      <c r="AH27" s="22">
        <f ca="1">IFERROR(__xludf.DUMMYFUNCTION("IFERROR(VLOOKUP(E48&amp;F48,IMPORTRANGE(""https://docs.google.com/spreadsheets/d/1Uw7-A9f9R21vMXxHZFNpYNeKFtG8_yji4HS352LGlSQ/edit?pli=1#gid=0"",""1_ACUM!A4:S""),17,FALSE))"),1)</f>
        <v>1</v>
      </c>
      <c r="AI27" s="23">
        <f ca="1">IFERROR(__xludf.DUMMYFUNCTION("IFERROR(VLOOKUP(E48&amp;F48,IMPORTRANGE(""https://docs.google.com/spreadsheets/d/1Uw7-A9f9R21vMXxHZFNpYNeKFtG8_yji4HS352LGlSQ/edit?pli=1#gid=0"",""1_ACUM!A4:S""),18,FALSE))"),44445)</f>
        <v>44445</v>
      </c>
      <c r="AJ27" s="23">
        <f ca="1">IFERROR(__xludf.DUMMYFUNCTION("IFERROR(VLOOKUP(E48&amp;F48,IMPORTRANGE(""https://docs.google.com/spreadsheets/d/1Uw7-A9f9R21vMXxHZFNpYNeKFtG8_yji4HS352LGlSQ/edit?pli=1#gid=0"",""1_ACUM!A4:S""),19,FALSE))"),44717)</f>
        <v>44717</v>
      </c>
      <c r="AK27" s="68">
        <f ca="1">IFERROR(__xludf.DUMMYFUNCTION("IFERROR(VLOOKUP(F48,IMPORTRANGE(""https://docs.google.com/spreadsheets/d/1Kvs4KS76FHFqLFIZfrDMff4kP08nblUkihrxltoGBjg/edit#gid=934712705"",""ESENCIAL!A6:BG""),5,FALSE))"),44900)</f>
        <v>44900</v>
      </c>
      <c r="AL27" s="68">
        <f t="shared" ca="1" si="1"/>
        <v>45448</v>
      </c>
      <c r="AM27" s="17" t="str">
        <f t="shared" ca="1" si="2"/>
        <v>FICHA EN TIEMPO-18 MESES</v>
      </c>
      <c r="AN27" s="38" t="str">
        <f ca="1">IFERROR(__xludf.DUMMYFUNCTION("IFERROR(VLOOKUP(F48,IMPORTRANGE(""https://docs.google.com/spreadsheets/d/1Kvs4KS76FHFqLFIZfrDMff4kP08nblUkihrxltoGBjg/edit#gid=934712705"",""ESENCIAL!A6:BG""),2,FALSE))"),"En ejecucion")</f>
        <v>En ejecucion</v>
      </c>
      <c r="AO27" s="19" t="str">
        <f t="shared" si="3"/>
        <v>Yamboro</v>
      </c>
      <c r="AP27" s="292"/>
      <c r="AQ27" s="38"/>
    </row>
    <row r="28" spans="1:43" ht="18" customHeight="1">
      <c r="A28" s="300" t="s">
        <v>990</v>
      </c>
      <c r="B28" s="145" t="s">
        <v>25</v>
      </c>
      <c r="C28" s="25" t="s">
        <v>1058</v>
      </c>
      <c r="D28" s="25" t="s">
        <v>27</v>
      </c>
      <c r="E28" s="25">
        <v>1084901514</v>
      </c>
      <c r="F28" s="25">
        <v>2380837</v>
      </c>
      <c r="G28" s="11" t="str">
        <f ca="1">IFERROR(__xludf.DUMMYFUNCTION("IFERROR(VLOOKUP(F49,IMPORTRANGE(""https://docs.google.com/spreadsheets/d/1Kvs4KS76FHFqLFIZfrDMff4kP08nblUkihrxltoGBjg/edit#gid=934712705"",""ESENCIAL!A6:BG""),3,FALSE))"),"TÉCNICO")</f>
        <v>TÉCNICO</v>
      </c>
      <c r="H28" s="11" t="str">
        <f ca="1">IFERROR(__xludf.DUMMYFUNCTION("IFERROR(VLOOKUP(F49,IMPORTRANGE(""https://docs.google.com/spreadsheets/d/1Kvs4KS76FHFqLFIZfrDMff4kP08nblUkihrxltoGBjg/edit#gid=934712705"",""ESENCIAL!A6:BG""),8,FALSE))"),"COCINA.")</f>
        <v>COCINA.</v>
      </c>
      <c r="I28" s="25">
        <v>3107529799</v>
      </c>
      <c r="J28" s="25" t="s">
        <v>1059</v>
      </c>
      <c r="K28" s="25" t="s">
        <v>84</v>
      </c>
      <c r="L28" s="206" t="s">
        <v>28</v>
      </c>
      <c r="M28" s="31" t="s">
        <v>121</v>
      </c>
      <c r="N28" s="31" t="s">
        <v>1055</v>
      </c>
      <c r="O28" s="31">
        <v>3115696128</v>
      </c>
      <c r="P28" s="31" t="s">
        <v>1060</v>
      </c>
      <c r="Q28" s="31" t="s">
        <v>1061</v>
      </c>
      <c r="R28" s="32">
        <v>44852</v>
      </c>
      <c r="S28" s="32">
        <v>45046</v>
      </c>
      <c r="T28" s="31"/>
      <c r="U28" s="31"/>
      <c r="V28" s="28"/>
      <c r="W28" s="28"/>
      <c r="X28" s="28"/>
      <c r="Y28" s="28"/>
      <c r="Z28" s="19" t="str">
        <f t="shared" ca="1" si="0"/>
        <v>Procede_E_P</v>
      </c>
      <c r="AA28" s="11" t="str">
        <f ca="1">IFERROR(__xludf.DUMMYFUNCTION("IFERROR(VLOOKUP(E49&amp;F49,IMPORTRANGE(""https://docs.google.com/spreadsheets/d/1Uw7-A9f9R21vMXxHZFNpYNeKFtG8_yji4HS352LGlSQ/edit?pli=1#gid=0"",""1_ACUM!A4:S""),11,FALSE))"),"EN FORMACION")</f>
        <v>EN FORMACION</v>
      </c>
      <c r="AB28" s="20" t="str">
        <f ca="1">IFERROR(__xludf.DUMMYFUNCTION("IFERROR(VLOOKUP(F49,IMPORTRANGE(""https://docs.google.com/spreadsheets/d/1Kvs4KS76FHFqLFIZfrDMff4kP08nblUkihrxltoGBjg/edit#gid=934712705"",""ESENCIAL!A6:BG""),15,FALSE))"),"TURISMO")</f>
        <v>TURISMO</v>
      </c>
      <c r="AC28" s="21">
        <f ca="1">IFERROR(__xludf.DUMMYFUNCTION("IFERROR(VLOOKUP(E49&amp;F49,IMPORTRANGE(""https://docs.google.com/spreadsheets/d/1Uw7-A9f9R21vMXxHZFNpYNeKFtG8_yji4HS352LGlSQ/edit?pli=1#gid=0"",""1_ACUM!A4:S""),13,FALSE))"),0)</f>
        <v>0</v>
      </c>
      <c r="AD28" s="22">
        <f ca="1">IFERROR(__xludf.DUMMYFUNCTION("IFERROR(VLOOKUP(E49&amp;F49,IMPORTRANGE(""https://docs.google.com/spreadsheets/d/1Uw7-A9f9R21vMXxHZFNpYNeKFtG8_yji4HS352LGlSQ/edit?pli=1#gid=0"",""1_ACUM!A4:S""),13,FALSE))"),0)</f>
        <v>0</v>
      </c>
      <c r="AE28" s="22">
        <f ca="1">IFERROR(__xludf.DUMMYFUNCTION("IFERROR(VLOOKUP(E49&amp;F49,IMPORTRANGE(""https://docs.google.com/spreadsheets/d/1Uw7-A9f9R21vMXxHZFNpYNeKFtG8_yji4HS352LGlSQ/edit?pli=1#gid=0"",""1_ACUM!A4:S""),14,FALSE))"),1)</f>
        <v>1</v>
      </c>
      <c r="AF28" s="22">
        <f ca="1">IFERROR(__xludf.DUMMYFUNCTION("IFERROR(VLOOKUP(E49&amp;F49,IMPORTRANGE(""https://docs.google.com/spreadsheets/d/1Uw7-A9f9R21vMXxHZFNpYNeKFtG8_yji4HS352LGlSQ/edit?pli=1#gid=0"",""1_ACUM!A4:S""),15,FALSE))"),0)</f>
        <v>0</v>
      </c>
      <c r="AG28" s="22">
        <f ca="1">IFERROR(__xludf.DUMMYFUNCTION("IFERROR(VLOOKUP(E49&amp;F49,IMPORTRANGE(""https://docs.google.com/spreadsheets/d/1Uw7-A9f9R21vMXxHZFNpYNeKFtG8_yji4HS352LGlSQ/edit?pli=1#gid=0"",""1_ACUM!A4:S""),16,FALSE))"),0)</f>
        <v>0</v>
      </c>
      <c r="AH28" s="22">
        <f ca="1">IFERROR(__xludf.DUMMYFUNCTION("IFERROR(VLOOKUP(E49&amp;F49,IMPORTRANGE(""https://docs.google.com/spreadsheets/d/1Uw7-A9f9R21vMXxHZFNpYNeKFtG8_yji4HS352LGlSQ/edit?pli=1#gid=0"",""1_ACUM!A4:S""),17,FALSE))"),1)</f>
        <v>1</v>
      </c>
      <c r="AI28" s="23">
        <f ca="1">IFERROR(__xludf.DUMMYFUNCTION("IFERROR(VLOOKUP(E49&amp;F49,IMPORTRANGE(""https://docs.google.com/spreadsheets/d/1Uw7-A9f9R21vMXxHZFNpYNeKFtG8_yji4HS352LGlSQ/edit?pli=1#gid=0"",""1_ACUM!A4:S""),18,FALSE))"),44445)</f>
        <v>44445</v>
      </c>
      <c r="AJ28" s="23">
        <f ca="1">IFERROR(__xludf.DUMMYFUNCTION("IFERROR(VLOOKUP(E49&amp;F49,IMPORTRANGE(""https://docs.google.com/spreadsheets/d/1Uw7-A9f9R21vMXxHZFNpYNeKFtG8_yji4HS352LGlSQ/edit?pli=1#gid=0"",""1_ACUM!A4:S""),19,FALSE))"),44717)</f>
        <v>44717</v>
      </c>
      <c r="AK28" s="68">
        <f ca="1">IFERROR(__xludf.DUMMYFUNCTION("IFERROR(VLOOKUP(F49,IMPORTRANGE(""https://docs.google.com/spreadsheets/d/1Kvs4KS76FHFqLFIZfrDMff4kP08nblUkihrxltoGBjg/edit#gid=934712705"",""ESENCIAL!A6:BG""),5,FALSE))"),44900)</f>
        <v>44900</v>
      </c>
      <c r="AL28" s="68">
        <f t="shared" ca="1" si="1"/>
        <v>45448</v>
      </c>
      <c r="AM28" s="17" t="str">
        <f t="shared" ca="1" si="2"/>
        <v>FICHA EN TIEMPO-18 MESES</v>
      </c>
      <c r="AN28" s="38" t="str">
        <f ca="1">IFERROR(__xludf.DUMMYFUNCTION("IFERROR(VLOOKUP(F49,IMPORTRANGE(""https://docs.google.com/spreadsheets/d/1Kvs4KS76FHFqLFIZfrDMff4kP08nblUkihrxltoGBjg/edit#gid=934712705"",""ESENCIAL!A6:BG""),2,FALSE))"),"En ejecucion")</f>
        <v>En ejecucion</v>
      </c>
      <c r="AO28" s="19" t="str">
        <f t="shared" si="3"/>
        <v>Yamboro</v>
      </c>
      <c r="AP28" s="292"/>
      <c r="AQ28" s="38"/>
    </row>
    <row r="29" spans="1:43" ht="18" customHeight="1">
      <c r="A29" s="290" t="s">
        <v>1038</v>
      </c>
      <c r="B29" s="145" t="s">
        <v>25</v>
      </c>
      <c r="C29" s="25" t="s">
        <v>1062</v>
      </c>
      <c r="D29" s="25" t="s">
        <v>27</v>
      </c>
      <c r="E29" s="25">
        <v>1121944810</v>
      </c>
      <c r="F29" s="25">
        <v>2380837</v>
      </c>
      <c r="G29" s="11" t="str">
        <f ca="1">IFERROR(__xludf.DUMMYFUNCTION("IFERROR(VLOOKUP(F50,IMPORTRANGE(""https://docs.google.com/spreadsheets/d/1Kvs4KS76FHFqLFIZfrDMff4kP08nblUkihrxltoGBjg/edit#gid=934712705"",""ESENCIAL!A6:BG""),3,FALSE))"),"TÉCNICO")</f>
        <v>TÉCNICO</v>
      </c>
      <c r="H29" s="11" t="str">
        <f ca="1">IFERROR(__xludf.DUMMYFUNCTION("IFERROR(VLOOKUP(F50,IMPORTRANGE(""https://docs.google.com/spreadsheets/d/1Kvs4KS76FHFqLFIZfrDMff4kP08nblUkihrxltoGBjg/edit#gid=934712705"",""ESENCIAL!A6:BG""),8,FALSE))"),"COCINA.")</f>
        <v>COCINA.</v>
      </c>
      <c r="I29" s="25"/>
      <c r="J29" s="25"/>
      <c r="K29" s="25"/>
      <c r="L29" s="303" t="s">
        <v>44</v>
      </c>
      <c r="M29" s="31"/>
      <c r="N29" s="31"/>
      <c r="O29" s="31"/>
      <c r="P29" s="31"/>
      <c r="Q29" s="31"/>
      <c r="R29" s="32"/>
      <c r="S29" s="32"/>
      <c r="T29" s="31"/>
      <c r="U29" s="31"/>
      <c r="V29" s="28"/>
      <c r="W29" s="28"/>
      <c r="X29" s="28"/>
      <c r="Y29" s="28"/>
      <c r="Z29" s="19" t="str">
        <f t="shared" ca="1" si="0"/>
        <v>Procede_E_P</v>
      </c>
      <c r="AA29" s="11" t="str">
        <f ca="1">IFERROR(__xludf.DUMMYFUNCTION("IFERROR(VLOOKUP(E50&amp;F50,IMPORTRANGE(""https://docs.google.com/spreadsheets/d/1Uw7-A9f9R21vMXxHZFNpYNeKFtG8_yji4HS352LGlSQ/edit?pli=1#gid=0"",""1_ACUM!A4:S""),11,FALSE))"),"EN FORMACION")</f>
        <v>EN FORMACION</v>
      </c>
      <c r="AB29" s="20" t="str">
        <f ca="1">IFERROR(__xludf.DUMMYFUNCTION("IFERROR(VLOOKUP(F50,IMPORTRANGE(""https://docs.google.com/spreadsheets/d/1Kvs4KS76FHFqLFIZfrDMff4kP08nblUkihrxltoGBjg/edit#gid=934712705"",""ESENCIAL!A6:BG""),15,FALSE))"),"TURISMO")</f>
        <v>TURISMO</v>
      </c>
      <c r="AC29" s="21">
        <f ca="1">IFERROR(__xludf.DUMMYFUNCTION("IFERROR(VLOOKUP(E50&amp;F50,IMPORTRANGE(""https://docs.google.com/spreadsheets/d/1Uw7-A9f9R21vMXxHZFNpYNeKFtG8_yji4HS352LGlSQ/edit?pli=1#gid=0"",""1_ACUM!A4:S""),13,FALSE))"),0)</f>
        <v>0</v>
      </c>
      <c r="AD29" s="22">
        <f ca="1">IFERROR(__xludf.DUMMYFUNCTION("IFERROR(VLOOKUP(E50&amp;F50,IMPORTRANGE(""https://docs.google.com/spreadsheets/d/1Uw7-A9f9R21vMXxHZFNpYNeKFtG8_yji4HS352LGlSQ/edit?pli=1#gid=0"",""1_ACUM!A4:S""),13,FALSE))"),0)</f>
        <v>0</v>
      </c>
      <c r="AE29" s="22">
        <f ca="1">IFERROR(__xludf.DUMMYFUNCTION("IFERROR(VLOOKUP(E50&amp;F50,IMPORTRANGE(""https://docs.google.com/spreadsheets/d/1Uw7-A9f9R21vMXxHZFNpYNeKFtG8_yji4HS352LGlSQ/edit?pli=1#gid=0"",""1_ACUM!A4:S""),14,FALSE))"),1)</f>
        <v>1</v>
      </c>
      <c r="AF29" s="22">
        <f ca="1">IFERROR(__xludf.DUMMYFUNCTION("IFERROR(VLOOKUP(E50&amp;F50,IMPORTRANGE(""https://docs.google.com/spreadsheets/d/1Uw7-A9f9R21vMXxHZFNpYNeKFtG8_yji4HS352LGlSQ/edit?pli=1#gid=0"",""1_ACUM!A4:S""),15,FALSE))"),0)</f>
        <v>0</v>
      </c>
      <c r="AG29" s="22">
        <f ca="1">IFERROR(__xludf.DUMMYFUNCTION("IFERROR(VLOOKUP(E50&amp;F50,IMPORTRANGE(""https://docs.google.com/spreadsheets/d/1Uw7-A9f9R21vMXxHZFNpYNeKFtG8_yji4HS352LGlSQ/edit?pli=1#gid=0"",""1_ACUM!A4:S""),16,FALSE))"),0)</f>
        <v>0</v>
      </c>
      <c r="AH29" s="22">
        <f ca="1">IFERROR(__xludf.DUMMYFUNCTION("IFERROR(VLOOKUP(E50&amp;F50,IMPORTRANGE(""https://docs.google.com/spreadsheets/d/1Uw7-A9f9R21vMXxHZFNpYNeKFtG8_yji4HS352LGlSQ/edit?pli=1#gid=0"",""1_ACUM!A4:S""),17,FALSE))"),1)</f>
        <v>1</v>
      </c>
      <c r="AI29" s="23">
        <f ca="1">IFERROR(__xludf.DUMMYFUNCTION("IFERROR(VLOOKUP(E50&amp;F50,IMPORTRANGE(""https://docs.google.com/spreadsheets/d/1Uw7-A9f9R21vMXxHZFNpYNeKFtG8_yji4HS352LGlSQ/edit?pli=1#gid=0"",""1_ACUM!A4:S""),18,FALSE))"),44445)</f>
        <v>44445</v>
      </c>
      <c r="AJ29" s="23">
        <f ca="1">IFERROR(__xludf.DUMMYFUNCTION("IFERROR(VLOOKUP(E50&amp;F50,IMPORTRANGE(""https://docs.google.com/spreadsheets/d/1Uw7-A9f9R21vMXxHZFNpYNeKFtG8_yji4HS352LGlSQ/edit?pli=1#gid=0"",""1_ACUM!A4:S""),19,FALSE))"),44717)</f>
        <v>44717</v>
      </c>
      <c r="AK29" s="68">
        <f ca="1">IFERROR(__xludf.DUMMYFUNCTION("IFERROR(VLOOKUP(F50,IMPORTRANGE(""https://docs.google.com/spreadsheets/d/1Kvs4KS76FHFqLFIZfrDMff4kP08nblUkihrxltoGBjg/edit#gid=934712705"",""ESENCIAL!A6:BG""),5,FALSE))"),44900)</f>
        <v>44900</v>
      </c>
      <c r="AL29" s="68">
        <f t="shared" ca="1" si="1"/>
        <v>45448</v>
      </c>
      <c r="AM29" s="17" t="str">
        <f t="shared" ca="1" si="2"/>
        <v>FICHA EN TIEMPO-18 MESES</v>
      </c>
      <c r="AN29" s="38" t="str">
        <f ca="1">IFERROR(__xludf.DUMMYFUNCTION("IFERROR(VLOOKUP(F50,IMPORTRANGE(""https://docs.google.com/spreadsheets/d/1Kvs4KS76FHFqLFIZfrDMff4kP08nblUkihrxltoGBjg/edit#gid=934712705"",""ESENCIAL!A6:BG""),2,FALSE))"),"En ejecucion")</f>
        <v>En ejecucion</v>
      </c>
      <c r="AO29" s="19" t="str">
        <f t="shared" si="3"/>
        <v>Yamboro</v>
      </c>
      <c r="AP29" s="292"/>
      <c r="AQ29" s="38"/>
    </row>
    <row r="30" spans="1:43" ht="18" customHeight="1">
      <c r="A30" s="290" t="s">
        <v>1038</v>
      </c>
      <c r="B30" s="145" t="s">
        <v>25</v>
      </c>
      <c r="C30" s="25" t="s">
        <v>1063</v>
      </c>
      <c r="D30" s="25" t="s">
        <v>27</v>
      </c>
      <c r="E30" s="25">
        <v>1003809090</v>
      </c>
      <c r="F30" s="25">
        <v>2500274</v>
      </c>
      <c r="G30" s="11" t="str">
        <f ca="1">IFERROR(__xludf.DUMMYFUNCTION("IFERROR(VLOOKUP(F50,IMPORTRANGE(""https://docs.google.com/spreadsheets/d/1Kvs4KS76FHFqLFIZfrDMff4kP08nblUkihrxltoGBjg/edit#gid=934712705"",""ESENCIAL!A6:BG""),3,FALSE))"),"TÉCNICO")</f>
        <v>TÉCNICO</v>
      </c>
      <c r="H30" s="11" t="str">
        <f ca="1">IFERROR(__xludf.DUMMYFUNCTION("IFERROR(VLOOKUP(F50,IMPORTRANGE(""https://docs.google.com/spreadsheets/d/1Kvs4KS76FHFqLFIZfrDMff4kP08nblUkihrxltoGBjg/edit#gid=934712705"",""ESENCIAL!A6:BG""),8,FALSE))"),"COCINA.")</f>
        <v>COCINA.</v>
      </c>
      <c r="I30" s="25"/>
      <c r="J30" s="25"/>
      <c r="K30" s="25"/>
      <c r="L30" s="303" t="s">
        <v>44</v>
      </c>
      <c r="M30" s="31"/>
      <c r="N30" s="31"/>
      <c r="O30" s="31"/>
      <c r="P30" s="31"/>
      <c r="Q30" s="31"/>
      <c r="R30" s="32"/>
      <c r="S30" s="32"/>
      <c r="T30" s="65" t="s">
        <v>1064</v>
      </c>
      <c r="U30" s="31"/>
      <c r="V30" s="28"/>
      <c r="W30" s="28"/>
      <c r="X30" s="28"/>
      <c r="Y30" s="28"/>
      <c r="Z30" s="19" t="str">
        <f t="shared" ca="1" si="0"/>
        <v>NO_CUMPLE</v>
      </c>
      <c r="AA30" s="11" t="str">
        <f ca="1">IFERROR(__xludf.DUMMYFUNCTION("IFERROR(VLOOKUP(E51&amp;F51,IMPORTRANGE(""https://docs.google.com/spreadsheets/d/1Uw7-A9f9R21vMXxHZFNpYNeKFtG8_yji4HS352LGlSQ/edit?pli=1#gid=0"",""1_ACUM!A4:S""),11,FALSE))"),"")</f>
        <v/>
      </c>
      <c r="AB30" s="20" t="str">
        <f ca="1">IFERROR(__xludf.DUMMYFUNCTION("IFERROR(VLOOKUP(F51,IMPORTRANGE(""https://docs.google.com/spreadsheets/d/1Kvs4KS76FHFqLFIZfrDMff4kP08nblUkihrxltoGBjg/edit#gid=934712705"",""ESENCIAL!A6:BG""),15,FALSE))"),"")</f>
        <v/>
      </c>
      <c r="AC30" s="21" t="str">
        <f ca="1">IFERROR(__xludf.DUMMYFUNCTION("IFERROR(VLOOKUP(E51&amp;F51,IMPORTRANGE(""https://docs.google.com/spreadsheets/d/1Uw7-A9f9R21vMXxHZFNpYNeKFtG8_yji4HS352LGlSQ/edit?pli=1#gid=0"",""1_ACUM!A4:S""),13,FALSE))"),"")</f>
        <v/>
      </c>
      <c r="AD30" s="22" t="str">
        <f ca="1">IFERROR(__xludf.DUMMYFUNCTION("IFERROR(VLOOKUP(E51&amp;F51,IMPORTRANGE(""https://docs.google.com/spreadsheets/d/1Uw7-A9f9R21vMXxHZFNpYNeKFtG8_yji4HS352LGlSQ/edit?pli=1#gid=0"",""1_ACUM!A4:S""),13,FALSE))"),"")</f>
        <v/>
      </c>
      <c r="AE30" s="22" t="str">
        <f ca="1">IFERROR(__xludf.DUMMYFUNCTION("IFERROR(VLOOKUP(E51&amp;F51,IMPORTRANGE(""https://docs.google.com/spreadsheets/d/1Uw7-A9f9R21vMXxHZFNpYNeKFtG8_yji4HS352LGlSQ/edit?pli=1#gid=0"",""1_ACUM!A4:S""),14,FALSE))"),"")</f>
        <v/>
      </c>
      <c r="AF30" s="22" t="str">
        <f ca="1">IFERROR(__xludf.DUMMYFUNCTION("IFERROR(VLOOKUP(E51&amp;F51,IMPORTRANGE(""https://docs.google.com/spreadsheets/d/1Uw7-A9f9R21vMXxHZFNpYNeKFtG8_yji4HS352LGlSQ/edit?pli=1#gid=0"",""1_ACUM!A4:S""),15,FALSE))"),"")</f>
        <v/>
      </c>
      <c r="AG30" s="22" t="str">
        <f ca="1">IFERROR(__xludf.DUMMYFUNCTION("IFERROR(VLOOKUP(E51&amp;F51,IMPORTRANGE(""https://docs.google.com/spreadsheets/d/1Uw7-A9f9R21vMXxHZFNpYNeKFtG8_yji4HS352LGlSQ/edit?pli=1#gid=0"",""1_ACUM!A4:S""),16,FALSE))"),"")</f>
        <v/>
      </c>
      <c r="AH30" s="22" t="str">
        <f ca="1">IFERROR(__xludf.DUMMYFUNCTION("IFERROR(VLOOKUP(E51&amp;F51,IMPORTRANGE(""https://docs.google.com/spreadsheets/d/1Uw7-A9f9R21vMXxHZFNpYNeKFtG8_yji4HS352LGlSQ/edit?pli=1#gid=0"",""1_ACUM!A4:S""),17,FALSE))"),"")</f>
        <v/>
      </c>
      <c r="AI30" s="23" t="str">
        <f ca="1">IFERROR(__xludf.DUMMYFUNCTION("IFERROR(VLOOKUP(E51&amp;F51,IMPORTRANGE(""https://docs.google.com/spreadsheets/d/1Uw7-A9f9R21vMXxHZFNpYNeKFtG8_yji4HS352LGlSQ/edit?pli=1#gid=0"",""1_ACUM!A4:S""),18,FALSE))"),"")</f>
        <v/>
      </c>
      <c r="AJ30" s="23" t="str">
        <f ca="1">IFERROR(__xludf.DUMMYFUNCTION("IFERROR(VLOOKUP(E51&amp;F51,IMPORTRANGE(""https://docs.google.com/spreadsheets/d/1Uw7-A9f9R21vMXxHZFNpYNeKFtG8_yji4HS352LGlSQ/edit?pli=1#gid=0"",""1_ACUM!A4:S""),19,FALSE))"),"")</f>
        <v/>
      </c>
      <c r="AK30" s="68" t="str">
        <f ca="1">IFERROR(__xludf.DUMMYFUNCTION("IFERROR(VLOOKUP(F51,IMPORTRANGE(""https://docs.google.com/spreadsheets/d/1Kvs4KS76FHFqLFIZfrDMff4kP08nblUkihrxltoGBjg/edit#gid=934712705"",""ESENCIAL!A6:BG""),5,FALSE))"),"")</f>
        <v/>
      </c>
      <c r="AL30" s="68" t="e">
        <f t="shared" ca="1" si="1"/>
        <v>#VALUE!</v>
      </c>
      <c r="AM30" s="17" t="e">
        <f t="shared" ca="1" si="2"/>
        <v>#VALUE!</v>
      </c>
      <c r="AN30" s="38" t="str">
        <f ca="1">IFERROR(__xludf.DUMMYFUNCTION("IFERROR(VLOOKUP(F51,IMPORTRANGE(""https://docs.google.com/spreadsheets/d/1Kvs4KS76FHFqLFIZfrDMff4kP08nblUkihrxltoGBjg/edit#gid=934712705"",""ESENCIAL!A6:BG""),2,FALSE))"),"")</f>
        <v/>
      </c>
      <c r="AO30" s="19" t="str">
        <f t="shared" si="3"/>
        <v>Yamboro</v>
      </c>
      <c r="AP30" s="292"/>
      <c r="AQ30" s="38"/>
    </row>
    <row r="31" spans="1:43" ht="18" customHeight="1">
      <c r="A31" s="290" t="s">
        <v>1038</v>
      </c>
      <c r="B31" s="145" t="s">
        <v>25</v>
      </c>
      <c r="C31" s="25" t="s">
        <v>1065</v>
      </c>
      <c r="D31" s="25" t="s">
        <v>27</v>
      </c>
      <c r="E31" s="25">
        <v>1004033606</v>
      </c>
      <c r="F31" s="25">
        <v>2500274</v>
      </c>
      <c r="G31" s="11" t="str">
        <f ca="1">IFERROR(__xludf.DUMMYFUNCTION("IFERROR(VLOOKUP(F50,IMPORTRANGE(""https://docs.google.com/spreadsheets/d/1Kvs4KS76FHFqLFIZfrDMff4kP08nblUkihrxltoGBjg/edit#gid=934712705"",""ESENCIAL!A6:BG""),3,FALSE))"),"TÉCNICO")</f>
        <v>TÉCNICO</v>
      </c>
      <c r="H31" s="11" t="str">
        <f ca="1">IFERROR(__xludf.DUMMYFUNCTION("IFERROR(VLOOKUP(F50,IMPORTRANGE(""https://docs.google.com/spreadsheets/d/1Kvs4KS76FHFqLFIZfrDMff4kP08nblUkihrxltoGBjg/edit#gid=934712705"",""ESENCIAL!A6:BG""),8,FALSE))"),"COCINA.")</f>
        <v>COCINA.</v>
      </c>
      <c r="I31" s="25"/>
      <c r="J31" s="25"/>
      <c r="K31" s="25"/>
      <c r="L31" s="303" t="s">
        <v>44</v>
      </c>
      <c r="M31" s="31"/>
      <c r="N31" s="31"/>
      <c r="O31" s="31"/>
      <c r="P31" s="31"/>
      <c r="Q31" s="31"/>
      <c r="R31" s="32"/>
      <c r="S31" s="32"/>
      <c r="T31" s="65"/>
      <c r="U31" s="31"/>
      <c r="V31" s="28"/>
      <c r="W31" s="28"/>
      <c r="X31" s="28"/>
      <c r="Y31" s="28"/>
      <c r="Z31" s="19" t="str">
        <f t="shared" ca="1" si="0"/>
        <v>NO_CUMPLE</v>
      </c>
      <c r="AA31" s="11" t="str">
        <f ca="1">IFERROR(__xludf.DUMMYFUNCTION("IFERROR(VLOOKUP(E52&amp;F52,IMPORTRANGE(""https://docs.google.com/spreadsheets/d/1Uw7-A9f9R21vMXxHZFNpYNeKFtG8_yji4HS352LGlSQ/edit?pli=1#gid=0"",""1_ACUM!A4:S""),11,FALSE))"),"")</f>
        <v/>
      </c>
      <c r="AB31" s="20" t="str">
        <f ca="1">IFERROR(__xludf.DUMMYFUNCTION("IFERROR(VLOOKUP(F52,IMPORTRANGE(""https://docs.google.com/spreadsheets/d/1Kvs4KS76FHFqLFIZfrDMff4kP08nblUkihrxltoGBjg/edit#gid=934712705"",""ESENCIAL!A6:BG""),15,FALSE))"),"")</f>
        <v/>
      </c>
      <c r="AC31" s="21" t="str">
        <f ca="1">IFERROR(__xludf.DUMMYFUNCTION("IFERROR(VLOOKUP(E52&amp;F52,IMPORTRANGE(""https://docs.google.com/spreadsheets/d/1Uw7-A9f9R21vMXxHZFNpYNeKFtG8_yji4HS352LGlSQ/edit?pli=1#gid=0"",""1_ACUM!A4:S""),13,FALSE))"),"")</f>
        <v/>
      </c>
      <c r="AD31" s="22" t="str">
        <f ca="1">IFERROR(__xludf.DUMMYFUNCTION("IFERROR(VLOOKUP(E52&amp;F52,IMPORTRANGE(""https://docs.google.com/spreadsheets/d/1Uw7-A9f9R21vMXxHZFNpYNeKFtG8_yji4HS352LGlSQ/edit?pli=1#gid=0"",""1_ACUM!A4:S""),13,FALSE))"),"")</f>
        <v/>
      </c>
      <c r="AE31" s="22" t="str">
        <f ca="1">IFERROR(__xludf.DUMMYFUNCTION("IFERROR(VLOOKUP(E52&amp;F52,IMPORTRANGE(""https://docs.google.com/spreadsheets/d/1Uw7-A9f9R21vMXxHZFNpYNeKFtG8_yji4HS352LGlSQ/edit?pli=1#gid=0"",""1_ACUM!A4:S""),14,FALSE))"),"")</f>
        <v/>
      </c>
      <c r="AF31" s="22" t="str">
        <f ca="1">IFERROR(__xludf.DUMMYFUNCTION("IFERROR(VLOOKUP(E52&amp;F52,IMPORTRANGE(""https://docs.google.com/spreadsheets/d/1Uw7-A9f9R21vMXxHZFNpYNeKFtG8_yji4HS352LGlSQ/edit?pli=1#gid=0"",""1_ACUM!A4:S""),15,FALSE))"),"")</f>
        <v/>
      </c>
      <c r="AG31" s="22" t="str">
        <f ca="1">IFERROR(__xludf.DUMMYFUNCTION("IFERROR(VLOOKUP(E52&amp;F52,IMPORTRANGE(""https://docs.google.com/spreadsheets/d/1Uw7-A9f9R21vMXxHZFNpYNeKFtG8_yji4HS352LGlSQ/edit?pli=1#gid=0"",""1_ACUM!A4:S""),16,FALSE))"),"")</f>
        <v/>
      </c>
      <c r="AH31" s="22" t="str">
        <f ca="1">IFERROR(__xludf.DUMMYFUNCTION("IFERROR(VLOOKUP(E52&amp;F52,IMPORTRANGE(""https://docs.google.com/spreadsheets/d/1Uw7-A9f9R21vMXxHZFNpYNeKFtG8_yji4HS352LGlSQ/edit?pli=1#gid=0"",""1_ACUM!A4:S""),17,FALSE))"),"")</f>
        <v/>
      </c>
      <c r="AI31" s="23" t="str">
        <f ca="1">IFERROR(__xludf.DUMMYFUNCTION("IFERROR(VLOOKUP(E52&amp;F52,IMPORTRANGE(""https://docs.google.com/spreadsheets/d/1Uw7-A9f9R21vMXxHZFNpYNeKFtG8_yji4HS352LGlSQ/edit?pli=1#gid=0"",""1_ACUM!A4:S""),18,FALSE))"),"")</f>
        <v/>
      </c>
      <c r="AJ31" s="23" t="str">
        <f ca="1">IFERROR(__xludf.DUMMYFUNCTION("IFERROR(VLOOKUP(E52&amp;F52,IMPORTRANGE(""https://docs.google.com/spreadsheets/d/1Uw7-A9f9R21vMXxHZFNpYNeKFtG8_yji4HS352LGlSQ/edit?pli=1#gid=0"",""1_ACUM!A4:S""),19,FALSE))"),"")</f>
        <v/>
      </c>
      <c r="AK31" s="68" t="str">
        <f ca="1">IFERROR(__xludf.DUMMYFUNCTION("IFERROR(VLOOKUP(F52,IMPORTRANGE(""https://docs.google.com/spreadsheets/d/1Kvs4KS76FHFqLFIZfrDMff4kP08nblUkihrxltoGBjg/edit#gid=934712705"",""ESENCIAL!A6:BG""),5,FALSE))"),"")</f>
        <v/>
      </c>
      <c r="AL31" s="68" t="e">
        <f t="shared" ca="1" si="1"/>
        <v>#VALUE!</v>
      </c>
      <c r="AM31" s="17" t="e">
        <f t="shared" ca="1" si="2"/>
        <v>#VALUE!</v>
      </c>
      <c r="AN31" s="38" t="str">
        <f ca="1">IFERROR(__xludf.DUMMYFUNCTION("IFERROR(VLOOKUP(F52,IMPORTRANGE(""https://docs.google.com/spreadsheets/d/1Kvs4KS76FHFqLFIZfrDMff4kP08nblUkihrxltoGBjg/edit#gid=934712705"",""ESENCIAL!A6:BG""),2,FALSE))"),"")</f>
        <v/>
      </c>
      <c r="AO31" s="19" t="str">
        <f t="shared" si="3"/>
        <v>Yamboro</v>
      </c>
      <c r="AP31" s="292"/>
      <c r="AQ31" s="38"/>
    </row>
    <row r="32" spans="1:43" ht="18" customHeight="1">
      <c r="A32" s="290" t="s">
        <v>1038</v>
      </c>
      <c r="B32" s="145" t="s">
        <v>25</v>
      </c>
      <c r="C32" s="25" t="s">
        <v>1066</v>
      </c>
      <c r="D32" s="25" t="s">
        <v>27</v>
      </c>
      <c r="E32" s="25">
        <v>1004269260</v>
      </c>
      <c r="F32" s="25">
        <v>2500274</v>
      </c>
      <c r="G32" s="11" t="str">
        <f ca="1">IFERROR(__xludf.DUMMYFUNCTION("IFERROR(VLOOKUP(F50,IMPORTRANGE(""https://docs.google.com/spreadsheets/d/1Kvs4KS76FHFqLFIZfrDMff4kP08nblUkihrxltoGBjg/edit#gid=934712705"",""ESENCIAL!A6:BG""),3,FALSE))"),"TÉCNICO")</f>
        <v>TÉCNICO</v>
      </c>
      <c r="H32" s="11" t="str">
        <f ca="1">IFERROR(__xludf.DUMMYFUNCTION("IFERROR(VLOOKUP(F50,IMPORTRANGE(""https://docs.google.com/spreadsheets/d/1Kvs4KS76FHFqLFIZfrDMff4kP08nblUkihrxltoGBjg/edit#gid=934712705"",""ESENCIAL!A6:BG""),8,FALSE))"),"COCINA.")</f>
        <v>COCINA.</v>
      </c>
      <c r="I32" s="25"/>
      <c r="J32" s="25"/>
      <c r="K32" s="25"/>
      <c r="L32" s="303" t="s">
        <v>44</v>
      </c>
      <c r="M32" s="31"/>
      <c r="N32" s="31"/>
      <c r="O32" s="31"/>
      <c r="P32" s="31"/>
      <c r="Q32" s="31"/>
      <c r="R32" s="32"/>
      <c r="S32" s="32"/>
      <c r="T32" s="65"/>
      <c r="U32" s="31"/>
      <c r="V32" s="28"/>
      <c r="W32" s="28"/>
      <c r="X32" s="28"/>
      <c r="Y32" s="28"/>
      <c r="Z32" s="19" t="str">
        <f t="shared" ca="1" si="0"/>
        <v>NO_CUMPLE</v>
      </c>
      <c r="AA32" s="11" t="str">
        <f ca="1">IFERROR(__xludf.DUMMYFUNCTION("IFERROR(VLOOKUP(E53&amp;F53,IMPORTRANGE(""https://docs.google.com/spreadsheets/d/1Uw7-A9f9R21vMXxHZFNpYNeKFtG8_yji4HS352LGlSQ/edit?pli=1#gid=0"",""1_ACUM!A4:S""),11,FALSE))"),"")</f>
        <v/>
      </c>
      <c r="AB32" s="20" t="str">
        <f ca="1">IFERROR(__xludf.DUMMYFUNCTION("IFERROR(VLOOKUP(F53,IMPORTRANGE(""https://docs.google.com/spreadsheets/d/1Kvs4KS76FHFqLFIZfrDMff4kP08nblUkihrxltoGBjg/edit#gid=934712705"",""ESENCIAL!A6:BG""),15,FALSE))"),"")</f>
        <v/>
      </c>
      <c r="AC32" s="21" t="str">
        <f ca="1">IFERROR(__xludf.DUMMYFUNCTION("IFERROR(VLOOKUP(E53&amp;F53,IMPORTRANGE(""https://docs.google.com/spreadsheets/d/1Uw7-A9f9R21vMXxHZFNpYNeKFtG8_yji4HS352LGlSQ/edit?pli=1#gid=0"",""1_ACUM!A4:S""),13,FALSE))"),"")</f>
        <v/>
      </c>
      <c r="AD32" s="22" t="str">
        <f ca="1">IFERROR(__xludf.DUMMYFUNCTION("IFERROR(VLOOKUP(E53&amp;F53,IMPORTRANGE(""https://docs.google.com/spreadsheets/d/1Uw7-A9f9R21vMXxHZFNpYNeKFtG8_yji4HS352LGlSQ/edit?pli=1#gid=0"",""1_ACUM!A4:S""),13,FALSE))"),"")</f>
        <v/>
      </c>
      <c r="AE32" s="22" t="str">
        <f ca="1">IFERROR(__xludf.DUMMYFUNCTION("IFERROR(VLOOKUP(E53&amp;F53,IMPORTRANGE(""https://docs.google.com/spreadsheets/d/1Uw7-A9f9R21vMXxHZFNpYNeKFtG8_yji4HS352LGlSQ/edit?pli=1#gid=0"",""1_ACUM!A4:S""),14,FALSE))"),"")</f>
        <v/>
      </c>
      <c r="AF32" s="22" t="str">
        <f ca="1">IFERROR(__xludf.DUMMYFUNCTION("IFERROR(VLOOKUP(E53&amp;F53,IMPORTRANGE(""https://docs.google.com/spreadsheets/d/1Uw7-A9f9R21vMXxHZFNpYNeKFtG8_yji4HS352LGlSQ/edit?pli=1#gid=0"",""1_ACUM!A4:S""),15,FALSE))"),"")</f>
        <v/>
      </c>
      <c r="AG32" s="22" t="str">
        <f ca="1">IFERROR(__xludf.DUMMYFUNCTION("IFERROR(VLOOKUP(E53&amp;F53,IMPORTRANGE(""https://docs.google.com/spreadsheets/d/1Uw7-A9f9R21vMXxHZFNpYNeKFtG8_yji4HS352LGlSQ/edit?pli=1#gid=0"",""1_ACUM!A4:S""),16,FALSE))"),"")</f>
        <v/>
      </c>
      <c r="AH32" s="22" t="str">
        <f ca="1">IFERROR(__xludf.DUMMYFUNCTION("IFERROR(VLOOKUP(E53&amp;F53,IMPORTRANGE(""https://docs.google.com/spreadsheets/d/1Uw7-A9f9R21vMXxHZFNpYNeKFtG8_yji4HS352LGlSQ/edit?pli=1#gid=0"",""1_ACUM!A4:S""),17,FALSE))"),"")</f>
        <v/>
      </c>
      <c r="AI32" s="23" t="str">
        <f ca="1">IFERROR(__xludf.DUMMYFUNCTION("IFERROR(VLOOKUP(E53&amp;F53,IMPORTRANGE(""https://docs.google.com/spreadsheets/d/1Uw7-A9f9R21vMXxHZFNpYNeKFtG8_yji4HS352LGlSQ/edit?pli=1#gid=0"",""1_ACUM!A4:S""),18,FALSE))"),"")</f>
        <v/>
      </c>
      <c r="AJ32" s="23" t="str">
        <f ca="1">IFERROR(__xludf.DUMMYFUNCTION("IFERROR(VLOOKUP(E53&amp;F53,IMPORTRANGE(""https://docs.google.com/spreadsheets/d/1Uw7-A9f9R21vMXxHZFNpYNeKFtG8_yji4HS352LGlSQ/edit?pli=1#gid=0"",""1_ACUM!A4:S""),19,FALSE))"),"")</f>
        <v/>
      </c>
      <c r="AK32" s="68" t="str">
        <f ca="1">IFERROR(__xludf.DUMMYFUNCTION("IFERROR(VLOOKUP(F53,IMPORTRANGE(""https://docs.google.com/spreadsheets/d/1Kvs4KS76FHFqLFIZfrDMff4kP08nblUkihrxltoGBjg/edit#gid=934712705"",""ESENCIAL!A6:BG""),5,FALSE))"),"")</f>
        <v/>
      </c>
      <c r="AL32" s="68" t="e">
        <f t="shared" ca="1" si="1"/>
        <v>#VALUE!</v>
      </c>
      <c r="AM32" s="17" t="e">
        <f t="shared" ca="1" si="2"/>
        <v>#VALUE!</v>
      </c>
      <c r="AN32" s="38" t="str">
        <f ca="1">IFERROR(__xludf.DUMMYFUNCTION("IFERROR(VLOOKUP(F53,IMPORTRANGE(""https://docs.google.com/spreadsheets/d/1Kvs4KS76FHFqLFIZfrDMff4kP08nblUkihrxltoGBjg/edit#gid=934712705"",""ESENCIAL!A6:BG""),2,FALSE))"),"")</f>
        <v/>
      </c>
      <c r="AO32" s="19" t="str">
        <f t="shared" si="3"/>
        <v>Yamboro</v>
      </c>
      <c r="AP32" s="292"/>
      <c r="AQ32" s="38"/>
    </row>
    <row r="33" spans="1:43" ht="18" customHeight="1">
      <c r="A33" s="290" t="s">
        <v>1038</v>
      </c>
      <c r="B33" s="145" t="s">
        <v>25</v>
      </c>
      <c r="C33" s="25" t="s">
        <v>1067</v>
      </c>
      <c r="D33" s="25" t="s">
        <v>27</v>
      </c>
      <c r="E33" s="25">
        <v>1004303259</v>
      </c>
      <c r="F33" s="25">
        <v>2500274</v>
      </c>
      <c r="G33" s="11" t="str">
        <f ca="1">IFERROR(__xludf.DUMMYFUNCTION("IFERROR(VLOOKUP(F50,IMPORTRANGE(""https://docs.google.com/spreadsheets/d/1Kvs4KS76FHFqLFIZfrDMff4kP08nblUkihrxltoGBjg/edit#gid=934712705"",""ESENCIAL!A6:BG""),3,FALSE))"),"TÉCNICO")</f>
        <v>TÉCNICO</v>
      </c>
      <c r="H33" s="11" t="str">
        <f ca="1">IFERROR(__xludf.DUMMYFUNCTION("IFERROR(VLOOKUP(F50,IMPORTRANGE(""https://docs.google.com/spreadsheets/d/1Kvs4KS76FHFqLFIZfrDMff4kP08nblUkihrxltoGBjg/edit#gid=934712705"",""ESENCIAL!A6:BG""),8,FALSE))"),"COCINA.")</f>
        <v>COCINA.</v>
      </c>
      <c r="I33" s="25"/>
      <c r="J33" s="25"/>
      <c r="K33" s="25"/>
      <c r="L33" s="303" t="s">
        <v>44</v>
      </c>
      <c r="M33" s="31"/>
      <c r="N33" s="31"/>
      <c r="O33" s="31"/>
      <c r="P33" s="31"/>
      <c r="Q33" s="31"/>
      <c r="R33" s="32"/>
      <c r="S33" s="32"/>
      <c r="T33" s="65" t="s">
        <v>1068</v>
      </c>
      <c r="U33" s="31"/>
      <c r="V33" s="28"/>
      <c r="W33" s="28"/>
      <c r="X33" s="28"/>
      <c r="Y33" s="28"/>
      <c r="Z33" s="19" t="str">
        <f t="shared" ca="1" si="0"/>
        <v>NO_CUMPLE</v>
      </c>
      <c r="AA33" s="11" t="str">
        <f ca="1">IFERROR(__xludf.DUMMYFUNCTION("IFERROR(VLOOKUP(E54&amp;F54,IMPORTRANGE(""https://docs.google.com/spreadsheets/d/1Uw7-A9f9R21vMXxHZFNpYNeKFtG8_yji4HS352LGlSQ/edit?pli=1#gid=0"",""1_ACUM!A4:S""),11,FALSE))"),"")</f>
        <v/>
      </c>
      <c r="AB33" s="20" t="str">
        <f ca="1">IFERROR(__xludf.DUMMYFUNCTION("IFERROR(VLOOKUP(F54,IMPORTRANGE(""https://docs.google.com/spreadsheets/d/1Kvs4KS76FHFqLFIZfrDMff4kP08nblUkihrxltoGBjg/edit#gid=934712705"",""ESENCIAL!A6:BG""),15,FALSE))"),"")</f>
        <v/>
      </c>
      <c r="AC33" s="21" t="str">
        <f ca="1">IFERROR(__xludf.DUMMYFUNCTION("IFERROR(VLOOKUP(E54&amp;F54,IMPORTRANGE(""https://docs.google.com/spreadsheets/d/1Uw7-A9f9R21vMXxHZFNpYNeKFtG8_yji4HS352LGlSQ/edit?pli=1#gid=0"",""1_ACUM!A4:S""),13,FALSE))"),"")</f>
        <v/>
      </c>
      <c r="AD33" s="22" t="str">
        <f ca="1">IFERROR(__xludf.DUMMYFUNCTION("IFERROR(VLOOKUP(E54&amp;F54,IMPORTRANGE(""https://docs.google.com/spreadsheets/d/1Uw7-A9f9R21vMXxHZFNpYNeKFtG8_yji4HS352LGlSQ/edit?pli=1#gid=0"",""1_ACUM!A4:S""),13,FALSE))"),"")</f>
        <v/>
      </c>
      <c r="AE33" s="22" t="str">
        <f ca="1">IFERROR(__xludf.DUMMYFUNCTION("IFERROR(VLOOKUP(E54&amp;F54,IMPORTRANGE(""https://docs.google.com/spreadsheets/d/1Uw7-A9f9R21vMXxHZFNpYNeKFtG8_yji4HS352LGlSQ/edit?pli=1#gid=0"",""1_ACUM!A4:S""),14,FALSE))"),"")</f>
        <v/>
      </c>
      <c r="AF33" s="22" t="str">
        <f ca="1">IFERROR(__xludf.DUMMYFUNCTION("IFERROR(VLOOKUP(E54&amp;F54,IMPORTRANGE(""https://docs.google.com/spreadsheets/d/1Uw7-A9f9R21vMXxHZFNpYNeKFtG8_yji4HS352LGlSQ/edit?pli=1#gid=0"",""1_ACUM!A4:S""),15,FALSE))"),"")</f>
        <v/>
      </c>
      <c r="AG33" s="22" t="str">
        <f ca="1">IFERROR(__xludf.DUMMYFUNCTION("IFERROR(VLOOKUP(E54&amp;F54,IMPORTRANGE(""https://docs.google.com/spreadsheets/d/1Uw7-A9f9R21vMXxHZFNpYNeKFtG8_yji4HS352LGlSQ/edit?pli=1#gid=0"",""1_ACUM!A4:S""),16,FALSE))"),"")</f>
        <v/>
      </c>
      <c r="AH33" s="22" t="str">
        <f ca="1">IFERROR(__xludf.DUMMYFUNCTION("IFERROR(VLOOKUP(E54&amp;F54,IMPORTRANGE(""https://docs.google.com/spreadsheets/d/1Uw7-A9f9R21vMXxHZFNpYNeKFtG8_yji4HS352LGlSQ/edit?pli=1#gid=0"",""1_ACUM!A4:S""),17,FALSE))"),"")</f>
        <v/>
      </c>
      <c r="AI33" s="23" t="str">
        <f ca="1">IFERROR(__xludf.DUMMYFUNCTION("IFERROR(VLOOKUP(E54&amp;F54,IMPORTRANGE(""https://docs.google.com/spreadsheets/d/1Uw7-A9f9R21vMXxHZFNpYNeKFtG8_yji4HS352LGlSQ/edit?pli=1#gid=0"",""1_ACUM!A4:S""),18,FALSE))"),"")</f>
        <v/>
      </c>
      <c r="AJ33" s="23" t="str">
        <f ca="1">IFERROR(__xludf.DUMMYFUNCTION("IFERROR(VLOOKUP(E54&amp;F54,IMPORTRANGE(""https://docs.google.com/spreadsheets/d/1Uw7-A9f9R21vMXxHZFNpYNeKFtG8_yji4HS352LGlSQ/edit?pli=1#gid=0"",""1_ACUM!A4:S""),19,FALSE))"),"")</f>
        <v/>
      </c>
      <c r="AK33" s="68" t="str">
        <f ca="1">IFERROR(__xludf.DUMMYFUNCTION("IFERROR(VLOOKUP(F54,IMPORTRANGE(""https://docs.google.com/spreadsheets/d/1Kvs4KS76FHFqLFIZfrDMff4kP08nblUkihrxltoGBjg/edit#gid=934712705"",""ESENCIAL!A6:BG""),5,FALSE))"),"")</f>
        <v/>
      </c>
      <c r="AL33" s="68" t="e">
        <f t="shared" ca="1" si="1"/>
        <v>#VALUE!</v>
      </c>
      <c r="AM33" s="17" t="e">
        <f t="shared" ca="1" si="2"/>
        <v>#VALUE!</v>
      </c>
      <c r="AN33" s="38" t="str">
        <f ca="1">IFERROR(__xludf.DUMMYFUNCTION("IFERROR(VLOOKUP(F54,IMPORTRANGE(""https://docs.google.com/spreadsheets/d/1Kvs4KS76FHFqLFIZfrDMff4kP08nblUkihrxltoGBjg/edit#gid=934712705"",""ESENCIAL!A6:BG""),2,FALSE))"),"")</f>
        <v/>
      </c>
      <c r="AO33" s="19" t="str">
        <f t="shared" si="3"/>
        <v>Yamboro</v>
      </c>
      <c r="AP33" s="292"/>
      <c r="AQ33" s="38"/>
    </row>
    <row r="34" spans="1:43" ht="18" customHeight="1">
      <c r="A34" s="290" t="s">
        <v>1038</v>
      </c>
      <c r="B34" s="145" t="s">
        <v>25</v>
      </c>
      <c r="C34" s="25" t="s">
        <v>1069</v>
      </c>
      <c r="D34" s="25" t="s">
        <v>27</v>
      </c>
      <c r="E34" s="25">
        <v>1004417133</v>
      </c>
      <c r="F34" s="25">
        <v>2500274</v>
      </c>
      <c r="G34" s="11" t="str">
        <f ca="1">IFERROR(__xludf.DUMMYFUNCTION("IFERROR(VLOOKUP(F50,IMPORTRANGE(""https://docs.google.com/spreadsheets/d/1Kvs4KS76FHFqLFIZfrDMff4kP08nblUkihrxltoGBjg/edit#gid=934712705"",""ESENCIAL!A6:BG""),3,FALSE))"),"TÉCNICO")</f>
        <v>TÉCNICO</v>
      </c>
      <c r="H34" s="11" t="str">
        <f ca="1">IFERROR(__xludf.DUMMYFUNCTION("IFERROR(VLOOKUP(F50,IMPORTRANGE(""https://docs.google.com/spreadsheets/d/1Kvs4KS76FHFqLFIZfrDMff4kP08nblUkihrxltoGBjg/edit#gid=934712705"",""ESENCIAL!A6:BG""),8,FALSE))"),"COCINA.")</f>
        <v>COCINA.</v>
      </c>
      <c r="I34" s="25"/>
      <c r="J34" s="25"/>
      <c r="K34" s="25"/>
      <c r="L34" s="303" t="s">
        <v>44</v>
      </c>
      <c r="M34" s="31"/>
      <c r="N34" s="31"/>
      <c r="O34" s="31"/>
      <c r="P34" s="31"/>
      <c r="Q34" s="31"/>
      <c r="R34" s="32"/>
      <c r="S34" s="32"/>
      <c r="T34" s="65"/>
      <c r="U34" s="31"/>
      <c r="V34" s="28"/>
      <c r="W34" s="28"/>
      <c r="X34" s="28"/>
      <c r="Y34" s="28"/>
      <c r="Z34" s="19" t="str">
        <f t="shared" ca="1" si="0"/>
        <v>NO_CUMPLE</v>
      </c>
      <c r="AA34" s="11" t="str">
        <f ca="1">IFERROR(__xludf.DUMMYFUNCTION("IFERROR(VLOOKUP(E55&amp;F55,IMPORTRANGE(""https://docs.google.com/spreadsheets/d/1Uw7-A9f9R21vMXxHZFNpYNeKFtG8_yji4HS352LGlSQ/edit?pli=1#gid=0"",""1_ACUM!A4:S""),11,FALSE))"),"")</f>
        <v/>
      </c>
      <c r="AB34" s="20" t="str">
        <f ca="1">IFERROR(__xludf.DUMMYFUNCTION("IFERROR(VLOOKUP(F55,IMPORTRANGE(""https://docs.google.com/spreadsheets/d/1Kvs4KS76FHFqLFIZfrDMff4kP08nblUkihrxltoGBjg/edit#gid=934712705"",""ESENCIAL!A6:BG""),15,FALSE))"),"")</f>
        <v/>
      </c>
      <c r="AC34" s="21" t="str">
        <f ca="1">IFERROR(__xludf.DUMMYFUNCTION("IFERROR(VLOOKUP(E55&amp;F55,IMPORTRANGE(""https://docs.google.com/spreadsheets/d/1Uw7-A9f9R21vMXxHZFNpYNeKFtG8_yji4HS352LGlSQ/edit?pli=1#gid=0"",""1_ACUM!A4:S""),13,FALSE))"),"")</f>
        <v/>
      </c>
      <c r="AD34" s="22" t="str">
        <f ca="1">IFERROR(__xludf.DUMMYFUNCTION("IFERROR(VLOOKUP(E55&amp;F55,IMPORTRANGE(""https://docs.google.com/spreadsheets/d/1Uw7-A9f9R21vMXxHZFNpYNeKFtG8_yji4HS352LGlSQ/edit?pli=1#gid=0"",""1_ACUM!A4:S""),13,FALSE))"),"")</f>
        <v/>
      </c>
      <c r="AE34" s="22" t="str">
        <f ca="1">IFERROR(__xludf.DUMMYFUNCTION("IFERROR(VLOOKUP(E55&amp;F55,IMPORTRANGE(""https://docs.google.com/spreadsheets/d/1Uw7-A9f9R21vMXxHZFNpYNeKFtG8_yji4HS352LGlSQ/edit?pli=1#gid=0"",""1_ACUM!A4:S""),14,FALSE))"),"")</f>
        <v/>
      </c>
      <c r="AF34" s="22" t="str">
        <f ca="1">IFERROR(__xludf.DUMMYFUNCTION("IFERROR(VLOOKUP(E55&amp;F55,IMPORTRANGE(""https://docs.google.com/spreadsheets/d/1Uw7-A9f9R21vMXxHZFNpYNeKFtG8_yji4HS352LGlSQ/edit?pli=1#gid=0"",""1_ACUM!A4:S""),15,FALSE))"),"")</f>
        <v/>
      </c>
      <c r="AG34" s="22" t="str">
        <f ca="1">IFERROR(__xludf.DUMMYFUNCTION("IFERROR(VLOOKUP(E55&amp;F55,IMPORTRANGE(""https://docs.google.com/spreadsheets/d/1Uw7-A9f9R21vMXxHZFNpYNeKFtG8_yji4HS352LGlSQ/edit?pli=1#gid=0"",""1_ACUM!A4:S""),16,FALSE))"),"")</f>
        <v/>
      </c>
      <c r="AH34" s="22" t="str">
        <f ca="1">IFERROR(__xludf.DUMMYFUNCTION("IFERROR(VLOOKUP(E55&amp;F55,IMPORTRANGE(""https://docs.google.com/spreadsheets/d/1Uw7-A9f9R21vMXxHZFNpYNeKFtG8_yji4HS352LGlSQ/edit?pli=1#gid=0"",""1_ACUM!A4:S""),17,FALSE))"),"")</f>
        <v/>
      </c>
      <c r="AI34" s="23" t="str">
        <f ca="1">IFERROR(__xludf.DUMMYFUNCTION("IFERROR(VLOOKUP(E55&amp;F55,IMPORTRANGE(""https://docs.google.com/spreadsheets/d/1Uw7-A9f9R21vMXxHZFNpYNeKFtG8_yji4HS352LGlSQ/edit?pli=1#gid=0"",""1_ACUM!A4:S""),18,FALSE))"),"")</f>
        <v/>
      </c>
      <c r="AJ34" s="23" t="str">
        <f ca="1">IFERROR(__xludf.DUMMYFUNCTION("IFERROR(VLOOKUP(E55&amp;F55,IMPORTRANGE(""https://docs.google.com/spreadsheets/d/1Uw7-A9f9R21vMXxHZFNpYNeKFtG8_yji4HS352LGlSQ/edit?pli=1#gid=0"",""1_ACUM!A4:S""),19,FALSE))"),"")</f>
        <v/>
      </c>
      <c r="AK34" s="68" t="str">
        <f ca="1">IFERROR(__xludf.DUMMYFUNCTION("IFERROR(VLOOKUP(F55,IMPORTRANGE(""https://docs.google.com/spreadsheets/d/1Kvs4KS76FHFqLFIZfrDMff4kP08nblUkihrxltoGBjg/edit#gid=934712705"",""ESENCIAL!A6:BG""),5,FALSE))"),"")</f>
        <v/>
      </c>
      <c r="AL34" s="68" t="e">
        <f t="shared" ca="1" si="1"/>
        <v>#VALUE!</v>
      </c>
      <c r="AM34" s="17" t="e">
        <f t="shared" ca="1" si="2"/>
        <v>#VALUE!</v>
      </c>
      <c r="AN34" s="38" t="str">
        <f ca="1">IFERROR(__xludf.DUMMYFUNCTION("IFERROR(VLOOKUP(F55,IMPORTRANGE(""https://docs.google.com/spreadsheets/d/1Kvs4KS76FHFqLFIZfrDMff4kP08nblUkihrxltoGBjg/edit#gid=934712705"",""ESENCIAL!A6:BG""),2,FALSE))"),"")</f>
        <v/>
      </c>
      <c r="AO34" s="19" t="str">
        <f t="shared" si="3"/>
        <v>Yamboro</v>
      </c>
      <c r="AP34" s="292"/>
      <c r="AQ34" s="38"/>
    </row>
    <row r="35" spans="1:43" ht="18" customHeight="1">
      <c r="A35" s="290"/>
      <c r="B35" s="145" t="s">
        <v>25</v>
      </c>
      <c r="C35" s="25" t="s">
        <v>1070</v>
      </c>
      <c r="D35" s="25" t="s">
        <v>27</v>
      </c>
      <c r="E35" s="25">
        <v>1006515089</v>
      </c>
      <c r="F35" s="25">
        <v>2500274</v>
      </c>
      <c r="G35" s="11" t="str">
        <f ca="1">IFERROR(__xludf.DUMMYFUNCTION("IFERROR(VLOOKUP(F50,IMPORTRANGE(""https://docs.google.com/spreadsheets/d/1Kvs4KS76FHFqLFIZfrDMff4kP08nblUkihrxltoGBjg/edit#gid=934712705"",""ESENCIAL!A6:BG""),3,FALSE))"),"TÉCNICO")</f>
        <v>TÉCNICO</v>
      </c>
      <c r="H35" s="11" t="str">
        <f ca="1">IFERROR(__xludf.DUMMYFUNCTION("IFERROR(VLOOKUP(F50,IMPORTRANGE(""https://docs.google.com/spreadsheets/d/1Kvs4KS76FHFqLFIZfrDMff4kP08nblUkihrxltoGBjg/edit#gid=934712705"",""ESENCIAL!A6:BG""),8,FALSE))"),"COCINA.")</f>
        <v>COCINA.</v>
      </c>
      <c r="I35" s="25"/>
      <c r="J35" s="25"/>
      <c r="K35" s="25"/>
      <c r="L35" s="303" t="s">
        <v>44</v>
      </c>
      <c r="M35" s="31"/>
      <c r="N35" s="31"/>
      <c r="O35" s="31"/>
      <c r="P35" s="31"/>
      <c r="Q35" s="31"/>
      <c r="R35" s="32"/>
      <c r="S35" s="32"/>
      <c r="T35" s="65" t="s">
        <v>409</v>
      </c>
      <c r="U35" s="31"/>
      <c r="V35" s="28"/>
      <c r="W35" s="28"/>
      <c r="X35" s="28"/>
      <c r="Y35" s="28"/>
      <c r="Z35" s="19" t="str">
        <f t="shared" ca="1" si="0"/>
        <v>NO_CUMPLE</v>
      </c>
      <c r="AA35" s="11" t="str">
        <f ca="1">IFERROR(__xludf.DUMMYFUNCTION("IFERROR(VLOOKUP(E56&amp;F56,IMPORTRANGE(""https://docs.google.com/spreadsheets/d/1Uw7-A9f9R21vMXxHZFNpYNeKFtG8_yji4HS352LGlSQ/edit?pli=1#gid=0"",""1_ACUM!A4:S""),11,FALSE))"),"")</f>
        <v/>
      </c>
      <c r="AB35" s="20" t="str">
        <f ca="1">IFERROR(__xludf.DUMMYFUNCTION("IFERROR(VLOOKUP(F56,IMPORTRANGE(""https://docs.google.com/spreadsheets/d/1Kvs4KS76FHFqLFIZfrDMff4kP08nblUkihrxltoGBjg/edit#gid=934712705"",""ESENCIAL!A6:BG""),15,FALSE))"),"")</f>
        <v/>
      </c>
      <c r="AC35" s="21" t="str">
        <f ca="1">IFERROR(__xludf.DUMMYFUNCTION("IFERROR(VLOOKUP(E56&amp;F56,IMPORTRANGE(""https://docs.google.com/spreadsheets/d/1Uw7-A9f9R21vMXxHZFNpYNeKFtG8_yji4HS352LGlSQ/edit?pli=1#gid=0"",""1_ACUM!A4:S""),13,FALSE))"),"")</f>
        <v/>
      </c>
      <c r="AD35" s="22" t="str">
        <f ca="1">IFERROR(__xludf.DUMMYFUNCTION("IFERROR(VLOOKUP(E56&amp;F56,IMPORTRANGE(""https://docs.google.com/spreadsheets/d/1Uw7-A9f9R21vMXxHZFNpYNeKFtG8_yji4HS352LGlSQ/edit?pli=1#gid=0"",""1_ACUM!A4:S""),13,FALSE))"),"")</f>
        <v/>
      </c>
      <c r="AE35" s="22" t="str">
        <f ca="1">IFERROR(__xludf.DUMMYFUNCTION("IFERROR(VLOOKUP(E56&amp;F56,IMPORTRANGE(""https://docs.google.com/spreadsheets/d/1Uw7-A9f9R21vMXxHZFNpYNeKFtG8_yji4HS352LGlSQ/edit?pli=1#gid=0"",""1_ACUM!A4:S""),14,FALSE))"),"")</f>
        <v/>
      </c>
      <c r="AF35" s="22" t="str">
        <f ca="1">IFERROR(__xludf.DUMMYFUNCTION("IFERROR(VLOOKUP(E56&amp;F56,IMPORTRANGE(""https://docs.google.com/spreadsheets/d/1Uw7-A9f9R21vMXxHZFNpYNeKFtG8_yji4HS352LGlSQ/edit?pli=1#gid=0"",""1_ACUM!A4:S""),15,FALSE))"),"")</f>
        <v/>
      </c>
      <c r="AG35" s="22" t="str">
        <f ca="1">IFERROR(__xludf.DUMMYFUNCTION("IFERROR(VLOOKUP(E56&amp;F56,IMPORTRANGE(""https://docs.google.com/spreadsheets/d/1Uw7-A9f9R21vMXxHZFNpYNeKFtG8_yji4HS352LGlSQ/edit?pli=1#gid=0"",""1_ACUM!A4:S""),16,FALSE))"),"")</f>
        <v/>
      </c>
      <c r="AH35" s="22" t="str">
        <f ca="1">IFERROR(__xludf.DUMMYFUNCTION("IFERROR(VLOOKUP(E56&amp;F56,IMPORTRANGE(""https://docs.google.com/spreadsheets/d/1Uw7-A9f9R21vMXxHZFNpYNeKFtG8_yji4HS352LGlSQ/edit?pli=1#gid=0"",""1_ACUM!A4:S""),17,FALSE))"),"")</f>
        <v/>
      </c>
      <c r="AI35" s="23" t="str">
        <f ca="1">IFERROR(__xludf.DUMMYFUNCTION("IFERROR(VLOOKUP(E56&amp;F56,IMPORTRANGE(""https://docs.google.com/spreadsheets/d/1Uw7-A9f9R21vMXxHZFNpYNeKFtG8_yji4HS352LGlSQ/edit?pli=1#gid=0"",""1_ACUM!A4:S""),18,FALSE))"),"")</f>
        <v/>
      </c>
      <c r="AJ35" s="23" t="str">
        <f ca="1">IFERROR(__xludf.DUMMYFUNCTION("IFERROR(VLOOKUP(E56&amp;F56,IMPORTRANGE(""https://docs.google.com/spreadsheets/d/1Uw7-A9f9R21vMXxHZFNpYNeKFtG8_yji4HS352LGlSQ/edit?pli=1#gid=0"",""1_ACUM!A4:S""),19,FALSE))"),"")</f>
        <v/>
      </c>
      <c r="AK35" s="68" t="str">
        <f ca="1">IFERROR(__xludf.DUMMYFUNCTION("IFERROR(VLOOKUP(F56,IMPORTRANGE(""https://docs.google.com/spreadsheets/d/1Kvs4KS76FHFqLFIZfrDMff4kP08nblUkihrxltoGBjg/edit#gid=934712705"",""ESENCIAL!A6:BG""),5,FALSE))"),"")</f>
        <v/>
      </c>
      <c r="AL35" s="68" t="e">
        <f t="shared" ca="1" si="1"/>
        <v>#VALUE!</v>
      </c>
      <c r="AM35" s="17" t="e">
        <f t="shared" ca="1" si="2"/>
        <v>#VALUE!</v>
      </c>
      <c r="AN35" s="38" t="str">
        <f ca="1">IFERROR(__xludf.DUMMYFUNCTION("IFERROR(VLOOKUP(F56,IMPORTRANGE(""https://docs.google.com/spreadsheets/d/1Kvs4KS76FHFqLFIZfrDMff4kP08nblUkihrxltoGBjg/edit#gid=934712705"",""ESENCIAL!A6:BG""),2,FALSE))"),"")</f>
        <v/>
      </c>
      <c r="AO35" s="19" t="str">
        <f t="shared" si="3"/>
        <v>Yamboro</v>
      </c>
      <c r="AP35" s="292"/>
      <c r="AQ35" s="38"/>
    </row>
    <row r="36" spans="1:43" ht="18" customHeight="1">
      <c r="A36" s="290"/>
      <c r="B36" s="145" t="s">
        <v>25</v>
      </c>
      <c r="C36" s="25" t="s">
        <v>1071</v>
      </c>
      <c r="D36" s="25" t="s">
        <v>27</v>
      </c>
      <c r="E36" s="25">
        <v>1007695751</v>
      </c>
      <c r="F36" s="25">
        <v>2500274</v>
      </c>
      <c r="G36" s="11" t="str">
        <f ca="1">IFERROR(__xludf.DUMMYFUNCTION("IFERROR(VLOOKUP(F50,IMPORTRANGE(""https://docs.google.com/spreadsheets/d/1Kvs4KS76FHFqLFIZfrDMff4kP08nblUkihrxltoGBjg/edit#gid=934712705"",""ESENCIAL!A6:BG""),3,FALSE))"),"TÉCNICO")</f>
        <v>TÉCNICO</v>
      </c>
      <c r="H36" s="11" t="str">
        <f ca="1">IFERROR(__xludf.DUMMYFUNCTION("IFERROR(VLOOKUP(F50,IMPORTRANGE(""https://docs.google.com/spreadsheets/d/1Kvs4KS76FHFqLFIZfrDMff4kP08nblUkihrxltoGBjg/edit#gid=934712705"",""ESENCIAL!A6:BG""),8,FALSE))"),"COCINA.")</f>
        <v>COCINA.</v>
      </c>
      <c r="I36" s="25"/>
      <c r="J36" s="25"/>
      <c r="K36" s="25"/>
      <c r="L36" s="303" t="s">
        <v>44</v>
      </c>
      <c r="M36" s="31"/>
      <c r="N36" s="31"/>
      <c r="O36" s="31"/>
      <c r="P36" s="31"/>
      <c r="Q36" s="31"/>
      <c r="R36" s="32"/>
      <c r="S36" s="32"/>
      <c r="T36" s="65"/>
      <c r="U36" s="31"/>
      <c r="V36" s="28"/>
      <c r="W36" s="28"/>
      <c r="X36" s="28"/>
      <c r="Y36" s="28"/>
      <c r="Z36" s="19" t="str">
        <f t="shared" ca="1" si="0"/>
        <v>NO_CUMPLE</v>
      </c>
      <c r="AA36" s="11" t="str">
        <f ca="1">IFERROR(__xludf.DUMMYFUNCTION("IFERROR(VLOOKUP(E57&amp;F57,IMPORTRANGE(""https://docs.google.com/spreadsheets/d/1Uw7-A9f9R21vMXxHZFNpYNeKFtG8_yji4HS352LGlSQ/edit?pli=1#gid=0"",""1_ACUM!A4:S""),11,FALSE))"),"")</f>
        <v/>
      </c>
      <c r="AB36" s="20" t="str">
        <f ca="1">IFERROR(__xludf.DUMMYFUNCTION("IFERROR(VLOOKUP(F57,IMPORTRANGE(""https://docs.google.com/spreadsheets/d/1Kvs4KS76FHFqLFIZfrDMff4kP08nblUkihrxltoGBjg/edit#gid=934712705"",""ESENCIAL!A6:BG""),15,FALSE))"),"")</f>
        <v/>
      </c>
      <c r="AC36" s="21" t="str">
        <f ca="1">IFERROR(__xludf.DUMMYFUNCTION("IFERROR(VLOOKUP(E57&amp;F57,IMPORTRANGE(""https://docs.google.com/spreadsheets/d/1Uw7-A9f9R21vMXxHZFNpYNeKFtG8_yji4HS352LGlSQ/edit?pli=1#gid=0"",""1_ACUM!A4:S""),13,FALSE))"),"")</f>
        <v/>
      </c>
      <c r="AD36" s="22" t="str">
        <f ca="1">IFERROR(__xludf.DUMMYFUNCTION("IFERROR(VLOOKUP(E57&amp;F57,IMPORTRANGE(""https://docs.google.com/spreadsheets/d/1Uw7-A9f9R21vMXxHZFNpYNeKFtG8_yji4HS352LGlSQ/edit?pli=1#gid=0"",""1_ACUM!A4:S""),13,FALSE))"),"")</f>
        <v/>
      </c>
      <c r="AE36" s="22" t="str">
        <f ca="1">IFERROR(__xludf.DUMMYFUNCTION("IFERROR(VLOOKUP(E57&amp;F57,IMPORTRANGE(""https://docs.google.com/spreadsheets/d/1Uw7-A9f9R21vMXxHZFNpYNeKFtG8_yji4HS352LGlSQ/edit?pli=1#gid=0"",""1_ACUM!A4:S""),14,FALSE))"),"")</f>
        <v/>
      </c>
      <c r="AF36" s="22" t="str">
        <f ca="1">IFERROR(__xludf.DUMMYFUNCTION("IFERROR(VLOOKUP(E57&amp;F57,IMPORTRANGE(""https://docs.google.com/spreadsheets/d/1Uw7-A9f9R21vMXxHZFNpYNeKFtG8_yji4HS352LGlSQ/edit?pli=1#gid=0"",""1_ACUM!A4:S""),15,FALSE))"),"")</f>
        <v/>
      </c>
      <c r="AG36" s="22" t="str">
        <f ca="1">IFERROR(__xludf.DUMMYFUNCTION("IFERROR(VLOOKUP(E57&amp;F57,IMPORTRANGE(""https://docs.google.com/spreadsheets/d/1Uw7-A9f9R21vMXxHZFNpYNeKFtG8_yji4HS352LGlSQ/edit?pli=1#gid=0"",""1_ACUM!A4:S""),16,FALSE))"),"")</f>
        <v/>
      </c>
      <c r="AH36" s="22" t="str">
        <f ca="1">IFERROR(__xludf.DUMMYFUNCTION("IFERROR(VLOOKUP(E57&amp;F57,IMPORTRANGE(""https://docs.google.com/spreadsheets/d/1Uw7-A9f9R21vMXxHZFNpYNeKFtG8_yji4HS352LGlSQ/edit?pli=1#gid=0"",""1_ACUM!A4:S""),17,FALSE))"),"")</f>
        <v/>
      </c>
      <c r="AI36" s="23" t="str">
        <f ca="1">IFERROR(__xludf.DUMMYFUNCTION("IFERROR(VLOOKUP(E57&amp;F57,IMPORTRANGE(""https://docs.google.com/spreadsheets/d/1Uw7-A9f9R21vMXxHZFNpYNeKFtG8_yji4HS352LGlSQ/edit?pli=1#gid=0"",""1_ACUM!A4:S""),18,FALSE))"),"")</f>
        <v/>
      </c>
      <c r="AJ36" s="23" t="str">
        <f ca="1">IFERROR(__xludf.DUMMYFUNCTION("IFERROR(VLOOKUP(E57&amp;F57,IMPORTRANGE(""https://docs.google.com/spreadsheets/d/1Uw7-A9f9R21vMXxHZFNpYNeKFtG8_yji4HS352LGlSQ/edit?pli=1#gid=0"",""1_ACUM!A4:S""),19,FALSE))"),"")</f>
        <v/>
      </c>
      <c r="AK36" s="68" t="str">
        <f ca="1">IFERROR(__xludf.DUMMYFUNCTION("IFERROR(VLOOKUP(F57,IMPORTRANGE(""https://docs.google.com/spreadsheets/d/1Kvs4KS76FHFqLFIZfrDMff4kP08nblUkihrxltoGBjg/edit#gid=934712705"",""ESENCIAL!A6:BG""),5,FALSE))"),"")</f>
        <v/>
      </c>
      <c r="AL36" s="68" t="e">
        <f t="shared" ca="1" si="1"/>
        <v>#VALUE!</v>
      </c>
      <c r="AM36" s="17" t="e">
        <f t="shared" ca="1" si="2"/>
        <v>#VALUE!</v>
      </c>
      <c r="AN36" s="38" t="str">
        <f ca="1">IFERROR(__xludf.DUMMYFUNCTION("IFERROR(VLOOKUP(F57,IMPORTRANGE(""https://docs.google.com/spreadsheets/d/1Kvs4KS76FHFqLFIZfrDMff4kP08nblUkihrxltoGBjg/edit#gid=934712705"",""ESENCIAL!A6:BG""),2,FALSE))"),"")</f>
        <v/>
      </c>
      <c r="AO36" s="19" t="str">
        <f t="shared" si="3"/>
        <v>Yamboro</v>
      </c>
      <c r="AP36" s="292"/>
      <c r="AQ36" s="38"/>
    </row>
    <row r="37" spans="1:43" ht="18" customHeight="1">
      <c r="A37" s="290"/>
      <c r="B37" s="145" t="s">
        <v>25</v>
      </c>
      <c r="C37" s="25" t="s">
        <v>1072</v>
      </c>
      <c r="D37" s="25" t="s">
        <v>27</v>
      </c>
      <c r="E37" s="25">
        <v>1007745499</v>
      </c>
      <c r="F37" s="25">
        <v>2500274</v>
      </c>
      <c r="G37" s="11" t="str">
        <f ca="1">IFERROR(__xludf.DUMMYFUNCTION("IFERROR(VLOOKUP(F50,IMPORTRANGE(""https://docs.google.com/spreadsheets/d/1Kvs4KS76FHFqLFIZfrDMff4kP08nblUkihrxltoGBjg/edit#gid=934712705"",""ESENCIAL!A6:BG""),3,FALSE))"),"TÉCNICO")</f>
        <v>TÉCNICO</v>
      </c>
      <c r="H37" s="11" t="str">
        <f ca="1">IFERROR(__xludf.DUMMYFUNCTION("IFERROR(VLOOKUP(F50,IMPORTRANGE(""https://docs.google.com/spreadsheets/d/1Kvs4KS76FHFqLFIZfrDMff4kP08nblUkihrxltoGBjg/edit#gid=934712705"",""ESENCIAL!A6:BG""),8,FALSE))"),"COCINA.")</f>
        <v>COCINA.</v>
      </c>
      <c r="I37" s="25"/>
      <c r="J37" s="25"/>
      <c r="K37" s="25"/>
      <c r="L37" s="303" t="s">
        <v>44</v>
      </c>
      <c r="M37" s="31"/>
      <c r="N37" s="31"/>
      <c r="O37" s="31"/>
      <c r="P37" s="31"/>
      <c r="Q37" s="31"/>
      <c r="R37" s="32"/>
      <c r="S37" s="32"/>
      <c r="T37" s="65"/>
      <c r="U37" s="31"/>
      <c r="V37" s="28"/>
      <c r="W37" s="28"/>
      <c r="X37" s="28"/>
      <c r="Y37" s="28"/>
      <c r="Z37" s="19" t="str">
        <f t="shared" ca="1" si="0"/>
        <v>NO_CUMPLE</v>
      </c>
      <c r="AA37" s="11" t="str">
        <f ca="1">IFERROR(__xludf.DUMMYFUNCTION("IFERROR(VLOOKUP(E58&amp;F58,IMPORTRANGE(""https://docs.google.com/spreadsheets/d/1Uw7-A9f9R21vMXxHZFNpYNeKFtG8_yji4HS352LGlSQ/edit?pli=1#gid=0"",""1_ACUM!A4:S""),11,FALSE))"),"")</f>
        <v/>
      </c>
      <c r="AB37" s="20" t="str">
        <f ca="1">IFERROR(__xludf.DUMMYFUNCTION("IFERROR(VLOOKUP(F58,IMPORTRANGE(""https://docs.google.com/spreadsheets/d/1Kvs4KS76FHFqLFIZfrDMff4kP08nblUkihrxltoGBjg/edit#gid=934712705"",""ESENCIAL!A6:BG""),15,FALSE))"),"")</f>
        <v/>
      </c>
      <c r="AC37" s="21" t="str">
        <f ca="1">IFERROR(__xludf.DUMMYFUNCTION("IFERROR(VLOOKUP(E58&amp;F58,IMPORTRANGE(""https://docs.google.com/spreadsheets/d/1Uw7-A9f9R21vMXxHZFNpYNeKFtG8_yji4HS352LGlSQ/edit?pli=1#gid=0"",""1_ACUM!A4:S""),13,FALSE))"),"")</f>
        <v/>
      </c>
      <c r="AD37" s="22" t="str">
        <f ca="1">IFERROR(__xludf.DUMMYFUNCTION("IFERROR(VLOOKUP(E58&amp;F58,IMPORTRANGE(""https://docs.google.com/spreadsheets/d/1Uw7-A9f9R21vMXxHZFNpYNeKFtG8_yji4HS352LGlSQ/edit?pli=1#gid=0"",""1_ACUM!A4:S""),13,FALSE))"),"")</f>
        <v/>
      </c>
      <c r="AE37" s="22" t="str">
        <f ca="1">IFERROR(__xludf.DUMMYFUNCTION("IFERROR(VLOOKUP(E58&amp;F58,IMPORTRANGE(""https://docs.google.com/spreadsheets/d/1Uw7-A9f9R21vMXxHZFNpYNeKFtG8_yji4HS352LGlSQ/edit?pli=1#gid=0"",""1_ACUM!A4:S""),14,FALSE))"),"")</f>
        <v/>
      </c>
      <c r="AF37" s="22" t="str">
        <f ca="1">IFERROR(__xludf.DUMMYFUNCTION("IFERROR(VLOOKUP(E58&amp;F58,IMPORTRANGE(""https://docs.google.com/spreadsheets/d/1Uw7-A9f9R21vMXxHZFNpYNeKFtG8_yji4HS352LGlSQ/edit?pli=1#gid=0"",""1_ACUM!A4:S""),15,FALSE))"),"")</f>
        <v/>
      </c>
      <c r="AG37" s="22" t="str">
        <f ca="1">IFERROR(__xludf.DUMMYFUNCTION("IFERROR(VLOOKUP(E58&amp;F58,IMPORTRANGE(""https://docs.google.com/spreadsheets/d/1Uw7-A9f9R21vMXxHZFNpYNeKFtG8_yji4HS352LGlSQ/edit?pli=1#gid=0"",""1_ACUM!A4:S""),16,FALSE))"),"")</f>
        <v/>
      </c>
      <c r="AH37" s="22" t="str">
        <f ca="1">IFERROR(__xludf.DUMMYFUNCTION("IFERROR(VLOOKUP(E58&amp;F58,IMPORTRANGE(""https://docs.google.com/spreadsheets/d/1Uw7-A9f9R21vMXxHZFNpYNeKFtG8_yji4HS352LGlSQ/edit?pli=1#gid=0"",""1_ACUM!A4:S""),17,FALSE))"),"")</f>
        <v/>
      </c>
      <c r="AI37" s="23" t="str">
        <f ca="1">IFERROR(__xludf.DUMMYFUNCTION("IFERROR(VLOOKUP(E58&amp;F58,IMPORTRANGE(""https://docs.google.com/spreadsheets/d/1Uw7-A9f9R21vMXxHZFNpYNeKFtG8_yji4HS352LGlSQ/edit?pli=1#gid=0"",""1_ACUM!A4:S""),18,FALSE))"),"")</f>
        <v/>
      </c>
      <c r="AJ37" s="23" t="str">
        <f ca="1">IFERROR(__xludf.DUMMYFUNCTION("IFERROR(VLOOKUP(E58&amp;F58,IMPORTRANGE(""https://docs.google.com/spreadsheets/d/1Uw7-A9f9R21vMXxHZFNpYNeKFtG8_yji4HS352LGlSQ/edit?pli=1#gid=0"",""1_ACUM!A4:S""),19,FALSE))"),"")</f>
        <v/>
      </c>
      <c r="AK37" s="68" t="str">
        <f ca="1">IFERROR(__xludf.DUMMYFUNCTION("IFERROR(VLOOKUP(F58,IMPORTRANGE(""https://docs.google.com/spreadsheets/d/1Kvs4KS76FHFqLFIZfrDMff4kP08nblUkihrxltoGBjg/edit#gid=934712705"",""ESENCIAL!A6:BG""),5,FALSE))"),"")</f>
        <v/>
      </c>
      <c r="AL37" s="68" t="e">
        <f t="shared" ca="1" si="1"/>
        <v>#VALUE!</v>
      </c>
      <c r="AM37" s="17" t="e">
        <f t="shared" ca="1" si="2"/>
        <v>#VALUE!</v>
      </c>
      <c r="AN37" s="38" t="str">
        <f ca="1">IFERROR(__xludf.DUMMYFUNCTION("IFERROR(VLOOKUP(F58,IMPORTRANGE(""https://docs.google.com/spreadsheets/d/1Kvs4KS76FHFqLFIZfrDMff4kP08nblUkihrxltoGBjg/edit#gid=934712705"",""ESENCIAL!A6:BG""),2,FALSE))"),"")</f>
        <v/>
      </c>
      <c r="AO37" s="19" t="str">
        <f t="shared" si="3"/>
        <v>Yamboro</v>
      </c>
      <c r="AP37" s="292"/>
      <c r="AQ37" s="38"/>
    </row>
    <row r="38" spans="1:43" ht="18" customHeight="1">
      <c r="A38" s="290"/>
      <c r="B38" s="145" t="s">
        <v>25</v>
      </c>
      <c r="C38" s="25" t="s">
        <v>1073</v>
      </c>
      <c r="D38" s="25" t="s">
        <v>67</v>
      </c>
      <c r="E38" s="25">
        <v>1080930426</v>
      </c>
      <c r="F38" s="25">
        <v>2500274</v>
      </c>
      <c r="G38" s="11" t="str">
        <f ca="1">IFERROR(__xludf.DUMMYFUNCTION("IFERROR(VLOOKUP(F50,IMPORTRANGE(""https://docs.google.com/spreadsheets/d/1Kvs4KS76FHFqLFIZfrDMff4kP08nblUkihrxltoGBjg/edit#gid=934712705"",""ESENCIAL!A6:BG""),3,FALSE))"),"TÉCNICO")</f>
        <v>TÉCNICO</v>
      </c>
      <c r="H38" s="11" t="str">
        <f ca="1">IFERROR(__xludf.DUMMYFUNCTION("IFERROR(VLOOKUP(F50,IMPORTRANGE(""https://docs.google.com/spreadsheets/d/1Kvs4KS76FHFqLFIZfrDMff4kP08nblUkihrxltoGBjg/edit#gid=934712705"",""ESENCIAL!A6:BG""),8,FALSE))"),"COCINA.")</f>
        <v>COCINA.</v>
      </c>
      <c r="I38" s="25"/>
      <c r="J38" s="25"/>
      <c r="K38" s="25"/>
      <c r="L38" s="303" t="s">
        <v>44</v>
      </c>
      <c r="M38" s="31"/>
      <c r="N38" s="31"/>
      <c r="O38" s="31"/>
      <c r="P38" s="31"/>
      <c r="Q38" s="31"/>
      <c r="R38" s="32"/>
      <c r="S38" s="32"/>
      <c r="T38" s="65"/>
      <c r="U38" s="31"/>
      <c r="V38" s="28"/>
      <c r="W38" s="28"/>
      <c r="X38" s="28"/>
      <c r="Y38" s="28"/>
      <c r="Z38" s="19" t="str">
        <f t="shared" ca="1" si="0"/>
        <v>NO_CUMPLE</v>
      </c>
      <c r="AA38" s="11" t="str">
        <f ca="1">IFERROR(__xludf.DUMMYFUNCTION("IFERROR(VLOOKUP(E60&amp;F60,IMPORTRANGE(""https://docs.google.com/spreadsheets/d/1Uw7-A9f9R21vMXxHZFNpYNeKFtG8_yji4HS352LGlSQ/edit?pli=1#gid=0"",""1_ACUM!A4:S""),11,FALSE))"),"")</f>
        <v/>
      </c>
      <c r="AB38" s="20" t="str">
        <f ca="1">IFERROR(__xludf.DUMMYFUNCTION("IFERROR(VLOOKUP(F60,IMPORTRANGE(""https://docs.google.com/spreadsheets/d/1Kvs4KS76FHFqLFIZfrDMff4kP08nblUkihrxltoGBjg/edit#gid=934712705"",""ESENCIAL!A6:BG""),15,FALSE))"),"")</f>
        <v/>
      </c>
      <c r="AC38" s="21" t="str">
        <f ca="1">IFERROR(__xludf.DUMMYFUNCTION("IFERROR(VLOOKUP(E60&amp;F60,IMPORTRANGE(""https://docs.google.com/spreadsheets/d/1Uw7-A9f9R21vMXxHZFNpYNeKFtG8_yji4HS352LGlSQ/edit?pli=1#gid=0"",""1_ACUM!A4:S""),13,FALSE))"),"")</f>
        <v/>
      </c>
      <c r="AD38" s="22" t="str">
        <f ca="1">IFERROR(__xludf.DUMMYFUNCTION("IFERROR(VLOOKUP(E60&amp;F60,IMPORTRANGE(""https://docs.google.com/spreadsheets/d/1Uw7-A9f9R21vMXxHZFNpYNeKFtG8_yji4HS352LGlSQ/edit?pli=1#gid=0"",""1_ACUM!A4:S""),13,FALSE))"),"")</f>
        <v/>
      </c>
      <c r="AE38" s="22" t="str">
        <f ca="1">IFERROR(__xludf.DUMMYFUNCTION("IFERROR(VLOOKUP(E60&amp;F60,IMPORTRANGE(""https://docs.google.com/spreadsheets/d/1Uw7-A9f9R21vMXxHZFNpYNeKFtG8_yji4HS352LGlSQ/edit?pli=1#gid=0"",""1_ACUM!A4:S""),14,FALSE))"),"")</f>
        <v/>
      </c>
      <c r="AF38" s="22" t="str">
        <f ca="1">IFERROR(__xludf.DUMMYFUNCTION("IFERROR(VLOOKUP(E60&amp;F60,IMPORTRANGE(""https://docs.google.com/spreadsheets/d/1Uw7-A9f9R21vMXxHZFNpYNeKFtG8_yji4HS352LGlSQ/edit?pli=1#gid=0"",""1_ACUM!A4:S""),15,FALSE))"),"")</f>
        <v/>
      </c>
      <c r="AG38" s="22" t="str">
        <f ca="1">IFERROR(__xludf.DUMMYFUNCTION("IFERROR(VLOOKUP(E60&amp;F60,IMPORTRANGE(""https://docs.google.com/spreadsheets/d/1Uw7-A9f9R21vMXxHZFNpYNeKFtG8_yji4HS352LGlSQ/edit?pli=1#gid=0"",""1_ACUM!A4:S""),16,FALSE))"),"")</f>
        <v/>
      </c>
      <c r="AH38" s="22" t="str">
        <f ca="1">IFERROR(__xludf.DUMMYFUNCTION("IFERROR(VLOOKUP(E60&amp;F60,IMPORTRANGE(""https://docs.google.com/spreadsheets/d/1Uw7-A9f9R21vMXxHZFNpYNeKFtG8_yji4HS352LGlSQ/edit?pli=1#gid=0"",""1_ACUM!A4:S""),17,FALSE))"),"")</f>
        <v/>
      </c>
      <c r="AI38" s="23" t="str">
        <f ca="1">IFERROR(__xludf.DUMMYFUNCTION("IFERROR(VLOOKUP(E60&amp;F60,IMPORTRANGE(""https://docs.google.com/spreadsheets/d/1Uw7-A9f9R21vMXxHZFNpYNeKFtG8_yji4HS352LGlSQ/edit?pli=1#gid=0"",""1_ACUM!A4:S""),18,FALSE))"),"")</f>
        <v/>
      </c>
      <c r="AJ38" s="23" t="str">
        <f ca="1">IFERROR(__xludf.DUMMYFUNCTION("IFERROR(VLOOKUP(E60&amp;F60,IMPORTRANGE(""https://docs.google.com/spreadsheets/d/1Uw7-A9f9R21vMXxHZFNpYNeKFtG8_yji4HS352LGlSQ/edit?pli=1#gid=0"",""1_ACUM!A4:S""),19,FALSE))"),"")</f>
        <v/>
      </c>
      <c r="AK38" s="68" t="str">
        <f ca="1">IFERROR(__xludf.DUMMYFUNCTION("IFERROR(VLOOKUP(F60,IMPORTRANGE(""https://docs.google.com/spreadsheets/d/1Kvs4KS76FHFqLFIZfrDMff4kP08nblUkihrxltoGBjg/edit#gid=934712705"",""ESENCIAL!A6:BG""),5,FALSE))"),"")</f>
        <v/>
      </c>
      <c r="AL38" s="68" t="e">
        <f t="shared" ca="1" si="1"/>
        <v>#VALUE!</v>
      </c>
      <c r="AM38" s="17" t="e">
        <f t="shared" ca="1" si="2"/>
        <v>#VALUE!</v>
      </c>
      <c r="AN38" s="38" t="str">
        <f ca="1">IFERROR(__xludf.DUMMYFUNCTION("IFERROR(VLOOKUP(F60,IMPORTRANGE(""https://docs.google.com/spreadsheets/d/1Kvs4KS76FHFqLFIZfrDMff4kP08nblUkihrxltoGBjg/edit#gid=934712705"",""ESENCIAL!A6:BG""),2,FALSE))"),"")</f>
        <v/>
      </c>
      <c r="AO38" s="19" t="str">
        <f t="shared" si="3"/>
        <v>Yamboro</v>
      </c>
      <c r="AP38" s="292"/>
      <c r="AQ38" s="38"/>
    </row>
    <row r="39" spans="1:43" ht="18" customHeight="1">
      <c r="A39" s="290"/>
      <c r="B39" s="145" t="s">
        <v>25</v>
      </c>
      <c r="C39" s="25" t="s">
        <v>1074</v>
      </c>
      <c r="D39" s="25" t="s">
        <v>67</v>
      </c>
      <c r="E39" s="25">
        <v>1080930754</v>
      </c>
      <c r="F39" s="25">
        <v>2500274</v>
      </c>
      <c r="G39" s="11" t="str">
        <f ca="1">IFERROR(__xludf.DUMMYFUNCTION("IFERROR(VLOOKUP(F50,IMPORTRANGE(""https://docs.google.com/spreadsheets/d/1Kvs4KS76FHFqLFIZfrDMff4kP08nblUkihrxltoGBjg/edit#gid=934712705"",""ESENCIAL!A6:BG""),3,FALSE))"),"TÉCNICO")</f>
        <v>TÉCNICO</v>
      </c>
      <c r="H39" s="11" t="str">
        <f ca="1">IFERROR(__xludf.DUMMYFUNCTION("IFERROR(VLOOKUP(F50,IMPORTRANGE(""https://docs.google.com/spreadsheets/d/1Kvs4KS76FHFqLFIZfrDMff4kP08nblUkihrxltoGBjg/edit#gid=934712705"",""ESENCIAL!A6:BG""),8,FALSE))"),"COCINA.")</f>
        <v>COCINA.</v>
      </c>
      <c r="I39" s="25"/>
      <c r="J39" s="25"/>
      <c r="K39" s="25"/>
      <c r="L39" s="303" t="s">
        <v>44</v>
      </c>
      <c r="M39" s="31"/>
      <c r="N39" s="31"/>
      <c r="O39" s="31"/>
      <c r="P39" s="31"/>
      <c r="Q39" s="31"/>
      <c r="R39" s="32"/>
      <c r="S39" s="344"/>
      <c r="T39" s="65"/>
      <c r="U39" s="31"/>
      <c r="V39" s="28"/>
      <c r="W39" s="28"/>
      <c r="X39" s="28"/>
      <c r="Y39" s="28"/>
      <c r="Z39" s="19" t="str">
        <f t="shared" ca="1" si="0"/>
        <v>NO_CUMPLE</v>
      </c>
      <c r="AA39" s="11" t="str">
        <f ca="1">IFERROR(__xludf.DUMMYFUNCTION("IFERROR(VLOOKUP(E61&amp;F61,IMPORTRANGE(""https://docs.google.com/spreadsheets/d/1Uw7-A9f9R21vMXxHZFNpYNeKFtG8_yji4HS352LGlSQ/edit?pli=1#gid=0"",""1_ACUM!A4:S""),11,FALSE))"),"")</f>
        <v/>
      </c>
      <c r="AB39" s="20" t="str">
        <f ca="1">IFERROR(__xludf.DUMMYFUNCTION("IFERROR(VLOOKUP(F61,IMPORTRANGE(""https://docs.google.com/spreadsheets/d/1Kvs4KS76FHFqLFIZfrDMff4kP08nblUkihrxltoGBjg/edit#gid=934712705"",""ESENCIAL!A6:BG""),15,FALSE))"),"")</f>
        <v/>
      </c>
      <c r="AC39" s="21" t="str">
        <f ca="1">IFERROR(__xludf.DUMMYFUNCTION("IFERROR(VLOOKUP(E61&amp;F61,IMPORTRANGE(""https://docs.google.com/spreadsheets/d/1Uw7-A9f9R21vMXxHZFNpYNeKFtG8_yji4HS352LGlSQ/edit?pli=1#gid=0"",""1_ACUM!A4:S""),13,FALSE))"),"")</f>
        <v/>
      </c>
      <c r="AD39" s="22" t="str">
        <f ca="1">IFERROR(__xludf.DUMMYFUNCTION("IFERROR(VLOOKUP(E61&amp;F61,IMPORTRANGE(""https://docs.google.com/spreadsheets/d/1Uw7-A9f9R21vMXxHZFNpYNeKFtG8_yji4HS352LGlSQ/edit?pli=1#gid=0"",""1_ACUM!A4:S""),13,FALSE))"),"")</f>
        <v/>
      </c>
      <c r="AE39" s="22" t="str">
        <f ca="1">IFERROR(__xludf.DUMMYFUNCTION("IFERROR(VLOOKUP(E61&amp;F61,IMPORTRANGE(""https://docs.google.com/spreadsheets/d/1Uw7-A9f9R21vMXxHZFNpYNeKFtG8_yji4HS352LGlSQ/edit?pli=1#gid=0"",""1_ACUM!A4:S""),14,FALSE))"),"")</f>
        <v/>
      </c>
      <c r="AF39" s="22" t="str">
        <f ca="1">IFERROR(__xludf.DUMMYFUNCTION("IFERROR(VLOOKUP(E61&amp;F61,IMPORTRANGE(""https://docs.google.com/spreadsheets/d/1Uw7-A9f9R21vMXxHZFNpYNeKFtG8_yji4HS352LGlSQ/edit?pli=1#gid=0"",""1_ACUM!A4:S""),15,FALSE))"),"")</f>
        <v/>
      </c>
      <c r="AG39" s="22" t="str">
        <f ca="1">IFERROR(__xludf.DUMMYFUNCTION("IFERROR(VLOOKUP(E61&amp;F61,IMPORTRANGE(""https://docs.google.com/spreadsheets/d/1Uw7-A9f9R21vMXxHZFNpYNeKFtG8_yji4HS352LGlSQ/edit?pli=1#gid=0"",""1_ACUM!A4:S""),16,FALSE))"),"")</f>
        <v/>
      </c>
      <c r="AH39" s="22" t="str">
        <f ca="1">IFERROR(__xludf.DUMMYFUNCTION("IFERROR(VLOOKUP(E61&amp;F61,IMPORTRANGE(""https://docs.google.com/spreadsheets/d/1Uw7-A9f9R21vMXxHZFNpYNeKFtG8_yji4HS352LGlSQ/edit?pli=1#gid=0"",""1_ACUM!A4:S""),17,FALSE))"),"")</f>
        <v/>
      </c>
      <c r="AI39" s="23" t="str">
        <f ca="1">IFERROR(__xludf.DUMMYFUNCTION("IFERROR(VLOOKUP(E61&amp;F61,IMPORTRANGE(""https://docs.google.com/spreadsheets/d/1Uw7-A9f9R21vMXxHZFNpYNeKFtG8_yji4HS352LGlSQ/edit?pli=1#gid=0"",""1_ACUM!A4:S""),18,FALSE))"),"")</f>
        <v/>
      </c>
      <c r="AJ39" s="23" t="str">
        <f ca="1">IFERROR(__xludf.DUMMYFUNCTION("IFERROR(VLOOKUP(E61&amp;F61,IMPORTRANGE(""https://docs.google.com/spreadsheets/d/1Uw7-A9f9R21vMXxHZFNpYNeKFtG8_yji4HS352LGlSQ/edit?pli=1#gid=0"",""1_ACUM!A4:S""),19,FALSE))"),"")</f>
        <v/>
      </c>
      <c r="AK39" s="68" t="str">
        <f ca="1">IFERROR(__xludf.DUMMYFUNCTION("IFERROR(VLOOKUP(F61,IMPORTRANGE(""https://docs.google.com/spreadsheets/d/1Kvs4KS76FHFqLFIZfrDMff4kP08nblUkihrxltoGBjg/edit#gid=934712705"",""ESENCIAL!A6:BG""),5,FALSE))"),"")</f>
        <v/>
      </c>
      <c r="AL39" s="68" t="e">
        <f t="shared" ca="1" si="1"/>
        <v>#VALUE!</v>
      </c>
      <c r="AM39" s="17" t="e">
        <f t="shared" ca="1" si="2"/>
        <v>#VALUE!</v>
      </c>
      <c r="AN39" s="38" t="str">
        <f ca="1">IFERROR(__xludf.DUMMYFUNCTION("IFERROR(VLOOKUP(F61,IMPORTRANGE(""https://docs.google.com/spreadsheets/d/1Kvs4KS76FHFqLFIZfrDMff4kP08nblUkihrxltoGBjg/edit#gid=934712705"",""ESENCIAL!A6:BG""),2,FALSE))"),"")</f>
        <v/>
      </c>
      <c r="AO39" s="19" t="str">
        <f t="shared" si="3"/>
        <v>Yamboro</v>
      </c>
      <c r="AP39" s="292"/>
      <c r="AQ39" s="38"/>
    </row>
    <row r="40" spans="1:43" ht="18" customHeight="1">
      <c r="A40" s="300" t="s">
        <v>990</v>
      </c>
      <c r="B40" s="145" t="s">
        <v>25</v>
      </c>
      <c r="C40" s="25" t="s">
        <v>1075</v>
      </c>
      <c r="D40" s="25" t="s">
        <v>27</v>
      </c>
      <c r="E40" s="25">
        <v>1083864224</v>
      </c>
      <c r="F40" s="25">
        <v>2500274</v>
      </c>
      <c r="G40" s="11" t="str">
        <f ca="1">IFERROR(__xludf.DUMMYFUNCTION("IFERROR(VLOOKUP(F50,IMPORTRANGE(""https://docs.google.com/spreadsheets/d/1Kvs4KS76FHFqLFIZfrDMff4kP08nblUkihrxltoGBjg/edit#gid=934712705"",""ESENCIAL!A6:BG""),3,FALSE))"),"TÉCNICO")</f>
        <v>TÉCNICO</v>
      </c>
      <c r="H40" s="11" t="str">
        <f ca="1">IFERROR(__xludf.DUMMYFUNCTION("IFERROR(VLOOKUP(F50,IMPORTRANGE(""https://docs.google.com/spreadsheets/d/1Kvs4KS76FHFqLFIZfrDMff4kP08nblUkihrxltoGBjg/edit#gid=934712705"",""ESENCIAL!A6:BG""),8,FALSE))"),"COCINA.")</f>
        <v>COCINA.</v>
      </c>
      <c r="I40" s="25">
        <v>3204321324</v>
      </c>
      <c r="J40" s="343" t="s">
        <v>1076</v>
      </c>
      <c r="K40" s="25" t="s">
        <v>84</v>
      </c>
      <c r="L40" s="345" t="s">
        <v>28</v>
      </c>
      <c r="M40" s="31" t="s">
        <v>1077</v>
      </c>
      <c r="N40" s="31" t="s">
        <v>1078</v>
      </c>
      <c r="O40" s="31">
        <v>3166279247</v>
      </c>
      <c r="P40" s="31" t="s">
        <v>84</v>
      </c>
      <c r="Q40" s="191" t="s">
        <v>1079</v>
      </c>
      <c r="R40" s="344" t="s">
        <v>983</v>
      </c>
      <c r="S40" s="344" t="s">
        <v>1080</v>
      </c>
      <c r="T40" s="65"/>
      <c r="U40" s="31"/>
      <c r="V40" s="28"/>
      <c r="W40" s="28"/>
      <c r="X40" s="28"/>
      <c r="Y40" s="28"/>
      <c r="Z40" s="19" t="str">
        <f t="shared" ca="1" si="0"/>
        <v>NO_CUMPLE</v>
      </c>
      <c r="AA40" s="11" t="str">
        <f ca="1">IFERROR(__xludf.DUMMYFUNCTION("IFERROR(VLOOKUP(E62&amp;F62,IMPORTRANGE(""https://docs.google.com/spreadsheets/d/1Uw7-A9f9R21vMXxHZFNpYNeKFtG8_yji4HS352LGlSQ/edit?pli=1#gid=0"",""1_ACUM!A4:S""),11,FALSE))"),"")</f>
        <v/>
      </c>
      <c r="AB40" s="20" t="str">
        <f ca="1">IFERROR(__xludf.DUMMYFUNCTION("IFERROR(VLOOKUP(F62,IMPORTRANGE(""https://docs.google.com/spreadsheets/d/1Kvs4KS76FHFqLFIZfrDMff4kP08nblUkihrxltoGBjg/edit#gid=934712705"",""ESENCIAL!A6:BG""),15,FALSE))"),"")</f>
        <v/>
      </c>
      <c r="AC40" s="21" t="str">
        <f ca="1">IFERROR(__xludf.DUMMYFUNCTION("IFERROR(VLOOKUP(E62&amp;F62,IMPORTRANGE(""https://docs.google.com/spreadsheets/d/1Uw7-A9f9R21vMXxHZFNpYNeKFtG8_yji4HS352LGlSQ/edit?pli=1#gid=0"",""1_ACUM!A4:S""),13,FALSE))"),"")</f>
        <v/>
      </c>
      <c r="AD40" s="22" t="str">
        <f ca="1">IFERROR(__xludf.DUMMYFUNCTION("IFERROR(VLOOKUP(E62&amp;F62,IMPORTRANGE(""https://docs.google.com/spreadsheets/d/1Uw7-A9f9R21vMXxHZFNpYNeKFtG8_yji4HS352LGlSQ/edit?pli=1#gid=0"",""1_ACUM!A4:S""),13,FALSE))"),"")</f>
        <v/>
      </c>
      <c r="AE40" s="22" t="str">
        <f ca="1">IFERROR(__xludf.DUMMYFUNCTION("IFERROR(VLOOKUP(E62&amp;F62,IMPORTRANGE(""https://docs.google.com/spreadsheets/d/1Uw7-A9f9R21vMXxHZFNpYNeKFtG8_yji4HS352LGlSQ/edit?pli=1#gid=0"",""1_ACUM!A4:S""),14,FALSE))"),"")</f>
        <v/>
      </c>
      <c r="AF40" s="22" t="str">
        <f ca="1">IFERROR(__xludf.DUMMYFUNCTION("IFERROR(VLOOKUP(E62&amp;F62,IMPORTRANGE(""https://docs.google.com/spreadsheets/d/1Uw7-A9f9R21vMXxHZFNpYNeKFtG8_yji4HS352LGlSQ/edit?pli=1#gid=0"",""1_ACUM!A4:S""),15,FALSE))"),"")</f>
        <v/>
      </c>
      <c r="AG40" s="22" t="str">
        <f ca="1">IFERROR(__xludf.DUMMYFUNCTION("IFERROR(VLOOKUP(E62&amp;F62,IMPORTRANGE(""https://docs.google.com/spreadsheets/d/1Uw7-A9f9R21vMXxHZFNpYNeKFtG8_yji4HS352LGlSQ/edit?pli=1#gid=0"",""1_ACUM!A4:S""),16,FALSE))"),"")</f>
        <v/>
      </c>
      <c r="AH40" s="22" t="str">
        <f ca="1">IFERROR(__xludf.DUMMYFUNCTION("IFERROR(VLOOKUP(E62&amp;F62,IMPORTRANGE(""https://docs.google.com/spreadsheets/d/1Uw7-A9f9R21vMXxHZFNpYNeKFtG8_yji4HS352LGlSQ/edit?pli=1#gid=0"",""1_ACUM!A4:S""),17,FALSE))"),"")</f>
        <v/>
      </c>
      <c r="AI40" s="23" t="str">
        <f ca="1">IFERROR(__xludf.DUMMYFUNCTION("IFERROR(VLOOKUP(E62&amp;F62,IMPORTRANGE(""https://docs.google.com/spreadsheets/d/1Uw7-A9f9R21vMXxHZFNpYNeKFtG8_yji4HS352LGlSQ/edit?pli=1#gid=0"",""1_ACUM!A4:S""),18,FALSE))"),"")</f>
        <v/>
      </c>
      <c r="AJ40" s="23" t="str">
        <f ca="1">IFERROR(__xludf.DUMMYFUNCTION("IFERROR(VLOOKUP(E62&amp;F62,IMPORTRANGE(""https://docs.google.com/spreadsheets/d/1Uw7-A9f9R21vMXxHZFNpYNeKFtG8_yji4HS352LGlSQ/edit?pli=1#gid=0"",""1_ACUM!A4:S""),19,FALSE))"),"")</f>
        <v/>
      </c>
      <c r="AK40" s="68" t="str">
        <f ca="1">IFERROR(__xludf.DUMMYFUNCTION("IFERROR(VLOOKUP(F62,IMPORTRANGE(""https://docs.google.com/spreadsheets/d/1Kvs4KS76FHFqLFIZfrDMff4kP08nblUkihrxltoGBjg/edit#gid=934712705"",""ESENCIAL!A6:BG""),5,FALSE))"),"")</f>
        <v/>
      </c>
      <c r="AL40" s="68" t="e">
        <f t="shared" ca="1" si="1"/>
        <v>#VALUE!</v>
      </c>
      <c r="AM40" s="17" t="e">
        <f t="shared" ca="1" si="2"/>
        <v>#VALUE!</v>
      </c>
      <c r="AN40" s="38" t="str">
        <f ca="1">IFERROR(__xludf.DUMMYFUNCTION("IFERROR(VLOOKUP(F62,IMPORTRANGE(""https://docs.google.com/spreadsheets/d/1Kvs4KS76FHFqLFIZfrDMff4kP08nblUkihrxltoGBjg/edit#gid=934712705"",""ESENCIAL!A6:BG""),2,FALSE))"),"")</f>
        <v/>
      </c>
      <c r="AO40" s="19" t="str">
        <f t="shared" si="3"/>
        <v>Yamboro</v>
      </c>
      <c r="AP40" s="292"/>
      <c r="AQ40" s="38"/>
    </row>
    <row r="41" spans="1:43" ht="18" customHeight="1">
      <c r="A41" s="290"/>
      <c r="B41" s="145" t="s">
        <v>25</v>
      </c>
      <c r="C41" s="25" t="s">
        <v>1081</v>
      </c>
      <c r="D41" s="25" t="s">
        <v>67</v>
      </c>
      <c r="E41" s="25">
        <v>1083866595</v>
      </c>
      <c r="F41" s="25">
        <v>2500274</v>
      </c>
      <c r="G41" s="11" t="str">
        <f ca="1">IFERROR(__xludf.DUMMYFUNCTION("IFERROR(VLOOKUP(F50,IMPORTRANGE(""https://docs.google.com/spreadsheets/d/1Kvs4KS76FHFqLFIZfrDMff4kP08nblUkihrxltoGBjg/edit#gid=934712705"",""ESENCIAL!A6:BG""),3,FALSE))"),"TÉCNICO")</f>
        <v>TÉCNICO</v>
      </c>
      <c r="H41" s="11" t="str">
        <f ca="1">IFERROR(__xludf.DUMMYFUNCTION("IFERROR(VLOOKUP(F50,IMPORTRANGE(""https://docs.google.com/spreadsheets/d/1Kvs4KS76FHFqLFIZfrDMff4kP08nblUkihrxltoGBjg/edit#gid=934712705"",""ESENCIAL!A6:BG""),8,FALSE))"),"COCINA.")</f>
        <v>COCINA.</v>
      </c>
      <c r="I41" s="25"/>
      <c r="J41" s="25"/>
      <c r="K41" s="25"/>
      <c r="L41" s="303" t="s">
        <v>44</v>
      </c>
      <c r="M41" s="31"/>
      <c r="N41" s="31"/>
      <c r="O41" s="31"/>
      <c r="P41" s="31"/>
      <c r="Q41" s="31"/>
      <c r="R41" s="32"/>
      <c r="S41" s="32"/>
      <c r="T41" s="65"/>
      <c r="U41" s="31"/>
      <c r="V41" s="28"/>
      <c r="W41" s="28"/>
      <c r="X41" s="28"/>
      <c r="Y41" s="28"/>
      <c r="Z41" s="19" t="str">
        <f t="shared" ca="1" si="0"/>
        <v>NO_CUMPLE</v>
      </c>
      <c r="AA41" s="11" t="str">
        <f ca="1">IFERROR(__xludf.DUMMYFUNCTION("IFERROR(VLOOKUP(E63&amp;F63,IMPORTRANGE(""https://docs.google.com/spreadsheets/d/1Uw7-A9f9R21vMXxHZFNpYNeKFtG8_yji4HS352LGlSQ/edit?pli=1#gid=0"",""1_ACUM!A4:S""),11,FALSE))"),"")</f>
        <v/>
      </c>
      <c r="AB41" s="20" t="str">
        <f ca="1">IFERROR(__xludf.DUMMYFUNCTION("IFERROR(VLOOKUP(F63,IMPORTRANGE(""https://docs.google.com/spreadsheets/d/1Kvs4KS76FHFqLFIZfrDMff4kP08nblUkihrxltoGBjg/edit#gid=934712705"",""ESENCIAL!A6:BG""),15,FALSE))"),"")</f>
        <v/>
      </c>
      <c r="AC41" s="21" t="str">
        <f ca="1">IFERROR(__xludf.DUMMYFUNCTION("IFERROR(VLOOKUP(E63&amp;F63,IMPORTRANGE(""https://docs.google.com/spreadsheets/d/1Uw7-A9f9R21vMXxHZFNpYNeKFtG8_yji4HS352LGlSQ/edit?pli=1#gid=0"",""1_ACUM!A4:S""),13,FALSE))"),"")</f>
        <v/>
      </c>
      <c r="AD41" s="22" t="str">
        <f ca="1">IFERROR(__xludf.DUMMYFUNCTION("IFERROR(VLOOKUP(E63&amp;F63,IMPORTRANGE(""https://docs.google.com/spreadsheets/d/1Uw7-A9f9R21vMXxHZFNpYNeKFtG8_yji4HS352LGlSQ/edit?pli=1#gid=0"",""1_ACUM!A4:S""),13,FALSE))"),"")</f>
        <v/>
      </c>
      <c r="AE41" s="22" t="str">
        <f ca="1">IFERROR(__xludf.DUMMYFUNCTION("IFERROR(VLOOKUP(E63&amp;F63,IMPORTRANGE(""https://docs.google.com/spreadsheets/d/1Uw7-A9f9R21vMXxHZFNpYNeKFtG8_yji4HS352LGlSQ/edit?pli=1#gid=0"",""1_ACUM!A4:S""),14,FALSE))"),"")</f>
        <v/>
      </c>
      <c r="AF41" s="22" t="str">
        <f ca="1">IFERROR(__xludf.DUMMYFUNCTION("IFERROR(VLOOKUP(E63&amp;F63,IMPORTRANGE(""https://docs.google.com/spreadsheets/d/1Uw7-A9f9R21vMXxHZFNpYNeKFtG8_yji4HS352LGlSQ/edit?pli=1#gid=0"",""1_ACUM!A4:S""),15,FALSE))"),"")</f>
        <v/>
      </c>
      <c r="AG41" s="22" t="str">
        <f ca="1">IFERROR(__xludf.DUMMYFUNCTION("IFERROR(VLOOKUP(E63&amp;F63,IMPORTRANGE(""https://docs.google.com/spreadsheets/d/1Uw7-A9f9R21vMXxHZFNpYNeKFtG8_yji4HS352LGlSQ/edit?pli=1#gid=0"",""1_ACUM!A4:S""),16,FALSE))"),"")</f>
        <v/>
      </c>
      <c r="AH41" s="22" t="str">
        <f ca="1">IFERROR(__xludf.DUMMYFUNCTION("IFERROR(VLOOKUP(E63&amp;F63,IMPORTRANGE(""https://docs.google.com/spreadsheets/d/1Uw7-A9f9R21vMXxHZFNpYNeKFtG8_yji4HS352LGlSQ/edit?pli=1#gid=0"",""1_ACUM!A4:S""),17,FALSE))"),"")</f>
        <v/>
      </c>
      <c r="AI41" s="23" t="str">
        <f ca="1">IFERROR(__xludf.DUMMYFUNCTION("IFERROR(VLOOKUP(E63&amp;F63,IMPORTRANGE(""https://docs.google.com/spreadsheets/d/1Uw7-A9f9R21vMXxHZFNpYNeKFtG8_yji4HS352LGlSQ/edit?pli=1#gid=0"",""1_ACUM!A4:S""),18,FALSE))"),"")</f>
        <v/>
      </c>
      <c r="AJ41" s="23" t="str">
        <f ca="1">IFERROR(__xludf.DUMMYFUNCTION("IFERROR(VLOOKUP(E63&amp;F63,IMPORTRANGE(""https://docs.google.com/spreadsheets/d/1Uw7-A9f9R21vMXxHZFNpYNeKFtG8_yji4HS352LGlSQ/edit?pli=1#gid=0"",""1_ACUM!A4:S""),19,FALSE))"),"")</f>
        <v/>
      </c>
      <c r="AK41" s="68" t="str">
        <f ca="1">IFERROR(__xludf.DUMMYFUNCTION("IFERROR(VLOOKUP(F63,IMPORTRANGE(""https://docs.google.com/spreadsheets/d/1Kvs4KS76FHFqLFIZfrDMff4kP08nblUkihrxltoGBjg/edit#gid=934712705"",""ESENCIAL!A6:BG""),5,FALSE))"),"")</f>
        <v/>
      </c>
      <c r="AL41" s="68" t="e">
        <f t="shared" ca="1" si="1"/>
        <v>#VALUE!</v>
      </c>
      <c r="AM41" s="17" t="e">
        <f t="shared" ca="1" si="2"/>
        <v>#VALUE!</v>
      </c>
      <c r="AN41" s="38" t="str">
        <f ca="1">IFERROR(__xludf.DUMMYFUNCTION("IFERROR(VLOOKUP(F63,IMPORTRANGE(""https://docs.google.com/spreadsheets/d/1Kvs4KS76FHFqLFIZfrDMff4kP08nblUkihrxltoGBjg/edit#gid=934712705"",""ESENCIAL!A6:BG""),2,FALSE))"),"")</f>
        <v/>
      </c>
      <c r="AO41" s="19" t="str">
        <f t="shared" si="3"/>
        <v>Yamboro</v>
      </c>
      <c r="AP41" s="292"/>
      <c r="AQ41" s="38"/>
    </row>
    <row r="42" spans="1:43" ht="18" customHeight="1">
      <c r="A42" s="290"/>
      <c r="B42" s="145" t="s">
        <v>25</v>
      </c>
      <c r="C42" s="25" t="s">
        <v>1082</v>
      </c>
      <c r="D42" s="25" t="s">
        <v>27</v>
      </c>
      <c r="E42" s="25">
        <v>1083913626</v>
      </c>
      <c r="F42" s="25">
        <v>2500274</v>
      </c>
      <c r="G42" s="11" t="str">
        <f ca="1">IFERROR(__xludf.DUMMYFUNCTION("IFERROR(VLOOKUP(F50,IMPORTRANGE(""https://docs.google.com/spreadsheets/d/1Kvs4KS76FHFqLFIZfrDMff4kP08nblUkihrxltoGBjg/edit#gid=934712705"",""ESENCIAL!A6:BG""),3,FALSE))"),"TÉCNICO")</f>
        <v>TÉCNICO</v>
      </c>
      <c r="H42" s="11" t="str">
        <f ca="1">IFERROR(__xludf.DUMMYFUNCTION("IFERROR(VLOOKUP(F50,IMPORTRANGE(""https://docs.google.com/spreadsheets/d/1Kvs4KS76FHFqLFIZfrDMff4kP08nblUkihrxltoGBjg/edit#gid=934712705"",""ESENCIAL!A6:BG""),8,FALSE))"),"COCINA.")</f>
        <v>COCINA.</v>
      </c>
      <c r="I42" s="25"/>
      <c r="J42" s="25"/>
      <c r="K42" s="25"/>
      <c r="L42" s="303" t="s">
        <v>44</v>
      </c>
      <c r="M42" s="31"/>
      <c r="N42" s="31"/>
      <c r="O42" s="31"/>
      <c r="P42" s="31"/>
      <c r="Q42" s="31"/>
      <c r="R42" s="32"/>
      <c r="S42" s="32"/>
      <c r="T42" s="65"/>
      <c r="U42" s="31"/>
      <c r="V42" s="28"/>
      <c r="W42" s="28"/>
      <c r="X42" s="28"/>
      <c r="Y42" s="28"/>
      <c r="Z42" s="19" t="str">
        <f t="shared" ca="1" si="0"/>
        <v>NO_CUMPLE</v>
      </c>
      <c r="AA42" s="11" t="str">
        <f ca="1">IFERROR(__xludf.DUMMYFUNCTION("IFERROR(VLOOKUP(E64&amp;F64,IMPORTRANGE(""https://docs.google.com/spreadsheets/d/1Uw7-A9f9R21vMXxHZFNpYNeKFtG8_yji4HS352LGlSQ/edit?pli=1#gid=0"",""1_ACUM!A4:S""),11,FALSE))"),"")</f>
        <v/>
      </c>
      <c r="AB42" s="20" t="str">
        <f ca="1">IFERROR(__xludf.DUMMYFUNCTION("IFERROR(VLOOKUP(F64,IMPORTRANGE(""https://docs.google.com/spreadsheets/d/1Kvs4KS76FHFqLFIZfrDMff4kP08nblUkihrxltoGBjg/edit#gid=934712705"",""ESENCIAL!A6:BG""),15,FALSE))"),"")</f>
        <v/>
      </c>
      <c r="AC42" s="21" t="str">
        <f ca="1">IFERROR(__xludf.DUMMYFUNCTION("IFERROR(VLOOKUP(E64&amp;F64,IMPORTRANGE(""https://docs.google.com/spreadsheets/d/1Uw7-A9f9R21vMXxHZFNpYNeKFtG8_yji4HS352LGlSQ/edit?pli=1#gid=0"",""1_ACUM!A4:S""),13,FALSE))"),"")</f>
        <v/>
      </c>
      <c r="AD42" s="22" t="str">
        <f ca="1">IFERROR(__xludf.DUMMYFUNCTION("IFERROR(VLOOKUP(E64&amp;F64,IMPORTRANGE(""https://docs.google.com/spreadsheets/d/1Uw7-A9f9R21vMXxHZFNpYNeKFtG8_yji4HS352LGlSQ/edit?pli=1#gid=0"",""1_ACUM!A4:S""),13,FALSE))"),"")</f>
        <v/>
      </c>
      <c r="AE42" s="22" t="str">
        <f ca="1">IFERROR(__xludf.DUMMYFUNCTION("IFERROR(VLOOKUP(E64&amp;F64,IMPORTRANGE(""https://docs.google.com/spreadsheets/d/1Uw7-A9f9R21vMXxHZFNpYNeKFtG8_yji4HS352LGlSQ/edit?pli=1#gid=0"",""1_ACUM!A4:S""),14,FALSE))"),"")</f>
        <v/>
      </c>
      <c r="AF42" s="22" t="str">
        <f ca="1">IFERROR(__xludf.DUMMYFUNCTION("IFERROR(VLOOKUP(E64&amp;F64,IMPORTRANGE(""https://docs.google.com/spreadsheets/d/1Uw7-A9f9R21vMXxHZFNpYNeKFtG8_yji4HS352LGlSQ/edit?pli=1#gid=0"",""1_ACUM!A4:S""),15,FALSE))"),"")</f>
        <v/>
      </c>
      <c r="AG42" s="22" t="str">
        <f ca="1">IFERROR(__xludf.DUMMYFUNCTION("IFERROR(VLOOKUP(E64&amp;F64,IMPORTRANGE(""https://docs.google.com/spreadsheets/d/1Uw7-A9f9R21vMXxHZFNpYNeKFtG8_yji4HS352LGlSQ/edit?pli=1#gid=0"",""1_ACUM!A4:S""),16,FALSE))"),"")</f>
        <v/>
      </c>
      <c r="AH42" s="22" t="str">
        <f ca="1">IFERROR(__xludf.DUMMYFUNCTION("IFERROR(VLOOKUP(E64&amp;F64,IMPORTRANGE(""https://docs.google.com/spreadsheets/d/1Uw7-A9f9R21vMXxHZFNpYNeKFtG8_yji4HS352LGlSQ/edit?pli=1#gid=0"",""1_ACUM!A4:S""),17,FALSE))"),"")</f>
        <v/>
      </c>
      <c r="AI42" s="23" t="str">
        <f ca="1">IFERROR(__xludf.DUMMYFUNCTION("IFERROR(VLOOKUP(E64&amp;F64,IMPORTRANGE(""https://docs.google.com/spreadsheets/d/1Uw7-A9f9R21vMXxHZFNpYNeKFtG8_yji4HS352LGlSQ/edit?pli=1#gid=0"",""1_ACUM!A4:S""),18,FALSE))"),"")</f>
        <v/>
      </c>
      <c r="AJ42" s="23" t="str">
        <f ca="1">IFERROR(__xludf.DUMMYFUNCTION("IFERROR(VLOOKUP(E64&amp;F64,IMPORTRANGE(""https://docs.google.com/spreadsheets/d/1Uw7-A9f9R21vMXxHZFNpYNeKFtG8_yji4HS352LGlSQ/edit?pli=1#gid=0"",""1_ACUM!A4:S""),19,FALSE))"),"")</f>
        <v/>
      </c>
      <c r="AK42" s="68" t="str">
        <f ca="1">IFERROR(__xludf.DUMMYFUNCTION("IFERROR(VLOOKUP(F64,IMPORTRANGE(""https://docs.google.com/spreadsheets/d/1Kvs4KS76FHFqLFIZfrDMff4kP08nblUkihrxltoGBjg/edit#gid=934712705"",""ESENCIAL!A6:BG""),5,FALSE))"),"")</f>
        <v/>
      </c>
      <c r="AL42" s="68" t="e">
        <f t="shared" ca="1" si="1"/>
        <v>#VALUE!</v>
      </c>
      <c r="AM42" s="17" t="e">
        <f t="shared" ca="1" si="2"/>
        <v>#VALUE!</v>
      </c>
      <c r="AN42" s="38" t="str">
        <f ca="1">IFERROR(__xludf.DUMMYFUNCTION("IFERROR(VLOOKUP(F64,IMPORTRANGE(""https://docs.google.com/spreadsheets/d/1Kvs4KS76FHFqLFIZfrDMff4kP08nblUkihrxltoGBjg/edit#gid=934712705"",""ESENCIAL!A6:BG""),2,FALSE))"),"")</f>
        <v/>
      </c>
      <c r="AO42" s="19" t="str">
        <f t="shared" si="3"/>
        <v>Yamboro</v>
      </c>
      <c r="AP42" s="292"/>
      <c r="AQ42" s="38"/>
    </row>
    <row r="43" spans="1:43" ht="18" customHeight="1">
      <c r="A43" s="290"/>
      <c r="B43" s="145" t="s">
        <v>25</v>
      </c>
      <c r="C43" s="25" t="s">
        <v>1083</v>
      </c>
      <c r="D43" s="25" t="s">
        <v>27</v>
      </c>
      <c r="E43" s="25">
        <v>1083931348</v>
      </c>
      <c r="F43" s="25">
        <v>2500274</v>
      </c>
      <c r="G43" s="11" t="str">
        <f ca="1">IFERROR(__xludf.DUMMYFUNCTION("IFERROR(VLOOKUP(F50,IMPORTRANGE(""https://docs.google.com/spreadsheets/d/1Kvs4KS76FHFqLFIZfrDMff4kP08nblUkihrxltoGBjg/edit#gid=934712705"",""ESENCIAL!A6:BG""),3,FALSE))"),"TÉCNICO")</f>
        <v>TÉCNICO</v>
      </c>
      <c r="H43" s="11" t="str">
        <f ca="1">IFERROR(__xludf.DUMMYFUNCTION("IFERROR(VLOOKUP(F50,IMPORTRANGE(""https://docs.google.com/spreadsheets/d/1Kvs4KS76FHFqLFIZfrDMff4kP08nblUkihrxltoGBjg/edit#gid=934712705"",""ESENCIAL!A6:BG""),8,FALSE))"),"COCINA.")</f>
        <v>COCINA.</v>
      </c>
      <c r="I43" s="25"/>
      <c r="J43" s="25"/>
      <c r="K43" s="25"/>
      <c r="L43" s="303" t="s">
        <v>44</v>
      </c>
      <c r="M43" s="31"/>
      <c r="N43" s="31"/>
      <c r="O43" s="31"/>
      <c r="P43" s="31"/>
      <c r="Q43" s="31"/>
      <c r="R43" s="32"/>
      <c r="S43" s="32"/>
      <c r="T43" s="65"/>
      <c r="U43" s="31"/>
      <c r="V43" s="28"/>
      <c r="W43" s="28"/>
      <c r="X43" s="28"/>
      <c r="Y43" s="28"/>
      <c r="Z43" s="19" t="str">
        <f t="shared" ca="1" si="0"/>
        <v>NO_CUMPLE</v>
      </c>
      <c r="AA43" s="11" t="str">
        <f ca="1">IFERROR(__xludf.DUMMYFUNCTION("IFERROR(VLOOKUP(E65&amp;F65,IMPORTRANGE(""https://docs.google.com/spreadsheets/d/1Uw7-A9f9R21vMXxHZFNpYNeKFtG8_yji4HS352LGlSQ/edit?pli=1#gid=0"",""1_ACUM!A4:S""),11,FALSE))"),"")</f>
        <v/>
      </c>
      <c r="AB43" s="20" t="str">
        <f ca="1">IFERROR(__xludf.DUMMYFUNCTION("IFERROR(VLOOKUP(F65,IMPORTRANGE(""https://docs.google.com/spreadsheets/d/1Kvs4KS76FHFqLFIZfrDMff4kP08nblUkihrxltoGBjg/edit#gid=934712705"",""ESENCIAL!A6:BG""),15,FALSE))"),"")</f>
        <v/>
      </c>
      <c r="AC43" s="21" t="str">
        <f ca="1">IFERROR(__xludf.DUMMYFUNCTION("IFERROR(VLOOKUP(E65&amp;F65,IMPORTRANGE(""https://docs.google.com/spreadsheets/d/1Uw7-A9f9R21vMXxHZFNpYNeKFtG8_yji4HS352LGlSQ/edit?pli=1#gid=0"",""1_ACUM!A4:S""),13,FALSE))"),"")</f>
        <v/>
      </c>
      <c r="AD43" s="22" t="str">
        <f ca="1">IFERROR(__xludf.DUMMYFUNCTION("IFERROR(VLOOKUP(E65&amp;F65,IMPORTRANGE(""https://docs.google.com/spreadsheets/d/1Uw7-A9f9R21vMXxHZFNpYNeKFtG8_yji4HS352LGlSQ/edit?pli=1#gid=0"",""1_ACUM!A4:S""),13,FALSE))"),"")</f>
        <v/>
      </c>
      <c r="AE43" s="22" t="str">
        <f ca="1">IFERROR(__xludf.DUMMYFUNCTION("IFERROR(VLOOKUP(E65&amp;F65,IMPORTRANGE(""https://docs.google.com/spreadsheets/d/1Uw7-A9f9R21vMXxHZFNpYNeKFtG8_yji4HS352LGlSQ/edit?pli=1#gid=0"",""1_ACUM!A4:S""),14,FALSE))"),"")</f>
        <v/>
      </c>
      <c r="AF43" s="22" t="str">
        <f ca="1">IFERROR(__xludf.DUMMYFUNCTION("IFERROR(VLOOKUP(E65&amp;F65,IMPORTRANGE(""https://docs.google.com/spreadsheets/d/1Uw7-A9f9R21vMXxHZFNpYNeKFtG8_yji4HS352LGlSQ/edit?pli=1#gid=0"",""1_ACUM!A4:S""),15,FALSE))"),"")</f>
        <v/>
      </c>
      <c r="AG43" s="22" t="str">
        <f ca="1">IFERROR(__xludf.DUMMYFUNCTION("IFERROR(VLOOKUP(E65&amp;F65,IMPORTRANGE(""https://docs.google.com/spreadsheets/d/1Uw7-A9f9R21vMXxHZFNpYNeKFtG8_yji4HS352LGlSQ/edit?pli=1#gid=0"",""1_ACUM!A4:S""),16,FALSE))"),"")</f>
        <v/>
      </c>
      <c r="AH43" s="22" t="str">
        <f ca="1">IFERROR(__xludf.DUMMYFUNCTION("IFERROR(VLOOKUP(E65&amp;F65,IMPORTRANGE(""https://docs.google.com/spreadsheets/d/1Uw7-A9f9R21vMXxHZFNpYNeKFtG8_yji4HS352LGlSQ/edit?pli=1#gid=0"",""1_ACUM!A4:S""),17,FALSE))"),"")</f>
        <v/>
      </c>
      <c r="AI43" s="23" t="str">
        <f ca="1">IFERROR(__xludf.DUMMYFUNCTION("IFERROR(VLOOKUP(E65&amp;F65,IMPORTRANGE(""https://docs.google.com/spreadsheets/d/1Uw7-A9f9R21vMXxHZFNpYNeKFtG8_yji4HS352LGlSQ/edit?pli=1#gid=0"",""1_ACUM!A4:S""),18,FALSE))"),"")</f>
        <v/>
      </c>
      <c r="AJ43" s="23" t="str">
        <f ca="1">IFERROR(__xludf.DUMMYFUNCTION("IFERROR(VLOOKUP(E65&amp;F65,IMPORTRANGE(""https://docs.google.com/spreadsheets/d/1Uw7-A9f9R21vMXxHZFNpYNeKFtG8_yji4HS352LGlSQ/edit?pli=1#gid=0"",""1_ACUM!A4:S""),19,FALSE))"),"")</f>
        <v/>
      </c>
      <c r="AK43" s="68" t="str">
        <f ca="1">IFERROR(__xludf.DUMMYFUNCTION("IFERROR(VLOOKUP(F65,IMPORTRANGE(""https://docs.google.com/spreadsheets/d/1Kvs4KS76FHFqLFIZfrDMff4kP08nblUkihrxltoGBjg/edit#gid=934712705"",""ESENCIAL!A6:BG""),5,FALSE))"),"")</f>
        <v/>
      </c>
      <c r="AL43" s="68" t="e">
        <f t="shared" ca="1" si="1"/>
        <v>#VALUE!</v>
      </c>
      <c r="AM43" s="17" t="e">
        <f t="shared" ca="1" si="2"/>
        <v>#VALUE!</v>
      </c>
      <c r="AN43" s="38" t="str">
        <f ca="1">IFERROR(__xludf.DUMMYFUNCTION("IFERROR(VLOOKUP(F65,IMPORTRANGE(""https://docs.google.com/spreadsheets/d/1Kvs4KS76FHFqLFIZfrDMff4kP08nblUkihrxltoGBjg/edit#gid=934712705"",""ESENCIAL!A6:BG""),2,FALSE))"),"")</f>
        <v/>
      </c>
      <c r="AO43" s="19" t="str">
        <f t="shared" si="3"/>
        <v>Yamboro</v>
      </c>
      <c r="AP43" s="292"/>
      <c r="AQ43" s="38"/>
    </row>
    <row r="44" spans="1:43" ht="18" customHeight="1">
      <c r="A44" s="290"/>
      <c r="B44" s="145" t="s">
        <v>25</v>
      </c>
      <c r="C44" s="25" t="s">
        <v>1084</v>
      </c>
      <c r="D44" s="25" t="s">
        <v>27</v>
      </c>
      <c r="E44" s="25">
        <v>1083984162</v>
      </c>
      <c r="F44" s="25">
        <v>2500274</v>
      </c>
      <c r="G44" s="11" t="str">
        <f ca="1">IFERROR(__xludf.DUMMYFUNCTION("IFERROR(VLOOKUP(F50,IMPORTRANGE(""https://docs.google.com/spreadsheets/d/1Kvs4KS76FHFqLFIZfrDMff4kP08nblUkihrxltoGBjg/edit#gid=934712705"",""ESENCIAL!A6:BG""),3,FALSE))"),"TÉCNICO")</f>
        <v>TÉCNICO</v>
      </c>
      <c r="H44" s="11" t="str">
        <f ca="1">IFERROR(__xludf.DUMMYFUNCTION("IFERROR(VLOOKUP(F50,IMPORTRANGE(""https://docs.google.com/spreadsheets/d/1Kvs4KS76FHFqLFIZfrDMff4kP08nblUkihrxltoGBjg/edit#gid=934712705"",""ESENCIAL!A6:BG""),8,FALSE))"),"COCINA.")</f>
        <v>COCINA.</v>
      </c>
      <c r="I44" s="25"/>
      <c r="J44" s="25"/>
      <c r="K44" s="25"/>
      <c r="L44" s="303" t="s">
        <v>44</v>
      </c>
      <c r="M44" s="31"/>
      <c r="N44" s="31"/>
      <c r="O44" s="31"/>
      <c r="P44" s="31"/>
      <c r="Q44" s="31"/>
      <c r="R44" s="32"/>
      <c r="S44" s="32"/>
      <c r="T44" s="65" t="s">
        <v>1085</v>
      </c>
      <c r="U44" s="31"/>
      <c r="V44" s="28"/>
      <c r="W44" s="28"/>
      <c r="X44" s="28"/>
      <c r="Y44" s="28"/>
      <c r="Z44" s="19" t="str">
        <f t="shared" ca="1" si="0"/>
        <v>NO_CUMPLE</v>
      </c>
      <c r="AA44" s="11" t="str">
        <f ca="1">IFERROR(__xludf.DUMMYFUNCTION("IFERROR(VLOOKUP(E66&amp;F66,IMPORTRANGE(""https://docs.google.com/spreadsheets/d/1Uw7-A9f9R21vMXxHZFNpYNeKFtG8_yji4HS352LGlSQ/edit?pli=1#gid=0"",""1_ACUM!A4:S""),11,FALSE))"),"")</f>
        <v/>
      </c>
      <c r="AB44" s="20" t="str">
        <f ca="1">IFERROR(__xludf.DUMMYFUNCTION("IFERROR(VLOOKUP(F66,IMPORTRANGE(""https://docs.google.com/spreadsheets/d/1Kvs4KS76FHFqLFIZfrDMff4kP08nblUkihrxltoGBjg/edit#gid=934712705"",""ESENCIAL!A6:BG""),15,FALSE))"),"")</f>
        <v/>
      </c>
      <c r="AC44" s="21" t="str">
        <f ca="1">IFERROR(__xludf.DUMMYFUNCTION("IFERROR(VLOOKUP(E66&amp;F66,IMPORTRANGE(""https://docs.google.com/spreadsheets/d/1Uw7-A9f9R21vMXxHZFNpYNeKFtG8_yji4HS352LGlSQ/edit?pli=1#gid=0"",""1_ACUM!A4:S""),13,FALSE))"),"")</f>
        <v/>
      </c>
      <c r="AD44" s="22" t="str">
        <f ca="1">IFERROR(__xludf.DUMMYFUNCTION("IFERROR(VLOOKUP(E66&amp;F66,IMPORTRANGE(""https://docs.google.com/spreadsheets/d/1Uw7-A9f9R21vMXxHZFNpYNeKFtG8_yji4HS352LGlSQ/edit?pli=1#gid=0"",""1_ACUM!A4:S""),13,FALSE))"),"")</f>
        <v/>
      </c>
      <c r="AE44" s="22" t="str">
        <f ca="1">IFERROR(__xludf.DUMMYFUNCTION("IFERROR(VLOOKUP(E66&amp;F66,IMPORTRANGE(""https://docs.google.com/spreadsheets/d/1Uw7-A9f9R21vMXxHZFNpYNeKFtG8_yji4HS352LGlSQ/edit?pli=1#gid=0"",""1_ACUM!A4:S""),14,FALSE))"),"")</f>
        <v/>
      </c>
      <c r="AF44" s="22" t="str">
        <f ca="1">IFERROR(__xludf.DUMMYFUNCTION("IFERROR(VLOOKUP(E66&amp;F66,IMPORTRANGE(""https://docs.google.com/spreadsheets/d/1Uw7-A9f9R21vMXxHZFNpYNeKFtG8_yji4HS352LGlSQ/edit?pli=1#gid=0"",""1_ACUM!A4:S""),15,FALSE))"),"")</f>
        <v/>
      </c>
      <c r="AG44" s="22" t="str">
        <f ca="1">IFERROR(__xludf.DUMMYFUNCTION("IFERROR(VLOOKUP(E66&amp;F66,IMPORTRANGE(""https://docs.google.com/spreadsheets/d/1Uw7-A9f9R21vMXxHZFNpYNeKFtG8_yji4HS352LGlSQ/edit?pli=1#gid=0"",""1_ACUM!A4:S""),16,FALSE))"),"")</f>
        <v/>
      </c>
      <c r="AH44" s="22" t="str">
        <f ca="1">IFERROR(__xludf.DUMMYFUNCTION("IFERROR(VLOOKUP(E66&amp;F66,IMPORTRANGE(""https://docs.google.com/spreadsheets/d/1Uw7-A9f9R21vMXxHZFNpYNeKFtG8_yji4HS352LGlSQ/edit?pli=1#gid=0"",""1_ACUM!A4:S""),17,FALSE))"),"")</f>
        <v/>
      </c>
      <c r="AI44" s="23" t="str">
        <f ca="1">IFERROR(__xludf.DUMMYFUNCTION("IFERROR(VLOOKUP(E66&amp;F66,IMPORTRANGE(""https://docs.google.com/spreadsheets/d/1Uw7-A9f9R21vMXxHZFNpYNeKFtG8_yji4HS352LGlSQ/edit?pli=1#gid=0"",""1_ACUM!A4:S""),18,FALSE))"),"")</f>
        <v/>
      </c>
      <c r="AJ44" s="23" t="str">
        <f ca="1">IFERROR(__xludf.DUMMYFUNCTION("IFERROR(VLOOKUP(E66&amp;F66,IMPORTRANGE(""https://docs.google.com/spreadsheets/d/1Uw7-A9f9R21vMXxHZFNpYNeKFtG8_yji4HS352LGlSQ/edit?pli=1#gid=0"",""1_ACUM!A4:S""),19,FALSE))"),"")</f>
        <v/>
      </c>
      <c r="AK44" s="68" t="str">
        <f ca="1">IFERROR(__xludf.DUMMYFUNCTION("IFERROR(VLOOKUP(F66,IMPORTRANGE(""https://docs.google.com/spreadsheets/d/1Kvs4KS76FHFqLFIZfrDMff4kP08nblUkihrxltoGBjg/edit#gid=934712705"",""ESENCIAL!A6:BG""),5,FALSE))"),"")</f>
        <v/>
      </c>
      <c r="AL44" s="68" t="e">
        <f t="shared" ca="1" si="1"/>
        <v>#VALUE!</v>
      </c>
      <c r="AM44" s="17" t="e">
        <f t="shared" ca="1" si="2"/>
        <v>#VALUE!</v>
      </c>
      <c r="AN44" s="38" t="str">
        <f ca="1">IFERROR(__xludf.DUMMYFUNCTION("IFERROR(VLOOKUP(F66,IMPORTRANGE(""https://docs.google.com/spreadsheets/d/1Kvs4KS76FHFqLFIZfrDMff4kP08nblUkihrxltoGBjg/edit#gid=934712705"",""ESENCIAL!A6:BG""),2,FALSE))"),"")</f>
        <v/>
      </c>
      <c r="AO44" s="19" t="str">
        <f t="shared" si="3"/>
        <v>Yamboro</v>
      </c>
      <c r="AP44" s="292"/>
      <c r="AQ44" s="38"/>
    </row>
    <row r="45" spans="1:43" ht="18" customHeight="1">
      <c r="A45" s="290"/>
      <c r="B45" s="145" t="s">
        <v>25</v>
      </c>
      <c r="C45" s="25" t="s">
        <v>1086</v>
      </c>
      <c r="D45" s="25" t="s">
        <v>27</v>
      </c>
      <c r="E45" s="25">
        <v>1121326596</v>
      </c>
      <c r="F45" s="25">
        <v>2500274</v>
      </c>
      <c r="G45" s="11" t="str">
        <f ca="1">IFERROR(__xludf.DUMMYFUNCTION("IFERROR(VLOOKUP(F50,IMPORTRANGE(""https://docs.google.com/spreadsheets/d/1Kvs4KS76FHFqLFIZfrDMff4kP08nblUkihrxltoGBjg/edit#gid=934712705"",""ESENCIAL!A6:BG""),3,FALSE))"),"TÉCNICO")</f>
        <v>TÉCNICO</v>
      </c>
      <c r="H45" s="11" t="str">
        <f ca="1">IFERROR(__xludf.DUMMYFUNCTION("IFERROR(VLOOKUP(F50,IMPORTRANGE(""https://docs.google.com/spreadsheets/d/1Kvs4KS76FHFqLFIZfrDMff4kP08nblUkihrxltoGBjg/edit#gid=934712705"",""ESENCIAL!A6:BG""),8,FALSE))"),"COCINA.")</f>
        <v>COCINA.</v>
      </c>
      <c r="I45" s="25"/>
      <c r="J45" s="25"/>
      <c r="K45" s="25"/>
      <c r="L45" s="303" t="s">
        <v>44</v>
      </c>
      <c r="M45" s="31"/>
      <c r="N45" s="31"/>
      <c r="O45" s="31"/>
      <c r="P45" s="31"/>
      <c r="Q45" s="31"/>
      <c r="R45" s="32"/>
      <c r="S45" s="32"/>
      <c r="T45" s="65"/>
      <c r="U45" s="31"/>
      <c r="V45" s="28"/>
      <c r="W45" s="28"/>
      <c r="X45" s="28"/>
      <c r="Y45" s="28"/>
      <c r="Z45" s="19" t="str">
        <f t="shared" ca="1" si="0"/>
        <v>NO_CUMPLE</v>
      </c>
      <c r="AA45" s="11" t="str">
        <f ca="1">IFERROR(__xludf.DUMMYFUNCTION("IFERROR(VLOOKUP(E67&amp;F67,IMPORTRANGE(""https://docs.google.com/spreadsheets/d/1Uw7-A9f9R21vMXxHZFNpYNeKFtG8_yji4HS352LGlSQ/edit?pli=1#gid=0"",""1_ACUM!A4:S""),11,FALSE))"),"")</f>
        <v/>
      </c>
      <c r="AB45" s="20" t="str">
        <f ca="1">IFERROR(__xludf.DUMMYFUNCTION("IFERROR(VLOOKUP(F67,IMPORTRANGE(""https://docs.google.com/spreadsheets/d/1Kvs4KS76FHFqLFIZfrDMff4kP08nblUkihrxltoGBjg/edit#gid=934712705"",""ESENCIAL!A6:BG""),15,FALSE))"),"")</f>
        <v/>
      </c>
      <c r="AC45" s="21" t="str">
        <f ca="1">IFERROR(__xludf.DUMMYFUNCTION("IFERROR(VLOOKUP(E67&amp;F67,IMPORTRANGE(""https://docs.google.com/spreadsheets/d/1Uw7-A9f9R21vMXxHZFNpYNeKFtG8_yji4HS352LGlSQ/edit?pli=1#gid=0"",""1_ACUM!A4:S""),13,FALSE))"),"")</f>
        <v/>
      </c>
      <c r="AD45" s="22" t="str">
        <f ca="1">IFERROR(__xludf.DUMMYFUNCTION("IFERROR(VLOOKUP(E67&amp;F67,IMPORTRANGE(""https://docs.google.com/spreadsheets/d/1Uw7-A9f9R21vMXxHZFNpYNeKFtG8_yji4HS352LGlSQ/edit?pli=1#gid=0"",""1_ACUM!A4:S""),13,FALSE))"),"")</f>
        <v/>
      </c>
      <c r="AE45" s="22" t="str">
        <f ca="1">IFERROR(__xludf.DUMMYFUNCTION("IFERROR(VLOOKUP(E67&amp;F67,IMPORTRANGE(""https://docs.google.com/spreadsheets/d/1Uw7-A9f9R21vMXxHZFNpYNeKFtG8_yji4HS352LGlSQ/edit?pli=1#gid=0"",""1_ACUM!A4:S""),14,FALSE))"),"")</f>
        <v/>
      </c>
      <c r="AF45" s="22" t="str">
        <f ca="1">IFERROR(__xludf.DUMMYFUNCTION("IFERROR(VLOOKUP(E67&amp;F67,IMPORTRANGE(""https://docs.google.com/spreadsheets/d/1Uw7-A9f9R21vMXxHZFNpYNeKFtG8_yji4HS352LGlSQ/edit?pli=1#gid=0"",""1_ACUM!A4:S""),15,FALSE))"),"")</f>
        <v/>
      </c>
      <c r="AG45" s="22" t="str">
        <f ca="1">IFERROR(__xludf.DUMMYFUNCTION("IFERROR(VLOOKUP(E67&amp;F67,IMPORTRANGE(""https://docs.google.com/spreadsheets/d/1Uw7-A9f9R21vMXxHZFNpYNeKFtG8_yji4HS352LGlSQ/edit?pli=1#gid=0"",""1_ACUM!A4:S""),16,FALSE))"),"")</f>
        <v/>
      </c>
      <c r="AH45" s="22" t="str">
        <f ca="1">IFERROR(__xludf.DUMMYFUNCTION("IFERROR(VLOOKUP(E67&amp;F67,IMPORTRANGE(""https://docs.google.com/spreadsheets/d/1Uw7-A9f9R21vMXxHZFNpYNeKFtG8_yji4HS352LGlSQ/edit?pli=1#gid=0"",""1_ACUM!A4:S""),17,FALSE))"),"")</f>
        <v/>
      </c>
      <c r="AI45" s="23" t="str">
        <f ca="1">IFERROR(__xludf.DUMMYFUNCTION("IFERROR(VLOOKUP(E67&amp;F67,IMPORTRANGE(""https://docs.google.com/spreadsheets/d/1Uw7-A9f9R21vMXxHZFNpYNeKFtG8_yji4HS352LGlSQ/edit?pli=1#gid=0"",""1_ACUM!A4:S""),18,FALSE))"),"")</f>
        <v/>
      </c>
      <c r="AJ45" s="23" t="str">
        <f ca="1">IFERROR(__xludf.DUMMYFUNCTION("IFERROR(VLOOKUP(E67&amp;F67,IMPORTRANGE(""https://docs.google.com/spreadsheets/d/1Uw7-A9f9R21vMXxHZFNpYNeKFtG8_yji4HS352LGlSQ/edit?pli=1#gid=0"",""1_ACUM!A4:S""),19,FALSE))"),"")</f>
        <v/>
      </c>
      <c r="AK45" s="68" t="str">
        <f ca="1">IFERROR(__xludf.DUMMYFUNCTION("IFERROR(VLOOKUP(F67,IMPORTRANGE(""https://docs.google.com/spreadsheets/d/1Kvs4KS76FHFqLFIZfrDMff4kP08nblUkihrxltoGBjg/edit#gid=934712705"",""ESENCIAL!A6:BG""),5,FALSE))"),"")</f>
        <v/>
      </c>
      <c r="AL45" s="68" t="e">
        <f t="shared" ca="1" si="1"/>
        <v>#VALUE!</v>
      </c>
      <c r="AM45" s="17" t="e">
        <f t="shared" ca="1" si="2"/>
        <v>#VALUE!</v>
      </c>
      <c r="AN45" s="38" t="str">
        <f ca="1">IFERROR(__xludf.DUMMYFUNCTION("IFERROR(VLOOKUP(F67,IMPORTRANGE(""https://docs.google.com/spreadsheets/d/1Kvs4KS76FHFqLFIZfrDMff4kP08nblUkihrxltoGBjg/edit#gid=934712705"",""ESENCIAL!A6:BG""),2,FALSE))"),"")</f>
        <v/>
      </c>
      <c r="AO45" s="19" t="str">
        <f t="shared" si="3"/>
        <v>Yamboro</v>
      </c>
      <c r="AP45" s="292"/>
      <c r="AQ45" s="38"/>
    </row>
    <row r="46" spans="1:43" ht="18" customHeight="1">
      <c r="A46" s="290"/>
      <c r="B46" s="145" t="s">
        <v>25</v>
      </c>
      <c r="C46" s="25" t="s">
        <v>1087</v>
      </c>
      <c r="D46" s="25" t="s">
        <v>67</v>
      </c>
      <c r="E46" s="25">
        <v>1126624391</v>
      </c>
      <c r="F46" s="25">
        <v>2500274</v>
      </c>
      <c r="G46" s="11" t="str">
        <f ca="1">IFERROR(__xludf.DUMMYFUNCTION("IFERROR(VLOOKUP(F50,IMPORTRANGE(""https://docs.google.com/spreadsheets/d/1Kvs4KS76FHFqLFIZfrDMff4kP08nblUkihrxltoGBjg/edit#gid=934712705"",""ESENCIAL!A6:BG""),3,FALSE))"),"TÉCNICO")</f>
        <v>TÉCNICO</v>
      </c>
      <c r="H46" s="11" t="str">
        <f ca="1">IFERROR(__xludf.DUMMYFUNCTION("IFERROR(VLOOKUP(F50,IMPORTRANGE(""https://docs.google.com/spreadsheets/d/1Kvs4KS76FHFqLFIZfrDMff4kP08nblUkihrxltoGBjg/edit#gid=934712705"",""ESENCIAL!A6:BG""),8,FALSE))"),"COCINA.")</f>
        <v>COCINA.</v>
      </c>
      <c r="I46" s="25"/>
      <c r="J46" s="25"/>
      <c r="K46" s="25"/>
      <c r="L46" s="303" t="s">
        <v>44</v>
      </c>
      <c r="M46" s="31"/>
      <c r="N46" s="31"/>
      <c r="O46" s="31"/>
      <c r="P46" s="31"/>
      <c r="Q46" s="31"/>
      <c r="R46" s="32"/>
      <c r="S46" s="32"/>
      <c r="T46" s="65" t="s">
        <v>176</v>
      </c>
      <c r="U46" s="31"/>
      <c r="V46" s="28"/>
      <c r="W46" s="28"/>
      <c r="X46" s="28"/>
      <c r="Y46" s="28"/>
      <c r="Z46" s="19" t="str">
        <f t="shared" ca="1" si="0"/>
        <v>NO_CUMPLE</v>
      </c>
      <c r="AA46" s="11" t="str">
        <f ca="1">IFERROR(__xludf.DUMMYFUNCTION("IFERROR(VLOOKUP(E68&amp;F68,IMPORTRANGE(""https://docs.google.com/spreadsheets/d/1Uw7-A9f9R21vMXxHZFNpYNeKFtG8_yji4HS352LGlSQ/edit?pli=1#gid=0"",""1_ACUM!A4:S""),11,FALSE))"),"")</f>
        <v/>
      </c>
      <c r="AB46" s="20" t="str">
        <f ca="1">IFERROR(__xludf.DUMMYFUNCTION("IFERROR(VLOOKUP(F68,IMPORTRANGE(""https://docs.google.com/spreadsheets/d/1Kvs4KS76FHFqLFIZfrDMff4kP08nblUkihrxltoGBjg/edit#gid=934712705"",""ESENCIAL!A6:BG""),15,FALSE))"),"")</f>
        <v/>
      </c>
      <c r="AC46" s="21" t="str">
        <f ca="1">IFERROR(__xludf.DUMMYFUNCTION("IFERROR(VLOOKUP(E68&amp;F68,IMPORTRANGE(""https://docs.google.com/spreadsheets/d/1Uw7-A9f9R21vMXxHZFNpYNeKFtG8_yji4HS352LGlSQ/edit?pli=1#gid=0"",""1_ACUM!A4:S""),13,FALSE))"),"")</f>
        <v/>
      </c>
      <c r="AD46" s="22" t="str">
        <f ca="1">IFERROR(__xludf.DUMMYFUNCTION("IFERROR(VLOOKUP(E68&amp;F68,IMPORTRANGE(""https://docs.google.com/spreadsheets/d/1Uw7-A9f9R21vMXxHZFNpYNeKFtG8_yji4HS352LGlSQ/edit?pli=1#gid=0"",""1_ACUM!A4:S""),13,FALSE))"),"")</f>
        <v/>
      </c>
      <c r="AE46" s="22" t="str">
        <f ca="1">IFERROR(__xludf.DUMMYFUNCTION("IFERROR(VLOOKUP(E68&amp;F68,IMPORTRANGE(""https://docs.google.com/spreadsheets/d/1Uw7-A9f9R21vMXxHZFNpYNeKFtG8_yji4HS352LGlSQ/edit?pli=1#gid=0"",""1_ACUM!A4:S""),14,FALSE))"),"")</f>
        <v/>
      </c>
      <c r="AF46" s="22" t="str">
        <f ca="1">IFERROR(__xludf.DUMMYFUNCTION("IFERROR(VLOOKUP(E68&amp;F68,IMPORTRANGE(""https://docs.google.com/spreadsheets/d/1Uw7-A9f9R21vMXxHZFNpYNeKFtG8_yji4HS352LGlSQ/edit?pli=1#gid=0"",""1_ACUM!A4:S""),15,FALSE))"),"")</f>
        <v/>
      </c>
      <c r="AG46" s="22" t="str">
        <f ca="1">IFERROR(__xludf.DUMMYFUNCTION("IFERROR(VLOOKUP(E68&amp;F68,IMPORTRANGE(""https://docs.google.com/spreadsheets/d/1Uw7-A9f9R21vMXxHZFNpYNeKFtG8_yji4HS352LGlSQ/edit?pli=1#gid=0"",""1_ACUM!A4:S""),16,FALSE))"),"")</f>
        <v/>
      </c>
      <c r="AH46" s="22" t="str">
        <f ca="1">IFERROR(__xludf.DUMMYFUNCTION("IFERROR(VLOOKUP(E68&amp;F68,IMPORTRANGE(""https://docs.google.com/spreadsheets/d/1Uw7-A9f9R21vMXxHZFNpYNeKFtG8_yji4HS352LGlSQ/edit?pli=1#gid=0"",""1_ACUM!A4:S""),17,FALSE))"),"")</f>
        <v/>
      </c>
      <c r="AI46" s="23" t="str">
        <f ca="1">IFERROR(__xludf.DUMMYFUNCTION("IFERROR(VLOOKUP(E68&amp;F68,IMPORTRANGE(""https://docs.google.com/spreadsheets/d/1Uw7-A9f9R21vMXxHZFNpYNeKFtG8_yji4HS352LGlSQ/edit?pli=1#gid=0"",""1_ACUM!A4:S""),18,FALSE))"),"")</f>
        <v/>
      </c>
      <c r="AJ46" s="23" t="str">
        <f ca="1">IFERROR(__xludf.DUMMYFUNCTION("IFERROR(VLOOKUP(E68&amp;F68,IMPORTRANGE(""https://docs.google.com/spreadsheets/d/1Uw7-A9f9R21vMXxHZFNpYNeKFtG8_yji4HS352LGlSQ/edit?pli=1#gid=0"",""1_ACUM!A4:S""),19,FALSE))"),"")</f>
        <v/>
      </c>
      <c r="AK46" s="68" t="str">
        <f ca="1">IFERROR(__xludf.DUMMYFUNCTION("IFERROR(VLOOKUP(F68,IMPORTRANGE(""https://docs.google.com/spreadsheets/d/1Kvs4KS76FHFqLFIZfrDMff4kP08nblUkihrxltoGBjg/edit#gid=934712705"",""ESENCIAL!A6:BG""),5,FALSE))"),"")</f>
        <v/>
      </c>
      <c r="AL46" s="68" t="e">
        <f t="shared" ca="1" si="1"/>
        <v>#VALUE!</v>
      </c>
      <c r="AM46" s="17" t="e">
        <f t="shared" ca="1" si="2"/>
        <v>#VALUE!</v>
      </c>
      <c r="AN46" s="38" t="str">
        <f ca="1">IFERROR(__xludf.DUMMYFUNCTION("IFERROR(VLOOKUP(F68,IMPORTRANGE(""https://docs.google.com/spreadsheets/d/1Kvs4KS76FHFqLFIZfrDMff4kP08nblUkihrxltoGBjg/edit#gid=934712705"",""ESENCIAL!A6:BG""),2,FALSE))"),"")</f>
        <v/>
      </c>
      <c r="AO46" s="19" t="str">
        <f t="shared" si="3"/>
        <v>Yamboro</v>
      </c>
      <c r="AP46" s="292"/>
      <c r="AQ46" s="38"/>
    </row>
    <row r="47" spans="1:43" ht="18" customHeight="1">
      <c r="A47" s="290"/>
      <c r="B47" s="145" t="s">
        <v>25</v>
      </c>
      <c r="C47" s="25" t="s">
        <v>1088</v>
      </c>
      <c r="D47" s="25" t="s">
        <v>27</v>
      </c>
      <c r="E47" s="25">
        <v>1143832520</v>
      </c>
      <c r="F47" s="25">
        <v>2500274</v>
      </c>
      <c r="G47" s="11" t="str">
        <f ca="1">IFERROR(__xludf.DUMMYFUNCTION("IFERROR(VLOOKUP(F50,IMPORTRANGE(""https://docs.google.com/spreadsheets/d/1Kvs4KS76FHFqLFIZfrDMff4kP08nblUkihrxltoGBjg/edit#gid=934712705"",""ESENCIAL!A6:BG""),3,FALSE))"),"TÉCNICO")</f>
        <v>TÉCNICO</v>
      </c>
      <c r="H47" s="11" t="str">
        <f ca="1">IFERROR(__xludf.DUMMYFUNCTION("IFERROR(VLOOKUP(F50,IMPORTRANGE(""https://docs.google.com/spreadsheets/d/1Kvs4KS76FHFqLFIZfrDMff4kP08nblUkihrxltoGBjg/edit#gid=934712705"",""ESENCIAL!A6:BG""),8,FALSE))"),"COCINA.")</f>
        <v>COCINA.</v>
      </c>
      <c r="I47" s="25"/>
      <c r="J47" s="25"/>
      <c r="K47" s="25"/>
      <c r="L47" s="303" t="s">
        <v>44</v>
      </c>
      <c r="M47" s="31"/>
      <c r="N47" s="31"/>
      <c r="O47" s="31"/>
      <c r="P47" s="31"/>
      <c r="Q47" s="31"/>
      <c r="R47" s="32"/>
      <c r="S47" s="32"/>
      <c r="T47" s="65"/>
      <c r="U47" s="31"/>
      <c r="V47" s="28"/>
      <c r="W47" s="28"/>
      <c r="X47" s="28"/>
      <c r="Y47" s="28"/>
      <c r="Z47" s="19" t="str">
        <f t="shared" ca="1" si="0"/>
        <v>NO_CUMPLE</v>
      </c>
      <c r="AA47" s="11" t="str">
        <f ca="1">IFERROR(__xludf.DUMMYFUNCTION("IFERROR(VLOOKUP(E69&amp;F69,IMPORTRANGE(""https://docs.google.com/spreadsheets/d/1Uw7-A9f9R21vMXxHZFNpYNeKFtG8_yji4HS352LGlSQ/edit?pli=1#gid=0"",""1_ACUM!A4:S""),11,FALSE))"),"")</f>
        <v/>
      </c>
      <c r="AB47" s="20" t="str">
        <f ca="1">IFERROR(__xludf.DUMMYFUNCTION("IFERROR(VLOOKUP(F69,IMPORTRANGE(""https://docs.google.com/spreadsheets/d/1Kvs4KS76FHFqLFIZfrDMff4kP08nblUkihrxltoGBjg/edit#gid=934712705"",""ESENCIAL!A6:BG""),15,FALSE))"),"")</f>
        <v/>
      </c>
      <c r="AC47" s="21" t="str">
        <f ca="1">IFERROR(__xludf.DUMMYFUNCTION("IFERROR(VLOOKUP(E69&amp;F69,IMPORTRANGE(""https://docs.google.com/spreadsheets/d/1Uw7-A9f9R21vMXxHZFNpYNeKFtG8_yji4HS352LGlSQ/edit?pli=1#gid=0"",""1_ACUM!A4:S""),13,FALSE))"),"")</f>
        <v/>
      </c>
      <c r="AD47" s="22" t="str">
        <f ca="1">IFERROR(__xludf.DUMMYFUNCTION("IFERROR(VLOOKUP(E69&amp;F69,IMPORTRANGE(""https://docs.google.com/spreadsheets/d/1Uw7-A9f9R21vMXxHZFNpYNeKFtG8_yji4HS352LGlSQ/edit?pli=1#gid=0"",""1_ACUM!A4:S""),13,FALSE))"),"")</f>
        <v/>
      </c>
      <c r="AE47" s="22" t="str">
        <f ca="1">IFERROR(__xludf.DUMMYFUNCTION("IFERROR(VLOOKUP(E69&amp;F69,IMPORTRANGE(""https://docs.google.com/spreadsheets/d/1Uw7-A9f9R21vMXxHZFNpYNeKFtG8_yji4HS352LGlSQ/edit?pli=1#gid=0"",""1_ACUM!A4:S""),14,FALSE))"),"")</f>
        <v/>
      </c>
      <c r="AF47" s="22" t="str">
        <f ca="1">IFERROR(__xludf.DUMMYFUNCTION("IFERROR(VLOOKUP(E69&amp;F69,IMPORTRANGE(""https://docs.google.com/spreadsheets/d/1Uw7-A9f9R21vMXxHZFNpYNeKFtG8_yji4HS352LGlSQ/edit?pli=1#gid=0"",""1_ACUM!A4:S""),15,FALSE))"),"")</f>
        <v/>
      </c>
      <c r="AG47" s="22" t="str">
        <f ca="1">IFERROR(__xludf.DUMMYFUNCTION("IFERROR(VLOOKUP(E69&amp;F69,IMPORTRANGE(""https://docs.google.com/spreadsheets/d/1Uw7-A9f9R21vMXxHZFNpYNeKFtG8_yji4HS352LGlSQ/edit?pli=1#gid=0"",""1_ACUM!A4:S""),16,FALSE))"),"")</f>
        <v/>
      </c>
      <c r="AH47" s="22" t="str">
        <f ca="1">IFERROR(__xludf.DUMMYFUNCTION("IFERROR(VLOOKUP(E69&amp;F69,IMPORTRANGE(""https://docs.google.com/spreadsheets/d/1Uw7-A9f9R21vMXxHZFNpYNeKFtG8_yji4HS352LGlSQ/edit?pli=1#gid=0"",""1_ACUM!A4:S""),17,FALSE))"),"")</f>
        <v/>
      </c>
      <c r="AI47" s="23" t="str">
        <f ca="1">IFERROR(__xludf.DUMMYFUNCTION("IFERROR(VLOOKUP(E69&amp;F69,IMPORTRANGE(""https://docs.google.com/spreadsheets/d/1Uw7-A9f9R21vMXxHZFNpYNeKFtG8_yji4HS352LGlSQ/edit?pli=1#gid=0"",""1_ACUM!A4:S""),18,FALSE))"),"")</f>
        <v/>
      </c>
      <c r="AJ47" s="23" t="str">
        <f ca="1">IFERROR(__xludf.DUMMYFUNCTION("IFERROR(VLOOKUP(E69&amp;F69,IMPORTRANGE(""https://docs.google.com/spreadsheets/d/1Uw7-A9f9R21vMXxHZFNpYNeKFtG8_yji4HS352LGlSQ/edit?pli=1#gid=0"",""1_ACUM!A4:S""),19,FALSE))"),"")</f>
        <v/>
      </c>
      <c r="AK47" s="68" t="str">
        <f ca="1">IFERROR(__xludf.DUMMYFUNCTION("IFERROR(VLOOKUP(F69,IMPORTRANGE(""https://docs.google.com/spreadsheets/d/1Kvs4KS76FHFqLFIZfrDMff4kP08nblUkihrxltoGBjg/edit#gid=934712705"",""ESENCIAL!A6:BG""),5,FALSE))"),"")</f>
        <v/>
      </c>
      <c r="AL47" s="68" t="e">
        <f t="shared" ca="1" si="1"/>
        <v>#VALUE!</v>
      </c>
      <c r="AM47" s="17" t="e">
        <f t="shared" ca="1" si="2"/>
        <v>#VALUE!</v>
      </c>
      <c r="AN47" s="38" t="str">
        <f ca="1">IFERROR(__xludf.DUMMYFUNCTION("IFERROR(VLOOKUP(F69,IMPORTRANGE(""https://docs.google.com/spreadsheets/d/1Kvs4KS76FHFqLFIZfrDMff4kP08nblUkihrxltoGBjg/edit#gid=934712705"",""ESENCIAL!A6:BG""),2,FALSE))"),"")</f>
        <v/>
      </c>
      <c r="AO47" s="19" t="str">
        <f t="shared" si="3"/>
        <v>Yamboro</v>
      </c>
      <c r="AP47" s="292"/>
      <c r="AQ47" s="38"/>
    </row>
    <row r="48" spans="1:43" ht="18" customHeight="1">
      <c r="A48" s="304"/>
      <c r="B48" s="298" t="s">
        <v>25</v>
      </c>
      <c r="C48" s="305" t="s">
        <v>1089</v>
      </c>
      <c r="D48" s="305" t="s">
        <v>27</v>
      </c>
      <c r="E48" s="305">
        <v>53011894</v>
      </c>
      <c r="F48" s="305">
        <v>2500274</v>
      </c>
      <c r="G48" s="306" t="str">
        <f ca="1">IFERROR(__xludf.DUMMYFUNCTION("IFERROR(VLOOKUP(F50,IMPORTRANGE(""https://docs.google.com/spreadsheets/d/1Kvs4KS76FHFqLFIZfrDMff4kP08nblUkihrxltoGBjg/edit#gid=934712705"",""ESENCIAL!A6:BG""),3,FALSE))"),"TÉCNICO")</f>
        <v>TÉCNICO</v>
      </c>
      <c r="H48" s="306" t="str">
        <f ca="1">IFERROR(__xludf.DUMMYFUNCTION("IFERROR(VLOOKUP(F50,IMPORTRANGE(""https://docs.google.com/spreadsheets/d/1Kvs4KS76FHFqLFIZfrDMff4kP08nblUkihrxltoGBjg/edit#gid=934712705"",""ESENCIAL!A6:BG""),8,FALSE))"),"COCINA.")</f>
        <v>COCINA.</v>
      </c>
      <c r="I48" s="305"/>
      <c r="J48" s="305"/>
      <c r="K48" s="305"/>
      <c r="L48" s="307" t="s">
        <v>44</v>
      </c>
      <c r="M48" s="308"/>
      <c r="N48" s="308"/>
      <c r="O48" s="308"/>
      <c r="P48" s="308"/>
      <c r="Q48" s="308"/>
      <c r="R48" s="309"/>
      <c r="S48" s="309"/>
      <c r="T48" s="310"/>
      <c r="U48" s="308"/>
      <c r="V48" s="311"/>
      <c r="W48" s="311"/>
      <c r="X48" s="311"/>
      <c r="Y48" s="311"/>
      <c r="Z48" s="312" t="str">
        <f t="shared" ca="1" si="0"/>
        <v>NO_CUMPLE</v>
      </c>
      <c r="AA48" s="306" t="str">
        <f ca="1">IFERROR(__xludf.DUMMYFUNCTION("IFERROR(VLOOKUP(E70&amp;F70,IMPORTRANGE(""https://docs.google.com/spreadsheets/d/1Uw7-A9f9R21vMXxHZFNpYNeKFtG8_yji4HS352LGlSQ/edit?pli=1#gid=0"",""1_ACUM!A4:S""),11,FALSE))"),"")</f>
        <v/>
      </c>
      <c r="AB48" s="313" t="str">
        <f ca="1">IFERROR(__xludf.DUMMYFUNCTION("IFERROR(VLOOKUP(F70,IMPORTRANGE(""https://docs.google.com/spreadsheets/d/1Kvs4KS76FHFqLFIZfrDMff4kP08nblUkihrxltoGBjg/edit#gid=934712705"",""ESENCIAL!A6:BG""),15,FALSE))"),"")</f>
        <v/>
      </c>
      <c r="AC48" s="314" t="str">
        <f ca="1">IFERROR(__xludf.DUMMYFUNCTION("IFERROR(VLOOKUP(E70&amp;F70,IMPORTRANGE(""https://docs.google.com/spreadsheets/d/1Uw7-A9f9R21vMXxHZFNpYNeKFtG8_yji4HS352LGlSQ/edit?pli=1#gid=0"",""1_ACUM!A4:S""),13,FALSE))"),"")</f>
        <v/>
      </c>
      <c r="AD48" s="315" t="str">
        <f ca="1">IFERROR(__xludf.DUMMYFUNCTION("IFERROR(VLOOKUP(E70&amp;F70,IMPORTRANGE(""https://docs.google.com/spreadsheets/d/1Uw7-A9f9R21vMXxHZFNpYNeKFtG8_yji4HS352LGlSQ/edit?pli=1#gid=0"",""1_ACUM!A4:S""),13,FALSE))"),"")</f>
        <v/>
      </c>
      <c r="AE48" s="315" t="str">
        <f ca="1">IFERROR(__xludf.DUMMYFUNCTION("IFERROR(VLOOKUP(E70&amp;F70,IMPORTRANGE(""https://docs.google.com/spreadsheets/d/1Uw7-A9f9R21vMXxHZFNpYNeKFtG8_yji4HS352LGlSQ/edit?pli=1#gid=0"",""1_ACUM!A4:S""),14,FALSE))"),"")</f>
        <v/>
      </c>
      <c r="AF48" s="315" t="str">
        <f ca="1">IFERROR(__xludf.DUMMYFUNCTION("IFERROR(VLOOKUP(E70&amp;F70,IMPORTRANGE(""https://docs.google.com/spreadsheets/d/1Uw7-A9f9R21vMXxHZFNpYNeKFtG8_yji4HS352LGlSQ/edit?pli=1#gid=0"",""1_ACUM!A4:S""),15,FALSE))"),"")</f>
        <v/>
      </c>
      <c r="AG48" s="315" t="str">
        <f ca="1">IFERROR(__xludf.DUMMYFUNCTION("IFERROR(VLOOKUP(E70&amp;F70,IMPORTRANGE(""https://docs.google.com/spreadsheets/d/1Uw7-A9f9R21vMXxHZFNpYNeKFtG8_yji4HS352LGlSQ/edit?pli=1#gid=0"",""1_ACUM!A4:S""),16,FALSE))"),"")</f>
        <v/>
      </c>
      <c r="AH48" s="315" t="str">
        <f ca="1">IFERROR(__xludf.DUMMYFUNCTION("IFERROR(VLOOKUP(E70&amp;F70,IMPORTRANGE(""https://docs.google.com/spreadsheets/d/1Uw7-A9f9R21vMXxHZFNpYNeKFtG8_yji4HS352LGlSQ/edit?pli=1#gid=0"",""1_ACUM!A4:S""),17,FALSE))"),"")</f>
        <v/>
      </c>
      <c r="AI48" s="316" t="str">
        <f ca="1">IFERROR(__xludf.DUMMYFUNCTION("IFERROR(VLOOKUP(E70&amp;F70,IMPORTRANGE(""https://docs.google.com/spreadsheets/d/1Uw7-A9f9R21vMXxHZFNpYNeKFtG8_yji4HS352LGlSQ/edit?pli=1#gid=0"",""1_ACUM!A4:S""),18,FALSE))"),"")</f>
        <v/>
      </c>
      <c r="AJ48" s="316" t="str">
        <f ca="1">IFERROR(__xludf.DUMMYFUNCTION("IFERROR(VLOOKUP(E70&amp;F70,IMPORTRANGE(""https://docs.google.com/spreadsheets/d/1Uw7-A9f9R21vMXxHZFNpYNeKFtG8_yji4HS352LGlSQ/edit?pli=1#gid=0"",""1_ACUM!A4:S""),19,FALSE))"),"")</f>
        <v/>
      </c>
      <c r="AK48" s="317" t="str">
        <f ca="1">IFERROR(__xludf.DUMMYFUNCTION("IFERROR(VLOOKUP(F70,IMPORTRANGE(""https://docs.google.com/spreadsheets/d/1Kvs4KS76FHFqLFIZfrDMff4kP08nblUkihrxltoGBjg/edit#gid=934712705"",""ESENCIAL!A6:BG""),5,FALSE))"),"")</f>
        <v/>
      </c>
      <c r="AL48" s="317" t="e">
        <f t="shared" ca="1" si="1"/>
        <v>#VALUE!</v>
      </c>
      <c r="AM48" s="318" t="e">
        <f t="shared" ca="1" si="2"/>
        <v>#VALUE!</v>
      </c>
      <c r="AN48" s="319" t="str">
        <f ca="1">IFERROR(__xludf.DUMMYFUNCTION("IFERROR(VLOOKUP(F70,IMPORTRANGE(""https://docs.google.com/spreadsheets/d/1Kvs4KS76FHFqLFIZfrDMff4kP08nblUkihrxltoGBjg/edit#gid=934712705"",""ESENCIAL!A6:BG""),2,FALSE))"),"")</f>
        <v/>
      </c>
      <c r="AO48" s="312" t="str">
        <f t="shared" si="3"/>
        <v>Yamboro</v>
      </c>
      <c r="AP48" s="292"/>
      <c r="AQ48" s="38"/>
    </row>
    <row r="49" spans="1:43" ht="15">
      <c r="A49" s="24"/>
      <c r="B49" s="29"/>
      <c r="C49" s="148" t="s">
        <v>1090</v>
      </c>
      <c r="D49" s="606" t="s">
        <v>27</v>
      </c>
      <c r="E49" s="612">
        <v>1004034435</v>
      </c>
      <c r="F49" s="360">
        <v>2562906</v>
      </c>
      <c r="G49" s="11" t="str">
        <f ca="1">IFERROR(__xludf.DUMMYFUNCTION("IFERROR(VLOOKUP(F50,IMPORTRANGE(""https://docs.google.com/spreadsheets/d/1Kvs4KS76FHFqLFIZfrDMff4kP08nblUkihrxltoGBjg/edit#gid=934712705"",""ESENCIAL!A6:BG""),3,FALSE))"),"TÉCNICO")</f>
        <v>TÉCNICO</v>
      </c>
      <c r="H49" s="609" t="s">
        <v>1091</v>
      </c>
      <c r="I49" s="281"/>
      <c r="J49" s="281"/>
      <c r="K49" s="281"/>
      <c r="L49" s="608"/>
      <c r="M49" s="281"/>
      <c r="N49" s="281"/>
      <c r="O49" s="281"/>
      <c r="P49" s="281"/>
      <c r="Q49" s="281"/>
      <c r="R49" s="281"/>
      <c r="S49" s="281"/>
      <c r="T49" s="611"/>
      <c r="U49" s="611"/>
      <c r="V49" s="611" t="s">
        <v>995</v>
      </c>
      <c r="W49" s="611" t="s">
        <v>996</v>
      </c>
      <c r="X49" s="281"/>
      <c r="Y49" s="281"/>
      <c r="Z49" s="19" t="str">
        <f t="shared" ref="Z49:Z65" ca="1" si="4">IF(E49&gt;0,IF(AND(AH49=1,AE49=1),"Procede_E_P","NO_CUMPLE"),"")</f>
        <v>NO_CUMPLE</v>
      </c>
      <c r="AA49" s="11" t="str">
        <f ca="1">IFERROR(__xludf.DUMMYFUNCTION("IFERROR(VLOOKUP(E71&amp;F71,IMPORTRANGE(""https://docs.google.com/spreadsheets/d/1Uw7-A9f9R21vMXxHZFNpYNeKFtG8_yji4HS352LGlSQ/edit?pli=1#gid=0"",""1_ACUM!A4:S""),11,FALSE))"),"")</f>
        <v/>
      </c>
      <c r="AB49" s="20" t="str">
        <f ca="1">IFERROR(__xludf.DUMMYFUNCTION("IFERROR(VLOOKUP(F71,IMPORTRANGE(""https://docs.google.com/spreadsheets/d/1Kvs4KS76FHFqLFIZfrDMff4kP08nblUkihrxltoGBjg/edit#gid=934712705"",""ESENCIAL!A6:BG""),15,FALSE))"),"")</f>
        <v/>
      </c>
      <c r="AC49" s="21" t="str">
        <f ca="1">IFERROR(__xludf.DUMMYFUNCTION("IFERROR(VLOOKUP(E71&amp;F71,IMPORTRANGE(""https://docs.google.com/spreadsheets/d/1Uw7-A9f9R21vMXxHZFNpYNeKFtG8_yji4HS352LGlSQ/edit?pli=1#gid=0"",""1_ACUM!A4:S""),13,FALSE))"),"")</f>
        <v/>
      </c>
      <c r="AD49" s="22" t="str">
        <f ca="1">IFERROR(__xludf.DUMMYFUNCTION("IFERROR(VLOOKUP(E71&amp;F71,IMPORTRANGE(""https://docs.google.com/spreadsheets/d/1Uw7-A9f9R21vMXxHZFNpYNeKFtG8_yji4HS352LGlSQ/edit?pli=1#gid=0"",""1_ACUM!A4:S""),13,FALSE))"),"")</f>
        <v/>
      </c>
      <c r="AE49" s="22" t="str">
        <f ca="1">IFERROR(__xludf.DUMMYFUNCTION("IFERROR(VLOOKUP(E71&amp;F71,IMPORTRANGE(""https://docs.google.com/spreadsheets/d/1Uw7-A9f9R21vMXxHZFNpYNeKFtG8_yji4HS352LGlSQ/edit?pli=1#gid=0"",""1_ACUM!A4:S""),14,FALSE))"),"")</f>
        <v/>
      </c>
      <c r="AF49" s="22" t="str">
        <f ca="1">IFERROR(__xludf.DUMMYFUNCTION("IFERROR(VLOOKUP(E71&amp;F71,IMPORTRANGE(""https://docs.google.com/spreadsheets/d/1Uw7-A9f9R21vMXxHZFNpYNeKFtG8_yji4HS352LGlSQ/edit?pli=1#gid=0"",""1_ACUM!A4:S""),15,FALSE))"),"")</f>
        <v/>
      </c>
      <c r="AG49" s="22" t="str">
        <f ca="1">IFERROR(__xludf.DUMMYFUNCTION("IFERROR(VLOOKUP(E71&amp;F71,IMPORTRANGE(""https://docs.google.com/spreadsheets/d/1Uw7-A9f9R21vMXxHZFNpYNeKFtG8_yji4HS352LGlSQ/edit?pli=1#gid=0"",""1_ACUM!A4:S""),16,FALSE))"),"")</f>
        <v/>
      </c>
      <c r="AH49" s="22" t="str">
        <f ca="1">IFERROR(__xludf.DUMMYFUNCTION("IFERROR(VLOOKUP(E71&amp;F71,IMPORTRANGE(""https://docs.google.com/spreadsheets/d/1Uw7-A9f9R21vMXxHZFNpYNeKFtG8_yji4HS352LGlSQ/edit?pli=1#gid=0"",""1_ACUM!A4:S""),17,FALSE))"),"")</f>
        <v/>
      </c>
      <c r="AI49" s="23" t="str">
        <f ca="1">IFERROR(__xludf.DUMMYFUNCTION("IFERROR(VLOOKUP(E71&amp;F71,IMPORTRANGE(""https://docs.google.com/spreadsheets/d/1Uw7-A9f9R21vMXxHZFNpYNeKFtG8_yji4HS352LGlSQ/edit?pli=1#gid=0"",""1_ACUM!A4:S""),18,FALSE))"),"")</f>
        <v/>
      </c>
      <c r="AJ49" s="23" t="str">
        <f ca="1">IFERROR(__xludf.DUMMYFUNCTION("IFERROR(VLOOKUP(E71&amp;F71,IMPORTRANGE(""https://docs.google.com/spreadsheets/d/1Uw7-A9f9R21vMXxHZFNpYNeKFtG8_yji4HS352LGlSQ/edit?pli=1#gid=0"",""1_ACUM!A4:S""),19,FALSE))"),"")</f>
        <v/>
      </c>
      <c r="AK49" s="68" t="str">
        <f ca="1">IFERROR(__xludf.DUMMYFUNCTION("IFERROR(VLOOKUP(F71,IMPORTRANGE(""https://docs.google.com/spreadsheets/d/1Kvs4KS76FHFqLFIZfrDMff4kP08nblUkihrxltoGBjg/edit#gid=934712705"",""ESENCIAL!A6:BG""),5,FALSE))"),"")</f>
        <v/>
      </c>
      <c r="AL49" s="68" t="e">
        <f t="shared" ref="AL49:AL65" ca="1" si="5">IF(F49&gt;0,EDATE(AK49,18),"")</f>
        <v>#VALUE!</v>
      </c>
      <c r="AM49" s="17" t="e">
        <f t="shared" ref="AM49:AM65" ca="1" si="6">IF(F49&gt;0,IF(AL49&lt;$AM$1,"FINALIZAR FICHA","FICHA EN TIEMPO-18 MESES"),"")</f>
        <v>#VALUE!</v>
      </c>
      <c r="AN49" s="38" t="str">
        <f ca="1">IFERROR(__xludf.DUMMYFUNCTION("IFERROR(VLOOKUP(F71,IMPORTRANGE(""https://docs.google.com/spreadsheets/d/1Kvs4KS76FHFqLFIZfrDMff4kP08nblUkihrxltoGBjg/edit#gid=934712705"",""ESENCIAL!A6:BG""),2,FALSE))"),"")</f>
        <v/>
      </c>
      <c r="AO49" s="19" t="str">
        <f t="shared" ref="AO49:AO65" si="7">IF(F49&gt;0,"Yamboro","")</f>
        <v>Yamboro</v>
      </c>
      <c r="AP49" s="100"/>
      <c r="AQ49" s="100"/>
    </row>
    <row r="50" spans="1:43" ht="15">
      <c r="A50" s="24"/>
      <c r="B50" s="29"/>
      <c r="C50" s="578" t="s">
        <v>1092</v>
      </c>
      <c r="D50" s="606" t="s">
        <v>27</v>
      </c>
      <c r="E50" s="612">
        <v>1004446667</v>
      </c>
      <c r="F50" s="360">
        <v>2562906</v>
      </c>
      <c r="G50" s="11" t="str">
        <f ca="1">IFERROR(__xludf.DUMMYFUNCTION("IFERROR(VLOOKUP(F50,IMPORTRANGE(""https://docs.google.com/spreadsheets/d/1Kvs4KS76FHFqLFIZfrDMff4kP08nblUkihrxltoGBjg/edit#gid=934712705"",""ESENCIAL!A6:BG""),3,FALSE))"),"TÉCNICO")</f>
        <v>TÉCNICO</v>
      </c>
      <c r="H50" s="609" t="s">
        <v>1091</v>
      </c>
      <c r="I50" s="281"/>
      <c r="J50" s="281"/>
      <c r="K50" s="281"/>
      <c r="L50" s="608"/>
      <c r="M50" s="281"/>
      <c r="N50" s="281"/>
      <c r="O50" s="281"/>
      <c r="P50" s="281"/>
      <c r="Q50" s="281"/>
      <c r="R50" s="281"/>
      <c r="S50" s="281"/>
      <c r="T50" s="611"/>
      <c r="U50" s="611"/>
      <c r="V50" s="611" t="s">
        <v>995</v>
      </c>
      <c r="W50" s="611" t="s">
        <v>996</v>
      </c>
      <c r="X50" s="281"/>
      <c r="Y50" s="281"/>
      <c r="Z50" s="19" t="str">
        <f t="shared" ca="1" si="4"/>
        <v>NO_CUMPLE</v>
      </c>
      <c r="AA50" s="11" t="str">
        <f ca="1">IFERROR(__xludf.DUMMYFUNCTION("IFERROR(VLOOKUP(E72&amp;F72,IMPORTRANGE(""https://docs.google.com/spreadsheets/d/1Uw7-A9f9R21vMXxHZFNpYNeKFtG8_yji4HS352LGlSQ/edit?pli=1#gid=0"",""1_ACUM!A4:S""),11,FALSE))"),"")</f>
        <v/>
      </c>
      <c r="AB50" s="20" t="str">
        <f ca="1">IFERROR(__xludf.DUMMYFUNCTION("IFERROR(VLOOKUP(F72,IMPORTRANGE(""https://docs.google.com/spreadsheets/d/1Kvs4KS76FHFqLFIZfrDMff4kP08nblUkihrxltoGBjg/edit#gid=934712705"",""ESENCIAL!A6:BG""),15,FALSE))"),"")</f>
        <v/>
      </c>
      <c r="AC50" s="21" t="str">
        <f ca="1">IFERROR(__xludf.DUMMYFUNCTION("IFERROR(VLOOKUP(E72&amp;F72,IMPORTRANGE(""https://docs.google.com/spreadsheets/d/1Uw7-A9f9R21vMXxHZFNpYNeKFtG8_yji4HS352LGlSQ/edit?pli=1#gid=0"",""1_ACUM!A4:S""),13,FALSE))"),"")</f>
        <v/>
      </c>
      <c r="AD50" s="22" t="str">
        <f ca="1">IFERROR(__xludf.DUMMYFUNCTION("IFERROR(VLOOKUP(E72&amp;F72,IMPORTRANGE(""https://docs.google.com/spreadsheets/d/1Uw7-A9f9R21vMXxHZFNpYNeKFtG8_yji4HS352LGlSQ/edit?pli=1#gid=0"",""1_ACUM!A4:S""),13,FALSE))"),"")</f>
        <v/>
      </c>
      <c r="AE50" s="22" t="str">
        <f ca="1">IFERROR(__xludf.DUMMYFUNCTION("IFERROR(VLOOKUP(E72&amp;F72,IMPORTRANGE(""https://docs.google.com/spreadsheets/d/1Uw7-A9f9R21vMXxHZFNpYNeKFtG8_yji4HS352LGlSQ/edit?pli=1#gid=0"",""1_ACUM!A4:S""),14,FALSE))"),"")</f>
        <v/>
      </c>
      <c r="AF50" s="22" t="str">
        <f ca="1">IFERROR(__xludf.DUMMYFUNCTION("IFERROR(VLOOKUP(E72&amp;F72,IMPORTRANGE(""https://docs.google.com/spreadsheets/d/1Uw7-A9f9R21vMXxHZFNpYNeKFtG8_yji4HS352LGlSQ/edit?pli=1#gid=0"",""1_ACUM!A4:S""),15,FALSE))"),"")</f>
        <v/>
      </c>
      <c r="AG50" s="22" t="str">
        <f ca="1">IFERROR(__xludf.DUMMYFUNCTION("IFERROR(VLOOKUP(E72&amp;F72,IMPORTRANGE(""https://docs.google.com/spreadsheets/d/1Uw7-A9f9R21vMXxHZFNpYNeKFtG8_yji4HS352LGlSQ/edit?pli=1#gid=0"",""1_ACUM!A4:S""),16,FALSE))"),"")</f>
        <v/>
      </c>
      <c r="AH50" s="22" t="str">
        <f ca="1">IFERROR(__xludf.DUMMYFUNCTION("IFERROR(VLOOKUP(E72&amp;F72,IMPORTRANGE(""https://docs.google.com/spreadsheets/d/1Uw7-A9f9R21vMXxHZFNpYNeKFtG8_yji4HS352LGlSQ/edit?pli=1#gid=0"",""1_ACUM!A4:S""),17,FALSE))"),"")</f>
        <v/>
      </c>
      <c r="AI50" s="23" t="str">
        <f ca="1">IFERROR(__xludf.DUMMYFUNCTION("IFERROR(VLOOKUP(E72&amp;F72,IMPORTRANGE(""https://docs.google.com/spreadsheets/d/1Uw7-A9f9R21vMXxHZFNpYNeKFtG8_yji4HS352LGlSQ/edit?pli=1#gid=0"",""1_ACUM!A4:S""),18,FALSE))"),"")</f>
        <v/>
      </c>
      <c r="AJ50" s="23" t="str">
        <f ca="1">IFERROR(__xludf.DUMMYFUNCTION("IFERROR(VLOOKUP(E72&amp;F72,IMPORTRANGE(""https://docs.google.com/spreadsheets/d/1Uw7-A9f9R21vMXxHZFNpYNeKFtG8_yji4HS352LGlSQ/edit?pli=1#gid=0"",""1_ACUM!A4:S""),19,FALSE))"),"")</f>
        <v/>
      </c>
      <c r="AK50" s="68" t="str">
        <f ca="1">IFERROR(__xludf.DUMMYFUNCTION("IFERROR(VLOOKUP(F72,IMPORTRANGE(""https://docs.google.com/spreadsheets/d/1Kvs4KS76FHFqLFIZfrDMff4kP08nblUkihrxltoGBjg/edit#gid=934712705"",""ESENCIAL!A6:BG""),5,FALSE))"),"")</f>
        <v/>
      </c>
      <c r="AL50" s="68" t="e">
        <f t="shared" ca="1" si="5"/>
        <v>#VALUE!</v>
      </c>
      <c r="AM50" s="17" t="e">
        <f t="shared" ca="1" si="6"/>
        <v>#VALUE!</v>
      </c>
      <c r="AN50" s="38" t="str">
        <f ca="1">IFERROR(__xludf.DUMMYFUNCTION("IFERROR(VLOOKUP(F72,IMPORTRANGE(""https://docs.google.com/spreadsheets/d/1Kvs4KS76FHFqLFIZfrDMff4kP08nblUkihrxltoGBjg/edit#gid=934712705"",""ESENCIAL!A6:BG""),2,FALSE))"),"")</f>
        <v/>
      </c>
      <c r="AO50" s="19" t="str">
        <f t="shared" si="7"/>
        <v>Yamboro</v>
      </c>
      <c r="AP50" s="100"/>
      <c r="AQ50" s="100"/>
    </row>
    <row r="51" spans="1:43" ht="15">
      <c r="A51" s="24"/>
      <c r="B51" s="29"/>
      <c r="C51" s="614" t="s">
        <v>1093</v>
      </c>
      <c r="D51" s="606" t="s">
        <v>27</v>
      </c>
      <c r="E51" s="612">
        <v>1006466052</v>
      </c>
      <c r="F51" s="360">
        <v>2562906</v>
      </c>
      <c r="G51" s="11" t="str">
        <f ca="1">IFERROR(__xludf.DUMMYFUNCTION("IFERROR(VLOOKUP(F50,IMPORTRANGE(""https://docs.google.com/spreadsheets/d/1Kvs4KS76FHFqLFIZfrDMff4kP08nblUkihrxltoGBjg/edit#gid=934712705"",""ESENCIAL!A6:BG""),3,FALSE))"),"TÉCNICO")</f>
        <v>TÉCNICO</v>
      </c>
      <c r="H51" s="609" t="s">
        <v>1091</v>
      </c>
      <c r="I51" s="281"/>
      <c r="J51" s="281"/>
      <c r="K51" s="281"/>
      <c r="L51" s="608"/>
      <c r="M51" s="281"/>
      <c r="N51" s="281"/>
      <c r="O51" s="281"/>
      <c r="P51" s="281"/>
      <c r="Q51" s="281"/>
      <c r="R51" s="281"/>
      <c r="S51" s="281"/>
      <c r="T51" s="281" t="s">
        <v>1094</v>
      </c>
      <c r="U51" s="281"/>
      <c r="V51" s="611" t="s">
        <v>995</v>
      </c>
      <c r="W51" s="611" t="s">
        <v>996</v>
      </c>
      <c r="X51" s="281"/>
      <c r="Y51" s="281"/>
      <c r="Z51" s="19" t="str">
        <f t="shared" ca="1" si="4"/>
        <v>NO_CUMPLE</v>
      </c>
      <c r="AA51" s="11" t="str">
        <f ca="1">IFERROR(__xludf.DUMMYFUNCTION("IFERROR(VLOOKUP(E73&amp;F73,IMPORTRANGE(""https://docs.google.com/spreadsheets/d/1Uw7-A9f9R21vMXxHZFNpYNeKFtG8_yji4HS352LGlSQ/edit?pli=1#gid=0"",""1_ACUM!A4:S""),11,FALSE))"),"")</f>
        <v/>
      </c>
      <c r="AB51" s="20" t="str">
        <f ca="1">IFERROR(__xludf.DUMMYFUNCTION("IFERROR(VLOOKUP(F73,IMPORTRANGE(""https://docs.google.com/spreadsheets/d/1Kvs4KS76FHFqLFIZfrDMff4kP08nblUkihrxltoGBjg/edit#gid=934712705"",""ESENCIAL!A6:BG""),15,FALSE))"),"")</f>
        <v/>
      </c>
      <c r="AC51" s="21" t="str">
        <f ca="1">IFERROR(__xludf.DUMMYFUNCTION("IFERROR(VLOOKUP(E73&amp;F73,IMPORTRANGE(""https://docs.google.com/spreadsheets/d/1Uw7-A9f9R21vMXxHZFNpYNeKFtG8_yji4HS352LGlSQ/edit?pli=1#gid=0"",""1_ACUM!A4:S""),13,FALSE))"),"")</f>
        <v/>
      </c>
      <c r="AD51" s="22" t="str">
        <f ca="1">IFERROR(__xludf.DUMMYFUNCTION("IFERROR(VLOOKUP(E73&amp;F73,IMPORTRANGE(""https://docs.google.com/spreadsheets/d/1Uw7-A9f9R21vMXxHZFNpYNeKFtG8_yji4HS352LGlSQ/edit?pli=1#gid=0"",""1_ACUM!A4:S""),13,FALSE))"),"")</f>
        <v/>
      </c>
      <c r="AE51" s="22" t="str">
        <f ca="1">IFERROR(__xludf.DUMMYFUNCTION("IFERROR(VLOOKUP(E73&amp;F73,IMPORTRANGE(""https://docs.google.com/spreadsheets/d/1Uw7-A9f9R21vMXxHZFNpYNeKFtG8_yji4HS352LGlSQ/edit?pli=1#gid=0"",""1_ACUM!A4:S""),14,FALSE))"),"")</f>
        <v/>
      </c>
      <c r="AF51" s="22" t="str">
        <f ca="1">IFERROR(__xludf.DUMMYFUNCTION("IFERROR(VLOOKUP(E73&amp;F73,IMPORTRANGE(""https://docs.google.com/spreadsheets/d/1Uw7-A9f9R21vMXxHZFNpYNeKFtG8_yji4HS352LGlSQ/edit?pli=1#gid=0"",""1_ACUM!A4:S""),15,FALSE))"),"")</f>
        <v/>
      </c>
      <c r="AG51" s="22" t="str">
        <f ca="1">IFERROR(__xludf.DUMMYFUNCTION("IFERROR(VLOOKUP(E73&amp;F73,IMPORTRANGE(""https://docs.google.com/spreadsheets/d/1Uw7-A9f9R21vMXxHZFNpYNeKFtG8_yji4HS352LGlSQ/edit?pli=1#gid=0"",""1_ACUM!A4:S""),16,FALSE))"),"")</f>
        <v/>
      </c>
      <c r="AH51" s="22" t="str">
        <f ca="1">IFERROR(__xludf.DUMMYFUNCTION("IFERROR(VLOOKUP(E73&amp;F73,IMPORTRANGE(""https://docs.google.com/spreadsheets/d/1Uw7-A9f9R21vMXxHZFNpYNeKFtG8_yji4HS352LGlSQ/edit?pli=1#gid=0"",""1_ACUM!A4:S""),17,FALSE))"),"")</f>
        <v/>
      </c>
      <c r="AI51" s="23" t="str">
        <f ca="1">IFERROR(__xludf.DUMMYFUNCTION("IFERROR(VLOOKUP(E73&amp;F73,IMPORTRANGE(""https://docs.google.com/spreadsheets/d/1Uw7-A9f9R21vMXxHZFNpYNeKFtG8_yji4HS352LGlSQ/edit?pli=1#gid=0"",""1_ACUM!A4:S""),18,FALSE))"),"")</f>
        <v/>
      </c>
      <c r="AJ51" s="23" t="str">
        <f ca="1">IFERROR(__xludf.DUMMYFUNCTION("IFERROR(VLOOKUP(E73&amp;F73,IMPORTRANGE(""https://docs.google.com/spreadsheets/d/1Uw7-A9f9R21vMXxHZFNpYNeKFtG8_yji4HS352LGlSQ/edit?pli=1#gid=0"",""1_ACUM!A4:S""),19,FALSE))"),"")</f>
        <v/>
      </c>
      <c r="AK51" s="68" t="str">
        <f ca="1">IFERROR(__xludf.DUMMYFUNCTION("IFERROR(VLOOKUP(F73,IMPORTRANGE(""https://docs.google.com/spreadsheets/d/1Kvs4KS76FHFqLFIZfrDMff4kP08nblUkihrxltoGBjg/edit#gid=934712705"",""ESENCIAL!A6:BG""),5,FALSE))"),"")</f>
        <v/>
      </c>
      <c r="AL51" s="68" t="e">
        <f t="shared" ca="1" si="5"/>
        <v>#VALUE!</v>
      </c>
      <c r="AM51" s="17" t="e">
        <f t="shared" ca="1" si="6"/>
        <v>#VALUE!</v>
      </c>
      <c r="AN51" s="38" t="str">
        <f ca="1">IFERROR(__xludf.DUMMYFUNCTION("IFERROR(VLOOKUP(F73,IMPORTRANGE(""https://docs.google.com/spreadsheets/d/1Kvs4KS76FHFqLFIZfrDMff4kP08nblUkihrxltoGBjg/edit#gid=934712705"",""ESENCIAL!A6:BG""),2,FALSE))"),"")</f>
        <v/>
      </c>
      <c r="AO51" s="19" t="str">
        <f t="shared" si="7"/>
        <v>Yamboro</v>
      </c>
      <c r="AP51" s="100"/>
      <c r="AQ51" s="100"/>
    </row>
    <row r="52" spans="1:43" ht="15">
      <c r="A52" s="24"/>
      <c r="B52" s="29"/>
      <c r="C52" s="614" t="s">
        <v>1095</v>
      </c>
      <c r="D52" s="607" t="s">
        <v>27</v>
      </c>
      <c r="E52" s="613">
        <v>1006487502</v>
      </c>
      <c r="F52" s="360">
        <v>2562906</v>
      </c>
      <c r="G52" s="11" t="str">
        <f ca="1">IFERROR(__xludf.DUMMYFUNCTION("IFERROR(VLOOKUP(F50,IMPORTRANGE(""https://docs.google.com/spreadsheets/d/1Kvs4KS76FHFqLFIZfrDMff4kP08nblUkihrxltoGBjg/edit#gid=934712705"",""ESENCIAL!A6:BG""),3,FALSE))"),"TÉCNICO")</f>
        <v>TÉCNICO</v>
      </c>
      <c r="H52" s="609" t="s">
        <v>1091</v>
      </c>
      <c r="I52" s="281"/>
      <c r="J52" s="281"/>
      <c r="K52" s="281"/>
      <c r="L52" s="608"/>
      <c r="M52" s="281"/>
      <c r="N52" s="281"/>
      <c r="O52" s="281"/>
      <c r="P52" s="281"/>
      <c r="Q52" s="281"/>
      <c r="R52" s="281"/>
      <c r="S52" s="281"/>
      <c r="T52" s="281"/>
      <c r="U52" s="281"/>
      <c r="V52" s="611" t="s">
        <v>995</v>
      </c>
      <c r="W52" s="611" t="s">
        <v>996</v>
      </c>
      <c r="X52" s="281"/>
      <c r="Y52" s="281"/>
      <c r="Z52" s="19" t="str">
        <f t="shared" ca="1" si="4"/>
        <v>NO_CUMPLE</v>
      </c>
      <c r="AA52" s="11" t="str">
        <f ca="1">IFERROR(__xludf.DUMMYFUNCTION("IFERROR(VLOOKUP(E74&amp;F74,IMPORTRANGE(""https://docs.google.com/spreadsheets/d/1Uw7-A9f9R21vMXxHZFNpYNeKFtG8_yji4HS352LGlSQ/edit?pli=1#gid=0"",""1_ACUM!A4:S""),11,FALSE))"),"")</f>
        <v/>
      </c>
      <c r="AB52" s="20" t="str">
        <f ca="1">IFERROR(__xludf.DUMMYFUNCTION("IFERROR(VLOOKUP(F74,IMPORTRANGE(""https://docs.google.com/spreadsheets/d/1Kvs4KS76FHFqLFIZfrDMff4kP08nblUkihrxltoGBjg/edit#gid=934712705"",""ESENCIAL!A6:BG""),15,FALSE))"),"")</f>
        <v/>
      </c>
      <c r="AC52" s="21" t="str">
        <f ca="1">IFERROR(__xludf.DUMMYFUNCTION("IFERROR(VLOOKUP(E74&amp;F74,IMPORTRANGE(""https://docs.google.com/spreadsheets/d/1Uw7-A9f9R21vMXxHZFNpYNeKFtG8_yji4HS352LGlSQ/edit?pli=1#gid=0"",""1_ACUM!A4:S""),13,FALSE))"),"")</f>
        <v/>
      </c>
      <c r="AD52" s="22" t="str">
        <f ca="1">IFERROR(__xludf.DUMMYFUNCTION("IFERROR(VLOOKUP(E74&amp;F74,IMPORTRANGE(""https://docs.google.com/spreadsheets/d/1Uw7-A9f9R21vMXxHZFNpYNeKFtG8_yji4HS352LGlSQ/edit?pli=1#gid=0"",""1_ACUM!A4:S""),13,FALSE))"),"")</f>
        <v/>
      </c>
      <c r="AE52" s="22" t="str">
        <f ca="1">IFERROR(__xludf.DUMMYFUNCTION("IFERROR(VLOOKUP(E74&amp;F74,IMPORTRANGE(""https://docs.google.com/spreadsheets/d/1Uw7-A9f9R21vMXxHZFNpYNeKFtG8_yji4HS352LGlSQ/edit?pli=1#gid=0"",""1_ACUM!A4:S""),14,FALSE))"),"")</f>
        <v/>
      </c>
      <c r="AF52" s="22" t="str">
        <f ca="1">IFERROR(__xludf.DUMMYFUNCTION("IFERROR(VLOOKUP(E74&amp;F74,IMPORTRANGE(""https://docs.google.com/spreadsheets/d/1Uw7-A9f9R21vMXxHZFNpYNeKFtG8_yji4HS352LGlSQ/edit?pli=1#gid=0"",""1_ACUM!A4:S""),15,FALSE))"),"")</f>
        <v/>
      </c>
      <c r="AG52" s="22" t="str">
        <f ca="1">IFERROR(__xludf.DUMMYFUNCTION("IFERROR(VLOOKUP(E74&amp;F74,IMPORTRANGE(""https://docs.google.com/spreadsheets/d/1Uw7-A9f9R21vMXxHZFNpYNeKFtG8_yji4HS352LGlSQ/edit?pli=1#gid=0"",""1_ACUM!A4:S""),16,FALSE))"),"")</f>
        <v/>
      </c>
      <c r="AH52" s="22" t="str">
        <f ca="1">IFERROR(__xludf.DUMMYFUNCTION("IFERROR(VLOOKUP(E74&amp;F74,IMPORTRANGE(""https://docs.google.com/spreadsheets/d/1Uw7-A9f9R21vMXxHZFNpYNeKFtG8_yji4HS352LGlSQ/edit?pli=1#gid=0"",""1_ACUM!A4:S""),17,FALSE))"),"")</f>
        <v/>
      </c>
      <c r="AI52" s="23" t="str">
        <f ca="1">IFERROR(__xludf.DUMMYFUNCTION("IFERROR(VLOOKUP(E74&amp;F74,IMPORTRANGE(""https://docs.google.com/spreadsheets/d/1Uw7-A9f9R21vMXxHZFNpYNeKFtG8_yji4HS352LGlSQ/edit?pli=1#gid=0"",""1_ACUM!A4:S""),18,FALSE))"),"")</f>
        <v/>
      </c>
      <c r="AJ52" s="23" t="str">
        <f ca="1">IFERROR(__xludf.DUMMYFUNCTION("IFERROR(VLOOKUP(E74&amp;F74,IMPORTRANGE(""https://docs.google.com/spreadsheets/d/1Uw7-A9f9R21vMXxHZFNpYNeKFtG8_yji4HS352LGlSQ/edit?pli=1#gid=0"",""1_ACUM!A4:S""),19,FALSE))"),"")</f>
        <v/>
      </c>
      <c r="AK52" s="68" t="str">
        <f ca="1">IFERROR(__xludf.DUMMYFUNCTION("IFERROR(VLOOKUP(F74,IMPORTRANGE(""https://docs.google.com/spreadsheets/d/1Kvs4KS76FHFqLFIZfrDMff4kP08nblUkihrxltoGBjg/edit#gid=934712705"",""ESENCIAL!A6:BG""),5,FALSE))"),"")</f>
        <v/>
      </c>
      <c r="AL52" s="68" t="e">
        <f t="shared" ca="1" si="5"/>
        <v>#VALUE!</v>
      </c>
      <c r="AM52" s="17" t="e">
        <f t="shared" ca="1" si="6"/>
        <v>#VALUE!</v>
      </c>
      <c r="AN52" s="38" t="str">
        <f ca="1">IFERROR(__xludf.DUMMYFUNCTION("IFERROR(VLOOKUP(F74,IMPORTRANGE(""https://docs.google.com/spreadsheets/d/1Kvs4KS76FHFqLFIZfrDMff4kP08nblUkihrxltoGBjg/edit#gid=934712705"",""ESENCIAL!A6:BG""),2,FALSE))"),"")</f>
        <v/>
      </c>
      <c r="AO52" s="19" t="str">
        <f t="shared" si="7"/>
        <v>Yamboro</v>
      </c>
      <c r="AP52" s="100"/>
      <c r="AQ52" s="100"/>
    </row>
    <row r="53" spans="1:43" ht="15">
      <c r="A53" s="24"/>
      <c r="B53" s="29"/>
      <c r="C53" s="614" t="s">
        <v>1096</v>
      </c>
      <c r="D53" s="607" t="s">
        <v>27</v>
      </c>
      <c r="E53" s="613">
        <v>1007163048</v>
      </c>
      <c r="F53" s="360">
        <v>2562906</v>
      </c>
      <c r="G53" s="11" t="str">
        <f ca="1">IFERROR(__xludf.DUMMYFUNCTION("IFERROR(VLOOKUP(F50,IMPORTRANGE(""https://docs.google.com/spreadsheets/d/1Kvs4KS76FHFqLFIZfrDMff4kP08nblUkihrxltoGBjg/edit#gid=934712705"",""ESENCIAL!A6:BG""),3,FALSE))"),"TÉCNICO")</f>
        <v>TÉCNICO</v>
      </c>
      <c r="H53" s="609" t="s">
        <v>1091</v>
      </c>
      <c r="I53" s="281"/>
      <c r="J53" s="281"/>
      <c r="K53" s="281"/>
      <c r="L53" s="608"/>
      <c r="M53" s="281"/>
      <c r="N53" s="281"/>
      <c r="O53" s="281"/>
      <c r="P53" s="281"/>
      <c r="Q53" s="281"/>
      <c r="R53" s="281"/>
      <c r="S53" s="281"/>
      <c r="T53" s="281" t="s">
        <v>1094</v>
      </c>
      <c r="U53" s="281"/>
      <c r="V53" s="611" t="s">
        <v>995</v>
      </c>
      <c r="W53" s="611" t="s">
        <v>996</v>
      </c>
      <c r="X53" s="281"/>
      <c r="Y53" s="281"/>
      <c r="Z53" s="19" t="str">
        <f t="shared" ca="1" si="4"/>
        <v>NO_CUMPLE</v>
      </c>
      <c r="AA53" s="11" t="str">
        <f ca="1">IFERROR(__xludf.DUMMYFUNCTION("IFERROR(VLOOKUP(E75&amp;F75,IMPORTRANGE(""https://docs.google.com/spreadsheets/d/1Uw7-A9f9R21vMXxHZFNpYNeKFtG8_yji4HS352LGlSQ/edit?pli=1#gid=0"",""1_ACUM!A4:S""),11,FALSE))"),"")</f>
        <v/>
      </c>
      <c r="AB53" s="20" t="str">
        <f ca="1">IFERROR(__xludf.DUMMYFUNCTION("IFERROR(VLOOKUP(F75,IMPORTRANGE(""https://docs.google.com/spreadsheets/d/1Kvs4KS76FHFqLFIZfrDMff4kP08nblUkihrxltoGBjg/edit#gid=934712705"",""ESENCIAL!A6:BG""),15,FALSE))"),"")</f>
        <v/>
      </c>
      <c r="AC53" s="21" t="str">
        <f ca="1">IFERROR(__xludf.DUMMYFUNCTION("IFERROR(VLOOKUP(E75&amp;F75,IMPORTRANGE(""https://docs.google.com/spreadsheets/d/1Uw7-A9f9R21vMXxHZFNpYNeKFtG8_yji4HS352LGlSQ/edit?pli=1#gid=0"",""1_ACUM!A4:S""),13,FALSE))"),"")</f>
        <v/>
      </c>
      <c r="AD53" s="22" t="str">
        <f ca="1">IFERROR(__xludf.DUMMYFUNCTION("IFERROR(VLOOKUP(E75&amp;F75,IMPORTRANGE(""https://docs.google.com/spreadsheets/d/1Uw7-A9f9R21vMXxHZFNpYNeKFtG8_yji4HS352LGlSQ/edit?pli=1#gid=0"",""1_ACUM!A4:S""),13,FALSE))"),"")</f>
        <v/>
      </c>
      <c r="AE53" s="22" t="str">
        <f ca="1">IFERROR(__xludf.DUMMYFUNCTION("IFERROR(VLOOKUP(E75&amp;F75,IMPORTRANGE(""https://docs.google.com/spreadsheets/d/1Uw7-A9f9R21vMXxHZFNpYNeKFtG8_yji4HS352LGlSQ/edit?pli=1#gid=0"",""1_ACUM!A4:S""),14,FALSE))"),"")</f>
        <v/>
      </c>
      <c r="AF53" s="22" t="str">
        <f ca="1">IFERROR(__xludf.DUMMYFUNCTION("IFERROR(VLOOKUP(E75&amp;F75,IMPORTRANGE(""https://docs.google.com/spreadsheets/d/1Uw7-A9f9R21vMXxHZFNpYNeKFtG8_yji4HS352LGlSQ/edit?pli=1#gid=0"",""1_ACUM!A4:S""),15,FALSE))"),"")</f>
        <v/>
      </c>
      <c r="AG53" s="22" t="str">
        <f ca="1">IFERROR(__xludf.DUMMYFUNCTION("IFERROR(VLOOKUP(E75&amp;F75,IMPORTRANGE(""https://docs.google.com/spreadsheets/d/1Uw7-A9f9R21vMXxHZFNpYNeKFtG8_yji4HS352LGlSQ/edit?pli=1#gid=0"",""1_ACUM!A4:S""),16,FALSE))"),"")</f>
        <v/>
      </c>
      <c r="AH53" s="22" t="str">
        <f ca="1">IFERROR(__xludf.DUMMYFUNCTION("IFERROR(VLOOKUP(E75&amp;F75,IMPORTRANGE(""https://docs.google.com/spreadsheets/d/1Uw7-A9f9R21vMXxHZFNpYNeKFtG8_yji4HS352LGlSQ/edit?pli=1#gid=0"",""1_ACUM!A4:S""),17,FALSE))"),"")</f>
        <v/>
      </c>
      <c r="AI53" s="23" t="str">
        <f ca="1">IFERROR(__xludf.DUMMYFUNCTION("IFERROR(VLOOKUP(E75&amp;F75,IMPORTRANGE(""https://docs.google.com/spreadsheets/d/1Uw7-A9f9R21vMXxHZFNpYNeKFtG8_yji4HS352LGlSQ/edit?pli=1#gid=0"",""1_ACUM!A4:S""),18,FALSE))"),"")</f>
        <v/>
      </c>
      <c r="AJ53" s="23" t="str">
        <f ca="1">IFERROR(__xludf.DUMMYFUNCTION("IFERROR(VLOOKUP(E75&amp;F75,IMPORTRANGE(""https://docs.google.com/spreadsheets/d/1Uw7-A9f9R21vMXxHZFNpYNeKFtG8_yji4HS352LGlSQ/edit?pli=1#gid=0"",""1_ACUM!A4:S""),19,FALSE))"),"")</f>
        <v/>
      </c>
      <c r="AK53" s="68" t="str">
        <f ca="1">IFERROR(__xludf.DUMMYFUNCTION("IFERROR(VLOOKUP(F75,IMPORTRANGE(""https://docs.google.com/spreadsheets/d/1Kvs4KS76FHFqLFIZfrDMff4kP08nblUkihrxltoGBjg/edit#gid=934712705"",""ESENCIAL!A6:BG""),5,FALSE))"),"")</f>
        <v/>
      </c>
      <c r="AL53" s="68" t="e">
        <f t="shared" ca="1" si="5"/>
        <v>#VALUE!</v>
      </c>
      <c r="AM53" s="17" t="e">
        <f t="shared" ca="1" si="6"/>
        <v>#VALUE!</v>
      </c>
      <c r="AN53" s="38" t="str">
        <f ca="1">IFERROR(__xludf.DUMMYFUNCTION("IFERROR(VLOOKUP(F75,IMPORTRANGE(""https://docs.google.com/spreadsheets/d/1Kvs4KS76FHFqLFIZfrDMff4kP08nblUkihrxltoGBjg/edit#gid=934712705"",""ESENCIAL!A6:BG""),2,FALSE))"),"")</f>
        <v/>
      </c>
      <c r="AO53" s="19" t="str">
        <f t="shared" si="7"/>
        <v>Yamboro</v>
      </c>
      <c r="AP53" s="100"/>
      <c r="AQ53" s="100"/>
    </row>
    <row r="54" spans="1:43" ht="15">
      <c r="A54" s="24"/>
      <c r="B54" s="29"/>
      <c r="C54" s="614" t="s">
        <v>1097</v>
      </c>
      <c r="D54" s="607" t="s">
        <v>27</v>
      </c>
      <c r="E54" s="613">
        <v>1007392979</v>
      </c>
      <c r="F54" s="360">
        <v>2562906</v>
      </c>
      <c r="G54" s="11" t="str">
        <f ca="1">IFERROR(__xludf.DUMMYFUNCTION("IFERROR(VLOOKUP(F50,IMPORTRANGE(""https://docs.google.com/spreadsheets/d/1Kvs4KS76FHFqLFIZfrDMff4kP08nblUkihrxltoGBjg/edit#gid=934712705"",""ESENCIAL!A6:BG""),3,FALSE))"),"TÉCNICO")</f>
        <v>TÉCNICO</v>
      </c>
      <c r="H54" s="609" t="s">
        <v>1091</v>
      </c>
      <c r="I54" s="281"/>
      <c r="J54" s="281"/>
      <c r="K54" s="281"/>
      <c r="L54" s="608"/>
      <c r="M54" s="281"/>
      <c r="N54" s="281"/>
      <c r="O54" s="281"/>
      <c r="P54" s="281"/>
      <c r="Q54" s="281"/>
      <c r="R54" s="281"/>
      <c r="S54" s="281"/>
      <c r="T54" s="281"/>
      <c r="U54" s="281"/>
      <c r="V54" s="611" t="s">
        <v>995</v>
      </c>
      <c r="W54" s="611" t="s">
        <v>996</v>
      </c>
      <c r="X54" s="281"/>
      <c r="Y54" s="281"/>
      <c r="Z54" s="19" t="str">
        <f t="shared" ca="1" si="4"/>
        <v>NO_CUMPLE</v>
      </c>
      <c r="AA54" s="11" t="str">
        <f ca="1">IFERROR(__xludf.DUMMYFUNCTION("IFERROR(VLOOKUP(E76&amp;F76,IMPORTRANGE(""https://docs.google.com/spreadsheets/d/1Uw7-A9f9R21vMXxHZFNpYNeKFtG8_yji4HS352LGlSQ/edit?pli=1#gid=0"",""1_ACUM!A4:S""),11,FALSE))"),"")</f>
        <v/>
      </c>
      <c r="AB54" s="20" t="str">
        <f ca="1">IFERROR(__xludf.DUMMYFUNCTION("IFERROR(VLOOKUP(F76,IMPORTRANGE(""https://docs.google.com/spreadsheets/d/1Kvs4KS76FHFqLFIZfrDMff4kP08nblUkihrxltoGBjg/edit#gid=934712705"",""ESENCIAL!A6:BG""),15,FALSE))"),"")</f>
        <v/>
      </c>
      <c r="AC54" s="21" t="str">
        <f ca="1">IFERROR(__xludf.DUMMYFUNCTION("IFERROR(VLOOKUP(E76&amp;F76,IMPORTRANGE(""https://docs.google.com/spreadsheets/d/1Uw7-A9f9R21vMXxHZFNpYNeKFtG8_yji4HS352LGlSQ/edit?pli=1#gid=0"",""1_ACUM!A4:S""),13,FALSE))"),"")</f>
        <v/>
      </c>
      <c r="AD54" s="22" t="str">
        <f ca="1">IFERROR(__xludf.DUMMYFUNCTION("IFERROR(VLOOKUP(E76&amp;F76,IMPORTRANGE(""https://docs.google.com/spreadsheets/d/1Uw7-A9f9R21vMXxHZFNpYNeKFtG8_yji4HS352LGlSQ/edit?pli=1#gid=0"",""1_ACUM!A4:S""),13,FALSE))"),"")</f>
        <v/>
      </c>
      <c r="AE54" s="22" t="str">
        <f ca="1">IFERROR(__xludf.DUMMYFUNCTION("IFERROR(VLOOKUP(E76&amp;F76,IMPORTRANGE(""https://docs.google.com/spreadsheets/d/1Uw7-A9f9R21vMXxHZFNpYNeKFtG8_yji4HS352LGlSQ/edit?pli=1#gid=0"",""1_ACUM!A4:S""),14,FALSE))"),"")</f>
        <v/>
      </c>
      <c r="AF54" s="22" t="str">
        <f ca="1">IFERROR(__xludf.DUMMYFUNCTION("IFERROR(VLOOKUP(E76&amp;F76,IMPORTRANGE(""https://docs.google.com/spreadsheets/d/1Uw7-A9f9R21vMXxHZFNpYNeKFtG8_yji4HS352LGlSQ/edit?pli=1#gid=0"",""1_ACUM!A4:S""),15,FALSE))"),"")</f>
        <v/>
      </c>
      <c r="AG54" s="22" t="str">
        <f ca="1">IFERROR(__xludf.DUMMYFUNCTION("IFERROR(VLOOKUP(E76&amp;F76,IMPORTRANGE(""https://docs.google.com/spreadsheets/d/1Uw7-A9f9R21vMXxHZFNpYNeKFtG8_yji4HS352LGlSQ/edit?pli=1#gid=0"",""1_ACUM!A4:S""),16,FALSE))"),"")</f>
        <v/>
      </c>
      <c r="AH54" s="22" t="str">
        <f ca="1">IFERROR(__xludf.DUMMYFUNCTION("IFERROR(VLOOKUP(E76&amp;F76,IMPORTRANGE(""https://docs.google.com/spreadsheets/d/1Uw7-A9f9R21vMXxHZFNpYNeKFtG8_yji4HS352LGlSQ/edit?pli=1#gid=0"",""1_ACUM!A4:S""),17,FALSE))"),"")</f>
        <v/>
      </c>
      <c r="AI54" s="23" t="str">
        <f ca="1">IFERROR(__xludf.DUMMYFUNCTION("IFERROR(VLOOKUP(E76&amp;F76,IMPORTRANGE(""https://docs.google.com/spreadsheets/d/1Uw7-A9f9R21vMXxHZFNpYNeKFtG8_yji4HS352LGlSQ/edit?pli=1#gid=0"",""1_ACUM!A4:S""),18,FALSE))"),"")</f>
        <v/>
      </c>
      <c r="AJ54" s="23" t="str">
        <f ca="1">IFERROR(__xludf.DUMMYFUNCTION("IFERROR(VLOOKUP(E76&amp;F76,IMPORTRANGE(""https://docs.google.com/spreadsheets/d/1Uw7-A9f9R21vMXxHZFNpYNeKFtG8_yji4HS352LGlSQ/edit?pli=1#gid=0"",""1_ACUM!A4:S""),19,FALSE))"),"")</f>
        <v/>
      </c>
      <c r="AK54" s="68" t="str">
        <f ca="1">IFERROR(__xludf.DUMMYFUNCTION("IFERROR(VLOOKUP(F76,IMPORTRANGE(""https://docs.google.com/spreadsheets/d/1Kvs4KS76FHFqLFIZfrDMff4kP08nblUkihrxltoGBjg/edit#gid=934712705"",""ESENCIAL!A6:BG""),5,FALSE))"),"")</f>
        <v/>
      </c>
      <c r="AL54" s="68" t="e">
        <f t="shared" ca="1" si="5"/>
        <v>#VALUE!</v>
      </c>
      <c r="AM54" s="17" t="e">
        <f t="shared" ca="1" si="6"/>
        <v>#VALUE!</v>
      </c>
      <c r="AN54" s="38" t="str">
        <f ca="1">IFERROR(__xludf.DUMMYFUNCTION("IFERROR(VLOOKUP(F76,IMPORTRANGE(""https://docs.google.com/spreadsheets/d/1Kvs4KS76FHFqLFIZfrDMff4kP08nblUkihrxltoGBjg/edit#gid=934712705"",""ESENCIAL!A6:BG""),2,FALSE))"),"")</f>
        <v/>
      </c>
      <c r="AO54" s="19" t="str">
        <f t="shared" si="7"/>
        <v>Yamboro</v>
      </c>
      <c r="AP54" s="100"/>
      <c r="AQ54" s="100"/>
    </row>
    <row r="55" spans="1:43" ht="15">
      <c r="A55" s="24"/>
      <c r="B55" s="29"/>
      <c r="C55" s="614" t="s">
        <v>1098</v>
      </c>
      <c r="D55" s="607" t="s">
        <v>27</v>
      </c>
      <c r="E55" s="613">
        <v>1007751036</v>
      </c>
      <c r="F55" s="360">
        <v>2562906</v>
      </c>
      <c r="G55" s="11" t="str">
        <f ca="1">IFERROR(__xludf.DUMMYFUNCTION("IFERROR(VLOOKUP(F50,IMPORTRANGE(""https://docs.google.com/spreadsheets/d/1Kvs4KS76FHFqLFIZfrDMff4kP08nblUkihrxltoGBjg/edit#gid=934712705"",""ESENCIAL!A6:BG""),3,FALSE))"),"TÉCNICO")</f>
        <v>TÉCNICO</v>
      </c>
      <c r="H55" s="609" t="s">
        <v>1091</v>
      </c>
      <c r="I55" s="281"/>
      <c r="J55" s="281"/>
      <c r="K55" s="281"/>
      <c r="L55" s="608"/>
      <c r="M55" s="281"/>
      <c r="N55" s="281"/>
      <c r="O55" s="281"/>
      <c r="P55" s="281"/>
      <c r="Q55" s="281"/>
      <c r="R55" s="281"/>
      <c r="S55" s="281"/>
      <c r="T55" s="281" t="s">
        <v>1094</v>
      </c>
      <c r="U55" s="281"/>
      <c r="V55" s="611" t="s">
        <v>995</v>
      </c>
      <c r="W55" s="611" t="s">
        <v>996</v>
      </c>
      <c r="X55" s="281"/>
      <c r="Y55" s="281"/>
      <c r="Z55" s="19" t="str">
        <f t="shared" ca="1" si="4"/>
        <v>NO_CUMPLE</v>
      </c>
      <c r="AA55" s="11" t="str">
        <f ca="1">IFERROR(__xludf.DUMMYFUNCTION("IFERROR(VLOOKUP(E77&amp;F77,IMPORTRANGE(""https://docs.google.com/spreadsheets/d/1Uw7-A9f9R21vMXxHZFNpYNeKFtG8_yji4HS352LGlSQ/edit?pli=1#gid=0"",""1_ACUM!A4:S""),11,FALSE))"),"")</f>
        <v/>
      </c>
      <c r="AB55" s="20" t="str">
        <f ca="1">IFERROR(__xludf.DUMMYFUNCTION("IFERROR(VLOOKUP(F77,IMPORTRANGE(""https://docs.google.com/spreadsheets/d/1Kvs4KS76FHFqLFIZfrDMff4kP08nblUkihrxltoGBjg/edit#gid=934712705"",""ESENCIAL!A6:BG""),15,FALSE))"),"")</f>
        <v/>
      </c>
      <c r="AC55" s="21" t="str">
        <f ca="1">IFERROR(__xludf.DUMMYFUNCTION("IFERROR(VLOOKUP(E77&amp;F77,IMPORTRANGE(""https://docs.google.com/spreadsheets/d/1Uw7-A9f9R21vMXxHZFNpYNeKFtG8_yji4HS352LGlSQ/edit?pli=1#gid=0"",""1_ACUM!A4:S""),13,FALSE))"),"")</f>
        <v/>
      </c>
      <c r="AD55" s="22" t="str">
        <f ca="1">IFERROR(__xludf.DUMMYFUNCTION("IFERROR(VLOOKUP(E77&amp;F77,IMPORTRANGE(""https://docs.google.com/spreadsheets/d/1Uw7-A9f9R21vMXxHZFNpYNeKFtG8_yji4HS352LGlSQ/edit?pli=1#gid=0"",""1_ACUM!A4:S""),13,FALSE))"),"")</f>
        <v/>
      </c>
      <c r="AE55" s="22" t="str">
        <f ca="1">IFERROR(__xludf.DUMMYFUNCTION("IFERROR(VLOOKUP(E77&amp;F77,IMPORTRANGE(""https://docs.google.com/spreadsheets/d/1Uw7-A9f9R21vMXxHZFNpYNeKFtG8_yji4HS352LGlSQ/edit?pli=1#gid=0"",""1_ACUM!A4:S""),14,FALSE))"),"")</f>
        <v/>
      </c>
      <c r="AF55" s="22" t="str">
        <f ca="1">IFERROR(__xludf.DUMMYFUNCTION("IFERROR(VLOOKUP(E77&amp;F77,IMPORTRANGE(""https://docs.google.com/spreadsheets/d/1Uw7-A9f9R21vMXxHZFNpYNeKFtG8_yji4HS352LGlSQ/edit?pli=1#gid=0"",""1_ACUM!A4:S""),15,FALSE))"),"")</f>
        <v/>
      </c>
      <c r="AG55" s="22" t="str">
        <f ca="1">IFERROR(__xludf.DUMMYFUNCTION("IFERROR(VLOOKUP(E77&amp;F77,IMPORTRANGE(""https://docs.google.com/spreadsheets/d/1Uw7-A9f9R21vMXxHZFNpYNeKFtG8_yji4HS352LGlSQ/edit?pli=1#gid=0"",""1_ACUM!A4:S""),16,FALSE))"),"")</f>
        <v/>
      </c>
      <c r="AH55" s="22" t="str">
        <f ca="1">IFERROR(__xludf.DUMMYFUNCTION("IFERROR(VLOOKUP(E77&amp;F77,IMPORTRANGE(""https://docs.google.com/spreadsheets/d/1Uw7-A9f9R21vMXxHZFNpYNeKFtG8_yji4HS352LGlSQ/edit?pli=1#gid=0"",""1_ACUM!A4:S""),17,FALSE))"),"")</f>
        <v/>
      </c>
      <c r="AI55" s="23" t="str">
        <f ca="1">IFERROR(__xludf.DUMMYFUNCTION("IFERROR(VLOOKUP(E77&amp;F77,IMPORTRANGE(""https://docs.google.com/spreadsheets/d/1Uw7-A9f9R21vMXxHZFNpYNeKFtG8_yji4HS352LGlSQ/edit?pli=1#gid=0"",""1_ACUM!A4:S""),18,FALSE))"),"")</f>
        <v/>
      </c>
      <c r="AJ55" s="23" t="str">
        <f ca="1">IFERROR(__xludf.DUMMYFUNCTION("IFERROR(VLOOKUP(E77&amp;F77,IMPORTRANGE(""https://docs.google.com/spreadsheets/d/1Uw7-A9f9R21vMXxHZFNpYNeKFtG8_yji4HS352LGlSQ/edit?pli=1#gid=0"",""1_ACUM!A4:S""),19,FALSE))"),"")</f>
        <v/>
      </c>
      <c r="AK55" s="68" t="str">
        <f ca="1">IFERROR(__xludf.DUMMYFUNCTION("IFERROR(VLOOKUP(F77,IMPORTRANGE(""https://docs.google.com/spreadsheets/d/1Kvs4KS76FHFqLFIZfrDMff4kP08nblUkihrxltoGBjg/edit#gid=934712705"",""ESENCIAL!A6:BG""),5,FALSE))"),"")</f>
        <v/>
      </c>
      <c r="AL55" s="68" t="e">
        <f t="shared" ca="1" si="5"/>
        <v>#VALUE!</v>
      </c>
      <c r="AM55" s="17" t="e">
        <f t="shared" ca="1" si="6"/>
        <v>#VALUE!</v>
      </c>
      <c r="AN55" s="38" t="str">
        <f ca="1">IFERROR(__xludf.DUMMYFUNCTION("IFERROR(VLOOKUP(F77,IMPORTRANGE(""https://docs.google.com/spreadsheets/d/1Kvs4KS76FHFqLFIZfrDMff4kP08nblUkihrxltoGBjg/edit#gid=934712705"",""ESENCIAL!A6:BG""),2,FALSE))"),"")</f>
        <v/>
      </c>
      <c r="AO55" s="19" t="str">
        <f t="shared" si="7"/>
        <v>Yamboro</v>
      </c>
      <c r="AP55" s="100"/>
      <c r="AQ55" s="100"/>
    </row>
    <row r="56" spans="1:43" ht="15">
      <c r="A56" s="24"/>
      <c r="B56" s="29"/>
      <c r="C56" s="614" t="s">
        <v>1099</v>
      </c>
      <c r="D56" s="607" t="s">
        <v>27</v>
      </c>
      <c r="E56" s="613">
        <v>1020471058</v>
      </c>
      <c r="F56" s="360">
        <v>2562906</v>
      </c>
      <c r="G56" s="11" t="str">
        <f ca="1">IFERROR(__xludf.DUMMYFUNCTION("IFERROR(VLOOKUP(F50,IMPORTRANGE(""https://docs.google.com/spreadsheets/d/1Kvs4KS76FHFqLFIZfrDMff4kP08nblUkihrxltoGBjg/edit#gid=934712705"",""ESENCIAL!A6:BG""),3,FALSE))"),"TÉCNICO")</f>
        <v>TÉCNICO</v>
      </c>
      <c r="H56" s="609" t="s">
        <v>1091</v>
      </c>
      <c r="I56" s="281"/>
      <c r="J56" s="281"/>
      <c r="K56" s="281"/>
      <c r="L56" s="608"/>
      <c r="M56" s="281"/>
      <c r="N56" s="281"/>
      <c r="O56" s="281"/>
      <c r="P56" s="281"/>
      <c r="Q56" s="281"/>
      <c r="R56" s="281"/>
      <c r="S56" s="281"/>
      <c r="T56" s="281" t="s">
        <v>1094</v>
      </c>
      <c r="U56" s="281"/>
      <c r="V56" s="611" t="s">
        <v>995</v>
      </c>
      <c r="W56" s="611" t="s">
        <v>996</v>
      </c>
      <c r="X56" s="281"/>
      <c r="Y56" s="281"/>
      <c r="Z56" s="19" t="str">
        <f t="shared" ca="1" si="4"/>
        <v>NO_CUMPLE</v>
      </c>
      <c r="AA56" s="11" t="str">
        <f ca="1">IFERROR(__xludf.DUMMYFUNCTION("IFERROR(VLOOKUP(E78&amp;F78,IMPORTRANGE(""https://docs.google.com/spreadsheets/d/1Uw7-A9f9R21vMXxHZFNpYNeKFtG8_yji4HS352LGlSQ/edit?pli=1#gid=0"",""1_ACUM!A4:S""),11,FALSE))"),"")</f>
        <v/>
      </c>
      <c r="AB56" s="20" t="str">
        <f ca="1">IFERROR(__xludf.DUMMYFUNCTION("IFERROR(VLOOKUP(F78,IMPORTRANGE(""https://docs.google.com/spreadsheets/d/1Kvs4KS76FHFqLFIZfrDMff4kP08nblUkihrxltoGBjg/edit#gid=934712705"",""ESENCIAL!A6:BG""),15,FALSE))"),"")</f>
        <v/>
      </c>
      <c r="AC56" s="21" t="str">
        <f ca="1">IFERROR(__xludf.DUMMYFUNCTION("IFERROR(VLOOKUP(E78&amp;F78,IMPORTRANGE(""https://docs.google.com/spreadsheets/d/1Uw7-A9f9R21vMXxHZFNpYNeKFtG8_yji4HS352LGlSQ/edit?pli=1#gid=0"",""1_ACUM!A4:S""),13,FALSE))"),"")</f>
        <v/>
      </c>
      <c r="AD56" s="22" t="str">
        <f ca="1">IFERROR(__xludf.DUMMYFUNCTION("IFERROR(VLOOKUP(E78&amp;F78,IMPORTRANGE(""https://docs.google.com/spreadsheets/d/1Uw7-A9f9R21vMXxHZFNpYNeKFtG8_yji4HS352LGlSQ/edit?pli=1#gid=0"",""1_ACUM!A4:S""),13,FALSE))"),"")</f>
        <v/>
      </c>
      <c r="AE56" s="22" t="str">
        <f ca="1">IFERROR(__xludf.DUMMYFUNCTION("IFERROR(VLOOKUP(E78&amp;F78,IMPORTRANGE(""https://docs.google.com/spreadsheets/d/1Uw7-A9f9R21vMXxHZFNpYNeKFtG8_yji4HS352LGlSQ/edit?pli=1#gid=0"",""1_ACUM!A4:S""),14,FALSE))"),"")</f>
        <v/>
      </c>
      <c r="AF56" s="22" t="str">
        <f ca="1">IFERROR(__xludf.DUMMYFUNCTION("IFERROR(VLOOKUP(E78&amp;F78,IMPORTRANGE(""https://docs.google.com/spreadsheets/d/1Uw7-A9f9R21vMXxHZFNpYNeKFtG8_yji4HS352LGlSQ/edit?pli=1#gid=0"",""1_ACUM!A4:S""),15,FALSE))"),"")</f>
        <v/>
      </c>
      <c r="AG56" s="22" t="str">
        <f ca="1">IFERROR(__xludf.DUMMYFUNCTION("IFERROR(VLOOKUP(E78&amp;F78,IMPORTRANGE(""https://docs.google.com/spreadsheets/d/1Uw7-A9f9R21vMXxHZFNpYNeKFtG8_yji4HS352LGlSQ/edit?pli=1#gid=0"",""1_ACUM!A4:S""),16,FALSE))"),"")</f>
        <v/>
      </c>
      <c r="AH56" s="22" t="str">
        <f ca="1">IFERROR(__xludf.DUMMYFUNCTION("IFERROR(VLOOKUP(E78&amp;F78,IMPORTRANGE(""https://docs.google.com/spreadsheets/d/1Uw7-A9f9R21vMXxHZFNpYNeKFtG8_yji4HS352LGlSQ/edit?pli=1#gid=0"",""1_ACUM!A4:S""),17,FALSE))"),"")</f>
        <v/>
      </c>
      <c r="AI56" s="23" t="str">
        <f ca="1">IFERROR(__xludf.DUMMYFUNCTION("IFERROR(VLOOKUP(E78&amp;F78,IMPORTRANGE(""https://docs.google.com/spreadsheets/d/1Uw7-A9f9R21vMXxHZFNpYNeKFtG8_yji4HS352LGlSQ/edit?pli=1#gid=0"",""1_ACUM!A4:S""),18,FALSE))"),"")</f>
        <v/>
      </c>
      <c r="AJ56" s="23" t="str">
        <f ca="1">IFERROR(__xludf.DUMMYFUNCTION("IFERROR(VLOOKUP(E78&amp;F78,IMPORTRANGE(""https://docs.google.com/spreadsheets/d/1Uw7-A9f9R21vMXxHZFNpYNeKFtG8_yji4HS352LGlSQ/edit?pli=1#gid=0"",""1_ACUM!A4:S""),19,FALSE))"),"")</f>
        <v/>
      </c>
      <c r="AK56" s="68" t="str">
        <f ca="1">IFERROR(__xludf.DUMMYFUNCTION("IFERROR(VLOOKUP(F78,IMPORTRANGE(""https://docs.google.com/spreadsheets/d/1Kvs4KS76FHFqLFIZfrDMff4kP08nblUkihrxltoGBjg/edit#gid=934712705"",""ESENCIAL!A6:BG""),5,FALSE))"),"")</f>
        <v/>
      </c>
      <c r="AL56" s="68" t="e">
        <f t="shared" ca="1" si="5"/>
        <v>#VALUE!</v>
      </c>
      <c r="AM56" s="17" t="e">
        <f t="shared" ca="1" si="6"/>
        <v>#VALUE!</v>
      </c>
      <c r="AN56" s="38" t="str">
        <f ca="1">IFERROR(__xludf.DUMMYFUNCTION("IFERROR(VLOOKUP(F78,IMPORTRANGE(""https://docs.google.com/spreadsheets/d/1Kvs4KS76FHFqLFIZfrDMff4kP08nblUkihrxltoGBjg/edit#gid=934712705"",""ESENCIAL!A6:BG""),2,FALSE))"),"")</f>
        <v/>
      </c>
      <c r="AO56" s="19" t="str">
        <f t="shared" si="7"/>
        <v>Yamboro</v>
      </c>
      <c r="AP56" s="100"/>
      <c r="AQ56" s="100"/>
    </row>
    <row r="57" spans="1:43" ht="15">
      <c r="A57" s="24"/>
      <c r="B57" s="29"/>
      <c r="C57" s="614" t="s">
        <v>1100</v>
      </c>
      <c r="D57" s="607" t="s">
        <v>27</v>
      </c>
      <c r="E57" s="613">
        <v>1058963269</v>
      </c>
      <c r="F57" s="360">
        <v>2562906</v>
      </c>
      <c r="G57" s="11" t="str">
        <f ca="1">IFERROR(__xludf.DUMMYFUNCTION("IFERROR(VLOOKUP(F50,IMPORTRANGE(""https://docs.google.com/spreadsheets/d/1Kvs4KS76FHFqLFIZfrDMff4kP08nblUkihrxltoGBjg/edit#gid=934712705"",""ESENCIAL!A6:BG""),3,FALSE))"),"TÉCNICO")</f>
        <v>TÉCNICO</v>
      </c>
      <c r="H57" s="609" t="s">
        <v>1091</v>
      </c>
      <c r="I57" s="281"/>
      <c r="J57" s="281"/>
      <c r="K57" s="281"/>
      <c r="L57" s="608"/>
      <c r="M57" s="281"/>
      <c r="N57" s="281"/>
      <c r="O57" s="281"/>
      <c r="P57" s="281"/>
      <c r="Q57" s="281"/>
      <c r="R57" s="281"/>
      <c r="S57" s="281"/>
      <c r="T57" s="281"/>
      <c r="U57" s="281"/>
      <c r="V57" s="611" t="s">
        <v>995</v>
      </c>
      <c r="W57" s="611" t="s">
        <v>996</v>
      </c>
      <c r="X57" s="281"/>
      <c r="Y57" s="281"/>
      <c r="Z57" s="19" t="str">
        <f t="shared" ca="1" si="4"/>
        <v>NO_CUMPLE</v>
      </c>
      <c r="AA57" s="11" t="str">
        <f ca="1">IFERROR(__xludf.DUMMYFUNCTION("IFERROR(VLOOKUP(E79&amp;F79,IMPORTRANGE(""https://docs.google.com/spreadsheets/d/1Uw7-A9f9R21vMXxHZFNpYNeKFtG8_yji4HS352LGlSQ/edit?pli=1#gid=0"",""1_ACUM!A4:S""),11,FALSE))"),"")</f>
        <v/>
      </c>
      <c r="AB57" s="20" t="str">
        <f ca="1">IFERROR(__xludf.DUMMYFUNCTION("IFERROR(VLOOKUP(F79,IMPORTRANGE(""https://docs.google.com/spreadsheets/d/1Kvs4KS76FHFqLFIZfrDMff4kP08nblUkihrxltoGBjg/edit#gid=934712705"",""ESENCIAL!A6:BG""),15,FALSE))"),"")</f>
        <v/>
      </c>
      <c r="AC57" s="21" t="str">
        <f ca="1">IFERROR(__xludf.DUMMYFUNCTION("IFERROR(VLOOKUP(E79&amp;F79,IMPORTRANGE(""https://docs.google.com/spreadsheets/d/1Uw7-A9f9R21vMXxHZFNpYNeKFtG8_yji4HS352LGlSQ/edit?pli=1#gid=0"",""1_ACUM!A4:S""),13,FALSE))"),"")</f>
        <v/>
      </c>
      <c r="AD57" s="22" t="str">
        <f ca="1">IFERROR(__xludf.DUMMYFUNCTION("IFERROR(VLOOKUP(E79&amp;F79,IMPORTRANGE(""https://docs.google.com/spreadsheets/d/1Uw7-A9f9R21vMXxHZFNpYNeKFtG8_yji4HS352LGlSQ/edit?pli=1#gid=0"",""1_ACUM!A4:S""),13,FALSE))"),"")</f>
        <v/>
      </c>
      <c r="AE57" s="22" t="str">
        <f ca="1">IFERROR(__xludf.DUMMYFUNCTION("IFERROR(VLOOKUP(E79&amp;F79,IMPORTRANGE(""https://docs.google.com/spreadsheets/d/1Uw7-A9f9R21vMXxHZFNpYNeKFtG8_yji4HS352LGlSQ/edit?pli=1#gid=0"",""1_ACUM!A4:S""),14,FALSE))"),"")</f>
        <v/>
      </c>
      <c r="AF57" s="22" t="str">
        <f ca="1">IFERROR(__xludf.DUMMYFUNCTION("IFERROR(VLOOKUP(E79&amp;F79,IMPORTRANGE(""https://docs.google.com/spreadsheets/d/1Uw7-A9f9R21vMXxHZFNpYNeKFtG8_yji4HS352LGlSQ/edit?pli=1#gid=0"",""1_ACUM!A4:S""),15,FALSE))"),"")</f>
        <v/>
      </c>
      <c r="AG57" s="22" t="str">
        <f ca="1">IFERROR(__xludf.DUMMYFUNCTION("IFERROR(VLOOKUP(E79&amp;F79,IMPORTRANGE(""https://docs.google.com/spreadsheets/d/1Uw7-A9f9R21vMXxHZFNpYNeKFtG8_yji4HS352LGlSQ/edit?pli=1#gid=0"",""1_ACUM!A4:S""),16,FALSE))"),"")</f>
        <v/>
      </c>
      <c r="AH57" s="22" t="str">
        <f ca="1">IFERROR(__xludf.DUMMYFUNCTION("IFERROR(VLOOKUP(E79&amp;F79,IMPORTRANGE(""https://docs.google.com/spreadsheets/d/1Uw7-A9f9R21vMXxHZFNpYNeKFtG8_yji4HS352LGlSQ/edit?pli=1#gid=0"",""1_ACUM!A4:S""),17,FALSE))"),"")</f>
        <v/>
      </c>
      <c r="AI57" s="23" t="str">
        <f ca="1">IFERROR(__xludf.DUMMYFUNCTION("IFERROR(VLOOKUP(E79&amp;F79,IMPORTRANGE(""https://docs.google.com/spreadsheets/d/1Uw7-A9f9R21vMXxHZFNpYNeKFtG8_yji4HS352LGlSQ/edit?pli=1#gid=0"",""1_ACUM!A4:S""),18,FALSE))"),"")</f>
        <v/>
      </c>
      <c r="AJ57" s="23" t="str">
        <f ca="1">IFERROR(__xludf.DUMMYFUNCTION("IFERROR(VLOOKUP(E79&amp;F79,IMPORTRANGE(""https://docs.google.com/spreadsheets/d/1Uw7-A9f9R21vMXxHZFNpYNeKFtG8_yji4HS352LGlSQ/edit?pli=1#gid=0"",""1_ACUM!A4:S""),19,FALSE))"),"")</f>
        <v/>
      </c>
      <c r="AK57" s="68" t="str">
        <f ca="1">IFERROR(__xludf.DUMMYFUNCTION("IFERROR(VLOOKUP(F79,IMPORTRANGE(""https://docs.google.com/spreadsheets/d/1Kvs4KS76FHFqLFIZfrDMff4kP08nblUkihrxltoGBjg/edit#gid=934712705"",""ESENCIAL!A6:BG""),5,FALSE))"),"")</f>
        <v/>
      </c>
      <c r="AL57" s="68" t="e">
        <f t="shared" ca="1" si="5"/>
        <v>#VALUE!</v>
      </c>
      <c r="AM57" s="17" t="e">
        <f t="shared" ca="1" si="6"/>
        <v>#VALUE!</v>
      </c>
      <c r="AN57" s="38" t="str">
        <f ca="1">IFERROR(__xludf.DUMMYFUNCTION("IFERROR(VLOOKUP(F79,IMPORTRANGE(""https://docs.google.com/spreadsheets/d/1Kvs4KS76FHFqLFIZfrDMff4kP08nblUkihrxltoGBjg/edit#gid=934712705"",""ESENCIAL!A6:BG""),2,FALSE))"),"")</f>
        <v/>
      </c>
      <c r="AO57" s="19" t="str">
        <f t="shared" si="7"/>
        <v>Yamboro</v>
      </c>
      <c r="AP57" s="100"/>
      <c r="AQ57" s="100"/>
    </row>
    <row r="58" spans="1:43" ht="15">
      <c r="A58" s="24"/>
      <c r="B58" s="29"/>
      <c r="C58" s="614" t="s">
        <v>1101</v>
      </c>
      <c r="D58" s="607" t="s">
        <v>67</v>
      </c>
      <c r="E58" s="613">
        <v>1079535085</v>
      </c>
      <c r="F58" s="360">
        <v>2562906</v>
      </c>
      <c r="G58" s="11" t="str">
        <f ca="1">IFERROR(__xludf.DUMMYFUNCTION("IFERROR(VLOOKUP(F50,IMPORTRANGE(""https://docs.google.com/spreadsheets/d/1Kvs4KS76FHFqLFIZfrDMff4kP08nblUkihrxltoGBjg/edit#gid=934712705"",""ESENCIAL!A6:BG""),3,FALSE))"),"TÉCNICO")</f>
        <v>TÉCNICO</v>
      </c>
      <c r="H58" s="609" t="s">
        <v>1091</v>
      </c>
      <c r="I58" s="281"/>
      <c r="J58" s="281"/>
      <c r="K58" s="281"/>
      <c r="L58" s="608"/>
      <c r="M58" s="281"/>
      <c r="N58" s="281"/>
      <c r="O58" s="281"/>
      <c r="P58" s="281"/>
      <c r="Q58" s="281"/>
      <c r="R58" s="281"/>
      <c r="S58" s="281"/>
      <c r="T58" s="281" t="s">
        <v>1094</v>
      </c>
      <c r="U58" s="281"/>
      <c r="V58" s="611" t="s">
        <v>995</v>
      </c>
      <c r="W58" s="611" t="s">
        <v>996</v>
      </c>
      <c r="X58" s="281"/>
      <c r="Y58" s="281"/>
      <c r="Z58" s="19" t="str">
        <f t="shared" ca="1" si="4"/>
        <v>NO_CUMPLE</v>
      </c>
      <c r="AA58" s="11" t="str">
        <f ca="1">IFERROR(__xludf.DUMMYFUNCTION("IFERROR(VLOOKUP(E80&amp;F80,IMPORTRANGE(""https://docs.google.com/spreadsheets/d/1Uw7-A9f9R21vMXxHZFNpYNeKFtG8_yji4HS352LGlSQ/edit?pli=1#gid=0"",""1_ACUM!A4:S""),11,FALSE))"),"")</f>
        <v/>
      </c>
      <c r="AB58" s="20" t="str">
        <f ca="1">IFERROR(__xludf.DUMMYFUNCTION("IFERROR(VLOOKUP(F80,IMPORTRANGE(""https://docs.google.com/spreadsheets/d/1Kvs4KS76FHFqLFIZfrDMff4kP08nblUkihrxltoGBjg/edit#gid=934712705"",""ESENCIAL!A6:BG""),15,FALSE))"),"")</f>
        <v/>
      </c>
      <c r="AC58" s="21" t="str">
        <f ca="1">IFERROR(__xludf.DUMMYFUNCTION("IFERROR(VLOOKUP(E80&amp;F80,IMPORTRANGE(""https://docs.google.com/spreadsheets/d/1Uw7-A9f9R21vMXxHZFNpYNeKFtG8_yji4HS352LGlSQ/edit?pli=1#gid=0"",""1_ACUM!A4:S""),13,FALSE))"),"")</f>
        <v/>
      </c>
      <c r="AD58" s="22" t="str">
        <f ca="1">IFERROR(__xludf.DUMMYFUNCTION("IFERROR(VLOOKUP(E80&amp;F80,IMPORTRANGE(""https://docs.google.com/spreadsheets/d/1Uw7-A9f9R21vMXxHZFNpYNeKFtG8_yji4HS352LGlSQ/edit?pli=1#gid=0"",""1_ACUM!A4:S""),13,FALSE))"),"")</f>
        <v/>
      </c>
      <c r="AE58" s="22" t="str">
        <f ca="1">IFERROR(__xludf.DUMMYFUNCTION("IFERROR(VLOOKUP(E80&amp;F80,IMPORTRANGE(""https://docs.google.com/spreadsheets/d/1Uw7-A9f9R21vMXxHZFNpYNeKFtG8_yji4HS352LGlSQ/edit?pli=1#gid=0"",""1_ACUM!A4:S""),14,FALSE))"),"")</f>
        <v/>
      </c>
      <c r="AF58" s="22" t="str">
        <f ca="1">IFERROR(__xludf.DUMMYFUNCTION("IFERROR(VLOOKUP(E80&amp;F80,IMPORTRANGE(""https://docs.google.com/spreadsheets/d/1Uw7-A9f9R21vMXxHZFNpYNeKFtG8_yji4HS352LGlSQ/edit?pli=1#gid=0"",""1_ACUM!A4:S""),15,FALSE))"),"")</f>
        <v/>
      </c>
      <c r="AG58" s="22" t="str">
        <f ca="1">IFERROR(__xludf.DUMMYFUNCTION("IFERROR(VLOOKUP(E80&amp;F80,IMPORTRANGE(""https://docs.google.com/spreadsheets/d/1Uw7-A9f9R21vMXxHZFNpYNeKFtG8_yji4HS352LGlSQ/edit?pli=1#gid=0"",""1_ACUM!A4:S""),16,FALSE))"),"")</f>
        <v/>
      </c>
      <c r="AH58" s="22" t="str">
        <f ca="1">IFERROR(__xludf.DUMMYFUNCTION("IFERROR(VLOOKUP(E80&amp;F80,IMPORTRANGE(""https://docs.google.com/spreadsheets/d/1Uw7-A9f9R21vMXxHZFNpYNeKFtG8_yji4HS352LGlSQ/edit?pli=1#gid=0"",""1_ACUM!A4:S""),17,FALSE))"),"")</f>
        <v/>
      </c>
      <c r="AI58" s="23" t="str">
        <f ca="1">IFERROR(__xludf.DUMMYFUNCTION("IFERROR(VLOOKUP(E80&amp;F80,IMPORTRANGE(""https://docs.google.com/spreadsheets/d/1Uw7-A9f9R21vMXxHZFNpYNeKFtG8_yji4HS352LGlSQ/edit?pli=1#gid=0"",""1_ACUM!A4:S""),18,FALSE))"),"")</f>
        <v/>
      </c>
      <c r="AJ58" s="23" t="str">
        <f ca="1">IFERROR(__xludf.DUMMYFUNCTION("IFERROR(VLOOKUP(E80&amp;F80,IMPORTRANGE(""https://docs.google.com/spreadsheets/d/1Uw7-A9f9R21vMXxHZFNpYNeKFtG8_yji4HS352LGlSQ/edit?pli=1#gid=0"",""1_ACUM!A4:S""),19,FALSE))"),"")</f>
        <v/>
      </c>
      <c r="AK58" s="68" t="str">
        <f ca="1">IFERROR(__xludf.DUMMYFUNCTION("IFERROR(VLOOKUP(F80,IMPORTRANGE(""https://docs.google.com/spreadsheets/d/1Kvs4KS76FHFqLFIZfrDMff4kP08nblUkihrxltoGBjg/edit#gid=934712705"",""ESENCIAL!A6:BG""),5,FALSE))"),"")</f>
        <v/>
      </c>
      <c r="AL58" s="68" t="e">
        <f t="shared" ca="1" si="5"/>
        <v>#VALUE!</v>
      </c>
      <c r="AM58" s="17" t="e">
        <f t="shared" ca="1" si="6"/>
        <v>#VALUE!</v>
      </c>
      <c r="AN58" s="38" t="str">
        <f ca="1">IFERROR(__xludf.DUMMYFUNCTION("IFERROR(VLOOKUP(F80,IMPORTRANGE(""https://docs.google.com/spreadsheets/d/1Kvs4KS76FHFqLFIZfrDMff4kP08nblUkihrxltoGBjg/edit#gid=934712705"",""ESENCIAL!A6:BG""),2,FALSE))"),"")</f>
        <v/>
      </c>
      <c r="AO58" s="19" t="str">
        <f t="shared" si="7"/>
        <v>Yamboro</v>
      </c>
      <c r="AP58" s="100"/>
      <c r="AQ58" s="100"/>
    </row>
    <row r="59" spans="1:43" ht="15">
      <c r="A59" s="24"/>
      <c r="B59" s="29"/>
      <c r="C59" s="614" t="s">
        <v>1102</v>
      </c>
      <c r="D59" s="607" t="s">
        <v>27</v>
      </c>
      <c r="E59" s="613">
        <v>1083866354</v>
      </c>
      <c r="F59" s="360">
        <v>2562906</v>
      </c>
      <c r="G59" s="11" t="str">
        <f ca="1">IFERROR(__xludf.DUMMYFUNCTION("IFERROR(VLOOKUP(F50,IMPORTRANGE(""https://docs.google.com/spreadsheets/d/1Kvs4KS76FHFqLFIZfrDMff4kP08nblUkihrxltoGBjg/edit#gid=934712705"",""ESENCIAL!A6:BG""),3,FALSE))"),"TÉCNICO")</f>
        <v>TÉCNICO</v>
      </c>
      <c r="H59" s="609" t="s">
        <v>1091</v>
      </c>
      <c r="I59" s="281"/>
      <c r="J59" s="281"/>
      <c r="K59" s="281"/>
      <c r="L59" s="608"/>
      <c r="M59" s="281"/>
      <c r="N59" s="281"/>
      <c r="O59" s="281"/>
      <c r="P59" s="281"/>
      <c r="Q59" s="281"/>
      <c r="R59" s="281"/>
      <c r="S59" s="281"/>
      <c r="T59" s="281" t="s">
        <v>1094</v>
      </c>
      <c r="U59" s="281"/>
      <c r="V59" s="611" t="s">
        <v>995</v>
      </c>
      <c r="W59" s="611" t="s">
        <v>996</v>
      </c>
      <c r="X59" s="281"/>
      <c r="Y59" s="281"/>
      <c r="Z59" s="19" t="str">
        <f t="shared" ca="1" si="4"/>
        <v>NO_CUMPLE</v>
      </c>
      <c r="AA59" s="11" t="str">
        <f ca="1">IFERROR(__xludf.DUMMYFUNCTION("IFERROR(VLOOKUP(E81&amp;F81,IMPORTRANGE(""https://docs.google.com/spreadsheets/d/1Uw7-A9f9R21vMXxHZFNpYNeKFtG8_yji4HS352LGlSQ/edit?pli=1#gid=0"",""1_ACUM!A4:S""),11,FALSE))"),"")</f>
        <v/>
      </c>
      <c r="AB59" s="20" t="str">
        <f ca="1">IFERROR(__xludf.DUMMYFUNCTION("IFERROR(VLOOKUP(F81,IMPORTRANGE(""https://docs.google.com/spreadsheets/d/1Kvs4KS76FHFqLFIZfrDMff4kP08nblUkihrxltoGBjg/edit#gid=934712705"",""ESENCIAL!A6:BG""),15,FALSE))"),"")</f>
        <v/>
      </c>
      <c r="AC59" s="21" t="str">
        <f ca="1">IFERROR(__xludf.DUMMYFUNCTION("IFERROR(VLOOKUP(E81&amp;F81,IMPORTRANGE(""https://docs.google.com/spreadsheets/d/1Uw7-A9f9R21vMXxHZFNpYNeKFtG8_yji4HS352LGlSQ/edit?pli=1#gid=0"",""1_ACUM!A4:S""),13,FALSE))"),"")</f>
        <v/>
      </c>
      <c r="AD59" s="22" t="str">
        <f ca="1">IFERROR(__xludf.DUMMYFUNCTION("IFERROR(VLOOKUP(E81&amp;F81,IMPORTRANGE(""https://docs.google.com/spreadsheets/d/1Uw7-A9f9R21vMXxHZFNpYNeKFtG8_yji4HS352LGlSQ/edit?pli=1#gid=0"",""1_ACUM!A4:S""),13,FALSE))"),"")</f>
        <v/>
      </c>
      <c r="AE59" s="22" t="str">
        <f ca="1">IFERROR(__xludf.DUMMYFUNCTION("IFERROR(VLOOKUP(E81&amp;F81,IMPORTRANGE(""https://docs.google.com/spreadsheets/d/1Uw7-A9f9R21vMXxHZFNpYNeKFtG8_yji4HS352LGlSQ/edit?pli=1#gid=0"",""1_ACUM!A4:S""),14,FALSE))"),"")</f>
        <v/>
      </c>
      <c r="AF59" s="22" t="str">
        <f ca="1">IFERROR(__xludf.DUMMYFUNCTION("IFERROR(VLOOKUP(E81&amp;F81,IMPORTRANGE(""https://docs.google.com/spreadsheets/d/1Uw7-A9f9R21vMXxHZFNpYNeKFtG8_yji4HS352LGlSQ/edit?pli=1#gid=0"",""1_ACUM!A4:S""),15,FALSE))"),"")</f>
        <v/>
      </c>
      <c r="AG59" s="22" t="str">
        <f ca="1">IFERROR(__xludf.DUMMYFUNCTION("IFERROR(VLOOKUP(E81&amp;F81,IMPORTRANGE(""https://docs.google.com/spreadsheets/d/1Uw7-A9f9R21vMXxHZFNpYNeKFtG8_yji4HS352LGlSQ/edit?pli=1#gid=0"",""1_ACUM!A4:S""),16,FALSE))"),"")</f>
        <v/>
      </c>
      <c r="AH59" s="22" t="str">
        <f ca="1">IFERROR(__xludf.DUMMYFUNCTION("IFERROR(VLOOKUP(E81&amp;F81,IMPORTRANGE(""https://docs.google.com/spreadsheets/d/1Uw7-A9f9R21vMXxHZFNpYNeKFtG8_yji4HS352LGlSQ/edit?pli=1#gid=0"",""1_ACUM!A4:S""),17,FALSE))"),"")</f>
        <v/>
      </c>
      <c r="AI59" s="23" t="str">
        <f ca="1">IFERROR(__xludf.DUMMYFUNCTION("IFERROR(VLOOKUP(E81&amp;F81,IMPORTRANGE(""https://docs.google.com/spreadsheets/d/1Uw7-A9f9R21vMXxHZFNpYNeKFtG8_yji4HS352LGlSQ/edit?pli=1#gid=0"",""1_ACUM!A4:S""),18,FALSE))"),"")</f>
        <v/>
      </c>
      <c r="AJ59" s="23" t="str">
        <f ca="1">IFERROR(__xludf.DUMMYFUNCTION("IFERROR(VLOOKUP(E81&amp;F81,IMPORTRANGE(""https://docs.google.com/spreadsheets/d/1Uw7-A9f9R21vMXxHZFNpYNeKFtG8_yji4HS352LGlSQ/edit?pli=1#gid=0"",""1_ACUM!A4:S""),19,FALSE))"),"")</f>
        <v/>
      </c>
      <c r="AK59" s="68" t="str">
        <f ca="1">IFERROR(__xludf.DUMMYFUNCTION("IFERROR(VLOOKUP(F81,IMPORTRANGE(""https://docs.google.com/spreadsheets/d/1Kvs4KS76FHFqLFIZfrDMff4kP08nblUkihrxltoGBjg/edit#gid=934712705"",""ESENCIAL!A6:BG""),5,FALSE))"),"")</f>
        <v/>
      </c>
      <c r="AL59" s="68" t="e">
        <f t="shared" ca="1" si="5"/>
        <v>#VALUE!</v>
      </c>
      <c r="AM59" s="17" t="e">
        <f t="shared" ca="1" si="6"/>
        <v>#VALUE!</v>
      </c>
      <c r="AN59" s="38" t="str">
        <f ca="1">IFERROR(__xludf.DUMMYFUNCTION("IFERROR(VLOOKUP(F81,IMPORTRANGE(""https://docs.google.com/spreadsheets/d/1Kvs4KS76FHFqLFIZfrDMff4kP08nblUkihrxltoGBjg/edit#gid=934712705"",""ESENCIAL!A6:BG""),2,FALSE))"),"")</f>
        <v/>
      </c>
      <c r="AO59" s="19" t="str">
        <f t="shared" si="7"/>
        <v>Yamboro</v>
      </c>
      <c r="AP59" s="100"/>
      <c r="AQ59" s="100"/>
    </row>
    <row r="60" spans="1:43" ht="15">
      <c r="A60" s="24"/>
      <c r="B60" s="29"/>
      <c r="C60" s="614" t="s">
        <v>1103</v>
      </c>
      <c r="D60" s="607" t="s">
        <v>27</v>
      </c>
      <c r="E60" s="613">
        <v>1083868191</v>
      </c>
      <c r="F60" s="360">
        <v>2562906</v>
      </c>
      <c r="G60" s="11" t="str">
        <f ca="1">IFERROR(__xludf.DUMMYFUNCTION("IFERROR(VLOOKUP(F50,IMPORTRANGE(""https://docs.google.com/spreadsheets/d/1Kvs4KS76FHFqLFIZfrDMff4kP08nblUkihrxltoGBjg/edit#gid=934712705"",""ESENCIAL!A6:BG""),3,FALSE))"),"TÉCNICO")</f>
        <v>TÉCNICO</v>
      </c>
      <c r="H60" s="609" t="s">
        <v>1091</v>
      </c>
      <c r="I60" s="281"/>
      <c r="J60" s="281"/>
      <c r="K60" s="281"/>
      <c r="L60" s="608"/>
      <c r="M60" s="281"/>
      <c r="N60" s="281"/>
      <c r="O60" s="281"/>
      <c r="P60" s="281"/>
      <c r="Q60" s="281"/>
      <c r="R60" s="281"/>
      <c r="S60" s="281"/>
      <c r="U60" s="281"/>
      <c r="V60" s="611" t="s">
        <v>995</v>
      </c>
      <c r="W60" s="611" t="s">
        <v>996</v>
      </c>
      <c r="X60" s="281"/>
      <c r="Y60" s="281"/>
      <c r="Z60" s="19" t="str">
        <f t="shared" ca="1" si="4"/>
        <v>NO_CUMPLE</v>
      </c>
      <c r="AA60" s="11" t="str">
        <f ca="1">IFERROR(__xludf.DUMMYFUNCTION("IFERROR(VLOOKUP(E82&amp;F82,IMPORTRANGE(""https://docs.google.com/spreadsheets/d/1Uw7-A9f9R21vMXxHZFNpYNeKFtG8_yji4HS352LGlSQ/edit?pli=1#gid=0"",""1_ACUM!A4:S""),11,FALSE))"),"")</f>
        <v/>
      </c>
      <c r="AB60" s="20" t="str">
        <f ca="1">IFERROR(__xludf.DUMMYFUNCTION("IFERROR(VLOOKUP(F82,IMPORTRANGE(""https://docs.google.com/spreadsheets/d/1Kvs4KS76FHFqLFIZfrDMff4kP08nblUkihrxltoGBjg/edit#gid=934712705"",""ESENCIAL!A6:BG""),15,FALSE))"),"")</f>
        <v/>
      </c>
      <c r="AC60" s="21" t="str">
        <f ca="1">IFERROR(__xludf.DUMMYFUNCTION("IFERROR(VLOOKUP(E82&amp;F82,IMPORTRANGE(""https://docs.google.com/spreadsheets/d/1Uw7-A9f9R21vMXxHZFNpYNeKFtG8_yji4HS352LGlSQ/edit?pli=1#gid=0"",""1_ACUM!A4:S""),13,FALSE))"),"")</f>
        <v/>
      </c>
      <c r="AD60" s="22" t="str">
        <f ca="1">IFERROR(__xludf.DUMMYFUNCTION("IFERROR(VLOOKUP(E82&amp;F82,IMPORTRANGE(""https://docs.google.com/spreadsheets/d/1Uw7-A9f9R21vMXxHZFNpYNeKFtG8_yji4HS352LGlSQ/edit?pli=1#gid=0"",""1_ACUM!A4:S""),13,FALSE))"),"")</f>
        <v/>
      </c>
      <c r="AE60" s="22" t="str">
        <f ca="1">IFERROR(__xludf.DUMMYFUNCTION("IFERROR(VLOOKUP(E82&amp;F82,IMPORTRANGE(""https://docs.google.com/spreadsheets/d/1Uw7-A9f9R21vMXxHZFNpYNeKFtG8_yji4HS352LGlSQ/edit?pli=1#gid=0"",""1_ACUM!A4:S""),14,FALSE))"),"")</f>
        <v/>
      </c>
      <c r="AF60" s="22" t="str">
        <f ca="1">IFERROR(__xludf.DUMMYFUNCTION("IFERROR(VLOOKUP(E82&amp;F82,IMPORTRANGE(""https://docs.google.com/spreadsheets/d/1Uw7-A9f9R21vMXxHZFNpYNeKFtG8_yji4HS352LGlSQ/edit?pli=1#gid=0"",""1_ACUM!A4:S""),15,FALSE))"),"")</f>
        <v/>
      </c>
      <c r="AG60" s="22" t="str">
        <f ca="1">IFERROR(__xludf.DUMMYFUNCTION("IFERROR(VLOOKUP(E82&amp;F82,IMPORTRANGE(""https://docs.google.com/spreadsheets/d/1Uw7-A9f9R21vMXxHZFNpYNeKFtG8_yji4HS352LGlSQ/edit?pli=1#gid=0"",""1_ACUM!A4:S""),16,FALSE))"),"")</f>
        <v/>
      </c>
      <c r="AH60" s="22" t="str">
        <f ca="1">IFERROR(__xludf.DUMMYFUNCTION("IFERROR(VLOOKUP(E82&amp;F82,IMPORTRANGE(""https://docs.google.com/spreadsheets/d/1Uw7-A9f9R21vMXxHZFNpYNeKFtG8_yji4HS352LGlSQ/edit?pli=1#gid=0"",""1_ACUM!A4:S""),17,FALSE))"),"")</f>
        <v/>
      </c>
      <c r="AI60" s="23" t="str">
        <f ca="1">IFERROR(__xludf.DUMMYFUNCTION("IFERROR(VLOOKUP(E82&amp;F82,IMPORTRANGE(""https://docs.google.com/spreadsheets/d/1Uw7-A9f9R21vMXxHZFNpYNeKFtG8_yji4HS352LGlSQ/edit?pli=1#gid=0"",""1_ACUM!A4:S""),18,FALSE))"),"")</f>
        <v/>
      </c>
      <c r="AJ60" s="23" t="str">
        <f ca="1">IFERROR(__xludf.DUMMYFUNCTION("IFERROR(VLOOKUP(E82&amp;F82,IMPORTRANGE(""https://docs.google.com/spreadsheets/d/1Uw7-A9f9R21vMXxHZFNpYNeKFtG8_yji4HS352LGlSQ/edit?pli=1#gid=0"",""1_ACUM!A4:S""),19,FALSE))"),"")</f>
        <v/>
      </c>
      <c r="AK60" s="68" t="str">
        <f ca="1">IFERROR(__xludf.DUMMYFUNCTION("IFERROR(VLOOKUP(F82,IMPORTRANGE(""https://docs.google.com/spreadsheets/d/1Kvs4KS76FHFqLFIZfrDMff4kP08nblUkihrxltoGBjg/edit#gid=934712705"",""ESENCIAL!A6:BG""),5,FALSE))"),"")</f>
        <v/>
      </c>
      <c r="AL60" s="68" t="e">
        <f t="shared" ca="1" si="5"/>
        <v>#VALUE!</v>
      </c>
      <c r="AM60" s="17" t="e">
        <f t="shared" ca="1" si="6"/>
        <v>#VALUE!</v>
      </c>
      <c r="AN60" s="38" t="str">
        <f ca="1">IFERROR(__xludf.DUMMYFUNCTION("IFERROR(VLOOKUP(F82,IMPORTRANGE(""https://docs.google.com/spreadsheets/d/1Kvs4KS76FHFqLFIZfrDMff4kP08nblUkihrxltoGBjg/edit#gid=934712705"",""ESENCIAL!A6:BG""),2,FALSE))"),"")</f>
        <v/>
      </c>
      <c r="AO60" s="19" t="str">
        <f t="shared" si="7"/>
        <v>Yamboro</v>
      </c>
      <c r="AP60" s="100"/>
      <c r="AQ60" s="100"/>
    </row>
    <row r="61" spans="1:43" ht="15">
      <c r="A61" s="24"/>
      <c r="B61" s="24"/>
      <c r="C61" s="614" t="s">
        <v>1104</v>
      </c>
      <c r="D61" s="607" t="s">
        <v>67</v>
      </c>
      <c r="E61" s="613">
        <v>1083870514</v>
      </c>
      <c r="F61" s="360">
        <v>2562906</v>
      </c>
      <c r="G61" s="11" t="str">
        <f ca="1">IFERROR(__xludf.DUMMYFUNCTION("IFERROR(VLOOKUP(F50,IMPORTRANGE(""https://docs.google.com/spreadsheets/d/1Kvs4KS76FHFqLFIZfrDMff4kP08nblUkihrxltoGBjg/edit#gid=934712705"",""ESENCIAL!A6:BG""),3,FALSE))"),"TÉCNICO")</f>
        <v>TÉCNICO</v>
      </c>
      <c r="H61" s="609" t="s">
        <v>1091</v>
      </c>
      <c r="I61" s="281"/>
      <c r="J61" s="281"/>
      <c r="K61" s="281"/>
      <c r="L61" s="608"/>
      <c r="M61" s="281"/>
      <c r="N61" s="281"/>
      <c r="O61" s="281"/>
      <c r="P61" s="281"/>
      <c r="Q61" s="281"/>
      <c r="R61" s="281"/>
      <c r="S61" s="281"/>
      <c r="T61" s="281"/>
      <c r="U61" s="281"/>
      <c r="V61" s="611" t="s">
        <v>995</v>
      </c>
      <c r="W61" s="611" t="s">
        <v>996</v>
      </c>
      <c r="X61" s="281"/>
      <c r="Y61" s="281"/>
      <c r="Z61" s="19" t="str">
        <f t="shared" ca="1" si="4"/>
        <v>NO_CUMPLE</v>
      </c>
      <c r="AA61" s="11" t="str">
        <f ca="1">IFERROR(__xludf.DUMMYFUNCTION("IFERROR(VLOOKUP(E83&amp;F83,IMPORTRANGE(""https://docs.google.com/spreadsheets/d/1Uw7-A9f9R21vMXxHZFNpYNeKFtG8_yji4HS352LGlSQ/edit?pli=1#gid=0"",""1_ACUM!A4:S""),11,FALSE))"),"")</f>
        <v/>
      </c>
      <c r="AB61" s="20" t="str">
        <f ca="1">IFERROR(__xludf.DUMMYFUNCTION("IFERROR(VLOOKUP(F83,IMPORTRANGE(""https://docs.google.com/spreadsheets/d/1Kvs4KS76FHFqLFIZfrDMff4kP08nblUkihrxltoGBjg/edit#gid=934712705"",""ESENCIAL!A6:BG""),15,FALSE))"),"")</f>
        <v/>
      </c>
      <c r="AC61" s="21" t="str">
        <f ca="1">IFERROR(__xludf.DUMMYFUNCTION("IFERROR(VLOOKUP(E83&amp;F83,IMPORTRANGE(""https://docs.google.com/spreadsheets/d/1Uw7-A9f9R21vMXxHZFNpYNeKFtG8_yji4HS352LGlSQ/edit?pli=1#gid=0"",""1_ACUM!A4:S""),13,FALSE))"),"")</f>
        <v/>
      </c>
      <c r="AD61" s="22" t="str">
        <f ca="1">IFERROR(__xludf.DUMMYFUNCTION("IFERROR(VLOOKUP(E83&amp;F83,IMPORTRANGE(""https://docs.google.com/spreadsheets/d/1Uw7-A9f9R21vMXxHZFNpYNeKFtG8_yji4HS352LGlSQ/edit?pli=1#gid=0"",""1_ACUM!A4:S""),13,FALSE))"),"")</f>
        <v/>
      </c>
      <c r="AE61" s="22" t="str">
        <f ca="1">IFERROR(__xludf.DUMMYFUNCTION("IFERROR(VLOOKUP(E83&amp;F83,IMPORTRANGE(""https://docs.google.com/spreadsheets/d/1Uw7-A9f9R21vMXxHZFNpYNeKFtG8_yji4HS352LGlSQ/edit?pli=1#gid=0"",""1_ACUM!A4:S""),14,FALSE))"),"")</f>
        <v/>
      </c>
      <c r="AF61" s="22" t="str">
        <f ca="1">IFERROR(__xludf.DUMMYFUNCTION("IFERROR(VLOOKUP(E83&amp;F83,IMPORTRANGE(""https://docs.google.com/spreadsheets/d/1Uw7-A9f9R21vMXxHZFNpYNeKFtG8_yji4HS352LGlSQ/edit?pli=1#gid=0"",""1_ACUM!A4:S""),15,FALSE))"),"")</f>
        <v/>
      </c>
      <c r="AG61" s="22" t="str">
        <f ca="1">IFERROR(__xludf.DUMMYFUNCTION("IFERROR(VLOOKUP(E83&amp;F83,IMPORTRANGE(""https://docs.google.com/spreadsheets/d/1Uw7-A9f9R21vMXxHZFNpYNeKFtG8_yji4HS352LGlSQ/edit?pli=1#gid=0"",""1_ACUM!A4:S""),16,FALSE))"),"")</f>
        <v/>
      </c>
      <c r="AH61" s="22" t="str">
        <f ca="1">IFERROR(__xludf.DUMMYFUNCTION("IFERROR(VLOOKUP(E83&amp;F83,IMPORTRANGE(""https://docs.google.com/spreadsheets/d/1Uw7-A9f9R21vMXxHZFNpYNeKFtG8_yji4HS352LGlSQ/edit?pli=1#gid=0"",""1_ACUM!A4:S""),17,FALSE))"),"")</f>
        <v/>
      </c>
      <c r="AI61" s="23" t="str">
        <f ca="1">IFERROR(__xludf.DUMMYFUNCTION("IFERROR(VLOOKUP(E83&amp;F83,IMPORTRANGE(""https://docs.google.com/spreadsheets/d/1Uw7-A9f9R21vMXxHZFNpYNeKFtG8_yji4HS352LGlSQ/edit?pli=1#gid=0"",""1_ACUM!A4:S""),18,FALSE))"),"")</f>
        <v/>
      </c>
      <c r="AJ61" s="23" t="str">
        <f ca="1">IFERROR(__xludf.DUMMYFUNCTION("IFERROR(VLOOKUP(E83&amp;F83,IMPORTRANGE(""https://docs.google.com/spreadsheets/d/1Uw7-A9f9R21vMXxHZFNpYNeKFtG8_yji4HS352LGlSQ/edit?pli=1#gid=0"",""1_ACUM!A4:S""),19,FALSE))"),"")</f>
        <v/>
      </c>
      <c r="AK61" s="68" t="str">
        <f ca="1">IFERROR(__xludf.DUMMYFUNCTION("IFERROR(VLOOKUP(F83,IMPORTRANGE(""https://docs.google.com/spreadsheets/d/1Kvs4KS76FHFqLFIZfrDMff4kP08nblUkihrxltoGBjg/edit#gid=934712705"",""ESENCIAL!A6:BG""),5,FALSE))"),"")</f>
        <v/>
      </c>
      <c r="AL61" s="68" t="e">
        <f t="shared" ca="1" si="5"/>
        <v>#VALUE!</v>
      </c>
      <c r="AM61" s="17" t="e">
        <f t="shared" ca="1" si="6"/>
        <v>#VALUE!</v>
      </c>
      <c r="AN61" s="38" t="str">
        <f ca="1">IFERROR(__xludf.DUMMYFUNCTION("IFERROR(VLOOKUP(F83,IMPORTRANGE(""https://docs.google.com/spreadsheets/d/1Kvs4KS76FHFqLFIZfrDMff4kP08nblUkihrxltoGBjg/edit#gid=934712705"",""ESENCIAL!A6:BG""),2,FALSE))"),"")</f>
        <v/>
      </c>
      <c r="AO61" s="19" t="str">
        <f t="shared" si="7"/>
        <v>Yamboro</v>
      </c>
      <c r="AP61" s="100"/>
      <c r="AQ61" s="100"/>
    </row>
    <row r="62" spans="1:43" ht="15">
      <c r="A62" s="24"/>
      <c r="B62" s="24"/>
      <c r="C62" s="614" t="s">
        <v>1105</v>
      </c>
      <c r="D62" s="607" t="s">
        <v>27</v>
      </c>
      <c r="E62" s="613">
        <v>1083896934</v>
      </c>
      <c r="F62" s="360">
        <v>2562906</v>
      </c>
      <c r="G62" s="11" t="str">
        <f ca="1">IFERROR(__xludf.DUMMYFUNCTION("IFERROR(VLOOKUP(F50,IMPORTRANGE(""https://docs.google.com/spreadsheets/d/1Kvs4KS76FHFqLFIZfrDMff4kP08nblUkihrxltoGBjg/edit#gid=934712705"",""ESENCIAL!A6:BG""),3,FALSE))"),"TÉCNICO")</f>
        <v>TÉCNICO</v>
      </c>
      <c r="H62" s="609" t="s">
        <v>1091</v>
      </c>
      <c r="I62" s="281"/>
      <c r="J62" s="281"/>
      <c r="K62" s="281"/>
      <c r="L62" s="608"/>
      <c r="M62" s="281"/>
      <c r="N62" s="281"/>
      <c r="O62" s="281"/>
      <c r="P62" s="281"/>
      <c r="Q62" s="281"/>
      <c r="R62" s="281"/>
      <c r="S62" s="281"/>
      <c r="T62" s="281" t="s">
        <v>1094</v>
      </c>
      <c r="U62" s="281"/>
      <c r="V62" s="611" t="s">
        <v>995</v>
      </c>
      <c r="W62" s="611" t="s">
        <v>996</v>
      </c>
      <c r="X62" s="281"/>
      <c r="Y62" s="281"/>
      <c r="Z62" s="19" t="str">
        <f t="shared" ca="1" si="4"/>
        <v>NO_CUMPLE</v>
      </c>
      <c r="AA62" s="11" t="str">
        <f ca="1">IFERROR(__xludf.DUMMYFUNCTION("IFERROR(VLOOKUP(E84&amp;F84,IMPORTRANGE(""https://docs.google.com/spreadsheets/d/1Uw7-A9f9R21vMXxHZFNpYNeKFtG8_yji4HS352LGlSQ/edit?pli=1#gid=0"",""1_ACUM!A4:S""),11,FALSE))"),"")</f>
        <v/>
      </c>
      <c r="AB62" s="20" t="str">
        <f ca="1">IFERROR(__xludf.DUMMYFUNCTION("IFERROR(VLOOKUP(F84,IMPORTRANGE(""https://docs.google.com/spreadsheets/d/1Kvs4KS76FHFqLFIZfrDMff4kP08nblUkihrxltoGBjg/edit#gid=934712705"",""ESENCIAL!A6:BG""),15,FALSE))"),"")</f>
        <v/>
      </c>
      <c r="AC62" s="21" t="str">
        <f ca="1">IFERROR(__xludf.DUMMYFUNCTION("IFERROR(VLOOKUP(E84&amp;F84,IMPORTRANGE(""https://docs.google.com/spreadsheets/d/1Uw7-A9f9R21vMXxHZFNpYNeKFtG8_yji4HS352LGlSQ/edit?pli=1#gid=0"",""1_ACUM!A4:S""),13,FALSE))"),"")</f>
        <v/>
      </c>
      <c r="AD62" s="22" t="str">
        <f ca="1">IFERROR(__xludf.DUMMYFUNCTION("IFERROR(VLOOKUP(E84&amp;F84,IMPORTRANGE(""https://docs.google.com/spreadsheets/d/1Uw7-A9f9R21vMXxHZFNpYNeKFtG8_yji4HS352LGlSQ/edit?pli=1#gid=0"",""1_ACUM!A4:S""),13,FALSE))"),"")</f>
        <v/>
      </c>
      <c r="AE62" s="22" t="str">
        <f ca="1">IFERROR(__xludf.DUMMYFUNCTION("IFERROR(VLOOKUP(E84&amp;F84,IMPORTRANGE(""https://docs.google.com/spreadsheets/d/1Uw7-A9f9R21vMXxHZFNpYNeKFtG8_yji4HS352LGlSQ/edit?pli=1#gid=0"",""1_ACUM!A4:S""),14,FALSE))"),"")</f>
        <v/>
      </c>
      <c r="AF62" s="22" t="str">
        <f ca="1">IFERROR(__xludf.DUMMYFUNCTION("IFERROR(VLOOKUP(E84&amp;F84,IMPORTRANGE(""https://docs.google.com/spreadsheets/d/1Uw7-A9f9R21vMXxHZFNpYNeKFtG8_yji4HS352LGlSQ/edit?pli=1#gid=0"",""1_ACUM!A4:S""),15,FALSE))"),"")</f>
        <v/>
      </c>
      <c r="AG62" s="22" t="str">
        <f ca="1">IFERROR(__xludf.DUMMYFUNCTION("IFERROR(VLOOKUP(E84&amp;F84,IMPORTRANGE(""https://docs.google.com/spreadsheets/d/1Uw7-A9f9R21vMXxHZFNpYNeKFtG8_yji4HS352LGlSQ/edit?pli=1#gid=0"",""1_ACUM!A4:S""),16,FALSE))"),"")</f>
        <v/>
      </c>
      <c r="AH62" s="22" t="str">
        <f ca="1">IFERROR(__xludf.DUMMYFUNCTION("IFERROR(VLOOKUP(E84&amp;F84,IMPORTRANGE(""https://docs.google.com/spreadsheets/d/1Uw7-A9f9R21vMXxHZFNpYNeKFtG8_yji4HS352LGlSQ/edit?pli=1#gid=0"",""1_ACUM!A4:S""),17,FALSE))"),"")</f>
        <v/>
      </c>
      <c r="AI62" s="23" t="str">
        <f ca="1">IFERROR(__xludf.DUMMYFUNCTION("IFERROR(VLOOKUP(E84&amp;F84,IMPORTRANGE(""https://docs.google.com/spreadsheets/d/1Uw7-A9f9R21vMXxHZFNpYNeKFtG8_yji4HS352LGlSQ/edit?pli=1#gid=0"",""1_ACUM!A4:S""),18,FALSE))"),"")</f>
        <v/>
      </c>
      <c r="AJ62" s="23" t="str">
        <f ca="1">IFERROR(__xludf.DUMMYFUNCTION("IFERROR(VLOOKUP(E84&amp;F84,IMPORTRANGE(""https://docs.google.com/spreadsheets/d/1Uw7-A9f9R21vMXxHZFNpYNeKFtG8_yji4HS352LGlSQ/edit?pli=1#gid=0"",""1_ACUM!A4:S""),19,FALSE))"),"")</f>
        <v/>
      </c>
      <c r="AK62" s="68" t="str">
        <f ca="1">IFERROR(__xludf.DUMMYFUNCTION("IFERROR(VLOOKUP(F84,IMPORTRANGE(""https://docs.google.com/spreadsheets/d/1Kvs4KS76FHFqLFIZfrDMff4kP08nblUkihrxltoGBjg/edit#gid=934712705"",""ESENCIAL!A6:BG""),5,FALSE))"),"")</f>
        <v/>
      </c>
      <c r="AL62" s="68" t="e">
        <f t="shared" ca="1" si="5"/>
        <v>#VALUE!</v>
      </c>
      <c r="AM62" s="17" t="e">
        <f t="shared" ca="1" si="6"/>
        <v>#VALUE!</v>
      </c>
      <c r="AN62" s="38" t="str">
        <f ca="1">IFERROR(__xludf.DUMMYFUNCTION("IFERROR(VLOOKUP(F84,IMPORTRANGE(""https://docs.google.com/spreadsheets/d/1Kvs4KS76FHFqLFIZfrDMff4kP08nblUkihrxltoGBjg/edit#gid=934712705"",""ESENCIAL!A6:BG""),2,FALSE))"),"")</f>
        <v/>
      </c>
      <c r="AO62" s="19" t="str">
        <f t="shared" si="7"/>
        <v>Yamboro</v>
      </c>
      <c r="AP62" s="100"/>
      <c r="AQ62" s="100"/>
    </row>
    <row r="63" spans="1:43" ht="15">
      <c r="A63" s="24" t="s">
        <v>1106</v>
      </c>
      <c r="B63" s="24"/>
      <c r="C63" s="614" t="s">
        <v>1107</v>
      </c>
      <c r="D63" s="607" t="s">
        <v>27</v>
      </c>
      <c r="E63" s="613">
        <v>1083984235</v>
      </c>
      <c r="F63" s="360">
        <v>2562906</v>
      </c>
      <c r="G63" s="11" t="str">
        <f ca="1">IFERROR(__xludf.DUMMYFUNCTION("IFERROR(VLOOKUP(F50,IMPORTRANGE(""https://docs.google.com/spreadsheets/d/1Kvs4KS76FHFqLFIZfrDMff4kP08nblUkihrxltoGBjg/edit#gid=934712705"",""ESENCIAL!A6:BG""),3,FALSE))"),"TÉCNICO")</f>
        <v>TÉCNICO</v>
      </c>
      <c r="H63" s="609" t="s">
        <v>1091</v>
      </c>
      <c r="I63" s="281">
        <v>3213790698</v>
      </c>
      <c r="J63" s="182" t="s">
        <v>1108</v>
      </c>
      <c r="K63" s="281" t="s">
        <v>1109</v>
      </c>
      <c r="L63" s="608" t="s">
        <v>28</v>
      </c>
      <c r="M63" s="281" t="s">
        <v>1110</v>
      </c>
      <c r="N63" s="281" t="s">
        <v>1111</v>
      </c>
      <c r="O63" s="281">
        <v>3124762181</v>
      </c>
      <c r="P63" s="281"/>
      <c r="Q63" s="281"/>
      <c r="R63" s="615">
        <v>44930</v>
      </c>
      <c r="S63" s="281" t="s">
        <v>1112</v>
      </c>
      <c r="T63" s="281" t="s">
        <v>1113</v>
      </c>
      <c r="U63" s="281" t="s">
        <v>1106</v>
      </c>
      <c r="V63" s="611" t="s">
        <v>995</v>
      </c>
      <c r="W63" s="611" t="s">
        <v>996</v>
      </c>
      <c r="X63" s="281"/>
      <c r="Y63" s="281"/>
      <c r="Z63" s="19" t="str">
        <f t="shared" ca="1" si="4"/>
        <v>NO_CUMPLE</v>
      </c>
      <c r="AA63" s="11" t="str">
        <f ca="1">IFERROR(__xludf.DUMMYFUNCTION("IFERROR(VLOOKUP(E85&amp;F85,IMPORTRANGE(""https://docs.google.com/spreadsheets/d/1Uw7-A9f9R21vMXxHZFNpYNeKFtG8_yji4HS352LGlSQ/edit?pli=1#gid=0"",""1_ACUM!A4:S""),11,FALSE))"),"")</f>
        <v/>
      </c>
      <c r="AB63" s="20" t="str">
        <f ca="1">IFERROR(__xludf.DUMMYFUNCTION("IFERROR(VLOOKUP(F85,IMPORTRANGE(""https://docs.google.com/spreadsheets/d/1Kvs4KS76FHFqLFIZfrDMff4kP08nblUkihrxltoGBjg/edit#gid=934712705"",""ESENCIAL!A6:BG""),15,FALSE))"),"")</f>
        <v/>
      </c>
      <c r="AC63" s="21" t="str">
        <f ca="1">IFERROR(__xludf.DUMMYFUNCTION("IFERROR(VLOOKUP(E85&amp;F85,IMPORTRANGE(""https://docs.google.com/spreadsheets/d/1Uw7-A9f9R21vMXxHZFNpYNeKFtG8_yji4HS352LGlSQ/edit?pli=1#gid=0"",""1_ACUM!A4:S""),13,FALSE))"),"")</f>
        <v/>
      </c>
      <c r="AD63" s="22" t="str">
        <f ca="1">IFERROR(__xludf.DUMMYFUNCTION("IFERROR(VLOOKUP(E85&amp;F85,IMPORTRANGE(""https://docs.google.com/spreadsheets/d/1Uw7-A9f9R21vMXxHZFNpYNeKFtG8_yji4HS352LGlSQ/edit?pli=1#gid=0"",""1_ACUM!A4:S""),13,FALSE))"),"")</f>
        <v/>
      </c>
      <c r="AE63" s="22" t="str">
        <f ca="1">IFERROR(__xludf.DUMMYFUNCTION("IFERROR(VLOOKUP(E85&amp;F85,IMPORTRANGE(""https://docs.google.com/spreadsheets/d/1Uw7-A9f9R21vMXxHZFNpYNeKFtG8_yji4HS352LGlSQ/edit?pli=1#gid=0"",""1_ACUM!A4:S""),14,FALSE))"),"")</f>
        <v/>
      </c>
      <c r="AF63" s="22" t="str">
        <f ca="1">IFERROR(__xludf.DUMMYFUNCTION("IFERROR(VLOOKUP(E85&amp;F85,IMPORTRANGE(""https://docs.google.com/spreadsheets/d/1Uw7-A9f9R21vMXxHZFNpYNeKFtG8_yji4HS352LGlSQ/edit?pli=1#gid=0"",""1_ACUM!A4:S""),15,FALSE))"),"")</f>
        <v/>
      </c>
      <c r="AG63" s="22" t="str">
        <f ca="1">IFERROR(__xludf.DUMMYFUNCTION("IFERROR(VLOOKUP(E85&amp;F85,IMPORTRANGE(""https://docs.google.com/spreadsheets/d/1Uw7-A9f9R21vMXxHZFNpYNeKFtG8_yji4HS352LGlSQ/edit?pli=1#gid=0"",""1_ACUM!A4:S""),16,FALSE))"),"")</f>
        <v/>
      </c>
      <c r="AH63" s="22" t="str">
        <f ca="1">IFERROR(__xludf.DUMMYFUNCTION("IFERROR(VLOOKUP(E85&amp;F85,IMPORTRANGE(""https://docs.google.com/spreadsheets/d/1Uw7-A9f9R21vMXxHZFNpYNeKFtG8_yji4HS352LGlSQ/edit?pli=1#gid=0"",""1_ACUM!A4:S""),17,FALSE))"),"")</f>
        <v/>
      </c>
      <c r="AI63" s="23" t="str">
        <f ca="1">IFERROR(__xludf.DUMMYFUNCTION("IFERROR(VLOOKUP(E85&amp;F85,IMPORTRANGE(""https://docs.google.com/spreadsheets/d/1Uw7-A9f9R21vMXxHZFNpYNeKFtG8_yji4HS352LGlSQ/edit?pli=1#gid=0"",""1_ACUM!A4:S""),18,FALSE))"),"")</f>
        <v/>
      </c>
      <c r="AJ63" s="23" t="str">
        <f ca="1">IFERROR(__xludf.DUMMYFUNCTION("IFERROR(VLOOKUP(E85&amp;F85,IMPORTRANGE(""https://docs.google.com/spreadsheets/d/1Uw7-A9f9R21vMXxHZFNpYNeKFtG8_yji4HS352LGlSQ/edit?pli=1#gid=0"",""1_ACUM!A4:S""),19,FALSE))"),"")</f>
        <v/>
      </c>
      <c r="AK63" s="68" t="str">
        <f ca="1">IFERROR(__xludf.DUMMYFUNCTION("IFERROR(VLOOKUP(F85,IMPORTRANGE(""https://docs.google.com/spreadsheets/d/1Kvs4KS76FHFqLFIZfrDMff4kP08nblUkihrxltoGBjg/edit#gid=934712705"",""ESENCIAL!A6:BG""),5,FALSE))"),"")</f>
        <v/>
      </c>
      <c r="AL63" s="68" t="e">
        <f t="shared" ca="1" si="5"/>
        <v>#VALUE!</v>
      </c>
      <c r="AM63" s="17" t="e">
        <f t="shared" ca="1" si="6"/>
        <v>#VALUE!</v>
      </c>
      <c r="AN63" s="38" t="str">
        <f ca="1">IFERROR(__xludf.DUMMYFUNCTION("IFERROR(VLOOKUP(F85,IMPORTRANGE(""https://docs.google.com/spreadsheets/d/1Kvs4KS76FHFqLFIZfrDMff4kP08nblUkihrxltoGBjg/edit#gid=934712705"",""ESENCIAL!A6:BG""),2,FALSE))"),"")</f>
        <v/>
      </c>
      <c r="AO63" s="19" t="str">
        <f t="shared" si="7"/>
        <v>Yamboro</v>
      </c>
      <c r="AP63" s="100"/>
      <c r="AQ63" s="100"/>
    </row>
    <row r="64" spans="1:43" ht="15">
      <c r="A64" s="24"/>
      <c r="B64" s="24"/>
      <c r="C64" s="614" t="s">
        <v>1114</v>
      </c>
      <c r="D64" s="607" t="s">
        <v>27</v>
      </c>
      <c r="E64" s="613">
        <v>1084896222</v>
      </c>
      <c r="F64" s="360">
        <v>2562906</v>
      </c>
      <c r="G64" s="11" t="str">
        <f ca="1">IFERROR(__xludf.DUMMYFUNCTION("IFERROR(VLOOKUP(F50,IMPORTRANGE(""https://docs.google.com/spreadsheets/d/1Kvs4KS76FHFqLFIZfrDMff4kP08nblUkihrxltoGBjg/edit#gid=934712705"",""ESENCIAL!A6:BG""),3,FALSE))"),"TÉCNICO")</f>
        <v>TÉCNICO</v>
      </c>
      <c r="H64" s="609" t="s">
        <v>1091</v>
      </c>
      <c r="I64" s="281"/>
      <c r="J64" s="281"/>
      <c r="K64" s="281"/>
      <c r="L64" s="608"/>
      <c r="M64" s="281"/>
      <c r="N64" s="281"/>
      <c r="O64" s="281"/>
      <c r="P64" s="281"/>
      <c r="Q64" s="281"/>
      <c r="R64" s="281"/>
      <c r="S64" s="281"/>
      <c r="T64" s="281"/>
      <c r="U64" s="281"/>
      <c r="V64" s="611" t="s">
        <v>995</v>
      </c>
      <c r="W64" s="611" t="s">
        <v>996</v>
      </c>
      <c r="X64" s="281"/>
      <c r="Y64" s="281"/>
      <c r="Z64" s="19" t="str">
        <f t="shared" ca="1" si="4"/>
        <v>NO_CUMPLE</v>
      </c>
      <c r="AA64" s="11" t="str">
        <f ca="1">IFERROR(__xludf.DUMMYFUNCTION("IFERROR(VLOOKUP(E86&amp;F86,IMPORTRANGE(""https://docs.google.com/spreadsheets/d/1Uw7-A9f9R21vMXxHZFNpYNeKFtG8_yji4HS352LGlSQ/edit?pli=1#gid=0"",""1_ACUM!A4:S""),11,FALSE))"),"")</f>
        <v/>
      </c>
      <c r="AB64" s="20" t="str">
        <f ca="1">IFERROR(__xludf.DUMMYFUNCTION("IFERROR(VLOOKUP(F86,IMPORTRANGE(""https://docs.google.com/spreadsheets/d/1Kvs4KS76FHFqLFIZfrDMff4kP08nblUkihrxltoGBjg/edit#gid=934712705"",""ESENCIAL!A6:BG""),15,FALSE))"),"")</f>
        <v/>
      </c>
      <c r="AC64" s="21" t="str">
        <f ca="1">IFERROR(__xludf.DUMMYFUNCTION("IFERROR(VLOOKUP(E86&amp;F86,IMPORTRANGE(""https://docs.google.com/spreadsheets/d/1Uw7-A9f9R21vMXxHZFNpYNeKFtG8_yji4HS352LGlSQ/edit?pli=1#gid=0"",""1_ACUM!A4:S""),13,FALSE))"),"")</f>
        <v/>
      </c>
      <c r="AD64" s="22" t="str">
        <f ca="1">IFERROR(__xludf.DUMMYFUNCTION("IFERROR(VLOOKUP(E86&amp;F86,IMPORTRANGE(""https://docs.google.com/spreadsheets/d/1Uw7-A9f9R21vMXxHZFNpYNeKFtG8_yji4HS352LGlSQ/edit?pli=1#gid=0"",""1_ACUM!A4:S""),13,FALSE))"),"")</f>
        <v/>
      </c>
      <c r="AE64" s="22" t="str">
        <f ca="1">IFERROR(__xludf.DUMMYFUNCTION("IFERROR(VLOOKUP(E86&amp;F86,IMPORTRANGE(""https://docs.google.com/spreadsheets/d/1Uw7-A9f9R21vMXxHZFNpYNeKFtG8_yji4HS352LGlSQ/edit?pli=1#gid=0"",""1_ACUM!A4:S""),14,FALSE))"),"")</f>
        <v/>
      </c>
      <c r="AF64" s="22" t="str">
        <f ca="1">IFERROR(__xludf.DUMMYFUNCTION("IFERROR(VLOOKUP(E86&amp;F86,IMPORTRANGE(""https://docs.google.com/spreadsheets/d/1Uw7-A9f9R21vMXxHZFNpYNeKFtG8_yji4HS352LGlSQ/edit?pli=1#gid=0"",""1_ACUM!A4:S""),15,FALSE))"),"")</f>
        <v/>
      </c>
      <c r="AG64" s="22" t="str">
        <f ca="1">IFERROR(__xludf.DUMMYFUNCTION("IFERROR(VLOOKUP(E86&amp;F86,IMPORTRANGE(""https://docs.google.com/spreadsheets/d/1Uw7-A9f9R21vMXxHZFNpYNeKFtG8_yji4HS352LGlSQ/edit?pli=1#gid=0"",""1_ACUM!A4:S""),16,FALSE))"),"")</f>
        <v/>
      </c>
      <c r="AH64" s="22" t="str">
        <f ca="1">IFERROR(__xludf.DUMMYFUNCTION("IFERROR(VLOOKUP(E86&amp;F86,IMPORTRANGE(""https://docs.google.com/spreadsheets/d/1Uw7-A9f9R21vMXxHZFNpYNeKFtG8_yji4HS352LGlSQ/edit?pli=1#gid=0"",""1_ACUM!A4:S""),17,FALSE))"),"")</f>
        <v/>
      </c>
      <c r="AI64" s="23" t="str">
        <f ca="1">IFERROR(__xludf.DUMMYFUNCTION("IFERROR(VLOOKUP(E86&amp;F86,IMPORTRANGE(""https://docs.google.com/spreadsheets/d/1Uw7-A9f9R21vMXxHZFNpYNeKFtG8_yji4HS352LGlSQ/edit?pli=1#gid=0"",""1_ACUM!A4:S""),18,FALSE))"),"")</f>
        <v/>
      </c>
      <c r="AJ64" s="23" t="str">
        <f ca="1">IFERROR(__xludf.DUMMYFUNCTION("IFERROR(VLOOKUP(E86&amp;F86,IMPORTRANGE(""https://docs.google.com/spreadsheets/d/1Uw7-A9f9R21vMXxHZFNpYNeKFtG8_yji4HS352LGlSQ/edit?pli=1#gid=0"",""1_ACUM!A4:S""),19,FALSE))"),"")</f>
        <v/>
      </c>
      <c r="AK64" s="68" t="str">
        <f ca="1">IFERROR(__xludf.DUMMYFUNCTION("IFERROR(VLOOKUP(F86,IMPORTRANGE(""https://docs.google.com/spreadsheets/d/1Kvs4KS76FHFqLFIZfrDMff4kP08nblUkihrxltoGBjg/edit#gid=934712705"",""ESENCIAL!A6:BG""),5,FALSE))"),"")</f>
        <v/>
      </c>
      <c r="AL64" s="68" t="e">
        <f t="shared" ca="1" si="5"/>
        <v>#VALUE!</v>
      </c>
      <c r="AM64" s="17" t="e">
        <f t="shared" ca="1" si="6"/>
        <v>#VALUE!</v>
      </c>
      <c r="AN64" s="38" t="str">
        <f ca="1">IFERROR(__xludf.DUMMYFUNCTION("IFERROR(VLOOKUP(F86,IMPORTRANGE(""https://docs.google.com/spreadsheets/d/1Kvs4KS76FHFqLFIZfrDMff4kP08nblUkihrxltoGBjg/edit#gid=934712705"",""ESENCIAL!A6:BG""),2,FALSE))"),"")</f>
        <v/>
      </c>
      <c r="AO64" s="19" t="str">
        <f t="shared" si="7"/>
        <v>Yamboro</v>
      </c>
      <c r="AP64" s="100"/>
      <c r="AQ64" s="100"/>
    </row>
    <row r="65" spans="1:43" ht="15">
      <c r="A65" s="101"/>
      <c r="B65" s="5" t="str">
        <f ca="1">IFERROR(__xludf.DUMMYFUNCTION("IFERROR(VLOOKUP(F88,IMPORTRANGE(""https://docs.google.com/spreadsheets/d/1Kvs4KS76FHFqLFIZfrDMff4kP08nblUkihrxltoGBjg/edit#gid=934712705"",""ESENCIAL!A6:BG""),3,FALSE))"),"")</f>
        <v/>
      </c>
      <c r="C65" s="5" t="str">
        <f ca="1">IFERROR(__xludf.DUMMYFUNCTION("IFERROR(VLOOKUP(F88,IMPORTRANGE(""https://docs.google.com/spreadsheets/d/1Kvs4KS76FHFqLFIZfrDMff4kP08nblUkihrxltoGBjg/edit#gid=934712705"",""ESENCIAL!A6:BG""),8,FALSE))"),"")</f>
        <v/>
      </c>
      <c r="L65" s="287"/>
      <c r="V65" s="611"/>
      <c r="W65" s="611"/>
      <c r="Z65" s="41" t="str">
        <f t="shared" si="4"/>
        <v/>
      </c>
      <c r="AA65" s="5" t="str">
        <f ca="1">IFERROR(__xludf.DUMMYFUNCTION("IFERROR(VLOOKUP(E88&amp;F88,IMPORTRANGE(""https://docs.google.com/spreadsheets/d/1Uw7-A9f9R21vMXxHZFNpYNeKFtG8_yji4HS352LGlSQ/edit?pli=1#gid=0"",""1_ACUM!A4:S""),11,FALSE))"),"")</f>
        <v/>
      </c>
      <c r="AB65" s="42" t="str">
        <f ca="1">IFERROR(__xludf.DUMMYFUNCTION("IFERROR(VLOOKUP(F88,IMPORTRANGE(""https://docs.google.com/spreadsheets/d/1Kvs4KS76FHFqLFIZfrDMff4kP08nblUkihrxltoGBjg/edit#gid=934712705"",""ESENCIAL!A6:BG""),15,FALSE))"),"")</f>
        <v/>
      </c>
      <c r="AC65" s="110" t="str">
        <f ca="1">IFERROR(__xludf.DUMMYFUNCTION("IFERROR(VLOOKUP(E88&amp;F88,IMPORTRANGE(""https://docs.google.com/spreadsheets/d/1Uw7-A9f9R21vMXxHZFNpYNeKFtG8_yji4HS352LGlSQ/edit?pli=1#gid=0"",""1_ACUM!A4:S""),13,FALSE))"),"")</f>
        <v/>
      </c>
      <c r="AD65" s="43" t="str">
        <f ca="1">IFERROR(__xludf.DUMMYFUNCTION("IFERROR(VLOOKUP(E88&amp;F88,IMPORTRANGE(""https://docs.google.com/spreadsheets/d/1Uw7-A9f9R21vMXxHZFNpYNeKFtG8_yji4HS352LGlSQ/edit?pli=1#gid=0"",""1_ACUM!A4:S""),13,FALSE))"),"")</f>
        <v/>
      </c>
      <c r="AE65" s="43" t="str">
        <f ca="1">IFERROR(__xludf.DUMMYFUNCTION("IFERROR(VLOOKUP(E88&amp;F88,IMPORTRANGE(""https://docs.google.com/spreadsheets/d/1Uw7-A9f9R21vMXxHZFNpYNeKFtG8_yji4HS352LGlSQ/edit?pli=1#gid=0"",""1_ACUM!A4:S""),14,FALSE))"),"")</f>
        <v/>
      </c>
      <c r="AF65" s="43" t="str">
        <f ca="1">IFERROR(__xludf.DUMMYFUNCTION("IFERROR(VLOOKUP(E88&amp;F88,IMPORTRANGE(""https://docs.google.com/spreadsheets/d/1Uw7-A9f9R21vMXxHZFNpYNeKFtG8_yji4HS352LGlSQ/edit?pli=1#gid=0"",""1_ACUM!A4:S""),15,FALSE))"),"")</f>
        <v/>
      </c>
      <c r="AG65" s="43" t="str">
        <f ca="1">IFERROR(__xludf.DUMMYFUNCTION("IFERROR(VLOOKUP(E88&amp;F88,IMPORTRANGE(""https://docs.google.com/spreadsheets/d/1Uw7-A9f9R21vMXxHZFNpYNeKFtG8_yji4HS352LGlSQ/edit?pli=1#gid=0"",""1_ACUM!A4:S""),16,FALSE))"),"")</f>
        <v/>
      </c>
      <c r="AH65" s="43" t="str">
        <f ca="1">IFERROR(__xludf.DUMMYFUNCTION("IFERROR(VLOOKUP(E88&amp;F88,IMPORTRANGE(""https://docs.google.com/spreadsheets/d/1Uw7-A9f9R21vMXxHZFNpYNeKFtG8_yji4HS352LGlSQ/edit?pli=1#gid=0"",""1_ACUM!A4:S""),17,FALSE))"),"")</f>
        <v/>
      </c>
      <c r="AI65" s="44" t="str">
        <f ca="1">IFERROR(__xludf.DUMMYFUNCTION("IFERROR(VLOOKUP(E88&amp;F88,IMPORTRANGE(""https://docs.google.com/spreadsheets/d/1Uw7-A9f9R21vMXxHZFNpYNeKFtG8_yji4HS352LGlSQ/edit?pli=1#gid=0"",""1_ACUM!A4:S""),18,FALSE))"),"")</f>
        <v/>
      </c>
      <c r="AJ65" s="44" t="str">
        <f ca="1">IFERROR(__xludf.DUMMYFUNCTION("IFERROR(VLOOKUP(E88&amp;F88,IMPORTRANGE(""https://docs.google.com/spreadsheets/d/1Uw7-A9f9R21vMXxHZFNpYNeKFtG8_yji4HS352LGlSQ/edit?pli=1#gid=0"",""1_ACUM!A4:S""),19,FALSE))"),"")</f>
        <v/>
      </c>
      <c r="AK65" s="98" t="str">
        <f ca="1">IFERROR(__xludf.DUMMYFUNCTION("IFERROR(VLOOKUP(F88,IMPORTRANGE(""https://docs.google.com/spreadsheets/d/1Kvs4KS76FHFqLFIZfrDMff4kP08nblUkihrxltoGBjg/edit#gid=934712705"",""ESENCIAL!A6:BG""),5,FALSE))"),"")</f>
        <v/>
      </c>
      <c r="AL65" s="98" t="str">
        <f t="shared" si="5"/>
        <v/>
      </c>
      <c r="AM65" s="99" t="str">
        <f t="shared" si="6"/>
        <v/>
      </c>
      <c r="AN65" s="100" t="str">
        <f ca="1">IFERROR(__xludf.DUMMYFUNCTION("IFERROR(VLOOKUP(F88,IMPORTRANGE(""https://docs.google.com/spreadsheets/d/1Kvs4KS76FHFqLFIZfrDMff4kP08nblUkihrxltoGBjg/edit#gid=934712705"",""ESENCIAL!A6:BG""),2,FALSE))"),"")</f>
        <v/>
      </c>
      <c r="AO65" s="610" t="str">
        <f t="shared" si="7"/>
        <v/>
      </c>
      <c r="AP65" s="100"/>
      <c r="AQ65" s="100"/>
    </row>
    <row r="66" spans="1:43" ht="15">
      <c r="A66" s="101"/>
      <c r="B66" s="101"/>
      <c r="G66" s="5" t="str">
        <f ca="1">IFERROR(__xludf.DUMMYFUNCTION("IFERROR(VLOOKUP(F89,IMPORTRANGE(""https://docs.google.com/spreadsheets/d/1Kvs4KS76FHFqLFIZfrDMff4kP08nblUkihrxltoGBjg/edit#gid=934712705"",""ESENCIAL!A6:BG""),3,FALSE))"),"")</f>
        <v/>
      </c>
      <c r="H66" s="5" t="str">
        <f ca="1">IFERROR(__xludf.DUMMYFUNCTION("IFERROR(VLOOKUP(F89,IMPORTRANGE(""https://docs.google.com/spreadsheets/d/1Kvs4KS76FHFqLFIZfrDMff4kP08nblUkihrxltoGBjg/edit#gid=934712705"",""ESENCIAL!A6:BG""),8,FALSE))"),"")</f>
        <v/>
      </c>
      <c r="L66" s="287"/>
      <c r="Z66" s="41" t="str">
        <f t="shared" ref="Z66:Z129" si="8">IF(E66&gt;0,IF(AND(AH66=1,AE66=1),"Procede_E_P","NO_CUMPLE"),"")</f>
        <v/>
      </c>
      <c r="AA66" s="5" t="str">
        <f ca="1">IFERROR(__xludf.DUMMYFUNCTION("IFERROR(VLOOKUP(E89&amp;F89,IMPORTRANGE(""https://docs.google.com/spreadsheets/d/1Uw7-A9f9R21vMXxHZFNpYNeKFtG8_yji4HS352LGlSQ/edit?pli=1#gid=0"",""1_ACUM!A4:S""),11,FALSE))"),"")</f>
        <v/>
      </c>
      <c r="AB66" s="42" t="str">
        <f ca="1">IFERROR(__xludf.DUMMYFUNCTION("IFERROR(VLOOKUP(F89,IMPORTRANGE(""https://docs.google.com/spreadsheets/d/1Kvs4KS76FHFqLFIZfrDMff4kP08nblUkihrxltoGBjg/edit#gid=934712705"",""ESENCIAL!A6:BG""),15,FALSE))"),"")</f>
        <v/>
      </c>
      <c r="AC66" s="110" t="str">
        <f ca="1">IFERROR(__xludf.DUMMYFUNCTION("IFERROR(VLOOKUP(E89&amp;F89,IMPORTRANGE(""https://docs.google.com/spreadsheets/d/1Uw7-A9f9R21vMXxHZFNpYNeKFtG8_yji4HS352LGlSQ/edit?pli=1#gid=0"",""1_ACUM!A4:S""),13,FALSE))"),"")</f>
        <v/>
      </c>
      <c r="AD66" s="43" t="str">
        <f ca="1">IFERROR(__xludf.DUMMYFUNCTION("IFERROR(VLOOKUP(E89&amp;F89,IMPORTRANGE(""https://docs.google.com/spreadsheets/d/1Uw7-A9f9R21vMXxHZFNpYNeKFtG8_yji4HS352LGlSQ/edit?pli=1#gid=0"",""1_ACUM!A4:S""),13,FALSE))"),"")</f>
        <v/>
      </c>
      <c r="AE66" s="43" t="str">
        <f ca="1">IFERROR(__xludf.DUMMYFUNCTION("IFERROR(VLOOKUP(E89&amp;F89,IMPORTRANGE(""https://docs.google.com/spreadsheets/d/1Uw7-A9f9R21vMXxHZFNpYNeKFtG8_yji4HS352LGlSQ/edit?pli=1#gid=0"",""1_ACUM!A4:S""),14,FALSE))"),"")</f>
        <v/>
      </c>
      <c r="AF66" s="43" t="str">
        <f ca="1">IFERROR(__xludf.DUMMYFUNCTION("IFERROR(VLOOKUP(E89&amp;F89,IMPORTRANGE(""https://docs.google.com/spreadsheets/d/1Uw7-A9f9R21vMXxHZFNpYNeKFtG8_yji4HS352LGlSQ/edit?pli=1#gid=0"",""1_ACUM!A4:S""),15,FALSE))"),"")</f>
        <v/>
      </c>
      <c r="AG66" s="43" t="str">
        <f ca="1">IFERROR(__xludf.DUMMYFUNCTION("IFERROR(VLOOKUP(E89&amp;F89,IMPORTRANGE(""https://docs.google.com/spreadsheets/d/1Uw7-A9f9R21vMXxHZFNpYNeKFtG8_yji4HS352LGlSQ/edit?pli=1#gid=0"",""1_ACUM!A4:S""),16,FALSE))"),"")</f>
        <v/>
      </c>
      <c r="AH66" s="43" t="str">
        <f ca="1">IFERROR(__xludf.DUMMYFUNCTION("IFERROR(VLOOKUP(E89&amp;F89,IMPORTRANGE(""https://docs.google.com/spreadsheets/d/1Uw7-A9f9R21vMXxHZFNpYNeKFtG8_yji4HS352LGlSQ/edit?pli=1#gid=0"",""1_ACUM!A4:S""),17,FALSE))"),"")</f>
        <v/>
      </c>
      <c r="AI66" s="44" t="str">
        <f ca="1">IFERROR(__xludf.DUMMYFUNCTION("IFERROR(VLOOKUP(E89&amp;F89,IMPORTRANGE(""https://docs.google.com/spreadsheets/d/1Uw7-A9f9R21vMXxHZFNpYNeKFtG8_yji4HS352LGlSQ/edit?pli=1#gid=0"",""1_ACUM!A4:S""),18,FALSE))"),"")</f>
        <v/>
      </c>
      <c r="AJ66" s="44" t="str">
        <f ca="1">IFERROR(__xludf.DUMMYFUNCTION("IFERROR(VLOOKUP(E89&amp;F89,IMPORTRANGE(""https://docs.google.com/spreadsheets/d/1Uw7-A9f9R21vMXxHZFNpYNeKFtG8_yji4HS352LGlSQ/edit?pli=1#gid=0"",""1_ACUM!A4:S""),19,FALSE))"),"")</f>
        <v/>
      </c>
      <c r="AK66" s="98" t="str">
        <f ca="1">IFERROR(__xludf.DUMMYFUNCTION("IFERROR(VLOOKUP(F89,IMPORTRANGE(""https://docs.google.com/spreadsheets/d/1Kvs4KS76FHFqLFIZfrDMff4kP08nblUkihrxltoGBjg/edit#gid=934712705"",""ESENCIAL!A6:BG""),5,FALSE))"),"")</f>
        <v/>
      </c>
      <c r="AL66" s="98" t="str">
        <f t="shared" ref="AL66:AL129" si="9">IF(F66&gt;0,EDATE(AK66,18),"")</f>
        <v/>
      </c>
      <c r="AM66" s="99" t="str">
        <f t="shared" ref="AM66:AM129" si="10">IF(F66&gt;0,IF(AL66&lt;$AM$1,"FINALIZAR FICHA","FICHA EN TIEMPO-18 MESES"),"")</f>
        <v/>
      </c>
      <c r="AN66" s="100" t="str">
        <f ca="1">IFERROR(__xludf.DUMMYFUNCTION("IFERROR(VLOOKUP(F89,IMPORTRANGE(""https://docs.google.com/spreadsheets/d/1Kvs4KS76FHFqLFIZfrDMff4kP08nblUkihrxltoGBjg/edit#gid=934712705"",""ESENCIAL!A6:BG""),2,FALSE))"),"")</f>
        <v/>
      </c>
      <c r="AO66" s="19" t="str">
        <f t="shared" ref="AO66:AO129" si="11">IF(F66&gt;0,"Yamboro","")</f>
        <v/>
      </c>
      <c r="AP66" s="100"/>
      <c r="AQ66" s="100"/>
    </row>
    <row r="67" spans="1:43" ht="15">
      <c r="A67" s="101"/>
      <c r="B67" s="101"/>
      <c r="G67" s="5" t="str">
        <f ca="1">IFERROR(__xludf.DUMMYFUNCTION("IFERROR(VLOOKUP(F90,IMPORTRANGE(""https://docs.google.com/spreadsheets/d/1Kvs4KS76FHFqLFIZfrDMff4kP08nblUkihrxltoGBjg/edit#gid=934712705"",""ESENCIAL!A6:BG""),3,FALSE))"),"")</f>
        <v/>
      </c>
      <c r="H67" s="5" t="str">
        <f ca="1">IFERROR(__xludf.DUMMYFUNCTION("IFERROR(VLOOKUP(F90,IMPORTRANGE(""https://docs.google.com/spreadsheets/d/1Kvs4KS76FHFqLFIZfrDMff4kP08nblUkihrxltoGBjg/edit#gid=934712705"",""ESENCIAL!A6:BG""),8,FALSE))"),"")</f>
        <v/>
      </c>
      <c r="L67" s="287"/>
      <c r="Z67" s="41" t="str">
        <f t="shared" si="8"/>
        <v/>
      </c>
      <c r="AA67" s="5" t="str">
        <f ca="1">IFERROR(__xludf.DUMMYFUNCTION("IFERROR(VLOOKUP(E90&amp;F90,IMPORTRANGE(""https://docs.google.com/spreadsheets/d/1Uw7-A9f9R21vMXxHZFNpYNeKFtG8_yji4HS352LGlSQ/edit?pli=1#gid=0"",""1_ACUM!A4:S""),11,FALSE))"),"")</f>
        <v/>
      </c>
      <c r="AB67" s="42" t="str">
        <f ca="1">IFERROR(__xludf.DUMMYFUNCTION("IFERROR(VLOOKUP(F90,IMPORTRANGE(""https://docs.google.com/spreadsheets/d/1Kvs4KS76FHFqLFIZfrDMff4kP08nblUkihrxltoGBjg/edit#gid=934712705"",""ESENCIAL!A6:BG""),15,FALSE))"),"")</f>
        <v/>
      </c>
      <c r="AC67" s="110" t="str">
        <f ca="1">IFERROR(__xludf.DUMMYFUNCTION("IFERROR(VLOOKUP(E90&amp;F90,IMPORTRANGE(""https://docs.google.com/spreadsheets/d/1Uw7-A9f9R21vMXxHZFNpYNeKFtG8_yji4HS352LGlSQ/edit?pli=1#gid=0"",""1_ACUM!A4:S""),13,FALSE))"),"")</f>
        <v/>
      </c>
      <c r="AD67" s="43" t="str">
        <f ca="1">IFERROR(__xludf.DUMMYFUNCTION("IFERROR(VLOOKUP(E90&amp;F90,IMPORTRANGE(""https://docs.google.com/spreadsheets/d/1Uw7-A9f9R21vMXxHZFNpYNeKFtG8_yji4HS352LGlSQ/edit?pli=1#gid=0"",""1_ACUM!A4:S""),13,FALSE))"),"")</f>
        <v/>
      </c>
      <c r="AE67" s="43" t="str">
        <f ca="1">IFERROR(__xludf.DUMMYFUNCTION("IFERROR(VLOOKUP(E90&amp;F90,IMPORTRANGE(""https://docs.google.com/spreadsheets/d/1Uw7-A9f9R21vMXxHZFNpYNeKFtG8_yji4HS352LGlSQ/edit?pli=1#gid=0"",""1_ACUM!A4:S""),14,FALSE))"),"")</f>
        <v/>
      </c>
      <c r="AF67" s="43" t="str">
        <f ca="1">IFERROR(__xludf.DUMMYFUNCTION("IFERROR(VLOOKUP(E90&amp;F90,IMPORTRANGE(""https://docs.google.com/spreadsheets/d/1Uw7-A9f9R21vMXxHZFNpYNeKFtG8_yji4HS352LGlSQ/edit?pli=1#gid=0"",""1_ACUM!A4:S""),15,FALSE))"),"")</f>
        <v/>
      </c>
      <c r="AG67" s="43" t="str">
        <f ca="1">IFERROR(__xludf.DUMMYFUNCTION("IFERROR(VLOOKUP(E90&amp;F90,IMPORTRANGE(""https://docs.google.com/spreadsheets/d/1Uw7-A9f9R21vMXxHZFNpYNeKFtG8_yji4HS352LGlSQ/edit?pli=1#gid=0"",""1_ACUM!A4:S""),16,FALSE))"),"")</f>
        <v/>
      </c>
      <c r="AH67" s="43" t="str">
        <f ca="1">IFERROR(__xludf.DUMMYFUNCTION("IFERROR(VLOOKUP(E90&amp;F90,IMPORTRANGE(""https://docs.google.com/spreadsheets/d/1Uw7-A9f9R21vMXxHZFNpYNeKFtG8_yji4HS352LGlSQ/edit?pli=1#gid=0"",""1_ACUM!A4:S""),17,FALSE))"),"")</f>
        <v/>
      </c>
      <c r="AI67" s="44" t="str">
        <f ca="1">IFERROR(__xludf.DUMMYFUNCTION("IFERROR(VLOOKUP(E90&amp;F90,IMPORTRANGE(""https://docs.google.com/spreadsheets/d/1Uw7-A9f9R21vMXxHZFNpYNeKFtG8_yji4HS352LGlSQ/edit?pli=1#gid=0"",""1_ACUM!A4:S""),18,FALSE))"),"")</f>
        <v/>
      </c>
      <c r="AJ67" s="44" t="str">
        <f ca="1">IFERROR(__xludf.DUMMYFUNCTION("IFERROR(VLOOKUP(E90&amp;F90,IMPORTRANGE(""https://docs.google.com/spreadsheets/d/1Uw7-A9f9R21vMXxHZFNpYNeKFtG8_yji4HS352LGlSQ/edit?pli=1#gid=0"",""1_ACUM!A4:S""),19,FALSE))"),"")</f>
        <v/>
      </c>
      <c r="AK67" s="98" t="str">
        <f ca="1">IFERROR(__xludf.DUMMYFUNCTION("IFERROR(VLOOKUP(F90,IMPORTRANGE(""https://docs.google.com/spreadsheets/d/1Kvs4KS76FHFqLFIZfrDMff4kP08nblUkihrxltoGBjg/edit#gid=934712705"",""ESENCIAL!A6:BG""),5,FALSE))"),"")</f>
        <v/>
      </c>
      <c r="AL67" s="98" t="str">
        <f t="shared" si="9"/>
        <v/>
      </c>
      <c r="AM67" s="99" t="str">
        <f t="shared" si="10"/>
        <v/>
      </c>
      <c r="AN67" s="100" t="str">
        <f ca="1">IFERROR(__xludf.DUMMYFUNCTION("IFERROR(VLOOKUP(F90,IMPORTRANGE(""https://docs.google.com/spreadsheets/d/1Kvs4KS76FHFqLFIZfrDMff4kP08nblUkihrxltoGBjg/edit#gid=934712705"",""ESENCIAL!A6:BG""),2,FALSE))"),"")</f>
        <v/>
      </c>
      <c r="AO67" s="19" t="str">
        <f t="shared" si="11"/>
        <v/>
      </c>
      <c r="AP67" s="100"/>
      <c r="AQ67" s="100"/>
    </row>
    <row r="68" spans="1:43" ht="15">
      <c r="A68" s="101"/>
      <c r="B68" s="101"/>
      <c r="G68" s="5" t="str">
        <f ca="1">IFERROR(__xludf.DUMMYFUNCTION("IFERROR(VLOOKUP(F91,IMPORTRANGE(""https://docs.google.com/spreadsheets/d/1Kvs4KS76FHFqLFIZfrDMff4kP08nblUkihrxltoGBjg/edit#gid=934712705"",""ESENCIAL!A6:BG""),3,FALSE))"),"")</f>
        <v/>
      </c>
      <c r="H68" s="5" t="str">
        <f ca="1">IFERROR(__xludf.DUMMYFUNCTION("IFERROR(VLOOKUP(F91,IMPORTRANGE(""https://docs.google.com/spreadsheets/d/1Kvs4KS76FHFqLFIZfrDMff4kP08nblUkihrxltoGBjg/edit#gid=934712705"",""ESENCIAL!A6:BG""),8,FALSE))"),"")</f>
        <v/>
      </c>
      <c r="L68" s="287"/>
      <c r="Z68" s="41" t="str">
        <f t="shared" si="8"/>
        <v/>
      </c>
      <c r="AA68" s="5" t="str">
        <f ca="1">IFERROR(__xludf.DUMMYFUNCTION("IFERROR(VLOOKUP(E91&amp;F91,IMPORTRANGE(""https://docs.google.com/spreadsheets/d/1Uw7-A9f9R21vMXxHZFNpYNeKFtG8_yji4HS352LGlSQ/edit?pli=1#gid=0"",""1_ACUM!A4:S""),11,FALSE))"),"")</f>
        <v/>
      </c>
      <c r="AB68" s="42" t="str">
        <f ca="1">IFERROR(__xludf.DUMMYFUNCTION("IFERROR(VLOOKUP(F91,IMPORTRANGE(""https://docs.google.com/spreadsheets/d/1Kvs4KS76FHFqLFIZfrDMff4kP08nblUkihrxltoGBjg/edit#gid=934712705"",""ESENCIAL!A6:BG""),15,FALSE))"),"")</f>
        <v/>
      </c>
      <c r="AC68" s="110" t="str">
        <f ca="1">IFERROR(__xludf.DUMMYFUNCTION("IFERROR(VLOOKUP(E91&amp;F91,IMPORTRANGE(""https://docs.google.com/spreadsheets/d/1Uw7-A9f9R21vMXxHZFNpYNeKFtG8_yji4HS352LGlSQ/edit?pli=1#gid=0"",""1_ACUM!A4:S""),13,FALSE))"),"")</f>
        <v/>
      </c>
      <c r="AD68" s="43" t="str">
        <f ca="1">IFERROR(__xludf.DUMMYFUNCTION("IFERROR(VLOOKUP(E91&amp;F91,IMPORTRANGE(""https://docs.google.com/spreadsheets/d/1Uw7-A9f9R21vMXxHZFNpYNeKFtG8_yji4HS352LGlSQ/edit?pli=1#gid=0"",""1_ACUM!A4:S""),13,FALSE))"),"")</f>
        <v/>
      </c>
      <c r="AE68" s="43" t="str">
        <f ca="1">IFERROR(__xludf.DUMMYFUNCTION("IFERROR(VLOOKUP(E91&amp;F91,IMPORTRANGE(""https://docs.google.com/spreadsheets/d/1Uw7-A9f9R21vMXxHZFNpYNeKFtG8_yji4HS352LGlSQ/edit?pli=1#gid=0"",""1_ACUM!A4:S""),14,FALSE))"),"")</f>
        <v/>
      </c>
      <c r="AF68" s="43" t="str">
        <f ca="1">IFERROR(__xludf.DUMMYFUNCTION("IFERROR(VLOOKUP(E91&amp;F91,IMPORTRANGE(""https://docs.google.com/spreadsheets/d/1Uw7-A9f9R21vMXxHZFNpYNeKFtG8_yji4HS352LGlSQ/edit?pli=1#gid=0"",""1_ACUM!A4:S""),15,FALSE))"),"")</f>
        <v/>
      </c>
      <c r="AG68" s="43" t="str">
        <f ca="1">IFERROR(__xludf.DUMMYFUNCTION("IFERROR(VLOOKUP(E91&amp;F91,IMPORTRANGE(""https://docs.google.com/spreadsheets/d/1Uw7-A9f9R21vMXxHZFNpYNeKFtG8_yji4HS352LGlSQ/edit?pli=1#gid=0"",""1_ACUM!A4:S""),16,FALSE))"),"")</f>
        <v/>
      </c>
      <c r="AH68" s="43" t="str">
        <f ca="1">IFERROR(__xludf.DUMMYFUNCTION("IFERROR(VLOOKUP(E91&amp;F91,IMPORTRANGE(""https://docs.google.com/spreadsheets/d/1Uw7-A9f9R21vMXxHZFNpYNeKFtG8_yji4HS352LGlSQ/edit?pli=1#gid=0"",""1_ACUM!A4:S""),17,FALSE))"),"")</f>
        <v/>
      </c>
      <c r="AI68" s="44" t="str">
        <f ca="1">IFERROR(__xludf.DUMMYFUNCTION("IFERROR(VLOOKUP(E91&amp;F91,IMPORTRANGE(""https://docs.google.com/spreadsheets/d/1Uw7-A9f9R21vMXxHZFNpYNeKFtG8_yji4HS352LGlSQ/edit?pli=1#gid=0"",""1_ACUM!A4:S""),18,FALSE))"),"")</f>
        <v/>
      </c>
      <c r="AJ68" s="44" t="str">
        <f ca="1">IFERROR(__xludf.DUMMYFUNCTION("IFERROR(VLOOKUP(E91&amp;F91,IMPORTRANGE(""https://docs.google.com/spreadsheets/d/1Uw7-A9f9R21vMXxHZFNpYNeKFtG8_yji4HS352LGlSQ/edit?pli=1#gid=0"",""1_ACUM!A4:S""),19,FALSE))"),"")</f>
        <v/>
      </c>
      <c r="AK68" s="98" t="str">
        <f ca="1">IFERROR(__xludf.DUMMYFUNCTION("IFERROR(VLOOKUP(F91,IMPORTRANGE(""https://docs.google.com/spreadsheets/d/1Kvs4KS76FHFqLFIZfrDMff4kP08nblUkihrxltoGBjg/edit#gid=934712705"",""ESENCIAL!A6:BG""),5,FALSE))"),"")</f>
        <v/>
      </c>
      <c r="AL68" s="98" t="str">
        <f t="shared" si="9"/>
        <v/>
      </c>
      <c r="AM68" s="99" t="str">
        <f t="shared" si="10"/>
        <v/>
      </c>
      <c r="AN68" s="100" t="str">
        <f ca="1">IFERROR(__xludf.DUMMYFUNCTION("IFERROR(VLOOKUP(F91,IMPORTRANGE(""https://docs.google.com/spreadsheets/d/1Kvs4KS76FHFqLFIZfrDMff4kP08nblUkihrxltoGBjg/edit#gid=934712705"",""ESENCIAL!A6:BG""),2,FALSE))"),"")</f>
        <v/>
      </c>
      <c r="AO68" s="19" t="str">
        <f t="shared" si="11"/>
        <v/>
      </c>
      <c r="AP68" s="100"/>
      <c r="AQ68" s="100"/>
    </row>
    <row r="69" spans="1:43" ht="15">
      <c r="A69" s="101"/>
      <c r="B69" s="5"/>
      <c r="G69" s="5" t="str">
        <f ca="1">IFERROR(__xludf.DUMMYFUNCTION("IFERROR(VLOOKUP(F92,IMPORTRANGE(""https://docs.google.com/spreadsheets/d/1Kvs4KS76FHFqLFIZfrDMff4kP08nblUkihrxltoGBjg/edit#gid=934712705"",""ESENCIAL!A6:BG""),3,FALSE))"),"")</f>
        <v/>
      </c>
      <c r="H69" s="5" t="str">
        <f ca="1">IFERROR(__xludf.DUMMYFUNCTION("IFERROR(VLOOKUP(F92,IMPORTRANGE(""https://docs.google.com/spreadsheets/d/1Kvs4KS76FHFqLFIZfrDMff4kP08nblUkihrxltoGBjg/edit#gid=934712705"",""ESENCIAL!A6:BG""),8,FALSE))"),"")</f>
        <v/>
      </c>
      <c r="L69" s="287"/>
      <c r="Z69" s="41" t="str">
        <f t="shared" si="8"/>
        <v/>
      </c>
      <c r="AA69" s="5" t="str">
        <f ca="1">IFERROR(__xludf.DUMMYFUNCTION("IFERROR(VLOOKUP(E92&amp;F92,IMPORTRANGE(""https://docs.google.com/spreadsheets/d/1Uw7-A9f9R21vMXxHZFNpYNeKFtG8_yji4HS352LGlSQ/edit?pli=1#gid=0"",""1_ACUM!A4:S""),11,FALSE))"),"")</f>
        <v/>
      </c>
      <c r="AB69" s="42" t="str">
        <f ca="1">IFERROR(__xludf.DUMMYFUNCTION("IFERROR(VLOOKUP(F92,IMPORTRANGE(""https://docs.google.com/spreadsheets/d/1Kvs4KS76FHFqLFIZfrDMff4kP08nblUkihrxltoGBjg/edit#gid=934712705"",""ESENCIAL!A6:BG""),15,FALSE))"),"")</f>
        <v/>
      </c>
      <c r="AC69" s="110" t="str">
        <f ca="1">IFERROR(__xludf.DUMMYFUNCTION("IFERROR(VLOOKUP(E92&amp;F92,IMPORTRANGE(""https://docs.google.com/spreadsheets/d/1Uw7-A9f9R21vMXxHZFNpYNeKFtG8_yji4HS352LGlSQ/edit?pli=1#gid=0"",""1_ACUM!A4:S""),13,FALSE))"),"")</f>
        <v/>
      </c>
      <c r="AD69" s="43" t="str">
        <f ca="1">IFERROR(__xludf.DUMMYFUNCTION("IFERROR(VLOOKUP(E92&amp;F92,IMPORTRANGE(""https://docs.google.com/spreadsheets/d/1Uw7-A9f9R21vMXxHZFNpYNeKFtG8_yji4HS352LGlSQ/edit?pli=1#gid=0"",""1_ACUM!A4:S""),13,FALSE))"),"")</f>
        <v/>
      </c>
      <c r="AE69" s="43" t="str">
        <f ca="1">IFERROR(__xludf.DUMMYFUNCTION("IFERROR(VLOOKUP(E92&amp;F92,IMPORTRANGE(""https://docs.google.com/spreadsheets/d/1Uw7-A9f9R21vMXxHZFNpYNeKFtG8_yji4HS352LGlSQ/edit?pli=1#gid=0"",""1_ACUM!A4:S""),14,FALSE))"),"")</f>
        <v/>
      </c>
      <c r="AF69" s="43" t="str">
        <f ca="1">IFERROR(__xludf.DUMMYFUNCTION("IFERROR(VLOOKUP(E92&amp;F92,IMPORTRANGE(""https://docs.google.com/spreadsheets/d/1Uw7-A9f9R21vMXxHZFNpYNeKFtG8_yji4HS352LGlSQ/edit?pli=1#gid=0"",""1_ACUM!A4:S""),15,FALSE))"),"")</f>
        <v/>
      </c>
      <c r="AG69" s="43" t="str">
        <f ca="1">IFERROR(__xludf.DUMMYFUNCTION("IFERROR(VLOOKUP(E92&amp;F92,IMPORTRANGE(""https://docs.google.com/spreadsheets/d/1Uw7-A9f9R21vMXxHZFNpYNeKFtG8_yji4HS352LGlSQ/edit?pli=1#gid=0"",""1_ACUM!A4:S""),16,FALSE))"),"")</f>
        <v/>
      </c>
      <c r="AH69" s="43" t="str">
        <f ca="1">IFERROR(__xludf.DUMMYFUNCTION("IFERROR(VLOOKUP(E92&amp;F92,IMPORTRANGE(""https://docs.google.com/spreadsheets/d/1Uw7-A9f9R21vMXxHZFNpYNeKFtG8_yji4HS352LGlSQ/edit?pli=1#gid=0"",""1_ACUM!A4:S""),17,FALSE))"),"")</f>
        <v/>
      </c>
      <c r="AI69" s="44" t="str">
        <f ca="1">IFERROR(__xludf.DUMMYFUNCTION("IFERROR(VLOOKUP(E92&amp;F92,IMPORTRANGE(""https://docs.google.com/spreadsheets/d/1Uw7-A9f9R21vMXxHZFNpYNeKFtG8_yji4HS352LGlSQ/edit?pli=1#gid=0"",""1_ACUM!A4:S""),18,FALSE))"),"")</f>
        <v/>
      </c>
      <c r="AJ69" s="44" t="str">
        <f ca="1">IFERROR(__xludf.DUMMYFUNCTION("IFERROR(VLOOKUP(E92&amp;F92,IMPORTRANGE(""https://docs.google.com/spreadsheets/d/1Uw7-A9f9R21vMXxHZFNpYNeKFtG8_yji4HS352LGlSQ/edit?pli=1#gid=0"",""1_ACUM!A4:S""),19,FALSE))"),"")</f>
        <v/>
      </c>
      <c r="AK69" s="98" t="str">
        <f ca="1">IFERROR(__xludf.DUMMYFUNCTION("IFERROR(VLOOKUP(F92,IMPORTRANGE(""https://docs.google.com/spreadsheets/d/1Kvs4KS76FHFqLFIZfrDMff4kP08nblUkihrxltoGBjg/edit#gid=934712705"",""ESENCIAL!A6:BG""),5,FALSE))"),"")</f>
        <v/>
      </c>
      <c r="AL69" s="98" t="str">
        <f t="shared" si="9"/>
        <v/>
      </c>
      <c r="AM69" s="99" t="str">
        <f t="shared" si="10"/>
        <v/>
      </c>
      <c r="AN69" s="100" t="str">
        <f ca="1">IFERROR(__xludf.DUMMYFUNCTION("IFERROR(VLOOKUP(F92,IMPORTRANGE(""https://docs.google.com/spreadsheets/d/1Kvs4KS76FHFqLFIZfrDMff4kP08nblUkihrxltoGBjg/edit#gid=934712705"",""ESENCIAL!A6:BG""),2,FALSE))"),"")</f>
        <v/>
      </c>
      <c r="AO69" s="19" t="str">
        <f t="shared" si="11"/>
        <v/>
      </c>
      <c r="AP69" s="100"/>
      <c r="AQ69" s="100"/>
    </row>
    <row r="70" spans="1:43" ht="15">
      <c r="A70" s="101"/>
      <c r="B70" s="101"/>
      <c r="G70" s="5" t="str">
        <f ca="1">IFERROR(__xludf.DUMMYFUNCTION("IFERROR(VLOOKUP(F93,IMPORTRANGE(""https://docs.google.com/spreadsheets/d/1Kvs4KS76FHFqLFIZfrDMff4kP08nblUkihrxltoGBjg/edit#gid=934712705"",""ESENCIAL!A6:BG""),3,FALSE))"),"")</f>
        <v/>
      </c>
      <c r="H70" s="5" t="str">
        <f ca="1">IFERROR(__xludf.DUMMYFUNCTION("IFERROR(VLOOKUP(F93,IMPORTRANGE(""https://docs.google.com/spreadsheets/d/1Kvs4KS76FHFqLFIZfrDMff4kP08nblUkihrxltoGBjg/edit#gid=934712705"",""ESENCIAL!A6:BG""),8,FALSE))"),"")</f>
        <v/>
      </c>
      <c r="L70" s="287"/>
      <c r="Z70" s="41" t="str">
        <f t="shared" si="8"/>
        <v/>
      </c>
      <c r="AA70" s="5" t="str">
        <f ca="1">IFERROR(__xludf.DUMMYFUNCTION("IFERROR(VLOOKUP(E93&amp;F93,IMPORTRANGE(""https://docs.google.com/spreadsheets/d/1Uw7-A9f9R21vMXxHZFNpYNeKFtG8_yji4HS352LGlSQ/edit?pli=1#gid=0"",""1_ACUM!A4:S""),11,FALSE))"),"")</f>
        <v/>
      </c>
      <c r="AB70" s="42" t="str">
        <f ca="1">IFERROR(__xludf.DUMMYFUNCTION("IFERROR(VLOOKUP(F93,IMPORTRANGE(""https://docs.google.com/spreadsheets/d/1Kvs4KS76FHFqLFIZfrDMff4kP08nblUkihrxltoGBjg/edit#gid=934712705"",""ESENCIAL!A6:BG""),15,FALSE))"),"")</f>
        <v/>
      </c>
      <c r="AC70" s="110" t="str">
        <f ca="1">IFERROR(__xludf.DUMMYFUNCTION("IFERROR(VLOOKUP(E93&amp;F93,IMPORTRANGE(""https://docs.google.com/spreadsheets/d/1Uw7-A9f9R21vMXxHZFNpYNeKFtG8_yji4HS352LGlSQ/edit?pli=1#gid=0"",""1_ACUM!A4:S""),13,FALSE))"),"")</f>
        <v/>
      </c>
      <c r="AD70" s="43" t="str">
        <f ca="1">IFERROR(__xludf.DUMMYFUNCTION("IFERROR(VLOOKUP(E93&amp;F93,IMPORTRANGE(""https://docs.google.com/spreadsheets/d/1Uw7-A9f9R21vMXxHZFNpYNeKFtG8_yji4HS352LGlSQ/edit?pli=1#gid=0"",""1_ACUM!A4:S""),13,FALSE))"),"")</f>
        <v/>
      </c>
      <c r="AE70" s="43" t="str">
        <f ca="1">IFERROR(__xludf.DUMMYFUNCTION("IFERROR(VLOOKUP(E93&amp;F93,IMPORTRANGE(""https://docs.google.com/spreadsheets/d/1Uw7-A9f9R21vMXxHZFNpYNeKFtG8_yji4HS352LGlSQ/edit?pli=1#gid=0"",""1_ACUM!A4:S""),14,FALSE))"),"")</f>
        <v/>
      </c>
      <c r="AF70" s="43" t="str">
        <f ca="1">IFERROR(__xludf.DUMMYFUNCTION("IFERROR(VLOOKUP(E93&amp;F93,IMPORTRANGE(""https://docs.google.com/spreadsheets/d/1Uw7-A9f9R21vMXxHZFNpYNeKFtG8_yji4HS352LGlSQ/edit?pli=1#gid=0"",""1_ACUM!A4:S""),15,FALSE))"),"")</f>
        <v/>
      </c>
      <c r="AG70" s="43" t="str">
        <f ca="1">IFERROR(__xludf.DUMMYFUNCTION("IFERROR(VLOOKUP(E93&amp;F93,IMPORTRANGE(""https://docs.google.com/spreadsheets/d/1Uw7-A9f9R21vMXxHZFNpYNeKFtG8_yji4HS352LGlSQ/edit?pli=1#gid=0"",""1_ACUM!A4:S""),16,FALSE))"),"")</f>
        <v/>
      </c>
      <c r="AH70" s="43" t="str">
        <f ca="1">IFERROR(__xludf.DUMMYFUNCTION("IFERROR(VLOOKUP(E93&amp;F93,IMPORTRANGE(""https://docs.google.com/spreadsheets/d/1Uw7-A9f9R21vMXxHZFNpYNeKFtG8_yji4HS352LGlSQ/edit?pli=1#gid=0"",""1_ACUM!A4:S""),17,FALSE))"),"")</f>
        <v/>
      </c>
      <c r="AI70" s="44" t="str">
        <f ca="1">IFERROR(__xludf.DUMMYFUNCTION("IFERROR(VLOOKUP(E93&amp;F93,IMPORTRANGE(""https://docs.google.com/spreadsheets/d/1Uw7-A9f9R21vMXxHZFNpYNeKFtG8_yji4HS352LGlSQ/edit?pli=1#gid=0"",""1_ACUM!A4:S""),18,FALSE))"),"")</f>
        <v/>
      </c>
      <c r="AJ70" s="44" t="str">
        <f ca="1">IFERROR(__xludf.DUMMYFUNCTION("IFERROR(VLOOKUP(E93&amp;F93,IMPORTRANGE(""https://docs.google.com/spreadsheets/d/1Uw7-A9f9R21vMXxHZFNpYNeKFtG8_yji4HS352LGlSQ/edit?pli=1#gid=0"",""1_ACUM!A4:S""),19,FALSE))"),"")</f>
        <v/>
      </c>
      <c r="AK70" s="98" t="str">
        <f ca="1">IFERROR(__xludf.DUMMYFUNCTION("IFERROR(VLOOKUP(F93,IMPORTRANGE(""https://docs.google.com/spreadsheets/d/1Kvs4KS76FHFqLFIZfrDMff4kP08nblUkihrxltoGBjg/edit#gid=934712705"",""ESENCIAL!A6:BG""),5,FALSE))"),"")</f>
        <v/>
      </c>
      <c r="AL70" s="98" t="str">
        <f t="shared" si="9"/>
        <v/>
      </c>
      <c r="AM70" s="99" t="str">
        <f t="shared" si="10"/>
        <v/>
      </c>
      <c r="AN70" s="100" t="str">
        <f ca="1">IFERROR(__xludf.DUMMYFUNCTION("IFERROR(VLOOKUP(F93,IMPORTRANGE(""https://docs.google.com/spreadsheets/d/1Kvs4KS76FHFqLFIZfrDMff4kP08nblUkihrxltoGBjg/edit#gid=934712705"",""ESENCIAL!A6:BG""),2,FALSE))"),"")</f>
        <v/>
      </c>
      <c r="AO70" s="19" t="str">
        <f t="shared" si="11"/>
        <v/>
      </c>
      <c r="AP70" s="100"/>
      <c r="AQ70" s="100"/>
    </row>
    <row r="71" spans="1:43" ht="15">
      <c r="A71" s="101"/>
      <c r="B71" s="101"/>
      <c r="G71" s="5" t="str">
        <f ca="1">IFERROR(__xludf.DUMMYFUNCTION("IFERROR(VLOOKUP(F94,IMPORTRANGE(""https://docs.google.com/spreadsheets/d/1Kvs4KS76FHFqLFIZfrDMff4kP08nblUkihrxltoGBjg/edit#gid=934712705"",""ESENCIAL!A6:BG""),3,FALSE))"),"")</f>
        <v/>
      </c>
      <c r="H71" s="5" t="str">
        <f ca="1">IFERROR(__xludf.DUMMYFUNCTION("IFERROR(VLOOKUP(F94,IMPORTRANGE(""https://docs.google.com/spreadsheets/d/1Kvs4KS76FHFqLFIZfrDMff4kP08nblUkihrxltoGBjg/edit#gid=934712705"",""ESENCIAL!A6:BG""),8,FALSE))"),"")</f>
        <v/>
      </c>
      <c r="L71" s="287"/>
      <c r="Z71" s="41" t="str">
        <f t="shared" si="8"/>
        <v/>
      </c>
      <c r="AA71" s="5" t="str">
        <f ca="1">IFERROR(__xludf.DUMMYFUNCTION("IFERROR(VLOOKUP(E94&amp;F94,IMPORTRANGE(""https://docs.google.com/spreadsheets/d/1Uw7-A9f9R21vMXxHZFNpYNeKFtG8_yji4HS352LGlSQ/edit?pli=1#gid=0"",""1_ACUM!A4:S""),11,FALSE))"),"")</f>
        <v/>
      </c>
      <c r="AB71" s="42" t="str">
        <f ca="1">IFERROR(__xludf.DUMMYFUNCTION("IFERROR(VLOOKUP(F94,IMPORTRANGE(""https://docs.google.com/spreadsheets/d/1Kvs4KS76FHFqLFIZfrDMff4kP08nblUkihrxltoGBjg/edit#gid=934712705"",""ESENCIAL!A6:BG""),15,FALSE))"),"")</f>
        <v/>
      </c>
      <c r="AC71" s="110" t="str">
        <f ca="1">IFERROR(__xludf.DUMMYFUNCTION("IFERROR(VLOOKUP(E94&amp;F94,IMPORTRANGE(""https://docs.google.com/spreadsheets/d/1Uw7-A9f9R21vMXxHZFNpYNeKFtG8_yji4HS352LGlSQ/edit?pli=1#gid=0"",""1_ACUM!A4:S""),13,FALSE))"),"")</f>
        <v/>
      </c>
      <c r="AD71" s="43" t="str">
        <f ca="1">IFERROR(__xludf.DUMMYFUNCTION("IFERROR(VLOOKUP(E94&amp;F94,IMPORTRANGE(""https://docs.google.com/spreadsheets/d/1Uw7-A9f9R21vMXxHZFNpYNeKFtG8_yji4HS352LGlSQ/edit?pli=1#gid=0"",""1_ACUM!A4:S""),13,FALSE))"),"")</f>
        <v/>
      </c>
      <c r="AE71" s="43" t="str">
        <f ca="1">IFERROR(__xludf.DUMMYFUNCTION("IFERROR(VLOOKUP(E94&amp;F94,IMPORTRANGE(""https://docs.google.com/spreadsheets/d/1Uw7-A9f9R21vMXxHZFNpYNeKFtG8_yji4HS352LGlSQ/edit?pli=1#gid=0"",""1_ACUM!A4:S""),14,FALSE))"),"")</f>
        <v/>
      </c>
      <c r="AF71" s="43" t="str">
        <f ca="1">IFERROR(__xludf.DUMMYFUNCTION("IFERROR(VLOOKUP(E94&amp;F94,IMPORTRANGE(""https://docs.google.com/spreadsheets/d/1Uw7-A9f9R21vMXxHZFNpYNeKFtG8_yji4HS352LGlSQ/edit?pli=1#gid=0"",""1_ACUM!A4:S""),15,FALSE))"),"")</f>
        <v/>
      </c>
      <c r="AG71" s="43" t="str">
        <f ca="1">IFERROR(__xludf.DUMMYFUNCTION("IFERROR(VLOOKUP(E94&amp;F94,IMPORTRANGE(""https://docs.google.com/spreadsheets/d/1Uw7-A9f9R21vMXxHZFNpYNeKFtG8_yji4HS352LGlSQ/edit?pli=1#gid=0"",""1_ACUM!A4:S""),16,FALSE))"),"")</f>
        <v/>
      </c>
      <c r="AH71" s="43" t="str">
        <f ca="1">IFERROR(__xludf.DUMMYFUNCTION("IFERROR(VLOOKUP(E94&amp;F94,IMPORTRANGE(""https://docs.google.com/spreadsheets/d/1Uw7-A9f9R21vMXxHZFNpYNeKFtG8_yji4HS352LGlSQ/edit?pli=1#gid=0"",""1_ACUM!A4:S""),17,FALSE))"),"")</f>
        <v/>
      </c>
      <c r="AI71" s="44" t="str">
        <f ca="1">IFERROR(__xludf.DUMMYFUNCTION("IFERROR(VLOOKUP(E94&amp;F94,IMPORTRANGE(""https://docs.google.com/spreadsheets/d/1Uw7-A9f9R21vMXxHZFNpYNeKFtG8_yji4HS352LGlSQ/edit?pli=1#gid=0"",""1_ACUM!A4:S""),18,FALSE))"),"")</f>
        <v/>
      </c>
      <c r="AJ71" s="44" t="str">
        <f ca="1">IFERROR(__xludf.DUMMYFUNCTION("IFERROR(VLOOKUP(E94&amp;F94,IMPORTRANGE(""https://docs.google.com/spreadsheets/d/1Uw7-A9f9R21vMXxHZFNpYNeKFtG8_yji4HS352LGlSQ/edit?pli=1#gid=0"",""1_ACUM!A4:S""),19,FALSE))"),"")</f>
        <v/>
      </c>
      <c r="AK71" s="98" t="str">
        <f ca="1">IFERROR(__xludf.DUMMYFUNCTION("IFERROR(VLOOKUP(F94,IMPORTRANGE(""https://docs.google.com/spreadsheets/d/1Kvs4KS76FHFqLFIZfrDMff4kP08nblUkihrxltoGBjg/edit#gid=934712705"",""ESENCIAL!A6:BG""),5,FALSE))"),"")</f>
        <v/>
      </c>
      <c r="AL71" s="98" t="str">
        <f t="shared" si="9"/>
        <v/>
      </c>
      <c r="AM71" s="99" t="str">
        <f t="shared" si="10"/>
        <v/>
      </c>
      <c r="AN71" s="100" t="str">
        <f ca="1">IFERROR(__xludf.DUMMYFUNCTION("IFERROR(VLOOKUP(F94,IMPORTRANGE(""https://docs.google.com/spreadsheets/d/1Kvs4KS76FHFqLFIZfrDMff4kP08nblUkihrxltoGBjg/edit#gid=934712705"",""ESENCIAL!A6:BG""),2,FALSE))"),"")</f>
        <v/>
      </c>
      <c r="AO71" s="19" t="str">
        <f t="shared" si="11"/>
        <v/>
      </c>
      <c r="AP71" s="100"/>
      <c r="AQ71" s="100"/>
    </row>
    <row r="72" spans="1:43" ht="15">
      <c r="A72" s="101"/>
      <c r="B72" s="101"/>
      <c r="G72" s="5" t="str">
        <f ca="1">IFERROR(__xludf.DUMMYFUNCTION("IFERROR(VLOOKUP(F95,IMPORTRANGE(""https://docs.google.com/spreadsheets/d/1Kvs4KS76FHFqLFIZfrDMff4kP08nblUkihrxltoGBjg/edit#gid=934712705"",""ESENCIAL!A6:BG""),3,FALSE))"),"")</f>
        <v/>
      </c>
      <c r="H72" s="5" t="str">
        <f ca="1">IFERROR(__xludf.DUMMYFUNCTION("IFERROR(VLOOKUP(F95,IMPORTRANGE(""https://docs.google.com/spreadsheets/d/1Kvs4KS76FHFqLFIZfrDMff4kP08nblUkihrxltoGBjg/edit#gid=934712705"",""ESENCIAL!A6:BG""),8,FALSE))"),"")</f>
        <v/>
      </c>
      <c r="L72" s="287"/>
      <c r="Z72" s="41" t="str">
        <f t="shared" si="8"/>
        <v/>
      </c>
      <c r="AA72" s="5" t="str">
        <f ca="1">IFERROR(__xludf.DUMMYFUNCTION("IFERROR(VLOOKUP(E95&amp;F95,IMPORTRANGE(""https://docs.google.com/spreadsheets/d/1Uw7-A9f9R21vMXxHZFNpYNeKFtG8_yji4HS352LGlSQ/edit?pli=1#gid=0"",""1_ACUM!A4:S""),11,FALSE))"),"")</f>
        <v/>
      </c>
      <c r="AB72" s="42" t="str">
        <f ca="1">IFERROR(__xludf.DUMMYFUNCTION("IFERROR(VLOOKUP(F95,IMPORTRANGE(""https://docs.google.com/spreadsheets/d/1Kvs4KS76FHFqLFIZfrDMff4kP08nblUkihrxltoGBjg/edit#gid=934712705"",""ESENCIAL!A6:BG""),15,FALSE))"),"")</f>
        <v/>
      </c>
      <c r="AC72" s="110" t="str">
        <f ca="1">IFERROR(__xludf.DUMMYFUNCTION("IFERROR(VLOOKUP(E95&amp;F95,IMPORTRANGE(""https://docs.google.com/spreadsheets/d/1Uw7-A9f9R21vMXxHZFNpYNeKFtG8_yji4HS352LGlSQ/edit?pli=1#gid=0"",""1_ACUM!A4:S""),13,FALSE))"),"")</f>
        <v/>
      </c>
      <c r="AD72" s="43" t="str">
        <f ca="1">IFERROR(__xludf.DUMMYFUNCTION("IFERROR(VLOOKUP(E95&amp;F95,IMPORTRANGE(""https://docs.google.com/spreadsheets/d/1Uw7-A9f9R21vMXxHZFNpYNeKFtG8_yji4HS352LGlSQ/edit?pli=1#gid=0"",""1_ACUM!A4:S""),13,FALSE))"),"")</f>
        <v/>
      </c>
      <c r="AE72" s="43" t="str">
        <f ca="1">IFERROR(__xludf.DUMMYFUNCTION("IFERROR(VLOOKUP(E95&amp;F95,IMPORTRANGE(""https://docs.google.com/spreadsheets/d/1Uw7-A9f9R21vMXxHZFNpYNeKFtG8_yji4HS352LGlSQ/edit?pli=1#gid=0"",""1_ACUM!A4:S""),14,FALSE))"),"")</f>
        <v/>
      </c>
      <c r="AF72" s="43" t="str">
        <f ca="1">IFERROR(__xludf.DUMMYFUNCTION("IFERROR(VLOOKUP(E95&amp;F95,IMPORTRANGE(""https://docs.google.com/spreadsheets/d/1Uw7-A9f9R21vMXxHZFNpYNeKFtG8_yji4HS352LGlSQ/edit?pli=1#gid=0"",""1_ACUM!A4:S""),15,FALSE))"),"")</f>
        <v/>
      </c>
      <c r="AG72" s="43" t="str">
        <f ca="1">IFERROR(__xludf.DUMMYFUNCTION("IFERROR(VLOOKUP(E95&amp;F95,IMPORTRANGE(""https://docs.google.com/spreadsheets/d/1Uw7-A9f9R21vMXxHZFNpYNeKFtG8_yji4HS352LGlSQ/edit?pli=1#gid=0"",""1_ACUM!A4:S""),16,FALSE))"),"")</f>
        <v/>
      </c>
      <c r="AH72" s="43" t="str">
        <f ca="1">IFERROR(__xludf.DUMMYFUNCTION("IFERROR(VLOOKUP(E95&amp;F95,IMPORTRANGE(""https://docs.google.com/spreadsheets/d/1Uw7-A9f9R21vMXxHZFNpYNeKFtG8_yji4HS352LGlSQ/edit?pli=1#gid=0"",""1_ACUM!A4:S""),17,FALSE))"),"")</f>
        <v/>
      </c>
      <c r="AI72" s="44" t="str">
        <f ca="1">IFERROR(__xludf.DUMMYFUNCTION("IFERROR(VLOOKUP(E95&amp;F95,IMPORTRANGE(""https://docs.google.com/spreadsheets/d/1Uw7-A9f9R21vMXxHZFNpYNeKFtG8_yji4HS352LGlSQ/edit?pli=1#gid=0"",""1_ACUM!A4:S""),18,FALSE))"),"")</f>
        <v/>
      </c>
      <c r="AJ72" s="44" t="str">
        <f ca="1">IFERROR(__xludf.DUMMYFUNCTION("IFERROR(VLOOKUP(E95&amp;F95,IMPORTRANGE(""https://docs.google.com/spreadsheets/d/1Uw7-A9f9R21vMXxHZFNpYNeKFtG8_yji4HS352LGlSQ/edit?pli=1#gid=0"",""1_ACUM!A4:S""),19,FALSE))"),"")</f>
        <v/>
      </c>
      <c r="AK72" s="98" t="str">
        <f ca="1">IFERROR(__xludf.DUMMYFUNCTION("IFERROR(VLOOKUP(F95,IMPORTRANGE(""https://docs.google.com/spreadsheets/d/1Kvs4KS76FHFqLFIZfrDMff4kP08nblUkihrxltoGBjg/edit#gid=934712705"",""ESENCIAL!A6:BG""),5,FALSE))"),"")</f>
        <v/>
      </c>
      <c r="AL72" s="98" t="str">
        <f t="shared" si="9"/>
        <v/>
      </c>
      <c r="AM72" s="99" t="str">
        <f t="shared" si="10"/>
        <v/>
      </c>
      <c r="AN72" s="100" t="str">
        <f ca="1">IFERROR(__xludf.DUMMYFUNCTION("IFERROR(VLOOKUP(F95,IMPORTRANGE(""https://docs.google.com/spreadsheets/d/1Kvs4KS76FHFqLFIZfrDMff4kP08nblUkihrxltoGBjg/edit#gid=934712705"",""ESENCIAL!A6:BG""),2,FALSE))"),"")</f>
        <v/>
      </c>
      <c r="AO72" s="19" t="str">
        <f t="shared" si="11"/>
        <v/>
      </c>
      <c r="AP72" s="100"/>
      <c r="AQ72" s="100"/>
    </row>
    <row r="73" spans="1:43" ht="15">
      <c r="A73" s="101"/>
      <c r="B73" s="101"/>
      <c r="G73" s="5" t="str">
        <f ca="1">IFERROR(__xludf.DUMMYFUNCTION("IFERROR(VLOOKUP(F96,IMPORTRANGE(""https://docs.google.com/spreadsheets/d/1Kvs4KS76FHFqLFIZfrDMff4kP08nblUkihrxltoGBjg/edit#gid=934712705"",""ESENCIAL!A6:BG""),3,FALSE))"),"")</f>
        <v/>
      </c>
      <c r="H73" s="5" t="str">
        <f ca="1">IFERROR(__xludf.DUMMYFUNCTION("IFERROR(VLOOKUP(F96,IMPORTRANGE(""https://docs.google.com/spreadsheets/d/1Kvs4KS76FHFqLFIZfrDMff4kP08nblUkihrxltoGBjg/edit#gid=934712705"",""ESENCIAL!A6:BG""),8,FALSE))"),"")</f>
        <v/>
      </c>
      <c r="L73" s="287"/>
      <c r="Z73" s="41" t="str">
        <f t="shared" si="8"/>
        <v/>
      </c>
      <c r="AA73" s="5" t="str">
        <f ca="1">IFERROR(__xludf.DUMMYFUNCTION("IFERROR(VLOOKUP(E96&amp;F96,IMPORTRANGE(""https://docs.google.com/spreadsheets/d/1Uw7-A9f9R21vMXxHZFNpYNeKFtG8_yji4HS352LGlSQ/edit?pli=1#gid=0"",""1_ACUM!A4:S""),11,FALSE))"),"")</f>
        <v/>
      </c>
      <c r="AB73" s="42" t="str">
        <f ca="1">IFERROR(__xludf.DUMMYFUNCTION("IFERROR(VLOOKUP(F96,IMPORTRANGE(""https://docs.google.com/spreadsheets/d/1Kvs4KS76FHFqLFIZfrDMff4kP08nblUkihrxltoGBjg/edit#gid=934712705"",""ESENCIAL!A6:BG""),15,FALSE))"),"")</f>
        <v/>
      </c>
      <c r="AC73" s="110" t="str">
        <f ca="1">IFERROR(__xludf.DUMMYFUNCTION("IFERROR(VLOOKUP(E96&amp;F96,IMPORTRANGE(""https://docs.google.com/spreadsheets/d/1Uw7-A9f9R21vMXxHZFNpYNeKFtG8_yji4HS352LGlSQ/edit?pli=1#gid=0"",""1_ACUM!A4:S""),13,FALSE))"),"")</f>
        <v/>
      </c>
      <c r="AD73" s="43" t="str">
        <f ca="1">IFERROR(__xludf.DUMMYFUNCTION("IFERROR(VLOOKUP(E96&amp;F96,IMPORTRANGE(""https://docs.google.com/spreadsheets/d/1Uw7-A9f9R21vMXxHZFNpYNeKFtG8_yji4HS352LGlSQ/edit?pli=1#gid=0"",""1_ACUM!A4:S""),13,FALSE))"),"")</f>
        <v/>
      </c>
      <c r="AE73" s="43" t="str">
        <f ca="1">IFERROR(__xludf.DUMMYFUNCTION("IFERROR(VLOOKUP(E96&amp;F96,IMPORTRANGE(""https://docs.google.com/spreadsheets/d/1Uw7-A9f9R21vMXxHZFNpYNeKFtG8_yji4HS352LGlSQ/edit?pli=1#gid=0"",""1_ACUM!A4:S""),14,FALSE))"),"")</f>
        <v/>
      </c>
      <c r="AF73" s="43" t="str">
        <f ca="1">IFERROR(__xludf.DUMMYFUNCTION("IFERROR(VLOOKUP(E96&amp;F96,IMPORTRANGE(""https://docs.google.com/spreadsheets/d/1Uw7-A9f9R21vMXxHZFNpYNeKFtG8_yji4HS352LGlSQ/edit?pli=1#gid=0"",""1_ACUM!A4:S""),15,FALSE))"),"")</f>
        <v/>
      </c>
      <c r="AG73" s="43" t="str">
        <f ca="1">IFERROR(__xludf.DUMMYFUNCTION("IFERROR(VLOOKUP(E96&amp;F96,IMPORTRANGE(""https://docs.google.com/spreadsheets/d/1Uw7-A9f9R21vMXxHZFNpYNeKFtG8_yji4HS352LGlSQ/edit?pli=1#gid=0"",""1_ACUM!A4:S""),16,FALSE))"),"")</f>
        <v/>
      </c>
      <c r="AH73" s="43" t="str">
        <f ca="1">IFERROR(__xludf.DUMMYFUNCTION("IFERROR(VLOOKUP(E96&amp;F96,IMPORTRANGE(""https://docs.google.com/spreadsheets/d/1Uw7-A9f9R21vMXxHZFNpYNeKFtG8_yji4HS352LGlSQ/edit?pli=1#gid=0"",""1_ACUM!A4:S""),17,FALSE))"),"")</f>
        <v/>
      </c>
      <c r="AI73" s="44" t="str">
        <f ca="1">IFERROR(__xludf.DUMMYFUNCTION("IFERROR(VLOOKUP(E96&amp;F96,IMPORTRANGE(""https://docs.google.com/spreadsheets/d/1Uw7-A9f9R21vMXxHZFNpYNeKFtG8_yji4HS352LGlSQ/edit?pli=1#gid=0"",""1_ACUM!A4:S""),18,FALSE))"),"")</f>
        <v/>
      </c>
      <c r="AJ73" s="44" t="str">
        <f ca="1">IFERROR(__xludf.DUMMYFUNCTION("IFERROR(VLOOKUP(E96&amp;F96,IMPORTRANGE(""https://docs.google.com/spreadsheets/d/1Uw7-A9f9R21vMXxHZFNpYNeKFtG8_yji4HS352LGlSQ/edit?pli=1#gid=0"",""1_ACUM!A4:S""),19,FALSE))"),"")</f>
        <v/>
      </c>
      <c r="AK73" s="98" t="str">
        <f ca="1">IFERROR(__xludf.DUMMYFUNCTION("IFERROR(VLOOKUP(F96,IMPORTRANGE(""https://docs.google.com/spreadsheets/d/1Kvs4KS76FHFqLFIZfrDMff4kP08nblUkihrxltoGBjg/edit#gid=934712705"",""ESENCIAL!A6:BG""),5,FALSE))"),"")</f>
        <v/>
      </c>
      <c r="AL73" s="98" t="str">
        <f t="shared" si="9"/>
        <v/>
      </c>
      <c r="AM73" s="99" t="str">
        <f t="shared" si="10"/>
        <v/>
      </c>
      <c r="AN73" s="100" t="str">
        <f ca="1">IFERROR(__xludf.DUMMYFUNCTION("IFERROR(VLOOKUP(F96,IMPORTRANGE(""https://docs.google.com/spreadsheets/d/1Kvs4KS76FHFqLFIZfrDMff4kP08nblUkihrxltoGBjg/edit#gid=934712705"",""ESENCIAL!A6:BG""),2,FALSE))"),"")</f>
        <v/>
      </c>
      <c r="AO73" s="19" t="str">
        <f t="shared" si="11"/>
        <v/>
      </c>
      <c r="AP73" s="100"/>
      <c r="AQ73" s="100"/>
    </row>
    <row r="74" spans="1:43" ht="15">
      <c r="A74" s="101"/>
      <c r="B74" s="101"/>
      <c r="G74" s="5" t="str">
        <f ca="1">IFERROR(__xludf.DUMMYFUNCTION("IFERROR(VLOOKUP(F97,IMPORTRANGE(""https://docs.google.com/spreadsheets/d/1Kvs4KS76FHFqLFIZfrDMff4kP08nblUkihrxltoGBjg/edit#gid=934712705"",""ESENCIAL!A6:BG""),3,FALSE))"),"")</f>
        <v/>
      </c>
      <c r="H74" s="5" t="str">
        <f ca="1">IFERROR(__xludf.DUMMYFUNCTION("IFERROR(VLOOKUP(F97,IMPORTRANGE(""https://docs.google.com/spreadsheets/d/1Kvs4KS76FHFqLFIZfrDMff4kP08nblUkihrxltoGBjg/edit#gid=934712705"",""ESENCIAL!A6:BG""),8,FALSE))"),"")</f>
        <v/>
      </c>
      <c r="L74" s="287"/>
      <c r="Z74" s="41" t="str">
        <f t="shared" si="8"/>
        <v/>
      </c>
      <c r="AA74" s="5" t="str">
        <f ca="1">IFERROR(__xludf.DUMMYFUNCTION("IFERROR(VLOOKUP(E97&amp;F97,IMPORTRANGE(""https://docs.google.com/spreadsheets/d/1Uw7-A9f9R21vMXxHZFNpYNeKFtG8_yji4HS352LGlSQ/edit?pli=1#gid=0"",""1_ACUM!A4:S""),11,FALSE))"),"")</f>
        <v/>
      </c>
      <c r="AB74" s="42" t="str">
        <f ca="1">IFERROR(__xludf.DUMMYFUNCTION("IFERROR(VLOOKUP(F97,IMPORTRANGE(""https://docs.google.com/spreadsheets/d/1Kvs4KS76FHFqLFIZfrDMff4kP08nblUkihrxltoGBjg/edit#gid=934712705"",""ESENCIAL!A6:BG""),15,FALSE))"),"")</f>
        <v/>
      </c>
      <c r="AC74" s="110" t="str">
        <f ca="1">IFERROR(__xludf.DUMMYFUNCTION("IFERROR(VLOOKUP(E97&amp;F97,IMPORTRANGE(""https://docs.google.com/spreadsheets/d/1Uw7-A9f9R21vMXxHZFNpYNeKFtG8_yji4HS352LGlSQ/edit?pli=1#gid=0"",""1_ACUM!A4:S""),13,FALSE))"),"")</f>
        <v/>
      </c>
      <c r="AD74" s="43" t="str">
        <f ca="1">IFERROR(__xludf.DUMMYFUNCTION("IFERROR(VLOOKUP(E97&amp;F97,IMPORTRANGE(""https://docs.google.com/spreadsheets/d/1Uw7-A9f9R21vMXxHZFNpYNeKFtG8_yji4HS352LGlSQ/edit?pli=1#gid=0"",""1_ACUM!A4:S""),13,FALSE))"),"")</f>
        <v/>
      </c>
      <c r="AE74" s="43" t="str">
        <f ca="1">IFERROR(__xludf.DUMMYFUNCTION("IFERROR(VLOOKUP(E97&amp;F97,IMPORTRANGE(""https://docs.google.com/spreadsheets/d/1Uw7-A9f9R21vMXxHZFNpYNeKFtG8_yji4HS352LGlSQ/edit?pli=1#gid=0"",""1_ACUM!A4:S""),14,FALSE))"),"")</f>
        <v/>
      </c>
      <c r="AF74" s="43" t="str">
        <f ca="1">IFERROR(__xludf.DUMMYFUNCTION("IFERROR(VLOOKUP(E97&amp;F97,IMPORTRANGE(""https://docs.google.com/spreadsheets/d/1Uw7-A9f9R21vMXxHZFNpYNeKFtG8_yji4HS352LGlSQ/edit?pli=1#gid=0"",""1_ACUM!A4:S""),15,FALSE))"),"")</f>
        <v/>
      </c>
      <c r="AG74" s="43" t="str">
        <f ca="1">IFERROR(__xludf.DUMMYFUNCTION("IFERROR(VLOOKUP(E97&amp;F97,IMPORTRANGE(""https://docs.google.com/spreadsheets/d/1Uw7-A9f9R21vMXxHZFNpYNeKFtG8_yji4HS352LGlSQ/edit?pli=1#gid=0"",""1_ACUM!A4:S""),16,FALSE))"),"")</f>
        <v/>
      </c>
      <c r="AH74" s="43" t="str">
        <f ca="1">IFERROR(__xludf.DUMMYFUNCTION("IFERROR(VLOOKUP(E97&amp;F97,IMPORTRANGE(""https://docs.google.com/spreadsheets/d/1Uw7-A9f9R21vMXxHZFNpYNeKFtG8_yji4HS352LGlSQ/edit?pli=1#gid=0"",""1_ACUM!A4:S""),17,FALSE))"),"")</f>
        <v/>
      </c>
      <c r="AI74" s="44" t="str">
        <f ca="1">IFERROR(__xludf.DUMMYFUNCTION("IFERROR(VLOOKUP(E97&amp;F97,IMPORTRANGE(""https://docs.google.com/spreadsheets/d/1Uw7-A9f9R21vMXxHZFNpYNeKFtG8_yji4HS352LGlSQ/edit?pli=1#gid=0"",""1_ACUM!A4:S""),18,FALSE))"),"")</f>
        <v/>
      </c>
      <c r="AJ74" s="44" t="str">
        <f ca="1">IFERROR(__xludf.DUMMYFUNCTION("IFERROR(VLOOKUP(E97&amp;F97,IMPORTRANGE(""https://docs.google.com/spreadsheets/d/1Uw7-A9f9R21vMXxHZFNpYNeKFtG8_yji4HS352LGlSQ/edit?pli=1#gid=0"",""1_ACUM!A4:S""),19,FALSE))"),"")</f>
        <v/>
      </c>
      <c r="AK74" s="98" t="str">
        <f ca="1">IFERROR(__xludf.DUMMYFUNCTION("IFERROR(VLOOKUP(F97,IMPORTRANGE(""https://docs.google.com/spreadsheets/d/1Kvs4KS76FHFqLFIZfrDMff4kP08nblUkihrxltoGBjg/edit#gid=934712705"",""ESENCIAL!A6:BG""),5,FALSE))"),"")</f>
        <v/>
      </c>
      <c r="AL74" s="98" t="str">
        <f t="shared" si="9"/>
        <v/>
      </c>
      <c r="AM74" s="99" t="str">
        <f t="shared" si="10"/>
        <v/>
      </c>
      <c r="AN74" s="100" t="str">
        <f ca="1">IFERROR(__xludf.DUMMYFUNCTION("IFERROR(VLOOKUP(F97,IMPORTRANGE(""https://docs.google.com/spreadsheets/d/1Kvs4KS76FHFqLFIZfrDMff4kP08nblUkihrxltoGBjg/edit#gid=934712705"",""ESENCIAL!A6:BG""),2,FALSE))"),"")</f>
        <v/>
      </c>
      <c r="AO74" s="19" t="str">
        <f t="shared" si="11"/>
        <v/>
      </c>
      <c r="AP74" s="100"/>
      <c r="AQ74" s="100"/>
    </row>
    <row r="75" spans="1:43" ht="15">
      <c r="A75" s="101"/>
      <c r="B75" s="101"/>
      <c r="G75" s="5" t="str">
        <f ca="1">IFERROR(__xludf.DUMMYFUNCTION("IFERROR(VLOOKUP(F98,IMPORTRANGE(""https://docs.google.com/spreadsheets/d/1Kvs4KS76FHFqLFIZfrDMff4kP08nblUkihrxltoGBjg/edit#gid=934712705"",""ESENCIAL!A6:BG""),3,FALSE))"),"")</f>
        <v/>
      </c>
      <c r="H75" s="5" t="str">
        <f ca="1">IFERROR(__xludf.DUMMYFUNCTION("IFERROR(VLOOKUP(F98,IMPORTRANGE(""https://docs.google.com/spreadsheets/d/1Kvs4KS76FHFqLFIZfrDMff4kP08nblUkihrxltoGBjg/edit#gid=934712705"",""ESENCIAL!A6:BG""),8,FALSE))"),"")</f>
        <v/>
      </c>
      <c r="L75" s="287"/>
      <c r="Z75" s="41" t="str">
        <f t="shared" si="8"/>
        <v/>
      </c>
      <c r="AA75" s="5" t="str">
        <f ca="1">IFERROR(__xludf.DUMMYFUNCTION("IFERROR(VLOOKUP(E98&amp;F98,IMPORTRANGE(""https://docs.google.com/spreadsheets/d/1Uw7-A9f9R21vMXxHZFNpYNeKFtG8_yji4HS352LGlSQ/edit?pli=1#gid=0"",""1_ACUM!A4:S""),11,FALSE))"),"")</f>
        <v/>
      </c>
      <c r="AB75" s="42" t="str">
        <f ca="1">IFERROR(__xludf.DUMMYFUNCTION("IFERROR(VLOOKUP(F98,IMPORTRANGE(""https://docs.google.com/spreadsheets/d/1Kvs4KS76FHFqLFIZfrDMff4kP08nblUkihrxltoGBjg/edit#gid=934712705"",""ESENCIAL!A6:BG""),15,FALSE))"),"")</f>
        <v/>
      </c>
      <c r="AC75" s="110" t="str">
        <f ca="1">IFERROR(__xludf.DUMMYFUNCTION("IFERROR(VLOOKUP(E98&amp;F98,IMPORTRANGE(""https://docs.google.com/spreadsheets/d/1Uw7-A9f9R21vMXxHZFNpYNeKFtG8_yji4HS352LGlSQ/edit?pli=1#gid=0"",""1_ACUM!A4:S""),13,FALSE))"),"")</f>
        <v/>
      </c>
      <c r="AD75" s="43" t="str">
        <f ca="1">IFERROR(__xludf.DUMMYFUNCTION("IFERROR(VLOOKUP(E98&amp;F98,IMPORTRANGE(""https://docs.google.com/spreadsheets/d/1Uw7-A9f9R21vMXxHZFNpYNeKFtG8_yji4HS352LGlSQ/edit?pli=1#gid=0"",""1_ACUM!A4:S""),13,FALSE))"),"")</f>
        <v/>
      </c>
      <c r="AE75" s="43" t="str">
        <f ca="1">IFERROR(__xludf.DUMMYFUNCTION("IFERROR(VLOOKUP(E98&amp;F98,IMPORTRANGE(""https://docs.google.com/spreadsheets/d/1Uw7-A9f9R21vMXxHZFNpYNeKFtG8_yji4HS352LGlSQ/edit?pli=1#gid=0"",""1_ACUM!A4:S""),14,FALSE))"),"")</f>
        <v/>
      </c>
      <c r="AF75" s="43" t="str">
        <f ca="1">IFERROR(__xludf.DUMMYFUNCTION("IFERROR(VLOOKUP(E98&amp;F98,IMPORTRANGE(""https://docs.google.com/spreadsheets/d/1Uw7-A9f9R21vMXxHZFNpYNeKFtG8_yji4HS352LGlSQ/edit?pli=1#gid=0"",""1_ACUM!A4:S""),15,FALSE))"),"")</f>
        <v/>
      </c>
      <c r="AG75" s="43" t="str">
        <f ca="1">IFERROR(__xludf.DUMMYFUNCTION("IFERROR(VLOOKUP(E98&amp;F98,IMPORTRANGE(""https://docs.google.com/spreadsheets/d/1Uw7-A9f9R21vMXxHZFNpYNeKFtG8_yji4HS352LGlSQ/edit?pli=1#gid=0"",""1_ACUM!A4:S""),16,FALSE))"),"")</f>
        <v/>
      </c>
      <c r="AH75" s="43" t="str">
        <f ca="1">IFERROR(__xludf.DUMMYFUNCTION("IFERROR(VLOOKUP(E98&amp;F98,IMPORTRANGE(""https://docs.google.com/spreadsheets/d/1Uw7-A9f9R21vMXxHZFNpYNeKFtG8_yji4HS352LGlSQ/edit?pli=1#gid=0"",""1_ACUM!A4:S""),17,FALSE))"),"")</f>
        <v/>
      </c>
      <c r="AI75" s="44" t="str">
        <f ca="1">IFERROR(__xludf.DUMMYFUNCTION("IFERROR(VLOOKUP(E98&amp;F98,IMPORTRANGE(""https://docs.google.com/spreadsheets/d/1Uw7-A9f9R21vMXxHZFNpYNeKFtG8_yji4HS352LGlSQ/edit?pli=1#gid=0"",""1_ACUM!A4:S""),18,FALSE))"),"")</f>
        <v/>
      </c>
      <c r="AJ75" s="44" t="str">
        <f ca="1">IFERROR(__xludf.DUMMYFUNCTION("IFERROR(VLOOKUP(E98&amp;F98,IMPORTRANGE(""https://docs.google.com/spreadsheets/d/1Uw7-A9f9R21vMXxHZFNpYNeKFtG8_yji4HS352LGlSQ/edit?pli=1#gid=0"",""1_ACUM!A4:S""),19,FALSE))"),"")</f>
        <v/>
      </c>
      <c r="AK75" s="98" t="str">
        <f ca="1">IFERROR(__xludf.DUMMYFUNCTION("IFERROR(VLOOKUP(F98,IMPORTRANGE(""https://docs.google.com/spreadsheets/d/1Kvs4KS76FHFqLFIZfrDMff4kP08nblUkihrxltoGBjg/edit#gid=934712705"",""ESENCIAL!A6:BG""),5,FALSE))"),"")</f>
        <v/>
      </c>
      <c r="AL75" s="98" t="str">
        <f t="shared" si="9"/>
        <v/>
      </c>
      <c r="AM75" s="99" t="str">
        <f t="shared" si="10"/>
        <v/>
      </c>
      <c r="AN75" s="100" t="str">
        <f ca="1">IFERROR(__xludf.DUMMYFUNCTION("IFERROR(VLOOKUP(F98,IMPORTRANGE(""https://docs.google.com/spreadsheets/d/1Kvs4KS76FHFqLFIZfrDMff4kP08nblUkihrxltoGBjg/edit#gid=934712705"",""ESENCIAL!A6:BG""),2,FALSE))"),"")</f>
        <v/>
      </c>
      <c r="AO75" s="19" t="str">
        <f t="shared" si="11"/>
        <v/>
      </c>
      <c r="AP75" s="100"/>
      <c r="AQ75" s="100"/>
    </row>
    <row r="76" spans="1:43" ht="15">
      <c r="A76" s="101"/>
      <c r="B76" s="101"/>
      <c r="G76" s="5" t="str">
        <f ca="1">IFERROR(__xludf.DUMMYFUNCTION("IFERROR(VLOOKUP(F99,IMPORTRANGE(""https://docs.google.com/spreadsheets/d/1Kvs4KS76FHFqLFIZfrDMff4kP08nblUkihrxltoGBjg/edit#gid=934712705"",""ESENCIAL!A6:BG""),3,FALSE))"),"")</f>
        <v/>
      </c>
      <c r="H76" s="5" t="str">
        <f ca="1">IFERROR(__xludf.DUMMYFUNCTION("IFERROR(VLOOKUP(F99,IMPORTRANGE(""https://docs.google.com/spreadsheets/d/1Kvs4KS76FHFqLFIZfrDMff4kP08nblUkihrxltoGBjg/edit#gid=934712705"",""ESENCIAL!A6:BG""),8,FALSE))"),"")</f>
        <v/>
      </c>
      <c r="L76" s="287"/>
      <c r="Z76" s="41" t="str">
        <f t="shared" si="8"/>
        <v/>
      </c>
      <c r="AA76" s="5" t="str">
        <f ca="1">IFERROR(__xludf.DUMMYFUNCTION("IFERROR(VLOOKUP(E99&amp;F99,IMPORTRANGE(""https://docs.google.com/spreadsheets/d/1Uw7-A9f9R21vMXxHZFNpYNeKFtG8_yji4HS352LGlSQ/edit?pli=1#gid=0"",""1_ACUM!A4:S""),11,FALSE))"),"")</f>
        <v/>
      </c>
      <c r="AB76" s="42" t="str">
        <f ca="1">IFERROR(__xludf.DUMMYFUNCTION("IFERROR(VLOOKUP(F99,IMPORTRANGE(""https://docs.google.com/spreadsheets/d/1Kvs4KS76FHFqLFIZfrDMff4kP08nblUkihrxltoGBjg/edit#gid=934712705"",""ESENCIAL!A6:BG""),15,FALSE))"),"")</f>
        <v/>
      </c>
      <c r="AC76" s="110" t="str">
        <f ca="1">IFERROR(__xludf.DUMMYFUNCTION("IFERROR(VLOOKUP(E99&amp;F99,IMPORTRANGE(""https://docs.google.com/spreadsheets/d/1Uw7-A9f9R21vMXxHZFNpYNeKFtG8_yji4HS352LGlSQ/edit?pli=1#gid=0"",""1_ACUM!A4:S""),13,FALSE))"),"")</f>
        <v/>
      </c>
      <c r="AD76" s="43" t="str">
        <f ca="1">IFERROR(__xludf.DUMMYFUNCTION("IFERROR(VLOOKUP(E99&amp;F99,IMPORTRANGE(""https://docs.google.com/spreadsheets/d/1Uw7-A9f9R21vMXxHZFNpYNeKFtG8_yji4HS352LGlSQ/edit?pli=1#gid=0"",""1_ACUM!A4:S""),13,FALSE))"),"")</f>
        <v/>
      </c>
      <c r="AE76" s="43" t="str">
        <f ca="1">IFERROR(__xludf.DUMMYFUNCTION("IFERROR(VLOOKUP(E99&amp;F99,IMPORTRANGE(""https://docs.google.com/spreadsheets/d/1Uw7-A9f9R21vMXxHZFNpYNeKFtG8_yji4HS352LGlSQ/edit?pli=1#gid=0"",""1_ACUM!A4:S""),14,FALSE))"),"")</f>
        <v/>
      </c>
      <c r="AF76" s="43" t="str">
        <f ca="1">IFERROR(__xludf.DUMMYFUNCTION("IFERROR(VLOOKUP(E99&amp;F99,IMPORTRANGE(""https://docs.google.com/spreadsheets/d/1Uw7-A9f9R21vMXxHZFNpYNeKFtG8_yji4HS352LGlSQ/edit?pli=1#gid=0"",""1_ACUM!A4:S""),15,FALSE))"),"")</f>
        <v/>
      </c>
      <c r="AG76" s="43" t="str">
        <f ca="1">IFERROR(__xludf.DUMMYFUNCTION("IFERROR(VLOOKUP(E99&amp;F99,IMPORTRANGE(""https://docs.google.com/spreadsheets/d/1Uw7-A9f9R21vMXxHZFNpYNeKFtG8_yji4HS352LGlSQ/edit?pli=1#gid=0"",""1_ACUM!A4:S""),16,FALSE))"),"")</f>
        <v/>
      </c>
      <c r="AH76" s="43" t="str">
        <f ca="1">IFERROR(__xludf.DUMMYFUNCTION("IFERROR(VLOOKUP(E99&amp;F99,IMPORTRANGE(""https://docs.google.com/spreadsheets/d/1Uw7-A9f9R21vMXxHZFNpYNeKFtG8_yji4HS352LGlSQ/edit?pli=1#gid=0"",""1_ACUM!A4:S""),17,FALSE))"),"")</f>
        <v/>
      </c>
      <c r="AI76" s="44" t="str">
        <f ca="1">IFERROR(__xludf.DUMMYFUNCTION("IFERROR(VLOOKUP(E99&amp;F99,IMPORTRANGE(""https://docs.google.com/spreadsheets/d/1Uw7-A9f9R21vMXxHZFNpYNeKFtG8_yji4HS352LGlSQ/edit?pli=1#gid=0"",""1_ACUM!A4:S""),18,FALSE))"),"")</f>
        <v/>
      </c>
      <c r="AJ76" s="44" t="str">
        <f ca="1">IFERROR(__xludf.DUMMYFUNCTION("IFERROR(VLOOKUP(E99&amp;F99,IMPORTRANGE(""https://docs.google.com/spreadsheets/d/1Uw7-A9f9R21vMXxHZFNpYNeKFtG8_yji4HS352LGlSQ/edit?pli=1#gid=0"",""1_ACUM!A4:S""),19,FALSE))"),"")</f>
        <v/>
      </c>
      <c r="AK76" s="98" t="str">
        <f ca="1">IFERROR(__xludf.DUMMYFUNCTION("IFERROR(VLOOKUP(F99,IMPORTRANGE(""https://docs.google.com/spreadsheets/d/1Kvs4KS76FHFqLFIZfrDMff4kP08nblUkihrxltoGBjg/edit#gid=934712705"",""ESENCIAL!A6:BG""),5,FALSE))"),"")</f>
        <v/>
      </c>
      <c r="AL76" s="98" t="str">
        <f t="shared" si="9"/>
        <v/>
      </c>
      <c r="AM76" s="99" t="str">
        <f t="shared" si="10"/>
        <v/>
      </c>
      <c r="AN76" s="100" t="str">
        <f ca="1">IFERROR(__xludf.DUMMYFUNCTION("IFERROR(VLOOKUP(F99,IMPORTRANGE(""https://docs.google.com/spreadsheets/d/1Kvs4KS76FHFqLFIZfrDMff4kP08nblUkihrxltoGBjg/edit#gid=934712705"",""ESENCIAL!A6:BG""),2,FALSE))"),"")</f>
        <v/>
      </c>
      <c r="AO76" s="19" t="str">
        <f t="shared" si="11"/>
        <v/>
      </c>
      <c r="AP76" s="100"/>
      <c r="AQ76" s="100"/>
    </row>
    <row r="77" spans="1:43" ht="15">
      <c r="A77" s="101"/>
      <c r="B77" s="101"/>
      <c r="G77" s="5" t="str">
        <f ca="1">IFERROR(__xludf.DUMMYFUNCTION("IFERROR(VLOOKUP(F100,IMPORTRANGE(""https://docs.google.com/spreadsheets/d/1Kvs4KS76FHFqLFIZfrDMff4kP08nblUkihrxltoGBjg/edit#gid=934712705"",""ESENCIAL!A6:BG""),3,FALSE))"),"")</f>
        <v/>
      </c>
      <c r="H77" s="5" t="str">
        <f ca="1">IFERROR(__xludf.DUMMYFUNCTION("IFERROR(VLOOKUP(F100,IMPORTRANGE(""https://docs.google.com/spreadsheets/d/1Kvs4KS76FHFqLFIZfrDMff4kP08nblUkihrxltoGBjg/edit#gid=934712705"",""ESENCIAL!A6:BG""),8,FALSE))"),"")</f>
        <v/>
      </c>
      <c r="L77" s="287"/>
      <c r="Z77" s="41" t="str">
        <f t="shared" si="8"/>
        <v/>
      </c>
      <c r="AA77" s="5" t="str">
        <f ca="1">IFERROR(__xludf.DUMMYFUNCTION("IFERROR(VLOOKUP(E100&amp;F100,IMPORTRANGE(""https://docs.google.com/spreadsheets/d/1Uw7-A9f9R21vMXxHZFNpYNeKFtG8_yji4HS352LGlSQ/edit?pli=1#gid=0"",""1_ACUM!A4:S""),11,FALSE))"),"")</f>
        <v/>
      </c>
      <c r="AB77" s="42" t="str">
        <f ca="1">IFERROR(__xludf.DUMMYFUNCTION("IFERROR(VLOOKUP(F100,IMPORTRANGE(""https://docs.google.com/spreadsheets/d/1Kvs4KS76FHFqLFIZfrDMff4kP08nblUkihrxltoGBjg/edit#gid=934712705"",""ESENCIAL!A6:BG""),15,FALSE))"),"")</f>
        <v/>
      </c>
      <c r="AC77" s="110" t="str">
        <f ca="1">IFERROR(__xludf.DUMMYFUNCTION("IFERROR(VLOOKUP(E100&amp;F100,IMPORTRANGE(""https://docs.google.com/spreadsheets/d/1Uw7-A9f9R21vMXxHZFNpYNeKFtG8_yji4HS352LGlSQ/edit?pli=1#gid=0"",""1_ACUM!A4:S""),13,FALSE))"),"")</f>
        <v/>
      </c>
      <c r="AD77" s="43" t="str">
        <f ca="1">IFERROR(__xludf.DUMMYFUNCTION("IFERROR(VLOOKUP(E100&amp;F100,IMPORTRANGE(""https://docs.google.com/spreadsheets/d/1Uw7-A9f9R21vMXxHZFNpYNeKFtG8_yji4HS352LGlSQ/edit?pli=1#gid=0"",""1_ACUM!A4:S""),13,FALSE))"),"")</f>
        <v/>
      </c>
      <c r="AE77" s="43" t="str">
        <f ca="1">IFERROR(__xludf.DUMMYFUNCTION("IFERROR(VLOOKUP(E100&amp;F100,IMPORTRANGE(""https://docs.google.com/spreadsheets/d/1Uw7-A9f9R21vMXxHZFNpYNeKFtG8_yji4HS352LGlSQ/edit?pli=1#gid=0"",""1_ACUM!A4:S""),14,FALSE))"),"")</f>
        <v/>
      </c>
      <c r="AF77" s="43" t="str">
        <f ca="1">IFERROR(__xludf.DUMMYFUNCTION("IFERROR(VLOOKUP(E100&amp;F100,IMPORTRANGE(""https://docs.google.com/spreadsheets/d/1Uw7-A9f9R21vMXxHZFNpYNeKFtG8_yji4HS352LGlSQ/edit?pli=1#gid=0"",""1_ACUM!A4:S""),15,FALSE))"),"")</f>
        <v/>
      </c>
      <c r="AG77" s="43" t="str">
        <f ca="1">IFERROR(__xludf.DUMMYFUNCTION("IFERROR(VLOOKUP(E100&amp;F100,IMPORTRANGE(""https://docs.google.com/spreadsheets/d/1Uw7-A9f9R21vMXxHZFNpYNeKFtG8_yji4HS352LGlSQ/edit?pli=1#gid=0"",""1_ACUM!A4:S""),16,FALSE))"),"")</f>
        <v/>
      </c>
      <c r="AH77" s="43" t="str">
        <f ca="1">IFERROR(__xludf.DUMMYFUNCTION("IFERROR(VLOOKUP(E100&amp;F100,IMPORTRANGE(""https://docs.google.com/spreadsheets/d/1Uw7-A9f9R21vMXxHZFNpYNeKFtG8_yji4HS352LGlSQ/edit?pli=1#gid=0"",""1_ACUM!A4:S""),17,FALSE))"),"")</f>
        <v/>
      </c>
      <c r="AI77" s="44" t="str">
        <f ca="1">IFERROR(__xludf.DUMMYFUNCTION("IFERROR(VLOOKUP(E100&amp;F100,IMPORTRANGE(""https://docs.google.com/spreadsheets/d/1Uw7-A9f9R21vMXxHZFNpYNeKFtG8_yji4HS352LGlSQ/edit?pli=1#gid=0"",""1_ACUM!A4:S""),18,FALSE))"),"")</f>
        <v/>
      </c>
      <c r="AJ77" s="44" t="str">
        <f ca="1">IFERROR(__xludf.DUMMYFUNCTION("IFERROR(VLOOKUP(E100&amp;F100,IMPORTRANGE(""https://docs.google.com/spreadsheets/d/1Uw7-A9f9R21vMXxHZFNpYNeKFtG8_yji4HS352LGlSQ/edit?pli=1#gid=0"",""1_ACUM!A4:S""),19,FALSE))"),"")</f>
        <v/>
      </c>
      <c r="AK77" s="98" t="str">
        <f ca="1">IFERROR(__xludf.DUMMYFUNCTION("IFERROR(VLOOKUP(F100,IMPORTRANGE(""https://docs.google.com/spreadsheets/d/1Kvs4KS76FHFqLFIZfrDMff4kP08nblUkihrxltoGBjg/edit#gid=934712705"",""ESENCIAL!A6:BG""),5,FALSE))"),"")</f>
        <v/>
      </c>
      <c r="AL77" s="98" t="str">
        <f t="shared" si="9"/>
        <v/>
      </c>
      <c r="AM77" s="99" t="str">
        <f t="shared" si="10"/>
        <v/>
      </c>
      <c r="AN77" s="100" t="str">
        <f ca="1">IFERROR(__xludf.DUMMYFUNCTION("IFERROR(VLOOKUP(F100,IMPORTRANGE(""https://docs.google.com/spreadsheets/d/1Kvs4KS76FHFqLFIZfrDMff4kP08nblUkihrxltoGBjg/edit#gid=934712705"",""ESENCIAL!A6:BG""),2,FALSE))"),"")</f>
        <v/>
      </c>
      <c r="AO77" s="19" t="str">
        <f t="shared" si="11"/>
        <v/>
      </c>
      <c r="AP77" s="100"/>
      <c r="AQ77" s="100"/>
    </row>
    <row r="78" spans="1:43" ht="15">
      <c r="A78" s="101"/>
      <c r="B78" s="101"/>
      <c r="G78" s="5" t="str">
        <f ca="1">IFERROR(__xludf.DUMMYFUNCTION("IFERROR(VLOOKUP(F101,IMPORTRANGE(""https://docs.google.com/spreadsheets/d/1Kvs4KS76FHFqLFIZfrDMff4kP08nblUkihrxltoGBjg/edit#gid=934712705"",""ESENCIAL!A6:BG""),3,FALSE))"),"")</f>
        <v/>
      </c>
      <c r="H78" s="5" t="str">
        <f ca="1">IFERROR(__xludf.DUMMYFUNCTION("IFERROR(VLOOKUP(F101,IMPORTRANGE(""https://docs.google.com/spreadsheets/d/1Kvs4KS76FHFqLFIZfrDMff4kP08nblUkihrxltoGBjg/edit#gid=934712705"",""ESENCIAL!A6:BG""),8,FALSE))"),"")</f>
        <v/>
      </c>
      <c r="L78" s="287"/>
      <c r="Z78" s="41" t="str">
        <f t="shared" si="8"/>
        <v/>
      </c>
      <c r="AA78" s="5" t="str">
        <f ca="1">IFERROR(__xludf.DUMMYFUNCTION("IFERROR(VLOOKUP(E101&amp;F101,IMPORTRANGE(""https://docs.google.com/spreadsheets/d/1Uw7-A9f9R21vMXxHZFNpYNeKFtG8_yji4HS352LGlSQ/edit?pli=1#gid=0"",""1_ACUM!A4:S""),11,FALSE))"),"")</f>
        <v/>
      </c>
      <c r="AB78" s="42" t="str">
        <f ca="1">IFERROR(__xludf.DUMMYFUNCTION("IFERROR(VLOOKUP(F101,IMPORTRANGE(""https://docs.google.com/spreadsheets/d/1Kvs4KS76FHFqLFIZfrDMff4kP08nblUkihrxltoGBjg/edit#gid=934712705"",""ESENCIAL!A6:BG""),15,FALSE))"),"")</f>
        <v/>
      </c>
      <c r="AC78" s="110" t="str">
        <f ca="1">IFERROR(__xludf.DUMMYFUNCTION("IFERROR(VLOOKUP(E101&amp;F101,IMPORTRANGE(""https://docs.google.com/spreadsheets/d/1Uw7-A9f9R21vMXxHZFNpYNeKFtG8_yji4HS352LGlSQ/edit?pli=1#gid=0"",""1_ACUM!A4:S""),13,FALSE))"),"")</f>
        <v/>
      </c>
      <c r="AD78" s="43" t="str">
        <f ca="1">IFERROR(__xludf.DUMMYFUNCTION("IFERROR(VLOOKUP(E101&amp;F101,IMPORTRANGE(""https://docs.google.com/spreadsheets/d/1Uw7-A9f9R21vMXxHZFNpYNeKFtG8_yji4HS352LGlSQ/edit?pli=1#gid=0"",""1_ACUM!A4:S""),13,FALSE))"),"")</f>
        <v/>
      </c>
      <c r="AE78" s="43" t="str">
        <f ca="1">IFERROR(__xludf.DUMMYFUNCTION("IFERROR(VLOOKUP(E101&amp;F101,IMPORTRANGE(""https://docs.google.com/spreadsheets/d/1Uw7-A9f9R21vMXxHZFNpYNeKFtG8_yji4HS352LGlSQ/edit?pli=1#gid=0"",""1_ACUM!A4:S""),14,FALSE))"),"")</f>
        <v/>
      </c>
      <c r="AF78" s="43" t="str">
        <f ca="1">IFERROR(__xludf.DUMMYFUNCTION("IFERROR(VLOOKUP(E101&amp;F101,IMPORTRANGE(""https://docs.google.com/spreadsheets/d/1Uw7-A9f9R21vMXxHZFNpYNeKFtG8_yji4HS352LGlSQ/edit?pli=1#gid=0"",""1_ACUM!A4:S""),15,FALSE))"),"")</f>
        <v/>
      </c>
      <c r="AG78" s="43" t="str">
        <f ca="1">IFERROR(__xludf.DUMMYFUNCTION("IFERROR(VLOOKUP(E101&amp;F101,IMPORTRANGE(""https://docs.google.com/spreadsheets/d/1Uw7-A9f9R21vMXxHZFNpYNeKFtG8_yji4HS352LGlSQ/edit?pli=1#gid=0"",""1_ACUM!A4:S""),16,FALSE))"),"")</f>
        <v/>
      </c>
      <c r="AH78" s="43" t="str">
        <f ca="1">IFERROR(__xludf.DUMMYFUNCTION("IFERROR(VLOOKUP(E101&amp;F101,IMPORTRANGE(""https://docs.google.com/spreadsheets/d/1Uw7-A9f9R21vMXxHZFNpYNeKFtG8_yji4HS352LGlSQ/edit?pli=1#gid=0"",""1_ACUM!A4:S""),17,FALSE))"),"")</f>
        <v/>
      </c>
      <c r="AI78" s="44" t="str">
        <f ca="1">IFERROR(__xludf.DUMMYFUNCTION("IFERROR(VLOOKUP(E101&amp;F101,IMPORTRANGE(""https://docs.google.com/spreadsheets/d/1Uw7-A9f9R21vMXxHZFNpYNeKFtG8_yji4HS352LGlSQ/edit?pli=1#gid=0"",""1_ACUM!A4:S""),18,FALSE))"),"")</f>
        <v/>
      </c>
      <c r="AJ78" s="44" t="str">
        <f ca="1">IFERROR(__xludf.DUMMYFUNCTION("IFERROR(VLOOKUP(E101&amp;F101,IMPORTRANGE(""https://docs.google.com/spreadsheets/d/1Uw7-A9f9R21vMXxHZFNpYNeKFtG8_yji4HS352LGlSQ/edit?pli=1#gid=0"",""1_ACUM!A4:S""),19,FALSE))"),"")</f>
        <v/>
      </c>
      <c r="AK78" s="98" t="str">
        <f ca="1">IFERROR(__xludf.DUMMYFUNCTION("IFERROR(VLOOKUP(F101,IMPORTRANGE(""https://docs.google.com/spreadsheets/d/1Kvs4KS76FHFqLFIZfrDMff4kP08nblUkihrxltoGBjg/edit#gid=934712705"",""ESENCIAL!A6:BG""),5,FALSE))"),"")</f>
        <v/>
      </c>
      <c r="AL78" s="98" t="str">
        <f t="shared" si="9"/>
        <v/>
      </c>
      <c r="AM78" s="99" t="str">
        <f t="shared" si="10"/>
        <v/>
      </c>
      <c r="AN78" s="100" t="str">
        <f ca="1">IFERROR(__xludf.DUMMYFUNCTION("IFERROR(VLOOKUP(F101,IMPORTRANGE(""https://docs.google.com/spreadsheets/d/1Kvs4KS76FHFqLFIZfrDMff4kP08nblUkihrxltoGBjg/edit#gid=934712705"",""ESENCIAL!A6:BG""),2,FALSE))"),"")</f>
        <v/>
      </c>
      <c r="AO78" s="19" t="str">
        <f t="shared" si="11"/>
        <v/>
      </c>
      <c r="AP78" s="100"/>
      <c r="AQ78" s="100"/>
    </row>
    <row r="79" spans="1:43" ht="15">
      <c r="A79" s="101"/>
      <c r="B79" s="101"/>
      <c r="G79" s="5" t="str">
        <f ca="1">IFERROR(__xludf.DUMMYFUNCTION("IFERROR(VLOOKUP(F102,IMPORTRANGE(""https://docs.google.com/spreadsheets/d/1Kvs4KS76FHFqLFIZfrDMff4kP08nblUkihrxltoGBjg/edit#gid=934712705"",""ESENCIAL!A6:BG""),3,FALSE))"),"")</f>
        <v/>
      </c>
      <c r="H79" s="5" t="str">
        <f ca="1">IFERROR(__xludf.DUMMYFUNCTION("IFERROR(VLOOKUP(F102,IMPORTRANGE(""https://docs.google.com/spreadsheets/d/1Kvs4KS76FHFqLFIZfrDMff4kP08nblUkihrxltoGBjg/edit#gid=934712705"",""ESENCIAL!A6:BG""),8,FALSE))"),"")</f>
        <v/>
      </c>
      <c r="L79" s="287"/>
      <c r="Z79" s="41" t="str">
        <f t="shared" si="8"/>
        <v/>
      </c>
      <c r="AA79" s="5" t="str">
        <f ca="1">IFERROR(__xludf.DUMMYFUNCTION("IFERROR(VLOOKUP(E102&amp;F102,IMPORTRANGE(""https://docs.google.com/spreadsheets/d/1Uw7-A9f9R21vMXxHZFNpYNeKFtG8_yji4HS352LGlSQ/edit?pli=1#gid=0"",""1_ACUM!A4:S""),11,FALSE))"),"")</f>
        <v/>
      </c>
      <c r="AB79" s="42" t="str">
        <f ca="1">IFERROR(__xludf.DUMMYFUNCTION("IFERROR(VLOOKUP(F102,IMPORTRANGE(""https://docs.google.com/spreadsheets/d/1Kvs4KS76FHFqLFIZfrDMff4kP08nblUkihrxltoGBjg/edit#gid=934712705"",""ESENCIAL!A6:BG""),15,FALSE))"),"")</f>
        <v/>
      </c>
      <c r="AC79" s="110" t="str">
        <f ca="1">IFERROR(__xludf.DUMMYFUNCTION("IFERROR(VLOOKUP(E102&amp;F102,IMPORTRANGE(""https://docs.google.com/spreadsheets/d/1Uw7-A9f9R21vMXxHZFNpYNeKFtG8_yji4HS352LGlSQ/edit?pli=1#gid=0"",""1_ACUM!A4:S""),13,FALSE))"),"")</f>
        <v/>
      </c>
      <c r="AD79" s="43" t="str">
        <f ca="1">IFERROR(__xludf.DUMMYFUNCTION("IFERROR(VLOOKUP(E102&amp;F102,IMPORTRANGE(""https://docs.google.com/spreadsheets/d/1Uw7-A9f9R21vMXxHZFNpYNeKFtG8_yji4HS352LGlSQ/edit?pli=1#gid=0"",""1_ACUM!A4:S""),13,FALSE))"),"")</f>
        <v/>
      </c>
      <c r="AE79" s="43" t="str">
        <f ca="1">IFERROR(__xludf.DUMMYFUNCTION("IFERROR(VLOOKUP(E102&amp;F102,IMPORTRANGE(""https://docs.google.com/spreadsheets/d/1Uw7-A9f9R21vMXxHZFNpYNeKFtG8_yji4HS352LGlSQ/edit?pli=1#gid=0"",""1_ACUM!A4:S""),14,FALSE))"),"")</f>
        <v/>
      </c>
      <c r="AF79" s="43" t="str">
        <f ca="1">IFERROR(__xludf.DUMMYFUNCTION("IFERROR(VLOOKUP(E102&amp;F102,IMPORTRANGE(""https://docs.google.com/spreadsheets/d/1Uw7-A9f9R21vMXxHZFNpYNeKFtG8_yji4HS352LGlSQ/edit?pli=1#gid=0"",""1_ACUM!A4:S""),15,FALSE))"),"")</f>
        <v/>
      </c>
      <c r="AG79" s="43" t="str">
        <f ca="1">IFERROR(__xludf.DUMMYFUNCTION("IFERROR(VLOOKUP(E102&amp;F102,IMPORTRANGE(""https://docs.google.com/spreadsheets/d/1Uw7-A9f9R21vMXxHZFNpYNeKFtG8_yji4HS352LGlSQ/edit?pli=1#gid=0"",""1_ACUM!A4:S""),16,FALSE))"),"")</f>
        <v/>
      </c>
      <c r="AH79" s="43" t="str">
        <f ca="1">IFERROR(__xludf.DUMMYFUNCTION("IFERROR(VLOOKUP(E102&amp;F102,IMPORTRANGE(""https://docs.google.com/spreadsheets/d/1Uw7-A9f9R21vMXxHZFNpYNeKFtG8_yji4HS352LGlSQ/edit?pli=1#gid=0"",""1_ACUM!A4:S""),17,FALSE))"),"")</f>
        <v/>
      </c>
      <c r="AI79" s="44" t="str">
        <f ca="1">IFERROR(__xludf.DUMMYFUNCTION("IFERROR(VLOOKUP(E102&amp;F102,IMPORTRANGE(""https://docs.google.com/spreadsheets/d/1Uw7-A9f9R21vMXxHZFNpYNeKFtG8_yji4HS352LGlSQ/edit?pli=1#gid=0"",""1_ACUM!A4:S""),18,FALSE))"),"")</f>
        <v/>
      </c>
      <c r="AJ79" s="44" t="str">
        <f ca="1">IFERROR(__xludf.DUMMYFUNCTION("IFERROR(VLOOKUP(E102&amp;F102,IMPORTRANGE(""https://docs.google.com/spreadsheets/d/1Uw7-A9f9R21vMXxHZFNpYNeKFtG8_yji4HS352LGlSQ/edit?pli=1#gid=0"",""1_ACUM!A4:S""),19,FALSE))"),"")</f>
        <v/>
      </c>
      <c r="AK79" s="98" t="str">
        <f ca="1">IFERROR(__xludf.DUMMYFUNCTION("IFERROR(VLOOKUP(F102,IMPORTRANGE(""https://docs.google.com/spreadsheets/d/1Kvs4KS76FHFqLFIZfrDMff4kP08nblUkihrxltoGBjg/edit#gid=934712705"",""ESENCIAL!A6:BG""),5,FALSE))"),"")</f>
        <v/>
      </c>
      <c r="AL79" s="98" t="str">
        <f t="shared" si="9"/>
        <v/>
      </c>
      <c r="AM79" s="99" t="str">
        <f t="shared" si="10"/>
        <v/>
      </c>
      <c r="AN79" s="100" t="str">
        <f ca="1">IFERROR(__xludf.DUMMYFUNCTION("IFERROR(VLOOKUP(F102,IMPORTRANGE(""https://docs.google.com/spreadsheets/d/1Kvs4KS76FHFqLFIZfrDMff4kP08nblUkihrxltoGBjg/edit#gid=934712705"",""ESENCIAL!A6:BG""),2,FALSE))"),"")</f>
        <v/>
      </c>
      <c r="AO79" s="19" t="str">
        <f t="shared" si="11"/>
        <v/>
      </c>
      <c r="AP79" s="100"/>
      <c r="AQ79" s="100"/>
    </row>
    <row r="80" spans="1:43" ht="15">
      <c r="A80" s="101"/>
      <c r="B80" s="101"/>
      <c r="G80" s="5" t="str">
        <f ca="1">IFERROR(__xludf.DUMMYFUNCTION("IFERROR(VLOOKUP(F103,IMPORTRANGE(""https://docs.google.com/spreadsheets/d/1Kvs4KS76FHFqLFIZfrDMff4kP08nblUkihrxltoGBjg/edit#gid=934712705"",""ESENCIAL!A6:BG""),3,FALSE))"),"")</f>
        <v/>
      </c>
      <c r="H80" s="5" t="str">
        <f ca="1">IFERROR(__xludf.DUMMYFUNCTION("IFERROR(VLOOKUP(F103,IMPORTRANGE(""https://docs.google.com/spreadsheets/d/1Kvs4KS76FHFqLFIZfrDMff4kP08nblUkihrxltoGBjg/edit#gid=934712705"",""ESENCIAL!A6:BG""),8,FALSE))"),"")</f>
        <v/>
      </c>
      <c r="L80" s="287"/>
      <c r="Z80" s="41" t="str">
        <f t="shared" si="8"/>
        <v/>
      </c>
      <c r="AA80" s="5" t="str">
        <f ca="1">IFERROR(__xludf.DUMMYFUNCTION("IFERROR(VLOOKUP(E103&amp;F103,IMPORTRANGE(""https://docs.google.com/spreadsheets/d/1Uw7-A9f9R21vMXxHZFNpYNeKFtG8_yji4HS352LGlSQ/edit?pli=1#gid=0"",""1_ACUM!A4:S""),11,FALSE))"),"")</f>
        <v/>
      </c>
      <c r="AB80" s="42" t="str">
        <f ca="1">IFERROR(__xludf.DUMMYFUNCTION("IFERROR(VLOOKUP(F103,IMPORTRANGE(""https://docs.google.com/spreadsheets/d/1Kvs4KS76FHFqLFIZfrDMff4kP08nblUkihrxltoGBjg/edit#gid=934712705"",""ESENCIAL!A6:BG""),15,FALSE))"),"")</f>
        <v/>
      </c>
      <c r="AC80" s="110" t="str">
        <f ca="1">IFERROR(__xludf.DUMMYFUNCTION("IFERROR(VLOOKUP(E103&amp;F103,IMPORTRANGE(""https://docs.google.com/spreadsheets/d/1Uw7-A9f9R21vMXxHZFNpYNeKFtG8_yji4HS352LGlSQ/edit?pli=1#gid=0"",""1_ACUM!A4:S""),13,FALSE))"),"")</f>
        <v/>
      </c>
      <c r="AD80" s="43" t="str">
        <f ca="1">IFERROR(__xludf.DUMMYFUNCTION("IFERROR(VLOOKUP(E103&amp;F103,IMPORTRANGE(""https://docs.google.com/spreadsheets/d/1Uw7-A9f9R21vMXxHZFNpYNeKFtG8_yji4HS352LGlSQ/edit?pli=1#gid=0"",""1_ACUM!A4:S""),13,FALSE))"),"")</f>
        <v/>
      </c>
      <c r="AE80" s="43" t="str">
        <f ca="1">IFERROR(__xludf.DUMMYFUNCTION("IFERROR(VLOOKUP(E103&amp;F103,IMPORTRANGE(""https://docs.google.com/spreadsheets/d/1Uw7-A9f9R21vMXxHZFNpYNeKFtG8_yji4HS352LGlSQ/edit?pli=1#gid=0"",""1_ACUM!A4:S""),14,FALSE))"),"")</f>
        <v/>
      </c>
      <c r="AF80" s="43" t="str">
        <f ca="1">IFERROR(__xludf.DUMMYFUNCTION("IFERROR(VLOOKUP(E103&amp;F103,IMPORTRANGE(""https://docs.google.com/spreadsheets/d/1Uw7-A9f9R21vMXxHZFNpYNeKFtG8_yji4HS352LGlSQ/edit?pli=1#gid=0"",""1_ACUM!A4:S""),15,FALSE))"),"")</f>
        <v/>
      </c>
      <c r="AG80" s="43" t="str">
        <f ca="1">IFERROR(__xludf.DUMMYFUNCTION("IFERROR(VLOOKUP(E103&amp;F103,IMPORTRANGE(""https://docs.google.com/spreadsheets/d/1Uw7-A9f9R21vMXxHZFNpYNeKFtG8_yji4HS352LGlSQ/edit?pli=1#gid=0"",""1_ACUM!A4:S""),16,FALSE))"),"")</f>
        <v/>
      </c>
      <c r="AH80" s="43" t="str">
        <f ca="1">IFERROR(__xludf.DUMMYFUNCTION("IFERROR(VLOOKUP(E103&amp;F103,IMPORTRANGE(""https://docs.google.com/spreadsheets/d/1Uw7-A9f9R21vMXxHZFNpYNeKFtG8_yji4HS352LGlSQ/edit?pli=1#gid=0"",""1_ACUM!A4:S""),17,FALSE))"),"")</f>
        <v/>
      </c>
      <c r="AI80" s="44" t="str">
        <f ca="1">IFERROR(__xludf.DUMMYFUNCTION("IFERROR(VLOOKUP(E103&amp;F103,IMPORTRANGE(""https://docs.google.com/spreadsheets/d/1Uw7-A9f9R21vMXxHZFNpYNeKFtG8_yji4HS352LGlSQ/edit?pli=1#gid=0"",""1_ACUM!A4:S""),18,FALSE))"),"")</f>
        <v/>
      </c>
      <c r="AJ80" s="44" t="str">
        <f ca="1">IFERROR(__xludf.DUMMYFUNCTION("IFERROR(VLOOKUP(E103&amp;F103,IMPORTRANGE(""https://docs.google.com/spreadsheets/d/1Uw7-A9f9R21vMXxHZFNpYNeKFtG8_yji4HS352LGlSQ/edit?pli=1#gid=0"",""1_ACUM!A4:S""),19,FALSE))"),"")</f>
        <v/>
      </c>
      <c r="AK80" s="98" t="str">
        <f ca="1">IFERROR(__xludf.DUMMYFUNCTION("IFERROR(VLOOKUP(F103,IMPORTRANGE(""https://docs.google.com/spreadsheets/d/1Kvs4KS76FHFqLFIZfrDMff4kP08nblUkihrxltoGBjg/edit#gid=934712705"",""ESENCIAL!A6:BG""),5,FALSE))"),"")</f>
        <v/>
      </c>
      <c r="AL80" s="98" t="str">
        <f t="shared" si="9"/>
        <v/>
      </c>
      <c r="AM80" s="99" t="str">
        <f t="shared" si="10"/>
        <v/>
      </c>
      <c r="AN80" s="100" t="str">
        <f ca="1">IFERROR(__xludf.DUMMYFUNCTION("IFERROR(VLOOKUP(F103,IMPORTRANGE(""https://docs.google.com/spreadsheets/d/1Kvs4KS76FHFqLFIZfrDMff4kP08nblUkihrxltoGBjg/edit#gid=934712705"",""ESENCIAL!A6:BG""),2,FALSE))"),"")</f>
        <v/>
      </c>
      <c r="AO80" s="19" t="str">
        <f t="shared" si="11"/>
        <v/>
      </c>
      <c r="AP80" s="100"/>
      <c r="AQ80" s="100"/>
    </row>
    <row r="81" spans="1:43" ht="15">
      <c r="A81" s="101"/>
      <c r="B81" s="101"/>
      <c r="G81" s="5" t="str">
        <f ca="1">IFERROR(__xludf.DUMMYFUNCTION("IFERROR(VLOOKUP(F104,IMPORTRANGE(""https://docs.google.com/spreadsheets/d/1Kvs4KS76FHFqLFIZfrDMff4kP08nblUkihrxltoGBjg/edit#gid=934712705"",""ESENCIAL!A6:BG""),3,FALSE))"),"")</f>
        <v/>
      </c>
      <c r="H81" s="5" t="str">
        <f ca="1">IFERROR(__xludf.DUMMYFUNCTION("IFERROR(VLOOKUP(F104,IMPORTRANGE(""https://docs.google.com/spreadsheets/d/1Kvs4KS76FHFqLFIZfrDMff4kP08nblUkihrxltoGBjg/edit#gid=934712705"",""ESENCIAL!A6:BG""),8,FALSE))"),"")</f>
        <v/>
      </c>
      <c r="L81" s="287"/>
      <c r="Z81" s="41" t="str">
        <f t="shared" si="8"/>
        <v/>
      </c>
      <c r="AA81" s="5" t="str">
        <f ca="1">IFERROR(__xludf.DUMMYFUNCTION("IFERROR(VLOOKUP(E104&amp;F104,IMPORTRANGE(""https://docs.google.com/spreadsheets/d/1Uw7-A9f9R21vMXxHZFNpYNeKFtG8_yji4HS352LGlSQ/edit?pli=1#gid=0"",""1_ACUM!A4:S""),11,FALSE))"),"")</f>
        <v/>
      </c>
      <c r="AB81" s="42" t="str">
        <f ca="1">IFERROR(__xludf.DUMMYFUNCTION("IFERROR(VLOOKUP(F104,IMPORTRANGE(""https://docs.google.com/spreadsheets/d/1Kvs4KS76FHFqLFIZfrDMff4kP08nblUkihrxltoGBjg/edit#gid=934712705"",""ESENCIAL!A6:BG""),15,FALSE))"),"")</f>
        <v/>
      </c>
      <c r="AC81" s="110" t="str">
        <f ca="1">IFERROR(__xludf.DUMMYFUNCTION("IFERROR(VLOOKUP(E104&amp;F104,IMPORTRANGE(""https://docs.google.com/spreadsheets/d/1Uw7-A9f9R21vMXxHZFNpYNeKFtG8_yji4HS352LGlSQ/edit?pli=1#gid=0"",""1_ACUM!A4:S""),13,FALSE))"),"")</f>
        <v/>
      </c>
      <c r="AD81" s="43" t="str">
        <f ca="1">IFERROR(__xludf.DUMMYFUNCTION("IFERROR(VLOOKUP(E104&amp;F104,IMPORTRANGE(""https://docs.google.com/spreadsheets/d/1Uw7-A9f9R21vMXxHZFNpYNeKFtG8_yji4HS352LGlSQ/edit?pli=1#gid=0"",""1_ACUM!A4:S""),13,FALSE))"),"")</f>
        <v/>
      </c>
      <c r="AE81" s="43" t="str">
        <f ca="1">IFERROR(__xludf.DUMMYFUNCTION("IFERROR(VLOOKUP(E104&amp;F104,IMPORTRANGE(""https://docs.google.com/spreadsheets/d/1Uw7-A9f9R21vMXxHZFNpYNeKFtG8_yji4HS352LGlSQ/edit?pli=1#gid=0"",""1_ACUM!A4:S""),14,FALSE))"),"")</f>
        <v/>
      </c>
      <c r="AF81" s="43" t="str">
        <f ca="1">IFERROR(__xludf.DUMMYFUNCTION("IFERROR(VLOOKUP(E104&amp;F104,IMPORTRANGE(""https://docs.google.com/spreadsheets/d/1Uw7-A9f9R21vMXxHZFNpYNeKFtG8_yji4HS352LGlSQ/edit?pli=1#gid=0"",""1_ACUM!A4:S""),15,FALSE))"),"")</f>
        <v/>
      </c>
      <c r="AG81" s="43" t="str">
        <f ca="1">IFERROR(__xludf.DUMMYFUNCTION("IFERROR(VLOOKUP(E104&amp;F104,IMPORTRANGE(""https://docs.google.com/spreadsheets/d/1Uw7-A9f9R21vMXxHZFNpYNeKFtG8_yji4HS352LGlSQ/edit?pli=1#gid=0"",""1_ACUM!A4:S""),16,FALSE))"),"")</f>
        <v/>
      </c>
      <c r="AH81" s="43" t="str">
        <f ca="1">IFERROR(__xludf.DUMMYFUNCTION("IFERROR(VLOOKUP(E104&amp;F104,IMPORTRANGE(""https://docs.google.com/spreadsheets/d/1Uw7-A9f9R21vMXxHZFNpYNeKFtG8_yji4HS352LGlSQ/edit?pli=1#gid=0"",""1_ACUM!A4:S""),17,FALSE))"),"")</f>
        <v/>
      </c>
      <c r="AI81" s="44" t="str">
        <f ca="1">IFERROR(__xludf.DUMMYFUNCTION("IFERROR(VLOOKUP(E104&amp;F104,IMPORTRANGE(""https://docs.google.com/spreadsheets/d/1Uw7-A9f9R21vMXxHZFNpYNeKFtG8_yji4HS352LGlSQ/edit?pli=1#gid=0"",""1_ACUM!A4:S""),18,FALSE))"),"")</f>
        <v/>
      </c>
      <c r="AJ81" s="44" t="str">
        <f ca="1">IFERROR(__xludf.DUMMYFUNCTION("IFERROR(VLOOKUP(E104&amp;F104,IMPORTRANGE(""https://docs.google.com/spreadsheets/d/1Uw7-A9f9R21vMXxHZFNpYNeKFtG8_yji4HS352LGlSQ/edit?pli=1#gid=0"",""1_ACUM!A4:S""),19,FALSE))"),"")</f>
        <v/>
      </c>
      <c r="AK81" s="98" t="str">
        <f ca="1">IFERROR(__xludf.DUMMYFUNCTION("IFERROR(VLOOKUP(F104,IMPORTRANGE(""https://docs.google.com/spreadsheets/d/1Kvs4KS76FHFqLFIZfrDMff4kP08nblUkihrxltoGBjg/edit#gid=934712705"",""ESENCIAL!A6:BG""),5,FALSE))"),"")</f>
        <v/>
      </c>
      <c r="AL81" s="98" t="str">
        <f t="shared" si="9"/>
        <v/>
      </c>
      <c r="AM81" s="99" t="str">
        <f t="shared" si="10"/>
        <v/>
      </c>
      <c r="AN81" s="100" t="str">
        <f ca="1">IFERROR(__xludf.DUMMYFUNCTION("IFERROR(VLOOKUP(F104,IMPORTRANGE(""https://docs.google.com/spreadsheets/d/1Kvs4KS76FHFqLFIZfrDMff4kP08nblUkihrxltoGBjg/edit#gid=934712705"",""ESENCIAL!A6:BG""),2,FALSE))"),"")</f>
        <v/>
      </c>
      <c r="AO81" s="19" t="str">
        <f t="shared" si="11"/>
        <v/>
      </c>
      <c r="AP81" s="100"/>
      <c r="AQ81" s="100"/>
    </row>
    <row r="82" spans="1:43" ht="15">
      <c r="A82" s="101"/>
      <c r="B82" s="101"/>
      <c r="G82" s="5" t="str">
        <f ca="1">IFERROR(__xludf.DUMMYFUNCTION("IFERROR(VLOOKUP(F105,IMPORTRANGE(""https://docs.google.com/spreadsheets/d/1Kvs4KS76FHFqLFIZfrDMff4kP08nblUkihrxltoGBjg/edit#gid=934712705"",""ESENCIAL!A6:BG""),3,FALSE))"),"")</f>
        <v/>
      </c>
      <c r="H82" s="5" t="str">
        <f ca="1">IFERROR(__xludf.DUMMYFUNCTION("IFERROR(VLOOKUP(F105,IMPORTRANGE(""https://docs.google.com/spreadsheets/d/1Kvs4KS76FHFqLFIZfrDMff4kP08nblUkihrxltoGBjg/edit#gid=934712705"",""ESENCIAL!A6:BG""),8,FALSE))"),"")</f>
        <v/>
      </c>
      <c r="L82" s="287"/>
      <c r="Z82" s="41" t="str">
        <f t="shared" si="8"/>
        <v/>
      </c>
      <c r="AA82" s="5" t="str">
        <f ca="1">IFERROR(__xludf.DUMMYFUNCTION("IFERROR(VLOOKUP(E105&amp;F105,IMPORTRANGE(""https://docs.google.com/spreadsheets/d/1Uw7-A9f9R21vMXxHZFNpYNeKFtG8_yji4HS352LGlSQ/edit?pli=1#gid=0"",""1_ACUM!A4:S""),11,FALSE))"),"")</f>
        <v/>
      </c>
      <c r="AB82" s="42" t="str">
        <f ca="1">IFERROR(__xludf.DUMMYFUNCTION("IFERROR(VLOOKUP(F105,IMPORTRANGE(""https://docs.google.com/spreadsheets/d/1Kvs4KS76FHFqLFIZfrDMff4kP08nblUkihrxltoGBjg/edit#gid=934712705"",""ESENCIAL!A6:BG""),15,FALSE))"),"")</f>
        <v/>
      </c>
      <c r="AC82" s="110" t="str">
        <f ca="1">IFERROR(__xludf.DUMMYFUNCTION("IFERROR(VLOOKUP(E105&amp;F105,IMPORTRANGE(""https://docs.google.com/spreadsheets/d/1Uw7-A9f9R21vMXxHZFNpYNeKFtG8_yji4HS352LGlSQ/edit?pli=1#gid=0"",""1_ACUM!A4:S""),13,FALSE))"),"")</f>
        <v/>
      </c>
      <c r="AD82" s="43" t="str">
        <f ca="1">IFERROR(__xludf.DUMMYFUNCTION("IFERROR(VLOOKUP(E105&amp;F105,IMPORTRANGE(""https://docs.google.com/spreadsheets/d/1Uw7-A9f9R21vMXxHZFNpYNeKFtG8_yji4HS352LGlSQ/edit?pli=1#gid=0"",""1_ACUM!A4:S""),13,FALSE))"),"")</f>
        <v/>
      </c>
      <c r="AE82" s="43" t="str">
        <f ca="1">IFERROR(__xludf.DUMMYFUNCTION("IFERROR(VLOOKUP(E105&amp;F105,IMPORTRANGE(""https://docs.google.com/spreadsheets/d/1Uw7-A9f9R21vMXxHZFNpYNeKFtG8_yji4HS352LGlSQ/edit?pli=1#gid=0"",""1_ACUM!A4:S""),14,FALSE))"),"")</f>
        <v/>
      </c>
      <c r="AF82" s="43" t="str">
        <f ca="1">IFERROR(__xludf.DUMMYFUNCTION("IFERROR(VLOOKUP(E105&amp;F105,IMPORTRANGE(""https://docs.google.com/spreadsheets/d/1Uw7-A9f9R21vMXxHZFNpYNeKFtG8_yji4HS352LGlSQ/edit?pli=1#gid=0"",""1_ACUM!A4:S""),15,FALSE))"),"")</f>
        <v/>
      </c>
      <c r="AG82" s="43" t="str">
        <f ca="1">IFERROR(__xludf.DUMMYFUNCTION("IFERROR(VLOOKUP(E105&amp;F105,IMPORTRANGE(""https://docs.google.com/spreadsheets/d/1Uw7-A9f9R21vMXxHZFNpYNeKFtG8_yji4HS352LGlSQ/edit?pli=1#gid=0"",""1_ACUM!A4:S""),16,FALSE))"),"")</f>
        <v/>
      </c>
      <c r="AH82" s="43" t="str">
        <f ca="1">IFERROR(__xludf.DUMMYFUNCTION("IFERROR(VLOOKUP(E105&amp;F105,IMPORTRANGE(""https://docs.google.com/spreadsheets/d/1Uw7-A9f9R21vMXxHZFNpYNeKFtG8_yji4HS352LGlSQ/edit?pli=1#gid=0"",""1_ACUM!A4:S""),17,FALSE))"),"")</f>
        <v/>
      </c>
      <c r="AI82" s="44" t="str">
        <f ca="1">IFERROR(__xludf.DUMMYFUNCTION("IFERROR(VLOOKUP(E105&amp;F105,IMPORTRANGE(""https://docs.google.com/spreadsheets/d/1Uw7-A9f9R21vMXxHZFNpYNeKFtG8_yji4HS352LGlSQ/edit?pli=1#gid=0"",""1_ACUM!A4:S""),18,FALSE))"),"")</f>
        <v/>
      </c>
      <c r="AJ82" s="44" t="str">
        <f ca="1">IFERROR(__xludf.DUMMYFUNCTION("IFERROR(VLOOKUP(E105&amp;F105,IMPORTRANGE(""https://docs.google.com/spreadsheets/d/1Uw7-A9f9R21vMXxHZFNpYNeKFtG8_yji4HS352LGlSQ/edit?pli=1#gid=0"",""1_ACUM!A4:S""),19,FALSE))"),"")</f>
        <v/>
      </c>
      <c r="AK82" s="98" t="str">
        <f ca="1">IFERROR(__xludf.DUMMYFUNCTION("IFERROR(VLOOKUP(F105,IMPORTRANGE(""https://docs.google.com/spreadsheets/d/1Kvs4KS76FHFqLFIZfrDMff4kP08nblUkihrxltoGBjg/edit#gid=934712705"",""ESENCIAL!A6:BG""),5,FALSE))"),"")</f>
        <v/>
      </c>
      <c r="AL82" s="98" t="str">
        <f t="shared" si="9"/>
        <v/>
      </c>
      <c r="AM82" s="99" t="str">
        <f t="shared" si="10"/>
        <v/>
      </c>
      <c r="AN82" s="100" t="str">
        <f ca="1">IFERROR(__xludf.DUMMYFUNCTION("IFERROR(VLOOKUP(F105,IMPORTRANGE(""https://docs.google.com/spreadsheets/d/1Kvs4KS76FHFqLFIZfrDMff4kP08nblUkihrxltoGBjg/edit#gid=934712705"",""ESENCIAL!A6:BG""),2,FALSE))"),"")</f>
        <v/>
      </c>
      <c r="AO82" s="19" t="str">
        <f t="shared" si="11"/>
        <v/>
      </c>
      <c r="AP82" s="100"/>
      <c r="AQ82" s="100"/>
    </row>
    <row r="83" spans="1:43" ht="15">
      <c r="A83" s="101"/>
      <c r="B83" s="101"/>
      <c r="G83" s="5" t="str">
        <f ca="1">IFERROR(__xludf.DUMMYFUNCTION("IFERROR(VLOOKUP(F106,IMPORTRANGE(""https://docs.google.com/spreadsheets/d/1Kvs4KS76FHFqLFIZfrDMff4kP08nblUkihrxltoGBjg/edit#gid=934712705"",""ESENCIAL!A6:BG""),3,FALSE))"),"")</f>
        <v/>
      </c>
      <c r="H83" s="5" t="str">
        <f ca="1">IFERROR(__xludf.DUMMYFUNCTION("IFERROR(VLOOKUP(F106,IMPORTRANGE(""https://docs.google.com/spreadsheets/d/1Kvs4KS76FHFqLFIZfrDMff4kP08nblUkihrxltoGBjg/edit#gid=934712705"",""ESENCIAL!A6:BG""),8,FALSE))"),"")</f>
        <v/>
      </c>
      <c r="L83" s="287"/>
      <c r="Z83" s="41" t="str">
        <f t="shared" si="8"/>
        <v/>
      </c>
      <c r="AA83" s="5" t="str">
        <f ca="1">IFERROR(__xludf.DUMMYFUNCTION("IFERROR(VLOOKUP(E106&amp;F106,IMPORTRANGE(""https://docs.google.com/spreadsheets/d/1Uw7-A9f9R21vMXxHZFNpYNeKFtG8_yji4HS352LGlSQ/edit?pli=1#gid=0"",""1_ACUM!A4:S""),11,FALSE))"),"")</f>
        <v/>
      </c>
      <c r="AB83" s="42" t="str">
        <f ca="1">IFERROR(__xludf.DUMMYFUNCTION("IFERROR(VLOOKUP(F106,IMPORTRANGE(""https://docs.google.com/spreadsheets/d/1Kvs4KS76FHFqLFIZfrDMff4kP08nblUkihrxltoGBjg/edit#gid=934712705"",""ESENCIAL!A6:BG""),15,FALSE))"),"")</f>
        <v/>
      </c>
      <c r="AC83" s="110" t="str">
        <f ca="1">IFERROR(__xludf.DUMMYFUNCTION("IFERROR(VLOOKUP(E106&amp;F106,IMPORTRANGE(""https://docs.google.com/spreadsheets/d/1Uw7-A9f9R21vMXxHZFNpYNeKFtG8_yji4HS352LGlSQ/edit?pli=1#gid=0"",""1_ACUM!A4:S""),13,FALSE))"),"")</f>
        <v/>
      </c>
      <c r="AD83" s="43" t="str">
        <f ca="1">IFERROR(__xludf.DUMMYFUNCTION("IFERROR(VLOOKUP(E106&amp;F106,IMPORTRANGE(""https://docs.google.com/spreadsheets/d/1Uw7-A9f9R21vMXxHZFNpYNeKFtG8_yji4HS352LGlSQ/edit?pli=1#gid=0"",""1_ACUM!A4:S""),13,FALSE))"),"")</f>
        <v/>
      </c>
      <c r="AE83" s="43" t="str">
        <f ca="1">IFERROR(__xludf.DUMMYFUNCTION("IFERROR(VLOOKUP(E106&amp;F106,IMPORTRANGE(""https://docs.google.com/spreadsheets/d/1Uw7-A9f9R21vMXxHZFNpYNeKFtG8_yji4HS352LGlSQ/edit?pli=1#gid=0"",""1_ACUM!A4:S""),14,FALSE))"),"")</f>
        <v/>
      </c>
      <c r="AF83" s="43" t="str">
        <f ca="1">IFERROR(__xludf.DUMMYFUNCTION("IFERROR(VLOOKUP(E106&amp;F106,IMPORTRANGE(""https://docs.google.com/spreadsheets/d/1Uw7-A9f9R21vMXxHZFNpYNeKFtG8_yji4HS352LGlSQ/edit?pli=1#gid=0"",""1_ACUM!A4:S""),15,FALSE))"),"")</f>
        <v/>
      </c>
      <c r="AG83" s="43" t="str">
        <f ca="1">IFERROR(__xludf.DUMMYFUNCTION("IFERROR(VLOOKUP(E106&amp;F106,IMPORTRANGE(""https://docs.google.com/spreadsheets/d/1Uw7-A9f9R21vMXxHZFNpYNeKFtG8_yji4HS352LGlSQ/edit?pli=1#gid=0"",""1_ACUM!A4:S""),16,FALSE))"),"")</f>
        <v/>
      </c>
      <c r="AH83" s="43" t="str">
        <f ca="1">IFERROR(__xludf.DUMMYFUNCTION("IFERROR(VLOOKUP(E106&amp;F106,IMPORTRANGE(""https://docs.google.com/spreadsheets/d/1Uw7-A9f9R21vMXxHZFNpYNeKFtG8_yji4HS352LGlSQ/edit?pli=1#gid=0"",""1_ACUM!A4:S""),17,FALSE))"),"")</f>
        <v/>
      </c>
      <c r="AI83" s="44" t="str">
        <f ca="1">IFERROR(__xludf.DUMMYFUNCTION("IFERROR(VLOOKUP(E106&amp;F106,IMPORTRANGE(""https://docs.google.com/spreadsheets/d/1Uw7-A9f9R21vMXxHZFNpYNeKFtG8_yji4HS352LGlSQ/edit?pli=1#gid=0"",""1_ACUM!A4:S""),18,FALSE))"),"")</f>
        <v/>
      </c>
      <c r="AJ83" s="44" t="str">
        <f ca="1">IFERROR(__xludf.DUMMYFUNCTION("IFERROR(VLOOKUP(E106&amp;F106,IMPORTRANGE(""https://docs.google.com/spreadsheets/d/1Uw7-A9f9R21vMXxHZFNpYNeKFtG8_yji4HS352LGlSQ/edit?pli=1#gid=0"",""1_ACUM!A4:S""),19,FALSE))"),"")</f>
        <v/>
      </c>
      <c r="AK83" s="98" t="str">
        <f ca="1">IFERROR(__xludf.DUMMYFUNCTION("IFERROR(VLOOKUP(F106,IMPORTRANGE(""https://docs.google.com/spreadsheets/d/1Kvs4KS76FHFqLFIZfrDMff4kP08nblUkihrxltoGBjg/edit#gid=934712705"",""ESENCIAL!A6:BG""),5,FALSE))"),"")</f>
        <v/>
      </c>
      <c r="AL83" s="98" t="str">
        <f t="shared" si="9"/>
        <v/>
      </c>
      <c r="AM83" s="99" t="str">
        <f t="shared" si="10"/>
        <v/>
      </c>
      <c r="AN83" s="100" t="str">
        <f ca="1">IFERROR(__xludf.DUMMYFUNCTION("IFERROR(VLOOKUP(F106,IMPORTRANGE(""https://docs.google.com/spreadsheets/d/1Kvs4KS76FHFqLFIZfrDMff4kP08nblUkihrxltoGBjg/edit#gid=934712705"",""ESENCIAL!A6:BG""),2,FALSE))"),"")</f>
        <v/>
      </c>
      <c r="AO83" s="19" t="str">
        <f t="shared" si="11"/>
        <v/>
      </c>
      <c r="AP83" s="100"/>
      <c r="AQ83" s="100"/>
    </row>
    <row r="84" spans="1:43" ht="15">
      <c r="A84" s="101"/>
      <c r="B84" s="101"/>
      <c r="G84" s="5" t="str">
        <f ca="1">IFERROR(__xludf.DUMMYFUNCTION("IFERROR(VLOOKUP(F107,IMPORTRANGE(""https://docs.google.com/spreadsheets/d/1Kvs4KS76FHFqLFIZfrDMff4kP08nblUkihrxltoGBjg/edit#gid=934712705"",""ESENCIAL!A6:BG""),3,FALSE))"),"")</f>
        <v/>
      </c>
      <c r="H84" s="5" t="str">
        <f ca="1">IFERROR(__xludf.DUMMYFUNCTION("IFERROR(VLOOKUP(F107,IMPORTRANGE(""https://docs.google.com/spreadsheets/d/1Kvs4KS76FHFqLFIZfrDMff4kP08nblUkihrxltoGBjg/edit#gid=934712705"",""ESENCIAL!A6:BG""),8,FALSE))"),"")</f>
        <v/>
      </c>
      <c r="L84" s="287"/>
      <c r="Z84" s="41" t="str">
        <f t="shared" si="8"/>
        <v/>
      </c>
      <c r="AA84" s="5" t="str">
        <f ca="1">IFERROR(__xludf.DUMMYFUNCTION("IFERROR(VLOOKUP(E107&amp;F107,IMPORTRANGE(""https://docs.google.com/spreadsheets/d/1Uw7-A9f9R21vMXxHZFNpYNeKFtG8_yji4HS352LGlSQ/edit?pli=1#gid=0"",""1_ACUM!A4:S""),11,FALSE))"),"")</f>
        <v/>
      </c>
      <c r="AB84" s="42" t="str">
        <f ca="1">IFERROR(__xludf.DUMMYFUNCTION("IFERROR(VLOOKUP(F107,IMPORTRANGE(""https://docs.google.com/spreadsheets/d/1Kvs4KS76FHFqLFIZfrDMff4kP08nblUkihrxltoGBjg/edit#gid=934712705"",""ESENCIAL!A6:BG""),15,FALSE))"),"")</f>
        <v/>
      </c>
      <c r="AC84" s="110" t="str">
        <f ca="1">IFERROR(__xludf.DUMMYFUNCTION("IFERROR(VLOOKUP(E107&amp;F107,IMPORTRANGE(""https://docs.google.com/spreadsheets/d/1Uw7-A9f9R21vMXxHZFNpYNeKFtG8_yji4HS352LGlSQ/edit?pli=1#gid=0"",""1_ACUM!A4:S""),13,FALSE))"),"")</f>
        <v/>
      </c>
      <c r="AD84" s="43" t="str">
        <f ca="1">IFERROR(__xludf.DUMMYFUNCTION("IFERROR(VLOOKUP(E107&amp;F107,IMPORTRANGE(""https://docs.google.com/spreadsheets/d/1Uw7-A9f9R21vMXxHZFNpYNeKFtG8_yji4HS352LGlSQ/edit?pli=1#gid=0"",""1_ACUM!A4:S""),13,FALSE))"),"")</f>
        <v/>
      </c>
      <c r="AE84" s="43" t="str">
        <f ca="1">IFERROR(__xludf.DUMMYFUNCTION("IFERROR(VLOOKUP(E107&amp;F107,IMPORTRANGE(""https://docs.google.com/spreadsheets/d/1Uw7-A9f9R21vMXxHZFNpYNeKFtG8_yji4HS352LGlSQ/edit?pli=1#gid=0"",""1_ACUM!A4:S""),14,FALSE))"),"")</f>
        <v/>
      </c>
      <c r="AF84" s="43" t="str">
        <f ca="1">IFERROR(__xludf.DUMMYFUNCTION("IFERROR(VLOOKUP(E107&amp;F107,IMPORTRANGE(""https://docs.google.com/spreadsheets/d/1Uw7-A9f9R21vMXxHZFNpYNeKFtG8_yji4HS352LGlSQ/edit?pli=1#gid=0"",""1_ACUM!A4:S""),15,FALSE))"),"")</f>
        <v/>
      </c>
      <c r="AG84" s="43" t="str">
        <f ca="1">IFERROR(__xludf.DUMMYFUNCTION("IFERROR(VLOOKUP(E107&amp;F107,IMPORTRANGE(""https://docs.google.com/spreadsheets/d/1Uw7-A9f9R21vMXxHZFNpYNeKFtG8_yji4HS352LGlSQ/edit?pli=1#gid=0"",""1_ACUM!A4:S""),16,FALSE))"),"")</f>
        <v/>
      </c>
      <c r="AH84" s="43" t="str">
        <f ca="1">IFERROR(__xludf.DUMMYFUNCTION("IFERROR(VLOOKUP(E107&amp;F107,IMPORTRANGE(""https://docs.google.com/spreadsheets/d/1Uw7-A9f9R21vMXxHZFNpYNeKFtG8_yji4HS352LGlSQ/edit?pli=1#gid=0"",""1_ACUM!A4:S""),17,FALSE))"),"")</f>
        <v/>
      </c>
      <c r="AI84" s="44" t="str">
        <f ca="1">IFERROR(__xludf.DUMMYFUNCTION("IFERROR(VLOOKUP(E107&amp;F107,IMPORTRANGE(""https://docs.google.com/spreadsheets/d/1Uw7-A9f9R21vMXxHZFNpYNeKFtG8_yji4HS352LGlSQ/edit?pli=1#gid=0"",""1_ACUM!A4:S""),18,FALSE))"),"")</f>
        <v/>
      </c>
      <c r="AJ84" s="44" t="str">
        <f ca="1">IFERROR(__xludf.DUMMYFUNCTION("IFERROR(VLOOKUP(E107&amp;F107,IMPORTRANGE(""https://docs.google.com/spreadsheets/d/1Uw7-A9f9R21vMXxHZFNpYNeKFtG8_yji4HS352LGlSQ/edit?pli=1#gid=0"",""1_ACUM!A4:S""),19,FALSE))"),"")</f>
        <v/>
      </c>
      <c r="AK84" s="98" t="str">
        <f ca="1">IFERROR(__xludf.DUMMYFUNCTION("IFERROR(VLOOKUP(F107,IMPORTRANGE(""https://docs.google.com/spreadsheets/d/1Kvs4KS76FHFqLFIZfrDMff4kP08nblUkihrxltoGBjg/edit#gid=934712705"",""ESENCIAL!A6:BG""),5,FALSE))"),"")</f>
        <v/>
      </c>
      <c r="AL84" s="98" t="str">
        <f t="shared" si="9"/>
        <v/>
      </c>
      <c r="AM84" s="99" t="str">
        <f t="shared" si="10"/>
        <v/>
      </c>
      <c r="AN84" s="100" t="str">
        <f ca="1">IFERROR(__xludf.DUMMYFUNCTION("IFERROR(VLOOKUP(F107,IMPORTRANGE(""https://docs.google.com/spreadsheets/d/1Kvs4KS76FHFqLFIZfrDMff4kP08nblUkihrxltoGBjg/edit#gid=934712705"",""ESENCIAL!A6:BG""),2,FALSE))"),"")</f>
        <v/>
      </c>
      <c r="AO84" s="19" t="str">
        <f t="shared" si="11"/>
        <v/>
      </c>
      <c r="AP84" s="100"/>
      <c r="AQ84" s="100"/>
    </row>
    <row r="85" spans="1:43" ht="15">
      <c r="A85" s="101"/>
      <c r="B85" s="101"/>
      <c r="G85" s="5" t="str">
        <f ca="1">IFERROR(__xludf.DUMMYFUNCTION("IFERROR(VLOOKUP(F108,IMPORTRANGE(""https://docs.google.com/spreadsheets/d/1Kvs4KS76FHFqLFIZfrDMff4kP08nblUkihrxltoGBjg/edit#gid=934712705"",""ESENCIAL!A6:BG""),3,FALSE))"),"")</f>
        <v/>
      </c>
      <c r="H85" s="5" t="str">
        <f ca="1">IFERROR(__xludf.DUMMYFUNCTION("IFERROR(VLOOKUP(F108,IMPORTRANGE(""https://docs.google.com/spreadsheets/d/1Kvs4KS76FHFqLFIZfrDMff4kP08nblUkihrxltoGBjg/edit#gid=934712705"",""ESENCIAL!A6:BG""),8,FALSE))"),"")</f>
        <v/>
      </c>
      <c r="L85" s="287"/>
      <c r="Z85" s="41" t="str">
        <f t="shared" si="8"/>
        <v/>
      </c>
      <c r="AA85" s="5" t="str">
        <f ca="1">IFERROR(__xludf.DUMMYFUNCTION("IFERROR(VLOOKUP(E108&amp;F108,IMPORTRANGE(""https://docs.google.com/spreadsheets/d/1Uw7-A9f9R21vMXxHZFNpYNeKFtG8_yji4HS352LGlSQ/edit?pli=1#gid=0"",""1_ACUM!A4:S""),11,FALSE))"),"")</f>
        <v/>
      </c>
      <c r="AB85" s="42" t="str">
        <f ca="1">IFERROR(__xludf.DUMMYFUNCTION("IFERROR(VLOOKUP(F108,IMPORTRANGE(""https://docs.google.com/spreadsheets/d/1Kvs4KS76FHFqLFIZfrDMff4kP08nblUkihrxltoGBjg/edit#gid=934712705"",""ESENCIAL!A6:BG""),15,FALSE))"),"")</f>
        <v/>
      </c>
      <c r="AC85" s="110" t="str">
        <f ca="1">IFERROR(__xludf.DUMMYFUNCTION("IFERROR(VLOOKUP(E108&amp;F108,IMPORTRANGE(""https://docs.google.com/spreadsheets/d/1Uw7-A9f9R21vMXxHZFNpYNeKFtG8_yji4HS352LGlSQ/edit?pli=1#gid=0"",""1_ACUM!A4:S""),13,FALSE))"),"")</f>
        <v/>
      </c>
      <c r="AD85" s="43" t="str">
        <f ca="1">IFERROR(__xludf.DUMMYFUNCTION("IFERROR(VLOOKUP(E108&amp;F108,IMPORTRANGE(""https://docs.google.com/spreadsheets/d/1Uw7-A9f9R21vMXxHZFNpYNeKFtG8_yji4HS352LGlSQ/edit?pli=1#gid=0"",""1_ACUM!A4:S""),13,FALSE))"),"")</f>
        <v/>
      </c>
      <c r="AE85" s="43" t="str">
        <f ca="1">IFERROR(__xludf.DUMMYFUNCTION("IFERROR(VLOOKUP(E108&amp;F108,IMPORTRANGE(""https://docs.google.com/spreadsheets/d/1Uw7-A9f9R21vMXxHZFNpYNeKFtG8_yji4HS352LGlSQ/edit?pli=1#gid=0"",""1_ACUM!A4:S""),14,FALSE))"),"")</f>
        <v/>
      </c>
      <c r="AF85" s="43" t="str">
        <f ca="1">IFERROR(__xludf.DUMMYFUNCTION("IFERROR(VLOOKUP(E108&amp;F108,IMPORTRANGE(""https://docs.google.com/spreadsheets/d/1Uw7-A9f9R21vMXxHZFNpYNeKFtG8_yji4HS352LGlSQ/edit?pli=1#gid=0"",""1_ACUM!A4:S""),15,FALSE))"),"")</f>
        <v/>
      </c>
      <c r="AG85" s="43" t="str">
        <f ca="1">IFERROR(__xludf.DUMMYFUNCTION("IFERROR(VLOOKUP(E108&amp;F108,IMPORTRANGE(""https://docs.google.com/spreadsheets/d/1Uw7-A9f9R21vMXxHZFNpYNeKFtG8_yji4HS352LGlSQ/edit?pli=1#gid=0"",""1_ACUM!A4:S""),16,FALSE))"),"")</f>
        <v/>
      </c>
      <c r="AH85" s="43" t="str">
        <f ca="1">IFERROR(__xludf.DUMMYFUNCTION("IFERROR(VLOOKUP(E108&amp;F108,IMPORTRANGE(""https://docs.google.com/spreadsheets/d/1Uw7-A9f9R21vMXxHZFNpYNeKFtG8_yji4HS352LGlSQ/edit?pli=1#gid=0"",""1_ACUM!A4:S""),17,FALSE))"),"")</f>
        <v/>
      </c>
      <c r="AI85" s="44" t="str">
        <f ca="1">IFERROR(__xludf.DUMMYFUNCTION("IFERROR(VLOOKUP(E108&amp;F108,IMPORTRANGE(""https://docs.google.com/spreadsheets/d/1Uw7-A9f9R21vMXxHZFNpYNeKFtG8_yji4HS352LGlSQ/edit?pli=1#gid=0"",""1_ACUM!A4:S""),18,FALSE))"),"")</f>
        <v/>
      </c>
      <c r="AJ85" s="44" t="str">
        <f ca="1">IFERROR(__xludf.DUMMYFUNCTION("IFERROR(VLOOKUP(E108&amp;F108,IMPORTRANGE(""https://docs.google.com/spreadsheets/d/1Uw7-A9f9R21vMXxHZFNpYNeKFtG8_yji4HS352LGlSQ/edit?pli=1#gid=0"",""1_ACUM!A4:S""),19,FALSE))"),"")</f>
        <v/>
      </c>
      <c r="AK85" s="98" t="str">
        <f ca="1">IFERROR(__xludf.DUMMYFUNCTION("IFERROR(VLOOKUP(F108,IMPORTRANGE(""https://docs.google.com/spreadsheets/d/1Kvs4KS76FHFqLFIZfrDMff4kP08nblUkihrxltoGBjg/edit#gid=934712705"",""ESENCIAL!A6:BG""),5,FALSE))"),"")</f>
        <v/>
      </c>
      <c r="AL85" s="98" t="str">
        <f t="shared" si="9"/>
        <v/>
      </c>
      <c r="AM85" s="99" t="str">
        <f t="shared" si="10"/>
        <v/>
      </c>
      <c r="AN85" s="100" t="str">
        <f ca="1">IFERROR(__xludf.DUMMYFUNCTION("IFERROR(VLOOKUP(F108,IMPORTRANGE(""https://docs.google.com/spreadsheets/d/1Kvs4KS76FHFqLFIZfrDMff4kP08nblUkihrxltoGBjg/edit#gid=934712705"",""ESENCIAL!A6:BG""),2,FALSE))"),"")</f>
        <v/>
      </c>
      <c r="AO85" s="19" t="str">
        <f t="shared" si="11"/>
        <v/>
      </c>
      <c r="AP85" s="100"/>
      <c r="AQ85" s="100"/>
    </row>
    <row r="86" spans="1:43" ht="15">
      <c r="A86" s="101"/>
      <c r="B86" s="101"/>
      <c r="G86" s="5" t="str">
        <f ca="1">IFERROR(__xludf.DUMMYFUNCTION("IFERROR(VLOOKUP(F109,IMPORTRANGE(""https://docs.google.com/spreadsheets/d/1Kvs4KS76FHFqLFIZfrDMff4kP08nblUkihrxltoGBjg/edit#gid=934712705"",""ESENCIAL!A6:BG""),3,FALSE))"),"")</f>
        <v/>
      </c>
      <c r="H86" s="5" t="str">
        <f ca="1">IFERROR(__xludf.DUMMYFUNCTION("IFERROR(VLOOKUP(F109,IMPORTRANGE(""https://docs.google.com/spreadsheets/d/1Kvs4KS76FHFqLFIZfrDMff4kP08nblUkihrxltoGBjg/edit#gid=934712705"",""ESENCIAL!A6:BG""),8,FALSE))"),"")</f>
        <v/>
      </c>
      <c r="L86" s="287"/>
      <c r="Z86" s="41" t="str">
        <f t="shared" si="8"/>
        <v/>
      </c>
      <c r="AA86" s="5" t="str">
        <f ca="1">IFERROR(__xludf.DUMMYFUNCTION("IFERROR(VLOOKUP(E109&amp;F109,IMPORTRANGE(""https://docs.google.com/spreadsheets/d/1Uw7-A9f9R21vMXxHZFNpYNeKFtG8_yji4HS352LGlSQ/edit?pli=1#gid=0"",""1_ACUM!A4:S""),11,FALSE))"),"")</f>
        <v/>
      </c>
      <c r="AB86" s="42" t="str">
        <f ca="1">IFERROR(__xludf.DUMMYFUNCTION("IFERROR(VLOOKUP(F109,IMPORTRANGE(""https://docs.google.com/spreadsheets/d/1Kvs4KS76FHFqLFIZfrDMff4kP08nblUkihrxltoGBjg/edit#gid=934712705"",""ESENCIAL!A6:BG""),15,FALSE))"),"")</f>
        <v/>
      </c>
      <c r="AC86" s="110" t="str">
        <f ca="1">IFERROR(__xludf.DUMMYFUNCTION("IFERROR(VLOOKUP(E109&amp;F109,IMPORTRANGE(""https://docs.google.com/spreadsheets/d/1Uw7-A9f9R21vMXxHZFNpYNeKFtG8_yji4HS352LGlSQ/edit?pli=1#gid=0"",""1_ACUM!A4:S""),13,FALSE))"),"")</f>
        <v/>
      </c>
      <c r="AD86" s="43" t="str">
        <f ca="1">IFERROR(__xludf.DUMMYFUNCTION("IFERROR(VLOOKUP(E109&amp;F109,IMPORTRANGE(""https://docs.google.com/spreadsheets/d/1Uw7-A9f9R21vMXxHZFNpYNeKFtG8_yji4HS352LGlSQ/edit?pli=1#gid=0"",""1_ACUM!A4:S""),13,FALSE))"),"")</f>
        <v/>
      </c>
      <c r="AE86" s="43" t="str">
        <f ca="1">IFERROR(__xludf.DUMMYFUNCTION("IFERROR(VLOOKUP(E109&amp;F109,IMPORTRANGE(""https://docs.google.com/spreadsheets/d/1Uw7-A9f9R21vMXxHZFNpYNeKFtG8_yji4HS352LGlSQ/edit?pli=1#gid=0"",""1_ACUM!A4:S""),14,FALSE))"),"")</f>
        <v/>
      </c>
      <c r="AF86" s="43" t="str">
        <f ca="1">IFERROR(__xludf.DUMMYFUNCTION("IFERROR(VLOOKUP(E109&amp;F109,IMPORTRANGE(""https://docs.google.com/spreadsheets/d/1Uw7-A9f9R21vMXxHZFNpYNeKFtG8_yji4HS352LGlSQ/edit?pli=1#gid=0"",""1_ACUM!A4:S""),15,FALSE))"),"")</f>
        <v/>
      </c>
      <c r="AG86" s="43" t="str">
        <f ca="1">IFERROR(__xludf.DUMMYFUNCTION("IFERROR(VLOOKUP(E109&amp;F109,IMPORTRANGE(""https://docs.google.com/spreadsheets/d/1Uw7-A9f9R21vMXxHZFNpYNeKFtG8_yji4HS352LGlSQ/edit?pli=1#gid=0"",""1_ACUM!A4:S""),16,FALSE))"),"")</f>
        <v/>
      </c>
      <c r="AH86" s="43" t="str">
        <f ca="1">IFERROR(__xludf.DUMMYFUNCTION("IFERROR(VLOOKUP(E109&amp;F109,IMPORTRANGE(""https://docs.google.com/spreadsheets/d/1Uw7-A9f9R21vMXxHZFNpYNeKFtG8_yji4HS352LGlSQ/edit?pli=1#gid=0"",""1_ACUM!A4:S""),17,FALSE))"),"")</f>
        <v/>
      </c>
      <c r="AI86" s="44" t="str">
        <f ca="1">IFERROR(__xludf.DUMMYFUNCTION("IFERROR(VLOOKUP(E109&amp;F109,IMPORTRANGE(""https://docs.google.com/spreadsheets/d/1Uw7-A9f9R21vMXxHZFNpYNeKFtG8_yji4HS352LGlSQ/edit?pli=1#gid=0"",""1_ACUM!A4:S""),18,FALSE))"),"")</f>
        <v/>
      </c>
      <c r="AJ86" s="44" t="str">
        <f ca="1">IFERROR(__xludf.DUMMYFUNCTION("IFERROR(VLOOKUP(E109&amp;F109,IMPORTRANGE(""https://docs.google.com/spreadsheets/d/1Uw7-A9f9R21vMXxHZFNpYNeKFtG8_yji4HS352LGlSQ/edit?pli=1#gid=0"",""1_ACUM!A4:S""),19,FALSE))"),"")</f>
        <v/>
      </c>
      <c r="AK86" s="98" t="str">
        <f ca="1">IFERROR(__xludf.DUMMYFUNCTION("IFERROR(VLOOKUP(F109,IMPORTRANGE(""https://docs.google.com/spreadsheets/d/1Kvs4KS76FHFqLFIZfrDMff4kP08nblUkihrxltoGBjg/edit#gid=934712705"",""ESENCIAL!A6:BG""),5,FALSE))"),"")</f>
        <v/>
      </c>
      <c r="AL86" s="98" t="str">
        <f t="shared" si="9"/>
        <v/>
      </c>
      <c r="AM86" s="99" t="str">
        <f t="shared" si="10"/>
        <v/>
      </c>
      <c r="AN86" s="100" t="str">
        <f ca="1">IFERROR(__xludf.DUMMYFUNCTION("IFERROR(VLOOKUP(F109,IMPORTRANGE(""https://docs.google.com/spreadsheets/d/1Kvs4KS76FHFqLFIZfrDMff4kP08nblUkihrxltoGBjg/edit#gid=934712705"",""ESENCIAL!A6:BG""),2,FALSE))"),"")</f>
        <v/>
      </c>
      <c r="AO86" s="19" t="str">
        <f t="shared" si="11"/>
        <v/>
      </c>
      <c r="AP86" s="100"/>
      <c r="AQ86" s="100"/>
    </row>
    <row r="87" spans="1:43" ht="15">
      <c r="A87" s="101"/>
      <c r="B87" s="101"/>
      <c r="G87" s="5" t="str">
        <f ca="1">IFERROR(__xludf.DUMMYFUNCTION("IFERROR(VLOOKUP(F110,IMPORTRANGE(""https://docs.google.com/spreadsheets/d/1Kvs4KS76FHFqLFIZfrDMff4kP08nblUkihrxltoGBjg/edit#gid=934712705"",""ESENCIAL!A6:BG""),3,FALSE))"),"")</f>
        <v/>
      </c>
      <c r="H87" s="5" t="str">
        <f ca="1">IFERROR(__xludf.DUMMYFUNCTION("IFERROR(VLOOKUP(F110,IMPORTRANGE(""https://docs.google.com/spreadsheets/d/1Kvs4KS76FHFqLFIZfrDMff4kP08nblUkihrxltoGBjg/edit#gid=934712705"",""ESENCIAL!A6:BG""),8,FALSE))"),"")</f>
        <v/>
      </c>
      <c r="L87" s="287"/>
      <c r="Z87" s="41" t="str">
        <f t="shared" si="8"/>
        <v/>
      </c>
      <c r="AA87" s="5" t="str">
        <f ca="1">IFERROR(__xludf.DUMMYFUNCTION("IFERROR(VLOOKUP(E110&amp;F110,IMPORTRANGE(""https://docs.google.com/spreadsheets/d/1Uw7-A9f9R21vMXxHZFNpYNeKFtG8_yji4HS352LGlSQ/edit?pli=1#gid=0"",""1_ACUM!A4:S""),11,FALSE))"),"")</f>
        <v/>
      </c>
      <c r="AB87" s="42" t="str">
        <f ca="1">IFERROR(__xludf.DUMMYFUNCTION("IFERROR(VLOOKUP(F110,IMPORTRANGE(""https://docs.google.com/spreadsheets/d/1Kvs4KS76FHFqLFIZfrDMff4kP08nblUkihrxltoGBjg/edit#gid=934712705"",""ESENCIAL!A6:BG""),15,FALSE))"),"")</f>
        <v/>
      </c>
      <c r="AC87" s="110" t="str">
        <f ca="1">IFERROR(__xludf.DUMMYFUNCTION("IFERROR(VLOOKUP(E110&amp;F110,IMPORTRANGE(""https://docs.google.com/spreadsheets/d/1Uw7-A9f9R21vMXxHZFNpYNeKFtG8_yji4HS352LGlSQ/edit?pli=1#gid=0"",""1_ACUM!A4:S""),13,FALSE))"),"")</f>
        <v/>
      </c>
      <c r="AD87" s="43" t="str">
        <f ca="1">IFERROR(__xludf.DUMMYFUNCTION("IFERROR(VLOOKUP(E110&amp;F110,IMPORTRANGE(""https://docs.google.com/spreadsheets/d/1Uw7-A9f9R21vMXxHZFNpYNeKFtG8_yji4HS352LGlSQ/edit?pli=1#gid=0"",""1_ACUM!A4:S""),13,FALSE))"),"")</f>
        <v/>
      </c>
      <c r="AE87" s="43" t="str">
        <f ca="1">IFERROR(__xludf.DUMMYFUNCTION("IFERROR(VLOOKUP(E110&amp;F110,IMPORTRANGE(""https://docs.google.com/spreadsheets/d/1Uw7-A9f9R21vMXxHZFNpYNeKFtG8_yji4HS352LGlSQ/edit?pli=1#gid=0"",""1_ACUM!A4:S""),14,FALSE))"),"")</f>
        <v/>
      </c>
      <c r="AF87" s="43" t="str">
        <f ca="1">IFERROR(__xludf.DUMMYFUNCTION("IFERROR(VLOOKUP(E110&amp;F110,IMPORTRANGE(""https://docs.google.com/spreadsheets/d/1Uw7-A9f9R21vMXxHZFNpYNeKFtG8_yji4HS352LGlSQ/edit?pli=1#gid=0"",""1_ACUM!A4:S""),15,FALSE))"),"")</f>
        <v/>
      </c>
      <c r="AG87" s="43" t="str">
        <f ca="1">IFERROR(__xludf.DUMMYFUNCTION("IFERROR(VLOOKUP(E110&amp;F110,IMPORTRANGE(""https://docs.google.com/spreadsheets/d/1Uw7-A9f9R21vMXxHZFNpYNeKFtG8_yji4HS352LGlSQ/edit?pli=1#gid=0"",""1_ACUM!A4:S""),16,FALSE))"),"")</f>
        <v/>
      </c>
      <c r="AH87" s="43" t="str">
        <f ca="1">IFERROR(__xludf.DUMMYFUNCTION("IFERROR(VLOOKUP(E110&amp;F110,IMPORTRANGE(""https://docs.google.com/spreadsheets/d/1Uw7-A9f9R21vMXxHZFNpYNeKFtG8_yji4HS352LGlSQ/edit?pli=1#gid=0"",""1_ACUM!A4:S""),17,FALSE))"),"")</f>
        <v/>
      </c>
      <c r="AI87" s="44" t="str">
        <f ca="1">IFERROR(__xludf.DUMMYFUNCTION("IFERROR(VLOOKUP(E110&amp;F110,IMPORTRANGE(""https://docs.google.com/spreadsheets/d/1Uw7-A9f9R21vMXxHZFNpYNeKFtG8_yji4HS352LGlSQ/edit?pli=1#gid=0"",""1_ACUM!A4:S""),18,FALSE))"),"")</f>
        <v/>
      </c>
      <c r="AJ87" s="44" t="str">
        <f ca="1">IFERROR(__xludf.DUMMYFUNCTION("IFERROR(VLOOKUP(E110&amp;F110,IMPORTRANGE(""https://docs.google.com/spreadsheets/d/1Uw7-A9f9R21vMXxHZFNpYNeKFtG8_yji4HS352LGlSQ/edit?pli=1#gid=0"",""1_ACUM!A4:S""),19,FALSE))"),"")</f>
        <v/>
      </c>
      <c r="AK87" s="98" t="str">
        <f ca="1">IFERROR(__xludf.DUMMYFUNCTION("IFERROR(VLOOKUP(F110,IMPORTRANGE(""https://docs.google.com/spreadsheets/d/1Kvs4KS76FHFqLFIZfrDMff4kP08nblUkihrxltoGBjg/edit#gid=934712705"",""ESENCIAL!A6:BG""),5,FALSE))"),"")</f>
        <v/>
      </c>
      <c r="AL87" s="98" t="str">
        <f t="shared" si="9"/>
        <v/>
      </c>
      <c r="AM87" s="99" t="str">
        <f t="shared" si="10"/>
        <v/>
      </c>
      <c r="AN87" s="100" t="str">
        <f ca="1">IFERROR(__xludf.DUMMYFUNCTION("IFERROR(VLOOKUP(F110,IMPORTRANGE(""https://docs.google.com/spreadsheets/d/1Kvs4KS76FHFqLFIZfrDMff4kP08nblUkihrxltoGBjg/edit#gid=934712705"",""ESENCIAL!A6:BG""),2,FALSE))"),"")</f>
        <v/>
      </c>
      <c r="AO87" s="19" t="str">
        <f t="shared" si="11"/>
        <v/>
      </c>
      <c r="AP87" s="100"/>
      <c r="AQ87" s="100"/>
    </row>
    <row r="88" spans="1:43" ht="15">
      <c r="A88" s="101"/>
      <c r="B88" s="101"/>
      <c r="G88" s="5" t="str">
        <f ca="1">IFERROR(__xludf.DUMMYFUNCTION("IFERROR(VLOOKUP(F111,IMPORTRANGE(""https://docs.google.com/spreadsheets/d/1Kvs4KS76FHFqLFIZfrDMff4kP08nblUkihrxltoGBjg/edit#gid=934712705"",""ESENCIAL!A6:BG""),3,FALSE))"),"")</f>
        <v/>
      </c>
      <c r="H88" s="5" t="str">
        <f ca="1">IFERROR(__xludf.DUMMYFUNCTION("IFERROR(VLOOKUP(F111,IMPORTRANGE(""https://docs.google.com/spreadsheets/d/1Kvs4KS76FHFqLFIZfrDMff4kP08nblUkihrxltoGBjg/edit#gid=934712705"",""ESENCIAL!A6:BG""),8,FALSE))"),"")</f>
        <v/>
      </c>
      <c r="L88" s="287"/>
      <c r="Z88" s="41" t="str">
        <f t="shared" si="8"/>
        <v/>
      </c>
      <c r="AA88" s="5" t="str">
        <f ca="1">IFERROR(__xludf.DUMMYFUNCTION("IFERROR(VLOOKUP(E111&amp;F111,IMPORTRANGE(""https://docs.google.com/spreadsheets/d/1Uw7-A9f9R21vMXxHZFNpYNeKFtG8_yji4HS352LGlSQ/edit?pli=1#gid=0"",""1_ACUM!A4:S""),11,FALSE))"),"")</f>
        <v/>
      </c>
      <c r="AB88" s="42" t="str">
        <f ca="1">IFERROR(__xludf.DUMMYFUNCTION("IFERROR(VLOOKUP(F111,IMPORTRANGE(""https://docs.google.com/spreadsheets/d/1Kvs4KS76FHFqLFIZfrDMff4kP08nblUkihrxltoGBjg/edit#gid=934712705"",""ESENCIAL!A6:BG""),15,FALSE))"),"")</f>
        <v/>
      </c>
      <c r="AC88" s="110" t="str">
        <f ca="1">IFERROR(__xludf.DUMMYFUNCTION("IFERROR(VLOOKUP(E111&amp;F111,IMPORTRANGE(""https://docs.google.com/spreadsheets/d/1Uw7-A9f9R21vMXxHZFNpYNeKFtG8_yji4HS352LGlSQ/edit?pli=1#gid=0"",""1_ACUM!A4:S""),13,FALSE))"),"")</f>
        <v/>
      </c>
      <c r="AD88" s="43" t="str">
        <f ca="1">IFERROR(__xludf.DUMMYFUNCTION("IFERROR(VLOOKUP(E111&amp;F111,IMPORTRANGE(""https://docs.google.com/spreadsheets/d/1Uw7-A9f9R21vMXxHZFNpYNeKFtG8_yji4HS352LGlSQ/edit?pli=1#gid=0"",""1_ACUM!A4:S""),13,FALSE))"),"")</f>
        <v/>
      </c>
      <c r="AE88" s="43" t="str">
        <f ca="1">IFERROR(__xludf.DUMMYFUNCTION("IFERROR(VLOOKUP(E111&amp;F111,IMPORTRANGE(""https://docs.google.com/spreadsheets/d/1Uw7-A9f9R21vMXxHZFNpYNeKFtG8_yji4HS352LGlSQ/edit?pli=1#gid=0"",""1_ACUM!A4:S""),14,FALSE))"),"")</f>
        <v/>
      </c>
      <c r="AF88" s="43" t="str">
        <f ca="1">IFERROR(__xludf.DUMMYFUNCTION("IFERROR(VLOOKUP(E111&amp;F111,IMPORTRANGE(""https://docs.google.com/spreadsheets/d/1Uw7-A9f9R21vMXxHZFNpYNeKFtG8_yji4HS352LGlSQ/edit?pli=1#gid=0"",""1_ACUM!A4:S""),15,FALSE))"),"")</f>
        <v/>
      </c>
      <c r="AG88" s="43" t="str">
        <f ca="1">IFERROR(__xludf.DUMMYFUNCTION("IFERROR(VLOOKUP(E111&amp;F111,IMPORTRANGE(""https://docs.google.com/spreadsheets/d/1Uw7-A9f9R21vMXxHZFNpYNeKFtG8_yji4HS352LGlSQ/edit?pli=1#gid=0"",""1_ACUM!A4:S""),16,FALSE))"),"")</f>
        <v/>
      </c>
      <c r="AH88" s="43" t="str">
        <f ca="1">IFERROR(__xludf.DUMMYFUNCTION("IFERROR(VLOOKUP(E111&amp;F111,IMPORTRANGE(""https://docs.google.com/spreadsheets/d/1Uw7-A9f9R21vMXxHZFNpYNeKFtG8_yji4HS352LGlSQ/edit?pli=1#gid=0"",""1_ACUM!A4:S""),17,FALSE))"),"")</f>
        <v/>
      </c>
      <c r="AI88" s="44" t="str">
        <f ca="1">IFERROR(__xludf.DUMMYFUNCTION("IFERROR(VLOOKUP(E111&amp;F111,IMPORTRANGE(""https://docs.google.com/spreadsheets/d/1Uw7-A9f9R21vMXxHZFNpYNeKFtG8_yji4HS352LGlSQ/edit?pli=1#gid=0"",""1_ACUM!A4:S""),18,FALSE))"),"")</f>
        <v/>
      </c>
      <c r="AJ88" s="44" t="str">
        <f ca="1">IFERROR(__xludf.DUMMYFUNCTION("IFERROR(VLOOKUP(E111&amp;F111,IMPORTRANGE(""https://docs.google.com/spreadsheets/d/1Uw7-A9f9R21vMXxHZFNpYNeKFtG8_yji4HS352LGlSQ/edit?pli=1#gid=0"",""1_ACUM!A4:S""),19,FALSE))"),"")</f>
        <v/>
      </c>
      <c r="AK88" s="98" t="str">
        <f ca="1">IFERROR(__xludf.DUMMYFUNCTION("IFERROR(VLOOKUP(F111,IMPORTRANGE(""https://docs.google.com/spreadsheets/d/1Kvs4KS76FHFqLFIZfrDMff4kP08nblUkihrxltoGBjg/edit#gid=934712705"",""ESENCIAL!A6:BG""),5,FALSE))"),"")</f>
        <v/>
      </c>
      <c r="AL88" s="98" t="str">
        <f t="shared" si="9"/>
        <v/>
      </c>
      <c r="AM88" s="99" t="str">
        <f t="shared" si="10"/>
        <v/>
      </c>
      <c r="AN88" s="100" t="str">
        <f ca="1">IFERROR(__xludf.DUMMYFUNCTION("IFERROR(VLOOKUP(F111,IMPORTRANGE(""https://docs.google.com/spreadsheets/d/1Kvs4KS76FHFqLFIZfrDMff4kP08nblUkihrxltoGBjg/edit#gid=934712705"",""ESENCIAL!A6:BG""),2,FALSE))"),"")</f>
        <v/>
      </c>
      <c r="AO88" s="19" t="str">
        <f t="shared" si="11"/>
        <v/>
      </c>
      <c r="AP88" s="100"/>
      <c r="AQ88" s="100"/>
    </row>
    <row r="89" spans="1:43" ht="15">
      <c r="A89" s="101"/>
      <c r="B89" s="101"/>
      <c r="G89" s="5" t="str">
        <f ca="1">IFERROR(__xludf.DUMMYFUNCTION("IFERROR(VLOOKUP(F112,IMPORTRANGE(""https://docs.google.com/spreadsheets/d/1Kvs4KS76FHFqLFIZfrDMff4kP08nblUkihrxltoGBjg/edit#gid=934712705"",""ESENCIAL!A6:BG""),3,FALSE))"),"")</f>
        <v/>
      </c>
      <c r="H89" s="5" t="str">
        <f ca="1">IFERROR(__xludf.DUMMYFUNCTION("IFERROR(VLOOKUP(F112,IMPORTRANGE(""https://docs.google.com/spreadsheets/d/1Kvs4KS76FHFqLFIZfrDMff4kP08nblUkihrxltoGBjg/edit#gid=934712705"",""ESENCIAL!A6:BG""),8,FALSE))"),"")</f>
        <v/>
      </c>
      <c r="L89" s="287"/>
      <c r="Z89" s="41" t="str">
        <f t="shared" si="8"/>
        <v/>
      </c>
      <c r="AA89" s="5" t="str">
        <f ca="1">IFERROR(__xludf.DUMMYFUNCTION("IFERROR(VLOOKUP(E112&amp;F112,IMPORTRANGE(""https://docs.google.com/spreadsheets/d/1Uw7-A9f9R21vMXxHZFNpYNeKFtG8_yji4HS352LGlSQ/edit?pli=1#gid=0"",""1_ACUM!A4:S""),11,FALSE))"),"")</f>
        <v/>
      </c>
      <c r="AB89" s="42" t="str">
        <f ca="1">IFERROR(__xludf.DUMMYFUNCTION("IFERROR(VLOOKUP(F112,IMPORTRANGE(""https://docs.google.com/spreadsheets/d/1Kvs4KS76FHFqLFIZfrDMff4kP08nblUkihrxltoGBjg/edit#gid=934712705"",""ESENCIAL!A6:BG""),15,FALSE))"),"")</f>
        <v/>
      </c>
      <c r="AC89" s="110" t="str">
        <f ca="1">IFERROR(__xludf.DUMMYFUNCTION("IFERROR(VLOOKUP(E112&amp;F112,IMPORTRANGE(""https://docs.google.com/spreadsheets/d/1Uw7-A9f9R21vMXxHZFNpYNeKFtG8_yji4HS352LGlSQ/edit?pli=1#gid=0"",""1_ACUM!A4:S""),13,FALSE))"),"")</f>
        <v/>
      </c>
      <c r="AD89" s="43" t="str">
        <f ca="1">IFERROR(__xludf.DUMMYFUNCTION("IFERROR(VLOOKUP(E112&amp;F112,IMPORTRANGE(""https://docs.google.com/spreadsheets/d/1Uw7-A9f9R21vMXxHZFNpYNeKFtG8_yji4HS352LGlSQ/edit?pli=1#gid=0"",""1_ACUM!A4:S""),13,FALSE))"),"")</f>
        <v/>
      </c>
      <c r="AE89" s="43" t="str">
        <f ca="1">IFERROR(__xludf.DUMMYFUNCTION("IFERROR(VLOOKUP(E112&amp;F112,IMPORTRANGE(""https://docs.google.com/spreadsheets/d/1Uw7-A9f9R21vMXxHZFNpYNeKFtG8_yji4HS352LGlSQ/edit?pli=1#gid=0"",""1_ACUM!A4:S""),14,FALSE))"),"")</f>
        <v/>
      </c>
      <c r="AF89" s="43" t="str">
        <f ca="1">IFERROR(__xludf.DUMMYFUNCTION("IFERROR(VLOOKUP(E112&amp;F112,IMPORTRANGE(""https://docs.google.com/spreadsheets/d/1Uw7-A9f9R21vMXxHZFNpYNeKFtG8_yji4HS352LGlSQ/edit?pli=1#gid=0"",""1_ACUM!A4:S""),15,FALSE))"),"")</f>
        <v/>
      </c>
      <c r="AG89" s="43" t="str">
        <f ca="1">IFERROR(__xludf.DUMMYFUNCTION("IFERROR(VLOOKUP(E112&amp;F112,IMPORTRANGE(""https://docs.google.com/spreadsheets/d/1Uw7-A9f9R21vMXxHZFNpYNeKFtG8_yji4HS352LGlSQ/edit?pli=1#gid=0"",""1_ACUM!A4:S""),16,FALSE))"),"")</f>
        <v/>
      </c>
      <c r="AH89" s="43" t="str">
        <f ca="1">IFERROR(__xludf.DUMMYFUNCTION("IFERROR(VLOOKUP(E112&amp;F112,IMPORTRANGE(""https://docs.google.com/spreadsheets/d/1Uw7-A9f9R21vMXxHZFNpYNeKFtG8_yji4HS352LGlSQ/edit?pli=1#gid=0"",""1_ACUM!A4:S""),17,FALSE))"),"")</f>
        <v/>
      </c>
      <c r="AI89" s="44" t="str">
        <f ca="1">IFERROR(__xludf.DUMMYFUNCTION("IFERROR(VLOOKUP(E112&amp;F112,IMPORTRANGE(""https://docs.google.com/spreadsheets/d/1Uw7-A9f9R21vMXxHZFNpYNeKFtG8_yji4HS352LGlSQ/edit?pli=1#gid=0"",""1_ACUM!A4:S""),18,FALSE))"),"")</f>
        <v/>
      </c>
      <c r="AJ89" s="44" t="str">
        <f ca="1">IFERROR(__xludf.DUMMYFUNCTION("IFERROR(VLOOKUP(E112&amp;F112,IMPORTRANGE(""https://docs.google.com/spreadsheets/d/1Uw7-A9f9R21vMXxHZFNpYNeKFtG8_yji4HS352LGlSQ/edit?pli=1#gid=0"",""1_ACUM!A4:S""),19,FALSE))"),"")</f>
        <v/>
      </c>
      <c r="AK89" s="98" t="str">
        <f ca="1">IFERROR(__xludf.DUMMYFUNCTION("IFERROR(VLOOKUP(F112,IMPORTRANGE(""https://docs.google.com/spreadsheets/d/1Kvs4KS76FHFqLFIZfrDMff4kP08nblUkihrxltoGBjg/edit#gid=934712705"",""ESENCIAL!A6:BG""),5,FALSE))"),"")</f>
        <v/>
      </c>
      <c r="AL89" s="98" t="str">
        <f t="shared" si="9"/>
        <v/>
      </c>
      <c r="AM89" s="99" t="str">
        <f t="shared" si="10"/>
        <v/>
      </c>
      <c r="AN89" s="100" t="str">
        <f ca="1">IFERROR(__xludf.DUMMYFUNCTION("IFERROR(VLOOKUP(F112,IMPORTRANGE(""https://docs.google.com/spreadsheets/d/1Kvs4KS76FHFqLFIZfrDMff4kP08nblUkihrxltoGBjg/edit#gid=934712705"",""ESENCIAL!A6:BG""),2,FALSE))"),"")</f>
        <v/>
      </c>
      <c r="AO89" s="19" t="str">
        <f t="shared" si="11"/>
        <v/>
      </c>
      <c r="AP89" s="100"/>
      <c r="AQ89" s="100"/>
    </row>
    <row r="90" spans="1:43" ht="15">
      <c r="A90" s="101"/>
      <c r="B90" s="101"/>
      <c r="G90" s="5" t="str">
        <f ca="1">IFERROR(__xludf.DUMMYFUNCTION("IFERROR(VLOOKUP(F113,IMPORTRANGE(""https://docs.google.com/spreadsheets/d/1Kvs4KS76FHFqLFIZfrDMff4kP08nblUkihrxltoGBjg/edit#gid=934712705"",""ESENCIAL!A6:BG""),3,FALSE))"),"")</f>
        <v/>
      </c>
      <c r="H90" s="5" t="str">
        <f ca="1">IFERROR(__xludf.DUMMYFUNCTION("IFERROR(VLOOKUP(F113,IMPORTRANGE(""https://docs.google.com/spreadsheets/d/1Kvs4KS76FHFqLFIZfrDMff4kP08nblUkihrxltoGBjg/edit#gid=934712705"",""ESENCIAL!A6:BG""),8,FALSE))"),"")</f>
        <v/>
      </c>
      <c r="L90" s="287"/>
      <c r="Z90" s="41" t="str">
        <f t="shared" si="8"/>
        <v/>
      </c>
      <c r="AA90" s="5" t="str">
        <f ca="1">IFERROR(__xludf.DUMMYFUNCTION("IFERROR(VLOOKUP(E113&amp;F113,IMPORTRANGE(""https://docs.google.com/spreadsheets/d/1Uw7-A9f9R21vMXxHZFNpYNeKFtG8_yji4HS352LGlSQ/edit?pli=1#gid=0"",""1_ACUM!A4:S""),11,FALSE))"),"")</f>
        <v/>
      </c>
      <c r="AB90" s="42" t="str">
        <f ca="1">IFERROR(__xludf.DUMMYFUNCTION("IFERROR(VLOOKUP(F113,IMPORTRANGE(""https://docs.google.com/spreadsheets/d/1Kvs4KS76FHFqLFIZfrDMff4kP08nblUkihrxltoGBjg/edit#gid=934712705"",""ESENCIAL!A6:BG""),15,FALSE))"),"")</f>
        <v/>
      </c>
      <c r="AC90" s="110" t="str">
        <f ca="1">IFERROR(__xludf.DUMMYFUNCTION("IFERROR(VLOOKUP(E113&amp;F113,IMPORTRANGE(""https://docs.google.com/spreadsheets/d/1Uw7-A9f9R21vMXxHZFNpYNeKFtG8_yji4HS352LGlSQ/edit?pli=1#gid=0"",""1_ACUM!A4:S""),13,FALSE))"),"")</f>
        <v/>
      </c>
      <c r="AD90" s="43" t="str">
        <f ca="1">IFERROR(__xludf.DUMMYFUNCTION("IFERROR(VLOOKUP(E113&amp;F113,IMPORTRANGE(""https://docs.google.com/spreadsheets/d/1Uw7-A9f9R21vMXxHZFNpYNeKFtG8_yji4HS352LGlSQ/edit?pli=1#gid=0"",""1_ACUM!A4:S""),13,FALSE))"),"")</f>
        <v/>
      </c>
      <c r="AE90" s="43" t="str">
        <f ca="1">IFERROR(__xludf.DUMMYFUNCTION("IFERROR(VLOOKUP(E113&amp;F113,IMPORTRANGE(""https://docs.google.com/spreadsheets/d/1Uw7-A9f9R21vMXxHZFNpYNeKFtG8_yji4HS352LGlSQ/edit?pli=1#gid=0"",""1_ACUM!A4:S""),14,FALSE))"),"")</f>
        <v/>
      </c>
      <c r="AF90" s="43" t="str">
        <f ca="1">IFERROR(__xludf.DUMMYFUNCTION("IFERROR(VLOOKUP(E113&amp;F113,IMPORTRANGE(""https://docs.google.com/spreadsheets/d/1Uw7-A9f9R21vMXxHZFNpYNeKFtG8_yji4HS352LGlSQ/edit?pli=1#gid=0"",""1_ACUM!A4:S""),15,FALSE))"),"")</f>
        <v/>
      </c>
      <c r="AG90" s="43" t="str">
        <f ca="1">IFERROR(__xludf.DUMMYFUNCTION("IFERROR(VLOOKUP(E113&amp;F113,IMPORTRANGE(""https://docs.google.com/spreadsheets/d/1Uw7-A9f9R21vMXxHZFNpYNeKFtG8_yji4HS352LGlSQ/edit?pli=1#gid=0"",""1_ACUM!A4:S""),16,FALSE))"),"")</f>
        <v/>
      </c>
      <c r="AH90" s="43" t="str">
        <f ca="1">IFERROR(__xludf.DUMMYFUNCTION("IFERROR(VLOOKUP(E113&amp;F113,IMPORTRANGE(""https://docs.google.com/spreadsheets/d/1Uw7-A9f9R21vMXxHZFNpYNeKFtG8_yji4HS352LGlSQ/edit?pli=1#gid=0"",""1_ACUM!A4:S""),17,FALSE))"),"")</f>
        <v/>
      </c>
      <c r="AI90" s="44" t="str">
        <f ca="1">IFERROR(__xludf.DUMMYFUNCTION("IFERROR(VLOOKUP(E113&amp;F113,IMPORTRANGE(""https://docs.google.com/spreadsheets/d/1Uw7-A9f9R21vMXxHZFNpYNeKFtG8_yji4HS352LGlSQ/edit?pli=1#gid=0"",""1_ACUM!A4:S""),18,FALSE))"),"")</f>
        <v/>
      </c>
      <c r="AJ90" s="44" t="str">
        <f ca="1">IFERROR(__xludf.DUMMYFUNCTION("IFERROR(VLOOKUP(E113&amp;F113,IMPORTRANGE(""https://docs.google.com/spreadsheets/d/1Uw7-A9f9R21vMXxHZFNpYNeKFtG8_yji4HS352LGlSQ/edit?pli=1#gid=0"",""1_ACUM!A4:S""),19,FALSE))"),"")</f>
        <v/>
      </c>
      <c r="AK90" s="98" t="str">
        <f ca="1">IFERROR(__xludf.DUMMYFUNCTION("IFERROR(VLOOKUP(F113,IMPORTRANGE(""https://docs.google.com/spreadsheets/d/1Kvs4KS76FHFqLFIZfrDMff4kP08nblUkihrxltoGBjg/edit#gid=934712705"",""ESENCIAL!A6:BG""),5,FALSE))"),"")</f>
        <v/>
      </c>
      <c r="AL90" s="98" t="str">
        <f t="shared" si="9"/>
        <v/>
      </c>
      <c r="AM90" s="99" t="str">
        <f t="shared" si="10"/>
        <v/>
      </c>
      <c r="AN90" s="100" t="str">
        <f ca="1">IFERROR(__xludf.DUMMYFUNCTION("IFERROR(VLOOKUP(F113,IMPORTRANGE(""https://docs.google.com/spreadsheets/d/1Kvs4KS76FHFqLFIZfrDMff4kP08nblUkihrxltoGBjg/edit#gid=934712705"",""ESENCIAL!A6:BG""),2,FALSE))"),"")</f>
        <v/>
      </c>
      <c r="AO90" s="19" t="str">
        <f t="shared" si="11"/>
        <v/>
      </c>
      <c r="AP90" s="100"/>
      <c r="AQ90" s="100"/>
    </row>
    <row r="91" spans="1:43" ht="15">
      <c r="A91" s="101"/>
      <c r="B91" s="101"/>
      <c r="G91" s="5" t="str">
        <f ca="1">IFERROR(__xludf.DUMMYFUNCTION("IFERROR(VLOOKUP(F114,IMPORTRANGE(""https://docs.google.com/spreadsheets/d/1Kvs4KS76FHFqLFIZfrDMff4kP08nblUkihrxltoGBjg/edit#gid=934712705"",""ESENCIAL!A6:BG""),3,FALSE))"),"")</f>
        <v/>
      </c>
      <c r="H91" s="5" t="str">
        <f ca="1">IFERROR(__xludf.DUMMYFUNCTION("IFERROR(VLOOKUP(F114,IMPORTRANGE(""https://docs.google.com/spreadsheets/d/1Kvs4KS76FHFqLFIZfrDMff4kP08nblUkihrxltoGBjg/edit#gid=934712705"",""ESENCIAL!A6:BG""),8,FALSE))"),"")</f>
        <v/>
      </c>
      <c r="L91" s="287"/>
      <c r="Z91" s="41" t="str">
        <f t="shared" si="8"/>
        <v/>
      </c>
      <c r="AA91" s="5" t="str">
        <f ca="1">IFERROR(__xludf.DUMMYFUNCTION("IFERROR(VLOOKUP(E114&amp;F114,IMPORTRANGE(""https://docs.google.com/spreadsheets/d/1Uw7-A9f9R21vMXxHZFNpYNeKFtG8_yji4HS352LGlSQ/edit?pli=1#gid=0"",""1_ACUM!A4:S""),11,FALSE))"),"")</f>
        <v/>
      </c>
      <c r="AB91" s="42" t="str">
        <f ca="1">IFERROR(__xludf.DUMMYFUNCTION("IFERROR(VLOOKUP(F114,IMPORTRANGE(""https://docs.google.com/spreadsheets/d/1Kvs4KS76FHFqLFIZfrDMff4kP08nblUkihrxltoGBjg/edit#gid=934712705"",""ESENCIAL!A6:BG""),15,FALSE))"),"")</f>
        <v/>
      </c>
      <c r="AC91" s="110" t="str">
        <f ca="1">IFERROR(__xludf.DUMMYFUNCTION("IFERROR(VLOOKUP(E114&amp;F114,IMPORTRANGE(""https://docs.google.com/spreadsheets/d/1Uw7-A9f9R21vMXxHZFNpYNeKFtG8_yji4HS352LGlSQ/edit?pli=1#gid=0"",""1_ACUM!A4:S""),13,FALSE))"),"")</f>
        <v/>
      </c>
      <c r="AD91" s="43" t="str">
        <f ca="1">IFERROR(__xludf.DUMMYFUNCTION("IFERROR(VLOOKUP(E114&amp;F114,IMPORTRANGE(""https://docs.google.com/spreadsheets/d/1Uw7-A9f9R21vMXxHZFNpYNeKFtG8_yji4HS352LGlSQ/edit?pli=1#gid=0"",""1_ACUM!A4:S""),13,FALSE))"),"")</f>
        <v/>
      </c>
      <c r="AE91" s="43" t="str">
        <f ca="1">IFERROR(__xludf.DUMMYFUNCTION("IFERROR(VLOOKUP(E114&amp;F114,IMPORTRANGE(""https://docs.google.com/spreadsheets/d/1Uw7-A9f9R21vMXxHZFNpYNeKFtG8_yji4HS352LGlSQ/edit?pli=1#gid=0"",""1_ACUM!A4:S""),14,FALSE))"),"")</f>
        <v/>
      </c>
      <c r="AF91" s="43" t="str">
        <f ca="1">IFERROR(__xludf.DUMMYFUNCTION("IFERROR(VLOOKUP(E114&amp;F114,IMPORTRANGE(""https://docs.google.com/spreadsheets/d/1Uw7-A9f9R21vMXxHZFNpYNeKFtG8_yji4HS352LGlSQ/edit?pli=1#gid=0"",""1_ACUM!A4:S""),15,FALSE))"),"")</f>
        <v/>
      </c>
      <c r="AG91" s="43" t="str">
        <f ca="1">IFERROR(__xludf.DUMMYFUNCTION("IFERROR(VLOOKUP(E114&amp;F114,IMPORTRANGE(""https://docs.google.com/spreadsheets/d/1Uw7-A9f9R21vMXxHZFNpYNeKFtG8_yji4HS352LGlSQ/edit?pli=1#gid=0"",""1_ACUM!A4:S""),16,FALSE))"),"")</f>
        <v/>
      </c>
      <c r="AH91" s="43" t="str">
        <f ca="1">IFERROR(__xludf.DUMMYFUNCTION("IFERROR(VLOOKUP(E114&amp;F114,IMPORTRANGE(""https://docs.google.com/spreadsheets/d/1Uw7-A9f9R21vMXxHZFNpYNeKFtG8_yji4HS352LGlSQ/edit?pli=1#gid=0"",""1_ACUM!A4:S""),17,FALSE))"),"")</f>
        <v/>
      </c>
      <c r="AI91" s="44" t="str">
        <f ca="1">IFERROR(__xludf.DUMMYFUNCTION("IFERROR(VLOOKUP(E114&amp;F114,IMPORTRANGE(""https://docs.google.com/spreadsheets/d/1Uw7-A9f9R21vMXxHZFNpYNeKFtG8_yji4HS352LGlSQ/edit?pli=1#gid=0"",""1_ACUM!A4:S""),18,FALSE))"),"")</f>
        <v/>
      </c>
      <c r="AJ91" s="44" t="str">
        <f ca="1">IFERROR(__xludf.DUMMYFUNCTION("IFERROR(VLOOKUP(E114&amp;F114,IMPORTRANGE(""https://docs.google.com/spreadsheets/d/1Uw7-A9f9R21vMXxHZFNpYNeKFtG8_yji4HS352LGlSQ/edit?pli=1#gid=0"",""1_ACUM!A4:S""),19,FALSE))"),"")</f>
        <v/>
      </c>
      <c r="AK91" s="98" t="str">
        <f ca="1">IFERROR(__xludf.DUMMYFUNCTION("IFERROR(VLOOKUP(F114,IMPORTRANGE(""https://docs.google.com/spreadsheets/d/1Kvs4KS76FHFqLFIZfrDMff4kP08nblUkihrxltoGBjg/edit#gid=934712705"",""ESENCIAL!A6:BG""),5,FALSE))"),"")</f>
        <v/>
      </c>
      <c r="AL91" s="98" t="str">
        <f t="shared" si="9"/>
        <v/>
      </c>
      <c r="AM91" s="99" t="str">
        <f t="shared" si="10"/>
        <v/>
      </c>
      <c r="AN91" s="100" t="str">
        <f ca="1">IFERROR(__xludf.DUMMYFUNCTION("IFERROR(VLOOKUP(F114,IMPORTRANGE(""https://docs.google.com/spreadsheets/d/1Kvs4KS76FHFqLFIZfrDMff4kP08nblUkihrxltoGBjg/edit#gid=934712705"",""ESENCIAL!A6:BG""),2,FALSE))"),"")</f>
        <v/>
      </c>
      <c r="AO91" s="19" t="str">
        <f t="shared" si="11"/>
        <v/>
      </c>
      <c r="AP91" s="100"/>
      <c r="AQ91" s="100"/>
    </row>
    <row r="92" spans="1:43" ht="15">
      <c r="A92" s="101"/>
      <c r="B92" s="101"/>
      <c r="G92" s="5" t="str">
        <f ca="1">IFERROR(__xludf.DUMMYFUNCTION("IFERROR(VLOOKUP(F115,IMPORTRANGE(""https://docs.google.com/spreadsheets/d/1Kvs4KS76FHFqLFIZfrDMff4kP08nblUkihrxltoGBjg/edit#gid=934712705"",""ESENCIAL!A6:BG""),3,FALSE))"),"")</f>
        <v/>
      </c>
      <c r="H92" s="5" t="str">
        <f ca="1">IFERROR(__xludf.DUMMYFUNCTION("IFERROR(VLOOKUP(F115,IMPORTRANGE(""https://docs.google.com/spreadsheets/d/1Kvs4KS76FHFqLFIZfrDMff4kP08nblUkihrxltoGBjg/edit#gid=934712705"",""ESENCIAL!A6:BG""),8,FALSE))"),"")</f>
        <v/>
      </c>
      <c r="L92" s="287"/>
      <c r="Z92" s="41" t="str">
        <f t="shared" si="8"/>
        <v/>
      </c>
      <c r="AA92" s="5" t="str">
        <f ca="1">IFERROR(__xludf.DUMMYFUNCTION("IFERROR(VLOOKUP(E115&amp;F115,IMPORTRANGE(""https://docs.google.com/spreadsheets/d/1Uw7-A9f9R21vMXxHZFNpYNeKFtG8_yji4HS352LGlSQ/edit?pli=1#gid=0"",""1_ACUM!A4:S""),11,FALSE))"),"")</f>
        <v/>
      </c>
      <c r="AB92" s="42" t="str">
        <f ca="1">IFERROR(__xludf.DUMMYFUNCTION("IFERROR(VLOOKUP(F115,IMPORTRANGE(""https://docs.google.com/spreadsheets/d/1Kvs4KS76FHFqLFIZfrDMff4kP08nblUkihrxltoGBjg/edit#gid=934712705"",""ESENCIAL!A6:BG""),15,FALSE))"),"")</f>
        <v/>
      </c>
      <c r="AC92" s="110" t="str">
        <f ca="1">IFERROR(__xludf.DUMMYFUNCTION("IFERROR(VLOOKUP(E115&amp;F115,IMPORTRANGE(""https://docs.google.com/spreadsheets/d/1Uw7-A9f9R21vMXxHZFNpYNeKFtG8_yji4HS352LGlSQ/edit?pli=1#gid=0"",""1_ACUM!A4:S""),13,FALSE))"),"")</f>
        <v/>
      </c>
      <c r="AD92" s="43" t="str">
        <f ca="1">IFERROR(__xludf.DUMMYFUNCTION("IFERROR(VLOOKUP(E115&amp;F115,IMPORTRANGE(""https://docs.google.com/spreadsheets/d/1Uw7-A9f9R21vMXxHZFNpYNeKFtG8_yji4HS352LGlSQ/edit?pli=1#gid=0"",""1_ACUM!A4:S""),13,FALSE))"),"")</f>
        <v/>
      </c>
      <c r="AE92" s="43" t="str">
        <f ca="1">IFERROR(__xludf.DUMMYFUNCTION("IFERROR(VLOOKUP(E115&amp;F115,IMPORTRANGE(""https://docs.google.com/spreadsheets/d/1Uw7-A9f9R21vMXxHZFNpYNeKFtG8_yji4HS352LGlSQ/edit?pli=1#gid=0"",""1_ACUM!A4:S""),14,FALSE))"),"")</f>
        <v/>
      </c>
      <c r="AF92" s="43" t="str">
        <f ca="1">IFERROR(__xludf.DUMMYFUNCTION("IFERROR(VLOOKUP(E115&amp;F115,IMPORTRANGE(""https://docs.google.com/spreadsheets/d/1Uw7-A9f9R21vMXxHZFNpYNeKFtG8_yji4HS352LGlSQ/edit?pli=1#gid=0"",""1_ACUM!A4:S""),15,FALSE))"),"")</f>
        <v/>
      </c>
      <c r="AG92" s="43" t="str">
        <f ca="1">IFERROR(__xludf.DUMMYFUNCTION("IFERROR(VLOOKUP(E115&amp;F115,IMPORTRANGE(""https://docs.google.com/spreadsheets/d/1Uw7-A9f9R21vMXxHZFNpYNeKFtG8_yji4HS352LGlSQ/edit?pli=1#gid=0"",""1_ACUM!A4:S""),16,FALSE))"),"")</f>
        <v/>
      </c>
      <c r="AH92" s="43" t="str">
        <f ca="1">IFERROR(__xludf.DUMMYFUNCTION("IFERROR(VLOOKUP(E115&amp;F115,IMPORTRANGE(""https://docs.google.com/spreadsheets/d/1Uw7-A9f9R21vMXxHZFNpYNeKFtG8_yji4HS352LGlSQ/edit?pli=1#gid=0"",""1_ACUM!A4:S""),17,FALSE))"),"")</f>
        <v/>
      </c>
      <c r="AI92" s="44" t="str">
        <f ca="1">IFERROR(__xludf.DUMMYFUNCTION("IFERROR(VLOOKUP(E115&amp;F115,IMPORTRANGE(""https://docs.google.com/spreadsheets/d/1Uw7-A9f9R21vMXxHZFNpYNeKFtG8_yji4HS352LGlSQ/edit?pli=1#gid=0"",""1_ACUM!A4:S""),18,FALSE))"),"")</f>
        <v/>
      </c>
      <c r="AJ92" s="44" t="str">
        <f ca="1">IFERROR(__xludf.DUMMYFUNCTION("IFERROR(VLOOKUP(E115&amp;F115,IMPORTRANGE(""https://docs.google.com/spreadsheets/d/1Uw7-A9f9R21vMXxHZFNpYNeKFtG8_yji4HS352LGlSQ/edit?pli=1#gid=0"",""1_ACUM!A4:S""),19,FALSE))"),"")</f>
        <v/>
      </c>
      <c r="AK92" s="98" t="str">
        <f ca="1">IFERROR(__xludf.DUMMYFUNCTION("IFERROR(VLOOKUP(F115,IMPORTRANGE(""https://docs.google.com/spreadsheets/d/1Kvs4KS76FHFqLFIZfrDMff4kP08nblUkihrxltoGBjg/edit#gid=934712705"",""ESENCIAL!A6:BG""),5,FALSE))"),"")</f>
        <v/>
      </c>
      <c r="AL92" s="98" t="str">
        <f t="shared" si="9"/>
        <v/>
      </c>
      <c r="AM92" s="99" t="str">
        <f t="shared" si="10"/>
        <v/>
      </c>
      <c r="AN92" s="100" t="str">
        <f ca="1">IFERROR(__xludf.DUMMYFUNCTION("IFERROR(VLOOKUP(F115,IMPORTRANGE(""https://docs.google.com/spreadsheets/d/1Kvs4KS76FHFqLFIZfrDMff4kP08nblUkihrxltoGBjg/edit#gid=934712705"",""ESENCIAL!A6:BG""),2,FALSE))"),"")</f>
        <v/>
      </c>
      <c r="AO92" s="19" t="str">
        <f t="shared" si="11"/>
        <v/>
      </c>
      <c r="AP92" s="100"/>
      <c r="AQ92" s="100"/>
    </row>
    <row r="93" spans="1:43" ht="15">
      <c r="A93" s="101"/>
      <c r="B93" s="101"/>
      <c r="G93" s="5" t="str">
        <f ca="1">IFERROR(__xludf.DUMMYFUNCTION("IFERROR(VLOOKUP(F116,IMPORTRANGE(""https://docs.google.com/spreadsheets/d/1Kvs4KS76FHFqLFIZfrDMff4kP08nblUkihrxltoGBjg/edit#gid=934712705"",""ESENCIAL!A6:BG""),3,FALSE))"),"")</f>
        <v/>
      </c>
      <c r="H93" s="5" t="str">
        <f ca="1">IFERROR(__xludf.DUMMYFUNCTION("IFERROR(VLOOKUP(F116,IMPORTRANGE(""https://docs.google.com/spreadsheets/d/1Kvs4KS76FHFqLFIZfrDMff4kP08nblUkihrxltoGBjg/edit#gid=934712705"",""ESENCIAL!A6:BG""),8,FALSE))"),"")</f>
        <v/>
      </c>
      <c r="L93" s="287"/>
      <c r="Z93" s="41" t="str">
        <f t="shared" si="8"/>
        <v/>
      </c>
      <c r="AA93" s="5" t="str">
        <f ca="1">IFERROR(__xludf.DUMMYFUNCTION("IFERROR(VLOOKUP(E116&amp;F116,IMPORTRANGE(""https://docs.google.com/spreadsheets/d/1Uw7-A9f9R21vMXxHZFNpYNeKFtG8_yji4HS352LGlSQ/edit?pli=1#gid=0"",""1_ACUM!A4:S""),11,FALSE))"),"")</f>
        <v/>
      </c>
      <c r="AB93" s="42" t="str">
        <f ca="1">IFERROR(__xludf.DUMMYFUNCTION("IFERROR(VLOOKUP(F116,IMPORTRANGE(""https://docs.google.com/spreadsheets/d/1Kvs4KS76FHFqLFIZfrDMff4kP08nblUkihrxltoGBjg/edit#gid=934712705"",""ESENCIAL!A6:BG""),15,FALSE))"),"")</f>
        <v/>
      </c>
      <c r="AC93" s="110" t="str">
        <f ca="1">IFERROR(__xludf.DUMMYFUNCTION("IFERROR(VLOOKUP(E116&amp;F116,IMPORTRANGE(""https://docs.google.com/spreadsheets/d/1Uw7-A9f9R21vMXxHZFNpYNeKFtG8_yji4HS352LGlSQ/edit?pli=1#gid=0"",""1_ACUM!A4:S""),13,FALSE))"),"")</f>
        <v/>
      </c>
      <c r="AD93" s="43" t="str">
        <f ca="1">IFERROR(__xludf.DUMMYFUNCTION("IFERROR(VLOOKUP(E116&amp;F116,IMPORTRANGE(""https://docs.google.com/spreadsheets/d/1Uw7-A9f9R21vMXxHZFNpYNeKFtG8_yji4HS352LGlSQ/edit?pli=1#gid=0"",""1_ACUM!A4:S""),13,FALSE))"),"")</f>
        <v/>
      </c>
      <c r="AE93" s="43" t="str">
        <f ca="1">IFERROR(__xludf.DUMMYFUNCTION("IFERROR(VLOOKUP(E116&amp;F116,IMPORTRANGE(""https://docs.google.com/spreadsheets/d/1Uw7-A9f9R21vMXxHZFNpYNeKFtG8_yji4HS352LGlSQ/edit?pli=1#gid=0"",""1_ACUM!A4:S""),14,FALSE))"),"")</f>
        <v/>
      </c>
      <c r="AF93" s="43" t="str">
        <f ca="1">IFERROR(__xludf.DUMMYFUNCTION("IFERROR(VLOOKUP(E116&amp;F116,IMPORTRANGE(""https://docs.google.com/spreadsheets/d/1Uw7-A9f9R21vMXxHZFNpYNeKFtG8_yji4HS352LGlSQ/edit?pli=1#gid=0"",""1_ACUM!A4:S""),15,FALSE))"),"")</f>
        <v/>
      </c>
      <c r="AG93" s="43" t="str">
        <f ca="1">IFERROR(__xludf.DUMMYFUNCTION("IFERROR(VLOOKUP(E116&amp;F116,IMPORTRANGE(""https://docs.google.com/spreadsheets/d/1Uw7-A9f9R21vMXxHZFNpYNeKFtG8_yji4HS352LGlSQ/edit?pli=1#gid=0"",""1_ACUM!A4:S""),16,FALSE))"),"")</f>
        <v/>
      </c>
      <c r="AH93" s="43" t="str">
        <f ca="1">IFERROR(__xludf.DUMMYFUNCTION("IFERROR(VLOOKUP(E116&amp;F116,IMPORTRANGE(""https://docs.google.com/spreadsheets/d/1Uw7-A9f9R21vMXxHZFNpYNeKFtG8_yji4HS352LGlSQ/edit?pli=1#gid=0"",""1_ACUM!A4:S""),17,FALSE))"),"")</f>
        <v/>
      </c>
      <c r="AI93" s="44" t="str">
        <f ca="1">IFERROR(__xludf.DUMMYFUNCTION("IFERROR(VLOOKUP(E116&amp;F116,IMPORTRANGE(""https://docs.google.com/spreadsheets/d/1Uw7-A9f9R21vMXxHZFNpYNeKFtG8_yji4HS352LGlSQ/edit?pli=1#gid=0"",""1_ACUM!A4:S""),18,FALSE))"),"")</f>
        <v/>
      </c>
      <c r="AJ93" s="44" t="str">
        <f ca="1">IFERROR(__xludf.DUMMYFUNCTION("IFERROR(VLOOKUP(E116&amp;F116,IMPORTRANGE(""https://docs.google.com/spreadsheets/d/1Uw7-A9f9R21vMXxHZFNpYNeKFtG8_yji4HS352LGlSQ/edit?pli=1#gid=0"",""1_ACUM!A4:S""),19,FALSE))"),"")</f>
        <v/>
      </c>
      <c r="AK93" s="98" t="str">
        <f ca="1">IFERROR(__xludf.DUMMYFUNCTION("IFERROR(VLOOKUP(F116,IMPORTRANGE(""https://docs.google.com/spreadsheets/d/1Kvs4KS76FHFqLFIZfrDMff4kP08nblUkihrxltoGBjg/edit#gid=934712705"",""ESENCIAL!A6:BG""),5,FALSE))"),"")</f>
        <v/>
      </c>
      <c r="AL93" s="98" t="str">
        <f t="shared" si="9"/>
        <v/>
      </c>
      <c r="AM93" s="99" t="str">
        <f t="shared" si="10"/>
        <v/>
      </c>
      <c r="AN93" s="100" t="str">
        <f ca="1">IFERROR(__xludf.DUMMYFUNCTION("IFERROR(VLOOKUP(F116,IMPORTRANGE(""https://docs.google.com/spreadsheets/d/1Kvs4KS76FHFqLFIZfrDMff4kP08nblUkihrxltoGBjg/edit#gid=934712705"",""ESENCIAL!A6:BG""),2,FALSE))"),"")</f>
        <v/>
      </c>
      <c r="AO93" s="19" t="str">
        <f t="shared" si="11"/>
        <v/>
      </c>
      <c r="AP93" s="100"/>
      <c r="AQ93" s="100"/>
    </row>
    <row r="94" spans="1:43" ht="15">
      <c r="A94" s="101"/>
      <c r="B94" s="101"/>
      <c r="G94" s="5" t="str">
        <f ca="1">IFERROR(__xludf.DUMMYFUNCTION("IFERROR(VLOOKUP(F117,IMPORTRANGE(""https://docs.google.com/spreadsheets/d/1Kvs4KS76FHFqLFIZfrDMff4kP08nblUkihrxltoGBjg/edit#gid=934712705"",""ESENCIAL!A6:BG""),3,FALSE))"),"")</f>
        <v/>
      </c>
      <c r="H94" s="5" t="str">
        <f ca="1">IFERROR(__xludf.DUMMYFUNCTION("IFERROR(VLOOKUP(F117,IMPORTRANGE(""https://docs.google.com/spreadsheets/d/1Kvs4KS76FHFqLFIZfrDMff4kP08nblUkihrxltoGBjg/edit#gid=934712705"",""ESENCIAL!A6:BG""),8,FALSE))"),"")</f>
        <v/>
      </c>
      <c r="L94" s="287"/>
      <c r="Z94" s="41" t="str">
        <f t="shared" si="8"/>
        <v/>
      </c>
      <c r="AA94" s="5" t="str">
        <f ca="1">IFERROR(__xludf.DUMMYFUNCTION("IFERROR(VLOOKUP(E117&amp;F117,IMPORTRANGE(""https://docs.google.com/spreadsheets/d/1Uw7-A9f9R21vMXxHZFNpYNeKFtG8_yji4HS352LGlSQ/edit?pli=1#gid=0"",""1_ACUM!A4:S""),11,FALSE))"),"")</f>
        <v/>
      </c>
      <c r="AB94" s="42" t="str">
        <f ca="1">IFERROR(__xludf.DUMMYFUNCTION("IFERROR(VLOOKUP(F117,IMPORTRANGE(""https://docs.google.com/spreadsheets/d/1Kvs4KS76FHFqLFIZfrDMff4kP08nblUkihrxltoGBjg/edit#gid=934712705"",""ESENCIAL!A6:BG""),15,FALSE))"),"")</f>
        <v/>
      </c>
      <c r="AC94" s="110" t="str">
        <f ca="1">IFERROR(__xludf.DUMMYFUNCTION("IFERROR(VLOOKUP(E117&amp;F117,IMPORTRANGE(""https://docs.google.com/spreadsheets/d/1Uw7-A9f9R21vMXxHZFNpYNeKFtG8_yji4HS352LGlSQ/edit?pli=1#gid=0"",""1_ACUM!A4:S""),13,FALSE))"),"")</f>
        <v/>
      </c>
      <c r="AD94" s="43" t="str">
        <f ca="1">IFERROR(__xludf.DUMMYFUNCTION("IFERROR(VLOOKUP(E117&amp;F117,IMPORTRANGE(""https://docs.google.com/spreadsheets/d/1Uw7-A9f9R21vMXxHZFNpYNeKFtG8_yji4HS352LGlSQ/edit?pli=1#gid=0"",""1_ACUM!A4:S""),13,FALSE))"),"")</f>
        <v/>
      </c>
      <c r="AE94" s="43" t="str">
        <f ca="1">IFERROR(__xludf.DUMMYFUNCTION("IFERROR(VLOOKUP(E117&amp;F117,IMPORTRANGE(""https://docs.google.com/spreadsheets/d/1Uw7-A9f9R21vMXxHZFNpYNeKFtG8_yji4HS352LGlSQ/edit?pli=1#gid=0"",""1_ACUM!A4:S""),14,FALSE))"),"")</f>
        <v/>
      </c>
      <c r="AF94" s="43" t="str">
        <f ca="1">IFERROR(__xludf.DUMMYFUNCTION("IFERROR(VLOOKUP(E117&amp;F117,IMPORTRANGE(""https://docs.google.com/spreadsheets/d/1Uw7-A9f9R21vMXxHZFNpYNeKFtG8_yji4HS352LGlSQ/edit?pli=1#gid=0"",""1_ACUM!A4:S""),15,FALSE))"),"")</f>
        <v/>
      </c>
      <c r="AG94" s="43" t="str">
        <f ca="1">IFERROR(__xludf.DUMMYFUNCTION("IFERROR(VLOOKUP(E117&amp;F117,IMPORTRANGE(""https://docs.google.com/spreadsheets/d/1Uw7-A9f9R21vMXxHZFNpYNeKFtG8_yji4HS352LGlSQ/edit?pli=1#gid=0"",""1_ACUM!A4:S""),16,FALSE))"),"")</f>
        <v/>
      </c>
      <c r="AH94" s="43" t="str">
        <f ca="1">IFERROR(__xludf.DUMMYFUNCTION("IFERROR(VLOOKUP(E117&amp;F117,IMPORTRANGE(""https://docs.google.com/spreadsheets/d/1Uw7-A9f9R21vMXxHZFNpYNeKFtG8_yji4HS352LGlSQ/edit?pli=1#gid=0"",""1_ACUM!A4:S""),17,FALSE))"),"")</f>
        <v/>
      </c>
      <c r="AI94" s="44" t="str">
        <f ca="1">IFERROR(__xludf.DUMMYFUNCTION("IFERROR(VLOOKUP(E117&amp;F117,IMPORTRANGE(""https://docs.google.com/spreadsheets/d/1Uw7-A9f9R21vMXxHZFNpYNeKFtG8_yji4HS352LGlSQ/edit?pli=1#gid=0"",""1_ACUM!A4:S""),18,FALSE))"),"")</f>
        <v/>
      </c>
      <c r="AJ94" s="44" t="str">
        <f ca="1">IFERROR(__xludf.DUMMYFUNCTION("IFERROR(VLOOKUP(E117&amp;F117,IMPORTRANGE(""https://docs.google.com/spreadsheets/d/1Uw7-A9f9R21vMXxHZFNpYNeKFtG8_yji4HS352LGlSQ/edit?pli=1#gid=0"",""1_ACUM!A4:S""),19,FALSE))"),"")</f>
        <v/>
      </c>
      <c r="AK94" s="98" t="str">
        <f ca="1">IFERROR(__xludf.DUMMYFUNCTION("IFERROR(VLOOKUP(F117,IMPORTRANGE(""https://docs.google.com/spreadsheets/d/1Kvs4KS76FHFqLFIZfrDMff4kP08nblUkihrxltoGBjg/edit#gid=934712705"",""ESENCIAL!A6:BG""),5,FALSE))"),"")</f>
        <v/>
      </c>
      <c r="AL94" s="98" t="str">
        <f t="shared" si="9"/>
        <v/>
      </c>
      <c r="AM94" s="99" t="str">
        <f t="shared" si="10"/>
        <v/>
      </c>
      <c r="AN94" s="100" t="str">
        <f ca="1">IFERROR(__xludf.DUMMYFUNCTION("IFERROR(VLOOKUP(F117,IMPORTRANGE(""https://docs.google.com/spreadsheets/d/1Kvs4KS76FHFqLFIZfrDMff4kP08nblUkihrxltoGBjg/edit#gid=934712705"",""ESENCIAL!A6:BG""),2,FALSE))"),"")</f>
        <v/>
      </c>
      <c r="AO94" s="19" t="str">
        <f t="shared" si="11"/>
        <v/>
      </c>
      <c r="AP94" s="100"/>
      <c r="AQ94" s="100"/>
    </row>
    <row r="95" spans="1:43" ht="15">
      <c r="A95" s="101"/>
      <c r="B95" s="101"/>
      <c r="G95" s="5" t="str">
        <f ca="1">IFERROR(__xludf.DUMMYFUNCTION("IFERROR(VLOOKUP(F118,IMPORTRANGE(""https://docs.google.com/spreadsheets/d/1Kvs4KS76FHFqLFIZfrDMff4kP08nblUkihrxltoGBjg/edit#gid=934712705"",""ESENCIAL!A6:BG""),3,FALSE))"),"")</f>
        <v/>
      </c>
      <c r="H95" s="5" t="str">
        <f ca="1">IFERROR(__xludf.DUMMYFUNCTION("IFERROR(VLOOKUP(F118,IMPORTRANGE(""https://docs.google.com/spreadsheets/d/1Kvs4KS76FHFqLFIZfrDMff4kP08nblUkihrxltoGBjg/edit#gid=934712705"",""ESENCIAL!A6:BG""),8,FALSE))"),"")</f>
        <v/>
      </c>
      <c r="L95" s="287"/>
      <c r="Z95" s="41" t="str">
        <f t="shared" si="8"/>
        <v/>
      </c>
      <c r="AA95" s="5" t="str">
        <f ca="1">IFERROR(__xludf.DUMMYFUNCTION("IFERROR(VLOOKUP(E118&amp;F118,IMPORTRANGE(""https://docs.google.com/spreadsheets/d/1Uw7-A9f9R21vMXxHZFNpYNeKFtG8_yji4HS352LGlSQ/edit?pli=1#gid=0"",""1_ACUM!A4:S""),11,FALSE))"),"")</f>
        <v/>
      </c>
      <c r="AB95" s="42" t="str">
        <f ca="1">IFERROR(__xludf.DUMMYFUNCTION("IFERROR(VLOOKUP(F118,IMPORTRANGE(""https://docs.google.com/spreadsheets/d/1Kvs4KS76FHFqLFIZfrDMff4kP08nblUkihrxltoGBjg/edit#gid=934712705"",""ESENCIAL!A6:BG""),15,FALSE))"),"")</f>
        <v/>
      </c>
      <c r="AC95" s="110" t="str">
        <f ca="1">IFERROR(__xludf.DUMMYFUNCTION("IFERROR(VLOOKUP(E118&amp;F118,IMPORTRANGE(""https://docs.google.com/spreadsheets/d/1Uw7-A9f9R21vMXxHZFNpYNeKFtG8_yji4HS352LGlSQ/edit?pli=1#gid=0"",""1_ACUM!A4:S""),13,FALSE))"),"")</f>
        <v/>
      </c>
      <c r="AD95" s="43" t="str">
        <f ca="1">IFERROR(__xludf.DUMMYFUNCTION("IFERROR(VLOOKUP(E118&amp;F118,IMPORTRANGE(""https://docs.google.com/spreadsheets/d/1Uw7-A9f9R21vMXxHZFNpYNeKFtG8_yji4HS352LGlSQ/edit?pli=1#gid=0"",""1_ACUM!A4:S""),13,FALSE))"),"")</f>
        <v/>
      </c>
      <c r="AE95" s="43" t="str">
        <f ca="1">IFERROR(__xludf.DUMMYFUNCTION("IFERROR(VLOOKUP(E118&amp;F118,IMPORTRANGE(""https://docs.google.com/spreadsheets/d/1Uw7-A9f9R21vMXxHZFNpYNeKFtG8_yji4HS352LGlSQ/edit?pli=1#gid=0"",""1_ACUM!A4:S""),14,FALSE))"),"")</f>
        <v/>
      </c>
      <c r="AF95" s="43" t="str">
        <f ca="1">IFERROR(__xludf.DUMMYFUNCTION("IFERROR(VLOOKUP(E118&amp;F118,IMPORTRANGE(""https://docs.google.com/spreadsheets/d/1Uw7-A9f9R21vMXxHZFNpYNeKFtG8_yji4HS352LGlSQ/edit?pli=1#gid=0"",""1_ACUM!A4:S""),15,FALSE))"),"")</f>
        <v/>
      </c>
      <c r="AG95" s="43" t="str">
        <f ca="1">IFERROR(__xludf.DUMMYFUNCTION("IFERROR(VLOOKUP(E118&amp;F118,IMPORTRANGE(""https://docs.google.com/spreadsheets/d/1Uw7-A9f9R21vMXxHZFNpYNeKFtG8_yji4HS352LGlSQ/edit?pli=1#gid=0"",""1_ACUM!A4:S""),16,FALSE))"),"")</f>
        <v/>
      </c>
      <c r="AH95" s="43" t="str">
        <f ca="1">IFERROR(__xludf.DUMMYFUNCTION("IFERROR(VLOOKUP(E118&amp;F118,IMPORTRANGE(""https://docs.google.com/spreadsheets/d/1Uw7-A9f9R21vMXxHZFNpYNeKFtG8_yji4HS352LGlSQ/edit?pli=1#gid=0"",""1_ACUM!A4:S""),17,FALSE))"),"")</f>
        <v/>
      </c>
      <c r="AI95" s="44" t="str">
        <f ca="1">IFERROR(__xludf.DUMMYFUNCTION("IFERROR(VLOOKUP(E118&amp;F118,IMPORTRANGE(""https://docs.google.com/spreadsheets/d/1Uw7-A9f9R21vMXxHZFNpYNeKFtG8_yji4HS352LGlSQ/edit?pli=1#gid=0"",""1_ACUM!A4:S""),18,FALSE))"),"")</f>
        <v/>
      </c>
      <c r="AJ95" s="44" t="str">
        <f ca="1">IFERROR(__xludf.DUMMYFUNCTION("IFERROR(VLOOKUP(E118&amp;F118,IMPORTRANGE(""https://docs.google.com/spreadsheets/d/1Uw7-A9f9R21vMXxHZFNpYNeKFtG8_yji4HS352LGlSQ/edit?pli=1#gid=0"",""1_ACUM!A4:S""),19,FALSE))"),"")</f>
        <v/>
      </c>
      <c r="AK95" s="98" t="str">
        <f ca="1">IFERROR(__xludf.DUMMYFUNCTION("IFERROR(VLOOKUP(F118,IMPORTRANGE(""https://docs.google.com/spreadsheets/d/1Kvs4KS76FHFqLFIZfrDMff4kP08nblUkihrxltoGBjg/edit#gid=934712705"",""ESENCIAL!A6:BG""),5,FALSE))"),"")</f>
        <v/>
      </c>
      <c r="AL95" s="98" t="str">
        <f t="shared" si="9"/>
        <v/>
      </c>
      <c r="AM95" s="99" t="str">
        <f t="shared" si="10"/>
        <v/>
      </c>
      <c r="AN95" s="100" t="str">
        <f ca="1">IFERROR(__xludf.DUMMYFUNCTION("IFERROR(VLOOKUP(F118,IMPORTRANGE(""https://docs.google.com/spreadsheets/d/1Kvs4KS76FHFqLFIZfrDMff4kP08nblUkihrxltoGBjg/edit#gid=934712705"",""ESENCIAL!A6:BG""),2,FALSE))"),"")</f>
        <v/>
      </c>
      <c r="AO95" s="19" t="str">
        <f t="shared" si="11"/>
        <v/>
      </c>
      <c r="AP95" s="100"/>
      <c r="AQ95" s="100"/>
    </row>
    <row r="96" spans="1:43" ht="15">
      <c r="A96" s="101"/>
      <c r="B96" s="101"/>
      <c r="G96" s="5" t="str">
        <f ca="1">IFERROR(__xludf.DUMMYFUNCTION("IFERROR(VLOOKUP(F119,IMPORTRANGE(""https://docs.google.com/spreadsheets/d/1Kvs4KS76FHFqLFIZfrDMff4kP08nblUkihrxltoGBjg/edit#gid=934712705"",""ESENCIAL!A6:BG""),3,FALSE))"),"")</f>
        <v/>
      </c>
      <c r="H96" s="5" t="str">
        <f ca="1">IFERROR(__xludf.DUMMYFUNCTION("IFERROR(VLOOKUP(F119,IMPORTRANGE(""https://docs.google.com/spreadsheets/d/1Kvs4KS76FHFqLFIZfrDMff4kP08nblUkihrxltoGBjg/edit#gid=934712705"",""ESENCIAL!A6:BG""),8,FALSE))"),"")</f>
        <v/>
      </c>
      <c r="L96" s="287"/>
      <c r="Z96" s="41" t="str">
        <f t="shared" si="8"/>
        <v/>
      </c>
      <c r="AA96" s="5" t="str">
        <f ca="1">IFERROR(__xludf.DUMMYFUNCTION("IFERROR(VLOOKUP(E119&amp;F119,IMPORTRANGE(""https://docs.google.com/spreadsheets/d/1Uw7-A9f9R21vMXxHZFNpYNeKFtG8_yji4HS352LGlSQ/edit?pli=1#gid=0"",""1_ACUM!A4:S""),11,FALSE))"),"")</f>
        <v/>
      </c>
      <c r="AB96" s="42" t="str">
        <f ca="1">IFERROR(__xludf.DUMMYFUNCTION("IFERROR(VLOOKUP(F119,IMPORTRANGE(""https://docs.google.com/spreadsheets/d/1Kvs4KS76FHFqLFIZfrDMff4kP08nblUkihrxltoGBjg/edit#gid=934712705"",""ESENCIAL!A6:BG""),15,FALSE))"),"")</f>
        <v/>
      </c>
      <c r="AC96" s="110" t="str">
        <f ca="1">IFERROR(__xludf.DUMMYFUNCTION("IFERROR(VLOOKUP(E119&amp;F119,IMPORTRANGE(""https://docs.google.com/spreadsheets/d/1Uw7-A9f9R21vMXxHZFNpYNeKFtG8_yji4HS352LGlSQ/edit?pli=1#gid=0"",""1_ACUM!A4:S""),13,FALSE))"),"")</f>
        <v/>
      </c>
      <c r="AD96" s="43" t="str">
        <f ca="1">IFERROR(__xludf.DUMMYFUNCTION("IFERROR(VLOOKUP(E119&amp;F119,IMPORTRANGE(""https://docs.google.com/spreadsheets/d/1Uw7-A9f9R21vMXxHZFNpYNeKFtG8_yji4HS352LGlSQ/edit?pli=1#gid=0"",""1_ACUM!A4:S""),13,FALSE))"),"")</f>
        <v/>
      </c>
      <c r="AE96" s="43" t="str">
        <f ca="1">IFERROR(__xludf.DUMMYFUNCTION("IFERROR(VLOOKUP(E119&amp;F119,IMPORTRANGE(""https://docs.google.com/spreadsheets/d/1Uw7-A9f9R21vMXxHZFNpYNeKFtG8_yji4HS352LGlSQ/edit?pli=1#gid=0"",""1_ACUM!A4:S""),14,FALSE))"),"")</f>
        <v/>
      </c>
      <c r="AF96" s="43" t="str">
        <f ca="1">IFERROR(__xludf.DUMMYFUNCTION("IFERROR(VLOOKUP(E119&amp;F119,IMPORTRANGE(""https://docs.google.com/spreadsheets/d/1Uw7-A9f9R21vMXxHZFNpYNeKFtG8_yji4HS352LGlSQ/edit?pli=1#gid=0"",""1_ACUM!A4:S""),15,FALSE))"),"")</f>
        <v/>
      </c>
      <c r="AG96" s="43" t="str">
        <f ca="1">IFERROR(__xludf.DUMMYFUNCTION("IFERROR(VLOOKUP(E119&amp;F119,IMPORTRANGE(""https://docs.google.com/spreadsheets/d/1Uw7-A9f9R21vMXxHZFNpYNeKFtG8_yji4HS352LGlSQ/edit?pli=1#gid=0"",""1_ACUM!A4:S""),16,FALSE))"),"")</f>
        <v/>
      </c>
      <c r="AH96" s="43" t="str">
        <f ca="1">IFERROR(__xludf.DUMMYFUNCTION("IFERROR(VLOOKUP(E119&amp;F119,IMPORTRANGE(""https://docs.google.com/spreadsheets/d/1Uw7-A9f9R21vMXxHZFNpYNeKFtG8_yji4HS352LGlSQ/edit?pli=1#gid=0"",""1_ACUM!A4:S""),17,FALSE))"),"")</f>
        <v/>
      </c>
      <c r="AI96" s="44" t="str">
        <f ca="1">IFERROR(__xludf.DUMMYFUNCTION("IFERROR(VLOOKUP(E119&amp;F119,IMPORTRANGE(""https://docs.google.com/spreadsheets/d/1Uw7-A9f9R21vMXxHZFNpYNeKFtG8_yji4HS352LGlSQ/edit?pli=1#gid=0"",""1_ACUM!A4:S""),18,FALSE))"),"")</f>
        <v/>
      </c>
      <c r="AJ96" s="44" t="str">
        <f ca="1">IFERROR(__xludf.DUMMYFUNCTION("IFERROR(VLOOKUP(E119&amp;F119,IMPORTRANGE(""https://docs.google.com/spreadsheets/d/1Uw7-A9f9R21vMXxHZFNpYNeKFtG8_yji4HS352LGlSQ/edit?pli=1#gid=0"",""1_ACUM!A4:S""),19,FALSE))"),"")</f>
        <v/>
      </c>
      <c r="AK96" s="98" t="str">
        <f ca="1">IFERROR(__xludf.DUMMYFUNCTION("IFERROR(VLOOKUP(F119,IMPORTRANGE(""https://docs.google.com/spreadsheets/d/1Kvs4KS76FHFqLFIZfrDMff4kP08nblUkihrxltoGBjg/edit#gid=934712705"",""ESENCIAL!A6:BG""),5,FALSE))"),"")</f>
        <v/>
      </c>
      <c r="AL96" s="98" t="str">
        <f t="shared" si="9"/>
        <v/>
      </c>
      <c r="AM96" s="99" t="str">
        <f t="shared" si="10"/>
        <v/>
      </c>
      <c r="AN96" s="100" t="str">
        <f ca="1">IFERROR(__xludf.DUMMYFUNCTION("IFERROR(VLOOKUP(F119,IMPORTRANGE(""https://docs.google.com/spreadsheets/d/1Kvs4KS76FHFqLFIZfrDMff4kP08nblUkihrxltoGBjg/edit#gid=934712705"",""ESENCIAL!A6:BG""),2,FALSE))"),"")</f>
        <v/>
      </c>
      <c r="AO96" s="19" t="str">
        <f t="shared" si="11"/>
        <v/>
      </c>
      <c r="AP96" s="100"/>
      <c r="AQ96" s="100"/>
    </row>
    <row r="97" spans="1:43" ht="15">
      <c r="A97" s="101"/>
      <c r="B97" s="101"/>
      <c r="G97" s="5" t="str">
        <f ca="1">IFERROR(__xludf.DUMMYFUNCTION("IFERROR(VLOOKUP(F120,IMPORTRANGE(""https://docs.google.com/spreadsheets/d/1Kvs4KS76FHFqLFIZfrDMff4kP08nblUkihrxltoGBjg/edit#gid=934712705"",""ESENCIAL!A6:BG""),3,FALSE))"),"")</f>
        <v/>
      </c>
      <c r="H97" s="5" t="str">
        <f ca="1">IFERROR(__xludf.DUMMYFUNCTION("IFERROR(VLOOKUP(F120,IMPORTRANGE(""https://docs.google.com/spreadsheets/d/1Kvs4KS76FHFqLFIZfrDMff4kP08nblUkihrxltoGBjg/edit#gid=934712705"",""ESENCIAL!A6:BG""),8,FALSE))"),"")</f>
        <v/>
      </c>
      <c r="L97" s="287"/>
      <c r="Z97" s="41" t="str">
        <f t="shared" si="8"/>
        <v/>
      </c>
      <c r="AA97" s="5" t="str">
        <f ca="1">IFERROR(__xludf.DUMMYFUNCTION("IFERROR(VLOOKUP(E120&amp;F120,IMPORTRANGE(""https://docs.google.com/spreadsheets/d/1Uw7-A9f9R21vMXxHZFNpYNeKFtG8_yji4HS352LGlSQ/edit?pli=1#gid=0"",""1_ACUM!A4:S""),11,FALSE))"),"")</f>
        <v/>
      </c>
      <c r="AB97" s="42" t="str">
        <f ca="1">IFERROR(__xludf.DUMMYFUNCTION("IFERROR(VLOOKUP(F120,IMPORTRANGE(""https://docs.google.com/spreadsheets/d/1Kvs4KS76FHFqLFIZfrDMff4kP08nblUkihrxltoGBjg/edit#gid=934712705"",""ESENCIAL!A6:BG""),15,FALSE))"),"")</f>
        <v/>
      </c>
      <c r="AC97" s="110" t="str">
        <f ca="1">IFERROR(__xludf.DUMMYFUNCTION("IFERROR(VLOOKUP(E120&amp;F120,IMPORTRANGE(""https://docs.google.com/spreadsheets/d/1Uw7-A9f9R21vMXxHZFNpYNeKFtG8_yji4HS352LGlSQ/edit?pli=1#gid=0"",""1_ACUM!A4:S""),13,FALSE))"),"")</f>
        <v/>
      </c>
      <c r="AD97" s="43" t="str">
        <f ca="1">IFERROR(__xludf.DUMMYFUNCTION("IFERROR(VLOOKUP(E120&amp;F120,IMPORTRANGE(""https://docs.google.com/spreadsheets/d/1Uw7-A9f9R21vMXxHZFNpYNeKFtG8_yji4HS352LGlSQ/edit?pli=1#gid=0"",""1_ACUM!A4:S""),13,FALSE))"),"")</f>
        <v/>
      </c>
      <c r="AE97" s="43" t="str">
        <f ca="1">IFERROR(__xludf.DUMMYFUNCTION("IFERROR(VLOOKUP(E120&amp;F120,IMPORTRANGE(""https://docs.google.com/spreadsheets/d/1Uw7-A9f9R21vMXxHZFNpYNeKFtG8_yji4HS352LGlSQ/edit?pli=1#gid=0"",""1_ACUM!A4:S""),14,FALSE))"),"")</f>
        <v/>
      </c>
      <c r="AF97" s="43" t="str">
        <f ca="1">IFERROR(__xludf.DUMMYFUNCTION("IFERROR(VLOOKUP(E120&amp;F120,IMPORTRANGE(""https://docs.google.com/spreadsheets/d/1Uw7-A9f9R21vMXxHZFNpYNeKFtG8_yji4HS352LGlSQ/edit?pli=1#gid=0"",""1_ACUM!A4:S""),15,FALSE))"),"")</f>
        <v/>
      </c>
      <c r="AG97" s="43" t="str">
        <f ca="1">IFERROR(__xludf.DUMMYFUNCTION("IFERROR(VLOOKUP(E120&amp;F120,IMPORTRANGE(""https://docs.google.com/spreadsheets/d/1Uw7-A9f9R21vMXxHZFNpYNeKFtG8_yji4HS352LGlSQ/edit?pli=1#gid=0"",""1_ACUM!A4:S""),16,FALSE))"),"")</f>
        <v/>
      </c>
      <c r="AH97" s="43" t="str">
        <f ca="1">IFERROR(__xludf.DUMMYFUNCTION("IFERROR(VLOOKUP(E120&amp;F120,IMPORTRANGE(""https://docs.google.com/spreadsheets/d/1Uw7-A9f9R21vMXxHZFNpYNeKFtG8_yji4HS352LGlSQ/edit?pli=1#gid=0"",""1_ACUM!A4:S""),17,FALSE))"),"")</f>
        <v/>
      </c>
      <c r="AI97" s="44" t="str">
        <f ca="1">IFERROR(__xludf.DUMMYFUNCTION("IFERROR(VLOOKUP(E120&amp;F120,IMPORTRANGE(""https://docs.google.com/spreadsheets/d/1Uw7-A9f9R21vMXxHZFNpYNeKFtG8_yji4HS352LGlSQ/edit?pli=1#gid=0"",""1_ACUM!A4:S""),18,FALSE))"),"")</f>
        <v/>
      </c>
      <c r="AJ97" s="44" t="str">
        <f ca="1">IFERROR(__xludf.DUMMYFUNCTION("IFERROR(VLOOKUP(E120&amp;F120,IMPORTRANGE(""https://docs.google.com/spreadsheets/d/1Uw7-A9f9R21vMXxHZFNpYNeKFtG8_yji4HS352LGlSQ/edit?pli=1#gid=0"",""1_ACUM!A4:S""),19,FALSE))"),"")</f>
        <v/>
      </c>
      <c r="AK97" s="98" t="str">
        <f ca="1">IFERROR(__xludf.DUMMYFUNCTION("IFERROR(VLOOKUP(F120,IMPORTRANGE(""https://docs.google.com/spreadsheets/d/1Kvs4KS76FHFqLFIZfrDMff4kP08nblUkihrxltoGBjg/edit#gid=934712705"",""ESENCIAL!A6:BG""),5,FALSE))"),"")</f>
        <v/>
      </c>
      <c r="AL97" s="98" t="str">
        <f t="shared" si="9"/>
        <v/>
      </c>
      <c r="AM97" s="99" t="str">
        <f t="shared" si="10"/>
        <v/>
      </c>
      <c r="AN97" s="100" t="str">
        <f ca="1">IFERROR(__xludf.DUMMYFUNCTION("IFERROR(VLOOKUP(F120,IMPORTRANGE(""https://docs.google.com/spreadsheets/d/1Kvs4KS76FHFqLFIZfrDMff4kP08nblUkihrxltoGBjg/edit#gid=934712705"",""ESENCIAL!A6:BG""),2,FALSE))"),"")</f>
        <v/>
      </c>
      <c r="AO97" s="19" t="str">
        <f t="shared" si="11"/>
        <v/>
      </c>
      <c r="AP97" s="100"/>
      <c r="AQ97" s="100"/>
    </row>
    <row r="98" spans="1:43" ht="15">
      <c r="A98" s="101"/>
      <c r="B98" s="101"/>
      <c r="G98" s="5" t="str">
        <f ca="1">IFERROR(__xludf.DUMMYFUNCTION("IFERROR(VLOOKUP(F121,IMPORTRANGE(""https://docs.google.com/spreadsheets/d/1Kvs4KS76FHFqLFIZfrDMff4kP08nblUkihrxltoGBjg/edit#gid=934712705"",""ESENCIAL!A6:BG""),3,FALSE))"),"")</f>
        <v/>
      </c>
      <c r="H98" s="5" t="str">
        <f ca="1">IFERROR(__xludf.DUMMYFUNCTION("IFERROR(VLOOKUP(F121,IMPORTRANGE(""https://docs.google.com/spreadsheets/d/1Kvs4KS76FHFqLFIZfrDMff4kP08nblUkihrxltoGBjg/edit#gid=934712705"",""ESENCIAL!A6:BG""),8,FALSE))"),"")</f>
        <v/>
      </c>
      <c r="L98" s="287"/>
      <c r="Z98" s="41" t="str">
        <f t="shared" si="8"/>
        <v/>
      </c>
      <c r="AA98" s="5" t="str">
        <f ca="1">IFERROR(__xludf.DUMMYFUNCTION("IFERROR(VLOOKUP(E121&amp;F121,IMPORTRANGE(""https://docs.google.com/spreadsheets/d/1Uw7-A9f9R21vMXxHZFNpYNeKFtG8_yji4HS352LGlSQ/edit?pli=1#gid=0"",""1_ACUM!A4:S""),11,FALSE))"),"")</f>
        <v/>
      </c>
      <c r="AB98" s="42" t="str">
        <f ca="1">IFERROR(__xludf.DUMMYFUNCTION("IFERROR(VLOOKUP(F121,IMPORTRANGE(""https://docs.google.com/spreadsheets/d/1Kvs4KS76FHFqLFIZfrDMff4kP08nblUkihrxltoGBjg/edit#gid=934712705"",""ESENCIAL!A6:BG""),15,FALSE))"),"")</f>
        <v/>
      </c>
      <c r="AC98" s="110" t="str">
        <f ca="1">IFERROR(__xludf.DUMMYFUNCTION("IFERROR(VLOOKUP(E121&amp;F121,IMPORTRANGE(""https://docs.google.com/spreadsheets/d/1Uw7-A9f9R21vMXxHZFNpYNeKFtG8_yji4HS352LGlSQ/edit?pli=1#gid=0"",""1_ACUM!A4:S""),13,FALSE))"),"")</f>
        <v/>
      </c>
      <c r="AD98" s="43" t="str">
        <f ca="1">IFERROR(__xludf.DUMMYFUNCTION("IFERROR(VLOOKUP(E121&amp;F121,IMPORTRANGE(""https://docs.google.com/spreadsheets/d/1Uw7-A9f9R21vMXxHZFNpYNeKFtG8_yji4HS352LGlSQ/edit?pli=1#gid=0"",""1_ACUM!A4:S""),13,FALSE))"),"")</f>
        <v/>
      </c>
      <c r="AE98" s="43" t="str">
        <f ca="1">IFERROR(__xludf.DUMMYFUNCTION("IFERROR(VLOOKUP(E121&amp;F121,IMPORTRANGE(""https://docs.google.com/spreadsheets/d/1Uw7-A9f9R21vMXxHZFNpYNeKFtG8_yji4HS352LGlSQ/edit?pli=1#gid=0"",""1_ACUM!A4:S""),14,FALSE))"),"")</f>
        <v/>
      </c>
      <c r="AF98" s="43" t="str">
        <f ca="1">IFERROR(__xludf.DUMMYFUNCTION("IFERROR(VLOOKUP(E121&amp;F121,IMPORTRANGE(""https://docs.google.com/spreadsheets/d/1Uw7-A9f9R21vMXxHZFNpYNeKFtG8_yji4HS352LGlSQ/edit?pli=1#gid=0"",""1_ACUM!A4:S""),15,FALSE))"),"")</f>
        <v/>
      </c>
      <c r="AG98" s="43" t="str">
        <f ca="1">IFERROR(__xludf.DUMMYFUNCTION("IFERROR(VLOOKUP(E121&amp;F121,IMPORTRANGE(""https://docs.google.com/spreadsheets/d/1Uw7-A9f9R21vMXxHZFNpYNeKFtG8_yji4HS352LGlSQ/edit?pli=1#gid=0"",""1_ACUM!A4:S""),16,FALSE))"),"")</f>
        <v/>
      </c>
      <c r="AH98" s="43" t="str">
        <f ca="1">IFERROR(__xludf.DUMMYFUNCTION("IFERROR(VLOOKUP(E121&amp;F121,IMPORTRANGE(""https://docs.google.com/spreadsheets/d/1Uw7-A9f9R21vMXxHZFNpYNeKFtG8_yji4HS352LGlSQ/edit?pli=1#gid=0"",""1_ACUM!A4:S""),17,FALSE))"),"")</f>
        <v/>
      </c>
      <c r="AI98" s="44" t="str">
        <f ca="1">IFERROR(__xludf.DUMMYFUNCTION("IFERROR(VLOOKUP(E121&amp;F121,IMPORTRANGE(""https://docs.google.com/spreadsheets/d/1Uw7-A9f9R21vMXxHZFNpYNeKFtG8_yji4HS352LGlSQ/edit?pli=1#gid=0"",""1_ACUM!A4:S""),18,FALSE))"),"")</f>
        <v/>
      </c>
      <c r="AJ98" s="44" t="str">
        <f ca="1">IFERROR(__xludf.DUMMYFUNCTION("IFERROR(VLOOKUP(E121&amp;F121,IMPORTRANGE(""https://docs.google.com/spreadsheets/d/1Uw7-A9f9R21vMXxHZFNpYNeKFtG8_yji4HS352LGlSQ/edit?pli=1#gid=0"",""1_ACUM!A4:S""),19,FALSE))"),"")</f>
        <v/>
      </c>
      <c r="AK98" s="98" t="str">
        <f ca="1">IFERROR(__xludf.DUMMYFUNCTION("IFERROR(VLOOKUP(F121,IMPORTRANGE(""https://docs.google.com/spreadsheets/d/1Kvs4KS76FHFqLFIZfrDMff4kP08nblUkihrxltoGBjg/edit#gid=934712705"",""ESENCIAL!A6:BG""),5,FALSE))"),"")</f>
        <v/>
      </c>
      <c r="AL98" s="98" t="str">
        <f t="shared" si="9"/>
        <v/>
      </c>
      <c r="AM98" s="99" t="str">
        <f t="shared" si="10"/>
        <v/>
      </c>
      <c r="AN98" s="100" t="str">
        <f ca="1">IFERROR(__xludf.DUMMYFUNCTION("IFERROR(VLOOKUP(F121,IMPORTRANGE(""https://docs.google.com/spreadsheets/d/1Kvs4KS76FHFqLFIZfrDMff4kP08nblUkihrxltoGBjg/edit#gid=934712705"",""ESENCIAL!A6:BG""),2,FALSE))"),"")</f>
        <v/>
      </c>
      <c r="AO98" s="19" t="str">
        <f t="shared" si="11"/>
        <v/>
      </c>
      <c r="AP98" s="100"/>
      <c r="AQ98" s="100"/>
    </row>
    <row r="99" spans="1:43" ht="15">
      <c r="A99" s="101"/>
      <c r="B99" s="101"/>
      <c r="G99" s="5" t="str">
        <f ca="1">IFERROR(__xludf.DUMMYFUNCTION("IFERROR(VLOOKUP(F122,IMPORTRANGE(""https://docs.google.com/spreadsheets/d/1Kvs4KS76FHFqLFIZfrDMff4kP08nblUkihrxltoGBjg/edit#gid=934712705"",""ESENCIAL!A6:BG""),3,FALSE))"),"")</f>
        <v/>
      </c>
      <c r="H99" s="5" t="str">
        <f ca="1">IFERROR(__xludf.DUMMYFUNCTION("IFERROR(VLOOKUP(F122,IMPORTRANGE(""https://docs.google.com/spreadsheets/d/1Kvs4KS76FHFqLFIZfrDMff4kP08nblUkihrxltoGBjg/edit#gid=934712705"",""ESENCIAL!A6:BG""),8,FALSE))"),"")</f>
        <v/>
      </c>
      <c r="L99" s="287"/>
      <c r="Z99" s="41" t="str">
        <f t="shared" si="8"/>
        <v/>
      </c>
      <c r="AA99" s="5" t="str">
        <f ca="1">IFERROR(__xludf.DUMMYFUNCTION("IFERROR(VLOOKUP(E122&amp;F122,IMPORTRANGE(""https://docs.google.com/spreadsheets/d/1Uw7-A9f9R21vMXxHZFNpYNeKFtG8_yji4HS352LGlSQ/edit?pli=1#gid=0"",""1_ACUM!A4:S""),11,FALSE))"),"")</f>
        <v/>
      </c>
      <c r="AB99" s="42" t="str">
        <f ca="1">IFERROR(__xludf.DUMMYFUNCTION("IFERROR(VLOOKUP(F122,IMPORTRANGE(""https://docs.google.com/spreadsheets/d/1Kvs4KS76FHFqLFIZfrDMff4kP08nblUkihrxltoGBjg/edit#gid=934712705"",""ESENCIAL!A6:BG""),15,FALSE))"),"")</f>
        <v/>
      </c>
      <c r="AC99" s="110" t="str">
        <f ca="1">IFERROR(__xludf.DUMMYFUNCTION("IFERROR(VLOOKUP(E122&amp;F122,IMPORTRANGE(""https://docs.google.com/spreadsheets/d/1Uw7-A9f9R21vMXxHZFNpYNeKFtG8_yji4HS352LGlSQ/edit?pli=1#gid=0"",""1_ACUM!A4:S""),13,FALSE))"),"")</f>
        <v/>
      </c>
      <c r="AD99" s="43" t="str">
        <f ca="1">IFERROR(__xludf.DUMMYFUNCTION("IFERROR(VLOOKUP(E122&amp;F122,IMPORTRANGE(""https://docs.google.com/spreadsheets/d/1Uw7-A9f9R21vMXxHZFNpYNeKFtG8_yji4HS352LGlSQ/edit?pli=1#gid=0"",""1_ACUM!A4:S""),13,FALSE))"),"")</f>
        <v/>
      </c>
      <c r="AE99" s="43" t="str">
        <f ca="1">IFERROR(__xludf.DUMMYFUNCTION("IFERROR(VLOOKUP(E122&amp;F122,IMPORTRANGE(""https://docs.google.com/spreadsheets/d/1Uw7-A9f9R21vMXxHZFNpYNeKFtG8_yji4HS352LGlSQ/edit?pli=1#gid=0"",""1_ACUM!A4:S""),14,FALSE))"),"")</f>
        <v/>
      </c>
      <c r="AF99" s="43" t="str">
        <f ca="1">IFERROR(__xludf.DUMMYFUNCTION("IFERROR(VLOOKUP(E122&amp;F122,IMPORTRANGE(""https://docs.google.com/spreadsheets/d/1Uw7-A9f9R21vMXxHZFNpYNeKFtG8_yji4HS352LGlSQ/edit?pli=1#gid=0"",""1_ACUM!A4:S""),15,FALSE))"),"")</f>
        <v/>
      </c>
      <c r="AG99" s="43" t="str">
        <f ca="1">IFERROR(__xludf.DUMMYFUNCTION("IFERROR(VLOOKUP(E122&amp;F122,IMPORTRANGE(""https://docs.google.com/spreadsheets/d/1Uw7-A9f9R21vMXxHZFNpYNeKFtG8_yji4HS352LGlSQ/edit?pli=1#gid=0"",""1_ACUM!A4:S""),16,FALSE))"),"")</f>
        <v/>
      </c>
      <c r="AH99" s="43" t="str">
        <f ca="1">IFERROR(__xludf.DUMMYFUNCTION("IFERROR(VLOOKUP(E122&amp;F122,IMPORTRANGE(""https://docs.google.com/spreadsheets/d/1Uw7-A9f9R21vMXxHZFNpYNeKFtG8_yji4HS352LGlSQ/edit?pli=1#gid=0"",""1_ACUM!A4:S""),17,FALSE))"),"")</f>
        <v/>
      </c>
      <c r="AI99" s="44" t="str">
        <f ca="1">IFERROR(__xludf.DUMMYFUNCTION("IFERROR(VLOOKUP(E122&amp;F122,IMPORTRANGE(""https://docs.google.com/spreadsheets/d/1Uw7-A9f9R21vMXxHZFNpYNeKFtG8_yji4HS352LGlSQ/edit?pli=1#gid=0"",""1_ACUM!A4:S""),18,FALSE))"),"")</f>
        <v/>
      </c>
      <c r="AJ99" s="44" t="str">
        <f ca="1">IFERROR(__xludf.DUMMYFUNCTION("IFERROR(VLOOKUP(E122&amp;F122,IMPORTRANGE(""https://docs.google.com/spreadsheets/d/1Uw7-A9f9R21vMXxHZFNpYNeKFtG8_yji4HS352LGlSQ/edit?pli=1#gid=0"",""1_ACUM!A4:S""),19,FALSE))"),"")</f>
        <v/>
      </c>
      <c r="AK99" s="98" t="str">
        <f ca="1">IFERROR(__xludf.DUMMYFUNCTION("IFERROR(VLOOKUP(F122,IMPORTRANGE(""https://docs.google.com/spreadsheets/d/1Kvs4KS76FHFqLFIZfrDMff4kP08nblUkihrxltoGBjg/edit#gid=934712705"",""ESENCIAL!A6:BG""),5,FALSE))"),"")</f>
        <v/>
      </c>
      <c r="AL99" s="98" t="str">
        <f t="shared" si="9"/>
        <v/>
      </c>
      <c r="AM99" s="99" t="str">
        <f t="shared" si="10"/>
        <v/>
      </c>
      <c r="AN99" s="100" t="str">
        <f ca="1">IFERROR(__xludf.DUMMYFUNCTION("IFERROR(VLOOKUP(F122,IMPORTRANGE(""https://docs.google.com/spreadsheets/d/1Kvs4KS76FHFqLFIZfrDMff4kP08nblUkihrxltoGBjg/edit#gid=934712705"",""ESENCIAL!A6:BG""),2,FALSE))"),"")</f>
        <v/>
      </c>
      <c r="AO99" s="19" t="str">
        <f t="shared" si="11"/>
        <v/>
      </c>
      <c r="AP99" s="100"/>
      <c r="AQ99" s="100"/>
    </row>
    <row r="100" spans="1:43" ht="15">
      <c r="A100" s="101"/>
      <c r="B100" s="101"/>
      <c r="G100" s="5" t="str">
        <f ca="1">IFERROR(__xludf.DUMMYFUNCTION("IFERROR(VLOOKUP(F123,IMPORTRANGE(""https://docs.google.com/spreadsheets/d/1Kvs4KS76FHFqLFIZfrDMff4kP08nblUkihrxltoGBjg/edit#gid=934712705"",""ESENCIAL!A6:BG""),3,FALSE))"),"")</f>
        <v/>
      </c>
      <c r="H100" s="5" t="str">
        <f ca="1">IFERROR(__xludf.DUMMYFUNCTION("IFERROR(VLOOKUP(F123,IMPORTRANGE(""https://docs.google.com/spreadsheets/d/1Kvs4KS76FHFqLFIZfrDMff4kP08nblUkihrxltoGBjg/edit#gid=934712705"",""ESENCIAL!A6:BG""),8,FALSE))"),"")</f>
        <v/>
      </c>
      <c r="L100" s="287"/>
      <c r="Z100" s="41" t="str">
        <f t="shared" si="8"/>
        <v/>
      </c>
      <c r="AA100" s="5" t="str">
        <f ca="1">IFERROR(__xludf.DUMMYFUNCTION("IFERROR(VLOOKUP(E123&amp;F123,IMPORTRANGE(""https://docs.google.com/spreadsheets/d/1Uw7-A9f9R21vMXxHZFNpYNeKFtG8_yji4HS352LGlSQ/edit?pli=1#gid=0"",""1_ACUM!A4:S""),11,FALSE))"),"")</f>
        <v/>
      </c>
      <c r="AB100" s="42" t="str">
        <f ca="1">IFERROR(__xludf.DUMMYFUNCTION("IFERROR(VLOOKUP(F123,IMPORTRANGE(""https://docs.google.com/spreadsheets/d/1Kvs4KS76FHFqLFIZfrDMff4kP08nblUkihrxltoGBjg/edit#gid=934712705"",""ESENCIAL!A6:BG""),15,FALSE))"),"")</f>
        <v/>
      </c>
      <c r="AC100" s="110" t="str">
        <f ca="1">IFERROR(__xludf.DUMMYFUNCTION("IFERROR(VLOOKUP(E123&amp;F123,IMPORTRANGE(""https://docs.google.com/spreadsheets/d/1Uw7-A9f9R21vMXxHZFNpYNeKFtG8_yji4HS352LGlSQ/edit?pli=1#gid=0"",""1_ACUM!A4:S""),13,FALSE))"),"")</f>
        <v/>
      </c>
      <c r="AD100" s="43" t="str">
        <f ca="1">IFERROR(__xludf.DUMMYFUNCTION("IFERROR(VLOOKUP(E123&amp;F123,IMPORTRANGE(""https://docs.google.com/spreadsheets/d/1Uw7-A9f9R21vMXxHZFNpYNeKFtG8_yji4HS352LGlSQ/edit?pli=1#gid=0"",""1_ACUM!A4:S""),13,FALSE))"),"")</f>
        <v/>
      </c>
      <c r="AE100" s="43" t="str">
        <f ca="1">IFERROR(__xludf.DUMMYFUNCTION("IFERROR(VLOOKUP(E123&amp;F123,IMPORTRANGE(""https://docs.google.com/spreadsheets/d/1Uw7-A9f9R21vMXxHZFNpYNeKFtG8_yji4HS352LGlSQ/edit?pli=1#gid=0"",""1_ACUM!A4:S""),14,FALSE))"),"")</f>
        <v/>
      </c>
      <c r="AF100" s="43" t="str">
        <f ca="1">IFERROR(__xludf.DUMMYFUNCTION("IFERROR(VLOOKUP(E123&amp;F123,IMPORTRANGE(""https://docs.google.com/spreadsheets/d/1Uw7-A9f9R21vMXxHZFNpYNeKFtG8_yji4HS352LGlSQ/edit?pli=1#gid=0"",""1_ACUM!A4:S""),15,FALSE))"),"")</f>
        <v/>
      </c>
      <c r="AG100" s="43" t="str">
        <f ca="1">IFERROR(__xludf.DUMMYFUNCTION("IFERROR(VLOOKUP(E123&amp;F123,IMPORTRANGE(""https://docs.google.com/spreadsheets/d/1Uw7-A9f9R21vMXxHZFNpYNeKFtG8_yji4HS352LGlSQ/edit?pli=1#gid=0"",""1_ACUM!A4:S""),16,FALSE))"),"")</f>
        <v/>
      </c>
      <c r="AH100" s="43" t="str">
        <f ca="1">IFERROR(__xludf.DUMMYFUNCTION("IFERROR(VLOOKUP(E123&amp;F123,IMPORTRANGE(""https://docs.google.com/spreadsheets/d/1Uw7-A9f9R21vMXxHZFNpYNeKFtG8_yji4HS352LGlSQ/edit?pli=1#gid=0"",""1_ACUM!A4:S""),17,FALSE))"),"")</f>
        <v/>
      </c>
      <c r="AI100" s="44" t="str">
        <f ca="1">IFERROR(__xludf.DUMMYFUNCTION("IFERROR(VLOOKUP(E123&amp;F123,IMPORTRANGE(""https://docs.google.com/spreadsheets/d/1Uw7-A9f9R21vMXxHZFNpYNeKFtG8_yji4HS352LGlSQ/edit?pli=1#gid=0"",""1_ACUM!A4:S""),18,FALSE))"),"")</f>
        <v/>
      </c>
      <c r="AJ100" s="44" t="str">
        <f ca="1">IFERROR(__xludf.DUMMYFUNCTION("IFERROR(VLOOKUP(E123&amp;F123,IMPORTRANGE(""https://docs.google.com/spreadsheets/d/1Uw7-A9f9R21vMXxHZFNpYNeKFtG8_yji4HS352LGlSQ/edit?pli=1#gid=0"",""1_ACUM!A4:S""),19,FALSE))"),"")</f>
        <v/>
      </c>
      <c r="AK100" s="98" t="str">
        <f ca="1">IFERROR(__xludf.DUMMYFUNCTION("IFERROR(VLOOKUP(F123,IMPORTRANGE(""https://docs.google.com/spreadsheets/d/1Kvs4KS76FHFqLFIZfrDMff4kP08nblUkihrxltoGBjg/edit#gid=934712705"",""ESENCIAL!A6:BG""),5,FALSE))"),"")</f>
        <v/>
      </c>
      <c r="AL100" s="98" t="str">
        <f t="shared" si="9"/>
        <v/>
      </c>
      <c r="AM100" s="99" t="str">
        <f t="shared" si="10"/>
        <v/>
      </c>
      <c r="AN100" s="100" t="str">
        <f ca="1">IFERROR(__xludf.DUMMYFUNCTION("IFERROR(VLOOKUP(F123,IMPORTRANGE(""https://docs.google.com/spreadsheets/d/1Kvs4KS76FHFqLFIZfrDMff4kP08nblUkihrxltoGBjg/edit#gid=934712705"",""ESENCIAL!A6:BG""),2,FALSE))"),"")</f>
        <v/>
      </c>
      <c r="AO100" s="19" t="str">
        <f t="shared" si="11"/>
        <v/>
      </c>
      <c r="AP100" s="100"/>
      <c r="AQ100" s="100"/>
    </row>
    <row r="101" spans="1:43" ht="15">
      <c r="A101" s="101"/>
      <c r="B101" s="101"/>
      <c r="G101" s="5" t="str">
        <f ca="1">IFERROR(__xludf.DUMMYFUNCTION("IFERROR(VLOOKUP(F124,IMPORTRANGE(""https://docs.google.com/spreadsheets/d/1Kvs4KS76FHFqLFIZfrDMff4kP08nblUkihrxltoGBjg/edit#gid=934712705"",""ESENCIAL!A6:BG""),3,FALSE))"),"")</f>
        <v/>
      </c>
      <c r="H101" s="5" t="str">
        <f ca="1">IFERROR(__xludf.DUMMYFUNCTION("IFERROR(VLOOKUP(F124,IMPORTRANGE(""https://docs.google.com/spreadsheets/d/1Kvs4KS76FHFqLFIZfrDMff4kP08nblUkihrxltoGBjg/edit#gid=934712705"",""ESENCIAL!A6:BG""),8,FALSE))"),"")</f>
        <v/>
      </c>
      <c r="L101" s="287"/>
      <c r="Z101" s="41" t="str">
        <f t="shared" si="8"/>
        <v/>
      </c>
      <c r="AA101" s="5" t="str">
        <f ca="1">IFERROR(__xludf.DUMMYFUNCTION("IFERROR(VLOOKUP(E124&amp;F124,IMPORTRANGE(""https://docs.google.com/spreadsheets/d/1Uw7-A9f9R21vMXxHZFNpYNeKFtG8_yji4HS352LGlSQ/edit?pli=1#gid=0"",""1_ACUM!A4:S""),11,FALSE))"),"")</f>
        <v/>
      </c>
      <c r="AB101" s="42" t="str">
        <f ca="1">IFERROR(__xludf.DUMMYFUNCTION("IFERROR(VLOOKUP(F124,IMPORTRANGE(""https://docs.google.com/spreadsheets/d/1Kvs4KS76FHFqLFIZfrDMff4kP08nblUkihrxltoGBjg/edit#gid=934712705"",""ESENCIAL!A6:BG""),15,FALSE))"),"")</f>
        <v/>
      </c>
      <c r="AC101" s="110" t="str">
        <f ca="1">IFERROR(__xludf.DUMMYFUNCTION("IFERROR(VLOOKUP(E124&amp;F124,IMPORTRANGE(""https://docs.google.com/spreadsheets/d/1Uw7-A9f9R21vMXxHZFNpYNeKFtG8_yji4HS352LGlSQ/edit?pli=1#gid=0"",""1_ACUM!A4:S""),13,FALSE))"),"")</f>
        <v/>
      </c>
      <c r="AD101" s="43" t="str">
        <f ca="1">IFERROR(__xludf.DUMMYFUNCTION("IFERROR(VLOOKUP(E124&amp;F124,IMPORTRANGE(""https://docs.google.com/spreadsheets/d/1Uw7-A9f9R21vMXxHZFNpYNeKFtG8_yji4HS352LGlSQ/edit?pli=1#gid=0"",""1_ACUM!A4:S""),13,FALSE))"),"")</f>
        <v/>
      </c>
      <c r="AE101" s="43" t="str">
        <f ca="1">IFERROR(__xludf.DUMMYFUNCTION("IFERROR(VLOOKUP(E124&amp;F124,IMPORTRANGE(""https://docs.google.com/spreadsheets/d/1Uw7-A9f9R21vMXxHZFNpYNeKFtG8_yji4HS352LGlSQ/edit?pli=1#gid=0"",""1_ACUM!A4:S""),14,FALSE))"),"")</f>
        <v/>
      </c>
      <c r="AF101" s="43" t="str">
        <f ca="1">IFERROR(__xludf.DUMMYFUNCTION("IFERROR(VLOOKUP(E124&amp;F124,IMPORTRANGE(""https://docs.google.com/spreadsheets/d/1Uw7-A9f9R21vMXxHZFNpYNeKFtG8_yji4HS352LGlSQ/edit?pli=1#gid=0"",""1_ACUM!A4:S""),15,FALSE))"),"")</f>
        <v/>
      </c>
      <c r="AG101" s="43" t="str">
        <f ca="1">IFERROR(__xludf.DUMMYFUNCTION("IFERROR(VLOOKUP(E124&amp;F124,IMPORTRANGE(""https://docs.google.com/spreadsheets/d/1Uw7-A9f9R21vMXxHZFNpYNeKFtG8_yji4HS352LGlSQ/edit?pli=1#gid=0"",""1_ACUM!A4:S""),16,FALSE))"),"")</f>
        <v/>
      </c>
      <c r="AH101" s="43" t="str">
        <f ca="1">IFERROR(__xludf.DUMMYFUNCTION("IFERROR(VLOOKUP(E124&amp;F124,IMPORTRANGE(""https://docs.google.com/spreadsheets/d/1Uw7-A9f9R21vMXxHZFNpYNeKFtG8_yji4HS352LGlSQ/edit?pli=1#gid=0"",""1_ACUM!A4:S""),17,FALSE))"),"")</f>
        <v/>
      </c>
      <c r="AI101" s="44" t="str">
        <f ca="1">IFERROR(__xludf.DUMMYFUNCTION("IFERROR(VLOOKUP(E124&amp;F124,IMPORTRANGE(""https://docs.google.com/spreadsheets/d/1Uw7-A9f9R21vMXxHZFNpYNeKFtG8_yji4HS352LGlSQ/edit?pli=1#gid=0"",""1_ACUM!A4:S""),18,FALSE))"),"")</f>
        <v/>
      </c>
      <c r="AJ101" s="44" t="str">
        <f ca="1">IFERROR(__xludf.DUMMYFUNCTION("IFERROR(VLOOKUP(E124&amp;F124,IMPORTRANGE(""https://docs.google.com/spreadsheets/d/1Uw7-A9f9R21vMXxHZFNpYNeKFtG8_yji4HS352LGlSQ/edit?pli=1#gid=0"",""1_ACUM!A4:S""),19,FALSE))"),"")</f>
        <v/>
      </c>
      <c r="AK101" s="98" t="str">
        <f ca="1">IFERROR(__xludf.DUMMYFUNCTION("IFERROR(VLOOKUP(F124,IMPORTRANGE(""https://docs.google.com/spreadsheets/d/1Kvs4KS76FHFqLFIZfrDMff4kP08nblUkihrxltoGBjg/edit#gid=934712705"",""ESENCIAL!A6:BG""),5,FALSE))"),"")</f>
        <v/>
      </c>
      <c r="AL101" s="98" t="str">
        <f t="shared" si="9"/>
        <v/>
      </c>
      <c r="AM101" s="99" t="str">
        <f t="shared" si="10"/>
        <v/>
      </c>
      <c r="AN101" s="100" t="str">
        <f ca="1">IFERROR(__xludf.DUMMYFUNCTION("IFERROR(VLOOKUP(F124,IMPORTRANGE(""https://docs.google.com/spreadsheets/d/1Kvs4KS76FHFqLFIZfrDMff4kP08nblUkihrxltoGBjg/edit#gid=934712705"",""ESENCIAL!A6:BG""),2,FALSE))"),"")</f>
        <v/>
      </c>
      <c r="AO101" s="19" t="str">
        <f t="shared" si="11"/>
        <v/>
      </c>
      <c r="AP101" s="100"/>
      <c r="AQ101" s="100"/>
    </row>
    <row r="102" spans="1:43" ht="15">
      <c r="A102" s="101"/>
      <c r="B102" s="101"/>
      <c r="G102" s="5" t="str">
        <f ca="1">IFERROR(__xludf.DUMMYFUNCTION("IFERROR(VLOOKUP(F125,IMPORTRANGE(""https://docs.google.com/spreadsheets/d/1Kvs4KS76FHFqLFIZfrDMff4kP08nblUkihrxltoGBjg/edit#gid=934712705"",""ESENCIAL!A6:BG""),3,FALSE))"),"")</f>
        <v/>
      </c>
      <c r="H102" s="5" t="str">
        <f ca="1">IFERROR(__xludf.DUMMYFUNCTION("IFERROR(VLOOKUP(F125,IMPORTRANGE(""https://docs.google.com/spreadsheets/d/1Kvs4KS76FHFqLFIZfrDMff4kP08nblUkihrxltoGBjg/edit#gid=934712705"",""ESENCIAL!A6:BG""),8,FALSE))"),"")</f>
        <v/>
      </c>
      <c r="L102" s="287"/>
      <c r="Z102" s="41" t="str">
        <f t="shared" si="8"/>
        <v/>
      </c>
      <c r="AA102" s="5" t="str">
        <f ca="1">IFERROR(__xludf.DUMMYFUNCTION("IFERROR(VLOOKUP(E125&amp;F125,IMPORTRANGE(""https://docs.google.com/spreadsheets/d/1Uw7-A9f9R21vMXxHZFNpYNeKFtG8_yji4HS352LGlSQ/edit?pli=1#gid=0"",""1_ACUM!A4:S""),11,FALSE))"),"")</f>
        <v/>
      </c>
      <c r="AB102" s="42" t="str">
        <f ca="1">IFERROR(__xludf.DUMMYFUNCTION("IFERROR(VLOOKUP(F125,IMPORTRANGE(""https://docs.google.com/spreadsheets/d/1Kvs4KS76FHFqLFIZfrDMff4kP08nblUkihrxltoGBjg/edit#gid=934712705"",""ESENCIAL!A6:BG""),15,FALSE))"),"")</f>
        <v/>
      </c>
      <c r="AC102" s="110" t="str">
        <f ca="1">IFERROR(__xludf.DUMMYFUNCTION("IFERROR(VLOOKUP(E125&amp;F125,IMPORTRANGE(""https://docs.google.com/spreadsheets/d/1Uw7-A9f9R21vMXxHZFNpYNeKFtG8_yji4HS352LGlSQ/edit?pli=1#gid=0"",""1_ACUM!A4:S""),13,FALSE))"),"")</f>
        <v/>
      </c>
      <c r="AD102" s="43" t="str">
        <f ca="1">IFERROR(__xludf.DUMMYFUNCTION("IFERROR(VLOOKUP(E125&amp;F125,IMPORTRANGE(""https://docs.google.com/spreadsheets/d/1Uw7-A9f9R21vMXxHZFNpYNeKFtG8_yji4HS352LGlSQ/edit?pli=1#gid=0"",""1_ACUM!A4:S""),13,FALSE))"),"")</f>
        <v/>
      </c>
      <c r="AE102" s="43" t="str">
        <f ca="1">IFERROR(__xludf.DUMMYFUNCTION("IFERROR(VLOOKUP(E125&amp;F125,IMPORTRANGE(""https://docs.google.com/spreadsheets/d/1Uw7-A9f9R21vMXxHZFNpYNeKFtG8_yji4HS352LGlSQ/edit?pli=1#gid=0"",""1_ACUM!A4:S""),14,FALSE))"),"")</f>
        <v/>
      </c>
      <c r="AF102" s="43" t="str">
        <f ca="1">IFERROR(__xludf.DUMMYFUNCTION("IFERROR(VLOOKUP(E125&amp;F125,IMPORTRANGE(""https://docs.google.com/spreadsheets/d/1Uw7-A9f9R21vMXxHZFNpYNeKFtG8_yji4HS352LGlSQ/edit?pli=1#gid=0"",""1_ACUM!A4:S""),15,FALSE))"),"")</f>
        <v/>
      </c>
      <c r="AG102" s="43" t="str">
        <f ca="1">IFERROR(__xludf.DUMMYFUNCTION("IFERROR(VLOOKUP(E125&amp;F125,IMPORTRANGE(""https://docs.google.com/spreadsheets/d/1Uw7-A9f9R21vMXxHZFNpYNeKFtG8_yji4HS352LGlSQ/edit?pli=1#gid=0"",""1_ACUM!A4:S""),16,FALSE))"),"")</f>
        <v/>
      </c>
      <c r="AH102" s="43" t="str">
        <f ca="1">IFERROR(__xludf.DUMMYFUNCTION("IFERROR(VLOOKUP(E125&amp;F125,IMPORTRANGE(""https://docs.google.com/spreadsheets/d/1Uw7-A9f9R21vMXxHZFNpYNeKFtG8_yji4HS352LGlSQ/edit?pli=1#gid=0"",""1_ACUM!A4:S""),17,FALSE))"),"")</f>
        <v/>
      </c>
      <c r="AI102" s="44" t="str">
        <f ca="1">IFERROR(__xludf.DUMMYFUNCTION("IFERROR(VLOOKUP(E125&amp;F125,IMPORTRANGE(""https://docs.google.com/spreadsheets/d/1Uw7-A9f9R21vMXxHZFNpYNeKFtG8_yji4HS352LGlSQ/edit?pli=1#gid=0"",""1_ACUM!A4:S""),18,FALSE))"),"")</f>
        <v/>
      </c>
      <c r="AJ102" s="44" t="str">
        <f ca="1">IFERROR(__xludf.DUMMYFUNCTION("IFERROR(VLOOKUP(E125&amp;F125,IMPORTRANGE(""https://docs.google.com/spreadsheets/d/1Uw7-A9f9R21vMXxHZFNpYNeKFtG8_yji4HS352LGlSQ/edit?pli=1#gid=0"",""1_ACUM!A4:S""),19,FALSE))"),"")</f>
        <v/>
      </c>
      <c r="AK102" s="98" t="str">
        <f ca="1">IFERROR(__xludf.DUMMYFUNCTION("IFERROR(VLOOKUP(F125,IMPORTRANGE(""https://docs.google.com/spreadsheets/d/1Kvs4KS76FHFqLFIZfrDMff4kP08nblUkihrxltoGBjg/edit#gid=934712705"",""ESENCIAL!A6:BG""),5,FALSE))"),"")</f>
        <v/>
      </c>
      <c r="AL102" s="98" t="str">
        <f t="shared" si="9"/>
        <v/>
      </c>
      <c r="AM102" s="99" t="str">
        <f t="shared" si="10"/>
        <v/>
      </c>
      <c r="AN102" s="100" t="str">
        <f ca="1">IFERROR(__xludf.DUMMYFUNCTION("IFERROR(VLOOKUP(F125,IMPORTRANGE(""https://docs.google.com/spreadsheets/d/1Kvs4KS76FHFqLFIZfrDMff4kP08nblUkihrxltoGBjg/edit#gid=934712705"",""ESENCIAL!A6:BG""),2,FALSE))"),"")</f>
        <v/>
      </c>
      <c r="AO102" s="19" t="str">
        <f t="shared" si="11"/>
        <v/>
      </c>
      <c r="AP102" s="100"/>
      <c r="AQ102" s="100"/>
    </row>
    <row r="103" spans="1:43" ht="15">
      <c r="A103" s="101"/>
      <c r="B103" s="101"/>
      <c r="G103" s="5" t="str">
        <f ca="1">IFERROR(__xludf.DUMMYFUNCTION("IFERROR(VLOOKUP(F126,IMPORTRANGE(""https://docs.google.com/spreadsheets/d/1Kvs4KS76FHFqLFIZfrDMff4kP08nblUkihrxltoGBjg/edit#gid=934712705"",""ESENCIAL!A6:BG""),3,FALSE))"),"")</f>
        <v/>
      </c>
      <c r="H103" s="5" t="str">
        <f ca="1">IFERROR(__xludf.DUMMYFUNCTION("IFERROR(VLOOKUP(F126,IMPORTRANGE(""https://docs.google.com/spreadsheets/d/1Kvs4KS76FHFqLFIZfrDMff4kP08nblUkihrxltoGBjg/edit#gid=934712705"",""ESENCIAL!A6:BG""),8,FALSE))"),"")</f>
        <v/>
      </c>
      <c r="L103" s="287"/>
      <c r="Z103" s="41" t="str">
        <f t="shared" si="8"/>
        <v/>
      </c>
      <c r="AA103" s="5" t="str">
        <f ca="1">IFERROR(__xludf.DUMMYFUNCTION("IFERROR(VLOOKUP(E126&amp;F126,IMPORTRANGE(""https://docs.google.com/spreadsheets/d/1Uw7-A9f9R21vMXxHZFNpYNeKFtG8_yji4HS352LGlSQ/edit?pli=1#gid=0"",""1_ACUM!A4:S""),11,FALSE))"),"")</f>
        <v/>
      </c>
      <c r="AB103" s="42" t="str">
        <f ca="1">IFERROR(__xludf.DUMMYFUNCTION("IFERROR(VLOOKUP(F126,IMPORTRANGE(""https://docs.google.com/spreadsheets/d/1Kvs4KS76FHFqLFIZfrDMff4kP08nblUkihrxltoGBjg/edit#gid=934712705"",""ESENCIAL!A6:BG""),15,FALSE))"),"")</f>
        <v/>
      </c>
      <c r="AC103" s="110" t="str">
        <f ca="1">IFERROR(__xludf.DUMMYFUNCTION("IFERROR(VLOOKUP(E126&amp;F126,IMPORTRANGE(""https://docs.google.com/spreadsheets/d/1Uw7-A9f9R21vMXxHZFNpYNeKFtG8_yji4HS352LGlSQ/edit?pli=1#gid=0"",""1_ACUM!A4:S""),13,FALSE))"),"")</f>
        <v/>
      </c>
      <c r="AD103" s="43" t="str">
        <f ca="1">IFERROR(__xludf.DUMMYFUNCTION("IFERROR(VLOOKUP(E126&amp;F126,IMPORTRANGE(""https://docs.google.com/spreadsheets/d/1Uw7-A9f9R21vMXxHZFNpYNeKFtG8_yji4HS352LGlSQ/edit?pli=1#gid=0"",""1_ACUM!A4:S""),13,FALSE))"),"")</f>
        <v/>
      </c>
      <c r="AE103" s="43" t="str">
        <f ca="1">IFERROR(__xludf.DUMMYFUNCTION("IFERROR(VLOOKUP(E126&amp;F126,IMPORTRANGE(""https://docs.google.com/spreadsheets/d/1Uw7-A9f9R21vMXxHZFNpYNeKFtG8_yji4HS352LGlSQ/edit?pli=1#gid=0"",""1_ACUM!A4:S""),14,FALSE))"),"")</f>
        <v/>
      </c>
      <c r="AF103" s="43" t="str">
        <f ca="1">IFERROR(__xludf.DUMMYFUNCTION("IFERROR(VLOOKUP(E126&amp;F126,IMPORTRANGE(""https://docs.google.com/spreadsheets/d/1Uw7-A9f9R21vMXxHZFNpYNeKFtG8_yji4HS352LGlSQ/edit?pli=1#gid=0"",""1_ACUM!A4:S""),15,FALSE))"),"")</f>
        <v/>
      </c>
      <c r="AG103" s="43" t="str">
        <f ca="1">IFERROR(__xludf.DUMMYFUNCTION("IFERROR(VLOOKUP(E126&amp;F126,IMPORTRANGE(""https://docs.google.com/spreadsheets/d/1Uw7-A9f9R21vMXxHZFNpYNeKFtG8_yji4HS352LGlSQ/edit?pli=1#gid=0"",""1_ACUM!A4:S""),16,FALSE))"),"")</f>
        <v/>
      </c>
      <c r="AH103" s="43" t="str">
        <f ca="1">IFERROR(__xludf.DUMMYFUNCTION("IFERROR(VLOOKUP(E126&amp;F126,IMPORTRANGE(""https://docs.google.com/spreadsheets/d/1Uw7-A9f9R21vMXxHZFNpYNeKFtG8_yji4HS352LGlSQ/edit?pli=1#gid=0"",""1_ACUM!A4:S""),17,FALSE))"),"")</f>
        <v/>
      </c>
      <c r="AI103" s="44" t="str">
        <f ca="1">IFERROR(__xludf.DUMMYFUNCTION("IFERROR(VLOOKUP(E126&amp;F126,IMPORTRANGE(""https://docs.google.com/spreadsheets/d/1Uw7-A9f9R21vMXxHZFNpYNeKFtG8_yji4HS352LGlSQ/edit?pli=1#gid=0"",""1_ACUM!A4:S""),18,FALSE))"),"")</f>
        <v/>
      </c>
      <c r="AJ103" s="44" t="str">
        <f ca="1">IFERROR(__xludf.DUMMYFUNCTION("IFERROR(VLOOKUP(E126&amp;F126,IMPORTRANGE(""https://docs.google.com/spreadsheets/d/1Uw7-A9f9R21vMXxHZFNpYNeKFtG8_yji4HS352LGlSQ/edit?pli=1#gid=0"",""1_ACUM!A4:S""),19,FALSE))"),"")</f>
        <v/>
      </c>
      <c r="AK103" s="98" t="str">
        <f ca="1">IFERROR(__xludf.DUMMYFUNCTION("IFERROR(VLOOKUP(F126,IMPORTRANGE(""https://docs.google.com/spreadsheets/d/1Kvs4KS76FHFqLFIZfrDMff4kP08nblUkihrxltoGBjg/edit#gid=934712705"",""ESENCIAL!A6:BG""),5,FALSE))"),"")</f>
        <v/>
      </c>
      <c r="AL103" s="98" t="str">
        <f t="shared" si="9"/>
        <v/>
      </c>
      <c r="AM103" s="99" t="str">
        <f t="shared" si="10"/>
        <v/>
      </c>
      <c r="AN103" s="100" t="str">
        <f ca="1">IFERROR(__xludf.DUMMYFUNCTION("IFERROR(VLOOKUP(F126,IMPORTRANGE(""https://docs.google.com/spreadsheets/d/1Kvs4KS76FHFqLFIZfrDMff4kP08nblUkihrxltoGBjg/edit#gid=934712705"",""ESENCIAL!A6:BG""),2,FALSE))"),"")</f>
        <v/>
      </c>
      <c r="AO103" s="19" t="str">
        <f t="shared" si="11"/>
        <v/>
      </c>
      <c r="AP103" s="100"/>
      <c r="AQ103" s="100"/>
    </row>
    <row r="104" spans="1:43" ht="15">
      <c r="A104" s="101"/>
      <c r="B104" s="101"/>
      <c r="G104" s="5" t="str">
        <f ca="1">IFERROR(__xludf.DUMMYFUNCTION("IFERROR(VLOOKUP(F127,IMPORTRANGE(""https://docs.google.com/spreadsheets/d/1Kvs4KS76FHFqLFIZfrDMff4kP08nblUkihrxltoGBjg/edit#gid=934712705"",""ESENCIAL!A6:BG""),3,FALSE))"),"")</f>
        <v/>
      </c>
      <c r="H104" s="5" t="str">
        <f ca="1">IFERROR(__xludf.DUMMYFUNCTION("IFERROR(VLOOKUP(F127,IMPORTRANGE(""https://docs.google.com/spreadsheets/d/1Kvs4KS76FHFqLFIZfrDMff4kP08nblUkihrxltoGBjg/edit#gid=934712705"",""ESENCIAL!A6:BG""),8,FALSE))"),"")</f>
        <v/>
      </c>
      <c r="L104" s="287"/>
      <c r="Z104" s="41" t="str">
        <f t="shared" si="8"/>
        <v/>
      </c>
      <c r="AA104" s="5" t="str">
        <f ca="1">IFERROR(__xludf.DUMMYFUNCTION("IFERROR(VLOOKUP(E127&amp;F127,IMPORTRANGE(""https://docs.google.com/spreadsheets/d/1Uw7-A9f9R21vMXxHZFNpYNeKFtG8_yji4HS352LGlSQ/edit?pli=1#gid=0"",""1_ACUM!A4:S""),11,FALSE))"),"")</f>
        <v/>
      </c>
      <c r="AB104" s="42" t="str">
        <f ca="1">IFERROR(__xludf.DUMMYFUNCTION("IFERROR(VLOOKUP(F127,IMPORTRANGE(""https://docs.google.com/spreadsheets/d/1Kvs4KS76FHFqLFIZfrDMff4kP08nblUkihrxltoGBjg/edit#gid=934712705"",""ESENCIAL!A6:BG""),15,FALSE))"),"")</f>
        <v/>
      </c>
      <c r="AC104" s="110" t="str">
        <f ca="1">IFERROR(__xludf.DUMMYFUNCTION("IFERROR(VLOOKUP(E127&amp;F127,IMPORTRANGE(""https://docs.google.com/spreadsheets/d/1Uw7-A9f9R21vMXxHZFNpYNeKFtG8_yji4HS352LGlSQ/edit?pli=1#gid=0"",""1_ACUM!A4:S""),13,FALSE))"),"")</f>
        <v/>
      </c>
      <c r="AD104" s="43" t="str">
        <f ca="1">IFERROR(__xludf.DUMMYFUNCTION("IFERROR(VLOOKUP(E127&amp;F127,IMPORTRANGE(""https://docs.google.com/spreadsheets/d/1Uw7-A9f9R21vMXxHZFNpYNeKFtG8_yji4HS352LGlSQ/edit?pli=1#gid=0"",""1_ACUM!A4:S""),13,FALSE))"),"")</f>
        <v/>
      </c>
      <c r="AE104" s="43" t="str">
        <f ca="1">IFERROR(__xludf.DUMMYFUNCTION("IFERROR(VLOOKUP(E127&amp;F127,IMPORTRANGE(""https://docs.google.com/spreadsheets/d/1Uw7-A9f9R21vMXxHZFNpYNeKFtG8_yji4HS352LGlSQ/edit?pli=1#gid=0"",""1_ACUM!A4:S""),14,FALSE))"),"")</f>
        <v/>
      </c>
      <c r="AF104" s="43" t="str">
        <f ca="1">IFERROR(__xludf.DUMMYFUNCTION("IFERROR(VLOOKUP(E127&amp;F127,IMPORTRANGE(""https://docs.google.com/spreadsheets/d/1Uw7-A9f9R21vMXxHZFNpYNeKFtG8_yji4HS352LGlSQ/edit?pli=1#gid=0"",""1_ACUM!A4:S""),15,FALSE))"),"")</f>
        <v/>
      </c>
      <c r="AG104" s="43" t="str">
        <f ca="1">IFERROR(__xludf.DUMMYFUNCTION("IFERROR(VLOOKUP(E127&amp;F127,IMPORTRANGE(""https://docs.google.com/spreadsheets/d/1Uw7-A9f9R21vMXxHZFNpYNeKFtG8_yji4HS352LGlSQ/edit?pli=1#gid=0"",""1_ACUM!A4:S""),16,FALSE))"),"")</f>
        <v/>
      </c>
      <c r="AH104" s="43" t="str">
        <f ca="1">IFERROR(__xludf.DUMMYFUNCTION("IFERROR(VLOOKUP(E127&amp;F127,IMPORTRANGE(""https://docs.google.com/spreadsheets/d/1Uw7-A9f9R21vMXxHZFNpYNeKFtG8_yji4HS352LGlSQ/edit?pli=1#gid=0"",""1_ACUM!A4:S""),17,FALSE))"),"")</f>
        <v/>
      </c>
      <c r="AI104" s="44" t="str">
        <f ca="1">IFERROR(__xludf.DUMMYFUNCTION("IFERROR(VLOOKUP(E127&amp;F127,IMPORTRANGE(""https://docs.google.com/spreadsheets/d/1Uw7-A9f9R21vMXxHZFNpYNeKFtG8_yji4HS352LGlSQ/edit?pli=1#gid=0"",""1_ACUM!A4:S""),18,FALSE))"),"")</f>
        <v/>
      </c>
      <c r="AJ104" s="44" t="str">
        <f ca="1">IFERROR(__xludf.DUMMYFUNCTION("IFERROR(VLOOKUP(E127&amp;F127,IMPORTRANGE(""https://docs.google.com/spreadsheets/d/1Uw7-A9f9R21vMXxHZFNpYNeKFtG8_yji4HS352LGlSQ/edit?pli=1#gid=0"",""1_ACUM!A4:S""),19,FALSE))"),"")</f>
        <v/>
      </c>
      <c r="AK104" s="98" t="str">
        <f ca="1">IFERROR(__xludf.DUMMYFUNCTION("IFERROR(VLOOKUP(F127,IMPORTRANGE(""https://docs.google.com/spreadsheets/d/1Kvs4KS76FHFqLFIZfrDMff4kP08nblUkihrxltoGBjg/edit#gid=934712705"",""ESENCIAL!A6:BG""),5,FALSE))"),"")</f>
        <v/>
      </c>
      <c r="AL104" s="98" t="str">
        <f t="shared" si="9"/>
        <v/>
      </c>
      <c r="AM104" s="99" t="str">
        <f t="shared" si="10"/>
        <v/>
      </c>
      <c r="AN104" s="100" t="str">
        <f ca="1">IFERROR(__xludf.DUMMYFUNCTION("IFERROR(VLOOKUP(F127,IMPORTRANGE(""https://docs.google.com/spreadsheets/d/1Kvs4KS76FHFqLFIZfrDMff4kP08nblUkihrxltoGBjg/edit#gid=934712705"",""ESENCIAL!A6:BG""),2,FALSE))"),"")</f>
        <v/>
      </c>
      <c r="AO104" s="19" t="str">
        <f t="shared" si="11"/>
        <v/>
      </c>
      <c r="AP104" s="100"/>
      <c r="AQ104" s="100"/>
    </row>
    <row r="105" spans="1:43" ht="15">
      <c r="A105" s="101"/>
      <c r="B105" s="101"/>
      <c r="G105" s="5" t="str">
        <f ca="1">IFERROR(__xludf.DUMMYFUNCTION("IFERROR(VLOOKUP(F128,IMPORTRANGE(""https://docs.google.com/spreadsheets/d/1Kvs4KS76FHFqLFIZfrDMff4kP08nblUkihrxltoGBjg/edit#gid=934712705"",""ESENCIAL!A6:BG""),3,FALSE))"),"")</f>
        <v/>
      </c>
      <c r="H105" s="5" t="str">
        <f ca="1">IFERROR(__xludf.DUMMYFUNCTION("IFERROR(VLOOKUP(F128,IMPORTRANGE(""https://docs.google.com/spreadsheets/d/1Kvs4KS76FHFqLFIZfrDMff4kP08nblUkihrxltoGBjg/edit#gid=934712705"",""ESENCIAL!A6:BG""),8,FALSE))"),"")</f>
        <v/>
      </c>
      <c r="L105" s="287"/>
      <c r="Z105" s="41" t="str">
        <f t="shared" si="8"/>
        <v/>
      </c>
      <c r="AA105" s="5" t="str">
        <f ca="1">IFERROR(__xludf.DUMMYFUNCTION("IFERROR(VLOOKUP(E128&amp;F128,IMPORTRANGE(""https://docs.google.com/spreadsheets/d/1Uw7-A9f9R21vMXxHZFNpYNeKFtG8_yji4HS352LGlSQ/edit?pli=1#gid=0"",""1_ACUM!A4:S""),11,FALSE))"),"")</f>
        <v/>
      </c>
      <c r="AB105" s="42" t="str">
        <f ca="1">IFERROR(__xludf.DUMMYFUNCTION("IFERROR(VLOOKUP(F128,IMPORTRANGE(""https://docs.google.com/spreadsheets/d/1Kvs4KS76FHFqLFIZfrDMff4kP08nblUkihrxltoGBjg/edit#gid=934712705"",""ESENCIAL!A6:BG""),15,FALSE))"),"")</f>
        <v/>
      </c>
      <c r="AC105" s="110" t="str">
        <f ca="1">IFERROR(__xludf.DUMMYFUNCTION("IFERROR(VLOOKUP(E128&amp;F128,IMPORTRANGE(""https://docs.google.com/spreadsheets/d/1Uw7-A9f9R21vMXxHZFNpYNeKFtG8_yji4HS352LGlSQ/edit?pli=1#gid=0"",""1_ACUM!A4:S""),13,FALSE))"),"")</f>
        <v/>
      </c>
      <c r="AD105" s="43" t="str">
        <f ca="1">IFERROR(__xludf.DUMMYFUNCTION("IFERROR(VLOOKUP(E128&amp;F128,IMPORTRANGE(""https://docs.google.com/spreadsheets/d/1Uw7-A9f9R21vMXxHZFNpYNeKFtG8_yji4HS352LGlSQ/edit?pli=1#gid=0"",""1_ACUM!A4:S""),13,FALSE))"),"")</f>
        <v/>
      </c>
      <c r="AE105" s="43" t="str">
        <f ca="1">IFERROR(__xludf.DUMMYFUNCTION("IFERROR(VLOOKUP(E128&amp;F128,IMPORTRANGE(""https://docs.google.com/spreadsheets/d/1Uw7-A9f9R21vMXxHZFNpYNeKFtG8_yji4HS352LGlSQ/edit?pli=1#gid=0"",""1_ACUM!A4:S""),14,FALSE))"),"")</f>
        <v/>
      </c>
      <c r="AF105" s="43" t="str">
        <f ca="1">IFERROR(__xludf.DUMMYFUNCTION("IFERROR(VLOOKUP(E128&amp;F128,IMPORTRANGE(""https://docs.google.com/spreadsheets/d/1Uw7-A9f9R21vMXxHZFNpYNeKFtG8_yji4HS352LGlSQ/edit?pli=1#gid=0"",""1_ACUM!A4:S""),15,FALSE))"),"")</f>
        <v/>
      </c>
      <c r="AG105" s="43" t="str">
        <f ca="1">IFERROR(__xludf.DUMMYFUNCTION("IFERROR(VLOOKUP(E128&amp;F128,IMPORTRANGE(""https://docs.google.com/spreadsheets/d/1Uw7-A9f9R21vMXxHZFNpYNeKFtG8_yji4HS352LGlSQ/edit?pli=1#gid=0"",""1_ACUM!A4:S""),16,FALSE))"),"")</f>
        <v/>
      </c>
      <c r="AH105" s="43" t="str">
        <f ca="1">IFERROR(__xludf.DUMMYFUNCTION("IFERROR(VLOOKUP(E128&amp;F128,IMPORTRANGE(""https://docs.google.com/spreadsheets/d/1Uw7-A9f9R21vMXxHZFNpYNeKFtG8_yji4HS352LGlSQ/edit?pli=1#gid=0"",""1_ACUM!A4:S""),17,FALSE))"),"")</f>
        <v/>
      </c>
      <c r="AI105" s="44" t="str">
        <f ca="1">IFERROR(__xludf.DUMMYFUNCTION("IFERROR(VLOOKUP(E128&amp;F128,IMPORTRANGE(""https://docs.google.com/spreadsheets/d/1Uw7-A9f9R21vMXxHZFNpYNeKFtG8_yji4HS352LGlSQ/edit?pli=1#gid=0"",""1_ACUM!A4:S""),18,FALSE))"),"")</f>
        <v/>
      </c>
      <c r="AJ105" s="44" t="str">
        <f ca="1">IFERROR(__xludf.DUMMYFUNCTION("IFERROR(VLOOKUP(E128&amp;F128,IMPORTRANGE(""https://docs.google.com/spreadsheets/d/1Uw7-A9f9R21vMXxHZFNpYNeKFtG8_yji4HS352LGlSQ/edit?pli=1#gid=0"",""1_ACUM!A4:S""),19,FALSE))"),"")</f>
        <v/>
      </c>
      <c r="AK105" s="98" t="str">
        <f ca="1">IFERROR(__xludf.DUMMYFUNCTION("IFERROR(VLOOKUP(F128,IMPORTRANGE(""https://docs.google.com/spreadsheets/d/1Kvs4KS76FHFqLFIZfrDMff4kP08nblUkihrxltoGBjg/edit#gid=934712705"",""ESENCIAL!A6:BG""),5,FALSE))"),"")</f>
        <v/>
      </c>
      <c r="AL105" s="98" t="str">
        <f t="shared" si="9"/>
        <v/>
      </c>
      <c r="AM105" s="99" t="str">
        <f t="shared" si="10"/>
        <v/>
      </c>
      <c r="AN105" s="100" t="str">
        <f ca="1">IFERROR(__xludf.DUMMYFUNCTION("IFERROR(VLOOKUP(F128,IMPORTRANGE(""https://docs.google.com/spreadsheets/d/1Kvs4KS76FHFqLFIZfrDMff4kP08nblUkihrxltoGBjg/edit#gid=934712705"",""ESENCIAL!A6:BG""),2,FALSE))"),"")</f>
        <v/>
      </c>
      <c r="AO105" s="19" t="str">
        <f t="shared" si="11"/>
        <v/>
      </c>
      <c r="AP105" s="100"/>
      <c r="AQ105" s="100"/>
    </row>
    <row r="106" spans="1:43" ht="15">
      <c r="A106" s="101"/>
      <c r="B106" s="101"/>
      <c r="G106" s="5" t="str">
        <f ca="1">IFERROR(__xludf.DUMMYFUNCTION("IFERROR(VLOOKUP(F129,IMPORTRANGE(""https://docs.google.com/spreadsheets/d/1Kvs4KS76FHFqLFIZfrDMff4kP08nblUkihrxltoGBjg/edit#gid=934712705"",""ESENCIAL!A6:BG""),3,FALSE))"),"")</f>
        <v/>
      </c>
      <c r="H106" s="5" t="str">
        <f ca="1">IFERROR(__xludf.DUMMYFUNCTION("IFERROR(VLOOKUP(F129,IMPORTRANGE(""https://docs.google.com/spreadsheets/d/1Kvs4KS76FHFqLFIZfrDMff4kP08nblUkihrxltoGBjg/edit#gid=934712705"",""ESENCIAL!A6:BG""),8,FALSE))"),"")</f>
        <v/>
      </c>
      <c r="L106" s="287"/>
      <c r="Z106" s="41" t="str">
        <f t="shared" si="8"/>
        <v/>
      </c>
      <c r="AA106" s="5" t="str">
        <f ca="1">IFERROR(__xludf.DUMMYFUNCTION("IFERROR(VLOOKUP(E129&amp;F129,IMPORTRANGE(""https://docs.google.com/spreadsheets/d/1Uw7-A9f9R21vMXxHZFNpYNeKFtG8_yji4HS352LGlSQ/edit?pli=1#gid=0"",""1_ACUM!A4:S""),11,FALSE))"),"")</f>
        <v/>
      </c>
      <c r="AB106" s="42" t="str">
        <f ca="1">IFERROR(__xludf.DUMMYFUNCTION("IFERROR(VLOOKUP(F129,IMPORTRANGE(""https://docs.google.com/spreadsheets/d/1Kvs4KS76FHFqLFIZfrDMff4kP08nblUkihrxltoGBjg/edit#gid=934712705"",""ESENCIAL!A6:BG""),15,FALSE))"),"")</f>
        <v/>
      </c>
      <c r="AC106" s="110" t="str">
        <f ca="1">IFERROR(__xludf.DUMMYFUNCTION("IFERROR(VLOOKUP(E129&amp;F129,IMPORTRANGE(""https://docs.google.com/spreadsheets/d/1Uw7-A9f9R21vMXxHZFNpYNeKFtG8_yji4HS352LGlSQ/edit?pli=1#gid=0"",""1_ACUM!A4:S""),13,FALSE))"),"")</f>
        <v/>
      </c>
      <c r="AD106" s="43" t="str">
        <f ca="1">IFERROR(__xludf.DUMMYFUNCTION("IFERROR(VLOOKUP(E129&amp;F129,IMPORTRANGE(""https://docs.google.com/spreadsheets/d/1Uw7-A9f9R21vMXxHZFNpYNeKFtG8_yji4HS352LGlSQ/edit?pli=1#gid=0"",""1_ACUM!A4:S""),13,FALSE))"),"")</f>
        <v/>
      </c>
      <c r="AE106" s="43" t="str">
        <f ca="1">IFERROR(__xludf.DUMMYFUNCTION("IFERROR(VLOOKUP(E129&amp;F129,IMPORTRANGE(""https://docs.google.com/spreadsheets/d/1Uw7-A9f9R21vMXxHZFNpYNeKFtG8_yji4HS352LGlSQ/edit?pli=1#gid=0"",""1_ACUM!A4:S""),14,FALSE))"),"")</f>
        <v/>
      </c>
      <c r="AF106" s="43" t="str">
        <f ca="1">IFERROR(__xludf.DUMMYFUNCTION("IFERROR(VLOOKUP(E129&amp;F129,IMPORTRANGE(""https://docs.google.com/spreadsheets/d/1Uw7-A9f9R21vMXxHZFNpYNeKFtG8_yji4HS352LGlSQ/edit?pli=1#gid=0"",""1_ACUM!A4:S""),15,FALSE))"),"")</f>
        <v/>
      </c>
      <c r="AG106" s="43" t="str">
        <f ca="1">IFERROR(__xludf.DUMMYFUNCTION("IFERROR(VLOOKUP(E129&amp;F129,IMPORTRANGE(""https://docs.google.com/spreadsheets/d/1Uw7-A9f9R21vMXxHZFNpYNeKFtG8_yji4HS352LGlSQ/edit?pli=1#gid=0"",""1_ACUM!A4:S""),16,FALSE))"),"")</f>
        <v/>
      </c>
      <c r="AH106" s="43" t="str">
        <f ca="1">IFERROR(__xludf.DUMMYFUNCTION("IFERROR(VLOOKUP(E129&amp;F129,IMPORTRANGE(""https://docs.google.com/spreadsheets/d/1Uw7-A9f9R21vMXxHZFNpYNeKFtG8_yji4HS352LGlSQ/edit?pli=1#gid=0"",""1_ACUM!A4:S""),17,FALSE))"),"")</f>
        <v/>
      </c>
      <c r="AI106" s="44" t="str">
        <f ca="1">IFERROR(__xludf.DUMMYFUNCTION("IFERROR(VLOOKUP(E129&amp;F129,IMPORTRANGE(""https://docs.google.com/spreadsheets/d/1Uw7-A9f9R21vMXxHZFNpYNeKFtG8_yji4HS352LGlSQ/edit?pli=1#gid=0"",""1_ACUM!A4:S""),18,FALSE))"),"")</f>
        <v/>
      </c>
      <c r="AJ106" s="44" t="str">
        <f ca="1">IFERROR(__xludf.DUMMYFUNCTION("IFERROR(VLOOKUP(E129&amp;F129,IMPORTRANGE(""https://docs.google.com/spreadsheets/d/1Uw7-A9f9R21vMXxHZFNpYNeKFtG8_yji4HS352LGlSQ/edit?pli=1#gid=0"",""1_ACUM!A4:S""),19,FALSE))"),"")</f>
        <v/>
      </c>
      <c r="AK106" s="98" t="str">
        <f ca="1">IFERROR(__xludf.DUMMYFUNCTION("IFERROR(VLOOKUP(F129,IMPORTRANGE(""https://docs.google.com/spreadsheets/d/1Kvs4KS76FHFqLFIZfrDMff4kP08nblUkihrxltoGBjg/edit#gid=934712705"",""ESENCIAL!A6:BG""),5,FALSE))"),"")</f>
        <v/>
      </c>
      <c r="AL106" s="98" t="str">
        <f t="shared" si="9"/>
        <v/>
      </c>
      <c r="AM106" s="99" t="str">
        <f t="shared" si="10"/>
        <v/>
      </c>
      <c r="AN106" s="100" t="str">
        <f ca="1">IFERROR(__xludf.DUMMYFUNCTION("IFERROR(VLOOKUP(F129,IMPORTRANGE(""https://docs.google.com/spreadsheets/d/1Kvs4KS76FHFqLFIZfrDMff4kP08nblUkihrxltoGBjg/edit#gid=934712705"",""ESENCIAL!A6:BG""),2,FALSE))"),"")</f>
        <v/>
      </c>
      <c r="AO106" s="19" t="str">
        <f t="shared" si="11"/>
        <v/>
      </c>
      <c r="AP106" s="100"/>
      <c r="AQ106" s="100"/>
    </row>
    <row r="107" spans="1:43" ht="15">
      <c r="A107" s="101"/>
      <c r="B107" s="101"/>
      <c r="G107" s="5" t="str">
        <f ca="1">IFERROR(__xludf.DUMMYFUNCTION("IFERROR(VLOOKUP(F130,IMPORTRANGE(""https://docs.google.com/spreadsheets/d/1Kvs4KS76FHFqLFIZfrDMff4kP08nblUkihrxltoGBjg/edit#gid=934712705"",""ESENCIAL!A6:BG""),3,FALSE))"),"")</f>
        <v/>
      </c>
      <c r="H107" s="5" t="str">
        <f ca="1">IFERROR(__xludf.DUMMYFUNCTION("IFERROR(VLOOKUP(F130,IMPORTRANGE(""https://docs.google.com/spreadsheets/d/1Kvs4KS76FHFqLFIZfrDMff4kP08nblUkihrxltoGBjg/edit#gid=934712705"",""ESENCIAL!A6:BG""),8,FALSE))"),"")</f>
        <v/>
      </c>
      <c r="L107" s="287"/>
      <c r="Z107" s="41" t="str">
        <f t="shared" si="8"/>
        <v/>
      </c>
      <c r="AA107" s="5" t="str">
        <f ca="1">IFERROR(__xludf.DUMMYFUNCTION("IFERROR(VLOOKUP(E130&amp;F130,IMPORTRANGE(""https://docs.google.com/spreadsheets/d/1Uw7-A9f9R21vMXxHZFNpYNeKFtG8_yji4HS352LGlSQ/edit?pli=1#gid=0"",""1_ACUM!A4:S""),11,FALSE))"),"")</f>
        <v/>
      </c>
      <c r="AB107" s="42" t="str">
        <f ca="1">IFERROR(__xludf.DUMMYFUNCTION("IFERROR(VLOOKUP(F130,IMPORTRANGE(""https://docs.google.com/spreadsheets/d/1Kvs4KS76FHFqLFIZfrDMff4kP08nblUkihrxltoGBjg/edit#gid=934712705"",""ESENCIAL!A6:BG""),15,FALSE))"),"")</f>
        <v/>
      </c>
      <c r="AC107" s="110" t="str">
        <f ca="1">IFERROR(__xludf.DUMMYFUNCTION("IFERROR(VLOOKUP(E130&amp;F130,IMPORTRANGE(""https://docs.google.com/spreadsheets/d/1Uw7-A9f9R21vMXxHZFNpYNeKFtG8_yji4HS352LGlSQ/edit?pli=1#gid=0"",""1_ACUM!A4:S""),13,FALSE))"),"")</f>
        <v/>
      </c>
      <c r="AD107" s="43" t="str">
        <f ca="1">IFERROR(__xludf.DUMMYFUNCTION("IFERROR(VLOOKUP(E130&amp;F130,IMPORTRANGE(""https://docs.google.com/spreadsheets/d/1Uw7-A9f9R21vMXxHZFNpYNeKFtG8_yji4HS352LGlSQ/edit?pli=1#gid=0"",""1_ACUM!A4:S""),13,FALSE))"),"")</f>
        <v/>
      </c>
      <c r="AE107" s="43" t="str">
        <f ca="1">IFERROR(__xludf.DUMMYFUNCTION("IFERROR(VLOOKUP(E130&amp;F130,IMPORTRANGE(""https://docs.google.com/spreadsheets/d/1Uw7-A9f9R21vMXxHZFNpYNeKFtG8_yji4HS352LGlSQ/edit?pli=1#gid=0"",""1_ACUM!A4:S""),14,FALSE))"),"")</f>
        <v/>
      </c>
      <c r="AF107" s="43" t="str">
        <f ca="1">IFERROR(__xludf.DUMMYFUNCTION("IFERROR(VLOOKUP(E130&amp;F130,IMPORTRANGE(""https://docs.google.com/spreadsheets/d/1Uw7-A9f9R21vMXxHZFNpYNeKFtG8_yji4HS352LGlSQ/edit?pli=1#gid=0"",""1_ACUM!A4:S""),15,FALSE))"),"")</f>
        <v/>
      </c>
      <c r="AG107" s="43" t="str">
        <f ca="1">IFERROR(__xludf.DUMMYFUNCTION("IFERROR(VLOOKUP(E130&amp;F130,IMPORTRANGE(""https://docs.google.com/spreadsheets/d/1Uw7-A9f9R21vMXxHZFNpYNeKFtG8_yji4HS352LGlSQ/edit?pli=1#gid=0"",""1_ACUM!A4:S""),16,FALSE))"),"")</f>
        <v/>
      </c>
      <c r="AH107" s="43" t="str">
        <f ca="1">IFERROR(__xludf.DUMMYFUNCTION("IFERROR(VLOOKUP(E130&amp;F130,IMPORTRANGE(""https://docs.google.com/spreadsheets/d/1Uw7-A9f9R21vMXxHZFNpYNeKFtG8_yji4HS352LGlSQ/edit?pli=1#gid=0"",""1_ACUM!A4:S""),17,FALSE))"),"")</f>
        <v/>
      </c>
      <c r="AI107" s="44" t="str">
        <f ca="1">IFERROR(__xludf.DUMMYFUNCTION("IFERROR(VLOOKUP(E130&amp;F130,IMPORTRANGE(""https://docs.google.com/spreadsheets/d/1Uw7-A9f9R21vMXxHZFNpYNeKFtG8_yji4HS352LGlSQ/edit?pli=1#gid=0"",""1_ACUM!A4:S""),18,FALSE))"),"")</f>
        <v/>
      </c>
      <c r="AJ107" s="44" t="str">
        <f ca="1">IFERROR(__xludf.DUMMYFUNCTION("IFERROR(VLOOKUP(E130&amp;F130,IMPORTRANGE(""https://docs.google.com/spreadsheets/d/1Uw7-A9f9R21vMXxHZFNpYNeKFtG8_yji4HS352LGlSQ/edit?pli=1#gid=0"",""1_ACUM!A4:S""),19,FALSE))"),"")</f>
        <v/>
      </c>
      <c r="AK107" s="98" t="str">
        <f ca="1">IFERROR(__xludf.DUMMYFUNCTION("IFERROR(VLOOKUP(F130,IMPORTRANGE(""https://docs.google.com/spreadsheets/d/1Kvs4KS76FHFqLFIZfrDMff4kP08nblUkihrxltoGBjg/edit#gid=934712705"",""ESENCIAL!A6:BG""),5,FALSE))"),"")</f>
        <v/>
      </c>
      <c r="AL107" s="98" t="str">
        <f t="shared" si="9"/>
        <v/>
      </c>
      <c r="AM107" s="99" t="str">
        <f t="shared" si="10"/>
        <v/>
      </c>
      <c r="AN107" s="100" t="str">
        <f ca="1">IFERROR(__xludf.DUMMYFUNCTION("IFERROR(VLOOKUP(F130,IMPORTRANGE(""https://docs.google.com/spreadsheets/d/1Kvs4KS76FHFqLFIZfrDMff4kP08nblUkihrxltoGBjg/edit#gid=934712705"",""ESENCIAL!A6:BG""),2,FALSE))"),"")</f>
        <v/>
      </c>
      <c r="AO107" s="19" t="str">
        <f t="shared" si="11"/>
        <v/>
      </c>
      <c r="AP107" s="100"/>
      <c r="AQ107" s="100"/>
    </row>
    <row r="108" spans="1:43" ht="15">
      <c r="A108" s="101"/>
      <c r="B108" s="101"/>
      <c r="G108" s="5" t="str">
        <f ca="1">IFERROR(__xludf.DUMMYFUNCTION("IFERROR(VLOOKUP(F131,IMPORTRANGE(""https://docs.google.com/spreadsheets/d/1Kvs4KS76FHFqLFIZfrDMff4kP08nblUkihrxltoGBjg/edit#gid=934712705"",""ESENCIAL!A6:BG""),3,FALSE))"),"")</f>
        <v/>
      </c>
      <c r="H108" s="5" t="str">
        <f ca="1">IFERROR(__xludf.DUMMYFUNCTION("IFERROR(VLOOKUP(F131,IMPORTRANGE(""https://docs.google.com/spreadsheets/d/1Kvs4KS76FHFqLFIZfrDMff4kP08nblUkihrxltoGBjg/edit#gid=934712705"",""ESENCIAL!A6:BG""),8,FALSE))"),"")</f>
        <v/>
      </c>
      <c r="L108" s="287"/>
      <c r="Z108" s="41" t="str">
        <f t="shared" si="8"/>
        <v/>
      </c>
      <c r="AA108" s="5" t="str">
        <f ca="1">IFERROR(__xludf.DUMMYFUNCTION("IFERROR(VLOOKUP(E131&amp;F131,IMPORTRANGE(""https://docs.google.com/spreadsheets/d/1Uw7-A9f9R21vMXxHZFNpYNeKFtG8_yji4HS352LGlSQ/edit?pli=1#gid=0"",""1_ACUM!A4:S""),11,FALSE))"),"")</f>
        <v/>
      </c>
      <c r="AB108" s="42" t="str">
        <f ca="1">IFERROR(__xludf.DUMMYFUNCTION("IFERROR(VLOOKUP(F131,IMPORTRANGE(""https://docs.google.com/spreadsheets/d/1Kvs4KS76FHFqLFIZfrDMff4kP08nblUkihrxltoGBjg/edit#gid=934712705"",""ESENCIAL!A6:BG""),15,FALSE))"),"")</f>
        <v/>
      </c>
      <c r="AC108" s="110" t="str">
        <f ca="1">IFERROR(__xludf.DUMMYFUNCTION("IFERROR(VLOOKUP(E131&amp;F131,IMPORTRANGE(""https://docs.google.com/spreadsheets/d/1Uw7-A9f9R21vMXxHZFNpYNeKFtG8_yji4HS352LGlSQ/edit?pli=1#gid=0"",""1_ACUM!A4:S""),13,FALSE))"),"")</f>
        <v/>
      </c>
      <c r="AD108" s="43" t="str">
        <f ca="1">IFERROR(__xludf.DUMMYFUNCTION("IFERROR(VLOOKUP(E131&amp;F131,IMPORTRANGE(""https://docs.google.com/spreadsheets/d/1Uw7-A9f9R21vMXxHZFNpYNeKFtG8_yji4HS352LGlSQ/edit?pli=1#gid=0"",""1_ACUM!A4:S""),13,FALSE))"),"")</f>
        <v/>
      </c>
      <c r="AE108" s="43" t="str">
        <f ca="1">IFERROR(__xludf.DUMMYFUNCTION("IFERROR(VLOOKUP(E131&amp;F131,IMPORTRANGE(""https://docs.google.com/spreadsheets/d/1Uw7-A9f9R21vMXxHZFNpYNeKFtG8_yji4HS352LGlSQ/edit?pli=1#gid=0"",""1_ACUM!A4:S""),14,FALSE))"),"")</f>
        <v/>
      </c>
      <c r="AF108" s="43" t="str">
        <f ca="1">IFERROR(__xludf.DUMMYFUNCTION("IFERROR(VLOOKUP(E131&amp;F131,IMPORTRANGE(""https://docs.google.com/spreadsheets/d/1Uw7-A9f9R21vMXxHZFNpYNeKFtG8_yji4HS352LGlSQ/edit?pli=1#gid=0"",""1_ACUM!A4:S""),15,FALSE))"),"")</f>
        <v/>
      </c>
      <c r="AG108" s="43" t="str">
        <f ca="1">IFERROR(__xludf.DUMMYFUNCTION("IFERROR(VLOOKUP(E131&amp;F131,IMPORTRANGE(""https://docs.google.com/spreadsheets/d/1Uw7-A9f9R21vMXxHZFNpYNeKFtG8_yji4HS352LGlSQ/edit?pli=1#gid=0"",""1_ACUM!A4:S""),16,FALSE))"),"")</f>
        <v/>
      </c>
      <c r="AH108" s="43" t="str">
        <f ca="1">IFERROR(__xludf.DUMMYFUNCTION("IFERROR(VLOOKUP(E131&amp;F131,IMPORTRANGE(""https://docs.google.com/spreadsheets/d/1Uw7-A9f9R21vMXxHZFNpYNeKFtG8_yji4HS352LGlSQ/edit?pli=1#gid=0"",""1_ACUM!A4:S""),17,FALSE))"),"")</f>
        <v/>
      </c>
      <c r="AI108" s="44" t="str">
        <f ca="1">IFERROR(__xludf.DUMMYFUNCTION("IFERROR(VLOOKUP(E131&amp;F131,IMPORTRANGE(""https://docs.google.com/spreadsheets/d/1Uw7-A9f9R21vMXxHZFNpYNeKFtG8_yji4HS352LGlSQ/edit?pli=1#gid=0"",""1_ACUM!A4:S""),18,FALSE))"),"")</f>
        <v/>
      </c>
      <c r="AJ108" s="44" t="str">
        <f ca="1">IFERROR(__xludf.DUMMYFUNCTION("IFERROR(VLOOKUP(E131&amp;F131,IMPORTRANGE(""https://docs.google.com/spreadsheets/d/1Uw7-A9f9R21vMXxHZFNpYNeKFtG8_yji4HS352LGlSQ/edit?pli=1#gid=0"",""1_ACUM!A4:S""),19,FALSE))"),"")</f>
        <v/>
      </c>
      <c r="AK108" s="98" t="str">
        <f ca="1">IFERROR(__xludf.DUMMYFUNCTION("IFERROR(VLOOKUP(F131,IMPORTRANGE(""https://docs.google.com/spreadsheets/d/1Kvs4KS76FHFqLFIZfrDMff4kP08nblUkihrxltoGBjg/edit#gid=934712705"",""ESENCIAL!A6:BG""),5,FALSE))"),"")</f>
        <v/>
      </c>
      <c r="AL108" s="98" t="str">
        <f t="shared" si="9"/>
        <v/>
      </c>
      <c r="AM108" s="99" t="str">
        <f t="shared" si="10"/>
        <v/>
      </c>
      <c r="AN108" s="100" t="str">
        <f ca="1">IFERROR(__xludf.DUMMYFUNCTION("IFERROR(VLOOKUP(F131,IMPORTRANGE(""https://docs.google.com/spreadsheets/d/1Kvs4KS76FHFqLFIZfrDMff4kP08nblUkihrxltoGBjg/edit#gid=934712705"",""ESENCIAL!A6:BG""),2,FALSE))"),"")</f>
        <v/>
      </c>
      <c r="AO108" s="19" t="str">
        <f t="shared" si="11"/>
        <v/>
      </c>
      <c r="AP108" s="100"/>
      <c r="AQ108" s="100"/>
    </row>
    <row r="109" spans="1:43" ht="15">
      <c r="A109" s="101"/>
      <c r="B109" s="101"/>
      <c r="G109" s="5" t="str">
        <f ca="1">IFERROR(__xludf.DUMMYFUNCTION("IFERROR(VLOOKUP(F132,IMPORTRANGE(""https://docs.google.com/spreadsheets/d/1Kvs4KS76FHFqLFIZfrDMff4kP08nblUkihrxltoGBjg/edit#gid=934712705"",""ESENCIAL!A6:BG""),3,FALSE))"),"")</f>
        <v/>
      </c>
      <c r="H109" s="5" t="str">
        <f ca="1">IFERROR(__xludf.DUMMYFUNCTION("IFERROR(VLOOKUP(F132,IMPORTRANGE(""https://docs.google.com/spreadsheets/d/1Kvs4KS76FHFqLFIZfrDMff4kP08nblUkihrxltoGBjg/edit#gid=934712705"",""ESENCIAL!A6:BG""),8,FALSE))"),"")</f>
        <v/>
      </c>
      <c r="L109" s="287"/>
      <c r="Z109" s="41" t="str">
        <f t="shared" si="8"/>
        <v/>
      </c>
      <c r="AA109" s="5" t="str">
        <f ca="1">IFERROR(__xludf.DUMMYFUNCTION("IFERROR(VLOOKUP(E132&amp;F132,IMPORTRANGE(""https://docs.google.com/spreadsheets/d/1Uw7-A9f9R21vMXxHZFNpYNeKFtG8_yji4HS352LGlSQ/edit?pli=1#gid=0"",""1_ACUM!A4:S""),11,FALSE))"),"")</f>
        <v/>
      </c>
      <c r="AB109" s="42" t="str">
        <f ca="1">IFERROR(__xludf.DUMMYFUNCTION("IFERROR(VLOOKUP(F132,IMPORTRANGE(""https://docs.google.com/spreadsheets/d/1Kvs4KS76FHFqLFIZfrDMff4kP08nblUkihrxltoGBjg/edit#gid=934712705"",""ESENCIAL!A6:BG""),15,FALSE))"),"")</f>
        <v/>
      </c>
      <c r="AC109" s="110" t="str">
        <f ca="1">IFERROR(__xludf.DUMMYFUNCTION("IFERROR(VLOOKUP(E132&amp;F132,IMPORTRANGE(""https://docs.google.com/spreadsheets/d/1Uw7-A9f9R21vMXxHZFNpYNeKFtG8_yji4HS352LGlSQ/edit?pli=1#gid=0"",""1_ACUM!A4:S""),13,FALSE))"),"")</f>
        <v/>
      </c>
      <c r="AD109" s="43" t="str">
        <f ca="1">IFERROR(__xludf.DUMMYFUNCTION("IFERROR(VLOOKUP(E132&amp;F132,IMPORTRANGE(""https://docs.google.com/spreadsheets/d/1Uw7-A9f9R21vMXxHZFNpYNeKFtG8_yji4HS352LGlSQ/edit?pli=1#gid=0"",""1_ACUM!A4:S""),13,FALSE))"),"")</f>
        <v/>
      </c>
      <c r="AE109" s="43" t="str">
        <f ca="1">IFERROR(__xludf.DUMMYFUNCTION("IFERROR(VLOOKUP(E132&amp;F132,IMPORTRANGE(""https://docs.google.com/spreadsheets/d/1Uw7-A9f9R21vMXxHZFNpYNeKFtG8_yji4HS352LGlSQ/edit?pli=1#gid=0"",""1_ACUM!A4:S""),14,FALSE))"),"")</f>
        <v/>
      </c>
      <c r="AF109" s="43" t="str">
        <f ca="1">IFERROR(__xludf.DUMMYFUNCTION("IFERROR(VLOOKUP(E132&amp;F132,IMPORTRANGE(""https://docs.google.com/spreadsheets/d/1Uw7-A9f9R21vMXxHZFNpYNeKFtG8_yji4HS352LGlSQ/edit?pli=1#gid=0"",""1_ACUM!A4:S""),15,FALSE))"),"")</f>
        <v/>
      </c>
      <c r="AG109" s="43" t="str">
        <f ca="1">IFERROR(__xludf.DUMMYFUNCTION("IFERROR(VLOOKUP(E132&amp;F132,IMPORTRANGE(""https://docs.google.com/spreadsheets/d/1Uw7-A9f9R21vMXxHZFNpYNeKFtG8_yji4HS352LGlSQ/edit?pli=1#gid=0"",""1_ACUM!A4:S""),16,FALSE))"),"")</f>
        <v/>
      </c>
      <c r="AH109" s="43" t="str">
        <f ca="1">IFERROR(__xludf.DUMMYFUNCTION("IFERROR(VLOOKUP(E132&amp;F132,IMPORTRANGE(""https://docs.google.com/spreadsheets/d/1Uw7-A9f9R21vMXxHZFNpYNeKFtG8_yji4HS352LGlSQ/edit?pli=1#gid=0"",""1_ACUM!A4:S""),17,FALSE))"),"")</f>
        <v/>
      </c>
      <c r="AI109" s="44" t="str">
        <f ca="1">IFERROR(__xludf.DUMMYFUNCTION("IFERROR(VLOOKUP(E132&amp;F132,IMPORTRANGE(""https://docs.google.com/spreadsheets/d/1Uw7-A9f9R21vMXxHZFNpYNeKFtG8_yji4HS352LGlSQ/edit?pli=1#gid=0"",""1_ACUM!A4:S""),18,FALSE))"),"")</f>
        <v/>
      </c>
      <c r="AJ109" s="44" t="str">
        <f ca="1">IFERROR(__xludf.DUMMYFUNCTION("IFERROR(VLOOKUP(E132&amp;F132,IMPORTRANGE(""https://docs.google.com/spreadsheets/d/1Uw7-A9f9R21vMXxHZFNpYNeKFtG8_yji4HS352LGlSQ/edit?pli=1#gid=0"",""1_ACUM!A4:S""),19,FALSE))"),"")</f>
        <v/>
      </c>
      <c r="AK109" s="98" t="str">
        <f ca="1">IFERROR(__xludf.DUMMYFUNCTION("IFERROR(VLOOKUP(F132,IMPORTRANGE(""https://docs.google.com/spreadsheets/d/1Kvs4KS76FHFqLFIZfrDMff4kP08nblUkihrxltoGBjg/edit#gid=934712705"",""ESENCIAL!A6:BG""),5,FALSE))"),"")</f>
        <v/>
      </c>
      <c r="AL109" s="98" t="str">
        <f t="shared" si="9"/>
        <v/>
      </c>
      <c r="AM109" s="99" t="str">
        <f t="shared" si="10"/>
        <v/>
      </c>
      <c r="AN109" s="100" t="str">
        <f ca="1">IFERROR(__xludf.DUMMYFUNCTION("IFERROR(VLOOKUP(F132,IMPORTRANGE(""https://docs.google.com/spreadsheets/d/1Kvs4KS76FHFqLFIZfrDMff4kP08nblUkihrxltoGBjg/edit#gid=934712705"",""ESENCIAL!A6:BG""),2,FALSE))"),"")</f>
        <v/>
      </c>
      <c r="AO109" s="19" t="str">
        <f t="shared" si="11"/>
        <v/>
      </c>
      <c r="AP109" s="100"/>
      <c r="AQ109" s="100"/>
    </row>
    <row r="110" spans="1:43" ht="15">
      <c r="A110" s="101"/>
      <c r="B110" s="101"/>
      <c r="G110" s="5" t="str">
        <f ca="1">IFERROR(__xludf.DUMMYFUNCTION("IFERROR(VLOOKUP(F133,IMPORTRANGE(""https://docs.google.com/spreadsheets/d/1Kvs4KS76FHFqLFIZfrDMff4kP08nblUkihrxltoGBjg/edit#gid=934712705"",""ESENCIAL!A6:BG""),3,FALSE))"),"")</f>
        <v/>
      </c>
      <c r="H110" s="5" t="str">
        <f ca="1">IFERROR(__xludf.DUMMYFUNCTION("IFERROR(VLOOKUP(F133,IMPORTRANGE(""https://docs.google.com/spreadsheets/d/1Kvs4KS76FHFqLFIZfrDMff4kP08nblUkihrxltoGBjg/edit#gid=934712705"",""ESENCIAL!A6:BG""),8,FALSE))"),"")</f>
        <v/>
      </c>
      <c r="L110" s="287"/>
      <c r="Z110" s="41" t="str">
        <f t="shared" si="8"/>
        <v/>
      </c>
      <c r="AA110" s="5" t="str">
        <f ca="1">IFERROR(__xludf.DUMMYFUNCTION("IFERROR(VLOOKUP(E133&amp;F133,IMPORTRANGE(""https://docs.google.com/spreadsheets/d/1Uw7-A9f9R21vMXxHZFNpYNeKFtG8_yji4HS352LGlSQ/edit?pli=1#gid=0"",""1_ACUM!A4:S""),11,FALSE))"),"")</f>
        <v/>
      </c>
      <c r="AB110" s="42" t="str">
        <f ca="1">IFERROR(__xludf.DUMMYFUNCTION("IFERROR(VLOOKUP(F133,IMPORTRANGE(""https://docs.google.com/spreadsheets/d/1Kvs4KS76FHFqLFIZfrDMff4kP08nblUkihrxltoGBjg/edit#gid=934712705"",""ESENCIAL!A6:BG""),15,FALSE))"),"")</f>
        <v/>
      </c>
      <c r="AC110" s="110" t="str">
        <f ca="1">IFERROR(__xludf.DUMMYFUNCTION("IFERROR(VLOOKUP(E133&amp;F133,IMPORTRANGE(""https://docs.google.com/spreadsheets/d/1Uw7-A9f9R21vMXxHZFNpYNeKFtG8_yji4HS352LGlSQ/edit?pli=1#gid=0"",""1_ACUM!A4:S""),13,FALSE))"),"")</f>
        <v/>
      </c>
      <c r="AD110" s="43" t="str">
        <f ca="1">IFERROR(__xludf.DUMMYFUNCTION("IFERROR(VLOOKUP(E133&amp;F133,IMPORTRANGE(""https://docs.google.com/spreadsheets/d/1Uw7-A9f9R21vMXxHZFNpYNeKFtG8_yji4HS352LGlSQ/edit?pli=1#gid=0"",""1_ACUM!A4:S""),13,FALSE))"),"")</f>
        <v/>
      </c>
      <c r="AE110" s="43" t="str">
        <f ca="1">IFERROR(__xludf.DUMMYFUNCTION("IFERROR(VLOOKUP(E133&amp;F133,IMPORTRANGE(""https://docs.google.com/spreadsheets/d/1Uw7-A9f9R21vMXxHZFNpYNeKFtG8_yji4HS352LGlSQ/edit?pli=1#gid=0"",""1_ACUM!A4:S""),14,FALSE))"),"")</f>
        <v/>
      </c>
      <c r="AF110" s="43" t="str">
        <f ca="1">IFERROR(__xludf.DUMMYFUNCTION("IFERROR(VLOOKUP(E133&amp;F133,IMPORTRANGE(""https://docs.google.com/spreadsheets/d/1Uw7-A9f9R21vMXxHZFNpYNeKFtG8_yji4HS352LGlSQ/edit?pli=1#gid=0"",""1_ACUM!A4:S""),15,FALSE))"),"")</f>
        <v/>
      </c>
      <c r="AG110" s="43" t="str">
        <f ca="1">IFERROR(__xludf.DUMMYFUNCTION("IFERROR(VLOOKUP(E133&amp;F133,IMPORTRANGE(""https://docs.google.com/spreadsheets/d/1Uw7-A9f9R21vMXxHZFNpYNeKFtG8_yji4HS352LGlSQ/edit?pli=1#gid=0"",""1_ACUM!A4:S""),16,FALSE))"),"")</f>
        <v/>
      </c>
      <c r="AH110" s="43" t="str">
        <f ca="1">IFERROR(__xludf.DUMMYFUNCTION("IFERROR(VLOOKUP(E133&amp;F133,IMPORTRANGE(""https://docs.google.com/spreadsheets/d/1Uw7-A9f9R21vMXxHZFNpYNeKFtG8_yji4HS352LGlSQ/edit?pli=1#gid=0"",""1_ACUM!A4:S""),17,FALSE))"),"")</f>
        <v/>
      </c>
      <c r="AI110" s="44" t="str">
        <f ca="1">IFERROR(__xludf.DUMMYFUNCTION("IFERROR(VLOOKUP(E133&amp;F133,IMPORTRANGE(""https://docs.google.com/spreadsheets/d/1Uw7-A9f9R21vMXxHZFNpYNeKFtG8_yji4HS352LGlSQ/edit?pli=1#gid=0"",""1_ACUM!A4:S""),18,FALSE))"),"")</f>
        <v/>
      </c>
      <c r="AJ110" s="44" t="str">
        <f ca="1">IFERROR(__xludf.DUMMYFUNCTION("IFERROR(VLOOKUP(E133&amp;F133,IMPORTRANGE(""https://docs.google.com/spreadsheets/d/1Uw7-A9f9R21vMXxHZFNpYNeKFtG8_yji4HS352LGlSQ/edit?pli=1#gid=0"",""1_ACUM!A4:S""),19,FALSE))"),"")</f>
        <v/>
      </c>
      <c r="AK110" s="98" t="str">
        <f ca="1">IFERROR(__xludf.DUMMYFUNCTION("IFERROR(VLOOKUP(F133,IMPORTRANGE(""https://docs.google.com/spreadsheets/d/1Kvs4KS76FHFqLFIZfrDMff4kP08nblUkihrxltoGBjg/edit#gid=934712705"",""ESENCIAL!A6:BG""),5,FALSE))"),"")</f>
        <v/>
      </c>
      <c r="AL110" s="98" t="str">
        <f t="shared" si="9"/>
        <v/>
      </c>
      <c r="AM110" s="99" t="str">
        <f t="shared" si="10"/>
        <v/>
      </c>
      <c r="AN110" s="100" t="str">
        <f ca="1">IFERROR(__xludf.DUMMYFUNCTION("IFERROR(VLOOKUP(F133,IMPORTRANGE(""https://docs.google.com/spreadsheets/d/1Kvs4KS76FHFqLFIZfrDMff4kP08nblUkihrxltoGBjg/edit#gid=934712705"",""ESENCIAL!A6:BG""),2,FALSE))"),"")</f>
        <v/>
      </c>
      <c r="AO110" s="19" t="str">
        <f t="shared" si="11"/>
        <v/>
      </c>
      <c r="AP110" s="100"/>
      <c r="AQ110" s="100"/>
    </row>
    <row r="111" spans="1:43" ht="15">
      <c r="A111" s="101"/>
      <c r="B111" s="101"/>
      <c r="G111" s="5" t="str">
        <f ca="1">IFERROR(__xludf.DUMMYFUNCTION("IFERROR(VLOOKUP(F134,IMPORTRANGE(""https://docs.google.com/spreadsheets/d/1Kvs4KS76FHFqLFIZfrDMff4kP08nblUkihrxltoGBjg/edit#gid=934712705"",""ESENCIAL!A6:BG""),3,FALSE))"),"")</f>
        <v/>
      </c>
      <c r="H111" s="5" t="str">
        <f ca="1">IFERROR(__xludf.DUMMYFUNCTION("IFERROR(VLOOKUP(F134,IMPORTRANGE(""https://docs.google.com/spreadsheets/d/1Kvs4KS76FHFqLFIZfrDMff4kP08nblUkihrxltoGBjg/edit#gid=934712705"",""ESENCIAL!A6:BG""),8,FALSE))"),"")</f>
        <v/>
      </c>
      <c r="L111" s="287"/>
      <c r="Z111" s="41" t="str">
        <f t="shared" si="8"/>
        <v/>
      </c>
      <c r="AA111" s="5" t="str">
        <f ca="1">IFERROR(__xludf.DUMMYFUNCTION("IFERROR(VLOOKUP(E134&amp;F134,IMPORTRANGE(""https://docs.google.com/spreadsheets/d/1Uw7-A9f9R21vMXxHZFNpYNeKFtG8_yji4HS352LGlSQ/edit?pli=1#gid=0"",""1_ACUM!A4:S""),11,FALSE))"),"")</f>
        <v/>
      </c>
      <c r="AB111" s="42" t="str">
        <f ca="1">IFERROR(__xludf.DUMMYFUNCTION("IFERROR(VLOOKUP(F134,IMPORTRANGE(""https://docs.google.com/spreadsheets/d/1Kvs4KS76FHFqLFIZfrDMff4kP08nblUkihrxltoGBjg/edit#gid=934712705"",""ESENCIAL!A6:BG""),15,FALSE))"),"")</f>
        <v/>
      </c>
      <c r="AC111" s="110" t="str">
        <f ca="1">IFERROR(__xludf.DUMMYFUNCTION("IFERROR(VLOOKUP(E134&amp;F134,IMPORTRANGE(""https://docs.google.com/spreadsheets/d/1Uw7-A9f9R21vMXxHZFNpYNeKFtG8_yji4HS352LGlSQ/edit?pli=1#gid=0"",""1_ACUM!A4:S""),13,FALSE))"),"")</f>
        <v/>
      </c>
      <c r="AD111" s="43" t="str">
        <f ca="1">IFERROR(__xludf.DUMMYFUNCTION("IFERROR(VLOOKUP(E134&amp;F134,IMPORTRANGE(""https://docs.google.com/spreadsheets/d/1Uw7-A9f9R21vMXxHZFNpYNeKFtG8_yji4HS352LGlSQ/edit?pli=1#gid=0"",""1_ACUM!A4:S""),13,FALSE))"),"")</f>
        <v/>
      </c>
      <c r="AE111" s="43" t="str">
        <f ca="1">IFERROR(__xludf.DUMMYFUNCTION("IFERROR(VLOOKUP(E134&amp;F134,IMPORTRANGE(""https://docs.google.com/spreadsheets/d/1Uw7-A9f9R21vMXxHZFNpYNeKFtG8_yji4HS352LGlSQ/edit?pli=1#gid=0"",""1_ACUM!A4:S""),14,FALSE))"),"")</f>
        <v/>
      </c>
      <c r="AF111" s="43" t="str">
        <f ca="1">IFERROR(__xludf.DUMMYFUNCTION("IFERROR(VLOOKUP(E134&amp;F134,IMPORTRANGE(""https://docs.google.com/spreadsheets/d/1Uw7-A9f9R21vMXxHZFNpYNeKFtG8_yji4HS352LGlSQ/edit?pli=1#gid=0"",""1_ACUM!A4:S""),15,FALSE))"),"")</f>
        <v/>
      </c>
      <c r="AG111" s="43" t="str">
        <f ca="1">IFERROR(__xludf.DUMMYFUNCTION("IFERROR(VLOOKUP(E134&amp;F134,IMPORTRANGE(""https://docs.google.com/spreadsheets/d/1Uw7-A9f9R21vMXxHZFNpYNeKFtG8_yji4HS352LGlSQ/edit?pli=1#gid=0"",""1_ACUM!A4:S""),16,FALSE))"),"")</f>
        <v/>
      </c>
      <c r="AH111" s="43" t="str">
        <f ca="1">IFERROR(__xludf.DUMMYFUNCTION("IFERROR(VLOOKUP(E134&amp;F134,IMPORTRANGE(""https://docs.google.com/spreadsheets/d/1Uw7-A9f9R21vMXxHZFNpYNeKFtG8_yji4HS352LGlSQ/edit?pli=1#gid=0"",""1_ACUM!A4:S""),17,FALSE))"),"")</f>
        <v/>
      </c>
      <c r="AI111" s="44" t="str">
        <f ca="1">IFERROR(__xludf.DUMMYFUNCTION("IFERROR(VLOOKUP(E134&amp;F134,IMPORTRANGE(""https://docs.google.com/spreadsheets/d/1Uw7-A9f9R21vMXxHZFNpYNeKFtG8_yji4HS352LGlSQ/edit?pli=1#gid=0"",""1_ACUM!A4:S""),18,FALSE))"),"")</f>
        <v/>
      </c>
      <c r="AJ111" s="44" t="str">
        <f ca="1">IFERROR(__xludf.DUMMYFUNCTION("IFERROR(VLOOKUP(E134&amp;F134,IMPORTRANGE(""https://docs.google.com/spreadsheets/d/1Uw7-A9f9R21vMXxHZFNpYNeKFtG8_yji4HS352LGlSQ/edit?pli=1#gid=0"",""1_ACUM!A4:S""),19,FALSE))"),"")</f>
        <v/>
      </c>
      <c r="AK111" s="98" t="str">
        <f ca="1">IFERROR(__xludf.DUMMYFUNCTION("IFERROR(VLOOKUP(F134,IMPORTRANGE(""https://docs.google.com/spreadsheets/d/1Kvs4KS76FHFqLFIZfrDMff4kP08nblUkihrxltoGBjg/edit#gid=934712705"",""ESENCIAL!A6:BG""),5,FALSE))"),"")</f>
        <v/>
      </c>
      <c r="AL111" s="98" t="str">
        <f t="shared" si="9"/>
        <v/>
      </c>
      <c r="AM111" s="99" t="str">
        <f t="shared" si="10"/>
        <v/>
      </c>
      <c r="AN111" s="100" t="str">
        <f ca="1">IFERROR(__xludf.DUMMYFUNCTION("IFERROR(VLOOKUP(F134,IMPORTRANGE(""https://docs.google.com/spreadsheets/d/1Kvs4KS76FHFqLFIZfrDMff4kP08nblUkihrxltoGBjg/edit#gid=934712705"",""ESENCIAL!A6:BG""),2,FALSE))"),"")</f>
        <v/>
      </c>
      <c r="AO111" s="19" t="str">
        <f t="shared" si="11"/>
        <v/>
      </c>
      <c r="AP111" s="100"/>
      <c r="AQ111" s="100"/>
    </row>
    <row r="112" spans="1:43" ht="15">
      <c r="A112" s="101"/>
      <c r="B112" s="101"/>
      <c r="G112" s="5" t="str">
        <f ca="1">IFERROR(__xludf.DUMMYFUNCTION("IFERROR(VLOOKUP(F135,IMPORTRANGE(""https://docs.google.com/spreadsheets/d/1Kvs4KS76FHFqLFIZfrDMff4kP08nblUkihrxltoGBjg/edit#gid=934712705"",""ESENCIAL!A6:BG""),3,FALSE))"),"")</f>
        <v/>
      </c>
      <c r="H112" s="5" t="str">
        <f ca="1">IFERROR(__xludf.DUMMYFUNCTION("IFERROR(VLOOKUP(F135,IMPORTRANGE(""https://docs.google.com/spreadsheets/d/1Kvs4KS76FHFqLFIZfrDMff4kP08nblUkihrxltoGBjg/edit#gid=934712705"",""ESENCIAL!A6:BG""),8,FALSE))"),"")</f>
        <v/>
      </c>
      <c r="L112" s="287"/>
      <c r="Z112" s="41" t="str">
        <f t="shared" si="8"/>
        <v/>
      </c>
      <c r="AA112" s="5" t="str">
        <f ca="1">IFERROR(__xludf.DUMMYFUNCTION("IFERROR(VLOOKUP(E135&amp;F135,IMPORTRANGE(""https://docs.google.com/spreadsheets/d/1Uw7-A9f9R21vMXxHZFNpYNeKFtG8_yji4HS352LGlSQ/edit?pli=1#gid=0"",""1_ACUM!A4:S""),11,FALSE))"),"")</f>
        <v/>
      </c>
      <c r="AB112" s="42" t="str">
        <f ca="1">IFERROR(__xludf.DUMMYFUNCTION("IFERROR(VLOOKUP(F135,IMPORTRANGE(""https://docs.google.com/spreadsheets/d/1Kvs4KS76FHFqLFIZfrDMff4kP08nblUkihrxltoGBjg/edit#gid=934712705"",""ESENCIAL!A6:BG""),15,FALSE))"),"")</f>
        <v/>
      </c>
      <c r="AC112" s="110" t="str">
        <f ca="1">IFERROR(__xludf.DUMMYFUNCTION("IFERROR(VLOOKUP(E135&amp;F135,IMPORTRANGE(""https://docs.google.com/spreadsheets/d/1Uw7-A9f9R21vMXxHZFNpYNeKFtG8_yji4HS352LGlSQ/edit?pli=1#gid=0"",""1_ACUM!A4:S""),13,FALSE))"),"")</f>
        <v/>
      </c>
      <c r="AD112" s="43" t="str">
        <f ca="1">IFERROR(__xludf.DUMMYFUNCTION("IFERROR(VLOOKUP(E135&amp;F135,IMPORTRANGE(""https://docs.google.com/spreadsheets/d/1Uw7-A9f9R21vMXxHZFNpYNeKFtG8_yji4HS352LGlSQ/edit?pli=1#gid=0"",""1_ACUM!A4:S""),13,FALSE))"),"")</f>
        <v/>
      </c>
      <c r="AE112" s="43" t="str">
        <f ca="1">IFERROR(__xludf.DUMMYFUNCTION("IFERROR(VLOOKUP(E135&amp;F135,IMPORTRANGE(""https://docs.google.com/spreadsheets/d/1Uw7-A9f9R21vMXxHZFNpYNeKFtG8_yji4HS352LGlSQ/edit?pli=1#gid=0"",""1_ACUM!A4:S""),14,FALSE))"),"")</f>
        <v/>
      </c>
      <c r="AF112" s="43" t="str">
        <f ca="1">IFERROR(__xludf.DUMMYFUNCTION("IFERROR(VLOOKUP(E135&amp;F135,IMPORTRANGE(""https://docs.google.com/spreadsheets/d/1Uw7-A9f9R21vMXxHZFNpYNeKFtG8_yji4HS352LGlSQ/edit?pli=1#gid=0"",""1_ACUM!A4:S""),15,FALSE))"),"")</f>
        <v/>
      </c>
      <c r="AG112" s="43" t="str">
        <f ca="1">IFERROR(__xludf.DUMMYFUNCTION("IFERROR(VLOOKUP(E135&amp;F135,IMPORTRANGE(""https://docs.google.com/spreadsheets/d/1Uw7-A9f9R21vMXxHZFNpYNeKFtG8_yji4HS352LGlSQ/edit?pli=1#gid=0"",""1_ACUM!A4:S""),16,FALSE))"),"")</f>
        <v/>
      </c>
      <c r="AH112" s="43" t="str">
        <f ca="1">IFERROR(__xludf.DUMMYFUNCTION("IFERROR(VLOOKUP(E135&amp;F135,IMPORTRANGE(""https://docs.google.com/spreadsheets/d/1Uw7-A9f9R21vMXxHZFNpYNeKFtG8_yji4HS352LGlSQ/edit?pli=1#gid=0"",""1_ACUM!A4:S""),17,FALSE))"),"")</f>
        <v/>
      </c>
      <c r="AI112" s="44" t="str">
        <f ca="1">IFERROR(__xludf.DUMMYFUNCTION("IFERROR(VLOOKUP(E135&amp;F135,IMPORTRANGE(""https://docs.google.com/spreadsheets/d/1Uw7-A9f9R21vMXxHZFNpYNeKFtG8_yji4HS352LGlSQ/edit?pli=1#gid=0"",""1_ACUM!A4:S""),18,FALSE))"),"")</f>
        <v/>
      </c>
      <c r="AJ112" s="44" t="str">
        <f ca="1">IFERROR(__xludf.DUMMYFUNCTION("IFERROR(VLOOKUP(E135&amp;F135,IMPORTRANGE(""https://docs.google.com/spreadsheets/d/1Uw7-A9f9R21vMXxHZFNpYNeKFtG8_yji4HS352LGlSQ/edit?pli=1#gid=0"",""1_ACUM!A4:S""),19,FALSE))"),"")</f>
        <v/>
      </c>
      <c r="AK112" s="98" t="str">
        <f ca="1">IFERROR(__xludf.DUMMYFUNCTION("IFERROR(VLOOKUP(F135,IMPORTRANGE(""https://docs.google.com/spreadsheets/d/1Kvs4KS76FHFqLFIZfrDMff4kP08nblUkihrxltoGBjg/edit#gid=934712705"",""ESENCIAL!A6:BG""),5,FALSE))"),"")</f>
        <v/>
      </c>
      <c r="AL112" s="98" t="str">
        <f t="shared" si="9"/>
        <v/>
      </c>
      <c r="AM112" s="99" t="str">
        <f t="shared" si="10"/>
        <v/>
      </c>
      <c r="AN112" s="100" t="str">
        <f ca="1">IFERROR(__xludf.DUMMYFUNCTION("IFERROR(VLOOKUP(F135,IMPORTRANGE(""https://docs.google.com/spreadsheets/d/1Kvs4KS76FHFqLFIZfrDMff4kP08nblUkihrxltoGBjg/edit#gid=934712705"",""ESENCIAL!A6:BG""),2,FALSE))"),"")</f>
        <v/>
      </c>
      <c r="AO112" s="19" t="str">
        <f t="shared" si="11"/>
        <v/>
      </c>
      <c r="AP112" s="100"/>
      <c r="AQ112" s="100"/>
    </row>
    <row r="113" spans="1:43" ht="15">
      <c r="A113" s="101"/>
      <c r="B113" s="101"/>
      <c r="G113" s="5" t="str">
        <f ca="1">IFERROR(__xludf.DUMMYFUNCTION("IFERROR(VLOOKUP(F136,IMPORTRANGE(""https://docs.google.com/spreadsheets/d/1Kvs4KS76FHFqLFIZfrDMff4kP08nblUkihrxltoGBjg/edit#gid=934712705"",""ESENCIAL!A6:BG""),3,FALSE))"),"")</f>
        <v/>
      </c>
      <c r="H113" s="5" t="str">
        <f ca="1">IFERROR(__xludf.DUMMYFUNCTION("IFERROR(VLOOKUP(F136,IMPORTRANGE(""https://docs.google.com/spreadsheets/d/1Kvs4KS76FHFqLFIZfrDMff4kP08nblUkihrxltoGBjg/edit#gid=934712705"",""ESENCIAL!A6:BG""),8,FALSE))"),"")</f>
        <v/>
      </c>
      <c r="L113" s="287"/>
      <c r="Z113" s="41" t="str">
        <f t="shared" si="8"/>
        <v/>
      </c>
      <c r="AA113" s="5" t="str">
        <f ca="1">IFERROR(__xludf.DUMMYFUNCTION("IFERROR(VLOOKUP(E136&amp;F136,IMPORTRANGE(""https://docs.google.com/spreadsheets/d/1Uw7-A9f9R21vMXxHZFNpYNeKFtG8_yji4HS352LGlSQ/edit?pli=1#gid=0"",""1_ACUM!A4:S""),11,FALSE))"),"")</f>
        <v/>
      </c>
      <c r="AB113" s="42" t="str">
        <f ca="1">IFERROR(__xludf.DUMMYFUNCTION("IFERROR(VLOOKUP(F136,IMPORTRANGE(""https://docs.google.com/spreadsheets/d/1Kvs4KS76FHFqLFIZfrDMff4kP08nblUkihrxltoGBjg/edit#gid=934712705"",""ESENCIAL!A6:BG""),15,FALSE))"),"")</f>
        <v/>
      </c>
      <c r="AC113" s="110" t="str">
        <f ca="1">IFERROR(__xludf.DUMMYFUNCTION("IFERROR(VLOOKUP(E136&amp;F136,IMPORTRANGE(""https://docs.google.com/spreadsheets/d/1Uw7-A9f9R21vMXxHZFNpYNeKFtG8_yji4HS352LGlSQ/edit?pli=1#gid=0"",""1_ACUM!A4:S""),13,FALSE))"),"")</f>
        <v/>
      </c>
      <c r="AD113" s="43" t="str">
        <f ca="1">IFERROR(__xludf.DUMMYFUNCTION("IFERROR(VLOOKUP(E136&amp;F136,IMPORTRANGE(""https://docs.google.com/spreadsheets/d/1Uw7-A9f9R21vMXxHZFNpYNeKFtG8_yji4HS352LGlSQ/edit?pli=1#gid=0"",""1_ACUM!A4:S""),13,FALSE))"),"")</f>
        <v/>
      </c>
      <c r="AE113" s="43" t="str">
        <f ca="1">IFERROR(__xludf.DUMMYFUNCTION("IFERROR(VLOOKUP(E136&amp;F136,IMPORTRANGE(""https://docs.google.com/spreadsheets/d/1Uw7-A9f9R21vMXxHZFNpYNeKFtG8_yji4HS352LGlSQ/edit?pli=1#gid=0"",""1_ACUM!A4:S""),14,FALSE))"),"")</f>
        <v/>
      </c>
      <c r="AF113" s="43" t="str">
        <f ca="1">IFERROR(__xludf.DUMMYFUNCTION("IFERROR(VLOOKUP(E136&amp;F136,IMPORTRANGE(""https://docs.google.com/spreadsheets/d/1Uw7-A9f9R21vMXxHZFNpYNeKFtG8_yji4HS352LGlSQ/edit?pli=1#gid=0"",""1_ACUM!A4:S""),15,FALSE))"),"")</f>
        <v/>
      </c>
      <c r="AG113" s="43" t="str">
        <f ca="1">IFERROR(__xludf.DUMMYFUNCTION("IFERROR(VLOOKUP(E136&amp;F136,IMPORTRANGE(""https://docs.google.com/spreadsheets/d/1Uw7-A9f9R21vMXxHZFNpYNeKFtG8_yji4HS352LGlSQ/edit?pli=1#gid=0"",""1_ACUM!A4:S""),16,FALSE))"),"")</f>
        <v/>
      </c>
      <c r="AH113" s="43" t="str">
        <f ca="1">IFERROR(__xludf.DUMMYFUNCTION("IFERROR(VLOOKUP(E136&amp;F136,IMPORTRANGE(""https://docs.google.com/spreadsheets/d/1Uw7-A9f9R21vMXxHZFNpYNeKFtG8_yji4HS352LGlSQ/edit?pli=1#gid=0"",""1_ACUM!A4:S""),17,FALSE))"),"")</f>
        <v/>
      </c>
      <c r="AI113" s="44" t="str">
        <f ca="1">IFERROR(__xludf.DUMMYFUNCTION("IFERROR(VLOOKUP(E136&amp;F136,IMPORTRANGE(""https://docs.google.com/spreadsheets/d/1Uw7-A9f9R21vMXxHZFNpYNeKFtG8_yji4HS352LGlSQ/edit?pli=1#gid=0"",""1_ACUM!A4:S""),18,FALSE))"),"")</f>
        <v/>
      </c>
      <c r="AJ113" s="44" t="str">
        <f ca="1">IFERROR(__xludf.DUMMYFUNCTION("IFERROR(VLOOKUP(E136&amp;F136,IMPORTRANGE(""https://docs.google.com/spreadsheets/d/1Uw7-A9f9R21vMXxHZFNpYNeKFtG8_yji4HS352LGlSQ/edit?pli=1#gid=0"",""1_ACUM!A4:S""),19,FALSE))"),"")</f>
        <v/>
      </c>
      <c r="AK113" s="98" t="str">
        <f ca="1">IFERROR(__xludf.DUMMYFUNCTION("IFERROR(VLOOKUP(F136,IMPORTRANGE(""https://docs.google.com/spreadsheets/d/1Kvs4KS76FHFqLFIZfrDMff4kP08nblUkihrxltoGBjg/edit#gid=934712705"",""ESENCIAL!A6:BG""),5,FALSE))"),"")</f>
        <v/>
      </c>
      <c r="AL113" s="98" t="str">
        <f t="shared" si="9"/>
        <v/>
      </c>
      <c r="AM113" s="99" t="str">
        <f t="shared" si="10"/>
        <v/>
      </c>
      <c r="AN113" s="100" t="str">
        <f ca="1">IFERROR(__xludf.DUMMYFUNCTION("IFERROR(VLOOKUP(F136,IMPORTRANGE(""https://docs.google.com/spreadsheets/d/1Kvs4KS76FHFqLFIZfrDMff4kP08nblUkihrxltoGBjg/edit#gid=934712705"",""ESENCIAL!A6:BG""),2,FALSE))"),"")</f>
        <v/>
      </c>
      <c r="AO113" s="19" t="str">
        <f t="shared" si="11"/>
        <v/>
      </c>
      <c r="AP113" s="100"/>
      <c r="AQ113" s="100"/>
    </row>
    <row r="114" spans="1:43" ht="15">
      <c r="A114" s="101"/>
      <c r="B114" s="101"/>
      <c r="G114" s="5" t="str">
        <f ca="1">IFERROR(__xludf.DUMMYFUNCTION("IFERROR(VLOOKUP(F137,IMPORTRANGE(""https://docs.google.com/spreadsheets/d/1Kvs4KS76FHFqLFIZfrDMff4kP08nblUkihrxltoGBjg/edit#gid=934712705"",""ESENCIAL!A6:BG""),3,FALSE))"),"")</f>
        <v/>
      </c>
      <c r="H114" s="5" t="str">
        <f ca="1">IFERROR(__xludf.DUMMYFUNCTION("IFERROR(VLOOKUP(F137,IMPORTRANGE(""https://docs.google.com/spreadsheets/d/1Kvs4KS76FHFqLFIZfrDMff4kP08nblUkihrxltoGBjg/edit#gid=934712705"",""ESENCIAL!A6:BG""),8,FALSE))"),"")</f>
        <v/>
      </c>
      <c r="L114" s="287"/>
      <c r="Z114" s="41" t="str">
        <f t="shared" si="8"/>
        <v/>
      </c>
      <c r="AA114" s="5" t="str">
        <f ca="1">IFERROR(__xludf.DUMMYFUNCTION("IFERROR(VLOOKUP(E137&amp;F137,IMPORTRANGE(""https://docs.google.com/spreadsheets/d/1Uw7-A9f9R21vMXxHZFNpYNeKFtG8_yji4HS352LGlSQ/edit?pli=1#gid=0"",""1_ACUM!A4:S""),11,FALSE))"),"")</f>
        <v/>
      </c>
      <c r="AB114" s="42" t="str">
        <f ca="1">IFERROR(__xludf.DUMMYFUNCTION("IFERROR(VLOOKUP(F137,IMPORTRANGE(""https://docs.google.com/spreadsheets/d/1Kvs4KS76FHFqLFIZfrDMff4kP08nblUkihrxltoGBjg/edit#gid=934712705"",""ESENCIAL!A6:BG""),15,FALSE))"),"")</f>
        <v/>
      </c>
      <c r="AC114" s="110" t="str">
        <f ca="1">IFERROR(__xludf.DUMMYFUNCTION("IFERROR(VLOOKUP(E137&amp;F137,IMPORTRANGE(""https://docs.google.com/spreadsheets/d/1Uw7-A9f9R21vMXxHZFNpYNeKFtG8_yji4HS352LGlSQ/edit?pli=1#gid=0"",""1_ACUM!A4:S""),13,FALSE))"),"")</f>
        <v/>
      </c>
      <c r="AD114" s="43" t="str">
        <f ca="1">IFERROR(__xludf.DUMMYFUNCTION("IFERROR(VLOOKUP(E137&amp;F137,IMPORTRANGE(""https://docs.google.com/spreadsheets/d/1Uw7-A9f9R21vMXxHZFNpYNeKFtG8_yji4HS352LGlSQ/edit?pli=1#gid=0"",""1_ACUM!A4:S""),13,FALSE))"),"")</f>
        <v/>
      </c>
      <c r="AE114" s="43" t="str">
        <f ca="1">IFERROR(__xludf.DUMMYFUNCTION("IFERROR(VLOOKUP(E137&amp;F137,IMPORTRANGE(""https://docs.google.com/spreadsheets/d/1Uw7-A9f9R21vMXxHZFNpYNeKFtG8_yji4HS352LGlSQ/edit?pli=1#gid=0"",""1_ACUM!A4:S""),14,FALSE))"),"")</f>
        <v/>
      </c>
      <c r="AF114" s="43" t="str">
        <f ca="1">IFERROR(__xludf.DUMMYFUNCTION("IFERROR(VLOOKUP(E137&amp;F137,IMPORTRANGE(""https://docs.google.com/spreadsheets/d/1Uw7-A9f9R21vMXxHZFNpYNeKFtG8_yji4HS352LGlSQ/edit?pli=1#gid=0"",""1_ACUM!A4:S""),15,FALSE))"),"")</f>
        <v/>
      </c>
      <c r="AG114" s="43" t="str">
        <f ca="1">IFERROR(__xludf.DUMMYFUNCTION("IFERROR(VLOOKUP(E137&amp;F137,IMPORTRANGE(""https://docs.google.com/spreadsheets/d/1Uw7-A9f9R21vMXxHZFNpYNeKFtG8_yji4HS352LGlSQ/edit?pli=1#gid=0"",""1_ACUM!A4:S""),16,FALSE))"),"")</f>
        <v/>
      </c>
      <c r="AH114" s="43" t="str">
        <f ca="1">IFERROR(__xludf.DUMMYFUNCTION("IFERROR(VLOOKUP(E137&amp;F137,IMPORTRANGE(""https://docs.google.com/spreadsheets/d/1Uw7-A9f9R21vMXxHZFNpYNeKFtG8_yji4HS352LGlSQ/edit?pli=1#gid=0"",""1_ACUM!A4:S""),17,FALSE))"),"")</f>
        <v/>
      </c>
      <c r="AI114" s="44" t="str">
        <f ca="1">IFERROR(__xludf.DUMMYFUNCTION("IFERROR(VLOOKUP(E137&amp;F137,IMPORTRANGE(""https://docs.google.com/spreadsheets/d/1Uw7-A9f9R21vMXxHZFNpYNeKFtG8_yji4HS352LGlSQ/edit?pli=1#gid=0"",""1_ACUM!A4:S""),18,FALSE))"),"")</f>
        <v/>
      </c>
      <c r="AJ114" s="44" t="str">
        <f ca="1">IFERROR(__xludf.DUMMYFUNCTION("IFERROR(VLOOKUP(E137&amp;F137,IMPORTRANGE(""https://docs.google.com/spreadsheets/d/1Uw7-A9f9R21vMXxHZFNpYNeKFtG8_yji4HS352LGlSQ/edit?pli=1#gid=0"",""1_ACUM!A4:S""),19,FALSE))"),"")</f>
        <v/>
      </c>
      <c r="AK114" s="98" t="str">
        <f ca="1">IFERROR(__xludf.DUMMYFUNCTION("IFERROR(VLOOKUP(F137,IMPORTRANGE(""https://docs.google.com/spreadsheets/d/1Kvs4KS76FHFqLFIZfrDMff4kP08nblUkihrxltoGBjg/edit#gid=934712705"",""ESENCIAL!A6:BG""),5,FALSE))"),"")</f>
        <v/>
      </c>
      <c r="AL114" s="98" t="str">
        <f t="shared" si="9"/>
        <v/>
      </c>
      <c r="AM114" s="99" t="str">
        <f t="shared" si="10"/>
        <v/>
      </c>
      <c r="AN114" s="100" t="str">
        <f ca="1">IFERROR(__xludf.DUMMYFUNCTION("IFERROR(VLOOKUP(F137,IMPORTRANGE(""https://docs.google.com/spreadsheets/d/1Kvs4KS76FHFqLFIZfrDMff4kP08nblUkihrxltoGBjg/edit#gid=934712705"",""ESENCIAL!A6:BG""),2,FALSE))"),"")</f>
        <v/>
      </c>
      <c r="AO114" s="19" t="str">
        <f t="shared" si="11"/>
        <v/>
      </c>
      <c r="AP114" s="100"/>
      <c r="AQ114" s="100"/>
    </row>
    <row r="115" spans="1:43" ht="15">
      <c r="A115" s="101"/>
      <c r="B115" s="101"/>
      <c r="G115" s="5" t="str">
        <f ca="1">IFERROR(__xludf.DUMMYFUNCTION("IFERROR(VLOOKUP(F138,IMPORTRANGE(""https://docs.google.com/spreadsheets/d/1Kvs4KS76FHFqLFIZfrDMff4kP08nblUkihrxltoGBjg/edit#gid=934712705"",""ESENCIAL!A6:BG""),3,FALSE))"),"")</f>
        <v/>
      </c>
      <c r="H115" s="5" t="str">
        <f ca="1">IFERROR(__xludf.DUMMYFUNCTION("IFERROR(VLOOKUP(F138,IMPORTRANGE(""https://docs.google.com/spreadsheets/d/1Kvs4KS76FHFqLFIZfrDMff4kP08nblUkihrxltoGBjg/edit#gid=934712705"",""ESENCIAL!A6:BG""),8,FALSE))"),"")</f>
        <v/>
      </c>
      <c r="L115" s="287"/>
      <c r="Z115" s="41" t="str">
        <f t="shared" si="8"/>
        <v/>
      </c>
      <c r="AA115" s="5" t="str">
        <f ca="1">IFERROR(__xludf.DUMMYFUNCTION("IFERROR(VLOOKUP(E138&amp;F138,IMPORTRANGE(""https://docs.google.com/spreadsheets/d/1Uw7-A9f9R21vMXxHZFNpYNeKFtG8_yji4HS352LGlSQ/edit?pli=1#gid=0"",""1_ACUM!A4:S""),11,FALSE))"),"")</f>
        <v/>
      </c>
      <c r="AB115" s="42" t="str">
        <f ca="1">IFERROR(__xludf.DUMMYFUNCTION("IFERROR(VLOOKUP(F138,IMPORTRANGE(""https://docs.google.com/spreadsheets/d/1Kvs4KS76FHFqLFIZfrDMff4kP08nblUkihrxltoGBjg/edit#gid=934712705"",""ESENCIAL!A6:BG""),15,FALSE))"),"")</f>
        <v/>
      </c>
      <c r="AC115" s="110" t="str">
        <f ca="1">IFERROR(__xludf.DUMMYFUNCTION("IFERROR(VLOOKUP(E138&amp;F138,IMPORTRANGE(""https://docs.google.com/spreadsheets/d/1Uw7-A9f9R21vMXxHZFNpYNeKFtG8_yji4HS352LGlSQ/edit?pli=1#gid=0"",""1_ACUM!A4:S""),13,FALSE))"),"")</f>
        <v/>
      </c>
      <c r="AD115" s="43" t="str">
        <f ca="1">IFERROR(__xludf.DUMMYFUNCTION("IFERROR(VLOOKUP(E138&amp;F138,IMPORTRANGE(""https://docs.google.com/spreadsheets/d/1Uw7-A9f9R21vMXxHZFNpYNeKFtG8_yji4HS352LGlSQ/edit?pli=1#gid=0"",""1_ACUM!A4:S""),13,FALSE))"),"")</f>
        <v/>
      </c>
      <c r="AE115" s="43" t="str">
        <f ca="1">IFERROR(__xludf.DUMMYFUNCTION("IFERROR(VLOOKUP(E138&amp;F138,IMPORTRANGE(""https://docs.google.com/spreadsheets/d/1Uw7-A9f9R21vMXxHZFNpYNeKFtG8_yji4HS352LGlSQ/edit?pli=1#gid=0"",""1_ACUM!A4:S""),14,FALSE))"),"")</f>
        <v/>
      </c>
      <c r="AF115" s="43" t="str">
        <f ca="1">IFERROR(__xludf.DUMMYFUNCTION("IFERROR(VLOOKUP(E138&amp;F138,IMPORTRANGE(""https://docs.google.com/spreadsheets/d/1Uw7-A9f9R21vMXxHZFNpYNeKFtG8_yji4HS352LGlSQ/edit?pli=1#gid=0"",""1_ACUM!A4:S""),15,FALSE))"),"")</f>
        <v/>
      </c>
      <c r="AG115" s="43" t="str">
        <f ca="1">IFERROR(__xludf.DUMMYFUNCTION("IFERROR(VLOOKUP(E138&amp;F138,IMPORTRANGE(""https://docs.google.com/spreadsheets/d/1Uw7-A9f9R21vMXxHZFNpYNeKFtG8_yji4HS352LGlSQ/edit?pli=1#gid=0"",""1_ACUM!A4:S""),16,FALSE))"),"")</f>
        <v/>
      </c>
      <c r="AH115" s="43" t="str">
        <f ca="1">IFERROR(__xludf.DUMMYFUNCTION("IFERROR(VLOOKUP(E138&amp;F138,IMPORTRANGE(""https://docs.google.com/spreadsheets/d/1Uw7-A9f9R21vMXxHZFNpYNeKFtG8_yji4HS352LGlSQ/edit?pli=1#gid=0"",""1_ACUM!A4:S""),17,FALSE))"),"")</f>
        <v/>
      </c>
      <c r="AI115" s="44" t="str">
        <f ca="1">IFERROR(__xludf.DUMMYFUNCTION("IFERROR(VLOOKUP(E138&amp;F138,IMPORTRANGE(""https://docs.google.com/spreadsheets/d/1Uw7-A9f9R21vMXxHZFNpYNeKFtG8_yji4HS352LGlSQ/edit?pli=1#gid=0"",""1_ACUM!A4:S""),18,FALSE))"),"")</f>
        <v/>
      </c>
      <c r="AJ115" s="44" t="str">
        <f ca="1">IFERROR(__xludf.DUMMYFUNCTION("IFERROR(VLOOKUP(E138&amp;F138,IMPORTRANGE(""https://docs.google.com/spreadsheets/d/1Uw7-A9f9R21vMXxHZFNpYNeKFtG8_yji4HS352LGlSQ/edit?pli=1#gid=0"",""1_ACUM!A4:S""),19,FALSE))"),"")</f>
        <v/>
      </c>
      <c r="AK115" s="98" t="str">
        <f ca="1">IFERROR(__xludf.DUMMYFUNCTION("IFERROR(VLOOKUP(F138,IMPORTRANGE(""https://docs.google.com/spreadsheets/d/1Kvs4KS76FHFqLFIZfrDMff4kP08nblUkihrxltoGBjg/edit#gid=934712705"",""ESENCIAL!A6:BG""),5,FALSE))"),"")</f>
        <v/>
      </c>
      <c r="AL115" s="98" t="str">
        <f t="shared" si="9"/>
        <v/>
      </c>
      <c r="AM115" s="99" t="str">
        <f t="shared" si="10"/>
        <v/>
      </c>
      <c r="AN115" s="100" t="str">
        <f ca="1">IFERROR(__xludf.DUMMYFUNCTION("IFERROR(VLOOKUP(F138,IMPORTRANGE(""https://docs.google.com/spreadsheets/d/1Kvs4KS76FHFqLFIZfrDMff4kP08nblUkihrxltoGBjg/edit#gid=934712705"",""ESENCIAL!A6:BG""),2,FALSE))"),"")</f>
        <v/>
      </c>
      <c r="AO115" s="19" t="str">
        <f t="shared" si="11"/>
        <v/>
      </c>
      <c r="AP115" s="100"/>
      <c r="AQ115" s="100"/>
    </row>
    <row r="116" spans="1:43" ht="15">
      <c r="A116" s="101"/>
      <c r="B116" s="101"/>
      <c r="G116" s="5" t="str">
        <f ca="1">IFERROR(__xludf.DUMMYFUNCTION("IFERROR(VLOOKUP(F139,IMPORTRANGE(""https://docs.google.com/spreadsheets/d/1Kvs4KS76FHFqLFIZfrDMff4kP08nblUkihrxltoGBjg/edit#gid=934712705"",""ESENCIAL!A6:BG""),3,FALSE))"),"")</f>
        <v/>
      </c>
      <c r="H116" s="5" t="str">
        <f ca="1">IFERROR(__xludf.DUMMYFUNCTION("IFERROR(VLOOKUP(F139,IMPORTRANGE(""https://docs.google.com/spreadsheets/d/1Kvs4KS76FHFqLFIZfrDMff4kP08nblUkihrxltoGBjg/edit#gid=934712705"",""ESENCIAL!A6:BG""),8,FALSE))"),"")</f>
        <v/>
      </c>
      <c r="L116" s="287"/>
      <c r="Z116" s="41" t="str">
        <f t="shared" si="8"/>
        <v/>
      </c>
      <c r="AA116" s="5" t="str">
        <f ca="1">IFERROR(__xludf.DUMMYFUNCTION("IFERROR(VLOOKUP(E139&amp;F139,IMPORTRANGE(""https://docs.google.com/spreadsheets/d/1Uw7-A9f9R21vMXxHZFNpYNeKFtG8_yji4HS352LGlSQ/edit?pli=1#gid=0"",""1_ACUM!A4:S""),11,FALSE))"),"")</f>
        <v/>
      </c>
      <c r="AB116" s="42" t="str">
        <f ca="1">IFERROR(__xludf.DUMMYFUNCTION("IFERROR(VLOOKUP(F139,IMPORTRANGE(""https://docs.google.com/spreadsheets/d/1Kvs4KS76FHFqLFIZfrDMff4kP08nblUkihrxltoGBjg/edit#gid=934712705"",""ESENCIAL!A6:BG""),15,FALSE))"),"")</f>
        <v/>
      </c>
      <c r="AC116" s="110" t="str">
        <f ca="1">IFERROR(__xludf.DUMMYFUNCTION("IFERROR(VLOOKUP(E139&amp;F139,IMPORTRANGE(""https://docs.google.com/spreadsheets/d/1Uw7-A9f9R21vMXxHZFNpYNeKFtG8_yji4HS352LGlSQ/edit?pli=1#gid=0"",""1_ACUM!A4:S""),13,FALSE))"),"")</f>
        <v/>
      </c>
      <c r="AD116" s="43" t="str">
        <f ca="1">IFERROR(__xludf.DUMMYFUNCTION("IFERROR(VLOOKUP(E139&amp;F139,IMPORTRANGE(""https://docs.google.com/spreadsheets/d/1Uw7-A9f9R21vMXxHZFNpYNeKFtG8_yji4HS352LGlSQ/edit?pli=1#gid=0"",""1_ACUM!A4:S""),13,FALSE))"),"")</f>
        <v/>
      </c>
      <c r="AE116" s="43" t="str">
        <f ca="1">IFERROR(__xludf.DUMMYFUNCTION("IFERROR(VLOOKUP(E139&amp;F139,IMPORTRANGE(""https://docs.google.com/spreadsheets/d/1Uw7-A9f9R21vMXxHZFNpYNeKFtG8_yji4HS352LGlSQ/edit?pli=1#gid=0"",""1_ACUM!A4:S""),14,FALSE))"),"")</f>
        <v/>
      </c>
      <c r="AF116" s="43" t="str">
        <f ca="1">IFERROR(__xludf.DUMMYFUNCTION("IFERROR(VLOOKUP(E139&amp;F139,IMPORTRANGE(""https://docs.google.com/spreadsheets/d/1Uw7-A9f9R21vMXxHZFNpYNeKFtG8_yji4HS352LGlSQ/edit?pli=1#gid=0"",""1_ACUM!A4:S""),15,FALSE))"),"")</f>
        <v/>
      </c>
      <c r="AG116" s="43" t="str">
        <f ca="1">IFERROR(__xludf.DUMMYFUNCTION("IFERROR(VLOOKUP(E139&amp;F139,IMPORTRANGE(""https://docs.google.com/spreadsheets/d/1Uw7-A9f9R21vMXxHZFNpYNeKFtG8_yji4HS352LGlSQ/edit?pli=1#gid=0"",""1_ACUM!A4:S""),16,FALSE))"),"")</f>
        <v/>
      </c>
      <c r="AH116" s="43" t="str">
        <f ca="1">IFERROR(__xludf.DUMMYFUNCTION("IFERROR(VLOOKUP(E139&amp;F139,IMPORTRANGE(""https://docs.google.com/spreadsheets/d/1Uw7-A9f9R21vMXxHZFNpYNeKFtG8_yji4HS352LGlSQ/edit?pli=1#gid=0"",""1_ACUM!A4:S""),17,FALSE))"),"")</f>
        <v/>
      </c>
      <c r="AI116" s="44" t="str">
        <f ca="1">IFERROR(__xludf.DUMMYFUNCTION("IFERROR(VLOOKUP(E139&amp;F139,IMPORTRANGE(""https://docs.google.com/spreadsheets/d/1Uw7-A9f9R21vMXxHZFNpYNeKFtG8_yji4HS352LGlSQ/edit?pli=1#gid=0"",""1_ACUM!A4:S""),18,FALSE))"),"")</f>
        <v/>
      </c>
      <c r="AJ116" s="44" t="str">
        <f ca="1">IFERROR(__xludf.DUMMYFUNCTION("IFERROR(VLOOKUP(E139&amp;F139,IMPORTRANGE(""https://docs.google.com/spreadsheets/d/1Uw7-A9f9R21vMXxHZFNpYNeKFtG8_yji4HS352LGlSQ/edit?pli=1#gid=0"",""1_ACUM!A4:S""),19,FALSE))"),"")</f>
        <v/>
      </c>
      <c r="AK116" s="98" t="str">
        <f ca="1">IFERROR(__xludf.DUMMYFUNCTION("IFERROR(VLOOKUP(F139,IMPORTRANGE(""https://docs.google.com/spreadsheets/d/1Kvs4KS76FHFqLFIZfrDMff4kP08nblUkihrxltoGBjg/edit#gid=934712705"",""ESENCIAL!A6:BG""),5,FALSE))"),"")</f>
        <v/>
      </c>
      <c r="AL116" s="98" t="str">
        <f t="shared" si="9"/>
        <v/>
      </c>
      <c r="AM116" s="99" t="str">
        <f t="shared" si="10"/>
        <v/>
      </c>
      <c r="AN116" s="100" t="str">
        <f ca="1">IFERROR(__xludf.DUMMYFUNCTION("IFERROR(VLOOKUP(F139,IMPORTRANGE(""https://docs.google.com/spreadsheets/d/1Kvs4KS76FHFqLFIZfrDMff4kP08nblUkihrxltoGBjg/edit#gid=934712705"",""ESENCIAL!A6:BG""),2,FALSE))"),"")</f>
        <v/>
      </c>
      <c r="AO116" s="19" t="str">
        <f t="shared" si="11"/>
        <v/>
      </c>
      <c r="AP116" s="100"/>
      <c r="AQ116" s="100"/>
    </row>
    <row r="117" spans="1:43" ht="15">
      <c r="A117" s="101"/>
      <c r="B117" s="101"/>
      <c r="G117" s="5" t="str">
        <f ca="1">IFERROR(__xludf.DUMMYFUNCTION("IFERROR(VLOOKUP(F140,IMPORTRANGE(""https://docs.google.com/spreadsheets/d/1Kvs4KS76FHFqLFIZfrDMff4kP08nblUkihrxltoGBjg/edit#gid=934712705"",""ESENCIAL!A6:BG""),3,FALSE))"),"")</f>
        <v/>
      </c>
      <c r="H117" s="5" t="str">
        <f ca="1">IFERROR(__xludf.DUMMYFUNCTION("IFERROR(VLOOKUP(F140,IMPORTRANGE(""https://docs.google.com/spreadsheets/d/1Kvs4KS76FHFqLFIZfrDMff4kP08nblUkihrxltoGBjg/edit#gid=934712705"",""ESENCIAL!A6:BG""),8,FALSE))"),"")</f>
        <v/>
      </c>
      <c r="L117" s="287"/>
      <c r="Z117" s="41" t="str">
        <f t="shared" si="8"/>
        <v/>
      </c>
      <c r="AA117" s="5" t="str">
        <f ca="1">IFERROR(__xludf.DUMMYFUNCTION("IFERROR(VLOOKUP(E140&amp;F140,IMPORTRANGE(""https://docs.google.com/spreadsheets/d/1Uw7-A9f9R21vMXxHZFNpYNeKFtG8_yji4HS352LGlSQ/edit?pli=1#gid=0"",""1_ACUM!A4:S""),11,FALSE))"),"")</f>
        <v/>
      </c>
      <c r="AB117" s="42" t="str">
        <f ca="1">IFERROR(__xludf.DUMMYFUNCTION("IFERROR(VLOOKUP(F140,IMPORTRANGE(""https://docs.google.com/spreadsheets/d/1Kvs4KS76FHFqLFIZfrDMff4kP08nblUkihrxltoGBjg/edit#gid=934712705"",""ESENCIAL!A6:BG""),15,FALSE))"),"")</f>
        <v/>
      </c>
      <c r="AC117" s="110" t="str">
        <f ca="1">IFERROR(__xludf.DUMMYFUNCTION("IFERROR(VLOOKUP(E140&amp;F140,IMPORTRANGE(""https://docs.google.com/spreadsheets/d/1Uw7-A9f9R21vMXxHZFNpYNeKFtG8_yji4HS352LGlSQ/edit?pli=1#gid=0"",""1_ACUM!A4:S""),13,FALSE))"),"")</f>
        <v/>
      </c>
      <c r="AD117" s="43" t="str">
        <f ca="1">IFERROR(__xludf.DUMMYFUNCTION("IFERROR(VLOOKUP(E140&amp;F140,IMPORTRANGE(""https://docs.google.com/spreadsheets/d/1Uw7-A9f9R21vMXxHZFNpYNeKFtG8_yji4HS352LGlSQ/edit?pli=1#gid=0"",""1_ACUM!A4:S""),13,FALSE))"),"")</f>
        <v/>
      </c>
      <c r="AE117" s="43" t="str">
        <f ca="1">IFERROR(__xludf.DUMMYFUNCTION("IFERROR(VLOOKUP(E140&amp;F140,IMPORTRANGE(""https://docs.google.com/spreadsheets/d/1Uw7-A9f9R21vMXxHZFNpYNeKFtG8_yji4HS352LGlSQ/edit?pli=1#gid=0"",""1_ACUM!A4:S""),14,FALSE))"),"")</f>
        <v/>
      </c>
      <c r="AF117" s="43" t="str">
        <f ca="1">IFERROR(__xludf.DUMMYFUNCTION("IFERROR(VLOOKUP(E140&amp;F140,IMPORTRANGE(""https://docs.google.com/spreadsheets/d/1Uw7-A9f9R21vMXxHZFNpYNeKFtG8_yji4HS352LGlSQ/edit?pli=1#gid=0"",""1_ACUM!A4:S""),15,FALSE))"),"")</f>
        <v/>
      </c>
      <c r="AG117" s="43" t="str">
        <f ca="1">IFERROR(__xludf.DUMMYFUNCTION("IFERROR(VLOOKUP(E140&amp;F140,IMPORTRANGE(""https://docs.google.com/spreadsheets/d/1Uw7-A9f9R21vMXxHZFNpYNeKFtG8_yji4HS352LGlSQ/edit?pli=1#gid=0"",""1_ACUM!A4:S""),16,FALSE))"),"")</f>
        <v/>
      </c>
      <c r="AH117" s="43" t="str">
        <f ca="1">IFERROR(__xludf.DUMMYFUNCTION("IFERROR(VLOOKUP(E140&amp;F140,IMPORTRANGE(""https://docs.google.com/spreadsheets/d/1Uw7-A9f9R21vMXxHZFNpYNeKFtG8_yji4HS352LGlSQ/edit?pli=1#gid=0"",""1_ACUM!A4:S""),17,FALSE))"),"")</f>
        <v/>
      </c>
      <c r="AI117" s="44" t="str">
        <f ca="1">IFERROR(__xludf.DUMMYFUNCTION("IFERROR(VLOOKUP(E140&amp;F140,IMPORTRANGE(""https://docs.google.com/spreadsheets/d/1Uw7-A9f9R21vMXxHZFNpYNeKFtG8_yji4HS352LGlSQ/edit?pli=1#gid=0"",""1_ACUM!A4:S""),18,FALSE))"),"")</f>
        <v/>
      </c>
      <c r="AJ117" s="44" t="str">
        <f ca="1">IFERROR(__xludf.DUMMYFUNCTION("IFERROR(VLOOKUP(E140&amp;F140,IMPORTRANGE(""https://docs.google.com/spreadsheets/d/1Uw7-A9f9R21vMXxHZFNpYNeKFtG8_yji4HS352LGlSQ/edit?pli=1#gid=0"",""1_ACUM!A4:S""),19,FALSE))"),"")</f>
        <v/>
      </c>
      <c r="AK117" s="98" t="str">
        <f ca="1">IFERROR(__xludf.DUMMYFUNCTION("IFERROR(VLOOKUP(F140,IMPORTRANGE(""https://docs.google.com/spreadsheets/d/1Kvs4KS76FHFqLFIZfrDMff4kP08nblUkihrxltoGBjg/edit#gid=934712705"",""ESENCIAL!A6:BG""),5,FALSE))"),"")</f>
        <v/>
      </c>
      <c r="AL117" s="98" t="str">
        <f t="shared" si="9"/>
        <v/>
      </c>
      <c r="AM117" s="99" t="str">
        <f t="shared" si="10"/>
        <v/>
      </c>
      <c r="AN117" s="100" t="str">
        <f ca="1">IFERROR(__xludf.DUMMYFUNCTION("IFERROR(VLOOKUP(F140,IMPORTRANGE(""https://docs.google.com/spreadsheets/d/1Kvs4KS76FHFqLFIZfrDMff4kP08nblUkihrxltoGBjg/edit#gid=934712705"",""ESENCIAL!A6:BG""),2,FALSE))"),"")</f>
        <v/>
      </c>
      <c r="AO117" s="19" t="str">
        <f t="shared" si="11"/>
        <v/>
      </c>
      <c r="AP117" s="100"/>
      <c r="AQ117" s="100"/>
    </row>
    <row r="118" spans="1:43" ht="15">
      <c r="A118" s="101"/>
      <c r="B118" s="101"/>
      <c r="G118" s="5" t="str">
        <f ca="1">IFERROR(__xludf.DUMMYFUNCTION("IFERROR(VLOOKUP(F141,IMPORTRANGE(""https://docs.google.com/spreadsheets/d/1Kvs4KS76FHFqLFIZfrDMff4kP08nblUkihrxltoGBjg/edit#gid=934712705"",""ESENCIAL!A6:BG""),3,FALSE))"),"")</f>
        <v/>
      </c>
      <c r="H118" s="5" t="str">
        <f ca="1">IFERROR(__xludf.DUMMYFUNCTION("IFERROR(VLOOKUP(F141,IMPORTRANGE(""https://docs.google.com/spreadsheets/d/1Kvs4KS76FHFqLFIZfrDMff4kP08nblUkihrxltoGBjg/edit#gid=934712705"",""ESENCIAL!A6:BG""),8,FALSE))"),"")</f>
        <v/>
      </c>
      <c r="L118" s="287"/>
      <c r="Z118" s="41" t="str">
        <f t="shared" si="8"/>
        <v/>
      </c>
      <c r="AA118" s="5" t="str">
        <f ca="1">IFERROR(__xludf.DUMMYFUNCTION("IFERROR(VLOOKUP(E141&amp;F141,IMPORTRANGE(""https://docs.google.com/spreadsheets/d/1Uw7-A9f9R21vMXxHZFNpYNeKFtG8_yji4HS352LGlSQ/edit?pli=1#gid=0"",""1_ACUM!A4:S""),11,FALSE))"),"")</f>
        <v/>
      </c>
      <c r="AB118" s="42" t="str">
        <f ca="1">IFERROR(__xludf.DUMMYFUNCTION("IFERROR(VLOOKUP(F141,IMPORTRANGE(""https://docs.google.com/spreadsheets/d/1Kvs4KS76FHFqLFIZfrDMff4kP08nblUkihrxltoGBjg/edit#gid=934712705"",""ESENCIAL!A6:BG""),15,FALSE))"),"")</f>
        <v/>
      </c>
      <c r="AC118" s="110" t="str">
        <f ca="1">IFERROR(__xludf.DUMMYFUNCTION("IFERROR(VLOOKUP(E141&amp;F141,IMPORTRANGE(""https://docs.google.com/spreadsheets/d/1Uw7-A9f9R21vMXxHZFNpYNeKFtG8_yji4HS352LGlSQ/edit?pli=1#gid=0"",""1_ACUM!A4:S""),13,FALSE))"),"")</f>
        <v/>
      </c>
      <c r="AD118" s="43" t="str">
        <f ca="1">IFERROR(__xludf.DUMMYFUNCTION("IFERROR(VLOOKUP(E141&amp;F141,IMPORTRANGE(""https://docs.google.com/spreadsheets/d/1Uw7-A9f9R21vMXxHZFNpYNeKFtG8_yji4HS352LGlSQ/edit?pli=1#gid=0"",""1_ACUM!A4:S""),13,FALSE))"),"")</f>
        <v/>
      </c>
      <c r="AE118" s="43" t="str">
        <f ca="1">IFERROR(__xludf.DUMMYFUNCTION("IFERROR(VLOOKUP(E141&amp;F141,IMPORTRANGE(""https://docs.google.com/spreadsheets/d/1Uw7-A9f9R21vMXxHZFNpYNeKFtG8_yji4HS352LGlSQ/edit?pli=1#gid=0"",""1_ACUM!A4:S""),14,FALSE))"),"")</f>
        <v/>
      </c>
      <c r="AF118" s="43" t="str">
        <f ca="1">IFERROR(__xludf.DUMMYFUNCTION("IFERROR(VLOOKUP(E141&amp;F141,IMPORTRANGE(""https://docs.google.com/spreadsheets/d/1Uw7-A9f9R21vMXxHZFNpYNeKFtG8_yji4HS352LGlSQ/edit?pli=1#gid=0"",""1_ACUM!A4:S""),15,FALSE))"),"")</f>
        <v/>
      </c>
      <c r="AG118" s="43" t="str">
        <f ca="1">IFERROR(__xludf.DUMMYFUNCTION("IFERROR(VLOOKUP(E141&amp;F141,IMPORTRANGE(""https://docs.google.com/spreadsheets/d/1Uw7-A9f9R21vMXxHZFNpYNeKFtG8_yji4HS352LGlSQ/edit?pli=1#gid=0"",""1_ACUM!A4:S""),16,FALSE))"),"")</f>
        <v/>
      </c>
      <c r="AH118" s="43" t="str">
        <f ca="1">IFERROR(__xludf.DUMMYFUNCTION("IFERROR(VLOOKUP(E141&amp;F141,IMPORTRANGE(""https://docs.google.com/spreadsheets/d/1Uw7-A9f9R21vMXxHZFNpYNeKFtG8_yji4HS352LGlSQ/edit?pli=1#gid=0"",""1_ACUM!A4:S""),17,FALSE))"),"")</f>
        <v/>
      </c>
      <c r="AI118" s="44" t="str">
        <f ca="1">IFERROR(__xludf.DUMMYFUNCTION("IFERROR(VLOOKUP(E141&amp;F141,IMPORTRANGE(""https://docs.google.com/spreadsheets/d/1Uw7-A9f9R21vMXxHZFNpYNeKFtG8_yji4HS352LGlSQ/edit?pli=1#gid=0"",""1_ACUM!A4:S""),18,FALSE))"),"")</f>
        <v/>
      </c>
      <c r="AJ118" s="44" t="str">
        <f ca="1">IFERROR(__xludf.DUMMYFUNCTION("IFERROR(VLOOKUP(E141&amp;F141,IMPORTRANGE(""https://docs.google.com/spreadsheets/d/1Uw7-A9f9R21vMXxHZFNpYNeKFtG8_yji4HS352LGlSQ/edit?pli=1#gid=0"",""1_ACUM!A4:S""),19,FALSE))"),"")</f>
        <v/>
      </c>
      <c r="AK118" s="98" t="str">
        <f ca="1">IFERROR(__xludf.DUMMYFUNCTION("IFERROR(VLOOKUP(F141,IMPORTRANGE(""https://docs.google.com/spreadsheets/d/1Kvs4KS76FHFqLFIZfrDMff4kP08nblUkihrxltoGBjg/edit#gid=934712705"",""ESENCIAL!A6:BG""),5,FALSE))"),"")</f>
        <v/>
      </c>
      <c r="AL118" s="98" t="str">
        <f t="shared" si="9"/>
        <v/>
      </c>
      <c r="AM118" s="99" t="str">
        <f t="shared" si="10"/>
        <v/>
      </c>
      <c r="AN118" s="100" t="str">
        <f ca="1">IFERROR(__xludf.DUMMYFUNCTION("IFERROR(VLOOKUP(F141,IMPORTRANGE(""https://docs.google.com/spreadsheets/d/1Kvs4KS76FHFqLFIZfrDMff4kP08nblUkihrxltoGBjg/edit#gid=934712705"",""ESENCIAL!A6:BG""),2,FALSE))"),"")</f>
        <v/>
      </c>
      <c r="AO118" s="19" t="str">
        <f t="shared" si="11"/>
        <v/>
      </c>
      <c r="AP118" s="100"/>
      <c r="AQ118" s="100"/>
    </row>
    <row r="119" spans="1:43" ht="15">
      <c r="A119" s="101"/>
      <c r="B119" s="101"/>
      <c r="G119" s="5" t="str">
        <f ca="1">IFERROR(__xludf.DUMMYFUNCTION("IFERROR(VLOOKUP(F142,IMPORTRANGE(""https://docs.google.com/spreadsheets/d/1Kvs4KS76FHFqLFIZfrDMff4kP08nblUkihrxltoGBjg/edit#gid=934712705"",""ESENCIAL!A6:BG""),3,FALSE))"),"")</f>
        <v/>
      </c>
      <c r="H119" s="5" t="str">
        <f ca="1">IFERROR(__xludf.DUMMYFUNCTION("IFERROR(VLOOKUP(F142,IMPORTRANGE(""https://docs.google.com/spreadsheets/d/1Kvs4KS76FHFqLFIZfrDMff4kP08nblUkihrxltoGBjg/edit#gid=934712705"",""ESENCIAL!A6:BG""),8,FALSE))"),"")</f>
        <v/>
      </c>
      <c r="L119" s="287"/>
      <c r="Z119" s="41" t="str">
        <f t="shared" si="8"/>
        <v/>
      </c>
      <c r="AA119" s="5" t="str">
        <f ca="1">IFERROR(__xludf.DUMMYFUNCTION("IFERROR(VLOOKUP(E142&amp;F142,IMPORTRANGE(""https://docs.google.com/spreadsheets/d/1Uw7-A9f9R21vMXxHZFNpYNeKFtG8_yji4HS352LGlSQ/edit?pli=1#gid=0"",""1_ACUM!A4:S""),11,FALSE))"),"")</f>
        <v/>
      </c>
      <c r="AB119" s="42" t="str">
        <f ca="1">IFERROR(__xludf.DUMMYFUNCTION("IFERROR(VLOOKUP(F142,IMPORTRANGE(""https://docs.google.com/spreadsheets/d/1Kvs4KS76FHFqLFIZfrDMff4kP08nblUkihrxltoGBjg/edit#gid=934712705"",""ESENCIAL!A6:BG""),15,FALSE))"),"")</f>
        <v/>
      </c>
      <c r="AC119" s="110" t="str">
        <f ca="1">IFERROR(__xludf.DUMMYFUNCTION("IFERROR(VLOOKUP(E142&amp;F142,IMPORTRANGE(""https://docs.google.com/spreadsheets/d/1Uw7-A9f9R21vMXxHZFNpYNeKFtG8_yji4HS352LGlSQ/edit?pli=1#gid=0"",""1_ACUM!A4:S""),13,FALSE))"),"")</f>
        <v/>
      </c>
      <c r="AD119" s="43" t="str">
        <f ca="1">IFERROR(__xludf.DUMMYFUNCTION("IFERROR(VLOOKUP(E142&amp;F142,IMPORTRANGE(""https://docs.google.com/spreadsheets/d/1Uw7-A9f9R21vMXxHZFNpYNeKFtG8_yji4HS352LGlSQ/edit?pli=1#gid=0"",""1_ACUM!A4:S""),13,FALSE))"),"")</f>
        <v/>
      </c>
      <c r="AE119" s="43" t="str">
        <f ca="1">IFERROR(__xludf.DUMMYFUNCTION("IFERROR(VLOOKUP(E142&amp;F142,IMPORTRANGE(""https://docs.google.com/spreadsheets/d/1Uw7-A9f9R21vMXxHZFNpYNeKFtG8_yji4HS352LGlSQ/edit?pli=1#gid=0"",""1_ACUM!A4:S""),14,FALSE))"),"")</f>
        <v/>
      </c>
      <c r="AF119" s="43" t="str">
        <f ca="1">IFERROR(__xludf.DUMMYFUNCTION("IFERROR(VLOOKUP(E142&amp;F142,IMPORTRANGE(""https://docs.google.com/spreadsheets/d/1Uw7-A9f9R21vMXxHZFNpYNeKFtG8_yji4HS352LGlSQ/edit?pli=1#gid=0"",""1_ACUM!A4:S""),15,FALSE))"),"")</f>
        <v/>
      </c>
      <c r="AG119" s="43" t="str">
        <f ca="1">IFERROR(__xludf.DUMMYFUNCTION("IFERROR(VLOOKUP(E142&amp;F142,IMPORTRANGE(""https://docs.google.com/spreadsheets/d/1Uw7-A9f9R21vMXxHZFNpYNeKFtG8_yji4HS352LGlSQ/edit?pli=1#gid=0"",""1_ACUM!A4:S""),16,FALSE))"),"")</f>
        <v/>
      </c>
      <c r="AH119" s="43" t="str">
        <f ca="1">IFERROR(__xludf.DUMMYFUNCTION("IFERROR(VLOOKUP(E142&amp;F142,IMPORTRANGE(""https://docs.google.com/spreadsheets/d/1Uw7-A9f9R21vMXxHZFNpYNeKFtG8_yji4HS352LGlSQ/edit?pli=1#gid=0"",""1_ACUM!A4:S""),17,FALSE))"),"")</f>
        <v/>
      </c>
      <c r="AI119" s="44" t="str">
        <f ca="1">IFERROR(__xludf.DUMMYFUNCTION("IFERROR(VLOOKUP(E142&amp;F142,IMPORTRANGE(""https://docs.google.com/spreadsheets/d/1Uw7-A9f9R21vMXxHZFNpYNeKFtG8_yji4HS352LGlSQ/edit?pli=1#gid=0"",""1_ACUM!A4:S""),18,FALSE))"),"")</f>
        <v/>
      </c>
      <c r="AJ119" s="44" t="str">
        <f ca="1">IFERROR(__xludf.DUMMYFUNCTION("IFERROR(VLOOKUP(E142&amp;F142,IMPORTRANGE(""https://docs.google.com/spreadsheets/d/1Uw7-A9f9R21vMXxHZFNpYNeKFtG8_yji4HS352LGlSQ/edit?pli=1#gid=0"",""1_ACUM!A4:S""),19,FALSE))"),"")</f>
        <v/>
      </c>
      <c r="AK119" s="98" t="str">
        <f ca="1">IFERROR(__xludf.DUMMYFUNCTION("IFERROR(VLOOKUP(F142,IMPORTRANGE(""https://docs.google.com/spreadsheets/d/1Kvs4KS76FHFqLFIZfrDMff4kP08nblUkihrxltoGBjg/edit#gid=934712705"",""ESENCIAL!A6:BG""),5,FALSE))"),"")</f>
        <v/>
      </c>
      <c r="AL119" s="98" t="str">
        <f t="shared" si="9"/>
        <v/>
      </c>
      <c r="AM119" s="99" t="str">
        <f t="shared" si="10"/>
        <v/>
      </c>
      <c r="AN119" s="100" t="str">
        <f ca="1">IFERROR(__xludf.DUMMYFUNCTION("IFERROR(VLOOKUP(F142,IMPORTRANGE(""https://docs.google.com/spreadsheets/d/1Kvs4KS76FHFqLFIZfrDMff4kP08nblUkihrxltoGBjg/edit#gid=934712705"",""ESENCIAL!A6:BG""),2,FALSE))"),"")</f>
        <v/>
      </c>
      <c r="AO119" s="19" t="str">
        <f t="shared" si="11"/>
        <v/>
      </c>
      <c r="AP119" s="100"/>
      <c r="AQ119" s="100"/>
    </row>
    <row r="120" spans="1:43" ht="15">
      <c r="A120" s="101"/>
      <c r="B120" s="101"/>
      <c r="G120" s="5" t="str">
        <f ca="1">IFERROR(__xludf.DUMMYFUNCTION("IFERROR(VLOOKUP(F143,IMPORTRANGE(""https://docs.google.com/spreadsheets/d/1Kvs4KS76FHFqLFIZfrDMff4kP08nblUkihrxltoGBjg/edit#gid=934712705"",""ESENCIAL!A6:BG""),3,FALSE))"),"")</f>
        <v/>
      </c>
      <c r="H120" s="5" t="str">
        <f ca="1">IFERROR(__xludf.DUMMYFUNCTION("IFERROR(VLOOKUP(F143,IMPORTRANGE(""https://docs.google.com/spreadsheets/d/1Kvs4KS76FHFqLFIZfrDMff4kP08nblUkihrxltoGBjg/edit#gid=934712705"",""ESENCIAL!A6:BG""),8,FALSE))"),"")</f>
        <v/>
      </c>
      <c r="L120" s="287"/>
      <c r="Z120" s="41" t="str">
        <f t="shared" si="8"/>
        <v/>
      </c>
      <c r="AA120" s="5" t="str">
        <f ca="1">IFERROR(__xludf.DUMMYFUNCTION("IFERROR(VLOOKUP(E143&amp;F143,IMPORTRANGE(""https://docs.google.com/spreadsheets/d/1Uw7-A9f9R21vMXxHZFNpYNeKFtG8_yji4HS352LGlSQ/edit?pli=1#gid=0"",""1_ACUM!A4:S""),11,FALSE))"),"")</f>
        <v/>
      </c>
      <c r="AB120" s="42" t="str">
        <f ca="1">IFERROR(__xludf.DUMMYFUNCTION("IFERROR(VLOOKUP(F143,IMPORTRANGE(""https://docs.google.com/spreadsheets/d/1Kvs4KS76FHFqLFIZfrDMff4kP08nblUkihrxltoGBjg/edit#gid=934712705"",""ESENCIAL!A6:BG""),15,FALSE))"),"")</f>
        <v/>
      </c>
      <c r="AC120" s="110" t="str">
        <f ca="1">IFERROR(__xludf.DUMMYFUNCTION("IFERROR(VLOOKUP(E143&amp;F143,IMPORTRANGE(""https://docs.google.com/spreadsheets/d/1Uw7-A9f9R21vMXxHZFNpYNeKFtG8_yji4HS352LGlSQ/edit?pli=1#gid=0"",""1_ACUM!A4:S""),13,FALSE))"),"")</f>
        <v/>
      </c>
      <c r="AD120" s="43" t="str">
        <f ca="1">IFERROR(__xludf.DUMMYFUNCTION("IFERROR(VLOOKUP(E143&amp;F143,IMPORTRANGE(""https://docs.google.com/spreadsheets/d/1Uw7-A9f9R21vMXxHZFNpYNeKFtG8_yji4HS352LGlSQ/edit?pli=1#gid=0"",""1_ACUM!A4:S""),13,FALSE))"),"")</f>
        <v/>
      </c>
      <c r="AE120" s="43" t="str">
        <f ca="1">IFERROR(__xludf.DUMMYFUNCTION("IFERROR(VLOOKUP(E143&amp;F143,IMPORTRANGE(""https://docs.google.com/spreadsheets/d/1Uw7-A9f9R21vMXxHZFNpYNeKFtG8_yji4HS352LGlSQ/edit?pli=1#gid=0"",""1_ACUM!A4:S""),14,FALSE))"),"")</f>
        <v/>
      </c>
      <c r="AF120" s="43" t="str">
        <f ca="1">IFERROR(__xludf.DUMMYFUNCTION("IFERROR(VLOOKUP(E143&amp;F143,IMPORTRANGE(""https://docs.google.com/spreadsheets/d/1Uw7-A9f9R21vMXxHZFNpYNeKFtG8_yji4HS352LGlSQ/edit?pli=1#gid=0"",""1_ACUM!A4:S""),15,FALSE))"),"")</f>
        <v/>
      </c>
      <c r="AG120" s="43" t="str">
        <f ca="1">IFERROR(__xludf.DUMMYFUNCTION("IFERROR(VLOOKUP(E143&amp;F143,IMPORTRANGE(""https://docs.google.com/spreadsheets/d/1Uw7-A9f9R21vMXxHZFNpYNeKFtG8_yji4HS352LGlSQ/edit?pli=1#gid=0"",""1_ACUM!A4:S""),16,FALSE))"),"")</f>
        <v/>
      </c>
      <c r="AH120" s="43" t="str">
        <f ca="1">IFERROR(__xludf.DUMMYFUNCTION("IFERROR(VLOOKUP(E143&amp;F143,IMPORTRANGE(""https://docs.google.com/spreadsheets/d/1Uw7-A9f9R21vMXxHZFNpYNeKFtG8_yji4HS352LGlSQ/edit?pli=1#gid=0"",""1_ACUM!A4:S""),17,FALSE))"),"")</f>
        <v/>
      </c>
      <c r="AI120" s="44" t="str">
        <f ca="1">IFERROR(__xludf.DUMMYFUNCTION("IFERROR(VLOOKUP(E143&amp;F143,IMPORTRANGE(""https://docs.google.com/spreadsheets/d/1Uw7-A9f9R21vMXxHZFNpYNeKFtG8_yji4HS352LGlSQ/edit?pli=1#gid=0"",""1_ACUM!A4:S""),18,FALSE))"),"")</f>
        <v/>
      </c>
      <c r="AJ120" s="44" t="str">
        <f ca="1">IFERROR(__xludf.DUMMYFUNCTION("IFERROR(VLOOKUP(E143&amp;F143,IMPORTRANGE(""https://docs.google.com/spreadsheets/d/1Uw7-A9f9R21vMXxHZFNpYNeKFtG8_yji4HS352LGlSQ/edit?pli=1#gid=0"",""1_ACUM!A4:S""),19,FALSE))"),"")</f>
        <v/>
      </c>
      <c r="AK120" s="98" t="str">
        <f ca="1">IFERROR(__xludf.DUMMYFUNCTION("IFERROR(VLOOKUP(F143,IMPORTRANGE(""https://docs.google.com/spreadsheets/d/1Kvs4KS76FHFqLFIZfrDMff4kP08nblUkihrxltoGBjg/edit#gid=934712705"",""ESENCIAL!A6:BG""),5,FALSE))"),"")</f>
        <v/>
      </c>
      <c r="AL120" s="98" t="str">
        <f t="shared" si="9"/>
        <v/>
      </c>
      <c r="AM120" s="99" t="str">
        <f t="shared" si="10"/>
        <v/>
      </c>
      <c r="AN120" s="100" t="str">
        <f ca="1">IFERROR(__xludf.DUMMYFUNCTION("IFERROR(VLOOKUP(F143,IMPORTRANGE(""https://docs.google.com/spreadsheets/d/1Kvs4KS76FHFqLFIZfrDMff4kP08nblUkihrxltoGBjg/edit#gid=934712705"",""ESENCIAL!A6:BG""),2,FALSE))"),"")</f>
        <v/>
      </c>
      <c r="AO120" s="19" t="str">
        <f t="shared" si="11"/>
        <v/>
      </c>
      <c r="AP120" s="100"/>
      <c r="AQ120" s="100"/>
    </row>
    <row r="121" spans="1:43" ht="15">
      <c r="A121" s="101"/>
      <c r="B121" s="101"/>
      <c r="G121" s="5" t="str">
        <f ca="1">IFERROR(__xludf.DUMMYFUNCTION("IFERROR(VLOOKUP(F144,IMPORTRANGE(""https://docs.google.com/spreadsheets/d/1Kvs4KS76FHFqLFIZfrDMff4kP08nblUkihrxltoGBjg/edit#gid=934712705"",""ESENCIAL!A6:BG""),3,FALSE))"),"")</f>
        <v/>
      </c>
      <c r="H121" s="5" t="str">
        <f ca="1">IFERROR(__xludf.DUMMYFUNCTION("IFERROR(VLOOKUP(F144,IMPORTRANGE(""https://docs.google.com/spreadsheets/d/1Kvs4KS76FHFqLFIZfrDMff4kP08nblUkihrxltoGBjg/edit#gid=934712705"",""ESENCIAL!A6:BG""),8,FALSE))"),"")</f>
        <v/>
      </c>
      <c r="L121" s="287"/>
      <c r="Z121" s="41" t="str">
        <f t="shared" si="8"/>
        <v/>
      </c>
      <c r="AA121" s="5" t="str">
        <f ca="1">IFERROR(__xludf.DUMMYFUNCTION("IFERROR(VLOOKUP(E144&amp;F144,IMPORTRANGE(""https://docs.google.com/spreadsheets/d/1Uw7-A9f9R21vMXxHZFNpYNeKFtG8_yji4HS352LGlSQ/edit?pli=1#gid=0"",""1_ACUM!A4:S""),11,FALSE))"),"")</f>
        <v/>
      </c>
      <c r="AB121" s="42" t="str">
        <f ca="1">IFERROR(__xludf.DUMMYFUNCTION("IFERROR(VLOOKUP(F144,IMPORTRANGE(""https://docs.google.com/spreadsheets/d/1Kvs4KS76FHFqLFIZfrDMff4kP08nblUkihrxltoGBjg/edit#gid=934712705"",""ESENCIAL!A6:BG""),15,FALSE))"),"")</f>
        <v/>
      </c>
      <c r="AC121" s="110" t="str">
        <f ca="1">IFERROR(__xludf.DUMMYFUNCTION("IFERROR(VLOOKUP(E144&amp;F144,IMPORTRANGE(""https://docs.google.com/spreadsheets/d/1Uw7-A9f9R21vMXxHZFNpYNeKFtG8_yji4HS352LGlSQ/edit?pli=1#gid=0"",""1_ACUM!A4:S""),13,FALSE))"),"")</f>
        <v/>
      </c>
      <c r="AD121" s="43" t="str">
        <f ca="1">IFERROR(__xludf.DUMMYFUNCTION("IFERROR(VLOOKUP(E144&amp;F144,IMPORTRANGE(""https://docs.google.com/spreadsheets/d/1Uw7-A9f9R21vMXxHZFNpYNeKFtG8_yji4HS352LGlSQ/edit?pli=1#gid=0"",""1_ACUM!A4:S""),13,FALSE))"),"")</f>
        <v/>
      </c>
      <c r="AE121" s="43" t="str">
        <f ca="1">IFERROR(__xludf.DUMMYFUNCTION("IFERROR(VLOOKUP(E144&amp;F144,IMPORTRANGE(""https://docs.google.com/spreadsheets/d/1Uw7-A9f9R21vMXxHZFNpYNeKFtG8_yji4HS352LGlSQ/edit?pli=1#gid=0"",""1_ACUM!A4:S""),14,FALSE))"),"")</f>
        <v/>
      </c>
      <c r="AF121" s="43" t="str">
        <f ca="1">IFERROR(__xludf.DUMMYFUNCTION("IFERROR(VLOOKUP(E144&amp;F144,IMPORTRANGE(""https://docs.google.com/spreadsheets/d/1Uw7-A9f9R21vMXxHZFNpYNeKFtG8_yji4HS352LGlSQ/edit?pli=1#gid=0"",""1_ACUM!A4:S""),15,FALSE))"),"")</f>
        <v/>
      </c>
      <c r="AG121" s="43" t="str">
        <f ca="1">IFERROR(__xludf.DUMMYFUNCTION("IFERROR(VLOOKUP(E144&amp;F144,IMPORTRANGE(""https://docs.google.com/spreadsheets/d/1Uw7-A9f9R21vMXxHZFNpYNeKFtG8_yji4HS352LGlSQ/edit?pli=1#gid=0"",""1_ACUM!A4:S""),16,FALSE))"),"")</f>
        <v/>
      </c>
      <c r="AH121" s="43" t="str">
        <f ca="1">IFERROR(__xludf.DUMMYFUNCTION("IFERROR(VLOOKUP(E144&amp;F144,IMPORTRANGE(""https://docs.google.com/spreadsheets/d/1Uw7-A9f9R21vMXxHZFNpYNeKFtG8_yji4HS352LGlSQ/edit?pli=1#gid=0"",""1_ACUM!A4:S""),17,FALSE))"),"")</f>
        <v/>
      </c>
      <c r="AI121" s="44" t="str">
        <f ca="1">IFERROR(__xludf.DUMMYFUNCTION("IFERROR(VLOOKUP(E144&amp;F144,IMPORTRANGE(""https://docs.google.com/spreadsheets/d/1Uw7-A9f9R21vMXxHZFNpYNeKFtG8_yji4HS352LGlSQ/edit?pli=1#gid=0"",""1_ACUM!A4:S""),18,FALSE))"),"")</f>
        <v/>
      </c>
      <c r="AJ121" s="44" t="str">
        <f ca="1">IFERROR(__xludf.DUMMYFUNCTION("IFERROR(VLOOKUP(E144&amp;F144,IMPORTRANGE(""https://docs.google.com/spreadsheets/d/1Uw7-A9f9R21vMXxHZFNpYNeKFtG8_yji4HS352LGlSQ/edit?pli=1#gid=0"",""1_ACUM!A4:S""),19,FALSE))"),"")</f>
        <v/>
      </c>
      <c r="AK121" s="98" t="str">
        <f ca="1">IFERROR(__xludf.DUMMYFUNCTION("IFERROR(VLOOKUP(F144,IMPORTRANGE(""https://docs.google.com/spreadsheets/d/1Kvs4KS76FHFqLFIZfrDMff4kP08nblUkihrxltoGBjg/edit#gid=934712705"",""ESENCIAL!A6:BG""),5,FALSE))"),"")</f>
        <v/>
      </c>
      <c r="AL121" s="98" t="str">
        <f t="shared" si="9"/>
        <v/>
      </c>
      <c r="AM121" s="99" t="str">
        <f t="shared" si="10"/>
        <v/>
      </c>
      <c r="AN121" s="100" t="str">
        <f ca="1">IFERROR(__xludf.DUMMYFUNCTION("IFERROR(VLOOKUP(F144,IMPORTRANGE(""https://docs.google.com/spreadsheets/d/1Kvs4KS76FHFqLFIZfrDMff4kP08nblUkihrxltoGBjg/edit#gid=934712705"",""ESENCIAL!A6:BG""),2,FALSE))"),"")</f>
        <v/>
      </c>
      <c r="AO121" s="19" t="str">
        <f t="shared" si="11"/>
        <v/>
      </c>
      <c r="AP121" s="100"/>
      <c r="AQ121" s="100"/>
    </row>
    <row r="122" spans="1:43" ht="15">
      <c r="A122" s="101"/>
      <c r="B122" s="101"/>
      <c r="G122" s="5" t="str">
        <f ca="1">IFERROR(__xludf.DUMMYFUNCTION("IFERROR(VLOOKUP(F145,IMPORTRANGE(""https://docs.google.com/spreadsheets/d/1Kvs4KS76FHFqLFIZfrDMff4kP08nblUkihrxltoGBjg/edit#gid=934712705"",""ESENCIAL!A6:BG""),3,FALSE))"),"")</f>
        <v/>
      </c>
      <c r="H122" s="5" t="str">
        <f ca="1">IFERROR(__xludf.DUMMYFUNCTION("IFERROR(VLOOKUP(F145,IMPORTRANGE(""https://docs.google.com/spreadsheets/d/1Kvs4KS76FHFqLFIZfrDMff4kP08nblUkihrxltoGBjg/edit#gid=934712705"",""ESENCIAL!A6:BG""),8,FALSE))"),"")</f>
        <v/>
      </c>
      <c r="L122" s="287"/>
      <c r="Z122" s="41" t="str">
        <f t="shared" si="8"/>
        <v/>
      </c>
      <c r="AA122" s="5" t="str">
        <f ca="1">IFERROR(__xludf.DUMMYFUNCTION("IFERROR(VLOOKUP(E145&amp;F145,IMPORTRANGE(""https://docs.google.com/spreadsheets/d/1Uw7-A9f9R21vMXxHZFNpYNeKFtG8_yji4HS352LGlSQ/edit?pli=1#gid=0"",""1_ACUM!A4:S""),11,FALSE))"),"")</f>
        <v/>
      </c>
      <c r="AB122" s="42" t="str">
        <f ca="1">IFERROR(__xludf.DUMMYFUNCTION("IFERROR(VLOOKUP(F145,IMPORTRANGE(""https://docs.google.com/spreadsheets/d/1Kvs4KS76FHFqLFIZfrDMff4kP08nblUkihrxltoGBjg/edit#gid=934712705"",""ESENCIAL!A6:BG""),15,FALSE))"),"")</f>
        <v/>
      </c>
      <c r="AC122" s="110" t="str">
        <f ca="1">IFERROR(__xludf.DUMMYFUNCTION("IFERROR(VLOOKUP(E145&amp;F145,IMPORTRANGE(""https://docs.google.com/spreadsheets/d/1Uw7-A9f9R21vMXxHZFNpYNeKFtG8_yji4HS352LGlSQ/edit?pli=1#gid=0"",""1_ACUM!A4:S""),13,FALSE))"),"")</f>
        <v/>
      </c>
      <c r="AD122" s="43" t="str">
        <f ca="1">IFERROR(__xludf.DUMMYFUNCTION("IFERROR(VLOOKUP(E145&amp;F145,IMPORTRANGE(""https://docs.google.com/spreadsheets/d/1Uw7-A9f9R21vMXxHZFNpYNeKFtG8_yji4HS352LGlSQ/edit?pli=1#gid=0"",""1_ACUM!A4:S""),13,FALSE))"),"")</f>
        <v/>
      </c>
      <c r="AE122" s="43" t="str">
        <f ca="1">IFERROR(__xludf.DUMMYFUNCTION("IFERROR(VLOOKUP(E145&amp;F145,IMPORTRANGE(""https://docs.google.com/spreadsheets/d/1Uw7-A9f9R21vMXxHZFNpYNeKFtG8_yji4HS352LGlSQ/edit?pli=1#gid=0"",""1_ACUM!A4:S""),14,FALSE))"),"")</f>
        <v/>
      </c>
      <c r="AF122" s="43" t="str">
        <f ca="1">IFERROR(__xludf.DUMMYFUNCTION("IFERROR(VLOOKUP(E145&amp;F145,IMPORTRANGE(""https://docs.google.com/spreadsheets/d/1Uw7-A9f9R21vMXxHZFNpYNeKFtG8_yji4HS352LGlSQ/edit?pli=1#gid=0"",""1_ACUM!A4:S""),15,FALSE))"),"")</f>
        <v/>
      </c>
      <c r="AG122" s="43" t="str">
        <f ca="1">IFERROR(__xludf.DUMMYFUNCTION("IFERROR(VLOOKUP(E145&amp;F145,IMPORTRANGE(""https://docs.google.com/spreadsheets/d/1Uw7-A9f9R21vMXxHZFNpYNeKFtG8_yji4HS352LGlSQ/edit?pli=1#gid=0"",""1_ACUM!A4:S""),16,FALSE))"),"")</f>
        <v/>
      </c>
      <c r="AH122" s="43" t="str">
        <f ca="1">IFERROR(__xludf.DUMMYFUNCTION("IFERROR(VLOOKUP(E145&amp;F145,IMPORTRANGE(""https://docs.google.com/spreadsheets/d/1Uw7-A9f9R21vMXxHZFNpYNeKFtG8_yji4HS352LGlSQ/edit?pli=1#gid=0"",""1_ACUM!A4:S""),17,FALSE))"),"")</f>
        <v/>
      </c>
      <c r="AI122" s="44" t="str">
        <f ca="1">IFERROR(__xludf.DUMMYFUNCTION("IFERROR(VLOOKUP(E145&amp;F145,IMPORTRANGE(""https://docs.google.com/spreadsheets/d/1Uw7-A9f9R21vMXxHZFNpYNeKFtG8_yji4HS352LGlSQ/edit?pli=1#gid=0"",""1_ACUM!A4:S""),18,FALSE))"),"")</f>
        <v/>
      </c>
      <c r="AJ122" s="44" t="str">
        <f ca="1">IFERROR(__xludf.DUMMYFUNCTION("IFERROR(VLOOKUP(E145&amp;F145,IMPORTRANGE(""https://docs.google.com/spreadsheets/d/1Uw7-A9f9R21vMXxHZFNpYNeKFtG8_yji4HS352LGlSQ/edit?pli=1#gid=0"",""1_ACUM!A4:S""),19,FALSE))"),"")</f>
        <v/>
      </c>
      <c r="AK122" s="98" t="str">
        <f ca="1">IFERROR(__xludf.DUMMYFUNCTION("IFERROR(VLOOKUP(F145,IMPORTRANGE(""https://docs.google.com/spreadsheets/d/1Kvs4KS76FHFqLFIZfrDMff4kP08nblUkihrxltoGBjg/edit#gid=934712705"",""ESENCIAL!A6:BG""),5,FALSE))"),"")</f>
        <v/>
      </c>
      <c r="AL122" s="98" t="str">
        <f t="shared" si="9"/>
        <v/>
      </c>
      <c r="AM122" s="99" t="str">
        <f t="shared" si="10"/>
        <v/>
      </c>
      <c r="AN122" s="100" t="str">
        <f ca="1">IFERROR(__xludf.DUMMYFUNCTION("IFERROR(VLOOKUP(F145,IMPORTRANGE(""https://docs.google.com/spreadsheets/d/1Kvs4KS76FHFqLFIZfrDMff4kP08nblUkihrxltoGBjg/edit#gid=934712705"",""ESENCIAL!A6:BG""),2,FALSE))"),"")</f>
        <v/>
      </c>
      <c r="AO122" s="19" t="str">
        <f t="shared" si="11"/>
        <v/>
      </c>
      <c r="AP122" s="100"/>
      <c r="AQ122" s="100"/>
    </row>
    <row r="123" spans="1:43" ht="15">
      <c r="A123" s="101"/>
      <c r="B123" s="24"/>
      <c r="G123" s="5" t="str">
        <f ca="1">IFERROR(__xludf.DUMMYFUNCTION("IFERROR(VLOOKUP(F146,IMPORTRANGE(""https://docs.google.com/spreadsheets/d/1Kvs4KS76FHFqLFIZfrDMff4kP08nblUkihrxltoGBjg/edit#gid=934712705"",""ESENCIAL!A6:BG""),3,FALSE))"),"")</f>
        <v/>
      </c>
      <c r="H123" s="5" t="str">
        <f ca="1">IFERROR(__xludf.DUMMYFUNCTION("IFERROR(VLOOKUP(F146,IMPORTRANGE(""https://docs.google.com/spreadsheets/d/1Kvs4KS76FHFqLFIZfrDMff4kP08nblUkihrxltoGBjg/edit#gid=934712705"",""ESENCIAL!A6:BG""),8,FALSE))"),"")</f>
        <v/>
      </c>
      <c r="L123" s="287"/>
      <c r="Z123" s="41" t="str">
        <f t="shared" si="8"/>
        <v/>
      </c>
      <c r="AA123" s="5" t="str">
        <f ca="1">IFERROR(__xludf.DUMMYFUNCTION("IFERROR(VLOOKUP(E146&amp;F146,IMPORTRANGE(""https://docs.google.com/spreadsheets/d/1Uw7-A9f9R21vMXxHZFNpYNeKFtG8_yji4HS352LGlSQ/edit?pli=1#gid=0"",""1_ACUM!A4:S""),11,FALSE))"),"")</f>
        <v/>
      </c>
      <c r="AB123" s="42" t="str">
        <f ca="1">IFERROR(__xludf.DUMMYFUNCTION("IFERROR(VLOOKUP(F146,IMPORTRANGE(""https://docs.google.com/spreadsheets/d/1Kvs4KS76FHFqLFIZfrDMff4kP08nblUkihrxltoGBjg/edit#gid=934712705"",""ESENCIAL!A6:BG""),15,FALSE))"),"")</f>
        <v/>
      </c>
      <c r="AC123" s="110" t="str">
        <f ca="1">IFERROR(__xludf.DUMMYFUNCTION("IFERROR(VLOOKUP(E146&amp;F146,IMPORTRANGE(""https://docs.google.com/spreadsheets/d/1Uw7-A9f9R21vMXxHZFNpYNeKFtG8_yji4HS352LGlSQ/edit?pli=1#gid=0"",""1_ACUM!A4:S""),13,FALSE))"),"")</f>
        <v/>
      </c>
      <c r="AD123" s="43" t="str">
        <f ca="1">IFERROR(__xludf.DUMMYFUNCTION("IFERROR(VLOOKUP(E146&amp;F146,IMPORTRANGE(""https://docs.google.com/spreadsheets/d/1Uw7-A9f9R21vMXxHZFNpYNeKFtG8_yji4HS352LGlSQ/edit?pli=1#gid=0"",""1_ACUM!A4:S""),13,FALSE))"),"")</f>
        <v/>
      </c>
      <c r="AE123" s="43" t="str">
        <f ca="1">IFERROR(__xludf.DUMMYFUNCTION("IFERROR(VLOOKUP(E146&amp;F146,IMPORTRANGE(""https://docs.google.com/spreadsheets/d/1Uw7-A9f9R21vMXxHZFNpYNeKFtG8_yji4HS352LGlSQ/edit?pli=1#gid=0"",""1_ACUM!A4:S""),14,FALSE))"),"")</f>
        <v/>
      </c>
      <c r="AF123" s="43" t="str">
        <f ca="1">IFERROR(__xludf.DUMMYFUNCTION("IFERROR(VLOOKUP(E146&amp;F146,IMPORTRANGE(""https://docs.google.com/spreadsheets/d/1Uw7-A9f9R21vMXxHZFNpYNeKFtG8_yji4HS352LGlSQ/edit?pli=1#gid=0"",""1_ACUM!A4:S""),15,FALSE))"),"")</f>
        <v/>
      </c>
      <c r="AG123" s="43" t="str">
        <f ca="1">IFERROR(__xludf.DUMMYFUNCTION("IFERROR(VLOOKUP(E146&amp;F146,IMPORTRANGE(""https://docs.google.com/spreadsheets/d/1Uw7-A9f9R21vMXxHZFNpYNeKFtG8_yji4HS352LGlSQ/edit?pli=1#gid=0"",""1_ACUM!A4:S""),16,FALSE))"),"")</f>
        <v/>
      </c>
      <c r="AH123" s="43" t="str">
        <f ca="1">IFERROR(__xludf.DUMMYFUNCTION("IFERROR(VLOOKUP(E146&amp;F146,IMPORTRANGE(""https://docs.google.com/spreadsheets/d/1Uw7-A9f9R21vMXxHZFNpYNeKFtG8_yji4HS352LGlSQ/edit?pli=1#gid=0"",""1_ACUM!A4:S""),17,FALSE))"),"")</f>
        <v/>
      </c>
      <c r="AI123" s="44" t="str">
        <f ca="1">IFERROR(__xludf.DUMMYFUNCTION("IFERROR(VLOOKUP(E146&amp;F146,IMPORTRANGE(""https://docs.google.com/spreadsheets/d/1Uw7-A9f9R21vMXxHZFNpYNeKFtG8_yji4HS352LGlSQ/edit?pli=1#gid=0"",""1_ACUM!A4:S""),18,FALSE))"),"")</f>
        <v/>
      </c>
      <c r="AJ123" s="44" t="str">
        <f ca="1">IFERROR(__xludf.DUMMYFUNCTION("IFERROR(VLOOKUP(E146&amp;F146,IMPORTRANGE(""https://docs.google.com/spreadsheets/d/1Uw7-A9f9R21vMXxHZFNpYNeKFtG8_yji4HS352LGlSQ/edit?pli=1#gid=0"",""1_ACUM!A4:S""),19,FALSE))"),"")</f>
        <v/>
      </c>
      <c r="AK123" s="98" t="str">
        <f ca="1">IFERROR(__xludf.DUMMYFUNCTION("IFERROR(VLOOKUP(F146,IMPORTRANGE(""https://docs.google.com/spreadsheets/d/1Kvs4KS76FHFqLFIZfrDMff4kP08nblUkihrxltoGBjg/edit#gid=934712705"",""ESENCIAL!A6:BG""),5,FALSE))"),"")</f>
        <v/>
      </c>
      <c r="AL123" s="98" t="str">
        <f t="shared" si="9"/>
        <v/>
      </c>
      <c r="AM123" s="99" t="str">
        <f t="shared" si="10"/>
        <v/>
      </c>
      <c r="AN123" s="100" t="str">
        <f ca="1">IFERROR(__xludf.DUMMYFUNCTION("IFERROR(VLOOKUP(F146,IMPORTRANGE(""https://docs.google.com/spreadsheets/d/1Kvs4KS76FHFqLFIZfrDMff4kP08nblUkihrxltoGBjg/edit#gid=934712705"",""ESENCIAL!A6:BG""),2,FALSE))"),"")</f>
        <v/>
      </c>
      <c r="AO123" s="19" t="str">
        <f t="shared" si="11"/>
        <v/>
      </c>
      <c r="AP123" s="100"/>
      <c r="AQ123" s="100"/>
    </row>
    <row r="124" spans="1:43" ht="15">
      <c r="A124" s="101"/>
      <c r="B124" s="111"/>
      <c r="G124" s="5" t="str">
        <f ca="1">IFERROR(__xludf.DUMMYFUNCTION("IFERROR(VLOOKUP(F147,IMPORTRANGE(""https://docs.google.com/spreadsheets/d/1Kvs4KS76FHFqLFIZfrDMff4kP08nblUkihrxltoGBjg/edit#gid=934712705"",""ESENCIAL!A6:BG""),3,FALSE))"),"")</f>
        <v/>
      </c>
      <c r="H124" s="5" t="str">
        <f ca="1">IFERROR(__xludf.DUMMYFUNCTION("IFERROR(VLOOKUP(F147,IMPORTRANGE(""https://docs.google.com/spreadsheets/d/1Kvs4KS76FHFqLFIZfrDMff4kP08nblUkihrxltoGBjg/edit#gid=934712705"",""ESENCIAL!A6:BG""),8,FALSE))"),"")</f>
        <v/>
      </c>
      <c r="L124" s="287"/>
      <c r="Z124" s="41" t="str">
        <f t="shared" si="8"/>
        <v/>
      </c>
      <c r="AA124" s="5" t="str">
        <f ca="1">IFERROR(__xludf.DUMMYFUNCTION("IFERROR(VLOOKUP(E147&amp;F147,IMPORTRANGE(""https://docs.google.com/spreadsheets/d/1Uw7-A9f9R21vMXxHZFNpYNeKFtG8_yji4HS352LGlSQ/edit?pli=1#gid=0"",""1_ACUM!A4:S""),11,FALSE))"),"")</f>
        <v/>
      </c>
      <c r="AB124" s="42" t="str">
        <f ca="1">IFERROR(__xludf.DUMMYFUNCTION("IFERROR(VLOOKUP(F147,IMPORTRANGE(""https://docs.google.com/spreadsheets/d/1Kvs4KS76FHFqLFIZfrDMff4kP08nblUkihrxltoGBjg/edit#gid=934712705"",""ESENCIAL!A6:BG""),15,FALSE))"),"")</f>
        <v/>
      </c>
      <c r="AC124" s="110" t="str">
        <f ca="1">IFERROR(__xludf.DUMMYFUNCTION("IFERROR(VLOOKUP(E147&amp;F147,IMPORTRANGE(""https://docs.google.com/spreadsheets/d/1Uw7-A9f9R21vMXxHZFNpYNeKFtG8_yji4HS352LGlSQ/edit?pli=1#gid=0"",""1_ACUM!A4:S""),13,FALSE))"),"")</f>
        <v/>
      </c>
      <c r="AD124" s="43" t="str">
        <f ca="1">IFERROR(__xludf.DUMMYFUNCTION("IFERROR(VLOOKUP(E147&amp;F147,IMPORTRANGE(""https://docs.google.com/spreadsheets/d/1Uw7-A9f9R21vMXxHZFNpYNeKFtG8_yji4HS352LGlSQ/edit?pli=1#gid=0"",""1_ACUM!A4:S""),13,FALSE))"),"")</f>
        <v/>
      </c>
      <c r="AE124" s="43" t="str">
        <f ca="1">IFERROR(__xludf.DUMMYFUNCTION("IFERROR(VLOOKUP(E147&amp;F147,IMPORTRANGE(""https://docs.google.com/spreadsheets/d/1Uw7-A9f9R21vMXxHZFNpYNeKFtG8_yji4HS352LGlSQ/edit?pli=1#gid=0"",""1_ACUM!A4:S""),14,FALSE))"),"")</f>
        <v/>
      </c>
      <c r="AF124" s="43" t="str">
        <f ca="1">IFERROR(__xludf.DUMMYFUNCTION("IFERROR(VLOOKUP(E147&amp;F147,IMPORTRANGE(""https://docs.google.com/spreadsheets/d/1Uw7-A9f9R21vMXxHZFNpYNeKFtG8_yji4HS352LGlSQ/edit?pli=1#gid=0"",""1_ACUM!A4:S""),15,FALSE))"),"")</f>
        <v/>
      </c>
      <c r="AG124" s="43" t="str">
        <f ca="1">IFERROR(__xludf.DUMMYFUNCTION("IFERROR(VLOOKUP(E147&amp;F147,IMPORTRANGE(""https://docs.google.com/spreadsheets/d/1Uw7-A9f9R21vMXxHZFNpYNeKFtG8_yji4HS352LGlSQ/edit?pli=1#gid=0"",""1_ACUM!A4:S""),16,FALSE))"),"")</f>
        <v/>
      </c>
      <c r="AH124" s="43" t="str">
        <f ca="1">IFERROR(__xludf.DUMMYFUNCTION("IFERROR(VLOOKUP(E147&amp;F147,IMPORTRANGE(""https://docs.google.com/spreadsheets/d/1Uw7-A9f9R21vMXxHZFNpYNeKFtG8_yji4HS352LGlSQ/edit?pli=1#gid=0"",""1_ACUM!A4:S""),17,FALSE))"),"")</f>
        <v/>
      </c>
      <c r="AI124" s="44" t="str">
        <f ca="1">IFERROR(__xludf.DUMMYFUNCTION("IFERROR(VLOOKUP(E147&amp;F147,IMPORTRANGE(""https://docs.google.com/spreadsheets/d/1Uw7-A9f9R21vMXxHZFNpYNeKFtG8_yji4HS352LGlSQ/edit?pli=1#gid=0"",""1_ACUM!A4:S""),18,FALSE))"),"")</f>
        <v/>
      </c>
      <c r="AJ124" s="44" t="str">
        <f ca="1">IFERROR(__xludf.DUMMYFUNCTION("IFERROR(VLOOKUP(E147&amp;F147,IMPORTRANGE(""https://docs.google.com/spreadsheets/d/1Uw7-A9f9R21vMXxHZFNpYNeKFtG8_yji4HS352LGlSQ/edit?pli=1#gid=0"",""1_ACUM!A4:S""),19,FALSE))"),"")</f>
        <v/>
      </c>
      <c r="AK124" s="98" t="str">
        <f ca="1">IFERROR(__xludf.DUMMYFUNCTION("IFERROR(VLOOKUP(F147,IMPORTRANGE(""https://docs.google.com/spreadsheets/d/1Kvs4KS76FHFqLFIZfrDMff4kP08nblUkihrxltoGBjg/edit#gid=934712705"",""ESENCIAL!A6:BG""),5,FALSE))"),"")</f>
        <v/>
      </c>
      <c r="AL124" s="98" t="str">
        <f t="shared" si="9"/>
        <v/>
      </c>
      <c r="AM124" s="99" t="str">
        <f t="shared" si="10"/>
        <v/>
      </c>
      <c r="AN124" s="100" t="str">
        <f ca="1">IFERROR(__xludf.DUMMYFUNCTION("IFERROR(VLOOKUP(F147,IMPORTRANGE(""https://docs.google.com/spreadsheets/d/1Kvs4KS76FHFqLFIZfrDMff4kP08nblUkihrxltoGBjg/edit#gid=934712705"",""ESENCIAL!A6:BG""),2,FALSE))"),"")</f>
        <v/>
      </c>
      <c r="AO124" s="19" t="str">
        <f t="shared" si="11"/>
        <v/>
      </c>
      <c r="AP124" s="100"/>
      <c r="AQ124" s="100"/>
    </row>
    <row r="125" spans="1:43" ht="15">
      <c r="A125" s="101"/>
      <c r="B125" s="101"/>
      <c r="G125" s="5" t="str">
        <f ca="1">IFERROR(__xludf.DUMMYFUNCTION("IFERROR(VLOOKUP(F148,IMPORTRANGE(""https://docs.google.com/spreadsheets/d/1Kvs4KS76FHFqLFIZfrDMff4kP08nblUkihrxltoGBjg/edit#gid=934712705"",""ESENCIAL!A6:BG""),3,FALSE))"),"")</f>
        <v/>
      </c>
      <c r="H125" s="5" t="str">
        <f ca="1">IFERROR(__xludf.DUMMYFUNCTION("IFERROR(VLOOKUP(F148,IMPORTRANGE(""https://docs.google.com/spreadsheets/d/1Kvs4KS76FHFqLFIZfrDMff4kP08nblUkihrxltoGBjg/edit#gid=934712705"",""ESENCIAL!A6:BG""),8,FALSE))"),"")</f>
        <v/>
      </c>
      <c r="L125" s="287"/>
      <c r="Z125" s="41" t="str">
        <f t="shared" si="8"/>
        <v/>
      </c>
      <c r="AA125" s="5" t="str">
        <f ca="1">IFERROR(__xludf.DUMMYFUNCTION("IFERROR(VLOOKUP(E148&amp;F148,IMPORTRANGE(""https://docs.google.com/spreadsheets/d/1Uw7-A9f9R21vMXxHZFNpYNeKFtG8_yji4HS352LGlSQ/edit?pli=1#gid=0"",""1_ACUM!A4:S""),11,FALSE))"),"")</f>
        <v/>
      </c>
      <c r="AB125" s="42" t="str">
        <f ca="1">IFERROR(__xludf.DUMMYFUNCTION("IFERROR(VLOOKUP(F148,IMPORTRANGE(""https://docs.google.com/spreadsheets/d/1Kvs4KS76FHFqLFIZfrDMff4kP08nblUkihrxltoGBjg/edit#gid=934712705"",""ESENCIAL!A6:BG""),15,FALSE))"),"")</f>
        <v/>
      </c>
      <c r="AC125" s="110" t="str">
        <f ca="1">IFERROR(__xludf.DUMMYFUNCTION("IFERROR(VLOOKUP(E148&amp;F148,IMPORTRANGE(""https://docs.google.com/spreadsheets/d/1Uw7-A9f9R21vMXxHZFNpYNeKFtG8_yji4HS352LGlSQ/edit?pli=1#gid=0"",""1_ACUM!A4:S""),13,FALSE))"),"")</f>
        <v/>
      </c>
      <c r="AD125" s="43" t="str">
        <f ca="1">IFERROR(__xludf.DUMMYFUNCTION("IFERROR(VLOOKUP(E148&amp;F148,IMPORTRANGE(""https://docs.google.com/spreadsheets/d/1Uw7-A9f9R21vMXxHZFNpYNeKFtG8_yji4HS352LGlSQ/edit?pli=1#gid=0"",""1_ACUM!A4:S""),13,FALSE))"),"")</f>
        <v/>
      </c>
      <c r="AE125" s="43" t="str">
        <f ca="1">IFERROR(__xludf.DUMMYFUNCTION("IFERROR(VLOOKUP(E148&amp;F148,IMPORTRANGE(""https://docs.google.com/spreadsheets/d/1Uw7-A9f9R21vMXxHZFNpYNeKFtG8_yji4HS352LGlSQ/edit?pli=1#gid=0"",""1_ACUM!A4:S""),14,FALSE))"),"")</f>
        <v/>
      </c>
      <c r="AF125" s="43" t="str">
        <f ca="1">IFERROR(__xludf.DUMMYFUNCTION("IFERROR(VLOOKUP(E148&amp;F148,IMPORTRANGE(""https://docs.google.com/spreadsheets/d/1Uw7-A9f9R21vMXxHZFNpYNeKFtG8_yji4HS352LGlSQ/edit?pli=1#gid=0"",""1_ACUM!A4:S""),15,FALSE))"),"")</f>
        <v/>
      </c>
      <c r="AG125" s="43" t="str">
        <f ca="1">IFERROR(__xludf.DUMMYFUNCTION("IFERROR(VLOOKUP(E148&amp;F148,IMPORTRANGE(""https://docs.google.com/spreadsheets/d/1Uw7-A9f9R21vMXxHZFNpYNeKFtG8_yji4HS352LGlSQ/edit?pli=1#gid=0"",""1_ACUM!A4:S""),16,FALSE))"),"")</f>
        <v/>
      </c>
      <c r="AH125" s="43" t="str">
        <f ca="1">IFERROR(__xludf.DUMMYFUNCTION("IFERROR(VLOOKUP(E148&amp;F148,IMPORTRANGE(""https://docs.google.com/spreadsheets/d/1Uw7-A9f9R21vMXxHZFNpYNeKFtG8_yji4HS352LGlSQ/edit?pli=1#gid=0"",""1_ACUM!A4:S""),17,FALSE))"),"")</f>
        <v/>
      </c>
      <c r="AI125" s="44" t="str">
        <f ca="1">IFERROR(__xludf.DUMMYFUNCTION("IFERROR(VLOOKUP(E148&amp;F148,IMPORTRANGE(""https://docs.google.com/spreadsheets/d/1Uw7-A9f9R21vMXxHZFNpYNeKFtG8_yji4HS352LGlSQ/edit?pli=1#gid=0"",""1_ACUM!A4:S""),18,FALSE))"),"")</f>
        <v/>
      </c>
      <c r="AJ125" s="44" t="str">
        <f ca="1">IFERROR(__xludf.DUMMYFUNCTION("IFERROR(VLOOKUP(E148&amp;F148,IMPORTRANGE(""https://docs.google.com/spreadsheets/d/1Uw7-A9f9R21vMXxHZFNpYNeKFtG8_yji4HS352LGlSQ/edit?pli=1#gid=0"",""1_ACUM!A4:S""),19,FALSE))"),"")</f>
        <v/>
      </c>
      <c r="AK125" s="98" t="str">
        <f ca="1">IFERROR(__xludf.DUMMYFUNCTION("IFERROR(VLOOKUP(F148,IMPORTRANGE(""https://docs.google.com/spreadsheets/d/1Kvs4KS76FHFqLFIZfrDMff4kP08nblUkihrxltoGBjg/edit#gid=934712705"",""ESENCIAL!A6:BG""),5,FALSE))"),"")</f>
        <v/>
      </c>
      <c r="AL125" s="98" t="str">
        <f t="shared" si="9"/>
        <v/>
      </c>
      <c r="AM125" s="99" t="str">
        <f t="shared" si="10"/>
        <v/>
      </c>
      <c r="AN125" s="100" t="str">
        <f ca="1">IFERROR(__xludf.DUMMYFUNCTION("IFERROR(VLOOKUP(F148,IMPORTRANGE(""https://docs.google.com/spreadsheets/d/1Kvs4KS76FHFqLFIZfrDMff4kP08nblUkihrxltoGBjg/edit#gid=934712705"",""ESENCIAL!A6:BG""),2,FALSE))"),"")</f>
        <v/>
      </c>
      <c r="AO125" s="19" t="str">
        <f t="shared" si="11"/>
        <v/>
      </c>
      <c r="AP125" s="100"/>
      <c r="AQ125" s="100"/>
    </row>
    <row r="126" spans="1:43" ht="15">
      <c r="A126" s="101"/>
      <c r="B126" s="101"/>
      <c r="G126" s="5" t="str">
        <f ca="1">IFERROR(__xludf.DUMMYFUNCTION("IFERROR(VLOOKUP(F149,IMPORTRANGE(""https://docs.google.com/spreadsheets/d/1Kvs4KS76FHFqLFIZfrDMff4kP08nblUkihrxltoGBjg/edit#gid=934712705"",""ESENCIAL!A6:BG""),3,FALSE))"),"")</f>
        <v/>
      </c>
      <c r="H126" s="5" t="str">
        <f ca="1">IFERROR(__xludf.DUMMYFUNCTION("IFERROR(VLOOKUP(F149,IMPORTRANGE(""https://docs.google.com/spreadsheets/d/1Kvs4KS76FHFqLFIZfrDMff4kP08nblUkihrxltoGBjg/edit#gid=934712705"",""ESENCIAL!A6:BG""),8,FALSE))"),"")</f>
        <v/>
      </c>
      <c r="L126" s="287"/>
      <c r="Z126" s="41" t="str">
        <f t="shared" si="8"/>
        <v/>
      </c>
      <c r="AA126" s="5" t="str">
        <f ca="1">IFERROR(__xludf.DUMMYFUNCTION("IFERROR(VLOOKUP(E149&amp;F149,IMPORTRANGE(""https://docs.google.com/spreadsheets/d/1Uw7-A9f9R21vMXxHZFNpYNeKFtG8_yji4HS352LGlSQ/edit?pli=1#gid=0"",""1_ACUM!A4:S""),11,FALSE))"),"")</f>
        <v/>
      </c>
      <c r="AB126" s="42" t="str">
        <f ca="1">IFERROR(__xludf.DUMMYFUNCTION("IFERROR(VLOOKUP(F149,IMPORTRANGE(""https://docs.google.com/spreadsheets/d/1Kvs4KS76FHFqLFIZfrDMff4kP08nblUkihrxltoGBjg/edit#gid=934712705"",""ESENCIAL!A6:BG""),15,FALSE))"),"")</f>
        <v/>
      </c>
      <c r="AC126" s="110" t="str">
        <f ca="1">IFERROR(__xludf.DUMMYFUNCTION("IFERROR(VLOOKUP(E149&amp;F149,IMPORTRANGE(""https://docs.google.com/spreadsheets/d/1Uw7-A9f9R21vMXxHZFNpYNeKFtG8_yji4HS352LGlSQ/edit?pli=1#gid=0"",""1_ACUM!A4:S""),13,FALSE))"),"")</f>
        <v/>
      </c>
      <c r="AD126" s="43" t="str">
        <f ca="1">IFERROR(__xludf.DUMMYFUNCTION("IFERROR(VLOOKUP(E149&amp;F149,IMPORTRANGE(""https://docs.google.com/spreadsheets/d/1Uw7-A9f9R21vMXxHZFNpYNeKFtG8_yji4HS352LGlSQ/edit?pli=1#gid=0"",""1_ACUM!A4:S""),13,FALSE))"),"")</f>
        <v/>
      </c>
      <c r="AE126" s="43" t="str">
        <f ca="1">IFERROR(__xludf.DUMMYFUNCTION("IFERROR(VLOOKUP(E149&amp;F149,IMPORTRANGE(""https://docs.google.com/spreadsheets/d/1Uw7-A9f9R21vMXxHZFNpYNeKFtG8_yji4HS352LGlSQ/edit?pli=1#gid=0"",""1_ACUM!A4:S""),14,FALSE))"),"")</f>
        <v/>
      </c>
      <c r="AF126" s="43" t="str">
        <f ca="1">IFERROR(__xludf.DUMMYFUNCTION("IFERROR(VLOOKUP(E149&amp;F149,IMPORTRANGE(""https://docs.google.com/spreadsheets/d/1Uw7-A9f9R21vMXxHZFNpYNeKFtG8_yji4HS352LGlSQ/edit?pli=1#gid=0"",""1_ACUM!A4:S""),15,FALSE))"),"")</f>
        <v/>
      </c>
      <c r="AG126" s="43" t="str">
        <f ca="1">IFERROR(__xludf.DUMMYFUNCTION("IFERROR(VLOOKUP(E149&amp;F149,IMPORTRANGE(""https://docs.google.com/spreadsheets/d/1Uw7-A9f9R21vMXxHZFNpYNeKFtG8_yji4HS352LGlSQ/edit?pli=1#gid=0"",""1_ACUM!A4:S""),16,FALSE))"),"")</f>
        <v/>
      </c>
      <c r="AH126" s="43" t="str">
        <f ca="1">IFERROR(__xludf.DUMMYFUNCTION("IFERROR(VLOOKUP(E149&amp;F149,IMPORTRANGE(""https://docs.google.com/spreadsheets/d/1Uw7-A9f9R21vMXxHZFNpYNeKFtG8_yji4HS352LGlSQ/edit?pli=1#gid=0"",""1_ACUM!A4:S""),17,FALSE))"),"")</f>
        <v/>
      </c>
      <c r="AI126" s="44" t="str">
        <f ca="1">IFERROR(__xludf.DUMMYFUNCTION("IFERROR(VLOOKUP(E149&amp;F149,IMPORTRANGE(""https://docs.google.com/spreadsheets/d/1Uw7-A9f9R21vMXxHZFNpYNeKFtG8_yji4HS352LGlSQ/edit?pli=1#gid=0"",""1_ACUM!A4:S""),18,FALSE))"),"")</f>
        <v/>
      </c>
      <c r="AJ126" s="44" t="str">
        <f ca="1">IFERROR(__xludf.DUMMYFUNCTION("IFERROR(VLOOKUP(E149&amp;F149,IMPORTRANGE(""https://docs.google.com/spreadsheets/d/1Uw7-A9f9R21vMXxHZFNpYNeKFtG8_yji4HS352LGlSQ/edit?pli=1#gid=0"",""1_ACUM!A4:S""),19,FALSE))"),"")</f>
        <v/>
      </c>
      <c r="AK126" s="98" t="str">
        <f ca="1">IFERROR(__xludf.DUMMYFUNCTION("IFERROR(VLOOKUP(F149,IMPORTRANGE(""https://docs.google.com/spreadsheets/d/1Kvs4KS76FHFqLFIZfrDMff4kP08nblUkihrxltoGBjg/edit#gid=934712705"",""ESENCIAL!A6:BG""),5,FALSE))"),"")</f>
        <v/>
      </c>
      <c r="AL126" s="98" t="str">
        <f t="shared" si="9"/>
        <v/>
      </c>
      <c r="AM126" s="99" t="str">
        <f t="shared" si="10"/>
        <v/>
      </c>
      <c r="AN126" s="100" t="str">
        <f ca="1">IFERROR(__xludf.DUMMYFUNCTION("IFERROR(VLOOKUP(F149,IMPORTRANGE(""https://docs.google.com/spreadsheets/d/1Kvs4KS76FHFqLFIZfrDMff4kP08nblUkihrxltoGBjg/edit#gid=934712705"",""ESENCIAL!A6:BG""),2,FALSE))"),"")</f>
        <v/>
      </c>
      <c r="AO126" s="19" t="str">
        <f t="shared" si="11"/>
        <v/>
      </c>
      <c r="AP126" s="100"/>
      <c r="AQ126" s="100"/>
    </row>
    <row r="127" spans="1:43" ht="15">
      <c r="A127" s="101"/>
      <c r="B127" s="101"/>
      <c r="G127" s="5" t="str">
        <f ca="1">IFERROR(__xludf.DUMMYFUNCTION("IFERROR(VLOOKUP(F150,IMPORTRANGE(""https://docs.google.com/spreadsheets/d/1Kvs4KS76FHFqLFIZfrDMff4kP08nblUkihrxltoGBjg/edit#gid=934712705"",""ESENCIAL!A6:BG""),3,FALSE))"),"")</f>
        <v/>
      </c>
      <c r="H127" s="5" t="str">
        <f ca="1">IFERROR(__xludf.DUMMYFUNCTION("IFERROR(VLOOKUP(F150,IMPORTRANGE(""https://docs.google.com/spreadsheets/d/1Kvs4KS76FHFqLFIZfrDMff4kP08nblUkihrxltoGBjg/edit#gid=934712705"",""ESENCIAL!A6:BG""),8,FALSE))"),"")</f>
        <v/>
      </c>
      <c r="L127" s="287"/>
      <c r="Z127" s="41" t="str">
        <f t="shared" si="8"/>
        <v/>
      </c>
      <c r="AA127" s="5" t="str">
        <f ca="1">IFERROR(__xludf.DUMMYFUNCTION("IFERROR(VLOOKUP(E150&amp;F150,IMPORTRANGE(""https://docs.google.com/spreadsheets/d/1Uw7-A9f9R21vMXxHZFNpYNeKFtG8_yji4HS352LGlSQ/edit?pli=1#gid=0"",""1_ACUM!A4:S""),11,FALSE))"),"")</f>
        <v/>
      </c>
      <c r="AB127" s="42" t="str">
        <f ca="1">IFERROR(__xludf.DUMMYFUNCTION("IFERROR(VLOOKUP(F150,IMPORTRANGE(""https://docs.google.com/spreadsheets/d/1Kvs4KS76FHFqLFIZfrDMff4kP08nblUkihrxltoGBjg/edit#gid=934712705"",""ESENCIAL!A6:BG""),15,FALSE))"),"")</f>
        <v/>
      </c>
      <c r="AC127" s="110" t="str">
        <f ca="1">IFERROR(__xludf.DUMMYFUNCTION("IFERROR(VLOOKUP(E150&amp;F150,IMPORTRANGE(""https://docs.google.com/spreadsheets/d/1Uw7-A9f9R21vMXxHZFNpYNeKFtG8_yji4HS352LGlSQ/edit?pli=1#gid=0"",""1_ACUM!A4:S""),13,FALSE))"),"")</f>
        <v/>
      </c>
      <c r="AD127" s="43" t="str">
        <f ca="1">IFERROR(__xludf.DUMMYFUNCTION("IFERROR(VLOOKUP(E150&amp;F150,IMPORTRANGE(""https://docs.google.com/spreadsheets/d/1Uw7-A9f9R21vMXxHZFNpYNeKFtG8_yji4HS352LGlSQ/edit?pli=1#gid=0"",""1_ACUM!A4:S""),13,FALSE))"),"")</f>
        <v/>
      </c>
      <c r="AE127" s="43" t="str">
        <f ca="1">IFERROR(__xludf.DUMMYFUNCTION("IFERROR(VLOOKUP(E150&amp;F150,IMPORTRANGE(""https://docs.google.com/spreadsheets/d/1Uw7-A9f9R21vMXxHZFNpYNeKFtG8_yji4HS352LGlSQ/edit?pli=1#gid=0"",""1_ACUM!A4:S""),14,FALSE))"),"")</f>
        <v/>
      </c>
      <c r="AF127" s="43" t="str">
        <f ca="1">IFERROR(__xludf.DUMMYFUNCTION("IFERROR(VLOOKUP(E150&amp;F150,IMPORTRANGE(""https://docs.google.com/spreadsheets/d/1Uw7-A9f9R21vMXxHZFNpYNeKFtG8_yji4HS352LGlSQ/edit?pli=1#gid=0"",""1_ACUM!A4:S""),15,FALSE))"),"")</f>
        <v/>
      </c>
      <c r="AG127" s="43" t="str">
        <f ca="1">IFERROR(__xludf.DUMMYFUNCTION("IFERROR(VLOOKUP(E150&amp;F150,IMPORTRANGE(""https://docs.google.com/spreadsheets/d/1Uw7-A9f9R21vMXxHZFNpYNeKFtG8_yji4HS352LGlSQ/edit?pli=1#gid=0"",""1_ACUM!A4:S""),16,FALSE))"),"")</f>
        <v/>
      </c>
      <c r="AH127" s="43" t="str">
        <f ca="1">IFERROR(__xludf.DUMMYFUNCTION("IFERROR(VLOOKUP(E150&amp;F150,IMPORTRANGE(""https://docs.google.com/spreadsheets/d/1Uw7-A9f9R21vMXxHZFNpYNeKFtG8_yji4HS352LGlSQ/edit?pli=1#gid=0"",""1_ACUM!A4:S""),17,FALSE))"),"")</f>
        <v/>
      </c>
      <c r="AI127" s="44" t="str">
        <f ca="1">IFERROR(__xludf.DUMMYFUNCTION("IFERROR(VLOOKUP(E150&amp;F150,IMPORTRANGE(""https://docs.google.com/spreadsheets/d/1Uw7-A9f9R21vMXxHZFNpYNeKFtG8_yji4HS352LGlSQ/edit?pli=1#gid=0"",""1_ACUM!A4:S""),18,FALSE))"),"")</f>
        <v/>
      </c>
      <c r="AJ127" s="44" t="str">
        <f ca="1">IFERROR(__xludf.DUMMYFUNCTION("IFERROR(VLOOKUP(E150&amp;F150,IMPORTRANGE(""https://docs.google.com/spreadsheets/d/1Uw7-A9f9R21vMXxHZFNpYNeKFtG8_yji4HS352LGlSQ/edit?pli=1#gid=0"",""1_ACUM!A4:S""),19,FALSE))"),"")</f>
        <v/>
      </c>
      <c r="AK127" s="98" t="str">
        <f ca="1">IFERROR(__xludf.DUMMYFUNCTION("IFERROR(VLOOKUP(F150,IMPORTRANGE(""https://docs.google.com/spreadsheets/d/1Kvs4KS76FHFqLFIZfrDMff4kP08nblUkihrxltoGBjg/edit#gid=934712705"",""ESENCIAL!A6:BG""),5,FALSE))"),"")</f>
        <v/>
      </c>
      <c r="AL127" s="98" t="str">
        <f t="shared" si="9"/>
        <v/>
      </c>
      <c r="AM127" s="99" t="str">
        <f t="shared" si="10"/>
        <v/>
      </c>
      <c r="AN127" s="100" t="str">
        <f ca="1">IFERROR(__xludf.DUMMYFUNCTION("IFERROR(VLOOKUP(F150,IMPORTRANGE(""https://docs.google.com/spreadsheets/d/1Kvs4KS76FHFqLFIZfrDMff4kP08nblUkihrxltoGBjg/edit#gid=934712705"",""ESENCIAL!A6:BG""),2,FALSE))"),"")</f>
        <v/>
      </c>
      <c r="AO127" s="19" t="str">
        <f t="shared" si="11"/>
        <v/>
      </c>
      <c r="AP127" s="100"/>
      <c r="AQ127" s="100"/>
    </row>
    <row r="128" spans="1:43" ht="15">
      <c r="A128" s="103"/>
      <c r="B128" s="101"/>
      <c r="G128" s="5" t="str">
        <f ca="1">IFERROR(__xludf.DUMMYFUNCTION("IFERROR(VLOOKUP(F151,IMPORTRANGE(""https://docs.google.com/spreadsheets/d/1Kvs4KS76FHFqLFIZfrDMff4kP08nblUkihrxltoGBjg/edit#gid=934712705"",""ESENCIAL!A6:BG""),3,FALSE))"),"")</f>
        <v/>
      </c>
      <c r="H128" s="5" t="str">
        <f ca="1">IFERROR(__xludf.DUMMYFUNCTION("IFERROR(VLOOKUP(F151,IMPORTRANGE(""https://docs.google.com/spreadsheets/d/1Kvs4KS76FHFqLFIZfrDMff4kP08nblUkihrxltoGBjg/edit#gid=934712705"",""ESENCIAL!A6:BG""),8,FALSE))"),"")</f>
        <v/>
      </c>
      <c r="L128" s="287"/>
      <c r="Z128" s="41" t="str">
        <f t="shared" si="8"/>
        <v/>
      </c>
      <c r="AA128" s="5" t="str">
        <f ca="1">IFERROR(__xludf.DUMMYFUNCTION("IFERROR(VLOOKUP(E151&amp;F151,IMPORTRANGE(""https://docs.google.com/spreadsheets/d/1Uw7-A9f9R21vMXxHZFNpYNeKFtG8_yji4HS352LGlSQ/edit?pli=1#gid=0"",""1_ACUM!A4:S""),11,FALSE))"),"")</f>
        <v/>
      </c>
      <c r="AB128" s="42" t="str">
        <f ca="1">IFERROR(__xludf.DUMMYFUNCTION("IFERROR(VLOOKUP(F151,IMPORTRANGE(""https://docs.google.com/spreadsheets/d/1Kvs4KS76FHFqLFIZfrDMff4kP08nblUkihrxltoGBjg/edit#gid=934712705"",""ESENCIAL!A6:BG""),15,FALSE))"),"")</f>
        <v/>
      </c>
      <c r="AC128" s="110" t="str">
        <f ca="1">IFERROR(__xludf.DUMMYFUNCTION("IFERROR(VLOOKUP(E151&amp;F151,IMPORTRANGE(""https://docs.google.com/spreadsheets/d/1Uw7-A9f9R21vMXxHZFNpYNeKFtG8_yji4HS352LGlSQ/edit?pli=1#gid=0"",""1_ACUM!A4:S""),13,FALSE))"),"")</f>
        <v/>
      </c>
      <c r="AD128" s="43" t="str">
        <f ca="1">IFERROR(__xludf.DUMMYFUNCTION("IFERROR(VLOOKUP(E151&amp;F151,IMPORTRANGE(""https://docs.google.com/spreadsheets/d/1Uw7-A9f9R21vMXxHZFNpYNeKFtG8_yji4HS352LGlSQ/edit?pli=1#gid=0"",""1_ACUM!A4:S""),13,FALSE))"),"")</f>
        <v/>
      </c>
      <c r="AE128" s="43" t="str">
        <f ca="1">IFERROR(__xludf.DUMMYFUNCTION("IFERROR(VLOOKUP(E151&amp;F151,IMPORTRANGE(""https://docs.google.com/spreadsheets/d/1Uw7-A9f9R21vMXxHZFNpYNeKFtG8_yji4HS352LGlSQ/edit?pli=1#gid=0"",""1_ACUM!A4:S""),14,FALSE))"),"")</f>
        <v/>
      </c>
      <c r="AF128" s="43" t="str">
        <f ca="1">IFERROR(__xludf.DUMMYFUNCTION("IFERROR(VLOOKUP(E151&amp;F151,IMPORTRANGE(""https://docs.google.com/spreadsheets/d/1Uw7-A9f9R21vMXxHZFNpYNeKFtG8_yji4HS352LGlSQ/edit?pli=1#gid=0"",""1_ACUM!A4:S""),15,FALSE))"),"")</f>
        <v/>
      </c>
      <c r="AG128" s="43" t="str">
        <f ca="1">IFERROR(__xludf.DUMMYFUNCTION("IFERROR(VLOOKUP(E151&amp;F151,IMPORTRANGE(""https://docs.google.com/spreadsheets/d/1Uw7-A9f9R21vMXxHZFNpYNeKFtG8_yji4HS352LGlSQ/edit?pli=1#gid=0"",""1_ACUM!A4:S""),16,FALSE))"),"")</f>
        <v/>
      </c>
      <c r="AH128" s="43" t="str">
        <f ca="1">IFERROR(__xludf.DUMMYFUNCTION("IFERROR(VLOOKUP(E151&amp;F151,IMPORTRANGE(""https://docs.google.com/spreadsheets/d/1Uw7-A9f9R21vMXxHZFNpYNeKFtG8_yji4HS352LGlSQ/edit?pli=1#gid=0"",""1_ACUM!A4:S""),17,FALSE))"),"")</f>
        <v/>
      </c>
      <c r="AI128" s="44" t="str">
        <f ca="1">IFERROR(__xludf.DUMMYFUNCTION("IFERROR(VLOOKUP(E151&amp;F151,IMPORTRANGE(""https://docs.google.com/spreadsheets/d/1Uw7-A9f9R21vMXxHZFNpYNeKFtG8_yji4HS352LGlSQ/edit?pli=1#gid=0"",""1_ACUM!A4:S""),18,FALSE))"),"")</f>
        <v/>
      </c>
      <c r="AJ128" s="44" t="str">
        <f ca="1">IFERROR(__xludf.DUMMYFUNCTION("IFERROR(VLOOKUP(E151&amp;F151,IMPORTRANGE(""https://docs.google.com/spreadsheets/d/1Uw7-A9f9R21vMXxHZFNpYNeKFtG8_yji4HS352LGlSQ/edit?pli=1#gid=0"",""1_ACUM!A4:S""),19,FALSE))"),"")</f>
        <v/>
      </c>
      <c r="AK128" s="98" t="str">
        <f ca="1">IFERROR(__xludf.DUMMYFUNCTION("IFERROR(VLOOKUP(F151,IMPORTRANGE(""https://docs.google.com/spreadsheets/d/1Kvs4KS76FHFqLFIZfrDMff4kP08nblUkihrxltoGBjg/edit#gid=934712705"",""ESENCIAL!A6:BG""),5,FALSE))"),"")</f>
        <v/>
      </c>
      <c r="AL128" s="98" t="str">
        <f t="shared" si="9"/>
        <v/>
      </c>
      <c r="AM128" s="99" t="str">
        <f t="shared" si="10"/>
        <v/>
      </c>
      <c r="AN128" s="100" t="str">
        <f ca="1">IFERROR(__xludf.DUMMYFUNCTION("IFERROR(VLOOKUP(F151,IMPORTRANGE(""https://docs.google.com/spreadsheets/d/1Kvs4KS76FHFqLFIZfrDMff4kP08nblUkihrxltoGBjg/edit#gid=934712705"",""ESENCIAL!A6:BG""),2,FALSE))"),"")</f>
        <v/>
      </c>
      <c r="AO128" s="19" t="str">
        <f t="shared" si="11"/>
        <v/>
      </c>
      <c r="AP128" s="100"/>
      <c r="AQ128" s="100"/>
    </row>
    <row r="129" spans="1:43" ht="15">
      <c r="A129" s="101"/>
      <c r="B129" s="101"/>
      <c r="G129" s="5" t="str">
        <f ca="1">IFERROR(__xludf.DUMMYFUNCTION("IFERROR(VLOOKUP(F152,IMPORTRANGE(""https://docs.google.com/spreadsheets/d/1Kvs4KS76FHFqLFIZfrDMff4kP08nblUkihrxltoGBjg/edit#gid=934712705"",""ESENCIAL!A6:BG""),3,FALSE))"),"")</f>
        <v/>
      </c>
      <c r="H129" s="5" t="str">
        <f ca="1">IFERROR(__xludf.DUMMYFUNCTION("IFERROR(VLOOKUP(F152,IMPORTRANGE(""https://docs.google.com/spreadsheets/d/1Kvs4KS76FHFqLFIZfrDMff4kP08nblUkihrxltoGBjg/edit#gid=934712705"",""ESENCIAL!A6:BG""),8,FALSE))"),"")</f>
        <v/>
      </c>
      <c r="L129" s="287"/>
      <c r="Z129" s="41" t="str">
        <f t="shared" si="8"/>
        <v/>
      </c>
      <c r="AA129" s="5" t="str">
        <f ca="1">IFERROR(__xludf.DUMMYFUNCTION("IFERROR(VLOOKUP(E152&amp;F152,IMPORTRANGE(""https://docs.google.com/spreadsheets/d/1Uw7-A9f9R21vMXxHZFNpYNeKFtG8_yji4HS352LGlSQ/edit?pli=1#gid=0"",""1_ACUM!A4:S""),11,FALSE))"),"")</f>
        <v/>
      </c>
      <c r="AB129" s="42" t="str">
        <f ca="1">IFERROR(__xludf.DUMMYFUNCTION("IFERROR(VLOOKUP(F152,IMPORTRANGE(""https://docs.google.com/spreadsheets/d/1Kvs4KS76FHFqLFIZfrDMff4kP08nblUkihrxltoGBjg/edit#gid=934712705"",""ESENCIAL!A6:BG""),15,FALSE))"),"")</f>
        <v/>
      </c>
      <c r="AC129" s="110" t="str">
        <f ca="1">IFERROR(__xludf.DUMMYFUNCTION("IFERROR(VLOOKUP(E152&amp;F152,IMPORTRANGE(""https://docs.google.com/spreadsheets/d/1Uw7-A9f9R21vMXxHZFNpYNeKFtG8_yji4HS352LGlSQ/edit?pli=1#gid=0"",""1_ACUM!A4:S""),13,FALSE))"),"")</f>
        <v/>
      </c>
      <c r="AD129" s="43" t="str">
        <f ca="1">IFERROR(__xludf.DUMMYFUNCTION("IFERROR(VLOOKUP(E152&amp;F152,IMPORTRANGE(""https://docs.google.com/spreadsheets/d/1Uw7-A9f9R21vMXxHZFNpYNeKFtG8_yji4HS352LGlSQ/edit?pli=1#gid=0"",""1_ACUM!A4:S""),13,FALSE))"),"")</f>
        <v/>
      </c>
      <c r="AE129" s="43" t="str">
        <f ca="1">IFERROR(__xludf.DUMMYFUNCTION("IFERROR(VLOOKUP(E152&amp;F152,IMPORTRANGE(""https://docs.google.com/spreadsheets/d/1Uw7-A9f9R21vMXxHZFNpYNeKFtG8_yji4HS352LGlSQ/edit?pli=1#gid=0"",""1_ACUM!A4:S""),14,FALSE))"),"")</f>
        <v/>
      </c>
      <c r="AF129" s="43" t="str">
        <f ca="1">IFERROR(__xludf.DUMMYFUNCTION("IFERROR(VLOOKUP(E152&amp;F152,IMPORTRANGE(""https://docs.google.com/spreadsheets/d/1Uw7-A9f9R21vMXxHZFNpYNeKFtG8_yji4HS352LGlSQ/edit?pli=1#gid=0"",""1_ACUM!A4:S""),15,FALSE))"),"")</f>
        <v/>
      </c>
      <c r="AG129" s="43" t="str">
        <f ca="1">IFERROR(__xludf.DUMMYFUNCTION("IFERROR(VLOOKUP(E152&amp;F152,IMPORTRANGE(""https://docs.google.com/spreadsheets/d/1Uw7-A9f9R21vMXxHZFNpYNeKFtG8_yji4HS352LGlSQ/edit?pli=1#gid=0"",""1_ACUM!A4:S""),16,FALSE))"),"")</f>
        <v/>
      </c>
      <c r="AH129" s="43" t="str">
        <f ca="1">IFERROR(__xludf.DUMMYFUNCTION("IFERROR(VLOOKUP(E152&amp;F152,IMPORTRANGE(""https://docs.google.com/spreadsheets/d/1Uw7-A9f9R21vMXxHZFNpYNeKFtG8_yji4HS352LGlSQ/edit?pli=1#gid=0"",""1_ACUM!A4:S""),17,FALSE))"),"")</f>
        <v/>
      </c>
      <c r="AI129" s="44" t="str">
        <f ca="1">IFERROR(__xludf.DUMMYFUNCTION("IFERROR(VLOOKUP(E152&amp;F152,IMPORTRANGE(""https://docs.google.com/spreadsheets/d/1Uw7-A9f9R21vMXxHZFNpYNeKFtG8_yji4HS352LGlSQ/edit?pli=1#gid=0"",""1_ACUM!A4:S""),18,FALSE))"),"")</f>
        <v/>
      </c>
      <c r="AJ129" s="44" t="str">
        <f ca="1">IFERROR(__xludf.DUMMYFUNCTION("IFERROR(VLOOKUP(E152&amp;F152,IMPORTRANGE(""https://docs.google.com/spreadsheets/d/1Uw7-A9f9R21vMXxHZFNpYNeKFtG8_yji4HS352LGlSQ/edit?pli=1#gid=0"",""1_ACUM!A4:S""),19,FALSE))"),"")</f>
        <v/>
      </c>
      <c r="AK129" s="98" t="str">
        <f ca="1">IFERROR(__xludf.DUMMYFUNCTION("IFERROR(VLOOKUP(F152,IMPORTRANGE(""https://docs.google.com/spreadsheets/d/1Kvs4KS76FHFqLFIZfrDMff4kP08nblUkihrxltoGBjg/edit#gid=934712705"",""ESENCIAL!A6:BG""),5,FALSE))"),"")</f>
        <v/>
      </c>
      <c r="AL129" s="98" t="str">
        <f t="shared" si="9"/>
        <v/>
      </c>
      <c r="AM129" s="99" t="str">
        <f t="shared" si="10"/>
        <v/>
      </c>
      <c r="AN129" s="100" t="str">
        <f ca="1">IFERROR(__xludf.DUMMYFUNCTION("IFERROR(VLOOKUP(F152,IMPORTRANGE(""https://docs.google.com/spreadsheets/d/1Kvs4KS76FHFqLFIZfrDMff4kP08nblUkihrxltoGBjg/edit#gid=934712705"",""ESENCIAL!A6:BG""),2,FALSE))"),"")</f>
        <v/>
      </c>
      <c r="AO129" s="19" t="str">
        <f t="shared" si="11"/>
        <v/>
      </c>
      <c r="AP129" s="100"/>
      <c r="AQ129" s="100"/>
    </row>
    <row r="130" spans="1:43" ht="15">
      <c r="A130" s="101"/>
      <c r="B130" s="101"/>
      <c r="G130" s="5" t="str">
        <f ca="1">IFERROR(__xludf.DUMMYFUNCTION("IFERROR(VLOOKUP(F153,IMPORTRANGE(""https://docs.google.com/spreadsheets/d/1Kvs4KS76FHFqLFIZfrDMff4kP08nblUkihrxltoGBjg/edit#gid=934712705"",""ESENCIAL!A6:BG""),3,FALSE))"),"")</f>
        <v/>
      </c>
      <c r="H130" s="5" t="str">
        <f ca="1">IFERROR(__xludf.DUMMYFUNCTION("IFERROR(VLOOKUP(F153,IMPORTRANGE(""https://docs.google.com/spreadsheets/d/1Kvs4KS76FHFqLFIZfrDMff4kP08nblUkihrxltoGBjg/edit#gid=934712705"",""ESENCIAL!A6:BG""),8,FALSE))"),"")</f>
        <v/>
      </c>
      <c r="L130" s="287"/>
      <c r="Z130" s="41" t="str">
        <f t="shared" ref="Z130:Z193" si="12">IF(E130&gt;0,IF(AND(AH130=1,AE130=1),"Procede_E_P","NO_CUMPLE"),"")</f>
        <v/>
      </c>
      <c r="AA130" s="5" t="str">
        <f ca="1">IFERROR(__xludf.DUMMYFUNCTION("IFERROR(VLOOKUP(E153&amp;F153,IMPORTRANGE(""https://docs.google.com/spreadsheets/d/1Uw7-A9f9R21vMXxHZFNpYNeKFtG8_yji4HS352LGlSQ/edit?pli=1#gid=0"",""1_ACUM!A4:S""),11,FALSE))"),"")</f>
        <v/>
      </c>
      <c r="AB130" s="42" t="str">
        <f ca="1">IFERROR(__xludf.DUMMYFUNCTION("IFERROR(VLOOKUP(F153,IMPORTRANGE(""https://docs.google.com/spreadsheets/d/1Kvs4KS76FHFqLFIZfrDMff4kP08nblUkihrxltoGBjg/edit#gid=934712705"",""ESENCIAL!A6:BG""),15,FALSE))"),"")</f>
        <v/>
      </c>
      <c r="AC130" s="110" t="str">
        <f ca="1">IFERROR(__xludf.DUMMYFUNCTION("IFERROR(VLOOKUP(E153&amp;F153,IMPORTRANGE(""https://docs.google.com/spreadsheets/d/1Uw7-A9f9R21vMXxHZFNpYNeKFtG8_yji4HS352LGlSQ/edit?pli=1#gid=0"",""1_ACUM!A4:S""),13,FALSE))"),"")</f>
        <v/>
      </c>
      <c r="AD130" s="43" t="str">
        <f ca="1">IFERROR(__xludf.DUMMYFUNCTION("IFERROR(VLOOKUP(E153&amp;F153,IMPORTRANGE(""https://docs.google.com/spreadsheets/d/1Uw7-A9f9R21vMXxHZFNpYNeKFtG8_yji4HS352LGlSQ/edit?pli=1#gid=0"",""1_ACUM!A4:S""),13,FALSE))"),"")</f>
        <v/>
      </c>
      <c r="AE130" s="43" t="str">
        <f ca="1">IFERROR(__xludf.DUMMYFUNCTION("IFERROR(VLOOKUP(E153&amp;F153,IMPORTRANGE(""https://docs.google.com/spreadsheets/d/1Uw7-A9f9R21vMXxHZFNpYNeKFtG8_yji4HS352LGlSQ/edit?pli=1#gid=0"",""1_ACUM!A4:S""),14,FALSE))"),"")</f>
        <v/>
      </c>
      <c r="AF130" s="43" t="str">
        <f ca="1">IFERROR(__xludf.DUMMYFUNCTION("IFERROR(VLOOKUP(E153&amp;F153,IMPORTRANGE(""https://docs.google.com/spreadsheets/d/1Uw7-A9f9R21vMXxHZFNpYNeKFtG8_yji4HS352LGlSQ/edit?pli=1#gid=0"",""1_ACUM!A4:S""),15,FALSE))"),"")</f>
        <v/>
      </c>
      <c r="AG130" s="43" t="str">
        <f ca="1">IFERROR(__xludf.DUMMYFUNCTION("IFERROR(VLOOKUP(E153&amp;F153,IMPORTRANGE(""https://docs.google.com/spreadsheets/d/1Uw7-A9f9R21vMXxHZFNpYNeKFtG8_yji4HS352LGlSQ/edit?pli=1#gid=0"",""1_ACUM!A4:S""),16,FALSE))"),"")</f>
        <v/>
      </c>
      <c r="AH130" s="43" t="str">
        <f ca="1">IFERROR(__xludf.DUMMYFUNCTION("IFERROR(VLOOKUP(E153&amp;F153,IMPORTRANGE(""https://docs.google.com/spreadsheets/d/1Uw7-A9f9R21vMXxHZFNpYNeKFtG8_yji4HS352LGlSQ/edit?pli=1#gid=0"",""1_ACUM!A4:S""),17,FALSE))"),"")</f>
        <v/>
      </c>
      <c r="AI130" s="44" t="str">
        <f ca="1">IFERROR(__xludf.DUMMYFUNCTION("IFERROR(VLOOKUP(E153&amp;F153,IMPORTRANGE(""https://docs.google.com/spreadsheets/d/1Uw7-A9f9R21vMXxHZFNpYNeKFtG8_yji4HS352LGlSQ/edit?pli=1#gid=0"",""1_ACUM!A4:S""),18,FALSE))"),"")</f>
        <v/>
      </c>
      <c r="AJ130" s="44" t="str">
        <f ca="1">IFERROR(__xludf.DUMMYFUNCTION("IFERROR(VLOOKUP(E153&amp;F153,IMPORTRANGE(""https://docs.google.com/spreadsheets/d/1Uw7-A9f9R21vMXxHZFNpYNeKFtG8_yji4HS352LGlSQ/edit?pli=1#gid=0"",""1_ACUM!A4:S""),19,FALSE))"),"")</f>
        <v/>
      </c>
      <c r="AK130" s="98" t="str">
        <f ca="1">IFERROR(__xludf.DUMMYFUNCTION("IFERROR(VLOOKUP(F153,IMPORTRANGE(""https://docs.google.com/spreadsheets/d/1Kvs4KS76FHFqLFIZfrDMff4kP08nblUkihrxltoGBjg/edit#gid=934712705"",""ESENCIAL!A6:BG""),5,FALSE))"),"")</f>
        <v/>
      </c>
      <c r="AL130" s="98" t="str">
        <f t="shared" ref="AL130:AL193" si="13">IF(F130&gt;0,EDATE(AK130,18),"")</f>
        <v/>
      </c>
      <c r="AM130" s="99" t="str">
        <f t="shared" ref="AM130:AM193" si="14">IF(F130&gt;0,IF(AL130&lt;$AM$1,"FINALIZAR FICHA","FICHA EN TIEMPO-18 MESES"),"")</f>
        <v/>
      </c>
      <c r="AN130" s="100" t="str">
        <f ca="1">IFERROR(__xludf.DUMMYFUNCTION("IFERROR(VLOOKUP(F153,IMPORTRANGE(""https://docs.google.com/spreadsheets/d/1Kvs4KS76FHFqLFIZfrDMff4kP08nblUkihrxltoGBjg/edit#gid=934712705"",""ESENCIAL!A6:BG""),2,FALSE))"),"")</f>
        <v/>
      </c>
      <c r="AO130" s="19" t="str">
        <f t="shared" ref="AO130:AO193" si="15">IF(F130&gt;0,"Yamboro","")</f>
        <v/>
      </c>
      <c r="AP130" s="100"/>
      <c r="AQ130" s="100"/>
    </row>
    <row r="131" spans="1:43" ht="15">
      <c r="A131" s="101"/>
      <c r="B131" s="101"/>
      <c r="G131" s="5" t="str">
        <f ca="1">IFERROR(__xludf.DUMMYFUNCTION("IFERROR(VLOOKUP(F154,IMPORTRANGE(""https://docs.google.com/spreadsheets/d/1Kvs4KS76FHFqLFIZfrDMff4kP08nblUkihrxltoGBjg/edit#gid=934712705"",""ESENCIAL!A6:BG""),3,FALSE))"),"")</f>
        <v/>
      </c>
      <c r="H131" s="5" t="str">
        <f ca="1">IFERROR(__xludf.DUMMYFUNCTION("IFERROR(VLOOKUP(F154,IMPORTRANGE(""https://docs.google.com/spreadsheets/d/1Kvs4KS76FHFqLFIZfrDMff4kP08nblUkihrxltoGBjg/edit#gid=934712705"",""ESENCIAL!A6:BG""),8,FALSE))"),"")</f>
        <v/>
      </c>
      <c r="L131" s="287"/>
      <c r="Z131" s="41" t="str">
        <f t="shared" si="12"/>
        <v/>
      </c>
      <c r="AA131" s="5" t="str">
        <f ca="1">IFERROR(__xludf.DUMMYFUNCTION("IFERROR(VLOOKUP(E154&amp;F154,IMPORTRANGE(""https://docs.google.com/spreadsheets/d/1Uw7-A9f9R21vMXxHZFNpYNeKFtG8_yji4HS352LGlSQ/edit?pli=1#gid=0"",""1_ACUM!A4:S""),11,FALSE))"),"")</f>
        <v/>
      </c>
      <c r="AB131" s="42" t="str">
        <f ca="1">IFERROR(__xludf.DUMMYFUNCTION("IFERROR(VLOOKUP(F154,IMPORTRANGE(""https://docs.google.com/spreadsheets/d/1Kvs4KS76FHFqLFIZfrDMff4kP08nblUkihrxltoGBjg/edit#gid=934712705"",""ESENCIAL!A6:BG""),15,FALSE))"),"")</f>
        <v/>
      </c>
      <c r="AC131" s="110" t="str">
        <f ca="1">IFERROR(__xludf.DUMMYFUNCTION("IFERROR(VLOOKUP(E154&amp;F154,IMPORTRANGE(""https://docs.google.com/spreadsheets/d/1Uw7-A9f9R21vMXxHZFNpYNeKFtG8_yji4HS352LGlSQ/edit?pli=1#gid=0"",""1_ACUM!A4:S""),13,FALSE))"),"")</f>
        <v/>
      </c>
      <c r="AD131" s="43" t="str">
        <f ca="1">IFERROR(__xludf.DUMMYFUNCTION("IFERROR(VLOOKUP(E154&amp;F154,IMPORTRANGE(""https://docs.google.com/spreadsheets/d/1Uw7-A9f9R21vMXxHZFNpYNeKFtG8_yji4HS352LGlSQ/edit?pli=1#gid=0"",""1_ACUM!A4:S""),13,FALSE))"),"")</f>
        <v/>
      </c>
      <c r="AE131" s="43" t="str">
        <f ca="1">IFERROR(__xludf.DUMMYFUNCTION("IFERROR(VLOOKUP(E154&amp;F154,IMPORTRANGE(""https://docs.google.com/spreadsheets/d/1Uw7-A9f9R21vMXxHZFNpYNeKFtG8_yji4HS352LGlSQ/edit?pli=1#gid=0"",""1_ACUM!A4:S""),14,FALSE))"),"")</f>
        <v/>
      </c>
      <c r="AF131" s="43" t="str">
        <f ca="1">IFERROR(__xludf.DUMMYFUNCTION("IFERROR(VLOOKUP(E154&amp;F154,IMPORTRANGE(""https://docs.google.com/spreadsheets/d/1Uw7-A9f9R21vMXxHZFNpYNeKFtG8_yji4HS352LGlSQ/edit?pli=1#gid=0"",""1_ACUM!A4:S""),15,FALSE))"),"")</f>
        <v/>
      </c>
      <c r="AG131" s="43" t="str">
        <f ca="1">IFERROR(__xludf.DUMMYFUNCTION("IFERROR(VLOOKUP(E154&amp;F154,IMPORTRANGE(""https://docs.google.com/spreadsheets/d/1Uw7-A9f9R21vMXxHZFNpYNeKFtG8_yji4HS352LGlSQ/edit?pli=1#gid=0"",""1_ACUM!A4:S""),16,FALSE))"),"")</f>
        <v/>
      </c>
      <c r="AH131" s="43" t="str">
        <f ca="1">IFERROR(__xludf.DUMMYFUNCTION("IFERROR(VLOOKUP(E154&amp;F154,IMPORTRANGE(""https://docs.google.com/spreadsheets/d/1Uw7-A9f9R21vMXxHZFNpYNeKFtG8_yji4HS352LGlSQ/edit?pli=1#gid=0"",""1_ACUM!A4:S""),17,FALSE))"),"")</f>
        <v/>
      </c>
      <c r="AI131" s="44" t="str">
        <f ca="1">IFERROR(__xludf.DUMMYFUNCTION("IFERROR(VLOOKUP(E154&amp;F154,IMPORTRANGE(""https://docs.google.com/spreadsheets/d/1Uw7-A9f9R21vMXxHZFNpYNeKFtG8_yji4HS352LGlSQ/edit?pli=1#gid=0"",""1_ACUM!A4:S""),18,FALSE))"),"")</f>
        <v/>
      </c>
      <c r="AJ131" s="44" t="str">
        <f ca="1">IFERROR(__xludf.DUMMYFUNCTION("IFERROR(VLOOKUP(E154&amp;F154,IMPORTRANGE(""https://docs.google.com/spreadsheets/d/1Uw7-A9f9R21vMXxHZFNpYNeKFtG8_yji4HS352LGlSQ/edit?pli=1#gid=0"",""1_ACUM!A4:S""),19,FALSE))"),"")</f>
        <v/>
      </c>
      <c r="AK131" s="98" t="str">
        <f ca="1">IFERROR(__xludf.DUMMYFUNCTION("IFERROR(VLOOKUP(F154,IMPORTRANGE(""https://docs.google.com/spreadsheets/d/1Kvs4KS76FHFqLFIZfrDMff4kP08nblUkihrxltoGBjg/edit#gid=934712705"",""ESENCIAL!A6:BG""),5,FALSE))"),"")</f>
        <v/>
      </c>
      <c r="AL131" s="98" t="str">
        <f t="shared" si="13"/>
        <v/>
      </c>
      <c r="AM131" s="99" t="str">
        <f t="shared" si="14"/>
        <v/>
      </c>
      <c r="AN131" s="100" t="str">
        <f ca="1">IFERROR(__xludf.DUMMYFUNCTION("IFERROR(VLOOKUP(F154,IMPORTRANGE(""https://docs.google.com/spreadsheets/d/1Kvs4KS76FHFqLFIZfrDMff4kP08nblUkihrxltoGBjg/edit#gid=934712705"",""ESENCIAL!A6:BG""),2,FALSE))"),"")</f>
        <v/>
      </c>
      <c r="AO131" s="19" t="str">
        <f t="shared" si="15"/>
        <v/>
      </c>
      <c r="AP131" s="100"/>
      <c r="AQ131" s="100"/>
    </row>
    <row r="132" spans="1:43" ht="15">
      <c r="A132" s="101"/>
      <c r="B132" s="101"/>
      <c r="G132" s="5" t="str">
        <f ca="1">IFERROR(__xludf.DUMMYFUNCTION("IFERROR(VLOOKUP(F155,IMPORTRANGE(""https://docs.google.com/spreadsheets/d/1Kvs4KS76FHFqLFIZfrDMff4kP08nblUkihrxltoGBjg/edit#gid=934712705"",""ESENCIAL!A6:BG""),3,FALSE))"),"")</f>
        <v/>
      </c>
      <c r="H132" s="5" t="str">
        <f ca="1">IFERROR(__xludf.DUMMYFUNCTION("IFERROR(VLOOKUP(F155,IMPORTRANGE(""https://docs.google.com/spreadsheets/d/1Kvs4KS76FHFqLFIZfrDMff4kP08nblUkihrxltoGBjg/edit#gid=934712705"",""ESENCIAL!A6:BG""),8,FALSE))"),"")</f>
        <v/>
      </c>
      <c r="L132" s="287"/>
      <c r="Z132" s="41" t="str">
        <f t="shared" si="12"/>
        <v/>
      </c>
      <c r="AA132" s="5" t="str">
        <f ca="1">IFERROR(__xludf.DUMMYFUNCTION("IFERROR(VLOOKUP(E155&amp;F155,IMPORTRANGE(""https://docs.google.com/spreadsheets/d/1Uw7-A9f9R21vMXxHZFNpYNeKFtG8_yji4HS352LGlSQ/edit?pli=1#gid=0"",""1_ACUM!A4:S""),11,FALSE))"),"")</f>
        <v/>
      </c>
      <c r="AB132" s="42" t="str">
        <f ca="1">IFERROR(__xludf.DUMMYFUNCTION("IFERROR(VLOOKUP(F155,IMPORTRANGE(""https://docs.google.com/spreadsheets/d/1Kvs4KS76FHFqLFIZfrDMff4kP08nblUkihrxltoGBjg/edit#gid=934712705"",""ESENCIAL!A6:BG""),15,FALSE))"),"")</f>
        <v/>
      </c>
      <c r="AC132" s="110" t="str">
        <f ca="1">IFERROR(__xludf.DUMMYFUNCTION("IFERROR(VLOOKUP(E155&amp;F155,IMPORTRANGE(""https://docs.google.com/spreadsheets/d/1Uw7-A9f9R21vMXxHZFNpYNeKFtG8_yji4HS352LGlSQ/edit?pli=1#gid=0"",""1_ACUM!A4:S""),13,FALSE))"),"")</f>
        <v/>
      </c>
      <c r="AD132" s="43" t="str">
        <f ca="1">IFERROR(__xludf.DUMMYFUNCTION("IFERROR(VLOOKUP(E155&amp;F155,IMPORTRANGE(""https://docs.google.com/spreadsheets/d/1Uw7-A9f9R21vMXxHZFNpYNeKFtG8_yji4HS352LGlSQ/edit?pli=1#gid=0"",""1_ACUM!A4:S""),13,FALSE))"),"")</f>
        <v/>
      </c>
      <c r="AE132" s="43" t="str">
        <f ca="1">IFERROR(__xludf.DUMMYFUNCTION("IFERROR(VLOOKUP(E155&amp;F155,IMPORTRANGE(""https://docs.google.com/spreadsheets/d/1Uw7-A9f9R21vMXxHZFNpYNeKFtG8_yji4HS352LGlSQ/edit?pli=1#gid=0"",""1_ACUM!A4:S""),14,FALSE))"),"")</f>
        <v/>
      </c>
      <c r="AF132" s="43" t="str">
        <f ca="1">IFERROR(__xludf.DUMMYFUNCTION("IFERROR(VLOOKUP(E155&amp;F155,IMPORTRANGE(""https://docs.google.com/spreadsheets/d/1Uw7-A9f9R21vMXxHZFNpYNeKFtG8_yji4HS352LGlSQ/edit?pli=1#gid=0"",""1_ACUM!A4:S""),15,FALSE))"),"")</f>
        <v/>
      </c>
      <c r="AG132" s="43" t="str">
        <f ca="1">IFERROR(__xludf.DUMMYFUNCTION("IFERROR(VLOOKUP(E155&amp;F155,IMPORTRANGE(""https://docs.google.com/spreadsheets/d/1Uw7-A9f9R21vMXxHZFNpYNeKFtG8_yji4HS352LGlSQ/edit?pli=1#gid=0"",""1_ACUM!A4:S""),16,FALSE))"),"")</f>
        <v/>
      </c>
      <c r="AH132" s="43" t="str">
        <f ca="1">IFERROR(__xludf.DUMMYFUNCTION("IFERROR(VLOOKUP(E155&amp;F155,IMPORTRANGE(""https://docs.google.com/spreadsheets/d/1Uw7-A9f9R21vMXxHZFNpYNeKFtG8_yji4HS352LGlSQ/edit?pli=1#gid=0"",""1_ACUM!A4:S""),17,FALSE))"),"")</f>
        <v/>
      </c>
      <c r="AI132" s="44" t="str">
        <f ca="1">IFERROR(__xludf.DUMMYFUNCTION("IFERROR(VLOOKUP(E155&amp;F155,IMPORTRANGE(""https://docs.google.com/spreadsheets/d/1Uw7-A9f9R21vMXxHZFNpYNeKFtG8_yji4HS352LGlSQ/edit?pli=1#gid=0"",""1_ACUM!A4:S""),18,FALSE))"),"")</f>
        <v/>
      </c>
      <c r="AJ132" s="44" t="str">
        <f ca="1">IFERROR(__xludf.DUMMYFUNCTION("IFERROR(VLOOKUP(E155&amp;F155,IMPORTRANGE(""https://docs.google.com/spreadsheets/d/1Uw7-A9f9R21vMXxHZFNpYNeKFtG8_yji4HS352LGlSQ/edit?pli=1#gid=0"",""1_ACUM!A4:S""),19,FALSE))"),"")</f>
        <v/>
      </c>
      <c r="AK132" s="98" t="str">
        <f ca="1">IFERROR(__xludf.DUMMYFUNCTION("IFERROR(VLOOKUP(F155,IMPORTRANGE(""https://docs.google.com/spreadsheets/d/1Kvs4KS76FHFqLFIZfrDMff4kP08nblUkihrxltoGBjg/edit#gid=934712705"",""ESENCIAL!A6:BG""),5,FALSE))"),"")</f>
        <v/>
      </c>
      <c r="AL132" s="98" t="str">
        <f t="shared" si="13"/>
        <v/>
      </c>
      <c r="AM132" s="99" t="str">
        <f t="shared" si="14"/>
        <v/>
      </c>
      <c r="AN132" s="100" t="str">
        <f ca="1">IFERROR(__xludf.DUMMYFUNCTION("IFERROR(VLOOKUP(F155,IMPORTRANGE(""https://docs.google.com/spreadsheets/d/1Kvs4KS76FHFqLFIZfrDMff4kP08nblUkihrxltoGBjg/edit#gid=934712705"",""ESENCIAL!A6:BG""),2,FALSE))"),"")</f>
        <v/>
      </c>
      <c r="AO132" s="19" t="str">
        <f t="shared" si="15"/>
        <v/>
      </c>
      <c r="AP132" s="100"/>
      <c r="AQ132" s="100"/>
    </row>
    <row r="133" spans="1:43" ht="15">
      <c r="A133" s="101"/>
      <c r="B133" s="101"/>
      <c r="G133" s="5" t="str">
        <f ca="1">IFERROR(__xludf.DUMMYFUNCTION("IFERROR(VLOOKUP(F156,IMPORTRANGE(""https://docs.google.com/spreadsheets/d/1Kvs4KS76FHFqLFIZfrDMff4kP08nblUkihrxltoGBjg/edit#gid=934712705"",""ESENCIAL!A6:BG""),3,FALSE))"),"")</f>
        <v/>
      </c>
      <c r="H133" s="5" t="str">
        <f ca="1">IFERROR(__xludf.DUMMYFUNCTION("IFERROR(VLOOKUP(F156,IMPORTRANGE(""https://docs.google.com/spreadsheets/d/1Kvs4KS76FHFqLFIZfrDMff4kP08nblUkihrxltoGBjg/edit#gid=934712705"",""ESENCIAL!A6:BG""),8,FALSE))"),"")</f>
        <v/>
      </c>
      <c r="L133" s="287"/>
      <c r="Z133" s="41" t="str">
        <f t="shared" si="12"/>
        <v/>
      </c>
      <c r="AA133" s="5" t="str">
        <f ca="1">IFERROR(__xludf.DUMMYFUNCTION("IFERROR(VLOOKUP(E156&amp;F156,IMPORTRANGE(""https://docs.google.com/spreadsheets/d/1Uw7-A9f9R21vMXxHZFNpYNeKFtG8_yji4HS352LGlSQ/edit?pli=1#gid=0"",""1_ACUM!A4:S""),11,FALSE))"),"")</f>
        <v/>
      </c>
      <c r="AB133" s="42" t="str">
        <f ca="1">IFERROR(__xludf.DUMMYFUNCTION("IFERROR(VLOOKUP(F156,IMPORTRANGE(""https://docs.google.com/spreadsheets/d/1Kvs4KS76FHFqLFIZfrDMff4kP08nblUkihrxltoGBjg/edit#gid=934712705"",""ESENCIAL!A6:BG""),15,FALSE))"),"")</f>
        <v/>
      </c>
      <c r="AC133" s="110" t="str">
        <f ca="1">IFERROR(__xludf.DUMMYFUNCTION("IFERROR(VLOOKUP(E156&amp;F156,IMPORTRANGE(""https://docs.google.com/spreadsheets/d/1Uw7-A9f9R21vMXxHZFNpYNeKFtG8_yji4HS352LGlSQ/edit?pli=1#gid=0"",""1_ACUM!A4:S""),13,FALSE))"),"")</f>
        <v/>
      </c>
      <c r="AD133" s="43" t="str">
        <f ca="1">IFERROR(__xludf.DUMMYFUNCTION("IFERROR(VLOOKUP(E156&amp;F156,IMPORTRANGE(""https://docs.google.com/spreadsheets/d/1Uw7-A9f9R21vMXxHZFNpYNeKFtG8_yji4HS352LGlSQ/edit?pli=1#gid=0"",""1_ACUM!A4:S""),13,FALSE))"),"")</f>
        <v/>
      </c>
      <c r="AE133" s="43" t="str">
        <f ca="1">IFERROR(__xludf.DUMMYFUNCTION("IFERROR(VLOOKUP(E156&amp;F156,IMPORTRANGE(""https://docs.google.com/spreadsheets/d/1Uw7-A9f9R21vMXxHZFNpYNeKFtG8_yji4HS352LGlSQ/edit?pli=1#gid=0"",""1_ACUM!A4:S""),14,FALSE))"),"")</f>
        <v/>
      </c>
      <c r="AF133" s="43" t="str">
        <f ca="1">IFERROR(__xludf.DUMMYFUNCTION("IFERROR(VLOOKUP(E156&amp;F156,IMPORTRANGE(""https://docs.google.com/spreadsheets/d/1Uw7-A9f9R21vMXxHZFNpYNeKFtG8_yji4HS352LGlSQ/edit?pli=1#gid=0"",""1_ACUM!A4:S""),15,FALSE))"),"")</f>
        <v/>
      </c>
      <c r="AG133" s="43" t="str">
        <f ca="1">IFERROR(__xludf.DUMMYFUNCTION("IFERROR(VLOOKUP(E156&amp;F156,IMPORTRANGE(""https://docs.google.com/spreadsheets/d/1Uw7-A9f9R21vMXxHZFNpYNeKFtG8_yji4HS352LGlSQ/edit?pli=1#gid=0"",""1_ACUM!A4:S""),16,FALSE))"),"")</f>
        <v/>
      </c>
      <c r="AH133" s="43" t="str">
        <f ca="1">IFERROR(__xludf.DUMMYFUNCTION("IFERROR(VLOOKUP(E156&amp;F156,IMPORTRANGE(""https://docs.google.com/spreadsheets/d/1Uw7-A9f9R21vMXxHZFNpYNeKFtG8_yji4HS352LGlSQ/edit?pli=1#gid=0"",""1_ACUM!A4:S""),17,FALSE))"),"")</f>
        <v/>
      </c>
      <c r="AI133" s="44" t="str">
        <f ca="1">IFERROR(__xludf.DUMMYFUNCTION("IFERROR(VLOOKUP(E156&amp;F156,IMPORTRANGE(""https://docs.google.com/spreadsheets/d/1Uw7-A9f9R21vMXxHZFNpYNeKFtG8_yji4HS352LGlSQ/edit?pli=1#gid=0"",""1_ACUM!A4:S""),18,FALSE))"),"")</f>
        <v/>
      </c>
      <c r="AJ133" s="44" t="str">
        <f ca="1">IFERROR(__xludf.DUMMYFUNCTION("IFERROR(VLOOKUP(E156&amp;F156,IMPORTRANGE(""https://docs.google.com/spreadsheets/d/1Uw7-A9f9R21vMXxHZFNpYNeKFtG8_yji4HS352LGlSQ/edit?pli=1#gid=0"",""1_ACUM!A4:S""),19,FALSE))"),"")</f>
        <v/>
      </c>
      <c r="AK133" s="98" t="str">
        <f ca="1">IFERROR(__xludf.DUMMYFUNCTION("IFERROR(VLOOKUP(F156,IMPORTRANGE(""https://docs.google.com/spreadsheets/d/1Kvs4KS76FHFqLFIZfrDMff4kP08nblUkihrxltoGBjg/edit#gid=934712705"",""ESENCIAL!A6:BG""),5,FALSE))"),"")</f>
        <v/>
      </c>
      <c r="AL133" s="98" t="str">
        <f t="shared" si="13"/>
        <v/>
      </c>
      <c r="AM133" s="99" t="str">
        <f t="shared" si="14"/>
        <v/>
      </c>
      <c r="AN133" s="100" t="str">
        <f ca="1">IFERROR(__xludf.DUMMYFUNCTION("IFERROR(VLOOKUP(F156,IMPORTRANGE(""https://docs.google.com/spreadsheets/d/1Kvs4KS76FHFqLFIZfrDMff4kP08nblUkihrxltoGBjg/edit#gid=934712705"",""ESENCIAL!A6:BG""),2,FALSE))"),"")</f>
        <v/>
      </c>
      <c r="AO133" s="19" t="str">
        <f t="shared" si="15"/>
        <v/>
      </c>
      <c r="AP133" s="100"/>
      <c r="AQ133" s="100"/>
    </row>
    <row r="134" spans="1:43" ht="15">
      <c r="A134" s="101"/>
      <c r="B134" s="101"/>
      <c r="G134" s="5" t="str">
        <f ca="1">IFERROR(__xludf.DUMMYFUNCTION("IFERROR(VLOOKUP(F157,IMPORTRANGE(""https://docs.google.com/spreadsheets/d/1Kvs4KS76FHFqLFIZfrDMff4kP08nblUkihrxltoGBjg/edit#gid=934712705"",""ESENCIAL!A6:BG""),3,FALSE))"),"")</f>
        <v/>
      </c>
      <c r="H134" s="5" t="str">
        <f ca="1">IFERROR(__xludf.DUMMYFUNCTION("IFERROR(VLOOKUP(F157,IMPORTRANGE(""https://docs.google.com/spreadsheets/d/1Kvs4KS76FHFqLFIZfrDMff4kP08nblUkihrxltoGBjg/edit#gid=934712705"",""ESENCIAL!A6:BG""),8,FALSE))"),"")</f>
        <v/>
      </c>
      <c r="L134" s="287"/>
      <c r="Z134" s="41" t="str">
        <f t="shared" si="12"/>
        <v/>
      </c>
      <c r="AA134" s="5" t="str">
        <f ca="1">IFERROR(__xludf.DUMMYFUNCTION("IFERROR(VLOOKUP(E157&amp;F157,IMPORTRANGE(""https://docs.google.com/spreadsheets/d/1Uw7-A9f9R21vMXxHZFNpYNeKFtG8_yji4HS352LGlSQ/edit?pli=1#gid=0"",""1_ACUM!A4:S""),11,FALSE))"),"")</f>
        <v/>
      </c>
      <c r="AB134" s="42" t="str">
        <f ca="1">IFERROR(__xludf.DUMMYFUNCTION("IFERROR(VLOOKUP(F157,IMPORTRANGE(""https://docs.google.com/spreadsheets/d/1Kvs4KS76FHFqLFIZfrDMff4kP08nblUkihrxltoGBjg/edit#gid=934712705"",""ESENCIAL!A6:BG""),15,FALSE))"),"")</f>
        <v/>
      </c>
      <c r="AC134" s="110" t="str">
        <f ca="1">IFERROR(__xludf.DUMMYFUNCTION("IFERROR(VLOOKUP(E157&amp;F157,IMPORTRANGE(""https://docs.google.com/spreadsheets/d/1Uw7-A9f9R21vMXxHZFNpYNeKFtG8_yji4HS352LGlSQ/edit?pli=1#gid=0"",""1_ACUM!A4:S""),13,FALSE))"),"")</f>
        <v/>
      </c>
      <c r="AD134" s="43" t="str">
        <f ca="1">IFERROR(__xludf.DUMMYFUNCTION("IFERROR(VLOOKUP(E157&amp;F157,IMPORTRANGE(""https://docs.google.com/spreadsheets/d/1Uw7-A9f9R21vMXxHZFNpYNeKFtG8_yji4HS352LGlSQ/edit?pli=1#gid=0"",""1_ACUM!A4:S""),13,FALSE))"),"")</f>
        <v/>
      </c>
      <c r="AE134" s="43" t="str">
        <f ca="1">IFERROR(__xludf.DUMMYFUNCTION("IFERROR(VLOOKUP(E157&amp;F157,IMPORTRANGE(""https://docs.google.com/spreadsheets/d/1Uw7-A9f9R21vMXxHZFNpYNeKFtG8_yji4HS352LGlSQ/edit?pli=1#gid=0"",""1_ACUM!A4:S""),14,FALSE))"),"")</f>
        <v/>
      </c>
      <c r="AF134" s="43" t="str">
        <f ca="1">IFERROR(__xludf.DUMMYFUNCTION("IFERROR(VLOOKUP(E157&amp;F157,IMPORTRANGE(""https://docs.google.com/spreadsheets/d/1Uw7-A9f9R21vMXxHZFNpYNeKFtG8_yji4HS352LGlSQ/edit?pli=1#gid=0"",""1_ACUM!A4:S""),15,FALSE))"),"")</f>
        <v/>
      </c>
      <c r="AG134" s="43" t="str">
        <f ca="1">IFERROR(__xludf.DUMMYFUNCTION("IFERROR(VLOOKUP(E157&amp;F157,IMPORTRANGE(""https://docs.google.com/spreadsheets/d/1Uw7-A9f9R21vMXxHZFNpYNeKFtG8_yji4HS352LGlSQ/edit?pli=1#gid=0"",""1_ACUM!A4:S""),16,FALSE))"),"")</f>
        <v/>
      </c>
      <c r="AH134" s="43" t="str">
        <f ca="1">IFERROR(__xludf.DUMMYFUNCTION("IFERROR(VLOOKUP(E157&amp;F157,IMPORTRANGE(""https://docs.google.com/spreadsheets/d/1Uw7-A9f9R21vMXxHZFNpYNeKFtG8_yji4HS352LGlSQ/edit?pli=1#gid=0"",""1_ACUM!A4:S""),17,FALSE))"),"")</f>
        <v/>
      </c>
      <c r="AI134" s="44" t="str">
        <f ca="1">IFERROR(__xludf.DUMMYFUNCTION("IFERROR(VLOOKUP(E157&amp;F157,IMPORTRANGE(""https://docs.google.com/spreadsheets/d/1Uw7-A9f9R21vMXxHZFNpYNeKFtG8_yji4HS352LGlSQ/edit?pli=1#gid=0"",""1_ACUM!A4:S""),18,FALSE))"),"")</f>
        <v/>
      </c>
      <c r="AJ134" s="44" t="str">
        <f ca="1">IFERROR(__xludf.DUMMYFUNCTION("IFERROR(VLOOKUP(E157&amp;F157,IMPORTRANGE(""https://docs.google.com/spreadsheets/d/1Uw7-A9f9R21vMXxHZFNpYNeKFtG8_yji4HS352LGlSQ/edit?pli=1#gid=0"",""1_ACUM!A4:S""),19,FALSE))"),"")</f>
        <v/>
      </c>
      <c r="AK134" s="98" t="str">
        <f ca="1">IFERROR(__xludf.DUMMYFUNCTION("IFERROR(VLOOKUP(F157,IMPORTRANGE(""https://docs.google.com/spreadsheets/d/1Kvs4KS76FHFqLFIZfrDMff4kP08nblUkihrxltoGBjg/edit#gid=934712705"",""ESENCIAL!A6:BG""),5,FALSE))"),"")</f>
        <v/>
      </c>
      <c r="AL134" s="98" t="str">
        <f t="shared" si="13"/>
        <v/>
      </c>
      <c r="AM134" s="99" t="str">
        <f t="shared" si="14"/>
        <v/>
      </c>
      <c r="AN134" s="100" t="str">
        <f ca="1">IFERROR(__xludf.DUMMYFUNCTION("IFERROR(VLOOKUP(F157,IMPORTRANGE(""https://docs.google.com/spreadsheets/d/1Kvs4KS76FHFqLFIZfrDMff4kP08nblUkihrxltoGBjg/edit#gid=934712705"",""ESENCIAL!A6:BG""),2,FALSE))"),"")</f>
        <v/>
      </c>
      <c r="AO134" s="19" t="str">
        <f t="shared" si="15"/>
        <v/>
      </c>
      <c r="AP134" s="100"/>
      <c r="AQ134" s="100"/>
    </row>
    <row r="135" spans="1:43" ht="15">
      <c r="A135" s="101"/>
      <c r="B135" s="101"/>
      <c r="G135" s="5" t="str">
        <f ca="1">IFERROR(__xludf.DUMMYFUNCTION("IFERROR(VLOOKUP(F158,IMPORTRANGE(""https://docs.google.com/spreadsheets/d/1Kvs4KS76FHFqLFIZfrDMff4kP08nblUkihrxltoGBjg/edit#gid=934712705"",""ESENCIAL!A6:BG""),3,FALSE))"),"")</f>
        <v/>
      </c>
      <c r="H135" s="5" t="str">
        <f ca="1">IFERROR(__xludf.DUMMYFUNCTION("IFERROR(VLOOKUP(F158,IMPORTRANGE(""https://docs.google.com/spreadsheets/d/1Kvs4KS76FHFqLFIZfrDMff4kP08nblUkihrxltoGBjg/edit#gid=934712705"",""ESENCIAL!A6:BG""),8,FALSE))"),"")</f>
        <v/>
      </c>
      <c r="L135" s="287"/>
      <c r="Z135" s="41" t="str">
        <f t="shared" si="12"/>
        <v/>
      </c>
      <c r="AA135" s="5" t="str">
        <f ca="1">IFERROR(__xludf.DUMMYFUNCTION("IFERROR(VLOOKUP(E158&amp;F158,IMPORTRANGE(""https://docs.google.com/spreadsheets/d/1Uw7-A9f9R21vMXxHZFNpYNeKFtG8_yji4HS352LGlSQ/edit?pli=1#gid=0"",""1_ACUM!A4:S""),11,FALSE))"),"")</f>
        <v/>
      </c>
      <c r="AB135" s="42" t="str">
        <f ca="1">IFERROR(__xludf.DUMMYFUNCTION("IFERROR(VLOOKUP(F158,IMPORTRANGE(""https://docs.google.com/spreadsheets/d/1Kvs4KS76FHFqLFIZfrDMff4kP08nblUkihrxltoGBjg/edit#gid=934712705"",""ESENCIAL!A6:BG""),15,FALSE))"),"")</f>
        <v/>
      </c>
      <c r="AC135" s="110" t="str">
        <f ca="1">IFERROR(__xludf.DUMMYFUNCTION("IFERROR(VLOOKUP(E158&amp;F158,IMPORTRANGE(""https://docs.google.com/spreadsheets/d/1Uw7-A9f9R21vMXxHZFNpYNeKFtG8_yji4HS352LGlSQ/edit?pli=1#gid=0"",""1_ACUM!A4:S""),13,FALSE))"),"")</f>
        <v/>
      </c>
      <c r="AD135" s="43" t="str">
        <f ca="1">IFERROR(__xludf.DUMMYFUNCTION("IFERROR(VLOOKUP(E158&amp;F158,IMPORTRANGE(""https://docs.google.com/spreadsheets/d/1Uw7-A9f9R21vMXxHZFNpYNeKFtG8_yji4HS352LGlSQ/edit?pli=1#gid=0"",""1_ACUM!A4:S""),13,FALSE))"),"")</f>
        <v/>
      </c>
      <c r="AE135" s="43" t="str">
        <f ca="1">IFERROR(__xludf.DUMMYFUNCTION("IFERROR(VLOOKUP(E158&amp;F158,IMPORTRANGE(""https://docs.google.com/spreadsheets/d/1Uw7-A9f9R21vMXxHZFNpYNeKFtG8_yji4HS352LGlSQ/edit?pli=1#gid=0"",""1_ACUM!A4:S""),14,FALSE))"),"")</f>
        <v/>
      </c>
      <c r="AF135" s="43" t="str">
        <f ca="1">IFERROR(__xludf.DUMMYFUNCTION("IFERROR(VLOOKUP(E158&amp;F158,IMPORTRANGE(""https://docs.google.com/spreadsheets/d/1Uw7-A9f9R21vMXxHZFNpYNeKFtG8_yji4HS352LGlSQ/edit?pli=1#gid=0"",""1_ACUM!A4:S""),15,FALSE))"),"")</f>
        <v/>
      </c>
      <c r="AG135" s="43" t="str">
        <f ca="1">IFERROR(__xludf.DUMMYFUNCTION("IFERROR(VLOOKUP(E158&amp;F158,IMPORTRANGE(""https://docs.google.com/spreadsheets/d/1Uw7-A9f9R21vMXxHZFNpYNeKFtG8_yji4HS352LGlSQ/edit?pli=1#gid=0"",""1_ACUM!A4:S""),16,FALSE))"),"")</f>
        <v/>
      </c>
      <c r="AH135" s="43" t="str">
        <f ca="1">IFERROR(__xludf.DUMMYFUNCTION("IFERROR(VLOOKUP(E158&amp;F158,IMPORTRANGE(""https://docs.google.com/spreadsheets/d/1Uw7-A9f9R21vMXxHZFNpYNeKFtG8_yji4HS352LGlSQ/edit?pli=1#gid=0"",""1_ACUM!A4:S""),17,FALSE))"),"")</f>
        <v/>
      </c>
      <c r="AI135" s="44" t="str">
        <f ca="1">IFERROR(__xludf.DUMMYFUNCTION("IFERROR(VLOOKUP(E158&amp;F158,IMPORTRANGE(""https://docs.google.com/spreadsheets/d/1Uw7-A9f9R21vMXxHZFNpYNeKFtG8_yji4HS352LGlSQ/edit?pli=1#gid=0"",""1_ACUM!A4:S""),18,FALSE))"),"")</f>
        <v/>
      </c>
      <c r="AJ135" s="44" t="str">
        <f ca="1">IFERROR(__xludf.DUMMYFUNCTION("IFERROR(VLOOKUP(E158&amp;F158,IMPORTRANGE(""https://docs.google.com/spreadsheets/d/1Uw7-A9f9R21vMXxHZFNpYNeKFtG8_yji4HS352LGlSQ/edit?pli=1#gid=0"",""1_ACUM!A4:S""),19,FALSE))"),"")</f>
        <v/>
      </c>
      <c r="AK135" s="98" t="str">
        <f ca="1">IFERROR(__xludf.DUMMYFUNCTION("IFERROR(VLOOKUP(F158,IMPORTRANGE(""https://docs.google.com/spreadsheets/d/1Kvs4KS76FHFqLFIZfrDMff4kP08nblUkihrxltoGBjg/edit#gid=934712705"",""ESENCIAL!A6:BG""),5,FALSE))"),"")</f>
        <v/>
      </c>
      <c r="AL135" s="98" t="str">
        <f t="shared" si="13"/>
        <v/>
      </c>
      <c r="AM135" s="99" t="str">
        <f t="shared" si="14"/>
        <v/>
      </c>
      <c r="AN135" s="100" t="str">
        <f ca="1">IFERROR(__xludf.DUMMYFUNCTION("IFERROR(VLOOKUP(F158,IMPORTRANGE(""https://docs.google.com/spreadsheets/d/1Kvs4KS76FHFqLFIZfrDMff4kP08nblUkihrxltoGBjg/edit#gid=934712705"",""ESENCIAL!A6:BG""),2,FALSE))"),"")</f>
        <v/>
      </c>
      <c r="AO135" s="19" t="str">
        <f t="shared" si="15"/>
        <v/>
      </c>
      <c r="AP135" s="100"/>
      <c r="AQ135" s="100"/>
    </row>
    <row r="136" spans="1:43" ht="15">
      <c r="A136" s="101"/>
      <c r="B136" s="101"/>
      <c r="G136" s="5" t="str">
        <f ca="1">IFERROR(__xludf.DUMMYFUNCTION("IFERROR(VLOOKUP(F159,IMPORTRANGE(""https://docs.google.com/spreadsheets/d/1Kvs4KS76FHFqLFIZfrDMff4kP08nblUkihrxltoGBjg/edit#gid=934712705"",""ESENCIAL!A6:BG""),3,FALSE))"),"")</f>
        <v/>
      </c>
      <c r="H136" s="5" t="str">
        <f ca="1">IFERROR(__xludf.DUMMYFUNCTION("IFERROR(VLOOKUP(F159,IMPORTRANGE(""https://docs.google.com/spreadsheets/d/1Kvs4KS76FHFqLFIZfrDMff4kP08nblUkihrxltoGBjg/edit#gid=934712705"",""ESENCIAL!A6:BG""),8,FALSE))"),"")</f>
        <v/>
      </c>
      <c r="L136" s="287"/>
      <c r="Z136" s="41" t="str">
        <f t="shared" si="12"/>
        <v/>
      </c>
      <c r="AA136" s="5" t="str">
        <f ca="1">IFERROR(__xludf.DUMMYFUNCTION("IFERROR(VLOOKUP(E159&amp;F159,IMPORTRANGE(""https://docs.google.com/spreadsheets/d/1Uw7-A9f9R21vMXxHZFNpYNeKFtG8_yji4HS352LGlSQ/edit?pli=1#gid=0"",""1_ACUM!A4:S""),11,FALSE))"),"")</f>
        <v/>
      </c>
      <c r="AB136" s="42" t="str">
        <f ca="1">IFERROR(__xludf.DUMMYFUNCTION("IFERROR(VLOOKUP(F159,IMPORTRANGE(""https://docs.google.com/spreadsheets/d/1Kvs4KS76FHFqLFIZfrDMff4kP08nblUkihrxltoGBjg/edit#gid=934712705"",""ESENCIAL!A6:BG""),15,FALSE))"),"")</f>
        <v/>
      </c>
      <c r="AC136" s="110" t="str">
        <f ca="1">IFERROR(__xludf.DUMMYFUNCTION("IFERROR(VLOOKUP(E159&amp;F159,IMPORTRANGE(""https://docs.google.com/spreadsheets/d/1Uw7-A9f9R21vMXxHZFNpYNeKFtG8_yji4HS352LGlSQ/edit?pli=1#gid=0"",""1_ACUM!A4:S""),13,FALSE))"),"")</f>
        <v/>
      </c>
      <c r="AD136" s="43" t="str">
        <f ca="1">IFERROR(__xludf.DUMMYFUNCTION("IFERROR(VLOOKUP(E159&amp;F159,IMPORTRANGE(""https://docs.google.com/spreadsheets/d/1Uw7-A9f9R21vMXxHZFNpYNeKFtG8_yji4HS352LGlSQ/edit?pli=1#gid=0"",""1_ACUM!A4:S""),13,FALSE))"),"")</f>
        <v/>
      </c>
      <c r="AE136" s="43" t="str">
        <f ca="1">IFERROR(__xludf.DUMMYFUNCTION("IFERROR(VLOOKUP(E159&amp;F159,IMPORTRANGE(""https://docs.google.com/spreadsheets/d/1Uw7-A9f9R21vMXxHZFNpYNeKFtG8_yji4HS352LGlSQ/edit?pli=1#gid=0"",""1_ACUM!A4:S""),14,FALSE))"),"")</f>
        <v/>
      </c>
      <c r="AF136" s="43" t="str">
        <f ca="1">IFERROR(__xludf.DUMMYFUNCTION("IFERROR(VLOOKUP(E159&amp;F159,IMPORTRANGE(""https://docs.google.com/spreadsheets/d/1Uw7-A9f9R21vMXxHZFNpYNeKFtG8_yji4HS352LGlSQ/edit?pli=1#gid=0"",""1_ACUM!A4:S""),15,FALSE))"),"")</f>
        <v/>
      </c>
      <c r="AG136" s="43" t="str">
        <f ca="1">IFERROR(__xludf.DUMMYFUNCTION("IFERROR(VLOOKUP(E159&amp;F159,IMPORTRANGE(""https://docs.google.com/spreadsheets/d/1Uw7-A9f9R21vMXxHZFNpYNeKFtG8_yji4HS352LGlSQ/edit?pli=1#gid=0"",""1_ACUM!A4:S""),16,FALSE))"),"")</f>
        <v/>
      </c>
      <c r="AH136" s="43" t="str">
        <f ca="1">IFERROR(__xludf.DUMMYFUNCTION("IFERROR(VLOOKUP(E159&amp;F159,IMPORTRANGE(""https://docs.google.com/spreadsheets/d/1Uw7-A9f9R21vMXxHZFNpYNeKFtG8_yji4HS352LGlSQ/edit?pli=1#gid=0"",""1_ACUM!A4:S""),17,FALSE))"),"")</f>
        <v/>
      </c>
      <c r="AI136" s="44" t="str">
        <f ca="1">IFERROR(__xludf.DUMMYFUNCTION("IFERROR(VLOOKUP(E159&amp;F159,IMPORTRANGE(""https://docs.google.com/spreadsheets/d/1Uw7-A9f9R21vMXxHZFNpYNeKFtG8_yji4HS352LGlSQ/edit?pli=1#gid=0"",""1_ACUM!A4:S""),18,FALSE))"),"")</f>
        <v/>
      </c>
      <c r="AJ136" s="44" t="str">
        <f ca="1">IFERROR(__xludf.DUMMYFUNCTION("IFERROR(VLOOKUP(E159&amp;F159,IMPORTRANGE(""https://docs.google.com/spreadsheets/d/1Uw7-A9f9R21vMXxHZFNpYNeKFtG8_yji4HS352LGlSQ/edit?pli=1#gid=0"",""1_ACUM!A4:S""),19,FALSE))"),"")</f>
        <v/>
      </c>
      <c r="AK136" s="98" t="str">
        <f ca="1">IFERROR(__xludf.DUMMYFUNCTION("IFERROR(VLOOKUP(F159,IMPORTRANGE(""https://docs.google.com/spreadsheets/d/1Kvs4KS76FHFqLFIZfrDMff4kP08nblUkihrxltoGBjg/edit#gid=934712705"",""ESENCIAL!A6:BG""),5,FALSE))"),"")</f>
        <v/>
      </c>
      <c r="AL136" s="98" t="str">
        <f t="shared" si="13"/>
        <v/>
      </c>
      <c r="AM136" s="99" t="str">
        <f t="shared" si="14"/>
        <v/>
      </c>
      <c r="AN136" s="100" t="str">
        <f ca="1">IFERROR(__xludf.DUMMYFUNCTION("IFERROR(VLOOKUP(F159,IMPORTRANGE(""https://docs.google.com/spreadsheets/d/1Kvs4KS76FHFqLFIZfrDMff4kP08nblUkihrxltoGBjg/edit#gid=934712705"",""ESENCIAL!A6:BG""),2,FALSE))"),"")</f>
        <v/>
      </c>
      <c r="AO136" s="19" t="str">
        <f t="shared" si="15"/>
        <v/>
      </c>
      <c r="AP136" s="100"/>
      <c r="AQ136" s="100"/>
    </row>
    <row r="137" spans="1:43" ht="15">
      <c r="A137" s="101"/>
      <c r="B137" s="101"/>
      <c r="G137" s="5" t="str">
        <f ca="1">IFERROR(__xludf.DUMMYFUNCTION("IFERROR(VLOOKUP(F160,IMPORTRANGE(""https://docs.google.com/spreadsheets/d/1Kvs4KS76FHFqLFIZfrDMff4kP08nblUkihrxltoGBjg/edit#gid=934712705"",""ESENCIAL!A6:BG""),3,FALSE))"),"")</f>
        <v/>
      </c>
      <c r="H137" s="5" t="str">
        <f ca="1">IFERROR(__xludf.DUMMYFUNCTION("IFERROR(VLOOKUP(F160,IMPORTRANGE(""https://docs.google.com/spreadsheets/d/1Kvs4KS76FHFqLFIZfrDMff4kP08nblUkihrxltoGBjg/edit#gid=934712705"",""ESENCIAL!A6:BG""),8,FALSE))"),"")</f>
        <v/>
      </c>
      <c r="L137" s="287"/>
      <c r="Z137" s="41" t="str">
        <f t="shared" si="12"/>
        <v/>
      </c>
      <c r="AA137" s="5" t="str">
        <f ca="1">IFERROR(__xludf.DUMMYFUNCTION("IFERROR(VLOOKUP(E160&amp;F160,IMPORTRANGE(""https://docs.google.com/spreadsheets/d/1Uw7-A9f9R21vMXxHZFNpYNeKFtG8_yji4HS352LGlSQ/edit?pli=1#gid=0"",""1_ACUM!A4:S""),11,FALSE))"),"")</f>
        <v/>
      </c>
      <c r="AB137" s="42" t="str">
        <f ca="1">IFERROR(__xludf.DUMMYFUNCTION("IFERROR(VLOOKUP(F160,IMPORTRANGE(""https://docs.google.com/spreadsheets/d/1Kvs4KS76FHFqLFIZfrDMff4kP08nblUkihrxltoGBjg/edit#gid=934712705"",""ESENCIAL!A6:BG""),15,FALSE))"),"")</f>
        <v/>
      </c>
      <c r="AC137" s="110" t="str">
        <f ca="1">IFERROR(__xludf.DUMMYFUNCTION("IFERROR(VLOOKUP(E160&amp;F160,IMPORTRANGE(""https://docs.google.com/spreadsheets/d/1Uw7-A9f9R21vMXxHZFNpYNeKFtG8_yji4HS352LGlSQ/edit?pli=1#gid=0"",""1_ACUM!A4:S""),13,FALSE))"),"")</f>
        <v/>
      </c>
      <c r="AD137" s="43" t="str">
        <f ca="1">IFERROR(__xludf.DUMMYFUNCTION("IFERROR(VLOOKUP(E160&amp;F160,IMPORTRANGE(""https://docs.google.com/spreadsheets/d/1Uw7-A9f9R21vMXxHZFNpYNeKFtG8_yji4HS352LGlSQ/edit?pli=1#gid=0"",""1_ACUM!A4:S""),13,FALSE))"),"")</f>
        <v/>
      </c>
      <c r="AE137" s="43" t="str">
        <f ca="1">IFERROR(__xludf.DUMMYFUNCTION("IFERROR(VLOOKUP(E160&amp;F160,IMPORTRANGE(""https://docs.google.com/spreadsheets/d/1Uw7-A9f9R21vMXxHZFNpYNeKFtG8_yji4HS352LGlSQ/edit?pli=1#gid=0"",""1_ACUM!A4:S""),14,FALSE))"),"")</f>
        <v/>
      </c>
      <c r="AF137" s="43" t="str">
        <f ca="1">IFERROR(__xludf.DUMMYFUNCTION("IFERROR(VLOOKUP(E160&amp;F160,IMPORTRANGE(""https://docs.google.com/spreadsheets/d/1Uw7-A9f9R21vMXxHZFNpYNeKFtG8_yji4HS352LGlSQ/edit?pli=1#gid=0"",""1_ACUM!A4:S""),15,FALSE))"),"")</f>
        <v/>
      </c>
      <c r="AG137" s="43" t="str">
        <f ca="1">IFERROR(__xludf.DUMMYFUNCTION("IFERROR(VLOOKUP(E160&amp;F160,IMPORTRANGE(""https://docs.google.com/spreadsheets/d/1Uw7-A9f9R21vMXxHZFNpYNeKFtG8_yji4HS352LGlSQ/edit?pli=1#gid=0"",""1_ACUM!A4:S""),16,FALSE))"),"")</f>
        <v/>
      </c>
      <c r="AH137" s="43" t="str">
        <f ca="1">IFERROR(__xludf.DUMMYFUNCTION("IFERROR(VLOOKUP(E160&amp;F160,IMPORTRANGE(""https://docs.google.com/spreadsheets/d/1Uw7-A9f9R21vMXxHZFNpYNeKFtG8_yji4HS352LGlSQ/edit?pli=1#gid=0"",""1_ACUM!A4:S""),17,FALSE))"),"")</f>
        <v/>
      </c>
      <c r="AI137" s="44" t="str">
        <f ca="1">IFERROR(__xludf.DUMMYFUNCTION("IFERROR(VLOOKUP(E160&amp;F160,IMPORTRANGE(""https://docs.google.com/spreadsheets/d/1Uw7-A9f9R21vMXxHZFNpYNeKFtG8_yji4HS352LGlSQ/edit?pli=1#gid=0"",""1_ACUM!A4:S""),18,FALSE))"),"")</f>
        <v/>
      </c>
      <c r="AJ137" s="44" t="str">
        <f ca="1">IFERROR(__xludf.DUMMYFUNCTION("IFERROR(VLOOKUP(E160&amp;F160,IMPORTRANGE(""https://docs.google.com/spreadsheets/d/1Uw7-A9f9R21vMXxHZFNpYNeKFtG8_yji4HS352LGlSQ/edit?pli=1#gid=0"",""1_ACUM!A4:S""),19,FALSE))"),"")</f>
        <v/>
      </c>
      <c r="AK137" s="98" t="str">
        <f ca="1">IFERROR(__xludf.DUMMYFUNCTION("IFERROR(VLOOKUP(F160,IMPORTRANGE(""https://docs.google.com/spreadsheets/d/1Kvs4KS76FHFqLFIZfrDMff4kP08nblUkihrxltoGBjg/edit#gid=934712705"",""ESENCIAL!A6:BG""),5,FALSE))"),"")</f>
        <v/>
      </c>
      <c r="AL137" s="98" t="str">
        <f t="shared" si="13"/>
        <v/>
      </c>
      <c r="AM137" s="99" t="str">
        <f t="shared" si="14"/>
        <v/>
      </c>
      <c r="AN137" s="100" t="str">
        <f ca="1">IFERROR(__xludf.DUMMYFUNCTION("IFERROR(VLOOKUP(F160,IMPORTRANGE(""https://docs.google.com/spreadsheets/d/1Kvs4KS76FHFqLFIZfrDMff4kP08nblUkihrxltoGBjg/edit#gid=934712705"",""ESENCIAL!A6:BG""),2,FALSE))"),"")</f>
        <v/>
      </c>
      <c r="AO137" s="19" t="str">
        <f t="shared" si="15"/>
        <v/>
      </c>
      <c r="AP137" s="100"/>
      <c r="AQ137" s="100"/>
    </row>
    <row r="138" spans="1:43" ht="15">
      <c r="A138" s="101"/>
      <c r="B138" s="101"/>
      <c r="G138" s="5" t="str">
        <f ca="1">IFERROR(__xludf.DUMMYFUNCTION("IFERROR(VLOOKUP(F161,IMPORTRANGE(""https://docs.google.com/spreadsheets/d/1Kvs4KS76FHFqLFIZfrDMff4kP08nblUkihrxltoGBjg/edit#gid=934712705"",""ESENCIAL!A6:BG""),3,FALSE))"),"")</f>
        <v/>
      </c>
      <c r="H138" s="5" t="str">
        <f ca="1">IFERROR(__xludf.DUMMYFUNCTION("IFERROR(VLOOKUP(F161,IMPORTRANGE(""https://docs.google.com/spreadsheets/d/1Kvs4KS76FHFqLFIZfrDMff4kP08nblUkihrxltoGBjg/edit#gid=934712705"",""ESENCIAL!A6:BG""),8,FALSE))"),"")</f>
        <v/>
      </c>
      <c r="L138" s="287"/>
      <c r="Z138" s="41" t="str">
        <f t="shared" si="12"/>
        <v/>
      </c>
      <c r="AA138" s="5" t="str">
        <f ca="1">IFERROR(__xludf.DUMMYFUNCTION("IFERROR(VLOOKUP(E161&amp;F161,IMPORTRANGE(""https://docs.google.com/spreadsheets/d/1Uw7-A9f9R21vMXxHZFNpYNeKFtG8_yji4HS352LGlSQ/edit?pli=1#gid=0"",""1_ACUM!A4:S""),11,FALSE))"),"")</f>
        <v/>
      </c>
      <c r="AB138" s="42" t="str">
        <f ca="1">IFERROR(__xludf.DUMMYFUNCTION("IFERROR(VLOOKUP(F161,IMPORTRANGE(""https://docs.google.com/spreadsheets/d/1Kvs4KS76FHFqLFIZfrDMff4kP08nblUkihrxltoGBjg/edit#gid=934712705"",""ESENCIAL!A6:BG""),15,FALSE))"),"")</f>
        <v/>
      </c>
      <c r="AC138" s="110" t="str">
        <f ca="1">IFERROR(__xludf.DUMMYFUNCTION("IFERROR(VLOOKUP(E161&amp;F161,IMPORTRANGE(""https://docs.google.com/spreadsheets/d/1Uw7-A9f9R21vMXxHZFNpYNeKFtG8_yji4HS352LGlSQ/edit?pli=1#gid=0"",""1_ACUM!A4:S""),13,FALSE))"),"")</f>
        <v/>
      </c>
      <c r="AD138" s="43" t="str">
        <f ca="1">IFERROR(__xludf.DUMMYFUNCTION("IFERROR(VLOOKUP(E161&amp;F161,IMPORTRANGE(""https://docs.google.com/spreadsheets/d/1Uw7-A9f9R21vMXxHZFNpYNeKFtG8_yji4HS352LGlSQ/edit?pli=1#gid=0"",""1_ACUM!A4:S""),13,FALSE))"),"")</f>
        <v/>
      </c>
      <c r="AE138" s="43" t="str">
        <f ca="1">IFERROR(__xludf.DUMMYFUNCTION("IFERROR(VLOOKUP(E161&amp;F161,IMPORTRANGE(""https://docs.google.com/spreadsheets/d/1Uw7-A9f9R21vMXxHZFNpYNeKFtG8_yji4HS352LGlSQ/edit?pli=1#gid=0"",""1_ACUM!A4:S""),14,FALSE))"),"")</f>
        <v/>
      </c>
      <c r="AF138" s="43" t="str">
        <f ca="1">IFERROR(__xludf.DUMMYFUNCTION("IFERROR(VLOOKUP(E161&amp;F161,IMPORTRANGE(""https://docs.google.com/spreadsheets/d/1Uw7-A9f9R21vMXxHZFNpYNeKFtG8_yji4HS352LGlSQ/edit?pli=1#gid=0"",""1_ACUM!A4:S""),15,FALSE))"),"")</f>
        <v/>
      </c>
      <c r="AG138" s="43" t="str">
        <f ca="1">IFERROR(__xludf.DUMMYFUNCTION("IFERROR(VLOOKUP(E161&amp;F161,IMPORTRANGE(""https://docs.google.com/spreadsheets/d/1Uw7-A9f9R21vMXxHZFNpYNeKFtG8_yji4HS352LGlSQ/edit?pli=1#gid=0"",""1_ACUM!A4:S""),16,FALSE))"),"")</f>
        <v/>
      </c>
      <c r="AH138" s="43" t="str">
        <f ca="1">IFERROR(__xludf.DUMMYFUNCTION("IFERROR(VLOOKUP(E161&amp;F161,IMPORTRANGE(""https://docs.google.com/spreadsheets/d/1Uw7-A9f9R21vMXxHZFNpYNeKFtG8_yji4HS352LGlSQ/edit?pli=1#gid=0"",""1_ACUM!A4:S""),17,FALSE))"),"")</f>
        <v/>
      </c>
      <c r="AI138" s="44" t="str">
        <f ca="1">IFERROR(__xludf.DUMMYFUNCTION("IFERROR(VLOOKUP(E161&amp;F161,IMPORTRANGE(""https://docs.google.com/spreadsheets/d/1Uw7-A9f9R21vMXxHZFNpYNeKFtG8_yji4HS352LGlSQ/edit?pli=1#gid=0"",""1_ACUM!A4:S""),18,FALSE))"),"")</f>
        <v/>
      </c>
      <c r="AJ138" s="44" t="str">
        <f ca="1">IFERROR(__xludf.DUMMYFUNCTION("IFERROR(VLOOKUP(E161&amp;F161,IMPORTRANGE(""https://docs.google.com/spreadsheets/d/1Uw7-A9f9R21vMXxHZFNpYNeKFtG8_yji4HS352LGlSQ/edit?pli=1#gid=0"",""1_ACUM!A4:S""),19,FALSE))"),"")</f>
        <v/>
      </c>
      <c r="AK138" s="98" t="str">
        <f ca="1">IFERROR(__xludf.DUMMYFUNCTION("IFERROR(VLOOKUP(F161,IMPORTRANGE(""https://docs.google.com/spreadsheets/d/1Kvs4KS76FHFqLFIZfrDMff4kP08nblUkihrxltoGBjg/edit#gid=934712705"",""ESENCIAL!A6:BG""),5,FALSE))"),"")</f>
        <v/>
      </c>
      <c r="AL138" s="98" t="str">
        <f t="shared" si="13"/>
        <v/>
      </c>
      <c r="AM138" s="99" t="str">
        <f t="shared" si="14"/>
        <v/>
      </c>
      <c r="AN138" s="100" t="str">
        <f ca="1">IFERROR(__xludf.DUMMYFUNCTION("IFERROR(VLOOKUP(F161,IMPORTRANGE(""https://docs.google.com/spreadsheets/d/1Kvs4KS76FHFqLFIZfrDMff4kP08nblUkihrxltoGBjg/edit#gid=934712705"",""ESENCIAL!A6:BG""),2,FALSE))"),"")</f>
        <v/>
      </c>
      <c r="AO138" s="19" t="str">
        <f t="shared" si="15"/>
        <v/>
      </c>
      <c r="AP138" s="100"/>
      <c r="AQ138" s="100"/>
    </row>
    <row r="139" spans="1:43" ht="15">
      <c r="A139" s="112"/>
      <c r="B139" s="101"/>
      <c r="G139" s="5" t="str">
        <f ca="1">IFERROR(__xludf.DUMMYFUNCTION("IFERROR(VLOOKUP(F162,IMPORTRANGE(""https://docs.google.com/spreadsheets/d/1Kvs4KS76FHFqLFIZfrDMff4kP08nblUkihrxltoGBjg/edit#gid=934712705"",""ESENCIAL!A6:BG""),3,FALSE))"),"")</f>
        <v/>
      </c>
      <c r="H139" s="5" t="str">
        <f ca="1">IFERROR(__xludf.DUMMYFUNCTION("IFERROR(VLOOKUP(F162,IMPORTRANGE(""https://docs.google.com/spreadsheets/d/1Kvs4KS76FHFqLFIZfrDMff4kP08nblUkihrxltoGBjg/edit#gid=934712705"",""ESENCIAL!A6:BG""),8,FALSE))"),"")</f>
        <v/>
      </c>
      <c r="L139" s="287"/>
      <c r="Z139" s="41" t="str">
        <f t="shared" si="12"/>
        <v/>
      </c>
      <c r="AA139" s="5" t="str">
        <f ca="1">IFERROR(__xludf.DUMMYFUNCTION("IFERROR(VLOOKUP(E162&amp;F162,IMPORTRANGE(""https://docs.google.com/spreadsheets/d/1Uw7-A9f9R21vMXxHZFNpYNeKFtG8_yji4HS352LGlSQ/edit?pli=1#gid=0"",""1_ACUM!A4:S""),11,FALSE))"),"")</f>
        <v/>
      </c>
      <c r="AB139" s="42" t="str">
        <f ca="1">IFERROR(__xludf.DUMMYFUNCTION("IFERROR(VLOOKUP(F162,IMPORTRANGE(""https://docs.google.com/spreadsheets/d/1Kvs4KS76FHFqLFIZfrDMff4kP08nblUkihrxltoGBjg/edit#gid=934712705"",""ESENCIAL!A6:BG""),15,FALSE))"),"")</f>
        <v/>
      </c>
      <c r="AC139" s="110" t="str">
        <f ca="1">IFERROR(__xludf.DUMMYFUNCTION("IFERROR(VLOOKUP(E162&amp;F162,IMPORTRANGE(""https://docs.google.com/spreadsheets/d/1Uw7-A9f9R21vMXxHZFNpYNeKFtG8_yji4HS352LGlSQ/edit?pli=1#gid=0"",""1_ACUM!A4:S""),13,FALSE))"),"")</f>
        <v/>
      </c>
      <c r="AD139" s="43" t="str">
        <f ca="1">IFERROR(__xludf.DUMMYFUNCTION("IFERROR(VLOOKUP(E162&amp;F162,IMPORTRANGE(""https://docs.google.com/spreadsheets/d/1Uw7-A9f9R21vMXxHZFNpYNeKFtG8_yji4HS352LGlSQ/edit?pli=1#gid=0"",""1_ACUM!A4:S""),13,FALSE))"),"")</f>
        <v/>
      </c>
      <c r="AE139" s="43" t="str">
        <f ca="1">IFERROR(__xludf.DUMMYFUNCTION("IFERROR(VLOOKUP(E162&amp;F162,IMPORTRANGE(""https://docs.google.com/spreadsheets/d/1Uw7-A9f9R21vMXxHZFNpYNeKFtG8_yji4HS352LGlSQ/edit?pli=1#gid=0"",""1_ACUM!A4:S""),14,FALSE))"),"")</f>
        <v/>
      </c>
      <c r="AF139" s="43" t="str">
        <f ca="1">IFERROR(__xludf.DUMMYFUNCTION("IFERROR(VLOOKUP(E162&amp;F162,IMPORTRANGE(""https://docs.google.com/spreadsheets/d/1Uw7-A9f9R21vMXxHZFNpYNeKFtG8_yji4HS352LGlSQ/edit?pli=1#gid=0"",""1_ACUM!A4:S""),15,FALSE))"),"")</f>
        <v/>
      </c>
      <c r="AG139" s="43" t="str">
        <f ca="1">IFERROR(__xludf.DUMMYFUNCTION("IFERROR(VLOOKUP(E162&amp;F162,IMPORTRANGE(""https://docs.google.com/spreadsheets/d/1Uw7-A9f9R21vMXxHZFNpYNeKFtG8_yji4HS352LGlSQ/edit?pli=1#gid=0"",""1_ACUM!A4:S""),16,FALSE))"),"")</f>
        <v/>
      </c>
      <c r="AH139" s="43" t="str">
        <f ca="1">IFERROR(__xludf.DUMMYFUNCTION("IFERROR(VLOOKUP(E162&amp;F162,IMPORTRANGE(""https://docs.google.com/spreadsheets/d/1Uw7-A9f9R21vMXxHZFNpYNeKFtG8_yji4HS352LGlSQ/edit?pli=1#gid=0"",""1_ACUM!A4:S""),17,FALSE))"),"")</f>
        <v/>
      </c>
      <c r="AI139" s="44" t="str">
        <f ca="1">IFERROR(__xludf.DUMMYFUNCTION("IFERROR(VLOOKUP(E162&amp;F162,IMPORTRANGE(""https://docs.google.com/spreadsheets/d/1Uw7-A9f9R21vMXxHZFNpYNeKFtG8_yji4HS352LGlSQ/edit?pli=1#gid=0"",""1_ACUM!A4:S""),18,FALSE))"),"")</f>
        <v/>
      </c>
      <c r="AJ139" s="44" t="str">
        <f ca="1">IFERROR(__xludf.DUMMYFUNCTION("IFERROR(VLOOKUP(E162&amp;F162,IMPORTRANGE(""https://docs.google.com/spreadsheets/d/1Uw7-A9f9R21vMXxHZFNpYNeKFtG8_yji4HS352LGlSQ/edit?pli=1#gid=0"",""1_ACUM!A4:S""),19,FALSE))"),"")</f>
        <v/>
      </c>
      <c r="AK139" s="98" t="str">
        <f ca="1">IFERROR(__xludf.DUMMYFUNCTION("IFERROR(VLOOKUP(F162,IMPORTRANGE(""https://docs.google.com/spreadsheets/d/1Kvs4KS76FHFqLFIZfrDMff4kP08nblUkihrxltoGBjg/edit#gid=934712705"",""ESENCIAL!A6:BG""),5,FALSE))"),"")</f>
        <v/>
      </c>
      <c r="AL139" s="98" t="str">
        <f t="shared" si="13"/>
        <v/>
      </c>
      <c r="AM139" s="99" t="str">
        <f t="shared" si="14"/>
        <v/>
      </c>
      <c r="AN139" s="100" t="str">
        <f ca="1">IFERROR(__xludf.DUMMYFUNCTION("IFERROR(VLOOKUP(F162,IMPORTRANGE(""https://docs.google.com/spreadsheets/d/1Kvs4KS76FHFqLFIZfrDMff4kP08nblUkihrxltoGBjg/edit#gid=934712705"",""ESENCIAL!A6:BG""),2,FALSE))"),"")</f>
        <v/>
      </c>
      <c r="AO139" s="19" t="str">
        <f t="shared" si="15"/>
        <v/>
      </c>
      <c r="AP139" s="100"/>
      <c r="AQ139" s="100"/>
    </row>
    <row r="140" spans="1:43" ht="15">
      <c r="A140" s="101"/>
      <c r="B140" s="101"/>
      <c r="G140" s="5" t="str">
        <f ca="1">IFERROR(__xludf.DUMMYFUNCTION("IFERROR(VLOOKUP(F163,IMPORTRANGE(""https://docs.google.com/spreadsheets/d/1Kvs4KS76FHFqLFIZfrDMff4kP08nblUkihrxltoGBjg/edit#gid=934712705"",""ESENCIAL!A6:BG""),3,FALSE))"),"")</f>
        <v/>
      </c>
      <c r="H140" s="5" t="str">
        <f ca="1">IFERROR(__xludf.DUMMYFUNCTION("IFERROR(VLOOKUP(F163,IMPORTRANGE(""https://docs.google.com/spreadsheets/d/1Kvs4KS76FHFqLFIZfrDMff4kP08nblUkihrxltoGBjg/edit#gid=934712705"",""ESENCIAL!A6:BG""),8,FALSE))"),"")</f>
        <v/>
      </c>
      <c r="L140" s="287"/>
      <c r="Z140" s="41" t="str">
        <f t="shared" si="12"/>
        <v/>
      </c>
      <c r="AA140" s="5" t="str">
        <f ca="1">IFERROR(__xludf.DUMMYFUNCTION("IFERROR(VLOOKUP(E163&amp;F163,IMPORTRANGE(""https://docs.google.com/spreadsheets/d/1Uw7-A9f9R21vMXxHZFNpYNeKFtG8_yji4HS352LGlSQ/edit?pli=1#gid=0"",""1_ACUM!A4:S""),11,FALSE))"),"")</f>
        <v/>
      </c>
      <c r="AB140" s="42" t="str">
        <f ca="1">IFERROR(__xludf.DUMMYFUNCTION("IFERROR(VLOOKUP(F163,IMPORTRANGE(""https://docs.google.com/spreadsheets/d/1Kvs4KS76FHFqLFIZfrDMff4kP08nblUkihrxltoGBjg/edit#gid=934712705"",""ESENCIAL!A6:BG""),15,FALSE))"),"")</f>
        <v/>
      </c>
      <c r="AC140" s="110" t="str">
        <f ca="1">IFERROR(__xludf.DUMMYFUNCTION("IFERROR(VLOOKUP(E163&amp;F163,IMPORTRANGE(""https://docs.google.com/spreadsheets/d/1Uw7-A9f9R21vMXxHZFNpYNeKFtG8_yji4HS352LGlSQ/edit?pli=1#gid=0"",""1_ACUM!A4:S""),13,FALSE))"),"")</f>
        <v/>
      </c>
      <c r="AD140" s="43" t="str">
        <f ca="1">IFERROR(__xludf.DUMMYFUNCTION("IFERROR(VLOOKUP(E163&amp;F163,IMPORTRANGE(""https://docs.google.com/spreadsheets/d/1Uw7-A9f9R21vMXxHZFNpYNeKFtG8_yji4HS352LGlSQ/edit?pli=1#gid=0"",""1_ACUM!A4:S""),13,FALSE))"),"")</f>
        <v/>
      </c>
      <c r="AE140" s="43" t="str">
        <f ca="1">IFERROR(__xludf.DUMMYFUNCTION("IFERROR(VLOOKUP(E163&amp;F163,IMPORTRANGE(""https://docs.google.com/spreadsheets/d/1Uw7-A9f9R21vMXxHZFNpYNeKFtG8_yji4HS352LGlSQ/edit?pli=1#gid=0"",""1_ACUM!A4:S""),14,FALSE))"),"")</f>
        <v/>
      </c>
      <c r="AF140" s="43" t="str">
        <f ca="1">IFERROR(__xludf.DUMMYFUNCTION("IFERROR(VLOOKUP(E163&amp;F163,IMPORTRANGE(""https://docs.google.com/spreadsheets/d/1Uw7-A9f9R21vMXxHZFNpYNeKFtG8_yji4HS352LGlSQ/edit?pli=1#gid=0"",""1_ACUM!A4:S""),15,FALSE))"),"")</f>
        <v/>
      </c>
      <c r="AG140" s="43" t="str">
        <f ca="1">IFERROR(__xludf.DUMMYFUNCTION("IFERROR(VLOOKUP(E163&amp;F163,IMPORTRANGE(""https://docs.google.com/spreadsheets/d/1Uw7-A9f9R21vMXxHZFNpYNeKFtG8_yji4HS352LGlSQ/edit?pli=1#gid=0"",""1_ACUM!A4:S""),16,FALSE))"),"")</f>
        <v/>
      </c>
      <c r="AH140" s="43" t="str">
        <f ca="1">IFERROR(__xludf.DUMMYFUNCTION("IFERROR(VLOOKUP(E163&amp;F163,IMPORTRANGE(""https://docs.google.com/spreadsheets/d/1Uw7-A9f9R21vMXxHZFNpYNeKFtG8_yji4HS352LGlSQ/edit?pli=1#gid=0"",""1_ACUM!A4:S""),17,FALSE))"),"")</f>
        <v/>
      </c>
      <c r="AI140" s="44" t="str">
        <f ca="1">IFERROR(__xludf.DUMMYFUNCTION("IFERROR(VLOOKUP(E163&amp;F163,IMPORTRANGE(""https://docs.google.com/spreadsheets/d/1Uw7-A9f9R21vMXxHZFNpYNeKFtG8_yji4HS352LGlSQ/edit?pli=1#gid=0"",""1_ACUM!A4:S""),18,FALSE))"),"")</f>
        <v/>
      </c>
      <c r="AJ140" s="44" t="str">
        <f ca="1">IFERROR(__xludf.DUMMYFUNCTION("IFERROR(VLOOKUP(E163&amp;F163,IMPORTRANGE(""https://docs.google.com/spreadsheets/d/1Uw7-A9f9R21vMXxHZFNpYNeKFtG8_yji4HS352LGlSQ/edit?pli=1#gid=0"",""1_ACUM!A4:S""),19,FALSE))"),"")</f>
        <v/>
      </c>
      <c r="AK140" s="98" t="str">
        <f ca="1">IFERROR(__xludf.DUMMYFUNCTION("IFERROR(VLOOKUP(F163,IMPORTRANGE(""https://docs.google.com/spreadsheets/d/1Kvs4KS76FHFqLFIZfrDMff4kP08nblUkihrxltoGBjg/edit#gid=934712705"",""ESENCIAL!A6:BG""),5,FALSE))"),"")</f>
        <v/>
      </c>
      <c r="AL140" s="98" t="str">
        <f t="shared" si="13"/>
        <v/>
      </c>
      <c r="AM140" s="99" t="str">
        <f t="shared" si="14"/>
        <v/>
      </c>
      <c r="AN140" s="100" t="str">
        <f ca="1">IFERROR(__xludf.DUMMYFUNCTION("IFERROR(VLOOKUP(F163,IMPORTRANGE(""https://docs.google.com/spreadsheets/d/1Kvs4KS76FHFqLFIZfrDMff4kP08nblUkihrxltoGBjg/edit#gid=934712705"",""ESENCIAL!A6:BG""),2,FALSE))"),"")</f>
        <v/>
      </c>
      <c r="AO140" s="19" t="str">
        <f t="shared" si="15"/>
        <v/>
      </c>
      <c r="AP140" s="100"/>
      <c r="AQ140" s="100"/>
    </row>
    <row r="141" spans="1:43" ht="15">
      <c r="A141" s="101"/>
      <c r="B141" s="101"/>
      <c r="G141" s="5" t="str">
        <f ca="1">IFERROR(__xludf.DUMMYFUNCTION("IFERROR(VLOOKUP(F164,IMPORTRANGE(""https://docs.google.com/spreadsheets/d/1Kvs4KS76FHFqLFIZfrDMff4kP08nblUkihrxltoGBjg/edit#gid=934712705"",""ESENCIAL!A6:BG""),3,FALSE))"),"")</f>
        <v/>
      </c>
      <c r="H141" s="5" t="str">
        <f ca="1">IFERROR(__xludf.DUMMYFUNCTION("IFERROR(VLOOKUP(F164,IMPORTRANGE(""https://docs.google.com/spreadsheets/d/1Kvs4KS76FHFqLFIZfrDMff4kP08nblUkihrxltoGBjg/edit#gid=934712705"",""ESENCIAL!A6:BG""),8,FALSE))"),"")</f>
        <v/>
      </c>
      <c r="L141" s="287"/>
      <c r="Z141" s="41" t="str">
        <f t="shared" si="12"/>
        <v/>
      </c>
      <c r="AA141" s="5" t="str">
        <f ca="1">IFERROR(__xludf.DUMMYFUNCTION("IFERROR(VLOOKUP(E164&amp;F164,IMPORTRANGE(""https://docs.google.com/spreadsheets/d/1Uw7-A9f9R21vMXxHZFNpYNeKFtG8_yji4HS352LGlSQ/edit?pli=1#gid=0"",""1_ACUM!A4:S""),11,FALSE))"),"")</f>
        <v/>
      </c>
      <c r="AB141" s="42" t="str">
        <f ca="1">IFERROR(__xludf.DUMMYFUNCTION("IFERROR(VLOOKUP(F164,IMPORTRANGE(""https://docs.google.com/spreadsheets/d/1Kvs4KS76FHFqLFIZfrDMff4kP08nblUkihrxltoGBjg/edit#gid=934712705"",""ESENCIAL!A6:BG""),15,FALSE))"),"")</f>
        <v/>
      </c>
      <c r="AC141" s="110" t="str">
        <f ca="1">IFERROR(__xludf.DUMMYFUNCTION("IFERROR(VLOOKUP(E164&amp;F164,IMPORTRANGE(""https://docs.google.com/spreadsheets/d/1Uw7-A9f9R21vMXxHZFNpYNeKFtG8_yji4HS352LGlSQ/edit?pli=1#gid=0"",""1_ACUM!A4:S""),13,FALSE))"),"")</f>
        <v/>
      </c>
      <c r="AD141" s="43" t="str">
        <f ca="1">IFERROR(__xludf.DUMMYFUNCTION("IFERROR(VLOOKUP(E164&amp;F164,IMPORTRANGE(""https://docs.google.com/spreadsheets/d/1Uw7-A9f9R21vMXxHZFNpYNeKFtG8_yji4HS352LGlSQ/edit?pli=1#gid=0"",""1_ACUM!A4:S""),13,FALSE))"),"")</f>
        <v/>
      </c>
      <c r="AE141" s="43" t="str">
        <f ca="1">IFERROR(__xludf.DUMMYFUNCTION("IFERROR(VLOOKUP(E164&amp;F164,IMPORTRANGE(""https://docs.google.com/spreadsheets/d/1Uw7-A9f9R21vMXxHZFNpYNeKFtG8_yji4HS352LGlSQ/edit?pli=1#gid=0"",""1_ACUM!A4:S""),14,FALSE))"),"")</f>
        <v/>
      </c>
      <c r="AF141" s="43" t="str">
        <f ca="1">IFERROR(__xludf.DUMMYFUNCTION("IFERROR(VLOOKUP(E164&amp;F164,IMPORTRANGE(""https://docs.google.com/spreadsheets/d/1Uw7-A9f9R21vMXxHZFNpYNeKFtG8_yji4HS352LGlSQ/edit?pli=1#gid=0"",""1_ACUM!A4:S""),15,FALSE))"),"")</f>
        <v/>
      </c>
      <c r="AG141" s="43" t="str">
        <f ca="1">IFERROR(__xludf.DUMMYFUNCTION("IFERROR(VLOOKUP(E164&amp;F164,IMPORTRANGE(""https://docs.google.com/spreadsheets/d/1Uw7-A9f9R21vMXxHZFNpYNeKFtG8_yji4HS352LGlSQ/edit?pli=1#gid=0"",""1_ACUM!A4:S""),16,FALSE))"),"")</f>
        <v/>
      </c>
      <c r="AH141" s="43" t="str">
        <f ca="1">IFERROR(__xludf.DUMMYFUNCTION("IFERROR(VLOOKUP(E164&amp;F164,IMPORTRANGE(""https://docs.google.com/spreadsheets/d/1Uw7-A9f9R21vMXxHZFNpYNeKFtG8_yji4HS352LGlSQ/edit?pli=1#gid=0"",""1_ACUM!A4:S""),17,FALSE))"),"")</f>
        <v/>
      </c>
      <c r="AI141" s="44" t="str">
        <f ca="1">IFERROR(__xludf.DUMMYFUNCTION("IFERROR(VLOOKUP(E164&amp;F164,IMPORTRANGE(""https://docs.google.com/spreadsheets/d/1Uw7-A9f9R21vMXxHZFNpYNeKFtG8_yji4HS352LGlSQ/edit?pli=1#gid=0"",""1_ACUM!A4:S""),18,FALSE))"),"")</f>
        <v/>
      </c>
      <c r="AJ141" s="44" t="str">
        <f ca="1">IFERROR(__xludf.DUMMYFUNCTION("IFERROR(VLOOKUP(E164&amp;F164,IMPORTRANGE(""https://docs.google.com/spreadsheets/d/1Uw7-A9f9R21vMXxHZFNpYNeKFtG8_yji4HS352LGlSQ/edit?pli=1#gid=0"",""1_ACUM!A4:S""),19,FALSE))"),"")</f>
        <v/>
      </c>
      <c r="AK141" s="98" t="str">
        <f ca="1">IFERROR(__xludf.DUMMYFUNCTION("IFERROR(VLOOKUP(F164,IMPORTRANGE(""https://docs.google.com/spreadsheets/d/1Kvs4KS76FHFqLFIZfrDMff4kP08nblUkihrxltoGBjg/edit#gid=934712705"",""ESENCIAL!A6:BG""),5,FALSE))"),"")</f>
        <v/>
      </c>
      <c r="AL141" s="98" t="str">
        <f t="shared" si="13"/>
        <v/>
      </c>
      <c r="AM141" s="99" t="str">
        <f t="shared" si="14"/>
        <v/>
      </c>
      <c r="AN141" s="100" t="str">
        <f ca="1">IFERROR(__xludf.DUMMYFUNCTION("IFERROR(VLOOKUP(F164,IMPORTRANGE(""https://docs.google.com/spreadsheets/d/1Kvs4KS76FHFqLFIZfrDMff4kP08nblUkihrxltoGBjg/edit#gid=934712705"",""ESENCIAL!A6:BG""),2,FALSE))"),"")</f>
        <v/>
      </c>
      <c r="AO141" s="19" t="str">
        <f t="shared" si="15"/>
        <v/>
      </c>
      <c r="AP141" s="100"/>
      <c r="AQ141" s="100"/>
    </row>
    <row r="142" spans="1:43" ht="15">
      <c r="A142" s="101"/>
      <c r="B142" s="101"/>
      <c r="G142" s="5" t="str">
        <f ca="1">IFERROR(__xludf.DUMMYFUNCTION("IFERROR(VLOOKUP(F165,IMPORTRANGE(""https://docs.google.com/spreadsheets/d/1Kvs4KS76FHFqLFIZfrDMff4kP08nblUkihrxltoGBjg/edit#gid=934712705"",""ESENCIAL!A6:BG""),3,FALSE))"),"")</f>
        <v/>
      </c>
      <c r="H142" s="5" t="str">
        <f ca="1">IFERROR(__xludf.DUMMYFUNCTION("IFERROR(VLOOKUP(F165,IMPORTRANGE(""https://docs.google.com/spreadsheets/d/1Kvs4KS76FHFqLFIZfrDMff4kP08nblUkihrxltoGBjg/edit#gid=934712705"",""ESENCIAL!A6:BG""),8,FALSE))"),"")</f>
        <v/>
      </c>
      <c r="L142" s="287"/>
      <c r="Z142" s="41" t="str">
        <f t="shared" si="12"/>
        <v/>
      </c>
      <c r="AA142" s="5" t="str">
        <f ca="1">IFERROR(__xludf.DUMMYFUNCTION("IFERROR(VLOOKUP(E165&amp;F165,IMPORTRANGE(""https://docs.google.com/spreadsheets/d/1Uw7-A9f9R21vMXxHZFNpYNeKFtG8_yji4HS352LGlSQ/edit?pli=1#gid=0"",""1_ACUM!A4:S""),11,FALSE))"),"")</f>
        <v/>
      </c>
      <c r="AB142" s="42" t="str">
        <f ca="1">IFERROR(__xludf.DUMMYFUNCTION("IFERROR(VLOOKUP(F165,IMPORTRANGE(""https://docs.google.com/spreadsheets/d/1Kvs4KS76FHFqLFIZfrDMff4kP08nblUkihrxltoGBjg/edit#gid=934712705"",""ESENCIAL!A6:BG""),15,FALSE))"),"")</f>
        <v/>
      </c>
      <c r="AC142" s="110" t="str">
        <f ca="1">IFERROR(__xludf.DUMMYFUNCTION("IFERROR(VLOOKUP(E165&amp;F165,IMPORTRANGE(""https://docs.google.com/spreadsheets/d/1Uw7-A9f9R21vMXxHZFNpYNeKFtG8_yji4HS352LGlSQ/edit?pli=1#gid=0"",""1_ACUM!A4:S""),13,FALSE))"),"")</f>
        <v/>
      </c>
      <c r="AD142" s="43" t="str">
        <f ca="1">IFERROR(__xludf.DUMMYFUNCTION("IFERROR(VLOOKUP(E165&amp;F165,IMPORTRANGE(""https://docs.google.com/spreadsheets/d/1Uw7-A9f9R21vMXxHZFNpYNeKFtG8_yji4HS352LGlSQ/edit?pli=1#gid=0"",""1_ACUM!A4:S""),13,FALSE))"),"")</f>
        <v/>
      </c>
      <c r="AE142" s="43" t="str">
        <f ca="1">IFERROR(__xludf.DUMMYFUNCTION("IFERROR(VLOOKUP(E165&amp;F165,IMPORTRANGE(""https://docs.google.com/spreadsheets/d/1Uw7-A9f9R21vMXxHZFNpYNeKFtG8_yji4HS352LGlSQ/edit?pli=1#gid=0"",""1_ACUM!A4:S""),14,FALSE))"),"")</f>
        <v/>
      </c>
      <c r="AF142" s="43" t="str">
        <f ca="1">IFERROR(__xludf.DUMMYFUNCTION("IFERROR(VLOOKUP(E165&amp;F165,IMPORTRANGE(""https://docs.google.com/spreadsheets/d/1Uw7-A9f9R21vMXxHZFNpYNeKFtG8_yji4HS352LGlSQ/edit?pli=1#gid=0"",""1_ACUM!A4:S""),15,FALSE))"),"")</f>
        <v/>
      </c>
      <c r="AG142" s="43" t="str">
        <f ca="1">IFERROR(__xludf.DUMMYFUNCTION("IFERROR(VLOOKUP(E165&amp;F165,IMPORTRANGE(""https://docs.google.com/spreadsheets/d/1Uw7-A9f9R21vMXxHZFNpYNeKFtG8_yji4HS352LGlSQ/edit?pli=1#gid=0"",""1_ACUM!A4:S""),16,FALSE))"),"")</f>
        <v/>
      </c>
      <c r="AH142" s="43" t="str">
        <f ca="1">IFERROR(__xludf.DUMMYFUNCTION("IFERROR(VLOOKUP(E165&amp;F165,IMPORTRANGE(""https://docs.google.com/spreadsheets/d/1Uw7-A9f9R21vMXxHZFNpYNeKFtG8_yji4HS352LGlSQ/edit?pli=1#gid=0"",""1_ACUM!A4:S""),17,FALSE))"),"")</f>
        <v/>
      </c>
      <c r="AI142" s="44" t="str">
        <f ca="1">IFERROR(__xludf.DUMMYFUNCTION("IFERROR(VLOOKUP(E165&amp;F165,IMPORTRANGE(""https://docs.google.com/spreadsheets/d/1Uw7-A9f9R21vMXxHZFNpYNeKFtG8_yji4HS352LGlSQ/edit?pli=1#gid=0"",""1_ACUM!A4:S""),18,FALSE))"),"")</f>
        <v/>
      </c>
      <c r="AJ142" s="44" t="str">
        <f ca="1">IFERROR(__xludf.DUMMYFUNCTION("IFERROR(VLOOKUP(E165&amp;F165,IMPORTRANGE(""https://docs.google.com/spreadsheets/d/1Uw7-A9f9R21vMXxHZFNpYNeKFtG8_yji4HS352LGlSQ/edit?pli=1#gid=0"",""1_ACUM!A4:S""),19,FALSE))"),"")</f>
        <v/>
      </c>
      <c r="AK142" s="98" t="str">
        <f ca="1">IFERROR(__xludf.DUMMYFUNCTION("IFERROR(VLOOKUP(F165,IMPORTRANGE(""https://docs.google.com/spreadsheets/d/1Kvs4KS76FHFqLFIZfrDMff4kP08nblUkihrxltoGBjg/edit#gid=934712705"",""ESENCIAL!A6:BG""),5,FALSE))"),"")</f>
        <v/>
      </c>
      <c r="AL142" s="98" t="str">
        <f t="shared" si="13"/>
        <v/>
      </c>
      <c r="AM142" s="99" t="str">
        <f t="shared" si="14"/>
        <v/>
      </c>
      <c r="AN142" s="100" t="str">
        <f ca="1">IFERROR(__xludf.DUMMYFUNCTION("IFERROR(VLOOKUP(F165,IMPORTRANGE(""https://docs.google.com/spreadsheets/d/1Kvs4KS76FHFqLFIZfrDMff4kP08nblUkihrxltoGBjg/edit#gid=934712705"",""ESENCIAL!A6:BG""),2,FALSE))"),"")</f>
        <v/>
      </c>
      <c r="AO142" s="19" t="str">
        <f t="shared" si="15"/>
        <v/>
      </c>
      <c r="AP142" s="100"/>
      <c r="AQ142" s="100"/>
    </row>
    <row r="143" spans="1:43" ht="15">
      <c r="A143" s="101"/>
      <c r="B143" s="101"/>
      <c r="G143" s="5" t="str">
        <f ca="1">IFERROR(__xludf.DUMMYFUNCTION("IFERROR(VLOOKUP(F166,IMPORTRANGE(""https://docs.google.com/spreadsheets/d/1Kvs4KS76FHFqLFIZfrDMff4kP08nblUkihrxltoGBjg/edit#gid=934712705"",""ESENCIAL!A6:BG""),3,FALSE))"),"")</f>
        <v/>
      </c>
      <c r="H143" s="5" t="str">
        <f ca="1">IFERROR(__xludf.DUMMYFUNCTION("IFERROR(VLOOKUP(F166,IMPORTRANGE(""https://docs.google.com/spreadsheets/d/1Kvs4KS76FHFqLFIZfrDMff4kP08nblUkihrxltoGBjg/edit#gid=934712705"",""ESENCIAL!A6:BG""),8,FALSE))"),"")</f>
        <v/>
      </c>
      <c r="L143" s="287"/>
      <c r="Z143" s="41" t="str">
        <f t="shared" si="12"/>
        <v/>
      </c>
      <c r="AA143" s="5" t="str">
        <f ca="1">IFERROR(__xludf.DUMMYFUNCTION("IFERROR(VLOOKUP(E166&amp;F166,IMPORTRANGE(""https://docs.google.com/spreadsheets/d/1Uw7-A9f9R21vMXxHZFNpYNeKFtG8_yji4HS352LGlSQ/edit?pli=1#gid=0"",""1_ACUM!A4:S""),11,FALSE))"),"")</f>
        <v/>
      </c>
      <c r="AB143" s="42" t="str">
        <f ca="1">IFERROR(__xludf.DUMMYFUNCTION("IFERROR(VLOOKUP(F166,IMPORTRANGE(""https://docs.google.com/spreadsheets/d/1Kvs4KS76FHFqLFIZfrDMff4kP08nblUkihrxltoGBjg/edit#gid=934712705"",""ESENCIAL!A6:BG""),15,FALSE))"),"")</f>
        <v/>
      </c>
      <c r="AC143" s="110" t="str">
        <f ca="1">IFERROR(__xludf.DUMMYFUNCTION("IFERROR(VLOOKUP(E166&amp;F166,IMPORTRANGE(""https://docs.google.com/spreadsheets/d/1Uw7-A9f9R21vMXxHZFNpYNeKFtG8_yji4HS352LGlSQ/edit?pli=1#gid=0"",""1_ACUM!A4:S""),13,FALSE))"),"")</f>
        <v/>
      </c>
      <c r="AD143" s="43" t="str">
        <f ca="1">IFERROR(__xludf.DUMMYFUNCTION("IFERROR(VLOOKUP(E166&amp;F166,IMPORTRANGE(""https://docs.google.com/spreadsheets/d/1Uw7-A9f9R21vMXxHZFNpYNeKFtG8_yji4HS352LGlSQ/edit?pli=1#gid=0"",""1_ACUM!A4:S""),13,FALSE))"),"")</f>
        <v/>
      </c>
      <c r="AE143" s="43" t="str">
        <f ca="1">IFERROR(__xludf.DUMMYFUNCTION("IFERROR(VLOOKUP(E166&amp;F166,IMPORTRANGE(""https://docs.google.com/spreadsheets/d/1Uw7-A9f9R21vMXxHZFNpYNeKFtG8_yji4HS352LGlSQ/edit?pli=1#gid=0"",""1_ACUM!A4:S""),14,FALSE))"),"")</f>
        <v/>
      </c>
      <c r="AF143" s="43" t="str">
        <f ca="1">IFERROR(__xludf.DUMMYFUNCTION("IFERROR(VLOOKUP(E166&amp;F166,IMPORTRANGE(""https://docs.google.com/spreadsheets/d/1Uw7-A9f9R21vMXxHZFNpYNeKFtG8_yji4HS352LGlSQ/edit?pli=1#gid=0"",""1_ACUM!A4:S""),15,FALSE))"),"")</f>
        <v/>
      </c>
      <c r="AG143" s="43" t="str">
        <f ca="1">IFERROR(__xludf.DUMMYFUNCTION("IFERROR(VLOOKUP(E166&amp;F166,IMPORTRANGE(""https://docs.google.com/spreadsheets/d/1Uw7-A9f9R21vMXxHZFNpYNeKFtG8_yji4HS352LGlSQ/edit?pli=1#gid=0"",""1_ACUM!A4:S""),16,FALSE))"),"")</f>
        <v/>
      </c>
      <c r="AH143" s="43" t="str">
        <f ca="1">IFERROR(__xludf.DUMMYFUNCTION("IFERROR(VLOOKUP(E166&amp;F166,IMPORTRANGE(""https://docs.google.com/spreadsheets/d/1Uw7-A9f9R21vMXxHZFNpYNeKFtG8_yji4HS352LGlSQ/edit?pli=1#gid=0"",""1_ACUM!A4:S""),17,FALSE))"),"")</f>
        <v/>
      </c>
      <c r="AI143" s="44" t="str">
        <f ca="1">IFERROR(__xludf.DUMMYFUNCTION("IFERROR(VLOOKUP(E166&amp;F166,IMPORTRANGE(""https://docs.google.com/spreadsheets/d/1Uw7-A9f9R21vMXxHZFNpYNeKFtG8_yji4HS352LGlSQ/edit?pli=1#gid=0"",""1_ACUM!A4:S""),18,FALSE))"),"")</f>
        <v/>
      </c>
      <c r="AJ143" s="44" t="str">
        <f ca="1">IFERROR(__xludf.DUMMYFUNCTION("IFERROR(VLOOKUP(E166&amp;F166,IMPORTRANGE(""https://docs.google.com/spreadsheets/d/1Uw7-A9f9R21vMXxHZFNpYNeKFtG8_yji4HS352LGlSQ/edit?pli=1#gid=0"",""1_ACUM!A4:S""),19,FALSE))"),"")</f>
        <v/>
      </c>
      <c r="AK143" s="98" t="str">
        <f ca="1">IFERROR(__xludf.DUMMYFUNCTION("IFERROR(VLOOKUP(F166,IMPORTRANGE(""https://docs.google.com/spreadsheets/d/1Kvs4KS76FHFqLFIZfrDMff4kP08nblUkihrxltoGBjg/edit#gid=934712705"",""ESENCIAL!A6:BG""),5,FALSE))"),"")</f>
        <v/>
      </c>
      <c r="AL143" s="98" t="str">
        <f t="shared" si="13"/>
        <v/>
      </c>
      <c r="AM143" s="99" t="str">
        <f t="shared" si="14"/>
        <v/>
      </c>
      <c r="AN143" s="100" t="str">
        <f ca="1">IFERROR(__xludf.DUMMYFUNCTION("IFERROR(VLOOKUP(F166,IMPORTRANGE(""https://docs.google.com/spreadsheets/d/1Kvs4KS76FHFqLFIZfrDMff4kP08nblUkihrxltoGBjg/edit#gid=934712705"",""ESENCIAL!A6:BG""),2,FALSE))"),"")</f>
        <v/>
      </c>
      <c r="AO143" s="19" t="str">
        <f t="shared" si="15"/>
        <v/>
      </c>
      <c r="AP143" s="100"/>
      <c r="AQ143" s="100"/>
    </row>
    <row r="144" spans="1:43" ht="15">
      <c r="A144" s="101"/>
      <c r="B144" s="101"/>
      <c r="G144" s="5" t="str">
        <f ca="1">IFERROR(__xludf.DUMMYFUNCTION("IFERROR(VLOOKUP(F167,IMPORTRANGE(""https://docs.google.com/spreadsheets/d/1Kvs4KS76FHFqLFIZfrDMff4kP08nblUkihrxltoGBjg/edit#gid=934712705"",""ESENCIAL!A6:BG""),3,FALSE))"),"")</f>
        <v/>
      </c>
      <c r="H144" s="5" t="str">
        <f ca="1">IFERROR(__xludf.DUMMYFUNCTION("IFERROR(VLOOKUP(F167,IMPORTRANGE(""https://docs.google.com/spreadsheets/d/1Kvs4KS76FHFqLFIZfrDMff4kP08nblUkihrxltoGBjg/edit#gid=934712705"",""ESENCIAL!A6:BG""),8,FALSE))"),"")</f>
        <v/>
      </c>
      <c r="L144" s="287"/>
      <c r="Z144" s="41" t="str">
        <f t="shared" si="12"/>
        <v/>
      </c>
      <c r="AA144" s="5" t="str">
        <f ca="1">IFERROR(__xludf.DUMMYFUNCTION("IFERROR(VLOOKUP(E167&amp;F167,IMPORTRANGE(""https://docs.google.com/spreadsheets/d/1Uw7-A9f9R21vMXxHZFNpYNeKFtG8_yji4HS352LGlSQ/edit?pli=1#gid=0"",""1_ACUM!A4:S""),11,FALSE))"),"")</f>
        <v/>
      </c>
      <c r="AB144" s="42" t="str">
        <f ca="1">IFERROR(__xludf.DUMMYFUNCTION("IFERROR(VLOOKUP(F167,IMPORTRANGE(""https://docs.google.com/spreadsheets/d/1Kvs4KS76FHFqLFIZfrDMff4kP08nblUkihrxltoGBjg/edit#gid=934712705"",""ESENCIAL!A6:BG""),15,FALSE))"),"")</f>
        <v/>
      </c>
      <c r="AC144" s="110" t="str">
        <f ca="1">IFERROR(__xludf.DUMMYFUNCTION("IFERROR(VLOOKUP(E167&amp;F167,IMPORTRANGE(""https://docs.google.com/spreadsheets/d/1Uw7-A9f9R21vMXxHZFNpYNeKFtG8_yji4HS352LGlSQ/edit?pli=1#gid=0"",""1_ACUM!A4:S""),13,FALSE))"),"")</f>
        <v/>
      </c>
      <c r="AD144" s="43" t="str">
        <f ca="1">IFERROR(__xludf.DUMMYFUNCTION("IFERROR(VLOOKUP(E167&amp;F167,IMPORTRANGE(""https://docs.google.com/spreadsheets/d/1Uw7-A9f9R21vMXxHZFNpYNeKFtG8_yji4HS352LGlSQ/edit?pli=1#gid=0"",""1_ACUM!A4:S""),13,FALSE))"),"")</f>
        <v/>
      </c>
      <c r="AE144" s="43" t="str">
        <f ca="1">IFERROR(__xludf.DUMMYFUNCTION("IFERROR(VLOOKUP(E167&amp;F167,IMPORTRANGE(""https://docs.google.com/spreadsheets/d/1Uw7-A9f9R21vMXxHZFNpYNeKFtG8_yji4HS352LGlSQ/edit?pli=1#gid=0"",""1_ACUM!A4:S""),14,FALSE))"),"")</f>
        <v/>
      </c>
      <c r="AF144" s="43" t="str">
        <f ca="1">IFERROR(__xludf.DUMMYFUNCTION("IFERROR(VLOOKUP(E167&amp;F167,IMPORTRANGE(""https://docs.google.com/spreadsheets/d/1Uw7-A9f9R21vMXxHZFNpYNeKFtG8_yji4HS352LGlSQ/edit?pli=1#gid=0"",""1_ACUM!A4:S""),15,FALSE))"),"")</f>
        <v/>
      </c>
      <c r="AG144" s="43" t="str">
        <f ca="1">IFERROR(__xludf.DUMMYFUNCTION("IFERROR(VLOOKUP(E167&amp;F167,IMPORTRANGE(""https://docs.google.com/spreadsheets/d/1Uw7-A9f9R21vMXxHZFNpYNeKFtG8_yji4HS352LGlSQ/edit?pli=1#gid=0"",""1_ACUM!A4:S""),16,FALSE))"),"")</f>
        <v/>
      </c>
      <c r="AH144" s="43" t="str">
        <f ca="1">IFERROR(__xludf.DUMMYFUNCTION("IFERROR(VLOOKUP(E167&amp;F167,IMPORTRANGE(""https://docs.google.com/spreadsheets/d/1Uw7-A9f9R21vMXxHZFNpYNeKFtG8_yji4HS352LGlSQ/edit?pli=1#gid=0"",""1_ACUM!A4:S""),17,FALSE))"),"")</f>
        <v/>
      </c>
      <c r="AI144" s="44" t="str">
        <f ca="1">IFERROR(__xludf.DUMMYFUNCTION("IFERROR(VLOOKUP(E167&amp;F167,IMPORTRANGE(""https://docs.google.com/spreadsheets/d/1Uw7-A9f9R21vMXxHZFNpYNeKFtG8_yji4HS352LGlSQ/edit?pli=1#gid=0"",""1_ACUM!A4:S""),18,FALSE))"),"")</f>
        <v/>
      </c>
      <c r="AJ144" s="44" t="str">
        <f ca="1">IFERROR(__xludf.DUMMYFUNCTION("IFERROR(VLOOKUP(E167&amp;F167,IMPORTRANGE(""https://docs.google.com/spreadsheets/d/1Uw7-A9f9R21vMXxHZFNpYNeKFtG8_yji4HS352LGlSQ/edit?pli=1#gid=0"",""1_ACUM!A4:S""),19,FALSE))"),"")</f>
        <v/>
      </c>
      <c r="AK144" s="98" t="str">
        <f ca="1">IFERROR(__xludf.DUMMYFUNCTION("IFERROR(VLOOKUP(F167,IMPORTRANGE(""https://docs.google.com/spreadsheets/d/1Kvs4KS76FHFqLFIZfrDMff4kP08nblUkihrxltoGBjg/edit#gid=934712705"",""ESENCIAL!A6:BG""),5,FALSE))"),"")</f>
        <v/>
      </c>
      <c r="AL144" s="98" t="str">
        <f t="shared" si="13"/>
        <v/>
      </c>
      <c r="AM144" s="99" t="str">
        <f t="shared" si="14"/>
        <v/>
      </c>
      <c r="AN144" s="100" t="str">
        <f ca="1">IFERROR(__xludf.DUMMYFUNCTION("IFERROR(VLOOKUP(F167,IMPORTRANGE(""https://docs.google.com/spreadsheets/d/1Kvs4KS76FHFqLFIZfrDMff4kP08nblUkihrxltoGBjg/edit#gid=934712705"",""ESENCIAL!A6:BG""),2,FALSE))"),"")</f>
        <v/>
      </c>
      <c r="AO144" s="19" t="str">
        <f t="shared" si="15"/>
        <v/>
      </c>
      <c r="AP144" s="100"/>
      <c r="AQ144" s="100"/>
    </row>
    <row r="145" spans="1:43" ht="15">
      <c r="A145" s="101"/>
      <c r="B145" s="101"/>
      <c r="G145" s="5" t="str">
        <f ca="1">IFERROR(__xludf.DUMMYFUNCTION("IFERROR(VLOOKUP(F168,IMPORTRANGE(""https://docs.google.com/spreadsheets/d/1Kvs4KS76FHFqLFIZfrDMff4kP08nblUkihrxltoGBjg/edit#gid=934712705"",""ESENCIAL!A6:BG""),3,FALSE))"),"")</f>
        <v/>
      </c>
      <c r="H145" s="5" t="str">
        <f ca="1">IFERROR(__xludf.DUMMYFUNCTION("IFERROR(VLOOKUP(F168,IMPORTRANGE(""https://docs.google.com/spreadsheets/d/1Kvs4KS76FHFqLFIZfrDMff4kP08nblUkihrxltoGBjg/edit#gid=934712705"",""ESENCIAL!A6:BG""),8,FALSE))"),"")</f>
        <v/>
      </c>
      <c r="L145" s="287"/>
      <c r="Z145" s="41" t="str">
        <f t="shared" si="12"/>
        <v/>
      </c>
      <c r="AA145" s="5" t="str">
        <f ca="1">IFERROR(__xludf.DUMMYFUNCTION("IFERROR(VLOOKUP(E168&amp;F168,IMPORTRANGE(""https://docs.google.com/spreadsheets/d/1Uw7-A9f9R21vMXxHZFNpYNeKFtG8_yji4HS352LGlSQ/edit?pli=1#gid=0"",""1_ACUM!A4:S""),11,FALSE))"),"")</f>
        <v/>
      </c>
      <c r="AB145" s="42" t="str">
        <f ca="1">IFERROR(__xludf.DUMMYFUNCTION("IFERROR(VLOOKUP(F168,IMPORTRANGE(""https://docs.google.com/spreadsheets/d/1Kvs4KS76FHFqLFIZfrDMff4kP08nblUkihrxltoGBjg/edit#gid=934712705"",""ESENCIAL!A6:BG""),15,FALSE))"),"")</f>
        <v/>
      </c>
      <c r="AC145" s="110" t="str">
        <f ca="1">IFERROR(__xludf.DUMMYFUNCTION("IFERROR(VLOOKUP(E168&amp;F168,IMPORTRANGE(""https://docs.google.com/spreadsheets/d/1Uw7-A9f9R21vMXxHZFNpYNeKFtG8_yji4HS352LGlSQ/edit?pli=1#gid=0"",""1_ACUM!A4:S""),13,FALSE))"),"")</f>
        <v/>
      </c>
      <c r="AD145" s="43" t="str">
        <f ca="1">IFERROR(__xludf.DUMMYFUNCTION("IFERROR(VLOOKUP(E168&amp;F168,IMPORTRANGE(""https://docs.google.com/spreadsheets/d/1Uw7-A9f9R21vMXxHZFNpYNeKFtG8_yji4HS352LGlSQ/edit?pli=1#gid=0"",""1_ACUM!A4:S""),13,FALSE))"),"")</f>
        <v/>
      </c>
      <c r="AE145" s="43" t="str">
        <f ca="1">IFERROR(__xludf.DUMMYFUNCTION("IFERROR(VLOOKUP(E168&amp;F168,IMPORTRANGE(""https://docs.google.com/spreadsheets/d/1Uw7-A9f9R21vMXxHZFNpYNeKFtG8_yji4HS352LGlSQ/edit?pli=1#gid=0"",""1_ACUM!A4:S""),14,FALSE))"),"")</f>
        <v/>
      </c>
      <c r="AF145" s="43" t="str">
        <f ca="1">IFERROR(__xludf.DUMMYFUNCTION("IFERROR(VLOOKUP(E168&amp;F168,IMPORTRANGE(""https://docs.google.com/spreadsheets/d/1Uw7-A9f9R21vMXxHZFNpYNeKFtG8_yji4HS352LGlSQ/edit?pli=1#gid=0"",""1_ACUM!A4:S""),15,FALSE))"),"")</f>
        <v/>
      </c>
      <c r="AG145" s="43" t="str">
        <f ca="1">IFERROR(__xludf.DUMMYFUNCTION("IFERROR(VLOOKUP(E168&amp;F168,IMPORTRANGE(""https://docs.google.com/spreadsheets/d/1Uw7-A9f9R21vMXxHZFNpYNeKFtG8_yji4HS352LGlSQ/edit?pli=1#gid=0"",""1_ACUM!A4:S""),16,FALSE))"),"")</f>
        <v/>
      </c>
      <c r="AH145" s="43" t="str">
        <f ca="1">IFERROR(__xludf.DUMMYFUNCTION("IFERROR(VLOOKUP(E168&amp;F168,IMPORTRANGE(""https://docs.google.com/spreadsheets/d/1Uw7-A9f9R21vMXxHZFNpYNeKFtG8_yji4HS352LGlSQ/edit?pli=1#gid=0"",""1_ACUM!A4:S""),17,FALSE))"),"")</f>
        <v/>
      </c>
      <c r="AI145" s="44" t="str">
        <f ca="1">IFERROR(__xludf.DUMMYFUNCTION("IFERROR(VLOOKUP(E168&amp;F168,IMPORTRANGE(""https://docs.google.com/spreadsheets/d/1Uw7-A9f9R21vMXxHZFNpYNeKFtG8_yji4HS352LGlSQ/edit?pli=1#gid=0"",""1_ACUM!A4:S""),18,FALSE))"),"")</f>
        <v/>
      </c>
      <c r="AJ145" s="44" t="str">
        <f ca="1">IFERROR(__xludf.DUMMYFUNCTION("IFERROR(VLOOKUP(E168&amp;F168,IMPORTRANGE(""https://docs.google.com/spreadsheets/d/1Uw7-A9f9R21vMXxHZFNpYNeKFtG8_yji4HS352LGlSQ/edit?pli=1#gid=0"",""1_ACUM!A4:S""),19,FALSE))"),"")</f>
        <v/>
      </c>
      <c r="AK145" s="98" t="str">
        <f ca="1">IFERROR(__xludf.DUMMYFUNCTION("IFERROR(VLOOKUP(F168,IMPORTRANGE(""https://docs.google.com/spreadsheets/d/1Kvs4KS76FHFqLFIZfrDMff4kP08nblUkihrxltoGBjg/edit#gid=934712705"",""ESENCIAL!A6:BG""),5,FALSE))"),"")</f>
        <v/>
      </c>
      <c r="AL145" s="98" t="str">
        <f t="shared" si="13"/>
        <v/>
      </c>
      <c r="AM145" s="99" t="str">
        <f t="shared" si="14"/>
        <v/>
      </c>
      <c r="AN145" s="100" t="str">
        <f ca="1">IFERROR(__xludf.DUMMYFUNCTION("IFERROR(VLOOKUP(F168,IMPORTRANGE(""https://docs.google.com/spreadsheets/d/1Kvs4KS76FHFqLFIZfrDMff4kP08nblUkihrxltoGBjg/edit#gid=934712705"",""ESENCIAL!A6:BG""),2,FALSE))"),"")</f>
        <v/>
      </c>
      <c r="AO145" s="19" t="str">
        <f t="shared" si="15"/>
        <v/>
      </c>
      <c r="AP145" s="100"/>
      <c r="AQ145" s="100"/>
    </row>
    <row r="146" spans="1:43" ht="15">
      <c r="A146" s="101"/>
      <c r="B146" s="101"/>
      <c r="G146" s="5" t="str">
        <f ca="1">IFERROR(__xludf.DUMMYFUNCTION("IFERROR(VLOOKUP(F169,IMPORTRANGE(""https://docs.google.com/spreadsheets/d/1Kvs4KS76FHFqLFIZfrDMff4kP08nblUkihrxltoGBjg/edit#gid=934712705"",""ESENCIAL!A6:BG""),3,FALSE))"),"")</f>
        <v/>
      </c>
      <c r="H146" s="5" t="str">
        <f ca="1">IFERROR(__xludf.DUMMYFUNCTION("IFERROR(VLOOKUP(F169,IMPORTRANGE(""https://docs.google.com/spreadsheets/d/1Kvs4KS76FHFqLFIZfrDMff4kP08nblUkihrxltoGBjg/edit#gid=934712705"",""ESENCIAL!A6:BG""),8,FALSE))"),"")</f>
        <v/>
      </c>
      <c r="L146" s="287"/>
      <c r="Z146" s="41" t="str">
        <f t="shared" si="12"/>
        <v/>
      </c>
      <c r="AA146" s="5" t="str">
        <f ca="1">IFERROR(__xludf.DUMMYFUNCTION("IFERROR(VLOOKUP(E169&amp;F169,IMPORTRANGE(""https://docs.google.com/spreadsheets/d/1Uw7-A9f9R21vMXxHZFNpYNeKFtG8_yji4HS352LGlSQ/edit?pli=1#gid=0"",""1_ACUM!A4:S""),11,FALSE))"),"")</f>
        <v/>
      </c>
      <c r="AB146" s="42" t="str">
        <f ca="1">IFERROR(__xludf.DUMMYFUNCTION("IFERROR(VLOOKUP(F169,IMPORTRANGE(""https://docs.google.com/spreadsheets/d/1Kvs4KS76FHFqLFIZfrDMff4kP08nblUkihrxltoGBjg/edit#gid=934712705"",""ESENCIAL!A6:BG""),15,FALSE))"),"")</f>
        <v/>
      </c>
      <c r="AC146" s="110" t="str">
        <f ca="1">IFERROR(__xludf.DUMMYFUNCTION("IFERROR(VLOOKUP(E169&amp;F169,IMPORTRANGE(""https://docs.google.com/spreadsheets/d/1Uw7-A9f9R21vMXxHZFNpYNeKFtG8_yji4HS352LGlSQ/edit?pli=1#gid=0"",""1_ACUM!A4:S""),13,FALSE))"),"")</f>
        <v/>
      </c>
      <c r="AD146" s="43" t="str">
        <f ca="1">IFERROR(__xludf.DUMMYFUNCTION("IFERROR(VLOOKUP(E169&amp;F169,IMPORTRANGE(""https://docs.google.com/spreadsheets/d/1Uw7-A9f9R21vMXxHZFNpYNeKFtG8_yji4HS352LGlSQ/edit?pli=1#gid=0"",""1_ACUM!A4:S""),13,FALSE))"),"")</f>
        <v/>
      </c>
      <c r="AE146" s="43" t="str">
        <f ca="1">IFERROR(__xludf.DUMMYFUNCTION("IFERROR(VLOOKUP(E169&amp;F169,IMPORTRANGE(""https://docs.google.com/spreadsheets/d/1Uw7-A9f9R21vMXxHZFNpYNeKFtG8_yji4HS352LGlSQ/edit?pli=1#gid=0"",""1_ACUM!A4:S""),14,FALSE))"),"")</f>
        <v/>
      </c>
      <c r="AF146" s="43" t="str">
        <f ca="1">IFERROR(__xludf.DUMMYFUNCTION("IFERROR(VLOOKUP(E169&amp;F169,IMPORTRANGE(""https://docs.google.com/spreadsheets/d/1Uw7-A9f9R21vMXxHZFNpYNeKFtG8_yji4HS352LGlSQ/edit?pli=1#gid=0"",""1_ACUM!A4:S""),15,FALSE))"),"")</f>
        <v/>
      </c>
      <c r="AG146" s="43" t="str">
        <f ca="1">IFERROR(__xludf.DUMMYFUNCTION("IFERROR(VLOOKUP(E169&amp;F169,IMPORTRANGE(""https://docs.google.com/spreadsheets/d/1Uw7-A9f9R21vMXxHZFNpYNeKFtG8_yji4HS352LGlSQ/edit?pli=1#gid=0"",""1_ACUM!A4:S""),16,FALSE))"),"")</f>
        <v/>
      </c>
      <c r="AH146" s="43" t="str">
        <f ca="1">IFERROR(__xludf.DUMMYFUNCTION("IFERROR(VLOOKUP(E169&amp;F169,IMPORTRANGE(""https://docs.google.com/spreadsheets/d/1Uw7-A9f9R21vMXxHZFNpYNeKFtG8_yji4HS352LGlSQ/edit?pli=1#gid=0"",""1_ACUM!A4:S""),17,FALSE))"),"")</f>
        <v/>
      </c>
      <c r="AI146" s="44" t="str">
        <f ca="1">IFERROR(__xludf.DUMMYFUNCTION("IFERROR(VLOOKUP(E169&amp;F169,IMPORTRANGE(""https://docs.google.com/spreadsheets/d/1Uw7-A9f9R21vMXxHZFNpYNeKFtG8_yji4HS352LGlSQ/edit?pli=1#gid=0"",""1_ACUM!A4:S""),18,FALSE))"),"")</f>
        <v/>
      </c>
      <c r="AJ146" s="44" t="str">
        <f ca="1">IFERROR(__xludf.DUMMYFUNCTION("IFERROR(VLOOKUP(E169&amp;F169,IMPORTRANGE(""https://docs.google.com/spreadsheets/d/1Uw7-A9f9R21vMXxHZFNpYNeKFtG8_yji4HS352LGlSQ/edit?pli=1#gid=0"",""1_ACUM!A4:S""),19,FALSE))"),"")</f>
        <v/>
      </c>
      <c r="AK146" s="98" t="str">
        <f ca="1">IFERROR(__xludf.DUMMYFUNCTION("IFERROR(VLOOKUP(F169,IMPORTRANGE(""https://docs.google.com/spreadsheets/d/1Kvs4KS76FHFqLFIZfrDMff4kP08nblUkihrxltoGBjg/edit#gid=934712705"",""ESENCIAL!A6:BG""),5,FALSE))"),"")</f>
        <v/>
      </c>
      <c r="AL146" s="98" t="str">
        <f t="shared" si="13"/>
        <v/>
      </c>
      <c r="AM146" s="99" t="str">
        <f t="shared" si="14"/>
        <v/>
      </c>
      <c r="AN146" s="100" t="str">
        <f ca="1">IFERROR(__xludf.DUMMYFUNCTION("IFERROR(VLOOKUP(F169,IMPORTRANGE(""https://docs.google.com/spreadsheets/d/1Kvs4KS76FHFqLFIZfrDMff4kP08nblUkihrxltoGBjg/edit#gid=934712705"",""ESENCIAL!A6:BG""),2,FALSE))"),"")</f>
        <v/>
      </c>
      <c r="AO146" s="19" t="str">
        <f t="shared" si="15"/>
        <v/>
      </c>
      <c r="AP146" s="100"/>
      <c r="AQ146" s="100"/>
    </row>
    <row r="147" spans="1:43" ht="15">
      <c r="A147" s="101"/>
      <c r="B147" s="101"/>
      <c r="G147" s="5" t="str">
        <f ca="1">IFERROR(__xludf.DUMMYFUNCTION("IFERROR(VLOOKUP(F170,IMPORTRANGE(""https://docs.google.com/spreadsheets/d/1Kvs4KS76FHFqLFIZfrDMff4kP08nblUkihrxltoGBjg/edit#gid=934712705"",""ESENCIAL!A6:BG""),3,FALSE))"),"")</f>
        <v/>
      </c>
      <c r="H147" s="5" t="str">
        <f ca="1">IFERROR(__xludf.DUMMYFUNCTION("IFERROR(VLOOKUP(F170,IMPORTRANGE(""https://docs.google.com/spreadsheets/d/1Kvs4KS76FHFqLFIZfrDMff4kP08nblUkihrxltoGBjg/edit#gid=934712705"",""ESENCIAL!A6:BG""),8,FALSE))"),"")</f>
        <v/>
      </c>
      <c r="L147" s="287"/>
      <c r="Z147" s="41" t="str">
        <f t="shared" si="12"/>
        <v/>
      </c>
      <c r="AA147" s="5" t="str">
        <f ca="1">IFERROR(__xludf.DUMMYFUNCTION("IFERROR(VLOOKUP(E170&amp;F170,IMPORTRANGE(""https://docs.google.com/spreadsheets/d/1Uw7-A9f9R21vMXxHZFNpYNeKFtG8_yji4HS352LGlSQ/edit?pli=1#gid=0"",""1_ACUM!A4:S""),11,FALSE))"),"")</f>
        <v/>
      </c>
      <c r="AB147" s="42" t="str">
        <f ca="1">IFERROR(__xludf.DUMMYFUNCTION("IFERROR(VLOOKUP(F170,IMPORTRANGE(""https://docs.google.com/spreadsheets/d/1Kvs4KS76FHFqLFIZfrDMff4kP08nblUkihrxltoGBjg/edit#gid=934712705"",""ESENCIAL!A6:BG""),15,FALSE))"),"")</f>
        <v/>
      </c>
      <c r="AC147" s="110" t="str">
        <f ca="1">IFERROR(__xludf.DUMMYFUNCTION("IFERROR(VLOOKUP(E170&amp;F170,IMPORTRANGE(""https://docs.google.com/spreadsheets/d/1Uw7-A9f9R21vMXxHZFNpYNeKFtG8_yji4HS352LGlSQ/edit?pli=1#gid=0"",""1_ACUM!A4:S""),13,FALSE))"),"")</f>
        <v/>
      </c>
      <c r="AD147" s="43" t="str">
        <f ca="1">IFERROR(__xludf.DUMMYFUNCTION("IFERROR(VLOOKUP(E170&amp;F170,IMPORTRANGE(""https://docs.google.com/spreadsheets/d/1Uw7-A9f9R21vMXxHZFNpYNeKFtG8_yji4HS352LGlSQ/edit?pli=1#gid=0"",""1_ACUM!A4:S""),13,FALSE))"),"")</f>
        <v/>
      </c>
      <c r="AE147" s="43" t="str">
        <f ca="1">IFERROR(__xludf.DUMMYFUNCTION("IFERROR(VLOOKUP(E170&amp;F170,IMPORTRANGE(""https://docs.google.com/spreadsheets/d/1Uw7-A9f9R21vMXxHZFNpYNeKFtG8_yji4HS352LGlSQ/edit?pli=1#gid=0"",""1_ACUM!A4:S""),14,FALSE))"),"")</f>
        <v/>
      </c>
      <c r="AF147" s="43" t="str">
        <f ca="1">IFERROR(__xludf.DUMMYFUNCTION("IFERROR(VLOOKUP(E170&amp;F170,IMPORTRANGE(""https://docs.google.com/spreadsheets/d/1Uw7-A9f9R21vMXxHZFNpYNeKFtG8_yji4HS352LGlSQ/edit?pli=1#gid=0"",""1_ACUM!A4:S""),15,FALSE))"),"")</f>
        <v/>
      </c>
      <c r="AG147" s="43" t="str">
        <f ca="1">IFERROR(__xludf.DUMMYFUNCTION("IFERROR(VLOOKUP(E170&amp;F170,IMPORTRANGE(""https://docs.google.com/spreadsheets/d/1Uw7-A9f9R21vMXxHZFNpYNeKFtG8_yji4HS352LGlSQ/edit?pli=1#gid=0"",""1_ACUM!A4:S""),16,FALSE))"),"")</f>
        <v/>
      </c>
      <c r="AH147" s="43" t="str">
        <f ca="1">IFERROR(__xludf.DUMMYFUNCTION("IFERROR(VLOOKUP(E170&amp;F170,IMPORTRANGE(""https://docs.google.com/spreadsheets/d/1Uw7-A9f9R21vMXxHZFNpYNeKFtG8_yji4HS352LGlSQ/edit?pli=1#gid=0"",""1_ACUM!A4:S""),17,FALSE))"),"")</f>
        <v/>
      </c>
      <c r="AI147" s="44" t="str">
        <f ca="1">IFERROR(__xludf.DUMMYFUNCTION("IFERROR(VLOOKUP(E170&amp;F170,IMPORTRANGE(""https://docs.google.com/spreadsheets/d/1Uw7-A9f9R21vMXxHZFNpYNeKFtG8_yji4HS352LGlSQ/edit?pli=1#gid=0"",""1_ACUM!A4:S""),18,FALSE))"),"")</f>
        <v/>
      </c>
      <c r="AJ147" s="44" t="str">
        <f ca="1">IFERROR(__xludf.DUMMYFUNCTION("IFERROR(VLOOKUP(E170&amp;F170,IMPORTRANGE(""https://docs.google.com/spreadsheets/d/1Uw7-A9f9R21vMXxHZFNpYNeKFtG8_yji4HS352LGlSQ/edit?pli=1#gid=0"",""1_ACUM!A4:S""),19,FALSE))"),"")</f>
        <v/>
      </c>
      <c r="AK147" s="98" t="str">
        <f ca="1">IFERROR(__xludf.DUMMYFUNCTION("IFERROR(VLOOKUP(F170,IMPORTRANGE(""https://docs.google.com/spreadsheets/d/1Kvs4KS76FHFqLFIZfrDMff4kP08nblUkihrxltoGBjg/edit#gid=934712705"",""ESENCIAL!A6:BG""),5,FALSE))"),"")</f>
        <v/>
      </c>
      <c r="AL147" s="98" t="str">
        <f t="shared" si="13"/>
        <v/>
      </c>
      <c r="AM147" s="99" t="str">
        <f t="shared" si="14"/>
        <v/>
      </c>
      <c r="AN147" s="100" t="str">
        <f ca="1">IFERROR(__xludf.DUMMYFUNCTION("IFERROR(VLOOKUP(F170,IMPORTRANGE(""https://docs.google.com/spreadsheets/d/1Kvs4KS76FHFqLFIZfrDMff4kP08nblUkihrxltoGBjg/edit#gid=934712705"",""ESENCIAL!A6:BG""),2,FALSE))"),"")</f>
        <v/>
      </c>
      <c r="AO147" s="19" t="str">
        <f t="shared" si="15"/>
        <v/>
      </c>
      <c r="AP147" s="100"/>
      <c r="AQ147" s="100"/>
    </row>
    <row r="148" spans="1:43" ht="15">
      <c r="A148" s="101"/>
      <c r="B148" s="101"/>
      <c r="G148" s="5" t="str">
        <f ca="1">IFERROR(__xludf.DUMMYFUNCTION("IFERROR(VLOOKUP(F171,IMPORTRANGE(""https://docs.google.com/spreadsheets/d/1Kvs4KS76FHFqLFIZfrDMff4kP08nblUkihrxltoGBjg/edit#gid=934712705"",""ESENCIAL!A6:BG""),3,FALSE))"),"")</f>
        <v/>
      </c>
      <c r="H148" s="5" t="str">
        <f ca="1">IFERROR(__xludf.DUMMYFUNCTION("IFERROR(VLOOKUP(F171,IMPORTRANGE(""https://docs.google.com/spreadsheets/d/1Kvs4KS76FHFqLFIZfrDMff4kP08nblUkihrxltoGBjg/edit#gid=934712705"",""ESENCIAL!A6:BG""),8,FALSE))"),"")</f>
        <v/>
      </c>
      <c r="L148" s="287"/>
      <c r="Z148" s="41" t="str">
        <f t="shared" si="12"/>
        <v/>
      </c>
      <c r="AA148" s="5" t="str">
        <f ca="1">IFERROR(__xludf.DUMMYFUNCTION("IFERROR(VLOOKUP(E171&amp;F171,IMPORTRANGE(""https://docs.google.com/spreadsheets/d/1Uw7-A9f9R21vMXxHZFNpYNeKFtG8_yji4HS352LGlSQ/edit?pli=1#gid=0"",""1_ACUM!A4:S""),11,FALSE))"),"")</f>
        <v/>
      </c>
      <c r="AB148" s="42" t="str">
        <f ca="1">IFERROR(__xludf.DUMMYFUNCTION("IFERROR(VLOOKUP(F171,IMPORTRANGE(""https://docs.google.com/spreadsheets/d/1Kvs4KS76FHFqLFIZfrDMff4kP08nblUkihrxltoGBjg/edit#gid=934712705"",""ESENCIAL!A6:BG""),15,FALSE))"),"")</f>
        <v/>
      </c>
      <c r="AC148" s="110" t="str">
        <f ca="1">IFERROR(__xludf.DUMMYFUNCTION("IFERROR(VLOOKUP(E171&amp;F171,IMPORTRANGE(""https://docs.google.com/spreadsheets/d/1Uw7-A9f9R21vMXxHZFNpYNeKFtG8_yji4HS352LGlSQ/edit?pli=1#gid=0"",""1_ACUM!A4:S""),13,FALSE))"),"")</f>
        <v/>
      </c>
      <c r="AD148" s="43" t="str">
        <f ca="1">IFERROR(__xludf.DUMMYFUNCTION("IFERROR(VLOOKUP(E171&amp;F171,IMPORTRANGE(""https://docs.google.com/spreadsheets/d/1Uw7-A9f9R21vMXxHZFNpYNeKFtG8_yji4HS352LGlSQ/edit?pli=1#gid=0"",""1_ACUM!A4:S""),13,FALSE))"),"")</f>
        <v/>
      </c>
      <c r="AE148" s="43" t="str">
        <f ca="1">IFERROR(__xludf.DUMMYFUNCTION("IFERROR(VLOOKUP(E171&amp;F171,IMPORTRANGE(""https://docs.google.com/spreadsheets/d/1Uw7-A9f9R21vMXxHZFNpYNeKFtG8_yji4HS352LGlSQ/edit?pli=1#gid=0"",""1_ACUM!A4:S""),14,FALSE))"),"")</f>
        <v/>
      </c>
      <c r="AF148" s="43" t="str">
        <f ca="1">IFERROR(__xludf.DUMMYFUNCTION("IFERROR(VLOOKUP(E171&amp;F171,IMPORTRANGE(""https://docs.google.com/spreadsheets/d/1Uw7-A9f9R21vMXxHZFNpYNeKFtG8_yji4HS352LGlSQ/edit?pli=1#gid=0"",""1_ACUM!A4:S""),15,FALSE))"),"")</f>
        <v/>
      </c>
      <c r="AG148" s="43" t="str">
        <f ca="1">IFERROR(__xludf.DUMMYFUNCTION("IFERROR(VLOOKUP(E171&amp;F171,IMPORTRANGE(""https://docs.google.com/spreadsheets/d/1Uw7-A9f9R21vMXxHZFNpYNeKFtG8_yji4HS352LGlSQ/edit?pli=1#gid=0"",""1_ACUM!A4:S""),16,FALSE))"),"")</f>
        <v/>
      </c>
      <c r="AH148" s="43" t="str">
        <f ca="1">IFERROR(__xludf.DUMMYFUNCTION("IFERROR(VLOOKUP(E171&amp;F171,IMPORTRANGE(""https://docs.google.com/spreadsheets/d/1Uw7-A9f9R21vMXxHZFNpYNeKFtG8_yji4HS352LGlSQ/edit?pli=1#gid=0"",""1_ACUM!A4:S""),17,FALSE))"),"")</f>
        <v/>
      </c>
      <c r="AI148" s="44" t="str">
        <f ca="1">IFERROR(__xludf.DUMMYFUNCTION("IFERROR(VLOOKUP(E171&amp;F171,IMPORTRANGE(""https://docs.google.com/spreadsheets/d/1Uw7-A9f9R21vMXxHZFNpYNeKFtG8_yji4HS352LGlSQ/edit?pli=1#gid=0"",""1_ACUM!A4:S""),18,FALSE))"),"")</f>
        <v/>
      </c>
      <c r="AJ148" s="44" t="str">
        <f ca="1">IFERROR(__xludf.DUMMYFUNCTION("IFERROR(VLOOKUP(E171&amp;F171,IMPORTRANGE(""https://docs.google.com/spreadsheets/d/1Uw7-A9f9R21vMXxHZFNpYNeKFtG8_yji4HS352LGlSQ/edit?pli=1#gid=0"",""1_ACUM!A4:S""),19,FALSE))"),"")</f>
        <v/>
      </c>
      <c r="AK148" s="98" t="str">
        <f ca="1">IFERROR(__xludf.DUMMYFUNCTION("IFERROR(VLOOKUP(F171,IMPORTRANGE(""https://docs.google.com/spreadsheets/d/1Kvs4KS76FHFqLFIZfrDMff4kP08nblUkihrxltoGBjg/edit#gid=934712705"",""ESENCIAL!A6:BG""),5,FALSE))"),"")</f>
        <v/>
      </c>
      <c r="AL148" s="98" t="str">
        <f t="shared" si="13"/>
        <v/>
      </c>
      <c r="AM148" s="99" t="str">
        <f t="shared" si="14"/>
        <v/>
      </c>
      <c r="AN148" s="100" t="str">
        <f ca="1">IFERROR(__xludf.DUMMYFUNCTION("IFERROR(VLOOKUP(F171,IMPORTRANGE(""https://docs.google.com/spreadsheets/d/1Kvs4KS76FHFqLFIZfrDMff4kP08nblUkihrxltoGBjg/edit#gid=934712705"",""ESENCIAL!A6:BG""),2,FALSE))"),"")</f>
        <v/>
      </c>
      <c r="AO148" s="19" t="str">
        <f t="shared" si="15"/>
        <v/>
      </c>
      <c r="AP148" s="100"/>
      <c r="AQ148" s="100"/>
    </row>
    <row r="149" spans="1:43" ht="15">
      <c r="A149" s="101"/>
      <c r="B149" s="101"/>
      <c r="G149" s="5" t="str">
        <f ca="1">IFERROR(__xludf.DUMMYFUNCTION("IFERROR(VLOOKUP(F172,IMPORTRANGE(""https://docs.google.com/spreadsheets/d/1Kvs4KS76FHFqLFIZfrDMff4kP08nblUkihrxltoGBjg/edit#gid=934712705"",""ESENCIAL!A6:BG""),3,FALSE))"),"")</f>
        <v/>
      </c>
      <c r="H149" s="5" t="str">
        <f ca="1">IFERROR(__xludf.DUMMYFUNCTION("IFERROR(VLOOKUP(F172,IMPORTRANGE(""https://docs.google.com/spreadsheets/d/1Kvs4KS76FHFqLFIZfrDMff4kP08nblUkihrxltoGBjg/edit#gid=934712705"",""ESENCIAL!A6:BG""),8,FALSE))"),"")</f>
        <v/>
      </c>
      <c r="L149" s="287"/>
      <c r="Z149" s="41" t="str">
        <f t="shared" si="12"/>
        <v/>
      </c>
      <c r="AA149" s="5" t="str">
        <f ca="1">IFERROR(__xludf.DUMMYFUNCTION("IFERROR(VLOOKUP(E172&amp;F172,IMPORTRANGE(""https://docs.google.com/spreadsheets/d/1Uw7-A9f9R21vMXxHZFNpYNeKFtG8_yji4HS352LGlSQ/edit?pli=1#gid=0"",""1_ACUM!A4:S""),11,FALSE))"),"")</f>
        <v/>
      </c>
      <c r="AB149" s="42" t="str">
        <f ca="1">IFERROR(__xludf.DUMMYFUNCTION("IFERROR(VLOOKUP(F172,IMPORTRANGE(""https://docs.google.com/spreadsheets/d/1Kvs4KS76FHFqLFIZfrDMff4kP08nblUkihrxltoGBjg/edit#gid=934712705"",""ESENCIAL!A6:BG""),15,FALSE))"),"")</f>
        <v/>
      </c>
      <c r="AC149" s="110" t="str">
        <f ca="1">IFERROR(__xludf.DUMMYFUNCTION("IFERROR(VLOOKUP(E172&amp;F172,IMPORTRANGE(""https://docs.google.com/spreadsheets/d/1Uw7-A9f9R21vMXxHZFNpYNeKFtG8_yji4HS352LGlSQ/edit?pli=1#gid=0"",""1_ACUM!A4:S""),13,FALSE))"),"")</f>
        <v/>
      </c>
      <c r="AD149" s="43" t="str">
        <f ca="1">IFERROR(__xludf.DUMMYFUNCTION("IFERROR(VLOOKUP(E172&amp;F172,IMPORTRANGE(""https://docs.google.com/spreadsheets/d/1Uw7-A9f9R21vMXxHZFNpYNeKFtG8_yji4HS352LGlSQ/edit?pli=1#gid=0"",""1_ACUM!A4:S""),13,FALSE))"),"")</f>
        <v/>
      </c>
      <c r="AE149" s="43" t="str">
        <f ca="1">IFERROR(__xludf.DUMMYFUNCTION("IFERROR(VLOOKUP(E172&amp;F172,IMPORTRANGE(""https://docs.google.com/spreadsheets/d/1Uw7-A9f9R21vMXxHZFNpYNeKFtG8_yji4HS352LGlSQ/edit?pli=1#gid=0"",""1_ACUM!A4:S""),14,FALSE))"),"")</f>
        <v/>
      </c>
      <c r="AF149" s="43" t="str">
        <f ca="1">IFERROR(__xludf.DUMMYFUNCTION("IFERROR(VLOOKUP(E172&amp;F172,IMPORTRANGE(""https://docs.google.com/spreadsheets/d/1Uw7-A9f9R21vMXxHZFNpYNeKFtG8_yji4HS352LGlSQ/edit?pli=1#gid=0"",""1_ACUM!A4:S""),15,FALSE))"),"")</f>
        <v/>
      </c>
      <c r="AG149" s="43" t="str">
        <f ca="1">IFERROR(__xludf.DUMMYFUNCTION("IFERROR(VLOOKUP(E172&amp;F172,IMPORTRANGE(""https://docs.google.com/spreadsheets/d/1Uw7-A9f9R21vMXxHZFNpYNeKFtG8_yji4HS352LGlSQ/edit?pli=1#gid=0"",""1_ACUM!A4:S""),16,FALSE))"),"")</f>
        <v/>
      </c>
      <c r="AH149" s="43" t="str">
        <f ca="1">IFERROR(__xludf.DUMMYFUNCTION("IFERROR(VLOOKUP(E172&amp;F172,IMPORTRANGE(""https://docs.google.com/spreadsheets/d/1Uw7-A9f9R21vMXxHZFNpYNeKFtG8_yji4HS352LGlSQ/edit?pli=1#gid=0"",""1_ACUM!A4:S""),17,FALSE))"),"")</f>
        <v/>
      </c>
      <c r="AI149" s="44" t="str">
        <f ca="1">IFERROR(__xludf.DUMMYFUNCTION("IFERROR(VLOOKUP(E172&amp;F172,IMPORTRANGE(""https://docs.google.com/spreadsheets/d/1Uw7-A9f9R21vMXxHZFNpYNeKFtG8_yji4HS352LGlSQ/edit?pli=1#gid=0"",""1_ACUM!A4:S""),18,FALSE))"),"")</f>
        <v/>
      </c>
      <c r="AJ149" s="44" t="str">
        <f ca="1">IFERROR(__xludf.DUMMYFUNCTION("IFERROR(VLOOKUP(E172&amp;F172,IMPORTRANGE(""https://docs.google.com/spreadsheets/d/1Uw7-A9f9R21vMXxHZFNpYNeKFtG8_yji4HS352LGlSQ/edit?pli=1#gid=0"",""1_ACUM!A4:S""),19,FALSE))"),"")</f>
        <v/>
      </c>
      <c r="AK149" s="98" t="str">
        <f ca="1">IFERROR(__xludf.DUMMYFUNCTION("IFERROR(VLOOKUP(F172,IMPORTRANGE(""https://docs.google.com/spreadsheets/d/1Kvs4KS76FHFqLFIZfrDMff4kP08nblUkihrxltoGBjg/edit#gid=934712705"",""ESENCIAL!A6:BG""),5,FALSE))"),"")</f>
        <v/>
      </c>
      <c r="AL149" s="98" t="str">
        <f t="shared" si="13"/>
        <v/>
      </c>
      <c r="AM149" s="99" t="str">
        <f t="shared" si="14"/>
        <v/>
      </c>
      <c r="AN149" s="100" t="str">
        <f ca="1">IFERROR(__xludf.DUMMYFUNCTION("IFERROR(VLOOKUP(F172,IMPORTRANGE(""https://docs.google.com/spreadsheets/d/1Kvs4KS76FHFqLFIZfrDMff4kP08nblUkihrxltoGBjg/edit#gid=934712705"",""ESENCIAL!A6:BG""),2,FALSE))"),"")</f>
        <v/>
      </c>
      <c r="AO149" s="19" t="str">
        <f t="shared" si="15"/>
        <v/>
      </c>
      <c r="AP149" s="100"/>
      <c r="AQ149" s="100"/>
    </row>
    <row r="150" spans="1:43" ht="15">
      <c r="A150" s="101"/>
      <c r="B150" s="101"/>
      <c r="G150" s="5" t="str">
        <f ca="1">IFERROR(__xludf.DUMMYFUNCTION("IFERROR(VLOOKUP(F173,IMPORTRANGE(""https://docs.google.com/spreadsheets/d/1Kvs4KS76FHFqLFIZfrDMff4kP08nblUkihrxltoGBjg/edit#gid=934712705"",""ESENCIAL!A6:BG""),3,FALSE))"),"")</f>
        <v/>
      </c>
      <c r="H150" s="5" t="str">
        <f ca="1">IFERROR(__xludf.DUMMYFUNCTION("IFERROR(VLOOKUP(F173,IMPORTRANGE(""https://docs.google.com/spreadsheets/d/1Kvs4KS76FHFqLFIZfrDMff4kP08nblUkihrxltoGBjg/edit#gid=934712705"",""ESENCIAL!A6:BG""),8,FALSE))"),"")</f>
        <v/>
      </c>
      <c r="L150" s="287"/>
      <c r="Z150" s="41" t="str">
        <f t="shared" si="12"/>
        <v/>
      </c>
      <c r="AA150" s="5" t="str">
        <f ca="1">IFERROR(__xludf.DUMMYFUNCTION("IFERROR(VLOOKUP(E173&amp;F173,IMPORTRANGE(""https://docs.google.com/spreadsheets/d/1Uw7-A9f9R21vMXxHZFNpYNeKFtG8_yji4HS352LGlSQ/edit?pli=1#gid=0"",""1_ACUM!A4:S""),11,FALSE))"),"")</f>
        <v/>
      </c>
      <c r="AB150" s="42" t="str">
        <f ca="1">IFERROR(__xludf.DUMMYFUNCTION("IFERROR(VLOOKUP(F173,IMPORTRANGE(""https://docs.google.com/spreadsheets/d/1Kvs4KS76FHFqLFIZfrDMff4kP08nblUkihrxltoGBjg/edit#gid=934712705"",""ESENCIAL!A6:BG""),15,FALSE))"),"")</f>
        <v/>
      </c>
      <c r="AC150" s="110" t="str">
        <f ca="1">IFERROR(__xludf.DUMMYFUNCTION("IFERROR(VLOOKUP(E173&amp;F173,IMPORTRANGE(""https://docs.google.com/spreadsheets/d/1Uw7-A9f9R21vMXxHZFNpYNeKFtG8_yji4HS352LGlSQ/edit?pli=1#gid=0"",""1_ACUM!A4:S""),13,FALSE))"),"")</f>
        <v/>
      </c>
      <c r="AD150" s="43" t="str">
        <f ca="1">IFERROR(__xludf.DUMMYFUNCTION("IFERROR(VLOOKUP(E173&amp;F173,IMPORTRANGE(""https://docs.google.com/spreadsheets/d/1Uw7-A9f9R21vMXxHZFNpYNeKFtG8_yji4HS352LGlSQ/edit?pli=1#gid=0"",""1_ACUM!A4:S""),13,FALSE))"),"")</f>
        <v/>
      </c>
      <c r="AE150" s="43" t="str">
        <f ca="1">IFERROR(__xludf.DUMMYFUNCTION("IFERROR(VLOOKUP(E173&amp;F173,IMPORTRANGE(""https://docs.google.com/spreadsheets/d/1Uw7-A9f9R21vMXxHZFNpYNeKFtG8_yji4HS352LGlSQ/edit?pli=1#gid=0"",""1_ACUM!A4:S""),14,FALSE))"),"")</f>
        <v/>
      </c>
      <c r="AF150" s="43" t="str">
        <f ca="1">IFERROR(__xludf.DUMMYFUNCTION("IFERROR(VLOOKUP(E173&amp;F173,IMPORTRANGE(""https://docs.google.com/spreadsheets/d/1Uw7-A9f9R21vMXxHZFNpYNeKFtG8_yji4HS352LGlSQ/edit?pli=1#gid=0"",""1_ACUM!A4:S""),15,FALSE))"),"")</f>
        <v/>
      </c>
      <c r="AG150" s="43" t="str">
        <f ca="1">IFERROR(__xludf.DUMMYFUNCTION("IFERROR(VLOOKUP(E173&amp;F173,IMPORTRANGE(""https://docs.google.com/spreadsheets/d/1Uw7-A9f9R21vMXxHZFNpYNeKFtG8_yji4HS352LGlSQ/edit?pli=1#gid=0"",""1_ACUM!A4:S""),16,FALSE))"),"")</f>
        <v/>
      </c>
      <c r="AH150" s="43" t="str">
        <f ca="1">IFERROR(__xludf.DUMMYFUNCTION("IFERROR(VLOOKUP(E173&amp;F173,IMPORTRANGE(""https://docs.google.com/spreadsheets/d/1Uw7-A9f9R21vMXxHZFNpYNeKFtG8_yji4HS352LGlSQ/edit?pli=1#gid=0"",""1_ACUM!A4:S""),17,FALSE))"),"")</f>
        <v/>
      </c>
      <c r="AI150" s="44" t="str">
        <f ca="1">IFERROR(__xludf.DUMMYFUNCTION("IFERROR(VLOOKUP(E173&amp;F173,IMPORTRANGE(""https://docs.google.com/spreadsheets/d/1Uw7-A9f9R21vMXxHZFNpYNeKFtG8_yji4HS352LGlSQ/edit?pli=1#gid=0"",""1_ACUM!A4:S""),18,FALSE))"),"")</f>
        <v/>
      </c>
      <c r="AJ150" s="44" t="str">
        <f ca="1">IFERROR(__xludf.DUMMYFUNCTION("IFERROR(VLOOKUP(E173&amp;F173,IMPORTRANGE(""https://docs.google.com/spreadsheets/d/1Uw7-A9f9R21vMXxHZFNpYNeKFtG8_yji4HS352LGlSQ/edit?pli=1#gid=0"",""1_ACUM!A4:S""),19,FALSE))"),"")</f>
        <v/>
      </c>
      <c r="AK150" s="98" t="str">
        <f ca="1">IFERROR(__xludf.DUMMYFUNCTION("IFERROR(VLOOKUP(F173,IMPORTRANGE(""https://docs.google.com/spreadsheets/d/1Kvs4KS76FHFqLFIZfrDMff4kP08nblUkihrxltoGBjg/edit#gid=934712705"",""ESENCIAL!A6:BG""),5,FALSE))"),"")</f>
        <v/>
      </c>
      <c r="AL150" s="98" t="str">
        <f t="shared" si="13"/>
        <v/>
      </c>
      <c r="AM150" s="99" t="str">
        <f t="shared" si="14"/>
        <v/>
      </c>
      <c r="AN150" s="100" t="str">
        <f ca="1">IFERROR(__xludf.DUMMYFUNCTION("IFERROR(VLOOKUP(F173,IMPORTRANGE(""https://docs.google.com/spreadsheets/d/1Kvs4KS76FHFqLFIZfrDMff4kP08nblUkihrxltoGBjg/edit#gid=934712705"",""ESENCIAL!A6:BG""),2,FALSE))"),"")</f>
        <v/>
      </c>
      <c r="AO150" s="19" t="str">
        <f t="shared" si="15"/>
        <v/>
      </c>
      <c r="AP150" s="100"/>
      <c r="AQ150" s="100"/>
    </row>
    <row r="151" spans="1:43" ht="15">
      <c r="A151" s="101"/>
      <c r="B151" s="101"/>
      <c r="G151" s="5" t="str">
        <f ca="1">IFERROR(__xludf.DUMMYFUNCTION("IFERROR(VLOOKUP(F174,IMPORTRANGE(""https://docs.google.com/spreadsheets/d/1Kvs4KS76FHFqLFIZfrDMff4kP08nblUkihrxltoGBjg/edit#gid=934712705"",""ESENCIAL!A6:BG""),3,FALSE))"),"")</f>
        <v/>
      </c>
      <c r="H151" s="5" t="str">
        <f ca="1">IFERROR(__xludf.DUMMYFUNCTION("IFERROR(VLOOKUP(F174,IMPORTRANGE(""https://docs.google.com/spreadsheets/d/1Kvs4KS76FHFqLFIZfrDMff4kP08nblUkihrxltoGBjg/edit#gid=934712705"",""ESENCIAL!A6:BG""),8,FALSE))"),"")</f>
        <v/>
      </c>
      <c r="L151" s="287"/>
      <c r="Z151" s="41" t="str">
        <f t="shared" si="12"/>
        <v/>
      </c>
      <c r="AA151" s="5" t="str">
        <f ca="1">IFERROR(__xludf.DUMMYFUNCTION("IFERROR(VLOOKUP(E174&amp;F174,IMPORTRANGE(""https://docs.google.com/spreadsheets/d/1Uw7-A9f9R21vMXxHZFNpYNeKFtG8_yji4HS352LGlSQ/edit?pli=1#gid=0"",""1_ACUM!A4:S""),11,FALSE))"),"")</f>
        <v/>
      </c>
      <c r="AB151" s="42" t="str">
        <f ca="1">IFERROR(__xludf.DUMMYFUNCTION("IFERROR(VLOOKUP(F174,IMPORTRANGE(""https://docs.google.com/spreadsheets/d/1Kvs4KS76FHFqLFIZfrDMff4kP08nblUkihrxltoGBjg/edit#gid=934712705"",""ESENCIAL!A6:BG""),15,FALSE))"),"")</f>
        <v/>
      </c>
      <c r="AC151" s="110" t="str">
        <f ca="1">IFERROR(__xludf.DUMMYFUNCTION("IFERROR(VLOOKUP(E174&amp;F174,IMPORTRANGE(""https://docs.google.com/spreadsheets/d/1Uw7-A9f9R21vMXxHZFNpYNeKFtG8_yji4HS352LGlSQ/edit?pli=1#gid=0"",""1_ACUM!A4:S""),13,FALSE))"),"")</f>
        <v/>
      </c>
      <c r="AD151" s="43" t="str">
        <f ca="1">IFERROR(__xludf.DUMMYFUNCTION("IFERROR(VLOOKUP(E174&amp;F174,IMPORTRANGE(""https://docs.google.com/spreadsheets/d/1Uw7-A9f9R21vMXxHZFNpYNeKFtG8_yji4HS352LGlSQ/edit?pli=1#gid=0"",""1_ACUM!A4:S""),13,FALSE))"),"")</f>
        <v/>
      </c>
      <c r="AE151" s="43" t="str">
        <f ca="1">IFERROR(__xludf.DUMMYFUNCTION("IFERROR(VLOOKUP(E174&amp;F174,IMPORTRANGE(""https://docs.google.com/spreadsheets/d/1Uw7-A9f9R21vMXxHZFNpYNeKFtG8_yji4HS352LGlSQ/edit?pli=1#gid=0"",""1_ACUM!A4:S""),14,FALSE))"),"")</f>
        <v/>
      </c>
      <c r="AF151" s="43" t="str">
        <f ca="1">IFERROR(__xludf.DUMMYFUNCTION("IFERROR(VLOOKUP(E174&amp;F174,IMPORTRANGE(""https://docs.google.com/spreadsheets/d/1Uw7-A9f9R21vMXxHZFNpYNeKFtG8_yji4HS352LGlSQ/edit?pli=1#gid=0"",""1_ACUM!A4:S""),15,FALSE))"),"")</f>
        <v/>
      </c>
      <c r="AG151" s="43" t="str">
        <f ca="1">IFERROR(__xludf.DUMMYFUNCTION("IFERROR(VLOOKUP(E174&amp;F174,IMPORTRANGE(""https://docs.google.com/spreadsheets/d/1Uw7-A9f9R21vMXxHZFNpYNeKFtG8_yji4HS352LGlSQ/edit?pli=1#gid=0"",""1_ACUM!A4:S""),16,FALSE))"),"")</f>
        <v/>
      </c>
      <c r="AH151" s="43" t="str">
        <f ca="1">IFERROR(__xludf.DUMMYFUNCTION("IFERROR(VLOOKUP(E174&amp;F174,IMPORTRANGE(""https://docs.google.com/spreadsheets/d/1Uw7-A9f9R21vMXxHZFNpYNeKFtG8_yji4HS352LGlSQ/edit?pli=1#gid=0"",""1_ACUM!A4:S""),17,FALSE))"),"")</f>
        <v/>
      </c>
      <c r="AI151" s="44" t="str">
        <f ca="1">IFERROR(__xludf.DUMMYFUNCTION("IFERROR(VLOOKUP(E174&amp;F174,IMPORTRANGE(""https://docs.google.com/spreadsheets/d/1Uw7-A9f9R21vMXxHZFNpYNeKFtG8_yji4HS352LGlSQ/edit?pli=1#gid=0"",""1_ACUM!A4:S""),18,FALSE))"),"")</f>
        <v/>
      </c>
      <c r="AJ151" s="44" t="str">
        <f ca="1">IFERROR(__xludf.DUMMYFUNCTION("IFERROR(VLOOKUP(E174&amp;F174,IMPORTRANGE(""https://docs.google.com/spreadsheets/d/1Uw7-A9f9R21vMXxHZFNpYNeKFtG8_yji4HS352LGlSQ/edit?pli=1#gid=0"",""1_ACUM!A4:S""),19,FALSE))"),"")</f>
        <v/>
      </c>
      <c r="AK151" s="98" t="str">
        <f ca="1">IFERROR(__xludf.DUMMYFUNCTION("IFERROR(VLOOKUP(F174,IMPORTRANGE(""https://docs.google.com/spreadsheets/d/1Kvs4KS76FHFqLFIZfrDMff4kP08nblUkihrxltoGBjg/edit#gid=934712705"",""ESENCIAL!A6:BG""),5,FALSE))"),"")</f>
        <v/>
      </c>
      <c r="AL151" s="98" t="str">
        <f t="shared" si="13"/>
        <v/>
      </c>
      <c r="AM151" s="99" t="str">
        <f t="shared" si="14"/>
        <v/>
      </c>
      <c r="AN151" s="100" t="str">
        <f ca="1">IFERROR(__xludf.DUMMYFUNCTION("IFERROR(VLOOKUP(F174,IMPORTRANGE(""https://docs.google.com/spreadsheets/d/1Kvs4KS76FHFqLFIZfrDMff4kP08nblUkihrxltoGBjg/edit#gid=934712705"",""ESENCIAL!A6:BG""),2,FALSE))"),"")</f>
        <v/>
      </c>
      <c r="AO151" s="19" t="str">
        <f t="shared" si="15"/>
        <v/>
      </c>
      <c r="AP151" s="100"/>
      <c r="AQ151" s="100"/>
    </row>
    <row r="152" spans="1:43" ht="15">
      <c r="A152" s="101"/>
      <c r="B152" s="101"/>
      <c r="G152" s="5" t="str">
        <f ca="1">IFERROR(__xludf.DUMMYFUNCTION("IFERROR(VLOOKUP(F175,IMPORTRANGE(""https://docs.google.com/spreadsheets/d/1Kvs4KS76FHFqLFIZfrDMff4kP08nblUkihrxltoGBjg/edit#gid=934712705"",""ESENCIAL!A6:BG""),3,FALSE))"),"")</f>
        <v/>
      </c>
      <c r="H152" s="5" t="str">
        <f ca="1">IFERROR(__xludf.DUMMYFUNCTION("IFERROR(VLOOKUP(F175,IMPORTRANGE(""https://docs.google.com/spreadsheets/d/1Kvs4KS76FHFqLFIZfrDMff4kP08nblUkihrxltoGBjg/edit#gid=934712705"",""ESENCIAL!A6:BG""),8,FALSE))"),"")</f>
        <v/>
      </c>
      <c r="L152" s="287"/>
      <c r="Z152" s="41" t="str">
        <f t="shared" si="12"/>
        <v/>
      </c>
      <c r="AA152" s="5" t="str">
        <f ca="1">IFERROR(__xludf.DUMMYFUNCTION("IFERROR(VLOOKUP(E175&amp;F175,IMPORTRANGE(""https://docs.google.com/spreadsheets/d/1Uw7-A9f9R21vMXxHZFNpYNeKFtG8_yji4HS352LGlSQ/edit?pli=1#gid=0"",""1_ACUM!A4:S""),11,FALSE))"),"")</f>
        <v/>
      </c>
      <c r="AB152" s="42" t="str">
        <f ca="1">IFERROR(__xludf.DUMMYFUNCTION("IFERROR(VLOOKUP(F175,IMPORTRANGE(""https://docs.google.com/spreadsheets/d/1Kvs4KS76FHFqLFIZfrDMff4kP08nblUkihrxltoGBjg/edit#gid=934712705"",""ESENCIAL!A6:BG""),15,FALSE))"),"")</f>
        <v/>
      </c>
      <c r="AC152" s="110" t="str">
        <f ca="1">IFERROR(__xludf.DUMMYFUNCTION("IFERROR(VLOOKUP(E175&amp;F175,IMPORTRANGE(""https://docs.google.com/spreadsheets/d/1Uw7-A9f9R21vMXxHZFNpYNeKFtG8_yji4HS352LGlSQ/edit?pli=1#gid=0"",""1_ACUM!A4:S""),13,FALSE))"),"")</f>
        <v/>
      </c>
      <c r="AD152" s="43" t="str">
        <f ca="1">IFERROR(__xludf.DUMMYFUNCTION("IFERROR(VLOOKUP(E175&amp;F175,IMPORTRANGE(""https://docs.google.com/spreadsheets/d/1Uw7-A9f9R21vMXxHZFNpYNeKFtG8_yji4HS352LGlSQ/edit?pli=1#gid=0"",""1_ACUM!A4:S""),13,FALSE))"),"")</f>
        <v/>
      </c>
      <c r="AE152" s="43" t="str">
        <f ca="1">IFERROR(__xludf.DUMMYFUNCTION("IFERROR(VLOOKUP(E175&amp;F175,IMPORTRANGE(""https://docs.google.com/spreadsheets/d/1Uw7-A9f9R21vMXxHZFNpYNeKFtG8_yji4HS352LGlSQ/edit?pli=1#gid=0"",""1_ACUM!A4:S""),14,FALSE))"),"")</f>
        <v/>
      </c>
      <c r="AF152" s="43" t="str">
        <f ca="1">IFERROR(__xludf.DUMMYFUNCTION("IFERROR(VLOOKUP(E175&amp;F175,IMPORTRANGE(""https://docs.google.com/spreadsheets/d/1Uw7-A9f9R21vMXxHZFNpYNeKFtG8_yji4HS352LGlSQ/edit?pli=1#gid=0"",""1_ACUM!A4:S""),15,FALSE))"),"")</f>
        <v/>
      </c>
      <c r="AG152" s="43" t="str">
        <f ca="1">IFERROR(__xludf.DUMMYFUNCTION("IFERROR(VLOOKUP(E175&amp;F175,IMPORTRANGE(""https://docs.google.com/spreadsheets/d/1Uw7-A9f9R21vMXxHZFNpYNeKFtG8_yji4HS352LGlSQ/edit?pli=1#gid=0"",""1_ACUM!A4:S""),16,FALSE))"),"")</f>
        <v/>
      </c>
      <c r="AH152" s="43" t="str">
        <f ca="1">IFERROR(__xludf.DUMMYFUNCTION("IFERROR(VLOOKUP(E175&amp;F175,IMPORTRANGE(""https://docs.google.com/spreadsheets/d/1Uw7-A9f9R21vMXxHZFNpYNeKFtG8_yji4HS352LGlSQ/edit?pli=1#gid=0"",""1_ACUM!A4:S""),17,FALSE))"),"")</f>
        <v/>
      </c>
      <c r="AI152" s="44" t="str">
        <f ca="1">IFERROR(__xludf.DUMMYFUNCTION("IFERROR(VLOOKUP(E175&amp;F175,IMPORTRANGE(""https://docs.google.com/spreadsheets/d/1Uw7-A9f9R21vMXxHZFNpYNeKFtG8_yji4HS352LGlSQ/edit?pli=1#gid=0"",""1_ACUM!A4:S""),18,FALSE))"),"")</f>
        <v/>
      </c>
      <c r="AJ152" s="44" t="str">
        <f ca="1">IFERROR(__xludf.DUMMYFUNCTION("IFERROR(VLOOKUP(E175&amp;F175,IMPORTRANGE(""https://docs.google.com/spreadsheets/d/1Uw7-A9f9R21vMXxHZFNpYNeKFtG8_yji4HS352LGlSQ/edit?pli=1#gid=0"",""1_ACUM!A4:S""),19,FALSE))"),"")</f>
        <v/>
      </c>
      <c r="AK152" s="98" t="str">
        <f ca="1">IFERROR(__xludf.DUMMYFUNCTION("IFERROR(VLOOKUP(F175,IMPORTRANGE(""https://docs.google.com/spreadsheets/d/1Kvs4KS76FHFqLFIZfrDMff4kP08nblUkihrxltoGBjg/edit#gid=934712705"",""ESENCIAL!A6:BG""),5,FALSE))"),"")</f>
        <v/>
      </c>
      <c r="AL152" s="98" t="str">
        <f t="shared" si="13"/>
        <v/>
      </c>
      <c r="AM152" s="99" t="str">
        <f t="shared" si="14"/>
        <v/>
      </c>
      <c r="AN152" s="100" t="str">
        <f ca="1">IFERROR(__xludf.DUMMYFUNCTION("IFERROR(VLOOKUP(F175,IMPORTRANGE(""https://docs.google.com/spreadsheets/d/1Kvs4KS76FHFqLFIZfrDMff4kP08nblUkihrxltoGBjg/edit#gid=934712705"",""ESENCIAL!A6:BG""),2,FALSE))"),"")</f>
        <v/>
      </c>
      <c r="AO152" s="19" t="str">
        <f t="shared" si="15"/>
        <v/>
      </c>
      <c r="AP152" s="100"/>
      <c r="AQ152" s="100"/>
    </row>
    <row r="153" spans="1:43" ht="15">
      <c r="A153" s="101"/>
      <c r="B153" s="101"/>
      <c r="G153" s="5" t="str">
        <f ca="1">IFERROR(__xludf.DUMMYFUNCTION("IFERROR(VLOOKUP(F176,IMPORTRANGE(""https://docs.google.com/spreadsheets/d/1Kvs4KS76FHFqLFIZfrDMff4kP08nblUkihrxltoGBjg/edit#gid=934712705"",""ESENCIAL!A6:BG""),3,FALSE))"),"")</f>
        <v/>
      </c>
      <c r="H153" s="5" t="str">
        <f ca="1">IFERROR(__xludf.DUMMYFUNCTION("IFERROR(VLOOKUP(F176,IMPORTRANGE(""https://docs.google.com/spreadsheets/d/1Kvs4KS76FHFqLFIZfrDMff4kP08nblUkihrxltoGBjg/edit#gid=934712705"",""ESENCIAL!A6:BG""),8,FALSE))"),"")</f>
        <v/>
      </c>
      <c r="L153" s="287"/>
      <c r="Z153" s="41" t="str">
        <f t="shared" si="12"/>
        <v/>
      </c>
      <c r="AA153" s="5" t="str">
        <f ca="1">IFERROR(__xludf.DUMMYFUNCTION("IFERROR(VLOOKUP(E176&amp;F176,IMPORTRANGE(""https://docs.google.com/spreadsheets/d/1Uw7-A9f9R21vMXxHZFNpYNeKFtG8_yji4HS352LGlSQ/edit?pli=1#gid=0"",""1_ACUM!A4:S""),11,FALSE))"),"")</f>
        <v/>
      </c>
      <c r="AB153" s="42" t="str">
        <f ca="1">IFERROR(__xludf.DUMMYFUNCTION("IFERROR(VLOOKUP(F176,IMPORTRANGE(""https://docs.google.com/spreadsheets/d/1Kvs4KS76FHFqLFIZfrDMff4kP08nblUkihrxltoGBjg/edit#gid=934712705"",""ESENCIAL!A6:BG""),15,FALSE))"),"")</f>
        <v/>
      </c>
      <c r="AC153" s="110" t="str">
        <f ca="1">IFERROR(__xludf.DUMMYFUNCTION("IFERROR(VLOOKUP(E176&amp;F176,IMPORTRANGE(""https://docs.google.com/spreadsheets/d/1Uw7-A9f9R21vMXxHZFNpYNeKFtG8_yji4HS352LGlSQ/edit?pli=1#gid=0"",""1_ACUM!A4:S""),13,FALSE))"),"")</f>
        <v/>
      </c>
      <c r="AD153" s="43" t="str">
        <f ca="1">IFERROR(__xludf.DUMMYFUNCTION("IFERROR(VLOOKUP(E176&amp;F176,IMPORTRANGE(""https://docs.google.com/spreadsheets/d/1Uw7-A9f9R21vMXxHZFNpYNeKFtG8_yji4HS352LGlSQ/edit?pli=1#gid=0"",""1_ACUM!A4:S""),13,FALSE))"),"")</f>
        <v/>
      </c>
      <c r="AE153" s="43" t="str">
        <f ca="1">IFERROR(__xludf.DUMMYFUNCTION("IFERROR(VLOOKUP(E176&amp;F176,IMPORTRANGE(""https://docs.google.com/spreadsheets/d/1Uw7-A9f9R21vMXxHZFNpYNeKFtG8_yji4HS352LGlSQ/edit?pli=1#gid=0"",""1_ACUM!A4:S""),14,FALSE))"),"")</f>
        <v/>
      </c>
      <c r="AF153" s="43" t="str">
        <f ca="1">IFERROR(__xludf.DUMMYFUNCTION("IFERROR(VLOOKUP(E176&amp;F176,IMPORTRANGE(""https://docs.google.com/spreadsheets/d/1Uw7-A9f9R21vMXxHZFNpYNeKFtG8_yji4HS352LGlSQ/edit?pli=1#gid=0"",""1_ACUM!A4:S""),15,FALSE))"),"")</f>
        <v/>
      </c>
      <c r="AG153" s="43" t="str">
        <f ca="1">IFERROR(__xludf.DUMMYFUNCTION("IFERROR(VLOOKUP(E176&amp;F176,IMPORTRANGE(""https://docs.google.com/spreadsheets/d/1Uw7-A9f9R21vMXxHZFNpYNeKFtG8_yji4HS352LGlSQ/edit?pli=1#gid=0"",""1_ACUM!A4:S""),16,FALSE))"),"")</f>
        <v/>
      </c>
      <c r="AH153" s="43" t="str">
        <f ca="1">IFERROR(__xludf.DUMMYFUNCTION("IFERROR(VLOOKUP(E176&amp;F176,IMPORTRANGE(""https://docs.google.com/spreadsheets/d/1Uw7-A9f9R21vMXxHZFNpYNeKFtG8_yji4HS352LGlSQ/edit?pli=1#gid=0"",""1_ACUM!A4:S""),17,FALSE))"),"")</f>
        <v/>
      </c>
      <c r="AI153" s="44" t="str">
        <f ca="1">IFERROR(__xludf.DUMMYFUNCTION("IFERROR(VLOOKUP(E176&amp;F176,IMPORTRANGE(""https://docs.google.com/spreadsheets/d/1Uw7-A9f9R21vMXxHZFNpYNeKFtG8_yji4HS352LGlSQ/edit?pli=1#gid=0"",""1_ACUM!A4:S""),18,FALSE))"),"")</f>
        <v/>
      </c>
      <c r="AJ153" s="44" t="str">
        <f ca="1">IFERROR(__xludf.DUMMYFUNCTION("IFERROR(VLOOKUP(E176&amp;F176,IMPORTRANGE(""https://docs.google.com/spreadsheets/d/1Uw7-A9f9R21vMXxHZFNpYNeKFtG8_yji4HS352LGlSQ/edit?pli=1#gid=0"",""1_ACUM!A4:S""),19,FALSE))"),"")</f>
        <v/>
      </c>
      <c r="AK153" s="98" t="str">
        <f ca="1">IFERROR(__xludf.DUMMYFUNCTION("IFERROR(VLOOKUP(F176,IMPORTRANGE(""https://docs.google.com/spreadsheets/d/1Kvs4KS76FHFqLFIZfrDMff4kP08nblUkihrxltoGBjg/edit#gid=934712705"",""ESENCIAL!A6:BG""),5,FALSE))"),"")</f>
        <v/>
      </c>
      <c r="AL153" s="98" t="str">
        <f t="shared" si="13"/>
        <v/>
      </c>
      <c r="AM153" s="99" t="str">
        <f t="shared" si="14"/>
        <v/>
      </c>
      <c r="AN153" s="100" t="str">
        <f ca="1">IFERROR(__xludf.DUMMYFUNCTION("IFERROR(VLOOKUP(F176,IMPORTRANGE(""https://docs.google.com/spreadsheets/d/1Kvs4KS76FHFqLFIZfrDMff4kP08nblUkihrxltoGBjg/edit#gid=934712705"",""ESENCIAL!A6:BG""),2,FALSE))"),"")</f>
        <v/>
      </c>
      <c r="AO153" s="19" t="str">
        <f t="shared" si="15"/>
        <v/>
      </c>
      <c r="AP153" s="100"/>
      <c r="AQ153" s="100"/>
    </row>
    <row r="154" spans="1:43" ht="15">
      <c r="A154" s="101"/>
      <c r="B154" s="101"/>
      <c r="G154" s="5" t="str">
        <f ca="1">IFERROR(__xludf.DUMMYFUNCTION("IFERROR(VLOOKUP(F177,IMPORTRANGE(""https://docs.google.com/spreadsheets/d/1Kvs4KS76FHFqLFIZfrDMff4kP08nblUkihrxltoGBjg/edit#gid=934712705"",""ESENCIAL!A6:BG""),3,FALSE))"),"")</f>
        <v/>
      </c>
      <c r="H154" s="5" t="str">
        <f ca="1">IFERROR(__xludf.DUMMYFUNCTION("IFERROR(VLOOKUP(F177,IMPORTRANGE(""https://docs.google.com/spreadsheets/d/1Kvs4KS76FHFqLFIZfrDMff4kP08nblUkihrxltoGBjg/edit#gid=934712705"",""ESENCIAL!A6:BG""),8,FALSE))"),"")</f>
        <v/>
      </c>
      <c r="L154" s="287"/>
      <c r="Z154" s="41" t="str">
        <f t="shared" si="12"/>
        <v/>
      </c>
      <c r="AA154" s="5" t="str">
        <f ca="1">IFERROR(__xludf.DUMMYFUNCTION("IFERROR(VLOOKUP(E177&amp;F177,IMPORTRANGE(""https://docs.google.com/spreadsheets/d/1Uw7-A9f9R21vMXxHZFNpYNeKFtG8_yji4HS352LGlSQ/edit?pli=1#gid=0"",""1_ACUM!A4:S""),11,FALSE))"),"")</f>
        <v/>
      </c>
      <c r="AB154" s="42" t="str">
        <f ca="1">IFERROR(__xludf.DUMMYFUNCTION("IFERROR(VLOOKUP(F177,IMPORTRANGE(""https://docs.google.com/spreadsheets/d/1Kvs4KS76FHFqLFIZfrDMff4kP08nblUkihrxltoGBjg/edit#gid=934712705"",""ESENCIAL!A6:BG""),15,FALSE))"),"")</f>
        <v/>
      </c>
      <c r="AC154" s="110" t="str">
        <f ca="1">IFERROR(__xludf.DUMMYFUNCTION("IFERROR(VLOOKUP(E177&amp;F177,IMPORTRANGE(""https://docs.google.com/spreadsheets/d/1Uw7-A9f9R21vMXxHZFNpYNeKFtG8_yji4HS352LGlSQ/edit?pli=1#gid=0"",""1_ACUM!A4:S""),13,FALSE))"),"")</f>
        <v/>
      </c>
      <c r="AD154" s="43" t="str">
        <f ca="1">IFERROR(__xludf.DUMMYFUNCTION("IFERROR(VLOOKUP(E177&amp;F177,IMPORTRANGE(""https://docs.google.com/spreadsheets/d/1Uw7-A9f9R21vMXxHZFNpYNeKFtG8_yji4HS352LGlSQ/edit?pli=1#gid=0"",""1_ACUM!A4:S""),13,FALSE))"),"")</f>
        <v/>
      </c>
      <c r="AE154" s="43" t="str">
        <f ca="1">IFERROR(__xludf.DUMMYFUNCTION("IFERROR(VLOOKUP(E177&amp;F177,IMPORTRANGE(""https://docs.google.com/spreadsheets/d/1Uw7-A9f9R21vMXxHZFNpYNeKFtG8_yji4HS352LGlSQ/edit?pli=1#gid=0"",""1_ACUM!A4:S""),14,FALSE))"),"")</f>
        <v/>
      </c>
      <c r="AF154" s="43" t="str">
        <f ca="1">IFERROR(__xludf.DUMMYFUNCTION("IFERROR(VLOOKUP(E177&amp;F177,IMPORTRANGE(""https://docs.google.com/spreadsheets/d/1Uw7-A9f9R21vMXxHZFNpYNeKFtG8_yji4HS352LGlSQ/edit?pli=1#gid=0"",""1_ACUM!A4:S""),15,FALSE))"),"")</f>
        <v/>
      </c>
      <c r="AG154" s="43" t="str">
        <f ca="1">IFERROR(__xludf.DUMMYFUNCTION("IFERROR(VLOOKUP(E177&amp;F177,IMPORTRANGE(""https://docs.google.com/spreadsheets/d/1Uw7-A9f9R21vMXxHZFNpYNeKFtG8_yji4HS352LGlSQ/edit?pli=1#gid=0"",""1_ACUM!A4:S""),16,FALSE))"),"")</f>
        <v/>
      </c>
      <c r="AH154" s="43" t="str">
        <f ca="1">IFERROR(__xludf.DUMMYFUNCTION("IFERROR(VLOOKUP(E177&amp;F177,IMPORTRANGE(""https://docs.google.com/spreadsheets/d/1Uw7-A9f9R21vMXxHZFNpYNeKFtG8_yji4HS352LGlSQ/edit?pli=1#gid=0"",""1_ACUM!A4:S""),17,FALSE))"),"")</f>
        <v/>
      </c>
      <c r="AI154" s="44" t="str">
        <f ca="1">IFERROR(__xludf.DUMMYFUNCTION("IFERROR(VLOOKUP(E177&amp;F177,IMPORTRANGE(""https://docs.google.com/spreadsheets/d/1Uw7-A9f9R21vMXxHZFNpYNeKFtG8_yji4HS352LGlSQ/edit?pli=1#gid=0"",""1_ACUM!A4:S""),18,FALSE))"),"")</f>
        <v/>
      </c>
      <c r="AJ154" s="44" t="str">
        <f ca="1">IFERROR(__xludf.DUMMYFUNCTION("IFERROR(VLOOKUP(E177&amp;F177,IMPORTRANGE(""https://docs.google.com/spreadsheets/d/1Uw7-A9f9R21vMXxHZFNpYNeKFtG8_yji4HS352LGlSQ/edit?pli=1#gid=0"",""1_ACUM!A4:S""),19,FALSE))"),"")</f>
        <v/>
      </c>
      <c r="AK154" s="98" t="str">
        <f ca="1">IFERROR(__xludf.DUMMYFUNCTION("IFERROR(VLOOKUP(F177,IMPORTRANGE(""https://docs.google.com/spreadsheets/d/1Kvs4KS76FHFqLFIZfrDMff4kP08nblUkihrxltoGBjg/edit#gid=934712705"",""ESENCIAL!A6:BG""),5,FALSE))"),"")</f>
        <v/>
      </c>
      <c r="AL154" s="98" t="str">
        <f t="shared" si="13"/>
        <v/>
      </c>
      <c r="AM154" s="99" t="str">
        <f t="shared" si="14"/>
        <v/>
      </c>
      <c r="AN154" s="100" t="str">
        <f ca="1">IFERROR(__xludf.DUMMYFUNCTION("IFERROR(VLOOKUP(F177,IMPORTRANGE(""https://docs.google.com/spreadsheets/d/1Kvs4KS76FHFqLFIZfrDMff4kP08nblUkihrxltoGBjg/edit#gid=934712705"",""ESENCIAL!A6:BG""),2,FALSE))"),"")</f>
        <v/>
      </c>
      <c r="AO154" s="19" t="str">
        <f t="shared" si="15"/>
        <v/>
      </c>
      <c r="AP154" s="100"/>
      <c r="AQ154" s="100"/>
    </row>
    <row r="155" spans="1:43" ht="15">
      <c r="A155" s="101"/>
      <c r="B155" s="101"/>
      <c r="G155" s="5" t="str">
        <f ca="1">IFERROR(__xludf.DUMMYFUNCTION("IFERROR(VLOOKUP(F178,IMPORTRANGE(""https://docs.google.com/spreadsheets/d/1Kvs4KS76FHFqLFIZfrDMff4kP08nblUkihrxltoGBjg/edit#gid=934712705"",""ESENCIAL!A6:BG""),3,FALSE))"),"")</f>
        <v/>
      </c>
      <c r="H155" s="5" t="str">
        <f ca="1">IFERROR(__xludf.DUMMYFUNCTION("IFERROR(VLOOKUP(F178,IMPORTRANGE(""https://docs.google.com/spreadsheets/d/1Kvs4KS76FHFqLFIZfrDMff4kP08nblUkihrxltoGBjg/edit#gid=934712705"",""ESENCIAL!A6:BG""),8,FALSE))"),"")</f>
        <v/>
      </c>
      <c r="L155" s="287"/>
      <c r="Z155" s="41" t="str">
        <f t="shared" si="12"/>
        <v/>
      </c>
      <c r="AA155" s="5" t="str">
        <f ca="1">IFERROR(__xludf.DUMMYFUNCTION("IFERROR(VLOOKUP(E178&amp;F178,IMPORTRANGE(""https://docs.google.com/spreadsheets/d/1Uw7-A9f9R21vMXxHZFNpYNeKFtG8_yji4HS352LGlSQ/edit?pli=1#gid=0"",""1_ACUM!A4:S""),11,FALSE))"),"")</f>
        <v/>
      </c>
      <c r="AB155" s="42" t="str">
        <f ca="1">IFERROR(__xludf.DUMMYFUNCTION("IFERROR(VLOOKUP(F178,IMPORTRANGE(""https://docs.google.com/spreadsheets/d/1Kvs4KS76FHFqLFIZfrDMff4kP08nblUkihrxltoGBjg/edit#gid=934712705"",""ESENCIAL!A6:BG""),15,FALSE))"),"")</f>
        <v/>
      </c>
      <c r="AC155" s="110" t="str">
        <f ca="1">IFERROR(__xludf.DUMMYFUNCTION("IFERROR(VLOOKUP(E178&amp;F178,IMPORTRANGE(""https://docs.google.com/spreadsheets/d/1Uw7-A9f9R21vMXxHZFNpYNeKFtG8_yji4HS352LGlSQ/edit?pli=1#gid=0"",""1_ACUM!A4:S""),13,FALSE))"),"")</f>
        <v/>
      </c>
      <c r="AD155" s="43" t="str">
        <f ca="1">IFERROR(__xludf.DUMMYFUNCTION("IFERROR(VLOOKUP(E178&amp;F178,IMPORTRANGE(""https://docs.google.com/spreadsheets/d/1Uw7-A9f9R21vMXxHZFNpYNeKFtG8_yji4HS352LGlSQ/edit?pli=1#gid=0"",""1_ACUM!A4:S""),13,FALSE))"),"")</f>
        <v/>
      </c>
      <c r="AE155" s="43" t="str">
        <f ca="1">IFERROR(__xludf.DUMMYFUNCTION("IFERROR(VLOOKUP(E178&amp;F178,IMPORTRANGE(""https://docs.google.com/spreadsheets/d/1Uw7-A9f9R21vMXxHZFNpYNeKFtG8_yji4HS352LGlSQ/edit?pli=1#gid=0"",""1_ACUM!A4:S""),14,FALSE))"),"")</f>
        <v/>
      </c>
      <c r="AF155" s="43" t="str">
        <f ca="1">IFERROR(__xludf.DUMMYFUNCTION("IFERROR(VLOOKUP(E178&amp;F178,IMPORTRANGE(""https://docs.google.com/spreadsheets/d/1Uw7-A9f9R21vMXxHZFNpYNeKFtG8_yji4HS352LGlSQ/edit?pli=1#gid=0"",""1_ACUM!A4:S""),15,FALSE))"),"")</f>
        <v/>
      </c>
      <c r="AG155" s="43" t="str">
        <f ca="1">IFERROR(__xludf.DUMMYFUNCTION("IFERROR(VLOOKUP(E178&amp;F178,IMPORTRANGE(""https://docs.google.com/spreadsheets/d/1Uw7-A9f9R21vMXxHZFNpYNeKFtG8_yji4HS352LGlSQ/edit?pli=1#gid=0"",""1_ACUM!A4:S""),16,FALSE))"),"")</f>
        <v/>
      </c>
      <c r="AH155" s="43" t="str">
        <f ca="1">IFERROR(__xludf.DUMMYFUNCTION("IFERROR(VLOOKUP(E178&amp;F178,IMPORTRANGE(""https://docs.google.com/spreadsheets/d/1Uw7-A9f9R21vMXxHZFNpYNeKFtG8_yji4HS352LGlSQ/edit?pli=1#gid=0"",""1_ACUM!A4:S""),17,FALSE))"),"")</f>
        <v/>
      </c>
      <c r="AI155" s="44" t="str">
        <f ca="1">IFERROR(__xludf.DUMMYFUNCTION("IFERROR(VLOOKUP(E178&amp;F178,IMPORTRANGE(""https://docs.google.com/spreadsheets/d/1Uw7-A9f9R21vMXxHZFNpYNeKFtG8_yji4HS352LGlSQ/edit?pli=1#gid=0"",""1_ACUM!A4:S""),18,FALSE))"),"")</f>
        <v/>
      </c>
      <c r="AJ155" s="44" t="str">
        <f ca="1">IFERROR(__xludf.DUMMYFUNCTION("IFERROR(VLOOKUP(E178&amp;F178,IMPORTRANGE(""https://docs.google.com/spreadsheets/d/1Uw7-A9f9R21vMXxHZFNpYNeKFtG8_yji4HS352LGlSQ/edit?pli=1#gid=0"",""1_ACUM!A4:S""),19,FALSE))"),"")</f>
        <v/>
      </c>
      <c r="AK155" s="98" t="str">
        <f ca="1">IFERROR(__xludf.DUMMYFUNCTION("IFERROR(VLOOKUP(F178,IMPORTRANGE(""https://docs.google.com/spreadsheets/d/1Kvs4KS76FHFqLFIZfrDMff4kP08nblUkihrxltoGBjg/edit#gid=934712705"",""ESENCIAL!A6:BG""),5,FALSE))"),"")</f>
        <v/>
      </c>
      <c r="AL155" s="98" t="str">
        <f t="shared" si="13"/>
        <v/>
      </c>
      <c r="AM155" s="99" t="str">
        <f t="shared" si="14"/>
        <v/>
      </c>
      <c r="AN155" s="100" t="str">
        <f ca="1">IFERROR(__xludf.DUMMYFUNCTION("IFERROR(VLOOKUP(F178,IMPORTRANGE(""https://docs.google.com/spreadsheets/d/1Kvs4KS76FHFqLFIZfrDMff4kP08nblUkihrxltoGBjg/edit#gid=934712705"",""ESENCIAL!A6:BG""),2,FALSE))"),"")</f>
        <v/>
      </c>
      <c r="AO155" s="19" t="str">
        <f t="shared" si="15"/>
        <v/>
      </c>
      <c r="AP155" s="100"/>
      <c r="AQ155" s="100"/>
    </row>
    <row r="156" spans="1:43" ht="15">
      <c r="A156" s="101"/>
      <c r="B156" s="101"/>
      <c r="G156" s="5" t="str">
        <f ca="1">IFERROR(__xludf.DUMMYFUNCTION("IFERROR(VLOOKUP(F179,IMPORTRANGE(""https://docs.google.com/spreadsheets/d/1Kvs4KS76FHFqLFIZfrDMff4kP08nblUkihrxltoGBjg/edit#gid=934712705"",""ESENCIAL!A6:BG""),3,FALSE))"),"")</f>
        <v/>
      </c>
      <c r="H156" s="5" t="str">
        <f ca="1">IFERROR(__xludf.DUMMYFUNCTION("IFERROR(VLOOKUP(F179,IMPORTRANGE(""https://docs.google.com/spreadsheets/d/1Kvs4KS76FHFqLFIZfrDMff4kP08nblUkihrxltoGBjg/edit#gid=934712705"",""ESENCIAL!A6:BG""),8,FALSE))"),"")</f>
        <v/>
      </c>
      <c r="L156" s="287"/>
      <c r="Z156" s="41" t="str">
        <f t="shared" si="12"/>
        <v/>
      </c>
      <c r="AA156" s="5" t="str">
        <f ca="1">IFERROR(__xludf.DUMMYFUNCTION("IFERROR(VLOOKUP(E179&amp;F179,IMPORTRANGE(""https://docs.google.com/spreadsheets/d/1Uw7-A9f9R21vMXxHZFNpYNeKFtG8_yji4HS352LGlSQ/edit?pli=1#gid=0"",""1_ACUM!A4:S""),11,FALSE))"),"")</f>
        <v/>
      </c>
      <c r="AB156" s="42" t="str">
        <f ca="1">IFERROR(__xludf.DUMMYFUNCTION("IFERROR(VLOOKUP(F179,IMPORTRANGE(""https://docs.google.com/spreadsheets/d/1Kvs4KS76FHFqLFIZfrDMff4kP08nblUkihrxltoGBjg/edit#gid=934712705"",""ESENCIAL!A6:BG""),15,FALSE))"),"")</f>
        <v/>
      </c>
      <c r="AC156" s="110" t="str">
        <f ca="1">IFERROR(__xludf.DUMMYFUNCTION("IFERROR(VLOOKUP(E179&amp;F179,IMPORTRANGE(""https://docs.google.com/spreadsheets/d/1Uw7-A9f9R21vMXxHZFNpYNeKFtG8_yji4HS352LGlSQ/edit?pli=1#gid=0"",""1_ACUM!A4:S""),13,FALSE))"),"")</f>
        <v/>
      </c>
      <c r="AD156" s="43" t="str">
        <f ca="1">IFERROR(__xludf.DUMMYFUNCTION("IFERROR(VLOOKUP(E179&amp;F179,IMPORTRANGE(""https://docs.google.com/spreadsheets/d/1Uw7-A9f9R21vMXxHZFNpYNeKFtG8_yji4HS352LGlSQ/edit?pli=1#gid=0"",""1_ACUM!A4:S""),13,FALSE))"),"")</f>
        <v/>
      </c>
      <c r="AE156" s="43" t="str">
        <f ca="1">IFERROR(__xludf.DUMMYFUNCTION("IFERROR(VLOOKUP(E179&amp;F179,IMPORTRANGE(""https://docs.google.com/spreadsheets/d/1Uw7-A9f9R21vMXxHZFNpYNeKFtG8_yji4HS352LGlSQ/edit?pli=1#gid=0"",""1_ACUM!A4:S""),14,FALSE))"),"")</f>
        <v/>
      </c>
      <c r="AF156" s="43" t="str">
        <f ca="1">IFERROR(__xludf.DUMMYFUNCTION("IFERROR(VLOOKUP(E179&amp;F179,IMPORTRANGE(""https://docs.google.com/spreadsheets/d/1Uw7-A9f9R21vMXxHZFNpYNeKFtG8_yji4HS352LGlSQ/edit?pli=1#gid=0"",""1_ACUM!A4:S""),15,FALSE))"),"")</f>
        <v/>
      </c>
      <c r="AG156" s="43" t="str">
        <f ca="1">IFERROR(__xludf.DUMMYFUNCTION("IFERROR(VLOOKUP(E179&amp;F179,IMPORTRANGE(""https://docs.google.com/spreadsheets/d/1Uw7-A9f9R21vMXxHZFNpYNeKFtG8_yji4HS352LGlSQ/edit?pli=1#gid=0"",""1_ACUM!A4:S""),16,FALSE))"),"")</f>
        <v/>
      </c>
      <c r="AH156" s="43" t="str">
        <f ca="1">IFERROR(__xludf.DUMMYFUNCTION("IFERROR(VLOOKUP(E179&amp;F179,IMPORTRANGE(""https://docs.google.com/spreadsheets/d/1Uw7-A9f9R21vMXxHZFNpYNeKFtG8_yji4HS352LGlSQ/edit?pli=1#gid=0"",""1_ACUM!A4:S""),17,FALSE))"),"")</f>
        <v/>
      </c>
      <c r="AI156" s="44" t="str">
        <f ca="1">IFERROR(__xludf.DUMMYFUNCTION("IFERROR(VLOOKUP(E179&amp;F179,IMPORTRANGE(""https://docs.google.com/spreadsheets/d/1Uw7-A9f9R21vMXxHZFNpYNeKFtG8_yji4HS352LGlSQ/edit?pli=1#gid=0"",""1_ACUM!A4:S""),18,FALSE))"),"")</f>
        <v/>
      </c>
      <c r="AJ156" s="44" t="str">
        <f ca="1">IFERROR(__xludf.DUMMYFUNCTION("IFERROR(VLOOKUP(E179&amp;F179,IMPORTRANGE(""https://docs.google.com/spreadsheets/d/1Uw7-A9f9R21vMXxHZFNpYNeKFtG8_yji4HS352LGlSQ/edit?pli=1#gid=0"",""1_ACUM!A4:S""),19,FALSE))"),"")</f>
        <v/>
      </c>
      <c r="AK156" s="98" t="str">
        <f ca="1">IFERROR(__xludf.DUMMYFUNCTION("IFERROR(VLOOKUP(F179,IMPORTRANGE(""https://docs.google.com/spreadsheets/d/1Kvs4KS76FHFqLFIZfrDMff4kP08nblUkihrxltoGBjg/edit#gid=934712705"",""ESENCIAL!A6:BG""),5,FALSE))"),"")</f>
        <v/>
      </c>
      <c r="AL156" s="98" t="str">
        <f t="shared" si="13"/>
        <v/>
      </c>
      <c r="AM156" s="99" t="str">
        <f t="shared" si="14"/>
        <v/>
      </c>
      <c r="AN156" s="100" t="str">
        <f ca="1">IFERROR(__xludf.DUMMYFUNCTION("IFERROR(VLOOKUP(F179,IMPORTRANGE(""https://docs.google.com/spreadsheets/d/1Kvs4KS76FHFqLFIZfrDMff4kP08nblUkihrxltoGBjg/edit#gid=934712705"",""ESENCIAL!A6:BG""),2,FALSE))"),"")</f>
        <v/>
      </c>
      <c r="AO156" s="19" t="str">
        <f t="shared" si="15"/>
        <v/>
      </c>
      <c r="AP156" s="100"/>
      <c r="AQ156" s="100"/>
    </row>
    <row r="157" spans="1:43" ht="15">
      <c r="A157" s="101"/>
      <c r="B157" s="101"/>
      <c r="G157" s="5" t="str">
        <f ca="1">IFERROR(__xludf.DUMMYFUNCTION("IFERROR(VLOOKUP(F180,IMPORTRANGE(""https://docs.google.com/spreadsheets/d/1Kvs4KS76FHFqLFIZfrDMff4kP08nblUkihrxltoGBjg/edit#gid=934712705"",""ESENCIAL!A6:BG""),3,FALSE))"),"")</f>
        <v/>
      </c>
      <c r="H157" s="5" t="str">
        <f ca="1">IFERROR(__xludf.DUMMYFUNCTION("IFERROR(VLOOKUP(F180,IMPORTRANGE(""https://docs.google.com/spreadsheets/d/1Kvs4KS76FHFqLFIZfrDMff4kP08nblUkihrxltoGBjg/edit#gid=934712705"",""ESENCIAL!A6:BG""),8,FALSE))"),"")</f>
        <v/>
      </c>
      <c r="L157" s="287"/>
      <c r="Z157" s="41" t="str">
        <f t="shared" si="12"/>
        <v/>
      </c>
      <c r="AA157" s="5" t="str">
        <f ca="1">IFERROR(__xludf.DUMMYFUNCTION("IFERROR(VLOOKUP(E180&amp;F180,IMPORTRANGE(""https://docs.google.com/spreadsheets/d/1Uw7-A9f9R21vMXxHZFNpYNeKFtG8_yji4HS352LGlSQ/edit?pli=1#gid=0"",""1_ACUM!A4:S""),11,FALSE))"),"")</f>
        <v/>
      </c>
      <c r="AB157" s="42" t="str">
        <f ca="1">IFERROR(__xludf.DUMMYFUNCTION("IFERROR(VLOOKUP(F180,IMPORTRANGE(""https://docs.google.com/spreadsheets/d/1Kvs4KS76FHFqLFIZfrDMff4kP08nblUkihrxltoGBjg/edit#gid=934712705"",""ESENCIAL!A6:BG""),15,FALSE))"),"")</f>
        <v/>
      </c>
      <c r="AC157" s="110" t="str">
        <f ca="1">IFERROR(__xludf.DUMMYFUNCTION("IFERROR(VLOOKUP(E180&amp;F180,IMPORTRANGE(""https://docs.google.com/spreadsheets/d/1Uw7-A9f9R21vMXxHZFNpYNeKFtG8_yji4HS352LGlSQ/edit?pli=1#gid=0"",""1_ACUM!A4:S""),13,FALSE))"),"")</f>
        <v/>
      </c>
      <c r="AD157" s="43" t="str">
        <f ca="1">IFERROR(__xludf.DUMMYFUNCTION("IFERROR(VLOOKUP(E180&amp;F180,IMPORTRANGE(""https://docs.google.com/spreadsheets/d/1Uw7-A9f9R21vMXxHZFNpYNeKFtG8_yji4HS352LGlSQ/edit?pli=1#gid=0"",""1_ACUM!A4:S""),13,FALSE))"),"")</f>
        <v/>
      </c>
      <c r="AE157" s="43" t="str">
        <f ca="1">IFERROR(__xludf.DUMMYFUNCTION("IFERROR(VLOOKUP(E180&amp;F180,IMPORTRANGE(""https://docs.google.com/spreadsheets/d/1Uw7-A9f9R21vMXxHZFNpYNeKFtG8_yji4HS352LGlSQ/edit?pli=1#gid=0"",""1_ACUM!A4:S""),14,FALSE))"),"")</f>
        <v/>
      </c>
      <c r="AF157" s="43" t="str">
        <f ca="1">IFERROR(__xludf.DUMMYFUNCTION("IFERROR(VLOOKUP(E180&amp;F180,IMPORTRANGE(""https://docs.google.com/spreadsheets/d/1Uw7-A9f9R21vMXxHZFNpYNeKFtG8_yji4HS352LGlSQ/edit?pli=1#gid=0"",""1_ACUM!A4:S""),15,FALSE))"),"")</f>
        <v/>
      </c>
      <c r="AG157" s="43" t="str">
        <f ca="1">IFERROR(__xludf.DUMMYFUNCTION("IFERROR(VLOOKUP(E180&amp;F180,IMPORTRANGE(""https://docs.google.com/spreadsheets/d/1Uw7-A9f9R21vMXxHZFNpYNeKFtG8_yji4HS352LGlSQ/edit?pli=1#gid=0"",""1_ACUM!A4:S""),16,FALSE))"),"")</f>
        <v/>
      </c>
      <c r="AH157" s="43" t="str">
        <f ca="1">IFERROR(__xludf.DUMMYFUNCTION("IFERROR(VLOOKUP(E180&amp;F180,IMPORTRANGE(""https://docs.google.com/spreadsheets/d/1Uw7-A9f9R21vMXxHZFNpYNeKFtG8_yji4HS352LGlSQ/edit?pli=1#gid=0"",""1_ACUM!A4:S""),17,FALSE))"),"")</f>
        <v/>
      </c>
      <c r="AI157" s="44" t="str">
        <f ca="1">IFERROR(__xludf.DUMMYFUNCTION("IFERROR(VLOOKUP(E180&amp;F180,IMPORTRANGE(""https://docs.google.com/spreadsheets/d/1Uw7-A9f9R21vMXxHZFNpYNeKFtG8_yji4HS352LGlSQ/edit?pli=1#gid=0"",""1_ACUM!A4:S""),18,FALSE))"),"")</f>
        <v/>
      </c>
      <c r="AJ157" s="44" t="str">
        <f ca="1">IFERROR(__xludf.DUMMYFUNCTION("IFERROR(VLOOKUP(E180&amp;F180,IMPORTRANGE(""https://docs.google.com/spreadsheets/d/1Uw7-A9f9R21vMXxHZFNpYNeKFtG8_yji4HS352LGlSQ/edit?pli=1#gid=0"",""1_ACUM!A4:S""),19,FALSE))"),"")</f>
        <v/>
      </c>
      <c r="AK157" s="98" t="str">
        <f ca="1">IFERROR(__xludf.DUMMYFUNCTION("IFERROR(VLOOKUP(F180,IMPORTRANGE(""https://docs.google.com/spreadsheets/d/1Kvs4KS76FHFqLFIZfrDMff4kP08nblUkihrxltoGBjg/edit#gid=934712705"",""ESENCIAL!A6:BG""),5,FALSE))"),"")</f>
        <v/>
      </c>
      <c r="AL157" s="98" t="str">
        <f t="shared" si="13"/>
        <v/>
      </c>
      <c r="AM157" s="99" t="str">
        <f t="shared" si="14"/>
        <v/>
      </c>
      <c r="AN157" s="100" t="str">
        <f ca="1">IFERROR(__xludf.DUMMYFUNCTION("IFERROR(VLOOKUP(F180,IMPORTRANGE(""https://docs.google.com/spreadsheets/d/1Kvs4KS76FHFqLFIZfrDMff4kP08nblUkihrxltoGBjg/edit#gid=934712705"",""ESENCIAL!A6:BG""),2,FALSE))"),"")</f>
        <v/>
      </c>
      <c r="AO157" s="19" t="str">
        <f t="shared" si="15"/>
        <v/>
      </c>
      <c r="AP157" s="100"/>
      <c r="AQ157" s="100"/>
    </row>
    <row r="158" spans="1:43" ht="15">
      <c r="A158" s="101"/>
      <c r="B158" s="101"/>
      <c r="G158" s="5" t="str">
        <f ca="1">IFERROR(__xludf.DUMMYFUNCTION("IFERROR(VLOOKUP(F181,IMPORTRANGE(""https://docs.google.com/spreadsheets/d/1Kvs4KS76FHFqLFIZfrDMff4kP08nblUkihrxltoGBjg/edit#gid=934712705"",""ESENCIAL!A6:BG""),3,FALSE))"),"")</f>
        <v/>
      </c>
      <c r="H158" s="5" t="str">
        <f ca="1">IFERROR(__xludf.DUMMYFUNCTION("IFERROR(VLOOKUP(F181,IMPORTRANGE(""https://docs.google.com/spreadsheets/d/1Kvs4KS76FHFqLFIZfrDMff4kP08nblUkihrxltoGBjg/edit#gid=934712705"",""ESENCIAL!A6:BG""),8,FALSE))"),"")</f>
        <v/>
      </c>
      <c r="L158" s="287"/>
      <c r="Z158" s="41" t="str">
        <f t="shared" si="12"/>
        <v/>
      </c>
      <c r="AA158" s="5" t="str">
        <f ca="1">IFERROR(__xludf.DUMMYFUNCTION("IFERROR(VLOOKUP(E181&amp;F181,IMPORTRANGE(""https://docs.google.com/spreadsheets/d/1Uw7-A9f9R21vMXxHZFNpYNeKFtG8_yji4HS352LGlSQ/edit?pli=1#gid=0"",""1_ACUM!A4:S""),11,FALSE))"),"")</f>
        <v/>
      </c>
      <c r="AB158" s="42" t="str">
        <f ca="1">IFERROR(__xludf.DUMMYFUNCTION("IFERROR(VLOOKUP(F181,IMPORTRANGE(""https://docs.google.com/spreadsheets/d/1Kvs4KS76FHFqLFIZfrDMff4kP08nblUkihrxltoGBjg/edit#gid=934712705"",""ESENCIAL!A6:BG""),15,FALSE))"),"")</f>
        <v/>
      </c>
      <c r="AC158" s="110" t="str">
        <f ca="1">IFERROR(__xludf.DUMMYFUNCTION("IFERROR(VLOOKUP(E181&amp;F181,IMPORTRANGE(""https://docs.google.com/spreadsheets/d/1Uw7-A9f9R21vMXxHZFNpYNeKFtG8_yji4HS352LGlSQ/edit?pli=1#gid=0"",""1_ACUM!A4:S""),13,FALSE))"),"")</f>
        <v/>
      </c>
      <c r="AD158" s="43" t="str">
        <f ca="1">IFERROR(__xludf.DUMMYFUNCTION("IFERROR(VLOOKUP(E181&amp;F181,IMPORTRANGE(""https://docs.google.com/spreadsheets/d/1Uw7-A9f9R21vMXxHZFNpYNeKFtG8_yji4HS352LGlSQ/edit?pli=1#gid=0"",""1_ACUM!A4:S""),13,FALSE))"),"")</f>
        <v/>
      </c>
      <c r="AE158" s="43" t="str">
        <f ca="1">IFERROR(__xludf.DUMMYFUNCTION("IFERROR(VLOOKUP(E181&amp;F181,IMPORTRANGE(""https://docs.google.com/spreadsheets/d/1Uw7-A9f9R21vMXxHZFNpYNeKFtG8_yji4HS352LGlSQ/edit?pli=1#gid=0"",""1_ACUM!A4:S""),14,FALSE))"),"")</f>
        <v/>
      </c>
      <c r="AF158" s="43" t="str">
        <f ca="1">IFERROR(__xludf.DUMMYFUNCTION("IFERROR(VLOOKUP(E181&amp;F181,IMPORTRANGE(""https://docs.google.com/spreadsheets/d/1Uw7-A9f9R21vMXxHZFNpYNeKFtG8_yji4HS352LGlSQ/edit?pli=1#gid=0"",""1_ACUM!A4:S""),15,FALSE))"),"")</f>
        <v/>
      </c>
      <c r="AG158" s="43" t="str">
        <f ca="1">IFERROR(__xludf.DUMMYFUNCTION("IFERROR(VLOOKUP(E181&amp;F181,IMPORTRANGE(""https://docs.google.com/spreadsheets/d/1Uw7-A9f9R21vMXxHZFNpYNeKFtG8_yji4HS352LGlSQ/edit?pli=1#gid=0"",""1_ACUM!A4:S""),16,FALSE))"),"")</f>
        <v/>
      </c>
      <c r="AH158" s="43" t="str">
        <f ca="1">IFERROR(__xludf.DUMMYFUNCTION("IFERROR(VLOOKUP(E181&amp;F181,IMPORTRANGE(""https://docs.google.com/spreadsheets/d/1Uw7-A9f9R21vMXxHZFNpYNeKFtG8_yji4HS352LGlSQ/edit?pli=1#gid=0"",""1_ACUM!A4:S""),17,FALSE))"),"")</f>
        <v/>
      </c>
      <c r="AI158" s="44" t="str">
        <f ca="1">IFERROR(__xludf.DUMMYFUNCTION("IFERROR(VLOOKUP(E181&amp;F181,IMPORTRANGE(""https://docs.google.com/spreadsheets/d/1Uw7-A9f9R21vMXxHZFNpYNeKFtG8_yji4HS352LGlSQ/edit?pli=1#gid=0"",""1_ACUM!A4:S""),18,FALSE))"),"")</f>
        <v/>
      </c>
      <c r="AJ158" s="44" t="str">
        <f ca="1">IFERROR(__xludf.DUMMYFUNCTION("IFERROR(VLOOKUP(E181&amp;F181,IMPORTRANGE(""https://docs.google.com/spreadsheets/d/1Uw7-A9f9R21vMXxHZFNpYNeKFtG8_yji4HS352LGlSQ/edit?pli=1#gid=0"",""1_ACUM!A4:S""),19,FALSE))"),"")</f>
        <v/>
      </c>
      <c r="AK158" s="98" t="str">
        <f ca="1">IFERROR(__xludf.DUMMYFUNCTION("IFERROR(VLOOKUP(F181,IMPORTRANGE(""https://docs.google.com/spreadsheets/d/1Kvs4KS76FHFqLFIZfrDMff4kP08nblUkihrxltoGBjg/edit#gid=934712705"",""ESENCIAL!A6:BG""),5,FALSE))"),"")</f>
        <v/>
      </c>
      <c r="AL158" s="98" t="str">
        <f t="shared" si="13"/>
        <v/>
      </c>
      <c r="AM158" s="99" t="str">
        <f t="shared" si="14"/>
        <v/>
      </c>
      <c r="AN158" s="100" t="str">
        <f ca="1">IFERROR(__xludf.DUMMYFUNCTION("IFERROR(VLOOKUP(F181,IMPORTRANGE(""https://docs.google.com/spreadsheets/d/1Kvs4KS76FHFqLFIZfrDMff4kP08nblUkihrxltoGBjg/edit#gid=934712705"",""ESENCIAL!A6:BG""),2,FALSE))"),"")</f>
        <v/>
      </c>
      <c r="AO158" s="19" t="str">
        <f t="shared" si="15"/>
        <v/>
      </c>
      <c r="AP158" s="100"/>
      <c r="AQ158" s="100"/>
    </row>
    <row r="159" spans="1:43" ht="15">
      <c r="A159" s="101"/>
      <c r="B159" s="101"/>
      <c r="G159" s="5" t="str">
        <f ca="1">IFERROR(__xludf.DUMMYFUNCTION("IFERROR(VLOOKUP(F182,IMPORTRANGE(""https://docs.google.com/spreadsheets/d/1Kvs4KS76FHFqLFIZfrDMff4kP08nblUkihrxltoGBjg/edit#gid=934712705"",""ESENCIAL!A6:BG""),3,FALSE))"),"")</f>
        <v/>
      </c>
      <c r="H159" s="5" t="str">
        <f ca="1">IFERROR(__xludf.DUMMYFUNCTION("IFERROR(VLOOKUP(F182,IMPORTRANGE(""https://docs.google.com/spreadsheets/d/1Kvs4KS76FHFqLFIZfrDMff4kP08nblUkihrxltoGBjg/edit#gid=934712705"",""ESENCIAL!A6:BG""),8,FALSE))"),"")</f>
        <v/>
      </c>
      <c r="L159" s="287"/>
      <c r="Z159" s="41" t="str">
        <f t="shared" si="12"/>
        <v/>
      </c>
      <c r="AA159" s="5" t="str">
        <f ca="1">IFERROR(__xludf.DUMMYFUNCTION("IFERROR(VLOOKUP(E182&amp;F182,IMPORTRANGE(""https://docs.google.com/spreadsheets/d/1Uw7-A9f9R21vMXxHZFNpYNeKFtG8_yji4HS352LGlSQ/edit?pli=1#gid=0"",""1_ACUM!A4:S""),11,FALSE))"),"")</f>
        <v/>
      </c>
      <c r="AB159" s="42" t="str">
        <f ca="1">IFERROR(__xludf.DUMMYFUNCTION("IFERROR(VLOOKUP(F182,IMPORTRANGE(""https://docs.google.com/spreadsheets/d/1Kvs4KS76FHFqLFIZfrDMff4kP08nblUkihrxltoGBjg/edit#gid=934712705"",""ESENCIAL!A6:BG""),15,FALSE))"),"")</f>
        <v/>
      </c>
      <c r="AC159" s="110" t="str">
        <f ca="1">IFERROR(__xludf.DUMMYFUNCTION("IFERROR(VLOOKUP(E182&amp;F182,IMPORTRANGE(""https://docs.google.com/spreadsheets/d/1Uw7-A9f9R21vMXxHZFNpYNeKFtG8_yji4HS352LGlSQ/edit?pli=1#gid=0"",""1_ACUM!A4:S""),13,FALSE))"),"")</f>
        <v/>
      </c>
      <c r="AD159" s="43" t="str">
        <f ca="1">IFERROR(__xludf.DUMMYFUNCTION("IFERROR(VLOOKUP(E182&amp;F182,IMPORTRANGE(""https://docs.google.com/spreadsheets/d/1Uw7-A9f9R21vMXxHZFNpYNeKFtG8_yji4HS352LGlSQ/edit?pli=1#gid=0"",""1_ACUM!A4:S""),13,FALSE))"),"")</f>
        <v/>
      </c>
      <c r="AE159" s="43" t="str">
        <f ca="1">IFERROR(__xludf.DUMMYFUNCTION("IFERROR(VLOOKUP(E182&amp;F182,IMPORTRANGE(""https://docs.google.com/spreadsheets/d/1Uw7-A9f9R21vMXxHZFNpYNeKFtG8_yji4HS352LGlSQ/edit?pli=1#gid=0"",""1_ACUM!A4:S""),14,FALSE))"),"")</f>
        <v/>
      </c>
      <c r="AF159" s="43" t="str">
        <f ca="1">IFERROR(__xludf.DUMMYFUNCTION("IFERROR(VLOOKUP(E182&amp;F182,IMPORTRANGE(""https://docs.google.com/spreadsheets/d/1Uw7-A9f9R21vMXxHZFNpYNeKFtG8_yji4HS352LGlSQ/edit?pli=1#gid=0"",""1_ACUM!A4:S""),15,FALSE))"),"")</f>
        <v/>
      </c>
      <c r="AG159" s="43" t="str">
        <f ca="1">IFERROR(__xludf.DUMMYFUNCTION("IFERROR(VLOOKUP(E182&amp;F182,IMPORTRANGE(""https://docs.google.com/spreadsheets/d/1Uw7-A9f9R21vMXxHZFNpYNeKFtG8_yji4HS352LGlSQ/edit?pli=1#gid=0"",""1_ACUM!A4:S""),16,FALSE))"),"")</f>
        <v/>
      </c>
      <c r="AH159" s="43" t="str">
        <f ca="1">IFERROR(__xludf.DUMMYFUNCTION("IFERROR(VLOOKUP(E182&amp;F182,IMPORTRANGE(""https://docs.google.com/spreadsheets/d/1Uw7-A9f9R21vMXxHZFNpYNeKFtG8_yji4HS352LGlSQ/edit?pli=1#gid=0"",""1_ACUM!A4:S""),17,FALSE))"),"")</f>
        <v/>
      </c>
      <c r="AI159" s="44" t="str">
        <f ca="1">IFERROR(__xludf.DUMMYFUNCTION("IFERROR(VLOOKUP(E182&amp;F182,IMPORTRANGE(""https://docs.google.com/spreadsheets/d/1Uw7-A9f9R21vMXxHZFNpYNeKFtG8_yji4HS352LGlSQ/edit?pli=1#gid=0"",""1_ACUM!A4:S""),18,FALSE))"),"")</f>
        <v/>
      </c>
      <c r="AJ159" s="44" t="str">
        <f ca="1">IFERROR(__xludf.DUMMYFUNCTION("IFERROR(VLOOKUP(E182&amp;F182,IMPORTRANGE(""https://docs.google.com/spreadsheets/d/1Uw7-A9f9R21vMXxHZFNpYNeKFtG8_yji4HS352LGlSQ/edit?pli=1#gid=0"",""1_ACUM!A4:S""),19,FALSE))"),"")</f>
        <v/>
      </c>
      <c r="AK159" s="98" t="str">
        <f ca="1">IFERROR(__xludf.DUMMYFUNCTION("IFERROR(VLOOKUP(F182,IMPORTRANGE(""https://docs.google.com/spreadsheets/d/1Kvs4KS76FHFqLFIZfrDMff4kP08nblUkihrxltoGBjg/edit#gid=934712705"",""ESENCIAL!A6:BG""),5,FALSE))"),"")</f>
        <v/>
      </c>
      <c r="AL159" s="98" t="str">
        <f t="shared" si="13"/>
        <v/>
      </c>
      <c r="AM159" s="99" t="str">
        <f t="shared" si="14"/>
        <v/>
      </c>
      <c r="AN159" s="100" t="str">
        <f ca="1">IFERROR(__xludf.DUMMYFUNCTION("IFERROR(VLOOKUP(F182,IMPORTRANGE(""https://docs.google.com/spreadsheets/d/1Kvs4KS76FHFqLFIZfrDMff4kP08nblUkihrxltoGBjg/edit#gid=934712705"",""ESENCIAL!A6:BG""),2,FALSE))"),"")</f>
        <v/>
      </c>
      <c r="AO159" s="19" t="str">
        <f t="shared" si="15"/>
        <v/>
      </c>
      <c r="AP159" s="100"/>
      <c r="AQ159" s="100"/>
    </row>
    <row r="160" spans="1:43" ht="15">
      <c r="A160" s="101"/>
      <c r="B160" s="101"/>
      <c r="G160" s="5" t="str">
        <f ca="1">IFERROR(__xludf.DUMMYFUNCTION("IFERROR(VLOOKUP(F183,IMPORTRANGE(""https://docs.google.com/spreadsheets/d/1Kvs4KS76FHFqLFIZfrDMff4kP08nblUkihrxltoGBjg/edit#gid=934712705"",""ESENCIAL!A6:BG""),3,FALSE))"),"")</f>
        <v/>
      </c>
      <c r="H160" s="5" t="str">
        <f ca="1">IFERROR(__xludf.DUMMYFUNCTION("IFERROR(VLOOKUP(F183,IMPORTRANGE(""https://docs.google.com/spreadsheets/d/1Kvs4KS76FHFqLFIZfrDMff4kP08nblUkihrxltoGBjg/edit#gid=934712705"",""ESENCIAL!A6:BG""),8,FALSE))"),"")</f>
        <v/>
      </c>
      <c r="L160" s="287"/>
      <c r="Z160" s="41" t="str">
        <f t="shared" si="12"/>
        <v/>
      </c>
      <c r="AA160" s="5" t="str">
        <f ca="1">IFERROR(__xludf.DUMMYFUNCTION("IFERROR(VLOOKUP(E183&amp;F183,IMPORTRANGE(""https://docs.google.com/spreadsheets/d/1Uw7-A9f9R21vMXxHZFNpYNeKFtG8_yji4HS352LGlSQ/edit?pli=1#gid=0"",""1_ACUM!A4:S""),11,FALSE))"),"")</f>
        <v/>
      </c>
      <c r="AB160" s="42" t="str">
        <f ca="1">IFERROR(__xludf.DUMMYFUNCTION("IFERROR(VLOOKUP(F183,IMPORTRANGE(""https://docs.google.com/spreadsheets/d/1Kvs4KS76FHFqLFIZfrDMff4kP08nblUkihrxltoGBjg/edit#gid=934712705"",""ESENCIAL!A6:BG""),15,FALSE))"),"")</f>
        <v/>
      </c>
      <c r="AC160" s="110" t="str">
        <f ca="1">IFERROR(__xludf.DUMMYFUNCTION("IFERROR(VLOOKUP(E183&amp;F183,IMPORTRANGE(""https://docs.google.com/spreadsheets/d/1Uw7-A9f9R21vMXxHZFNpYNeKFtG8_yji4HS352LGlSQ/edit?pli=1#gid=0"",""1_ACUM!A4:S""),13,FALSE))"),"")</f>
        <v/>
      </c>
      <c r="AD160" s="43" t="str">
        <f ca="1">IFERROR(__xludf.DUMMYFUNCTION("IFERROR(VLOOKUP(E183&amp;F183,IMPORTRANGE(""https://docs.google.com/spreadsheets/d/1Uw7-A9f9R21vMXxHZFNpYNeKFtG8_yji4HS352LGlSQ/edit?pli=1#gid=0"",""1_ACUM!A4:S""),13,FALSE))"),"")</f>
        <v/>
      </c>
      <c r="AE160" s="43" t="str">
        <f ca="1">IFERROR(__xludf.DUMMYFUNCTION("IFERROR(VLOOKUP(E183&amp;F183,IMPORTRANGE(""https://docs.google.com/spreadsheets/d/1Uw7-A9f9R21vMXxHZFNpYNeKFtG8_yji4HS352LGlSQ/edit?pli=1#gid=0"",""1_ACUM!A4:S""),14,FALSE))"),"")</f>
        <v/>
      </c>
      <c r="AF160" s="43" t="str">
        <f ca="1">IFERROR(__xludf.DUMMYFUNCTION("IFERROR(VLOOKUP(E183&amp;F183,IMPORTRANGE(""https://docs.google.com/spreadsheets/d/1Uw7-A9f9R21vMXxHZFNpYNeKFtG8_yji4HS352LGlSQ/edit?pli=1#gid=0"",""1_ACUM!A4:S""),15,FALSE))"),"")</f>
        <v/>
      </c>
      <c r="AG160" s="43" t="str">
        <f ca="1">IFERROR(__xludf.DUMMYFUNCTION("IFERROR(VLOOKUP(E183&amp;F183,IMPORTRANGE(""https://docs.google.com/spreadsheets/d/1Uw7-A9f9R21vMXxHZFNpYNeKFtG8_yji4HS352LGlSQ/edit?pli=1#gid=0"",""1_ACUM!A4:S""),16,FALSE))"),"")</f>
        <v/>
      </c>
      <c r="AH160" s="43" t="str">
        <f ca="1">IFERROR(__xludf.DUMMYFUNCTION("IFERROR(VLOOKUP(E183&amp;F183,IMPORTRANGE(""https://docs.google.com/spreadsheets/d/1Uw7-A9f9R21vMXxHZFNpYNeKFtG8_yji4HS352LGlSQ/edit?pli=1#gid=0"",""1_ACUM!A4:S""),17,FALSE))"),"")</f>
        <v/>
      </c>
      <c r="AI160" s="44" t="str">
        <f ca="1">IFERROR(__xludf.DUMMYFUNCTION("IFERROR(VLOOKUP(E183&amp;F183,IMPORTRANGE(""https://docs.google.com/spreadsheets/d/1Uw7-A9f9R21vMXxHZFNpYNeKFtG8_yji4HS352LGlSQ/edit?pli=1#gid=0"",""1_ACUM!A4:S""),18,FALSE))"),"")</f>
        <v/>
      </c>
      <c r="AJ160" s="44" t="str">
        <f ca="1">IFERROR(__xludf.DUMMYFUNCTION("IFERROR(VLOOKUP(E183&amp;F183,IMPORTRANGE(""https://docs.google.com/spreadsheets/d/1Uw7-A9f9R21vMXxHZFNpYNeKFtG8_yji4HS352LGlSQ/edit?pli=1#gid=0"",""1_ACUM!A4:S""),19,FALSE))"),"")</f>
        <v/>
      </c>
      <c r="AK160" s="98" t="str">
        <f ca="1">IFERROR(__xludf.DUMMYFUNCTION("IFERROR(VLOOKUP(F183,IMPORTRANGE(""https://docs.google.com/spreadsheets/d/1Kvs4KS76FHFqLFIZfrDMff4kP08nblUkihrxltoGBjg/edit#gid=934712705"",""ESENCIAL!A6:BG""),5,FALSE))"),"")</f>
        <v/>
      </c>
      <c r="AL160" s="98" t="str">
        <f t="shared" si="13"/>
        <v/>
      </c>
      <c r="AM160" s="99" t="str">
        <f t="shared" si="14"/>
        <v/>
      </c>
      <c r="AN160" s="100" t="str">
        <f ca="1">IFERROR(__xludf.DUMMYFUNCTION("IFERROR(VLOOKUP(F183,IMPORTRANGE(""https://docs.google.com/spreadsheets/d/1Kvs4KS76FHFqLFIZfrDMff4kP08nblUkihrxltoGBjg/edit#gid=934712705"",""ESENCIAL!A6:BG""),2,FALSE))"),"")</f>
        <v/>
      </c>
      <c r="AO160" s="19" t="str">
        <f t="shared" si="15"/>
        <v/>
      </c>
      <c r="AP160" s="100"/>
      <c r="AQ160" s="100"/>
    </row>
    <row r="161" spans="1:43" ht="15">
      <c r="A161" s="101"/>
      <c r="B161" s="101"/>
      <c r="G161" s="5" t="str">
        <f ca="1">IFERROR(__xludf.DUMMYFUNCTION("IFERROR(VLOOKUP(F184,IMPORTRANGE(""https://docs.google.com/spreadsheets/d/1Kvs4KS76FHFqLFIZfrDMff4kP08nblUkihrxltoGBjg/edit#gid=934712705"",""ESENCIAL!A6:BG""),3,FALSE))"),"")</f>
        <v/>
      </c>
      <c r="H161" s="5" t="str">
        <f ca="1">IFERROR(__xludf.DUMMYFUNCTION("IFERROR(VLOOKUP(F184,IMPORTRANGE(""https://docs.google.com/spreadsheets/d/1Kvs4KS76FHFqLFIZfrDMff4kP08nblUkihrxltoGBjg/edit#gid=934712705"",""ESENCIAL!A6:BG""),8,FALSE))"),"")</f>
        <v/>
      </c>
      <c r="L161" s="287"/>
      <c r="Z161" s="41" t="str">
        <f t="shared" si="12"/>
        <v/>
      </c>
      <c r="AA161" s="5" t="str">
        <f ca="1">IFERROR(__xludf.DUMMYFUNCTION("IFERROR(VLOOKUP(E184&amp;F184,IMPORTRANGE(""https://docs.google.com/spreadsheets/d/1Uw7-A9f9R21vMXxHZFNpYNeKFtG8_yji4HS352LGlSQ/edit?pli=1#gid=0"",""1_ACUM!A4:S""),11,FALSE))"),"")</f>
        <v/>
      </c>
      <c r="AB161" s="42" t="str">
        <f ca="1">IFERROR(__xludf.DUMMYFUNCTION("IFERROR(VLOOKUP(F184,IMPORTRANGE(""https://docs.google.com/spreadsheets/d/1Kvs4KS76FHFqLFIZfrDMff4kP08nblUkihrxltoGBjg/edit#gid=934712705"",""ESENCIAL!A6:BG""),15,FALSE))"),"")</f>
        <v/>
      </c>
      <c r="AC161" s="110" t="str">
        <f ca="1">IFERROR(__xludf.DUMMYFUNCTION("IFERROR(VLOOKUP(E184&amp;F184,IMPORTRANGE(""https://docs.google.com/spreadsheets/d/1Uw7-A9f9R21vMXxHZFNpYNeKFtG8_yji4HS352LGlSQ/edit?pli=1#gid=0"",""1_ACUM!A4:S""),13,FALSE))"),"")</f>
        <v/>
      </c>
      <c r="AD161" s="43" t="str">
        <f ca="1">IFERROR(__xludf.DUMMYFUNCTION("IFERROR(VLOOKUP(E184&amp;F184,IMPORTRANGE(""https://docs.google.com/spreadsheets/d/1Uw7-A9f9R21vMXxHZFNpYNeKFtG8_yji4HS352LGlSQ/edit?pli=1#gid=0"",""1_ACUM!A4:S""),13,FALSE))"),"")</f>
        <v/>
      </c>
      <c r="AE161" s="43" t="str">
        <f ca="1">IFERROR(__xludf.DUMMYFUNCTION("IFERROR(VLOOKUP(E184&amp;F184,IMPORTRANGE(""https://docs.google.com/spreadsheets/d/1Uw7-A9f9R21vMXxHZFNpYNeKFtG8_yji4HS352LGlSQ/edit?pli=1#gid=0"",""1_ACUM!A4:S""),14,FALSE))"),"")</f>
        <v/>
      </c>
      <c r="AF161" s="43" t="str">
        <f ca="1">IFERROR(__xludf.DUMMYFUNCTION("IFERROR(VLOOKUP(E184&amp;F184,IMPORTRANGE(""https://docs.google.com/spreadsheets/d/1Uw7-A9f9R21vMXxHZFNpYNeKFtG8_yji4HS352LGlSQ/edit?pli=1#gid=0"",""1_ACUM!A4:S""),15,FALSE))"),"")</f>
        <v/>
      </c>
      <c r="AG161" s="43" t="str">
        <f ca="1">IFERROR(__xludf.DUMMYFUNCTION("IFERROR(VLOOKUP(E184&amp;F184,IMPORTRANGE(""https://docs.google.com/spreadsheets/d/1Uw7-A9f9R21vMXxHZFNpYNeKFtG8_yji4HS352LGlSQ/edit?pli=1#gid=0"",""1_ACUM!A4:S""),16,FALSE))"),"")</f>
        <v/>
      </c>
      <c r="AH161" s="43" t="str">
        <f ca="1">IFERROR(__xludf.DUMMYFUNCTION("IFERROR(VLOOKUP(E184&amp;F184,IMPORTRANGE(""https://docs.google.com/spreadsheets/d/1Uw7-A9f9R21vMXxHZFNpYNeKFtG8_yji4HS352LGlSQ/edit?pli=1#gid=0"",""1_ACUM!A4:S""),17,FALSE))"),"")</f>
        <v/>
      </c>
      <c r="AI161" s="44" t="str">
        <f ca="1">IFERROR(__xludf.DUMMYFUNCTION("IFERROR(VLOOKUP(E184&amp;F184,IMPORTRANGE(""https://docs.google.com/spreadsheets/d/1Uw7-A9f9R21vMXxHZFNpYNeKFtG8_yji4HS352LGlSQ/edit?pli=1#gid=0"",""1_ACUM!A4:S""),18,FALSE))"),"")</f>
        <v/>
      </c>
      <c r="AJ161" s="44" t="str">
        <f ca="1">IFERROR(__xludf.DUMMYFUNCTION("IFERROR(VLOOKUP(E184&amp;F184,IMPORTRANGE(""https://docs.google.com/spreadsheets/d/1Uw7-A9f9R21vMXxHZFNpYNeKFtG8_yji4HS352LGlSQ/edit?pli=1#gid=0"",""1_ACUM!A4:S""),19,FALSE))"),"")</f>
        <v/>
      </c>
      <c r="AK161" s="98" t="str">
        <f ca="1">IFERROR(__xludf.DUMMYFUNCTION("IFERROR(VLOOKUP(F184,IMPORTRANGE(""https://docs.google.com/spreadsheets/d/1Kvs4KS76FHFqLFIZfrDMff4kP08nblUkihrxltoGBjg/edit#gid=934712705"",""ESENCIAL!A6:BG""),5,FALSE))"),"")</f>
        <v/>
      </c>
      <c r="AL161" s="98" t="str">
        <f t="shared" si="13"/>
        <v/>
      </c>
      <c r="AM161" s="99" t="str">
        <f t="shared" si="14"/>
        <v/>
      </c>
      <c r="AN161" s="100" t="str">
        <f ca="1">IFERROR(__xludf.DUMMYFUNCTION("IFERROR(VLOOKUP(F184,IMPORTRANGE(""https://docs.google.com/spreadsheets/d/1Kvs4KS76FHFqLFIZfrDMff4kP08nblUkihrxltoGBjg/edit#gid=934712705"",""ESENCIAL!A6:BG""),2,FALSE))"),"")</f>
        <v/>
      </c>
      <c r="AO161" s="19" t="str">
        <f t="shared" si="15"/>
        <v/>
      </c>
      <c r="AP161" s="100"/>
      <c r="AQ161" s="100"/>
    </row>
    <row r="162" spans="1:43" ht="15">
      <c r="A162" s="101"/>
      <c r="B162" s="101"/>
      <c r="G162" s="5" t="str">
        <f ca="1">IFERROR(__xludf.DUMMYFUNCTION("IFERROR(VLOOKUP(F185,IMPORTRANGE(""https://docs.google.com/spreadsheets/d/1Kvs4KS76FHFqLFIZfrDMff4kP08nblUkihrxltoGBjg/edit#gid=934712705"",""ESENCIAL!A6:BG""),3,FALSE))"),"")</f>
        <v/>
      </c>
      <c r="H162" s="5" t="str">
        <f ca="1">IFERROR(__xludf.DUMMYFUNCTION("IFERROR(VLOOKUP(F185,IMPORTRANGE(""https://docs.google.com/spreadsheets/d/1Kvs4KS76FHFqLFIZfrDMff4kP08nblUkihrxltoGBjg/edit#gid=934712705"",""ESENCIAL!A6:BG""),8,FALSE))"),"")</f>
        <v/>
      </c>
      <c r="L162" s="287"/>
      <c r="Z162" s="41" t="str">
        <f t="shared" si="12"/>
        <v/>
      </c>
      <c r="AA162" s="5" t="str">
        <f ca="1">IFERROR(__xludf.DUMMYFUNCTION("IFERROR(VLOOKUP(E185&amp;F185,IMPORTRANGE(""https://docs.google.com/spreadsheets/d/1Uw7-A9f9R21vMXxHZFNpYNeKFtG8_yji4HS352LGlSQ/edit?pli=1#gid=0"",""1_ACUM!A4:S""),11,FALSE))"),"")</f>
        <v/>
      </c>
      <c r="AB162" s="42" t="str">
        <f ca="1">IFERROR(__xludf.DUMMYFUNCTION("IFERROR(VLOOKUP(F185,IMPORTRANGE(""https://docs.google.com/spreadsheets/d/1Kvs4KS76FHFqLFIZfrDMff4kP08nblUkihrxltoGBjg/edit#gid=934712705"",""ESENCIAL!A6:BG""),15,FALSE))"),"")</f>
        <v/>
      </c>
      <c r="AC162" s="110" t="str">
        <f ca="1">IFERROR(__xludf.DUMMYFUNCTION("IFERROR(VLOOKUP(E185&amp;F185,IMPORTRANGE(""https://docs.google.com/spreadsheets/d/1Uw7-A9f9R21vMXxHZFNpYNeKFtG8_yji4HS352LGlSQ/edit?pli=1#gid=0"",""1_ACUM!A4:S""),13,FALSE))"),"")</f>
        <v/>
      </c>
      <c r="AD162" s="43" t="str">
        <f ca="1">IFERROR(__xludf.DUMMYFUNCTION("IFERROR(VLOOKUP(E185&amp;F185,IMPORTRANGE(""https://docs.google.com/spreadsheets/d/1Uw7-A9f9R21vMXxHZFNpYNeKFtG8_yji4HS352LGlSQ/edit?pli=1#gid=0"",""1_ACUM!A4:S""),13,FALSE))"),"")</f>
        <v/>
      </c>
      <c r="AE162" s="43" t="str">
        <f ca="1">IFERROR(__xludf.DUMMYFUNCTION("IFERROR(VLOOKUP(E185&amp;F185,IMPORTRANGE(""https://docs.google.com/spreadsheets/d/1Uw7-A9f9R21vMXxHZFNpYNeKFtG8_yji4HS352LGlSQ/edit?pli=1#gid=0"",""1_ACUM!A4:S""),14,FALSE))"),"")</f>
        <v/>
      </c>
      <c r="AF162" s="43" t="str">
        <f ca="1">IFERROR(__xludf.DUMMYFUNCTION("IFERROR(VLOOKUP(E185&amp;F185,IMPORTRANGE(""https://docs.google.com/spreadsheets/d/1Uw7-A9f9R21vMXxHZFNpYNeKFtG8_yji4HS352LGlSQ/edit?pli=1#gid=0"",""1_ACUM!A4:S""),15,FALSE))"),"")</f>
        <v/>
      </c>
      <c r="AG162" s="43" t="str">
        <f ca="1">IFERROR(__xludf.DUMMYFUNCTION("IFERROR(VLOOKUP(E185&amp;F185,IMPORTRANGE(""https://docs.google.com/spreadsheets/d/1Uw7-A9f9R21vMXxHZFNpYNeKFtG8_yji4HS352LGlSQ/edit?pli=1#gid=0"",""1_ACUM!A4:S""),16,FALSE))"),"")</f>
        <v/>
      </c>
      <c r="AH162" s="43" t="str">
        <f ca="1">IFERROR(__xludf.DUMMYFUNCTION("IFERROR(VLOOKUP(E185&amp;F185,IMPORTRANGE(""https://docs.google.com/spreadsheets/d/1Uw7-A9f9R21vMXxHZFNpYNeKFtG8_yji4HS352LGlSQ/edit?pli=1#gid=0"",""1_ACUM!A4:S""),17,FALSE))"),"")</f>
        <v/>
      </c>
      <c r="AI162" s="44" t="str">
        <f ca="1">IFERROR(__xludf.DUMMYFUNCTION("IFERROR(VLOOKUP(E185&amp;F185,IMPORTRANGE(""https://docs.google.com/spreadsheets/d/1Uw7-A9f9R21vMXxHZFNpYNeKFtG8_yji4HS352LGlSQ/edit?pli=1#gid=0"",""1_ACUM!A4:S""),18,FALSE))"),"")</f>
        <v/>
      </c>
      <c r="AJ162" s="44" t="str">
        <f ca="1">IFERROR(__xludf.DUMMYFUNCTION("IFERROR(VLOOKUP(E185&amp;F185,IMPORTRANGE(""https://docs.google.com/spreadsheets/d/1Uw7-A9f9R21vMXxHZFNpYNeKFtG8_yji4HS352LGlSQ/edit?pli=1#gid=0"",""1_ACUM!A4:S""),19,FALSE))"),"")</f>
        <v/>
      </c>
      <c r="AK162" s="98" t="str">
        <f ca="1">IFERROR(__xludf.DUMMYFUNCTION("IFERROR(VLOOKUP(F185,IMPORTRANGE(""https://docs.google.com/spreadsheets/d/1Kvs4KS76FHFqLFIZfrDMff4kP08nblUkihrxltoGBjg/edit#gid=934712705"",""ESENCIAL!A6:BG""),5,FALSE))"),"")</f>
        <v/>
      </c>
      <c r="AL162" s="98" t="str">
        <f t="shared" si="13"/>
        <v/>
      </c>
      <c r="AM162" s="99" t="str">
        <f t="shared" si="14"/>
        <v/>
      </c>
      <c r="AN162" s="100" t="str">
        <f ca="1">IFERROR(__xludf.DUMMYFUNCTION("IFERROR(VLOOKUP(F185,IMPORTRANGE(""https://docs.google.com/spreadsheets/d/1Kvs4KS76FHFqLFIZfrDMff4kP08nblUkihrxltoGBjg/edit#gid=934712705"",""ESENCIAL!A6:BG""),2,FALSE))"),"")</f>
        <v/>
      </c>
      <c r="AO162" s="19" t="str">
        <f t="shared" si="15"/>
        <v/>
      </c>
      <c r="AP162" s="100"/>
      <c r="AQ162" s="100"/>
    </row>
    <row r="163" spans="1:43" ht="15">
      <c r="A163" s="101"/>
      <c r="B163" s="101"/>
      <c r="G163" s="5" t="str">
        <f ca="1">IFERROR(__xludf.DUMMYFUNCTION("IFERROR(VLOOKUP(F186,IMPORTRANGE(""https://docs.google.com/spreadsheets/d/1Kvs4KS76FHFqLFIZfrDMff4kP08nblUkihrxltoGBjg/edit#gid=934712705"",""ESENCIAL!A6:BG""),3,FALSE))"),"")</f>
        <v/>
      </c>
      <c r="H163" s="5" t="str">
        <f ca="1">IFERROR(__xludf.DUMMYFUNCTION("IFERROR(VLOOKUP(F186,IMPORTRANGE(""https://docs.google.com/spreadsheets/d/1Kvs4KS76FHFqLFIZfrDMff4kP08nblUkihrxltoGBjg/edit#gid=934712705"",""ESENCIAL!A6:BG""),8,FALSE))"),"")</f>
        <v/>
      </c>
      <c r="L163" s="287"/>
      <c r="Z163" s="41" t="str">
        <f t="shared" si="12"/>
        <v/>
      </c>
      <c r="AA163" s="5" t="str">
        <f ca="1">IFERROR(__xludf.DUMMYFUNCTION("IFERROR(VLOOKUP(E186&amp;F186,IMPORTRANGE(""https://docs.google.com/spreadsheets/d/1Uw7-A9f9R21vMXxHZFNpYNeKFtG8_yji4HS352LGlSQ/edit?pli=1#gid=0"",""1_ACUM!A4:S""),11,FALSE))"),"")</f>
        <v/>
      </c>
      <c r="AB163" s="42" t="str">
        <f ca="1">IFERROR(__xludf.DUMMYFUNCTION("IFERROR(VLOOKUP(F186,IMPORTRANGE(""https://docs.google.com/spreadsheets/d/1Kvs4KS76FHFqLFIZfrDMff4kP08nblUkihrxltoGBjg/edit#gid=934712705"",""ESENCIAL!A6:BG""),15,FALSE))"),"")</f>
        <v/>
      </c>
      <c r="AC163" s="110" t="str">
        <f ca="1">IFERROR(__xludf.DUMMYFUNCTION("IFERROR(VLOOKUP(E186&amp;F186,IMPORTRANGE(""https://docs.google.com/spreadsheets/d/1Uw7-A9f9R21vMXxHZFNpYNeKFtG8_yji4HS352LGlSQ/edit?pli=1#gid=0"",""1_ACUM!A4:S""),13,FALSE))"),"")</f>
        <v/>
      </c>
      <c r="AD163" s="43" t="str">
        <f ca="1">IFERROR(__xludf.DUMMYFUNCTION("IFERROR(VLOOKUP(E186&amp;F186,IMPORTRANGE(""https://docs.google.com/spreadsheets/d/1Uw7-A9f9R21vMXxHZFNpYNeKFtG8_yji4HS352LGlSQ/edit?pli=1#gid=0"",""1_ACUM!A4:S""),13,FALSE))"),"")</f>
        <v/>
      </c>
      <c r="AE163" s="43" t="str">
        <f ca="1">IFERROR(__xludf.DUMMYFUNCTION("IFERROR(VLOOKUP(E186&amp;F186,IMPORTRANGE(""https://docs.google.com/spreadsheets/d/1Uw7-A9f9R21vMXxHZFNpYNeKFtG8_yji4HS352LGlSQ/edit?pli=1#gid=0"",""1_ACUM!A4:S""),14,FALSE))"),"")</f>
        <v/>
      </c>
      <c r="AF163" s="43" t="str">
        <f ca="1">IFERROR(__xludf.DUMMYFUNCTION("IFERROR(VLOOKUP(E186&amp;F186,IMPORTRANGE(""https://docs.google.com/spreadsheets/d/1Uw7-A9f9R21vMXxHZFNpYNeKFtG8_yji4HS352LGlSQ/edit?pli=1#gid=0"",""1_ACUM!A4:S""),15,FALSE))"),"")</f>
        <v/>
      </c>
      <c r="AG163" s="43" t="str">
        <f ca="1">IFERROR(__xludf.DUMMYFUNCTION("IFERROR(VLOOKUP(E186&amp;F186,IMPORTRANGE(""https://docs.google.com/spreadsheets/d/1Uw7-A9f9R21vMXxHZFNpYNeKFtG8_yji4HS352LGlSQ/edit?pli=1#gid=0"",""1_ACUM!A4:S""),16,FALSE))"),"")</f>
        <v/>
      </c>
      <c r="AH163" s="43" t="str">
        <f ca="1">IFERROR(__xludf.DUMMYFUNCTION("IFERROR(VLOOKUP(E186&amp;F186,IMPORTRANGE(""https://docs.google.com/spreadsheets/d/1Uw7-A9f9R21vMXxHZFNpYNeKFtG8_yji4HS352LGlSQ/edit?pli=1#gid=0"",""1_ACUM!A4:S""),17,FALSE))"),"")</f>
        <v/>
      </c>
      <c r="AI163" s="44" t="str">
        <f ca="1">IFERROR(__xludf.DUMMYFUNCTION("IFERROR(VLOOKUP(E186&amp;F186,IMPORTRANGE(""https://docs.google.com/spreadsheets/d/1Uw7-A9f9R21vMXxHZFNpYNeKFtG8_yji4HS352LGlSQ/edit?pli=1#gid=0"",""1_ACUM!A4:S""),18,FALSE))"),"")</f>
        <v/>
      </c>
      <c r="AJ163" s="44" t="str">
        <f ca="1">IFERROR(__xludf.DUMMYFUNCTION("IFERROR(VLOOKUP(E186&amp;F186,IMPORTRANGE(""https://docs.google.com/spreadsheets/d/1Uw7-A9f9R21vMXxHZFNpYNeKFtG8_yji4HS352LGlSQ/edit?pli=1#gid=0"",""1_ACUM!A4:S""),19,FALSE))"),"")</f>
        <v/>
      </c>
      <c r="AK163" s="98" t="str">
        <f ca="1">IFERROR(__xludf.DUMMYFUNCTION("IFERROR(VLOOKUP(F186,IMPORTRANGE(""https://docs.google.com/spreadsheets/d/1Kvs4KS76FHFqLFIZfrDMff4kP08nblUkihrxltoGBjg/edit#gid=934712705"",""ESENCIAL!A6:BG""),5,FALSE))"),"")</f>
        <v/>
      </c>
      <c r="AL163" s="98" t="str">
        <f t="shared" si="13"/>
        <v/>
      </c>
      <c r="AM163" s="99" t="str">
        <f t="shared" si="14"/>
        <v/>
      </c>
      <c r="AN163" s="100" t="str">
        <f ca="1">IFERROR(__xludf.DUMMYFUNCTION("IFERROR(VLOOKUP(F186,IMPORTRANGE(""https://docs.google.com/spreadsheets/d/1Kvs4KS76FHFqLFIZfrDMff4kP08nblUkihrxltoGBjg/edit#gid=934712705"",""ESENCIAL!A6:BG""),2,FALSE))"),"")</f>
        <v/>
      </c>
      <c r="AO163" s="19" t="str">
        <f t="shared" si="15"/>
        <v/>
      </c>
      <c r="AP163" s="100"/>
      <c r="AQ163" s="100"/>
    </row>
    <row r="164" spans="1:43" ht="15">
      <c r="A164" s="101"/>
      <c r="B164" s="101"/>
      <c r="G164" s="5" t="str">
        <f ca="1">IFERROR(__xludf.DUMMYFUNCTION("IFERROR(VLOOKUP(F187,IMPORTRANGE(""https://docs.google.com/spreadsheets/d/1Kvs4KS76FHFqLFIZfrDMff4kP08nblUkihrxltoGBjg/edit#gid=934712705"",""ESENCIAL!A6:BG""),3,FALSE))"),"")</f>
        <v/>
      </c>
      <c r="H164" s="5" t="str">
        <f ca="1">IFERROR(__xludf.DUMMYFUNCTION("IFERROR(VLOOKUP(F187,IMPORTRANGE(""https://docs.google.com/spreadsheets/d/1Kvs4KS76FHFqLFIZfrDMff4kP08nblUkihrxltoGBjg/edit#gid=934712705"",""ESENCIAL!A6:BG""),8,FALSE))"),"")</f>
        <v/>
      </c>
      <c r="L164" s="287"/>
      <c r="Z164" s="41" t="str">
        <f t="shared" si="12"/>
        <v/>
      </c>
      <c r="AA164" s="5" t="str">
        <f ca="1">IFERROR(__xludf.DUMMYFUNCTION("IFERROR(VLOOKUP(E187&amp;F187,IMPORTRANGE(""https://docs.google.com/spreadsheets/d/1Uw7-A9f9R21vMXxHZFNpYNeKFtG8_yji4HS352LGlSQ/edit?pli=1#gid=0"",""1_ACUM!A4:S""),11,FALSE))"),"")</f>
        <v/>
      </c>
      <c r="AB164" s="42" t="str">
        <f ca="1">IFERROR(__xludf.DUMMYFUNCTION("IFERROR(VLOOKUP(F187,IMPORTRANGE(""https://docs.google.com/spreadsheets/d/1Kvs4KS76FHFqLFIZfrDMff4kP08nblUkihrxltoGBjg/edit#gid=934712705"",""ESENCIAL!A6:BG""),15,FALSE))"),"")</f>
        <v/>
      </c>
      <c r="AC164" s="110" t="str">
        <f ca="1">IFERROR(__xludf.DUMMYFUNCTION("IFERROR(VLOOKUP(E187&amp;F187,IMPORTRANGE(""https://docs.google.com/spreadsheets/d/1Uw7-A9f9R21vMXxHZFNpYNeKFtG8_yji4HS352LGlSQ/edit?pli=1#gid=0"",""1_ACUM!A4:S""),13,FALSE))"),"")</f>
        <v/>
      </c>
      <c r="AD164" s="43" t="str">
        <f ca="1">IFERROR(__xludf.DUMMYFUNCTION("IFERROR(VLOOKUP(E187&amp;F187,IMPORTRANGE(""https://docs.google.com/spreadsheets/d/1Uw7-A9f9R21vMXxHZFNpYNeKFtG8_yji4HS352LGlSQ/edit?pli=1#gid=0"",""1_ACUM!A4:S""),13,FALSE))"),"")</f>
        <v/>
      </c>
      <c r="AE164" s="43" t="str">
        <f ca="1">IFERROR(__xludf.DUMMYFUNCTION("IFERROR(VLOOKUP(E187&amp;F187,IMPORTRANGE(""https://docs.google.com/spreadsheets/d/1Uw7-A9f9R21vMXxHZFNpYNeKFtG8_yji4HS352LGlSQ/edit?pli=1#gid=0"",""1_ACUM!A4:S""),14,FALSE))"),"")</f>
        <v/>
      </c>
      <c r="AF164" s="43" t="str">
        <f ca="1">IFERROR(__xludf.DUMMYFUNCTION("IFERROR(VLOOKUP(E187&amp;F187,IMPORTRANGE(""https://docs.google.com/spreadsheets/d/1Uw7-A9f9R21vMXxHZFNpYNeKFtG8_yji4HS352LGlSQ/edit?pli=1#gid=0"",""1_ACUM!A4:S""),15,FALSE))"),"")</f>
        <v/>
      </c>
      <c r="AG164" s="43" t="str">
        <f ca="1">IFERROR(__xludf.DUMMYFUNCTION("IFERROR(VLOOKUP(E187&amp;F187,IMPORTRANGE(""https://docs.google.com/spreadsheets/d/1Uw7-A9f9R21vMXxHZFNpYNeKFtG8_yji4HS352LGlSQ/edit?pli=1#gid=0"",""1_ACUM!A4:S""),16,FALSE))"),"")</f>
        <v/>
      </c>
      <c r="AH164" s="43" t="str">
        <f ca="1">IFERROR(__xludf.DUMMYFUNCTION("IFERROR(VLOOKUP(E187&amp;F187,IMPORTRANGE(""https://docs.google.com/spreadsheets/d/1Uw7-A9f9R21vMXxHZFNpYNeKFtG8_yji4HS352LGlSQ/edit?pli=1#gid=0"",""1_ACUM!A4:S""),17,FALSE))"),"")</f>
        <v/>
      </c>
      <c r="AI164" s="44" t="str">
        <f ca="1">IFERROR(__xludf.DUMMYFUNCTION("IFERROR(VLOOKUP(E187&amp;F187,IMPORTRANGE(""https://docs.google.com/spreadsheets/d/1Uw7-A9f9R21vMXxHZFNpYNeKFtG8_yji4HS352LGlSQ/edit?pli=1#gid=0"",""1_ACUM!A4:S""),18,FALSE))"),"")</f>
        <v/>
      </c>
      <c r="AJ164" s="44" t="str">
        <f ca="1">IFERROR(__xludf.DUMMYFUNCTION("IFERROR(VLOOKUP(E187&amp;F187,IMPORTRANGE(""https://docs.google.com/spreadsheets/d/1Uw7-A9f9R21vMXxHZFNpYNeKFtG8_yji4HS352LGlSQ/edit?pli=1#gid=0"",""1_ACUM!A4:S""),19,FALSE))"),"")</f>
        <v/>
      </c>
      <c r="AK164" s="98" t="str">
        <f ca="1">IFERROR(__xludf.DUMMYFUNCTION("IFERROR(VLOOKUP(F187,IMPORTRANGE(""https://docs.google.com/spreadsheets/d/1Kvs4KS76FHFqLFIZfrDMff4kP08nblUkihrxltoGBjg/edit#gid=934712705"",""ESENCIAL!A6:BG""),5,FALSE))"),"")</f>
        <v/>
      </c>
      <c r="AL164" s="98" t="str">
        <f t="shared" si="13"/>
        <v/>
      </c>
      <c r="AM164" s="99" t="str">
        <f t="shared" si="14"/>
        <v/>
      </c>
      <c r="AN164" s="100" t="str">
        <f ca="1">IFERROR(__xludf.DUMMYFUNCTION("IFERROR(VLOOKUP(F187,IMPORTRANGE(""https://docs.google.com/spreadsheets/d/1Kvs4KS76FHFqLFIZfrDMff4kP08nblUkihrxltoGBjg/edit#gid=934712705"",""ESENCIAL!A6:BG""),2,FALSE))"),"")</f>
        <v/>
      </c>
      <c r="AO164" s="19" t="str">
        <f t="shared" si="15"/>
        <v/>
      </c>
      <c r="AP164" s="100"/>
      <c r="AQ164" s="100"/>
    </row>
    <row r="165" spans="1:43" ht="15">
      <c r="A165" s="101"/>
      <c r="B165" s="101"/>
      <c r="G165" s="5" t="str">
        <f ca="1">IFERROR(__xludf.DUMMYFUNCTION("IFERROR(VLOOKUP(F188,IMPORTRANGE(""https://docs.google.com/spreadsheets/d/1Kvs4KS76FHFqLFIZfrDMff4kP08nblUkihrxltoGBjg/edit#gid=934712705"",""ESENCIAL!A6:BG""),3,FALSE))"),"")</f>
        <v/>
      </c>
      <c r="H165" s="5" t="str">
        <f ca="1">IFERROR(__xludf.DUMMYFUNCTION("IFERROR(VLOOKUP(F188,IMPORTRANGE(""https://docs.google.com/spreadsheets/d/1Kvs4KS76FHFqLFIZfrDMff4kP08nblUkihrxltoGBjg/edit#gid=934712705"",""ESENCIAL!A6:BG""),8,FALSE))"),"")</f>
        <v/>
      </c>
      <c r="L165" s="287"/>
      <c r="Z165" s="41" t="str">
        <f t="shared" si="12"/>
        <v/>
      </c>
      <c r="AA165" s="5" t="str">
        <f ca="1">IFERROR(__xludf.DUMMYFUNCTION("IFERROR(VLOOKUP(E188&amp;F188,IMPORTRANGE(""https://docs.google.com/spreadsheets/d/1Uw7-A9f9R21vMXxHZFNpYNeKFtG8_yji4HS352LGlSQ/edit?pli=1#gid=0"",""1_ACUM!A4:S""),11,FALSE))"),"")</f>
        <v/>
      </c>
      <c r="AB165" s="42" t="str">
        <f ca="1">IFERROR(__xludf.DUMMYFUNCTION("IFERROR(VLOOKUP(F188,IMPORTRANGE(""https://docs.google.com/spreadsheets/d/1Kvs4KS76FHFqLFIZfrDMff4kP08nblUkihrxltoGBjg/edit#gid=934712705"",""ESENCIAL!A6:BG""),15,FALSE))"),"")</f>
        <v/>
      </c>
      <c r="AC165" s="110" t="str">
        <f ca="1">IFERROR(__xludf.DUMMYFUNCTION("IFERROR(VLOOKUP(E188&amp;F188,IMPORTRANGE(""https://docs.google.com/spreadsheets/d/1Uw7-A9f9R21vMXxHZFNpYNeKFtG8_yji4HS352LGlSQ/edit?pli=1#gid=0"",""1_ACUM!A4:S""),13,FALSE))"),"")</f>
        <v/>
      </c>
      <c r="AD165" s="43" t="str">
        <f ca="1">IFERROR(__xludf.DUMMYFUNCTION("IFERROR(VLOOKUP(E188&amp;F188,IMPORTRANGE(""https://docs.google.com/spreadsheets/d/1Uw7-A9f9R21vMXxHZFNpYNeKFtG8_yji4HS352LGlSQ/edit?pli=1#gid=0"",""1_ACUM!A4:S""),13,FALSE))"),"")</f>
        <v/>
      </c>
      <c r="AE165" s="43" t="str">
        <f ca="1">IFERROR(__xludf.DUMMYFUNCTION("IFERROR(VLOOKUP(E188&amp;F188,IMPORTRANGE(""https://docs.google.com/spreadsheets/d/1Uw7-A9f9R21vMXxHZFNpYNeKFtG8_yji4HS352LGlSQ/edit?pli=1#gid=0"",""1_ACUM!A4:S""),14,FALSE))"),"")</f>
        <v/>
      </c>
      <c r="AF165" s="43" t="str">
        <f ca="1">IFERROR(__xludf.DUMMYFUNCTION("IFERROR(VLOOKUP(E188&amp;F188,IMPORTRANGE(""https://docs.google.com/spreadsheets/d/1Uw7-A9f9R21vMXxHZFNpYNeKFtG8_yji4HS352LGlSQ/edit?pli=1#gid=0"",""1_ACUM!A4:S""),15,FALSE))"),"")</f>
        <v/>
      </c>
      <c r="AG165" s="43" t="str">
        <f ca="1">IFERROR(__xludf.DUMMYFUNCTION("IFERROR(VLOOKUP(E188&amp;F188,IMPORTRANGE(""https://docs.google.com/spreadsheets/d/1Uw7-A9f9R21vMXxHZFNpYNeKFtG8_yji4HS352LGlSQ/edit?pli=1#gid=0"",""1_ACUM!A4:S""),16,FALSE))"),"")</f>
        <v/>
      </c>
      <c r="AH165" s="43" t="str">
        <f ca="1">IFERROR(__xludf.DUMMYFUNCTION("IFERROR(VLOOKUP(E188&amp;F188,IMPORTRANGE(""https://docs.google.com/spreadsheets/d/1Uw7-A9f9R21vMXxHZFNpYNeKFtG8_yji4HS352LGlSQ/edit?pli=1#gid=0"",""1_ACUM!A4:S""),17,FALSE))"),"")</f>
        <v/>
      </c>
      <c r="AI165" s="44" t="str">
        <f ca="1">IFERROR(__xludf.DUMMYFUNCTION("IFERROR(VLOOKUP(E188&amp;F188,IMPORTRANGE(""https://docs.google.com/spreadsheets/d/1Uw7-A9f9R21vMXxHZFNpYNeKFtG8_yji4HS352LGlSQ/edit?pli=1#gid=0"",""1_ACUM!A4:S""),18,FALSE))"),"")</f>
        <v/>
      </c>
      <c r="AJ165" s="44" t="str">
        <f ca="1">IFERROR(__xludf.DUMMYFUNCTION("IFERROR(VLOOKUP(E188&amp;F188,IMPORTRANGE(""https://docs.google.com/spreadsheets/d/1Uw7-A9f9R21vMXxHZFNpYNeKFtG8_yji4HS352LGlSQ/edit?pli=1#gid=0"",""1_ACUM!A4:S""),19,FALSE))"),"")</f>
        <v/>
      </c>
      <c r="AK165" s="98" t="str">
        <f ca="1">IFERROR(__xludf.DUMMYFUNCTION("IFERROR(VLOOKUP(F188,IMPORTRANGE(""https://docs.google.com/spreadsheets/d/1Kvs4KS76FHFqLFIZfrDMff4kP08nblUkihrxltoGBjg/edit#gid=934712705"",""ESENCIAL!A6:BG""),5,FALSE))"),"")</f>
        <v/>
      </c>
      <c r="AL165" s="98" t="str">
        <f t="shared" si="13"/>
        <v/>
      </c>
      <c r="AM165" s="99" t="str">
        <f t="shared" si="14"/>
        <v/>
      </c>
      <c r="AN165" s="100" t="str">
        <f ca="1">IFERROR(__xludf.DUMMYFUNCTION("IFERROR(VLOOKUP(F188,IMPORTRANGE(""https://docs.google.com/spreadsheets/d/1Kvs4KS76FHFqLFIZfrDMff4kP08nblUkihrxltoGBjg/edit#gid=934712705"",""ESENCIAL!A6:BG""),2,FALSE))"),"")</f>
        <v/>
      </c>
      <c r="AO165" s="19" t="str">
        <f t="shared" si="15"/>
        <v/>
      </c>
      <c r="AP165" s="100"/>
      <c r="AQ165" s="100"/>
    </row>
    <row r="166" spans="1:43" ht="15">
      <c r="A166" s="101"/>
      <c r="B166" s="101"/>
      <c r="G166" s="5" t="str">
        <f ca="1">IFERROR(__xludf.DUMMYFUNCTION("IFERROR(VLOOKUP(F189,IMPORTRANGE(""https://docs.google.com/spreadsheets/d/1Kvs4KS76FHFqLFIZfrDMff4kP08nblUkihrxltoGBjg/edit#gid=934712705"",""ESENCIAL!A6:BG""),3,FALSE))"),"")</f>
        <v/>
      </c>
      <c r="H166" s="5" t="str">
        <f ca="1">IFERROR(__xludf.DUMMYFUNCTION("IFERROR(VLOOKUP(F189,IMPORTRANGE(""https://docs.google.com/spreadsheets/d/1Kvs4KS76FHFqLFIZfrDMff4kP08nblUkihrxltoGBjg/edit#gid=934712705"",""ESENCIAL!A6:BG""),8,FALSE))"),"")</f>
        <v/>
      </c>
      <c r="L166" s="287"/>
      <c r="Z166" s="41" t="str">
        <f t="shared" si="12"/>
        <v/>
      </c>
      <c r="AA166" s="5" t="str">
        <f ca="1">IFERROR(__xludf.DUMMYFUNCTION("IFERROR(VLOOKUP(E189&amp;F189,IMPORTRANGE(""https://docs.google.com/spreadsheets/d/1Uw7-A9f9R21vMXxHZFNpYNeKFtG8_yji4HS352LGlSQ/edit?pli=1#gid=0"",""1_ACUM!A4:S""),11,FALSE))"),"")</f>
        <v/>
      </c>
      <c r="AB166" s="42" t="str">
        <f ca="1">IFERROR(__xludf.DUMMYFUNCTION("IFERROR(VLOOKUP(F189,IMPORTRANGE(""https://docs.google.com/spreadsheets/d/1Kvs4KS76FHFqLFIZfrDMff4kP08nblUkihrxltoGBjg/edit#gid=934712705"",""ESENCIAL!A6:BG""),15,FALSE))"),"")</f>
        <v/>
      </c>
      <c r="AC166" s="110" t="str">
        <f ca="1">IFERROR(__xludf.DUMMYFUNCTION("IFERROR(VLOOKUP(E189&amp;F189,IMPORTRANGE(""https://docs.google.com/spreadsheets/d/1Uw7-A9f9R21vMXxHZFNpYNeKFtG8_yji4HS352LGlSQ/edit?pli=1#gid=0"",""1_ACUM!A4:S""),13,FALSE))"),"")</f>
        <v/>
      </c>
      <c r="AD166" s="43" t="str">
        <f ca="1">IFERROR(__xludf.DUMMYFUNCTION("IFERROR(VLOOKUP(E189&amp;F189,IMPORTRANGE(""https://docs.google.com/spreadsheets/d/1Uw7-A9f9R21vMXxHZFNpYNeKFtG8_yji4HS352LGlSQ/edit?pli=1#gid=0"",""1_ACUM!A4:S""),13,FALSE))"),"")</f>
        <v/>
      </c>
      <c r="AE166" s="43" t="str">
        <f ca="1">IFERROR(__xludf.DUMMYFUNCTION("IFERROR(VLOOKUP(E189&amp;F189,IMPORTRANGE(""https://docs.google.com/spreadsheets/d/1Uw7-A9f9R21vMXxHZFNpYNeKFtG8_yji4HS352LGlSQ/edit?pli=1#gid=0"",""1_ACUM!A4:S""),14,FALSE))"),"")</f>
        <v/>
      </c>
      <c r="AF166" s="43" t="str">
        <f ca="1">IFERROR(__xludf.DUMMYFUNCTION("IFERROR(VLOOKUP(E189&amp;F189,IMPORTRANGE(""https://docs.google.com/spreadsheets/d/1Uw7-A9f9R21vMXxHZFNpYNeKFtG8_yji4HS352LGlSQ/edit?pli=1#gid=0"",""1_ACUM!A4:S""),15,FALSE))"),"")</f>
        <v/>
      </c>
      <c r="AG166" s="43" t="str">
        <f ca="1">IFERROR(__xludf.DUMMYFUNCTION("IFERROR(VLOOKUP(E189&amp;F189,IMPORTRANGE(""https://docs.google.com/spreadsheets/d/1Uw7-A9f9R21vMXxHZFNpYNeKFtG8_yji4HS352LGlSQ/edit?pli=1#gid=0"",""1_ACUM!A4:S""),16,FALSE))"),"")</f>
        <v/>
      </c>
      <c r="AH166" s="43" t="str">
        <f ca="1">IFERROR(__xludf.DUMMYFUNCTION("IFERROR(VLOOKUP(E189&amp;F189,IMPORTRANGE(""https://docs.google.com/spreadsheets/d/1Uw7-A9f9R21vMXxHZFNpYNeKFtG8_yji4HS352LGlSQ/edit?pli=1#gid=0"",""1_ACUM!A4:S""),17,FALSE))"),"")</f>
        <v/>
      </c>
      <c r="AI166" s="44" t="str">
        <f ca="1">IFERROR(__xludf.DUMMYFUNCTION("IFERROR(VLOOKUP(E189&amp;F189,IMPORTRANGE(""https://docs.google.com/spreadsheets/d/1Uw7-A9f9R21vMXxHZFNpYNeKFtG8_yji4HS352LGlSQ/edit?pli=1#gid=0"",""1_ACUM!A4:S""),18,FALSE))"),"")</f>
        <v/>
      </c>
      <c r="AJ166" s="44" t="str">
        <f ca="1">IFERROR(__xludf.DUMMYFUNCTION("IFERROR(VLOOKUP(E189&amp;F189,IMPORTRANGE(""https://docs.google.com/spreadsheets/d/1Uw7-A9f9R21vMXxHZFNpYNeKFtG8_yji4HS352LGlSQ/edit?pli=1#gid=0"",""1_ACUM!A4:S""),19,FALSE))"),"")</f>
        <v/>
      </c>
      <c r="AK166" s="98" t="str">
        <f ca="1">IFERROR(__xludf.DUMMYFUNCTION("IFERROR(VLOOKUP(F189,IMPORTRANGE(""https://docs.google.com/spreadsheets/d/1Kvs4KS76FHFqLFIZfrDMff4kP08nblUkihrxltoGBjg/edit#gid=934712705"",""ESENCIAL!A6:BG""),5,FALSE))"),"")</f>
        <v/>
      </c>
      <c r="AL166" s="98" t="str">
        <f t="shared" si="13"/>
        <v/>
      </c>
      <c r="AM166" s="99" t="str">
        <f t="shared" si="14"/>
        <v/>
      </c>
      <c r="AN166" s="100" t="str">
        <f ca="1">IFERROR(__xludf.DUMMYFUNCTION("IFERROR(VLOOKUP(F189,IMPORTRANGE(""https://docs.google.com/spreadsheets/d/1Kvs4KS76FHFqLFIZfrDMff4kP08nblUkihrxltoGBjg/edit#gid=934712705"",""ESENCIAL!A6:BG""),2,FALSE))"),"")</f>
        <v/>
      </c>
      <c r="AO166" s="19" t="str">
        <f t="shared" si="15"/>
        <v/>
      </c>
      <c r="AP166" s="100"/>
      <c r="AQ166" s="100"/>
    </row>
    <row r="167" spans="1:43" ht="15">
      <c r="A167" s="101"/>
      <c r="B167" s="101"/>
      <c r="G167" s="5" t="str">
        <f ca="1">IFERROR(__xludf.DUMMYFUNCTION("IFERROR(VLOOKUP(F190,IMPORTRANGE(""https://docs.google.com/spreadsheets/d/1Kvs4KS76FHFqLFIZfrDMff4kP08nblUkihrxltoGBjg/edit#gid=934712705"",""ESENCIAL!A6:BG""),3,FALSE))"),"")</f>
        <v/>
      </c>
      <c r="H167" s="5" t="str">
        <f ca="1">IFERROR(__xludf.DUMMYFUNCTION("IFERROR(VLOOKUP(F190,IMPORTRANGE(""https://docs.google.com/spreadsheets/d/1Kvs4KS76FHFqLFIZfrDMff4kP08nblUkihrxltoGBjg/edit#gid=934712705"",""ESENCIAL!A6:BG""),8,FALSE))"),"")</f>
        <v/>
      </c>
      <c r="L167" s="287"/>
      <c r="Z167" s="41" t="str">
        <f t="shared" si="12"/>
        <v/>
      </c>
      <c r="AA167" s="5" t="str">
        <f ca="1">IFERROR(__xludf.DUMMYFUNCTION("IFERROR(VLOOKUP(E190&amp;F190,IMPORTRANGE(""https://docs.google.com/spreadsheets/d/1Uw7-A9f9R21vMXxHZFNpYNeKFtG8_yji4HS352LGlSQ/edit?pli=1#gid=0"",""1_ACUM!A4:S""),11,FALSE))"),"")</f>
        <v/>
      </c>
      <c r="AB167" s="42" t="str">
        <f ca="1">IFERROR(__xludf.DUMMYFUNCTION("IFERROR(VLOOKUP(F190,IMPORTRANGE(""https://docs.google.com/spreadsheets/d/1Kvs4KS76FHFqLFIZfrDMff4kP08nblUkihrxltoGBjg/edit#gid=934712705"",""ESENCIAL!A6:BG""),15,FALSE))"),"")</f>
        <v/>
      </c>
      <c r="AC167" s="110" t="str">
        <f ca="1">IFERROR(__xludf.DUMMYFUNCTION("IFERROR(VLOOKUP(E190&amp;F190,IMPORTRANGE(""https://docs.google.com/spreadsheets/d/1Uw7-A9f9R21vMXxHZFNpYNeKFtG8_yji4HS352LGlSQ/edit?pli=1#gid=0"",""1_ACUM!A4:S""),13,FALSE))"),"")</f>
        <v/>
      </c>
      <c r="AD167" s="43" t="str">
        <f ca="1">IFERROR(__xludf.DUMMYFUNCTION("IFERROR(VLOOKUP(E190&amp;F190,IMPORTRANGE(""https://docs.google.com/spreadsheets/d/1Uw7-A9f9R21vMXxHZFNpYNeKFtG8_yji4HS352LGlSQ/edit?pli=1#gid=0"",""1_ACUM!A4:S""),13,FALSE))"),"")</f>
        <v/>
      </c>
      <c r="AE167" s="43" t="str">
        <f ca="1">IFERROR(__xludf.DUMMYFUNCTION("IFERROR(VLOOKUP(E190&amp;F190,IMPORTRANGE(""https://docs.google.com/spreadsheets/d/1Uw7-A9f9R21vMXxHZFNpYNeKFtG8_yji4HS352LGlSQ/edit?pli=1#gid=0"",""1_ACUM!A4:S""),14,FALSE))"),"")</f>
        <v/>
      </c>
      <c r="AF167" s="43" t="str">
        <f ca="1">IFERROR(__xludf.DUMMYFUNCTION("IFERROR(VLOOKUP(E190&amp;F190,IMPORTRANGE(""https://docs.google.com/spreadsheets/d/1Uw7-A9f9R21vMXxHZFNpYNeKFtG8_yji4HS352LGlSQ/edit?pli=1#gid=0"",""1_ACUM!A4:S""),15,FALSE))"),"")</f>
        <v/>
      </c>
      <c r="AG167" s="43" t="str">
        <f ca="1">IFERROR(__xludf.DUMMYFUNCTION("IFERROR(VLOOKUP(E190&amp;F190,IMPORTRANGE(""https://docs.google.com/spreadsheets/d/1Uw7-A9f9R21vMXxHZFNpYNeKFtG8_yji4HS352LGlSQ/edit?pli=1#gid=0"",""1_ACUM!A4:S""),16,FALSE))"),"")</f>
        <v/>
      </c>
      <c r="AH167" s="43" t="str">
        <f ca="1">IFERROR(__xludf.DUMMYFUNCTION("IFERROR(VLOOKUP(E190&amp;F190,IMPORTRANGE(""https://docs.google.com/spreadsheets/d/1Uw7-A9f9R21vMXxHZFNpYNeKFtG8_yji4HS352LGlSQ/edit?pli=1#gid=0"",""1_ACUM!A4:S""),17,FALSE))"),"")</f>
        <v/>
      </c>
      <c r="AI167" s="44" t="str">
        <f ca="1">IFERROR(__xludf.DUMMYFUNCTION("IFERROR(VLOOKUP(E190&amp;F190,IMPORTRANGE(""https://docs.google.com/spreadsheets/d/1Uw7-A9f9R21vMXxHZFNpYNeKFtG8_yji4HS352LGlSQ/edit?pli=1#gid=0"",""1_ACUM!A4:S""),18,FALSE))"),"")</f>
        <v/>
      </c>
      <c r="AJ167" s="44" t="str">
        <f ca="1">IFERROR(__xludf.DUMMYFUNCTION("IFERROR(VLOOKUP(E190&amp;F190,IMPORTRANGE(""https://docs.google.com/spreadsheets/d/1Uw7-A9f9R21vMXxHZFNpYNeKFtG8_yji4HS352LGlSQ/edit?pli=1#gid=0"",""1_ACUM!A4:S""),19,FALSE))"),"")</f>
        <v/>
      </c>
      <c r="AK167" s="98" t="str">
        <f ca="1">IFERROR(__xludf.DUMMYFUNCTION("IFERROR(VLOOKUP(F190,IMPORTRANGE(""https://docs.google.com/spreadsheets/d/1Kvs4KS76FHFqLFIZfrDMff4kP08nblUkihrxltoGBjg/edit#gid=934712705"",""ESENCIAL!A6:BG""),5,FALSE))"),"")</f>
        <v/>
      </c>
      <c r="AL167" s="98" t="str">
        <f t="shared" si="13"/>
        <v/>
      </c>
      <c r="AM167" s="99" t="str">
        <f t="shared" si="14"/>
        <v/>
      </c>
      <c r="AN167" s="100" t="str">
        <f ca="1">IFERROR(__xludf.DUMMYFUNCTION("IFERROR(VLOOKUP(F190,IMPORTRANGE(""https://docs.google.com/spreadsheets/d/1Kvs4KS76FHFqLFIZfrDMff4kP08nblUkihrxltoGBjg/edit#gid=934712705"",""ESENCIAL!A6:BG""),2,FALSE))"),"")</f>
        <v/>
      </c>
      <c r="AO167" s="19" t="str">
        <f t="shared" si="15"/>
        <v/>
      </c>
      <c r="AP167" s="100"/>
      <c r="AQ167" s="100"/>
    </row>
    <row r="168" spans="1:43" ht="15">
      <c r="A168" s="101"/>
      <c r="B168" s="101"/>
      <c r="G168" s="5" t="str">
        <f ca="1">IFERROR(__xludf.DUMMYFUNCTION("IFERROR(VLOOKUP(F191,IMPORTRANGE(""https://docs.google.com/spreadsheets/d/1Kvs4KS76FHFqLFIZfrDMff4kP08nblUkihrxltoGBjg/edit#gid=934712705"",""ESENCIAL!A6:BG""),3,FALSE))"),"")</f>
        <v/>
      </c>
      <c r="H168" s="5" t="str">
        <f ca="1">IFERROR(__xludf.DUMMYFUNCTION("IFERROR(VLOOKUP(F191,IMPORTRANGE(""https://docs.google.com/spreadsheets/d/1Kvs4KS76FHFqLFIZfrDMff4kP08nblUkihrxltoGBjg/edit#gid=934712705"",""ESENCIAL!A6:BG""),8,FALSE))"),"")</f>
        <v/>
      </c>
      <c r="L168" s="287"/>
      <c r="Z168" s="41" t="str">
        <f t="shared" si="12"/>
        <v/>
      </c>
      <c r="AA168" s="5" t="str">
        <f ca="1">IFERROR(__xludf.DUMMYFUNCTION("IFERROR(VLOOKUP(E191&amp;F191,IMPORTRANGE(""https://docs.google.com/spreadsheets/d/1Uw7-A9f9R21vMXxHZFNpYNeKFtG8_yji4HS352LGlSQ/edit?pli=1#gid=0"",""1_ACUM!A4:S""),11,FALSE))"),"")</f>
        <v/>
      </c>
      <c r="AB168" s="42" t="str">
        <f ca="1">IFERROR(__xludf.DUMMYFUNCTION("IFERROR(VLOOKUP(F191,IMPORTRANGE(""https://docs.google.com/spreadsheets/d/1Kvs4KS76FHFqLFIZfrDMff4kP08nblUkihrxltoGBjg/edit#gid=934712705"",""ESENCIAL!A6:BG""),15,FALSE))"),"")</f>
        <v/>
      </c>
      <c r="AC168" s="110" t="str">
        <f ca="1">IFERROR(__xludf.DUMMYFUNCTION("IFERROR(VLOOKUP(E191&amp;F191,IMPORTRANGE(""https://docs.google.com/spreadsheets/d/1Uw7-A9f9R21vMXxHZFNpYNeKFtG8_yji4HS352LGlSQ/edit?pli=1#gid=0"",""1_ACUM!A4:S""),13,FALSE))"),"")</f>
        <v/>
      </c>
      <c r="AD168" s="43" t="str">
        <f ca="1">IFERROR(__xludf.DUMMYFUNCTION("IFERROR(VLOOKUP(E191&amp;F191,IMPORTRANGE(""https://docs.google.com/spreadsheets/d/1Uw7-A9f9R21vMXxHZFNpYNeKFtG8_yji4HS352LGlSQ/edit?pli=1#gid=0"",""1_ACUM!A4:S""),13,FALSE))"),"")</f>
        <v/>
      </c>
      <c r="AE168" s="43" t="str">
        <f ca="1">IFERROR(__xludf.DUMMYFUNCTION("IFERROR(VLOOKUP(E191&amp;F191,IMPORTRANGE(""https://docs.google.com/spreadsheets/d/1Uw7-A9f9R21vMXxHZFNpYNeKFtG8_yji4HS352LGlSQ/edit?pli=1#gid=0"",""1_ACUM!A4:S""),14,FALSE))"),"")</f>
        <v/>
      </c>
      <c r="AF168" s="43" t="str">
        <f ca="1">IFERROR(__xludf.DUMMYFUNCTION("IFERROR(VLOOKUP(E191&amp;F191,IMPORTRANGE(""https://docs.google.com/spreadsheets/d/1Uw7-A9f9R21vMXxHZFNpYNeKFtG8_yji4HS352LGlSQ/edit?pli=1#gid=0"",""1_ACUM!A4:S""),15,FALSE))"),"")</f>
        <v/>
      </c>
      <c r="AG168" s="43" t="str">
        <f ca="1">IFERROR(__xludf.DUMMYFUNCTION("IFERROR(VLOOKUP(E191&amp;F191,IMPORTRANGE(""https://docs.google.com/spreadsheets/d/1Uw7-A9f9R21vMXxHZFNpYNeKFtG8_yji4HS352LGlSQ/edit?pli=1#gid=0"",""1_ACUM!A4:S""),16,FALSE))"),"")</f>
        <v/>
      </c>
      <c r="AH168" s="43" t="str">
        <f ca="1">IFERROR(__xludf.DUMMYFUNCTION("IFERROR(VLOOKUP(E191&amp;F191,IMPORTRANGE(""https://docs.google.com/spreadsheets/d/1Uw7-A9f9R21vMXxHZFNpYNeKFtG8_yji4HS352LGlSQ/edit?pli=1#gid=0"",""1_ACUM!A4:S""),17,FALSE))"),"")</f>
        <v/>
      </c>
      <c r="AI168" s="44" t="str">
        <f ca="1">IFERROR(__xludf.DUMMYFUNCTION("IFERROR(VLOOKUP(E191&amp;F191,IMPORTRANGE(""https://docs.google.com/spreadsheets/d/1Uw7-A9f9R21vMXxHZFNpYNeKFtG8_yji4HS352LGlSQ/edit?pli=1#gid=0"",""1_ACUM!A4:S""),18,FALSE))"),"")</f>
        <v/>
      </c>
      <c r="AJ168" s="44" t="str">
        <f ca="1">IFERROR(__xludf.DUMMYFUNCTION("IFERROR(VLOOKUP(E191&amp;F191,IMPORTRANGE(""https://docs.google.com/spreadsheets/d/1Uw7-A9f9R21vMXxHZFNpYNeKFtG8_yji4HS352LGlSQ/edit?pli=1#gid=0"",""1_ACUM!A4:S""),19,FALSE))"),"")</f>
        <v/>
      </c>
      <c r="AK168" s="98" t="str">
        <f ca="1">IFERROR(__xludf.DUMMYFUNCTION("IFERROR(VLOOKUP(F191,IMPORTRANGE(""https://docs.google.com/spreadsheets/d/1Kvs4KS76FHFqLFIZfrDMff4kP08nblUkihrxltoGBjg/edit#gid=934712705"",""ESENCIAL!A6:BG""),5,FALSE))"),"")</f>
        <v/>
      </c>
      <c r="AL168" s="98" t="str">
        <f t="shared" si="13"/>
        <v/>
      </c>
      <c r="AM168" s="99" t="str">
        <f t="shared" si="14"/>
        <v/>
      </c>
      <c r="AN168" s="100" t="str">
        <f ca="1">IFERROR(__xludf.DUMMYFUNCTION("IFERROR(VLOOKUP(F191,IMPORTRANGE(""https://docs.google.com/spreadsheets/d/1Kvs4KS76FHFqLFIZfrDMff4kP08nblUkihrxltoGBjg/edit#gid=934712705"",""ESENCIAL!A6:BG""),2,FALSE))"),"")</f>
        <v/>
      </c>
      <c r="AO168" s="19" t="str">
        <f t="shared" si="15"/>
        <v/>
      </c>
      <c r="AP168" s="100"/>
      <c r="AQ168" s="100"/>
    </row>
    <row r="169" spans="1:43" ht="15">
      <c r="A169" s="101"/>
      <c r="B169" s="101"/>
      <c r="G169" s="5" t="str">
        <f ca="1">IFERROR(__xludf.DUMMYFUNCTION("IFERROR(VLOOKUP(F192,IMPORTRANGE(""https://docs.google.com/spreadsheets/d/1Kvs4KS76FHFqLFIZfrDMff4kP08nblUkihrxltoGBjg/edit#gid=934712705"",""ESENCIAL!A6:BG""),3,FALSE))"),"")</f>
        <v/>
      </c>
      <c r="H169" s="5" t="str">
        <f ca="1">IFERROR(__xludf.DUMMYFUNCTION("IFERROR(VLOOKUP(F192,IMPORTRANGE(""https://docs.google.com/spreadsheets/d/1Kvs4KS76FHFqLFIZfrDMff4kP08nblUkihrxltoGBjg/edit#gid=934712705"",""ESENCIAL!A6:BG""),8,FALSE))"),"")</f>
        <v/>
      </c>
      <c r="L169" s="287"/>
      <c r="Z169" s="41" t="str">
        <f t="shared" si="12"/>
        <v/>
      </c>
      <c r="AA169" s="5" t="str">
        <f ca="1">IFERROR(__xludf.DUMMYFUNCTION("IFERROR(VLOOKUP(E192&amp;F192,IMPORTRANGE(""https://docs.google.com/spreadsheets/d/1Uw7-A9f9R21vMXxHZFNpYNeKFtG8_yji4HS352LGlSQ/edit?pli=1#gid=0"",""1_ACUM!A4:S""),11,FALSE))"),"")</f>
        <v/>
      </c>
      <c r="AB169" s="42" t="str">
        <f ca="1">IFERROR(__xludf.DUMMYFUNCTION("IFERROR(VLOOKUP(F192,IMPORTRANGE(""https://docs.google.com/spreadsheets/d/1Kvs4KS76FHFqLFIZfrDMff4kP08nblUkihrxltoGBjg/edit#gid=934712705"",""ESENCIAL!A6:BG""),15,FALSE))"),"")</f>
        <v/>
      </c>
      <c r="AC169" s="110" t="str">
        <f ca="1">IFERROR(__xludf.DUMMYFUNCTION("IFERROR(VLOOKUP(E192&amp;F192,IMPORTRANGE(""https://docs.google.com/spreadsheets/d/1Uw7-A9f9R21vMXxHZFNpYNeKFtG8_yji4HS352LGlSQ/edit?pli=1#gid=0"",""1_ACUM!A4:S""),13,FALSE))"),"")</f>
        <v/>
      </c>
      <c r="AD169" s="43" t="str">
        <f ca="1">IFERROR(__xludf.DUMMYFUNCTION("IFERROR(VLOOKUP(E192&amp;F192,IMPORTRANGE(""https://docs.google.com/spreadsheets/d/1Uw7-A9f9R21vMXxHZFNpYNeKFtG8_yji4HS352LGlSQ/edit?pli=1#gid=0"",""1_ACUM!A4:S""),13,FALSE))"),"")</f>
        <v/>
      </c>
      <c r="AE169" s="43" t="str">
        <f ca="1">IFERROR(__xludf.DUMMYFUNCTION("IFERROR(VLOOKUP(E192&amp;F192,IMPORTRANGE(""https://docs.google.com/spreadsheets/d/1Uw7-A9f9R21vMXxHZFNpYNeKFtG8_yji4HS352LGlSQ/edit?pli=1#gid=0"",""1_ACUM!A4:S""),14,FALSE))"),"")</f>
        <v/>
      </c>
      <c r="AF169" s="43" t="str">
        <f ca="1">IFERROR(__xludf.DUMMYFUNCTION("IFERROR(VLOOKUP(E192&amp;F192,IMPORTRANGE(""https://docs.google.com/spreadsheets/d/1Uw7-A9f9R21vMXxHZFNpYNeKFtG8_yji4HS352LGlSQ/edit?pli=1#gid=0"",""1_ACUM!A4:S""),15,FALSE))"),"")</f>
        <v/>
      </c>
      <c r="AG169" s="43" t="str">
        <f ca="1">IFERROR(__xludf.DUMMYFUNCTION("IFERROR(VLOOKUP(E192&amp;F192,IMPORTRANGE(""https://docs.google.com/spreadsheets/d/1Uw7-A9f9R21vMXxHZFNpYNeKFtG8_yji4HS352LGlSQ/edit?pli=1#gid=0"",""1_ACUM!A4:S""),16,FALSE))"),"")</f>
        <v/>
      </c>
      <c r="AH169" s="43" t="str">
        <f ca="1">IFERROR(__xludf.DUMMYFUNCTION("IFERROR(VLOOKUP(E192&amp;F192,IMPORTRANGE(""https://docs.google.com/spreadsheets/d/1Uw7-A9f9R21vMXxHZFNpYNeKFtG8_yji4HS352LGlSQ/edit?pli=1#gid=0"",""1_ACUM!A4:S""),17,FALSE))"),"")</f>
        <v/>
      </c>
      <c r="AI169" s="44" t="str">
        <f ca="1">IFERROR(__xludf.DUMMYFUNCTION("IFERROR(VLOOKUP(E192&amp;F192,IMPORTRANGE(""https://docs.google.com/spreadsheets/d/1Uw7-A9f9R21vMXxHZFNpYNeKFtG8_yji4HS352LGlSQ/edit?pli=1#gid=0"",""1_ACUM!A4:S""),18,FALSE))"),"")</f>
        <v/>
      </c>
      <c r="AJ169" s="44" t="str">
        <f ca="1">IFERROR(__xludf.DUMMYFUNCTION("IFERROR(VLOOKUP(E192&amp;F192,IMPORTRANGE(""https://docs.google.com/spreadsheets/d/1Uw7-A9f9R21vMXxHZFNpYNeKFtG8_yji4HS352LGlSQ/edit?pli=1#gid=0"",""1_ACUM!A4:S""),19,FALSE))"),"")</f>
        <v/>
      </c>
      <c r="AK169" s="98" t="str">
        <f ca="1">IFERROR(__xludf.DUMMYFUNCTION("IFERROR(VLOOKUP(F192,IMPORTRANGE(""https://docs.google.com/spreadsheets/d/1Kvs4KS76FHFqLFIZfrDMff4kP08nblUkihrxltoGBjg/edit#gid=934712705"",""ESENCIAL!A6:BG""),5,FALSE))"),"")</f>
        <v/>
      </c>
      <c r="AL169" s="98" t="str">
        <f t="shared" si="13"/>
        <v/>
      </c>
      <c r="AM169" s="99" t="str">
        <f t="shared" si="14"/>
        <v/>
      </c>
      <c r="AN169" s="100" t="str">
        <f ca="1">IFERROR(__xludf.DUMMYFUNCTION("IFERROR(VLOOKUP(F192,IMPORTRANGE(""https://docs.google.com/spreadsheets/d/1Kvs4KS76FHFqLFIZfrDMff4kP08nblUkihrxltoGBjg/edit#gid=934712705"",""ESENCIAL!A6:BG""),2,FALSE))"),"")</f>
        <v/>
      </c>
      <c r="AO169" s="19" t="str">
        <f t="shared" si="15"/>
        <v/>
      </c>
      <c r="AP169" s="100"/>
      <c r="AQ169" s="100"/>
    </row>
    <row r="170" spans="1:43" ht="15">
      <c r="A170" s="101"/>
      <c r="B170" s="101"/>
      <c r="G170" s="5" t="str">
        <f ca="1">IFERROR(__xludf.DUMMYFUNCTION("IFERROR(VLOOKUP(F193,IMPORTRANGE(""https://docs.google.com/spreadsheets/d/1Kvs4KS76FHFqLFIZfrDMff4kP08nblUkihrxltoGBjg/edit#gid=934712705"",""ESENCIAL!A6:BG""),3,FALSE))"),"")</f>
        <v/>
      </c>
      <c r="H170" s="5" t="str">
        <f ca="1">IFERROR(__xludf.DUMMYFUNCTION("IFERROR(VLOOKUP(F193,IMPORTRANGE(""https://docs.google.com/spreadsheets/d/1Kvs4KS76FHFqLFIZfrDMff4kP08nblUkihrxltoGBjg/edit#gid=934712705"",""ESENCIAL!A6:BG""),8,FALSE))"),"")</f>
        <v/>
      </c>
      <c r="L170" s="287"/>
      <c r="Z170" s="41" t="str">
        <f t="shared" si="12"/>
        <v/>
      </c>
      <c r="AA170" s="5" t="str">
        <f ca="1">IFERROR(__xludf.DUMMYFUNCTION("IFERROR(VLOOKUP(E193&amp;F193,IMPORTRANGE(""https://docs.google.com/spreadsheets/d/1Uw7-A9f9R21vMXxHZFNpYNeKFtG8_yji4HS352LGlSQ/edit?pli=1#gid=0"",""1_ACUM!A4:S""),11,FALSE))"),"")</f>
        <v/>
      </c>
      <c r="AB170" s="42" t="str">
        <f ca="1">IFERROR(__xludf.DUMMYFUNCTION("IFERROR(VLOOKUP(F193,IMPORTRANGE(""https://docs.google.com/spreadsheets/d/1Kvs4KS76FHFqLFIZfrDMff4kP08nblUkihrxltoGBjg/edit#gid=934712705"",""ESENCIAL!A6:BG""),15,FALSE))"),"")</f>
        <v/>
      </c>
      <c r="AC170" s="110" t="str">
        <f ca="1">IFERROR(__xludf.DUMMYFUNCTION("IFERROR(VLOOKUP(E193&amp;F193,IMPORTRANGE(""https://docs.google.com/spreadsheets/d/1Uw7-A9f9R21vMXxHZFNpYNeKFtG8_yji4HS352LGlSQ/edit?pli=1#gid=0"",""1_ACUM!A4:S""),13,FALSE))"),"")</f>
        <v/>
      </c>
      <c r="AD170" s="43" t="str">
        <f ca="1">IFERROR(__xludf.DUMMYFUNCTION("IFERROR(VLOOKUP(E193&amp;F193,IMPORTRANGE(""https://docs.google.com/spreadsheets/d/1Uw7-A9f9R21vMXxHZFNpYNeKFtG8_yji4HS352LGlSQ/edit?pli=1#gid=0"",""1_ACUM!A4:S""),13,FALSE))"),"")</f>
        <v/>
      </c>
      <c r="AE170" s="43" t="str">
        <f ca="1">IFERROR(__xludf.DUMMYFUNCTION("IFERROR(VLOOKUP(E193&amp;F193,IMPORTRANGE(""https://docs.google.com/spreadsheets/d/1Uw7-A9f9R21vMXxHZFNpYNeKFtG8_yji4HS352LGlSQ/edit?pli=1#gid=0"",""1_ACUM!A4:S""),14,FALSE))"),"")</f>
        <v/>
      </c>
      <c r="AF170" s="43" t="str">
        <f ca="1">IFERROR(__xludf.DUMMYFUNCTION("IFERROR(VLOOKUP(E193&amp;F193,IMPORTRANGE(""https://docs.google.com/spreadsheets/d/1Uw7-A9f9R21vMXxHZFNpYNeKFtG8_yji4HS352LGlSQ/edit?pli=1#gid=0"",""1_ACUM!A4:S""),15,FALSE))"),"")</f>
        <v/>
      </c>
      <c r="AG170" s="43" t="str">
        <f ca="1">IFERROR(__xludf.DUMMYFUNCTION("IFERROR(VLOOKUP(E193&amp;F193,IMPORTRANGE(""https://docs.google.com/spreadsheets/d/1Uw7-A9f9R21vMXxHZFNpYNeKFtG8_yji4HS352LGlSQ/edit?pli=1#gid=0"",""1_ACUM!A4:S""),16,FALSE))"),"")</f>
        <v/>
      </c>
      <c r="AH170" s="43" t="str">
        <f ca="1">IFERROR(__xludf.DUMMYFUNCTION("IFERROR(VLOOKUP(E193&amp;F193,IMPORTRANGE(""https://docs.google.com/spreadsheets/d/1Uw7-A9f9R21vMXxHZFNpYNeKFtG8_yji4HS352LGlSQ/edit?pli=1#gid=0"",""1_ACUM!A4:S""),17,FALSE))"),"")</f>
        <v/>
      </c>
      <c r="AI170" s="44" t="str">
        <f ca="1">IFERROR(__xludf.DUMMYFUNCTION("IFERROR(VLOOKUP(E193&amp;F193,IMPORTRANGE(""https://docs.google.com/spreadsheets/d/1Uw7-A9f9R21vMXxHZFNpYNeKFtG8_yji4HS352LGlSQ/edit?pli=1#gid=0"",""1_ACUM!A4:S""),18,FALSE))"),"")</f>
        <v/>
      </c>
      <c r="AJ170" s="44" t="str">
        <f ca="1">IFERROR(__xludf.DUMMYFUNCTION("IFERROR(VLOOKUP(E193&amp;F193,IMPORTRANGE(""https://docs.google.com/spreadsheets/d/1Uw7-A9f9R21vMXxHZFNpYNeKFtG8_yji4HS352LGlSQ/edit?pli=1#gid=0"",""1_ACUM!A4:S""),19,FALSE))"),"")</f>
        <v/>
      </c>
      <c r="AK170" s="98" t="str">
        <f ca="1">IFERROR(__xludf.DUMMYFUNCTION("IFERROR(VLOOKUP(F193,IMPORTRANGE(""https://docs.google.com/spreadsheets/d/1Kvs4KS76FHFqLFIZfrDMff4kP08nblUkihrxltoGBjg/edit#gid=934712705"",""ESENCIAL!A6:BG""),5,FALSE))"),"")</f>
        <v/>
      </c>
      <c r="AL170" s="98" t="str">
        <f t="shared" si="13"/>
        <v/>
      </c>
      <c r="AM170" s="99" t="str">
        <f t="shared" si="14"/>
        <v/>
      </c>
      <c r="AN170" s="100" t="str">
        <f ca="1">IFERROR(__xludf.DUMMYFUNCTION("IFERROR(VLOOKUP(F193,IMPORTRANGE(""https://docs.google.com/spreadsheets/d/1Kvs4KS76FHFqLFIZfrDMff4kP08nblUkihrxltoGBjg/edit#gid=934712705"",""ESENCIAL!A6:BG""),2,FALSE))"),"")</f>
        <v/>
      </c>
      <c r="AO170" s="19" t="str">
        <f t="shared" si="15"/>
        <v/>
      </c>
      <c r="AP170" s="100"/>
      <c r="AQ170" s="100"/>
    </row>
    <row r="171" spans="1:43" ht="15">
      <c r="A171" s="101"/>
      <c r="B171" s="101"/>
      <c r="G171" s="5" t="str">
        <f ca="1">IFERROR(__xludf.DUMMYFUNCTION("IFERROR(VLOOKUP(F194,IMPORTRANGE(""https://docs.google.com/spreadsheets/d/1Kvs4KS76FHFqLFIZfrDMff4kP08nblUkihrxltoGBjg/edit#gid=934712705"",""ESENCIAL!A6:BG""),3,FALSE))"),"")</f>
        <v/>
      </c>
      <c r="H171" s="5" t="str">
        <f ca="1">IFERROR(__xludf.DUMMYFUNCTION("IFERROR(VLOOKUP(F194,IMPORTRANGE(""https://docs.google.com/spreadsheets/d/1Kvs4KS76FHFqLFIZfrDMff4kP08nblUkihrxltoGBjg/edit#gid=934712705"",""ESENCIAL!A6:BG""),8,FALSE))"),"")</f>
        <v/>
      </c>
      <c r="L171" s="287"/>
      <c r="Z171" s="41" t="str">
        <f t="shared" si="12"/>
        <v/>
      </c>
      <c r="AA171" s="5" t="str">
        <f ca="1">IFERROR(__xludf.DUMMYFUNCTION("IFERROR(VLOOKUP(E194&amp;F194,IMPORTRANGE(""https://docs.google.com/spreadsheets/d/1Uw7-A9f9R21vMXxHZFNpYNeKFtG8_yji4HS352LGlSQ/edit?pli=1#gid=0"",""1_ACUM!A4:S""),11,FALSE))"),"")</f>
        <v/>
      </c>
      <c r="AB171" s="42" t="str">
        <f ca="1">IFERROR(__xludf.DUMMYFUNCTION("IFERROR(VLOOKUP(F194,IMPORTRANGE(""https://docs.google.com/spreadsheets/d/1Kvs4KS76FHFqLFIZfrDMff4kP08nblUkihrxltoGBjg/edit#gid=934712705"",""ESENCIAL!A6:BG""),15,FALSE))"),"")</f>
        <v/>
      </c>
      <c r="AC171" s="110" t="str">
        <f ca="1">IFERROR(__xludf.DUMMYFUNCTION("IFERROR(VLOOKUP(E194&amp;F194,IMPORTRANGE(""https://docs.google.com/spreadsheets/d/1Uw7-A9f9R21vMXxHZFNpYNeKFtG8_yji4HS352LGlSQ/edit?pli=1#gid=0"",""1_ACUM!A4:S""),13,FALSE))"),"")</f>
        <v/>
      </c>
      <c r="AD171" s="43" t="str">
        <f ca="1">IFERROR(__xludf.DUMMYFUNCTION("IFERROR(VLOOKUP(E194&amp;F194,IMPORTRANGE(""https://docs.google.com/spreadsheets/d/1Uw7-A9f9R21vMXxHZFNpYNeKFtG8_yji4HS352LGlSQ/edit?pli=1#gid=0"",""1_ACUM!A4:S""),13,FALSE))"),"")</f>
        <v/>
      </c>
      <c r="AE171" s="43" t="str">
        <f ca="1">IFERROR(__xludf.DUMMYFUNCTION("IFERROR(VLOOKUP(E194&amp;F194,IMPORTRANGE(""https://docs.google.com/spreadsheets/d/1Uw7-A9f9R21vMXxHZFNpYNeKFtG8_yji4HS352LGlSQ/edit?pli=1#gid=0"",""1_ACUM!A4:S""),14,FALSE))"),"")</f>
        <v/>
      </c>
      <c r="AF171" s="43" t="str">
        <f ca="1">IFERROR(__xludf.DUMMYFUNCTION("IFERROR(VLOOKUP(E194&amp;F194,IMPORTRANGE(""https://docs.google.com/spreadsheets/d/1Uw7-A9f9R21vMXxHZFNpYNeKFtG8_yji4HS352LGlSQ/edit?pli=1#gid=0"",""1_ACUM!A4:S""),15,FALSE))"),"")</f>
        <v/>
      </c>
      <c r="AG171" s="43" t="str">
        <f ca="1">IFERROR(__xludf.DUMMYFUNCTION("IFERROR(VLOOKUP(E194&amp;F194,IMPORTRANGE(""https://docs.google.com/spreadsheets/d/1Uw7-A9f9R21vMXxHZFNpYNeKFtG8_yji4HS352LGlSQ/edit?pli=1#gid=0"",""1_ACUM!A4:S""),16,FALSE))"),"")</f>
        <v/>
      </c>
      <c r="AH171" s="43" t="str">
        <f ca="1">IFERROR(__xludf.DUMMYFUNCTION("IFERROR(VLOOKUP(E194&amp;F194,IMPORTRANGE(""https://docs.google.com/spreadsheets/d/1Uw7-A9f9R21vMXxHZFNpYNeKFtG8_yji4HS352LGlSQ/edit?pli=1#gid=0"",""1_ACUM!A4:S""),17,FALSE))"),"")</f>
        <v/>
      </c>
      <c r="AI171" s="44" t="str">
        <f ca="1">IFERROR(__xludf.DUMMYFUNCTION("IFERROR(VLOOKUP(E194&amp;F194,IMPORTRANGE(""https://docs.google.com/spreadsheets/d/1Uw7-A9f9R21vMXxHZFNpYNeKFtG8_yji4HS352LGlSQ/edit?pli=1#gid=0"",""1_ACUM!A4:S""),18,FALSE))"),"")</f>
        <v/>
      </c>
      <c r="AJ171" s="44" t="str">
        <f ca="1">IFERROR(__xludf.DUMMYFUNCTION("IFERROR(VLOOKUP(E194&amp;F194,IMPORTRANGE(""https://docs.google.com/spreadsheets/d/1Uw7-A9f9R21vMXxHZFNpYNeKFtG8_yji4HS352LGlSQ/edit?pli=1#gid=0"",""1_ACUM!A4:S""),19,FALSE))"),"")</f>
        <v/>
      </c>
      <c r="AK171" s="98" t="str">
        <f ca="1">IFERROR(__xludf.DUMMYFUNCTION("IFERROR(VLOOKUP(F194,IMPORTRANGE(""https://docs.google.com/spreadsheets/d/1Kvs4KS76FHFqLFIZfrDMff4kP08nblUkihrxltoGBjg/edit#gid=934712705"",""ESENCIAL!A6:BG""),5,FALSE))"),"")</f>
        <v/>
      </c>
      <c r="AL171" s="98" t="str">
        <f t="shared" si="13"/>
        <v/>
      </c>
      <c r="AM171" s="99" t="str">
        <f t="shared" si="14"/>
        <v/>
      </c>
      <c r="AN171" s="100" t="str">
        <f ca="1">IFERROR(__xludf.DUMMYFUNCTION("IFERROR(VLOOKUP(F194,IMPORTRANGE(""https://docs.google.com/spreadsheets/d/1Kvs4KS76FHFqLFIZfrDMff4kP08nblUkihrxltoGBjg/edit#gid=934712705"",""ESENCIAL!A6:BG""),2,FALSE))"),"")</f>
        <v/>
      </c>
      <c r="AO171" s="19" t="str">
        <f t="shared" si="15"/>
        <v/>
      </c>
      <c r="AP171" s="100"/>
      <c r="AQ171" s="100"/>
    </row>
    <row r="172" spans="1:43" ht="15">
      <c r="A172" s="101"/>
      <c r="B172" s="101"/>
      <c r="G172" s="5" t="str">
        <f ca="1">IFERROR(__xludf.DUMMYFUNCTION("IFERROR(VLOOKUP(F195,IMPORTRANGE(""https://docs.google.com/spreadsheets/d/1Kvs4KS76FHFqLFIZfrDMff4kP08nblUkihrxltoGBjg/edit#gid=934712705"",""ESENCIAL!A6:BG""),3,FALSE))"),"")</f>
        <v/>
      </c>
      <c r="H172" s="5" t="str">
        <f ca="1">IFERROR(__xludf.DUMMYFUNCTION("IFERROR(VLOOKUP(F195,IMPORTRANGE(""https://docs.google.com/spreadsheets/d/1Kvs4KS76FHFqLFIZfrDMff4kP08nblUkihrxltoGBjg/edit#gid=934712705"",""ESENCIAL!A6:BG""),8,FALSE))"),"")</f>
        <v/>
      </c>
      <c r="L172" s="287"/>
      <c r="Z172" s="41" t="str">
        <f t="shared" si="12"/>
        <v/>
      </c>
      <c r="AA172" s="5" t="str">
        <f ca="1">IFERROR(__xludf.DUMMYFUNCTION("IFERROR(VLOOKUP(E195&amp;F195,IMPORTRANGE(""https://docs.google.com/spreadsheets/d/1Uw7-A9f9R21vMXxHZFNpYNeKFtG8_yji4HS352LGlSQ/edit?pli=1#gid=0"",""1_ACUM!A4:S""),11,FALSE))"),"")</f>
        <v/>
      </c>
      <c r="AB172" s="42" t="str">
        <f ca="1">IFERROR(__xludf.DUMMYFUNCTION("IFERROR(VLOOKUP(F195,IMPORTRANGE(""https://docs.google.com/spreadsheets/d/1Kvs4KS76FHFqLFIZfrDMff4kP08nblUkihrxltoGBjg/edit#gid=934712705"",""ESENCIAL!A6:BG""),15,FALSE))"),"")</f>
        <v/>
      </c>
      <c r="AC172" s="110" t="str">
        <f ca="1">IFERROR(__xludf.DUMMYFUNCTION("IFERROR(VLOOKUP(E195&amp;F195,IMPORTRANGE(""https://docs.google.com/spreadsheets/d/1Uw7-A9f9R21vMXxHZFNpYNeKFtG8_yji4HS352LGlSQ/edit?pli=1#gid=0"",""1_ACUM!A4:S""),13,FALSE))"),"")</f>
        <v/>
      </c>
      <c r="AD172" s="43" t="str">
        <f ca="1">IFERROR(__xludf.DUMMYFUNCTION("IFERROR(VLOOKUP(E195&amp;F195,IMPORTRANGE(""https://docs.google.com/spreadsheets/d/1Uw7-A9f9R21vMXxHZFNpYNeKFtG8_yji4HS352LGlSQ/edit?pli=1#gid=0"",""1_ACUM!A4:S""),13,FALSE))"),"")</f>
        <v/>
      </c>
      <c r="AE172" s="43" t="str">
        <f ca="1">IFERROR(__xludf.DUMMYFUNCTION("IFERROR(VLOOKUP(E195&amp;F195,IMPORTRANGE(""https://docs.google.com/spreadsheets/d/1Uw7-A9f9R21vMXxHZFNpYNeKFtG8_yji4HS352LGlSQ/edit?pli=1#gid=0"",""1_ACUM!A4:S""),14,FALSE))"),"")</f>
        <v/>
      </c>
      <c r="AF172" s="43" t="str">
        <f ca="1">IFERROR(__xludf.DUMMYFUNCTION("IFERROR(VLOOKUP(E195&amp;F195,IMPORTRANGE(""https://docs.google.com/spreadsheets/d/1Uw7-A9f9R21vMXxHZFNpYNeKFtG8_yji4HS352LGlSQ/edit?pli=1#gid=0"",""1_ACUM!A4:S""),15,FALSE))"),"")</f>
        <v/>
      </c>
      <c r="AG172" s="43" t="str">
        <f ca="1">IFERROR(__xludf.DUMMYFUNCTION("IFERROR(VLOOKUP(E195&amp;F195,IMPORTRANGE(""https://docs.google.com/spreadsheets/d/1Uw7-A9f9R21vMXxHZFNpYNeKFtG8_yji4HS352LGlSQ/edit?pli=1#gid=0"",""1_ACUM!A4:S""),16,FALSE))"),"")</f>
        <v/>
      </c>
      <c r="AH172" s="43" t="str">
        <f ca="1">IFERROR(__xludf.DUMMYFUNCTION("IFERROR(VLOOKUP(E195&amp;F195,IMPORTRANGE(""https://docs.google.com/spreadsheets/d/1Uw7-A9f9R21vMXxHZFNpYNeKFtG8_yji4HS352LGlSQ/edit?pli=1#gid=0"",""1_ACUM!A4:S""),17,FALSE))"),"")</f>
        <v/>
      </c>
      <c r="AI172" s="44" t="str">
        <f ca="1">IFERROR(__xludf.DUMMYFUNCTION("IFERROR(VLOOKUP(E195&amp;F195,IMPORTRANGE(""https://docs.google.com/spreadsheets/d/1Uw7-A9f9R21vMXxHZFNpYNeKFtG8_yji4HS352LGlSQ/edit?pli=1#gid=0"",""1_ACUM!A4:S""),18,FALSE))"),"")</f>
        <v/>
      </c>
      <c r="AJ172" s="44" t="str">
        <f ca="1">IFERROR(__xludf.DUMMYFUNCTION("IFERROR(VLOOKUP(E195&amp;F195,IMPORTRANGE(""https://docs.google.com/spreadsheets/d/1Uw7-A9f9R21vMXxHZFNpYNeKFtG8_yji4HS352LGlSQ/edit?pli=1#gid=0"",""1_ACUM!A4:S""),19,FALSE))"),"")</f>
        <v/>
      </c>
      <c r="AK172" s="98" t="str">
        <f ca="1">IFERROR(__xludf.DUMMYFUNCTION("IFERROR(VLOOKUP(F195,IMPORTRANGE(""https://docs.google.com/spreadsheets/d/1Kvs4KS76FHFqLFIZfrDMff4kP08nblUkihrxltoGBjg/edit#gid=934712705"",""ESENCIAL!A6:BG""),5,FALSE))"),"")</f>
        <v/>
      </c>
      <c r="AL172" s="98" t="str">
        <f t="shared" si="13"/>
        <v/>
      </c>
      <c r="AM172" s="99" t="str">
        <f t="shared" si="14"/>
        <v/>
      </c>
      <c r="AN172" s="100" t="str">
        <f ca="1">IFERROR(__xludf.DUMMYFUNCTION("IFERROR(VLOOKUP(F195,IMPORTRANGE(""https://docs.google.com/spreadsheets/d/1Kvs4KS76FHFqLFIZfrDMff4kP08nblUkihrxltoGBjg/edit#gid=934712705"",""ESENCIAL!A6:BG""),2,FALSE))"),"")</f>
        <v/>
      </c>
      <c r="AO172" s="19" t="str">
        <f t="shared" si="15"/>
        <v/>
      </c>
      <c r="AP172" s="100"/>
      <c r="AQ172" s="100"/>
    </row>
    <row r="173" spans="1:43" ht="15">
      <c r="A173" s="101"/>
      <c r="B173" s="101"/>
      <c r="G173" s="5" t="str">
        <f ca="1">IFERROR(__xludf.DUMMYFUNCTION("IFERROR(VLOOKUP(F196,IMPORTRANGE(""https://docs.google.com/spreadsheets/d/1Kvs4KS76FHFqLFIZfrDMff4kP08nblUkihrxltoGBjg/edit#gid=934712705"",""ESENCIAL!A6:BG""),3,FALSE))"),"")</f>
        <v/>
      </c>
      <c r="H173" s="5" t="str">
        <f ca="1">IFERROR(__xludf.DUMMYFUNCTION("IFERROR(VLOOKUP(F196,IMPORTRANGE(""https://docs.google.com/spreadsheets/d/1Kvs4KS76FHFqLFIZfrDMff4kP08nblUkihrxltoGBjg/edit#gid=934712705"",""ESENCIAL!A6:BG""),8,FALSE))"),"")</f>
        <v/>
      </c>
      <c r="L173" s="287"/>
      <c r="Z173" s="41" t="str">
        <f t="shared" si="12"/>
        <v/>
      </c>
      <c r="AA173" s="5" t="str">
        <f ca="1">IFERROR(__xludf.DUMMYFUNCTION("IFERROR(VLOOKUP(E196&amp;F196,IMPORTRANGE(""https://docs.google.com/spreadsheets/d/1Uw7-A9f9R21vMXxHZFNpYNeKFtG8_yji4HS352LGlSQ/edit?pli=1#gid=0"",""1_ACUM!A4:S""),11,FALSE))"),"")</f>
        <v/>
      </c>
      <c r="AB173" s="42" t="str">
        <f ca="1">IFERROR(__xludf.DUMMYFUNCTION("IFERROR(VLOOKUP(F196,IMPORTRANGE(""https://docs.google.com/spreadsheets/d/1Kvs4KS76FHFqLFIZfrDMff4kP08nblUkihrxltoGBjg/edit#gid=934712705"",""ESENCIAL!A6:BG""),15,FALSE))"),"")</f>
        <v/>
      </c>
      <c r="AC173" s="110" t="str">
        <f ca="1">IFERROR(__xludf.DUMMYFUNCTION("IFERROR(VLOOKUP(E196&amp;F196,IMPORTRANGE(""https://docs.google.com/spreadsheets/d/1Uw7-A9f9R21vMXxHZFNpYNeKFtG8_yji4HS352LGlSQ/edit?pli=1#gid=0"",""1_ACUM!A4:S""),13,FALSE))"),"")</f>
        <v/>
      </c>
      <c r="AD173" s="43" t="str">
        <f ca="1">IFERROR(__xludf.DUMMYFUNCTION("IFERROR(VLOOKUP(E196&amp;F196,IMPORTRANGE(""https://docs.google.com/spreadsheets/d/1Uw7-A9f9R21vMXxHZFNpYNeKFtG8_yji4HS352LGlSQ/edit?pli=1#gid=0"",""1_ACUM!A4:S""),13,FALSE))"),"")</f>
        <v/>
      </c>
      <c r="AE173" s="43" t="str">
        <f ca="1">IFERROR(__xludf.DUMMYFUNCTION("IFERROR(VLOOKUP(E196&amp;F196,IMPORTRANGE(""https://docs.google.com/spreadsheets/d/1Uw7-A9f9R21vMXxHZFNpYNeKFtG8_yji4HS352LGlSQ/edit?pli=1#gid=0"",""1_ACUM!A4:S""),14,FALSE))"),"")</f>
        <v/>
      </c>
      <c r="AF173" s="43" t="str">
        <f ca="1">IFERROR(__xludf.DUMMYFUNCTION("IFERROR(VLOOKUP(E196&amp;F196,IMPORTRANGE(""https://docs.google.com/spreadsheets/d/1Uw7-A9f9R21vMXxHZFNpYNeKFtG8_yji4HS352LGlSQ/edit?pli=1#gid=0"",""1_ACUM!A4:S""),15,FALSE))"),"")</f>
        <v/>
      </c>
      <c r="AG173" s="43" t="str">
        <f ca="1">IFERROR(__xludf.DUMMYFUNCTION("IFERROR(VLOOKUP(E196&amp;F196,IMPORTRANGE(""https://docs.google.com/spreadsheets/d/1Uw7-A9f9R21vMXxHZFNpYNeKFtG8_yji4HS352LGlSQ/edit?pli=1#gid=0"",""1_ACUM!A4:S""),16,FALSE))"),"")</f>
        <v/>
      </c>
      <c r="AH173" s="43" t="str">
        <f ca="1">IFERROR(__xludf.DUMMYFUNCTION("IFERROR(VLOOKUP(E196&amp;F196,IMPORTRANGE(""https://docs.google.com/spreadsheets/d/1Uw7-A9f9R21vMXxHZFNpYNeKFtG8_yji4HS352LGlSQ/edit?pli=1#gid=0"",""1_ACUM!A4:S""),17,FALSE))"),"")</f>
        <v/>
      </c>
      <c r="AI173" s="44" t="str">
        <f ca="1">IFERROR(__xludf.DUMMYFUNCTION("IFERROR(VLOOKUP(E196&amp;F196,IMPORTRANGE(""https://docs.google.com/spreadsheets/d/1Uw7-A9f9R21vMXxHZFNpYNeKFtG8_yji4HS352LGlSQ/edit?pli=1#gid=0"",""1_ACUM!A4:S""),18,FALSE))"),"")</f>
        <v/>
      </c>
      <c r="AJ173" s="44" t="str">
        <f ca="1">IFERROR(__xludf.DUMMYFUNCTION("IFERROR(VLOOKUP(E196&amp;F196,IMPORTRANGE(""https://docs.google.com/spreadsheets/d/1Uw7-A9f9R21vMXxHZFNpYNeKFtG8_yji4HS352LGlSQ/edit?pli=1#gid=0"",""1_ACUM!A4:S""),19,FALSE))"),"")</f>
        <v/>
      </c>
      <c r="AK173" s="98" t="str">
        <f ca="1">IFERROR(__xludf.DUMMYFUNCTION("IFERROR(VLOOKUP(F196,IMPORTRANGE(""https://docs.google.com/spreadsheets/d/1Kvs4KS76FHFqLFIZfrDMff4kP08nblUkihrxltoGBjg/edit#gid=934712705"",""ESENCIAL!A6:BG""),5,FALSE))"),"")</f>
        <v/>
      </c>
      <c r="AL173" s="98" t="str">
        <f t="shared" si="13"/>
        <v/>
      </c>
      <c r="AM173" s="99" t="str">
        <f t="shared" si="14"/>
        <v/>
      </c>
      <c r="AN173" s="100" t="str">
        <f ca="1">IFERROR(__xludf.DUMMYFUNCTION("IFERROR(VLOOKUP(F196,IMPORTRANGE(""https://docs.google.com/spreadsheets/d/1Kvs4KS76FHFqLFIZfrDMff4kP08nblUkihrxltoGBjg/edit#gid=934712705"",""ESENCIAL!A6:BG""),2,FALSE))"),"")</f>
        <v/>
      </c>
      <c r="AO173" s="19" t="str">
        <f t="shared" si="15"/>
        <v/>
      </c>
      <c r="AP173" s="100"/>
      <c r="AQ173" s="100"/>
    </row>
    <row r="174" spans="1:43" ht="15">
      <c r="A174" s="101"/>
      <c r="B174" s="101"/>
      <c r="G174" s="5" t="str">
        <f ca="1">IFERROR(__xludf.DUMMYFUNCTION("IFERROR(VLOOKUP(F197,IMPORTRANGE(""https://docs.google.com/spreadsheets/d/1Kvs4KS76FHFqLFIZfrDMff4kP08nblUkihrxltoGBjg/edit#gid=934712705"",""ESENCIAL!A6:BG""),3,FALSE))"),"")</f>
        <v/>
      </c>
      <c r="H174" s="5" t="str">
        <f ca="1">IFERROR(__xludf.DUMMYFUNCTION("IFERROR(VLOOKUP(F197,IMPORTRANGE(""https://docs.google.com/spreadsheets/d/1Kvs4KS76FHFqLFIZfrDMff4kP08nblUkihrxltoGBjg/edit#gid=934712705"",""ESENCIAL!A6:BG""),8,FALSE))"),"")</f>
        <v/>
      </c>
      <c r="L174" s="287"/>
      <c r="Z174" s="41" t="str">
        <f t="shared" si="12"/>
        <v/>
      </c>
      <c r="AA174" s="5" t="str">
        <f ca="1">IFERROR(__xludf.DUMMYFUNCTION("IFERROR(VLOOKUP(E197&amp;F197,IMPORTRANGE(""https://docs.google.com/spreadsheets/d/1Uw7-A9f9R21vMXxHZFNpYNeKFtG8_yji4HS352LGlSQ/edit?pli=1#gid=0"",""1_ACUM!A4:S""),11,FALSE))"),"")</f>
        <v/>
      </c>
      <c r="AB174" s="42" t="str">
        <f ca="1">IFERROR(__xludf.DUMMYFUNCTION("IFERROR(VLOOKUP(F197,IMPORTRANGE(""https://docs.google.com/spreadsheets/d/1Kvs4KS76FHFqLFIZfrDMff4kP08nblUkihrxltoGBjg/edit#gid=934712705"",""ESENCIAL!A6:BG""),15,FALSE))"),"")</f>
        <v/>
      </c>
      <c r="AC174" s="110" t="str">
        <f ca="1">IFERROR(__xludf.DUMMYFUNCTION("IFERROR(VLOOKUP(E197&amp;F197,IMPORTRANGE(""https://docs.google.com/spreadsheets/d/1Uw7-A9f9R21vMXxHZFNpYNeKFtG8_yji4HS352LGlSQ/edit?pli=1#gid=0"",""1_ACUM!A4:S""),13,FALSE))"),"")</f>
        <v/>
      </c>
      <c r="AD174" s="43" t="str">
        <f ca="1">IFERROR(__xludf.DUMMYFUNCTION("IFERROR(VLOOKUP(E197&amp;F197,IMPORTRANGE(""https://docs.google.com/spreadsheets/d/1Uw7-A9f9R21vMXxHZFNpYNeKFtG8_yji4HS352LGlSQ/edit?pli=1#gid=0"",""1_ACUM!A4:S""),13,FALSE))"),"")</f>
        <v/>
      </c>
      <c r="AE174" s="43" t="str">
        <f ca="1">IFERROR(__xludf.DUMMYFUNCTION("IFERROR(VLOOKUP(E197&amp;F197,IMPORTRANGE(""https://docs.google.com/spreadsheets/d/1Uw7-A9f9R21vMXxHZFNpYNeKFtG8_yji4HS352LGlSQ/edit?pli=1#gid=0"",""1_ACUM!A4:S""),14,FALSE))"),"")</f>
        <v/>
      </c>
      <c r="AF174" s="43" t="str">
        <f ca="1">IFERROR(__xludf.DUMMYFUNCTION("IFERROR(VLOOKUP(E197&amp;F197,IMPORTRANGE(""https://docs.google.com/spreadsheets/d/1Uw7-A9f9R21vMXxHZFNpYNeKFtG8_yji4HS352LGlSQ/edit?pli=1#gid=0"",""1_ACUM!A4:S""),15,FALSE))"),"")</f>
        <v/>
      </c>
      <c r="AG174" s="43" t="str">
        <f ca="1">IFERROR(__xludf.DUMMYFUNCTION("IFERROR(VLOOKUP(E197&amp;F197,IMPORTRANGE(""https://docs.google.com/spreadsheets/d/1Uw7-A9f9R21vMXxHZFNpYNeKFtG8_yji4HS352LGlSQ/edit?pli=1#gid=0"",""1_ACUM!A4:S""),16,FALSE))"),"")</f>
        <v/>
      </c>
      <c r="AH174" s="43" t="str">
        <f ca="1">IFERROR(__xludf.DUMMYFUNCTION("IFERROR(VLOOKUP(E197&amp;F197,IMPORTRANGE(""https://docs.google.com/spreadsheets/d/1Uw7-A9f9R21vMXxHZFNpYNeKFtG8_yji4HS352LGlSQ/edit?pli=1#gid=0"",""1_ACUM!A4:S""),17,FALSE))"),"")</f>
        <v/>
      </c>
      <c r="AI174" s="44" t="str">
        <f ca="1">IFERROR(__xludf.DUMMYFUNCTION("IFERROR(VLOOKUP(E197&amp;F197,IMPORTRANGE(""https://docs.google.com/spreadsheets/d/1Uw7-A9f9R21vMXxHZFNpYNeKFtG8_yji4HS352LGlSQ/edit?pli=1#gid=0"",""1_ACUM!A4:S""),18,FALSE))"),"")</f>
        <v/>
      </c>
      <c r="AJ174" s="44" t="str">
        <f ca="1">IFERROR(__xludf.DUMMYFUNCTION("IFERROR(VLOOKUP(E197&amp;F197,IMPORTRANGE(""https://docs.google.com/spreadsheets/d/1Uw7-A9f9R21vMXxHZFNpYNeKFtG8_yji4HS352LGlSQ/edit?pli=1#gid=0"",""1_ACUM!A4:S""),19,FALSE))"),"")</f>
        <v/>
      </c>
      <c r="AK174" s="98" t="str">
        <f ca="1">IFERROR(__xludf.DUMMYFUNCTION("IFERROR(VLOOKUP(F197,IMPORTRANGE(""https://docs.google.com/spreadsheets/d/1Kvs4KS76FHFqLFIZfrDMff4kP08nblUkihrxltoGBjg/edit#gid=934712705"",""ESENCIAL!A6:BG""),5,FALSE))"),"")</f>
        <v/>
      </c>
      <c r="AL174" s="98" t="str">
        <f t="shared" si="13"/>
        <v/>
      </c>
      <c r="AM174" s="99" t="str">
        <f t="shared" si="14"/>
        <v/>
      </c>
      <c r="AN174" s="100" t="str">
        <f ca="1">IFERROR(__xludf.DUMMYFUNCTION("IFERROR(VLOOKUP(F197,IMPORTRANGE(""https://docs.google.com/spreadsheets/d/1Kvs4KS76FHFqLFIZfrDMff4kP08nblUkihrxltoGBjg/edit#gid=934712705"",""ESENCIAL!A6:BG""),2,FALSE))"),"")</f>
        <v/>
      </c>
      <c r="AO174" s="19" t="str">
        <f t="shared" si="15"/>
        <v/>
      </c>
      <c r="AP174" s="100"/>
      <c r="AQ174" s="100"/>
    </row>
    <row r="175" spans="1:43" ht="15">
      <c r="A175" s="101"/>
      <c r="B175" s="101"/>
      <c r="G175" s="5" t="str">
        <f ca="1">IFERROR(__xludf.DUMMYFUNCTION("IFERROR(VLOOKUP(F198,IMPORTRANGE(""https://docs.google.com/spreadsheets/d/1Kvs4KS76FHFqLFIZfrDMff4kP08nblUkihrxltoGBjg/edit#gid=934712705"",""ESENCIAL!A6:BG""),3,FALSE))"),"")</f>
        <v/>
      </c>
      <c r="H175" s="5" t="str">
        <f ca="1">IFERROR(__xludf.DUMMYFUNCTION("IFERROR(VLOOKUP(F198,IMPORTRANGE(""https://docs.google.com/spreadsheets/d/1Kvs4KS76FHFqLFIZfrDMff4kP08nblUkihrxltoGBjg/edit#gid=934712705"",""ESENCIAL!A6:BG""),8,FALSE))"),"")</f>
        <v/>
      </c>
      <c r="L175" s="287"/>
      <c r="Z175" s="41" t="str">
        <f t="shared" si="12"/>
        <v/>
      </c>
      <c r="AA175" s="5" t="str">
        <f ca="1">IFERROR(__xludf.DUMMYFUNCTION("IFERROR(VLOOKUP(E198&amp;F198,IMPORTRANGE(""https://docs.google.com/spreadsheets/d/1Uw7-A9f9R21vMXxHZFNpYNeKFtG8_yji4HS352LGlSQ/edit?pli=1#gid=0"",""1_ACUM!A4:S""),11,FALSE))"),"")</f>
        <v/>
      </c>
      <c r="AB175" s="42" t="str">
        <f ca="1">IFERROR(__xludf.DUMMYFUNCTION("IFERROR(VLOOKUP(F198,IMPORTRANGE(""https://docs.google.com/spreadsheets/d/1Kvs4KS76FHFqLFIZfrDMff4kP08nblUkihrxltoGBjg/edit#gid=934712705"",""ESENCIAL!A6:BG""),15,FALSE))"),"")</f>
        <v/>
      </c>
      <c r="AC175" s="110" t="str">
        <f ca="1">IFERROR(__xludf.DUMMYFUNCTION("IFERROR(VLOOKUP(E198&amp;F198,IMPORTRANGE(""https://docs.google.com/spreadsheets/d/1Uw7-A9f9R21vMXxHZFNpYNeKFtG8_yji4HS352LGlSQ/edit?pli=1#gid=0"",""1_ACUM!A4:S""),13,FALSE))"),"")</f>
        <v/>
      </c>
      <c r="AD175" s="43" t="str">
        <f ca="1">IFERROR(__xludf.DUMMYFUNCTION("IFERROR(VLOOKUP(E198&amp;F198,IMPORTRANGE(""https://docs.google.com/spreadsheets/d/1Uw7-A9f9R21vMXxHZFNpYNeKFtG8_yji4HS352LGlSQ/edit?pli=1#gid=0"",""1_ACUM!A4:S""),13,FALSE))"),"")</f>
        <v/>
      </c>
      <c r="AE175" s="43" t="str">
        <f ca="1">IFERROR(__xludf.DUMMYFUNCTION("IFERROR(VLOOKUP(E198&amp;F198,IMPORTRANGE(""https://docs.google.com/spreadsheets/d/1Uw7-A9f9R21vMXxHZFNpYNeKFtG8_yji4HS352LGlSQ/edit?pli=1#gid=0"",""1_ACUM!A4:S""),14,FALSE))"),"")</f>
        <v/>
      </c>
      <c r="AF175" s="43" t="str">
        <f ca="1">IFERROR(__xludf.DUMMYFUNCTION("IFERROR(VLOOKUP(E198&amp;F198,IMPORTRANGE(""https://docs.google.com/spreadsheets/d/1Uw7-A9f9R21vMXxHZFNpYNeKFtG8_yji4HS352LGlSQ/edit?pli=1#gid=0"",""1_ACUM!A4:S""),15,FALSE))"),"")</f>
        <v/>
      </c>
      <c r="AG175" s="43" t="str">
        <f ca="1">IFERROR(__xludf.DUMMYFUNCTION("IFERROR(VLOOKUP(E198&amp;F198,IMPORTRANGE(""https://docs.google.com/spreadsheets/d/1Uw7-A9f9R21vMXxHZFNpYNeKFtG8_yji4HS352LGlSQ/edit?pli=1#gid=0"",""1_ACUM!A4:S""),16,FALSE))"),"")</f>
        <v/>
      </c>
      <c r="AH175" s="43" t="str">
        <f ca="1">IFERROR(__xludf.DUMMYFUNCTION("IFERROR(VLOOKUP(E198&amp;F198,IMPORTRANGE(""https://docs.google.com/spreadsheets/d/1Uw7-A9f9R21vMXxHZFNpYNeKFtG8_yji4HS352LGlSQ/edit?pli=1#gid=0"",""1_ACUM!A4:S""),17,FALSE))"),"")</f>
        <v/>
      </c>
      <c r="AI175" s="44" t="str">
        <f ca="1">IFERROR(__xludf.DUMMYFUNCTION("IFERROR(VLOOKUP(E198&amp;F198,IMPORTRANGE(""https://docs.google.com/spreadsheets/d/1Uw7-A9f9R21vMXxHZFNpYNeKFtG8_yji4HS352LGlSQ/edit?pli=1#gid=0"",""1_ACUM!A4:S""),18,FALSE))"),"")</f>
        <v/>
      </c>
      <c r="AJ175" s="44" t="str">
        <f ca="1">IFERROR(__xludf.DUMMYFUNCTION("IFERROR(VLOOKUP(E198&amp;F198,IMPORTRANGE(""https://docs.google.com/spreadsheets/d/1Uw7-A9f9R21vMXxHZFNpYNeKFtG8_yji4HS352LGlSQ/edit?pli=1#gid=0"",""1_ACUM!A4:S""),19,FALSE))"),"")</f>
        <v/>
      </c>
      <c r="AK175" s="98" t="str">
        <f ca="1">IFERROR(__xludf.DUMMYFUNCTION("IFERROR(VLOOKUP(F198,IMPORTRANGE(""https://docs.google.com/spreadsheets/d/1Kvs4KS76FHFqLFIZfrDMff4kP08nblUkihrxltoGBjg/edit#gid=934712705"",""ESENCIAL!A6:BG""),5,FALSE))"),"")</f>
        <v/>
      </c>
      <c r="AL175" s="98" t="str">
        <f t="shared" si="13"/>
        <v/>
      </c>
      <c r="AM175" s="99" t="str">
        <f t="shared" si="14"/>
        <v/>
      </c>
      <c r="AN175" s="100" t="str">
        <f ca="1">IFERROR(__xludf.DUMMYFUNCTION("IFERROR(VLOOKUP(F198,IMPORTRANGE(""https://docs.google.com/spreadsheets/d/1Kvs4KS76FHFqLFIZfrDMff4kP08nblUkihrxltoGBjg/edit#gid=934712705"",""ESENCIAL!A6:BG""),2,FALSE))"),"")</f>
        <v/>
      </c>
      <c r="AO175" s="19" t="str">
        <f t="shared" si="15"/>
        <v/>
      </c>
      <c r="AP175" s="100"/>
      <c r="AQ175" s="100"/>
    </row>
    <row r="176" spans="1:43" ht="15">
      <c r="A176" s="101"/>
      <c r="B176" s="101"/>
      <c r="G176" s="5" t="str">
        <f ca="1">IFERROR(__xludf.DUMMYFUNCTION("IFERROR(VLOOKUP(F199,IMPORTRANGE(""https://docs.google.com/spreadsheets/d/1Kvs4KS76FHFqLFIZfrDMff4kP08nblUkihrxltoGBjg/edit#gid=934712705"",""ESENCIAL!A6:BG""),3,FALSE))"),"")</f>
        <v/>
      </c>
      <c r="H176" s="5" t="str">
        <f ca="1">IFERROR(__xludf.DUMMYFUNCTION("IFERROR(VLOOKUP(F199,IMPORTRANGE(""https://docs.google.com/spreadsheets/d/1Kvs4KS76FHFqLFIZfrDMff4kP08nblUkihrxltoGBjg/edit#gid=934712705"",""ESENCIAL!A6:BG""),8,FALSE))"),"")</f>
        <v/>
      </c>
      <c r="L176" s="287"/>
      <c r="Z176" s="41" t="str">
        <f t="shared" si="12"/>
        <v/>
      </c>
      <c r="AA176" s="5" t="str">
        <f ca="1">IFERROR(__xludf.DUMMYFUNCTION("IFERROR(VLOOKUP(E199&amp;F199,IMPORTRANGE(""https://docs.google.com/spreadsheets/d/1Uw7-A9f9R21vMXxHZFNpYNeKFtG8_yji4HS352LGlSQ/edit?pli=1#gid=0"",""1_ACUM!A4:S""),11,FALSE))"),"")</f>
        <v/>
      </c>
      <c r="AB176" s="42" t="str">
        <f ca="1">IFERROR(__xludf.DUMMYFUNCTION("IFERROR(VLOOKUP(F199,IMPORTRANGE(""https://docs.google.com/spreadsheets/d/1Kvs4KS76FHFqLFIZfrDMff4kP08nblUkihrxltoGBjg/edit#gid=934712705"",""ESENCIAL!A6:BG""),15,FALSE))"),"")</f>
        <v/>
      </c>
      <c r="AC176" s="110" t="str">
        <f ca="1">IFERROR(__xludf.DUMMYFUNCTION("IFERROR(VLOOKUP(E199&amp;F199,IMPORTRANGE(""https://docs.google.com/spreadsheets/d/1Uw7-A9f9R21vMXxHZFNpYNeKFtG8_yji4HS352LGlSQ/edit?pli=1#gid=0"",""1_ACUM!A4:S""),13,FALSE))"),"")</f>
        <v/>
      </c>
      <c r="AD176" s="43" t="str">
        <f ca="1">IFERROR(__xludf.DUMMYFUNCTION("IFERROR(VLOOKUP(E199&amp;F199,IMPORTRANGE(""https://docs.google.com/spreadsheets/d/1Uw7-A9f9R21vMXxHZFNpYNeKFtG8_yji4HS352LGlSQ/edit?pli=1#gid=0"",""1_ACUM!A4:S""),13,FALSE))"),"")</f>
        <v/>
      </c>
      <c r="AE176" s="43" t="str">
        <f ca="1">IFERROR(__xludf.DUMMYFUNCTION("IFERROR(VLOOKUP(E199&amp;F199,IMPORTRANGE(""https://docs.google.com/spreadsheets/d/1Uw7-A9f9R21vMXxHZFNpYNeKFtG8_yji4HS352LGlSQ/edit?pli=1#gid=0"",""1_ACUM!A4:S""),14,FALSE))"),"")</f>
        <v/>
      </c>
      <c r="AF176" s="43" t="str">
        <f ca="1">IFERROR(__xludf.DUMMYFUNCTION("IFERROR(VLOOKUP(E199&amp;F199,IMPORTRANGE(""https://docs.google.com/spreadsheets/d/1Uw7-A9f9R21vMXxHZFNpYNeKFtG8_yji4HS352LGlSQ/edit?pli=1#gid=0"",""1_ACUM!A4:S""),15,FALSE))"),"")</f>
        <v/>
      </c>
      <c r="AG176" s="43" t="str">
        <f ca="1">IFERROR(__xludf.DUMMYFUNCTION("IFERROR(VLOOKUP(E199&amp;F199,IMPORTRANGE(""https://docs.google.com/spreadsheets/d/1Uw7-A9f9R21vMXxHZFNpYNeKFtG8_yji4HS352LGlSQ/edit?pli=1#gid=0"",""1_ACUM!A4:S""),16,FALSE))"),"")</f>
        <v/>
      </c>
      <c r="AH176" s="43" t="str">
        <f ca="1">IFERROR(__xludf.DUMMYFUNCTION("IFERROR(VLOOKUP(E199&amp;F199,IMPORTRANGE(""https://docs.google.com/spreadsheets/d/1Uw7-A9f9R21vMXxHZFNpYNeKFtG8_yji4HS352LGlSQ/edit?pli=1#gid=0"",""1_ACUM!A4:S""),17,FALSE))"),"")</f>
        <v/>
      </c>
      <c r="AI176" s="44" t="str">
        <f ca="1">IFERROR(__xludf.DUMMYFUNCTION("IFERROR(VLOOKUP(E199&amp;F199,IMPORTRANGE(""https://docs.google.com/spreadsheets/d/1Uw7-A9f9R21vMXxHZFNpYNeKFtG8_yji4HS352LGlSQ/edit?pli=1#gid=0"",""1_ACUM!A4:S""),18,FALSE))"),"")</f>
        <v/>
      </c>
      <c r="AJ176" s="44" t="str">
        <f ca="1">IFERROR(__xludf.DUMMYFUNCTION("IFERROR(VLOOKUP(E199&amp;F199,IMPORTRANGE(""https://docs.google.com/spreadsheets/d/1Uw7-A9f9R21vMXxHZFNpYNeKFtG8_yji4HS352LGlSQ/edit?pli=1#gid=0"",""1_ACUM!A4:S""),19,FALSE))"),"")</f>
        <v/>
      </c>
      <c r="AK176" s="98" t="str">
        <f ca="1">IFERROR(__xludf.DUMMYFUNCTION("IFERROR(VLOOKUP(F199,IMPORTRANGE(""https://docs.google.com/spreadsheets/d/1Kvs4KS76FHFqLFIZfrDMff4kP08nblUkihrxltoGBjg/edit#gid=934712705"",""ESENCIAL!A6:BG""),5,FALSE))"),"")</f>
        <v/>
      </c>
      <c r="AL176" s="98" t="str">
        <f t="shared" si="13"/>
        <v/>
      </c>
      <c r="AM176" s="99" t="str">
        <f t="shared" si="14"/>
        <v/>
      </c>
      <c r="AN176" s="100" t="str">
        <f ca="1">IFERROR(__xludf.DUMMYFUNCTION("IFERROR(VLOOKUP(F199,IMPORTRANGE(""https://docs.google.com/spreadsheets/d/1Kvs4KS76FHFqLFIZfrDMff4kP08nblUkihrxltoGBjg/edit#gid=934712705"",""ESENCIAL!A6:BG""),2,FALSE))"),"")</f>
        <v/>
      </c>
      <c r="AO176" s="19" t="str">
        <f t="shared" si="15"/>
        <v/>
      </c>
      <c r="AP176" s="100"/>
      <c r="AQ176" s="100"/>
    </row>
    <row r="177" spans="1:43" ht="15">
      <c r="A177" s="101"/>
      <c r="B177" s="101"/>
      <c r="G177" s="5" t="str">
        <f ca="1">IFERROR(__xludf.DUMMYFUNCTION("IFERROR(VLOOKUP(F200,IMPORTRANGE(""https://docs.google.com/spreadsheets/d/1Kvs4KS76FHFqLFIZfrDMff4kP08nblUkihrxltoGBjg/edit#gid=934712705"",""ESENCIAL!A6:BG""),3,FALSE))"),"")</f>
        <v/>
      </c>
      <c r="H177" s="5" t="str">
        <f ca="1">IFERROR(__xludf.DUMMYFUNCTION("IFERROR(VLOOKUP(F200,IMPORTRANGE(""https://docs.google.com/spreadsheets/d/1Kvs4KS76FHFqLFIZfrDMff4kP08nblUkihrxltoGBjg/edit#gid=934712705"",""ESENCIAL!A6:BG""),8,FALSE))"),"")</f>
        <v/>
      </c>
      <c r="L177" s="287"/>
      <c r="Z177" s="41" t="str">
        <f t="shared" si="12"/>
        <v/>
      </c>
      <c r="AA177" s="5" t="str">
        <f ca="1">IFERROR(__xludf.DUMMYFUNCTION("IFERROR(VLOOKUP(E200&amp;F200,IMPORTRANGE(""https://docs.google.com/spreadsheets/d/1Uw7-A9f9R21vMXxHZFNpYNeKFtG8_yji4HS352LGlSQ/edit?pli=1#gid=0"",""1_ACUM!A4:S""),11,FALSE))"),"")</f>
        <v/>
      </c>
      <c r="AB177" s="42" t="str">
        <f ca="1">IFERROR(__xludf.DUMMYFUNCTION("IFERROR(VLOOKUP(F200,IMPORTRANGE(""https://docs.google.com/spreadsheets/d/1Kvs4KS76FHFqLFIZfrDMff4kP08nblUkihrxltoGBjg/edit#gid=934712705"",""ESENCIAL!A6:BG""),15,FALSE))"),"")</f>
        <v/>
      </c>
      <c r="AC177" s="110" t="str">
        <f ca="1">IFERROR(__xludf.DUMMYFUNCTION("IFERROR(VLOOKUP(E200&amp;F200,IMPORTRANGE(""https://docs.google.com/spreadsheets/d/1Uw7-A9f9R21vMXxHZFNpYNeKFtG8_yji4HS352LGlSQ/edit?pli=1#gid=0"",""1_ACUM!A4:S""),13,FALSE))"),"")</f>
        <v/>
      </c>
      <c r="AD177" s="43" t="str">
        <f ca="1">IFERROR(__xludf.DUMMYFUNCTION("IFERROR(VLOOKUP(E200&amp;F200,IMPORTRANGE(""https://docs.google.com/spreadsheets/d/1Uw7-A9f9R21vMXxHZFNpYNeKFtG8_yji4HS352LGlSQ/edit?pli=1#gid=0"",""1_ACUM!A4:S""),13,FALSE))"),"")</f>
        <v/>
      </c>
      <c r="AE177" s="43" t="str">
        <f ca="1">IFERROR(__xludf.DUMMYFUNCTION("IFERROR(VLOOKUP(E200&amp;F200,IMPORTRANGE(""https://docs.google.com/spreadsheets/d/1Uw7-A9f9R21vMXxHZFNpYNeKFtG8_yji4HS352LGlSQ/edit?pli=1#gid=0"",""1_ACUM!A4:S""),14,FALSE))"),"")</f>
        <v/>
      </c>
      <c r="AF177" s="43" t="str">
        <f ca="1">IFERROR(__xludf.DUMMYFUNCTION("IFERROR(VLOOKUP(E200&amp;F200,IMPORTRANGE(""https://docs.google.com/spreadsheets/d/1Uw7-A9f9R21vMXxHZFNpYNeKFtG8_yji4HS352LGlSQ/edit?pli=1#gid=0"",""1_ACUM!A4:S""),15,FALSE))"),"")</f>
        <v/>
      </c>
      <c r="AG177" s="43" t="str">
        <f ca="1">IFERROR(__xludf.DUMMYFUNCTION("IFERROR(VLOOKUP(E200&amp;F200,IMPORTRANGE(""https://docs.google.com/spreadsheets/d/1Uw7-A9f9R21vMXxHZFNpYNeKFtG8_yji4HS352LGlSQ/edit?pli=1#gid=0"",""1_ACUM!A4:S""),16,FALSE))"),"")</f>
        <v/>
      </c>
      <c r="AH177" s="43" t="str">
        <f ca="1">IFERROR(__xludf.DUMMYFUNCTION("IFERROR(VLOOKUP(E200&amp;F200,IMPORTRANGE(""https://docs.google.com/spreadsheets/d/1Uw7-A9f9R21vMXxHZFNpYNeKFtG8_yji4HS352LGlSQ/edit?pli=1#gid=0"",""1_ACUM!A4:S""),17,FALSE))"),"")</f>
        <v/>
      </c>
      <c r="AI177" s="44" t="str">
        <f ca="1">IFERROR(__xludf.DUMMYFUNCTION("IFERROR(VLOOKUP(E200&amp;F200,IMPORTRANGE(""https://docs.google.com/spreadsheets/d/1Uw7-A9f9R21vMXxHZFNpYNeKFtG8_yji4HS352LGlSQ/edit?pli=1#gid=0"",""1_ACUM!A4:S""),18,FALSE))"),"")</f>
        <v/>
      </c>
      <c r="AJ177" s="44" t="str">
        <f ca="1">IFERROR(__xludf.DUMMYFUNCTION("IFERROR(VLOOKUP(E200&amp;F200,IMPORTRANGE(""https://docs.google.com/spreadsheets/d/1Uw7-A9f9R21vMXxHZFNpYNeKFtG8_yji4HS352LGlSQ/edit?pli=1#gid=0"",""1_ACUM!A4:S""),19,FALSE))"),"")</f>
        <v/>
      </c>
      <c r="AK177" s="98" t="str">
        <f ca="1">IFERROR(__xludf.DUMMYFUNCTION("IFERROR(VLOOKUP(F200,IMPORTRANGE(""https://docs.google.com/spreadsheets/d/1Kvs4KS76FHFqLFIZfrDMff4kP08nblUkihrxltoGBjg/edit#gid=934712705"",""ESENCIAL!A6:BG""),5,FALSE))"),"")</f>
        <v/>
      </c>
      <c r="AL177" s="98" t="str">
        <f t="shared" si="13"/>
        <v/>
      </c>
      <c r="AM177" s="99" t="str">
        <f t="shared" si="14"/>
        <v/>
      </c>
      <c r="AN177" s="100" t="str">
        <f ca="1">IFERROR(__xludf.DUMMYFUNCTION("IFERROR(VLOOKUP(F200,IMPORTRANGE(""https://docs.google.com/spreadsheets/d/1Kvs4KS76FHFqLFIZfrDMff4kP08nblUkihrxltoGBjg/edit#gid=934712705"",""ESENCIAL!A6:BG""),2,FALSE))"),"")</f>
        <v/>
      </c>
      <c r="AO177" s="19" t="str">
        <f t="shared" si="15"/>
        <v/>
      </c>
      <c r="AP177" s="100"/>
      <c r="AQ177" s="100"/>
    </row>
    <row r="178" spans="1:43" ht="15">
      <c r="A178" s="101"/>
      <c r="B178" s="101"/>
      <c r="G178" s="5" t="str">
        <f ca="1">IFERROR(__xludf.DUMMYFUNCTION("IFERROR(VLOOKUP(F201,IMPORTRANGE(""https://docs.google.com/spreadsheets/d/1Kvs4KS76FHFqLFIZfrDMff4kP08nblUkihrxltoGBjg/edit#gid=934712705"",""ESENCIAL!A6:BG""),3,FALSE))"),"")</f>
        <v/>
      </c>
      <c r="H178" s="5" t="str">
        <f ca="1">IFERROR(__xludf.DUMMYFUNCTION("IFERROR(VLOOKUP(F201,IMPORTRANGE(""https://docs.google.com/spreadsheets/d/1Kvs4KS76FHFqLFIZfrDMff4kP08nblUkihrxltoGBjg/edit#gid=934712705"",""ESENCIAL!A6:BG""),8,FALSE))"),"")</f>
        <v/>
      </c>
      <c r="L178" s="287"/>
      <c r="Z178" s="41" t="str">
        <f t="shared" si="12"/>
        <v/>
      </c>
      <c r="AA178" s="5" t="str">
        <f ca="1">IFERROR(__xludf.DUMMYFUNCTION("IFERROR(VLOOKUP(E201&amp;F201,IMPORTRANGE(""https://docs.google.com/spreadsheets/d/1Uw7-A9f9R21vMXxHZFNpYNeKFtG8_yji4HS352LGlSQ/edit?pli=1#gid=0"",""1_ACUM!A4:S""),11,FALSE))"),"")</f>
        <v/>
      </c>
      <c r="AB178" s="42" t="str">
        <f ca="1">IFERROR(__xludf.DUMMYFUNCTION("IFERROR(VLOOKUP(F201,IMPORTRANGE(""https://docs.google.com/spreadsheets/d/1Kvs4KS76FHFqLFIZfrDMff4kP08nblUkihrxltoGBjg/edit#gid=934712705"",""ESENCIAL!A6:BG""),15,FALSE))"),"")</f>
        <v/>
      </c>
      <c r="AC178" s="110" t="str">
        <f ca="1">IFERROR(__xludf.DUMMYFUNCTION("IFERROR(VLOOKUP(E201&amp;F201,IMPORTRANGE(""https://docs.google.com/spreadsheets/d/1Uw7-A9f9R21vMXxHZFNpYNeKFtG8_yji4HS352LGlSQ/edit?pli=1#gid=0"",""1_ACUM!A4:S""),13,FALSE))"),"")</f>
        <v/>
      </c>
      <c r="AD178" s="43" t="str">
        <f ca="1">IFERROR(__xludf.DUMMYFUNCTION("IFERROR(VLOOKUP(E201&amp;F201,IMPORTRANGE(""https://docs.google.com/spreadsheets/d/1Uw7-A9f9R21vMXxHZFNpYNeKFtG8_yji4HS352LGlSQ/edit?pli=1#gid=0"",""1_ACUM!A4:S""),13,FALSE))"),"")</f>
        <v/>
      </c>
      <c r="AE178" s="43" t="str">
        <f ca="1">IFERROR(__xludf.DUMMYFUNCTION("IFERROR(VLOOKUP(E201&amp;F201,IMPORTRANGE(""https://docs.google.com/spreadsheets/d/1Uw7-A9f9R21vMXxHZFNpYNeKFtG8_yji4HS352LGlSQ/edit?pli=1#gid=0"",""1_ACUM!A4:S""),14,FALSE))"),"")</f>
        <v/>
      </c>
      <c r="AF178" s="43" t="str">
        <f ca="1">IFERROR(__xludf.DUMMYFUNCTION("IFERROR(VLOOKUP(E201&amp;F201,IMPORTRANGE(""https://docs.google.com/spreadsheets/d/1Uw7-A9f9R21vMXxHZFNpYNeKFtG8_yji4HS352LGlSQ/edit?pli=1#gid=0"",""1_ACUM!A4:S""),15,FALSE))"),"")</f>
        <v/>
      </c>
      <c r="AG178" s="43" t="str">
        <f ca="1">IFERROR(__xludf.DUMMYFUNCTION("IFERROR(VLOOKUP(E201&amp;F201,IMPORTRANGE(""https://docs.google.com/spreadsheets/d/1Uw7-A9f9R21vMXxHZFNpYNeKFtG8_yji4HS352LGlSQ/edit?pli=1#gid=0"",""1_ACUM!A4:S""),16,FALSE))"),"")</f>
        <v/>
      </c>
      <c r="AH178" s="43" t="str">
        <f ca="1">IFERROR(__xludf.DUMMYFUNCTION("IFERROR(VLOOKUP(E201&amp;F201,IMPORTRANGE(""https://docs.google.com/spreadsheets/d/1Uw7-A9f9R21vMXxHZFNpYNeKFtG8_yji4HS352LGlSQ/edit?pli=1#gid=0"",""1_ACUM!A4:S""),17,FALSE))"),"")</f>
        <v/>
      </c>
      <c r="AI178" s="44" t="str">
        <f ca="1">IFERROR(__xludf.DUMMYFUNCTION("IFERROR(VLOOKUP(E201&amp;F201,IMPORTRANGE(""https://docs.google.com/spreadsheets/d/1Uw7-A9f9R21vMXxHZFNpYNeKFtG8_yji4HS352LGlSQ/edit?pli=1#gid=0"",""1_ACUM!A4:S""),18,FALSE))"),"")</f>
        <v/>
      </c>
      <c r="AJ178" s="44" t="str">
        <f ca="1">IFERROR(__xludf.DUMMYFUNCTION("IFERROR(VLOOKUP(E201&amp;F201,IMPORTRANGE(""https://docs.google.com/spreadsheets/d/1Uw7-A9f9R21vMXxHZFNpYNeKFtG8_yji4HS352LGlSQ/edit?pli=1#gid=0"",""1_ACUM!A4:S""),19,FALSE))"),"")</f>
        <v/>
      </c>
      <c r="AK178" s="98" t="str">
        <f ca="1">IFERROR(__xludf.DUMMYFUNCTION("IFERROR(VLOOKUP(F201,IMPORTRANGE(""https://docs.google.com/spreadsheets/d/1Kvs4KS76FHFqLFIZfrDMff4kP08nblUkihrxltoGBjg/edit#gid=934712705"",""ESENCIAL!A6:BG""),5,FALSE))"),"")</f>
        <v/>
      </c>
      <c r="AL178" s="98" t="str">
        <f t="shared" si="13"/>
        <v/>
      </c>
      <c r="AM178" s="99" t="str">
        <f t="shared" si="14"/>
        <v/>
      </c>
      <c r="AN178" s="100" t="str">
        <f ca="1">IFERROR(__xludf.DUMMYFUNCTION("IFERROR(VLOOKUP(F201,IMPORTRANGE(""https://docs.google.com/spreadsheets/d/1Kvs4KS76FHFqLFIZfrDMff4kP08nblUkihrxltoGBjg/edit#gid=934712705"",""ESENCIAL!A6:BG""),2,FALSE))"),"")</f>
        <v/>
      </c>
      <c r="AO178" s="19" t="str">
        <f t="shared" si="15"/>
        <v/>
      </c>
      <c r="AP178" s="100"/>
      <c r="AQ178" s="100"/>
    </row>
    <row r="179" spans="1:43" ht="15">
      <c r="A179" s="101"/>
      <c r="B179" s="101"/>
      <c r="G179" s="5" t="str">
        <f ca="1">IFERROR(__xludf.DUMMYFUNCTION("IFERROR(VLOOKUP(F202,IMPORTRANGE(""https://docs.google.com/spreadsheets/d/1Kvs4KS76FHFqLFIZfrDMff4kP08nblUkihrxltoGBjg/edit#gid=934712705"",""ESENCIAL!A6:BG""),3,FALSE))"),"")</f>
        <v/>
      </c>
      <c r="H179" s="5" t="str">
        <f ca="1">IFERROR(__xludf.DUMMYFUNCTION("IFERROR(VLOOKUP(F202,IMPORTRANGE(""https://docs.google.com/spreadsheets/d/1Kvs4KS76FHFqLFIZfrDMff4kP08nblUkihrxltoGBjg/edit#gid=934712705"",""ESENCIAL!A6:BG""),8,FALSE))"),"")</f>
        <v/>
      </c>
      <c r="L179" s="287"/>
      <c r="Z179" s="41" t="str">
        <f t="shared" si="12"/>
        <v/>
      </c>
      <c r="AA179" s="5" t="str">
        <f ca="1">IFERROR(__xludf.DUMMYFUNCTION("IFERROR(VLOOKUP(E202&amp;F202,IMPORTRANGE(""https://docs.google.com/spreadsheets/d/1Uw7-A9f9R21vMXxHZFNpYNeKFtG8_yji4HS352LGlSQ/edit?pli=1#gid=0"",""1_ACUM!A4:S""),11,FALSE))"),"")</f>
        <v/>
      </c>
      <c r="AB179" s="42" t="str">
        <f ca="1">IFERROR(__xludf.DUMMYFUNCTION("IFERROR(VLOOKUP(F202,IMPORTRANGE(""https://docs.google.com/spreadsheets/d/1Kvs4KS76FHFqLFIZfrDMff4kP08nblUkihrxltoGBjg/edit#gid=934712705"",""ESENCIAL!A6:BG""),15,FALSE))"),"")</f>
        <v/>
      </c>
      <c r="AC179" s="110" t="str">
        <f ca="1">IFERROR(__xludf.DUMMYFUNCTION("IFERROR(VLOOKUP(E202&amp;F202,IMPORTRANGE(""https://docs.google.com/spreadsheets/d/1Uw7-A9f9R21vMXxHZFNpYNeKFtG8_yji4HS352LGlSQ/edit?pli=1#gid=0"",""1_ACUM!A4:S""),13,FALSE))"),"")</f>
        <v/>
      </c>
      <c r="AD179" s="43" t="str">
        <f ca="1">IFERROR(__xludf.DUMMYFUNCTION("IFERROR(VLOOKUP(E202&amp;F202,IMPORTRANGE(""https://docs.google.com/spreadsheets/d/1Uw7-A9f9R21vMXxHZFNpYNeKFtG8_yji4HS352LGlSQ/edit?pli=1#gid=0"",""1_ACUM!A4:S""),13,FALSE))"),"")</f>
        <v/>
      </c>
      <c r="AE179" s="43" t="str">
        <f ca="1">IFERROR(__xludf.DUMMYFUNCTION("IFERROR(VLOOKUP(E202&amp;F202,IMPORTRANGE(""https://docs.google.com/spreadsheets/d/1Uw7-A9f9R21vMXxHZFNpYNeKFtG8_yji4HS352LGlSQ/edit?pli=1#gid=0"",""1_ACUM!A4:S""),14,FALSE))"),"")</f>
        <v/>
      </c>
      <c r="AF179" s="43" t="str">
        <f ca="1">IFERROR(__xludf.DUMMYFUNCTION("IFERROR(VLOOKUP(E202&amp;F202,IMPORTRANGE(""https://docs.google.com/spreadsheets/d/1Uw7-A9f9R21vMXxHZFNpYNeKFtG8_yji4HS352LGlSQ/edit?pli=1#gid=0"",""1_ACUM!A4:S""),15,FALSE))"),"")</f>
        <v/>
      </c>
      <c r="AG179" s="43" t="str">
        <f ca="1">IFERROR(__xludf.DUMMYFUNCTION("IFERROR(VLOOKUP(E202&amp;F202,IMPORTRANGE(""https://docs.google.com/spreadsheets/d/1Uw7-A9f9R21vMXxHZFNpYNeKFtG8_yji4HS352LGlSQ/edit?pli=1#gid=0"",""1_ACUM!A4:S""),16,FALSE))"),"")</f>
        <v/>
      </c>
      <c r="AH179" s="43" t="str">
        <f ca="1">IFERROR(__xludf.DUMMYFUNCTION("IFERROR(VLOOKUP(E202&amp;F202,IMPORTRANGE(""https://docs.google.com/spreadsheets/d/1Uw7-A9f9R21vMXxHZFNpYNeKFtG8_yji4HS352LGlSQ/edit?pli=1#gid=0"",""1_ACUM!A4:S""),17,FALSE))"),"")</f>
        <v/>
      </c>
      <c r="AI179" s="44" t="str">
        <f ca="1">IFERROR(__xludf.DUMMYFUNCTION("IFERROR(VLOOKUP(E202&amp;F202,IMPORTRANGE(""https://docs.google.com/spreadsheets/d/1Uw7-A9f9R21vMXxHZFNpYNeKFtG8_yji4HS352LGlSQ/edit?pli=1#gid=0"",""1_ACUM!A4:S""),18,FALSE))"),"")</f>
        <v/>
      </c>
      <c r="AJ179" s="44" t="str">
        <f ca="1">IFERROR(__xludf.DUMMYFUNCTION("IFERROR(VLOOKUP(E202&amp;F202,IMPORTRANGE(""https://docs.google.com/spreadsheets/d/1Uw7-A9f9R21vMXxHZFNpYNeKFtG8_yji4HS352LGlSQ/edit?pli=1#gid=0"",""1_ACUM!A4:S""),19,FALSE))"),"")</f>
        <v/>
      </c>
      <c r="AK179" s="98" t="str">
        <f ca="1">IFERROR(__xludf.DUMMYFUNCTION("IFERROR(VLOOKUP(F202,IMPORTRANGE(""https://docs.google.com/spreadsheets/d/1Kvs4KS76FHFqLFIZfrDMff4kP08nblUkihrxltoGBjg/edit#gid=934712705"",""ESENCIAL!A6:BG""),5,FALSE))"),"")</f>
        <v/>
      </c>
      <c r="AL179" s="98" t="str">
        <f t="shared" si="13"/>
        <v/>
      </c>
      <c r="AM179" s="99" t="str">
        <f t="shared" si="14"/>
        <v/>
      </c>
      <c r="AN179" s="100" t="str">
        <f ca="1">IFERROR(__xludf.DUMMYFUNCTION("IFERROR(VLOOKUP(F202,IMPORTRANGE(""https://docs.google.com/spreadsheets/d/1Kvs4KS76FHFqLFIZfrDMff4kP08nblUkihrxltoGBjg/edit#gid=934712705"",""ESENCIAL!A6:BG""),2,FALSE))"),"")</f>
        <v/>
      </c>
      <c r="AO179" s="19" t="str">
        <f t="shared" si="15"/>
        <v/>
      </c>
      <c r="AP179" s="100"/>
      <c r="AQ179" s="100"/>
    </row>
    <row r="180" spans="1:43" ht="15">
      <c r="A180" s="101"/>
      <c r="B180" s="101"/>
      <c r="G180" s="5" t="str">
        <f ca="1">IFERROR(__xludf.DUMMYFUNCTION("IFERROR(VLOOKUP(F203,IMPORTRANGE(""https://docs.google.com/spreadsheets/d/1Kvs4KS76FHFqLFIZfrDMff4kP08nblUkihrxltoGBjg/edit#gid=934712705"",""ESENCIAL!A6:BG""),3,FALSE))"),"")</f>
        <v/>
      </c>
      <c r="H180" s="5" t="str">
        <f ca="1">IFERROR(__xludf.DUMMYFUNCTION("IFERROR(VLOOKUP(F203,IMPORTRANGE(""https://docs.google.com/spreadsheets/d/1Kvs4KS76FHFqLFIZfrDMff4kP08nblUkihrxltoGBjg/edit#gid=934712705"",""ESENCIAL!A6:BG""),8,FALSE))"),"")</f>
        <v/>
      </c>
      <c r="L180" s="287"/>
      <c r="Z180" s="41" t="str">
        <f t="shared" si="12"/>
        <v/>
      </c>
      <c r="AA180" s="5" t="str">
        <f ca="1">IFERROR(__xludf.DUMMYFUNCTION("IFERROR(VLOOKUP(E203&amp;F203,IMPORTRANGE(""https://docs.google.com/spreadsheets/d/1Uw7-A9f9R21vMXxHZFNpYNeKFtG8_yji4HS352LGlSQ/edit?pli=1#gid=0"",""1_ACUM!A4:S""),11,FALSE))"),"")</f>
        <v/>
      </c>
      <c r="AB180" s="42" t="str">
        <f ca="1">IFERROR(__xludf.DUMMYFUNCTION("IFERROR(VLOOKUP(F203,IMPORTRANGE(""https://docs.google.com/spreadsheets/d/1Kvs4KS76FHFqLFIZfrDMff4kP08nblUkihrxltoGBjg/edit#gid=934712705"",""ESENCIAL!A6:BG""),15,FALSE))"),"")</f>
        <v/>
      </c>
      <c r="AC180" s="110" t="str">
        <f ca="1">IFERROR(__xludf.DUMMYFUNCTION("IFERROR(VLOOKUP(E203&amp;F203,IMPORTRANGE(""https://docs.google.com/spreadsheets/d/1Uw7-A9f9R21vMXxHZFNpYNeKFtG8_yji4HS352LGlSQ/edit?pli=1#gid=0"",""1_ACUM!A4:S""),13,FALSE))"),"")</f>
        <v/>
      </c>
      <c r="AD180" s="43" t="str">
        <f ca="1">IFERROR(__xludf.DUMMYFUNCTION("IFERROR(VLOOKUP(E203&amp;F203,IMPORTRANGE(""https://docs.google.com/spreadsheets/d/1Uw7-A9f9R21vMXxHZFNpYNeKFtG8_yji4HS352LGlSQ/edit?pli=1#gid=0"",""1_ACUM!A4:S""),13,FALSE))"),"")</f>
        <v/>
      </c>
      <c r="AE180" s="43" t="str">
        <f ca="1">IFERROR(__xludf.DUMMYFUNCTION("IFERROR(VLOOKUP(E203&amp;F203,IMPORTRANGE(""https://docs.google.com/spreadsheets/d/1Uw7-A9f9R21vMXxHZFNpYNeKFtG8_yji4HS352LGlSQ/edit?pli=1#gid=0"",""1_ACUM!A4:S""),14,FALSE))"),"")</f>
        <v/>
      </c>
      <c r="AF180" s="43" t="str">
        <f ca="1">IFERROR(__xludf.DUMMYFUNCTION("IFERROR(VLOOKUP(E203&amp;F203,IMPORTRANGE(""https://docs.google.com/spreadsheets/d/1Uw7-A9f9R21vMXxHZFNpYNeKFtG8_yji4HS352LGlSQ/edit?pli=1#gid=0"",""1_ACUM!A4:S""),15,FALSE))"),"")</f>
        <v/>
      </c>
      <c r="AG180" s="43" t="str">
        <f ca="1">IFERROR(__xludf.DUMMYFUNCTION("IFERROR(VLOOKUP(E203&amp;F203,IMPORTRANGE(""https://docs.google.com/spreadsheets/d/1Uw7-A9f9R21vMXxHZFNpYNeKFtG8_yji4HS352LGlSQ/edit?pli=1#gid=0"",""1_ACUM!A4:S""),16,FALSE))"),"")</f>
        <v/>
      </c>
      <c r="AH180" s="43" t="str">
        <f ca="1">IFERROR(__xludf.DUMMYFUNCTION("IFERROR(VLOOKUP(E203&amp;F203,IMPORTRANGE(""https://docs.google.com/spreadsheets/d/1Uw7-A9f9R21vMXxHZFNpYNeKFtG8_yji4HS352LGlSQ/edit?pli=1#gid=0"",""1_ACUM!A4:S""),17,FALSE))"),"")</f>
        <v/>
      </c>
      <c r="AI180" s="44" t="str">
        <f ca="1">IFERROR(__xludf.DUMMYFUNCTION("IFERROR(VLOOKUP(E203&amp;F203,IMPORTRANGE(""https://docs.google.com/spreadsheets/d/1Uw7-A9f9R21vMXxHZFNpYNeKFtG8_yji4HS352LGlSQ/edit?pli=1#gid=0"",""1_ACUM!A4:S""),18,FALSE))"),"")</f>
        <v/>
      </c>
      <c r="AJ180" s="44" t="str">
        <f ca="1">IFERROR(__xludf.DUMMYFUNCTION("IFERROR(VLOOKUP(E203&amp;F203,IMPORTRANGE(""https://docs.google.com/spreadsheets/d/1Uw7-A9f9R21vMXxHZFNpYNeKFtG8_yji4HS352LGlSQ/edit?pli=1#gid=0"",""1_ACUM!A4:S""),19,FALSE))"),"")</f>
        <v/>
      </c>
      <c r="AK180" s="98" t="str">
        <f ca="1">IFERROR(__xludf.DUMMYFUNCTION("IFERROR(VLOOKUP(F203,IMPORTRANGE(""https://docs.google.com/spreadsheets/d/1Kvs4KS76FHFqLFIZfrDMff4kP08nblUkihrxltoGBjg/edit#gid=934712705"",""ESENCIAL!A6:BG""),5,FALSE))"),"")</f>
        <v/>
      </c>
      <c r="AL180" s="98" t="str">
        <f t="shared" si="13"/>
        <v/>
      </c>
      <c r="AM180" s="99" t="str">
        <f t="shared" si="14"/>
        <v/>
      </c>
      <c r="AN180" s="100" t="str">
        <f ca="1">IFERROR(__xludf.DUMMYFUNCTION("IFERROR(VLOOKUP(F203,IMPORTRANGE(""https://docs.google.com/spreadsheets/d/1Kvs4KS76FHFqLFIZfrDMff4kP08nblUkihrxltoGBjg/edit#gid=934712705"",""ESENCIAL!A6:BG""),2,FALSE))"),"")</f>
        <v/>
      </c>
      <c r="AO180" s="19" t="str">
        <f t="shared" si="15"/>
        <v/>
      </c>
      <c r="AP180" s="100"/>
      <c r="AQ180" s="100"/>
    </row>
    <row r="181" spans="1:43" ht="15">
      <c r="A181" s="101"/>
      <c r="B181" s="101"/>
      <c r="G181" s="5" t="str">
        <f ca="1">IFERROR(__xludf.DUMMYFUNCTION("IFERROR(VLOOKUP(F204,IMPORTRANGE(""https://docs.google.com/spreadsheets/d/1Kvs4KS76FHFqLFIZfrDMff4kP08nblUkihrxltoGBjg/edit#gid=934712705"",""ESENCIAL!A6:BG""),3,FALSE))"),"")</f>
        <v/>
      </c>
      <c r="H181" s="5" t="str">
        <f ca="1">IFERROR(__xludf.DUMMYFUNCTION("IFERROR(VLOOKUP(F204,IMPORTRANGE(""https://docs.google.com/spreadsheets/d/1Kvs4KS76FHFqLFIZfrDMff4kP08nblUkihrxltoGBjg/edit#gid=934712705"",""ESENCIAL!A6:BG""),8,FALSE))"),"")</f>
        <v/>
      </c>
      <c r="L181" s="287"/>
      <c r="Z181" s="41" t="str">
        <f t="shared" si="12"/>
        <v/>
      </c>
      <c r="AA181" s="5" t="str">
        <f ca="1">IFERROR(__xludf.DUMMYFUNCTION("IFERROR(VLOOKUP(E204&amp;F204,IMPORTRANGE(""https://docs.google.com/spreadsheets/d/1Uw7-A9f9R21vMXxHZFNpYNeKFtG8_yji4HS352LGlSQ/edit?pli=1#gid=0"",""1_ACUM!A4:S""),11,FALSE))"),"")</f>
        <v/>
      </c>
      <c r="AB181" s="42" t="str">
        <f ca="1">IFERROR(__xludf.DUMMYFUNCTION("IFERROR(VLOOKUP(F204,IMPORTRANGE(""https://docs.google.com/spreadsheets/d/1Kvs4KS76FHFqLFIZfrDMff4kP08nblUkihrxltoGBjg/edit#gid=934712705"",""ESENCIAL!A6:BG""),15,FALSE))"),"")</f>
        <v/>
      </c>
      <c r="AC181" s="110" t="str">
        <f ca="1">IFERROR(__xludf.DUMMYFUNCTION("IFERROR(VLOOKUP(E204&amp;F204,IMPORTRANGE(""https://docs.google.com/spreadsheets/d/1Uw7-A9f9R21vMXxHZFNpYNeKFtG8_yji4HS352LGlSQ/edit?pli=1#gid=0"",""1_ACUM!A4:S""),13,FALSE))"),"")</f>
        <v/>
      </c>
      <c r="AD181" s="43" t="str">
        <f ca="1">IFERROR(__xludf.DUMMYFUNCTION("IFERROR(VLOOKUP(E204&amp;F204,IMPORTRANGE(""https://docs.google.com/spreadsheets/d/1Uw7-A9f9R21vMXxHZFNpYNeKFtG8_yji4HS352LGlSQ/edit?pli=1#gid=0"",""1_ACUM!A4:S""),13,FALSE))"),"")</f>
        <v/>
      </c>
      <c r="AE181" s="43" t="str">
        <f ca="1">IFERROR(__xludf.DUMMYFUNCTION("IFERROR(VLOOKUP(E204&amp;F204,IMPORTRANGE(""https://docs.google.com/spreadsheets/d/1Uw7-A9f9R21vMXxHZFNpYNeKFtG8_yji4HS352LGlSQ/edit?pli=1#gid=0"",""1_ACUM!A4:S""),14,FALSE))"),"")</f>
        <v/>
      </c>
      <c r="AF181" s="43" t="str">
        <f ca="1">IFERROR(__xludf.DUMMYFUNCTION("IFERROR(VLOOKUP(E204&amp;F204,IMPORTRANGE(""https://docs.google.com/spreadsheets/d/1Uw7-A9f9R21vMXxHZFNpYNeKFtG8_yji4HS352LGlSQ/edit?pli=1#gid=0"",""1_ACUM!A4:S""),15,FALSE))"),"")</f>
        <v/>
      </c>
      <c r="AG181" s="43" t="str">
        <f ca="1">IFERROR(__xludf.DUMMYFUNCTION("IFERROR(VLOOKUP(E204&amp;F204,IMPORTRANGE(""https://docs.google.com/spreadsheets/d/1Uw7-A9f9R21vMXxHZFNpYNeKFtG8_yji4HS352LGlSQ/edit?pli=1#gid=0"",""1_ACUM!A4:S""),16,FALSE))"),"")</f>
        <v/>
      </c>
      <c r="AH181" s="43" t="str">
        <f ca="1">IFERROR(__xludf.DUMMYFUNCTION("IFERROR(VLOOKUP(E204&amp;F204,IMPORTRANGE(""https://docs.google.com/spreadsheets/d/1Uw7-A9f9R21vMXxHZFNpYNeKFtG8_yji4HS352LGlSQ/edit?pli=1#gid=0"",""1_ACUM!A4:S""),17,FALSE))"),"")</f>
        <v/>
      </c>
      <c r="AI181" s="44" t="str">
        <f ca="1">IFERROR(__xludf.DUMMYFUNCTION("IFERROR(VLOOKUP(E204&amp;F204,IMPORTRANGE(""https://docs.google.com/spreadsheets/d/1Uw7-A9f9R21vMXxHZFNpYNeKFtG8_yji4HS352LGlSQ/edit?pli=1#gid=0"",""1_ACUM!A4:S""),18,FALSE))"),"")</f>
        <v/>
      </c>
      <c r="AJ181" s="44" t="str">
        <f ca="1">IFERROR(__xludf.DUMMYFUNCTION("IFERROR(VLOOKUP(E204&amp;F204,IMPORTRANGE(""https://docs.google.com/spreadsheets/d/1Uw7-A9f9R21vMXxHZFNpYNeKFtG8_yji4HS352LGlSQ/edit?pli=1#gid=0"",""1_ACUM!A4:S""),19,FALSE))"),"")</f>
        <v/>
      </c>
      <c r="AK181" s="98" t="str">
        <f ca="1">IFERROR(__xludf.DUMMYFUNCTION("IFERROR(VLOOKUP(F204,IMPORTRANGE(""https://docs.google.com/spreadsheets/d/1Kvs4KS76FHFqLFIZfrDMff4kP08nblUkihrxltoGBjg/edit#gid=934712705"",""ESENCIAL!A6:BG""),5,FALSE))"),"")</f>
        <v/>
      </c>
      <c r="AL181" s="98" t="str">
        <f t="shared" si="13"/>
        <v/>
      </c>
      <c r="AM181" s="99" t="str">
        <f t="shared" si="14"/>
        <v/>
      </c>
      <c r="AN181" s="100" t="str">
        <f ca="1">IFERROR(__xludf.DUMMYFUNCTION("IFERROR(VLOOKUP(F204,IMPORTRANGE(""https://docs.google.com/spreadsheets/d/1Kvs4KS76FHFqLFIZfrDMff4kP08nblUkihrxltoGBjg/edit#gid=934712705"",""ESENCIAL!A6:BG""),2,FALSE))"),"")</f>
        <v/>
      </c>
      <c r="AO181" s="19" t="str">
        <f t="shared" si="15"/>
        <v/>
      </c>
      <c r="AP181" s="100"/>
      <c r="AQ181" s="100"/>
    </row>
    <row r="182" spans="1:43" ht="15">
      <c r="A182" s="101"/>
      <c r="B182" s="101"/>
      <c r="G182" s="5" t="str">
        <f ca="1">IFERROR(__xludf.DUMMYFUNCTION("IFERROR(VLOOKUP(F205,IMPORTRANGE(""https://docs.google.com/spreadsheets/d/1Kvs4KS76FHFqLFIZfrDMff4kP08nblUkihrxltoGBjg/edit#gid=934712705"",""ESENCIAL!A6:BG""),3,FALSE))"),"")</f>
        <v/>
      </c>
      <c r="H182" s="5" t="str">
        <f ca="1">IFERROR(__xludf.DUMMYFUNCTION("IFERROR(VLOOKUP(F205,IMPORTRANGE(""https://docs.google.com/spreadsheets/d/1Kvs4KS76FHFqLFIZfrDMff4kP08nblUkihrxltoGBjg/edit#gid=934712705"",""ESENCIAL!A6:BG""),8,FALSE))"),"")</f>
        <v/>
      </c>
      <c r="L182" s="287"/>
      <c r="Z182" s="41" t="str">
        <f t="shared" si="12"/>
        <v/>
      </c>
      <c r="AA182" s="5" t="str">
        <f ca="1">IFERROR(__xludf.DUMMYFUNCTION("IFERROR(VLOOKUP(E205&amp;F205,IMPORTRANGE(""https://docs.google.com/spreadsheets/d/1Uw7-A9f9R21vMXxHZFNpYNeKFtG8_yji4HS352LGlSQ/edit?pli=1#gid=0"",""1_ACUM!A4:S""),11,FALSE))"),"")</f>
        <v/>
      </c>
      <c r="AB182" s="42" t="str">
        <f ca="1">IFERROR(__xludf.DUMMYFUNCTION("IFERROR(VLOOKUP(F205,IMPORTRANGE(""https://docs.google.com/spreadsheets/d/1Kvs4KS76FHFqLFIZfrDMff4kP08nblUkihrxltoGBjg/edit#gid=934712705"",""ESENCIAL!A6:BG""),15,FALSE))"),"")</f>
        <v/>
      </c>
      <c r="AC182" s="110" t="str">
        <f ca="1">IFERROR(__xludf.DUMMYFUNCTION("IFERROR(VLOOKUP(E205&amp;F205,IMPORTRANGE(""https://docs.google.com/spreadsheets/d/1Uw7-A9f9R21vMXxHZFNpYNeKFtG8_yji4HS352LGlSQ/edit?pli=1#gid=0"",""1_ACUM!A4:S""),13,FALSE))"),"")</f>
        <v/>
      </c>
      <c r="AD182" s="43" t="str">
        <f ca="1">IFERROR(__xludf.DUMMYFUNCTION("IFERROR(VLOOKUP(E205&amp;F205,IMPORTRANGE(""https://docs.google.com/spreadsheets/d/1Uw7-A9f9R21vMXxHZFNpYNeKFtG8_yji4HS352LGlSQ/edit?pli=1#gid=0"",""1_ACUM!A4:S""),13,FALSE))"),"")</f>
        <v/>
      </c>
      <c r="AE182" s="43" t="str">
        <f ca="1">IFERROR(__xludf.DUMMYFUNCTION("IFERROR(VLOOKUP(E205&amp;F205,IMPORTRANGE(""https://docs.google.com/spreadsheets/d/1Uw7-A9f9R21vMXxHZFNpYNeKFtG8_yji4HS352LGlSQ/edit?pli=1#gid=0"",""1_ACUM!A4:S""),14,FALSE))"),"")</f>
        <v/>
      </c>
      <c r="AF182" s="43" t="str">
        <f ca="1">IFERROR(__xludf.DUMMYFUNCTION("IFERROR(VLOOKUP(E205&amp;F205,IMPORTRANGE(""https://docs.google.com/spreadsheets/d/1Uw7-A9f9R21vMXxHZFNpYNeKFtG8_yji4HS352LGlSQ/edit?pli=1#gid=0"",""1_ACUM!A4:S""),15,FALSE))"),"")</f>
        <v/>
      </c>
      <c r="AG182" s="43" t="str">
        <f ca="1">IFERROR(__xludf.DUMMYFUNCTION("IFERROR(VLOOKUP(E205&amp;F205,IMPORTRANGE(""https://docs.google.com/spreadsheets/d/1Uw7-A9f9R21vMXxHZFNpYNeKFtG8_yji4HS352LGlSQ/edit?pli=1#gid=0"",""1_ACUM!A4:S""),16,FALSE))"),"")</f>
        <v/>
      </c>
      <c r="AH182" s="43" t="str">
        <f ca="1">IFERROR(__xludf.DUMMYFUNCTION("IFERROR(VLOOKUP(E205&amp;F205,IMPORTRANGE(""https://docs.google.com/spreadsheets/d/1Uw7-A9f9R21vMXxHZFNpYNeKFtG8_yji4HS352LGlSQ/edit?pli=1#gid=0"",""1_ACUM!A4:S""),17,FALSE))"),"")</f>
        <v/>
      </c>
      <c r="AI182" s="44" t="str">
        <f ca="1">IFERROR(__xludf.DUMMYFUNCTION("IFERROR(VLOOKUP(E205&amp;F205,IMPORTRANGE(""https://docs.google.com/spreadsheets/d/1Uw7-A9f9R21vMXxHZFNpYNeKFtG8_yji4HS352LGlSQ/edit?pli=1#gid=0"",""1_ACUM!A4:S""),18,FALSE))"),"")</f>
        <v/>
      </c>
      <c r="AJ182" s="44" t="str">
        <f ca="1">IFERROR(__xludf.DUMMYFUNCTION("IFERROR(VLOOKUP(E205&amp;F205,IMPORTRANGE(""https://docs.google.com/spreadsheets/d/1Uw7-A9f9R21vMXxHZFNpYNeKFtG8_yji4HS352LGlSQ/edit?pli=1#gid=0"",""1_ACUM!A4:S""),19,FALSE))"),"")</f>
        <v/>
      </c>
      <c r="AK182" s="98" t="str">
        <f ca="1">IFERROR(__xludf.DUMMYFUNCTION("IFERROR(VLOOKUP(F205,IMPORTRANGE(""https://docs.google.com/spreadsheets/d/1Kvs4KS76FHFqLFIZfrDMff4kP08nblUkihrxltoGBjg/edit#gid=934712705"",""ESENCIAL!A6:BG""),5,FALSE))"),"")</f>
        <v/>
      </c>
      <c r="AL182" s="98" t="str">
        <f t="shared" si="13"/>
        <v/>
      </c>
      <c r="AM182" s="99" t="str">
        <f t="shared" si="14"/>
        <v/>
      </c>
      <c r="AN182" s="100" t="str">
        <f ca="1">IFERROR(__xludf.DUMMYFUNCTION("IFERROR(VLOOKUP(F205,IMPORTRANGE(""https://docs.google.com/spreadsheets/d/1Kvs4KS76FHFqLFIZfrDMff4kP08nblUkihrxltoGBjg/edit#gid=934712705"",""ESENCIAL!A6:BG""),2,FALSE))"),"")</f>
        <v/>
      </c>
      <c r="AO182" s="19" t="str">
        <f t="shared" si="15"/>
        <v/>
      </c>
      <c r="AP182" s="100"/>
      <c r="AQ182" s="100"/>
    </row>
    <row r="183" spans="1:43" ht="15">
      <c r="A183" s="102"/>
      <c r="B183" s="101"/>
      <c r="G183" s="5" t="str">
        <f ca="1">IFERROR(__xludf.DUMMYFUNCTION("IFERROR(VLOOKUP(F206,IMPORTRANGE(""https://docs.google.com/spreadsheets/d/1Kvs4KS76FHFqLFIZfrDMff4kP08nblUkihrxltoGBjg/edit#gid=934712705"",""ESENCIAL!A6:BG""),3,FALSE))"),"")</f>
        <v/>
      </c>
      <c r="H183" s="5" t="str">
        <f ca="1">IFERROR(__xludf.DUMMYFUNCTION("IFERROR(VLOOKUP(F206,IMPORTRANGE(""https://docs.google.com/spreadsheets/d/1Kvs4KS76FHFqLFIZfrDMff4kP08nblUkihrxltoGBjg/edit#gid=934712705"",""ESENCIAL!A6:BG""),8,FALSE))"),"")</f>
        <v/>
      </c>
      <c r="L183" s="287"/>
      <c r="Z183" s="41" t="str">
        <f t="shared" si="12"/>
        <v/>
      </c>
      <c r="AA183" s="5" t="str">
        <f ca="1">IFERROR(__xludf.DUMMYFUNCTION("IFERROR(VLOOKUP(E206&amp;F206,IMPORTRANGE(""https://docs.google.com/spreadsheets/d/1Uw7-A9f9R21vMXxHZFNpYNeKFtG8_yji4HS352LGlSQ/edit?pli=1#gid=0"",""1_ACUM!A4:S""),11,FALSE))"),"")</f>
        <v/>
      </c>
      <c r="AB183" s="42" t="str">
        <f ca="1">IFERROR(__xludf.DUMMYFUNCTION("IFERROR(VLOOKUP(F206,IMPORTRANGE(""https://docs.google.com/spreadsheets/d/1Kvs4KS76FHFqLFIZfrDMff4kP08nblUkihrxltoGBjg/edit#gid=934712705"",""ESENCIAL!A6:BG""),15,FALSE))"),"")</f>
        <v/>
      </c>
      <c r="AC183" s="110" t="str">
        <f ca="1">IFERROR(__xludf.DUMMYFUNCTION("IFERROR(VLOOKUP(E206&amp;F206,IMPORTRANGE(""https://docs.google.com/spreadsheets/d/1Uw7-A9f9R21vMXxHZFNpYNeKFtG8_yji4HS352LGlSQ/edit?pli=1#gid=0"",""1_ACUM!A4:S""),13,FALSE))"),"")</f>
        <v/>
      </c>
      <c r="AD183" s="43" t="str">
        <f ca="1">IFERROR(__xludf.DUMMYFUNCTION("IFERROR(VLOOKUP(E206&amp;F206,IMPORTRANGE(""https://docs.google.com/spreadsheets/d/1Uw7-A9f9R21vMXxHZFNpYNeKFtG8_yji4HS352LGlSQ/edit?pli=1#gid=0"",""1_ACUM!A4:S""),13,FALSE))"),"")</f>
        <v/>
      </c>
      <c r="AE183" s="43" t="str">
        <f ca="1">IFERROR(__xludf.DUMMYFUNCTION("IFERROR(VLOOKUP(E206&amp;F206,IMPORTRANGE(""https://docs.google.com/spreadsheets/d/1Uw7-A9f9R21vMXxHZFNpYNeKFtG8_yji4HS352LGlSQ/edit?pli=1#gid=0"",""1_ACUM!A4:S""),14,FALSE))"),"")</f>
        <v/>
      </c>
      <c r="AF183" s="43" t="str">
        <f ca="1">IFERROR(__xludf.DUMMYFUNCTION("IFERROR(VLOOKUP(E206&amp;F206,IMPORTRANGE(""https://docs.google.com/spreadsheets/d/1Uw7-A9f9R21vMXxHZFNpYNeKFtG8_yji4HS352LGlSQ/edit?pli=1#gid=0"",""1_ACUM!A4:S""),15,FALSE))"),"")</f>
        <v/>
      </c>
      <c r="AG183" s="43" t="str">
        <f ca="1">IFERROR(__xludf.DUMMYFUNCTION("IFERROR(VLOOKUP(E206&amp;F206,IMPORTRANGE(""https://docs.google.com/spreadsheets/d/1Uw7-A9f9R21vMXxHZFNpYNeKFtG8_yji4HS352LGlSQ/edit?pli=1#gid=0"",""1_ACUM!A4:S""),16,FALSE))"),"")</f>
        <v/>
      </c>
      <c r="AH183" s="43" t="str">
        <f ca="1">IFERROR(__xludf.DUMMYFUNCTION("IFERROR(VLOOKUP(E206&amp;F206,IMPORTRANGE(""https://docs.google.com/spreadsheets/d/1Uw7-A9f9R21vMXxHZFNpYNeKFtG8_yji4HS352LGlSQ/edit?pli=1#gid=0"",""1_ACUM!A4:S""),17,FALSE))"),"")</f>
        <v/>
      </c>
      <c r="AI183" s="44" t="str">
        <f ca="1">IFERROR(__xludf.DUMMYFUNCTION("IFERROR(VLOOKUP(E206&amp;F206,IMPORTRANGE(""https://docs.google.com/spreadsheets/d/1Uw7-A9f9R21vMXxHZFNpYNeKFtG8_yji4HS352LGlSQ/edit?pli=1#gid=0"",""1_ACUM!A4:S""),18,FALSE))"),"")</f>
        <v/>
      </c>
      <c r="AJ183" s="44" t="str">
        <f ca="1">IFERROR(__xludf.DUMMYFUNCTION("IFERROR(VLOOKUP(E206&amp;F206,IMPORTRANGE(""https://docs.google.com/spreadsheets/d/1Uw7-A9f9R21vMXxHZFNpYNeKFtG8_yji4HS352LGlSQ/edit?pli=1#gid=0"",""1_ACUM!A4:S""),19,FALSE))"),"")</f>
        <v/>
      </c>
      <c r="AK183" s="98" t="str">
        <f ca="1">IFERROR(__xludf.DUMMYFUNCTION("IFERROR(VLOOKUP(F206,IMPORTRANGE(""https://docs.google.com/spreadsheets/d/1Kvs4KS76FHFqLFIZfrDMff4kP08nblUkihrxltoGBjg/edit#gid=934712705"",""ESENCIAL!A6:BG""),5,FALSE))"),"")</f>
        <v/>
      </c>
      <c r="AL183" s="98" t="str">
        <f t="shared" si="13"/>
        <v/>
      </c>
      <c r="AM183" s="99" t="str">
        <f t="shared" si="14"/>
        <v/>
      </c>
      <c r="AN183" s="100" t="str">
        <f ca="1">IFERROR(__xludf.DUMMYFUNCTION("IFERROR(VLOOKUP(F206,IMPORTRANGE(""https://docs.google.com/spreadsheets/d/1Kvs4KS76FHFqLFIZfrDMff4kP08nblUkihrxltoGBjg/edit#gid=934712705"",""ESENCIAL!A6:BG""),2,FALSE))"),"")</f>
        <v/>
      </c>
      <c r="AO183" s="19" t="str">
        <f t="shared" si="15"/>
        <v/>
      </c>
      <c r="AP183" s="100"/>
      <c r="AQ183" s="100"/>
    </row>
    <row r="184" spans="1:43" ht="15">
      <c r="A184" s="101"/>
      <c r="B184" s="101"/>
      <c r="G184" s="5" t="str">
        <f ca="1">IFERROR(__xludf.DUMMYFUNCTION("IFERROR(VLOOKUP(F207,IMPORTRANGE(""https://docs.google.com/spreadsheets/d/1Kvs4KS76FHFqLFIZfrDMff4kP08nblUkihrxltoGBjg/edit#gid=934712705"",""ESENCIAL!A6:BG""),3,FALSE))"),"")</f>
        <v/>
      </c>
      <c r="H184" s="5" t="str">
        <f ca="1">IFERROR(__xludf.DUMMYFUNCTION("IFERROR(VLOOKUP(F207,IMPORTRANGE(""https://docs.google.com/spreadsheets/d/1Kvs4KS76FHFqLFIZfrDMff4kP08nblUkihrxltoGBjg/edit#gid=934712705"",""ESENCIAL!A6:BG""),8,FALSE))"),"")</f>
        <v/>
      </c>
      <c r="L184" s="287"/>
      <c r="Z184" s="41" t="str">
        <f t="shared" si="12"/>
        <v/>
      </c>
      <c r="AA184" s="5" t="str">
        <f ca="1">IFERROR(__xludf.DUMMYFUNCTION("IFERROR(VLOOKUP(E207&amp;F207,IMPORTRANGE(""https://docs.google.com/spreadsheets/d/1Uw7-A9f9R21vMXxHZFNpYNeKFtG8_yji4HS352LGlSQ/edit?pli=1#gid=0"",""1_ACUM!A4:S""),11,FALSE))"),"")</f>
        <v/>
      </c>
      <c r="AB184" s="42" t="str">
        <f ca="1">IFERROR(__xludf.DUMMYFUNCTION("IFERROR(VLOOKUP(F207,IMPORTRANGE(""https://docs.google.com/spreadsheets/d/1Kvs4KS76FHFqLFIZfrDMff4kP08nblUkihrxltoGBjg/edit#gid=934712705"",""ESENCIAL!A6:BG""),15,FALSE))"),"")</f>
        <v/>
      </c>
      <c r="AC184" s="110" t="str">
        <f ca="1">IFERROR(__xludf.DUMMYFUNCTION("IFERROR(VLOOKUP(E207&amp;F207,IMPORTRANGE(""https://docs.google.com/spreadsheets/d/1Uw7-A9f9R21vMXxHZFNpYNeKFtG8_yji4HS352LGlSQ/edit?pli=1#gid=0"",""1_ACUM!A4:S""),13,FALSE))"),"")</f>
        <v/>
      </c>
      <c r="AD184" s="43" t="str">
        <f ca="1">IFERROR(__xludf.DUMMYFUNCTION("IFERROR(VLOOKUP(E207&amp;F207,IMPORTRANGE(""https://docs.google.com/spreadsheets/d/1Uw7-A9f9R21vMXxHZFNpYNeKFtG8_yji4HS352LGlSQ/edit?pli=1#gid=0"",""1_ACUM!A4:S""),13,FALSE))"),"")</f>
        <v/>
      </c>
      <c r="AE184" s="43" t="str">
        <f ca="1">IFERROR(__xludf.DUMMYFUNCTION("IFERROR(VLOOKUP(E207&amp;F207,IMPORTRANGE(""https://docs.google.com/spreadsheets/d/1Uw7-A9f9R21vMXxHZFNpYNeKFtG8_yji4HS352LGlSQ/edit?pli=1#gid=0"",""1_ACUM!A4:S""),14,FALSE))"),"")</f>
        <v/>
      </c>
      <c r="AF184" s="43" t="str">
        <f ca="1">IFERROR(__xludf.DUMMYFUNCTION("IFERROR(VLOOKUP(E207&amp;F207,IMPORTRANGE(""https://docs.google.com/spreadsheets/d/1Uw7-A9f9R21vMXxHZFNpYNeKFtG8_yji4HS352LGlSQ/edit?pli=1#gid=0"",""1_ACUM!A4:S""),15,FALSE))"),"")</f>
        <v/>
      </c>
      <c r="AG184" s="43" t="str">
        <f ca="1">IFERROR(__xludf.DUMMYFUNCTION("IFERROR(VLOOKUP(E207&amp;F207,IMPORTRANGE(""https://docs.google.com/spreadsheets/d/1Uw7-A9f9R21vMXxHZFNpYNeKFtG8_yji4HS352LGlSQ/edit?pli=1#gid=0"",""1_ACUM!A4:S""),16,FALSE))"),"")</f>
        <v/>
      </c>
      <c r="AH184" s="43" t="str">
        <f ca="1">IFERROR(__xludf.DUMMYFUNCTION("IFERROR(VLOOKUP(E207&amp;F207,IMPORTRANGE(""https://docs.google.com/spreadsheets/d/1Uw7-A9f9R21vMXxHZFNpYNeKFtG8_yji4HS352LGlSQ/edit?pli=1#gid=0"",""1_ACUM!A4:S""),17,FALSE))"),"")</f>
        <v/>
      </c>
      <c r="AI184" s="44" t="str">
        <f ca="1">IFERROR(__xludf.DUMMYFUNCTION("IFERROR(VLOOKUP(E207&amp;F207,IMPORTRANGE(""https://docs.google.com/spreadsheets/d/1Uw7-A9f9R21vMXxHZFNpYNeKFtG8_yji4HS352LGlSQ/edit?pli=1#gid=0"",""1_ACUM!A4:S""),18,FALSE))"),"")</f>
        <v/>
      </c>
      <c r="AJ184" s="44" t="str">
        <f ca="1">IFERROR(__xludf.DUMMYFUNCTION("IFERROR(VLOOKUP(E207&amp;F207,IMPORTRANGE(""https://docs.google.com/spreadsheets/d/1Uw7-A9f9R21vMXxHZFNpYNeKFtG8_yji4HS352LGlSQ/edit?pli=1#gid=0"",""1_ACUM!A4:S""),19,FALSE))"),"")</f>
        <v/>
      </c>
      <c r="AK184" s="98" t="str">
        <f ca="1">IFERROR(__xludf.DUMMYFUNCTION("IFERROR(VLOOKUP(F207,IMPORTRANGE(""https://docs.google.com/spreadsheets/d/1Kvs4KS76FHFqLFIZfrDMff4kP08nblUkihrxltoGBjg/edit#gid=934712705"",""ESENCIAL!A6:BG""),5,FALSE))"),"")</f>
        <v/>
      </c>
      <c r="AL184" s="98" t="str">
        <f t="shared" si="13"/>
        <v/>
      </c>
      <c r="AM184" s="99" t="str">
        <f t="shared" si="14"/>
        <v/>
      </c>
      <c r="AN184" s="100" t="str">
        <f ca="1">IFERROR(__xludf.DUMMYFUNCTION("IFERROR(VLOOKUP(F207,IMPORTRANGE(""https://docs.google.com/spreadsheets/d/1Kvs4KS76FHFqLFIZfrDMff4kP08nblUkihrxltoGBjg/edit#gid=934712705"",""ESENCIAL!A6:BG""),2,FALSE))"),"")</f>
        <v/>
      </c>
      <c r="AO184" s="19" t="str">
        <f t="shared" si="15"/>
        <v/>
      </c>
      <c r="AP184" s="100"/>
      <c r="AQ184" s="100"/>
    </row>
    <row r="185" spans="1:43" ht="15">
      <c r="A185" s="101"/>
      <c r="B185" s="101"/>
      <c r="G185" s="5" t="str">
        <f ca="1">IFERROR(__xludf.DUMMYFUNCTION("IFERROR(VLOOKUP(F208,IMPORTRANGE(""https://docs.google.com/spreadsheets/d/1Kvs4KS76FHFqLFIZfrDMff4kP08nblUkihrxltoGBjg/edit#gid=934712705"",""ESENCIAL!A6:BG""),3,FALSE))"),"")</f>
        <v/>
      </c>
      <c r="H185" s="5" t="str">
        <f ca="1">IFERROR(__xludf.DUMMYFUNCTION("IFERROR(VLOOKUP(F208,IMPORTRANGE(""https://docs.google.com/spreadsheets/d/1Kvs4KS76FHFqLFIZfrDMff4kP08nblUkihrxltoGBjg/edit#gid=934712705"",""ESENCIAL!A6:BG""),8,FALSE))"),"")</f>
        <v/>
      </c>
      <c r="L185" s="287"/>
      <c r="Z185" s="41" t="str">
        <f t="shared" si="12"/>
        <v/>
      </c>
      <c r="AA185" s="5" t="str">
        <f ca="1">IFERROR(__xludf.DUMMYFUNCTION("IFERROR(VLOOKUP(E208&amp;F208,IMPORTRANGE(""https://docs.google.com/spreadsheets/d/1Uw7-A9f9R21vMXxHZFNpYNeKFtG8_yji4HS352LGlSQ/edit?pli=1#gid=0"",""1_ACUM!A4:S""),11,FALSE))"),"")</f>
        <v/>
      </c>
      <c r="AB185" s="42" t="str">
        <f ca="1">IFERROR(__xludf.DUMMYFUNCTION("IFERROR(VLOOKUP(F208,IMPORTRANGE(""https://docs.google.com/spreadsheets/d/1Kvs4KS76FHFqLFIZfrDMff4kP08nblUkihrxltoGBjg/edit#gid=934712705"",""ESENCIAL!A6:BG""),15,FALSE))"),"")</f>
        <v/>
      </c>
      <c r="AC185" s="110" t="str">
        <f ca="1">IFERROR(__xludf.DUMMYFUNCTION("IFERROR(VLOOKUP(E208&amp;F208,IMPORTRANGE(""https://docs.google.com/spreadsheets/d/1Uw7-A9f9R21vMXxHZFNpYNeKFtG8_yji4HS352LGlSQ/edit?pli=1#gid=0"",""1_ACUM!A4:S""),13,FALSE))"),"")</f>
        <v/>
      </c>
      <c r="AD185" s="43" t="str">
        <f ca="1">IFERROR(__xludf.DUMMYFUNCTION("IFERROR(VLOOKUP(E208&amp;F208,IMPORTRANGE(""https://docs.google.com/spreadsheets/d/1Uw7-A9f9R21vMXxHZFNpYNeKFtG8_yji4HS352LGlSQ/edit?pli=1#gid=0"",""1_ACUM!A4:S""),13,FALSE))"),"")</f>
        <v/>
      </c>
      <c r="AE185" s="43" t="str">
        <f ca="1">IFERROR(__xludf.DUMMYFUNCTION("IFERROR(VLOOKUP(E208&amp;F208,IMPORTRANGE(""https://docs.google.com/spreadsheets/d/1Uw7-A9f9R21vMXxHZFNpYNeKFtG8_yji4HS352LGlSQ/edit?pli=1#gid=0"",""1_ACUM!A4:S""),14,FALSE))"),"")</f>
        <v/>
      </c>
      <c r="AF185" s="43" t="str">
        <f ca="1">IFERROR(__xludf.DUMMYFUNCTION("IFERROR(VLOOKUP(E208&amp;F208,IMPORTRANGE(""https://docs.google.com/spreadsheets/d/1Uw7-A9f9R21vMXxHZFNpYNeKFtG8_yji4HS352LGlSQ/edit?pli=1#gid=0"",""1_ACUM!A4:S""),15,FALSE))"),"")</f>
        <v/>
      </c>
      <c r="AG185" s="43" t="str">
        <f ca="1">IFERROR(__xludf.DUMMYFUNCTION("IFERROR(VLOOKUP(E208&amp;F208,IMPORTRANGE(""https://docs.google.com/spreadsheets/d/1Uw7-A9f9R21vMXxHZFNpYNeKFtG8_yji4HS352LGlSQ/edit?pli=1#gid=0"",""1_ACUM!A4:S""),16,FALSE))"),"")</f>
        <v/>
      </c>
      <c r="AH185" s="43" t="str">
        <f ca="1">IFERROR(__xludf.DUMMYFUNCTION("IFERROR(VLOOKUP(E208&amp;F208,IMPORTRANGE(""https://docs.google.com/spreadsheets/d/1Uw7-A9f9R21vMXxHZFNpYNeKFtG8_yji4HS352LGlSQ/edit?pli=1#gid=0"",""1_ACUM!A4:S""),17,FALSE))"),"")</f>
        <v/>
      </c>
      <c r="AI185" s="44" t="str">
        <f ca="1">IFERROR(__xludf.DUMMYFUNCTION("IFERROR(VLOOKUP(E208&amp;F208,IMPORTRANGE(""https://docs.google.com/spreadsheets/d/1Uw7-A9f9R21vMXxHZFNpYNeKFtG8_yji4HS352LGlSQ/edit?pli=1#gid=0"",""1_ACUM!A4:S""),18,FALSE))"),"")</f>
        <v/>
      </c>
      <c r="AJ185" s="44" t="str">
        <f ca="1">IFERROR(__xludf.DUMMYFUNCTION("IFERROR(VLOOKUP(E208&amp;F208,IMPORTRANGE(""https://docs.google.com/spreadsheets/d/1Uw7-A9f9R21vMXxHZFNpYNeKFtG8_yji4HS352LGlSQ/edit?pli=1#gid=0"",""1_ACUM!A4:S""),19,FALSE))"),"")</f>
        <v/>
      </c>
      <c r="AK185" s="98" t="str">
        <f ca="1">IFERROR(__xludf.DUMMYFUNCTION("IFERROR(VLOOKUP(F208,IMPORTRANGE(""https://docs.google.com/spreadsheets/d/1Kvs4KS76FHFqLFIZfrDMff4kP08nblUkihrxltoGBjg/edit#gid=934712705"",""ESENCIAL!A6:BG""),5,FALSE))"),"")</f>
        <v/>
      </c>
      <c r="AL185" s="98" t="str">
        <f t="shared" si="13"/>
        <v/>
      </c>
      <c r="AM185" s="99" t="str">
        <f t="shared" si="14"/>
        <v/>
      </c>
      <c r="AN185" s="100" t="str">
        <f ca="1">IFERROR(__xludf.DUMMYFUNCTION("IFERROR(VLOOKUP(F208,IMPORTRANGE(""https://docs.google.com/spreadsheets/d/1Kvs4KS76FHFqLFIZfrDMff4kP08nblUkihrxltoGBjg/edit#gid=934712705"",""ESENCIAL!A6:BG""),2,FALSE))"),"")</f>
        <v/>
      </c>
      <c r="AO185" s="19" t="str">
        <f t="shared" si="15"/>
        <v/>
      </c>
      <c r="AP185" s="100"/>
      <c r="AQ185" s="100"/>
    </row>
    <row r="186" spans="1:43" ht="15">
      <c r="A186" s="101"/>
      <c r="B186" s="101"/>
      <c r="G186" s="5" t="str">
        <f ca="1">IFERROR(__xludf.DUMMYFUNCTION("IFERROR(VLOOKUP(F209,IMPORTRANGE(""https://docs.google.com/spreadsheets/d/1Kvs4KS76FHFqLFIZfrDMff4kP08nblUkihrxltoGBjg/edit#gid=934712705"",""ESENCIAL!A6:BG""),3,FALSE))"),"")</f>
        <v/>
      </c>
      <c r="H186" s="5" t="str">
        <f ca="1">IFERROR(__xludf.DUMMYFUNCTION("IFERROR(VLOOKUP(F209,IMPORTRANGE(""https://docs.google.com/spreadsheets/d/1Kvs4KS76FHFqLFIZfrDMff4kP08nblUkihrxltoGBjg/edit#gid=934712705"",""ESENCIAL!A6:BG""),8,FALSE))"),"")</f>
        <v/>
      </c>
      <c r="L186" s="287"/>
      <c r="Z186" s="41" t="str">
        <f t="shared" si="12"/>
        <v/>
      </c>
      <c r="AA186" s="5" t="str">
        <f ca="1">IFERROR(__xludf.DUMMYFUNCTION("IFERROR(VLOOKUP(E209&amp;F209,IMPORTRANGE(""https://docs.google.com/spreadsheets/d/1Uw7-A9f9R21vMXxHZFNpYNeKFtG8_yji4HS352LGlSQ/edit?pli=1#gid=0"",""1_ACUM!A4:S""),11,FALSE))"),"")</f>
        <v/>
      </c>
      <c r="AB186" s="42" t="str">
        <f ca="1">IFERROR(__xludf.DUMMYFUNCTION("IFERROR(VLOOKUP(F209,IMPORTRANGE(""https://docs.google.com/spreadsheets/d/1Kvs4KS76FHFqLFIZfrDMff4kP08nblUkihrxltoGBjg/edit#gid=934712705"",""ESENCIAL!A6:BG""),15,FALSE))"),"")</f>
        <v/>
      </c>
      <c r="AC186" s="110" t="str">
        <f ca="1">IFERROR(__xludf.DUMMYFUNCTION("IFERROR(VLOOKUP(E209&amp;F209,IMPORTRANGE(""https://docs.google.com/spreadsheets/d/1Uw7-A9f9R21vMXxHZFNpYNeKFtG8_yji4HS352LGlSQ/edit?pli=1#gid=0"",""1_ACUM!A4:S""),13,FALSE))"),"")</f>
        <v/>
      </c>
      <c r="AD186" s="43" t="str">
        <f ca="1">IFERROR(__xludf.DUMMYFUNCTION("IFERROR(VLOOKUP(E209&amp;F209,IMPORTRANGE(""https://docs.google.com/spreadsheets/d/1Uw7-A9f9R21vMXxHZFNpYNeKFtG8_yji4HS352LGlSQ/edit?pli=1#gid=0"",""1_ACUM!A4:S""),13,FALSE))"),"")</f>
        <v/>
      </c>
      <c r="AE186" s="43" t="str">
        <f ca="1">IFERROR(__xludf.DUMMYFUNCTION("IFERROR(VLOOKUP(E209&amp;F209,IMPORTRANGE(""https://docs.google.com/spreadsheets/d/1Uw7-A9f9R21vMXxHZFNpYNeKFtG8_yji4HS352LGlSQ/edit?pli=1#gid=0"",""1_ACUM!A4:S""),14,FALSE))"),"")</f>
        <v/>
      </c>
      <c r="AF186" s="43" t="str">
        <f ca="1">IFERROR(__xludf.DUMMYFUNCTION("IFERROR(VLOOKUP(E209&amp;F209,IMPORTRANGE(""https://docs.google.com/spreadsheets/d/1Uw7-A9f9R21vMXxHZFNpYNeKFtG8_yji4HS352LGlSQ/edit?pli=1#gid=0"",""1_ACUM!A4:S""),15,FALSE))"),"")</f>
        <v/>
      </c>
      <c r="AG186" s="43" t="str">
        <f ca="1">IFERROR(__xludf.DUMMYFUNCTION("IFERROR(VLOOKUP(E209&amp;F209,IMPORTRANGE(""https://docs.google.com/spreadsheets/d/1Uw7-A9f9R21vMXxHZFNpYNeKFtG8_yji4HS352LGlSQ/edit?pli=1#gid=0"",""1_ACUM!A4:S""),16,FALSE))"),"")</f>
        <v/>
      </c>
      <c r="AH186" s="43" t="str">
        <f ca="1">IFERROR(__xludf.DUMMYFUNCTION("IFERROR(VLOOKUP(E209&amp;F209,IMPORTRANGE(""https://docs.google.com/spreadsheets/d/1Uw7-A9f9R21vMXxHZFNpYNeKFtG8_yji4HS352LGlSQ/edit?pli=1#gid=0"",""1_ACUM!A4:S""),17,FALSE))"),"")</f>
        <v/>
      </c>
      <c r="AI186" s="44" t="str">
        <f ca="1">IFERROR(__xludf.DUMMYFUNCTION("IFERROR(VLOOKUP(E209&amp;F209,IMPORTRANGE(""https://docs.google.com/spreadsheets/d/1Uw7-A9f9R21vMXxHZFNpYNeKFtG8_yji4HS352LGlSQ/edit?pli=1#gid=0"",""1_ACUM!A4:S""),18,FALSE))"),"")</f>
        <v/>
      </c>
      <c r="AJ186" s="44" t="str">
        <f ca="1">IFERROR(__xludf.DUMMYFUNCTION("IFERROR(VLOOKUP(E209&amp;F209,IMPORTRANGE(""https://docs.google.com/spreadsheets/d/1Uw7-A9f9R21vMXxHZFNpYNeKFtG8_yji4HS352LGlSQ/edit?pli=1#gid=0"",""1_ACUM!A4:S""),19,FALSE))"),"")</f>
        <v/>
      </c>
      <c r="AK186" s="98" t="str">
        <f ca="1">IFERROR(__xludf.DUMMYFUNCTION("IFERROR(VLOOKUP(F209,IMPORTRANGE(""https://docs.google.com/spreadsheets/d/1Kvs4KS76FHFqLFIZfrDMff4kP08nblUkihrxltoGBjg/edit#gid=934712705"",""ESENCIAL!A6:BG""),5,FALSE))"),"")</f>
        <v/>
      </c>
      <c r="AL186" s="98" t="str">
        <f t="shared" si="13"/>
        <v/>
      </c>
      <c r="AM186" s="99" t="str">
        <f t="shared" si="14"/>
        <v/>
      </c>
      <c r="AN186" s="100" t="str">
        <f ca="1">IFERROR(__xludf.DUMMYFUNCTION("IFERROR(VLOOKUP(F209,IMPORTRANGE(""https://docs.google.com/spreadsheets/d/1Kvs4KS76FHFqLFIZfrDMff4kP08nblUkihrxltoGBjg/edit#gid=934712705"",""ESENCIAL!A6:BG""),2,FALSE))"),"")</f>
        <v/>
      </c>
      <c r="AO186" s="19" t="str">
        <f t="shared" si="15"/>
        <v/>
      </c>
      <c r="AP186" s="100"/>
      <c r="AQ186" s="100"/>
    </row>
    <row r="187" spans="1:43" ht="15">
      <c r="A187" s="101"/>
      <c r="B187" s="101"/>
      <c r="G187" s="5" t="str">
        <f ca="1">IFERROR(__xludf.DUMMYFUNCTION("IFERROR(VLOOKUP(F210,IMPORTRANGE(""https://docs.google.com/spreadsheets/d/1Kvs4KS76FHFqLFIZfrDMff4kP08nblUkihrxltoGBjg/edit#gid=934712705"",""ESENCIAL!A6:BG""),3,FALSE))"),"")</f>
        <v/>
      </c>
      <c r="H187" s="5" t="str">
        <f ca="1">IFERROR(__xludf.DUMMYFUNCTION("IFERROR(VLOOKUP(F210,IMPORTRANGE(""https://docs.google.com/spreadsheets/d/1Kvs4KS76FHFqLFIZfrDMff4kP08nblUkihrxltoGBjg/edit#gid=934712705"",""ESENCIAL!A6:BG""),8,FALSE))"),"")</f>
        <v/>
      </c>
      <c r="L187" s="287"/>
      <c r="Z187" s="41" t="str">
        <f t="shared" si="12"/>
        <v/>
      </c>
      <c r="AA187" s="5" t="str">
        <f ca="1">IFERROR(__xludf.DUMMYFUNCTION("IFERROR(VLOOKUP(E210&amp;F210,IMPORTRANGE(""https://docs.google.com/spreadsheets/d/1Uw7-A9f9R21vMXxHZFNpYNeKFtG8_yji4HS352LGlSQ/edit?pli=1#gid=0"",""1_ACUM!A4:S""),11,FALSE))"),"")</f>
        <v/>
      </c>
      <c r="AB187" s="42" t="str">
        <f ca="1">IFERROR(__xludf.DUMMYFUNCTION("IFERROR(VLOOKUP(F210,IMPORTRANGE(""https://docs.google.com/spreadsheets/d/1Kvs4KS76FHFqLFIZfrDMff4kP08nblUkihrxltoGBjg/edit#gid=934712705"",""ESENCIAL!A6:BG""),15,FALSE))"),"")</f>
        <v/>
      </c>
      <c r="AC187" s="110" t="str">
        <f ca="1">IFERROR(__xludf.DUMMYFUNCTION("IFERROR(VLOOKUP(E210&amp;F210,IMPORTRANGE(""https://docs.google.com/spreadsheets/d/1Uw7-A9f9R21vMXxHZFNpYNeKFtG8_yji4HS352LGlSQ/edit?pli=1#gid=0"",""1_ACUM!A4:S""),13,FALSE))"),"")</f>
        <v/>
      </c>
      <c r="AD187" s="43" t="str">
        <f ca="1">IFERROR(__xludf.DUMMYFUNCTION("IFERROR(VLOOKUP(E210&amp;F210,IMPORTRANGE(""https://docs.google.com/spreadsheets/d/1Uw7-A9f9R21vMXxHZFNpYNeKFtG8_yji4HS352LGlSQ/edit?pli=1#gid=0"",""1_ACUM!A4:S""),13,FALSE))"),"")</f>
        <v/>
      </c>
      <c r="AE187" s="43" t="str">
        <f ca="1">IFERROR(__xludf.DUMMYFUNCTION("IFERROR(VLOOKUP(E210&amp;F210,IMPORTRANGE(""https://docs.google.com/spreadsheets/d/1Uw7-A9f9R21vMXxHZFNpYNeKFtG8_yji4HS352LGlSQ/edit?pli=1#gid=0"",""1_ACUM!A4:S""),14,FALSE))"),"")</f>
        <v/>
      </c>
      <c r="AF187" s="43" t="str">
        <f ca="1">IFERROR(__xludf.DUMMYFUNCTION("IFERROR(VLOOKUP(E210&amp;F210,IMPORTRANGE(""https://docs.google.com/spreadsheets/d/1Uw7-A9f9R21vMXxHZFNpYNeKFtG8_yji4HS352LGlSQ/edit?pli=1#gid=0"",""1_ACUM!A4:S""),15,FALSE))"),"")</f>
        <v/>
      </c>
      <c r="AG187" s="43" t="str">
        <f ca="1">IFERROR(__xludf.DUMMYFUNCTION("IFERROR(VLOOKUP(E210&amp;F210,IMPORTRANGE(""https://docs.google.com/spreadsheets/d/1Uw7-A9f9R21vMXxHZFNpYNeKFtG8_yji4HS352LGlSQ/edit?pli=1#gid=0"",""1_ACUM!A4:S""),16,FALSE))"),"")</f>
        <v/>
      </c>
      <c r="AH187" s="43" t="str">
        <f ca="1">IFERROR(__xludf.DUMMYFUNCTION("IFERROR(VLOOKUP(E210&amp;F210,IMPORTRANGE(""https://docs.google.com/spreadsheets/d/1Uw7-A9f9R21vMXxHZFNpYNeKFtG8_yji4HS352LGlSQ/edit?pli=1#gid=0"",""1_ACUM!A4:S""),17,FALSE))"),"")</f>
        <v/>
      </c>
      <c r="AI187" s="44" t="str">
        <f ca="1">IFERROR(__xludf.DUMMYFUNCTION("IFERROR(VLOOKUP(E210&amp;F210,IMPORTRANGE(""https://docs.google.com/spreadsheets/d/1Uw7-A9f9R21vMXxHZFNpYNeKFtG8_yji4HS352LGlSQ/edit?pli=1#gid=0"",""1_ACUM!A4:S""),18,FALSE))"),"")</f>
        <v/>
      </c>
      <c r="AJ187" s="44" t="str">
        <f ca="1">IFERROR(__xludf.DUMMYFUNCTION("IFERROR(VLOOKUP(E210&amp;F210,IMPORTRANGE(""https://docs.google.com/spreadsheets/d/1Uw7-A9f9R21vMXxHZFNpYNeKFtG8_yji4HS352LGlSQ/edit?pli=1#gid=0"",""1_ACUM!A4:S""),19,FALSE))"),"")</f>
        <v/>
      </c>
      <c r="AK187" s="98" t="str">
        <f ca="1">IFERROR(__xludf.DUMMYFUNCTION("IFERROR(VLOOKUP(F210,IMPORTRANGE(""https://docs.google.com/spreadsheets/d/1Kvs4KS76FHFqLFIZfrDMff4kP08nblUkihrxltoGBjg/edit#gid=934712705"",""ESENCIAL!A6:BG""),5,FALSE))"),"")</f>
        <v/>
      </c>
      <c r="AL187" s="98" t="str">
        <f t="shared" si="13"/>
        <v/>
      </c>
      <c r="AM187" s="99" t="str">
        <f t="shared" si="14"/>
        <v/>
      </c>
      <c r="AN187" s="100" t="str">
        <f ca="1">IFERROR(__xludf.DUMMYFUNCTION("IFERROR(VLOOKUP(F210,IMPORTRANGE(""https://docs.google.com/spreadsheets/d/1Kvs4KS76FHFqLFIZfrDMff4kP08nblUkihrxltoGBjg/edit#gid=934712705"",""ESENCIAL!A6:BG""),2,FALSE))"),"")</f>
        <v/>
      </c>
      <c r="AO187" s="19" t="str">
        <f t="shared" si="15"/>
        <v/>
      </c>
      <c r="AP187" s="100"/>
      <c r="AQ187" s="100"/>
    </row>
    <row r="188" spans="1:43" ht="15">
      <c r="A188" s="101"/>
      <c r="B188" s="101"/>
      <c r="G188" s="5" t="str">
        <f ca="1">IFERROR(__xludf.DUMMYFUNCTION("IFERROR(VLOOKUP(F211,IMPORTRANGE(""https://docs.google.com/spreadsheets/d/1Kvs4KS76FHFqLFIZfrDMff4kP08nblUkihrxltoGBjg/edit#gid=934712705"",""ESENCIAL!A6:BG""),3,FALSE))"),"")</f>
        <v/>
      </c>
      <c r="H188" s="5" t="str">
        <f ca="1">IFERROR(__xludf.DUMMYFUNCTION("IFERROR(VLOOKUP(F211,IMPORTRANGE(""https://docs.google.com/spreadsheets/d/1Kvs4KS76FHFqLFIZfrDMff4kP08nblUkihrxltoGBjg/edit#gid=934712705"",""ESENCIAL!A6:BG""),8,FALSE))"),"")</f>
        <v/>
      </c>
      <c r="L188" s="287"/>
      <c r="Z188" s="41" t="str">
        <f t="shared" si="12"/>
        <v/>
      </c>
      <c r="AA188" s="5" t="str">
        <f ca="1">IFERROR(__xludf.DUMMYFUNCTION("IFERROR(VLOOKUP(E211&amp;F211,IMPORTRANGE(""https://docs.google.com/spreadsheets/d/1Uw7-A9f9R21vMXxHZFNpYNeKFtG8_yji4HS352LGlSQ/edit?pli=1#gid=0"",""1_ACUM!A4:S""),11,FALSE))"),"")</f>
        <v/>
      </c>
      <c r="AB188" s="42" t="str">
        <f ca="1">IFERROR(__xludf.DUMMYFUNCTION("IFERROR(VLOOKUP(F211,IMPORTRANGE(""https://docs.google.com/spreadsheets/d/1Kvs4KS76FHFqLFIZfrDMff4kP08nblUkihrxltoGBjg/edit#gid=934712705"",""ESENCIAL!A6:BG""),15,FALSE))"),"")</f>
        <v/>
      </c>
      <c r="AC188" s="110" t="str">
        <f ca="1">IFERROR(__xludf.DUMMYFUNCTION("IFERROR(VLOOKUP(E211&amp;F211,IMPORTRANGE(""https://docs.google.com/spreadsheets/d/1Uw7-A9f9R21vMXxHZFNpYNeKFtG8_yji4HS352LGlSQ/edit?pli=1#gid=0"",""1_ACUM!A4:S""),13,FALSE))"),"")</f>
        <v/>
      </c>
      <c r="AD188" s="43" t="str">
        <f ca="1">IFERROR(__xludf.DUMMYFUNCTION("IFERROR(VLOOKUP(E211&amp;F211,IMPORTRANGE(""https://docs.google.com/spreadsheets/d/1Uw7-A9f9R21vMXxHZFNpYNeKFtG8_yji4HS352LGlSQ/edit?pli=1#gid=0"",""1_ACUM!A4:S""),13,FALSE))"),"")</f>
        <v/>
      </c>
      <c r="AE188" s="43" t="str">
        <f ca="1">IFERROR(__xludf.DUMMYFUNCTION("IFERROR(VLOOKUP(E211&amp;F211,IMPORTRANGE(""https://docs.google.com/spreadsheets/d/1Uw7-A9f9R21vMXxHZFNpYNeKFtG8_yji4HS352LGlSQ/edit?pli=1#gid=0"",""1_ACUM!A4:S""),14,FALSE))"),"")</f>
        <v/>
      </c>
      <c r="AF188" s="43" t="str">
        <f ca="1">IFERROR(__xludf.DUMMYFUNCTION("IFERROR(VLOOKUP(E211&amp;F211,IMPORTRANGE(""https://docs.google.com/spreadsheets/d/1Uw7-A9f9R21vMXxHZFNpYNeKFtG8_yji4HS352LGlSQ/edit?pli=1#gid=0"",""1_ACUM!A4:S""),15,FALSE))"),"")</f>
        <v/>
      </c>
      <c r="AG188" s="43" t="str">
        <f ca="1">IFERROR(__xludf.DUMMYFUNCTION("IFERROR(VLOOKUP(E211&amp;F211,IMPORTRANGE(""https://docs.google.com/spreadsheets/d/1Uw7-A9f9R21vMXxHZFNpYNeKFtG8_yji4HS352LGlSQ/edit?pli=1#gid=0"",""1_ACUM!A4:S""),16,FALSE))"),"")</f>
        <v/>
      </c>
      <c r="AH188" s="43" t="str">
        <f ca="1">IFERROR(__xludf.DUMMYFUNCTION("IFERROR(VLOOKUP(E211&amp;F211,IMPORTRANGE(""https://docs.google.com/spreadsheets/d/1Uw7-A9f9R21vMXxHZFNpYNeKFtG8_yji4HS352LGlSQ/edit?pli=1#gid=0"",""1_ACUM!A4:S""),17,FALSE))"),"")</f>
        <v/>
      </c>
      <c r="AI188" s="44" t="str">
        <f ca="1">IFERROR(__xludf.DUMMYFUNCTION("IFERROR(VLOOKUP(E211&amp;F211,IMPORTRANGE(""https://docs.google.com/spreadsheets/d/1Uw7-A9f9R21vMXxHZFNpYNeKFtG8_yji4HS352LGlSQ/edit?pli=1#gid=0"",""1_ACUM!A4:S""),18,FALSE))"),"")</f>
        <v/>
      </c>
      <c r="AJ188" s="44" t="str">
        <f ca="1">IFERROR(__xludf.DUMMYFUNCTION("IFERROR(VLOOKUP(E211&amp;F211,IMPORTRANGE(""https://docs.google.com/spreadsheets/d/1Uw7-A9f9R21vMXxHZFNpYNeKFtG8_yji4HS352LGlSQ/edit?pli=1#gid=0"",""1_ACUM!A4:S""),19,FALSE))"),"")</f>
        <v/>
      </c>
      <c r="AK188" s="98" t="str">
        <f ca="1">IFERROR(__xludf.DUMMYFUNCTION("IFERROR(VLOOKUP(F211,IMPORTRANGE(""https://docs.google.com/spreadsheets/d/1Kvs4KS76FHFqLFIZfrDMff4kP08nblUkihrxltoGBjg/edit#gid=934712705"",""ESENCIAL!A6:BG""),5,FALSE))"),"")</f>
        <v/>
      </c>
      <c r="AL188" s="98" t="str">
        <f t="shared" si="13"/>
        <v/>
      </c>
      <c r="AM188" s="99" t="str">
        <f t="shared" si="14"/>
        <v/>
      </c>
      <c r="AN188" s="100" t="str">
        <f ca="1">IFERROR(__xludf.DUMMYFUNCTION("IFERROR(VLOOKUP(F211,IMPORTRANGE(""https://docs.google.com/spreadsheets/d/1Kvs4KS76FHFqLFIZfrDMff4kP08nblUkihrxltoGBjg/edit#gid=934712705"",""ESENCIAL!A6:BG""),2,FALSE))"),"")</f>
        <v/>
      </c>
      <c r="AO188" s="19" t="str">
        <f t="shared" si="15"/>
        <v/>
      </c>
      <c r="AP188" s="100"/>
      <c r="AQ188" s="100"/>
    </row>
    <row r="189" spans="1:43" ht="15">
      <c r="A189" s="101"/>
      <c r="B189" s="101"/>
      <c r="G189" s="5" t="str">
        <f ca="1">IFERROR(__xludf.DUMMYFUNCTION("IFERROR(VLOOKUP(F212,IMPORTRANGE(""https://docs.google.com/spreadsheets/d/1Kvs4KS76FHFqLFIZfrDMff4kP08nblUkihrxltoGBjg/edit#gid=934712705"",""ESENCIAL!A6:BG""),3,FALSE))"),"")</f>
        <v/>
      </c>
      <c r="H189" s="5" t="str">
        <f ca="1">IFERROR(__xludf.DUMMYFUNCTION("IFERROR(VLOOKUP(F212,IMPORTRANGE(""https://docs.google.com/spreadsheets/d/1Kvs4KS76FHFqLFIZfrDMff4kP08nblUkihrxltoGBjg/edit#gid=934712705"",""ESENCIAL!A6:BG""),8,FALSE))"),"")</f>
        <v/>
      </c>
      <c r="L189" s="287"/>
      <c r="Z189" s="41" t="str">
        <f t="shared" si="12"/>
        <v/>
      </c>
      <c r="AA189" s="5" t="str">
        <f ca="1">IFERROR(__xludf.DUMMYFUNCTION("IFERROR(VLOOKUP(E212&amp;F212,IMPORTRANGE(""https://docs.google.com/spreadsheets/d/1Uw7-A9f9R21vMXxHZFNpYNeKFtG8_yji4HS352LGlSQ/edit?pli=1#gid=0"",""1_ACUM!A4:S""),11,FALSE))"),"")</f>
        <v/>
      </c>
      <c r="AB189" s="42" t="str">
        <f ca="1">IFERROR(__xludf.DUMMYFUNCTION("IFERROR(VLOOKUP(F212,IMPORTRANGE(""https://docs.google.com/spreadsheets/d/1Kvs4KS76FHFqLFIZfrDMff4kP08nblUkihrxltoGBjg/edit#gid=934712705"",""ESENCIAL!A6:BG""),15,FALSE))"),"")</f>
        <v/>
      </c>
      <c r="AC189" s="110" t="str">
        <f ca="1">IFERROR(__xludf.DUMMYFUNCTION("IFERROR(VLOOKUP(E212&amp;F212,IMPORTRANGE(""https://docs.google.com/spreadsheets/d/1Uw7-A9f9R21vMXxHZFNpYNeKFtG8_yji4HS352LGlSQ/edit?pli=1#gid=0"",""1_ACUM!A4:S""),13,FALSE))"),"")</f>
        <v/>
      </c>
      <c r="AD189" s="43" t="str">
        <f ca="1">IFERROR(__xludf.DUMMYFUNCTION("IFERROR(VLOOKUP(E212&amp;F212,IMPORTRANGE(""https://docs.google.com/spreadsheets/d/1Uw7-A9f9R21vMXxHZFNpYNeKFtG8_yji4HS352LGlSQ/edit?pli=1#gid=0"",""1_ACUM!A4:S""),13,FALSE))"),"")</f>
        <v/>
      </c>
      <c r="AE189" s="43" t="str">
        <f ca="1">IFERROR(__xludf.DUMMYFUNCTION("IFERROR(VLOOKUP(E212&amp;F212,IMPORTRANGE(""https://docs.google.com/spreadsheets/d/1Uw7-A9f9R21vMXxHZFNpYNeKFtG8_yji4HS352LGlSQ/edit?pli=1#gid=0"",""1_ACUM!A4:S""),14,FALSE))"),"")</f>
        <v/>
      </c>
      <c r="AF189" s="43" t="str">
        <f ca="1">IFERROR(__xludf.DUMMYFUNCTION("IFERROR(VLOOKUP(E212&amp;F212,IMPORTRANGE(""https://docs.google.com/spreadsheets/d/1Uw7-A9f9R21vMXxHZFNpYNeKFtG8_yji4HS352LGlSQ/edit?pli=1#gid=0"",""1_ACUM!A4:S""),15,FALSE))"),"")</f>
        <v/>
      </c>
      <c r="AG189" s="43" t="str">
        <f ca="1">IFERROR(__xludf.DUMMYFUNCTION("IFERROR(VLOOKUP(E212&amp;F212,IMPORTRANGE(""https://docs.google.com/spreadsheets/d/1Uw7-A9f9R21vMXxHZFNpYNeKFtG8_yji4HS352LGlSQ/edit?pli=1#gid=0"",""1_ACUM!A4:S""),16,FALSE))"),"")</f>
        <v/>
      </c>
      <c r="AH189" s="43" t="str">
        <f ca="1">IFERROR(__xludf.DUMMYFUNCTION("IFERROR(VLOOKUP(E212&amp;F212,IMPORTRANGE(""https://docs.google.com/spreadsheets/d/1Uw7-A9f9R21vMXxHZFNpYNeKFtG8_yji4HS352LGlSQ/edit?pli=1#gid=0"",""1_ACUM!A4:S""),17,FALSE))"),"")</f>
        <v/>
      </c>
      <c r="AI189" s="44" t="str">
        <f ca="1">IFERROR(__xludf.DUMMYFUNCTION("IFERROR(VLOOKUP(E212&amp;F212,IMPORTRANGE(""https://docs.google.com/spreadsheets/d/1Uw7-A9f9R21vMXxHZFNpYNeKFtG8_yji4HS352LGlSQ/edit?pli=1#gid=0"",""1_ACUM!A4:S""),18,FALSE))"),"")</f>
        <v/>
      </c>
      <c r="AJ189" s="44" t="str">
        <f ca="1">IFERROR(__xludf.DUMMYFUNCTION("IFERROR(VLOOKUP(E212&amp;F212,IMPORTRANGE(""https://docs.google.com/spreadsheets/d/1Uw7-A9f9R21vMXxHZFNpYNeKFtG8_yji4HS352LGlSQ/edit?pli=1#gid=0"",""1_ACUM!A4:S""),19,FALSE))"),"")</f>
        <v/>
      </c>
      <c r="AK189" s="98" t="str">
        <f ca="1">IFERROR(__xludf.DUMMYFUNCTION("IFERROR(VLOOKUP(F212,IMPORTRANGE(""https://docs.google.com/spreadsheets/d/1Kvs4KS76FHFqLFIZfrDMff4kP08nblUkihrxltoGBjg/edit#gid=934712705"",""ESENCIAL!A6:BG""),5,FALSE))"),"")</f>
        <v/>
      </c>
      <c r="AL189" s="98" t="str">
        <f t="shared" si="13"/>
        <v/>
      </c>
      <c r="AM189" s="99" t="str">
        <f t="shared" si="14"/>
        <v/>
      </c>
      <c r="AN189" s="100" t="str">
        <f ca="1">IFERROR(__xludf.DUMMYFUNCTION("IFERROR(VLOOKUP(F212,IMPORTRANGE(""https://docs.google.com/spreadsheets/d/1Kvs4KS76FHFqLFIZfrDMff4kP08nblUkihrxltoGBjg/edit#gid=934712705"",""ESENCIAL!A6:BG""),2,FALSE))"),"")</f>
        <v/>
      </c>
      <c r="AO189" s="19" t="str">
        <f t="shared" si="15"/>
        <v/>
      </c>
      <c r="AP189" s="100"/>
      <c r="AQ189" s="100"/>
    </row>
    <row r="190" spans="1:43" ht="15">
      <c r="A190" s="101"/>
      <c r="B190" s="101"/>
      <c r="G190" s="5" t="str">
        <f ca="1">IFERROR(__xludf.DUMMYFUNCTION("IFERROR(VLOOKUP(F213,IMPORTRANGE(""https://docs.google.com/spreadsheets/d/1Kvs4KS76FHFqLFIZfrDMff4kP08nblUkihrxltoGBjg/edit#gid=934712705"",""ESENCIAL!A6:BG""),3,FALSE))"),"")</f>
        <v/>
      </c>
      <c r="H190" s="5" t="str">
        <f ca="1">IFERROR(__xludf.DUMMYFUNCTION("IFERROR(VLOOKUP(F213,IMPORTRANGE(""https://docs.google.com/spreadsheets/d/1Kvs4KS76FHFqLFIZfrDMff4kP08nblUkihrxltoGBjg/edit#gid=934712705"",""ESENCIAL!A6:BG""),8,FALSE))"),"")</f>
        <v/>
      </c>
      <c r="L190" s="287"/>
      <c r="Z190" s="41" t="str">
        <f t="shared" si="12"/>
        <v/>
      </c>
      <c r="AA190" s="5" t="str">
        <f ca="1">IFERROR(__xludf.DUMMYFUNCTION("IFERROR(VLOOKUP(E213&amp;F213,IMPORTRANGE(""https://docs.google.com/spreadsheets/d/1Uw7-A9f9R21vMXxHZFNpYNeKFtG8_yji4HS352LGlSQ/edit?pli=1#gid=0"",""1_ACUM!A4:S""),11,FALSE))"),"")</f>
        <v/>
      </c>
      <c r="AB190" s="42" t="str">
        <f ca="1">IFERROR(__xludf.DUMMYFUNCTION("IFERROR(VLOOKUP(F213,IMPORTRANGE(""https://docs.google.com/spreadsheets/d/1Kvs4KS76FHFqLFIZfrDMff4kP08nblUkihrxltoGBjg/edit#gid=934712705"",""ESENCIAL!A6:BG""),15,FALSE))"),"")</f>
        <v/>
      </c>
      <c r="AC190" s="110" t="str">
        <f ca="1">IFERROR(__xludf.DUMMYFUNCTION("IFERROR(VLOOKUP(E213&amp;F213,IMPORTRANGE(""https://docs.google.com/spreadsheets/d/1Uw7-A9f9R21vMXxHZFNpYNeKFtG8_yji4HS352LGlSQ/edit?pli=1#gid=0"",""1_ACUM!A4:S""),13,FALSE))"),"")</f>
        <v/>
      </c>
      <c r="AD190" s="43" t="str">
        <f ca="1">IFERROR(__xludf.DUMMYFUNCTION("IFERROR(VLOOKUP(E213&amp;F213,IMPORTRANGE(""https://docs.google.com/spreadsheets/d/1Uw7-A9f9R21vMXxHZFNpYNeKFtG8_yji4HS352LGlSQ/edit?pli=1#gid=0"",""1_ACUM!A4:S""),13,FALSE))"),"")</f>
        <v/>
      </c>
      <c r="AE190" s="43" t="str">
        <f ca="1">IFERROR(__xludf.DUMMYFUNCTION("IFERROR(VLOOKUP(E213&amp;F213,IMPORTRANGE(""https://docs.google.com/spreadsheets/d/1Uw7-A9f9R21vMXxHZFNpYNeKFtG8_yji4HS352LGlSQ/edit?pli=1#gid=0"",""1_ACUM!A4:S""),14,FALSE))"),"")</f>
        <v/>
      </c>
      <c r="AF190" s="43" t="str">
        <f ca="1">IFERROR(__xludf.DUMMYFUNCTION("IFERROR(VLOOKUP(E213&amp;F213,IMPORTRANGE(""https://docs.google.com/spreadsheets/d/1Uw7-A9f9R21vMXxHZFNpYNeKFtG8_yji4HS352LGlSQ/edit?pli=1#gid=0"",""1_ACUM!A4:S""),15,FALSE))"),"")</f>
        <v/>
      </c>
      <c r="AG190" s="43" t="str">
        <f ca="1">IFERROR(__xludf.DUMMYFUNCTION("IFERROR(VLOOKUP(E213&amp;F213,IMPORTRANGE(""https://docs.google.com/spreadsheets/d/1Uw7-A9f9R21vMXxHZFNpYNeKFtG8_yji4HS352LGlSQ/edit?pli=1#gid=0"",""1_ACUM!A4:S""),16,FALSE))"),"")</f>
        <v/>
      </c>
      <c r="AH190" s="43" t="str">
        <f ca="1">IFERROR(__xludf.DUMMYFUNCTION("IFERROR(VLOOKUP(E213&amp;F213,IMPORTRANGE(""https://docs.google.com/spreadsheets/d/1Uw7-A9f9R21vMXxHZFNpYNeKFtG8_yji4HS352LGlSQ/edit?pli=1#gid=0"",""1_ACUM!A4:S""),17,FALSE))"),"")</f>
        <v/>
      </c>
      <c r="AI190" s="44" t="str">
        <f ca="1">IFERROR(__xludf.DUMMYFUNCTION("IFERROR(VLOOKUP(E213&amp;F213,IMPORTRANGE(""https://docs.google.com/spreadsheets/d/1Uw7-A9f9R21vMXxHZFNpYNeKFtG8_yji4HS352LGlSQ/edit?pli=1#gid=0"",""1_ACUM!A4:S""),18,FALSE))"),"")</f>
        <v/>
      </c>
      <c r="AJ190" s="44" t="str">
        <f ca="1">IFERROR(__xludf.DUMMYFUNCTION("IFERROR(VLOOKUP(E213&amp;F213,IMPORTRANGE(""https://docs.google.com/spreadsheets/d/1Uw7-A9f9R21vMXxHZFNpYNeKFtG8_yji4HS352LGlSQ/edit?pli=1#gid=0"",""1_ACUM!A4:S""),19,FALSE))"),"")</f>
        <v/>
      </c>
      <c r="AK190" s="98" t="str">
        <f ca="1">IFERROR(__xludf.DUMMYFUNCTION("IFERROR(VLOOKUP(F213,IMPORTRANGE(""https://docs.google.com/spreadsheets/d/1Kvs4KS76FHFqLFIZfrDMff4kP08nblUkihrxltoGBjg/edit#gid=934712705"",""ESENCIAL!A6:BG""),5,FALSE))"),"")</f>
        <v/>
      </c>
      <c r="AL190" s="98" t="str">
        <f t="shared" si="13"/>
        <v/>
      </c>
      <c r="AM190" s="99" t="str">
        <f t="shared" si="14"/>
        <v/>
      </c>
      <c r="AN190" s="100" t="str">
        <f ca="1">IFERROR(__xludf.DUMMYFUNCTION("IFERROR(VLOOKUP(F213,IMPORTRANGE(""https://docs.google.com/spreadsheets/d/1Kvs4KS76FHFqLFIZfrDMff4kP08nblUkihrxltoGBjg/edit#gid=934712705"",""ESENCIAL!A6:BG""),2,FALSE))"),"")</f>
        <v/>
      </c>
      <c r="AO190" s="19" t="str">
        <f t="shared" si="15"/>
        <v/>
      </c>
      <c r="AP190" s="100"/>
      <c r="AQ190" s="100"/>
    </row>
    <row r="191" spans="1:43" ht="15">
      <c r="A191" s="101"/>
      <c r="B191" s="101"/>
      <c r="G191" s="5" t="str">
        <f ca="1">IFERROR(__xludf.DUMMYFUNCTION("IFERROR(VLOOKUP(F214,IMPORTRANGE(""https://docs.google.com/spreadsheets/d/1Kvs4KS76FHFqLFIZfrDMff4kP08nblUkihrxltoGBjg/edit#gid=934712705"",""ESENCIAL!A6:BG""),3,FALSE))"),"")</f>
        <v/>
      </c>
      <c r="H191" s="5" t="str">
        <f ca="1">IFERROR(__xludf.DUMMYFUNCTION("IFERROR(VLOOKUP(F214,IMPORTRANGE(""https://docs.google.com/spreadsheets/d/1Kvs4KS76FHFqLFIZfrDMff4kP08nblUkihrxltoGBjg/edit#gid=934712705"",""ESENCIAL!A6:BG""),8,FALSE))"),"")</f>
        <v/>
      </c>
      <c r="L191" s="287"/>
      <c r="Z191" s="41" t="str">
        <f t="shared" si="12"/>
        <v/>
      </c>
      <c r="AA191" s="5" t="str">
        <f ca="1">IFERROR(__xludf.DUMMYFUNCTION("IFERROR(VLOOKUP(E214&amp;F214,IMPORTRANGE(""https://docs.google.com/spreadsheets/d/1Uw7-A9f9R21vMXxHZFNpYNeKFtG8_yji4HS352LGlSQ/edit?pli=1#gid=0"",""1_ACUM!A4:S""),11,FALSE))"),"")</f>
        <v/>
      </c>
      <c r="AB191" s="42" t="str">
        <f ca="1">IFERROR(__xludf.DUMMYFUNCTION("IFERROR(VLOOKUP(F214,IMPORTRANGE(""https://docs.google.com/spreadsheets/d/1Kvs4KS76FHFqLFIZfrDMff4kP08nblUkihrxltoGBjg/edit#gid=934712705"",""ESENCIAL!A6:BG""),15,FALSE))"),"")</f>
        <v/>
      </c>
      <c r="AC191" s="110" t="str">
        <f ca="1">IFERROR(__xludf.DUMMYFUNCTION("IFERROR(VLOOKUP(E214&amp;F214,IMPORTRANGE(""https://docs.google.com/spreadsheets/d/1Uw7-A9f9R21vMXxHZFNpYNeKFtG8_yji4HS352LGlSQ/edit?pli=1#gid=0"",""1_ACUM!A4:S""),13,FALSE))"),"")</f>
        <v/>
      </c>
      <c r="AD191" s="43" t="str">
        <f ca="1">IFERROR(__xludf.DUMMYFUNCTION("IFERROR(VLOOKUP(E214&amp;F214,IMPORTRANGE(""https://docs.google.com/spreadsheets/d/1Uw7-A9f9R21vMXxHZFNpYNeKFtG8_yji4HS352LGlSQ/edit?pli=1#gid=0"",""1_ACUM!A4:S""),13,FALSE))"),"")</f>
        <v/>
      </c>
      <c r="AE191" s="43" t="str">
        <f ca="1">IFERROR(__xludf.DUMMYFUNCTION("IFERROR(VLOOKUP(E214&amp;F214,IMPORTRANGE(""https://docs.google.com/spreadsheets/d/1Uw7-A9f9R21vMXxHZFNpYNeKFtG8_yji4HS352LGlSQ/edit?pli=1#gid=0"",""1_ACUM!A4:S""),14,FALSE))"),"")</f>
        <v/>
      </c>
      <c r="AF191" s="43" t="str">
        <f ca="1">IFERROR(__xludf.DUMMYFUNCTION("IFERROR(VLOOKUP(E214&amp;F214,IMPORTRANGE(""https://docs.google.com/spreadsheets/d/1Uw7-A9f9R21vMXxHZFNpYNeKFtG8_yji4HS352LGlSQ/edit?pli=1#gid=0"",""1_ACUM!A4:S""),15,FALSE))"),"")</f>
        <v/>
      </c>
      <c r="AG191" s="43" t="str">
        <f ca="1">IFERROR(__xludf.DUMMYFUNCTION("IFERROR(VLOOKUP(E214&amp;F214,IMPORTRANGE(""https://docs.google.com/spreadsheets/d/1Uw7-A9f9R21vMXxHZFNpYNeKFtG8_yji4HS352LGlSQ/edit?pli=1#gid=0"",""1_ACUM!A4:S""),16,FALSE))"),"")</f>
        <v/>
      </c>
      <c r="AH191" s="43" t="str">
        <f ca="1">IFERROR(__xludf.DUMMYFUNCTION("IFERROR(VLOOKUP(E214&amp;F214,IMPORTRANGE(""https://docs.google.com/spreadsheets/d/1Uw7-A9f9R21vMXxHZFNpYNeKFtG8_yji4HS352LGlSQ/edit?pli=1#gid=0"",""1_ACUM!A4:S""),17,FALSE))"),"")</f>
        <v/>
      </c>
      <c r="AI191" s="44" t="str">
        <f ca="1">IFERROR(__xludf.DUMMYFUNCTION("IFERROR(VLOOKUP(E214&amp;F214,IMPORTRANGE(""https://docs.google.com/spreadsheets/d/1Uw7-A9f9R21vMXxHZFNpYNeKFtG8_yji4HS352LGlSQ/edit?pli=1#gid=0"",""1_ACUM!A4:S""),18,FALSE))"),"")</f>
        <v/>
      </c>
      <c r="AJ191" s="44" t="str">
        <f ca="1">IFERROR(__xludf.DUMMYFUNCTION("IFERROR(VLOOKUP(E214&amp;F214,IMPORTRANGE(""https://docs.google.com/spreadsheets/d/1Uw7-A9f9R21vMXxHZFNpYNeKFtG8_yji4HS352LGlSQ/edit?pli=1#gid=0"",""1_ACUM!A4:S""),19,FALSE))"),"")</f>
        <v/>
      </c>
      <c r="AK191" s="98" t="str">
        <f ca="1">IFERROR(__xludf.DUMMYFUNCTION("IFERROR(VLOOKUP(F214,IMPORTRANGE(""https://docs.google.com/spreadsheets/d/1Kvs4KS76FHFqLFIZfrDMff4kP08nblUkihrxltoGBjg/edit#gid=934712705"",""ESENCIAL!A6:BG""),5,FALSE))"),"")</f>
        <v/>
      </c>
      <c r="AL191" s="98" t="str">
        <f t="shared" si="13"/>
        <v/>
      </c>
      <c r="AM191" s="99" t="str">
        <f t="shared" si="14"/>
        <v/>
      </c>
      <c r="AN191" s="100" t="str">
        <f ca="1">IFERROR(__xludf.DUMMYFUNCTION("IFERROR(VLOOKUP(F214,IMPORTRANGE(""https://docs.google.com/spreadsheets/d/1Kvs4KS76FHFqLFIZfrDMff4kP08nblUkihrxltoGBjg/edit#gid=934712705"",""ESENCIAL!A6:BG""),2,FALSE))"),"")</f>
        <v/>
      </c>
      <c r="AO191" s="19" t="str">
        <f t="shared" si="15"/>
        <v/>
      </c>
      <c r="AP191" s="100"/>
      <c r="AQ191" s="100"/>
    </row>
    <row r="192" spans="1:43" ht="15">
      <c r="A192" s="101"/>
      <c r="B192" s="101"/>
      <c r="G192" s="5" t="str">
        <f ca="1">IFERROR(__xludf.DUMMYFUNCTION("IFERROR(VLOOKUP(F215,IMPORTRANGE(""https://docs.google.com/spreadsheets/d/1Kvs4KS76FHFqLFIZfrDMff4kP08nblUkihrxltoGBjg/edit#gid=934712705"",""ESENCIAL!A6:BG""),3,FALSE))"),"")</f>
        <v/>
      </c>
      <c r="H192" s="5" t="str">
        <f ca="1">IFERROR(__xludf.DUMMYFUNCTION("IFERROR(VLOOKUP(F215,IMPORTRANGE(""https://docs.google.com/spreadsheets/d/1Kvs4KS76FHFqLFIZfrDMff4kP08nblUkihrxltoGBjg/edit#gid=934712705"",""ESENCIAL!A6:BG""),8,FALSE))"),"")</f>
        <v/>
      </c>
      <c r="L192" s="287"/>
      <c r="Z192" s="41" t="str">
        <f t="shared" si="12"/>
        <v/>
      </c>
      <c r="AA192" s="5" t="str">
        <f ca="1">IFERROR(__xludf.DUMMYFUNCTION("IFERROR(VLOOKUP(E215&amp;F215,IMPORTRANGE(""https://docs.google.com/spreadsheets/d/1Uw7-A9f9R21vMXxHZFNpYNeKFtG8_yji4HS352LGlSQ/edit?pli=1#gid=0"",""1_ACUM!A4:S""),11,FALSE))"),"")</f>
        <v/>
      </c>
      <c r="AB192" s="42" t="str">
        <f ca="1">IFERROR(__xludf.DUMMYFUNCTION("IFERROR(VLOOKUP(F215,IMPORTRANGE(""https://docs.google.com/spreadsheets/d/1Kvs4KS76FHFqLFIZfrDMff4kP08nblUkihrxltoGBjg/edit#gid=934712705"",""ESENCIAL!A6:BG""),15,FALSE))"),"")</f>
        <v/>
      </c>
      <c r="AC192" s="110" t="str">
        <f ca="1">IFERROR(__xludf.DUMMYFUNCTION("IFERROR(VLOOKUP(E215&amp;F215,IMPORTRANGE(""https://docs.google.com/spreadsheets/d/1Uw7-A9f9R21vMXxHZFNpYNeKFtG8_yji4HS352LGlSQ/edit?pli=1#gid=0"",""1_ACUM!A4:S""),13,FALSE))"),"")</f>
        <v/>
      </c>
      <c r="AD192" s="43" t="str">
        <f ca="1">IFERROR(__xludf.DUMMYFUNCTION("IFERROR(VLOOKUP(E215&amp;F215,IMPORTRANGE(""https://docs.google.com/spreadsheets/d/1Uw7-A9f9R21vMXxHZFNpYNeKFtG8_yji4HS352LGlSQ/edit?pli=1#gid=0"",""1_ACUM!A4:S""),13,FALSE))"),"")</f>
        <v/>
      </c>
      <c r="AE192" s="43" t="str">
        <f ca="1">IFERROR(__xludf.DUMMYFUNCTION("IFERROR(VLOOKUP(E215&amp;F215,IMPORTRANGE(""https://docs.google.com/spreadsheets/d/1Uw7-A9f9R21vMXxHZFNpYNeKFtG8_yji4HS352LGlSQ/edit?pli=1#gid=0"",""1_ACUM!A4:S""),14,FALSE))"),"")</f>
        <v/>
      </c>
      <c r="AF192" s="43" t="str">
        <f ca="1">IFERROR(__xludf.DUMMYFUNCTION("IFERROR(VLOOKUP(E215&amp;F215,IMPORTRANGE(""https://docs.google.com/spreadsheets/d/1Uw7-A9f9R21vMXxHZFNpYNeKFtG8_yji4HS352LGlSQ/edit?pli=1#gid=0"",""1_ACUM!A4:S""),15,FALSE))"),"")</f>
        <v/>
      </c>
      <c r="AG192" s="43" t="str">
        <f ca="1">IFERROR(__xludf.DUMMYFUNCTION("IFERROR(VLOOKUP(E215&amp;F215,IMPORTRANGE(""https://docs.google.com/spreadsheets/d/1Uw7-A9f9R21vMXxHZFNpYNeKFtG8_yji4HS352LGlSQ/edit?pli=1#gid=0"",""1_ACUM!A4:S""),16,FALSE))"),"")</f>
        <v/>
      </c>
      <c r="AH192" s="43" t="str">
        <f ca="1">IFERROR(__xludf.DUMMYFUNCTION("IFERROR(VLOOKUP(E215&amp;F215,IMPORTRANGE(""https://docs.google.com/spreadsheets/d/1Uw7-A9f9R21vMXxHZFNpYNeKFtG8_yji4HS352LGlSQ/edit?pli=1#gid=0"",""1_ACUM!A4:S""),17,FALSE))"),"")</f>
        <v/>
      </c>
      <c r="AI192" s="44" t="str">
        <f ca="1">IFERROR(__xludf.DUMMYFUNCTION("IFERROR(VLOOKUP(E215&amp;F215,IMPORTRANGE(""https://docs.google.com/spreadsheets/d/1Uw7-A9f9R21vMXxHZFNpYNeKFtG8_yji4HS352LGlSQ/edit?pli=1#gid=0"",""1_ACUM!A4:S""),18,FALSE))"),"")</f>
        <v/>
      </c>
      <c r="AJ192" s="44" t="str">
        <f ca="1">IFERROR(__xludf.DUMMYFUNCTION("IFERROR(VLOOKUP(E215&amp;F215,IMPORTRANGE(""https://docs.google.com/spreadsheets/d/1Uw7-A9f9R21vMXxHZFNpYNeKFtG8_yji4HS352LGlSQ/edit?pli=1#gid=0"",""1_ACUM!A4:S""),19,FALSE))"),"")</f>
        <v/>
      </c>
      <c r="AK192" s="98" t="str">
        <f ca="1">IFERROR(__xludf.DUMMYFUNCTION("IFERROR(VLOOKUP(F215,IMPORTRANGE(""https://docs.google.com/spreadsheets/d/1Kvs4KS76FHFqLFIZfrDMff4kP08nblUkihrxltoGBjg/edit#gid=934712705"",""ESENCIAL!A6:BG""),5,FALSE))"),"")</f>
        <v/>
      </c>
      <c r="AL192" s="98" t="str">
        <f t="shared" si="13"/>
        <v/>
      </c>
      <c r="AM192" s="99" t="str">
        <f t="shared" si="14"/>
        <v/>
      </c>
      <c r="AN192" s="100" t="str">
        <f ca="1">IFERROR(__xludf.DUMMYFUNCTION("IFERROR(VLOOKUP(F215,IMPORTRANGE(""https://docs.google.com/spreadsheets/d/1Kvs4KS76FHFqLFIZfrDMff4kP08nblUkihrxltoGBjg/edit#gid=934712705"",""ESENCIAL!A6:BG""),2,FALSE))"),"")</f>
        <v/>
      </c>
      <c r="AO192" s="19" t="str">
        <f t="shared" si="15"/>
        <v/>
      </c>
      <c r="AP192" s="100"/>
      <c r="AQ192" s="100"/>
    </row>
    <row r="193" spans="1:43" ht="15">
      <c r="A193" s="101"/>
      <c r="B193" s="101"/>
      <c r="G193" s="5" t="str">
        <f ca="1">IFERROR(__xludf.DUMMYFUNCTION("IFERROR(VLOOKUP(F216,IMPORTRANGE(""https://docs.google.com/spreadsheets/d/1Kvs4KS76FHFqLFIZfrDMff4kP08nblUkihrxltoGBjg/edit#gid=934712705"",""ESENCIAL!A6:BG""),3,FALSE))"),"")</f>
        <v/>
      </c>
      <c r="H193" s="5" t="str">
        <f ca="1">IFERROR(__xludf.DUMMYFUNCTION("IFERROR(VLOOKUP(F216,IMPORTRANGE(""https://docs.google.com/spreadsheets/d/1Kvs4KS76FHFqLFIZfrDMff4kP08nblUkihrxltoGBjg/edit#gid=934712705"",""ESENCIAL!A6:BG""),8,FALSE))"),"")</f>
        <v/>
      </c>
      <c r="L193" s="287"/>
      <c r="Z193" s="41" t="str">
        <f t="shared" si="12"/>
        <v/>
      </c>
      <c r="AA193" s="5" t="str">
        <f ca="1">IFERROR(__xludf.DUMMYFUNCTION("IFERROR(VLOOKUP(E216&amp;F216,IMPORTRANGE(""https://docs.google.com/spreadsheets/d/1Uw7-A9f9R21vMXxHZFNpYNeKFtG8_yji4HS352LGlSQ/edit?pli=1#gid=0"",""1_ACUM!A4:S""),11,FALSE))"),"")</f>
        <v/>
      </c>
      <c r="AB193" s="42" t="str">
        <f ca="1">IFERROR(__xludf.DUMMYFUNCTION("IFERROR(VLOOKUP(F216,IMPORTRANGE(""https://docs.google.com/spreadsheets/d/1Kvs4KS76FHFqLFIZfrDMff4kP08nblUkihrxltoGBjg/edit#gid=934712705"",""ESENCIAL!A6:BG""),15,FALSE))"),"")</f>
        <v/>
      </c>
      <c r="AC193" s="110" t="str">
        <f ca="1">IFERROR(__xludf.DUMMYFUNCTION("IFERROR(VLOOKUP(E216&amp;F216,IMPORTRANGE(""https://docs.google.com/spreadsheets/d/1Uw7-A9f9R21vMXxHZFNpYNeKFtG8_yji4HS352LGlSQ/edit?pli=1#gid=0"",""1_ACUM!A4:S""),13,FALSE))"),"")</f>
        <v/>
      </c>
      <c r="AD193" s="43" t="str">
        <f ca="1">IFERROR(__xludf.DUMMYFUNCTION("IFERROR(VLOOKUP(E216&amp;F216,IMPORTRANGE(""https://docs.google.com/spreadsheets/d/1Uw7-A9f9R21vMXxHZFNpYNeKFtG8_yji4HS352LGlSQ/edit?pli=1#gid=0"",""1_ACUM!A4:S""),13,FALSE))"),"")</f>
        <v/>
      </c>
      <c r="AE193" s="43" t="str">
        <f ca="1">IFERROR(__xludf.DUMMYFUNCTION("IFERROR(VLOOKUP(E216&amp;F216,IMPORTRANGE(""https://docs.google.com/spreadsheets/d/1Uw7-A9f9R21vMXxHZFNpYNeKFtG8_yji4HS352LGlSQ/edit?pli=1#gid=0"",""1_ACUM!A4:S""),14,FALSE))"),"")</f>
        <v/>
      </c>
      <c r="AF193" s="43" t="str">
        <f ca="1">IFERROR(__xludf.DUMMYFUNCTION("IFERROR(VLOOKUP(E216&amp;F216,IMPORTRANGE(""https://docs.google.com/spreadsheets/d/1Uw7-A9f9R21vMXxHZFNpYNeKFtG8_yji4HS352LGlSQ/edit?pli=1#gid=0"",""1_ACUM!A4:S""),15,FALSE))"),"")</f>
        <v/>
      </c>
      <c r="AG193" s="43" t="str">
        <f ca="1">IFERROR(__xludf.DUMMYFUNCTION("IFERROR(VLOOKUP(E216&amp;F216,IMPORTRANGE(""https://docs.google.com/spreadsheets/d/1Uw7-A9f9R21vMXxHZFNpYNeKFtG8_yji4HS352LGlSQ/edit?pli=1#gid=0"",""1_ACUM!A4:S""),16,FALSE))"),"")</f>
        <v/>
      </c>
      <c r="AH193" s="43" t="str">
        <f ca="1">IFERROR(__xludf.DUMMYFUNCTION("IFERROR(VLOOKUP(E216&amp;F216,IMPORTRANGE(""https://docs.google.com/spreadsheets/d/1Uw7-A9f9R21vMXxHZFNpYNeKFtG8_yji4HS352LGlSQ/edit?pli=1#gid=0"",""1_ACUM!A4:S""),17,FALSE))"),"")</f>
        <v/>
      </c>
      <c r="AI193" s="44" t="str">
        <f ca="1">IFERROR(__xludf.DUMMYFUNCTION("IFERROR(VLOOKUP(E216&amp;F216,IMPORTRANGE(""https://docs.google.com/spreadsheets/d/1Uw7-A9f9R21vMXxHZFNpYNeKFtG8_yji4HS352LGlSQ/edit?pli=1#gid=0"",""1_ACUM!A4:S""),18,FALSE))"),"")</f>
        <v/>
      </c>
      <c r="AJ193" s="44" t="str">
        <f ca="1">IFERROR(__xludf.DUMMYFUNCTION("IFERROR(VLOOKUP(E216&amp;F216,IMPORTRANGE(""https://docs.google.com/spreadsheets/d/1Uw7-A9f9R21vMXxHZFNpYNeKFtG8_yji4HS352LGlSQ/edit?pli=1#gid=0"",""1_ACUM!A4:S""),19,FALSE))"),"")</f>
        <v/>
      </c>
      <c r="AK193" s="98" t="str">
        <f ca="1">IFERROR(__xludf.DUMMYFUNCTION("IFERROR(VLOOKUP(F216,IMPORTRANGE(""https://docs.google.com/spreadsheets/d/1Kvs4KS76FHFqLFIZfrDMff4kP08nblUkihrxltoGBjg/edit#gid=934712705"",""ESENCIAL!A6:BG""),5,FALSE))"),"")</f>
        <v/>
      </c>
      <c r="AL193" s="98" t="str">
        <f t="shared" si="13"/>
        <v/>
      </c>
      <c r="AM193" s="99" t="str">
        <f t="shared" si="14"/>
        <v/>
      </c>
      <c r="AN193" s="100" t="str">
        <f ca="1">IFERROR(__xludf.DUMMYFUNCTION("IFERROR(VLOOKUP(F216,IMPORTRANGE(""https://docs.google.com/spreadsheets/d/1Kvs4KS76FHFqLFIZfrDMff4kP08nblUkihrxltoGBjg/edit#gid=934712705"",""ESENCIAL!A6:BG""),2,FALSE))"),"")</f>
        <v/>
      </c>
      <c r="AO193" s="19" t="str">
        <f t="shared" si="15"/>
        <v/>
      </c>
      <c r="AP193" s="100"/>
      <c r="AQ193" s="100"/>
    </row>
    <row r="194" spans="1:43" ht="15">
      <c r="A194" s="101"/>
      <c r="B194" s="101"/>
      <c r="G194" s="5" t="str">
        <f ca="1">IFERROR(__xludf.DUMMYFUNCTION("IFERROR(VLOOKUP(F217,IMPORTRANGE(""https://docs.google.com/spreadsheets/d/1Kvs4KS76FHFqLFIZfrDMff4kP08nblUkihrxltoGBjg/edit#gid=934712705"",""ESENCIAL!A6:BG""),3,FALSE))"),"")</f>
        <v/>
      </c>
      <c r="H194" s="5" t="str">
        <f ca="1">IFERROR(__xludf.DUMMYFUNCTION("IFERROR(VLOOKUP(F217,IMPORTRANGE(""https://docs.google.com/spreadsheets/d/1Kvs4KS76FHFqLFIZfrDMff4kP08nblUkihrxltoGBjg/edit#gid=934712705"",""ESENCIAL!A6:BG""),8,FALSE))"),"")</f>
        <v/>
      </c>
      <c r="L194" s="287"/>
      <c r="Z194" s="41" t="str">
        <f t="shared" ref="Z194:Z257" si="16">IF(E194&gt;0,IF(AND(AH194=1,AE194=1),"Procede_E_P","NO_CUMPLE"),"")</f>
        <v/>
      </c>
      <c r="AA194" s="5" t="str">
        <f ca="1">IFERROR(__xludf.DUMMYFUNCTION("IFERROR(VLOOKUP(E217&amp;F217,IMPORTRANGE(""https://docs.google.com/spreadsheets/d/1Uw7-A9f9R21vMXxHZFNpYNeKFtG8_yji4HS352LGlSQ/edit?pli=1#gid=0"",""1_ACUM!A4:S""),11,FALSE))"),"")</f>
        <v/>
      </c>
      <c r="AB194" s="42" t="str">
        <f ca="1">IFERROR(__xludf.DUMMYFUNCTION("IFERROR(VLOOKUP(F217,IMPORTRANGE(""https://docs.google.com/spreadsheets/d/1Kvs4KS76FHFqLFIZfrDMff4kP08nblUkihrxltoGBjg/edit#gid=934712705"",""ESENCIAL!A6:BG""),15,FALSE))"),"")</f>
        <v/>
      </c>
      <c r="AC194" s="110" t="str">
        <f ca="1">IFERROR(__xludf.DUMMYFUNCTION("IFERROR(VLOOKUP(E217&amp;F217,IMPORTRANGE(""https://docs.google.com/spreadsheets/d/1Uw7-A9f9R21vMXxHZFNpYNeKFtG8_yji4HS352LGlSQ/edit?pli=1#gid=0"",""1_ACUM!A4:S""),13,FALSE))"),"")</f>
        <v/>
      </c>
      <c r="AD194" s="43" t="str">
        <f ca="1">IFERROR(__xludf.DUMMYFUNCTION("IFERROR(VLOOKUP(E217&amp;F217,IMPORTRANGE(""https://docs.google.com/spreadsheets/d/1Uw7-A9f9R21vMXxHZFNpYNeKFtG8_yji4HS352LGlSQ/edit?pli=1#gid=0"",""1_ACUM!A4:S""),13,FALSE))"),"")</f>
        <v/>
      </c>
      <c r="AE194" s="43" t="str">
        <f ca="1">IFERROR(__xludf.DUMMYFUNCTION("IFERROR(VLOOKUP(E217&amp;F217,IMPORTRANGE(""https://docs.google.com/spreadsheets/d/1Uw7-A9f9R21vMXxHZFNpYNeKFtG8_yji4HS352LGlSQ/edit?pli=1#gid=0"",""1_ACUM!A4:S""),14,FALSE))"),"")</f>
        <v/>
      </c>
      <c r="AF194" s="43" t="str">
        <f ca="1">IFERROR(__xludf.DUMMYFUNCTION("IFERROR(VLOOKUP(E217&amp;F217,IMPORTRANGE(""https://docs.google.com/spreadsheets/d/1Uw7-A9f9R21vMXxHZFNpYNeKFtG8_yji4HS352LGlSQ/edit?pli=1#gid=0"",""1_ACUM!A4:S""),15,FALSE))"),"")</f>
        <v/>
      </c>
      <c r="AG194" s="43" t="str">
        <f ca="1">IFERROR(__xludf.DUMMYFUNCTION("IFERROR(VLOOKUP(E217&amp;F217,IMPORTRANGE(""https://docs.google.com/spreadsheets/d/1Uw7-A9f9R21vMXxHZFNpYNeKFtG8_yji4HS352LGlSQ/edit?pli=1#gid=0"",""1_ACUM!A4:S""),16,FALSE))"),"")</f>
        <v/>
      </c>
      <c r="AH194" s="43" t="str">
        <f ca="1">IFERROR(__xludf.DUMMYFUNCTION("IFERROR(VLOOKUP(E217&amp;F217,IMPORTRANGE(""https://docs.google.com/spreadsheets/d/1Uw7-A9f9R21vMXxHZFNpYNeKFtG8_yji4HS352LGlSQ/edit?pli=1#gid=0"",""1_ACUM!A4:S""),17,FALSE))"),"")</f>
        <v/>
      </c>
      <c r="AI194" s="44" t="str">
        <f ca="1">IFERROR(__xludf.DUMMYFUNCTION("IFERROR(VLOOKUP(E217&amp;F217,IMPORTRANGE(""https://docs.google.com/spreadsheets/d/1Uw7-A9f9R21vMXxHZFNpYNeKFtG8_yji4HS352LGlSQ/edit?pli=1#gid=0"",""1_ACUM!A4:S""),18,FALSE))"),"")</f>
        <v/>
      </c>
      <c r="AJ194" s="44" t="str">
        <f ca="1">IFERROR(__xludf.DUMMYFUNCTION("IFERROR(VLOOKUP(E217&amp;F217,IMPORTRANGE(""https://docs.google.com/spreadsheets/d/1Uw7-A9f9R21vMXxHZFNpYNeKFtG8_yji4HS352LGlSQ/edit?pli=1#gid=0"",""1_ACUM!A4:S""),19,FALSE))"),"")</f>
        <v/>
      </c>
      <c r="AK194" s="98" t="str">
        <f ca="1">IFERROR(__xludf.DUMMYFUNCTION("IFERROR(VLOOKUP(F217,IMPORTRANGE(""https://docs.google.com/spreadsheets/d/1Kvs4KS76FHFqLFIZfrDMff4kP08nblUkihrxltoGBjg/edit#gid=934712705"",""ESENCIAL!A6:BG""),5,FALSE))"),"")</f>
        <v/>
      </c>
      <c r="AL194" s="98" t="str">
        <f t="shared" ref="AL194:AL257" si="17">IF(F194&gt;0,EDATE(AK194,18),"")</f>
        <v/>
      </c>
      <c r="AM194" s="99" t="str">
        <f t="shared" ref="AM194:AM257" si="18">IF(F194&gt;0,IF(AL194&lt;$AM$1,"FINALIZAR FICHA","FICHA EN TIEMPO-18 MESES"),"")</f>
        <v/>
      </c>
      <c r="AN194" s="100" t="str">
        <f ca="1">IFERROR(__xludf.DUMMYFUNCTION("IFERROR(VLOOKUP(F217,IMPORTRANGE(""https://docs.google.com/spreadsheets/d/1Kvs4KS76FHFqLFIZfrDMff4kP08nblUkihrxltoGBjg/edit#gid=934712705"",""ESENCIAL!A6:BG""),2,FALSE))"),"")</f>
        <v/>
      </c>
      <c r="AO194" s="19" t="str">
        <f t="shared" ref="AO194:AO234" si="19">IF(F194&gt;0,"Yamboro","")</f>
        <v/>
      </c>
      <c r="AP194" s="100"/>
      <c r="AQ194" s="100"/>
    </row>
    <row r="195" spans="1:43" ht="15">
      <c r="A195" s="101"/>
      <c r="B195" s="101"/>
      <c r="G195" s="5" t="str">
        <f ca="1">IFERROR(__xludf.DUMMYFUNCTION("IFERROR(VLOOKUP(F218,IMPORTRANGE(""https://docs.google.com/spreadsheets/d/1Kvs4KS76FHFqLFIZfrDMff4kP08nblUkihrxltoGBjg/edit#gid=934712705"",""ESENCIAL!A6:BG""),3,FALSE))"),"")</f>
        <v/>
      </c>
      <c r="H195" s="5" t="str">
        <f ca="1">IFERROR(__xludf.DUMMYFUNCTION("IFERROR(VLOOKUP(F218,IMPORTRANGE(""https://docs.google.com/spreadsheets/d/1Kvs4KS76FHFqLFIZfrDMff4kP08nblUkihrxltoGBjg/edit#gid=934712705"",""ESENCIAL!A6:BG""),8,FALSE))"),"")</f>
        <v/>
      </c>
      <c r="L195" s="287"/>
      <c r="Z195" s="41" t="str">
        <f t="shared" si="16"/>
        <v/>
      </c>
      <c r="AA195" s="5" t="str">
        <f ca="1">IFERROR(__xludf.DUMMYFUNCTION("IFERROR(VLOOKUP(E218&amp;F218,IMPORTRANGE(""https://docs.google.com/spreadsheets/d/1Uw7-A9f9R21vMXxHZFNpYNeKFtG8_yji4HS352LGlSQ/edit?pli=1#gid=0"",""1_ACUM!A4:S""),11,FALSE))"),"")</f>
        <v/>
      </c>
      <c r="AB195" s="42" t="str">
        <f ca="1">IFERROR(__xludf.DUMMYFUNCTION("IFERROR(VLOOKUP(F218,IMPORTRANGE(""https://docs.google.com/spreadsheets/d/1Kvs4KS76FHFqLFIZfrDMff4kP08nblUkihrxltoGBjg/edit#gid=934712705"",""ESENCIAL!A6:BG""),15,FALSE))"),"")</f>
        <v/>
      </c>
      <c r="AC195" s="110" t="str">
        <f ca="1">IFERROR(__xludf.DUMMYFUNCTION("IFERROR(VLOOKUP(E218&amp;F218,IMPORTRANGE(""https://docs.google.com/spreadsheets/d/1Uw7-A9f9R21vMXxHZFNpYNeKFtG8_yji4HS352LGlSQ/edit?pli=1#gid=0"",""1_ACUM!A4:S""),13,FALSE))"),"")</f>
        <v/>
      </c>
      <c r="AD195" s="43" t="str">
        <f ca="1">IFERROR(__xludf.DUMMYFUNCTION("IFERROR(VLOOKUP(E218&amp;F218,IMPORTRANGE(""https://docs.google.com/spreadsheets/d/1Uw7-A9f9R21vMXxHZFNpYNeKFtG8_yji4HS352LGlSQ/edit?pli=1#gid=0"",""1_ACUM!A4:S""),13,FALSE))"),"")</f>
        <v/>
      </c>
      <c r="AE195" s="43" t="str">
        <f ca="1">IFERROR(__xludf.DUMMYFUNCTION("IFERROR(VLOOKUP(E218&amp;F218,IMPORTRANGE(""https://docs.google.com/spreadsheets/d/1Uw7-A9f9R21vMXxHZFNpYNeKFtG8_yji4HS352LGlSQ/edit?pli=1#gid=0"",""1_ACUM!A4:S""),14,FALSE))"),"")</f>
        <v/>
      </c>
      <c r="AF195" s="43" t="str">
        <f ca="1">IFERROR(__xludf.DUMMYFUNCTION("IFERROR(VLOOKUP(E218&amp;F218,IMPORTRANGE(""https://docs.google.com/spreadsheets/d/1Uw7-A9f9R21vMXxHZFNpYNeKFtG8_yji4HS352LGlSQ/edit?pli=1#gid=0"",""1_ACUM!A4:S""),15,FALSE))"),"")</f>
        <v/>
      </c>
      <c r="AG195" s="43" t="str">
        <f ca="1">IFERROR(__xludf.DUMMYFUNCTION("IFERROR(VLOOKUP(E218&amp;F218,IMPORTRANGE(""https://docs.google.com/spreadsheets/d/1Uw7-A9f9R21vMXxHZFNpYNeKFtG8_yji4HS352LGlSQ/edit?pli=1#gid=0"",""1_ACUM!A4:S""),16,FALSE))"),"")</f>
        <v/>
      </c>
      <c r="AH195" s="43" t="str">
        <f ca="1">IFERROR(__xludf.DUMMYFUNCTION("IFERROR(VLOOKUP(E218&amp;F218,IMPORTRANGE(""https://docs.google.com/spreadsheets/d/1Uw7-A9f9R21vMXxHZFNpYNeKFtG8_yji4HS352LGlSQ/edit?pli=1#gid=0"",""1_ACUM!A4:S""),17,FALSE))"),"")</f>
        <v/>
      </c>
      <c r="AI195" s="44" t="str">
        <f ca="1">IFERROR(__xludf.DUMMYFUNCTION("IFERROR(VLOOKUP(E218&amp;F218,IMPORTRANGE(""https://docs.google.com/spreadsheets/d/1Uw7-A9f9R21vMXxHZFNpYNeKFtG8_yji4HS352LGlSQ/edit?pli=1#gid=0"",""1_ACUM!A4:S""),18,FALSE))"),"")</f>
        <v/>
      </c>
      <c r="AJ195" s="44" t="str">
        <f ca="1">IFERROR(__xludf.DUMMYFUNCTION("IFERROR(VLOOKUP(E218&amp;F218,IMPORTRANGE(""https://docs.google.com/spreadsheets/d/1Uw7-A9f9R21vMXxHZFNpYNeKFtG8_yji4HS352LGlSQ/edit?pli=1#gid=0"",""1_ACUM!A4:S""),19,FALSE))"),"")</f>
        <v/>
      </c>
      <c r="AK195" s="98" t="str">
        <f ca="1">IFERROR(__xludf.DUMMYFUNCTION("IFERROR(VLOOKUP(F218,IMPORTRANGE(""https://docs.google.com/spreadsheets/d/1Kvs4KS76FHFqLFIZfrDMff4kP08nblUkihrxltoGBjg/edit#gid=934712705"",""ESENCIAL!A6:BG""),5,FALSE))"),"")</f>
        <v/>
      </c>
      <c r="AL195" s="98" t="str">
        <f t="shared" si="17"/>
        <v/>
      </c>
      <c r="AM195" s="99" t="str">
        <f t="shared" si="18"/>
        <v/>
      </c>
      <c r="AN195" s="100" t="str">
        <f ca="1">IFERROR(__xludf.DUMMYFUNCTION("IFERROR(VLOOKUP(F218,IMPORTRANGE(""https://docs.google.com/spreadsheets/d/1Kvs4KS76FHFqLFIZfrDMff4kP08nblUkihrxltoGBjg/edit#gid=934712705"",""ESENCIAL!A6:BG""),2,FALSE))"),"")</f>
        <v/>
      </c>
      <c r="AO195" s="19" t="str">
        <f t="shared" si="19"/>
        <v/>
      </c>
      <c r="AP195" s="100"/>
      <c r="AQ195" s="100"/>
    </row>
    <row r="196" spans="1:43" ht="15">
      <c r="A196" s="101"/>
      <c r="B196" s="101"/>
      <c r="G196" s="5" t="str">
        <f ca="1">IFERROR(__xludf.DUMMYFUNCTION("IFERROR(VLOOKUP(F219,IMPORTRANGE(""https://docs.google.com/spreadsheets/d/1Kvs4KS76FHFqLFIZfrDMff4kP08nblUkihrxltoGBjg/edit#gid=934712705"",""ESENCIAL!A6:BG""),3,FALSE))"),"")</f>
        <v/>
      </c>
      <c r="H196" s="5" t="str">
        <f ca="1">IFERROR(__xludf.DUMMYFUNCTION("IFERROR(VLOOKUP(F219,IMPORTRANGE(""https://docs.google.com/spreadsheets/d/1Kvs4KS76FHFqLFIZfrDMff4kP08nblUkihrxltoGBjg/edit#gid=934712705"",""ESENCIAL!A6:BG""),8,FALSE))"),"")</f>
        <v/>
      </c>
      <c r="L196" s="287"/>
      <c r="Z196" s="41" t="str">
        <f t="shared" si="16"/>
        <v/>
      </c>
      <c r="AA196" s="5" t="str">
        <f ca="1">IFERROR(__xludf.DUMMYFUNCTION("IFERROR(VLOOKUP(E219&amp;F219,IMPORTRANGE(""https://docs.google.com/spreadsheets/d/1Uw7-A9f9R21vMXxHZFNpYNeKFtG8_yji4HS352LGlSQ/edit?pli=1#gid=0"",""1_ACUM!A4:S""),11,FALSE))"),"")</f>
        <v/>
      </c>
      <c r="AB196" s="42" t="str">
        <f ca="1">IFERROR(__xludf.DUMMYFUNCTION("IFERROR(VLOOKUP(F219,IMPORTRANGE(""https://docs.google.com/spreadsheets/d/1Kvs4KS76FHFqLFIZfrDMff4kP08nblUkihrxltoGBjg/edit#gid=934712705"",""ESENCIAL!A6:BG""),15,FALSE))"),"")</f>
        <v/>
      </c>
      <c r="AC196" s="110" t="str">
        <f ca="1">IFERROR(__xludf.DUMMYFUNCTION("IFERROR(VLOOKUP(E219&amp;F219,IMPORTRANGE(""https://docs.google.com/spreadsheets/d/1Uw7-A9f9R21vMXxHZFNpYNeKFtG8_yji4HS352LGlSQ/edit?pli=1#gid=0"",""1_ACUM!A4:S""),13,FALSE))"),"")</f>
        <v/>
      </c>
      <c r="AD196" s="43" t="str">
        <f ca="1">IFERROR(__xludf.DUMMYFUNCTION("IFERROR(VLOOKUP(E219&amp;F219,IMPORTRANGE(""https://docs.google.com/spreadsheets/d/1Uw7-A9f9R21vMXxHZFNpYNeKFtG8_yji4HS352LGlSQ/edit?pli=1#gid=0"",""1_ACUM!A4:S""),13,FALSE))"),"")</f>
        <v/>
      </c>
      <c r="AE196" s="43" t="str">
        <f ca="1">IFERROR(__xludf.DUMMYFUNCTION("IFERROR(VLOOKUP(E219&amp;F219,IMPORTRANGE(""https://docs.google.com/spreadsheets/d/1Uw7-A9f9R21vMXxHZFNpYNeKFtG8_yji4HS352LGlSQ/edit?pli=1#gid=0"",""1_ACUM!A4:S""),14,FALSE))"),"")</f>
        <v/>
      </c>
      <c r="AF196" s="43" t="str">
        <f ca="1">IFERROR(__xludf.DUMMYFUNCTION("IFERROR(VLOOKUP(E219&amp;F219,IMPORTRANGE(""https://docs.google.com/spreadsheets/d/1Uw7-A9f9R21vMXxHZFNpYNeKFtG8_yji4HS352LGlSQ/edit?pli=1#gid=0"",""1_ACUM!A4:S""),15,FALSE))"),"")</f>
        <v/>
      </c>
      <c r="AG196" s="43" t="str">
        <f ca="1">IFERROR(__xludf.DUMMYFUNCTION("IFERROR(VLOOKUP(E219&amp;F219,IMPORTRANGE(""https://docs.google.com/spreadsheets/d/1Uw7-A9f9R21vMXxHZFNpYNeKFtG8_yji4HS352LGlSQ/edit?pli=1#gid=0"",""1_ACUM!A4:S""),16,FALSE))"),"")</f>
        <v/>
      </c>
      <c r="AH196" s="43" t="str">
        <f ca="1">IFERROR(__xludf.DUMMYFUNCTION("IFERROR(VLOOKUP(E219&amp;F219,IMPORTRANGE(""https://docs.google.com/spreadsheets/d/1Uw7-A9f9R21vMXxHZFNpYNeKFtG8_yji4HS352LGlSQ/edit?pli=1#gid=0"",""1_ACUM!A4:S""),17,FALSE))"),"")</f>
        <v/>
      </c>
      <c r="AI196" s="44" t="str">
        <f ca="1">IFERROR(__xludf.DUMMYFUNCTION("IFERROR(VLOOKUP(E219&amp;F219,IMPORTRANGE(""https://docs.google.com/spreadsheets/d/1Uw7-A9f9R21vMXxHZFNpYNeKFtG8_yji4HS352LGlSQ/edit?pli=1#gid=0"",""1_ACUM!A4:S""),18,FALSE))"),"")</f>
        <v/>
      </c>
      <c r="AJ196" s="44" t="str">
        <f ca="1">IFERROR(__xludf.DUMMYFUNCTION("IFERROR(VLOOKUP(E219&amp;F219,IMPORTRANGE(""https://docs.google.com/spreadsheets/d/1Uw7-A9f9R21vMXxHZFNpYNeKFtG8_yji4HS352LGlSQ/edit?pli=1#gid=0"",""1_ACUM!A4:S""),19,FALSE))"),"")</f>
        <v/>
      </c>
      <c r="AK196" s="98" t="str">
        <f ca="1">IFERROR(__xludf.DUMMYFUNCTION("IFERROR(VLOOKUP(F219,IMPORTRANGE(""https://docs.google.com/spreadsheets/d/1Kvs4KS76FHFqLFIZfrDMff4kP08nblUkihrxltoGBjg/edit#gid=934712705"",""ESENCIAL!A6:BG""),5,FALSE))"),"")</f>
        <v/>
      </c>
      <c r="AL196" s="98" t="str">
        <f t="shared" si="17"/>
        <v/>
      </c>
      <c r="AM196" s="99" t="str">
        <f t="shared" si="18"/>
        <v/>
      </c>
      <c r="AN196" s="100" t="str">
        <f ca="1">IFERROR(__xludf.DUMMYFUNCTION("IFERROR(VLOOKUP(F219,IMPORTRANGE(""https://docs.google.com/spreadsheets/d/1Kvs4KS76FHFqLFIZfrDMff4kP08nblUkihrxltoGBjg/edit#gid=934712705"",""ESENCIAL!A6:BG""),2,FALSE))"),"")</f>
        <v/>
      </c>
      <c r="AO196" s="19" t="str">
        <f t="shared" si="19"/>
        <v/>
      </c>
      <c r="AP196" s="100"/>
      <c r="AQ196" s="100"/>
    </row>
    <row r="197" spans="1:43" ht="15">
      <c r="A197" s="101"/>
      <c r="B197" s="101"/>
      <c r="G197" s="5" t="str">
        <f ca="1">IFERROR(__xludf.DUMMYFUNCTION("IFERROR(VLOOKUP(F220,IMPORTRANGE(""https://docs.google.com/spreadsheets/d/1Kvs4KS76FHFqLFIZfrDMff4kP08nblUkihrxltoGBjg/edit#gid=934712705"",""ESENCIAL!A6:BG""),3,FALSE))"),"")</f>
        <v/>
      </c>
      <c r="H197" s="5" t="str">
        <f ca="1">IFERROR(__xludf.DUMMYFUNCTION("IFERROR(VLOOKUP(F220,IMPORTRANGE(""https://docs.google.com/spreadsheets/d/1Kvs4KS76FHFqLFIZfrDMff4kP08nblUkihrxltoGBjg/edit#gid=934712705"",""ESENCIAL!A6:BG""),8,FALSE))"),"")</f>
        <v/>
      </c>
      <c r="L197" s="287"/>
      <c r="Z197" s="41" t="str">
        <f t="shared" si="16"/>
        <v/>
      </c>
      <c r="AA197" s="5" t="str">
        <f ca="1">IFERROR(__xludf.DUMMYFUNCTION("IFERROR(VLOOKUP(E220&amp;F220,IMPORTRANGE(""https://docs.google.com/spreadsheets/d/1Uw7-A9f9R21vMXxHZFNpYNeKFtG8_yji4HS352LGlSQ/edit?pli=1#gid=0"",""1_ACUM!A4:S""),11,FALSE))"),"")</f>
        <v/>
      </c>
      <c r="AB197" s="42" t="str">
        <f ca="1">IFERROR(__xludf.DUMMYFUNCTION("IFERROR(VLOOKUP(F220,IMPORTRANGE(""https://docs.google.com/spreadsheets/d/1Kvs4KS76FHFqLFIZfrDMff4kP08nblUkihrxltoGBjg/edit#gid=934712705"",""ESENCIAL!A6:BG""),15,FALSE))"),"")</f>
        <v/>
      </c>
      <c r="AC197" s="110" t="str">
        <f ca="1">IFERROR(__xludf.DUMMYFUNCTION("IFERROR(VLOOKUP(E220&amp;F220,IMPORTRANGE(""https://docs.google.com/spreadsheets/d/1Uw7-A9f9R21vMXxHZFNpYNeKFtG8_yji4HS352LGlSQ/edit?pli=1#gid=0"",""1_ACUM!A4:S""),13,FALSE))"),"")</f>
        <v/>
      </c>
      <c r="AD197" s="43" t="str">
        <f ca="1">IFERROR(__xludf.DUMMYFUNCTION("IFERROR(VLOOKUP(E220&amp;F220,IMPORTRANGE(""https://docs.google.com/spreadsheets/d/1Uw7-A9f9R21vMXxHZFNpYNeKFtG8_yji4HS352LGlSQ/edit?pli=1#gid=0"",""1_ACUM!A4:S""),13,FALSE))"),"")</f>
        <v/>
      </c>
      <c r="AE197" s="43" t="str">
        <f ca="1">IFERROR(__xludf.DUMMYFUNCTION("IFERROR(VLOOKUP(E220&amp;F220,IMPORTRANGE(""https://docs.google.com/spreadsheets/d/1Uw7-A9f9R21vMXxHZFNpYNeKFtG8_yji4HS352LGlSQ/edit?pli=1#gid=0"",""1_ACUM!A4:S""),14,FALSE))"),"")</f>
        <v/>
      </c>
      <c r="AF197" s="43" t="str">
        <f ca="1">IFERROR(__xludf.DUMMYFUNCTION("IFERROR(VLOOKUP(E220&amp;F220,IMPORTRANGE(""https://docs.google.com/spreadsheets/d/1Uw7-A9f9R21vMXxHZFNpYNeKFtG8_yji4HS352LGlSQ/edit?pli=1#gid=0"",""1_ACUM!A4:S""),15,FALSE))"),"")</f>
        <v/>
      </c>
      <c r="AG197" s="43" t="str">
        <f ca="1">IFERROR(__xludf.DUMMYFUNCTION("IFERROR(VLOOKUP(E220&amp;F220,IMPORTRANGE(""https://docs.google.com/spreadsheets/d/1Uw7-A9f9R21vMXxHZFNpYNeKFtG8_yji4HS352LGlSQ/edit?pli=1#gid=0"",""1_ACUM!A4:S""),16,FALSE))"),"")</f>
        <v/>
      </c>
      <c r="AH197" s="43" t="str">
        <f ca="1">IFERROR(__xludf.DUMMYFUNCTION("IFERROR(VLOOKUP(E220&amp;F220,IMPORTRANGE(""https://docs.google.com/spreadsheets/d/1Uw7-A9f9R21vMXxHZFNpYNeKFtG8_yji4HS352LGlSQ/edit?pli=1#gid=0"",""1_ACUM!A4:S""),17,FALSE))"),"")</f>
        <v/>
      </c>
      <c r="AI197" s="44" t="str">
        <f ca="1">IFERROR(__xludf.DUMMYFUNCTION("IFERROR(VLOOKUP(E220&amp;F220,IMPORTRANGE(""https://docs.google.com/spreadsheets/d/1Uw7-A9f9R21vMXxHZFNpYNeKFtG8_yji4HS352LGlSQ/edit?pli=1#gid=0"",""1_ACUM!A4:S""),18,FALSE))"),"")</f>
        <v/>
      </c>
      <c r="AJ197" s="44" t="str">
        <f ca="1">IFERROR(__xludf.DUMMYFUNCTION("IFERROR(VLOOKUP(E220&amp;F220,IMPORTRANGE(""https://docs.google.com/spreadsheets/d/1Uw7-A9f9R21vMXxHZFNpYNeKFtG8_yji4HS352LGlSQ/edit?pli=1#gid=0"",""1_ACUM!A4:S""),19,FALSE))"),"")</f>
        <v/>
      </c>
      <c r="AK197" s="98" t="str">
        <f ca="1">IFERROR(__xludf.DUMMYFUNCTION("IFERROR(VLOOKUP(F220,IMPORTRANGE(""https://docs.google.com/spreadsheets/d/1Kvs4KS76FHFqLFIZfrDMff4kP08nblUkihrxltoGBjg/edit#gid=934712705"",""ESENCIAL!A6:BG""),5,FALSE))"),"")</f>
        <v/>
      </c>
      <c r="AL197" s="98" t="str">
        <f t="shared" si="17"/>
        <v/>
      </c>
      <c r="AM197" s="99" t="str">
        <f t="shared" si="18"/>
        <v/>
      </c>
      <c r="AN197" s="100" t="str">
        <f ca="1">IFERROR(__xludf.DUMMYFUNCTION("IFERROR(VLOOKUP(F220,IMPORTRANGE(""https://docs.google.com/spreadsheets/d/1Kvs4KS76FHFqLFIZfrDMff4kP08nblUkihrxltoGBjg/edit#gid=934712705"",""ESENCIAL!A6:BG""),2,FALSE))"),"")</f>
        <v/>
      </c>
      <c r="AO197" s="19" t="str">
        <f t="shared" si="19"/>
        <v/>
      </c>
      <c r="AP197" s="100"/>
      <c r="AQ197" s="100"/>
    </row>
    <row r="198" spans="1:43" ht="15">
      <c r="A198" s="101"/>
      <c r="B198" s="101"/>
      <c r="G198" s="5" t="str">
        <f ca="1">IFERROR(__xludf.DUMMYFUNCTION("IFERROR(VLOOKUP(F221,IMPORTRANGE(""https://docs.google.com/spreadsheets/d/1Kvs4KS76FHFqLFIZfrDMff4kP08nblUkihrxltoGBjg/edit#gid=934712705"",""ESENCIAL!A6:BG""),3,FALSE))"),"")</f>
        <v/>
      </c>
      <c r="H198" s="5" t="str">
        <f ca="1">IFERROR(__xludf.DUMMYFUNCTION("IFERROR(VLOOKUP(F221,IMPORTRANGE(""https://docs.google.com/spreadsheets/d/1Kvs4KS76FHFqLFIZfrDMff4kP08nblUkihrxltoGBjg/edit#gid=934712705"",""ESENCIAL!A6:BG""),8,FALSE))"),"")</f>
        <v/>
      </c>
      <c r="L198" s="287"/>
      <c r="Z198" s="41" t="str">
        <f t="shared" si="16"/>
        <v/>
      </c>
      <c r="AA198" s="5" t="str">
        <f ca="1">IFERROR(__xludf.DUMMYFUNCTION("IFERROR(VLOOKUP(E221&amp;F221,IMPORTRANGE(""https://docs.google.com/spreadsheets/d/1Uw7-A9f9R21vMXxHZFNpYNeKFtG8_yji4HS352LGlSQ/edit?pli=1#gid=0"",""1_ACUM!A4:S""),11,FALSE))"),"")</f>
        <v/>
      </c>
      <c r="AB198" s="42" t="str">
        <f ca="1">IFERROR(__xludf.DUMMYFUNCTION("IFERROR(VLOOKUP(F221,IMPORTRANGE(""https://docs.google.com/spreadsheets/d/1Kvs4KS76FHFqLFIZfrDMff4kP08nblUkihrxltoGBjg/edit#gid=934712705"",""ESENCIAL!A6:BG""),15,FALSE))"),"")</f>
        <v/>
      </c>
      <c r="AC198" s="110" t="str">
        <f ca="1">IFERROR(__xludf.DUMMYFUNCTION("IFERROR(VLOOKUP(E221&amp;F221,IMPORTRANGE(""https://docs.google.com/spreadsheets/d/1Uw7-A9f9R21vMXxHZFNpYNeKFtG8_yji4HS352LGlSQ/edit?pli=1#gid=0"",""1_ACUM!A4:S""),13,FALSE))"),"")</f>
        <v/>
      </c>
      <c r="AD198" s="43" t="str">
        <f ca="1">IFERROR(__xludf.DUMMYFUNCTION("IFERROR(VLOOKUP(E221&amp;F221,IMPORTRANGE(""https://docs.google.com/spreadsheets/d/1Uw7-A9f9R21vMXxHZFNpYNeKFtG8_yji4HS352LGlSQ/edit?pli=1#gid=0"",""1_ACUM!A4:S""),13,FALSE))"),"")</f>
        <v/>
      </c>
      <c r="AE198" s="43" t="str">
        <f ca="1">IFERROR(__xludf.DUMMYFUNCTION("IFERROR(VLOOKUP(E221&amp;F221,IMPORTRANGE(""https://docs.google.com/spreadsheets/d/1Uw7-A9f9R21vMXxHZFNpYNeKFtG8_yji4HS352LGlSQ/edit?pli=1#gid=0"",""1_ACUM!A4:S""),14,FALSE))"),"")</f>
        <v/>
      </c>
      <c r="AF198" s="43" t="str">
        <f ca="1">IFERROR(__xludf.DUMMYFUNCTION("IFERROR(VLOOKUP(E221&amp;F221,IMPORTRANGE(""https://docs.google.com/spreadsheets/d/1Uw7-A9f9R21vMXxHZFNpYNeKFtG8_yji4HS352LGlSQ/edit?pli=1#gid=0"",""1_ACUM!A4:S""),15,FALSE))"),"")</f>
        <v/>
      </c>
      <c r="AG198" s="43" t="str">
        <f ca="1">IFERROR(__xludf.DUMMYFUNCTION("IFERROR(VLOOKUP(E221&amp;F221,IMPORTRANGE(""https://docs.google.com/spreadsheets/d/1Uw7-A9f9R21vMXxHZFNpYNeKFtG8_yji4HS352LGlSQ/edit?pli=1#gid=0"",""1_ACUM!A4:S""),16,FALSE))"),"")</f>
        <v/>
      </c>
      <c r="AH198" s="43" t="str">
        <f ca="1">IFERROR(__xludf.DUMMYFUNCTION("IFERROR(VLOOKUP(E221&amp;F221,IMPORTRANGE(""https://docs.google.com/spreadsheets/d/1Uw7-A9f9R21vMXxHZFNpYNeKFtG8_yji4HS352LGlSQ/edit?pli=1#gid=0"",""1_ACUM!A4:S""),17,FALSE))"),"")</f>
        <v/>
      </c>
      <c r="AI198" s="44" t="str">
        <f ca="1">IFERROR(__xludf.DUMMYFUNCTION("IFERROR(VLOOKUP(E221&amp;F221,IMPORTRANGE(""https://docs.google.com/spreadsheets/d/1Uw7-A9f9R21vMXxHZFNpYNeKFtG8_yji4HS352LGlSQ/edit?pli=1#gid=0"",""1_ACUM!A4:S""),18,FALSE))"),"")</f>
        <v/>
      </c>
      <c r="AJ198" s="44" t="str">
        <f ca="1">IFERROR(__xludf.DUMMYFUNCTION("IFERROR(VLOOKUP(E221&amp;F221,IMPORTRANGE(""https://docs.google.com/spreadsheets/d/1Uw7-A9f9R21vMXxHZFNpYNeKFtG8_yji4HS352LGlSQ/edit?pli=1#gid=0"",""1_ACUM!A4:S""),19,FALSE))"),"")</f>
        <v/>
      </c>
      <c r="AK198" s="98" t="str">
        <f ca="1">IFERROR(__xludf.DUMMYFUNCTION("IFERROR(VLOOKUP(F221,IMPORTRANGE(""https://docs.google.com/spreadsheets/d/1Kvs4KS76FHFqLFIZfrDMff4kP08nblUkihrxltoGBjg/edit#gid=934712705"",""ESENCIAL!A6:BG""),5,FALSE))"),"")</f>
        <v/>
      </c>
      <c r="AL198" s="98" t="str">
        <f t="shared" si="17"/>
        <v/>
      </c>
      <c r="AM198" s="99" t="str">
        <f t="shared" si="18"/>
        <v/>
      </c>
      <c r="AN198" s="100" t="str">
        <f ca="1">IFERROR(__xludf.DUMMYFUNCTION("IFERROR(VLOOKUP(F221,IMPORTRANGE(""https://docs.google.com/spreadsheets/d/1Kvs4KS76FHFqLFIZfrDMff4kP08nblUkihrxltoGBjg/edit#gid=934712705"",""ESENCIAL!A6:BG""),2,FALSE))"),"")</f>
        <v/>
      </c>
      <c r="AO198" s="19" t="str">
        <f t="shared" si="19"/>
        <v/>
      </c>
      <c r="AP198" s="100"/>
      <c r="AQ198" s="100"/>
    </row>
    <row r="199" spans="1:43" ht="15">
      <c r="A199" s="101"/>
      <c r="B199" s="101"/>
      <c r="G199" s="5" t="str">
        <f ca="1">IFERROR(__xludf.DUMMYFUNCTION("IFERROR(VLOOKUP(F222,IMPORTRANGE(""https://docs.google.com/spreadsheets/d/1Kvs4KS76FHFqLFIZfrDMff4kP08nblUkihrxltoGBjg/edit#gid=934712705"",""ESENCIAL!A6:BG""),3,FALSE))"),"")</f>
        <v/>
      </c>
      <c r="H199" s="5" t="str">
        <f ca="1">IFERROR(__xludf.DUMMYFUNCTION("IFERROR(VLOOKUP(F222,IMPORTRANGE(""https://docs.google.com/spreadsheets/d/1Kvs4KS76FHFqLFIZfrDMff4kP08nblUkihrxltoGBjg/edit#gid=934712705"",""ESENCIAL!A6:BG""),8,FALSE))"),"")</f>
        <v/>
      </c>
      <c r="L199" s="287"/>
      <c r="Z199" s="41" t="str">
        <f t="shared" si="16"/>
        <v/>
      </c>
      <c r="AA199" s="5" t="str">
        <f ca="1">IFERROR(__xludf.DUMMYFUNCTION("IFERROR(VLOOKUP(E222&amp;F222,IMPORTRANGE(""https://docs.google.com/spreadsheets/d/1Uw7-A9f9R21vMXxHZFNpYNeKFtG8_yji4HS352LGlSQ/edit?pli=1#gid=0"",""1_ACUM!A4:S""),11,FALSE))"),"")</f>
        <v/>
      </c>
      <c r="AB199" s="42" t="str">
        <f ca="1">IFERROR(__xludf.DUMMYFUNCTION("IFERROR(VLOOKUP(F222,IMPORTRANGE(""https://docs.google.com/spreadsheets/d/1Kvs4KS76FHFqLFIZfrDMff4kP08nblUkihrxltoGBjg/edit#gid=934712705"",""ESENCIAL!A6:BG""),15,FALSE))"),"")</f>
        <v/>
      </c>
      <c r="AC199" s="110" t="str">
        <f ca="1">IFERROR(__xludf.DUMMYFUNCTION("IFERROR(VLOOKUP(E222&amp;F222,IMPORTRANGE(""https://docs.google.com/spreadsheets/d/1Uw7-A9f9R21vMXxHZFNpYNeKFtG8_yji4HS352LGlSQ/edit?pli=1#gid=0"",""1_ACUM!A4:S""),13,FALSE))"),"")</f>
        <v/>
      </c>
      <c r="AD199" s="43" t="str">
        <f ca="1">IFERROR(__xludf.DUMMYFUNCTION("IFERROR(VLOOKUP(E222&amp;F222,IMPORTRANGE(""https://docs.google.com/spreadsheets/d/1Uw7-A9f9R21vMXxHZFNpYNeKFtG8_yji4HS352LGlSQ/edit?pli=1#gid=0"",""1_ACUM!A4:S""),13,FALSE))"),"")</f>
        <v/>
      </c>
      <c r="AE199" s="43" t="str">
        <f ca="1">IFERROR(__xludf.DUMMYFUNCTION("IFERROR(VLOOKUP(E222&amp;F222,IMPORTRANGE(""https://docs.google.com/spreadsheets/d/1Uw7-A9f9R21vMXxHZFNpYNeKFtG8_yji4HS352LGlSQ/edit?pli=1#gid=0"",""1_ACUM!A4:S""),14,FALSE))"),"")</f>
        <v/>
      </c>
      <c r="AF199" s="43" t="str">
        <f ca="1">IFERROR(__xludf.DUMMYFUNCTION("IFERROR(VLOOKUP(E222&amp;F222,IMPORTRANGE(""https://docs.google.com/spreadsheets/d/1Uw7-A9f9R21vMXxHZFNpYNeKFtG8_yji4HS352LGlSQ/edit?pli=1#gid=0"",""1_ACUM!A4:S""),15,FALSE))"),"")</f>
        <v/>
      </c>
      <c r="AG199" s="43" t="str">
        <f ca="1">IFERROR(__xludf.DUMMYFUNCTION("IFERROR(VLOOKUP(E222&amp;F222,IMPORTRANGE(""https://docs.google.com/spreadsheets/d/1Uw7-A9f9R21vMXxHZFNpYNeKFtG8_yji4HS352LGlSQ/edit?pli=1#gid=0"",""1_ACUM!A4:S""),16,FALSE))"),"")</f>
        <v/>
      </c>
      <c r="AH199" s="43" t="str">
        <f ca="1">IFERROR(__xludf.DUMMYFUNCTION("IFERROR(VLOOKUP(E222&amp;F222,IMPORTRANGE(""https://docs.google.com/spreadsheets/d/1Uw7-A9f9R21vMXxHZFNpYNeKFtG8_yji4HS352LGlSQ/edit?pli=1#gid=0"",""1_ACUM!A4:S""),17,FALSE))"),"")</f>
        <v/>
      </c>
      <c r="AI199" s="44" t="str">
        <f ca="1">IFERROR(__xludf.DUMMYFUNCTION("IFERROR(VLOOKUP(E222&amp;F222,IMPORTRANGE(""https://docs.google.com/spreadsheets/d/1Uw7-A9f9R21vMXxHZFNpYNeKFtG8_yji4HS352LGlSQ/edit?pli=1#gid=0"",""1_ACUM!A4:S""),18,FALSE))"),"")</f>
        <v/>
      </c>
      <c r="AJ199" s="44" t="str">
        <f ca="1">IFERROR(__xludf.DUMMYFUNCTION("IFERROR(VLOOKUP(E222&amp;F222,IMPORTRANGE(""https://docs.google.com/spreadsheets/d/1Uw7-A9f9R21vMXxHZFNpYNeKFtG8_yji4HS352LGlSQ/edit?pli=1#gid=0"",""1_ACUM!A4:S""),19,FALSE))"),"")</f>
        <v/>
      </c>
      <c r="AK199" s="98" t="str">
        <f ca="1">IFERROR(__xludf.DUMMYFUNCTION("IFERROR(VLOOKUP(F222,IMPORTRANGE(""https://docs.google.com/spreadsheets/d/1Kvs4KS76FHFqLFIZfrDMff4kP08nblUkihrxltoGBjg/edit#gid=934712705"",""ESENCIAL!A6:BG""),5,FALSE))"),"")</f>
        <v/>
      </c>
      <c r="AL199" s="98" t="str">
        <f t="shared" si="17"/>
        <v/>
      </c>
      <c r="AM199" s="99" t="str">
        <f t="shared" si="18"/>
        <v/>
      </c>
      <c r="AN199" s="100" t="str">
        <f ca="1">IFERROR(__xludf.DUMMYFUNCTION("IFERROR(VLOOKUP(F222,IMPORTRANGE(""https://docs.google.com/spreadsheets/d/1Kvs4KS76FHFqLFIZfrDMff4kP08nblUkihrxltoGBjg/edit#gid=934712705"",""ESENCIAL!A6:BG""),2,FALSE))"),"")</f>
        <v/>
      </c>
      <c r="AO199" s="19" t="str">
        <f t="shared" si="19"/>
        <v/>
      </c>
      <c r="AP199" s="100"/>
      <c r="AQ199" s="100"/>
    </row>
    <row r="200" spans="1:43" ht="15">
      <c r="A200" s="101"/>
      <c r="B200" s="101"/>
      <c r="G200" s="5" t="str">
        <f ca="1">IFERROR(__xludf.DUMMYFUNCTION("IFERROR(VLOOKUP(F223,IMPORTRANGE(""https://docs.google.com/spreadsheets/d/1Kvs4KS76FHFqLFIZfrDMff4kP08nblUkihrxltoGBjg/edit#gid=934712705"",""ESENCIAL!A6:BG""),3,FALSE))"),"")</f>
        <v/>
      </c>
      <c r="H200" s="5" t="str">
        <f ca="1">IFERROR(__xludf.DUMMYFUNCTION("IFERROR(VLOOKUP(F223,IMPORTRANGE(""https://docs.google.com/spreadsheets/d/1Kvs4KS76FHFqLFIZfrDMff4kP08nblUkihrxltoGBjg/edit#gid=934712705"",""ESENCIAL!A6:BG""),8,FALSE))"),"")</f>
        <v/>
      </c>
      <c r="L200" s="287"/>
      <c r="Z200" s="41" t="str">
        <f t="shared" si="16"/>
        <v/>
      </c>
      <c r="AA200" s="5" t="str">
        <f ca="1">IFERROR(__xludf.DUMMYFUNCTION("IFERROR(VLOOKUP(E223&amp;F223,IMPORTRANGE(""https://docs.google.com/spreadsheets/d/1Uw7-A9f9R21vMXxHZFNpYNeKFtG8_yji4HS352LGlSQ/edit?pli=1#gid=0"",""1_ACUM!A4:S""),11,FALSE))"),"")</f>
        <v/>
      </c>
      <c r="AB200" s="42" t="str">
        <f ca="1">IFERROR(__xludf.DUMMYFUNCTION("IFERROR(VLOOKUP(F223,IMPORTRANGE(""https://docs.google.com/spreadsheets/d/1Kvs4KS76FHFqLFIZfrDMff4kP08nblUkihrxltoGBjg/edit#gid=934712705"",""ESENCIAL!A6:BG""),15,FALSE))"),"")</f>
        <v/>
      </c>
      <c r="AC200" s="110" t="str">
        <f ca="1">IFERROR(__xludf.DUMMYFUNCTION("IFERROR(VLOOKUP(E223&amp;F223,IMPORTRANGE(""https://docs.google.com/spreadsheets/d/1Uw7-A9f9R21vMXxHZFNpYNeKFtG8_yji4HS352LGlSQ/edit?pli=1#gid=0"",""1_ACUM!A4:S""),13,FALSE))"),"")</f>
        <v/>
      </c>
      <c r="AD200" s="43" t="str">
        <f ca="1">IFERROR(__xludf.DUMMYFUNCTION("IFERROR(VLOOKUP(E223&amp;F223,IMPORTRANGE(""https://docs.google.com/spreadsheets/d/1Uw7-A9f9R21vMXxHZFNpYNeKFtG8_yji4HS352LGlSQ/edit?pli=1#gid=0"",""1_ACUM!A4:S""),13,FALSE))"),"")</f>
        <v/>
      </c>
      <c r="AE200" s="43" t="str">
        <f ca="1">IFERROR(__xludf.DUMMYFUNCTION("IFERROR(VLOOKUP(E223&amp;F223,IMPORTRANGE(""https://docs.google.com/spreadsheets/d/1Uw7-A9f9R21vMXxHZFNpYNeKFtG8_yji4HS352LGlSQ/edit?pli=1#gid=0"",""1_ACUM!A4:S""),14,FALSE))"),"")</f>
        <v/>
      </c>
      <c r="AF200" s="43" t="str">
        <f ca="1">IFERROR(__xludf.DUMMYFUNCTION("IFERROR(VLOOKUP(E223&amp;F223,IMPORTRANGE(""https://docs.google.com/spreadsheets/d/1Uw7-A9f9R21vMXxHZFNpYNeKFtG8_yji4HS352LGlSQ/edit?pli=1#gid=0"",""1_ACUM!A4:S""),15,FALSE))"),"")</f>
        <v/>
      </c>
      <c r="AG200" s="43" t="str">
        <f ca="1">IFERROR(__xludf.DUMMYFUNCTION("IFERROR(VLOOKUP(E223&amp;F223,IMPORTRANGE(""https://docs.google.com/spreadsheets/d/1Uw7-A9f9R21vMXxHZFNpYNeKFtG8_yji4HS352LGlSQ/edit?pli=1#gid=0"",""1_ACUM!A4:S""),16,FALSE))"),"")</f>
        <v/>
      </c>
      <c r="AH200" s="43" t="str">
        <f ca="1">IFERROR(__xludf.DUMMYFUNCTION("IFERROR(VLOOKUP(E223&amp;F223,IMPORTRANGE(""https://docs.google.com/spreadsheets/d/1Uw7-A9f9R21vMXxHZFNpYNeKFtG8_yji4HS352LGlSQ/edit?pli=1#gid=0"",""1_ACUM!A4:S""),17,FALSE))"),"")</f>
        <v/>
      </c>
      <c r="AI200" s="44" t="str">
        <f ca="1">IFERROR(__xludf.DUMMYFUNCTION("IFERROR(VLOOKUP(E223&amp;F223,IMPORTRANGE(""https://docs.google.com/spreadsheets/d/1Uw7-A9f9R21vMXxHZFNpYNeKFtG8_yji4HS352LGlSQ/edit?pli=1#gid=0"",""1_ACUM!A4:S""),18,FALSE))"),"")</f>
        <v/>
      </c>
      <c r="AJ200" s="44" t="str">
        <f ca="1">IFERROR(__xludf.DUMMYFUNCTION("IFERROR(VLOOKUP(E223&amp;F223,IMPORTRANGE(""https://docs.google.com/spreadsheets/d/1Uw7-A9f9R21vMXxHZFNpYNeKFtG8_yji4HS352LGlSQ/edit?pli=1#gid=0"",""1_ACUM!A4:S""),19,FALSE))"),"")</f>
        <v/>
      </c>
      <c r="AK200" s="98" t="str">
        <f ca="1">IFERROR(__xludf.DUMMYFUNCTION("IFERROR(VLOOKUP(F223,IMPORTRANGE(""https://docs.google.com/spreadsheets/d/1Kvs4KS76FHFqLFIZfrDMff4kP08nblUkihrxltoGBjg/edit#gid=934712705"",""ESENCIAL!A6:BG""),5,FALSE))"),"")</f>
        <v/>
      </c>
      <c r="AL200" s="98" t="str">
        <f t="shared" si="17"/>
        <v/>
      </c>
      <c r="AM200" s="99" t="str">
        <f t="shared" si="18"/>
        <v/>
      </c>
      <c r="AN200" s="100" t="str">
        <f ca="1">IFERROR(__xludf.DUMMYFUNCTION("IFERROR(VLOOKUP(F223,IMPORTRANGE(""https://docs.google.com/spreadsheets/d/1Kvs4KS76FHFqLFIZfrDMff4kP08nblUkihrxltoGBjg/edit#gid=934712705"",""ESENCIAL!A6:BG""),2,FALSE))"),"")</f>
        <v/>
      </c>
      <c r="AO200" s="19" t="str">
        <f t="shared" si="19"/>
        <v/>
      </c>
      <c r="AP200" s="100"/>
      <c r="AQ200" s="100"/>
    </row>
    <row r="201" spans="1:43" ht="15">
      <c r="A201" s="101"/>
      <c r="B201" s="101"/>
      <c r="G201" s="5" t="str">
        <f ca="1">IFERROR(__xludf.DUMMYFUNCTION("IFERROR(VLOOKUP(F224,IMPORTRANGE(""https://docs.google.com/spreadsheets/d/1Kvs4KS76FHFqLFIZfrDMff4kP08nblUkihrxltoGBjg/edit#gid=934712705"",""ESENCIAL!A6:BG""),3,FALSE))"),"")</f>
        <v/>
      </c>
      <c r="H201" s="5" t="str">
        <f ca="1">IFERROR(__xludf.DUMMYFUNCTION("IFERROR(VLOOKUP(F224,IMPORTRANGE(""https://docs.google.com/spreadsheets/d/1Kvs4KS76FHFqLFIZfrDMff4kP08nblUkihrxltoGBjg/edit#gid=934712705"",""ESENCIAL!A6:BG""),8,FALSE))"),"")</f>
        <v/>
      </c>
      <c r="L201" s="287"/>
      <c r="Z201" s="41" t="str">
        <f t="shared" si="16"/>
        <v/>
      </c>
      <c r="AA201" s="5" t="str">
        <f ca="1">IFERROR(__xludf.DUMMYFUNCTION("IFERROR(VLOOKUP(E224&amp;F224,IMPORTRANGE(""https://docs.google.com/spreadsheets/d/1Uw7-A9f9R21vMXxHZFNpYNeKFtG8_yji4HS352LGlSQ/edit?pli=1#gid=0"",""1_ACUM!A4:S""),11,FALSE))"),"")</f>
        <v/>
      </c>
      <c r="AB201" s="42" t="str">
        <f ca="1">IFERROR(__xludf.DUMMYFUNCTION("IFERROR(VLOOKUP(F224,IMPORTRANGE(""https://docs.google.com/spreadsheets/d/1Kvs4KS76FHFqLFIZfrDMff4kP08nblUkihrxltoGBjg/edit#gid=934712705"",""ESENCIAL!A6:BG""),15,FALSE))"),"")</f>
        <v/>
      </c>
      <c r="AC201" s="110" t="str">
        <f ca="1">IFERROR(__xludf.DUMMYFUNCTION("IFERROR(VLOOKUP(E224&amp;F224,IMPORTRANGE(""https://docs.google.com/spreadsheets/d/1Uw7-A9f9R21vMXxHZFNpYNeKFtG8_yji4HS352LGlSQ/edit?pli=1#gid=0"",""1_ACUM!A4:S""),13,FALSE))"),"")</f>
        <v/>
      </c>
      <c r="AD201" s="43" t="str">
        <f ca="1">IFERROR(__xludf.DUMMYFUNCTION("IFERROR(VLOOKUP(E224&amp;F224,IMPORTRANGE(""https://docs.google.com/spreadsheets/d/1Uw7-A9f9R21vMXxHZFNpYNeKFtG8_yji4HS352LGlSQ/edit?pli=1#gid=0"",""1_ACUM!A4:S""),13,FALSE))"),"")</f>
        <v/>
      </c>
      <c r="AE201" s="43" t="str">
        <f ca="1">IFERROR(__xludf.DUMMYFUNCTION("IFERROR(VLOOKUP(E224&amp;F224,IMPORTRANGE(""https://docs.google.com/spreadsheets/d/1Uw7-A9f9R21vMXxHZFNpYNeKFtG8_yji4HS352LGlSQ/edit?pli=1#gid=0"",""1_ACUM!A4:S""),14,FALSE))"),"")</f>
        <v/>
      </c>
      <c r="AF201" s="43" t="str">
        <f ca="1">IFERROR(__xludf.DUMMYFUNCTION("IFERROR(VLOOKUP(E224&amp;F224,IMPORTRANGE(""https://docs.google.com/spreadsheets/d/1Uw7-A9f9R21vMXxHZFNpYNeKFtG8_yji4HS352LGlSQ/edit?pli=1#gid=0"",""1_ACUM!A4:S""),15,FALSE))"),"")</f>
        <v/>
      </c>
      <c r="AG201" s="43" t="str">
        <f ca="1">IFERROR(__xludf.DUMMYFUNCTION("IFERROR(VLOOKUP(E224&amp;F224,IMPORTRANGE(""https://docs.google.com/spreadsheets/d/1Uw7-A9f9R21vMXxHZFNpYNeKFtG8_yji4HS352LGlSQ/edit?pli=1#gid=0"",""1_ACUM!A4:S""),16,FALSE))"),"")</f>
        <v/>
      </c>
      <c r="AH201" s="43" t="str">
        <f ca="1">IFERROR(__xludf.DUMMYFUNCTION("IFERROR(VLOOKUP(E224&amp;F224,IMPORTRANGE(""https://docs.google.com/spreadsheets/d/1Uw7-A9f9R21vMXxHZFNpYNeKFtG8_yji4HS352LGlSQ/edit?pli=1#gid=0"",""1_ACUM!A4:S""),17,FALSE))"),"")</f>
        <v/>
      </c>
      <c r="AI201" s="44" t="str">
        <f ca="1">IFERROR(__xludf.DUMMYFUNCTION("IFERROR(VLOOKUP(E224&amp;F224,IMPORTRANGE(""https://docs.google.com/spreadsheets/d/1Uw7-A9f9R21vMXxHZFNpYNeKFtG8_yji4HS352LGlSQ/edit?pli=1#gid=0"",""1_ACUM!A4:S""),18,FALSE))"),"")</f>
        <v/>
      </c>
      <c r="AJ201" s="44" t="str">
        <f ca="1">IFERROR(__xludf.DUMMYFUNCTION("IFERROR(VLOOKUP(E224&amp;F224,IMPORTRANGE(""https://docs.google.com/spreadsheets/d/1Uw7-A9f9R21vMXxHZFNpYNeKFtG8_yji4HS352LGlSQ/edit?pli=1#gid=0"",""1_ACUM!A4:S""),19,FALSE))"),"")</f>
        <v/>
      </c>
      <c r="AK201" s="98" t="str">
        <f ca="1">IFERROR(__xludf.DUMMYFUNCTION("IFERROR(VLOOKUP(F224,IMPORTRANGE(""https://docs.google.com/spreadsheets/d/1Kvs4KS76FHFqLFIZfrDMff4kP08nblUkihrxltoGBjg/edit#gid=934712705"",""ESENCIAL!A6:BG""),5,FALSE))"),"")</f>
        <v/>
      </c>
      <c r="AL201" s="98" t="str">
        <f t="shared" si="17"/>
        <v/>
      </c>
      <c r="AM201" s="99" t="str">
        <f t="shared" si="18"/>
        <v/>
      </c>
      <c r="AN201" s="100" t="str">
        <f ca="1">IFERROR(__xludf.DUMMYFUNCTION("IFERROR(VLOOKUP(F224,IMPORTRANGE(""https://docs.google.com/spreadsheets/d/1Kvs4KS76FHFqLFIZfrDMff4kP08nblUkihrxltoGBjg/edit#gid=934712705"",""ESENCIAL!A6:BG""),2,FALSE))"),"")</f>
        <v/>
      </c>
      <c r="AO201" s="19" t="str">
        <f t="shared" si="19"/>
        <v/>
      </c>
      <c r="AP201" s="100"/>
      <c r="AQ201" s="100"/>
    </row>
    <row r="202" spans="1:43" ht="15">
      <c r="A202" s="101"/>
      <c r="B202" s="101"/>
      <c r="G202" s="5" t="str">
        <f ca="1">IFERROR(__xludf.DUMMYFUNCTION("IFERROR(VLOOKUP(F225,IMPORTRANGE(""https://docs.google.com/spreadsheets/d/1Kvs4KS76FHFqLFIZfrDMff4kP08nblUkihrxltoGBjg/edit#gid=934712705"",""ESENCIAL!A6:BG""),3,FALSE))"),"")</f>
        <v/>
      </c>
      <c r="H202" s="5" t="str">
        <f ca="1">IFERROR(__xludf.DUMMYFUNCTION("IFERROR(VLOOKUP(F225,IMPORTRANGE(""https://docs.google.com/spreadsheets/d/1Kvs4KS76FHFqLFIZfrDMff4kP08nblUkihrxltoGBjg/edit#gid=934712705"",""ESENCIAL!A6:BG""),8,FALSE))"),"")</f>
        <v/>
      </c>
      <c r="L202" s="287"/>
      <c r="Z202" s="41" t="str">
        <f t="shared" si="16"/>
        <v/>
      </c>
      <c r="AA202" s="5" t="str">
        <f ca="1">IFERROR(__xludf.DUMMYFUNCTION("IFERROR(VLOOKUP(E225&amp;F225,IMPORTRANGE(""https://docs.google.com/spreadsheets/d/1Uw7-A9f9R21vMXxHZFNpYNeKFtG8_yji4HS352LGlSQ/edit?pli=1#gid=0"",""1_ACUM!A4:S""),11,FALSE))"),"")</f>
        <v/>
      </c>
      <c r="AB202" s="42" t="str">
        <f ca="1">IFERROR(__xludf.DUMMYFUNCTION("IFERROR(VLOOKUP(F225,IMPORTRANGE(""https://docs.google.com/spreadsheets/d/1Kvs4KS76FHFqLFIZfrDMff4kP08nblUkihrxltoGBjg/edit#gid=934712705"",""ESENCIAL!A6:BG""),15,FALSE))"),"")</f>
        <v/>
      </c>
      <c r="AC202" s="110" t="str">
        <f ca="1">IFERROR(__xludf.DUMMYFUNCTION("IFERROR(VLOOKUP(E225&amp;F225,IMPORTRANGE(""https://docs.google.com/spreadsheets/d/1Uw7-A9f9R21vMXxHZFNpYNeKFtG8_yji4HS352LGlSQ/edit?pli=1#gid=0"",""1_ACUM!A4:S""),13,FALSE))"),"")</f>
        <v/>
      </c>
      <c r="AD202" s="43" t="str">
        <f ca="1">IFERROR(__xludf.DUMMYFUNCTION("IFERROR(VLOOKUP(E225&amp;F225,IMPORTRANGE(""https://docs.google.com/spreadsheets/d/1Uw7-A9f9R21vMXxHZFNpYNeKFtG8_yji4HS352LGlSQ/edit?pli=1#gid=0"",""1_ACUM!A4:S""),13,FALSE))"),"")</f>
        <v/>
      </c>
      <c r="AE202" s="43" t="str">
        <f ca="1">IFERROR(__xludf.DUMMYFUNCTION("IFERROR(VLOOKUP(E225&amp;F225,IMPORTRANGE(""https://docs.google.com/spreadsheets/d/1Uw7-A9f9R21vMXxHZFNpYNeKFtG8_yji4HS352LGlSQ/edit?pli=1#gid=0"",""1_ACUM!A4:S""),14,FALSE))"),"")</f>
        <v/>
      </c>
      <c r="AF202" s="43" t="str">
        <f ca="1">IFERROR(__xludf.DUMMYFUNCTION("IFERROR(VLOOKUP(E225&amp;F225,IMPORTRANGE(""https://docs.google.com/spreadsheets/d/1Uw7-A9f9R21vMXxHZFNpYNeKFtG8_yji4HS352LGlSQ/edit?pli=1#gid=0"",""1_ACUM!A4:S""),15,FALSE))"),"")</f>
        <v/>
      </c>
      <c r="AG202" s="43" t="str">
        <f ca="1">IFERROR(__xludf.DUMMYFUNCTION("IFERROR(VLOOKUP(E225&amp;F225,IMPORTRANGE(""https://docs.google.com/spreadsheets/d/1Uw7-A9f9R21vMXxHZFNpYNeKFtG8_yji4HS352LGlSQ/edit?pli=1#gid=0"",""1_ACUM!A4:S""),16,FALSE))"),"")</f>
        <v/>
      </c>
      <c r="AH202" s="43" t="str">
        <f ca="1">IFERROR(__xludf.DUMMYFUNCTION("IFERROR(VLOOKUP(E225&amp;F225,IMPORTRANGE(""https://docs.google.com/spreadsheets/d/1Uw7-A9f9R21vMXxHZFNpYNeKFtG8_yji4HS352LGlSQ/edit?pli=1#gid=0"",""1_ACUM!A4:S""),17,FALSE))"),"")</f>
        <v/>
      </c>
      <c r="AI202" s="44" t="str">
        <f ca="1">IFERROR(__xludf.DUMMYFUNCTION("IFERROR(VLOOKUP(E225&amp;F225,IMPORTRANGE(""https://docs.google.com/spreadsheets/d/1Uw7-A9f9R21vMXxHZFNpYNeKFtG8_yji4HS352LGlSQ/edit?pli=1#gid=0"",""1_ACUM!A4:S""),18,FALSE))"),"")</f>
        <v/>
      </c>
      <c r="AJ202" s="44" t="str">
        <f ca="1">IFERROR(__xludf.DUMMYFUNCTION("IFERROR(VLOOKUP(E225&amp;F225,IMPORTRANGE(""https://docs.google.com/spreadsheets/d/1Uw7-A9f9R21vMXxHZFNpYNeKFtG8_yji4HS352LGlSQ/edit?pli=1#gid=0"",""1_ACUM!A4:S""),19,FALSE))"),"")</f>
        <v/>
      </c>
      <c r="AK202" s="98" t="str">
        <f ca="1">IFERROR(__xludf.DUMMYFUNCTION("IFERROR(VLOOKUP(F225,IMPORTRANGE(""https://docs.google.com/spreadsheets/d/1Kvs4KS76FHFqLFIZfrDMff4kP08nblUkihrxltoGBjg/edit#gid=934712705"",""ESENCIAL!A6:BG""),5,FALSE))"),"")</f>
        <v/>
      </c>
      <c r="AL202" s="98" t="str">
        <f t="shared" si="17"/>
        <v/>
      </c>
      <c r="AM202" s="99" t="str">
        <f t="shared" si="18"/>
        <v/>
      </c>
      <c r="AN202" s="100" t="str">
        <f ca="1">IFERROR(__xludf.DUMMYFUNCTION("IFERROR(VLOOKUP(F225,IMPORTRANGE(""https://docs.google.com/spreadsheets/d/1Kvs4KS76FHFqLFIZfrDMff4kP08nblUkihrxltoGBjg/edit#gid=934712705"",""ESENCIAL!A6:BG""),2,FALSE))"),"")</f>
        <v/>
      </c>
      <c r="AO202" s="19" t="str">
        <f t="shared" si="19"/>
        <v/>
      </c>
      <c r="AP202" s="100"/>
      <c r="AQ202" s="100"/>
    </row>
    <row r="203" spans="1:43" ht="15">
      <c r="A203" s="103"/>
      <c r="B203" s="101"/>
      <c r="G203" s="5" t="str">
        <f ca="1">IFERROR(__xludf.DUMMYFUNCTION("IFERROR(VLOOKUP(F226,IMPORTRANGE(""https://docs.google.com/spreadsheets/d/1Kvs4KS76FHFqLFIZfrDMff4kP08nblUkihrxltoGBjg/edit#gid=934712705"",""ESENCIAL!A6:BG""),3,FALSE))"),"")</f>
        <v/>
      </c>
      <c r="H203" s="5" t="str">
        <f ca="1">IFERROR(__xludf.DUMMYFUNCTION("IFERROR(VLOOKUP(F226,IMPORTRANGE(""https://docs.google.com/spreadsheets/d/1Kvs4KS76FHFqLFIZfrDMff4kP08nblUkihrxltoGBjg/edit#gid=934712705"",""ESENCIAL!A6:BG""),8,FALSE))"),"")</f>
        <v/>
      </c>
      <c r="L203" s="287"/>
      <c r="Z203" s="41" t="str">
        <f t="shared" si="16"/>
        <v/>
      </c>
      <c r="AA203" s="5" t="str">
        <f ca="1">IFERROR(__xludf.DUMMYFUNCTION("IFERROR(VLOOKUP(E226&amp;F226,IMPORTRANGE(""https://docs.google.com/spreadsheets/d/1Uw7-A9f9R21vMXxHZFNpYNeKFtG8_yji4HS352LGlSQ/edit?pli=1#gid=0"",""1_ACUM!A4:S""),11,FALSE))"),"")</f>
        <v/>
      </c>
      <c r="AB203" s="42" t="str">
        <f ca="1">IFERROR(__xludf.DUMMYFUNCTION("IFERROR(VLOOKUP(F226,IMPORTRANGE(""https://docs.google.com/spreadsheets/d/1Kvs4KS76FHFqLFIZfrDMff4kP08nblUkihrxltoGBjg/edit#gid=934712705"",""ESENCIAL!A6:BG""),15,FALSE))"),"")</f>
        <v/>
      </c>
      <c r="AC203" s="110" t="str">
        <f ca="1">IFERROR(__xludf.DUMMYFUNCTION("IFERROR(VLOOKUP(E226&amp;F226,IMPORTRANGE(""https://docs.google.com/spreadsheets/d/1Uw7-A9f9R21vMXxHZFNpYNeKFtG8_yji4HS352LGlSQ/edit?pli=1#gid=0"",""1_ACUM!A4:S""),13,FALSE))"),"")</f>
        <v/>
      </c>
      <c r="AD203" s="43" t="str">
        <f ca="1">IFERROR(__xludf.DUMMYFUNCTION("IFERROR(VLOOKUP(E226&amp;F226,IMPORTRANGE(""https://docs.google.com/spreadsheets/d/1Uw7-A9f9R21vMXxHZFNpYNeKFtG8_yji4HS352LGlSQ/edit?pli=1#gid=0"",""1_ACUM!A4:S""),13,FALSE))"),"")</f>
        <v/>
      </c>
      <c r="AE203" s="43" t="str">
        <f ca="1">IFERROR(__xludf.DUMMYFUNCTION("IFERROR(VLOOKUP(E226&amp;F226,IMPORTRANGE(""https://docs.google.com/spreadsheets/d/1Uw7-A9f9R21vMXxHZFNpYNeKFtG8_yji4HS352LGlSQ/edit?pli=1#gid=0"",""1_ACUM!A4:S""),14,FALSE))"),"")</f>
        <v/>
      </c>
      <c r="AF203" s="43" t="str">
        <f ca="1">IFERROR(__xludf.DUMMYFUNCTION("IFERROR(VLOOKUP(E226&amp;F226,IMPORTRANGE(""https://docs.google.com/spreadsheets/d/1Uw7-A9f9R21vMXxHZFNpYNeKFtG8_yji4HS352LGlSQ/edit?pli=1#gid=0"",""1_ACUM!A4:S""),15,FALSE))"),"")</f>
        <v/>
      </c>
      <c r="AG203" s="43" t="str">
        <f ca="1">IFERROR(__xludf.DUMMYFUNCTION("IFERROR(VLOOKUP(E226&amp;F226,IMPORTRANGE(""https://docs.google.com/spreadsheets/d/1Uw7-A9f9R21vMXxHZFNpYNeKFtG8_yji4HS352LGlSQ/edit?pli=1#gid=0"",""1_ACUM!A4:S""),16,FALSE))"),"")</f>
        <v/>
      </c>
      <c r="AH203" s="43" t="str">
        <f ca="1">IFERROR(__xludf.DUMMYFUNCTION("IFERROR(VLOOKUP(E226&amp;F226,IMPORTRANGE(""https://docs.google.com/spreadsheets/d/1Uw7-A9f9R21vMXxHZFNpYNeKFtG8_yji4HS352LGlSQ/edit?pli=1#gid=0"",""1_ACUM!A4:S""),17,FALSE))"),"")</f>
        <v/>
      </c>
      <c r="AI203" s="44" t="str">
        <f ca="1">IFERROR(__xludf.DUMMYFUNCTION("IFERROR(VLOOKUP(E226&amp;F226,IMPORTRANGE(""https://docs.google.com/spreadsheets/d/1Uw7-A9f9R21vMXxHZFNpYNeKFtG8_yji4HS352LGlSQ/edit?pli=1#gid=0"",""1_ACUM!A4:S""),18,FALSE))"),"")</f>
        <v/>
      </c>
      <c r="AJ203" s="44" t="str">
        <f ca="1">IFERROR(__xludf.DUMMYFUNCTION("IFERROR(VLOOKUP(E226&amp;F226,IMPORTRANGE(""https://docs.google.com/spreadsheets/d/1Uw7-A9f9R21vMXxHZFNpYNeKFtG8_yji4HS352LGlSQ/edit?pli=1#gid=0"",""1_ACUM!A4:S""),19,FALSE))"),"")</f>
        <v/>
      </c>
      <c r="AK203" s="98" t="str">
        <f ca="1">IFERROR(__xludf.DUMMYFUNCTION("IFERROR(VLOOKUP(F226,IMPORTRANGE(""https://docs.google.com/spreadsheets/d/1Kvs4KS76FHFqLFIZfrDMff4kP08nblUkihrxltoGBjg/edit#gid=934712705"",""ESENCIAL!A6:BG""),5,FALSE))"),"")</f>
        <v/>
      </c>
      <c r="AL203" s="98" t="str">
        <f t="shared" si="17"/>
        <v/>
      </c>
      <c r="AM203" s="99" t="str">
        <f t="shared" si="18"/>
        <v/>
      </c>
      <c r="AN203" s="100" t="str">
        <f ca="1">IFERROR(__xludf.DUMMYFUNCTION("IFERROR(VLOOKUP(F226,IMPORTRANGE(""https://docs.google.com/spreadsheets/d/1Kvs4KS76FHFqLFIZfrDMff4kP08nblUkihrxltoGBjg/edit#gid=934712705"",""ESENCIAL!A6:BG""),2,FALSE))"),"")</f>
        <v/>
      </c>
      <c r="AO203" s="19" t="str">
        <f t="shared" si="19"/>
        <v/>
      </c>
      <c r="AP203" s="100"/>
      <c r="AQ203" s="100"/>
    </row>
    <row r="204" spans="1:43" ht="15">
      <c r="A204" s="101"/>
      <c r="B204" s="101"/>
      <c r="G204" s="5" t="str">
        <f ca="1">IFERROR(__xludf.DUMMYFUNCTION("IFERROR(VLOOKUP(F227,IMPORTRANGE(""https://docs.google.com/spreadsheets/d/1Kvs4KS76FHFqLFIZfrDMff4kP08nblUkihrxltoGBjg/edit#gid=934712705"",""ESENCIAL!A6:BG""),3,FALSE))"),"")</f>
        <v/>
      </c>
      <c r="H204" s="5" t="str">
        <f ca="1">IFERROR(__xludf.DUMMYFUNCTION("IFERROR(VLOOKUP(F227,IMPORTRANGE(""https://docs.google.com/spreadsheets/d/1Kvs4KS76FHFqLFIZfrDMff4kP08nblUkihrxltoGBjg/edit#gid=934712705"",""ESENCIAL!A6:BG""),8,FALSE))"),"")</f>
        <v/>
      </c>
      <c r="L204" s="287"/>
      <c r="Z204" s="41" t="str">
        <f t="shared" si="16"/>
        <v/>
      </c>
      <c r="AA204" s="5" t="str">
        <f ca="1">IFERROR(__xludf.DUMMYFUNCTION("IFERROR(VLOOKUP(E227&amp;F227,IMPORTRANGE(""https://docs.google.com/spreadsheets/d/1Uw7-A9f9R21vMXxHZFNpYNeKFtG8_yji4HS352LGlSQ/edit?pli=1#gid=0"",""1_ACUM!A4:S""),11,FALSE))"),"")</f>
        <v/>
      </c>
      <c r="AB204" s="42" t="str">
        <f ca="1">IFERROR(__xludf.DUMMYFUNCTION("IFERROR(VLOOKUP(F227,IMPORTRANGE(""https://docs.google.com/spreadsheets/d/1Kvs4KS76FHFqLFIZfrDMff4kP08nblUkihrxltoGBjg/edit#gid=934712705"",""ESENCIAL!A6:BG""),15,FALSE))"),"")</f>
        <v/>
      </c>
      <c r="AC204" s="110" t="str">
        <f ca="1">IFERROR(__xludf.DUMMYFUNCTION("IFERROR(VLOOKUP(E227&amp;F227,IMPORTRANGE(""https://docs.google.com/spreadsheets/d/1Uw7-A9f9R21vMXxHZFNpYNeKFtG8_yji4HS352LGlSQ/edit?pli=1#gid=0"",""1_ACUM!A4:S""),13,FALSE))"),"")</f>
        <v/>
      </c>
      <c r="AD204" s="43" t="str">
        <f ca="1">IFERROR(__xludf.DUMMYFUNCTION("IFERROR(VLOOKUP(E227&amp;F227,IMPORTRANGE(""https://docs.google.com/spreadsheets/d/1Uw7-A9f9R21vMXxHZFNpYNeKFtG8_yji4HS352LGlSQ/edit?pli=1#gid=0"",""1_ACUM!A4:S""),13,FALSE))"),"")</f>
        <v/>
      </c>
      <c r="AE204" s="43" t="str">
        <f ca="1">IFERROR(__xludf.DUMMYFUNCTION("IFERROR(VLOOKUP(E227&amp;F227,IMPORTRANGE(""https://docs.google.com/spreadsheets/d/1Uw7-A9f9R21vMXxHZFNpYNeKFtG8_yji4HS352LGlSQ/edit?pli=1#gid=0"",""1_ACUM!A4:S""),14,FALSE))"),"")</f>
        <v/>
      </c>
      <c r="AF204" s="43" t="str">
        <f ca="1">IFERROR(__xludf.DUMMYFUNCTION("IFERROR(VLOOKUP(E227&amp;F227,IMPORTRANGE(""https://docs.google.com/spreadsheets/d/1Uw7-A9f9R21vMXxHZFNpYNeKFtG8_yji4HS352LGlSQ/edit?pli=1#gid=0"",""1_ACUM!A4:S""),15,FALSE))"),"")</f>
        <v/>
      </c>
      <c r="AG204" s="43" t="str">
        <f ca="1">IFERROR(__xludf.DUMMYFUNCTION("IFERROR(VLOOKUP(E227&amp;F227,IMPORTRANGE(""https://docs.google.com/spreadsheets/d/1Uw7-A9f9R21vMXxHZFNpYNeKFtG8_yji4HS352LGlSQ/edit?pli=1#gid=0"",""1_ACUM!A4:S""),16,FALSE))"),"")</f>
        <v/>
      </c>
      <c r="AH204" s="43" t="str">
        <f ca="1">IFERROR(__xludf.DUMMYFUNCTION("IFERROR(VLOOKUP(E227&amp;F227,IMPORTRANGE(""https://docs.google.com/spreadsheets/d/1Uw7-A9f9R21vMXxHZFNpYNeKFtG8_yji4HS352LGlSQ/edit?pli=1#gid=0"",""1_ACUM!A4:S""),17,FALSE))"),"")</f>
        <v/>
      </c>
      <c r="AI204" s="44" t="str">
        <f ca="1">IFERROR(__xludf.DUMMYFUNCTION("IFERROR(VLOOKUP(E227&amp;F227,IMPORTRANGE(""https://docs.google.com/spreadsheets/d/1Uw7-A9f9R21vMXxHZFNpYNeKFtG8_yji4HS352LGlSQ/edit?pli=1#gid=0"",""1_ACUM!A4:S""),18,FALSE))"),"")</f>
        <v/>
      </c>
      <c r="AJ204" s="44" t="str">
        <f ca="1">IFERROR(__xludf.DUMMYFUNCTION("IFERROR(VLOOKUP(E227&amp;F227,IMPORTRANGE(""https://docs.google.com/spreadsheets/d/1Uw7-A9f9R21vMXxHZFNpYNeKFtG8_yji4HS352LGlSQ/edit?pli=1#gid=0"",""1_ACUM!A4:S""),19,FALSE))"),"")</f>
        <v/>
      </c>
      <c r="AK204" s="98" t="str">
        <f ca="1">IFERROR(__xludf.DUMMYFUNCTION("IFERROR(VLOOKUP(F227,IMPORTRANGE(""https://docs.google.com/spreadsheets/d/1Kvs4KS76FHFqLFIZfrDMff4kP08nblUkihrxltoGBjg/edit#gid=934712705"",""ESENCIAL!A6:BG""),5,FALSE))"),"")</f>
        <v/>
      </c>
      <c r="AL204" s="98" t="str">
        <f t="shared" si="17"/>
        <v/>
      </c>
      <c r="AM204" s="99" t="str">
        <f t="shared" si="18"/>
        <v/>
      </c>
      <c r="AN204" s="100" t="str">
        <f ca="1">IFERROR(__xludf.DUMMYFUNCTION("IFERROR(VLOOKUP(F227,IMPORTRANGE(""https://docs.google.com/spreadsheets/d/1Kvs4KS76FHFqLFIZfrDMff4kP08nblUkihrxltoGBjg/edit#gid=934712705"",""ESENCIAL!A6:BG""),2,FALSE))"),"")</f>
        <v/>
      </c>
      <c r="AO204" s="19" t="str">
        <f t="shared" si="19"/>
        <v/>
      </c>
      <c r="AP204" s="100"/>
      <c r="AQ204" s="100"/>
    </row>
    <row r="205" spans="1:43" ht="15">
      <c r="A205" s="101"/>
      <c r="B205" s="101"/>
      <c r="G205" s="5" t="str">
        <f ca="1">IFERROR(__xludf.DUMMYFUNCTION("IFERROR(VLOOKUP(F228,IMPORTRANGE(""https://docs.google.com/spreadsheets/d/1Kvs4KS76FHFqLFIZfrDMff4kP08nblUkihrxltoGBjg/edit#gid=934712705"",""ESENCIAL!A6:BG""),3,FALSE))"),"")</f>
        <v/>
      </c>
      <c r="H205" s="5" t="str">
        <f ca="1">IFERROR(__xludf.DUMMYFUNCTION("IFERROR(VLOOKUP(F228,IMPORTRANGE(""https://docs.google.com/spreadsheets/d/1Kvs4KS76FHFqLFIZfrDMff4kP08nblUkihrxltoGBjg/edit#gid=934712705"",""ESENCIAL!A6:BG""),8,FALSE))"),"")</f>
        <v/>
      </c>
      <c r="L205" s="287"/>
      <c r="Z205" s="41" t="str">
        <f t="shared" si="16"/>
        <v/>
      </c>
      <c r="AA205" s="5" t="str">
        <f ca="1">IFERROR(__xludf.DUMMYFUNCTION("IFERROR(VLOOKUP(E228&amp;F228,IMPORTRANGE(""https://docs.google.com/spreadsheets/d/1Uw7-A9f9R21vMXxHZFNpYNeKFtG8_yji4HS352LGlSQ/edit?pli=1#gid=0"",""1_ACUM!A4:S""),11,FALSE))"),"")</f>
        <v/>
      </c>
      <c r="AB205" s="42" t="str">
        <f ca="1">IFERROR(__xludf.DUMMYFUNCTION("IFERROR(VLOOKUP(F228,IMPORTRANGE(""https://docs.google.com/spreadsheets/d/1Kvs4KS76FHFqLFIZfrDMff4kP08nblUkihrxltoGBjg/edit#gid=934712705"",""ESENCIAL!A6:BG""),15,FALSE))"),"")</f>
        <v/>
      </c>
      <c r="AC205" s="110" t="str">
        <f ca="1">IFERROR(__xludf.DUMMYFUNCTION("IFERROR(VLOOKUP(E228&amp;F228,IMPORTRANGE(""https://docs.google.com/spreadsheets/d/1Uw7-A9f9R21vMXxHZFNpYNeKFtG8_yji4HS352LGlSQ/edit?pli=1#gid=0"",""1_ACUM!A4:S""),13,FALSE))"),"")</f>
        <v/>
      </c>
      <c r="AD205" s="43" t="str">
        <f ca="1">IFERROR(__xludf.DUMMYFUNCTION("IFERROR(VLOOKUP(E228&amp;F228,IMPORTRANGE(""https://docs.google.com/spreadsheets/d/1Uw7-A9f9R21vMXxHZFNpYNeKFtG8_yji4HS352LGlSQ/edit?pli=1#gid=0"",""1_ACUM!A4:S""),13,FALSE))"),"")</f>
        <v/>
      </c>
      <c r="AE205" s="43" t="str">
        <f ca="1">IFERROR(__xludf.DUMMYFUNCTION("IFERROR(VLOOKUP(E228&amp;F228,IMPORTRANGE(""https://docs.google.com/spreadsheets/d/1Uw7-A9f9R21vMXxHZFNpYNeKFtG8_yji4HS352LGlSQ/edit?pli=1#gid=0"",""1_ACUM!A4:S""),14,FALSE))"),"")</f>
        <v/>
      </c>
      <c r="AF205" s="43" t="str">
        <f ca="1">IFERROR(__xludf.DUMMYFUNCTION("IFERROR(VLOOKUP(E228&amp;F228,IMPORTRANGE(""https://docs.google.com/spreadsheets/d/1Uw7-A9f9R21vMXxHZFNpYNeKFtG8_yji4HS352LGlSQ/edit?pli=1#gid=0"",""1_ACUM!A4:S""),15,FALSE))"),"")</f>
        <v/>
      </c>
      <c r="AG205" s="43" t="str">
        <f ca="1">IFERROR(__xludf.DUMMYFUNCTION("IFERROR(VLOOKUP(E228&amp;F228,IMPORTRANGE(""https://docs.google.com/spreadsheets/d/1Uw7-A9f9R21vMXxHZFNpYNeKFtG8_yji4HS352LGlSQ/edit?pli=1#gid=0"",""1_ACUM!A4:S""),16,FALSE))"),"")</f>
        <v/>
      </c>
      <c r="AH205" s="43" t="str">
        <f ca="1">IFERROR(__xludf.DUMMYFUNCTION("IFERROR(VLOOKUP(E228&amp;F228,IMPORTRANGE(""https://docs.google.com/spreadsheets/d/1Uw7-A9f9R21vMXxHZFNpYNeKFtG8_yji4HS352LGlSQ/edit?pli=1#gid=0"",""1_ACUM!A4:S""),17,FALSE))"),"")</f>
        <v/>
      </c>
      <c r="AI205" s="44" t="str">
        <f ca="1">IFERROR(__xludf.DUMMYFUNCTION("IFERROR(VLOOKUP(E228&amp;F228,IMPORTRANGE(""https://docs.google.com/spreadsheets/d/1Uw7-A9f9R21vMXxHZFNpYNeKFtG8_yji4HS352LGlSQ/edit?pli=1#gid=0"",""1_ACUM!A4:S""),18,FALSE))"),"")</f>
        <v/>
      </c>
      <c r="AJ205" s="44" t="str">
        <f ca="1">IFERROR(__xludf.DUMMYFUNCTION("IFERROR(VLOOKUP(E228&amp;F228,IMPORTRANGE(""https://docs.google.com/spreadsheets/d/1Uw7-A9f9R21vMXxHZFNpYNeKFtG8_yji4HS352LGlSQ/edit?pli=1#gid=0"",""1_ACUM!A4:S""),19,FALSE))"),"")</f>
        <v/>
      </c>
      <c r="AK205" s="98" t="str">
        <f ca="1">IFERROR(__xludf.DUMMYFUNCTION("IFERROR(VLOOKUP(F228,IMPORTRANGE(""https://docs.google.com/spreadsheets/d/1Kvs4KS76FHFqLFIZfrDMff4kP08nblUkihrxltoGBjg/edit#gid=934712705"",""ESENCIAL!A6:BG""),5,FALSE))"),"")</f>
        <v/>
      </c>
      <c r="AL205" s="98" t="str">
        <f t="shared" si="17"/>
        <v/>
      </c>
      <c r="AM205" s="99" t="str">
        <f t="shared" si="18"/>
        <v/>
      </c>
      <c r="AN205" s="100" t="str">
        <f ca="1">IFERROR(__xludf.DUMMYFUNCTION("IFERROR(VLOOKUP(F228,IMPORTRANGE(""https://docs.google.com/spreadsheets/d/1Kvs4KS76FHFqLFIZfrDMff4kP08nblUkihrxltoGBjg/edit#gid=934712705"",""ESENCIAL!A6:BG""),2,FALSE))"),"")</f>
        <v/>
      </c>
      <c r="AO205" s="19" t="str">
        <f t="shared" si="19"/>
        <v/>
      </c>
      <c r="AP205" s="100"/>
      <c r="AQ205" s="100"/>
    </row>
    <row r="206" spans="1:43" ht="15">
      <c r="A206" s="101"/>
      <c r="B206" s="101"/>
      <c r="G206" s="5" t="str">
        <f ca="1">IFERROR(__xludf.DUMMYFUNCTION("IFERROR(VLOOKUP(F229,IMPORTRANGE(""https://docs.google.com/spreadsheets/d/1Kvs4KS76FHFqLFIZfrDMff4kP08nblUkihrxltoGBjg/edit#gid=934712705"",""ESENCIAL!A6:BG""),3,FALSE))"),"")</f>
        <v/>
      </c>
      <c r="H206" s="5" t="str">
        <f ca="1">IFERROR(__xludf.DUMMYFUNCTION("IFERROR(VLOOKUP(F229,IMPORTRANGE(""https://docs.google.com/spreadsheets/d/1Kvs4KS76FHFqLFIZfrDMff4kP08nblUkihrxltoGBjg/edit#gid=934712705"",""ESENCIAL!A6:BG""),8,FALSE))"),"")</f>
        <v/>
      </c>
      <c r="L206" s="287"/>
      <c r="Z206" s="41" t="str">
        <f t="shared" si="16"/>
        <v/>
      </c>
      <c r="AA206" s="5" t="str">
        <f ca="1">IFERROR(__xludf.DUMMYFUNCTION("IFERROR(VLOOKUP(E229&amp;F229,IMPORTRANGE(""https://docs.google.com/spreadsheets/d/1Uw7-A9f9R21vMXxHZFNpYNeKFtG8_yji4HS352LGlSQ/edit?pli=1#gid=0"",""1_ACUM!A4:S""),11,FALSE))"),"")</f>
        <v/>
      </c>
      <c r="AB206" s="42" t="str">
        <f ca="1">IFERROR(__xludf.DUMMYFUNCTION("IFERROR(VLOOKUP(F229,IMPORTRANGE(""https://docs.google.com/spreadsheets/d/1Kvs4KS76FHFqLFIZfrDMff4kP08nblUkihrxltoGBjg/edit#gid=934712705"",""ESENCIAL!A6:BG""),15,FALSE))"),"")</f>
        <v/>
      </c>
      <c r="AC206" s="110" t="str">
        <f ca="1">IFERROR(__xludf.DUMMYFUNCTION("IFERROR(VLOOKUP(E229&amp;F229,IMPORTRANGE(""https://docs.google.com/spreadsheets/d/1Uw7-A9f9R21vMXxHZFNpYNeKFtG8_yji4HS352LGlSQ/edit?pli=1#gid=0"",""1_ACUM!A4:S""),13,FALSE))"),"")</f>
        <v/>
      </c>
      <c r="AD206" s="43" t="str">
        <f ca="1">IFERROR(__xludf.DUMMYFUNCTION("IFERROR(VLOOKUP(E229&amp;F229,IMPORTRANGE(""https://docs.google.com/spreadsheets/d/1Uw7-A9f9R21vMXxHZFNpYNeKFtG8_yji4HS352LGlSQ/edit?pli=1#gid=0"",""1_ACUM!A4:S""),13,FALSE))"),"")</f>
        <v/>
      </c>
      <c r="AE206" s="43" t="str">
        <f ca="1">IFERROR(__xludf.DUMMYFUNCTION("IFERROR(VLOOKUP(E229&amp;F229,IMPORTRANGE(""https://docs.google.com/spreadsheets/d/1Uw7-A9f9R21vMXxHZFNpYNeKFtG8_yji4HS352LGlSQ/edit?pli=1#gid=0"",""1_ACUM!A4:S""),14,FALSE))"),"")</f>
        <v/>
      </c>
      <c r="AF206" s="43" t="str">
        <f ca="1">IFERROR(__xludf.DUMMYFUNCTION("IFERROR(VLOOKUP(E229&amp;F229,IMPORTRANGE(""https://docs.google.com/spreadsheets/d/1Uw7-A9f9R21vMXxHZFNpYNeKFtG8_yji4HS352LGlSQ/edit?pli=1#gid=0"",""1_ACUM!A4:S""),15,FALSE))"),"")</f>
        <v/>
      </c>
      <c r="AG206" s="43" t="str">
        <f ca="1">IFERROR(__xludf.DUMMYFUNCTION("IFERROR(VLOOKUP(E229&amp;F229,IMPORTRANGE(""https://docs.google.com/spreadsheets/d/1Uw7-A9f9R21vMXxHZFNpYNeKFtG8_yji4HS352LGlSQ/edit?pli=1#gid=0"",""1_ACUM!A4:S""),16,FALSE))"),"")</f>
        <v/>
      </c>
      <c r="AH206" s="43" t="str">
        <f ca="1">IFERROR(__xludf.DUMMYFUNCTION("IFERROR(VLOOKUP(E229&amp;F229,IMPORTRANGE(""https://docs.google.com/spreadsheets/d/1Uw7-A9f9R21vMXxHZFNpYNeKFtG8_yji4HS352LGlSQ/edit?pli=1#gid=0"",""1_ACUM!A4:S""),17,FALSE))"),"")</f>
        <v/>
      </c>
      <c r="AI206" s="44" t="str">
        <f ca="1">IFERROR(__xludf.DUMMYFUNCTION("IFERROR(VLOOKUP(E229&amp;F229,IMPORTRANGE(""https://docs.google.com/spreadsheets/d/1Uw7-A9f9R21vMXxHZFNpYNeKFtG8_yji4HS352LGlSQ/edit?pli=1#gid=0"",""1_ACUM!A4:S""),18,FALSE))"),"")</f>
        <v/>
      </c>
      <c r="AJ206" s="44" t="str">
        <f ca="1">IFERROR(__xludf.DUMMYFUNCTION("IFERROR(VLOOKUP(E229&amp;F229,IMPORTRANGE(""https://docs.google.com/spreadsheets/d/1Uw7-A9f9R21vMXxHZFNpYNeKFtG8_yji4HS352LGlSQ/edit?pli=1#gid=0"",""1_ACUM!A4:S""),19,FALSE))"),"")</f>
        <v/>
      </c>
      <c r="AK206" s="98" t="str">
        <f ca="1">IFERROR(__xludf.DUMMYFUNCTION("IFERROR(VLOOKUP(F229,IMPORTRANGE(""https://docs.google.com/spreadsheets/d/1Kvs4KS76FHFqLFIZfrDMff4kP08nblUkihrxltoGBjg/edit#gid=934712705"",""ESENCIAL!A6:BG""),5,FALSE))"),"")</f>
        <v/>
      </c>
      <c r="AL206" s="98" t="str">
        <f t="shared" si="17"/>
        <v/>
      </c>
      <c r="AM206" s="99" t="str">
        <f t="shared" si="18"/>
        <v/>
      </c>
      <c r="AN206" s="100" t="str">
        <f ca="1">IFERROR(__xludf.DUMMYFUNCTION("IFERROR(VLOOKUP(F229,IMPORTRANGE(""https://docs.google.com/spreadsheets/d/1Kvs4KS76FHFqLFIZfrDMff4kP08nblUkihrxltoGBjg/edit#gid=934712705"",""ESENCIAL!A6:BG""),2,FALSE))"),"")</f>
        <v/>
      </c>
      <c r="AO206" s="19" t="str">
        <f t="shared" si="19"/>
        <v/>
      </c>
      <c r="AP206" s="100"/>
      <c r="AQ206" s="100"/>
    </row>
    <row r="207" spans="1:43" ht="15">
      <c r="A207" s="101"/>
      <c r="B207" s="101"/>
      <c r="G207" s="5" t="str">
        <f ca="1">IFERROR(__xludf.DUMMYFUNCTION("IFERROR(VLOOKUP(F230,IMPORTRANGE(""https://docs.google.com/spreadsheets/d/1Kvs4KS76FHFqLFIZfrDMff4kP08nblUkihrxltoGBjg/edit#gid=934712705"",""ESENCIAL!A6:BG""),3,FALSE))"),"")</f>
        <v/>
      </c>
      <c r="H207" s="5" t="str">
        <f ca="1">IFERROR(__xludf.DUMMYFUNCTION("IFERROR(VLOOKUP(F230,IMPORTRANGE(""https://docs.google.com/spreadsheets/d/1Kvs4KS76FHFqLFIZfrDMff4kP08nblUkihrxltoGBjg/edit#gid=934712705"",""ESENCIAL!A6:BG""),8,FALSE))"),"")</f>
        <v/>
      </c>
      <c r="L207" s="287"/>
      <c r="Z207" s="41" t="str">
        <f t="shared" si="16"/>
        <v/>
      </c>
      <c r="AA207" s="5" t="str">
        <f ca="1">IFERROR(__xludf.DUMMYFUNCTION("IFERROR(VLOOKUP(E230&amp;F230,IMPORTRANGE(""https://docs.google.com/spreadsheets/d/1Uw7-A9f9R21vMXxHZFNpYNeKFtG8_yji4HS352LGlSQ/edit?pli=1#gid=0"",""1_ACUM!A4:S""),11,FALSE))"),"")</f>
        <v/>
      </c>
      <c r="AB207" s="42" t="str">
        <f ca="1">IFERROR(__xludf.DUMMYFUNCTION("IFERROR(VLOOKUP(F230,IMPORTRANGE(""https://docs.google.com/spreadsheets/d/1Kvs4KS76FHFqLFIZfrDMff4kP08nblUkihrxltoGBjg/edit#gid=934712705"",""ESENCIAL!A6:BG""),15,FALSE))"),"")</f>
        <v/>
      </c>
      <c r="AC207" s="110" t="str">
        <f ca="1">IFERROR(__xludf.DUMMYFUNCTION("IFERROR(VLOOKUP(E230&amp;F230,IMPORTRANGE(""https://docs.google.com/spreadsheets/d/1Uw7-A9f9R21vMXxHZFNpYNeKFtG8_yji4HS352LGlSQ/edit?pli=1#gid=0"",""1_ACUM!A4:S""),13,FALSE))"),"")</f>
        <v/>
      </c>
      <c r="AD207" s="43" t="str">
        <f ca="1">IFERROR(__xludf.DUMMYFUNCTION("IFERROR(VLOOKUP(E230&amp;F230,IMPORTRANGE(""https://docs.google.com/spreadsheets/d/1Uw7-A9f9R21vMXxHZFNpYNeKFtG8_yji4HS352LGlSQ/edit?pli=1#gid=0"",""1_ACUM!A4:S""),13,FALSE))"),"")</f>
        <v/>
      </c>
      <c r="AE207" s="43" t="str">
        <f ca="1">IFERROR(__xludf.DUMMYFUNCTION("IFERROR(VLOOKUP(E230&amp;F230,IMPORTRANGE(""https://docs.google.com/spreadsheets/d/1Uw7-A9f9R21vMXxHZFNpYNeKFtG8_yji4HS352LGlSQ/edit?pli=1#gid=0"",""1_ACUM!A4:S""),14,FALSE))"),"")</f>
        <v/>
      </c>
      <c r="AF207" s="43" t="str">
        <f ca="1">IFERROR(__xludf.DUMMYFUNCTION("IFERROR(VLOOKUP(E230&amp;F230,IMPORTRANGE(""https://docs.google.com/spreadsheets/d/1Uw7-A9f9R21vMXxHZFNpYNeKFtG8_yji4HS352LGlSQ/edit?pli=1#gid=0"",""1_ACUM!A4:S""),15,FALSE))"),"")</f>
        <v/>
      </c>
      <c r="AG207" s="43" t="str">
        <f ca="1">IFERROR(__xludf.DUMMYFUNCTION("IFERROR(VLOOKUP(E230&amp;F230,IMPORTRANGE(""https://docs.google.com/spreadsheets/d/1Uw7-A9f9R21vMXxHZFNpYNeKFtG8_yji4HS352LGlSQ/edit?pli=1#gid=0"",""1_ACUM!A4:S""),16,FALSE))"),"")</f>
        <v/>
      </c>
      <c r="AH207" s="43" t="str">
        <f ca="1">IFERROR(__xludf.DUMMYFUNCTION("IFERROR(VLOOKUP(E230&amp;F230,IMPORTRANGE(""https://docs.google.com/spreadsheets/d/1Uw7-A9f9R21vMXxHZFNpYNeKFtG8_yji4HS352LGlSQ/edit?pli=1#gid=0"",""1_ACUM!A4:S""),17,FALSE))"),"")</f>
        <v/>
      </c>
      <c r="AI207" s="44" t="str">
        <f ca="1">IFERROR(__xludf.DUMMYFUNCTION("IFERROR(VLOOKUP(E230&amp;F230,IMPORTRANGE(""https://docs.google.com/spreadsheets/d/1Uw7-A9f9R21vMXxHZFNpYNeKFtG8_yji4HS352LGlSQ/edit?pli=1#gid=0"",""1_ACUM!A4:S""),18,FALSE))"),"")</f>
        <v/>
      </c>
      <c r="AJ207" s="44" t="str">
        <f ca="1">IFERROR(__xludf.DUMMYFUNCTION("IFERROR(VLOOKUP(E230&amp;F230,IMPORTRANGE(""https://docs.google.com/spreadsheets/d/1Uw7-A9f9R21vMXxHZFNpYNeKFtG8_yji4HS352LGlSQ/edit?pli=1#gid=0"",""1_ACUM!A4:S""),19,FALSE))"),"")</f>
        <v/>
      </c>
      <c r="AK207" s="98" t="str">
        <f ca="1">IFERROR(__xludf.DUMMYFUNCTION("IFERROR(VLOOKUP(F230,IMPORTRANGE(""https://docs.google.com/spreadsheets/d/1Kvs4KS76FHFqLFIZfrDMff4kP08nblUkihrxltoGBjg/edit#gid=934712705"",""ESENCIAL!A6:BG""),5,FALSE))"),"")</f>
        <v/>
      </c>
      <c r="AL207" s="98" t="str">
        <f t="shared" si="17"/>
        <v/>
      </c>
      <c r="AM207" s="99" t="str">
        <f t="shared" si="18"/>
        <v/>
      </c>
      <c r="AN207" s="100" t="str">
        <f ca="1">IFERROR(__xludf.DUMMYFUNCTION("IFERROR(VLOOKUP(F230,IMPORTRANGE(""https://docs.google.com/spreadsheets/d/1Kvs4KS76FHFqLFIZfrDMff4kP08nblUkihrxltoGBjg/edit#gid=934712705"",""ESENCIAL!A6:BG""),2,FALSE))"),"")</f>
        <v/>
      </c>
      <c r="AO207" s="19" t="str">
        <f t="shared" si="19"/>
        <v/>
      </c>
      <c r="AP207" s="100"/>
      <c r="AQ207" s="100"/>
    </row>
    <row r="208" spans="1:43" ht="15">
      <c r="A208" s="101"/>
      <c r="B208" s="101"/>
      <c r="G208" s="5" t="str">
        <f ca="1">IFERROR(__xludf.DUMMYFUNCTION("IFERROR(VLOOKUP(F231,IMPORTRANGE(""https://docs.google.com/spreadsheets/d/1Kvs4KS76FHFqLFIZfrDMff4kP08nblUkihrxltoGBjg/edit#gid=934712705"",""ESENCIAL!A6:BG""),3,FALSE))"),"")</f>
        <v/>
      </c>
      <c r="H208" s="5" t="str">
        <f ca="1">IFERROR(__xludf.DUMMYFUNCTION("IFERROR(VLOOKUP(F231,IMPORTRANGE(""https://docs.google.com/spreadsheets/d/1Kvs4KS76FHFqLFIZfrDMff4kP08nblUkihrxltoGBjg/edit#gid=934712705"",""ESENCIAL!A6:BG""),8,FALSE))"),"")</f>
        <v/>
      </c>
      <c r="L208" s="287"/>
      <c r="Z208" s="41" t="str">
        <f t="shared" si="16"/>
        <v/>
      </c>
      <c r="AA208" s="5" t="str">
        <f ca="1">IFERROR(__xludf.DUMMYFUNCTION("IFERROR(VLOOKUP(E231&amp;F231,IMPORTRANGE(""https://docs.google.com/spreadsheets/d/1Uw7-A9f9R21vMXxHZFNpYNeKFtG8_yji4HS352LGlSQ/edit?pli=1#gid=0"",""1_ACUM!A4:S""),11,FALSE))"),"")</f>
        <v/>
      </c>
      <c r="AB208" s="42" t="str">
        <f ca="1">IFERROR(__xludf.DUMMYFUNCTION("IFERROR(VLOOKUP(F231,IMPORTRANGE(""https://docs.google.com/spreadsheets/d/1Kvs4KS76FHFqLFIZfrDMff4kP08nblUkihrxltoGBjg/edit#gid=934712705"",""ESENCIAL!A6:BG""),15,FALSE))"),"")</f>
        <v/>
      </c>
      <c r="AC208" s="110" t="str">
        <f ca="1">IFERROR(__xludf.DUMMYFUNCTION("IFERROR(VLOOKUP(E231&amp;F231,IMPORTRANGE(""https://docs.google.com/spreadsheets/d/1Uw7-A9f9R21vMXxHZFNpYNeKFtG8_yji4HS352LGlSQ/edit?pli=1#gid=0"",""1_ACUM!A4:S""),13,FALSE))"),"")</f>
        <v/>
      </c>
      <c r="AD208" s="43" t="str">
        <f ca="1">IFERROR(__xludf.DUMMYFUNCTION("IFERROR(VLOOKUP(E231&amp;F231,IMPORTRANGE(""https://docs.google.com/spreadsheets/d/1Uw7-A9f9R21vMXxHZFNpYNeKFtG8_yji4HS352LGlSQ/edit?pli=1#gid=0"",""1_ACUM!A4:S""),13,FALSE))"),"")</f>
        <v/>
      </c>
      <c r="AE208" s="43" t="str">
        <f ca="1">IFERROR(__xludf.DUMMYFUNCTION("IFERROR(VLOOKUP(E231&amp;F231,IMPORTRANGE(""https://docs.google.com/spreadsheets/d/1Uw7-A9f9R21vMXxHZFNpYNeKFtG8_yji4HS352LGlSQ/edit?pli=1#gid=0"",""1_ACUM!A4:S""),14,FALSE))"),"")</f>
        <v/>
      </c>
      <c r="AF208" s="43" t="str">
        <f ca="1">IFERROR(__xludf.DUMMYFUNCTION("IFERROR(VLOOKUP(E231&amp;F231,IMPORTRANGE(""https://docs.google.com/spreadsheets/d/1Uw7-A9f9R21vMXxHZFNpYNeKFtG8_yji4HS352LGlSQ/edit?pli=1#gid=0"",""1_ACUM!A4:S""),15,FALSE))"),"")</f>
        <v/>
      </c>
      <c r="AG208" s="43" t="str">
        <f ca="1">IFERROR(__xludf.DUMMYFUNCTION("IFERROR(VLOOKUP(E231&amp;F231,IMPORTRANGE(""https://docs.google.com/spreadsheets/d/1Uw7-A9f9R21vMXxHZFNpYNeKFtG8_yji4HS352LGlSQ/edit?pli=1#gid=0"",""1_ACUM!A4:S""),16,FALSE))"),"")</f>
        <v/>
      </c>
      <c r="AH208" s="43" t="str">
        <f ca="1">IFERROR(__xludf.DUMMYFUNCTION("IFERROR(VLOOKUP(E231&amp;F231,IMPORTRANGE(""https://docs.google.com/spreadsheets/d/1Uw7-A9f9R21vMXxHZFNpYNeKFtG8_yji4HS352LGlSQ/edit?pli=1#gid=0"",""1_ACUM!A4:S""),17,FALSE))"),"")</f>
        <v/>
      </c>
      <c r="AI208" s="44" t="str">
        <f ca="1">IFERROR(__xludf.DUMMYFUNCTION("IFERROR(VLOOKUP(E231&amp;F231,IMPORTRANGE(""https://docs.google.com/spreadsheets/d/1Uw7-A9f9R21vMXxHZFNpYNeKFtG8_yji4HS352LGlSQ/edit?pli=1#gid=0"",""1_ACUM!A4:S""),18,FALSE))"),"")</f>
        <v/>
      </c>
      <c r="AJ208" s="44" t="str">
        <f ca="1">IFERROR(__xludf.DUMMYFUNCTION("IFERROR(VLOOKUP(E231&amp;F231,IMPORTRANGE(""https://docs.google.com/spreadsheets/d/1Uw7-A9f9R21vMXxHZFNpYNeKFtG8_yji4HS352LGlSQ/edit?pli=1#gid=0"",""1_ACUM!A4:S""),19,FALSE))"),"")</f>
        <v/>
      </c>
      <c r="AK208" s="98" t="str">
        <f ca="1">IFERROR(__xludf.DUMMYFUNCTION("IFERROR(VLOOKUP(F231,IMPORTRANGE(""https://docs.google.com/spreadsheets/d/1Kvs4KS76FHFqLFIZfrDMff4kP08nblUkihrxltoGBjg/edit#gid=934712705"",""ESENCIAL!A6:BG""),5,FALSE))"),"")</f>
        <v/>
      </c>
      <c r="AL208" s="98" t="str">
        <f t="shared" si="17"/>
        <v/>
      </c>
      <c r="AM208" s="99" t="str">
        <f t="shared" si="18"/>
        <v/>
      </c>
      <c r="AN208" s="100" t="str">
        <f ca="1">IFERROR(__xludf.DUMMYFUNCTION("IFERROR(VLOOKUP(F231,IMPORTRANGE(""https://docs.google.com/spreadsheets/d/1Kvs4KS76FHFqLFIZfrDMff4kP08nblUkihrxltoGBjg/edit#gid=934712705"",""ESENCIAL!A6:BG""),2,FALSE))"),"")</f>
        <v/>
      </c>
      <c r="AO208" s="19" t="str">
        <f t="shared" si="19"/>
        <v/>
      </c>
      <c r="AP208" s="100"/>
      <c r="AQ208" s="100"/>
    </row>
    <row r="209" spans="1:43" ht="15">
      <c r="A209" s="101"/>
      <c r="B209" s="101"/>
      <c r="G209" s="5" t="str">
        <f ca="1">IFERROR(__xludf.DUMMYFUNCTION("IFERROR(VLOOKUP(F232,IMPORTRANGE(""https://docs.google.com/spreadsheets/d/1Kvs4KS76FHFqLFIZfrDMff4kP08nblUkihrxltoGBjg/edit#gid=934712705"",""ESENCIAL!A6:BG""),3,FALSE))"),"")</f>
        <v/>
      </c>
      <c r="H209" s="5" t="str">
        <f ca="1">IFERROR(__xludf.DUMMYFUNCTION("IFERROR(VLOOKUP(F232,IMPORTRANGE(""https://docs.google.com/spreadsheets/d/1Kvs4KS76FHFqLFIZfrDMff4kP08nblUkihrxltoGBjg/edit#gid=934712705"",""ESENCIAL!A6:BG""),8,FALSE))"),"")</f>
        <v/>
      </c>
      <c r="L209" s="287"/>
      <c r="Z209" s="41" t="str">
        <f t="shared" si="16"/>
        <v/>
      </c>
      <c r="AA209" s="5" t="str">
        <f ca="1">IFERROR(__xludf.DUMMYFUNCTION("IFERROR(VLOOKUP(E232&amp;F232,IMPORTRANGE(""https://docs.google.com/spreadsheets/d/1Uw7-A9f9R21vMXxHZFNpYNeKFtG8_yji4HS352LGlSQ/edit?pli=1#gid=0"",""1_ACUM!A4:S""),11,FALSE))"),"")</f>
        <v/>
      </c>
      <c r="AB209" s="42" t="str">
        <f ca="1">IFERROR(__xludf.DUMMYFUNCTION("IFERROR(VLOOKUP(F232,IMPORTRANGE(""https://docs.google.com/spreadsheets/d/1Kvs4KS76FHFqLFIZfrDMff4kP08nblUkihrxltoGBjg/edit#gid=934712705"",""ESENCIAL!A6:BG""),15,FALSE))"),"")</f>
        <v/>
      </c>
      <c r="AC209" s="110" t="str">
        <f ca="1">IFERROR(__xludf.DUMMYFUNCTION("IFERROR(VLOOKUP(E232&amp;F232,IMPORTRANGE(""https://docs.google.com/spreadsheets/d/1Uw7-A9f9R21vMXxHZFNpYNeKFtG8_yji4HS352LGlSQ/edit?pli=1#gid=0"",""1_ACUM!A4:S""),13,FALSE))"),"")</f>
        <v/>
      </c>
      <c r="AD209" s="43" t="str">
        <f ca="1">IFERROR(__xludf.DUMMYFUNCTION("IFERROR(VLOOKUP(E232&amp;F232,IMPORTRANGE(""https://docs.google.com/spreadsheets/d/1Uw7-A9f9R21vMXxHZFNpYNeKFtG8_yji4HS352LGlSQ/edit?pli=1#gid=0"",""1_ACUM!A4:S""),13,FALSE))"),"")</f>
        <v/>
      </c>
      <c r="AE209" s="43" t="str">
        <f ca="1">IFERROR(__xludf.DUMMYFUNCTION("IFERROR(VLOOKUP(E232&amp;F232,IMPORTRANGE(""https://docs.google.com/spreadsheets/d/1Uw7-A9f9R21vMXxHZFNpYNeKFtG8_yji4HS352LGlSQ/edit?pli=1#gid=0"",""1_ACUM!A4:S""),14,FALSE))"),"")</f>
        <v/>
      </c>
      <c r="AF209" s="43" t="str">
        <f ca="1">IFERROR(__xludf.DUMMYFUNCTION("IFERROR(VLOOKUP(E232&amp;F232,IMPORTRANGE(""https://docs.google.com/spreadsheets/d/1Uw7-A9f9R21vMXxHZFNpYNeKFtG8_yji4HS352LGlSQ/edit?pli=1#gid=0"",""1_ACUM!A4:S""),15,FALSE))"),"")</f>
        <v/>
      </c>
      <c r="AG209" s="43" t="str">
        <f ca="1">IFERROR(__xludf.DUMMYFUNCTION("IFERROR(VLOOKUP(E232&amp;F232,IMPORTRANGE(""https://docs.google.com/spreadsheets/d/1Uw7-A9f9R21vMXxHZFNpYNeKFtG8_yji4HS352LGlSQ/edit?pli=1#gid=0"",""1_ACUM!A4:S""),16,FALSE))"),"")</f>
        <v/>
      </c>
      <c r="AH209" s="43" t="str">
        <f ca="1">IFERROR(__xludf.DUMMYFUNCTION("IFERROR(VLOOKUP(E232&amp;F232,IMPORTRANGE(""https://docs.google.com/spreadsheets/d/1Uw7-A9f9R21vMXxHZFNpYNeKFtG8_yji4HS352LGlSQ/edit?pli=1#gid=0"",""1_ACUM!A4:S""),17,FALSE))"),"")</f>
        <v/>
      </c>
      <c r="AI209" s="44" t="str">
        <f ca="1">IFERROR(__xludf.DUMMYFUNCTION("IFERROR(VLOOKUP(E232&amp;F232,IMPORTRANGE(""https://docs.google.com/spreadsheets/d/1Uw7-A9f9R21vMXxHZFNpYNeKFtG8_yji4HS352LGlSQ/edit?pli=1#gid=0"",""1_ACUM!A4:S""),18,FALSE))"),"")</f>
        <v/>
      </c>
      <c r="AJ209" s="44" t="str">
        <f ca="1">IFERROR(__xludf.DUMMYFUNCTION("IFERROR(VLOOKUP(E232&amp;F232,IMPORTRANGE(""https://docs.google.com/spreadsheets/d/1Uw7-A9f9R21vMXxHZFNpYNeKFtG8_yji4HS352LGlSQ/edit?pli=1#gid=0"",""1_ACUM!A4:S""),19,FALSE))"),"")</f>
        <v/>
      </c>
      <c r="AK209" s="98" t="str">
        <f ca="1">IFERROR(__xludf.DUMMYFUNCTION("IFERROR(VLOOKUP(F232,IMPORTRANGE(""https://docs.google.com/spreadsheets/d/1Kvs4KS76FHFqLFIZfrDMff4kP08nblUkihrxltoGBjg/edit#gid=934712705"",""ESENCIAL!A6:BG""),5,FALSE))"),"")</f>
        <v/>
      </c>
      <c r="AL209" s="98" t="str">
        <f t="shared" si="17"/>
        <v/>
      </c>
      <c r="AM209" s="99" t="str">
        <f t="shared" si="18"/>
        <v/>
      </c>
      <c r="AN209" s="100" t="str">
        <f ca="1">IFERROR(__xludf.DUMMYFUNCTION("IFERROR(VLOOKUP(F232,IMPORTRANGE(""https://docs.google.com/spreadsheets/d/1Kvs4KS76FHFqLFIZfrDMff4kP08nblUkihrxltoGBjg/edit#gid=934712705"",""ESENCIAL!A6:BG""),2,FALSE))"),"")</f>
        <v/>
      </c>
      <c r="AO209" s="19" t="str">
        <f t="shared" si="19"/>
        <v/>
      </c>
      <c r="AP209" s="100"/>
      <c r="AQ209" s="100"/>
    </row>
    <row r="210" spans="1:43" ht="15">
      <c r="A210" s="101"/>
      <c r="B210" s="101"/>
      <c r="G210" s="5" t="str">
        <f ca="1">IFERROR(__xludf.DUMMYFUNCTION("IFERROR(VLOOKUP(F233,IMPORTRANGE(""https://docs.google.com/spreadsheets/d/1Kvs4KS76FHFqLFIZfrDMff4kP08nblUkihrxltoGBjg/edit#gid=934712705"",""ESENCIAL!A6:BG""),3,FALSE))"),"")</f>
        <v/>
      </c>
      <c r="H210" s="5" t="str">
        <f ca="1">IFERROR(__xludf.DUMMYFUNCTION("IFERROR(VLOOKUP(F233,IMPORTRANGE(""https://docs.google.com/spreadsheets/d/1Kvs4KS76FHFqLFIZfrDMff4kP08nblUkihrxltoGBjg/edit#gid=934712705"",""ESENCIAL!A6:BG""),8,FALSE))"),"")</f>
        <v/>
      </c>
      <c r="L210" s="287"/>
      <c r="Z210" s="41" t="str">
        <f t="shared" si="16"/>
        <v/>
      </c>
      <c r="AA210" s="5" t="str">
        <f ca="1">IFERROR(__xludf.DUMMYFUNCTION("IFERROR(VLOOKUP(E233&amp;F233,IMPORTRANGE(""https://docs.google.com/spreadsheets/d/1Uw7-A9f9R21vMXxHZFNpYNeKFtG8_yji4HS352LGlSQ/edit?pli=1#gid=0"",""1_ACUM!A4:S""),11,FALSE))"),"")</f>
        <v/>
      </c>
      <c r="AB210" s="42" t="str">
        <f ca="1">IFERROR(__xludf.DUMMYFUNCTION("IFERROR(VLOOKUP(F233,IMPORTRANGE(""https://docs.google.com/spreadsheets/d/1Kvs4KS76FHFqLFIZfrDMff4kP08nblUkihrxltoGBjg/edit#gid=934712705"",""ESENCIAL!A6:BG""),15,FALSE))"),"")</f>
        <v/>
      </c>
      <c r="AC210" s="110" t="str">
        <f ca="1">IFERROR(__xludf.DUMMYFUNCTION("IFERROR(VLOOKUP(E233&amp;F233,IMPORTRANGE(""https://docs.google.com/spreadsheets/d/1Uw7-A9f9R21vMXxHZFNpYNeKFtG8_yji4HS352LGlSQ/edit?pli=1#gid=0"",""1_ACUM!A4:S""),13,FALSE))"),"")</f>
        <v/>
      </c>
      <c r="AD210" s="43" t="str">
        <f ca="1">IFERROR(__xludf.DUMMYFUNCTION("IFERROR(VLOOKUP(E233&amp;F233,IMPORTRANGE(""https://docs.google.com/spreadsheets/d/1Uw7-A9f9R21vMXxHZFNpYNeKFtG8_yji4HS352LGlSQ/edit?pli=1#gid=0"",""1_ACUM!A4:S""),13,FALSE))"),"")</f>
        <v/>
      </c>
      <c r="AE210" s="43" t="str">
        <f ca="1">IFERROR(__xludf.DUMMYFUNCTION("IFERROR(VLOOKUP(E233&amp;F233,IMPORTRANGE(""https://docs.google.com/spreadsheets/d/1Uw7-A9f9R21vMXxHZFNpYNeKFtG8_yji4HS352LGlSQ/edit?pli=1#gid=0"",""1_ACUM!A4:S""),14,FALSE))"),"")</f>
        <v/>
      </c>
      <c r="AF210" s="43" t="str">
        <f ca="1">IFERROR(__xludf.DUMMYFUNCTION("IFERROR(VLOOKUP(E233&amp;F233,IMPORTRANGE(""https://docs.google.com/spreadsheets/d/1Uw7-A9f9R21vMXxHZFNpYNeKFtG8_yji4HS352LGlSQ/edit?pli=1#gid=0"",""1_ACUM!A4:S""),15,FALSE))"),"")</f>
        <v/>
      </c>
      <c r="AG210" s="43" t="str">
        <f ca="1">IFERROR(__xludf.DUMMYFUNCTION("IFERROR(VLOOKUP(E233&amp;F233,IMPORTRANGE(""https://docs.google.com/spreadsheets/d/1Uw7-A9f9R21vMXxHZFNpYNeKFtG8_yji4HS352LGlSQ/edit?pli=1#gid=0"",""1_ACUM!A4:S""),16,FALSE))"),"")</f>
        <v/>
      </c>
      <c r="AH210" s="43" t="str">
        <f ca="1">IFERROR(__xludf.DUMMYFUNCTION("IFERROR(VLOOKUP(E233&amp;F233,IMPORTRANGE(""https://docs.google.com/spreadsheets/d/1Uw7-A9f9R21vMXxHZFNpYNeKFtG8_yji4HS352LGlSQ/edit?pli=1#gid=0"",""1_ACUM!A4:S""),17,FALSE))"),"")</f>
        <v/>
      </c>
      <c r="AI210" s="44" t="str">
        <f ca="1">IFERROR(__xludf.DUMMYFUNCTION("IFERROR(VLOOKUP(E233&amp;F233,IMPORTRANGE(""https://docs.google.com/spreadsheets/d/1Uw7-A9f9R21vMXxHZFNpYNeKFtG8_yji4HS352LGlSQ/edit?pli=1#gid=0"",""1_ACUM!A4:S""),18,FALSE))"),"")</f>
        <v/>
      </c>
      <c r="AJ210" s="44" t="str">
        <f ca="1">IFERROR(__xludf.DUMMYFUNCTION("IFERROR(VLOOKUP(E233&amp;F233,IMPORTRANGE(""https://docs.google.com/spreadsheets/d/1Uw7-A9f9R21vMXxHZFNpYNeKFtG8_yji4HS352LGlSQ/edit?pli=1#gid=0"",""1_ACUM!A4:S""),19,FALSE))"),"")</f>
        <v/>
      </c>
      <c r="AK210" s="98" t="str">
        <f ca="1">IFERROR(__xludf.DUMMYFUNCTION("IFERROR(VLOOKUP(F233,IMPORTRANGE(""https://docs.google.com/spreadsheets/d/1Kvs4KS76FHFqLFIZfrDMff4kP08nblUkihrxltoGBjg/edit#gid=934712705"",""ESENCIAL!A6:BG""),5,FALSE))"),"")</f>
        <v/>
      </c>
      <c r="AL210" s="98" t="str">
        <f t="shared" si="17"/>
        <v/>
      </c>
      <c r="AM210" s="99" t="str">
        <f t="shared" si="18"/>
        <v/>
      </c>
      <c r="AN210" s="100" t="str">
        <f ca="1">IFERROR(__xludf.DUMMYFUNCTION("IFERROR(VLOOKUP(F233,IMPORTRANGE(""https://docs.google.com/spreadsheets/d/1Kvs4KS76FHFqLFIZfrDMff4kP08nblUkihrxltoGBjg/edit#gid=934712705"",""ESENCIAL!A6:BG""),2,FALSE))"),"")</f>
        <v/>
      </c>
      <c r="AO210" s="19" t="str">
        <f t="shared" si="19"/>
        <v/>
      </c>
      <c r="AP210" s="100"/>
      <c r="AQ210" s="100"/>
    </row>
    <row r="211" spans="1:43" ht="15">
      <c r="A211" s="101"/>
      <c r="B211" s="101"/>
      <c r="G211" s="5" t="str">
        <f ca="1">IFERROR(__xludf.DUMMYFUNCTION("IFERROR(VLOOKUP(F234,IMPORTRANGE(""https://docs.google.com/spreadsheets/d/1Kvs4KS76FHFqLFIZfrDMff4kP08nblUkihrxltoGBjg/edit#gid=934712705"",""ESENCIAL!A6:BG""),3,FALSE))"),"")</f>
        <v/>
      </c>
      <c r="H211" s="5" t="str">
        <f ca="1">IFERROR(__xludf.DUMMYFUNCTION("IFERROR(VLOOKUP(F234,IMPORTRANGE(""https://docs.google.com/spreadsheets/d/1Kvs4KS76FHFqLFIZfrDMff4kP08nblUkihrxltoGBjg/edit#gid=934712705"",""ESENCIAL!A6:BG""),8,FALSE))"),"")</f>
        <v/>
      </c>
      <c r="L211" s="287"/>
      <c r="Z211" s="41" t="str">
        <f t="shared" si="16"/>
        <v/>
      </c>
      <c r="AA211" s="5" t="str">
        <f ca="1">IFERROR(__xludf.DUMMYFUNCTION("IFERROR(VLOOKUP(E234&amp;F234,IMPORTRANGE(""https://docs.google.com/spreadsheets/d/1Uw7-A9f9R21vMXxHZFNpYNeKFtG8_yji4HS352LGlSQ/edit?pli=1#gid=0"",""1_ACUM!A4:S""),11,FALSE))"),"")</f>
        <v/>
      </c>
      <c r="AB211" s="42" t="str">
        <f ca="1">IFERROR(__xludf.DUMMYFUNCTION("IFERROR(VLOOKUP(F234,IMPORTRANGE(""https://docs.google.com/spreadsheets/d/1Kvs4KS76FHFqLFIZfrDMff4kP08nblUkihrxltoGBjg/edit#gid=934712705"",""ESENCIAL!A6:BG""),15,FALSE))"),"")</f>
        <v/>
      </c>
      <c r="AC211" s="110" t="str">
        <f ca="1">IFERROR(__xludf.DUMMYFUNCTION("IFERROR(VLOOKUP(E234&amp;F234,IMPORTRANGE(""https://docs.google.com/spreadsheets/d/1Uw7-A9f9R21vMXxHZFNpYNeKFtG8_yji4HS352LGlSQ/edit?pli=1#gid=0"",""1_ACUM!A4:S""),13,FALSE))"),"")</f>
        <v/>
      </c>
      <c r="AD211" s="43" t="str">
        <f ca="1">IFERROR(__xludf.DUMMYFUNCTION("IFERROR(VLOOKUP(E234&amp;F234,IMPORTRANGE(""https://docs.google.com/spreadsheets/d/1Uw7-A9f9R21vMXxHZFNpYNeKFtG8_yji4HS352LGlSQ/edit?pli=1#gid=0"",""1_ACUM!A4:S""),13,FALSE))"),"")</f>
        <v/>
      </c>
      <c r="AE211" s="43" t="str">
        <f ca="1">IFERROR(__xludf.DUMMYFUNCTION("IFERROR(VLOOKUP(E234&amp;F234,IMPORTRANGE(""https://docs.google.com/spreadsheets/d/1Uw7-A9f9R21vMXxHZFNpYNeKFtG8_yji4HS352LGlSQ/edit?pli=1#gid=0"",""1_ACUM!A4:S""),14,FALSE))"),"")</f>
        <v/>
      </c>
      <c r="AF211" s="43" t="str">
        <f ca="1">IFERROR(__xludf.DUMMYFUNCTION("IFERROR(VLOOKUP(E234&amp;F234,IMPORTRANGE(""https://docs.google.com/spreadsheets/d/1Uw7-A9f9R21vMXxHZFNpYNeKFtG8_yji4HS352LGlSQ/edit?pli=1#gid=0"",""1_ACUM!A4:S""),15,FALSE))"),"")</f>
        <v/>
      </c>
      <c r="AG211" s="43" t="str">
        <f ca="1">IFERROR(__xludf.DUMMYFUNCTION("IFERROR(VLOOKUP(E234&amp;F234,IMPORTRANGE(""https://docs.google.com/spreadsheets/d/1Uw7-A9f9R21vMXxHZFNpYNeKFtG8_yji4HS352LGlSQ/edit?pli=1#gid=0"",""1_ACUM!A4:S""),16,FALSE))"),"")</f>
        <v/>
      </c>
      <c r="AH211" s="43" t="str">
        <f ca="1">IFERROR(__xludf.DUMMYFUNCTION("IFERROR(VLOOKUP(E234&amp;F234,IMPORTRANGE(""https://docs.google.com/spreadsheets/d/1Uw7-A9f9R21vMXxHZFNpYNeKFtG8_yji4HS352LGlSQ/edit?pli=1#gid=0"",""1_ACUM!A4:S""),17,FALSE))"),"")</f>
        <v/>
      </c>
      <c r="AI211" s="44" t="str">
        <f ca="1">IFERROR(__xludf.DUMMYFUNCTION("IFERROR(VLOOKUP(E234&amp;F234,IMPORTRANGE(""https://docs.google.com/spreadsheets/d/1Uw7-A9f9R21vMXxHZFNpYNeKFtG8_yji4HS352LGlSQ/edit?pli=1#gid=0"",""1_ACUM!A4:S""),18,FALSE))"),"")</f>
        <v/>
      </c>
      <c r="AJ211" s="44" t="str">
        <f ca="1">IFERROR(__xludf.DUMMYFUNCTION("IFERROR(VLOOKUP(E234&amp;F234,IMPORTRANGE(""https://docs.google.com/spreadsheets/d/1Uw7-A9f9R21vMXxHZFNpYNeKFtG8_yji4HS352LGlSQ/edit?pli=1#gid=0"",""1_ACUM!A4:S""),19,FALSE))"),"")</f>
        <v/>
      </c>
      <c r="AK211" s="98" t="str">
        <f ca="1">IFERROR(__xludf.DUMMYFUNCTION("IFERROR(VLOOKUP(F234,IMPORTRANGE(""https://docs.google.com/spreadsheets/d/1Kvs4KS76FHFqLFIZfrDMff4kP08nblUkihrxltoGBjg/edit#gid=934712705"",""ESENCIAL!A6:BG""),5,FALSE))"),"")</f>
        <v/>
      </c>
      <c r="AL211" s="98" t="str">
        <f t="shared" si="17"/>
        <v/>
      </c>
      <c r="AM211" s="99" t="str">
        <f t="shared" si="18"/>
        <v/>
      </c>
      <c r="AN211" s="100" t="str">
        <f ca="1">IFERROR(__xludf.DUMMYFUNCTION("IFERROR(VLOOKUP(F234,IMPORTRANGE(""https://docs.google.com/spreadsheets/d/1Kvs4KS76FHFqLFIZfrDMff4kP08nblUkihrxltoGBjg/edit#gid=934712705"",""ESENCIAL!A6:BG""),2,FALSE))"),"")</f>
        <v/>
      </c>
      <c r="AO211" s="19" t="str">
        <f t="shared" si="19"/>
        <v/>
      </c>
      <c r="AP211" s="100"/>
      <c r="AQ211" s="100"/>
    </row>
    <row r="212" spans="1:43" ht="15">
      <c r="A212" s="101"/>
      <c r="B212" s="101"/>
      <c r="G212" s="5" t="str">
        <f ca="1">IFERROR(__xludf.DUMMYFUNCTION("IFERROR(VLOOKUP(F235,IMPORTRANGE(""https://docs.google.com/spreadsheets/d/1Kvs4KS76FHFqLFIZfrDMff4kP08nblUkihrxltoGBjg/edit#gid=934712705"",""ESENCIAL!A6:BG""),3,FALSE))"),"")</f>
        <v/>
      </c>
      <c r="H212" s="5" t="str">
        <f ca="1">IFERROR(__xludf.DUMMYFUNCTION("IFERROR(VLOOKUP(F235,IMPORTRANGE(""https://docs.google.com/spreadsheets/d/1Kvs4KS76FHFqLFIZfrDMff4kP08nblUkihrxltoGBjg/edit#gid=934712705"",""ESENCIAL!A6:BG""),8,FALSE))"),"")</f>
        <v/>
      </c>
      <c r="L212" s="287"/>
      <c r="Z212" s="41" t="str">
        <f t="shared" si="16"/>
        <v/>
      </c>
      <c r="AA212" s="5" t="str">
        <f ca="1">IFERROR(__xludf.DUMMYFUNCTION("IFERROR(VLOOKUP(E235&amp;F235,IMPORTRANGE(""https://docs.google.com/spreadsheets/d/1Uw7-A9f9R21vMXxHZFNpYNeKFtG8_yji4HS352LGlSQ/edit?pli=1#gid=0"",""1_ACUM!A4:S""),11,FALSE))"),"")</f>
        <v/>
      </c>
      <c r="AB212" s="42" t="str">
        <f ca="1">IFERROR(__xludf.DUMMYFUNCTION("IFERROR(VLOOKUP(F235,IMPORTRANGE(""https://docs.google.com/spreadsheets/d/1Kvs4KS76FHFqLFIZfrDMff4kP08nblUkihrxltoGBjg/edit#gid=934712705"",""ESENCIAL!A6:BG""),15,FALSE))"),"")</f>
        <v/>
      </c>
      <c r="AC212" s="110" t="str">
        <f ca="1">IFERROR(__xludf.DUMMYFUNCTION("IFERROR(VLOOKUP(E235&amp;F235,IMPORTRANGE(""https://docs.google.com/spreadsheets/d/1Uw7-A9f9R21vMXxHZFNpYNeKFtG8_yji4HS352LGlSQ/edit?pli=1#gid=0"",""1_ACUM!A4:S""),13,FALSE))"),"")</f>
        <v/>
      </c>
      <c r="AD212" s="43" t="str">
        <f ca="1">IFERROR(__xludf.DUMMYFUNCTION("IFERROR(VLOOKUP(E235&amp;F235,IMPORTRANGE(""https://docs.google.com/spreadsheets/d/1Uw7-A9f9R21vMXxHZFNpYNeKFtG8_yji4HS352LGlSQ/edit?pli=1#gid=0"",""1_ACUM!A4:S""),13,FALSE))"),"")</f>
        <v/>
      </c>
      <c r="AE212" s="43" t="str">
        <f ca="1">IFERROR(__xludf.DUMMYFUNCTION("IFERROR(VLOOKUP(E235&amp;F235,IMPORTRANGE(""https://docs.google.com/spreadsheets/d/1Uw7-A9f9R21vMXxHZFNpYNeKFtG8_yji4HS352LGlSQ/edit?pli=1#gid=0"",""1_ACUM!A4:S""),14,FALSE))"),"")</f>
        <v/>
      </c>
      <c r="AF212" s="43" t="str">
        <f ca="1">IFERROR(__xludf.DUMMYFUNCTION("IFERROR(VLOOKUP(E235&amp;F235,IMPORTRANGE(""https://docs.google.com/spreadsheets/d/1Uw7-A9f9R21vMXxHZFNpYNeKFtG8_yji4HS352LGlSQ/edit?pli=1#gid=0"",""1_ACUM!A4:S""),15,FALSE))"),"")</f>
        <v/>
      </c>
      <c r="AG212" s="43" t="str">
        <f ca="1">IFERROR(__xludf.DUMMYFUNCTION("IFERROR(VLOOKUP(E235&amp;F235,IMPORTRANGE(""https://docs.google.com/spreadsheets/d/1Uw7-A9f9R21vMXxHZFNpYNeKFtG8_yji4HS352LGlSQ/edit?pli=1#gid=0"",""1_ACUM!A4:S""),16,FALSE))"),"")</f>
        <v/>
      </c>
      <c r="AH212" s="43" t="str">
        <f ca="1">IFERROR(__xludf.DUMMYFUNCTION("IFERROR(VLOOKUP(E235&amp;F235,IMPORTRANGE(""https://docs.google.com/spreadsheets/d/1Uw7-A9f9R21vMXxHZFNpYNeKFtG8_yji4HS352LGlSQ/edit?pli=1#gid=0"",""1_ACUM!A4:S""),17,FALSE))"),"")</f>
        <v/>
      </c>
      <c r="AI212" s="44" t="str">
        <f ca="1">IFERROR(__xludf.DUMMYFUNCTION("IFERROR(VLOOKUP(E235&amp;F235,IMPORTRANGE(""https://docs.google.com/spreadsheets/d/1Uw7-A9f9R21vMXxHZFNpYNeKFtG8_yji4HS352LGlSQ/edit?pli=1#gid=0"",""1_ACUM!A4:S""),18,FALSE))"),"")</f>
        <v/>
      </c>
      <c r="AJ212" s="44" t="str">
        <f ca="1">IFERROR(__xludf.DUMMYFUNCTION("IFERROR(VLOOKUP(E235&amp;F235,IMPORTRANGE(""https://docs.google.com/spreadsheets/d/1Uw7-A9f9R21vMXxHZFNpYNeKFtG8_yji4HS352LGlSQ/edit?pli=1#gid=0"",""1_ACUM!A4:S""),19,FALSE))"),"")</f>
        <v/>
      </c>
      <c r="AK212" s="98" t="str">
        <f ca="1">IFERROR(__xludf.DUMMYFUNCTION("IFERROR(VLOOKUP(F235,IMPORTRANGE(""https://docs.google.com/spreadsheets/d/1Kvs4KS76FHFqLFIZfrDMff4kP08nblUkihrxltoGBjg/edit#gid=934712705"",""ESENCIAL!A6:BG""),5,FALSE))"),"")</f>
        <v/>
      </c>
      <c r="AL212" s="98" t="str">
        <f t="shared" si="17"/>
        <v/>
      </c>
      <c r="AM212" s="99" t="str">
        <f t="shared" si="18"/>
        <v/>
      </c>
      <c r="AN212" s="100" t="str">
        <f ca="1">IFERROR(__xludf.DUMMYFUNCTION("IFERROR(VLOOKUP(F235,IMPORTRANGE(""https://docs.google.com/spreadsheets/d/1Kvs4KS76FHFqLFIZfrDMff4kP08nblUkihrxltoGBjg/edit#gid=934712705"",""ESENCIAL!A6:BG""),2,FALSE))"),"")</f>
        <v/>
      </c>
      <c r="AO212" s="19" t="str">
        <f t="shared" si="19"/>
        <v/>
      </c>
      <c r="AP212" s="100"/>
      <c r="AQ212" s="100"/>
    </row>
    <row r="213" spans="1:43" ht="15">
      <c r="A213" s="101"/>
      <c r="B213" s="101"/>
      <c r="G213" s="5" t="str">
        <f ca="1">IFERROR(__xludf.DUMMYFUNCTION("IFERROR(VLOOKUP(F236,IMPORTRANGE(""https://docs.google.com/spreadsheets/d/1Kvs4KS76FHFqLFIZfrDMff4kP08nblUkihrxltoGBjg/edit#gid=934712705"",""ESENCIAL!A6:BG""),3,FALSE))"),"")</f>
        <v/>
      </c>
      <c r="H213" s="5" t="str">
        <f ca="1">IFERROR(__xludf.DUMMYFUNCTION("IFERROR(VLOOKUP(F236,IMPORTRANGE(""https://docs.google.com/spreadsheets/d/1Kvs4KS76FHFqLFIZfrDMff4kP08nblUkihrxltoGBjg/edit#gid=934712705"",""ESENCIAL!A6:BG""),8,FALSE))"),"")</f>
        <v/>
      </c>
      <c r="L213" s="287"/>
      <c r="Z213" s="41" t="str">
        <f t="shared" si="16"/>
        <v/>
      </c>
      <c r="AA213" s="5" t="str">
        <f ca="1">IFERROR(__xludf.DUMMYFUNCTION("IFERROR(VLOOKUP(E236&amp;F236,IMPORTRANGE(""https://docs.google.com/spreadsheets/d/1Uw7-A9f9R21vMXxHZFNpYNeKFtG8_yji4HS352LGlSQ/edit?pli=1#gid=0"",""1_ACUM!A4:S""),11,FALSE))"),"")</f>
        <v/>
      </c>
      <c r="AB213" s="42" t="str">
        <f ca="1">IFERROR(__xludf.DUMMYFUNCTION("IFERROR(VLOOKUP(F236,IMPORTRANGE(""https://docs.google.com/spreadsheets/d/1Kvs4KS76FHFqLFIZfrDMff4kP08nblUkihrxltoGBjg/edit#gid=934712705"",""ESENCIAL!A6:BG""),15,FALSE))"),"")</f>
        <v/>
      </c>
      <c r="AC213" s="110" t="str">
        <f ca="1">IFERROR(__xludf.DUMMYFUNCTION("IFERROR(VLOOKUP(E236&amp;F236,IMPORTRANGE(""https://docs.google.com/spreadsheets/d/1Uw7-A9f9R21vMXxHZFNpYNeKFtG8_yji4HS352LGlSQ/edit?pli=1#gid=0"",""1_ACUM!A4:S""),13,FALSE))"),"")</f>
        <v/>
      </c>
      <c r="AD213" s="43" t="str">
        <f ca="1">IFERROR(__xludf.DUMMYFUNCTION("IFERROR(VLOOKUP(E236&amp;F236,IMPORTRANGE(""https://docs.google.com/spreadsheets/d/1Uw7-A9f9R21vMXxHZFNpYNeKFtG8_yji4HS352LGlSQ/edit?pli=1#gid=0"",""1_ACUM!A4:S""),13,FALSE))"),"")</f>
        <v/>
      </c>
      <c r="AE213" s="43" t="str">
        <f ca="1">IFERROR(__xludf.DUMMYFUNCTION("IFERROR(VLOOKUP(E236&amp;F236,IMPORTRANGE(""https://docs.google.com/spreadsheets/d/1Uw7-A9f9R21vMXxHZFNpYNeKFtG8_yji4HS352LGlSQ/edit?pli=1#gid=0"",""1_ACUM!A4:S""),14,FALSE))"),"")</f>
        <v/>
      </c>
      <c r="AF213" s="43" t="str">
        <f ca="1">IFERROR(__xludf.DUMMYFUNCTION("IFERROR(VLOOKUP(E236&amp;F236,IMPORTRANGE(""https://docs.google.com/spreadsheets/d/1Uw7-A9f9R21vMXxHZFNpYNeKFtG8_yji4HS352LGlSQ/edit?pli=1#gid=0"",""1_ACUM!A4:S""),15,FALSE))"),"")</f>
        <v/>
      </c>
      <c r="AG213" s="43" t="str">
        <f ca="1">IFERROR(__xludf.DUMMYFUNCTION("IFERROR(VLOOKUP(E236&amp;F236,IMPORTRANGE(""https://docs.google.com/spreadsheets/d/1Uw7-A9f9R21vMXxHZFNpYNeKFtG8_yji4HS352LGlSQ/edit?pli=1#gid=0"",""1_ACUM!A4:S""),16,FALSE))"),"")</f>
        <v/>
      </c>
      <c r="AH213" s="43" t="str">
        <f ca="1">IFERROR(__xludf.DUMMYFUNCTION("IFERROR(VLOOKUP(E236&amp;F236,IMPORTRANGE(""https://docs.google.com/spreadsheets/d/1Uw7-A9f9R21vMXxHZFNpYNeKFtG8_yji4HS352LGlSQ/edit?pli=1#gid=0"",""1_ACUM!A4:S""),17,FALSE))"),"")</f>
        <v/>
      </c>
      <c r="AI213" s="44" t="str">
        <f ca="1">IFERROR(__xludf.DUMMYFUNCTION("IFERROR(VLOOKUP(E236&amp;F236,IMPORTRANGE(""https://docs.google.com/spreadsheets/d/1Uw7-A9f9R21vMXxHZFNpYNeKFtG8_yji4HS352LGlSQ/edit?pli=1#gid=0"",""1_ACUM!A4:S""),18,FALSE))"),"")</f>
        <v/>
      </c>
      <c r="AJ213" s="44" t="str">
        <f ca="1">IFERROR(__xludf.DUMMYFUNCTION("IFERROR(VLOOKUP(E236&amp;F236,IMPORTRANGE(""https://docs.google.com/spreadsheets/d/1Uw7-A9f9R21vMXxHZFNpYNeKFtG8_yji4HS352LGlSQ/edit?pli=1#gid=0"",""1_ACUM!A4:S""),19,FALSE))"),"")</f>
        <v/>
      </c>
      <c r="AK213" s="98" t="str">
        <f ca="1">IFERROR(__xludf.DUMMYFUNCTION("IFERROR(VLOOKUP(F236,IMPORTRANGE(""https://docs.google.com/spreadsheets/d/1Kvs4KS76FHFqLFIZfrDMff4kP08nblUkihrxltoGBjg/edit#gid=934712705"",""ESENCIAL!A6:BG""),5,FALSE))"),"")</f>
        <v/>
      </c>
      <c r="AL213" s="98" t="str">
        <f t="shared" si="17"/>
        <v/>
      </c>
      <c r="AM213" s="99" t="str">
        <f t="shared" si="18"/>
        <v/>
      </c>
      <c r="AN213" s="100" t="str">
        <f ca="1">IFERROR(__xludf.DUMMYFUNCTION("IFERROR(VLOOKUP(F236,IMPORTRANGE(""https://docs.google.com/spreadsheets/d/1Kvs4KS76FHFqLFIZfrDMff4kP08nblUkihrxltoGBjg/edit#gid=934712705"",""ESENCIAL!A6:BG""),2,FALSE))"),"")</f>
        <v/>
      </c>
      <c r="AO213" s="19" t="str">
        <f t="shared" si="19"/>
        <v/>
      </c>
      <c r="AP213" s="100"/>
      <c r="AQ213" s="100"/>
    </row>
    <row r="214" spans="1:43" ht="15">
      <c r="A214" s="101"/>
      <c r="B214" s="101"/>
      <c r="G214" s="5" t="str">
        <f ca="1">IFERROR(__xludf.DUMMYFUNCTION("IFERROR(VLOOKUP(F237,IMPORTRANGE(""https://docs.google.com/spreadsheets/d/1Kvs4KS76FHFqLFIZfrDMff4kP08nblUkihrxltoGBjg/edit#gid=934712705"",""ESENCIAL!A6:BG""),3,FALSE))"),"")</f>
        <v/>
      </c>
      <c r="H214" s="5" t="str">
        <f ca="1">IFERROR(__xludf.DUMMYFUNCTION("IFERROR(VLOOKUP(F237,IMPORTRANGE(""https://docs.google.com/spreadsheets/d/1Kvs4KS76FHFqLFIZfrDMff4kP08nblUkihrxltoGBjg/edit#gid=934712705"",""ESENCIAL!A6:BG""),8,FALSE))"),"")</f>
        <v/>
      </c>
      <c r="L214" s="287"/>
      <c r="Z214" s="41" t="str">
        <f t="shared" si="16"/>
        <v/>
      </c>
      <c r="AA214" s="5" t="str">
        <f ca="1">IFERROR(__xludf.DUMMYFUNCTION("IFERROR(VLOOKUP(E237&amp;F237,IMPORTRANGE(""https://docs.google.com/spreadsheets/d/1Uw7-A9f9R21vMXxHZFNpYNeKFtG8_yji4HS352LGlSQ/edit?pli=1#gid=0"",""1_ACUM!A4:S""),11,FALSE))"),"")</f>
        <v/>
      </c>
      <c r="AB214" s="42" t="str">
        <f ca="1">IFERROR(__xludf.DUMMYFUNCTION("IFERROR(VLOOKUP(F237,IMPORTRANGE(""https://docs.google.com/spreadsheets/d/1Kvs4KS76FHFqLFIZfrDMff4kP08nblUkihrxltoGBjg/edit#gid=934712705"",""ESENCIAL!A6:BG""),15,FALSE))"),"")</f>
        <v/>
      </c>
      <c r="AC214" s="110" t="str">
        <f ca="1">IFERROR(__xludf.DUMMYFUNCTION("IFERROR(VLOOKUP(E237&amp;F237,IMPORTRANGE(""https://docs.google.com/spreadsheets/d/1Uw7-A9f9R21vMXxHZFNpYNeKFtG8_yji4HS352LGlSQ/edit?pli=1#gid=0"",""1_ACUM!A4:S""),13,FALSE))"),"")</f>
        <v/>
      </c>
      <c r="AD214" s="43" t="str">
        <f ca="1">IFERROR(__xludf.DUMMYFUNCTION("IFERROR(VLOOKUP(E237&amp;F237,IMPORTRANGE(""https://docs.google.com/spreadsheets/d/1Uw7-A9f9R21vMXxHZFNpYNeKFtG8_yji4HS352LGlSQ/edit?pli=1#gid=0"",""1_ACUM!A4:S""),13,FALSE))"),"")</f>
        <v/>
      </c>
      <c r="AE214" s="43" t="str">
        <f ca="1">IFERROR(__xludf.DUMMYFUNCTION("IFERROR(VLOOKUP(E237&amp;F237,IMPORTRANGE(""https://docs.google.com/spreadsheets/d/1Uw7-A9f9R21vMXxHZFNpYNeKFtG8_yji4HS352LGlSQ/edit?pli=1#gid=0"",""1_ACUM!A4:S""),14,FALSE))"),"")</f>
        <v/>
      </c>
      <c r="AF214" s="43" t="str">
        <f ca="1">IFERROR(__xludf.DUMMYFUNCTION("IFERROR(VLOOKUP(E237&amp;F237,IMPORTRANGE(""https://docs.google.com/spreadsheets/d/1Uw7-A9f9R21vMXxHZFNpYNeKFtG8_yji4HS352LGlSQ/edit?pli=1#gid=0"",""1_ACUM!A4:S""),15,FALSE))"),"")</f>
        <v/>
      </c>
      <c r="AG214" s="43" t="str">
        <f ca="1">IFERROR(__xludf.DUMMYFUNCTION("IFERROR(VLOOKUP(E237&amp;F237,IMPORTRANGE(""https://docs.google.com/spreadsheets/d/1Uw7-A9f9R21vMXxHZFNpYNeKFtG8_yji4HS352LGlSQ/edit?pli=1#gid=0"",""1_ACUM!A4:S""),16,FALSE))"),"")</f>
        <v/>
      </c>
      <c r="AH214" s="43" t="str">
        <f ca="1">IFERROR(__xludf.DUMMYFUNCTION("IFERROR(VLOOKUP(E237&amp;F237,IMPORTRANGE(""https://docs.google.com/spreadsheets/d/1Uw7-A9f9R21vMXxHZFNpYNeKFtG8_yji4HS352LGlSQ/edit?pli=1#gid=0"",""1_ACUM!A4:S""),17,FALSE))"),"")</f>
        <v/>
      </c>
      <c r="AI214" s="44" t="str">
        <f ca="1">IFERROR(__xludf.DUMMYFUNCTION("IFERROR(VLOOKUP(E237&amp;F237,IMPORTRANGE(""https://docs.google.com/spreadsheets/d/1Uw7-A9f9R21vMXxHZFNpYNeKFtG8_yji4HS352LGlSQ/edit?pli=1#gid=0"",""1_ACUM!A4:S""),18,FALSE))"),"")</f>
        <v/>
      </c>
      <c r="AJ214" s="44" t="str">
        <f ca="1">IFERROR(__xludf.DUMMYFUNCTION("IFERROR(VLOOKUP(E237&amp;F237,IMPORTRANGE(""https://docs.google.com/spreadsheets/d/1Uw7-A9f9R21vMXxHZFNpYNeKFtG8_yji4HS352LGlSQ/edit?pli=1#gid=0"",""1_ACUM!A4:S""),19,FALSE))"),"")</f>
        <v/>
      </c>
      <c r="AK214" s="98" t="str">
        <f ca="1">IFERROR(__xludf.DUMMYFUNCTION("IFERROR(VLOOKUP(F237,IMPORTRANGE(""https://docs.google.com/spreadsheets/d/1Kvs4KS76FHFqLFIZfrDMff4kP08nblUkihrxltoGBjg/edit#gid=934712705"",""ESENCIAL!A6:BG""),5,FALSE))"),"")</f>
        <v/>
      </c>
      <c r="AL214" s="98" t="str">
        <f t="shared" si="17"/>
        <v/>
      </c>
      <c r="AM214" s="99" t="str">
        <f t="shared" si="18"/>
        <v/>
      </c>
      <c r="AN214" s="100" t="str">
        <f ca="1">IFERROR(__xludf.DUMMYFUNCTION("IFERROR(VLOOKUP(F237,IMPORTRANGE(""https://docs.google.com/spreadsheets/d/1Kvs4KS76FHFqLFIZfrDMff4kP08nblUkihrxltoGBjg/edit#gid=934712705"",""ESENCIAL!A6:BG""),2,FALSE))"),"")</f>
        <v/>
      </c>
      <c r="AO214" s="19" t="str">
        <f t="shared" si="19"/>
        <v/>
      </c>
      <c r="AP214" s="100"/>
      <c r="AQ214" s="100"/>
    </row>
    <row r="215" spans="1:43" ht="15">
      <c r="A215" s="101"/>
      <c r="B215" s="101"/>
      <c r="G215" s="5" t="str">
        <f ca="1">IFERROR(__xludf.DUMMYFUNCTION("IFERROR(VLOOKUP(F238,IMPORTRANGE(""https://docs.google.com/spreadsheets/d/1Kvs4KS76FHFqLFIZfrDMff4kP08nblUkihrxltoGBjg/edit#gid=934712705"",""ESENCIAL!A6:BG""),3,FALSE))"),"")</f>
        <v/>
      </c>
      <c r="H215" s="5" t="str">
        <f ca="1">IFERROR(__xludf.DUMMYFUNCTION("IFERROR(VLOOKUP(F238,IMPORTRANGE(""https://docs.google.com/spreadsheets/d/1Kvs4KS76FHFqLFIZfrDMff4kP08nblUkihrxltoGBjg/edit#gid=934712705"",""ESENCIAL!A6:BG""),8,FALSE))"),"")</f>
        <v/>
      </c>
      <c r="L215" s="287"/>
      <c r="Z215" s="41" t="str">
        <f t="shared" si="16"/>
        <v/>
      </c>
      <c r="AA215" s="5" t="str">
        <f ca="1">IFERROR(__xludf.DUMMYFUNCTION("IFERROR(VLOOKUP(E238&amp;F238,IMPORTRANGE(""https://docs.google.com/spreadsheets/d/1Uw7-A9f9R21vMXxHZFNpYNeKFtG8_yji4HS352LGlSQ/edit?pli=1#gid=0"",""1_ACUM!A4:S""),11,FALSE))"),"")</f>
        <v/>
      </c>
      <c r="AB215" s="42" t="str">
        <f ca="1">IFERROR(__xludf.DUMMYFUNCTION("IFERROR(VLOOKUP(F238,IMPORTRANGE(""https://docs.google.com/spreadsheets/d/1Kvs4KS76FHFqLFIZfrDMff4kP08nblUkihrxltoGBjg/edit#gid=934712705"",""ESENCIAL!A6:BG""),15,FALSE))"),"")</f>
        <v/>
      </c>
      <c r="AC215" s="110" t="str">
        <f ca="1">IFERROR(__xludf.DUMMYFUNCTION("IFERROR(VLOOKUP(E238&amp;F238,IMPORTRANGE(""https://docs.google.com/spreadsheets/d/1Uw7-A9f9R21vMXxHZFNpYNeKFtG8_yji4HS352LGlSQ/edit?pli=1#gid=0"",""1_ACUM!A4:S""),13,FALSE))"),"")</f>
        <v/>
      </c>
      <c r="AD215" s="43" t="str">
        <f ca="1">IFERROR(__xludf.DUMMYFUNCTION("IFERROR(VLOOKUP(E238&amp;F238,IMPORTRANGE(""https://docs.google.com/spreadsheets/d/1Uw7-A9f9R21vMXxHZFNpYNeKFtG8_yji4HS352LGlSQ/edit?pli=1#gid=0"",""1_ACUM!A4:S""),13,FALSE))"),"")</f>
        <v/>
      </c>
      <c r="AE215" s="43" t="str">
        <f ca="1">IFERROR(__xludf.DUMMYFUNCTION("IFERROR(VLOOKUP(E238&amp;F238,IMPORTRANGE(""https://docs.google.com/spreadsheets/d/1Uw7-A9f9R21vMXxHZFNpYNeKFtG8_yji4HS352LGlSQ/edit?pli=1#gid=0"",""1_ACUM!A4:S""),14,FALSE))"),"")</f>
        <v/>
      </c>
      <c r="AF215" s="43" t="str">
        <f ca="1">IFERROR(__xludf.DUMMYFUNCTION("IFERROR(VLOOKUP(E238&amp;F238,IMPORTRANGE(""https://docs.google.com/spreadsheets/d/1Uw7-A9f9R21vMXxHZFNpYNeKFtG8_yji4HS352LGlSQ/edit?pli=1#gid=0"",""1_ACUM!A4:S""),15,FALSE))"),"")</f>
        <v/>
      </c>
      <c r="AG215" s="43" t="str">
        <f ca="1">IFERROR(__xludf.DUMMYFUNCTION("IFERROR(VLOOKUP(E238&amp;F238,IMPORTRANGE(""https://docs.google.com/spreadsheets/d/1Uw7-A9f9R21vMXxHZFNpYNeKFtG8_yji4HS352LGlSQ/edit?pli=1#gid=0"",""1_ACUM!A4:S""),16,FALSE))"),"")</f>
        <v/>
      </c>
      <c r="AH215" s="43" t="str">
        <f ca="1">IFERROR(__xludf.DUMMYFUNCTION("IFERROR(VLOOKUP(E238&amp;F238,IMPORTRANGE(""https://docs.google.com/spreadsheets/d/1Uw7-A9f9R21vMXxHZFNpYNeKFtG8_yji4HS352LGlSQ/edit?pli=1#gid=0"",""1_ACUM!A4:S""),17,FALSE))"),"")</f>
        <v/>
      </c>
      <c r="AI215" s="44" t="str">
        <f ca="1">IFERROR(__xludf.DUMMYFUNCTION("IFERROR(VLOOKUP(E238&amp;F238,IMPORTRANGE(""https://docs.google.com/spreadsheets/d/1Uw7-A9f9R21vMXxHZFNpYNeKFtG8_yji4HS352LGlSQ/edit?pli=1#gid=0"",""1_ACUM!A4:S""),18,FALSE))"),"")</f>
        <v/>
      </c>
      <c r="AJ215" s="44" t="str">
        <f ca="1">IFERROR(__xludf.DUMMYFUNCTION("IFERROR(VLOOKUP(E238&amp;F238,IMPORTRANGE(""https://docs.google.com/spreadsheets/d/1Uw7-A9f9R21vMXxHZFNpYNeKFtG8_yji4HS352LGlSQ/edit?pli=1#gid=0"",""1_ACUM!A4:S""),19,FALSE))"),"")</f>
        <v/>
      </c>
      <c r="AK215" s="98" t="str">
        <f ca="1">IFERROR(__xludf.DUMMYFUNCTION("IFERROR(VLOOKUP(F238,IMPORTRANGE(""https://docs.google.com/spreadsheets/d/1Kvs4KS76FHFqLFIZfrDMff4kP08nblUkihrxltoGBjg/edit#gid=934712705"",""ESENCIAL!A6:BG""),5,FALSE))"),"")</f>
        <v/>
      </c>
      <c r="AL215" s="98" t="str">
        <f t="shared" si="17"/>
        <v/>
      </c>
      <c r="AM215" s="99" t="str">
        <f t="shared" si="18"/>
        <v/>
      </c>
      <c r="AN215" s="100" t="str">
        <f ca="1">IFERROR(__xludf.DUMMYFUNCTION("IFERROR(VLOOKUP(F238,IMPORTRANGE(""https://docs.google.com/spreadsheets/d/1Kvs4KS76FHFqLFIZfrDMff4kP08nblUkihrxltoGBjg/edit#gid=934712705"",""ESENCIAL!A6:BG""),2,FALSE))"),"")</f>
        <v/>
      </c>
      <c r="AO215" s="19" t="str">
        <f t="shared" si="19"/>
        <v/>
      </c>
      <c r="AP215" s="100"/>
      <c r="AQ215" s="100"/>
    </row>
    <row r="216" spans="1:43" ht="15">
      <c r="A216" s="101"/>
      <c r="B216" s="101"/>
      <c r="G216" s="5" t="str">
        <f ca="1">IFERROR(__xludf.DUMMYFUNCTION("IFERROR(VLOOKUP(F239,IMPORTRANGE(""https://docs.google.com/spreadsheets/d/1Kvs4KS76FHFqLFIZfrDMff4kP08nblUkihrxltoGBjg/edit#gid=934712705"",""ESENCIAL!A6:BG""),3,FALSE))"),"")</f>
        <v/>
      </c>
      <c r="H216" s="5" t="str">
        <f ca="1">IFERROR(__xludf.DUMMYFUNCTION("IFERROR(VLOOKUP(F239,IMPORTRANGE(""https://docs.google.com/spreadsheets/d/1Kvs4KS76FHFqLFIZfrDMff4kP08nblUkihrxltoGBjg/edit#gid=934712705"",""ESENCIAL!A6:BG""),8,FALSE))"),"")</f>
        <v/>
      </c>
      <c r="L216" s="287"/>
      <c r="Z216" s="41" t="str">
        <f t="shared" si="16"/>
        <v/>
      </c>
      <c r="AA216" s="5" t="str">
        <f ca="1">IFERROR(__xludf.DUMMYFUNCTION("IFERROR(VLOOKUP(E239&amp;F239,IMPORTRANGE(""https://docs.google.com/spreadsheets/d/1Uw7-A9f9R21vMXxHZFNpYNeKFtG8_yji4HS352LGlSQ/edit?pli=1#gid=0"",""1_ACUM!A4:S""),11,FALSE))"),"")</f>
        <v/>
      </c>
      <c r="AB216" s="42" t="str">
        <f ca="1">IFERROR(__xludf.DUMMYFUNCTION("IFERROR(VLOOKUP(F239,IMPORTRANGE(""https://docs.google.com/spreadsheets/d/1Kvs4KS76FHFqLFIZfrDMff4kP08nblUkihrxltoGBjg/edit#gid=934712705"",""ESENCIAL!A6:BG""),15,FALSE))"),"")</f>
        <v/>
      </c>
      <c r="AC216" s="110" t="str">
        <f ca="1">IFERROR(__xludf.DUMMYFUNCTION("IFERROR(VLOOKUP(E239&amp;F239,IMPORTRANGE(""https://docs.google.com/spreadsheets/d/1Uw7-A9f9R21vMXxHZFNpYNeKFtG8_yji4HS352LGlSQ/edit?pli=1#gid=0"",""1_ACUM!A4:S""),13,FALSE))"),"")</f>
        <v/>
      </c>
      <c r="AD216" s="43" t="str">
        <f ca="1">IFERROR(__xludf.DUMMYFUNCTION("IFERROR(VLOOKUP(E239&amp;F239,IMPORTRANGE(""https://docs.google.com/spreadsheets/d/1Uw7-A9f9R21vMXxHZFNpYNeKFtG8_yji4HS352LGlSQ/edit?pli=1#gid=0"",""1_ACUM!A4:S""),13,FALSE))"),"")</f>
        <v/>
      </c>
      <c r="AE216" s="43" t="str">
        <f ca="1">IFERROR(__xludf.DUMMYFUNCTION("IFERROR(VLOOKUP(E239&amp;F239,IMPORTRANGE(""https://docs.google.com/spreadsheets/d/1Uw7-A9f9R21vMXxHZFNpYNeKFtG8_yji4HS352LGlSQ/edit?pli=1#gid=0"",""1_ACUM!A4:S""),14,FALSE))"),"")</f>
        <v/>
      </c>
      <c r="AF216" s="43" t="str">
        <f ca="1">IFERROR(__xludf.DUMMYFUNCTION("IFERROR(VLOOKUP(E239&amp;F239,IMPORTRANGE(""https://docs.google.com/spreadsheets/d/1Uw7-A9f9R21vMXxHZFNpYNeKFtG8_yji4HS352LGlSQ/edit?pli=1#gid=0"",""1_ACUM!A4:S""),15,FALSE))"),"")</f>
        <v/>
      </c>
      <c r="AG216" s="43" t="str">
        <f ca="1">IFERROR(__xludf.DUMMYFUNCTION("IFERROR(VLOOKUP(E239&amp;F239,IMPORTRANGE(""https://docs.google.com/spreadsheets/d/1Uw7-A9f9R21vMXxHZFNpYNeKFtG8_yji4HS352LGlSQ/edit?pli=1#gid=0"",""1_ACUM!A4:S""),16,FALSE))"),"")</f>
        <v/>
      </c>
      <c r="AH216" s="43" t="str">
        <f ca="1">IFERROR(__xludf.DUMMYFUNCTION("IFERROR(VLOOKUP(E239&amp;F239,IMPORTRANGE(""https://docs.google.com/spreadsheets/d/1Uw7-A9f9R21vMXxHZFNpYNeKFtG8_yji4HS352LGlSQ/edit?pli=1#gid=0"",""1_ACUM!A4:S""),17,FALSE))"),"")</f>
        <v/>
      </c>
      <c r="AI216" s="44" t="str">
        <f ca="1">IFERROR(__xludf.DUMMYFUNCTION("IFERROR(VLOOKUP(E239&amp;F239,IMPORTRANGE(""https://docs.google.com/spreadsheets/d/1Uw7-A9f9R21vMXxHZFNpYNeKFtG8_yji4HS352LGlSQ/edit?pli=1#gid=0"",""1_ACUM!A4:S""),18,FALSE))"),"")</f>
        <v/>
      </c>
      <c r="AJ216" s="44" t="str">
        <f ca="1">IFERROR(__xludf.DUMMYFUNCTION("IFERROR(VLOOKUP(E239&amp;F239,IMPORTRANGE(""https://docs.google.com/spreadsheets/d/1Uw7-A9f9R21vMXxHZFNpYNeKFtG8_yji4HS352LGlSQ/edit?pli=1#gid=0"",""1_ACUM!A4:S""),19,FALSE))"),"")</f>
        <v/>
      </c>
      <c r="AK216" s="98" t="str">
        <f ca="1">IFERROR(__xludf.DUMMYFUNCTION("IFERROR(VLOOKUP(F239,IMPORTRANGE(""https://docs.google.com/spreadsheets/d/1Kvs4KS76FHFqLFIZfrDMff4kP08nblUkihrxltoGBjg/edit#gid=934712705"",""ESENCIAL!A6:BG""),5,FALSE))"),"")</f>
        <v/>
      </c>
      <c r="AL216" s="98" t="str">
        <f t="shared" si="17"/>
        <v/>
      </c>
      <c r="AM216" s="99" t="str">
        <f t="shared" si="18"/>
        <v/>
      </c>
      <c r="AN216" s="100" t="str">
        <f ca="1">IFERROR(__xludf.DUMMYFUNCTION("IFERROR(VLOOKUP(F239,IMPORTRANGE(""https://docs.google.com/spreadsheets/d/1Kvs4KS76FHFqLFIZfrDMff4kP08nblUkihrxltoGBjg/edit#gid=934712705"",""ESENCIAL!A6:BG""),2,FALSE))"),"")</f>
        <v/>
      </c>
      <c r="AO216" s="19" t="str">
        <f t="shared" si="19"/>
        <v/>
      </c>
      <c r="AP216" s="100"/>
      <c r="AQ216" s="100"/>
    </row>
    <row r="217" spans="1:43" ht="15">
      <c r="A217" s="101"/>
      <c r="B217" s="101"/>
      <c r="G217" s="5" t="str">
        <f ca="1">IFERROR(__xludf.DUMMYFUNCTION("IFERROR(VLOOKUP(F240,IMPORTRANGE(""https://docs.google.com/spreadsheets/d/1Kvs4KS76FHFqLFIZfrDMff4kP08nblUkihrxltoGBjg/edit#gid=934712705"",""ESENCIAL!A6:BG""),3,FALSE))"),"")</f>
        <v/>
      </c>
      <c r="H217" s="5" t="str">
        <f ca="1">IFERROR(__xludf.DUMMYFUNCTION("IFERROR(VLOOKUP(F240,IMPORTRANGE(""https://docs.google.com/spreadsheets/d/1Kvs4KS76FHFqLFIZfrDMff4kP08nblUkihrxltoGBjg/edit#gid=934712705"",""ESENCIAL!A6:BG""),8,FALSE))"),"")</f>
        <v/>
      </c>
      <c r="L217" s="287"/>
      <c r="Z217" s="41" t="str">
        <f t="shared" si="16"/>
        <v/>
      </c>
      <c r="AA217" s="5" t="str">
        <f ca="1">IFERROR(__xludf.DUMMYFUNCTION("IFERROR(VLOOKUP(E240&amp;F240,IMPORTRANGE(""https://docs.google.com/spreadsheets/d/1Uw7-A9f9R21vMXxHZFNpYNeKFtG8_yji4HS352LGlSQ/edit?pli=1#gid=0"",""1_ACUM!A4:S""),11,FALSE))"),"")</f>
        <v/>
      </c>
      <c r="AB217" s="42" t="str">
        <f ca="1">IFERROR(__xludf.DUMMYFUNCTION("IFERROR(VLOOKUP(F240,IMPORTRANGE(""https://docs.google.com/spreadsheets/d/1Kvs4KS76FHFqLFIZfrDMff4kP08nblUkihrxltoGBjg/edit#gid=934712705"",""ESENCIAL!A6:BG""),15,FALSE))"),"")</f>
        <v/>
      </c>
      <c r="AC217" s="110" t="str">
        <f ca="1">IFERROR(__xludf.DUMMYFUNCTION("IFERROR(VLOOKUP(E240&amp;F240,IMPORTRANGE(""https://docs.google.com/spreadsheets/d/1Uw7-A9f9R21vMXxHZFNpYNeKFtG8_yji4HS352LGlSQ/edit?pli=1#gid=0"",""1_ACUM!A4:S""),13,FALSE))"),"")</f>
        <v/>
      </c>
      <c r="AD217" s="43" t="str">
        <f ca="1">IFERROR(__xludf.DUMMYFUNCTION("IFERROR(VLOOKUP(E240&amp;F240,IMPORTRANGE(""https://docs.google.com/spreadsheets/d/1Uw7-A9f9R21vMXxHZFNpYNeKFtG8_yji4HS352LGlSQ/edit?pli=1#gid=0"",""1_ACUM!A4:S""),13,FALSE))"),"")</f>
        <v/>
      </c>
      <c r="AE217" s="43" t="str">
        <f ca="1">IFERROR(__xludf.DUMMYFUNCTION("IFERROR(VLOOKUP(E240&amp;F240,IMPORTRANGE(""https://docs.google.com/spreadsheets/d/1Uw7-A9f9R21vMXxHZFNpYNeKFtG8_yji4HS352LGlSQ/edit?pli=1#gid=0"",""1_ACUM!A4:S""),14,FALSE))"),"")</f>
        <v/>
      </c>
      <c r="AF217" s="43" t="str">
        <f ca="1">IFERROR(__xludf.DUMMYFUNCTION("IFERROR(VLOOKUP(E240&amp;F240,IMPORTRANGE(""https://docs.google.com/spreadsheets/d/1Uw7-A9f9R21vMXxHZFNpYNeKFtG8_yji4HS352LGlSQ/edit?pli=1#gid=0"",""1_ACUM!A4:S""),15,FALSE))"),"")</f>
        <v/>
      </c>
      <c r="AG217" s="43" t="str">
        <f ca="1">IFERROR(__xludf.DUMMYFUNCTION("IFERROR(VLOOKUP(E240&amp;F240,IMPORTRANGE(""https://docs.google.com/spreadsheets/d/1Uw7-A9f9R21vMXxHZFNpYNeKFtG8_yji4HS352LGlSQ/edit?pli=1#gid=0"",""1_ACUM!A4:S""),16,FALSE))"),"")</f>
        <v/>
      </c>
      <c r="AH217" s="43" t="str">
        <f ca="1">IFERROR(__xludf.DUMMYFUNCTION("IFERROR(VLOOKUP(E240&amp;F240,IMPORTRANGE(""https://docs.google.com/spreadsheets/d/1Uw7-A9f9R21vMXxHZFNpYNeKFtG8_yji4HS352LGlSQ/edit?pli=1#gid=0"",""1_ACUM!A4:S""),17,FALSE))"),"")</f>
        <v/>
      </c>
      <c r="AI217" s="44" t="str">
        <f ca="1">IFERROR(__xludf.DUMMYFUNCTION("IFERROR(VLOOKUP(E240&amp;F240,IMPORTRANGE(""https://docs.google.com/spreadsheets/d/1Uw7-A9f9R21vMXxHZFNpYNeKFtG8_yji4HS352LGlSQ/edit?pli=1#gid=0"",""1_ACUM!A4:S""),18,FALSE))"),"")</f>
        <v/>
      </c>
      <c r="AJ217" s="44" t="str">
        <f ca="1">IFERROR(__xludf.DUMMYFUNCTION("IFERROR(VLOOKUP(E240&amp;F240,IMPORTRANGE(""https://docs.google.com/spreadsheets/d/1Uw7-A9f9R21vMXxHZFNpYNeKFtG8_yji4HS352LGlSQ/edit?pli=1#gid=0"",""1_ACUM!A4:S""),19,FALSE))"),"")</f>
        <v/>
      </c>
      <c r="AK217" s="98" t="str">
        <f ca="1">IFERROR(__xludf.DUMMYFUNCTION("IFERROR(VLOOKUP(F240,IMPORTRANGE(""https://docs.google.com/spreadsheets/d/1Kvs4KS76FHFqLFIZfrDMff4kP08nblUkihrxltoGBjg/edit#gid=934712705"",""ESENCIAL!A6:BG""),5,FALSE))"),"")</f>
        <v/>
      </c>
      <c r="AL217" s="98" t="str">
        <f t="shared" si="17"/>
        <v/>
      </c>
      <c r="AM217" s="99" t="str">
        <f t="shared" si="18"/>
        <v/>
      </c>
      <c r="AN217" s="100" t="str">
        <f ca="1">IFERROR(__xludf.DUMMYFUNCTION("IFERROR(VLOOKUP(F240,IMPORTRANGE(""https://docs.google.com/spreadsheets/d/1Kvs4KS76FHFqLFIZfrDMff4kP08nblUkihrxltoGBjg/edit#gid=934712705"",""ESENCIAL!A6:BG""),2,FALSE))"),"")</f>
        <v/>
      </c>
      <c r="AO217" s="19" t="str">
        <f t="shared" si="19"/>
        <v/>
      </c>
      <c r="AP217" s="100"/>
      <c r="AQ217" s="100"/>
    </row>
    <row r="218" spans="1:43" ht="15">
      <c r="A218" s="101"/>
      <c r="B218" s="101"/>
      <c r="G218" s="5" t="str">
        <f ca="1">IFERROR(__xludf.DUMMYFUNCTION("IFERROR(VLOOKUP(F241,IMPORTRANGE(""https://docs.google.com/spreadsheets/d/1Kvs4KS76FHFqLFIZfrDMff4kP08nblUkihrxltoGBjg/edit#gid=934712705"",""ESENCIAL!A6:BG""),3,FALSE))"),"")</f>
        <v/>
      </c>
      <c r="H218" s="5" t="str">
        <f ca="1">IFERROR(__xludf.DUMMYFUNCTION("IFERROR(VLOOKUP(F241,IMPORTRANGE(""https://docs.google.com/spreadsheets/d/1Kvs4KS76FHFqLFIZfrDMff4kP08nblUkihrxltoGBjg/edit#gid=934712705"",""ESENCIAL!A6:BG""),8,FALSE))"),"")</f>
        <v/>
      </c>
      <c r="L218" s="287"/>
      <c r="Z218" s="41" t="str">
        <f t="shared" si="16"/>
        <v/>
      </c>
      <c r="AA218" s="5" t="str">
        <f ca="1">IFERROR(__xludf.DUMMYFUNCTION("IFERROR(VLOOKUP(E241&amp;F241,IMPORTRANGE(""https://docs.google.com/spreadsheets/d/1Uw7-A9f9R21vMXxHZFNpYNeKFtG8_yji4HS352LGlSQ/edit?pli=1#gid=0"",""1_ACUM!A4:S""),11,FALSE))"),"")</f>
        <v/>
      </c>
      <c r="AB218" s="42" t="str">
        <f ca="1">IFERROR(__xludf.DUMMYFUNCTION("IFERROR(VLOOKUP(F241,IMPORTRANGE(""https://docs.google.com/spreadsheets/d/1Kvs4KS76FHFqLFIZfrDMff4kP08nblUkihrxltoGBjg/edit#gid=934712705"",""ESENCIAL!A6:BG""),15,FALSE))"),"")</f>
        <v/>
      </c>
      <c r="AC218" s="110" t="str">
        <f ca="1">IFERROR(__xludf.DUMMYFUNCTION("IFERROR(VLOOKUP(E241&amp;F241,IMPORTRANGE(""https://docs.google.com/spreadsheets/d/1Uw7-A9f9R21vMXxHZFNpYNeKFtG8_yji4HS352LGlSQ/edit?pli=1#gid=0"",""1_ACUM!A4:S""),13,FALSE))"),"")</f>
        <v/>
      </c>
      <c r="AD218" s="43" t="str">
        <f ca="1">IFERROR(__xludf.DUMMYFUNCTION("IFERROR(VLOOKUP(E241&amp;F241,IMPORTRANGE(""https://docs.google.com/spreadsheets/d/1Uw7-A9f9R21vMXxHZFNpYNeKFtG8_yji4HS352LGlSQ/edit?pli=1#gid=0"",""1_ACUM!A4:S""),13,FALSE))"),"")</f>
        <v/>
      </c>
      <c r="AE218" s="43" t="str">
        <f ca="1">IFERROR(__xludf.DUMMYFUNCTION("IFERROR(VLOOKUP(E241&amp;F241,IMPORTRANGE(""https://docs.google.com/spreadsheets/d/1Uw7-A9f9R21vMXxHZFNpYNeKFtG8_yji4HS352LGlSQ/edit?pli=1#gid=0"",""1_ACUM!A4:S""),14,FALSE))"),"")</f>
        <v/>
      </c>
      <c r="AF218" s="43" t="str">
        <f ca="1">IFERROR(__xludf.DUMMYFUNCTION("IFERROR(VLOOKUP(E241&amp;F241,IMPORTRANGE(""https://docs.google.com/spreadsheets/d/1Uw7-A9f9R21vMXxHZFNpYNeKFtG8_yji4HS352LGlSQ/edit?pli=1#gid=0"",""1_ACUM!A4:S""),15,FALSE))"),"")</f>
        <v/>
      </c>
      <c r="AG218" s="43" t="str">
        <f ca="1">IFERROR(__xludf.DUMMYFUNCTION("IFERROR(VLOOKUP(E241&amp;F241,IMPORTRANGE(""https://docs.google.com/spreadsheets/d/1Uw7-A9f9R21vMXxHZFNpYNeKFtG8_yji4HS352LGlSQ/edit?pli=1#gid=0"",""1_ACUM!A4:S""),16,FALSE))"),"")</f>
        <v/>
      </c>
      <c r="AH218" s="43" t="str">
        <f ca="1">IFERROR(__xludf.DUMMYFUNCTION("IFERROR(VLOOKUP(E241&amp;F241,IMPORTRANGE(""https://docs.google.com/spreadsheets/d/1Uw7-A9f9R21vMXxHZFNpYNeKFtG8_yji4HS352LGlSQ/edit?pli=1#gid=0"",""1_ACUM!A4:S""),17,FALSE))"),"")</f>
        <v/>
      </c>
      <c r="AI218" s="44" t="str">
        <f ca="1">IFERROR(__xludf.DUMMYFUNCTION("IFERROR(VLOOKUP(E241&amp;F241,IMPORTRANGE(""https://docs.google.com/spreadsheets/d/1Uw7-A9f9R21vMXxHZFNpYNeKFtG8_yji4HS352LGlSQ/edit?pli=1#gid=0"",""1_ACUM!A4:S""),18,FALSE))"),"")</f>
        <v/>
      </c>
      <c r="AJ218" s="44" t="str">
        <f ca="1">IFERROR(__xludf.DUMMYFUNCTION("IFERROR(VLOOKUP(E241&amp;F241,IMPORTRANGE(""https://docs.google.com/spreadsheets/d/1Uw7-A9f9R21vMXxHZFNpYNeKFtG8_yji4HS352LGlSQ/edit?pli=1#gid=0"",""1_ACUM!A4:S""),19,FALSE))"),"")</f>
        <v/>
      </c>
      <c r="AK218" s="98" t="str">
        <f ca="1">IFERROR(__xludf.DUMMYFUNCTION("IFERROR(VLOOKUP(F241,IMPORTRANGE(""https://docs.google.com/spreadsheets/d/1Kvs4KS76FHFqLFIZfrDMff4kP08nblUkihrxltoGBjg/edit#gid=934712705"",""ESENCIAL!A6:BG""),5,FALSE))"),"")</f>
        <v/>
      </c>
      <c r="AL218" s="98" t="str">
        <f t="shared" si="17"/>
        <v/>
      </c>
      <c r="AM218" s="99" t="str">
        <f t="shared" si="18"/>
        <v/>
      </c>
      <c r="AN218" s="100" t="str">
        <f ca="1">IFERROR(__xludf.DUMMYFUNCTION("IFERROR(VLOOKUP(F241,IMPORTRANGE(""https://docs.google.com/spreadsheets/d/1Kvs4KS76FHFqLFIZfrDMff4kP08nblUkihrxltoGBjg/edit#gid=934712705"",""ESENCIAL!A6:BG""),2,FALSE))"),"")</f>
        <v/>
      </c>
      <c r="AO218" s="19" t="str">
        <f t="shared" si="19"/>
        <v/>
      </c>
      <c r="AP218" s="100"/>
      <c r="AQ218" s="100"/>
    </row>
    <row r="219" spans="1:43" ht="15">
      <c r="A219" s="101"/>
      <c r="B219" s="101"/>
      <c r="G219" s="5" t="str">
        <f ca="1">IFERROR(__xludf.DUMMYFUNCTION("IFERROR(VLOOKUP(F242,IMPORTRANGE(""https://docs.google.com/spreadsheets/d/1Kvs4KS76FHFqLFIZfrDMff4kP08nblUkihrxltoGBjg/edit#gid=934712705"",""ESENCIAL!A6:BG""),3,FALSE))"),"")</f>
        <v/>
      </c>
      <c r="H219" s="5" t="str">
        <f ca="1">IFERROR(__xludf.DUMMYFUNCTION("IFERROR(VLOOKUP(F242,IMPORTRANGE(""https://docs.google.com/spreadsheets/d/1Kvs4KS76FHFqLFIZfrDMff4kP08nblUkihrxltoGBjg/edit#gid=934712705"",""ESENCIAL!A6:BG""),8,FALSE))"),"")</f>
        <v/>
      </c>
      <c r="L219" s="287"/>
      <c r="Z219" s="41" t="str">
        <f t="shared" si="16"/>
        <v/>
      </c>
      <c r="AA219" s="5" t="str">
        <f ca="1">IFERROR(__xludf.DUMMYFUNCTION("IFERROR(VLOOKUP(E242&amp;F242,IMPORTRANGE(""https://docs.google.com/spreadsheets/d/1Uw7-A9f9R21vMXxHZFNpYNeKFtG8_yji4HS352LGlSQ/edit?pli=1#gid=0"",""1_ACUM!A4:S""),11,FALSE))"),"")</f>
        <v/>
      </c>
      <c r="AB219" s="42" t="str">
        <f ca="1">IFERROR(__xludf.DUMMYFUNCTION("IFERROR(VLOOKUP(F242,IMPORTRANGE(""https://docs.google.com/spreadsheets/d/1Kvs4KS76FHFqLFIZfrDMff4kP08nblUkihrxltoGBjg/edit#gid=934712705"",""ESENCIAL!A6:BG""),15,FALSE))"),"")</f>
        <v/>
      </c>
      <c r="AC219" s="110" t="str">
        <f ca="1">IFERROR(__xludf.DUMMYFUNCTION("IFERROR(VLOOKUP(E242&amp;F242,IMPORTRANGE(""https://docs.google.com/spreadsheets/d/1Uw7-A9f9R21vMXxHZFNpYNeKFtG8_yji4HS352LGlSQ/edit?pli=1#gid=0"",""1_ACUM!A4:S""),13,FALSE))"),"")</f>
        <v/>
      </c>
      <c r="AD219" s="43" t="str">
        <f ca="1">IFERROR(__xludf.DUMMYFUNCTION("IFERROR(VLOOKUP(E242&amp;F242,IMPORTRANGE(""https://docs.google.com/spreadsheets/d/1Uw7-A9f9R21vMXxHZFNpYNeKFtG8_yji4HS352LGlSQ/edit?pli=1#gid=0"",""1_ACUM!A4:S""),13,FALSE))"),"")</f>
        <v/>
      </c>
      <c r="AE219" s="43" t="str">
        <f ca="1">IFERROR(__xludf.DUMMYFUNCTION("IFERROR(VLOOKUP(E242&amp;F242,IMPORTRANGE(""https://docs.google.com/spreadsheets/d/1Uw7-A9f9R21vMXxHZFNpYNeKFtG8_yji4HS352LGlSQ/edit?pli=1#gid=0"",""1_ACUM!A4:S""),14,FALSE))"),"")</f>
        <v/>
      </c>
      <c r="AF219" s="43" t="str">
        <f ca="1">IFERROR(__xludf.DUMMYFUNCTION("IFERROR(VLOOKUP(E242&amp;F242,IMPORTRANGE(""https://docs.google.com/spreadsheets/d/1Uw7-A9f9R21vMXxHZFNpYNeKFtG8_yji4HS352LGlSQ/edit?pli=1#gid=0"",""1_ACUM!A4:S""),15,FALSE))"),"")</f>
        <v/>
      </c>
      <c r="AG219" s="43" t="str">
        <f ca="1">IFERROR(__xludf.DUMMYFUNCTION("IFERROR(VLOOKUP(E242&amp;F242,IMPORTRANGE(""https://docs.google.com/spreadsheets/d/1Uw7-A9f9R21vMXxHZFNpYNeKFtG8_yji4HS352LGlSQ/edit?pli=1#gid=0"",""1_ACUM!A4:S""),16,FALSE))"),"")</f>
        <v/>
      </c>
      <c r="AH219" s="43" t="str">
        <f ca="1">IFERROR(__xludf.DUMMYFUNCTION("IFERROR(VLOOKUP(E242&amp;F242,IMPORTRANGE(""https://docs.google.com/spreadsheets/d/1Uw7-A9f9R21vMXxHZFNpYNeKFtG8_yji4HS352LGlSQ/edit?pli=1#gid=0"",""1_ACUM!A4:S""),17,FALSE))"),"")</f>
        <v/>
      </c>
      <c r="AI219" s="44" t="str">
        <f ca="1">IFERROR(__xludf.DUMMYFUNCTION("IFERROR(VLOOKUP(E242&amp;F242,IMPORTRANGE(""https://docs.google.com/spreadsheets/d/1Uw7-A9f9R21vMXxHZFNpYNeKFtG8_yji4HS352LGlSQ/edit?pli=1#gid=0"",""1_ACUM!A4:S""),18,FALSE))"),"")</f>
        <v/>
      </c>
      <c r="AJ219" s="44" t="str">
        <f ca="1">IFERROR(__xludf.DUMMYFUNCTION("IFERROR(VLOOKUP(E242&amp;F242,IMPORTRANGE(""https://docs.google.com/spreadsheets/d/1Uw7-A9f9R21vMXxHZFNpYNeKFtG8_yji4HS352LGlSQ/edit?pli=1#gid=0"",""1_ACUM!A4:S""),19,FALSE))"),"")</f>
        <v/>
      </c>
      <c r="AK219" s="98" t="str">
        <f ca="1">IFERROR(__xludf.DUMMYFUNCTION("IFERROR(VLOOKUP(F242,IMPORTRANGE(""https://docs.google.com/spreadsheets/d/1Kvs4KS76FHFqLFIZfrDMff4kP08nblUkihrxltoGBjg/edit#gid=934712705"",""ESENCIAL!A6:BG""),5,FALSE))"),"")</f>
        <v/>
      </c>
      <c r="AL219" s="98" t="str">
        <f t="shared" si="17"/>
        <v/>
      </c>
      <c r="AM219" s="99" t="str">
        <f t="shared" si="18"/>
        <v/>
      </c>
      <c r="AN219" s="100" t="str">
        <f ca="1">IFERROR(__xludf.DUMMYFUNCTION("IFERROR(VLOOKUP(F242,IMPORTRANGE(""https://docs.google.com/spreadsheets/d/1Kvs4KS76FHFqLFIZfrDMff4kP08nblUkihrxltoGBjg/edit#gid=934712705"",""ESENCIAL!A6:BG""),2,FALSE))"),"")</f>
        <v/>
      </c>
      <c r="AO219" s="19" t="str">
        <f t="shared" si="19"/>
        <v/>
      </c>
      <c r="AP219" s="100"/>
      <c r="AQ219" s="100"/>
    </row>
    <row r="220" spans="1:43" ht="15">
      <c r="A220" s="101"/>
      <c r="B220" s="101"/>
      <c r="G220" s="5" t="str">
        <f ca="1">IFERROR(__xludf.DUMMYFUNCTION("IFERROR(VLOOKUP(F243,IMPORTRANGE(""https://docs.google.com/spreadsheets/d/1Kvs4KS76FHFqLFIZfrDMff4kP08nblUkihrxltoGBjg/edit#gid=934712705"",""ESENCIAL!A6:BG""),3,FALSE))"),"")</f>
        <v/>
      </c>
      <c r="H220" s="5" t="str">
        <f ca="1">IFERROR(__xludf.DUMMYFUNCTION("IFERROR(VLOOKUP(F243,IMPORTRANGE(""https://docs.google.com/spreadsheets/d/1Kvs4KS76FHFqLFIZfrDMff4kP08nblUkihrxltoGBjg/edit#gid=934712705"",""ESENCIAL!A6:BG""),8,FALSE))"),"")</f>
        <v/>
      </c>
      <c r="L220" s="287"/>
      <c r="Z220" s="41" t="str">
        <f t="shared" si="16"/>
        <v/>
      </c>
      <c r="AA220" s="5" t="str">
        <f ca="1">IFERROR(__xludf.DUMMYFUNCTION("IFERROR(VLOOKUP(E243&amp;F243,IMPORTRANGE(""https://docs.google.com/spreadsheets/d/1Uw7-A9f9R21vMXxHZFNpYNeKFtG8_yji4HS352LGlSQ/edit?pli=1#gid=0"",""1_ACUM!A4:S""),11,FALSE))"),"")</f>
        <v/>
      </c>
      <c r="AB220" s="42" t="str">
        <f ca="1">IFERROR(__xludf.DUMMYFUNCTION("IFERROR(VLOOKUP(F243,IMPORTRANGE(""https://docs.google.com/spreadsheets/d/1Kvs4KS76FHFqLFIZfrDMff4kP08nblUkihrxltoGBjg/edit#gid=934712705"",""ESENCIAL!A6:BG""),15,FALSE))"),"")</f>
        <v/>
      </c>
      <c r="AC220" s="110" t="str">
        <f ca="1">IFERROR(__xludf.DUMMYFUNCTION("IFERROR(VLOOKUP(E243&amp;F243,IMPORTRANGE(""https://docs.google.com/spreadsheets/d/1Uw7-A9f9R21vMXxHZFNpYNeKFtG8_yji4HS352LGlSQ/edit?pli=1#gid=0"",""1_ACUM!A4:S""),13,FALSE))"),"")</f>
        <v/>
      </c>
      <c r="AD220" s="43" t="str">
        <f ca="1">IFERROR(__xludf.DUMMYFUNCTION("IFERROR(VLOOKUP(E243&amp;F243,IMPORTRANGE(""https://docs.google.com/spreadsheets/d/1Uw7-A9f9R21vMXxHZFNpYNeKFtG8_yji4HS352LGlSQ/edit?pli=1#gid=0"",""1_ACUM!A4:S""),13,FALSE))"),"")</f>
        <v/>
      </c>
      <c r="AE220" s="43" t="str">
        <f ca="1">IFERROR(__xludf.DUMMYFUNCTION("IFERROR(VLOOKUP(E243&amp;F243,IMPORTRANGE(""https://docs.google.com/spreadsheets/d/1Uw7-A9f9R21vMXxHZFNpYNeKFtG8_yji4HS352LGlSQ/edit?pli=1#gid=0"",""1_ACUM!A4:S""),14,FALSE))"),"")</f>
        <v/>
      </c>
      <c r="AF220" s="43" t="str">
        <f ca="1">IFERROR(__xludf.DUMMYFUNCTION("IFERROR(VLOOKUP(E243&amp;F243,IMPORTRANGE(""https://docs.google.com/spreadsheets/d/1Uw7-A9f9R21vMXxHZFNpYNeKFtG8_yji4HS352LGlSQ/edit?pli=1#gid=0"",""1_ACUM!A4:S""),15,FALSE))"),"")</f>
        <v/>
      </c>
      <c r="AG220" s="43" t="str">
        <f ca="1">IFERROR(__xludf.DUMMYFUNCTION("IFERROR(VLOOKUP(E243&amp;F243,IMPORTRANGE(""https://docs.google.com/spreadsheets/d/1Uw7-A9f9R21vMXxHZFNpYNeKFtG8_yji4HS352LGlSQ/edit?pli=1#gid=0"",""1_ACUM!A4:S""),16,FALSE))"),"")</f>
        <v/>
      </c>
      <c r="AH220" s="43" t="str">
        <f ca="1">IFERROR(__xludf.DUMMYFUNCTION("IFERROR(VLOOKUP(E243&amp;F243,IMPORTRANGE(""https://docs.google.com/spreadsheets/d/1Uw7-A9f9R21vMXxHZFNpYNeKFtG8_yji4HS352LGlSQ/edit?pli=1#gid=0"",""1_ACUM!A4:S""),17,FALSE))"),"")</f>
        <v/>
      </c>
      <c r="AI220" s="44" t="str">
        <f ca="1">IFERROR(__xludf.DUMMYFUNCTION("IFERROR(VLOOKUP(E243&amp;F243,IMPORTRANGE(""https://docs.google.com/spreadsheets/d/1Uw7-A9f9R21vMXxHZFNpYNeKFtG8_yji4HS352LGlSQ/edit?pli=1#gid=0"",""1_ACUM!A4:S""),18,FALSE))"),"")</f>
        <v/>
      </c>
      <c r="AJ220" s="44" t="str">
        <f ca="1">IFERROR(__xludf.DUMMYFUNCTION("IFERROR(VLOOKUP(E243&amp;F243,IMPORTRANGE(""https://docs.google.com/spreadsheets/d/1Uw7-A9f9R21vMXxHZFNpYNeKFtG8_yji4HS352LGlSQ/edit?pli=1#gid=0"",""1_ACUM!A4:S""),19,FALSE))"),"")</f>
        <v/>
      </c>
      <c r="AK220" s="98" t="str">
        <f ca="1">IFERROR(__xludf.DUMMYFUNCTION("IFERROR(VLOOKUP(F243,IMPORTRANGE(""https://docs.google.com/spreadsheets/d/1Kvs4KS76FHFqLFIZfrDMff4kP08nblUkihrxltoGBjg/edit#gid=934712705"",""ESENCIAL!A6:BG""),5,FALSE))"),"")</f>
        <v/>
      </c>
      <c r="AL220" s="98" t="str">
        <f t="shared" si="17"/>
        <v/>
      </c>
      <c r="AM220" s="99" t="str">
        <f t="shared" si="18"/>
        <v/>
      </c>
      <c r="AN220" s="100" t="str">
        <f ca="1">IFERROR(__xludf.DUMMYFUNCTION("IFERROR(VLOOKUP(F243,IMPORTRANGE(""https://docs.google.com/spreadsheets/d/1Kvs4KS76FHFqLFIZfrDMff4kP08nblUkihrxltoGBjg/edit#gid=934712705"",""ESENCIAL!A6:BG""),2,FALSE))"),"")</f>
        <v/>
      </c>
      <c r="AO220" s="19" t="str">
        <f t="shared" si="19"/>
        <v/>
      </c>
      <c r="AP220" s="100"/>
      <c r="AQ220" s="100"/>
    </row>
    <row r="221" spans="1:43" ht="15">
      <c r="A221" s="101"/>
      <c r="B221" s="101"/>
      <c r="G221" s="5" t="str">
        <f ca="1">IFERROR(__xludf.DUMMYFUNCTION("IFERROR(VLOOKUP(F244,IMPORTRANGE(""https://docs.google.com/spreadsheets/d/1Kvs4KS76FHFqLFIZfrDMff4kP08nblUkihrxltoGBjg/edit#gid=934712705"",""ESENCIAL!A6:BG""),3,FALSE))"),"")</f>
        <v/>
      </c>
      <c r="H221" s="5" t="str">
        <f ca="1">IFERROR(__xludf.DUMMYFUNCTION("IFERROR(VLOOKUP(F244,IMPORTRANGE(""https://docs.google.com/spreadsheets/d/1Kvs4KS76FHFqLFIZfrDMff4kP08nblUkihrxltoGBjg/edit#gid=934712705"",""ESENCIAL!A6:BG""),8,FALSE))"),"")</f>
        <v/>
      </c>
      <c r="L221" s="287"/>
      <c r="Z221" s="41" t="str">
        <f t="shared" si="16"/>
        <v/>
      </c>
      <c r="AA221" s="5" t="str">
        <f ca="1">IFERROR(__xludf.DUMMYFUNCTION("IFERROR(VLOOKUP(E244&amp;F244,IMPORTRANGE(""https://docs.google.com/spreadsheets/d/1Uw7-A9f9R21vMXxHZFNpYNeKFtG8_yji4HS352LGlSQ/edit?pli=1#gid=0"",""1_ACUM!A4:S""),11,FALSE))"),"")</f>
        <v/>
      </c>
      <c r="AB221" s="42" t="str">
        <f ca="1">IFERROR(__xludf.DUMMYFUNCTION("IFERROR(VLOOKUP(F244,IMPORTRANGE(""https://docs.google.com/spreadsheets/d/1Kvs4KS76FHFqLFIZfrDMff4kP08nblUkihrxltoGBjg/edit#gid=934712705"",""ESENCIAL!A6:BG""),15,FALSE))"),"")</f>
        <v/>
      </c>
      <c r="AC221" s="110" t="str">
        <f ca="1">IFERROR(__xludf.DUMMYFUNCTION("IFERROR(VLOOKUP(E244&amp;F244,IMPORTRANGE(""https://docs.google.com/spreadsheets/d/1Uw7-A9f9R21vMXxHZFNpYNeKFtG8_yji4HS352LGlSQ/edit?pli=1#gid=0"",""1_ACUM!A4:S""),13,FALSE))"),"")</f>
        <v/>
      </c>
      <c r="AD221" s="43" t="str">
        <f ca="1">IFERROR(__xludf.DUMMYFUNCTION("IFERROR(VLOOKUP(E244&amp;F244,IMPORTRANGE(""https://docs.google.com/spreadsheets/d/1Uw7-A9f9R21vMXxHZFNpYNeKFtG8_yji4HS352LGlSQ/edit?pli=1#gid=0"",""1_ACUM!A4:S""),13,FALSE))"),"")</f>
        <v/>
      </c>
      <c r="AE221" s="43" t="str">
        <f ca="1">IFERROR(__xludf.DUMMYFUNCTION("IFERROR(VLOOKUP(E244&amp;F244,IMPORTRANGE(""https://docs.google.com/spreadsheets/d/1Uw7-A9f9R21vMXxHZFNpYNeKFtG8_yji4HS352LGlSQ/edit?pli=1#gid=0"",""1_ACUM!A4:S""),14,FALSE))"),"")</f>
        <v/>
      </c>
      <c r="AF221" s="43" t="str">
        <f ca="1">IFERROR(__xludf.DUMMYFUNCTION("IFERROR(VLOOKUP(E244&amp;F244,IMPORTRANGE(""https://docs.google.com/spreadsheets/d/1Uw7-A9f9R21vMXxHZFNpYNeKFtG8_yji4HS352LGlSQ/edit?pli=1#gid=0"",""1_ACUM!A4:S""),15,FALSE))"),"")</f>
        <v/>
      </c>
      <c r="AG221" s="43" t="str">
        <f ca="1">IFERROR(__xludf.DUMMYFUNCTION("IFERROR(VLOOKUP(E244&amp;F244,IMPORTRANGE(""https://docs.google.com/spreadsheets/d/1Uw7-A9f9R21vMXxHZFNpYNeKFtG8_yji4HS352LGlSQ/edit?pli=1#gid=0"",""1_ACUM!A4:S""),16,FALSE))"),"")</f>
        <v/>
      </c>
      <c r="AH221" s="43" t="str">
        <f ca="1">IFERROR(__xludf.DUMMYFUNCTION("IFERROR(VLOOKUP(E244&amp;F244,IMPORTRANGE(""https://docs.google.com/spreadsheets/d/1Uw7-A9f9R21vMXxHZFNpYNeKFtG8_yji4HS352LGlSQ/edit?pli=1#gid=0"",""1_ACUM!A4:S""),17,FALSE))"),"")</f>
        <v/>
      </c>
      <c r="AI221" s="44" t="str">
        <f ca="1">IFERROR(__xludf.DUMMYFUNCTION("IFERROR(VLOOKUP(E244&amp;F244,IMPORTRANGE(""https://docs.google.com/spreadsheets/d/1Uw7-A9f9R21vMXxHZFNpYNeKFtG8_yji4HS352LGlSQ/edit?pli=1#gid=0"",""1_ACUM!A4:S""),18,FALSE))"),"")</f>
        <v/>
      </c>
      <c r="AJ221" s="44" t="str">
        <f ca="1">IFERROR(__xludf.DUMMYFUNCTION("IFERROR(VLOOKUP(E244&amp;F244,IMPORTRANGE(""https://docs.google.com/spreadsheets/d/1Uw7-A9f9R21vMXxHZFNpYNeKFtG8_yji4HS352LGlSQ/edit?pli=1#gid=0"",""1_ACUM!A4:S""),19,FALSE))"),"")</f>
        <v/>
      </c>
      <c r="AK221" s="98" t="str">
        <f ca="1">IFERROR(__xludf.DUMMYFUNCTION("IFERROR(VLOOKUP(F244,IMPORTRANGE(""https://docs.google.com/spreadsheets/d/1Kvs4KS76FHFqLFIZfrDMff4kP08nblUkihrxltoGBjg/edit#gid=934712705"",""ESENCIAL!A6:BG""),5,FALSE))"),"")</f>
        <v/>
      </c>
      <c r="AL221" s="98" t="str">
        <f t="shared" si="17"/>
        <v/>
      </c>
      <c r="AM221" s="99" t="str">
        <f t="shared" si="18"/>
        <v/>
      </c>
      <c r="AN221" s="100" t="str">
        <f ca="1">IFERROR(__xludf.DUMMYFUNCTION("IFERROR(VLOOKUP(F244,IMPORTRANGE(""https://docs.google.com/spreadsheets/d/1Kvs4KS76FHFqLFIZfrDMff4kP08nblUkihrxltoGBjg/edit#gid=934712705"",""ESENCIAL!A6:BG""),2,FALSE))"),"")</f>
        <v/>
      </c>
      <c r="AO221" s="19" t="str">
        <f t="shared" si="19"/>
        <v/>
      </c>
      <c r="AP221" s="100"/>
      <c r="AQ221" s="100"/>
    </row>
    <row r="222" spans="1:43" ht="15">
      <c r="A222" s="101"/>
      <c r="B222" s="101"/>
      <c r="G222" s="5" t="str">
        <f ca="1">IFERROR(__xludf.DUMMYFUNCTION("IFERROR(VLOOKUP(F245,IMPORTRANGE(""https://docs.google.com/spreadsheets/d/1Kvs4KS76FHFqLFIZfrDMff4kP08nblUkihrxltoGBjg/edit#gid=934712705"",""ESENCIAL!A6:BG""),3,FALSE))"),"")</f>
        <v/>
      </c>
      <c r="H222" s="5" t="str">
        <f ca="1">IFERROR(__xludf.DUMMYFUNCTION("IFERROR(VLOOKUP(F245,IMPORTRANGE(""https://docs.google.com/spreadsheets/d/1Kvs4KS76FHFqLFIZfrDMff4kP08nblUkihrxltoGBjg/edit#gid=934712705"",""ESENCIAL!A6:BG""),8,FALSE))"),"")</f>
        <v/>
      </c>
      <c r="L222" s="287"/>
      <c r="Z222" s="41" t="str">
        <f t="shared" si="16"/>
        <v/>
      </c>
      <c r="AA222" s="5" t="str">
        <f ca="1">IFERROR(__xludf.DUMMYFUNCTION("IFERROR(VLOOKUP(E245&amp;F245,IMPORTRANGE(""https://docs.google.com/spreadsheets/d/1Uw7-A9f9R21vMXxHZFNpYNeKFtG8_yji4HS352LGlSQ/edit?pli=1#gid=0"",""1_ACUM!A4:S""),11,FALSE))"),"")</f>
        <v/>
      </c>
      <c r="AB222" s="42" t="str">
        <f ca="1">IFERROR(__xludf.DUMMYFUNCTION("IFERROR(VLOOKUP(F245,IMPORTRANGE(""https://docs.google.com/spreadsheets/d/1Kvs4KS76FHFqLFIZfrDMff4kP08nblUkihrxltoGBjg/edit#gid=934712705"",""ESENCIAL!A6:BG""),15,FALSE))"),"")</f>
        <v/>
      </c>
      <c r="AC222" s="110" t="str">
        <f ca="1">IFERROR(__xludf.DUMMYFUNCTION("IFERROR(VLOOKUP(E245&amp;F245,IMPORTRANGE(""https://docs.google.com/spreadsheets/d/1Uw7-A9f9R21vMXxHZFNpYNeKFtG8_yji4HS352LGlSQ/edit?pli=1#gid=0"",""1_ACUM!A4:S""),13,FALSE))"),"")</f>
        <v/>
      </c>
      <c r="AD222" s="43" t="str">
        <f ca="1">IFERROR(__xludf.DUMMYFUNCTION("IFERROR(VLOOKUP(E245&amp;F245,IMPORTRANGE(""https://docs.google.com/spreadsheets/d/1Uw7-A9f9R21vMXxHZFNpYNeKFtG8_yji4HS352LGlSQ/edit?pli=1#gid=0"",""1_ACUM!A4:S""),13,FALSE))"),"")</f>
        <v/>
      </c>
      <c r="AE222" s="43" t="str">
        <f ca="1">IFERROR(__xludf.DUMMYFUNCTION("IFERROR(VLOOKUP(E245&amp;F245,IMPORTRANGE(""https://docs.google.com/spreadsheets/d/1Uw7-A9f9R21vMXxHZFNpYNeKFtG8_yji4HS352LGlSQ/edit?pli=1#gid=0"",""1_ACUM!A4:S""),14,FALSE))"),"")</f>
        <v/>
      </c>
      <c r="AF222" s="43" t="str">
        <f ca="1">IFERROR(__xludf.DUMMYFUNCTION("IFERROR(VLOOKUP(E245&amp;F245,IMPORTRANGE(""https://docs.google.com/spreadsheets/d/1Uw7-A9f9R21vMXxHZFNpYNeKFtG8_yji4HS352LGlSQ/edit?pli=1#gid=0"",""1_ACUM!A4:S""),15,FALSE))"),"")</f>
        <v/>
      </c>
      <c r="AG222" s="43" t="str">
        <f ca="1">IFERROR(__xludf.DUMMYFUNCTION("IFERROR(VLOOKUP(E245&amp;F245,IMPORTRANGE(""https://docs.google.com/spreadsheets/d/1Uw7-A9f9R21vMXxHZFNpYNeKFtG8_yji4HS352LGlSQ/edit?pli=1#gid=0"",""1_ACUM!A4:S""),16,FALSE))"),"")</f>
        <v/>
      </c>
      <c r="AH222" s="43" t="str">
        <f ca="1">IFERROR(__xludf.DUMMYFUNCTION("IFERROR(VLOOKUP(E245&amp;F245,IMPORTRANGE(""https://docs.google.com/spreadsheets/d/1Uw7-A9f9R21vMXxHZFNpYNeKFtG8_yji4HS352LGlSQ/edit?pli=1#gid=0"",""1_ACUM!A4:S""),17,FALSE))"),"")</f>
        <v/>
      </c>
      <c r="AI222" s="44" t="str">
        <f ca="1">IFERROR(__xludf.DUMMYFUNCTION("IFERROR(VLOOKUP(E245&amp;F245,IMPORTRANGE(""https://docs.google.com/spreadsheets/d/1Uw7-A9f9R21vMXxHZFNpYNeKFtG8_yji4HS352LGlSQ/edit?pli=1#gid=0"",""1_ACUM!A4:S""),18,FALSE))"),"")</f>
        <v/>
      </c>
      <c r="AJ222" s="44" t="str">
        <f ca="1">IFERROR(__xludf.DUMMYFUNCTION("IFERROR(VLOOKUP(E245&amp;F245,IMPORTRANGE(""https://docs.google.com/spreadsheets/d/1Uw7-A9f9R21vMXxHZFNpYNeKFtG8_yji4HS352LGlSQ/edit?pli=1#gid=0"",""1_ACUM!A4:S""),19,FALSE))"),"")</f>
        <v/>
      </c>
      <c r="AK222" s="98" t="str">
        <f ca="1">IFERROR(__xludf.DUMMYFUNCTION("IFERROR(VLOOKUP(F245,IMPORTRANGE(""https://docs.google.com/spreadsheets/d/1Kvs4KS76FHFqLFIZfrDMff4kP08nblUkihrxltoGBjg/edit#gid=934712705"",""ESENCIAL!A6:BG""),5,FALSE))"),"")</f>
        <v/>
      </c>
      <c r="AL222" s="98" t="str">
        <f t="shared" si="17"/>
        <v/>
      </c>
      <c r="AM222" s="99" t="str">
        <f t="shared" si="18"/>
        <v/>
      </c>
      <c r="AN222" s="100" t="str">
        <f ca="1">IFERROR(__xludf.DUMMYFUNCTION("IFERROR(VLOOKUP(F245,IMPORTRANGE(""https://docs.google.com/spreadsheets/d/1Kvs4KS76FHFqLFIZfrDMff4kP08nblUkihrxltoGBjg/edit#gid=934712705"",""ESENCIAL!A6:BG""),2,FALSE))"),"")</f>
        <v/>
      </c>
      <c r="AO222" s="19" t="str">
        <f t="shared" si="19"/>
        <v/>
      </c>
      <c r="AP222" s="100"/>
      <c r="AQ222" s="100"/>
    </row>
    <row r="223" spans="1:43" ht="15">
      <c r="A223" s="101"/>
      <c r="B223" s="101"/>
      <c r="G223" s="5" t="str">
        <f ca="1">IFERROR(__xludf.DUMMYFUNCTION("IFERROR(VLOOKUP(F246,IMPORTRANGE(""https://docs.google.com/spreadsheets/d/1Kvs4KS76FHFqLFIZfrDMff4kP08nblUkihrxltoGBjg/edit#gid=934712705"",""ESENCIAL!A6:BG""),3,FALSE))"),"")</f>
        <v/>
      </c>
      <c r="H223" s="5" t="str">
        <f ca="1">IFERROR(__xludf.DUMMYFUNCTION("IFERROR(VLOOKUP(F246,IMPORTRANGE(""https://docs.google.com/spreadsheets/d/1Kvs4KS76FHFqLFIZfrDMff4kP08nblUkihrxltoGBjg/edit#gid=934712705"",""ESENCIAL!A6:BG""),8,FALSE))"),"")</f>
        <v/>
      </c>
      <c r="L223" s="287"/>
      <c r="Z223" s="41" t="str">
        <f t="shared" si="16"/>
        <v/>
      </c>
      <c r="AA223" s="5" t="str">
        <f ca="1">IFERROR(__xludf.DUMMYFUNCTION("IFERROR(VLOOKUP(E246&amp;F246,IMPORTRANGE(""https://docs.google.com/spreadsheets/d/1Uw7-A9f9R21vMXxHZFNpYNeKFtG8_yji4HS352LGlSQ/edit?pli=1#gid=0"",""1_ACUM!A4:S""),11,FALSE))"),"")</f>
        <v/>
      </c>
      <c r="AB223" s="42" t="str">
        <f ca="1">IFERROR(__xludf.DUMMYFUNCTION("IFERROR(VLOOKUP(F246,IMPORTRANGE(""https://docs.google.com/spreadsheets/d/1Kvs4KS76FHFqLFIZfrDMff4kP08nblUkihrxltoGBjg/edit#gid=934712705"",""ESENCIAL!A6:BG""),15,FALSE))"),"")</f>
        <v/>
      </c>
      <c r="AC223" s="110" t="str">
        <f ca="1">IFERROR(__xludf.DUMMYFUNCTION("IFERROR(VLOOKUP(E246&amp;F246,IMPORTRANGE(""https://docs.google.com/spreadsheets/d/1Uw7-A9f9R21vMXxHZFNpYNeKFtG8_yji4HS352LGlSQ/edit?pli=1#gid=0"",""1_ACUM!A4:S""),13,FALSE))"),"")</f>
        <v/>
      </c>
      <c r="AD223" s="43" t="str">
        <f ca="1">IFERROR(__xludf.DUMMYFUNCTION("IFERROR(VLOOKUP(E246&amp;F246,IMPORTRANGE(""https://docs.google.com/spreadsheets/d/1Uw7-A9f9R21vMXxHZFNpYNeKFtG8_yji4HS352LGlSQ/edit?pli=1#gid=0"",""1_ACUM!A4:S""),13,FALSE))"),"")</f>
        <v/>
      </c>
      <c r="AE223" s="43" t="str">
        <f ca="1">IFERROR(__xludf.DUMMYFUNCTION("IFERROR(VLOOKUP(E246&amp;F246,IMPORTRANGE(""https://docs.google.com/spreadsheets/d/1Uw7-A9f9R21vMXxHZFNpYNeKFtG8_yji4HS352LGlSQ/edit?pli=1#gid=0"",""1_ACUM!A4:S""),14,FALSE))"),"")</f>
        <v/>
      </c>
      <c r="AF223" s="43" t="str">
        <f ca="1">IFERROR(__xludf.DUMMYFUNCTION("IFERROR(VLOOKUP(E246&amp;F246,IMPORTRANGE(""https://docs.google.com/spreadsheets/d/1Uw7-A9f9R21vMXxHZFNpYNeKFtG8_yji4HS352LGlSQ/edit?pli=1#gid=0"",""1_ACUM!A4:S""),15,FALSE))"),"")</f>
        <v/>
      </c>
      <c r="AG223" s="43" t="str">
        <f ca="1">IFERROR(__xludf.DUMMYFUNCTION("IFERROR(VLOOKUP(E246&amp;F246,IMPORTRANGE(""https://docs.google.com/spreadsheets/d/1Uw7-A9f9R21vMXxHZFNpYNeKFtG8_yji4HS352LGlSQ/edit?pli=1#gid=0"",""1_ACUM!A4:S""),16,FALSE))"),"")</f>
        <v/>
      </c>
      <c r="AH223" s="43" t="str">
        <f ca="1">IFERROR(__xludf.DUMMYFUNCTION("IFERROR(VLOOKUP(E246&amp;F246,IMPORTRANGE(""https://docs.google.com/spreadsheets/d/1Uw7-A9f9R21vMXxHZFNpYNeKFtG8_yji4HS352LGlSQ/edit?pli=1#gid=0"",""1_ACUM!A4:S""),17,FALSE))"),"")</f>
        <v/>
      </c>
      <c r="AI223" s="44" t="str">
        <f ca="1">IFERROR(__xludf.DUMMYFUNCTION("IFERROR(VLOOKUP(E246&amp;F246,IMPORTRANGE(""https://docs.google.com/spreadsheets/d/1Uw7-A9f9R21vMXxHZFNpYNeKFtG8_yji4HS352LGlSQ/edit?pli=1#gid=0"",""1_ACUM!A4:S""),18,FALSE))"),"")</f>
        <v/>
      </c>
      <c r="AJ223" s="44" t="str">
        <f ca="1">IFERROR(__xludf.DUMMYFUNCTION("IFERROR(VLOOKUP(E246&amp;F246,IMPORTRANGE(""https://docs.google.com/spreadsheets/d/1Uw7-A9f9R21vMXxHZFNpYNeKFtG8_yji4HS352LGlSQ/edit?pli=1#gid=0"",""1_ACUM!A4:S""),19,FALSE))"),"")</f>
        <v/>
      </c>
      <c r="AK223" s="98" t="str">
        <f ca="1">IFERROR(__xludf.DUMMYFUNCTION("IFERROR(VLOOKUP(F246,IMPORTRANGE(""https://docs.google.com/spreadsheets/d/1Kvs4KS76FHFqLFIZfrDMff4kP08nblUkihrxltoGBjg/edit#gid=934712705"",""ESENCIAL!A6:BG""),5,FALSE))"),"")</f>
        <v/>
      </c>
      <c r="AL223" s="98" t="str">
        <f t="shared" si="17"/>
        <v/>
      </c>
      <c r="AM223" s="99" t="str">
        <f t="shared" si="18"/>
        <v/>
      </c>
      <c r="AN223" s="100" t="str">
        <f ca="1">IFERROR(__xludf.DUMMYFUNCTION("IFERROR(VLOOKUP(F246,IMPORTRANGE(""https://docs.google.com/spreadsheets/d/1Kvs4KS76FHFqLFIZfrDMff4kP08nblUkihrxltoGBjg/edit#gid=934712705"",""ESENCIAL!A6:BG""),2,FALSE))"),"")</f>
        <v/>
      </c>
      <c r="AO223" s="19" t="str">
        <f t="shared" si="19"/>
        <v/>
      </c>
      <c r="AP223" s="100"/>
      <c r="AQ223" s="100"/>
    </row>
    <row r="224" spans="1:43" ht="15">
      <c r="A224" s="101"/>
      <c r="B224" s="101"/>
      <c r="G224" s="5" t="str">
        <f ca="1">IFERROR(__xludf.DUMMYFUNCTION("IFERROR(VLOOKUP(F247,IMPORTRANGE(""https://docs.google.com/spreadsheets/d/1Kvs4KS76FHFqLFIZfrDMff4kP08nblUkihrxltoGBjg/edit#gid=934712705"",""ESENCIAL!A6:BG""),3,FALSE))"),"")</f>
        <v/>
      </c>
      <c r="H224" s="5" t="str">
        <f ca="1">IFERROR(__xludf.DUMMYFUNCTION("IFERROR(VLOOKUP(F247,IMPORTRANGE(""https://docs.google.com/spreadsheets/d/1Kvs4KS76FHFqLFIZfrDMff4kP08nblUkihrxltoGBjg/edit#gid=934712705"",""ESENCIAL!A6:BG""),8,FALSE))"),"")</f>
        <v/>
      </c>
      <c r="L224" s="287"/>
      <c r="Z224" s="41" t="str">
        <f t="shared" si="16"/>
        <v/>
      </c>
      <c r="AA224" s="5" t="str">
        <f ca="1">IFERROR(__xludf.DUMMYFUNCTION("IFERROR(VLOOKUP(E247&amp;F247,IMPORTRANGE(""https://docs.google.com/spreadsheets/d/1Uw7-A9f9R21vMXxHZFNpYNeKFtG8_yji4HS352LGlSQ/edit?pli=1#gid=0"",""1_ACUM!A4:S""),11,FALSE))"),"")</f>
        <v/>
      </c>
      <c r="AB224" s="42" t="str">
        <f ca="1">IFERROR(__xludf.DUMMYFUNCTION("IFERROR(VLOOKUP(F247,IMPORTRANGE(""https://docs.google.com/spreadsheets/d/1Kvs4KS76FHFqLFIZfrDMff4kP08nblUkihrxltoGBjg/edit#gid=934712705"",""ESENCIAL!A6:BG""),15,FALSE))"),"")</f>
        <v/>
      </c>
      <c r="AC224" s="110" t="str">
        <f ca="1">IFERROR(__xludf.DUMMYFUNCTION("IFERROR(VLOOKUP(E247&amp;F247,IMPORTRANGE(""https://docs.google.com/spreadsheets/d/1Uw7-A9f9R21vMXxHZFNpYNeKFtG8_yji4HS352LGlSQ/edit?pli=1#gid=0"",""1_ACUM!A4:S""),13,FALSE))"),"")</f>
        <v/>
      </c>
      <c r="AD224" s="43" t="str">
        <f ca="1">IFERROR(__xludf.DUMMYFUNCTION("IFERROR(VLOOKUP(E247&amp;F247,IMPORTRANGE(""https://docs.google.com/spreadsheets/d/1Uw7-A9f9R21vMXxHZFNpYNeKFtG8_yji4HS352LGlSQ/edit?pli=1#gid=0"",""1_ACUM!A4:S""),13,FALSE))"),"")</f>
        <v/>
      </c>
      <c r="AE224" s="43" t="str">
        <f ca="1">IFERROR(__xludf.DUMMYFUNCTION("IFERROR(VLOOKUP(E247&amp;F247,IMPORTRANGE(""https://docs.google.com/spreadsheets/d/1Uw7-A9f9R21vMXxHZFNpYNeKFtG8_yji4HS352LGlSQ/edit?pli=1#gid=0"",""1_ACUM!A4:S""),14,FALSE))"),"")</f>
        <v/>
      </c>
      <c r="AF224" s="43" t="str">
        <f ca="1">IFERROR(__xludf.DUMMYFUNCTION("IFERROR(VLOOKUP(E247&amp;F247,IMPORTRANGE(""https://docs.google.com/spreadsheets/d/1Uw7-A9f9R21vMXxHZFNpYNeKFtG8_yji4HS352LGlSQ/edit?pli=1#gid=0"",""1_ACUM!A4:S""),15,FALSE))"),"")</f>
        <v/>
      </c>
      <c r="AG224" s="43" t="str">
        <f ca="1">IFERROR(__xludf.DUMMYFUNCTION("IFERROR(VLOOKUP(E247&amp;F247,IMPORTRANGE(""https://docs.google.com/spreadsheets/d/1Uw7-A9f9R21vMXxHZFNpYNeKFtG8_yji4HS352LGlSQ/edit?pli=1#gid=0"",""1_ACUM!A4:S""),16,FALSE))"),"")</f>
        <v/>
      </c>
      <c r="AH224" s="43" t="str">
        <f ca="1">IFERROR(__xludf.DUMMYFUNCTION("IFERROR(VLOOKUP(E247&amp;F247,IMPORTRANGE(""https://docs.google.com/spreadsheets/d/1Uw7-A9f9R21vMXxHZFNpYNeKFtG8_yji4HS352LGlSQ/edit?pli=1#gid=0"",""1_ACUM!A4:S""),17,FALSE))"),"")</f>
        <v/>
      </c>
      <c r="AI224" s="44" t="str">
        <f ca="1">IFERROR(__xludf.DUMMYFUNCTION("IFERROR(VLOOKUP(E247&amp;F247,IMPORTRANGE(""https://docs.google.com/spreadsheets/d/1Uw7-A9f9R21vMXxHZFNpYNeKFtG8_yji4HS352LGlSQ/edit?pli=1#gid=0"",""1_ACUM!A4:S""),18,FALSE))"),"")</f>
        <v/>
      </c>
      <c r="AJ224" s="44" t="str">
        <f ca="1">IFERROR(__xludf.DUMMYFUNCTION("IFERROR(VLOOKUP(E247&amp;F247,IMPORTRANGE(""https://docs.google.com/spreadsheets/d/1Uw7-A9f9R21vMXxHZFNpYNeKFtG8_yji4HS352LGlSQ/edit?pli=1#gid=0"",""1_ACUM!A4:S""),19,FALSE))"),"")</f>
        <v/>
      </c>
      <c r="AK224" s="98" t="str">
        <f ca="1">IFERROR(__xludf.DUMMYFUNCTION("IFERROR(VLOOKUP(F247,IMPORTRANGE(""https://docs.google.com/spreadsheets/d/1Kvs4KS76FHFqLFIZfrDMff4kP08nblUkihrxltoGBjg/edit#gid=934712705"",""ESENCIAL!A6:BG""),5,FALSE))"),"")</f>
        <v/>
      </c>
      <c r="AL224" s="98" t="str">
        <f t="shared" si="17"/>
        <v/>
      </c>
      <c r="AM224" s="99" t="str">
        <f t="shared" si="18"/>
        <v/>
      </c>
      <c r="AN224" s="100" t="str">
        <f ca="1">IFERROR(__xludf.DUMMYFUNCTION("IFERROR(VLOOKUP(F247,IMPORTRANGE(""https://docs.google.com/spreadsheets/d/1Kvs4KS76FHFqLFIZfrDMff4kP08nblUkihrxltoGBjg/edit#gid=934712705"",""ESENCIAL!A6:BG""),2,FALSE))"),"")</f>
        <v/>
      </c>
      <c r="AO224" s="19" t="str">
        <f t="shared" si="19"/>
        <v/>
      </c>
      <c r="AP224" s="100"/>
      <c r="AQ224" s="100"/>
    </row>
    <row r="225" spans="1:43" ht="15">
      <c r="A225" s="101"/>
      <c r="B225" s="101"/>
      <c r="G225" s="5" t="str">
        <f ca="1">IFERROR(__xludf.DUMMYFUNCTION("IFERROR(VLOOKUP(F248,IMPORTRANGE(""https://docs.google.com/spreadsheets/d/1Kvs4KS76FHFqLFIZfrDMff4kP08nblUkihrxltoGBjg/edit#gid=934712705"",""ESENCIAL!A6:BG""),3,FALSE))"),"")</f>
        <v/>
      </c>
      <c r="H225" s="5" t="str">
        <f ca="1">IFERROR(__xludf.DUMMYFUNCTION("IFERROR(VLOOKUP(F248,IMPORTRANGE(""https://docs.google.com/spreadsheets/d/1Kvs4KS76FHFqLFIZfrDMff4kP08nblUkihrxltoGBjg/edit#gid=934712705"",""ESENCIAL!A6:BG""),8,FALSE))"),"")</f>
        <v/>
      </c>
      <c r="L225" s="287"/>
      <c r="Z225" s="41" t="str">
        <f t="shared" si="16"/>
        <v/>
      </c>
      <c r="AA225" s="5" t="str">
        <f ca="1">IFERROR(__xludf.DUMMYFUNCTION("IFERROR(VLOOKUP(E248&amp;F248,IMPORTRANGE(""https://docs.google.com/spreadsheets/d/1Uw7-A9f9R21vMXxHZFNpYNeKFtG8_yji4HS352LGlSQ/edit?pli=1#gid=0"",""1_ACUM!A4:S""),11,FALSE))"),"")</f>
        <v/>
      </c>
      <c r="AB225" s="42" t="str">
        <f ca="1">IFERROR(__xludf.DUMMYFUNCTION("IFERROR(VLOOKUP(F248,IMPORTRANGE(""https://docs.google.com/spreadsheets/d/1Kvs4KS76FHFqLFIZfrDMff4kP08nblUkihrxltoGBjg/edit#gid=934712705"",""ESENCIAL!A6:BG""),15,FALSE))"),"")</f>
        <v/>
      </c>
      <c r="AC225" s="110" t="str">
        <f ca="1">IFERROR(__xludf.DUMMYFUNCTION("IFERROR(VLOOKUP(E248&amp;F248,IMPORTRANGE(""https://docs.google.com/spreadsheets/d/1Uw7-A9f9R21vMXxHZFNpYNeKFtG8_yji4HS352LGlSQ/edit?pli=1#gid=0"",""1_ACUM!A4:S""),13,FALSE))"),"")</f>
        <v/>
      </c>
      <c r="AD225" s="43" t="str">
        <f ca="1">IFERROR(__xludf.DUMMYFUNCTION("IFERROR(VLOOKUP(E248&amp;F248,IMPORTRANGE(""https://docs.google.com/spreadsheets/d/1Uw7-A9f9R21vMXxHZFNpYNeKFtG8_yji4HS352LGlSQ/edit?pli=1#gid=0"",""1_ACUM!A4:S""),13,FALSE))"),"")</f>
        <v/>
      </c>
      <c r="AE225" s="43" t="str">
        <f ca="1">IFERROR(__xludf.DUMMYFUNCTION("IFERROR(VLOOKUP(E248&amp;F248,IMPORTRANGE(""https://docs.google.com/spreadsheets/d/1Uw7-A9f9R21vMXxHZFNpYNeKFtG8_yji4HS352LGlSQ/edit?pli=1#gid=0"",""1_ACUM!A4:S""),14,FALSE))"),"")</f>
        <v/>
      </c>
      <c r="AF225" s="43" t="str">
        <f ca="1">IFERROR(__xludf.DUMMYFUNCTION("IFERROR(VLOOKUP(E248&amp;F248,IMPORTRANGE(""https://docs.google.com/spreadsheets/d/1Uw7-A9f9R21vMXxHZFNpYNeKFtG8_yji4HS352LGlSQ/edit?pli=1#gid=0"",""1_ACUM!A4:S""),15,FALSE))"),"")</f>
        <v/>
      </c>
      <c r="AG225" s="43" t="str">
        <f ca="1">IFERROR(__xludf.DUMMYFUNCTION("IFERROR(VLOOKUP(E248&amp;F248,IMPORTRANGE(""https://docs.google.com/spreadsheets/d/1Uw7-A9f9R21vMXxHZFNpYNeKFtG8_yji4HS352LGlSQ/edit?pli=1#gid=0"",""1_ACUM!A4:S""),16,FALSE))"),"")</f>
        <v/>
      </c>
      <c r="AH225" s="43" t="str">
        <f ca="1">IFERROR(__xludf.DUMMYFUNCTION("IFERROR(VLOOKUP(E248&amp;F248,IMPORTRANGE(""https://docs.google.com/spreadsheets/d/1Uw7-A9f9R21vMXxHZFNpYNeKFtG8_yji4HS352LGlSQ/edit?pli=1#gid=0"",""1_ACUM!A4:S""),17,FALSE))"),"")</f>
        <v/>
      </c>
      <c r="AI225" s="44" t="str">
        <f ca="1">IFERROR(__xludf.DUMMYFUNCTION("IFERROR(VLOOKUP(E248&amp;F248,IMPORTRANGE(""https://docs.google.com/spreadsheets/d/1Uw7-A9f9R21vMXxHZFNpYNeKFtG8_yji4HS352LGlSQ/edit?pli=1#gid=0"",""1_ACUM!A4:S""),18,FALSE))"),"")</f>
        <v/>
      </c>
      <c r="AJ225" s="44" t="str">
        <f ca="1">IFERROR(__xludf.DUMMYFUNCTION("IFERROR(VLOOKUP(E248&amp;F248,IMPORTRANGE(""https://docs.google.com/spreadsheets/d/1Uw7-A9f9R21vMXxHZFNpYNeKFtG8_yji4HS352LGlSQ/edit?pli=1#gid=0"",""1_ACUM!A4:S""),19,FALSE))"),"")</f>
        <v/>
      </c>
      <c r="AK225" s="98" t="str">
        <f ca="1">IFERROR(__xludf.DUMMYFUNCTION("IFERROR(VLOOKUP(F248,IMPORTRANGE(""https://docs.google.com/spreadsheets/d/1Kvs4KS76FHFqLFIZfrDMff4kP08nblUkihrxltoGBjg/edit#gid=934712705"",""ESENCIAL!A6:BG""),5,FALSE))"),"")</f>
        <v/>
      </c>
      <c r="AL225" s="98" t="str">
        <f t="shared" si="17"/>
        <v/>
      </c>
      <c r="AM225" s="99" t="str">
        <f t="shared" si="18"/>
        <v/>
      </c>
      <c r="AN225" s="100" t="str">
        <f ca="1">IFERROR(__xludf.DUMMYFUNCTION("IFERROR(VLOOKUP(F248,IMPORTRANGE(""https://docs.google.com/spreadsheets/d/1Kvs4KS76FHFqLFIZfrDMff4kP08nblUkihrxltoGBjg/edit#gid=934712705"",""ESENCIAL!A6:BG""),2,FALSE))"),"")</f>
        <v/>
      </c>
      <c r="AO225" s="19" t="str">
        <f t="shared" si="19"/>
        <v/>
      </c>
      <c r="AP225" s="100"/>
      <c r="AQ225" s="100"/>
    </row>
    <row r="226" spans="1:43" ht="15">
      <c r="A226" s="101"/>
      <c r="B226" s="101"/>
      <c r="G226" s="5" t="str">
        <f ca="1">IFERROR(__xludf.DUMMYFUNCTION("IFERROR(VLOOKUP(F249,IMPORTRANGE(""https://docs.google.com/spreadsheets/d/1Kvs4KS76FHFqLFIZfrDMff4kP08nblUkihrxltoGBjg/edit#gid=934712705"",""ESENCIAL!A6:BG""),3,FALSE))"),"")</f>
        <v/>
      </c>
      <c r="H226" s="5" t="str">
        <f ca="1">IFERROR(__xludf.DUMMYFUNCTION("IFERROR(VLOOKUP(F249,IMPORTRANGE(""https://docs.google.com/spreadsheets/d/1Kvs4KS76FHFqLFIZfrDMff4kP08nblUkihrxltoGBjg/edit#gid=934712705"",""ESENCIAL!A6:BG""),8,FALSE))"),"")</f>
        <v/>
      </c>
      <c r="L226" s="287"/>
      <c r="Z226" s="41" t="str">
        <f t="shared" si="16"/>
        <v/>
      </c>
      <c r="AA226" s="5" t="str">
        <f ca="1">IFERROR(__xludf.DUMMYFUNCTION("IFERROR(VLOOKUP(E249&amp;F249,IMPORTRANGE(""https://docs.google.com/spreadsheets/d/1Uw7-A9f9R21vMXxHZFNpYNeKFtG8_yji4HS352LGlSQ/edit?pli=1#gid=0"",""1_ACUM!A4:S""),11,FALSE))"),"")</f>
        <v/>
      </c>
      <c r="AB226" s="42" t="str">
        <f ca="1">IFERROR(__xludf.DUMMYFUNCTION("IFERROR(VLOOKUP(F249,IMPORTRANGE(""https://docs.google.com/spreadsheets/d/1Kvs4KS76FHFqLFIZfrDMff4kP08nblUkihrxltoGBjg/edit#gid=934712705"",""ESENCIAL!A6:BG""),15,FALSE))"),"")</f>
        <v/>
      </c>
      <c r="AC226" s="110" t="str">
        <f ca="1">IFERROR(__xludf.DUMMYFUNCTION("IFERROR(VLOOKUP(E249&amp;F249,IMPORTRANGE(""https://docs.google.com/spreadsheets/d/1Uw7-A9f9R21vMXxHZFNpYNeKFtG8_yji4HS352LGlSQ/edit?pli=1#gid=0"",""1_ACUM!A4:S""),13,FALSE))"),"")</f>
        <v/>
      </c>
      <c r="AD226" s="43" t="str">
        <f ca="1">IFERROR(__xludf.DUMMYFUNCTION("IFERROR(VLOOKUP(E249&amp;F249,IMPORTRANGE(""https://docs.google.com/spreadsheets/d/1Uw7-A9f9R21vMXxHZFNpYNeKFtG8_yji4HS352LGlSQ/edit?pli=1#gid=0"",""1_ACUM!A4:S""),13,FALSE))"),"")</f>
        <v/>
      </c>
      <c r="AE226" s="43" t="str">
        <f ca="1">IFERROR(__xludf.DUMMYFUNCTION("IFERROR(VLOOKUP(E249&amp;F249,IMPORTRANGE(""https://docs.google.com/spreadsheets/d/1Uw7-A9f9R21vMXxHZFNpYNeKFtG8_yji4HS352LGlSQ/edit?pli=1#gid=0"",""1_ACUM!A4:S""),14,FALSE))"),"")</f>
        <v/>
      </c>
      <c r="AF226" s="43" t="str">
        <f ca="1">IFERROR(__xludf.DUMMYFUNCTION("IFERROR(VLOOKUP(E249&amp;F249,IMPORTRANGE(""https://docs.google.com/spreadsheets/d/1Uw7-A9f9R21vMXxHZFNpYNeKFtG8_yji4HS352LGlSQ/edit?pli=1#gid=0"",""1_ACUM!A4:S""),15,FALSE))"),"")</f>
        <v/>
      </c>
      <c r="AG226" s="43" t="str">
        <f ca="1">IFERROR(__xludf.DUMMYFUNCTION("IFERROR(VLOOKUP(E249&amp;F249,IMPORTRANGE(""https://docs.google.com/spreadsheets/d/1Uw7-A9f9R21vMXxHZFNpYNeKFtG8_yji4HS352LGlSQ/edit?pli=1#gid=0"",""1_ACUM!A4:S""),16,FALSE))"),"")</f>
        <v/>
      </c>
      <c r="AH226" s="43" t="str">
        <f ca="1">IFERROR(__xludf.DUMMYFUNCTION("IFERROR(VLOOKUP(E249&amp;F249,IMPORTRANGE(""https://docs.google.com/spreadsheets/d/1Uw7-A9f9R21vMXxHZFNpYNeKFtG8_yji4HS352LGlSQ/edit?pli=1#gid=0"",""1_ACUM!A4:S""),17,FALSE))"),"")</f>
        <v/>
      </c>
      <c r="AI226" s="44" t="str">
        <f ca="1">IFERROR(__xludf.DUMMYFUNCTION("IFERROR(VLOOKUP(E249&amp;F249,IMPORTRANGE(""https://docs.google.com/spreadsheets/d/1Uw7-A9f9R21vMXxHZFNpYNeKFtG8_yji4HS352LGlSQ/edit?pli=1#gid=0"",""1_ACUM!A4:S""),18,FALSE))"),"")</f>
        <v/>
      </c>
      <c r="AJ226" s="44" t="str">
        <f ca="1">IFERROR(__xludf.DUMMYFUNCTION("IFERROR(VLOOKUP(E249&amp;F249,IMPORTRANGE(""https://docs.google.com/spreadsheets/d/1Uw7-A9f9R21vMXxHZFNpYNeKFtG8_yji4HS352LGlSQ/edit?pli=1#gid=0"",""1_ACUM!A4:S""),19,FALSE))"),"")</f>
        <v/>
      </c>
      <c r="AK226" s="98" t="str">
        <f ca="1">IFERROR(__xludf.DUMMYFUNCTION("IFERROR(VLOOKUP(F249,IMPORTRANGE(""https://docs.google.com/spreadsheets/d/1Kvs4KS76FHFqLFIZfrDMff4kP08nblUkihrxltoGBjg/edit#gid=934712705"",""ESENCIAL!A6:BG""),5,FALSE))"),"")</f>
        <v/>
      </c>
      <c r="AL226" s="98" t="str">
        <f t="shared" si="17"/>
        <v/>
      </c>
      <c r="AM226" s="99" t="str">
        <f t="shared" si="18"/>
        <v/>
      </c>
      <c r="AN226" s="100" t="str">
        <f ca="1">IFERROR(__xludf.DUMMYFUNCTION("IFERROR(VLOOKUP(F249,IMPORTRANGE(""https://docs.google.com/spreadsheets/d/1Kvs4KS76FHFqLFIZfrDMff4kP08nblUkihrxltoGBjg/edit#gid=934712705"",""ESENCIAL!A6:BG""),2,FALSE))"),"")</f>
        <v/>
      </c>
      <c r="AO226" s="19" t="str">
        <f t="shared" si="19"/>
        <v/>
      </c>
      <c r="AP226" s="100"/>
      <c r="AQ226" s="100"/>
    </row>
    <row r="227" spans="1:43" ht="15">
      <c r="A227" s="101"/>
      <c r="B227" s="101"/>
      <c r="G227" s="5" t="str">
        <f ca="1">IFERROR(__xludf.DUMMYFUNCTION("IFERROR(VLOOKUP(F250,IMPORTRANGE(""https://docs.google.com/spreadsheets/d/1Kvs4KS76FHFqLFIZfrDMff4kP08nblUkihrxltoGBjg/edit#gid=934712705"",""ESENCIAL!A6:BG""),3,FALSE))"),"")</f>
        <v/>
      </c>
      <c r="H227" s="5" t="str">
        <f ca="1">IFERROR(__xludf.DUMMYFUNCTION("IFERROR(VLOOKUP(F250,IMPORTRANGE(""https://docs.google.com/spreadsheets/d/1Kvs4KS76FHFqLFIZfrDMff4kP08nblUkihrxltoGBjg/edit#gid=934712705"",""ESENCIAL!A6:BG""),8,FALSE))"),"")</f>
        <v/>
      </c>
      <c r="L227" s="287"/>
      <c r="Z227" s="41" t="str">
        <f t="shared" si="16"/>
        <v/>
      </c>
      <c r="AA227" s="5" t="str">
        <f ca="1">IFERROR(__xludf.DUMMYFUNCTION("IFERROR(VLOOKUP(E250&amp;F250,IMPORTRANGE(""https://docs.google.com/spreadsheets/d/1Uw7-A9f9R21vMXxHZFNpYNeKFtG8_yji4HS352LGlSQ/edit?pli=1#gid=0"",""1_ACUM!A4:S""),11,FALSE))"),"")</f>
        <v/>
      </c>
      <c r="AB227" s="42" t="str">
        <f ca="1">IFERROR(__xludf.DUMMYFUNCTION("IFERROR(VLOOKUP(F250,IMPORTRANGE(""https://docs.google.com/spreadsheets/d/1Kvs4KS76FHFqLFIZfrDMff4kP08nblUkihrxltoGBjg/edit#gid=934712705"",""ESENCIAL!A6:BG""),15,FALSE))"),"")</f>
        <v/>
      </c>
      <c r="AC227" s="110" t="str">
        <f ca="1">IFERROR(__xludf.DUMMYFUNCTION("IFERROR(VLOOKUP(E250&amp;F250,IMPORTRANGE(""https://docs.google.com/spreadsheets/d/1Uw7-A9f9R21vMXxHZFNpYNeKFtG8_yji4HS352LGlSQ/edit?pli=1#gid=0"",""1_ACUM!A4:S""),13,FALSE))"),"")</f>
        <v/>
      </c>
      <c r="AD227" s="43" t="str">
        <f ca="1">IFERROR(__xludf.DUMMYFUNCTION("IFERROR(VLOOKUP(E250&amp;F250,IMPORTRANGE(""https://docs.google.com/spreadsheets/d/1Uw7-A9f9R21vMXxHZFNpYNeKFtG8_yji4HS352LGlSQ/edit?pli=1#gid=0"",""1_ACUM!A4:S""),13,FALSE))"),"")</f>
        <v/>
      </c>
      <c r="AE227" s="43" t="str">
        <f ca="1">IFERROR(__xludf.DUMMYFUNCTION("IFERROR(VLOOKUP(E250&amp;F250,IMPORTRANGE(""https://docs.google.com/spreadsheets/d/1Uw7-A9f9R21vMXxHZFNpYNeKFtG8_yji4HS352LGlSQ/edit?pli=1#gid=0"",""1_ACUM!A4:S""),14,FALSE))"),"")</f>
        <v/>
      </c>
      <c r="AF227" s="43" t="str">
        <f ca="1">IFERROR(__xludf.DUMMYFUNCTION("IFERROR(VLOOKUP(E250&amp;F250,IMPORTRANGE(""https://docs.google.com/spreadsheets/d/1Uw7-A9f9R21vMXxHZFNpYNeKFtG8_yji4HS352LGlSQ/edit?pli=1#gid=0"",""1_ACUM!A4:S""),15,FALSE))"),"")</f>
        <v/>
      </c>
      <c r="AG227" s="43" t="str">
        <f ca="1">IFERROR(__xludf.DUMMYFUNCTION("IFERROR(VLOOKUP(E250&amp;F250,IMPORTRANGE(""https://docs.google.com/spreadsheets/d/1Uw7-A9f9R21vMXxHZFNpYNeKFtG8_yji4HS352LGlSQ/edit?pli=1#gid=0"",""1_ACUM!A4:S""),16,FALSE))"),"")</f>
        <v/>
      </c>
      <c r="AH227" s="43" t="str">
        <f ca="1">IFERROR(__xludf.DUMMYFUNCTION("IFERROR(VLOOKUP(E250&amp;F250,IMPORTRANGE(""https://docs.google.com/spreadsheets/d/1Uw7-A9f9R21vMXxHZFNpYNeKFtG8_yji4HS352LGlSQ/edit?pli=1#gid=0"",""1_ACUM!A4:S""),17,FALSE))"),"")</f>
        <v/>
      </c>
      <c r="AI227" s="44" t="str">
        <f ca="1">IFERROR(__xludf.DUMMYFUNCTION("IFERROR(VLOOKUP(E250&amp;F250,IMPORTRANGE(""https://docs.google.com/spreadsheets/d/1Uw7-A9f9R21vMXxHZFNpYNeKFtG8_yji4HS352LGlSQ/edit?pli=1#gid=0"",""1_ACUM!A4:S""),18,FALSE))"),"")</f>
        <v/>
      </c>
      <c r="AJ227" s="44" t="str">
        <f ca="1">IFERROR(__xludf.DUMMYFUNCTION("IFERROR(VLOOKUP(E250&amp;F250,IMPORTRANGE(""https://docs.google.com/spreadsheets/d/1Uw7-A9f9R21vMXxHZFNpYNeKFtG8_yji4HS352LGlSQ/edit?pli=1#gid=0"",""1_ACUM!A4:S""),19,FALSE))"),"")</f>
        <v/>
      </c>
      <c r="AK227" s="98" t="str">
        <f ca="1">IFERROR(__xludf.DUMMYFUNCTION("IFERROR(VLOOKUP(F250,IMPORTRANGE(""https://docs.google.com/spreadsheets/d/1Kvs4KS76FHFqLFIZfrDMff4kP08nblUkihrxltoGBjg/edit#gid=934712705"",""ESENCIAL!A6:BG""),5,FALSE))"),"")</f>
        <v/>
      </c>
      <c r="AL227" s="98" t="str">
        <f t="shared" si="17"/>
        <v/>
      </c>
      <c r="AM227" s="99" t="str">
        <f t="shared" si="18"/>
        <v/>
      </c>
      <c r="AN227" s="100" t="str">
        <f ca="1">IFERROR(__xludf.DUMMYFUNCTION("IFERROR(VLOOKUP(F250,IMPORTRANGE(""https://docs.google.com/spreadsheets/d/1Kvs4KS76FHFqLFIZfrDMff4kP08nblUkihrxltoGBjg/edit#gid=934712705"",""ESENCIAL!A6:BG""),2,FALSE))"),"")</f>
        <v/>
      </c>
      <c r="AO227" s="19" t="str">
        <f t="shared" si="19"/>
        <v/>
      </c>
      <c r="AP227" s="100"/>
      <c r="AQ227" s="100"/>
    </row>
    <row r="228" spans="1:43" ht="15">
      <c r="A228" s="101"/>
      <c r="B228" s="101"/>
      <c r="G228" s="5" t="str">
        <f ca="1">IFERROR(__xludf.DUMMYFUNCTION("IFERROR(VLOOKUP(F251,IMPORTRANGE(""https://docs.google.com/spreadsheets/d/1Kvs4KS76FHFqLFIZfrDMff4kP08nblUkihrxltoGBjg/edit#gid=934712705"",""ESENCIAL!A6:BG""),3,FALSE))"),"")</f>
        <v/>
      </c>
      <c r="H228" s="5" t="str">
        <f ca="1">IFERROR(__xludf.DUMMYFUNCTION("IFERROR(VLOOKUP(F251,IMPORTRANGE(""https://docs.google.com/spreadsheets/d/1Kvs4KS76FHFqLFIZfrDMff4kP08nblUkihrxltoGBjg/edit#gid=934712705"",""ESENCIAL!A6:BG""),8,FALSE))"),"")</f>
        <v/>
      </c>
      <c r="L228" s="287"/>
      <c r="Z228" s="41" t="str">
        <f t="shared" si="16"/>
        <v/>
      </c>
      <c r="AA228" s="5" t="str">
        <f ca="1">IFERROR(__xludf.DUMMYFUNCTION("IFERROR(VLOOKUP(E251&amp;F251,IMPORTRANGE(""https://docs.google.com/spreadsheets/d/1Uw7-A9f9R21vMXxHZFNpYNeKFtG8_yji4HS352LGlSQ/edit?pli=1#gid=0"",""1_ACUM!A4:S""),11,FALSE))"),"")</f>
        <v/>
      </c>
      <c r="AB228" s="42" t="str">
        <f ca="1">IFERROR(__xludf.DUMMYFUNCTION("IFERROR(VLOOKUP(F251,IMPORTRANGE(""https://docs.google.com/spreadsheets/d/1Kvs4KS76FHFqLFIZfrDMff4kP08nblUkihrxltoGBjg/edit#gid=934712705"",""ESENCIAL!A6:BG""),15,FALSE))"),"")</f>
        <v/>
      </c>
      <c r="AC228" s="110" t="str">
        <f ca="1">IFERROR(__xludf.DUMMYFUNCTION("IFERROR(VLOOKUP(E251&amp;F251,IMPORTRANGE(""https://docs.google.com/spreadsheets/d/1Uw7-A9f9R21vMXxHZFNpYNeKFtG8_yji4HS352LGlSQ/edit?pli=1#gid=0"",""1_ACUM!A4:S""),13,FALSE))"),"")</f>
        <v/>
      </c>
      <c r="AD228" s="43" t="str">
        <f ca="1">IFERROR(__xludf.DUMMYFUNCTION("IFERROR(VLOOKUP(E251&amp;F251,IMPORTRANGE(""https://docs.google.com/spreadsheets/d/1Uw7-A9f9R21vMXxHZFNpYNeKFtG8_yji4HS352LGlSQ/edit?pli=1#gid=0"",""1_ACUM!A4:S""),13,FALSE))"),"")</f>
        <v/>
      </c>
      <c r="AE228" s="43" t="str">
        <f ca="1">IFERROR(__xludf.DUMMYFUNCTION("IFERROR(VLOOKUP(E251&amp;F251,IMPORTRANGE(""https://docs.google.com/spreadsheets/d/1Uw7-A9f9R21vMXxHZFNpYNeKFtG8_yji4HS352LGlSQ/edit?pli=1#gid=0"",""1_ACUM!A4:S""),14,FALSE))"),"")</f>
        <v/>
      </c>
      <c r="AF228" s="43" t="str">
        <f ca="1">IFERROR(__xludf.DUMMYFUNCTION("IFERROR(VLOOKUP(E251&amp;F251,IMPORTRANGE(""https://docs.google.com/spreadsheets/d/1Uw7-A9f9R21vMXxHZFNpYNeKFtG8_yji4HS352LGlSQ/edit?pli=1#gid=0"",""1_ACUM!A4:S""),15,FALSE))"),"")</f>
        <v/>
      </c>
      <c r="AG228" s="43" t="str">
        <f ca="1">IFERROR(__xludf.DUMMYFUNCTION("IFERROR(VLOOKUP(E251&amp;F251,IMPORTRANGE(""https://docs.google.com/spreadsheets/d/1Uw7-A9f9R21vMXxHZFNpYNeKFtG8_yji4HS352LGlSQ/edit?pli=1#gid=0"",""1_ACUM!A4:S""),16,FALSE))"),"")</f>
        <v/>
      </c>
      <c r="AH228" s="43" t="str">
        <f ca="1">IFERROR(__xludf.DUMMYFUNCTION("IFERROR(VLOOKUP(E251&amp;F251,IMPORTRANGE(""https://docs.google.com/spreadsheets/d/1Uw7-A9f9R21vMXxHZFNpYNeKFtG8_yji4HS352LGlSQ/edit?pli=1#gid=0"",""1_ACUM!A4:S""),17,FALSE))"),"")</f>
        <v/>
      </c>
      <c r="AI228" s="44" t="str">
        <f ca="1">IFERROR(__xludf.DUMMYFUNCTION("IFERROR(VLOOKUP(E251&amp;F251,IMPORTRANGE(""https://docs.google.com/spreadsheets/d/1Uw7-A9f9R21vMXxHZFNpYNeKFtG8_yji4HS352LGlSQ/edit?pli=1#gid=0"",""1_ACUM!A4:S""),18,FALSE))"),"")</f>
        <v/>
      </c>
      <c r="AJ228" s="44" t="str">
        <f ca="1">IFERROR(__xludf.DUMMYFUNCTION("IFERROR(VLOOKUP(E251&amp;F251,IMPORTRANGE(""https://docs.google.com/spreadsheets/d/1Uw7-A9f9R21vMXxHZFNpYNeKFtG8_yji4HS352LGlSQ/edit?pli=1#gid=0"",""1_ACUM!A4:S""),19,FALSE))"),"")</f>
        <v/>
      </c>
      <c r="AK228" s="98" t="str">
        <f ca="1">IFERROR(__xludf.DUMMYFUNCTION("IFERROR(VLOOKUP(F251,IMPORTRANGE(""https://docs.google.com/spreadsheets/d/1Kvs4KS76FHFqLFIZfrDMff4kP08nblUkihrxltoGBjg/edit#gid=934712705"",""ESENCIAL!A6:BG""),5,FALSE))"),"")</f>
        <v/>
      </c>
      <c r="AL228" s="98" t="str">
        <f t="shared" si="17"/>
        <v/>
      </c>
      <c r="AM228" s="99" t="str">
        <f t="shared" si="18"/>
        <v/>
      </c>
      <c r="AN228" s="100" t="str">
        <f ca="1">IFERROR(__xludf.DUMMYFUNCTION("IFERROR(VLOOKUP(F251,IMPORTRANGE(""https://docs.google.com/spreadsheets/d/1Kvs4KS76FHFqLFIZfrDMff4kP08nblUkihrxltoGBjg/edit#gid=934712705"",""ESENCIAL!A6:BG""),2,FALSE))"),"")</f>
        <v/>
      </c>
      <c r="AO228" s="19" t="str">
        <f t="shared" si="19"/>
        <v/>
      </c>
      <c r="AP228" s="100"/>
      <c r="AQ228" s="100"/>
    </row>
    <row r="229" spans="1:43" ht="15">
      <c r="A229" s="101"/>
      <c r="B229" s="101"/>
      <c r="G229" s="5" t="str">
        <f ca="1">IFERROR(__xludf.DUMMYFUNCTION("IFERROR(VLOOKUP(F252,IMPORTRANGE(""https://docs.google.com/spreadsheets/d/1Kvs4KS76FHFqLFIZfrDMff4kP08nblUkihrxltoGBjg/edit#gid=934712705"",""ESENCIAL!A6:BG""),3,FALSE))"),"")</f>
        <v/>
      </c>
      <c r="H229" s="5" t="str">
        <f ca="1">IFERROR(__xludf.DUMMYFUNCTION("IFERROR(VLOOKUP(F252,IMPORTRANGE(""https://docs.google.com/spreadsheets/d/1Kvs4KS76FHFqLFIZfrDMff4kP08nblUkihrxltoGBjg/edit#gid=934712705"",""ESENCIAL!A6:BG""),8,FALSE))"),"")</f>
        <v/>
      </c>
      <c r="L229" s="287"/>
      <c r="Z229" s="41" t="str">
        <f t="shared" si="16"/>
        <v/>
      </c>
      <c r="AA229" s="5" t="str">
        <f ca="1">IFERROR(__xludf.DUMMYFUNCTION("IFERROR(VLOOKUP(E252&amp;F252,IMPORTRANGE(""https://docs.google.com/spreadsheets/d/1Uw7-A9f9R21vMXxHZFNpYNeKFtG8_yji4HS352LGlSQ/edit?pli=1#gid=0"",""1_ACUM!A4:S""),11,FALSE))"),"")</f>
        <v/>
      </c>
      <c r="AB229" s="42" t="str">
        <f ca="1">IFERROR(__xludf.DUMMYFUNCTION("IFERROR(VLOOKUP(F252,IMPORTRANGE(""https://docs.google.com/spreadsheets/d/1Kvs4KS76FHFqLFIZfrDMff4kP08nblUkihrxltoGBjg/edit#gid=934712705"",""ESENCIAL!A6:BG""),15,FALSE))"),"")</f>
        <v/>
      </c>
      <c r="AC229" s="110" t="str">
        <f ca="1">IFERROR(__xludf.DUMMYFUNCTION("IFERROR(VLOOKUP(E252&amp;F252,IMPORTRANGE(""https://docs.google.com/spreadsheets/d/1Uw7-A9f9R21vMXxHZFNpYNeKFtG8_yji4HS352LGlSQ/edit?pli=1#gid=0"",""1_ACUM!A4:S""),13,FALSE))"),"")</f>
        <v/>
      </c>
      <c r="AD229" s="43" t="str">
        <f ca="1">IFERROR(__xludf.DUMMYFUNCTION("IFERROR(VLOOKUP(E252&amp;F252,IMPORTRANGE(""https://docs.google.com/spreadsheets/d/1Uw7-A9f9R21vMXxHZFNpYNeKFtG8_yji4HS352LGlSQ/edit?pli=1#gid=0"",""1_ACUM!A4:S""),13,FALSE))"),"")</f>
        <v/>
      </c>
      <c r="AE229" s="43" t="str">
        <f ca="1">IFERROR(__xludf.DUMMYFUNCTION("IFERROR(VLOOKUP(E252&amp;F252,IMPORTRANGE(""https://docs.google.com/spreadsheets/d/1Uw7-A9f9R21vMXxHZFNpYNeKFtG8_yji4HS352LGlSQ/edit?pli=1#gid=0"",""1_ACUM!A4:S""),14,FALSE))"),"")</f>
        <v/>
      </c>
      <c r="AF229" s="43" t="str">
        <f ca="1">IFERROR(__xludf.DUMMYFUNCTION("IFERROR(VLOOKUP(E252&amp;F252,IMPORTRANGE(""https://docs.google.com/spreadsheets/d/1Uw7-A9f9R21vMXxHZFNpYNeKFtG8_yji4HS352LGlSQ/edit?pli=1#gid=0"",""1_ACUM!A4:S""),15,FALSE))"),"")</f>
        <v/>
      </c>
      <c r="AG229" s="43" t="str">
        <f ca="1">IFERROR(__xludf.DUMMYFUNCTION("IFERROR(VLOOKUP(E252&amp;F252,IMPORTRANGE(""https://docs.google.com/spreadsheets/d/1Uw7-A9f9R21vMXxHZFNpYNeKFtG8_yji4HS352LGlSQ/edit?pli=1#gid=0"",""1_ACUM!A4:S""),16,FALSE))"),"")</f>
        <v/>
      </c>
      <c r="AH229" s="43" t="str">
        <f ca="1">IFERROR(__xludf.DUMMYFUNCTION("IFERROR(VLOOKUP(E252&amp;F252,IMPORTRANGE(""https://docs.google.com/spreadsheets/d/1Uw7-A9f9R21vMXxHZFNpYNeKFtG8_yji4HS352LGlSQ/edit?pli=1#gid=0"",""1_ACUM!A4:S""),17,FALSE))"),"")</f>
        <v/>
      </c>
      <c r="AI229" s="44" t="str">
        <f ca="1">IFERROR(__xludf.DUMMYFUNCTION("IFERROR(VLOOKUP(E252&amp;F252,IMPORTRANGE(""https://docs.google.com/spreadsheets/d/1Uw7-A9f9R21vMXxHZFNpYNeKFtG8_yji4HS352LGlSQ/edit?pli=1#gid=0"",""1_ACUM!A4:S""),18,FALSE))"),"")</f>
        <v/>
      </c>
      <c r="AJ229" s="44" t="str">
        <f ca="1">IFERROR(__xludf.DUMMYFUNCTION("IFERROR(VLOOKUP(E252&amp;F252,IMPORTRANGE(""https://docs.google.com/spreadsheets/d/1Uw7-A9f9R21vMXxHZFNpYNeKFtG8_yji4HS352LGlSQ/edit?pli=1#gid=0"",""1_ACUM!A4:S""),19,FALSE))"),"")</f>
        <v/>
      </c>
      <c r="AK229" s="98" t="str">
        <f ca="1">IFERROR(__xludf.DUMMYFUNCTION("IFERROR(VLOOKUP(F252,IMPORTRANGE(""https://docs.google.com/spreadsheets/d/1Kvs4KS76FHFqLFIZfrDMff4kP08nblUkihrxltoGBjg/edit#gid=934712705"",""ESENCIAL!A6:BG""),5,FALSE))"),"")</f>
        <v/>
      </c>
      <c r="AL229" s="98" t="str">
        <f t="shared" si="17"/>
        <v/>
      </c>
      <c r="AM229" s="99" t="str">
        <f t="shared" si="18"/>
        <v/>
      </c>
      <c r="AN229" s="100" t="str">
        <f ca="1">IFERROR(__xludf.DUMMYFUNCTION("IFERROR(VLOOKUP(F252,IMPORTRANGE(""https://docs.google.com/spreadsheets/d/1Kvs4KS76FHFqLFIZfrDMff4kP08nblUkihrxltoGBjg/edit#gid=934712705"",""ESENCIAL!A6:BG""),2,FALSE))"),"")</f>
        <v/>
      </c>
      <c r="AO229" s="19" t="str">
        <f t="shared" si="19"/>
        <v/>
      </c>
      <c r="AP229" s="100"/>
      <c r="AQ229" s="100"/>
    </row>
    <row r="230" spans="1:43" ht="15">
      <c r="A230" s="101"/>
      <c r="B230" s="101"/>
      <c r="G230" s="5" t="str">
        <f ca="1">IFERROR(__xludf.DUMMYFUNCTION("IFERROR(VLOOKUP(F253,IMPORTRANGE(""https://docs.google.com/spreadsheets/d/1Kvs4KS76FHFqLFIZfrDMff4kP08nblUkihrxltoGBjg/edit#gid=934712705"",""ESENCIAL!A6:BG""),3,FALSE))"),"")</f>
        <v/>
      </c>
      <c r="H230" s="5" t="str">
        <f ca="1">IFERROR(__xludf.DUMMYFUNCTION("IFERROR(VLOOKUP(F253,IMPORTRANGE(""https://docs.google.com/spreadsheets/d/1Kvs4KS76FHFqLFIZfrDMff4kP08nblUkihrxltoGBjg/edit#gid=934712705"",""ESENCIAL!A6:BG""),8,FALSE))"),"")</f>
        <v/>
      </c>
      <c r="L230" s="287"/>
      <c r="Z230" s="41" t="str">
        <f t="shared" si="16"/>
        <v/>
      </c>
      <c r="AA230" s="5" t="str">
        <f ca="1">IFERROR(__xludf.DUMMYFUNCTION("IFERROR(VLOOKUP(E253&amp;F253,IMPORTRANGE(""https://docs.google.com/spreadsheets/d/1Uw7-A9f9R21vMXxHZFNpYNeKFtG8_yji4HS352LGlSQ/edit?pli=1#gid=0"",""1_ACUM!A4:S""),11,FALSE))"),"")</f>
        <v/>
      </c>
      <c r="AB230" s="42" t="str">
        <f ca="1">IFERROR(__xludf.DUMMYFUNCTION("IFERROR(VLOOKUP(F253,IMPORTRANGE(""https://docs.google.com/spreadsheets/d/1Kvs4KS76FHFqLFIZfrDMff4kP08nblUkihrxltoGBjg/edit#gid=934712705"",""ESENCIAL!A6:BG""),15,FALSE))"),"")</f>
        <v/>
      </c>
      <c r="AC230" s="110" t="str">
        <f ca="1">IFERROR(__xludf.DUMMYFUNCTION("IFERROR(VLOOKUP(E253&amp;F253,IMPORTRANGE(""https://docs.google.com/spreadsheets/d/1Uw7-A9f9R21vMXxHZFNpYNeKFtG8_yji4HS352LGlSQ/edit?pli=1#gid=0"",""1_ACUM!A4:S""),13,FALSE))"),"")</f>
        <v/>
      </c>
      <c r="AD230" s="43" t="str">
        <f ca="1">IFERROR(__xludf.DUMMYFUNCTION("IFERROR(VLOOKUP(E253&amp;F253,IMPORTRANGE(""https://docs.google.com/spreadsheets/d/1Uw7-A9f9R21vMXxHZFNpYNeKFtG8_yji4HS352LGlSQ/edit?pli=1#gid=0"",""1_ACUM!A4:S""),13,FALSE))"),"")</f>
        <v/>
      </c>
      <c r="AE230" s="43" t="str">
        <f ca="1">IFERROR(__xludf.DUMMYFUNCTION("IFERROR(VLOOKUP(E253&amp;F253,IMPORTRANGE(""https://docs.google.com/spreadsheets/d/1Uw7-A9f9R21vMXxHZFNpYNeKFtG8_yji4HS352LGlSQ/edit?pli=1#gid=0"",""1_ACUM!A4:S""),14,FALSE))"),"")</f>
        <v/>
      </c>
      <c r="AF230" s="43" t="str">
        <f ca="1">IFERROR(__xludf.DUMMYFUNCTION("IFERROR(VLOOKUP(E253&amp;F253,IMPORTRANGE(""https://docs.google.com/spreadsheets/d/1Uw7-A9f9R21vMXxHZFNpYNeKFtG8_yji4HS352LGlSQ/edit?pli=1#gid=0"",""1_ACUM!A4:S""),15,FALSE))"),"")</f>
        <v/>
      </c>
      <c r="AG230" s="43" t="str">
        <f ca="1">IFERROR(__xludf.DUMMYFUNCTION("IFERROR(VLOOKUP(E253&amp;F253,IMPORTRANGE(""https://docs.google.com/spreadsheets/d/1Uw7-A9f9R21vMXxHZFNpYNeKFtG8_yji4HS352LGlSQ/edit?pli=1#gid=0"",""1_ACUM!A4:S""),16,FALSE))"),"")</f>
        <v/>
      </c>
      <c r="AH230" s="43" t="str">
        <f ca="1">IFERROR(__xludf.DUMMYFUNCTION("IFERROR(VLOOKUP(E253&amp;F253,IMPORTRANGE(""https://docs.google.com/spreadsheets/d/1Uw7-A9f9R21vMXxHZFNpYNeKFtG8_yji4HS352LGlSQ/edit?pli=1#gid=0"",""1_ACUM!A4:S""),17,FALSE))"),"")</f>
        <v/>
      </c>
      <c r="AI230" s="44" t="str">
        <f ca="1">IFERROR(__xludf.DUMMYFUNCTION("IFERROR(VLOOKUP(E253&amp;F253,IMPORTRANGE(""https://docs.google.com/spreadsheets/d/1Uw7-A9f9R21vMXxHZFNpYNeKFtG8_yji4HS352LGlSQ/edit?pli=1#gid=0"",""1_ACUM!A4:S""),18,FALSE))"),"")</f>
        <v/>
      </c>
      <c r="AJ230" s="44" t="str">
        <f ca="1">IFERROR(__xludf.DUMMYFUNCTION("IFERROR(VLOOKUP(E253&amp;F253,IMPORTRANGE(""https://docs.google.com/spreadsheets/d/1Uw7-A9f9R21vMXxHZFNpYNeKFtG8_yji4HS352LGlSQ/edit?pli=1#gid=0"",""1_ACUM!A4:S""),19,FALSE))"),"")</f>
        <v/>
      </c>
      <c r="AK230" s="98" t="str">
        <f ca="1">IFERROR(__xludf.DUMMYFUNCTION("IFERROR(VLOOKUP(F253,IMPORTRANGE(""https://docs.google.com/spreadsheets/d/1Kvs4KS76FHFqLFIZfrDMff4kP08nblUkihrxltoGBjg/edit#gid=934712705"",""ESENCIAL!A6:BG""),5,FALSE))"),"")</f>
        <v/>
      </c>
      <c r="AL230" s="98" t="str">
        <f t="shared" si="17"/>
        <v/>
      </c>
      <c r="AM230" s="99" t="str">
        <f t="shared" si="18"/>
        <v/>
      </c>
      <c r="AN230" s="100" t="str">
        <f ca="1">IFERROR(__xludf.DUMMYFUNCTION("IFERROR(VLOOKUP(F253,IMPORTRANGE(""https://docs.google.com/spreadsheets/d/1Kvs4KS76FHFqLFIZfrDMff4kP08nblUkihrxltoGBjg/edit#gid=934712705"",""ESENCIAL!A6:BG""),2,FALSE))"),"")</f>
        <v/>
      </c>
      <c r="AO230" s="19" t="str">
        <f t="shared" si="19"/>
        <v/>
      </c>
      <c r="AP230" s="100"/>
      <c r="AQ230" s="100"/>
    </row>
    <row r="231" spans="1:43" ht="15">
      <c r="A231" s="101"/>
      <c r="B231" s="101"/>
      <c r="G231" s="5" t="str">
        <f ca="1">IFERROR(__xludf.DUMMYFUNCTION("IFERROR(VLOOKUP(F254,IMPORTRANGE(""https://docs.google.com/spreadsheets/d/1Kvs4KS76FHFqLFIZfrDMff4kP08nblUkihrxltoGBjg/edit#gid=934712705"",""ESENCIAL!A6:BG""),3,FALSE))"),"")</f>
        <v/>
      </c>
      <c r="H231" s="5" t="str">
        <f ca="1">IFERROR(__xludf.DUMMYFUNCTION("IFERROR(VLOOKUP(F254,IMPORTRANGE(""https://docs.google.com/spreadsheets/d/1Kvs4KS76FHFqLFIZfrDMff4kP08nblUkihrxltoGBjg/edit#gid=934712705"",""ESENCIAL!A6:BG""),8,FALSE))"),"")</f>
        <v/>
      </c>
      <c r="L231" s="287"/>
      <c r="Z231" s="41" t="str">
        <f t="shared" si="16"/>
        <v/>
      </c>
      <c r="AA231" s="5" t="str">
        <f ca="1">IFERROR(__xludf.DUMMYFUNCTION("IFERROR(VLOOKUP(E254&amp;F254,IMPORTRANGE(""https://docs.google.com/spreadsheets/d/1Uw7-A9f9R21vMXxHZFNpYNeKFtG8_yji4HS352LGlSQ/edit?pli=1#gid=0"",""1_ACUM!A4:S""),11,FALSE))"),"")</f>
        <v/>
      </c>
      <c r="AB231" s="42" t="str">
        <f ca="1">IFERROR(__xludf.DUMMYFUNCTION("IFERROR(VLOOKUP(F254,IMPORTRANGE(""https://docs.google.com/spreadsheets/d/1Kvs4KS76FHFqLFIZfrDMff4kP08nblUkihrxltoGBjg/edit#gid=934712705"",""ESENCIAL!A6:BG""),15,FALSE))"),"")</f>
        <v/>
      </c>
      <c r="AC231" s="110" t="str">
        <f ca="1">IFERROR(__xludf.DUMMYFUNCTION("IFERROR(VLOOKUP(E254&amp;F254,IMPORTRANGE(""https://docs.google.com/spreadsheets/d/1Uw7-A9f9R21vMXxHZFNpYNeKFtG8_yji4HS352LGlSQ/edit?pli=1#gid=0"",""1_ACUM!A4:S""),13,FALSE))"),"")</f>
        <v/>
      </c>
      <c r="AD231" s="43" t="str">
        <f ca="1">IFERROR(__xludf.DUMMYFUNCTION("IFERROR(VLOOKUP(E254&amp;F254,IMPORTRANGE(""https://docs.google.com/spreadsheets/d/1Uw7-A9f9R21vMXxHZFNpYNeKFtG8_yji4HS352LGlSQ/edit?pli=1#gid=0"",""1_ACUM!A4:S""),13,FALSE))"),"")</f>
        <v/>
      </c>
      <c r="AE231" s="43" t="str">
        <f ca="1">IFERROR(__xludf.DUMMYFUNCTION("IFERROR(VLOOKUP(E254&amp;F254,IMPORTRANGE(""https://docs.google.com/spreadsheets/d/1Uw7-A9f9R21vMXxHZFNpYNeKFtG8_yji4HS352LGlSQ/edit?pli=1#gid=0"",""1_ACUM!A4:S""),14,FALSE))"),"")</f>
        <v/>
      </c>
      <c r="AF231" s="43" t="str">
        <f ca="1">IFERROR(__xludf.DUMMYFUNCTION("IFERROR(VLOOKUP(E254&amp;F254,IMPORTRANGE(""https://docs.google.com/spreadsheets/d/1Uw7-A9f9R21vMXxHZFNpYNeKFtG8_yji4HS352LGlSQ/edit?pli=1#gid=0"",""1_ACUM!A4:S""),15,FALSE))"),"")</f>
        <v/>
      </c>
      <c r="AG231" s="43" t="str">
        <f ca="1">IFERROR(__xludf.DUMMYFUNCTION("IFERROR(VLOOKUP(E254&amp;F254,IMPORTRANGE(""https://docs.google.com/spreadsheets/d/1Uw7-A9f9R21vMXxHZFNpYNeKFtG8_yji4HS352LGlSQ/edit?pli=1#gid=0"",""1_ACUM!A4:S""),16,FALSE))"),"")</f>
        <v/>
      </c>
      <c r="AH231" s="43" t="str">
        <f ca="1">IFERROR(__xludf.DUMMYFUNCTION("IFERROR(VLOOKUP(E254&amp;F254,IMPORTRANGE(""https://docs.google.com/spreadsheets/d/1Uw7-A9f9R21vMXxHZFNpYNeKFtG8_yji4HS352LGlSQ/edit?pli=1#gid=0"",""1_ACUM!A4:S""),17,FALSE))"),"")</f>
        <v/>
      </c>
      <c r="AI231" s="44" t="str">
        <f ca="1">IFERROR(__xludf.DUMMYFUNCTION("IFERROR(VLOOKUP(E254&amp;F254,IMPORTRANGE(""https://docs.google.com/spreadsheets/d/1Uw7-A9f9R21vMXxHZFNpYNeKFtG8_yji4HS352LGlSQ/edit?pli=1#gid=0"",""1_ACUM!A4:S""),18,FALSE))"),"")</f>
        <v/>
      </c>
      <c r="AJ231" s="44" t="str">
        <f ca="1">IFERROR(__xludf.DUMMYFUNCTION("IFERROR(VLOOKUP(E254&amp;F254,IMPORTRANGE(""https://docs.google.com/spreadsheets/d/1Uw7-A9f9R21vMXxHZFNpYNeKFtG8_yji4HS352LGlSQ/edit?pli=1#gid=0"",""1_ACUM!A4:S""),19,FALSE))"),"")</f>
        <v/>
      </c>
      <c r="AK231" s="98" t="str">
        <f ca="1">IFERROR(__xludf.DUMMYFUNCTION("IFERROR(VLOOKUP(F254,IMPORTRANGE(""https://docs.google.com/spreadsheets/d/1Kvs4KS76FHFqLFIZfrDMff4kP08nblUkihrxltoGBjg/edit#gid=934712705"",""ESENCIAL!A6:BG""),5,FALSE))"),"")</f>
        <v/>
      </c>
      <c r="AL231" s="98" t="str">
        <f t="shared" si="17"/>
        <v/>
      </c>
      <c r="AM231" s="99" t="str">
        <f t="shared" si="18"/>
        <v/>
      </c>
      <c r="AN231" s="100" t="str">
        <f ca="1">IFERROR(__xludf.DUMMYFUNCTION("IFERROR(VLOOKUP(F254,IMPORTRANGE(""https://docs.google.com/spreadsheets/d/1Kvs4KS76FHFqLFIZfrDMff4kP08nblUkihrxltoGBjg/edit#gid=934712705"",""ESENCIAL!A6:BG""),2,FALSE))"),"")</f>
        <v/>
      </c>
      <c r="AO231" s="19" t="str">
        <f t="shared" si="19"/>
        <v/>
      </c>
      <c r="AP231" s="100"/>
      <c r="AQ231" s="100"/>
    </row>
    <row r="232" spans="1:43" ht="15">
      <c r="A232" s="101"/>
      <c r="B232" s="101"/>
      <c r="G232" s="5" t="str">
        <f ca="1">IFERROR(__xludf.DUMMYFUNCTION("IFERROR(VLOOKUP(F255,IMPORTRANGE(""https://docs.google.com/spreadsheets/d/1Kvs4KS76FHFqLFIZfrDMff4kP08nblUkihrxltoGBjg/edit#gid=934712705"",""ESENCIAL!A6:BG""),3,FALSE))"),"")</f>
        <v/>
      </c>
      <c r="H232" s="5" t="str">
        <f ca="1">IFERROR(__xludf.DUMMYFUNCTION("IFERROR(VLOOKUP(F255,IMPORTRANGE(""https://docs.google.com/spreadsheets/d/1Kvs4KS76FHFqLFIZfrDMff4kP08nblUkihrxltoGBjg/edit#gid=934712705"",""ESENCIAL!A6:BG""),8,FALSE))"),"")</f>
        <v/>
      </c>
      <c r="L232" s="287"/>
      <c r="Z232" s="41" t="str">
        <f t="shared" si="16"/>
        <v/>
      </c>
      <c r="AA232" s="5" t="str">
        <f ca="1">IFERROR(__xludf.DUMMYFUNCTION("IFERROR(VLOOKUP(E255&amp;F255,IMPORTRANGE(""https://docs.google.com/spreadsheets/d/1Uw7-A9f9R21vMXxHZFNpYNeKFtG8_yji4HS352LGlSQ/edit?pli=1#gid=0"",""1_ACUM!A4:S""),11,FALSE))"),"")</f>
        <v/>
      </c>
      <c r="AB232" s="42" t="str">
        <f ca="1">IFERROR(__xludf.DUMMYFUNCTION("IFERROR(VLOOKUP(F255,IMPORTRANGE(""https://docs.google.com/spreadsheets/d/1Kvs4KS76FHFqLFIZfrDMff4kP08nblUkihrxltoGBjg/edit#gid=934712705"",""ESENCIAL!A6:BG""),15,FALSE))"),"")</f>
        <v/>
      </c>
      <c r="AC232" s="110" t="str">
        <f ca="1">IFERROR(__xludf.DUMMYFUNCTION("IFERROR(VLOOKUP(E255&amp;F255,IMPORTRANGE(""https://docs.google.com/spreadsheets/d/1Uw7-A9f9R21vMXxHZFNpYNeKFtG8_yji4HS352LGlSQ/edit?pli=1#gid=0"",""1_ACUM!A4:S""),13,FALSE))"),"")</f>
        <v/>
      </c>
      <c r="AD232" s="43" t="str">
        <f ca="1">IFERROR(__xludf.DUMMYFUNCTION("IFERROR(VLOOKUP(E255&amp;F255,IMPORTRANGE(""https://docs.google.com/spreadsheets/d/1Uw7-A9f9R21vMXxHZFNpYNeKFtG8_yji4HS352LGlSQ/edit?pli=1#gid=0"",""1_ACUM!A4:S""),13,FALSE))"),"")</f>
        <v/>
      </c>
      <c r="AE232" s="43" t="str">
        <f ca="1">IFERROR(__xludf.DUMMYFUNCTION("IFERROR(VLOOKUP(E255&amp;F255,IMPORTRANGE(""https://docs.google.com/spreadsheets/d/1Uw7-A9f9R21vMXxHZFNpYNeKFtG8_yji4HS352LGlSQ/edit?pli=1#gid=0"",""1_ACUM!A4:S""),14,FALSE))"),"")</f>
        <v/>
      </c>
      <c r="AF232" s="43" t="str">
        <f ca="1">IFERROR(__xludf.DUMMYFUNCTION("IFERROR(VLOOKUP(E255&amp;F255,IMPORTRANGE(""https://docs.google.com/spreadsheets/d/1Uw7-A9f9R21vMXxHZFNpYNeKFtG8_yji4HS352LGlSQ/edit?pli=1#gid=0"",""1_ACUM!A4:S""),15,FALSE))"),"")</f>
        <v/>
      </c>
      <c r="AG232" s="43" t="str">
        <f ca="1">IFERROR(__xludf.DUMMYFUNCTION("IFERROR(VLOOKUP(E255&amp;F255,IMPORTRANGE(""https://docs.google.com/spreadsheets/d/1Uw7-A9f9R21vMXxHZFNpYNeKFtG8_yji4HS352LGlSQ/edit?pli=1#gid=0"",""1_ACUM!A4:S""),16,FALSE))"),"")</f>
        <v/>
      </c>
      <c r="AH232" s="43" t="str">
        <f ca="1">IFERROR(__xludf.DUMMYFUNCTION("IFERROR(VLOOKUP(E255&amp;F255,IMPORTRANGE(""https://docs.google.com/spreadsheets/d/1Uw7-A9f9R21vMXxHZFNpYNeKFtG8_yji4HS352LGlSQ/edit?pli=1#gid=0"",""1_ACUM!A4:S""),17,FALSE))"),"")</f>
        <v/>
      </c>
      <c r="AI232" s="44" t="str">
        <f ca="1">IFERROR(__xludf.DUMMYFUNCTION("IFERROR(VLOOKUP(E255&amp;F255,IMPORTRANGE(""https://docs.google.com/spreadsheets/d/1Uw7-A9f9R21vMXxHZFNpYNeKFtG8_yji4HS352LGlSQ/edit?pli=1#gid=0"",""1_ACUM!A4:S""),18,FALSE))"),"")</f>
        <v/>
      </c>
      <c r="AJ232" s="44" t="str">
        <f ca="1">IFERROR(__xludf.DUMMYFUNCTION("IFERROR(VLOOKUP(E255&amp;F255,IMPORTRANGE(""https://docs.google.com/spreadsheets/d/1Uw7-A9f9R21vMXxHZFNpYNeKFtG8_yji4HS352LGlSQ/edit?pli=1#gid=0"",""1_ACUM!A4:S""),19,FALSE))"),"")</f>
        <v/>
      </c>
      <c r="AK232" s="98" t="str">
        <f ca="1">IFERROR(__xludf.DUMMYFUNCTION("IFERROR(VLOOKUP(F255,IMPORTRANGE(""https://docs.google.com/spreadsheets/d/1Kvs4KS76FHFqLFIZfrDMff4kP08nblUkihrxltoGBjg/edit#gid=934712705"",""ESENCIAL!A6:BG""),5,FALSE))"),"")</f>
        <v/>
      </c>
      <c r="AL232" s="98" t="str">
        <f t="shared" si="17"/>
        <v/>
      </c>
      <c r="AM232" s="99" t="str">
        <f t="shared" si="18"/>
        <v/>
      </c>
      <c r="AN232" s="100" t="str">
        <f ca="1">IFERROR(__xludf.DUMMYFUNCTION("IFERROR(VLOOKUP(F255,IMPORTRANGE(""https://docs.google.com/spreadsheets/d/1Kvs4KS76FHFqLFIZfrDMff4kP08nblUkihrxltoGBjg/edit#gid=934712705"",""ESENCIAL!A6:BG""),2,FALSE))"),"")</f>
        <v/>
      </c>
      <c r="AO232" s="19" t="str">
        <f t="shared" si="19"/>
        <v/>
      </c>
      <c r="AP232" s="100"/>
      <c r="AQ232" s="100"/>
    </row>
    <row r="233" spans="1:43" ht="15">
      <c r="A233" s="101"/>
      <c r="B233" s="101"/>
      <c r="G233" s="5" t="str">
        <f ca="1">IFERROR(__xludf.DUMMYFUNCTION("IFERROR(VLOOKUP(F256,IMPORTRANGE(""https://docs.google.com/spreadsheets/d/1Kvs4KS76FHFqLFIZfrDMff4kP08nblUkihrxltoGBjg/edit#gid=934712705"",""ESENCIAL!A6:BG""),3,FALSE))"),"")</f>
        <v/>
      </c>
      <c r="H233" s="5" t="str">
        <f ca="1">IFERROR(__xludf.DUMMYFUNCTION("IFERROR(VLOOKUP(F256,IMPORTRANGE(""https://docs.google.com/spreadsheets/d/1Kvs4KS76FHFqLFIZfrDMff4kP08nblUkihrxltoGBjg/edit#gid=934712705"",""ESENCIAL!A6:BG""),8,FALSE))"),"")</f>
        <v/>
      </c>
      <c r="L233" s="287"/>
      <c r="Z233" s="41" t="str">
        <f t="shared" si="16"/>
        <v/>
      </c>
      <c r="AA233" s="5" t="str">
        <f ca="1">IFERROR(__xludf.DUMMYFUNCTION("IFERROR(VLOOKUP(E256&amp;F256,IMPORTRANGE(""https://docs.google.com/spreadsheets/d/1Uw7-A9f9R21vMXxHZFNpYNeKFtG8_yji4HS352LGlSQ/edit?pli=1#gid=0"",""1_ACUM!A4:S""),11,FALSE))"),"")</f>
        <v/>
      </c>
      <c r="AB233" s="42" t="str">
        <f ca="1">IFERROR(__xludf.DUMMYFUNCTION("IFERROR(VLOOKUP(F256,IMPORTRANGE(""https://docs.google.com/spreadsheets/d/1Kvs4KS76FHFqLFIZfrDMff4kP08nblUkihrxltoGBjg/edit#gid=934712705"",""ESENCIAL!A6:BG""),15,FALSE))"),"")</f>
        <v/>
      </c>
      <c r="AC233" s="110" t="str">
        <f ca="1">IFERROR(__xludf.DUMMYFUNCTION("IFERROR(VLOOKUP(E256&amp;F256,IMPORTRANGE(""https://docs.google.com/spreadsheets/d/1Uw7-A9f9R21vMXxHZFNpYNeKFtG8_yji4HS352LGlSQ/edit?pli=1#gid=0"",""1_ACUM!A4:S""),13,FALSE))"),"")</f>
        <v/>
      </c>
      <c r="AD233" s="43" t="str">
        <f ca="1">IFERROR(__xludf.DUMMYFUNCTION("IFERROR(VLOOKUP(E256&amp;F256,IMPORTRANGE(""https://docs.google.com/spreadsheets/d/1Uw7-A9f9R21vMXxHZFNpYNeKFtG8_yji4HS352LGlSQ/edit?pli=1#gid=0"",""1_ACUM!A4:S""),13,FALSE))"),"")</f>
        <v/>
      </c>
      <c r="AE233" s="43" t="str">
        <f ca="1">IFERROR(__xludf.DUMMYFUNCTION("IFERROR(VLOOKUP(E256&amp;F256,IMPORTRANGE(""https://docs.google.com/spreadsheets/d/1Uw7-A9f9R21vMXxHZFNpYNeKFtG8_yji4HS352LGlSQ/edit?pli=1#gid=0"",""1_ACUM!A4:S""),14,FALSE))"),"")</f>
        <v/>
      </c>
      <c r="AF233" s="43" t="str">
        <f ca="1">IFERROR(__xludf.DUMMYFUNCTION("IFERROR(VLOOKUP(E256&amp;F256,IMPORTRANGE(""https://docs.google.com/spreadsheets/d/1Uw7-A9f9R21vMXxHZFNpYNeKFtG8_yji4HS352LGlSQ/edit?pli=1#gid=0"",""1_ACUM!A4:S""),15,FALSE))"),"")</f>
        <v/>
      </c>
      <c r="AG233" s="43" t="str">
        <f ca="1">IFERROR(__xludf.DUMMYFUNCTION("IFERROR(VLOOKUP(E256&amp;F256,IMPORTRANGE(""https://docs.google.com/spreadsheets/d/1Uw7-A9f9R21vMXxHZFNpYNeKFtG8_yji4HS352LGlSQ/edit?pli=1#gid=0"",""1_ACUM!A4:S""),16,FALSE))"),"")</f>
        <v/>
      </c>
      <c r="AH233" s="43" t="str">
        <f ca="1">IFERROR(__xludf.DUMMYFUNCTION("IFERROR(VLOOKUP(E256&amp;F256,IMPORTRANGE(""https://docs.google.com/spreadsheets/d/1Uw7-A9f9R21vMXxHZFNpYNeKFtG8_yji4HS352LGlSQ/edit?pli=1#gid=0"",""1_ACUM!A4:S""),17,FALSE))"),"")</f>
        <v/>
      </c>
      <c r="AI233" s="44" t="str">
        <f ca="1">IFERROR(__xludf.DUMMYFUNCTION("IFERROR(VLOOKUP(E256&amp;F256,IMPORTRANGE(""https://docs.google.com/spreadsheets/d/1Uw7-A9f9R21vMXxHZFNpYNeKFtG8_yji4HS352LGlSQ/edit?pli=1#gid=0"",""1_ACUM!A4:S""),18,FALSE))"),"")</f>
        <v/>
      </c>
      <c r="AJ233" s="44" t="str">
        <f ca="1">IFERROR(__xludf.DUMMYFUNCTION("IFERROR(VLOOKUP(E256&amp;F256,IMPORTRANGE(""https://docs.google.com/spreadsheets/d/1Uw7-A9f9R21vMXxHZFNpYNeKFtG8_yji4HS352LGlSQ/edit?pli=1#gid=0"",""1_ACUM!A4:S""),19,FALSE))"),"")</f>
        <v/>
      </c>
      <c r="AK233" s="98" t="str">
        <f ca="1">IFERROR(__xludf.DUMMYFUNCTION("IFERROR(VLOOKUP(F256,IMPORTRANGE(""https://docs.google.com/spreadsheets/d/1Kvs4KS76FHFqLFIZfrDMff4kP08nblUkihrxltoGBjg/edit#gid=934712705"",""ESENCIAL!A6:BG""),5,FALSE))"),"")</f>
        <v/>
      </c>
      <c r="AL233" s="98" t="str">
        <f t="shared" si="17"/>
        <v/>
      </c>
      <c r="AM233" s="99" t="str">
        <f t="shared" si="18"/>
        <v/>
      </c>
      <c r="AN233" s="100" t="str">
        <f ca="1">IFERROR(__xludf.DUMMYFUNCTION("IFERROR(VLOOKUP(F256,IMPORTRANGE(""https://docs.google.com/spreadsheets/d/1Kvs4KS76FHFqLFIZfrDMff4kP08nblUkihrxltoGBjg/edit#gid=934712705"",""ESENCIAL!A6:BG""),2,FALSE))"),"")</f>
        <v/>
      </c>
      <c r="AO233" s="19" t="str">
        <f t="shared" si="19"/>
        <v/>
      </c>
      <c r="AP233" s="100"/>
      <c r="AQ233" s="100"/>
    </row>
    <row r="234" spans="1:43" ht="15">
      <c r="A234" s="101"/>
      <c r="B234" s="101"/>
      <c r="G234" s="5" t="str">
        <f ca="1">IFERROR(__xludf.DUMMYFUNCTION("IFERROR(VLOOKUP(F257,IMPORTRANGE(""https://docs.google.com/spreadsheets/d/1Kvs4KS76FHFqLFIZfrDMff4kP08nblUkihrxltoGBjg/edit#gid=934712705"",""ESENCIAL!A6:BG""),3,FALSE))"),"")</f>
        <v/>
      </c>
      <c r="H234" s="5" t="str">
        <f ca="1">IFERROR(__xludf.DUMMYFUNCTION("IFERROR(VLOOKUP(F257,IMPORTRANGE(""https://docs.google.com/spreadsheets/d/1Kvs4KS76FHFqLFIZfrDMff4kP08nblUkihrxltoGBjg/edit#gid=934712705"",""ESENCIAL!A6:BG""),8,FALSE))"),"")</f>
        <v/>
      </c>
      <c r="L234" s="287"/>
      <c r="Z234" s="41" t="str">
        <f t="shared" si="16"/>
        <v/>
      </c>
      <c r="AA234" s="5" t="str">
        <f ca="1">IFERROR(__xludf.DUMMYFUNCTION("IFERROR(VLOOKUP(E257&amp;F257,IMPORTRANGE(""https://docs.google.com/spreadsheets/d/1Uw7-A9f9R21vMXxHZFNpYNeKFtG8_yji4HS352LGlSQ/edit?pli=1#gid=0"",""1_ACUM!A4:S""),11,FALSE))"),"")</f>
        <v/>
      </c>
      <c r="AB234" s="42" t="str">
        <f ca="1">IFERROR(__xludf.DUMMYFUNCTION("IFERROR(VLOOKUP(F257,IMPORTRANGE(""https://docs.google.com/spreadsheets/d/1Kvs4KS76FHFqLFIZfrDMff4kP08nblUkihrxltoGBjg/edit#gid=934712705"",""ESENCIAL!A6:BG""),15,FALSE))"),"")</f>
        <v/>
      </c>
      <c r="AC234" s="110" t="str">
        <f ca="1">IFERROR(__xludf.DUMMYFUNCTION("IFERROR(VLOOKUP(E257&amp;F257,IMPORTRANGE(""https://docs.google.com/spreadsheets/d/1Uw7-A9f9R21vMXxHZFNpYNeKFtG8_yji4HS352LGlSQ/edit?pli=1#gid=0"",""1_ACUM!A4:S""),13,FALSE))"),"")</f>
        <v/>
      </c>
      <c r="AD234" s="43" t="str">
        <f ca="1">IFERROR(__xludf.DUMMYFUNCTION("IFERROR(VLOOKUP(E257&amp;F257,IMPORTRANGE(""https://docs.google.com/spreadsheets/d/1Uw7-A9f9R21vMXxHZFNpYNeKFtG8_yji4HS352LGlSQ/edit?pli=1#gid=0"",""1_ACUM!A4:S""),13,FALSE))"),"")</f>
        <v/>
      </c>
      <c r="AE234" s="43" t="str">
        <f ca="1">IFERROR(__xludf.DUMMYFUNCTION("IFERROR(VLOOKUP(E257&amp;F257,IMPORTRANGE(""https://docs.google.com/spreadsheets/d/1Uw7-A9f9R21vMXxHZFNpYNeKFtG8_yji4HS352LGlSQ/edit?pli=1#gid=0"",""1_ACUM!A4:S""),14,FALSE))"),"")</f>
        <v/>
      </c>
      <c r="AF234" s="43" t="str">
        <f ca="1">IFERROR(__xludf.DUMMYFUNCTION("IFERROR(VLOOKUP(E257&amp;F257,IMPORTRANGE(""https://docs.google.com/spreadsheets/d/1Uw7-A9f9R21vMXxHZFNpYNeKFtG8_yji4HS352LGlSQ/edit?pli=1#gid=0"",""1_ACUM!A4:S""),15,FALSE))"),"")</f>
        <v/>
      </c>
      <c r="AG234" s="43" t="str">
        <f ca="1">IFERROR(__xludf.DUMMYFUNCTION("IFERROR(VLOOKUP(E257&amp;F257,IMPORTRANGE(""https://docs.google.com/spreadsheets/d/1Uw7-A9f9R21vMXxHZFNpYNeKFtG8_yji4HS352LGlSQ/edit?pli=1#gid=0"",""1_ACUM!A4:S""),16,FALSE))"),"")</f>
        <v/>
      </c>
      <c r="AH234" s="43" t="str">
        <f ca="1">IFERROR(__xludf.DUMMYFUNCTION("IFERROR(VLOOKUP(E257&amp;F257,IMPORTRANGE(""https://docs.google.com/spreadsheets/d/1Uw7-A9f9R21vMXxHZFNpYNeKFtG8_yji4HS352LGlSQ/edit?pli=1#gid=0"",""1_ACUM!A4:S""),17,FALSE))"),"")</f>
        <v/>
      </c>
      <c r="AI234" s="44" t="str">
        <f ca="1">IFERROR(__xludf.DUMMYFUNCTION("IFERROR(VLOOKUP(E257&amp;F257,IMPORTRANGE(""https://docs.google.com/spreadsheets/d/1Uw7-A9f9R21vMXxHZFNpYNeKFtG8_yji4HS352LGlSQ/edit?pli=1#gid=0"",""1_ACUM!A4:S""),18,FALSE))"),"")</f>
        <v/>
      </c>
      <c r="AJ234" s="44" t="str">
        <f ca="1">IFERROR(__xludf.DUMMYFUNCTION("IFERROR(VLOOKUP(E257&amp;F257,IMPORTRANGE(""https://docs.google.com/spreadsheets/d/1Uw7-A9f9R21vMXxHZFNpYNeKFtG8_yji4HS352LGlSQ/edit?pli=1#gid=0"",""1_ACUM!A4:S""),19,FALSE))"),"")</f>
        <v/>
      </c>
      <c r="AK234" s="98" t="str">
        <f ca="1">IFERROR(__xludf.DUMMYFUNCTION("IFERROR(VLOOKUP(F257,IMPORTRANGE(""https://docs.google.com/spreadsheets/d/1Kvs4KS76FHFqLFIZfrDMff4kP08nblUkihrxltoGBjg/edit#gid=934712705"",""ESENCIAL!A6:BG""),5,FALSE))"),"")</f>
        <v/>
      </c>
      <c r="AL234" s="98" t="str">
        <f t="shared" si="17"/>
        <v/>
      </c>
      <c r="AM234" s="99" t="str">
        <f t="shared" si="18"/>
        <v/>
      </c>
      <c r="AN234" s="100" t="str">
        <f ca="1">IFERROR(__xludf.DUMMYFUNCTION("IFERROR(VLOOKUP(F257,IMPORTRANGE(""https://docs.google.com/spreadsheets/d/1Kvs4KS76FHFqLFIZfrDMff4kP08nblUkihrxltoGBjg/edit#gid=934712705"",""ESENCIAL!A6:BG""),2,FALSE))"),"")</f>
        <v/>
      </c>
      <c r="AO234" s="19" t="str">
        <f t="shared" si="19"/>
        <v/>
      </c>
      <c r="AP234" s="100"/>
      <c r="AQ234" s="100"/>
    </row>
    <row r="235" spans="1:43" ht="15">
      <c r="A235" s="101"/>
      <c r="B235" s="101"/>
      <c r="G235" s="5" t="str">
        <f ca="1">IFERROR(__xludf.DUMMYFUNCTION("IFERROR(VLOOKUP(F258,IMPORTRANGE(""https://docs.google.com/spreadsheets/d/1Kvs4KS76FHFqLFIZfrDMff4kP08nblUkihrxltoGBjg/edit#gid=934712705"",""ESENCIAL!A6:BG""),3,FALSE))"),"")</f>
        <v/>
      </c>
      <c r="H235" s="5" t="str">
        <f ca="1">IFERROR(__xludf.DUMMYFUNCTION("IFERROR(VLOOKUP(F258,IMPORTRANGE(""https://docs.google.com/spreadsheets/d/1Kvs4KS76FHFqLFIZfrDMff4kP08nblUkihrxltoGBjg/edit#gid=934712705"",""ESENCIAL!A6:BG""),8,FALSE))"),"")</f>
        <v/>
      </c>
      <c r="L235" s="287"/>
      <c r="Z235" s="41" t="str">
        <f t="shared" si="16"/>
        <v/>
      </c>
      <c r="AA235" s="5" t="str">
        <f ca="1">IFERROR(__xludf.DUMMYFUNCTION("IFERROR(VLOOKUP(E258&amp;F258,IMPORTRANGE(""https://docs.google.com/spreadsheets/d/1Uw7-A9f9R21vMXxHZFNpYNeKFtG8_yji4HS352LGlSQ/edit?pli=1#gid=0"",""1_ACUM!A4:S""),11,FALSE))"),"")</f>
        <v/>
      </c>
      <c r="AB235" s="42" t="str">
        <f ca="1">IFERROR(__xludf.DUMMYFUNCTION("IFERROR(VLOOKUP(F258,IMPORTRANGE(""https://docs.google.com/spreadsheets/d/1Kvs4KS76FHFqLFIZfrDMff4kP08nblUkihrxltoGBjg/edit#gid=934712705"",""ESENCIAL!A6:BG""),15,FALSE))"),"")</f>
        <v/>
      </c>
      <c r="AC235" s="110" t="str">
        <f ca="1">IFERROR(__xludf.DUMMYFUNCTION("IFERROR(VLOOKUP(E258&amp;F258,IMPORTRANGE(""https://docs.google.com/spreadsheets/d/1Uw7-A9f9R21vMXxHZFNpYNeKFtG8_yji4HS352LGlSQ/edit?pli=1#gid=0"",""1_ACUM!A4:S""),13,FALSE))"),"")</f>
        <v/>
      </c>
      <c r="AD235" s="43" t="str">
        <f ca="1">IFERROR(__xludf.DUMMYFUNCTION("IFERROR(VLOOKUP(E258&amp;F258,IMPORTRANGE(""https://docs.google.com/spreadsheets/d/1Uw7-A9f9R21vMXxHZFNpYNeKFtG8_yji4HS352LGlSQ/edit?pli=1#gid=0"",""1_ACUM!A4:S""),13,FALSE))"),"")</f>
        <v/>
      </c>
      <c r="AE235" s="43" t="str">
        <f ca="1">IFERROR(__xludf.DUMMYFUNCTION("IFERROR(VLOOKUP(E258&amp;F258,IMPORTRANGE(""https://docs.google.com/spreadsheets/d/1Uw7-A9f9R21vMXxHZFNpYNeKFtG8_yji4HS352LGlSQ/edit?pli=1#gid=0"",""1_ACUM!A4:S""),14,FALSE))"),"")</f>
        <v/>
      </c>
      <c r="AF235" s="43" t="str">
        <f ca="1">IFERROR(__xludf.DUMMYFUNCTION("IFERROR(VLOOKUP(E258&amp;F258,IMPORTRANGE(""https://docs.google.com/spreadsheets/d/1Uw7-A9f9R21vMXxHZFNpYNeKFtG8_yji4HS352LGlSQ/edit?pli=1#gid=0"",""1_ACUM!A4:S""),15,FALSE))"),"")</f>
        <v/>
      </c>
      <c r="AG235" s="43" t="str">
        <f ca="1">IFERROR(__xludf.DUMMYFUNCTION("IFERROR(VLOOKUP(E258&amp;F258,IMPORTRANGE(""https://docs.google.com/spreadsheets/d/1Uw7-A9f9R21vMXxHZFNpYNeKFtG8_yji4HS352LGlSQ/edit?pli=1#gid=0"",""1_ACUM!A4:S""),16,FALSE))"),"")</f>
        <v/>
      </c>
      <c r="AH235" s="43" t="str">
        <f ca="1">IFERROR(__xludf.DUMMYFUNCTION("IFERROR(VLOOKUP(E258&amp;F258,IMPORTRANGE(""https://docs.google.com/spreadsheets/d/1Uw7-A9f9R21vMXxHZFNpYNeKFtG8_yji4HS352LGlSQ/edit?pli=1#gid=0"",""1_ACUM!A4:S""),17,FALSE))"),"")</f>
        <v/>
      </c>
      <c r="AI235" s="44" t="str">
        <f ca="1">IFERROR(__xludf.DUMMYFUNCTION("IFERROR(VLOOKUP(E258&amp;F258,IMPORTRANGE(""https://docs.google.com/spreadsheets/d/1Uw7-A9f9R21vMXxHZFNpYNeKFtG8_yji4HS352LGlSQ/edit?pli=1#gid=0"",""1_ACUM!A4:S""),18,FALSE))"),"")</f>
        <v/>
      </c>
      <c r="AJ235" s="44" t="str">
        <f ca="1">IFERROR(__xludf.DUMMYFUNCTION("IFERROR(VLOOKUP(E258&amp;F258,IMPORTRANGE(""https://docs.google.com/spreadsheets/d/1Uw7-A9f9R21vMXxHZFNpYNeKFtG8_yji4HS352LGlSQ/edit?pli=1#gid=0"",""1_ACUM!A4:S""),19,FALSE))"),"")</f>
        <v/>
      </c>
      <c r="AK235" s="98" t="str">
        <f ca="1">IFERROR(__xludf.DUMMYFUNCTION("IFERROR(VLOOKUP(F258,IMPORTRANGE(""https://docs.google.com/spreadsheets/d/1Kvs4KS76FHFqLFIZfrDMff4kP08nblUkihrxltoGBjg/edit#gid=934712705"",""ESENCIAL!A6:BG""),5,FALSE))"),"")</f>
        <v/>
      </c>
      <c r="AL235" s="98" t="str">
        <f t="shared" si="17"/>
        <v/>
      </c>
      <c r="AM235" s="99" t="str">
        <f t="shared" si="18"/>
        <v/>
      </c>
      <c r="AN235" s="100" t="str">
        <f ca="1">IFERROR(__xludf.DUMMYFUNCTION("IFERROR(VLOOKUP(F258,IMPORTRANGE(""https://docs.google.com/spreadsheets/d/1Kvs4KS76FHFqLFIZfrDMff4kP08nblUkihrxltoGBjg/edit#gid=934712705"",""ESENCIAL!A6:BG""),2,FALSE))"),"")</f>
        <v/>
      </c>
      <c r="AO235" s="19" t="str">
        <f t="shared" ref="AO235:AO489" si="20">IF(F235&gt;0,"Yamboro","")</f>
        <v/>
      </c>
      <c r="AP235" s="100"/>
      <c r="AQ235" s="100"/>
    </row>
    <row r="236" spans="1:43" ht="15">
      <c r="A236" s="101"/>
      <c r="B236" s="101"/>
      <c r="G236" s="5" t="str">
        <f ca="1">IFERROR(__xludf.DUMMYFUNCTION("IFERROR(VLOOKUP(F259,IMPORTRANGE(""https://docs.google.com/spreadsheets/d/1Kvs4KS76FHFqLFIZfrDMff4kP08nblUkihrxltoGBjg/edit#gid=934712705"",""ESENCIAL!A6:BG""),3,FALSE))"),"")</f>
        <v/>
      </c>
      <c r="H236" s="5" t="str">
        <f ca="1">IFERROR(__xludf.DUMMYFUNCTION("IFERROR(VLOOKUP(F259,IMPORTRANGE(""https://docs.google.com/spreadsheets/d/1Kvs4KS76FHFqLFIZfrDMff4kP08nblUkihrxltoGBjg/edit#gid=934712705"",""ESENCIAL!A6:BG""),8,FALSE))"),"")</f>
        <v/>
      </c>
      <c r="L236" s="287"/>
      <c r="Z236" s="41" t="str">
        <f t="shared" si="16"/>
        <v/>
      </c>
      <c r="AA236" s="5" t="str">
        <f ca="1">IFERROR(__xludf.DUMMYFUNCTION("IFERROR(VLOOKUP(E259&amp;F259,IMPORTRANGE(""https://docs.google.com/spreadsheets/d/1Uw7-A9f9R21vMXxHZFNpYNeKFtG8_yji4HS352LGlSQ/edit?pli=1#gid=0"",""1_ACUM!A4:S""),11,FALSE))"),"")</f>
        <v/>
      </c>
      <c r="AB236" s="42" t="str">
        <f ca="1">IFERROR(__xludf.DUMMYFUNCTION("IFERROR(VLOOKUP(F259,IMPORTRANGE(""https://docs.google.com/spreadsheets/d/1Kvs4KS76FHFqLFIZfrDMff4kP08nblUkihrxltoGBjg/edit#gid=934712705"",""ESENCIAL!A6:BG""),15,FALSE))"),"")</f>
        <v/>
      </c>
      <c r="AC236" s="110" t="str">
        <f ca="1">IFERROR(__xludf.DUMMYFUNCTION("IFERROR(VLOOKUP(E259&amp;F259,IMPORTRANGE(""https://docs.google.com/spreadsheets/d/1Uw7-A9f9R21vMXxHZFNpYNeKFtG8_yji4HS352LGlSQ/edit?pli=1#gid=0"",""1_ACUM!A4:S""),13,FALSE))"),"")</f>
        <v/>
      </c>
      <c r="AD236" s="43" t="str">
        <f ca="1">IFERROR(__xludf.DUMMYFUNCTION("IFERROR(VLOOKUP(E259&amp;F259,IMPORTRANGE(""https://docs.google.com/spreadsheets/d/1Uw7-A9f9R21vMXxHZFNpYNeKFtG8_yji4HS352LGlSQ/edit?pli=1#gid=0"",""1_ACUM!A4:S""),13,FALSE))"),"")</f>
        <v/>
      </c>
      <c r="AE236" s="43" t="str">
        <f ca="1">IFERROR(__xludf.DUMMYFUNCTION("IFERROR(VLOOKUP(E259&amp;F259,IMPORTRANGE(""https://docs.google.com/spreadsheets/d/1Uw7-A9f9R21vMXxHZFNpYNeKFtG8_yji4HS352LGlSQ/edit?pli=1#gid=0"",""1_ACUM!A4:S""),14,FALSE))"),"")</f>
        <v/>
      </c>
      <c r="AF236" s="43" t="str">
        <f ca="1">IFERROR(__xludf.DUMMYFUNCTION("IFERROR(VLOOKUP(E259&amp;F259,IMPORTRANGE(""https://docs.google.com/spreadsheets/d/1Uw7-A9f9R21vMXxHZFNpYNeKFtG8_yji4HS352LGlSQ/edit?pli=1#gid=0"",""1_ACUM!A4:S""),15,FALSE))"),"")</f>
        <v/>
      </c>
      <c r="AG236" s="43" t="str">
        <f ca="1">IFERROR(__xludf.DUMMYFUNCTION("IFERROR(VLOOKUP(E259&amp;F259,IMPORTRANGE(""https://docs.google.com/spreadsheets/d/1Uw7-A9f9R21vMXxHZFNpYNeKFtG8_yji4HS352LGlSQ/edit?pli=1#gid=0"",""1_ACUM!A4:S""),16,FALSE))"),"")</f>
        <v/>
      </c>
      <c r="AH236" s="43" t="str">
        <f ca="1">IFERROR(__xludf.DUMMYFUNCTION("IFERROR(VLOOKUP(E259&amp;F259,IMPORTRANGE(""https://docs.google.com/spreadsheets/d/1Uw7-A9f9R21vMXxHZFNpYNeKFtG8_yji4HS352LGlSQ/edit?pli=1#gid=0"",""1_ACUM!A4:S""),17,FALSE))"),"")</f>
        <v/>
      </c>
      <c r="AI236" s="44" t="str">
        <f ca="1">IFERROR(__xludf.DUMMYFUNCTION("IFERROR(VLOOKUP(E259&amp;F259,IMPORTRANGE(""https://docs.google.com/spreadsheets/d/1Uw7-A9f9R21vMXxHZFNpYNeKFtG8_yji4HS352LGlSQ/edit?pli=1#gid=0"",""1_ACUM!A4:S""),18,FALSE))"),"")</f>
        <v/>
      </c>
      <c r="AJ236" s="44" t="str">
        <f ca="1">IFERROR(__xludf.DUMMYFUNCTION("IFERROR(VLOOKUP(E259&amp;F259,IMPORTRANGE(""https://docs.google.com/spreadsheets/d/1Uw7-A9f9R21vMXxHZFNpYNeKFtG8_yji4HS352LGlSQ/edit?pli=1#gid=0"",""1_ACUM!A4:S""),19,FALSE))"),"")</f>
        <v/>
      </c>
      <c r="AK236" s="98" t="str">
        <f ca="1">IFERROR(__xludf.DUMMYFUNCTION("IFERROR(VLOOKUP(F259,IMPORTRANGE(""https://docs.google.com/spreadsheets/d/1Kvs4KS76FHFqLFIZfrDMff4kP08nblUkihrxltoGBjg/edit#gid=934712705"",""ESENCIAL!A6:BG""),5,FALSE))"),"")</f>
        <v/>
      </c>
      <c r="AL236" s="98" t="str">
        <f t="shared" si="17"/>
        <v/>
      </c>
      <c r="AM236" s="99" t="str">
        <f t="shared" si="18"/>
        <v/>
      </c>
      <c r="AN236" s="100" t="str">
        <f ca="1">IFERROR(__xludf.DUMMYFUNCTION("IFERROR(VLOOKUP(F259,IMPORTRANGE(""https://docs.google.com/spreadsheets/d/1Kvs4KS76FHFqLFIZfrDMff4kP08nblUkihrxltoGBjg/edit#gid=934712705"",""ESENCIAL!A6:BG""),2,FALSE))"),"")</f>
        <v/>
      </c>
      <c r="AO236" s="19" t="str">
        <f t="shared" si="20"/>
        <v/>
      </c>
      <c r="AP236" s="100"/>
      <c r="AQ236" s="100"/>
    </row>
    <row r="237" spans="1:43" ht="15">
      <c r="A237" s="101"/>
      <c r="B237" s="101"/>
      <c r="G237" s="5" t="str">
        <f ca="1">IFERROR(__xludf.DUMMYFUNCTION("IFERROR(VLOOKUP(F260,IMPORTRANGE(""https://docs.google.com/spreadsheets/d/1Kvs4KS76FHFqLFIZfrDMff4kP08nblUkihrxltoGBjg/edit#gid=934712705"",""ESENCIAL!A6:BG""),3,FALSE))"),"")</f>
        <v/>
      </c>
      <c r="H237" s="5" t="str">
        <f ca="1">IFERROR(__xludf.DUMMYFUNCTION("IFERROR(VLOOKUP(F260,IMPORTRANGE(""https://docs.google.com/spreadsheets/d/1Kvs4KS76FHFqLFIZfrDMff4kP08nblUkihrxltoGBjg/edit#gid=934712705"",""ESENCIAL!A6:BG""),8,FALSE))"),"")</f>
        <v/>
      </c>
      <c r="L237" s="287"/>
      <c r="Z237" s="41" t="str">
        <f t="shared" si="16"/>
        <v/>
      </c>
      <c r="AA237" s="5" t="str">
        <f ca="1">IFERROR(__xludf.DUMMYFUNCTION("IFERROR(VLOOKUP(E260&amp;F260,IMPORTRANGE(""https://docs.google.com/spreadsheets/d/1Uw7-A9f9R21vMXxHZFNpYNeKFtG8_yji4HS352LGlSQ/edit?pli=1#gid=0"",""1_ACUM!A4:S""),11,FALSE))"),"")</f>
        <v/>
      </c>
      <c r="AB237" s="42" t="str">
        <f ca="1">IFERROR(__xludf.DUMMYFUNCTION("IFERROR(VLOOKUP(F260,IMPORTRANGE(""https://docs.google.com/spreadsheets/d/1Kvs4KS76FHFqLFIZfrDMff4kP08nblUkihrxltoGBjg/edit#gid=934712705"",""ESENCIAL!A6:BG""),15,FALSE))"),"")</f>
        <v/>
      </c>
      <c r="AC237" s="110" t="str">
        <f ca="1">IFERROR(__xludf.DUMMYFUNCTION("IFERROR(VLOOKUP(E260&amp;F260,IMPORTRANGE(""https://docs.google.com/spreadsheets/d/1Uw7-A9f9R21vMXxHZFNpYNeKFtG8_yji4HS352LGlSQ/edit?pli=1#gid=0"",""1_ACUM!A4:S""),13,FALSE))"),"")</f>
        <v/>
      </c>
      <c r="AD237" s="43" t="str">
        <f ca="1">IFERROR(__xludf.DUMMYFUNCTION("IFERROR(VLOOKUP(E260&amp;F260,IMPORTRANGE(""https://docs.google.com/spreadsheets/d/1Uw7-A9f9R21vMXxHZFNpYNeKFtG8_yji4HS352LGlSQ/edit?pli=1#gid=0"",""1_ACUM!A4:S""),13,FALSE))"),"")</f>
        <v/>
      </c>
      <c r="AE237" s="43" t="str">
        <f ca="1">IFERROR(__xludf.DUMMYFUNCTION("IFERROR(VLOOKUP(E260&amp;F260,IMPORTRANGE(""https://docs.google.com/spreadsheets/d/1Uw7-A9f9R21vMXxHZFNpYNeKFtG8_yji4HS352LGlSQ/edit?pli=1#gid=0"",""1_ACUM!A4:S""),14,FALSE))"),"")</f>
        <v/>
      </c>
      <c r="AF237" s="43" t="str">
        <f ca="1">IFERROR(__xludf.DUMMYFUNCTION("IFERROR(VLOOKUP(E260&amp;F260,IMPORTRANGE(""https://docs.google.com/spreadsheets/d/1Uw7-A9f9R21vMXxHZFNpYNeKFtG8_yji4HS352LGlSQ/edit?pli=1#gid=0"",""1_ACUM!A4:S""),15,FALSE))"),"")</f>
        <v/>
      </c>
      <c r="AG237" s="43" t="str">
        <f ca="1">IFERROR(__xludf.DUMMYFUNCTION("IFERROR(VLOOKUP(E260&amp;F260,IMPORTRANGE(""https://docs.google.com/spreadsheets/d/1Uw7-A9f9R21vMXxHZFNpYNeKFtG8_yji4HS352LGlSQ/edit?pli=1#gid=0"",""1_ACUM!A4:S""),16,FALSE))"),"")</f>
        <v/>
      </c>
      <c r="AH237" s="43" t="str">
        <f ca="1">IFERROR(__xludf.DUMMYFUNCTION("IFERROR(VLOOKUP(E260&amp;F260,IMPORTRANGE(""https://docs.google.com/spreadsheets/d/1Uw7-A9f9R21vMXxHZFNpYNeKFtG8_yji4HS352LGlSQ/edit?pli=1#gid=0"",""1_ACUM!A4:S""),17,FALSE))"),"")</f>
        <v/>
      </c>
      <c r="AI237" s="44" t="str">
        <f ca="1">IFERROR(__xludf.DUMMYFUNCTION("IFERROR(VLOOKUP(E260&amp;F260,IMPORTRANGE(""https://docs.google.com/spreadsheets/d/1Uw7-A9f9R21vMXxHZFNpYNeKFtG8_yji4HS352LGlSQ/edit?pli=1#gid=0"",""1_ACUM!A4:S""),18,FALSE))"),"")</f>
        <v/>
      </c>
      <c r="AJ237" s="44" t="str">
        <f ca="1">IFERROR(__xludf.DUMMYFUNCTION("IFERROR(VLOOKUP(E260&amp;F260,IMPORTRANGE(""https://docs.google.com/spreadsheets/d/1Uw7-A9f9R21vMXxHZFNpYNeKFtG8_yji4HS352LGlSQ/edit?pli=1#gid=0"",""1_ACUM!A4:S""),19,FALSE))"),"")</f>
        <v/>
      </c>
      <c r="AK237" s="98" t="str">
        <f ca="1">IFERROR(__xludf.DUMMYFUNCTION("IFERROR(VLOOKUP(F260,IMPORTRANGE(""https://docs.google.com/spreadsheets/d/1Kvs4KS76FHFqLFIZfrDMff4kP08nblUkihrxltoGBjg/edit#gid=934712705"",""ESENCIAL!A6:BG""),5,FALSE))"),"")</f>
        <v/>
      </c>
      <c r="AL237" s="98" t="str">
        <f t="shared" si="17"/>
        <v/>
      </c>
      <c r="AM237" s="99" t="str">
        <f t="shared" si="18"/>
        <v/>
      </c>
      <c r="AN237" s="100" t="str">
        <f ca="1">IFERROR(__xludf.DUMMYFUNCTION("IFERROR(VLOOKUP(F260,IMPORTRANGE(""https://docs.google.com/spreadsheets/d/1Kvs4KS76FHFqLFIZfrDMff4kP08nblUkihrxltoGBjg/edit#gid=934712705"",""ESENCIAL!A6:BG""),2,FALSE))"),"")</f>
        <v/>
      </c>
      <c r="AO237" s="19" t="str">
        <f t="shared" si="20"/>
        <v/>
      </c>
      <c r="AP237" s="100"/>
      <c r="AQ237" s="100"/>
    </row>
    <row r="238" spans="1:43" ht="15">
      <c r="A238" s="101"/>
      <c r="B238" s="101"/>
      <c r="G238" s="5" t="str">
        <f ca="1">IFERROR(__xludf.DUMMYFUNCTION("IFERROR(VLOOKUP(F261,IMPORTRANGE(""https://docs.google.com/spreadsheets/d/1Kvs4KS76FHFqLFIZfrDMff4kP08nblUkihrxltoGBjg/edit#gid=934712705"",""ESENCIAL!A6:BG""),3,FALSE))"),"")</f>
        <v/>
      </c>
      <c r="H238" s="5" t="str">
        <f ca="1">IFERROR(__xludf.DUMMYFUNCTION("IFERROR(VLOOKUP(F261,IMPORTRANGE(""https://docs.google.com/spreadsheets/d/1Kvs4KS76FHFqLFIZfrDMff4kP08nblUkihrxltoGBjg/edit#gid=934712705"",""ESENCIAL!A6:BG""),8,FALSE))"),"")</f>
        <v/>
      </c>
      <c r="L238" s="287"/>
      <c r="Z238" s="41" t="str">
        <f t="shared" si="16"/>
        <v/>
      </c>
      <c r="AA238" s="5" t="str">
        <f ca="1">IFERROR(__xludf.DUMMYFUNCTION("IFERROR(VLOOKUP(E261&amp;F261,IMPORTRANGE(""https://docs.google.com/spreadsheets/d/1Uw7-A9f9R21vMXxHZFNpYNeKFtG8_yji4HS352LGlSQ/edit?pli=1#gid=0"",""1_ACUM!A4:S""),11,FALSE))"),"")</f>
        <v/>
      </c>
      <c r="AB238" s="42" t="str">
        <f ca="1">IFERROR(__xludf.DUMMYFUNCTION("IFERROR(VLOOKUP(F261,IMPORTRANGE(""https://docs.google.com/spreadsheets/d/1Kvs4KS76FHFqLFIZfrDMff4kP08nblUkihrxltoGBjg/edit#gid=934712705"",""ESENCIAL!A6:BG""),15,FALSE))"),"")</f>
        <v/>
      </c>
      <c r="AC238" s="110" t="str">
        <f ca="1">IFERROR(__xludf.DUMMYFUNCTION("IFERROR(VLOOKUP(E261&amp;F261,IMPORTRANGE(""https://docs.google.com/spreadsheets/d/1Uw7-A9f9R21vMXxHZFNpYNeKFtG8_yji4HS352LGlSQ/edit?pli=1#gid=0"",""1_ACUM!A4:S""),13,FALSE))"),"")</f>
        <v/>
      </c>
      <c r="AD238" s="43" t="str">
        <f ca="1">IFERROR(__xludf.DUMMYFUNCTION("IFERROR(VLOOKUP(E261&amp;F261,IMPORTRANGE(""https://docs.google.com/spreadsheets/d/1Uw7-A9f9R21vMXxHZFNpYNeKFtG8_yji4HS352LGlSQ/edit?pli=1#gid=0"",""1_ACUM!A4:S""),13,FALSE))"),"")</f>
        <v/>
      </c>
      <c r="AE238" s="43" t="str">
        <f ca="1">IFERROR(__xludf.DUMMYFUNCTION("IFERROR(VLOOKUP(E261&amp;F261,IMPORTRANGE(""https://docs.google.com/spreadsheets/d/1Uw7-A9f9R21vMXxHZFNpYNeKFtG8_yji4HS352LGlSQ/edit?pli=1#gid=0"",""1_ACUM!A4:S""),14,FALSE))"),"")</f>
        <v/>
      </c>
      <c r="AF238" s="43" t="str">
        <f ca="1">IFERROR(__xludf.DUMMYFUNCTION("IFERROR(VLOOKUP(E261&amp;F261,IMPORTRANGE(""https://docs.google.com/spreadsheets/d/1Uw7-A9f9R21vMXxHZFNpYNeKFtG8_yji4HS352LGlSQ/edit?pli=1#gid=0"",""1_ACUM!A4:S""),15,FALSE))"),"")</f>
        <v/>
      </c>
      <c r="AG238" s="43" t="str">
        <f ca="1">IFERROR(__xludf.DUMMYFUNCTION("IFERROR(VLOOKUP(E261&amp;F261,IMPORTRANGE(""https://docs.google.com/spreadsheets/d/1Uw7-A9f9R21vMXxHZFNpYNeKFtG8_yji4HS352LGlSQ/edit?pli=1#gid=0"",""1_ACUM!A4:S""),16,FALSE))"),"")</f>
        <v/>
      </c>
      <c r="AH238" s="43" t="str">
        <f ca="1">IFERROR(__xludf.DUMMYFUNCTION("IFERROR(VLOOKUP(E261&amp;F261,IMPORTRANGE(""https://docs.google.com/spreadsheets/d/1Uw7-A9f9R21vMXxHZFNpYNeKFtG8_yji4HS352LGlSQ/edit?pli=1#gid=0"",""1_ACUM!A4:S""),17,FALSE))"),"")</f>
        <v/>
      </c>
      <c r="AI238" s="44" t="str">
        <f ca="1">IFERROR(__xludf.DUMMYFUNCTION("IFERROR(VLOOKUP(E261&amp;F261,IMPORTRANGE(""https://docs.google.com/spreadsheets/d/1Uw7-A9f9R21vMXxHZFNpYNeKFtG8_yji4HS352LGlSQ/edit?pli=1#gid=0"",""1_ACUM!A4:S""),18,FALSE))"),"")</f>
        <v/>
      </c>
      <c r="AJ238" s="44" t="str">
        <f ca="1">IFERROR(__xludf.DUMMYFUNCTION("IFERROR(VLOOKUP(E261&amp;F261,IMPORTRANGE(""https://docs.google.com/spreadsheets/d/1Uw7-A9f9R21vMXxHZFNpYNeKFtG8_yji4HS352LGlSQ/edit?pli=1#gid=0"",""1_ACUM!A4:S""),19,FALSE))"),"")</f>
        <v/>
      </c>
      <c r="AK238" s="98" t="str">
        <f ca="1">IFERROR(__xludf.DUMMYFUNCTION("IFERROR(VLOOKUP(F261,IMPORTRANGE(""https://docs.google.com/spreadsheets/d/1Kvs4KS76FHFqLFIZfrDMff4kP08nblUkihrxltoGBjg/edit#gid=934712705"",""ESENCIAL!A6:BG""),5,FALSE))"),"")</f>
        <v/>
      </c>
      <c r="AL238" s="98" t="str">
        <f t="shared" si="17"/>
        <v/>
      </c>
      <c r="AM238" s="99" t="str">
        <f t="shared" si="18"/>
        <v/>
      </c>
      <c r="AN238" s="100" t="str">
        <f ca="1">IFERROR(__xludf.DUMMYFUNCTION("IFERROR(VLOOKUP(F261,IMPORTRANGE(""https://docs.google.com/spreadsheets/d/1Kvs4KS76FHFqLFIZfrDMff4kP08nblUkihrxltoGBjg/edit#gid=934712705"",""ESENCIAL!A6:BG""),2,FALSE))"),"")</f>
        <v/>
      </c>
      <c r="AO238" s="19" t="str">
        <f t="shared" si="20"/>
        <v/>
      </c>
      <c r="AP238" s="100"/>
      <c r="AQ238" s="100"/>
    </row>
    <row r="239" spans="1:43" ht="15">
      <c r="A239" s="101"/>
      <c r="B239" s="101"/>
      <c r="G239" s="5" t="str">
        <f ca="1">IFERROR(__xludf.DUMMYFUNCTION("IFERROR(VLOOKUP(F262,IMPORTRANGE(""https://docs.google.com/spreadsheets/d/1Kvs4KS76FHFqLFIZfrDMff4kP08nblUkihrxltoGBjg/edit#gid=934712705"",""ESENCIAL!A6:BG""),3,FALSE))"),"")</f>
        <v/>
      </c>
      <c r="H239" s="5" t="str">
        <f ca="1">IFERROR(__xludf.DUMMYFUNCTION("IFERROR(VLOOKUP(F262,IMPORTRANGE(""https://docs.google.com/spreadsheets/d/1Kvs4KS76FHFqLFIZfrDMff4kP08nblUkihrxltoGBjg/edit#gid=934712705"",""ESENCIAL!A6:BG""),8,FALSE))"),"")</f>
        <v/>
      </c>
      <c r="L239" s="287"/>
      <c r="Z239" s="41" t="str">
        <f t="shared" si="16"/>
        <v/>
      </c>
      <c r="AA239" s="5" t="str">
        <f ca="1">IFERROR(__xludf.DUMMYFUNCTION("IFERROR(VLOOKUP(E262&amp;F262,IMPORTRANGE(""https://docs.google.com/spreadsheets/d/1Uw7-A9f9R21vMXxHZFNpYNeKFtG8_yji4HS352LGlSQ/edit?pli=1#gid=0"",""1_ACUM!A4:S""),11,FALSE))"),"")</f>
        <v/>
      </c>
      <c r="AB239" s="42" t="str">
        <f ca="1">IFERROR(__xludf.DUMMYFUNCTION("IFERROR(VLOOKUP(F262,IMPORTRANGE(""https://docs.google.com/spreadsheets/d/1Kvs4KS76FHFqLFIZfrDMff4kP08nblUkihrxltoGBjg/edit#gid=934712705"",""ESENCIAL!A6:BG""),15,FALSE))"),"")</f>
        <v/>
      </c>
      <c r="AC239" s="110" t="str">
        <f ca="1">IFERROR(__xludf.DUMMYFUNCTION("IFERROR(VLOOKUP(E262&amp;F262,IMPORTRANGE(""https://docs.google.com/spreadsheets/d/1Uw7-A9f9R21vMXxHZFNpYNeKFtG8_yji4HS352LGlSQ/edit?pli=1#gid=0"",""1_ACUM!A4:S""),13,FALSE))"),"")</f>
        <v/>
      </c>
      <c r="AD239" s="43" t="str">
        <f ca="1">IFERROR(__xludf.DUMMYFUNCTION("IFERROR(VLOOKUP(E262&amp;F262,IMPORTRANGE(""https://docs.google.com/spreadsheets/d/1Uw7-A9f9R21vMXxHZFNpYNeKFtG8_yji4HS352LGlSQ/edit?pli=1#gid=0"",""1_ACUM!A4:S""),13,FALSE))"),"")</f>
        <v/>
      </c>
      <c r="AE239" s="43" t="str">
        <f ca="1">IFERROR(__xludf.DUMMYFUNCTION("IFERROR(VLOOKUP(E262&amp;F262,IMPORTRANGE(""https://docs.google.com/spreadsheets/d/1Uw7-A9f9R21vMXxHZFNpYNeKFtG8_yji4HS352LGlSQ/edit?pli=1#gid=0"",""1_ACUM!A4:S""),14,FALSE))"),"")</f>
        <v/>
      </c>
      <c r="AF239" s="43" t="str">
        <f ca="1">IFERROR(__xludf.DUMMYFUNCTION("IFERROR(VLOOKUP(E262&amp;F262,IMPORTRANGE(""https://docs.google.com/spreadsheets/d/1Uw7-A9f9R21vMXxHZFNpYNeKFtG8_yji4HS352LGlSQ/edit?pli=1#gid=0"",""1_ACUM!A4:S""),15,FALSE))"),"")</f>
        <v/>
      </c>
      <c r="AG239" s="43" t="str">
        <f ca="1">IFERROR(__xludf.DUMMYFUNCTION("IFERROR(VLOOKUP(E262&amp;F262,IMPORTRANGE(""https://docs.google.com/spreadsheets/d/1Uw7-A9f9R21vMXxHZFNpYNeKFtG8_yji4HS352LGlSQ/edit?pli=1#gid=0"",""1_ACUM!A4:S""),16,FALSE))"),"")</f>
        <v/>
      </c>
      <c r="AH239" s="43" t="str">
        <f ca="1">IFERROR(__xludf.DUMMYFUNCTION("IFERROR(VLOOKUP(E262&amp;F262,IMPORTRANGE(""https://docs.google.com/spreadsheets/d/1Uw7-A9f9R21vMXxHZFNpYNeKFtG8_yji4HS352LGlSQ/edit?pli=1#gid=0"",""1_ACUM!A4:S""),17,FALSE))"),"")</f>
        <v/>
      </c>
      <c r="AI239" s="44" t="str">
        <f ca="1">IFERROR(__xludf.DUMMYFUNCTION("IFERROR(VLOOKUP(E262&amp;F262,IMPORTRANGE(""https://docs.google.com/spreadsheets/d/1Uw7-A9f9R21vMXxHZFNpYNeKFtG8_yji4HS352LGlSQ/edit?pli=1#gid=0"",""1_ACUM!A4:S""),18,FALSE))"),"")</f>
        <v/>
      </c>
      <c r="AJ239" s="44" t="str">
        <f ca="1">IFERROR(__xludf.DUMMYFUNCTION("IFERROR(VLOOKUP(E262&amp;F262,IMPORTRANGE(""https://docs.google.com/spreadsheets/d/1Uw7-A9f9R21vMXxHZFNpYNeKFtG8_yji4HS352LGlSQ/edit?pli=1#gid=0"",""1_ACUM!A4:S""),19,FALSE))"),"")</f>
        <v/>
      </c>
      <c r="AK239" s="98" t="str">
        <f ca="1">IFERROR(__xludf.DUMMYFUNCTION("IFERROR(VLOOKUP(F262,IMPORTRANGE(""https://docs.google.com/spreadsheets/d/1Kvs4KS76FHFqLFIZfrDMff4kP08nblUkihrxltoGBjg/edit#gid=934712705"",""ESENCIAL!A6:BG""),5,FALSE))"),"")</f>
        <v/>
      </c>
      <c r="AL239" s="98" t="str">
        <f t="shared" si="17"/>
        <v/>
      </c>
      <c r="AM239" s="99" t="str">
        <f t="shared" si="18"/>
        <v/>
      </c>
      <c r="AN239" s="100" t="str">
        <f ca="1">IFERROR(__xludf.DUMMYFUNCTION("IFERROR(VLOOKUP(F262,IMPORTRANGE(""https://docs.google.com/spreadsheets/d/1Kvs4KS76FHFqLFIZfrDMff4kP08nblUkihrxltoGBjg/edit#gid=934712705"",""ESENCIAL!A6:BG""),2,FALSE))"),"")</f>
        <v/>
      </c>
      <c r="AO239" s="19" t="str">
        <f t="shared" si="20"/>
        <v/>
      </c>
      <c r="AP239" s="100"/>
      <c r="AQ239" s="100"/>
    </row>
    <row r="240" spans="1:43" ht="15">
      <c r="A240" s="101"/>
      <c r="B240" s="101"/>
      <c r="G240" s="5" t="str">
        <f ca="1">IFERROR(__xludf.DUMMYFUNCTION("IFERROR(VLOOKUP(F263,IMPORTRANGE(""https://docs.google.com/spreadsheets/d/1Kvs4KS76FHFqLFIZfrDMff4kP08nblUkihrxltoGBjg/edit#gid=934712705"",""ESENCIAL!A6:BG""),3,FALSE))"),"")</f>
        <v/>
      </c>
      <c r="H240" s="5" t="str">
        <f ca="1">IFERROR(__xludf.DUMMYFUNCTION("IFERROR(VLOOKUP(F263,IMPORTRANGE(""https://docs.google.com/spreadsheets/d/1Kvs4KS76FHFqLFIZfrDMff4kP08nblUkihrxltoGBjg/edit#gid=934712705"",""ESENCIAL!A6:BG""),8,FALSE))"),"")</f>
        <v/>
      </c>
      <c r="L240" s="287"/>
      <c r="Z240" s="41" t="str">
        <f t="shared" si="16"/>
        <v/>
      </c>
      <c r="AA240" s="5" t="str">
        <f ca="1">IFERROR(__xludf.DUMMYFUNCTION("IFERROR(VLOOKUP(E263&amp;F263,IMPORTRANGE(""https://docs.google.com/spreadsheets/d/1Uw7-A9f9R21vMXxHZFNpYNeKFtG8_yji4HS352LGlSQ/edit?pli=1#gid=0"",""1_ACUM!A4:S""),11,FALSE))"),"")</f>
        <v/>
      </c>
      <c r="AB240" s="42" t="str">
        <f ca="1">IFERROR(__xludf.DUMMYFUNCTION("IFERROR(VLOOKUP(F263,IMPORTRANGE(""https://docs.google.com/spreadsheets/d/1Kvs4KS76FHFqLFIZfrDMff4kP08nblUkihrxltoGBjg/edit#gid=934712705"",""ESENCIAL!A6:BG""),15,FALSE))"),"")</f>
        <v/>
      </c>
      <c r="AC240" s="110" t="str">
        <f ca="1">IFERROR(__xludf.DUMMYFUNCTION("IFERROR(VLOOKUP(E263&amp;F263,IMPORTRANGE(""https://docs.google.com/spreadsheets/d/1Uw7-A9f9R21vMXxHZFNpYNeKFtG8_yji4HS352LGlSQ/edit?pli=1#gid=0"",""1_ACUM!A4:S""),13,FALSE))"),"")</f>
        <v/>
      </c>
      <c r="AD240" s="43" t="str">
        <f ca="1">IFERROR(__xludf.DUMMYFUNCTION("IFERROR(VLOOKUP(E263&amp;F263,IMPORTRANGE(""https://docs.google.com/spreadsheets/d/1Uw7-A9f9R21vMXxHZFNpYNeKFtG8_yji4HS352LGlSQ/edit?pli=1#gid=0"",""1_ACUM!A4:S""),13,FALSE))"),"")</f>
        <v/>
      </c>
      <c r="AE240" s="43" t="str">
        <f ca="1">IFERROR(__xludf.DUMMYFUNCTION("IFERROR(VLOOKUP(E263&amp;F263,IMPORTRANGE(""https://docs.google.com/spreadsheets/d/1Uw7-A9f9R21vMXxHZFNpYNeKFtG8_yji4HS352LGlSQ/edit?pli=1#gid=0"",""1_ACUM!A4:S""),14,FALSE))"),"")</f>
        <v/>
      </c>
      <c r="AF240" s="43" t="str">
        <f ca="1">IFERROR(__xludf.DUMMYFUNCTION("IFERROR(VLOOKUP(E263&amp;F263,IMPORTRANGE(""https://docs.google.com/spreadsheets/d/1Uw7-A9f9R21vMXxHZFNpYNeKFtG8_yji4HS352LGlSQ/edit?pli=1#gid=0"",""1_ACUM!A4:S""),15,FALSE))"),"")</f>
        <v/>
      </c>
      <c r="AG240" s="43" t="str">
        <f ca="1">IFERROR(__xludf.DUMMYFUNCTION("IFERROR(VLOOKUP(E263&amp;F263,IMPORTRANGE(""https://docs.google.com/spreadsheets/d/1Uw7-A9f9R21vMXxHZFNpYNeKFtG8_yji4HS352LGlSQ/edit?pli=1#gid=0"",""1_ACUM!A4:S""),16,FALSE))"),"")</f>
        <v/>
      </c>
      <c r="AH240" s="43" t="str">
        <f ca="1">IFERROR(__xludf.DUMMYFUNCTION("IFERROR(VLOOKUP(E263&amp;F263,IMPORTRANGE(""https://docs.google.com/spreadsheets/d/1Uw7-A9f9R21vMXxHZFNpYNeKFtG8_yji4HS352LGlSQ/edit?pli=1#gid=0"",""1_ACUM!A4:S""),17,FALSE))"),"")</f>
        <v/>
      </c>
      <c r="AI240" s="44" t="str">
        <f ca="1">IFERROR(__xludf.DUMMYFUNCTION("IFERROR(VLOOKUP(E263&amp;F263,IMPORTRANGE(""https://docs.google.com/spreadsheets/d/1Uw7-A9f9R21vMXxHZFNpYNeKFtG8_yji4HS352LGlSQ/edit?pli=1#gid=0"",""1_ACUM!A4:S""),18,FALSE))"),"")</f>
        <v/>
      </c>
      <c r="AJ240" s="44" t="str">
        <f ca="1">IFERROR(__xludf.DUMMYFUNCTION("IFERROR(VLOOKUP(E263&amp;F263,IMPORTRANGE(""https://docs.google.com/spreadsheets/d/1Uw7-A9f9R21vMXxHZFNpYNeKFtG8_yji4HS352LGlSQ/edit?pli=1#gid=0"",""1_ACUM!A4:S""),19,FALSE))"),"")</f>
        <v/>
      </c>
      <c r="AK240" s="98" t="str">
        <f ca="1">IFERROR(__xludf.DUMMYFUNCTION("IFERROR(VLOOKUP(F263,IMPORTRANGE(""https://docs.google.com/spreadsheets/d/1Kvs4KS76FHFqLFIZfrDMff4kP08nblUkihrxltoGBjg/edit#gid=934712705"",""ESENCIAL!A6:BG""),5,FALSE))"),"")</f>
        <v/>
      </c>
      <c r="AL240" s="98" t="str">
        <f t="shared" si="17"/>
        <v/>
      </c>
      <c r="AM240" s="99" t="str">
        <f t="shared" si="18"/>
        <v/>
      </c>
      <c r="AN240" s="100" t="str">
        <f ca="1">IFERROR(__xludf.DUMMYFUNCTION("IFERROR(VLOOKUP(F263,IMPORTRANGE(""https://docs.google.com/spreadsheets/d/1Kvs4KS76FHFqLFIZfrDMff4kP08nblUkihrxltoGBjg/edit#gid=934712705"",""ESENCIAL!A6:BG""),2,FALSE))"),"")</f>
        <v/>
      </c>
      <c r="AO240" s="19" t="str">
        <f t="shared" si="20"/>
        <v/>
      </c>
      <c r="AP240" s="100"/>
      <c r="AQ240" s="100"/>
    </row>
    <row r="241" spans="1:43" ht="15">
      <c r="A241" s="101"/>
      <c r="B241" s="101"/>
      <c r="G241" s="5" t="str">
        <f ca="1">IFERROR(__xludf.DUMMYFUNCTION("IFERROR(VLOOKUP(F264,IMPORTRANGE(""https://docs.google.com/spreadsheets/d/1Kvs4KS76FHFqLFIZfrDMff4kP08nblUkihrxltoGBjg/edit#gid=934712705"",""ESENCIAL!A6:BG""),3,FALSE))"),"")</f>
        <v/>
      </c>
      <c r="H241" s="5" t="str">
        <f ca="1">IFERROR(__xludf.DUMMYFUNCTION("IFERROR(VLOOKUP(F264,IMPORTRANGE(""https://docs.google.com/spreadsheets/d/1Kvs4KS76FHFqLFIZfrDMff4kP08nblUkihrxltoGBjg/edit#gid=934712705"",""ESENCIAL!A6:BG""),8,FALSE))"),"")</f>
        <v/>
      </c>
      <c r="L241" s="287"/>
      <c r="Z241" s="41" t="str">
        <f t="shared" si="16"/>
        <v/>
      </c>
      <c r="AA241" s="5" t="str">
        <f ca="1">IFERROR(__xludf.DUMMYFUNCTION("IFERROR(VLOOKUP(E264&amp;F264,IMPORTRANGE(""https://docs.google.com/spreadsheets/d/1Uw7-A9f9R21vMXxHZFNpYNeKFtG8_yji4HS352LGlSQ/edit?pli=1#gid=0"",""1_ACUM!A4:S""),11,FALSE))"),"")</f>
        <v/>
      </c>
      <c r="AB241" s="42" t="str">
        <f ca="1">IFERROR(__xludf.DUMMYFUNCTION("IFERROR(VLOOKUP(F264,IMPORTRANGE(""https://docs.google.com/spreadsheets/d/1Kvs4KS76FHFqLFIZfrDMff4kP08nblUkihrxltoGBjg/edit#gid=934712705"",""ESENCIAL!A6:BG""),15,FALSE))"),"")</f>
        <v/>
      </c>
      <c r="AC241" s="110" t="str">
        <f ca="1">IFERROR(__xludf.DUMMYFUNCTION("IFERROR(VLOOKUP(E264&amp;F264,IMPORTRANGE(""https://docs.google.com/spreadsheets/d/1Uw7-A9f9R21vMXxHZFNpYNeKFtG8_yji4HS352LGlSQ/edit?pli=1#gid=0"",""1_ACUM!A4:S""),13,FALSE))"),"")</f>
        <v/>
      </c>
      <c r="AD241" s="43" t="str">
        <f ca="1">IFERROR(__xludf.DUMMYFUNCTION("IFERROR(VLOOKUP(E264&amp;F264,IMPORTRANGE(""https://docs.google.com/spreadsheets/d/1Uw7-A9f9R21vMXxHZFNpYNeKFtG8_yji4HS352LGlSQ/edit?pli=1#gid=0"",""1_ACUM!A4:S""),13,FALSE))"),"")</f>
        <v/>
      </c>
      <c r="AE241" s="43" t="str">
        <f ca="1">IFERROR(__xludf.DUMMYFUNCTION("IFERROR(VLOOKUP(E264&amp;F264,IMPORTRANGE(""https://docs.google.com/spreadsheets/d/1Uw7-A9f9R21vMXxHZFNpYNeKFtG8_yji4HS352LGlSQ/edit?pli=1#gid=0"",""1_ACUM!A4:S""),14,FALSE))"),"")</f>
        <v/>
      </c>
      <c r="AF241" s="43" t="str">
        <f ca="1">IFERROR(__xludf.DUMMYFUNCTION("IFERROR(VLOOKUP(E264&amp;F264,IMPORTRANGE(""https://docs.google.com/spreadsheets/d/1Uw7-A9f9R21vMXxHZFNpYNeKFtG8_yji4HS352LGlSQ/edit?pli=1#gid=0"",""1_ACUM!A4:S""),15,FALSE))"),"")</f>
        <v/>
      </c>
      <c r="AG241" s="43" t="str">
        <f ca="1">IFERROR(__xludf.DUMMYFUNCTION("IFERROR(VLOOKUP(E264&amp;F264,IMPORTRANGE(""https://docs.google.com/spreadsheets/d/1Uw7-A9f9R21vMXxHZFNpYNeKFtG8_yji4HS352LGlSQ/edit?pli=1#gid=0"",""1_ACUM!A4:S""),16,FALSE))"),"")</f>
        <v/>
      </c>
      <c r="AH241" s="43" t="str">
        <f ca="1">IFERROR(__xludf.DUMMYFUNCTION("IFERROR(VLOOKUP(E264&amp;F264,IMPORTRANGE(""https://docs.google.com/spreadsheets/d/1Uw7-A9f9R21vMXxHZFNpYNeKFtG8_yji4HS352LGlSQ/edit?pli=1#gid=0"",""1_ACUM!A4:S""),17,FALSE))"),"")</f>
        <v/>
      </c>
      <c r="AI241" s="44" t="str">
        <f ca="1">IFERROR(__xludf.DUMMYFUNCTION("IFERROR(VLOOKUP(E264&amp;F264,IMPORTRANGE(""https://docs.google.com/spreadsheets/d/1Uw7-A9f9R21vMXxHZFNpYNeKFtG8_yji4HS352LGlSQ/edit?pli=1#gid=0"",""1_ACUM!A4:S""),18,FALSE))"),"")</f>
        <v/>
      </c>
      <c r="AJ241" s="44" t="str">
        <f ca="1">IFERROR(__xludf.DUMMYFUNCTION("IFERROR(VLOOKUP(E264&amp;F264,IMPORTRANGE(""https://docs.google.com/spreadsheets/d/1Uw7-A9f9R21vMXxHZFNpYNeKFtG8_yji4HS352LGlSQ/edit?pli=1#gid=0"",""1_ACUM!A4:S""),19,FALSE))"),"")</f>
        <v/>
      </c>
      <c r="AK241" s="98" t="str">
        <f ca="1">IFERROR(__xludf.DUMMYFUNCTION("IFERROR(VLOOKUP(F264,IMPORTRANGE(""https://docs.google.com/spreadsheets/d/1Kvs4KS76FHFqLFIZfrDMff4kP08nblUkihrxltoGBjg/edit#gid=934712705"",""ESENCIAL!A6:BG""),5,FALSE))"),"")</f>
        <v/>
      </c>
      <c r="AL241" s="98" t="str">
        <f t="shared" si="17"/>
        <v/>
      </c>
      <c r="AM241" s="99" t="str">
        <f t="shared" si="18"/>
        <v/>
      </c>
      <c r="AN241" s="100" t="str">
        <f ca="1">IFERROR(__xludf.DUMMYFUNCTION("IFERROR(VLOOKUP(F264,IMPORTRANGE(""https://docs.google.com/spreadsheets/d/1Kvs4KS76FHFqLFIZfrDMff4kP08nblUkihrxltoGBjg/edit#gid=934712705"",""ESENCIAL!A6:BG""),2,FALSE))"),"")</f>
        <v/>
      </c>
      <c r="AO241" s="19" t="str">
        <f t="shared" si="20"/>
        <v/>
      </c>
      <c r="AP241" s="100"/>
      <c r="AQ241" s="100"/>
    </row>
    <row r="242" spans="1:43" ht="15">
      <c r="A242" s="101"/>
      <c r="B242" s="101"/>
      <c r="G242" s="5" t="str">
        <f ca="1">IFERROR(__xludf.DUMMYFUNCTION("IFERROR(VLOOKUP(F265,IMPORTRANGE(""https://docs.google.com/spreadsheets/d/1Kvs4KS76FHFqLFIZfrDMff4kP08nblUkihrxltoGBjg/edit#gid=934712705"",""ESENCIAL!A6:BG""),3,FALSE))"),"")</f>
        <v/>
      </c>
      <c r="H242" s="5" t="str">
        <f ca="1">IFERROR(__xludf.DUMMYFUNCTION("IFERROR(VLOOKUP(F265,IMPORTRANGE(""https://docs.google.com/spreadsheets/d/1Kvs4KS76FHFqLFIZfrDMff4kP08nblUkihrxltoGBjg/edit#gid=934712705"",""ESENCIAL!A6:BG""),8,FALSE))"),"")</f>
        <v/>
      </c>
      <c r="L242" s="287"/>
      <c r="Z242" s="41" t="str">
        <f t="shared" si="16"/>
        <v/>
      </c>
      <c r="AA242" s="5" t="str">
        <f ca="1">IFERROR(__xludf.DUMMYFUNCTION("IFERROR(VLOOKUP(E265&amp;F265,IMPORTRANGE(""https://docs.google.com/spreadsheets/d/1Uw7-A9f9R21vMXxHZFNpYNeKFtG8_yji4HS352LGlSQ/edit?pli=1#gid=0"",""1_ACUM!A4:S""),11,FALSE))"),"")</f>
        <v/>
      </c>
      <c r="AB242" s="42" t="str">
        <f ca="1">IFERROR(__xludf.DUMMYFUNCTION("IFERROR(VLOOKUP(F265,IMPORTRANGE(""https://docs.google.com/spreadsheets/d/1Kvs4KS76FHFqLFIZfrDMff4kP08nblUkihrxltoGBjg/edit#gid=934712705"",""ESENCIAL!A6:BG""),15,FALSE))"),"")</f>
        <v/>
      </c>
      <c r="AC242" s="110" t="str">
        <f ca="1">IFERROR(__xludf.DUMMYFUNCTION("IFERROR(VLOOKUP(E265&amp;F265,IMPORTRANGE(""https://docs.google.com/spreadsheets/d/1Uw7-A9f9R21vMXxHZFNpYNeKFtG8_yji4HS352LGlSQ/edit?pli=1#gid=0"",""1_ACUM!A4:S""),13,FALSE))"),"")</f>
        <v/>
      </c>
      <c r="AD242" s="43" t="str">
        <f ca="1">IFERROR(__xludf.DUMMYFUNCTION("IFERROR(VLOOKUP(E265&amp;F265,IMPORTRANGE(""https://docs.google.com/spreadsheets/d/1Uw7-A9f9R21vMXxHZFNpYNeKFtG8_yji4HS352LGlSQ/edit?pli=1#gid=0"",""1_ACUM!A4:S""),13,FALSE))"),"")</f>
        <v/>
      </c>
      <c r="AE242" s="43" t="str">
        <f ca="1">IFERROR(__xludf.DUMMYFUNCTION("IFERROR(VLOOKUP(E265&amp;F265,IMPORTRANGE(""https://docs.google.com/spreadsheets/d/1Uw7-A9f9R21vMXxHZFNpYNeKFtG8_yji4HS352LGlSQ/edit?pli=1#gid=0"",""1_ACUM!A4:S""),14,FALSE))"),"")</f>
        <v/>
      </c>
      <c r="AF242" s="43" t="str">
        <f ca="1">IFERROR(__xludf.DUMMYFUNCTION("IFERROR(VLOOKUP(E265&amp;F265,IMPORTRANGE(""https://docs.google.com/spreadsheets/d/1Uw7-A9f9R21vMXxHZFNpYNeKFtG8_yji4HS352LGlSQ/edit?pli=1#gid=0"",""1_ACUM!A4:S""),15,FALSE))"),"")</f>
        <v/>
      </c>
      <c r="AG242" s="43" t="str">
        <f ca="1">IFERROR(__xludf.DUMMYFUNCTION("IFERROR(VLOOKUP(E265&amp;F265,IMPORTRANGE(""https://docs.google.com/spreadsheets/d/1Uw7-A9f9R21vMXxHZFNpYNeKFtG8_yji4HS352LGlSQ/edit?pli=1#gid=0"",""1_ACUM!A4:S""),16,FALSE))"),"")</f>
        <v/>
      </c>
      <c r="AH242" s="43" t="str">
        <f ca="1">IFERROR(__xludf.DUMMYFUNCTION("IFERROR(VLOOKUP(E265&amp;F265,IMPORTRANGE(""https://docs.google.com/spreadsheets/d/1Uw7-A9f9R21vMXxHZFNpYNeKFtG8_yji4HS352LGlSQ/edit?pli=1#gid=0"",""1_ACUM!A4:S""),17,FALSE))"),"")</f>
        <v/>
      </c>
      <c r="AI242" s="44" t="str">
        <f ca="1">IFERROR(__xludf.DUMMYFUNCTION("IFERROR(VLOOKUP(E265&amp;F265,IMPORTRANGE(""https://docs.google.com/spreadsheets/d/1Uw7-A9f9R21vMXxHZFNpYNeKFtG8_yji4HS352LGlSQ/edit?pli=1#gid=0"",""1_ACUM!A4:S""),18,FALSE))"),"")</f>
        <v/>
      </c>
      <c r="AJ242" s="44" t="str">
        <f ca="1">IFERROR(__xludf.DUMMYFUNCTION("IFERROR(VLOOKUP(E265&amp;F265,IMPORTRANGE(""https://docs.google.com/spreadsheets/d/1Uw7-A9f9R21vMXxHZFNpYNeKFtG8_yji4HS352LGlSQ/edit?pli=1#gid=0"",""1_ACUM!A4:S""),19,FALSE))"),"")</f>
        <v/>
      </c>
      <c r="AK242" s="98" t="str">
        <f ca="1">IFERROR(__xludf.DUMMYFUNCTION("IFERROR(VLOOKUP(F265,IMPORTRANGE(""https://docs.google.com/spreadsheets/d/1Kvs4KS76FHFqLFIZfrDMff4kP08nblUkihrxltoGBjg/edit#gid=934712705"",""ESENCIAL!A6:BG""),5,FALSE))"),"")</f>
        <v/>
      </c>
      <c r="AL242" s="98" t="str">
        <f t="shared" si="17"/>
        <v/>
      </c>
      <c r="AM242" s="99" t="str">
        <f t="shared" si="18"/>
        <v/>
      </c>
      <c r="AN242" s="100" t="str">
        <f ca="1">IFERROR(__xludf.DUMMYFUNCTION("IFERROR(VLOOKUP(F265,IMPORTRANGE(""https://docs.google.com/spreadsheets/d/1Kvs4KS76FHFqLFIZfrDMff4kP08nblUkihrxltoGBjg/edit#gid=934712705"",""ESENCIAL!A6:BG""),2,FALSE))"),"")</f>
        <v/>
      </c>
      <c r="AO242" s="19" t="str">
        <f t="shared" si="20"/>
        <v/>
      </c>
      <c r="AP242" s="100"/>
      <c r="AQ242" s="100"/>
    </row>
    <row r="243" spans="1:43" ht="15">
      <c r="A243" s="101"/>
      <c r="B243" s="101"/>
      <c r="G243" s="5" t="str">
        <f ca="1">IFERROR(__xludf.DUMMYFUNCTION("IFERROR(VLOOKUP(F266,IMPORTRANGE(""https://docs.google.com/spreadsheets/d/1Kvs4KS76FHFqLFIZfrDMff4kP08nblUkihrxltoGBjg/edit#gid=934712705"",""ESENCIAL!A6:BG""),3,FALSE))"),"")</f>
        <v/>
      </c>
      <c r="H243" s="5" t="str">
        <f ca="1">IFERROR(__xludf.DUMMYFUNCTION("IFERROR(VLOOKUP(F266,IMPORTRANGE(""https://docs.google.com/spreadsheets/d/1Kvs4KS76FHFqLFIZfrDMff4kP08nblUkihrxltoGBjg/edit#gid=934712705"",""ESENCIAL!A6:BG""),8,FALSE))"),"")</f>
        <v/>
      </c>
      <c r="L243" s="287"/>
      <c r="Z243" s="41" t="str">
        <f t="shared" si="16"/>
        <v/>
      </c>
      <c r="AA243" s="5" t="str">
        <f ca="1">IFERROR(__xludf.DUMMYFUNCTION("IFERROR(VLOOKUP(E266&amp;F266,IMPORTRANGE(""https://docs.google.com/spreadsheets/d/1Uw7-A9f9R21vMXxHZFNpYNeKFtG8_yji4HS352LGlSQ/edit?pli=1#gid=0"",""1_ACUM!A4:S""),11,FALSE))"),"")</f>
        <v/>
      </c>
      <c r="AB243" s="42" t="str">
        <f ca="1">IFERROR(__xludf.DUMMYFUNCTION("IFERROR(VLOOKUP(F266,IMPORTRANGE(""https://docs.google.com/spreadsheets/d/1Kvs4KS76FHFqLFIZfrDMff4kP08nblUkihrxltoGBjg/edit#gid=934712705"",""ESENCIAL!A6:BG""),15,FALSE))"),"")</f>
        <v/>
      </c>
      <c r="AC243" s="110" t="str">
        <f ca="1">IFERROR(__xludf.DUMMYFUNCTION("IFERROR(VLOOKUP(E266&amp;F266,IMPORTRANGE(""https://docs.google.com/spreadsheets/d/1Uw7-A9f9R21vMXxHZFNpYNeKFtG8_yji4HS352LGlSQ/edit?pli=1#gid=0"",""1_ACUM!A4:S""),13,FALSE))"),"")</f>
        <v/>
      </c>
      <c r="AD243" s="43" t="str">
        <f ca="1">IFERROR(__xludf.DUMMYFUNCTION("IFERROR(VLOOKUP(E266&amp;F266,IMPORTRANGE(""https://docs.google.com/spreadsheets/d/1Uw7-A9f9R21vMXxHZFNpYNeKFtG8_yji4HS352LGlSQ/edit?pli=1#gid=0"",""1_ACUM!A4:S""),13,FALSE))"),"")</f>
        <v/>
      </c>
      <c r="AE243" s="43" t="str">
        <f ca="1">IFERROR(__xludf.DUMMYFUNCTION("IFERROR(VLOOKUP(E266&amp;F266,IMPORTRANGE(""https://docs.google.com/spreadsheets/d/1Uw7-A9f9R21vMXxHZFNpYNeKFtG8_yji4HS352LGlSQ/edit?pli=1#gid=0"",""1_ACUM!A4:S""),14,FALSE))"),"")</f>
        <v/>
      </c>
      <c r="AF243" s="43" t="str">
        <f ca="1">IFERROR(__xludf.DUMMYFUNCTION("IFERROR(VLOOKUP(E266&amp;F266,IMPORTRANGE(""https://docs.google.com/spreadsheets/d/1Uw7-A9f9R21vMXxHZFNpYNeKFtG8_yji4HS352LGlSQ/edit?pli=1#gid=0"",""1_ACUM!A4:S""),15,FALSE))"),"")</f>
        <v/>
      </c>
      <c r="AG243" s="43" t="str">
        <f ca="1">IFERROR(__xludf.DUMMYFUNCTION("IFERROR(VLOOKUP(E266&amp;F266,IMPORTRANGE(""https://docs.google.com/spreadsheets/d/1Uw7-A9f9R21vMXxHZFNpYNeKFtG8_yji4HS352LGlSQ/edit?pli=1#gid=0"",""1_ACUM!A4:S""),16,FALSE))"),"")</f>
        <v/>
      </c>
      <c r="AH243" s="43" t="str">
        <f ca="1">IFERROR(__xludf.DUMMYFUNCTION("IFERROR(VLOOKUP(E266&amp;F266,IMPORTRANGE(""https://docs.google.com/spreadsheets/d/1Uw7-A9f9R21vMXxHZFNpYNeKFtG8_yji4HS352LGlSQ/edit?pli=1#gid=0"",""1_ACUM!A4:S""),17,FALSE))"),"")</f>
        <v/>
      </c>
      <c r="AI243" s="44" t="str">
        <f ca="1">IFERROR(__xludf.DUMMYFUNCTION("IFERROR(VLOOKUP(E266&amp;F266,IMPORTRANGE(""https://docs.google.com/spreadsheets/d/1Uw7-A9f9R21vMXxHZFNpYNeKFtG8_yji4HS352LGlSQ/edit?pli=1#gid=0"",""1_ACUM!A4:S""),18,FALSE))"),"")</f>
        <v/>
      </c>
      <c r="AJ243" s="44" t="str">
        <f ca="1">IFERROR(__xludf.DUMMYFUNCTION("IFERROR(VLOOKUP(E266&amp;F266,IMPORTRANGE(""https://docs.google.com/spreadsheets/d/1Uw7-A9f9R21vMXxHZFNpYNeKFtG8_yji4HS352LGlSQ/edit?pli=1#gid=0"",""1_ACUM!A4:S""),19,FALSE))"),"")</f>
        <v/>
      </c>
      <c r="AK243" s="98" t="str">
        <f ca="1">IFERROR(__xludf.DUMMYFUNCTION("IFERROR(VLOOKUP(F266,IMPORTRANGE(""https://docs.google.com/spreadsheets/d/1Kvs4KS76FHFqLFIZfrDMff4kP08nblUkihrxltoGBjg/edit#gid=934712705"",""ESENCIAL!A6:BG""),5,FALSE))"),"")</f>
        <v/>
      </c>
      <c r="AL243" s="98" t="str">
        <f t="shared" si="17"/>
        <v/>
      </c>
      <c r="AM243" s="99" t="str">
        <f t="shared" si="18"/>
        <v/>
      </c>
      <c r="AN243" s="100" t="str">
        <f ca="1">IFERROR(__xludf.DUMMYFUNCTION("IFERROR(VLOOKUP(F266,IMPORTRANGE(""https://docs.google.com/spreadsheets/d/1Kvs4KS76FHFqLFIZfrDMff4kP08nblUkihrxltoGBjg/edit#gid=934712705"",""ESENCIAL!A6:BG""),2,FALSE))"),"")</f>
        <v/>
      </c>
      <c r="AO243" s="19" t="str">
        <f t="shared" si="20"/>
        <v/>
      </c>
      <c r="AP243" s="100"/>
      <c r="AQ243" s="100"/>
    </row>
    <row r="244" spans="1:43" ht="15">
      <c r="A244" s="101"/>
      <c r="B244" s="101"/>
      <c r="G244" s="5" t="str">
        <f ca="1">IFERROR(__xludf.DUMMYFUNCTION("IFERROR(VLOOKUP(F267,IMPORTRANGE(""https://docs.google.com/spreadsheets/d/1Kvs4KS76FHFqLFIZfrDMff4kP08nblUkihrxltoGBjg/edit#gid=934712705"",""ESENCIAL!A6:BG""),3,FALSE))"),"")</f>
        <v/>
      </c>
      <c r="H244" s="5" t="str">
        <f ca="1">IFERROR(__xludf.DUMMYFUNCTION("IFERROR(VLOOKUP(F267,IMPORTRANGE(""https://docs.google.com/spreadsheets/d/1Kvs4KS76FHFqLFIZfrDMff4kP08nblUkihrxltoGBjg/edit#gid=934712705"",""ESENCIAL!A6:BG""),8,FALSE))"),"")</f>
        <v/>
      </c>
      <c r="L244" s="287"/>
      <c r="Z244" s="41" t="str">
        <f t="shared" si="16"/>
        <v/>
      </c>
      <c r="AA244" s="5" t="str">
        <f ca="1">IFERROR(__xludf.DUMMYFUNCTION("IFERROR(VLOOKUP(E267&amp;F267,IMPORTRANGE(""https://docs.google.com/spreadsheets/d/1Uw7-A9f9R21vMXxHZFNpYNeKFtG8_yji4HS352LGlSQ/edit?pli=1#gid=0"",""1_ACUM!A4:S""),11,FALSE))"),"")</f>
        <v/>
      </c>
      <c r="AB244" s="42" t="str">
        <f ca="1">IFERROR(__xludf.DUMMYFUNCTION("IFERROR(VLOOKUP(F267,IMPORTRANGE(""https://docs.google.com/spreadsheets/d/1Kvs4KS76FHFqLFIZfrDMff4kP08nblUkihrxltoGBjg/edit#gid=934712705"",""ESENCIAL!A6:BG""),15,FALSE))"),"")</f>
        <v/>
      </c>
      <c r="AC244" s="110" t="str">
        <f ca="1">IFERROR(__xludf.DUMMYFUNCTION("IFERROR(VLOOKUP(E267&amp;F267,IMPORTRANGE(""https://docs.google.com/spreadsheets/d/1Uw7-A9f9R21vMXxHZFNpYNeKFtG8_yji4HS352LGlSQ/edit?pli=1#gid=0"",""1_ACUM!A4:S""),13,FALSE))"),"")</f>
        <v/>
      </c>
      <c r="AD244" s="43" t="str">
        <f ca="1">IFERROR(__xludf.DUMMYFUNCTION("IFERROR(VLOOKUP(E267&amp;F267,IMPORTRANGE(""https://docs.google.com/spreadsheets/d/1Uw7-A9f9R21vMXxHZFNpYNeKFtG8_yji4HS352LGlSQ/edit?pli=1#gid=0"",""1_ACUM!A4:S""),13,FALSE))"),"")</f>
        <v/>
      </c>
      <c r="AE244" s="43" t="str">
        <f ca="1">IFERROR(__xludf.DUMMYFUNCTION("IFERROR(VLOOKUP(E267&amp;F267,IMPORTRANGE(""https://docs.google.com/spreadsheets/d/1Uw7-A9f9R21vMXxHZFNpYNeKFtG8_yji4HS352LGlSQ/edit?pli=1#gid=0"",""1_ACUM!A4:S""),14,FALSE))"),"")</f>
        <v/>
      </c>
      <c r="AF244" s="43" t="str">
        <f ca="1">IFERROR(__xludf.DUMMYFUNCTION("IFERROR(VLOOKUP(E267&amp;F267,IMPORTRANGE(""https://docs.google.com/spreadsheets/d/1Uw7-A9f9R21vMXxHZFNpYNeKFtG8_yji4HS352LGlSQ/edit?pli=1#gid=0"",""1_ACUM!A4:S""),15,FALSE))"),"")</f>
        <v/>
      </c>
      <c r="AG244" s="43" t="str">
        <f ca="1">IFERROR(__xludf.DUMMYFUNCTION("IFERROR(VLOOKUP(E267&amp;F267,IMPORTRANGE(""https://docs.google.com/spreadsheets/d/1Uw7-A9f9R21vMXxHZFNpYNeKFtG8_yji4HS352LGlSQ/edit?pli=1#gid=0"",""1_ACUM!A4:S""),16,FALSE))"),"")</f>
        <v/>
      </c>
      <c r="AH244" s="43" t="str">
        <f ca="1">IFERROR(__xludf.DUMMYFUNCTION("IFERROR(VLOOKUP(E267&amp;F267,IMPORTRANGE(""https://docs.google.com/spreadsheets/d/1Uw7-A9f9R21vMXxHZFNpYNeKFtG8_yji4HS352LGlSQ/edit?pli=1#gid=0"",""1_ACUM!A4:S""),17,FALSE))"),"")</f>
        <v/>
      </c>
      <c r="AI244" s="44" t="str">
        <f ca="1">IFERROR(__xludf.DUMMYFUNCTION("IFERROR(VLOOKUP(E267&amp;F267,IMPORTRANGE(""https://docs.google.com/spreadsheets/d/1Uw7-A9f9R21vMXxHZFNpYNeKFtG8_yji4HS352LGlSQ/edit?pli=1#gid=0"",""1_ACUM!A4:S""),18,FALSE))"),"")</f>
        <v/>
      </c>
      <c r="AJ244" s="44" t="str">
        <f ca="1">IFERROR(__xludf.DUMMYFUNCTION("IFERROR(VLOOKUP(E267&amp;F267,IMPORTRANGE(""https://docs.google.com/spreadsheets/d/1Uw7-A9f9R21vMXxHZFNpYNeKFtG8_yji4HS352LGlSQ/edit?pli=1#gid=0"",""1_ACUM!A4:S""),19,FALSE))"),"")</f>
        <v/>
      </c>
      <c r="AK244" s="98" t="str">
        <f ca="1">IFERROR(__xludf.DUMMYFUNCTION("IFERROR(VLOOKUP(F267,IMPORTRANGE(""https://docs.google.com/spreadsheets/d/1Kvs4KS76FHFqLFIZfrDMff4kP08nblUkihrxltoGBjg/edit#gid=934712705"",""ESENCIAL!A6:BG""),5,FALSE))"),"")</f>
        <v/>
      </c>
      <c r="AL244" s="98" t="str">
        <f t="shared" si="17"/>
        <v/>
      </c>
      <c r="AM244" s="99" t="str">
        <f t="shared" si="18"/>
        <v/>
      </c>
      <c r="AN244" s="100" t="str">
        <f ca="1">IFERROR(__xludf.DUMMYFUNCTION("IFERROR(VLOOKUP(F267,IMPORTRANGE(""https://docs.google.com/spreadsheets/d/1Kvs4KS76FHFqLFIZfrDMff4kP08nblUkihrxltoGBjg/edit#gid=934712705"",""ESENCIAL!A6:BG""),2,FALSE))"),"")</f>
        <v/>
      </c>
      <c r="AO244" s="19" t="str">
        <f t="shared" si="20"/>
        <v/>
      </c>
      <c r="AP244" s="100"/>
      <c r="AQ244" s="100"/>
    </row>
    <row r="245" spans="1:43" ht="15">
      <c r="A245" s="101"/>
      <c r="B245" s="101"/>
      <c r="G245" s="5" t="str">
        <f ca="1">IFERROR(__xludf.DUMMYFUNCTION("IFERROR(VLOOKUP(F268,IMPORTRANGE(""https://docs.google.com/spreadsheets/d/1Kvs4KS76FHFqLFIZfrDMff4kP08nblUkihrxltoGBjg/edit#gid=934712705"",""ESENCIAL!A6:BG""),3,FALSE))"),"")</f>
        <v/>
      </c>
      <c r="H245" s="5" t="str">
        <f ca="1">IFERROR(__xludf.DUMMYFUNCTION("IFERROR(VLOOKUP(F268,IMPORTRANGE(""https://docs.google.com/spreadsheets/d/1Kvs4KS76FHFqLFIZfrDMff4kP08nblUkihrxltoGBjg/edit#gid=934712705"",""ESENCIAL!A6:BG""),8,FALSE))"),"")</f>
        <v/>
      </c>
      <c r="L245" s="287"/>
      <c r="Z245" s="41" t="str">
        <f t="shared" si="16"/>
        <v/>
      </c>
      <c r="AA245" s="5" t="str">
        <f ca="1">IFERROR(__xludf.DUMMYFUNCTION("IFERROR(VLOOKUP(E268&amp;F268,IMPORTRANGE(""https://docs.google.com/spreadsheets/d/1Uw7-A9f9R21vMXxHZFNpYNeKFtG8_yji4HS352LGlSQ/edit?pli=1#gid=0"",""1_ACUM!A4:S""),11,FALSE))"),"")</f>
        <v/>
      </c>
      <c r="AB245" s="42" t="str">
        <f ca="1">IFERROR(__xludf.DUMMYFUNCTION("IFERROR(VLOOKUP(F268,IMPORTRANGE(""https://docs.google.com/spreadsheets/d/1Kvs4KS76FHFqLFIZfrDMff4kP08nblUkihrxltoGBjg/edit#gid=934712705"",""ESENCIAL!A6:BG""),15,FALSE))"),"")</f>
        <v/>
      </c>
      <c r="AC245" s="110" t="str">
        <f ca="1">IFERROR(__xludf.DUMMYFUNCTION("IFERROR(VLOOKUP(E268&amp;F268,IMPORTRANGE(""https://docs.google.com/spreadsheets/d/1Uw7-A9f9R21vMXxHZFNpYNeKFtG8_yji4HS352LGlSQ/edit?pli=1#gid=0"",""1_ACUM!A4:S""),13,FALSE))"),"")</f>
        <v/>
      </c>
      <c r="AD245" s="43" t="str">
        <f ca="1">IFERROR(__xludf.DUMMYFUNCTION("IFERROR(VLOOKUP(E268&amp;F268,IMPORTRANGE(""https://docs.google.com/spreadsheets/d/1Uw7-A9f9R21vMXxHZFNpYNeKFtG8_yji4HS352LGlSQ/edit?pli=1#gid=0"",""1_ACUM!A4:S""),13,FALSE))"),"")</f>
        <v/>
      </c>
      <c r="AE245" s="43" t="str">
        <f ca="1">IFERROR(__xludf.DUMMYFUNCTION("IFERROR(VLOOKUP(E268&amp;F268,IMPORTRANGE(""https://docs.google.com/spreadsheets/d/1Uw7-A9f9R21vMXxHZFNpYNeKFtG8_yji4HS352LGlSQ/edit?pli=1#gid=0"",""1_ACUM!A4:S""),14,FALSE))"),"")</f>
        <v/>
      </c>
      <c r="AF245" s="43" t="str">
        <f ca="1">IFERROR(__xludf.DUMMYFUNCTION("IFERROR(VLOOKUP(E268&amp;F268,IMPORTRANGE(""https://docs.google.com/spreadsheets/d/1Uw7-A9f9R21vMXxHZFNpYNeKFtG8_yji4HS352LGlSQ/edit?pli=1#gid=0"",""1_ACUM!A4:S""),15,FALSE))"),"")</f>
        <v/>
      </c>
      <c r="AG245" s="43" t="str">
        <f ca="1">IFERROR(__xludf.DUMMYFUNCTION("IFERROR(VLOOKUP(E268&amp;F268,IMPORTRANGE(""https://docs.google.com/spreadsheets/d/1Uw7-A9f9R21vMXxHZFNpYNeKFtG8_yji4HS352LGlSQ/edit?pli=1#gid=0"",""1_ACUM!A4:S""),16,FALSE))"),"")</f>
        <v/>
      </c>
      <c r="AH245" s="43" t="str">
        <f ca="1">IFERROR(__xludf.DUMMYFUNCTION("IFERROR(VLOOKUP(E268&amp;F268,IMPORTRANGE(""https://docs.google.com/spreadsheets/d/1Uw7-A9f9R21vMXxHZFNpYNeKFtG8_yji4HS352LGlSQ/edit?pli=1#gid=0"",""1_ACUM!A4:S""),17,FALSE))"),"")</f>
        <v/>
      </c>
      <c r="AI245" s="44" t="str">
        <f ca="1">IFERROR(__xludf.DUMMYFUNCTION("IFERROR(VLOOKUP(E268&amp;F268,IMPORTRANGE(""https://docs.google.com/spreadsheets/d/1Uw7-A9f9R21vMXxHZFNpYNeKFtG8_yji4HS352LGlSQ/edit?pli=1#gid=0"",""1_ACUM!A4:S""),18,FALSE))"),"")</f>
        <v/>
      </c>
      <c r="AJ245" s="44" t="str">
        <f ca="1">IFERROR(__xludf.DUMMYFUNCTION("IFERROR(VLOOKUP(E268&amp;F268,IMPORTRANGE(""https://docs.google.com/spreadsheets/d/1Uw7-A9f9R21vMXxHZFNpYNeKFtG8_yji4HS352LGlSQ/edit?pli=1#gid=0"",""1_ACUM!A4:S""),19,FALSE))"),"")</f>
        <v/>
      </c>
      <c r="AK245" s="98" t="str">
        <f ca="1">IFERROR(__xludf.DUMMYFUNCTION("IFERROR(VLOOKUP(F268,IMPORTRANGE(""https://docs.google.com/spreadsheets/d/1Kvs4KS76FHFqLFIZfrDMff4kP08nblUkihrxltoGBjg/edit#gid=934712705"",""ESENCIAL!A6:BG""),5,FALSE))"),"")</f>
        <v/>
      </c>
      <c r="AL245" s="98" t="str">
        <f t="shared" si="17"/>
        <v/>
      </c>
      <c r="AM245" s="99" t="str">
        <f t="shared" si="18"/>
        <v/>
      </c>
      <c r="AN245" s="100" t="str">
        <f ca="1">IFERROR(__xludf.DUMMYFUNCTION("IFERROR(VLOOKUP(F268,IMPORTRANGE(""https://docs.google.com/spreadsheets/d/1Kvs4KS76FHFqLFIZfrDMff4kP08nblUkihrxltoGBjg/edit#gid=934712705"",""ESENCIAL!A6:BG""),2,FALSE))"),"")</f>
        <v/>
      </c>
      <c r="AO245" s="19" t="str">
        <f t="shared" si="20"/>
        <v/>
      </c>
      <c r="AP245" s="100"/>
      <c r="AQ245" s="100"/>
    </row>
    <row r="246" spans="1:43" ht="15">
      <c r="A246" s="101"/>
      <c r="B246" s="101"/>
      <c r="G246" s="5" t="str">
        <f ca="1">IFERROR(__xludf.DUMMYFUNCTION("IFERROR(VLOOKUP(F269,IMPORTRANGE(""https://docs.google.com/spreadsheets/d/1Kvs4KS76FHFqLFIZfrDMff4kP08nblUkihrxltoGBjg/edit#gid=934712705"",""ESENCIAL!A6:BG""),3,FALSE))"),"")</f>
        <v/>
      </c>
      <c r="H246" s="5" t="str">
        <f ca="1">IFERROR(__xludf.DUMMYFUNCTION("IFERROR(VLOOKUP(F269,IMPORTRANGE(""https://docs.google.com/spreadsheets/d/1Kvs4KS76FHFqLFIZfrDMff4kP08nblUkihrxltoGBjg/edit#gid=934712705"",""ESENCIAL!A6:BG""),8,FALSE))"),"")</f>
        <v/>
      </c>
      <c r="L246" s="287"/>
      <c r="Z246" s="41" t="str">
        <f t="shared" si="16"/>
        <v/>
      </c>
      <c r="AA246" s="5" t="str">
        <f ca="1">IFERROR(__xludf.DUMMYFUNCTION("IFERROR(VLOOKUP(E269&amp;F269,IMPORTRANGE(""https://docs.google.com/spreadsheets/d/1Uw7-A9f9R21vMXxHZFNpYNeKFtG8_yji4HS352LGlSQ/edit?pli=1#gid=0"",""1_ACUM!A4:S""),11,FALSE))"),"")</f>
        <v/>
      </c>
      <c r="AB246" s="42" t="str">
        <f ca="1">IFERROR(__xludf.DUMMYFUNCTION("IFERROR(VLOOKUP(F269,IMPORTRANGE(""https://docs.google.com/spreadsheets/d/1Kvs4KS76FHFqLFIZfrDMff4kP08nblUkihrxltoGBjg/edit#gid=934712705"",""ESENCIAL!A6:BG""),15,FALSE))"),"")</f>
        <v/>
      </c>
      <c r="AC246" s="110" t="str">
        <f ca="1">IFERROR(__xludf.DUMMYFUNCTION("IFERROR(VLOOKUP(E269&amp;F269,IMPORTRANGE(""https://docs.google.com/spreadsheets/d/1Uw7-A9f9R21vMXxHZFNpYNeKFtG8_yji4HS352LGlSQ/edit?pli=1#gid=0"",""1_ACUM!A4:S""),13,FALSE))"),"")</f>
        <v/>
      </c>
      <c r="AD246" s="43" t="str">
        <f ca="1">IFERROR(__xludf.DUMMYFUNCTION("IFERROR(VLOOKUP(E269&amp;F269,IMPORTRANGE(""https://docs.google.com/spreadsheets/d/1Uw7-A9f9R21vMXxHZFNpYNeKFtG8_yji4HS352LGlSQ/edit?pli=1#gid=0"",""1_ACUM!A4:S""),13,FALSE))"),"")</f>
        <v/>
      </c>
      <c r="AE246" s="43" t="str">
        <f ca="1">IFERROR(__xludf.DUMMYFUNCTION("IFERROR(VLOOKUP(E269&amp;F269,IMPORTRANGE(""https://docs.google.com/spreadsheets/d/1Uw7-A9f9R21vMXxHZFNpYNeKFtG8_yji4HS352LGlSQ/edit?pli=1#gid=0"",""1_ACUM!A4:S""),14,FALSE))"),"")</f>
        <v/>
      </c>
      <c r="AF246" s="43" t="str">
        <f ca="1">IFERROR(__xludf.DUMMYFUNCTION("IFERROR(VLOOKUP(E269&amp;F269,IMPORTRANGE(""https://docs.google.com/spreadsheets/d/1Uw7-A9f9R21vMXxHZFNpYNeKFtG8_yji4HS352LGlSQ/edit?pli=1#gid=0"",""1_ACUM!A4:S""),15,FALSE))"),"")</f>
        <v/>
      </c>
      <c r="AG246" s="43" t="str">
        <f ca="1">IFERROR(__xludf.DUMMYFUNCTION("IFERROR(VLOOKUP(E269&amp;F269,IMPORTRANGE(""https://docs.google.com/spreadsheets/d/1Uw7-A9f9R21vMXxHZFNpYNeKFtG8_yji4HS352LGlSQ/edit?pli=1#gid=0"",""1_ACUM!A4:S""),16,FALSE))"),"")</f>
        <v/>
      </c>
      <c r="AH246" s="43" t="str">
        <f ca="1">IFERROR(__xludf.DUMMYFUNCTION("IFERROR(VLOOKUP(E269&amp;F269,IMPORTRANGE(""https://docs.google.com/spreadsheets/d/1Uw7-A9f9R21vMXxHZFNpYNeKFtG8_yji4HS352LGlSQ/edit?pli=1#gid=0"",""1_ACUM!A4:S""),17,FALSE))"),"")</f>
        <v/>
      </c>
      <c r="AI246" s="44" t="str">
        <f ca="1">IFERROR(__xludf.DUMMYFUNCTION("IFERROR(VLOOKUP(E269&amp;F269,IMPORTRANGE(""https://docs.google.com/spreadsheets/d/1Uw7-A9f9R21vMXxHZFNpYNeKFtG8_yji4HS352LGlSQ/edit?pli=1#gid=0"",""1_ACUM!A4:S""),18,FALSE))"),"")</f>
        <v/>
      </c>
      <c r="AJ246" s="44" t="str">
        <f ca="1">IFERROR(__xludf.DUMMYFUNCTION("IFERROR(VLOOKUP(E269&amp;F269,IMPORTRANGE(""https://docs.google.com/spreadsheets/d/1Uw7-A9f9R21vMXxHZFNpYNeKFtG8_yji4HS352LGlSQ/edit?pli=1#gid=0"",""1_ACUM!A4:S""),19,FALSE))"),"")</f>
        <v/>
      </c>
      <c r="AK246" s="98" t="str">
        <f ca="1">IFERROR(__xludf.DUMMYFUNCTION("IFERROR(VLOOKUP(F269,IMPORTRANGE(""https://docs.google.com/spreadsheets/d/1Kvs4KS76FHFqLFIZfrDMff4kP08nblUkihrxltoGBjg/edit#gid=934712705"",""ESENCIAL!A6:BG""),5,FALSE))"),"")</f>
        <v/>
      </c>
      <c r="AL246" s="98" t="str">
        <f t="shared" si="17"/>
        <v/>
      </c>
      <c r="AM246" s="99" t="str">
        <f t="shared" si="18"/>
        <v/>
      </c>
      <c r="AN246" s="100" t="str">
        <f ca="1">IFERROR(__xludf.DUMMYFUNCTION("IFERROR(VLOOKUP(F269,IMPORTRANGE(""https://docs.google.com/spreadsheets/d/1Kvs4KS76FHFqLFIZfrDMff4kP08nblUkihrxltoGBjg/edit#gid=934712705"",""ESENCIAL!A6:BG""),2,FALSE))"),"")</f>
        <v/>
      </c>
      <c r="AO246" s="19" t="str">
        <f t="shared" si="20"/>
        <v/>
      </c>
      <c r="AP246" s="100"/>
      <c r="AQ246" s="100"/>
    </row>
    <row r="247" spans="1:43" ht="15">
      <c r="A247" s="101"/>
      <c r="B247" s="101"/>
      <c r="G247" s="5" t="str">
        <f ca="1">IFERROR(__xludf.DUMMYFUNCTION("IFERROR(VLOOKUP(F270,IMPORTRANGE(""https://docs.google.com/spreadsheets/d/1Kvs4KS76FHFqLFIZfrDMff4kP08nblUkihrxltoGBjg/edit#gid=934712705"",""ESENCIAL!A6:BG""),3,FALSE))"),"")</f>
        <v/>
      </c>
      <c r="H247" s="5" t="str">
        <f ca="1">IFERROR(__xludf.DUMMYFUNCTION("IFERROR(VLOOKUP(F270,IMPORTRANGE(""https://docs.google.com/spreadsheets/d/1Kvs4KS76FHFqLFIZfrDMff4kP08nblUkihrxltoGBjg/edit#gid=934712705"",""ESENCIAL!A6:BG""),8,FALSE))"),"")</f>
        <v/>
      </c>
      <c r="L247" s="287"/>
      <c r="Z247" s="41" t="str">
        <f t="shared" si="16"/>
        <v/>
      </c>
      <c r="AA247" s="5" t="str">
        <f ca="1">IFERROR(__xludf.DUMMYFUNCTION("IFERROR(VLOOKUP(E270&amp;F270,IMPORTRANGE(""https://docs.google.com/spreadsheets/d/1Uw7-A9f9R21vMXxHZFNpYNeKFtG8_yji4HS352LGlSQ/edit?pli=1#gid=0"",""1_ACUM!A4:S""),11,FALSE))"),"")</f>
        <v/>
      </c>
      <c r="AB247" s="42" t="str">
        <f ca="1">IFERROR(__xludf.DUMMYFUNCTION("IFERROR(VLOOKUP(F270,IMPORTRANGE(""https://docs.google.com/spreadsheets/d/1Kvs4KS76FHFqLFIZfrDMff4kP08nblUkihrxltoGBjg/edit#gid=934712705"",""ESENCIAL!A6:BG""),15,FALSE))"),"")</f>
        <v/>
      </c>
      <c r="AC247" s="110" t="str">
        <f ca="1">IFERROR(__xludf.DUMMYFUNCTION("IFERROR(VLOOKUP(E270&amp;F270,IMPORTRANGE(""https://docs.google.com/spreadsheets/d/1Uw7-A9f9R21vMXxHZFNpYNeKFtG8_yji4HS352LGlSQ/edit?pli=1#gid=0"",""1_ACUM!A4:S""),13,FALSE))"),"")</f>
        <v/>
      </c>
      <c r="AD247" s="43" t="str">
        <f ca="1">IFERROR(__xludf.DUMMYFUNCTION("IFERROR(VLOOKUP(E270&amp;F270,IMPORTRANGE(""https://docs.google.com/spreadsheets/d/1Uw7-A9f9R21vMXxHZFNpYNeKFtG8_yji4HS352LGlSQ/edit?pli=1#gid=0"",""1_ACUM!A4:S""),13,FALSE))"),"")</f>
        <v/>
      </c>
      <c r="AE247" s="43" t="str">
        <f ca="1">IFERROR(__xludf.DUMMYFUNCTION("IFERROR(VLOOKUP(E270&amp;F270,IMPORTRANGE(""https://docs.google.com/spreadsheets/d/1Uw7-A9f9R21vMXxHZFNpYNeKFtG8_yji4HS352LGlSQ/edit?pli=1#gid=0"",""1_ACUM!A4:S""),14,FALSE))"),"")</f>
        <v/>
      </c>
      <c r="AF247" s="43" t="str">
        <f ca="1">IFERROR(__xludf.DUMMYFUNCTION("IFERROR(VLOOKUP(E270&amp;F270,IMPORTRANGE(""https://docs.google.com/spreadsheets/d/1Uw7-A9f9R21vMXxHZFNpYNeKFtG8_yji4HS352LGlSQ/edit?pli=1#gid=0"",""1_ACUM!A4:S""),15,FALSE))"),"")</f>
        <v/>
      </c>
      <c r="AG247" s="43" t="str">
        <f ca="1">IFERROR(__xludf.DUMMYFUNCTION("IFERROR(VLOOKUP(E270&amp;F270,IMPORTRANGE(""https://docs.google.com/spreadsheets/d/1Uw7-A9f9R21vMXxHZFNpYNeKFtG8_yji4HS352LGlSQ/edit?pli=1#gid=0"",""1_ACUM!A4:S""),16,FALSE))"),"")</f>
        <v/>
      </c>
      <c r="AH247" s="43" t="str">
        <f ca="1">IFERROR(__xludf.DUMMYFUNCTION("IFERROR(VLOOKUP(E270&amp;F270,IMPORTRANGE(""https://docs.google.com/spreadsheets/d/1Uw7-A9f9R21vMXxHZFNpYNeKFtG8_yji4HS352LGlSQ/edit?pli=1#gid=0"",""1_ACUM!A4:S""),17,FALSE))"),"")</f>
        <v/>
      </c>
      <c r="AI247" s="44" t="str">
        <f ca="1">IFERROR(__xludf.DUMMYFUNCTION("IFERROR(VLOOKUP(E270&amp;F270,IMPORTRANGE(""https://docs.google.com/spreadsheets/d/1Uw7-A9f9R21vMXxHZFNpYNeKFtG8_yji4HS352LGlSQ/edit?pli=1#gid=0"",""1_ACUM!A4:S""),18,FALSE))"),"")</f>
        <v/>
      </c>
      <c r="AJ247" s="44" t="str">
        <f ca="1">IFERROR(__xludf.DUMMYFUNCTION("IFERROR(VLOOKUP(E270&amp;F270,IMPORTRANGE(""https://docs.google.com/spreadsheets/d/1Uw7-A9f9R21vMXxHZFNpYNeKFtG8_yji4HS352LGlSQ/edit?pli=1#gid=0"",""1_ACUM!A4:S""),19,FALSE))"),"")</f>
        <v/>
      </c>
      <c r="AK247" s="98" t="str">
        <f ca="1">IFERROR(__xludf.DUMMYFUNCTION("IFERROR(VLOOKUP(F270,IMPORTRANGE(""https://docs.google.com/spreadsheets/d/1Kvs4KS76FHFqLFIZfrDMff4kP08nblUkihrxltoGBjg/edit#gid=934712705"",""ESENCIAL!A6:BG""),5,FALSE))"),"")</f>
        <v/>
      </c>
      <c r="AL247" s="98" t="str">
        <f t="shared" si="17"/>
        <v/>
      </c>
      <c r="AM247" s="99" t="str">
        <f t="shared" si="18"/>
        <v/>
      </c>
      <c r="AN247" s="100" t="str">
        <f ca="1">IFERROR(__xludf.DUMMYFUNCTION("IFERROR(VLOOKUP(F270,IMPORTRANGE(""https://docs.google.com/spreadsheets/d/1Kvs4KS76FHFqLFIZfrDMff4kP08nblUkihrxltoGBjg/edit#gid=934712705"",""ESENCIAL!A6:BG""),2,FALSE))"),"")</f>
        <v/>
      </c>
      <c r="AO247" s="19" t="str">
        <f t="shared" si="20"/>
        <v/>
      </c>
      <c r="AP247" s="100"/>
      <c r="AQ247" s="100"/>
    </row>
    <row r="248" spans="1:43" ht="15">
      <c r="A248" s="101"/>
      <c r="B248" s="101"/>
      <c r="G248" s="5" t="str">
        <f ca="1">IFERROR(__xludf.DUMMYFUNCTION("IFERROR(VLOOKUP(F271,IMPORTRANGE(""https://docs.google.com/spreadsheets/d/1Kvs4KS76FHFqLFIZfrDMff4kP08nblUkihrxltoGBjg/edit#gid=934712705"",""ESENCIAL!A6:BG""),3,FALSE))"),"")</f>
        <v/>
      </c>
      <c r="H248" s="5" t="str">
        <f ca="1">IFERROR(__xludf.DUMMYFUNCTION("IFERROR(VLOOKUP(F271,IMPORTRANGE(""https://docs.google.com/spreadsheets/d/1Kvs4KS76FHFqLFIZfrDMff4kP08nblUkihrxltoGBjg/edit#gid=934712705"",""ESENCIAL!A6:BG""),8,FALSE))"),"")</f>
        <v/>
      </c>
      <c r="L248" s="287"/>
      <c r="Z248" s="41" t="str">
        <f t="shared" si="16"/>
        <v/>
      </c>
      <c r="AA248" s="5" t="str">
        <f ca="1">IFERROR(__xludf.DUMMYFUNCTION("IFERROR(VLOOKUP(E271&amp;F271,IMPORTRANGE(""https://docs.google.com/spreadsheets/d/1Uw7-A9f9R21vMXxHZFNpYNeKFtG8_yji4HS352LGlSQ/edit?pli=1#gid=0"",""1_ACUM!A4:S""),11,FALSE))"),"")</f>
        <v/>
      </c>
      <c r="AB248" s="42" t="str">
        <f ca="1">IFERROR(__xludf.DUMMYFUNCTION("IFERROR(VLOOKUP(F271,IMPORTRANGE(""https://docs.google.com/spreadsheets/d/1Kvs4KS76FHFqLFIZfrDMff4kP08nblUkihrxltoGBjg/edit#gid=934712705"",""ESENCIAL!A6:BG""),15,FALSE))"),"")</f>
        <v/>
      </c>
      <c r="AC248" s="110" t="str">
        <f ca="1">IFERROR(__xludf.DUMMYFUNCTION("IFERROR(VLOOKUP(E271&amp;F271,IMPORTRANGE(""https://docs.google.com/spreadsheets/d/1Uw7-A9f9R21vMXxHZFNpYNeKFtG8_yji4HS352LGlSQ/edit?pli=1#gid=0"",""1_ACUM!A4:S""),13,FALSE))"),"")</f>
        <v/>
      </c>
      <c r="AD248" s="43" t="str">
        <f ca="1">IFERROR(__xludf.DUMMYFUNCTION("IFERROR(VLOOKUP(E271&amp;F271,IMPORTRANGE(""https://docs.google.com/spreadsheets/d/1Uw7-A9f9R21vMXxHZFNpYNeKFtG8_yji4HS352LGlSQ/edit?pli=1#gid=0"",""1_ACUM!A4:S""),13,FALSE))"),"")</f>
        <v/>
      </c>
      <c r="AE248" s="43" t="str">
        <f ca="1">IFERROR(__xludf.DUMMYFUNCTION("IFERROR(VLOOKUP(E271&amp;F271,IMPORTRANGE(""https://docs.google.com/spreadsheets/d/1Uw7-A9f9R21vMXxHZFNpYNeKFtG8_yji4HS352LGlSQ/edit?pli=1#gid=0"",""1_ACUM!A4:S""),14,FALSE))"),"")</f>
        <v/>
      </c>
      <c r="AF248" s="43" t="str">
        <f ca="1">IFERROR(__xludf.DUMMYFUNCTION("IFERROR(VLOOKUP(E271&amp;F271,IMPORTRANGE(""https://docs.google.com/spreadsheets/d/1Uw7-A9f9R21vMXxHZFNpYNeKFtG8_yji4HS352LGlSQ/edit?pli=1#gid=0"",""1_ACUM!A4:S""),15,FALSE))"),"")</f>
        <v/>
      </c>
      <c r="AG248" s="43" t="str">
        <f ca="1">IFERROR(__xludf.DUMMYFUNCTION("IFERROR(VLOOKUP(E271&amp;F271,IMPORTRANGE(""https://docs.google.com/spreadsheets/d/1Uw7-A9f9R21vMXxHZFNpYNeKFtG8_yji4HS352LGlSQ/edit?pli=1#gid=0"",""1_ACUM!A4:S""),16,FALSE))"),"")</f>
        <v/>
      </c>
      <c r="AH248" s="43" t="str">
        <f ca="1">IFERROR(__xludf.DUMMYFUNCTION("IFERROR(VLOOKUP(E271&amp;F271,IMPORTRANGE(""https://docs.google.com/spreadsheets/d/1Uw7-A9f9R21vMXxHZFNpYNeKFtG8_yji4HS352LGlSQ/edit?pli=1#gid=0"",""1_ACUM!A4:S""),17,FALSE))"),"")</f>
        <v/>
      </c>
      <c r="AI248" s="44" t="str">
        <f ca="1">IFERROR(__xludf.DUMMYFUNCTION("IFERROR(VLOOKUP(E271&amp;F271,IMPORTRANGE(""https://docs.google.com/spreadsheets/d/1Uw7-A9f9R21vMXxHZFNpYNeKFtG8_yji4HS352LGlSQ/edit?pli=1#gid=0"",""1_ACUM!A4:S""),18,FALSE))"),"")</f>
        <v/>
      </c>
      <c r="AJ248" s="44" t="str">
        <f ca="1">IFERROR(__xludf.DUMMYFUNCTION("IFERROR(VLOOKUP(E271&amp;F271,IMPORTRANGE(""https://docs.google.com/spreadsheets/d/1Uw7-A9f9R21vMXxHZFNpYNeKFtG8_yji4HS352LGlSQ/edit?pli=1#gid=0"",""1_ACUM!A4:S""),19,FALSE))"),"")</f>
        <v/>
      </c>
      <c r="AK248" s="98" t="str">
        <f ca="1">IFERROR(__xludf.DUMMYFUNCTION("IFERROR(VLOOKUP(F271,IMPORTRANGE(""https://docs.google.com/spreadsheets/d/1Kvs4KS76FHFqLFIZfrDMff4kP08nblUkihrxltoGBjg/edit#gid=934712705"",""ESENCIAL!A6:BG""),5,FALSE))"),"")</f>
        <v/>
      </c>
      <c r="AL248" s="98" t="str">
        <f t="shared" si="17"/>
        <v/>
      </c>
      <c r="AM248" s="99" t="str">
        <f t="shared" si="18"/>
        <v/>
      </c>
      <c r="AN248" s="100" t="str">
        <f ca="1">IFERROR(__xludf.DUMMYFUNCTION("IFERROR(VLOOKUP(F271,IMPORTRANGE(""https://docs.google.com/spreadsheets/d/1Kvs4KS76FHFqLFIZfrDMff4kP08nblUkihrxltoGBjg/edit#gid=934712705"",""ESENCIAL!A6:BG""),2,FALSE))"),"")</f>
        <v/>
      </c>
      <c r="AO248" s="19" t="str">
        <f t="shared" si="20"/>
        <v/>
      </c>
      <c r="AP248" s="100"/>
      <c r="AQ248" s="100"/>
    </row>
    <row r="249" spans="1:43" ht="15">
      <c r="A249" s="101"/>
      <c r="B249" s="101"/>
      <c r="G249" s="5" t="str">
        <f ca="1">IFERROR(__xludf.DUMMYFUNCTION("IFERROR(VLOOKUP(F272,IMPORTRANGE(""https://docs.google.com/spreadsheets/d/1Kvs4KS76FHFqLFIZfrDMff4kP08nblUkihrxltoGBjg/edit#gid=934712705"",""ESENCIAL!A6:BG""),3,FALSE))"),"")</f>
        <v/>
      </c>
      <c r="H249" s="5" t="str">
        <f ca="1">IFERROR(__xludf.DUMMYFUNCTION("IFERROR(VLOOKUP(F272,IMPORTRANGE(""https://docs.google.com/spreadsheets/d/1Kvs4KS76FHFqLFIZfrDMff4kP08nblUkihrxltoGBjg/edit#gid=934712705"",""ESENCIAL!A6:BG""),8,FALSE))"),"")</f>
        <v/>
      </c>
      <c r="L249" s="287"/>
      <c r="Z249" s="41" t="str">
        <f t="shared" si="16"/>
        <v/>
      </c>
      <c r="AA249" s="5" t="str">
        <f ca="1">IFERROR(__xludf.DUMMYFUNCTION("IFERROR(VLOOKUP(E272&amp;F272,IMPORTRANGE(""https://docs.google.com/spreadsheets/d/1Uw7-A9f9R21vMXxHZFNpYNeKFtG8_yji4HS352LGlSQ/edit?pli=1#gid=0"",""1_ACUM!A4:S""),11,FALSE))"),"")</f>
        <v/>
      </c>
      <c r="AB249" s="42" t="str">
        <f ca="1">IFERROR(__xludf.DUMMYFUNCTION("IFERROR(VLOOKUP(F272,IMPORTRANGE(""https://docs.google.com/spreadsheets/d/1Kvs4KS76FHFqLFIZfrDMff4kP08nblUkihrxltoGBjg/edit#gid=934712705"",""ESENCIAL!A6:BG""),15,FALSE))"),"")</f>
        <v/>
      </c>
      <c r="AC249" s="110" t="str">
        <f ca="1">IFERROR(__xludf.DUMMYFUNCTION("IFERROR(VLOOKUP(E272&amp;F272,IMPORTRANGE(""https://docs.google.com/spreadsheets/d/1Uw7-A9f9R21vMXxHZFNpYNeKFtG8_yji4HS352LGlSQ/edit?pli=1#gid=0"",""1_ACUM!A4:S""),13,FALSE))"),"")</f>
        <v/>
      </c>
      <c r="AD249" s="43" t="str">
        <f ca="1">IFERROR(__xludf.DUMMYFUNCTION("IFERROR(VLOOKUP(E272&amp;F272,IMPORTRANGE(""https://docs.google.com/spreadsheets/d/1Uw7-A9f9R21vMXxHZFNpYNeKFtG8_yji4HS352LGlSQ/edit?pli=1#gid=0"",""1_ACUM!A4:S""),13,FALSE))"),"")</f>
        <v/>
      </c>
      <c r="AE249" s="43" t="str">
        <f ca="1">IFERROR(__xludf.DUMMYFUNCTION("IFERROR(VLOOKUP(E272&amp;F272,IMPORTRANGE(""https://docs.google.com/spreadsheets/d/1Uw7-A9f9R21vMXxHZFNpYNeKFtG8_yji4HS352LGlSQ/edit?pli=1#gid=0"",""1_ACUM!A4:S""),14,FALSE))"),"")</f>
        <v/>
      </c>
      <c r="AF249" s="43" t="str">
        <f ca="1">IFERROR(__xludf.DUMMYFUNCTION("IFERROR(VLOOKUP(E272&amp;F272,IMPORTRANGE(""https://docs.google.com/spreadsheets/d/1Uw7-A9f9R21vMXxHZFNpYNeKFtG8_yji4HS352LGlSQ/edit?pli=1#gid=0"",""1_ACUM!A4:S""),15,FALSE))"),"")</f>
        <v/>
      </c>
      <c r="AG249" s="43" t="str">
        <f ca="1">IFERROR(__xludf.DUMMYFUNCTION("IFERROR(VLOOKUP(E272&amp;F272,IMPORTRANGE(""https://docs.google.com/spreadsheets/d/1Uw7-A9f9R21vMXxHZFNpYNeKFtG8_yji4HS352LGlSQ/edit?pli=1#gid=0"",""1_ACUM!A4:S""),16,FALSE))"),"")</f>
        <v/>
      </c>
      <c r="AH249" s="43" t="str">
        <f ca="1">IFERROR(__xludf.DUMMYFUNCTION("IFERROR(VLOOKUP(E272&amp;F272,IMPORTRANGE(""https://docs.google.com/spreadsheets/d/1Uw7-A9f9R21vMXxHZFNpYNeKFtG8_yji4HS352LGlSQ/edit?pli=1#gid=0"",""1_ACUM!A4:S""),17,FALSE))"),"")</f>
        <v/>
      </c>
      <c r="AI249" s="44" t="str">
        <f ca="1">IFERROR(__xludf.DUMMYFUNCTION("IFERROR(VLOOKUP(E272&amp;F272,IMPORTRANGE(""https://docs.google.com/spreadsheets/d/1Uw7-A9f9R21vMXxHZFNpYNeKFtG8_yji4HS352LGlSQ/edit?pli=1#gid=0"",""1_ACUM!A4:S""),18,FALSE))"),"")</f>
        <v/>
      </c>
      <c r="AJ249" s="44" t="str">
        <f ca="1">IFERROR(__xludf.DUMMYFUNCTION("IFERROR(VLOOKUP(E272&amp;F272,IMPORTRANGE(""https://docs.google.com/spreadsheets/d/1Uw7-A9f9R21vMXxHZFNpYNeKFtG8_yji4HS352LGlSQ/edit?pli=1#gid=0"",""1_ACUM!A4:S""),19,FALSE))"),"")</f>
        <v/>
      </c>
      <c r="AK249" s="98" t="str">
        <f ca="1">IFERROR(__xludf.DUMMYFUNCTION("IFERROR(VLOOKUP(F272,IMPORTRANGE(""https://docs.google.com/spreadsheets/d/1Kvs4KS76FHFqLFIZfrDMff4kP08nblUkihrxltoGBjg/edit#gid=934712705"",""ESENCIAL!A6:BG""),5,FALSE))"),"")</f>
        <v/>
      </c>
      <c r="AL249" s="98" t="str">
        <f t="shared" si="17"/>
        <v/>
      </c>
      <c r="AM249" s="99" t="str">
        <f t="shared" si="18"/>
        <v/>
      </c>
      <c r="AN249" s="100" t="str">
        <f ca="1">IFERROR(__xludf.DUMMYFUNCTION("IFERROR(VLOOKUP(F272,IMPORTRANGE(""https://docs.google.com/spreadsheets/d/1Kvs4KS76FHFqLFIZfrDMff4kP08nblUkihrxltoGBjg/edit#gid=934712705"",""ESENCIAL!A6:BG""),2,FALSE))"),"")</f>
        <v/>
      </c>
      <c r="AO249" s="19" t="str">
        <f t="shared" si="20"/>
        <v/>
      </c>
      <c r="AP249" s="100"/>
      <c r="AQ249" s="100"/>
    </row>
    <row r="250" spans="1:43" ht="15">
      <c r="A250" s="101"/>
      <c r="B250" s="101"/>
      <c r="G250" s="5" t="str">
        <f ca="1">IFERROR(__xludf.DUMMYFUNCTION("IFERROR(VLOOKUP(F273,IMPORTRANGE(""https://docs.google.com/spreadsheets/d/1Kvs4KS76FHFqLFIZfrDMff4kP08nblUkihrxltoGBjg/edit#gid=934712705"",""ESENCIAL!A6:BG""),3,FALSE))"),"")</f>
        <v/>
      </c>
      <c r="H250" s="5" t="str">
        <f ca="1">IFERROR(__xludf.DUMMYFUNCTION("IFERROR(VLOOKUP(F273,IMPORTRANGE(""https://docs.google.com/spreadsheets/d/1Kvs4KS76FHFqLFIZfrDMff4kP08nblUkihrxltoGBjg/edit#gid=934712705"",""ESENCIAL!A6:BG""),8,FALSE))"),"")</f>
        <v/>
      </c>
      <c r="L250" s="287"/>
      <c r="Z250" s="41" t="str">
        <f t="shared" si="16"/>
        <v/>
      </c>
      <c r="AA250" s="5" t="str">
        <f ca="1">IFERROR(__xludf.DUMMYFUNCTION("IFERROR(VLOOKUP(E273&amp;F273,IMPORTRANGE(""https://docs.google.com/spreadsheets/d/1Uw7-A9f9R21vMXxHZFNpYNeKFtG8_yji4HS352LGlSQ/edit?pli=1#gid=0"",""1_ACUM!A4:S""),11,FALSE))"),"")</f>
        <v/>
      </c>
      <c r="AB250" s="42" t="str">
        <f ca="1">IFERROR(__xludf.DUMMYFUNCTION("IFERROR(VLOOKUP(F273,IMPORTRANGE(""https://docs.google.com/spreadsheets/d/1Kvs4KS76FHFqLFIZfrDMff4kP08nblUkihrxltoGBjg/edit#gid=934712705"",""ESENCIAL!A6:BG""),15,FALSE))"),"")</f>
        <v/>
      </c>
      <c r="AC250" s="110" t="str">
        <f ca="1">IFERROR(__xludf.DUMMYFUNCTION("IFERROR(VLOOKUP(E273&amp;F273,IMPORTRANGE(""https://docs.google.com/spreadsheets/d/1Uw7-A9f9R21vMXxHZFNpYNeKFtG8_yji4HS352LGlSQ/edit?pli=1#gid=0"",""1_ACUM!A4:S""),13,FALSE))"),"")</f>
        <v/>
      </c>
      <c r="AD250" s="43" t="str">
        <f ca="1">IFERROR(__xludf.DUMMYFUNCTION("IFERROR(VLOOKUP(E273&amp;F273,IMPORTRANGE(""https://docs.google.com/spreadsheets/d/1Uw7-A9f9R21vMXxHZFNpYNeKFtG8_yji4HS352LGlSQ/edit?pli=1#gid=0"",""1_ACUM!A4:S""),13,FALSE))"),"")</f>
        <v/>
      </c>
      <c r="AE250" s="43" t="str">
        <f ca="1">IFERROR(__xludf.DUMMYFUNCTION("IFERROR(VLOOKUP(E273&amp;F273,IMPORTRANGE(""https://docs.google.com/spreadsheets/d/1Uw7-A9f9R21vMXxHZFNpYNeKFtG8_yji4HS352LGlSQ/edit?pli=1#gid=0"",""1_ACUM!A4:S""),14,FALSE))"),"")</f>
        <v/>
      </c>
      <c r="AF250" s="43" t="str">
        <f ca="1">IFERROR(__xludf.DUMMYFUNCTION("IFERROR(VLOOKUP(E273&amp;F273,IMPORTRANGE(""https://docs.google.com/spreadsheets/d/1Uw7-A9f9R21vMXxHZFNpYNeKFtG8_yji4HS352LGlSQ/edit?pli=1#gid=0"",""1_ACUM!A4:S""),15,FALSE))"),"")</f>
        <v/>
      </c>
      <c r="AG250" s="43" t="str">
        <f ca="1">IFERROR(__xludf.DUMMYFUNCTION("IFERROR(VLOOKUP(E273&amp;F273,IMPORTRANGE(""https://docs.google.com/spreadsheets/d/1Uw7-A9f9R21vMXxHZFNpYNeKFtG8_yji4HS352LGlSQ/edit?pli=1#gid=0"",""1_ACUM!A4:S""),16,FALSE))"),"")</f>
        <v/>
      </c>
      <c r="AH250" s="43" t="str">
        <f ca="1">IFERROR(__xludf.DUMMYFUNCTION("IFERROR(VLOOKUP(E273&amp;F273,IMPORTRANGE(""https://docs.google.com/spreadsheets/d/1Uw7-A9f9R21vMXxHZFNpYNeKFtG8_yji4HS352LGlSQ/edit?pli=1#gid=0"",""1_ACUM!A4:S""),17,FALSE))"),"")</f>
        <v/>
      </c>
      <c r="AI250" s="44" t="str">
        <f ca="1">IFERROR(__xludf.DUMMYFUNCTION("IFERROR(VLOOKUP(E273&amp;F273,IMPORTRANGE(""https://docs.google.com/spreadsheets/d/1Uw7-A9f9R21vMXxHZFNpYNeKFtG8_yji4HS352LGlSQ/edit?pli=1#gid=0"",""1_ACUM!A4:S""),18,FALSE))"),"")</f>
        <v/>
      </c>
      <c r="AJ250" s="44" t="str">
        <f ca="1">IFERROR(__xludf.DUMMYFUNCTION("IFERROR(VLOOKUP(E273&amp;F273,IMPORTRANGE(""https://docs.google.com/spreadsheets/d/1Uw7-A9f9R21vMXxHZFNpYNeKFtG8_yji4HS352LGlSQ/edit?pli=1#gid=0"",""1_ACUM!A4:S""),19,FALSE))"),"")</f>
        <v/>
      </c>
      <c r="AK250" s="98" t="str">
        <f ca="1">IFERROR(__xludf.DUMMYFUNCTION("IFERROR(VLOOKUP(F273,IMPORTRANGE(""https://docs.google.com/spreadsheets/d/1Kvs4KS76FHFqLFIZfrDMff4kP08nblUkihrxltoGBjg/edit#gid=934712705"",""ESENCIAL!A6:BG""),5,FALSE))"),"")</f>
        <v/>
      </c>
      <c r="AL250" s="98" t="str">
        <f t="shared" si="17"/>
        <v/>
      </c>
      <c r="AM250" s="99" t="str">
        <f t="shared" si="18"/>
        <v/>
      </c>
      <c r="AN250" s="100" t="str">
        <f ca="1">IFERROR(__xludf.DUMMYFUNCTION("IFERROR(VLOOKUP(F273,IMPORTRANGE(""https://docs.google.com/spreadsheets/d/1Kvs4KS76FHFqLFIZfrDMff4kP08nblUkihrxltoGBjg/edit#gid=934712705"",""ESENCIAL!A6:BG""),2,FALSE))"),"")</f>
        <v/>
      </c>
      <c r="AO250" s="19" t="str">
        <f t="shared" si="20"/>
        <v/>
      </c>
      <c r="AP250" s="100"/>
      <c r="AQ250" s="100"/>
    </row>
    <row r="251" spans="1:43" ht="15">
      <c r="A251" s="101"/>
      <c r="B251" s="101"/>
      <c r="G251" s="5" t="str">
        <f ca="1">IFERROR(__xludf.DUMMYFUNCTION("IFERROR(VLOOKUP(F274,IMPORTRANGE(""https://docs.google.com/spreadsheets/d/1Kvs4KS76FHFqLFIZfrDMff4kP08nblUkihrxltoGBjg/edit#gid=934712705"",""ESENCIAL!A6:BG""),3,FALSE))"),"")</f>
        <v/>
      </c>
      <c r="H251" s="5" t="str">
        <f ca="1">IFERROR(__xludf.DUMMYFUNCTION("IFERROR(VLOOKUP(F274,IMPORTRANGE(""https://docs.google.com/spreadsheets/d/1Kvs4KS76FHFqLFIZfrDMff4kP08nblUkihrxltoGBjg/edit#gid=934712705"",""ESENCIAL!A6:BG""),8,FALSE))"),"")</f>
        <v/>
      </c>
      <c r="L251" s="287"/>
      <c r="Z251" s="41" t="str">
        <f t="shared" si="16"/>
        <v/>
      </c>
      <c r="AA251" s="5" t="str">
        <f ca="1">IFERROR(__xludf.DUMMYFUNCTION("IFERROR(VLOOKUP(E274&amp;F274,IMPORTRANGE(""https://docs.google.com/spreadsheets/d/1Uw7-A9f9R21vMXxHZFNpYNeKFtG8_yji4HS352LGlSQ/edit?pli=1#gid=0"",""1_ACUM!A4:S""),11,FALSE))"),"")</f>
        <v/>
      </c>
      <c r="AB251" s="42" t="str">
        <f ca="1">IFERROR(__xludf.DUMMYFUNCTION("IFERROR(VLOOKUP(F274,IMPORTRANGE(""https://docs.google.com/spreadsheets/d/1Kvs4KS76FHFqLFIZfrDMff4kP08nblUkihrxltoGBjg/edit#gid=934712705"",""ESENCIAL!A6:BG""),15,FALSE))"),"")</f>
        <v/>
      </c>
      <c r="AC251" s="110" t="str">
        <f ca="1">IFERROR(__xludf.DUMMYFUNCTION("IFERROR(VLOOKUP(E274&amp;F274,IMPORTRANGE(""https://docs.google.com/spreadsheets/d/1Uw7-A9f9R21vMXxHZFNpYNeKFtG8_yji4HS352LGlSQ/edit?pli=1#gid=0"",""1_ACUM!A4:S""),13,FALSE))"),"")</f>
        <v/>
      </c>
      <c r="AD251" s="43" t="str">
        <f ca="1">IFERROR(__xludf.DUMMYFUNCTION("IFERROR(VLOOKUP(E274&amp;F274,IMPORTRANGE(""https://docs.google.com/spreadsheets/d/1Uw7-A9f9R21vMXxHZFNpYNeKFtG8_yji4HS352LGlSQ/edit?pli=1#gid=0"",""1_ACUM!A4:S""),13,FALSE))"),"")</f>
        <v/>
      </c>
      <c r="AE251" s="43" t="str">
        <f ca="1">IFERROR(__xludf.DUMMYFUNCTION("IFERROR(VLOOKUP(E274&amp;F274,IMPORTRANGE(""https://docs.google.com/spreadsheets/d/1Uw7-A9f9R21vMXxHZFNpYNeKFtG8_yji4HS352LGlSQ/edit?pli=1#gid=0"",""1_ACUM!A4:S""),14,FALSE))"),"")</f>
        <v/>
      </c>
      <c r="AF251" s="43" t="str">
        <f ca="1">IFERROR(__xludf.DUMMYFUNCTION("IFERROR(VLOOKUP(E274&amp;F274,IMPORTRANGE(""https://docs.google.com/spreadsheets/d/1Uw7-A9f9R21vMXxHZFNpYNeKFtG8_yji4HS352LGlSQ/edit?pli=1#gid=0"",""1_ACUM!A4:S""),15,FALSE))"),"")</f>
        <v/>
      </c>
      <c r="AG251" s="43" t="str">
        <f ca="1">IFERROR(__xludf.DUMMYFUNCTION("IFERROR(VLOOKUP(E274&amp;F274,IMPORTRANGE(""https://docs.google.com/spreadsheets/d/1Uw7-A9f9R21vMXxHZFNpYNeKFtG8_yji4HS352LGlSQ/edit?pli=1#gid=0"",""1_ACUM!A4:S""),16,FALSE))"),"")</f>
        <v/>
      </c>
      <c r="AH251" s="43" t="str">
        <f ca="1">IFERROR(__xludf.DUMMYFUNCTION("IFERROR(VLOOKUP(E274&amp;F274,IMPORTRANGE(""https://docs.google.com/spreadsheets/d/1Uw7-A9f9R21vMXxHZFNpYNeKFtG8_yji4HS352LGlSQ/edit?pli=1#gid=0"",""1_ACUM!A4:S""),17,FALSE))"),"")</f>
        <v/>
      </c>
      <c r="AI251" s="44" t="str">
        <f ca="1">IFERROR(__xludf.DUMMYFUNCTION("IFERROR(VLOOKUP(E274&amp;F274,IMPORTRANGE(""https://docs.google.com/spreadsheets/d/1Uw7-A9f9R21vMXxHZFNpYNeKFtG8_yji4HS352LGlSQ/edit?pli=1#gid=0"",""1_ACUM!A4:S""),18,FALSE))"),"")</f>
        <v/>
      </c>
      <c r="AJ251" s="44" t="str">
        <f ca="1">IFERROR(__xludf.DUMMYFUNCTION("IFERROR(VLOOKUP(E274&amp;F274,IMPORTRANGE(""https://docs.google.com/spreadsheets/d/1Uw7-A9f9R21vMXxHZFNpYNeKFtG8_yji4HS352LGlSQ/edit?pli=1#gid=0"",""1_ACUM!A4:S""),19,FALSE))"),"")</f>
        <v/>
      </c>
      <c r="AK251" s="98" t="str">
        <f ca="1">IFERROR(__xludf.DUMMYFUNCTION("IFERROR(VLOOKUP(F274,IMPORTRANGE(""https://docs.google.com/spreadsheets/d/1Kvs4KS76FHFqLFIZfrDMff4kP08nblUkihrxltoGBjg/edit#gid=934712705"",""ESENCIAL!A6:BG""),5,FALSE))"),"")</f>
        <v/>
      </c>
      <c r="AL251" s="98" t="str">
        <f t="shared" si="17"/>
        <v/>
      </c>
      <c r="AM251" s="99" t="str">
        <f t="shared" si="18"/>
        <v/>
      </c>
      <c r="AN251" s="100" t="str">
        <f ca="1">IFERROR(__xludf.DUMMYFUNCTION("IFERROR(VLOOKUP(F274,IMPORTRANGE(""https://docs.google.com/spreadsheets/d/1Kvs4KS76FHFqLFIZfrDMff4kP08nblUkihrxltoGBjg/edit#gid=934712705"",""ESENCIAL!A6:BG""),2,FALSE))"),"")</f>
        <v/>
      </c>
      <c r="AO251" s="19" t="str">
        <f t="shared" si="20"/>
        <v/>
      </c>
      <c r="AP251" s="100"/>
      <c r="AQ251" s="100"/>
    </row>
    <row r="252" spans="1:43" ht="15">
      <c r="A252" s="101"/>
      <c r="B252" s="101"/>
      <c r="G252" s="5" t="str">
        <f ca="1">IFERROR(__xludf.DUMMYFUNCTION("IFERROR(VLOOKUP(F275,IMPORTRANGE(""https://docs.google.com/spreadsheets/d/1Kvs4KS76FHFqLFIZfrDMff4kP08nblUkihrxltoGBjg/edit#gid=934712705"",""ESENCIAL!A6:BG""),3,FALSE))"),"")</f>
        <v/>
      </c>
      <c r="H252" s="5" t="str">
        <f ca="1">IFERROR(__xludf.DUMMYFUNCTION("IFERROR(VLOOKUP(F275,IMPORTRANGE(""https://docs.google.com/spreadsheets/d/1Kvs4KS76FHFqLFIZfrDMff4kP08nblUkihrxltoGBjg/edit#gid=934712705"",""ESENCIAL!A6:BG""),8,FALSE))"),"")</f>
        <v/>
      </c>
      <c r="L252" s="287"/>
      <c r="Z252" s="41" t="str">
        <f t="shared" si="16"/>
        <v/>
      </c>
      <c r="AA252" s="5" t="str">
        <f ca="1">IFERROR(__xludf.DUMMYFUNCTION("IFERROR(VLOOKUP(E275&amp;F275,IMPORTRANGE(""https://docs.google.com/spreadsheets/d/1Uw7-A9f9R21vMXxHZFNpYNeKFtG8_yji4HS352LGlSQ/edit?pli=1#gid=0"",""1_ACUM!A4:S""),11,FALSE))"),"")</f>
        <v/>
      </c>
      <c r="AB252" s="42" t="str">
        <f ca="1">IFERROR(__xludf.DUMMYFUNCTION("IFERROR(VLOOKUP(F275,IMPORTRANGE(""https://docs.google.com/spreadsheets/d/1Kvs4KS76FHFqLFIZfrDMff4kP08nblUkihrxltoGBjg/edit#gid=934712705"",""ESENCIAL!A6:BG""),15,FALSE))"),"")</f>
        <v/>
      </c>
      <c r="AC252" s="110" t="str">
        <f ca="1">IFERROR(__xludf.DUMMYFUNCTION("IFERROR(VLOOKUP(E275&amp;F275,IMPORTRANGE(""https://docs.google.com/spreadsheets/d/1Uw7-A9f9R21vMXxHZFNpYNeKFtG8_yji4HS352LGlSQ/edit?pli=1#gid=0"",""1_ACUM!A4:S""),13,FALSE))"),"")</f>
        <v/>
      </c>
      <c r="AD252" s="43" t="str">
        <f ca="1">IFERROR(__xludf.DUMMYFUNCTION("IFERROR(VLOOKUP(E275&amp;F275,IMPORTRANGE(""https://docs.google.com/spreadsheets/d/1Uw7-A9f9R21vMXxHZFNpYNeKFtG8_yji4HS352LGlSQ/edit?pli=1#gid=0"",""1_ACUM!A4:S""),13,FALSE))"),"")</f>
        <v/>
      </c>
      <c r="AE252" s="43" t="str">
        <f ca="1">IFERROR(__xludf.DUMMYFUNCTION("IFERROR(VLOOKUP(E275&amp;F275,IMPORTRANGE(""https://docs.google.com/spreadsheets/d/1Uw7-A9f9R21vMXxHZFNpYNeKFtG8_yji4HS352LGlSQ/edit?pli=1#gid=0"",""1_ACUM!A4:S""),14,FALSE))"),"")</f>
        <v/>
      </c>
      <c r="AF252" s="43" t="str">
        <f ca="1">IFERROR(__xludf.DUMMYFUNCTION("IFERROR(VLOOKUP(E275&amp;F275,IMPORTRANGE(""https://docs.google.com/spreadsheets/d/1Uw7-A9f9R21vMXxHZFNpYNeKFtG8_yji4HS352LGlSQ/edit?pli=1#gid=0"",""1_ACUM!A4:S""),15,FALSE))"),"")</f>
        <v/>
      </c>
      <c r="AG252" s="43" t="str">
        <f ca="1">IFERROR(__xludf.DUMMYFUNCTION("IFERROR(VLOOKUP(E275&amp;F275,IMPORTRANGE(""https://docs.google.com/spreadsheets/d/1Uw7-A9f9R21vMXxHZFNpYNeKFtG8_yji4HS352LGlSQ/edit?pli=1#gid=0"",""1_ACUM!A4:S""),16,FALSE))"),"")</f>
        <v/>
      </c>
      <c r="AH252" s="43" t="str">
        <f ca="1">IFERROR(__xludf.DUMMYFUNCTION("IFERROR(VLOOKUP(E275&amp;F275,IMPORTRANGE(""https://docs.google.com/spreadsheets/d/1Uw7-A9f9R21vMXxHZFNpYNeKFtG8_yji4HS352LGlSQ/edit?pli=1#gid=0"",""1_ACUM!A4:S""),17,FALSE))"),"")</f>
        <v/>
      </c>
      <c r="AI252" s="44" t="str">
        <f ca="1">IFERROR(__xludf.DUMMYFUNCTION("IFERROR(VLOOKUP(E275&amp;F275,IMPORTRANGE(""https://docs.google.com/spreadsheets/d/1Uw7-A9f9R21vMXxHZFNpYNeKFtG8_yji4HS352LGlSQ/edit?pli=1#gid=0"",""1_ACUM!A4:S""),18,FALSE))"),"")</f>
        <v/>
      </c>
      <c r="AJ252" s="44" t="str">
        <f ca="1">IFERROR(__xludf.DUMMYFUNCTION("IFERROR(VLOOKUP(E275&amp;F275,IMPORTRANGE(""https://docs.google.com/spreadsheets/d/1Uw7-A9f9R21vMXxHZFNpYNeKFtG8_yji4HS352LGlSQ/edit?pli=1#gid=0"",""1_ACUM!A4:S""),19,FALSE))"),"")</f>
        <v/>
      </c>
      <c r="AK252" s="98" t="str">
        <f ca="1">IFERROR(__xludf.DUMMYFUNCTION("IFERROR(VLOOKUP(F275,IMPORTRANGE(""https://docs.google.com/spreadsheets/d/1Kvs4KS76FHFqLFIZfrDMff4kP08nblUkihrxltoGBjg/edit#gid=934712705"",""ESENCIAL!A6:BG""),5,FALSE))"),"")</f>
        <v/>
      </c>
      <c r="AL252" s="98" t="str">
        <f t="shared" si="17"/>
        <v/>
      </c>
      <c r="AM252" s="99" t="str">
        <f t="shared" si="18"/>
        <v/>
      </c>
      <c r="AN252" s="100" t="str">
        <f ca="1">IFERROR(__xludf.DUMMYFUNCTION("IFERROR(VLOOKUP(F275,IMPORTRANGE(""https://docs.google.com/spreadsheets/d/1Kvs4KS76FHFqLFIZfrDMff4kP08nblUkihrxltoGBjg/edit#gid=934712705"",""ESENCIAL!A6:BG""),2,FALSE))"),"")</f>
        <v/>
      </c>
      <c r="AO252" s="19" t="str">
        <f t="shared" si="20"/>
        <v/>
      </c>
      <c r="AP252" s="100"/>
      <c r="AQ252" s="100"/>
    </row>
    <row r="253" spans="1:43" ht="15">
      <c r="A253" s="101"/>
      <c r="B253" s="101"/>
      <c r="G253" s="5" t="str">
        <f ca="1">IFERROR(__xludf.DUMMYFUNCTION("IFERROR(VLOOKUP(F276,IMPORTRANGE(""https://docs.google.com/spreadsheets/d/1Kvs4KS76FHFqLFIZfrDMff4kP08nblUkihrxltoGBjg/edit#gid=934712705"",""ESENCIAL!A6:BG""),3,FALSE))"),"")</f>
        <v/>
      </c>
      <c r="H253" s="5" t="str">
        <f ca="1">IFERROR(__xludf.DUMMYFUNCTION("IFERROR(VLOOKUP(F276,IMPORTRANGE(""https://docs.google.com/spreadsheets/d/1Kvs4KS76FHFqLFIZfrDMff4kP08nblUkihrxltoGBjg/edit#gid=934712705"",""ESENCIAL!A6:BG""),8,FALSE))"),"")</f>
        <v/>
      </c>
      <c r="L253" s="287"/>
      <c r="Z253" s="41" t="str">
        <f t="shared" si="16"/>
        <v/>
      </c>
      <c r="AA253" s="5" t="str">
        <f ca="1">IFERROR(__xludf.DUMMYFUNCTION("IFERROR(VLOOKUP(E276&amp;F276,IMPORTRANGE(""https://docs.google.com/spreadsheets/d/1Uw7-A9f9R21vMXxHZFNpYNeKFtG8_yji4HS352LGlSQ/edit?pli=1#gid=0"",""1_ACUM!A4:S""),11,FALSE))"),"")</f>
        <v/>
      </c>
      <c r="AB253" s="42" t="str">
        <f ca="1">IFERROR(__xludf.DUMMYFUNCTION("IFERROR(VLOOKUP(F276,IMPORTRANGE(""https://docs.google.com/spreadsheets/d/1Kvs4KS76FHFqLFIZfrDMff4kP08nblUkihrxltoGBjg/edit#gid=934712705"",""ESENCIAL!A6:BG""),15,FALSE))"),"")</f>
        <v/>
      </c>
      <c r="AC253" s="110" t="str">
        <f ca="1">IFERROR(__xludf.DUMMYFUNCTION("IFERROR(VLOOKUP(E276&amp;F276,IMPORTRANGE(""https://docs.google.com/spreadsheets/d/1Uw7-A9f9R21vMXxHZFNpYNeKFtG8_yji4HS352LGlSQ/edit?pli=1#gid=0"",""1_ACUM!A4:S""),13,FALSE))"),"")</f>
        <v/>
      </c>
      <c r="AD253" s="43" t="str">
        <f ca="1">IFERROR(__xludf.DUMMYFUNCTION("IFERROR(VLOOKUP(E276&amp;F276,IMPORTRANGE(""https://docs.google.com/spreadsheets/d/1Uw7-A9f9R21vMXxHZFNpYNeKFtG8_yji4HS352LGlSQ/edit?pli=1#gid=0"",""1_ACUM!A4:S""),13,FALSE))"),"")</f>
        <v/>
      </c>
      <c r="AE253" s="43" t="str">
        <f ca="1">IFERROR(__xludf.DUMMYFUNCTION("IFERROR(VLOOKUP(E276&amp;F276,IMPORTRANGE(""https://docs.google.com/spreadsheets/d/1Uw7-A9f9R21vMXxHZFNpYNeKFtG8_yji4HS352LGlSQ/edit?pli=1#gid=0"",""1_ACUM!A4:S""),14,FALSE))"),"")</f>
        <v/>
      </c>
      <c r="AF253" s="43" t="str">
        <f ca="1">IFERROR(__xludf.DUMMYFUNCTION("IFERROR(VLOOKUP(E276&amp;F276,IMPORTRANGE(""https://docs.google.com/spreadsheets/d/1Uw7-A9f9R21vMXxHZFNpYNeKFtG8_yji4HS352LGlSQ/edit?pli=1#gid=0"",""1_ACUM!A4:S""),15,FALSE))"),"")</f>
        <v/>
      </c>
      <c r="AG253" s="43" t="str">
        <f ca="1">IFERROR(__xludf.DUMMYFUNCTION("IFERROR(VLOOKUP(E276&amp;F276,IMPORTRANGE(""https://docs.google.com/spreadsheets/d/1Uw7-A9f9R21vMXxHZFNpYNeKFtG8_yji4HS352LGlSQ/edit?pli=1#gid=0"",""1_ACUM!A4:S""),16,FALSE))"),"")</f>
        <v/>
      </c>
      <c r="AH253" s="43" t="str">
        <f ca="1">IFERROR(__xludf.DUMMYFUNCTION("IFERROR(VLOOKUP(E276&amp;F276,IMPORTRANGE(""https://docs.google.com/spreadsheets/d/1Uw7-A9f9R21vMXxHZFNpYNeKFtG8_yji4HS352LGlSQ/edit?pli=1#gid=0"",""1_ACUM!A4:S""),17,FALSE))"),"")</f>
        <v/>
      </c>
      <c r="AI253" s="44" t="str">
        <f ca="1">IFERROR(__xludf.DUMMYFUNCTION("IFERROR(VLOOKUP(E276&amp;F276,IMPORTRANGE(""https://docs.google.com/spreadsheets/d/1Uw7-A9f9R21vMXxHZFNpYNeKFtG8_yji4HS352LGlSQ/edit?pli=1#gid=0"",""1_ACUM!A4:S""),18,FALSE))"),"")</f>
        <v/>
      </c>
      <c r="AJ253" s="44" t="str">
        <f ca="1">IFERROR(__xludf.DUMMYFUNCTION("IFERROR(VLOOKUP(E276&amp;F276,IMPORTRANGE(""https://docs.google.com/spreadsheets/d/1Uw7-A9f9R21vMXxHZFNpYNeKFtG8_yji4HS352LGlSQ/edit?pli=1#gid=0"",""1_ACUM!A4:S""),19,FALSE))"),"")</f>
        <v/>
      </c>
      <c r="AK253" s="98" t="str">
        <f ca="1">IFERROR(__xludf.DUMMYFUNCTION("IFERROR(VLOOKUP(F276,IMPORTRANGE(""https://docs.google.com/spreadsheets/d/1Kvs4KS76FHFqLFIZfrDMff4kP08nblUkihrxltoGBjg/edit#gid=934712705"",""ESENCIAL!A6:BG""),5,FALSE))"),"")</f>
        <v/>
      </c>
      <c r="AL253" s="98" t="str">
        <f t="shared" si="17"/>
        <v/>
      </c>
      <c r="AM253" s="99" t="str">
        <f t="shared" si="18"/>
        <v/>
      </c>
      <c r="AN253" s="100" t="str">
        <f ca="1">IFERROR(__xludf.DUMMYFUNCTION("IFERROR(VLOOKUP(F276,IMPORTRANGE(""https://docs.google.com/spreadsheets/d/1Kvs4KS76FHFqLFIZfrDMff4kP08nblUkihrxltoGBjg/edit#gid=934712705"",""ESENCIAL!A6:BG""),2,FALSE))"),"")</f>
        <v/>
      </c>
      <c r="AO253" s="19" t="str">
        <f t="shared" si="20"/>
        <v/>
      </c>
      <c r="AP253" s="100"/>
      <c r="AQ253" s="100"/>
    </row>
    <row r="254" spans="1:43" ht="15">
      <c r="A254" s="101"/>
      <c r="B254" s="101"/>
      <c r="G254" s="5" t="str">
        <f ca="1">IFERROR(__xludf.DUMMYFUNCTION("IFERROR(VLOOKUP(F277,IMPORTRANGE(""https://docs.google.com/spreadsheets/d/1Kvs4KS76FHFqLFIZfrDMff4kP08nblUkihrxltoGBjg/edit#gid=934712705"",""ESENCIAL!A6:BG""),3,FALSE))"),"")</f>
        <v/>
      </c>
      <c r="H254" s="5" t="str">
        <f ca="1">IFERROR(__xludf.DUMMYFUNCTION("IFERROR(VLOOKUP(F277,IMPORTRANGE(""https://docs.google.com/spreadsheets/d/1Kvs4KS76FHFqLFIZfrDMff4kP08nblUkihrxltoGBjg/edit#gid=934712705"",""ESENCIAL!A6:BG""),8,FALSE))"),"")</f>
        <v/>
      </c>
      <c r="L254" s="287"/>
      <c r="Z254" s="41" t="str">
        <f t="shared" si="16"/>
        <v/>
      </c>
      <c r="AA254" s="5" t="str">
        <f ca="1">IFERROR(__xludf.DUMMYFUNCTION("IFERROR(VLOOKUP(E277&amp;F277,IMPORTRANGE(""https://docs.google.com/spreadsheets/d/1Uw7-A9f9R21vMXxHZFNpYNeKFtG8_yji4HS352LGlSQ/edit?pli=1#gid=0"",""1_ACUM!A4:S""),11,FALSE))"),"")</f>
        <v/>
      </c>
      <c r="AB254" s="42" t="str">
        <f ca="1">IFERROR(__xludf.DUMMYFUNCTION("IFERROR(VLOOKUP(F277,IMPORTRANGE(""https://docs.google.com/spreadsheets/d/1Kvs4KS76FHFqLFIZfrDMff4kP08nblUkihrxltoGBjg/edit#gid=934712705"",""ESENCIAL!A6:BG""),15,FALSE))"),"")</f>
        <v/>
      </c>
      <c r="AC254" s="110" t="str">
        <f ca="1">IFERROR(__xludf.DUMMYFUNCTION("IFERROR(VLOOKUP(E277&amp;F277,IMPORTRANGE(""https://docs.google.com/spreadsheets/d/1Uw7-A9f9R21vMXxHZFNpYNeKFtG8_yji4HS352LGlSQ/edit?pli=1#gid=0"",""1_ACUM!A4:S""),13,FALSE))"),"")</f>
        <v/>
      </c>
      <c r="AD254" s="43" t="str">
        <f ca="1">IFERROR(__xludf.DUMMYFUNCTION("IFERROR(VLOOKUP(E277&amp;F277,IMPORTRANGE(""https://docs.google.com/spreadsheets/d/1Uw7-A9f9R21vMXxHZFNpYNeKFtG8_yji4HS352LGlSQ/edit?pli=1#gid=0"",""1_ACUM!A4:S""),13,FALSE))"),"")</f>
        <v/>
      </c>
      <c r="AE254" s="43" t="str">
        <f ca="1">IFERROR(__xludf.DUMMYFUNCTION("IFERROR(VLOOKUP(E277&amp;F277,IMPORTRANGE(""https://docs.google.com/spreadsheets/d/1Uw7-A9f9R21vMXxHZFNpYNeKFtG8_yji4HS352LGlSQ/edit?pli=1#gid=0"",""1_ACUM!A4:S""),14,FALSE))"),"")</f>
        <v/>
      </c>
      <c r="AF254" s="43" t="str">
        <f ca="1">IFERROR(__xludf.DUMMYFUNCTION("IFERROR(VLOOKUP(E277&amp;F277,IMPORTRANGE(""https://docs.google.com/spreadsheets/d/1Uw7-A9f9R21vMXxHZFNpYNeKFtG8_yji4HS352LGlSQ/edit?pli=1#gid=0"",""1_ACUM!A4:S""),15,FALSE))"),"")</f>
        <v/>
      </c>
      <c r="AG254" s="43" t="str">
        <f ca="1">IFERROR(__xludf.DUMMYFUNCTION("IFERROR(VLOOKUP(E277&amp;F277,IMPORTRANGE(""https://docs.google.com/spreadsheets/d/1Uw7-A9f9R21vMXxHZFNpYNeKFtG8_yji4HS352LGlSQ/edit?pli=1#gid=0"",""1_ACUM!A4:S""),16,FALSE))"),"")</f>
        <v/>
      </c>
      <c r="AH254" s="43" t="str">
        <f ca="1">IFERROR(__xludf.DUMMYFUNCTION("IFERROR(VLOOKUP(E277&amp;F277,IMPORTRANGE(""https://docs.google.com/spreadsheets/d/1Uw7-A9f9R21vMXxHZFNpYNeKFtG8_yji4HS352LGlSQ/edit?pli=1#gid=0"",""1_ACUM!A4:S""),17,FALSE))"),"")</f>
        <v/>
      </c>
      <c r="AI254" s="44" t="str">
        <f ca="1">IFERROR(__xludf.DUMMYFUNCTION("IFERROR(VLOOKUP(E277&amp;F277,IMPORTRANGE(""https://docs.google.com/spreadsheets/d/1Uw7-A9f9R21vMXxHZFNpYNeKFtG8_yji4HS352LGlSQ/edit?pli=1#gid=0"",""1_ACUM!A4:S""),18,FALSE))"),"")</f>
        <v/>
      </c>
      <c r="AJ254" s="44" t="str">
        <f ca="1">IFERROR(__xludf.DUMMYFUNCTION("IFERROR(VLOOKUP(E277&amp;F277,IMPORTRANGE(""https://docs.google.com/spreadsheets/d/1Uw7-A9f9R21vMXxHZFNpYNeKFtG8_yji4HS352LGlSQ/edit?pli=1#gid=0"",""1_ACUM!A4:S""),19,FALSE))"),"")</f>
        <v/>
      </c>
      <c r="AK254" s="98" t="str">
        <f ca="1">IFERROR(__xludf.DUMMYFUNCTION("IFERROR(VLOOKUP(F277,IMPORTRANGE(""https://docs.google.com/spreadsheets/d/1Kvs4KS76FHFqLFIZfrDMff4kP08nblUkihrxltoGBjg/edit#gid=934712705"",""ESENCIAL!A6:BG""),5,FALSE))"),"")</f>
        <v/>
      </c>
      <c r="AL254" s="98" t="str">
        <f t="shared" si="17"/>
        <v/>
      </c>
      <c r="AM254" s="99" t="str">
        <f t="shared" si="18"/>
        <v/>
      </c>
      <c r="AN254" s="100" t="str">
        <f ca="1">IFERROR(__xludf.DUMMYFUNCTION("IFERROR(VLOOKUP(F277,IMPORTRANGE(""https://docs.google.com/spreadsheets/d/1Kvs4KS76FHFqLFIZfrDMff4kP08nblUkihrxltoGBjg/edit#gid=934712705"",""ESENCIAL!A6:BG""),2,FALSE))"),"")</f>
        <v/>
      </c>
      <c r="AO254" s="19" t="str">
        <f t="shared" si="20"/>
        <v/>
      </c>
      <c r="AP254" s="100"/>
      <c r="AQ254" s="100"/>
    </row>
    <row r="255" spans="1:43" ht="15">
      <c r="A255" s="101"/>
      <c r="B255" s="101"/>
      <c r="G255" s="5" t="str">
        <f ca="1">IFERROR(__xludf.DUMMYFUNCTION("IFERROR(VLOOKUP(F278,IMPORTRANGE(""https://docs.google.com/spreadsheets/d/1Kvs4KS76FHFqLFIZfrDMff4kP08nblUkihrxltoGBjg/edit#gid=934712705"",""ESENCIAL!A6:BG""),3,FALSE))"),"")</f>
        <v/>
      </c>
      <c r="H255" s="5" t="str">
        <f ca="1">IFERROR(__xludf.DUMMYFUNCTION("IFERROR(VLOOKUP(F278,IMPORTRANGE(""https://docs.google.com/spreadsheets/d/1Kvs4KS76FHFqLFIZfrDMff4kP08nblUkihrxltoGBjg/edit#gid=934712705"",""ESENCIAL!A6:BG""),8,FALSE))"),"")</f>
        <v/>
      </c>
      <c r="L255" s="287"/>
      <c r="Z255" s="41" t="str">
        <f t="shared" si="16"/>
        <v/>
      </c>
      <c r="AA255" s="5" t="str">
        <f ca="1">IFERROR(__xludf.DUMMYFUNCTION("IFERROR(VLOOKUP(E278&amp;F278,IMPORTRANGE(""https://docs.google.com/spreadsheets/d/1Uw7-A9f9R21vMXxHZFNpYNeKFtG8_yji4HS352LGlSQ/edit?pli=1#gid=0"",""1_ACUM!A4:S""),11,FALSE))"),"")</f>
        <v/>
      </c>
      <c r="AB255" s="42" t="str">
        <f ca="1">IFERROR(__xludf.DUMMYFUNCTION("IFERROR(VLOOKUP(F278,IMPORTRANGE(""https://docs.google.com/spreadsheets/d/1Kvs4KS76FHFqLFIZfrDMff4kP08nblUkihrxltoGBjg/edit#gid=934712705"",""ESENCIAL!A6:BG""),15,FALSE))"),"")</f>
        <v/>
      </c>
      <c r="AC255" s="110" t="str">
        <f ca="1">IFERROR(__xludf.DUMMYFUNCTION("IFERROR(VLOOKUP(E278&amp;F278,IMPORTRANGE(""https://docs.google.com/spreadsheets/d/1Uw7-A9f9R21vMXxHZFNpYNeKFtG8_yji4HS352LGlSQ/edit?pli=1#gid=0"",""1_ACUM!A4:S""),13,FALSE))"),"")</f>
        <v/>
      </c>
      <c r="AD255" s="43" t="str">
        <f ca="1">IFERROR(__xludf.DUMMYFUNCTION("IFERROR(VLOOKUP(E278&amp;F278,IMPORTRANGE(""https://docs.google.com/spreadsheets/d/1Uw7-A9f9R21vMXxHZFNpYNeKFtG8_yji4HS352LGlSQ/edit?pli=1#gid=0"",""1_ACUM!A4:S""),13,FALSE))"),"")</f>
        <v/>
      </c>
      <c r="AE255" s="43" t="str">
        <f ca="1">IFERROR(__xludf.DUMMYFUNCTION("IFERROR(VLOOKUP(E278&amp;F278,IMPORTRANGE(""https://docs.google.com/spreadsheets/d/1Uw7-A9f9R21vMXxHZFNpYNeKFtG8_yji4HS352LGlSQ/edit?pli=1#gid=0"",""1_ACUM!A4:S""),14,FALSE))"),"")</f>
        <v/>
      </c>
      <c r="AF255" s="43" t="str">
        <f ca="1">IFERROR(__xludf.DUMMYFUNCTION("IFERROR(VLOOKUP(E278&amp;F278,IMPORTRANGE(""https://docs.google.com/spreadsheets/d/1Uw7-A9f9R21vMXxHZFNpYNeKFtG8_yji4HS352LGlSQ/edit?pli=1#gid=0"",""1_ACUM!A4:S""),15,FALSE))"),"")</f>
        <v/>
      </c>
      <c r="AG255" s="43" t="str">
        <f ca="1">IFERROR(__xludf.DUMMYFUNCTION("IFERROR(VLOOKUP(E278&amp;F278,IMPORTRANGE(""https://docs.google.com/spreadsheets/d/1Uw7-A9f9R21vMXxHZFNpYNeKFtG8_yji4HS352LGlSQ/edit?pli=1#gid=0"",""1_ACUM!A4:S""),16,FALSE))"),"")</f>
        <v/>
      </c>
      <c r="AH255" s="43" t="str">
        <f ca="1">IFERROR(__xludf.DUMMYFUNCTION("IFERROR(VLOOKUP(E278&amp;F278,IMPORTRANGE(""https://docs.google.com/spreadsheets/d/1Uw7-A9f9R21vMXxHZFNpYNeKFtG8_yji4HS352LGlSQ/edit?pli=1#gid=0"",""1_ACUM!A4:S""),17,FALSE))"),"")</f>
        <v/>
      </c>
      <c r="AI255" s="44" t="str">
        <f ca="1">IFERROR(__xludf.DUMMYFUNCTION("IFERROR(VLOOKUP(E278&amp;F278,IMPORTRANGE(""https://docs.google.com/spreadsheets/d/1Uw7-A9f9R21vMXxHZFNpYNeKFtG8_yji4HS352LGlSQ/edit?pli=1#gid=0"",""1_ACUM!A4:S""),18,FALSE))"),"")</f>
        <v/>
      </c>
      <c r="AJ255" s="44" t="str">
        <f ca="1">IFERROR(__xludf.DUMMYFUNCTION("IFERROR(VLOOKUP(E278&amp;F278,IMPORTRANGE(""https://docs.google.com/spreadsheets/d/1Uw7-A9f9R21vMXxHZFNpYNeKFtG8_yji4HS352LGlSQ/edit?pli=1#gid=0"",""1_ACUM!A4:S""),19,FALSE))"),"")</f>
        <v/>
      </c>
      <c r="AK255" s="98" t="str">
        <f ca="1">IFERROR(__xludf.DUMMYFUNCTION("IFERROR(VLOOKUP(F278,IMPORTRANGE(""https://docs.google.com/spreadsheets/d/1Kvs4KS76FHFqLFIZfrDMff4kP08nblUkihrxltoGBjg/edit#gid=934712705"",""ESENCIAL!A6:BG""),5,FALSE))"),"")</f>
        <v/>
      </c>
      <c r="AL255" s="98" t="str">
        <f t="shared" si="17"/>
        <v/>
      </c>
      <c r="AM255" s="99" t="str">
        <f t="shared" si="18"/>
        <v/>
      </c>
      <c r="AN255" s="100" t="str">
        <f ca="1">IFERROR(__xludf.DUMMYFUNCTION("IFERROR(VLOOKUP(F278,IMPORTRANGE(""https://docs.google.com/spreadsheets/d/1Kvs4KS76FHFqLFIZfrDMff4kP08nblUkihrxltoGBjg/edit#gid=934712705"",""ESENCIAL!A6:BG""),2,FALSE))"),"")</f>
        <v/>
      </c>
      <c r="AO255" s="19" t="str">
        <f t="shared" si="20"/>
        <v/>
      </c>
      <c r="AP255" s="100"/>
      <c r="AQ255" s="100"/>
    </row>
    <row r="256" spans="1:43" ht="15">
      <c r="A256" s="101"/>
      <c r="B256" s="101"/>
      <c r="G256" s="5" t="str">
        <f ca="1">IFERROR(__xludf.DUMMYFUNCTION("IFERROR(VLOOKUP(F279,IMPORTRANGE(""https://docs.google.com/spreadsheets/d/1Kvs4KS76FHFqLFIZfrDMff4kP08nblUkihrxltoGBjg/edit#gid=934712705"",""ESENCIAL!A6:BG""),3,FALSE))"),"")</f>
        <v/>
      </c>
      <c r="H256" s="5" t="str">
        <f ca="1">IFERROR(__xludf.DUMMYFUNCTION("IFERROR(VLOOKUP(F279,IMPORTRANGE(""https://docs.google.com/spreadsheets/d/1Kvs4KS76FHFqLFIZfrDMff4kP08nblUkihrxltoGBjg/edit#gid=934712705"",""ESENCIAL!A6:BG""),8,FALSE))"),"")</f>
        <v/>
      </c>
      <c r="L256" s="287"/>
      <c r="Z256" s="41" t="str">
        <f t="shared" si="16"/>
        <v/>
      </c>
      <c r="AA256" s="5" t="str">
        <f ca="1">IFERROR(__xludf.DUMMYFUNCTION("IFERROR(VLOOKUP(E279&amp;F279,IMPORTRANGE(""https://docs.google.com/spreadsheets/d/1Uw7-A9f9R21vMXxHZFNpYNeKFtG8_yji4HS352LGlSQ/edit?pli=1#gid=0"",""1_ACUM!A4:S""),11,FALSE))"),"")</f>
        <v/>
      </c>
      <c r="AB256" s="42" t="str">
        <f ca="1">IFERROR(__xludf.DUMMYFUNCTION("IFERROR(VLOOKUP(F279,IMPORTRANGE(""https://docs.google.com/spreadsheets/d/1Kvs4KS76FHFqLFIZfrDMff4kP08nblUkihrxltoGBjg/edit#gid=934712705"",""ESENCIAL!A6:BG""),15,FALSE))"),"")</f>
        <v/>
      </c>
      <c r="AC256" s="110" t="str">
        <f ca="1">IFERROR(__xludf.DUMMYFUNCTION("IFERROR(VLOOKUP(E279&amp;F279,IMPORTRANGE(""https://docs.google.com/spreadsheets/d/1Uw7-A9f9R21vMXxHZFNpYNeKFtG8_yji4HS352LGlSQ/edit?pli=1#gid=0"",""1_ACUM!A4:S""),13,FALSE))"),"")</f>
        <v/>
      </c>
      <c r="AD256" s="43" t="str">
        <f ca="1">IFERROR(__xludf.DUMMYFUNCTION("IFERROR(VLOOKUP(E279&amp;F279,IMPORTRANGE(""https://docs.google.com/spreadsheets/d/1Uw7-A9f9R21vMXxHZFNpYNeKFtG8_yji4HS352LGlSQ/edit?pli=1#gid=0"",""1_ACUM!A4:S""),13,FALSE))"),"")</f>
        <v/>
      </c>
      <c r="AE256" s="43" t="str">
        <f ca="1">IFERROR(__xludf.DUMMYFUNCTION("IFERROR(VLOOKUP(E279&amp;F279,IMPORTRANGE(""https://docs.google.com/spreadsheets/d/1Uw7-A9f9R21vMXxHZFNpYNeKFtG8_yji4HS352LGlSQ/edit?pli=1#gid=0"",""1_ACUM!A4:S""),14,FALSE))"),"")</f>
        <v/>
      </c>
      <c r="AF256" s="43" t="str">
        <f ca="1">IFERROR(__xludf.DUMMYFUNCTION("IFERROR(VLOOKUP(E279&amp;F279,IMPORTRANGE(""https://docs.google.com/spreadsheets/d/1Uw7-A9f9R21vMXxHZFNpYNeKFtG8_yji4HS352LGlSQ/edit?pli=1#gid=0"",""1_ACUM!A4:S""),15,FALSE))"),"")</f>
        <v/>
      </c>
      <c r="AG256" s="43" t="str">
        <f ca="1">IFERROR(__xludf.DUMMYFUNCTION("IFERROR(VLOOKUP(E279&amp;F279,IMPORTRANGE(""https://docs.google.com/spreadsheets/d/1Uw7-A9f9R21vMXxHZFNpYNeKFtG8_yji4HS352LGlSQ/edit?pli=1#gid=0"",""1_ACUM!A4:S""),16,FALSE))"),"")</f>
        <v/>
      </c>
      <c r="AH256" s="43" t="str">
        <f ca="1">IFERROR(__xludf.DUMMYFUNCTION("IFERROR(VLOOKUP(E279&amp;F279,IMPORTRANGE(""https://docs.google.com/spreadsheets/d/1Uw7-A9f9R21vMXxHZFNpYNeKFtG8_yji4HS352LGlSQ/edit?pli=1#gid=0"",""1_ACUM!A4:S""),17,FALSE))"),"")</f>
        <v/>
      </c>
      <c r="AI256" s="44" t="str">
        <f ca="1">IFERROR(__xludf.DUMMYFUNCTION("IFERROR(VLOOKUP(E279&amp;F279,IMPORTRANGE(""https://docs.google.com/spreadsheets/d/1Uw7-A9f9R21vMXxHZFNpYNeKFtG8_yji4HS352LGlSQ/edit?pli=1#gid=0"",""1_ACUM!A4:S""),18,FALSE))"),"")</f>
        <v/>
      </c>
      <c r="AJ256" s="44" t="str">
        <f ca="1">IFERROR(__xludf.DUMMYFUNCTION("IFERROR(VLOOKUP(E279&amp;F279,IMPORTRANGE(""https://docs.google.com/spreadsheets/d/1Uw7-A9f9R21vMXxHZFNpYNeKFtG8_yji4HS352LGlSQ/edit?pli=1#gid=0"",""1_ACUM!A4:S""),19,FALSE))"),"")</f>
        <v/>
      </c>
      <c r="AK256" s="98" t="str">
        <f ca="1">IFERROR(__xludf.DUMMYFUNCTION("IFERROR(VLOOKUP(F279,IMPORTRANGE(""https://docs.google.com/spreadsheets/d/1Kvs4KS76FHFqLFIZfrDMff4kP08nblUkihrxltoGBjg/edit#gid=934712705"",""ESENCIAL!A6:BG""),5,FALSE))"),"")</f>
        <v/>
      </c>
      <c r="AL256" s="98" t="str">
        <f t="shared" si="17"/>
        <v/>
      </c>
      <c r="AM256" s="99" t="str">
        <f t="shared" si="18"/>
        <v/>
      </c>
      <c r="AN256" s="100" t="str">
        <f ca="1">IFERROR(__xludf.DUMMYFUNCTION("IFERROR(VLOOKUP(F279,IMPORTRANGE(""https://docs.google.com/spreadsheets/d/1Kvs4KS76FHFqLFIZfrDMff4kP08nblUkihrxltoGBjg/edit#gid=934712705"",""ESENCIAL!A6:BG""),2,FALSE))"),"")</f>
        <v/>
      </c>
      <c r="AO256" s="19" t="str">
        <f t="shared" si="20"/>
        <v/>
      </c>
      <c r="AP256" s="100"/>
      <c r="AQ256" s="100"/>
    </row>
    <row r="257" spans="1:43" ht="15">
      <c r="A257" s="101"/>
      <c r="B257" s="101"/>
      <c r="G257" s="5" t="str">
        <f ca="1">IFERROR(__xludf.DUMMYFUNCTION("IFERROR(VLOOKUP(F280,IMPORTRANGE(""https://docs.google.com/spreadsheets/d/1Kvs4KS76FHFqLFIZfrDMff4kP08nblUkihrxltoGBjg/edit#gid=934712705"",""ESENCIAL!A6:BG""),3,FALSE))"),"")</f>
        <v/>
      </c>
      <c r="H257" s="5" t="str">
        <f ca="1">IFERROR(__xludf.DUMMYFUNCTION("IFERROR(VLOOKUP(F280,IMPORTRANGE(""https://docs.google.com/spreadsheets/d/1Kvs4KS76FHFqLFIZfrDMff4kP08nblUkihrxltoGBjg/edit#gid=934712705"",""ESENCIAL!A6:BG""),8,FALSE))"),"")</f>
        <v/>
      </c>
      <c r="L257" s="287"/>
      <c r="Z257" s="41" t="str">
        <f t="shared" si="16"/>
        <v/>
      </c>
      <c r="AA257" s="5" t="str">
        <f ca="1">IFERROR(__xludf.DUMMYFUNCTION("IFERROR(VLOOKUP(E280&amp;F280,IMPORTRANGE(""https://docs.google.com/spreadsheets/d/1Uw7-A9f9R21vMXxHZFNpYNeKFtG8_yji4HS352LGlSQ/edit?pli=1#gid=0"",""1_ACUM!A4:S""),11,FALSE))"),"")</f>
        <v/>
      </c>
      <c r="AB257" s="42" t="str">
        <f ca="1">IFERROR(__xludf.DUMMYFUNCTION("IFERROR(VLOOKUP(F280,IMPORTRANGE(""https://docs.google.com/spreadsheets/d/1Kvs4KS76FHFqLFIZfrDMff4kP08nblUkihrxltoGBjg/edit#gid=934712705"",""ESENCIAL!A6:BG""),15,FALSE))"),"")</f>
        <v/>
      </c>
      <c r="AC257" s="110" t="str">
        <f ca="1">IFERROR(__xludf.DUMMYFUNCTION("IFERROR(VLOOKUP(E280&amp;F280,IMPORTRANGE(""https://docs.google.com/spreadsheets/d/1Uw7-A9f9R21vMXxHZFNpYNeKFtG8_yji4HS352LGlSQ/edit?pli=1#gid=0"",""1_ACUM!A4:S""),13,FALSE))"),"")</f>
        <v/>
      </c>
      <c r="AD257" s="43" t="str">
        <f ca="1">IFERROR(__xludf.DUMMYFUNCTION("IFERROR(VLOOKUP(E280&amp;F280,IMPORTRANGE(""https://docs.google.com/spreadsheets/d/1Uw7-A9f9R21vMXxHZFNpYNeKFtG8_yji4HS352LGlSQ/edit?pli=1#gid=0"",""1_ACUM!A4:S""),13,FALSE))"),"")</f>
        <v/>
      </c>
      <c r="AE257" s="43" t="str">
        <f ca="1">IFERROR(__xludf.DUMMYFUNCTION("IFERROR(VLOOKUP(E280&amp;F280,IMPORTRANGE(""https://docs.google.com/spreadsheets/d/1Uw7-A9f9R21vMXxHZFNpYNeKFtG8_yji4HS352LGlSQ/edit?pli=1#gid=0"",""1_ACUM!A4:S""),14,FALSE))"),"")</f>
        <v/>
      </c>
      <c r="AF257" s="43" t="str">
        <f ca="1">IFERROR(__xludf.DUMMYFUNCTION("IFERROR(VLOOKUP(E280&amp;F280,IMPORTRANGE(""https://docs.google.com/spreadsheets/d/1Uw7-A9f9R21vMXxHZFNpYNeKFtG8_yji4HS352LGlSQ/edit?pli=1#gid=0"",""1_ACUM!A4:S""),15,FALSE))"),"")</f>
        <v/>
      </c>
      <c r="AG257" s="43" t="str">
        <f ca="1">IFERROR(__xludf.DUMMYFUNCTION("IFERROR(VLOOKUP(E280&amp;F280,IMPORTRANGE(""https://docs.google.com/spreadsheets/d/1Uw7-A9f9R21vMXxHZFNpYNeKFtG8_yji4HS352LGlSQ/edit?pli=1#gid=0"",""1_ACUM!A4:S""),16,FALSE))"),"")</f>
        <v/>
      </c>
      <c r="AH257" s="43" t="str">
        <f ca="1">IFERROR(__xludf.DUMMYFUNCTION("IFERROR(VLOOKUP(E280&amp;F280,IMPORTRANGE(""https://docs.google.com/spreadsheets/d/1Uw7-A9f9R21vMXxHZFNpYNeKFtG8_yji4HS352LGlSQ/edit?pli=1#gid=0"",""1_ACUM!A4:S""),17,FALSE))"),"")</f>
        <v/>
      </c>
      <c r="AI257" s="44" t="str">
        <f ca="1">IFERROR(__xludf.DUMMYFUNCTION("IFERROR(VLOOKUP(E280&amp;F280,IMPORTRANGE(""https://docs.google.com/spreadsheets/d/1Uw7-A9f9R21vMXxHZFNpYNeKFtG8_yji4HS352LGlSQ/edit?pli=1#gid=0"",""1_ACUM!A4:S""),18,FALSE))"),"")</f>
        <v/>
      </c>
      <c r="AJ257" s="44" t="str">
        <f ca="1">IFERROR(__xludf.DUMMYFUNCTION("IFERROR(VLOOKUP(E280&amp;F280,IMPORTRANGE(""https://docs.google.com/spreadsheets/d/1Uw7-A9f9R21vMXxHZFNpYNeKFtG8_yji4HS352LGlSQ/edit?pli=1#gid=0"",""1_ACUM!A4:S""),19,FALSE))"),"")</f>
        <v/>
      </c>
      <c r="AK257" s="98" t="str">
        <f ca="1">IFERROR(__xludf.DUMMYFUNCTION("IFERROR(VLOOKUP(F280,IMPORTRANGE(""https://docs.google.com/spreadsheets/d/1Kvs4KS76FHFqLFIZfrDMff4kP08nblUkihrxltoGBjg/edit#gid=934712705"",""ESENCIAL!A6:BG""),5,FALSE))"),"")</f>
        <v/>
      </c>
      <c r="AL257" s="98" t="str">
        <f t="shared" si="17"/>
        <v/>
      </c>
      <c r="AM257" s="99" t="str">
        <f t="shared" si="18"/>
        <v/>
      </c>
      <c r="AN257" s="100" t="str">
        <f ca="1">IFERROR(__xludf.DUMMYFUNCTION("IFERROR(VLOOKUP(F280,IMPORTRANGE(""https://docs.google.com/spreadsheets/d/1Kvs4KS76FHFqLFIZfrDMff4kP08nblUkihrxltoGBjg/edit#gid=934712705"",""ESENCIAL!A6:BG""),2,FALSE))"),"")</f>
        <v/>
      </c>
      <c r="AO257" s="19" t="str">
        <f t="shared" si="20"/>
        <v/>
      </c>
      <c r="AP257" s="100"/>
      <c r="AQ257" s="100"/>
    </row>
    <row r="258" spans="1:43" ht="15">
      <c r="A258" s="101"/>
      <c r="B258" s="101"/>
      <c r="G258" s="5" t="str">
        <f ca="1">IFERROR(__xludf.DUMMYFUNCTION("IFERROR(VLOOKUP(F281,IMPORTRANGE(""https://docs.google.com/spreadsheets/d/1Kvs4KS76FHFqLFIZfrDMff4kP08nblUkihrxltoGBjg/edit#gid=934712705"",""ESENCIAL!A6:BG""),3,FALSE))"),"")</f>
        <v/>
      </c>
      <c r="H258" s="5" t="str">
        <f ca="1">IFERROR(__xludf.DUMMYFUNCTION("IFERROR(VLOOKUP(F281,IMPORTRANGE(""https://docs.google.com/spreadsheets/d/1Kvs4KS76FHFqLFIZfrDMff4kP08nblUkihrxltoGBjg/edit#gid=934712705"",""ESENCIAL!A6:BG""),8,FALSE))"),"")</f>
        <v/>
      </c>
      <c r="L258" s="287"/>
      <c r="Z258" s="41" t="str">
        <f t="shared" ref="Z258:Z321" si="21">IF(E258&gt;0,IF(AND(AH258=1,AE258=1),"Procede_E_P","NO_CUMPLE"),"")</f>
        <v/>
      </c>
      <c r="AA258" s="5" t="str">
        <f ca="1">IFERROR(__xludf.DUMMYFUNCTION("IFERROR(VLOOKUP(E281&amp;F281,IMPORTRANGE(""https://docs.google.com/spreadsheets/d/1Uw7-A9f9R21vMXxHZFNpYNeKFtG8_yji4HS352LGlSQ/edit?pli=1#gid=0"",""1_ACUM!A4:S""),11,FALSE))"),"")</f>
        <v/>
      </c>
      <c r="AB258" s="42" t="str">
        <f ca="1">IFERROR(__xludf.DUMMYFUNCTION("IFERROR(VLOOKUP(F281,IMPORTRANGE(""https://docs.google.com/spreadsheets/d/1Kvs4KS76FHFqLFIZfrDMff4kP08nblUkihrxltoGBjg/edit#gid=934712705"",""ESENCIAL!A6:BG""),15,FALSE))"),"")</f>
        <v/>
      </c>
      <c r="AC258" s="110" t="str">
        <f ca="1">IFERROR(__xludf.DUMMYFUNCTION("IFERROR(VLOOKUP(E281&amp;F281,IMPORTRANGE(""https://docs.google.com/spreadsheets/d/1Uw7-A9f9R21vMXxHZFNpYNeKFtG8_yji4HS352LGlSQ/edit?pli=1#gid=0"",""1_ACUM!A4:S""),13,FALSE))"),"")</f>
        <v/>
      </c>
      <c r="AD258" s="43" t="str">
        <f ca="1">IFERROR(__xludf.DUMMYFUNCTION("IFERROR(VLOOKUP(E281&amp;F281,IMPORTRANGE(""https://docs.google.com/spreadsheets/d/1Uw7-A9f9R21vMXxHZFNpYNeKFtG8_yji4HS352LGlSQ/edit?pli=1#gid=0"",""1_ACUM!A4:S""),13,FALSE))"),"")</f>
        <v/>
      </c>
      <c r="AE258" s="43" t="str">
        <f ca="1">IFERROR(__xludf.DUMMYFUNCTION("IFERROR(VLOOKUP(E281&amp;F281,IMPORTRANGE(""https://docs.google.com/spreadsheets/d/1Uw7-A9f9R21vMXxHZFNpYNeKFtG8_yji4HS352LGlSQ/edit?pli=1#gid=0"",""1_ACUM!A4:S""),14,FALSE))"),"")</f>
        <v/>
      </c>
      <c r="AF258" s="43" t="str">
        <f ca="1">IFERROR(__xludf.DUMMYFUNCTION("IFERROR(VLOOKUP(E281&amp;F281,IMPORTRANGE(""https://docs.google.com/spreadsheets/d/1Uw7-A9f9R21vMXxHZFNpYNeKFtG8_yji4HS352LGlSQ/edit?pli=1#gid=0"",""1_ACUM!A4:S""),15,FALSE))"),"")</f>
        <v/>
      </c>
      <c r="AG258" s="43" t="str">
        <f ca="1">IFERROR(__xludf.DUMMYFUNCTION("IFERROR(VLOOKUP(E281&amp;F281,IMPORTRANGE(""https://docs.google.com/spreadsheets/d/1Uw7-A9f9R21vMXxHZFNpYNeKFtG8_yji4HS352LGlSQ/edit?pli=1#gid=0"",""1_ACUM!A4:S""),16,FALSE))"),"")</f>
        <v/>
      </c>
      <c r="AH258" s="43" t="str">
        <f ca="1">IFERROR(__xludf.DUMMYFUNCTION("IFERROR(VLOOKUP(E281&amp;F281,IMPORTRANGE(""https://docs.google.com/spreadsheets/d/1Uw7-A9f9R21vMXxHZFNpYNeKFtG8_yji4HS352LGlSQ/edit?pli=1#gid=0"",""1_ACUM!A4:S""),17,FALSE))"),"")</f>
        <v/>
      </c>
      <c r="AI258" s="44" t="str">
        <f ca="1">IFERROR(__xludf.DUMMYFUNCTION("IFERROR(VLOOKUP(E281&amp;F281,IMPORTRANGE(""https://docs.google.com/spreadsheets/d/1Uw7-A9f9R21vMXxHZFNpYNeKFtG8_yji4HS352LGlSQ/edit?pli=1#gid=0"",""1_ACUM!A4:S""),18,FALSE))"),"")</f>
        <v/>
      </c>
      <c r="AJ258" s="44" t="str">
        <f ca="1">IFERROR(__xludf.DUMMYFUNCTION("IFERROR(VLOOKUP(E281&amp;F281,IMPORTRANGE(""https://docs.google.com/spreadsheets/d/1Uw7-A9f9R21vMXxHZFNpYNeKFtG8_yji4HS352LGlSQ/edit?pli=1#gid=0"",""1_ACUM!A4:S""),19,FALSE))"),"")</f>
        <v/>
      </c>
      <c r="AK258" s="98" t="str">
        <f ca="1">IFERROR(__xludf.DUMMYFUNCTION("IFERROR(VLOOKUP(F281,IMPORTRANGE(""https://docs.google.com/spreadsheets/d/1Kvs4KS76FHFqLFIZfrDMff4kP08nblUkihrxltoGBjg/edit#gid=934712705"",""ESENCIAL!A6:BG""),5,FALSE))"),"")</f>
        <v/>
      </c>
      <c r="AL258" s="98" t="str">
        <f t="shared" ref="AL258:AL321" si="22">IF(F258&gt;0,EDATE(AK258,18),"")</f>
        <v/>
      </c>
      <c r="AM258" s="99" t="str">
        <f t="shared" ref="AM258:AM321" si="23">IF(F258&gt;0,IF(AL258&lt;$AM$1,"FINALIZAR FICHA","FICHA EN TIEMPO-18 MESES"),"")</f>
        <v/>
      </c>
      <c r="AN258" s="100" t="str">
        <f ca="1">IFERROR(__xludf.DUMMYFUNCTION("IFERROR(VLOOKUP(F281,IMPORTRANGE(""https://docs.google.com/spreadsheets/d/1Kvs4KS76FHFqLFIZfrDMff4kP08nblUkihrxltoGBjg/edit#gid=934712705"",""ESENCIAL!A6:BG""),2,FALSE))"),"")</f>
        <v/>
      </c>
      <c r="AO258" s="19" t="str">
        <f t="shared" si="20"/>
        <v/>
      </c>
      <c r="AP258" s="100"/>
      <c r="AQ258" s="100"/>
    </row>
    <row r="259" spans="1:43" ht="15">
      <c r="A259" s="101"/>
      <c r="B259" s="101"/>
      <c r="G259" s="5" t="str">
        <f ca="1">IFERROR(__xludf.DUMMYFUNCTION("IFERROR(VLOOKUP(F282,IMPORTRANGE(""https://docs.google.com/spreadsheets/d/1Kvs4KS76FHFqLFIZfrDMff4kP08nblUkihrxltoGBjg/edit#gid=934712705"",""ESENCIAL!A6:BG""),3,FALSE))"),"")</f>
        <v/>
      </c>
      <c r="H259" s="5" t="str">
        <f ca="1">IFERROR(__xludf.DUMMYFUNCTION("IFERROR(VLOOKUP(F282,IMPORTRANGE(""https://docs.google.com/spreadsheets/d/1Kvs4KS76FHFqLFIZfrDMff4kP08nblUkihrxltoGBjg/edit#gid=934712705"",""ESENCIAL!A6:BG""),8,FALSE))"),"")</f>
        <v/>
      </c>
      <c r="L259" s="287"/>
      <c r="Z259" s="41" t="str">
        <f t="shared" si="21"/>
        <v/>
      </c>
      <c r="AA259" s="5" t="str">
        <f ca="1">IFERROR(__xludf.DUMMYFUNCTION("IFERROR(VLOOKUP(E282&amp;F282,IMPORTRANGE(""https://docs.google.com/spreadsheets/d/1Uw7-A9f9R21vMXxHZFNpYNeKFtG8_yji4HS352LGlSQ/edit?pli=1#gid=0"",""1_ACUM!A4:S""),11,FALSE))"),"")</f>
        <v/>
      </c>
      <c r="AB259" s="42" t="str">
        <f ca="1">IFERROR(__xludf.DUMMYFUNCTION("IFERROR(VLOOKUP(F282,IMPORTRANGE(""https://docs.google.com/spreadsheets/d/1Kvs4KS76FHFqLFIZfrDMff4kP08nblUkihrxltoGBjg/edit#gid=934712705"",""ESENCIAL!A6:BG""),15,FALSE))"),"")</f>
        <v/>
      </c>
      <c r="AC259" s="110" t="str">
        <f ca="1">IFERROR(__xludf.DUMMYFUNCTION("IFERROR(VLOOKUP(E282&amp;F282,IMPORTRANGE(""https://docs.google.com/spreadsheets/d/1Uw7-A9f9R21vMXxHZFNpYNeKFtG8_yji4HS352LGlSQ/edit?pli=1#gid=0"",""1_ACUM!A4:S""),13,FALSE))"),"")</f>
        <v/>
      </c>
      <c r="AD259" s="43" t="str">
        <f ca="1">IFERROR(__xludf.DUMMYFUNCTION("IFERROR(VLOOKUP(E282&amp;F282,IMPORTRANGE(""https://docs.google.com/spreadsheets/d/1Uw7-A9f9R21vMXxHZFNpYNeKFtG8_yji4HS352LGlSQ/edit?pli=1#gid=0"",""1_ACUM!A4:S""),13,FALSE))"),"")</f>
        <v/>
      </c>
      <c r="AE259" s="43" t="str">
        <f ca="1">IFERROR(__xludf.DUMMYFUNCTION("IFERROR(VLOOKUP(E282&amp;F282,IMPORTRANGE(""https://docs.google.com/spreadsheets/d/1Uw7-A9f9R21vMXxHZFNpYNeKFtG8_yji4HS352LGlSQ/edit?pli=1#gid=0"",""1_ACUM!A4:S""),14,FALSE))"),"")</f>
        <v/>
      </c>
      <c r="AF259" s="43" t="str">
        <f ca="1">IFERROR(__xludf.DUMMYFUNCTION("IFERROR(VLOOKUP(E282&amp;F282,IMPORTRANGE(""https://docs.google.com/spreadsheets/d/1Uw7-A9f9R21vMXxHZFNpYNeKFtG8_yji4HS352LGlSQ/edit?pli=1#gid=0"",""1_ACUM!A4:S""),15,FALSE))"),"")</f>
        <v/>
      </c>
      <c r="AG259" s="43" t="str">
        <f ca="1">IFERROR(__xludf.DUMMYFUNCTION("IFERROR(VLOOKUP(E282&amp;F282,IMPORTRANGE(""https://docs.google.com/spreadsheets/d/1Uw7-A9f9R21vMXxHZFNpYNeKFtG8_yji4HS352LGlSQ/edit?pli=1#gid=0"",""1_ACUM!A4:S""),16,FALSE))"),"")</f>
        <v/>
      </c>
      <c r="AH259" s="43" t="str">
        <f ca="1">IFERROR(__xludf.DUMMYFUNCTION("IFERROR(VLOOKUP(E282&amp;F282,IMPORTRANGE(""https://docs.google.com/spreadsheets/d/1Uw7-A9f9R21vMXxHZFNpYNeKFtG8_yji4HS352LGlSQ/edit?pli=1#gid=0"",""1_ACUM!A4:S""),17,FALSE))"),"")</f>
        <v/>
      </c>
      <c r="AI259" s="44" t="str">
        <f ca="1">IFERROR(__xludf.DUMMYFUNCTION("IFERROR(VLOOKUP(E282&amp;F282,IMPORTRANGE(""https://docs.google.com/spreadsheets/d/1Uw7-A9f9R21vMXxHZFNpYNeKFtG8_yji4HS352LGlSQ/edit?pli=1#gid=0"",""1_ACUM!A4:S""),18,FALSE))"),"")</f>
        <v/>
      </c>
      <c r="AJ259" s="44" t="str">
        <f ca="1">IFERROR(__xludf.DUMMYFUNCTION("IFERROR(VLOOKUP(E282&amp;F282,IMPORTRANGE(""https://docs.google.com/spreadsheets/d/1Uw7-A9f9R21vMXxHZFNpYNeKFtG8_yji4HS352LGlSQ/edit?pli=1#gid=0"",""1_ACUM!A4:S""),19,FALSE))"),"")</f>
        <v/>
      </c>
      <c r="AK259" s="98" t="str">
        <f ca="1">IFERROR(__xludf.DUMMYFUNCTION("IFERROR(VLOOKUP(F282,IMPORTRANGE(""https://docs.google.com/spreadsheets/d/1Kvs4KS76FHFqLFIZfrDMff4kP08nblUkihrxltoGBjg/edit#gid=934712705"",""ESENCIAL!A6:BG""),5,FALSE))"),"")</f>
        <v/>
      </c>
      <c r="AL259" s="98" t="str">
        <f t="shared" si="22"/>
        <v/>
      </c>
      <c r="AM259" s="99" t="str">
        <f t="shared" si="23"/>
        <v/>
      </c>
      <c r="AN259" s="100" t="str">
        <f ca="1">IFERROR(__xludf.DUMMYFUNCTION("IFERROR(VLOOKUP(F282,IMPORTRANGE(""https://docs.google.com/spreadsheets/d/1Kvs4KS76FHFqLFIZfrDMff4kP08nblUkihrxltoGBjg/edit#gid=934712705"",""ESENCIAL!A6:BG""),2,FALSE))"),"")</f>
        <v/>
      </c>
      <c r="AO259" s="19" t="str">
        <f t="shared" si="20"/>
        <v/>
      </c>
      <c r="AP259" s="100"/>
      <c r="AQ259" s="100"/>
    </row>
    <row r="260" spans="1:43" ht="15">
      <c r="A260" s="101"/>
      <c r="B260" s="101"/>
      <c r="G260" s="5" t="str">
        <f ca="1">IFERROR(__xludf.DUMMYFUNCTION("IFERROR(VLOOKUP(F283,IMPORTRANGE(""https://docs.google.com/spreadsheets/d/1Kvs4KS76FHFqLFIZfrDMff4kP08nblUkihrxltoGBjg/edit#gid=934712705"",""ESENCIAL!A6:BG""),3,FALSE))"),"")</f>
        <v/>
      </c>
      <c r="H260" s="5" t="str">
        <f ca="1">IFERROR(__xludf.DUMMYFUNCTION("IFERROR(VLOOKUP(F283,IMPORTRANGE(""https://docs.google.com/spreadsheets/d/1Kvs4KS76FHFqLFIZfrDMff4kP08nblUkihrxltoGBjg/edit#gid=934712705"",""ESENCIAL!A6:BG""),8,FALSE))"),"")</f>
        <v/>
      </c>
      <c r="L260" s="287"/>
      <c r="Z260" s="41" t="str">
        <f t="shared" si="21"/>
        <v/>
      </c>
      <c r="AA260" s="5" t="str">
        <f ca="1">IFERROR(__xludf.DUMMYFUNCTION("IFERROR(VLOOKUP(E283&amp;F283,IMPORTRANGE(""https://docs.google.com/spreadsheets/d/1Uw7-A9f9R21vMXxHZFNpYNeKFtG8_yji4HS352LGlSQ/edit?pli=1#gid=0"",""1_ACUM!A4:S""),11,FALSE))"),"")</f>
        <v/>
      </c>
      <c r="AB260" s="42" t="str">
        <f ca="1">IFERROR(__xludf.DUMMYFUNCTION("IFERROR(VLOOKUP(F283,IMPORTRANGE(""https://docs.google.com/spreadsheets/d/1Kvs4KS76FHFqLFIZfrDMff4kP08nblUkihrxltoGBjg/edit#gid=934712705"",""ESENCIAL!A6:BG""),15,FALSE))"),"")</f>
        <v/>
      </c>
      <c r="AC260" s="110" t="str">
        <f ca="1">IFERROR(__xludf.DUMMYFUNCTION("IFERROR(VLOOKUP(E283&amp;F283,IMPORTRANGE(""https://docs.google.com/spreadsheets/d/1Uw7-A9f9R21vMXxHZFNpYNeKFtG8_yji4HS352LGlSQ/edit?pli=1#gid=0"",""1_ACUM!A4:S""),13,FALSE))"),"")</f>
        <v/>
      </c>
      <c r="AD260" s="43" t="str">
        <f ca="1">IFERROR(__xludf.DUMMYFUNCTION("IFERROR(VLOOKUP(E283&amp;F283,IMPORTRANGE(""https://docs.google.com/spreadsheets/d/1Uw7-A9f9R21vMXxHZFNpYNeKFtG8_yji4HS352LGlSQ/edit?pli=1#gid=0"",""1_ACUM!A4:S""),13,FALSE))"),"")</f>
        <v/>
      </c>
      <c r="AE260" s="43" t="str">
        <f ca="1">IFERROR(__xludf.DUMMYFUNCTION("IFERROR(VLOOKUP(E283&amp;F283,IMPORTRANGE(""https://docs.google.com/spreadsheets/d/1Uw7-A9f9R21vMXxHZFNpYNeKFtG8_yji4HS352LGlSQ/edit?pli=1#gid=0"",""1_ACUM!A4:S""),14,FALSE))"),"")</f>
        <v/>
      </c>
      <c r="AF260" s="43" t="str">
        <f ca="1">IFERROR(__xludf.DUMMYFUNCTION("IFERROR(VLOOKUP(E283&amp;F283,IMPORTRANGE(""https://docs.google.com/spreadsheets/d/1Uw7-A9f9R21vMXxHZFNpYNeKFtG8_yji4HS352LGlSQ/edit?pli=1#gid=0"",""1_ACUM!A4:S""),15,FALSE))"),"")</f>
        <v/>
      </c>
      <c r="AG260" s="43" t="str">
        <f ca="1">IFERROR(__xludf.DUMMYFUNCTION("IFERROR(VLOOKUP(E283&amp;F283,IMPORTRANGE(""https://docs.google.com/spreadsheets/d/1Uw7-A9f9R21vMXxHZFNpYNeKFtG8_yji4HS352LGlSQ/edit?pli=1#gid=0"",""1_ACUM!A4:S""),16,FALSE))"),"")</f>
        <v/>
      </c>
      <c r="AH260" s="43" t="str">
        <f ca="1">IFERROR(__xludf.DUMMYFUNCTION("IFERROR(VLOOKUP(E283&amp;F283,IMPORTRANGE(""https://docs.google.com/spreadsheets/d/1Uw7-A9f9R21vMXxHZFNpYNeKFtG8_yji4HS352LGlSQ/edit?pli=1#gid=0"",""1_ACUM!A4:S""),17,FALSE))"),"")</f>
        <v/>
      </c>
      <c r="AI260" s="44" t="str">
        <f ca="1">IFERROR(__xludf.DUMMYFUNCTION("IFERROR(VLOOKUP(E283&amp;F283,IMPORTRANGE(""https://docs.google.com/spreadsheets/d/1Uw7-A9f9R21vMXxHZFNpYNeKFtG8_yji4HS352LGlSQ/edit?pli=1#gid=0"",""1_ACUM!A4:S""),18,FALSE))"),"")</f>
        <v/>
      </c>
      <c r="AJ260" s="44" t="str">
        <f ca="1">IFERROR(__xludf.DUMMYFUNCTION("IFERROR(VLOOKUP(E283&amp;F283,IMPORTRANGE(""https://docs.google.com/spreadsheets/d/1Uw7-A9f9R21vMXxHZFNpYNeKFtG8_yji4HS352LGlSQ/edit?pli=1#gid=0"",""1_ACUM!A4:S""),19,FALSE))"),"")</f>
        <v/>
      </c>
      <c r="AK260" s="98" t="str">
        <f ca="1">IFERROR(__xludf.DUMMYFUNCTION("IFERROR(VLOOKUP(F283,IMPORTRANGE(""https://docs.google.com/spreadsheets/d/1Kvs4KS76FHFqLFIZfrDMff4kP08nblUkihrxltoGBjg/edit#gid=934712705"",""ESENCIAL!A6:BG""),5,FALSE))"),"")</f>
        <v/>
      </c>
      <c r="AL260" s="98" t="str">
        <f t="shared" si="22"/>
        <v/>
      </c>
      <c r="AM260" s="99" t="str">
        <f t="shared" si="23"/>
        <v/>
      </c>
      <c r="AN260" s="100" t="str">
        <f ca="1">IFERROR(__xludf.DUMMYFUNCTION("IFERROR(VLOOKUP(F283,IMPORTRANGE(""https://docs.google.com/spreadsheets/d/1Kvs4KS76FHFqLFIZfrDMff4kP08nblUkihrxltoGBjg/edit#gid=934712705"",""ESENCIAL!A6:BG""),2,FALSE))"),"")</f>
        <v/>
      </c>
      <c r="AO260" s="19" t="str">
        <f t="shared" si="20"/>
        <v/>
      </c>
      <c r="AP260" s="100"/>
      <c r="AQ260" s="100"/>
    </row>
    <row r="261" spans="1:43" ht="15">
      <c r="A261" s="101"/>
      <c r="B261" s="101"/>
      <c r="G261" s="5" t="str">
        <f ca="1">IFERROR(__xludf.DUMMYFUNCTION("IFERROR(VLOOKUP(F284,IMPORTRANGE(""https://docs.google.com/spreadsheets/d/1Kvs4KS76FHFqLFIZfrDMff4kP08nblUkihrxltoGBjg/edit#gid=934712705"",""ESENCIAL!A6:BG""),3,FALSE))"),"")</f>
        <v/>
      </c>
      <c r="H261" s="5" t="str">
        <f ca="1">IFERROR(__xludf.DUMMYFUNCTION("IFERROR(VLOOKUP(F284,IMPORTRANGE(""https://docs.google.com/spreadsheets/d/1Kvs4KS76FHFqLFIZfrDMff4kP08nblUkihrxltoGBjg/edit#gid=934712705"",""ESENCIAL!A6:BG""),8,FALSE))"),"")</f>
        <v/>
      </c>
      <c r="L261" s="287"/>
      <c r="Z261" s="41" t="str">
        <f t="shared" si="21"/>
        <v/>
      </c>
      <c r="AA261" s="5" t="str">
        <f ca="1">IFERROR(__xludf.DUMMYFUNCTION("IFERROR(VLOOKUP(E284&amp;F284,IMPORTRANGE(""https://docs.google.com/spreadsheets/d/1Uw7-A9f9R21vMXxHZFNpYNeKFtG8_yji4HS352LGlSQ/edit?pli=1#gid=0"",""1_ACUM!A4:S""),11,FALSE))"),"")</f>
        <v/>
      </c>
      <c r="AB261" s="42" t="str">
        <f ca="1">IFERROR(__xludf.DUMMYFUNCTION("IFERROR(VLOOKUP(F284,IMPORTRANGE(""https://docs.google.com/spreadsheets/d/1Kvs4KS76FHFqLFIZfrDMff4kP08nblUkihrxltoGBjg/edit#gid=934712705"",""ESENCIAL!A6:BG""),15,FALSE))"),"")</f>
        <v/>
      </c>
      <c r="AC261" s="110" t="str">
        <f ca="1">IFERROR(__xludf.DUMMYFUNCTION("IFERROR(VLOOKUP(E284&amp;F284,IMPORTRANGE(""https://docs.google.com/spreadsheets/d/1Uw7-A9f9R21vMXxHZFNpYNeKFtG8_yji4HS352LGlSQ/edit?pli=1#gid=0"",""1_ACUM!A4:S""),13,FALSE))"),"")</f>
        <v/>
      </c>
      <c r="AD261" s="43" t="str">
        <f ca="1">IFERROR(__xludf.DUMMYFUNCTION("IFERROR(VLOOKUP(E284&amp;F284,IMPORTRANGE(""https://docs.google.com/spreadsheets/d/1Uw7-A9f9R21vMXxHZFNpYNeKFtG8_yji4HS352LGlSQ/edit?pli=1#gid=0"",""1_ACUM!A4:S""),13,FALSE))"),"")</f>
        <v/>
      </c>
      <c r="AE261" s="43" t="str">
        <f ca="1">IFERROR(__xludf.DUMMYFUNCTION("IFERROR(VLOOKUP(E284&amp;F284,IMPORTRANGE(""https://docs.google.com/spreadsheets/d/1Uw7-A9f9R21vMXxHZFNpYNeKFtG8_yji4HS352LGlSQ/edit?pli=1#gid=0"",""1_ACUM!A4:S""),14,FALSE))"),"")</f>
        <v/>
      </c>
      <c r="AF261" s="43" t="str">
        <f ca="1">IFERROR(__xludf.DUMMYFUNCTION("IFERROR(VLOOKUP(E284&amp;F284,IMPORTRANGE(""https://docs.google.com/spreadsheets/d/1Uw7-A9f9R21vMXxHZFNpYNeKFtG8_yji4HS352LGlSQ/edit?pli=1#gid=0"",""1_ACUM!A4:S""),15,FALSE))"),"")</f>
        <v/>
      </c>
      <c r="AG261" s="43" t="str">
        <f ca="1">IFERROR(__xludf.DUMMYFUNCTION("IFERROR(VLOOKUP(E284&amp;F284,IMPORTRANGE(""https://docs.google.com/spreadsheets/d/1Uw7-A9f9R21vMXxHZFNpYNeKFtG8_yji4HS352LGlSQ/edit?pli=1#gid=0"",""1_ACUM!A4:S""),16,FALSE))"),"")</f>
        <v/>
      </c>
      <c r="AH261" s="43" t="str">
        <f ca="1">IFERROR(__xludf.DUMMYFUNCTION("IFERROR(VLOOKUP(E284&amp;F284,IMPORTRANGE(""https://docs.google.com/spreadsheets/d/1Uw7-A9f9R21vMXxHZFNpYNeKFtG8_yji4HS352LGlSQ/edit?pli=1#gid=0"",""1_ACUM!A4:S""),17,FALSE))"),"")</f>
        <v/>
      </c>
      <c r="AI261" s="44" t="str">
        <f ca="1">IFERROR(__xludf.DUMMYFUNCTION("IFERROR(VLOOKUP(E284&amp;F284,IMPORTRANGE(""https://docs.google.com/spreadsheets/d/1Uw7-A9f9R21vMXxHZFNpYNeKFtG8_yji4HS352LGlSQ/edit?pli=1#gid=0"",""1_ACUM!A4:S""),18,FALSE))"),"")</f>
        <v/>
      </c>
      <c r="AJ261" s="44" t="str">
        <f ca="1">IFERROR(__xludf.DUMMYFUNCTION("IFERROR(VLOOKUP(E284&amp;F284,IMPORTRANGE(""https://docs.google.com/spreadsheets/d/1Uw7-A9f9R21vMXxHZFNpYNeKFtG8_yji4HS352LGlSQ/edit?pli=1#gid=0"",""1_ACUM!A4:S""),19,FALSE))"),"")</f>
        <v/>
      </c>
      <c r="AK261" s="98" t="str">
        <f ca="1">IFERROR(__xludf.DUMMYFUNCTION("IFERROR(VLOOKUP(F284,IMPORTRANGE(""https://docs.google.com/spreadsheets/d/1Kvs4KS76FHFqLFIZfrDMff4kP08nblUkihrxltoGBjg/edit#gid=934712705"",""ESENCIAL!A6:BG""),5,FALSE))"),"")</f>
        <v/>
      </c>
      <c r="AL261" s="98" t="str">
        <f t="shared" si="22"/>
        <v/>
      </c>
      <c r="AM261" s="99" t="str">
        <f t="shared" si="23"/>
        <v/>
      </c>
      <c r="AN261" s="100" t="str">
        <f ca="1">IFERROR(__xludf.DUMMYFUNCTION("IFERROR(VLOOKUP(F284,IMPORTRANGE(""https://docs.google.com/spreadsheets/d/1Kvs4KS76FHFqLFIZfrDMff4kP08nblUkihrxltoGBjg/edit#gid=934712705"",""ESENCIAL!A6:BG""),2,FALSE))"),"")</f>
        <v/>
      </c>
      <c r="AO261" s="19" t="str">
        <f t="shared" si="20"/>
        <v/>
      </c>
      <c r="AP261" s="100"/>
      <c r="AQ261" s="100"/>
    </row>
    <row r="262" spans="1:43" ht="15">
      <c r="A262" s="101"/>
      <c r="B262" s="24"/>
      <c r="G262" s="5" t="str">
        <f ca="1">IFERROR(__xludf.DUMMYFUNCTION("IFERROR(VLOOKUP(F285,IMPORTRANGE(""https://docs.google.com/spreadsheets/d/1Kvs4KS76FHFqLFIZfrDMff4kP08nblUkihrxltoGBjg/edit#gid=934712705"",""ESENCIAL!A6:BG""),3,FALSE))"),"")</f>
        <v/>
      </c>
      <c r="H262" s="5" t="str">
        <f ca="1">IFERROR(__xludf.DUMMYFUNCTION("IFERROR(VLOOKUP(F285,IMPORTRANGE(""https://docs.google.com/spreadsheets/d/1Kvs4KS76FHFqLFIZfrDMff4kP08nblUkihrxltoGBjg/edit#gid=934712705"",""ESENCIAL!A6:BG""),8,FALSE))"),"")</f>
        <v/>
      </c>
      <c r="L262" s="287"/>
      <c r="Z262" s="41" t="str">
        <f t="shared" si="21"/>
        <v/>
      </c>
      <c r="AA262" s="5" t="str">
        <f ca="1">IFERROR(__xludf.DUMMYFUNCTION("IFERROR(VLOOKUP(E285&amp;F285,IMPORTRANGE(""https://docs.google.com/spreadsheets/d/1Uw7-A9f9R21vMXxHZFNpYNeKFtG8_yji4HS352LGlSQ/edit?pli=1#gid=0"",""1_ACUM!A4:S""),11,FALSE))"),"")</f>
        <v/>
      </c>
      <c r="AB262" s="42" t="str">
        <f ca="1">IFERROR(__xludf.DUMMYFUNCTION("IFERROR(VLOOKUP(F285,IMPORTRANGE(""https://docs.google.com/spreadsheets/d/1Kvs4KS76FHFqLFIZfrDMff4kP08nblUkihrxltoGBjg/edit#gid=934712705"",""ESENCIAL!A6:BG""),15,FALSE))"),"")</f>
        <v/>
      </c>
      <c r="AC262" s="110" t="str">
        <f ca="1">IFERROR(__xludf.DUMMYFUNCTION("IFERROR(VLOOKUP(E285&amp;F285,IMPORTRANGE(""https://docs.google.com/spreadsheets/d/1Uw7-A9f9R21vMXxHZFNpYNeKFtG8_yji4HS352LGlSQ/edit?pli=1#gid=0"",""1_ACUM!A4:S""),13,FALSE))"),"")</f>
        <v/>
      </c>
      <c r="AD262" s="43" t="str">
        <f ca="1">IFERROR(__xludf.DUMMYFUNCTION("IFERROR(VLOOKUP(E285&amp;F285,IMPORTRANGE(""https://docs.google.com/spreadsheets/d/1Uw7-A9f9R21vMXxHZFNpYNeKFtG8_yji4HS352LGlSQ/edit?pli=1#gid=0"",""1_ACUM!A4:S""),13,FALSE))"),"")</f>
        <v/>
      </c>
      <c r="AE262" s="43" t="str">
        <f ca="1">IFERROR(__xludf.DUMMYFUNCTION("IFERROR(VLOOKUP(E285&amp;F285,IMPORTRANGE(""https://docs.google.com/spreadsheets/d/1Uw7-A9f9R21vMXxHZFNpYNeKFtG8_yji4HS352LGlSQ/edit?pli=1#gid=0"",""1_ACUM!A4:S""),14,FALSE))"),"")</f>
        <v/>
      </c>
      <c r="AF262" s="43" t="str">
        <f ca="1">IFERROR(__xludf.DUMMYFUNCTION("IFERROR(VLOOKUP(E285&amp;F285,IMPORTRANGE(""https://docs.google.com/spreadsheets/d/1Uw7-A9f9R21vMXxHZFNpYNeKFtG8_yji4HS352LGlSQ/edit?pli=1#gid=0"",""1_ACUM!A4:S""),15,FALSE))"),"")</f>
        <v/>
      </c>
      <c r="AG262" s="43" t="str">
        <f ca="1">IFERROR(__xludf.DUMMYFUNCTION("IFERROR(VLOOKUP(E285&amp;F285,IMPORTRANGE(""https://docs.google.com/spreadsheets/d/1Uw7-A9f9R21vMXxHZFNpYNeKFtG8_yji4HS352LGlSQ/edit?pli=1#gid=0"",""1_ACUM!A4:S""),16,FALSE))"),"")</f>
        <v/>
      </c>
      <c r="AH262" s="43" t="str">
        <f ca="1">IFERROR(__xludf.DUMMYFUNCTION("IFERROR(VLOOKUP(E285&amp;F285,IMPORTRANGE(""https://docs.google.com/spreadsheets/d/1Uw7-A9f9R21vMXxHZFNpYNeKFtG8_yji4HS352LGlSQ/edit?pli=1#gid=0"",""1_ACUM!A4:S""),17,FALSE))"),"")</f>
        <v/>
      </c>
      <c r="AI262" s="44" t="str">
        <f ca="1">IFERROR(__xludf.DUMMYFUNCTION("IFERROR(VLOOKUP(E285&amp;F285,IMPORTRANGE(""https://docs.google.com/spreadsheets/d/1Uw7-A9f9R21vMXxHZFNpYNeKFtG8_yji4HS352LGlSQ/edit?pli=1#gid=0"",""1_ACUM!A4:S""),18,FALSE))"),"")</f>
        <v/>
      </c>
      <c r="AJ262" s="44" t="str">
        <f ca="1">IFERROR(__xludf.DUMMYFUNCTION("IFERROR(VLOOKUP(E285&amp;F285,IMPORTRANGE(""https://docs.google.com/spreadsheets/d/1Uw7-A9f9R21vMXxHZFNpYNeKFtG8_yji4HS352LGlSQ/edit?pli=1#gid=0"",""1_ACUM!A4:S""),19,FALSE))"),"")</f>
        <v/>
      </c>
      <c r="AK262" s="98" t="str">
        <f ca="1">IFERROR(__xludf.DUMMYFUNCTION("IFERROR(VLOOKUP(F285,IMPORTRANGE(""https://docs.google.com/spreadsheets/d/1Kvs4KS76FHFqLFIZfrDMff4kP08nblUkihrxltoGBjg/edit#gid=934712705"",""ESENCIAL!A6:BG""),5,FALSE))"),"")</f>
        <v/>
      </c>
      <c r="AL262" s="98" t="str">
        <f t="shared" si="22"/>
        <v/>
      </c>
      <c r="AM262" s="99" t="str">
        <f t="shared" si="23"/>
        <v/>
      </c>
      <c r="AN262" s="100" t="str">
        <f ca="1">IFERROR(__xludf.DUMMYFUNCTION("IFERROR(VLOOKUP(F285,IMPORTRANGE(""https://docs.google.com/spreadsheets/d/1Kvs4KS76FHFqLFIZfrDMff4kP08nblUkihrxltoGBjg/edit#gid=934712705"",""ESENCIAL!A6:BG""),2,FALSE))"),"")</f>
        <v/>
      </c>
      <c r="AO262" s="19" t="str">
        <f t="shared" si="20"/>
        <v/>
      </c>
      <c r="AP262" s="100"/>
      <c r="AQ262" s="100"/>
    </row>
    <row r="263" spans="1:43" ht="15">
      <c r="A263" s="101"/>
      <c r="B263" s="11"/>
      <c r="G263" s="5" t="str">
        <f ca="1">IFERROR(__xludf.DUMMYFUNCTION("IFERROR(VLOOKUP(F286,IMPORTRANGE(""https://docs.google.com/spreadsheets/d/1Kvs4KS76FHFqLFIZfrDMff4kP08nblUkihrxltoGBjg/edit#gid=934712705"",""ESENCIAL!A6:BG""),3,FALSE))"),"")</f>
        <v/>
      </c>
      <c r="H263" s="5" t="str">
        <f ca="1">IFERROR(__xludf.DUMMYFUNCTION("IFERROR(VLOOKUP(F286,IMPORTRANGE(""https://docs.google.com/spreadsheets/d/1Kvs4KS76FHFqLFIZfrDMff4kP08nblUkihrxltoGBjg/edit#gid=934712705"",""ESENCIAL!A6:BG""),8,FALSE))"),"")</f>
        <v/>
      </c>
      <c r="L263" s="287"/>
      <c r="Z263" s="41" t="str">
        <f t="shared" si="21"/>
        <v/>
      </c>
      <c r="AA263" s="5" t="str">
        <f ca="1">IFERROR(__xludf.DUMMYFUNCTION("IFERROR(VLOOKUP(E286&amp;F286,IMPORTRANGE(""https://docs.google.com/spreadsheets/d/1Uw7-A9f9R21vMXxHZFNpYNeKFtG8_yji4HS352LGlSQ/edit?pli=1#gid=0"",""1_ACUM!A4:S""),11,FALSE))"),"")</f>
        <v/>
      </c>
      <c r="AB263" s="42" t="str">
        <f ca="1">IFERROR(__xludf.DUMMYFUNCTION("IFERROR(VLOOKUP(F286,IMPORTRANGE(""https://docs.google.com/spreadsheets/d/1Kvs4KS76FHFqLFIZfrDMff4kP08nblUkihrxltoGBjg/edit#gid=934712705"",""ESENCIAL!A6:BG""),15,FALSE))"),"")</f>
        <v/>
      </c>
      <c r="AC263" s="110" t="str">
        <f ca="1">IFERROR(__xludf.DUMMYFUNCTION("IFERROR(VLOOKUP(E286&amp;F286,IMPORTRANGE(""https://docs.google.com/spreadsheets/d/1Uw7-A9f9R21vMXxHZFNpYNeKFtG8_yji4HS352LGlSQ/edit?pli=1#gid=0"",""1_ACUM!A4:S""),13,FALSE))"),"")</f>
        <v/>
      </c>
      <c r="AD263" s="43" t="str">
        <f ca="1">IFERROR(__xludf.DUMMYFUNCTION("IFERROR(VLOOKUP(E286&amp;F286,IMPORTRANGE(""https://docs.google.com/spreadsheets/d/1Uw7-A9f9R21vMXxHZFNpYNeKFtG8_yji4HS352LGlSQ/edit?pli=1#gid=0"",""1_ACUM!A4:S""),13,FALSE))"),"")</f>
        <v/>
      </c>
      <c r="AE263" s="43" t="str">
        <f ca="1">IFERROR(__xludf.DUMMYFUNCTION("IFERROR(VLOOKUP(E286&amp;F286,IMPORTRANGE(""https://docs.google.com/spreadsheets/d/1Uw7-A9f9R21vMXxHZFNpYNeKFtG8_yji4HS352LGlSQ/edit?pli=1#gid=0"",""1_ACUM!A4:S""),14,FALSE))"),"")</f>
        <v/>
      </c>
      <c r="AF263" s="43" t="str">
        <f ca="1">IFERROR(__xludf.DUMMYFUNCTION("IFERROR(VLOOKUP(E286&amp;F286,IMPORTRANGE(""https://docs.google.com/spreadsheets/d/1Uw7-A9f9R21vMXxHZFNpYNeKFtG8_yji4HS352LGlSQ/edit?pli=1#gid=0"",""1_ACUM!A4:S""),15,FALSE))"),"")</f>
        <v/>
      </c>
      <c r="AG263" s="43" t="str">
        <f ca="1">IFERROR(__xludf.DUMMYFUNCTION("IFERROR(VLOOKUP(E286&amp;F286,IMPORTRANGE(""https://docs.google.com/spreadsheets/d/1Uw7-A9f9R21vMXxHZFNpYNeKFtG8_yji4HS352LGlSQ/edit?pli=1#gid=0"",""1_ACUM!A4:S""),16,FALSE))"),"")</f>
        <v/>
      </c>
      <c r="AH263" s="43" t="str">
        <f ca="1">IFERROR(__xludf.DUMMYFUNCTION("IFERROR(VLOOKUP(E286&amp;F286,IMPORTRANGE(""https://docs.google.com/spreadsheets/d/1Uw7-A9f9R21vMXxHZFNpYNeKFtG8_yji4HS352LGlSQ/edit?pli=1#gid=0"",""1_ACUM!A4:S""),17,FALSE))"),"")</f>
        <v/>
      </c>
      <c r="AI263" s="44" t="str">
        <f ca="1">IFERROR(__xludf.DUMMYFUNCTION("IFERROR(VLOOKUP(E286&amp;F286,IMPORTRANGE(""https://docs.google.com/spreadsheets/d/1Uw7-A9f9R21vMXxHZFNpYNeKFtG8_yji4HS352LGlSQ/edit?pli=1#gid=0"",""1_ACUM!A4:S""),18,FALSE))"),"")</f>
        <v/>
      </c>
      <c r="AJ263" s="44" t="str">
        <f ca="1">IFERROR(__xludf.DUMMYFUNCTION("IFERROR(VLOOKUP(E286&amp;F286,IMPORTRANGE(""https://docs.google.com/spreadsheets/d/1Uw7-A9f9R21vMXxHZFNpYNeKFtG8_yji4HS352LGlSQ/edit?pli=1#gid=0"",""1_ACUM!A4:S""),19,FALSE))"),"")</f>
        <v/>
      </c>
      <c r="AK263" s="98" t="str">
        <f ca="1">IFERROR(__xludf.DUMMYFUNCTION("IFERROR(VLOOKUP(F286,IMPORTRANGE(""https://docs.google.com/spreadsheets/d/1Kvs4KS76FHFqLFIZfrDMff4kP08nblUkihrxltoGBjg/edit#gid=934712705"",""ESENCIAL!A6:BG""),5,FALSE))"),"")</f>
        <v/>
      </c>
      <c r="AL263" s="98" t="str">
        <f t="shared" si="22"/>
        <v/>
      </c>
      <c r="AM263" s="99" t="str">
        <f t="shared" si="23"/>
        <v/>
      </c>
      <c r="AN263" s="100" t="str">
        <f ca="1">IFERROR(__xludf.DUMMYFUNCTION("IFERROR(VLOOKUP(F286,IMPORTRANGE(""https://docs.google.com/spreadsheets/d/1Kvs4KS76FHFqLFIZfrDMff4kP08nblUkihrxltoGBjg/edit#gid=934712705"",""ESENCIAL!A6:BG""),2,FALSE))"),"")</f>
        <v/>
      </c>
      <c r="AO263" s="19" t="str">
        <f t="shared" si="20"/>
        <v/>
      </c>
      <c r="AP263" s="100"/>
      <c r="AQ263" s="100"/>
    </row>
    <row r="264" spans="1:43" ht="15">
      <c r="A264" s="101"/>
      <c r="B264" s="101"/>
      <c r="G264" s="5" t="str">
        <f ca="1">IFERROR(__xludf.DUMMYFUNCTION("IFERROR(VLOOKUP(F287,IMPORTRANGE(""https://docs.google.com/spreadsheets/d/1Kvs4KS76FHFqLFIZfrDMff4kP08nblUkihrxltoGBjg/edit#gid=934712705"",""ESENCIAL!A6:BG""),3,FALSE))"),"")</f>
        <v/>
      </c>
      <c r="H264" s="5" t="str">
        <f ca="1">IFERROR(__xludf.DUMMYFUNCTION("IFERROR(VLOOKUP(F287,IMPORTRANGE(""https://docs.google.com/spreadsheets/d/1Kvs4KS76FHFqLFIZfrDMff4kP08nblUkihrxltoGBjg/edit#gid=934712705"",""ESENCIAL!A6:BG""),8,FALSE))"),"")</f>
        <v/>
      </c>
      <c r="L264" s="287"/>
      <c r="Z264" s="41" t="str">
        <f t="shared" si="21"/>
        <v/>
      </c>
      <c r="AA264" s="5" t="str">
        <f ca="1">IFERROR(__xludf.DUMMYFUNCTION("IFERROR(VLOOKUP(E287&amp;F287,IMPORTRANGE(""https://docs.google.com/spreadsheets/d/1Uw7-A9f9R21vMXxHZFNpYNeKFtG8_yji4HS352LGlSQ/edit?pli=1#gid=0"",""1_ACUM!A4:S""),11,FALSE))"),"")</f>
        <v/>
      </c>
      <c r="AB264" s="42" t="str">
        <f ca="1">IFERROR(__xludf.DUMMYFUNCTION("IFERROR(VLOOKUP(F287,IMPORTRANGE(""https://docs.google.com/spreadsheets/d/1Kvs4KS76FHFqLFIZfrDMff4kP08nblUkihrxltoGBjg/edit#gid=934712705"",""ESENCIAL!A6:BG""),15,FALSE))"),"")</f>
        <v/>
      </c>
      <c r="AC264" s="110" t="str">
        <f ca="1">IFERROR(__xludf.DUMMYFUNCTION("IFERROR(VLOOKUP(E287&amp;F287,IMPORTRANGE(""https://docs.google.com/spreadsheets/d/1Uw7-A9f9R21vMXxHZFNpYNeKFtG8_yji4HS352LGlSQ/edit?pli=1#gid=0"",""1_ACUM!A4:S""),13,FALSE))"),"")</f>
        <v/>
      </c>
      <c r="AD264" s="43" t="str">
        <f ca="1">IFERROR(__xludf.DUMMYFUNCTION("IFERROR(VLOOKUP(E287&amp;F287,IMPORTRANGE(""https://docs.google.com/spreadsheets/d/1Uw7-A9f9R21vMXxHZFNpYNeKFtG8_yji4HS352LGlSQ/edit?pli=1#gid=0"",""1_ACUM!A4:S""),13,FALSE))"),"")</f>
        <v/>
      </c>
      <c r="AE264" s="43" t="str">
        <f ca="1">IFERROR(__xludf.DUMMYFUNCTION("IFERROR(VLOOKUP(E287&amp;F287,IMPORTRANGE(""https://docs.google.com/spreadsheets/d/1Uw7-A9f9R21vMXxHZFNpYNeKFtG8_yji4HS352LGlSQ/edit?pli=1#gid=0"",""1_ACUM!A4:S""),14,FALSE))"),"")</f>
        <v/>
      </c>
      <c r="AF264" s="43" t="str">
        <f ca="1">IFERROR(__xludf.DUMMYFUNCTION("IFERROR(VLOOKUP(E287&amp;F287,IMPORTRANGE(""https://docs.google.com/spreadsheets/d/1Uw7-A9f9R21vMXxHZFNpYNeKFtG8_yji4HS352LGlSQ/edit?pli=1#gid=0"",""1_ACUM!A4:S""),15,FALSE))"),"")</f>
        <v/>
      </c>
      <c r="AG264" s="43" t="str">
        <f ca="1">IFERROR(__xludf.DUMMYFUNCTION("IFERROR(VLOOKUP(E287&amp;F287,IMPORTRANGE(""https://docs.google.com/spreadsheets/d/1Uw7-A9f9R21vMXxHZFNpYNeKFtG8_yji4HS352LGlSQ/edit?pli=1#gid=0"",""1_ACUM!A4:S""),16,FALSE))"),"")</f>
        <v/>
      </c>
      <c r="AH264" s="43" t="str">
        <f ca="1">IFERROR(__xludf.DUMMYFUNCTION("IFERROR(VLOOKUP(E287&amp;F287,IMPORTRANGE(""https://docs.google.com/spreadsheets/d/1Uw7-A9f9R21vMXxHZFNpYNeKFtG8_yji4HS352LGlSQ/edit?pli=1#gid=0"",""1_ACUM!A4:S""),17,FALSE))"),"")</f>
        <v/>
      </c>
      <c r="AI264" s="44" t="str">
        <f ca="1">IFERROR(__xludf.DUMMYFUNCTION("IFERROR(VLOOKUP(E287&amp;F287,IMPORTRANGE(""https://docs.google.com/spreadsheets/d/1Uw7-A9f9R21vMXxHZFNpYNeKFtG8_yji4HS352LGlSQ/edit?pli=1#gid=0"",""1_ACUM!A4:S""),18,FALSE))"),"")</f>
        <v/>
      </c>
      <c r="AJ264" s="44" t="str">
        <f ca="1">IFERROR(__xludf.DUMMYFUNCTION("IFERROR(VLOOKUP(E287&amp;F287,IMPORTRANGE(""https://docs.google.com/spreadsheets/d/1Uw7-A9f9R21vMXxHZFNpYNeKFtG8_yji4HS352LGlSQ/edit?pli=1#gid=0"",""1_ACUM!A4:S""),19,FALSE))"),"")</f>
        <v/>
      </c>
      <c r="AK264" s="98" t="str">
        <f ca="1">IFERROR(__xludf.DUMMYFUNCTION("IFERROR(VLOOKUP(F287,IMPORTRANGE(""https://docs.google.com/spreadsheets/d/1Kvs4KS76FHFqLFIZfrDMff4kP08nblUkihrxltoGBjg/edit#gid=934712705"",""ESENCIAL!A6:BG""),5,FALSE))"),"")</f>
        <v/>
      </c>
      <c r="AL264" s="98" t="str">
        <f t="shared" si="22"/>
        <v/>
      </c>
      <c r="AM264" s="99" t="str">
        <f t="shared" si="23"/>
        <v/>
      </c>
      <c r="AN264" s="100" t="str">
        <f ca="1">IFERROR(__xludf.DUMMYFUNCTION("IFERROR(VLOOKUP(F287,IMPORTRANGE(""https://docs.google.com/spreadsheets/d/1Kvs4KS76FHFqLFIZfrDMff4kP08nblUkihrxltoGBjg/edit#gid=934712705"",""ESENCIAL!A6:BG""),2,FALSE))"),"")</f>
        <v/>
      </c>
      <c r="AO264" s="19" t="str">
        <f t="shared" si="20"/>
        <v/>
      </c>
      <c r="AP264" s="100"/>
      <c r="AQ264" s="100"/>
    </row>
    <row r="265" spans="1:43" ht="15">
      <c r="A265" s="101"/>
      <c r="B265" s="101"/>
      <c r="G265" s="5" t="str">
        <f ca="1">IFERROR(__xludf.DUMMYFUNCTION("IFERROR(VLOOKUP(F288,IMPORTRANGE(""https://docs.google.com/spreadsheets/d/1Kvs4KS76FHFqLFIZfrDMff4kP08nblUkihrxltoGBjg/edit#gid=934712705"",""ESENCIAL!A6:BG""),3,FALSE))"),"")</f>
        <v/>
      </c>
      <c r="H265" s="5" t="str">
        <f ca="1">IFERROR(__xludf.DUMMYFUNCTION("IFERROR(VLOOKUP(F288,IMPORTRANGE(""https://docs.google.com/spreadsheets/d/1Kvs4KS76FHFqLFIZfrDMff4kP08nblUkihrxltoGBjg/edit#gid=934712705"",""ESENCIAL!A6:BG""),8,FALSE))"),"")</f>
        <v/>
      </c>
      <c r="L265" s="287"/>
      <c r="Z265" s="41" t="str">
        <f t="shared" si="21"/>
        <v/>
      </c>
      <c r="AA265" s="5" t="str">
        <f ca="1">IFERROR(__xludf.DUMMYFUNCTION("IFERROR(VLOOKUP(E288&amp;F288,IMPORTRANGE(""https://docs.google.com/spreadsheets/d/1Uw7-A9f9R21vMXxHZFNpYNeKFtG8_yji4HS352LGlSQ/edit?pli=1#gid=0"",""1_ACUM!A4:S""),11,FALSE))"),"")</f>
        <v/>
      </c>
      <c r="AB265" s="42" t="str">
        <f ca="1">IFERROR(__xludf.DUMMYFUNCTION("IFERROR(VLOOKUP(F288,IMPORTRANGE(""https://docs.google.com/spreadsheets/d/1Kvs4KS76FHFqLFIZfrDMff4kP08nblUkihrxltoGBjg/edit#gid=934712705"",""ESENCIAL!A6:BG""),15,FALSE))"),"")</f>
        <v/>
      </c>
      <c r="AC265" s="110" t="str">
        <f ca="1">IFERROR(__xludf.DUMMYFUNCTION("IFERROR(VLOOKUP(E288&amp;F288,IMPORTRANGE(""https://docs.google.com/spreadsheets/d/1Uw7-A9f9R21vMXxHZFNpYNeKFtG8_yji4HS352LGlSQ/edit?pli=1#gid=0"",""1_ACUM!A4:S""),13,FALSE))"),"")</f>
        <v/>
      </c>
      <c r="AD265" s="43" t="str">
        <f ca="1">IFERROR(__xludf.DUMMYFUNCTION("IFERROR(VLOOKUP(E288&amp;F288,IMPORTRANGE(""https://docs.google.com/spreadsheets/d/1Uw7-A9f9R21vMXxHZFNpYNeKFtG8_yji4HS352LGlSQ/edit?pli=1#gid=0"",""1_ACUM!A4:S""),13,FALSE))"),"")</f>
        <v/>
      </c>
      <c r="AE265" s="43" t="str">
        <f ca="1">IFERROR(__xludf.DUMMYFUNCTION("IFERROR(VLOOKUP(E288&amp;F288,IMPORTRANGE(""https://docs.google.com/spreadsheets/d/1Uw7-A9f9R21vMXxHZFNpYNeKFtG8_yji4HS352LGlSQ/edit?pli=1#gid=0"",""1_ACUM!A4:S""),14,FALSE))"),"")</f>
        <v/>
      </c>
      <c r="AF265" s="43" t="str">
        <f ca="1">IFERROR(__xludf.DUMMYFUNCTION("IFERROR(VLOOKUP(E288&amp;F288,IMPORTRANGE(""https://docs.google.com/spreadsheets/d/1Uw7-A9f9R21vMXxHZFNpYNeKFtG8_yji4HS352LGlSQ/edit?pli=1#gid=0"",""1_ACUM!A4:S""),15,FALSE))"),"")</f>
        <v/>
      </c>
      <c r="AG265" s="43" t="str">
        <f ca="1">IFERROR(__xludf.DUMMYFUNCTION("IFERROR(VLOOKUP(E288&amp;F288,IMPORTRANGE(""https://docs.google.com/spreadsheets/d/1Uw7-A9f9R21vMXxHZFNpYNeKFtG8_yji4HS352LGlSQ/edit?pli=1#gid=0"",""1_ACUM!A4:S""),16,FALSE))"),"")</f>
        <v/>
      </c>
      <c r="AH265" s="43" t="str">
        <f ca="1">IFERROR(__xludf.DUMMYFUNCTION("IFERROR(VLOOKUP(E288&amp;F288,IMPORTRANGE(""https://docs.google.com/spreadsheets/d/1Uw7-A9f9R21vMXxHZFNpYNeKFtG8_yji4HS352LGlSQ/edit?pli=1#gid=0"",""1_ACUM!A4:S""),17,FALSE))"),"")</f>
        <v/>
      </c>
      <c r="AI265" s="44" t="str">
        <f ca="1">IFERROR(__xludf.DUMMYFUNCTION("IFERROR(VLOOKUP(E288&amp;F288,IMPORTRANGE(""https://docs.google.com/spreadsheets/d/1Uw7-A9f9R21vMXxHZFNpYNeKFtG8_yji4HS352LGlSQ/edit?pli=1#gid=0"",""1_ACUM!A4:S""),18,FALSE))"),"")</f>
        <v/>
      </c>
      <c r="AJ265" s="44" t="str">
        <f ca="1">IFERROR(__xludf.DUMMYFUNCTION("IFERROR(VLOOKUP(E288&amp;F288,IMPORTRANGE(""https://docs.google.com/spreadsheets/d/1Uw7-A9f9R21vMXxHZFNpYNeKFtG8_yji4HS352LGlSQ/edit?pli=1#gid=0"",""1_ACUM!A4:S""),19,FALSE))"),"")</f>
        <v/>
      </c>
      <c r="AK265" s="98" t="str">
        <f ca="1">IFERROR(__xludf.DUMMYFUNCTION("IFERROR(VLOOKUP(F288,IMPORTRANGE(""https://docs.google.com/spreadsheets/d/1Kvs4KS76FHFqLFIZfrDMff4kP08nblUkihrxltoGBjg/edit#gid=934712705"",""ESENCIAL!A6:BG""),5,FALSE))"),"")</f>
        <v/>
      </c>
      <c r="AL265" s="98" t="str">
        <f t="shared" si="22"/>
        <v/>
      </c>
      <c r="AM265" s="99" t="str">
        <f t="shared" si="23"/>
        <v/>
      </c>
      <c r="AN265" s="100" t="str">
        <f ca="1">IFERROR(__xludf.DUMMYFUNCTION("IFERROR(VLOOKUP(F288,IMPORTRANGE(""https://docs.google.com/spreadsheets/d/1Kvs4KS76FHFqLFIZfrDMff4kP08nblUkihrxltoGBjg/edit#gid=934712705"",""ESENCIAL!A6:BG""),2,FALSE))"),"")</f>
        <v/>
      </c>
      <c r="AO265" s="19" t="str">
        <f t="shared" si="20"/>
        <v/>
      </c>
      <c r="AP265" s="100"/>
      <c r="AQ265" s="100"/>
    </row>
    <row r="266" spans="1:43" ht="15">
      <c r="A266" s="101"/>
      <c r="B266" s="101"/>
      <c r="G266" s="5" t="str">
        <f ca="1">IFERROR(__xludf.DUMMYFUNCTION("IFERROR(VLOOKUP(F289,IMPORTRANGE(""https://docs.google.com/spreadsheets/d/1Kvs4KS76FHFqLFIZfrDMff4kP08nblUkihrxltoGBjg/edit#gid=934712705"",""ESENCIAL!A6:BG""),3,FALSE))"),"")</f>
        <v/>
      </c>
      <c r="H266" s="5" t="str">
        <f ca="1">IFERROR(__xludf.DUMMYFUNCTION("IFERROR(VLOOKUP(F289,IMPORTRANGE(""https://docs.google.com/spreadsheets/d/1Kvs4KS76FHFqLFIZfrDMff4kP08nblUkihrxltoGBjg/edit#gid=934712705"",""ESENCIAL!A6:BG""),8,FALSE))"),"")</f>
        <v/>
      </c>
      <c r="L266" s="287"/>
      <c r="Z266" s="41" t="str">
        <f t="shared" si="21"/>
        <v/>
      </c>
      <c r="AA266" s="5" t="str">
        <f ca="1">IFERROR(__xludf.DUMMYFUNCTION("IFERROR(VLOOKUP(E289&amp;F289,IMPORTRANGE(""https://docs.google.com/spreadsheets/d/1Uw7-A9f9R21vMXxHZFNpYNeKFtG8_yji4HS352LGlSQ/edit?pli=1#gid=0"",""1_ACUM!A4:S""),11,FALSE))"),"")</f>
        <v/>
      </c>
      <c r="AB266" s="42" t="str">
        <f ca="1">IFERROR(__xludf.DUMMYFUNCTION("IFERROR(VLOOKUP(F289,IMPORTRANGE(""https://docs.google.com/spreadsheets/d/1Kvs4KS76FHFqLFIZfrDMff4kP08nblUkihrxltoGBjg/edit#gid=934712705"",""ESENCIAL!A6:BG""),15,FALSE))"),"")</f>
        <v/>
      </c>
      <c r="AC266" s="110" t="str">
        <f ca="1">IFERROR(__xludf.DUMMYFUNCTION("IFERROR(VLOOKUP(E289&amp;F289,IMPORTRANGE(""https://docs.google.com/spreadsheets/d/1Uw7-A9f9R21vMXxHZFNpYNeKFtG8_yji4HS352LGlSQ/edit?pli=1#gid=0"",""1_ACUM!A4:S""),13,FALSE))"),"")</f>
        <v/>
      </c>
      <c r="AD266" s="43" t="str">
        <f ca="1">IFERROR(__xludf.DUMMYFUNCTION("IFERROR(VLOOKUP(E289&amp;F289,IMPORTRANGE(""https://docs.google.com/spreadsheets/d/1Uw7-A9f9R21vMXxHZFNpYNeKFtG8_yji4HS352LGlSQ/edit?pli=1#gid=0"",""1_ACUM!A4:S""),13,FALSE))"),"")</f>
        <v/>
      </c>
      <c r="AE266" s="43" t="str">
        <f ca="1">IFERROR(__xludf.DUMMYFUNCTION("IFERROR(VLOOKUP(E289&amp;F289,IMPORTRANGE(""https://docs.google.com/spreadsheets/d/1Uw7-A9f9R21vMXxHZFNpYNeKFtG8_yji4HS352LGlSQ/edit?pli=1#gid=0"",""1_ACUM!A4:S""),14,FALSE))"),"")</f>
        <v/>
      </c>
      <c r="AF266" s="43" t="str">
        <f ca="1">IFERROR(__xludf.DUMMYFUNCTION("IFERROR(VLOOKUP(E289&amp;F289,IMPORTRANGE(""https://docs.google.com/spreadsheets/d/1Uw7-A9f9R21vMXxHZFNpYNeKFtG8_yji4HS352LGlSQ/edit?pli=1#gid=0"",""1_ACUM!A4:S""),15,FALSE))"),"")</f>
        <v/>
      </c>
      <c r="AG266" s="43" t="str">
        <f ca="1">IFERROR(__xludf.DUMMYFUNCTION("IFERROR(VLOOKUP(E289&amp;F289,IMPORTRANGE(""https://docs.google.com/spreadsheets/d/1Uw7-A9f9R21vMXxHZFNpYNeKFtG8_yji4HS352LGlSQ/edit?pli=1#gid=0"",""1_ACUM!A4:S""),16,FALSE))"),"")</f>
        <v/>
      </c>
      <c r="AH266" s="43" t="str">
        <f ca="1">IFERROR(__xludf.DUMMYFUNCTION("IFERROR(VLOOKUP(E289&amp;F289,IMPORTRANGE(""https://docs.google.com/spreadsheets/d/1Uw7-A9f9R21vMXxHZFNpYNeKFtG8_yji4HS352LGlSQ/edit?pli=1#gid=0"",""1_ACUM!A4:S""),17,FALSE))"),"")</f>
        <v/>
      </c>
      <c r="AI266" s="44" t="str">
        <f ca="1">IFERROR(__xludf.DUMMYFUNCTION("IFERROR(VLOOKUP(E289&amp;F289,IMPORTRANGE(""https://docs.google.com/spreadsheets/d/1Uw7-A9f9R21vMXxHZFNpYNeKFtG8_yji4HS352LGlSQ/edit?pli=1#gid=0"",""1_ACUM!A4:S""),18,FALSE))"),"")</f>
        <v/>
      </c>
      <c r="AJ266" s="44" t="str">
        <f ca="1">IFERROR(__xludf.DUMMYFUNCTION("IFERROR(VLOOKUP(E289&amp;F289,IMPORTRANGE(""https://docs.google.com/spreadsheets/d/1Uw7-A9f9R21vMXxHZFNpYNeKFtG8_yji4HS352LGlSQ/edit?pli=1#gid=0"",""1_ACUM!A4:S""),19,FALSE))"),"")</f>
        <v/>
      </c>
      <c r="AK266" s="98" t="str">
        <f ca="1">IFERROR(__xludf.DUMMYFUNCTION("IFERROR(VLOOKUP(F289,IMPORTRANGE(""https://docs.google.com/spreadsheets/d/1Kvs4KS76FHFqLFIZfrDMff4kP08nblUkihrxltoGBjg/edit#gid=934712705"",""ESENCIAL!A6:BG""),5,FALSE))"),"")</f>
        <v/>
      </c>
      <c r="AL266" s="98" t="str">
        <f t="shared" si="22"/>
        <v/>
      </c>
      <c r="AM266" s="99" t="str">
        <f t="shared" si="23"/>
        <v/>
      </c>
      <c r="AN266" s="100" t="str">
        <f ca="1">IFERROR(__xludf.DUMMYFUNCTION("IFERROR(VLOOKUP(F289,IMPORTRANGE(""https://docs.google.com/spreadsheets/d/1Kvs4KS76FHFqLFIZfrDMff4kP08nblUkihrxltoGBjg/edit#gid=934712705"",""ESENCIAL!A6:BG""),2,FALSE))"),"")</f>
        <v/>
      </c>
      <c r="AO266" s="19" t="str">
        <f t="shared" si="20"/>
        <v/>
      </c>
      <c r="AP266" s="100"/>
      <c r="AQ266" s="100"/>
    </row>
    <row r="267" spans="1:43" ht="15">
      <c r="A267" s="101"/>
      <c r="B267" s="101"/>
      <c r="G267" s="5" t="str">
        <f ca="1">IFERROR(__xludf.DUMMYFUNCTION("IFERROR(VLOOKUP(F290,IMPORTRANGE(""https://docs.google.com/spreadsheets/d/1Kvs4KS76FHFqLFIZfrDMff4kP08nblUkihrxltoGBjg/edit#gid=934712705"",""ESENCIAL!A6:BG""),3,FALSE))"),"")</f>
        <v/>
      </c>
      <c r="H267" s="5" t="str">
        <f ca="1">IFERROR(__xludf.DUMMYFUNCTION("IFERROR(VLOOKUP(F290,IMPORTRANGE(""https://docs.google.com/spreadsheets/d/1Kvs4KS76FHFqLFIZfrDMff4kP08nblUkihrxltoGBjg/edit#gid=934712705"",""ESENCIAL!A6:BG""),8,FALSE))"),"")</f>
        <v/>
      </c>
      <c r="L267" s="287"/>
      <c r="Z267" s="41" t="str">
        <f t="shared" si="21"/>
        <v/>
      </c>
      <c r="AA267" s="5" t="str">
        <f ca="1">IFERROR(__xludf.DUMMYFUNCTION("IFERROR(VLOOKUP(E290&amp;F290,IMPORTRANGE(""https://docs.google.com/spreadsheets/d/1Uw7-A9f9R21vMXxHZFNpYNeKFtG8_yji4HS352LGlSQ/edit?pli=1#gid=0"",""1_ACUM!A4:S""),11,FALSE))"),"")</f>
        <v/>
      </c>
      <c r="AB267" s="42" t="str">
        <f ca="1">IFERROR(__xludf.DUMMYFUNCTION("IFERROR(VLOOKUP(F290,IMPORTRANGE(""https://docs.google.com/spreadsheets/d/1Kvs4KS76FHFqLFIZfrDMff4kP08nblUkihrxltoGBjg/edit#gid=934712705"",""ESENCIAL!A6:BG""),15,FALSE))"),"")</f>
        <v/>
      </c>
      <c r="AC267" s="110" t="str">
        <f ca="1">IFERROR(__xludf.DUMMYFUNCTION("IFERROR(VLOOKUP(E290&amp;F290,IMPORTRANGE(""https://docs.google.com/spreadsheets/d/1Uw7-A9f9R21vMXxHZFNpYNeKFtG8_yji4HS352LGlSQ/edit?pli=1#gid=0"",""1_ACUM!A4:S""),13,FALSE))"),"")</f>
        <v/>
      </c>
      <c r="AD267" s="43" t="str">
        <f ca="1">IFERROR(__xludf.DUMMYFUNCTION("IFERROR(VLOOKUP(E290&amp;F290,IMPORTRANGE(""https://docs.google.com/spreadsheets/d/1Uw7-A9f9R21vMXxHZFNpYNeKFtG8_yji4HS352LGlSQ/edit?pli=1#gid=0"",""1_ACUM!A4:S""),13,FALSE))"),"")</f>
        <v/>
      </c>
      <c r="AE267" s="43" t="str">
        <f ca="1">IFERROR(__xludf.DUMMYFUNCTION("IFERROR(VLOOKUP(E290&amp;F290,IMPORTRANGE(""https://docs.google.com/spreadsheets/d/1Uw7-A9f9R21vMXxHZFNpYNeKFtG8_yji4HS352LGlSQ/edit?pli=1#gid=0"",""1_ACUM!A4:S""),14,FALSE))"),"")</f>
        <v/>
      </c>
      <c r="AF267" s="43" t="str">
        <f ca="1">IFERROR(__xludf.DUMMYFUNCTION("IFERROR(VLOOKUP(E290&amp;F290,IMPORTRANGE(""https://docs.google.com/spreadsheets/d/1Uw7-A9f9R21vMXxHZFNpYNeKFtG8_yji4HS352LGlSQ/edit?pli=1#gid=0"",""1_ACUM!A4:S""),15,FALSE))"),"")</f>
        <v/>
      </c>
      <c r="AG267" s="43" t="str">
        <f ca="1">IFERROR(__xludf.DUMMYFUNCTION("IFERROR(VLOOKUP(E290&amp;F290,IMPORTRANGE(""https://docs.google.com/spreadsheets/d/1Uw7-A9f9R21vMXxHZFNpYNeKFtG8_yji4HS352LGlSQ/edit?pli=1#gid=0"",""1_ACUM!A4:S""),16,FALSE))"),"")</f>
        <v/>
      </c>
      <c r="AH267" s="43" t="str">
        <f ca="1">IFERROR(__xludf.DUMMYFUNCTION("IFERROR(VLOOKUP(E290&amp;F290,IMPORTRANGE(""https://docs.google.com/spreadsheets/d/1Uw7-A9f9R21vMXxHZFNpYNeKFtG8_yji4HS352LGlSQ/edit?pli=1#gid=0"",""1_ACUM!A4:S""),17,FALSE))"),"")</f>
        <v/>
      </c>
      <c r="AI267" s="44" t="str">
        <f ca="1">IFERROR(__xludf.DUMMYFUNCTION("IFERROR(VLOOKUP(E290&amp;F290,IMPORTRANGE(""https://docs.google.com/spreadsheets/d/1Uw7-A9f9R21vMXxHZFNpYNeKFtG8_yji4HS352LGlSQ/edit?pli=1#gid=0"",""1_ACUM!A4:S""),18,FALSE))"),"")</f>
        <v/>
      </c>
      <c r="AJ267" s="44" t="str">
        <f ca="1">IFERROR(__xludf.DUMMYFUNCTION("IFERROR(VLOOKUP(E290&amp;F290,IMPORTRANGE(""https://docs.google.com/spreadsheets/d/1Uw7-A9f9R21vMXxHZFNpYNeKFtG8_yji4HS352LGlSQ/edit?pli=1#gid=0"",""1_ACUM!A4:S""),19,FALSE))"),"")</f>
        <v/>
      </c>
      <c r="AK267" s="98" t="str">
        <f ca="1">IFERROR(__xludf.DUMMYFUNCTION("IFERROR(VLOOKUP(F290,IMPORTRANGE(""https://docs.google.com/spreadsheets/d/1Kvs4KS76FHFqLFIZfrDMff4kP08nblUkihrxltoGBjg/edit#gid=934712705"",""ESENCIAL!A6:BG""),5,FALSE))"),"")</f>
        <v/>
      </c>
      <c r="AL267" s="98" t="str">
        <f t="shared" si="22"/>
        <v/>
      </c>
      <c r="AM267" s="99" t="str">
        <f t="shared" si="23"/>
        <v/>
      </c>
      <c r="AN267" s="100" t="str">
        <f ca="1">IFERROR(__xludf.DUMMYFUNCTION("IFERROR(VLOOKUP(F290,IMPORTRANGE(""https://docs.google.com/spreadsheets/d/1Kvs4KS76FHFqLFIZfrDMff4kP08nblUkihrxltoGBjg/edit#gid=934712705"",""ESENCIAL!A6:BG""),2,FALSE))"),"")</f>
        <v/>
      </c>
      <c r="AO267" s="19" t="str">
        <f t="shared" si="20"/>
        <v/>
      </c>
      <c r="AP267" s="100"/>
      <c r="AQ267" s="100"/>
    </row>
    <row r="268" spans="1:43" ht="15">
      <c r="A268" s="101"/>
      <c r="B268" s="101"/>
      <c r="G268" s="5" t="str">
        <f ca="1">IFERROR(__xludf.DUMMYFUNCTION("IFERROR(VLOOKUP(F291,IMPORTRANGE(""https://docs.google.com/spreadsheets/d/1Kvs4KS76FHFqLFIZfrDMff4kP08nblUkihrxltoGBjg/edit#gid=934712705"",""ESENCIAL!A6:BG""),3,FALSE))"),"")</f>
        <v/>
      </c>
      <c r="H268" s="5" t="str">
        <f ca="1">IFERROR(__xludf.DUMMYFUNCTION("IFERROR(VLOOKUP(F291,IMPORTRANGE(""https://docs.google.com/spreadsheets/d/1Kvs4KS76FHFqLFIZfrDMff4kP08nblUkihrxltoGBjg/edit#gid=934712705"",""ESENCIAL!A6:BG""),8,FALSE))"),"")</f>
        <v/>
      </c>
      <c r="L268" s="287"/>
      <c r="Z268" s="41" t="str">
        <f t="shared" si="21"/>
        <v/>
      </c>
      <c r="AA268" s="5" t="str">
        <f ca="1">IFERROR(__xludf.DUMMYFUNCTION("IFERROR(VLOOKUP(E291&amp;F291,IMPORTRANGE(""https://docs.google.com/spreadsheets/d/1Uw7-A9f9R21vMXxHZFNpYNeKFtG8_yji4HS352LGlSQ/edit?pli=1#gid=0"",""1_ACUM!A4:S""),11,FALSE))"),"")</f>
        <v/>
      </c>
      <c r="AB268" s="42" t="str">
        <f ca="1">IFERROR(__xludf.DUMMYFUNCTION("IFERROR(VLOOKUP(F291,IMPORTRANGE(""https://docs.google.com/spreadsheets/d/1Kvs4KS76FHFqLFIZfrDMff4kP08nblUkihrxltoGBjg/edit#gid=934712705"",""ESENCIAL!A6:BG""),15,FALSE))"),"")</f>
        <v/>
      </c>
      <c r="AC268" s="110" t="str">
        <f ca="1">IFERROR(__xludf.DUMMYFUNCTION("IFERROR(VLOOKUP(E291&amp;F291,IMPORTRANGE(""https://docs.google.com/spreadsheets/d/1Uw7-A9f9R21vMXxHZFNpYNeKFtG8_yji4HS352LGlSQ/edit?pli=1#gid=0"",""1_ACUM!A4:S""),13,FALSE))"),"")</f>
        <v/>
      </c>
      <c r="AD268" s="43" t="str">
        <f ca="1">IFERROR(__xludf.DUMMYFUNCTION("IFERROR(VLOOKUP(E291&amp;F291,IMPORTRANGE(""https://docs.google.com/spreadsheets/d/1Uw7-A9f9R21vMXxHZFNpYNeKFtG8_yji4HS352LGlSQ/edit?pli=1#gid=0"",""1_ACUM!A4:S""),13,FALSE))"),"")</f>
        <v/>
      </c>
      <c r="AE268" s="43" t="str">
        <f ca="1">IFERROR(__xludf.DUMMYFUNCTION("IFERROR(VLOOKUP(E291&amp;F291,IMPORTRANGE(""https://docs.google.com/spreadsheets/d/1Uw7-A9f9R21vMXxHZFNpYNeKFtG8_yji4HS352LGlSQ/edit?pli=1#gid=0"",""1_ACUM!A4:S""),14,FALSE))"),"")</f>
        <v/>
      </c>
      <c r="AF268" s="43" t="str">
        <f ca="1">IFERROR(__xludf.DUMMYFUNCTION("IFERROR(VLOOKUP(E291&amp;F291,IMPORTRANGE(""https://docs.google.com/spreadsheets/d/1Uw7-A9f9R21vMXxHZFNpYNeKFtG8_yji4HS352LGlSQ/edit?pli=1#gid=0"",""1_ACUM!A4:S""),15,FALSE))"),"")</f>
        <v/>
      </c>
      <c r="AG268" s="43" t="str">
        <f ca="1">IFERROR(__xludf.DUMMYFUNCTION("IFERROR(VLOOKUP(E291&amp;F291,IMPORTRANGE(""https://docs.google.com/spreadsheets/d/1Uw7-A9f9R21vMXxHZFNpYNeKFtG8_yji4HS352LGlSQ/edit?pli=1#gid=0"",""1_ACUM!A4:S""),16,FALSE))"),"")</f>
        <v/>
      </c>
      <c r="AH268" s="43" t="str">
        <f ca="1">IFERROR(__xludf.DUMMYFUNCTION("IFERROR(VLOOKUP(E291&amp;F291,IMPORTRANGE(""https://docs.google.com/spreadsheets/d/1Uw7-A9f9R21vMXxHZFNpYNeKFtG8_yji4HS352LGlSQ/edit?pli=1#gid=0"",""1_ACUM!A4:S""),17,FALSE))"),"")</f>
        <v/>
      </c>
      <c r="AI268" s="44" t="str">
        <f ca="1">IFERROR(__xludf.DUMMYFUNCTION("IFERROR(VLOOKUP(E291&amp;F291,IMPORTRANGE(""https://docs.google.com/spreadsheets/d/1Uw7-A9f9R21vMXxHZFNpYNeKFtG8_yji4HS352LGlSQ/edit?pli=1#gid=0"",""1_ACUM!A4:S""),18,FALSE))"),"")</f>
        <v/>
      </c>
      <c r="AJ268" s="44" t="str">
        <f ca="1">IFERROR(__xludf.DUMMYFUNCTION("IFERROR(VLOOKUP(E291&amp;F291,IMPORTRANGE(""https://docs.google.com/spreadsheets/d/1Uw7-A9f9R21vMXxHZFNpYNeKFtG8_yji4HS352LGlSQ/edit?pli=1#gid=0"",""1_ACUM!A4:S""),19,FALSE))"),"")</f>
        <v/>
      </c>
      <c r="AK268" s="98" t="str">
        <f ca="1">IFERROR(__xludf.DUMMYFUNCTION("IFERROR(VLOOKUP(F291,IMPORTRANGE(""https://docs.google.com/spreadsheets/d/1Kvs4KS76FHFqLFIZfrDMff4kP08nblUkihrxltoGBjg/edit#gid=934712705"",""ESENCIAL!A6:BG""),5,FALSE))"),"")</f>
        <v/>
      </c>
      <c r="AL268" s="98" t="str">
        <f t="shared" si="22"/>
        <v/>
      </c>
      <c r="AM268" s="99" t="str">
        <f t="shared" si="23"/>
        <v/>
      </c>
      <c r="AN268" s="100" t="str">
        <f ca="1">IFERROR(__xludf.DUMMYFUNCTION("IFERROR(VLOOKUP(F291,IMPORTRANGE(""https://docs.google.com/spreadsheets/d/1Kvs4KS76FHFqLFIZfrDMff4kP08nblUkihrxltoGBjg/edit#gid=934712705"",""ESENCIAL!A6:BG""),2,FALSE))"),"")</f>
        <v/>
      </c>
      <c r="AO268" s="19" t="str">
        <f t="shared" si="20"/>
        <v/>
      </c>
      <c r="AP268" s="100"/>
      <c r="AQ268" s="100"/>
    </row>
    <row r="269" spans="1:43" ht="15">
      <c r="A269" s="101"/>
      <c r="B269" s="101"/>
      <c r="G269" s="5" t="str">
        <f ca="1">IFERROR(__xludf.DUMMYFUNCTION("IFERROR(VLOOKUP(F292,IMPORTRANGE(""https://docs.google.com/spreadsheets/d/1Kvs4KS76FHFqLFIZfrDMff4kP08nblUkihrxltoGBjg/edit#gid=934712705"",""ESENCIAL!A6:BG""),3,FALSE))"),"")</f>
        <v/>
      </c>
      <c r="H269" s="5" t="str">
        <f ca="1">IFERROR(__xludf.DUMMYFUNCTION("IFERROR(VLOOKUP(F292,IMPORTRANGE(""https://docs.google.com/spreadsheets/d/1Kvs4KS76FHFqLFIZfrDMff4kP08nblUkihrxltoGBjg/edit#gid=934712705"",""ESENCIAL!A6:BG""),8,FALSE))"),"")</f>
        <v/>
      </c>
      <c r="L269" s="287"/>
      <c r="Z269" s="41" t="str">
        <f t="shared" si="21"/>
        <v/>
      </c>
      <c r="AA269" s="5" t="str">
        <f ca="1">IFERROR(__xludf.DUMMYFUNCTION("IFERROR(VLOOKUP(E292&amp;F292,IMPORTRANGE(""https://docs.google.com/spreadsheets/d/1Uw7-A9f9R21vMXxHZFNpYNeKFtG8_yji4HS352LGlSQ/edit?pli=1#gid=0"",""1_ACUM!A4:S""),11,FALSE))"),"")</f>
        <v/>
      </c>
      <c r="AB269" s="42" t="str">
        <f ca="1">IFERROR(__xludf.DUMMYFUNCTION("IFERROR(VLOOKUP(F292,IMPORTRANGE(""https://docs.google.com/spreadsheets/d/1Kvs4KS76FHFqLFIZfrDMff4kP08nblUkihrxltoGBjg/edit#gid=934712705"",""ESENCIAL!A6:BG""),15,FALSE))"),"")</f>
        <v/>
      </c>
      <c r="AC269" s="110" t="str">
        <f ca="1">IFERROR(__xludf.DUMMYFUNCTION("IFERROR(VLOOKUP(E292&amp;F292,IMPORTRANGE(""https://docs.google.com/spreadsheets/d/1Uw7-A9f9R21vMXxHZFNpYNeKFtG8_yji4HS352LGlSQ/edit?pli=1#gid=0"",""1_ACUM!A4:S""),13,FALSE))"),"")</f>
        <v/>
      </c>
      <c r="AD269" s="43" t="str">
        <f ca="1">IFERROR(__xludf.DUMMYFUNCTION("IFERROR(VLOOKUP(E292&amp;F292,IMPORTRANGE(""https://docs.google.com/spreadsheets/d/1Uw7-A9f9R21vMXxHZFNpYNeKFtG8_yji4HS352LGlSQ/edit?pli=1#gid=0"",""1_ACUM!A4:S""),13,FALSE))"),"")</f>
        <v/>
      </c>
      <c r="AE269" s="43" t="str">
        <f ca="1">IFERROR(__xludf.DUMMYFUNCTION("IFERROR(VLOOKUP(E292&amp;F292,IMPORTRANGE(""https://docs.google.com/spreadsheets/d/1Uw7-A9f9R21vMXxHZFNpYNeKFtG8_yji4HS352LGlSQ/edit?pli=1#gid=0"",""1_ACUM!A4:S""),14,FALSE))"),"")</f>
        <v/>
      </c>
      <c r="AF269" s="43" t="str">
        <f ca="1">IFERROR(__xludf.DUMMYFUNCTION("IFERROR(VLOOKUP(E292&amp;F292,IMPORTRANGE(""https://docs.google.com/spreadsheets/d/1Uw7-A9f9R21vMXxHZFNpYNeKFtG8_yji4HS352LGlSQ/edit?pli=1#gid=0"",""1_ACUM!A4:S""),15,FALSE))"),"")</f>
        <v/>
      </c>
      <c r="AG269" s="43" t="str">
        <f ca="1">IFERROR(__xludf.DUMMYFUNCTION("IFERROR(VLOOKUP(E292&amp;F292,IMPORTRANGE(""https://docs.google.com/spreadsheets/d/1Uw7-A9f9R21vMXxHZFNpYNeKFtG8_yji4HS352LGlSQ/edit?pli=1#gid=0"",""1_ACUM!A4:S""),16,FALSE))"),"")</f>
        <v/>
      </c>
      <c r="AH269" s="43" t="str">
        <f ca="1">IFERROR(__xludf.DUMMYFUNCTION("IFERROR(VLOOKUP(E292&amp;F292,IMPORTRANGE(""https://docs.google.com/spreadsheets/d/1Uw7-A9f9R21vMXxHZFNpYNeKFtG8_yji4HS352LGlSQ/edit?pli=1#gid=0"",""1_ACUM!A4:S""),17,FALSE))"),"")</f>
        <v/>
      </c>
      <c r="AI269" s="44" t="str">
        <f ca="1">IFERROR(__xludf.DUMMYFUNCTION("IFERROR(VLOOKUP(E292&amp;F292,IMPORTRANGE(""https://docs.google.com/spreadsheets/d/1Uw7-A9f9R21vMXxHZFNpYNeKFtG8_yji4HS352LGlSQ/edit?pli=1#gid=0"",""1_ACUM!A4:S""),18,FALSE))"),"")</f>
        <v/>
      </c>
      <c r="AJ269" s="44" t="str">
        <f ca="1">IFERROR(__xludf.DUMMYFUNCTION("IFERROR(VLOOKUP(E292&amp;F292,IMPORTRANGE(""https://docs.google.com/spreadsheets/d/1Uw7-A9f9R21vMXxHZFNpYNeKFtG8_yji4HS352LGlSQ/edit?pli=1#gid=0"",""1_ACUM!A4:S""),19,FALSE))"),"")</f>
        <v/>
      </c>
      <c r="AK269" s="98" t="str">
        <f ca="1">IFERROR(__xludf.DUMMYFUNCTION("IFERROR(VLOOKUP(F292,IMPORTRANGE(""https://docs.google.com/spreadsheets/d/1Kvs4KS76FHFqLFIZfrDMff4kP08nblUkihrxltoGBjg/edit#gid=934712705"",""ESENCIAL!A6:BG""),5,FALSE))"),"")</f>
        <v/>
      </c>
      <c r="AL269" s="98" t="str">
        <f t="shared" si="22"/>
        <v/>
      </c>
      <c r="AM269" s="99" t="str">
        <f t="shared" si="23"/>
        <v/>
      </c>
      <c r="AN269" s="100" t="str">
        <f ca="1">IFERROR(__xludf.DUMMYFUNCTION("IFERROR(VLOOKUP(F292,IMPORTRANGE(""https://docs.google.com/spreadsheets/d/1Kvs4KS76FHFqLFIZfrDMff4kP08nblUkihrxltoGBjg/edit#gid=934712705"",""ESENCIAL!A6:BG""),2,FALSE))"),"")</f>
        <v/>
      </c>
      <c r="AO269" s="19" t="str">
        <f t="shared" si="20"/>
        <v/>
      </c>
      <c r="AP269" s="100"/>
      <c r="AQ269" s="100"/>
    </row>
    <row r="270" spans="1:43" ht="15">
      <c r="A270" s="101"/>
      <c r="B270" s="101"/>
      <c r="G270" s="5" t="str">
        <f ca="1">IFERROR(__xludf.DUMMYFUNCTION("IFERROR(VLOOKUP(F293,IMPORTRANGE(""https://docs.google.com/spreadsheets/d/1Kvs4KS76FHFqLFIZfrDMff4kP08nblUkihrxltoGBjg/edit#gid=934712705"",""ESENCIAL!A6:BG""),3,FALSE))"),"")</f>
        <v/>
      </c>
      <c r="H270" s="5" t="str">
        <f ca="1">IFERROR(__xludf.DUMMYFUNCTION("IFERROR(VLOOKUP(F293,IMPORTRANGE(""https://docs.google.com/spreadsheets/d/1Kvs4KS76FHFqLFIZfrDMff4kP08nblUkihrxltoGBjg/edit#gid=934712705"",""ESENCIAL!A6:BG""),8,FALSE))"),"")</f>
        <v/>
      </c>
      <c r="L270" s="287"/>
      <c r="Z270" s="41" t="str">
        <f t="shared" si="21"/>
        <v/>
      </c>
      <c r="AA270" s="5" t="str">
        <f ca="1">IFERROR(__xludf.DUMMYFUNCTION("IFERROR(VLOOKUP(E293&amp;F293,IMPORTRANGE(""https://docs.google.com/spreadsheets/d/1Uw7-A9f9R21vMXxHZFNpYNeKFtG8_yji4HS352LGlSQ/edit?pli=1#gid=0"",""1_ACUM!A4:S""),11,FALSE))"),"")</f>
        <v/>
      </c>
      <c r="AB270" s="42" t="str">
        <f ca="1">IFERROR(__xludf.DUMMYFUNCTION("IFERROR(VLOOKUP(F293,IMPORTRANGE(""https://docs.google.com/spreadsheets/d/1Kvs4KS76FHFqLFIZfrDMff4kP08nblUkihrxltoGBjg/edit#gid=934712705"",""ESENCIAL!A6:BG""),15,FALSE))"),"")</f>
        <v/>
      </c>
      <c r="AC270" s="110" t="str">
        <f ca="1">IFERROR(__xludf.DUMMYFUNCTION("IFERROR(VLOOKUP(E293&amp;F293,IMPORTRANGE(""https://docs.google.com/spreadsheets/d/1Uw7-A9f9R21vMXxHZFNpYNeKFtG8_yji4HS352LGlSQ/edit?pli=1#gid=0"",""1_ACUM!A4:S""),13,FALSE))"),"")</f>
        <v/>
      </c>
      <c r="AD270" s="43" t="str">
        <f ca="1">IFERROR(__xludf.DUMMYFUNCTION("IFERROR(VLOOKUP(E293&amp;F293,IMPORTRANGE(""https://docs.google.com/spreadsheets/d/1Uw7-A9f9R21vMXxHZFNpYNeKFtG8_yji4HS352LGlSQ/edit?pli=1#gid=0"",""1_ACUM!A4:S""),13,FALSE))"),"")</f>
        <v/>
      </c>
      <c r="AE270" s="43" t="str">
        <f ca="1">IFERROR(__xludf.DUMMYFUNCTION("IFERROR(VLOOKUP(E293&amp;F293,IMPORTRANGE(""https://docs.google.com/spreadsheets/d/1Uw7-A9f9R21vMXxHZFNpYNeKFtG8_yji4HS352LGlSQ/edit?pli=1#gid=0"",""1_ACUM!A4:S""),14,FALSE))"),"")</f>
        <v/>
      </c>
      <c r="AF270" s="43" t="str">
        <f ca="1">IFERROR(__xludf.DUMMYFUNCTION("IFERROR(VLOOKUP(E293&amp;F293,IMPORTRANGE(""https://docs.google.com/spreadsheets/d/1Uw7-A9f9R21vMXxHZFNpYNeKFtG8_yji4HS352LGlSQ/edit?pli=1#gid=0"",""1_ACUM!A4:S""),15,FALSE))"),"")</f>
        <v/>
      </c>
      <c r="AG270" s="43" t="str">
        <f ca="1">IFERROR(__xludf.DUMMYFUNCTION("IFERROR(VLOOKUP(E293&amp;F293,IMPORTRANGE(""https://docs.google.com/spreadsheets/d/1Uw7-A9f9R21vMXxHZFNpYNeKFtG8_yji4HS352LGlSQ/edit?pli=1#gid=0"",""1_ACUM!A4:S""),16,FALSE))"),"")</f>
        <v/>
      </c>
      <c r="AH270" s="43" t="str">
        <f ca="1">IFERROR(__xludf.DUMMYFUNCTION("IFERROR(VLOOKUP(E293&amp;F293,IMPORTRANGE(""https://docs.google.com/spreadsheets/d/1Uw7-A9f9R21vMXxHZFNpYNeKFtG8_yji4HS352LGlSQ/edit?pli=1#gid=0"",""1_ACUM!A4:S""),17,FALSE))"),"")</f>
        <v/>
      </c>
      <c r="AI270" s="44" t="str">
        <f ca="1">IFERROR(__xludf.DUMMYFUNCTION("IFERROR(VLOOKUP(E293&amp;F293,IMPORTRANGE(""https://docs.google.com/spreadsheets/d/1Uw7-A9f9R21vMXxHZFNpYNeKFtG8_yji4HS352LGlSQ/edit?pli=1#gid=0"",""1_ACUM!A4:S""),18,FALSE))"),"")</f>
        <v/>
      </c>
      <c r="AJ270" s="44" t="str">
        <f ca="1">IFERROR(__xludf.DUMMYFUNCTION("IFERROR(VLOOKUP(E293&amp;F293,IMPORTRANGE(""https://docs.google.com/spreadsheets/d/1Uw7-A9f9R21vMXxHZFNpYNeKFtG8_yji4HS352LGlSQ/edit?pli=1#gid=0"",""1_ACUM!A4:S""),19,FALSE))"),"")</f>
        <v/>
      </c>
      <c r="AK270" s="98" t="str">
        <f ca="1">IFERROR(__xludf.DUMMYFUNCTION("IFERROR(VLOOKUP(F293,IMPORTRANGE(""https://docs.google.com/spreadsheets/d/1Kvs4KS76FHFqLFIZfrDMff4kP08nblUkihrxltoGBjg/edit#gid=934712705"",""ESENCIAL!A6:BG""),5,FALSE))"),"")</f>
        <v/>
      </c>
      <c r="AL270" s="98" t="str">
        <f t="shared" si="22"/>
        <v/>
      </c>
      <c r="AM270" s="99" t="str">
        <f t="shared" si="23"/>
        <v/>
      </c>
      <c r="AN270" s="100" t="str">
        <f ca="1">IFERROR(__xludf.DUMMYFUNCTION("IFERROR(VLOOKUP(F293,IMPORTRANGE(""https://docs.google.com/spreadsheets/d/1Kvs4KS76FHFqLFIZfrDMff4kP08nblUkihrxltoGBjg/edit#gid=934712705"",""ESENCIAL!A6:BG""),2,FALSE))"),"")</f>
        <v/>
      </c>
      <c r="AO270" s="19" t="str">
        <f t="shared" si="20"/>
        <v/>
      </c>
      <c r="AP270" s="100"/>
      <c r="AQ270" s="100"/>
    </row>
    <row r="271" spans="1:43" ht="15">
      <c r="A271" s="101"/>
      <c r="B271" s="101"/>
      <c r="G271" s="5" t="str">
        <f ca="1">IFERROR(__xludf.DUMMYFUNCTION("IFERROR(VLOOKUP(F294,IMPORTRANGE(""https://docs.google.com/spreadsheets/d/1Kvs4KS76FHFqLFIZfrDMff4kP08nblUkihrxltoGBjg/edit#gid=934712705"",""ESENCIAL!A6:BG""),3,FALSE))"),"")</f>
        <v/>
      </c>
      <c r="H271" s="5" t="str">
        <f ca="1">IFERROR(__xludf.DUMMYFUNCTION("IFERROR(VLOOKUP(F294,IMPORTRANGE(""https://docs.google.com/spreadsheets/d/1Kvs4KS76FHFqLFIZfrDMff4kP08nblUkihrxltoGBjg/edit#gid=934712705"",""ESENCIAL!A6:BG""),8,FALSE))"),"")</f>
        <v/>
      </c>
      <c r="L271" s="287"/>
      <c r="Z271" s="41" t="str">
        <f t="shared" si="21"/>
        <v/>
      </c>
      <c r="AA271" s="5" t="str">
        <f ca="1">IFERROR(__xludf.DUMMYFUNCTION("IFERROR(VLOOKUP(E294&amp;F294,IMPORTRANGE(""https://docs.google.com/spreadsheets/d/1Uw7-A9f9R21vMXxHZFNpYNeKFtG8_yji4HS352LGlSQ/edit?pli=1#gid=0"",""1_ACUM!A4:S""),11,FALSE))"),"")</f>
        <v/>
      </c>
      <c r="AB271" s="42" t="str">
        <f ca="1">IFERROR(__xludf.DUMMYFUNCTION("IFERROR(VLOOKUP(F294,IMPORTRANGE(""https://docs.google.com/spreadsheets/d/1Kvs4KS76FHFqLFIZfrDMff4kP08nblUkihrxltoGBjg/edit#gid=934712705"",""ESENCIAL!A6:BG""),15,FALSE))"),"")</f>
        <v/>
      </c>
      <c r="AC271" s="110" t="str">
        <f ca="1">IFERROR(__xludf.DUMMYFUNCTION("IFERROR(VLOOKUP(E294&amp;F294,IMPORTRANGE(""https://docs.google.com/spreadsheets/d/1Uw7-A9f9R21vMXxHZFNpYNeKFtG8_yji4HS352LGlSQ/edit?pli=1#gid=0"",""1_ACUM!A4:S""),13,FALSE))"),"")</f>
        <v/>
      </c>
      <c r="AD271" s="43" t="str">
        <f ca="1">IFERROR(__xludf.DUMMYFUNCTION("IFERROR(VLOOKUP(E294&amp;F294,IMPORTRANGE(""https://docs.google.com/spreadsheets/d/1Uw7-A9f9R21vMXxHZFNpYNeKFtG8_yji4HS352LGlSQ/edit?pli=1#gid=0"",""1_ACUM!A4:S""),13,FALSE))"),"")</f>
        <v/>
      </c>
      <c r="AE271" s="43" t="str">
        <f ca="1">IFERROR(__xludf.DUMMYFUNCTION("IFERROR(VLOOKUP(E294&amp;F294,IMPORTRANGE(""https://docs.google.com/spreadsheets/d/1Uw7-A9f9R21vMXxHZFNpYNeKFtG8_yji4HS352LGlSQ/edit?pli=1#gid=0"",""1_ACUM!A4:S""),14,FALSE))"),"")</f>
        <v/>
      </c>
      <c r="AF271" s="43" t="str">
        <f ca="1">IFERROR(__xludf.DUMMYFUNCTION("IFERROR(VLOOKUP(E294&amp;F294,IMPORTRANGE(""https://docs.google.com/spreadsheets/d/1Uw7-A9f9R21vMXxHZFNpYNeKFtG8_yji4HS352LGlSQ/edit?pli=1#gid=0"",""1_ACUM!A4:S""),15,FALSE))"),"")</f>
        <v/>
      </c>
      <c r="AG271" s="43" t="str">
        <f ca="1">IFERROR(__xludf.DUMMYFUNCTION("IFERROR(VLOOKUP(E294&amp;F294,IMPORTRANGE(""https://docs.google.com/spreadsheets/d/1Uw7-A9f9R21vMXxHZFNpYNeKFtG8_yji4HS352LGlSQ/edit?pli=1#gid=0"",""1_ACUM!A4:S""),16,FALSE))"),"")</f>
        <v/>
      </c>
      <c r="AH271" s="43" t="str">
        <f ca="1">IFERROR(__xludf.DUMMYFUNCTION("IFERROR(VLOOKUP(E294&amp;F294,IMPORTRANGE(""https://docs.google.com/spreadsheets/d/1Uw7-A9f9R21vMXxHZFNpYNeKFtG8_yji4HS352LGlSQ/edit?pli=1#gid=0"",""1_ACUM!A4:S""),17,FALSE))"),"")</f>
        <v/>
      </c>
      <c r="AI271" s="44" t="str">
        <f ca="1">IFERROR(__xludf.DUMMYFUNCTION("IFERROR(VLOOKUP(E294&amp;F294,IMPORTRANGE(""https://docs.google.com/spreadsheets/d/1Uw7-A9f9R21vMXxHZFNpYNeKFtG8_yji4HS352LGlSQ/edit?pli=1#gid=0"",""1_ACUM!A4:S""),18,FALSE))"),"")</f>
        <v/>
      </c>
      <c r="AJ271" s="44" t="str">
        <f ca="1">IFERROR(__xludf.DUMMYFUNCTION("IFERROR(VLOOKUP(E294&amp;F294,IMPORTRANGE(""https://docs.google.com/spreadsheets/d/1Uw7-A9f9R21vMXxHZFNpYNeKFtG8_yji4HS352LGlSQ/edit?pli=1#gid=0"",""1_ACUM!A4:S""),19,FALSE))"),"")</f>
        <v/>
      </c>
      <c r="AK271" s="98" t="str">
        <f ca="1">IFERROR(__xludf.DUMMYFUNCTION("IFERROR(VLOOKUP(F294,IMPORTRANGE(""https://docs.google.com/spreadsheets/d/1Kvs4KS76FHFqLFIZfrDMff4kP08nblUkihrxltoGBjg/edit#gid=934712705"",""ESENCIAL!A6:BG""),5,FALSE))"),"")</f>
        <v/>
      </c>
      <c r="AL271" s="98" t="str">
        <f t="shared" si="22"/>
        <v/>
      </c>
      <c r="AM271" s="99" t="str">
        <f t="shared" si="23"/>
        <v/>
      </c>
      <c r="AN271" s="100" t="str">
        <f ca="1">IFERROR(__xludf.DUMMYFUNCTION("IFERROR(VLOOKUP(F294,IMPORTRANGE(""https://docs.google.com/spreadsheets/d/1Kvs4KS76FHFqLFIZfrDMff4kP08nblUkihrxltoGBjg/edit#gid=934712705"",""ESENCIAL!A6:BG""),2,FALSE))"),"")</f>
        <v/>
      </c>
      <c r="AO271" s="19" t="str">
        <f t="shared" si="20"/>
        <v/>
      </c>
      <c r="AP271" s="100"/>
      <c r="AQ271" s="100"/>
    </row>
    <row r="272" spans="1:43" ht="15">
      <c r="A272" s="101"/>
      <c r="B272" s="101"/>
      <c r="G272" s="5" t="str">
        <f ca="1">IFERROR(__xludf.DUMMYFUNCTION("IFERROR(VLOOKUP(F295,IMPORTRANGE(""https://docs.google.com/spreadsheets/d/1Kvs4KS76FHFqLFIZfrDMff4kP08nblUkihrxltoGBjg/edit#gid=934712705"",""ESENCIAL!A6:BG""),3,FALSE))"),"")</f>
        <v/>
      </c>
      <c r="H272" s="5" t="str">
        <f ca="1">IFERROR(__xludf.DUMMYFUNCTION("IFERROR(VLOOKUP(F295,IMPORTRANGE(""https://docs.google.com/spreadsheets/d/1Kvs4KS76FHFqLFIZfrDMff4kP08nblUkihrxltoGBjg/edit#gid=934712705"",""ESENCIAL!A6:BG""),8,FALSE))"),"")</f>
        <v/>
      </c>
      <c r="L272" s="287"/>
      <c r="Z272" s="41" t="str">
        <f t="shared" si="21"/>
        <v/>
      </c>
      <c r="AA272" s="5" t="str">
        <f ca="1">IFERROR(__xludf.DUMMYFUNCTION("IFERROR(VLOOKUP(E295&amp;F295,IMPORTRANGE(""https://docs.google.com/spreadsheets/d/1Uw7-A9f9R21vMXxHZFNpYNeKFtG8_yji4HS352LGlSQ/edit?pli=1#gid=0"",""1_ACUM!A4:S""),11,FALSE))"),"")</f>
        <v/>
      </c>
      <c r="AB272" s="42" t="str">
        <f ca="1">IFERROR(__xludf.DUMMYFUNCTION("IFERROR(VLOOKUP(F295,IMPORTRANGE(""https://docs.google.com/spreadsheets/d/1Kvs4KS76FHFqLFIZfrDMff4kP08nblUkihrxltoGBjg/edit#gid=934712705"",""ESENCIAL!A6:BG""),15,FALSE))"),"")</f>
        <v/>
      </c>
      <c r="AC272" s="110" t="str">
        <f ca="1">IFERROR(__xludf.DUMMYFUNCTION("IFERROR(VLOOKUP(E295&amp;F295,IMPORTRANGE(""https://docs.google.com/spreadsheets/d/1Uw7-A9f9R21vMXxHZFNpYNeKFtG8_yji4HS352LGlSQ/edit?pli=1#gid=0"",""1_ACUM!A4:S""),13,FALSE))"),"")</f>
        <v/>
      </c>
      <c r="AD272" s="43" t="str">
        <f ca="1">IFERROR(__xludf.DUMMYFUNCTION("IFERROR(VLOOKUP(E295&amp;F295,IMPORTRANGE(""https://docs.google.com/spreadsheets/d/1Uw7-A9f9R21vMXxHZFNpYNeKFtG8_yji4HS352LGlSQ/edit?pli=1#gid=0"",""1_ACUM!A4:S""),13,FALSE))"),"")</f>
        <v/>
      </c>
      <c r="AE272" s="43" t="str">
        <f ca="1">IFERROR(__xludf.DUMMYFUNCTION("IFERROR(VLOOKUP(E295&amp;F295,IMPORTRANGE(""https://docs.google.com/spreadsheets/d/1Uw7-A9f9R21vMXxHZFNpYNeKFtG8_yji4HS352LGlSQ/edit?pli=1#gid=0"",""1_ACUM!A4:S""),14,FALSE))"),"")</f>
        <v/>
      </c>
      <c r="AF272" s="43" t="str">
        <f ca="1">IFERROR(__xludf.DUMMYFUNCTION("IFERROR(VLOOKUP(E295&amp;F295,IMPORTRANGE(""https://docs.google.com/spreadsheets/d/1Uw7-A9f9R21vMXxHZFNpYNeKFtG8_yji4HS352LGlSQ/edit?pli=1#gid=0"",""1_ACUM!A4:S""),15,FALSE))"),"")</f>
        <v/>
      </c>
      <c r="AG272" s="43" t="str">
        <f ca="1">IFERROR(__xludf.DUMMYFUNCTION("IFERROR(VLOOKUP(E295&amp;F295,IMPORTRANGE(""https://docs.google.com/spreadsheets/d/1Uw7-A9f9R21vMXxHZFNpYNeKFtG8_yji4HS352LGlSQ/edit?pli=1#gid=0"",""1_ACUM!A4:S""),16,FALSE))"),"")</f>
        <v/>
      </c>
      <c r="AH272" s="43" t="str">
        <f ca="1">IFERROR(__xludf.DUMMYFUNCTION("IFERROR(VLOOKUP(E295&amp;F295,IMPORTRANGE(""https://docs.google.com/spreadsheets/d/1Uw7-A9f9R21vMXxHZFNpYNeKFtG8_yji4HS352LGlSQ/edit?pli=1#gid=0"",""1_ACUM!A4:S""),17,FALSE))"),"")</f>
        <v/>
      </c>
      <c r="AI272" s="44" t="str">
        <f ca="1">IFERROR(__xludf.DUMMYFUNCTION("IFERROR(VLOOKUP(E295&amp;F295,IMPORTRANGE(""https://docs.google.com/spreadsheets/d/1Uw7-A9f9R21vMXxHZFNpYNeKFtG8_yji4HS352LGlSQ/edit?pli=1#gid=0"",""1_ACUM!A4:S""),18,FALSE))"),"")</f>
        <v/>
      </c>
      <c r="AJ272" s="44" t="str">
        <f ca="1">IFERROR(__xludf.DUMMYFUNCTION("IFERROR(VLOOKUP(E295&amp;F295,IMPORTRANGE(""https://docs.google.com/spreadsheets/d/1Uw7-A9f9R21vMXxHZFNpYNeKFtG8_yji4HS352LGlSQ/edit?pli=1#gid=0"",""1_ACUM!A4:S""),19,FALSE))"),"")</f>
        <v/>
      </c>
      <c r="AK272" s="98" t="str">
        <f ca="1">IFERROR(__xludf.DUMMYFUNCTION("IFERROR(VLOOKUP(F295,IMPORTRANGE(""https://docs.google.com/spreadsheets/d/1Kvs4KS76FHFqLFIZfrDMff4kP08nblUkihrxltoGBjg/edit#gid=934712705"",""ESENCIAL!A6:BG""),5,FALSE))"),"")</f>
        <v/>
      </c>
      <c r="AL272" s="98" t="str">
        <f t="shared" si="22"/>
        <v/>
      </c>
      <c r="AM272" s="99" t="str">
        <f t="shared" si="23"/>
        <v/>
      </c>
      <c r="AN272" s="100" t="str">
        <f ca="1">IFERROR(__xludf.DUMMYFUNCTION("IFERROR(VLOOKUP(F295,IMPORTRANGE(""https://docs.google.com/spreadsheets/d/1Kvs4KS76FHFqLFIZfrDMff4kP08nblUkihrxltoGBjg/edit#gid=934712705"",""ESENCIAL!A6:BG""),2,FALSE))"),"")</f>
        <v/>
      </c>
      <c r="AO272" s="19" t="str">
        <f t="shared" si="20"/>
        <v/>
      </c>
      <c r="AP272" s="100"/>
      <c r="AQ272" s="100"/>
    </row>
    <row r="273" spans="1:43" ht="15">
      <c r="A273" s="101"/>
      <c r="B273" s="101"/>
      <c r="G273" s="5" t="str">
        <f ca="1">IFERROR(__xludf.DUMMYFUNCTION("IFERROR(VLOOKUP(F296,IMPORTRANGE(""https://docs.google.com/spreadsheets/d/1Kvs4KS76FHFqLFIZfrDMff4kP08nblUkihrxltoGBjg/edit#gid=934712705"",""ESENCIAL!A6:BG""),3,FALSE))"),"")</f>
        <v/>
      </c>
      <c r="H273" s="5" t="str">
        <f ca="1">IFERROR(__xludf.DUMMYFUNCTION("IFERROR(VLOOKUP(F296,IMPORTRANGE(""https://docs.google.com/spreadsheets/d/1Kvs4KS76FHFqLFIZfrDMff4kP08nblUkihrxltoGBjg/edit#gid=934712705"",""ESENCIAL!A6:BG""),8,FALSE))"),"")</f>
        <v/>
      </c>
      <c r="L273" s="287"/>
      <c r="Z273" s="41" t="str">
        <f t="shared" si="21"/>
        <v/>
      </c>
      <c r="AA273" s="5" t="str">
        <f ca="1">IFERROR(__xludf.DUMMYFUNCTION("IFERROR(VLOOKUP(E296&amp;F296,IMPORTRANGE(""https://docs.google.com/spreadsheets/d/1Uw7-A9f9R21vMXxHZFNpYNeKFtG8_yji4HS352LGlSQ/edit?pli=1#gid=0"",""1_ACUM!A4:S""),11,FALSE))"),"")</f>
        <v/>
      </c>
      <c r="AB273" s="42" t="str">
        <f ca="1">IFERROR(__xludf.DUMMYFUNCTION("IFERROR(VLOOKUP(F296,IMPORTRANGE(""https://docs.google.com/spreadsheets/d/1Kvs4KS76FHFqLFIZfrDMff4kP08nblUkihrxltoGBjg/edit#gid=934712705"",""ESENCIAL!A6:BG""),15,FALSE))"),"")</f>
        <v/>
      </c>
      <c r="AC273" s="110" t="str">
        <f ca="1">IFERROR(__xludf.DUMMYFUNCTION("IFERROR(VLOOKUP(E296&amp;F296,IMPORTRANGE(""https://docs.google.com/spreadsheets/d/1Uw7-A9f9R21vMXxHZFNpYNeKFtG8_yji4HS352LGlSQ/edit?pli=1#gid=0"",""1_ACUM!A4:S""),13,FALSE))"),"")</f>
        <v/>
      </c>
      <c r="AD273" s="43" t="str">
        <f ca="1">IFERROR(__xludf.DUMMYFUNCTION("IFERROR(VLOOKUP(E296&amp;F296,IMPORTRANGE(""https://docs.google.com/spreadsheets/d/1Uw7-A9f9R21vMXxHZFNpYNeKFtG8_yji4HS352LGlSQ/edit?pli=1#gid=0"",""1_ACUM!A4:S""),13,FALSE))"),"")</f>
        <v/>
      </c>
      <c r="AE273" s="43" t="str">
        <f ca="1">IFERROR(__xludf.DUMMYFUNCTION("IFERROR(VLOOKUP(E296&amp;F296,IMPORTRANGE(""https://docs.google.com/spreadsheets/d/1Uw7-A9f9R21vMXxHZFNpYNeKFtG8_yji4HS352LGlSQ/edit?pli=1#gid=0"",""1_ACUM!A4:S""),14,FALSE))"),"")</f>
        <v/>
      </c>
      <c r="AF273" s="43" t="str">
        <f ca="1">IFERROR(__xludf.DUMMYFUNCTION("IFERROR(VLOOKUP(E296&amp;F296,IMPORTRANGE(""https://docs.google.com/spreadsheets/d/1Uw7-A9f9R21vMXxHZFNpYNeKFtG8_yji4HS352LGlSQ/edit?pli=1#gid=0"",""1_ACUM!A4:S""),15,FALSE))"),"")</f>
        <v/>
      </c>
      <c r="AG273" s="43" t="str">
        <f ca="1">IFERROR(__xludf.DUMMYFUNCTION("IFERROR(VLOOKUP(E296&amp;F296,IMPORTRANGE(""https://docs.google.com/spreadsheets/d/1Uw7-A9f9R21vMXxHZFNpYNeKFtG8_yji4HS352LGlSQ/edit?pli=1#gid=0"",""1_ACUM!A4:S""),16,FALSE))"),"")</f>
        <v/>
      </c>
      <c r="AH273" s="43" t="str">
        <f ca="1">IFERROR(__xludf.DUMMYFUNCTION("IFERROR(VLOOKUP(E296&amp;F296,IMPORTRANGE(""https://docs.google.com/spreadsheets/d/1Uw7-A9f9R21vMXxHZFNpYNeKFtG8_yji4HS352LGlSQ/edit?pli=1#gid=0"",""1_ACUM!A4:S""),17,FALSE))"),"")</f>
        <v/>
      </c>
      <c r="AI273" s="44" t="str">
        <f ca="1">IFERROR(__xludf.DUMMYFUNCTION("IFERROR(VLOOKUP(E296&amp;F296,IMPORTRANGE(""https://docs.google.com/spreadsheets/d/1Uw7-A9f9R21vMXxHZFNpYNeKFtG8_yji4HS352LGlSQ/edit?pli=1#gid=0"",""1_ACUM!A4:S""),18,FALSE))"),"")</f>
        <v/>
      </c>
      <c r="AJ273" s="44" t="str">
        <f ca="1">IFERROR(__xludf.DUMMYFUNCTION("IFERROR(VLOOKUP(E296&amp;F296,IMPORTRANGE(""https://docs.google.com/spreadsheets/d/1Uw7-A9f9R21vMXxHZFNpYNeKFtG8_yji4HS352LGlSQ/edit?pli=1#gid=0"",""1_ACUM!A4:S""),19,FALSE))"),"")</f>
        <v/>
      </c>
      <c r="AK273" s="98" t="str">
        <f ca="1">IFERROR(__xludf.DUMMYFUNCTION("IFERROR(VLOOKUP(F296,IMPORTRANGE(""https://docs.google.com/spreadsheets/d/1Kvs4KS76FHFqLFIZfrDMff4kP08nblUkihrxltoGBjg/edit#gid=934712705"",""ESENCIAL!A6:BG""),5,FALSE))"),"")</f>
        <v/>
      </c>
      <c r="AL273" s="98" t="str">
        <f t="shared" si="22"/>
        <v/>
      </c>
      <c r="AM273" s="99" t="str">
        <f t="shared" si="23"/>
        <v/>
      </c>
      <c r="AN273" s="100" t="str">
        <f ca="1">IFERROR(__xludf.DUMMYFUNCTION("IFERROR(VLOOKUP(F296,IMPORTRANGE(""https://docs.google.com/spreadsheets/d/1Kvs4KS76FHFqLFIZfrDMff4kP08nblUkihrxltoGBjg/edit#gid=934712705"",""ESENCIAL!A6:BG""),2,FALSE))"),"")</f>
        <v/>
      </c>
      <c r="AO273" s="19" t="str">
        <f t="shared" si="20"/>
        <v/>
      </c>
      <c r="AP273" s="100"/>
      <c r="AQ273" s="100"/>
    </row>
    <row r="274" spans="1:43" ht="15">
      <c r="A274" s="101"/>
      <c r="B274" s="24"/>
      <c r="G274" s="5" t="str">
        <f ca="1">IFERROR(__xludf.DUMMYFUNCTION("IFERROR(VLOOKUP(F297,IMPORTRANGE(""https://docs.google.com/spreadsheets/d/1Kvs4KS76FHFqLFIZfrDMff4kP08nblUkihrxltoGBjg/edit#gid=934712705"",""ESENCIAL!A6:BG""),3,FALSE))"),"")</f>
        <v/>
      </c>
      <c r="H274" s="5" t="str">
        <f ca="1">IFERROR(__xludf.DUMMYFUNCTION("IFERROR(VLOOKUP(F297,IMPORTRANGE(""https://docs.google.com/spreadsheets/d/1Kvs4KS76FHFqLFIZfrDMff4kP08nblUkihrxltoGBjg/edit#gid=934712705"",""ESENCIAL!A6:BG""),8,FALSE))"),"")</f>
        <v/>
      </c>
      <c r="L274" s="287"/>
      <c r="Z274" s="41" t="str">
        <f t="shared" si="21"/>
        <v/>
      </c>
      <c r="AA274" s="5" t="str">
        <f ca="1">IFERROR(__xludf.DUMMYFUNCTION("IFERROR(VLOOKUP(E297&amp;F297,IMPORTRANGE(""https://docs.google.com/spreadsheets/d/1Uw7-A9f9R21vMXxHZFNpYNeKFtG8_yji4HS352LGlSQ/edit?pli=1#gid=0"",""1_ACUM!A4:S""),11,FALSE))"),"")</f>
        <v/>
      </c>
      <c r="AB274" s="42" t="str">
        <f ca="1">IFERROR(__xludf.DUMMYFUNCTION("IFERROR(VLOOKUP(F297,IMPORTRANGE(""https://docs.google.com/spreadsheets/d/1Kvs4KS76FHFqLFIZfrDMff4kP08nblUkihrxltoGBjg/edit#gid=934712705"",""ESENCIAL!A6:BG""),15,FALSE))"),"")</f>
        <v/>
      </c>
      <c r="AC274" s="110" t="str">
        <f ca="1">IFERROR(__xludf.DUMMYFUNCTION("IFERROR(VLOOKUP(E297&amp;F297,IMPORTRANGE(""https://docs.google.com/spreadsheets/d/1Uw7-A9f9R21vMXxHZFNpYNeKFtG8_yji4HS352LGlSQ/edit?pli=1#gid=0"",""1_ACUM!A4:S""),13,FALSE))"),"")</f>
        <v/>
      </c>
      <c r="AD274" s="43" t="str">
        <f ca="1">IFERROR(__xludf.DUMMYFUNCTION("IFERROR(VLOOKUP(E297&amp;F297,IMPORTRANGE(""https://docs.google.com/spreadsheets/d/1Uw7-A9f9R21vMXxHZFNpYNeKFtG8_yji4HS352LGlSQ/edit?pli=1#gid=0"",""1_ACUM!A4:S""),13,FALSE))"),"")</f>
        <v/>
      </c>
      <c r="AE274" s="43" t="str">
        <f ca="1">IFERROR(__xludf.DUMMYFUNCTION("IFERROR(VLOOKUP(E297&amp;F297,IMPORTRANGE(""https://docs.google.com/spreadsheets/d/1Uw7-A9f9R21vMXxHZFNpYNeKFtG8_yji4HS352LGlSQ/edit?pli=1#gid=0"",""1_ACUM!A4:S""),14,FALSE))"),"")</f>
        <v/>
      </c>
      <c r="AF274" s="43" t="str">
        <f ca="1">IFERROR(__xludf.DUMMYFUNCTION("IFERROR(VLOOKUP(E297&amp;F297,IMPORTRANGE(""https://docs.google.com/spreadsheets/d/1Uw7-A9f9R21vMXxHZFNpYNeKFtG8_yji4HS352LGlSQ/edit?pli=1#gid=0"",""1_ACUM!A4:S""),15,FALSE))"),"")</f>
        <v/>
      </c>
      <c r="AG274" s="43" t="str">
        <f ca="1">IFERROR(__xludf.DUMMYFUNCTION("IFERROR(VLOOKUP(E297&amp;F297,IMPORTRANGE(""https://docs.google.com/spreadsheets/d/1Uw7-A9f9R21vMXxHZFNpYNeKFtG8_yji4HS352LGlSQ/edit?pli=1#gid=0"",""1_ACUM!A4:S""),16,FALSE))"),"")</f>
        <v/>
      </c>
      <c r="AH274" s="43" t="str">
        <f ca="1">IFERROR(__xludf.DUMMYFUNCTION("IFERROR(VLOOKUP(E297&amp;F297,IMPORTRANGE(""https://docs.google.com/spreadsheets/d/1Uw7-A9f9R21vMXxHZFNpYNeKFtG8_yji4HS352LGlSQ/edit?pli=1#gid=0"",""1_ACUM!A4:S""),17,FALSE))"),"")</f>
        <v/>
      </c>
      <c r="AI274" s="44" t="str">
        <f ca="1">IFERROR(__xludf.DUMMYFUNCTION("IFERROR(VLOOKUP(E297&amp;F297,IMPORTRANGE(""https://docs.google.com/spreadsheets/d/1Uw7-A9f9R21vMXxHZFNpYNeKFtG8_yji4HS352LGlSQ/edit?pli=1#gid=0"",""1_ACUM!A4:S""),18,FALSE))"),"")</f>
        <v/>
      </c>
      <c r="AJ274" s="44" t="str">
        <f ca="1">IFERROR(__xludf.DUMMYFUNCTION("IFERROR(VLOOKUP(E297&amp;F297,IMPORTRANGE(""https://docs.google.com/spreadsheets/d/1Uw7-A9f9R21vMXxHZFNpYNeKFtG8_yji4HS352LGlSQ/edit?pli=1#gid=0"",""1_ACUM!A4:S""),19,FALSE))"),"")</f>
        <v/>
      </c>
      <c r="AK274" s="98" t="str">
        <f ca="1">IFERROR(__xludf.DUMMYFUNCTION("IFERROR(VLOOKUP(F297,IMPORTRANGE(""https://docs.google.com/spreadsheets/d/1Kvs4KS76FHFqLFIZfrDMff4kP08nblUkihrxltoGBjg/edit#gid=934712705"",""ESENCIAL!A6:BG""),5,FALSE))"),"")</f>
        <v/>
      </c>
      <c r="AL274" s="98" t="str">
        <f t="shared" si="22"/>
        <v/>
      </c>
      <c r="AM274" s="99" t="str">
        <f t="shared" si="23"/>
        <v/>
      </c>
      <c r="AN274" s="100" t="str">
        <f ca="1">IFERROR(__xludf.DUMMYFUNCTION("IFERROR(VLOOKUP(F297,IMPORTRANGE(""https://docs.google.com/spreadsheets/d/1Kvs4KS76FHFqLFIZfrDMff4kP08nblUkihrxltoGBjg/edit#gid=934712705"",""ESENCIAL!A6:BG""),2,FALSE))"),"")</f>
        <v/>
      </c>
      <c r="AO274" s="19" t="str">
        <f t="shared" si="20"/>
        <v/>
      </c>
      <c r="AP274" s="100"/>
      <c r="AQ274" s="100"/>
    </row>
    <row r="275" spans="1:43" ht="15">
      <c r="A275" s="101"/>
      <c r="B275" s="11"/>
      <c r="G275" s="5" t="str">
        <f ca="1">IFERROR(__xludf.DUMMYFUNCTION("IFERROR(VLOOKUP(F298,IMPORTRANGE(""https://docs.google.com/spreadsheets/d/1Kvs4KS76FHFqLFIZfrDMff4kP08nblUkihrxltoGBjg/edit#gid=934712705"",""ESENCIAL!A6:BG""),3,FALSE))"),"")</f>
        <v/>
      </c>
      <c r="H275" s="5" t="str">
        <f ca="1">IFERROR(__xludf.DUMMYFUNCTION("IFERROR(VLOOKUP(F298,IMPORTRANGE(""https://docs.google.com/spreadsheets/d/1Kvs4KS76FHFqLFIZfrDMff4kP08nblUkihrxltoGBjg/edit#gid=934712705"",""ESENCIAL!A6:BG""),8,FALSE))"),"")</f>
        <v/>
      </c>
      <c r="L275" s="287"/>
      <c r="Z275" s="41" t="str">
        <f t="shared" si="21"/>
        <v/>
      </c>
      <c r="AA275" s="5" t="str">
        <f ca="1">IFERROR(__xludf.DUMMYFUNCTION("IFERROR(VLOOKUP(E298&amp;F298,IMPORTRANGE(""https://docs.google.com/spreadsheets/d/1Uw7-A9f9R21vMXxHZFNpYNeKFtG8_yji4HS352LGlSQ/edit?pli=1#gid=0"",""1_ACUM!A4:S""),11,FALSE))"),"")</f>
        <v/>
      </c>
      <c r="AB275" s="42" t="str">
        <f ca="1">IFERROR(__xludf.DUMMYFUNCTION("IFERROR(VLOOKUP(F298,IMPORTRANGE(""https://docs.google.com/spreadsheets/d/1Kvs4KS76FHFqLFIZfrDMff4kP08nblUkihrxltoGBjg/edit#gid=934712705"",""ESENCIAL!A6:BG""),15,FALSE))"),"")</f>
        <v/>
      </c>
      <c r="AC275" s="110" t="str">
        <f ca="1">IFERROR(__xludf.DUMMYFUNCTION("IFERROR(VLOOKUP(E298&amp;F298,IMPORTRANGE(""https://docs.google.com/spreadsheets/d/1Uw7-A9f9R21vMXxHZFNpYNeKFtG8_yji4HS352LGlSQ/edit?pli=1#gid=0"",""1_ACUM!A4:S""),13,FALSE))"),"")</f>
        <v/>
      </c>
      <c r="AD275" s="43" t="str">
        <f ca="1">IFERROR(__xludf.DUMMYFUNCTION("IFERROR(VLOOKUP(E298&amp;F298,IMPORTRANGE(""https://docs.google.com/spreadsheets/d/1Uw7-A9f9R21vMXxHZFNpYNeKFtG8_yji4HS352LGlSQ/edit?pli=1#gid=0"",""1_ACUM!A4:S""),13,FALSE))"),"")</f>
        <v/>
      </c>
      <c r="AE275" s="43" t="str">
        <f ca="1">IFERROR(__xludf.DUMMYFUNCTION("IFERROR(VLOOKUP(E298&amp;F298,IMPORTRANGE(""https://docs.google.com/spreadsheets/d/1Uw7-A9f9R21vMXxHZFNpYNeKFtG8_yji4HS352LGlSQ/edit?pli=1#gid=0"",""1_ACUM!A4:S""),14,FALSE))"),"")</f>
        <v/>
      </c>
      <c r="AF275" s="43" t="str">
        <f ca="1">IFERROR(__xludf.DUMMYFUNCTION("IFERROR(VLOOKUP(E298&amp;F298,IMPORTRANGE(""https://docs.google.com/spreadsheets/d/1Uw7-A9f9R21vMXxHZFNpYNeKFtG8_yji4HS352LGlSQ/edit?pli=1#gid=0"",""1_ACUM!A4:S""),15,FALSE))"),"")</f>
        <v/>
      </c>
      <c r="AG275" s="43" t="str">
        <f ca="1">IFERROR(__xludf.DUMMYFUNCTION("IFERROR(VLOOKUP(E298&amp;F298,IMPORTRANGE(""https://docs.google.com/spreadsheets/d/1Uw7-A9f9R21vMXxHZFNpYNeKFtG8_yji4HS352LGlSQ/edit?pli=1#gid=0"",""1_ACUM!A4:S""),16,FALSE))"),"")</f>
        <v/>
      </c>
      <c r="AH275" s="43" t="str">
        <f ca="1">IFERROR(__xludf.DUMMYFUNCTION("IFERROR(VLOOKUP(E298&amp;F298,IMPORTRANGE(""https://docs.google.com/spreadsheets/d/1Uw7-A9f9R21vMXxHZFNpYNeKFtG8_yji4HS352LGlSQ/edit?pli=1#gid=0"",""1_ACUM!A4:S""),17,FALSE))"),"")</f>
        <v/>
      </c>
      <c r="AI275" s="44" t="str">
        <f ca="1">IFERROR(__xludf.DUMMYFUNCTION("IFERROR(VLOOKUP(E298&amp;F298,IMPORTRANGE(""https://docs.google.com/spreadsheets/d/1Uw7-A9f9R21vMXxHZFNpYNeKFtG8_yji4HS352LGlSQ/edit?pli=1#gid=0"",""1_ACUM!A4:S""),18,FALSE))"),"")</f>
        <v/>
      </c>
      <c r="AJ275" s="44" t="str">
        <f ca="1">IFERROR(__xludf.DUMMYFUNCTION("IFERROR(VLOOKUP(E298&amp;F298,IMPORTRANGE(""https://docs.google.com/spreadsheets/d/1Uw7-A9f9R21vMXxHZFNpYNeKFtG8_yji4HS352LGlSQ/edit?pli=1#gid=0"",""1_ACUM!A4:S""),19,FALSE))"),"")</f>
        <v/>
      </c>
      <c r="AK275" s="98" t="str">
        <f ca="1">IFERROR(__xludf.DUMMYFUNCTION("IFERROR(VLOOKUP(F298,IMPORTRANGE(""https://docs.google.com/spreadsheets/d/1Kvs4KS76FHFqLFIZfrDMff4kP08nblUkihrxltoGBjg/edit#gid=934712705"",""ESENCIAL!A6:BG""),5,FALSE))"),"")</f>
        <v/>
      </c>
      <c r="AL275" s="98" t="str">
        <f t="shared" si="22"/>
        <v/>
      </c>
      <c r="AM275" s="99" t="str">
        <f t="shared" si="23"/>
        <v/>
      </c>
      <c r="AN275" s="100" t="str">
        <f ca="1">IFERROR(__xludf.DUMMYFUNCTION("IFERROR(VLOOKUP(F298,IMPORTRANGE(""https://docs.google.com/spreadsheets/d/1Kvs4KS76FHFqLFIZfrDMff4kP08nblUkihrxltoGBjg/edit#gid=934712705"",""ESENCIAL!A6:BG""),2,FALSE))"),"")</f>
        <v/>
      </c>
      <c r="AO275" s="19" t="str">
        <f t="shared" si="20"/>
        <v/>
      </c>
      <c r="AP275" s="100"/>
      <c r="AQ275" s="100"/>
    </row>
    <row r="276" spans="1:43" ht="15">
      <c r="A276" s="101"/>
      <c r="B276" s="101"/>
      <c r="G276" s="5" t="str">
        <f ca="1">IFERROR(__xludf.DUMMYFUNCTION("IFERROR(VLOOKUP(F299,IMPORTRANGE(""https://docs.google.com/spreadsheets/d/1Kvs4KS76FHFqLFIZfrDMff4kP08nblUkihrxltoGBjg/edit#gid=934712705"",""ESENCIAL!A6:BG""),3,FALSE))"),"")</f>
        <v/>
      </c>
      <c r="H276" s="5" t="str">
        <f ca="1">IFERROR(__xludf.DUMMYFUNCTION("IFERROR(VLOOKUP(F299,IMPORTRANGE(""https://docs.google.com/spreadsheets/d/1Kvs4KS76FHFqLFIZfrDMff4kP08nblUkihrxltoGBjg/edit#gid=934712705"",""ESENCIAL!A6:BG""),8,FALSE))"),"")</f>
        <v/>
      </c>
      <c r="L276" s="287"/>
      <c r="Z276" s="41" t="str">
        <f t="shared" si="21"/>
        <v/>
      </c>
      <c r="AA276" s="5" t="str">
        <f ca="1">IFERROR(__xludf.DUMMYFUNCTION("IFERROR(VLOOKUP(E299&amp;F299,IMPORTRANGE(""https://docs.google.com/spreadsheets/d/1Uw7-A9f9R21vMXxHZFNpYNeKFtG8_yji4HS352LGlSQ/edit?pli=1#gid=0"",""1_ACUM!A4:S""),11,FALSE))"),"")</f>
        <v/>
      </c>
      <c r="AB276" s="42" t="str">
        <f ca="1">IFERROR(__xludf.DUMMYFUNCTION("IFERROR(VLOOKUP(F299,IMPORTRANGE(""https://docs.google.com/spreadsheets/d/1Kvs4KS76FHFqLFIZfrDMff4kP08nblUkihrxltoGBjg/edit#gid=934712705"",""ESENCIAL!A6:BG""),15,FALSE))"),"")</f>
        <v/>
      </c>
      <c r="AC276" s="110" t="str">
        <f ca="1">IFERROR(__xludf.DUMMYFUNCTION("IFERROR(VLOOKUP(E299&amp;F299,IMPORTRANGE(""https://docs.google.com/spreadsheets/d/1Uw7-A9f9R21vMXxHZFNpYNeKFtG8_yji4HS352LGlSQ/edit?pli=1#gid=0"",""1_ACUM!A4:S""),13,FALSE))"),"")</f>
        <v/>
      </c>
      <c r="AD276" s="43" t="str">
        <f ca="1">IFERROR(__xludf.DUMMYFUNCTION("IFERROR(VLOOKUP(E299&amp;F299,IMPORTRANGE(""https://docs.google.com/spreadsheets/d/1Uw7-A9f9R21vMXxHZFNpYNeKFtG8_yji4HS352LGlSQ/edit?pli=1#gid=0"",""1_ACUM!A4:S""),13,FALSE))"),"")</f>
        <v/>
      </c>
      <c r="AE276" s="43" t="str">
        <f ca="1">IFERROR(__xludf.DUMMYFUNCTION("IFERROR(VLOOKUP(E299&amp;F299,IMPORTRANGE(""https://docs.google.com/spreadsheets/d/1Uw7-A9f9R21vMXxHZFNpYNeKFtG8_yji4HS352LGlSQ/edit?pli=1#gid=0"",""1_ACUM!A4:S""),14,FALSE))"),"")</f>
        <v/>
      </c>
      <c r="AF276" s="43" t="str">
        <f ca="1">IFERROR(__xludf.DUMMYFUNCTION("IFERROR(VLOOKUP(E299&amp;F299,IMPORTRANGE(""https://docs.google.com/spreadsheets/d/1Uw7-A9f9R21vMXxHZFNpYNeKFtG8_yji4HS352LGlSQ/edit?pli=1#gid=0"",""1_ACUM!A4:S""),15,FALSE))"),"")</f>
        <v/>
      </c>
      <c r="AG276" s="43" t="str">
        <f ca="1">IFERROR(__xludf.DUMMYFUNCTION("IFERROR(VLOOKUP(E299&amp;F299,IMPORTRANGE(""https://docs.google.com/spreadsheets/d/1Uw7-A9f9R21vMXxHZFNpYNeKFtG8_yji4HS352LGlSQ/edit?pli=1#gid=0"",""1_ACUM!A4:S""),16,FALSE))"),"")</f>
        <v/>
      </c>
      <c r="AH276" s="43" t="str">
        <f ca="1">IFERROR(__xludf.DUMMYFUNCTION("IFERROR(VLOOKUP(E299&amp;F299,IMPORTRANGE(""https://docs.google.com/spreadsheets/d/1Uw7-A9f9R21vMXxHZFNpYNeKFtG8_yji4HS352LGlSQ/edit?pli=1#gid=0"",""1_ACUM!A4:S""),17,FALSE))"),"")</f>
        <v/>
      </c>
      <c r="AI276" s="44" t="str">
        <f ca="1">IFERROR(__xludf.DUMMYFUNCTION("IFERROR(VLOOKUP(E299&amp;F299,IMPORTRANGE(""https://docs.google.com/spreadsheets/d/1Uw7-A9f9R21vMXxHZFNpYNeKFtG8_yji4HS352LGlSQ/edit?pli=1#gid=0"",""1_ACUM!A4:S""),18,FALSE))"),"")</f>
        <v/>
      </c>
      <c r="AJ276" s="44" t="str">
        <f ca="1">IFERROR(__xludf.DUMMYFUNCTION("IFERROR(VLOOKUP(E299&amp;F299,IMPORTRANGE(""https://docs.google.com/spreadsheets/d/1Uw7-A9f9R21vMXxHZFNpYNeKFtG8_yji4HS352LGlSQ/edit?pli=1#gid=0"",""1_ACUM!A4:S""),19,FALSE))"),"")</f>
        <v/>
      </c>
      <c r="AK276" s="98" t="str">
        <f ca="1">IFERROR(__xludf.DUMMYFUNCTION("IFERROR(VLOOKUP(F299,IMPORTRANGE(""https://docs.google.com/spreadsheets/d/1Kvs4KS76FHFqLFIZfrDMff4kP08nblUkihrxltoGBjg/edit#gid=934712705"",""ESENCIAL!A6:BG""),5,FALSE))"),"")</f>
        <v/>
      </c>
      <c r="AL276" s="98" t="str">
        <f t="shared" si="22"/>
        <v/>
      </c>
      <c r="AM276" s="99" t="str">
        <f t="shared" si="23"/>
        <v/>
      </c>
      <c r="AN276" s="100" t="str">
        <f ca="1">IFERROR(__xludf.DUMMYFUNCTION("IFERROR(VLOOKUP(F299,IMPORTRANGE(""https://docs.google.com/spreadsheets/d/1Kvs4KS76FHFqLFIZfrDMff4kP08nblUkihrxltoGBjg/edit#gid=934712705"",""ESENCIAL!A6:BG""),2,FALSE))"),"")</f>
        <v/>
      </c>
      <c r="AO276" s="19" t="str">
        <f t="shared" si="20"/>
        <v/>
      </c>
      <c r="AP276" s="100"/>
      <c r="AQ276" s="100"/>
    </row>
    <row r="277" spans="1:43" ht="15">
      <c r="A277" s="101"/>
      <c r="B277" s="101"/>
      <c r="G277" s="5" t="str">
        <f ca="1">IFERROR(__xludf.DUMMYFUNCTION("IFERROR(VLOOKUP(F300,IMPORTRANGE(""https://docs.google.com/spreadsheets/d/1Kvs4KS76FHFqLFIZfrDMff4kP08nblUkihrxltoGBjg/edit#gid=934712705"",""ESENCIAL!A6:BG""),3,FALSE))"),"")</f>
        <v/>
      </c>
      <c r="H277" s="5" t="str">
        <f ca="1">IFERROR(__xludf.DUMMYFUNCTION("IFERROR(VLOOKUP(F300,IMPORTRANGE(""https://docs.google.com/spreadsheets/d/1Kvs4KS76FHFqLFIZfrDMff4kP08nblUkihrxltoGBjg/edit#gid=934712705"",""ESENCIAL!A6:BG""),8,FALSE))"),"")</f>
        <v/>
      </c>
      <c r="L277" s="287"/>
      <c r="Z277" s="41" t="str">
        <f t="shared" si="21"/>
        <v/>
      </c>
      <c r="AA277" s="5" t="str">
        <f ca="1">IFERROR(__xludf.DUMMYFUNCTION("IFERROR(VLOOKUP(E300&amp;F300,IMPORTRANGE(""https://docs.google.com/spreadsheets/d/1Uw7-A9f9R21vMXxHZFNpYNeKFtG8_yji4HS352LGlSQ/edit?pli=1#gid=0"",""1_ACUM!A4:S""),11,FALSE))"),"")</f>
        <v/>
      </c>
      <c r="AB277" s="42" t="str">
        <f ca="1">IFERROR(__xludf.DUMMYFUNCTION("IFERROR(VLOOKUP(F300,IMPORTRANGE(""https://docs.google.com/spreadsheets/d/1Kvs4KS76FHFqLFIZfrDMff4kP08nblUkihrxltoGBjg/edit#gid=934712705"",""ESENCIAL!A6:BG""),15,FALSE))"),"")</f>
        <v/>
      </c>
      <c r="AC277" s="110" t="str">
        <f ca="1">IFERROR(__xludf.DUMMYFUNCTION("IFERROR(VLOOKUP(E300&amp;F300,IMPORTRANGE(""https://docs.google.com/spreadsheets/d/1Uw7-A9f9R21vMXxHZFNpYNeKFtG8_yji4HS352LGlSQ/edit?pli=1#gid=0"",""1_ACUM!A4:S""),13,FALSE))"),"")</f>
        <v/>
      </c>
      <c r="AD277" s="43" t="str">
        <f ca="1">IFERROR(__xludf.DUMMYFUNCTION("IFERROR(VLOOKUP(E300&amp;F300,IMPORTRANGE(""https://docs.google.com/spreadsheets/d/1Uw7-A9f9R21vMXxHZFNpYNeKFtG8_yji4HS352LGlSQ/edit?pli=1#gid=0"",""1_ACUM!A4:S""),13,FALSE))"),"")</f>
        <v/>
      </c>
      <c r="AE277" s="43" t="str">
        <f ca="1">IFERROR(__xludf.DUMMYFUNCTION("IFERROR(VLOOKUP(E300&amp;F300,IMPORTRANGE(""https://docs.google.com/spreadsheets/d/1Uw7-A9f9R21vMXxHZFNpYNeKFtG8_yji4HS352LGlSQ/edit?pli=1#gid=0"",""1_ACUM!A4:S""),14,FALSE))"),"")</f>
        <v/>
      </c>
      <c r="AF277" s="43" t="str">
        <f ca="1">IFERROR(__xludf.DUMMYFUNCTION("IFERROR(VLOOKUP(E300&amp;F300,IMPORTRANGE(""https://docs.google.com/spreadsheets/d/1Uw7-A9f9R21vMXxHZFNpYNeKFtG8_yji4HS352LGlSQ/edit?pli=1#gid=0"",""1_ACUM!A4:S""),15,FALSE))"),"")</f>
        <v/>
      </c>
      <c r="AG277" s="43" t="str">
        <f ca="1">IFERROR(__xludf.DUMMYFUNCTION("IFERROR(VLOOKUP(E300&amp;F300,IMPORTRANGE(""https://docs.google.com/spreadsheets/d/1Uw7-A9f9R21vMXxHZFNpYNeKFtG8_yji4HS352LGlSQ/edit?pli=1#gid=0"",""1_ACUM!A4:S""),16,FALSE))"),"")</f>
        <v/>
      </c>
      <c r="AH277" s="43" t="str">
        <f ca="1">IFERROR(__xludf.DUMMYFUNCTION("IFERROR(VLOOKUP(E300&amp;F300,IMPORTRANGE(""https://docs.google.com/spreadsheets/d/1Uw7-A9f9R21vMXxHZFNpYNeKFtG8_yji4HS352LGlSQ/edit?pli=1#gid=0"",""1_ACUM!A4:S""),17,FALSE))"),"")</f>
        <v/>
      </c>
      <c r="AI277" s="44" t="str">
        <f ca="1">IFERROR(__xludf.DUMMYFUNCTION("IFERROR(VLOOKUP(E300&amp;F300,IMPORTRANGE(""https://docs.google.com/spreadsheets/d/1Uw7-A9f9R21vMXxHZFNpYNeKFtG8_yji4HS352LGlSQ/edit?pli=1#gid=0"",""1_ACUM!A4:S""),18,FALSE))"),"")</f>
        <v/>
      </c>
      <c r="AJ277" s="44" t="str">
        <f ca="1">IFERROR(__xludf.DUMMYFUNCTION("IFERROR(VLOOKUP(E300&amp;F300,IMPORTRANGE(""https://docs.google.com/spreadsheets/d/1Uw7-A9f9R21vMXxHZFNpYNeKFtG8_yji4HS352LGlSQ/edit?pli=1#gid=0"",""1_ACUM!A4:S""),19,FALSE))"),"")</f>
        <v/>
      </c>
      <c r="AK277" s="98" t="str">
        <f ca="1">IFERROR(__xludf.DUMMYFUNCTION("IFERROR(VLOOKUP(F300,IMPORTRANGE(""https://docs.google.com/spreadsheets/d/1Kvs4KS76FHFqLFIZfrDMff4kP08nblUkihrxltoGBjg/edit#gid=934712705"",""ESENCIAL!A6:BG""),5,FALSE))"),"")</f>
        <v/>
      </c>
      <c r="AL277" s="98" t="str">
        <f t="shared" si="22"/>
        <v/>
      </c>
      <c r="AM277" s="99" t="str">
        <f t="shared" si="23"/>
        <v/>
      </c>
      <c r="AN277" s="100" t="str">
        <f ca="1">IFERROR(__xludf.DUMMYFUNCTION("IFERROR(VLOOKUP(F300,IMPORTRANGE(""https://docs.google.com/spreadsheets/d/1Kvs4KS76FHFqLFIZfrDMff4kP08nblUkihrxltoGBjg/edit#gid=934712705"",""ESENCIAL!A6:BG""),2,FALSE))"),"")</f>
        <v/>
      </c>
      <c r="AO277" s="19" t="str">
        <f t="shared" si="20"/>
        <v/>
      </c>
      <c r="AP277" s="100"/>
      <c r="AQ277" s="100"/>
    </row>
    <row r="278" spans="1:43" ht="15">
      <c r="A278" s="101"/>
      <c r="B278" s="101"/>
      <c r="G278" s="5" t="str">
        <f ca="1">IFERROR(__xludf.DUMMYFUNCTION("IFERROR(VLOOKUP(F301,IMPORTRANGE(""https://docs.google.com/spreadsheets/d/1Kvs4KS76FHFqLFIZfrDMff4kP08nblUkihrxltoGBjg/edit#gid=934712705"",""ESENCIAL!A6:BG""),3,FALSE))"),"")</f>
        <v/>
      </c>
      <c r="H278" s="5" t="str">
        <f ca="1">IFERROR(__xludf.DUMMYFUNCTION("IFERROR(VLOOKUP(F301,IMPORTRANGE(""https://docs.google.com/spreadsheets/d/1Kvs4KS76FHFqLFIZfrDMff4kP08nblUkihrxltoGBjg/edit#gid=934712705"",""ESENCIAL!A6:BG""),8,FALSE))"),"")</f>
        <v/>
      </c>
      <c r="L278" s="287"/>
      <c r="Z278" s="41" t="str">
        <f t="shared" si="21"/>
        <v/>
      </c>
      <c r="AA278" s="5" t="str">
        <f ca="1">IFERROR(__xludf.DUMMYFUNCTION("IFERROR(VLOOKUP(E301&amp;F301,IMPORTRANGE(""https://docs.google.com/spreadsheets/d/1Uw7-A9f9R21vMXxHZFNpYNeKFtG8_yji4HS352LGlSQ/edit?pli=1#gid=0"",""1_ACUM!A4:S""),11,FALSE))"),"")</f>
        <v/>
      </c>
      <c r="AB278" s="42" t="str">
        <f ca="1">IFERROR(__xludf.DUMMYFUNCTION("IFERROR(VLOOKUP(F301,IMPORTRANGE(""https://docs.google.com/spreadsheets/d/1Kvs4KS76FHFqLFIZfrDMff4kP08nblUkihrxltoGBjg/edit#gid=934712705"",""ESENCIAL!A6:BG""),15,FALSE))"),"")</f>
        <v/>
      </c>
      <c r="AC278" s="110" t="str">
        <f ca="1">IFERROR(__xludf.DUMMYFUNCTION("IFERROR(VLOOKUP(E301&amp;F301,IMPORTRANGE(""https://docs.google.com/spreadsheets/d/1Uw7-A9f9R21vMXxHZFNpYNeKFtG8_yji4HS352LGlSQ/edit?pli=1#gid=0"",""1_ACUM!A4:S""),13,FALSE))"),"")</f>
        <v/>
      </c>
      <c r="AD278" s="43" t="str">
        <f ca="1">IFERROR(__xludf.DUMMYFUNCTION("IFERROR(VLOOKUP(E301&amp;F301,IMPORTRANGE(""https://docs.google.com/spreadsheets/d/1Uw7-A9f9R21vMXxHZFNpYNeKFtG8_yji4HS352LGlSQ/edit?pli=1#gid=0"",""1_ACUM!A4:S""),13,FALSE))"),"")</f>
        <v/>
      </c>
      <c r="AE278" s="43" t="str">
        <f ca="1">IFERROR(__xludf.DUMMYFUNCTION("IFERROR(VLOOKUP(E301&amp;F301,IMPORTRANGE(""https://docs.google.com/spreadsheets/d/1Uw7-A9f9R21vMXxHZFNpYNeKFtG8_yji4HS352LGlSQ/edit?pli=1#gid=0"",""1_ACUM!A4:S""),14,FALSE))"),"")</f>
        <v/>
      </c>
      <c r="AF278" s="43" t="str">
        <f ca="1">IFERROR(__xludf.DUMMYFUNCTION("IFERROR(VLOOKUP(E301&amp;F301,IMPORTRANGE(""https://docs.google.com/spreadsheets/d/1Uw7-A9f9R21vMXxHZFNpYNeKFtG8_yji4HS352LGlSQ/edit?pli=1#gid=0"",""1_ACUM!A4:S""),15,FALSE))"),"")</f>
        <v/>
      </c>
      <c r="AG278" s="43" t="str">
        <f ca="1">IFERROR(__xludf.DUMMYFUNCTION("IFERROR(VLOOKUP(E301&amp;F301,IMPORTRANGE(""https://docs.google.com/spreadsheets/d/1Uw7-A9f9R21vMXxHZFNpYNeKFtG8_yji4HS352LGlSQ/edit?pli=1#gid=0"",""1_ACUM!A4:S""),16,FALSE))"),"")</f>
        <v/>
      </c>
      <c r="AH278" s="43" t="str">
        <f ca="1">IFERROR(__xludf.DUMMYFUNCTION("IFERROR(VLOOKUP(E301&amp;F301,IMPORTRANGE(""https://docs.google.com/spreadsheets/d/1Uw7-A9f9R21vMXxHZFNpYNeKFtG8_yji4HS352LGlSQ/edit?pli=1#gid=0"",""1_ACUM!A4:S""),17,FALSE))"),"")</f>
        <v/>
      </c>
      <c r="AI278" s="44" t="str">
        <f ca="1">IFERROR(__xludf.DUMMYFUNCTION("IFERROR(VLOOKUP(E301&amp;F301,IMPORTRANGE(""https://docs.google.com/spreadsheets/d/1Uw7-A9f9R21vMXxHZFNpYNeKFtG8_yji4HS352LGlSQ/edit?pli=1#gid=0"",""1_ACUM!A4:S""),18,FALSE))"),"")</f>
        <v/>
      </c>
      <c r="AJ278" s="44" t="str">
        <f ca="1">IFERROR(__xludf.DUMMYFUNCTION("IFERROR(VLOOKUP(E301&amp;F301,IMPORTRANGE(""https://docs.google.com/spreadsheets/d/1Uw7-A9f9R21vMXxHZFNpYNeKFtG8_yji4HS352LGlSQ/edit?pli=1#gid=0"",""1_ACUM!A4:S""),19,FALSE))"),"")</f>
        <v/>
      </c>
      <c r="AK278" s="98" t="str">
        <f ca="1">IFERROR(__xludf.DUMMYFUNCTION("IFERROR(VLOOKUP(F301,IMPORTRANGE(""https://docs.google.com/spreadsheets/d/1Kvs4KS76FHFqLFIZfrDMff4kP08nblUkihrxltoGBjg/edit#gid=934712705"",""ESENCIAL!A6:BG""),5,FALSE))"),"")</f>
        <v/>
      </c>
      <c r="AL278" s="98" t="str">
        <f t="shared" si="22"/>
        <v/>
      </c>
      <c r="AM278" s="99" t="str">
        <f t="shared" si="23"/>
        <v/>
      </c>
      <c r="AN278" s="100" t="str">
        <f ca="1">IFERROR(__xludf.DUMMYFUNCTION("IFERROR(VLOOKUP(F301,IMPORTRANGE(""https://docs.google.com/spreadsheets/d/1Kvs4KS76FHFqLFIZfrDMff4kP08nblUkihrxltoGBjg/edit#gid=934712705"",""ESENCIAL!A6:BG""),2,FALSE))"),"")</f>
        <v/>
      </c>
      <c r="AO278" s="19" t="str">
        <f t="shared" si="20"/>
        <v/>
      </c>
      <c r="AP278" s="100"/>
      <c r="AQ278" s="100"/>
    </row>
    <row r="279" spans="1:43" ht="15">
      <c r="A279" s="101"/>
      <c r="B279" s="101"/>
      <c r="G279" s="5" t="str">
        <f ca="1">IFERROR(__xludf.DUMMYFUNCTION("IFERROR(VLOOKUP(F302,IMPORTRANGE(""https://docs.google.com/spreadsheets/d/1Kvs4KS76FHFqLFIZfrDMff4kP08nblUkihrxltoGBjg/edit#gid=934712705"",""ESENCIAL!A6:BG""),3,FALSE))"),"")</f>
        <v/>
      </c>
      <c r="H279" s="5" t="str">
        <f ca="1">IFERROR(__xludf.DUMMYFUNCTION("IFERROR(VLOOKUP(F302,IMPORTRANGE(""https://docs.google.com/spreadsheets/d/1Kvs4KS76FHFqLFIZfrDMff4kP08nblUkihrxltoGBjg/edit#gid=934712705"",""ESENCIAL!A6:BG""),8,FALSE))"),"")</f>
        <v/>
      </c>
      <c r="L279" s="287"/>
      <c r="Z279" s="41" t="str">
        <f t="shared" si="21"/>
        <v/>
      </c>
      <c r="AA279" s="5" t="str">
        <f ca="1">IFERROR(__xludf.DUMMYFUNCTION("IFERROR(VLOOKUP(E302&amp;F302,IMPORTRANGE(""https://docs.google.com/spreadsheets/d/1Uw7-A9f9R21vMXxHZFNpYNeKFtG8_yji4HS352LGlSQ/edit?pli=1#gid=0"",""1_ACUM!A4:S""),11,FALSE))"),"")</f>
        <v/>
      </c>
      <c r="AB279" s="42" t="str">
        <f ca="1">IFERROR(__xludf.DUMMYFUNCTION("IFERROR(VLOOKUP(F302,IMPORTRANGE(""https://docs.google.com/spreadsheets/d/1Kvs4KS76FHFqLFIZfrDMff4kP08nblUkihrxltoGBjg/edit#gid=934712705"",""ESENCIAL!A6:BG""),15,FALSE))"),"")</f>
        <v/>
      </c>
      <c r="AC279" s="110" t="str">
        <f ca="1">IFERROR(__xludf.DUMMYFUNCTION("IFERROR(VLOOKUP(E302&amp;F302,IMPORTRANGE(""https://docs.google.com/spreadsheets/d/1Uw7-A9f9R21vMXxHZFNpYNeKFtG8_yji4HS352LGlSQ/edit?pli=1#gid=0"",""1_ACUM!A4:S""),13,FALSE))"),"")</f>
        <v/>
      </c>
      <c r="AD279" s="43" t="str">
        <f ca="1">IFERROR(__xludf.DUMMYFUNCTION("IFERROR(VLOOKUP(E302&amp;F302,IMPORTRANGE(""https://docs.google.com/spreadsheets/d/1Uw7-A9f9R21vMXxHZFNpYNeKFtG8_yji4HS352LGlSQ/edit?pli=1#gid=0"",""1_ACUM!A4:S""),13,FALSE))"),"")</f>
        <v/>
      </c>
      <c r="AE279" s="43" t="str">
        <f ca="1">IFERROR(__xludf.DUMMYFUNCTION("IFERROR(VLOOKUP(E302&amp;F302,IMPORTRANGE(""https://docs.google.com/spreadsheets/d/1Uw7-A9f9R21vMXxHZFNpYNeKFtG8_yji4HS352LGlSQ/edit?pli=1#gid=0"",""1_ACUM!A4:S""),14,FALSE))"),"")</f>
        <v/>
      </c>
      <c r="AF279" s="43" t="str">
        <f ca="1">IFERROR(__xludf.DUMMYFUNCTION("IFERROR(VLOOKUP(E302&amp;F302,IMPORTRANGE(""https://docs.google.com/spreadsheets/d/1Uw7-A9f9R21vMXxHZFNpYNeKFtG8_yji4HS352LGlSQ/edit?pli=1#gid=0"",""1_ACUM!A4:S""),15,FALSE))"),"")</f>
        <v/>
      </c>
      <c r="AG279" s="43" t="str">
        <f ca="1">IFERROR(__xludf.DUMMYFUNCTION("IFERROR(VLOOKUP(E302&amp;F302,IMPORTRANGE(""https://docs.google.com/spreadsheets/d/1Uw7-A9f9R21vMXxHZFNpYNeKFtG8_yji4HS352LGlSQ/edit?pli=1#gid=0"",""1_ACUM!A4:S""),16,FALSE))"),"")</f>
        <v/>
      </c>
      <c r="AH279" s="43" t="str">
        <f ca="1">IFERROR(__xludf.DUMMYFUNCTION("IFERROR(VLOOKUP(E302&amp;F302,IMPORTRANGE(""https://docs.google.com/spreadsheets/d/1Uw7-A9f9R21vMXxHZFNpYNeKFtG8_yji4HS352LGlSQ/edit?pli=1#gid=0"",""1_ACUM!A4:S""),17,FALSE))"),"")</f>
        <v/>
      </c>
      <c r="AI279" s="44" t="str">
        <f ca="1">IFERROR(__xludf.DUMMYFUNCTION("IFERROR(VLOOKUP(E302&amp;F302,IMPORTRANGE(""https://docs.google.com/spreadsheets/d/1Uw7-A9f9R21vMXxHZFNpYNeKFtG8_yji4HS352LGlSQ/edit?pli=1#gid=0"",""1_ACUM!A4:S""),18,FALSE))"),"")</f>
        <v/>
      </c>
      <c r="AJ279" s="44" t="str">
        <f ca="1">IFERROR(__xludf.DUMMYFUNCTION("IFERROR(VLOOKUP(E302&amp;F302,IMPORTRANGE(""https://docs.google.com/spreadsheets/d/1Uw7-A9f9R21vMXxHZFNpYNeKFtG8_yji4HS352LGlSQ/edit?pli=1#gid=0"",""1_ACUM!A4:S""),19,FALSE))"),"")</f>
        <v/>
      </c>
      <c r="AK279" s="98" t="str">
        <f ca="1">IFERROR(__xludf.DUMMYFUNCTION("IFERROR(VLOOKUP(F302,IMPORTRANGE(""https://docs.google.com/spreadsheets/d/1Kvs4KS76FHFqLFIZfrDMff4kP08nblUkihrxltoGBjg/edit#gid=934712705"",""ESENCIAL!A6:BG""),5,FALSE))"),"")</f>
        <v/>
      </c>
      <c r="AL279" s="98" t="str">
        <f t="shared" si="22"/>
        <v/>
      </c>
      <c r="AM279" s="99" t="str">
        <f t="shared" si="23"/>
        <v/>
      </c>
      <c r="AN279" s="100" t="str">
        <f ca="1">IFERROR(__xludf.DUMMYFUNCTION("IFERROR(VLOOKUP(F302,IMPORTRANGE(""https://docs.google.com/spreadsheets/d/1Kvs4KS76FHFqLFIZfrDMff4kP08nblUkihrxltoGBjg/edit#gid=934712705"",""ESENCIAL!A6:BG""),2,FALSE))"),"")</f>
        <v/>
      </c>
      <c r="AO279" s="19" t="str">
        <f t="shared" si="20"/>
        <v/>
      </c>
      <c r="AP279" s="100"/>
      <c r="AQ279" s="100"/>
    </row>
    <row r="280" spans="1:43" ht="15">
      <c r="A280" s="101"/>
      <c r="B280" s="101"/>
      <c r="G280" s="5" t="str">
        <f ca="1">IFERROR(__xludf.DUMMYFUNCTION("IFERROR(VLOOKUP(F303,IMPORTRANGE(""https://docs.google.com/spreadsheets/d/1Kvs4KS76FHFqLFIZfrDMff4kP08nblUkihrxltoGBjg/edit#gid=934712705"",""ESENCIAL!A6:BG""),3,FALSE))"),"")</f>
        <v/>
      </c>
      <c r="H280" s="5" t="str">
        <f ca="1">IFERROR(__xludf.DUMMYFUNCTION("IFERROR(VLOOKUP(F303,IMPORTRANGE(""https://docs.google.com/spreadsheets/d/1Kvs4KS76FHFqLFIZfrDMff4kP08nblUkihrxltoGBjg/edit#gid=934712705"",""ESENCIAL!A6:BG""),8,FALSE))"),"")</f>
        <v/>
      </c>
      <c r="L280" s="287"/>
      <c r="Z280" s="41" t="str">
        <f t="shared" si="21"/>
        <v/>
      </c>
      <c r="AA280" s="5" t="str">
        <f ca="1">IFERROR(__xludf.DUMMYFUNCTION("IFERROR(VLOOKUP(E303&amp;F303,IMPORTRANGE(""https://docs.google.com/spreadsheets/d/1Uw7-A9f9R21vMXxHZFNpYNeKFtG8_yji4HS352LGlSQ/edit?pli=1#gid=0"",""1_ACUM!A4:S""),11,FALSE))"),"")</f>
        <v/>
      </c>
      <c r="AB280" s="42" t="str">
        <f ca="1">IFERROR(__xludf.DUMMYFUNCTION("IFERROR(VLOOKUP(F303,IMPORTRANGE(""https://docs.google.com/spreadsheets/d/1Kvs4KS76FHFqLFIZfrDMff4kP08nblUkihrxltoGBjg/edit#gid=934712705"",""ESENCIAL!A6:BG""),15,FALSE))"),"")</f>
        <v/>
      </c>
      <c r="AC280" s="110" t="str">
        <f ca="1">IFERROR(__xludf.DUMMYFUNCTION("IFERROR(VLOOKUP(E303&amp;F303,IMPORTRANGE(""https://docs.google.com/spreadsheets/d/1Uw7-A9f9R21vMXxHZFNpYNeKFtG8_yji4HS352LGlSQ/edit?pli=1#gid=0"",""1_ACUM!A4:S""),13,FALSE))"),"")</f>
        <v/>
      </c>
      <c r="AD280" s="43" t="str">
        <f ca="1">IFERROR(__xludf.DUMMYFUNCTION("IFERROR(VLOOKUP(E303&amp;F303,IMPORTRANGE(""https://docs.google.com/spreadsheets/d/1Uw7-A9f9R21vMXxHZFNpYNeKFtG8_yji4HS352LGlSQ/edit?pli=1#gid=0"",""1_ACUM!A4:S""),13,FALSE))"),"")</f>
        <v/>
      </c>
      <c r="AE280" s="43" t="str">
        <f ca="1">IFERROR(__xludf.DUMMYFUNCTION("IFERROR(VLOOKUP(E303&amp;F303,IMPORTRANGE(""https://docs.google.com/spreadsheets/d/1Uw7-A9f9R21vMXxHZFNpYNeKFtG8_yji4HS352LGlSQ/edit?pli=1#gid=0"",""1_ACUM!A4:S""),14,FALSE))"),"")</f>
        <v/>
      </c>
      <c r="AF280" s="43" t="str">
        <f ca="1">IFERROR(__xludf.DUMMYFUNCTION("IFERROR(VLOOKUP(E303&amp;F303,IMPORTRANGE(""https://docs.google.com/spreadsheets/d/1Uw7-A9f9R21vMXxHZFNpYNeKFtG8_yji4HS352LGlSQ/edit?pli=1#gid=0"",""1_ACUM!A4:S""),15,FALSE))"),"")</f>
        <v/>
      </c>
      <c r="AG280" s="43" t="str">
        <f ca="1">IFERROR(__xludf.DUMMYFUNCTION("IFERROR(VLOOKUP(E303&amp;F303,IMPORTRANGE(""https://docs.google.com/spreadsheets/d/1Uw7-A9f9R21vMXxHZFNpYNeKFtG8_yji4HS352LGlSQ/edit?pli=1#gid=0"",""1_ACUM!A4:S""),16,FALSE))"),"")</f>
        <v/>
      </c>
      <c r="AH280" s="43" t="str">
        <f ca="1">IFERROR(__xludf.DUMMYFUNCTION("IFERROR(VLOOKUP(E303&amp;F303,IMPORTRANGE(""https://docs.google.com/spreadsheets/d/1Uw7-A9f9R21vMXxHZFNpYNeKFtG8_yji4HS352LGlSQ/edit?pli=1#gid=0"",""1_ACUM!A4:S""),17,FALSE))"),"")</f>
        <v/>
      </c>
      <c r="AI280" s="44" t="str">
        <f ca="1">IFERROR(__xludf.DUMMYFUNCTION("IFERROR(VLOOKUP(E303&amp;F303,IMPORTRANGE(""https://docs.google.com/spreadsheets/d/1Uw7-A9f9R21vMXxHZFNpYNeKFtG8_yji4HS352LGlSQ/edit?pli=1#gid=0"",""1_ACUM!A4:S""),18,FALSE))"),"")</f>
        <v/>
      </c>
      <c r="AJ280" s="44" t="str">
        <f ca="1">IFERROR(__xludf.DUMMYFUNCTION("IFERROR(VLOOKUP(E303&amp;F303,IMPORTRANGE(""https://docs.google.com/spreadsheets/d/1Uw7-A9f9R21vMXxHZFNpYNeKFtG8_yji4HS352LGlSQ/edit?pli=1#gid=0"",""1_ACUM!A4:S""),19,FALSE))"),"")</f>
        <v/>
      </c>
      <c r="AK280" s="98" t="str">
        <f ca="1">IFERROR(__xludf.DUMMYFUNCTION("IFERROR(VLOOKUP(F303,IMPORTRANGE(""https://docs.google.com/spreadsheets/d/1Kvs4KS76FHFqLFIZfrDMff4kP08nblUkihrxltoGBjg/edit#gid=934712705"",""ESENCIAL!A6:BG""),5,FALSE))"),"")</f>
        <v/>
      </c>
      <c r="AL280" s="98" t="str">
        <f t="shared" si="22"/>
        <v/>
      </c>
      <c r="AM280" s="99" t="str">
        <f t="shared" si="23"/>
        <v/>
      </c>
      <c r="AN280" s="100" t="str">
        <f ca="1">IFERROR(__xludf.DUMMYFUNCTION("IFERROR(VLOOKUP(F303,IMPORTRANGE(""https://docs.google.com/spreadsheets/d/1Kvs4KS76FHFqLFIZfrDMff4kP08nblUkihrxltoGBjg/edit#gid=934712705"",""ESENCIAL!A6:BG""),2,FALSE))"),"")</f>
        <v/>
      </c>
      <c r="AO280" s="19" t="str">
        <f t="shared" si="20"/>
        <v/>
      </c>
      <c r="AP280" s="100"/>
      <c r="AQ280" s="100"/>
    </row>
    <row r="281" spans="1:43" ht="15">
      <c r="A281" s="101"/>
      <c r="B281" s="101"/>
      <c r="G281" s="5" t="str">
        <f ca="1">IFERROR(__xludf.DUMMYFUNCTION("IFERROR(VLOOKUP(F304,IMPORTRANGE(""https://docs.google.com/spreadsheets/d/1Kvs4KS76FHFqLFIZfrDMff4kP08nblUkihrxltoGBjg/edit#gid=934712705"",""ESENCIAL!A6:BG""),3,FALSE))"),"")</f>
        <v/>
      </c>
      <c r="H281" s="5" t="str">
        <f ca="1">IFERROR(__xludf.DUMMYFUNCTION("IFERROR(VLOOKUP(F304,IMPORTRANGE(""https://docs.google.com/spreadsheets/d/1Kvs4KS76FHFqLFIZfrDMff4kP08nblUkihrxltoGBjg/edit#gid=934712705"",""ESENCIAL!A6:BG""),8,FALSE))"),"")</f>
        <v/>
      </c>
      <c r="L281" s="287"/>
      <c r="Z281" s="41" t="str">
        <f t="shared" si="21"/>
        <v/>
      </c>
      <c r="AA281" s="5" t="str">
        <f ca="1">IFERROR(__xludf.DUMMYFUNCTION("IFERROR(VLOOKUP(E304&amp;F304,IMPORTRANGE(""https://docs.google.com/spreadsheets/d/1Uw7-A9f9R21vMXxHZFNpYNeKFtG8_yji4HS352LGlSQ/edit?pli=1#gid=0"",""1_ACUM!A4:S""),11,FALSE))"),"")</f>
        <v/>
      </c>
      <c r="AB281" s="42" t="str">
        <f ca="1">IFERROR(__xludf.DUMMYFUNCTION("IFERROR(VLOOKUP(F304,IMPORTRANGE(""https://docs.google.com/spreadsheets/d/1Kvs4KS76FHFqLFIZfrDMff4kP08nblUkihrxltoGBjg/edit#gid=934712705"",""ESENCIAL!A6:BG""),15,FALSE))"),"")</f>
        <v/>
      </c>
      <c r="AC281" s="110" t="str">
        <f ca="1">IFERROR(__xludf.DUMMYFUNCTION("IFERROR(VLOOKUP(E304&amp;F304,IMPORTRANGE(""https://docs.google.com/spreadsheets/d/1Uw7-A9f9R21vMXxHZFNpYNeKFtG8_yji4HS352LGlSQ/edit?pli=1#gid=0"",""1_ACUM!A4:S""),13,FALSE))"),"")</f>
        <v/>
      </c>
      <c r="AD281" s="43" t="str">
        <f ca="1">IFERROR(__xludf.DUMMYFUNCTION("IFERROR(VLOOKUP(E304&amp;F304,IMPORTRANGE(""https://docs.google.com/spreadsheets/d/1Uw7-A9f9R21vMXxHZFNpYNeKFtG8_yji4HS352LGlSQ/edit?pli=1#gid=0"",""1_ACUM!A4:S""),13,FALSE))"),"")</f>
        <v/>
      </c>
      <c r="AE281" s="43" t="str">
        <f ca="1">IFERROR(__xludf.DUMMYFUNCTION("IFERROR(VLOOKUP(E304&amp;F304,IMPORTRANGE(""https://docs.google.com/spreadsheets/d/1Uw7-A9f9R21vMXxHZFNpYNeKFtG8_yji4HS352LGlSQ/edit?pli=1#gid=0"",""1_ACUM!A4:S""),14,FALSE))"),"")</f>
        <v/>
      </c>
      <c r="AF281" s="43" t="str">
        <f ca="1">IFERROR(__xludf.DUMMYFUNCTION("IFERROR(VLOOKUP(E304&amp;F304,IMPORTRANGE(""https://docs.google.com/spreadsheets/d/1Uw7-A9f9R21vMXxHZFNpYNeKFtG8_yji4HS352LGlSQ/edit?pli=1#gid=0"",""1_ACUM!A4:S""),15,FALSE))"),"")</f>
        <v/>
      </c>
      <c r="AG281" s="43" t="str">
        <f ca="1">IFERROR(__xludf.DUMMYFUNCTION("IFERROR(VLOOKUP(E304&amp;F304,IMPORTRANGE(""https://docs.google.com/spreadsheets/d/1Uw7-A9f9R21vMXxHZFNpYNeKFtG8_yji4HS352LGlSQ/edit?pli=1#gid=0"",""1_ACUM!A4:S""),16,FALSE))"),"")</f>
        <v/>
      </c>
      <c r="AH281" s="43" t="str">
        <f ca="1">IFERROR(__xludf.DUMMYFUNCTION("IFERROR(VLOOKUP(E304&amp;F304,IMPORTRANGE(""https://docs.google.com/spreadsheets/d/1Uw7-A9f9R21vMXxHZFNpYNeKFtG8_yji4HS352LGlSQ/edit?pli=1#gid=0"",""1_ACUM!A4:S""),17,FALSE))"),"")</f>
        <v/>
      </c>
      <c r="AI281" s="44" t="str">
        <f ca="1">IFERROR(__xludf.DUMMYFUNCTION("IFERROR(VLOOKUP(E304&amp;F304,IMPORTRANGE(""https://docs.google.com/spreadsheets/d/1Uw7-A9f9R21vMXxHZFNpYNeKFtG8_yji4HS352LGlSQ/edit?pli=1#gid=0"",""1_ACUM!A4:S""),18,FALSE))"),"")</f>
        <v/>
      </c>
      <c r="AJ281" s="44" t="str">
        <f ca="1">IFERROR(__xludf.DUMMYFUNCTION("IFERROR(VLOOKUP(E304&amp;F304,IMPORTRANGE(""https://docs.google.com/spreadsheets/d/1Uw7-A9f9R21vMXxHZFNpYNeKFtG8_yji4HS352LGlSQ/edit?pli=1#gid=0"",""1_ACUM!A4:S""),19,FALSE))"),"")</f>
        <v/>
      </c>
      <c r="AK281" s="98" t="str">
        <f ca="1">IFERROR(__xludf.DUMMYFUNCTION("IFERROR(VLOOKUP(F304,IMPORTRANGE(""https://docs.google.com/spreadsheets/d/1Kvs4KS76FHFqLFIZfrDMff4kP08nblUkihrxltoGBjg/edit#gid=934712705"",""ESENCIAL!A6:BG""),5,FALSE))"),"")</f>
        <v/>
      </c>
      <c r="AL281" s="98" t="str">
        <f t="shared" si="22"/>
        <v/>
      </c>
      <c r="AM281" s="99" t="str">
        <f t="shared" si="23"/>
        <v/>
      </c>
      <c r="AN281" s="100" t="str">
        <f ca="1">IFERROR(__xludf.DUMMYFUNCTION("IFERROR(VLOOKUP(F304,IMPORTRANGE(""https://docs.google.com/spreadsheets/d/1Kvs4KS76FHFqLFIZfrDMff4kP08nblUkihrxltoGBjg/edit#gid=934712705"",""ESENCIAL!A6:BG""),2,FALSE))"),"")</f>
        <v/>
      </c>
      <c r="AO281" s="19" t="str">
        <f t="shared" si="20"/>
        <v/>
      </c>
      <c r="AP281" s="100"/>
      <c r="AQ281" s="100"/>
    </row>
    <row r="282" spans="1:43" ht="15">
      <c r="A282" s="101"/>
      <c r="B282" s="101"/>
      <c r="G282" s="5" t="str">
        <f ca="1">IFERROR(__xludf.DUMMYFUNCTION("IFERROR(VLOOKUP(F305,IMPORTRANGE(""https://docs.google.com/spreadsheets/d/1Kvs4KS76FHFqLFIZfrDMff4kP08nblUkihrxltoGBjg/edit#gid=934712705"",""ESENCIAL!A6:BG""),3,FALSE))"),"")</f>
        <v/>
      </c>
      <c r="H282" s="5" t="str">
        <f ca="1">IFERROR(__xludf.DUMMYFUNCTION("IFERROR(VLOOKUP(F305,IMPORTRANGE(""https://docs.google.com/spreadsheets/d/1Kvs4KS76FHFqLFIZfrDMff4kP08nblUkihrxltoGBjg/edit#gid=934712705"",""ESENCIAL!A6:BG""),8,FALSE))"),"")</f>
        <v/>
      </c>
      <c r="L282" s="287"/>
      <c r="Z282" s="41" t="str">
        <f t="shared" si="21"/>
        <v/>
      </c>
      <c r="AA282" s="5" t="str">
        <f ca="1">IFERROR(__xludf.DUMMYFUNCTION("IFERROR(VLOOKUP(E305&amp;F305,IMPORTRANGE(""https://docs.google.com/spreadsheets/d/1Uw7-A9f9R21vMXxHZFNpYNeKFtG8_yji4HS352LGlSQ/edit?pli=1#gid=0"",""1_ACUM!A4:S""),11,FALSE))"),"")</f>
        <v/>
      </c>
      <c r="AB282" s="42" t="str">
        <f ca="1">IFERROR(__xludf.DUMMYFUNCTION("IFERROR(VLOOKUP(F305,IMPORTRANGE(""https://docs.google.com/spreadsheets/d/1Kvs4KS76FHFqLFIZfrDMff4kP08nblUkihrxltoGBjg/edit#gid=934712705"",""ESENCIAL!A6:BG""),15,FALSE))"),"")</f>
        <v/>
      </c>
      <c r="AC282" s="110" t="str">
        <f ca="1">IFERROR(__xludf.DUMMYFUNCTION("IFERROR(VLOOKUP(E305&amp;F305,IMPORTRANGE(""https://docs.google.com/spreadsheets/d/1Uw7-A9f9R21vMXxHZFNpYNeKFtG8_yji4HS352LGlSQ/edit?pli=1#gid=0"",""1_ACUM!A4:S""),13,FALSE))"),"")</f>
        <v/>
      </c>
      <c r="AD282" s="43" t="str">
        <f ca="1">IFERROR(__xludf.DUMMYFUNCTION("IFERROR(VLOOKUP(E305&amp;F305,IMPORTRANGE(""https://docs.google.com/spreadsheets/d/1Uw7-A9f9R21vMXxHZFNpYNeKFtG8_yji4HS352LGlSQ/edit?pli=1#gid=0"",""1_ACUM!A4:S""),13,FALSE))"),"")</f>
        <v/>
      </c>
      <c r="AE282" s="43" t="str">
        <f ca="1">IFERROR(__xludf.DUMMYFUNCTION("IFERROR(VLOOKUP(E305&amp;F305,IMPORTRANGE(""https://docs.google.com/spreadsheets/d/1Uw7-A9f9R21vMXxHZFNpYNeKFtG8_yji4HS352LGlSQ/edit?pli=1#gid=0"",""1_ACUM!A4:S""),14,FALSE))"),"")</f>
        <v/>
      </c>
      <c r="AF282" s="43" t="str">
        <f ca="1">IFERROR(__xludf.DUMMYFUNCTION("IFERROR(VLOOKUP(E305&amp;F305,IMPORTRANGE(""https://docs.google.com/spreadsheets/d/1Uw7-A9f9R21vMXxHZFNpYNeKFtG8_yji4HS352LGlSQ/edit?pli=1#gid=0"",""1_ACUM!A4:S""),15,FALSE))"),"")</f>
        <v/>
      </c>
      <c r="AG282" s="43" t="str">
        <f ca="1">IFERROR(__xludf.DUMMYFUNCTION("IFERROR(VLOOKUP(E305&amp;F305,IMPORTRANGE(""https://docs.google.com/spreadsheets/d/1Uw7-A9f9R21vMXxHZFNpYNeKFtG8_yji4HS352LGlSQ/edit?pli=1#gid=0"",""1_ACUM!A4:S""),16,FALSE))"),"")</f>
        <v/>
      </c>
      <c r="AH282" s="43" t="str">
        <f ca="1">IFERROR(__xludf.DUMMYFUNCTION("IFERROR(VLOOKUP(E305&amp;F305,IMPORTRANGE(""https://docs.google.com/spreadsheets/d/1Uw7-A9f9R21vMXxHZFNpYNeKFtG8_yji4HS352LGlSQ/edit?pli=1#gid=0"",""1_ACUM!A4:S""),17,FALSE))"),"")</f>
        <v/>
      </c>
      <c r="AI282" s="44" t="str">
        <f ca="1">IFERROR(__xludf.DUMMYFUNCTION("IFERROR(VLOOKUP(E305&amp;F305,IMPORTRANGE(""https://docs.google.com/spreadsheets/d/1Uw7-A9f9R21vMXxHZFNpYNeKFtG8_yji4HS352LGlSQ/edit?pli=1#gid=0"",""1_ACUM!A4:S""),18,FALSE))"),"")</f>
        <v/>
      </c>
      <c r="AJ282" s="44" t="str">
        <f ca="1">IFERROR(__xludf.DUMMYFUNCTION("IFERROR(VLOOKUP(E305&amp;F305,IMPORTRANGE(""https://docs.google.com/spreadsheets/d/1Uw7-A9f9R21vMXxHZFNpYNeKFtG8_yji4HS352LGlSQ/edit?pli=1#gid=0"",""1_ACUM!A4:S""),19,FALSE))"),"")</f>
        <v/>
      </c>
      <c r="AK282" s="98" t="str">
        <f ca="1">IFERROR(__xludf.DUMMYFUNCTION("IFERROR(VLOOKUP(F305,IMPORTRANGE(""https://docs.google.com/spreadsheets/d/1Kvs4KS76FHFqLFIZfrDMff4kP08nblUkihrxltoGBjg/edit#gid=934712705"",""ESENCIAL!A6:BG""),5,FALSE))"),"")</f>
        <v/>
      </c>
      <c r="AL282" s="98" t="str">
        <f t="shared" si="22"/>
        <v/>
      </c>
      <c r="AM282" s="99" t="str">
        <f t="shared" si="23"/>
        <v/>
      </c>
      <c r="AN282" s="100" t="str">
        <f ca="1">IFERROR(__xludf.DUMMYFUNCTION("IFERROR(VLOOKUP(F305,IMPORTRANGE(""https://docs.google.com/spreadsheets/d/1Kvs4KS76FHFqLFIZfrDMff4kP08nblUkihrxltoGBjg/edit#gid=934712705"",""ESENCIAL!A6:BG""),2,FALSE))"),"")</f>
        <v/>
      </c>
      <c r="AO282" s="19" t="str">
        <f t="shared" si="20"/>
        <v/>
      </c>
      <c r="AP282" s="100"/>
      <c r="AQ282" s="100"/>
    </row>
    <row r="283" spans="1:43" ht="15">
      <c r="A283" s="101"/>
      <c r="B283" s="101"/>
      <c r="G283" s="5" t="str">
        <f ca="1">IFERROR(__xludf.DUMMYFUNCTION("IFERROR(VLOOKUP(F306,IMPORTRANGE(""https://docs.google.com/spreadsheets/d/1Kvs4KS76FHFqLFIZfrDMff4kP08nblUkihrxltoGBjg/edit#gid=934712705"",""ESENCIAL!A6:BG""),3,FALSE))"),"")</f>
        <v/>
      </c>
      <c r="H283" s="5" t="str">
        <f ca="1">IFERROR(__xludf.DUMMYFUNCTION("IFERROR(VLOOKUP(F306,IMPORTRANGE(""https://docs.google.com/spreadsheets/d/1Kvs4KS76FHFqLFIZfrDMff4kP08nblUkihrxltoGBjg/edit#gid=934712705"",""ESENCIAL!A6:BG""),8,FALSE))"),"")</f>
        <v/>
      </c>
      <c r="L283" s="287"/>
      <c r="Z283" s="41" t="str">
        <f t="shared" si="21"/>
        <v/>
      </c>
      <c r="AA283" s="5" t="str">
        <f ca="1">IFERROR(__xludf.DUMMYFUNCTION("IFERROR(VLOOKUP(E306&amp;F306,IMPORTRANGE(""https://docs.google.com/spreadsheets/d/1Uw7-A9f9R21vMXxHZFNpYNeKFtG8_yji4HS352LGlSQ/edit?pli=1#gid=0"",""1_ACUM!A4:S""),11,FALSE))"),"")</f>
        <v/>
      </c>
      <c r="AB283" s="42" t="str">
        <f ca="1">IFERROR(__xludf.DUMMYFUNCTION("IFERROR(VLOOKUP(F306,IMPORTRANGE(""https://docs.google.com/spreadsheets/d/1Kvs4KS76FHFqLFIZfrDMff4kP08nblUkihrxltoGBjg/edit#gid=934712705"",""ESENCIAL!A6:BG""),15,FALSE))"),"")</f>
        <v/>
      </c>
      <c r="AC283" s="110" t="str">
        <f ca="1">IFERROR(__xludf.DUMMYFUNCTION("IFERROR(VLOOKUP(E306&amp;F306,IMPORTRANGE(""https://docs.google.com/spreadsheets/d/1Uw7-A9f9R21vMXxHZFNpYNeKFtG8_yji4HS352LGlSQ/edit?pli=1#gid=0"",""1_ACUM!A4:S""),13,FALSE))"),"")</f>
        <v/>
      </c>
      <c r="AD283" s="43" t="str">
        <f ca="1">IFERROR(__xludf.DUMMYFUNCTION("IFERROR(VLOOKUP(E306&amp;F306,IMPORTRANGE(""https://docs.google.com/spreadsheets/d/1Uw7-A9f9R21vMXxHZFNpYNeKFtG8_yji4HS352LGlSQ/edit?pli=1#gid=0"",""1_ACUM!A4:S""),13,FALSE))"),"")</f>
        <v/>
      </c>
      <c r="AE283" s="43" t="str">
        <f ca="1">IFERROR(__xludf.DUMMYFUNCTION("IFERROR(VLOOKUP(E306&amp;F306,IMPORTRANGE(""https://docs.google.com/spreadsheets/d/1Uw7-A9f9R21vMXxHZFNpYNeKFtG8_yji4HS352LGlSQ/edit?pli=1#gid=0"",""1_ACUM!A4:S""),14,FALSE))"),"")</f>
        <v/>
      </c>
      <c r="AF283" s="43" t="str">
        <f ca="1">IFERROR(__xludf.DUMMYFUNCTION("IFERROR(VLOOKUP(E306&amp;F306,IMPORTRANGE(""https://docs.google.com/spreadsheets/d/1Uw7-A9f9R21vMXxHZFNpYNeKFtG8_yji4HS352LGlSQ/edit?pli=1#gid=0"",""1_ACUM!A4:S""),15,FALSE))"),"")</f>
        <v/>
      </c>
      <c r="AG283" s="43" t="str">
        <f ca="1">IFERROR(__xludf.DUMMYFUNCTION("IFERROR(VLOOKUP(E306&amp;F306,IMPORTRANGE(""https://docs.google.com/spreadsheets/d/1Uw7-A9f9R21vMXxHZFNpYNeKFtG8_yji4HS352LGlSQ/edit?pli=1#gid=0"",""1_ACUM!A4:S""),16,FALSE))"),"")</f>
        <v/>
      </c>
      <c r="AH283" s="43" t="str">
        <f ca="1">IFERROR(__xludf.DUMMYFUNCTION("IFERROR(VLOOKUP(E306&amp;F306,IMPORTRANGE(""https://docs.google.com/spreadsheets/d/1Uw7-A9f9R21vMXxHZFNpYNeKFtG8_yji4HS352LGlSQ/edit?pli=1#gid=0"",""1_ACUM!A4:S""),17,FALSE))"),"")</f>
        <v/>
      </c>
      <c r="AI283" s="44" t="str">
        <f ca="1">IFERROR(__xludf.DUMMYFUNCTION("IFERROR(VLOOKUP(E306&amp;F306,IMPORTRANGE(""https://docs.google.com/spreadsheets/d/1Uw7-A9f9R21vMXxHZFNpYNeKFtG8_yji4HS352LGlSQ/edit?pli=1#gid=0"",""1_ACUM!A4:S""),18,FALSE))"),"")</f>
        <v/>
      </c>
      <c r="AJ283" s="44" t="str">
        <f ca="1">IFERROR(__xludf.DUMMYFUNCTION("IFERROR(VLOOKUP(E306&amp;F306,IMPORTRANGE(""https://docs.google.com/spreadsheets/d/1Uw7-A9f9R21vMXxHZFNpYNeKFtG8_yji4HS352LGlSQ/edit?pli=1#gid=0"",""1_ACUM!A4:S""),19,FALSE))"),"")</f>
        <v/>
      </c>
      <c r="AK283" s="98" t="str">
        <f ca="1">IFERROR(__xludf.DUMMYFUNCTION("IFERROR(VLOOKUP(F306,IMPORTRANGE(""https://docs.google.com/spreadsheets/d/1Kvs4KS76FHFqLFIZfrDMff4kP08nblUkihrxltoGBjg/edit#gid=934712705"",""ESENCIAL!A6:BG""),5,FALSE))"),"")</f>
        <v/>
      </c>
      <c r="AL283" s="98" t="str">
        <f t="shared" si="22"/>
        <v/>
      </c>
      <c r="AM283" s="99" t="str">
        <f t="shared" si="23"/>
        <v/>
      </c>
      <c r="AN283" s="100" t="str">
        <f ca="1">IFERROR(__xludf.DUMMYFUNCTION("IFERROR(VLOOKUP(F306,IMPORTRANGE(""https://docs.google.com/spreadsheets/d/1Kvs4KS76FHFqLFIZfrDMff4kP08nblUkihrxltoGBjg/edit#gid=934712705"",""ESENCIAL!A6:BG""),2,FALSE))"),"")</f>
        <v/>
      </c>
      <c r="AO283" s="19" t="str">
        <f t="shared" si="20"/>
        <v/>
      </c>
      <c r="AP283" s="100"/>
      <c r="AQ283" s="100"/>
    </row>
    <row r="284" spans="1:43" ht="15">
      <c r="A284" s="101"/>
      <c r="B284" s="101"/>
      <c r="G284" s="5" t="str">
        <f ca="1">IFERROR(__xludf.DUMMYFUNCTION("IFERROR(VLOOKUP(F307,IMPORTRANGE(""https://docs.google.com/spreadsheets/d/1Kvs4KS76FHFqLFIZfrDMff4kP08nblUkihrxltoGBjg/edit#gid=934712705"",""ESENCIAL!A6:BG""),3,FALSE))"),"")</f>
        <v/>
      </c>
      <c r="H284" s="5" t="str">
        <f ca="1">IFERROR(__xludf.DUMMYFUNCTION("IFERROR(VLOOKUP(F307,IMPORTRANGE(""https://docs.google.com/spreadsheets/d/1Kvs4KS76FHFqLFIZfrDMff4kP08nblUkihrxltoGBjg/edit#gid=934712705"",""ESENCIAL!A6:BG""),8,FALSE))"),"")</f>
        <v/>
      </c>
      <c r="L284" s="287"/>
      <c r="Z284" s="41" t="str">
        <f t="shared" si="21"/>
        <v/>
      </c>
      <c r="AA284" s="5" t="str">
        <f ca="1">IFERROR(__xludf.DUMMYFUNCTION("IFERROR(VLOOKUP(E307&amp;F307,IMPORTRANGE(""https://docs.google.com/spreadsheets/d/1Uw7-A9f9R21vMXxHZFNpYNeKFtG8_yji4HS352LGlSQ/edit?pli=1#gid=0"",""1_ACUM!A4:S""),11,FALSE))"),"")</f>
        <v/>
      </c>
      <c r="AB284" s="42" t="str">
        <f ca="1">IFERROR(__xludf.DUMMYFUNCTION("IFERROR(VLOOKUP(F307,IMPORTRANGE(""https://docs.google.com/spreadsheets/d/1Kvs4KS76FHFqLFIZfrDMff4kP08nblUkihrxltoGBjg/edit#gid=934712705"",""ESENCIAL!A6:BG""),15,FALSE))"),"")</f>
        <v/>
      </c>
      <c r="AC284" s="110" t="str">
        <f ca="1">IFERROR(__xludf.DUMMYFUNCTION("IFERROR(VLOOKUP(E307&amp;F307,IMPORTRANGE(""https://docs.google.com/spreadsheets/d/1Uw7-A9f9R21vMXxHZFNpYNeKFtG8_yji4HS352LGlSQ/edit?pli=1#gid=0"",""1_ACUM!A4:S""),13,FALSE))"),"")</f>
        <v/>
      </c>
      <c r="AD284" s="43" t="str">
        <f ca="1">IFERROR(__xludf.DUMMYFUNCTION("IFERROR(VLOOKUP(E307&amp;F307,IMPORTRANGE(""https://docs.google.com/spreadsheets/d/1Uw7-A9f9R21vMXxHZFNpYNeKFtG8_yji4HS352LGlSQ/edit?pli=1#gid=0"",""1_ACUM!A4:S""),13,FALSE))"),"")</f>
        <v/>
      </c>
      <c r="AE284" s="43" t="str">
        <f ca="1">IFERROR(__xludf.DUMMYFUNCTION("IFERROR(VLOOKUP(E307&amp;F307,IMPORTRANGE(""https://docs.google.com/spreadsheets/d/1Uw7-A9f9R21vMXxHZFNpYNeKFtG8_yji4HS352LGlSQ/edit?pli=1#gid=0"",""1_ACUM!A4:S""),14,FALSE))"),"")</f>
        <v/>
      </c>
      <c r="AF284" s="43" t="str">
        <f ca="1">IFERROR(__xludf.DUMMYFUNCTION("IFERROR(VLOOKUP(E307&amp;F307,IMPORTRANGE(""https://docs.google.com/spreadsheets/d/1Uw7-A9f9R21vMXxHZFNpYNeKFtG8_yji4HS352LGlSQ/edit?pli=1#gid=0"",""1_ACUM!A4:S""),15,FALSE))"),"")</f>
        <v/>
      </c>
      <c r="AG284" s="43" t="str">
        <f ca="1">IFERROR(__xludf.DUMMYFUNCTION("IFERROR(VLOOKUP(E307&amp;F307,IMPORTRANGE(""https://docs.google.com/spreadsheets/d/1Uw7-A9f9R21vMXxHZFNpYNeKFtG8_yji4HS352LGlSQ/edit?pli=1#gid=0"",""1_ACUM!A4:S""),16,FALSE))"),"")</f>
        <v/>
      </c>
      <c r="AH284" s="43" t="str">
        <f ca="1">IFERROR(__xludf.DUMMYFUNCTION("IFERROR(VLOOKUP(E307&amp;F307,IMPORTRANGE(""https://docs.google.com/spreadsheets/d/1Uw7-A9f9R21vMXxHZFNpYNeKFtG8_yji4HS352LGlSQ/edit?pli=1#gid=0"",""1_ACUM!A4:S""),17,FALSE))"),"")</f>
        <v/>
      </c>
      <c r="AI284" s="44" t="str">
        <f ca="1">IFERROR(__xludf.DUMMYFUNCTION("IFERROR(VLOOKUP(E307&amp;F307,IMPORTRANGE(""https://docs.google.com/spreadsheets/d/1Uw7-A9f9R21vMXxHZFNpYNeKFtG8_yji4HS352LGlSQ/edit?pli=1#gid=0"",""1_ACUM!A4:S""),18,FALSE))"),"")</f>
        <v/>
      </c>
      <c r="AJ284" s="44" t="str">
        <f ca="1">IFERROR(__xludf.DUMMYFUNCTION("IFERROR(VLOOKUP(E307&amp;F307,IMPORTRANGE(""https://docs.google.com/spreadsheets/d/1Uw7-A9f9R21vMXxHZFNpYNeKFtG8_yji4HS352LGlSQ/edit?pli=1#gid=0"",""1_ACUM!A4:S""),19,FALSE))"),"")</f>
        <v/>
      </c>
      <c r="AK284" s="98" t="str">
        <f ca="1">IFERROR(__xludf.DUMMYFUNCTION("IFERROR(VLOOKUP(F307,IMPORTRANGE(""https://docs.google.com/spreadsheets/d/1Kvs4KS76FHFqLFIZfrDMff4kP08nblUkihrxltoGBjg/edit#gid=934712705"",""ESENCIAL!A6:BG""),5,FALSE))"),"")</f>
        <v/>
      </c>
      <c r="AL284" s="98" t="str">
        <f t="shared" si="22"/>
        <v/>
      </c>
      <c r="AM284" s="99" t="str">
        <f t="shared" si="23"/>
        <v/>
      </c>
      <c r="AN284" s="100" t="str">
        <f ca="1">IFERROR(__xludf.DUMMYFUNCTION("IFERROR(VLOOKUP(F307,IMPORTRANGE(""https://docs.google.com/spreadsheets/d/1Kvs4KS76FHFqLFIZfrDMff4kP08nblUkihrxltoGBjg/edit#gid=934712705"",""ESENCIAL!A6:BG""),2,FALSE))"),"")</f>
        <v/>
      </c>
      <c r="AO284" s="19" t="str">
        <f t="shared" si="20"/>
        <v/>
      </c>
      <c r="AP284" s="100"/>
      <c r="AQ284" s="100"/>
    </row>
    <row r="285" spans="1:43" ht="15">
      <c r="A285" s="101"/>
      <c r="B285" s="101"/>
      <c r="G285" s="5" t="str">
        <f ca="1">IFERROR(__xludf.DUMMYFUNCTION("IFERROR(VLOOKUP(F308,IMPORTRANGE(""https://docs.google.com/spreadsheets/d/1Kvs4KS76FHFqLFIZfrDMff4kP08nblUkihrxltoGBjg/edit#gid=934712705"",""ESENCIAL!A6:BG""),3,FALSE))"),"")</f>
        <v/>
      </c>
      <c r="H285" s="5" t="str">
        <f ca="1">IFERROR(__xludf.DUMMYFUNCTION("IFERROR(VLOOKUP(F308,IMPORTRANGE(""https://docs.google.com/spreadsheets/d/1Kvs4KS76FHFqLFIZfrDMff4kP08nblUkihrxltoGBjg/edit#gid=934712705"",""ESENCIAL!A6:BG""),8,FALSE))"),"")</f>
        <v/>
      </c>
      <c r="L285" s="287"/>
      <c r="Z285" s="41" t="str">
        <f t="shared" si="21"/>
        <v/>
      </c>
      <c r="AA285" s="5" t="str">
        <f ca="1">IFERROR(__xludf.DUMMYFUNCTION("IFERROR(VLOOKUP(E308&amp;F308,IMPORTRANGE(""https://docs.google.com/spreadsheets/d/1Uw7-A9f9R21vMXxHZFNpYNeKFtG8_yji4HS352LGlSQ/edit?pli=1#gid=0"",""1_ACUM!A4:S""),11,FALSE))"),"")</f>
        <v/>
      </c>
      <c r="AB285" s="42" t="str">
        <f ca="1">IFERROR(__xludf.DUMMYFUNCTION("IFERROR(VLOOKUP(F308,IMPORTRANGE(""https://docs.google.com/spreadsheets/d/1Kvs4KS76FHFqLFIZfrDMff4kP08nblUkihrxltoGBjg/edit#gid=934712705"",""ESENCIAL!A6:BG""),15,FALSE))"),"")</f>
        <v/>
      </c>
      <c r="AC285" s="110" t="str">
        <f ca="1">IFERROR(__xludf.DUMMYFUNCTION("IFERROR(VLOOKUP(E308&amp;F308,IMPORTRANGE(""https://docs.google.com/spreadsheets/d/1Uw7-A9f9R21vMXxHZFNpYNeKFtG8_yji4HS352LGlSQ/edit?pli=1#gid=0"",""1_ACUM!A4:S""),13,FALSE))"),"")</f>
        <v/>
      </c>
      <c r="AD285" s="43" t="str">
        <f ca="1">IFERROR(__xludf.DUMMYFUNCTION("IFERROR(VLOOKUP(E308&amp;F308,IMPORTRANGE(""https://docs.google.com/spreadsheets/d/1Uw7-A9f9R21vMXxHZFNpYNeKFtG8_yji4HS352LGlSQ/edit?pli=1#gid=0"",""1_ACUM!A4:S""),13,FALSE))"),"")</f>
        <v/>
      </c>
      <c r="AE285" s="43" t="str">
        <f ca="1">IFERROR(__xludf.DUMMYFUNCTION("IFERROR(VLOOKUP(E308&amp;F308,IMPORTRANGE(""https://docs.google.com/spreadsheets/d/1Uw7-A9f9R21vMXxHZFNpYNeKFtG8_yji4HS352LGlSQ/edit?pli=1#gid=0"",""1_ACUM!A4:S""),14,FALSE))"),"")</f>
        <v/>
      </c>
      <c r="AF285" s="43" t="str">
        <f ca="1">IFERROR(__xludf.DUMMYFUNCTION("IFERROR(VLOOKUP(E308&amp;F308,IMPORTRANGE(""https://docs.google.com/spreadsheets/d/1Uw7-A9f9R21vMXxHZFNpYNeKFtG8_yji4HS352LGlSQ/edit?pli=1#gid=0"",""1_ACUM!A4:S""),15,FALSE))"),"")</f>
        <v/>
      </c>
      <c r="AG285" s="43" t="str">
        <f ca="1">IFERROR(__xludf.DUMMYFUNCTION("IFERROR(VLOOKUP(E308&amp;F308,IMPORTRANGE(""https://docs.google.com/spreadsheets/d/1Uw7-A9f9R21vMXxHZFNpYNeKFtG8_yji4HS352LGlSQ/edit?pli=1#gid=0"",""1_ACUM!A4:S""),16,FALSE))"),"")</f>
        <v/>
      </c>
      <c r="AH285" s="43" t="str">
        <f ca="1">IFERROR(__xludf.DUMMYFUNCTION("IFERROR(VLOOKUP(E308&amp;F308,IMPORTRANGE(""https://docs.google.com/spreadsheets/d/1Uw7-A9f9R21vMXxHZFNpYNeKFtG8_yji4HS352LGlSQ/edit?pli=1#gid=0"",""1_ACUM!A4:S""),17,FALSE))"),"")</f>
        <v/>
      </c>
      <c r="AI285" s="44" t="str">
        <f ca="1">IFERROR(__xludf.DUMMYFUNCTION("IFERROR(VLOOKUP(E308&amp;F308,IMPORTRANGE(""https://docs.google.com/spreadsheets/d/1Uw7-A9f9R21vMXxHZFNpYNeKFtG8_yji4HS352LGlSQ/edit?pli=1#gid=0"",""1_ACUM!A4:S""),18,FALSE))"),"")</f>
        <v/>
      </c>
      <c r="AJ285" s="44" t="str">
        <f ca="1">IFERROR(__xludf.DUMMYFUNCTION("IFERROR(VLOOKUP(E308&amp;F308,IMPORTRANGE(""https://docs.google.com/spreadsheets/d/1Uw7-A9f9R21vMXxHZFNpYNeKFtG8_yji4HS352LGlSQ/edit?pli=1#gid=0"",""1_ACUM!A4:S""),19,FALSE))"),"")</f>
        <v/>
      </c>
      <c r="AK285" s="98" t="str">
        <f ca="1">IFERROR(__xludf.DUMMYFUNCTION("IFERROR(VLOOKUP(F308,IMPORTRANGE(""https://docs.google.com/spreadsheets/d/1Kvs4KS76FHFqLFIZfrDMff4kP08nblUkihrxltoGBjg/edit#gid=934712705"",""ESENCIAL!A6:BG""),5,FALSE))"),"")</f>
        <v/>
      </c>
      <c r="AL285" s="98" t="str">
        <f t="shared" si="22"/>
        <v/>
      </c>
      <c r="AM285" s="99" t="str">
        <f t="shared" si="23"/>
        <v/>
      </c>
      <c r="AN285" s="100" t="str">
        <f ca="1">IFERROR(__xludf.DUMMYFUNCTION("IFERROR(VLOOKUP(F308,IMPORTRANGE(""https://docs.google.com/spreadsheets/d/1Kvs4KS76FHFqLFIZfrDMff4kP08nblUkihrxltoGBjg/edit#gid=934712705"",""ESENCIAL!A6:BG""),2,FALSE))"),"")</f>
        <v/>
      </c>
      <c r="AO285" s="19" t="str">
        <f t="shared" si="20"/>
        <v/>
      </c>
      <c r="AP285" s="100"/>
      <c r="AQ285" s="100"/>
    </row>
    <row r="286" spans="1:43" ht="15">
      <c r="A286" s="101"/>
      <c r="B286" s="101"/>
      <c r="G286" s="5" t="str">
        <f ca="1">IFERROR(__xludf.DUMMYFUNCTION("IFERROR(VLOOKUP(F309,IMPORTRANGE(""https://docs.google.com/spreadsheets/d/1Kvs4KS76FHFqLFIZfrDMff4kP08nblUkihrxltoGBjg/edit#gid=934712705"",""ESENCIAL!A6:BG""),3,FALSE))"),"")</f>
        <v/>
      </c>
      <c r="H286" s="5" t="str">
        <f ca="1">IFERROR(__xludf.DUMMYFUNCTION("IFERROR(VLOOKUP(F309,IMPORTRANGE(""https://docs.google.com/spreadsheets/d/1Kvs4KS76FHFqLFIZfrDMff4kP08nblUkihrxltoGBjg/edit#gid=934712705"",""ESENCIAL!A6:BG""),8,FALSE))"),"")</f>
        <v/>
      </c>
      <c r="L286" s="287"/>
      <c r="Z286" s="41" t="str">
        <f t="shared" si="21"/>
        <v/>
      </c>
      <c r="AA286" s="5" t="str">
        <f ca="1">IFERROR(__xludf.DUMMYFUNCTION("IFERROR(VLOOKUP(E309&amp;F309,IMPORTRANGE(""https://docs.google.com/spreadsheets/d/1Uw7-A9f9R21vMXxHZFNpYNeKFtG8_yji4HS352LGlSQ/edit?pli=1#gid=0"",""1_ACUM!A4:S""),11,FALSE))"),"")</f>
        <v/>
      </c>
      <c r="AB286" s="42" t="str">
        <f ca="1">IFERROR(__xludf.DUMMYFUNCTION("IFERROR(VLOOKUP(F309,IMPORTRANGE(""https://docs.google.com/spreadsheets/d/1Kvs4KS76FHFqLFIZfrDMff4kP08nblUkihrxltoGBjg/edit#gid=934712705"",""ESENCIAL!A6:BG""),15,FALSE))"),"")</f>
        <v/>
      </c>
      <c r="AC286" s="110" t="str">
        <f ca="1">IFERROR(__xludf.DUMMYFUNCTION("IFERROR(VLOOKUP(E309&amp;F309,IMPORTRANGE(""https://docs.google.com/spreadsheets/d/1Uw7-A9f9R21vMXxHZFNpYNeKFtG8_yji4HS352LGlSQ/edit?pli=1#gid=0"",""1_ACUM!A4:S""),13,FALSE))"),"")</f>
        <v/>
      </c>
      <c r="AD286" s="43" t="str">
        <f ca="1">IFERROR(__xludf.DUMMYFUNCTION("IFERROR(VLOOKUP(E309&amp;F309,IMPORTRANGE(""https://docs.google.com/spreadsheets/d/1Uw7-A9f9R21vMXxHZFNpYNeKFtG8_yji4HS352LGlSQ/edit?pli=1#gid=0"",""1_ACUM!A4:S""),13,FALSE))"),"")</f>
        <v/>
      </c>
      <c r="AE286" s="43" t="str">
        <f ca="1">IFERROR(__xludf.DUMMYFUNCTION("IFERROR(VLOOKUP(E309&amp;F309,IMPORTRANGE(""https://docs.google.com/spreadsheets/d/1Uw7-A9f9R21vMXxHZFNpYNeKFtG8_yji4HS352LGlSQ/edit?pli=1#gid=0"",""1_ACUM!A4:S""),14,FALSE))"),"")</f>
        <v/>
      </c>
      <c r="AF286" s="43" t="str">
        <f ca="1">IFERROR(__xludf.DUMMYFUNCTION("IFERROR(VLOOKUP(E309&amp;F309,IMPORTRANGE(""https://docs.google.com/spreadsheets/d/1Uw7-A9f9R21vMXxHZFNpYNeKFtG8_yji4HS352LGlSQ/edit?pli=1#gid=0"",""1_ACUM!A4:S""),15,FALSE))"),"")</f>
        <v/>
      </c>
      <c r="AG286" s="43" t="str">
        <f ca="1">IFERROR(__xludf.DUMMYFUNCTION("IFERROR(VLOOKUP(E309&amp;F309,IMPORTRANGE(""https://docs.google.com/spreadsheets/d/1Uw7-A9f9R21vMXxHZFNpYNeKFtG8_yji4HS352LGlSQ/edit?pli=1#gid=0"",""1_ACUM!A4:S""),16,FALSE))"),"")</f>
        <v/>
      </c>
      <c r="AH286" s="43" t="str">
        <f ca="1">IFERROR(__xludf.DUMMYFUNCTION("IFERROR(VLOOKUP(E309&amp;F309,IMPORTRANGE(""https://docs.google.com/spreadsheets/d/1Uw7-A9f9R21vMXxHZFNpYNeKFtG8_yji4HS352LGlSQ/edit?pli=1#gid=0"",""1_ACUM!A4:S""),17,FALSE))"),"")</f>
        <v/>
      </c>
      <c r="AI286" s="44" t="str">
        <f ca="1">IFERROR(__xludf.DUMMYFUNCTION("IFERROR(VLOOKUP(E309&amp;F309,IMPORTRANGE(""https://docs.google.com/spreadsheets/d/1Uw7-A9f9R21vMXxHZFNpYNeKFtG8_yji4HS352LGlSQ/edit?pli=1#gid=0"",""1_ACUM!A4:S""),18,FALSE))"),"")</f>
        <v/>
      </c>
      <c r="AJ286" s="44" t="str">
        <f ca="1">IFERROR(__xludf.DUMMYFUNCTION("IFERROR(VLOOKUP(E309&amp;F309,IMPORTRANGE(""https://docs.google.com/spreadsheets/d/1Uw7-A9f9R21vMXxHZFNpYNeKFtG8_yji4HS352LGlSQ/edit?pli=1#gid=0"",""1_ACUM!A4:S""),19,FALSE))"),"")</f>
        <v/>
      </c>
      <c r="AK286" s="98" t="str">
        <f ca="1">IFERROR(__xludf.DUMMYFUNCTION("IFERROR(VLOOKUP(F309,IMPORTRANGE(""https://docs.google.com/spreadsheets/d/1Kvs4KS76FHFqLFIZfrDMff4kP08nblUkihrxltoGBjg/edit#gid=934712705"",""ESENCIAL!A6:BG""),5,FALSE))"),"")</f>
        <v/>
      </c>
      <c r="AL286" s="98" t="str">
        <f t="shared" si="22"/>
        <v/>
      </c>
      <c r="AM286" s="99" t="str">
        <f t="shared" si="23"/>
        <v/>
      </c>
      <c r="AN286" s="100" t="str">
        <f ca="1">IFERROR(__xludf.DUMMYFUNCTION("IFERROR(VLOOKUP(F309,IMPORTRANGE(""https://docs.google.com/spreadsheets/d/1Kvs4KS76FHFqLFIZfrDMff4kP08nblUkihrxltoGBjg/edit#gid=934712705"",""ESENCIAL!A6:BG""),2,FALSE))"),"")</f>
        <v/>
      </c>
      <c r="AO286" s="19" t="str">
        <f t="shared" si="20"/>
        <v/>
      </c>
      <c r="AP286" s="100"/>
      <c r="AQ286" s="100"/>
    </row>
    <row r="287" spans="1:43" ht="15">
      <c r="A287" s="101"/>
      <c r="B287" s="101"/>
      <c r="G287" s="5" t="str">
        <f ca="1">IFERROR(__xludf.DUMMYFUNCTION("IFERROR(VLOOKUP(F310,IMPORTRANGE(""https://docs.google.com/spreadsheets/d/1Kvs4KS76FHFqLFIZfrDMff4kP08nblUkihrxltoGBjg/edit#gid=934712705"",""ESENCIAL!A6:BG""),3,FALSE))"),"")</f>
        <v/>
      </c>
      <c r="H287" s="5" t="str">
        <f ca="1">IFERROR(__xludf.DUMMYFUNCTION("IFERROR(VLOOKUP(F310,IMPORTRANGE(""https://docs.google.com/spreadsheets/d/1Kvs4KS76FHFqLFIZfrDMff4kP08nblUkihrxltoGBjg/edit#gid=934712705"",""ESENCIAL!A6:BG""),8,FALSE))"),"")</f>
        <v/>
      </c>
      <c r="L287" s="287"/>
      <c r="Z287" s="41" t="str">
        <f t="shared" si="21"/>
        <v/>
      </c>
      <c r="AA287" s="5" t="str">
        <f ca="1">IFERROR(__xludf.DUMMYFUNCTION("IFERROR(VLOOKUP(E310&amp;F310,IMPORTRANGE(""https://docs.google.com/spreadsheets/d/1Uw7-A9f9R21vMXxHZFNpYNeKFtG8_yji4HS352LGlSQ/edit?pli=1#gid=0"",""1_ACUM!A4:S""),11,FALSE))"),"")</f>
        <v/>
      </c>
      <c r="AB287" s="42" t="str">
        <f ca="1">IFERROR(__xludf.DUMMYFUNCTION("IFERROR(VLOOKUP(F310,IMPORTRANGE(""https://docs.google.com/spreadsheets/d/1Kvs4KS76FHFqLFIZfrDMff4kP08nblUkihrxltoGBjg/edit#gid=934712705"",""ESENCIAL!A6:BG""),15,FALSE))"),"")</f>
        <v/>
      </c>
      <c r="AC287" s="110" t="str">
        <f ca="1">IFERROR(__xludf.DUMMYFUNCTION("IFERROR(VLOOKUP(E310&amp;F310,IMPORTRANGE(""https://docs.google.com/spreadsheets/d/1Uw7-A9f9R21vMXxHZFNpYNeKFtG8_yji4HS352LGlSQ/edit?pli=1#gid=0"",""1_ACUM!A4:S""),13,FALSE))"),"")</f>
        <v/>
      </c>
      <c r="AD287" s="43" t="str">
        <f ca="1">IFERROR(__xludf.DUMMYFUNCTION("IFERROR(VLOOKUP(E310&amp;F310,IMPORTRANGE(""https://docs.google.com/spreadsheets/d/1Uw7-A9f9R21vMXxHZFNpYNeKFtG8_yji4HS352LGlSQ/edit?pli=1#gid=0"",""1_ACUM!A4:S""),13,FALSE))"),"")</f>
        <v/>
      </c>
      <c r="AE287" s="43" t="str">
        <f ca="1">IFERROR(__xludf.DUMMYFUNCTION("IFERROR(VLOOKUP(E310&amp;F310,IMPORTRANGE(""https://docs.google.com/spreadsheets/d/1Uw7-A9f9R21vMXxHZFNpYNeKFtG8_yji4HS352LGlSQ/edit?pli=1#gid=0"",""1_ACUM!A4:S""),14,FALSE))"),"")</f>
        <v/>
      </c>
      <c r="AF287" s="43" t="str">
        <f ca="1">IFERROR(__xludf.DUMMYFUNCTION("IFERROR(VLOOKUP(E310&amp;F310,IMPORTRANGE(""https://docs.google.com/spreadsheets/d/1Uw7-A9f9R21vMXxHZFNpYNeKFtG8_yji4HS352LGlSQ/edit?pli=1#gid=0"",""1_ACUM!A4:S""),15,FALSE))"),"")</f>
        <v/>
      </c>
      <c r="AG287" s="43" t="str">
        <f ca="1">IFERROR(__xludf.DUMMYFUNCTION("IFERROR(VLOOKUP(E310&amp;F310,IMPORTRANGE(""https://docs.google.com/spreadsheets/d/1Uw7-A9f9R21vMXxHZFNpYNeKFtG8_yji4HS352LGlSQ/edit?pli=1#gid=0"",""1_ACUM!A4:S""),16,FALSE))"),"")</f>
        <v/>
      </c>
      <c r="AH287" s="43" t="str">
        <f ca="1">IFERROR(__xludf.DUMMYFUNCTION("IFERROR(VLOOKUP(E310&amp;F310,IMPORTRANGE(""https://docs.google.com/spreadsheets/d/1Uw7-A9f9R21vMXxHZFNpYNeKFtG8_yji4HS352LGlSQ/edit?pli=1#gid=0"",""1_ACUM!A4:S""),17,FALSE))"),"")</f>
        <v/>
      </c>
      <c r="AI287" s="44" t="str">
        <f ca="1">IFERROR(__xludf.DUMMYFUNCTION("IFERROR(VLOOKUP(E310&amp;F310,IMPORTRANGE(""https://docs.google.com/spreadsheets/d/1Uw7-A9f9R21vMXxHZFNpYNeKFtG8_yji4HS352LGlSQ/edit?pli=1#gid=0"",""1_ACUM!A4:S""),18,FALSE))"),"")</f>
        <v/>
      </c>
      <c r="AJ287" s="44" t="str">
        <f ca="1">IFERROR(__xludf.DUMMYFUNCTION("IFERROR(VLOOKUP(E310&amp;F310,IMPORTRANGE(""https://docs.google.com/spreadsheets/d/1Uw7-A9f9R21vMXxHZFNpYNeKFtG8_yji4HS352LGlSQ/edit?pli=1#gid=0"",""1_ACUM!A4:S""),19,FALSE))"),"")</f>
        <v/>
      </c>
      <c r="AK287" s="98" t="str">
        <f ca="1">IFERROR(__xludf.DUMMYFUNCTION("IFERROR(VLOOKUP(F310,IMPORTRANGE(""https://docs.google.com/spreadsheets/d/1Kvs4KS76FHFqLFIZfrDMff4kP08nblUkihrxltoGBjg/edit#gid=934712705"",""ESENCIAL!A6:BG""),5,FALSE))"),"")</f>
        <v/>
      </c>
      <c r="AL287" s="98" t="str">
        <f t="shared" si="22"/>
        <v/>
      </c>
      <c r="AM287" s="99" t="str">
        <f t="shared" si="23"/>
        <v/>
      </c>
      <c r="AN287" s="100" t="str">
        <f ca="1">IFERROR(__xludf.DUMMYFUNCTION("IFERROR(VLOOKUP(F310,IMPORTRANGE(""https://docs.google.com/spreadsheets/d/1Kvs4KS76FHFqLFIZfrDMff4kP08nblUkihrxltoGBjg/edit#gid=934712705"",""ESENCIAL!A6:BG""),2,FALSE))"),"")</f>
        <v/>
      </c>
      <c r="AO287" s="19" t="str">
        <f t="shared" si="20"/>
        <v/>
      </c>
      <c r="AP287" s="100"/>
      <c r="AQ287" s="100"/>
    </row>
    <row r="288" spans="1:43" ht="15">
      <c r="A288" s="101"/>
      <c r="B288" s="101"/>
      <c r="G288" s="5" t="str">
        <f ca="1">IFERROR(__xludf.DUMMYFUNCTION("IFERROR(VLOOKUP(F311,IMPORTRANGE(""https://docs.google.com/spreadsheets/d/1Kvs4KS76FHFqLFIZfrDMff4kP08nblUkihrxltoGBjg/edit#gid=934712705"",""ESENCIAL!A6:BG""),3,FALSE))"),"")</f>
        <v/>
      </c>
      <c r="H288" s="5" t="str">
        <f ca="1">IFERROR(__xludf.DUMMYFUNCTION("IFERROR(VLOOKUP(F311,IMPORTRANGE(""https://docs.google.com/spreadsheets/d/1Kvs4KS76FHFqLFIZfrDMff4kP08nblUkihrxltoGBjg/edit#gid=934712705"",""ESENCIAL!A6:BG""),8,FALSE))"),"")</f>
        <v/>
      </c>
      <c r="L288" s="287"/>
      <c r="Z288" s="41" t="str">
        <f t="shared" si="21"/>
        <v/>
      </c>
      <c r="AA288" s="5" t="str">
        <f ca="1">IFERROR(__xludf.DUMMYFUNCTION("IFERROR(VLOOKUP(E311&amp;F311,IMPORTRANGE(""https://docs.google.com/spreadsheets/d/1Uw7-A9f9R21vMXxHZFNpYNeKFtG8_yji4HS352LGlSQ/edit?pli=1#gid=0"",""1_ACUM!A4:S""),11,FALSE))"),"")</f>
        <v/>
      </c>
      <c r="AB288" s="42" t="str">
        <f ca="1">IFERROR(__xludf.DUMMYFUNCTION("IFERROR(VLOOKUP(F311,IMPORTRANGE(""https://docs.google.com/spreadsheets/d/1Kvs4KS76FHFqLFIZfrDMff4kP08nblUkihrxltoGBjg/edit#gid=934712705"",""ESENCIAL!A6:BG""),15,FALSE))"),"")</f>
        <v/>
      </c>
      <c r="AC288" s="110" t="str">
        <f ca="1">IFERROR(__xludf.DUMMYFUNCTION("IFERROR(VLOOKUP(E311&amp;F311,IMPORTRANGE(""https://docs.google.com/spreadsheets/d/1Uw7-A9f9R21vMXxHZFNpYNeKFtG8_yji4HS352LGlSQ/edit?pli=1#gid=0"",""1_ACUM!A4:S""),13,FALSE))"),"")</f>
        <v/>
      </c>
      <c r="AD288" s="43" t="str">
        <f ca="1">IFERROR(__xludf.DUMMYFUNCTION("IFERROR(VLOOKUP(E311&amp;F311,IMPORTRANGE(""https://docs.google.com/spreadsheets/d/1Uw7-A9f9R21vMXxHZFNpYNeKFtG8_yji4HS352LGlSQ/edit?pli=1#gid=0"",""1_ACUM!A4:S""),13,FALSE))"),"")</f>
        <v/>
      </c>
      <c r="AE288" s="43" t="str">
        <f ca="1">IFERROR(__xludf.DUMMYFUNCTION("IFERROR(VLOOKUP(E311&amp;F311,IMPORTRANGE(""https://docs.google.com/spreadsheets/d/1Uw7-A9f9R21vMXxHZFNpYNeKFtG8_yji4HS352LGlSQ/edit?pli=1#gid=0"",""1_ACUM!A4:S""),14,FALSE))"),"")</f>
        <v/>
      </c>
      <c r="AF288" s="43" t="str">
        <f ca="1">IFERROR(__xludf.DUMMYFUNCTION("IFERROR(VLOOKUP(E311&amp;F311,IMPORTRANGE(""https://docs.google.com/spreadsheets/d/1Uw7-A9f9R21vMXxHZFNpYNeKFtG8_yji4HS352LGlSQ/edit?pli=1#gid=0"",""1_ACUM!A4:S""),15,FALSE))"),"")</f>
        <v/>
      </c>
      <c r="AG288" s="43" t="str">
        <f ca="1">IFERROR(__xludf.DUMMYFUNCTION("IFERROR(VLOOKUP(E311&amp;F311,IMPORTRANGE(""https://docs.google.com/spreadsheets/d/1Uw7-A9f9R21vMXxHZFNpYNeKFtG8_yji4HS352LGlSQ/edit?pli=1#gid=0"",""1_ACUM!A4:S""),16,FALSE))"),"")</f>
        <v/>
      </c>
      <c r="AH288" s="43" t="str">
        <f ca="1">IFERROR(__xludf.DUMMYFUNCTION("IFERROR(VLOOKUP(E311&amp;F311,IMPORTRANGE(""https://docs.google.com/spreadsheets/d/1Uw7-A9f9R21vMXxHZFNpYNeKFtG8_yji4HS352LGlSQ/edit?pli=1#gid=0"",""1_ACUM!A4:S""),17,FALSE))"),"")</f>
        <v/>
      </c>
      <c r="AI288" s="44" t="str">
        <f ca="1">IFERROR(__xludf.DUMMYFUNCTION("IFERROR(VLOOKUP(E311&amp;F311,IMPORTRANGE(""https://docs.google.com/spreadsheets/d/1Uw7-A9f9R21vMXxHZFNpYNeKFtG8_yji4HS352LGlSQ/edit?pli=1#gid=0"",""1_ACUM!A4:S""),18,FALSE))"),"")</f>
        <v/>
      </c>
      <c r="AJ288" s="44" t="str">
        <f ca="1">IFERROR(__xludf.DUMMYFUNCTION("IFERROR(VLOOKUP(E311&amp;F311,IMPORTRANGE(""https://docs.google.com/spreadsheets/d/1Uw7-A9f9R21vMXxHZFNpYNeKFtG8_yji4HS352LGlSQ/edit?pli=1#gid=0"",""1_ACUM!A4:S""),19,FALSE))"),"")</f>
        <v/>
      </c>
      <c r="AK288" s="98" t="str">
        <f ca="1">IFERROR(__xludf.DUMMYFUNCTION("IFERROR(VLOOKUP(F311,IMPORTRANGE(""https://docs.google.com/spreadsheets/d/1Kvs4KS76FHFqLFIZfrDMff4kP08nblUkihrxltoGBjg/edit#gid=934712705"",""ESENCIAL!A6:BG""),5,FALSE))"),"")</f>
        <v/>
      </c>
      <c r="AL288" s="98" t="str">
        <f t="shared" si="22"/>
        <v/>
      </c>
      <c r="AM288" s="99" t="str">
        <f t="shared" si="23"/>
        <v/>
      </c>
      <c r="AN288" s="100" t="str">
        <f ca="1">IFERROR(__xludf.DUMMYFUNCTION("IFERROR(VLOOKUP(F311,IMPORTRANGE(""https://docs.google.com/spreadsheets/d/1Kvs4KS76FHFqLFIZfrDMff4kP08nblUkihrxltoGBjg/edit#gid=934712705"",""ESENCIAL!A6:BG""),2,FALSE))"),"")</f>
        <v/>
      </c>
      <c r="AO288" s="19" t="str">
        <f t="shared" si="20"/>
        <v/>
      </c>
      <c r="AP288" s="100"/>
      <c r="AQ288" s="100"/>
    </row>
    <row r="289" spans="1:43" ht="15">
      <c r="A289" s="101"/>
      <c r="B289" s="101"/>
      <c r="G289" s="5" t="str">
        <f ca="1">IFERROR(__xludf.DUMMYFUNCTION("IFERROR(VLOOKUP(F312,IMPORTRANGE(""https://docs.google.com/spreadsheets/d/1Kvs4KS76FHFqLFIZfrDMff4kP08nblUkihrxltoGBjg/edit#gid=934712705"",""ESENCIAL!A6:BG""),3,FALSE))"),"")</f>
        <v/>
      </c>
      <c r="H289" s="5" t="str">
        <f ca="1">IFERROR(__xludf.DUMMYFUNCTION("IFERROR(VLOOKUP(F312,IMPORTRANGE(""https://docs.google.com/spreadsheets/d/1Kvs4KS76FHFqLFIZfrDMff4kP08nblUkihrxltoGBjg/edit#gid=934712705"",""ESENCIAL!A6:BG""),8,FALSE))"),"")</f>
        <v/>
      </c>
      <c r="L289" s="287"/>
      <c r="Z289" s="41" t="str">
        <f t="shared" si="21"/>
        <v/>
      </c>
      <c r="AA289" s="5" t="str">
        <f ca="1">IFERROR(__xludf.DUMMYFUNCTION("IFERROR(VLOOKUP(E312&amp;F312,IMPORTRANGE(""https://docs.google.com/spreadsheets/d/1Uw7-A9f9R21vMXxHZFNpYNeKFtG8_yji4HS352LGlSQ/edit?pli=1#gid=0"",""1_ACUM!A4:S""),11,FALSE))"),"")</f>
        <v/>
      </c>
      <c r="AB289" s="42" t="str">
        <f ca="1">IFERROR(__xludf.DUMMYFUNCTION("IFERROR(VLOOKUP(F312,IMPORTRANGE(""https://docs.google.com/spreadsheets/d/1Kvs4KS76FHFqLFIZfrDMff4kP08nblUkihrxltoGBjg/edit#gid=934712705"",""ESENCIAL!A6:BG""),15,FALSE))"),"")</f>
        <v/>
      </c>
      <c r="AC289" s="110" t="str">
        <f ca="1">IFERROR(__xludf.DUMMYFUNCTION("IFERROR(VLOOKUP(E312&amp;F312,IMPORTRANGE(""https://docs.google.com/spreadsheets/d/1Uw7-A9f9R21vMXxHZFNpYNeKFtG8_yji4HS352LGlSQ/edit?pli=1#gid=0"",""1_ACUM!A4:S""),13,FALSE))"),"")</f>
        <v/>
      </c>
      <c r="AD289" s="43" t="str">
        <f ca="1">IFERROR(__xludf.DUMMYFUNCTION("IFERROR(VLOOKUP(E312&amp;F312,IMPORTRANGE(""https://docs.google.com/spreadsheets/d/1Uw7-A9f9R21vMXxHZFNpYNeKFtG8_yji4HS352LGlSQ/edit?pli=1#gid=0"",""1_ACUM!A4:S""),13,FALSE))"),"")</f>
        <v/>
      </c>
      <c r="AE289" s="43" t="str">
        <f ca="1">IFERROR(__xludf.DUMMYFUNCTION("IFERROR(VLOOKUP(E312&amp;F312,IMPORTRANGE(""https://docs.google.com/spreadsheets/d/1Uw7-A9f9R21vMXxHZFNpYNeKFtG8_yji4HS352LGlSQ/edit?pli=1#gid=0"",""1_ACUM!A4:S""),14,FALSE))"),"")</f>
        <v/>
      </c>
      <c r="AF289" s="43" t="str">
        <f ca="1">IFERROR(__xludf.DUMMYFUNCTION("IFERROR(VLOOKUP(E312&amp;F312,IMPORTRANGE(""https://docs.google.com/spreadsheets/d/1Uw7-A9f9R21vMXxHZFNpYNeKFtG8_yji4HS352LGlSQ/edit?pli=1#gid=0"",""1_ACUM!A4:S""),15,FALSE))"),"")</f>
        <v/>
      </c>
      <c r="AG289" s="43" t="str">
        <f ca="1">IFERROR(__xludf.DUMMYFUNCTION("IFERROR(VLOOKUP(E312&amp;F312,IMPORTRANGE(""https://docs.google.com/spreadsheets/d/1Uw7-A9f9R21vMXxHZFNpYNeKFtG8_yji4HS352LGlSQ/edit?pli=1#gid=0"",""1_ACUM!A4:S""),16,FALSE))"),"")</f>
        <v/>
      </c>
      <c r="AH289" s="43" t="str">
        <f ca="1">IFERROR(__xludf.DUMMYFUNCTION("IFERROR(VLOOKUP(E312&amp;F312,IMPORTRANGE(""https://docs.google.com/spreadsheets/d/1Uw7-A9f9R21vMXxHZFNpYNeKFtG8_yji4HS352LGlSQ/edit?pli=1#gid=0"",""1_ACUM!A4:S""),17,FALSE))"),"")</f>
        <v/>
      </c>
      <c r="AI289" s="44" t="str">
        <f ca="1">IFERROR(__xludf.DUMMYFUNCTION("IFERROR(VLOOKUP(E312&amp;F312,IMPORTRANGE(""https://docs.google.com/spreadsheets/d/1Uw7-A9f9R21vMXxHZFNpYNeKFtG8_yji4HS352LGlSQ/edit?pli=1#gid=0"",""1_ACUM!A4:S""),18,FALSE))"),"")</f>
        <v/>
      </c>
      <c r="AJ289" s="44" t="str">
        <f ca="1">IFERROR(__xludf.DUMMYFUNCTION("IFERROR(VLOOKUP(E312&amp;F312,IMPORTRANGE(""https://docs.google.com/spreadsheets/d/1Uw7-A9f9R21vMXxHZFNpYNeKFtG8_yji4HS352LGlSQ/edit?pli=1#gid=0"",""1_ACUM!A4:S""),19,FALSE))"),"")</f>
        <v/>
      </c>
      <c r="AK289" s="98" t="str">
        <f ca="1">IFERROR(__xludf.DUMMYFUNCTION("IFERROR(VLOOKUP(F312,IMPORTRANGE(""https://docs.google.com/spreadsheets/d/1Kvs4KS76FHFqLFIZfrDMff4kP08nblUkihrxltoGBjg/edit#gid=934712705"",""ESENCIAL!A6:BG""),5,FALSE))"),"")</f>
        <v/>
      </c>
      <c r="AL289" s="98" t="str">
        <f t="shared" si="22"/>
        <v/>
      </c>
      <c r="AM289" s="99" t="str">
        <f t="shared" si="23"/>
        <v/>
      </c>
      <c r="AN289" s="100" t="str">
        <f ca="1">IFERROR(__xludf.DUMMYFUNCTION("IFERROR(VLOOKUP(F312,IMPORTRANGE(""https://docs.google.com/spreadsheets/d/1Kvs4KS76FHFqLFIZfrDMff4kP08nblUkihrxltoGBjg/edit#gid=934712705"",""ESENCIAL!A6:BG""),2,FALSE))"),"")</f>
        <v/>
      </c>
      <c r="AO289" s="19" t="str">
        <f t="shared" si="20"/>
        <v/>
      </c>
      <c r="AP289" s="100"/>
      <c r="AQ289" s="100"/>
    </row>
    <row r="290" spans="1:43" ht="15">
      <c r="A290" s="101"/>
      <c r="B290" s="101"/>
      <c r="G290" s="5" t="str">
        <f ca="1">IFERROR(__xludf.DUMMYFUNCTION("IFERROR(VLOOKUP(F313,IMPORTRANGE(""https://docs.google.com/spreadsheets/d/1Kvs4KS76FHFqLFIZfrDMff4kP08nblUkihrxltoGBjg/edit#gid=934712705"",""ESENCIAL!A6:BG""),3,FALSE))"),"")</f>
        <v/>
      </c>
      <c r="H290" s="5" t="str">
        <f ca="1">IFERROR(__xludf.DUMMYFUNCTION("IFERROR(VLOOKUP(F313,IMPORTRANGE(""https://docs.google.com/spreadsheets/d/1Kvs4KS76FHFqLFIZfrDMff4kP08nblUkihrxltoGBjg/edit#gid=934712705"",""ESENCIAL!A6:BG""),8,FALSE))"),"")</f>
        <v/>
      </c>
      <c r="L290" s="287"/>
      <c r="Z290" s="41" t="str">
        <f t="shared" si="21"/>
        <v/>
      </c>
      <c r="AA290" s="5" t="str">
        <f ca="1">IFERROR(__xludf.DUMMYFUNCTION("IFERROR(VLOOKUP(E313&amp;F313,IMPORTRANGE(""https://docs.google.com/spreadsheets/d/1Uw7-A9f9R21vMXxHZFNpYNeKFtG8_yji4HS352LGlSQ/edit?pli=1#gid=0"",""1_ACUM!A4:S""),11,FALSE))"),"")</f>
        <v/>
      </c>
      <c r="AB290" s="42" t="str">
        <f ca="1">IFERROR(__xludf.DUMMYFUNCTION("IFERROR(VLOOKUP(F313,IMPORTRANGE(""https://docs.google.com/spreadsheets/d/1Kvs4KS76FHFqLFIZfrDMff4kP08nblUkihrxltoGBjg/edit#gid=934712705"",""ESENCIAL!A6:BG""),15,FALSE))"),"")</f>
        <v/>
      </c>
      <c r="AC290" s="110" t="str">
        <f ca="1">IFERROR(__xludf.DUMMYFUNCTION("IFERROR(VLOOKUP(E313&amp;F313,IMPORTRANGE(""https://docs.google.com/spreadsheets/d/1Uw7-A9f9R21vMXxHZFNpYNeKFtG8_yji4HS352LGlSQ/edit?pli=1#gid=0"",""1_ACUM!A4:S""),13,FALSE))"),"")</f>
        <v/>
      </c>
      <c r="AD290" s="43" t="str">
        <f ca="1">IFERROR(__xludf.DUMMYFUNCTION("IFERROR(VLOOKUP(E313&amp;F313,IMPORTRANGE(""https://docs.google.com/spreadsheets/d/1Uw7-A9f9R21vMXxHZFNpYNeKFtG8_yji4HS352LGlSQ/edit?pli=1#gid=0"",""1_ACUM!A4:S""),13,FALSE))"),"")</f>
        <v/>
      </c>
      <c r="AE290" s="43" t="str">
        <f ca="1">IFERROR(__xludf.DUMMYFUNCTION("IFERROR(VLOOKUP(E313&amp;F313,IMPORTRANGE(""https://docs.google.com/spreadsheets/d/1Uw7-A9f9R21vMXxHZFNpYNeKFtG8_yji4HS352LGlSQ/edit?pli=1#gid=0"",""1_ACUM!A4:S""),14,FALSE))"),"")</f>
        <v/>
      </c>
      <c r="AF290" s="43" t="str">
        <f ca="1">IFERROR(__xludf.DUMMYFUNCTION("IFERROR(VLOOKUP(E313&amp;F313,IMPORTRANGE(""https://docs.google.com/spreadsheets/d/1Uw7-A9f9R21vMXxHZFNpYNeKFtG8_yji4HS352LGlSQ/edit?pli=1#gid=0"",""1_ACUM!A4:S""),15,FALSE))"),"")</f>
        <v/>
      </c>
      <c r="AG290" s="43" t="str">
        <f ca="1">IFERROR(__xludf.DUMMYFUNCTION("IFERROR(VLOOKUP(E313&amp;F313,IMPORTRANGE(""https://docs.google.com/spreadsheets/d/1Uw7-A9f9R21vMXxHZFNpYNeKFtG8_yji4HS352LGlSQ/edit?pli=1#gid=0"",""1_ACUM!A4:S""),16,FALSE))"),"")</f>
        <v/>
      </c>
      <c r="AH290" s="43" t="str">
        <f ca="1">IFERROR(__xludf.DUMMYFUNCTION("IFERROR(VLOOKUP(E313&amp;F313,IMPORTRANGE(""https://docs.google.com/spreadsheets/d/1Uw7-A9f9R21vMXxHZFNpYNeKFtG8_yji4HS352LGlSQ/edit?pli=1#gid=0"",""1_ACUM!A4:S""),17,FALSE))"),"")</f>
        <v/>
      </c>
      <c r="AI290" s="44" t="str">
        <f ca="1">IFERROR(__xludf.DUMMYFUNCTION("IFERROR(VLOOKUP(E313&amp;F313,IMPORTRANGE(""https://docs.google.com/spreadsheets/d/1Uw7-A9f9R21vMXxHZFNpYNeKFtG8_yji4HS352LGlSQ/edit?pli=1#gid=0"",""1_ACUM!A4:S""),18,FALSE))"),"")</f>
        <v/>
      </c>
      <c r="AJ290" s="44" t="str">
        <f ca="1">IFERROR(__xludf.DUMMYFUNCTION("IFERROR(VLOOKUP(E313&amp;F313,IMPORTRANGE(""https://docs.google.com/spreadsheets/d/1Uw7-A9f9R21vMXxHZFNpYNeKFtG8_yji4HS352LGlSQ/edit?pli=1#gid=0"",""1_ACUM!A4:S""),19,FALSE))"),"")</f>
        <v/>
      </c>
      <c r="AK290" s="98" t="str">
        <f ca="1">IFERROR(__xludf.DUMMYFUNCTION("IFERROR(VLOOKUP(F313,IMPORTRANGE(""https://docs.google.com/spreadsheets/d/1Kvs4KS76FHFqLFIZfrDMff4kP08nblUkihrxltoGBjg/edit#gid=934712705"",""ESENCIAL!A6:BG""),5,FALSE))"),"")</f>
        <v/>
      </c>
      <c r="AL290" s="98" t="str">
        <f t="shared" si="22"/>
        <v/>
      </c>
      <c r="AM290" s="99" t="str">
        <f t="shared" si="23"/>
        <v/>
      </c>
      <c r="AN290" s="100" t="str">
        <f ca="1">IFERROR(__xludf.DUMMYFUNCTION("IFERROR(VLOOKUP(F313,IMPORTRANGE(""https://docs.google.com/spreadsheets/d/1Kvs4KS76FHFqLFIZfrDMff4kP08nblUkihrxltoGBjg/edit#gid=934712705"",""ESENCIAL!A6:BG""),2,FALSE))"),"")</f>
        <v/>
      </c>
      <c r="AO290" s="19" t="str">
        <f t="shared" si="20"/>
        <v/>
      </c>
      <c r="AP290" s="100"/>
      <c r="AQ290" s="100"/>
    </row>
    <row r="291" spans="1:43" ht="15">
      <c r="A291" s="101"/>
      <c r="B291" s="101"/>
      <c r="G291" s="5" t="str">
        <f ca="1">IFERROR(__xludf.DUMMYFUNCTION("IFERROR(VLOOKUP(F314,IMPORTRANGE(""https://docs.google.com/spreadsheets/d/1Kvs4KS76FHFqLFIZfrDMff4kP08nblUkihrxltoGBjg/edit#gid=934712705"",""ESENCIAL!A6:BG""),3,FALSE))"),"")</f>
        <v/>
      </c>
      <c r="H291" s="5" t="str">
        <f ca="1">IFERROR(__xludf.DUMMYFUNCTION("IFERROR(VLOOKUP(F314,IMPORTRANGE(""https://docs.google.com/spreadsheets/d/1Kvs4KS76FHFqLFIZfrDMff4kP08nblUkihrxltoGBjg/edit#gid=934712705"",""ESENCIAL!A6:BG""),8,FALSE))"),"")</f>
        <v/>
      </c>
      <c r="L291" s="287"/>
      <c r="Z291" s="41" t="str">
        <f t="shared" si="21"/>
        <v/>
      </c>
      <c r="AA291" s="5" t="str">
        <f ca="1">IFERROR(__xludf.DUMMYFUNCTION("IFERROR(VLOOKUP(E314&amp;F314,IMPORTRANGE(""https://docs.google.com/spreadsheets/d/1Uw7-A9f9R21vMXxHZFNpYNeKFtG8_yji4HS352LGlSQ/edit?pli=1#gid=0"",""1_ACUM!A4:S""),11,FALSE))"),"")</f>
        <v/>
      </c>
      <c r="AB291" s="42" t="str">
        <f ca="1">IFERROR(__xludf.DUMMYFUNCTION("IFERROR(VLOOKUP(F314,IMPORTRANGE(""https://docs.google.com/spreadsheets/d/1Kvs4KS76FHFqLFIZfrDMff4kP08nblUkihrxltoGBjg/edit#gid=934712705"",""ESENCIAL!A6:BG""),15,FALSE))"),"")</f>
        <v/>
      </c>
      <c r="AC291" s="110" t="str">
        <f ca="1">IFERROR(__xludf.DUMMYFUNCTION("IFERROR(VLOOKUP(E314&amp;F314,IMPORTRANGE(""https://docs.google.com/spreadsheets/d/1Uw7-A9f9R21vMXxHZFNpYNeKFtG8_yji4HS352LGlSQ/edit?pli=1#gid=0"",""1_ACUM!A4:S""),13,FALSE))"),"")</f>
        <v/>
      </c>
      <c r="AD291" s="43" t="str">
        <f ca="1">IFERROR(__xludf.DUMMYFUNCTION("IFERROR(VLOOKUP(E314&amp;F314,IMPORTRANGE(""https://docs.google.com/spreadsheets/d/1Uw7-A9f9R21vMXxHZFNpYNeKFtG8_yji4HS352LGlSQ/edit?pli=1#gid=0"",""1_ACUM!A4:S""),13,FALSE))"),"")</f>
        <v/>
      </c>
      <c r="AE291" s="43" t="str">
        <f ca="1">IFERROR(__xludf.DUMMYFUNCTION("IFERROR(VLOOKUP(E314&amp;F314,IMPORTRANGE(""https://docs.google.com/spreadsheets/d/1Uw7-A9f9R21vMXxHZFNpYNeKFtG8_yji4HS352LGlSQ/edit?pli=1#gid=0"",""1_ACUM!A4:S""),14,FALSE))"),"")</f>
        <v/>
      </c>
      <c r="AF291" s="43" t="str">
        <f ca="1">IFERROR(__xludf.DUMMYFUNCTION("IFERROR(VLOOKUP(E314&amp;F314,IMPORTRANGE(""https://docs.google.com/spreadsheets/d/1Uw7-A9f9R21vMXxHZFNpYNeKFtG8_yji4HS352LGlSQ/edit?pli=1#gid=0"",""1_ACUM!A4:S""),15,FALSE))"),"")</f>
        <v/>
      </c>
      <c r="AG291" s="43" t="str">
        <f ca="1">IFERROR(__xludf.DUMMYFUNCTION("IFERROR(VLOOKUP(E314&amp;F314,IMPORTRANGE(""https://docs.google.com/spreadsheets/d/1Uw7-A9f9R21vMXxHZFNpYNeKFtG8_yji4HS352LGlSQ/edit?pli=1#gid=0"",""1_ACUM!A4:S""),16,FALSE))"),"")</f>
        <v/>
      </c>
      <c r="AH291" s="43" t="str">
        <f ca="1">IFERROR(__xludf.DUMMYFUNCTION("IFERROR(VLOOKUP(E314&amp;F314,IMPORTRANGE(""https://docs.google.com/spreadsheets/d/1Uw7-A9f9R21vMXxHZFNpYNeKFtG8_yji4HS352LGlSQ/edit?pli=1#gid=0"",""1_ACUM!A4:S""),17,FALSE))"),"")</f>
        <v/>
      </c>
      <c r="AI291" s="44" t="str">
        <f ca="1">IFERROR(__xludf.DUMMYFUNCTION("IFERROR(VLOOKUP(E314&amp;F314,IMPORTRANGE(""https://docs.google.com/spreadsheets/d/1Uw7-A9f9R21vMXxHZFNpYNeKFtG8_yji4HS352LGlSQ/edit?pli=1#gid=0"",""1_ACUM!A4:S""),18,FALSE))"),"")</f>
        <v/>
      </c>
      <c r="AJ291" s="44" t="str">
        <f ca="1">IFERROR(__xludf.DUMMYFUNCTION("IFERROR(VLOOKUP(E314&amp;F314,IMPORTRANGE(""https://docs.google.com/spreadsheets/d/1Uw7-A9f9R21vMXxHZFNpYNeKFtG8_yji4HS352LGlSQ/edit?pli=1#gid=0"",""1_ACUM!A4:S""),19,FALSE))"),"")</f>
        <v/>
      </c>
      <c r="AK291" s="98" t="str">
        <f ca="1">IFERROR(__xludf.DUMMYFUNCTION("IFERROR(VLOOKUP(F314,IMPORTRANGE(""https://docs.google.com/spreadsheets/d/1Kvs4KS76FHFqLFIZfrDMff4kP08nblUkihrxltoGBjg/edit#gid=934712705"",""ESENCIAL!A6:BG""),5,FALSE))"),"")</f>
        <v/>
      </c>
      <c r="AL291" s="98" t="str">
        <f t="shared" si="22"/>
        <v/>
      </c>
      <c r="AM291" s="99" t="str">
        <f t="shared" si="23"/>
        <v/>
      </c>
      <c r="AN291" s="100" t="str">
        <f ca="1">IFERROR(__xludf.DUMMYFUNCTION("IFERROR(VLOOKUP(F314,IMPORTRANGE(""https://docs.google.com/spreadsheets/d/1Kvs4KS76FHFqLFIZfrDMff4kP08nblUkihrxltoGBjg/edit#gid=934712705"",""ESENCIAL!A6:BG""),2,FALSE))"),"")</f>
        <v/>
      </c>
      <c r="AO291" s="19" t="str">
        <f t="shared" si="20"/>
        <v/>
      </c>
      <c r="AP291" s="100"/>
      <c r="AQ291" s="100"/>
    </row>
    <row r="292" spans="1:43" ht="15">
      <c r="A292" s="101"/>
      <c r="B292" s="101"/>
      <c r="G292" s="5" t="str">
        <f ca="1">IFERROR(__xludf.DUMMYFUNCTION("IFERROR(VLOOKUP(F315,IMPORTRANGE(""https://docs.google.com/spreadsheets/d/1Kvs4KS76FHFqLFIZfrDMff4kP08nblUkihrxltoGBjg/edit#gid=934712705"",""ESENCIAL!A6:BG""),3,FALSE))"),"")</f>
        <v/>
      </c>
      <c r="H292" s="5" t="str">
        <f ca="1">IFERROR(__xludf.DUMMYFUNCTION("IFERROR(VLOOKUP(F315,IMPORTRANGE(""https://docs.google.com/spreadsheets/d/1Kvs4KS76FHFqLFIZfrDMff4kP08nblUkihrxltoGBjg/edit#gid=934712705"",""ESENCIAL!A6:BG""),8,FALSE))"),"")</f>
        <v/>
      </c>
      <c r="L292" s="287"/>
      <c r="Z292" s="41" t="str">
        <f t="shared" si="21"/>
        <v/>
      </c>
      <c r="AA292" s="5" t="str">
        <f ca="1">IFERROR(__xludf.DUMMYFUNCTION("IFERROR(VLOOKUP(E315&amp;F315,IMPORTRANGE(""https://docs.google.com/spreadsheets/d/1Uw7-A9f9R21vMXxHZFNpYNeKFtG8_yji4HS352LGlSQ/edit?pli=1#gid=0"",""1_ACUM!A4:S""),11,FALSE))"),"")</f>
        <v/>
      </c>
      <c r="AB292" s="42" t="str">
        <f ca="1">IFERROR(__xludf.DUMMYFUNCTION("IFERROR(VLOOKUP(F315,IMPORTRANGE(""https://docs.google.com/spreadsheets/d/1Kvs4KS76FHFqLFIZfrDMff4kP08nblUkihrxltoGBjg/edit#gid=934712705"",""ESENCIAL!A6:BG""),15,FALSE))"),"")</f>
        <v/>
      </c>
      <c r="AC292" s="110" t="str">
        <f ca="1">IFERROR(__xludf.DUMMYFUNCTION("IFERROR(VLOOKUP(E315&amp;F315,IMPORTRANGE(""https://docs.google.com/spreadsheets/d/1Uw7-A9f9R21vMXxHZFNpYNeKFtG8_yji4HS352LGlSQ/edit?pli=1#gid=0"",""1_ACUM!A4:S""),13,FALSE))"),"")</f>
        <v/>
      </c>
      <c r="AD292" s="43" t="str">
        <f ca="1">IFERROR(__xludf.DUMMYFUNCTION("IFERROR(VLOOKUP(E315&amp;F315,IMPORTRANGE(""https://docs.google.com/spreadsheets/d/1Uw7-A9f9R21vMXxHZFNpYNeKFtG8_yji4HS352LGlSQ/edit?pli=1#gid=0"",""1_ACUM!A4:S""),13,FALSE))"),"")</f>
        <v/>
      </c>
      <c r="AE292" s="43" t="str">
        <f ca="1">IFERROR(__xludf.DUMMYFUNCTION("IFERROR(VLOOKUP(E315&amp;F315,IMPORTRANGE(""https://docs.google.com/spreadsheets/d/1Uw7-A9f9R21vMXxHZFNpYNeKFtG8_yji4HS352LGlSQ/edit?pli=1#gid=0"",""1_ACUM!A4:S""),14,FALSE))"),"")</f>
        <v/>
      </c>
      <c r="AF292" s="43" t="str">
        <f ca="1">IFERROR(__xludf.DUMMYFUNCTION("IFERROR(VLOOKUP(E315&amp;F315,IMPORTRANGE(""https://docs.google.com/spreadsheets/d/1Uw7-A9f9R21vMXxHZFNpYNeKFtG8_yji4HS352LGlSQ/edit?pli=1#gid=0"",""1_ACUM!A4:S""),15,FALSE))"),"")</f>
        <v/>
      </c>
      <c r="AG292" s="43" t="str">
        <f ca="1">IFERROR(__xludf.DUMMYFUNCTION("IFERROR(VLOOKUP(E315&amp;F315,IMPORTRANGE(""https://docs.google.com/spreadsheets/d/1Uw7-A9f9R21vMXxHZFNpYNeKFtG8_yji4HS352LGlSQ/edit?pli=1#gid=0"",""1_ACUM!A4:S""),16,FALSE))"),"")</f>
        <v/>
      </c>
      <c r="AH292" s="43" t="str">
        <f ca="1">IFERROR(__xludf.DUMMYFUNCTION("IFERROR(VLOOKUP(E315&amp;F315,IMPORTRANGE(""https://docs.google.com/spreadsheets/d/1Uw7-A9f9R21vMXxHZFNpYNeKFtG8_yji4HS352LGlSQ/edit?pli=1#gid=0"",""1_ACUM!A4:S""),17,FALSE))"),"")</f>
        <v/>
      </c>
      <c r="AI292" s="44" t="str">
        <f ca="1">IFERROR(__xludf.DUMMYFUNCTION("IFERROR(VLOOKUP(E315&amp;F315,IMPORTRANGE(""https://docs.google.com/spreadsheets/d/1Uw7-A9f9R21vMXxHZFNpYNeKFtG8_yji4HS352LGlSQ/edit?pli=1#gid=0"",""1_ACUM!A4:S""),18,FALSE))"),"")</f>
        <v/>
      </c>
      <c r="AJ292" s="44" t="str">
        <f ca="1">IFERROR(__xludf.DUMMYFUNCTION("IFERROR(VLOOKUP(E315&amp;F315,IMPORTRANGE(""https://docs.google.com/spreadsheets/d/1Uw7-A9f9R21vMXxHZFNpYNeKFtG8_yji4HS352LGlSQ/edit?pli=1#gid=0"",""1_ACUM!A4:S""),19,FALSE))"),"")</f>
        <v/>
      </c>
      <c r="AK292" s="98" t="str">
        <f ca="1">IFERROR(__xludf.DUMMYFUNCTION("IFERROR(VLOOKUP(F315,IMPORTRANGE(""https://docs.google.com/spreadsheets/d/1Kvs4KS76FHFqLFIZfrDMff4kP08nblUkihrxltoGBjg/edit#gid=934712705"",""ESENCIAL!A6:BG""),5,FALSE))"),"")</f>
        <v/>
      </c>
      <c r="AL292" s="98" t="str">
        <f t="shared" si="22"/>
        <v/>
      </c>
      <c r="AM292" s="99" t="str">
        <f t="shared" si="23"/>
        <v/>
      </c>
      <c r="AN292" s="100" t="str">
        <f ca="1">IFERROR(__xludf.DUMMYFUNCTION("IFERROR(VLOOKUP(F315,IMPORTRANGE(""https://docs.google.com/spreadsheets/d/1Kvs4KS76FHFqLFIZfrDMff4kP08nblUkihrxltoGBjg/edit#gid=934712705"",""ESENCIAL!A6:BG""),2,FALSE))"),"")</f>
        <v/>
      </c>
      <c r="AO292" s="19" t="str">
        <f t="shared" si="20"/>
        <v/>
      </c>
      <c r="AP292" s="100"/>
      <c r="AQ292" s="100"/>
    </row>
    <row r="293" spans="1:43" ht="15">
      <c r="A293" s="101"/>
      <c r="B293" s="101"/>
      <c r="G293" s="5" t="str">
        <f ca="1">IFERROR(__xludf.DUMMYFUNCTION("IFERROR(VLOOKUP(F316,IMPORTRANGE(""https://docs.google.com/spreadsheets/d/1Kvs4KS76FHFqLFIZfrDMff4kP08nblUkihrxltoGBjg/edit#gid=934712705"",""ESENCIAL!A6:BG""),3,FALSE))"),"")</f>
        <v/>
      </c>
      <c r="H293" s="5" t="str">
        <f ca="1">IFERROR(__xludf.DUMMYFUNCTION("IFERROR(VLOOKUP(F316,IMPORTRANGE(""https://docs.google.com/spreadsheets/d/1Kvs4KS76FHFqLFIZfrDMff4kP08nblUkihrxltoGBjg/edit#gid=934712705"",""ESENCIAL!A6:BG""),8,FALSE))"),"")</f>
        <v/>
      </c>
      <c r="L293" s="287"/>
      <c r="Z293" s="41" t="str">
        <f t="shared" si="21"/>
        <v/>
      </c>
      <c r="AA293" s="5" t="str">
        <f ca="1">IFERROR(__xludf.DUMMYFUNCTION("IFERROR(VLOOKUP(E316&amp;F316,IMPORTRANGE(""https://docs.google.com/spreadsheets/d/1Uw7-A9f9R21vMXxHZFNpYNeKFtG8_yji4HS352LGlSQ/edit?pli=1#gid=0"",""1_ACUM!A4:S""),11,FALSE))"),"")</f>
        <v/>
      </c>
      <c r="AB293" s="42" t="str">
        <f ca="1">IFERROR(__xludf.DUMMYFUNCTION("IFERROR(VLOOKUP(F316,IMPORTRANGE(""https://docs.google.com/spreadsheets/d/1Kvs4KS76FHFqLFIZfrDMff4kP08nblUkihrxltoGBjg/edit#gid=934712705"",""ESENCIAL!A6:BG""),15,FALSE))"),"")</f>
        <v/>
      </c>
      <c r="AC293" s="110" t="str">
        <f ca="1">IFERROR(__xludf.DUMMYFUNCTION("IFERROR(VLOOKUP(E316&amp;F316,IMPORTRANGE(""https://docs.google.com/spreadsheets/d/1Uw7-A9f9R21vMXxHZFNpYNeKFtG8_yji4HS352LGlSQ/edit?pli=1#gid=0"",""1_ACUM!A4:S""),13,FALSE))"),"")</f>
        <v/>
      </c>
      <c r="AD293" s="43" t="str">
        <f ca="1">IFERROR(__xludf.DUMMYFUNCTION("IFERROR(VLOOKUP(E316&amp;F316,IMPORTRANGE(""https://docs.google.com/spreadsheets/d/1Uw7-A9f9R21vMXxHZFNpYNeKFtG8_yji4HS352LGlSQ/edit?pli=1#gid=0"",""1_ACUM!A4:S""),13,FALSE))"),"")</f>
        <v/>
      </c>
      <c r="AE293" s="43" t="str">
        <f ca="1">IFERROR(__xludf.DUMMYFUNCTION("IFERROR(VLOOKUP(E316&amp;F316,IMPORTRANGE(""https://docs.google.com/spreadsheets/d/1Uw7-A9f9R21vMXxHZFNpYNeKFtG8_yji4HS352LGlSQ/edit?pli=1#gid=0"",""1_ACUM!A4:S""),14,FALSE))"),"")</f>
        <v/>
      </c>
      <c r="AF293" s="43" t="str">
        <f ca="1">IFERROR(__xludf.DUMMYFUNCTION("IFERROR(VLOOKUP(E316&amp;F316,IMPORTRANGE(""https://docs.google.com/spreadsheets/d/1Uw7-A9f9R21vMXxHZFNpYNeKFtG8_yji4HS352LGlSQ/edit?pli=1#gid=0"",""1_ACUM!A4:S""),15,FALSE))"),"")</f>
        <v/>
      </c>
      <c r="AG293" s="43" t="str">
        <f ca="1">IFERROR(__xludf.DUMMYFUNCTION("IFERROR(VLOOKUP(E316&amp;F316,IMPORTRANGE(""https://docs.google.com/spreadsheets/d/1Uw7-A9f9R21vMXxHZFNpYNeKFtG8_yji4HS352LGlSQ/edit?pli=1#gid=0"",""1_ACUM!A4:S""),16,FALSE))"),"")</f>
        <v/>
      </c>
      <c r="AH293" s="43" t="str">
        <f ca="1">IFERROR(__xludf.DUMMYFUNCTION("IFERROR(VLOOKUP(E316&amp;F316,IMPORTRANGE(""https://docs.google.com/spreadsheets/d/1Uw7-A9f9R21vMXxHZFNpYNeKFtG8_yji4HS352LGlSQ/edit?pli=1#gid=0"",""1_ACUM!A4:S""),17,FALSE))"),"")</f>
        <v/>
      </c>
      <c r="AI293" s="44" t="str">
        <f ca="1">IFERROR(__xludf.DUMMYFUNCTION("IFERROR(VLOOKUP(E316&amp;F316,IMPORTRANGE(""https://docs.google.com/spreadsheets/d/1Uw7-A9f9R21vMXxHZFNpYNeKFtG8_yji4HS352LGlSQ/edit?pli=1#gid=0"",""1_ACUM!A4:S""),18,FALSE))"),"")</f>
        <v/>
      </c>
      <c r="AJ293" s="44" t="str">
        <f ca="1">IFERROR(__xludf.DUMMYFUNCTION("IFERROR(VLOOKUP(E316&amp;F316,IMPORTRANGE(""https://docs.google.com/spreadsheets/d/1Uw7-A9f9R21vMXxHZFNpYNeKFtG8_yji4HS352LGlSQ/edit?pli=1#gid=0"",""1_ACUM!A4:S""),19,FALSE))"),"")</f>
        <v/>
      </c>
      <c r="AK293" s="98" t="str">
        <f ca="1">IFERROR(__xludf.DUMMYFUNCTION("IFERROR(VLOOKUP(F316,IMPORTRANGE(""https://docs.google.com/spreadsheets/d/1Kvs4KS76FHFqLFIZfrDMff4kP08nblUkihrxltoGBjg/edit#gid=934712705"",""ESENCIAL!A6:BG""),5,FALSE))"),"")</f>
        <v/>
      </c>
      <c r="AL293" s="98" t="str">
        <f t="shared" si="22"/>
        <v/>
      </c>
      <c r="AM293" s="99" t="str">
        <f t="shared" si="23"/>
        <v/>
      </c>
      <c r="AN293" s="100" t="str">
        <f ca="1">IFERROR(__xludf.DUMMYFUNCTION("IFERROR(VLOOKUP(F316,IMPORTRANGE(""https://docs.google.com/spreadsheets/d/1Kvs4KS76FHFqLFIZfrDMff4kP08nblUkihrxltoGBjg/edit#gid=934712705"",""ESENCIAL!A6:BG""),2,FALSE))"),"")</f>
        <v/>
      </c>
      <c r="AO293" s="19" t="str">
        <f t="shared" si="20"/>
        <v/>
      </c>
      <c r="AP293" s="100"/>
      <c r="AQ293" s="100"/>
    </row>
    <row r="294" spans="1:43" ht="15">
      <c r="A294" s="101"/>
      <c r="B294" s="101"/>
      <c r="G294" s="5" t="str">
        <f ca="1">IFERROR(__xludf.DUMMYFUNCTION("IFERROR(VLOOKUP(F317,IMPORTRANGE(""https://docs.google.com/spreadsheets/d/1Kvs4KS76FHFqLFIZfrDMff4kP08nblUkihrxltoGBjg/edit#gid=934712705"",""ESENCIAL!A6:BG""),3,FALSE))"),"")</f>
        <v/>
      </c>
      <c r="H294" s="5" t="str">
        <f ca="1">IFERROR(__xludf.DUMMYFUNCTION("IFERROR(VLOOKUP(F317,IMPORTRANGE(""https://docs.google.com/spreadsheets/d/1Kvs4KS76FHFqLFIZfrDMff4kP08nblUkihrxltoGBjg/edit#gid=934712705"",""ESENCIAL!A6:BG""),8,FALSE))"),"")</f>
        <v/>
      </c>
      <c r="L294" s="287"/>
      <c r="Z294" s="41" t="str">
        <f t="shared" si="21"/>
        <v/>
      </c>
      <c r="AA294" s="5" t="str">
        <f ca="1">IFERROR(__xludf.DUMMYFUNCTION("IFERROR(VLOOKUP(E317&amp;F317,IMPORTRANGE(""https://docs.google.com/spreadsheets/d/1Uw7-A9f9R21vMXxHZFNpYNeKFtG8_yji4HS352LGlSQ/edit?pli=1#gid=0"",""1_ACUM!A4:S""),11,FALSE))"),"")</f>
        <v/>
      </c>
      <c r="AB294" s="42" t="str">
        <f ca="1">IFERROR(__xludf.DUMMYFUNCTION("IFERROR(VLOOKUP(F317,IMPORTRANGE(""https://docs.google.com/spreadsheets/d/1Kvs4KS76FHFqLFIZfrDMff4kP08nblUkihrxltoGBjg/edit#gid=934712705"",""ESENCIAL!A6:BG""),15,FALSE))"),"")</f>
        <v/>
      </c>
      <c r="AC294" s="110" t="str">
        <f ca="1">IFERROR(__xludf.DUMMYFUNCTION("IFERROR(VLOOKUP(E317&amp;F317,IMPORTRANGE(""https://docs.google.com/spreadsheets/d/1Uw7-A9f9R21vMXxHZFNpYNeKFtG8_yji4HS352LGlSQ/edit?pli=1#gid=0"",""1_ACUM!A4:S""),13,FALSE))"),"")</f>
        <v/>
      </c>
      <c r="AD294" s="43" t="str">
        <f ca="1">IFERROR(__xludf.DUMMYFUNCTION("IFERROR(VLOOKUP(E317&amp;F317,IMPORTRANGE(""https://docs.google.com/spreadsheets/d/1Uw7-A9f9R21vMXxHZFNpYNeKFtG8_yji4HS352LGlSQ/edit?pli=1#gid=0"",""1_ACUM!A4:S""),13,FALSE))"),"")</f>
        <v/>
      </c>
      <c r="AE294" s="43" t="str">
        <f ca="1">IFERROR(__xludf.DUMMYFUNCTION("IFERROR(VLOOKUP(E317&amp;F317,IMPORTRANGE(""https://docs.google.com/spreadsheets/d/1Uw7-A9f9R21vMXxHZFNpYNeKFtG8_yji4HS352LGlSQ/edit?pli=1#gid=0"",""1_ACUM!A4:S""),14,FALSE))"),"")</f>
        <v/>
      </c>
      <c r="AF294" s="43" t="str">
        <f ca="1">IFERROR(__xludf.DUMMYFUNCTION("IFERROR(VLOOKUP(E317&amp;F317,IMPORTRANGE(""https://docs.google.com/spreadsheets/d/1Uw7-A9f9R21vMXxHZFNpYNeKFtG8_yji4HS352LGlSQ/edit?pli=1#gid=0"",""1_ACUM!A4:S""),15,FALSE))"),"")</f>
        <v/>
      </c>
      <c r="AG294" s="43" t="str">
        <f ca="1">IFERROR(__xludf.DUMMYFUNCTION("IFERROR(VLOOKUP(E317&amp;F317,IMPORTRANGE(""https://docs.google.com/spreadsheets/d/1Uw7-A9f9R21vMXxHZFNpYNeKFtG8_yji4HS352LGlSQ/edit?pli=1#gid=0"",""1_ACUM!A4:S""),16,FALSE))"),"")</f>
        <v/>
      </c>
      <c r="AH294" s="43" t="str">
        <f ca="1">IFERROR(__xludf.DUMMYFUNCTION("IFERROR(VLOOKUP(E317&amp;F317,IMPORTRANGE(""https://docs.google.com/spreadsheets/d/1Uw7-A9f9R21vMXxHZFNpYNeKFtG8_yji4HS352LGlSQ/edit?pli=1#gid=0"",""1_ACUM!A4:S""),17,FALSE))"),"")</f>
        <v/>
      </c>
      <c r="AI294" s="44" t="str">
        <f ca="1">IFERROR(__xludf.DUMMYFUNCTION("IFERROR(VLOOKUP(E317&amp;F317,IMPORTRANGE(""https://docs.google.com/spreadsheets/d/1Uw7-A9f9R21vMXxHZFNpYNeKFtG8_yji4HS352LGlSQ/edit?pli=1#gid=0"",""1_ACUM!A4:S""),18,FALSE))"),"")</f>
        <v/>
      </c>
      <c r="AJ294" s="44" t="str">
        <f ca="1">IFERROR(__xludf.DUMMYFUNCTION("IFERROR(VLOOKUP(E317&amp;F317,IMPORTRANGE(""https://docs.google.com/spreadsheets/d/1Uw7-A9f9R21vMXxHZFNpYNeKFtG8_yji4HS352LGlSQ/edit?pli=1#gid=0"",""1_ACUM!A4:S""),19,FALSE))"),"")</f>
        <v/>
      </c>
      <c r="AK294" s="98" t="str">
        <f ca="1">IFERROR(__xludf.DUMMYFUNCTION("IFERROR(VLOOKUP(F317,IMPORTRANGE(""https://docs.google.com/spreadsheets/d/1Kvs4KS76FHFqLFIZfrDMff4kP08nblUkihrxltoGBjg/edit#gid=934712705"",""ESENCIAL!A6:BG""),5,FALSE))"),"")</f>
        <v/>
      </c>
      <c r="AL294" s="98" t="str">
        <f t="shared" si="22"/>
        <v/>
      </c>
      <c r="AM294" s="99" t="str">
        <f t="shared" si="23"/>
        <v/>
      </c>
      <c r="AN294" s="100" t="str">
        <f ca="1">IFERROR(__xludf.DUMMYFUNCTION("IFERROR(VLOOKUP(F317,IMPORTRANGE(""https://docs.google.com/spreadsheets/d/1Kvs4KS76FHFqLFIZfrDMff4kP08nblUkihrxltoGBjg/edit#gid=934712705"",""ESENCIAL!A6:BG""),2,FALSE))"),"")</f>
        <v/>
      </c>
      <c r="AO294" s="19" t="str">
        <f t="shared" si="20"/>
        <v/>
      </c>
      <c r="AP294" s="100"/>
      <c r="AQ294" s="100"/>
    </row>
    <row r="295" spans="1:43" ht="15">
      <c r="A295" s="101"/>
      <c r="B295" s="101"/>
      <c r="G295" s="5" t="str">
        <f ca="1">IFERROR(__xludf.DUMMYFUNCTION("IFERROR(VLOOKUP(F318,IMPORTRANGE(""https://docs.google.com/spreadsheets/d/1Kvs4KS76FHFqLFIZfrDMff4kP08nblUkihrxltoGBjg/edit#gid=934712705"",""ESENCIAL!A6:BG""),3,FALSE))"),"")</f>
        <v/>
      </c>
      <c r="H295" s="5" t="str">
        <f ca="1">IFERROR(__xludf.DUMMYFUNCTION("IFERROR(VLOOKUP(F318,IMPORTRANGE(""https://docs.google.com/spreadsheets/d/1Kvs4KS76FHFqLFIZfrDMff4kP08nblUkihrxltoGBjg/edit#gid=934712705"",""ESENCIAL!A6:BG""),8,FALSE))"),"")</f>
        <v/>
      </c>
      <c r="L295" s="287"/>
      <c r="Z295" s="41" t="str">
        <f t="shared" si="21"/>
        <v/>
      </c>
      <c r="AA295" s="5" t="str">
        <f ca="1">IFERROR(__xludf.DUMMYFUNCTION("IFERROR(VLOOKUP(E318&amp;F318,IMPORTRANGE(""https://docs.google.com/spreadsheets/d/1Uw7-A9f9R21vMXxHZFNpYNeKFtG8_yji4HS352LGlSQ/edit?pli=1#gid=0"",""1_ACUM!A4:S""),11,FALSE))"),"")</f>
        <v/>
      </c>
      <c r="AB295" s="42" t="str">
        <f ca="1">IFERROR(__xludf.DUMMYFUNCTION("IFERROR(VLOOKUP(F318,IMPORTRANGE(""https://docs.google.com/spreadsheets/d/1Kvs4KS76FHFqLFIZfrDMff4kP08nblUkihrxltoGBjg/edit#gid=934712705"",""ESENCIAL!A6:BG""),15,FALSE))"),"")</f>
        <v/>
      </c>
      <c r="AC295" s="110" t="str">
        <f ca="1">IFERROR(__xludf.DUMMYFUNCTION("IFERROR(VLOOKUP(E318&amp;F318,IMPORTRANGE(""https://docs.google.com/spreadsheets/d/1Uw7-A9f9R21vMXxHZFNpYNeKFtG8_yji4HS352LGlSQ/edit?pli=1#gid=0"",""1_ACUM!A4:S""),13,FALSE))"),"")</f>
        <v/>
      </c>
      <c r="AD295" s="43" t="str">
        <f ca="1">IFERROR(__xludf.DUMMYFUNCTION("IFERROR(VLOOKUP(E318&amp;F318,IMPORTRANGE(""https://docs.google.com/spreadsheets/d/1Uw7-A9f9R21vMXxHZFNpYNeKFtG8_yji4HS352LGlSQ/edit?pli=1#gid=0"",""1_ACUM!A4:S""),13,FALSE))"),"")</f>
        <v/>
      </c>
      <c r="AE295" s="43" t="str">
        <f ca="1">IFERROR(__xludf.DUMMYFUNCTION("IFERROR(VLOOKUP(E318&amp;F318,IMPORTRANGE(""https://docs.google.com/spreadsheets/d/1Uw7-A9f9R21vMXxHZFNpYNeKFtG8_yji4HS352LGlSQ/edit?pli=1#gid=0"",""1_ACUM!A4:S""),14,FALSE))"),"")</f>
        <v/>
      </c>
      <c r="AF295" s="43" t="str">
        <f ca="1">IFERROR(__xludf.DUMMYFUNCTION("IFERROR(VLOOKUP(E318&amp;F318,IMPORTRANGE(""https://docs.google.com/spreadsheets/d/1Uw7-A9f9R21vMXxHZFNpYNeKFtG8_yji4HS352LGlSQ/edit?pli=1#gid=0"",""1_ACUM!A4:S""),15,FALSE))"),"")</f>
        <v/>
      </c>
      <c r="AG295" s="43" t="str">
        <f ca="1">IFERROR(__xludf.DUMMYFUNCTION("IFERROR(VLOOKUP(E318&amp;F318,IMPORTRANGE(""https://docs.google.com/spreadsheets/d/1Uw7-A9f9R21vMXxHZFNpYNeKFtG8_yji4HS352LGlSQ/edit?pli=1#gid=0"",""1_ACUM!A4:S""),16,FALSE))"),"")</f>
        <v/>
      </c>
      <c r="AH295" s="43" t="str">
        <f ca="1">IFERROR(__xludf.DUMMYFUNCTION("IFERROR(VLOOKUP(E318&amp;F318,IMPORTRANGE(""https://docs.google.com/spreadsheets/d/1Uw7-A9f9R21vMXxHZFNpYNeKFtG8_yji4HS352LGlSQ/edit?pli=1#gid=0"",""1_ACUM!A4:S""),17,FALSE))"),"")</f>
        <v/>
      </c>
      <c r="AI295" s="44" t="str">
        <f ca="1">IFERROR(__xludf.DUMMYFUNCTION("IFERROR(VLOOKUP(E318&amp;F318,IMPORTRANGE(""https://docs.google.com/spreadsheets/d/1Uw7-A9f9R21vMXxHZFNpYNeKFtG8_yji4HS352LGlSQ/edit?pli=1#gid=0"",""1_ACUM!A4:S""),18,FALSE))"),"")</f>
        <v/>
      </c>
      <c r="AJ295" s="44" t="str">
        <f ca="1">IFERROR(__xludf.DUMMYFUNCTION("IFERROR(VLOOKUP(E318&amp;F318,IMPORTRANGE(""https://docs.google.com/spreadsheets/d/1Uw7-A9f9R21vMXxHZFNpYNeKFtG8_yji4HS352LGlSQ/edit?pli=1#gid=0"",""1_ACUM!A4:S""),19,FALSE))"),"")</f>
        <v/>
      </c>
      <c r="AK295" s="98" t="str">
        <f ca="1">IFERROR(__xludf.DUMMYFUNCTION("IFERROR(VLOOKUP(F318,IMPORTRANGE(""https://docs.google.com/spreadsheets/d/1Kvs4KS76FHFqLFIZfrDMff4kP08nblUkihrxltoGBjg/edit#gid=934712705"",""ESENCIAL!A6:BG""),5,FALSE))"),"")</f>
        <v/>
      </c>
      <c r="AL295" s="98" t="str">
        <f t="shared" si="22"/>
        <v/>
      </c>
      <c r="AM295" s="99" t="str">
        <f t="shared" si="23"/>
        <v/>
      </c>
      <c r="AN295" s="100" t="str">
        <f ca="1">IFERROR(__xludf.DUMMYFUNCTION("IFERROR(VLOOKUP(F318,IMPORTRANGE(""https://docs.google.com/spreadsheets/d/1Kvs4KS76FHFqLFIZfrDMff4kP08nblUkihrxltoGBjg/edit#gid=934712705"",""ESENCIAL!A6:BG""),2,FALSE))"),"")</f>
        <v/>
      </c>
      <c r="AO295" s="19" t="str">
        <f t="shared" si="20"/>
        <v/>
      </c>
      <c r="AP295" s="100"/>
      <c r="AQ295" s="100"/>
    </row>
    <row r="296" spans="1:43" ht="15">
      <c r="A296" s="101"/>
      <c r="B296" s="101"/>
      <c r="G296" s="5" t="str">
        <f ca="1">IFERROR(__xludf.DUMMYFUNCTION("IFERROR(VLOOKUP(F319,IMPORTRANGE(""https://docs.google.com/spreadsheets/d/1Kvs4KS76FHFqLFIZfrDMff4kP08nblUkihrxltoGBjg/edit#gid=934712705"",""ESENCIAL!A6:BG""),3,FALSE))"),"")</f>
        <v/>
      </c>
      <c r="H296" s="5" t="str">
        <f ca="1">IFERROR(__xludf.DUMMYFUNCTION("IFERROR(VLOOKUP(F319,IMPORTRANGE(""https://docs.google.com/spreadsheets/d/1Kvs4KS76FHFqLFIZfrDMff4kP08nblUkihrxltoGBjg/edit#gid=934712705"",""ESENCIAL!A6:BG""),8,FALSE))"),"")</f>
        <v/>
      </c>
      <c r="L296" s="287"/>
      <c r="Z296" s="41" t="str">
        <f t="shared" si="21"/>
        <v/>
      </c>
      <c r="AA296" s="5" t="str">
        <f ca="1">IFERROR(__xludf.DUMMYFUNCTION("IFERROR(VLOOKUP(E319&amp;F319,IMPORTRANGE(""https://docs.google.com/spreadsheets/d/1Uw7-A9f9R21vMXxHZFNpYNeKFtG8_yji4HS352LGlSQ/edit?pli=1#gid=0"",""1_ACUM!A4:S""),11,FALSE))"),"")</f>
        <v/>
      </c>
      <c r="AB296" s="42" t="str">
        <f ca="1">IFERROR(__xludf.DUMMYFUNCTION("IFERROR(VLOOKUP(F319,IMPORTRANGE(""https://docs.google.com/spreadsheets/d/1Kvs4KS76FHFqLFIZfrDMff4kP08nblUkihrxltoGBjg/edit#gid=934712705"",""ESENCIAL!A6:BG""),15,FALSE))"),"")</f>
        <v/>
      </c>
      <c r="AC296" s="110" t="str">
        <f ca="1">IFERROR(__xludf.DUMMYFUNCTION("IFERROR(VLOOKUP(E319&amp;F319,IMPORTRANGE(""https://docs.google.com/spreadsheets/d/1Uw7-A9f9R21vMXxHZFNpYNeKFtG8_yji4HS352LGlSQ/edit?pli=1#gid=0"",""1_ACUM!A4:S""),13,FALSE))"),"")</f>
        <v/>
      </c>
      <c r="AD296" s="43" t="str">
        <f ca="1">IFERROR(__xludf.DUMMYFUNCTION("IFERROR(VLOOKUP(E319&amp;F319,IMPORTRANGE(""https://docs.google.com/spreadsheets/d/1Uw7-A9f9R21vMXxHZFNpYNeKFtG8_yji4HS352LGlSQ/edit?pli=1#gid=0"",""1_ACUM!A4:S""),13,FALSE))"),"")</f>
        <v/>
      </c>
      <c r="AE296" s="43" t="str">
        <f ca="1">IFERROR(__xludf.DUMMYFUNCTION("IFERROR(VLOOKUP(E319&amp;F319,IMPORTRANGE(""https://docs.google.com/spreadsheets/d/1Uw7-A9f9R21vMXxHZFNpYNeKFtG8_yji4HS352LGlSQ/edit?pli=1#gid=0"",""1_ACUM!A4:S""),14,FALSE))"),"")</f>
        <v/>
      </c>
      <c r="AF296" s="43" t="str">
        <f ca="1">IFERROR(__xludf.DUMMYFUNCTION("IFERROR(VLOOKUP(E319&amp;F319,IMPORTRANGE(""https://docs.google.com/spreadsheets/d/1Uw7-A9f9R21vMXxHZFNpYNeKFtG8_yji4HS352LGlSQ/edit?pli=1#gid=0"",""1_ACUM!A4:S""),15,FALSE))"),"")</f>
        <v/>
      </c>
      <c r="AG296" s="43" t="str">
        <f ca="1">IFERROR(__xludf.DUMMYFUNCTION("IFERROR(VLOOKUP(E319&amp;F319,IMPORTRANGE(""https://docs.google.com/spreadsheets/d/1Uw7-A9f9R21vMXxHZFNpYNeKFtG8_yji4HS352LGlSQ/edit?pli=1#gid=0"",""1_ACUM!A4:S""),16,FALSE))"),"")</f>
        <v/>
      </c>
      <c r="AH296" s="43" t="str">
        <f ca="1">IFERROR(__xludf.DUMMYFUNCTION("IFERROR(VLOOKUP(E319&amp;F319,IMPORTRANGE(""https://docs.google.com/spreadsheets/d/1Uw7-A9f9R21vMXxHZFNpYNeKFtG8_yji4HS352LGlSQ/edit?pli=1#gid=0"",""1_ACUM!A4:S""),17,FALSE))"),"")</f>
        <v/>
      </c>
      <c r="AI296" s="44" t="str">
        <f ca="1">IFERROR(__xludf.DUMMYFUNCTION("IFERROR(VLOOKUP(E319&amp;F319,IMPORTRANGE(""https://docs.google.com/spreadsheets/d/1Uw7-A9f9R21vMXxHZFNpYNeKFtG8_yji4HS352LGlSQ/edit?pli=1#gid=0"",""1_ACUM!A4:S""),18,FALSE))"),"")</f>
        <v/>
      </c>
      <c r="AJ296" s="44" t="str">
        <f ca="1">IFERROR(__xludf.DUMMYFUNCTION("IFERROR(VLOOKUP(E319&amp;F319,IMPORTRANGE(""https://docs.google.com/spreadsheets/d/1Uw7-A9f9R21vMXxHZFNpYNeKFtG8_yji4HS352LGlSQ/edit?pli=1#gid=0"",""1_ACUM!A4:S""),19,FALSE))"),"")</f>
        <v/>
      </c>
      <c r="AK296" s="98" t="str">
        <f ca="1">IFERROR(__xludf.DUMMYFUNCTION("IFERROR(VLOOKUP(F319,IMPORTRANGE(""https://docs.google.com/spreadsheets/d/1Kvs4KS76FHFqLFIZfrDMff4kP08nblUkihrxltoGBjg/edit#gid=934712705"",""ESENCIAL!A6:BG""),5,FALSE))"),"")</f>
        <v/>
      </c>
      <c r="AL296" s="98" t="str">
        <f t="shared" si="22"/>
        <v/>
      </c>
      <c r="AM296" s="99" t="str">
        <f t="shared" si="23"/>
        <v/>
      </c>
      <c r="AN296" s="100" t="str">
        <f ca="1">IFERROR(__xludf.DUMMYFUNCTION("IFERROR(VLOOKUP(F319,IMPORTRANGE(""https://docs.google.com/spreadsheets/d/1Kvs4KS76FHFqLFIZfrDMff4kP08nblUkihrxltoGBjg/edit#gid=934712705"",""ESENCIAL!A6:BG""),2,FALSE))"),"")</f>
        <v/>
      </c>
      <c r="AO296" s="19" t="str">
        <f t="shared" si="20"/>
        <v/>
      </c>
      <c r="AP296" s="100"/>
      <c r="AQ296" s="100"/>
    </row>
    <row r="297" spans="1:43" ht="15">
      <c r="A297" s="101"/>
      <c r="B297" s="101"/>
      <c r="G297" s="5" t="str">
        <f ca="1">IFERROR(__xludf.DUMMYFUNCTION("IFERROR(VLOOKUP(F320,IMPORTRANGE(""https://docs.google.com/spreadsheets/d/1Kvs4KS76FHFqLFIZfrDMff4kP08nblUkihrxltoGBjg/edit#gid=934712705"",""ESENCIAL!A6:BG""),3,FALSE))"),"")</f>
        <v/>
      </c>
      <c r="H297" s="5" t="str">
        <f ca="1">IFERROR(__xludf.DUMMYFUNCTION("IFERROR(VLOOKUP(F320,IMPORTRANGE(""https://docs.google.com/spreadsheets/d/1Kvs4KS76FHFqLFIZfrDMff4kP08nblUkihrxltoGBjg/edit#gid=934712705"",""ESENCIAL!A6:BG""),8,FALSE))"),"")</f>
        <v/>
      </c>
      <c r="L297" s="287"/>
      <c r="Z297" s="41" t="str">
        <f t="shared" si="21"/>
        <v/>
      </c>
      <c r="AA297" s="5" t="str">
        <f ca="1">IFERROR(__xludf.DUMMYFUNCTION("IFERROR(VLOOKUP(E320&amp;F320,IMPORTRANGE(""https://docs.google.com/spreadsheets/d/1Uw7-A9f9R21vMXxHZFNpYNeKFtG8_yji4HS352LGlSQ/edit?pli=1#gid=0"",""1_ACUM!A4:S""),11,FALSE))"),"")</f>
        <v/>
      </c>
      <c r="AB297" s="42" t="str">
        <f ca="1">IFERROR(__xludf.DUMMYFUNCTION("IFERROR(VLOOKUP(F320,IMPORTRANGE(""https://docs.google.com/spreadsheets/d/1Kvs4KS76FHFqLFIZfrDMff4kP08nblUkihrxltoGBjg/edit#gid=934712705"",""ESENCIAL!A6:BG""),15,FALSE))"),"")</f>
        <v/>
      </c>
      <c r="AC297" s="110" t="str">
        <f ca="1">IFERROR(__xludf.DUMMYFUNCTION("IFERROR(VLOOKUP(E320&amp;F320,IMPORTRANGE(""https://docs.google.com/spreadsheets/d/1Uw7-A9f9R21vMXxHZFNpYNeKFtG8_yji4HS352LGlSQ/edit?pli=1#gid=0"",""1_ACUM!A4:S""),13,FALSE))"),"")</f>
        <v/>
      </c>
      <c r="AD297" s="43" t="str">
        <f ca="1">IFERROR(__xludf.DUMMYFUNCTION("IFERROR(VLOOKUP(E320&amp;F320,IMPORTRANGE(""https://docs.google.com/spreadsheets/d/1Uw7-A9f9R21vMXxHZFNpYNeKFtG8_yji4HS352LGlSQ/edit?pli=1#gid=0"",""1_ACUM!A4:S""),13,FALSE))"),"")</f>
        <v/>
      </c>
      <c r="AE297" s="43" t="str">
        <f ca="1">IFERROR(__xludf.DUMMYFUNCTION("IFERROR(VLOOKUP(E320&amp;F320,IMPORTRANGE(""https://docs.google.com/spreadsheets/d/1Uw7-A9f9R21vMXxHZFNpYNeKFtG8_yji4HS352LGlSQ/edit?pli=1#gid=0"",""1_ACUM!A4:S""),14,FALSE))"),"")</f>
        <v/>
      </c>
      <c r="AF297" s="43" t="str">
        <f ca="1">IFERROR(__xludf.DUMMYFUNCTION("IFERROR(VLOOKUP(E320&amp;F320,IMPORTRANGE(""https://docs.google.com/spreadsheets/d/1Uw7-A9f9R21vMXxHZFNpYNeKFtG8_yji4HS352LGlSQ/edit?pli=1#gid=0"",""1_ACUM!A4:S""),15,FALSE))"),"")</f>
        <v/>
      </c>
      <c r="AG297" s="43" t="str">
        <f ca="1">IFERROR(__xludf.DUMMYFUNCTION("IFERROR(VLOOKUP(E320&amp;F320,IMPORTRANGE(""https://docs.google.com/spreadsheets/d/1Uw7-A9f9R21vMXxHZFNpYNeKFtG8_yji4HS352LGlSQ/edit?pli=1#gid=0"",""1_ACUM!A4:S""),16,FALSE))"),"")</f>
        <v/>
      </c>
      <c r="AH297" s="43" t="str">
        <f ca="1">IFERROR(__xludf.DUMMYFUNCTION("IFERROR(VLOOKUP(E320&amp;F320,IMPORTRANGE(""https://docs.google.com/spreadsheets/d/1Uw7-A9f9R21vMXxHZFNpYNeKFtG8_yji4HS352LGlSQ/edit?pli=1#gid=0"",""1_ACUM!A4:S""),17,FALSE))"),"")</f>
        <v/>
      </c>
      <c r="AI297" s="44" t="str">
        <f ca="1">IFERROR(__xludf.DUMMYFUNCTION("IFERROR(VLOOKUP(E320&amp;F320,IMPORTRANGE(""https://docs.google.com/spreadsheets/d/1Uw7-A9f9R21vMXxHZFNpYNeKFtG8_yji4HS352LGlSQ/edit?pli=1#gid=0"",""1_ACUM!A4:S""),18,FALSE))"),"")</f>
        <v/>
      </c>
      <c r="AJ297" s="44" t="str">
        <f ca="1">IFERROR(__xludf.DUMMYFUNCTION("IFERROR(VLOOKUP(E320&amp;F320,IMPORTRANGE(""https://docs.google.com/spreadsheets/d/1Uw7-A9f9R21vMXxHZFNpYNeKFtG8_yji4HS352LGlSQ/edit?pli=1#gid=0"",""1_ACUM!A4:S""),19,FALSE))"),"")</f>
        <v/>
      </c>
      <c r="AK297" s="98" t="str">
        <f ca="1">IFERROR(__xludf.DUMMYFUNCTION("IFERROR(VLOOKUP(F320,IMPORTRANGE(""https://docs.google.com/spreadsheets/d/1Kvs4KS76FHFqLFIZfrDMff4kP08nblUkihrxltoGBjg/edit#gid=934712705"",""ESENCIAL!A6:BG""),5,FALSE))"),"")</f>
        <v/>
      </c>
      <c r="AL297" s="98" t="str">
        <f t="shared" si="22"/>
        <v/>
      </c>
      <c r="AM297" s="99" t="str">
        <f t="shared" si="23"/>
        <v/>
      </c>
      <c r="AN297" s="100" t="str">
        <f ca="1">IFERROR(__xludf.DUMMYFUNCTION("IFERROR(VLOOKUP(F320,IMPORTRANGE(""https://docs.google.com/spreadsheets/d/1Kvs4KS76FHFqLFIZfrDMff4kP08nblUkihrxltoGBjg/edit#gid=934712705"",""ESENCIAL!A6:BG""),2,FALSE))"),"")</f>
        <v/>
      </c>
      <c r="AO297" s="19" t="str">
        <f t="shared" si="20"/>
        <v/>
      </c>
      <c r="AP297" s="100"/>
      <c r="AQ297" s="100"/>
    </row>
    <row r="298" spans="1:43" ht="15">
      <c r="A298" s="101"/>
      <c r="B298" s="101"/>
      <c r="G298" s="5" t="str">
        <f ca="1">IFERROR(__xludf.DUMMYFUNCTION("IFERROR(VLOOKUP(F321,IMPORTRANGE(""https://docs.google.com/spreadsheets/d/1Kvs4KS76FHFqLFIZfrDMff4kP08nblUkihrxltoGBjg/edit#gid=934712705"",""ESENCIAL!A6:BG""),3,FALSE))"),"")</f>
        <v/>
      </c>
      <c r="H298" s="5" t="str">
        <f ca="1">IFERROR(__xludf.DUMMYFUNCTION("IFERROR(VLOOKUP(F321,IMPORTRANGE(""https://docs.google.com/spreadsheets/d/1Kvs4KS76FHFqLFIZfrDMff4kP08nblUkihrxltoGBjg/edit#gid=934712705"",""ESENCIAL!A6:BG""),8,FALSE))"),"")</f>
        <v/>
      </c>
      <c r="L298" s="287"/>
      <c r="Z298" s="41" t="str">
        <f t="shared" si="21"/>
        <v/>
      </c>
      <c r="AA298" s="5" t="str">
        <f ca="1">IFERROR(__xludf.DUMMYFUNCTION("IFERROR(VLOOKUP(E321&amp;F321,IMPORTRANGE(""https://docs.google.com/spreadsheets/d/1Uw7-A9f9R21vMXxHZFNpYNeKFtG8_yji4HS352LGlSQ/edit?pli=1#gid=0"",""1_ACUM!A4:S""),11,FALSE))"),"")</f>
        <v/>
      </c>
      <c r="AB298" s="42" t="str">
        <f ca="1">IFERROR(__xludf.DUMMYFUNCTION("IFERROR(VLOOKUP(F321,IMPORTRANGE(""https://docs.google.com/spreadsheets/d/1Kvs4KS76FHFqLFIZfrDMff4kP08nblUkihrxltoGBjg/edit#gid=934712705"",""ESENCIAL!A6:BG""),15,FALSE))"),"")</f>
        <v/>
      </c>
      <c r="AC298" s="110" t="str">
        <f ca="1">IFERROR(__xludf.DUMMYFUNCTION("IFERROR(VLOOKUP(E321&amp;F321,IMPORTRANGE(""https://docs.google.com/spreadsheets/d/1Uw7-A9f9R21vMXxHZFNpYNeKFtG8_yji4HS352LGlSQ/edit?pli=1#gid=0"",""1_ACUM!A4:S""),13,FALSE))"),"")</f>
        <v/>
      </c>
      <c r="AD298" s="43" t="str">
        <f ca="1">IFERROR(__xludf.DUMMYFUNCTION("IFERROR(VLOOKUP(E321&amp;F321,IMPORTRANGE(""https://docs.google.com/spreadsheets/d/1Uw7-A9f9R21vMXxHZFNpYNeKFtG8_yji4HS352LGlSQ/edit?pli=1#gid=0"",""1_ACUM!A4:S""),13,FALSE))"),"")</f>
        <v/>
      </c>
      <c r="AE298" s="43" t="str">
        <f ca="1">IFERROR(__xludf.DUMMYFUNCTION("IFERROR(VLOOKUP(E321&amp;F321,IMPORTRANGE(""https://docs.google.com/spreadsheets/d/1Uw7-A9f9R21vMXxHZFNpYNeKFtG8_yji4HS352LGlSQ/edit?pli=1#gid=0"",""1_ACUM!A4:S""),14,FALSE))"),"")</f>
        <v/>
      </c>
      <c r="AF298" s="43" t="str">
        <f ca="1">IFERROR(__xludf.DUMMYFUNCTION("IFERROR(VLOOKUP(E321&amp;F321,IMPORTRANGE(""https://docs.google.com/spreadsheets/d/1Uw7-A9f9R21vMXxHZFNpYNeKFtG8_yji4HS352LGlSQ/edit?pli=1#gid=0"",""1_ACUM!A4:S""),15,FALSE))"),"")</f>
        <v/>
      </c>
      <c r="AG298" s="43" t="str">
        <f ca="1">IFERROR(__xludf.DUMMYFUNCTION("IFERROR(VLOOKUP(E321&amp;F321,IMPORTRANGE(""https://docs.google.com/spreadsheets/d/1Uw7-A9f9R21vMXxHZFNpYNeKFtG8_yji4HS352LGlSQ/edit?pli=1#gid=0"",""1_ACUM!A4:S""),16,FALSE))"),"")</f>
        <v/>
      </c>
      <c r="AH298" s="43" t="str">
        <f ca="1">IFERROR(__xludf.DUMMYFUNCTION("IFERROR(VLOOKUP(E321&amp;F321,IMPORTRANGE(""https://docs.google.com/spreadsheets/d/1Uw7-A9f9R21vMXxHZFNpYNeKFtG8_yji4HS352LGlSQ/edit?pli=1#gid=0"",""1_ACUM!A4:S""),17,FALSE))"),"")</f>
        <v/>
      </c>
      <c r="AI298" s="44" t="str">
        <f ca="1">IFERROR(__xludf.DUMMYFUNCTION("IFERROR(VLOOKUP(E321&amp;F321,IMPORTRANGE(""https://docs.google.com/spreadsheets/d/1Uw7-A9f9R21vMXxHZFNpYNeKFtG8_yji4HS352LGlSQ/edit?pli=1#gid=0"",""1_ACUM!A4:S""),18,FALSE))"),"")</f>
        <v/>
      </c>
      <c r="AJ298" s="44" t="str">
        <f ca="1">IFERROR(__xludf.DUMMYFUNCTION("IFERROR(VLOOKUP(E321&amp;F321,IMPORTRANGE(""https://docs.google.com/spreadsheets/d/1Uw7-A9f9R21vMXxHZFNpYNeKFtG8_yji4HS352LGlSQ/edit?pli=1#gid=0"",""1_ACUM!A4:S""),19,FALSE))"),"")</f>
        <v/>
      </c>
      <c r="AK298" s="98" t="str">
        <f ca="1">IFERROR(__xludf.DUMMYFUNCTION("IFERROR(VLOOKUP(F321,IMPORTRANGE(""https://docs.google.com/spreadsheets/d/1Kvs4KS76FHFqLFIZfrDMff4kP08nblUkihrxltoGBjg/edit#gid=934712705"",""ESENCIAL!A6:BG""),5,FALSE))"),"")</f>
        <v/>
      </c>
      <c r="AL298" s="98" t="str">
        <f t="shared" si="22"/>
        <v/>
      </c>
      <c r="AM298" s="99" t="str">
        <f t="shared" si="23"/>
        <v/>
      </c>
      <c r="AN298" s="100" t="str">
        <f ca="1">IFERROR(__xludf.DUMMYFUNCTION("IFERROR(VLOOKUP(F321,IMPORTRANGE(""https://docs.google.com/spreadsheets/d/1Kvs4KS76FHFqLFIZfrDMff4kP08nblUkihrxltoGBjg/edit#gid=934712705"",""ESENCIAL!A6:BG""),2,FALSE))"),"")</f>
        <v/>
      </c>
      <c r="AO298" s="19" t="str">
        <f t="shared" si="20"/>
        <v/>
      </c>
      <c r="AP298" s="100"/>
      <c r="AQ298" s="100"/>
    </row>
    <row r="299" spans="1:43" ht="15">
      <c r="A299" s="101"/>
      <c r="B299" s="101"/>
      <c r="G299" s="5" t="str">
        <f ca="1">IFERROR(__xludf.DUMMYFUNCTION("IFERROR(VLOOKUP(F322,IMPORTRANGE(""https://docs.google.com/spreadsheets/d/1Kvs4KS76FHFqLFIZfrDMff4kP08nblUkihrxltoGBjg/edit#gid=934712705"",""ESENCIAL!A6:BG""),3,FALSE))"),"")</f>
        <v/>
      </c>
      <c r="H299" s="5" t="str">
        <f ca="1">IFERROR(__xludf.DUMMYFUNCTION("IFERROR(VLOOKUP(F322,IMPORTRANGE(""https://docs.google.com/spreadsheets/d/1Kvs4KS76FHFqLFIZfrDMff4kP08nblUkihrxltoGBjg/edit#gid=934712705"",""ESENCIAL!A6:BG""),8,FALSE))"),"")</f>
        <v/>
      </c>
      <c r="L299" s="287"/>
      <c r="Z299" s="41" t="str">
        <f t="shared" si="21"/>
        <v/>
      </c>
      <c r="AA299" s="5" t="str">
        <f ca="1">IFERROR(__xludf.DUMMYFUNCTION("IFERROR(VLOOKUP(E322&amp;F322,IMPORTRANGE(""https://docs.google.com/spreadsheets/d/1Uw7-A9f9R21vMXxHZFNpYNeKFtG8_yji4HS352LGlSQ/edit?pli=1#gid=0"",""1_ACUM!A4:S""),11,FALSE))"),"")</f>
        <v/>
      </c>
      <c r="AB299" s="42" t="str">
        <f ca="1">IFERROR(__xludf.DUMMYFUNCTION("IFERROR(VLOOKUP(F322,IMPORTRANGE(""https://docs.google.com/spreadsheets/d/1Kvs4KS76FHFqLFIZfrDMff4kP08nblUkihrxltoGBjg/edit#gid=934712705"",""ESENCIAL!A6:BG""),15,FALSE))"),"")</f>
        <v/>
      </c>
      <c r="AC299" s="110" t="str">
        <f ca="1">IFERROR(__xludf.DUMMYFUNCTION("IFERROR(VLOOKUP(E322&amp;F322,IMPORTRANGE(""https://docs.google.com/spreadsheets/d/1Uw7-A9f9R21vMXxHZFNpYNeKFtG8_yji4HS352LGlSQ/edit?pli=1#gid=0"",""1_ACUM!A4:S""),13,FALSE))"),"")</f>
        <v/>
      </c>
      <c r="AD299" s="43" t="str">
        <f ca="1">IFERROR(__xludf.DUMMYFUNCTION("IFERROR(VLOOKUP(E322&amp;F322,IMPORTRANGE(""https://docs.google.com/spreadsheets/d/1Uw7-A9f9R21vMXxHZFNpYNeKFtG8_yji4HS352LGlSQ/edit?pli=1#gid=0"",""1_ACUM!A4:S""),13,FALSE))"),"")</f>
        <v/>
      </c>
      <c r="AE299" s="43" t="str">
        <f ca="1">IFERROR(__xludf.DUMMYFUNCTION("IFERROR(VLOOKUP(E322&amp;F322,IMPORTRANGE(""https://docs.google.com/spreadsheets/d/1Uw7-A9f9R21vMXxHZFNpYNeKFtG8_yji4HS352LGlSQ/edit?pli=1#gid=0"",""1_ACUM!A4:S""),14,FALSE))"),"")</f>
        <v/>
      </c>
      <c r="AF299" s="43" t="str">
        <f ca="1">IFERROR(__xludf.DUMMYFUNCTION("IFERROR(VLOOKUP(E322&amp;F322,IMPORTRANGE(""https://docs.google.com/spreadsheets/d/1Uw7-A9f9R21vMXxHZFNpYNeKFtG8_yji4HS352LGlSQ/edit?pli=1#gid=0"",""1_ACUM!A4:S""),15,FALSE))"),"")</f>
        <v/>
      </c>
      <c r="AG299" s="43" t="str">
        <f ca="1">IFERROR(__xludf.DUMMYFUNCTION("IFERROR(VLOOKUP(E322&amp;F322,IMPORTRANGE(""https://docs.google.com/spreadsheets/d/1Uw7-A9f9R21vMXxHZFNpYNeKFtG8_yji4HS352LGlSQ/edit?pli=1#gid=0"",""1_ACUM!A4:S""),16,FALSE))"),"")</f>
        <v/>
      </c>
      <c r="AH299" s="43" t="str">
        <f ca="1">IFERROR(__xludf.DUMMYFUNCTION("IFERROR(VLOOKUP(E322&amp;F322,IMPORTRANGE(""https://docs.google.com/spreadsheets/d/1Uw7-A9f9R21vMXxHZFNpYNeKFtG8_yji4HS352LGlSQ/edit?pli=1#gid=0"",""1_ACUM!A4:S""),17,FALSE))"),"")</f>
        <v/>
      </c>
      <c r="AI299" s="44" t="str">
        <f ca="1">IFERROR(__xludf.DUMMYFUNCTION("IFERROR(VLOOKUP(E322&amp;F322,IMPORTRANGE(""https://docs.google.com/spreadsheets/d/1Uw7-A9f9R21vMXxHZFNpYNeKFtG8_yji4HS352LGlSQ/edit?pli=1#gid=0"",""1_ACUM!A4:S""),18,FALSE))"),"")</f>
        <v/>
      </c>
      <c r="AJ299" s="44" t="str">
        <f ca="1">IFERROR(__xludf.DUMMYFUNCTION("IFERROR(VLOOKUP(E322&amp;F322,IMPORTRANGE(""https://docs.google.com/spreadsheets/d/1Uw7-A9f9R21vMXxHZFNpYNeKFtG8_yji4HS352LGlSQ/edit?pli=1#gid=0"",""1_ACUM!A4:S""),19,FALSE))"),"")</f>
        <v/>
      </c>
      <c r="AK299" s="98" t="str">
        <f ca="1">IFERROR(__xludf.DUMMYFUNCTION("IFERROR(VLOOKUP(F322,IMPORTRANGE(""https://docs.google.com/spreadsheets/d/1Kvs4KS76FHFqLFIZfrDMff4kP08nblUkihrxltoGBjg/edit#gid=934712705"",""ESENCIAL!A6:BG""),5,FALSE))"),"")</f>
        <v/>
      </c>
      <c r="AL299" s="98" t="str">
        <f t="shared" si="22"/>
        <v/>
      </c>
      <c r="AM299" s="99" t="str">
        <f t="shared" si="23"/>
        <v/>
      </c>
      <c r="AN299" s="100" t="str">
        <f ca="1">IFERROR(__xludf.DUMMYFUNCTION("IFERROR(VLOOKUP(F322,IMPORTRANGE(""https://docs.google.com/spreadsheets/d/1Kvs4KS76FHFqLFIZfrDMff4kP08nblUkihrxltoGBjg/edit#gid=934712705"",""ESENCIAL!A6:BG""),2,FALSE))"),"")</f>
        <v/>
      </c>
      <c r="AO299" s="19" t="str">
        <f t="shared" si="20"/>
        <v/>
      </c>
      <c r="AP299" s="100"/>
      <c r="AQ299" s="100"/>
    </row>
    <row r="300" spans="1:43" ht="15">
      <c r="A300" s="101"/>
      <c r="B300" s="101"/>
      <c r="G300" s="5" t="str">
        <f ca="1">IFERROR(__xludf.DUMMYFUNCTION("IFERROR(VLOOKUP(F323,IMPORTRANGE(""https://docs.google.com/spreadsheets/d/1Kvs4KS76FHFqLFIZfrDMff4kP08nblUkihrxltoGBjg/edit#gid=934712705"",""ESENCIAL!A6:BG""),3,FALSE))"),"")</f>
        <v/>
      </c>
      <c r="H300" s="5" t="str">
        <f ca="1">IFERROR(__xludf.DUMMYFUNCTION("IFERROR(VLOOKUP(F323,IMPORTRANGE(""https://docs.google.com/spreadsheets/d/1Kvs4KS76FHFqLFIZfrDMff4kP08nblUkihrxltoGBjg/edit#gid=934712705"",""ESENCIAL!A6:BG""),8,FALSE))"),"")</f>
        <v/>
      </c>
      <c r="L300" s="287"/>
      <c r="Z300" s="41" t="str">
        <f t="shared" si="21"/>
        <v/>
      </c>
      <c r="AA300" s="5" t="str">
        <f ca="1">IFERROR(__xludf.DUMMYFUNCTION("IFERROR(VLOOKUP(E323&amp;F323,IMPORTRANGE(""https://docs.google.com/spreadsheets/d/1Uw7-A9f9R21vMXxHZFNpYNeKFtG8_yji4HS352LGlSQ/edit?pli=1#gid=0"",""1_ACUM!A4:S""),11,FALSE))"),"")</f>
        <v/>
      </c>
      <c r="AB300" s="42" t="str">
        <f ca="1">IFERROR(__xludf.DUMMYFUNCTION("IFERROR(VLOOKUP(F323,IMPORTRANGE(""https://docs.google.com/spreadsheets/d/1Kvs4KS76FHFqLFIZfrDMff4kP08nblUkihrxltoGBjg/edit#gid=934712705"",""ESENCIAL!A6:BG""),15,FALSE))"),"")</f>
        <v/>
      </c>
      <c r="AC300" s="110" t="str">
        <f ca="1">IFERROR(__xludf.DUMMYFUNCTION("IFERROR(VLOOKUP(E323&amp;F323,IMPORTRANGE(""https://docs.google.com/spreadsheets/d/1Uw7-A9f9R21vMXxHZFNpYNeKFtG8_yji4HS352LGlSQ/edit?pli=1#gid=0"",""1_ACUM!A4:S""),13,FALSE))"),"")</f>
        <v/>
      </c>
      <c r="AD300" s="43" t="str">
        <f ca="1">IFERROR(__xludf.DUMMYFUNCTION("IFERROR(VLOOKUP(E323&amp;F323,IMPORTRANGE(""https://docs.google.com/spreadsheets/d/1Uw7-A9f9R21vMXxHZFNpYNeKFtG8_yji4HS352LGlSQ/edit?pli=1#gid=0"",""1_ACUM!A4:S""),13,FALSE))"),"")</f>
        <v/>
      </c>
      <c r="AE300" s="43" t="str">
        <f ca="1">IFERROR(__xludf.DUMMYFUNCTION("IFERROR(VLOOKUP(E323&amp;F323,IMPORTRANGE(""https://docs.google.com/spreadsheets/d/1Uw7-A9f9R21vMXxHZFNpYNeKFtG8_yji4HS352LGlSQ/edit?pli=1#gid=0"",""1_ACUM!A4:S""),14,FALSE))"),"")</f>
        <v/>
      </c>
      <c r="AF300" s="43" t="str">
        <f ca="1">IFERROR(__xludf.DUMMYFUNCTION("IFERROR(VLOOKUP(E323&amp;F323,IMPORTRANGE(""https://docs.google.com/spreadsheets/d/1Uw7-A9f9R21vMXxHZFNpYNeKFtG8_yji4HS352LGlSQ/edit?pli=1#gid=0"",""1_ACUM!A4:S""),15,FALSE))"),"")</f>
        <v/>
      </c>
      <c r="AG300" s="43" t="str">
        <f ca="1">IFERROR(__xludf.DUMMYFUNCTION("IFERROR(VLOOKUP(E323&amp;F323,IMPORTRANGE(""https://docs.google.com/spreadsheets/d/1Uw7-A9f9R21vMXxHZFNpYNeKFtG8_yji4HS352LGlSQ/edit?pli=1#gid=0"",""1_ACUM!A4:S""),16,FALSE))"),"")</f>
        <v/>
      </c>
      <c r="AH300" s="43" t="str">
        <f ca="1">IFERROR(__xludf.DUMMYFUNCTION("IFERROR(VLOOKUP(E323&amp;F323,IMPORTRANGE(""https://docs.google.com/spreadsheets/d/1Uw7-A9f9R21vMXxHZFNpYNeKFtG8_yji4HS352LGlSQ/edit?pli=1#gid=0"",""1_ACUM!A4:S""),17,FALSE))"),"")</f>
        <v/>
      </c>
      <c r="AI300" s="44" t="str">
        <f ca="1">IFERROR(__xludf.DUMMYFUNCTION("IFERROR(VLOOKUP(E323&amp;F323,IMPORTRANGE(""https://docs.google.com/spreadsheets/d/1Uw7-A9f9R21vMXxHZFNpYNeKFtG8_yji4HS352LGlSQ/edit?pli=1#gid=0"",""1_ACUM!A4:S""),18,FALSE))"),"")</f>
        <v/>
      </c>
      <c r="AJ300" s="44" t="str">
        <f ca="1">IFERROR(__xludf.DUMMYFUNCTION("IFERROR(VLOOKUP(E323&amp;F323,IMPORTRANGE(""https://docs.google.com/spreadsheets/d/1Uw7-A9f9R21vMXxHZFNpYNeKFtG8_yji4HS352LGlSQ/edit?pli=1#gid=0"",""1_ACUM!A4:S""),19,FALSE))"),"")</f>
        <v/>
      </c>
      <c r="AK300" s="98" t="str">
        <f ca="1">IFERROR(__xludf.DUMMYFUNCTION("IFERROR(VLOOKUP(F323,IMPORTRANGE(""https://docs.google.com/spreadsheets/d/1Kvs4KS76FHFqLFIZfrDMff4kP08nblUkihrxltoGBjg/edit#gid=934712705"",""ESENCIAL!A6:BG""),5,FALSE))"),"")</f>
        <v/>
      </c>
      <c r="AL300" s="98" t="str">
        <f t="shared" si="22"/>
        <v/>
      </c>
      <c r="AM300" s="99" t="str">
        <f t="shared" si="23"/>
        <v/>
      </c>
      <c r="AN300" s="100" t="str">
        <f ca="1">IFERROR(__xludf.DUMMYFUNCTION("IFERROR(VLOOKUP(F323,IMPORTRANGE(""https://docs.google.com/spreadsheets/d/1Kvs4KS76FHFqLFIZfrDMff4kP08nblUkihrxltoGBjg/edit#gid=934712705"",""ESENCIAL!A6:BG""),2,FALSE))"),"")</f>
        <v/>
      </c>
      <c r="AO300" s="19" t="str">
        <f t="shared" si="20"/>
        <v/>
      </c>
      <c r="AP300" s="100"/>
      <c r="AQ300" s="100"/>
    </row>
    <row r="301" spans="1:43" ht="15">
      <c r="A301" s="101"/>
      <c r="B301" s="101"/>
      <c r="G301" s="5" t="str">
        <f ca="1">IFERROR(__xludf.DUMMYFUNCTION("IFERROR(VLOOKUP(F324,IMPORTRANGE(""https://docs.google.com/spreadsheets/d/1Kvs4KS76FHFqLFIZfrDMff4kP08nblUkihrxltoGBjg/edit#gid=934712705"",""ESENCIAL!A6:BG""),3,FALSE))"),"")</f>
        <v/>
      </c>
      <c r="H301" s="5" t="str">
        <f ca="1">IFERROR(__xludf.DUMMYFUNCTION("IFERROR(VLOOKUP(F324,IMPORTRANGE(""https://docs.google.com/spreadsheets/d/1Kvs4KS76FHFqLFIZfrDMff4kP08nblUkihrxltoGBjg/edit#gid=934712705"",""ESENCIAL!A6:BG""),8,FALSE))"),"")</f>
        <v/>
      </c>
      <c r="L301" s="287"/>
      <c r="Z301" s="41" t="str">
        <f t="shared" si="21"/>
        <v/>
      </c>
      <c r="AA301" s="5" t="str">
        <f ca="1">IFERROR(__xludf.DUMMYFUNCTION("IFERROR(VLOOKUP(E324&amp;F324,IMPORTRANGE(""https://docs.google.com/spreadsheets/d/1Uw7-A9f9R21vMXxHZFNpYNeKFtG8_yji4HS352LGlSQ/edit?pli=1#gid=0"",""1_ACUM!A4:S""),11,FALSE))"),"")</f>
        <v/>
      </c>
      <c r="AB301" s="42" t="str">
        <f ca="1">IFERROR(__xludf.DUMMYFUNCTION("IFERROR(VLOOKUP(F324,IMPORTRANGE(""https://docs.google.com/spreadsheets/d/1Kvs4KS76FHFqLFIZfrDMff4kP08nblUkihrxltoGBjg/edit#gid=934712705"",""ESENCIAL!A6:BG""),15,FALSE))"),"")</f>
        <v/>
      </c>
      <c r="AC301" s="110" t="str">
        <f ca="1">IFERROR(__xludf.DUMMYFUNCTION("IFERROR(VLOOKUP(E324&amp;F324,IMPORTRANGE(""https://docs.google.com/spreadsheets/d/1Uw7-A9f9R21vMXxHZFNpYNeKFtG8_yji4HS352LGlSQ/edit?pli=1#gid=0"",""1_ACUM!A4:S""),13,FALSE))"),"")</f>
        <v/>
      </c>
      <c r="AD301" s="43" t="str">
        <f ca="1">IFERROR(__xludf.DUMMYFUNCTION("IFERROR(VLOOKUP(E324&amp;F324,IMPORTRANGE(""https://docs.google.com/spreadsheets/d/1Uw7-A9f9R21vMXxHZFNpYNeKFtG8_yji4HS352LGlSQ/edit?pli=1#gid=0"",""1_ACUM!A4:S""),13,FALSE))"),"")</f>
        <v/>
      </c>
      <c r="AE301" s="43" t="str">
        <f ca="1">IFERROR(__xludf.DUMMYFUNCTION("IFERROR(VLOOKUP(E324&amp;F324,IMPORTRANGE(""https://docs.google.com/spreadsheets/d/1Uw7-A9f9R21vMXxHZFNpYNeKFtG8_yji4HS352LGlSQ/edit?pli=1#gid=0"",""1_ACUM!A4:S""),14,FALSE))"),"")</f>
        <v/>
      </c>
      <c r="AF301" s="43" t="str">
        <f ca="1">IFERROR(__xludf.DUMMYFUNCTION("IFERROR(VLOOKUP(E324&amp;F324,IMPORTRANGE(""https://docs.google.com/spreadsheets/d/1Uw7-A9f9R21vMXxHZFNpYNeKFtG8_yji4HS352LGlSQ/edit?pli=1#gid=0"",""1_ACUM!A4:S""),15,FALSE))"),"")</f>
        <v/>
      </c>
      <c r="AG301" s="43" t="str">
        <f ca="1">IFERROR(__xludf.DUMMYFUNCTION("IFERROR(VLOOKUP(E324&amp;F324,IMPORTRANGE(""https://docs.google.com/spreadsheets/d/1Uw7-A9f9R21vMXxHZFNpYNeKFtG8_yji4HS352LGlSQ/edit?pli=1#gid=0"",""1_ACUM!A4:S""),16,FALSE))"),"")</f>
        <v/>
      </c>
      <c r="AH301" s="43" t="str">
        <f ca="1">IFERROR(__xludf.DUMMYFUNCTION("IFERROR(VLOOKUP(E324&amp;F324,IMPORTRANGE(""https://docs.google.com/spreadsheets/d/1Uw7-A9f9R21vMXxHZFNpYNeKFtG8_yji4HS352LGlSQ/edit?pli=1#gid=0"",""1_ACUM!A4:S""),17,FALSE))"),"")</f>
        <v/>
      </c>
      <c r="AI301" s="44" t="str">
        <f ca="1">IFERROR(__xludf.DUMMYFUNCTION("IFERROR(VLOOKUP(E324&amp;F324,IMPORTRANGE(""https://docs.google.com/spreadsheets/d/1Uw7-A9f9R21vMXxHZFNpYNeKFtG8_yji4HS352LGlSQ/edit?pli=1#gid=0"",""1_ACUM!A4:S""),18,FALSE))"),"")</f>
        <v/>
      </c>
      <c r="AJ301" s="44" t="str">
        <f ca="1">IFERROR(__xludf.DUMMYFUNCTION("IFERROR(VLOOKUP(E324&amp;F324,IMPORTRANGE(""https://docs.google.com/spreadsheets/d/1Uw7-A9f9R21vMXxHZFNpYNeKFtG8_yji4HS352LGlSQ/edit?pli=1#gid=0"",""1_ACUM!A4:S""),19,FALSE))"),"")</f>
        <v/>
      </c>
      <c r="AK301" s="98" t="str">
        <f ca="1">IFERROR(__xludf.DUMMYFUNCTION("IFERROR(VLOOKUP(F324,IMPORTRANGE(""https://docs.google.com/spreadsheets/d/1Kvs4KS76FHFqLFIZfrDMff4kP08nblUkihrxltoGBjg/edit#gid=934712705"",""ESENCIAL!A6:BG""),5,FALSE))"),"")</f>
        <v/>
      </c>
      <c r="AL301" s="98" t="str">
        <f t="shared" si="22"/>
        <v/>
      </c>
      <c r="AM301" s="99" t="str">
        <f t="shared" si="23"/>
        <v/>
      </c>
      <c r="AN301" s="100" t="str">
        <f ca="1">IFERROR(__xludf.DUMMYFUNCTION("IFERROR(VLOOKUP(F324,IMPORTRANGE(""https://docs.google.com/spreadsheets/d/1Kvs4KS76FHFqLFIZfrDMff4kP08nblUkihrxltoGBjg/edit#gid=934712705"",""ESENCIAL!A6:BG""),2,FALSE))"),"")</f>
        <v/>
      </c>
      <c r="AO301" s="19" t="str">
        <f t="shared" si="20"/>
        <v/>
      </c>
      <c r="AP301" s="100"/>
      <c r="AQ301" s="100"/>
    </row>
    <row r="302" spans="1:43" ht="15">
      <c r="A302" s="101"/>
      <c r="B302" s="101"/>
      <c r="G302" s="5" t="str">
        <f ca="1">IFERROR(__xludf.DUMMYFUNCTION("IFERROR(VLOOKUP(F325,IMPORTRANGE(""https://docs.google.com/spreadsheets/d/1Kvs4KS76FHFqLFIZfrDMff4kP08nblUkihrxltoGBjg/edit#gid=934712705"",""ESENCIAL!A6:BG""),3,FALSE))"),"")</f>
        <v/>
      </c>
      <c r="H302" s="5" t="str">
        <f ca="1">IFERROR(__xludf.DUMMYFUNCTION("IFERROR(VLOOKUP(F325,IMPORTRANGE(""https://docs.google.com/spreadsheets/d/1Kvs4KS76FHFqLFIZfrDMff4kP08nblUkihrxltoGBjg/edit#gid=934712705"",""ESENCIAL!A6:BG""),8,FALSE))"),"")</f>
        <v/>
      </c>
      <c r="L302" s="287"/>
      <c r="Z302" s="41" t="str">
        <f t="shared" si="21"/>
        <v/>
      </c>
      <c r="AA302" s="5" t="str">
        <f ca="1">IFERROR(__xludf.DUMMYFUNCTION("IFERROR(VLOOKUP(E325&amp;F325,IMPORTRANGE(""https://docs.google.com/spreadsheets/d/1Uw7-A9f9R21vMXxHZFNpYNeKFtG8_yji4HS352LGlSQ/edit?pli=1#gid=0"",""1_ACUM!A4:S""),11,FALSE))"),"")</f>
        <v/>
      </c>
      <c r="AB302" s="42" t="str">
        <f ca="1">IFERROR(__xludf.DUMMYFUNCTION("IFERROR(VLOOKUP(F325,IMPORTRANGE(""https://docs.google.com/spreadsheets/d/1Kvs4KS76FHFqLFIZfrDMff4kP08nblUkihrxltoGBjg/edit#gid=934712705"",""ESENCIAL!A6:BG""),15,FALSE))"),"")</f>
        <v/>
      </c>
      <c r="AC302" s="110" t="str">
        <f ca="1">IFERROR(__xludf.DUMMYFUNCTION("IFERROR(VLOOKUP(E325&amp;F325,IMPORTRANGE(""https://docs.google.com/spreadsheets/d/1Uw7-A9f9R21vMXxHZFNpYNeKFtG8_yji4HS352LGlSQ/edit?pli=1#gid=0"",""1_ACUM!A4:S""),13,FALSE))"),"")</f>
        <v/>
      </c>
      <c r="AD302" s="43" t="str">
        <f ca="1">IFERROR(__xludf.DUMMYFUNCTION("IFERROR(VLOOKUP(E325&amp;F325,IMPORTRANGE(""https://docs.google.com/spreadsheets/d/1Uw7-A9f9R21vMXxHZFNpYNeKFtG8_yji4HS352LGlSQ/edit?pli=1#gid=0"",""1_ACUM!A4:S""),13,FALSE))"),"")</f>
        <v/>
      </c>
      <c r="AE302" s="43" t="str">
        <f ca="1">IFERROR(__xludf.DUMMYFUNCTION("IFERROR(VLOOKUP(E325&amp;F325,IMPORTRANGE(""https://docs.google.com/spreadsheets/d/1Uw7-A9f9R21vMXxHZFNpYNeKFtG8_yji4HS352LGlSQ/edit?pli=1#gid=0"",""1_ACUM!A4:S""),14,FALSE))"),"")</f>
        <v/>
      </c>
      <c r="AF302" s="43" t="str">
        <f ca="1">IFERROR(__xludf.DUMMYFUNCTION("IFERROR(VLOOKUP(E325&amp;F325,IMPORTRANGE(""https://docs.google.com/spreadsheets/d/1Uw7-A9f9R21vMXxHZFNpYNeKFtG8_yji4HS352LGlSQ/edit?pli=1#gid=0"",""1_ACUM!A4:S""),15,FALSE))"),"")</f>
        <v/>
      </c>
      <c r="AG302" s="43" t="str">
        <f ca="1">IFERROR(__xludf.DUMMYFUNCTION("IFERROR(VLOOKUP(E325&amp;F325,IMPORTRANGE(""https://docs.google.com/spreadsheets/d/1Uw7-A9f9R21vMXxHZFNpYNeKFtG8_yji4HS352LGlSQ/edit?pli=1#gid=0"",""1_ACUM!A4:S""),16,FALSE))"),"")</f>
        <v/>
      </c>
      <c r="AH302" s="43" t="str">
        <f ca="1">IFERROR(__xludf.DUMMYFUNCTION("IFERROR(VLOOKUP(E325&amp;F325,IMPORTRANGE(""https://docs.google.com/spreadsheets/d/1Uw7-A9f9R21vMXxHZFNpYNeKFtG8_yji4HS352LGlSQ/edit?pli=1#gid=0"",""1_ACUM!A4:S""),17,FALSE))"),"")</f>
        <v/>
      </c>
      <c r="AI302" s="44" t="str">
        <f ca="1">IFERROR(__xludf.DUMMYFUNCTION("IFERROR(VLOOKUP(E325&amp;F325,IMPORTRANGE(""https://docs.google.com/spreadsheets/d/1Uw7-A9f9R21vMXxHZFNpYNeKFtG8_yji4HS352LGlSQ/edit?pli=1#gid=0"",""1_ACUM!A4:S""),18,FALSE))"),"")</f>
        <v/>
      </c>
      <c r="AJ302" s="44" t="str">
        <f ca="1">IFERROR(__xludf.DUMMYFUNCTION("IFERROR(VLOOKUP(E325&amp;F325,IMPORTRANGE(""https://docs.google.com/spreadsheets/d/1Uw7-A9f9R21vMXxHZFNpYNeKFtG8_yji4HS352LGlSQ/edit?pli=1#gid=0"",""1_ACUM!A4:S""),19,FALSE))"),"")</f>
        <v/>
      </c>
      <c r="AK302" s="98" t="str">
        <f ca="1">IFERROR(__xludf.DUMMYFUNCTION("IFERROR(VLOOKUP(F325,IMPORTRANGE(""https://docs.google.com/spreadsheets/d/1Kvs4KS76FHFqLFIZfrDMff4kP08nblUkihrxltoGBjg/edit#gid=934712705"",""ESENCIAL!A6:BG""),5,FALSE))"),"")</f>
        <v/>
      </c>
      <c r="AL302" s="98" t="str">
        <f t="shared" si="22"/>
        <v/>
      </c>
      <c r="AM302" s="99" t="str">
        <f t="shared" si="23"/>
        <v/>
      </c>
      <c r="AN302" s="100" t="str">
        <f ca="1">IFERROR(__xludf.DUMMYFUNCTION("IFERROR(VLOOKUP(F325,IMPORTRANGE(""https://docs.google.com/spreadsheets/d/1Kvs4KS76FHFqLFIZfrDMff4kP08nblUkihrxltoGBjg/edit#gid=934712705"",""ESENCIAL!A6:BG""),2,FALSE))"),"")</f>
        <v/>
      </c>
      <c r="AO302" s="19" t="str">
        <f t="shared" si="20"/>
        <v/>
      </c>
      <c r="AP302" s="100"/>
      <c r="AQ302" s="100"/>
    </row>
    <row r="303" spans="1:43" ht="15">
      <c r="A303" s="101"/>
      <c r="B303" s="101"/>
      <c r="G303" s="5" t="str">
        <f ca="1">IFERROR(__xludf.DUMMYFUNCTION("IFERROR(VLOOKUP(F326,IMPORTRANGE(""https://docs.google.com/spreadsheets/d/1Kvs4KS76FHFqLFIZfrDMff4kP08nblUkihrxltoGBjg/edit#gid=934712705"",""ESENCIAL!A6:BG""),3,FALSE))"),"")</f>
        <v/>
      </c>
      <c r="H303" s="5" t="str">
        <f ca="1">IFERROR(__xludf.DUMMYFUNCTION("IFERROR(VLOOKUP(F326,IMPORTRANGE(""https://docs.google.com/spreadsheets/d/1Kvs4KS76FHFqLFIZfrDMff4kP08nblUkihrxltoGBjg/edit#gid=934712705"",""ESENCIAL!A6:BG""),8,FALSE))"),"")</f>
        <v/>
      </c>
      <c r="L303" s="287"/>
      <c r="Z303" s="41" t="str">
        <f t="shared" si="21"/>
        <v/>
      </c>
      <c r="AA303" s="5" t="str">
        <f ca="1">IFERROR(__xludf.DUMMYFUNCTION("IFERROR(VLOOKUP(E326&amp;F326,IMPORTRANGE(""https://docs.google.com/spreadsheets/d/1Uw7-A9f9R21vMXxHZFNpYNeKFtG8_yji4HS352LGlSQ/edit?pli=1#gid=0"",""1_ACUM!A4:S""),11,FALSE))"),"")</f>
        <v/>
      </c>
      <c r="AB303" s="42" t="str">
        <f ca="1">IFERROR(__xludf.DUMMYFUNCTION("IFERROR(VLOOKUP(F326,IMPORTRANGE(""https://docs.google.com/spreadsheets/d/1Kvs4KS76FHFqLFIZfrDMff4kP08nblUkihrxltoGBjg/edit#gid=934712705"",""ESENCIAL!A6:BG""),15,FALSE))"),"")</f>
        <v/>
      </c>
      <c r="AC303" s="110" t="str">
        <f ca="1">IFERROR(__xludf.DUMMYFUNCTION("IFERROR(VLOOKUP(E326&amp;F326,IMPORTRANGE(""https://docs.google.com/spreadsheets/d/1Uw7-A9f9R21vMXxHZFNpYNeKFtG8_yji4HS352LGlSQ/edit?pli=1#gid=0"",""1_ACUM!A4:S""),13,FALSE))"),"")</f>
        <v/>
      </c>
      <c r="AD303" s="43" t="str">
        <f ca="1">IFERROR(__xludf.DUMMYFUNCTION("IFERROR(VLOOKUP(E326&amp;F326,IMPORTRANGE(""https://docs.google.com/spreadsheets/d/1Uw7-A9f9R21vMXxHZFNpYNeKFtG8_yji4HS352LGlSQ/edit?pli=1#gid=0"",""1_ACUM!A4:S""),13,FALSE))"),"")</f>
        <v/>
      </c>
      <c r="AE303" s="43" t="str">
        <f ca="1">IFERROR(__xludf.DUMMYFUNCTION("IFERROR(VLOOKUP(E326&amp;F326,IMPORTRANGE(""https://docs.google.com/spreadsheets/d/1Uw7-A9f9R21vMXxHZFNpYNeKFtG8_yji4HS352LGlSQ/edit?pli=1#gid=0"",""1_ACUM!A4:S""),14,FALSE))"),"")</f>
        <v/>
      </c>
      <c r="AF303" s="43" t="str">
        <f ca="1">IFERROR(__xludf.DUMMYFUNCTION("IFERROR(VLOOKUP(E326&amp;F326,IMPORTRANGE(""https://docs.google.com/spreadsheets/d/1Uw7-A9f9R21vMXxHZFNpYNeKFtG8_yji4HS352LGlSQ/edit?pli=1#gid=0"",""1_ACUM!A4:S""),15,FALSE))"),"")</f>
        <v/>
      </c>
      <c r="AG303" s="43" t="str">
        <f ca="1">IFERROR(__xludf.DUMMYFUNCTION("IFERROR(VLOOKUP(E326&amp;F326,IMPORTRANGE(""https://docs.google.com/spreadsheets/d/1Uw7-A9f9R21vMXxHZFNpYNeKFtG8_yji4HS352LGlSQ/edit?pli=1#gid=0"",""1_ACUM!A4:S""),16,FALSE))"),"")</f>
        <v/>
      </c>
      <c r="AH303" s="43" t="str">
        <f ca="1">IFERROR(__xludf.DUMMYFUNCTION("IFERROR(VLOOKUP(E326&amp;F326,IMPORTRANGE(""https://docs.google.com/spreadsheets/d/1Uw7-A9f9R21vMXxHZFNpYNeKFtG8_yji4HS352LGlSQ/edit?pli=1#gid=0"",""1_ACUM!A4:S""),17,FALSE))"),"")</f>
        <v/>
      </c>
      <c r="AI303" s="44" t="str">
        <f ca="1">IFERROR(__xludf.DUMMYFUNCTION("IFERROR(VLOOKUP(E326&amp;F326,IMPORTRANGE(""https://docs.google.com/spreadsheets/d/1Uw7-A9f9R21vMXxHZFNpYNeKFtG8_yji4HS352LGlSQ/edit?pli=1#gid=0"",""1_ACUM!A4:S""),18,FALSE))"),"")</f>
        <v/>
      </c>
      <c r="AJ303" s="44" t="str">
        <f ca="1">IFERROR(__xludf.DUMMYFUNCTION("IFERROR(VLOOKUP(E326&amp;F326,IMPORTRANGE(""https://docs.google.com/spreadsheets/d/1Uw7-A9f9R21vMXxHZFNpYNeKFtG8_yji4HS352LGlSQ/edit?pli=1#gid=0"",""1_ACUM!A4:S""),19,FALSE))"),"")</f>
        <v/>
      </c>
      <c r="AK303" s="98" t="str">
        <f ca="1">IFERROR(__xludf.DUMMYFUNCTION("IFERROR(VLOOKUP(F326,IMPORTRANGE(""https://docs.google.com/spreadsheets/d/1Kvs4KS76FHFqLFIZfrDMff4kP08nblUkihrxltoGBjg/edit#gid=934712705"",""ESENCIAL!A6:BG""),5,FALSE))"),"")</f>
        <v/>
      </c>
      <c r="AL303" s="98" t="str">
        <f t="shared" si="22"/>
        <v/>
      </c>
      <c r="AM303" s="99" t="str">
        <f t="shared" si="23"/>
        <v/>
      </c>
      <c r="AN303" s="100" t="str">
        <f ca="1">IFERROR(__xludf.DUMMYFUNCTION("IFERROR(VLOOKUP(F326,IMPORTRANGE(""https://docs.google.com/spreadsheets/d/1Kvs4KS76FHFqLFIZfrDMff4kP08nblUkihrxltoGBjg/edit#gid=934712705"",""ESENCIAL!A6:BG""),2,FALSE))"),"")</f>
        <v/>
      </c>
      <c r="AO303" s="19" t="str">
        <f t="shared" si="20"/>
        <v/>
      </c>
      <c r="AP303" s="100"/>
      <c r="AQ303" s="100"/>
    </row>
    <row r="304" spans="1:43" ht="15">
      <c r="A304" s="101"/>
      <c r="B304" s="101"/>
      <c r="G304" s="5" t="str">
        <f ca="1">IFERROR(__xludf.DUMMYFUNCTION("IFERROR(VLOOKUP(F327,IMPORTRANGE(""https://docs.google.com/spreadsheets/d/1Kvs4KS76FHFqLFIZfrDMff4kP08nblUkihrxltoGBjg/edit#gid=934712705"",""ESENCIAL!A6:BG""),3,FALSE))"),"")</f>
        <v/>
      </c>
      <c r="H304" s="5" t="str">
        <f ca="1">IFERROR(__xludf.DUMMYFUNCTION("IFERROR(VLOOKUP(F327,IMPORTRANGE(""https://docs.google.com/spreadsheets/d/1Kvs4KS76FHFqLFIZfrDMff4kP08nblUkihrxltoGBjg/edit#gid=934712705"",""ESENCIAL!A6:BG""),8,FALSE))"),"")</f>
        <v/>
      </c>
      <c r="L304" s="287"/>
      <c r="Z304" s="41" t="str">
        <f t="shared" si="21"/>
        <v/>
      </c>
      <c r="AA304" s="5" t="str">
        <f ca="1">IFERROR(__xludf.DUMMYFUNCTION("IFERROR(VLOOKUP(E327&amp;F327,IMPORTRANGE(""https://docs.google.com/spreadsheets/d/1Uw7-A9f9R21vMXxHZFNpYNeKFtG8_yji4HS352LGlSQ/edit?pli=1#gid=0"",""1_ACUM!A4:S""),11,FALSE))"),"")</f>
        <v/>
      </c>
      <c r="AB304" s="42" t="str">
        <f ca="1">IFERROR(__xludf.DUMMYFUNCTION("IFERROR(VLOOKUP(F327,IMPORTRANGE(""https://docs.google.com/spreadsheets/d/1Kvs4KS76FHFqLFIZfrDMff4kP08nblUkihrxltoGBjg/edit#gid=934712705"",""ESENCIAL!A6:BG""),15,FALSE))"),"")</f>
        <v/>
      </c>
      <c r="AC304" s="110" t="str">
        <f ca="1">IFERROR(__xludf.DUMMYFUNCTION("IFERROR(VLOOKUP(E327&amp;F327,IMPORTRANGE(""https://docs.google.com/spreadsheets/d/1Uw7-A9f9R21vMXxHZFNpYNeKFtG8_yji4HS352LGlSQ/edit?pli=1#gid=0"",""1_ACUM!A4:S""),13,FALSE))"),"")</f>
        <v/>
      </c>
      <c r="AD304" s="43" t="str">
        <f ca="1">IFERROR(__xludf.DUMMYFUNCTION("IFERROR(VLOOKUP(E327&amp;F327,IMPORTRANGE(""https://docs.google.com/spreadsheets/d/1Uw7-A9f9R21vMXxHZFNpYNeKFtG8_yji4HS352LGlSQ/edit?pli=1#gid=0"",""1_ACUM!A4:S""),13,FALSE))"),"")</f>
        <v/>
      </c>
      <c r="AE304" s="43" t="str">
        <f ca="1">IFERROR(__xludf.DUMMYFUNCTION("IFERROR(VLOOKUP(E327&amp;F327,IMPORTRANGE(""https://docs.google.com/spreadsheets/d/1Uw7-A9f9R21vMXxHZFNpYNeKFtG8_yji4HS352LGlSQ/edit?pli=1#gid=0"",""1_ACUM!A4:S""),14,FALSE))"),"")</f>
        <v/>
      </c>
      <c r="AF304" s="43" t="str">
        <f ca="1">IFERROR(__xludf.DUMMYFUNCTION("IFERROR(VLOOKUP(E327&amp;F327,IMPORTRANGE(""https://docs.google.com/spreadsheets/d/1Uw7-A9f9R21vMXxHZFNpYNeKFtG8_yji4HS352LGlSQ/edit?pli=1#gid=0"",""1_ACUM!A4:S""),15,FALSE))"),"")</f>
        <v/>
      </c>
      <c r="AG304" s="43" t="str">
        <f ca="1">IFERROR(__xludf.DUMMYFUNCTION("IFERROR(VLOOKUP(E327&amp;F327,IMPORTRANGE(""https://docs.google.com/spreadsheets/d/1Uw7-A9f9R21vMXxHZFNpYNeKFtG8_yji4HS352LGlSQ/edit?pli=1#gid=0"",""1_ACUM!A4:S""),16,FALSE))"),"")</f>
        <v/>
      </c>
      <c r="AH304" s="43" t="str">
        <f ca="1">IFERROR(__xludf.DUMMYFUNCTION("IFERROR(VLOOKUP(E327&amp;F327,IMPORTRANGE(""https://docs.google.com/spreadsheets/d/1Uw7-A9f9R21vMXxHZFNpYNeKFtG8_yji4HS352LGlSQ/edit?pli=1#gid=0"",""1_ACUM!A4:S""),17,FALSE))"),"")</f>
        <v/>
      </c>
      <c r="AI304" s="44" t="str">
        <f ca="1">IFERROR(__xludf.DUMMYFUNCTION("IFERROR(VLOOKUP(E327&amp;F327,IMPORTRANGE(""https://docs.google.com/spreadsheets/d/1Uw7-A9f9R21vMXxHZFNpYNeKFtG8_yji4HS352LGlSQ/edit?pli=1#gid=0"",""1_ACUM!A4:S""),18,FALSE))"),"")</f>
        <v/>
      </c>
      <c r="AJ304" s="44" t="str">
        <f ca="1">IFERROR(__xludf.DUMMYFUNCTION("IFERROR(VLOOKUP(E327&amp;F327,IMPORTRANGE(""https://docs.google.com/spreadsheets/d/1Uw7-A9f9R21vMXxHZFNpYNeKFtG8_yji4HS352LGlSQ/edit?pli=1#gid=0"",""1_ACUM!A4:S""),19,FALSE))"),"")</f>
        <v/>
      </c>
      <c r="AK304" s="98" t="str">
        <f ca="1">IFERROR(__xludf.DUMMYFUNCTION("IFERROR(VLOOKUP(F327,IMPORTRANGE(""https://docs.google.com/spreadsheets/d/1Kvs4KS76FHFqLFIZfrDMff4kP08nblUkihrxltoGBjg/edit#gid=934712705"",""ESENCIAL!A6:BG""),5,FALSE))"),"")</f>
        <v/>
      </c>
      <c r="AL304" s="98" t="str">
        <f t="shared" si="22"/>
        <v/>
      </c>
      <c r="AM304" s="99" t="str">
        <f t="shared" si="23"/>
        <v/>
      </c>
      <c r="AN304" s="100" t="str">
        <f ca="1">IFERROR(__xludf.DUMMYFUNCTION("IFERROR(VLOOKUP(F327,IMPORTRANGE(""https://docs.google.com/spreadsheets/d/1Kvs4KS76FHFqLFIZfrDMff4kP08nblUkihrxltoGBjg/edit#gid=934712705"",""ESENCIAL!A6:BG""),2,FALSE))"),"")</f>
        <v/>
      </c>
      <c r="AO304" s="19" t="str">
        <f t="shared" si="20"/>
        <v/>
      </c>
      <c r="AP304" s="100"/>
      <c r="AQ304" s="100"/>
    </row>
    <row r="305" spans="1:43" ht="15">
      <c r="A305" s="101"/>
      <c r="B305" s="101"/>
      <c r="G305" s="5" t="str">
        <f ca="1">IFERROR(__xludf.DUMMYFUNCTION("IFERROR(VLOOKUP(F328,IMPORTRANGE(""https://docs.google.com/spreadsheets/d/1Kvs4KS76FHFqLFIZfrDMff4kP08nblUkihrxltoGBjg/edit#gid=934712705"",""ESENCIAL!A6:BG""),3,FALSE))"),"")</f>
        <v/>
      </c>
      <c r="H305" s="5" t="str">
        <f ca="1">IFERROR(__xludf.DUMMYFUNCTION("IFERROR(VLOOKUP(F328,IMPORTRANGE(""https://docs.google.com/spreadsheets/d/1Kvs4KS76FHFqLFIZfrDMff4kP08nblUkihrxltoGBjg/edit#gid=934712705"",""ESENCIAL!A6:BG""),8,FALSE))"),"")</f>
        <v/>
      </c>
      <c r="L305" s="287"/>
      <c r="Z305" s="41" t="str">
        <f t="shared" si="21"/>
        <v/>
      </c>
      <c r="AA305" s="5" t="str">
        <f ca="1">IFERROR(__xludf.DUMMYFUNCTION("IFERROR(VLOOKUP(E328&amp;F328,IMPORTRANGE(""https://docs.google.com/spreadsheets/d/1Uw7-A9f9R21vMXxHZFNpYNeKFtG8_yji4HS352LGlSQ/edit?pli=1#gid=0"",""1_ACUM!A4:S""),11,FALSE))"),"")</f>
        <v/>
      </c>
      <c r="AB305" s="42" t="str">
        <f ca="1">IFERROR(__xludf.DUMMYFUNCTION("IFERROR(VLOOKUP(F328,IMPORTRANGE(""https://docs.google.com/spreadsheets/d/1Kvs4KS76FHFqLFIZfrDMff4kP08nblUkihrxltoGBjg/edit#gid=934712705"",""ESENCIAL!A6:BG""),15,FALSE))"),"")</f>
        <v/>
      </c>
      <c r="AC305" s="110" t="str">
        <f ca="1">IFERROR(__xludf.DUMMYFUNCTION("IFERROR(VLOOKUP(E328&amp;F328,IMPORTRANGE(""https://docs.google.com/spreadsheets/d/1Uw7-A9f9R21vMXxHZFNpYNeKFtG8_yji4HS352LGlSQ/edit?pli=1#gid=0"",""1_ACUM!A4:S""),13,FALSE))"),"")</f>
        <v/>
      </c>
      <c r="AD305" s="43" t="str">
        <f ca="1">IFERROR(__xludf.DUMMYFUNCTION("IFERROR(VLOOKUP(E328&amp;F328,IMPORTRANGE(""https://docs.google.com/spreadsheets/d/1Uw7-A9f9R21vMXxHZFNpYNeKFtG8_yji4HS352LGlSQ/edit?pli=1#gid=0"",""1_ACUM!A4:S""),13,FALSE))"),"")</f>
        <v/>
      </c>
      <c r="AE305" s="43" t="str">
        <f ca="1">IFERROR(__xludf.DUMMYFUNCTION("IFERROR(VLOOKUP(E328&amp;F328,IMPORTRANGE(""https://docs.google.com/spreadsheets/d/1Uw7-A9f9R21vMXxHZFNpYNeKFtG8_yji4HS352LGlSQ/edit?pli=1#gid=0"",""1_ACUM!A4:S""),14,FALSE))"),"")</f>
        <v/>
      </c>
      <c r="AF305" s="43" t="str">
        <f ca="1">IFERROR(__xludf.DUMMYFUNCTION("IFERROR(VLOOKUP(E328&amp;F328,IMPORTRANGE(""https://docs.google.com/spreadsheets/d/1Uw7-A9f9R21vMXxHZFNpYNeKFtG8_yji4HS352LGlSQ/edit?pli=1#gid=0"",""1_ACUM!A4:S""),15,FALSE))"),"")</f>
        <v/>
      </c>
      <c r="AG305" s="43" t="str">
        <f ca="1">IFERROR(__xludf.DUMMYFUNCTION("IFERROR(VLOOKUP(E328&amp;F328,IMPORTRANGE(""https://docs.google.com/spreadsheets/d/1Uw7-A9f9R21vMXxHZFNpYNeKFtG8_yji4HS352LGlSQ/edit?pli=1#gid=0"",""1_ACUM!A4:S""),16,FALSE))"),"")</f>
        <v/>
      </c>
      <c r="AH305" s="43" t="str">
        <f ca="1">IFERROR(__xludf.DUMMYFUNCTION("IFERROR(VLOOKUP(E328&amp;F328,IMPORTRANGE(""https://docs.google.com/spreadsheets/d/1Uw7-A9f9R21vMXxHZFNpYNeKFtG8_yji4HS352LGlSQ/edit?pli=1#gid=0"",""1_ACUM!A4:S""),17,FALSE))"),"")</f>
        <v/>
      </c>
      <c r="AI305" s="44" t="str">
        <f ca="1">IFERROR(__xludf.DUMMYFUNCTION("IFERROR(VLOOKUP(E328&amp;F328,IMPORTRANGE(""https://docs.google.com/spreadsheets/d/1Uw7-A9f9R21vMXxHZFNpYNeKFtG8_yji4HS352LGlSQ/edit?pli=1#gid=0"",""1_ACUM!A4:S""),18,FALSE))"),"")</f>
        <v/>
      </c>
      <c r="AJ305" s="44" t="str">
        <f ca="1">IFERROR(__xludf.DUMMYFUNCTION("IFERROR(VLOOKUP(E328&amp;F328,IMPORTRANGE(""https://docs.google.com/spreadsheets/d/1Uw7-A9f9R21vMXxHZFNpYNeKFtG8_yji4HS352LGlSQ/edit?pli=1#gid=0"",""1_ACUM!A4:S""),19,FALSE))"),"")</f>
        <v/>
      </c>
      <c r="AK305" s="98" t="str">
        <f ca="1">IFERROR(__xludf.DUMMYFUNCTION("IFERROR(VLOOKUP(F328,IMPORTRANGE(""https://docs.google.com/spreadsheets/d/1Kvs4KS76FHFqLFIZfrDMff4kP08nblUkihrxltoGBjg/edit#gid=934712705"",""ESENCIAL!A6:BG""),5,FALSE))"),"")</f>
        <v/>
      </c>
      <c r="AL305" s="98" t="str">
        <f t="shared" si="22"/>
        <v/>
      </c>
      <c r="AM305" s="99" t="str">
        <f t="shared" si="23"/>
        <v/>
      </c>
      <c r="AN305" s="100" t="str">
        <f ca="1">IFERROR(__xludf.DUMMYFUNCTION("IFERROR(VLOOKUP(F328,IMPORTRANGE(""https://docs.google.com/spreadsheets/d/1Kvs4KS76FHFqLFIZfrDMff4kP08nblUkihrxltoGBjg/edit#gid=934712705"",""ESENCIAL!A6:BG""),2,FALSE))"),"")</f>
        <v/>
      </c>
      <c r="AO305" s="19" t="str">
        <f t="shared" si="20"/>
        <v/>
      </c>
      <c r="AP305" s="100"/>
      <c r="AQ305" s="100"/>
    </row>
    <row r="306" spans="1:43" ht="15">
      <c r="A306" s="101"/>
      <c r="B306" s="101"/>
      <c r="G306" s="5" t="str">
        <f ca="1">IFERROR(__xludf.DUMMYFUNCTION("IFERROR(VLOOKUP(F329,IMPORTRANGE(""https://docs.google.com/spreadsheets/d/1Kvs4KS76FHFqLFIZfrDMff4kP08nblUkihrxltoGBjg/edit#gid=934712705"",""ESENCIAL!A6:BG""),3,FALSE))"),"")</f>
        <v/>
      </c>
      <c r="H306" s="5" t="str">
        <f ca="1">IFERROR(__xludf.DUMMYFUNCTION("IFERROR(VLOOKUP(F329,IMPORTRANGE(""https://docs.google.com/spreadsheets/d/1Kvs4KS76FHFqLFIZfrDMff4kP08nblUkihrxltoGBjg/edit#gid=934712705"",""ESENCIAL!A6:BG""),8,FALSE))"),"")</f>
        <v/>
      </c>
      <c r="L306" s="287"/>
      <c r="Z306" s="41" t="str">
        <f t="shared" si="21"/>
        <v/>
      </c>
      <c r="AA306" s="5" t="str">
        <f ca="1">IFERROR(__xludf.DUMMYFUNCTION("IFERROR(VLOOKUP(E329&amp;F329,IMPORTRANGE(""https://docs.google.com/spreadsheets/d/1Uw7-A9f9R21vMXxHZFNpYNeKFtG8_yji4HS352LGlSQ/edit?pli=1#gid=0"",""1_ACUM!A4:S""),11,FALSE))"),"")</f>
        <v/>
      </c>
      <c r="AB306" s="42" t="str">
        <f ca="1">IFERROR(__xludf.DUMMYFUNCTION("IFERROR(VLOOKUP(F329,IMPORTRANGE(""https://docs.google.com/spreadsheets/d/1Kvs4KS76FHFqLFIZfrDMff4kP08nblUkihrxltoGBjg/edit#gid=934712705"",""ESENCIAL!A6:BG""),15,FALSE))"),"")</f>
        <v/>
      </c>
      <c r="AC306" s="110" t="str">
        <f ca="1">IFERROR(__xludf.DUMMYFUNCTION("IFERROR(VLOOKUP(E329&amp;F329,IMPORTRANGE(""https://docs.google.com/spreadsheets/d/1Uw7-A9f9R21vMXxHZFNpYNeKFtG8_yji4HS352LGlSQ/edit?pli=1#gid=0"",""1_ACUM!A4:S""),13,FALSE))"),"")</f>
        <v/>
      </c>
      <c r="AD306" s="43" t="str">
        <f ca="1">IFERROR(__xludf.DUMMYFUNCTION("IFERROR(VLOOKUP(E329&amp;F329,IMPORTRANGE(""https://docs.google.com/spreadsheets/d/1Uw7-A9f9R21vMXxHZFNpYNeKFtG8_yji4HS352LGlSQ/edit?pli=1#gid=0"",""1_ACUM!A4:S""),13,FALSE))"),"")</f>
        <v/>
      </c>
      <c r="AE306" s="43" t="str">
        <f ca="1">IFERROR(__xludf.DUMMYFUNCTION("IFERROR(VLOOKUP(E329&amp;F329,IMPORTRANGE(""https://docs.google.com/spreadsheets/d/1Uw7-A9f9R21vMXxHZFNpYNeKFtG8_yji4HS352LGlSQ/edit?pli=1#gid=0"",""1_ACUM!A4:S""),14,FALSE))"),"")</f>
        <v/>
      </c>
      <c r="AF306" s="43" t="str">
        <f ca="1">IFERROR(__xludf.DUMMYFUNCTION("IFERROR(VLOOKUP(E329&amp;F329,IMPORTRANGE(""https://docs.google.com/spreadsheets/d/1Uw7-A9f9R21vMXxHZFNpYNeKFtG8_yji4HS352LGlSQ/edit?pli=1#gid=0"",""1_ACUM!A4:S""),15,FALSE))"),"")</f>
        <v/>
      </c>
      <c r="AG306" s="43" t="str">
        <f ca="1">IFERROR(__xludf.DUMMYFUNCTION("IFERROR(VLOOKUP(E329&amp;F329,IMPORTRANGE(""https://docs.google.com/spreadsheets/d/1Uw7-A9f9R21vMXxHZFNpYNeKFtG8_yji4HS352LGlSQ/edit?pli=1#gid=0"",""1_ACUM!A4:S""),16,FALSE))"),"")</f>
        <v/>
      </c>
      <c r="AH306" s="43" t="str">
        <f ca="1">IFERROR(__xludf.DUMMYFUNCTION("IFERROR(VLOOKUP(E329&amp;F329,IMPORTRANGE(""https://docs.google.com/spreadsheets/d/1Uw7-A9f9R21vMXxHZFNpYNeKFtG8_yji4HS352LGlSQ/edit?pli=1#gid=0"",""1_ACUM!A4:S""),17,FALSE))"),"")</f>
        <v/>
      </c>
      <c r="AI306" s="44" t="str">
        <f ca="1">IFERROR(__xludf.DUMMYFUNCTION("IFERROR(VLOOKUP(E329&amp;F329,IMPORTRANGE(""https://docs.google.com/spreadsheets/d/1Uw7-A9f9R21vMXxHZFNpYNeKFtG8_yji4HS352LGlSQ/edit?pli=1#gid=0"",""1_ACUM!A4:S""),18,FALSE))"),"")</f>
        <v/>
      </c>
      <c r="AJ306" s="44" t="str">
        <f ca="1">IFERROR(__xludf.DUMMYFUNCTION("IFERROR(VLOOKUP(E329&amp;F329,IMPORTRANGE(""https://docs.google.com/spreadsheets/d/1Uw7-A9f9R21vMXxHZFNpYNeKFtG8_yji4HS352LGlSQ/edit?pli=1#gid=0"",""1_ACUM!A4:S""),19,FALSE))"),"")</f>
        <v/>
      </c>
      <c r="AK306" s="98" t="str">
        <f ca="1">IFERROR(__xludf.DUMMYFUNCTION("IFERROR(VLOOKUP(F329,IMPORTRANGE(""https://docs.google.com/spreadsheets/d/1Kvs4KS76FHFqLFIZfrDMff4kP08nblUkihrxltoGBjg/edit#gid=934712705"",""ESENCIAL!A6:BG""),5,FALSE))"),"")</f>
        <v/>
      </c>
      <c r="AL306" s="98" t="str">
        <f t="shared" si="22"/>
        <v/>
      </c>
      <c r="AM306" s="99" t="str">
        <f t="shared" si="23"/>
        <v/>
      </c>
      <c r="AN306" s="100" t="str">
        <f ca="1">IFERROR(__xludf.DUMMYFUNCTION("IFERROR(VLOOKUP(F329,IMPORTRANGE(""https://docs.google.com/spreadsheets/d/1Kvs4KS76FHFqLFIZfrDMff4kP08nblUkihrxltoGBjg/edit#gid=934712705"",""ESENCIAL!A6:BG""),2,FALSE))"),"")</f>
        <v/>
      </c>
      <c r="AO306" s="19" t="str">
        <f t="shared" si="20"/>
        <v/>
      </c>
      <c r="AP306" s="100"/>
      <c r="AQ306" s="100"/>
    </row>
    <row r="307" spans="1:43" ht="15">
      <c r="A307" s="101"/>
      <c r="B307" s="101"/>
      <c r="G307" s="5" t="str">
        <f ca="1">IFERROR(__xludf.DUMMYFUNCTION("IFERROR(VLOOKUP(F330,IMPORTRANGE(""https://docs.google.com/spreadsheets/d/1Kvs4KS76FHFqLFIZfrDMff4kP08nblUkihrxltoGBjg/edit#gid=934712705"",""ESENCIAL!A6:BG""),3,FALSE))"),"")</f>
        <v/>
      </c>
      <c r="H307" s="5" t="str">
        <f ca="1">IFERROR(__xludf.DUMMYFUNCTION("IFERROR(VLOOKUP(F330,IMPORTRANGE(""https://docs.google.com/spreadsheets/d/1Kvs4KS76FHFqLFIZfrDMff4kP08nblUkihrxltoGBjg/edit#gid=934712705"",""ESENCIAL!A6:BG""),8,FALSE))"),"")</f>
        <v/>
      </c>
      <c r="L307" s="287"/>
      <c r="Z307" s="41" t="str">
        <f t="shared" si="21"/>
        <v/>
      </c>
      <c r="AA307" s="5" t="str">
        <f ca="1">IFERROR(__xludf.DUMMYFUNCTION("IFERROR(VLOOKUP(E330&amp;F330,IMPORTRANGE(""https://docs.google.com/spreadsheets/d/1Uw7-A9f9R21vMXxHZFNpYNeKFtG8_yji4HS352LGlSQ/edit?pli=1#gid=0"",""1_ACUM!A4:S""),11,FALSE))"),"")</f>
        <v/>
      </c>
      <c r="AB307" s="42" t="str">
        <f ca="1">IFERROR(__xludf.DUMMYFUNCTION("IFERROR(VLOOKUP(F330,IMPORTRANGE(""https://docs.google.com/spreadsheets/d/1Kvs4KS76FHFqLFIZfrDMff4kP08nblUkihrxltoGBjg/edit#gid=934712705"",""ESENCIAL!A6:BG""),15,FALSE))"),"")</f>
        <v/>
      </c>
      <c r="AC307" s="110" t="str">
        <f ca="1">IFERROR(__xludf.DUMMYFUNCTION("IFERROR(VLOOKUP(E330&amp;F330,IMPORTRANGE(""https://docs.google.com/spreadsheets/d/1Uw7-A9f9R21vMXxHZFNpYNeKFtG8_yji4HS352LGlSQ/edit?pli=1#gid=0"",""1_ACUM!A4:S""),13,FALSE))"),"")</f>
        <v/>
      </c>
      <c r="AD307" s="43" t="str">
        <f ca="1">IFERROR(__xludf.DUMMYFUNCTION("IFERROR(VLOOKUP(E330&amp;F330,IMPORTRANGE(""https://docs.google.com/spreadsheets/d/1Uw7-A9f9R21vMXxHZFNpYNeKFtG8_yji4HS352LGlSQ/edit?pli=1#gid=0"",""1_ACUM!A4:S""),13,FALSE))"),"")</f>
        <v/>
      </c>
      <c r="AE307" s="43" t="str">
        <f ca="1">IFERROR(__xludf.DUMMYFUNCTION("IFERROR(VLOOKUP(E330&amp;F330,IMPORTRANGE(""https://docs.google.com/spreadsheets/d/1Uw7-A9f9R21vMXxHZFNpYNeKFtG8_yji4HS352LGlSQ/edit?pli=1#gid=0"",""1_ACUM!A4:S""),14,FALSE))"),"")</f>
        <v/>
      </c>
      <c r="AF307" s="43" t="str">
        <f ca="1">IFERROR(__xludf.DUMMYFUNCTION("IFERROR(VLOOKUP(E330&amp;F330,IMPORTRANGE(""https://docs.google.com/spreadsheets/d/1Uw7-A9f9R21vMXxHZFNpYNeKFtG8_yji4HS352LGlSQ/edit?pli=1#gid=0"",""1_ACUM!A4:S""),15,FALSE))"),"")</f>
        <v/>
      </c>
      <c r="AG307" s="43" t="str">
        <f ca="1">IFERROR(__xludf.DUMMYFUNCTION("IFERROR(VLOOKUP(E330&amp;F330,IMPORTRANGE(""https://docs.google.com/spreadsheets/d/1Uw7-A9f9R21vMXxHZFNpYNeKFtG8_yji4HS352LGlSQ/edit?pli=1#gid=0"",""1_ACUM!A4:S""),16,FALSE))"),"")</f>
        <v/>
      </c>
      <c r="AH307" s="43" t="str">
        <f ca="1">IFERROR(__xludf.DUMMYFUNCTION("IFERROR(VLOOKUP(E330&amp;F330,IMPORTRANGE(""https://docs.google.com/spreadsheets/d/1Uw7-A9f9R21vMXxHZFNpYNeKFtG8_yji4HS352LGlSQ/edit?pli=1#gid=0"",""1_ACUM!A4:S""),17,FALSE))"),"")</f>
        <v/>
      </c>
      <c r="AI307" s="44" t="str">
        <f ca="1">IFERROR(__xludf.DUMMYFUNCTION("IFERROR(VLOOKUP(E330&amp;F330,IMPORTRANGE(""https://docs.google.com/spreadsheets/d/1Uw7-A9f9R21vMXxHZFNpYNeKFtG8_yji4HS352LGlSQ/edit?pli=1#gid=0"",""1_ACUM!A4:S""),18,FALSE))"),"")</f>
        <v/>
      </c>
      <c r="AJ307" s="44" t="str">
        <f ca="1">IFERROR(__xludf.DUMMYFUNCTION("IFERROR(VLOOKUP(E330&amp;F330,IMPORTRANGE(""https://docs.google.com/spreadsheets/d/1Uw7-A9f9R21vMXxHZFNpYNeKFtG8_yji4HS352LGlSQ/edit?pli=1#gid=0"",""1_ACUM!A4:S""),19,FALSE))"),"")</f>
        <v/>
      </c>
      <c r="AK307" s="98" t="str">
        <f ca="1">IFERROR(__xludf.DUMMYFUNCTION("IFERROR(VLOOKUP(F330,IMPORTRANGE(""https://docs.google.com/spreadsheets/d/1Kvs4KS76FHFqLFIZfrDMff4kP08nblUkihrxltoGBjg/edit#gid=934712705"",""ESENCIAL!A6:BG""),5,FALSE))"),"")</f>
        <v/>
      </c>
      <c r="AL307" s="98" t="str">
        <f t="shared" si="22"/>
        <v/>
      </c>
      <c r="AM307" s="99" t="str">
        <f t="shared" si="23"/>
        <v/>
      </c>
      <c r="AN307" s="100" t="str">
        <f ca="1">IFERROR(__xludf.DUMMYFUNCTION("IFERROR(VLOOKUP(F330,IMPORTRANGE(""https://docs.google.com/spreadsheets/d/1Kvs4KS76FHFqLFIZfrDMff4kP08nblUkihrxltoGBjg/edit#gid=934712705"",""ESENCIAL!A6:BG""),2,FALSE))"),"")</f>
        <v/>
      </c>
      <c r="AO307" s="19" t="str">
        <f t="shared" si="20"/>
        <v/>
      </c>
      <c r="AP307" s="100"/>
      <c r="AQ307" s="100"/>
    </row>
    <row r="308" spans="1:43" ht="15">
      <c r="A308" s="101"/>
      <c r="B308" s="101"/>
      <c r="G308" s="5" t="str">
        <f ca="1">IFERROR(__xludf.DUMMYFUNCTION("IFERROR(VLOOKUP(F331,IMPORTRANGE(""https://docs.google.com/spreadsheets/d/1Kvs4KS76FHFqLFIZfrDMff4kP08nblUkihrxltoGBjg/edit#gid=934712705"",""ESENCIAL!A6:BG""),3,FALSE))"),"")</f>
        <v/>
      </c>
      <c r="H308" s="5" t="str">
        <f ca="1">IFERROR(__xludf.DUMMYFUNCTION("IFERROR(VLOOKUP(F331,IMPORTRANGE(""https://docs.google.com/spreadsheets/d/1Kvs4KS76FHFqLFIZfrDMff4kP08nblUkihrxltoGBjg/edit#gid=934712705"",""ESENCIAL!A6:BG""),8,FALSE))"),"")</f>
        <v/>
      </c>
      <c r="L308" s="287"/>
      <c r="Z308" s="41" t="str">
        <f t="shared" si="21"/>
        <v/>
      </c>
      <c r="AA308" s="5" t="str">
        <f ca="1">IFERROR(__xludf.DUMMYFUNCTION("IFERROR(VLOOKUP(E331&amp;F331,IMPORTRANGE(""https://docs.google.com/spreadsheets/d/1Uw7-A9f9R21vMXxHZFNpYNeKFtG8_yji4HS352LGlSQ/edit?pli=1#gid=0"",""1_ACUM!A4:S""),11,FALSE))"),"")</f>
        <v/>
      </c>
      <c r="AB308" s="42" t="str">
        <f ca="1">IFERROR(__xludf.DUMMYFUNCTION("IFERROR(VLOOKUP(F331,IMPORTRANGE(""https://docs.google.com/spreadsheets/d/1Kvs4KS76FHFqLFIZfrDMff4kP08nblUkihrxltoGBjg/edit#gid=934712705"",""ESENCIAL!A6:BG""),15,FALSE))"),"")</f>
        <v/>
      </c>
      <c r="AC308" s="110" t="str">
        <f ca="1">IFERROR(__xludf.DUMMYFUNCTION("IFERROR(VLOOKUP(E331&amp;F331,IMPORTRANGE(""https://docs.google.com/spreadsheets/d/1Uw7-A9f9R21vMXxHZFNpYNeKFtG8_yji4HS352LGlSQ/edit?pli=1#gid=0"",""1_ACUM!A4:S""),13,FALSE))"),"")</f>
        <v/>
      </c>
      <c r="AD308" s="43" t="str">
        <f ca="1">IFERROR(__xludf.DUMMYFUNCTION("IFERROR(VLOOKUP(E331&amp;F331,IMPORTRANGE(""https://docs.google.com/spreadsheets/d/1Uw7-A9f9R21vMXxHZFNpYNeKFtG8_yji4HS352LGlSQ/edit?pli=1#gid=0"",""1_ACUM!A4:S""),13,FALSE))"),"")</f>
        <v/>
      </c>
      <c r="AE308" s="43" t="str">
        <f ca="1">IFERROR(__xludf.DUMMYFUNCTION("IFERROR(VLOOKUP(E331&amp;F331,IMPORTRANGE(""https://docs.google.com/spreadsheets/d/1Uw7-A9f9R21vMXxHZFNpYNeKFtG8_yji4HS352LGlSQ/edit?pli=1#gid=0"",""1_ACUM!A4:S""),14,FALSE))"),"")</f>
        <v/>
      </c>
      <c r="AF308" s="43" t="str">
        <f ca="1">IFERROR(__xludf.DUMMYFUNCTION("IFERROR(VLOOKUP(E331&amp;F331,IMPORTRANGE(""https://docs.google.com/spreadsheets/d/1Uw7-A9f9R21vMXxHZFNpYNeKFtG8_yji4HS352LGlSQ/edit?pli=1#gid=0"",""1_ACUM!A4:S""),15,FALSE))"),"")</f>
        <v/>
      </c>
      <c r="AG308" s="43" t="str">
        <f ca="1">IFERROR(__xludf.DUMMYFUNCTION("IFERROR(VLOOKUP(E331&amp;F331,IMPORTRANGE(""https://docs.google.com/spreadsheets/d/1Uw7-A9f9R21vMXxHZFNpYNeKFtG8_yji4HS352LGlSQ/edit?pli=1#gid=0"",""1_ACUM!A4:S""),16,FALSE))"),"")</f>
        <v/>
      </c>
      <c r="AH308" s="43" t="str">
        <f ca="1">IFERROR(__xludf.DUMMYFUNCTION("IFERROR(VLOOKUP(E331&amp;F331,IMPORTRANGE(""https://docs.google.com/spreadsheets/d/1Uw7-A9f9R21vMXxHZFNpYNeKFtG8_yji4HS352LGlSQ/edit?pli=1#gid=0"",""1_ACUM!A4:S""),17,FALSE))"),"")</f>
        <v/>
      </c>
      <c r="AI308" s="44" t="str">
        <f ca="1">IFERROR(__xludf.DUMMYFUNCTION("IFERROR(VLOOKUP(E331&amp;F331,IMPORTRANGE(""https://docs.google.com/spreadsheets/d/1Uw7-A9f9R21vMXxHZFNpYNeKFtG8_yji4HS352LGlSQ/edit?pli=1#gid=0"",""1_ACUM!A4:S""),18,FALSE))"),"")</f>
        <v/>
      </c>
      <c r="AJ308" s="44" t="str">
        <f ca="1">IFERROR(__xludf.DUMMYFUNCTION("IFERROR(VLOOKUP(E331&amp;F331,IMPORTRANGE(""https://docs.google.com/spreadsheets/d/1Uw7-A9f9R21vMXxHZFNpYNeKFtG8_yji4HS352LGlSQ/edit?pli=1#gid=0"",""1_ACUM!A4:S""),19,FALSE))"),"")</f>
        <v/>
      </c>
      <c r="AK308" s="98" t="str">
        <f ca="1">IFERROR(__xludf.DUMMYFUNCTION("IFERROR(VLOOKUP(F331,IMPORTRANGE(""https://docs.google.com/spreadsheets/d/1Kvs4KS76FHFqLFIZfrDMff4kP08nblUkihrxltoGBjg/edit#gid=934712705"",""ESENCIAL!A6:BG""),5,FALSE))"),"")</f>
        <v/>
      </c>
      <c r="AL308" s="98" t="str">
        <f t="shared" si="22"/>
        <v/>
      </c>
      <c r="AM308" s="99" t="str">
        <f t="shared" si="23"/>
        <v/>
      </c>
      <c r="AN308" s="100" t="str">
        <f ca="1">IFERROR(__xludf.DUMMYFUNCTION("IFERROR(VLOOKUP(F331,IMPORTRANGE(""https://docs.google.com/spreadsheets/d/1Kvs4KS76FHFqLFIZfrDMff4kP08nblUkihrxltoGBjg/edit#gid=934712705"",""ESENCIAL!A6:BG""),2,FALSE))"),"")</f>
        <v/>
      </c>
      <c r="AO308" s="19" t="str">
        <f t="shared" si="20"/>
        <v/>
      </c>
      <c r="AP308" s="100"/>
      <c r="AQ308" s="100"/>
    </row>
    <row r="309" spans="1:43" ht="15">
      <c r="A309" s="101"/>
      <c r="B309" s="101"/>
      <c r="G309" s="5" t="str">
        <f ca="1">IFERROR(__xludf.DUMMYFUNCTION("IFERROR(VLOOKUP(F332,IMPORTRANGE(""https://docs.google.com/spreadsheets/d/1Kvs4KS76FHFqLFIZfrDMff4kP08nblUkihrxltoGBjg/edit#gid=934712705"",""ESENCIAL!A6:BG""),3,FALSE))"),"")</f>
        <v/>
      </c>
      <c r="H309" s="5" t="str">
        <f ca="1">IFERROR(__xludf.DUMMYFUNCTION("IFERROR(VLOOKUP(F332,IMPORTRANGE(""https://docs.google.com/spreadsheets/d/1Kvs4KS76FHFqLFIZfrDMff4kP08nblUkihrxltoGBjg/edit#gid=934712705"",""ESENCIAL!A6:BG""),8,FALSE))"),"")</f>
        <v/>
      </c>
      <c r="L309" s="287"/>
      <c r="Z309" s="41" t="str">
        <f t="shared" si="21"/>
        <v/>
      </c>
      <c r="AA309" s="5" t="str">
        <f ca="1">IFERROR(__xludf.DUMMYFUNCTION("IFERROR(VLOOKUP(E332&amp;F332,IMPORTRANGE(""https://docs.google.com/spreadsheets/d/1Uw7-A9f9R21vMXxHZFNpYNeKFtG8_yji4HS352LGlSQ/edit?pli=1#gid=0"",""1_ACUM!A4:S""),11,FALSE))"),"")</f>
        <v/>
      </c>
      <c r="AB309" s="42" t="str">
        <f ca="1">IFERROR(__xludf.DUMMYFUNCTION("IFERROR(VLOOKUP(F332,IMPORTRANGE(""https://docs.google.com/spreadsheets/d/1Kvs4KS76FHFqLFIZfrDMff4kP08nblUkihrxltoGBjg/edit#gid=934712705"",""ESENCIAL!A6:BG""),15,FALSE))"),"")</f>
        <v/>
      </c>
      <c r="AC309" s="110" t="str">
        <f ca="1">IFERROR(__xludf.DUMMYFUNCTION("IFERROR(VLOOKUP(E332&amp;F332,IMPORTRANGE(""https://docs.google.com/spreadsheets/d/1Uw7-A9f9R21vMXxHZFNpYNeKFtG8_yji4HS352LGlSQ/edit?pli=1#gid=0"",""1_ACUM!A4:S""),13,FALSE))"),"")</f>
        <v/>
      </c>
      <c r="AD309" s="43" t="str">
        <f ca="1">IFERROR(__xludf.DUMMYFUNCTION("IFERROR(VLOOKUP(E332&amp;F332,IMPORTRANGE(""https://docs.google.com/spreadsheets/d/1Uw7-A9f9R21vMXxHZFNpYNeKFtG8_yji4HS352LGlSQ/edit?pli=1#gid=0"",""1_ACUM!A4:S""),13,FALSE))"),"")</f>
        <v/>
      </c>
      <c r="AE309" s="43" t="str">
        <f ca="1">IFERROR(__xludf.DUMMYFUNCTION("IFERROR(VLOOKUP(E332&amp;F332,IMPORTRANGE(""https://docs.google.com/spreadsheets/d/1Uw7-A9f9R21vMXxHZFNpYNeKFtG8_yji4HS352LGlSQ/edit?pli=1#gid=0"",""1_ACUM!A4:S""),14,FALSE))"),"")</f>
        <v/>
      </c>
      <c r="AF309" s="43" t="str">
        <f ca="1">IFERROR(__xludf.DUMMYFUNCTION("IFERROR(VLOOKUP(E332&amp;F332,IMPORTRANGE(""https://docs.google.com/spreadsheets/d/1Uw7-A9f9R21vMXxHZFNpYNeKFtG8_yji4HS352LGlSQ/edit?pli=1#gid=0"",""1_ACUM!A4:S""),15,FALSE))"),"")</f>
        <v/>
      </c>
      <c r="AG309" s="43" t="str">
        <f ca="1">IFERROR(__xludf.DUMMYFUNCTION("IFERROR(VLOOKUP(E332&amp;F332,IMPORTRANGE(""https://docs.google.com/spreadsheets/d/1Uw7-A9f9R21vMXxHZFNpYNeKFtG8_yji4HS352LGlSQ/edit?pli=1#gid=0"",""1_ACUM!A4:S""),16,FALSE))"),"")</f>
        <v/>
      </c>
      <c r="AH309" s="43" t="str">
        <f ca="1">IFERROR(__xludf.DUMMYFUNCTION("IFERROR(VLOOKUP(E332&amp;F332,IMPORTRANGE(""https://docs.google.com/spreadsheets/d/1Uw7-A9f9R21vMXxHZFNpYNeKFtG8_yji4HS352LGlSQ/edit?pli=1#gid=0"",""1_ACUM!A4:S""),17,FALSE))"),"")</f>
        <v/>
      </c>
      <c r="AI309" s="44" t="str">
        <f ca="1">IFERROR(__xludf.DUMMYFUNCTION("IFERROR(VLOOKUP(E332&amp;F332,IMPORTRANGE(""https://docs.google.com/spreadsheets/d/1Uw7-A9f9R21vMXxHZFNpYNeKFtG8_yji4HS352LGlSQ/edit?pli=1#gid=0"",""1_ACUM!A4:S""),18,FALSE))"),"")</f>
        <v/>
      </c>
      <c r="AJ309" s="44" t="str">
        <f ca="1">IFERROR(__xludf.DUMMYFUNCTION("IFERROR(VLOOKUP(E332&amp;F332,IMPORTRANGE(""https://docs.google.com/spreadsheets/d/1Uw7-A9f9R21vMXxHZFNpYNeKFtG8_yji4HS352LGlSQ/edit?pli=1#gid=0"",""1_ACUM!A4:S""),19,FALSE))"),"")</f>
        <v/>
      </c>
      <c r="AK309" s="98" t="str">
        <f ca="1">IFERROR(__xludf.DUMMYFUNCTION("IFERROR(VLOOKUP(F332,IMPORTRANGE(""https://docs.google.com/spreadsheets/d/1Kvs4KS76FHFqLFIZfrDMff4kP08nblUkihrxltoGBjg/edit#gid=934712705"",""ESENCIAL!A6:BG""),5,FALSE))"),"")</f>
        <v/>
      </c>
      <c r="AL309" s="98" t="str">
        <f t="shared" si="22"/>
        <v/>
      </c>
      <c r="AM309" s="99" t="str">
        <f t="shared" si="23"/>
        <v/>
      </c>
      <c r="AN309" s="100" t="str">
        <f ca="1">IFERROR(__xludf.DUMMYFUNCTION("IFERROR(VLOOKUP(F332,IMPORTRANGE(""https://docs.google.com/spreadsheets/d/1Kvs4KS76FHFqLFIZfrDMff4kP08nblUkihrxltoGBjg/edit#gid=934712705"",""ESENCIAL!A6:BG""),2,FALSE))"),"")</f>
        <v/>
      </c>
      <c r="AO309" s="19" t="str">
        <f t="shared" si="20"/>
        <v/>
      </c>
      <c r="AP309" s="100"/>
      <c r="AQ309" s="100"/>
    </row>
    <row r="310" spans="1:43" ht="15">
      <c r="A310" s="101"/>
      <c r="B310" s="101"/>
      <c r="G310" s="5" t="str">
        <f ca="1">IFERROR(__xludf.DUMMYFUNCTION("IFERROR(VLOOKUP(F333,IMPORTRANGE(""https://docs.google.com/spreadsheets/d/1Kvs4KS76FHFqLFIZfrDMff4kP08nblUkihrxltoGBjg/edit#gid=934712705"",""ESENCIAL!A6:BG""),3,FALSE))"),"")</f>
        <v/>
      </c>
      <c r="H310" s="5" t="str">
        <f ca="1">IFERROR(__xludf.DUMMYFUNCTION("IFERROR(VLOOKUP(F333,IMPORTRANGE(""https://docs.google.com/spreadsheets/d/1Kvs4KS76FHFqLFIZfrDMff4kP08nblUkihrxltoGBjg/edit#gid=934712705"",""ESENCIAL!A6:BG""),8,FALSE))"),"")</f>
        <v/>
      </c>
      <c r="L310" s="287"/>
      <c r="Z310" s="41" t="str">
        <f t="shared" si="21"/>
        <v/>
      </c>
      <c r="AA310" s="5" t="str">
        <f ca="1">IFERROR(__xludf.DUMMYFUNCTION("IFERROR(VLOOKUP(E333&amp;F333,IMPORTRANGE(""https://docs.google.com/spreadsheets/d/1Uw7-A9f9R21vMXxHZFNpYNeKFtG8_yji4HS352LGlSQ/edit?pli=1#gid=0"",""1_ACUM!A4:S""),11,FALSE))"),"")</f>
        <v/>
      </c>
      <c r="AB310" s="42" t="str">
        <f ca="1">IFERROR(__xludf.DUMMYFUNCTION("IFERROR(VLOOKUP(F333,IMPORTRANGE(""https://docs.google.com/spreadsheets/d/1Kvs4KS76FHFqLFIZfrDMff4kP08nblUkihrxltoGBjg/edit#gid=934712705"",""ESENCIAL!A6:BG""),15,FALSE))"),"")</f>
        <v/>
      </c>
      <c r="AC310" s="110" t="str">
        <f ca="1">IFERROR(__xludf.DUMMYFUNCTION("IFERROR(VLOOKUP(E333&amp;F333,IMPORTRANGE(""https://docs.google.com/spreadsheets/d/1Uw7-A9f9R21vMXxHZFNpYNeKFtG8_yji4HS352LGlSQ/edit?pli=1#gid=0"",""1_ACUM!A4:S""),13,FALSE))"),"")</f>
        <v/>
      </c>
      <c r="AD310" s="43" t="str">
        <f ca="1">IFERROR(__xludf.DUMMYFUNCTION("IFERROR(VLOOKUP(E333&amp;F333,IMPORTRANGE(""https://docs.google.com/spreadsheets/d/1Uw7-A9f9R21vMXxHZFNpYNeKFtG8_yji4HS352LGlSQ/edit?pli=1#gid=0"",""1_ACUM!A4:S""),13,FALSE))"),"")</f>
        <v/>
      </c>
      <c r="AE310" s="43" t="str">
        <f ca="1">IFERROR(__xludf.DUMMYFUNCTION("IFERROR(VLOOKUP(E333&amp;F333,IMPORTRANGE(""https://docs.google.com/spreadsheets/d/1Uw7-A9f9R21vMXxHZFNpYNeKFtG8_yji4HS352LGlSQ/edit?pli=1#gid=0"",""1_ACUM!A4:S""),14,FALSE))"),"")</f>
        <v/>
      </c>
      <c r="AF310" s="43" t="str">
        <f ca="1">IFERROR(__xludf.DUMMYFUNCTION("IFERROR(VLOOKUP(E333&amp;F333,IMPORTRANGE(""https://docs.google.com/spreadsheets/d/1Uw7-A9f9R21vMXxHZFNpYNeKFtG8_yji4HS352LGlSQ/edit?pli=1#gid=0"",""1_ACUM!A4:S""),15,FALSE))"),"")</f>
        <v/>
      </c>
      <c r="AG310" s="43" t="str">
        <f ca="1">IFERROR(__xludf.DUMMYFUNCTION("IFERROR(VLOOKUP(E333&amp;F333,IMPORTRANGE(""https://docs.google.com/spreadsheets/d/1Uw7-A9f9R21vMXxHZFNpYNeKFtG8_yji4HS352LGlSQ/edit?pli=1#gid=0"",""1_ACUM!A4:S""),16,FALSE))"),"")</f>
        <v/>
      </c>
      <c r="AH310" s="43" t="str">
        <f ca="1">IFERROR(__xludf.DUMMYFUNCTION("IFERROR(VLOOKUP(E333&amp;F333,IMPORTRANGE(""https://docs.google.com/spreadsheets/d/1Uw7-A9f9R21vMXxHZFNpYNeKFtG8_yji4HS352LGlSQ/edit?pli=1#gid=0"",""1_ACUM!A4:S""),17,FALSE))"),"")</f>
        <v/>
      </c>
      <c r="AI310" s="44" t="str">
        <f ca="1">IFERROR(__xludf.DUMMYFUNCTION("IFERROR(VLOOKUP(E333&amp;F333,IMPORTRANGE(""https://docs.google.com/spreadsheets/d/1Uw7-A9f9R21vMXxHZFNpYNeKFtG8_yji4HS352LGlSQ/edit?pli=1#gid=0"",""1_ACUM!A4:S""),18,FALSE))"),"")</f>
        <v/>
      </c>
      <c r="AJ310" s="44" t="str">
        <f ca="1">IFERROR(__xludf.DUMMYFUNCTION("IFERROR(VLOOKUP(E333&amp;F333,IMPORTRANGE(""https://docs.google.com/spreadsheets/d/1Uw7-A9f9R21vMXxHZFNpYNeKFtG8_yji4HS352LGlSQ/edit?pli=1#gid=0"",""1_ACUM!A4:S""),19,FALSE))"),"")</f>
        <v/>
      </c>
      <c r="AK310" s="98" t="str">
        <f ca="1">IFERROR(__xludf.DUMMYFUNCTION("IFERROR(VLOOKUP(F333,IMPORTRANGE(""https://docs.google.com/spreadsheets/d/1Kvs4KS76FHFqLFIZfrDMff4kP08nblUkihrxltoGBjg/edit#gid=934712705"",""ESENCIAL!A6:BG""),5,FALSE))"),"")</f>
        <v/>
      </c>
      <c r="AL310" s="98" t="str">
        <f t="shared" si="22"/>
        <v/>
      </c>
      <c r="AM310" s="99" t="str">
        <f t="shared" si="23"/>
        <v/>
      </c>
      <c r="AN310" s="100" t="str">
        <f ca="1">IFERROR(__xludf.DUMMYFUNCTION("IFERROR(VLOOKUP(F333,IMPORTRANGE(""https://docs.google.com/spreadsheets/d/1Kvs4KS76FHFqLFIZfrDMff4kP08nblUkihrxltoGBjg/edit#gid=934712705"",""ESENCIAL!A6:BG""),2,FALSE))"),"")</f>
        <v/>
      </c>
      <c r="AO310" s="19" t="str">
        <f t="shared" si="20"/>
        <v/>
      </c>
      <c r="AP310" s="100"/>
      <c r="AQ310" s="100"/>
    </row>
    <row r="311" spans="1:43" ht="15">
      <c r="A311" s="101"/>
      <c r="B311" s="101"/>
      <c r="G311" s="5" t="str">
        <f ca="1">IFERROR(__xludf.DUMMYFUNCTION("IFERROR(VLOOKUP(F334,IMPORTRANGE(""https://docs.google.com/spreadsheets/d/1Kvs4KS76FHFqLFIZfrDMff4kP08nblUkihrxltoGBjg/edit#gid=934712705"",""ESENCIAL!A6:BG""),3,FALSE))"),"")</f>
        <v/>
      </c>
      <c r="H311" s="5" t="str">
        <f ca="1">IFERROR(__xludf.DUMMYFUNCTION("IFERROR(VLOOKUP(F334,IMPORTRANGE(""https://docs.google.com/spreadsheets/d/1Kvs4KS76FHFqLFIZfrDMff4kP08nblUkihrxltoGBjg/edit#gid=934712705"",""ESENCIAL!A6:BG""),8,FALSE))"),"")</f>
        <v/>
      </c>
      <c r="L311" s="287"/>
      <c r="Z311" s="41" t="str">
        <f t="shared" si="21"/>
        <v/>
      </c>
      <c r="AA311" s="5" t="str">
        <f ca="1">IFERROR(__xludf.DUMMYFUNCTION("IFERROR(VLOOKUP(E334&amp;F334,IMPORTRANGE(""https://docs.google.com/spreadsheets/d/1Uw7-A9f9R21vMXxHZFNpYNeKFtG8_yji4HS352LGlSQ/edit?pli=1#gid=0"",""1_ACUM!A4:S""),11,FALSE))"),"")</f>
        <v/>
      </c>
      <c r="AB311" s="42" t="str">
        <f ca="1">IFERROR(__xludf.DUMMYFUNCTION("IFERROR(VLOOKUP(F334,IMPORTRANGE(""https://docs.google.com/spreadsheets/d/1Kvs4KS76FHFqLFIZfrDMff4kP08nblUkihrxltoGBjg/edit#gid=934712705"",""ESENCIAL!A6:BG""),15,FALSE))"),"")</f>
        <v/>
      </c>
      <c r="AC311" s="110" t="str">
        <f ca="1">IFERROR(__xludf.DUMMYFUNCTION("IFERROR(VLOOKUP(E334&amp;F334,IMPORTRANGE(""https://docs.google.com/spreadsheets/d/1Uw7-A9f9R21vMXxHZFNpYNeKFtG8_yji4HS352LGlSQ/edit?pli=1#gid=0"",""1_ACUM!A4:S""),13,FALSE))"),"")</f>
        <v/>
      </c>
      <c r="AD311" s="43" t="str">
        <f ca="1">IFERROR(__xludf.DUMMYFUNCTION("IFERROR(VLOOKUP(E334&amp;F334,IMPORTRANGE(""https://docs.google.com/spreadsheets/d/1Uw7-A9f9R21vMXxHZFNpYNeKFtG8_yji4HS352LGlSQ/edit?pli=1#gid=0"",""1_ACUM!A4:S""),13,FALSE))"),"")</f>
        <v/>
      </c>
      <c r="AE311" s="43" t="str">
        <f ca="1">IFERROR(__xludf.DUMMYFUNCTION("IFERROR(VLOOKUP(E334&amp;F334,IMPORTRANGE(""https://docs.google.com/spreadsheets/d/1Uw7-A9f9R21vMXxHZFNpYNeKFtG8_yji4HS352LGlSQ/edit?pli=1#gid=0"",""1_ACUM!A4:S""),14,FALSE))"),"")</f>
        <v/>
      </c>
      <c r="AF311" s="43" t="str">
        <f ca="1">IFERROR(__xludf.DUMMYFUNCTION("IFERROR(VLOOKUP(E334&amp;F334,IMPORTRANGE(""https://docs.google.com/spreadsheets/d/1Uw7-A9f9R21vMXxHZFNpYNeKFtG8_yji4HS352LGlSQ/edit?pli=1#gid=0"",""1_ACUM!A4:S""),15,FALSE))"),"")</f>
        <v/>
      </c>
      <c r="AG311" s="43" t="str">
        <f ca="1">IFERROR(__xludf.DUMMYFUNCTION("IFERROR(VLOOKUP(E334&amp;F334,IMPORTRANGE(""https://docs.google.com/spreadsheets/d/1Uw7-A9f9R21vMXxHZFNpYNeKFtG8_yji4HS352LGlSQ/edit?pli=1#gid=0"",""1_ACUM!A4:S""),16,FALSE))"),"")</f>
        <v/>
      </c>
      <c r="AH311" s="43" t="str">
        <f ca="1">IFERROR(__xludf.DUMMYFUNCTION("IFERROR(VLOOKUP(E334&amp;F334,IMPORTRANGE(""https://docs.google.com/spreadsheets/d/1Uw7-A9f9R21vMXxHZFNpYNeKFtG8_yji4HS352LGlSQ/edit?pli=1#gid=0"",""1_ACUM!A4:S""),17,FALSE))"),"")</f>
        <v/>
      </c>
      <c r="AI311" s="44" t="str">
        <f ca="1">IFERROR(__xludf.DUMMYFUNCTION("IFERROR(VLOOKUP(E334&amp;F334,IMPORTRANGE(""https://docs.google.com/spreadsheets/d/1Uw7-A9f9R21vMXxHZFNpYNeKFtG8_yji4HS352LGlSQ/edit?pli=1#gid=0"",""1_ACUM!A4:S""),18,FALSE))"),"")</f>
        <v/>
      </c>
      <c r="AJ311" s="44" t="str">
        <f ca="1">IFERROR(__xludf.DUMMYFUNCTION("IFERROR(VLOOKUP(E334&amp;F334,IMPORTRANGE(""https://docs.google.com/spreadsheets/d/1Uw7-A9f9R21vMXxHZFNpYNeKFtG8_yji4HS352LGlSQ/edit?pli=1#gid=0"",""1_ACUM!A4:S""),19,FALSE))"),"")</f>
        <v/>
      </c>
      <c r="AK311" s="98" t="str">
        <f ca="1">IFERROR(__xludf.DUMMYFUNCTION("IFERROR(VLOOKUP(F334,IMPORTRANGE(""https://docs.google.com/spreadsheets/d/1Kvs4KS76FHFqLFIZfrDMff4kP08nblUkihrxltoGBjg/edit#gid=934712705"",""ESENCIAL!A6:BG""),5,FALSE))"),"")</f>
        <v/>
      </c>
      <c r="AL311" s="98" t="str">
        <f t="shared" si="22"/>
        <v/>
      </c>
      <c r="AM311" s="99" t="str">
        <f t="shared" si="23"/>
        <v/>
      </c>
      <c r="AN311" s="100" t="str">
        <f ca="1">IFERROR(__xludf.DUMMYFUNCTION("IFERROR(VLOOKUP(F334,IMPORTRANGE(""https://docs.google.com/spreadsheets/d/1Kvs4KS76FHFqLFIZfrDMff4kP08nblUkihrxltoGBjg/edit#gid=934712705"",""ESENCIAL!A6:BG""),2,FALSE))"),"")</f>
        <v/>
      </c>
      <c r="AO311" s="19" t="str">
        <f t="shared" si="20"/>
        <v/>
      </c>
      <c r="AP311" s="100"/>
      <c r="AQ311" s="100"/>
    </row>
    <row r="312" spans="1:43" ht="15">
      <c r="A312" s="101"/>
      <c r="B312" s="101"/>
      <c r="G312" s="5" t="str">
        <f ca="1">IFERROR(__xludf.DUMMYFUNCTION("IFERROR(VLOOKUP(F335,IMPORTRANGE(""https://docs.google.com/spreadsheets/d/1Kvs4KS76FHFqLFIZfrDMff4kP08nblUkihrxltoGBjg/edit#gid=934712705"",""ESENCIAL!A6:BG""),3,FALSE))"),"")</f>
        <v/>
      </c>
      <c r="H312" s="5" t="str">
        <f ca="1">IFERROR(__xludf.DUMMYFUNCTION("IFERROR(VLOOKUP(F335,IMPORTRANGE(""https://docs.google.com/spreadsheets/d/1Kvs4KS76FHFqLFIZfrDMff4kP08nblUkihrxltoGBjg/edit#gid=934712705"",""ESENCIAL!A6:BG""),8,FALSE))"),"")</f>
        <v/>
      </c>
      <c r="L312" s="287"/>
      <c r="Z312" s="41" t="str">
        <f t="shared" si="21"/>
        <v/>
      </c>
      <c r="AA312" s="5" t="str">
        <f ca="1">IFERROR(__xludf.DUMMYFUNCTION("IFERROR(VLOOKUP(E335&amp;F335,IMPORTRANGE(""https://docs.google.com/spreadsheets/d/1Uw7-A9f9R21vMXxHZFNpYNeKFtG8_yji4HS352LGlSQ/edit?pli=1#gid=0"",""1_ACUM!A4:S""),11,FALSE))"),"")</f>
        <v/>
      </c>
      <c r="AB312" s="42" t="str">
        <f ca="1">IFERROR(__xludf.DUMMYFUNCTION("IFERROR(VLOOKUP(F335,IMPORTRANGE(""https://docs.google.com/spreadsheets/d/1Kvs4KS76FHFqLFIZfrDMff4kP08nblUkihrxltoGBjg/edit#gid=934712705"",""ESENCIAL!A6:BG""),15,FALSE))"),"")</f>
        <v/>
      </c>
      <c r="AC312" s="110" t="str">
        <f ca="1">IFERROR(__xludf.DUMMYFUNCTION("IFERROR(VLOOKUP(E335&amp;F335,IMPORTRANGE(""https://docs.google.com/spreadsheets/d/1Uw7-A9f9R21vMXxHZFNpYNeKFtG8_yji4HS352LGlSQ/edit?pli=1#gid=0"",""1_ACUM!A4:S""),13,FALSE))"),"")</f>
        <v/>
      </c>
      <c r="AD312" s="43" t="str">
        <f ca="1">IFERROR(__xludf.DUMMYFUNCTION("IFERROR(VLOOKUP(E335&amp;F335,IMPORTRANGE(""https://docs.google.com/spreadsheets/d/1Uw7-A9f9R21vMXxHZFNpYNeKFtG8_yji4HS352LGlSQ/edit?pli=1#gid=0"",""1_ACUM!A4:S""),13,FALSE))"),"")</f>
        <v/>
      </c>
      <c r="AE312" s="43" t="str">
        <f ca="1">IFERROR(__xludf.DUMMYFUNCTION("IFERROR(VLOOKUP(E335&amp;F335,IMPORTRANGE(""https://docs.google.com/spreadsheets/d/1Uw7-A9f9R21vMXxHZFNpYNeKFtG8_yji4HS352LGlSQ/edit?pli=1#gid=0"",""1_ACUM!A4:S""),14,FALSE))"),"")</f>
        <v/>
      </c>
      <c r="AF312" s="43" t="str">
        <f ca="1">IFERROR(__xludf.DUMMYFUNCTION("IFERROR(VLOOKUP(E335&amp;F335,IMPORTRANGE(""https://docs.google.com/spreadsheets/d/1Uw7-A9f9R21vMXxHZFNpYNeKFtG8_yji4HS352LGlSQ/edit?pli=1#gid=0"",""1_ACUM!A4:S""),15,FALSE))"),"")</f>
        <v/>
      </c>
      <c r="AG312" s="43" t="str">
        <f ca="1">IFERROR(__xludf.DUMMYFUNCTION("IFERROR(VLOOKUP(E335&amp;F335,IMPORTRANGE(""https://docs.google.com/spreadsheets/d/1Uw7-A9f9R21vMXxHZFNpYNeKFtG8_yji4HS352LGlSQ/edit?pli=1#gid=0"",""1_ACUM!A4:S""),16,FALSE))"),"")</f>
        <v/>
      </c>
      <c r="AH312" s="43" t="str">
        <f ca="1">IFERROR(__xludf.DUMMYFUNCTION("IFERROR(VLOOKUP(E335&amp;F335,IMPORTRANGE(""https://docs.google.com/spreadsheets/d/1Uw7-A9f9R21vMXxHZFNpYNeKFtG8_yji4HS352LGlSQ/edit?pli=1#gid=0"",""1_ACUM!A4:S""),17,FALSE))"),"")</f>
        <v/>
      </c>
      <c r="AI312" s="44" t="str">
        <f ca="1">IFERROR(__xludf.DUMMYFUNCTION("IFERROR(VLOOKUP(E335&amp;F335,IMPORTRANGE(""https://docs.google.com/spreadsheets/d/1Uw7-A9f9R21vMXxHZFNpYNeKFtG8_yji4HS352LGlSQ/edit?pli=1#gid=0"",""1_ACUM!A4:S""),18,FALSE))"),"")</f>
        <v/>
      </c>
      <c r="AJ312" s="44" t="str">
        <f ca="1">IFERROR(__xludf.DUMMYFUNCTION("IFERROR(VLOOKUP(E335&amp;F335,IMPORTRANGE(""https://docs.google.com/spreadsheets/d/1Uw7-A9f9R21vMXxHZFNpYNeKFtG8_yji4HS352LGlSQ/edit?pli=1#gid=0"",""1_ACUM!A4:S""),19,FALSE))"),"")</f>
        <v/>
      </c>
      <c r="AK312" s="98" t="str">
        <f ca="1">IFERROR(__xludf.DUMMYFUNCTION("IFERROR(VLOOKUP(F335,IMPORTRANGE(""https://docs.google.com/spreadsheets/d/1Kvs4KS76FHFqLFIZfrDMff4kP08nblUkihrxltoGBjg/edit#gid=934712705"",""ESENCIAL!A6:BG""),5,FALSE))"),"")</f>
        <v/>
      </c>
      <c r="AL312" s="98" t="str">
        <f t="shared" si="22"/>
        <v/>
      </c>
      <c r="AM312" s="99" t="str">
        <f t="shared" si="23"/>
        <v/>
      </c>
      <c r="AN312" s="100" t="str">
        <f ca="1">IFERROR(__xludf.DUMMYFUNCTION("IFERROR(VLOOKUP(F335,IMPORTRANGE(""https://docs.google.com/spreadsheets/d/1Kvs4KS76FHFqLFIZfrDMff4kP08nblUkihrxltoGBjg/edit#gid=934712705"",""ESENCIAL!A6:BG""),2,FALSE))"),"")</f>
        <v/>
      </c>
      <c r="AO312" s="19" t="str">
        <f t="shared" si="20"/>
        <v/>
      </c>
      <c r="AP312" s="100"/>
      <c r="AQ312" s="100"/>
    </row>
    <row r="313" spans="1:43" ht="15">
      <c r="A313" s="101"/>
      <c r="B313" s="101"/>
      <c r="G313" s="5" t="str">
        <f ca="1">IFERROR(__xludf.DUMMYFUNCTION("IFERROR(VLOOKUP(F336,IMPORTRANGE(""https://docs.google.com/spreadsheets/d/1Kvs4KS76FHFqLFIZfrDMff4kP08nblUkihrxltoGBjg/edit#gid=934712705"",""ESENCIAL!A6:BG""),3,FALSE))"),"")</f>
        <v/>
      </c>
      <c r="H313" s="5" t="str">
        <f ca="1">IFERROR(__xludf.DUMMYFUNCTION("IFERROR(VLOOKUP(F336,IMPORTRANGE(""https://docs.google.com/spreadsheets/d/1Kvs4KS76FHFqLFIZfrDMff4kP08nblUkihrxltoGBjg/edit#gid=934712705"",""ESENCIAL!A6:BG""),8,FALSE))"),"")</f>
        <v/>
      </c>
      <c r="L313" s="287"/>
      <c r="Z313" s="41" t="str">
        <f t="shared" si="21"/>
        <v/>
      </c>
      <c r="AA313" s="5" t="str">
        <f ca="1">IFERROR(__xludf.DUMMYFUNCTION("IFERROR(VLOOKUP(E336&amp;F336,IMPORTRANGE(""https://docs.google.com/spreadsheets/d/1Uw7-A9f9R21vMXxHZFNpYNeKFtG8_yji4HS352LGlSQ/edit?pli=1#gid=0"",""1_ACUM!A4:S""),11,FALSE))"),"")</f>
        <v/>
      </c>
      <c r="AB313" s="42" t="str">
        <f ca="1">IFERROR(__xludf.DUMMYFUNCTION("IFERROR(VLOOKUP(F336,IMPORTRANGE(""https://docs.google.com/spreadsheets/d/1Kvs4KS76FHFqLFIZfrDMff4kP08nblUkihrxltoGBjg/edit#gid=934712705"",""ESENCIAL!A6:BG""),15,FALSE))"),"")</f>
        <v/>
      </c>
      <c r="AC313" s="110" t="str">
        <f ca="1">IFERROR(__xludf.DUMMYFUNCTION("IFERROR(VLOOKUP(E336&amp;F336,IMPORTRANGE(""https://docs.google.com/spreadsheets/d/1Uw7-A9f9R21vMXxHZFNpYNeKFtG8_yji4HS352LGlSQ/edit?pli=1#gid=0"",""1_ACUM!A4:S""),13,FALSE))"),"")</f>
        <v/>
      </c>
      <c r="AD313" s="43" t="str">
        <f ca="1">IFERROR(__xludf.DUMMYFUNCTION("IFERROR(VLOOKUP(E336&amp;F336,IMPORTRANGE(""https://docs.google.com/spreadsheets/d/1Uw7-A9f9R21vMXxHZFNpYNeKFtG8_yji4HS352LGlSQ/edit?pli=1#gid=0"",""1_ACUM!A4:S""),13,FALSE))"),"")</f>
        <v/>
      </c>
      <c r="AE313" s="43" t="str">
        <f ca="1">IFERROR(__xludf.DUMMYFUNCTION("IFERROR(VLOOKUP(E336&amp;F336,IMPORTRANGE(""https://docs.google.com/spreadsheets/d/1Uw7-A9f9R21vMXxHZFNpYNeKFtG8_yji4HS352LGlSQ/edit?pli=1#gid=0"",""1_ACUM!A4:S""),14,FALSE))"),"")</f>
        <v/>
      </c>
      <c r="AF313" s="43" t="str">
        <f ca="1">IFERROR(__xludf.DUMMYFUNCTION("IFERROR(VLOOKUP(E336&amp;F336,IMPORTRANGE(""https://docs.google.com/spreadsheets/d/1Uw7-A9f9R21vMXxHZFNpYNeKFtG8_yji4HS352LGlSQ/edit?pli=1#gid=0"",""1_ACUM!A4:S""),15,FALSE))"),"")</f>
        <v/>
      </c>
      <c r="AG313" s="43" t="str">
        <f ca="1">IFERROR(__xludf.DUMMYFUNCTION("IFERROR(VLOOKUP(E336&amp;F336,IMPORTRANGE(""https://docs.google.com/spreadsheets/d/1Uw7-A9f9R21vMXxHZFNpYNeKFtG8_yji4HS352LGlSQ/edit?pli=1#gid=0"",""1_ACUM!A4:S""),16,FALSE))"),"")</f>
        <v/>
      </c>
      <c r="AH313" s="43" t="str">
        <f ca="1">IFERROR(__xludf.DUMMYFUNCTION("IFERROR(VLOOKUP(E336&amp;F336,IMPORTRANGE(""https://docs.google.com/spreadsheets/d/1Uw7-A9f9R21vMXxHZFNpYNeKFtG8_yji4HS352LGlSQ/edit?pli=1#gid=0"",""1_ACUM!A4:S""),17,FALSE))"),"")</f>
        <v/>
      </c>
      <c r="AI313" s="44" t="str">
        <f ca="1">IFERROR(__xludf.DUMMYFUNCTION("IFERROR(VLOOKUP(E336&amp;F336,IMPORTRANGE(""https://docs.google.com/spreadsheets/d/1Uw7-A9f9R21vMXxHZFNpYNeKFtG8_yji4HS352LGlSQ/edit?pli=1#gid=0"",""1_ACUM!A4:S""),18,FALSE))"),"")</f>
        <v/>
      </c>
      <c r="AJ313" s="44" t="str">
        <f ca="1">IFERROR(__xludf.DUMMYFUNCTION("IFERROR(VLOOKUP(E336&amp;F336,IMPORTRANGE(""https://docs.google.com/spreadsheets/d/1Uw7-A9f9R21vMXxHZFNpYNeKFtG8_yji4HS352LGlSQ/edit?pli=1#gid=0"",""1_ACUM!A4:S""),19,FALSE))"),"")</f>
        <v/>
      </c>
      <c r="AK313" s="98" t="str">
        <f ca="1">IFERROR(__xludf.DUMMYFUNCTION("IFERROR(VLOOKUP(F336,IMPORTRANGE(""https://docs.google.com/spreadsheets/d/1Kvs4KS76FHFqLFIZfrDMff4kP08nblUkihrxltoGBjg/edit#gid=934712705"",""ESENCIAL!A6:BG""),5,FALSE))"),"")</f>
        <v/>
      </c>
      <c r="AL313" s="98" t="str">
        <f t="shared" si="22"/>
        <v/>
      </c>
      <c r="AM313" s="99" t="str">
        <f t="shared" si="23"/>
        <v/>
      </c>
      <c r="AN313" s="100" t="str">
        <f ca="1">IFERROR(__xludf.DUMMYFUNCTION("IFERROR(VLOOKUP(F336,IMPORTRANGE(""https://docs.google.com/spreadsheets/d/1Kvs4KS76FHFqLFIZfrDMff4kP08nblUkihrxltoGBjg/edit#gid=934712705"",""ESENCIAL!A6:BG""),2,FALSE))"),"")</f>
        <v/>
      </c>
      <c r="AO313" s="19" t="str">
        <f t="shared" si="20"/>
        <v/>
      </c>
      <c r="AP313" s="100"/>
      <c r="AQ313" s="100"/>
    </row>
    <row r="314" spans="1:43" ht="15">
      <c r="A314" s="101"/>
      <c r="B314" s="101"/>
      <c r="G314" s="5" t="str">
        <f ca="1">IFERROR(__xludf.DUMMYFUNCTION("IFERROR(VLOOKUP(F337,IMPORTRANGE(""https://docs.google.com/spreadsheets/d/1Kvs4KS76FHFqLFIZfrDMff4kP08nblUkihrxltoGBjg/edit#gid=934712705"",""ESENCIAL!A6:BG""),3,FALSE))"),"")</f>
        <v/>
      </c>
      <c r="H314" s="5" t="str">
        <f ca="1">IFERROR(__xludf.DUMMYFUNCTION("IFERROR(VLOOKUP(F337,IMPORTRANGE(""https://docs.google.com/spreadsheets/d/1Kvs4KS76FHFqLFIZfrDMff4kP08nblUkihrxltoGBjg/edit#gid=934712705"",""ESENCIAL!A6:BG""),8,FALSE))"),"")</f>
        <v/>
      </c>
      <c r="L314" s="287"/>
      <c r="Z314" s="41" t="str">
        <f t="shared" si="21"/>
        <v/>
      </c>
      <c r="AA314" s="5" t="str">
        <f ca="1">IFERROR(__xludf.DUMMYFUNCTION("IFERROR(VLOOKUP(E337&amp;F337,IMPORTRANGE(""https://docs.google.com/spreadsheets/d/1Uw7-A9f9R21vMXxHZFNpYNeKFtG8_yji4HS352LGlSQ/edit?pli=1#gid=0"",""1_ACUM!A4:S""),11,FALSE))"),"")</f>
        <v/>
      </c>
      <c r="AB314" s="42" t="str">
        <f ca="1">IFERROR(__xludf.DUMMYFUNCTION("IFERROR(VLOOKUP(F337,IMPORTRANGE(""https://docs.google.com/spreadsheets/d/1Kvs4KS76FHFqLFIZfrDMff4kP08nblUkihrxltoGBjg/edit#gid=934712705"",""ESENCIAL!A6:BG""),15,FALSE))"),"")</f>
        <v/>
      </c>
      <c r="AC314" s="110" t="str">
        <f ca="1">IFERROR(__xludf.DUMMYFUNCTION("IFERROR(VLOOKUP(E337&amp;F337,IMPORTRANGE(""https://docs.google.com/spreadsheets/d/1Uw7-A9f9R21vMXxHZFNpYNeKFtG8_yji4HS352LGlSQ/edit?pli=1#gid=0"",""1_ACUM!A4:S""),13,FALSE))"),"")</f>
        <v/>
      </c>
      <c r="AD314" s="43" t="str">
        <f ca="1">IFERROR(__xludf.DUMMYFUNCTION("IFERROR(VLOOKUP(E337&amp;F337,IMPORTRANGE(""https://docs.google.com/spreadsheets/d/1Uw7-A9f9R21vMXxHZFNpYNeKFtG8_yji4HS352LGlSQ/edit?pli=1#gid=0"",""1_ACUM!A4:S""),13,FALSE))"),"")</f>
        <v/>
      </c>
      <c r="AE314" s="43" t="str">
        <f ca="1">IFERROR(__xludf.DUMMYFUNCTION("IFERROR(VLOOKUP(E337&amp;F337,IMPORTRANGE(""https://docs.google.com/spreadsheets/d/1Uw7-A9f9R21vMXxHZFNpYNeKFtG8_yji4HS352LGlSQ/edit?pli=1#gid=0"",""1_ACUM!A4:S""),14,FALSE))"),"")</f>
        <v/>
      </c>
      <c r="AF314" s="43" t="str">
        <f ca="1">IFERROR(__xludf.DUMMYFUNCTION("IFERROR(VLOOKUP(E337&amp;F337,IMPORTRANGE(""https://docs.google.com/spreadsheets/d/1Uw7-A9f9R21vMXxHZFNpYNeKFtG8_yji4HS352LGlSQ/edit?pli=1#gid=0"",""1_ACUM!A4:S""),15,FALSE))"),"")</f>
        <v/>
      </c>
      <c r="AG314" s="43" t="str">
        <f ca="1">IFERROR(__xludf.DUMMYFUNCTION("IFERROR(VLOOKUP(E337&amp;F337,IMPORTRANGE(""https://docs.google.com/spreadsheets/d/1Uw7-A9f9R21vMXxHZFNpYNeKFtG8_yji4HS352LGlSQ/edit?pli=1#gid=0"",""1_ACUM!A4:S""),16,FALSE))"),"")</f>
        <v/>
      </c>
      <c r="AH314" s="43" t="str">
        <f ca="1">IFERROR(__xludf.DUMMYFUNCTION("IFERROR(VLOOKUP(E337&amp;F337,IMPORTRANGE(""https://docs.google.com/spreadsheets/d/1Uw7-A9f9R21vMXxHZFNpYNeKFtG8_yji4HS352LGlSQ/edit?pli=1#gid=0"",""1_ACUM!A4:S""),17,FALSE))"),"")</f>
        <v/>
      </c>
      <c r="AI314" s="44" t="str">
        <f ca="1">IFERROR(__xludf.DUMMYFUNCTION("IFERROR(VLOOKUP(E337&amp;F337,IMPORTRANGE(""https://docs.google.com/spreadsheets/d/1Uw7-A9f9R21vMXxHZFNpYNeKFtG8_yji4HS352LGlSQ/edit?pli=1#gid=0"",""1_ACUM!A4:S""),18,FALSE))"),"")</f>
        <v/>
      </c>
      <c r="AJ314" s="44" t="str">
        <f ca="1">IFERROR(__xludf.DUMMYFUNCTION("IFERROR(VLOOKUP(E337&amp;F337,IMPORTRANGE(""https://docs.google.com/spreadsheets/d/1Uw7-A9f9R21vMXxHZFNpYNeKFtG8_yji4HS352LGlSQ/edit?pli=1#gid=0"",""1_ACUM!A4:S""),19,FALSE))"),"")</f>
        <v/>
      </c>
      <c r="AK314" s="98" t="str">
        <f ca="1">IFERROR(__xludf.DUMMYFUNCTION("IFERROR(VLOOKUP(F337,IMPORTRANGE(""https://docs.google.com/spreadsheets/d/1Kvs4KS76FHFqLFIZfrDMff4kP08nblUkihrxltoGBjg/edit#gid=934712705"",""ESENCIAL!A6:BG""),5,FALSE))"),"")</f>
        <v/>
      </c>
      <c r="AL314" s="98" t="str">
        <f t="shared" si="22"/>
        <v/>
      </c>
      <c r="AM314" s="99" t="str">
        <f t="shared" si="23"/>
        <v/>
      </c>
      <c r="AN314" s="100" t="str">
        <f ca="1">IFERROR(__xludf.DUMMYFUNCTION("IFERROR(VLOOKUP(F337,IMPORTRANGE(""https://docs.google.com/spreadsheets/d/1Kvs4KS76FHFqLFIZfrDMff4kP08nblUkihrxltoGBjg/edit#gid=934712705"",""ESENCIAL!A6:BG""),2,FALSE))"),"")</f>
        <v/>
      </c>
      <c r="AO314" s="19" t="str">
        <f t="shared" si="20"/>
        <v/>
      </c>
      <c r="AP314" s="100"/>
      <c r="AQ314" s="100"/>
    </row>
    <row r="315" spans="1:43" ht="15">
      <c r="A315" s="101"/>
      <c r="B315" s="101"/>
      <c r="G315" s="5" t="str">
        <f ca="1">IFERROR(__xludf.DUMMYFUNCTION("IFERROR(VLOOKUP(F338,IMPORTRANGE(""https://docs.google.com/spreadsheets/d/1Kvs4KS76FHFqLFIZfrDMff4kP08nblUkihrxltoGBjg/edit#gid=934712705"",""ESENCIAL!A6:BG""),3,FALSE))"),"")</f>
        <v/>
      </c>
      <c r="H315" s="5" t="str">
        <f ca="1">IFERROR(__xludf.DUMMYFUNCTION("IFERROR(VLOOKUP(F338,IMPORTRANGE(""https://docs.google.com/spreadsheets/d/1Kvs4KS76FHFqLFIZfrDMff4kP08nblUkihrxltoGBjg/edit#gid=934712705"",""ESENCIAL!A6:BG""),8,FALSE))"),"")</f>
        <v/>
      </c>
      <c r="L315" s="287"/>
      <c r="Z315" s="41" t="str">
        <f t="shared" si="21"/>
        <v/>
      </c>
      <c r="AA315" s="5" t="str">
        <f ca="1">IFERROR(__xludf.DUMMYFUNCTION("IFERROR(VLOOKUP(E338&amp;F338,IMPORTRANGE(""https://docs.google.com/spreadsheets/d/1Uw7-A9f9R21vMXxHZFNpYNeKFtG8_yji4HS352LGlSQ/edit?pli=1#gid=0"",""1_ACUM!A4:S""),11,FALSE))"),"")</f>
        <v/>
      </c>
      <c r="AB315" s="42" t="str">
        <f ca="1">IFERROR(__xludf.DUMMYFUNCTION("IFERROR(VLOOKUP(F338,IMPORTRANGE(""https://docs.google.com/spreadsheets/d/1Kvs4KS76FHFqLFIZfrDMff4kP08nblUkihrxltoGBjg/edit#gid=934712705"",""ESENCIAL!A6:BG""),15,FALSE))"),"")</f>
        <v/>
      </c>
      <c r="AC315" s="110" t="str">
        <f ca="1">IFERROR(__xludf.DUMMYFUNCTION("IFERROR(VLOOKUP(E338&amp;F338,IMPORTRANGE(""https://docs.google.com/spreadsheets/d/1Uw7-A9f9R21vMXxHZFNpYNeKFtG8_yji4HS352LGlSQ/edit?pli=1#gid=0"",""1_ACUM!A4:S""),13,FALSE))"),"")</f>
        <v/>
      </c>
      <c r="AD315" s="43" t="str">
        <f ca="1">IFERROR(__xludf.DUMMYFUNCTION("IFERROR(VLOOKUP(E338&amp;F338,IMPORTRANGE(""https://docs.google.com/spreadsheets/d/1Uw7-A9f9R21vMXxHZFNpYNeKFtG8_yji4HS352LGlSQ/edit?pli=1#gid=0"",""1_ACUM!A4:S""),13,FALSE))"),"")</f>
        <v/>
      </c>
      <c r="AE315" s="43" t="str">
        <f ca="1">IFERROR(__xludf.DUMMYFUNCTION("IFERROR(VLOOKUP(E338&amp;F338,IMPORTRANGE(""https://docs.google.com/spreadsheets/d/1Uw7-A9f9R21vMXxHZFNpYNeKFtG8_yji4HS352LGlSQ/edit?pli=1#gid=0"",""1_ACUM!A4:S""),14,FALSE))"),"")</f>
        <v/>
      </c>
      <c r="AF315" s="43" t="str">
        <f ca="1">IFERROR(__xludf.DUMMYFUNCTION("IFERROR(VLOOKUP(E338&amp;F338,IMPORTRANGE(""https://docs.google.com/spreadsheets/d/1Uw7-A9f9R21vMXxHZFNpYNeKFtG8_yji4HS352LGlSQ/edit?pli=1#gid=0"",""1_ACUM!A4:S""),15,FALSE))"),"")</f>
        <v/>
      </c>
      <c r="AG315" s="43" t="str">
        <f ca="1">IFERROR(__xludf.DUMMYFUNCTION("IFERROR(VLOOKUP(E338&amp;F338,IMPORTRANGE(""https://docs.google.com/spreadsheets/d/1Uw7-A9f9R21vMXxHZFNpYNeKFtG8_yji4HS352LGlSQ/edit?pli=1#gid=0"",""1_ACUM!A4:S""),16,FALSE))"),"")</f>
        <v/>
      </c>
      <c r="AH315" s="43" t="str">
        <f ca="1">IFERROR(__xludf.DUMMYFUNCTION("IFERROR(VLOOKUP(E338&amp;F338,IMPORTRANGE(""https://docs.google.com/spreadsheets/d/1Uw7-A9f9R21vMXxHZFNpYNeKFtG8_yji4HS352LGlSQ/edit?pli=1#gid=0"",""1_ACUM!A4:S""),17,FALSE))"),"")</f>
        <v/>
      </c>
      <c r="AI315" s="44" t="str">
        <f ca="1">IFERROR(__xludf.DUMMYFUNCTION("IFERROR(VLOOKUP(E338&amp;F338,IMPORTRANGE(""https://docs.google.com/spreadsheets/d/1Uw7-A9f9R21vMXxHZFNpYNeKFtG8_yji4HS352LGlSQ/edit?pli=1#gid=0"",""1_ACUM!A4:S""),18,FALSE))"),"")</f>
        <v/>
      </c>
      <c r="AJ315" s="44" t="str">
        <f ca="1">IFERROR(__xludf.DUMMYFUNCTION("IFERROR(VLOOKUP(E338&amp;F338,IMPORTRANGE(""https://docs.google.com/spreadsheets/d/1Uw7-A9f9R21vMXxHZFNpYNeKFtG8_yji4HS352LGlSQ/edit?pli=1#gid=0"",""1_ACUM!A4:S""),19,FALSE))"),"")</f>
        <v/>
      </c>
      <c r="AK315" s="98" t="str">
        <f ca="1">IFERROR(__xludf.DUMMYFUNCTION("IFERROR(VLOOKUP(F338,IMPORTRANGE(""https://docs.google.com/spreadsheets/d/1Kvs4KS76FHFqLFIZfrDMff4kP08nblUkihrxltoGBjg/edit#gid=934712705"",""ESENCIAL!A6:BG""),5,FALSE))"),"")</f>
        <v/>
      </c>
      <c r="AL315" s="98" t="str">
        <f t="shared" si="22"/>
        <v/>
      </c>
      <c r="AM315" s="99" t="str">
        <f t="shared" si="23"/>
        <v/>
      </c>
      <c r="AN315" s="100" t="str">
        <f ca="1">IFERROR(__xludf.DUMMYFUNCTION("IFERROR(VLOOKUP(F338,IMPORTRANGE(""https://docs.google.com/spreadsheets/d/1Kvs4KS76FHFqLFIZfrDMff4kP08nblUkihrxltoGBjg/edit#gid=934712705"",""ESENCIAL!A6:BG""),2,FALSE))"),"")</f>
        <v/>
      </c>
      <c r="AO315" s="19" t="str">
        <f t="shared" si="20"/>
        <v/>
      </c>
      <c r="AP315" s="100"/>
      <c r="AQ315" s="100"/>
    </row>
    <row r="316" spans="1:43" ht="15">
      <c r="A316" s="101"/>
      <c r="B316" s="101"/>
      <c r="G316" s="5" t="str">
        <f ca="1">IFERROR(__xludf.DUMMYFUNCTION("IFERROR(VLOOKUP(F339,IMPORTRANGE(""https://docs.google.com/spreadsheets/d/1Kvs4KS76FHFqLFIZfrDMff4kP08nblUkihrxltoGBjg/edit#gid=934712705"",""ESENCIAL!A6:BG""),3,FALSE))"),"")</f>
        <v/>
      </c>
      <c r="H316" s="5" t="str">
        <f ca="1">IFERROR(__xludf.DUMMYFUNCTION("IFERROR(VLOOKUP(F339,IMPORTRANGE(""https://docs.google.com/spreadsheets/d/1Kvs4KS76FHFqLFIZfrDMff4kP08nblUkihrxltoGBjg/edit#gid=934712705"",""ESENCIAL!A6:BG""),8,FALSE))"),"")</f>
        <v/>
      </c>
      <c r="L316" s="287"/>
      <c r="Z316" s="41" t="str">
        <f t="shared" si="21"/>
        <v/>
      </c>
      <c r="AA316" s="5" t="str">
        <f ca="1">IFERROR(__xludf.DUMMYFUNCTION("IFERROR(VLOOKUP(E339&amp;F339,IMPORTRANGE(""https://docs.google.com/spreadsheets/d/1Uw7-A9f9R21vMXxHZFNpYNeKFtG8_yji4HS352LGlSQ/edit?pli=1#gid=0"",""1_ACUM!A4:S""),11,FALSE))"),"")</f>
        <v/>
      </c>
      <c r="AB316" s="42" t="str">
        <f ca="1">IFERROR(__xludf.DUMMYFUNCTION("IFERROR(VLOOKUP(F339,IMPORTRANGE(""https://docs.google.com/spreadsheets/d/1Kvs4KS76FHFqLFIZfrDMff4kP08nblUkihrxltoGBjg/edit#gid=934712705"",""ESENCIAL!A6:BG""),15,FALSE))"),"")</f>
        <v/>
      </c>
      <c r="AC316" s="110" t="str">
        <f ca="1">IFERROR(__xludf.DUMMYFUNCTION("IFERROR(VLOOKUP(E339&amp;F339,IMPORTRANGE(""https://docs.google.com/spreadsheets/d/1Uw7-A9f9R21vMXxHZFNpYNeKFtG8_yji4HS352LGlSQ/edit?pli=1#gid=0"",""1_ACUM!A4:S""),13,FALSE))"),"")</f>
        <v/>
      </c>
      <c r="AD316" s="43" t="str">
        <f ca="1">IFERROR(__xludf.DUMMYFUNCTION("IFERROR(VLOOKUP(E339&amp;F339,IMPORTRANGE(""https://docs.google.com/spreadsheets/d/1Uw7-A9f9R21vMXxHZFNpYNeKFtG8_yji4HS352LGlSQ/edit?pli=1#gid=0"",""1_ACUM!A4:S""),13,FALSE))"),"")</f>
        <v/>
      </c>
      <c r="AE316" s="43" t="str">
        <f ca="1">IFERROR(__xludf.DUMMYFUNCTION("IFERROR(VLOOKUP(E339&amp;F339,IMPORTRANGE(""https://docs.google.com/spreadsheets/d/1Uw7-A9f9R21vMXxHZFNpYNeKFtG8_yji4HS352LGlSQ/edit?pli=1#gid=0"",""1_ACUM!A4:S""),14,FALSE))"),"")</f>
        <v/>
      </c>
      <c r="AF316" s="43" t="str">
        <f ca="1">IFERROR(__xludf.DUMMYFUNCTION("IFERROR(VLOOKUP(E339&amp;F339,IMPORTRANGE(""https://docs.google.com/spreadsheets/d/1Uw7-A9f9R21vMXxHZFNpYNeKFtG8_yji4HS352LGlSQ/edit?pli=1#gid=0"",""1_ACUM!A4:S""),15,FALSE))"),"")</f>
        <v/>
      </c>
      <c r="AG316" s="43" t="str">
        <f ca="1">IFERROR(__xludf.DUMMYFUNCTION("IFERROR(VLOOKUP(E339&amp;F339,IMPORTRANGE(""https://docs.google.com/spreadsheets/d/1Uw7-A9f9R21vMXxHZFNpYNeKFtG8_yji4HS352LGlSQ/edit?pli=1#gid=0"",""1_ACUM!A4:S""),16,FALSE))"),"")</f>
        <v/>
      </c>
      <c r="AH316" s="43" t="str">
        <f ca="1">IFERROR(__xludf.DUMMYFUNCTION("IFERROR(VLOOKUP(E339&amp;F339,IMPORTRANGE(""https://docs.google.com/spreadsheets/d/1Uw7-A9f9R21vMXxHZFNpYNeKFtG8_yji4HS352LGlSQ/edit?pli=1#gid=0"",""1_ACUM!A4:S""),17,FALSE))"),"")</f>
        <v/>
      </c>
      <c r="AI316" s="44" t="str">
        <f ca="1">IFERROR(__xludf.DUMMYFUNCTION("IFERROR(VLOOKUP(E339&amp;F339,IMPORTRANGE(""https://docs.google.com/spreadsheets/d/1Uw7-A9f9R21vMXxHZFNpYNeKFtG8_yji4HS352LGlSQ/edit?pli=1#gid=0"",""1_ACUM!A4:S""),18,FALSE))"),"")</f>
        <v/>
      </c>
      <c r="AJ316" s="44" t="str">
        <f ca="1">IFERROR(__xludf.DUMMYFUNCTION("IFERROR(VLOOKUP(E339&amp;F339,IMPORTRANGE(""https://docs.google.com/spreadsheets/d/1Uw7-A9f9R21vMXxHZFNpYNeKFtG8_yji4HS352LGlSQ/edit?pli=1#gid=0"",""1_ACUM!A4:S""),19,FALSE))"),"")</f>
        <v/>
      </c>
      <c r="AK316" s="98" t="str">
        <f ca="1">IFERROR(__xludf.DUMMYFUNCTION("IFERROR(VLOOKUP(F339,IMPORTRANGE(""https://docs.google.com/spreadsheets/d/1Kvs4KS76FHFqLFIZfrDMff4kP08nblUkihrxltoGBjg/edit#gid=934712705"",""ESENCIAL!A6:BG""),5,FALSE))"),"")</f>
        <v/>
      </c>
      <c r="AL316" s="98" t="str">
        <f t="shared" si="22"/>
        <v/>
      </c>
      <c r="AM316" s="99" t="str">
        <f t="shared" si="23"/>
        <v/>
      </c>
      <c r="AN316" s="100" t="str">
        <f ca="1">IFERROR(__xludf.DUMMYFUNCTION("IFERROR(VLOOKUP(F339,IMPORTRANGE(""https://docs.google.com/spreadsheets/d/1Kvs4KS76FHFqLFIZfrDMff4kP08nblUkihrxltoGBjg/edit#gid=934712705"",""ESENCIAL!A6:BG""),2,FALSE))"),"")</f>
        <v/>
      </c>
      <c r="AO316" s="19" t="str">
        <f t="shared" si="20"/>
        <v/>
      </c>
      <c r="AP316" s="100"/>
      <c r="AQ316" s="100"/>
    </row>
    <row r="317" spans="1:43" ht="15">
      <c r="A317" s="101"/>
      <c r="B317" s="101"/>
      <c r="G317" s="5" t="str">
        <f ca="1">IFERROR(__xludf.DUMMYFUNCTION("IFERROR(VLOOKUP(F340,IMPORTRANGE(""https://docs.google.com/spreadsheets/d/1Kvs4KS76FHFqLFIZfrDMff4kP08nblUkihrxltoGBjg/edit#gid=934712705"",""ESENCIAL!A6:BG""),3,FALSE))"),"")</f>
        <v/>
      </c>
      <c r="H317" s="5" t="str">
        <f ca="1">IFERROR(__xludf.DUMMYFUNCTION("IFERROR(VLOOKUP(F340,IMPORTRANGE(""https://docs.google.com/spreadsheets/d/1Kvs4KS76FHFqLFIZfrDMff4kP08nblUkihrxltoGBjg/edit#gid=934712705"",""ESENCIAL!A6:BG""),8,FALSE))"),"")</f>
        <v/>
      </c>
      <c r="L317" s="287"/>
      <c r="Z317" s="41" t="str">
        <f t="shared" si="21"/>
        <v/>
      </c>
      <c r="AA317" s="5" t="str">
        <f ca="1">IFERROR(__xludf.DUMMYFUNCTION("IFERROR(VLOOKUP(E340&amp;F340,IMPORTRANGE(""https://docs.google.com/spreadsheets/d/1Uw7-A9f9R21vMXxHZFNpYNeKFtG8_yji4HS352LGlSQ/edit?pli=1#gid=0"",""1_ACUM!A4:S""),11,FALSE))"),"")</f>
        <v/>
      </c>
      <c r="AB317" s="42" t="str">
        <f ca="1">IFERROR(__xludf.DUMMYFUNCTION("IFERROR(VLOOKUP(F340,IMPORTRANGE(""https://docs.google.com/spreadsheets/d/1Kvs4KS76FHFqLFIZfrDMff4kP08nblUkihrxltoGBjg/edit#gid=934712705"",""ESENCIAL!A6:BG""),15,FALSE))"),"")</f>
        <v/>
      </c>
      <c r="AC317" s="110" t="str">
        <f ca="1">IFERROR(__xludf.DUMMYFUNCTION("IFERROR(VLOOKUP(E340&amp;F340,IMPORTRANGE(""https://docs.google.com/spreadsheets/d/1Uw7-A9f9R21vMXxHZFNpYNeKFtG8_yji4HS352LGlSQ/edit?pli=1#gid=0"",""1_ACUM!A4:S""),13,FALSE))"),"")</f>
        <v/>
      </c>
      <c r="AD317" s="43" t="str">
        <f ca="1">IFERROR(__xludf.DUMMYFUNCTION("IFERROR(VLOOKUP(E340&amp;F340,IMPORTRANGE(""https://docs.google.com/spreadsheets/d/1Uw7-A9f9R21vMXxHZFNpYNeKFtG8_yji4HS352LGlSQ/edit?pli=1#gid=0"",""1_ACUM!A4:S""),13,FALSE))"),"")</f>
        <v/>
      </c>
      <c r="AE317" s="43" t="str">
        <f ca="1">IFERROR(__xludf.DUMMYFUNCTION("IFERROR(VLOOKUP(E340&amp;F340,IMPORTRANGE(""https://docs.google.com/spreadsheets/d/1Uw7-A9f9R21vMXxHZFNpYNeKFtG8_yji4HS352LGlSQ/edit?pli=1#gid=0"",""1_ACUM!A4:S""),14,FALSE))"),"")</f>
        <v/>
      </c>
      <c r="AF317" s="43" t="str">
        <f ca="1">IFERROR(__xludf.DUMMYFUNCTION("IFERROR(VLOOKUP(E340&amp;F340,IMPORTRANGE(""https://docs.google.com/spreadsheets/d/1Uw7-A9f9R21vMXxHZFNpYNeKFtG8_yji4HS352LGlSQ/edit?pli=1#gid=0"",""1_ACUM!A4:S""),15,FALSE))"),"")</f>
        <v/>
      </c>
      <c r="AG317" s="43" t="str">
        <f ca="1">IFERROR(__xludf.DUMMYFUNCTION("IFERROR(VLOOKUP(E340&amp;F340,IMPORTRANGE(""https://docs.google.com/spreadsheets/d/1Uw7-A9f9R21vMXxHZFNpYNeKFtG8_yji4HS352LGlSQ/edit?pli=1#gid=0"",""1_ACUM!A4:S""),16,FALSE))"),"")</f>
        <v/>
      </c>
      <c r="AH317" s="43" t="str">
        <f ca="1">IFERROR(__xludf.DUMMYFUNCTION("IFERROR(VLOOKUP(E340&amp;F340,IMPORTRANGE(""https://docs.google.com/spreadsheets/d/1Uw7-A9f9R21vMXxHZFNpYNeKFtG8_yji4HS352LGlSQ/edit?pli=1#gid=0"",""1_ACUM!A4:S""),17,FALSE))"),"")</f>
        <v/>
      </c>
      <c r="AI317" s="44" t="str">
        <f ca="1">IFERROR(__xludf.DUMMYFUNCTION("IFERROR(VLOOKUP(E340&amp;F340,IMPORTRANGE(""https://docs.google.com/spreadsheets/d/1Uw7-A9f9R21vMXxHZFNpYNeKFtG8_yji4HS352LGlSQ/edit?pli=1#gid=0"",""1_ACUM!A4:S""),18,FALSE))"),"")</f>
        <v/>
      </c>
      <c r="AJ317" s="44" t="str">
        <f ca="1">IFERROR(__xludf.DUMMYFUNCTION("IFERROR(VLOOKUP(E340&amp;F340,IMPORTRANGE(""https://docs.google.com/spreadsheets/d/1Uw7-A9f9R21vMXxHZFNpYNeKFtG8_yji4HS352LGlSQ/edit?pli=1#gid=0"",""1_ACUM!A4:S""),19,FALSE))"),"")</f>
        <v/>
      </c>
      <c r="AK317" s="98" t="str">
        <f ca="1">IFERROR(__xludf.DUMMYFUNCTION("IFERROR(VLOOKUP(F340,IMPORTRANGE(""https://docs.google.com/spreadsheets/d/1Kvs4KS76FHFqLFIZfrDMff4kP08nblUkihrxltoGBjg/edit#gid=934712705"",""ESENCIAL!A6:BG""),5,FALSE))"),"")</f>
        <v/>
      </c>
      <c r="AL317" s="98" t="str">
        <f t="shared" si="22"/>
        <v/>
      </c>
      <c r="AM317" s="99" t="str">
        <f t="shared" si="23"/>
        <v/>
      </c>
      <c r="AN317" s="100" t="str">
        <f ca="1">IFERROR(__xludf.DUMMYFUNCTION("IFERROR(VLOOKUP(F340,IMPORTRANGE(""https://docs.google.com/spreadsheets/d/1Kvs4KS76FHFqLFIZfrDMff4kP08nblUkihrxltoGBjg/edit#gid=934712705"",""ESENCIAL!A6:BG""),2,FALSE))"),"")</f>
        <v/>
      </c>
      <c r="AO317" s="19" t="str">
        <f t="shared" si="20"/>
        <v/>
      </c>
      <c r="AP317" s="100"/>
      <c r="AQ317" s="100"/>
    </row>
    <row r="318" spans="1:43" ht="15">
      <c r="A318" s="101"/>
      <c r="B318" s="101"/>
      <c r="G318" s="5" t="str">
        <f ca="1">IFERROR(__xludf.DUMMYFUNCTION("IFERROR(VLOOKUP(F341,IMPORTRANGE(""https://docs.google.com/spreadsheets/d/1Kvs4KS76FHFqLFIZfrDMff4kP08nblUkihrxltoGBjg/edit#gid=934712705"",""ESENCIAL!A6:BG""),3,FALSE))"),"")</f>
        <v/>
      </c>
      <c r="H318" s="5" t="str">
        <f ca="1">IFERROR(__xludf.DUMMYFUNCTION("IFERROR(VLOOKUP(F341,IMPORTRANGE(""https://docs.google.com/spreadsheets/d/1Kvs4KS76FHFqLFIZfrDMff4kP08nblUkihrxltoGBjg/edit#gid=934712705"",""ESENCIAL!A6:BG""),8,FALSE))"),"")</f>
        <v/>
      </c>
      <c r="L318" s="287"/>
      <c r="Z318" s="41" t="str">
        <f t="shared" si="21"/>
        <v/>
      </c>
      <c r="AA318" s="5" t="str">
        <f ca="1">IFERROR(__xludf.DUMMYFUNCTION("IFERROR(VLOOKUP(E341&amp;F341,IMPORTRANGE(""https://docs.google.com/spreadsheets/d/1Uw7-A9f9R21vMXxHZFNpYNeKFtG8_yji4HS352LGlSQ/edit?pli=1#gid=0"",""1_ACUM!A4:S""),11,FALSE))"),"")</f>
        <v/>
      </c>
      <c r="AB318" s="42" t="str">
        <f ca="1">IFERROR(__xludf.DUMMYFUNCTION("IFERROR(VLOOKUP(F341,IMPORTRANGE(""https://docs.google.com/spreadsheets/d/1Kvs4KS76FHFqLFIZfrDMff4kP08nblUkihrxltoGBjg/edit#gid=934712705"",""ESENCIAL!A6:BG""),15,FALSE))"),"")</f>
        <v/>
      </c>
      <c r="AC318" s="110" t="str">
        <f ca="1">IFERROR(__xludf.DUMMYFUNCTION("IFERROR(VLOOKUP(E341&amp;F341,IMPORTRANGE(""https://docs.google.com/spreadsheets/d/1Uw7-A9f9R21vMXxHZFNpYNeKFtG8_yji4HS352LGlSQ/edit?pli=1#gid=0"",""1_ACUM!A4:S""),13,FALSE))"),"")</f>
        <v/>
      </c>
      <c r="AD318" s="43" t="str">
        <f ca="1">IFERROR(__xludf.DUMMYFUNCTION("IFERROR(VLOOKUP(E341&amp;F341,IMPORTRANGE(""https://docs.google.com/spreadsheets/d/1Uw7-A9f9R21vMXxHZFNpYNeKFtG8_yji4HS352LGlSQ/edit?pli=1#gid=0"",""1_ACUM!A4:S""),13,FALSE))"),"")</f>
        <v/>
      </c>
      <c r="AE318" s="43" t="str">
        <f ca="1">IFERROR(__xludf.DUMMYFUNCTION("IFERROR(VLOOKUP(E341&amp;F341,IMPORTRANGE(""https://docs.google.com/spreadsheets/d/1Uw7-A9f9R21vMXxHZFNpYNeKFtG8_yji4HS352LGlSQ/edit?pli=1#gid=0"",""1_ACUM!A4:S""),14,FALSE))"),"")</f>
        <v/>
      </c>
      <c r="AF318" s="43" t="str">
        <f ca="1">IFERROR(__xludf.DUMMYFUNCTION("IFERROR(VLOOKUP(E341&amp;F341,IMPORTRANGE(""https://docs.google.com/spreadsheets/d/1Uw7-A9f9R21vMXxHZFNpYNeKFtG8_yji4HS352LGlSQ/edit?pli=1#gid=0"",""1_ACUM!A4:S""),15,FALSE))"),"")</f>
        <v/>
      </c>
      <c r="AG318" s="43" t="str">
        <f ca="1">IFERROR(__xludf.DUMMYFUNCTION("IFERROR(VLOOKUP(E341&amp;F341,IMPORTRANGE(""https://docs.google.com/spreadsheets/d/1Uw7-A9f9R21vMXxHZFNpYNeKFtG8_yji4HS352LGlSQ/edit?pli=1#gid=0"",""1_ACUM!A4:S""),16,FALSE))"),"")</f>
        <v/>
      </c>
      <c r="AH318" s="43" t="str">
        <f ca="1">IFERROR(__xludf.DUMMYFUNCTION("IFERROR(VLOOKUP(E341&amp;F341,IMPORTRANGE(""https://docs.google.com/spreadsheets/d/1Uw7-A9f9R21vMXxHZFNpYNeKFtG8_yji4HS352LGlSQ/edit?pli=1#gid=0"",""1_ACUM!A4:S""),17,FALSE))"),"")</f>
        <v/>
      </c>
      <c r="AI318" s="44" t="str">
        <f ca="1">IFERROR(__xludf.DUMMYFUNCTION("IFERROR(VLOOKUP(E341&amp;F341,IMPORTRANGE(""https://docs.google.com/spreadsheets/d/1Uw7-A9f9R21vMXxHZFNpYNeKFtG8_yji4HS352LGlSQ/edit?pli=1#gid=0"",""1_ACUM!A4:S""),18,FALSE))"),"")</f>
        <v/>
      </c>
      <c r="AJ318" s="44" t="str">
        <f ca="1">IFERROR(__xludf.DUMMYFUNCTION("IFERROR(VLOOKUP(E341&amp;F341,IMPORTRANGE(""https://docs.google.com/spreadsheets/d/1Uw7-A9f9R21vMXxHZFNpYNeKFtG8_yji4HS352LGlSQ/edit?pli=1#gid=0"",""1_ACUM!A4:S""),19,FALSE))"),"")</f>
        <v/>
      </c>
      <c r="AK318" s="98" t="str">
        <f ca="1">IFERROR(__xludf.DUMMYFUNCTION("IFERROR(VLOOKUP(F341,IMPORTRANGE(""https://docs.google.com/spreadsheets/d/1Kvs4KS76FHFqLFIZfrDMff4kP08nblUkihrxltoGBjg/edit#gid=934712705"",""ESENCIAL!A6:BG""),5,FALSE))"),"")</f>
        <v/>
      </c>
      <c r="AL318" s="98" t="str">
        <f t="shared" si="22"/>
        <v/>
      </c>
      <c r="AM318" s="99" t="str">
        <f t="shared" si="23"/>
        <v/>
      </c>
      <c r="AN318" s="100" t="str">
        <f ca="1">IFERROR(__xludf.DUMMYFUNCTION("IFERROR(VLOOKUP(F341,IMPORTRANGE(""https://docs.google.com/spreadsheets/d/1Kvs4KS76FHFqLFIZfrDMff4kP08nblUkihrxltoGBjg/edit#gid=934712705"",""ESENCIAL!A6:BG""),2,FALSE))"),"")</f>
        <v/>
      </c>
      <c r="AO318" s="19" t="str">
        <f t="shared" si="20"/>
        <v/>
      </c>
      <c r="AP318" s="100"/>
      <c r="AQ318" s="100"/>
    </row>
    <row r="319" spans="1:43" ht="15">
      <c r="A319" s="101"/>
      <c r="B319" s="101"/>
      <c r="G319" s="5" t="str">
        <f ca="1">IFERROR(__xludf.DUMMYFUNCTION("IFERROR(VLOOKUP(F342,IMPORTRANGE(""https://docs.google.com/spreadsheets/d/1Kvs4KS76FHFqLFIZfrDMff4kP08nblUkihrxltoGBjg/edit#gid=934712705"",""ESENCIAL!A6:BG""),3,FALSE))"),"")</f>
        <v/>
      </c>
      <c r="H319" s="5" t="str">
        <f ca="1">IFERROR(__xludf.DUMMYFUNCTION("IFERROR(VLOOKUP(F342,IMPORTRANGE(""https://docs.google.com/spreadsheets/d/1Kvs4KS76FHFqLFIZfrDMff4kP08nblUkihrxltoGBjg/edit#gid=934712705"",""ESENCIAL!A6:BG""),8,FALSE))"),"")</f>
        <v/>
      </c>
      <c r="L319" s="287"/>
      <c r="Z319" s="41" t="str">
        <f t="shared" si="21"/>
        <v/>
      </c>
      <c r="AA319" s="5" t="str">
        <f ca="1">IFERROR(__xludf.DUMMYFUNCTION("IFERROR(VLOOKUP(E342&amp;F342,IMPORTRANGE(""https://docs.google.com/spreadsheets/d/1Uw7-A9f9R21vMXxHZFNpYNeKFtG8_yji4HS352LGlSQ/edit?pli=1#gid=0"",""1_ACUM!A4:S""),11,FALSE))"),"")</f>
        <v/>
      </c>
      <c r="AB319" s="42" t="str">
        <f ca="1">IFERROR(__xludf.DUMMYFUNCTION("IFERROR(VLOOKUP(F342,IMPORTRANGE(""https://docs.google.com/spreadsheets/d/1Kvs4KS76FHFqLFIZfrDMff4kP08nblUkihrxltoGBjg/edit#gid=934712705"",""ESENCIAL!A6:BG""),15,FALSE))"),"")</f>
        <v/>
      </c>
      <c r="AC319" s="110" t="str">
        <f ca="1">IFERROR(__xludf.DUMMYFUNCTION("IFERROR(VLOOKUP(E342&amp;F342,IMPORTRANGE(""https://docs.google.com/spreadsheets/d/1Uw7-A9f9R21vMXxHZFNpYNeKFtG8_yji4HS352LGlSQ/edit?pli=1#gid=0"",""1_ACUM!A4:S""),13,FALSE))"),"")</f>
        <v/>
      </c>
      <c r="AD319" s="43" t="str">
        <f ca="1">IFERROR(__xludf.DUMMYFUNCTION("IFERROR(VLOOKUP(E342&amp;F342,IMPORTRANGE(""https://docs.google.com/spreadsheets/d/1Uw7-A9f9R21vMXxHZFNpYNeKFtG8_yji4HS352LGlSQ/edit?pli=1#gid=0"",""1_ACUM!A4:S""),13,FALSE))"),"")</f>
        <v/>
      </c>
      <c r="AE319" s="43" t="str">
        <f ca="1">IFERROR(__xludf.DUMMYFUNCTION("IFERROR(VLOOKUP(E342&amp;F342,IMPORTRANGE(""https://docs.google.com/spreadsheets/d/1Uw7-A9f9R21vMXxHZFNpYNeKFtG8_yji4HS352LGlSQ/edit?pli=1#gid=0"",""1_ACUM!A4:S""),14,FALSE))"),"")</f>
        <v/>
      </c>
      <c r="AF319" s="43" t="str">
        <f ca="1">IFERROR(__xludf.DUMMYFUNCTION("IFERROR(VLOOKUP(E342&amp;F342,IMPORTRANGE(""https://docs.google.com/spreadsheets/d/1Uw7-A9f9R21vMXxHZFNpYNeKFtG8_yji4HS352LGlSQ/edit?pli=1#gid=0"",""1_ACUM!A4:S""),15,FALSE))"),"")</f>
        <v/>
      </c>
      <c r="AG319" s="43" t="str">
        <f ca="1">IFERROR(__xludf.DUMMYFUNCTION("IFERROR(VLOOKUP(E342&amp;F342,IMPORTRANGE(""https://docs.google.com/spreadsheets/d/1Uw7-A9f9R21vMXxHZFNpYNeKFtG8_yji4HS352LGlSQ/edit?pli=1#gid=0"",""1_ACUM!A4:S""),16,FALSE))"),"")</f>
        <v/>
      </c>
      <c r="AH319" s="43" t="str">
        <f ca="1">IFERROR(__xludf.DUMMYFUNCTION("IFERROR(VLOOKUP(E342&amp;F342,IMPORTRANGE(""https://docs.google.com/spreadsheets/d/1Uw7-A9f9R21vMXxHZFNpYNeKFtG8_yji4HS352LGlSQ/edit?pli=1#gid=0"",""1_ACUM!A4:S""),17,FALSE))"),"")</f>
        <v/>
      </c>
      <c r="AI319" s="44" t="str">
        <f ca="1">IFERROR(__xludf.DUMMYFUNCTION("IFERROR(VLOOKUP(E342&amp;F342,IMPORTRANGE(""https://docs.google.com/spreadsheets/d/1Uw7-A9f9R21vMXxHZFNpYNeKFtG8_yji4HS352LGlSQ/edit?pli=1#gid=0"",""1_ACUM!A4:S""),18,FALSE))"),"")</f>
        <v/>
      </c>
      <c r="AJ319" s="44" t="str">
        <f ca="1">IFERROR(__xludf.DUMMYFUNCTION("IFERROR(VLOOKUP(E342&amp;F342,IMPORTRANGE(""https://docs.google.com/spreadsheets/d/1Uw7-A9f9R21vMXxHZFNpYNeKFtG8_yji4HS352LGlSQ/edit?pli=1#gid=0"",""1_ACUM!A4:S""),19,FALSE))"),"")</f>
        <v/>
      </c>
      <c r="AK319" s="98" t="str">
        <f ca="1">IFERROR(__xludf.DUMMYFUNCTION("IFERROR(VLOOKUP(F342,IMPORTRANGE(""https://docs.google.com/spreadsheets/d/1Kvs4KS76FHFqLFIZfrDMff4kP08nblUkihrxltoGBjg/edit#gid=934712705"",""ESENCIAL!A6:BG""),5,FALSE))"),"")</f>
        <v/>
      </c>
      <c r="AL319" s="98" t="str">
        <f t="shared" si="22"/>
        <v/>
      </c>
      <c r="AM319" s="99" t="str">
        <f t="shared" si="23"/>
        <v/>
      </c>
      <c r="AN319" s="100" t="str">
        <f ca="1">IFERROR(__xludf.DUMMYFUNCTION("IFERROR(VLOOKUP(F342,IMPORTRANGE(""https://docs.google.com/spreadsheets/d/1Kvs4KS76FHFqLFIZfrDMff4kP08nblUkihrxltoGBjg/edit#gid=934712705"",""ESENCIAL!A6:BG""),2,FALSE))"),"")</f>
        <v/>
      </c>
      <c r="AO319" s="19" t="str">
        <f t="shared" si="20"/>
        <v/>
      </c>
      <c r="AP319" s="100"/>
      <c r="AQ319" s="100"/>
    </row>
    <row r="320" spans="1:43" ht="15">
      <c r="A320" s="101"/>
      <c r="B320" s="101"/>
      <c r="G320" s="5" t="str">
        <f ca="1">IFERROR(__xludf.DUMMYFUNCTION("IFERROR(VLOOKUP(F343,IMPORTRANGE(""https://docs.google.com/spreadsheets/d/1Kvs4KS76FHFqLFIZfrDMff4kP08nblUkihrxltoGBjg/edit#gid=934712705"",""ESENCIAL!A6:BG""),3,FALSE))"),"")</f>
        <v/>
      </c>
      <c r="H320" s="5" t="str">
        <f ca="1">IFERROR(__xludf.DUMMYFUNCTION("IFERROR(VLOOKUP(F343,IMPORTRANGE(""https://docs.google.com/spreadsheets/d/1Kvs4KS76FHFqLFIZfrDMff4kP08nblUkihrxltoGBjg/edit#gid=934712705"",""ESENCIAL!A6:BG""),8,FALSE))"),"")</f>
        <v/>
      </c>
      <c r="L320" s="287"/>
      <c r="Z320" s="41" t="str">
        <f t="shared" si="21"/>
        <v/>
      </c>
      <c r="AA320" s="5" t="str">
        <f ca="1">IFERROR(__xludf.DUMMYFUNCTION("IFERROR(VLOOKUP(E343&amp;F343,IMPORTRANGE(""https://docs.google.com/spreadsheets/d/1Uw7-A9f9R21vMXxHZFNpYNeKFtG8_yji4HS352LGlSQ/edit?pli=1#gid=0"",""1_ACUM!A4:S""),11,FALSE))"),"")</f>
        <v/>
      </c>
      <c r="AB320" s="42" t="str">
        <f ca="1">IFERROR(__xludf.DUMMYFUNCTION("IFERROR(VLOOKUP(F343,IMPORTRANGE(""https://docs.google.com/spreadsheets/d/1Kvs4KS76FHFqLFIZfrDMff4kP08nblUkihrxltoGBjg/edit#gid=934712705"",""ESENCIAL!A6:BG""),15,FALSE))"),"")</f>
        <v/>
      </c>
      <c r="AC320" s="110" t="str">
        <f ca="1">IFERROR(__xludf.DUMMYFUNCTION("IFERROR(VLOOKUP(E343&amp;F343,IMPORTRANGE(""https://docs.google.com/spreadsheets/d/1Uw7-A9f9R21vMXxHZFNpYNeKFtG8_yji4HS352LGlSQ/edit?pli=1#gid=0"",""1_ACUM!A4:S""),13,FALSE))"),"")</f>
        <v/>
      </c>
      <c r="AD320" s="43" t="str">
        <f ca="1">IFERROR(__xludf.DUMMYFUNCTION("IFERROR(VLOOKUP(E343&amp;F343,IMPORTRANGE(""https://docs.google.com/spreadsheets/d/1Uw7-A9f9R21vMXxHZFNpYNeKFtG8_yji4HS352LGlSQ/edit?pli=1#gid=0"",""1_ACUM!A4:S""),13,FALSE))"),"")</f>
        <v/>
      </c>
      <c r="AE320" s="43" t="str">
        <f ca="1">IFERROR(__xludf.DUMMYFUNCTION("IFERROR(VLOOKUP(E343&amp;F343,IMPORTRANGE(""https://docs.google.com/spreadsheets/d/1Uw7-A9f9R21vMXxHZFNpYNeKFtG8_yji4HS352LGlSQ/edit?pli=1#gid=0"",""1_ACUM!A4:S""),14,FALSE))"),"")</f>
        <v/>
      </c>
      <c r="AF320" s="43" t="str">
        <f ca="1">IFERROR(__xludf.DUMMYFUNCTION("IFERROR(VLOOKUP(E343&amp;F343,IMPORTRANGE(""https://docs.google.com/spreadsheets/d/1Uw7-A9f9R21vMXxHZFNpYNeKFtG8_yji4HS352LGlSQ/edit?pli=1#gid=0"",""1_ACUM!A4:S""),15,FALSE))"),"")</f>
        <v/>
      </c>
      <c r="AG320" s="43" t="str">
        <f ca="1">IFERROR(__xludf.DUMMYFUNCTION("IFERROR(VLOOKUP(E343&amp;F343,IMPORTRANGE(""https://docs.google.com/spreadsheets/d/1Uw7-A9f9R21vMXxHZFNpYNeKFtG8_yji4HS352LGlSQ/edit?pli=1#gid=0"",""1_ACUM!A4:S""),16,FALSE))"),"")</f>
        <v/>
      </c>
      <c r="AH320" s="43" t="str">
        <f ca="1">IFERROR(__xludf.DUMMYFUNCTION("IFERROR(VLOOKUP(E343&amp;F343,IMPORTRANGE(""https://docs.google.com/spreadsheets/d/1Uw7-A9f9R21vMXxHZFNpYNeKFtG8_yji4HS352LGlSQ/edit?pli=1#gid=0"",""1_ACUM!A4:S""),17,FALSE))"),"")</f>
        <v/>
      </c>
      <c r="AI320" s="44" t="str">
        <f ca="1">IFERROR(__xludf.DUMMYFUNCTION("IFERROR(VLOOKUP(E343&amp;F343,IMPORTRANGE(""https://docs.google.com/spreadsheets/d/1Uw7-A9f9R21vMXxHZFNpYNeKFtG8_yji4HS352LGlSQ/edit?pli=1#gid=0"",""1_ACUM!A4:S""),18,FALSE))"),"")</f>
        <v/>
      </c>
      <c r="AJ320" s="44" t="str">
        <f ca="1">IFERROR(__xludf.DUMMYFUNCTION("IFERROR(VLOOKUP(E343&amp;F343,IMPORTRANGE(""https://docs.google.com/spreadsheets/d/1Uw7-A9f9R21vMXxHZFNpYNeKFtG8_yji4HS352LGlSQ/edit?pli=1#gid=0"",""1_ACUM!A4:S""),19,FALSE))"),"")</f>
        <v/>
      </c>
      <c r="AK320" s="98" t="str">
        <f ca="1">IFERROR(__xludf.DUMMYFUNCTION("IFERROR(VLOOKUP(F343,IMPORTRANGE(""https://docs.google.com/spreadsheets/d/1Kvs4KS76FHFqLFIZfrDMff4kP08nblUkihrxltoGBjg/edit#gid=934712705"",""ESENCIAL!A6:BG""),5,FALSE))"),"")</f>
        <v/>
      </c>
      <c r="AL320" s="98" t="str">
        <f t="shared" si="22"/>
        <v/>
      </c>
      <c r="AM320" s="99" t="str">
        <f t="shared" si="23"/>
        <v/>
      </c>
      <c r="AN320" s="100" t="str">
        <f ca="1">IFERROR(__xludf.DUMMYFUNCTION("IFERROR(VLOOKUP(F343,IMPORTRANGE(""https://docs.google.com/spreadsheets/d/1Kvs4KS76FHFqLFIZfrDMff4kP08nblUkihrxltoGBjg/edit#gid=934712705"",""ESENCIAL!A6:BG""),2,FALSE))"),"")</f>
        <v/>
      </c>
      <c r="AO320" s="19" t="str">
        <f t="shared" si="20"/>
        <v/>
      </c>
      <c r="AP320" s="100"/>
      <c r="AQ320" s="100"/>
    </row>
    <row r="321" spans="1:43" ht="15">
      <c r="A321" s="101"/>
      <c r="B321" s="101"/>
      <c r="G321" s="5" t="str">
        <f ca="1">IFERROR(__xludf.DUMMYFUNCTION("IFERROR(VLOOKUP(F344,IMPORTRANGE(""https://docs.google.com/spreadsheets/d/1Kvs4KS76FHFqLFIZfrDMff4kP08nblUkihrxltoGBjg/edit#gid=934712705"",""ESENCIAL!A6:BG""),3,FALSE))"),"")</f>
        <v/>
      </c>
      <c r="H321" s="5" t="str">
        <f ca="1">IFERROR(__xludf.DUMMYFUNCTION("IFERROR(VLOOKUP(F344,IMPORTRANGE(""https://docs.google.com/spreadsheets/d/1Kvs4KS76FHFqLFIZfrDMff4kP08nblUkihrxltoGBjg/edit#gid=934712705"",""ESENCIAL!A6:BG""),8,FALSE))"),"")</f>
        <v/>
      </c>
      <c r="L321" s="287"/>
      <c r="Z321" s="41" t="str">
        <f t="shared" si="21"/>
        <v/>
      </c>
      <c r="AA321" s="5" t="str">
        <f ca="1">IFERROR(__xludf.DUMMYFUNCTION("IFERROR(VLOOKUP(E344&amp;F344,IMPORTRANGE(""https://docs.google.com/spreadsheets/d/1Uw7-A9f9R21vMXxHZFNpYNeKFtG8_yji4HS352LGlSQ/edit?pli=1#gid=0"",""1_ACUM!A4:S""),11,FALSE))"),"")</f>
        <v/>
      </c>
      <c r="AB321" s="42" t="str">
        <f ca="1">IFERROR(__xludf.DUMMYFUNCTION("IFERROR(VLOOKUP(F344,IMPORTRANGE(""https://docs.google.com/spreadsheets/d/1Kvs4KS76FHFqLFIZfrDMff4kP08nblUkihrxltoGBjg/edit#gid=934712705"",""ESENCIAL!A6:BG""),15,FALSE))"),"")</f>
        <v/>
      </c>
      <c r="AC321" s="110" t="str">
        <f ca="1">IFERROR(__xludf.DUMMYFUNCTION("IFERROR(VLOOKUP(E344&amp;F344,IMPORTRANGE(""https://docs.google.com/spreadsheets/d/1Uw7-A9f9R21vMXxHZFNpYNeKFtG8_yji4HS352LGlSQ/edit?pli=1#gid=0"",""1_ACUM!A4:S""),13,FALSE))"),"")</f>
        <v/>
      </c>
      <c r="AD321" s="43" t="str">
        <f ca="1">IFERROR(__xludf.DUMMYFUNCTION("IFERROR(VLOOKUP(E344&amp;F344,IMPORTRANGE(""https://docs.google.com/spreadsheets/d/1Uw7-A9f9R21vMXxHZFNpYNeKFtG8_yji4HS352LGlSQ/edit?pli=1#gid=0"",""1_ACUM!A4:S""),13,FALSE))"),"")</f>
        <v/>
      </c>
      <c r="AE321" s="43" t="str">
        <f ca="1">IFERROR(__xludf.DUMMYFUNCTION("IFERROR(VLOOKUP(E344&amp;F344,IMPORTRANGE(""https://docs.google.com/spreadsheets/d/1Uw7-A9f9R21vMXxHZFNpYNeKFtG8_yji4HS352LGlSQ/edit?pli=1#gid=0"",""1_ACUM!A4:S""),14,FALSE))"),"")</f>
        <v/>
      </c>
      <c r="AF321" s="43" t="str">
        <f ca="1">IFERROR(__xludf.DUMMYFUNCTION("IFERROR(VLOOKUP(E344&amp;F344,IMPORTRANGE(""https://docs.google.com/spreadsheets/d/1Uw7-A9f9R21vMXxHZFNpYNeKFtG8_yji4HS352LGlSQ/edit?pli=1#gid=0"",""1_ACUM!A4:S""),15,FALSE))"),"")</f>
        <v/>
      </c>
      <c r="AG321" s="43" t="str">
        <f ca="1">IFERROR(__xludf.DUMMYFUNCTION("IFERROR(VLOOKUP(E344&amp;F344,IMPORTRANGE(""https://docs.google.com/spreadsheets/d/1Uw7-A9f9R21vMXxHZFNpYNeKFtG8_yji4HS352LGlSQ/edit?pli=1#gid=0"",""1_ACUM!A4:S""),16,FALSE))"),"")</f>
        <v/>
      </c>
      <c r="AH321" s="43" t="str">
        <f ca="1">IFERROR(__xludf.DUMMYFUNCTION("IFERROR(VLOOKUP(E344&amp;F344,IMPORTRANGE(""https://docs.google.com/spreadsheets/d/1Uw7-A9f9R21vMXxHZFNpYNeKFtG8_yji4HS352LGlSQ/edit?pli=1#gid=0"",""1_ACUM!A4:S""),17,FALSE))"),"")</f>
        <v/>
      </c>
      <c r="AI321" s="44" t="str">
        <f ca="1">IFERROR(__xludf.DUMMYFUNCTION("IFERROR(VLOOKUP(E344&amp;F344,IMPORTRANGE(""https://docs.google.com/spreadsheets/d/1Uw7-A9f9R21vMXxHZFNpYNeKFtG8_yji4HS352LGlSQ/edit?pli=1#gid=0"",""1_ACUM!A4:S""),18,FALSE))"),"")</f>
        <v/>
      </c>
      <c r="AJ321" s="44" t="str">
        <f ca="1">IFERROR(__xludf.DUMMYFUNCTION("IFERROR(VLOOKUP(E344&amp;F344,IMPORTRANGE(""https://docs.google.com/spreadsheets/d/1Uw7-A9f9R21vMXxHZFNpYNeKFtG8_yji4HS352LGlSQ/edit?pli=1#gid=0"",""1_ACUM!A4:S""),19,FALSE))"),"")</f>
        <v/>
      </c>
      <c r="AK321" s="98" t="str">
        <f ca="1">IFERROR(__xludf.DUMMYFUNCTION("IFERROR(VLOOKUP(F344,IMPORTRANGE(""https://docs.google.com/spreadsheets/d/1Kvs4KS76FHFqLFIZfrDMff4kP08nblUkihrxltoGBjg/edit#gid=934712705"",""ESENCIAL!A6:BG""),5,FALSE))"),"")</f>
        <v/>
      </c>
      <c r="AL321" s="98" t="str">
        <f t="shared" si="22"/>
        <v/>
      </c>
      <c r="AM321" s="99" t="str">
        <f t="shared" si="23"/>
        <v/>
      </c>
      <c r="AN321" s="100" t="str">
        <f ca="1">IFERROR(__xludf.DUMMYFUNCTION("IFERROR(VLOOKUP(F344,IMPORTRANGE(""https://docs.google.com/spreadsheets/d/1Kvs4KS76FHFqLFIZfrDMff4kP08nblUkihrxltoGBjg/edit#gid=934712705"",""ESENCIAL!A6:BG""),2,FALSE))"),"")</f>
        <v/>
      </c>
      <c r="AO321" s="19" t="str">
        <f t="shared" si="20"/>
        <v/>
      </c>
      <c r="AP321" s="100"/>
      <c r="AQ321" s="100"/>
    </row>
    <row r="322" spans="1:43" ht="15">
      <c r="A322" s="101"/>
      <c r="B322" s="101"/>
      <c r="G322" s="5" t="str">
        <f ca="1">IFERROR(__xludf.DUMMYFUNCTION("IFERROR(VLOOKUP(F345,IMPORTRANGE(""https://docs.google.com/spreadsheets/d/1Kvs4KS76FHFqLFIZfrDMff4kP08nblUkihrxltoGBjg/edit#gid=934712705"",""ESENCIAL!A6:BG""),3,FALSE))"),"")</f>
        <v/>
      </c>
      <c r="H322" s="5" t="str">
        <f ca="1">IFERROR(__xludf.DUMMYFUNCTION("IFERROR(VLOOKUP(F345,IMPORTRANGE(""https://docs.google.com/spreadsheets/d/1Kvs4KS76FHFqLFIZfrDMff4kP08nblUkihrxltoGBjg/edit#gid=934712705"",""ESENCIAL!A6:BG""),8,FALSE))"),"")</f>
        <v/>
      </c>
      <c r="L322" s="287"/>
      <c r="Z322" s="41" t="str">
        <f t="shared" ref="Z322:Z385" si="24">IF(E322&gt;0,IF(AND(AH322=1,AE322=1),"Procede_E_P","NO_CUMPLE"),"")</f>
        <v/>
      </c>
      <c r="AA322" s="5" t="str">
        <f ca="1">IFERROR(__xludf.DUMMYFUNCTION("IFERROR(VLOOKUP(E345&amp;F345,IMPORTRANGE(""https://docs.google.com/spreadsheets/d/1Uw7-A9f9R21vMXxHZFNpYNeKFtG8_yji4HS352LGlSQ/edit?pli=1#gid=0"",""1_ACUM!A4:S""),11,FALSE))"),"")</f>
        <v/>
      </c>
      <c r="AB322" s="42" t="str">
        <f ca="1">IFERROR(__xludf.DUMMYFUNCTION("IFERROR(VLOOKUP(F345,IMPORTRANGE(""https://docs.google.com/spreadsheets/d/1Kvs4KS76FHFqLFIZfrDMff4kP08nblUkihrxltoGBjg/edit#gid=934712705"",""ESENCIAL!A6:BG""),15,FALSE))"),"")</f>
        <v/>
      </c>
      <c r="AC322" s="110" t="str">
        <f ca="1">IFERROR(__xludf.DUMMYFUNCTION("IFERROR(VLOOKUP(E345&amp;F345,IMPORTRANGE(""https://docs.google.com/spreadsheets/d/1Uw7-A9f9R21vMXxHZFNpYNeKFtG8_yji4HS352LGlSQ/edit?pli=1#gid=0"",""1_ACUM!A4:S""),13,FALSE))"),"")</f>
        <v/>
      </c>
      <c r="AD322" s="43" t="str">
        <f ca="1">IFERROR(__xludf.DUMMYFUNCTION("IFERROR(VLOOKUP(E345&amp;F345,IMPORTRANGE(""https://docs.google.com/spreadsheets/d/1Uw7-A9f9R21vMXxHZFNpYNeKFtG8_yji4HS352LGlSQ/edit?pli=1#gid=0"",""1_ACUM!A4:S""),13,FALSE))"),"")</f>
        <v/>
      </c>
      <c r="AE322" s="43" t="str">
        <f ca="1">IFERROR(__xludf.DUMMYFUNCTION("IFERROR(VLOOKUP(E345&amp;F345,IMPORTRANGE(""https://docs.google.com/spreadsheets/d/1Uw7-A9f9R21vMXxHZFNpYNeKFtG8_yji4HS352LGlSQ/edit?pli=1#gid=0"",""1_ACUM!A4:S""),14,FALSE))"),"")</f>
        <v/>
      </c>
      <c r="AF322" s="43" t="str">
        <f ca="1">IFERROR(__xludf.DUMMYFUNCTION("IFERROR(VLOOKUP(E345&amp;F345,IMPORTRANGE(""https://docs.google.com/spreadsheets/d/1Uw7-A9f9R21vMXxHZFNpYNeKFtG8_yji4HS352LGlSQ/edit?pli=1#gid=0"",""1_ACUM!A4:S""),15,FALSE))"),"")</f>
        <v/>
      </c>
      <c r="AG322" s="43" t="str">
        <f ca="1">IFERROR(__xludf.DUMMYFUNCTION("IFERROR(VLOOKUP(E345&amp;F345,IMPORTRANGE(""https://docs.google.com/spreadsheets/d/1Uw7-A9f9R21vMXxHZFNpYNeKFtG8_yji4HS352LGlSQ/edit?pli=1#gid=0"",""1_ACUM!A4:S""),16,FALSE))"),"")</f>
        <v/>
      </c>
      <c r="AH322" s="43" t="str">
        <f ca="1">IFERROR(__xludf.DUMMYFUNCTION("IFERROR(VLOOKUP(E345&amp;F345,IMPORTRANGE(""https://docs.google.com/spreadsheets/d/1Uw7-A9f9R21vMXxHZFNpYNeKFtG8_yji4HS352LGlSQ/edit?pli=1#gid=0"",""1_ACUM!A4:S""),17,FALSE))"),"")</f>
        <v/>
      </c>
      <c r="AI322" s="44" t="str">
        <f ca="1">IFERROR(__xludf.DUMMYFUNCTION("IFERROR(VLOOKUP(E345&amp;F345,IMPORTRANGE(""https://docs.google.com/spreadsheets/d/1Uw7-A9f9R21vMXxHZFNpYNeKFtG8_yji4HS352LGlSQ/edit?pli=1#gid=0"",""1_ACUM!A4:S""),18,FALSE))"),"")</f>
        <v/>
      </c>
      <c r="AJ322" s="44" t="str">
        <f ca="1">IFERROR(__xludf.DUMMYFUNCTION("IFERROR(VLOOKUP(E345&amp;F345,IMPORTRANGE(""https://docs.google.com/spreadsheets/d/1Uw7-A9f9R21vMXxHZFNpYNeKFtG8_yji4HS352LGlSQ/edit?pli=1#gid=0"",""1_ACUM!A4:S""),19,FALSE))"),"")</f>
        <v/>
      </c>
      <c r="AK322" s="98" t="str">
        <f ca="1">IFERROR(__xludf.DUMMYFUNCTION("IFERROR(VLOOKUP(F345,IMPORTRANGE(""https://docs.google.com/spreadsheets/d/1Kvs4KS76FHFqLFIZfrDMff4kP08nblUkihrxltoGBjg/edit#gid=934712705"",""ESENCIAL!A6:BG""),5,FALSE))"),"")</f>
        <v/>
      </c>
      <c r="AL322" s="98" t="str">
        <f t="shared" ref="AL322:AL385" si="25">IF(F322&gt;0,EDATE(AK322,18),"")</f>
        <v/>
      </c>
      <c r="AM322" s="99" t="str">
        <f t="shared" ref="AM322:AM385" si="26">IF(F322&gt;0,IF(AL322&lt;$AM$1,"FINALIZAR FICHA","FICHA EN TIEMPO-18 MESES"),"")</f>
        <v/>
      </c>
      <c r="AN322" s="100" t="str">
        <f ca="1">IFERROR(__xludf.DUMMYFUNCTION("IFERROR(VLOOKUP(F345,IMPORTRANGE(""https://docs.google.com/spreadsheets/d/1Kvs4KS76FHFqLFIZfrDMff4kP08nblUkihrxltoGBjg/edit#gid=934712705"",""ESENCIAL!A6:BG""),2,FALSE))"),"")</f>
        <v/>
      </c>
      <c r="AO322" s="19" t="str">
        <f t="shared" si="20"/>
        <v/>
      </c>
      <c r="AP322" s="100"/>
      <c r="AQ322" s="100"/>
    </row>
    <row r="323" spans="1:43" ht="15">
      <c r="A323" s="101"/>
      <c r="B323" s="101"/>
      <c r="G323" s="5" t="str">
        <f ca="1">IFERROR(__xludf.DUMMYFUNCTION("IFERROR(VLOOKUP(F346,IMPORTRANGE(""https://docs.google.com/spreadsheets/d/1Kvs4KS76FHFqLFIZfrDMff4kP08nblUkihrxltoGBjg/edit#gid=934712705"",""ESENCIAL!A6:BG""),3,FALSE))"),"")</f>
        <v/>
      </c>
      <c r="H323" s="5" t="str">
        <f ca="1">IFERROR(__xludf.DUMMYFUNCTION("IFERROR(VLOOKUP(F346,IMPORTRANGE(""https://docs.google.com/spreadsheets/d/1Kvs4KS76FHFqLFIZfrDMff4kP08nblUkihrxltoGBjg/edit#gid=934712705"",""ESENCIAL!A6:BG""),8,FALSE))"),"")</f>
        <v/>
      </c>
      <c r="L323" s="287"/>
      <c r="Z323" s="41" t="str">
        <f t="shared" si="24"/>
        <v/>
      </c>
      <c r="AA323" s="5" t="str">
        <f ca="1">IFERROR(__xludf.DUMMYFUNCTION("IFERROR(VLOOKUP(E346&amp;F346,IMPORTRANGE(""https://docs.google.com/spreadsheets/d/1Uw7-A9f9R21vMXxHZFNpYNeKFtG8_yji4HS352LGlSQ/edit?pli=1#gid=0"",""1_ACUM!A4:S""),11,FALSE))"),"")</f>
        <v/>
      </c>
      <c r="AB323" s="42" t="str">
        <f ca="1">IFERROR(__xludf.DUMMYFUNCTION("IFERROR(VLOOKUP(F346,IMPORTRANGE(""https://docs.google.com/spreadsheets/d/1Kvs4KS76FHFqLFIZfrDMff4kP08nblUkihrxltoGBjg/edit#gid=934712705"",""ESENCIAL!A6:BG""),15,FALSE))"),"")</f>
        <v/>
      </c>
      <c r="AC323" s="110" t="str">
        <f ca="1">IFERROR(__xludf.DUMMYFUNCTION("IFERROR(VLOOKUP(E346&amp;F346,IMPORTRANGE(""https://docs.google.com/spreadsheets/d/1Uw7-A9f9R21vMXxHZFNpYNeKFtG8_yji4HS352LGlSQ/edit?pli=1#gid=0"",""1_ACUM!A4:S""),13,FALSE))"),"")</f>
        <v/>
      </c>
      <c r="AD323" s="43" t="str">
        <f ca="1">IFERROR(__xludf.DUMMYFUNCTION("IFERROR(VLOOKUP(E346&amp;F346,IMPORTRANGE(""https://docs.google.com/spreadsheets/d/1Uw7-A9f9R21vMXxHZFNpYNeKFtG8_yji4HS352LGlSQ/edit?pli=1#gid=0"",""1_ACUM!A4:S""),13,FALSE))"),"")</f>
        <v/>
      </c>
      <c r="AE323" s="43" t="str">
        <f ca="1">IFERROR(__xludf.DUMMYFUNCTION("IFERROR(VLOOKUP(E346&amp;F346,IMPORTRANGE(""https://docs.google.com/spreadsheets/d/1Uw7-A9f9R21vMXxHZFNpYNeKFtG8_yji4HS352LGlSQ/edit?pli=1#gid=0"",""1_ACUM!A4:S""),14,FALSE))"),"")</f>
        <v/>
      </c>
      <c r="AF323" s="43" t="str">
        <f ca="1">IFERROR(__xludf.DUMMYFUNCTION("IFERROR(VLOOKUP(E346&amp;F346,IMPORTRANGE(""https://docs.google.com/spreadsheets/d/1Uw7-A9f9R21vMXxHZFNpYNeKFtG8_yji4HS352LGlSQ/edit?pli=1#gid=0"",""1_ACUM!A4:S""),15,FALSE))"),"")</f>
        <v/>
      </c>
      <c r="AG323" s="43" t="str">
        <f ca="1">IFERROR(__xludf.DUMMYFUNCTION("IFERROR(VLOOKUP(E346&amp;F346,IMPORTRANGE(""https://docs.google.com/spreadsheets/d/1Uw7-A9f9R21vMXxHZFNpYNeKFtG8_yji4HS352LGlSQ/edit?pli=1#gid=0"",""1_ACUM!A4:S""),16,FALSE))"),"")</f>
        <v/>
      </c>
      <c r="AH323" s="43" t="str">
        <f ca="1">IFERROR(__xludf.DUMMYFUNCTION("IFERROR(VLOOKUP(E346&amp;F346,IMPORTRANGE(""https://docs.google.com/spreadsheets/d/1Uw7-A9f9R21vMXxHZFNpYNeKFtG8_yji4HS352LGlSQ/edit?pli=1#gid=0"",""1_ACUM!A4:S""),17,FALSE))"),"")</f>
        <v/>
      </c>
      <c r="AI323" s="44" t="str">
        <f ca="1">IFERROR(__xludf.DUMMYFUNCTION("IFERROR(VLOOKUP(E346&amp;F346,IMPORTRANGE(""https://docs.google.com/spreadsheets/d/1Uw7-A9f9R21vMXxHZFNpYNeKFtG8_yji4HS352LGlSQ/edit?pli=1#gid=0"",""1_ACUM!A4:S""),18,FALSE))"),"")</f>
        <v/>
      </c>
      <c r="AJ323" s="44" t="str">
        <f ca="1">IFERROR(__xludf.DUMMYFUNCTION("IFERROR(VLOOKUP(E346&amp;F346,IMPORTRANGE(""https://docs.google.com/spreadsheets/d/1Uw7-A9f9R21vMXxHZFNpYNeKFtG8_yji4HS352LGlSQ/edit?pli=1#gid=0"",""1_ACUM!A4:S""),19,FALSE))"),"")</f>
        <v/>
      </c>
      <c r="AK323" s="98" t="str">
        <f ca="1">IFERROR(__xludf.DUMMYFUNCTION("IFERROR(VLOOKUP(F346,IMPORTRANGE(""https://docs.google.com/spreadsheets/d/1Kvs4KS76FHFqLFIZfrDMff4kP08nblUkihrxltoGBjg/edit#gid=934712705"",""ESENCIAL!A6:BG""),5,FALSE))"),"")</f>
        <v/>
      </c>
      <c r="AL323" s="98" t="str">
        <f t="shared" si="25"/>
        <v/>
      </c>
      <c r="AM323" s="99" t="str">
        <f t="shared" si="26"/>
        <v/>
      </c>
      <c r="AN323" s="100" t="str">
        <f ca="1">IFERROR(__xludf.DUMMYFUNCTION("IFERROR(VLOOKUP(F346,IMPORTRANGE(""https://docs.google.com/spreadsheets/d/1Kvs4KS76FHFqLFIZfrDMff4kP08nblUkihrxltoGBjg/edit#gid=934712705"",""ESENCIAL!A6:BG""),2,FALSE))"),"")</f>
        <v/>
      </c>
      <c r="AO323" s="19" t="str">
        <f t="shared" si="20"/>
        <v/>
      </c>
      <c r="AP323" s="100"/>
      <c r="AQ323" s="100"/>
    </row>
    <row r="324" spans="1:43" ht="15">
      <c r="A324" s="101"/>
      <c r="B324" s="101"/>
      <c r="G324" s="5" t="str">
        <f ca="1">IFERROR(__xludf.DUMMYFUNCTION("IFERROR(VLOOKUP(F347,IMPORTRANGE(""https://docs.google.com/spreadsheets/d/1Kvs4KS76FHFqLFIZfrDMff4kP08nblUkihrxltoGBjg/edit#gid=934712705"",""ESENCIAL!A6:BG""),3,FALSE))"),"")</f>
        <v/>
      </c>
      <c r="H324" s="5" t="str">
        <f ca="1">IFERROR(__xludf.DUMMYFUNCTION("IFERROR(VLOOKUP(F347,IMPORTRANGE(""https://docs.google.com/spreadsheets/d/1Kvs4KS76FHFqLFIZfrDMff4kP08nblUkihrxltoGBjg/edit#gid=934712705"",""ESENCIAL!A6:BG""),8,FALSE))"),"")</f>
        <v/>
      </c>
      <c r="L324" s="287"/>
      <c r="Z324" s="41" t="str">
        <f t="shared" si="24"/>
        <v/>
      </c>
      <c r="AA324" s="5" t="str">
        <f ca="1">IFERROR(__xludf.DUMMYFUNCTION("IFERROR(VLOOKUP(E347&amp;F347,IMPORTRANGE(""https://docs.google.com/spreadsheets/d/1Uw7-A9f9R21vMXxHZFNpYNeKFtG8_yji4HS352LGlSQ/edit?pli=1#gid=0"",""1_ACUM!A4:S""),11,FALSE))"),"")</f>
        <v/>
      </c>
      <c r="AB324" s="42" t="str">
        <f ca="1">IFERROR(__xludf.DUMMYFUNCTION("IFERROR(VLOOKUP(F347,IMPORTRANGE(""https://docs.google.com/spreadsheets/d/1Kvs4KS76FHFqLFIZfrDMff4kP08nblUkihrxltoGBjg/edit#gid=934712705"",""ESENCIAL!A6:BG""),15,FALSE))"),"")</f>
        <v/>
      </c>
      <c r="AC324" s="110" t="str">
        <f ca="1">IFERROR(__xludf.DUMMYFUNCTION("IFERROR(VLOOKUP(E347&amp;F347,IMPORTRANGE(""https://docs.google.com/spreadsheets/d/1Uw7-A9f9R21vMXxHZFNpYNeKFtG8_yji4HS352LGlSQ/edit?pli=1#gid=0"",""1_ACUM!A4:S""),13,FALSE))"),"")</f>
        <v/>
      </c>
      <c r="AD324" s="43" t="str">
        <f ca="1">IFERROR(__xludf.DUMMYFUNCTION("IFERROR(VLOOKUP(E347&amp;F347,IMPORTRANGE(""https://docs.google.com/spreadsheets/d/1Uw7-A9f9R21vMXxHZFNpYNeKFtG8_yji4HS352LGlSQ/edit?pli=1#gid=0"",""1_ACUM!A4:S""),13,FALSE))"),"")</f>
        <v/>
      </c>
      <c r="AE324" s="43" t="str">
        <f ca="1">IFERROR(__xludf.DUMMYFUNCTION("IFERROR(VLOOKUP(E347&amp;F347,IMPORTRANGE(""https://docs.google.com/spreadsheets/d/1Uw7-A9f9R21vMXxHZFNpYNeKFtG8_yji4HS352LGlSQ/edit?pli=1#gid=0"",""1_ACUM!A4:S""),14,FALSE))"),"")</f>
        <v/>
      </c>
      <c r="AF324" s="43" t="str">
        <f ca="1">IFERROR(__xludf.DUMMYFUNCTION("IFERROR(VLOOKUP(E347&amp;F347,IMPORTRANGE(""https://docs.google.com/spreadsheets/d/1Uw7-A9f9R21vMXxHZFNpYNeKFtG8_yji4HS352LGlSQ/edit?pli=1#gid=0"",""1_ACUM!A4:S""),15,FALSE))"),"")</f>
        <v/>
      </c>
      <c r="AG324" s="43" t="str">
        <f ca="1">IFERROR(__xludf.DUMMYFUNCTION("IFERROR(VLOOKUP(E347&amp;F347,IMPORTRANGE(""https://docs.google.com/spreadsheets/d/1Uw7-A9f9R21vMXxHZFNpYNeKFtG8_yji4HS352LGlSQ/edit?pli=1#gid=0"",""1_ACUM!A4:S""),16,FALSE))"),"")</f>
        <v/>
      </c>
      <c r="AH324" s="43" t="str">
        <f ca="1">IFERROR(__xludf.DUMMYFUNCTION("IFERROR(VLOOKUP(E347&amp;F347,IMPORTRANGE(""https://docs.google.com/spreadsheets/d/1Uw7-A9f9R21vMXxHZFNpYNeKFtG8_yji4HS352LGlSQ/edit?pli=1#gid=0"",""1_ACUM!A4:S""),17,FALSE))"),"")</f>
        <v/>
      </c>
      <c r="AI324" s="44" t="str">
        <f ca="1">IFERROR(__xludf.DUMMYFUNCTION("IFERROR(VLOOKUP(E347&amp;F347,IMPORTRANGE(""https://docs.google.com/spreadsheets/d/1Uw7-A9f9R21vMXxHZFNpYNeKFtG8_yji4HS352LGlSQ/edit?pli=1#gid=0"",""1_ACUM!A4:S""),18,FALSE))"),"")</f>
        <v/>
      </c>
      <c r="AJ324" s="44" t="str">
        <f ca="1">IFERROR(__xludf.DUMMYFUNCTION("IFERROR(VLOOKUP(E347&amp;F347,IMPORTRANGE(""https://docs.google.com/spreadsheets/d/1Uw7-A9f9R21vMXxHZFNpYNeKFtG8_yji4HS352LGlSQ/edit?pli=1#gid=0"",""1_ACUM!A4:S""),19,FALSE))"),"")</f>
        <v/>
      </c>
      <c r="AK324" s="98" t="str">
        <f ca="1">IFERROR(__xludf.DUMMYFUNCTION("IFERROR(VLOOKUP(F347,IMPORTRANGE(""https://docs.google.com/spreadsheets/d/1Kvs4KS76FHFqLFIZfrDMff4kP08nblUkihrxltoGBjg/edit#gid=934712705"",""ESENCIAL!A6:BG""),5,FALSE))"),"")</f>
        <v/>
      </c>
      <c r="AL324" s="98" t="str">
        <f t="shared" si="25"/>
        <v/>
      </c>
      <c r="AM324" s="99" t="str">
        <f t="shared" si="26"/>
        <v/>
      </c>
      <c r="AN324" s="100" t="str">
        <f ca="1">IFERROR(__xludf.DUMMYFUNCTION("IFERROR(VLOOKUP(F347,IMPORTRANGE(""https://docs.google.com/spreadsheets/d/1Kvs4KS76FHFqLFIZfrDMff4kP08nblUkihrxltoGBjg/edit#gid=934712705"",""ESENCIAL!A6:BG""),2,FALSE))"),"")</f>
        <v/>
      </c>
      <c r="AO324" s="19" t="str">
        <f t="shared" si="20"/>
        <v/>
      </c>
      <c r="AP324" s="100"/>
      <c r="AQ324" s="100"/>
    </row>
    <row r="325" spans="1:43" ht="15">
      <c r="A325" s="101"/>
      <c r="B325" s="101"/>
      <c r="G325" s="5" t="str">
        <f ca="1">IFERROR(__xludf.DUMMYFUNCTION("IFERROR(VLOOKUP(F348,IMPORTRANGE(""https://docs.google.com/spreadsheets/d/1Kvs4KS76FHFqLFIZfrDMff4kP08nblUkihrxltoGBjg/edit#gid=934712705"",""ESENCIAL!A6:BG""),3,FALSE))"),"")</f>
        <v/>
      </c>
      <c r="H325" s="5" t="str">
        <f ca="1">IFERROR(__xludf.DUMMYFUNCTION("IFERROR(VLOOKUP(F348,IMPORTRANGE(""https://docs.google.com/spreadsheets/d/1Kvs4KS76FHFqLFIZfrDMff4kP08nblUkihrxltoGBjg/edit#gid=934712705"",""ESENCIAL!A6:BG""),8,FALSE))"),"")</f>
        <v/>
      </c>
      <c r="L325" s="287"/>
      <c r="Z325" s="41" t="str">
        <f t="shared" si="24"/>
        <v/>
      </c>
      <c r="AA325" s="5" t="str">
        <f ca="1">IFERROR(__xludf.DUMMYFUNCTION("IFERROR(VLOOKUP(E348&amp;F348,IMPORTRANGE(""https://docs.google.com/spreadsheets/d/1Uw7-A9f9R21vMXxHZFNpYNeKFtG8_yji4HS352LGlSQ/edit?pli=1#gid=0"",""1_ACUM!A4:S""),11,FALSE))"),"")</f>
        <v/>
      </c>
      <c r="AB325" s="42" t="str">
        <f ca="1">IFERROR(__xludf.DUMMYFUNCTION("IFERROR(VLOOKUP(F348,IMPORTRANGE(""https://docs.google.com/spreadsheets/d/1Kvs4KS76FHFqLFIZfrDMff4kP08nblUkihrxltoGBjg/edit#gid=934712705"",""ESENCIAL!A6:BG""),15,FALSE))"),"")</f>
        <v/>
      </c>
      <c r="AC325" s="110" t="str">
        <f ca="1">IFERROR(__xludf.DUMMYFUNCTION("IFERROR(VLOOKUP(E348&amp;F348,IMPORTRANGE(""https://docs.google.com/spreadsheets/d/1Uw7-A9f9R21vMXxHZFNpYNeKFtG8_yji4HS352LGlSQ/edit?pli=1#gid=0"",""1_ACUM!A4:S""),13,FALSE))"),"")</f>
        <v/>
      </c>
      <c r="AD325" s="43" t="str">
        <f ca="1">IFERROR(__xludf.DUMMYFUNCTION("IFERROR(VLOOKUP(E348&amp;F348,IMPORTRANGE(""https://docs.google.com/spreadsheets/d/1Uw7-A9f9R21vMXxHZFNpYNeKFtG8_yji4HS352LGlSQ/edit?pli=1#gid=0"",""1_ACUM!A4:S""),13,FALSE))"),"")</f>
        <v/>
      </c>
      <c r="AE325" s="43" t="str">
        <f ca="1">IFERROR(__xludf.DUMMYFUNCTION("IFERROR(VLOOKUP(E348&amp;F348,IMPORTRANGE(""https://docs.google.com/spreadsheets/d/1Uw7-A9f9R21vMXxHZFNpYNeKFtG8_yji4HS352LGlSQ/edit?pli=1#gid=0"",""1_ACUM!A4:S""),14,FALSE))"),"")</f>
        <v/>
      </c>
      <c r="AF325" s="43" t="str">
        <f ca="1">IFERROR(__xludf.DUMMYFUNCTION("IFERROR(VLOOKUP(E348&amp;F348,IMPORTRANGE(""https://docs.google.com/spreadsheets/d/1Uw7-A9f9R21vMXxHZFNpYNeKFtG8_yji4HS352LGlSQ/edit?pli=1#gid=0"",""1_ACUM!A4:S""),15,FALSE))"),"")</f>
        <v/>
      </c>
      <c r="AG325" s="43" t="str">
        <f ca="1">IFERROR(__xludf.DUMMYFUNCTION("IFERROR(VLOOKUP(E348&amp;F348,IMPORTRANGE(""https://docs.google.com/spreadsheets/d/1Uw7-A9f9R21vMXxHZFNpYNeKFtG8_yji4HS352LGlSQ/edit?pli=1#gid=0"",""1_ACUM!A4:S""),16,FALSE))"),"")</f>
        <v/>
      </c>
      <c r="AH325" s="43" t="str">
        <f ca="1">IFERROR(__xludf.DUMMYFUNCTION("IFERROR(VLOOKUP(E348&amp;F348,IMPORTRANGE(""https://docs.google.com/spreadsheets/d/1Uw7-A9f9R21vMXxHZFNpYNeKFtG8_yji4HS352LGlSQ/edit?pli=1#gid=0"",""1_ACUM!A4:S""),17,FALSE))"),"")</f>
        <v/>
      </c>
      <c r="AI325" s="44" t="str">
        <f ca="1">IFERROR(__xludf.DUMMYFUNCTION("IFERROR(VLOOKUP(E348&amp;F348,IMPORTRANGE(""https://docs.google.com/spreadsheets/d/1Uw7-A9f9R21vMXxHZFNpYNeKFtG8_yji4HS352LGlSQ/edit?pli=1#gid=0"",""1_ACUM!A4:S""),18,FALSE))"),"")</f>
        <v/>
      </c>
      <c r="AJ325" s="44" t="str">
        <f ca="1">IFERROR(__xludf.DUMMYFUNCTION("IFERROR(VLOOKUP(E348&amp;F348,IMPORTRANGE(""https://docs.google.com/spreadsheets/d/1Uw7-A9f9R21vMXxHZFNpYNeKFtG8_yji4HS352LGlSQ/edit?pli=1#gid=0"",""1_ACUM!A4:S""),19,FALSE))"),"")</f>
        <v/>
      </c>
      <c r="AK325" s="98" t="str">
        <f ca="1">IFERROR(__xludf.DUMMYFUNCTION("IFERROR(VLOOKUP(F348,IMPORTRANGE(""https://docs.google.com/spreadsheets/d/1Kvs4KS76FHFqLFIZfrDMff4kP08nblUkihrxltoGBjg/edit#gid=934712705"",""ESENCIAL!A6:BG""),5,FALSE))"),"")</f>
        <v/>
      </c>
      <c r="AL325" s="98" t="str">
        <f t="shared" si="25"/>
        <v/>
      </c>
      <c r="AM325" s="99" t="str">
        <f t="shared" si="26"/>
        <v/>
      </c>
      <c r="AN325" s="100" t="str">
        <f ca="1">IFERROR(__xludf.DUMMYFUNCTION("IFERROR(VLOOKUP(F348,IMPORTRANGE(""https://docs.google.com/spreadsheets/d/1Kvs4KS76FHFqLFIZfrDMff4kP08nblUkihrxltoGBjg/edit#gid=934712705"",""ESENCIAL!A6:BG""),2,FALSE))"),"")</f>
        <v/>
      </c>
      <c r="AO325" s="19" t="str">
        <f t="shared" si="20"/>
        <v/>
      </c>
      <c r="AP325" s="100"/>
      <c r="AQ325" s="100"/>
    </row>
    <row r="326" spans="1:43" ht="15">
      <c r="A326" s="101"/>
      <c r="B326" s="101"/>
      <c r="G326" s="5" t="str">
        <f ca="1">IFERROR(__xludf.DUMMYFUNCTION("IFERROR(VLOOKUP(F349,IMPORTRANGE(""https://docs.google.com/spreadsheets/d/1Kvs4KS76FHFqLFIZfrDMff4kP08nblUkihrxltoGBjg/edit#gid=934712705"",""ESENCIAL!A6:BG""),3,FALSE))"),"")</f>
        <v/>
      </c>
      <c r="H326" s="5" t="str">
        <f ca="1">IFERROR(__xludf.DUMMYFUNCTION("IFERROR(VLOOKUP(F349,IMPORTRANGE(""https://docs.google.com/spreadsheets/d/1Kvs4KS76FHFqLFIZfrDMff4kP08nblUkihrxltoGBjg/edit#gid=934712705"",""ESENCIAL!A6:BG""),8,FALSE))"),"")</f>
        <v/>
      </c>
      <c r="L326" s="287"/>
      <c r="Z326" s="41" t="str">
        <f t="shared" si="24"/>
        <v/>
      </c>
      <c r="AA326" s="5" t="str">
        <f ca="1">IFERROR(__xludf.DUMMYFUNCTION("IFERROR(VLOOKUP(E349&amp;F349,IMPORTRANGE(""https://docs.google.com/spreadsheets/d/1Uw7-A9f9R21vMXxHZFNpYNeKFtG8_yji4HS352LGlSQ/edit?pli=1#gid=0"",""1_ACUM!A4:S""),11,FALSE))"),"")</f>
        <v/>
      </c>
      <c r="AB326" s="42" t="str">
        <f ca="1">IFERROR(__xludf.DUMMYFUNCTION("IFERROR(VLOOKUP(F349,IMPORTRANGE(""https://docs.google.com/spreadsheets/d/1Kvs4KS76FHFqLFIZfrDMff4kP08nblUkihrxltoGBjg/edit#gid=934712705"",""ESENCIAL!A6:BG""),15,FALSE))"),"")</f>
        <v/>
      </c>
      <c r="AC326" s="110" t="str">
        <f ca="1">IFERROR(__xludf.DUMMYFUNCTION("IFERROR(VLOOKUP(E349&amp;F349,IMPORTRANGE(""https://docs.google.com/spreadsheets/d/1Uw7-A9f9R21vMXxHZFNpYNeKFtG8_yji4HS352LGlSQ/edit?pli=1#gid=0"",""1_ACUM!A4:S""),13,FALSE))"),"")</f>
        <v/>
      </c>
      <c r="AD326" s="43" t="str">
        <f ca="1">IFERROR(__xludf.DUMMYFUNCTION("IFERROR(VLOOKUP(E349&amp;F349,IMPORTRANGE(""https://docs.google.com/spreadsheets/d/1Uw7-A9f9R21vMXxHZFNpYNeKFtG8_yji4HS352LGlSQ/edit?pli=1#gid=0"",""1_ACUM!A4:S""),13,FALSE))"),"")</f>
        <v/>
      </c>
      <c r="AE326" s="43" t="str">
        <f ca="1">IFERROR(__xludf.DUMMYFUNCTION("IFERROR(VLOOKUP(E349&amp;F349,IMPORTRANGE(""https://docs.google.com/spreadsheets/d/1Uw7-A9f9R21vMXxHZFNpYNeKFtG8_yji4HS352LGlSQ/edit?pli=1#gid=0"",""1_ACUM!A4:S""),14,FALSE))"),"")</f>
        <v/>
      </c>
      <c r="AF326" s="43" t="str">
        <f ca="1">IFERROR(__xludf.DUMMYFUNCTION("IFERROR(VLOOKUP(E349&amp;F349,IMPORTRANGE(""https://docs.google.com/spreadsheets/d/1Uw7-A9f9R21vMXxHZFNpYNeKFtG8_yji4HS352LGlSQ/edit?pli=1#gid=0"",""1_ACUM!A4:S""),15,FALSE))"),"")</f>
        <v/>
      </c>
      <c r="AG326" s="43" t="str">
        <f ca="1">IFERROR(__xludf.DUMMYFUNCTION("IFERROR(VLOOKUP(E349&amp;F349,IMPORTRANGE(""https://docs.google.com/spreadsheets/d/1Uw7-A9f9R21vMXxHZFNpYNeKFtG8_yji4HS352LGlSQ/edit?pli=1#gid=0"",""1_ACUM!A4:S""),16,FALSE))"),"")</f>
        <v/>
      </c>
      <c r="AH326" s="43" t="str">
        <f ca="1">IFERROR(__xludf.DUMMYFUNCTION("IFERROR(VLOOKUP(E349&amp;F349,IMPORTRANGE(""https://docs.google.com/spreadsheets/d/1Uw7-A9f9R21vMXxHZFNpYNeKFtG8_yji4HS352LGlSQ/edit?pli=1#gid=0"",""1_ACUM!A4:S""),17,FALSE))"),"")</f>
        <v/>
      </c>
      <c r="AI326" s="44" t="str">
        <f ca="1">IFERROR(__xludf.DUMMYFUNCTION("IFERROR(VLOOKUP(E349&amp;F349,IMPORTRANGE(""https://docs.google.com/spreadsheets/d/1Uw7-A9f9R21vMXxHZFNpYNeKFtG8_yji4HS352LGlSQ/edit?pli=1#gid=0"",""1_ACUM!A4:S""),18,FALSE))"),"")</f>
        <v/>
      </c>
      <c r="AJ326" s="44" t="str">
        <f ca="1">IFERROR(__xludf.DUMMYFUNCTION("IFERROR(VLOOKUP(E349&amp;F349,IMPORTRANGE(""https://docs.google.com/spreadsheets/d/1Uw7-A9f9R21vMXxHZFNpYNeKFtG8_yji4HS352LGlSQ/edit?pli=1#gid=0"",""1_ACUM!A4:S""),19,FALSE))"),"")</f>
        <v/>
      </c>
      <c r="AK326" s="98" t="str">
        <f ca="1">IFERROR(__xludf.DUMMYFUNCTION("IFERROR(VLOOKUP(F349,IMPORTRANGE(""https://docs.google.com/spreadsheets/d/1Kvs4KS76FHFqLFIZfrDMff4kP08nblUkihrxltoGBjg/edit#gid=934712705"",""ESENCIAL!A6:BG""),5,FALSE))"),"")</f>
        <v/>
      </c>
      <c r="AL326" s="98" t="str">
        <f t="shared" si="25"/>
        <v/>
      </c>
      <c r="AM326" s="99" t="str">
        <f t="shared" si="26"/>
        <v/>
      </c>
      <c r="AN326" s="100" t="str">
        <f ca="1">IFERROR(__xludf.DUMMYFUNCTION("IFERROR(VLOOKUP(F349,IMPORTRANGE(""https://docs.google.com/spreadsheets/d/1Kvs4KS76FHFqLFIZfrDMff4kP08nblUkihrxltoGBjg/edit#gid=934712705"",""ESENCIAL!A6:BG""),2,FALSE))"),"")</f>
        <v/>
      </c>
      <c r="AO326" s="19" t="str">
        <f t="shared" si="20"/>
        <v/>
      </c>
      <c r="AP326" s="100"/>
      <c r="AQ326" s="100"/>
    </row>
    <row r="327" spans="1:43" ht="15">
      <c r="A327" s="101"/>
      <c r="B327" s="101"/>
      <c r="G327" s="5" t="str">
        <f ca="1">IFERROR(__xludf.DUMMYFUNCTION("IFERROR(VLOOKUP(F350,IMPORTRANGE(""https://docs.google.com/spreadsheets/d/1Kvs4KS76FHFqLFIZfrDMff4kP08nblUkihrxltoGBjg/edit#gid=934712705"",""ESENCIAL!A6:BG""),3,FALSE))"),"")</f>
        <v/>
      </c>
      <c r="H327" s="5" t="str">
        <f ca="1">IFERROR(__xludf.DUMMYFUNCTION("IFERROR(VLOOKUP(F350,IMPORTRANGE(""https://docs.google.com/spreadsheets/d/1Kvs4KS76FHFqLFIZfrDMff4kP08nblUkihrxltoGBjg/edit#gid=934712705"",""ESENCIAL!A6:BG""),8,FALSE))"),"")</f>
        <v/>
      </c>
      <c r="L327" s="287"/>
      <c r="Z327" s="41" t="str">
        <f t="shared" si="24"/>
        <v/>
      </c>
      <c r="AA327" s="5" t="str">
        <f ca="1">IFERROR(__xludf.DUMMYFUNCTION("IFERROR(VLOOKUP(E350&amp;F350,IMPORTRANGE(""https://docs.google.com/spreadsheets/d/1Uw7-A9f9R21vMXxHZFNpYNeKFtG8_yji4HS352LGlSQ/edit?pli=1#gid=0"",""1_ACUM!A4:S""),11,FALSE))"),"")</f>
        <v/>
      </c>
      <c r="AB327" s="42" t="str">
        <f ca="1">IFERROR(__xludf.DUMMYFUNCTION("IFERROR(VLOOKUP(F350,IMPORTRANGE(""https://docs.google.com/spreadsheets/d/1Kvs4KS76FHFqLFIZfrDMff4kP08nblUkihrxltoGBjg/edit#gid=934712705"",""ESENCIAL!A6:BG""),15,FALSE))"),"")</f>
        <v/>
      </c>
      <c r="AC327" s="110" t="str">
        <f ca="1">IFERROR(__xludf.DUMMYFUNCTION("IFERROR(VLOOKUP(E350&amp;F350,IMPORTRANGE(""https://docs.google.com/spreadsheets/d/1Uw7-A9f9R21vMXxHZFNpYNeKFtG8_yji4HS352LGlSQ/edit?pli=1#gid=0"",""1_ACUM!A4:S""),13,FALSE))"),"")</f>
        <v/>
      </c>
      <c r="AD327" s="43" t="str">
        <f ca="1">IFERROR(__xludf.DUMMYFUNCTION("IFERROR(VLOOKUP(E350&amp;F350,IMPORTRANGE(""https://docs.google.com/spreadsheets/d/1Uw7-A9f9R21vMXxHZFNpYNeKFtG8_yji4HS352LGlSQ/edit?pli=1#gid=0"",""1_ACUM!A4:S""),13,FALSE))"),"")</f>
        <v/>
      </c>
      <c r="AE327" s="43" t="str">
        <f ca="1">IFERROR(__xludf.DUMMYFUNCTION("IFERROR(VLOOKUP(E350&amp;F350,IMPORTRANGE(""https://docs.google.com/spreadsheets/d/1Uw7-A9f9R21vMXxHZFNpYNeKFtG8_yji4HS352LGlSQ/edit?pli=1#gid=0"",""1_ACUM!A4:S""),14,FALSE))"),"")</f>
        <v/>
      </c>
      <c r="AF327" s="43" t="str">
        <f ca="1">IFERROR(__xludf.DUMMYFUNCTION("IFERROR(VLOOKUP(E350&amp;F350,IMPORTRANGE(""https://docs.google.com/spreadsheets/d/1Uw7-A9f9R21vMXxHZFNpYNeKFtG8_yji4HS352LGlSQ/edit?pli=1#gid=0"",""1_ACUM!A4:S""),15,FALSE))"),"")</f>
        <v/>
      </c>
      <c r="AG327" s="43" t="str">
        <f ca="1">IFERROR(__xludf.DUMMYFUNCTION("IFERROR(VLOOKUP(E350&amp;F350,IMPORTRANGE(""https://docs.google.com/spreadsheets/d/1Uw7-A9f9R21vMXxHZFNpYNeKFtG8_yji4HS352LGlSQ/edit?pli=1#gid=0"",""1_ACUM!A4:S""),16,FALSE))"),"")</f>
        <v/>
      </c>
      <c r="AH327" s="43" t="str">
        <f ca="1">IFERROR(__xludf.DUMMYFUNCTION("IFERROR(VLOOKUP(E350&amp;F350,IMPORTRANGE(""https://docs.google.com/spreadsheets/d/1Uw7-A9f9R21vMXxHZFNpYNeKFtG8_yji4HS352LGlSQ/edit?pli=1#gid=0"",""1_ACUM!A4:S""),17,FALSE))"),"")</f>
        <v/>
      </c>
      <c r="AI327" s="44" t="str">
        <f ca="1">IFERROR(__xludf.DUMMYFUNCTION("IFERROR(VLOOKUP(E350&amp;F350,IMPORTRANGE(""https://docs.google.com/spreadsheets/d/1Uw7-A9f9R21vMXxHZFNpYNeKFtG8_yji4HS352LGlSQ/edit?pli=1#gid=0"",""1_ACUM!A4:S""),18,FALSE))"),"")</f>
        <v/>
      </c>
      <c r="AJ327" s="44" t="str">
        <f ca="1">IFERROR(__xludf.DUMMYFUNCTION("IFERROR(VLOOKUP(E350&amp;F350,IMPORTRANGE(""https://docs.google.com/spreadsheets/d/1Uw7-A9f9R21vMXxHZFNpYNeKFtG8_yji4HS352LGlSQ/edit?pli=1#gid=0"",""1_ACUM!A4:S""),19,FALSE))"),"")</f>
        <v/>
      </c>
      <c r="AK327" s="98" t="str">
        <f ca="1">IFERROR(__xludf.DUMMYFUNCTION("IFERROR(VLOOKUP(F350,IMPORTRANGE(""https://docs.google.com/spreadsheets/d/1Kvs4KS76FHFqLFIZfrDMff4kP08nblUkihrxltoGBjg/edit#gid=934712705"",""ESENCIAL!A6:BG""),5,FALSE))"),"")</f>
        <v/>
      </c>
      <c r="AL327" s="98" t="str">
        <f t="shared" si="25"/>
        <v/>
      </c>
      <c r="AM327" s="99" t="str">
        <f t="shared" si="26"/>
        <v/>
      </c>
      <c r="AN327" s="100" t="str">
        <f ca="1">IFERROR(__xludf.DUMMYFUNCTION("IFERROR(VLOOKUP(F350,IMPORTRANGE(""https://docs.google.com/spreadsheets/d/1Kvs4KS76FHFqLFIZfrDMff4kP08nblUkihrxltoGBjg/edit#gid=934712705"",""ESENCIAL!A6:BG""),2,FALSE))"),"")</f>
        <v/>
      </c>
      <c r="AO327" s="19" t="str">
        <f t="shared" si="20"/>
        <v/>
      </c>
      <c r="AP327" s="100"/>
      <c r="AQ327" s="100"/>
    </row>
    <row r="328" spans="1:43" ht="15">
      <c r="A328" s="101"/>
      <c r="B328" s="101"/>
      <c r="G328" s="5" t="str">
        <f ca="1">IFERROR(__xludf.DUMMYFUNCTION("IFERROR(VLOOKUP(F351,IMPORTRANGE(""https://docs.google.com/spreadsheets/d/1Kvs4KS76FHFqLFIZfrDMff4kP08nblUkihrxltoGBjg/edit#gid=934712705"",""ESENCIAL!A6:BG""),3,FALSE))"),"")</f>
        <v/>
      </c>
      <c r="H328" s="5" t="str">
        <f ca="1">IFERROR(__xludf.DUMMYFUNCTION("IFERROR(VLOOKUP(F351,IMPORTRANGE(""https://docs.google.com/spreadsheets/d/1Kvs4KS76FHFqLFIZfrDMff4kP08nblUkihrxltoGBjg/edit#gid=934712705"",""ESENCIAL!A6:BG""),8,FALSE))"),"")</f>
        <v/>
      </c>
      <c r="L328" s="287"/>
      <c r="Z328" s="41" t="str">
        <f t="shared" si="24"/>
        <v/>
      </c>
      <c r="AA328" s="5" t="str">
        <f ca="1">IFERROR(__xludf.DUMMYFUNCTION("IFERROR(VLOOKUP(E351&amp;F351,IMPORTRANGE(""https://docs.google.com/spreadsheets/d/1Uw7-A9f9R21vMXxHZFNpYNeKFtG8_yji4HS352LGlSQ/edit?pli=1#gid=0"",""1_ACUM!A4:S""),11,FALSE))"),"")</f>
        <v/>
      </c>
      <c r="AB328" s="42" t="str">
        <f ca="1">IFERROR(__xludf.DUMMYFUNCTION("IFERROR(VLOOKUP(F351,IMPORTRANGE(""https://docs.google.com/spreadsheets/d/1Kvs4KS76FHFqLFIZfrDMff4kP08nblUkihrxltoGBjg/edit#gid=934712705"",""ESENCIAL!A6:BG""),15,FALSE))"),"")</f>
        <v/>
      </c>
      <c r="AC328" s="110" t="str">
        <f ca="1">IFERROR(__xludf.DUMMYFUNCTION("IFERROR(VLOOKUP(E351&amp;F351,IMPORTRANGE(""https://docs.google.com/spreadsheets/d/1Uw7-A9f9R21vMXxHZFNpYNeKFtG8_yji4HS352LGlSQ/edit?pli=1#gid=0"",""1_ACUM!A4:S""),13,FALSE))"),"")</f>
        <v/>
      </c>
      <c r="AD328" s="43" t="str">
        <f ca="1">IFERROR(__xludf.DUMMYFUNCTION("IFERROR(VLOOKUP(E351&amp;F351,IMPORTRANGE(""https://docs.google.com/spreadsheets/d/1Uw7-A9f9R21vMXxHZFNpYNeKFtG8_yji4HS352LGlSQ/edit?pli=1#gid=0"",""1_ACUM!A4:S""),13,FALSE))"),"")</f>
        <v/>
      </c>
      <c r="AE328" s="43" t="str">
        <f ca="1">IFERROR(__xludf.DUMMYFUNCTION("IFERROR(VLOOKUP(E351&amp;F351,IMPORTRANGE(""https://docs.google.com/spreadsheets/d/1Uw7-A9f9R21vMXxHZFNpYNeKFtG8_yji4HS352LGlSQ/edit?pli=1#gid=0"",""1_ACUM!A4:S""),14,FALSE))"),"")</f>
        <v/>
      </c>
      <c r="AF328" s="43" t="str">
        <f ca="1">IFERROR(__xludf.DUMMYFUNCTION("IFERROR(VLOOKUP(E351&amp;F351,IMPORTRANGE(""https://docs.google.com/spreadsheets/d/1Uw7-A9f9R21vMXxHZFNpYNeKFtG8_yji4HS352LGlSQ/edit?pli=1#gid=0"",""1_ACUM!A4:S""),15,FALSE))"),"")</f>
        <v/>
      </c>
      <c r="AG328" s="43" t="str">
        <f ca="1">IFERROR(__xludf.DUMMYFUNCTION("IFERROR(VLOOKUP(E351&amp;F351,IMPORTRANGE(""https://docs.google.com/spreadsheets/d/1Uw7-A9f9R21vMXxHZFNpYNeKFtG8_yji4HS352LGlSQ/edit?pli=1#gid=0"",""1_ACUM!A4:S""),16,FALSE))"),"")</f>
        <v/>
      </c>
      <c r="AH328" s="43" t="str">
        <f ca="1">IFERROR(__xludf.DUMMYFUNCTION("IFERROR(VLOOKUP(E351&amp;F351,IMPORTRANGE(""https://docs.google.com/spreadsheets/d/1Uw7-A9f9R21vMXxHZFNpYNeKFtG8_yji4HS352LGlSQ/edit?pli=1#gid=0"",""1_ACUM!A4:S""),17,FALSE))"),"")</f>
        <v/>
      </c>
      <c r="AI328" s="44" t="str">
        <f ca="1">IFERROR(__xludf.DUMMYFUNCTION("IFERROR(VLOOKUP(E351&amp;F351,IMPORTRANGE(""https://docs.google.com/spreadsheets/d/1Uw7-A9f9R21vMXxHZFNpYNeKFtG8_yji4HS352LGlSQ/edit?pli=1#gid=0"",""1_ACUM!A4:S""),18,FALSE))"),"")</f>
        <v/>
      </c>
      <c r="AJ328" s="44" t="str">
        <f ca="1">IFERROR(__xludf.DUMMYFUNCTION("IFERROR(VLOOKUP(E351&amp;F351,IMPORTRANGE(""https://docs.google.com/spreadsheets/d/1Uw7-A9f9R21vMXxHZFNpYNeKFtG8_yji4HS352LGlSQ/edit?pli=1#gid=0"",""1_ACUM!A4:S""),19,FALSE))"),"")</f>
        <v/>
      </c>
      <c r="AK328" s="98" t="str">
        <f ca="1">IFERROR(__xludf.DUMMYFUNCTION("IFERROR(VLOOKUP(F351,IMPORTRANGE(""https://docs.google.com/spreadsheets/d/1Kvs4KS76FHFqLFIZfrDMff4kP08nblUkihrxltoGBjg/edit#gid=934712705"",""ESENCIAL!A6:BG""),5,FALSE))"),"")</f>
        <v/>
      </c>
      <c r="AL328" s="98" t="str">
        <f t="shared" si="25"/>
        <v/>
      </c>
      <c r="AM328" s="99" t="str">
        <f t="shared" si="26"/>
        <v/>
      </c>
      <c r="AN328" s="100" t="str">
        <f ca="1">IFERROR(__xludf.DUMMYFUNCTION("IFERROR(VLOOKUP(F351,IMPORTRANGE(""https://docs.google.com/spreadsheets/d/1Kvs4KS76FHFqLFIZfrDMff4kP08nblUkihrxltoGBjg/edit#gid=934712705"",""ESENCIAL!A6:BG""),2,FALSE))"),"")</f>
        <v/>
      </c>
      <c r="AO328" s="19" t="str">
        <f t="shared" si="20"/>
        <v/>
      </c>
      <c r="AP328" s="100"/>
      <c r="AQ328" s="100"/>
    </row>
    <row r="329" spans="1:43" ht="15">
      <c r="A329" s="101"/>
      <c r="B329" s="101"/>
      <c r="G329" s="5" t="str">
        <f ca="1">IFERROR(__xludf.DUMMYFUNCTION("IFERROR(VLOOKUP(F352,IMPORTRANGE(""https://docs.google.com/spreadsheets/d/1Kvs4KS76FHFqLFIZfrDMff4kP08nblUkihrxltoGBjg/edit#gid=934712705"",""ESENCIAL!A6:BG""),3,FALSE))"),"")</f>
        <v/>
      </c>
      <c r="H329" s="5" t="str">
        <f ca="1">IFERROR(__xludf.DUMMYFUNCTION("IFERROR(VLOOKUP(F352,IMPORTRANGE(""https://docs.google.com/spreadsheets/d/1Kvs4KS76FHFqLFIZfrDMff4kP08nblUkihrxltoGBjg/edit#gid=934712705"",""ESENCIAL!A6:BG""),8,FALSE))"),"")</f>
        <v/>
      </c>
      <c r="L329" s="287"/>
      <c r="Z329" s="41" t="str">
        <f t="shared" si="24"/>
        <v/>
      </c>
      <c r="AA329" s="5" t="str">
        <f ca="1">IFERROR(__xludf.DUMMYFUNCTION("IFERROR(VLOOKUP(E352&amp;F352,IMPORTRANGE(""https://docs.google.com/spreadsheets/d/1Uw7-A9f9R21vMXxHZFNpYNeKFtG8_yji4HS352LGlSQ/edit?pli=1#gid=0"",""1_ACUM!A4:S""),11,FALSE))"),"")</f>
        <v/>
      </c>
      <c r="AB329" s="42" t="str">
        <f ca="1">IFERROR(__xludf.DUMMYFUNCTION("IFERROR(VLOOKUP(F352,IMPORTRANGE(""https://docs.google.com/spreadsheets/d/1Kvs4KS76FHFqLFIZfrDMff4kP08nblUkihrxltoGBjg/edit#gid=934712705"",""ESENCIAL!A6:BG""),15,FALSE))"),"")</f>
        <v/>
      </c>
      <c r="AC329" s="110" t="str">
        <f ca="1">IFERROR(__xludf.DUMMYFUNCTION("IFERROR(VLOOKUP(E352&amp;F352,IMPORTRANGE(""https://docs.google.com/spreadsheets/d/1Uw7-A9f9R21vMXxHZFNpYNeKFtG8_yji4HS352LGlSQ/edit?pli=1#gid=0"",""1_ACUM!A4:S""),13,FALSE))"),"")</f>
        <v/>
      </c>
      <c r="AD329" s="43" t="str">
        <f ca="1">IFERROR(__xludf.DUMMYFUNCTION("IFERROR(VLOOKUP(E352&amp;F352,IMPORTRANGE(""https://docs.google.com/spreadsheets/d/1Uw7-A9f9R21vMXxHZFNpYNeKFtG8_yji4HS352LGlSQ/edit?pli=1#gid=0"",""1_ACUM!A4:S""),13,FALSE))"),"")</f>
        <v/>
      </c>
      <c r="AE329" s="43" t="str">
        <f ca="1">IFERROR(__xludf.DUMMYFUNCTION("IFERROR(VLOOKUP(E352&amp;F352,IMPORTRANGE(""https://docs.google.com/spreadsheets/d/1Uw7-A9f9R21vMXxHZFNpYNeKFtG8_yji4HS352LGlSQ/edit?pli=1#gid=0"",""1_ACUM!A4:S""),14,FALSE))"),"")</f>
        <v/>
      </c>
      <c r="AF329" s="43" t="str">
        <f ca="1">IFERROR(__xludf.DUMMYFUNCTION("IFERROR(VLOOKUP(E352&amp;F352,IMPORTRANGE(""https://docs.google.com/spreadsheets/d/1Uw7-A9f9R21vMXxHZFNpYNeKFtG8_yji4HS352LGlSQ/edit?pli=1#gid=0"",""1_ACUM!A4:S""),15,FALSE))"),"")</f>
        <v/>
      </c>
      <c r="AG329" s="43" t="str">
        <f ca="1">IFERROR(__xludf.DUMMYFUNCTION("IFERROR(VLOOKUP(E352&amp;F352,IMPORTRANGE(""https://docs.google.com/spreadsheets/d/1Uw7-A9f9R21vMXxHZFNpYNeKFtG8_yji4HS352LGlSQ/edit?pli=1#gid=0"",""1_ACUM!A4:S""),16,FALSE))"),"")</f>
        <v/>
      </c>
      <c r="AH329" s="43" t="str">
        <f ca="1">IFERROR(__xludf.DUMMYFUNCTION("IFERROR(VLOOKUP(E352&amp;F352,IMPORTRANGE(""https://docs.google.com/spreadsheets/d/1Uw7-A9f9R21vMXxHZFNpYNeKFtG8_yji4HS352LGlSQ/edit?pli=1#gid=0"",""1_ACUM!A4:S""),17,FALSE))"),"")</f>
        <v/>
      </c>
      <c r="AI329" s="44" t="str">
        <f ca="1">IFERROR(__xludf.DUMMYFUNCTION("IFERROR(VLOOKUP(E352&amp;F352,IMPORTRANGE(""https://docs.google.com/spreadsheets/d/1Uw7-A9f9R21vMXxHZFNpYNeKFtG8_yji4HS352LGlSQ/edit?pli=1#gid=0"",""1_ACUM!A4:S""),18,FALSE))"),"")</f>
        <v/>
      </c>
      <c r="AJ329" s="44" t="str">
        <f ca="1">IFERROR(__xludf.DUMMYFUNCTION("IFERROR(VLOOKUP(E352&amp;F352,IMPORTRANGE(""https://docs.google.com/spreadsheets/d/1Uw7-A9f9R21vMXxHZFNpYNeKFtG8_yji4HS352LGlSQ/edit?pli=1#gid=0"",""1_ACUM!A4:S""),19,FALSE))"),"")</f>
        <v/>
      </c>
      <c r="AK329" s="98" t="str">
        <f ca="1">IFERROR(__xludf.DUMMYFUNCTION("IFERROR(VLOOKUP(F352,IMPORTRANGE(""https://docs.google.com/spreadsheets/d/1Kvs4KS76FHFqLFIZfrDMff4kP08nblUkihrxltoGBjg/edit#gid=934712705"",""ESENCIAL!A6:BG""),5,FALSE))"),"")</f>
        <v/>
      </c>
      <c r="AL329" s="98" t="str">
        <f t="shared" si="25"/>
        <v/>
      </c>
      <c r="AM329" s="99" t="str">
        <f t="shared" si="26"/>
        <v/>
      </c>
      <c r="AN329" s="100" t="str">
        <f ca="1">IFERROR(__xludf.DUMMYFUNCTION("IFERROR(VLOOKUP(F352,IMPORTRANGE(""https://docs.google.com/spreadsheets/d/1Kvs4KS76FHFqLFIZfrDMff4kP08nblUkihrxltoGBjg/edit#gid=934712705"",""ESENCIAL!A6:BG""),2,FALSE))"),"")</f>
        <v/>
      </c>
      <c r="AO329" s="19" t="str">
        <f t="shared" si="20"/>
        <v/>
      </c>
      <c r="AP329" s="100"/>
      <c r="AQ329" s="100"/>
    </row>
    <row r="330" spans="1:43" ht="15">
      <c r="A330" s="101"/>
      <c r="B330" s="101"/>
      <c r="G330" s="5" t="str">
        <f ca="1">IFERROR(__xludf.DUMMYFUNCTION("IFERROR(VLOOKUP(F353,IMPORTRANGE(""https://docs.google.com/spreadsheets/d/1Kvs4KS76FHFqLFIZfrDMff4kP08nblUkihrxltoGBjg/edit#gid=934712705"",""ESENCIAL!A6:BG""),3,FALSE))"),"")</f>
        <v/>
      </c>
      <c r="H330" s="5" t="str">
        <f ca="1">IFERROR(__xludf.DUMMYFUNCTION("IFERROR(VLOOKUP(F353,IMPORTRANGE(""https://docs.google.com/spreadsheets/d/1Kvs4KS76FHFqLFIZfrDMff4kP08nblUkihrxltoGBjg/edit#gid=934712705"",""ESENCIAL!A6:BG""),8,FALSE))"),"")</f>
        <v/>
      </c>
      <c r="L330" s="287"/>
      <c r="Z330" s="41" t="str">
        <f t="shared" si="24"/>
        <v/>
      </c>
      <c r="AA330" s="5" t="str">
        <f ca="1">IFERROR(__xludf.DUMMYFUNCTION("IFERROR(VLOOKUP(E353&amp;F353,IMPORTRANGE(""https://docs.google.com/spreadsheets/d/1Uw7-A9f9R21vMXxHZFNpYNeKFtG8_yji4HS352LGlSQ/edit?pli=1#gid=0"",""1_ACUM!A4:S""),11,FALSE))"),"")</f>
        <v/>
      </c>
      <c r="AB330" s="42" t="str">
        <f ca="1">IFERROR(__xludf.DUMMYFUNCTION("IFERROR(VLOOKUP(F353,IMPORTRANGE(""https://docs.google.com/spreadsheets/d/1Kvs4KS76FHFqLFIZfrDMff4kP08nblUkihrxltoGBjg/edit#gid=934712705"",""ESENCIAL!A6:BG""),15,FALSE))"),"")</f>
        <v/>
      </c>
      <c r="AC330" s="110" t="str">
        <f ca="1">IFERROR(__xludf.DUMMYFUNCTION("IFERROR(VLOOKUP(E353&amp;F353,IMPORTRANGE(""https://docs.google.com/spreadsheets/d/1Uw7-A9f9R21vMXxHZFNpYNeKFtG8_yji4HS352LGlSQ/edit?pli=1#gid=0"",""1_ACUM!A4:S""),13,FALSE))"),"")</f>
        <v/>
      </c>
      <c r="AD330" s="43" t="str">
        <f ca="1">IFERROR(__xludf.DUMMYFUNCTION("IFERROR(VLOOKUP(E353&amp;F353,IMPORTRANGE(""https://docs.google.com/spreadsheets/d/1Uw7-A9f9R21vMXxHZFNpYNeKFtG8_yji4HS352LGlSQ/edit?pli=1#gid=0"",""1_ACUM!A4:S""),13,FALSE))"),"")</f>
        <v/>
      </c>
      <c r="AE330" s="43" t="str">
        <f ca="1">IFERROR(__xludf.DUMMYFUNCTION("IFERROR(VLOOKUP(E353&amp;F353,IMPORTRANGE(""https://docs.google.com/spreadsheets/d/1Uw7-A9f9R21vMXxHZFNpYNeKFtG8_yji4HS352LGlSQ/edit?pli=1#gid=0"",""1_ACUM!A4:S""),14,FALSE))"),"")</f>
        <v/>
      </c>
      <c r="AF330" s="43" t="str">
        <f ca="1">IFERROR(__xludf.DUMMYFUNCTION("IFERROR(VLOOKUP(E353&amp;F353,IMPORTRANGE(""https://docs.google.com/spreadsheets/d/1Uw7-A9f9R21vMXxHZFNpYNeKFtG8_yji4HS352LGlSQ/edit?pli=1#gid=0"",""1_ACUM!A4:S""),15,FALSE))"),"")</f>
        <v/>
      </c>
      <c r="AG330" s="43" t="str">
        <f ca="1">IFERROR(__xludf.DUMMYFUNCTION("IFERROR(VLOOKUP(E353&amp;F353,IMPORTRANGE(""https://docs.google.com/spreadsheets/d/1Uw7-A9f9R21vMXxHZFNpYNeKFtG8_yji4HS352LGlSQ/edit?pli=1#gid=0"",""1_ACUM!A4:S""),16,FALSE))"),"")</f>
        <v/>
      </c>
      <c r="AH330" s="43" t="str">
        <f ca="1">IFERROR(__xludf.DUMMYFUNCTION("IFERROR(VLOOKUP(E353&amp;F353,IMPORTRANGE(""https://docs.google.com/spreadsheets/d/1Uw7-A9f9R21vMXxHZFNpYNeKFtG8_yji4HS352LGlSQ/edit?pli=1#gid=0"",""1_ACUM!A4:S""),17,FALSE))"),"")</f>
        <v/>
      </c>
      <c r="AI330" s="44" t="str">
        <f ca="1">IFERROR(__xludf.DUMMYFUNCTION("IFERROR(VLOOKUP(E353&amp;F353,IMPORTRANGE(""https://docs.google.com/spreadsheets/d/1Uw7-A9f9R21vMXxHZFNpYNeKFtG8_yji4HS352LGlSQ/edit?pli=1#gid=0"",""1_ACUM!A4:S""),18,FALSE))"),"")</f>
        <v/>
      </c>
      <c r="AJ330" s="44" t="str">
        <f ca="1">IFERROR(__xludf.DUMMYFUNCTION("IFERROR(VLOOKUP(E353&amp;F353,IMPORTRANGE(""https://docs.google.com/spreadsheets/d/1Uw7-A9f9R21vMXxHZFNpYNeKFtG8_yji4HS352LGlSQ/edit?pli=1#gid=0"",""1_ACUM!A4:S""),19,FALSE))"),"")</f>
        <v/>
      </c>
      <c r="AK330" s="98" t="str">
        <f ca="1">IFERROR(__xludf.DUMMYFUNCTION("IFERROR(VLOOKUP(F353,IMPORTRANGE(""https://docs.google.com/spreadsheets/d/1Kvs4KS76FHFqLFIZfrDMff4kP08nblUkihrxltoGBjg/edit#gid=934712705"",""ESENCIAL!A6:BG""),5,FALSE))"),"")</f>
        <v/>
      </c>
      <c r="AL330" s="98" t="str">
        <f t="shared" si="25"/>
        <v/>
      </c>
      <c r="AM330" s="99" t="str">
        <f t="shared" si="26"/>
        <v/>
      </c>
      <c r="AN330" s="100" t="str">
        <f ca="1">IFERROR(__xludf.DUMMYFUNCTION("IFERROR(VLOOKUP(F353,IMPORTRANGE(""https://docs.google.com/spreadsheets/d/1Kvs4KS76FHFqLFIZfrDMff4kP08nblUkihrxltoGBjg/edit#gid=934712705"",""ESENCIAL!A6:BG""),2,FALSE))"),"")</f>
        <v/>
      </c>
      <c r="AO330" s="19" t="str">
        <f t="shared" si="20"/>
        <v/>
      </c>
      <c r="AP330" s="100"/>
      <c r="AQ330" s="100"/>
    </row>
    <row r="331" spans="1:43" ht="15">
      <c r="A331" s="101"/>
      <c r="B331" s="101"/>
      <c r="G331" s="5" t="str">
        <f ca="1">IFERROR(__xludf.DUMMYFUNCTION("IFERROR(VLOOKUP(F354,IMPORTRANGE(""https://docs.google.com/spreadsheets/d/1Kvs4KS76FHFqLFIZfrDMff4kP08nblUkihrxltoGBjg/edit#gid=934712705"",""ESENCIAL!A6:BG""),3,FALSE))"),"")</f>
        <v/>
      </c>
      <c r="H331" s="5" t="str">
        <f ca="1">IFERROR(__xludf.DUMMYFUNCTION("IFERROR(VLOOKUP(F354,IMPORTRANGE(""https://docs.google.com/spreadsheets/d/1Kvs4KS76FHFqLFIZfrDMff4kP08nblUkihrxltoGBjg/edit#gid=934712705"",""ESENCIAL!A6:BG""),8,FALSE))"),"")</f>
        <v/>
      </c>
      <c r="L331" s="287"/>
      <c r="Z331" s="41" t="str">
        <f t="shared" si="24"/>
        <v/>
      </c>
      <c r="AA331" s="5" t="str">
        <f ca="1">IFERROR(__xludf.DUMMYFUNCTION("IFERROR(VLOOKUP(E354&amp;F354,IMPORTRANGE(""https://docs.google.com/spreadsheets/d/1Uw7-A9f9R21vMXxHZFNpYNeKFtG8_yji4HS352LGlSQ/edit?pli=1#gid=0"",""1_ACUM!A4:S""),11,FALSE))"),"")</f>
        <v/>
      </c>
      <c r="AB331" s="42" t="str">
        <f ca="1">IFERROR(__xludf.DUMMYFUNCTION("IFERROR(VLOOKUP(F354,IMPORTRANGE(""https://docs.google.com/spreadsheets/d/1Kvs4KS76FHFqLFIZfrDMff4kP08nblUkihrxltoGBjg/edit#gid=934712705"",""ESENCIAL!A6:BG""),15,FALSE))"),"")</f>
        <v/>
      </c>
      <c r="AC331" s="110" t="str">
        <f ca="1">IFERROR(__xludf.DUMMYFUNCTION("IFERROR(VLOOKUP(E354&amp;F354,IMPORTRANGE(""https://docs.google.com/spreadsheets/d/1Uw7-A9f9R21vMXxHZFNpYNeKFtG8_yji4HS352LGlSQ/edit?pli=1#gid=0"",""1_ACUM!A4:S""),13,FALSE))"),"")</f>
        <v/>
      </c>
      <c r="AD331" s="43" t="str">
        <f ca="1">IFERROR(__xludf.DUMMYFUNCTION("IFERROR(VLOOKUP(E354&amp;F354,IMPORTRANGE(""https://docs.google.com/spreadsheets/d/1Uw7-A9f9R21vMXxHZFNpYNeKFtG8_yji4HS352LGlSQ/edit?pli=1#gid=0"",""1_ACUM!A4:S""),13,FALSE))"),"")</f>
        <v/>
      </c>
      <c r="AE331" s="43" t="str">
        <f ca="1">IFERROR(__xludf.DUMMYFUNCTION("IFERROR(VLOOKUP(E354&amp;F354,IMPORTRANGE(""https://docs.google.com/spreadsheets/d/1Uw7-A9f9R21vMXxHZFNpYNeKFtG8_yji4HS352LGlSQ/edit?pli=1#gid=0"",""1_ACUM!A4:S""),14,FALSE))"),"")</f>
        <v/>
      </c>
      <c r="AF331" s="43" t="str">
        <f ca="1">IFERROR(__xludf.DUMMYFUNCTION("IFERROR(VLOOKUP(E354&amp;F354,IMPORTRANGE(""https://docs.google.com/spreadsheets/d/1Uw7-A9f9R21vMXxHZFNpYNeKFtG8_yji4HS352LGlSQ/edit?pli=1#gid=0"",""1_ACUM!A4:S""),15,FALSE))"),"")</f>
        <v/>
      </c>
      <c r="AG331" s="43" t="str">
        <f ca="1">IFERROR(__xludf.DUMMYFUNCTION("IFERROR(VLOOKUP(E354&amp;F354,IMPORTRANGE(""https://docs.google.com/spreadsheets/d/1Uw7-A9f9R21vMXxHZFNpYNeKFtG8_yji4HS352LGlSQ/edit?pli=1#gid=0"",""1_ACUM!A4:S""),16,FALSE))"),"")</f>
        <v/>
      </c>
      <c r="AH331" s="43" t="str">
        <f ca="1">IFERROR(__xludf.DUMMYFUNCTION("IFERROR(VLOOKUP(E354&amp;F354,IMPORTRANGE(""https://docs.google.com/spreadsheets/d/1Uw7-A9f9R21vMXxHZFNpYNeKFtG8_yji4HS352LGlSQ/edit?pli=1#gid=0"",""1_ACUM!A4:S""),17,FALSE))"),"")</f>
        <v/>
      </c>
      <c r="AI331" s="44" t="str">
        <f ca="1">IFERROR(__xludf.DUMMYFUNCTION("IFERROR(VLOOKUP(E354&amp;F354,IMPORTRANGE(""https://docs.google.com/spreadsheets/d/1Uw7-A9f9R21vMXxHZFNpYNeKFtG8_yji4HS352LGlSQ/edit?pli=1#gid=0"",""1_ACUM!A4:S""),18,FALSE))"),"")</f>
        <v/>
      </c>
      <c r="AJ331" s="44" t="str">
        <f ca="1">IFERROR(__xludf.DUMMYFUNCTION("IFERROR(VLOOKUP(E354&amp;F354,IMPORTRANGE(""https://docs.google.com/spreadsheets/d/1Uw7-A9f9R21vMXxHZFNpYNeKFtG8_yji4HS352LGlSQ/edit?pli=1#gid=0"",""1_ACUM!A4:S""),19,FALSE))"),"")</f>
        <v/>
      </c>
      <c r="AK331" s="98" t="str">
        <f ca="1">IFERROR(__xludf.DUMMYFUNCTION("IFERROR(VLOOKUP(F354,IMPORTRANGE(""https://docs.google.com/spreadsheets/d/1Kvs4KS76FHFqLFIZfrDMff4kP08nblUkihrxltoGBjg/edit#gid=934712705"",""ESENCIAL!A6:BG""),5,FALSE))"),"")</f>
        <v/>
      </c>
      <c r="AL331" s="98" t="str">
        <f t="shared" si="25"/>
        <v/>
      </c>
      <c r="AM331" s="99" t="str">
        <f t="shared" si="26"/>
        <v/>
      </c>
      <c r="AN331" s="100" t="str">
        <f ca="1">IFERROR(__xludf.DUMMYFUNCTION("IFERROR(VLOOKUP(F354,IMPORTRANGE(""https://docs.google.com/spreadsheets/d/1Kvs4KS76FHFqLFIZfrDMff4kP08nblUkihrxltoGBjg/edit#gid=934712705"",""ESENCIAL!A6:BG""),2,FALSE))"),"")</f>
        <v/>
      </c>
      <c r="AO331" s="19" t="str">
        <f t="shared" si="20"/>
        <v/>
      </c>
      <c r="AP331" s="100"/>
      <c r="AQ331" s="100"/>
    </row>
    <row r="332" spans="1:43" ht="15">
      <c r="A332" s="101"/>
      <c r="B332" s="101"/>
      <c r="G332" s="5" t="str">
        <f ca="1">IFERROR(__xludf.DUMMYFUNCTION("IFERROR(VLOOKUP(F355,IMPORTRANGE(""https://docs.google.com/spreadsheets/d/1Kvs4KS76FHFqLFIZfrDMff4kP08nblUkihrxltoGBjg/edit#gid=934712705"",""ESENCIAL!A6:BG""),3,FALSE))"),"")</f>
        <v/>
      </c>
      <c r="H332" s="5" t="str">
        <f ca="1">IFERROR(__xludf.DUMMYFUNCTION("IFERROR(VLOOKUP(F355,IMPORTRANGE(""https://docs.google.com/spreadsheets/d/1Kvs4KS76FHFqLFIZfrDMff4kP08nblUkihrxltoGBjg/edit#gid=934712705"",""ESENCIAL!A6:BG""),8,FALSE))"),"")</f>
        <v/>
      </c>
      <c r="L332" s="287"/>
      <c r="Z332" s="41" t="str">
        <f t="shared" si="24"/>
        <v/>
      </c>
      <c r="AA332" s="5" t="str">
        <f ca="1">IFERROR(__xludf.DUMMYFUNCTION("IFERROR(VLOOKUP(E355&amp;F355,IMPORTRANGE(""https://docs.google.com/spreadsheets/d/1Uw7-A9f9R21vMXxHZFNpYNeKFtG8_yji4HS352LGlSQ/edit?pli=1#gid=0"",""1_ACUM!A4:S""),11,FALSE))"),"")</f>
        <v/>
      </c>
      <c r="AB332" s="42" t="str">
        <f ca="1">IFERROR(__xludf.DUMMYFUNCTION("IFERROR(VLOOKUP(F355,IMPORTRANGE(""https://docs.google.com/spreadsheets/d/1Kvs4KS76FHFqLFIZfrDMff4kP08nblUkihrxltoGBjg/edit#gid=934712705"",""ESENCIAL!A6:BG""),15,FALSE))"),"")</f>
        <v/>
      </c>
      <c r="AC332" s="110" t="str">
        <f ca="1">IFERROR(__xludf.DUMMYFUNCTION("IFERROR(VLOOKUP(E355&amp;F355,IMPORTRANGE(""https://docs.google.com/spreadsheets/d/1Uw7-A9f9R21vMXxHZFNpYNeKFtG8_yji4HS352LGlSQ/edit?pli=1#gid=0"",""1_ACUM!A4:S""),13,FALSE))"),"")</f>
        <v/>
      </c>
      <c r="AD332" s="43" t="str">
        <f ca="1">IFERROR(__xludf.DUMMYFUNCTION("IFERROR(VLOOKUP(E355&amp;F355,IMPORTRANGE(""https://docs.google.com/spreadsheets/d/1Uw7-A9f9R21vMXxHZFNpYNeKFtG8_yji4HS352LGlSQ/edit?pli=1#gid=0"",""1_ACUM!A4:S""),13,FALSE))"),"")</f>
        <v/>
      </c>
      <c r="AE332" s="43" t="str">
        <f ca="1">IFERROR(__xludf.DUMMYFUNCTION("IFERROR(VLOOKUP(E355&amp;F355,IMPORTRANGE(""https://docs.google.com/spreadsheets/d/1Uw7-A9f9R21vMXxHZFNpYNeKFtG8_yji4HS352LGlSQ/edit?pli=1#gid=0"",""1_ACUM!A4:S""),14,FALSE))"),"")</f>
        <v/>
      </c>
      <c r="AF332" s="43" t="str">
        <f ca="1">IFERROR(__xludf.DUMMYFUNCTION("IFERROR(VLOOKUP(E355&amp;F355,IMPORTRANGE(""https://docs.google.com/spreadsheets/d/1Uw7-A9f9R21vMXxHZFNpYNeKFtG8_yji4HS352LGlSQ/edit?pli=1#gid=0"",""1_ACUM!A4:S""),15,FALSE))"),"")</f>
        <v/>
      </c>
      <c r="AG332" s="43" t="str">
        <f ca="1">IFERROR(__xludf.DUMMYFUNCTION("IFERROR(VLOOKUP(E355&amp;F355,IMPORTRANGE(""https://docs.google.com/spreadsheets/d/1Uw7-A9f9R21vMXxHZFNpYNeKFtG8_yji4HS352LGlSQ/edit?pli=1#gid=0"",""1_ACUM!A4:S""),16,FALSE))"),"")</f>
        <v/>
      </c>
      <c r="AH332" s="43" t="str">
        <f ca="1">IFERROR(__xludf.DUMMYFUNCTION("IFERROR(VLOOKUP(E355&amp;F355,IMPORTRANGE(""https://docs.google.com/spreadsheets/d/1Uw7-A9f9R21vMXxHZFNpYNeKFtG8_yji4HS352LGlSQ/edit?pli=1#gid=0"",""1_ACUM!A4:S""),17,FALSE))"),"")</f>
        <v/>
      </c>
      <c r="AI332" s="44" t="str">
        <f ca="1">IFERROR(__xludf.DUMMYFUNCTION("IFERROR(VLOOKUP(E355&amp;F355,IMPORTRANGE(""https://docs.google.com/spreadsheets/d/1Uw7-A9f9R21vMXxHZFNpYNeKFtG8_yji4HS352LGlSQ/edit?pli=1#gid=0"",""1_ACUM!A4:S""),18,FALSE))"),"")</f>
        <v/>
      </c>
      <c r="AJ332" s="44" t="str">
        <f ca="1">IFERROR(__xludf.DUMMYFUNCTION("IFERROR(VLOOKUP(E355&amp;F355,IMPORTRANGE(""https://docs.google.com/spreadsheets/d/1Uw7-A9f9R21vMXxHZFNpYNeKFtG8_yji4HS352LGlSQ/edit?pli=1#gid=0"",""1_ACUM!A4:S""),19,FALSE))"),"")</f>
        <v/>
      </c>
      <c r="AK332" s="98" t="str">
        <f ca="1">IFERROR(__xludf.DUMMYFUNCTION("IFERROR(VLOOKUP(F355,IMPORTRANGE(""https://docs.google.com/spreadsheets/d/1Kvs4KS76FHFqLFIZfrDMff4kP08nblUkihrxltoGBjg/edit#gid=934712705"",""ESENCIAL!A6:BG""),5,FALSE))"),"")</f>
        <v/>
      </c>
      <c r="AL332" s="98" t="str">
        <f t="shared" si="25"/>
        <v/>
      </c>
      <c r="AM332" s="99" t="str">
        <f t="shared" si="26"/>
        <v/>
      </c>
      <c r="AN332" s="100" t="str">
        <f ca="1">IFERROR(__xludf.DUMMYFUNCTION("IFERROR(VLOOKUP(F355,IMPORTRANGE(""https://docs.google.com/spreadsheets/d/1Kvs4KS76FHFqLFIZfrDMff4kP08nblUkihrxltoGBjg/edit#gid=934712705"",""ESENCIAL!A6:BG""),2,FALSE))"),"")</f>
        <v/>
      </c>
      <c r="AO332" s="19" t="str">
        <f t="shared" si="20"/>
        <v/>
      </c>
      <c r="AP332" s="100"/>
      <c r="AQ332" s="100"/>
    </row>
    <row r="333" spans="1:43" ht="15">
      <c r="A333" s="101"/>
      <c r="B333" s="101"/>
      <c r="G333" s="5" t="str">
        <f ca="1">IFERROR(__xludf.DUMMYFUNCTION("IFERROR(VLOOKUP(F356,IMPORTRANGE(""https://docs.google.com/spreadsheets/d/1Kvs4KS76FHFqLFIZfrDMff4kP08nblUkihrxltoGBjg/edit#gid=934712705"",""ESENCIAL!A6:BG""),3,FALSE))"),"")</f>
        <v/>
      </c>
      <c r="H333" s="5" t="str">
        <f ca="1">IFERROR(__xludf.DUMMYFUNCTION("IFERROR(VLOOKUP(F356,IMPORTRANGE(""https://docs.google.com/spreadsheets/d/1Kvs4KS76FHFqLFIZfrDMff4kP08nblUkihrxltoGBjg/edit#gid=934712705"",""ESENCIAL!A6:BG""),8,FALSE))"),"")</f>
        <v/>
      </c>
      <c r="L333" s="287"/>
      <c r="Z333" s="41" t="str">
        <f t="shared" si="24"/>
        <v/>
      </c>
      <c r="AA333" s="5" t="str">
        <f ca="1">IFERROR(__xludf.DUMMYFUNCTION("IFERROR(VLOOKUP(E356&amp;F356,IMPORTRANGE(""https://docs.google.com/spreadsheets/d/1Uw7-A9f9R21vMXxHZFNpYNeKFtG8_yji4HS352LGlSQ/edit?pli=1#gid=0"",""1_ACUM!A4:S""),11,FALSE))"),"")</f>
        <v/>
      </c>
      <c r="AB333" s="42" t="str">
        <f ca="1">IFERROR(__xludf.DUMMYFUNCTION("IFERROR(VLOOKUP(F356,IMPORTRANGE(""https://docs.google.com/spreadsheets/d/1Kvs4KS76FHFqLFIZfrDMff4kP08nblUkihrxltoGBjg/edit#gid=934712705"",""ESENCIAL!A6:BG""),15,FALSE))"),"")</f>
        <v/>
      </c>
      <c r="AC333" s="110" t="str">
        <f ca="1">IFERROR(__xludf.DUMMYFUNCTION("IFERROR(VLOOKUP(E356&amp;F356,IMPORTRANGE(""https://docs.google.com/spreadsheets/d/1Uw7-A9f9R21vMXxHZFNpYNeKFtG8_yji4HS352LGlSQ/edit?pli=1#gid=0"",""1_ACUM!A4:S""),13,FALSE))"),"")</f>
        <v/>
      </c>
      <c r="AD333" s="43" t="str">
        <f ca="1">IFERROR(__xludf.DUMMYFUNCTION("IFERROR(VLOOKUP(E356&amp;F356,IMPORTRANGE(""https://docs.google.com/spreadsheets/d/1Uw7-A9f9R21vMXxHZFNpYNeKFtG8_yji4HS352LGlSQ/edit?pli=1#gid=0"",""1_ACUM!A4:S""),13,FALSE))"),"")</f>
        <v/>
      </c>
      <c r="AE333" s="43" t="str">
        <f ca="1">IFERROR(__xludf.DUMMYFUNCTION("IFERROR(VLOOKUP(E356&amp;F356,IMPORTRANGE(""https://docs.google.com/spreadsheets/d/1Uw7-A9f9R21vMXxHZFNpYNeKFtG8_yji4HS352LGlSQ/edit?pli=1#gid=0"",""1_ACUM!A4:S""),14,FALSE))"),"")</f>
        <v/>
      </c>
      <c r="AF333" s="43" t="str">
        <f ca="1">IFERROR(__xludf.DUMMYFUNCTION("IFERROR(VLOOKUP(E356&amp;F356,IMPORTRANGE(""https://docs.google.com/spreadsheets/d/1Uw7-A9f9R21vMXxHZFNpYNeKFtG8_yji4HS352LGlSQ/edit?pli=1#gid=0"",""1_ACUM!A4:S""),15,FALSE))"),"")</f>
        <v/>
      </c>
      <c r="AG333" s="43" t="str">
        <f ca="1">IFERROR(__xludf.DUMMYFUNCTION("IFERROR(VLOOKUP(E356&amp;F356,IMPORTRANGE(""https://docs.google.com/spreadsheets/d/1Uw7-A9f9R21vMXxHZFNpYNeKFtG8_yji4HS352LGlSQ/edit?pli=1#gid=0"",""1_ACUM!A4:S""),16,FALSE))"),"")</f>
        <v/>
      </c>
      <c r="AH333" s="43" t="str">
        <f ca="1">IFERROR(__xludf.DUMMYFUNCTION("IFERROR(VLOOKUP(E356&amp;F356,IMPORTRANGE(""https://docs.google.com/spreadsheets/d/1Uw7-A9f9R21vMXxHZFNpYNeKFtG8_yji4HS352LGlSQ/edit?pli=1#gid=0"",""1_ACUM!A4:S""),17,FALSE))"),"")</f>
        <v/>
      </c>
      <c r="AI333" s="44" t="str">
        <f ca="1">IFERROR(__xludf.DUMMYFUNCTION("IFERROR(VLOOKUP(E356&amp;F356,IMPORTRANGE(""https://docs.google.com/spreadsheets/d/1Uw7-A9f9R21vMXxHZFNpYNeKFtG8_yji4HS352LGlSQ/edit?pli=1#gid=0"",""1_ACUM!A4:S""),18,FALSE))"),"")</f>
        <v/>
      </c>
      <c r="AJ333" s="44" t="str">
        <f ca="1">IFERROR(__xludf.DUMMYFUNCTION("IFERROR(VLOOKUP(E356&amp;F356,IMPORTRANGE(""https://docs.google.com/spreadsheets/d/1Uw7-A9f9R21vMXxHZFNpYNeKFtG8_yji4HS352LGlSQ/edit?pli=1#gid=0"",""1_ACUM!A4:S""),19,FALSE))"),"")</f>
        <v/>
      </c>
      <c r="AK333" s="98" t="str">
        <f ca="1">IFERROR(__xludf.DUMMYFUNCTION("IFERROR(VLOOKUP(F356,IMPORTRANGE(""https://docs.google.com/spreadsheets/d/1Kvs4KS76FHFqLFIZfrDMff4kP08nblUkihrxltoGBjg/edit#gid=934712705"",""ESENCIAL!A6:BG""),5,FALSE))"),"")</f>
        <v/>
      </c>
      <c r="AL333" s="98" t="str">
        <f t="shared" si="25"/>
        <v/>
      </c>
      <c r="AM333" s="99" t="str">
        <f t="shared" si="26"/>
        <v/>
      </c>
      <c r="AN333" s="100" t="str">
        <f ca="1">IFERROR(__xludf.DUMMYFUNCTION("IFERROR(VLOOKUP(F356,IMPORTRANGE(""https://docs.google.com/spreadsheets/d/1Kvs4KS76FHFqLFIZfrDMff4kP08nblUkihrxltoGBjg/edit#gid=934712705"",""ESENCIAL!A6:BG""),2,FALSE))"),"")</f>
        <v/>
      </c>
      <c r="AO333" s="19" t="str">
        <f t="shared" si="20"/>
        <v/>
      </c>
      <c r="AP333" s="100"/>
      <c r="AQ333" s="100"/>
    </row>
    <row r="334" spans="1:43" ht="15">
      <c r="A334" s="101"/>
      <c r="B334" s="101"/>
      <c r="G334" s="5" t="str">
        <f ca="1">IFERROR(__xludf.DUMMYFUNCTION("IFERROR(VLOOKUP(F357,IMPORTRANGE(""https://docs.google.com/spreadsheets/d/1Kvs4KS76FHFqLFIZfrDMff4kP08nblUkihrxltoGBjg/edit#gid=934712705"",""ESENCIAL!A6:BG""),3,FALSE))"),"")</f>
        <v/>
      </c>
      <c r="H334" s="5" t="str">
        <f ca="1">IFERROR(__xludf.DUMMYFUNCTION("IFERROR(VLOOKUP(F357,IMPORTRANGE(""https://docs.google.com/spreadsheets/d/1Kvs4KS76FHFqLFIZfrDMff4kP08nblUkihrxltoGBjg/edit#gid=934712705"",""ESENCIAL!A6:BG""),8,FALSE))"),"")</f>
        <v/>
      </c>
      <c r="L334" s="287"/>
      <c r="Z334" s="41" t="str">
        <f t="shared" si="24"/>
        <v/>
      </c>
      <c r="AA334" s="5" t="str">
        <f ca="1">IFERROR(__xludf.DUMMYFUNCTION("IFERROR(VLOOKUP(E357&amp;F357,IMPORTRANGE(""https://docs.google.com/spreadsheets/d/1Uw7-A9f9R21vMXxHZFNpYNeKFtG8_yji4HS352LGlSQ/edit?pli=1#gid=0"",""1_ACUM!A4:S""),11,FALSE))"),"")</f>
        <v/>
      </c>
      <c r="AB334" s="42" t="str">
        <f ca="1">IFERROR(__xludf.DUMMYFUNCTION("IFERROR(VLOOKUP(F357,IMPORTRANGE(""https://docs.google.com/spreadsheets/d/1Kvs4KS76FHFqLFIZfrDMff4kP08nblUkihrxltoGBjg/edit#gid=934712705"",""ESENCIAL!A6:BG""),15,FALSE))"),"")</f>
        <v/>
      </c>
      <c r="AC334" s="110" t="str">
        <f ca="1">IFERROR(__xludf.DUMMYFUNCTION("IFERROR(VLOOKUP(E357&amp;F357,IMPORTRANGE(""https://docs.google.com/spreadsheets/d/1Uw7-A9f9R21vMXxHZFNpYNeKFtG8_yji4HS352LGlSQ/edit?pli=1#gid=0"",""1_ACUM!A4:S""),13,FALSE))"),"")</f>
        <v/>
      </c>
      <c r="AD334" s="43" t="str">
        <f ca="1">IFERROR(__xludf.DUMMYFUNCTION("IFERROR(VLOOKUP(E357&amp;F357,IMPORTRANGE(""https://docs.google.com/spreadsheets/d/1Uw7-A9f9R21vMXxHZFNpYNeKFtG8_yji4HS352LGlSQ/edit?pli=1#gid=0"",""1_ACUM!A4:S""),13,FALSE))"),"")</f>
        <v/>
      </c>
      <c r="AE334" s="43" t="str">
        <f ca="1">IFERROR(__xludf.DUMMYFUNCTION("IFERROR(VLOOKUP(E357&amp;F357,IMPORTRANGE(""https://docs.google.com/spreadsheets/d/1Uw7-A9f9R21vMXxHZFNpYNeKFtG8_yji4HS352LGlSQ/edit?pli=1#gid=0"",""1_ACUM!A4:S""),14,FALSE))"),"")</f>
        <v/>
      </c>
      <c r="AF334" s="43" t="str">
        <f ca="1">IFERROR(__xludf.DUMMYFUNCTION("IFERROR(VLOOKUP(E357&amp;F357,IMPORTRANGE(""https://docs.google.com/spreadsheets/d/1Uw7-A9f9R21vMXxHZFNpYNeKFtG8_yji4HS352LGlSQ/edit?pli=1#gid=0"",""1_ACUM!A4:S""),15,FALSE))"),"")</f>
        <v/>
      </c>
      <c r="AG334" s="43" t="str">
        <f ca="1">IFERROR(__xludf.DUMMYFUNCTION("IFERROR(VLOOKUP(E357&amp;F357,IMPORTRANGE(""https://docs.google.com/spreadsheets/d/1Uw7-A9f9R21vMXxHZFNpYNeKFtG8_yji4HS352LGlSQ/edit?pli=1#gid=0"",""1_ACUM!A4:S""),16,FALSE))"),"")</f>
        <v/>
      </c>
      <c r="AH334" s="43" t="str">
        <f ca="1">IFERROR(__xludf.DUMMYFUNCTION("IFERROR(VLOOKUP(E357&amp;F357,IMPORTRANGE(""https://docs.google.com/spreadsheets/d/1Uw7-A9f9R21vMXxHZFNpYNeKFtG8_yji4HS352LGlSQ/edit?pli=1#gid=0"",""1_ACUM!A4:S""),17,FALSE))"),"")</f>
        <v/>
      </c>
      <c r="AI334" s="44" t="str">
        <f ca="1">IFERROR(__xludf.DUMMYFUNCTION("IFERROR(VLOOKUP(E357&amp;F357,IMPORTRANGE(""https://docs.google.com/spreadsheets/d/1Uw7-A9f9R21vMXxHZFNpYNeKFtG8_yji4HS352LGlSQ/edit?pli=1#gid=0"",""1_ACUM!A4:S""),18,FALSE))"),"")</f>
        <v/>
      </c>
      <c r="AJ334" s="44" t="str">
        <f ca="1">IFERROR(__xludf.DUMMYFUNCTION("IFERROR(VLOOKUP(E357&amp;F357,IMPORTRANGE(""https://docs.google.com/spreadsheets/d/1Uw7-A9f9R21vMXxHZFNpYNeKFtG8_yji4HS352LGlSQ/edit?pli=1#gid=0"",""1_ACUM!A4:S""),19,FALSE))"),"")</f>
        <v/>
      </c>
      <c r="AK334" s="98" t="str">
        <f ca="1">IFERROR(__xludf.DUMMYFUNCTION("IFERROR(VLOOKUP(F357,IMPORTRANGE(""https://docs.google.com/spreadsheets/d/1Kvs4KS76FHFqLFIZfrDMff4kP08nblUkihrxltoGBjg/edit#gid=934712705"",""ESENCIAL!A6:BG""),5,FALSE))"),"")</f>
        <v/>
      </c>
      <c r="AL334" s="98" t="str">
        <f t="shared" si="25"/>
        <v/>
      </c>
      <c r="AM334" s="99" t="str">
        <f t="shared" si="26"/>
        <v/>
      </c>
      <c r="AN334" s="100" t="str">
        <f ca="1">IFERROR(__xludf.DUMMYFUNCTION("IFERROR(VLOOKUP(F357,IMPORTRANGE(""https://docs.google.com/spreadsheets/d/1Kvs4KS76FHFqLFIZfrDMff4kP08nblUkihrxltoGBjg/edit#gid=934712705"",""ESENCIAL!A6:BG""),2,FALSE))"),"")</f>
        <v/>
      </c>
      <c r="AO334" s="19" t="str">
        <f t="shared" si="20"/>
        <v/>
      </c>
      <c r="AP334" s="100"/>
      <c r="AQ334" s="100"/>
    </row>
    <row r="335" spans="1:43" ht="15">
      <c r="A335" s="101"/>
      <c r="B335" s="101"/>
      <c r="G335" s="5" t="str">
        <f ca="1">IFERROR(__xludf.DUMMYFUNCTION("IFERROR(VLOOKUP(F358,IMPORTRANGE(""https://docs.google.com/spreadsheets/d/1Kvs4KS76FHFqLFIZfrDMff4kP08nblUkihrxltoGBjg/edit#gid=934712705"",""ESENCIAL!A6:BG""),3,FALSE))"),"")</f>
        <v/>
      </c>
      <c r="H335" s="5" t="str">
        <f ca="1">IFERROR(__xludf.DUMMYFUNCTION("IFERROR(VLOOKUP(F358,IMPORTRANGE(""https://docs.google.com/spreadsheets/d/1Kvs4KS76FHFqLFIZfrDMff4kP08nblUkihrxltoGBjg/edit#gid=934712705"",""ESENCIAL!A6:BG""),8,FALSE))"),"")</f>
        <v/>
      </c>
      <c r="L335" s="287"/>
      <c r="Z335" s="41" t="str">
        <f t="shared" si="24"/>
        <v/>
      </c>
      <c r="AA335" s="5" t="str">
        <f ca="1">IFERROR(__xludf.DUMMYFUNCTION("IFERROR(VLOOKUP(E358&amp;F358,IMPORTRANGE(""https://docs.google.com/spreadsheets/d/1Uw7-A9f9R21vMXxHZFNpYNeKFtG8_yji4HS352LGlSQ/edit?pli=1#gid=0"",""1_ACUM!A4:S""),11,FALSE))"),"")</f>
        <v/>
      </c>
      <c r="AB335" s="42" t="str">
        <f ca="1">IFERROR(__xludf.DUMMYFUNCTION("IFERROR(VLOOKUP(F358,IMPORTRANGE(""https://docs.google.com/spreadsheets/d/1Kvs4KS76FHFqLFIZfrDMff4kP08nblUkihrxltoGBjg/edit#gid=934712705"",""ESENCIAL!A6:BG""),15,FALSE))"),"")</f>
        <v/>
      </c>
      <c r="AC335" s="110" t="str">
        <f ca="1">IFERROR(__xludf.DUMMYFUNCTION("IFERROR(VLOOKUP(E358&amp;F358,IMPORTRANGE(""https://docs.google.com/spreadsheets/d/1Uw7-A9f9R21vMXxHZFNpYNeKFtG8_yji4HS352LGlSQ/edit?pli=1#gid=0"",""1_ACUM!A4:S""),13,FALSE))"),"")</f>
        <v/>
      </c>
      <c r="AD335" s="43" t="str">
        <f ca="1">IFERROR(__xludf.DUMMYFUNCTION("IFERROR(VLOOKUP(E358&amp;F358,IMPORTRANGE(""https://docs.google.com/spreadsheets/d/1Uw7-A9f9R21vMXxHZFNpYNeKFtG8_yji4HS352LGlSQ/edit?pli=1#gid=0"",""1_ACUM!A4:S""),13,FALSE))"),"")</f>
        <v/>
      </c>
      <c r="AE335" s="43" t="str">
        <f ca="1">IFERROR(__xludf.DUMMYFUNCTION("IFERROR(VLOOKUP(E358&amp;F358,IMPORTRANGE(""https://docs.google.com/spreadsheets/d/1Uw7-A9f9R21vMXxHZFNpYNeKFtG8_yji4HS352LGlSQ/edit?pli=1#gid=0"",""1_ACUM!A4:S""),14,FALSE))"),"")</f>
        <v/>
      </c>
      <c r="AF335" s="43" t="str">
        <f ca="1">IFERROR(__xludf.DUMMYFUNCTION("IFERROR(VLOOKUP(E358&amp;F358,IMPORTRANGE(""https://docs.google.com/spreadsheets/d/1Uw7-A9f9R21vMXxHZFNpYNeKFtG8_yji4HS352LGlSQ/edit?pli=1#gid=0"",""1_ACUM!A4:S""),15,FALSE))"),"")</f>
        <v/>
      </c>
      <c r="AG335" s="43" t="str">
        <f ca="1">IFERROR(__xludf.DUMMYFUNCTION("IFERROR(VLOOKUP(E358&amp;F358,IMPORTRANGE(""https://docs.google.com/spreadsheets/d/1Uw7-A9f9R21vMXxHZFNpYNeKFtG8_yji4HS352LGlSQ/edit?pli=1#gid=0"",""1_ACUM!A4:S""),16,FALSE))"),"")</f>
        <v/>
      </c>
      <c r="AH335" s="43" t="str">
        <f ca="1">IFERROR(__xludf.DUMMYFUNCTION("IFERROR(VLOOKUP(E358&amp;F358,IMPORTRANGE(""https://docs.google.com/spreadsheets/d/1Uw7-A9f9R21vMXxHZFNpYNeKFtG8_yji4HS352LGlSQ/edit?pli=1#gid=0"",""1_ACUM!A4:S""),17,FALSE))"),"")</f>
        <v/>
      </c>
      <c r="AI335" s="44" t="str">
        <f ca="1">IFERROR(__xludf.DUMMYFUNCTION("IFERROR(VLOOKUP(E358&amp;F358,IMPORTRANGE(""https://docs.google.com/spreadsheets/d/1Uw7-A9f9R21vMXxHZFNpYNeKFtG8_yji4HS352LGlSQ/edit?pli=1#gid=0"",""1_ACUM!A4:S""),18,FALSE))"),"")</f>
        <v/>
      </c>
      <c r="AJ335" s="44" t="str">
        <f ca="1">IFERROR(__xludf.DUMMYFUNCTION("IFERROR(VLOOKUP(E358&amp;F358,IMPORTRANGE(""https://docs.google.com/spreadsheets/d/1Uw7-A9f9R21vMXxHZFNpYNeKFtG8_yji4HS352LGlSQ/edit?pli=1#gid=0"",""1_ACUM!A4:S""),19,FALSE))"),"")</f>
        <v/>
      </c>
      <c r="AK335" s="98" t="str">
        <f ca="1">IFERROR(__xludf.DUMMYFUNCTION("IFERROR(VLOOKUP(F358,IMPORTRANGE(""https://docs.google.com/spreadsheets/d/1Kvs4KS76FHFqLFIZfrDMff4kP08nblUkihrxltoGBjg/edit#gid=934712705"",""ESENCIAL!A6:BG""),5,FALSE))"),"")</f>
        <v/>
      </c>
      <c r="AL335" s="98" t="str">
        <f t="shared" si="25"/>
        <v/>
      </c>
      <c r="AM335" s="99" t="str">
        <f t="shared" si="26"/>
        <v/>
      </c>
      <c r="AN335" s="100" t="str">
        <f ca="1">IFERROR(__xludf.DUMMYFUNCTION("IFERROR(VLOOKUP(F358,IMPORTRANGE(""https://docs.google.com/spreadsheets/d/1Kvs4KS76FHFqLFIZfrDMff4kP08nblUkihrxltoGBjg/edit#gid=934712705"",""ESENCIAL!A6:BG""),2,FALSE))"),"")</f>
        <v/>
      </c>
      <c r="AO335" s="19" t="str">
        <f t="shared" si="20"/>
        <v/>
      </c>
      <c r="AP335" s="100"/>
      <c r="AQ335" s="100"/>
    </row>
    <row r="336" spans="1:43" ht="15">
      <c r="A336" s="101"/>
      <c r="B336" s="101"/>
      <c r="G336" s="5" t="str">
        <f ca="1">IFERROR(__xludf.DUMMYFUNCTION("IFERROR(VLOOKUP(F359,IMPORTRANGE(""https://docs.google.com/spreadsheets/d/1Kvs4KS76FHFqLFIZfrDMff4kP08nblUkihrxltoGBjg/edit#gid=934712705"",""ESENCIAL!A6:BG""),3,FALSE))"),"")</f>
        <v/>
      </c>
      <c r="H336" s="5" t="str">
        <f ca="1">IFERROR(__xludf.DUMMYFUNCTION("IFERROR(VLOOKUP(F359,IMPORTRANGE(""https://docs.google.com/spreadsheets/d/1Kvs4KS76FHFqLFIZfrDMff4kP08nblUkihrxltoGBjg/edit#gid=934712705"",""ESENCIAL!A6:BG""),8,FALSE))"),"")</f>
        <v/>
      </c>
      <c r="L336" s="287"/>
      <c r="Z336" s="41" t="str">
        <f t="shared" si="24"/>
        <v/>
      </c>
      <c r="AA336" s="5" t="str">
        <f ca="1">IFERROR(__xludf.DUMMYFUNCTION("IFERROR(VLOOKUP(E359&amp;F359,IMPORTRANGE(""https://docs.google.com/spreadsheets/d/1Uw7-A9f9R21vMXxHZFNpYNeKFtG8_yji4HS352LGlSQ/edit?pli=1#gid=0"",""1_ACUM!A4:S""),11,FALSE))"),"")</f>
        <v/>
      </c>
      <c r="AB336" s="42" t="str">
        <f ca="1">IFERROR(__xludf.DUMMYFUNCTION("IFERROR(VLOOKUP(F359,IMPORTRANGE(""https://docs.google.com/spreadsheets/d/1Kvs4KS76FHFqLFIZfrDMff4kP08nblUkihrxltoGBjg/edit#gid=934712705"",""ESENCIAL!A6:BG""),15,FALSE))"),"")</f>
        <v/>
      </c>
      <c r="AC336" s="110" t="str">
        <f ca="1">IFERROR(__xludf.DUMMYFUNCTION("IFERROR(VLOOKUP(E359&amp;F359,IMPORTRANGE(""https://docs.google.com/spreadsheets/d/1Uw7-A9f9R21vMXxHZFNpYNeKFtG8_yji4HS352LGlSQ/edit?pli=1#gid=0"",""1_ACUM!A4:S""),13,FALSE))"),"")</f>
        <v/>
      </c>
      <c r="AD336" s="43" t="str">
        <f ca="1">IFERROR(__xludf.DUMMYFUNCTION("IFERROR(VLOOKUP(E359&amp;F359,IMPORTRANGE(""https://docs.google.com/spreadsheets/d/1Uw7-A9f9R21vMXxHZFNpYNeKFtG8_yji4HS352LGlSQ/edit?pli=1#gid=0"",""1_ACUM!A4:S""),13,FALSE))"),"")</f>
        <v/>
      </c>
      <c r="AE336" s="43" t="str">
        <f ca="1">IFERROR(__xludf.DUMMYFUNCTION("IFERROR(VLOOKUP(E359&amp;F359,IMPORTRANGE(""https://docs.google.com/spreadsheets/d/1Uw7-A9f9R21vMXxHZFNpYNeKFtG8_yji4HS352LGlSQ/edit?pli=1#gid=0"",""1_ACUM!A4:S""),14,FALSE))"),"")</f>
        <v/>
      </c>
      <c r="AF336" s="43" t="str">
        <f ca="1">IFERROR(__xludf.DUMMYFUNCTION("IFERROR(VLOOKUP(E359&amp;F359,IMPORTRANGE(""https://docs.google.com/spreadsheets/d/1Uw7-A9f9R21vMXxHZFNpYNeKFtG8_yji4HS352LGlSQ/edit?pli=1#gid=0"",""1_ACUM!A4:S""),15,FALSE))"),"")</f>
        <v/>
      </c>
      <c r="AG336" s="43" t="str">
        <f ca="1">IFERROR(__xludf.DUMMYFUNCTION("IFERROR(VLOOKUP(E359&amp;F359,IMPORTRANGE(""https://docs.google.com/spreadsheets/d/1Uw7-A9f9R21vMXxHZFNpYNeKFtG8_yji4HS352LGlSQ/edit?pli=1#gid=0"",""1_ACUM!A4:S""),16,FALSE))"),"")</f>
        <v/>
      </c>
      <c r="AH336" s="43" t="str">
        <f ca="1">IFERROR(__xludf.DUMMYFUNCTION("IFERROR(VLOOKUP(E359&amp;F359,IMPORTRANGE(""https://docs.google.com/spreadsheets/d/1Uw7-A9f9R21vMXxHZFNpYNeKFtG8_yji4HS352LGlSQ/edit?pli=1#gid=0"",""1_ACUM!A4:S""),17,FALSE))"),"")</f>
        <v/>
      </c>
      <c r="AI336" s="44" t="str">
        <f ca="1">IFERROR(__xludf.DUMMYFUNCTION("IFERROR(VLOOKUP(E359&amp;F359,IMPORTRANGE(""https://docs.google.com/spreadsheets/d/1Uw7-A9f9R21vMXxHZFNpYNeKFtG8_yji4HS352LGlSQ/edit?pli=1#gid=0"",""1_ACUM!A4:S""),18,FALSE))"),"")</f>
        <v/>
      </c>
      <c r="AJ336" s="44" t="str">
        <f ca="1">IFERROR(__xludf.DUMMYFUNCTION("IFERROR(VLOOKUP(E359&amp;F359,IMPORTRANGE(""https://docs.google.com/spreadsheets/d/1Uw7-A9f9R21vMXxHZFNpYNeKFtG8_yji4HS352LGlSQ/edit?pli=1#gid=0"",""1_ACUM!A4:S""),19,FALSE))"),"")</f>
        <v/>
      </c>
      <c r="AK336" s="98" t="str">
        <f ca="1">IFERROR(__xludf.DUMMYFUNCTION("IFERROR(VLOOKUP(F359,IMPORTRANGE(""https://docs.google.com/spreadsheets/d/1Kvs4KS76FHFqLFIZfrDMff4kP08nblUkihrxltoGBjg/edit#gid=934712705"",""ESENCIAL!A6:BG""),5,FALSE))"),"")</f>
        <v/>
      </c>
      <c r="AL336" s="98" t="str">
        <f t="shared" si="25"/>
        <v/>
      </c>
      <c r="AM336" s="99" t="str">
        <f t="shared" si="26"/>
        <v/>
      </c>
      <c r="AN336" s="100" t="str">
        <f ca="1">IFERROR(__xludf.DUMMYFUNCTION("IFERROR(VLOOKUP(F359,IMPORTRANGE(""https://docs.google.com/spreadsheets/d/1Kvs4KS76FHFqLFIZfrDMff4kP08nblUkihrxltoGBjg/edit#gid=934712705"",""ESENCIAL!A6:BG""),2,FALSE))"),"")</f>
        <v/>
      </c>
      <c r="AO336" s="19" t="str">
        <f t="shared" si="20"/>
        <v/>
      </c>
      <c r="AP336" s="100"/>
      <c r="AQ336" s="100"/>
    </row>
    <row r="337" spans="1:43" ht="15">
      <c r="A337" s="101"/>
      <c r="B337" s="101"/>
      <c r="G337" s="5" t="str">
        <f ca="1">IFERROR(__xludf.DUMMYFUNCTION("IFERROR(VLOOKUP(F360,IMPORTRANGE(""https://docs.google.com/spreadsheets/d/1Kvs4KS76FHFqLFIZfrDMff4kP08nblUkihrxltoGBjg/edit#gid=934712705"",""ESENCIAL!A6:BG""),3,FALSE))"),"")</f>
        <v/>
      </c>
      <c r="H337" s="5" t="str">
        <f ca="1">IFERROR(__xludf.DUMMYFUNCTION("IFERROR(VLOOKUP(F360,IMPORTRANGE(""https://docs.google.com/spreadsheets/d/1Kvs4KS76FHFqLFIZfrDMff4kP08nblUkihrxltoGBjg/edit#gid=934712705"",""ESENCIAL!A6:BG""),8,FALSE))"),"")</f>
        <v/>
      </c>
      <c r="L337" s="287"/>
      <c r="Z337" s="41" t="str">
        <f t="shared" si="24"/>
        <v/>
      </c>
      <c r="AA337" s="5" t="str">
        <f ca="1">IFERROR(__xludf.DUMMYFUNCTION("IFERROR(VLOOKUP(E360&amp;F360,IMPORTRANGE(""https://docs.google.com/spreadsheets/d/1Uw7-A9f9R21vMXxHZFNpYNeKFtG8_yji4HS352LGlSQ/edit?pli=1#gid=0"",""1_ACUM!A4:S""),11,FALSE))"),"")</f>
        <v/>
      </c>
      <c r="AB337" s="42" t="str">
        <f ca="1">IFERROR(__xludf.DUMMYFUNCTION("IFERROR(VLOOKUP(F360,IMPORTRANGE(""https://docs.google.com/spreadsheets/d/1Kvs4KS76FHFqLFIZfrDMff4kP08nblUkihrxltoGBjg/edit#gid=934712705"",""ESENCIAL!A6:BG""),15,FALSE))"),"")</f>
        <v/>
      </c>
      <c r="AC337" s="110" t="str">
        <f ca="1">IFERROR(__xludf.DUMMYFUNCTION("IFERROR(VLOOKUP(E360&amp;F360,IMPORTRANGE(""https://docs.google.com/spreadsheets/d/1Uw7-A9f9R21vMXxHZFNpYNeKFtG8_yji4HS352LGlSQ/edit?pli=1#gid=0"",""1_ACUM!A4:S""),13,FALSE))"),"")</f>
        <v/>
      </c>
      <c r="AD337" s="43" t="str">
        <f ca="1">IFERROR(__xludf.DUMMYFUNCTION("IFERROR(VLOOKUP(E360&amp;F360,IMPORTRANGE(""https://docs.google.com/spreadsheets/d/1Uw7-A9f9R21vMXxHZFNpYNeKFtG8_yji4HS352LGlSQ/edit?pli=1#gid=0"",""1_ACUM!A4:S""),13,FALSE))"),"")</f>
        <v/>
      </c>
      <c r="AE337" s="43" t="str">
        <f ca="1">IFERROR(__xludf.DUMMYFUNCTION("IFERROR(VLOOKUP(E360&amp;F360,IMPORTRANGE(""https://docs.google.com/spreadsheets/d/1Uw7-A9f9R21vMXxHZFNpYNeKFtG8_yji4HS352LGlSQ/edit?pli=1#gid=0"",""1_ACUM!A4:S""),14,FALSE))"),"")</f>
        <v/>
      </c>
      <c r="AF337" s="43" t="str">
        <f ca="1">IFERROR(__xludf.DUMMYFUNCTION("IFERROR(VLOOKUP(E360&amp;F360,IMPORTRANGE(""https://docs.google.com/spreadsheets/d/1Uw7-A9f9R21vMXxHZFNpYNeKFtG8_yji4HS352LGlSQ/edit?pli=1#gid=0"",""1_ACUM!A4:S""),15,FALSE))"),"")</f>
        <v/>
      </c>
      <c r="AG337" s="43" t="str">
        <f ca="1">IFERROR(__xludf.DUMMYFUNCTION("IFERROR(VLOOKUP(E360&amp;F360,IMPORTRANGE(""https://docs.google.com/spreadsheets/d/1Uw7-A9f9R21vMXxHZFNpYNeKFtG8_yji4HS352LGlSQ/edit?pli=1#gid=0"",""1_ACUM!A4:S""),16,FALSE))"),"")</f>
        <v/>
      </c>
      <c r="AH337" s="43" t="str">
        <f ca="1">IFERROR(__xludf.DUMMYFUNCTION("IFERROR(VLOOKUP(E360&amp;F360,IMPORTRANGE(""https://docs.google.com/spreadsheets/d/1Uw7-A9f9R21vMXxHZFNpYNeKFtG8_yji4HS352LGlSQ/edit?pli=1#gid=0"",""1_ACUM!A4:S""),17,FALSE))"),"")</f>
        <v/>
      </c>
      <c r="AI337" s="44" t="str">
        <f ca="1">IFERROR(__xludf.DUMMYFUNCTION("IFERROR(VLOOKUP(E360&amp;F360,IMPORTRANGE(""https://docs.google.com/spreadsheets/d/1Uw7-A9f9R21vMXxHZFNpYNeKFtG8_yji4HS352LGlSQ/edit?pli=1#gid=0"",""1_ACUM!A4:S""),18,FALSE))"),"")</f>
        <v/>
      </c>
      <c r="AJ337" s="44" t="str">
        <f ca="1">IFERROR(__xludf.DUMMYFUNCTION("IFERROR(VLOOKUP(E360&amp;F360,IMPORTRANGE(""https://docs.google.com/spreadsheets/d/1Uw7-A9f9R21vMXxHZFNpYNeKFtG8_yji4HS352LGlSQ/edit?pli=1#gid=0"",""1_ACUM!A4:S""),19,FALSE))"),"")</f>
        <v/>
      </c>
      <c r="AK337" s="98" t="str">
        <f ca="1">IFERROR(__xludf.DUMMYFUNCTION("IFERROR(VLOOKUP(F360,IMPORTRANGE(""https://docs.google.com/spreadsheets/d/1Kvs4KS76FHFqLFIZfrDMff4kP08nblUkihrxltoGBjg/edit#gid=934712705"",""ESENCIAL!A6:BG""),5,FALSE))"),"")</f>
        <v/>
      </c>
      <c r="AL337" s="98" t="str">
        <f t="shared" si="25"/>
        <v/>
      </c>
      <c r="AM337" s="99" t="str">
        <f t="shared" si="26"/>
        <v/>
      </c>
      <c r="AN337" s="100" t="str">
        <f ca="1">IFERROR(__xludf.DUMMYFUNCTION("IFERROR(VLOOKUP(F360,IMPORTRANGE(""https://docs.google.com/spreadsheets/d/1Kvs4KS76FHFqLFIZfrDMff4kP08nblUkihrxltoGBjg/edit#gid=934712705"",""ESENCIAL!A6:BG""),2,FALSE))"),"")</f>
        <v/>
      </c>
      <c r="AO337" s="19" t="str">
        <f t="shared" si="20"/>
        <v/>
      </c>
      <c r="AP337" s="100"/>
      <c r="AQ337" s="100"/>
    </row>
    <row r="338" spans="1:43" ht="15">
      <c r="A338" s="101"/>
      <c r="B338" s="101"/>
      <c r="G338" s="5" t="str">
        <f ca="1">IFERROR(__xludf.DUMMYFUNCTION("IFERROR(VLOOKUP(F361,IMPORTRANGE(""https://docs.google.com/spreadsheets/d/1Kvs4KS76FHFqLFIZfrDMff4kP08nblUkihrxltoGBjg/edit#gid=934712705"",""ESENCIAL!A6:BG""),3,FALSE))"),"")</f>
        <v/>
      </c>
      <c r="H338" s="5" t="str">
        <f ca="1">IFERROR(__xludf.DUMMYFUNCTION("IFERROR(VLOOKUP(F361,IMPORTRANGE(""https://docs.google.com/spreadsheets/d/1Kvs4KS76FHFqLFIZfrDMff4kP08nblUkihrxltoGBjg/edit#gid=934712705"",""ESENCIAL!A6:BG""),8,FALSE))"),"")</f>
        <v/>
      </c>
      <c r="L338" s="287"/>
      <c r="Z338" s="41" t="str">
        <f t="shared" si="24"/>
        <v/>
      </c>
      <c r="AA338" s="5" t="str">
        <f ca="1">IFERROR(__xludf.DUMMYFUNCTION("IFERROR(VLOOKUP(E361&amp;F361,IMPORTRANGE(""https://docs.google.com/spreadsheets/d/1Uw7-A9f9R21vMXxHZFNpYNeKFtG8_yji4HS352LGlSQ/edit?pli=1#gid=0"",""1_ACUM!A4:S""),11,FALSE))"),"")</f>
        <v/>
      </c>
      <c r="AB338" s="42" t="str">
        <f ca="1">IFERROR(__xludf.DUMMYFUNCTION("IFERROR(VLOOKUP(F361,IMPORTRANGE(""https://docs.google.com/spreadsheets/d/1Kvs4KS76FHFqLFIZfrDMff4kP08nblUkihrxltoGBjg/edit#gid=934712705"",""ESENCIAL!A6:BG""),15,FALSE))"),"")</f>
        <v/>
      </c>
      <c r="AC338" s="110" t="str">
        <f ca="1">IFERROR(__xludf.DUMMYFUNCTION("IFERROR(VLOOKUP(E361&amp;F361,IMPORTRANGE(""https://docs.google.com/spreadsheets/d/1Uw7-A9f9R21vMXxHZFNpYNeKFtG8_yji4HS352LGlSQ/edit?pli=1#gid=0"",""1_ACUM!A4:S""),13,FALSE))"),"")</f>
        <v/>
      </c>
      <c r="AD338" s="43" t="str">
        <f ca="1">IFERROR(__xludf.DUMMYFUNCTION("IFERROR(VLOOKUP(E361&amp;F361,IMPORTRANGE(""https://docs.google.com/spreadsheets/d/1Uw7-A9f9R21vMXxHZFNpYNeKFtG8_yji4HS352LGlSQ/edit?pli=1#gid=0"",""1_ACUM!A4:S""),13,FALSE))"),"")</f>
        <v/>
      </c>
      <c r="AE338" s="43" t="str">
        <f ca="1">IFERROR(__xludf.DUMMYFUNCTION("IFERROR(VLOOKUP(E361&amp;F361,IMPORTRANGE(""https://docs.google.com/spreadsheets/d/1Uw7-A9f9R21vMXxHZFNpYNeKFtG8_yji4HS352LGlSQ/edit?pli=1#gid=0"",""1_ACUM!A4:S""),14,FALSE))"),"")</f>
        <v/>
      </c>
      <c r="AF338" s="43" t="str">
        <f ca="1">IFERROR(__xludf.DUMMYFUNCTION("IFERROR(VLOOKUP(E361&amp;F361,IMPORTRANGE(""https://docs.google.com/spreadsheets/d/1Uw7-A9f9R21vMXxHZFNpYNeKFtG8_yji4HS352LGlSQ/edit?pli=1#gid=0"",""1_ACUM!A4:S""),15,FALSE))"),"")</f>
        <v/>
      </c>
      <c r="AG338" s="43" t="str">
        <f ca="1">IFERROR(__xludf.DUMMYFUNCTION("IFERROR(VLOOKUP(E361&amp;F361,IMPORTRANGE(""https://docs.google.com/spreadsheets/d/1Uw7-A9f9R21vMXxHZFNpYNeKFtG8_yji4HS352LGlSQ/edit?pli=1#gid=0"",""1_ACUM!A4:S""),16,FALSE))"),"")</f>
        <v/>
      </c>
      <c r="AH338" s="43" t="str">
        <f ca="1">IFERROR(__xludf.DUMMYFUNCTION("IFERROR(VLOOKUP(E361&amp;F361,IMPORTRANGE(""https://docs.google.com/spreadsheets/d/1Uw7-A9f9R21vMXxHZFNpYNeKFtG8_yji4HS352LGlSQ/edit?pli=1#gid=0"",""1_ACUM!A4:S""),17,FALSE))"),"")</f>
        <v/>
      </c>
      <c r="AI338" s="44" t="str">
        <f ca="1">IFERROR(__xludf.DUMMYFUNCTION("IFERROR(VLOOKUP(E361&amp;F361,IMPORTRANGE(""https://docs.google.com/spreadsheets/d/1Uw7-A9f9R21vMXxHZFNpYNeKFtG8_yji4HS352LGlSQ/edit?pli=1#gid=0"",""1_ACUM!A4:S""),18,FALSE))"),"")</f>
        <v/>
      </c>
      <c r="AJ338" s="44" t="str">
        <f ca="1">IFERROR(__xludf.DUMMYFUNCTION("IFERROR(VLOOKUP(E361&amp;F361,IMPORTRANGE(""https://docs.google.com/spreadsheets/d/1Uw7-A9f9R21vMXxHZFNpYNeKFtG8_yji4HS352LGlSQ/edit?pli=1#gid=0"",""1_ACUM!A4:S""),19,FALSE))"),"")</f>
        <v/>
      </c>
      <c r="AK338" s="98" t="str">
        <f ca="1">IFERROR(__xludf.DUMMYFUNCTION("IFERROR(VLOOKUP(F361,IMPORTRANGE(""https://docs.google.com/spreadsheets/d/1Kvs4KS76FHFqLFIZfrDMff4kP08nblUkihrxltoGBjg/edit#gid=934712705"",""ESENCIAL!A6:BG""),5,FALSE))"),"")</f>
        <v/>
      </c>
      <c r="AL338" s="98" t="str">
        <f t="shared" si="25"/>
        <v/>
      </c>
      <c r="AM338" s="99" t="str">
        <f t="shared" si="26"/>
        <v/>
      </c>
      <c r="AN338" s="100" t="str">
        <f ca="1">IFERROR(__xludf.DUMMYFUNCTION("IFERROR(VLOOKUP(F361,IMPORTRANGE(""https://docs.google.com/spreadsheets/d/1Kvs4KS76FHFqLFIZfrDMff4kP08nblUkihrxltoGBjg/edit#gid=934712705"",""ESENCIAL!A6:BG""),2,FALSE))"),"")</f>
        <v/>
      </c>
      <c r="AO338" s="19" t="str">
        <f t="shared" si="20"/>
        <v/>
      </c>
      <c r="AP338" s="100"/>
      <c r="AQ338" s="100"/>
    </row>
    <row r="339" spans="1:43" ht="15">
      <c r="A339" s="104"/>
      <c r="B339" s="104"/>
      <c r="G339" s="5" t="str">
        <f ca="1">IFERROR(__xludf.DUMMYFUNCTION("IFERROR(VLOOKUP(F362,IMPORTRANGE(""https://docs.google.com/spreadsheets/d/1Kvs4KS76FHFqLFIZfrDMff4kP08nblUkihrxltoGBjg/edit#gid=934712705"",""ESENCIAL!A6:BG""),3,FALSE))"),"")</f>
        <v/>
      </c>
      <c r="H339" s="5" t="str">
        <f ca="1">IFERROR(__xludf.DUMMYFUNCTION("IFERROR(VLOOKUP(F362,IMPORTRANGE(""https://docs.google.com/spreadsheets/d/1Kvs4KS76FHFqLFIZfrDMff4kP08nblUkihrxltoGBjg/edit#gid=934712705"",""ESENCIAL!A6:BG""),8,FALSE))"),"")</f>
        <v/>
      </c>
      <c r="L339" s="287"/>
      <c r="Z339" s="41" t="str">
        <f t="shared" si="24"/>
        <v/>
      </c>
      <c r="AA339" s="5" t="str">
        <f ca="1">IFERROR(__xludf.DUMMYFUNCTION("IFERROR(VLOOKUP(E362&amp;F362,IMPORTRANGE(""https://docs.google.com/spreadsheets/d/1Uw7-A9f9R21vMXxHZFNpYNeKFtG8_yji4HS352LGlSQ/edit?pli=1#gid=0"",""1_ACUM!A4:S""),11,FALSE))"),"")</f>
        <v/>
      </c>
      <c r="AB339" s="42" t="str">
        <f ca="1">IFERROR(__xludf.DUMMYFUNCTION("IFERROR(VLOOKUP(F362,IMPORTRANGE(""https://docs.google.com/spreadsheets/d/1Kvs4KS76FHFqLFIZfrDMff4kP08nblUkihrxltoGBjg/edit#gid=934712705"",""ESENCIAL!A6:BG""),15,FALSE))"),"")</f>
        <v/>
      </c>
      <c r="AC339" s="110" t="str">
        <f ca="1">IFERROR(__xludf.DUMMYFUNCTION("IFERROR(VLOOKUP(E362&amp;F362,IMPORTRANGE(""https://docs.google.com/spreadsheets/d/1Uw7-A9f9R21vMXxHZFNpYNeKFtG8_yji4HS352LGlSQ/edit?pli=1#gid=0"",""1_ACUM!A4:S""),13,FALSE))"),"")</f>
        <v/>
      </c>
      <c r="AD339" s="43" t="str">
        <f ca="1">IFERROR(__xludf.DUMMYFUNCTION("IFERROR(VLOOKUP(E362&amp;F362,IMPORTRANGE(""https://docs.google.com/spreadsheets/d/1Uw7-A9f9R21vMXxHZFNpYNeKFtG8_yji4HS352LGlSQ/edit?pli=1#gid=0"",""1_ACUM!A4:S""),13,FALSE))"),"")</f>
        <v/>
      </c>
      <c r="AE339" s="43" t="str">
        <f ca="1">IFERROR(__xludf.DUMMYFUNCTION("IFERROR(VLOOKUP(E362&amp;F362,IMPORTRANGE(""https://docs.google.com/spreadsheets/d/1Uw7-A9f9R21vMXxHZFNpYNeKFtG8_yji4HS352LGlSQ/edit?pli=1#gid=0"",""1_ACUM!A4:S""),14,FALSE))"),"")</f>
        <v/>
      </c>
      <c r="AF339" s="43" t="str">
        <f ca="1">IFERROR(__xludf.DUMMYFUNCTION("IFERROR(VLOOKUP(E362&amp;F362,IMPORTRANGE(""https://docs.google.com/spreadsheets/d/1Uw7-A9f9R21vMXxHZFNpYNeKFtG8_yji4HS352LGlSQ/edit?pli=1#gid=0"",""1_ACUM!A4:S""),15,FALSE))"),"")</f>
        <v/>
      </c>
      <c r="AG339" s="43" t="str">
        <f ca="1">IFERROR(__xludf.DUMMYFUNCTION("IFERROR(VLOOKUP(E362&amp;F362,IMPORTRANGE(""https://docs.google.com/spreadsheets/d/1Uw7-A9f9R21vMXxHZFNpYNeKFtG8_yji4HS352LGlSQ/edit?pli=1#gid=0"",""1_ACUM!A4:S""),16,FALSE))"),"")</f>
        <v/>
      </c>
      <c r="AH339" s="43" t="str">
        <f ca="1">IFERROR(__xludf.DUMMYFUNCTION("IFERROR(VLOOKUP(E362&amp;F362,IMPORTRANGE(""https://docs.google.com/spreadsheets/d/1Uw7-A9f9R21vMXxHZFNpYNeKFtG8_yji4HS352LGlSQ/edit?pli=1#gid=0"",""1_ACUM!A4:S""),17,FALSE))"),"")</f>
        <v/>
      </c>
      <c r="AI339" s="44" t="str">
        <f ca="1">IFERROR(__xludf.DUMMYFUNCTION("IFERROR(VLOOKUP(E362&amp;F362,IMPORTRANGE(""https://docs.google.com/spreadsheets/d/1Uw7-A9f9R21vMXxHZFNpYNeKFtG8_yji4HS352LGlSQ/edit?pli=1#gid=0"",""1_ACUM!A4:S""),18,FALSE))"),"")</f>
        <v/>
      </c>
      <c r="AJ339" s="44" t="str">
        <f ca="1">IFERROR(__xludf.DUMMYFUNCTION("IFERROR(VLOOKUP(E362&amp;F362,IMPORTRANGE(""https://docs.google.com/spreadsheets/d/1Uw7-A9f9R21vMXxHZFNpYNeKFtG8_yji4HS352LGlSQ/edit?pli=1#gid=0"",""1_ACUM!A4:S""),19,FALSE))"),"")</f>
        <v/>
      </c>
      <c r="AK339" s="98" t="str">
        <f ca="1">IFERROR(__xludf.DUMMYFUNCTION("IFERROR(VLOOKUP(F362,IMPORTRANGE(""https://docs.google.com/spreadsheets/d/1Kvs4KS76FHFqLFIZfrDMff4kP08nblUkihrxltoGBjg/edit#gid=934712705"",""ESENCIAL!A6:BG""),5,FALSE))"),"")</f>
        <v/>
      </c>
      <c r="AL339" s="98" t="str">
        <f t="shared" si="25"/>
        <v/>
      </c>
      <c r="AM339" s="99" t="str">
        <f t="shared" si="26"/>
        <v/>
      </c>
      <c r="AN339" s="100" t="str">
        <f ca="1">IFERROR(__xludf.DUMMYFUNCTION("IFERROR(VLOOKUP(F362,IMPORTRANGE(""https://docs.google.com/spreadsheets/d/1Kvs4KS76FHFqLFIZfrDMff4kP08nblUkihrxltoGBjg/edit#gid=934712705"",""ESENCIAL!A6:BG""),2,FALSE))"),"")</f>
        <v/>
      </c>
      <c r="AO339" s="19" t="str">
        <f t="shared" si="20"/>
        <v/>
      </c>
      <c r="AP339" s="100"/>
      <c r="AQ339" s="100"/>
    </row>
    <row r="340" spans="1:43" ht="15">
      <c r="A340" s="101"/>
      <c r="B340" s="101"/>
      <c r="G340" s="5" t="str">
        <f ca="1">IFERROR(__xludf.DUMMYFUNCTION("IFERROR(VLOOKUP(F363,IMPORTRANGE(""https://docs.google.com/spreadsheets/d/1Kvs4KS76FHFqLFIZfrDMff4kP08nblUkihrxltoGBjg/edit#gid=934712705"",""ESENCIAL!A6:BG""),3,FALSE))"),"")</f>
        <v/>
      </c>
      <c r="H340" s="5" t="str">
        <f ca="1">IFERROR(__xludf.DUMMYFUNCTION("IFERROR(VLOOKUP(F363,IMPORTRANGE(""https://docs.google.com/spreadsheets/d/1Kvs4KS76FHFqLFIZfrDMff4kP08nblUkihrxltoGBjg/edit#gid=934712705"",""ESENCIAL!A6:BG""),8,FALSE))"),"")</f>
        <v/>
      </c>
      <c r="L340" s="287"/>
      <c r="Z340" s="41" t="str">
        <f t="shared" si="24"/>
        <v/>
      </c>
      <c r="AA340" s="5" t="str">
        <f ca="1">IFERROR(__xludf.DUMMYFUNCTION("IFERROR(VLOOKUP(E363&amp;F363,IMPORTRANGE(""https://docs.google.com/spreadsheets/d/1Uw7-A9f9R21vMXxHZFNpYNeKFtG8_yji4HS352LGlSQ/edit?pli=1#gid=0"",""1_ACUM!A4:S""),11,FALSE))"),"")</f>
        <v/>
      </c>
      <c r="AB340" s="42" t="str">
        <f ca="1">IFERROR(__xludf.DUMMYFUNCTION("IFERROR(VLOOKUP(F363,IMPORTRANGE(""https://docs.google.com/spreadsheets/d/1Kvs4KS76FHFqLFIZfrDMff4kP08nblUkihrxltoGBjg/edit#gid=934712705"",""ESENCIAL!A6:BG""),15,FALSE))"),"")</f>
        <v/>
      </c>
      <c r="AC340" s="110" t="str">
        <f ca="1">IFERROR(__xludf.DUMMYFUNCTION("IFERROR(VLOOKUP(E363&amp;F363,IMPORTRANGE(""https://docs.google.com/spreadsheets/d/1Uw7-A9f9R21vMXxHZFNpYNeKFtG8_yji4HS352LGlSQ/edit?pli=1#gid=0"",""1_ACUM!A4:S""),13,FALSE))"),"")</f>
        <v/>
      </c>
      <c r="AD340" s="43" t="str">
        <f ca="1">IFERROR(__xludf.DUMMYFUNCTION("IFERROR(VLOOKUP(E363&amp;F363,IMPORTRANGE(""https://docs.google.com/spreadsheets/d/1Uw7-A9f9R21vMXxHZFNpYNeKFtG8_yji4HS352LGlSQ/edit?pli=1#gid=0"",""1_ACUM!A4:S""),13,FALSE))"),"")</f>
        <v/>
      </c>
      <c r="AE340" s="43" t="str">
        <f ca="1">IFERROR(__xludf.DUMMYFUNCTION("IFERROR(VLOOKUP(E363&amp;F363,IMPORTRANGE(""https://docs.google.com/spreadsheets/d/1Uw7-A9f9R21vMXxHZFNpYNeKFtG8_yji4HS352LGlSQ/edit?pli=1#gid=0"",""1_ACUM!A4:S""),14,FALSE))"),"")</f>
        <v/>
      </c>
      <c r="AF340" s="43" t="str">
        <f ca="1">IFERROR(__xludf.DUMMYFUNCTION("IFERROR(VLOOKUP(E363&amp;F363,IMPORTRANGE(""https://docs.google.com/spreadsheets/d/1Uw7-A9f9R21vMXxHZFNpYNeKFtG8_yji4HS352LGlSQ/edit?pli=1#gid=0"",""1_ACUM!A4:S""),15,FALSE))"),"")</f>
        <v/>
      </c>
      <c r="AG340" s="43" t="str">
        <f ca="1">IFERROR(__xludf.DUMMYFUNCTION("IFERROR(VLOOKUP(E363&amp;F363,IMPORTRANGE(""https://docs.google.com/spreadsheets/d/1Uw7-A9f9R21vMXxHZFNpYNeKFtG8_yji4HS352LGlSQ/edit?pli=1#gid=0"",""1_ACUM!A4:S""),16,FALSE))"),"")</f>
        <v/>
      </c>
      <c r="AH340" s="43" t="str">
        <f ca="1">IFERROR(__xludf.DUMMYFUNCTION("IFERROR(VLOOKUP(E363&amp;F363,IMPORTRANGE(""https://docs.google.com/spreadsheets/d/1Uw7-A9f9R21vMXxHZFNpYNeKFtG8_yji4HS352LGlSQ/edit?pli=1#gid=0"",""1_ACUM!A4:S""),17,FALSE))"),"")</f>
        <v/>
      </c>
      <c r="AI340" s="44" t="str">
        <f ca="1">IFERROR(__xludf.DUMMYFUNCTION("IFERROR(VLOOKUP(E363&amp;F363,IMPORTRANGE(""https://docs.google.com/spreadsheets/d/1Uw7-A9f9R21vMXxHZFNpYNeKFtG8_yji4HS352LGlSQ/edit?pli=1#gid=0"",""1_ACUM!A4:S""),18,FALSE))"),"")</f>
        <v/>
      </c>
      <c r="AJ340" s="44" t="str">
        <f ca="1">IFERROR(__xludf.DUMMYFUNCTION("IFERROR(VLOOKUP(E363&amp;F363,IMPORTRANGE(""https://docs.google.com/spreadsheets/d/1Uw7-A9f9R21vMXxHZFNpYNeKFtG8_yji4HS352LGlSQ/edit?pli=1#gid=0"",""1_ACUM!A4:S""),19,FALSE))"),"")</f>
        <v/>
      </c>
      <c r="AK340" s="98" t="str">
        <f ca="1">IFERROR(__xludf.DUMMYFUNCTION("IFERROR(VLOOKUP(F363,IMPORTRANGE(""https://docs.google.com/spreadsheets/d/1Kvs4KS76FHFqLFIZfrDMff4kP08nblUkihrxltoGBjg/edit#gid=934712705"",""ESENCIAL!A6:BG""),5,FALSE))"),"")</f>
        <v/>
      </c>
      <c r="AL340" s="98" t="str">
        <f t="shared" si="25"/>
        <v/>
      </c>
      <c r="AM340" s="99" t="str">
        <f t="shared" si="26"/>
        <v/>
      </c>
      <c r="AN340" s="100" t="str">
        <f ca="1">IFERROR(__xludf.DUMMYFUNCTION("IFERROR(VLOOKUP(F363,IMPORTRANGE(""https://docs.google.com/spreadsheets/d/1Kvs4KS76FHFqLFIZfrDMff4kP08nblUkihrxltoGBjg/edit#gid=934712705"",""ESENCIAL!A6:BG""),2,FALSE))"),"")</f>
        <v/>
      </c>
      <c r="AO340" s="19" t="str">
        <f t="shared" si="20"/>
        <v/>
      </c>
      <c r="AP340" s="100"/>
      <c r="AQ340" s="100"/>
    </row>
    <row r="341" spans="1:43" ht="15">
      <c r="A341" s="101"/>
      <c r="B341" s="101"/>
      <c r="G341" s="5" t="str">
        <f ca="1">IFERROR(__xludf.DUMMYFUNCTION("IFERROR(VLOOKUP(F364,IMPORTRANGE(""https://docs.google.com/spreadsheets/d/1Kvs4KS76FHFqLFIZfrDMff4kP08nblUkihrxltoGBjg/edit#gid=934712705"",""ESENCIAL!A6:BG""),3,FALSE))"),"")</f>
        <v/>
      </c>
      <c r="H341" s="5" t="str">
        <f ca="1">IFERROR(__xludf.DUMMYFUNCTION("IFERROR(VLOOKUP(F364,IMPORTRANGE(""https://docs.google.com/spreadsheets/d/1Kvs4KS76FHFqLFIZfrDMff4kP08nblUkihrxltoGBjg/edit#gid=934712705"",""ESENCIAL!A6:BG""),8,FALSE))"),"")</f>
        <v/>
      </c>
      <c r="L341" s="287"/>
      <c r="Z341" s="41" t="str">
        <f t="shared" si="24"/>
        <v/>
      </c>
      <c r="AA341" s="5" t="str">
        <f ca="1">IFERROR(__xludf.DUMMYFUNCTION("IFERROR(VLOOKUP(E364&amp;F364,IMPORTRANGE(""https://docs.google.com/spreadsheets/d/1Uw7-A9f9R21vMXxHZFNpYNeKFtG8_yji4HS352LGlSQ/edit?pli=1#gid=0"",""1_ACUM!A4:S""),11,FALSE))"),"")</f>
        <v/>
      </c>
      <c r="AB341" s="42" t="str">
        <f ca="1">IFERROR(__xludf.DUMMYFUNCTION("IFERROR(VLOOKUP(F364,IMPORTRANGE(""https://docs.google.com/spreadsheets/d/1Kvs4KS76FHFqLFIZfrDMff4kP08nblUkihrxltoGBjg/edit#gid=934712705"",""ESENCIAL!A6:BG""),15,FALSE))"),"")</f>
        <v/>
      </c>
      <c r="AC341" s="110" t="str">
        <f ca="1">IFERROR(__xludf.DUMMYFUNCTION("IFERROR(VLOOKUP(E364&amp;F364,IMPORTRANGE(""https://docs.google.com/spreadsheets/d/1Uw7-A9f9R21vMXxHZFNpYNeKFtG8_yji4HS352LGlSQ/edit?pli=1#gid=0"",""1_ACUM!A4:S""),13,FALSE))"),"")</f>
        <v/>
      </c>
      <c r="AD341" s="43" t="str">
        <f ca="1">IFERROR(__xludf.DUMMYFUNCTION("IFERROR(VLOOKUP(E364&amp;F364,IMPORTRANGE(""https://docs.google.com/spreadsheets/d/1Uw7-A9f9R21vMXxHZFNpYNeKFtG8_yji4HS352LGlSQ/edit?pli=1#gid=0"",""1_ACUM!A4:S""),13,FALSE))"),"")</f>
        <v/>
      </c>
      <c r="AE341" s="43" t="str">
        <f ca="1">IFERROR(__xludf.DUMMYFUNCTION("IFERROR(VLOOKUP(E364&amp;F364,IMPORTRANGE(""https://docs.google.com/spreadsheets/d/1Uw7-A9f9R21vMXxHZFNpYNeKFtG8_yji4HS352LGlSQ/edit?pli=1#gid=0"",""1_ACUM!A4:S""),14,FALSE))"),"")</f>
        <v/>
      </c>
      <c r="AF341" s="43" t="str">
        <f ca="1">IFERROR(__xludf.DUMMYFUNCTION("IFERROR(VLOOKUP(E364&amp;F364,IMPORTRANGE(""https://docs.google.com/spreadsheets/d/1Uw7-A9f9R21vMXxHZFNpYNeKFtG8_yji4HS352LGlSQ/edit?pli=1#gid=0"",""1_ACUM!A4:S""),15,FALSE))"),"")</f>
        <v/>
      </c>
      <c r="AG341" s="43" t="str">
        <f ca="1">IFERROR(__xludf.DUMMYFUNCTION("IFERROR(VLOOKUP(E364&amp;F364,IMPORTRANGE(""https://docs.google.com/spreadsheets/d/1Uw7-A9f9R21vMXxHZFNpYNeKFtG8_yji4HS352LGlSQ/edit?pli=1#gid=0"",""1_ACUM!A4:S""),16,FALSE))"),"")</f>
        <v/>
      </c>
      <c r="AH341" s="43" t="str">
        <f ca="1">IFERROR(__xludf.DUMMYFUNCTION("IFERROR(VLOOKUP(E364&amp;F364,IMPORTRANGE(""https://docs.google.com/spreadsheets/d/1Uw7-A9f9R21vMXxHZFNpYNeKFtG8_yji4HS352LGlSQ/edit?pli=1#gid=0"",""1_ACUM!A4:S""),17,FALSE))"),"")</f>
        <v/>
      </c>
      <c r="AI341" s="44" t="str">
        <f ca="1">IFERROR(__xludf.DUMMYFUNCTION("IFERROR(VLOOKUP(E364&amp;F364,IMPORTRANGE(""https://docs.google.com/spreadsheets/d/1Uw7-A9f9R21vMXxHZFNpYNeKFtG8_yji4HS352LGlSQ/edit?pli=1#gid=0"",""1_ACUM!A4:S""),18,FALSE))"),"")</f>
        <v/>
      </c>
      <c r="AJ341" s="44" t="str">
        <f ca="1">IFERROR(__xludf.DUMMYFUNCTION("IFERROR(VLOOKUP(E364&amp;F364,IMPORTRANGE(""https://docs.google.com/spreadsheets/d/1Uw7-A9f9R21vMXxHZFNpYNeKFtG8_yji4HS352LGlSQ/edit?pli=1#gid=0"",""1_ACUM!A4:S""),19,FALSE))"),"")</f>
        <v/>
      </c>
      <c r="AK341" s="98" t="str">
        <f ca="1">IFERROR(__xludf.DUMMYFUNCTION("IFERROR(VLOOKUP(F364,IMPORTRANGE(""https://docs.google.com/spreadsheets/d/1Kvs4KS76FHFqLFIZfrDMff4kP08nblUkihrxltoGBjg/edit#gid=934712705"",""ESENCIAL!A6:BG""),5,FALSE))"),"")</f>
        <v/>
      </c>
      <c r="AL341" s="98" t="str">
        <f t="shared" si="25"/>
        <v/>
      </c>
      <c r="AM341" s="99" t="str">
        <f t="shared" si="26"/>
        <v/>
      </c>
      <c r="AN341" s="100" t="str">
        <f ca="1">IFERROR(__xludf.DUMMYFUNCTION("IFERROR(VLOOKUP(F364,IMPORTRANGE(""https://docs.google.com/spreadsheets/d/1Kvs4KS76FHFqLFIZfrDMff4kP08nblUkihrxltoGBjg/edit#gid=934712705"",""ESENCIAL!A6:BG""),2,FALSE))"),"")</f>
        <v/>
      </c>
      <c r="AO341" s="19" t="str">
        <f t="shared" si="20"/>
        <v/>
      </c>
      <c r="AP341" s="100"/>
      <c r="AQ341" s="100"/>
    </row>
    <row r="342" spans="1:43" ht="15">
      <c r="A342" s="101"/>
      <c r="B342" s="101"/>
      <c r="G342" s="5" t="str">
        <f ca="1">IFERROR(__xludf.DUMMYFUNCTION("IFERROR(VLOOKUP(F365,IMPORTRANGE(""https://docs.google.com/spreadsheets/d/1Kvs4KS76FHFqLFIZfrDMff4kP08nblUkihrxltoGBjg/edit#gid=934712705"",""ESENCIAL!A6:BG""),3,FALSE))"),"")</f>
        <v/>
      </c>
      <c r="H342" s="5" t="str">
        <f ca="1">IFERROR(__xludf.DUMMYFUNCTION("IFERROR(VLOOKUP(F365,IMPORTRANGE(""https://docs.google.com/spreadsheets/d/1Kvs4KS76FHFqLFIZfrDMff4kP08nblUkihrxltoGBjg/edit#gid=934712705"",""ESENCIAL!A6:BG""),8,FALSE))"),"")</f>
        <v/>
      </c>
      <c r="L342" s="287"/>
      <c r="Z342" s="41" t="str">
        <f t="shared" si="24"/>
        <v/>
      </c>
      <c r="AA342" s="5" t="str">
        <f ca="1">IFERROR(__xludf.DUMMYFUNCTION("IFERROR(VLOOKUP(E365&amp;F365,IMPORTRANGE(""https://docs.google.com/spreadsheets/d/1Uw7-A9f9R21vMXxHZFNpYNeKFtG8_yji4HS352LGlSQ/edit?pli=1#gid=0"",""1_ACUM!A4:S""),11,FALSE))"),"")</f>
        <v/>
      </c>
      <c r="AB342" s="42" t="str">
        <f ca="1">IFERROR(__xludf.DUMMYFUNCTION("IFERROR(VLOOKUP(F365,IMPORTRANGE(""https://docs.google.com/spreadsheets/d/1Kvs4KS76FHFqLFIZfrDMff4kP08nblUkihrxltoGBjg/edit#gid=934712705"",""ESENCIAL!A6:BG""),15,FALSE))"),"")</f>
        <v/>
      </c>
      <c r="AC342" s="110" t="str">
        <f ca="1">IFERROR(__xludf.DUMMYFUNCTION("IFERROR(VLOOKUP(E365&amp;F365,IMPORTRANGE(""https://docs.google.com/spreadsheets/d/1Uw7-A9f9R21vMXxHZFNpYNeKFtG8_yji4HS352LGlSQ/edit?pli=1#gid=0"",""1_ACUM!A4:S""),13,FALSE))"),"")</f>
        <v/>
      </c>
      <c r="AD342" s="43" t="str">
        <f ca="1">IFERROR(__xludf.DUMMYFUNCTION("IFERROR(VLOOKUP(E365&amp;F365,IMPORTRANGE(""https://docs.google.com/spreadsheets/d/1Uw7-A9f9R21vMXxHZFNpYNeKFtG8_yji4HS352LGlSQ/edit?pli=1#gid=0"",""1_ACUM!A4:S""),13,FALSE))"),"")</f>
        <v/>
      </c>
      <c r="AE342" s="43" t="str">
        <f ca="1">IFERROR(__xludf.DUMMYFUNCTION("IFERROR(VLOOKUP(E365&amp;F365,IMPORTRANGE(""https://docs.google.com/spreadsheets/d/1Uw7-A9f9R21vMXxHZFNpYNeKFtG8_yji4HS352LGlSQ/edit?pli=1#gid=0"",""1_ACUM!A4:S""),14,FALSE))"),"")</f>
        <v/>
      </c>
      <c r="AF342" s="43" t="str">
        <f ca="1">IFERROR(__xludf.DUMMYFUNCTION("IFERROR(VLOOKUP(E365&amp;F365,IMPORTRANGE(""https://docs.google.com/spreadsheets/d/1Uw7-A9f9R21vMXxHZFNpYNeKFtG8_yji4HS352LGlSQ/edit?pli=1#gid=0"",""1_ACUM!A4:S""),15,FALSE))"),"")</f>
        <v/>
      </c>
      <c r="AG342" s="43" t="str">
        <f ca="1">IFERROR(__xludf.DUMMYFUNCTION("IFERROR(VLOOKUP(E365&amp;F365,IMPORTRANGE(""https://docs.google.com/spreadsheets/d/1Uw7-A9f9R21vMXxHZFNpYNeKFtG8_yji4HS352LGlSQ/edit?pli=1#gid=0"",""1_ACUM!A4:S""),16,FALSE))"),"")</f>
        <v/>
      </c>
      <c r="AH342" s="43" t="str">
        <f ca="1">IFERROR(__xludf.DUMMYFUNCTION("IFERROR(VLOOKUP(E365&amp;F365,IMPORTRANGE(""https://docs.google.com/spreadsheets/d/1Uw7-A9f9R21vMXxHZFNpYNeKFtG8_yji4HS352LGlSQ/edit?pli=1#gid=0"",""1_ACUM!A4:S""),17,FALSE))"),"")</f>
        <v/>
      </c>
      <c r="AI342" s="44" t="str">
        <f ca="1">IFERROR(__xludf.DUMMYFUNCTION("IFERROR(VLOOKUP(E365&amp;F365,IMPORTRANGE(""https://docs.google.com/spreadsheets/d/1Uw7-A9f9R21vMXxHZFNpYNeKFtG8_yji4HS352LGlSQ/edit?pli=1#gid=0"",""1_ACUM!A4:S""),18,FALSE))"),"")</f>
        <v/>
      </c>
      <c r="AJ342" s="44" t="str">
        <f ca="1">IFERROR(__xludf.DUMMYFUNCTION("IFERROR(VLOOKUP(E365&amp;F365,IMPORTRANGE(""https://docs.google.com/spreadsheets/d/1Uw7-A9f9R21vMXxHZFNpYNeKFtG8_yji4HS352LGlSQ/edit?pli=1#gid=0"",""1_ACUM!A4:S""),19,FALSE))"),"")</f>
        <v/>
      </c>
      <c r="AK342" s="98" t="str">
        <f ca="1">IFERROR(__xludf.DUMMYFUNCTION("IFERROR(VLOOKUP(F365,IMPORTRANGE(""https://docs.google.com/spreadsheets/d/1Kvs4KS76FHFqLFIZfrDMff4kP08nblUkihrxltoGBjg/edit#gid=934712705"",""ESENCIAL!A6:BG""),5,FALSE))"),"")</f>
        <v/>
      </c>
      <c r="AL342" s="98" t="str">
        <f t="shared" si="25"/>
        <v/>
      </c>
      <c r="AM342" s="99" t="str">
        <f t="shared" si="26"/>
        <v/>
      </c>
      <c r="AN342" s="100" t="str">
        <f ca="1">IFERROR(__xludf.DUMMYFUNCTION("IFERROR(VLOOKUP(F365,IMPORTRANGE(""https://docs.google.com/spreadsheets/d/1Kvs4KS76FHFqLFIZfrDMff4kP08nblUkihrxltoGBjg/edit#gid=934712705"",""ESENCIAL!A6:BG""),2,FALSE))"),"")</f>
        <v/>
      </c>
      <c r="AO342" s="19" t="str">
        <f t="shared" si="20"/>
        <v/>
      </c>
      <c r="AP342" s="100"/>
      <c r="AQ342" s="100"/>
    </row>
    <row r="343" spans="1:43" ht="15">
      <c r="A343" s="101"/>
      <c r="B343" s="101"/>
      <c r="G343" s="5" t="str">
        <f ca="1">IFERROR(__xludf.DUMMYFUNCTION("IFERROR(VLOOKUP(F366,IMPORTRANGE(""https://docs.google.com/spreadsheets/d/1Kvs4KS76FHFqLFIZfrDMff4kP08nblUkihrxltoGBjg/edit#gid=934712705"",""ESENCIAL!A6:BG""),3,FALSE))"),"")</f>
        <v/>
      </c>
      <c r="H343" s="5" t="str">
        <f ca="1">IFERROR(__xludf.DUMMYFUNCTION("IFERROR(VLOOKUP(F366,IMPORTRANGE(""https://docs.google.com/spreadsheets/d/1Kvs4KS76FHFqLFIZfrDMff4kP08nblUkihrxltoGBjg/edit#gid=934712705"",""ESENCIAL!A6:BG""),8,FALSE))"),"")</f>
        <v/>
      </c>
      <c r="L343" s="287"/>
      <c r="Z343" s="41" t="str">
        <f t="shared" si="24"/>
        <v/>
      </c>
      <c r="AA343" s="5" t="str">
        <f ca="1">IFERROR(__xludf.DUMMYFUNCTION("IFERROR(VLOOKUP(E366&amp;F366,IMPORTRANGE(""https://docs.google.com/spreadsheets/d/1Uw7-A9f9R21vMXxHZFNpYNeKFtG8_yji4HS352LGlSQ/edit?pli=1#gid=0"",""1_ACUM!A4:S""),11,FALSE))"),"")</f>
        <v/>
      </c>
      <c r="AB343" s="42" t="str">
        <f ca="1">IFERROR(__xludf.DUMMYFUNCTION("IFERROR(VLOOKUP(F366,IMPORTRANGE(""https://docs.google.com/spreadsheets/d/1Kvs4KS76FHFqLFIZfrDMff4kP08nblUkihrxltoGBjg/edit#gid=934712705"",""ESENCIAL!A6:BG""),15,FALSE))"),"")</f>
        <v/>
      </c>
      <c r="AC343" s="110" t="str">
        <f ca="1">IFERROR(__xludf.DUMMYFUNCTION("IFERROR(VLOOKUP(E366&amp;F366,IMPORTRANGE(""https://docs.google.com/spreadsheets/d/1Uw7-A9f9R21vMXxHZFNpYNeKFtG8_yji4HS352LGlSQ/edit?pli=1#gid=0"",""1_ACUM!A4:S""),13,FALSE))"),"")</f>
        <v/>
      </c>
      <c r="AD343" s="43" t="str">
        <f ca="1">IFERROR(__xludf.DUMMYFUNCTION("IFERROR(VLOOKUP(E366&amp;F366,IMPORTRANGE(""https://docs.google.com/spreadsheets/d/1Uw7-A9f9R21vMXxHZFNpYNeKFtG8_yji4HS352LGlSQ/edit?pli=1#gid=0"",""1_ACUM!A4:S""),13,FALSE))"),"")</f>
        <v/>
      </c>
      <c r="AE343" s="43" t="str">
        <f ca="1">IFERROR(__xludf.DUMMYFUNCTION("IFERROR(VLOOKUP(E366&amp;F366,IMPORTRANGE(""https://docs.google.com/spreadsheets/d/1Uw7-A9f9R21vMXxHZFNpYNeKFtG8_yji4HS352LGlSQ/edit?pli=1#gid=0"",""1_ACUM!A4:S""),14,FALSE))"),"")</f>
        <v/>
      </c>
      <c r="AF343" s="43" t="str">
        <f ca="1">IFERROR(__xludf.DUMMYFUNCTION("IFERROR(VLOOKUP(E366&amp;F366,IMPORTRANGE(""https://docs.google.com/spreadsheets/d/1Uw7-A9f9R21vMXxHZFNpYNeKFtG8_yji4HS352LGlSQ/edit?pli=1#gid=0"",""1_ACUM!A4:S""),15,FALSE))"),"")</f>
        <v/>
      </c>
      <c r="AG343" s="43" t="str">
        <f ca="1">IFERROR(__xludf.DUMMYFUNCTION("IFERROR(VLOOKUP(E366&amp;F366,IMPORTRANGE(""https://docs.google.com/spreadsheets/d/1Uw7-A9f9R21vMXxHZFNpYNeKFtG8_yji4HS352LGlSQ/edit?pli=1#gid=0"",""1_ACUM!A4:S""),16,FALSE))"),"")</f>
        <v/>
      </c>
      <c r="AH343" s="43" t="str">
        <f ca="1">IFERROR(__xludf.DUMMYFUNCTION("IFERROR(VLOOKUP(E366&amp;F366,IMPORTRANGE(""https://docs.google.com/spreadsheets/d/1Uw7-A9f9R21vMXxHZFNpYNeKFtG8_yji4HS352LGlSQ/edit?pli=1#gid=0"",""1_ACUM!A4:S""),17,FALSE))"),"")</f>
        <v/>
      </c>
      <c r="AI343" s="44" t="str">
        <f ca="1">IFERROR(__xludf.DUMMYFUNCTION("IFERROR(VLOOKUP(E366&amp;F366,IMPORTRANGE(""https://docs.google.com/spreadsheets/d/1Uw7-A9f9R21vMXxHZFNpYNeKFtG8_yji4HS352LGlSQ/edit?pli=1#gid=0"",""1_ACUM!A4:S""),18,FALSE))"),"")</f>
        <v/>
      </c>
      <c r="AJ343" s="44" t="str">
        <f ca="1">IFERROR(__xludf.DUMMYFUNCTION("IFERROR(VLOOKUP(E366&amp;F366,IMPORTRANGE(""https://docs.google.com/spreadsheets/d/1Uw7-A9f9R21vMXxHZFNpYNeKFtG8_yji4HS352LGlSQ/edit?pli=1#gid=0"",""1_ACUM!A4:S""),19,FALSE))"),"")</f>
        <v/>
      </c>
      <c r="AK343" s="98" t="str">
        <f ca="1">IFERROR(__xludf.DUMMYFUNCTION("IFERROR(VLOOKUP(F366,IMPORTRANGE(""https://docs.google.com/spreadsheets/d/1Kvs4KS76FHFqLFIZfrDMff4kP08nblUkihrxltoGBjg/edit#gid=934712705"",""ESENCIAL!A6:BG""),5,FALSE))"),"")</f>
        <v/>
      </c>
      <c r="AL343" s="98" t="str">
        <f t="shared" si="25"/>
        <v/>
      </c>
      <c r="AM343" s="99" t="str">
        <f t="shared" si="26"/>
        <v/>
      </c>
      <c r="AN343" s="100" t="str">
        <f ca="1">IFERROR(__xludf.DUMMYFUNCTION("IFERROR(VLOOKUP(F366,IMPORTRANGE(""https://docs.google.com/spreadsheets/d/1Kvs4KS76FHFqLFIZfrDMff4kP08nblUkihrxltoGBjg/edit#gid=934712705"",""ESENCIAL!A6:BG""),2,FALSE))"),"")</f>
        <v/>
      </c>
      <c r="AO343" s="19" t="str">
        <f t="shared" si="20"/>
        <v/>
      </c>
      <c r="AP343" s="100"/>
      <c r="AQ343" s="100"/>
    </row>
    <row r="344" spans="1:43" ht="15">
      <c r="A344" s="101"/>
      <c r="B344" s="101"/>
      <c r="G344" s="5" t="str">
        <f ca="1">IFERROR(__xludf.DUMMYFUNCTION("IFERROR(VLOOKUP(F367,IMPORTRANGE(""https://docs.google.com/spreadsheets/d/1Kvs4KS76FHFqLFIZfrDMff4kP08nblUkihrxltoGBjg/edit#gid=934712705"",""ESENCIAL!A6:BG""),3,FALSE))"),"")</f>
        <v/>
      </c>
      <c r="H344" s="5" t="str">
        <f ca="1">IFERROR(__xludf.DUMMYFUNCTION("IFERROR(VLOOKUP(F367,IMPORTRANGE(""https://docs.google.com/spreadsheets/d/1Kvs4KS76FHFqLFIZfrDMff4kP08nblUkihrxltoGBjg/edit#gid=934712705"",""ESENCIAL!A6:BG""),8,FALSE))"),"")</f>
        <v/>
      </c>
      <c r="L344" s="287"/>
      <c r="Z344" s="41" t="str">
        <f t="shared" si="24"/>
        <v/>
      </c>
      <c r="AA344" s="5" t="str">
        <f ca="1">IFERROR(__xludf.DUMMYFUNCTION("IFERROR(VLOOKUP(E367&amp;F367,IMPORTRANGE(""https://docs.google.com/spreadsheets/d/1Uw7-A9f9R21vMXxHZFNpYNeKFtG8_yji4HS352LGlSQ/edit?pli=1#gid=0"",""1_ACUM!A4:S""),11,FALSE))"),"")</f>
        <v/>
      </c>
      <c r="AB344" s="42" t="str">
        <f ca="1">IFERROR(__xludf.DUMMYFUNCTION("IFERROR(VLOOKUP(F367,IMPORTRANGE(""https://docs.google.com/spreadsheets/d/1Kvs4KS76FHFqLFIZfrDMff4kP08nblUkihrxltoGBjg/edit#gid=934712705"",""ESENCIAL!A6:BG""),15,FALSE))"),"")</f>
        <v/>
      </c>
      <c r="AC344" s="110" t="str">
        <f ca="1">IFERROR(__xludf.DUMMYFUNCTION("IFERROR(VLOOKUP(E367&amp;F367,IMPORTRANGE(""https://docs.google.com/spreadsheets/d/1Uw7-A9f9R21vMXxHZFNpYNeKFtG8_yji4HS352LGlSQ/edit?pli=1#gid=0"",""1_ACUM!A4:S""),13,FALSE))"),"")</f>
        <v/>
      </c>
      <c r="AD344" s="43" t="str">
        <f ca="1">IFERROR(__xludf.DUMMYFUNCTION("IFERROR(VLOOKUP(E367&amp;F367,IMPORTRANGE(""https://docs.google.com/spreadsheets/d/1Uw7-A9f9R21vMXxHZFNpYNeKFtG8_yji4HS352LGlSQ/edit?pli=1#gid=0"",""1_ACUM!A4:S""),13,FALSE))"),"")</f>
        <v/>
      </c>
      <c r="AE344" s="43" t="str">
        <f ca="1">IFERROR(__xludf.DUMMYFUNCTION("IFERROR(VLOOKUP(E367&amp;F367,IMPORTRANGE(""https://docs.google.com/spreadsheets/d/1Uw7-A9f9R21vMXxHZFNpYNeKFtG8_yji4HS352LGlSQ/edit?pli=1#gid=0"",""1_ACUM!A4:S""),14,FALSE))"),"")</f>
        <v/>
      </c>
      <c r="AF344" s="43" t="str">
        <f ca="1">IFERROR(__xludf.DUMMYFUNCTION("IFERROR(VLOOKUP(E367&amp;F367,IMPORTRANGE(""https://docs.google.com/spreadsheets/d/1Uw7-A9f9R21vMXxHZFNpYNeKFtG8_yji4HS352LGlSQ/edit?pli=1#gid=0"",""1_ACUM!A4:S""),15,FALSE))"),"")</f>
        <v/>
      </c>
      <c r="AG344" s="43" t="str">
        <f ca="1">IFERROR(__xludf.DUMMYFUNCTION("IFERROR(VLOOKUP(E367&amp;F367,IMPORTRANGE(""https://docs.google.com/spreadsheets/d/1Uw7-A9f9R21vMXxHZFNpYNeKFtG8_yji4HS352LGlSQ/edit?pli=1#gid=0"",""1_ACUM!A4:S""),16,FALSE))"),"")</f>
        <v/>
      </c>
      <c r="AH344" s="43" t="str">
        <f ca="1">IFERROR(__xludf.DUMMYFUNCTION("IFERROR(VLOOKUP(E367&amp;F367,IMPORTRANGE(""https://docs.google.com/spreadsheets/d/1Uw7-A9f9R21vMXxHZFNpYNeKFtG8_yji4HS352LGlSQ/edit?pli=1#gid=0"",""1_ACUM!A4:S""),17,FALSE))"),"")</f>
        <v/>
      </c>
      <c r="AI344" s="44" t="str">
        <f ca="1">IFERROR(__xludf.DUMMYFUNCTION("IFERROR(VLOOKUP(E367&amp;F367,IMPORTRANGE(""https://docs.google.com/spreadsheets/d/1Uw7-A9f9R21vMXxHZFNpYNeKFtG8_yji4HS352LGlSQ/edit?pli=1#gid=0"",""1_ACUM!A4:S""),18,FALSE))"),"")</f>
        <v/>
      </c>
      <c r="AJ344" s="44" t="str">
        <f ca="1">IFERROR(__xludf.DUMMYFUNCTION("IFERROR(VLOOKUP(E367&amp;F367,IMPORTRANGE(""https://docs.google.com/spreadsheets/d/1Uw7-A9f9R21vMXxHZFNpYNeKFtG8_yji4HS352LGlSQ/edit?pli=1#gid=0"",""1_ACUM!A4:S""),19,FALSE))"),"")</f>
        <v/>
      </c>
      <c r="AK344" s="98" t="str">
        <f ca="1">IFERROR(__xludf.DUMMYFUNCTION("IFERROR(VLOOKUP(F367,IMPORTRANGE(""https://docs.google.com/spreadsheets/d/1Kvs4KS76FHFqLFIZfrDMff4kP08nblUkihrxltoGBjg/edit#gid=934712705"",""ESENCIAL!A6:BG""),5,FALSE))"),"")</f>
        <v/>
      </c>
      <c r="AL344" s="98" t="str">
        <f t="shared" si="25"/>
        <v/>
      </c>
      <c r="AM344" s="99" t="str">
        <f t="shared" si="26"/>
        <v/>
      </c>
      <c r="AN344" s="100" t="str">
        <f ca="1">IFERROR(__xludf.DUMMYFUNCTION("IFERROR(VLOOKUP(F367,IMPORTRANGE(""https://docs.google.com/spreadsheets/d/1Kvs4KS76FHFqLFIZfrDMff4kP08nblUkihrxltoGBjg/edit#gid=934712705"",""ESENCIAL!A6:BG""),2,FALSE))"),"")</f>
        <v/>
      </c>
      <c r="AO344" s="19" t="str">
        <f t="shared" si="20"/>
        <v/>
      </c>
      <c r="AP344" s="100"/>
      <c r="AQ344" s="100"/>
    </row>
    <row r="345" spans="1:43" ht="15">
      <c r="A345" s="101"/>
      <c r="B345" s="101"/>
      <c r="G345" s="5" t="str">
        <f ca="1">IFERROR(__xludf.DUMMYFUNCTION("IFERROR(VLOOKUP(F368,IMPORTRANGE(""https://docs.google.com/spreadsheets/d/1Kvs4KS76FHFqLFIZfrDMff4kP08nblUkihrxltoGBjg/edit#gid=934712705"",""ESENCIAL!A6:BG""),3,FALSE))"),"")</f>
        <v/>
      </c>
      <c r="H345" s="5" t="str">
        <f ca="1">IFERROR(__xludf.DUMMYFUNCTION("IFERROR(VLOOKUP(F368,IMPORTRANGE(""https://docs.google.com/spreadsheets/d/1Kvs4KS76FHFqLFIZfrDMff4kP08nblUkihrxltoGBjg/edit#gid=934712705"",""ESENCIAL!A6:BG""),8,FALSE))"),"")</f>
        <v/>
      </c>
      <c r="L345" s="287"/>
      <c r="Z345" s="41" t="str">
        <f t="shared" si="24"/>
        <v/>
      </c>
      <c r="AA345" s="5" t="str">
        <f ca="1">IFERROR(__xludf.DUMMYFUNCTION("IFERROR(VLOOKUP(E368&amp;F368,IMPORTRANGE(""https://docs.google.com/spreadsheets/d/1Uw7-A9f9R21vMXxHZFNpYNeKFtG8_yji4HS352LGlSQ/edit?pli=1#gid=0"",""1_ACUM!A4:S""),11,FALSE))"),"")</f>
        <v/>
      </c>
      <c r="AB345" s="42" t="str">
        <f ca="1">IFERROR(__xludf.DUMMYFUNCTION("IFERROR(VLOOKUP(F368,IMPORTRANGE(""https://docs.google.com/spreadsheets/d/1Kvs4KS76FHFqLFIZfrDMff4kP08nblUkihrxltoGBjg/edit#gid=934712705"",""ESENCIAL!A6:BG""),15,FALSE))"),"")</f>
        <v/>
      </c>
      <c r="AC345" s="110" t="str">
        <f ca="1">IFERROR(__xludf.DUMMYFUNCTION("IFERROR(VLOOKUP(E368&amp;F368,IMPORTRANGE(""https://docs.google.com/spreadsheets/d/1Uw7-A9f9R21vMXxHZFNpYNeKFtG8_yji4HS352LGlSQ/edit?pli=1#gid=0"",""1_ACUM!A4:S""),13,FALSE))"),"")</f>
        <v/>
      </c>
      <c r="AD345" s="43" t="str">
        <f ca="1">IFERROR(__xludf.DUMMYFUNCTION("IFERROR(VLOOKUP(E368&amp;F368,IMPORTRANGE(""https://docs.google.com/spreadsheets/d/1Uw7-A9f9R21vMXxHZFNpYNeKFtG8_yji4HS352LGlSQ/edit?pli=1#gid=0"",""1_ACUM!A4:S""),13,FALSE))"),"")</f>
        <v/>
      </c>
      <c r="AE345" s="43" t="str">
        <f ca="1">IFERROR(__xludf.DUMMYFUNCTION("IFERROR(VLOOKUP(E368&amp;F368,IMPORTRANGE(""https://docs.google.com/spreadsheets/d/1Uw7-A9f9R21vMXxHZFNpYNeKFtG8_yji4HS352LGlSQ/edit?pli=1#gid=0"",""1_ACUM!A4:S""),14,FALSE))"),"")</f>
        <v/>
      </c>
      <c r="AF345" s="43" t="str">
        <f ca="1">IFERROR(__xludf.DUMMYFUNCTION("IFERROR(VLOOKUP(E368&amp;F368,IMPORTRANGE(""https://docs.google.com/spreadsheets/d/1Uw7-A9f9R21vMXxHZFNpYNeKFtG8_yji4HS352LGlSQ/edit?pli=1#gid=0"",""1_ACUM!A4:S""),15,FALSE))"),"")</f>
        <v/>
      </c>
      <c r="AG345" s="43" t="str">
        <f ca="1">IFERROR(__xludf.DUMMYFUNCTION("IFERROR(VLOOKUP(E368&amp;F368,IMPORTRANGE(""https://docs.google.com/spreadsheets/d/1Uw7-A9f9R21vMXxHZFNpYNeKFtG8_yji4HS352LGlSQ/edit?pli=1#gid=0"",""1_ACUM!A4:S""),16,FALSE))"),"")</f>
        <v/>
      </c>
      <c r="AH345" s="43" t="str">
        <f ca="1">IFERROR(__xludf.DUMMYFUNCTION("IFERROR(VLOOKUP(E368&amp;F368,IMPORTRANGE(""https://docs.google.com/spreadsheets/d/1Uw7-A9f9R21vMXxHZFNpYNeKFtG8_yji4HS352LGlSQ/edit?pli=1#gid=0"",""1_ACUM!A4:S""),17,FALSE))"),"")</f>
        <v/>
      </c>
      <c r="AI345" s="44" t="str">
        <f ca="1">IFERROR(__xludf.DUMMYFUNCTION("IFERROR(VLOOKUP(E368&amp;F368,IMPORTRANGE(""https://docs.google.com/spreadsheets/d/1Uw7-A9f9R21vMXxHZFNpYNeKFtG8_yji4HS352LGlSQ/edit?pli=1#gid=0"",""1_ACUM!A4:S""),18,FALSE))"),"")</f>
        <v/>
      </c>
      <c r="AJ345" s="44" t="str">
        <f ca="1">IFERROR(__xludf.DUMMYFUNCTION("IFERROR(VLOOKUP(E368&amp;F368,IMPORTRANGE(""https://docs.google.com/spreadsheets/d/1Uw7-A9f9R21vMXxHZFNpYNeKFtG8_yji4HS352LGlSQ/edit?pli=1#gid=0"",""1_ACUM!A4:S""),19,FALSE))"),"")</f>
        <v/>
      </c>
      <c r="AK345" s="98" t="str">
        <f ca="1">IFERROR(__xludf.DUMMYFUNCTION("IFERROR(VLOOKUP(F368,IMPORTRANGE(""https://docs.google.com/spreadsheets/d/1Kvs4KS76FHFqLFIZfrDMff4kP08nblUkihrxltoGBjg/edit#gid=934712705"",""ESENCIAL!A6:BG""),5,FALSE))"),"")</f>
        <v/>
      </c>
      <c r="AL345" s="98" t="str">
        <f t="shared" si="25"/>
        <v/>
      </c>
      <c r="AM345" s="99" t="str">
        <f t="shared" si="26"/>
        <v/>
      </c>
      <c r="AN345" s="100" t="str">
        <f ca="1">IFERROR(__xludf.DUMMYFUNCTION("IFERROR(VLOOKUP(F368,IMPORTRANGE(""https://docs.google.com/spreadsheets/d/1Kvs4KS76FHFqLFIZfrDMff4kP08nblUkihrxltoGBjg/edit#gid=934712705"",""ESENCIAL!A6:BG""),2,FALSE))"),"")</f>
        <v/>
      </c>
      <c r="AO345" s="19" t="str">
        <f t="shared" si="20"/>
        <v/>
      </c>
      <c r="AP345" s="100"/>
      <c r="AQ345" s="100"/>
    </row>
    <row r="346" spans="1:43" ht="15">
      <c r="A346" s="101"/>
      <c r="B346" s="101"/>
      <c r="G346" s="5" t="str">
        <f ca="1">IFERROR(__xludf.DUMMYFUNCTION("IFERROR(VLOOKUP(F369,IMPORTRANGE(""https://docs.google.com/spreadsheets/d/1Kvs4KS76FHFqLFIZfrDMff4kP08nblUkihrxltoGBjg/edit#gid=934712705"",""ESENCIAL!A6:BG""),3,FALSE))"),"")</f>
        <v/>
      </c>
      <c r="H346" s="5" t="str">
        <f ca="1">IFERROR(__xludf.DUMMYFUNCTION("IFERROR(VLOOKUP(F369,IMPORTRANGE(""https://docs.google.com/spreadsheets/d/1Kvs4KS76FHFqLFIZfrDMff4kP08nblUkihrxltoGBjg/edit#gid=934712705"",""ESENCIAL!A6:BG""),8,FALSE))"),"")</f>
        <v/>
      </c>
      <c r="L346" s="287"/>
      <c r="Z346" s="41" t="str">
        <f t="shared" si="24"/>
        <v/>
      </c>
      <c r="AA346" s="5" t="str">
        <f ca="1">IFERROR(__xludf.DUMMYFUNCTION("IFERROR(VLOOKUP(E369&amp;F369,IMPORTRANGE(""https://docs.google.com/spreadsheets/d/1Uw7-A9f9R21vMXxHZFNpYNeKFtG8_yji4HS352LGlSQ/edit?pli=1#gid=0"",""1_ACUM!A4:S""),11,FALSE))"),"")</f>
        <v/>
      </c>
      <c r="AB346" s="42" t="str">
        <f ca="1">IFERROR(__xludf.DUMMYFUNCTION("IFERROR(VLOOKUP(F369,IMPORTRANGE(""https://docs.google.com/spreadsheets/d/1Kvs4KS76FHFqLFIZfrDMff4kP08nblUkihrxltoGBjg/edit#gid=934712705"",""ESENCIAL!A6:BG""),15,FALSE))"),"")</f>
        <v/>
      </c>
      <c r="AC346" s="110" t="str">
        <f ca="1">IFERROR(__xludf.DUMMYFUNCTION("IFERROR(VLOOKUP(E369&amp;F369,IMPORTRANGE(""https://docs.google.com/spreadsheets/d/1Uw7-A9f9R21vMXxHZFNpYNeKFtG8_yji4HS352LGlSQ/edit?pli=1#gid=0"",""1_ACUM!A4:S""),13,FALSE))"),"")</f>
        <v/>
      </c>
      <c r="AD346" s="43" t="str">
        <f ca="1">IFERROR(__xludf.DUMMYFUNCTION("IFERROR(VLOOKUP(E369&amp;F369,IMPORTRANGE(""https://docs.google.com/spreadsheets/d/1Uw7-A9f9R21vMXxHZFNpYNeKFtG8_yji4HS352LGlSQ/edit?pli=1#gid=0"",""1_ACUM!A4:S""),13,FALSE))"),"")</f>
        <v/>
      </c>
      <c r="AE346" s="43" t="str">
        <f ca="1">IFERROR(__xludf.DUMMYFUNCTION("IFERROR(VLOOKUP(E369&amp;F369,IMPORTRANGE(""https://docs.google.com/spreadsheets/d/1Uw7-A9f9R21vMXxHZFNpYNeKFtG8_yji4HS352LGlSQ/edit?pli=1#gid=0"",""1_ACUM!A4:S""),14,FALSE))"),"")</f>
        <v/>
      </c>
      <c r="AF346" s="43" t="str">
        <f ca="1">IFERROR(__xludf.DUMMYFUNCTION("IFERROR(VLOOKUP(E369&amp;F369,IMPORTRANGE(""https://docs.google.com/spreadsheets/d/1Uw7-A9f9R21vMXxHZFNpYNeKFtG8_yji4HS352LGlSQ/edit?pli=1#gid=0"",""1_ACUM!A4:S""),15,FALSE))"),"")</f>
        <v/>
      </c>
      <c r="AG346" s="43" t="str">
        <f ca="1">IFERROR(__xludf.DUMMYFUNCTION("IFERROR(VLOOKUP(E369&amp;F369,IMPORTRANGE(""https://docs.google.com/spreadsheets/d/1Uw7-A9f9R21vMXxHZFNpYNeKFtG8_yji4HS352LGlSQ/edit?pli=1#gid=0"",""1_ACUM!A4:S""),16,FALSE))"),"")</f>
        <v/>
      </c>
      <c r="AH346" s="43" t="str">
        <f ca="1">IFERROR(__xludf.DUMMYFUNCTION("IFERROR(VLOOKUP(E369&amp;F369,IMPORTRANGE(""https://docs.google.com/spreadsheets/d/1Uw7-A9f9R21vMXxHZFNpYNeKFtG8_yji4HS352LGlSQ/edit?pli=1#gid=0"",""1_ACUM!A4:S""),17,FALSE))"),"")</f>
        <v/>
      </c>
      <c r="AI346" s="44" t="str">
        <f ca="1">IFERROR(__xludf.DUMMYFUNCTION("IFERROR(VLOOKUP(E369&amp;F369,IMPORTRANGE(""https://docs.google.com/spreadsheets/d/1Uw7-A9f9R21vMXxHZFNpYNeKFtG8_yji4HS352LGlSQ/edit?pli=1#gid=0"",""1_ACUM!A4:S""),18,FALSE))"),"")</f>
        <v/>
      </c>
      <c r="AJ346" s="44" t="str">
        <f ca="1">IFERROR(__xludf.DUMMYFUNCTION("IFERROR(VLOOKUP(E369&amp;F369,IMPORTRANGE(""https://docs.google.com/spreadsheets/d/1Uw7-A9f9R21vMXxHZFNpYNeKFtG8_yji4HS352LGlSQ/edit?pli=1#gid=0"",""1_ACUM!A4:S""),19,FALSE))"),"")</f>
        <v/>
      </c>
      <c r="AK346" s="98" t="str">
        <f ca="1">IFERROR(__xludf.DUMMYFUNCTION("IFERROR(VLOOKUP(F369,IMPORTRANGE(""https://docs.google.com/spreadsheets/d/1Kvs4KS76FHFqLFIZfrDMff4kP08nblUkihrxltoGBjg/edit#gid=934712705"",""ESENCIAL!A6:BG""),5,FALSE))"),"")</f>
        <v/>
      </c>
      <c r="AL346" s="98" t="str">
        <f t="shared" si="25"/>
        <v/>
      </c>
      <c r="AM346" s="99" t="str">
        <f t="shared" si="26"/>
        <v/>
      </c>
      <c r="AN346" s="100" t="str">
        <f ca="1">IFERROR(__xludf.DUMMYFUNCTION("IFERROR(VLOOKUP(F369,IMPORTRANGE(""https://docs.google.com/spreadsheets/d/1Kvs4KS76FHFqLFIZfrDMff4kP08nblUkihrxltoGBjg/edit#gid=934712705"",""ESENCIAL!A6:BG""),2,FALSE))"),"")</f>
        <v/>
      </c>
      <c r="AO346" s="19" t="str">
        <f t="shared" si="20"/>
        <v/>
      </c>
      <c r="AP346" s="100"/>
      <c r="AQ346" s="100"/>
    </row>
    <row r="347" spans="1:43" ht="15">
      <c r="A347" s="101"/>
      <c r="B347" s="101"/>
      <c r="G347" s="5" t="str">
        <f ca="1">IFERROR(__xludf.DUMMYFUNCTION("IFERROR(VLOOKUP(F370,IMPORTRANGE(""https://docs.google.com/spreadsheets/d/1Kvs4KS76FHFqLFIZfrDMff4kP08nblUkihrxltoGBjg/edit#gid=934712705"",""ESENCIAL!A6:BG""),3,FALSE))"),"")</f>
        <v/>
      </c>
      <c r="H347" s="5" t="str">
        <f ca="1">IFERROR(__xludf.DUMMYFUNCTION("IFERROR(VLOOKUP(F370,IMPORTRANGE(""https://docs.google.com/spreadsheets/d/1Kvs4KS76FHFqLFIZfrDMff4kP08nblUkihrxltoGBjg/edit#gid=934712705"",""ESENCIAL!A6:BG""),8,FALSE))"),"")</f>
        <v/>
      </c>
      <c r="L347" s="287"/>
      <c r="Z347" s="41" t="str">
        <f t="shared" si="24"/>
        <v/>
      </c>
      <c r="AA347" s="5" t="str">
        <f ca="1">IFERROR(__xludf.DUMMYFUNCTION("IFERROR(VLOOKUP(E370&amp;F370,IMPORTRANGE(""https://docs.google.com/spreadsheets/d/1Uw7-A9f9R21vMXxHZFNpYNeKFtG8_yji4HS352LGlSQ/edit?pli=1#gid=0"",""1_ACUM!A4:S""),11,FALSE))"),"")</f>
        <v/>
      </c>
      <c r="AB347" s="42" t="str">
        <f ca="1">IFERROR(__xludf.DUMMYFUNCTION("IFERROR(VLOOKUP(F370,IMPORTRANGE(""https://docs.google.com/spreadsheets/d/1Kvs4KS76FHFqLFIZfrDMff4kP08nblUkihrxltoGBjg/edit#gid=934712705"",""ESENCIAL!A6:BG""),15,FALSE))"),"")</f>
        <v/>
      </c>
      <c r="AC347" s="110" t="str">
        <f ca="1">IFERROR(__xludf.DUMMYFUNCTION("IFERROR(VLOOKUP(E370&amp;F370,IMPORTRANGE(""https://docs.google.com/spreadsheets/d/1Uw7-A9f9R21vMXxHZFNpYNeKFtG8_yji4HS352LGlSQ/edit?pli=1#gid=0"",""1_ACUM!A4:S""),13,FALSE))"),"")</f>
        <v/>
      </c>
      <c r="AD347" s="43" t="str">
        <f ca="1">IFERROR(__xludf.DUMMYFUNCTION("IFERROR(VLOOKUP(E370&amp;F370,IMPORTRANGE(""https://docs.google.com/spreadsheets/d/1Uw7-A9f9R21vMXxHZFNpYNeKFtG8_yji4HS352LGlSQ/edit?pli=1#gid=0"",""1_ACUM!A4:S""),13,FALSE))"),"")</f>
        <v/>
      </c>
      <c r="AE347" s="43" t="str">
        <f ca="1">IFERROR(__xludf.DUMMYFUNCTION("IFERROR(VLOOKUP(E370&amp;F370,IMPORTRANGE(""https://docs.google.com/spreadsheets/d/1Uw7-A9f9R21vMXxHZFNpYNeKFtG8_yji4HS352LGlSQ/edit?pli=1#gid=0"",""1_ACUM!A4:S""),14,FALSE))"),"")</f>
        <v/>
      </c>
      <c r="AF347" s="43" t="str">
        <f ca="1">IFERROR(__xludf.DUMMYFUNCTION("IFERROR(VLOOKUP(E370&amp;F370,IMPORTRANGE(""https://docs.google.com/spreadsheets/d/1Uw7-A9f9R21vMXxHZFNpYNeKFtG8_yji4HS352LGlSQ/edit?pli=1#gid=0"",""1_ACUM!A4:S""),15,FALSE))"),"")</f>
        <v/>
      </c>
      <c r="AG347" s="43" t="str">
        <f ca="1">IFERROR(__xludf.DUMMYFUNCTION("IFERROR(VLOOKUP(E370&amp;F370,IMPORTRANGE(""https://docs.google.com/spreadsheets/d/1Uw7-A9f9R21vMXxHZFNpYNeKFtG8_yji4HS352LGlSQ/edit?pli=1#gid=0"",""1_ACUM!A4:S""),16,FALSE))"),"")</f>
        <v/>
      </c>
      <c r="AH347" s="43" t="str">
        <f ca="1">IFERROR(__xludf.DUMMYFUNCTION("IFERROR(VLOOKUP(E370&amp;F370,IMPORTRANGE(""https://docs.google.com/spreadsheets/d/1Uw7-A9f9R21vMXxHZFNpYNeKFtG8_yji4HS352LGlSQ/edit?pli=1#gid=0"",""1_ACUM!A4:S""),17,FALSE))"),"")</f>
        <v/>
      </c>
      <c r="AI347" s="44" t="str">
        <f ca="1">IFERROR(__xludf.DUMMYFUNCTION("IFERROR(VLOOKUP(E370&amp;F370,IMPORTRANGE(""https://docs.google.com/spreadsheets/d/1Uw7-A9f9R21vMXxHZFNpYNeKFtG8_yji4HS352LGlSQ/edit?pli=1#gid=0"",""1_ACUM!A4:S""),18,FALSE))"),"")</f>
        <v/>
      </c>
      <c r="AJ347" s="44" t="str">
        <f ca="1">IFERROR(__xludf.DUMMYFUNCTION("IFERROR(VLOOKUP(E370&amp;F370,IMPORTRANGE(""https://docs.google.com/spreadsheets/d/1Uw7-A9f9R21vMXxHZFNpYNeKFtG8_yji4HS352LGlSQ/edit?pli=1#gid=0"",""1_ACUM!A4:S""),19,FALSE))"),"")</f>
        <v/>
      </c>
      <c r="AK347" s="98" t="str">
        <f ca="1">IFERROR(__xludf.DUMMYFUNCTION("IFERROR(VLOOKUP(F370,IMPORTRANGE(""https://docs.google.com/spreadsheets/d/1Kvs4KS76FHFqLFIZfrDMff4kP08nblUkihrxltoGBjg/edit#gid=934712705"",""ESENCIAL!A6:BG""),5,FALSE))"),"")</f>
        <v/>
      </c>
      <c r="AL347" s="98" t="str">
        <f t="shared" si="25"/>
        <v/>
      </c>
      <c r="AM347" s="99" t="str">
        <f t="shared" si="26"/>
        <v/>
      </c>
      <c r="AN347" s="100" t="str">
        <f ca="1">IFERROR(__xludf.DUMMYFUNCTION("IFERROR(VLOOKUP(F370,IMPORTRANGE(""https://docs.google.com/spreadsheets/d/1Kvs4KS76FHFqLFIZfrDMff4kP08nblUkihrxltoGBjg/edit#gid=934712705"",""ESENCIAL!A6:BG""),2,FALSE))"),"")</f>
        <v/>
      </c>
      <c r="AO347" s="19" t="str">
        <f t="shared" si="20"/>
        <v/>
      </c>
      <c r="AP347" s="100"/>
      <c r="AQ347" s="100"/>
    </row>
    <row r="348" spans="1:43" ht="15">
      <c r="A348" s="101"/>
      <c r="B348" s="101"/>
      <c r="G348" s="5" t="str">
        <f ca="1">IFERROR(__xludf.DUMMYFUNCTION("IFERROR(VLOOKUP(F371,IMPORTRANGE(""https://docs.google.com/spreadsheets/d/1Kvs4KS76FHFqLFIZfrDMff4kP08nblUkihrxltoGBjg/edit#gid=934712705"",""ESENCIAL!A6:BG""),3,FALSE))"),"")</f>
        <v/>
      </c>
      <c r="H348" s="5" t="str">
        <f ca="1">IFERROR(__xludf.DUMMYFUNCTION("IFERROR(VLOOKUP(F371,IMPORTRANGE(""https://docs.google.com/spreadsheets/d/1Kvs4KS76FHFqLFIZfrDMff4kP08nblUkihrxltoGBjg/edit#gid=934712705"",""ESENCIAL!A6:BG""),8,FALSE))"),"")</f>
        <v/>
      </c>
      <c r="L348" s="287"/>
      <c r="Z348" s="41" t="str">
        <f t="shared" si="24"/>
        <v/>
      </c>
      <c r="AA348" s="5" t="str">
        <f ca="1">IFERROR(__xludf.DUMMYFUNCTION("IFERROR(VLOOKUP(E371&amp;F371,IMPORTRANGE(""https://docs.google.com/spreadsheets/d/1Uw7-A9f9R21vMXxHZFNpYNeKFtG8_yji4HS352LGlSQ/edit?pli=1#gid=0"",""1_ACUM!A4:S""),11,FALSE))"),"")</f>
        <v/>
      </c>
      <c r="AB348" s="42" t="str">
        <f ca="1">IFERROR(__xludf.DUMMYFUNCTION("IFERROR(VLOOKUP(F371,IMPORTRANGE(""https://docs.google.com/spreadsheets/d/1Kvs4KS76FHFqLFIZfrDMff4kP08nblUkihrxltoGBjg/edit#gid=934712705"",""ESENCIAL!A6:BG""),15,FALSE))"),"")</f>
        <v/>
      </c>
      <c r="AC348" s="110" t="str">
        <f ca="1">IFERROR(__xludf.DUMMYFUNCTION("IFERROR(VLOOKUP(E371&amp;F371,IMPORTRANGE(""https://docs.google.com/spreadsheets/d/1Uw7-A9f9R21vMXxHZFNpYNeKFtG8_yji4HS352LGlSQ/edit?pli=1#gid=0"",""1_ACUM!A4:S""),13,FALSE))"),"")</f>
        <v/>
      </c>
      <c r="AD348" s="43" t="str">
        <f ca="1">IFERROR(__xludf.DUMMYFUNCTION("IFERROR(VLOOKUP(E371&amp;F371,IMPORTRANGE(""https://docs.google.com/spreadsheets/d/1Uw7-A9f9R21vMXxHZFNpYNeKFtG8_yji4HS352LGlSQ/edit?pli=1#gid=0"",""1_ACUM!A4:S""),13,FALSE))"),"")</f>
        <v/>
      </c>
      <c r="AE348" s="43" t="str">
        <f ca="1">IFERROR(__xludf.DUMMYFUNCTION("IFERROR(VLOOKUP(E371&amp;F371,IMPORTRANGE(""https://docs.google.com/spreadsheets/d/1Uw7-A9f9R21vMXxHZFNpYNeKFtG8_yji4HS352LGlSQ/edit?pli=1#gid=0"",""1_ACUM!A4:S""),14,FALSE))"),"")</f>
        <v/>
      </c>
      <c r="AF348" s="43" t="str">
        <f ca="1">IFERROR(__xludf.DUMMYFUNCTION("IFERROR(VLOOKUP(E371&amp;F371,IMPORTRANGE(""https://docs.google.com/spreadsheets/d/1Uw7-A9f9R21vMXxHZFNpYNeKFtG8_yji4HS352LGlSQ/edit?pli=1#gid=0"",""1_ACUM!A4:S""),15,FALSE))"),"")</f>
        <v/>
      </c>
      <c r="AG348" s="43" t="str">
        <f ca="1">IFERROR(__xludf.DUMMYFUNCTION("IFERROR(VLOOKUP(E371&amp;F371,IMPORTRANGE(""https://docs.google.com/spreadsheets/d/1Uw7-A9f9R21vMXxHZFNpYNeKFtG8_yji4HS352LGlSQ/edit?pli=1#gid=0"",""1_ACUM!A4:S""),16,FALSE))"),"")</f>
        <v/>
      </c>
      <c r="AH348" s="43" t="str">
        <f ca="1">IFERROR(__xludf.DUMMYFUNCTION("IFERROR(VLOOKUP(E371&amp;F371,IMPORTRANGE(""https://docs.google.com/spreadsheets/d/1Uw7-A9f9R21vMXxHZFNpYNeKFtG8_yji4HS352LGlSQ/edit?pli=1#gid=0"",""1_ACUM!A4:S""),17,FALSE))"),"")</f>
        <v/>
      </c>
      <c r="AI348" s="44" t="str">
        <f ca="1">IFERROR(__xludf.DUMMYFUNCTION("IFERROR(VLOOKUP(E371&amp;F371,IMPORTRANGE(""https://docs.google.com/spreadsheets/d/1Uw7-A9f9R21vMXxHZFNpYNeKFtG8_yji4HS352LGlSQ/edit?pli=1#gid=0"",""1_ACUM!A4:S""),18,FALSE))"),"")</f>
        <v/>
      </c>
      <c r="AJ348" s="44" t="str">
        <f ca="1">IFERROR(__xludf.DUMMYFUNCTION("IFERROR(VLOOKUP(E371&amp;F371,IMPORTRANGE(""https://docs.google.com/spreadsheets/d/1Uw7-A9f9R21vMXxHZFNpYNeKFtG8_yji4HS352LGlSQ/edit?pli=1#gid=0"",""1_ACUM!A4:S""),19,FALSE))"),"")</f>
        <v/>
      </c>
      <c r="AK348" s="98" t="str">
        <f ca="1">IFERROR(__xludf.DUMMYFUNCTION("IFERROR(VLOOKUP(F371,IMPORTRANGE(""https://docs.google.com/spreadsheets/d/1Kvs4KS76FHFqLFIZfrDMff4kP08nblUkihrxltoGBjg/edit#gid=934712705"",""ESENCIAL!A6:BG""),5,FALSE))"),"")</f>
        <v/>
      </c>
      <c r="AL348" s="98" t="str">
        <f t="shared" si="25"/>
        <v/>
      </c>
      <c r="AM348" s="99" t="str">
        <f t="shared" si="26"/>
        <v/>
      </c>
      <c r="AN348" s="100" t="str">
        <f ca="1">IFERROR(__xludf.DUMMYFUNCTION("IFERROR(VLOOKUP(F371,IMPORTRANGE(""https://docs.google.com/spreadsheets/d/1Kvs4KS76FHFqLFIZfrDMff4kP08nblUkihrxltoGBjg/edit#gid=934712705"",""ESENCIAL!A6:BG""),2,FALSE))"),"")</f>
        <v/>
      </c>
      <c r="AO348" s="19" t="str">
        <f t="shared" si="20"/>
        <v/>
      </c>
      <c r="AP348" s="100"/>
      <c r="AQ348" s="100"/>
    </row>
    <row r="349" spans="1:43" ht="15">
      <c r="A349" s="101"/>
      <c r="B349" s="101"/>
      <c r="G349" s="5" t="str">
        <f ca="1">IFERROR(__xludf.DUMMYFUNCTION("IFERROR(VLOOKUP(F372,IMPORTRANGE(""https://docs.google.com/spreadsheets/d/1Kvs4KS76FHFqLFIZfrDMff4kP08nblUkihrxltoGBjg/edit#gid=934712705"",""ESENCIAL!A6:BG""),3,FALSE))"),"")</f>
        <v/>
      </c>
      <c r="H349" s="5" t="str">
        <f ca="1">IFERROR(__xludf.DUMMYFUNCTION("IFERROR(VLOOKUP(F372,IMPORTRANGE(""https://docs.google.com/spreadsheets/d/1Kvs4KS76FHFqLFIZfrDMff4kP08nblUkihrxltoGBjg/edit#gid=934712705"",""ESENCIAL!A6:BG""),8,FALSE))"),"")</f>
        <v/>
      </c>
      <c r="L349" s="287"/>
      <c r="Z349" s="41" t="str">
        <f t="shared" si="24"/>
        <v/>
      </c>
      <c r="AA349" s="5" t="str">
        <f ca="1">IFERROR(__xludf.DUMMYFUNCTION("IFERROR(VLOOKUP(E372&amp;F372,IMPORTRANGE(""https://docs.google.com/spreadsheets/d/1Uw7-A9f9R21vMXxHZFNpYNeKFtG8_yji4HS352LGlSQ/edit?pli=1#gid=0"",""1_ACUM!A4:S""),11,FALSE))"),"")</f>
        <v/>
      </c>
      <c r="AB349" s="42" t="str">
        <f ca="1">IFERROR(__xludf.DUMMYFUNCTION("IFERROR(VLOOKUP(F372,IMPORTRANGE(""https://docs.google.com/spreadsheets/d/1Kvs4KS76FHFqLFIZfrDMff4kP08nblUkihrxltoGBjg/edit#gid=934712705"",""ESENCIAL!A6:BG""),15,FALSE))"),"")</f>
        <v/>
      </c>
      <c r="AC349" s="110" t="str">
        <f ca="1">IFERROR(__xludf.DUMMYFUNCTION("IFERROR(VLOOKUP(E372&amp;F372,IMPORTRANGE(""https://docs.google.com/spreadsheets/d/1Uw7-A9f9R21vMXxHZFNpYNeKFtG8_yji4HS352LGlSQ/edit?pli=1#gid=0"",""1_ACUM!A4:S""),13,FALSE))"),"")</f>
        <v/>
      </c>
      <c r="AD349" s="43" t="str">
        <f ca="1">IFERROR(__xludf.DUMMYFUNCTION("IFERROR(VLOOKUP(E372&amp;F372,IMPORTRANGE(""https://docs.google.com/spreadsheets/d/1Uw7-A9f9R21vMXxHZFNpYNeKFtG8_yji4HS352LGlSQ/edit?pli=1#gid=0"",""1_ACUM!A4:S""),13,FALSE))"),"")</f>
        <v/>
      </c>
      <c r="AE349" s="43" t="str">
        <f ca="1">IFERROR(__xludf.DUMMYFUNCTION("IFERROR(VLOOKUP(E372&amp;F372,IMPORTRANGE(""https://docs.google.com/spreadsheets/d/1Uw7-A9f9R21vMXxHZFNpYNeKFtG8_yji4HS352LGlSQ/edit?pli=1#gid=0"",""1_ACUM!A4:S""),14,FALSE))"),"")</f>
        <v/>
      </c>
      <c r="AF349" s="43" t="str">
        <f ca="1">IFERROR(__xludf.DUMMYFUNCTION("IFERROR(VLOOKUP(E372&amp;F372,IMPORTRANGE(""https://docs.google.com/spreadsheets/d/1Uw7-A9f9R21vMXxHZFNpYNeKFtG8_yji4HS352LGlSQ/edit?pli=1#gid=0"",""1_ACUM!A4:S""),15,FALSE))"),"")</f>
        <v/>
      </c>
      <c r="AG349" s="43" t="str">
        <f ca="1">IFERROR(__xludf.DUMMYFUNCTION("IFERROR(VLOOKUP(E372&amp;F372,IMPORTRANGE(""https://docs.google.com/spreadsheets/d/1Uw7-A9f9R21vMXxHZFNpYNeKFtG8_yji4HS352LGlSQ/edit?pli=1#gid=0"",""1_ACUM!A4:S""),16,FALSE))"),"")</f>
        <v/>
      </c>
      <c r="AH349" s="43" t="str">
        <f ca="1">IFERROR(__xludf.DUMMYFUNCTION("IFERROR(VLOOKUP(E372&amp;F372,IMPORTRANGE(""https://docs.google.com/spreadsheets/d/1Uw7-A9f9R21vMXxHZFNpYNeKFtG8_yji4HS352LGlSQ/edit?pli=1#gid=0"",""1_ACUM!A4:S""),17,FALSE))"),"")</f>
        <v/>
      </c>
      <c r="AI349" s="44" t="str">
        <f ca="1">IFERROR(__xludf.DUMMYFUNCTION("IFERROR(VLOOKUP(E372&amp;F372,IMPORTRANGE(""https://docs.google.com/spreadsheets/d/1Uw7-A9f9R21vMXxHZFNpYNeKFtG8_yji4HS352LGlSQ/edit?pli=1#gid=0"",""1_ACUM!A4:S""),18,FALSE))"),"")</f>
        <v/>
      </c>
      <c r="AJ349" s="44" t="str">
        <f ca="1">IFERROR(__xludf.DUMMYFUNCTION("IFERROR(VLOOKUP(E372&amp;F372,IMPORTRANGE(""https://docs.google.com/spreadsheets/d/1Uw7-A9f9R21vMXxHZFNpYNeKFtG8_yji4HS352LGlSQ/edit?pli=1#gid=0"",""1_ACUM!A4:S""),19,FALSE))"),"")</f>
        <v/>
      </c>
      <c r="AK349" s="98" t="str">
        <f ca="1">IFERROR(__xludf.DUMMYFUNCTION("IFERROR(VLOOKUP(F372,IMPORTRANGE(""https://docs.google.com/spreadsheets/d/1Kvs4KS76FHFqLFIZfrDMff4kP08nblUkihrxltoGBjg/edit#gid=934712705"",""ESENCIAL!A6:BG""),5,FALSE))"),"")</f>
        <v/>
      </c>
      <c r="AL349" s="98" t="str">
        <f t="shared" si="25"/>
        <v/>
      </c>
      <c r="AM349" s="99" t="str">
        <f t="shared" si="26"/>
        <v/>
      </c>
      <c r="AN349" s="100" t="str">
        <f ca="1">IFERROR(__xludf.DUMMYFUNCTION("IFERROR(VLOOKUP(F372,IMPORTRANGE(""https://docs.google.com/spreadsheets/d/1Kvs4KS76FHFqLFIZfrDMff4kP08nblUkihrxltoGBjg/edit#gid=934712705"",""ESENCIAL!A6:BG""),2,FALSE))"),"")</f>
        <v/>
      </c>
      <c r="AO349" s="19" t="str">
        <f t="shared" si="20"/>
        <v/>
      </c>
      <c r="AP349" s="100"/>
      <c r="AQ349" s="100"/>
    </row>
    <row r="350" spans="1:43" ht="15">
      <c r="A350" s="101"/>
      <c r="B350" s="101"/>
      <c r="G350" s="5" t="str">
        <f ca="1">IFERROR(__xludf.DUMMYFUNCTION("IFERROR(VLOOKUP(F373,IMPORTRANGE(""https://docs.google.com/spreadsheets/d/1Kvs4KS76FHFqLFIZfrDMff4kP08nblUkihrxltoGBjg/edit#gid=934712705"",""ESENCIAL!A6:BG""),3,FALSE))"),"")</f>
        <v/>
      </c>
      <c r="H350" s="5" t="str">
        <f ca="1">IFERROR(__xludf.DUMMYFUNCTION("IFERROR(VLOOKUP(F373,IMPORTRANGE(""https://docs.google.com/spreadsheets/d/1Kvs4KS76FHFqLFIZfrDMff4kP08nblUkihrxltoGBjg/edit#gid=934712705"",""ESENCIAL!A6:BG""),8,FALSE))"),"")</f>
        <v/>
      </c>
      <c r="L350" s="287"/>
      <c r="Z350" s="41" t="str">
        <f t="shared" si="24"/>
        <v/>
      </c>
      <c r="AA350" s="5" t="str">
        <f ca="1">IFERROR(__xludf.DUMMYFUNCTION("IFERROR(VLOOKUP(E373&amp;F373,IMPORTRANGE(""https://docs.google.com/spreadsheets/d/1Uw7-A9f9R21vMXxHZFNpYNeKFtG8_yji4HS352LGlSQ/edit?pli=1#gid=0"",""1_ACUM!A4:S""),11,FALSE))"),"")</f>
        <v/>
      </c>
      <c r="AB350" s="42" t="str">
        <f ca="1">IFERROR(__xludf.DUMMYFUNCTION("IFERROR(VLOOKUP(F373,IMPORTRANGE(""https://docs.google.com/spreadsheets/d/1Kvs4KS76FHFqLFIZfrDMff4kP08nblUkihrxltoGBjg/edit#gid=934712705"",""ESENCIAL!A6:BG""),15,FALSE))"),"")</f>
        <v/>
      </c>
      <c r="AC350" s="110" t="str">
        <f ca="1">IFERROR(__xludf.DUMMYFUNCTION("IFERROR(VLOOKUP(E373&amp;F373,IMPORTRANGE(""https://docs.google.com/spreadsheets/d/1Uw7-A9f9R21vMXxHZFNpYNeKFtG8_yji4HS352LGlSQ/edit?pli=1#gid=0"",""1_ACUM!A4:S""),13,FALSE))"),"")</f>
        <v/>
      </c>
      <c r="AD350" s="43" t="str">
        <f ca="1">IFERROR(__xludf.DUMMYFUNCTION("IFERROR(VLOOKUP(E373&amp;F373,IMPORTRANGE(""https://docs.google.com/spreadsheets/d/1Uw7-A9f9R21vMXxHZFNpYNeKFtG8_yji4HS352LGlSQ/edit?pli=1#gid=0"",""1_ACUM!A4:S""),13,FALSE))"),"")</f>
        <v/>
      </c>
      <c r="AE350" s="43" t="str">
        <f ca="1">IFERROR(__xludf.DUMMYFUNCTION("IFERROR(VLOOKUP(E373&amp;F373,IMPORTRANGE(""https://docs.google.com/spreadsheets/d/1Uw7-A9f9R21vMXxHZFNpYNeKFtG8_yji4HS352LGlSQ/edit?pli=1#gid=0"",""1_ACUM!A4:S""),14,FALSE))"),"")</f>
        <v/>
      </c>
      <c r="AF350" s="43" t="str">
        <f ca="1">IFERROR(__xludf.DUMMYFUNCTION("IFERROR(VLOOKUP(E373&amp;F373,IMPORTRANGE(""https://docs.google.com/spreadsheets/d/1Uw7-A9f9R21vMXxHZFNpYNeKFtG8_yji4HS352LGlSQ/edit?pli=1#gid=0"",""1_ACUM!A4:S""),15,FALSE))"),"")</f>
        <v/>
      </c>
      <c r="AG350" s="43" t="str">
        <f ca="1">IFERROR(__xludf.DUMMYFUNCTION("IFERROR(VLOOKUP(E373&amp;F373,IMPORTRANGE(""https://docs.google.com/spreadsheets/d/1Uw7-A9f9R21vMXxHZFNpYNeKFtG8_yji4HS352LGlSQ/edit?pli=1#gid=0"",""1_ACUM!A4:S""),16,FALSE))"),"")</f>
        <v/>
      </c>
      <c r="AH350" s="43" t="str">
        <f ca="1">IFERROR(__xludf.DUMMYFUNCTION("IFERROR(VLOOKUP(E373&amp;F373,IMPORTRANGE(""https://docs.google.com/spreadsheets/d/1Uw7-A9f9R21vMXxHZFNpYNeKFtG8_yji4HS352LGlSQ/edit?pli=1#gid=0"",""1_ACUM!A4:S""),17,FALSE))"),"")</f>
        <v/>
      </c>
      <c r="AI350" s="44" t="str">
        <f ca="1">IFERROR(__xludf.DUMMYFUNCTION("IFERROR(VLOOKUP(E373&amp;F373,IMPORTRANGE(""https://docs.google.com/spreadsheets/d/1Uw7-A9f9R21vMXxHZFNpYNeKFtG8_yji4HS352LGlSQ/edit?pli=1#gid=0"",""1_ACUM!A4:S""),18,FALSE))"),"")</f>
        <v/>
      </c>
      <c r="AJ350" s="44" t="str">
        <f ca="1">IFERROR(__xludf.DUMMYFUNCTION("IFERROR(VLOOKUP(E373&amp;F373,IMPORTRANGE(""https://docs.google.com/spreadsheets/d/1Uw7-A9f9R21vMXxHZFNpYNeKFtG8_yji4HS352LGlSQ/edit?pli=1#gid=0"",""1_ACUM!A4:S""),19,FALSE))"),"")</f>
        <v/>
      </c>
      <c r="AK350" s="98" t="str">
        <f ca="1">IFERROR(__xludf.DUMMYFUNCTION("IFERROR(VLOOKUP(F373,IMPORTRANGE(""https://docs.google.com/spreadsheets/d/1Kvs4KS76FHFqLFIZfrDMff4kP08nblUkihrxltoGBjg/edit#gid=934712705"",""ESENCIAL!A6:BG""),5,FALSE))"),"")</f>
        <v/>
      </c>
      <c r="AL350" s="98" t="str">
        <f t="shared" si="25"/>
        <v/>
      </c>
      <c r="AM350" s="99" t="str">
        <f t="shared" si="26"/>
        <v/>
      </c>
      <c r="AN350" s="100" t="str">
        <f ca="1">IFERROR(__xludf.DUMMYFUNCTION("IFERROR(VLOOKUP(F373,IMPORTRANGE(""https://docs.google.com/spreadsheets/d/1Kvs4KS76FHFqLFIZfrDMff4kP08nblUkihrxltoGBjg/edit#gid=934712705"",""ESENCIAL!A6:BG""),2,FALSE))"),"")</f>
        <v/>
      </c>
      <c r="AO350" s="19" t="str">
        <f t="shared" si="20"/>
        <v/>
      </c>
      <c r="AP350" s="100"/>
      <c r="AQ350" s="100"/>
    </row>
    <row r="351" spans="1:43" ht="15">
      <c r="A351" s="101"/>
      <c r="B351" s="101"/>
      <c r="G351" s="5" t="str">
        <f ca="1">IFERROR(__xludf.DUMMYFUNCTION("IFERROR(VLOOKUP(F374,IMPORTRANGE(""https://docs.google.com/spreadsheets/d/1Kvs4KS76FHFqLFIZfrDMff4kP08nblUkihrxltoGBjg/edit#gid=934712705"",""ESENCIAL!A6:BG""),3,FALSE))"),"")</f>
        <v/>
      </c>
      <c r="H351" s="5" t="str">
        <f ca="1">IFERROR(__xludf.DUMMYFUNCTION("IFERROR(VLOOKUP(F374,IMPORTRANGE(""https://docs.google.com/spreadsheets/d/1Kvs4KS76FHFqLFIZfrDMff4kP08nblUkihrxltoGBjg/edit#gid=934712705"",""ESENCIAL!A6:BG""),8,FALSE))"),"")</f>
        <v/>
      </c>
      <c r="L351" s="287"/>
      <c r="Z351" s="41" t="str">
        <f t="shared" si="24"/>
        <v/>
      </c>
      <c r="AA351" s="5" t="str">
        <f ca="1">IFERROR(__xludf.DUMMYFUNCTION("IFERROR(VLOOKUP(E374&amp;F374,IMPORTRANGE(""https://docs.google.com/spreadsheets/d/1Uw7-A9f9R21vMXxHZFNpYNeKFtG8_yji4HS352LGlSQ/edit?pli=1#gid=0"",""1_ACUM!A4:S""),11,FALSE))"),"")</f>
        <v/>
      </c>
      <c r="AB351" s="42" t="str">
        <f ca="1">IFERROR(__xludf.DUMMYFUNCTION("IFERROR(VLOOKUP(F374,IMPORTRANGE(""https://docs.google.com/spreadsheets/d/1Kvs4KS76FHFqLFIZfrDMff4kP08nblUkihrxltoGBjg/edit#gid=934712705"",""ESENCIAL!A6:BG""),15,FALSE))"),"")</f>
        <v/>
      </c>
      <c r="AC351" s="110" t="str">
        <f ca="1">IFERROR(__xludf.DUMMYFUNCTION("IFERROR(VLOOKUP(E374&amp;F374,IMPORTRANGE(""https://docs.google.com/spreadsheets/d/1Uw7-A9f9R21vMXxHZFNpYNeKFtG8_yji4HS352LGlSQ/edit?pli=1#gid=0"",""1_ACUM!A4:S""),13,FALSE))"),"")</f>
        <v/>
      </c>
      <c r="AD351" s="43" t="str">
        <f ca="1">IFERROR(__xludf.DUMMYFUNCTION("IFERROR(VLOOKUP(E374&amp;F374,IMPORTRANGE(""https://docs.google.com/spreadsheets/d/1Uw7-A9f9R21vMXxHZFNpYNeKFtG8_yji4HS352LGlSQ/edit?pli=1#gid=0"",""1_ACUM!A4:S""),13,FALSE))"),"")</f>
        <v/>
      </c>
      <c r="AE351" s="43" t="str">
        <f ca="1">IFERROR(__xludf.DUMMYFUNCTION("IFERROR(VLOOKUP(E374&amp;F374,IMPORTRANGE(""https://docs.google.com/spreadsheets/d/1Uw7-A9f9R21vMXxHZFNpYNeKFtG8_yji4HS352LGlSQ/edit?pli=1#gid=0"",""1_ACUM!A4:S""),14,FALSE))"),"")</f>
        <v/>
      </c>
      <c r="AF351" s="43" t="str">
        <f ca="1">IFERROR(__xludf.DUMMYFUNCTION("IFERROR(VLOOKUP(E374&amp;F374,IMPORTRANGE(""https://docs.google.com/spreadsheets/d/1Uw7-A9f9R21vMXxHZFNpYNeKFtG8_yji4HS352LGlSQ/edit?pli=1#gid=0"",""1_ACUM!A4:S""),15,FALSE))"),"")</f>
        <v/>
      </c>
      <c r="AG351" s="43" t="str">
        <f ca="1">IFERROR(__xludf.DUMMYFUNCTION("IFERROR(VLOOKUP(E374&amp;F374,IMPORTRANGE(""https://docs.google.com/spreadsheets/d/1Uw7-A9f9R21vMXxHZFNpYNeKFtG8_yji4HS352LGlSQ/edit?pli=1#gid=0"",""1_ACUM!A4:S""),16,FALSE))"),"")</f>
        <v/>
      </c>
      <c r="AH351" s="43" t="str">
        <f ca="1">IFERROR(__xludf.DUMMYFUNCTION("IFERROR(VLOOKUP(E374&amp;F374,IMPORTRANGE(""https://docs.google.com/spreadsheets/d/1Uw7-A9f9R21vMXxHZFNpYNeKFtG8_yji4HS352LGlSQ/edit?pli=1#gid=0"",""1_ACUM!A4:S""),17,FALSE))"),"")</f>
        <v/>
      </c>
      <c r="AI351" s="44" t="str">
        <f ca="1">IFERROR(__xludf.DUMMYFUNCTION("IFERROR(VLOOKUP(E374&amp;F374,IMPORTRANGE(""https://docs.google.com/spreadsheets/d/1Uw7-A9f9R21vMXxHZFNpYNeKFtG8_yji4HS352LGlSQ/edit?pli=1#gid=0"",""1_ACUM!A4:S""),18,FALSE))"),"")</f>
        <v/>
      </c>
      <c r="AJ351" s="44" t="str">
        <f ca="1">IFERROR(__xludf.DUMMYFUNCTION("IFERROR(VLOOKUP(E374&amp;F374,IMPORTRANGE(""https://docs.google.com/spreadsheets/d/1Uw7-A9f9R21vMXxHZFNpYNeKFtG8_yji4HS352LGlSQ/edit?pli=1#gid=0"",""1_ACUM!A4:S""),19,FALSE))"),"")</f>
        <v/>
      </c>
      <c r="AK351" s="98" t="str">
        <f ca="1">IFERROR(__xludf.DUMMYFUNCTION("IFERROR(VLOOKUP(F374,IMPORTRANGE(""https://docs.google.com/spreadsheets/d/1Kvs4KS76FHFqLFIZfrDMff4kP08nblUkihrxltoGBjg/edit#gid=934712705"",""ESENCIAL!A6:BG""),5,FALSE))"),"")</f>
        <v/>
      </c>
      <c r="AL351" s="98" t="str">
        <f t="shared" si="25"/>
        <v/>
      </c>
      <c r="AM351" s="99" t="str">
        <f t="shared" si="26"/>
        <v/>
      </c>
      <c r="AN351" s="100" t="str">
        <f ca="1">IFERROR(__xludf.DUMMYFUNCTION("IFERROR(VLOOKUP(F374,IMPORTRANGE(""https://docs.google.com/spreadsheets/d/1Kvs4KS76FHFqLFIZfrDMff4kP08nblUkihrxltoGBjg/edit#gid=934712705"",""ESENCIAL!A6:BG""),2,FALSE))"),"")</f>
        <v/>
      </c>
      <c r="AO351" s="19" t="str">
        <f t="shared" si="20"/>
        <v/>
      </c>
      <c r="AP351" s="100"/>
      <c r="AQ351" s="100"/>
    </row>
    <row r="352" spans="1:43" ht="15">
      <c r="A352" s="101"/>
      <c r="B352" s="101"/>
      <c r="G352" s="5" t="str">
        <f ca="1">IFERROR(__xludf.DUMMYFUNCTION("IFERROR(VLOOKUP(F375,IMPORTRANGE(""https://docs.google.com/spreadsheets/d/1Kvs4KS76FHFqLFIZfrDMff4kP08nblUkihrxltoGBjg/edit#gid=934712705"",""ESENCIAL!A6:BG""),3,FALSE))"),"")</f>
        <v/>
      </c>
      <c r="H352" s="5" t="str">
        <f ca="1">IFERROR(__xludf.DUMMYFUNCTION("IFERROR(VLOOKUP(F375,IMPORTRANGE(""https://docs.google.com/spreadsheets/d/1Kvs4KS76FHFqLFIZfrDMff4kP08nblUkihrxltoGBjg/edit#gid=934712705"",""ESENCIAL!A6:BG""),8,FALSE))"),"")</f>
        <v/>
      </c>
      <c r="L352" s="287"/>
      <c r="Z352" s="41" t="str">
        <f t="shared" si="24"/>
        <v/>
      </c>
      <c r="AA352" s="5" t="str">
        <f ca="1">IFERROR(__xludf.DUMMYFUNCTION("IFERROR(VLOOKUP(E375&amp;F375,IMPORTRANGE(""https://docs.google.com/spreadsheets/d/1Uw7-A9f9R21vMXxHZFNpYNeKFtG8_yji4HS352LGlSQ/edit?pli=1#gid=0"",""1_ACUM!A4:S""),11,FALSE))"),"")</f>
        <v/>
      </c>
      <c r="AB352" s="42" t="str">
        <f ca="1">IFERROR(__xludf.DUMMYFUNCTION("IFERROR(VLOOKUP(F375,IMPORTRANGE(""https://docs.google.com/spreadsheets/d/1Kvs4KS76FHFqLFIZfrDMff4kP08nblUkihrxltoGBjg/edit#gid=934712705"",""ESENCIAL!A6:BG""),15,FALSE))"),"")</f>
        <v/>
      </c>
      <c r="AC352" s="110" t="str">
        <f ca="1">IFERROR(__xludf.DUMMYFUNCTION("IFERROR(VLOOKUP(E375&amp;F375,IMPORTRANGE(""https://docs.google.com/spreadsheets/d/1Uw7-A9f9R21vMXxHZFNpYNeKFtG8_yji4HS352LGlSQ/edit?pli=1#gid=0"",""1_ACUM!A4:S""),13,FALSE))"),"")</f>
        <v/>
      </c>
      <c r="AD352" s="43" t="str">
        <f ca="1">IFERROR(__xludf.DUMMYFUNCTION("IFERROR(VLOOKUP(E375&amp;F375,IMPORTRANGE(""https://docs.google.com/spreadsheets/d/1Uw7-A9f9R21vMXxHZFNpYNeKFtG8_yji4HS352LGlSQ/edit?pli=1#gid=0"",""1_ACUM!A4:S""),13,FALSE))"),"")</f>
        <v/>
      </c>
      <c r="AE352" s="43" t="str">
        <f ca="1">IFERROR(__xludf.DUMMYFUNCTION("IFERROR(VLOOKUP(E375&amp;F375,IMPORTRANGE(""https://docs.google.com/spreadsheets/d/1Uw7-A9f9R21vMXxHZFNpYNeKFtG8_yji4HS352LGlSQ/edit?pli=1#gid=0"",""1_ACUM!A4:S""),14,FALSE))"),"")</f>
        <v/>
      </c>
      <c r="AF352" s="43" t="str">
        <f ca="1">IFERROR(__xludf.DUMMYFUNCTION("IFERROR(VLOOKUP(E375&amp;F375,IMPORTRANGE(""https://docs.google.com/spreadsheets/d/1Uw7-A9f9R21vMXxHZFNpYNeKFtG8_yji4HS352LGlSQ/edit?pli=1#gid=0"",""1_ACUM!A4:S""),15,FALSE))"),"")</f>
        <v/>
      </c>
      <c r="AG352" s="43" t="str">
        <f ca="1">IFERROR(__xludf.DUMMYFUNCTION("IFERROR(VLOOKUP(E375&amp;F375,IMPORTRANGE(""https://docs.google.com/spreadsheets/d/1Uw7-A9f9R21vMXxHZFNpYNeKFtG8_yji4HS352LGlSQ/edit?pli=1#gid=0"",""1_ACUM!A4:S""),16,FALSE))"),"")</f>
        <v/>
      </c>
      <c r="AH352" s="43" t="str">
        <f ca="1">IFERROR(__xludf.DUMMYFUNCTION("IFERROR(VLOOKUP(E375&amp;F375,IMPORTRANGE(""https://docs.google.com/spreadsheets/d/1Uw7-A9f9R21vMXxHZFNpYNeKFtG8_yji4HS352LGlSQ/edit?pli=1#gid=0"",""1_ACUM!A4:S""),17,FALSE))"),"")</f>
        <v/>
      </c>
      <c r="AI352" s="44" t="str">
        <f ca="1">IFERROR(__xludf.DUMMYFUNCTION("IFERROR(VLOOKUP(E375&amp;F375,IMPORTRANGE(""https://docs.google.com/spreadsheets/d/1Uw7-A9f9R21vMXxHZFNpYNeKFtG8_yji4HS352LGlSQ/edit?pli=1#gid=0"",""1_ACUM!A4:S""),18,FALSE))"),"")</f>
        <v/>
      </c>
      <c r="AJ352" s="44" t="str">
        <f ca="1">IFERROR(__xludf.DUMMYFUNCTION("IFERROR(VLOOKUP(E375&amp;F375,IMPORTRANGE(""https://docs.google.com/spreadsheets/d/1Uw7-A9f9R21vMXxHZFNpYNeKFtG8_yji4HS352LGlSQ/edit?pli=1#gid=0"",""1_ACUM!A4:S""),19,FALSE))"),"")</f>
        <v/>
      </c>
      <c r="AK352" s="98" t="str">
        <f ca="1">IFERROR(__xludf.DUMMYFUNCTION("IFERROR(VLOOKUP(F375,IMPORTRANGE(""https://docs.google.com/spreadsheets/d/1Kvs4KS76FHFqLFIZfrDMff4kP08nblUkihrxltoGBjg/edit#gid=934712705"",""ESENCIAL!A6:BG""),5,FALSE))"),"")</f>
        <v/>
      </c>
      <c r="AL352" s="98" t="str">
        <f t="shared" si="25"/>
        <v/>
      </c>
      <c r="AM352" s="99" t="str">
        <f t="shared" si="26"/>
        <v/>
      </c>
      <c r="AN352" s="100" t="str">
        <f ca="1">IFERROR(__xludf.DUMMYFUNCTION("IFERROR(VLOOKUP(F375,IMPORTRANGE(""https://docs.google.com/spreadsheets/d/1Kvs4KS76FHFqLFIZfrDMff4kP08nblUkihrxltoGBjg/edit#gid=934712705"",""ESENCIAL!A6:BG""),2,FALSE))"),"")</f>
        <v/>
      </c>
      <c r="AO352" s="19" t="str">
        <f t="shared" si="20"/>
        <v/>
      </c>
      <c r="AP352" s="100"/>
      <c r="AQ352" s="100"/>
    </row>
    <row r="353" spans="1:43" ht="15">
      <c r="A353" s="101"/>
      <c r="B353" s="101"/>
      <c r="G353" s="5" t="str">
        <f ca="1">IFERROR(__xludf.DUMMYFUNCTION("IFERROR(VLOOKUP(F376,IMPORTRANGE(""https://docs.google.com/spreadsheets/d/1Kvs4KS76FHFqLFIZfrDMff4kP08nblUkihrxltoGBjg/edit#gid=934712705"",""ESENCIAL!A6:BG""),3,FALSE))"),"")</f>
        <v/>
      </c>
      <c r="H353" s="5" t="str">
        <f ca="1">IFERROR(__xludf.DUMMYFUNCTION("IFERROR(VLOOKUP(F376,IMPORTRANGE(""https://docs.google.com/spreadsheets/d/1Kvs4KS76FHFqLFIZfrDMff4kP08nblUkihrxltoGBjg/edit#gid=934712705"",""ESENCIAL!A6:BG""),8,FALSE))"),"")</f>
        <v/>
      </c>
      <c r="L353" s="287"/>
      <c r="Z353" s="41" t="str">
        <f t="shared" si="24"/>
        <v/>
      </c>
      <c r="AA353" s="5" t="str">
        <f ca="1">IFERROR(__xludf.DUMMYFUNCTION("IFERROR(VLOOKUP(E376&amp;F376,IMPORTRANGE(""https://docs.google.com/spreadsheets/d/1Uw7-A9f9R21vMXxHZFNpYNeKFtG8_yji4HS352LGlSQ/edit?pli=1#gid=0"",""1_ACUM!A4:S""),11,FALSE))"),"")</f>
        <v/>
      </c>
      <c r="AB353" s="42" t="str">
        <f ca="1">IFERROR(__xludf.DUMMYFUNCTION("IFERROR(VLOOKUP(F376,IMPORTRANGE(""https://docs.google.com/spreadsheets/d/1Kvs4KS76FHFqLFIZfrDMff4kP08nblUkihrxltoGBjg/edit#gid=934712705"",""ESENCIAL!A6:BG""),15,FALSE))"),"")</f>
        <v/>
      </c>
      <c r="AC353" s="110" t="str">
        <f ca="1">IFERROR(__xludf.DUMMYFUNCTION("IFERROR(VLOOKUP(E376&amp;F376,IMPORTRANGE(""https://docs.google.com/spreadsheets/d/1Uw7-A9f9R21vMXxHZFNpYNeKFtG8_yji4HS352LGlSQ/edit?pli=1#gid=0"",""1_ACUM!A4:S""),13,FALSE))"),"")</f>
        <v/>
      </c>
      <c r="AD353" s="43" t="str">
        <f ca="1">IFERROR(__xludf.DUMMYFUNCTION("IFERROR(VLOOKUP(E376&amp;F376,IMPORTRANGE(""https://docs.google.com/spreadsheets/d/1Uw7-A9f9R21vMXxHZFNpYNeKFtG8_yji4HS352LGlSQ/edit?pli=1#gid=0"",""1_ACUM!A4:S""),13,FALSE))"),"")</f>
        <v/>
      </c>
      <c r="AE353" s="43" t="str">
        <f ca="1">IFERROR(__xludf.DUMMYFUNCTION("IFERROR(VLOOKUP(E376&amp;F376,IMPORTRANGE(""https://docs.google.com/spreadsheets/d/1Uw7-A9f9R21vMXxHZFNpYNeKFtG8_yji4HS352LGlSQ/edit?pli=1#gid=0"",""1_ACUM!A4:S""),14,FALSE))"),"")</f>
        <v/>
      </c>
      <c r="AF353" s="43" t="str">
        <f ca="1">IFERROR(__xludf.DUMMYFUNCTION("IFERROR(VLOOKUP(E376&amp;F376,IMPORTRANGE(""https://docs.google.com/spreadsheets/d/1Uw7-A9f9R21vMXxHZFNpYNeKFtG8_yji4HS352LGlSQ/edit?pli=1#gid=0"",""1_ACUM!A4:S""),15,FALSE))"),"")</f>
        <v/>
      </c>
      <c r="AG353" s="43" t="str">
        <f ca="1">IFERROR(__xludf.DUMMYFUNCTION("IFERROR(VLOOKUP(E376&amp;F376,IMPORTRANGE(""https://docs.google.com/spreadsheets/d/1Uw7-A9f9R21vMXxHZFNpYNeKFtG8_yji4HS352LGlSQ/edit?pli=1#gid=0"",""1_ACUM!A4:S""),16,FALSE))"),"")</f>
        <v/>
      </c>
      <c r="AH353" s="43" t="str">
        <f ca="1">IFERROR(__xludf.DUMMYFUNCTION("IFERROR(VLOOKUP(E376&amp;F376,IMPORTRANGE(""https://docs.google.com/spreadsheets/d/1Uw7-A9f9R21vMXxHZFNpYNeKFtG8_yji4HS352LGlSQ/edit?pli=1#gid=0"",""1_ACUM!A4:S""),17,FALSE))"),"")</f>
        <v/>
      </c>
      <c r="AI353" s="44" t="str">
        <f ca="1">IFERROR(__xludf.DUMMYFUNCTION("IFERROR(VLOOKUP(E376&amp;F376,IMPORTRANGE(""https://docs.google.com/spreadsheets/d/1Uw7-A9f9R21vMXxHZFNpYNeKFtG8_yji4HS352LGlSQ/edit?pli=1#gid=0"",""1_ACUM!A4:S""),18,FALSE))"),"")</f>
        <v/>
      </c>
      <c r="AJ353" s="44" t="str">
        <f ca="1">IFERROR(__xludf.DUMMYFUNCTION("IFERROR(VLOOKUP(E376&amp;F376,IMPORTRANGE(""https://docs.google.com/spreadsheets/d/1Uw7-A9f9R21vMXxHZFNpYNeKFtG8_yji4HS352LGlSQ/edit?pli=1#gid=0"",""1_ACUM!A4:S""),19,FALSE))"),"")</f>
        <v/>
      </c>
      <c r="AK353" s="98" t="str">
        <f ca="1">IFERROR(__xludf.DUMMYFUNCTION("IFERROR(VLOOKUP(F376,IMPORTRANGE(""https://docs.google.com/spreadsheets/d/1Kvs4KS76FHFqLFIZfrDMff4kP08nblUkihrxltoGBjg/edit#gid=934712705"",""ESENCIAL!A6:BG""),5,FALSE))"),"")</f>
        <v/>
      </c>
      <c r="AL353" s="98" t="str">
        <f t="shared" si="25"/>
        <v/>
      </c>
      <c r="AM353" s="99" t="str">
        <f t="shared" si="26"/>
        <v/>
      </c>
      <c r="AN353" s="100" t="str">
        <f ca="1">IFERROR(__xludf.DUMMYFUNCTION("IFERROR(VLOOKUP(F376,IMPORTRANGE(""https://docs.google.com/spreadsheets/d/1Kvs4KS76FHFqLFIZfrDMff4kP08nblUkihrxltoGBjg/edit#gid=934712705"",""ESENCIAL!A6:BG""),2,FALSE))"),"")</f>
        <v/>
      </c>
      <c r="AO353" s="19" t="str">
        <f t="shared" si="20"/>
        <v/>
      </c>
      <c r="AP353" s="100"/>
      <c r="AQ353" s="100"/>
    </row>
    <row r="354" spans="1:43" ht="15">
      <c r="A354" s="101"/>
      <c r="B354" s="101"/>
      <c r="G354" s="5" t="str">
        <f ca="1">IFERROR(__xludf.DUMMYFUNCTION("IFERROR(VLOOKUP(F377,IMPORTRANGE(""https://docs.google.com/spreadsheets/d/1Kvs4KS76FHFqLFIZfrDMff4kP08nblUkihrxltoGBjg/edit#gid=934712705"",""ESENCIAL!A6:BG""),3,FALSE))"),"")</f>
        <v/>
      </c>
      <c r="H354" s="5" t="str">
        <f ca="1">IFERROR(__xludf.DUMMYFUNCTION("IFERROR(VLOOKUP(F377,IMPORTRANGE(""https://docs.google.com/spreadsheets/d/1Kvs4KS76FHFqLFIZfrDMff4kP08nblUkihrxltoGBjg/edit#gid=934712705"",""ESENCIAL!A6:BG""),8,FALSE))"),"")</f>
        <v/>
      </c>
      <c r="L354" s="287"/>
      <c r="Z354" s="41" t="str">
        <f t="shared" si="24"/>
        <v/>
      </c>
      <c r="AA354" s="5" t="str">
        <f ca="1">IFERROR(__xludf.DUMMYFUNCTION("IFERROR(VLOOKUP(E377&amp;F377,IMPORTRANGE(""https://docs.google.com/spreadsheets/d/1Uw7-A9f9R21vMXxHZFNpYNeKFtG8_yji4HS352LGlSQ/edit?pli=1#gid=0"",""1_ACUM!A4:S""),11,FALSE))"),"")</f>
        <v/>
      </c>
      <c r="AB354" s="42" t="str">
        <f ca="1">IFERROR(__xludf.DUMMYFUNCTION("IFERROR(VLOOKUP(F377,IMPORTRANGE(""https://docs.google.com/spreadsheets/d/1Kvs4KS76FHFqLFIZfrDMff4kP08nblUkihrxltoGBjg/edit#gid=934712705"",""ESENCIAL!A6:BG""),15,FALSE))"),"")</f>
        <v/>
      </c>
      <c r="AC354" s="110" t="str">
        <f ca="1">IFERROR(__xludf.DUMMYFUNCTION("IFERROR(VLOOKUP(E377&amp;F377,IMPORTRANGE(""https://docs.google.com/spreadsheets/d/1Uw7-A9f9R21vMXxHZFNpYNeKFtG8_yji4HS352LGlSQ/edit?pli=1#gid=0"",""1_ACUM!A4:S""),13,FALSE))"),"")</f>
        <v/>
      </c>
      <c r="AD354" s="43" t="str">
        <f ca="1">IFERROR(__xludf.DUMMYFUNCTION("IFERROR(VLOOKUP(E377&amp;F377,IMPORTRANGE(""https://docs.google.com/spreadsheets/d/1Uw7-A9f9R21vMXxHZFNpYNeKFtG8_yji4HS352LGlSQ/edit?pli=1#gid=0"",""1_ACUM!A4:S""),13,FALSE))"),"")</f>
        <v/>
      </c>
      <c r="AE354" s="43" t="str">
        <f ca="1">IFERROR(__xludf.DUMMYFUNCTION("IFERROR(VLOOKUP(E377&amp;F377,IMPORTRANGE(""https://docs.google.com/spreadsheets/d/1Uw7-A9f9R21vMXxHZFNpYNeKFtG8_yji4HS352LGlSQ/edit?pli=1#gid=0"",""1_ACUM!A4:S""),14,FALSE))"),"")</f>
        <v/>
      </c>
      <c r="AF354" s="43" t="str">
        <f ca="1">IFERROR(__xludf.DUMMYFUNCTION("IFERROR(VLOOKUP(E377&amp;F377,IMPORTRANGE(""https://docs.google.com/spreadsheets/d/1Uw7-A9f9R21vMXxHZFNpYNeKFtG8_yji4HS352LGlSQ/edit?pli=1#gid=0"",""1_ACUM!A4:S""),15,FALSE))"),"")</f>
        <v/>
      </c>
      <c r="AG354" s="43" t="str">
        <f ca="1">IFERROR(__xludf.DUMMYFUNCTION("IFERROR(VLOOKUP(E377&amp;F377,IMPORTRANGE(""https://docs.google.com/spreadsheets/d/1Uw7-A9f9R21vMXxHZFNpYNeKFtG8_yji4HS352LGlSQ/edit?pli=1#gid=0"",""1_ACUM!A4:S""),16,FALSE))"),"")</f>
        <v/>
      </c>
      <c r="AH354" s="43" t="str">
        <f ca="1">IFERROR(__xludf.DUMMYFUNCTION("IFERROR(VLOOKUP(E377&amp;F377,IMPORTRANGE(""https://docs.google.com/spreadsheets/d/1Uw7-A9f9R21vMXxHZFNpYNeKFtG8_yji4HS352LGlSQ/edit?pli=1#gid=0"",""1_ACUM!A4:S""),17,FALSE))"),"")</f>
        <v/>
      </c>
      <c r="AI354" s="44" t="str">
        <f ca="1">IFERROR(__xludf.DUMMYFUNCTION("IFERROR(VLOOKUP(E377&amp;F377,IMPORTRANGE(""https://docs.google.com/spreadsheets/d/1Uw7-A9f9R21vMXxHZFNpYNeKFtG8_yji4HS352LGlSQ/edit?pli=1#gid=0"",""1_ACUM!A4:S""),18,FALSE))"),"")</f>
        <v/>
      </c>
      <c r="AJ354" s="44" t="str">
        <f ca="1">IFERROR(__xludf.DUMMYFUNCTION("IFERROR(VLOOKUP(E377&amp;F377,IMPORTRANGE(""https://docs.google.com/spreadsheets/d/1Uw7-A9f9R21vMXxHZFNpYNeKFtG8_yji4HS352LGlSQ/edit?pli=1#gid=0"",""1_ACUM!A4:S""),19,FALSE))"),"")</f>
        <v/>
      </c>
      <c r="AK354" s="98" t="str">
        <f ca="1">IFERROR(__xludf.DUMMYFUNCTION("IFERROR(VLOOKUP(F377,IMPORTRANGE(""https://docs.google.com/spreadsheets/d/1Kvs4KS76FHFqLFIZfrDMff4kP08nblUkihrxltoGBjg/edit#gid=934712705"",""ESENCIAL!A6:BG""),5,FALSE))"),"")</f>
        <v/>
      </c>
      <c r="AL354" s="98" t="str">
        <f t="shared" si="25"/>
        <v/>
      </c>
      <c r="AM354" s="99" t="str">
        <f t="shared" si="26"/>
        <v/>
      </c>
      <c r="AN354" s="100" t="str">
        <f ca="1">IFERROR(__xludf.DUMMYFUNCTION("IFERROR(VLOOKUP(F377,IMPORTRANGE(""https://docs.google.com/spreadsheets/d/1Kvs4KS76FHFqLFIZfrDMff4kP08nblUkihrxltoGBjg/edit#gid=934712705"",""ESENCIAL!A6:BG""),2,FALSE))"),"")</f>
        <v/>
      </c>
      <c r="AO354" s="19" t="str">
        <f t="shared" si="20"/>
        <v/>
      </c>
      <c r="AP354" s="100"/>
      <c r="AQ354" s="100"/>
    </row>
    <row r="355" spans="1:43" ht="15">
      <c r="A355" s="101"/>
      <c r="B355" s="101"/>
      <c r="G355" s="5" t="str">
        <f ca="1">IFERROR(__xludf.DUMMYFUNCTION("IFERROR(VLOOKUP(F378,IMPORTRANGE(""https://docs.google.com/spreadsheets/d/1Kvs4KS76FHFqLFIZfrDMff4kP08nblUkihrxltoGBjg/edit#gid=934712705"",""ESENCIAL!A6:BG""),3,FALSE))"),"")</f>
        <v/>
      </c>
      <c r="H355" s="5" t="str">
        <f ca="1">IFERROR(__xludf.DUMMYFUNCTION("IFERROR(VLOOKUP(F378,IMPORTRANGE(""https://docs.google.com/spreadsheets/d/1Kvs4KS76FHFqLFIZfrDMff4kP08nblUkihrxltoGBjg/edit#gid=934712705"",""ESENCIAL!A6:BG""),8,FALSE))"),"")</f>
        <v/>
      </c>
      <c r="L355" s="287"/>
      <c r="Z355" s="41" t="str">
        <f t="shared" si="24"/>
        <v/>
      </c>
      <c r="AA355" s="5" t="str">
        <f ca="1">IFERROR(__xludf.DUMMYFUNCTION("IFERROR(VLOOKUP(E378&amp;F378,IMPORTRANGE(""https://docs.google.com/spreadsheets/d/1Uw7-A9f9R21vMXxHZFNpYNeKFtG8_yji4HS352LGlSQ/edit?pli=1#gid=0"",""1_ACUM!A4:S""),11,FALSE))"),"")</f>
        <v/>
      </c>
      <c r="AB355" s="42" t="str">
        <f ca="1">IFERROR(__xludf.DUMMYFUNCTION("IFERROR(VLOOKUP(F378,IMPORTRANGE(""https://docs.google.com/spreadsheets/d/1Kvs4KS76FHFqLFIZfrDMff4kP08nblUkihrxltoGBjg/edit#gid=934712705"",""ESENCIAL!A6:BG""),15,FALSE))"),"")</f>
        <v/>
      </c>
      <c r="AC355" s="110" t="str">
        <f ca="1">IFERROR(__xludf.DUMMYFUNCTION("IFERROR(VLOOKUP(E378&amp;F378,IMPORTRANGE(""https://docs.google.com/spreadsheets/d/1Uw7-A9f9R21vMXxHZFNpYNeKFtG8_yji4HS352LGlSQ/edit?pli=1#gid=0"",""1_ACUM!A4:S""),13,FALSE))"),"")</f>
        <v/>
      </c>
      <c r="AD355" s="43" t="str">
        <f ca="1">IFERROR(__xludf.DUMMYFUNCTION("IFERROR(VLOOKUP(E378&amp;F378,IMPORTRANGE(""https://docs.google.com/spreadsheets/d/1Uw7-A9f9R21vMXxHZFNpYNeKFtG8_yji4HS352LGlSQ/edit?pli=1#gid=0"",""1_ACUM!A4:S""),13,FALSE))"),"")</f>
        <v/>
      </c>
      <c r="AE355" s="43" t="str">
        <f ca="1">IFERROR(__xludf.DUMMYFUNCTION("IFERROR(VLOOKUP(E378&amp;F378,IMPORTRANGE(""https://docs.google.com/spreadsheets/d/1Uw7-A9f9R21vMXxHZFNpYNeKFtG8_yji4HS352LGlSQ/edit?pli=1#gid=0"",""1_ACUM!A4:S""),14,FALSE))"),"")</f>
        <v/>
      </c>
      <c r="AF355" s="43" t="str">
        <f ca="1">IFERROR(__xludf.DUMMYFUNCTION("IFERROR(VLOOKUP(E378&amp;F378,IMPORTRANGE(""https://docs.google.com/spreadsheets/d/1Uw7-A9f9R21vMXxHZFNpYNeKFtG8_yji4HS352LGlSQ/edit?pli=1#gid=0"",""1_ACUM!A4:S""),15,FALSE))"),"")</f>
        <v/>
      </c>
      <c r="AG355" s="43" t="str">
        <f ca="1">IFERROR(__xludf.DUMMYFUNCTION("IFERROR(VLOOKUP(E378&amp;F378,IMPORTRANGE(""https://docs.google.com/spreadsheets/d/1Uw7-A9f9R21vMXxHZFNpYNeKFtG8_yji4HS352LGlSQ/edit?pli=1#gid=0"",""1_ACUM!A4:S""),16,FALSE))"),"")</f>
        <v/>
      </c>
      <c r="AH355" s="43" t="str">
        <f ca="1">IFERROR(__xludf.DUMMYFUNCTION("IFERROR(VLOOKUP(E378&amp;F378,IMPORTRANGE(""https://docs.google.com/spreadsheets/d/1Uw7-A9f9R21vMXxHZFNpYNeKFtG8_yji4HS352LGlSQ/edit?pli=1#gid=0"",""1_ACUM!A4:S""),17,FALSE))"),"")</f>
        <v/>
      </c>
      <c r="AI355" s="44" t="str">
        <f ca="1">IFERROR(__xludf.DUMMYFUNCTION("IFERROR(VLOOKUP(E378&amp;F378,IMPORTRANGE(""https://docs.google.com/spreadsheets/d/1Uw7-A9f9R21vMXxHZFNpYNeKFtG8_yji4HS352LGlSQ/edit?pli=1#gid=0"",""1_ACUM!A4:S""),18,FALSE))"),"")</f>
        <v/>
      </c>
      <c r="AJ355" s="44" t="str">
        <f ca="1">IFERROR(__xludf.DUMMYFUNCTION("IFERROR(VLOOKUP(E378&amp;F378,IMPORTRANGE(""https://docs.google.com/spreadsheets/d/1Uw7-A9f9R21vMXxHZFNpYNeKFtG8_yji4HS352LGlSQ/edit?pli=1#gid=0"",""1_ACUM!A4:S""),19,FALSE))"),"")</f>
        <v/>
      </c>
      <c r="AK355" s="98" t="str">
        <f ca="1">IFERROR(__xludf.DUMMYFUNCTION("IFERROR(VLOOKUP(F378,IMPORTRANGE(""https://docs.google.com/spreadsheets/d/1Kvs4KS76FHFqLFIZfrDMff4kP08nblUkihrxltoGBjg/edit#gid=934712705"",""ESENCIAL!A6:BG""),5,FALSE))"),"")</f>
        <v/>
      </c>
      <c r="AL355" s="98" t="str">
        <f t="shared" si="25"/>
        <v/>
      </c>
      <c r="AM355" s="99" t="str">
        <f t="shared" si="26"/>
        <v/>
      </c>
      <c r="AN355" s="100" t="str">
        <f ca="1">IFERROR(__xludf.DUMMYFUNCTION("IFERROR(VLOOKUP(F378,IMPORTRANGE(""https://docs.google.com/spreadsheets/d/1Kvs4KS76FHFqLFIZfrDMff4kP08nblUkihrxltoGBjg/edit#gid=934712705"",""ESENCIAL!A6:BG""),2,FALSE))"),"")</f>
        <v/>
      </c>
      <c r="AO355" s="19" t="str">
        <f t="shared" si="20"/>
        <v/>
      </c>
      <c r="AP355" s="100"/>
      <c r="AQ355" s="100"/>
    </row>
    <row r="356" spans="1:43" ht="15">
      <c r="A356" s="101"/>
      <c r="B356" s="101"/>
      <c r="G356" s="5" t="str">
        <f ca="1">IFERROR(__xludf.DUMMYFUNCTION("IFERROR(VLOOKUP(F379,IMPORTRANGE(""https://docs.google.com/spreadsheets/d/1Kvs4KS76FHFqLFIZfrDMff4kP08nblUkihrxltoGBjg/edit#gid=934712705"",""ESENCIAL!A6:BG""),3,FALSE))"),"")</f>
        <v/>
      </c>
      <c r="H356" s="5" t="str">
        <f ca="1">IFERROR(__xludf.DUMMYFUNCTION("IFERROR(VLOOKUP(F379,IMPORTRANGE(""https://docs.google.com/spreadsheets/d/1Kvs4KS76FHFqLFIZfrDMff4kP08nblUkihrxltoGBjg/edit#gid=934712705"",""ESENCIAL!A6:BG""),8,FALSE))"),"")</f>
        <v/>
      </c>
      <c r="L356" s="287"/>
      <c r="Z356" s="41" t="str">
        <f t="shared" si="24"/>
        <v/>
      </c>
      <c r="AA356" s="5" t="str">
        <f ca="1">IFERROR(__xludf.DUMMYFUNCTION("IFERROR(VLOOKUP(E379&amp;F379,IMPORTRANGE(""https://docs.google.com/spreadsheets/d/1Uw7-A9f9R21vMXxHZFNpYNeKFtG8_yji4HS352LGlSQ/edit?pli=1#gid=0"",""1_ACUM!A4:S""),11,FALSE))"),"")</f>
        <v/>
      </c>
      <c r="AB356" s="42" t="str">
        <f ca="1">IFERROR(__xludf.DUMMYFUNCTION("IFERROR(VLOOKUP(F379,IMPORTRANGE(""https://docs.google.com/spreadsheets/d/1Kvs4KS76FHFqLFIZfrDMff4kP08nblUkihrxltoGBjg/edit#gid=934712705"",""ESENCIAL!A6:BG""),15,FALSE))"),"")</f>
        <v/>
      </c>
      <c r="AC356" s="110" t="str">
        <f ca="1">IFERROR(__xludf.DUMMYFUNCTION("IFERROR(VLOOKUP(E379&amp;F379,IMPORTRANGE(""https://docs.google.com/spreadsheets/d/1Uw7-A9f9R21vMXxHZFNpYNeKFtG8_yji4HS352LGlSQ/edit?pli=1#gid=0"",""1_ACUM!A4:S""),13,FALSE))"),"")</f>
        <v/>
      </c>
      <c r="AD356" s="43" t="str">
        <f ca="1">IFERROR(__xludf.DUMMYFUNCTION("IFERROR(VLOOKUP(E379&amp;F379,IMPORTRANGE(""https://docs.google.com/spreadsheets/d/1Uw7-A9f9R21vMXxHZFNpYNeKFtG8_yji4HS352LGlSQ/edit?pli=1#gid=0"",""1_ACUM!A4:S""),13,FALSE))"),"")</f>
        <v/>
      </c>
      <c r="AE356" s="43" t="str">
        <f ca="1">IFERROR(__xludf.DUMMYFUNCTION("IFERROR(VLOOKUP(E379&amp;F379,IMPORTRANGE(""https://docs.google.com/spreadsheets/d/1Uw7-A9f9R21vMXxHZFNpYNeKFtG8_yji4HS352LGlSQ/edit?pli=1#gid=0"",""1_ACUM!A4:S""),14,FALSE))"),"")</f>
        <v/>
      </c>
      <c r="AF356" s="43" t="str">
        <f ca="1">IFERROR(__xludf.DUMMYFUNCTION("IFERROR(VLOOKUP(E379&amp;F379,IMPORTRANGE(""https://docs.google.com/spreadsheets/d/1Uw7-A9f9R21vMXxHZFNpYNeKFtG8_yji4HS352LGlSQ/edit?pli=1#gid=0"",""1_ACUM!A4:S""),15,FALSE))"),"")</f>
        <v/>
      </c>
      <c r="AG356" s="43" t="str">
        <f ca="1">IFERROR(__xludf.DUMMYFUNCTION("IFERROR(VLOOKUP(E379&amp;F379,IMPORTRANGE(""https://docs.google.com/spreadsheets/d/1Uw7-A9f9R21vMXxHZFNpYNeKFtG8_yji4HS352LGlSQ/edit?pli=1#gid=0"",""1_ACUM!A4:S""),16,FALSE))"),"")</f>
        <v/>
      </c>
      <c r="AH356" s="43" t="str">
        <f ca="1">IFERROR(__xludf.DUMMYFUNCTION("IFERROR(VLOOKUP(E379&amp;F379,IMPORTRANGE(""https://docs.google.com/spreadsheets/d/1Uw7-A9f9R21vMXxHZFNpYNeKFtG8_yji4HS352LGlSQ/edit?pli=1#gid=0"",""1_ACUM!A4:S""),17,FALSE))"),"")</f>
        <v/>
      </c>
      <c r="AI356" s="44" t="str">
        <f ca="1">IFERROR(__xludf.DUMMYFUNCTION("IFERROR(VLOOKUP(E379&amp;F379,IMPORTRANGE(""https://docs.google.com/spreadsheets/d/1Uw7-A9f9R21vMXxHZFNpYNeKFtG8_yji4HS352LGlSQ/edit?pli=1#gid=0"",""1_ACUM!A4:S""),18,FALSE))"),"")</f>
        <v/>
      </c>
      <c r="AJ356" s="44" t="str">
        <f ca="1">IFERROR(__xludf.DUMMYFUNCTION("IFERROR(VLOOKUP(E379&amp;F379,IMPORTRANGE(""https://docs.google.com/spreadsheets/d/1Uw7-A9f9R21vMXxHZFNpYNeKFtG8_yji4HS352LGlSQ/edit?pli=1#gid=0"",""1_ACUM!A4:S""),19,FALSE))"),"")</f>
        <v/>
      </c>
      <c r="AK356" s="98" t="str">
        <f ca="1">IFERROR(__xludf.DUMMYFUNCTION("IFERROR(VLOOKUP(F379,IMPORTRANGE(""https://docs.google.com/spreadsheets/d/1Kvs4KS76FHFqLFIZfrDMff4kP08nblUkihrxltoGBjg/edit#gid=934712705"",""ESENCIAL!A6:BG""),5,FALSE))"),"")</f>
        <v/>
      </c>
      <c r="AL356" s="98" t="str">
        <f t="shared" si="25"/>
        <v/>
      </c>
      <c r="AM356" s="99" t="str">
        <f t="shared" si="26"/>
        <v/>
      </c>
      <c r="AN356" s="100" t="str">
        <f ca="1">IFERROR(__xludf.DUMMYFUNCTION("IFERROR(VLOOKUP(F379,IMPORTRANGE(""https://docs.google.com/spreadsheets/d/1Kvs4KS76FHFqLFIZfrDMff4kP08nblUkihrxltoGBjg/edit#gid=934712705"",""ESENCIAL!A6:BG""),2,FALSE))"),"")</f>
        <v/>
      </c>
      <c r="AO356" s="19" t="str">
        <f t="shared" si="20"/>
        <v/>
      </c>
      <c r="AP356" s="100"/>
      <c r="AQ356" s="100"/>
    </row>
    <row r="357" spans="1:43" ht="15">
      <c r="A357" s="101"/>
      <c r="B357" s="101"/>
      <c r="G357" s="5" t="str">
        <f ca="1">IFERROR(__xludf.DUMMYFUNCTION("IFERROR(VLOOKUP(F380,IMPORTRANGE(""https://docs.google.com/spreadsheets/d/1Kvs4KS76FHFqLFIZfrDMff4kP08nblUkihrxltoGBjg/edit#gid=934712705"",""ESENCIAL!A6:BG""),3,FALSE))"),"")</f>
        <v/>
      </c>
      <c r="H357" s="5" t="str">
        <f ca="1">IFERROR(__xludf.DUMMYFUNCTION("IFERROR(VLOOKUP(F380,IMPORTRANGE(""https://docs.google.com/spreadsheets/d/1Kvs4KS76FHFqLFIZfrDMff4kP08nblUkihrxltoGBjg/edit#gid=934712705"",""ESENCIAL!A6:BG""),8,FALSE))"),"")</f>
        <v/>
      </c>
      <c r="L357" s="287"/>
      <c r="Z357" s="41" t="str">
        <f t="shared" si="24"/>
        <v/>
      </c>
      <c r="AA357" s="5" t="str">
        <f ca="1">IFERROR(__xludf.DUMMYFUNCTION("IFERROR(VLOOKUP(E380&amp;F380,IMPORTRANGE(""https://docs.google.com/spreadsheets/d/1Uw7-A9f9R21vMXxHZFNpYNeKFtG8_yji4HS352LGlSQ/edit?pli=1#gid=0"",""1_ACUM!A4:S""),11,FALSE))"),"")</f>
        <v/>
      </c>
      <c r="AB357" s="42" t="str">
        <f ca="1">IFERROR(__xludf.DUMMYFUNCTION("IFERROR(VLOOKUP(F380,IMPORTRANGE(""https://docs.google.com/spreadsheets/d/1Kvs4KS76FHFqLFIZfrDMff4kP08nblUkihrxltoGBjg/edit#gid=934712705"",""ESENCIAL!A6:BG""),15,FALSE))"),"")</f>
        <v/>
      </c>
      <c r="AC357" s="110" t="str">
        <f ca="1">IFERROR(__xludf.DUMMYFUNCTION("IFERROR(VLOOKUP(E380&amp;F380,IMPORTRANGE(""https://docs.google.com/spreadsheets/d/1Uw7-A9f9R21vMXxHZFNpYNeKFtG8_yji4HS352LGlSQ/edit?pli=1#gid=0"",""1_ACUM!A4:S""),13,FALSE))"),"")</f>
        <v/>
      </c>
      <c r="AD357" s="43" t="str">
        <f ca="1">IFERROR(__xludf.DUMMYFUNCTION("IFERROR(VLOOKUP(E380&amp;F380,IMPORTRANGE(""https://docs.google.com/spreadsheets/d/1Uw7-A9f9R21vMXxHZFNpYNeKFtG8_yji4HS352LGlSQ/edit?pli=1#gid=0"",""1_ACUM!A4:S""),13,FALSE))"),"")</f>
        <v/>
      </c>
      <c r="AE357" s="43" t="str">
        <f ca="1">IFERROR(__xludf.DUMMYFUNCTION("IFERROR(VLOOKUP(E380&amp;F380,IMPORTRANGE(""https://docs.google.com/spreadsheets/d/1Uw7-A9f9R21vMXxHZFNpYNeKFtG8_yji4HS352LGlSQ/edit?pli=1#gid=0"",""1_ACUM!A4:S""),14,FALSE))"),"")</f>
        <v/>
      </c>
      <c r="AF357" s="43" t="str">
        <f ca="1">IFERROR(__xludf.DUMMYFUNCTION("IFERROR(VLOOKUP(E380&amp;F380,IMPORTRANGE(""https://docs.google.com/spreadsheets/d/1Uw7-A9f9R21vMXxHZFNpYNeKFtG8_yji4HS352LGlSQ/edit?pli=1#gid=0"",""1_ACUM!A4:S""),15,FALSE))"),"")</f>
        <v/>
      </c>
      <c r="AG357" s="43" t="str">
        <f ca="1">IFERROR(__xludf.DUMMYFUNCTION("IFERROR(VLOOKUP(E380&amp;F380,IMPORTRANGE(""https://docs.google.com/spreadsheets/d/1Uw7-A9f9R21vMXxHZFNpYNeKFtG8_yji4HS352LGlSQ/edit?pli=1#gid=0"",""1_ACUM!A4:S""),16,FALSE))"),"")</f>
        <v/>
      </c>
      <c r="AH357" s="43" t="str">
        <f ca="1">IFERROR(__xludf.DUMMYFUNCTION("IFERROR(VLOOKUP(E380&amp;F380,IMPORTRANGE(""https://docs.google.com/spreadsheets/d/1Uw7-A9f9R21vMXxHZFNpYNeKFtG8_yji4HS352LGlSQ/edit?pli=1#gid=0"",""1_ACUM!A4:S""),17,FALSE))"),"")</f>
        <v/>
      </c>
      <c r="AI357" s="44" t="str">
        <f ca="1">IFERROR(__xludf.DUMMYFUNCTION("IFERROR(VLOOKUP(E380&amp;F380,IMPORTRANGE(""https://docs.google.com/spreadsheets/d/1Uw7-A9f9R21vMXxHZFNpYNeKFtG8_yji4HS352LGlSQ/edit?pli=1#gid=0"",""1_ACUM!A4:S""),18,FALSE))"),"")</f>
        <v/>
      </c>
      <c r="AJ357" s="44" t="str">
        <f ca="1">IFERROR(__xludf.DUMMYFUNCTION("IFERROR(VLOOKUP(E380&amp;F380,IMPORTRANGE(""https://docs.google.com/spreadsheets/d/1Uw7-A9f9R21vMXxHZFNpYNeKFtG8_yji4HS352LGlSQ/edit?pli=1#gid=0"",""1_ACUM!A4:S""),19,FALSE))"),"")</f>
        <v/>
      </c>
      <c r="AK357" s="98" t="str">
        <f ca="1">IFERROR(__xludf.DUMMYFUNCTION("IFERROR(VLOOKUP(F380,IMPORTRANGE(""https://docs.google.com/spreadsheets/d/1Kvs4KS76FHFqLFIZfrDMff4kP08nblUkihrxltoGBjg/edit#gid=934712705"",""ESENCIAL!A6:BG""),5,FALSE))"),"")</f>
        <v/>
      </c>
      <c r="AL357" s="98" t="str">
        <f t="shared" si="25"/>
        <v/>
      </c>
      <c r="AM357" s="99" t="str">
        <f t="shared" si="26"/>
        <v/>
      </c>
      <c r="AN357" s="100" t="str">
        <f ca="1">IFERROR(__xludf.DUMMYFUNCTION("IFERROR(VLOOKUP(F380,IMPORTRANGE(""https://docs.google.com/spreadsheets/d/1Kvs4KS76FHFqLFIZfrDMff4kP08nblUkihrxltoGBjg/edit#gid=934712705"",""ESENCIAL!A6:BG""),2,FALSE))"),"")</f>
        <v/>
      </c>
      <c r="AO357" s="19" t="str">
        <f t="shared" si="20"/>
        <v/>
      </c>
      <c r="AP357" s="100"/>
      <c r="AQ357" s="100"/>
    </row>
    <row r="358" spans="1:43" ht="15">
      <c r="A358" s="101"/>
      <c r="B358" s="101"/>
      <c r="G358" s="5" t="str">
        <f ca="1">IFERROR(__xludf.DUMMYFUNCTION("IFERROR(VLOOKUP(F381,IMPORTRANGE(""https://docs.google.com/spreadsheets/d/1Kvs4KS76FHFqLFIZfrDMff4kP08nblUkihrxltoGBjg/edit#gid=934712705"",""ESENCIAL!A6:BG""),3,FALSE))"),"")</f>
        <v/>
      </c>
      <c r="H358" s="5" t="str">
        <f ca="1">IFERROR(__xludf.DUMMYFUNCTION("IFERROR(VLOOKUP(F381,IMPORTRANGE(""https://docs.google.com/spreadsheets/d/1Kvs4KS76FHFqLFIZfrDMff4kP08nblUkihrxltoGBjg/edit#gid=934712705"",""ESENCIAL!A6:BG""),8,FALSE))"),"")</f>
        <v/>
      </c>
      <c r="L358" s="287"/>
      <c r="Z358" s="41" t="str">
        <f t="shared" si="24"/>
        <v/>
      </c>
      <c r="AA358" s="5" t="str">
        <f ca="1">IFERROR(__xludf.DUMMYFUNCTION("IFERROR(VLOOKUP(E381&amp;F381,IMPORTRANGE(""https://docs.google.com/spreadsheets/d/1Uw7-A9f9R21vMXxHZFNpYNeKFtG8_yji4HS352LGlSQ/edit?pli=1#gid=0"",""1_ACUM!A4:S""),11,FALSE))"),"")</f>
        <v/>
      </c>
      <c r="AB358" s="42" t="str">
        <f ca="1">IFERROR(__xludf.DUMMYFUNCTION("IFERROR(VLOOKUP(F381,IMPORTRANGE(""https://docs.google.com/spreadsheets/d/1Kvs4KS76FHFqLFIZfrDMff4kP08nblUkihrxltoGBjg/edit#gid=934712705"",""ESENCIAL!A6:BG""),15,FALSE))"),"")</f>
        <v/>
      </c>
      <c r="AC358" s="110" t="str">
        <f ca="1">IFERROR(__xludf.DUMMYFUNCTION("IFERROR(VLOOKUP(E381&amp;F381,IMPORTRANGE(""https://docs.google.com/spreadsheets/d/1Uw7-A9f9R21vMXxHZFNpYNeKFtG8_yji4HS352LGlSQ/edit?pli=1#gid=0"",""1_ACUM!A4:S""),13,FALSE))"),"")</f>
        <v/>
      </c>
      <c r="AD358" s="43" t="str">
        <f ca="1">IFERROR(__xludf.DUMMYFUNCTION("IFERROR(VLOOKUP(E381&amp;F381,IMPORTRANGE(""https://docs.google.com/spreadsheets/d/1Uw7-A9f9R21vMXxHZFNpYNeKFtG8_yji4HS352LGlSQ/edit?pli=1#gid=0"",""1_ACUM!A4:S""),13,FALSE))"),"")</f>
        <v/>
      </c>
      <c r="AE358" s="43" t="str">
        <f ca="1">IFERROR(__xludf.DUMMYFUNCTION("IFERROR(VLOOKUP(E381&amp;F381,IMPORTRANGE(""https://docs.google.com/spreadsheets/d/1Uw7-A9f9R21vMXxHZFNpYNeKFtG8_yji4HS352LGlSQ/edit?pli=1#gid=0"",""1_ACUM!A4:S""),14,FALSE))"),"")</f>
        <v/>
      </c>
      <c r="AF358" s="43" t="str">
        <f ca="1">IFERROR(__xludf.DUMMYFUNCTION("IFERROR(VLOOKUP(E381&amp;F381,IMPORTRANGE(""https://docs.google.com/spreadsheets/d/1Uw7-A9f9R21vMXxHZFNpYNeKFtG8_yji4HS352LGlSQ/edit?pli=1#gid=0"",""1_ACUM!A4:S""),15,FALSE))"),"")</f>
        <v/>
      </c>
      <c r="AG358" s="43" t="str">
        <f ca="1">IFERROR(__xludf.DUMMYFUNCTION("IFERROR(VLOOKUP(E381&amp;F381,IMPORTRANGE(""https://docs.google.com/spreadsheets/d/1Uw7-A9f9R21vMXxHZFNpYNeKFtG8_yji4HS352LGlSQ/edit?pli=1#gid=0"",""1_ACUM!A4:S""),16,FALSE))"),"")</f>
        <v/>
      </c>
      <c r="AH358" s="43" t="str">
        <f ca="1">IFERROR(__xludf.DUMMYFUNCTION("IFERROR(VLOOKUP(E381&amp;F381,IMPORTRANGE(""https://docs.google.com/spreadsheets/d/1Uw7-A9f9R21vMXxHZFNpYNeKFtG8_yji4HS352LGlSQ/edit?pli=1#gid=0"",""1_ACUM!A4:S""),17,FALSE))"),"")</f>
        <v/>
      </c>
      <c r="AI358" s="44" t="str">
        <f ca="1">IFERROR(__xludf.DUMMYFUNCTION("IFERROR(VLOOKUP(E381&amp;F381,IMPORTRANGE(""https://docs.google.com/spreadsheets/d/1Uw7-A9f9R21vMXxHZFNpYNeKFtG8_yji4HS352LGlSQ/edit?pli=1#gid=0"",""1_ACUM!A4:S""),18,FALSE))"),"")</f>
        <v/>
      </c>
      <c r="AJ358" s="44" t="str">
        <f ca="1">IFERROR(__xludf.DUMMYFUNCTION("IFERROR(VLOOKUP(E381&amp;F381,IMPORTRANGE(""https://docs.google.com/spreadsheets/d/1Uw7-A9f9R21vMXxHZFNpYNeKFtG8_yji4HS352LGlSQ/edit?pli=1#gid=0"",""1_ACUM!A4:S""),19,FALSE))"),"")</f>
        <v/>
      </c>
      <c r="AK358" s="98" t="str">
        <f ca="1">IFERROR(__xludf.DUMMYFUNCTION("IFERROR(VLOOKUP(F381,IMPORTRANGE(""https://docs.google.com/spreadsheets/d/1Kvs4KS76FHFqLFIZfrDMff4kP08nblUkihrxltoGBjg/edit#gid=934712705"",""ESENCIAL!A6:BG""),5,FALSE))"),"")</f>
        <v/>
      </c>
      <c r="AL358" s="98" t="str">
        <f t="shared" si="25"/>
        <v/>
      </c>
      <c r="AM358" s="99" t="str">
        <f t="shared" si="26"/>
        <v/>
      </c>
      <c r="AN358" s="100" t="str">
        <f ca="1">IFERROR(__xludf.DUMMYFUNCTION("IFERROR(VLOOKUP(F381,IMPORTRANGE(""https://docs.google.com/spreadsheets/d/1Kvs4KS76FHFqLFIZfrDMff4kP08nblUkihrxltoGBjg/edit#gid=934712705"",""ESENCIAL!A6:BG""),2,FALSE))"),"")</f>
        <v/>
      </c>
      <c r="AO358" s="19" t="str">
        <f t="shared" si="20"/>
        <v/>
      </c>
      <c r="AP358" s="100"/>
      <c r="AQ358" s="100"/>
    </row>
    <row r="359" spans="1:43" ht="15">
      <c r="A359" s="101"/>
      <c r="B359" s="101"/>
      <c r="G359" s="5" t="str">
        <f ca="1">IFERROR(__xludf.DUMMYFUNCTION("IFERROR(VLOOKUP(F382,IMPORTRANGE(""https://docs.google.com/spreadsheets/d/1Kvs4KS76FHFqLFIZfrDMff4kP08nblUkihrxltoGBjg/edit#gid=934712705"",""ESENCIAL!A6:BG""),3,FALSE))"),"")</f>
        <v/>
      </c>
      <c r="H359" s="5" t="str">
        <f ca="1">IFERROR(__xludf.DUMMYFUNCTION("IFERROR(VLOOKUP(F382,IMPORTRANGE(""https://docs.google.com/spreadsheets/d/1Kvs4KS76FHFqLFIZfrDMff4kP08nblUkihrxltoGBjg/edit#gid=934712705"",""ESENCIAL!A6:BG""),8,FALSE))"),"")</f>
        <v/>
      </c>
      <c r="L359" s="287"/>
      <c r="Z359" s="41" t="str">
        <f t="shared" si="24"/>
        <v/>
      </c>
      <c r="AA359" s="5" t="str">
        <f ca="1">IFERROR(__xludf.DUMMYFUNCTION("IFERROR(VLOOKUP(E382&amp;F382,IMPORTRANGE(""https://docs.google.com/spreadsheets/d/1Uw7-A9f9R21vMXxHZFNpYNeKFtG8_yji4HS352LGlSQ/edit?pli=1#gid=0"",""1_ACUM!A4:S""),11,FALSE))"),"")</f>
        <v/>
      </c>
      <c r="AB359" s="42" t="str">
        <f ca="1">IFERROR(__xludf.DUMMYFUNCTION("IFERROR(VLOOKUP(F382,IMPORTRANGE(""https://docs.google.com/spreadsheets/d/1Kvs4KS76FHFqLFIZfrDMff4kP08nblUkihrxltoGBjg/edit#gid=934712705"",""ESENCIAL!A6:BG""),15,FALSE))"),"")</f>
        <v/>
      </c>
      <c r="AC359" s="110" t="str">
        <f ca="1">IFERROR(__xludf.DUMMYFUNCTION("IFERROR(VLOOKUP(E382&amp;F382,IMPORTRANGE(""https://docs.google.com/spreadsheets/d/1Uw7-A9f9R21vMXxHZFNpYNeKFtG8_yji4HS352LGlSQ/edit?pli=1#gid=0"",""1_ACUM!A4:S""),13,FALSE))"),"")</f>
        <v/>
      </c>
      <c r="AD359" s="43" t="str">
        <f ca="1">IFERROR(__xludf.DUMMYFUNCTION("IFERROR(VLOOKUP(E382&amp;F382,IMPORTRANGE(""https://docs.google.com/spreadsheets/d/1Uw7-A9f9R21vMXxHZFNpYNeKFtG8_yji4HS352LGlSQ/edit?pli=1#gid=0"",""1_ACUM!A4:S""),13,FALSE))"),"")</f>
        <v/>
      </c>
      <c r="AE359" s="43" t="str">
        <f ca="1">IFERROR(__xludf.DUMMYFUNCTION("IFERROR(VLOOKUP(E382&amp;F382,IMPORTRANGE(""https://docs.google.com/spreadsheets/d/1Uw7-A9f9R21vMXxHZFNpYNeKFtG8_yji4HS352LGlSQ/edit?pli=1#gid=0"",""1_ACUM!A4:S""),14,FALSE))"),"")</f>
        <v/>
      </c>
      <c r="AF359" s="43" t="str">
        <f ca="1">IFERROR(__xludf.DUMMYFUNCTION("IFERROR(VLOOKUP(E382&amp;F382,IMPORTRANGE(""https://docs.google.com/spreadsheets/d/1Uw7-A9f9R21vMXxHZFNpYNeKFtG8_yji4HS352LGlSQ/edit?pli=1#gid=0"",""1_ACUM!A4:S""),15,FALSE))"),"")</f>
        <v/>
      </c>
      <c r="AG359" s="43" t="str">
        <f ca="1">IFERROR(__xludf.DUMMYFUNCTION("IFERROR(VLOOKUP(E382&amp;F382,IMPORTRANGE(""https://docs.google.com/spreadsheets/d/1Uw7-A9f9R21vMXxHZFNpYNeKFtG8_yji4HS352LGlSQ/edit?pli=1#gid=0"",""1_ACUM!A4:S""),16,FALSE))"),"")</f>
        <v/>
      </c>
      <c r="AH359" s="43" t="str">
        <f ca="1">IFERROR(__xludf.DUMMYFUNCTION("IFERROR(VLOOKUP(E382&amp;F382,IMPORTRANGE(""https://docs.google.com/spreadsheets/d/1Uw7-A9f9R21vMXxHZFNpYNeKFtG8_yji4HS352LGlSQ/edit?pli=1#gid=0"",""1_ACUM!A4:S""),17,FALSE))"),"")</f>
        <v/>
      </c>
      <c r="AI359" s="44" t="str">
        <f ca="1">IFERROR(__xludf.DUMMYFUNCTION("IFERROR(VLOOKUP(E382&amp;F382,IMPORTRANGE(""https://docs.google.com/spreadsheets/d/1Uw7-A9f9R21vMXxHZFNpYNeKFtG8_yji4HS352LGlSQ/edit?pli=1#gid=0"",""1_ACUM!A4:S""),18,FALSE))"),"")</f>
        <v/>
      </c>
      <c r="AJ359" s="44" t="str">
        <f ca="1">IFERROR(__xludf.DUMMYFUNCTION("IFERROR(VLOOKUP(E382&amp;F382,IMPORTRANGE(""https://docs.google.com/spreadsheets/d/1Uw7-A9f9R21vMXxHZFNpYNeKFtG8_yji4HS352LGlSQ/edit?pli=1#gid=0"",""1_ACUM!A4:S""),19,FALSE))"),"")</f>
        <v/>
      </c>
      <c r="AK359" s="98" t="str">
        <f ca="1">IFERROR(__xludf.DUMMYFUNCTION("IFERROR(VLOOKUP(F382,IMPORTRANGE(""https://docs.google.com/spreadsheets/d/1Kvs4KS76FHFqLFIZfrDMff4kP08nblUkihrxltoGBjg/edit#gid=934712705"",""ESENCIAL!A6:BG""),5,FALSE))"),"")</f>
        <v/>
      </c>
      <c r="AL359" s="98" t="str">
        <f t="shared" si="25"/>
        <v/>
      </c>
      <c r="AM359" s="99" t="str">
        <f t="shared" si="26"/>
        <v/>
      </c>
      <c r="AN359" s="100" t="str">
        <f ca="1">IFERROR(__xludf.DUMMYFUNCTION("IFERROR(VLOOKUP(F382,IMPORTRANGE(""https://docs.google.com/spreadsheets/d/1Kvs4KS76FHFqLFIZfrDMff4kP08nblUkihrxltoGBjg/edit#gid=934712705"",""ESENCIAL!A6:BG""),2,FALSE))"),"")</f>
        <v/>
      </c>
      <c r="AO359" s="19" t="str">
        <f t="shared" si="20"/>
        <v/>
      </c>
      <c r="AP359" s="100"/>
      <c r="AQ359" s="100"/>
    </row>
    <row r="360" spans="1:43" ht="15">
      <c r="A360" s="101"/>
      <c r="B360" s="101"/>
      <c r="G360" s="5" t="str">
        <f ca="1">IFERROR(__xludf.DUMMYFUNCTION("IFERROR(VLOOKUP(F383,IMPORTRANGE(""https://docs.google.com/spreadsheets/d/1Kvs4KS76FHFqLFIZfrDMff4kP08nblUkihrxltoGBjg/edit#gid=934712705"",""ESENCIAL!A6:BG""),3,FALSE))"),"")</f>
        <v/>
      </c>
      <c r="H360" s="5" t="str">
        <f ca="1">IFERROR(__xludf.DUMMYFUNCTION("IFERROR(VLOOKUP(F383,IMPORTRANGE(""https://docs.google.com/spreadsheets/d/1Kvs4KS76FHFqLFIZfrDMff4kP08nblUkihrxltoGBjg/edit#gid=934712705"",""ESENCIAL!A6:BG""),8,FALSE))"),"")</f>
        <v/>
      </c>
      <c r="L360" s="287"/>
      <c r="Z360" s="41" t="str">
        <f t="shared" si="24"/>
        <v/>
      </c>
      <c r="AA360" s="5" t="str">
        <f ca="1">IFERROR(__xludf.DUMMYFUNCTION("IFERROR(VLOOKUP(E383&amp;F383,IMPORTRANGE(""https://docs.google.com/spreadsheets/d/1Uw7-A9f9R21vMXxHZFNpYNeKFtG8_yji4HS352LGlSQ/edit?pli=1#gid=0"",""1_ACUM!A4:S""),11,FALSE))"),"")</f>
        <v/>
      </c>
      <c r="AB360" s="42" t="str">
        <f ca="1">IFERROR(__xludf.DUMMYFUNCTION("IFERROR(VLOOKUP(F383,IMPORTRANGE(""https://docs.google.com/spreadsheets/d/1Kvs4KS76FHFqLFIZfrDMff4kP08nblUkihrxltoGBjg/edit#gid=934712705"",""ESENCIAL!A6:BG""),15,FALSE))"),"")</f>
        <v/>
      </c>
      <c r="AC360" s="110" t="str">
        <f ca="1">IFERROR(__xludf.DUMMYFUNCTION("IFERROR(VLOOKUP(E383&amp;F383,IMPORTRANGE(""https://docs.google.com/spreadsheets/d/1Uw7-A9f9R21vMXxHZFNpYNeKFtG8_yji4HS352LGlSQ/edit?pli=1#gid=0"",""1_ACUM!A4:S""),13,FALSE))"),"")</f>
        <v/>
      </c>
      <c r="AD360" s="43" t="str">
        <f ca="1">IFERROR(__xludf.DUMMYFUNCTION("IFERROR(VLOOKUP(E383&amp;F383,IMPORTRANGE(""https://docs.google.com/spreadsheets/d/1Uw7-A9f9R21vMXxHZFNpYNeKFtG8_yji4HS352LGlSQ/edit?pli=1#gid=0"",""1_ACUM!A4:S""),13,FALSE))"),"")</f>
        <v/>
      </c>
      <c r="AE360" s="43" t="str">
        <f ca="1">IFERROR(__xludf.DUMMYFUNCTION("IFERROR(VLOOKUP(E383&amp;F383,IMPORTRANGE(""https://docs.google.com/spreadsheets/d/1Uw7-A9f9R21vMXxHZFNpYNeKFtG8_yji4HS352LGlSQ/edit?pli=1#gid=0"",""1_ACUM!A4:S""),14,FALSE))"),"")</f>
        <v/>
      </c>
      <c r="AF360" s="43" t="str">
        <f ca="1">IFERROR(__xludf.DUMMYFUNCTION("IFERROR(VLOOKUP(E383&amp;F383,IMPORTRANGE(""https://docs.google.com/spreadsheets/d/1Uw7-A9f9R21vMXxHZFNpYNeKFtG8_yji4HS352LGlSQ/edit?pli=1#gid=0"",""1_ACUM!A4:S""),15,FALSE))"),"")</f>
        <v/>
      </c>
      <c r="AG360" s="43" t="str">
        <f ca="1">IFERROR(__xludf.DUMMYFUNCTION("IFERROR(VLOOKUP(E383&amp;F383,IMPORTRANGE(""https://docs.google.com/spreadsheets/d/1Uw7-A9f9R21vMXxHZFNpYNeKFtG8_yji4HS352LGlSQ/edit?pli=1#gid=0"",""1_ACUM!A4:S""),16,FALSE))"),"")</f>
        <v/>
      </c>
      <c r="AH360" s="43" t="str">
        <f ca="1">IFERROR(__xludf.DUMMYFUNCTION("IFERROR(VLOOKUP(E383&amp;F383,IMPORTRANGE(""https://docs.google.com/spreadsheets/d/1Uw7-A9f9R21vMXxHZFNpYNeKFtG8_yji4HS352LGlSQ/edit?pli=1#gid=0"",""1_ACUM!A4:S""),17,FALSE))"),"")</f>
        <v/>
      </c>
      <c r="AI360" s="44" t="str">
        <f ca="1">IFERROR(__xludf.DUMMYFUNCTION("IFERROR(VLOOKUP(E383&amp;F383,IMPORTRANGE(""https://docs.google.com/spreadsheets/d/1Uw7-A9f9R21vMXxHZFNpYNeKFtG8_yji4HS352LGlSQ/edit?pli=1#gid=0"",""1_ACUM!A4:S""),18,FALSE))"),"")</f>
        <v/>
      </c>
      <c r="AJ360" s="44" t="str">
        <f ca="1">IFERROR(__xludf.DUMMYFUNCTION("IFERROR(VLOOKUP(E383&amp;F383,IMPORTRANGE(""https://docs.google.com/spreadsheets/d/1Uw7-A9f9R21vMXxHZFNpYNeKFtG8_yji4HS352LGlSQ/edit?pli=1#gid=0"",""1_ACUM!A4:S""),19,FALSE))"),"")</f>
        <v/>
      </c>
      <c r="AK360" s="98" t="str">
        <f ca="1">IFERROR(__xludf.DUMMYFUNCTION("IFERROR(VLOOKUP(F383,IMPORTRANGE(""https://docs.google.com/spreadsheets/d/1Kvs4KS76FHFqLFIZfrDMff4kP08nblUkihrxltoGBjg/edit#gid=934712705"",""ESENCIAL!A6:BG""),5,FALSE))"),"")</f>
        <v/>
      </c>
      <c r="AL360" s="98" t="str">
        <f t="shared" si="25"/>
        <v/>
      </c>
      <c r="AM360" s="99" t="str">
        <f t="shared" si="26"/>
        <v/>
      </c>
      <c r="AN360" s="100" t="str">
        <f ca="1">IFERROR(__xludf.DUMMYFUNCTION("IFERROR(VLOOKUP(F383,IMPORTRANGE(""https://docs.google.com/spreadsheets/d/1Kvs4KS76FHFqLFIZfrDMff4kP08nblUkihrxltoGBjg/edit#gid=934712705"",""ESENCIAL!A6:BG""),2,FALSE))"),"")</f>
        <v/>
      </c>
      <c r="AO360" s="19" t="str">
        <f t="shared" si="20"/>
        <v/>
      </c>
      <c r="AP360" s="100"/>
      <c r="AQ360" s="100"/>
    </row>
    <row r="361" spans="1:43" ht="15">
      <c r="A361" s="101"/>
      <c r="B361" s="101"/>
      <c r="G361" s="5" t="str">
        <f ca="1">IFERROR(__xludf.DUMMYFUNCTION("IFERROR(VLOOKUP(F384,IMPORTRANGE(""https://docs.google.com/spreadsheets/d/1Kvs4KS76FHFqLFIZfrDMff4kP08nblUkihrxltoGBjg/edit#gid=934712705"",""ESENCIAL!A6:BG""),3,FALSE))"),"")</f>
        <v/>
      </c>
      <c r="H361" s="5" t="str">
        <f ca="1">IFERROR(__xludf.DUMMYFUNCTION("IFERROR(VLOOKUP(F384,IMPORTRANGE(""https://docs.google.com/spreadsheets/d/1Kvs4KS76FHFqLFIZfrDMff4kP08nblUkihrxltoGBjg/edit#gid=934712705"",""ESENCIAL!A6:BG""),8,FALSE))"),"")</f>
        <v/>
      </c>
      <c r="L361" s="287"/>
      <c r="Z361" s="41" t="str">
        <f t="shared" si="24"/>
        <v/>
      </c>
      <c r="AA361" s="5" t="str">
        <f ca="1">IFERROR(__xludf.DUMMYFUNCTION("IFERROR(VLOOKUP(E384&amp;F384,IMPORTRANGE(""https://docs.google.com/spreadsheets/d/1Uw7-A9f9R21vMXxHZFNpYNeKFtG8_yji4HS352LGlSQ/edit?pli=1#gid=0"",""1_ACUM!A4:S""),11,FALSE))"),"")</f>
        <v/>
      </c>
      <c r="AB361" s="42" t="str">
        <f ca="1">IFERROR(__xludf.DUMMYFUNCTION("IFERROR(VLOOKUP(F384,IMPORTRANGE(""https://docs.google.com/spreadsheets/d/1Kvs4KS76FHFqLFIZfrDMff4kP08nblUkihrxltoGBjg/edit#gid=934712705"",""ESENCIAL!A6:BG""),15,FALSE))"),"")</f>
        <v/>
      </c>
      <c r="AC361" s="110" t="str">
        <f ca="1">IFERROR(__xludf.DUMMYFUNCTION("IFERROR(VLOOKUP(E384&amp;F384,IMPORTRANGE(""https://docs.google.com/spreadsheets/d/1Uw7-A9f9R21vMXxHZFNpYNeKFtG8_yji4HS352LGlSQ/edit?pli=1#gid=0"",""1_ACUM!A4:S""),13,FALSE))"),"")</f>
        <v/>
      </c>
      <c r="AD361" s="43" t="str">
        <f ca="1">IFERROR(__xludf.DUMMYFUNCTION("IFERROR(VLOOKUP(E384&amp;F384,IMPORTRANGE(""https://docs.google.com/spreadsheets/d/1Uw7-A9f9R21vMXxHZFNpYNeKFtG8_yji4HS352LGlSQ/edit?pli=1#gid=0"",""1_ACUM!A4:S""),13,FALSE))"),"")</f>
        <v/>
      </c>
      <c r="AE361" s="43" t="str">
        <f ca="1">IFERROR(__xludf.DUMMYFUNCTION("IFERROR(VLOOKUP(E384&amp;F384,IMPORTRANGE(""https://docs.google.com/spreadsheets/d/1Uw7-A9f9R21vMXxHZFNpYNeKFtG8_yji4HS352LGlSQ/edit?pli=1#gid=0"",""1_ACUM!A4:S""),14,FALSE))"),"")</f>
        <v/>
      </c>
      <c r="AF361" s="43" t="str">
        <f ca="1">IFERROR(__xludf.DUMMYFUNCTION("IFERROR(VLOOKUP(E384&amp;F384,IMPORTRANGE(""https://docs.google.com/spreadsheets/d/1Uw7-A9f9R21vMXxHZFNpYNeKFtG8_yji4HS352LGlSQ/edit?pli=1#gid=0"",""1_ACUM!A4:S""),15,FALSE))"),"")</f>
        <v/>
      </c>
      <c r="AG361" s="43" t="str">
        <f ca="1">IFERROR(__xludf.DUMMYFUNCTION("IFERROR(VLOOKUP(E384&amp;F384,IMPORTRANGE(""https://docs.google.com/spreadsheets/d/1Uw7-A9f9R21vMXxHZFNpYNeKFtG8_yji4HS352LGlSQ/edit?pli=1#gid=0"",""1_ACUM!A4:S""),16,FALSE))"),"")</f>
        <v/>
      </c>
      <c r="AH361" s="43" t="str">
        <f ca="1">IFERROR(__xludf.DUMMYFUNCTION("IFERROR(VLOOKUP(E384&amp;F384,IMPORTRANGE(""https://docs.google.com/spreadsheets/d/1Uw7-A9f9R21vMXxHZFNpYNeKFtG8_yji4HS352LGlSQ/edit?pli=1#gid=0"",""1_ACUM!A4:S""),17,FALSE))"),"")</f>
        <v/>
      </c>
      <c r="AI361" s="44" t="str">
        <f ca="1">IFERROR(__xludf.DUMMYFUNCTION("IFERROR(VLOOKUP(E384&amp;F384,IMPORTRANGE(""https://docs.google.com/spreadsheets/d/1Uw7-A9f9R21vMXxHZFNpYNeKFtG8_yji4HS352LGlSQ/edit?pli=1#gid=0"",""1_ACUM!A4:S""),18,FALSE))"),"")</f>
        <v/>
      </c>
      <c r="AJ361" s="44" t="str">
        <f ca="1">IFERROR(__xludf.DUMMYFUNCTION("IFERROR(VLOOKUP(E384&amp;F384,IMPORTRANGE(""https://docs.google.com/spreadsheets/d/1Uw7-A9f9R21vMXxHZFNpYNeKFtG8_yji4HS352LGlSQ/edit?pli=1#gid=0"",""1_ACUM!A4:S""),19,FALSE))"),"")</f>
        <v/>
      </c>
      <c r="AK361" s="98" t="str">
        <f ca="1">IFERROR(__xludf.DUMMYFUNCTION("IFERROR(VLOOKUP(F384,IMPORTRANGE(""https://docs.google.com/spreadsheets/d/1Kvs4KS76FHFqLFIZfrDMff4kP08nblUkihrxltoGBjg/edit#gid=934712705"",""ESENCIAL!A6:BG""),5,FALSE))"),"")</f>
        <v/>
      </c>
      <c r="AL361" s="98" t="str">
        <f t="shared" si="25"/>
        <v/>
      </c>
      <c r="AM361" s="99" t="str">
        <f t="shared" si="26"/>
        <v/>
      </c>
      <c r="AN361" s="100" t="str">
        <f ca="1">IFERROR(__xludf.DUMMYFUNCTION("IFERROR(VLOOKUP(F384,IMPORTRANGE(""https://docs.google.com/spreadsheets/d/1Kvs4KS76FHFqLFIZfrDMff4kP08nblUkihrxltoGBjg/edit#gid=934712705"",""ESENCIAL!A6:BG""),2,FALSE))"),"")</f>
        <v/>
      </c>
      <c r="AO361" s="19" t="str">
        <f t="shared" si="20"/>
        <v/>
      </c>
      <c r="AP361" s="100"/>
      <c r="AQ361" s="100"/>
    </row>
    <row r="362" spans="1:43" ht="15">
      <c r="A362" s="101"/>
      <c r="B362" s="101"/>
      <c r="G362" s="5" t="str">
        <f ca="1">IFERROR(__xludf.DUMMYFUNCTION("IFERROR(VLOOKUP(F385,IMPORTRANGE(""https://docs.google.com/spreadsheets/d/1Kvs4KS76FHFqLFIZfrDMff4kP08nblUkihrxltoGBjg/edit#gid=934712705"",""ESENCIAL!A6:BG""),3,FALSE))"),"")</f>
        <v/>
      </c>
      <c r="H362" s="5" t="str">
        <f ca="1">IFERROR(__xludf.DUMMYFUNCTION("IFERROR(VLOOKUP(F385,IMPORTRANGE(""https://docs.google.com/spreadsheets/d/1Kvs4KS76FHFqLFIZfrDMff4kP08nblUkihrxltoGBjg/edit#gid=934712705"",""ESENCIAL!A6:BG""),8,FALSE))"),"")</f>
        <v/>
      </c>
      <c r="L362" s="287"/>
      <c r="Z362" s="41" t="str">
        <f t="shared" si="24"/>
        <v/>
      </c>
      <c r="AA362" s="5" t="str">
        <f ca="1">IFERROR(__xludf.DUMMYFUNCTION("IFERROR(VLOOKUP(E385&amp;F385,IMPORTRANGE(""https://docs.google.com/spreadsheets/d/1Uw7-A9f9R21vMXxHZFNpYNeKFtG8_yji4HS352LGlSQ/edit?pli=1#gid=0"",""1_ACUM!A4:S""),11,FALSE))"),"")</f>
        <v/>
      </c>
      <c r="AB362" s="42" t="str">
        <f ca="1">IFERROR(__xludf.DUMMYFUNCTION("IFERROR(VLOOKUP(F385,IMPORTRANGE(""https://docs.google.com/spreadsheets/d/1Kvs4KS76FHFqLFIZfrDMff4kP08nblUkihrxltoGBjg/edit#gid=934712705"",""ESENCIAL!A6:BG""),15,FALSE))"),"")</f>
        <v/>
      </c>
      <c r="AC362" s="110" t="str">
        <f ca="1">IFERROR(__xludf.DUMMYFUNCTION("IFERROR(VLOOKUP(E385&amp;F385,IMPORTRANGE(""https://docs.google.com/spreadsheets/d/1Uw7-A9f9R21vMXxHZFNpYNeKFtG8_yji4HS352LGlSQ/edit?pli=1#gid=0"",""1_ACUM!A4:S""),13,FALSE))"),"")</f>
        <v/>
      </c>
      <c r="AD362" s="43" t="str">
        <f ca="1">IFERROR(__xludf.DUMMYFUNCTION("IFERROR(VLOOKUP(E385&amp;F385,IMPORTRANGE(""https://docs.google.com/spreadsheets/d/1Uw7-A9f9R21vMXxHZFNpYNeKFtG8_yji4HS352LGlSQ/edit?pli=1#gid=0"",""1_ACUM!A4:S""),13,FALSE))"),"")</f>
        <v/>
      </c>
      <c r="AE362" s="43" t="str">
        <f ca="1">IFERROR(__xludf.DUMMYFUNCTION("IFERROR(VLOOKUP(E385&amp;F385,IMPORTRANGE(""https://docs.google.com/spreadsheets/d/1Uw7-A9f9R21vMXxHZFNpYNeKFtG8_yji4HS352LGlSQ/edit?pli=1#gid=0"",""1_ACUM!A4:S""),14,FALSE))"),"")</f>
        <v/>
      </c>
      <c r="AF362" s="43" t="str">
        <f ca="1">IFERROR(__xludf.DUMMYFUNCTION("IFERROR(VLOOKUP(E385&amp;F385,IMPORTRANGE(""https://docs.google.com/spreadsheets/d/1Uw7-A9f9R21vMXxHZFNpYNeKFtG8_yji4HS352LGlSQ/edit?pli=1#gid=0"",""1_ACUM!A4:S""),15,FALSE))"),"")</f>
        <v/>
      </c>
      <c r="AG362" s="43" t="str">
        <f ca="1">IFERROR(__xludf.DUMMYFUNCTION("IFERROR(VLOOKUP(E385&amp;F385,IMPORTRANGE(""https://docs.google.com/spreadsheets/d/1Uw7-A9f9R21vMXxHZFNpYNeKFtG8_yji4HS352LGlSQ/edit?pli=1#gid=0"",""1_ACUM!A4:S""),16,FALSE))"),"")</f>
        <v/>
      </c>
      <c r="AH362" s="43" t="str">
        <f ca="1">IFERROR(__xludf.DUMMYFUNCTION("IFERROR(VLOOKUP(E385&amp;F385,IMPORTRANGE(""https://docs.google.com/spreadsheets/d/1Uw7-A9f9R21vMXxHZFNpYNeKFtG8_yji4HS352LGlSQ/edit?pli=1#gid=0"",""1_ACUM!A4:S""),17,FALSE))"),"")</f>
        <v/>
      </c>
      <c r="AI362" s="44" t="str">
        <f ca="1">IFERROR(__xludf.DUMMYFUNCTION("IFERROR(VLOOKUP(E385&amp;F385,IMPORTRANGE(""https://docs.google.com/spreadsheets/d/1Uw7-A9f9R21vMXxHZFNpYNeKFtG8_yji4HS352LGlSQ/edit?pli=1#gid=0"",""1_ACUM!A4:S""),18,FALSE))"),"")</f>
        <v/>
      </c>
      <c r="AJ362" s="44" t="str">
        <f ca="1">IFERROR(__xludf.DUMMYFUNCTION("IFERROR(VLOOKUP(E385&amp;F385,IMPORTRANGE(""https://docs.google.com/spreadsheets/d/1Uw7-A9f9R21vMXxHZFNpYNeKFtG8_yji4HS352LGlSQ/edit?pli=1#gid=0"",""1_ACUM!A4:S""),19,FALSE))"),"")</f>
        <v/>
      </c>
      <c r="AK362" s="98" t="str">
        <f ca="1">IFERROR(__xludf.DUMMYFUNCTION("IFERROR(VLOOKUP(F385,IMPORTRANGE(""https://docs.google.com/spreadsheets/d/1Kvs4KS76FHFqLFIZfrDMff4kP08nblUkihrxltoGBjg/edit#gid=934712705"",""ESENCIAL!A6:BG""),5,FALSE))"),"")</f>
        <v/>
      </c>
      <c r="AL362" s="98" t="str">
        <f t="shared" si="25"/>
        <v/>
      </c>
      <c r="AM362" s="99" t="str">
        <f t="shared" si="26"/>
        <v/>
      </c>
      <c r="AN362" s="100" t="str">
        <f ca="1">IFERROR(__xludf.DUMMYFUNCTION("IFERROR(VLOOKUP(F385,IMPORTRANGE(""https://docs.google.com/spreadsheets/d/1Kvs4KS76FHFqLFIZfrDMff4kP08nblUkihrxltoGBjg/edit#gid=934712705"",""ESENCIAL!A6:BG""),2,FALSE))"),"")</f>
        <v/>
      </c>
      <c r="AO362" s="19" t="str">
        <f t="shared" si="20"/>
        <v/>
      </c>
      <c r="AP362" s="100"/>
      <c r="AQ362" s="100"/>
    </row>
    <row r="363" spans="1:43" ht="15">
      <c r="A363" s="101"/>
      <c r="B363" s="101"/>
      <c r="G363" s="5" t="str">
        <f ca="1">IFERROR(__xludf.DUMMYFUNCTION("IFERROR(VLOOKUP(F386,IMPORTRANGE(""https://docs.google.com/spreadsheets/d/1Kvs4KS76FHFqLFIZfrDMff4kP08nblUkihrxltoGBjg/edit#gid=934712705"",""ESENCIAL!A6:BG""),3,FALSE))"),"")</f>
        <v/>
      </c>
      <c r="H363" s="5" t="str">
        <f ca="1">IFERROR(__xludf.DUMMYFUNCTION("IFERROR(VLOOKUP(F386,IMPORTRANGE(""https://docs.google.com/spreadsheets/d/1Kvs4KS76FHFqLFIZfrDMff4kP08nblUkihrxltoGBjg/edit#gid=934712705"",""ESENCIAL!A6:BG""),8,FALSE))"),"")</f>
        <v/>
      </c>
      <c r="L363" s="287"/>
      <c r="Z363" s="41" t="str">
        <f t="shared" si="24"/>
        <v/>
      </c>
      <c r="AA363" s="5" t="str">
        <f ca="1">IFERROR(__xludf.DUMMYFUNCTION("IFERROR(VLOOKUP(E386&amp;F386,IMPORTRANGE(""https://docs.google.com/spreadsheets/d/1Uw7-A9f9R21vMXxHZFNpYNeKFtG8_yji4HS352LGlSQ/edit?pli=1#gid=0"",""1_ACUM!A4:S""),11,FALSE))"),"")</f>
        <v/>
      </c>
      <c r="AB363" s="42" t="str">
        <f ca="1">IFERROR(__xludf.DUMMYFUNCTION("IFERROR(VLOOKUP(F386,IMPORTRANGE(""https://docs.google.com/spreadsheets/d/1Kvs4KS76FHFqLFIZfrDMff4kP08nblUkihrxltoGBjg/edit#gid=934712705"",""ESENCIAL!A6:BG""),15,FALSE))"),"")</f>
        <v/>
      </c>
      <c r="AC363" s="110" t="str">
        <f ca="1">IFERROR(__xludf.DUMMYFUNCTION("IFERROR(VLOOKUP(E386&amp;F386,IMPORTRANGE(""https://docs.google.com/spreadsheets/d/1Uw7-A9f9R21vMXxHZFNpYNeKFtG8_yji4HS352LGlSQ/edit?pli=1#gid=0"",""1_ACUM!A4:S""),13,FALSE))"),"")</f>
        <v/>
      </c>
      <c r="AD363" s="43" t="str">
        <f ca="1">IFERROR(__xludf.DUMMYFUNCTION("IFERROR(VLOOKUP(E386&amp;F386,IMPORTRANGE(""https://docs.google.com/spreadsheets/d/1Uw7-A9f9R21vMXxHZFNpYNeKFtG8_yji4HS352LGlSQ/edit?pli=1#gid=0"",""1_ACUM!A4:S""),13,FALSE))"),"")</f>
        <v/>
      </c>
      <c r="AE363" s="43" t="str">
        <f ca="1">IFERROR(__xludf.DUMMYFUNCTION("IFERROR(VLOOKUP(E386&amp;F386,IMPORTRANGE(""https://docs.google.com/spreadsheets/d/1Uw7-A9f9R21vMXxHZFNpYNeKFtG8_yji4HS352LGlSQ/edit?pli=1#gid=0"",""1_ACUM!A4:S""),14,FALSE))"),"")</f>
        <v/>
      </c>
      <c r="AF363" s="43" t="str">
        <f ca="1">IFERROR(__xludf.DUMMYFUNCTION("IFERROR(VLOOKUP(E386&amp;F386,IMPORTRANGE(""https://docs.google.com/spreadsheets/d/1Uw7-A9f9R21vMXxHZFNpYNeKFtG8_yji4HS352LGlSQ/edit?pli=1#gid=0"",""1_ACUM!A4:S""),15,FALSE))"),"")</f>
        <v/>
      </c>
      <c r="AG363" s="43" t="str">
        <f ca="1">IFERROR(__xludf.DUMMYFUNCTION("IFERROR(VLOOKUP(E386&amp;F386,IMPORTRANGE(""https://docs.google.com/spreadsheets/d/1Uw7-A9f9R21vMXxHZFNpYNeKFtG8_yji4HS352LGlSQ/edit?pli=1#gid=0"",""1_ACUM!A4:S""),16,FALSE))"),"")</f>
        <v/>
      </c>
      <c r="AH363" s="43" t="str">
        <f ca="1">IFERROR(__xludf.DUMMYFUNCTION("IFERROR(VLOOKUP(E386&amp;F386,IMPORTRANGE(""https://docs.google.com/spreadsheets/d/1Uw7-A9f9R21vMXxHZFNpYNeKFtG8_yji4HS352LGlSQ/edit?pli=1#gid=0"",""1_ACUM!A4:S""),17,FALSE))"),"")</f>
        <v/>
      </c>
      <c r="AI363" s="44" t="str">
        <f ca="1">IFERROR(__xludf.DUMMYFUNCTION("IFERROR(VLOOKUP(E386&amp;F386,IMPORTRANGE(""https://docs.google.com/spreadsheets/d/1Uw7-A9f9R21vMXxHZFNpYNeKFtG8_yji4HS352LGlSQ/edit?pli=1#gid=0"",""1_ACUM!A4:S""),18,FALSE))"),"")</f>
        <v/>
      </c>
      <c r="AJ363" s="44" t="str">
        <f ca="1">IFERROR(__xludf.DUMMYFUNCTION("IFERROR(VLOOKUP(E386&amp;F386,IMPORTRANGE(""https://docs.google.com/spreadsheets/d/1Uw7-A9f9R21vMXxHZFNpYNeKFtG8_yji4HS352LGlSQ/edit?pli=1#gid=0"",""1_ACUM!A4:S""),19,FALSE))"),"")</f>
        <v/>
      </c>
      <c r="AK363" s="98" t="str">
        <f ca="1">IFERROR(__xludf.DUMMYFUNCTION("IFERROR(VLOOKUP(F386,IMPORTRANGE(""https://docs.google.com/spreadsheets/d/1Kvs4KS76FHFqLFIZfrDMff4kP08nblUkihrxltoGBjg/edit#gid=934712705"",""ESENCIAL!A6:BG""),5,FALSE))"),"")</f>
        <v/>
      </c>
      <c r="AL363" s="98" t="str">
        <f t="shared" si="25"/>
        <v/>
      </c>
      <c r="AM363" s="99" t="str">
        <f t="shared" si="26"/>
        <v/>
      </c>
      <c r="AN363" s="100" t="str">
        <f ca="1">IFERROR(__xludf.DUMMYFUNCTION("IFERROR(VLOOKUP(F386,IMPORTRANGE(""https://docs.google.com/spreadsheets/d/1Kvs4KS76FHFqLFIZfrDMff4kP08nblUkihrxltoGBjg/edit#gid=934712705"",""ESENCIAL!A6:BG""),2,FALSE))"),"")</f>
        <v/>
      </c>
      <c r="AO363" s="19" t="str">
        <f t="shared" si="20"/>
        <v/>
      </c>
      <c r="AP363" s="100"/>
      <c r="AQ363" s="100"/>
    </row>
    <row r="364" spans="1:43" ht="15">
      <c r="A364" s="101"/>
      <c r="B364" s="101"/>
      <c r="G364" s="5" t="str">
        <f ca="1">IFERROR(__xludf.DUMMYFUNCTION("IFERROR(VLOOKUP(F387,IMPORTRANGE(""https://docs.google.com/spreadsheets/d/1Kvs4KS76FHFqLFIZfrDMff4kP08nblUkihrxltoGBjg/edit#gid=934712705"",""ESENCIAL!A6:BG""),3,FALSE))"),"")</f>
        <v/>
      </c>
      <c r="H364" s="5" t="str">
        <f ca="1">IFERROR(__xludf.DUMMYFUNCTION("IFERROR(VLOOKUP(F387,IMPORTRANGE(""https://docs.google.com/spreadsheets/d/1Kvs4KS76FHFqLFIZfrDMff4kP08nblUkihrxltoGBjg/edit#gid=934712705"",""ESENCIAL!A6:BG""),8,FALSE))"),"")</f>
        <v/>
      </c>
      <c r="L364" s="287"/>
      <c r="Z364" s="41" t="str">
        <f t="shared" si="24"/>
        <v/>
      </c>
      <c r="AA364" s="5" t="str">
        <f ca="1">IFERROR(__xludf.DUMMYFUNCTION("IFERROR(VLOOKUP(E387&amp;F387,IMPORTRANGE(""https://docs.google.com/spreadsheets/d/1Uw7-A9f9R21vMXxHZFNpYNeKFtG8_yji4HS352LGlSQ/edit?pli=1#gid=0"",""1_ACUM!A4:S""),11,FALSE))"),"")</f>
        <v/>
      </c>
      <c r="AB364" s="42" t="str">
        <f ca="1">IFERROR(__xludf.DUMMYFUNCTION("IFERROR(VLOOKUP(F387,IMPORTRANGE(""https://docs.google.com/spreadsheets/d/1Kvs4KS76FHFqLFIZfrDMff4kP08nblUkihrxltoGBjg/edit#gid=934712705"",""ESENCIAL!A6:BG""),15,FALSE))"),"")</f>
        <v/>
      </c>
      <c r="AC364" s="110" t="str">
        <f ca="1">IFERROR(__xludf.DUMMYFUNCTION("IFERROR(VLOOKUP(E387&amp;F387,IMPORTRANGE(""https://docs.google.com/spreadsheets/d/1Uw7-A9f9R21vMXxHZFNpYNeKFtG8_yji4HS352LGlSQ/edit?pli=1#gid=0"",""1_ACUM!A4:S""),13,FALSE))"),"")</f>
        <v/>
      </c>
      <c r="AD364" s="43" t="str">
        <f ca="1">IFERROR(__xludf.DUMMYFUNCTION("IFERROR(VLOOKUP(E387&amp;F387,IMPORTRANGE(""https://docs.google.com/spreadsheets/d/1Uw7-A9f9R21vMXxHZFNpYNeKFtG8_yji4HS352LGlSQ/edit?pli=1#gid=0"",""1_ACUM!A4:S""),13,FALSE))"),"")</f>
        <v/>
      </c>
      <c r="AE364" s="43" t="str">
        <f ca="1">IFERROR(__xludf.DUMMYFUNCTION("IFERROR(VLOOKUP(E387&amp;F387,IMPORTRANGE(""https://docs.google.com/spreadsheets/d/1Uw7-A9f9R21vMXxHZFNpYNeKFtG8_yji4HS352LGlSQ/edit?pli=1#gid=0"",""1_ACUM!A4:S""),14,FALSE))"),"")</f>
        <v/>
      </c>
      <c r="AF364" s="43" t="str">
        <f ca="1">IFERROR(__xludf.DUMMYFUNCTION("IFERROR(VLOOKUP(E387&amp;F387,IMPORTRANGE(""https://docs.google.com/spreadsheets/d/1Uw7-A9f9R21vMXxHZFNpYNeKFtG8_yji4HS352LGlSQ/edit?pli=1#gid=0"",""1_ACUM!A4:S""),15,FALSE))"),"")</f>
        <v/>
      </c>
      <c r="AG364" s="43" t="str">
        <f ca="1">IFERROR(__xludf.DUMMYFUNCTION("IFERROR(VLOOKUP(E387&amp;F387,IMPORTRANGE(""https://docs.google.com/spreadsheets/d/1Uw7-A9f9R21vMXxHZFNpYNeKFtG8_yji4HS352LGlSQ/edit?pli=1#gid=0"",""1_ACUM!A4:S""),16,FALSE))"),"")</f>
        <v/>
      </c>
      <c r="AH364" s="43" t="str">
        <f ca="1">IFERROR(__xludf.DUMMYFUNCTION("IFERROR(VLOOKUP(E387&amp;F387,IMPORTRANGE(""https://docs.google.com/spreadsheets/d/1Uw7-A9f9R21vMXxHZFNpYNeKFtG8_yji4HS352LGlSQ/edit?pli=1#gid=0"",""1_ACUM!A4:S""),17,FALSE))"),"")</f>
        <v/>
      </c>
      <c r="AI364" s="44" t="str">
        <f ca="1">IFERROR(__xludf.DUMMYFUNCTION("IFERROR(VLOOKUP(E387&amp;F387,IMPORTRANGE(""https://docs.google.com/spreadsheets/d/1Uw7-A9f9R21vMXxHZFNpYNeKFtG8_yji4HS352LGlSQ/edit?pli=1#gid=0"",""1_ACUM!A4:S""),18,FALSE))"),"")</f>
        <v/>
      </c>
      <c r="AJ364" s="44" t="str">
        <f ca="1">IFERROR(__xludf.DUMMYFUNCTION("IFERROR(VLOOKUP(E387&amp;F387,IMPORTRANGE(""https://docs.google.com/spreadsheets/d/1Uw7-A9f9R21vMXxHZFNpYNeKFtG8_yji4HS352LGlSQ/edit?pli=1#gid=0"",""1_ACUM!A4:S""),19,FALSE))"),"")</f>
        <v/>
      </c>
      <c r="AK364" s="98" t="str">
        <f ca="1">IFERROR(__xludf.DUMMYFUNCTION("IFERROR(VLOOKUP(F387,IMPORTRANGE(""https://docs.google.com/spreadsheets/d/1Kvs4KS76FHFqLFIZfrDMff4kP08nblUkihrxltoGBjg/edit#gid=934712705"",""ESENCIAL!A6:BG""),5,FALSE))"),"")</f>
        <v/>
      </c>
      <c r="AL364" s="98" t="str">
        <f t="shared" si="25"/>
        <v/>
      </c>
      <c r="AM364" s="99" t="str">
        <f t="shared" si="26"/>
        <v/>
      </c>
      <c r="AN364" s="100" t="str">
        <f ca="1">IFERROR(__xludf.DUMMYFUNCTION("IFERROR(VLOOKUP(F387,IMPORTRANGE(""https://docs.google.com/spreadsheets/d/1Kvs4KS76FHFqLFIZfrDMff4kP08nblUkihrxltoGBjg/edit#gid=934712705"",""ESENCIAL!A6:BG""),2,FALSE))"),"")</f>
        <v/>
      </c>
      <c r="AO364" s="19" t="str">
        <f t="shared" si="20"/>
        <v/>
      </c>
      <c r="AP364" s="100"/>
      <c r="AQ364" s="100"/>
    </row>
    <row r="365" spans="1:43" ht="15">
      <c r="A365" s="101"/>
      <c r="B365" s="101"/>
      <c r="G365" s="5" t="str">
        <f ca="1">IFERROR(__xludf.DUMMYFUNCTION("IFERROR(VLOOKUP(F388,IMPORTRANGE(""https://docs.google.com/spreadsheets/d/1Kvs4KS76FHFqLFIZfrDMff4kP08nblUkihrxltoGBjg/edit#gid=934712705"",""ESENCIAL!A6:BG""),3,FALSE))"),"")</f>
        <v/>
      </c>
      <c r="H365" s="5" t="str">
        <f ca="1">IFERROR(__xludf.DUMMYFUNCTION("IFERROR(VLOOKUP(F388,IMPORTRANGE(""https://docs.google.com/spreadsheets/d/1Kvs4KS76FHFqLFIZfrDMff4kP08nblUkihrxltoGBjg/edit#gid=934712705"",""ESENCIAL!A6:BG""),8,FALSE))"),"")</f>
        <v/>
      </c>
      <c r="L365" s="287"/>
      <c r="Z365" s="41" t="str">
        <f t="shared" si="24"/>
        <v/>
      </c>
      <c r="AA365" s="5" t="str">
        <f ca="1">IFERROR(__xludf.DUMMYFUNCTION("IFERROR(VLOOKUP(E388&amp;F388,IMPORTRANGE(""https://docs.google.com/spreadsheets/d/1Uw7-A9f9R21vMXxHZFNpYNeKFtG8_yji4HS352LGlSQ/edit?pli=1#gid=0"",""1_ACUM!A4:S""),11,FALSE))"),"")</f>
        <v/>
      </c>
      <c r="AB365" s="42" t="str">
        <f ca="1">IFERROR(__xludf.DUMMYFUNCTION("IFERROR(VLOOKUP(F388,IMPORTRANGE(""https://docs.google.com/spreadsheets/d/1Kvs4KS76FHFqLFIZfrDMff4kP08nblUkihrxltoGBjg/edit#gid=934712705"",""ESENCIAL!A6:BG""),15,FALSE))"),"")</f>
        <v/>
      </c>
      <c r="AC365" s="110" t="str">
        <f ca="1">IFERROR(__xludf.DUMMYFUNCTION("IFERROR(VLOOKUP(E388&amp;F388,IMPORTRANGE(""https://docs.google.com/spreadsheets/d/1Uw7-A9f9R21vMXxHZFNpYNeKFtG8_yji4HS352LGlSQ/edit?pli=1#gid=0"",""1_ACUM!A4:S""),13,FALSE))"),"")</f>
        <v/>
      </c>
      <c r="AD365" s="43" t="str">
        <f ca="1">IFERROR(__xludf.DUMMYFUNCTION("IFERROR(VLOOKUP(E388&amp;F388,IMPORTRANGE(""https://docs.google.com/spreadsheets/d/1Uw7-A9f9R21vMXxHZFNpYNeKFtG8_yji4HS352LGlSQ/edit?pli=1#gid=0"",""1_ACUM!A4:S""),13,FALSE))"),"")</f>
        <v/>
      </c>
      <c r="AE365" s="43" t="str">
        <f ca="1">IFERROR(__xludf.DUMMYFUNCTION("IFERROR(VLOOKUP(E388&amp;F388,IMPORTRANGE(""https://docs.google.com/spreadsheets/d/1Uw7-A9f9R21vMXxHZFNpYNeKFtG8_yji4HS352LGlSQ/edit?pli=1#gid=0"",""1_ACUM!A4:S""),14,FALSE))"),"")</f>
        <v/>
      </c>
      <c r="AF365" s="43" t="str">
        <f ca="1">IFERROR(__xludf.DUMMYFUNCTION("IFERROR(VLOOKUP(E388&amp;F388,IMPORTRANGE(""https://docs.google.com/spreadsheets/d/1Uw7-A9f9R21vMXxHZFNpYNeKFtG8_yji4HS352LGlSQ/edit?pli=1#gid=0"",""1_ACUM!A4:S""),15,FALSE))"),"")</f>
        <v/>
      </c>
      <c r="AG365" s="43" t="str">
        <f ca="1">IFERROR(__xludf.DUMMYFUNCTION("IFERROR(VLOOKUP(E388&amp;F388,IMPORTRANGE(""https://docs.google.com/spreadsheets/d/1Uw7-A9f9R21vMXxHZFNpYNeKFtG8_yji4HS352LGlSQ/edit?pli=1#gid=0"",""1_ACUM!A4:S""),16,FALSE))"),"")</f>
        <v/>
      </c>
      <c r="AH365" s="43" t="str">
        <f ca="1">IFERROR(__xludf.DUMMYFUNCTION("IFERROR(VLOOKUP(E388&amp;F388,IMPORTRANGE(""https://docs.google.com/spreadsheets/d/1Uw7-A9f9R21vMXxHZFNpYNeKFtG8_yji4HS352LGlSQ/edit?pli=1#gid=0"",""1_ACUM!A4:S""),17,FALSE))"),"")</f>
        <v/>
      </c>
      <c r="AI365" s="44" t="str">
        <f ca="1">IFERROR(__xludf.DUMMYFUNCTION("IFERROR(VLOOKUP(E388&amp;F388,IMPORTRANGE(""https://docs.google.com/spreadsheets/d/1Uw7-A9f9R21vMXxHZFNpYNeKFtG8_yji4HS352LGlSQ/edit?pli=1#gid=0"",""1_ACUM!A4:S""),18,FALSE))"),"")</f>
        <v/>
      </c>
      <c r="AJ365" s="44" t="str">
        <f ca="1">IFERROR(__xludf.DUMMYFUNCTION("IFERROR(VLOOKUP(E388&amp;F388,IMPORTRANGE(""https://docs.google.com/spreadsheets/d/1Uw7-A9f9R21vMXxHZFNpYNeKFtG8_yji4HS352LGlSQ/edit?pli=1#gid=0"",""1_ACUM!A4:S""),19,FALSE))"),"")</f>
        <v/>
      </c>
      <c r="AK365" s="98" t="str">
        <f ca="1">IFERROR(__xludf.DUMMYFUNCTION("IFERROR(VLOOKUP(F388,IMPORTRANGE(""https://docs.google.com/spreadsheets/d/1Kvs4KS76FHFqLFIZfrDMff4kP08nblUkihrxltoGBjg/edit#gid=934712705"",""ESENCIAL!A6:BG""),5,FALSE))"),"")</f>
        <v/>
      </c>
      <c r="AL365" s="98" t="str">
        <f t="shared" si="25"/>
        <v/>
      </c>
      <c r="AM365" s="99" t="str">
        <f t="shared" si="26"/>
        <v/>
      </c>
      <c r="AN365" s="100" t="str">
        <f ca="1">IFERROR(__xludf.DUMMYFUNCTION("IFERROR(VLOOKUP(F388,IMPORTRANGE(""https://docs.google.com/spreadsheets/d/1Kvs4KS76FHFqLFIZfrDMff4kP08nblUkihrxltoGBjg/edit#gid=934712705"",""ESENCIAL!A6:BG""),2,FALSE))"),"")</f>
        <v/>
      </c>
      <c r="AO365" s="19" t="str">
        <f t="shared" si="20"/>
        <v/>
      </c>
      <c r="AP365" s="100"/>
      <c r="AQ365" s="100"/>
    </row>
    <row r="366" spans="1:43" ht="15">
      <c r="A366" s="101"/>
      <c r="B366" s="101"/>
      <c r="G366" s="5" t="str">
        <f ca="1">IFERROR(__xludf.DUMMYFUNCTION("IFERROR(VLOOKUP(F389,IMPORTRANGE(""https://docs.google.com/spreadsheets/d/1Kvs4KS76FHFqLFIZfrDMff4kP08nblUkihrxltoGBjg/edit#gid=934712705"",""ESENCIAL!A6:BG""),3,FALSE))"),"")</f>
        <v/>
      </c>
      <c r="H366" s="5" t="str">
        <f ca="1">IFERROR(__xludf.DUMMYFUNCTION("IFERROR(VLOOKUP(F389,IMPORTRANGE(""https://docs.google.com/spreadsheets/d/1Kvs4KS76FHFqLFIZfrDMff4kP08nblUkihrxltoGBjg/edit#gid=934712705"",""ESENCIAL!A6:BG""),8,FALSE))"),"")</f>
        <v/>
      </c>
      <c r="L366" s="287"/>
      <c r="Z366" s="41" t="str">
        <f t="shared" si="24"/>
        <v/>
      </c>
      <c r="AA366" s="5" t="str">
        <f ca="1">IFERROR(__xludf.DUMMYFUNCTION("IFERROR(VLOOKUP(E389&amp;F389,IMPORTRANGE(""https://docs.google.com/spreadsheets/d/1Uw7-A9f9R21vMXxHZFNpYNeKFtG8_yji4HS352LGlSQ/edit?pli=1#gid=0"",""1_ACUM!A4:S""),11,FALSE))"),"")</f>
        <v/>
      </c>
      <c r="AB366" s="42" t="str">
        <f ca="1">IFERROR(__xludf.DUMMYFUNCTION("IFERROR(VLOOKUP(F389,IMPORTRANGE(""https://docs.google.com/spreadsheets/d/1Kvs4KS76FHFqLFIZfrDMff4kP08nblUkihrxltoGBjg/edit#gid=934712705"",""ESENCIAL!A6:BG""),15,FALSE))"),"")</f>
        <v/>
      </c>
      <c r="AC366" s="110" t="str">
        <f ca="1">IFERROR(__xludf.DUMMYFUNCTION("IFERROR(VLOOKUP(E389&amp;F389,IMPORTRANGE(""https://docs.google.com/spreadsheets/d/1Uw7-A9f9R21vMXxHZFNpYNeKFtG8_yji4HS352LGlSQ/edit?pli=1#gid=0"",""1_ACUM!A4:S""),13,FALSE))"),"")</f>
        <v/>
      </c>
      <c r="AD366" s="43" t="str">
        <f ca="1">IFERROR(__xludf.DUMMYFUNCTION("IFERROR(VLOOKUP(E389&amp;F389,IMPORTRANGE(""https://docs.google.com/spreadsheets/d/1Uw7-A9f9R21vMXxHZFNpYNeKFtG8_yji4HS352LGlSQ/edit?pli=1#gid=0"",""1_ACUM!A4:S""),13,FALSE))"),"")</f>
        <v/>
      </c>
      <c r="AE366" s="43" t="str">
        <f ca="1">IFERROR(__xludf.DUMMYFUNCTION("IFERROR(VLOOKUP(E389&amp;F389,IMPORTRANGE(""https://docs.google.com/spreadsheets/d/1Uw7-A9f9R21vMXxHZFNpYNeKFtG8_yji4HS352LGlSQ/edit?pli=1#gid=0"",""1_ACUM!A4:S""),14,FALSE))"),"")</f>
        <v/>
      </c>
      <c r="AF366" s="43" t="str">
        <f ca="1">IFERROR(__xludf.DUMMYFUNCTION("IFERROR(VLOOKUP(E389&amp;F389,IMPORTRANGE(""https://docs.google.com/spreadsheets/d/1Uw7-A9f9R21vMXxHZFNpYNeKFtG8_yji4HS352LGlSQ/edit?pli=1#gid=0"",""1_ACUM!A4:S""),15,FALSE))"),"")</f>
        <v/>
      </c>
      <c r="AG366" s="43" t="str">
        <f ca="1">IFERROR(__xludf.DUMMYFUNCTION("IFERROR(VLOOKUP(E389&amp;F389,IMPORTRANGE(""https://docs.google.com/spreadsheets/d/1Uw7-A9f9R21vMXxHZFNpYNeKFtG8_yji4HS352LGlSQ/edit?pli=1#gid=0"",""1_ACUM!A4:S""),16,FALSE))"),"")</f>
        <v/>
      </c>
      <c r="AH366" s="43" t="str">
        <f ca="1">IFERROR(__xludf.DUMMYFUNCTION("IFERROR(VLOOKUP(E389&amp;F389,IMPORTRANGE(""https://docs.google.com/spreadsheets/d/1Uw7-A9f9R21vMXxHZFNpYNeKFtG8_yji4HS352LGlSQ/edit?pli=1#gid=0"",""1_ACUM!A4:S""),17,FALSE))"),"")</f>
        <v/>
      </c>
      <c r="AI366" s="44" t="str">
        <f ca="1">IFERROR(__xludf.DUMMYFUNCTION("IFERROR(VLOOKUP(E389&amp;F389,IMPORTRANGE(""https://docs.google.com/spreadsheets/d/1Uw7-A9f9R21vMXxHZFNpYNeKFtG8_yji4HS352LGlSQ/edit?pli=1#gid=0"",""1_ACUM!A4:S""),18,FALSE))"),"")</f>
        <v/>
      </c>
      <c r="AJ366" s="44" t="str">
        <f ca="1">IFERROR(__xludf.DUMMYFUNCTION("IFERROR(VLOOKUP(E389&amp;F389,IMPORTRANGE(""https://docs.google.com/spreadsheets/d/1Uw7-A9f9R21vMXxHZFNpYNeKFtG8_yji4HS352LGlSQ/edit?pli=1#gid=0"",""1_ACUM!A4:S""),19,FALSE))"),"")</f>
        <v/>
      </c>
      <c r="AK366" s="98" t="str">
        <f ca="1">IFERROR(__xludf.DUMMYFUNCTION("IFERROR(VLOOKUP(F389,IMPORTRANGE(""https://docs.google.com/spreadsheets/d/1Kvs4KS76FHFqLFIZfrDMff4kP08nblUkihrxltoGBjg/edit#gid=934712705"",""ESENCIAL!A6:BG""),5,FALSE))"),"")</f>
        <v/>
      </c>
      <c r="AL366" s="98" t="str">
        <f t="shared" si="25"/>
        <v/>
      </c>
      <c r="AM366" s="99" t="str">
        <f t="shared" si="26"/>
        <v/>
      </c>
      <c r="AN366" s="100" t="str">
        <f ca="1">IFERROR(__xludf.DUMMYFUNCTION("IFERROR(VLOOKUP(F389,IMPORTRANGE(""https://docs.google.com/spreadsheets/d/1Kvs4KS76FHFqLFIZfrDMff4kP08nblUkihrxltoGBjg/edit#gid=934712705"",""ESENCIAL!A6:BG""),2,FALSE))"),"")</f>
        <v/>
      </c>
      <c r="AO366" s="19" t="str">
        <f t="shared" si="20"/>
        <v/>
      </c>
      <c r="AP366" s="100"/>
      <c r="AQ366" s="100"/>
    </row>
    <row r="367" spans="1:43" ht="15">
      <c r="A367" s="101"/>
      <c r="B367" s="101"/>
      <c r="G367" s="5" t="str">
        <f ca="1">IFERROR(__xludf.DUMMYFUNCTION("IFERROR(VLOOKUP(F390,IMPORTRANGE(""https://docs.google.com/spreadsheets/d/1Kvs4KS76FHFqLFIZfrDMff4kP08nblUkihrxltoGBjg/edit#gid=934712705"",""ESENCIAL!A6:BG""),3,FALSE))"),"")</f>
        <v/>
      </c>
      <c r="H367" s="5" t="str">
        <f ca="1">IFERROR(__xludf.DUMMYFUNCTION("IFERROR(VLOOKUP(F390,IMPORTRANGE(""https://docs.google.com/spreadsheets/d/1Kvs4KS76FHFqLFIZfrDMff4kP08nblUkihrxltoGBjg/edit#gid=934712705"",""ESENCIAL!A6:BG""),8,FALSE))"),"")</f>
        <v/>
      </c>
      <c r="L367" s="287"/>
      <c r="Z367" s="41" t="str">
        <f t="shared" si="24"/>
        <v/>
      </c>
      <c r="AA367" s="5" t="str">
        <f ca="1">IFERROR(__xludf.DUMMYFUNCTION("IFERROR(VLOOKUP(E390&amp;F390,IMPORTRANGE(""https://docs.google.com/spreadsheets/d/1Uw7-A9f9R21vMXxHZFNpYNeKFtG8_yji4HS352LGlSQ/edit?pli=1#gid=0"",""1_ACUM!A4:S""),11,FALSE))"),"")</f>
        <v/>
      </c>
      <c r="AB367" s="42" t="str">
        <f ca="1">IFERROR(__xludf.DUMMYFUNCTION("IFERROR(VLOOKUP(F390,IMPORTRANGE(""https://docs.google.com/spreadsheets/d/1Kvs4KS76FHFqLFIZfrDMff4kP08nblUkihrxltoGBjg/edit#gid=934712705"",""ESENCIAL!A6:BG""),15,FALSE))"),"")</f>
        <v/>
      </c>
      <c r="AC367" s="110" t="str">
        <f ca="1">IFERROR(__xludf.DUMMYFUNCTION("IFERROR(VLOOKUP(E390&amp;F390,IMPORTRANGE(""https://docs.google.com/spreadsheets/d/1Uw7-A9f9R21vMXxHZFNpYNeKFtG8_yji4HS352LGlSQ/edit?pli=1#gid=0"",""1_ACUM!A4:S""),13,FALSE))"),"")</f>
        <v/>
      </c>
      <c r="AD367" s="43" t="str">
        <f ca="1">IFERROR(__xludf.DUMMYFUNCTION("IFERROR(VLOOKUP(E390&amp;F390,IMPORTRANGE(""https://docs.google.com/spreadsheets/d/1Uw7-A9f9R21vMXxHZFNpYNeKFtG8_yji4HS352LGlSQ/edit?pli=1#gid=0"",""1_ACUM!A4:S""),13,FALSE))"),"")</f>
        <v/>
      </c>
      <c r="AE367" s="43" t="str">
        <f ca="1">IFERROR(__xludf.DUMMYFUNCTION("IFERROR(VLOOKUP(E390&amp;F390,IMPORTRANGE(""https://docs.google.com/spreadsheets/d/1Uw7-A9f9R21vMXxHZFNpYNeKFtG8_yji4HS352LGlSQ/edit?pli=1#gid=0"",""1_ACUM!A4:S""),14,FALSE))"),"")</f>
        <v/>
      </c>
      <c r="AF367" s="43" t="str">
        <f ca="1">IFERROR(__xludf.DUMMYFUNCTION("IFERROR(VLOOKUP(E390&amp;F390,IMPORTRANGE(""https://docs.google.com/spreadsheets/d/1Uw7-A9f9R21vMXxHZFNpYNeKFtG8_yji4HS352LGlSQ/edit?pli=1#gid=0"",""1_ACUM!A4:S""),15,FALSE))"),"")</f>
        <v/>
      </c>
      <c r="AG367" s="43" t="str">
        <f ca="1">IFERROR(__xludf.DUMMYFUNCTION("IFERROR(VLOOKUP(E390&amp;F390,IMPORTRANGE(""https://docs.google.com/spreadsheets/d/1Uw7-A9f9R21vMXxHZFNpYNeKFtG8_yji4HS352LGlSQ/edit?pli=1#gid=0"",""1_ACUM!A4:S""),16,FALSE))"),"")</f>
        <v/>
      </c>
      <c r="AH367" s="43" t="str">
        <f ca="1">IFERROR(__xludf.DUMMYFUNCTION("IFERROR(VLOOKUP(E390&amp;F390,IMPORTRANGE(""https://docs.google.com/spreadsheets/d/1Uw7-A9f9R21vMXxHZFNpYNeKFtG8_yji4HS352LGlSQ/edit?pli=1#gid=0"",""1_ACUM!A4:S""),17,FALSE))"),"")</f>
        <v/>
      </c>
      <c r="AI367" s="44" t="str">
        <f ca="1">IFERROR(__xludf.DUMMYFUNCTION("IFERROR(VLOOKUP(E390&amp;F390,IMPORTRANGE(""https://docs.google.com/spreadsheets/d/1Uw7-A9f9R21vMXxHZFNpYNeKFtG8_yji4HS352LGlSQ/edit?pli=1#gid=0"",""1_ACUM!A4:S""),18,FALSE))"),"")</f>
        <v/>
      </c>
      <c r="AJ367" s="44" t="str">
        <f ca="1">IFERROR(__xludf.DUMMYFUNCTION("IFERROR(VLOOKUP(E390&amp;F390,IMPORTRANGE(""https://docs.google.com/spreadsheets/d/1Uw7-A9f9R21vMXxHZFNpYNeKFtG8_yji4HS352LGlSQ/edit?pli=1#gid=0"",""1_ACUM!A4:S""),19,FALSE))"),"")</f>
        <v/>
      </c>
      <c r="AK367" s="98" t="str">
        <f ca="1">IFERROR(__xludf.DUMMYFUNCTION("IFERROR(VLOOKUP(F390,IMPORTRANGE(""https://docs.google.com/spreadsheets/d/1Kvs4KS76FHFqLFIZfrDMff4kP08nblUkihrxltoGBjg/edit#gid=934712705"",""ESENCIAL!A6:BG""),5,FALSE))"),"")</f>
        <v/>
      </c>
      <c r="AL367" s="98" t="str">
        <f t="shared" si="25"/>
        <v/>
      </c>
      <c r="AM367" s="99" t="str">
        <f t="shared" si="26"/>
        <v/>
      </c>
      <c r="AN367" s="100" t="str">
        <f ca="1">IFERROR(__xludf.DUMMYFUNCTION("IFERROR(VLOOKUP(F390,IMPORTRANGE(""https://docs.google.com/spreadsheets/d/1Kvs4KS76FHFqLFIZfrDMff4kP08nblUkihrxltoGBjg/edit#gid=934712705"",""ESENCIAL!A6:BG""),2,FALSE))"),"")</f>
        <v/>
      </c>
      <c r="AO367" s="19" t="str">
        <f t="shared" si="20"/>
        <v/>
      </c>
      <c r="AP367" s="100"/>
      <c r="AQ367" s="100"/>
    </row>
    <row r="368" spans="1:43" ht="15">
      <c r="A368" s="101"/>
      <c r="B368" s="101"/>
      <c r="G368" s="5" t="str">
        <f ca="1">IFERROR(__xludf.DUMMYFUNCTION("IFERROR(VLOOKUP(F391,IMPORTRANGE(""https://docs.google.com/spreadsheets/d/1Kvs4KS76FHFqLFIZfrDMff4kP08nblUkihrxltoGBjg/edit#gid=934712705"",""ESENCIAL!A6:BG""),3,FALSE))"),"")</f>
        <v/>
      </c>
      <c r="H368" s="5" t="str">
        <f ca="1">IFERROR(__xludf.DUMMYFUNCTION("IFERROR(VLOOKUP(F391,IMPORTRANGE(""https://docs.google.com/spreadsheets/d/1Kvs4KS76FHFqLFIZfrDMff4kP08nblUkihrxltoGBjg/edit#gid=934712705"",""ESENCIAL!A6:BG""),8,FALSE))"),"")</f>
        <v/>
      </c>
      <c r="L368" s="287"/>
      <c r="Z368" s="41" t="str">
        <f t="shared" si="24"/>
        <v/>
      </c>
      <c r="AA368" s="5" t="str">
        <f ca="1">IFERROR(__xludf.DUMMYFUNCTION("IFERROR(VLOOKUP(E391&amp;F391,IMPORTRANGE(""https://docs.google.com/spreadsheets/d/1Uw7-A9f9R21vMXxHZFNpYNeKFtG8_yji4HS352LGlSQ/edit?pli=1#gid=0"",""1_ACUM!A4:S""),11,FALSE))"),"")</f>
        <v/>
      </c>
      <c r="AB368" s="42" t="str">
        <f ca="1">IFERROR(__xludf.DUMMYFUNCTION("IFERROR(VLOOKUP(F391,IMPORTRANGE(""https://docs.google.com/spreadsheets/d/1Kvs4KS76FHFqLFIZfrDMff4kP08nblUkihrxltoGBjg/edit#gid=934712705"",""ESENCIAL!A6:BG""),15,FALSE))"),"")</f>
        <v/>
      </c>
      <c r="AC368" s="110" t="str">
        <f ca="1">IFERROR(__xludf.DUMMYFUNCTION("IFERROR(VLOOKUP(E391&amp;F391,IMPORTRANGE(""https://docs.google.com/spreadsheets/d/1Uw7-A9f9R21vMXxHZFNpYNeKFtG8_yji4HS352LGlSQ/edit?pli=1#gid=0"",""1_ACUM!A4:S""),13,FALSE))"),"")</f>
        <v/>
      </c>
      <c r="AD368" s="43" t="str">
        <f ca="1">IFERROR(__xludf.DUMMYFUNCTION("IFERROR(VLOOKUP(E391&amp;F391,IMPORTRANGE(""https://docs.google.com/spreadsheets/d/1Uw7-A9f9R21vMXxHZFNpYNeKFtG8_yji4HS352LGlSQ/edit?pli=1#gid=0"",""1_ACUM!A4:S""),13,FALSE))"),"")</f>
        <v/>
      </c>
      <c r="AE368" s="43" t="str">
        <f ca="1">IFERROR(__xludf.DUMMYFUNCTION("IFERROR(VLOOKUP(E391&amp;F391,IMPORTRANGE(""https://docs.google.com/spreadsheets/d/1Uw7-A9f9R21vMXxHZFNpYNeKFtG8_yji4HS352LGlSQ/edit?pli=1#gid=0"",""1_ACUM!A4:S""),14,FALSE))"),"")</f>
        <v/>
      </c>
      <c r="AF368" s="43" t="str">
        <f ca="1">IFERROR(__xludf.DUMMYFUNCTION("IFERROR(VLOOKUP(E391&amp;F391,IMPORTRANGE(""https://docs.google.com/spreadsheets/d/1Uw7-A9f9R21vMXxHZFNpYNeKFtG8_yji4HS352LGlSQ/edit?pli=1#gid=0"",""1_ACUM!A4:S""),15,FALSE))"),"")</f>
        <v/>
      </c>
      <c r="AG368" s="43" t="str">
        <f ca="1">IFERROR(__xludf.DUMMYFUNCTION("IFERROR(VLOOKUP(E391&amp;F391,IMPORTRANGE(""https://docs.google.com/spreadsheets/d/1Uw7-A9f9R21vMXxHZFNpYNeKFtG8_yji4HS352LGlSQ/edit?pli=1#gid=0"",""1_ACUM!A4:S""),16,FALSE))"),"")</f>
        <v/>
      </c>
      <c r="AH368" s="43" t="str">
        <f ca="1">IFERROR(__xludf.DUMMYFUNCTION("IFERROR(VLOOKUP(E391&amp;F391,IMPORTRANGE(""https://docs.google.com/spreadsheets/d/1Uw7-A9f9R21vMXxHZFNpYNeKFtG8_yji4HS352LGlSQ/edit?pli=1#gid=0"",""1_ACUM!A4:S""),17,FALSE))"),"")</f>
        <v/>
      </c>
      <c r="AI368" s="44" t="str">
        <f ca="1">IFERROR(__xludf.DUMMYFUNCTION("IFERROR(VLOOKUP(E391&amp;F391,IMPORTRANGE(""https://docs.google.com/spreadsheets/d/1Uw7-A9f9R21vMXxHZFNpYNeKFtG8_yji4HS352LGlSQ/edit?pli=1#gid=0"",""1_ACUM!A4:S""),18,FALSE))"),"")</f>
        <v/>
      </c>
      <c r="AJ368" s="44" t="str">
        <f ca="1">IFERROR(__xludf.DUMMYFUNCTION("IFERROR(VLOOKUP(E391&amp;F391,IMPORTRANGE(""https://docs.google.com/spreadsheets/d/1Uw7-A9f9R21vMXxHZFNpYNeKFtG8_yji4HS352LGlSQ/edit?pli=1#gid=0"",""1_ACUM!A4:S""),19,FALSE))"),"")</f>
        <v/>
      </c>
      <c r="AK368" s="98" t="str">
        <f ca="1">IFERROR(__xludf.DUMMYFUNCTION("IFERROR(VLOOKUP(F391,IMPORTRANGE(""https://docs.google.com/spreadsheets/d/1Kvs4KS76FHFqLFIZfrDMff4kP08nblUkihrxltoGBjg/edit#gid=934712705"",""ESENCIAL!A6:BG""),5,FALSE))"),"")</f>
        <v/>
      </c>
      <c r="AL368" s="98" t="str">
        <f t="shared" si="25"/>
        <v/>
      </c>
      <c r="AM368" s="99" t="str">
        <f t="shared" si="26"/>
        <v/>
      </c>
      <c r="AN368" s="100" t="str">
        <f ca="1">IFERROR(__xludf.DUMMYFUNCTION("IFERROR(VLOOKUP(F391,IMPORTRANGE(""https://docs.google.com/spreadsheets/d/1Kvs4KS76FHFqLFIZfrDMff4kP08nblUkihrxltoGBjg/edit#gid=934712705"",""ESENCIAL!A6:BG""),2,FALSE))"),"")</f>
        <v/>
      </c>
      <c r="AO368" s="19" t="str">
        <f t="shared" si="20"/>
        <v/>
      </c>
      <c r="AP368" s="100"/>
      <c r="AQ368" s="100"/>
    </row>
    <row r="369" spans="1:43" ht="15">
      <c r="A369" s="101"/>
      <c r="B369" s="101"/>
      <c r="G369" s="5" t="str">
        <f ca="1">IFERROR(__xludf.DUMMYFUNCTION("IFERROR(VLOOKUP(F392,IMPORTRANGE(""https://docs.google.com/spreadsheets/d/1Kvs4KS76FHFqLFIZfrDMff4kP08nblUkihrxltoGBjg/edit#gid=934712705"",""ESENCIAL!A6:BG""),3,FALSE))"),"")</f>
        <v/>
      </c>
      <c r="H369" s="5" t="str">
        <f ca="1">IFERROR(__xludf.DUMMYFUNCTION("IFERROR(VLOOKUP(F392,IMPORTRANGE(""https://docs.google.com/spreadsheets/d/1Kvs4KS76FHFqLFIZfrDMff4kP08nblUkihrxltoGBjg/edit#gid=934712705"",""ESENCIAL!A6:BG""),8,FALSE))"),"")</f>
        <v/>
      </c>
      <c r="L369" s="287"/>
      <c r="Z369" s="41" t="str">
        <f t="shared" si="24"/>
        <v/>
      </c>
      <c r="AA369" s="5" t="str">
        <f ca="1">IFERROR(__xludf.DUMMYFUNCTION("IFERROR(VLOOKUP(E392&amp;F392,IMPORTRANGE(""https://docs.google.com/spreadsheets/d/1Uw7-A9f9R21vMXxHZFNpYNeKFtG8_yji4HS352LGlSQ/edit?pli=1#gid=0"",""1_ACUM!A4:S""),11,FALSE))"),"")</f>
        <v/>
      </c>
      <c r="AB369" s="42" t="str">
        <f ca="1">IFERROR(__xludf.DUMMYFUNCTION("IFERROR(VLOOKUP(F392,IMPORTRANGE(""https://docs.google.com/spreadsheets/d/1Kvs4KS76FHFqLFIZfrDMff4kP08nblUkihrxltoGBjg/edit#gid=934712705"",""ESENCIAL!A6:BG""),15,FALSE))"),"")</f>
        <v/>
      </c>
      <c r="AC369" s="110" t="str">
        <f ca="1">IFERROR(__xludf.DUMMYFUNCTION("IFERROR(VLOOKUP(E392&amp;F392,IMPORTRANGE(""https://docs.google.com/spreadsheets/d/1Uw7-A9f9R21vMXxHZFNpYNeKFtG8_yji4HS352LGlSQ/edit?pli=1#gid=0"",""1_ACUM!A4:S""),13,FALSE))"),"")</f>
        <v/>
      </c>
      <c r="AD369" s="43" t="str">
        <f ca="1">IFERROR(__xludf.DUMMYFUNCTION("IFERROR(VLOOKUP(E392&amp;F392,IMPORTRANGE(""https://docs.google.com/spreadsheets/d/1Uw7-A9f9R21vMXxHZFNpYNeKFtG8_yji4HS352LGlSQ/edit?pli=1#gid=0"",""1_ACUM!A4:S""),13,FALSE))"),"")</f>
        <v/>
      </c>
      <c r="AE369" s="43" t="str">
        <f ca="1">IFERROR(__xludf.DUMMYFUNCTION("IFERROR(VLOOKUP(E392&amp;F392,IMPORTRANGE(""https://docs.google.com/spreadsheets/d/1Uw7-A9f9R21vMXxHZFNpYNeKFtG8_yji4HS352LGlSQ/edit?pli=1#gid=0"",""1_ACUM!A4:S""),14,FALSE))"),"")</f>
        <v/>
      </c>
      <c r="AF369" s="43" t="str">
        <f ca="1">IFERROR(__xludf.DUMMYFUNCTION("IFERROR(VLOOKUP(E392&amp;F392,IMPORTRANGE(""https://docs.google.com/spreadsheets/d/1Uw7-A9f9R21vMXxHZFNpYNeKFtG8_yji4HS352LGlSQ/edit?pli=1#gid=0"",""1_ACUM!A4:S""),15,FALSE))"),"")</f>
        <v/>
      </c>
      <c r="AG369" s="43" t="str">
        <f ca="1">IFERROR(__xludf.DUMMYFUNCTION("IFERROR(VLOOKUP(E392&amp;F392,IMPORTRANGE(""https://docs.google.com/spreadsheets/d/1Uw7-A9f9R21vMXxHZFNpYNeKFtG8_yji4HS352LGlSQ/edit?pli=1#gid=0"",""1_ACUM!A4:S""),16,FALSE))"),"")</f>
        <v/>
      </c>
      <c r="AH369" s="43" t="str">
        <f ca="1">IFERROR(__xludf.DUMMYFUNCTION("IFERROR(VLOOKUP(E392&amp;F392,IMPORTRANGE(""https://docs.google.com/spreadsheets/d/1Uw7-A9f9R21vMXxHZFNpYNeKFtG8_yji4HS352LGlSQ/edit?pli=1#gid=0"",""1_ACUM!A4:S""),17,FALSE))"),"")</f>
        <v/>
      </c>
      <c r="AI369" s="44" t="str">
        <f ca="1">IFERROR(__xludf.DUMMYFUNCTION("IFERROR(VLOOKUP(E392&amp;F392,IMPORTRANGE(""https://docs.google.com/spreadsheets/d/1Uw7-A9f9R21vMXxHZFNpYNeKFtG8_yji4HS352LGlSQ/edit?pli=1#gid=0"",""1_ACUM!A4:S""),18,FALSE))"),"")</f>
        <v/>
      </c>
      <c r="AJ369" s="44" t="str">
        <f ca="1">IFERROR(__xludf.DUMMYFUNCTION("IFERROR(VLOOKUP(E392&amp;F392,IMPORTRANGE(""https://docs.google.com/spreadsheets/d/1Uw7-A9f9R21vMXxHZFNpYNeKFtG8_yji4HS352LGlSQ/edit?pli=1#gid=0"",""1_ACUM!A4:S""),19,FALSE))"),"")</f>
        <v/>
      </c>
      <c r="AK369" s="98" t="str">
        <f ca="1">IFERROR(__xludf.DUMMYFUNCTION("IFERROR(VLOOKUP(F392,IMPORTRANGE(""https://docs.google.com/spreadsheets/d/1Kvs4KS76FHFqLFIZfrDMff4kP08nblUkihrxltoGBjg/edit#gid=934712705"",""ESENCIAL!A6:BG""),5,FALSE))"),"")</f>
        <v/>
      </c>
      <c r="AL369" s="98" t="str">
        <f t="shared" si="25"/>
        <v/>
      </c>
      <c r="AM369" s="99" t="str">
        <f t="shared" si="26"/>
        <v/>
      </c>
      <c r="AN369" s="100" t="str">
        <f ca="1">IFERROR(__xludf.DUMMYFUNCTION("IFERROR(VLOOKUP(F392,IMPORTRANGE(""https://docs.google.com/spreadsheets/d/1Kvs4KS76FHFqLFIZfrDMff4kP08nblUkihrxltoGBjg/edit#gid=934712705"",""ESENCIAL!A6:BG""),2,FALSE))"),"")</f>
        <v/>
      </c>
      <c r="AO369" s="19" t="str">
        <f t="shared" si="20"/>
        <v/>
      </c>
      <c r="AP369" s="100"/>
      <c r="AQ369" s="100"/>
    </row>
    <row r="370" spans="1:43" ht="15">
      <c r="A370" s="101"/>
      <c r="B370" s="5"/>
      <c r="G370" s="5" t="str">
        <f ca="1">IFERROR(__xludf.DUMMYFUNCTION("IFERROR(VLOOKUP(F393,IMPORTRANGE(""https://docs.google.com/spreadsheets/d/1Kvs4KS76FHFqLFIZfrDMff4kP08nblUkihrxltoGBjg/edit#gid=934712705"",""ESENCIAL!A6:BG""),3,FALSE))"),"")</f>
        <v/>
      </c>
      <c r="H370" s="5" t="str">
        <f ca="1">IFERROR(__xludf.DUMMYFUNCTION("IFERROR(VLOOKUP(F393,IMPORTRANGE(""https://docs.google.com/spreadsheets/d/1Kvs4KS76FHFqLFIZfrDMff4kP08nblUkihrxltoGBjg/edit#gid=934712705"",""ESENCIAL!A6:BG""),8,FALSE))"),"")</f>
        <v/>
      </c>
      <c r="L370" s="287"/>
      <c r="Z370" s="41" t="str">
        <f t="shared" si="24"/>
        <v/>
      </c>
      <c r="AA370" s="5" t="str">
        <f ca="1">IFERROR(__xludf.DUMMYFUNCTION("IFERROR(VLOOKUP(E393&amp;F393,IMPORTRANGE(""https://docs.google.com/spreadsheets/d/1Uw7-A9f9R21vMXxHZFNpYNeKFtG8_yji4HS352LGlSQ/edit?pli=1#gid=0"",""1_ACUM!A4:S""),11,FALSE))"),"")</f>
        <v/>
      </c>
      <c r="AB370" s="42" t="str">
        <f ca="1">IFERROR(__xludf.DUMMYFUNCTION("IFERROR(VLOOKUP(F393,IMPORTRANGE(""https://docs.google.com/spreadsheets/d/1Kvs4KS76FHFqLFIZfrDMff4kP08nblUkihrxltoGBjg/edit#gid=934712705"",""ESENCIAL!A6:BG""),15,FALSE))"),"")</f>
        <v/>
      </c>
      <c r="AC370" s="110" t="str">
        <f ca="1">IFERROR(__xludf.DUMMYFUNCTION("IFERROR(VLOOKUP(E393&amp;F393,IMPORTRANGE(""https://docs.google.com/spreadsheets/d/1Uw7-A9f9R21vMXxHZFNpYNeKFtG8_yji4HS352LGlSQ/edit?pli=1#gid=0"",""1_ACUM!A4:S""),13,FALSE))"),"")</f>
        <v/>
      </c>
      <c r="AD370" s="43" t="str">
        <f ca="1">IFERROR(__xludf.DUMMYFUNCTION("IFERROR(VLOOKUP(E393&amp;F393,IMPORTRANGE(""https://docs.google.com/spreadsheets/d/1Uw7-A9f9R21vMXxHZFNpYNeKFtG8_yji4HS352LGlSQ/edit?pli=1#gid=0"",""1_ACUM!A4:S""),13,FALSE))"),"")</f>
        <v/>
      </c>
      <c r="AE370" s="43" t="str">
        <f ca="1">IFERROR(__xludf.DUMMYFUNCTION("IFERROR(VLOOKUP(E393&amp;F393,IMPORTRANGE(""https://docs.google.com/spreadsheets/d/1Uw7-A9f9R21vMXxHZFNpYNeKFtG8_yji4HS352LGlSQ/edit?pli=1#gid=0"",""1_ACUM!A4:S""),14,FALSE))"),"")</f>
        <v/>
      </c>
      <c r="AF370" s="43" t="str">
        <f ca="1">IFERROR(__xludf.DUMMYFUNCTION("IFERROR(VLOOKUP(E393&amp;F393,IMPORTRANGE(""https://docs.google.com/spreadsheets/d/1Uw7-A9f9R21vMXxHZFNpYNeKFtG8_yji4HS352LGlSQ/edit?pli=1#gid=0"",""1_ACUM!A4:S""),15,FALSE))"),"")</f>
        <v/>
      </c>
      <c r="AG370" s="43" t="str">
        <f ca="1">IFERROR(__xludf.DUMMYFUNCTION("IFERROR(VLOOKUP(E393&amp;F393,IMPORTRANGE(""https://docs.google.com/spreadsheets/d/1Uw7-A9f9R21vMXxHZFNpYNeKFtG8_yji4HS352LGlSQ/edit?pli=1#gid=0"",""1_ACUM!A4:S""),16,FALSE))"),"")</f>
        <v/>
      </c>
      <c r="AH370" s="43" t="str">
        <f ca="1">IFERROR(__xludf.DUMMYFUNCTION("IFERROR(VLOOKUP(E393&amp;F393,IMPORTRANGE(""https://docs.google.com/spreadsheets/d/1Uw7-A9f9R21vMXxHZFNpYNeKFtG8_yji4HS352LGlSQ/edit?pli=1#gid=0"",""1_ACUM!A4:S""),17,FALSE))"),"")</f>
        <v/>
      </c>
      <c r="AI370" s="44" t="str">
        <f ca="1">IFERROR(__xludf.DUMMYFUNCTION("IFERROR(VLOOKUP(E393&amp;F393,IMPORTRANGE(""https://docs.google.com/spreadsheets/d/1Uw7-A9f9R21vMXxHZFNpYNeKFtG8_yji4HS352LGlSQ/edit?pli=1#gid=0"",""1_ACUM!A4:S""),18,FALSE))"),"")</f>
        <v/>
      </c>
      <c r="AJ370" s="44" t="str">
        <f ca="1">IFERROR(__xludf.DUMMYFUNCTION("IFERROR(VLOOKUP(E393&amp;F393,IMPORTRANGE(""https://docs.google.com/spreadsheets/d/1Uw7-A9f9R21vMXxHZFNpYNeKFtG8_yji4HS352LGlSQ/edit?pli=1#gid=0"",""1_ACUM!A4:S""),19,FALSE))"),"")</f>
        <v/>
      </c>
      <c r="AK370" s="98" t="str">
        <f ca="1">IFERROR(__xludf.DUMMYFUNCTION("IFERROR(VLOOKUP(F393,IMPORTRANGE(""https://docs.google.com/spreadsheets/d/1Kvs4KS76FHFqLFIZfrDMff4kP08nblUkihrxltoGBjg/edit#gid=934712705"",""ESENCIAL!A6:BG""),5,FALSE))"),"")</f>
        <v/>
      </c>
      <c r="AL370" s="98" t="str">
        <f t="shared" si="25"/>
        <v/>
      </c>
      <c r="AM370" s="99" t="str">
        <f t="shared" si="26"/>
        <v/>
      </c>
      <c r="AN370" s="100" t="str">
        <f ca="1">IFERROR(__xludf.DUMMYFUNCTION("IFERROR(VLOOKUP(F393,IMPORTRANGE(""https://docs.google.com/spreadsheets/d/1Kvs4KS76FHFqLFIZfrDMff4kP08nblUkihrxltoGBjg/edit#gid=934712705"",""ESENCIAL!A6:BG""),2,FALSE))"),"")</f>
        <v/>
      </c>
      <c r="AO370" s="19" t="str">
        <f t="shared" si="20"/>
        <v/>
      </c>
      <c r="AP370" s="100"/>
      <c r="AQ370" s="100"/>
    </row>
    <row r="371" spans="1:43" ht="15">
      <c r="A371" s="101"/>
      <c r="B371" s="101"/>
      <c r="G371" s="5" t="str">
        <f ca="1">IFERROR(__xludf.DUMMYFUNCTION("IFERROR(VLOOKUP(F394,IMPORTRANGE(""https://docs.google.com/spreadsheets/d/1Kvs4KS76FHFqLFIZfrDMff4kP08nblUkihrxltoGBjg/edit#gid=934712705"",""ESENCIAL!A6:BG""),3,FALSE))"),"")</f>
        <v/>
      </c>
      <c r="H371" s="5" t="str">
        <f ca="1">IFERROR(__xludf.DUMMYFUNCTION("IFERROR(VLOOKUP(F394,IMPORTRANGE(""https://docs.google.com/spreadsheets/d/1Kvs4KS76FHFqLFIZfrDMff4kP08nblUkihrxltoGBjg/edit#gid=934712705"",""ESENCIAL!A6:BG""),8,FALSE))"),"")</f>
        <v/>
      </c>
      <c r="L371" s="287"/>
      <c r="Z371" s="41" t="str">
        <f t="shared" si="24"/>
        <v/>
      </c>
      <c r="AA371" s="5" t="str">
        <f ca="1">IFERROR(__xludf.DUMMYFUNCTION("IFERROR(VLOOKUP(E394&amp;F394,IMPORTRANGE(""https://docs.google.com/spreadsheets/d/1Uw7-A9f9R21vMXxHZFNpYNeKFtG8_yji4HS352LGlSQ/edit?pli=1#gid=0"",""1_ACUM!A4:S""),11,FALSE))"),"")</f>
        <v/>
      </c>
      <c r="AB371" s="42" t="str">
        <f ca="1">IFERROR(__xludf.DUMMYFUNCTION("IFERROR(VLOOKUP(F394,IMPORTRANGE(""https://docs.google.com/spreadsheets/d/1Kvs4KS76FHFqLFIZfrDMff4kP08nblUkihrxltoGBjg/edit#gid=934712705"",""ESENCIAL!A6:BG""),15,FALSE))"),"")</f>
        <v/>
      </c>
      <c r="AC371" s="110" t="str">
        <f ca="1">IFERROR(__xludf.DUMMYFUNCTION("IFERROR(VLOOKUP(E394&amp;F394,IMPORTRANGE(""https://docs.google.com/spreadsheets/d/1Uw7-A9f9R21vMXxHZFNpYNeKFtG8_yji4HS352LGlSQ/edit?pli=1#gid=0"",""1_ACUM!A4:S""),13,FALSE))"),"")</f>
        <v/>
      </c>
      <c r="AD371" s="43" t="str">
        <f ca="1">IFERROR(__xludf.DUMMYFUNCTION("IFERROR(VLOOKUP(E394&amp;F394,IMPORTRANGE(""https://docs.google.com/spreadsheets/d/1Uw7-A9f9R21vMXxHZFNpYNeKFtG8_yji4HS352LGlSQ/edit?pli=1#gid=0"",""1_ACUM!A4:S""),13,FALSE))"),"")</f>
        <v/>
      </c>
      <c r="AE371" s="43" t="str">
        <f ca="1">IFERROR(__xludf.DUMMYFUNCTION("IFERROR(VLOOKUP(E394&amp;F394,IMPORTRANGE(""https://docs.google.com/spreadsheets/d/1Uw7-A9f9R21vMXxHZFNpYNeKFtG8_yji4HS352LGlSQ/edit?pli=1#gid=0"",""1_ACUM!A4:S""),14,FALSE))"),"")</f>
        <v/>
      </c>
      <c r="AF371" s="43" t="str">
        <f ca="1">IFERROR(__xludf.DUMMYFUNCTION("IFERROR(VLOOKUP(E394&amp;F394,IMPORTRANGE(""https://docs.google.com/spreadsheets/d/1Uw7-A9f9R21vMXxHZFNpYNeKFtG8_yji4HS352LGlSQ/edit?pli=1#gid=0"",""1_ACUM!A4:S""),15,FALSE))"),"")</f>
        <v/>
      </c>
      <c r="AG371" s="43" t="str">
        <f ca="1">IFERROR(__xludf.DUMMYFUNCTION("IFERROR(VLOOKUP(E394&amp;F394,IMPORTRANGE(""https://docs.google.com/spreadsheets/d/1Uw7-A9f9R21vMXxHZFNpYNeKFtG8_yji4HS352LGlSQ/edit?pli=1#gid=0"",""1_ACUM!A4:S""),16,FALSE))"),"")</f>
        <v/>
      </c>
      <c r="AH371" s="43" t="str">
        <f ca="1">IFERROR(__xludf.DUMMYFUNCTION("IFERROR(VLOOKUP(E394&amp;F394,IMPORTRANGE(""https://docs.google.com/spreadsheets/d/1Uw7-A9f9R21vMXxHZFNpYNeKFtG8_yji4HS352LGlSQ/edit?pli=1#gid=0"",""1_ACUM!A4:S""),17,FALSE))"),"")</f>
        <v/>
      </c>
      <c r="AI371" s="44" t="str">
        <f ca="1">IFERROR(__xludf.DUMMYFUNCTION("IFERROR(VLOOKUP(E394&amp;F394,IMPORTRANGE(""https://docs.google.com/spreadsheets/d/1Uw7-A9f9R21vMXxHZFNpYNeKFtG8_yji4HS352LGlSQ/edit?pli=1#gid=0"",""1_ACUM!A4:S""),18,FALSE))"),"")</f>
        <v/>
      </c>
      <c r="AJ371" s="44" t="str">
        <f ca="1">IFERROR(__xludf.DUMMYFUNCTION("IFERROR(VLOOKUP(E394&amp;F394,IMPORTRANGE(""https://docs.google.com/spreadsheets/d/1Uw7-A9f9R21vMXxHZFNpYNeKFtG8_yji4HS352LGlSQ/edit?pli=1#gid=0"",""1_ACUM!A4:S""),19,FALSE))"),"")</f>
        <v/>
      </c>
      <c r="AK371" s="98" t="str">
        <f ca="1">IFERROR(__xludf.DUMMYFUNCTION("IFERROR(VLOOKUP(F394,IMPORTRANGE(""https://docs.google.com/spreadsheets/d/1Kvs4KS76FHFqLFIZfrDMff4kP08nblUkihrxltoGBjg/edit#gid=934712705"",""ESENCIAL!A6:BG""),5,FALSE))"),"")</f>
        <v/>
      </c>
      <c r="AL371" s="98" t="str">
        <f t="shared" si="25"/>
        <v/>
      </c>
      <c r="AM371" s="99" t="str">
        <f t="shared" si="26"/>
        <v/>
      </c>
      <c r="AN371" s="100" t="str">
        <f ca="1">IFERROR(__xludf.DUMMYFUNCTION("IFERROR(VLOOKUP(F394,IMPORTRANGE(""https://docs.google.com/spreadsheets/d/1Kvs4KS76FHFqLFIZfrDMff4kP08nblUkihrxltoGBjg/edit#gid=934712705"",""ESENCIAL!A6:BG""),2,FALSE))"),"")</f>
        <v/>
      </c>
      <c r="AO371" s="19" t="str">
        <f t="shared" si="20"/>
        <v/>
      </c>
      <c r="AP371" s="100"/>
      <c r="AQ371" s="100"/>
    </row>
    <row r="372" spans="1:43" ht="15">
      <c r="A372" s="101"/>
      <c r="B372" s="101"/>
      <c r="G372" s="5" t="str">
        <f ca="1">IFERROR(__xludf.DUMMYFUNCTION("IFERROR(VLOOKUP(F395,IMPORTRANGE(""https://docs.google.com/spreadsheets/d/1Kvs4KS76FHFqLFIZfrDMff4kP08nblUkihrxltoGBjg/edit#gid=934712705"",""ESENCIAL!A6:BG""),3,FALSE))"),"")</f>
        <v/>
      </c>
      <c r="H372" s="5" t="str">
        <f ca="1">IFERROR(__xludf.DUMMYFUNCTION("IFERROR(VLOOKUP(F395,IMPORTRANGE(""https://docs.google.com/spreadsheets/d/1Kvs4KS76FHFqLFIZfrDMff4kP08nblUkihrxltoGBjg/edit#gid=934712705"",""ESENCIAL!A6:BG""),8,FALSE))"),"")</f>
        <v/>
      </c>
      <c r="L372" s="287"/>
      <c r="Z372" s="41" t="str">
        <f t="shared" si="24"/>
        <v/>
      </c>
      <c r="AA372" s="5" t="str">
        <f ca="1">IFERROR(__xludf.DUMMYFUNCTION("IFERROR(VLOOKUP(E395&amp;F395,IMPORTRANGE(""https://docs.google.com/spreadsheets/d/1Uw7-A9f9R21vMXxHZFNpYNeKFtG8_yji4HS352LGlSQ/edit?pli=1#gid=0"",""1_ACUM!A4:S""),11,FALSE))"),"")</f>
        <v/>
      </c>
      <c r="AB372" s="42" t="str">
        <f ca="1">IFERROR(__xludf.DUMMYFUNCTION("IFERROR(VLOOKUP(F395,IMPORTRANGE(""https://docs.google.com/spreadsheets/d/1Kvs4KS76FHFqLFIZfrDMff4kP08nblUkihrxltoGBjg/edit#gid=934712705"",""ESENCIAL!A6:BG""),15,FALSE))"),"")</f>
        <v/>
      </c>
      <c r="AC372" s="110" t="str">
        <f ca="1">IFERROR(__xludf.DUMMYFUNCTION("IFERROR(VLOOKUP(E395&amp;F395,IMPORTRANGE(""https://docs.google.com/spreadsheets/d/1Uw7-A9f9R21vMXxHZFNpYNeKFtG8_yji4HS352LGlSQ/edit?pli=1#gid=0"",""1_ACUM!A4:S""),13,FALSE))"),"")</f>
        <v/>
      </c>
      <c r="AD372" s="43" t="str">
        <f ca="1">IFERROR(__xludf.DUMMYFUNCTION("IFERROR(VLOOKUP(E395&amp;F395,IMPORTRANGE(""https://docs.google.com/spreadsheets/d/1Uw7-A9f9R21vMXxHZFNpYNeKFtG8_yji4HS352LGlSQ/edit?pli=1#gid=0"",""1_ACUM!A4:S""),13,FALSE))"),"")</f>
        <v/>
      </c>
      <c r="AE372" s="43" t="str">
        <f ca="1">IFERROR(__xludf.DUMMYFUNCTION("IFERROR(VLOOKUP(E395&amp;F395,IMPORTRANGE(""https://docs.google.com/spreadsheets/d/1Uw7-A9f9R21vMXxHZFNpYNeKFtG8_yji4HS352LGlSQ/edit?pli=1#gid=0"",""1_ACUM!A4:S""),14,FALSE))"),"")</f>
        <v/>
      </c>
      <c r="AF372" s="43" t="str">
        <f ca="1">IFERROR(__xludf.DUMMYFUNCTION("IFERROR(VLOOKUP(E395&amp;F395,IMPORTRANGE(""https://docs.google.com/spreadsheets/d/1Uw7-A9f9R21vMXxHZFNpYNeKFtG8_yji4HS352LGlSQ/edit?pli=1#gid=0"",""1_ACUM!A4:S""),15,FALSE))"),"")</f>
        <v/>
      </c>
      <c r="AG372" s="43" t="str">
        <f ca="1">IFERROR(__xludf.DUMMYFUNCTION("IFERROR(VLOOKUP(E395&amp;F395,IMPORTRANGE(""https://docs.google.com/spreadsheets/d/1Uw7-A9f9R21vMXxHZFNpYNeKFtG8_yji4HS352LGlSQ/edit?pli=1#gid=0"",""1_ACUM!A4:S""),16,FALSE))"),"")</f>
        <v/>
      </c>
      <c r="AH372" s="43" t="str">
        <f ca="1">IFERROR(__xludf.DUMMYFUNCTION("IFERROR(VLOOKUP(E395&amp;F395,IMPORTRANGE(""https://docs.google.com/spreadsheets/d/1Uw7-A9f9R21vMXxHZFNpYNeKFtG8_yji4HS352LGlSQ/edit?pli=1#gid=0"",""1_ACUM!A4:S""),17,FALSE))"),"")</f>
        <v/>
      </c>
      <c r="AI372" s="44" t="str">
        <f ca="1">IFERROR(__xludf.DUMMYFUNCTION("IFERROR(VLOOKUP(E395&amp;F395,IMPORTRANGE(""https://docs.google.com/spreadsheets/d/1Uw7-A9f9R21vMXxHZFNpYNeKFtG8_yji4HS352LGlSQ/edit?pli=1#gid=0"",""1_ACUM!A4:S""),18,FALSE))"),"")</f>
        <v/>
      </c>
      <c r="AJ372" s="44" t="str">
        <f ca="1">IFERROR(__xludf.DUMMYFUNCTION("IFERROR(VLOOKUP(E395&amp;F395,IMPORTRANGE(""https://docs.google.com/spreadsheets/d/1Uw7-A9f9R21vMXxHZFNpYNeKFtG8_yji4HS352LGlSQ/edit?pli=1#gid=0"",""1_ACUM!A4:S""),19,FALSE))"),"")</f>
        <v/>
      </c>
      <c r="AK372" s="98" t="str">
        <f ca="1">IFERROR(__xludf.DUMMYFUNCTION("IFERROR(VLOOKUP(F395,IMPORTRANGE(""https://docs.google.com/spreadsheets/d/1Kvs4KS76FHFqLFIZfrDMff4kP08nblUkihrxltoGBjg/edit#gid=934712705"",""ESENCIAL!A6:BG""),5,FALSE))"),"")</f>
        <v/>
      </c>
      <c r="AL372" s="98" t="str">
        <f t="shared" si="25"/>
        <v/>
      </c>
      <c r="AM372" s="99" t="str">
        <f t="shared" si="26"/>
        <v/>
      </c>
      <c r="AN372" s="100" t="str">
        <f ca="1">IFERROR(__xludf.DUMMYFUNCTION("IFERROR(VLOOKUP(F395,IMPORTRANGE(""https://docs.google.com/spreadsheets/d/1Kvs4KS76FHFqLFIZfrDMff4kP08nblUkihrxltoGBjg/edit#gid=934712705"",""ESENCIAL!A6:BG""),2,FALSE))"),"")</f>
        <v/>
      </c>
      <c r="AO372" s="19" t="str">
        <f t="shared" si="20"/>
        <v/>
      </c>
      <c r="AP372" s="100"/>
      <c r="AQ372" s="100"/>
    </row>
    <row r="373" spans="1:43" ht="15">
      <c r="A373" s="101"/>
      <c r="B373" s="101"/>
      <c r="G373" s="5" t="str">
        <f ca="1">IFERROR(__xludf.DUMMYFUNCTION("IFERROR(VLOOKUP(F396,IMPORTRANGE(""https://docs.google.com/spreadsheets/d/1Kvs4KS76FHFqLFIZfrDMff4kP08nblUkihrxltoGBjg/edit#gid=934712705"",""ESENCIAL!A6:BG""),3,FALSE))"),"")</f>
        <v/>
      </c>
      <c r="H373" s="5" t="str">
        <f ca="1">IFERROR(__xludf.DUMMYFUNCTION("IFERROR(VLOOKUP(F396,IMPORTRANGE(""https://docs.google.com/spreadsheets/d/1Kvs4KS76FHFqLFIZfrDMff4kP08nblUkihrxltoGBjg/edit#gid=934712705"",""ESENCIAL!A6:BG""),8,FALSE))"),"")</f>
        <v/>
      </c>
      <c r="L373" s="287"/>
      <c r="Z373" s="41" t="str">
        <f t="shared" si="24"/>
        <v/>
      </c>
      <c r="AA373" s="5" t="str">
        <f ca="1">IFERROR(__xludf.DUMMYFUNCTION("IFERROR(VLOOKUP(E396&amp;F396,IMPORTRANGE(""https://docs.google.com/spreadsheets/d/1Uw7-A9f9R21vMXxHZFNpYNeKFtG8_yji4HS352LGlSQ/edit?pli=1#gid=0"",""1_ACUM!A4:S""),11,FALSE))"),"")</f>
        <v/>
      </c>
      <c r="AB373" s="42" t="str">
        <f ca="1">IFERROR(__xludf.DUMMYFUNCTION("IFERROR(VLOOKUP(F396,IMPORTRANGE(""https://docs.google.com/spreadsheets/d/1Kvs4KS76FHFqLFIZfrDMff4kP08nblUkihrxltoGBjg/edit#gid=934712705"",""ESENCIAL!A6:BG""),15,FALSE))"),"")</f>
        <v/>
      </c>
      <c r="AC373" s="110" t="str">
        <f ca="1">IFERROR(__xludf.DUMMYFUNCTION("IFERROR(VLOOKUP(E396&amp;F396,IMPORTRANGE(""https://docs.google.com/spreadsheets/d/1Uw7-A9f9R21vMXxHZFNpYNeKFtG8_yji4HS352LGlSQ/edit?pli=1#gid=0"",""1_ACUM!A4:S""),13,FALSE))"),"")</f>
        <v/>
      </c>
      <c r="AD373" s="43" t="str">
        <f ca="1">IFERROR(__xludf.DUMMYFUNCTION("IFERROR(VLOOKUP(E396&amp;F396,IMPORTRANGE(""https://docs.google.com/spreadsheets/d/1Uw7-A9f9R21vMXxHZFNpYNeKFtG8_yji4HS352LGlSQ/edit?pli=1#gid=0"",""1_ACUM!A4:S""),13,FALSE))"),"")</f>
        <v/>
      </c>
      <c r="AE373" s="43" t="str">
        <f ca="1">IFERROR(__xludf.DUMMYFUNCTION("IFERROR(VLOOKUP(E396&amp;F396,IMPORTRANGE(""https://docs.google.com/spreadsheets/d/1Uw7-A9f9R21vMXxHZFNpYNeKFtG8_yji4HS352LGlSQ/edit?pli=1#gid=0"",""1_ACUM!A4:S""),14,FALSE))"),"")</f>
        <v/>
      </c>
      <c r="AF373" s="43" t="str">
        <f ca="1">IFERROR(__xludf.DUMMYFUNCTION("IFERROR(VLOOKUP(E396&amp;F396,IMPORTRANGE(""https://docs.google.com/spreadsheets/d/1Uw7-A9f9R21vMXxHZFNpYNeKFtG8_yji4HS352LGlSQ/edit?pli=1#gid=0"",""1_ACUM!A4:S""),15,FALSE))"),"")</f>
        <v/>
      </c>
      <c r="AG373" s="43" t="str">
        <f ca="1">IFERROR(__xludf.DUMMYFUNCTION("IFERROR(VLOOKUP(E396&amp;F396,IMPORTRANGE(""https://docs.google.com/spreadsheets/d/1Uw7-A9f9R21vMXxHZFNpYNeKFtG8_yji4HS352LGlSQ/edit?pli=1#gid=0"",""1_ACUM!A4:S""),16,FALSE))"),"")</f>
        <v/>
      </c>
      <c r="AH373" s="43" t="str">
        <f ca="1">IFERROR(__xludf.DUMMYFUNCTION("IFERROR(VLOOKUP(E396&amp;F396,IMPORTRANGE(""https://docs.google.com/spreadsheets/d/1Uw7-A9f9R21vMXxHZFNpYNeKFtG8_yji4HS352LGlSQ/edit?pli=1#gid=0"",""1_ACUM!A4:S""),17,FALSE))"),"")</f>
        <v/>
      </c>
      <c r="AI373" s="44" t="str">
        <f ca="1">IFERROR(__xludf.DUMMYFUNCTION("IFERROR(VLOOKUP(E396&amp;F396,IMPORTRANGE(""https://docs.google.com/spreadsheets/d/1Uw7-A9f9R21vMXxHZFNpYNeKFtG8_yji4HS352LGlSQ/edit?pli=1#gid=0"",""1_ACUM!A4:S""),18,FALSE))"),"")</f>
        <v/>
      </c>
      <c r="AJ373" s="44" t="str">
        <f ca="1">IFERROR(__xludf.DUMMYFUNCTION("IFERROR(VLOOKUP(E396&amp;F396,IMPORTRANGE(""https://docs.google.com/spreadsheets/d/1Uw7-A9f9R21vMXxHZFNpYNeKFtG8_yji4HS352LGlSQ/edit?pli=1#gid=0"",""1_ACUM!A4:S""),19,FALSE))"),"")</f>
        <v/>
      </c>
      <c r="AK373" s="98" t="str">
        <f ca="1">IFERROR(__xludf.DUMMYFUNCTION("IFERROR(VLOOKUP(F396,IMPORTRANGE(""https://docs.google.com/spreadsheets/d/1Kvs4KS76FHFqLFIZfrDMff4kP08nblUkihrxltoGBjg/edit#gid=934712705"",""ESENCIAL!A6:BG""),5,FALSE))"),"")</f>
        <v/>
      </c>
      <c r="AL373" s="98" t="str">
        <f t="shared" si="25"/>
        <v/>
      </c>
      <c r="AM373" s="99" t="str">
        <f t="shared" si="26"/>
        <v/>
      </c>
      <c r="AN373" s="100" t="str">
        <f ca="1">IFERROR(__xludf.DUMMYFUNCTION("IFERROR(VLOOKUP(F396,IMPORTRANGE(""https://docs.google.com/spreadsheets/d/1Kvs4KS76FHFqLFIZfrDMff4kP08nblUkihrxltoGBjg/edit#gid=934712705"",""ESENCIAL!A6:BG""),2,FALSE))"),"")</f>
        <v/>
      </c>
      <c r="AO373" s="19" t="str">
        <f t="shared" si="20"/>
        <v/>
      </c>
      <c r="AP373" s="100"/>
      <c r="AQ373" s="100"/>
    </row>
    <row r="374" spans="1:43" ht="15">
      <c r="A374" s="101"/>
      <c r="B374" s="104"/>
      <c r="G374" s="5" t="str">
        <f ca="1">IFERROR(__xludf.DUMMYFUNCTION("IFERROR(VLOOKUP(F397,IMPORTRANGE(""https://docs.google.com/spreadsheets/d/1Kvs4KS76FHFqLFIZfrDMff4kP08nblUkihrxltoGBjg/edit#gid=934712705"",""ESENCIAL!A6:BG""),3,FALSE))"),"")</f>
        <v/>
      </c>
      <c r="H374" s="5" t="str">
        <f ca="1">IFERROR(__xludf.DUMMYFUNCTION("IFERROR(VLOOKUP(F397,IMPORTRANGE(""https://docs.google.com/spreadsheets/d/1Kvs4KS76FHFqLFIZfrDMff4kP08nblUkihrxltoGBjg/edit#gid=934712705"",""ESENCIAL!A6:BG""),8,FALSE))"),"")</f>
        <v/>
      </c>
      <c r="L374" s="287"/>
      <c r="Z374" s="41" t="str">
        <f t="shared" si="24"/>
        <v/>
      </c>
      <c r="AA374" s="5" t="str">
        <f ca="1">IFERROR(__xludf.DUMMYFUNCTION("IFERROR(VLOOKUP(E397&amp;F397,IMPORTRANGE(""https://docs.google.com/spreadsheets/d/1Uw7-A9f9R21vMXxHZFNpYNeKFtG8_yji4HS352LGlSQ/edit?pli=1#gid=0"",""1_ACUM!A4:S""),11,FALSE))"),"")</f>
        <v/>
      </c>
      <c r="AB374" s="42" t="str">
        <f ca="1">IFERROR(__xludf.DUMMYFUNCTION("IFERROR(VLOOKUP(F397,IMPORTRANGE(""https://docs.google.com/spreadsheets/d/1Kvs4KS76FHFqLFIZfrDMff4kP08nblUkihrxltoGBjg/edit#gid=934712705"",""ESENCIAL!A6:BG""),15,FALSE))"),"")</f>
        <v/>
      </c>
      <c r="AC374" s="110" t="str">
        <f ca="1">IFERROR(__xludf.DUMMYFUNCTION("IFERROR(VLOOKUP(E397&amp;F397,IMPORTRANGE(""https://docs.google.com/spreadsheets/d/1Uw7-A9f9R21vMXxHZFNpYNeKFtG8_yji4HS352LGlSQ/edit?pli=1#gid=0"",""1_ACUM!A4:S""),13,FALSE))"),"")</f>
        <v/>
      </c>
      <c r="AD374" s="43" t="str">
        <f ca="1">IFERROR(__xludf.DUMMYFUNCTION("IFERROR(VLOOKUP(E397&amp;F397,IMPORTRANGE(""https://docs.google.com/spreadsheets/d/1Uw7-A9f9R21vMXxHZFNpYNeKFtG8_yji4HS352LGlSQ/edit?pli=1#gid=0"",""1_ACUM!A4:S""),13,FALSE))"),"")</f>
        <v/>
      </c>
      <c r="AE374" s="43" t="str">
        <f ca="1">IFERROR(__xludf.DUMMYFUNCTION("IFERROR(VLOOKUP(E397&amp;F397,IMPORTRANGE(""https://docs.google.com/spreadsheets/d/1Uw7-A9f9R21vMXxHZFNpYNeKFtG8_yji4HS352LGlSQ/edit?pli=1#gid=0"",""1_ACUM!A4:S""),14,FALSE))"),"")</f>
        <v/>
      </c>
      <c r="AF374" s="43" t="str">
        <f ca="1">IFERROR(__xludf.DUMMYFUNCTION("IFERROR(VLOOKUP(E397&amp;F397,IMPORTRANGE(""https://docs.google.com/spreadsheets/d/1Uw7-A9f9R21vMXxHZFNpYNeKFtG8_yji4HS352LGlSQ/edit?pli=1#gid=0"",""1_ACUM!A4:S""),15,FALSE))"),"")</f>
        <v/>
      </c>
      <c r="AG374" s="43" t="str">
        <f ca="1">IFERROR(__xludf.DUMMYFUNCTION("IFERROR(VLOOKUP(E397&amp;F397,IMPORTRANGE(""https://docs.google.com/spreadsheets/d/1Uw7-A9f9R21vMXxHZFNpYNeKFtG8_yji4HS352LGlSQ/edit?pli=1#gid=0"",""1_ACUM!A4:S""),16,FALSE))"),"")</f>
        <v/>
      </c>
      <c r="AH374" s="43" t="str">
        <f ca="1">IFERROR(__xludf.DUMMYFUNCTION("IFERROR(VLOOKUP(E397&amp;F397,IMPORTRANGE(""https://docs.google.com/spreadsheets/d/1Uw7-A9f9R21vMXxHZFNpYNeKFtG8_yji4HS352LGlSQ/edit?pli=1#gid=0"",""1_ACUM!A4:S""),17,FALSE))"),"")</f>
        <v/>
      </c>
      <c r="AI374" s="44" t="str">
        <f ca="1">IFERROR(__xludf.DUMMYFUNCTION("IFERROR(VLOOKUP(E397&amp;F397,IMPORTRANGE(""https://docs.google.com/spreadsheets/d/1Uw7-A9f9R21vMXxHZFNpYNeKFtG8_yji4HS352LGlSQ/edit?pli=1#gid=0"",""1_ACUM!A4:S""),18,FALSE))"),"")</f>
        <v/>
      </c>
      <c r="AJ374" s="44" t="str">
        <f ca="1">IFERROR(__xludf.DUMMYFUNCTION("IFERROR(VLOOKUP(E397&amp;F397,IMPORTRANGE(""https://docs.google.com/spreadsheets/d/1Uw7-A9f9R21vMXxHZFNpYNeKFtG8_yji4HS352LGlSQ/edit?pli=1#gid=0"",""1_ACUM!A4:S""),19,FALSE))"),"")</f>
        <v/>
      </c>
      <c r="AK374" s="98" t="str">
        <f ca="1">IFERROR(__xludf.DUMMYFUNCTION("IFERROR(VLOOKUP(F397,IMPORTRANGE(""https://docs.google.com/spreadsheets/d/1Kvs4KS76FHFqLFIZfrDMff4kP08nblUkihrxltoGBjg/edit#gid=934712705"",""ESENCIAL!A6:BG""),5,FALSE))"),"")</f>
        <v/>
      </c>
      <c r="AL374" s="98" t="str">
        <f t="shared" si="25"/>
        <v/>
      </c>
      <c r="AM374" s="99" t="str">
        <f t="shared" si="26"/>
        <v/>
      </c>
      <c r="AN374" s="100" t="str">
        <f ca="1">IFERROR(__xludf.DUMMYFUNCTION("IFERROR(VLOOKUP(F397,IMPORTRANGE(""https://docs.google.com/spreadsheets/d/1Kvs4KS76FHFqLFIZfrDMff4kP08nblUkihrxltoGBjg/edit#gid=934712705"",""ESENCIAL!A6:BG""),2,FALSE))"),"")</f>
        <v/>
      </c>
      <c r="AO374" s="19" t="str">
        <f t="shared" si="20"/>
        <v/>
      </c>
      <c r="AP374" s="100"/>
      <c r="AQ374" s="100"/>
    </row>
    <row r="375" spans="1:43" ht="15">
      <c r="A375" s="101"/>
      <c r="B375" s="101"/>
      <c r="G375" s="5" t="str">
        <f ca="1">IFERROR(__xludf.DUMMYFUNCTION("IFERROR(VLOOKUP(F398,IMPORTRANGE(""https://docs.google.com/spreadsheets/d/1Kvs4KS76FHFqLFIZfrDMff4kP08nblUkihrxltoGBjg/edit#gid=934712705"",""ESENCIAL!A6:BG""),3,FALSE))"),"")</f>
        <v/>
      </c>
      <c r="H375" s="5" t="str">
        <f ca="1">IFERROR(__xludf.DUMMYFUNCTION("IFERROR(VLOOKUP(F398,IMPORTRANGE(""https://docs.google.com/spreadsheets/d/1Kvs4KS76FHFqLFIZfrDMff4kP08nblUkihrxltoGBjg/edit#gid=934712705"",""ESENCIAL!A6:BG""),8,FALSE))"),"")</f>
        <v/>
      </c>
      <c r="L375" s="287"/>
      <c r="Z375" s="41" t="str">
        <f t="shared" si="24"/>
        <v/>
      </c>
      <c r="AA375" s="5" t="str">
        <f ca="1">IFERROR(__xludf.DUMMYFUNCTION("IFERROR(VLOOKUP(E398&amp;F398,IMPORTRANGE(""https://docs.google.com/spreadsheets/d/1Uw7-A9f9R21vMXxHZFNpYNeKFtG8_yji4HS352LGlSQ/edit?pli=1#gid=0"",""1_ACUM!A4:S""),11,FALSE))"),"")</f>
        <v/>
      </c>
      <c r="AB375" s="42" t="str">
        <f ca="1">IFERROR(__xludf.DUMMYFUNCTION("IFERROR(VLOOKUP(F398,IMPORTRANGE(""https://docs.google.com/spreadsheets/d/1Kvs4KS76FHFqLFIZfrDMff4kP08nblUkihrxltoGBjg/edit#gid=934712705"",""ESENCIAL!A6:BG""),15,FALSE))"),"")</f>
        <v/>
      </c>
      <c r="AC375" s="110" t="str">
        <f ca="1">IFERROR(__xludf.DUMMYFUNCTION("IFERROR(VLOOKUP(E398&amp;F398,IMPORTRANGE(""https://docs.google.com/spreadsheets/d/1Uw7-A9f9R21vMXxHZFNpYNeKFtG8_yji4HS352LGlSQ/edit?pli=1#gid=0"",""1_ACUM!A4:S""),13,FALSE))"),"")</f>
        <v/>
      </c>
      <c r="AD375" s="43" t="str">
        <f ca="1">IFERROR(__xludf.DUMMYFUNCTION("IFERROR(VLOOKUP(E398&amp;F398,IMPORTRANGE(""https://docs.google.com/spreadsheets/d/1Uw7-A9f9R21vMXxHZFNpYNeKFtG8_yji4HS352LGlSQ/edit?pli=1#gid=0"",""1_ACUM!A4:S""),13,FALSE))"),"")</f>
        <v/>
      </c>
      <c r="AE375" s="43" t="str">
        <f ca="1">IFERROR(__xludf.DUMMYFUNCTION("IFERROR(VLOOKUP(E398&amp;F398,IMPORTRANGE(""https://docs.google.com/spreadsheets/d/1Uw7-A9f9R21vMXxHZFNpYNeKFtG8_yji4HS352LGlSQ/edit?pli=1#gid=0"",""1_ACUM!A4:S""),14,FALSE))"),"")</f>
        <v/>
      </c>
      <c r="AF375" s="43" t="str">
        <f ca="1">IFERROR(__xludf.DUMMYFUNCTION("IFERROR(VLOOKUP(E398&amp;F398,IMPORTRANGE(""https://docs.google.com/spreadsheets/d/1Uw7-A9f9R21vMXxHZFNpYNeKFtG8_yji4HS352LGlSQ/edit?pli=1#gid=0"",""1_ACUM!A4:S""),15,FALSE))"),"")</f>
        <v/>
      </c>
      <c r="AG375" s="43" t="str">
        <f ca="1">IFERROR(__xludf.DUMMYFUNCTION("IFERROR(VLOOKUP(E398&amp;F398,IMPORTRANGE(""https://docs.google.com/spreadsheets/d/1Uw7-A9f9R21vMXxHZFNpYNeKFtG8_yji4HS352LGlSQ/edit?pli=1#gid=0"",""1_ACUM!A4:S""),16,FALSE))"),"")</f>
        <v/>
      </c>
      <c r="AH375" s="43" t="str">
        <f ca="1">IFERROR(__xludf.DUMMYFUNCTION("IFERROR(VLOOKUP(E398&amp;F398,IMPORTRANGE(""https://docs.google.com/spreadsheets/d/1Uw7-A9f9R21vMXxHZFNpYNeKFtG8_yji4HS352LGlSQ/edit?pli=1#gid=0"",""1_ACUM!A4:S""),17,FALSE))"),"")</f>
        <v/>
      </c>
      <c r="AI375" s="44" t="str">
        <f ca="1">IFERROR(__xludf.DUMMYFUNCTION("IFERROR(VLOOKUP(E398&amp;F398,IMPORTRANGE(""https://docs.google.com/spreadsheets/d/1Uw7-A9f9R21vMXxHZFNpYNeKFtG8_yji4HS352LGlSQ/edit?pli=1#gid=0"",""1_ACUM!A4:S""),18,FALSE))"),"")</f>
        <v/>
      </c>
      <c r="AJ375" s="44" t="str">
        <f ca="1">IFERROR(__xludf.DUMMYFUNCTION("IFERROR(VLOOKUP(E398&amp;F398,IMPORTRANGE(""https://docs.google.com/spreadsheets/d/1Uw7-A9f9R21vMXxHZFNpYNeKFtG8_yji4HS352LGlSQ/edit?pli=1#gid=0"",""1_ACUM!A4:S""),19,FALSE))"),"")</f>
        <v/>
      </c>
      <c r="AK375" s="98" t="str">
        <f ca="1">IFERROR(__xludf.DUMMYFUNCTION("IFERROR(VLOOKUP(F398,IMPORTRANGE(""https://docs.google.com/spreadsheets/d/1Kvs4KS76FHFqLFIZfrDMff4kP08nblUkihrxltoGBjg/edit#gid=934712705"",""ESENCIAL!A6:BG""),5,FALSE))"),"")</f>
        <v/>
      </c>
      <c r="AL375" s="98" t="str">
        <f t="shared" si="25"/>
        <v/>
      </c>
      <c r="AM375" s="99" t="str">
        <f t="shared" si="26"/>
        <v/>
      </c>
      <c r="AN375" s="100" t="str">
        <f ca="1">IFERROR(__xludf.DUMMYFUNCTION("IFERROR(VLOOKUP(F398,IMPORTRANGE(""https://docs.google.com/spreadsheets/d/1Kvs4KS76FHFqLFIZfrDMff4kP08nblUkihrxltoGBjg/edit#gid=934712705"",""ESENCIAL!A6:BG""),2,FALSE))"),"")</f>
        <v/>
      </c>
      <c r="AO375" s="19" t="str">
        <f t="shared" si="20"/>
        <v/>
      </c>
      <c r="AP375" s="100"/>
      <c r="AQ375" s="100"/>
    </row>
    <row r="376" spans="1:43" ht="15">
      <c r="A376" s="101"/>
      <c r="B376" s="101"/>
      <c r="G376" s="5" t="str">
        <f ca="1">IFERROR(__xludf.DUMMYFUNCTION("IFERROR(VLOOKUP(F399,IMPORTRANGE(""https://docs.google.com/spreadsheets/d/1Kvs4KS76FHFqLFIZfrDMff4kP08nblUkihrxltoGBjg/edit#gid=934712705"",""ESENCIAL!A6:BG""),3,FALSE))"),"")</f>
        <v/>
      </c>
      <c r="H376" s="5" t="str">
        <f ca="1">IFERROR(__xludf.DUMMYFUNCTION("IFERROR(VLOOKUP(F399,IMPORTRANGE(""https://docs.google.com/spreadsheets/d/1Kvs4KS76FHFqLFIZfrDMff4kP08nblUkihrxltoGBjg/edit#gid=934712705"",""ESENCIAL!A6:BG""),8,FALSE))"),"")</f>
        <v/>
      </c>
      <c r="L376" s="287"/>
      <c r="Z376" s="41" t="str">
        <f t="shared" si="24"/>
        <v/>
      </c>
      <c r="AA376" s="5" t="str">
        <f ca="1">IFERROR(__xludf.DUMMYFUNCTION("IFERROR(VLOOKUP(E399&amp;F399,IMPORTRANGE(""https://docs.google.com/spreadsheets/d/1Uw7-A9f9R21vMXxHZFNpYNeKFtG8_yji4HS352LGlSQ/edit?pli=1#gid=0"",""1_ACUM!A4:S""),11,FALSE))"),"")</f>
        <v/>
      </c>
      <c r="AB376" s="42" t="str">
        <f ca="1">IFERROR(__xludf.DUMMYFUNCTION("IFERROR(VLOOKUP(F399,IMPORTRANGE(""https://docs.google.com/spreadsheets/d/1Kvs4KS76FHFqLFIZfrDMff4kP08nblUkihrxltoGBjg/edit#gid=934712705"",""ESENCIAL!A6:BG""),15,FALSE))"),"")</f>
        <v/>
      </c>
      <c r="AC376" s="110" t="str">
        <f ca="1">IFERROR(__xludf.DUMMYFUNCTION("IFERROR(VLOOKUP(E399&amp;F399,IMPORTRANGE(""https://docs.google.com/spreadsheets/d/1Uw7-A9f9R21vMXxHZFNpYNeKFtG8_yji4HS352LGlSQ/edit?pli=1#gid=0"",""1_ACUM!A4:S""),13,FALSE))"),"")</f>
        <v/>
      </c>
      <c r="AD376" s="43" t="str">
        <f ca="1">IFERROR(__xludf.DUMMYFUNCTION("IFERROR(VLOOKUP(E399&amp;F399,IMPORTRANGE(""https://docs.google.com/spreadsheets/d/1Uw7-A9f9R21vMXxHZFNpYNeKFtG8_yji4HS352LGlSQ/edit?pli=1#gid=0"",""1_ACUM!A4:S""),13,FALSE))"),"")</f>
        <v/>
      </c>
      <c r="AE376" s="43" t="str">
        <f ca="1">IFERROR(__xludf.DUMMYFUNCTION("IFERROR(VLOOKUP(E399&amp;F399,IMPORTRANGE(""https://docs.google.com/spreadsheets/d/1Uw7-A9f9R21vMXxHZFNpYNeKFtG8_yji4HS352LGlSQ/edit?pli=1#gid=0"",""1_ACUM!A4:S""),14,FALSE))"),"")</f>
        <v/>
      </c>
      <c r="AF376" s="43" t="str">
        <f ca="1">IFERROR(__xludf.DUMMYFUNCTION("IFERROR(VLOOKUP(E399&amp;F399,IMPORTRANGE(""https://docs.google.com/spreadsheets/d/1Uw7-A9f9R21vMXxHZFNpYNeKFtG8_yji4HS352LGlSQ/edit?pli=1#gid=0"",""1_ACUM!A4:S""),15,FALSE))"),"")</f>
        <v/>
      </c>
      <c r="AG376" s="43" t="str">
        <f ca="1">IFERROR(__xludf.DUMMYFUNCTION("IFERROR(VLOOKUP(E399&amp;F399,IMPORTRANGE(""https://docs.google.com/spreadsheets/d/1Uw7-A9f9R21vMXxHZFNpYNeKFtG8_yji4HS352LGlSQ/edit?pli=1#gid=0"",""1_ACUM!A4:S""),16,FALSE))"),"")</f>
        <v/>
      </c>
      <c r="AH376" s="43" t="str">
        <f ca="1">IFERROR(__xludf.DUMMYFUNCTION("IFERROR(VLOOKUP(E399&amp;F399,IMPORTRANGE(""https://docs.google.com/spreadsheets/d/1Uw7-A9f9R21vMXxHZFNpYNeKFtG8_yji4HS352LGlSQ/edit?pli=1#gid=0"",""1_ACUM!A4:S""),17,FALSE))"),"")</f>
        <v/>
      </c>
      <c r="AI376" s="44" t="str">
        <f ca="1">IFERROR(__xludf.DUMMYFUNCTION("IFERROR(VLOOKUP(E399&amp;F399,IMPORTRANGE(""https://docs.google.com/spreadsheets/d/1Uw7-A9f9R21vMXxHZFNpYNeKFtG8_yji4HS352LGlSQ/edit?pli=1#gid=0"",""1_ACUM!A4:S""),18,FALSE))"),"")</f>
        <v/>
      </c>
      <c r="AJ376" s="44" t="str">
        <f ca="1">IFERROR(__xludf.DUMMYFUNCTION("IFERROR(VLOOKUP(E399&amp;F399,IMPORTRANGE(""https://docs.google.com/spreadsheets/d/1Uw7-A9f9R21vMXxHZFNpYNeKFtG8_yji4HS352LGlSQ/edit?pli=1#gid=0"",""1_ACUM!A4:S""),19,FALSE))"),"")</f>
        <v/>
      </c>
      <c r="AK376" s="98" t="str">
        <f ca="1">IFERROR(__xludf.DUMMYFUNCTION("IFERROR(VLOOKUP(F399,IMPORTRANGE(""https://docs.google.com/spreadsheets/d/1Kvs4KS76FHFqLFIZfrDMff4kP08nblUkihrxltoGBjg/edit#gid=934712705"",""ESENCIAL!A6:BG""),5,FALSE))"),"")</f>
        <v/>
      </c>
      <c r="AL376" s="98" t="str">
        <f t="shared" si="25"/>
        <v/>
      </c>
      <c r="AM376" s="99" t="str">
        <f t="shared" si="26"/>
        <v/>
      </c>
      <c r="AN376" s="100" t="str">
        <f ca="1">IFERROR(__xludf.DUMMYFUNCTION("IFERROR(VLOOKUP(F399,IMPORTRANGE(""https://docs.google.com/spreadsheets/d/1Kvs4KS76FHFqLFIZfrDMff4kP08nblUkihrxltoGBjg/edit#gid=934712705"",""ESENCIAL!A6:BG""),2,FALSE))"),"")</f>
        <v/>
      </c>
      <c r="AO376" s="19" t="str">
        <f t="shared" si="20"/>
        <v/>
      </c>
      <c r="AP376" s="100"/>
      <c r="AQ376" s="100"/>
    </row>
    <row r="377" spans="1:43" ht="15">
      <c r="A377" s="101"/>
      <c r="B377" s="101"/>
      <c r="G377" s="5" t="str">
        <f ca="1">IFERROR(__xludf.DUMMYFUNCTION("IFERROR(VLOOKUP(F400,IMPORTRANGE(""https://docs.google.com/spreadsheets/d/1Kvs4KS76FHFqLFIZfrDMff4kP08nblUkihrxltoGBjg/edit#gid=934712705"",""ESENCIAL!A6:BG""),3,FALSE))"),"")</f>
        <v/>
      </c>
      <c r="H377" s="5" t="str">
        <f ca="1">IFERROR(__xludf.DUMMYFUNCTION("IFERROR(VLOOKUP(F400,IMPORTRANGE(""https://docs.google.com/spreadsheets/d/1Kvs4KS76FHFqLFIZfrDMff4kP08nblUkihrxltoGBjg/edit#gid=934712705"",""ESENCIAL!A6:BG""),8,FALSE))"),"")</f>
        <v/>
      </c>
      <c r="L377" s="287"/>
      <c r="Z377" s="41" t="str">
        <f t="shared" si="24"/>
        <v/>
      </c>
      <c r="AA377" s="5" t="str">
        <f ca="1">IFERROR(__xludf.DUMMYFUNCTION("IFERROR(VLOOKUP(E400&amp;F400,IMPORTRANGE(""https://docs.google.com/spreadsheets/d/1Uw7-A9f9R21vMXxHZFNpYNeKFtG8_yji4HS352LGlSQ/edit?pli=1#gid=0"",""1_ACUM!A4:S""),11,FALSE))"),"")</f>
        <v/>
      </c>
      <c r="AB377" s="42" t="str">
        <f ca="1">IFERROR(__xludf.DUMMYFUNCTION("IFERROR(VLOOKUP(F400,IMPORTRANGE(""https://docs.google.com/spreadsheets/d/1Kvs4KS76FHFqLFIZfrDMff4kP08nblUkihrxltoGBjg/edit#gid=934712705"",""ESENCIAL!A6:BG""),15,FALSE))"),"")</f>
        <v/>
      </c>
      <c r="AC377" s="110" t="str">
        <f ca="1">IFERROR(__xludf.DUMMYFUNCTION("IFERROR(VLOOKUP(E400&amp;F400,IMPORTRANGE(""https://docs.google.com/spreadsheets/d/1Uw7-A9f9R21vMXxHZFNpYNeKFtG8_yji4HS352LGlSQ/edit?pli=1#gid=0"",""1_ACUM!A4:S""),13,FALSE))"),"")</f>
        <v/>
      </c>
      <c r="AD377" s="43" t="str">
        <f ca="1">IFERROR(__xludf.DUMMYFUNCTION("IFERROR(VLOOKUP(E400&amp;F400,IMPORTRANGE(""https://docs.google.com/spreadsheets/d/1Uw7-A9f9R21vMXxHZFNpYNeKFtG8_yji4HS352LGlSQ/edit?pli=1#gid=0"",""1_ACUM!A4:S""),13,FALSE))"),"")</f>
        <v/>
      </c>
      <c r="AE377" s="43" t="str">
        <f ca="1">IFERROR(__xludf.DUMMYFUNCTION("IFERROR(VLOOKUP(E400&amp;F400,IMPORTRANGE(""https://docs.google.com/spreadsheets/d/1Uw7-A9f9R21vMXxHZFNpYNeKFtG8_yji4HS352LGlSQ/edit?pli=1#gid=0"",""1_ACUM!A4:S""),14,FALSE))"),"")</f>
        <v/>
      </c>
      <c r="AF377" s="43" t="str">
        <f ca="1">IFERROR(__xludf.DUMMYFUNCTION("IFERROR(VLOOKUP(E400&amp;F400,IMPORTRANGE(""https://docs.google.com/spreadsheets/d/1Uw7-A9f9R21vMXxHZFNpYNeKFtG8_yji4HS352LGlSQ/edit?pli=1#gid=0"",""1_ACUM!A4:S""),15,FALSE))"),"")</f>
        <v/>
      </c>
      <c r="AG377" s="43" t="str">
        <f ca="1">IFERROR(__xludf.DUMMYFUNCTION("IFERROR(VLOOKUP(E400&amp;F400,IMPORTRANGE(""https://docs.google.com/spreadsheets/d/1Uw7-A9f9R21vMXxHZFNpYNeKFtG8_yji4HS352LGlSQ/edit?pli=1#gid=0"",""1_ACUM!A4:S""),16,FALSE))"),"")</f>
        <v/>
      </c>
      <c r="AH377" s="43" t="str">
        <f ca="1">IFERROR(__xludf.DUMMYFUNCTION("IFERROR(VLOOKUP(E400&amp;F400,IMPORTRANGE(""https://docs.google.com/spreadsheets/d/1Uw7-A9f9R21vMXxHZFNpYNeKFtG8_yji4HS352LGlSQ/edit?pli=1#gid=0"",""1_ACUM!A4:S""),17,FALSE))"),"")</f>
        <v/>
      </c>
      <c r="AI377" s="44" t="str">
        <f ca="1">IFERROR(__xludf.DUMMYFUNCTION("IFERROR(VLOOKUP(E400&amp;F400,IMPORTRANGE(""https://docs.google.com/spreadsheets/d/1Uw7-A9f9R21vMXxHZFNpYNeKFtG8_yji4HS352LGlSQ/edit?pli=1#gid=0"",""1_ACUM!A4:S""),18,FALSE))"),"")</f>
        <v/>
      </c>
      <c r="AJ377" s="44" t="str">
        <f ca="1">IFERROR(__xludf.DUMMYFUNCTION("IFERROR(VLOOKUP(E400&amp;F400,IMPORTRANGE(""https://docs.google.com/spreadsheets/d/1Uw7-A9f9R21vMXxHZFNpYNeKFtG8_yji4HS352LGlSQ/edit?pli=1#gid=0"",""1_ACUM!A4:S""),19,FALSE))"),"")</f>
        <v/>
      </c>
      <c r="AK377" s="98" t="str">
        <f ca="1">IFERROR(__xludf.DUMMYFUNCTION("IFERROR(VLOOKUP(F400,IMPORTRANGE(""https://docs.google.com/spreadsheets/d/1Kvs4KS76FHFqLFIZfrDMff4kP08nblUkihrxltoGBjg/edit#gid=934712705"",""ESENCIAL!A6:BG""),5,FALSE))"),"")</f>
        <v/>
      </c>
      <c r="AL377" s="98" t="str">
        <f t="shared" si="25"/>
        <v/>
      </c>
      <c r="AM377" s="99" t="str">
        <f t="shared" si="26"/>
        <v/>
      </c>
      <c r="AN377" s="100" t="str">
        <f ca="1">IFERROR(__xludf.DUMMYFUNCTION("IFERROR(VLOOKUP(F400,IMPORTRANGE(""https://docs.google.com/spreadsheets/d/1Kvs4KS76FHFqLFIZfrDMff4kP08nblUkihrxltoGBjg/edit#gid=934712705"",""ESENCIAL!A6:BG""),2,FALSE))"),"")</f>
        <v/>
      </c>
      <c r="AO377" s="19" t="str">
        <f t="shared" si="20"/>
        <v/>
      </c>
      <c r="AP377" s="100"/>
      <c r="AQ377" s="100"/>
    </row>
    <row r="378" spans="1:43" ht="15">
      <c r="A378" s="101"/>
      <c r="B378" s="101"/>
      <c r="G378" s="5" t="str">
        <f ca="1">IFERROR(__xludf.DUMMYFUNCTION("IFERROR(VLOOKUP(F401,IMPORTRANGE(""https://docs.google.com/spreadsheets/d/1Kvs4KS76FHFqLFIZfrDMff4kP08nblUkihrxltoGBjg/edit#gid=934712705"",""ESENCIAL!A6:BG""),3,FALSE))"),"")</f>
        <v/>
      </c>
      <c r="H378" s="5" t="str">
        <f ca="1">IFERROR(__xludf.DUMMYFUNCTION("IFERROR(VLOOKUP(F401,IMPORTRANGE(""https://docs.google.com/spreadsheets/d/1Kvs4KS76FHFqLFIZfrDMff4kP08nblUkihrxltoGBjg/edit#gid=934712705"",""ESENCIAL!A6:BG""),8,FALSE))"),"")</f>
        <v/>
      </c>
      <c r="L378" s="287"/>
      <c r="Z378" s="41" t="str">
        <f t="shared" si="24"/>
        <v/>
      </c>
      <c r="AA378" s="5" t="str">
        <f ca="1">IFERROR(__xludf.DUMMYFUNCTION("IFERROR(VLOOKUP(E401&amp;F401,IMPORTRANGE(""https://docs.google.com/spreadsheets/d/1Uw7-A9f9R21vMXxHZFNpYNeKFtG8_yji4HS352LGlSQ/edit?pli=1#gid=0"",""1_ACUM!A4:S""),11,FALSE))"),"")</f>
        <v/>
      </c>
      <c r="AB378" s="42" t="str">
        <f ca="1">IFERROR(__xludf.DUMMYFUNCTION("IFERROR(VLOOKUP(F401,IMPORTRANGE(""https://docs.google.com/spreadsheets/d/1Kvs4KS76FHFqLFIZfrDMff4kP08nblUkihrxltoGBjg/edit#gid=934712705"",""ESENCIAL!A6:BG""),15,FALSE))"),"")</f>
        <v/>
      </c>
      <c r="AC378" s="110" t="str">
        <f ca="1">IFERROR(__xludf.DUMMYFUNCTION("IFERROR(VLOOKUP(E401&amp;F401,IMPORTRANGE(""https://docs.google.com/spreadsheets/d/1Uw7-A9f9R21vMXxHZFNpYNeKFtG8_yji4HS352LGlSQ/edit?pli=1#gid=0"",""1_ACUM!A4:S""),13,FALSE))"),"")</f>
        <v/>
      </c>
      <c r="AD378" s="43" t="str">
        <f ca="1">IFERROR(__xludf.DUMMYFUNCTION("IFERROR(VLOOKUP(E401&amp;F401,IMPORTRANGE(""https://docs.google.com/spreadsheets/d/1Uw7-A9f9R21vMXxHZFNpYNeKFtG8_yji4HS352LGlSQ/edit?pli=1#gid=0"",""1_ACUM!A4:S""),13,FALSE))"),"")</f>
        <v/>
      </c>
      <c r="AE378" s="43" t="str">
        <f ca="1">IFERROR(__xludf.DUMMYFUNCTION("IFERROR(VLOOKUP(E401&amp;F401,IMPORTRANGE(""https://docs.google.com/spreadsheets/d/1Uw7-A9f9R21vMXxHZFNpYNeKFtG8_yji4HS352LGlSQ/edit?pli=1#gid=0"",""1_ACUM!A4:S""),14,FALSE))"),"")</f>
        <v/>
      </c>
      <c r="AF378" s="43" t="str">
        <f ca="1">IFERROR(__xludf.DUMMYFUNCTION("IFERROR(VLOOKUP(E401&amp;F401,IMPORTRANGE(""https://docs.google.com/spreadsheets/d/1Uw7-A9f9R21vMXxHZFNpYNeKFtG8_yji4HS352LGlSQ/edit?pli=1#gid=0"",""1_ACUM!A4:S""),15,FALSE))"),"")</f>
        <v/>
      </c>
      <c r="AG378" s="43" t="str">
        <f ca="1">IFERROR(__xludf.DUMMYFUNCTION("IFERROR(VLOOKUP(E401&amp;F401,IMPORTRANGE(""https://docs.google.com/spreadsheets/d/1Uw7-A9f9R21vMXxHZFNpYNeKFtG8_yji4HS352LGlSQ/edit?pli=1#gid=0"",""1_ACUM!A4:S""),16,FALSE))"),"")</f>
        <v/>
      </c>
      <c r="AH378" s="43" t="str">
        <f ca="1">IFERROR(__xludf.DUMMYFUNCTION("IFERROR(VLOOKUP(E401&amp;F401,IMPORTRANGE(""https://docs.google.com/spreadsheets/d/1Uw7-A9f9R21vMXxHZFNpYNeKFtG8_yji4HS352LGlSQ/edit?pli=1#gid=0"",""1_ACUM!A4:S""),17,FALSE))"),"")</f>
        <v/>
      </c>
      <c r="AI378" s="44" t="str">
        <f ca="1">IFERROR(__xludf.DUMMYFUNCTION("IFERROR(VLOOKUP(E401&amp;F401,IMPORTRANGE(""https://docs.google.com/spreadsheets/d/1Uw7-A9f9R21vMXxHZFNpYNeKFtG8_yji4HS352LGlSQ/edit?pli=1#gid=0"",""1_ACUM!A4:S""),18,FALSE))"),"")</f>
        <v/>
      </c>
      <c r="AJ378" s="44" t="str">
        <f ca="1">IFERROR(__xludf.DUMMYFUNCTION("IFERROR(VLOOKUP(E401&amp;F401,IMPORTRANGE(""https://docs.google.com/spreadsheets/d/1Uw7-A9f9R21vMXxHZFNpYNeKFtG8_yji4HS352LGlSQ/edit?pli=1#gid=0"",""1_ACUM!A4:S""),19,FALSE))"),"")</f>
        <v/>
      </c>
      <c r="AK378" s="98" t="str">
        <f ca="1">IFERROR(__xludf.DUMMYFUNCTION("IFERROR(VLOOKUP(F401,IMPORTRANGE(""https://docs.google.com/spreadsheets/d/1Kvs4KS76FHFqLFIZfrDMff4kP08nblUkihrxltoGBjg/edit#gid=934712705"",""ESENCIAL!A6:BG""),5,FALSE))"),"")</f>
        <v/>
      </c>
      <c r="AL378" s="98" t="str">
        <f t="shared" si="25"/>
        <v/>
      </c>
      <c r="AM378" s="99" t="str">
        <f t="shared" si="26"/>
        <v/>
      </c>
      <c r="AN378" s="100" t="str">
        <f ca="1">IFERROR(__xludf.DUMMYFUNCTION("IFERROR(VLOOKUP(F401,IMPORTRANGE(""https://docs.google.com/spreadsheets/d/1Kvs4KS76FHFqLFIZfrDMff4kP08nblUkihrxltoGBjg/edit#gid=934712705"",""ESENCIAL!A6:BG""),2,FALSE))"),"")</f>
        <v/>
      </c>
      <c r="AO378" s="19" t="str">
        <f t="shared" si="20"/>
        <v/>
      </c>
      <c r="AP378" s="100"/>
      <c r="AQ378" s="100"/>
    </row>
    <row r="379" spans="1:43" ht="15">
      <c r="A379" s="101"/>
      <c r="B379" s="101"/>
      <c r="G379" s="5" t="str">
        <f ca="1">IFERROR(__xludf.DUMMYFUNCTION("IFERROR(VLOOKUP(F402,IMPORTRANGE(""https://docs.google.com/spreadsheets/d/1Kvs4KS76FHFqLFIZfrDMff4kP08nblUkihrxltoGBjg/edit#gid=934712705"",""ESENCIAL!A6:BG""),3,FALSE))"),"")</f>
        <v/>
      </c>
      <c r="H379" s="5" t="str">
        <f ca="1">IFERROR(__xludf.DUMMYFUNCTION("IFERROR(VLOOKUP(F402,IMPORTRANGE(""https://docs.google.com/spreadsheets/d/1Kvs4KS76FHFqLFIZfrDMff4kP08nblUkihrxltoGBjg/edit#gid=934712705"",""ESENCIAL!A6:BG""),8,FALSE))"),"")</f>
        <v/>
      </c>
      <c r="L379" s="287"/>
      <c r="Z379" s="41" t="str">
        <f t="shared" si="24"/>
        <v/>
      </c>
      <c r="AA379" s="5" t="str">
        <f ca="1">IFERROR(__xludf.DUMMYFUNCTION("IFERROR(VLOOKUP(E402&amp;F402,IMPORTRANGE(""https://docs.google.com/spreadsheets/d/1Uw7-A9f9R21vMXxHZFNpYNeKFtG8_yji4HS352LGlSQ/edit?pli=1#gid=0"",""1_ACUM!A4:S""),11,FALSE))"),"")</f>
        <v/>
      </c>
      <c r="AB379" s="42" t="str">
        <f ca="1">IFERROR(__xludf.DUMMYFUNCTION("IFERROR(VLOOKUP(F402,IMPORTRANGE(""https://docs.google.com/spreadsheets/d/1Kvs4KS76FHFqLFIZfrDMff4kP08nblUkihrxltoGBjg/edit#gid=934712705"",""ESENCIAL!A6:BG""),15,FALSE))"),"")</f>
        <v/>
      </c>
      <c r="AC379" s="110" t="str">
        <f ca="1">IFERROR(__xludf.DUMMYFUNCTION("IFERROR(VLOOKUP(E402&amp;F402,IMPORTRANGE(""https://docs.google.com/spreadsheets/d/1Uw7-A9f9R21vMXxHZFNpYNeKFtG8_yji4HS352LGlSQ/edit?pli=1#gid=0"",""1_ACUM!A4:S""),13,FALSE))"),"")</f>
        <v/>
      </c>
      <c r="AD379" s="43" t="str">
        <f ca="1">IFERROR(__xludf.DUMMYFUNCTION("IFERROR(VLOOKUP(E402&amp;F402,IMPORTRANGE(""https://docs.google.com/spreadsheets/d/1Uw7-A9f9R21vMXxHZFNpYNeKFtG8_yji4HS352LGlSQ/edit?pli=1#gid=0"",""1_ACUM!A4:S""),13,FALSE))"),"")</f>
        <v/>
      </c>
      <c r="AE379" s="43" t="str">
        <f ca="1">IFERROR(__xludf.DUMMYFUNCTION("IFERROR(VLOOKUP(E402&amp;F402,IMPORTRANGE(""https://docs.google.com/spreadsheets/d/1Uw7-A9f9R21vMXxHZFNpYNeKFtG8_yji4HS352LGlSQ/edit?pli=1#gid=0"",""1_ACUM!A4:S""),14,FALSE))"),"")</f>
        <v/>
      </c>
      <c r="AF379" s="43" t="str">
        <f ca="1">IFERROR(__xludf.DUMMYFUNCTION("IFERROR(VLOOKUP(E402&amp;F402,IMPORTRANGE(""https://docs.google.com/spreadsheets/d/1Uw7-A9f9R21vMXxHZFNpYNeKFtG8_yji4HS352LGlSQ/edit?pli=1#gid=0"",""1_ACUM!A4:S""),15,FALSE))"),"")</f>
        <v/>
      </c>
      <c r="AG379" s="43" t="str">
        <f ca="1">IFERROR(__xludf.DUMMYFUNCTION("IFERROR(VLOOKUP(E402&amp;F402,IMPORTRANGE(""https://docs.google.com/spreadsheets/d/1Uw7-A9f9R21vMXxHZFNpYNeKFtG8_yji4HS352LGlSQ/edit?pli=1#gid=0"",""1_ACUM!A4:S""),16,FALSE))"),"")</f>
        <v/>
      </c>
      <c r="AH379" s="43" t="str">
        <f ca="1">IFERROR(__xludf.DUMMYFUNCTION("IFERROR(VLOOKUP(E402&amp;F402,IMPORTRANGE(""https://docs.google.com/spreadsheets/d/1Uw7-A9f9R21vMXxHZFNpYNeKFtG8_yji4HS352LGlSQ/edit?pli=1#gid=0"",""1_ACUM!A4:S""),17,FALSE))"),"")</f>
        <v/>
      </c>
      <c r="AI379" s="44" t="str">
        <f ca="1">IFERROR(__xludf.DUMMYFUNCTION("IFERROR(VLOOKUP(E402&amp;F402,IMPORTRANGE(""https://docs.google.com/spreadsheets/d/1Uw7-A9f9R21vMXxHZFNpYNeKFtG8_yji4HS352LGlSQ/edit?pli=1#gid=0"",""1_ACUM!A4:S""),18,FALSE))"),"")</f>
        <v/>
      </c>
      <c r="AJ379" s="44" t="str">
        <f ca="1">IFERROR(__xludf.DUMMYFUNCTION("IFERROR(VLOOKUP(E402&amp;F402,IMPORTRANGE(""https://docs.google.com/spreadsheets/d/1Uw7-A9f9R21vMXxHZFNpYNeKFtG8_yji4HS352LGlSQ/edit?pli=1#gid=0"",""1_ACUM!A4:S""),19,FALSE))"),"")</f>
        <v/>
      </c>
      <c r="AK379" s="98" t="str">
        <f ca="1">IFERROR(__xludf.DUMMYFUNCTION("IFERROR(VLOOKUP(F402,IMPORTRANGE(""https://docs.google.com/spreadsheets/d/1Kvs4KS76FHFqLFIZfrDMff4kP08nblUkihrxltoGBjg/edit#gid=934712705"",""ESENCIAL!A6:BG""),5,FALSE))"),"")</f>
        <v/>
      </c>
      <c r="AL379" s="98" t="str">
        <f t="shared" si="25"/>
        <v/>
      </c>
      <c r="AM379" s="99" t="str">
        <f t="shared" si="26"/>
        <v/>
      </c>
      <c r="AN379" s="100" t="str">
        <f ca="1">IFERROR(__xludf.DUMMYFUNCTION("IFERROR(VLOOKUP(F402,IMPORTRANGE(""https://docs.google.com/spreadsheets/d/1Kvs4KS76FHFqLFIZfrDMff4kP08nblUkihrxltoGBjg/edit#gid=934712705"",""ESENCIAL!A6:BG""),2,FALSE))"),"")</f>
        <v/>
      </c>
      <c r="AO379" s="19" t="str">
        <f t="shared" si="20"/>
        <v/>
      </c>
      <c r="AP379" s="100"/>
      <c r="AQ379" s="100"/>
    </row>
    <row r="380" spans="1:43" ht="15">
      <c r="A380" s="101"/>
      <c r="B380" s="101"/>
      <c r="G380" s="5" t="str">
        <f ca="1">IFERROR(__xludf.DUMMYFUNCTION("IFERROR(VLOOKUP(F403,IMPORTRANGE(""https://docs.google.com/spreadsheets/d/1Kvs4KS76FHFqLFIZfrDMff4kP08nblUkihrxltoGBjg/edit#gid=934712705"",""ESENCIAL!A6:BG""),3,FALSE))"),"")</f>
        <v/>
      </c>
      <c r="H380" s="5" t="str">
        <f ca="1">IFERROR(__xludf.DUMMYFUNCTION("IFERROR(VLOOKUP(F403,IMPORTRANGE(""https://docs.google.com/spreadsheets/d/1Kvs4KS76FHFqLFIZfrDMff4kP08nblUkihrxltoGBjg/edit#gid=934712705"",""ESENCIAL!A6:BG""),8,FALSE))"),"")</f>
        <v/>
      </c>
      <c r="L380" s="287"/>
      <c r="Z380" s="41" t="str">
        <f t="shared" si="24"/>
        <v/>
      </c>
      <c r="AA380" s="5" t="str">
        <f ca="1">IFERROR(__xludf.DUMMYFUNCTION("IFERROR(VLOOKUP(E403&amp;F403,IMPORTRANGE(""https://docs.google.com/spreadsheets/d/1Uw7-A9f9R21vMXxHZFNpYNeKFtG8_yji4HS352LGlSQ/edit?pli=1#gid=0"",""1_ACUM!A4:S""),11,FALSE))"),"")</f>
        <v/>
      </c>
      <c r="AB380" s="42" t="str">
        <f ca="1">IFERROR(__xludf.DUMMYFUNCTION("IFERROR(VLOOKUP(F403,IMPORTRANGE(""https://docs.google.com/spreadsheets/d/1Kvs4KS76FHFqLFIZfrDMff4kP08nblUkihrxltoGBjg/edit#gid=934712705"",""ESENCIAL!A6:BG""),15,FALSE))"),"")</f>
        <v/>
      </c>
      <c r="AC380" s="110" t="str">
        <f ca="1">IFERROR(__xludf.DUMMYFUNCTION("IFERROR(VLOOKUP(E403&amp;F403,IMPORTRANGE(""https://docs.google.com/spreadsheets/d/1Uw7-A9f9R21vMXxHZFNpYNeKFtG8_yji4HS352LGlSQ/edit?pli=1#gid=0"",""1_ACUM!A4:S""),13,FALSE))"),"")</f>
        <v/>
      </c>
      <c r="AD380" s="43" t="str">
        <f ca="1">IFERROR(__xludf.DUMMYFUNCTION("IFERROR(VLOOKUP(E403&amp;F403,IMPORTRANGE(""https://docs.google.com/spreadsheets/d/1Uw7-A9f9R21vMXxHZFNpYNeKFtG8_yji4HS352LGlSQ/edit?pli=1#gid=0"",""1_ACUM!A4:S""),13,FALSE))"),"")</f>
        <v/>
      </c>
      <c r="AE380" s="43" t="str">
        <f ca="1">IFERROR(__xludf.DUMMYFUNCTION("IFERROR(VLOOKUP(E403&amp;F403,IMPORTRANGE(""https://docs.google.com/spreadsheets/d/1Uw7-A9f9R21vMXxHZFNpYNeKFtG8_yji4HS352LGlSQ/edit?pli=1#gid=0"",""1_ACUM!A4:S""),14,FALSE))"),"")</f>
        <v/>
      </c>
      <c r="AF380" s="43" t="str">
        <f ca="1">IFERROR(__xludf.DUMMYFUNCTION("IFERROR(VLOOKUP(E403&amp;F403,IMPORTRANGE(""https://docs.google.com/spreadsheets/d/1Uw7-A9f9R21vMXxHZFNpYNeKFtG8_yji4HS352LGlSQ/edit?pli=1#gid=0"",""1_ACUM!A4:S""),15,FALSE))"),"")</f>
        <v/>
      </c>
      <c r="AG380" s="43" t="str">
        <f ca="1">IFERROR(__xludf.DUMMYFUNCTION("IFERROR(VLOOKUP(E403&amp;F403,IMPORTRANGE(""https://docs.google.com/spreadsheets/d/1Uw7-A9f9R21vMXxHZFNpYNeKFtG8_yji4HS352LGlSQ/edit?pli=1#gid=0"",""1_ACUM!A4:S""),16,FALSE))"),"")</f>
        <v/>
      </c>
      <c r="AH380" s="43" t="str">
        <f ca="1">IFERROR(__xludf.DUMMYFUNCTION("IFERROR(VLOOKUP(E403&amp;F403,IMPORTRANGE(""https://docs.google.com/spreadsheets/d/1Uw7-A9f9R21vMXxHZFNpYNeKFtG8_yji4HS352LGlSQ/edit?pli=1#gid=0"",""1_ACUM!A4:S""),17,FALSE))"),"")</f>
        <v/>
      </c>
      <c r="AI380" s="44" t="str">
        <f ca="1">IFERROR(__xludf.DUMMYFUNCTION("IFERROR(VLOOKUP(E403&amp;F403,IMPORTRANGE(""https://docs.google.com/spreadsheets/d/1Uw7-A9f9R21vMXxHZFNpYNeKFtG8_yji4HS352LGlSQ/edit?pli=1#gid=0"",""1_ACUM!A4:S""),18,FALSE))"),"")</f>
        <v/>
      </c>
      <c r="AJ380" s="44" t="str">
        <f ca="1">IFERROR(__xludf.DUMMYFUNCTION("IFERROR(VLOOKUP(E403&amp;F403,IMPORTRANGE(""https://docs.google.com/spreadsheets/d/1Uw7-A9f9R21vMXxHZFNpYNeKFtG8_yji4HS352LGlSQ/edit?pli=1#gid=0"",""1_ACUM!A4:S""),19,FALSE))"),"")</f>
        <v/>
      </c>
      <c r="AK380" s="98" t="str">
        <f ca="1">IFERROR(__xludf.DUMMYFUNCTION("IFERROR(VLOOKUP(F403,IMPORTRANGE(""https://docs.google.com/spreadsheets/d/1Kvs4KS76FHFqLFIZfrDMff4kP08nblUkihrxltoGBjg/edit#gid=934712705"",""ESENCIAL!A6:BG""),5,FALSE))"),"")</f>
        <v/>
      </c>
      <c r="AL380" s="98" t="str">
        <f t="shared" si="25"/>
        <v/>
      </c>
      <c r="AM380" s="99" t="str">
        <f t="shared" si="26"/>
        <v/>
      </c>
      <c r="AN380" s="100" t="str">
        <f ca="1">IFERROR(__xludf.DUMMYFUNCTION("IFERROR(VLOOKUP(F403,IMPORTRANGE(""https://docs.google.com/spreadsheets/d/1Kvs4KS76FHFqLFIZfrDMff4kP08nblUkihrxltoGBjg/edit#gid=934712705"",""ESENCIAL!A6:BG""),2,FALSE))"),"")</f>
        <v/>
      </c>
      <c r="AO380" s="19" t="str">
        <f t="shared" si="20"/>
        <v/>
      </c>
      <c r="AP380" s="100"/>
      <c r="AQ380" s="100"/>
    </row>
    <row r="381" spans="1:43" ht="15">
      <c r="A381" s="101"/>
      <c r="B381" s="101"/>
      <c r="G381" s="5" t="str">
        <f ca="1">IFERROR(__xludf.DUMMYFUNCTION("IFERROR(VLOOKUP(F404,IMPORTRANGE(""https://docs.google.com/spreadsheets/d/1Kvs4KS76FHFqLFIZfrDMff4kP08nblUkihrxltoGBjg/edit#gid=934712705"",""ESENCIAL!A6:BG""),3,FALSE))"),"")</f>
        <v/>
      </c>
      <c r="H381" s="5" t="str">
        <f ca="1">IFERROR(__xludf.DUMMYFUNCTION("IFERROR(VLOOKUP(F404,IMPORTRANGE(""https://docs.google.com/spreadsheets/d/1Kvs4KS76FHFqLFIZfrDMff4kP08nblUkihrxltoGBjg/edit#gid=934712705"",""ESENCIAL!A6:BG""),8,FALSE))"),"")</f>
        <v/>
      </c>
      <c r="L381" s="287"/>
      <c r="Z381" s="41" t="str">
        <f t="shared" si="24"/>
        <v/>
      </c>
      <c r="AA381" s="5" t="str">
        <f ca="1">IFERROR(__xludf.DUMMYFUNCTION("IFERROR(VLOOKUP(E404&amp;F404,IMPORTRANGE(""https://docs.google.com/spreadsheets/d/1Uw7-A9f9R21vMXxHZFNpYNeKFtG8_yji4HS352LGlSQ/edit?pli=1#gid=0"",""1_ACUM!A4:S""),11,FALSE))"),"")</f>
        <v/>
      </c>
      <c r="AB381" s="42" t="str">
        <f ca="1">IFERROR(__xludf.DUMMYFUNCTION("IFERROR(VLOOKUP(F404,IMPORTRANGE(""https://docs.google.com/spreadsheets/d/1Kvs4KS76FHFqLFIZfrDMff4kP08nblUkihrxltoGBjg/edit#gid=934712705"",""ESENCIAL!A6:BG""),15,FALSE))"),"")</f>
        <v/>
      </c>
      <c r="AC381" s="110" t="str">
        <f ca="1">IFERROR(__xludf.DUMMYFUNCTION("IFERROR(VLOOKUP(E404&amp;F404,IMPORTRANGE(""https://docs.google.com/spreadsheets/d/1Uw7-A9f9R21vMXxHZFNpYNeKFtG8_yji4HS352LGlSQ/edit?pli=1#gid=0"",""1_ACUM!A4:S""),13,FALSE))"),"")</f>
        <v/>
      </c>
      <c r="AD381" s="43" t="str">
        <f ca="1">IFERROR(__xludf.DUMMYFUNCTION("IFERROR(VLOOKUP(E404&amp;F404,IMPORTRANGE(""https://docs.google.com/spreadsheets/d/1Uw7-A9f9R21vMXxHZFNpYNeKFtG8_yji4HS352LGlSQ/edit?pli=1#gid=0"",""1_ACUM!A4:S""),13,FALSE))"),"")</f>
        <v/>
      </c>
      <c r="AE381" s="43" t="str">
        <f ca="1">IFERROR(__xludf.DUMMYFUNCTION("IFERROR(VLOOKUP(E404&amp;F404,IMPORTRANGE(""https://docs.google.com/spreadsheets/d/1Uw7-A9f9R21vMXxHZFNpYNeKFtG8_yji4HS352LGlSQ/edit?pli=1#gid=0"",""1_ACUM!A4:S""),14,FALSE))"),"")</f>
        <v/>
      </c>
      <c r="AF381" s="43" t="str">
        <f ca="1">IFERROR(__xludf.DUMMYFUNCTION("IFERROR(VLOOKUP(E404&amp;F404,IMPORTRANGE(""https://docs.google.com/spreadsheets/d/1Uw7-A9f9R21vMXxHZFNpYNeKFtG8_yji4HS352LGlSQ/edit?pli=1#gid=0"",""1_ACUM!A4:S""),15,FALSE))"),"")</f>
        <v/>
      </c>
      <c r="AG381" s="43" t="str">
        <f ca="1">IFERROR(__xludf.DUMMYFUNCTION("IFERROR(VLOOKUP(E404&amp;F404,IMPORTRANGE(""https://docs.google.com/spreadsheets/d/1Uw7-A9f9R21vMXxHZFNpYNeKFtG8_yji4HS352LGlSQ/edit?pli=1#gid=0"",""1_ACUM!A4:S""),16,FALSE))"),"")</f>
        <v/>
      </c>
      <c r="AH381" s="43" t="str">
        <f ca="1">IFERROR(__xludf.DUMMYFUNCTION("IFERROR(VLOOKUP(E404&amp;F404,IMPORTRANGE(""https://docs.google.com/spreadsheets/d/1Uw7-A9f9R21vMXxHZFNpYNeKFtG8_yji4HS352LGlSQ/edit?pli=1#gid=0"",""1_ACUM!A4:S""),17,FALSE))"),"")</f>
        <v/>
      </c>
      <c r="AI381" s="44" t="str">
        <f ca="1">IFERROR(__xludf.DUMMYFUNCTION("IFERROR(VLOOKUP(E404&amp;F404,IMPORTRANGE(""https://docs.google.com/spreadsheets/d/1Uw7-A9f9R21vMXxHZFNpYNeKFtG8_yji4HS352LGlSQ/edit?pli=1#gid=0"",""1_ACUM!A4:S""),18,FALSE))"),"")</f>
        <v/>
      </c>
      <c r="AJ381" s="44" t="str">
        <f ca="1">IFERROR(__xludf.DUMMYFUNCTION("IFERROR(VLOOKUP(E404&amp;F404,IMPORTRANGE(""https://docs.google.com/spreadsheets/d/1Uw7-A9f9R21vMXxHZFNpYNeKFtG8_yji4HS352LGlSQ/edit?pli=1#gid=0"",""1_ACUM!A4:S""),19,FALSE))"),"")</f>
        <v/>
      </c>
      <c r="AK381" s="98" t="str">
        <f ca="1">IFERROR(__xludf.DUMMYFUNCTION("IFERROR(VLOOKUP(F404,IMPORTRANGE(""https://docs.google.com/spreadsheets/d/1Kvs4KS76FHFqLFIZfrDMff4kP08nblUkihrxltoGBjg/edit#gid=934712705"",""ESENCIAL!A6:BG""),5,FALSE))"),"")</f>
        <v/>
      </c>
      <c r="AL381" s="98" t="str">
        <f t="shared" si="25"/>
        <v/>
      </c>
      <c r="AM381" s="99" t="str">
        <f t="shared" si="26"/>
        <v/>
      </c>
      <c r="AN381" s="100" t="str">
        <f ca="1">IFERROR(__xludf.DUMMYFUNCTION("IFERROR(VLOOKUP(F404,IMPORTRANGE(""https://docs.google.com/spreadsheets/d/1Kvs4KS76FHFqLFIZfrDMff4kP08nblUkihrxltoGBjg/edit#gid=934712705"",""ESENCIAL!A6:BG""),2,FALSE))"),"")</f>
        <v/>
      </c>
      <c r="AO381" s="19" t="str">
        <f t="shared" si="20"/>
        <v/>
      </c>
      <c r="AP381" s="100"/>
      <c r="AQ381" s="100"/>
    </row>
    <row r="382" spans="1:43" ht="15">
      <c r="A382" s="101"/>
      <c r="B382" s="101"/>
      <c r="G382" s="5" t="str">
        <f ca="1">IFERROR(__xludf.DUMMYFUNCTION("IFERROR(VLOOKUP(F405,IMPORTRANGE(""https://docs.google.com/spreadsheets/d/1Kvs4KS76FHFqLFIZfrDMff4kP08nblUkihrxltoGBjg/edit#gid=934712705"",""ESENCIAL!A6:BG""),3,FALSE))"),"")</f>
        <v/>
      </c>
      <c r="H382" s="5" t="str">
        <f ca="1">IFERROR(__xludf.DUMMYFUNCTION("IFERROR(VLOOKUP(F405,IMPORTRANGE(""https://docs.google.com/spreadsheets/d/1Kvs4KS76FHFqLFIZfrDMff4kP08nblUkihrxltoGBjg/edit#gid=934712705"",""ESENCIAL!A6:BG""),8,FALSE))"),"")</f>
        <v/>
      </c>
      <c r="L382" s="287"/>
      <c r="Z382" s="41" t="str">
        <f t="shared" si="24"/>
        <v/>
      </c>
      <c r="AA382" s="5" t="str">
        <f ca="1">IFERROR(__xludf.DUMMYFUNCTION("IFERROR(VLOOKUP(E405&amp;F405,IMPORTRANGE(""https://docs.google.com/spreadsheets/d/1Uw7-A9f9R21vMXxHZFNpYNeKFtG8_yji4HS352LGlSQ/edit?pli=1#gid=0"",""1_ACUM!A4:S""),11,FALSE))"),"")</f>
        <v/>
      </c>
      <c r="AB382" s="42" t="str">
        <f ca="1">IFERROR(__xludf.DUMMYFUNCTION("IFERROR(VLOOKUP(F405,IMPORTRANGE(""https://docs.google.com/spreadsheets/d/1Kvs4KS76FHFqLFIZfrDMff4kP08nblUkihrxltoGBjg/edit#gid=934712705"",""ESENCIAL!A6:BG""),15,FALSE))"),"")</f>
        <v/>
      </c>
      <c r="AC382" s="110" t="str">
        <f ca="1">IFERROR(__xludf.DUMMYFUNCTION("IFERROR(VLOOKUP(E405&amp;F405,IMPORTRANGE(""https://docs.google.com/spreadsheets/d/1Uw7-A9f9R21vMXxHZFNpYNeKFtG8_yji4HS352LGlSQ/edit?pli=1#gid=0"",""1_ACUM!A4:S""),13,FALSE))"),"")</f>
        <v/>
      </c>
      <c r="AD382" s="43" t="str">
        <f ca="1">IFERROR(__xludf.DUMMYFUNCTION("IFERROR(VLOOKUP(E405&amp;F405,IMPORTRANGE(""https://docs.google.com/spreadsheets/d/1Uw7-A9f9R21vMXxHZFNpYNeKFtG8_yji4HS352LGlSQ/edit?pli=1#gid=0"",""1_ACUM!A4:S""),13,FALSE))"),"")</f>
        <v/>
      </c>
      <c r="AE382" s="43" t="str">
        <f ca="1">IFERROR(__xludf.DUMMYFUNCTION("IFERROR(VLOOKUP(E405&amp;F405,IMPORTRANGE(""https://docs.google.com/spreadsheets/d/1Uw7-A9f9R21vMXxHZFNpYNeKFtG8_yji4HS352LGlSQ/edit?pli=1#gid=0"",""1_ACUM!A4:S""),14,FALSE))"),"")</f>
        <v/>
      </c>
      <c r="AF382" s="43" t="str">
        <f ca="1">IFERROR(__xludf.DUMMYFUNCTION("IFERROR(VLOOKUP(E405&amp;F405,IMPORTRANGE(""https://docs.google.com/spreadsheets/d/1Uw7-A9f9R21vMXxHZFNpYNeKFtG8_yji4HS352LGlSQ/edit?pli=1#gid=0"",""1_ACUM!A4:S""),15,FALSE))"),"")</f>
        <v/>
      </c>
      <c r="AG382" s="43" t="str">
        <f ca="1">IFERROR(__xludf.DUMMYFUNCTION("IFERROR(VLOOKUP(E405&amp;F405,IMPORTRANGE(""https://docs.google.com/spreadsheets/d/1Uw7-A9f9R21vMXxHZFNpYNeKFtG8_yji4HS352LGlSQ/edit?pli=1#gid=0"",""1_ACUM!A4:S""),16,FALSE))"),"")</f>
        <v/>
      </c>
      <c r="AH382" s="43" t="str">
        <f ca="1">IFERROR(__xludf.DUMMYFUNCTION("IFERROR(VLOOKUP(E405&amp;F405,IMPORTRANGE(""https://docs.google.com/spreadsheets/d/1Uw7-A9f9R21vMXxHZFNpYNeKFtG8_yji4HS352LGlSQ/edit?pli=1#gid=0"",""1_ACUM!A4:S""),17,FALSE))"),"")</f>
        <v/>
      </c>
      <c r="AI382" s="44" t="str">
        <f ca="1">IFERROR(__xludf.DUMMYFUNCTION("IFERROR(VLOOKUP(E405&amp;F405,IMPORTRANGE(""https://docs.google.com/spreadsheets/d/1Uw7-A9f9R21vMXxHZFNpYNeKFtG8_yji4HS352LGlSQ/edit?pli=1#gid=0"",""1_ACUM!A4:S""),18,FALSE))"),"")</f>
        <v/>
      </c>
      <c r="AJ382" s="44" t="str">
        <f ca="1">IFERROR(__xludf.DUMMYFUNCTION("IFERROR(VLOOKUP(E405&amp;F405,IMPORTRANGE(""https://docs.google.com/spreadsheets/d/1Uw7-A9f9R21vMXxHZFNpYNeKFtG8_yji4HS352LGlSQ/edit?pli=1#gid=0"",""1_ACUM!A4:S""),19,FALSE))"),"")</f>
        <v/>
      </c>
      <c r="AK382" s="98" t="str">
        <f ca="1">IFERROR(__xludf.DUMMYFUNCTION("IFERROR(VLOOKUP(F405,IMPORTRANGE(""https://docs.google.com/spreadsheets/d/1Kvs4KS76FHFqLFIZfrDMff4kP08nblUkihrxltoGBjg/edit#gid=934712705"",""ESENCIAL!A6:BG""),5,FALSE))"),"")</f>
        <v/>
      </c>
      <c r="AL382" s="98" t="str">
        <f t="shared" si="25"/>
        <v/>
      </c>
      <c r="AM382" s="99" t="str">
        <f t="shared" si="26"/>
        <v/>
      </c>
      <c r="AN382" s="100" t="str">
        <f ca="1">IFERROR(__xludf.DUMMYFUNCTION("IFERROR(VLOOKUP(F405,IMPORTRANGE(""https://docs.google.com/spreadsheets/d/1Kvs4KS76FHFqLFIZfrDMff4kP08nblUkihrxltoGBjg/edit#gid=934712705"",""ESENCIAL!A6:BG""),2,FALSE))"),"")</f>
        <v/>
      </c>
      <c r="AO382" s="19" t="str">
        <f t="shared" si="20"/>
        <v/>
      </c>
      <c r="AP382" s="100"/>
      <c r="AQ382" s="100"/>
    </row>
    <row r="383" spans="1:43" ht="15">
      <c r="A383" s="101"/>
      <c r="B383" s="101"/>
      <c r="G383" s="5" t="str">
        <f ca="1">IFERROR(__xludf.DUMMYFUNCTION("IFERROR(VLOOKUP(F406,IMPORTRANGE(""https://docs.google.com/spreadsheets/d/1Kvs4KS76FHFqLFIZfrDMff4kP08nblUkihrxltoGBjg/edit#gid=934712705"",""ESENCIAL!A6:BG""),3,FALSE))"),"")</f>
        <v/>
      </c>
      <c r="H383" s="5" t="str">
        <f ca="1">IFERROR(__xludf.DUMMYFUNCTION("IFERROR(VLOOKUP(F406,IMPORTRANGE(""https://docs.google.com/spreadsheets/d/1Kvs4KS76FHFqLFIZfrDMff4kP08nblUkihrxltoGBjg/edit#gid=934712705"",""ESENCIAL!A6:BG""),8,FALSE))"),"")</f>
        <v/>
      </c>
      <c r="L383" s="287"/>
      <c r="Z383" s="41" t="str">
        <f t="shared" si="24"/>
        <v/>
      </c>
      <c r="AA383" s="5" t="str">
        <f ca="1">IFERROR(__xludf.DUMMYFUNCTION("IFERROR(VLOOKUP(E406&amp;F406,IMPORTRANGE(""https://docs.google.com/spreadsheets/d/1Uw7-A9f9R21vMXxHZFNpYNeKFtG8_yji4HS352LGlSQ/edit?pli=1#gid=0"",""1_ACUM!A4:S""),11,FALSE))"),"")</f>
        <v/>
      </c>
      <c r="AB383" s="42" t="str">
        <f ca="1">IFERROR(__xludf.DUMMYFUNCTION("IFERROR(VLOOKUP(F406,IMPORTRANGE(""https://docs.google.com/spreadsheets/d/1Kvs4KS76FHFqLFIZfrDMff4kP08nblUkihrxltoGBjg/edit#gid=934712705"",""ESENCIAL!A6:BG""),15,FALSE))"),"")</f>
        <v/>
      </c>
      <c r="AC383" s="110" t="str">
        <f ca="1">IFERROR(__xludf.DUMMYFUNCTION("IFERROR(VLOOKUP(E406&amp;F406,IMPORTRANGE(""https://docs.google.com/spreadsheets/d/1Uw7-A9f9R21vMXxHZFNpYNeKFtG8_yji4HS352LGlSQ/edit?pli=1#gid=0"",""1_ACUM!A4:S""),13,FALSE))"),"")</f>
        <v/>
      </c>
      <c r="AD383" s="43" t="str">
        <f ca="1">IFERROR(__xludf.DUMMYFUNCTION("IFERROR(VLOOKUP(E406&amp;F406,IMPORTRANGE(""https://docs.google.com/spreadsheets/d/1Uw7-A9f9R21vMXxHZFNpYNeKFtG8_yji4HS352LGlSQ/edit?pli=1#gid=0"",""1_ACUM!A4:S""),13,FALSE))"),"")</f>
        <v/>
      </c>
      <c r="AE383" s="43" t="str">
        <f ca="1">IFERROR(__xludf.DUMMYFUNCTION("IFERROR(VLOOKUP(E406&amp;F406,IMPORTRANGE(""https://docs.google.com/spreadsheets/d/1Uw7-A9f9R21vMXxHZFNpYNeKFtG8_yji4HS352LGlSQ/edit?pli=1#gid=0"",""1_ACUM!A4:S""),14,FALSE))"),"")</f>
        <v/>
      </c>
      <c r="AF383" s="43" t="str">
        <f ca="1">IFERROR(__xludf.DUMMYFUNCTION("IFERROR(VLOOKUP(E406&amp;F406,IMPORTRANGE(""https://docs.google.com/spreadsheets/d/1Uw7-A9f9R21vMXxHZFNpYNeKFtG8_yji4HS352LGlSQ/edit?pli=1#gid=0"",""1_ACUM!A4:S""),15,FALSE))"),"")</f>
        <v/>
      </c>
      <c r="AG383" s="43" t="str">
        <f ca="1">IFERROR(__xludf.DUMMYFUNCTION("IFERROR(VLOOKUP(E406&amp;F406,IMPORTRANGE(""https://docs.google.com/spreadsheets/d/1Uw7-A9f9R21vMXxHZFNpYNeKFtG8_yji4HS352LGlSQ/edit?pli=1#gid=0"",""1_ACUM!A4:S""),16,FALSE))"),"")</f>
        <v/>
      </c>
      <c r="AH383" s="43" t="str">
        <f ca="1">IFERROR(__xludf.DUMMYFUNCTION("IFERROR(VLOOKUP(E406&amp;F406,IMPORTRANGE(""https://docs.google.com/spreadsheets/d/1Uw7-A9f9R21vMXxHZFNpYNeKFtG8_yji4HS352LGlSQ/edit?pli=1#gid=0"",""1_ACUM!A4:S""),17,FALSE))"),"")</f>
        <v/>
      </c>
      <c r="AI383" s="44" t="str">
        <f ca="1">IFERROR(__xludf.DUMMYFUNCTION("IFERROR(VLOOKUP(E406&amp;F406,IMPORTRANGE(""https://docs.google.com/spreadsheets/d/1Uw7-A9f9R21vMXxHZFNpYNeKFtG8_yji4HS352LGlSQ/edit?pli=1#gid=0"",""1_ACUM!A4:S""),18,FALSE))"),"")</f>
        <v/>
      </c>
      <c r="AJ383" s="44" t="str">
        <f ca="1">IFERROR(__xludf.DUMMYFUNCTION("IFERROR(VLOOKUP(E406&amp;F406,IMPORTRANGE(""https://docs.google.com/spreadsheets/d/1Uw7-A9f9R21vMXxHZFNpYNeKFtG8_yji4HS352LGlSQ/edit?pli=1#gid=0"",""1_ACUM!A4:S""),19,FALSE))"),"")</f>
        <v/>
      </c>
      <c r="AK383" s="98" t="str">
        <f ca="1">IFERROR(__xludf.DUMMYFUNCTION("IFERROR(VLOOKUP(F406,IMPORTRANGE(""https://docs.google.com/spreadsheets/d/1Kvs4KS76FHFqLFIZfrDMff4kP08nblUkihrxltoGBjg/edit#gid=934712705"",""ESENCIAL!A6:BG""),5,FALSE))"),"")</f>
        <v/>
      </c>
      <c r="AL383" s="98" t="str">
        <f t="shared" si="25"/>
        <v/>
      </c>
      <c r="AM383" s="99" t="str">
        <f t="shared" si="26"/>
        <v/>
      </c>
      <c r="AN383" s="100" t="str">
        <f ca="1">IFERROR(__xludf.DUMMYFUNCTION("IFERROR(VLOOKUP(F406,IMPORTRANGE(""https://docs.google.com/spreadsheets/d/1Kvs4KS76FHFqLFIZfrDMff4kP08nblUkihrxltoGBjg/edit#gid=934712705"",""ESENCIAL!A6:BG""),2,FALSE))"),"")</f>
        <v/>
      </c>
      <c r="AO383" s="19" t="str">
        <f t="shared" si="20"/>
        <v/>
      </c>
      <c r="AP383" s="100"/>
      <c r="AQ383" s="100"/>
    </row>
    <row r="384" spans="1:43" ht="15">
      <c r="A384" s="101"/>
      <c r="B384" s="101"/>
      <c r="G384" s="5" t="str">
        <f ca="1">IFERROR(__xludf.DUMMYFUNCTION("IFERROR(VLOOKUP(F407,IMPORTRANGE(""https://docs.google.com/spreadsheets/d/1Kvs4KS76FHFqLFIZfrDMff4kP08nblUkihrxltoGBjg/edit#gid=934712705"",""ESENCIAL!A6:BG""),3,FALSE))"),"")</f>
        <v/>
      </c>
      <c r="H384" s="5" t="str">
        <f ca="1">IFERROR(__xludf.DUMMYFUNCTION("IFERROR(VLOOKUP(F407,IMPORTRANGE(""https://docs.google.com/spreadsheets/d/1Kvs4KS76FHFqLFIZfrDMff4kP08nblUkihrxltoGBjg/edit#gid=934712705"",""ESENCIAL!A6:BG""),8,FALSE))"),"")</f>
        <v/>
      </c>
      <c r="L384" s="287"/>
      <c r="Z384" s="41" t="str">
        <f t="shared" si="24"/>
        <v/>
      </c>
      <c r="AA384" s="5" t="str">
        <f ca="1">IFERROR(__xludf.DUMMYFUNCTION("IFERROR(VLOOKUP(E407&amp;F407,IMPORTRANGE(""https://docs.google.com/spreadsheets/d/1Uw7-A9f9R21vMXxHZFNpYNeKFtG8_yji4HS352LGlSQ/edit?pli=1#gid=0"",""1_ACUM!A4:S""),11,FALSE))"),"")</f>
        <v/>
      </c>
      <c r="AB384" s="42" t="str">
        <f ca="1">IFERROR(__xludf.DUMMYFUNCTION("IFERROR(VLOOKUP(F407,IMPORTRANGE(""https://docs.google.com/spreadsheets/d/1Kvs4KS76FHFqLFIZfrDMff4kP08nblUkihrxltoGBjg/edit#gid=934712705"",""ESENCIAL!A6:BG""),15,FALSE))"),"")</f>
        <v/>
      </c>
      <c r="AC384" s="110" t="str">
        <f ca="1">IFERROR(__xludf.DUMMYFUNCTION("IFERROR(VLOOKUP(E407&amp;F407,IMPORTRANGE(""https://docs.google.com/spreadsheets/d/1Uw7-A9f9R21vMXxHZFNpYNeKFtG8_yji4HS352LGlSQ/edit?pli=1#gid=0"",""1_ACUM!A4:S""),13,FALSE))"),"")</f>
        <v/>
      </c>
      <c r="AD384" s="43" t="str">
        <f ca="1">IFERROR(__xludf.DUMMYFUNCTION("IFERROR(VLOOKUP(E407&amp;F407,IMPORTRANGE(""https://docs.google.com/spreadsheets/d/1Uw7-A9f9R21vMXxHZFNpYNeKFtG8_yji4HS352LGlSQ/edit?pli=1#gid=0"",""1_ACUM!A4:S""),13,FALSE))"),"")</f>
        <v/>
      </c>
      <c r="AE384" s="43" t="str">
        <f ca="1">IFERROR(__xludf.DUMMYFUNCTION("IFERROR(VLOOKUP(E407&amp;F407,IMPORTRANGE(""https://docs.google.com/spreadsheets/d/1Uw7-A9f9R21vMXxHZFNpYNeKFtG8_yji4HS352LGlSQ/edit?pli=1#gid=0"",""1_ACUM!A4:S""),14,FALSE))"),"")</f>
        <v/>
      </c>
      <c r="AF384" s="43" t="str">
        <f ca="1">IFERROR(__xludf.DUMMYFUNCTION("IFERROR(VLOOKUP(E407&amp;F407,IMPORTRANGE(""https://docs.google.com/spreadsheets/d/1Uw7-A9f9R21vMXxHZFNpYNeKFtG8_yji4HS352LGlSQ/edit?pli=1#gid=0"",""1_ACUM!A4:S""),15,FALSE))"),"")</f>
        <v/>
      </c>
      <c r="AG384" s="43" t="str">
        <f ca="1">IFERROR(__xludf.DUMMYFUNCTION("IFERROR(VLOOKUP(E407&amp;F407,IMPORTRANGE(""https://docs.google.com/spreadsheets/d/1Uw7-A9f9R21vMXxHZFNpYNeKFtG8_yji4HS352LGlSQ/edit?pli=1#gid=0"",""1_ACUM!A4:S""),16,FALSE))"),"")</f>
        <v/>
      </c>
      <c r="AH384" s="43" t="str">
        <f ca="1">IFERROR(__xludf.DUMMYFUNCTION("IFERROR(VLOOKUP(E407&amp;F407,IMPORTRANGE(""https://docs.google.com/spreadsheets/d/1Uw7-A9f9R21vMXxHZFNpYNeKFtG8_yji4HS352LGlSQ/edit?pli=1#gid=0"",""1_ACUM!A4:S""),17,FALSE))"),"")</f>
        <v/>
      </c>
      <c r="AI384" s="44" t="str">
        <f ca="1">IFERROR(__xludf.DUMMYFUNCTION("IFERROR(VLOOKUP(E407&amp;F407,IMPORTRANGE(""https://docs.google.com/spreadsheets/d/1Uw7-A9f9R21vMXxHZFNpYNeKFtG8_yji4HS352LGlSQ/edit?pli=1#gid=0"",""1_ACUM!A4:S""),18,FALSE))"),"")</f>
        <v/>
      </c>
      <c r="AJ384" s="44" t="str">
        <f ca="1">IFERROR(__xludf.DUMMYFUNCTION("IFERROR(VLOOKUP(E407&amp;F407,IMPORTRANGE(""https://docs.google.com/spreadsheets/d/1Uw7-A9f9R21vMXxHZFNpYNeKFtG8_yji4HS352LGlSQ/edit?pli=1#gid=0"",""1_ACUM!A4:S""),19,FALSE))"),"")</f>
        <v/>
      </c>
      <c r="AK384" s="98" t="str">
        <f ca="1">IFERROR(__xludf.DUMMYFUNCTION("IFERROR(VLOOKUP(F407,IMPORTRANGE(""https://docs.google.com/spreadsheets/d/1Kvs4KS76FHFqLFIZfrDMff4kP08nblUkihrxltoGBjg/edit#gid=934712705"",""ESENCIAL!A6:BG""),5,FALSE))"),"")</f>
        <v/>
      </c>
      <c r="AL384" s="98" t="str">
        <f t="shared" si="25"/>
        <v/>
      </c>
      <c r="AM384" s="99" t="str">
        <f t="shared" si="26"/>
        <v/>
      </c>
      <c r="AN384" s="100" t="str">
        <f ca="1">IFERROR(__xludf.DUMMYFUNCTION("IFERROR(VLOOKUP(F407,IMPORTRANGE(""https://docs.google.com/spreadsheets/d/1Kvs4KS76FHFqLFIZfrDMff4kP08nblUkihrxltoGBjg/edit#gid=934712705"",""ESENCIAL!A6:BG""),2,FALSE))"),"")</f>
        <v/>
      </c>
      <c r="AO384" s="19" t="str">
        <f t="shared" si="20"/>
        <v/>
      </c>
      <c r="AP384" s="100"/>
      <c r="AQ384" s="100"/>
    </row>
    <row r="385" spans="1:43" ht="15">
      <c r="A385" s="101"/>
      <c r="B385" s="101"/>
      <c r="G385" s="5" t="str">
        <f ca="1">IFERROR(__xludf.DUMMYFUNCTION("IFERROR(VLOOKUP(F408,IMPORTRANGE(""https://docs.google.com/spreadsheets/d/1Kvs4KS76FHFqLFIZfrDMff4kP08nblUkihrxltoGBjg/edit#gid=934712705"",""ESENCIAL!A6:BG""),3,FALSE))"),"")</f>
        <v/>
      </c>
      <c r="H385" s="5" t="str">
        <f ca="1">IFERROR(__xludf.DUMMYFUNCTION("IFERROR(VLOOKUP(F408,IMPORTRANGE(""https://docs.google.com/spreadsheets/d/1Kvs4KS76FHFqLFIZfrDMff4kP08nblUkihrxltoGBjg/edit#gid=934712705"",""ESENCIAL!A6:BG""),8,FALSE))"),"")</f>
        <v/>
      </c>
      <c r="L385" s="287"/>
      <c r="Z385" s="41" t="str">
        <f t="shared" si="24"/>
        <v/>
      </c>
      <c r="AA385" s="5" t="str">
        <f ca="1">IFERROR(__xludf.DUMMYFUNCTION("IFERROR(VLOOKUP(E408&amp;F408,IMPORTRANGE(""https://docs.google.com/spreadsheets/d/1Uw7-A9f9R21vMXxHZFNpYNeKFtG8_yji4HS352LGlSQ/edit?pli=1#gid=0"",""1_ACUM!A4:S""),11,FALSE))"),"")</f>
        <v/>
      </c>
      <c r="AB385" s="42" t="str">
        <f ca="1">IFERROR(__xludf.DUMMYFUNCTION("IFERROR(VLOOKUP(F408,IMPORTRANGE(""https://docs.google.com/spreadsheets/d/1Kvs4KS76FHFqLFIZfrDMff4kP08nblUkihrxltoGBjg/edit#gid=934712705"",""ESENCIAL!A6:BG""),15,FALSE))"),"")</f>
        <v/>
      </c>
      <c r="AC385" s="110" t="str">
        <f ca="1">IFERROR(__xludf.DUMMYFUNCTION("IFERROR(VLOOKUP(E408&amp;F408,IMPORTRANGE(""https://docs.google.com/spreadsheets/d/1Uw7-A9f9R21vMXxHZFNpYNeKFtG8_yji4HS352LGlSQ/edit?pli=1#gid=0"",""1_ACUM!A4:S""),13,FALSE))"),"")</f>
        <v/>
      </c>
      <c r="AD385" s="43" t="str">
        <f ca="1">IFERROR(__xludf.DUMMYFUNCTION("IFERROR(VLOOKUP(E408&amp;F408,IMPORTRANGE(""https://docs.google.com/spreadsheets/d/1Uw7-A9f9R21vMXxHZFNpYNeKFtG8_yji4HS352LGlSQ/edit?pli=1#gid=0"",""1_ACUM!A4:S""),13,FALSE))"),"")</f>
        <v/>
      </c>
      <c r="AE385" s="43" t="str">
        <f ca="1">IFERROR(__xludf.DUMMYFUNCTION("IFERROR(VLOOKUP(E408&amp;F408,IMPORTRANGE(""https://docs.google.com/spreadsheets/d/1Uw7-A9f9R21vMXxHZFNpYNeKFtG8_yji4HS352LGlSQ/edit?pli=1#gid=0"",""1_ACUM!A4:S""),14,FALSE))"),"")</f>
        <v/>
      </c>
      <c r="AF385" s="43" t="str">
        <f ca="1">IFERROR(__xludf.DUMMYFUNCTION("IFERROR(VLOOKUP(E408&amp;F408,IMPORTRANGE(""https://docs.google.com/spreadsheets/d/1Uw7-A9f9R21vMXxHZFNpYNeKFtG8_yji4HS352LGlSQ/edit?pli=1#gid=0"",""1_ACUM!A4:S""),15,FALSE))"),"")</f>
        <v/>
      </c>
      <c r="AG385" s="43" t="str">
        <f ca="1">IFERROR(__xludf.DUMMYFUNCTION("IFERROR(VLOOKUP(E408&amp;F408,IMPORTRANGE(""https://docs.google.com/spreadsheets/d/1Uw7-A9f9R21vMXxHZFNpYNeKFtG8_yji4HS352LGlSQ/edit?pli=1#gid=0"",""1_ACUM!A4:S""),16,FALSE))"),"")</f>
        <v/>
      </c>
      <c r="AH385" s="43" t="str">
        <f ca="1">IFERROR(__xludf.DUMMYFUNCTION("IFERROR(VLOOKUP(E408&amp;F408,IMPORTRANGE(""https://docs.google.com/spreadsheets/d/1Uw7-A9f9R21vMXxHZFNpYNeKFtG8_yji4HS352LGlSQ/edit?pli=1#gid=0"",""1_ACUM!A4:S""),17,FALSE))"),"")</f>
        <v/>
      </c>
      <c r="AI385" s="44" t="str">
        <f ca="1">IFERROR(__xludf.DUMMYFUNCTION("IFERROR(VLOOKUP(E408&amp;F408,IMPORTRANGE(""https://docs.google.com/spreadsheets/d/1Uw7-A9f9R21vMXxHZFNpYNeKFtG8_yji4HS352LGlSQ/edit?pli=1#gid=0"",""1_ACUM!A4:S""),18,FALSE))"),"")</f>
        <v/>
      </c>
      <c r="AJ385" s="44" t="str">
        <f ca="1">IFERROR(__xludf.DUMMYFUNCTION("IFERROR(VLOOKUP(E408&amp;F408,IMPORTRANGE(""https://docs.google.com/spreadsheets/d/1Uw7-A9f9R21vMXxHZFNpYNeKFtG8_yji4HS352LGlSQ/edit?pli=1#gid=0"",""1_ACUM!A4:S""),19,FALSE))"),"")</f>
        <v/>
      </c>
      <c r="AK385" s="98" t="str">
        <f ca="1">IFERROR(__xludf.DUMMYFUNCTION("IFERROR(VLOOKUP(F408,IMPORTRANGE(""https://docs.google.com/spreadsheets/d/1Kvs4KS76FHFqLFIZfrDMff4kP08nblUkihrxltoGBjg/edit#gid=934712705"",""ESENCIAL!A6:BG""),5,FALSE))"),"")</f>
        <v/>
      </c>
      <c r="AL385" s="98" t="str">
        <f t="shared" si="25"/>
        <v/>
      </c>
      <c r="AM385" s="99" t="str">
        <f t="shared" si="26"/>
        <v/>
      </c>
      <c r="AN385" s="100" t="str">
        <f ca="1">IFERROR(__xludf.DUMMYFUNCTION("IFERROR(VLOOKUP(F408,IMPORTRANGE(""https://docs.google.com/spreadsheets/d/1Kvs4KS76FHFqLFIZfrDMff4kP08nblUkihrxltoGBjg/edit#gid=934712705"",""ESENCIAL!A6:BG""),2,FALSE))"),"")</f>
        <v/>
      </c>
      <c r="AO385" s="19" t="str">
        <f t="shared" si="20"/>
        <v/>
      </c>
      <c r="AP385" s="100"/>
      <c r="AQ385" s="100"/>
    </row>
    <row r="386" spans="1:43" ht="15">
      <c r="A386" s="101"/>
      <c r="B386" s="101"/>
      <c r="G386" s="5" t="str">
        <f ca="1">IFERROR(__xludf.DUMMYFUNCTION("IFERROR(VLOOKUP(F409,IMPORTRANGE(""https://docs.google.com/spreadsheets/d/1Kvs4KS76FHFqLFIZfrDMff4kP08nblUkihrxltoGBjg/edit#gid=934712705"",""ESENCIAL!A6:BG""),3,FALSE))"),"")</f>
        <v/>
      </c>
      <c r="H386" s="5" t="str">
        <f ca="1">IFERROR(__xludf.DUMMYFUNCTION("IFERROR(VLOOKUP(F409,IMPORTRANGE(""https://docs.google.com/spreadsheets/d/1Kvs4KS76FHFqLFIZfrDMff4kP08nblUkihrxltoGBjg/edit#gid=934712705"",""ESENCIAL!A6:BG""),8,FALSE))"),"")</f>
        <v/>
      </c>
      <c r="L386" s="287"/>
      <c r="Z386" s="41" t="str">
        <f t="shared" ref="Z386:Z449" si="27">IF(E386&gt;0,IF(AND(AH386=1,AE386=1),"Procede_E_P","NO_CUMPLE"),"")</f>
        <v/>
      </c>
      <c r="AA386" s="5" t="str">
        <f ca="1">IFERROR(__xludf.DUMMYFUNCTION("IFERROR(VLOOKUP(E409&amp;F409,IMPORTRANGE(""https://docs.google.com/spreadsheets/d/1Uw7-A9f9R21vMXxHZFNpYNeKFtG8_yji4HS352LGlSQ/edit?pli=1#gid=0"",""1_ACUM!A4:S""),11,FALSE))"),"")</f>
        <v/>
      </c>
      <c r="AB386" s="42" t="str">
        <f ca="1">IFERROR(__xludf.DUMMYFUNCTION("IFERROR(VLOOKUP(F409,IMPORTRANGE(""https://docs.google.com/spreadsheets/d/1Kvs4KS76FHFqLFIZfrDMff4kP08nblUkihrxltoGBjg/edit#gid=934712705"",""ESENCIAL!A6:BG""),15,FALSE))"),"")</f>
        <v/>
      </c>
      <c r="AC386" s="110" t="str">
        <f ca="1">IFERROR(__xludf.DUMMYFUNCTION("IFERROR(VLOOKUP(E409&amp;F409,IMPORTRANGE(""https://docs.google.com/spreadsheets/d/1Uw7-A9f9R21vMXxHZFNpYNeKFtG8_yji4HS352LGlSQ/edit?pli=1#gid=0"",""1_ACUM!A4:S""),13,FALSE))"),"")</f>
        <v/>
      </c>
      <c r="AD386" s="43" t="str">
        <f ca="1">IFERROR(__xludf.DUMMYFUNCTION("IFERROR(VLOOKUP(E409&amp;F409,IMPORTRANGE(""https://docs.google.com/spreadsheets/d/1Uw7-A9f9R21vMXxHZFNpYNeKFtG8_yji4HS352LGlSQ/edit?pli=1#gid=0"",""1_ACUM!A4:S""),13,FALSE))"),"")</f>
        <v/>
      </c>
      <c r="AE386" s="43" t="str">
        <f ca="1">IFERROR(__xludf.DUMMYFUNCTION("IFERROR(VLOOKUP(E409&amp;F409,IMPORTRANGE(""https://docs.google.com/spreadsheets/d/1Uw7-A9f9R21vMXxHZFNpYNeKFtG8_yji4HS352LGlSQ/edit?pli=1#gid=0"",""1_ACUM!A4:S""),14,FALSE))"),"")</f>
        <v/>
      </c>
      <c r="AF386" s="43" t="str">
        <f ca="1">IFERROR(__xludf.DUMMYFUNCTION("IFERROR(VLOOKUP(E409&amp;F409,IMPORTRANGE(""https://docs.google.com/spreadsheets/d/1Uw7-A9f9R21vMXxHZFNpYNeKFtG8_yji4HS352LGlSQ/edit?pli=1#gid=0"",""1_ACUM!A4:S""),15,FALSE))"),"")</f>
        <v/>
      </c>
      <c r="AG386" s="43" t="str">
        <f ca="1">IFERROR(__xludf.DUMMYFUNCTION("IFERROR(VLOOKUP(E409&amp;F409,IMPORTRANGE(""https://docs.google.com/spreadsheets/d/1Uw7-A9f9R21vMXxHZFNpYNeKFtG8_yji4HS352LGlSQ/edit?pli=1#gid=0"",""1_ACUM!A4:S""),16,FALSE))"),"")</f>
        <v/>
      </c>
      <c r="AH386" s="43" t="str">
        <f ca="1">IFERROR(__xludf.DUMMYFUNCTION("IFERROR(VLOOKUP(E409&amp;F409,IMPORTRANGE(""https://docs.google.com/spreadsheets/d/1Uw7-A9f9R21vMXxHZFNpYNeKFtG8_yji4HS352LGlSQ/edit?pli=1#gid=0"",""1_ACUM!A4:S""),17,FALSE))"),"")</f>
        <v/>
      </c>
      <c r="AI386" s="44" t="str">
        <f ca="1">IFERROR(__xludf.DUMMYFUNCTION("IFERROR(VLOOKUP(E409&amp;F409,IMPORTRANGE(""https://docs.google.com/spreadsheets/d/1Uw7-A9f9R21vMXxHZFNpYNeKFtG8_yji4HS352LGlSQ/edit?pli=1#gid=0"",""1_ACUM!A4:S""),18,FALSE))"),"")</f>
        <v/>
      </c>
      <c r="AJ386" s="44" t="str">
        <f ca="1">IFERROR(__xludf.DUMMYFUNCTION("IFERROR(VLOOKUP(E409&amp;F409,IMPORTRANGE(""https://docs.google.com/spreadsheets/d/1Uw7-A9f9R21vMXxHZFNpYNeKFtG8_yji4HS352LGlSQ/edit?pli=1#gid=0"",""1_ACUM!A4:S""),19,FALSE))"),"")</f>
        <v/>
      </c>
      <c r="AK386" s="98" t="str">
        <f ca="1">IFERROR(__xludf.DUMMYFUNCTION("IFERROR(VLOOKUP(F409,IMPORTRANGE(""https://docs.google.com/spreadsheets/d/1Kvs4KS76FHFqLFIZfrDMff4kP08nblUkihrxltoGBjg/edit#gid=934712705"",""ESENCIAL!A6:BG""),5,FALSE))"),"")</f>
        <v/>
      </c>
      <c r="AL386" s="98" t="str">
        <f t="shared" ref="AL386:AL449" si="28">IF(F386&gt;0,EDATE(AK386,18),"")</f>
        <v/>
      </c>
      <c r="AM386" s="99" t="str">
        <f t="shared" ref="AM386:AM449" si="29">IF(F386&gt;0,IF(AL386&lt;$AM$1,"FINALIZAR FICHA","FICHA EN TIEMPO-18 MESES"),"")</f>
        <v/>
      </c>
      <c r="AN386" s="100" t="str">
        <f ca="1">IFERROR(__xludf.DUMMYFUNCTION("IFERROR(VLOOKUP(F409,IMPORTRANGE(""https://docs.google.com/spreadsheets/d/1Kvs4KS76FHFqLFIZfrDMff4kP08nblUkihrxltoGBjg/edit#gid=934712705"",""ESENCIAL!A6:BG""),2,FALSE))"),"")</f>
        <v/>
      </c>
      <c r="AO386" s="19" t="str">
        <f t="shared" si="20"/>
        <v/>
      </c>
      <c r="AP386" s="100"/>
      <c r="AQ386" s="100"/>
    </row>
    <row r="387" spans="1:43" ht="15">
      <c r="A387" s="101"/>
      <c r="B387" s="101"/>
      <c r="G387" s="5" t="str">
        <f ca="1">IFERROR(__xludf.DUMMYFUNCTION("IFERROR(VLOOKUP(F410,IMPORTRANGE(""https://docs.google.com/spreadsheets/d/1Kvs4KS76FHFqLFIZfrDMff4kP08nblUkihrxltoGBjg/edit#gid=934712705"",""ESENCIAL!A6:BG""),3,FALSE))"),"")</f>
        <v/>
      </c>
      <c r="H387" s="5" t="str">
        <f ca="1">IFERROR(__xludf.DUMMYFUNCTION("IFERROR(VLOOKUP(F410,IMPORTRANGE(""https://docs.google.com/spreadsheets/d/1Kvs4KS76FHFqLFIZfrDMff4kP08nblUkihrxltoGBjg/edit#gid=934712705"",""ESENCIAL!A6:BG""),8,FALSE))"),"")</f>
        <v/>
      </c>
      <c r="L387" s="287"/>
      <c r="Z387" s="41" t="str">
        <f t="shared" si="27"/>
        <v/>
      </c>
      <c r="AA387" s="5" t="str">
        <f ca="1">IFERROR(__xludf.DUMMYFUNCTION("IFERROR(VLOOKUP(E410&amp;F410,IMPORTRANGE(""https://docs.google.com/spreadsheets/d/1Uw7-A9f9R21vMXxHZFNpYNeKFtG8_yji4HS352LGlSQ/edit?pli=1#gid=0"",""1_ACUM!A4:S""),11,FALSE))"),"")</f>
        <v/>
      </c>
      <c r="AB387" s="42" t="str">
        <f ca="1">IFERROR(__xludf.DUMMYFUNCTION("IFERROR(VLOOKUP(F410,IMPORTRANGE(""https://docs.google.com/spreadsheets/d/1Kvs4KS76FHFqLFIZfrDMff4kP08nblUkihrxltoGBjg/edit#gid=934712705"",""ESENCIAL!A6:BG""),15,FALSE))"),"")</f>
        <v/>
      </c>
      <c r="AC387" s="110" t="str">
        <f ca="1">IFERROR(__xludf.DUMMYFUNCTION("IFERROR(VLOOKUP(E410&amp;F410,IMPORTRANGE(""https://docs.google.com/spreadsheets/d/1Uw7-A9f9R21vMXxHZFNpYNeKFtG8_yji4HS352LGlSQ/edit?pli=1#gid=0"",""1_ACUM!A4:S""),13,FALSE))"),"")</f>
        <v/>
      </c>
      <c r="AD387" s="43" t="str">
        <f ca="1">IFERROR(__xludf.DUMMYFUNCTION("IFERROR(VLOOKUP(E410&amp;F410,IMPORTRANGE(""https://docs.google.com/spreadsheets/d/1Uw7-A9f9R21vMXxHZFNpYNeKFtG8_yji4HS352LGlSQ/edit?pli=1#gid=0"",""1_ACUM!A4:S""),13,FALSE))"),"")</f>
        <v/>
      </c>
      <c r="AE387" s="43" t="str">
        <f ca="1">IFERROR(__xludf.DUMMYFUNCTION("IFERROR(VLOOKUP(E410&amp;F410,IMPORTRANGE(""https://docs.google.com/spreadsheets/d/1Uw7-A9f9R21vMXxHZFNpYNeKFtG8_yji4HS352LGlSQ/edit?pli=1#gid=0"",""1_ACUM!A4:S""),14,FALSE))"),"")</f>
        <v/>
      </c>
      <c r="AF387" s="43" t="str">
        <f ca="1">IFERROR(__xludf.DUMMYFUNCTION("IFERROR(VLOOKUP(E410&amp;F410,IMPORTRANGE(""https://docs.google.com/spreadsheets/d/1Uw7-A9f9R21vMXxHZFNpYNeKFtG8_yji4HS352LGlSQ/edit?pli=1#gid=0"",""1_ACUM!A4:S""),15,FALSE))"),"")</f>
        <v/>
      </c>
      <c r="AG387" s="43" t="str">
        <f ca="1">IFERROR(__xludf.DUMMYFUNCTION("IFERROR(VLOOKUP(E410&amp;F410,IMPORTRANGE(""https://docs.google.com/spreadsheets/d/1Uw7-A9f9R21vMXxHZFNpYNeKFtG8_yji4HS352LGlSQ/edit?pli=1#gid=0"",""1_ACUM!A4:S""),16,FALSE))"),"")</f>
        <v/>
      </c>
      <c r="AH387" s="43" t="str">
        <f ca="1">IFERROR(__xludf.DUMMYFUNCTION("IFERROR(VLOOKUP(E410&amp;F410,IMPORTRANGE(""https://docs.google.com/spreadsheets/d/1Uw7-A9f9R21vMXxHZFNpYNeKFtG8_yji4HS352LGlSQ/edit?pli=1#gid=0"",""1_ACUM!A4:S""),17,FALSE))"),"")</f>
        <v/>
      </c>
      <c r="AI387" s="44" t="str">
        <f ca="1">IFERROR(__xludf.DUMMYFUNCTION("IFERROR(VLOOKUP(E410&amp;F410,IMPORTRANGE(""https://docs.google.com/spreadsheets/d/1Uw7-A9f9R21vMXxHZFNpYNeKFtG8_yji4HS352LGlSQ/edit?pli=1#gid=0"",""1_ACUM!A4:S""),18,FALSE))"),"")</f>
        <v/>
      </c>
      <c r="AJ387" s="44" t="str">
        <f ca="1">IFERROR(__xludf.DUMMYFUNCTION("IFERROR(VLOOKUP(E410&amp;F410,IMPORTRANGE(""https://docs.google.com/spreadsheets/d/1Uw7-A9f9R21vMXxHZFNpYNeKFtG8_yji4HS352LGlSQ/edit?pli=1#gid=0"",""1_ACUM!A4:S""),19,FALSE))"),"")</f>
        <v/>
      </c>
      <c r="AK387" s="98" t="str">
        <f ca="1">IFERROR(__xludf.DUMMYFUNCTION("IFERROR(VLOOKUP(F410,IMPORTRANGE(""https://docs.google.com/spreadsheets/d/1Kvs4KS76FHFqLFIZfrDMff4kP08nblUkihrxltoGBjg/edit#gid=934712705"",""ESENCIAL!A6:BG""),5,FALSE))"),"")</f>
        <v/>
      </c>
      <c r="AL387" s="98" t="str">
        <f t="shared" si="28"/>
        <v/>
      </c>
      <c r="AM387" s="99" t="str">
        <f t="shared" si="29"/>
        <v/>
      </c>
      <c r="AN387" s="100" t="str">
        <f ca="1">IFERROR(__xludf.DUMMYFUNCTION("IFERROR(VLOOKUP(F410,IMPORTRANGE(""https://docs.google.com/spreadsheets/d/1Kvs4KS76FHFqLFIZfrDMff4kP08nblUkihrxltoGBjg/edit#gid=934712705"",""ESENCIAL!A6:BG""),2,FALSE))"),"")</f>
        <v/>
      </c>
      <c r="AO387" s="19" t="str">
        <f t="shared" si="20"/>
        <v/>
      </c>
      <c r="AP387" s="100"/>
      <c r="AQ387" s="100"/>
    </row>
    <row r="388" spans="1:43" ht="15">
      <c r="A388" s="101"/>
      <c r="B388" s="101"/>
      <c r="G388" s="5" t="str">
        <f ca="1">IFERROR(__xludf.DUMMYFUNCTION("IFERROR(VLOOKUP(F411,IMPORTRANGE(""https://docs.google.com/spreadsheets/d/1Kvs4KS76FHFqLFIZfrDMff4kP08nblUkihrxltoGBjg/edit#gid=934712705"",""ESENCIAL!A6:BG""),3,FALSE))"),"")</f>
        <v/>
      </c>
      <c r="H388" s="5" t="str">
        <f ca="1">IFERROR(__xludf.DUMMYFUNCTION("IFERROR(VLOOKUP(F411,IMPORTRANGE(""https://docs.google.com/spreadsheets/d/1Kvs4KS76FHFqLFIZfrDMff4kP08nblUkihrxltoGBjg/edit#gid=934712705"",""ESENCIAL!A6:BG""),8,FALSE))"),"")</f>
        <v/>
      </c>
      <c r="L388" s="287"/>
      <c r="Z388" s="41" t="str">
        <f t="shared" si="27"/>
        <v/>
      </c>
      <c r="AA388" s="5" t="str">
        <f ca="1">IFERROR(__xludf.DUMMYFUNCTION("IFERROR(VLOOKUP(E411&amp;F411,IMPORTRANGE(""https://docs.google.com/spreadsheets/d/1Uw7-A9f9R21vMXxHZFNpYNeKFtG8_yji4HS352LGlSQ/edit?pli=1#gid=0"",""1_ACUM!A4:S""),11,FALSE))"),"")</f>
        <v/>
      </c>
      <c r="AB388" s="42" t="str">
        <f ca="1">IFERROR(__xludf.DUMMYFUNCTION("IFERROR(VLOOKUP(F411,IMPORTRANGE(""https://docs.google.com/spreadsheets/d/1Kvs4KS76FHFqLFIZfrDMff4kP08nblUkihrxltoGBjg/edit#gid=934712705"",""ESENCIAL!A6:BG""),15,FALSE))"),"")</f>
        <v/>
      </c>
      <c r="AC388" s="110" t="str">
        <f ca="1">IFERROR(__xludf.DUMMYFUNCTION("IFERROR(VLOOKUP(E411&amp;F411,IMPORTRANGE(""https://docs.google.com/spreadsheets/d/1Uw7-A9f9R21vMXxHZFNpYNeKFtG8_yji4HS352LGlSQ/edit?pli=1#gid=0"",""1_ACUM!A4:S""),13,FALSE))"),"")</f>
        <v/>
      </c>
      <c r="AD388" s="43" t="str">
        <f ca="1">IFERROR(__xludf.DUMMYFUNCTION("IFERROR(VLOOKUP(E411&amp;F411,IMPORTRANGE(""https://docs.google.com/spreadsheets/d/1Uw7-A9f9R21vMXxHZFNpYNeKFtG8_yji4HS352LGlSQ/edit?pli=1#gid=0"",""1_ACUM!A4:S""),13,FALSE))"),"")</f>
        <v/>
      </c>
      <c r="AE388" s="43" t="str">
        <f ca="1">IFERROR(__xludf.DUMMYFUNCTION("IFERROR(VLOOKUP(E411&amp;F411,IMPORTRANGE(""https://docs.google.com/spreadsheets/d/1Uw7-A9f9R21vMXxHZFNpYNeKFtG8_yji4HS352LGlSQ/edit?pli=1#gid=0"",""1_ACUM!A4:S""),14,FALSE))"),"")</f>
        <v/>
      </c>
      <c r="AF388" s="43" t="str">
        <f ca="1">IFERROR(__xludf.DUMMYFUNCTION("IFERROR(VLOOKUP(E411&amp;F411,IMPORTRANGE(""https://docs.google.com/spreadsheets/d/1Uw7-A9f9R21vMXxHZFNpYNeKFtG8_yji4HS352LGlSQ/edit?pli=1#gid=0"",""1_ACUM!A4:S""),15,FALSE))"),"")</f>
        <v/>
      </c>
      <c r="AG388" s="43" t="str">
        <f ca="1">IFERROR(__xludf.DUMMYFUNCTION("IFERROR(VLOOKUP(E411&amp;F411,IMPORTRANGE(""https://docs.google.com/spreadsheets/d/1Uw7-A9f9R21vMXxHZFNpYNeKFtG8_yji4HS352LGlSQ/edit?pli=1#gid=0"",""1_ACUM!A4:S""),16,FALSE))"),"")</f>
        <v/>
      </c>
      <c r="AH388" s="43" t="str">
        <f ca="1">IFERROR(__xludf.DUMMYFUNCTION("IFERROR(VLOOKUP(E411&amp;F411,IMPORTRANGE(""https://docs.google.com/spreadsheets/d/1Uw7-A9f9R21vMXxHZFNpYNeKFtG8_yji4HS352LGlSQ/edit?pli=1#gid=0"",""1_ACUM!A4:S""),17,FALSE))"),"")</f>
        <v/>
      </c>
      <c r="AI388" s="44" t="str">
        <f ca="1">IFERROR(__xludf.DUMMYFUNCTION("IFERROR(VLOOKUP(E411&amp;F411,IMPORTRANGE(""https://docs.google.com/spreadsheets/d/1Uw7-A9f9R21vMXxHZFNpYNeKFtG8_yji4HS352LGlSQ/edit?pli=1#gid=0"",""1_ACUM!A4:S""),18,FALSE))"),"")</f>
        <v/>
      </c>
      <c r="AJ388" s="44" t="str">
        <f ca="1">IFERROR(__xludf.DUMMYFUNCTION("IFERROR(VLOOKUP(E411&amp;F411,IMPORTRANGE(""https://docs.google.com/spreadsheets/d/1Uw7-A9f9R21vMXxHZFNpYNeKFtG8_yji4HS352LGlSQ/edit?pli=1#gid=0"",""1_ACUM!A4:S""),19,FALSE))"),"")</f>
        <v/>
      </c>
      <c r="AK388" s="98" t="str">
        <f ca="1">IFERROR(__xludf.DUMMYFUNCTION("IFERROR(VLOOKUP(F411,IMPORTRANGE(""https://docs.google.com/spreadsheets/d/1Kvs4KS76FHFqLFIZfrDMff4kP08nblUkihrxltoGBjg/edit#gid=934712705"",""ESENCIAL!A6:BG""),5,FALSE))"),"")</f>
        <v/>
      </c>
      <c r="AL388" s="98" t="str">
        <f t="shared" si="28"/>
        <v/>
      </c>
      <c r="AM388" s="99" t="str">
        <f t="shared" si="29"/>
        <v/>
      </c>
      <c r="AN388" s="100" t="str">
        <f ca="1">IFERROR(__xludf.DUMMYFUNCTION("IFERROR(VLOOKUP(F411,IMPORTRANGE(""https://docs.google.com/spreadsheets/d/1Kvs4KS76FHFqLFIZfrDMff4kP08nblUkihrxltoGBjg/edit#gid=934712705"",""ESENCIAL!A6:BG""),2,FALSE))"),"")</f>
        <v/>
      </c>
      <c r="AO388" s="19" t="str">
        <f t="shared" si="20"/>
        <v/>
      </c>
      <c r="AP388" s="100"/>
      <c r="AQ388" s="100"/>
    </row>
    <row r="389" spans="1:43" ht="15">
      <c r="A389" s="101"/>
      <c r="B389" s="101"/>
      <c r="G389" s="5" t="str">
        <f ca="1">IFERROR(__xludf.DUMMYFUNCTION("IFERROR(VLOOKUP(F412,IMPORTRANGE(""https://docs.google.com/spreadsheets/d/1Kvs4KS76FHFqLFIZfrDMff4kP08nblUkihrxltoGBjg/edit#gid=934712705"",""ESENCIAL!A6:BG""),3,FALSE))"),"")</f>
        <v/>
      </c>
      <c r="H389" s="5" t="str">
        <f ca="1">IFERROR(__xludf.DUMMYFUNCTION("IFERROR(VLOOKUP(F412,IMPORTRANGE(""https://docs.google.com/spreadsheets/d/1Kvs4KS76FHFqLFIZfrDMff4kP08nblUkihrxltoGBjg/edit#gid=934712705"",""ESENCIAL!A6:BG""),8,FALSE))"),"")</f>
        <v/>
      </c>
      <c r="L389" s="287"/>
      <c r="Z389" s="41" t="str">
        <f t="shared" si="27"/>
        <v/>
      </c>
      <c r="AA389" s="5" t="str">
        <f ca="1">IFERROR(__xludf.DUMMYFUNCTION("IFERROR(VLOOKUP(E412&amp;F412,IMPORTRANGE(""https://docs.google.com/spreadsheets/d/1Uw7-A9f9R21vMXxHZFNpYNeKFtG8_yji4HS352LGlSQ/edit?pli=1#gid=0"",""1_ACUM!A4:S""),11,FALSE))"),"")</f>
        <v/>
      </c>
      <c r="AB389" s="42" t="str">
        <f ca="1">IFERROR(__xludf.DUMMYFUNCTION("IFERROR(VLOOKUP(F412,IMPORTRANGE(""https://docs.google.com/spreadsheets/d/1Kvs4KS76FHFqLFIZfrDMff4kP08nblUkihrxltoGBjg/edit#gid=934712705"",""ESENCIAL!A6:BG""),15,FALSE))"),"")</f>
        <v/>
      </c>
      <c r="AC389" s="110" t="str">
        <f ca="1">IFERROR(__xludf.DUMMYFUNCTION("IFERROR(VLOOKUP(E412&amp;F412,IMPORTRANGE(""https://docs.google.com/spreadsheets/d/1Uw7-A9f9R21vMXxHZFNpYNeKFtG8_yji4HS352LGlSQ/edit?pli=1#gid=0"",""1_ACUM!A4:S""),13,FALSE))"),"")</f>
        <v/>
      </c>
      <c r="AD389" s="43" t="str">
        <f ca="1">IFERROR(__xludf.DUMMYFUNCTION("IFERROR(VLOOKUP(E412&amp;F412,IMPORTRANGE(""https://docs.google.com/spreadsheets/d/1Uw7-A9f9R21vMXxHZFNpYNeKFtG8_yji4HS352LGlSQ/edit?pli=1#gid=0"",""1_ACUM!A4:S""),13,FALSE))"),"")</f>
        <v/>
      </c>
      <c r="AE389" s="43" t="str">
        <f ca="1">IFERROR(__xludf.DUMMYFUNCTION("IFERROR(VLOOKUP(E412&amp;F412,IMPORTRANGE(""https://docs.google.com/spreadsheets/d/1Uw7-A9f9R21vMXxHZFNpYNeKFtG8_yji4HS352LGlSQ/edit?pli=1#gid=0"",""1_ACUM!A4:S""),14,FALSE))"),"")</f>
        <v/>
      </c>
      <c r="AF389" s="43" t="str">
        <f ca="1">IFERROR(__xludf.DUMMYFUNCTION("IFERROR(VLOOKUP(E412&amp;F412,IMPORTRANGE(""https://docs.google.com/spreadsheets/d/1Uw7-A9f9R21vMXxHZFNpYNeKFtG8_yji4HS352LGlSQ/edit?pli=1#gid=0"",""1_ACUM!A4:S""),15,FALSE))"),"")</f>
        <v/>
      </c>
      <c r="AG389" s="43" t="str">
        <f ca="1">IFERROR(__xludf.DUMMYFUNCTION("IFERROR(VLOOKUP(E412&amp;F412,IMPORTRANGE(""https://docs.google.com/spreadsheets/d/1Uw7-A9f9R21vMXxHZFNpYNeKFtG8_yji4HS352LGlSQ/edit?pli=1#gid=0"",""1_ACUM!A4:S""),16,FALSE))"),"")</f>
        <v/>
      </c>
      <c r="AH389" s="43" t="str">
        <f ca="1">IFERROR(__xludf.DUMMYFUNCTION("IFERROR(VLOOKUP(E412&amp;F412,IMPORTRANGE(""https://docs.google.com/spreadsheets/d/1Uw7-A9f9R21vMXxHZFNpYNeKFtG8_yji4HS352LGlSQ/edit?pli=1#gid=0"",""1_ACUM!A4:S""),17,FALSE))"),"")</f>
        <v/>
      </c>
      <c r="AI389" s="44" t="str">
        <f ca="1">IFERROR(__xludf.DUMMYFUNCTION("IFERROR(VLOOKUP(E412&amp;F412,IMPORTRANGE(""https://docs.google.com/spreadsheets/d/1Uw7-A9f9R21vMXxHZFNpYNeKFtG8_yji4HS352LGlSQ/edit?pli=1#gid=0"",""1_ACUM!A4:S""),18,FALSE))"),"")</f>
        <v/>
      </c>
      <c r="AJ389" s="44" t="str">
        <f ca="1">IFERROR(__xludf.DUMMYFUNCTION("IFERROR(VLOOKUP(E412&amp;F412,IMPORTRANGE(""https://docs.google.com/spreadsheets/d/1Uw7-A9f9R21vMXxHZFNpYNeKFtG8_yji4HS352LGlSQ/edit?pli=1#gid=0"",""1_ACUM!A4:S""),19,FALSE))"),"")</f>
        <v/>
      </c>
      <c r="AK389" s="98" t="str">
        <f ca="1">IFERROR(__xludf.DUMMYFUNCTION("IFERROR(VLOOKUP(F412,IMPORTRANGE(""https://docs.google.com/spreadsheets/d/1Kvs4KS76FHFqLFIZfrDMff4kP08nblUkihrxltoGBjg/edit#gid=934712705"",""ESENCIAL!A6:BG""),5,FALSE))"),"")</f>
        <v/>
      </c>
      <c r="AL389" s="98" t="str">
        <f t="shared" si="28"/>
        <v/>
      </c>
      <c r="AM389" s="99" t="str">
        <f t="shared" si="29"/>
        <v/>
      </c>
      <c r="AN389" s="100" t="str">
        <f ca="1">IFERROR(__xludf.DUMMYFUNCTION("IFERROR(VLOOKUP(F412,IMPORTRANGE(""https://docs.google.com/spreadsheets/d/1Kvs4KS76FHFqLFIZfrDMff4kP08nblUkihrxltoGBjg/edit#gid=934712705"",""ESENCIAL!A6:BG""),2,FALSE))"),"")</f>
        <v/>
      </c>
      <c r="AO389" s="19" t="str">
        <f t="shared" si="20"/>
        <v/>
      </c>
      <c r="AP389" s="100"/>
      <c r="AQ389" s="100"/>
    </row>
    <row r="390" spans="1:43" ht="15">
      <c r="A390" s="101"/>
      <c r="B390" s="101"/>
      <c r="G390" s="5" t="str">
        <f ca="1">IFERROR(__xludf.DUMMYFUNCTION("IFERROR(VLOOKUP(F413,IMPORTRANGE(""https://docs.google.com/spreadsheets/d/1Kvs4KS76FHFqLFIZfrDMff4kP08nblUkihrxltoGBjg/edit#gid=934712705"",""ESENCIAL!A6:BG""),3,FALSE))"),"")</f>
        <v/>
      </c>
      <c r="H390" s="5" t="str">
        <f ca="1">IFERROR(__xludf.DUMMYFUNCTION("IFERROR(VLOOKUP(F413,IMPORTRANGE(""https://docs.google.com/spreadsheets/d/1Kvs4KS76FHFqLFIZfrDMff4kP08nblUkihrxltoGBjg/edit#gid=934712705"",""ESENCIAL!A6:BG""),8,FALSE))"),"")</f>
        <v/>
      </c>
      <c r="L390" s="287"/>
      <c r="Z390" s="41" t="str">
        <f t="shared" si="27"/>
        <v/>
      </c>
      <c r="AA390" s="5" t="str">
        <f ca="1">IFERROR(__xludf.DUMMYFUNCTION("IFERROR(VLOOKUP(E413&amp;F413,IMPORTRANGE(""https://docs.google.com/spreadsheets/d/1Uw7-A9f9R21vMXxHZFNpYNeKFtG8_yji4HS352LGlSQ/edit?pli=1#gid=0"",""1_ACUM!A4:S""),11,FALSE))"),"")</f>
        <v/>
      </c>
      <c r="AB390" s="42" t="str">
        <f ca="1">IFERROR(__xludf.DUMMYFUNCTION("IFERROR(VLOOKUP(F413,IMPORTRANGE(""https://docs.google.com/spreadsheets/d/1Kvs4KS76FHFqLFIZfrDMff4kP08nblUkihrxltoGBjg/edit#gid=934712705"",""ESENCIAL!A6:BG""),15,FALSE))"),"")</f>
        <v/>
      </c>
      <c r="AC390" s="110" t="str">
        <f ca="1">IFERROR(__xludf.DUMMYFUNCTION("IFERROR(VLOOKUP(E413&amp;F413,IMPORTRANGE(""https://docs.google.com/spreadsheets/d/1Uw7-A9f9R21vMXxHZFNpYNeKFtG8_yji4HS352LGlSQ/edit?pli=1#gid=0"",""1_ACUM!A4:S""),13,FALSE))"),"")</f>
        <v/>
      </c>
      <c r="AD390" s="43" t="str">
        <f ca="1">IFERROR(__xludf.DUMMYFUNCTION("IFERROR(VLOOKUP(E413&amp;F413,IMPORTRANGE(""https://docs.google.com/spreadsheets/d/1Uw7-A9f9R21vMXxHZFNpYNeKFtG8_yji4HS352LGlSQ/edit?pli=1#gid=0"",""1_ACUM!A4:S""),13,FALSE))"),"")</f>
        <v/>
      </c>
      <c r="AE390" s="43" t="str">
        <f ca="1">IFERROR(__xludf.DUMMYFUNCTION("IFERROR(VLOOKUP(E413&amp;F413,IMPORTRANGE(""https://docs.google.com/spreadsheets/d/1Uw7-A9f9R21vMXxHZFNpYNeKFtG8_yji4HS352LGlSQ/edit?pli=1#gid=0"",""1_ACUM!A4:S""),14,FALSE))"),"")</f>
        <v/>
      </c>
      <c r="AF390" s="43" t="str">
        <f ca="1">IFERROR(__xludf.DUMMYFUNCTION("IFERROR(VLOOKUP(E413&amp;F413,IMPORTRANGE(""https://docs.google.com/spreadsheets/d/1Uw7-A9f9R21vMXxHZFNpYNeKFtG8_yji4HS352LGlSQ/edit?pli=1#gid=0"",""1_ACUM!A4:S""),15,FALSE))"),"")</f>
        <v/>
      </c>
      <c r="AG390" s="43" t="str">
        <f ca="1">IFERROR(__xludf.DUMMYFUNCTION("IFERROR(VLOOKUP(E413&amp;F413,IMPORTRANGE(""https://docs.google.com/spreadsheets/d/1Uw7-A9f9R21vMXxHZFNpYNeKFtG8_yji4HS352LGlSQ/edit?pli=1#gid=0"",""1_ACUM!A4:S""),16,FALSE))"),"")</f>
        <v/>
      </c>
      <c r="AH390" s="43" t="str">
        <f ca="1">IFERROR(__xludf.DUMMYFUNCTION("IFERROR(VLOOKUP(E413&amp;F413,IMPORTRANGE(""https://docs.google.com/spreadsheets/d/1Uw7-A9f9R21vMXxHZFNpYNeKFtG8_yji4HS352LGlSQ/edit?pli=1#gid=0"",""1_ACUM!A4:S""),17,FALSE))"),"")</f>
        <v/>
      </c>
      <c r="AI390" s="44" t="str">
        <f ca="1">IFERROR(__xludf.DUMMYFUNCTION("IFERROR(VLOOKUP(E413&amp;F413,IMPORTRANGE(""https://docs.google.com/spreadsheets/d/1Uw7-A9f9R21vMXxHZFNpYNeKFtG8_yji4HS352LGlSQ/edit?pli=1#gid=0"",""1_ACUM!A4:S""),18,FALSE))"),"")</f>
        <v/>
      </c>
      <c r="AJ390" s="44" t="str">
        <f ca="1">IFERROR(__xludf.DUMMYFUNCTION("IFERROR(VLOOKUP(E413&amp;F413,IMPORTRANGE(""https://docs.google.com/spreadsheets/d/1Uw7-A9f9R21vMXxHZFNpYNeKFtG8_yji4HS352LGlSQ/edit?pli=1#gid=0"",""1_ACUM!A4:S""),19,FALSE))"),"")</f>
        <v/>
      </c>
      <c r="AK390" s="98" t="str">
        <f ca="1">IFERROR(__xludf.DUMMYFUNCTION("IFERROR(VLOOKUP(F413,IMPORTRANGE(""https://docs.google.com/spreadsheets/d/1Kvs4KS76FHFqLFIZfrDMff4kP08nblUkihrxltoGBjg/edit#gid=934712705"",""ESENCIAL!A6:BG""),5,FALSE))"),"")</f>
        <v/>
      </c>
      <c r="AL390" s="98" t="str">
        <f t="shared" si="28"/>
        <v/>
      </c>
      <c r="AM390" s="99" t="str">
        <f t="shared" si="29"/>
        <v/>
      </c>
      <c r="AN390" s="100" t="str">
        <f ca="1">IFERROR(__xludf.DUMMYFUNCTION("IFERROR(VLOOKUP(F413,IMPORTRANGE(""https://docs.google.com/spreadsheets/d/1Kvs4KS76FHFqLFIZfrDMff4kP08nblUkihrxltoGBjg/edit#gid=934712705"",""ESENCIAL!A6:BG""),2,FALSE))"),"")</f>
        <v/>
      </c>
      <c r="AO390" s="19" t="str">
        <f t="shared" si="20"/>
        <v/>
      </c>
      <c r="AP390" s="100"/>
      <c r="AQ390" s="100"/>
    </row>
    <row r="391" spans="1:43" ht="15">
      <c r="A391" s="101"/>
      <c r="B391" s="101"/>
      <c r="G391" s="5" t="str">
        <f ca="1">IFERROR(__xludf.DUMMYFUNCTION("IFERROR(VLOOKUP(F414,IMPORTRANGE(""https://docs.google.com/spreadsheets/d/1Kvs4KS76FHFqLFIZfrDMff4kP08nblUkihrxltoGBjg/edit#gid=934712705"",""ESENCIAL!A6:BG""),3,FALSE))"),"")</f>
        <v/>
      </c>
      <c r="H391" s="5" t="str">
        <f ca="1">IFERROR(__xludf.DUMMYFUNCTION("IFERROR(VLOOKUP(F414,IMPORTRANGE(""https://docs.google.com/spreadsheets/d/1Kvs4KS76FHFqLFIZfrDMff4kP08nblUkihrxltoGBjg/edit#gid=934712705"",""ESENCIAL!A6:BG""),8,FALSE))"),"")</f>
        <v/>
      </c>
      <c r="L391" s="287"/>
      <c r="Z391" s="41" t="str">
        <f t="shared" si="27"/>
        <v/>
      </c>
      <c r="AA391" s="5" t="str">
        <f ca="1">IFERROR(__xludf.DUMMYFUNCTION("IFERROR(VLOOKUP(E414&amp;F414,IMPORTRANGE(""https://docs.google.com/spreadsheets/d/1Uw7-A9f9R21vMXxHZFNpYNeKFtG8_yji4HS352LGlSQ/edit?pli=1#gid=0"",""1_ACUM!A4:S""),11,FALSE))"),"")</f>
        <v/>
      </c>
      <c r="AB391" s="42" t="str">
        <f ca="1">IFERROR(__xludf.DUMMYFUNCTION("IFERROR(VLOOKUP(F414,IMPORTRANGE(""https://docs.google.com/spreadsheets/d/1Kvs4KS76FHFqLFIZfrDMff4kP08nblUkihrxltoGBjg/edit#gid=934712705"",""ESENCIAL!A6:BG""),15,FALSE))"),"")</f>
        <v/>
      </c>
      <c r="AC391" s="110" t="str">
        <f ca="1">IFERROR(__xludf.DUMMYFUNCTION("IFERROR(VLOOKUP(E414&amp;F414,IMPORTRANGE(""https://docs.google.com/spreadsheets/d/1Uw7-A9f9R21vMXxHZFNpYNeKFtG8_yji4HS352LGlSQ/edit?pli=1#gid=0"",""1_ACUM!A4:S""),13,FALSE))"),"")</f>
        <v/>
      </c>
      <c r="AD391" s="43" t="str">
        <f ca="1">IFERROR(__xludf.DUMMYFUNCTION("IFERROR(VLOOKUP(E414&amp;F414,IMPORTRANGE(""https://docs.google.com/spreadsheets/d/1Uw7-A9f9R21vMXxHZFNpYNeKFtG8_yji4HS352LGlSQ/edit?pli=1#gid=0"",""1_ACUM!A4:S""),13,FALSE))"),"")</f>
        <v/>
      </c>
      <c r="AE391" s="43" t="str">
        <f ca="1">IFERROR(__xludf.DUMMYFUNCTION("IFERROR(VLOOKUP(E414&amp;F414,IMPORTRANGE(""https://docs.google.com/spreadsheets/d/1Uw7-A9f9R21vMXxHZFNpYNeKFtG8_yji4HS352LGlSQ/edit?pli=1#gid=0"",""1_ACUM!A4:S""),14,FALSE))"),"")</f>
        <v/>
      </c>
      <c r="AF391" s="43" t="str">
        <f ca="1">IFERROR(__xludf.DUMMYFUNCTION("IFERROR(VLOOKUP(E414&amp;F414,IMPORTRANGE(""https://docs.google.com/spreadsheets/d/1Uw7-A9f9R21vMXxHZFNpYNeKFtG8_yji4HS352LGlSQ/edit?pli=1#gid=0"",""1_ACUM!A4:S""),15,FALSE))"),"")</f>
        <v/>
      </c>
      <c r="AG391" s="43" t="str">
        <f ca="1">IFERROR(__xludf.DUMMYFUNCTION("IFERROR(VLOOKUP(E414&amp;F414,IMPORTRANGE(""https://docs.google.com/spreadsheets/d/1Uw7-A9f9R21vMXxHZFNpYNeKFtG8_yji4HS352LGlSQ/edit?pli=1#gid=0"",""1_ACUM!A4:S""),16,FALSE))"),"")</f>
        <v/>
      </c>
      <c r="AH391" s="43" t="str">
        <f ca="1">IFERROR(__xludf.DUMMYFUNCTION("IFERROR(VLOOKUP(E414&amp;F414,IMPORTRANGE(""https://docs.google.com/spreadsheets/d/1Uw7-A9f9R21vMXxHZFNpYNeKFtG8_yji4HS352LGlSQ/edit?pli=1#gid=0"",""1_ACUM!A4:S""),17,FALSE))"),"")</f>
        <v/>
      </c>
      <c r="AI391" s="44" t="str">
        <f ca="1">IFERROR(__xludf.DUMMYFUNCTION("IFERROR(VLOOKUP(E414&amp;F414,IMPORTRANGE(""https://docs.google.com/spreadsheets/d/1Uw7-A9f9R21vMXxHZFNpYNeKFtG8_yji4HS352LGlSQ/edit?pli=1#gid=0"",""1_ACUM!A4:S""),18,FALSE))"),"")</f>
        <v/>
      </c>
      <c r="AJ391" s="44" t="str">
        <f ca="1">IFERROR(__xludf.DUMMYFUNCTION("IFERROR(VLOOKUP(E414&amp;F414,IMPORTRANGE(""https://docs.google.com/spreadsheets/d/1Uw7-A9f9R21vMXxHZFNpYNeKFtG8_yji4HS352LGlSQ/edit?pli=1#gid=0"",""1_ACUM!A4:S""),19,FALSE))"),"")</f>
        <v/>
      </c>
      <c r="AK391" s="98" t="str">
        <f ca="1">IFERROR(__xludf.DUMMYFUNCTION("IFERROR(VLOOKUP(F414,IMPORTRANGE(""https://docs.google.com/spreadsheets/d/1Kvs4KS76FHFqLFIZfrDMff4kP08nblUkihrxltoGBjg/edit#gid=934712705"",""ESENCIAL!A6:BG""),5,FALSE))"),"")</f>
        <v/>
      </c>
      <c r="AL391" s="98" t="str">
        <f t="shared" si="28"/>
        <v/>
      </c>
      <c r="AM391" s="99" t="str">
        <f t="shared" si="29"/>
        <v/>
      </c>
      <c r="AN391" s="100" t="str">
        <f ca="1">IFERROR(__xludf.DUMMYFUNCTION("IFERROR(VLOOKUP(F414,IMPORTRANGE(""https://docs.google.com/spreadsheets/d/1Kvs4KS76FHFqLFIZfrDMff4kP08nblUkihrxltoGBjg/edit#gid=934712705"",""ESENCIAL!A6:BG""),2,FALSE))"),"")</f>
        <v/>
      </c>
      <c r="AO391" s="19" t="str">
        <f t="shared" si="20"/>
        <v/>
      </c>
      <c r="AP391" s="100"/>
      <c r="AQ391" s="100"/>
    </row>
    <row r="392" spans="1:43" ht="15">
      <c r="A392" s="101"/>
      <c r="B392" s="101"/>
      <c r="G392" s="5" t="str">
        <f ca="1">IFERROR(__xludf.DUMMYFUNCTION("IFERROR(VLOOKUP(F415,IMPORTRANGE(""https://docs.google.com/spreadsheets/d/1Kvs4KS76FHFqLFIZfrDMff4kP08nblUkihrxltoGBjg/edit#gid=934712705"",""ESENCIAL!A6:BG""),3,FALSE))"),"")</f>
        <v/>
      </c>
      <c r="H392" s="5" t="str">
        <f ca="1">IFERROR(__xludf.DUMMYFUNCTION("IFERROR(VLOOKUP(F415,IMPORTRANGE(""https://docs.google.com/spreadsheets/d/1Kvs4KS76FHFqLFIZfrDMff4kP08nblUkihrxltoGBjg/edit#gid=934712705"",""ESENCIAL!A6:BG""),8,FALSE))"),"")</f>
        <v/>
      </c>
      <c r="L392" s="287"/>
      <c r="Z392" s="41" t="str">
        <f t="shared" si="27"/>
        <v/>
      </c>
      <c r="AA392" s="5" t="str">
        <f ca="1">IFERROR(__xludf.DUMMYFUNCTION("IFERROR(VLOOKUP(E415&amp;F415,IMPORTRANGE(""https://docs.google.com/spreadsheets/d/1Uw7-A9f9R21vMXxHZFNpYNeKFtG8_yji4HS352LGlSQ/edit?pli=1#gid=0"",""1_ACUM!A4:S""),11,FALSE))"),"")</f>
        <v/>
      </c>
      <c r="AB392" s="42" t="str">
        <f ca="1">IFERROR(__xludf.DUMMYFUNCTION("IFERROR(VLOOKUP(F415,IMPORTRANGE(""https://docs.google.com/spreadsheets/d/1Kvs4KS76FHFqLFIZfrDMff4kP08nblUkihrxltoGBjg/edit#gid=934712705"",""ESENCIAL!A6:BG""),15,FALSE))"),"")</f>
        <v/>
      </c>
      <c r="AC392" s="110" t="str">
        <f ca="1">IFERROR(__xludf.DUMMYFUNCTION("IFERROR(VLOOKUP(E415&amp;F415,IMPORTRANGE(""https://docs.google.com/spreadsheets/d/1Uw7-A9f9R21vMXxHZFNpYNeKFtG8_yji4HS352LGlSQ/edit?pli=1#gid=0"",""1_ACUM!A4:S""),13,FALSE))"),"")</f>
        <v/>
      </c>
      <c r="AD392" s="43" t="str">
        <f ca="1">IFERROR(__xludf.DUMMYFUNCTION("IFERROR(VLOOKUP(E415&amp;F415,IMPORTRANGE(""https://docs.google.com/spreadsheets/d/1Uw7-A9f9R21vMXxHZFNpYNeKFtG8_yji4HS352LGlSQ/edit?pli=1#gid=0"",""1_ACUM!A4:S""),13,FALSE))"),"")</f>
        <v/>
      </c>
      <c r="AE392" s="43" t="str">
        <f ca="1">IFERROR(__xludf.DUMMYFUNCTION("IFERROR(VLOOKUP(E415&amp;F415,IMPORTRANGE(""https://docs.google.com/spreadsheets/d/1Uw7-A9f9R21vMXxHZFNpYNeKFtG8_yji4HS352LGlSQ/edit?pli=1#gid=0"",""1_ACUM!A4:S""),14,FALSE))"),"")</f>
        <v/>
      </c>
      <c r="AF392" s="43" t="str">
        <f ca="1">IFERROR(__xludf.DUMMYFUNCTION("IFERROR(VLOOKUP(E415&amp;F415,IMPORTRANGE(""https://docs.google.com/spreadsheets/d/1Uw7-A9f9R21vMXxHZFNpYNeKFtG8_yji4HS352LGlSQ/edit?pli=1#gid=0"",""1_ACUM!A4:S""),15,FALSE))"),"")</f>
        <v/>
      </c>
      <c r="AG392" s="43" t="str">
        <f ca="1">IFERROR(__xludf.DUMMYFUNCTION("IFERROR(VLOOKUP(E415&amp;F415,IMPORTRANGE(""https://docs.google.com/spreadsheets/d/1Uw7-A9f9R21vMXxHZFNpYNeKFtG8_yji4HS352LGlSQ/edit?pli=1#gid=0"",""1_ACUM!A4:S""),16,FALSE))"),"")</f>
        <v/>
      </c>
      <c r="AH392" s="43" t="str">
        <f ca="1">IFERROR(__xludf.DUMMYFUNCTION("IFERROR(VLOOKUP(E415&amp;F415,IMPORTRANGE(""https://docs.google.com/spreadsheets/d/1Uw7-A9f9R21vMXxHZFNpYNeKFtG8_yji4HS352LGlSQ/edit?pli=1#gid=0"",""1_ACUM!A4:S""),17,FALSE))"),"")</f>
        <v/>
      </c>
      <c r="AI392" s="44" t="str">
        <f ca="1">IFERROR(__xludf.DUMMYFUNCTION("IFERROR(VLOOKUP(E415&amp;F415,IMPORTRANGE(""https://docs.google.com/spreadsheets/d/1Uw7-A9f9R21vMXxHZFNpYNeKFtG8_yji4HS352LGlSQ/edit?pli=1#gid=0"",""1_ACUM!A4:S""),18,FALSE))"),"")</f>
        <v/>
      </c>
      <c r="AJ392" s="44" t="str">
        <f ca="1">IFERROR(__xludf.DUMMYFUNCTION("IFERROR(VLOOKUP(E415&amp;F415,IMPORTRANGE(""https://docs.google.com/spreadsheets/d/1Uw7-A9f9R21vMXxHZFNpYNeKFtG8_yji4HS352LGlSQ/edit?pli=1#gid=0"",""1_ACUM!A4:S""),19,FALSE))"),"")</f>
        <v/>
      </c>
      <c r="AK392" s="98" t="str">
        <f ca="1">IFERROR(__xludf.DUMMYFUNCTION("IFERROR(VLOOKUP(F415,IMPORTRANGE(""https://docs.google.com/spreadsheets/d/1Kvs4KS76FHFqLFIZfrDMff4kP08nblUkihrxltoGBjg/edit#gid=934712705"",""ESENCIAL!A6:BG""),5,FALSE))"),"")</f>
        <v/>
      </c>
      <c r="AL392" s="98" t="str">
        <f t="shared" si="28"/>
        <v/>
      </c>
      <c r="AM392" s="99" t="str">
        <f t="shared" si="29"/>
        <v/>
      </c>
      <c r="AN392" s="100" t="str">
        <f ca="1">IFERROR(__xludf.DUMMYFUNCTION("IFERROR(VLOOKUP(F415,IMPORTRANGE(""https://docs.google.com/spreadsheets/d/1Kvs4KS76FHFqLFIZfrDMff4kP08nblUkihrxltoGBjg/edit#gid=934712705"",""ESENCIAL!A6:BG""),2,FALSE))"),"")</f>
        <v/>
      </c>
      <c r="AO392" s="19" t="str">
        <f t="shared" si="20"/>
        <v/>
      </c>
      <c r="AP392" s="100"/>
      <c r="AQ392" s="100"/>
    </row>
    <row r="393" spans="1:43" ht="15">
      <c r="A393" s="101"/>
      <c r="B393" s="101"/>
      <c r="G393" s="5" t="str">
        <f ca="1">IFERROR(__xludf.DUMMYFUNCTION("IFERROR(VLOOKUP(F416,IMPORTRANGE(""https://docs.google.com/spreadsheets/d/1Kvs4KS76FHFqLFIZfrDMff4kP08nblUkihrxltoGBjg/edit#gid=934712705"",""ESENCIAL!A6:BG""),3,FALSE))"),"")</f>
        <v/>
      </c>
      <c r="H393" s="5" t="str">
        <f ca="1">IFERROR(__xludf.DUMMYFUNCTION("IFERROR(VLOOKUP(F416,IMPORTRANGE(""https://docs.google.com/spreadsheets/d/1Kvs4KS76FHFqLFIZfrDMff4kP08nblUkihrxltoGBjg/edit#gid=934712705"",""ESENCIAL!A6:BG""),8,FALSE))"),"")</f>
        <v/>
      </c>
      <c r="L393" s="287"/>
      <c r="Z393" s="41" t="str">
        <f t="shared" si="27"/>
        <v/>
      </c>
      <c r="AA393" s="5" t="str">
        <f ca="1">IFERROR(__xludf.DUMMYFUNCTION("IFERROR(VLOOKUP(E416&amp;F416,IMPORTRANGE(""https://docs.google.com/spreadsheets/d/1Uw7-A9f9R21vMXxHZFNpYNeKFtG8_yji4HS352LGlSQ/edit?pli=1#gid=0"",""1_ACUM!A4:S""),11,FALSE))"),"")</f>
        <v/>
      </c>
      <c r="AB393" s="42" t="str">
        <f ca="1">IFERROR(__xludf.DUMMYFUNCTION("IFERROR(VLOOKUP(F416,IMPORTRANGE(""https://docs.google.com/spreadsheets/d/1Kvs4KS76FHFqLFIZfrDMff4kP08nblUkihrxltoGBjg/edit#gid=934712705"",""ESENCIAL!A6:BG""),15,FALSE))"),"")</f>
        <v/>
      </c>
      <c r="AC393" s="110" t="str">
        <f ca="1">IFERROR(__xludf.DUMMYFUNCTION("IFERROR(VLOOKUP(E416&amp;F416,IMPORTRANGE(""https://docs.google.com/spreadsheets/d/1Uw7-A9f9R21vMXxHZFNpYNeKFtG8_yji4HS352LGlSQ/edit?pli=1#gid=0"",""1_ACUM!A4:S""),13,FALSE))"),"")</f>
        <v/>
      </c>
      <c r="AD393" s="43" t="str">
        <f ca="1">IFERROR(__xludf.DUMMYFUNCTION("IFERROR(VLOOKUP(E416&amp;F416,IMPORTRANGE(""https://docs.google.com/spreadsheets/d/1Uw7-A9f9R21vMXxHZFNpYNeKFtG8_yji4HS352LGlSQ/edit?pli=1#gid=0"",""1_ACUM!A4:S""),13,FALSE))"),"")</f>
        <v/>
      </c>
      <c r="AE393" s="43" t="str">
        <f ca="1">IFERROR(__xludf.DUMMYFUNCTION("IFERROR(VLOOKUP(E416&amp;F416,IMPORTRANGE(""https://docs.google.com/spreadsheets/d/1Uw7-A9f9R21vMXxHZFNpYNeKFtG8_yji4HS352LGlSQ/edit?pli=1#gid=0"",""1_ACUM!A4:S""),14,FALSE))"),"")</f>
        <v/>
      </c>
      <c r="AF393" s="43" t="str">
        <f ca="1">IFERROR(__xludf.DUMMYFUNCTION("IFERROR(VLOOKUP(E416&amp;F416,IMPORTRANGE(""https://docs.google.com/spreadsheets/d/1Uw7-A9f9R21vMXxHZFNpYNeKFtG8_yji4HS352LGlSQ/edit?pli=1#gid=0"",""1_ACUM!A4:S""),15,FALSE))"),"")</f>
        <v/>
      </c>
      <c r="AG393" s="43" t="str">
        <f ca="1">IFERROR(__xludf.DUMMYFUNCTION("IFERROR(VLOOKUP(E416&amp;F416,IMPORTRANGE(""https://docs.google.com/spreadsheets/d/1Uw7-A9f9R21vMXxHZFNpYNeKFtG8_yji4HS352LGlSQ/edit?pli=1#gid=0"",""1_ACUM!A4:S""),16,FALSE))"),"")</f>
        <v/>
      </c>
      <c r="AH393" s="43" t="str">
        <f ca="1">IFERROR(__xludf.DUMMYFUNCTION("IFERROR(VLOOKUP(E416&amp;F416,IMPORTRANGE(""https://docs.google.com/spreadsheets/d/1Uw7-A9f9R21vMXxHZFNpYNeKFtG8_yji4HS352LGlSQ/edit?pli=1#gid=0"",""1_ACUM!A4:S""),17,FALSE))"),"")</f>
        <v/>
      </c>
      <c r="AI393" s="44" t="str">
        <f ca="1">IFERROR(__xludf.DUMMYFUNCTION("IFERROR(VLOOKUP(E416&amp;F416,IMPORTRANGE(""https://docs.google.com/spreadsheets/d/1Uw7-A9f9R21vMXxHZFNpYNeKFtG8_yji4HS352LGlSQ/edit?pli=1#gid=0"",""1_ACUM!A4:S""),18,FALSE))"),"")</f>
        <v/>
      </c>
      <c r="AJ393" s="44" t="str">
        <f ca="1">IFERROR(__xludf.DUMMYFUNCTION("IFERROR(VLOOKUP(E416&amp;F416,IMPORTRANGE(""https://docs.google.com/spreadsheets/d/1Uw7-A9f9R21vMXxHZFNpYNeKFtG8_yji4HS352LGlSQ/edit?pli=1#gid=0"",""1_ACUM!A4:S""),19,FALSE))"),"")</f>
        <v/>
      </c>
      <c r="AK393" s="98" t="str">
        <f ca="1">IFERROR(__xludf.DUMMYFUNCTION("IFERROR(VLOOKUP(F416,IMPORTRANGE(""https://docs.google.com/spreadsheets/d/1Kvs4KS76FHFqLFIZfrDMff4kP08nblUkihrxltoGBjg/edit#gid=934712705"",""ESENCIAL!A6:BG""),5,FALSE))"),"")</f>
        <v/>
      </c>
      <c r="AL393" s="98" t="str">
        <f t="shared" si="28"/>
        <v/>
      </c>
      <c r="AM393" s="99" t="str">
        <f t="shared" si="29"/>
        <v/>
      </c>
      <c r="AN393" s="100" t="str">
        <f ca="1">IFERROR(__xludf.DUMMYFUNCTION("IFERROR(VLOOKUP(F416,IMPORTRANGE(""https://docs.google.com/spreadsheets/d/1Kvs4KS76FHFqLFIZfrDMff4kP08nblUkihrxltoGBjg/edit#gid=934712705"",""ESENCIAL!A6:BG""),2,FALSE))"),"")</f>
        <v/>
      </c>
      <c r="AO393" s="19" t="str">
        <f t="shared" si="20"/>
        <v/>
      </c>
      <c r="AP393" s="100"/>
      <c r="AQ393" s="100"/>
    </row>
    <row r="394" spans="1:43" ht="15">
      <c r="A394" s="101"/>
      <c r="B394" s="101"/>
      <c r="G394" s="5" t="str">
        <f ca="1">IFERROR(__xludf.DUMMYFUNCTION("IFERROR(VLOOKUP(F417,IMPORTRANGE(""https://docs.google.com/spreadsheets/d/1Kvs4KS76FHFqLFIZfrDMff4kP08nblUkihrxltoGBjg/edit#gid=934712705"",""ESENCIAL!A6:BG""),3,FALSE))"),"")</f>
        <v/>
      </c>
      <c r="H394" s="5" t="str">
        <f ca="1">IFERROR(__xludf.DUMMYFUNCTION("IFERROR(VLOOKUP(F417,IMPORTRANGE(""https://docs.google.com/spreadsheets/d/1Kvs4KS76FHFqLFIZfrDMff4kP08nblUkihrxltoGBjg/edit#gid=934712705"",""ESENCIAL!A6:BG""),8,FALSE))"),"")</f>
        <v/>
      </c>
      <c r="L394" s="287"/>
      <c r="Z394" s="41" t="str">
        <f t="shared" si="27"/>
        <v/>
      </c>
      <c r="AA394" s="5" t="str">
        <f ca="1">IFERROR(__xludf.DUMMYFUNCTION("IFERROR(VLOOKUP(E417&amp;F417,IMPORTRANGE(""https://docs.google.com/spreadsheets/d/1Uw7-A9f9R21vMXxHZFNpYNeKFtG8_yji4HS352LGlSQ/edit?pli=1#gid=0"",""1_ACUM!A4:S""),11,FALSE))"),"")</f>
        <v/>
      </c>
      <c r="AB394" s="42" t="str">
        <f ca="1">IFERROR(__xludf.DUMMYFUNCTION("IFERROR(VLOOKUP(F417,IMPORTRANGE(""https://docs.google.com/spreadsheets/d/1Kvs4KS76FHFqLFIZfrDMff4kP08nblUkihrxltoGBjg/edit#gid=934712705"",""ESENCIAL!A6:BG""),15,FALSE))"),"")</f>
        <v/>
      </c>
      <c r="AC394" s="110" t="str">
        <f ca="1">IFERROR(__xludf.DUMMYFUNCTION("IFERROR(VLOOKUP(E417&amp;F417,IMPORTRANGE(""https://docs.google.com/spreadsheets/d/1Uw7-A9f9R21vMXxHZFNpYNeKFtG8_yji4HS352LGlSQ/edit?pli=1#gid=0"",""1_ACUM!A4:S""),13,FALSE))"),"")</f>
        <v/>
      </c>
      <c r="AD394" s="43" t="str">
        <f ca="1">IFERROR(__xludf.DUMMYFUNCTION("IFERROR(VLOOKUP(E417&amp;F417,IMPORTRANGE(""https://docs.google.com/spreadsheets/d/1Uw7-A9f9R21vMXxHZFNpYNeKFtG8_yji4HS352LGlSQ/edit?pli=1#gid=0"",""1_ACUM!A4:S""),13,FALSE))"),"")</f>
        <v/>
      </c>
      <c r="AE394" s="43" t="str">
        <f ca="1">IFERROR(__xludf.DUMMYFUNCTION("IFERROR(VLOOKUP(E417&amp;F417,IMPORTRANGE(""https://docs.google.com/spreadsheets/d/1Uw7-A9f9R21vMXxHZFNpYNeKFtG8_yji4HS352LGlSQ/edit?pli=1#gid=0"",""1_ACUM!A4:S""),14,FALSE))"),"")</f>
        <v/>
      </c>
      <c r="AF394" s="43" t="str">
        <f ca="1">IFERROR(__xludf.DUMMYFUNCTION("IFERROR(VLOOKUP(E417&amp;F417,IMPORTRANGE(""https://docs.google.com/spreadsheets/d/1Uw7-A9f9R21vMXxHZFNpYNeKFtG8_yji4HS352LGlSQ/edit?pli=1#gid=0"",""1_ACUM!A4:S""),15,FALSE))"),"")</f>
        <v/>
      </c>
      <c r="AG394" s="43" t="str">
        <f ca="1">IFERROR(__xludf.DUMMYFUNCTION("IFERROR(VLOOKUP(E417&amp;F417,IMPORTRANGE(""https://docs.google.com/spreadsheets/d/1Uw7-A9f9R21vMXxHZFNpYNeKFtG8_yji4HS352LGlSQ/edit?pli=1#gid=0"",""1_ACUM!A4:S""),16,FALSE))"),"")</f>
        <v/>
      </c>
      <c r="AH394" s="43" t="str">
        <f ca="1">IFERROR(__xludf.DUMMYFUNCTION("IFERROR(VLOOKUP(E417&amp;F417,IMPORTRANGE(""https://docs.google.com/spreadsheets/d/1Uw7-A9f9R21vMXxHZFNpYNeKFtG8_yji4HS352LGlSQ/edit?pli=1#gid=0"",""1_ACUM!A4:S""),17,FALSE))"),"")</f>
        <v/>
      </c>
      <c r="AI394" s="44" t="str">
        <f ca="1">IFERROR(__xludf.DUMMYFUNCTION("IFERROR(VLOOKUP(E417&amp;F417,IMPORTRANGE(""https://docs.google.com/spreadsheets/d/1Uw7-A9f9R21vMXxHZFNpYNeKFtG8_yji4HS352LGlSQ/edit?pli=1#gid=0"",""1_ACUM!A4:S""),18,FALSE))"),"")</f>
        <v/>
      </c>
      <c r="AJ394" s="44" t="str">
        <f ca="1">IFERROR(__xludf.DUMMYFUNCTION("IFERROR(VLOOKUP(E417&amp;F417,IMPORTRANGE(""https://docs.google.com/spreadsheets/d/1Uw7-A9f9R21vMXxHZFNpYNeKFtG8_yji4HS352LGlSQ/edit?pli=1#gid=0"",""1_ACUM!A4:S""),19,FALSE))"),"")</f>
        <v/>
      </c>
      <c r="AK394" s="98" t="str">
        <f ca="1">IFERROR(__xludf.DUMMYFUNCTION("IFERROR(VLOOKUP(F417,IMPORTRANGE(""https://docs.google.com/spreadsheets/d/1Kvs4KS76FHFqLFIZfrDMff4kP08nblUkihrxltoGBjg/edit#gid=934712705"",""ESENCIAL!A6:BG""),5,FALSE))"),"")</f>
        <v/>
      </c>
      <c r="AL394" s="98" t="str">
        <f t="shared" si="28"/>
        <v/>
      </c>
      <c r="AM394" s="99" t="str">
        <f t="shared" si="29"/>
        <v/>
      </c>
      <c r="AN394" s="100" t="str">
        <f ca="1">IFERROR(__xludf.DUMMYFUNCTION("IFERROR(VLOOKUP(F417,IMPORTRANGE(""https://docs.google.com/spreadsheets/d/1Kvs4KS76FHFqLFIZfrDMff4kP08nblUkihrxltoGBjg/edit#gid=934712705"",""ESENCIAL!A6:BG""),2,FALSE))"),"")</f>
        <v/>
      </c>
      <c r="AO394" s="19" t="str">
        <f t="shared" si="20"/>
        <v/>
      </c>
      <c r="AP394" s="100"/>
      <c r="AQ394" s="100"/>
    </row>
    <row r="395" spans="1:43" ht="15">
      <c r="A395" s="101"/>
      <c r="B395" s="101"/>
      <c r="G395" s="5" t="str">
        <f ca="1">IFERROR(__xludf.DUMMYFUNCTION("IFERROR(VLOOKUP(F418,IMPORTRANGE(""https://docs.google.com/spreadsheets/d/1Kvs4KS76FHFqLFIZfrDMff4kP08nblUkihrxltoGBjg/edit#gid=934712705"",""ESENCIAL!A6:BG""),3,FALSE))"),"")</f>
        <v/>
      </c>
      <c r="H395" s="5" t="str">
        <f ca="1">IFERROR(__xludf.DUMMYFUNCTION("IFERROR(VLOOKUP(F418,IMPORTRANGE(""https://docs.google.com/spreadsheets/d/1Kvs4KS76FHFqLFIZfrDMff4kP08nblUkihrxltoGBjg/edit#gid=934712705"",""ESENCIAL!A6:BG""),8,FALSE))"),"")</f>
        <v/>
      </c>
      <c r="L395" s="287"/>
      <c r="Z395" s="41" t="str">
        <f t="shared" si="27"/>
        <v/>
      </c>
      <c r="AA395" s="5" t="str">
        <f ca="1">IFERROR(__xludf.DUMMYFUNCTION("IFERROR(VLOOKUP(E418&amp;F418,IMPORTRANGE(""https://docs.google.com/spreadsheets/d/1Uw7-A9f9R21vMXxHZFNpYNeKFtG8_yji4HS352LGlSQ/edit?pli=1#gid=0"",""1_ACUM!A4:S""),11,FALSE))"),"")</f>
        <v/>
      </c>
      <c r="AB395" s="42" t="str">
        <f ca="1">IFERROR(__xludf.DUMMYFUNCTION("IFERROR(VLOOKUP(F418,IMPORTRANGE(""https://docs.google.com/spreadsheets/d/1Kvs4KS76FHFqLFIZfrDMff4kP08nblUkihrxltoGBjg/edit#gid=934712705"",""ESENCIAL!A6:BG""),15,FALSE))"),"")</f>
        <v/>
      </c>
      <c r="AC395" s="110" t="str">
        <f ca="1">IFERROR(__xludf.DUMMYFUNCTION("IFERROR(VLOOKUP(E418&amp;F418,IMPORTRANGE(""https://docs.google.com/spreadsheets/d/1Uw7-A9f9R21vMXxHZFNpYNeKFtG8_yji4HS352LGlSQ/edit?pli=1#gid=0"",""1_ACUM!A4:S""),13,FALSE))"),"")</f>
        <v/>
      </c>
      <c r="AD395" s="43" t="str">
        <f ca="1">IFERROR(__xludf.DUMMYFUNCTION("IFERROR(VLOOKUP(E418&amp;F418,IMPORTRANGE(""https://docs.google.com/spreadsheets/d/1Uw7-A9f9R21vMXxHZFNpYNeKFtG8_yji4HS352LGlSQ/edit?pli=1#gid=0"",""1_ACUM!A4:S""),13,FALSE))"),"")</f>
        <v/>
      </c>
      <c r="AE395" s="43" t="str">
        <f ca="1">IFERROR(__xludf.DUMMYFUNCTION("IFERROR(VLOOKUP(E418&amp;F418,IMPORTRANGE(""https://docs.google.com/spreadsheets/d/1Uw7-A9f9R21vMXxHZFNpYNeKFtG8_yji4HS352LGlSQ/edit?pli=1#gid=0"",""1_ACUM!A4:S""),14,FALSE))"),"")</f>
        <v/>
      </c>
      <c r="AF395" s="43" t="str">
        <f ca="1">IFERROR(__xludf.DUMMYFUNCTION("IFERROR(VLOOKUP(E418&amp;F418,IMPORTRANGE(""https://docs.google.com/spreadsheets/d/1Uw7-A9f9R21vMXxHZFNpYNeKFtG8_yji4HS352LGlSQ/edit?pli=1#gid=0"",""1_ACUM!A4:S""),15,FALSE))"),"")</f>
        <v/>
      </c>
      <c r="AG395" s="43" t="str">
        <f ca="1">IFERROR(__xludf.DUMMYFUNCTION("IFERROR(VLOOKUP(E418&amp;F418,IMPORTRANGE(""https://docs.google.com/spreadsheets/d/1Uw7-A9f9R21vMXxHZFNpYNeKFtG8_yji4HS352LGlSQ/edit?pli=1#gid=0"",""1_ACUM!A4:S""),16,FALSE))"),"")</f>
        <v/>
      </c>
      <c r="AH395" s="43" t="str">
        <f ca="1">IFERROR(__xludf.DUMMYFUNCTION("IFERROR(VLOOKUP(E418&amp;F418,IMPORTRANGE(""https://docs.google.com/spreadsheets/d/1Uw7-A9f9R21vMXxHZFNpYNeKFtG8_yji4HS352LGlSQ/edit?pli=1#gid=0"",""1_ACUM!A4:S""),17,FALSE))"),"")</f>
        <v/>
      </c>
      <c r="AI395" s="44" t="str">
        <f ca="1">IFERROR(__xludf.DUMMYFUNCTION("IFERROR(VLOOKUP(E418&amp;F418,IMPORTRANGE(""https://docs.google.com/spreadsheets/d/1Uw7-A9f9R21vMXxHZFNpYNeKFtG8_yji4HS352LGlSQ/edit?pli=1#gid=0"",""1_ACUM!A4:S""),18,FALSE))"),"")</f>
        <v/>
      </c>
      <c r="AJ395" s="44" t="str">
        <f ca="1">IFERROR(__xludf.DUMMYFUNCTION("IFERROR(VLOOKUP(E418&amp;F418,IMPORTRANGE(""https://docs.google.com/spreadsheets/d/1Uw7-A9f9R21vMXxHZFNpYNeKFtG8_yji4HS352LGlSQ/edit?pli=1#gid=0"",""1_ACUM!A4:S""),19,FALSE))"),"")</f>
        <v/>
      </c>
      <c r="AK395" s="98" t="str">
        <f ca="1">IFERROR(__xludf.DUMMYFUNCTION("IFERROR(VLOOKUP(F418,IMPORTRANGE(""https://docs.google.com/spreadsheets/d/1Kvs4KS76FHFqLFIZfrDMff4kP08nblUkihrxltoGBjg/edit#gid=934712705"",""ESENCIAL!A6:BG""),5,FALSE))"),"")</f>
        <v/>
      </c>
      <c r="AL395" s="98" t="str">
        <f t="shared" si="28"/>
        <v/>
      </c>
      <c r="AM395" s="99" t="str">
        <f t="shared" si="29"/>
        <v/>
      </c>
      <c r="AN395" s="100" t="str">
        <f ca="1">IFERROR(__xludf.DUMMYFUNCTION("IFERROR(VLOOKUP(F418,IMPORTRANGE(""https://docs.google.com/spreadsheets/d/1Kvs4KS76FHFqLFIZfrDMff4kP08nblUkihrxltoGBjg/edit#gid=934712705"",""ESENCIAL!A6:BG""),2,FALSE))"),"")</f>
        <v/>
      </c>
      <c r="AO395" s="19" t="str">
        <f t="shared" si="20"/>
        <v/>
      </c>
      <c r="AP395" s="100"/>
      <c r="AQ395" s="100"/>
    </row>
    <row r="396" spans="1:43" ht="15">
      <c r="A396" s="101"/>
      <c r="B396" s="101"/>
      <c r="G396" s="5" t="str">
        <f ca="1">IFERROR(__xludf.DUMMYFUNCTION("IFERROR(VLOOKUP(F419,IMPORTRANGE(""https://docs.google.com/spreadsheets/d/1Kvs4KS76FHFqLFIZfrDMff4kP08nblUkihrxltoGBjg/edit#gid=934712705"",""ESENCIAL!A6:BG""),3,FALSE))"),"")</f>
        <v/>
      </c>
      <c r="H396" s="5" t="str">
        <f ca="1">IFERROR(__xludf.DUMMYFUNCTION("IFERROR(VLOOKUP(F419,IMPORTRANGE(""https://docs.google.com/spreadsheets/d/1Kvs4KS76FHFqLFIZfrDMff4kP08nblUkihrxltoGBjg/edit#gid=934712705"",""ESENCIAL!A6:BG""),8,FALSE))"),"")</f>
        <v/>
      </c>
      <c r="L396" s="287"/>
      <c r="Z396" s="41" t="str">
        <f t="shared" si="27"/>
        <v/>
      </c>
      <c r="AA396" s="5" t="str">
        <f ca="1">IFERROR(__xludf.DUMMYFUNCTION("IFERROR(VLOOKUP(E419&amp;F419,IMPORTRANGE(""https://docs.google.com/spreadsheets/d/1Uw7-A9f9R21vMXxHZFNpYNeKFtG8_yji4HS352LGlSQ/edit?pli=1#gid=0"",""1_ACUM!A4:S""),11,FALSE))"),"")</f>
        <v/>
      </c>
      <c r="AB396" s="42" t="str">
        <f ca="1">IFERROR(__xludf.DUMMYFUNCTION("IFERROR(VLOOKUP(F419,IMPORTRANGE(""https://docs.google.com/spreadsheets/d/1Kvs4KS76FHFqLFIZfrDMff4kP08nblUkihrxltoGBjg/edit#gid=934712705"",""ESENCIAL!A6:BG""),15,FALSE))"),"")</f>
        <v/>
      </c>
      <c r="AC396" s="110" t="str">
        <f ca="1">IFERROR(__xludf.DUMMYFUNCTION("IFERROR(VLOOKUP(E419&amp;F419,IMPORTRANGE(""https://docs.google.com/spreadsheets/d/1Uw7-A9f9R21vMXxHZFNpYNeKFtG8_yji4HS352LGlSQ/edit?pli=1#gid=0"",""1_ACUM!A4:S""),13,FALSE))"),"")</f>
        <v/>
      </c>
      <c r="AD396" s="43" t="str">
        <f ca="1">IFERROR(__xludf.DUMMYFUNCTION("IFERROR(VLOOKUP(E419&amp;F419,IMPORTRANGE(""https://docs.google.com/spreadsheets/d/1Uw7-A9f9R21vMXxHZFNpYNeKFtG8_yji4HS352LGlSQ/edit?pli=1#gid=0"",""1_ACUM!A4:S""),13,FALSE))"),"")</f>
        <v/>
      </c>
      <c r="AE396" s="43" t="str">
        <f ca="1">IFERROR(__xludf.DUMMYFUNCTION("IFERROR(VLOOKUP(E419&amp;F419,IMPORTRANGE(""https://docs.google.com/spreadsheets/d/1Uw7-A9f9R21vMXxHZFNpYNeKFtG8_yji4HS352LGlSQ/edit?pli=1#gid=0"",""1_ACUM!A4:S""),14,FALSE))"),"")</f>
        <v/>
      </c>
      <c r="AF396" s="43" t="str">
        <f ca="1">IFERROR(__xludf.DUMMYFUNCTION("IFERROR(VLOOKUP(E419&amp;F419,IMPORTRANGE(""https://docs.google.com/spreadsheets/d/1Uw7-A9f9R21vMXxHZFNpYNeKFtG8_yji4HS352LGlSQ/edit?pli=1#gid=0"",""1_ACUM!A4:S""),15,FALSE))"),"")</f>
        <v/>
      </c>
      <c r="AG396" s="43" t="str">
        <f ca="1">IFERROR(__xludf.DUMMYFUNCTION("IFERROR(VLOOKUP(E419&amp;F419,IMPORTRANGE(""https://docs.google.com/spreadsheets/d/1Uw7-A9f9R21vMXxHZFNpYNeKFtG8_yji4HS352LGlSQ/edit?pli=1#gid=0"",""1_ACUM!A4:S""),16,FALSE))"),"")</f>
        <v/>
      </c>
      <c r="AH396" s="43" t="str">
        <f ca="1">IFERROR(__xludf.DUMMYFUNCTION("IFERROR(VLOOKUP(E419&amp;F419,IMPORTRANGE(""https://docs.google.com/spreadsheets/d/1Uw7-A9f9R21vMXxHZFNpYNeKFtG8_yji4HS352LGlSQ/edit?pli=1#gid=0"",""1_ACUM!A4:S""),17,FALSE))"),"")</f>
        <v/>
      </c>
      <c r="AI396" s="44" t="str">
        <f ca="1">IFERROR(__xludf.DUMMYFUNCTION("IFERROR(VLOOKUP(E419&amp;F419,IMPORTRANGE(""https://docs.google.com/spreadsheets/d/1Uw7-A9f9R21vMXxHZFNpYNeKFtG8_yji4HS352LGlSQ/edit?pli=1#gid=0"",""1_ACUM!A4:S""),18,FALSE))"),"")</f>
        <v/>
      </c>
      <c r="AJ396" s="44" t="str">
        <f ca="1">IFERROR(__xludf.DUMMYFUNCTION("IFERROR(VLOOKUP(E419&amp;F419,IMPORTRANGE(""https://docs.google.com/spreadsheets/d/1Uw7-A9f9R21vMXxHZFNpYNeKFtG8_yji4HS352LGlSQ/edit?pli=1#gid=0"",""1_ACUM!A4:S""),19,FALSE))"),"")</f>
        <v/>
      </c>
      <c r="AK396" s="98" t="str">
        <f ca="1">IFERROR(__xludf.DUMMYFUNCTION("IFERROR(VLOOKUP(F419,IMPORTRANGE(""https://docs.google.com/spreadsheets/d/1Kvs4KS76FHFqLFIZfrDMff4kP08nblUkihrxltoGBjg/edit#gid=934712705"",""ESENCIAL!A6:BG""),5,FALSE))"),"")</f>
        <v/>
      </c>
      <c r="AL396" s="98" t="str">
        <f t="shared" si="28"/>
        <v/>
      </c>
      <c r="AM396" s="99" t="str">
        <f t="shared" si="29"/>
        <v/>
      </c>
      <c r="AN396" s="100" t="str">
        <f ca="1">IFERROR(__xludf.DUMMYFUNCTION("IFERROR(VLOOKUP(F419,IMPORTRANGE(""https://docs.google.com/spreadsheets/d/1Kvs4KS76FHFqLFIZfrDMff4kP08nblUkihrxltoGBjg/edit#gid=934712705"",""ESENCIAL!A6:BG""),2,FALSE))"),"")</f>
        <v/>
      </c>
      <c r="AO396" s="19" t="str">
        <f t="shared" si="20"/>
        <v/>
      </c>
      <c r="AP396" s="100"/>
      <c r="AQ396" s="100"/>
    </row>
    <row r="397" spans="1:43" ht="15">
      <c r="A397" s="101"/>
      <c r="B397" s="101"/>
      <c r="G397" s="5" t="str">
        <f ca="1">IFERROR(__xludf.DUMMYFUNCTION("IFERROR(VLOOKUP(F420,IMPORTRANGE(""https://docs.google.com/spreadsheets/d/1Kvs4KS76FHFqLFIZfrDMff4kP08nblUkihrxltoGBjg/edit#gid=934712705"",""ESENCIAL!A6:BG""),3,FALSE))"),"")</f>
        <v/>
      </c>
      <c r="H397" s="5" t="str">
        <f ca="1">IFERROR(__xludf.DUMMYFUNCTION("IFERROR(VLOOKUP(F420,IMPORTRANGE(""https://docs.google.com/spreadsheets/d/1Kvs4KS76FHFqLFIZfrDMff4kP08nblUkihrxltoGBjg/edit#gid=934712705"",""ESENCIAL!A6:BG""),8,FALSE))"),"")</f>
        <v/>
      </c>
      <c r="L397" s="287"/>
      <c r="Z397" s="41" t="str">
        <f t="shared" si="27"/>
        <v/>
      </c>
      <c r="AA397" s="5" t="str">
        <f ca="1">IFERROR(__xludf.DUMMYFUNCTION("IFERROR(VLOOKUP(E420&amp;F420,IMPORTRANGE(""https://docs.google.com/spreadsheets/d/1Uw7-A9f9R21vMXxHZFNpYNeKFtG8_yji4HS352LGlSQ/edit?pli=1#gid=0"",""1_ACUM!A4:S""),11,FALSE))"),"")</f>
        <v/>
      </c>
      <c r="AB397" s="42" t="str">
        <f ca="1">IFERROR(__xludf.DUMMYFUNCTION("IFERROR(VLOOKUP(F420,IMPORTRANGE(""https://docs.google.com/spreadsheets/d/1Kvs4KS76FHFqLFIZfrDMff4kP08nblUkihrxltoGBjg/edit#gid=934712705"",""ESENCIAL!A6:BG""),15,FALSE))"),"")</f>
        <v/>
      </c>
      <c r="AC397" s="110" t="str">
        <f ca="1">IFERROR(__xludf.DUMMYFUNCTION("IFERROR(VLOOKUP(E420&amp;F420,IMPORTRANGE(""https://docs.google.com/spreadsheets/d/1Uw7-A9f9R21vMXxHZFNpYNeKFtG8_yji4HS352LGlSQ/edit?pli=1#gid=0"",""1_ACUM!A4:S""),13,FALSE))"),"")</f>
        <v/>
      </c>
      <c r="AD397" s="43" t="str">
        <f ca="1">IFERROR(__xludf.DUMMYFUNCTION("IFERROR(VLOOKUP(E420&amp;F420,IMPORTRANGE(""https://docs.google.com/spreadsheets/d/1Uw7-A9f9R21vMXxHZFNpYNeKFtG8_yji4HS352LGlSQ/edit?pli=1#gid=0"",""1_ACUM!A4:S""),13,FALSE))"),"")</f>
        <v/>
      </c>
      <c r="AE397" s="43" t="str">
        <f ca="1">IFERROR(__xludf.DUMMYFUNCTION("IFERROR(VLOOKUP(E420&amp;F420,IMPORTRANGE(""https://docs.google.com/spreadsheets/d/1Uw7-A9f9R21vMXxHZFNpYNeKFtG8_yji4HS352LGlSQ/edit?pli=1#gid=0"",""1_ACUM!A4:S""),14,FALSE))"),"")</f>
        <v/>
      </c>
      <c r="AF397" s="43" t="str">
        <f ca="1">IFERROR(__xludf.DUMMYFUNCTION("IFERROR(VLOOKUP(E420&amp;F420,IMPORTRANGE(""https://docs.google.com/spreadsheets/d/1Uw7-A9f9R21vMXxHZFNpYNeKFtG8_yji4HS352LGlSQ/edit?pli=1#gid=0"",""1_ACUM!A4:S""),15,FALSE))"),"")</f>
        <v/>
      </c>
      <c r="AG397" s="43" t="str">
        <f ca="1">IFERROR(__xludf.DUMMYFUNCTION("IFERROR(VLOOKUP(E420&amp;F420,IMPORTRANGE(""https://docs.google.com/spreadsheets/d/1Uw7-A9f9R21vMXxHZFNpYNeKFtG8_yji4HS352LGlSQ/edit?pli=1#gid=0"",""1_ACUM!A4:S""),16,FALSE))"),"")</f>
        <v/>
      </c>
      <c r="AH397" s="43" t="str">
        <f ca="1">IFERROR(__xludf.DUMMYFUNCTION("IFERROR(VLOOKUP(E420&amp;F420,IMPORTRANGE(""https://docs.google.com/spreadsheets/d/1Uw7-A9f9R21vMXxHZFNpYNeKFtG8_yji4HS352LGlSQ/edit?pli=1#gid=0"",""1_ACUM!A4:S""),17,FALSE))"),"")</f>
        <v/>
      </c>
      <c r="AI397" s="44" t="str">
        <f ca="1">IFERROR(__xludf.DUMMYFUNCTION("IFERROR(VLOOKUP(E420&amp;F420,IMPORTRANGE(""https://docs.google.com/spreadsheets/d/1Uw7-A9f9R21vMXxHZFNpYNeKFtG8_yji4HS352LGlSQ/edit?pli=1#gid=0"",""1_ACUM!A4:S""),18,FALSE))"),"")</f>
        <v/>
      </c>
      <c r="AJ397" s="44" t="str">
        <f ca="1">IFERROR(__xludf.DUMMYFUNCTION("IFERROR(VLOOKUP(E420&amp;F420,IMPORTRANGE(""https://docs.google.com/spreadsheets/d/1Uw7-A9f9R21vMXxHZFNpYNeKFtG8_yji4HS352LGlSQ/edit?pli=1#gid=0"",""1_ACUM!A4:S""),19,FALSE))"),"")</f>
        <v/>
      </c>
      <c r="AK397" s="98" t="str">
        <f ca="1">IFERROR(__xludf.DUMMYFUNCTION("IFERROR(VLOOKUP(F420,IMPORTRANGE(""https://docs.google.com/spreadsheets/d/1Kvs4KS76FHFqLFIZfrDMff4kP08nblUkihrxltoGBjg/edit#gid=934712705"",""ESENCIAL!A6:BG""),5,FALSE))"),"")</f>
        <v/>
      </c>
      <c r="AL397" s="98" t="str">
        <f t="shared" si="28"/>
        <v/>
      </c>
      <c r="AM397" s="99" t="str">
        <f t="shared" si="29"/>
        <v/>
      </c>
      <c r="AN397" s="100" t="str">
        <f ca="1">IFERROR(__xludf.DUMMYFUNCTION("IFERROR(VLOOKUP(F420,IMPORTRANGE(""https://docs.google.com/spreadsheets/d/1Kvs4KS76FHFqLFIZfrDMff4kP08nblUkihrxltoGBjg/edit#gid=934712705"",""ESENCIAL!A6:BG""),2,FALSE))"),"")</f>
        <v/>
      </c>
      <c r="AO397" s="19" t="str">
        <f t="shared" si="20"/>
        <v/>
      </c>
      <c r="AP397" s="100"/>
      <c r="AQ397" s="100"/>
    </row>
    <row r="398" spans="1:43" ht="15">
      <c r="A398" s="101"/>
      <c r="B398" s="101"/>
      <c r="G398" s="5" t="str">
        <f ca="1">IFERROR(__xludf.DUMMYFUNCTION("IFERROR(VLOOKUP(F421,IMPORTRANGE(""https://docs.google.com/spreadsheets/d/1Kvs4KS76FHFqLFIZfrDMff4kP08nblUkihrxltoGBjg/edit#gid=934712705"",""ESENCIAL!A6:BG""),3,FALSE))"),"")</f>
        <v/>
      </c>
      <c r="H398" s="5" t="str">
        <f ca="1">IFERROR(__xludf.DUMMYFUNCTION("IFERROR(VLOOKUP(F421,IMPORTRANGE(""https://docs.google.com/spreadsheets/d/1Kvs4KS76FHFqLFIZfrDMff4kP08nblUkihrxltoGBjg/edit#gid=934712705"",""ESENCIAL!A6:BG""),8,FALSE))"),"")</f>
        <v/>
      </c>
      <c r="L398" s="287"/>
      <c r="Z398" s="41" t="str">
        <f t="shared" si="27"/>
        <v/>
      </c>
      <c r="AA398" s="5" t="str">
        <f ca="1">IFERROR(__xludf.DUMMYFUNCTION("IFERROR(VLOOKUP(E421&amp;F421,IMPORTRANGE(""https://docs.google.com/spreadsheets/d/1Uw7-A9f9R21vMXxHZFNpYNeKFtG8_yji4HS352LGlSQ/edit?pli=1#gid=0"",""1_ACUM!A4:S""),11,FALSE))"),"")</f>
        <v/>
      </c>
      <c r="AB398" s="42" t="str">
        <f ca="1">IFERROR(__xludf.DUMMYFUNCTION("IFERROR(VLOOKUP(F421,IMPORTRANGE(""https://docs.google.com/spreadsheets/d/1Kvs4KS76FHFqLFIZfrDMff4kP08nblUkihrxltoGBjg/edit#gid=934712705"",""ESENCIAL!A6:BG""),15,FALSE))"),"")</f>
        <v/>
      </c>
      <c r="AC398" s="110" t="str">
        <f ca="1">IFERROR(__xludf.DUMMYFUNCTION("IFERROR(VLOOKUP(E421&amp;F421,IMPORTRANGE(""https://docs.google.com/spreadsheets/d/1Uw7-A9f9R21vMXxHZFNpYNeKFtG8_yji4HS352LGlSQ/edit?pli=1#gid=0"",""1_ACUM!A4:S""),13,FALSE))"),"")</f>
        <v/>
      </c>
      <c r="AD398" s="43" t="str">
        <f ca="1">IFERROR(__xludf.DUMMYFUNCTION("IFERROR(VLOOKUP(E421&amp;F421,IMPORTRANGE(""https://docs.google.com/spreadsheets/d/1Uw7-A9f9R21vMXxHZFNpYNeKFtG8_yji4HS352LGlSQ/edit?pli=1#gid=0"",""1_ACUM!A4:S""),13,FALSE))"),"")</f>
        <v/>
      </c>
      <c r="AE398" s="43" t="str">
        <f ca="1">IFERROR(__xludf.DUMMYFUNCTION("IFERROR(VLOOKUP(E421&amp;F421,IMPORTRANGE(""https://docs.google.com/spreadsheets/d/1Uw7-A9f9R21vMXxHZFNpYNeKFtG8_yji4HS352LGlSQ/edit?pli=1#gid=0"",""1_ACUM!A4:S""),14,FALSE))"),"")</f>
        <v/>
      </c>
      <c r="AF398" s="43" t="str">
        <f ca="1">IFERROR(__xludf.DUMMYFUNCTION("IFERROR(VLOOKUP(E421&amp;F421,IMPORTRANGE(""https://docs.google.com/spreadsheets/d/1Uw7-A9f9R21vMXxHZFNpYNeKFtG8_yji4HS352LGlSQ/edit?pli=1#gid=0"",""1_ACUM!A4:S""),15,FALSE))"),"")</f>
        <v/>
      </c>
      <c r="AG398" s="43" t="str">
        <f ca="1">IFERROR(__xludf.DUMMYFUNCTION("IFERROR(VLOOKUP(E421&amp;F421,IMPORTRANGE(""https://docs.google.com/spreadsheets/d/1Uw7-A9f9R21vMXxHZFNpYNeKFtG8_yji4HS352LGlSQ/edit?pli=1#gid=0"",""1_ACUM!A4:S""),16,FALSE))"),"")</f>
        <v/>
      </c>
      <c r="AH398" s="43" t="str">
        <f ca="1">IFERROR(__xludf.DUMMYFUNCTION("IFERROR(VLOOKUP(E421&amp;F421,IMPORTRANGE(""https://docs.google.com/spreadsheets/d/1Uw7-A9f9R21vMXxHZFNpYNeKFtG8_yji4HS352LGlSQ/edit?pli=1#gid=0"",""1_ACUM!A4:S""),17,FALSE))"),"")</f>
        <v/>
      </c>
      <c r="AI398" s="44" t="str">
        <f ca="1">IFERROR(__xludf.DUMMYFUNCTION("IFERROR(VLOOKUP(E421&amp;F421,IMPORTRANGE(""https://docs.google.com/spreadsheets/d/1Uw7-A9f9R21vMXxHZFNpYNeKFtG8_yji4HS352LGlSQ/edit?pli=1#gid=0"",""1_ACUM!A4:S""),18,FALSE))"),"")</f>
        <v/>
      </c>
      <c r="AJ398" s="44" t="str">
        <f ca="1">IFERROR(__xludf.DUMMYFUNCTION("IFERROR(VLOOKUP(E421&amp;F421,IMPORTRANGE(""https://docs.google.com/spreadsheets/d/1Uw7-A9f9R21vMXxHZFNpYNeKFtG8_yji4HS352LGlSQ/edit?pli=1#gid=0"",""1_ACUM!A4:S""),19,FALSE))"),"")</f>
        <v/>
      </c>
      <c r="AK398" s="98" t="str">
        <f ca="1">IFERROR(__xludf.DUMMYFUNCTION("IFERROR(VLOOKUP(F421,IMPORTRANGE(""https://docs.google.com/spreadsheets/d/1Kvs4KS76FHFqLFIZfrDMff4kP08nblUkihrxltoGBjg/edit#gid=934712705"",""ESENCIAL!A6:BG""),5,FALSE))"),"")</f>
        <v/>
      </c>
      <c r="AL398" s="98" t="str">
        <f t="shared" si="28"/>
        <v/>
      </c>
      <c r="AM398" s="99" t="str">
        <f t="shared" si="29"/>
        <v/>
      </c>
      <c r="AN398" s="100" t="str">
        <f ca="1">IFERROR(__xludf.DUMMYFUNCTION("IFERROR(VLOOKUP(F421,IMPORTRANGE(""https://docs.google.com/spreadsheets/d/1Kvs4KS76FHFqLFIZfrDMff4kP08nblUkihrxltoGBjg/edit#gid=934712705"",""ESENCIAL!A6:BG""),2,FALSE))"),"")</f>
        <v/>
      </c>
      <c r="AO398" s="19" t="str">
        <f t="shared" si="20"/>
        <v/>
      </c>
      <c r="AP398" s="100"/>
      <c r="AQ398" s="100"/>
    </row>
    <row r="399" spans="1:43" ht="15">
      <c r="A399" s="101"/>
      <c r="B399" s="101"/>
      <c r="G399" s="5" t="str">
        <f ca="1">IFERROR(__xludf.DUMMYFUNCTION("IFERROR(VLOOKUP(F422,IMPORTRANGE(""https://docs.google.com/spreadsheets/d/1Kvs4KS76FHFqLFIZfrDMff4kP08nblUkihrxltoGBjg/edit#gid=934712705"",""ESENCIAL!A6:BG""),3,FALSE))"),"")</f>
        <v/>
      </c>
      <c r="H399" s="5" t="str">
        <f ca="1">IFERROR(__xludf.DUMMYFUNCTION("IFERROR(VLOOKUP(F422,IMPORTRANGE(""https://docs.google.com/spreadsheets/d/1Kvs4KS76FHFqLFIZfrDMff4kP08nblUkihrxltoGBjg/edit#gid=934712705"",""ESENCIAL!A6:BG""),8,FALSE))"),"")</f>
        <v/>
      </c>
      <c r="L399" s="287"/>
      <c r="Z399" s="41" t="str">
        <f t="shared" si="27"/>
        <v/>
      </c>
      <c r="AA399" s="5" t="str">
        <f ca="1">IFERROR(__xludf.DUMMYFUNCTION("IFERROR(VLOOKUP(E422&amp;F422,IMPORTRANGE(""https://docs.google.com/spreadsheets/d/1Uw7-A9f9R21vMXxHZFNpYNeKFtG8_yji4HS352LGlSQ/edit?pli=1#gid=0"",""1_ACUM!A4:S""),11,FALSE))"),"")</f>
        <v/>
      </c>
      <c r="AB399" s="42" t="str">
        <f ca="1">IFERROR(__xludf.DUMMYFUNCTION("IFERROR(VLOOKUP(F422,IMPORTRANGE(""https://docs.google.com/spreadsheets/d/1Kvs4KS76FHFqLFIZfrDMff4kP08nblUkihrxltoGBjg/edit#gid=934712705"",""ESENCIAL!A6:BG""),15,FALSE))"),"")</f>
        <v/>
      </c>
      <c r="AC399" s="110" t="str">
        <f ca="1">IFERROR(__xludf.DUMMYFUNCTION("IFERROR(VLOOKUP(E422&amp;F422,IMPORTRANGE(""https://docs.google.com/spreadsheets/d/1Uw7-A9f9R21vMXxHZFNpYNeKFtG8_yji4HS352LGlSQ/edit?pli=1#gid=0"",""1_ACUM!A4:S""),13,FALSE))"),"")</f>
        <v/>
      </c>
      <c r="AD399" s="43" t="str">
        <f ca="1">IFERROR(__xludf.DUMMYFUNCTION("IFERROR(VLOOKUP(E422&amp;F422,IMPORTRANGE(""https://docs.google.com/spreadsheets/d/1Uw7-A9f9R21vMXxHZFNpYNeKFtG8_yji4HS352LGlSQ/edit?pli=1#gid=0"",""1_ACUM!A4:S""),13,FALSE))"),"")</f>
        <v/>
      </c>
      <c r="AE399" s="43" t="str">
        <f ca="1">IFERROR(__xludf.DUMMYFUNCTION("IFERROR(VLOOKUP(E422&amp;F422,IMPORTRANGE(""https://docs.google.com/spreadsheets/d/1Uw7-A9f9R21vMXxHZFNpYNeKFtG8_yji4HS352LGlSQ/edit?pli=1#gid=0"",""1_ACUM!A4:S""),14,FALSE))"),"")</f>
        <v/>
      </c>
      <c r="AF399" s="43" t="str">
        <f ca="1">IFERROR(__xludf.DUMMYFUNCTION("IFERROR(VLOOKUP(E422&amp;F422,IMPORTRANGE(""https://docs.google.com/spreadsheets/d/1Uw7-A9f9R21vMXxHZFNpYNeKFtG8_yji4HS352LGlSQ/edit?pli=1#gid=0"",""1_ACUM!A4:S""),15,FALSE))"),"")</f>
        <v/>
      </c>
      <c r="AG399" s="43" t="str">
        <f ca="1">IFERROR(__xludf.DUMMYFUNCTION("IFERROR(VLOOKUP(E422&amp;F422,IMPORTRANGE(""https://docs.google.com/spreadsheets/d/1Uw7-A9f9R21vMXxHZFNpYNeKFtG8_yji4HS352LGlSQ/edit?pli=1#gid=0"",""1_ACUM!A4:S""),16,FALSE))"),"")</f>
        <v/>
      </c>
      <c r="AH399" s="43" t="str">
        <f ca="1">IFERROR(__xludf.DUMMYFUNCTION("IFERROR(VLOOKUP(E422&amp;F422,IMPORTRANGE(""https://docs.google.com/spreadsheets/d/1Uw7-A9f9R21vMXxHZFNpYNeKFtG8_yji4HS352LGlSQ/edit?pli=1#gid=0"",""1_ACUM!A4:S""),17,FALSE))"),"")</f>
        <v/>
      </c>
      <c r="AI399" s="44" t="str">
        <f ca="1">IFERROR(__xludf.DUMMYFUNCTION("IFERROR(VLOOKUP(E422&amp;F422,IMPORTRANGE(""https://docs.google.com/spreadsheets/d/1Uw7-A9f9R21vMXxHZFNpYNeKFtG8_yji4HS352LGlSQ/edit?pli=1#gid=0"",""1_ACUM!A4:S""),18,FALSE))"),"")</f>
        <v/>
      </c>
      <c r="AJ399" s="44" t="str">
        <f ca="1">IFERROR(__xludf.DUMMYFUNCTION("IFERROR(VLOOKUP(E422&amp;F422,IMPORTRANGE(""https://docs.google.com/spreadsheets/d/1Uw7-A9f9R21vMXxHZFNpYNeKFtG8_yji4HS352LGlSQ/edit?pli=1#gid=0"",""1_ACUM!A4:S""),19,FALSE))"),"")</f>
        <v/>
      </c>
      <c r="AK399" s="98" t="str">
        <f ca="1">IFERROR(__xludf.DUMMYFUNCTION("IFERROR(VLOOKUP(F422,IMPORTRANGE(""https://docs.google.com/spreadsheets/d/1Kvs4KS76FHFqLFIZfrDMff4kP08nblUkihrxltoGBjg/edit#gid=934712705"",""ESENCIAL!A6:BG""),5,FALSE))"),"")</f>
        <v/>
      </c>
      <c r="AL399" s="98" t="str">
        <f t="shared" si="28"/>
        <v/>
      </c>
      <c r="AM399" s="99" t="str">
        <f t="shared" si="29"/>
        <v/>
      </c>
      <c r="AN399" s="100" t="str">
        <f ca="1">IFERROR(__xludf.DUMMYFUNCTION("IFERROR(VLOOKUP(F422,IMPORTRANGE(""https://docs.google.com/spreadsheets/d/1Kvs4KS76FHFqLFIZfrDMff4kP08nblUkihrxltoGBjg/edit#gid=934712705"",""ESENCIAL!A6:BG""),2,FALSE))"),"")</f>
        <v/>
      </c>
      <c r="AO399" s="19" t="str">
        <f t="shared" si="20"/>
        <v/>
      </c>
      <c r="AP399" s="100"/>
      <c r="AQ399" s="100"/>
    </row>
    <row r="400" spans="1:43" ht="15">
      <c r="A400" s="101"/>
      <c r="B400" s="101"/>
      <c r="G400" s="5" t="str">
        <f ca="1">IFERROR(__xludf.DUMMYFUNCTION("IFERROR(VLOOKUP(F423,IMPORTRANGE(""https://docs.google.com/spreadsheets/d/1Kvs4KS76FHFqLFIZfrDMff4kP08nblUkihrxltoGBjg/edit#gid=934712705"",""ESENCIAL!A6:BG""),3,FALSE))"),"")</f>
        <v/>
      </c>
      <c r="H400" s="5" t="str">
        <f ca="1">IFERROR(__xludf.DUMMYFUNCTION("IFERROR(VLOOKUP(F423,IMPORTRANGE(""https://docs.google.com/spreadsheets/d/1Kvs4KS76FHFqLFIZfrDMff4kP08nblUkihrxltoGBjg/edit#gid=934712705"",""ESENCIAL!A6:BG""),8,FALSE))"),"")</f>
        <v/>
      </c>
      <c r="L400" s="287"/>
      <c r="Z400" s="41" t="str">
        <f t="shared" si="27"/>
        <v/>
      </c>
      <c r="AA400" s="5" t="str">
        <f ca="1">IFERROR(__xludf.DUMMYFUNCTION("IFERROR(VLOOKUP(E423&amp;F423,IMPORTRANGE(""https://docs.google.com/spreadsheets/d/1Uw7-A9f9R21vMXxHZFNpYNeKFtG8_yji4HS352LGlSQ/edit?pli=1#gid=0"",""1_ACUM!A4:S""),11,FALSE))"),"")</f>
        <v/>
      </c>
      <c r="AB400" s="42" t="str">
        <f ca="1">IFERROR(__xludf.DUMMYFUNCTION("IFERROR(VLOOKUP(F423,IMPORTRANGE(""https://docs.google.com/spreadsheets/d/1Kvs4KS76FHFqLFIZfrDMff4kP08nblUkihrxltoGBjg/edit#gid=934712705"",""ESENCIAL!A6:BG""),15,FALSE))"),"")</f>
        <v/>
      </c>
      <c r="AC400" s="110" t="str">
        <f ca="1">IFERROR(__xludf.DUMMYFUNCTION("IFERROR(VLOOKUP(E423&amp;F423,IMPORTRANGE(""https://docs.google.com/spreadsheets/d/1Uw7-A9f9R21vMXxHZFNpYNeKFtG8_yji4HS352LGlSQ/edit?pli=1#gid=0"",""1_ACUM!A4:S""),13,FALSE))"),"")</f>
        <v/>
      </c>
      <c r="AD400" s="43" t="str">
        <f ca="1">IFERROR(__xludf.DUMMYFUNCTION("IFERROR(VLOOKUP(E423&amp;F423,IMPORTRANGE(""https://docs.google.com/spreadsheets/d/1Uw7-A9f9R21vMXxHZFNpYNeKFtG8_yji4HS352LGlSQ/edit?pli=1#gid=0"",""1_ACUM!A4:S""),13,FALSE))"),"")</f>
        <v/>
      </c>
      <c r="AE400" s="43" t="str">
        <f ca="1">IFERROR(__xludf.DUMMYFUNCTION("IFERROR(VLOOKUP(E423&amp;F423,IMPORTRANGE(""https://docs.google.com/spreadsheets/d/1Uw7-A9f9R21vMXxHZFNpYNeKFtG8_yji4HS352LGlSQ/edit?pli=1#gid=0"",""1_ACUM!A4:S""),14,FALSE))"),"")</f>
        <v/>
      </c>
      <c r="AF400" s="43" t="str">
        <f ca="1">IFERROR(__xludf.DUMMYFUNCTION("IFERROR(VLOOKUP(E423&amp;F423,IMPORTRANGE(""https://docs.google.com/spreadsheets/d/1Uw7-A9f9R21vMXxHZFNpYNeKFtG8_yji4HS352LGlSQ/edit?pli=1#gid=0"",""1_ACUM!A4:S""),15,FALSE))"),"")</f>
        <v/>
      </c>
      <c r="AG400" s="43" t="str">
        <f ca="1">IFERROR(__xludf.DUMMYFUNCTION("IFERROR(VLOOKUP(E423&amp;F423,IMPORTRANGE(""https://docs.google.com/spreadsheets/d/1Uw7-A9f9R21vMXxHZFNpYNeKFtG8_yji4HS352LGlSQ/edit?pli=1#gid=0"",""1_ACUM!A4:S""),16,FALSE))"),"")</f>
        <v/>
      </c>
      <c r="AH400" s="43" t="str">
        <f ca="1">IFERROR(__xludf.DUMMYFUNCTION("IFERROR(VLOOKUP(E423&amp;F423,IMPORTRANGE(""https://docs.google.com/spreadsheets/d/1Uw7-A9f9R21vMXxHZFNpYNeKFtG8_yji4HS352LGlSQ/edit?pli=1#gid=0"",""1_ACUM!A4:S""),17,FALSE))"),"")</f>
        <v/>
      </c>
      <c r="AI400" s="44" t="str">
        <f ca="1">IFERROR(__xludf.DUMMYFUNCTION("IFERROR(VLOOKUP(E423&amp;F423,IMPORTRANGE(""https://docs.google.com/spreadsheets/d/1Uw7-A9f9R21vMXxHZFNpYNeKFtG8_yji4HS352LGlSQ/edit?pli=1#gid=0"",""1_ACUM!A4:S""),18,FALSE))"),"")</f>
        <v/>
      </c>
      <c r="AJ400" s="44" t="str">
        <f ca="1">IFERROR(__xludf.DUMMYFUNCTION("IFERROR(VLOOKUP(E423&amp;F423,IMPORTRANGE(""https://docs.google.com/spreadsheets/d/1Uw7-A9f9R21vMXxHZFNpYNeKFtG8_yji4HS352LGlSQ/edit?pli=1#gid=0"",""1_ACUM!A4:S""),19,FALSE))"),"")</f>
        <v/>
      </c>
      <c r="AK400" s="98" t="str">
        <f ca="1">IFERROR(__xludf.DUMMYFUNCTION("IFERROR(VLOOKUP(F423,IMPORTRANGE(""https://docs.google.com/spreadsheets/d/1Kvs4KS76FHFqLFIZfrDMff4kP08nblUkihrxltoGBjg/edit#gid=934712705"",""ESENCIAL!A6:BG""),5,FALSE))"),"")</f>
        <v/>
      </c>
      <c r="AL400" s="98" t="str">
        <f t="shared" si="28"/>
        <v/>
      </c>
      <c r="AM400" s="99" t="str">
        <f t="shared" si="29"/>
        <v/>
      </c>
      <c r="AN400" s="100" t="str">
        <f ca="1">IFERROR(__xludf.DUMMYFUNCTION("IFERROR(VLOOKUP(F423,IMPORTRANGE(""https://docs.google.com/spreadsheets/d/1Kvs4KS76FHFqLFIZfrDMff4kP08nblUkihrxltoGBjg/edit#gid=934712705"",""ESENCIAL!A6:BG""),2,FALSE))"),"")</f>
        <v/>
      </c>
      <c r="AO400" s="19" t="str">
        <f t="shared" si="20"/>
        <v/>
      </c>
      <c r="AP400" s="100"/>
      <c r="AQ400" s="100"/>
    </row>
    <row r="401" spans="1:43" ht="15">
      <c r="A401" s="101"/>
      <c r="B401" s="101"/>
      <c r="G401" s="5" t="str">
        <f ca="1">IFERROR(__xludf.DUMMYFUNCTION("IFERROR(VLOOKUP(F424,IMPORTRANGE(""https://docs.google.com/spreadsheets/d/1Kvs4KS76FHFqLFIZfrDMff4kP08nblUkihrxltoGBjg/edit#gid=934712705"",""ESENCIAL!A6:BG""),3,FALSE))"),"")</f>
        <v/>
      </c>
      <c r="H401" s="5" t="str">
        <f ca="1">IFERROR(__xludf.DUMMYFUNCTION("IFERROR(VLOOKUP(F424,IMPORTRANGE(""https://docs.google.com/spreadsheets/d/1Kvs4KS76FHFqLFIZfrDMff4kP08nblUkihrxltoGBjg/edit#gid=934712705"",""ESENCIAL!A6:BG""),8,FALSE))"),"")</f>
        <v/>
      </c>
      <c r="L401" s="287"/>
      <c r="Z401" s="41" t="str">
        <f t="shared" si="27"/>
        <v/>
      </c>
      <c r="AA401" s="5" t="str">
        <f ca="1">IFERROR(__xludf.DUMMYFUNCTION("IFERROR(VLOOKUP(E424&amp;F424,IMPORTRANGE(""https://docs.google.com/spreadsheets/d/1Uw7-A9f9R21vMXxHZFNpYNeKFtG8_yji4HS352LGlSQ/edit?pli=1#gid=0"",""1_ACUM!A4:S""),11,FALSE))"),"")</f>
        <v/>
      </c>
      <c r="AB401" s="42" t="str">
        <f ca="1">IFERROR(__xludf.DUMMYFUNCTION("IFERROR(VLOOKUP(F424,IMPORTRANGE(""https://docs.google.com/spreadsheets/d/1Kvs4KS76FHFqLFIZfrDMff4kP08nblUkihrxltoGBjg/edit#gid=934712705"",""ESENCIAL!A6:BG""),15,FALSE))"),"")</f>
        <v/>
      </c>
      <c r="AC401" s="110" t="str">
        <f ca="1">IFERROR(__xludf.DUMMYFUNCTION("IFERROR(VLOOKUP(E424&amp;F424,IMPORTRANGE(""https://docs.google.com/spreadsheets/d/1Uw7-A9f9R21vMXxHZFNpYNeKFtG8_yji4HS352LGlSQ/edit?pli=1#gid=0"",""1_ACUM!A4:S""),13,FALSE))"),"")</f>
        <v/>
      </c>
      <c r="AD401" s="43" t="str">
        <f ca="1">IFERROR(__xludf.DUMMYFUNCTION("IFERROR(VLOOKUP(E424&amp;F424,IMPORTRANGE(""https://docs.google.com/spreadsheets/d/1Uw7-A9f9R21vMXxHZFNpYNeKFtG8_yji4HS352LGlSQ/edit?pli=1#gid=0"",""1_ACUM!A4:S""),13,FALSE))"),"")</f>
        <v/>
      </c>
      <c r="AE401" s="43" t="str">
        <f ca="1">IFERROR(__xludf.DUMMYFUNCTION("IFERROR(VLOOKUP(E424&amp;F424,IMPORTRANGE(""https://docs.google.com/spreadsheets/d/1Uw7-A9f9R21vMXxHZFNpYNeKFtG8_yji4HS352LGlSQ/edit?pli=1#gid=0"",""1_ACUM!A4:S""),14,FALSE))"),"")</f>
        <v/>
      </c>
      <c r="AF401" s="43" t="str">
        <f ca="1">IFERROR(__xludf.DUMMYFUNCTION("IFERROR(VLOOKUP(E424&amp;F424,IMPORTRANGE(""https://docs.google.com/spreadsheets/d/1Uw7-A9f9R21vMXxHZFNpYNeKFtG8_yji4HS352LGlSQ/edit?pli=1#gid=0"",""1_ACUM!A4:S""),15,FALSE))"),"")</f>
        <v/>
      </c>
      <c r="AG401" s="43" t="str">
        <f ca="1">IFERROR(__xludf.DUMMYFUNCTION("IFERROR(VLOOKUP(E424&amp;F424,IMPORTRANGE(""https://docs.google.com/spreadsheets/d/1Uw7-A9f9R21vMXxHZFNpYNeKFtG8_yji4HS352LGlSQ/edit?pli=1#gid=0"",""1_ACUM!A4:S""),16,FALSE))"),"")</f>
        <v/>
      </c>
      <c r="AH401" s="43" t="str">
        <f ca="1">IFERROR(__xludf.DUMMYFUNCTION("IFERROR(VLOOKUP(E424&amp;F424,IMPORTRANGE(""https://docs.google.com/spreadsheets/d/1Uw7-A9f9R21vMXxHZFNpYNeKFtG8_yji4HS352LGlSQ/edit?pli=1#gid=0"",""1_ACUM!A4:S""),17,FALSE))"),"")</f>
        <v/>
      </c>
      <c r="AI401" s="44" t="str">
        <f ca="1">IFERROR(__xludf.DUMMYFUNCTION("IFERROR(VLOOKUP(E424&amp;F424,IMPORTRANGE(""https://docs.google.com/spreadsheets/d/1Uw7-A9f9R21vMXxHZFNpYNeKFtG8_yji4HS352LGlSQ/edit?pli=1#gid=0"",""1_ACUM!A4:S""),18,FALSE))"),"")</f>
        <v/>
      </c>
      <c r="AJ401" s="44" t="str">
        <f ca="1">IFERROR(__xludf.DUMMYFUNCTION("IFERROR(VLOOKUP(E424&amp;F424,IMPORTRANGE(""https://docs.google.com/spreadsheets/d/1Uw7-A9f9R21vMXxHZFNpYNeKFtG8_yji4HS352LGlSQ/edit?pli=1#gid=0"",""1_ACUM!A4:S""),19,FALSE))"),"")</f>
        <v/>
      </c>
      <c r="AK401" s="98" t="str">
        <f ca="1">IFERROR(__xludf.DUMMYFUNCTION("IFERROR(VLOOKUP(F424,IMPORTRANGE(""https://docs.google.com/spreadsheets/d/1Kvs4KS76FHFqLFIZfrDMff4kP08nblUkihrxltoGBjg/edit#gid=934712705"",""ESENCIAL!A6:BG""),5,FALSE))"),"")</f>
        <v/>
      </c>
      <c r="AL401" s="98" t="str">
        <f t="shared" si="28"/>
        <v/>
      </c>
      <c r="AM401" s="99" t="str">
        <f t="shared" si="29"/>
        <v/>
      </c>
      <c r="AN401" s="100" t="str">
        <f ca="1">IFERROR(__xludf.DUMMYFUNCTION("IFERROR(VLOOKUP(F424,IMPORTRANGE(""https://docs.google.com/spreadsheets/d/1Kvs4KS76FHFqLFIZfrDMff4kP08nblUkihrxltoGBjg/edit#gid=934712705"",""ESENCIAL!A6:BG""),2,FALSE))"),"")</f>
        <v/>
      </c>
      <c r="AO401" s="19" t="str">
        <f t="shared" si="20"/>
        <v/>
      </c>
      <c r="AP401" s="100"/>
      <c r="AQ401" s="100"/>
    </row>
    <row r="402" spans="1:43" ht="15">
      <c r="A402" s="101"/>
      <c r="B402" s="101"/>
      <c r="G402" s="5" t="str">
        <f ca="1">IFERROR(__xludf.DUMMYFUNCTION("IFERROR(VLOOKUP(F425,IMPORTRANGE(""https://docs.google.com/spreadsheets/d/1Kvs4KS76FHFqLFIZfrDMff4kP08nblUkihrxltoGBjg/edit#gid=934712705"",""ESENCIAL!A6:BG""),3,FALSE))"),"")</f>
        <v/>
      </c>
      <c r="H402" s="5" t="str">
        <f ca="1">IFERROR(__xludf.DUMMYFUNCTION("IFERROR(VLOOKUP(F425,IMPORTRANGE(""https://docs.google.com/spreadsheets/d/1Kvs4KS76FHFqLFIZfrDMff4kP08nblUkihrxltoGBjg/edit#gid=934712705"",""ESENCIAL!A6:BG""),8,FALSE))"),"")</f>
        <v/>
      </c>
      <c r="L402" s="287"/>
      <c r="Z402" s="41" t="str">
        <f t="shared" si="27"/>
        <v/>
      </c>
      <c r="AA402" s="5" t="str">
        <f ca="1">IFERROR(__xludf.DUMMYFUNCTION("IFERROR(VLOOKUP(E425&amp;F425,IMPORTRANGE(""https://docs.google.com/spreadsheets/d/1Uw7-A9f9R21vMXxHZFNpYNeKFtG8_yji4HS352LGlSQ/edit?pli=1#gid=0"",""1_ACUM!A4:S""),11,FALSE))"),"")</f>
        <v/>
      </c>
      <c r="AB402" s="42" t="str">
        <f ca="1">IFERROR(__xludf.DUMMYFUNCTION("IFERROR(VLOOKUP(F425,IMPORTRANGE(""https://docs.google.com/spreadsheets/d/1Kvs4KS76FHFqLFIZfrDMff4kP08nblUkihrxltoGBjg/edit#gid=934712705"",""ESENCIAL!A6:BG""),15,FALSE))"),"")</f>
        <v/>
      </c>
      <c r="AC402" s="110" t="str">
        <f ca="1">IFERROR(__xludf.DUMMYFUNCTION("IFERROR(VLOOKUP(E425&amp;F425,IMPORTRANGE(""https://docs.google.com/spreadsheets/d/1Uw7-A9f9R21vMXxHZFNpYNeKFtG8_yji4HS352LGlSQ/edit?pli=1#gid=0"",""1_ACUM!A4:S""),13,FALSE))"),"")</f>
        <v/>
      </c>
      <c r="AD402" s="43" t="str">
        <f ca="1">IFERROR(__xludf.DUMMYFUNCTION("IFERROR(VLOOKUP(E425&amp;F425,IMPORTRANGE(""https://docs.google.com/spreadsheets/d/1Uw7-A9f9R21vMXxHZFNpYNeKFtG8_yji4HS352LGlSQ/edit?pli=1#gid=0"",""1_ACUM!A4:S""),13,FALSE))"),"")</f>
        <v/>
      </c>
      <c r="AE402" s="43" t="str">
        <f ca="1">IFERROR(__xludf.DUMMYFUNCTION("IFERROR(VLOOKUP(E425&amp;F425,IMPORTRANGE(""https://docs.google.com/spreadsheets/d/1Uw7-A9f9R21vMXxHZFNpYNeKFtG8_yji4HS352LGlSQ/edit?pli=1#gid=0"",""1_ACUM!A4:S""),14,FALSE))"),"")</f>
        <v/>
      </c>
      <c r="AF402" s="43" t="str">
        <f ca="1">IFERROR(__xludf.DUMMYFUNCTION("IFERROR(VLOOKUP(E425&amp;F425,IMPORTRANGE(""https://docs.google.com/spreadsheets/d/1Uw7-A9f9R21vMXxHZFNpYNeKFtG8_yji4HS352LGlSQ/edit?pli=1#gid=0"",""1_ACUM!A4:S""),15,FALSE))"),"")</f>
        <v/>
      </c>
      <c r="AG402" s="43" t="str">
        <f ca="1">IFERROR(__xludf.DUMMYFUNCTION("IFERROR(VLOOKUP(E425&amp;F425,IMPORTRANGE(""https://docs.google.com/spreadsheets/d/1Uw7-A9f9R21vMXxHZFNpYNeKFtG8_yji4HS352LGlSQ/edit?pli=1#gid=0"",""1_ACUM!A4:S""),16,FALSE))"),"")</f>
        <v/>
      </c>
      <c r="AH402" s="43" t="str">
        <f ca="1">IFERROR(__xludf.DUMMYFUNCTION("IFERROR(VLOOKUP(E425&amp;F425,IMPORTRANGE(""https://docs.google.com/spreadsheets/d/1Uw7-A9f9R21vMXxHZFNpYNeKFtG8_yji4HS352LGlSQ/edit?pli=1#gid=0"",""1_ACUM!A4:S""),17,FALSE))"),"")</f>
        <v/>
      </c>
      <c r="AI402" s="44" t="str">
        <f ca="1">IFERROR(__xludf.DUMMYFUNCTION("IFERROR(VLOOKUP(E425&amp;F425,IMPORTRANGE(""https://docs.google.com/spreadsheets/d/1Uw7-A9f9R21vMXxHZFNpYNeKFtG8_yji4HS352LGlSQ/edit?pli=1#gid=0"",""1_ACUM!A4:S""),18,FALSE))"),"")</f>
        <v/>
      </c>
      <c r="AJ402" s="44" t="str">
        <f ca="1">IFERROR(__xludf.DUMMYFUNCTION("IFERROR(VLOOKUP(E425&amp;F425,IMPORTRANGE(""https://docs.google.com/spreadsheets/d/1Uw7-A9f9R21vMXxHZFNpYNeKFtG8_yji4HS352LGlSQ/edit?pli=1#gid=0"",""1_ACUM!A4:S""),19,FALSE))"),"")</f>
        <v/>
      </c>
      <c r="AK402" s="98" t="str">
        <f ca="1">IFERROR(__xludf.DUMMYFUNCTION("IFERROR(VLOOKUP(F425,IMPORTRANGE(""https://docs.google.com/spreadsheets/d/1Kvs4KS76FHFqLFIZfrDMff4kP08nblUkihrxltoGBjg/edit#gid=934712705"",""ESENCIAL!A6:BG""),5,FALSE))"),"")</f>
        <v/>
      </c>
      <c r="AL402" s="98" t="str">
        <f t="shared" si="28"/>
        <v/>
      </c>
      <c r="AM402" s="99" t="str">
        <f t="shared" si="29"/>
        <v/>
      </c>
      <c r="AN402" s="100" t="str">
        <f ca="1">IFERROR(__xludf.DUMMYFUNCTION("IFERROR(VLOOKUP(F425,IMPORTRANGE(""https://docs.google.com/spreadsheets/d/1Kvs4KS76FHFqLFIZfrDMff4kP08nblUkihrxltoGBjg/edit#gid=934712705"",""ESENCIAL!A6:BG""),2,FALSE))"),"")</f>
        <v/>
      </c>
      <c r="AO402" s="19" t="str">
        <f t="shared" si="20"/>
        <v/>
      </c>
      <c r="AP402" s="100"/>
      <c r="AQ402" s="100"/>
    </row>
    <row r="403" spans="1:43" ht="15">
      <c r="A403" s="101"/>
      <c r="B403" s="101"/>
      <c r="G403" s="5" t="str">
        <f ca="1">IFERROR(__xludf.DUMMYFUNCTION("IFERROR(VLOOKUP(F426,IMPORTRANGE(""https://docs.google.com/spreadsheets/d/1Kvs4KS76FHFqLFIZfrDMff4kP08nblUkihrxltoGBjg/edit#gid=934712705"",""ESENCIAL!A6:BG""),3,FALSE))"),"")</f>
        <v/>
      </c>
      <c r="H403" s="5" t="str">
        <f ca="1">IFERROR(__xludf.DUMMYFUNCTION("IFERROR(VLOOKUP(F426,IMPORTRANGE(""https://docs.google.com/spreadsheets/d/1Kvs4KS76FHFqLFIZfrDMff4kP08nblUkihrxltoGBjg/edit#gid=934712705"",""ESENCIAL!A6:BG""),8,FALSE))"),"")</f>
        <v/>
      </c>
      <c r="L403" s="287"/>
      <c r="Z403" s="41" t="str">
        <f t="shared" si="27"/>
        <v/>
      </c>
      <c r="AA403" s="5" t="str">
        <f ca="1">IFERROR(__xludf.DUMMYFUNCTION("IFERROR(VLOOKUP(E426&amp;F426,IMPORTRANGE(""https://docs.google.com/spreadsheets/d/1Uw7-A9f9R21vMXxHZFNpYNeKFtG8_yji4HS352LGlSQ/edit?pli=1#gid=0"",""1_ACUM!A4:S""),11,FALSE))"),"")</f>
        <v/>
      </c>
      <c r="AB403" s="42" t="str">
        <f ca="1">IFERROR(__xludf.DUMMYFUNCTION("IFERROR(VLOOKUP(F426,IMPORTRANGE(""https://docs.google.com/spreadsheets/d/1Kvs4KS76FHFqLFIZfrDMff4kP08nblUkihrxltoGBjg/edit#gid=934712705"",""ESENCIAL!A6:BG""),15,FALSE))"),"")</f>
        <v/>
      </c>
      <c r="AC403" s="110" t="str">
        <f ca="1">IFERROR(__xludf.DUMMYFUNCTION("IFERROR(VLOOKUP(E426&amp;F426,IMPORTRANGE(""https://docs.google.com/spreadsheets/d/1Uw7-A9f9R21vMXxHZFNpYNeKFtG8_yji4HS352LGlSQ/edit?pli=1#gid=0"",""1_ACUM!A4:S""),13,FALSE))"),"")</f>
        <v/>
      </c>
      <c r="AD403" s="43" t="str">
        <f ca="1">IFERROR(__xludf.DUMMYFUNCTION("IFERROR(VLOOKUP(E426&amp;F426,IMPORTRANGE(""https://docs.google.com/spreadsheets/d/1Uw7-A9f9R21vMXxHZFNpYNeKFtG8_yji4HS352LGlSQ/edit?pli=1#gid=0"",""1_ACUM!A4:S""),13,FALSE))"),"")</f>
        <v/>
      </c>
      <c r="AE403" s="43" t="str">
        <f ca="1">IFERROR(__xludf.DUMMYFUNCTION("IFERROR(VLOOKUP(E426&amp;F426,IMPORTRANGE(""https://docs.google.com/spreadsheets/d/1Uw7-A9f9R21vMXxHZFNpYNeKFtG8_yji4HS352LGlSQ/edit?pli=1#gid=0"",""1_ACUM!A4:S""),14,FALSE))"),"")</f>
        <v/>
      </c>
      <c r="AF403" s="43" t="str">
        <f ca="1">IFERROR(__xludf.DUMMYFUNCTION("IFERROR(VLOOKUP(E426&amp;F426,IMPORTRANGE(""https://docs.google.com/spreadsheets/d/1Uw7-A9f9R21vMXxHZFNpYNeKFtG8_yji4HS352LGlSQ/edit?pli=1#gid=0"",""1_ACUM!A4:S""),15,FALSE))"),"")</f>
        <v/>
      </c>
      <c r="AG403" s="43" t="str">
        <f ca="1">IFERROR(__xludf.DUMMYFUNCTION("IFERROR(VLOOKUP(E426&amp;F426,IMPORTRANGE(""https://docs.google.com/spreadsheets/d/1Uw7-A9f9R21vMXxHZFNpYNeKFtG8_yji4HS352LGlSQ/edit?pli=1#gid=0"",""1_ACUM!A4:S""),16,FALSE))"),"")</f>
        <v/>
      </c>
      <c r="AH403" s="43" t="str">
        <f ca="1">IFERROR(__xludf.DUMMYFUNCTION("IFERROR(VLOOKUP(E426&amp;F426,IMPORTRANGE(""https://docs.google.com/spreadsheets/d/1Uw7-A9f9R21vMXxHZFNpYNeKFtG8_yji4HS352LGlSQ/edit?pli=1#gid=0"",""1_ACUM!A4:S""),17,FALSE))"),"")</f>
        <v/>
      </c>
      <c r="AI403" s="44" t="str">
        <f ca="1">IFERROR(__xludf.DUMMYFUNCTION("IFERROR(VLOOKUP(E426&amp;F426,IMPORTRANGE(""https://docs.google.com/spreadsheets/d/1Uw7-A9f9R21vMXxHZFNpYNeKFtG8_yji4HS352LGlSQ/edit?pli=1#gid=0"",""1_ACUM!A4:S""),18,FALSE))"),"")</f>
        <v/>
      </c>
      <c r="AJ403" s="44" t="str">
        <f ca="1">IFERROR(__xludf.DUMMYFUNCTION("IFERROR(VLOOKUP(E426&amp;F426,IMPORTRANGE(""https://docs.google.com/spreadsheets/d/1Uw7-A9f9R21vMXxHZFNpYNeKFtG8_yji4HS352LGlSQ/edit?pli=1#gid=0"",""1_ACUM!A4:S""),19,FALSE))"),"")</f>
        <v/>
      </c>
      <c r="AK403" s="98" t="str">
        <f ca="1">IFERROR(__xludf.DUMMYFUNCTION("IFERROR(VLOOKUP(F426,IMPORTRANGE(""https://docs.google.com/spreadsheets/d/1Kvs4KS76FHFqLFIZfrDMff4kP08nblUkihrxltoGBjg/edit#gid=934712705"",""ESENCIAL!A6:BG""),5,FALSE))"),"")</f>
        <v/>
      </c>
      <c r="AL403" s="98" t="str">
        <f t="shared" si="28"/>
        <v/>
      </c>
      <c r="AM403" s="99" t="str">
        <f t="shared" si="29"/>
        <v/>
      </c>
      <c r="AN403" s="100" t="str">
        <f ca="1">IFERROR(__xludf.DUMMYFUNCTION("IFERROR(VLOOKUP(F426,IMPORTRANGE(""https://docs.google.com/spreadsheets/d/1Kvs4KS76FHFqLFIZfrDMff4kP08nblUkihrxltoGBjg/edit#gid=934712705"",""ESENCIAL!A6:BG""),2,FALSE))"),"")</f>
        <v/>
      </c>
      <c r="AO403" s="19" t="str">
        <f t="shared" si="20"/>
        <v/>
      </c>
      <c r="AP403" s="100"/>
      <c r="AQ403" s="100"/>
    </row>
    <row r="404" spans="1:43" ht="15">
      <c r="A404" s="101"/>
      <c r="B404" s="101"/>
      <c r="G404" s="5" t="str">
        <f ca="1">IFERROR(__xludf.DUMMYFUNCTION("IFERROR(VLOOKUP(F427,IMPORTRANGE(""https://docs.google.com/spreadsheets/d/1Kvs4KS76FHFqLFIZfrDMff4kP08nblUkihrxltoGBjg/edit#gid=934712705"",""ESENCIAL!A6:BG""),3,FALSE))"),"")</f>
        <v/>
      </c>
      <c r="H404" s="5" t="str">
        <f ca="1">IFERROR(__xludf.DUMMYFUNCTION("IFERROR(VLOOKUP(F427,IMPORTRANGE(""https://docs.google.com/spreadsheets/d/1Kvs4KS76FHFqLFIZfrDMff4kP08nblUkihrxltoGBjg/edit#gid=934712705"",""ESENCIAL!A6:BG""),8,FALSE))"),"")</f>
        <v/>
      </c>
      <c r="L404" s="287"/>
      <c r="Z404" s="41" t="str">
        <f t="shared" si="27"/>
        <v/>
      </c>
      <c r="AA404" s="5" t="str">
        <f ca="1">IFERROR(__xludf.DUMMYFUNCTION("IFERROR(VLOOKUP(E427&amp;F427,IMPORTRANGE(""https://docs.google.com/spreadsheets/d/1Uw7-A9f9R21vMXxHZFNpYNeKFtG8_yji4HS352LGlSQ/edit?pli=1#gid=0"",""1_ACUM!A4:S""),11,FALSE))"),"")</f>
        <v/>
      </c>
      <c r="AB404" s="42" t="str">
        <f ca="1">IFERROR(__xludf.DUMMYFUNCTION("IFERROR(VLOOKUP(F427,IMPORTRANGE(""https://docs.google.com/spreadsheets/d/1Kvs4KS76FHFqLFIZfrDMff4kP08nblUkihrxltoGBjg/edit#gid=934712705"",""ESENCIAL!A6:BG""),15,FALSE))"),"")</f>
        <v/>
      </c>
      <c r="AC404" s="110" t="str">
        <f ca="1">IFERROR(__xludf.DUMMYFUNCTION("IFERROR(VLOOKUP(E427&amp;F427,IMPORTRANGE(""https://docs.google.com/spreadsheets/d/1Uw7-A9f9R21vMXxHZFNpYNeKFtG8_yji4HS352LGlSQ/edit?pli=1#gid=0"",""1_ACUM!A4:S""),13,FALSE))"),"")</f>
        <v/>
      </c>
      <c r="AD404" s="43" t="str">
        <f ca="1">IFERROR(__xludf.DUMMYFUNCTION("IFERROR(VLOOKUP(E427&amp;F427,IMPORTRANGE(""https://docs.google.com/spreadsheets/d/1Uw7-A9f9R21vMXxHZFNpYNeKFtG8_yji4HS352LGlSQ/edit?pli=1#gid=0"",""1_ACUM!A4:S""),13,FALSE))"),"")</f>
        <v/>
      </c>
      <c r="AE404" s="43" t="str">
        <f ca="1">IFERROR(__xludf.DUMMYFUNCTION("IFERROR(VLOOKUP(E427&amp;F427,IMPORTRANGE(""https://docs.google.com/spreadsheets/d/1Uw7-A9f9R21vMXxHZFNpYNeKFtG8_yji4HS352LGlSQ/edit?pli=1#gid=0"",""1_ACUM!A4:S""),14,FALSE))"),"")</f>
        <v/>
      </c>
      <c r="AF404" s="43" t="str">
        <f ca="1">IFERROR(__xludf.DUMMYFUNCTION("IFERROR(VLOOKUP(E427&amp;F427,IMPORTRANGE(""https://docs.google.com/spreadsheets/d/1Uw7-A9f9R21vMXxHZFNpYNeKFtG8_yji4HS352LGlSQ/edit?pli=1#gid=0"",""1_ACUM!A4:S""),15,FALSE))"),"")</f>
        <v/>
      </c>
      <c r="AG404" s="43" t="str">
        <f ca="1">IFERROR(__xludf.DUMMYFUNCTION("IFERROR(VLOOKUP(E427&amp;F427,IMPORTRANGE(""https://docs.google.com/spreadsheets/d/1Uw7-A9f9R21vMXxHZFNpYNeKFtG8_yji4HS352LGlSQ/edit?pli=1#gid=0"",""1_ACUM!A4:S""),16,FALSE))"),"")</f>
        <v/>
      </c>
      <c r="AH404" s="43" t="str">
        <f ca="1">IFERROR(__xludf.DUMMYFUNCTION("IFERROR(VLOOKUP(E427&amp;F427,IMPORTRANGE(""https://docs.google.com/spreadsheets/d/1Uw7-A9f9R21vMXxHZFNpYNeKFtG8_yji4HS352LGlSQ/edit?pli=1#gid=0"",""1_ACUM!A4:S""),17,FALSE))"),"")</f>
        <v/>
      </c>
      <c r="AI404" s="44" t="str">
        <f ca="1">IFERROR(__xludf.DUMMYFUNCTION("IFERROR(VLOOKUP(E427&amp;F427,IMPORTRANGE(""https://docs.google.com/spreadsheets/d/1Uw7-A9f9R21vMXxHZFNpYNeKFtG8_yji4HS352LGlSQ/edit?pli=1#gid=0"",""1_ACUM!A4:S""),18,FALSE))"),"")</f>
        <v/>
      </c>
      <c r="AJ404" s="44" t="str">
        <f ca="1">IFERROR(__xludf.DUMMYFUNCTION("IFERROR(VLOOKUP(E427&amp;F427,IMPORTRANGE(""https://docs.google.com/spreadsheets/d/1Uw7-A9f9R21vMXxHZFNpYNeKFtG8_yji4HS352LGlSQ/edit?pli=1#gid=0"",""1_ACUM!A4:S""),19,FALSE))"),"")</f>
        <v/>
      </c>
      <c r="AK404" s="98" t="str">
        <f ca="1">IFERROR(__xludf.DUMMYFUNCTION("IFERROR(VLOOKUP(F427,IMPORTRANGE(""https://docs.google.com/spreadsheets/d/1Kvs4KS76FHFqLFIZfrDMff4kP08nblUkihrxltoGBjg/edit#gid=934712705"",""ESENCIAL!A6:BG""),5,FALSE))"),"")</f>
        <v/>
      </c>
      <c r="AL404" s="98" t="str">
        <f t="shared" si="28"/>
        <v/>
      </c>
      <c r="AM404" s="99" t="str">
        <f t="shared" si="29"/>
        <v/>
      </c>
      <c r="AN404" s="100" t="str">
        <f ca="1">IFERROR(__xludf.DUMMYFUNCTION("IFERROR(VLOOKUP(F427,IMPORTRANGE(""https://docs.google.com/spreadsheets/d/1Kvs4KS76FHFqLFIZfrDMff4kP08nblUkihrxltoGBjg/edit#gid=934712705"",""ESENCIAL!A6:BG""),2,FALSE))"),"")</f>
        <v/>
      </c>
      <c r="AO404" s="19" t="str">
        <f t="shared" si="20"/>
        <v/>
      </c>
      <c r="AP404" s="100"/>
      <c r="AQ404" s="100"/>
    </row>
    <row r="405" spans="1:43" ht="15">
      <c r="A405" s="5"/>
      <c r="B405" s="101"/>
      <c r="G405" s="5" t="str">
        <f ca="1">IFERROR(__xludf.DUMMYFUNCTION("IFERROR(VLOOKUP(F428,IMPORTRANGE(""https://docs.google.com/spreadsheets/d/1Kvs4KS76FHFqLFIZfrDMff4kP08nblUkihrxltoGBjg/edit#gid=934712705"",""ESENCIAL!A6:BG""),3,FALSE))"),"")</f>
        <v/>
      </c>
      <c r="H405" s="5" t="str">
        <f ca="1">IFERROR(__xludf.DUMMYFUNCTION("IFERROR(VLOOKUP(F428,IMPORTRANGE(""https://docs.google.com/spreadsheets/d/1Kvs4KS76FHFqLFIZfrDMff4kP08nblUkihrxltoGBjg/edit#gid=934712705"",""ESENCIAL!A6:BG""),8,FALSE))"),"")</f>
        <v/>
      </c>
      <c r="L405" s="287"/>
      <c r="Z405" s="41" t="str">
        <f t="shared" si="27"/>
        <v/>
      </c>
      <c r="AA405" s="5" t="str">
        <f ca="1">IFERROR(__xludf.DUMMYFUNCTION("IFERROR(VLOOKUP(E428&amp;F428,IMPORTRANGE(""https://docs.google.com/spreadsheets/d/1Uw7-A9f9R21vMXxHZFNpYNeKFtG8_yji4HS352LGlSQ/edit?pli=1#gid=0"",""1_ACUM!A4:S""),11,FALSE))"),"")</f>
        <v/>
      </c>
      <c r="AB405" s="42" t="str">
        <f ca="1">IFERROR(__xludf.DUMMYFUNCTION("IFERROR(VLOOKUP(F428,IMPORTRANGE(""https://docs.google.com/spreadsheets/d/1Kvs4KS76FHFqLFIZfrDMff4kP08nblUkihrxltoGBjg/edit#gid=934712705"",""ESENCIAL!A6:BG""),15,FALSE))"),"")</f>
        <v/>
      </c>
      <c r="AC405" s="110" t="str">
        <f ca="1">IFERROR(__xludf.DUMMYFUNCTION("IFERROR(VLOOKUP(E428&amp;F428,IMPORTRANGE(""https://docs.google.com/spreadsheets/d/1Uw7-A9f9R21vMXxHZFNpYNeKFtG8_yji4HS352LGlSQ/edit?pli=1#gid=0"",""1_ACUM!A4:S""),13,FALSE))"),"")</f>
        <v/>
      </c>
      <c r="AD405" s="43" t="str">
        <f ca="1">IFERROR(__xludf.DUMMYFUNCTION("IFERROR(VLOOKUP(E428&amp;F428,IMPORTRANGE(""https://docs.google.com/spreadsheets/d/1Uw7-A9f9R21vMXxHZFNpYNeKFtG8_yji4HS352LGlSQ/edit?pli=1#gid=0"",""1_ACUM!A4:S""),13,FALSE))"),"")</f>
        <v/>
      </c>
      <c r="AE405" s="43" t="str">
        <f ca="1">IFERROR(__xludf.DUMMYFUNCTION("IFERROR(VLOOKUP(E428&amp;F428,IMPORTRANGE(""https://docs.google.com/spreadsheets/d/1Uw7-A9f9R21vMXxHZFNpYNeKFtG8_yji4HS352LGlSQ/edit?pli=1#gid=0"",""1_ACUM!A4:S""),14,FALSE))"),"")</f>
        <v/>
      </c>
      <c r="AF405" s="43" t="str">
        <f ca="1">IFERROR(__xludf.DUMMYFUNCTION("IFERROR(VLOOKUP(E428&amp;F428,IMPORTRANGE(""https://docs.google.com/spreadsheets/d/1Uw7-A9f9R21vMXxHZFNpYNeKFtG8_yji4HS352LGlSQ/edit?pli=1#gid=0"",""1_ACUM!A4:S""),15,FALSE))"),"")</f>
        <v/>
      </c>
      <c r="AG405" s="43" t="str">
        <f ca="1">IFERROR(__xludf.DUMMYFUNCTION("IFERROR(VLOOKUP(E428&amp;F428,IMPORTRANGE(""https://docs.google.com/spreadsheets/d/1Uw7-A9f9R21vMXxHZFNpYNeKFtG8_yji4HS352LGlSQ/edit?pli=1#gid=0"",""1_ACUM!A4:S""),16,FALSE))"),"")</f>
        <v/>
      </c>
      <c r="AH405" s="43" t="str">
        <f ca="1">IFERROR(__xludf.DUMMYFUNCTION("IFERROR(VLOOKUP(E428&amp;F428,IMPORTRANGE(""https://docs.google.com/spreadsheets/d/1Uw7-A9f9R21vMXxHZFNpYNeKFtG8_yji4HS352LGlSQ/edit?pli=1#gid=0"",""1_ACUM!A4:S""),17,FALSE))"),"")</f>
        <v/>
      </c>
      <c r="AI405" s="44" t="str">
        <f ca="1">IFERROR(__xludf.DUMMYFUNCTION("IFERROR(VLOOKUP(E428&amp;F428,IMPORTRANGE(""https://docs.google.com/spreadsheets/d/1Uw7-A9f9R21vMXxHZFNpYNeKFtG8_yji4HS352LGlSQ/edit?pli=1#gid=0"",""1_ACUM!A4:S""),18,FALSE))"),"")</f>
        <v/>
      </c>
      <c r="AJ405" s="44" t="str">
        <f ca="1">IFERROR(__xludf.DUMMYFUNCTION("IFERROR(VLOOKUP(E428&amp;F428,IMPORTRANGE(""https://docs.google.com/spreadsheets/d/1Uw7-A9f9R21vMXxHZFNpYNeKFtG8_yji4HS352LGlSQ/edit?pli=1#gid=0"",""1_ACUM!A4:S""),19,FALSE))"),"")</f>
        <v/>
      </c>
      <c r="AK405" s="98" t="str">
        <f ca="1">IFERROR(__xludf.DUMMYFUNCTION("IFERROR(VLOOKUP(F428,IMPORTRANGE(""https://docs.google.com/spreadsheets/d/1Kvs4KS76FHFqLFIZfrDMff4kP08nblUkihrxltoGBjg/edit#gid=934712705"",""ESENCIAL!A6:BG""),5,FALSE))"),"")</f>
        <v/>
      </c>
      <c r="AL405" s="98" t="str">
        <f t="shared" si="28"/>
        <v/>
      </c>
      <c r="AM405" s="99" t="str">
        <f t="shared" si="29"/>
        <v/>
      </c>
      <c r="AN405" s="100" t="str">
        <f ca="1">IFERROR(__xludf.DUMMYFUNCTION("IFERROR(VLOOKUP(F428,IMPORTRANGE(""https://docs.google.com/spreadsheets/d/1Kvs4KS76FHFqLFIZfrDMff4kP08nblUkihrxltoGBjg/edit#gid=934712705"",""ESENCIAL!A6:BG""),2,FALSE))"),"")</f>
        <v/>
      </c>
      <c r="AO405" s="19" t="str">
        <f t="shared" si="20"/>
        <v/>
      </c>
      <c r="AP405" s="100"/>
      <c r="AQ405" s="100"/>
    </row>
    <row r="406" spans="1:43" ht="15">
      <c r="A406" s="5"/>
      <c r="B406" s="101"/>
      <c r="G406" s="5" t="str">
        <f ca="1">IFERROR(__xludf.DUMMYFUNCTION("IFERROR(VLOOKUP(F429,IMPORTRANGE(""https://docs.google.com/spreadsheets/d/1Kvs4KS76FHFqLFIZfrDMff4kP08nblUkihrxltoGBjg/edit#gid=934712705"",""ESENCIAL!A6:BG""),3,FALSE))"),"")</f>
        <v/>
      </c>
      <c r="H406" s="5" t="str">
        <f ca="1">IFERROR(__xludf.DUMMYFUNCTION("IFERROR(VLOOKUP(F429,IMPORTRANGE(""https://docs.google.com/spreadsheets/d/1Kvs4KS76FHFqLFIZfrDMff4kP08nblUkihrxltoGBjg/edit#gid=934712705"",""ESENCIAL!A6:BG""),8,FALSE))"),"")</f>
        <v/>
      </c>
      <c r="L406" s="287"/>
      <c r="Z406" s="41" t="str">
        <f t="shared" si="27"/>
        <v/>
      </c>
      <c r="AA406" s="5" t="str">
        <f ca="1">IFERROR(__xludf.DUMMYFUNCTION("IFERROR(VLOOKUP(E429&amp;F429,IMPORTRANGE(""https://docs.google.com/spreadsheets/d/1Uw7-A9f9R21vMXxHZFNpYNeKFtG8_yji4HS352LGlSQ/edit?pli=1#gid=0"",""1_ACUM!A4:S""),11,FALSE))"),"")</f>
        <v/>
      </c>
      <c r="AB406" s="42" t="str">
        <f ca="1">IFERROR(__xludf.DUMMYFUNCTION("IFERROR(VLOOKUP(F429,IMPORTRANGE(""https://docs.google.com/spreadsheets/d/1Kvs4KS76FHFqLFIZfrDMff4kP08nblUkihrxltoGBjg/edit#gid=934712705"",""ESENCIAL!A6:BG""),15,FALSE))"),"")</f>
        <v/>
      </c>
      <c r="AC406" s="110" t="str">
        <f ca="1">IFERROR(__xludf.DUMMYFUNCTION("IFERROR(VLOOKUP(E429&amp;F429,IMPORTRANGE(""https://docs.google.com/spreadsheets/d/1Uw7-A9f9R21vMXxHZFNpYNeKFtG8_yji4HS352LGlSQ/edit?pli=1#gid=0"",""1_ACUM!A4:S""),13,FALSE))"),"")</f>
        <v/>
      </c>
      <c r="AD406" s="43" t="str">
        <f ca="1">IFERROR(__xludf.DUMMYFUNCTION("IFERROR(VLOOKUP(E429&amp;F429,IMPORTRANGE(""https://docs.google.com/spreadsheets/d/1Uw7-A9f9R21vMXxHZFNpYNeKFtG8_yji4HS352LGlSQ/edit?pli=1#gid=0"",""1_ACUM!A4:S""),13,FALSE))"),"")</f>
        <v/>
      </c>
      <c r="AE406" s="43" t="str">
        <f ca="1">IFERROR(__xludf.DUMMYFUNCTION("IFERROR(VLOOKUP(E429&amp;F429,IMPORTRANGE(""https://docs.google.com/spreadsheets/d/1Uw7-A9f9R21vMXxHZFNpYNeKFtG8_yji4HS352LGlSQ/edit?pli=1#gid=0"",""1_ACUM!A4:S""),14,FALSE))"),"")</f>
        <v/>
      </c>
      <c r="AF406" s="43" t="str">
        <f ca="1">IFERROR(__xludf.DUMMYFUNCTION("IFERROR(VLOOKUP(E429&amp;F429,IMPORTRANGE(""https://docs.google.com/spreadsheets/d/1Uw7-A9f9R21vMXxHZFNpYNeKFtG8_yji4HS352LGlSQ/edit?pli=1#gid=0"",""1_ACUM!A4:S""),15,FALSE))"),"")</f>
        <v/>
      </c>
      <c r="AG406" s="43" t="str">
        <f ca="1">IFERROR(__xludf.DUMMYFUNCTION("IFERROR(VLOOKUP(E429&amp;F429,IMPORTRANGE(""https://docs.google.com/spreadsheets/d/1Uw7-A9f9R21vMXxHZFNpYNeKFtG8_yji4HS352LGlSQ/edit?pli=1#gid=0"",""1_ACUM!A4:S""),16,FALSE))"),"")</f>
        <v/>
      </c>
      <c r="AH406" s="43" t="str">
        <f ca="1">IFERROR(__xludf.DUMMYFUNCTION("IFERROR(VLOOKUP(E429&amp;F429,IMPORTRANGE(""https://docs.google.com/spreadsheets/d/1Uw7-A9f9R21vMXxHZFNpYNeKFtG8_yji4HS352LGlSQ/edit?pli=1#gid=0"",""1_ACUM!A4:S""),17,FALSE))"),"")</f>
        <v/>
      </c>
      <c r="AI406" s="44" t="str">
        <f ca="1">IFERROR(__xludf.DUMMYFUNCTION("IFERROR(VLOOKUP(E429&amp;F429,IMPORTRANGE(""https://docs.google.com/spreadsheets/d/1Uw7-A9f9R21vMXxHZFNpYNeKFtG8_yji4HS352LGlSQ/edit?pli=1#gid=0"",""1_ACUM!A4:S""),18,FALSE))"),"")</f>
        <v/>
      </c>
      <c r="AJ406" s="44" t="str">
        <f ca="1">IFERROR(__xludf.DUMMYFUNCTION("IFERROR(VLOOKUP(E429&amp;F429,IMPORTRANGE(""https://docs.google.com/spreadsheets/d/1Uw7-A9f9R21vMXxHZFNpYNeKFtG8_yji4HS352LGlSQ/edit?pli=1#gid=0"",""1_ACUM!A4:S""),19,FALSE))"),"")</f>
        <v/>
      </c>
      <c r="AK406" s="98" t="str">
        <f ca="1">IFERROR(__xludf.DUMMYFUNCTION("IFERROR(VLOOKUP(F429,IMPORTRANGE(""https://docs.google.com/spreadsheets/d/1Kvs4KS76FHFqLFIZfrDMff4kP08nblUkihrxltoGBjg/edit#gid=934712705"",""ESENCIAL!A6:BG""),5,FALSE))"),"")</f>
        <v/>
      </c>
      <c r="AL406" s="98" t="str">
        <f t="shared" si="28"/>
        <v/>
      </c>
      <c r="AM406" s="99" t="str">
        <f t="shared" si="29"/>
        <v/>
      </c>
      <c r="AN406" s="100" t="str">
        <f ca="1">IFERROR(__xludf.DUMMYFUNCTION("IFERROR(VLOOKUP(F429,IMPORTRANGE(""https://docs.google.com/spreadsheets/d/1Kvs4KS76FHFqLFIZfrDMff4kP08nblUkihrxltoGBjg/edit#gid=934712705"",""ESENCIAL!A6:BG""),2,FALSE))"),"")</f>
        <v/>
      </c>
      <c r="AO406" s="19" t="str">
        <f t="shared" si="20"/>
        <v/>
      </c>
      <c r="AP406" s="100"/>
      <c r="AQ406" s="100"/>
    </row>
    <row r="407" spans="1:43" ht="15">
      <c r="A407" s="5"/>
      <c r="B407" s="101"/>
      <c r="G407" s="5" t="str">
        <f ca="1">IFERROR(__xludf.DUMMYFUNCTION("IFERROR(VLOOKUP(F430,IMPORTRANGE(""https://docs.google.com/spreadsheets/d/1Kvs4KS76FHFqLFIZfrDMff4kP08nblUkihrxltoGBjg/edit#gid=934712705"",""ESENCIAL!A6:BG""),3,FALSE))"),"")</f>
        <v/>
      </c>
      <c r="H407" s="5" t="str">
        <f ca="1">IFERROR(__xludf.DUMMYFUNCTION("IFERROR(VLOOKUP(F430,IMPORTRANGE(""https://docs.google.com/spreadsheets/d/1Kvs4KS76FHFqLFIZfrDMff4kP08nblUkihrxltoGBjg/edit#gid=934712705"",""ESENCIAL!A6:BG""),8,FALSE))"),"")</f>
        <v/>
      </c>
      <c r="L407" s="287"/>
      <c r="Z407" s="41" t="str">
        <f t="shared" si="27"/>
        <v/>
      </c>
      <c r="AA407" s="5" t="str">
        <f ca="1">IFERROR(__xludf.DUMMYFUNCTION("IFERROR(VLOOKUP(E430&amp;F430,IMPORTRANGE(""https://docs.google.com/spreadsheets/d/1Uw7-A9f9R21vMXxHZFNpYNeKFtG8_yji4HS352LGlSQ/edit?pli=1#gid=0"",""1_ACUM!A4:S""),11,FALSE))"),"")</f>
        <v/>
      </c>
      <c r="AB407" s="42" t="str">
        <f ca="1">IFERROR(__xludf.DUMMYFUNCTION("IFERROR(VLOOKUP(F430,IMPORTRANGE(""https://docs.google.com/spreadsheets/d/1Kvs4KS76FHFqLFIZfrDMff4kP08nblUkihrxltoGBjg/edit#gid=934712705"",""ESENCIAL!A6:BG""),15,FALSE))"),"")</f>
        <v/>
      </c>
      <c r="AC407" s="110" t="str">
        <f ca="1">IFERROR(__xludf.DUMMYFUNCTION("IFERROR(VLOOKUP(E430&amp;F430,IMPORTRANGE(""https://docs.google.com/spreadsheets/d/1Uw7-A9f9R21vMXxHZFNpYNeKFtG8_yji4HS352LGlSQ/edit?pli=1#gid=0"",""1_ACUM!A4:S""),13,FALSE))"),"")</f>
        <v/>
      </c>
      <c r="AD407" s="43" t="str">
        <f ca="1">IFERROR(__xludf.DUMMYFUNCTION("IFERROR(VLOOKUP(E430&amp;F430,IMPORTRANGE(""https://docs.google.com/spreadsheets/d/1Uw7-A9f9R21vMXxHZFNpYNeKFtG8_yji4HS352LGlSQ/edit?pli=1#gid=0"",""1_ACUM!A4:S""),13,FALSE))"),"")</f>
        <v/>
      </c>
      <c r="AE407" s="43" t="str">
        <f ca="1">IFERROR(__xludf.DUMMYFUNCTION("IFERROR(VLOOKUP(E430&amp;F430,IMPORTRANGE(""https://docs.google.com/spreadsheets/d/1Uw7-A9f9R21vMXxHZFNpYNeKFtG8_yji4HS352LGlSQ/edit?pli=1#gid=0"",""1_ACUM!A4:S""),14,FALSE))"),"")</f>
        <v/>
      </c>
      <c r="AF407" s="43" t="str">
        <f ca="1">IFERROR(__xludf.DUMMYFUNCTION("IFERROR(VLOOKUP(E430&amp;F430,IMPORTRANGE(""https://docs.google.com/spreadsheets/d/1Uw7-A9f9R21vMXxHZFNpYNeKFtG8_yji4HS352LGlSQ/edit?pli=1#gid=0"",""1_ACUM!A4:S""),15,FALSE))"),"")</f>
        <v/>
      </c>
      <c r="AG407" s="43" t="str">
        <f ca="1">IFERROR(__xludf.DUMMYFUNCTION("IFERROR(VLOOKUP(E430&amp;F430,IMPORTRANGE(""https://docs.google.com/spreadsheets/d/1Uw7-A9f9R21vMXxHZFNpYNeKFtG8_yji4HS352LGlSQ/edit?pli=1#gid=0"",""1_ACUM!A4:S""),16,FALSE))"),"")</f>
        <v/>
      </c>
      <c r="AH407" s="43" t="str">
        <f ca="1">IFERROR(__xludf.DUMMYFUNCTION("IFERROR(VLOOKUP(E430&amp;F430,IMPORTRANGE(""https://docs.google.com/spreadsheets/d/1Uw7-A9f9R21vMXxHZFNpYNeKFtG8_yji4HS352LGlSQ/edit?pli=1#gid=0"",""1_ACUM!A4:S""),17,FALSE))"),"")</f>
        <v/>
      </c>
      <c r="AI407" s="44" t="str">
        <f ca="1">IFERROR(__xludf.DUMMYFUNCTION("IFERROR(VLOOKUP(E430&amp;F430,IMPORTRANGE(""https://docs.google.com/spreadsheets/d/1Uw7-A9f9R21vMXxHZFNpYNeKFtG8_yji4HS352LGlSQ/edit?pli=1#gid=0"",""1_ACUM!A4:S""),18,FALSE))"),"")</f>
        <v/>
      </c>
      <c r="AJ407" s="44" t="str">
        <f ca="1">IFERROR(__xludf.DUMMYFUNCTION("IFERROR(VLOOKUP(E430&amp;F430,IMPORTRANGE(""https://docs.google.com/spreadsheets/d/1Uw7-A9f9R21vMXxHZFNpYNeKFtG8_yji4HS352LGlSQ/edit?pli=1#gid=0"",""1_ACUM!A4:S""),19,FALSE))"),"")</f>
        <v/>
      </c>
      <c r="AK407" s="98" t="str">
        <f ca="1">IFERROR(__xludf.DUMMYFUNCTION("IFERROR(VLOOKUP(F430,IMPORTRANGE(""https://docs.google.com/spreadsheets/d/1Kvs4KS76FHFqLFIZfrDMff4kP08nblUkihrxltoGBjg/edit#gid=934712705"",""ESENCIAL!A6:BG""),5,FALSE))"),"")</f>
        <v/>
      </c>
      <c r="AL407" s="98" t="str">
        <f t="shared" si="28"/>
        <v/>
      </c>
      <c r="AM407" s="99" t="str">
        <f t="shared" si="29"/>
        <v/>
      </c>
      <c r="AN407" s="100" t="str">
        <f ca="1">IFERROR(__xludf.DUMMYFUNCTION("IFERROR(VLOOKUP(F430,IMPORTRANGE(""https://docs.google.com/spreadsheets/d/1Kvs4KS76FHFqLFIZfrDMff4kP08nblUkihrxltoGBjg/edit#gid=934712705"",""ESENCIAL!A6:BG""),2,FALSE))"),"")</f>
        <v/>
      </c>
      <c r="AO407" s="19" t="str">
        <f t="shared" si="20"/>
        <v/>
      </c>
      <c r="AP407" s="100"/>
      <c r="AQ407" s="100"/>
    </row>
    <row r="408" spans="1:43" ht="15">
      <c r="A408" s="5"/>
      <c r="B408" s="101"/>
      <c r="G408" s="5" t="str">
        <f ca="1">IFERROR(__xludf.DUMMYFUNCTION("IFERROR(VLOOKUP(F431,IMPORTRANGE(""https://docs.google.com/spreadsheets/d/1Kvs4KS76FHFqLFIZfrDMff4kP08nblUkihrxltoGBjg/edit#gid=934712705"",""ESENCIAL!A6:BG""),3,FALSE))"),"")</f>
        <v/>
      </c>
      <c r="H408" s="5" t="str">
        <f ca="1">IFERROR(__xludf.DUMMYFUNCTION("IFERROR(VLOOKUP(F431,IMPORTRANGE(""https://docs.google.com/spreadsheets/d/1Kvs4KS76FHFqLFIZfrDMff4kP08nblUkihrxltoGBjg/edit#gid=934712705"",""ESENCIAL!A6:BG""),8,FALSE))"),"")</f>
        <v/>
      </c>
      <c r="L408" s="287"/>
      <c r="Z408" s="41" t="str">
        <f t="shared" si="27"/>
        <v/>
      </c>
      <c r="AA408" s="5" t="str">
        <f ca="1">IFERROR(__xludf.DUMMYFUNCTION("IFERROR(VLOOKUP(E431&amp;F431,IMPORTRANGE(""https://docs.google.com/spreadsheets/d/1Uw7-A9f9R21vMXxHZFNpYNeKFtG8_yji4HS352LGlSQ/edit?pli=1#gid=0"",""1_ACUM!A4:S""),11,FALSE))"),"")</f>
        <v/>
      </c>
      <c r="AB408" s="42" t="str">
        <f ca="1">IFERROR(__xludf.DUMMYFUNCTION("IFERROR(VLOOKUP(F431,IMPORTRANGE(""https://docs.google.com/spreadsheets/d/1Kvs4KS76FHFqLFIZfrDMff4kP08nblUkihrxltoGBjg/edit#gid=934712705"",""ESENCIAL!A6:BG""),15,FALSE))"),"")</f>
        <v/>
      </c>
      <c r="AC408" s="110" t="str">
        <f ca="1">IFERROR(__xludf.DUMMYFUNCTION("IFERROR(VLOOKUP(E431&amp;F431,IMPORTRANGE(""https://docs.google.com/spreadsheets/d/1Uw7-A9f9R21vMXxHZFNpYNeKFtG8_yji4HS352LGlSQ/edit?pli=1#gid=0"",""1_ACUM!A4:S""),13,FALSE))"),"")</f>
        <v/>
      </c>
      <c r="AD408" s="43" t="str">
        <f ca="1">IFERROR(__xludf.DUMMYFUNCTION("IFERROR(VLOOKUP(E431&amp;F431,IMPORTRANGE(""https://docs.google.com/spreadsheets/d/1Uw7-A9f9R21vMXxHZFNpYNeKFtG8_yji4HS352LGlSQ/edit?pli=1#gid=0"",""1_ACUM!A4:S""),13,FALSE))"),"")</f>
        <v/>
      </c>
      <c r="AE408" s="43" t="str">
        <f ca="1">IFERROR(__xludf.DUMMYFUNCTION("IFERROR(VLOOKUP(E431&amp;F431,IMPORTRANGE(""https://docs.google.com/spreadsheets/d/1Uw7-A9f9R21vMXxHZFNpYNeKFtG8_yji4HS352LGlSQ/edit?pli=1#gid=0"",""1_ACUM!A4:S""),14,FALSE))"),"")</f>
        <v/>
      </c>
      <c r="AF408" s="43" t="str">
        <f ca="1">IFERROR(__xludf.DUMMYFUNCTION("IFERROR(VLOOKUP(E431&amp;F431,IMPORTRANGE(""https://docs.google.com/spreadsheets/d/1Uw7-A9f9R21vMXxHZFNpYNeKFtG8_yji4HS352LGlSQ/edit?pli=1#gid=0"",""1_ACUM!A4:S""),15,FALSE))"),"")</f>
        <v/>
      </c>
      <c r="AG408" s="43" t="str">
        <f ca="1">IFERROR(__xludf.DUMMYFUNCTION("IFERROR(VLOOKUP(E431&amp;F431,IMPORTRANGE(""https://docs.google.com/spreadsheets/d/1Uw7-A9f9R21vMXxHZFNpYNeKFtG8_yji4HS352LGlSQ/edit?pli=1#gid=0"",""1_ACUM!A4:S""),16,FALSE))"),"")</f>
        <v/>
      </c>
      <c r="AH408" s="43" t="str">
        <f ca="1">IFERROR(__xludf.DUMMYFUNCTION("IFERROR(VLOOKUP(E431&amp;F431,IMPORTRANGE(""https://docs.google.com/spreadsheets/d/1Uw7-A9f9R21vMXxHZFNpYNeKFtG8_yji4HS352LGlSQ/edit?pli=1#gid=0"",""1_ACUM!A4:S""),17,FALSE))"),"")</f>
        <v/>
      </c>
      <c r="AI408" s="44" t="str">
        <f ca="1">IFERROR(__xludf.DUMMYFUNCTION("IFERROR(VLOOKUP(E431&amp;F431,IMPORTRANGE(""https://docs.google.com/spreadsheets/d/1Uw7-A9f9R21vMXxHZFNpYNeKFtG8_yji4HS352LGlSQ/edit?pli=1#gid=0"",""1_ACUM!A4:S""),18,FALSE))"),"")</f>
        <v/>
      </c>
      <c r="AJ408" s="44" t="str">
        <f ca="1">IFERROR(__xludf.DUMMYFUNCTION("IFERROR(VLOOKUP(E431&amp;F431,IMPORTRANGE(""https://docs.google.com/spreadsheets/d/1Uw7-A9f9R21vMXxHZFNpYNeKFtG8_yji4HS352LGlSQ/edit?pli=1#gid=0"",""1_ACUM!A4:S""),19,FALSE))"),"")</f>
        <v/>
      </c>
      <c r="AK408" s="98" t="str">
        <f ca="1">IFERROR(__xludf.DUMMYFUNCTION("IFERROR(VLOOKUP(F431,IMPORTRANGE(""https://docs.google.com/spreadsheets/d/1Kvs4KS76FHFqLFIZfrDMff4kP08nblUkihrxltoGBjg/edit#gid=934712705"",""ESENCIAL!A6:BG""),5,FALSE))"),"")</f>
        <v/>
      </c>
      <c r="AL408" s="98" t="str">
        <f t="shared" si="28"/>
        <v/>
      </c>
      <c r="AM408" s="99" t="str">
        <f t="shared" si="29"/>
        <v/>
      </c>
      <c r="AN408" s="100" t="str">
        <f ca="1">IFERROR(__xludf.DUMMYFUNCTION("IFERROR(VLOOKUP(F431,IMPORTRANGE(""https://docs.google.com/spreadsheets/d/1Kvs4KS76FHFqLFIZfrDMff4kP08nblUkihrxltoGBjg/edit#gid=934712705"",""ESENCIAL!A6:BG""),2,FALSE))"),"")</f>
        <v/>
      </c>
      <c r="AO408" s="19" t="str">
        <f t="shared" si="20"/>
        <v/>
      </c>
      <c r="AP408" s="100"/>
      <c r="AQ408" s="100"/>
    </row>
    <row r="409" spans="1:43" ht="15">
      <c r="A409" s="5"/>
      <c r="B409" s="101"/>
      <c r="G409" s="5" t="str">
        <f ca="1">IFERROR(__xludf.DUMMYFUNCTION("IFERROR(VLOOKUP(F432,IMPORTRANGE(""https://docs.google.com/spreadsheets/d/1Kvs4KS76FHFqLFIZfrDMff4kP08nblUkihrxltoGBjg/edit#gid=934712705"",""ESENCIAL!A6:BG""),3,FALSE))"),"")</f>
        <v/>
      </c>
      <c r="H409" s="5" t="str">
        <f ca="1">IFERROR(__xludf.DUMMYFUNCTION("IFERROR(VLOOKUP(F432,IMPORTRANGE(""https://docs.google.com/spreadsheets/d/1Kvs4KS76FHFqLFIZfrDMff4kP08nblUkihrxltoGBjg/edit#gid=934712705"",""ESENCIAL!A6:BG""),8,FALSE))"),"")</f>
        <v/>
      </c>
      <c r="L409" s="287"/>
      <c r="Z409" s="41" t="str">
        <f t="shared" si="27"/>
        <v/>
      </c>
      <c r="AA409" s="5" t="str">
        <f ca="1">IFERROR(__xludf.DUMMYFUNCTION("IFERROR(VLOOKUP(E432&amp;F432,IMPORTRANGE(""https://docs.google.com/spreadsheets/d/1Uw7-A9f9R21vMXxHZFNpYNeKFtG8_yji4HS352LGlSQ/edit?pli=1#gid=0"",""1_ACUM!A4:S""),11,FALSE))"),"")</f>
        <v/>
      </c>
      <c r="AB409" s="42" t="str">
        <f ca="1">IFERROR(__xludf.DUMMYFUNCTION("IFERROR(VLOOKUP(F432,IMPORTRANGE(""https://docs.google.com/spreadsheets/d/1Kvs4KS76FHFqLFIZfrDMff4kP08nblUkihrxltoGBjg/edit#gid=934712705"",""ESENCIAL!A6:BG""),15,FALSE))"),"")</f>
        <v/>
      </c>
      <c r="AC409" s="110" t="str">
        <f ca="1">IFERROR(__xludf.DUMMYFUNCTION("IFERROR(VLOOKUP(E432&amp;F432,IMPORTRANGE(""https://docs.google.com/spreadsheets/d/1Uw7-A9f9R21vMXxHZFNpYNeKFtG8_yji4HS352LGlSQ/edit?pli=1#gid=0"",""1_ACUM!A4:S""),13,FALSE))"),"")</f>
        <v/>
      </c>
      <c r="AD409" s="43" t="str">
        <f ca="1">IFERROR(__xludf.DUMMYFUNCTION("IFERROR(VLOOKUP(E432&amp;F432,IMPORTRANGE(""https://docs.google.com/spreadsheets/d/1Uw7-A9f9R21vMXxHZFNpYNeKFtG8_yji4HS352LGlSQ/edit?pli=1#gid=0"",""1_ACUM!A4:S""),13,FALSE))"),"")</f>
        <v/>
      </c>
      <c r="AE409" s="43" t="str">
        <f ca="1">IFERROR(__xludf.DUMMYFUNCTION("IFERROR(VLOOKUP(E432&amp;F432,IMPORTRANGE(""https://docs.google.com/spreadsheets/d/1Uw7-A9f9R21vMXxHZFNpYNeKFtG8_yji4HS352LGlSQ/edit?pli=1#gid=0"",""1_ACUM!A4:S""),14,FALSE))"),"")</f>
        <v/>
      </c>
      <c r="AF409" s="43" t="str">
        <f ca="1">IFERROR(__xludf.DUMMYFUNCTION("IFERROR(VLOOKUP(E432&amp;F432,IMPORTRANGE(""https://docs.google.com/spreadsheets/d/1Uw7-A9f9R21vMXxHZFNpYNeKFtG8_yji4HS352LGlSQ/edit?pli=1#gid=0"",""1_ACUM!A4:S""),15,FALSE))"),"")</f>
        <v/>
      </c>
      <c r="AG409" s="43" t="str">
        <f ca="1">IFERROR(__xludf.DUMMYFUNCTION("IFERROR(VLOOKUP(E432&amp;F432,IMPORTRANGE(""https://docs.google.com/spreadsheets/d/1Uw7-A9f9R21vMXxHZFNpYNeKFtG8_yji4HS352LGlSQ/edit?pli=1#gid=0"",""1_ACUM!A4:S""),16,FALSE))"),"")</f>
        <v/>
      </c>
      <c r="AH409" s="43" t="str">
        <f ca="1">IFERROR(__xludf.DUMMYFUNCTION("IFERROR(VLOOKUP(E432&amp;F432,IMPORTRANGE(""https://docs.google.com/spreadsheets/d/1Uw7-A9f9R21vMXxHZFNpYNeKFtG8_yji4HS352LGlSQ/edit?pli=1#gid=0"",""1_ACUM!A4:S""),17,FALSE))"),"")</f>
        <v/>
      </c>
      <c r="AI409" s="44" t="str">
        <f ca="1">IFERROR(__xludf.DUMMYFUNCTION("IFERROR(VLOOKUP(E432&amp;F432,IMPORTRANGE(""https://docs.google.com/spreadsheets/d/1Uw7-A9f9R21vMXxHZFNpYNeKFtG8_yji4HS352LGlSQ/edit?pli=1#gid=0"",""1_ACUM!A4:S""),18,FALSE))"),"")</f>
        <v/>
      </c>
      <c r="AJ409" s="44" t="str">
        <f ca="1">IFERROR(__xludf.DUMMYFUNCTION("IFERROR(VLOOKUP(E432&amp;F432,IMPORTRANGE(""https://docs.google.com/spreadsheets/d/1Uw7-A9f9R21vMXxHZFNpYNeKFtG8_yji4HS352LGlSQ/edit?pli=1#gid=0"",""1_ACUM!A4:S""),19,FALSE))"),"")</f>
        <v/>
      </c>
      <c r="AK409" s="98" t="str">
        <f ca="1">IFERROR(__xludf.DUMMYFUNCTION("IFERROR(VLOOKUP(F432,IMPORTRANGE(""https://docs.google.com/spreadsheets/d/1Kvs4KS76FHFqLFIZfrDMff4kP08nblUkihrxltoGBjg/edit#gid=934712705"",""ESENCIAL!A6:BG""),5,FALSE))"),"")</f>
        <v/>
      </c>
      <c r="AL409" s="98" t="str">
        <f t="shared" si="28"/>
        <v/>
      </c>
      <c r="AM409" s="99" t="str">
        <f t="shared" si="29"/>
        <v/>
      </c>
      <c r="AN409" s="100" t="str">
        <f ca="1">IFERROR(__xludf.DUMMYFUNCTION("IFERROR(VLOOKUP(F432,IMPORTRANGE(""https://docs.google.com/spreadsheets/d/1Kvs4KS76FHFqLFIZfrDMff4kP08nblUkihrxltoGBjg/edit#gid=934712705"",""ESENCIAL!A6:BG""),2,FALSE))"),"")</f>
        <v/>
      </c>
      <c r="AO409" s="19" t="str">
        <f t="shared" si="20"/>
        <v/>
      </c>
      <c r="AP409" s="100"/>
      <c r="AQ409" s="100"/>
    </row>
    <row r="410" spans="1:43" ht="15">
      <c r="A410" s="5"/>
      <c r="B410" s="101"/>
      <c r="G410" s="5" t="str">
        <f ca="1">IFERROR(__xludf.DUMMYFUNCTION("IFERROR(VLOOKUP(F433,IMPORTRANGE(""https://docs.google.com/spreadsheets/d/1Kvs4KS76FHFqLFIZfrDMff4kP08nblUkihrxltoGBjg/edit#gid=934712705"",""ESENCIAL!A6:BG""),3,FALSE))"),"")</f>
        <v/>
      </c>
      <c r="H410" s="5" t="str">
        <f ca="1">IFERROR(__xludf.DUMMYFUNCTION("IFERROR(VLOOKUP(F433,IMPORTRANGE(""https://docs.google.com/spreadsheets/d/1Kvs4KS76FHFqLFIZfrDMff4kP08nblUkihrxltoGBjg/edit#gid=934712705"",""ESENCIAL!A6:BG""),8,FALSE))"),"")</f>
        <v/>
      </c>
      <c r="L410" s="287"/>
      <c r="Z410" s="41" t="str">
        <f t="shared" si="27"/>
        <v/>
      </c>
      <c r="AA410" s="5" t="str">
        <f ca="1">IFERROR(__xludf.DUMMYFUNCTION("IFERROR(VLOOKUP(E433&amp;F433,IMPORTRANGE(""https://docs.google.com/spreadsheets/d/1Uw7-A9f9R21vMXxHZFNpYNeKFtG8_yji4HS352LGlSQ/edit?pli=1#gid=0"",""1_ACUM!A4:S""),11,FALSE))"),"")</f>
        <v/>
      </c>
      <c r="AB410" s="42" t="str">
        <f ca="1">IFERROR(__xludf.DUMMYFUNCTION("IFERROR(VLOOKUP(F433,IMPORTRANGE(""https://docs.google.com/spreadsheets/d/1Kvs4KS76FHFqLFIZfrDMff4kP08nblUkihrxltoGBjg/edit#gid=934712705"",""ESENCIAL!A6:BG""),15,FALSE))"),"")</f>
        <v/>
      </c>
      <c r="AC410" s="110" t="str">
        <f ca="1">IFERROR(__xludf.DUMMYFUNCTION("IFERROR(VLOOKUP(E433&amp;F433,IMPORTRANGE(""https://docs.google.com/spreadsheets/d/1Uw7-A9f9R21vMXxHZFNpYNeKFtG8_yji4HS352LGlSQ/edit?pli=1#gid=0"",""1_ACUM!A4:S""),13,FALSE))"),"")</f>
        <v/>
      </c>
      <c r="AD410" s="43" t="str">
        <f ca="1">IFERROR(__xludf.DUMMYFUNCTION("IFERROR(VLOOKUP(E433&amp;F433,IMPORTRANGE(""https://docs.google.com/spreadsheets/d/1Uw7-A9f9R21vMXxHZFNpYNeKFtG8_yji4HS352LGlSQ/edit?pli=1#gid=0"",""1_ACUM!A4:S""),13,FALSE))"),"")</f>
        <v/>
      </c>
      <c r="AE410" s="43" t="str">
        <f ca="1">IFERROR(__xludf.DUMMYFUNCTION("IFERROR(VLOOKUP(E433&amp;F433,IMPORTRANGE(""https://docs.google.com/spreadsheets/d/1Uw7-A9f9R21vMXxHZFNpYNeKFtG8_yji4HS352LGlSQ/edit?pli=1#gid=0"",""1_ACUM!A4:S""),14,FALSE))"),"")</f>
        <v/>
      </c>
      <c r="AF410" s="43" t="str">
        <f ca="1">IFERROR(__xludf.DUMMYFUNCTION("IFERROR(VLOOKUP(E433&amp;F433,IMPORTRANGE(""https://docs.google.com/spreadsheets/d/1Uw7-A9f9R21vMXxHZFNpYNeKFtG8_yji4HS352LGlSQ/edit?pli=1#gid=0"",""1_ACUM!A4:S""),15,FALSE))"),"")</f>
        <v/>
      </c>
      <c r="AG410" s="43" t="str">
        <f ca="1">IFERROR(__xludf.DUMMYFUNCTION("IFERROR(VLOOKUP(E433&amp;F433,IMPORTRANGE(""https://docs.google.com/spreadsheets/d/1Uw7-A9f9R21vMXxHZFNpYNeKFtG8_yji4HS352LGlSQ/edit?pli=1#gid=0"",""1_ACUM!A4:S""),16,FALSE))"),"")</f>
        <v/>
      </c>
      <c r="AH410" s="43" t="str">
        <f ca="1">IFERROR(__xludf.DUMMYFUNCTION("IFERROR(VLOOKUP(E433&amp;F433,IMPORTRANGE(""https://docs.google.com/spreadsheets/d/1Uw7-A9f9R21vMXxHZFNpYNeKFtG8_yji4HS352LGlSQ/edit?pli=1#gid=0"",""1_ACUM!A4:S""),17,FALSE))"),"")</f>
        <v/>
      </c>
      <c r="AI410" s="44" t="str">
        <f ca="1">IFERROR(__xludf.DUMMYFUNCTION("IFERROR(VLOOKUP(E433&amp;F433,IMPORTRANGE(""https://docs.google.com/spreadsheets/d/1Uw7-A9f9R21vMXxHZFNpYNeKFtG8_yji4HS352LGlSQ/edit?pli=1#gid=0"",""1_ACUM!A4:S""),18,FALSE))"),"")</f>
        <v/>
      </c>
      <c r="AJ410" s="44" t="str">
        <f ca="1">IFERROR(__xludf.DUMMYFUNCTION("IFERROR(VLOOKUP(E433&amp;F433,IMPORTRANGE(""https://docs.google.com/spreadsheets/d/1Uw7-A9f9R21vMXxHZFNpYNeKFtG8_yji4HS352LGlSQ/edit?pli=1#gid=0"",""1_ACUM!A4:S""),19,FALSE))"),"")</f>
        <v/>
      </c>
      <c r="AK410" s="98" t="str">
        <f ca="1">IFERROR(__xludf.DUMMYFUNCTION("IFERROR(VLOOKUP(F433,IMPORTRANGE(""https://docs.google.com/spreadsheets/d/1Kvs4KS76FHFqLFIZfrDMff4kP08nblUkihrxltoGBjg/edit#gid=934712705"",""ESENCIAL!A6:BG""),5,FALSE))"),"")</f>
        <v/>
      </c>
      <c r="AL410" s="98" t="str">
        <f t="shared" si="28"/>
        <v/>
      </c>
      <c r="AM410" s="99" t="str">
        <f t="shared" si="29"/>
        <v/>
      </c>
      <c r="AN410" s="100" t="str">
        <f ca="1">IFERROR(__xludf.DUMMYFUNCTION("IFERROR(VLOOKUP(F433,IMPORTRANGE(""https://docs.google.com/spreadsheets/d/1Kvs4KS76FHFqLFIZfrDMff4kP08nblUkihrxltoGBjg/edit#gid=934712705"",""ESENCIAL!A6:BG""),2,FALSE))"),"")</f>
        <v/>
      </c>
      <c r="AO410" s="19" t="str">
        <f t="shared" si="20"/>
        <v/>
      </c>
      <c r="AP410" s="100"/>
      <c r="AQ410" s="100"/>
    </row>
    <row r="411" spans="1:43" ht="15">
      <c r="A411" s="5"/>
      <c r="B411" s="101"/>
      <c r="G411" s="5" t="str">
        <f ca="1">IFERROR(__xludf.DUMMYFUNCTION("IFERROR(VLOOKUP(F434,IMPORTRANGE(""https://docs.google.com/spreadsheets/d/1Kvs4KS76FHFqLFIZfrDMff4kP08nblUkihrxltoGBjg/edit#gid=934712705"",""ESENCIAL!A6:BG""),3,FALSE))"),"")</f>
        <v/>
      </c>
      <c r="H411" s="5" t="str">
        <f ca="1">IFERROR(__xludf.DUMMYFUNCTION("IFERROR(VLOOKUP(F434,IMPORTRANGE(""https://docs.google.com/spreadsheets/d/1Kvs4KS76FHFqLFIZfrDMff4kP08nblUkihrxltoGBjg/edit#gid=934712705"",""ESENCIAL!A6:BG""),8,FALSE))"),"")</f>
        <v/>
      </c>
      <c r="L411" s="287"/>
      <c r="Z411" s="41" t="str">
        <f t="shared" si="27"/>
        <v/>
      </c>
      <c r="AA411" s="5" t="str">
        <f ca="1">IFERROR(__xludf.DUMMYFUNCTION("IFERROR(VLOOKUP(E434&amp;F434,IMPORTRANGE(""https://docs.google.com/spreadsheets/d/1Uw7-A9f9R21vMXxHZFNpYNeKFtG8_yji4HS352LGlSQ/edit?pli=1#gid=0"",""1_ACUM!A4:S""),11,FALSE))"),"")</f>
        <v/>
      </c>
      <c r="AB411" s="42" t="str">
        <f ca="1">IFERROR(__xludf.DUMMYFUNCTION("IFERROR(VLOOKUP(F434,IMPORTRANGE(""https://docs.google.com/spreadsheets/d/1Kvs4KS76FHFqLFIZfrDMff4kP08nblUkihrxltoGBjg/edit#gid=934712705"",""ESENCIAL!A6:BG""),15,FALSE))"),"")</f>
        <v/>
      </c>
      <c r="AC411" s="110" t="str">
        <f ca="1">IFERROR(__xludf.DUMMYFUNCTION("IFERROR(VLOOKUP(E434&amp;F434,IMPORTRANGE(""https://docs.google.com/spreadsheets/d/1Uw7-A9f9R21vMXxHZFNpYNeKFtG8_yji4HS352LGlSQ/edit?pli=1#gid=0"",""1_ACUM!A4:S""),13,FALSE))"),"")</f>
        <v/>
      </c>
      <c r="AD411" s="43" t="str">
        <f ca="1">IFERROR(__xludf.DUMMYFUNCTION("IFERROR(VLOOKUP(E434&amp;F434,IMPORTRANGE(""https://docs.google.com/spreadsheets/d/1Uw7-A9f9R21vMXxHZFNpYNeKFtG8_yji4HS352LGlSQ/edit?pli=1#gid=0"",""1_ACUM!A4:S""),13,FALSE))"),"")</f>
        <v/>
      </c>
      <c r="AE411" s="43" t="str">
        <f ca="1">IFERROR(__xludf.DUMMYFUNCTION("IFERROR(VLOOKUP(E434&amp;F434,IMPORTRANGE(""https://docs.google.com/spreadsheets/d/1Uw7-A9f9R21vMXxHZFNpYNeKFtG8_yji4HS352LGlSQ/edit?pli=1#gid=0"",""1_ACUM!A4:S""),14,FALSE))"),"")</f>
        <v/>
      </c>
      <c r="AF411" s="43" t="str">
        <f ca="1">IFERROR(__xludf.DUMMYFUNCTION("IFERROR(VLOOKUP(E434&amp;F434,IMPORTRANGE(""https://docs.google.com/spreadsheets/d/1Uw7-A9f9R21vMXxHZFNpYNeKFtG8_yji4HS352LGlSQ/edit?pli=1#gid=0"",""1_ACUM!A4:S""),15,FALSE))"),"")</f>
        <v/>
      </c>
      <c r="AG411" s="43" t="str">
        <f ca="1">IFERROR(__xludf.DUMMYFUNCTION("IFERROR(VLOOKUP(E434&amp;F434,IMPORTRANGE(""https://docs.google.com/spreadsheets/d/1Uw7-A9f9R21vMXxHZFNpYNeKFtG8_yji4HS352LGlSQ/edit?pli=1#gid=0"",""1_ACUM!A4:S""),16,FALSE))"),"")</f>
        <v/>
      </c>
      <c r="AH411" s="43" t="str">
        <f ca="1">IFERROR(__xludf.DUMMYFUNCTION("IFERROR(VLOOKUP(E434&amp;F434,IMPORTRANGE(""https://docs.google.com/spreadsheets/d/1Uw7-A9f9R21vMXxHZFNpYNeKFtG8_yji4HS352LGlSQ/edit?pli=1#gid=0"",""1_ACUM!A4:S""),17,FALSE))"),"")</f>
        <v/>
      </c>
      <c r="AI411" s="44" t="str">
        <f ca="1">IFERROR(__xludf.DUMMYFUNCTION("IFERROR(VLOOKUP(E434&amp;F434,IMPORTRANGE(""https://docs.google.com/spreadsheets/d/1Uw7-A9f9R21vMXxHZFNpYNeKFtG8_yji4HS352LGlSQ/edit?pli=1#gid=0"",""1_ACUM!A4:S""),18,FALSE))"),"")</f>
        <v/>
      </c>
      <c r="AJ411" s="44" t="str">
        <f ca="1">IFERROR(__xludf.DUMMYFUNCTION("IFERROR(VLOOKUP(E434&amp;F434,IMPORTRANGE(""https://docs.google.com/spreadsheets/d/1Uw7-A9f9R21vMXxHZFNpYNeKFtG8_yji4HS352LGlSQ/edit?pli=1#gid=0"",""1_ACUM!A4:S""),19,FALSE))"),"")</f>
        <v/>
      </c>
      <c r="AK411" s="98" t="str">
        <f ca="1">IFERROR(__xludf.DUMMYFUNCTION("IFERROR(VLOOKUP(F434,IMPORTRANGE(""https://docs.google.com/spreadsheets/d/1Kvs4KS76FHFqLFIZfrDMff4kP08nblUkihrxltoGBjg/edit#gid=934712705"",""ESENCIAL!A6:BG""),5,FALSE))"),"")</f>
        <v/>
      </c>
      <c r="AL411" s="98" t="str">
        <f t="shared" si="28"/>
        <v/>
      </c>
      <c r="AM411" s="99" t="str">
        <f t="shared" si="29"/>
        <v/>
      </c>
      <c r="AN411" s="100" t="str">
        <f ca="1">IFERROR(__xludf.DUMMYFUNCTION("IFERROR(VLOOKUP(F434,IMPORTRANGE(""https://docs.google.com/spreadsheets/d/1Kvs4KS76FHFqLFIZfrDMff4kP08nblUkihrxltoGBjg/edit#gid=934712705"",""ESENCIAL!A6:BG""),2,FALSE))"),"")</f>
        <v/>
      </c>
      <c r="AO411" s="19" t="str">
        <f t="shared" si="20"/>
        <v/>
      </c>
      <c r="AP411" s="100"/>
      <c r="AQ411" s="100"/>
    </row>
    <row r="412" spans="1:43" ht="15">
      <c r="A412" s="5"/>
      <c r="B412" s="101"/>
      <c r="G412" s="5" t="str">
        <f ca="1">IFERROR(__xludf.DUMMYFUNCTION("IFERROR(VLOOKUP(F435,IMPORTRANGE(""https://docs.google.com/spreadsheets/d/1Kvs4KS76FHFqLFIZfrDMff4kP08nblUkihrxltoGBjg/edit#gid=934712705"",""ESENCIAL!A6:BG""),3,FALSE))"),"")</f>
        <v/>
      </c>
      <c r="H412" s="5" t="str">
        <f ca="1">IFERROR(__xludf.DUMMYFUNCTION("IFERROR(VLOOKUP(F435,IMPORTRANGE(""https://docs.google.com/spreadsheets/d/1Kvs4KS76FHFqLFIZfrDMff4kP08nblUkihrxltoGBjg/edit#gid=934712705"",""ESENCIAL!A6:BG""),8,FALSE))"),"")</f>
        <v/>
      </c>
      <c r="L412" s="287"/>
      <c r="Z412" s="41" t="str">
        <f t="shared" si="27"/>
        <v/>
      </c>
      <c r="AA412" s="5" t="str">
        <f ca="1">IFERROR(__xludf.DUMMYFUNCTION("IFERROR(VLOOKUP(E435&amp;F435,IMPORTRANGE(""https://docs.google.com/spreadsheets/d/1Uw7-A9f9R21vMXxHZFNpYNeKFtG8_yji4HS352LGlSQ/edit?pli=1#gid=0"",""1_ACUM!A4:S""),11,FALSE))"),"")</f>
        <v/>
      </c>
      <c r="AB412" s="42" t="str">
        <f ca="1">IFERROR(__xludf.DUMMYFUNCTION("IFERROR(VLOOKUP(F435,IMPORTRANGE(""https://docs.google.com/spreadsheets/d/1Kvs4KS76FHFqLFIZfrDMff4kP08nblUkihrxltoGBjg/edit#gid=934712705"",""ESENCIAL!A6:BG""),15,FALSE))"),"")</f>
        <v/>
      </c>
      <c r="AC412" s="110" t="str">
        <f ca="1">IFERROR(__xludf.DUMMYFUNCTION("IFERROR(VLOOKUP(E435&amp;F435,IMPORTRANGE(""https://docs.google.com/spreadsheets/d/1Uw7-A9f9R21vMXxHZFNpYNeKFtG8_yji4HS352LGlSQ/edit?pli=1#gid=0"",""1_ACUM!A4:S""),13,FALSE))"),"")</f>
        <v/>
      </c>
      <c r="AD412" s="43" t="str">
        <f ca="1">IFERROR(__xludf.DUMMYFUNCTION("IFERROR(VLOOKUP(E435&amp;F435,IMPORTRANGE(""https://docs.google.com/spreadsheets/d/1Uw7-A9f9R21vMXxHZFNpYNeKFtG8_yji4HS352LGlSQ/edit?pli=1#gid=0"",""1_ACUM!A4:S""),13,FALSE))"),"")</f>
        <v/>
      </c>
      <c r="AE412" s="43" t="str">
        <f ca="1">IFERROR(__xludf.DUMMYFUNCTION("IFERROR(VLOOKUP(E435&amp;F435,IMPORTRANGE(""https://docs.google.com/spreadsheets/d/1Uw7-A9f9R21vMXxHZFNpYNeKFtG8_yji4HS352LGlSQ/edit?pli=1#gid=0"",""1_ACUM!A4:S""),14,FALSE))"),"")</f>
        <v/>
      </c>
      <c r="AF412" s="43" t="str">
        <f ca="1">IFERROR(__xludf.DUMMYFUNCTION("IFERROR(VLOOKUP(E435&amp;F435,IMPORTRANGE(""https://docs.google.com/spreadsheets/d/1Uw7-A9f9R21vMXxHZFNpYNeKFtG8_yji4HS352LGlSQ/edit?pli=1#gid=0"",""1_ACUM!A4:S""),15,FALSE))"),"")</f>
        <v/>
      </c>
      <c r="AG412" s="43" t="str">
        <f ca="1">IFERROR(__xludf.DUMMYFUNCTION("IFERROR(VLOOKUP(E435&amp;F435,IMPORTRANGE(""https://docs.google.com/spreadsheets/d/1Uw7-A9f9R21vMXxHZFNpYNeKFtG8_yji4HS352LGlSQ/edit?pli=1#gid=0"",""1_ACUM!A4:S""),16,FALSE))"),"")</f>
        <v/>
      </c>
      <c r="AH412" s="43" t="str">
        <f ca="1">IFERROR(__xludf.DUMMYFUNCTION("IFERROR(VLOOKUP(E435&amp;F435,IMPORTRANGE(""https://docs.google.com/spreadsheets/d/1Uw7-A9f9R21vMXxHZFNpYNeKFtG8_yji4HS352LGlSQ/edit?pli=1#gid=0"",""1_ACUM!A4:S""),17,FALSE))"),"")</f>
        <v/>
      </c>
      <c r="AI412" s="44" t="str">
        <f ca="1">IFERROR(__xludf.DUMMYFUNCTION("IFERROR(VLOOKUP(E435&amp;F435,IMPORTRANGE(""https://docs.google.com/spreadsheets/d/1Uw7-A9f9R21vMXxHZFNpYNeKFtG8_yji4HS352LGlSQ/edit?pli=1#gid=0"",""1_ACUM!A4:S""),18,FALSE))"),"")</f>
        <v/>
      </c>
      <c r="AJ412" s="44" t="str">
        <f ca="1">IFERROR(__xludf.DUMMYFUNCTION("IFERROR(VLOOKUP(E435&amp;F435,IMPORTRANGE(""https://docs.google.com/spreadsheets/d/1Uw7-A9f9R21vMXxHZFNpYNeKFtG8_yji4HS352LGlSQ/edit?pli=1#gid=0"",""1_ACUM!A4:S""),19,FALSE))"),"")</f>
        <v/>
      </c>
      <c r="AK412" s="98" t="str">
        <f ca="1">IFERROR(__xludf.DUMMYFUNCTION("IFERROR(VLOOKUP(F435,IMPORTRANGE(""https://docs.google.com/spreadsheets/d/1Kvs4KS76FHFqLFIZfrDMff4kP08nblUkihrxltoGBjg/edit#gid=934712705"",""ESENCIAL!A6:BG""),5,FALSE))"),"")</f>
        <v/>
      </c>
      <c r="AL412" s="98" t="str">
        <f t="shared" si="28"/>
        <v/>
      </c>
      <c r="AM412" s="99" t="str">
        <f t="shared" si="29"/>
        <v/>
      </c>
      <c r="AN412" s="100" t="str">
        <f ca="1">IFERROR(__xludf.DUMMYFUNCTION("IFERROR(VLOOKUP(F435,IMPORTRANGE(""https://docs.google.com/spreadsheets/d/1Kvs4KS76FHFqLFIZfrDMff4kP08nblUkihrxltoGBjg/edit#gid=934712705"",""ESENCIAL!A6:BG""),2,FALSE))"),"")</f>
        <v/>
      </c>
      <c r="AO412" s="19" t="str">
        <f t="shared" si="20"/>
        <v/>
      </c>
      <c r="AP412" s="100"/>
      <c r="AQ412" s="100"/>
    </row>
    <row r="413" spans="1:43" ht="15">
      <c r="A413" s="5"/>
      <c r="B413" s="101"/>
      <c r="G413" s="5" t="str">
        <f ca="1">IFERROR(__xludf.DUMMYFUNCTION("IFERROR(VLOOKUP(F436,IMPORTRANGE(""https://docs.google.com/spreadsheets/d/1Kvs4KS76FHFqLFIZfrDMff4kP08nblUkihrxltoGBjg/edit#gid=934712705"",""ESENCIAL!A6:BG""),3,FALSE))"),"")</f>
        <v/>
      </c>
      <c r="H413" s="5" t="str">
        <f ca="1">IFERROR(__xludf.DUMMYFUNCTION("IFERROR(VLOOKUP(F436,IMPORTRANGE(""https://docs.google.com/spreadsheets/d/1Kvs4KS76FHFqLFIZfrDMff4kP08nblUkihrxltoGBjg/edit#gid=934712705"",""ESENCIAL!A6:BG""),8,FALSE))"),"")</f>
        <v/>
      </c>
      <c r="L413" s="287"/>
      <c r="Z413" s="41" t="str">
        <f t="shared" si="27"/>
        <v/>
      </c>
      <c r="AA413" s="5" t="str">
        <f ca="1">IFERROR(__xludf.DUMMYFUNCTION("IFERROR(VLOOKUP(E436&amp;F436,IMPORTRANGE(""https://docs.google.com/spreadsheets/d/1Uw7-A9f9R21vMXxHZFNpYNeKFtG8_yji4HS352LGlSQ/edit?pli=1#gid=0"",""1_ACUM!A4:S""),11,FALSE))"),"")</f>
        <v/>
      </c>
      <c r="AB413" s="42" t="str">
        <f ca="1">IFERROR(__xludf.DUMMYFUNCTION("IFERROR(VLOOKUP(F436,IMPORTRANGE(""https://docs.google.com/spreadsheets/d/1Kvs4KS76FHFqLFIZfrDMff4kP08nblUkihrxltoGBjg/edit#gid=934712705"",""ESENCIAL!A6:BG""),15,FALSE))"),"")</f>
        <v/>
      </c>
      <c r="AC413" s="110" t="str">
        <f ca="1">IFERROR(__xludf.DUMMYFUNCTION("IFERROR(VLOOKUP(E436&amp;F436,IMPORTRANGE(""https://docs.google.com/spreadsheets/d/1Uw7-A9f9R21vMXxHZFNpYNeKFtG8_yji4HS352LGlSQ/edit?pli=1#gid=0"",""1_ACUM!A4:S""),13,FALSE))"),"")</f>
        <v/>
      </c>
      <c r="AD413" s="43" t="str">
        <f ca="1">IFERROR(__xludf.DUMMYFUNCTION("IFERROR(VLOOKUP(E436&amp;F436,IMPORTRANGE(""https://docs.google.com/spreadsheets/d/1Uw7-A9f9R21vMXxHZFNpYNeKFtG8_yji4HS352LGlSQ/edit?pli=1#gid=0"",""1_ACUM!A4:S""),13,FALSE))"),"")</f>
        <v/>
      </c>
      <c r="AE413" s="43" t="str">
        <f ca="1">IFERROR(__xludf.DUMMYFUNCTION("IFERROR(VLOOKUP(E436&amp;F436,IMPORTRANGE(""https://docs.google.com/spreadsheets/d/1Uw7-A9f9R21vMXxHZFNpYNeKFtG8_yji4HS352LGlSQ/edit?pli=1#gid=0"",""1_ACUM!A4:S""),14,FALSE))"),"")</f>
        <v/>
      </c>
      <c r="AF413" s="43" t="str">
        <f ca="1">IFERROR(__xludf.DUMMYFUNCTION("IFERROR(VLOOKUP(E436&amp;F436,IMPORTRANGE(""https://docs.google.com/spreadsheets/d/1Uw7-A9f9R21vMXxHZFNpYNeKFtG8_yji4HS352LGlSQ/edit?pli=1#gid=0"",""1_ACUM!A4:S""),15,FALSE))"),"")</f>
        <v/>
      </c>
      <c r="AG413" s="43" t="str">
        <f ca="1">IFERROR(__xludf.DUMMYFUNCTION("IFERROR(VLOOKUP(E436&amp;F436,IMPORTRANGE(""https://docs.google.com/spreadsheets/d/1Uw7-A9f9R21vMXxHZFNpYNeKFtG8_yji4HS352LGlSQ/edit?pli=1#gid=0"",""1_ACUM!A4:S""),16,FALSE))"),"")</f>
        <v/>
      </c>
      <c r="AH413" s="43" t="str">
        <f ca="1">IFERROR(__xludf.DUMMYFUNCTION("IFERROR(VLOOKUP(E436&amp;F436,IMPORTRANGE(""https://docs.google.com/spreadsheets/d/1Uw7-A9f9R21vMXxHZFNpYNeKFtG8_yji4HS352LGlSQ/edit?pli=1#gid=0"",""1_ACUM!A4:S""),17,FALSE))"),"")</f>
        <v/>
      </c>
      <c r="AI413" s="44" t="str">
        <f ca="1">IFERROR(__xludf.DUMMYFUNCTION("IFERROR(VLOOKUP(E436&amp;F436,IMPORTRANGE(""https://docs.google.com/spreadsheets/d/1Uw7-A9f9R21vMXxHZFNpYNeKFtG8_yji4HS352LGlSQ/edit?pli=1#gid=0"",""1_ACUM!A4:S""),18,FALSE))"),"")</f>
        <v/>
      </c>
      <c r="AJ413" s="44" t="str">
        <f ca="1">IFERROR(__xludf.DUMMYFUNCTION("IFERROR(VLOOKUP(E436&amp;F436,IMPORTRANGE(""https://docs.google.com/spreadsheets/d/1Uw7-A9f9R21vMXxHZFNpYNeKFtG8_yji4HS352LGlSQ/edit?pli=1#gid=0"",""1_ACUM!A4:S""),19,FALSE))"),"")</f>
        <v/>
      </c>
      <c r="AK413" s="98" t="str">
        <f ca="1">IFERROR(__xludf.DUMMYFUNCTION("IFERROR(VLOOKUP(F436,IMPORTRANGE(""https://docs.google.com/spreadsheets/d/1Kvs4KS76FHFqLFIZfrDMff4kP08nblUkihrxltoGBjg/edit#gid=934712705"",""ESENCIAL!A6:BG""),5,FALSE))"),"")</f>
        <v/>
      </c>
      <c r="AL413" s="98" t="str">
        <f t="shared" si="28"/>
        <v/>
      </c>
      <c r="AM413" s="99" t="str">
        <f t="shared" si="29"/>
        <v/>
      </c>
      <c r="AN413" s="100" t="str">
        <f ca="1">IFERROR(__xludf.DUMMYFUNCTION("IFERROR(VLOOKUP(F436,IMPORTRANGE(""https://docs.google.com/spreadsheets/d/1Kvs4KS76FHFqLFIZfrDMff4kP08nblUkihrxltoGBjg/edit#gid=934712705"",""ESENCIAL!A6:BG""),2,FALSE))"),"")</f>
        <v/>
      </c>
      <c r="AO413" s="19" t="str">
        <f t="shared" si="20"/>
        <v/>
      </c>
      <c r="AP413" s="100"/>
      <c r="AQ413" s="100"/>
    </row>
    <row r="414" spans="1:43" ht="15">
      <c r="A414" s="5"/>
      <c r="B414" s="101"/>
      <c r="G414" s="5" t="str">
        <f ca="1">IFERROR(__xludf.DUMMYFUNCTION("IFERROR(VLOOKUP(F437,IMPORTRANGE(""https://docs.google.com/spreadsheets/d/1Kvs4KS76FHFqLFIZfrDMff4kP08nblUkihrxltoGBjg/edit#gid=934712705"",""ESENCIAL!A6:BG""),3,FALSE))"),"")</f>
        <v/>
      </c>
      <c r="H414" s="5" t="str">
        <f ca="1">IFERROR(__xludf.DUMMYFUNCTION("IFERROR(VLOOKUP(F437,IMPORTRANGE(""https://docs.google.com/spreadsheets/d/1Kvs4KS76FHFqLFIZfrDMff4kP08nblUkihrxltoGBjg/edit#gid=934712705"",""ESENCIAL!A6:BG""),8,FALSE))"),"")</f>
        <v/>
      </c>
      <c r="L414" s="287"/>
      <c r="Z414" s="41" t="str">
        <f t="shared" si="27"/>
        <v/>
      </c>
      <c r="AA414" s="5" t="str">
        <f ca="1">IFERROR(__xludf.DUMMYFUNCTION("IFERROR(VLOOKUP(E437&amp;F437,IMPORTRANGE(""https://docs.google.com/spreadsheets/d/1Uw7-A9f9R21vMXxHZFNpYNeKFtG8_yji4HS352LGlSQ/edit?pli=1#gid=0"",""1_ACUM!A4:S""),11,FALSE))"),"")</f>
        <v/>
      </c>
      <c r="AB414" s="42" t="str">
        <f ca="1">IFERROR(__xludf.DUMMYFUNCTION("IFERROR(VLOOKUP(F437,IMPORTRANGE(""https://docs.google.com/spreadsheets/d/1Kvs4KS76FHFqLFIZfrDMff4kP08nblUkihrxltoGBjg/edit#gid=934712705"",""ESENCIAL!A6:BG""),15,FALSE))"),"")</f>
        <v/>
      </c>
      <c r="AC414" s="110" t="str">
        <f ca="1">IFERROR(__xludf.DUMMYFUNCTION("IFERROR(VLOOKUP(E437&amp;F437,IMPORTRANGE(""https://docs.google.com/spreadsheets/d/1Uw7-A9f9R21vMXxHZFNpYNeKFtG8_yji4HS352LGlSQ/edit?pli=1#gid=0"",""1_ACUM!A4:S""),13,FALSE))"),"")</f>
        <v/>
      </c>
      <c r="AD414" s="43" t="str">
        <f ca="1">IFERROR(__xludf.DUMMYFUNCTION("IFERROR(VLOOKUP(E437&amp;F437,IMPORTRANGE(""https://docs.google.com/spreadsheets/d/1Uw7-A9f9R21vMXxHZFNpYNeKFtG8_yji4HS352LGlSQ/edit?pli=1#gid=0"",""1_ACUM!A4:S""),13,FALSE))"),"")</f>
        <v/>
      </c>
      <c r="AE414" s="43" t="str">
        <f ca="1">IFERROR(__xludf.DUMMYFUNCTION("IFERROR(VLOOKUP(E437&amp;F437,IMPORTRANGE(""https://docs.google.com/spreadsheets/d/1Uw7-A9f9R21vMXxHZFNpYNeKFtG8_yji4HS352LGlSQ/edit?pli=1#gid=0"",""1_ACUM!A4:S""),14,FALSE))"),"")</f>
        <v/>
      </c>
      <c r="AF414" s="43" t="str">
        <f ca="1">IFERROR(__xludf.DUMMYFUNCTION("IFERROR(VLOOKUP(E437&amp;F437,IMPORTRANGE(""https://docs.google.com/spreadsheets/d/1Uw7-A9f9R21vMXxHZFNpYNeKFtG8_yji4HS352LGlSQ/edit?pli=1#gid=0"",""1_ACUM!A4:S""),15,FALSE))"),"")</f>
        <v/>
      </c>
      <c r="AG414" s="43" t="str">
        <f ca="1">IFERROR(__xludf.DUMMYFUNCTION("IFERROR(VLOOKUP(E437&amp;F437,IMPORTRANGE(""https://docs.google.com/spreadsheets/d/1Uw7-A9f9R21vMXxHZFNpYNeKFtG8_yji4HS352LGlSQ/edit?pli=1#gid=0"",""1_ACUM!A4:S""),16,FALSE))"),"")</f>
        <v/>
      </c>
      <c r="AH414" s="43" t="str">
        <f ca="1">IFERROR(__xludf.DUMMYFUNCTION("IFERROR(VLOOKUP(E437&amp;F437,IMPORTRANGE(""https://docs.google.com/spreadsheets/d/1Uw7-A9f9R21vMXxHZFNpYNeKFtG8_yji4HS352LGlSQ/edit?pli=1#gid=0"",""1_ACUM!A4:S""),17,FALSE))"),"")</f>
        <v/>
      </c>
      <c r="AI414" s="44" t="str">
        <f ca="1">IFERROR(__xludf.DUMMYFUNCTION("IFERROR(VLOOKUP(E437&amp;F437,IMPORTRANGE(""https://docs.google.com/spreadsheets/d/1Uw7-A9f9R21vMXxHZFNpYNeKFtG8_yji4HS352LGlSQ/edit?pli=1#gid=0"",""1_ACUM!A4:S""),18,FALSE))"),"")</f>
        <v/>
      </c>
      <c r="AJ414" s="44" t="str">
        <f ca="1">IFERROR(__xludf.DUMMYFUNCTION("IFERROR(VLOOKUP(E437&amp;F437,IMPORTRANGE(""https://docs.google.com/spreadsheets/d/1Uw7-A9f9R21vMXxHZFNpYNeKFtG8_yji4HS352LGlSQ/edit?pli=1#gid=0"",""1_ACUM!A4:S""),19,FALSE))"),"")</f>
        <v/>
      </c>
      <c r="AK414" s="98" t="str">
        <f ca="1">IFERROR(__xludf.DUMMYFUNCTION("IFERROR(VLOOKUP(F437,IMPORTRANGE(""https://docs.google.com/spreadsheets/d/1Kvs4KS76FHFqLFIZfrDMff4kP08nblUkihrxltoGBjg/edit#gid=934712705"",""ESENCIAL!A6:BG""),5,FALSE))"),"")</f>
        <v/>
      </c>
      <c r="AL414" s="98" t="str">
        <f t="shared" si="28"/>
        <v/>
      </c>
      <c r="AM414" s="99" t="str">
        <f t="shared" si="29"/>
        <v/>
      </c>
      <c r="AN414" s="100" t="str">
        <f ca="1">IFERROR(__xludf.DUMMYFUNCTION("IFERROR(VLOOKUP(F437,IMPORTRANGE(""https://docs.google.com/spreadsheets/d/1Kvs4KS76FHFqLFIZfrDMff4kP08nblUkihrxltoGBjg/edit#gid=934712705"",""ESENCIAL!A6:BG""),2,FALSE))"),"")</f>
        <v/>
      </c>
      <c r="AO414" s="19" t="str">
        <f t="shared" si="20"/>
        <v/>
      </c>
      <c r="AP414" s="100"/>
      <c r="AQ414" s="100"/>
    </row>
    <row r="415" spans="1:43" ht="15">
      <c r="A415" s="5"/>
      <c r="B415" s="101"/>
      <c r="G415" s="5" t="str">
        <f ca="1">IFERROR(__xludf.DUMMYFUNCTION("IFERROR(VLOOKUP(F438,IMPORTRANGE(""https://docs.google.com/spreadsheets/d/1Kvs4KS76FHFqLFIZfrDMff4kP08nblUkihrxltoGBjg/edit#gid=934712705"",""ESENCIAL!A6:BG""),3,FALSE))"),"")</f>
        <v/>
      </c>
      <c r="H415" s="5" t="str">
        <f ca="1">IFERROR(__xludf.DUMMYFUNCTION("IFERROR(VLOOKUP(F438,IMPORTRANGE(""https://docs.google.com/spreadsheets/d/1Kvs4KS76FHFqLFIZfrDMff4kP08nblUkihrxltoGBjg/edit#gid=934712705"",""ESENCIAL!A6:BG""),8,FALSE))"),"")</f>
        <v/>
      </c>
      <c r="L415" s="287"/>
      <c r="Z415" s="41" t="str">
        <f t="shared" si="27"/>
        <v/>
      </c>
      <c r="AA415" s="5" t="str">
        <f ca="1">IFERROR(__xludf.DUMMYFUNCTION("IFERROR(VLOOKUP(E438&amp;F438,IMPORTRANGE(""https://docs.google.com/spreadsheets/d/1Uw7-A9f9R21vMXxHZFNpYNeKFtG8_yji4HS352LGlSQ/edit?pli=1#gid=0"",""1_ACUM!A4:S""),11,FALSE))"),"")</f>
        <v/>
      </c>
      <c r="AB415" s="42" t="str">
        <f ca="1">IFERROR(__xludf.DUMMYFUNCTION("IFERROR(VLOOKUP(F438,IMPORTRANGE(""https://docs.google.com/spreadsheets/d/1Kvs4KS76FHFqLFIZfrDMff4kP08nblUkihrxltoGBjg/edit#gid=934712705"",""ESENCIAL!A6:BG""),15,FALSE))"),"")</f>
        <v/>
      </c>
      <c r="AC415" s="110" t="str">
        <f ca="1">IFERROR(__xludf.DUMMYFUNCTION("IFERROR(VLOOKUP(E438&amp;F438,IMPORTRANGE(""https://docs.google.com/spreadsheets/d/1Uw7-A9f9R21vMXxHZFNpYNeKFtG8_yji4HS352LGlSQ/edit?pli=1#gid=0"",""1_ACUM!A4:S""),13,FALSE))"),"")</f>
        <v/>
      </c>
      <c r="AD415" s="43" t="str">
        <f ca="1">IFERROR(__xludf.DUMMYFUNCTION("IFERROR(VLOOKUP(E438&amp;F438,IMPORTRANGE(""https://docs.google.com/spreadsheets/d/1Uw7-A9f9R21vMXxHZFNpYNeKFtG8_yji4HS352LGlSQ/edit?pli=1#gid=0"",""1_ACUM!A4:S""),13,FALSE))"),"")</f>
        <v/>
      </c>
      <c r="AE415" s="43" t="str">
        <f ca="1">IFERROR(__xludf.DUMMYFUNCTION("IFERROR(VLOOKUP(E438&amp;F438,IMPORTRANGE(""https://docs.google.com/spreadsheets/d/1Uw7-A9f9R21vMXxHZFNpYNeKFtG8_yji4HS352LGlSQ/edit?pli=1#gid=0"",""1_ACUM!A4:S""),14,FALSE))"),"")</f>
        <v/>
      </c>
      <c r="AF415" s="43" t="str">
        <f ca="1">IFERROR(__xludf.DUMMYFUNCTION("IFERROR(VLOOKUP(E438&amp;F438,IMPORTRANGE(""https://docs.google.com/spreadsheets/d/1Uw7-A9f9R21vMXxHZFNpYNeKFtG8_yji4HS352LGlSQ/edit?pli=1#gid=0"",""1_ACUM!A4:S""),15,FALSE))"),"")</f>
        <v/>
      </c>
      <c r="AG415" s="43" t="str">
        <f ca="1">IFERROR(__xludf.DUMMYFUNCTION("IFERROR(VLOOKUP(E438&amp;F438,IMPORTRANGE(""https://docs.google.com/spreadsheets/d/1Uw7-A9f9R21vMXxHZFNpYNeKFtG8_yji4HS352LGlSQ/edit?pli=1#gid=0"",""1_ACUM!A4:S""),16,FALSE))"),"")</f>
        <v/>
      </c>
      <c r="AH415" s="43" t="str">
        <f ca="1">IFERROR(__xludf.DUMMYFUNCTION("IFERROR(VLOOKUP(E438&amp;F438,IMPORTRANGE(""https://docs.google.com/spreadsheets/d/1Uw7-A9f9R21vMXxHZFNpYNeKFtG8_yji4HS352LGlSQ/edit?pli=1#gid=0"",""1_ACUM!A4:S""),17,FALSE))"),"")</f>
        <v/>
      </c>
      <c r="AI415" s="44" t="str">
        <f ca="1">IFERROR(__xludf.DUMMYFUNCTION("IFERROR(VLOOKUP(E438&amp;F438,IMPORTRANGE(""https://docs.google.com/spreadsheets/d/1Uw7-A9f9R21vMXxHZFNpYNeKFtG8_yji4HS352LGlSQ/edit?pli=1#gid=0"",""1_ACUM!A4:S""),18,FALSE))"),"")</f>
        <v/>
      </c>
      <c r="AJ415" s="44" t="str">
        <f ca="1">IFERROR(__xludf.DUMMYFUNCTION("IFERROR(VLOOKUP(E438&amp;F438,IMPORTRANGE(""https://docs.google.com/spreadsheets/d/1Uw7-A9f9R21vMXxHZFNpYNeKFtG8_yji4HS352LGlSQ/edit?pli=1#gid=0"",""1_ACUM!A4:S""),19,FALSE))"),"")</f>
        <v/>
      </c>
      <c r="AK415" s="98" t="str">
        <f ca="1">IFERROR(__xludf.DUMMYFUNCTION("IFERROR(VLOOKUP(F438,IMPORTRANGE(""https://docs.google.com/spreadsheets/d/1Kvs4KS76FHFqLFIZfrDMff4kP08nblUkihrxltoGBjg/edit#gid=934712705"",""ESENCIAL!A6:BG""),5,FALSE))"),"")</f>
        <v/>
      </c>
      <c r="AL415" s="98" t="str">
        <f t="shared" si="28"/>
        <v/>
      </c>
      <c r="AM415" s="99" t="str">
        <f t="shared" si="29"/>
        <v/>
      </c>
      <c r="AN415" s="100" t="str">
        <f ca="1">IFERROR(__xludf.DUMMYFUNCTION("IFERROR(VLOOKUP(F438,IMPORTRANGE(""https://docs.google.com/spreadsheets/d/1Kvs4KS76FHFqLFIZfrDMff4kP08nblUkihrxltoGBjg/edit#gid=934712705"",""ESENCIAL!A6:BG""),2,FALSE))"),"")</f>
        <v/>
      </c>
      <c r="AO415" s="19" t="str">
        <f t="shared" si="20"/>
        <v/>
      </c>
      <c r="AP415" s="100"/>
      <c r="AQ415" s="100"/>
    </row>
    <row r="416" spans="1:43" ht="15">
      <c r="A416" s="5"/>
      <c r="B416" s="101"/>
      <c r="G416" s="5" t="str">
        <f ca="1">IFERROR(__xludf.DUMMYFUNCTION("IFERROR(VLOOKUP(F439,IMPORTRANGE(""https://docs.google.com/spreadsheets/d/1Kvs4KS76FHFqLFIZfrDMff4kP08nblUkihrxltoGBjg/edit#gid=934712705"",""ESENCIAL!A6:BG""),3,FALSE))"),"")</f>
        <v/>
      </c>
      <c r="H416" s="5" t="str">
        <f ca="1">IFERROR(__xludf.DUMMYFUNCTION("IFERROR(VLOOKUP(F439,IMPORTRANGE(""https://docs.google.com/spreadsheets/d/1Kvs4KS76FHFqLFIZfrDMff4kP08nblUkihrxltoGBjg/edit#gid=934712705"",""ESENCIAL!A6:BG""),8,FALSE))"),"")</f>
        <v/>
      </c>
      <c r="L416" s="287"/>
      <c r="Z416" s="41" t="str">
        <f t="shared" si="27"/>
        <v/>
      </c>
      <c r="AA416" s="5" t="str">
        <f ca="1">IFERROR(__xludf.DUMMYFUNCTION("IFERROR(VLOOKUP(E439&amp;F439,IMPORTRANGE(""https://docs.google.com/spreadsheets/d/1Uw7-A9f9R21vMXxHZFNpYNeKFtG8_yji4HS352LGlSQ/edit?pli=1#gid=0"",""1_ACUM!A4:S""),11,FALSE))"),"")</f>
        <v/>
      </c>
      <c r="AB416" s="42" t="str">
        <f ca="1">IFERROR(__xludf.DUMMYFUNCTION("IFERROR(VLOOKUP(F439,IMPORTRANGE(""https://docs.google.com/spreadsheets/d/1Kvs4KS76FHFqLFIZfrDMff4kP08nblUkihrxltoGBjg/edit#gid=934712705"",""ESENCIAL!A6:BG""),15,FALSE))"),"")</f>
        <v/>
      </c>
      <c r="AC416" s="110" t="str">
        <f ca="1">IFERROR(__xludf.DUMMYFUNCTION("IFERROR(VLOOKUP(E439&amp;F439,IMPORTRANGE(""https://docs.google.com/spreadsheets/d/1Uw7-A9f9R21vMXxHZFNpYNeKFtG8_yji4HS352LGlSQ/edit?pli=1#gid=0"",""1_ACUM!A4:S""),13,FALSE))"),"")</f>
        <v/>
      </c>
      <c r="AD416" s="43" t="str">
        <f ca="1">IFERROR(__xludf.DUMMYFUNCTION("IFERROR(VLOOKUP(E439&amp;F439,IMPORTRANGE(""https://docs.google.com/spreadsheets/d/1Uw7-A9f9R21vMXxHZFNpYNeKFtG8_yji4HS352LGlSQ/edit?pli=1#gid=0"",""1_ACUM!A4:S""),13,FALSE))"),"")</f>
        <v/>
      </c>
      <c r="AE416" s="43" t="str">
        <f ca="1">IFERROR(__xludf.DUMMYFUNCTION("IFERROR(VLOOKUP(E439&amp;F439,IMPORTRANGE(""https://docs.google.com/spreadsheets/d/1Uw7-A9f9R21vMXxHZFNpYNeKFtG8_yji4HS352LGlSQ/edit?pli=1#gid=0"",""1_ACUM!A4:S""),14,FALSE))"),"")</f>
        <v/>
      </c>
      <c r="AF416" s="43" t="str">
        <f ca="1">IFERROR(__xludf.DUMMYFUNCTION("IFERROR(VLOOKUP(E439&amp;F439,IMPORTRANGE(""https://docs.google.com/spreadsheets/d/1Uw7-A9f9R21vMXxHZFNpYNeKFtG8_yji4HS352LGlSQ/edit?pli=1#gid=0"",""1_ACUM!A4:S""),15,FALSE))"),"")</f>
        <v/>
      </c>
      <c r="AG416" s="43" t="str">
        <f ca="1">IFERROR(__xludf.DUMMYFUNCTION("IFERROR(VLOOKUP(E439&amp;F439,IMPORTRANGE(""https://docs.google.com/spreadsheets/d/1Uw7-A9f9R21vMXxHZFNpYNeKFtG8_yji4HS352LGlSQ/edit?pli=1#gid=0"",""1_ACUM!A4:S""),16,FALSE))"),"")</f>
        <v/>
      </c>
      <c r="AH416" s="43" t="str">
        <f ca="1">IFERROR(__xludf.DUMMYFUNCTION("IFERROR(VLOOKUP(E439&amp;F439,IMPORTRANGE(""https://docs.google.com/spreadsheets/d/1Uw7-A9f9R21vMXxHZFNpYNeKFtG8_yji4HS352LGlSQ/edit?pli=1#gid=0"",""1_ACUM!A4:S""),17,FALSE))"),"")</f>
        <v/>
      </c>
      <c r="AI416" s="44" t="str">
        <f ca="1">IFERROR(__xludf.DUMMYFUNCTION("IFERROR(VLOOKUP(E439&amp;F439,IMPORTRANGE(""https://docs.google.com/spreadsheets/d/1Uw7-A9f9R21vMXxHZFNpYNeKFtG8_yji4HS352LGlSQ/edit?pli=1#gid=0"",""1_ACUM!A4:S""),18,FALSE))"),"")</f>
        <v/>
      </c>
      <c r="AJ416" s="44" t="str">
        <f ca="1">IFERROR(__xludf.DUMMYFUNCTION("IFERROR(VLOOKUP(E439&amp;F439,IMPORTRANGE(""https://docs.google.com/spreadsheets/d/1Uw7-A9f9R21vMXxHZFNpYNeKFtG8_yji4HS352LGlSQ/edit?pli=1#gid=0"",""1_ACUM!A4:S""),19,FALSE))"),"")</f>
        <v/>
      </c>
      <c r="AK416" s="98" t="str">
        <f ca="1">IFERROR(__xludf.DUMMYFUNCTION("IFERROR(VLOOKUP(F439,IMPORTRANGE(""https://docs.google.com/spreadsheets/d/1Kvs4KS76FHFqLFIZfrDMff4kP08nblUkihrxltoGBjg/edit#gid=934712705"",""ESENCIAL!A6:BG""),5,FALSE))"),"")</f>
        <v/>
      </c>
      <c r="AL416" s="98" t="str">
        <f t="shared" si="28"/>
        <v/>
      </c>
      <c r="AM416" s="99" t="str">
        <f t="shared" si="29"/>
        <v/>
      </c>
      <c r="AN416" s="100" t="str">
        <f ca="1">IFERROR(__xludf.DUMMYFUNCTION("IFERROR(VLOOKUP(F439,IMPORTRANGE(""https://docs.google.com/spreadsheets/d/1Kvs4KS76FHFqLFIZfrDMff4kP08nblUkihrxltoGBjg/edit#gid=934712705"",""ESENCIAL!A6:BG""),2,FALSE))"),"")</f>
        <v/>
      </c>
      <c r="AO416" s="19" t="str">
        <f t="shared" si="20"/>
        <v/>
      </c>
      <c r="AP416" s="100"/>
      <c r="AQ416" s="100"/>
    </row>
    <row r="417" spans="1:43" ht="15">
      <c r="A417" s="5"/>
      <c r="B417" s="101"/>
      <c r="G417" s="5" t="str">
        <f ca="1">IFERROR(__xludf.DUMMYFUNCTION("IFERROR(VLOOKUP(F440,IMPORTRANGE(""https://docs.google.com/spreadsheets/d/1Kvs4KS76FHFqLFIZfrDMff4kP08nblUkihrxltoGBjg/edit#gid=934712705"",""ESENCIAL!A6:BG""),3,FALSE))"),"")</f>
        <v/>
      </c>
      <c r="H417" s="5" t="str">
        <f ca="1">IFERROR(__xludf.DUMMYFUNCTION("IFERROR(VLOOKUP(F440,IMPORTRANGE(""https://docs.google.com/spreadsheets/d/1Kvs4KS76FHFqLFIZfrDMff4kP08nblUkihrxltoGBjg/edit#gid=934712705"",""ESENCIAL!A6:BG""),8,FALSE))"),"")</f>
        <v/>
      </c>
      <c r="L417" s="287"/>
      <c r="Z417" s="41" t="str">
        <f t="shared" si="27"/>
        <v/>
      </c>
      <c r="AA417" s="5" t="str">
        <f ca="1">IFERROR(__xludf.DUMMYFUNCTION("IFERROR(VLOOKUP(E440&amp;F440,IMPORTRANGE(""https://docs.google.com/spreadsheets/d/1Uw7-A9f9R21vMXxHZFNpYNeKFtG8_yji4HS352LGlSQ/edit?pli=1#gid=0"",""1_ACUM!A4:S""),11,FALSE))"),"")</f>
        <v/>
      </c>
      <c r="AB417" s="42" t="str">
        <f ca="1">IFERROR(__xludf.DUMMYFUNCTION("IFERROR(VLOOKUP(F440,IMPORTRANGE(""https://docs.google.com/spreadsheets/d/1Kvs4KS76FHFqLFIZfrDMff4kP08nblUkihrxltoGBjg/edit#gid=934712705"",""ESENCIAL!A6:BG""),15,FALSE))"),"")</f>
        <v/>
      </c>
      <c r="AC417" s="110" t="str">
        <f ca="1">IFERROR(__xludf.DUMMYFUNCTION("IFERROR(VLOOKUP(E440&amp;F440,IMPORTRANGE(""https://docs.google.com/spreadsheets/d/1Uw7-A9f9R21vMXxHZFNpYNeKFtG8_yji4HS352LGlSQ/edit?pli=1#gid=0"",""1_ACUM!A4:S""),13,FALSE))"),"")</f>
        <v/>
      </c>
      <c r="AD417" s="43" t="str">
        <f ca="1">IFERROR(__xludf.DUMMYFUNCTION("IFERROR(VLOOKUP(E440&amp;F440,IMPORTRANGE(""https://docs.google.com/spreadsheets/d/1Uw7-A9f9R21vMXxHZFNpYNeKFtG8_yji4HS352LGlSQ/edit?pli=1#gid=0"",""1_ACUM!A4:S""),13,FALSE))"),"")</f>
        <v/>
      </c>
      <c r="AE417" s="43" t="str">
        <f ca="1">IFERROR(__xludf.DUMMYFUNCTION("IFERROR(VLOOKUP(E440&amp;F440,IMPORTRANGE(""https://docs.google.com/spreadsheets/d/1Uw7-A9f9R21vMXxHZFNpYNeKFtG8_yji4HS352LGlSQ/edit?pli=1#gid=0"",""1_ACUM!A4:S""),14,FALSE))"),"")</f>
        <v/>
      </c>
      <c r="AF417" s="43" t="str">
        <f ca="1">IFERROR(__xludf.DUMMYFUNCTION("IFERROR(VLOOKUP(E440&amp;F440,IMPORTRANGE(""https://docs.google.com/spreadsheets/d/1Uw7-A9f9R21vMXxHZFNpYNeKFtG8_yji4HS352LGlSQ/edit?pli=1#gid=0"",""1_ACUM!A4:S""),15,FALSE))"),"")</f>
        <v/>
      </c>
      <c r="AG417" s="43" t="str">
        <f ca="1">IFERROR(__xludf.DUMMYFUNCTION("IFERROR(VLOOKUP(E440&amp;F440,IMPORTRANGE(""https://docs.google.com/spreadsheets/d/1Uw7-A9f9R21vMXxHZFNpYNeKFtG8_yji4HS352LGlSQ/edit?pli=1#gid=0"",""1_ACUM!A4:S""),16,FALSE))"),"")</f>
        <v/>
      </c>
      <c r="AH417" s="43" t="str">
        <f ca="1">IFERROR(__xludf.DUMMYFUNCTION("IFERROR(VLOOKUP(E440&amp;F440,IMPORTRANGE(""https://docs.google.com/spreadsheets/d/1Uw7-A9f9R21vMXxHZFNpYNeKFtG8_yji4HS352LGlSQ/edit?pli=1#gid=0"",""1_ACUM!A4:S""),17,FALSE))"),"")</f>
        <v/>
      </c>
      <c r="AI417" s="44" t="str">
        <f ca="1">IFERROR(__xludf.DUMMYFUNCTION("IFERROR(VLOOKUP(E440&amp;F440,IMPORTRANGE(""https://docs.google.com/spreadsheets/d/1Uw7-A9f9R21vMXxHZFNpYNeKFtG8_yji4HS352LGlSQ/edit?pli=1#gid=0"",""1_ACUM!A4:S""),18,FALSE))"),"")</f>
        <v/>
      </c>
      <c r="AJ417" s="44" t="str">
        <f ca="1">IFERROR(__xludf.DUMMYFUNCTION("IFERROR(VLOOKUP(E440&amp;F440,IMPORTRANGE(""https://docs.google.com/spreadsheets/d/1Uw7-A9f9R21vMXxHZFNpYNeKFtG8_yji4HS352LGlSQ/edit?pli=1#gid=0"",""1_ACUM!A4:S""),19,FALSE))"),"")</f>
        <v/>
      </c>
      <c r="AK417" s="98" t="str">
        <f ca="1">IFERROR(__xludf.DUMMYFUNCTION("IFERROR(VLOOKUP(F440,IMPORTRANGE(""https://docs.google.com/spreadsheets/d/1Kvs4KS76FHFqLFIZfrDMff4kP08nblUkihrxltoGBjg/edit#gid=934712705"",""ESENCIAL!A6:BG""),5,FALSE))"),"")</f>
        <v/>
      </c>
      <c r="AL417" s="98" t="str">
        <f t="shared" si="28"/>
        <v/>
      </c>
      <c r="AM417" s="99" t="str">
        <f t="shared" si="29"/>
        <v/>
      </c>
      <c r="AN417" s="100" t="str">
        <f ca="1">IFERROR(__xludf.DUMMYFUNCTION("IFERROR(VLOOKUP(F440,IMPORTRANGE(""https://docs.google.com/spreadsheets/d/1Kvs4KS76FHFqLFIZfrDMff4kP08nblUkihrxltoGBjg/edit#gid=934712705"",""ESENCIAL!A6:BG""),2,FALSE))"),"")</f>
        <v/>
      </c>
      <c r="AO417" s="19" t="str">
        <f t="shared" si="20"/>
        <v/>
      </c>
      <c r="AP417" s="100"/>
      <c r="AQ417" s="100"/>
    </row>
    <row r="418" spans="1:43" ht="15">
      <c r="A418" s="5"/>
      <c r="B418" s="101"/>
      <c r="G418" s="5" t="str">
        <f ca="1">IFERROR(__xludf.DUMMYFUNCTION("IFERROR(VLOOKUP(F441,IMPORTRANGE(""https://docs.google.com/spreadsheets/d/1Kvs4KS76FHFqLFIZfrDMff4kP08nblUkihrxltoGBjg/edit#gid=934712705"",""ESENCIAL!A6:BG""),3,FALSE))"),"")</f>
        <v/>
      </c>
      <c r="H418" s="5" t="str">
        <f ca="1">IFERROR(__xludf.DUMMYFUNCTION("IFERROR(VLOOKUP(F441,IMPORTRANGE(""https://docs.google.com/spreadsheets/d/1Kvs4KS76FHFqLFIZfrDMff4kP08nblUkihrxltoGBjg/edit#gid=934712705"",""ESENCIAL!A6:BG""),8,FALSE))"),"")</f>
        <v/>
      </c>
      <c r="L418" s="287"/>
      <c r="Z418" s="41" t="str">
        <f t="shared" si="27"/>
        <v/>
      </c>
      <c r="AA418" s="5" t="str">
        <f ca="1">IFERROR(__xludf.DUMMYFUNCTION("IFERROR(VLOOKUP(E441&amp;F441,IMPORTRANGE(""https://docs.google.com/spreadsheets/d/1Uw7-A9f9R21vMXxHZFNpYNeKFtG8_yji4HS352LGlSQ/edit?pli=1#gid=0"",""1_ACUM!A4:S""),11,FALSE))"),"")</f>
        <v/>
      </c>
      <c r="AB418" s="42" t="str">
        <f ca="1">IFERROR(__xludf.DUMMYFUNCTION("IFERROR(VLOOKUP(F441,IMPORTRANGE(""https://docs.google.com/spreadsheets/d/1Kvs4KS76FHFqLFIZfrDMff4kP08nblUkihrxltoGBjg/edit#gid=934712705"",""ESENCIAL!A6:BG""),15,FALSE))"),"")</f>
        <v/>
      </c>
      <c r="AC418" s="110" t="str">
        <f ca="1">IFERROR(__xludf.DUMMYFUNCTION("IFERROR(VLOOKUP(E441&amp;F441,IMPORTRANGE(""https://docs.google.com/spreadsheets/d/1Uw7-A9f9R21vMXxHZFNpYNeKFtG8_yji4HS352LGlSQ/edit?pli=1#gid=0"",""1_ACUM!A4:S""),13,FALSE))"),"")</f>
        <v/>
      </c>
      <c r="AD418" s="43" t="str">
        <f ca="1">IFERROR(__xludf.DUMMYFUNCTION("IFERROR(VLOOKUP(E441&amp;F441,IMPORTRANGE(""https://docs.google.com/spreadsheets/d/1Uw7-A9f9R21vMXxHZFNpYNeKFtG8_yji4HS352LGlSQ/edit?pli=1#gid=0"",""1_ACUM!A4:S""),13,FALSE))"),"")</f>
        <v/>
      </c>
      <c r="AE418" s="43" t="str">
        <f ca="1">IFERROR(__xludf.DUMMYFUNCTION("IFERROR(VLOOKUP(E441&amp;F441,IMPORTRANGE(""https://docs.google.com/spreadsheets/d/1Uw7-A9f9R21vMXxHZFNpYNeKFtG8_yji4HS352LGlSQ/edit?pli=1#gid=0"",""1_ACUM!A4:S""),14,FALSE))"),"")</f>
        <v/>
      </c>
      <c r="AF418" s="43" t="str">
        <f ca="1">IFERROR(__xludf.DUMMYFUNCTION("IFERROR(VLOOKUP(E441&amp;F441,IMPORTRANGE(""https://docs.google.com/spreadsheets/d/1Uw7-A9f9R21vMXxHZFNpYNeKFtG8_yji4HS352LGlSQ/edit?pli=1#gid=0"",""1_ACUM!A4:S""),15,FALSE))"),"")</f>
        <v/>
      </c>
      <c r="AG418" s="43" t="str">
        <f ca="1">IFERROR(__xludf.DUMMYFUNCTION("IFERROR(VLOOKUP(E441&amp;F441,IMPORTRANGE(""https://docs.google.com/spreadsheets/d/1Uw7-A9f9R21vMXxHZFNpYNeKFtG8_yji4HS352LGlSQ/edit?pli=1#gid=0"",""1_ACUM!A4:S""),16,FALSE))"),"")</f>
        <v/>
      </c>
      <c r="AH418" s="43" t="str">
        <f ca="1">IFERROR(__xludf.DUMMYFUNCTION("IFERROR(VLOOKUP(E441&amp;F441,IMPORTRANGE(""https://docs.google.com/spreadsheets/d/1Uw7-A9f9R21vMXxHZFNpYNeKFtG8_yji4HS352LGlSQ/edit?pli=1#gid=0"",""1_ACUM!A4:S""),17,FALSE))"),"")</f>
        <v/>
      </c>
      <c r="AI418" s="44" t="str">
        <f ca="1">IFERROR(__xludf.DUMMYFUNCTION("IFERROR(VLOOKUP(E441&amp;F441,IMPORTRANGE(""https://docs.google.com/spreadsheets/d/1Uw7-A9f9R21vMXxHZFNpYNeKFtG8_yji4HS352LGlSQ/edit?pli=1#gid=0"",""1_ACUM!A4:S""),18,FALSE))"),"")</f>
        <v/>
      </c>
      <c r="AJ418" s="44" t="str">
        <f ca="1">IFERROR(__xludf.DUMMYFUNCTION("IFERROR(VLOOKUP(E441&amp;F441,IMPORTRANGE(""https://docs.google.com/spreadsheets/d/1Uw7-A9f9R21vMXxHZFNpYNeKFtG8_yji4HS352LGlSQ/edit?pli=1#gid=0"",""1_ACUM!A4:S""),19,FALSE))"),"")</f>
        <v/>
      </c>
      <c r="AK418" s="98" t="str">
        <f ca="1">IFERROR(__xludf.DUMMYFUNCTION("IFERROR(VLOOKUP(F441,IMPORTRANGE(""https://docs.google.com/spreadsheets/d/1Kvs4KS76FHFqLFIZfrDMff4kP08nblUkihrxltoGBjg/edit#gid=934712705"",""ESENCIAL!A6:BG""),5,FALSE))"),"")</f>
        <v/>
      </c>
      <c r="AL418" s="98" t="str">
        <f t="shared" si="28"/>
        <v/>
      </c>
      <c r="AM418" s="99" t="str">
        <f t="shared" si="29"/>
        <v/>
      </c>
      <c r="AN418" s="100" t="str">
        <f ca="1">IFERROR(__xludf.DUMMYFUNCTION("IFERROR(VLOOKUP(F441,IMPORTRANGE(""https://docs.google.com/spreadsheets/d/1Kvs4KS76FHFqLFIZfrDMff4kP08nblUkihrxltoGBjg/edit#gid=934712705"",""ESENCIAL!A6:BG""),2,FALSE))"),"")</f>
        <v/>
      </c>
      <c r="AO418" s="19" t="str">
        <f t="shared" si="20"/>
        <v/>
      </c>
      <c r="AP418" s="100"/>
      <c r="AQ418" s="100"/>
    </row>
    <row r="419" spans="1:43" ht="15">
      <c r="A419" s="5"/>
      <c r="B419" s="101"/>
      <c r="G419" s="5" t="str">
        <f ca="1">IFERROR(__xludf.DUMMYFUNCTION("IFERROR(VLOOKUP(F442,IMPORTRANGE(""https://docs.google.com/spreadsheets/d/1Kvs4KS76FHFqLFIZfrDMff4kP08nblUkihrxltoGBjg/edit#gid=934712705"",""ESENCIAL!A6:BG""),3,FALSE))"),"")</f>
        <v/>
      </c>
      <c r="H419" s="5" t="str">
        <f ca="1">IFERROR(__xludf.DUMMYFUNCTION("IFERROR(VLOOKUP(F442,IMPORTRANGE(""https://docs.google.com/spreadsheets/d/1Kvs4KS76FHFqLFIZfrDMff4kP08nblUkihrxltoGBjg/edit#gid=934712705"",""ESENCIAL!A6:BG""),8,FALSE))"),"")</f>
        <v/>
      </c>
      <c r="L419" s="287"/>
      <c r="Z419" s="41" t="str">
        <f t="shared" si="27"/>
        <v/>
      </c>
      <c r="AA419" s="5" t="str">
        <f ca="1">IFERROR(__xludf.DUMMYFUNCTION("IFERROR(VLOOKUP(E442&amp;F442,IMPORTRANGE(""https://docs.google.com/spreadsheets/d/1Uw7-A9f9R21vMXxHZFNpYNeKFtG8_yji4HS352LGlSQ/edit?pli=1#gid=0"",""1_ACUM!A4:S""),11,FALSE))"),"")</f>
        <v/>
      </c>
      <c r="AB419" s="42" t="str">
        <f ca="1">IFERROR(__xludf.DUMMYFUNCTION("IFERROR(VLOOKUP(F442,IMPORTRANGE(""https://docs.google.com/spreadsheets/d/1Kvs4KS76FHFqLFIZfrDMff4kP08nblUkihrxltoGBjg/edit#gid=934712705"",""ESENCIAL!A6:BG""),15,FALSE))"),"")</f>
        <v/>
      </c>
      <c r="AC419" s="110" t="str">
        <f ca="1">IFERROR(__xludf.DUMMYFUNCTION("IFERROR(VLOOKUP(E442&amp;F442,IMPORTRANGE(""https://docs.google.com/spreadsheets/d/1Uw7-A9f9R21vMXxHZFNpYNeKFtG8_yji4HS352LGlSQ/edit?pli=1#gid=0"",""1_ACUM!A4:S""),13,FALSE))"),"")</f>
        <v/>
      </c>
      <c r="AD419" s="43" t="str">
        <f ca="1">IFERROR(__xludf.DUMMYFUNCTION("IFERROR(VLOOKUP(E442&amp;F442,IMPORTRANGE(""https://docs.google.com/spreadsheets/d/1Uw7-A9f9R21vMXxHZFNpYNeKFtG8_yji4HS352LGlSQ/edit?pli=1#gid=0"",""1_ACUM!A4:S""),13,FALSE))"),"")</f>
        <v/>
      </c>
      <c r="AE419" s="43" t="str">
        <f ca="1">IFERROR(__xludf.DUMMYFUNCTION("IFERROR(VLOOKUP(E442&amp;F442,IMPORTRANGE(""https://docs.google.com/spreadsheets/d/1Uw7-A9f9R21vMXxHZFNpYNeKFtG8_yji4HS352LGlSQ/edit?pli=1#gid=0"",""1_ACUM!A4:S""),14,FALSE))"),"")</f>
        <v/>
      </c>
      <c r="AF419" s="43" t="str">
        <f ca="1">IFERROR(__xludf.DUMMYFUNCTION("IFERROR(VLOOKUP(E442&amp;F442,IMPORTRANGE(""https://docs.google.com/spreadsheets/d/1Uw7-A9f9R21vMXxHZFNpYNeKFtG8_yji4HS352LGlSQ/edit?pli=1#gid=0"",""1_ACUM!A4:S""),15,FALSE))"),"")</f>
        <v/>
      </c>
      <c r="AG419" s="43" t="str">
        <f ca="1">IFERROR(__xludf.DUMMYFUNCTION("IFERROR(VLOOKUP(E442&amp;F442,IMPORTRANGE(""https://docs.google.com/spreadsheets/d/1Uw7-A9f9R21vMXxHZFNpYNeKFtG8_yji4HS352LGlSQ/edit?pli=1#gid=0"",""1_ACUM!A4:S""),16,FALSE))"),"")</f>
        <v/>
      </c>
      <c r="AH419" s="43" t="str">
        <f ca="1">IFERROR(__xludf.DUMMYFUNCTION("IFERROR(VLOOKUP(E442&amp;F442,IMPORTRANGE(""https://docs.google.com/spreadsheets/d/1Uw7-A9f9R21vMXxHZFNpYNeKFtG8_yji4HS352LGlSQ/edit?pli=1#gid=0"",""1_ACUM!A4:S""),17,FALSE))"),"")</f>
        <v/>
      </c>
      <c r="AI419" s="44" t="str">
        <f ca="1">IFERROR(__xludf.DUMMYFUNCTION("IFERROR(VLOOKUP(E442&amp;F442,IMPORTRANGE(""https://docs.google.com/spreadsheets/d/1Uw7-A9f9R21vMXxHZFNpYNeKFtG8_yji4HS352LGlSQ/edit?pli=1#gid=0"",""1_ACUM!A4:S""),18,FALSE))"),"")</f>
        <v/>
      </c>
      <c r="AJ419" s="44" t="str">
        <f ca="1">IFERROR(__xludf.DUMMYFUNCTION("IFERROR(VLOOKUP(E442&amp;F442,IMPORTRANGE(""https://docs.google.com/spreadsheets/d/1Uw7-A9f9R21vMXxHZFNpYNeKFtG8_yji4HS352LGlSQ/edit?pli=1#gid=0"",""1_ACUM!A4:S""),19,FALSE))"),"")</f>
        <v/>
      </c>
      <c r="AK419" s="98" t="str">
        <f ca="1">IFERROR(__xludf.DUMMYFUNCTION("IFERROR(VLOOKUP(F442,IMPORTRANGE(""https://docs.google.com/spreadsheets/d/1Kvs4KS76FHFqLFIZfrDMff4kP08nblUkihrxltoGBjg/edit#gid=934712705"",""ESENCIAL!A6:BG""),5,FALSE))"),"")</f>
        <v/>
      </c>
      <c r="AL419" s="98" t="str">
        <f t="shared" si="28"/>
        <v/>
      </c>
      <c r="AM419" s="99" t="str">
        <f t="shared" si="29"/>
        <v/>
      </c>
      <c r="AN419" s="100" t="str">
        <f ca="1">IFERROR(__xludf.DUMMYFUNCTION("IFERROR(VLOOKUP(F442,IMPORTRANGE(""https://docs.google.com/spreadsheets/d/1Kvs4KS76FHFqLFIZfrDMff4kP08nblUkihrxltoGBjg/edit#gid=934712705"",""ESENCIAL!A6:BG""),2,FALSE))"),"")</f>
        <v/>
      </c>
      <c r="AO419" s="19" t="str">
        <f t="shared" si="20"/>
        <v/>
      </c>
      <c r="AP419" s="100"/>
      <c r="AQ419" s="100"/>
    </row>
    <row r="420" spans="1:43" ht="15">
      <c r="A420" s="5"/>
      <c r="B420" s="101"/>
      <c r="G420" s="5" t="str">
        <f ca="1">IFERROR(__xludf.DUMMYFUNCTION("IFERROR(VLOOKUP(F443,IMPORTRANGE(""https://docs.google.com/spreadsheets/d/1Kvs4KS76FHFqLFIZfrDMff4kP08nblUkihrxltoGBjg/edit#gid=934712705"",""ESENCIAL!A6:BG""),3,FALSE))"),"")</f>
        <v/>
      </c>
      <c r="H420" s="5" t="str">
        <f ca="1">IFERROR(__xludf.DUMMYFUNCTION("IFERROR(VLOOKUP(F443,IMPORTRANGE(""https://docs.google.com/spreadsheets/d/1Kvs4KS76FHFqLFIZfrDMff4kP08nblUkihrxltoGBjg/edit#gid=934712705"",""ESENCIAL!A6:BG""),8,FALSE))"),"")</f>
        <v/>
      </c>
      <c r="L420" s="287"/>
      <c r="Z420" s="41" t="str">
        <f t="shared" si="27"/>
        <v/>
      </c>
      <c r="AA420" s="5" t="str">
        <f ca="1">IFERROR(__xludf.DUMMYFUNCTION("IFERROR(VLOOKUP(E443&amp;F443,IMPORTRANGE(""https://docs.google.com/spreadsheets/d/1Uw7-A9f9R21vMXxHZFNpYNeKFtG8_yji4HS352LGlSQ/edit?pli=1#gid=0"",""1_ACUM!A4:S""),11,FALSE))"),"")</f>
        <v/>
      </c>
      <c r="AB420" s="42" t="str">
        <f ca="1">IFERROR(__xludf.DUMMYFUNCTION("IFERROR(VLOOKUP(F443,IMPORTRANGE(""https://docs.google.com/spreadsheets/d/1Kvs4KS76FHFqLFIZfrDMff4kP08nblUkihrxltoGBjg/edit#gid=934712705"",""ESENCIAL!A6:BG""),15,FALSE))"),"")</f>
        <v/>
      </c>
      <c r="AC420" s="110" t="str">
        <f ca="1">IFERROR(__xludf.DUMMYFUNCTION("IFERROR(VLOOKUP(E443&amp;F443,IMPORTRANGE(""https://docs.google.com/spreadsheets/d/1Uw7-A9f9R21vMXxHZFNpYNeKFtG8_yji4HS352LGlSQ/edit?pli=1#gid=0"",""1_ACUM!A4:S""),13,FALSE))"),"")</f>
        <v/>
      </c>
      <c r="AD420" s="43" t="str">
        <f ca="1">IFERROR(__xludf.DUMMYFUNCTION("IFERROR(VLOOKUP(E443&amp;F443,IMPORTRANGE(""https://docs.google.com/spreadsheets/d/1Uw7-A9f9R21vMXxHZFNpYNeKFtG8_yji4HS352LGlSQ/edit?pli=1#gid=0"",""1_ACUM!A4:S""),13,FALSE))"),"")</f>
        <v/>
      </c>
      <c r="AE420" s="43" t="str">
        <f ca="1">IFERROR(__xludf.DUMMYFUNCTION("IFERROR(VLOOKUP(E443&amp;F443,IMPORTRANGE(""https://docs.google.com/spreadsheets/d/1Uw7-A9f9R21vMXxHZFNpYNeKFtG8_yji4HS352LGlSQ/edit?pli=1#gid=0"",""1_ACUM!A4:S""),14,FALSE))"),"")</f>
        <v/>
      </c>
      <c r="AF420" s="43" t="str">
        <f ca="1">IFERROR(__xludf.DUMMYFUNCTION("IFERROR(VLOOKUP(E443&amp;F443,IMPORTRANGE(""https://docs.google.com/spreadsheets/d/1Uw7-A9f9R21vMXxHZFNpYNeKFtG8_yji4HS352LGlSQ/edit?pli=1#gid=0"",""1_ACUM!A4:S""),15,FALSE))"),"")</f>
        <v/>
      </c>
      <c r="AG420" s="43" t="str">
        <f ca="1">IFERROR(__xludf.DUMMYFUNCTION("IFERROR(VLOOKUP(E443&amp;F443,IMPORTRANGE(""https://docs.google.com/spreadsheets/d/1Uw7-A9f9R21vMXxHZFNpYNeKFtG8_yji4HS352LGlSQ/edit?pli=1#gid=0"",""1_ACUM!A4:S""),16,FALSE))"),"")</f>
        <v/>
      </c>
      <c r="AH420" s="43" t="str">
        <f ca="1">IFERROR(__xludf.DUMMYFUNCTION("IFERROR(VLOOKUP(E443&amp;F443,IMPORTRANGE(""https://docs.google.com/spreadsheets/d/1Uw7-A9f9R21vMXxHZFNpYNeKFtG8_yji4HS352LGlSQ/edit?pli=1#gid=0"",""1_ACUM!A4:S""),17,FALSE))"),"")</f>
        <v/>
      </c>
      <c r="AI420" s="44" t="str">
        <f ca="1">IFERROR(__xludf.DUMMYFUNCTION("IFERROR(VLOOKUP(E443&amp;F443,IMPORTRANGE(""https://docs.google.com/spreadsheets/d/1Uw7-A9f9R21vMXxHZFNpYNeKFtG8_yji4HS352LGlSQ/edit?pli=1#gid=0"",""1_ACUM!A4:S""),18,FALSE))"),"")</f>
        <v/>
      </c>
      <c r="AJ420" s="44" t="str">
        <f ca="1">IFERROR(__xludf.DUMMYFUNCTION("IFERROR(VLOOKUP(E443&amp;F443,IMPORTRANGE(""https://docs.google.com/spreadsheets/d/1Uw7-A9f9R21vMXxHZFNpYNeKFtG8_yji4HS352LGlSQ/edit?pli=1#gid=0"",""1_ACUM!A4:S""),19,FALSE))"),"")</f>
        <v/>
      </c>
      <c r="AK420" s="98" t="str">
        <f ca="1">IFERROR(__xludf.DUMMYFUNCTION("IFERROR(VLOOKUP(F443,IMPORTRANGE(""https://docs.google.com/spreadsheets/d/1Kvs4KS76FHFqLFIZfrDMff4kP08nblUkihrxltoGBjg/edit#gid=934712705"",""ESENCIAL!A6:BG""),5,FALSE))"),"")</f>
        <v/>
      </c>
      <c r="AL420" s="98" t="str">
        <f t="shared" si="28"/>
        <v/>
      </c>
      <c r="AM420" s="99" t="str">
        <f t="shared" si="29"/>
        <v/>
      </c>
      <c r="AN420" s="100" t="str">
        <f ca="1">IFERROR(__xludf.DUMMYFUNCTION("IFERROR(VLOOKUP(F443,IMPORTRANGE(""https://docs.google.com/spreadsheets/d/1Kvs4KS76FHFqLFIZfrDMff4kP08nblUkihrxltoGBjg/edit#gid=934712705"",""ESENCIAL!A6:BG""),2,FALSE))"),"")</f>
        <v/>
      </c>
      <c r="AO420" s="19" t="str">
        <f t="shared" si="20"/>
        <v/>
      </c>
      <c r="AP420" s="100"/>
      <c r="AQ420" s="100"/>
    </row>
    <row r="421" spans="1:43" ht="15">
      <c r="A421" s="5"/>
      <c r="B421" s="101"/>
      <c r="G421" s="5" t="str">
        <f ca="1">IFERROR(__xludf.DUMMYFUNCTION("IFERROR(VLOOKUP(F444,IMPORTRANGE(""https://docs.google.com/spreadsheets/d/1Kvs4KS76FHFqLFIZfrDMff4kP08nblUkihrxltoGBjg/edit#gid=934712705"",""ESENCIAL!A6:BG""),3,FALSE))"),"")</f>
        <v/>
      </c>
      <c r="H421" s="5" t="str">
        <f ca="1">IFERROR(__xludf.DUMMYFUNCTION("IFERROR(VLOOKUP(F444,IMPORTRANGE(""https://docs.google.com/spreadsheets/d/1Kvs4KS76FHFqLFIZfrDMff4kP08nblUkihrxltoGBjg/edit#gid=934712705"",""ESENCIAL!A6:BG""),8,FALSE))"),"")</f>
        <v/>
      </c>
      <c r="L421" s="287"/>
      <c r="Z421" s="41" t="str">
        <f t="shared" si="27"/>
        <v/>
      </c>
      <c r="AA421" s="5" t="str">
        <f ca="1">IFERROR(__xludf.DUMMYFUNCTION("IFERROR(VLOOKUP(E444&amp;F444,IMPORTRANGE(""https://docs.google.com/spreadsheets/d/1Uw7-A9f9R21vMXxHZFNpYNeKFtG8_yji4HS352LGlSQ/edit?pli=1#gid=0"",""1_ACUM!A4:S""),11,FALSE))"),"")</f>
        <v/>
      </c>
      <c r="AB421" s="42" t="str">
        <f ca="1">IFERROR(__xludf.DUMMYFUNCTION("IFERROR(VLOOKUP(F444,IMPORTRANGE(""https://docs.google.com/spreadsheets/d/1Kvs4KS76FHFqLFIZfrDMff4kP08nblUkihrxltoGBjg/edit#gid=934712705"",""ESENCIAL!A6:BG""),15,FALSE))"),"")</f>
        <v/>
      </c>
      <c r="AC421" s="110" t="str">
        <f ca="1">IFERROR(__xludf.DUMMYFUNCTION("IFERROR(VLOOKUP(E444&amp;F444,IMPORTRANGE(""https://docs.google.com/spreadsheets/d/1Uw7-A9f9R21vMXxHZFNpYNeKFtG8_yji4HS352LGlSQ/edit?pli=1#gid=0"",""1_ACUM!A4:S""),13,FALSE))"),"")</f>
        <v/>
      </c>
      <c r="AD421" s="43" t="str">
        <f ca="1">IFERROR(__xludf.DUMMYFUNCTION("IFERROR(VLOOKUP(E444&amp;F444,IMPORTRANGE(""https://docs.google.com/spreadsheets/d/1Uw7-A9f9R21vMXxHZFNpYNeKFtG8_yji4HS352LGlSQ/edit?pli=1#gid=0"",""1_ACUM!A4:S""),13,FALSE))"),"")</f>
        <v/>
      </c>
      <c r="AE421" s="43" t="str">
        <f ca="1">IFERROR(__xludf.DUMMYFUNCTION("IFERROR(VLOOKUP(E444&amp;F444,IMPORTRANGE(""https://docs.google.com/spreadsheets/d/1Uw7-A9f9R21vMXxHZFNpYNeKFtG8_yji4HS352LGlSQ/edit?pli=1#gid=0"",""1_ACUM!A4:S""),14,FALSE))"),"")</f>
        <v/>
      </c>
      <c r="AF421" s="43" t="str">
        <f ca="1">IFERROR(__xludf.DUMMYFUNCTION("IFERROR(VLOOKUP(E444&amp;F444,IMPORTRANGE(""https://docs.google.com/spreadsheets/d/1Uw7-A9f9R21vMXxHZFNpYNeKFtG8_yji4HS352LGlSQ/edit?pli=1#gid=0"",""1_ACUM!A4:S""),15,FALSE))"),"")</f>
        <v/>
      </c>
      <c r="AG421" s="43" t="str">
        <f ca="1">IFERROR(__xludf.DUMMYFUNCTION("IFERROR(VLOOKUP(E444&amp;F444,IMPORTRANGE(""https://docs.google.com/spreadsheets/d/1Uw7-A9f9R21vMXxHZFNpYNeKFtG8_yji4HS352LGlSQ/edit?pli=1#gid=0"",""1_ACUM!A4:S""),16,FALSE))"),"")</f>
        <v/>
      </c>
      <c r="AH421" s="43" t="str">
        <f ca="1">IFERROR(__xludf.DUMMYFUNCTION("IFERROR(VLOOKUP(E444&amp;F444,IMPORTRANGE(""https://docs.google.com/spreadsheets/d/1Uw7-A9f9R21vMXxHZFNpYNeKFtG8_yji4HS352LGlSQ/edit?pli=1#gid=0"",""1_ACUM!A4:S""),17,FALSE))"),"")</f>
        <v/>
      </c>
      <c r="AI421" s="44" t="str">
        <f ca="1">IFERROR(__xludf.DUMMYFUNCTION("IFERROR(VLOOKUP(E444&amp;F444,IMPORTRANGE(""https://docs.google.com/spreadsheets/d/1Uw7-A9f9R21vMXxHZFNpYNeKFtG8_yji4HS352LGlSQ/edit?pli=1#gid=0"",""1_ACUM!A4:S""),18,FALSE))"),"")</f>
        <v/>
      </c>
      <c r="AJ421" s="44" t="str">
        <f ca="1">IFERROR(__xludf.DUMMYFUNCTION("IFERROR(VLOOKUP(E444&amp;F444,IMPORTRANGE(""https://docs.google.com/spreadsheets/d/1Uw7-A9f9R21vMXxHZFNpYNeKFtG8_yji4HS352LGlSQ/edit?pli=1#gid=0"",""1_ACUM!A4:S""),19,FALSE))"),"")</f>
        <v/>
      </c>
      <c r="AK421" s="98" t="str">
        <f ca="1">IFERROR(__xludf.DUMMYFUNCTION("IFERROR(VLOOKUP(F444,IMPORTRANGE(""https://docs.google.com/spreadsheets/d/1Kvs4KS76FHFqLFIZfrDMff4kP08nblUkihrxltoGBjg/edit#gid=934712705"",""ESENCIAL!A6:BG""),5,FALSE))"),"")</f>
        <v/>
      </c>
      <c r="AL421" s="98" t="str">
        <f t="shared" si="28"/>
        <v/>
      </c>
      <c r="AM421" s="99" t="str">
        <f t="shared" si="29"/>
        <v/>
      </c>
      <c r="AN421" s="100" t="str">
        <f ca="1">IFERROR(__xludf.DUMMYFUNCTION("IFERROR(VLOOKUP(F444,IMPORTRANGE(""https://docs.google.com/spreadsheets/d/1Kvs4KS76FHFqLFIZfrDMff4kP08nblUkihrxltoGBjg/edit#gid=934712705"",""ESENCIAL!A6:BG""),2,FALSE))"),"")</f>
        <v/>
      </c>
      <c r="AO421" s="19" t="str">
        <f t="shared" si="20"/>
        <v/>
      </c>
      <c r="AP421" s="100"/>
      <c r="AQ421" s="100"/>
    </row>
    <row r="422" spans="1:43" ht="15">
      <c r="A422" s="5"/>
      <c r="B422" s="101"/>
      <c r="G422" s="5" t="str">
        <f ca="1">IFERROR(__xludf.DUMMYFUNCTION("IFERROR(VLOOKUP(F445,IMPORTRANGE(""https://docs.google.com/spreadsheets/d/1Kvs4KS76FHFqLFIZfrDMff4kP08nblUkihrxltoGBjg/edit#gid=934712705"",""ESENCIAL!A6:BG""),3,FALSE))"),"")</f>
        <v/>
      </c>
      <c r="H422" s="5" t="str">
        <f ca="1">IFERROR(__xludf.DUMMYFUNCTION("IFERROR(VLOOKUP(F445,IMPORTRANGE(""https://docs.google.com/spreadsheets/d/1Kvs4KS76FHFqLFIZfrDMff4kP08nblUkihrxltoGBjg/edit#gid=934712705"",""ESENCIAL!A6:BG""),8,FALSE))"),"")</f>
        <v/>
      </c>
      <c r="L422" s="287"/>
      <c r="Z422" s="41" t="str">
        <f t="shared" si="27"/>
        <v/>
      </c>
      <c r="AA422" s="5" t="str">
        <f ca="1">IFERROR(__xludf.DUMMYFUNCTION("IFERROR(VLOOKUP(E445&amp;F445,IMPORTRANGE(""https://docs.google.com/spreadsheets/d/1Uw7-A9f9R21vMXxHZFNpYNeKFtG8_yji4HS352LGlSQ/edit?pli=1#gid=0"",""1_ACUM!A4:S""),11,FALSE))"),"")</f>
        <v/>
      </c>
      <c r="AB422" s="42" t="str">
        <f ca="1">IFERROR(__xludf.DUMMYFUNCTION("IFERROR(VLOOKUP(F445,IMPORTRANGE(""https://docs.google.com/spreadsheets/d/1Kvs4KS76FHFqLFIZfrDMff4kP08nblUkihrxltoGBjg/edit#gid=934712705"",""ESENCIAL!A6:BG""),15,FALSE))"),"")</f>
        <v/>
      </c>
      <c r="AC422" s="110" t="str">
        <f ca="1">IFERROR(__xludf.DUMMYFUNCTION("IFERROR(VLOOKUP(E445&amp;F445,IMPORTRANGE(""https://docs.google.com/spreadsheets/d/1Uw7-A9f9R21vMXxHZFNpYNeKFtG8_yji4HS352LGlSQ/edit?pli=1#gid=0"",""1_ACUM!A4:S""),13,FALSE))"),"")</f>
        <v/>
      </c>
      <c r="AD422" s="43" t="str">
        <f ca="1">IFERROR(__xludf.DUMMYFUNCTION("IFERROR(VLOOKUP(E445&amp;F445,IMPORTRANGE(""https://docs.google.com/spreadsheets/d/1Uw7-A9f9R21vMXxHZFNpYNeKFtG8_yji4HS352LGlSQ/edit?pli=1#gid=0"",""1_ACUM!A4:S""),13,FALSE))"),"")</f>
        <v/>
      </c>
      <c r="AE422" s="43" t="str">
        <f ca="1">IFERROR(__xludf.DUMMYFUNCTION("IFERROR(VLOOKUP(E445&amp;F445,IMPORTRANGE(""https://docs.google.com/spreadsheets/d/1Uw7-A9f9R21vMXxHZFNpYNeKFtG8_yji4HS352LGlSQ/edit?pli=1#gid=0"",""1_ACUM!A4:S""),14,FALSE))"),"")</f>
        <v/>
      </c>
      <c r="AF422" s="43" t="str">
        <f ca="1">IFERROR(__xludf.DUMMYFUNCTION("IFERROR(VLOOKUP(E445&amp;F445,IMPORTRANGE(""https://docs.google.com/spreadsheets/d/1Uw7-A9f9R21vMXxHZFNpYNeKFtG8_yji4HS352LGlSQ/edit?pli=1#gid=0"",""1_ACUM!A4:S""),15,FALSE))"),"")</f>
        <v/>
      </c>
      <c r="AG422" s="43" t="str">
        <f ca="1">IFERROR(__xludf.DUMMYFUNCTION("IFERROR(VLOOKUP(E445&amp;F445,IMPORTRANGE(""https://docs.google.com/spreadsheets/d/1Uw7-A9f9R21vMXxHZFNpYNeKFtG8_yji4HS352LGlSQ/edit?pli=1#gid=0"",""1_ACUM!A4:S""),16,FALSE))"),"")</f>
        <v/>
      </c>
      <c r="AH422" s="43" t="str">
        <f ca="1">IFERROR(__xludf.DUMMYFUNCTION("IFERROR(VLOOKUP(E445&amp;F445,IMPORTRANGE(""https://docs.google.com/spreadsheets/d/1Uw7-A9f9R21vMXxHZFNpYNeKFtG8_yji4HS352LGlSQ/edit?pli=1#gid=0"",""1_ACUM!A4:S""),17,FALSE))"),"")</f>
        <v/>
      </c>
      <c r="AI422" s="44" t="str">
        <f ca="1">IFERROR(__xludf.DUMMYFUNCTION("IFERROR(VLOOKUP(E445&amp;F445,IMPORTRANGE(""https://docs.google.com/spreadsheets/d/1Uw7-A9f9R21vMXxHZFNpYNeKFtG8_yji4HS352LGlSQ/edit?pli=1#gid=0"",""1_ACUM!A4:S""),18,FALSE))"),"")</f>
        <v/>
      </c>
      <c r="AJ422" s="44" t="str">
        <f ca="1">IFERROR(__xludf.DUMMYFUNCTION("IFERROR(VLOOKUP(E445&amp;F445,IMPORTRANGE(""https://docs.google.com/spreadsheets/d/1Uw7-A9f9R21vMXxHZFNpYNeKFtG8_yji4HS352LGlSQ/edit?pli=1#gid=0"",""1_ACUM!A4:S""),19,FALSE))"),"")</f>
        <v/>
      </c>
      <c r="AK422" s="98" t="str">
        <f ca="1">IFERROR(__xludf.DUMMYFUNCTION("IFERROR(VLOOKUP(F445,IMPORTRANGE(""https://docs.google.com/spreadsheets/d/1Kvs4KS76FHFqLFIZfrDMff4kP08nblUkihrxltoGBjg/edit#gid=934712705"",""ESENCIAL!A6:BG""),5,FALSE))"),"")</f>
        <v/>
      </c>
      <c r="AL422" s="98" t="str">
        <f t="shared" si="28"/>
        <v/>
      </c>
      <c r="AM422" s="99" t="str">
        <f t="shared" si="29"/>
        <v/>
      </c>
      <c r="AN422" s="100" t="str">
        <f ca="1">IFERROR(__xludf.DUMMYFUNCTION("IFERROR(VLOOKUP(F445,IMPORTRANGE(""https://docs.google.com/spreadsheets/d/1Kvs4KS76FHFqLFIZfrDMff4kP08nblUkihrxltoGBjg/edit#gid=934712705"",""ESENCIAL!A6:BG""),2,FALSE))"),"")</f>
        <v/>
      </c>
      <c r="AO422" s="19" t="str">
        <f t="shared" si="20"/>
        <v/>
      </c>
      <c r="AP422" s="100"/>
      <c r="AQ422" s="100"/>
    </row>
    <row r="423" spans="1:43" ht="15">
      <c r="A423" s="5"/>
      <c r="B423" s="101"/>
      <c r="G423" s="5" t="str">
        <f ca="1">IFERROR(__xludf.DUMMYFUNCTION("IFERROR(VLOOKUP(F446,IMPORTRANGE(""https://docs.google.com/spreadsheets/d/1Kvs4KS76FHFqLFIZfrDMff4kP08nblUkihrxltoGBjg/edit#gid=934712705"",""ESENCIAL!A6:BG""),3,FALSE))"),"")</f>
        <v/>
      </c>
      <c r="H423" s="5" t="str">
        <f ca="1">IFERROR(__xludf.DUMMYFUNCTION("IFERROR(VLOOKUP(F446,IMPORTRANGE(""https://docs.google.com/spreadsheets/d/1Kvs4KS76FHFqLFIZfrDMff4kP08nblUkihrxltoGBjg/edit#gid=934712705"",""ESENCIAL!A6:BG""),8,FALSE))"),"")</f>
        <v/>
      </c>
      <c r="L423" s="287"/>
      <c r="Z423" s="41" t="str">
        <f t="shared" si="27"/>
        <v/>
      </c>
      <c r="AA423" s="5" t="str">
        <f ca="1">IFERROR(__xludf.DUMMYFUNCTION("IFERROR(VLOOKUP(E446&amp;F446,IMPORTRANGE(""https://docs.google.com/spreadsheets/d/1Uw7-A9f9R21vMXxHZFNpYNeKFtG8_yji4HS352LGlSQ/edit?pli=1#gid=0"",""1_ACUM!A4:S""),11,FALSE))"),"")</f>
        <v/>
      </c>
      <c r="AB423" s="42" t="str">
        <f ca="1">IFERROR(__xludf.DUMMYFUNCTION("IFERROR(VLOOKUP(F446,IMPORTRANGE(""https://docs.google.com/spreadsheets/d/1Kvs4KS76FHFqLFIZfrDMff4kP08nblUkihrxltoGBjg/edit#gid=934712705"",""ESENCIAL!A6:BG""),15,FALSE))"),"")</f>
        <v/>
      </c>
      <c r="AC423" s="110" t="str">
        <f ca="1">IFERROR(__xludf.DUMMYFUNCTION("IFERROR(VLOOKUP(E446&amp;F446,IMPORTRANGE(""https://docs.google.com/spreadsheets/d/1Uw7-A9f9R21vMXxHZFNpYNeKFtG8_yji4HS352LGlSQ/edit?pli=1#gid=0"",""1_ACUM!A4:S""),13,FALSE))"),"")</f>
        <v/>
      </c>
      <c r="AD423" s="43" t="str">
        <f ca="1">IFERROR(__xludf.DUMMYFUNCTION("IFERROR(VLOOKUP(E446&amp;F446,IMPORTRANGE(""https://docs.google.com/spreadsheets/d/1Uw7-A9f9R21vMXxHZFNpYNeKFtG8_yji4HS352LGlSQ/edit?pli=1#gid=0"",""1_ACUM!A4:S""),13,FALSE))"),"")</f>
        <v/>
      </c>
      <c r="AE423" s="43" t="str">
        <f ca="1">IFERROR(__xludf.DUMMYFUNCTION("IFERROR(VLOOKUP(E446&amp;F446,IMPORTRANGE(""https://docs.google.com/spreadsheets/d/1Uw7-A9f9R21vMXxHZFNpYNeKFtG8_yji4HS352LGlSQ/edit?pli=1#gid=0"",""1_ACUM!A4:S""),14,FALSE))"),"")</f>
        <v/>
      </c>
      <c r="AF423" s="43" t="str">
        <f ca="1">IFERROR(__xludf.DUMMYFUNCTION("IFERROR(VLOOKUP(E446&amp;F446,IMPORTRANGE(""https://docs.google.com/spreadsheets/d/1Uw7-A9f9R21vMXxHZFNpYNeKFtG8_yji4HS352LGlSQ/edit?pli=1#gid=0"",""1_ACUM!A4:S""),15,FALSE))"),"")</f>
        <v/>
      </c>
      <c r="AG423" s="43" t="str">
        <f ca="1">IFERROR(__xludf.DUMMYFUNCTION("IFERROR(VLOOKUP(E446&amp;F446,IMPORTRANGE(""https://docs.google.com/spreadsheets/d/1Uw7-A9f9R21vMXxHZFNpYNeKFtG8_yji4HS352LGlSQ/edit?pli=1#gid=0"",""1_ACUM!A4:S""),16,FALSE))"),"")</f>
        <v/>
      </c>
      <c r="AH423" s="43" t="str">
        <f ca="1">IFERROR(__xludf.DUMMYFUNCTION("IFERROR(VLOOKUP(E446&amp;F446,IMPORTRANGE(""https://docs.google.com/spreadsheets/d/1Uw7-A9f9R21vMXxHZFNpYNeKFtG8_yji4HS352LGlSQ/edit?pli=1#gid=0"",""1_ACUM!A4:S""),17,FALSE))"),"")</f>
        <v/>
      </c>
      <c r="AI423" s="44" t="str">
        <f ca="1">IFERROR(__xludf.DUMMYFUNCTION("IFERROR(VLOOKUP(E446&amp;F446,IMPORTRANGE(""https://docs.google.com/spreadsheets/d/1Uw7-A9f9R21vMXxHZFNpYNeKFtG8_yji4HS352LGlSQ/edit?pli=1#gid=0"",""1_ACUM!A4:S""),18,FALSE))"),"")</f>
        <v/>
      </c>
      <c r="AJ423" s="44" t="str">
        <f ca="1">IFERROR(__xludf.DUMMYFUNCTION("IFERROR(VLOOKUP(E446&amp;F446,IMPORTRANGE(""https://docs.google.com/spreadsheets/d/1Uw7-A9f9R21vMXxHZFNpYNeKFtG8_yji4HS352LGlSQ/edit?pli=1#gid=0"",""1_ACUM!A4:S""),19,FALSE))"),"")</f>
        <v/>
      </c>
      <c r="AK423" s="98" t="str">
        <f ca="1">IFERROR(__xludf.DUMMYFUNCTION("IFERROR(VLOOKUP(F446,IMPORTRANGE(""https://docs.google.com/spreadsheets/d/1Kvs4KS76FHFqLFIZfrDMff4kP08nblUkihrxltoGBjg/edit#gid=934712705"",""ESENCIAL!A6:BG""),5,FALSE))"),"")</f>
        <v/>
      </c>
      <c r="AL423" s="98" t="str">
        <f t="shared" si="28"/>
        <v/>
      </c>
      <c r="AM423" s="99" t="str">
        <f t="shared" si="29"/>
        <v/>
      </c>
      <c r="AN423" s="100" t="str">
        <f ca="1">IFERROR(__xludf.DUMMYFUNCTION("IFERROR(VLOOKUP(F446,IMPORTRANGE(""https://docs.google.com/spreadsheets/d/1Kvs4KS76FHFqLFIZfrDMff4kP08nblUkihrxltoGBjg/edit#gid=934712705"",""ESENCIAL!A6:BG""),2,FALSE))"),"")</f>
        <v/>
      </c>
      <c r="AO423" s="19" t="str">
        <f t="shared" si="20"/>
        <v/>
      </c>
      <c r="AP423" s="100"/>
      <c r="AQ423" s="100"/>
    </row>
    <row r="424" spans="1:43" ht="15">
      <c r="A424" s="5"/>
      <c r="B424" s="101"/>
      <c r="G424" s="5" t="str">
        <f ca="1">IFERROR(__xludf.DUMMYFUNCTION("IFERROR(VLOOKUP(F447,IMPORTRANGE(""https://docs.google.com/spreadsheets/d/1Kvs4KS76FHFqLFIZfrDMff4kP08nblUkihrxltoGBjg/edit#gid=934712705"",""ESENCIAL!A6:BG""),3,FALSE))"),"")</f>
        <v/>
      </c>
      <c r="H424" s="5" t="str">
        <f ca="1">IFERROR(__xludf.DUMMYFUNCTION("IFERROR(VLOOKUP(F447,IMPORTRANGE(""https://docs.google.com/spreadsheets/d/1Kvs4KS76FHFqLFIZfrDMff4kP08nblUkihrxltoGBjg/edit#gid=934712705"",""ESENCIAL!A6:BG""),8,FALSE))"),"")</f>
        <v/>
      </c>
      <c r="L424" s="287"/>
      <c r="Z424" s="41" t="str">
        <f t="shared" si="27"/>
        <v/>
      </c>
      <c r="AA424" s="5" t="str">
        <f ca="1">IFERROR(__xludf.DUMMYFUNCTION("IFERROR(VLOOKUP(E447&amp;F447,IMPORTRANGE(""https://docs.google.com/spreadsheets/d/1Uw7-A9f9R21vMXxHZFNpYNeKFtG8_yji4HS352LGlSQ/edit?pli=1#gid=0"",""1_ACUM!A4:S""),11,FALSE))"),"")</f>
        <v/>
      </c>
      <c r="AB424" s="42" t="str">
        <f ca="1">IFERROR(__xludf.DUMMYFUNCTION("IFERROR(VLOOKUP(F447,IMPORTRANGE(""https://docs.google.com/spreadsheets/d/1Kvs4KS76FHFqLFIZfrDMff4kP08nblUkihrxltoGBjg/edit#gid=934712705"",""ESENCIAL!A6:BG""),15,FALSE))"),"")</f>
        <v/>
      </c>
      <c r="AC424" s="110" t="str">
        <f ca="1">IFERROR(__xludf.DUMMYFUNCTION("IFERROR(VLOOKUP(E447&amp;F447,IMPORTRANGE(""https://docs.google.com/spreadsheets/d/1Uw7-A9f9R21vMXxHZFNpYNeKFtG8_yji4HS352LGlSQ/edit?pli=1#gid=0"",""1_ACUM!A4:S""),13,FALSE))"),"")</f>
        <v/>
      </c>
      <c r="AD424" s="43" t="str">
        <f ca="1">IFERROR(__xludf.DUMMYFUNCTION("IFERROR(VLOOKUP(E447&amp;F447,IMPORTRANGE(""https://docs.google.com/spreadsheets/d/1Uw7-A9f9R21vMXxHZFNpYNeKFtG8_yji4HS352LGlSQ/edit?pli=1#gid=0"",""1_ACUM!A4:S""),13,FALSE))"),"")</f>
        <v/>
      </c>
      <c r="AE424" s="43" t="str">
        <f ca="1">IFERROR(__xludf.DUMMYFUNCTION("IFERROR(VLOOKUP(E447&amp;F447,IMPORTRANGE(""https://docs.google.com/spreadsheets/d/1Uw7-A9f9R21vMXxHZFNpYNeKFtG8_yji4HS352LGlSQ/edit?pli=1#gid=0"",""1_ACUM!A4:S""),14,FALSE))"),"")</f>
        <v/>
      </c>
      <c r="AF424" s="43" t="str">
        <f ca="1">IFERROR(__xludf.DUMMYFUNCTION("IFERROR(VLOOKUP(E447&amp;F447,IMPORTRANGE(""https://docs.google.com/spreadsheets/d/1Uw7-A9f9R21vMXxHZFNpYNeKFtG8_yji4HS352LGlSQ/edit?pli=1#gid=0"",""1_ACUM!A4:S""),15,FALSE))"),"")</f>
        <v/>
      </c>
      <c r="AG424" s="43" t="str">
        <f ca="1">IFERROR(__xludf.DUMMYFUNCTION("IFERROR(VLOOKUP(E447&amp;F447,IMPORTRANGE(""https://docs.google.com/spreadsheets/d/1Uw7-A9f9R21vMXxHZFNpYNeKFtG8_yji4HS352LGlSQ/edit?pli=1#gid=0"",""1_ACUM!A4:S""),16,FALSE))"),"")</f>
        <v/>
      </c>
      <c r="AH424" s="43" t="str">
        <f ca="1">IFERROR(__xludf.DUMMYFUNCTION("IFERROR(VLOOKUP(E447&amp;F447,IMPORTRANGE(""https://docs.google.com/spreadsheets/d/1Uw7-A9f9R21vMXxHZFNpYNeKFtG8_yji4HS352LGlSQ/edit?pli=1#gid=0"",""1_ACUM!A4:S""),17,FALSE))"),"")</f>
        <v/>
      </c>
      <c r="AI424" s="44" t="str">
        <f ca="1">IFERROR(__xludf.DUMMYFUNCTION("IFERROR(VLOOKUP(E447&amp;F447,IMPORTRANGE(""https://docs.google.com/spreadsheets/d/1Uw7-A9f9R21vMXxHZFNpYNeKFtG8_yji4HS352LGlSQ/edit?pli=1#gid=0"",""1_ACUM!A4:S""),18,FALSE))"),"")</f>
        <v/>
      </c>
      <c r="AJ424" s="44" t="str">
        <f ca="1">IFERROR(__xludf.DUMMYFUNCTION("IFERROR(VLOOKUP(E447&amp;F447,IMPORTRANGE(""https://docs.google.com/spreadsheets/d/1Uw7-A9f9R21vMXxHZFNpYNeKFtG8_yji4HS352LGlSQ/edit?pli=1#gid=0"",""1_ACUM!A4:S""),19,FALSE))"),"")</f>
        <v/>
      </c>
      <c r="AK424" s="98" t="str">
        <f ca="1">IFERROR(__xludf.DUMMYFUNCTION("IFERROR(VLOOKUP(F447,IMPORTRANGE(""https://docs.google.com/spreadsheets/d/1Kvs4KS76FHFqLFIZfrDMff4kP08nblUkihrxltoGBjg/edit#gid=934712705"",""ESENCIAL!A6:BG""),5,FALSE))"),"")</f>
        <v/>
      </c>
      <c r="AL424" s="98" t="str">
        <f t="shared" si="28"/>
        <v/>
      </c>
      <c r="AM424" s="99" t="str">
        <f t="shared" si="29"/>
        <v/>
      </c>
      <c r="AN424" s="100" t="str">
        <f ca="1">IFERROR(__xludf.DUMMYFUNCTION("IFERROR(VLOOKUP(F447,IMPORTRANGE(""https://docs.google.com/spreadsheets/d/1Kvs4KS76FHFqLFIZfrDMff4kP08nblUkihrxltoGBjg/edit#gid=934712705"",""ESENCIAL!A6:BG""),2,FALSE))"),"")</f>
        <v/>
      </c>
      <c r="AO424" s="19" t="str">
        <f t="shared" si="20"/>
        <v/>
      </c>
      <c r="AP424" s="100"/>
      <c r="AQ424" s="100"/>
    </row>
    <row r="425" spans="1:43" ht="15">
      <c r="A425" s="5"/>
      <c r="B425" s="101"/>
      <c r="G425" s="5" t="str">
        <f ca="1">IFERROR(__xludf.DUMMYFUNCTION("IFERROR(VLOOKUP(F448,IMPORTRANGE(""https://docs.google.com/spreadsheets/d/1Kvs4KS76FHFqLFIZfrDMff4kP08nblUkihrxltoGBjg/edit#gid=934712705"",""ESENCIAL!A6:BG""),3,FALSE))"),"")</f>
        <v/>
      </c>
      <c r="H425" s="5" t="str">
        <f ca="1">IFERROR(__xludf.DUMMYFUNCTION("IFERROR(VLOOKUP(F448,IMPORTRANGE(""https://docs.google.com/spreadsheets/d/1Kvs4KS76FHFqLFIZfrDMff4kP08nblUkihrxltoGBjg/edit#gid=934712705"",""ESENCIAL!A6:BG""),8,FALSE))"),"")</f>
        <v/>
      </c>
      <c r="L425" s="287"/>
      <c r="Z425" s="41" t="str">
        <f t="shared" si="27"/>
        <v/>
      </c>
      <c r="AA425" s="5" t="str">
        <f ca="1">IFERROR(__xludf.DUMMYFUNCTION("IFERROR(VLOOKUP(E448&amp;F448,IMPORTRANGE(""https://docs.google.com/spreadsheets/d/1Uw7-A9f9R21vMXxHZFNpYNeKFtG8_yji4HS352LGlSQ/edit?pli=1#gid=0"",""1_ACUM!A4:S""),11,FALSE))"),"")</f>
        <v/>
      </c>
      <c r="AB425" s="42" t="str">
        <f ca="1">IFERROR(__xludf.DUMMYFUNCTION("IFERROR(VLOOKUP(F448,IMPORTRANGE(""https://docs.google.com/spreadsheets/d/1Kvs4KS76FHFqLFIZfrDMff4kP08nblUkihrxltoGBjg/edit#gid=934712705"",""ESENCIAL!A6:BG""),15,FALSE))"),"")</f>
        <v/>
      </c>
      <c r="AC425" s="110" t="str">
        <f ca="1">IFERROR(__xludf.DUMMYFUNCTION("IFERROR(VLOOKUP(E448&amp;F448,IMPORTRANGE(""https://docs.google.com/spreadsheets/d/1Uw7-A9f9R21vMXxHZFNpYNeKFtG8_yji4HS352LGlSQ/edit?pli=1#gid=0"",""1_ACUM!A4:S""),13,FALSE))"),"")</f>
        <v/>
      </c>
      <c r="AD425" s="43" t="str">
        <f ca="1">IFERROR(__xludf.DUMMYFUNCTION("IFERROR(VLOOKUP(E448&amp;F448,IMPORTRANGE(""https://docs.google.com/spreadsheets/d/1Uw7-A9f9R21vMXxHZFNpYNeKFtG8_yji4HS352LGlSQ/edit?pli=1#gid=0"",""1_ACUM!A4:S""),13,FALSE))"),"")</f>
        <v/>
      </c>
      <c r="AE425" s="43" t="str">
        <f ca="1">IFERROR(__xludf.DUMMYFUNCTION("IFERROR(VLOOKUP(E448&amp;F448,IMPORTRANGE(""https://docs.google.com/spreadsheets/d/1Uw7-A9f9R21vMXxHZFNpYNeKFtG8_yji4HS352LGlSQ/edit?pli=1#gid=0"",""1_ACUM!A4:S""),14,FALSE))"),"")</f>
        <v/>
      </c>
      <c r="AF425" s="43" t="str">
        <f ca="1">IFERROR(__xludf.DUMMYFUNCTION("IFERROR(VLOOKUP(E448&amp;F448,IMPORTRANGE(""https://docs.google.com/spreadsheets/d/1Uw7-A9f9R21vMXxHZFNpYNeKFtG8_yji4HS352LGlSQ/edit?pli=1#gid=0"",""1_ACUM!A4:S""),15,FALSE))"),"")</f>
        <v/>
      </c>
      <c r="AG425" s="43" t="str">
        <f ca="1">IFERROR(__xludf.DUMMYFUNCTION("IFERROR(VLOOKUP(E448&amp;F448,IMPORTRANGE(""https://docs.google.com/spreadsheets/d/1Uw7-A9f9R21vMXxHZFNpYNeKFtG8_yji4HS352LGlSQ/edit?pli=1#gid=0"",""1_ACUM!A4:S""),16,FALSE))"),"")</f>
        <v/>
      </c>
      <c r="AH425" s="43" t="str">
        <f ca="1">IFERROR(__xludf.DUMMYFUNCTION("IFERROR(VLOOKUP(E448&amp;F448,IMPORTRANGE(""https://docs.google.com/spreadsheets/d/1Uw7-A9f9R21vMXxHZFNpYNeKFtG8_yji4HS352LGlSQ/edit?pli=1#gid=0"",""1_ACUM!A4:S""),17,FALSE))"),"")</f>
        <v/>
      </c>
      <c r="AI425" s="44" t="str">
        <f ca="1">IFERROR(__xludf.DUMMYFUNCTION("IFERROR(VLOOKUP(E448&amp;F448,IMPORTRANGE(""https://docs.google.com/spreadsheets/d/1Uw7-A9f9R21vMXxHZFNpYNeKFtG8_yji4HS352LGlSQ/edit?pli=1#gid=0"",""1_ACUM!A4:S""),18,FALSE))"),"")</f>
        <v/>
      </c>
      <c r="AJ425" s="44" t="str">
        <f ca="1">IFERROR(__xludf.DUMMYFUNCTION("IFERROR(VLOOKUP(E448&amp;F448,IMPORTRANGE(""https://docs.google.com/spreadsheets/d/1Uw7-A9f9R21vMXxHZFNpYNeKFtG8_yji4HS352LGlSQ/edit?pli=1#gid=0"",""1_ACUM!A4:S""),19,FALSE))"),"")</f>
        <v/>
      </c>
      <c r="AK425" s="98" t="str">
        <f ca="1">IFERROR(__xludf.DUMMYFUNCTION("IFERROR(VLOOKUP(F448,IMPORTRANGE(""https://docs.google.com/spreadsheets/d/1Kvs4KS76FHFqLFIZfrDMff4kP08nblUkihrxltoGBjg/edit#gid=934712705"",""ESENCIAL!A6:BG""),5,FALSE))"),"")</f>
        <v/>
      </c>
      <c r="AL425" s="98" t="str">
        <f t="shared" si="28"/>
        <v/>
      </c>
      <c r="AM425" s="99" t="str">
        <f t="shared" si="29"/>
        <v/>
      </c>
      <c r="AN425" s="100" t="str">
        <f ca="1">IFERROR(__xludf.DUMMYFUNCTION("IFERROR(VLOOKUP(F448,IMPORTRANGE(""https://docs.google.com/spreadsheets/d/1Kvs4KS76FHFqLFIZfrDMff4kP08nblUkihrxltoGBjg/edit#gid=934712705"",""ESENCIAL!A6:BG""),2,FALSE))"),"")</f>
        <v/>
      </c>
      <c r="AO425" s="19" t="str">
        <f t="shared" si="20"/>
        <v/>
      </c>
      <c r="AP425" s="100"/>
      <c r="AQ425" s="100"/>
    </row>
    <row r="426" spans="1:43" ht="15">
      <c r="A426" s="5"/>
      <c r="B426" s="101"/>
      <c r="G426" s="5" t="str">
        <f ca="1">IFERROR(__xludf.DUMMYFUNCTION("IFERROR(VLOOKUP(F449,IMPORTRANGE(""https://docs.google.com/spreadsheets/d/1Kvs4KS76FHFqLFIZfrDMff4kP08nblUkihrxltoGBjg/edit#gid=934712705"",""ESENCIAL!A6:BG""),3,FALSE))"),"")</f>
        <v/>
      </c>
      <c r="H426" s="5" t="str">
        <f ca="1">IFERROR(__xludf.DUMMYFUNCTION("IFERROR(VLOOKUP(F449,IMPORTRANGE(""https://docs.google.com/spreadsheets/d/1Kvs4KS76FHFqLFIZfrDMff4kP08nblUkihrxltoGBjg/edit#gid=934712705"",""ESENCIAL!A6:BG""),8,FALSE))"),"")</f>
        <v/>
      </c>
      <c r="L426" s="287"/>
      <c r="Z426" s="41" t="str">
        <f t="shared" si="27"/>
        <v/>
      </c>
      <c r="AA426" s="5" t="str">
        <f ca="1">IFERROR(__xludf.DUMMYFUNCTION("IFERROR(VLOOKUP(E449&amp;F449,IMPORTRANGE(""https://docs.google.com/spreadsheets/d/1Uw7-A9f9R21vMXxHZFNpYNeKFtG8_yji4HS352LGlSQ/edit?pli=1#gid=0"",""1_ACUM!A4:S""),11,FALSE))"),"")</f>
        <v/>
      </c>
      <c r="AB426" s="42" t="str">
        <f ca="1">IFERROR(__xludf.DUMMYFUNCTION("IFERROR(VLOOKUP(F449,IMPORTRANGE(""https://docs.google.com/spreadsheets/d/1Kvs4KS76FHFqLFIZfrDMff4kP08nblUkihrxltoGBjg/edit#gid=934712705"",""ESENCIAL!A6:BG""),15,FALSE))"),"")</f>
        <v/>
      </c>
      <c r="AC426" s="110" t="str">
        <f ca="1">IFERROR(__xludf.DUMMYFUNCTION("IFERROR(VLOOKUP(E449&amp;F449,IMPORTRANGE(""https://docs.google.com/spreadsheets/d/1Uw7-A9f9R21vMXxHZFNpYNeKFtG8_yji4HS352LGlSQ/edit?pli=1#gid=0"",""1_ACUM!A4:S""),13,FALSE))"),"")</f>
        <v/>
      </c>
      <c r="AD426" s="43" t="str">
        <f ca="1">IFERROR(__xludf.DUMMYFUNCTION("IFERROR(VLOOKUP(E449&amp;F449,IMPORTRANGE(""https://docs.google.com/spreadsheets/d/1Uw7-A9f9R21vMXxHZFNpYNeKFtG8_yji4HS352LGlSQ/edit?pli=1#gid=0"",""1_ACUM!A4:S""),13,FALSE))"),"")</f>
        <v/>
      </c>
      <c r="AE426" s="43" t="str">
        <f ca="1">IFERROR(__xludf.DUMMYFUNCTION("IFERROR(VLOOKUP(E449&amp;F449,IMPORTRANGE(""https://docs.google.com/spreadsheets/d/1Uw7-A9f9R21vMXxHZFNpYNeKFtG8_yji4HS352LGlSQ/edit?pli=1#gid=0"",""1_ACUM!A4:S""),14,FALSE))"),"")</f>
        <v/>
      </c>
      <c r="AF426" s="43" t="str">
        <f ca="1">IFERROR(__xludf.DUMMYFUNCTION("IFERROR(VLOOKUP(E449&amp;F449,IMPORTRANGE(""https://docs.google.com/spreadsheets/d/1Uw7-A9f9R21vMXxHZFNpYNeKFtG8_yji4HS352LGlSQ/edit?pli=1#gid=0"",""1_ACUM!A4:S""),15,FALSE))"),"")</f>
        <v/>
      </c>
      <c r="AG426" s="43" t="str">
        <f ca="1">IFERROR(__xludf.DUMMYFUNCTION("IFERROR(VLOOKUP(E449&amp;F449,IMPORTRANGE(""https://docs.google.com/spreadsheets/d/1Uw7-A9f9R21vMXxHZFNpYNeKFtG8_yji4HS352LGlSQ/edit?pli=1#gid=0"",""1_ACUM!A4:S""),16,FALSE))"),"")</f>
        <v/>
      </c>
      <c r="AH426" s="43" t="str">
        <f ca="1">IFERROR(__xludf.DUMMYFUNCTION("IFERROR(VLOOKUP(E449&amp;F449,IMPORTRANGE(""https://docs.google.com/spreadsheets/d/1Uw7-A9f9R21vMXxHZFNpYNeKFtG8_yji4HS352LGlSQ/edit?pli=1#gid=0"",""1_ACUM!A4:S""),17,FALSE))"),"")</f>
        <v/>
      </c>
      <c r="AI426" s="44" t="str">
        <f ca="1">IFERROR(__xludf.DUMMYFUNCTION("IFERROR(VLOOKUP(E449&amp;F449,IMPORTRANGE(""https://docs.google.com/spreadsheets/d/1Uw7-A9f9R21vMXxHZFNpYNeKFtG8_yji4HS352LGlSQ/edit?pli=1#gid=0"",""1_ACUM!A4:S""),18,FALSE))"),"")</f>
        <v/>
      </c>
      <c r="AJ426" s="44" t="str">
        <f ca="1">IFERROR(__xludf.DUMMYFUNCTION("IFERROR(VLOOKUP(E449&amp;F449,IMPORTRANGE(""https://docs.google.com/spreadsheets/d/1Uw7-A9f9R21vMXxHZFNpYNeKFtG8_yji4HS352LGlSQ/edit?pli=1#gid=0"",""1_ACUM!A4:S""),19,FALSE))"),"")</f>
        <v/>
      </c>
      <c r="AK426" s="98" t="str">
        <f ca="1">IFERROR(__xludf.DUMMYFUNCTION("IFERROR(VLOOKUP(F449,IMPORTRANGE(""https://docs.google.com/spreadsheets/d/1Kvs4KS76FHFqLFIZfrDMff4kP08nblUkihrxltoGBjg/edit#gid=934712705"",""ESENCIAL!A6:BG""),5,FALSE))"),"")</f>
        <v/>
      </c>
      <c r="AL426" s="98" t="str">
        <f t="shared" si="28"/>
        <v/>
      </c>
      <c r="AM426" s="99" t="str">
        <f t="shared" si="29"/>
        <v/>
      </c>
      <c r="AN426" s="100" t="str">
        <f ca="1">IFERROR(__xludf.DUMMYFUNCTION("IFERROR(VLOOKUP(F449,IMPORTRANGE(""https://docs.google.com/spreadsheets/d/1Kvs4KS76FHFqLFIZfrDMff4kP08nblUkihrxltoGBjg/edit#gid=934712705"",""ESENCIAL!A6:BG""),2,FALSE))"),"")</f>
        <v/>
      </c>
      <c r="AO426" s="19" t="str">
        <f t="shared" si="20"/>
        <v/>
      </c>
      <c r="AP426" s="100"/>
      <c r="AQ426" s="100"/>
    </row>
    <row r="427" spans="1:43" ht="15">
      <c r="A427" s="5"/>
      <c r="B427" s="101"/>
      <c r="G427" s="5" t="str">
        <f ca="1">IFERROR(__xludf.DUMMYFUNCTION("IFERROR(VLOOKUP(F450,IMPORTRANGE(""https://docs.google.com/spreadsheets/d/1Kvs4KS76FHFqLFIZfrDMff4kP08nblUkihrxltoGBjg/edit#gid=934712705"",""ESENCIAL!A6:BG""),3,FALSE))"),"")</f>
        <v/>
      </c>
      <c r="H427" s="5" t="str">
        <f ca="1">IFERROR(__xludf.DUMMYFUNCTION("IFERROR(VLOOKUP(F450,IMPORTRANGE(""https://docs.google.com/spreadsheets/d/1Kvs4KS76FHFqLFIZfrDMff4kP08nblUkihrxltoGBjg/edit#gid=934712705"",""ESENCIAL!A6:BG""),8,FALSE))"),"")</f>
        <v/>
      </c>
      <c r="L427" s="287"/>
      <c r="Z427" s="41" t="str">
        <f t="shared" si="27"/>
        <v/>
      </c>
      <c r="AA427" s="5" t="str">
        <f ca="1">IFERROR(__xludf.DUMMYFUNCTION("IFERROR(VLOOKUP(E450&amp;F450,IMPORTRANGE(""https://docs.google.com/spreadsheets/d/1Uw7-A9f9R21vMXxHZFNpYNeKFtG8_yji4HS352LGlSQ/edit?pli=1#gid=0"",""1_ACUM!A4:S""),11,FALSE))"),"")</f>
        <v/>
      </c>
      <c r="AB427" s="42" t="str">
        <f ca="1">IFERROR(__xludf.DUMMYFUNCTION("IFERROR(VLOOKUP(F450,IMPORTRANGE(""https://docs.google.com/spreadsheets/d/1Kvs4KS76FHFqLFIZfrDMff4kP08nblUkihrxltoGBjg/edit#gid=934712705"",""ESENCIAL!A6:BG""),15,FALSE))"),"")</f>
        <v/>
      </c>
      <c r="AC427" s="110" t="str">
        <f ca="1">IFERROR(__xludf.DUMMYFUNCTION("IFERROR(VLOOKUP(E450&amp;F450,IMPORTRANGE(""https://docs.google.com/spreadsheets/d/1Uw7-A9f9R21vMXxHZFNpYNeKFtG8_yji4HS352LGlSQ/edit?pli=1#gid=0"",""1_ACUM!A4:S""),13,FALSE))"),"")</f>
        <v/>
      </c>
      <c r="AD427" s="43" t="str">
        <f ca="1">IFERROR(__xludf.DUMMYFUNCTION("IFERROR(VLOOKUP(E450&amp;F450,IMPORTRANGE(""https://docs.google.com/spreadsheets/d/1Uw7-A9f9R21vMXxHZFNpYNeKFtG8_yji4HS352LGlSQ/edit?pli=1#gid=0"",""1_ACUM!A4:S""),13,FALSE))"),"")</f>
        <v/>
      </c>
      <c r="AE427" s="43" t="str">
        <f ca="1">IFERROR(__xludf.DUMMYFUNCTION("IFERROR(VLOOKUP(E450&amp;F450,IMPORTRANGE(""https://docs.google.com/spreadsheets/d/1Uw7-A9f9R21vMXxHZFNpYNeKFtG8_yji4HS352LGlSQ/edit?pli=1#gid=0"",""1_ACUM!A4:S""),14,FALSE))"),"")</f>
        <v/>
      </c>
      <c r="AF427" s="43" t="str">
        <f ca="1">IFERROR(__xludf.DUMMYFUNCTION("IFERROR(VLOOKUP(E450&amp;F450,IMPORTRANGE(""https://docs.google.com/spreadsheets/d/1Uw7-A9f9R21vMXxHZFNpYNeKFtG8_yji4HS352LGlSQ/edit?pli=1#gid=0"",""1_ACUM!A4:S""),15,FALSE))"),"")</f>
        <v/>
      </c>
      <c r="AG427" s="43" t="str">
        <f ca="1">IFERROR(__xludf.DUMMYFUNCTION("IFERROR(VLOOKUP(E450&amp;F450,IMPORTRANGE(""https://docs.google.com/spreadsheets/d/1Uw7-A9f9R21vMXxHZFNpYNeKFtG8_yji4HS352LGlSQ/edit?pli=1#gid=0"",""1_ACUM!A4:S""),16,FALSE))"),"")</f>
        <v/>
      </c>
      <c r="AH427" s="43" t="str">
        <f ca="1">IFERROR(__xludf.DUMMYFUNCTION("IFERROR(VLOOKUP(E450&amp;F450,IMPORTRANGE(""https://docs.google.com/spreadsheets/d/1Uw7-A9f9R21vMXxHZFNpYNeKFtG8_yji4HS352LGlSQ/edit?pli=1#gid=0"",""1_ACUM!A4:S""),17,FALSE))"),"")</f>
        <v/>
      </c>
      <c r="AI427" s="44" t="str">
        <f ca="1">IFERROR(__xludf.DUMMYFUNCTION("IFERROR(VLOOKUP(E450&amp;F450,IMPORTRANGE(""https://docs.google.com/spreadsheets/d/1Uw7-A9f9R21vMXxHZFNpYNeKFtG8_yji4HS352LGlSQ/edit?pli=1#gid=0"",""1_ACUM!A4:S""),18,FALSE))"),"")</f>
        <v/>
      </c>
      <c r="AJ427" s="44" t="str">
        <f ca="1">IFERROR(__xludf.DUMMYFUNCTION("IFERROR(VLOOKUP(E450&amp;F450,IMPORTRANGE(""https://docs.google.com/spreadsheets/d/1Uw7-A9f9R21vMXxHZFNpYNeKFtG8_yji4HS352LGlSQ/edit?pli=1#gid=0"",""1_ACUM!A4:S""),19,FALSE))"),"")</f>
        <v/>
      </c>
      <c r="AK427" s="98" t="str">
        <f ca="1">IFERROR(__xludf.DUMMYFUNCTION("IFERROR(VLOOKUP(F450,IMPORTRANGE(""https://docs.google.com/spreadsheets/d/1Kvs4KS76FHFqLFIZfrDMff4kP08nblUkihrxltoGBjg/edit#gid=934712705"",""ESENCIAL!A6:BG""),5,FALSE))"),"")</f>
        <v/>
      </c>
      <c r="AL427" s="98" t="str">
        <f t="shared" si="28"/>
        <v/>
      </c>
      <c r="AM427" s="99" t="str">
        <f t="shared" si="29"/>
        <v/>
      </c>
      <c r="AN427" s="100" t="str">
        <f ca="1">IFERROR(__xludf.DUMMYFUNCTION("IFERROR(VLOOKUP(F450,IMPORTRANGE(""https://docs.google.com/spreadsheets/d/1Kvs4KS76FHFqLFIZfrDMff4kP08nblUkihrxltoGBjg/edit#gid=934712705"",""ESENCIAL!A6:BG""),2,FALSE))"),"")</f>
        <v/>
      </c>
      <c r="AO427" s="19" t="str">
        <f t="shared" si="20"/>
        <v/>
      </c>
      <c r="AP427" s="100"/>
      <c r="AQ427" s="100"/>
    </row>
    <row r="428" spans="1:43" ht="15">
      <c r="A428" s="5"/>
      <c r="B428" s="101"/>
      <c r="G428" s="5" t="str">
        <f ca="1">IFERROR(__xludf.DUMMYFUNCTION("IFERROR(VLOOKUP(F451,IMPORTRANGE(""https://docs.google.com/spreadsheets/d/1Kvs4KS76FHFqLFIZfrDMff4kP08nblUkihrxltoGBjg/edit#gid=934712705"",""ESENCIAL!A6:BG""),3,FALSE))"),"")</f>
        <v/>
      </c>
      <c r="H428" s="5" t="str">
        <f ca="1">IFERROR(__xludf.DUMMYFUNCTION("IFERROR(VLOOKUP(F451,IMPORTRANGE(""https://docs.google.com/spreadsheets/d/1Kvs4KS76FHFqLFIZfrDMff4kP08nblUkihrxltoGBjg/edit#gid=934712705"",""ESENCIAL!A6:BG""),8,FALSE))"),"")</f>
        <v/>
      </c>
      <c r="L428" s="287"/>
      <c r="Z428" s="41" t="str">
        <f t="shared" si="27"/>
        <v/>
      </c>
      <c r="AA428" s="5" t="str">
        <f ca="1">IFERROR(__xludf.DUMMYFUNCTION("IFERROR(VLOOKUP(E451&amp;F451,IMPORTRANGE(""https://docs.google.com/spreadsheets/d/1Uw7-A9f9R21vMXxHZFNpYNeKFtG8_yji4HS352LGlSQ/edit?pli=1#gid=0"",""1_ACUM!A4:S""),11,FALSE))"),"")</f>
        <v/>
      </c>
      <c r="AB428" s="42" t="str">
        <f ca="1">IFERROR(__xludf.DUMMYFUNCTION("IFERROR(VLOOKUP(F451,IMPORTRANGE(""https://docs.google.com/spreadsheets/d/1Kvs4KS76FHFqLFIZfrDMff4kP08nblUkihrxltoGBjg/edit#gid=934712705"",""ESENCIAL!A6:BG""),15,FALSE))"),"")</f>
        <v/>
      </c>
      <c r="AC428" s="110" t="str">
        <f ca="1">IFERROR(__xludf.DUMMYFUNCTION("IFERROR(VLOOKUP(E451&amp;F451,IMPORTRANGE(""https://docs.google.com/spreadsheets/d/1Uw7-A9f9R21vMXxHZFNpYNeKFtG8_yji4HS352LGlSQ/edit?pli=1#gid=0"",""1_ACUM!A4:S""),13,FALSE))"),"")</f>
        <v/>
      </c>
      <c r="AD428" s="43" t="str">
        <f ca="1">IFERROR(__xludf.DUMMYFUNCTION("IFERROR(VLOOKUP(E451&amp;F451,IMPORTRANGE(""https://docs.google.com/spreadsheets/d/1Uw7-A9f9R21vMXxHZFNpYNeKFtG8_yji4HS352LGlSQ/edit?pli=1#gid=0"",""1_ACUM!A4:S""),13,FALSE))"),"")</f>
        <v/>
      </c>
      <c r="AE428" s="43" t="str">
        <f ca="1">IFERROR(__xludf.DUMMYFUNCTION("IFERROR(VLOOKUP(E451&amp;F451,IMPORTRANGE(""https://docs.google.com/spreadsheets/d/1Uw7-A9f9R21vMXxHZFNpYNeKFtG8_yji4HS352LGlSQ/edit?pli=1#gid=0"",""1_ACUM!A4:S""),14,FALSE))"),"")</f>
        <v/>
      </c>
      <c r="AF428" s="43" t="str">
        <f ca="1">IFERROR(__xludf.DUMMYFUNCTION("IFERROR(VLOOKUP(E451&amp;F451,IMPORTRANGE(""https://docs.google.com/spreadsheets/d/1Uw7-A9f9R21vMXxHZFNpYNeKFtG8_yji4HS352LGlSQ/edit?pli=1#gid=0"",""1_ACUM!A4:S""),15,FALSE))"),"")</f>
        <v/>
      </c>
      <c r="AG428" s="43" t="str">
        <f ca="1">IFERROR(__xludf.DUMMYFUNCTION("IFERROR(VLOOKUP(E451&amp;F451,IMPORTRANGE(""https://docs.google.com/spreadsheets/d/1Uw7-A9f9R21vMXxHZFNpYNeKFtG8_yji4HS352LGlSQ/edit?pli=1#gid=0"",""1_ACUM!A4:S""),16,FALSE))"),"")</f>
        <v/>
      </c>
      <c r="AH428" s="43" t="str">
        <f ca="1">IFERROR(__xludf.DUMMYFUNCTION("IFERROR(VLOOKUP(E451&amp;F451,IMPORTRANGE(""https://docs.google.com/spreadsheets/d/1Uw7-A9f9R21vMXxHZFNpYNeKFtG8_yji4HS352LGlSQ/edit?pli=1#gid=0"",""1_ACUM!A4:S""),17,FALSE))"),"")</f>
        <v/>
      </c>
      <c r="AI428" s="44" t="str">
        <f ca="1">IFERROR(__xludf.DUMMYFUNCTION("IFERROR(VLOOKUP(E451&amp;F451,IMPORTRANGE(""https://docs.google.com/spreadsheets/d/1Uw7-A9f9R21vMXxHZFNpYNeKFtG8_yji4HS352LGlSQ/edit?pli=1#gid=0"",""1_ACUM!A4:S""),18,FALSE))"),"")</f>
        <v/>
      </c>
      <c r="AJ428" s="44" t="str">
        <f ca="1">IFERROR(__xludf.DUMMYFUNCTION("IFERROR(VLOOKUP(E451&amp;F451,IMPORTRANGE(""https://docs.google.com/spreadsheets/d/1Uw7-A9f9R21vMXxHZFNpYNeKFtG8_yji4HS352LGlSQ/edit?pli=1#gid=0"",""1_ACUM!A4:S""),19,FALSE))"),"")</f>
        <v/>
      </c>
      <c r="AK428" s="98" t="str">
        <f ca="1">IFERROR(__xludf.DUMMYFUNCTION("IFERROR(VLOOKUP(F451,IMPORTRANGE(""https://docs.google.com/spreadsheets/d/1Kvs4KS76FHFqLFIZfrDMff4kP08nblUkihrxltoGBjg/edit#gid=934712705"",""ESENCIAL!A6:BG""),5,FALSE))"),"")</f>
        <v/>
      </c>
      <c r="AL428" s="98" t="str">
        <f t="shared" si="28"/>
        <v/>
      </c>
      <c r="AM428" s="99" t="str">
        <f t="shared" si="29"/>
        <v/>
      </c>
      <c r="AN428" s="100" t="str">
        <f ca="1">IFERROR(__xludf.DUMMYFUNCTION("IFERROR(VLOOKUP(F451,IMPORTRANGE(""https://docs.google.com/spreadsheets/d/1Kvs4KS76FHFqLFIZfrDMff4kP08nblUkihrxltoGBjg/edit#gid=934712705"",""ESENCIAL!A6:BG""),2,FALSE))"),"")</f>
        <v/>
      </c>
      <c r="AO428" s="19" t="str">
        <f t="shared" si="20"/>
        <v/>
      </c>
      <c r="AP428" s="100"/>
      <c r="AQ428" s="100"/>
    </row>
    <row r="429" spans="1:43" ht="15">
      <c r="A429" s="5"/>
      <c r="B429" s="101"/>
      <c r="G429" s="5" t="str">
        <f ca="1">IFERROR(__xludf.DUMMYFUNCTION("IFERROR(VLOOKUP(F452,IMPORTRANGE(""https://docs.google.com/spreadsheets/d/1Kvs4KS76FHFqLFIZfrDMff4kP08nblUkihrxltoGBjg/edit#gid=934712705"",""ESENCIAL!A6:BG""),3,FALSE))"),"")</f>
        <v/>
      </c>
      <c r="H429" s="5" t="str">
        <f ca="1">IFERROR(__xludf.DUMMYFUNCTION("IFERROR(VLOOKUP(F452,IMPORTRANGE(""https://docs.google.com/spreadsheets/d/1Kvs4KS76FHFqLFIZfrDMff4kP08nblUkihrxltoGBjg/edit#gid=934712705"",""ESENCIAL!A6:BG""),8,FALSE))"),"")</f>
        <v/>
      </c>
      <c r="L429" s="287"/>
      <c r="Z429" s="41" t="str">
        <f t="shared" si="27"/>
        <v/>
      </c>
      <c r="AA429" s="5" t="str">
        <f ca="1">IFERROR(__xludf.DUMMYFUNCTION("IFERROR(VLOOKUP(E452&amp;F452,IMPORTRANGE(""https://docs.google.com/spreadsheets/d/1Uw7-A9f9R21vMXxHZFNpYNeKFtG8_yji4HS352LGlSQ/edit?pli=1#gid=0"",""1_ACUM!A4:S""),11,FALSE))"),"")</f>
        <v/>
      </c>
      <c r="AB429" s="42" t="str">
        <f ca="1">IFERROR(__xludf.DUMMYFUNCTION("IFERROR(VLOOKUP(F452,IMPORTRANGE(""https://docs.google.com/spreadsheets/d/1Kvs4KS76FHFqLFIZfrDMff4kP08nblUkihrxltoGBjg/edit#gid=934712705"",""ESENCIAL!A6:BG""),15,FALSE))"),"")</f>
        <v/>
      </c>
      <c r="AC429" s="110" t="str">
        <f ca="1">IFERROR(__xludf.DUMMYFUNCTION("IFERROR(VLOOKUP(E452&amp;F452,IMPORTRANGE(""https://docs.google.com/spreadsheets/d/1Uw7-A9f9R21vMXxHZFNpYNeKFtG8_yji4HS352LGlSQ/edit?pli=1#gid=0"",""1_ACUM!A4:S""),13,FALSE))"),"")</f>
        <v/>
      </c>
      <c r="AD429" s="43" t="str">
        <f ca="1">IFERROR(__xludf.DUMMYFUNCTION("IFERROR(VLOOKUP(E452&amp;F452,IMPORTRANGE(""https://docs.google.com/spreadsheets/d/1Uw7-A9f9R21vMXxHZFNpYNeKFtG8_yji4HS352LGlSQ/edit?pli=1#gid=0"",""1_ACUM!A4:S""),13,FALSE))"),"")</f>
        <v/>
      </c>
      <c r="AE429" s="43" t="str">
        <f ca="1">IFERROR(__xludf.DUMMYFUNCTION("IFERROR(VLOOKUP(E452&amp;F452,IMPORTRANGE(""https://docs.google.com/spreadsheets/d/1Uw7-A9f9R21vMXxHZFNpYNeKFtG8_yji4HS352LGlSQ/edit?pli=1#gid=0"",""1_ACUM!A4:S""),14,FALSE))"),"")</f>
        <v/>
      </c>
      <c r="AF429" s="43" t="str">
        <f ca="1">IFERROR(__xludf.DUMMYFUNCTION("IFERROR(VLOOKUP(E452&amp;F452,IMPORTRANGE(""https://docs.google.com/spreadsheets/d/1Uw7-A9f9R21vMXxHZFNpYNeKFtG8_yji4HS352LGlSQ/edit?pli=1#gid=0"",""1_ACUM!A4:S""),15,FALSE))"),"")</f>
        <v/>
      </c>
      <c r="AG429" s="43" t="str">
        <f ca="1">IFERROR(__xludf.DUMMYFUNCTION("IFERROR(VLOOKUP(E452&amp;F452,IMPORTRANGE(""https://docs.google.com/spreadsheets/d/1Uw7-A9f9R21vMXxHZFNpYNeKFtG8_yji4HS352LGlSQ/edit?pli=1#gid=0"",""1_ACUM!A4:S""),16,FALSE))"),"")</f>
        <v/>
      </c>
      <c r="AH429" s="43" t="str">
        <f ca="1">IFERROR(__xludf.DUMMYFUNCTION("IFERROR(VLOOKUP(E452&amp;F452,IMPORTRANGE(""https://docs.google.com/spreadsheets/d/1Uw7-A9f9R21vMXxHZFNpYNeKFtG8_yji4HS352LGlSQ/edit?pli=1#gid=0"",""1_ACUM!A4:S""),17,FALSE))"),"")</f>
        <v/>
      </c>
      <c r="AI429" s="44" t="str">
        <f ca="1">IFERROR(__xludf.DUMMYFUNCTION("IFERROR(VLOOKUP(E452&amp;F452,IMPORTRANGE(""https://docs.google.com/spreadsheets/d/1Uw7-A9f9R21vMXxHZFNpYNeKFtG8_yji4HS352LGlSQ/edit?pli=1#gid=0"",""1_ACUM!A4:S""),18,FALSE))"),"")</f>
        <v/>
      </c>
      <c r="AJ429" s="44" t="str">
        <f ca="1">IFERROR(__xludf.DUMMYFUNCTION("IFERROR(VLOOKUP(E452&amp;F452,IMPORTRANGE(""https://docs.google.com/spreadsheets/d/1Uw7-A9f9R21vMXxHZFNpYNeKFtG8_yji4HS352LGlSQ/edit?pli=1#gid=0"",""1_ACUM!A4:S""),19,FALSE))"),"")</f>
        <v/>
      </c>
      <c r="AK429" s="98" t="str">
        <f ca="1">IFERROR(__xludf.DUMMYFUNCTION("IFERROR(VLOOKUP(F452,IMPORTRANGE(""https://docs.google.com/spreadsheets/d/1Kvs4KS76FHFqLFIZfrDMff4kP08nblUkihrxltoGBjg/edit#gid=934712705"",""ESENCIAL!A6:BG""),5,FALSE))"),"")</f>
        <v/>
      </c>
      <c r="AL429" s="98" t="str">
        <f t="shared" si="28"/>
        <v/>
      </c>
      <c r="AM429" s="99" t="str">
        <f t="shared" si="29"/>
        <v/>
      </c>
      <c r="AN429" s="100" t="str">
        <f ca="1">IFERROR(__xludf.DUMMYFUNCTION("IFERROR(VLOOKUP(F452,IMPORTRANGE(""https://docs.google.com/spreadsheets/d/1Kvs4KS76FHFqLFIZfrDMff4kP08nblUkihrxltoGBjg/edit#gid=934712705"",""ESENCIAL!A6:BG""),2,FALSE))"),"")</f>
        <v/>
      </c>
      <c r="AO429" s="19" t="str">
        <f t="shared" si="20"/>
        <v/>
      </c>
      <c r="AP429" s="100"/>
      <c r="AQ429" s="100"/>
    </row>
    <row r="430" spans="1:43" ht="15">
      <c r="A430" s="5"/>
      <c r="B430" s="101"/>
      <c r="G430" s="5" t="str">
        <f ca="1">IFERROR(__xludf.DUMMYFUNCTION("IFERROR(VLOOKUP(F453,IMPORTRANGE(""https://docs.google.com/spreadsheets/d/1Kvs4KS76FHFqLFIZfrDMff4kP08nblUkihrxltoGBjg/edit#gid=934712705"",""ESENCIAL!A6:BG""),3,FALSE))"),"")</f>
        <v/>
      </c>
      <c r="H430" s="5" t="str">
        <f ca="1">IFERROR(__xludf.DUMMYFUNCTION("IFERROR(VLOOKUP(F453,IMPORTRANGE(""https://docs.google.com/spreadsheets/d/1Kvs4KS76FHFqLFIZfrDMff4kP08nblUkihrxltoGBjg/edit#gid=934712705"",""ESENCIAL!A6:BG""),8,FALSE))"),"")</f>
        <v/>
      </c>
      <c r="L430" s="287"/>
      <c r="Z430" s="41" t="str">
        <f t="shared" si="27"/>
        <v/>
      </c>
      <c r="AA430" s="5" t="str">
        <f ca="1">IFERROR(__xludf.DUMMYFUNCTION("IFERROR(VLOOKUP(E453&amp;F453,IMPORTRANGE(""https://docs.google.com/spreadsheets/d/1Uw7-A9f9R21vMXxHZFNpYNeKFtG8_yji4HS352LGlSQ/edit?pli=1#gid=0"",""1_ACUM!A4:S""),11,FALSE))"),"")</f>
        <v/>
      </c>
      <c r="AB430" s="42" t="str">
        <f ca="1">IFERROR(__xludf.DUMMYFUNCTION("IFERROR(VLOOKUP(F453,IMPORTRANGE(""https://docs.google.com/spreadsheets/d/1Kvs4KS76FHFqLFIZfrDMff4kP08nblUkihrxltoGBjg/edit#gid=934712705"",""ESENCIAL!A6:BG""),15,FALSE))"),"")</f>
        <v/>
      </c>
      <c r="AC430" s="110" t="str">
        <f ca="1">IFERROR(__xludf.DUMMYFUNCTION("IFERROR(VLOOKUP(E453&amp;F453,IMPORTRANGE(""https://docs.google.com/spreadsheets/d/1Uw7-A9f9R21vMXxHZFNpYNeKFtG8_yji4HS352LGlSQ/edit?pli=1#gid=0"",""1_ACUM!A4:S""),13,FALSE))"),"")</f>
        <v/>
      </c>
      <c r="AD430" s="43" t="str">
        <f ca="1">IFERROR(__xludf.DUMMYFUNCTION("IFERROR(VLOOKUP(E453&amp;F453,IMPORTRANGE(""https://docs.google.com/spreadsheets/d/1Uw7-A9f9R21vMXxHZFNpYNeKFtG8_yji4HS352LGlSQ/edit?pli=1#gid=0"",""1_ACUM!A4:S""),13,FALSE))"),"")</f>
        <v/>
      </c>
      <c r="AE430" s="43" t="str">
        <f ca="1">IFERROR(__xludf.DUMMYFUNCTION("IFERROR(VLOOKUP(E453&amp;F453,IMPORTRANGE(""https://docs.google.com/spreadsheets/d/1Uw7-A9f9R21vMXxHZFNpYNeKFtG8_yji4HS352LGlSQ/edit?pli=1#gid=0"",""1_ACUM!A4:S""),14,FALSE))"),"")</f>
        <v/>
      </c>
      <c r="AF430" s="43" t="str">
        <f ca="1">IFERROR(__xludf.DUMMYFUNCTION("IFERROR(VLOOKUP(E453&amp;F453,IMPORTRANGE(""https://docs.google.com/spreadsheets/d/1Uw7-A9f9R21vMXxHZFNpYNeKFtG8_yji4HS352LGlSQ/edit?pli=1#gid=0"",""1_ACUM!A4:S""),15,FALSE))"),"")</f>
        <v/>
      </c>
      <c r="AG430" s="43" t="str">
        <f ca="1">IFERROR(__xludf.DUMMYFUNCTION("IFERROR(VLOOKUP(E453&amp;F453,IMPORTRANGE(""https://docs.google.com/spreadsheets/d/1Uw7-A9f9R21vMXxHZFNpYNeKFtG8_yji4HS352LGlSQ/edit?pli=1#gid=0"",""1_ACUM!A4:S""),16,FALSE))"),"")</f>
        <v/>
      </c>
      <c r="AH430" s="43" t="str">
        <f ca="1">IFERROR(__xludf.DUMMYFUNCTION("IFERROR(VLOOKUP(E453&amp;F453,IMPORTRANGE(""https://docs.google.com/spreadsheets/d/1Uw7-A9f9R21vMXxHZFNpYNeKFtG8_yji4HS352LGlSQ/edit?pli=1#gid=0"",""1_ACUM!A4:S""),17,FALSE))"),"")</f>
        <v/>
      </c>
      <c r="AI430" s="44" t="str">
        <f ca="1">IFERROR(__xludf.DUMMYFUNCTION("IFERROR(VLOOKUP(E453&amp;F453,IMPORTRANGE(""https://docs.google.com/spreadsheets/d/1Uw7-A9f9R21vMXxHZFNpYNeKFtG8_yji4HS352LGlSQ/edit?pli=1#gid=0"",""1_ACUM!A4:S""),18,FALSE))"),"")</f>
        <v/>
      </c>
      <c r="AJ430" s="44" t="str">
        <f ca="1">IFERROR(__xludf.DUMMYFUNCTION("IFERROR(VLOOKUP(E453&amp;F453,IMPORTRANGE(""https://docs.google.com/spreadsheets/d/1Uw7-A9f9R21vMXxHZFNpYNeKFtG8_yji4HS352LGlSQ/edit?pli=1#gid=0"",""1_ACUM!A4:S""),19,FALSE))"),"")</f>
        <v/>
      </c>
      <c r="AK430" s="98" t="str">
        <f ca="1">IFERROR(__xludf.DUMMYFUNCTION("IFERROR(VLOOKUP(F453,IMPORTRANGE(""https://docs.google.com/spreadsheets/d/1Kvs4KS76FHFqLFIZfrDMff4kP08nblUkihrxltoGBjg/edit#gid=934712705"",""ESENCIAL!A6:BG""),5,FALSE))"),"")</f>
        <v/>
      </c>
      <c r="AL430" s="98" t="str">
        <f t="shared" si="28"/>
        <v/>
      </c>
      <c r="AM430" s="99" t="str">
        <f t="shared" si="29"/>
        <v/>
      </c>
      <c r="AN430" s="100" t="str">
        <f ca="1">IFERROR(__xludf.DUMMYFUNCTION("IFERROR(VLOOKUP(F453,IMPORTRANGE(""https://docs.google.com/spreadsheets/d/1Kvs4KS76FHFqLFIZfrDMff4kP08nblUkihrxltoGBjg/edit#gid=934712705"",""ESENCIAL!A6:BG""),2,FALSE))"),"")</f>
        <v/>
      </c>
      <c r="AO430" s="19" t="str">
        <f t="shared" si="20"/>
        <v/>
      </c>
      <c r="AP430" s="100"/>
      <c r="AQ430" s="100"/>
    </row>
    <row r="431" spans="1:43" ht="15">
      <c r="A431" s="5"/>
      <c r="B431" s="101"/>
      <c r="G431" s="5" t="str">
        <f ca="1">IFERROR(__xludf.DUMMYFUNCTION("IFERROR(VLOOKUP(F454,IMPORTRANGE(""https://docs.google.com/spreadsheets/d/1Kvs4KS76FHFqLFIZfrDMff4kP08nblUkihrxltoGBjg/edit#gid=934712705"",""ESENCIAL!A6:BG""),3,FALSE))"),"")</f>
        <v/>
      </c>
      <c r="H431" s="5" t="str">
        <f ca="1">IFERROR(__xludf.DUMMYFUNCTION("IFERROR(VLOOKUP(F454,IMPORTRANGE(""https://docs.google.com/spreadsheets/d/1Kvs4KS76FHFqLFIZfrDMff4kP08nblUkihrxltoGBjg/edit#gid=934712705"",""ESENCIAL!A6:BG""),8,FALSE))"),"")</f>
        <v/>
      </c>
      <c r="L431" s="287"/>
      <c r="Z431" s="41" t="str">
        <f t="shared" si="27"/>
        <v/>
      </c>
      <c r="AA431" s="5" t="str">
        <f ca="1">IFERROR(__xludf.DUMMYFUNCTION("IFERROR(VLOOKUP(E454&amp;F454,IMPORTRANGE(""https://docs.google.com/spreadsheets/d/1Uw7-A9f9R21vMXxHZFNpYNeKFtG8_yji4HS352LGlSQ/edit?pli=1#gid=0"",""1_ACUM!A4:S""),11,FALSE))"),"")</f>
        <v/>
      </c>
      <c r="AB431" s="42" t="str">
        <f ca="1">IFERROR(__xludf.DUMMYFUNCTION("IFERROR(VLOOKUP(F454,IMPORTRANGE(""https://docs.google.com/spreadsheets/d/1Kvs4KS76FHFqLFIZfrDMff4kP08nblUkihrxltoGBjg/edit#gid=934712705"",""ESENCIAL!A6:BG""),15,FALSE))"),"")</f>
        <v/>
      </c>
      <c r="AC431" s="110" t="str">
        <f ca="1">IFERROR(__xludf.DUMMYFUNCTION("IFERROR(VLOOKUP(E454&amp;F454,IMPORTRANGE(""https://docs.google.com/spreadsheets/d/1Uw7-A9f9R21vMXxHZFNpYNeKFtG8_yji4HS352LGlSQ/edit?pli=1#gid=0"",""1_ACUM!A4:S""),13,FALSE))"),"")</f>
        <v/>
      </c>
      <c r="AD431" s="43" t="str">
        <f ca="1">IFERROR(__xludf.DUMMYFUNCTION("IFERROR(VLOOKUP(E454&amp;F454,IMPORTRANGE(""https://docs.google.com/spreadsheets/d/1Uw7-A9f9R21vMXxHZFNpYNeKFtG8_yji4HS352LGlSQ/edit?pli=1#gid=0"",""1_ACUM!A4:S""),13,FALSE))"),"")</f>
        <v/>
      </c>
      <c r="AE431" s="43" t="str">
        <f ca="1">IFERROR(__xludf.DUMMYFUNCTION("IFERROR(VLOOKUP(E454&amp;F454,IMPORTRANGE(""https://docs.google.com/spreadsheets/d/1Uw7-A9f9R21vMXxHZFNpYNeKFtG8_yji4HS352LGlSQ/edit?pli=1#gid=0"",""1_ACUM!A4:S""),14,FALSE))"),"")</f>
        <v/>
      </c>
      <c r="AF431" s="43" t="str">
        <f ca="1">IFERROR(__xludf.DUMMYFUNCTION("IFERROR(VLOOKUP(E454&amp;F454,IMPORTRANGE(""https://docs.google.com/spreadsheets/d/1Uw7-A9f9R21vMXxHZFNpYNeKFtG8_yji4HS352LGlSQ/edit?pli=1#gid=0"",""1_ACUM!A4:S""),15,FALSE))"),"")</f>
        <v/>
      </c>
      <c r="AG431" s="43" t="str">
        <f ca="1">IFERROR(__xludf.DUMMYFUNCTION("IFERROR(VLOOKUP(E454&amp;F454,IMPORTRANGE(""https://docs.google.com/spreadsheets/d/1Uw7-A9f9R21vMXxHZFNpYNeKFtG8_yji4HS352LGlSQ/edit?pli=1#gid=0"",""1_ACUM!A4:S""),16,FALSE))"),"")</f>
        <v/>
      </c>
      <c r="AH431" s="43" t="str">
        <f ca="1">IFERROR(__xludf.DUMMYFUNCTION("IFERROR(VLOOKUP(E454&amp;F454,IMPORTRANGE(""https://docs.google.com/spreadsheets/d/1Uw7-A9f9R21vMXxHZFNpYNeKFtG8_yji4HS352LGlSQ/edit?pli=1#gid=0"",""1_ACUM!A4:S""),17,FALSE))"),"")</f>
        <v/>
      </c>
      <c r="AI431" s="44" t="str">
        <f ca="1">IFERROR(__xludf.DUMMYFUNCTION("IFERROR(VLOOKUP(E454&amp;F454,IMPORTRANGE(""https://docs.google.com/spreadsheets/d/1Uw7-A9f9R21vMXxHZFNpYNeKFtG8_yji4HS352LGlSQ/edit?pli=1#gid=0"",""1_ACUM!A4:S""),18,FALSE))"),"")</f>
        <v/>
      </c>
      <c r="AJ431" s="44" t="str">
        <f ca="1">IFERROR(__xludf.DUMMYFUNCTION("IFERROR(VLOOKUP(E454&amp;F454,IMPORTRANGE(""https://docs.google.com/spreadsheets/d/1Uw7-A9f9R21vMXxHZFNpYNeKFtG8_yji4HS352LGlSQ/edit?pli=1#gid=0"",""1_ACUM!A4:S""),19,FALSE))"),"")</f>
        <v/>
      </c>
      <c r="AK431" s="98" t="str">
        <f ca="1">IFERROR(__xludf.DUMMYFUNCTION("IFERROR(VLOOKUP(F454,IMPORTRANGE(""https://docs.google.com/spreadsheets/d/1Kvs4KS76FHFqLFIZfrDMff4kP08nblUkihrxltoGBjg/edit#gid=934712705"",""ESENCIAL!A6:BG""),5,FALSE))"),"")</f>
        <v/>
      </c>
      <c r="AL431" s="98" t="str">
        <f t="shared" si="28"/>
        <v/>
      </c>
      <c r="AM431" s="99" t="str">
        <f t="shared" si="29"/>
        <v/>
      </c>
      <c r="AN431" s="100" t="str">
        <f ca="1">IFERROR(__xludf.DUMMYFUNCTION("IFERROR(VLOOKUP(F454,IMPORTRANGE(""https://docs.google.com/spreadsheets/d/1Kvs4KS76FHFqLFIZfrDMff4kP08nblUkihrxltoGBjg/edit#gid=934712705"",""ESENCIAL!A6:BG""),2,FALSE))"),"")</f>
        <v/>
      </c>
      <c r="AO431" s="19" t="str">
        <f t="shared" si="20"/>
        <v/>
      </c>
      <c r="AP431" s="100"/>
      <c r="AQ431" s="100"/>
    </row>
    <row r="432" spans="1:43" ht="15">
      <c r="A432" s="5"/>
      <c r="B432" s="101"/>
      <c r="G432" s="5" t="str">
        <f ca="1">IFERROR(__xludf.DUMMYFUNCTION("IFERROR(VLOOKUP(F455,IMPORTRANGE(""https://docs.google.com/spreadsheets/d/1Kvs4KS76FHFqLFIZfrDMff4kP08nblUkihrxltoGBjg/edit#gid=934712705"",""ESENCIAL!A6:BG""),3,FALSE))"),"")</f>
        <v/>
      </c>
      <c r="H432" s="5" t="str">
        <f ca="1">IFERROR(__xludf.DUMMYFUNCTION("IFERROR(VLOOKUP(F455,IMPORTRANGE(""https://docs.google.com/spreadsheets/d/1Kvs4KS76FHFqLFIZfrDMff4kP08nblUkihrxltoGBjg/edit#gid=934712705"",""ESENCIAL!A6:BG""),8,FALSE))"),"")</f>
        <v/>
      </c>
      <c r="L432" s="287"/>
      <c r="Z432" s="41" t="str">
        <f t="shared" si="27"/>
        <v/>
      </c>
      <c r="AA432" s="5" t="str">
        <f ca="1">IFERROR(__xludf.DUMMYFUNCTION("IFERROR(VLOOKUP(E455&amp;F455,IMPORTRANGE(""https://docs.google.com/spreadsheets/d/1Uw7-A9f9R21vMXxHZFNpYNeKFtG8_yji4HS352LGlSQ/edit?pli=1#gid=0"",""1_ACUM!A4:S""),11,FALSE))"),"")</f>
        <v/>
      </c>
      <c r="AB432" s="42" t="str">
        <f ca="1">IFERROR(__xludf.DUMMYFUNCTION("IFERROR(VLOOKUP(F455,IMPORTRANGE(""https://docs.google.com/spreadsheets/d/1Kvs4KS76FHFqLFIZfrDMff4kP08nblUkihrxltoGBjg/edit#gid=934712705"",""ESENCIAL!A6:BG""),15,FALSE))"),"")</f>
        <v/>
      </c>
      <c r="AC432" s="110" t="str">
        <f ca="1">IFERROR(__xludf.DUMMYFUNCTION("IFERROR(VLOOKUP(E455&amp;F455,IMPORTRANGE(""https://docs.google.com/spreadsheets/d/1Uw7-A9f9R21vMXxHZFNpYNeKFtG8_yji4HS352LGlSQ/edit?pli=1#gid=0"",""1_ACUM!A4:S""),13,FALSE))"),"")</f>
        <v/>
      </c>
      <c r="AD432" s="43" t="str">
        <f ca="1">IFERROR(__xludf.DUMMYFUNCTION("IFERROR(VLOOKUP(E455&amp;F455,IMPORTRANGE(""https://docs.google.com/spreadsheets/d/1Uw7-A9f9R21vMXxHZFNpYNeKFtG8_yji4HS352LGlSQ/edit?pli=1#gid=0"",""1_ACUM!A4:S""),13,FALSE))"),"")</f>
        <v/>
      </c>
      <c r="AE432" s="43" t="str">
        <f ca="1">IFERROR(__xludf.DUMMYFUNCTION("IFERROR(VLOOKUP(E455&amp;F455,IMPORTRANGE(""https://docs.google.com/spreadsheets/d/1Uw7-A9f9R21vMXxHZFNpYNeKFtG8_yji4HS352LGlSQ/edit?pli=1#gid=0"",""1_ACUM!A4:S""),14,FALSE))"),"")</f>
        <v/>
      </c>
      <c r="AF432" s="43" t="str">
        <f ca="1">IFERROR(__xludf.DUMMYFUNCTION("IFERROR(VLOOKUP(E455&amp;F455,IMPORTRANGE(""https://docs.google.com/spreadsheets/d/1Uw7-A9f9R21vMXxHZFNpYNeKFtG8_yji4HS352LGlSQ/edit?pli=1#gid=0"",""1_ACUM!A4:S""),15,FALSE))"),"")</f>
        <v/>
      </c>
      <c r="AG432" s="43" t="str">
        <f ca="1">IFERROR(__xludf.DUMMYFUNCTION("IFERROR(VLOOKUP(E455&amp;F455,IMPORTRANGE(""https://docs.google.com/spreadsheets/d/1Uw7-A9f9R21vMXxHZFNpYNeKFtG8_yji4HS352LGlSQ/edit?pli=1#gid=0"",""1_ACUM!A4:S""),16,FALSE))"),"")</f>
        <v/>
      </c>
      <c r="AH432" s="43" t="str">
        <f ca="1">IFERROR(__xludf.DUMMYFUNCTION("IFERROR(VLOOKUP(E455&amp;F455,IMPORTRANGE(""https://docs.google.com/spreadsheets/d/1Uw7-A9f9R21vMXxHZFNpYNeKFtG8_yji4HS352LGlSQ/edit?pli=1#gid=0"",""1_ACUM!A4:S""),17,FALSE))"),"")</f>
        <v/>
      </c>
      <c r="AI432" s="44" t="str">
        <f ca="1">IFERROR(__xludf.DUMMYFUNCTION("IFERROR(VLOOKUP(E455&amp;F455,IMPORTRANGE(""https://docs.google.com/spreadsheets/d/1Uw7-A9f9R21vMXxHZFNpYNeKFtG8_yji4HS352LGlSQ/edit?pli=1#gid=0"",""1_ACUM!A4:S""),18,FALSE))"),"")</f>
        <v/>
      </c>
      <c r="AJ432" s="44" t="str">
        <f ca="1">IFERROR(__xludf.DUMMYFUNCTION("IFERROR(VLOOKUP(E455&amp;F455,IMPORTRANGE(""https://docs.google.com/spreadsheets/d/1Uw7-A9f9R21vMXxHZFNpYNeKFtG8_yji4HS352LGlSQ/edit?pli=1#gid=0"",""1_ACUM!A4:S""),19,FALSE))"),"")</f>
        <v/>
      </c>
      <c r="AK432" s="98" t="str">
        <f ca="1">IFERROR(__xludf.DUMMYFUNCTION("IFERROR(VLOOKUP(F455,IMPORTRANGE(""https://docs.google.com/spreadsheets/d/1Kvs4KS76FHFqLFIZfrDMff4kP08nblUkihrxltoGBjg/edit#gid=934712705"",""ESENCIAL!A6:BG""),5,FALSE))"),"")</f>
        <v/>
      </c>
      <c r="AL432" s="98" t="str">
        <f t="shared" si="28"/>
        <v/>
      </c>
      <c r="AM432" s="99" t="str">
        <f t="shared" si="29"/>
        <v/>
      </c>
      <c r="AN432" s="100" t="str">
        <f ca="1">IFERROR(__xludf.DUMMYFUNCTION("IFERROR(VLOOKUP(F455,IMPORTRANGE(""https://docs.google.com/spreadsheets/d/1Kvs4KS76FHFqLFIZfrDMff4kP08nblUkihrxltoGBjg/edit#gid=934712705"",""ESENCIAL!A6:BG""),2,FALSE))"),"")</f>
        <v/>
      </c>
      <c r="AO432" s="19" t="str">
        <f t="shared" si="20"/>
        <v/>
      </c>
      <c r="AP432" s="100"/>
      <c r="AQ432" s="100"/>
    </row>
    <row r="433" spans="1:43" ht="15">
      <c r="A433" s="5"/>
      <c r="B433" s="5"/>
      <c r="G433" s="5" t="str">
        <f ca="1">IFERROR(__xludf.DUMMYFUNCTION("IFERROR(VLOOKUP(F456,IMPORTRANGE(""https://docs.google.com/spreadsheets/d/1Kvs4KS76FHFqLFIZfrDMff4kP08nblUkihrxltoGBjg/edit#gid=934712705"",""ESENCIAL!A6:BG""),3,FALSE))"),"")</f>
        <v/>
      </c>
      <c r="H433" s="5" t="str">
        <f ca="1">IFERROR(__xludf.DUMMYFUNCTION("IFERROR(VLOOKUP(F456,IMPORTRANGE(""https://docs.google.com/spreadsheets/d/1Kvs4KS76FHFqLFIZfrDMff4kP08nblUkihrxltoGBjg/edit#gid=934712705"",""ESENCIAL!A6:BG""),8,FALSE))"),"")</f>
        <v/>
      </c>
      <c r="L433" s="287"/>
      <c r="Z433" s="41" t="str">
        <f t="shared" si="27"/>
        <v/>
      </c>
      <c r="AA433" s="5" t="str">
        <f ca="1">IFERROR(__xludf.DUMMYFUNCTION("IFERROR(VLOOKUP(E456&amp;F456,IMPORTRANGE(""https://docs.google.com/spreadsheets/d/1Uw7-A9f9R21vMXxHZFNpYNeKFtG8_yji4HS352LGlSQ/edit?pli=1#gid=0"",""1_ACUM!A4:S""),11,FALSE))"),"")</f>
        <v/>
      </c>
      <c r="AB433" s="42" t="str">
        <f ca="1">IFERROR(__xludf.DUMMYFUNCTION("IFERROR(VLOOKUP(F456,IMPORTRANGE(""https://docs.google.com/spreadsheets/d/1Kvs4KS76FHFqLFIZfrDMff4kP08nblUkihrxltoGBjg/edit#gid=934712705"",""ESENCIAL!A6:BG""),15,FALSE))"),"")</f>
        <v/>
      </c>
      <c r="AC433" s="110" t="str">
        <f ca="1">IFERROR(__xludf.DUMMYFUNCTION("IFERROR(VLOOKUP(E456&amp;F456,IMPORTRANGE(""https://docs.google.com/spreadsheets/d/1Uw7-A9f9R21vMXxHZFNpYNeKFtG8_yji4HS352LGlSQ/edit?pli=1#gid=0"",""1_ACUM!A4:S""),13,FALSE))"),"")</f>
        <v/>
      </c>
      <c r="AD433" s="43" t="str">
        <f ca="1">IFERROR(__xludf.DUMMYFUNCTION("IFERROR(VLOOKUP(E456&amp;F456,IMPORTRANGE(""https://docs.google.com/spreadsheets/d/1Uw7-A9f9R21vMXxHZFNpYNeKFtG8_yji4HS352LGlSQ/edit?pli=1#gid=0"",""1_ACUM!A4:S""),13,FALSE))"),"")</f>
        <v/>
      </c>
      <c r="AE433" s="43" t="str">
        <f ca="1">IFERROR(__xludf.DUMMYFUNCTION("IFERROR(VLOOKUP(E456&amp;F456,IMPORTRANGE(""https://docs.google.com/spreadsheets/d/1Uw7-A9f9R21vMXxHZFNpYNeKFtG8_yji4HS352LGlSQ/edit?pli=1#gid=0"",""1_ACUM!A4:S""),14,FALSE))"),"")</f>
        <v/>
      </c>
      <c r="AF433" s="43" t="str">
        <f ca="1">IFERROR(__xludf.DUMMYFUNCTION("IFERROR(VLOOKUP(E456&amp;F456,IMPORTRANGE(""https://docs.google.com/spreadsheets/d/1Uw7-A9f9R21vMXxHZFNpYNeKFtG8_yji4HS352LGlSQ/edit?pli=1#gid=0"",""1_ACUM!A4:S""),15,FALSE))"),"")</f>
        <v/>
      </c>
      <c r="AG433" s="43" t="str">
        <f ca="1">IFERROR(__xludf.DUMMYFUNCTION("IFERROR(VLOOKUP(E456&amp;F456,IMPORTRANGE(""https://docs.google.com/spreadsheets/d/1Uw7-A9f9R21vMXxHZFNpYNeKFtG8_yji4HS352LGlSQ/edit?pli=1#gid=0"",""1_ACUM!A4:S""),16,FALSE))"),"")</f>
        <v/>
      </c>
      <c r="AH433" s="43" t="str">
        <f ca="1">IFERROR(__xludf.DUMMYFUNCTION("IFERROR(VLOOKUP(E456&amp;F456,IMPORTRANGE(""https://docs.google.com/spreadsheets/d/1Uw7-A9f9R21vMXxHZFNpYNeKFtG8_yji4HS352LGlSQ/edit?pli=1#gid=0"",""1_ACUM!A4:S""),17,FALSE))"),"")</f>
        <v/>
      </c>
      <c r="AI433" s="44" t="str">
        <f ca="1">IFERROR(__xludf.DUMMYFUNCTION("IFERROR(VLOOKUP(E456&amp;F456,IMPORTRANGE(""https://docs.google.com/spreadsheets/d/1Uw7-A9f9R21vMXxHZFNpYNeKFtG8_yji4HS352LGlSQ/edit?pli=1#gid=0"",""1_ACUM!A4:S""),18,FALSE))"),"")</f>
        <v/>
      </c>
      <c r="AJ433" s="44" t="str">
        <f ca="1">IFERROR(__xludf.DUMMYFUNCTION("IFERROR(VLOOKUP(E456&amp;F456,IMPORTRANGE(""https://docs.google.com/spreadsheets/d/1Uw7-A9f9R21vMXxHZFNpYNeKFtG8_yji4HS352LGlSQ/edit?pli=1#gid=0"",""1_ACUM!A4:S""),19,FALSE))"),"")</f>
        <v/>
      </c>
      <c r="AK433" s="98" t="str">
        <f ca="1">IFERROR(__xludf.DUMMYFUNCTION("IFERROR(VLOOKUP(F456,IMPORTRANGE(""https://docs.google.com/spreadsheets/d/1Kvs4KS76FHFqLFIZfrDMff4kP08nblUkihrxltoGBjg/edit#gid=934712705"",""ESENCIAL!A6:BG""),5,FALSE))"),"")</f>
        <v/>
      </c>
      <c r="AL433" s="98" t="str">
        <f t="shared" si="28"/>
        <v/>
      </c>
      <c r="AM433" s="99" t="str">
        <f t="shared" si="29"/>
        <v/>
      </c>
      <c r="AN433" s="100" t="str">
        <f ca="1">IFERROR(__xludf.DUMMYFUNCTION("IFERROR(VLOOKUP(F456,IMPORTRANGE(""https://docs.google.com/spreadsheets/d/1Kvs4KS76FHFqLFIZfrDMff4kP08nblUkihrxltoGBjg/edit#gid=934712705"",""ESENCIAL!A6:BG""),2,FALSE))"),"")</f>
        <v/>
      </c>
      <c r="AO433" s="19" t="str">
        <f t="shared" si="20"/>
        <v/>
      </c>
      <c r="AP433" s="100"/>
      <c r="AQ433" s="100"/>
    </row>
    <row r="434" spans="1:43" ht="15">
      <c r="A434" s="5"/>
      <c r="B434" s="5"/>
      <c r="G434" s="5" t="str">
        <f ca="1">IFERROR(__xludf.DUMMYFUNCTION("IFERROR(VLOOKUP(F457,IMPORTRANGE(""https://docs.google.com/spreadsheets/d/1Kvs4KS76FHFqLFIZfrDMff4kP08nblUkihrxltoGBjg/edit#gid=934712705"",""ESENCIAL!A6:BG""),3,FALSE))"),"")</f>
        <v/>
      </c>
      <c r="H434" s="5" t="str">
        <f ca="1">IFERROR(__xludf.DUMMYFUNCTION("IFERROR(VLOOKUP(F457,IMPORTRANGE(""https://docs.google.com/spreadsheets/d/1Kvs4KS76FHFqLFIZfrDMff4kP08nblUkihrxltoGBjg/edit#gid=934712705"",""ESENCIAL!A6:BG""),8,FALSE))"),"")</f>
        <v/>
      </c>
      <c r="L434" s="287"/>
      <c r="Z434" s="41" t="str">
        <f t="shared" si="27"/>
        <v/>
      </c>
      <c r="AA434" s="5" t="str">
        <f ca="1">IFERROR(__xludf.DUMMYFUNCTION("IFERROR(VLOOKUP(E457&amp;F457,IMPORTRANGE(""https://docs.google.com/spreadsheets/d/1Uw7-A9f9R21vMXxHZFNpYNeKFtG8_yji4HS352LGlSQ/edit?pli=1#gid=0"",""1_ACUM!A4:S""),11,FALSE))"),"")</f>
        <v/>
      </c>
      <c r="AB434" s="42" t="str">
        <f ca="1">IFERROR(__xludf.DUMMYFUNCTION("IFERROR(VLOOKUP(F457,IMPORTRANGE(""https://docs.google.com/spreadsheets/d/1Kvs4KS76FHFqLFIZfrDMff4kP08nblUkihrxltoGBjg/edit#gid=934712705"",""ESENCIAL!A6:BG""),15,FALSE))"),"")</f>
        <v/>
      </c>
      <c r="AC434" s="110" t="str">
        <f ca="1">IFERROR(__xludf.DUMMYFUNCTION("IFERROR(VLOOKUP(E457&amp;F457,IMPORTRANGE(""https://docs.google.com/spreadsheets/d/1Uw7-A9f9R21vMXxHZFNpYNeKFtG8_yji4HS352LGlSQ/edit?pli=1#gid=0"",""1_ACUM!A4:S""),13,FALSE))"),"")</f>
        <v/>
      </c>
      <c r="AD434" s="43" t="str">
        <f ca="1">IFERROR(__xludf.DUMMYFUNCTION("IFERROR(VLOOKUP(E457&amp;F457,IMPORTRANGE(""https://docs.google.com/spreadsheets/d/1Uw7-A9f9R21vMXxHZFNpYNeKFtG8_yji4HS352LGlSQ/edit?pli=1#gid=0"",""1_ACUM!A4:S""),13,FALSE))"),"")</f>
        <v/>
      </c>
      <c r="AE434" s="43" t="str">
        <f ca="1">IFERROR(__xludf.DUMMYFUNCTION("IFERROR(VLOOKUP(E457&amp;F457,IMPORTRANGE(""https://docs.google.com/spreadsheets/d/1Uw7-A9f9R21vMXxHZFNpYNeKFtG8_yji4HS352LGlSQ/edit?pli=1#gid=0"",""1_ACUM!A4:S""),14,FALSE))"),"")</f>
        <v/>
      </c>
      <c r="AF434" s="43" t="str">
        <f ca="1">IFERROR(__xludf.DUMMYFUNCTION("IFERROR(VLOOKUP(E457&amp;F457,IMPORTRANGE(""https://docs.google.com/spreadsheets/d/1Uw7-A9f9R21vMXxHZFNpYNeKFtG8_yji4HS352LGlSQ/edit?pli=1#gid=0"",""1_ACUM!A4:S""),15,FALSE))"),"")</f>
        <v/>
      </c>
      <c r="AG434" s="43" t="str">
        <f ca="1">IFERROR(__xludf.DUMMYFUNCTION("IFERROR(VLOOKUP(E457&amp;F457,IMPORTRANGE(""https://docs.google.com/spreadsheets/d/1Uw7-A9f9R21vMXxHZFNpYNeKFtG8_yji4HS352LGlSQ/edit?pli=1#gid=0"",""1_ACUM!A4:S""),16,FALSE))"),"")</f>
        <v/>
      </c>
      <c r="AH434" s="43" t="str">
        <f ca="1">IFERROR(__xludf.DUMMYFUNCTION("IFERROR(VLOOKUP(E457&amp;F457,IMPORTRANGE(""https://docs.google.com/spreadsheets/d/1Uw7-A9f9R21vMXxHZFNpYNeKFtG8_yji4HS352LGlSQ/edit?pli=1#gid=0"",""1_ACUM!A4:S""),17,FALSE))"),"")</f>
        <v/>
      </c>
      <c r="AI434" s="44" t="str">
        <f ca="1">IFERROR(__xludf.DUMMYFUNCTION("IFERROR(VLOOKUP(E457&amp;F457,IMPORTRANGE(""https://docs.google.com/spreadsheets/d/1Uw7-A9f9R21vMXxHZFNpYNeKFtG8_yji4HS352LGlSQ/edit?pli=1#gid=0"",""1_ACUM!A4:S""),18,FALSE))"),"")</f>
        <v/>
      </c>
      <c r="AJ434" s="44" t="str">
        <f ca="1">IFERROR(__xludf.DUMMYFUNCTION("IFERROR(VLOOKUP(E457&amp;F457,IMPORTRANGE(""https://docs.google.com/spreadsheets/d/1Uw7-A9f9R21vMXxHZFNpYNeKFtG8_yji4HS352LGlSQ/edit?pli=1#gid=0"",""1_ACUM!A4:S""),19,FALSE))"),"")</f>
        <v/>
      </c>
      <c r="AK434" s="98" t="str">
        <f ca="1">IFERROR(__xludf.DUMMYFUNCTION("IFERROR(VLOOKUP(F457,IMPORTRANGE(""https://docs.google.com/spreadsheets/d/1Kvs4KS76FHFqLFIZfrDMff4kP08nblUkihrxltoGBjg/edit#gid=934712705"",""ESENCIAL!A6:BG""),5,FALSE))"),"")</f>
        <v/>
      </c>
      <c r="AL434" s="98" t="str">
        <f t="shared" si="28"/>
        <v/>
      </c>
      <c r="AM434" s="99" t="str">
        <f t="shared" si="29"/>
        <v/>
      </c>
      <c r="AN434" s="100" t="str">
        <f ca="1">IFERROR(__xludf.DUMMYFUNCTION("IFERROR(VLOOKUP(F457,IMPORTRANGE(""https://docs.google.com/spreadsheets/d/1Kvs4KS76FHFqLFIZfrDMff4kP08nblUkihrxltoGBjg/edit#gid=934712705"",""ESENCIAL!A6:BG""),2,FALSE))"),"")</f>
        <v/>
      </c>
      <c r="AO434" s="19" t="str">
        <f t="shared" si="20"/>
        <v/>
      </c>
      <c r="AP434" s="100"/>
      <c r="AQ434" s="100"/>
    </row>
    <row r="435" spans="1:43" ht="15">
      <c r="A435" s="5"/>
      <c r="B435" s="5"/>
      <c r="G435" s="5" t="str">
        <f ca="1">IFERROR(__xludf.DUMMYFUNCTION("IFERROR(VLOOKUP(F458,IMPORTRANGE(""https://docs.google.com/spreadsheets/d/1Kvs4KS76FHFqLFIZfrDMff4kP08nblUkihrxltoGBjg/edit#gid=934712705"",""ESENCIAL!A6:BG""),3,FALSE))"),"")</f>
        <v/>
      </c>
      <c r="H435" s="5" t="str">
        <f ca="1">IFERROR(__xludf.DUMMYFUNCTION("IFERROR(VLOOKUP(F458,IMPORTRANGE(""https://docs.google.com/spreadsheets/d/1Kvs4KS76FHFqLFIZfrDMff4kP08nblUkihrxltoGBjg/edit#gid=934712705"",""ESENCIAL!A6:BG""),8,FALSE))"),"")</f>
        <v/>
      </c>
      <c r="L435" s="287"/>
      <c r="Z435" s="41" t="str">
        <f t="shared" si="27"/>
        <v/>
      </c>
      <c r="AA435" s="5" t="str">
        <f ca="1">IFERROR(__xludf.DUMMYFUNCTION("IFERROR(VLOOKUP(E458&amp;F458,IMPORTRANGE(""https://docs.google.com/spreadsheets/d/1Uw7-A9f9R21vMXxHZFNpYNeKFtG8_yji4HS352LGlSQ/edit?pli=1#gid=0"",""1_ACUM!A4:S""),11,FALSE))"),"")</f>
        <v/>
      </c>
      <c r="AB435" s="42" t="str">
        <f ca="1">IFERROR(__xludf.DUMMYFUNCTION("IFERROR(VLOOKUP(F458,IMPORTRANGE(""https://docs.google.com/spreadsheets/d/1Kvs4KS76FHFqLFIZfrDMff4kP08nblUkihrxltoGBjg/edit#gid=934712705"",""ESENCIAL!A6:BG""),15,FALSE))"),"")</f>
        <v/>
      </c>
      <c r="AC435" s="110" t="str">
        <f ca="1">IFERROR(__xludf.DUMMYFUNCTION("IFERROR(VLOOKUP(E458&amp;F458,IMPORTRANGE(""https://docs.google.com/spreadsheets/d/1Uw7-A9f9R21vMXxHZFNpYNeKFtG8_yji4HS352LGlSQ/edit?pli=1#gid=0"",""1_ACUM!A4:S""),13,FALSE))"),"")</f>
        <v/>
      </c>
      <c r="AD435" s="43" t="str">
        <f ca="1">IFERROR(__xludf.DUMMYFUNCTION("IFERROR(VLOOKUP(E458&amp;F458,IMPORTRANGE(""https://docs.google.com/spreadsheets/d/1Uw7-A9f9R21vMXxHZFNpYNeKFtG8_yji4HS352LGlSQ/edit?pli=1#gid=0"",""1_ACUM!A4:S""),13,FALSE))"),"")</f>
        <v/>
      </c>
      <c r="AE435" s="43" t="str">
        <f ca="1">IFERROR(__xludf.DUMMYFUNCTION("IFERROR(VLOOKUP(E458&amp;F458,IMPORTRANGE(""https://docs.google.com/spreadsheets/d/1Uw7-A9f9R21vMXxHZFNpYNeKFtG8_yji4HS352LGlSQ/edit?pli=1#gid=0"",""1_ACUM!A4:S""),14,FALSE))"),"")</f>
        <v/>
      </c>
      <c r="AF435" s="43" t="str">
        <f ca="1">IFERROR(__xludf.DUMMYFUNCTION("IFERROR(VLOOKUP(E458&amp;F458,IMPORTRANGE(""https://docs.google.com/spreadsheets/d/1Uw7-A9f9R21vMXxHZFNpYNeKFtG8_yji4HS352LGlSQ/edit?pli=1#gid=0"",""1_ACUM!A4:S""),15,FALSE))"),"")</f>
        <v/>
      </c>
      <c r="AG435" s="43" t="str">
        <f ca="1">IFERROR(__xludf.DUMMYFUNCTION("IFERROR(VLOOKUP(E458&amp;F458,IMPORTRANGE(""https://docs.google.com/spreadsheets/d/1Uw7-A9f9R21vMXxHZFNpYNeKFtG8_yji4HS352LGlSQ/edit?pli=1#gid=0"",""1_ACUM!A4:S""),16,FALSE))"),"")</f>
        <v/>
      </c>
      <c r="AH435" s="43" t="str">
        <f ca="1">IFERROR(__xludf.DUMMYFUNCTION("IFERROR(VLOOKUP(E458&amp;F458,IMPORTRANGE(""https://docs.google.com/spreadsheets/d/1Uw7-A9f9R21vMXxHZFNpYNeKFtG8_yji4HS352LGlSQ/edit?pli=1#gid=0"",""1_ACUM!A4:S""),17,FALSE))"),"")</f>
        <v/>
      </c>
      <c r="AI435" s="44" t="str">
        <f ca="1">IFERROR(__xludf.DUMMYFUNCTION("IFERROR(VLOOKUP(E458&amp;F458,IMPORTRANGE(""https://docs.google.com/spreadsheets/d/1Uw7-A9f9R21vMXxHZFNpYNeKFtG8_yji4HS352LGlSQ/edit?pli=1#gid=0"",""1_ACUM!A4:S""),18,FALSE))"),"")</f>
        <v/>
      </c>
      <c r="AJ435" s="44" t="str">
        <f ca="1">IFERROR(__xludf.DUMMYFUNCTION("IFERROR(VLOOKUP(E458&amp;F458,IMPORTRANGE(""https://docs.google.com/spreadsheets/d/1Uw7-A9f9R21vMXxHZFNpYNeKFtG8_yji4HS352LGlSQ/edit?pli=1#gid=0"",""1_ACUM!A4:S""),19,FALSE))"),"")</f>
        <v/>
      </c>
      <c r="AK435" s="98" t="str">
        <f ca="1">IFERROR(__xludf.DUMMYFUNCTION("IFERROR(VLOOKUP(F458,IMPORTRANGE(""https://docs.google.com/spreadsheets/d/1Kvs4KS76FHFqLFIZfrDMff4kP08nblUkihrxltoGBjg/edit#gid=934712705"",""ESENCIAL!A6:BG""),5,FALSE))"),"")</f>
        <v/>
      </c>
      <c r="AL435" s="98" t="str">
        <f t="shared" si="28"/>
        <v/>
      </c>
      <c r="AM435" s="99" t="str">
        <f t="shared" si="29"/>
        <v/>
      </c>
      <c r="AN435" s="100" t="str">
        <f ca="1">IFERROR(__xludf.DUMMYFUNCTION("IFERROR(VLOOKUP(F458,IMPORTRANGE(""https://docs.google.com/spreadsheets/d/1Kvs4KS76FHFqLFIZfrDMff4kP08nblUkihrxltoGBjg/edit#gid=934712705"",""ESENCIAL!A6:BG""),2,FALSE))"),"")</f>
        <v/>
      </c>
      <c r="AO435" s="19" t="str">
        <f t="shared" si="20"/>
        <v/>
      </c>
      <c r="AP435" s="100"/>
      <c r="AQ435" s="100"/>
    </row>
    <row r="436" spans="1:43" ht="15">
      <c r="A436" s="5"/>
      <c r="B436" s="5"/>
      <c r="G436" s="5" t="str">
        <f ca="1">IFERROR(__xludf.DUMMYFUNCTION("IFERROR(VLOOKUP(F459,IMPORTRANGE(""https://docs.google.com/spreadsheets/d/1Kvs4KS76FHFqLFIZfrDMff4kP08nblUkihrxltoGBjg/edit#gid=934712705"",""ESENCIAL!A6:BG""),3,FALSE))"),"")</f>
        <v/>
      </c>
      <c r="H436" s="5" t="str">
        <f ca="1">IFERROR(__xludf.DUMMYFUNCTION("IFERROR(VLOOKUP(F459,IMPORTRANGE(""https://docs.google.com/spreadsheets/d/1Kvs4KS76FHFqLFIZfrDMff4kP08nblUkihrxltoGBjg/edit#gid=934712705"",""ESENCIAL!A6:BG""),8,FALSE))"),"")</f>
        <v/>
      </c>
      <c r="L436" s="287"/>
      <c r="Z436" s="41" t="str">
        <f t="shared" si="27"/>
        <v/>
      </c>
      <c r="AA436" s="5" t="str">
        <f ca="1">IFERROR(__xludf.DUMMYFUNCTION("IFERROR(VLOOKUP(E459&amp;F459,IMPORTRANGE(""https://docs.google.com/spreadsheets/d/1Uw7-A9f9R21vMXxHZFNpYNeKFtG8_yji4HS352LGlSQ/edit?pli=1#gid=0"",""1_ACUM!A4:S""),11,FALSE))"),"")</f>
        <v/>
      </c>
      <c r="AB436" s="42" t="str">
        <f ca="1">IFERROR(__xludf.DUMMYFUNCTION("IFERROR(VLOOKUP(F459,IMPORTRANGE(""https://docs.google.com/spreadsheets/d/1Kvs4KS76FHFqLFIZfrDMff4kP08nblUkihrxltoGBjg/edit#gid=934712705"",""ESENCIAL!A6:BG""),15,FALSE))"),"")</f>
        <v/>
      </c>
      <c r="AC436" s="110" t="str">
        <f ca="1">IFERROR(__xludf.DUMMYFUNCTION("IFERROR(VLOOKUP(E459&amp;F459,IMPORTRANGE(""https://docs.google.com/spreadsheets/d/1Uw7-A9f9R21vMXxHZFNpYNeKFtG8_yji4HS352LGlSQ/edit?pli=1#gid=0"",""1_ACUM!A4:S""),13,FALSE))"),"")</f>
        <v/>
      </c>
      <c r="AD436" s="43" t="str">
        <f ca="1">IFERROR(__xludf.DUMMYFUNCTION("IFERROR(VLOOKUP(E459&amp;F459,IMPORTRANGE(""https://docs.google.com/spreadsheets/d/1Uw7-A9f9R21vMXxHZFNpYNeKFtG8_yji4HS352LGlSQ/edit?pli=1#gid=0"",""1_ACUM!A4:S""),13,FALSE))"),"")</f>
        <v/>
      </c>
      <c r="AE436" s="43" t="str">
        <f ca="1">IFERROR(__xludf.DUMMYFUNCTION("IFERROR(VLOOKUP(E459&amp;F459,IMPORTRANGE(""https://docs.google.com/spreadsheets/d/1Uw7-A9f9R21vMXxHZFNpYNeKFtG8_yji4HS352LGlSQ/edit?pli=1#gid=0"",""1_ACUM!A4:S""),14,FALSE))"),"")</f>
        <v/>
      </c>
      <c r="AF436" s="43" t="str">
        <f ca="1">IFERROR(__xludf.DUMMYFUNCTION("IFERROR(VLOOKUP(E459&amp;F459,IMPORTRANGE(""https://docs.google.com/spreadsheets/d/1Uw7-A9f9R21vMXxHZFNpYNeKFtG8_yji4HS352LGlSQ/edit?pli=1#gid=0"",""1_ACUM!A4:S""),15,FALSE))"),"")</f>
        <v/>
      </c>
      <c r="AG436" s="43" t="str">
        <f ca="1">IFERROR(__xludf.DUMMYFUNCTION("IFERROR(VLOOKUP(E459&amp;F459,IMPORTRANGE(""https://docs.google.com/spreadsheets/d/1Uw7-A9f9R21vMXxHZFNpYNeKFtG8_yji4HS352LGlSQ/edit?pli=1#gid=0"",""1_ACUM!A4:S""),16,FALSE))"),"")</f>
        <v/>
      </c>
      <c r="AH436" s="43" t="str">
        <f ca="1">IFERROR(__xludf.DUMMYFUNCTION("IFERROR(VLOOKUP(E459&amp;F459,IMPORTRANGE(""https://docs.google.com/spreadsheets/d/1Uw7-A9f9R21vMXxHZFNpYNeKFtG8_yji4HS352LGlSQ/edit?pli=1#gid=0"",""1_ACUM!A4:S""),17,FALSE))"),"")</f>
        <v/>
      </c>
      <c r="AI436" s="44" t="str">
        <f ca="1">IFERROR(__xludf.DUMMYFUNCTION("IFERROR(VLOOKUP(E459&amp;F459,IMPORTRANGE(""https://docs.google.com/spreadsheets/d/1Uw7-A9f9R21vMXxHZFNpYNeKFtG8_yji4HS352LGlSQ/edit?pli=1#gid=0"",""1_ACUM!A4:S""),18,FALSE))"),"")</f>
        <v/>
      </c>
      <c r="AJ436" s="44" t="str">
        <f ca="1">IFERROR(__xludf.DUMMYFUNCTION("IFERROR(VLOOKUP(E459&amp;F459,IMPORTRANGE(""https://docs.google.com/spreadsheets/d/1Uw7-A9f9R21vMXxHZFNpYNeKFtG8_yji4HS352LGlSQ/edit?pli=1#gid=0"",""1_ACUM!A4:S""),19,FALSE))"),"")</f>
        <v/>
      </c>
      <c r="AK436" s="98" t="str">
        <f ca="1">IFERROR(__xludf.DUMMYFUNCTION("IFERROR(VLOOKUP(F459,IMPORTRANGE(""https://docs.google.com/spreadsheets/d/1Kvs4KS76FHFqLFIZfrDMff4kP08nblUkihrxltoGBjg/edit#gid=934712705"",""ESENCIAL!A6:BG""),5,FALSE))"),"")</f>
        <v/>
      </c>
      <c r="AL436" s="98" t="str">
        <f t="shared" si="28"/>
        <v/>
      </c>
      <c r="AM436" s="99" t="str">
        <f t="shared" si="29"/>
        <v/>
      </c>
      <c r="AN436" s="100" t="str">
        <f ca="1">IFERROR(__xludf.DUMMYFUNCTION("IFERROR(VLOOKUP(F459,IMPORTRANGE(""https://docs.google.com/spreadsheets/d/1Kvs4KS76FHFqLFIZfrDMff4kP08nblUkihrxltoGBjg/edit#gid=934712705"",""ESENCIAL!A6:BG""),2,FALSE))"),"")</f>
        <v/>
      </c>
      <c r="AO436" s="19" t="str">
        <f t="shared" si="20"/>
        <v/>
      </c>
      <c r="AP436" s="100"/>
      <c r="AQ436" s="100"/>
    </row>
    <row r="437" spans="1:43" ht="15">
      <c r="A437" s="5"/>
      <c r="B437" s="5"/>
      <c r="G437" s="5" t="str">
        <f ca="1">IFERROR(__xludf.DUMMYFUNCTION("IFERROR(VLOOKUP(F460,IMPORTRANGE(""https://docs.google.com/spreadsheets/d/1Kvs4KS76FHFqLFIZfrDMff4kP08nblUkihrxltoGBjg/edit#gid=934712705"",""ESENCIAL!A6:BG""),3,FALSE))"),"")</f>
        <v/>
      </c>
      <c r="H437" s="5" t="str">
        <f ca="1">IFERROR(__xludf.DUMMYFUNCTION("IFERROR(VLOOKUP(F460,IMPORTRANGE(""https://docs.google.com/spreadsheets/d/1Kvs4KS76FHFqLFIZfrDMff4kP08nblUkihrxltoGBjg/edit#gid=934712705"",""ESENCIAL!A6:BG""),8,FALSE))"),"")</f>
        <v/>
      </c>
      <c r="L437" s="287"/>
      <c r="Z437" s="41" t="str">
        <f t="shared" si="27"/>
        <v/>
      </c>
      <c r="AA437" s="5" t="str">
        <f ca="1">IFERROR(__xludf.DUMMYFUNCTION("IFERROR(VLOOKUP(E460&amp;F460,IMPORTRANGE(""https://docs.google.com/spreadsheets/d/1Uw7-A9f9R21vMXxHZFNpYNeKFtG8_yji4HS352LGlSQ/edit?pli=1#gid=0"",""1_ACUM!A4:S""),11,FALSE))"),"")</f>
        <v/>
      </c>
      <c r="AB437" s="42" t="str">
        <f ca="1">IFERROR(__xludf.DUMMYFUNCTION("IFERROR(VLOOKUP(F460,IMPORTRANGE(""https://docs.google.com/spreadsheets/d/1Kvs4KS76FHFqLFIZfrDMff4kP08nblUkihrxltoGBjg/edit#gid=934712705"",""ESENCIAL!A6:BG""),15,FALSE))"),"")</f>
        <v/>
      </c>
      <c r="AC437" s="110" t="str">
        <f ca="1">IFERROR(__xludf.DUMMYFUNCTION("IFERROR(VLOOKUP(E460&amp;F460,IMPORTRANGE(""https://docs.google.com/spreadsheets/d/1Uw7-A9f9R21vMXxHZFNpYNeKFtG8_yji4HS352LGlSQ/edit?pli=1#gid=0"",""1_ACUM!A4:S""),13,FALSE))"),"")</f>
        <v/>
      </c>
      <c r="AD437" s="43" t="str">
        <f ca="1">IFERROR(__xludf.DUMMYFUNCTION("IFERROR(VLOOKUP(E460&amp;F460,IMPORTRANGE(""https://docs.google.com/spreadsheets/d/1Uw7-A9f9R21vMXxHZFNpYNeKFtG8_yji4HS352LGlSQ/edit?pli=1#gid=0"",""1_ACUM!A4:S""),13,FALSE))"),"")</f>
        <v/>
      </c>
      <c r="AE437" s="43" t="str">
        <f ca="1">IFERROR(__xludf.DUMMYFUNCTION("IFERROR(VLOOKUP(E460&amp;F460,IMPORTRANGE(""https://docs.google.com/spreadsheets/d/1Uw7-A9f9R21vMXxHZFNpYNeKFtG8_yji4HS352LGlSQ/edit?pli=1#gid=0"",""1_ACUM!A4:S""),14,FALSE))"),"")</f>
        <v/>
      </c>
      <c r="AF437" s="43" t="str">
        <f ca="1">IFERROR(__xludf.DUMMYFUNCTION("IFERROR(VLOOKUP(E460&amp;F460,IMPORTRANGE(""https://docs.google.com/spreadsheets/d/1Uw7-A9f9R21vMXxHZFNpYNeKFtG8_yji4HS352LGlSQ/edit?pli=1#gid=0"",""1_ACUM!A4:S""),15,FALSE))"),"")</f>
        <v/>
      </c>
      <c r="AG437" s="43" t="str">
        <f ca="1">IFERROR(__xludf.DUMMYFUNCTION("IFERROR(VLOOKUP(E460&amp;F460,IMPORTRANGE(""https://docs.google.com/spreadsheets/d/1Uw7-A9f9R21vMXxHZFNpYNeKFtG8_yji4HS352LGlSQ/edit?pli=1#gid=0"",""1_ACUM!A4:S""),16,FALSE))"),"")</f>
        <v/>
      </c>
      <c r="AH437" s="43" t="str">
        <f ca="1">IFERROR(__xludf.DUMMYFUNCTION("IFERROR(VLOOKUP(E460&amp;F460,IMPORTRANGE(""https://docs.google.com/spreadsheets/d/1Uw7-A9f9R21vMXxHZFNpYNeKFtG8_yji4HS352LGlSQ/edit?pli=1#gid=0"",""1_ACUM!A4:S""),17,FALSE))"),"")</f>
        <v/>
      </c>
      <c r="AI437" s="44" t="str">
        <f ca="1">IFERROR(__xludf.DUMMYFUNCTION("IFERROR(VLOOKUP(E460&amp;F460,IMPORTRANGE(""https://docs.google.com/spreadsheets/d/1Uw7-A9f9R21vMXxHZFNpYNeKFtG8_yji4HS352LGlSQ/edit?pli=1#gid=0"",""1_ACUM!A4:S""),18,FALSE))"),"")</f>
        <v/>
      </c>
      <c r="AJ437" s="44" t="str">
        <f ca="1">IFERROR(__xludf.DUMMYFUNCTION("IFERROR(VLOOKUP(E460&amp;F460,IMPORTRANGE(""https://docs.google.com/spreadsheets/d/1Uw7-A9f9R21vMXxHZFNpYNeKFtG8_yji4HS352LGlSQ/edit?pli=1#gid=0"",""1_ACUM!A4:S""),19,FALSE))"),"")</f>
        <v/>
      </c>
      <c r="AK437" s="98" t="str">
        <f ca="1">IFERROR(__xludf.DUMMYFUNCTION("IFERROR(VLOOKUP(F460,IMPORTRANGE(""https://docs.google.com/spreadsheets/d/1Kvs4KS76FHFqLFIZfrDMff4kP08nblUkihrxltoGBjg/edit#gid=934712705"",""ESENCIAL!A6:BG""),5,FALSE))"),"")</f>
        <v/>
      </c>
      <c r="AL437" s="98" t="str">
        <f t="shared" si="28"/>
        <v/>
      </c>
      <c r="AM437" s="99" t="str">
        <f t="shared" si="29"/>
        <v/>
      </c>
      <c r="AN437" s="100" t="str">
        <f ca="1">IFERROR(__xludf.DUMMYFUNCTION("IFERROR(VLOOKUP(F460,IMPORTRANGE(""https://docs.google.com/spreadsheets/d/1Kvs4KS76FHFqLFIZfrDMff4kP08nblUkihrxltoGBjg/edit#gid=934712705"",""ESENCIAL!A6:BG""),2,FALSE))"),"")</f>
        <v/>
      </c>
      <c r="AO437" s="19" t="str">
        <f t="shared" si="20"/>
        <v/>
      </c>
      <c r="AP437" s="100"/>
      <c r="AQ437" s="100"/>
    </row>
    <row r="438" spans="1:43" ht="15">
      <c r="A438" s="5"/>
      <c r="B438" s="5"/>
      <c r="G438" s="5" t="str">
        <f ca="1">IFERROR(__xludf.DUMMYFUNCTION("IFERROR(VLOOKUP(F461,IMPORTRANGE(""https://docs.google.com/spreadsheets/d/1Kvs4KS76FHFqLFIZfrDMff4kP08nblUkihrxltoGBjg/edit#gid=934712705"",""ESENCIAL!A6:BG""),3,FALSE))"),"")</f>
        <v/>
      </c>
      <c r="H438" s="5" t="str">
        <f ca="1">IFERROR(__xludf.DUMMYFUNCTION("IFERROR(VLOOKUP(F461,IMPORTRANGE(""https://docs.google.com/spreadsheets/d/1Kvs4KS76FHFqLFIZfrDMff4kP08nblUkihrxltoGBjg/edit#gid=934712705"",""ESENCIAL!A6:BG""),8,FALSE))"),"")</f>
        <v/>
      </c>
      <c r="L438" s="287"/>
      <c r="Z438" s="41" t="str">
        <f t="shared" si="27"/>
        <v/>
      </c>
      <c r="AA438" s="5" t="str">
        <f ca="1">IFERROR(__xludf.DUMMYFUNCTION("IFERROR(VLOOKUP(E461&amp;F461,IMPORTRANGE(""https://docs.google.com/spreadsheets/d/1Uw7-A9f9R21vMXxHZFNpYNeKFtG8_yji4HS352LGlSQ/edit?pli=1#gid=0"",""1_ACUM!A4:S""),11,FALSE))"),"")</f>
        <v/>
      </c>
      <c r="AB438" s="42" t="str">
        <f ca="1">IFERROR(__xludf.DUMMYFUNCTION("IFERROR(VLOOKUP(F461,IMPORTRANGE(""https://docs.google.com/spreadsheets/d/1Kvs4KS76FHFqLFIZfrDMff4kP08nblUkihrxltoGBjg/edit#gid=934712705"",""ESENCIAL!A6:BG""),15,FALSE))"),"")</f>
        <v/>
      </c>
      <c r="AC438" s="110" t="str">
        <f ca="1">IFERROR(__xludf.DUMMYFUNCTION("IFERROR(VLOOKUP(E461&amp;F461,IMPORTRANGE(""https://docs.google.com/spreadsheets/d/1Uw7-A9f9R21vMXxHZFNpYNeKFtG8_yji4HS352LGlSQ/edit?pli=1#gid=0"",""1_ACUM!A4:S""),13,FALSE))"),"")</f>
        <v/>
      </c>
      <c r="AD438" s="43" t="str">
        <f ca="1">IFERROR(__xludf.DUMMYFUNCTION("IFERROR(VLOOKUP(E461&amp;F461,IMPORTRANGE(""https://docs.google.com/spreadsheets/d/1Uw7-A9f9R21vMXxHZFNpYNeKFtG8_yji4HS352LGlSQ/edit?pli=1#gid=0"",""1_ACUM!A4:S""),13,FALSE))"),"")</f>
        <v/>
      </c>
      <c r="AE438" s="43" t="str">
        <f ca="1">IFERROR(__xludf.DUMMYFUNCTION("IFERROR(VLOOKUP(E461&amp;F461,IMPORTRANGE(""https://docs.google.com/spreadsheets/d/1Uw7-A9f9R21vMXxHZFNpYNeKFtG8_yji4HS352LGlSQ/edit?pli=1#gid=0"",""1_ACUM!A4:S""),14,FALSE))"),"")</f>
        <v/>
      </c>
      <c r="AF438" s="43" t="str">
        <f ca="1">IFERROR(__xludf.DUMMYFUNCTION("IFERROR(VLOOKUP(E461&amp;F461,IMPORTRANGE(""https://docs.google.com/spreadsheets/d/1Uw7-A9f9R21vMXxHZFNpYNeKFtG8_yji4HS352LGlSQ/edit?pli=1#gid=0"",""1_ACUM!A4:S""),15,FALSE))"),"")</f>
        <v/>
      </c>
      <c r="AG438" s="43" t="str">
        <f ca="1">IFERROR(__xludf.DUMMYFUNCTION("IFERROR(VLOOKUP(E461&amp;F461,IMPORTRANGE(""https://docs.google.com/spreadsheets/d/1Uw7-A9f9R21vMXxHZFNpYNeKFtG8_yji4HS352LGlSQ/edit?pli=1#gid=0"",""1_ACUM!A4:S""),16,FALSE))"),"")</f>
        <v/>
      </c>
      <c r="AH438" s="43" t="str">
        <f ca="1">IFERROR(__xludf.DUMMYFUNCTION("IFERROR(VLOOKUP(E461&amp;F461,IMPORTRANGE(""https://docs.google.com/spreadsheets/d/1Uw7-A9f9R21vMXxHZFNpYNeKFtG8_yji4HS352LGlSQ/edit?pli=1#gid=0"",""1_ACUM!A4:S""),17,FALSE))"),"")</f>
        <v/>
      </c>
      <c r="AI438" s="44" t="str">
        <f ca="1">IFERROR(__xludf.DUMMYFUNCTION("IFERROR(VLOOKUP(E461&amp;F461,IMPORTRANGE(""https://docs.google.com/spreadsheets/d/1Uw7-A9f9R21vMXxHZFNpYNeKFtG8_yji4HS352LGlSQ/edit?pli=1#gid=0"",""1_ACUM!A4:S""),18,FALSE))"),"")</f>
        <v/>
      </c>
      <c r="AJ438" s="44" t="str">
        <f ca="1">IFERROR(__xludf.DUMMYFUNCTION("IFERROR(VLOOKUP(E461&amp;F461,IMPORTRANGE(""https://docs.google.com/spreadsheets/d/1Uw7-A9f9R21vMXxHZFNpYNeKFtG8_yji4HS352LGlSQ/edit?pli=1#gid=0"",""1_ACUM!A4:S""),19,FALSE))"),"")</f>
        <v/>
      </c>
      <c r="AK438" s="98" t="str">
        <f ca="1">IFERROR(__xludf.DUMMYFUNCTION("IFERROR(VLOOKUP(F461,IMPORTRANGE(""https://docs.google.com/spreadsheets/d/1Kvs4KS76FHFqLFIZfrDMff4kP08nblUkihrxltoGBjg/edit#gid=934712705"",""ESENCIAL!A6:BG""),5,FALSE))"),"")</f>
        <v/>
      </c>
      <c r="AL438" s="98" t="str">
        <f t="shared" si="28"/>
        <v/>
      </c>
      <c r="AM438" s="99" t="str">
        <f t="shared" si="29"/>
        <v/>
      </c>
      <c r="AN438" s="100" t="str">
        <f ca="1">IFERROR(__xludf.DUMMYFUNCTION("IFERROR(VLOOKUP(F461,IMPORTRANGE(""https://docs.google.com/spreadsheets/d/1Kvs4KS76FHFqLFIZfrDMff4kP08nblUkihrxltoGBjg/edit#gid=934712705"",""ESENCIAL!A6:BG""),2,FALSE))"),"")</f>
        <v/>
      </c>
      <c r="AO438" s="19" t="str">
        <f t="shared" si="20"/>
        <v/>
      </c>
      <c r="AP438" s="100"/>
      <c r="AQ438" s="100"/>
    </row>
    <row r="439" spans="1:43" ht="15">
      <c r="A439" s="5"/>
      <c r="B439" s="5"/>
      <c r="G439" s="5" t="str">
        <f ca="1">IFERROR(__xludf.DUMMYFUNCTION("IFERROR(VLOOKUP(F462,IMPORTRANGE(""https://docs.google.com/spreadsheets/d/1Kvs4KS76FHFqLFIZfrDMff4kP08nblUkihrxltoGBjg/edit#gid=934712705"",""ESENCIAL!A6:BG""),3,FALSE))"),"")</f>
        <v/>
      </c>
      <c r="H439" s="5" t="str">
        <f ca="1">IFERROR(__xludf.DUMMYFUNCTION("IFERROR(VLOOKUP(F462,IMPORTRANGE(""https://docs.google.com/spreadsheets/d/1Kvs4KS76FHFqLFIZfrDMff4kP08nblUkihrxltoGBjg/edit#gid=934712705"",""ESENCIAL!A6:BG""),8,FALSE))"),"")</f>
        <v/>
      </c>
      <c r="L439" s="287"/>
      <c r="Z439" s="41" t="str">
        <f t="shared" si="27"/>
        <v/>
      </c>
      <c r="AA439" s="5" t="str">
        <f ca="1">IFERROR(__xludf.DUMMYFUNCTION("IFERROR(VLOOKUP(E462&amp;F462,IMPORTRANGE(""https://docs.google.com/spreadsheets/d/1Uw7-A9f9R21vMXxHZFNpYNeKFtG8_yji4HS352LGlSQ/edit?pli=1#gid=0"",""1_ACUM!A4:S""),11,FALSE))"),"")</f>
        <v/>
      </c>
      <c r="AB439" s="42" t="str">
        <f ca="1">IFERROR(__xludf.DUMMYFUNCTION("IFERROR(VLOOKUP(F462,IMPORTRANGE(""https://docs.google.com/spreadsheets/d/1Kvs4KS76FHFqLFIZfrDMff4kP08nblUkihrxltoGBjg/edit#gid=934712705"",""ESENCIAL!A6:BG""),15,FALSE))"),"")</f>
        <v/>
      </c>
      <c r="AC439" s="110" t="str">
        <f ca="1">IFERROR(__xludf.DUMMYFUNCTION("IFERROR(VLOOKUP(E462&amp;F462,IMPORTRANGE(""https://docs.google.com/spreadsheets/d/1Uw7-A9f9R21vMXxHZFNpYNeKFtG8_yji4HS352LGlSQ/edit?pli=1#gid=0"",""1_ACUM!A4:S""),13,FALSE))"),"")</f>
        <v/>
      </c>
      <c r="AD439" s="43" t="str">
        <f ca="1">IFERROR(__xludf.DUMMYFUNCTION("IFERROR(VLOOKUP(E462&amp;F462,IMPORTRANGE(""https://docs.google.com/spreadsheets/d/1Uw7-A9f9R21vMXxHZFNpYNeKFtG8_yji4HS352LGlSQ/edit?pli=1#gid=0"",""1_ACUM!A4:S""),13,FALSE))"),"")</f>
        <v/>
      </c>
      <c r="AE439" s="43" t="str">
        <f ca="1">IFERROR(__xludf.DUMMYFUNCTION("IFERROR(VLOOKUP(E462&amp;F462,IMPORTRANGE(""https://docs.google.com/spreadsheets/d/1Uw7-A9f9R21vMXxHZFNpYNeKFtG8_yji4HS352LGlSQ/edit?pli=1#gid=0"",""1_ACUM!A4:S""),14,FALSE))"),"")</f>
        <v/>
      </c>
      <c r="AF439" s="43" t="str">
        <f ca="1">IFERROR(__xludf.DUMMYFUNCTION("IFERROR(VLOOKUP(E462&amp;F462,IMPORTRANGE(""https://docs.google.com/spreadsheets/d/1Uw7-A9f9R21vMXxHZFNpYNeKFtG8_yji4HS352LGlSQ/edit?pli=1#gid=0"",""1_ACUM!A4:S""),15,FALSE))"),"")</f>
        <v/>
      </c>
      <c r="AG439" s="43" t="str">
        <f ca="1">IFERROR(__xludf.DUMMYFUNCTION("IFERROR(VLOOKUP(E462&amp;F462,IMPORTRANGE(""https://docs.google.com/spreadsheets/d/1Uw7-A9f9R21vMXxHZFNpYNeKFtG8_yji4HS352LGlSQ/edit?pli=1#gid=0"",""1_ACUM!A4:S""),16,FALSE))"),"")</f>
        <v/>
      </c>
      <c r="AH439" s="43" t="str">
        <f ca="1">IFERROR(__xludf.DUMMYFUNCTION("IFERROR(VLOOKUP(E462&amp;F462,IMPORTRANGE(""https://docs.google.com/spreadsheets/d/1Uw7-A9f9R21vMXxHZFNpYNeKFtG8_yji4HS352LGlSQ/edit?pli=1#gid=0"",""1_ACUM!A4:S""),17,FALSE))"),"")</f>
        <v/>
      </c>
      <c r="AI439" s="44" t="str">
        <f ca="1">IFERROR(__xludf.DUMMYFUNCTION("IFERROR(VLOOKUP(E462&amp;F462,IMPORTRANGE(""https://docs.google.com/spreadsheets/d/1Uw7-A9f9R21vMXxHZFNpYNeKFtG8_yji4HS352LGlSQ/edit?pli=1#gid=0"",""1_ACUM!A4:S""),18,FALSE))"),"")</f>
        <v/>
      </c>
      <c r="AJ439" s="44" t="str">
        <f ca="1">IFERROR(__xludf.DUMMYFUNCTION("IFERROR(VLOOKUP(E462&amp;F462,IMPORTRANGE(""https://docs.google.com/spreadsheets/d/1Uw7-A9f9R21vMXxHZFNpYNeKFtG8_yji4HS352LGlSQ/edit?pli=1#gid=0"",""1_ACUM!A4:S""),19,FALSE))"),"")</f>
        <v/>
      </c>
      <c r="AK439" s="98" t="str">
        <f ca="1">IFERROR(__xludf.DUMMYFUNCTION("IFERROR(VLOOKUP(F462,IMPORTRANGE(""https://docs.google.com/spreadsheets/d/1Kvs4KS76FHFqLFIZfrDMff4kP08nblUkihrxltoGBjg/edit#gid=934712705"",""ESENCIAL!A6:BG""),5,FALSE))"),"")</f>
        <v/>
      </c>
      <c r="AL439" s="98" t="str">
        <f t="shared" si="28"/>
        <v/>
      </c>
      <c r="AM439" s="99" t="str">
        <f t="shared" si="29"/>
        <v/>
      </c>
      <c r="AN439" s="100" t="str">
        <f ca="1">IFERROR(__xludf.DUMMYFUNCTION("IFERROR(VLOOKUP(F462,IMPORTRANGE(""https://docs.google.com/spreadsheets/d/1Kvs4KS76FHFqLFIZfrDMff4kP08nblUkihrxltoGBjg/edit#gid=934712705"",""ESENCIAL!A6:BG""),2,FALSE))"),"")</f>
        <v/>
      </c>
      <c r="AO439" s="19" t="str">
        <f t="shared" si="20"/>
        <v/>
      </c>
      <c r="AP439" s="100"/>
      <c r="AQ439" s="100"/>
    </row>
    <row r="440" spans="1:43" ht="15">
      <c r="A440" s="5"/>
      <c r="B440" s="5"/>
      <c r="G440" s="5" t="str">
        <f ca="1">IFERROR(__xludf.DUMMYFUNCTION("IFERROR(VLOOKUP(F463,IMPORTRANGE(""https://docs.google.com/spreadsheets/d/1Kvs4KS76FHFqLFIZfrDMff4kP08nblUkihrxltoGBjg/edit#gid=934712705"",""ESENCIAL!A6:BG""),3,FALSE))"),"")</f>
        <v/>
      </c>
      <c r="H440" s="5" t="str">
        <f ca="1">IFERROR(__xludf.DUMMYFUNCTION("IFERROR(VLOOKUP(F463,IMPORTRANGE(""https://docs.google.com/spreadsheets/d/1Kvs4KS76FHFqLFIZfrDMff4kP08nblUkihrxltoGBjg/edit#gid=934712705"",""ESENCIAL!A6:BG""),8,FALSE))"),"")</f>
        <v/>
      </c>
      <c r="L440" s="287"/>
      <c r="Z440" s="41" t="str">
        <f t="shared" si="27"/>
        <v/>
      </c>
      <c r="AA440" s="5" t="str">
        <f ca="1">IFERROR(__xludf.DUMMYFUNCTION("IFERROR(VLOOKUP(E463&amp;F463,IMPORTRANGE(""https://docs.google.com/spreadsheets/d/1Uw7-A9f9R21vMXxHZFNpYNeKFtG8_yji4HS352LGlSQ/edit?pli=1#gid=0"",""1_ACUM!A4:S""),11,FALSE))"),"")</f>
        <v/>
      </c>
      <c r="AB440" s="42" t="str">
        <f ca="1">IFERROR(__xludf.DUMMYFUNCTION("IFERROR(VLOOKUP(F463,IMPORTRANGE(""https://docs.google.com/spreadsheets/d/1Kvs4KS76FHFqLFIZfrDMff4kP08nblUkihrxltoGBjg/edit#gid=934712705"",""ESENCIAL!A6:BG""),15,FALSE))"),"")</f>
        <v/>
      </c>
      <c r="AC440" s="110" t="str">
        <f ca="1">IFERROR(__xludf.DUMMYFUNCTION("IFERROR(VLOOKUP(E463&amp;F463,IMPORTRANGE(""https://docs.google.com/spreadsheets/d/1Uw7-A9f9R21vMXxHZFNpYNeKFtG8_yji4HS352LGlSQ/edit?pli=1#gid=0"",""1_ACUM!A4:S""),13,FALSE))"),"")</f>
        <v/>
      </c>
      <c r="AD440" s="43" t="str">
        <f ca="1">IFERROR(__xludf.DUMMYFUNCTION("IFERROR(VLOOKUP(E463&amp;F463,IMPORTRANGE(""https://docs.google.com/spreadsheets/d/1Uw7-A9f9R21vMXxHZFNpYNeKFtG8_yji4HS352LGlSQ/edit?pli=1#gid=0"",""1_ACUM!A4:S""),13,FALSE))"),"")</f>
        <v/>
      </c>
      <c r="AE440" s="43" t="str">
        <f ca="1">IFERROR(__xludf.DUMMYFUNCTION("IFERROR(VLOOKUP(E463&amp;F463,IMPORTRANGE(""https://docs.google.com/spreadsheets/d/1Uw7-A9f9R21vMXxHZFNpYNeKFtG8_yji4HS352LGlSQ/edit?pli=1#gid=0"",""1_ACUM!A4:S""),14,FALSE))"),"")</f>
        <v/>
      </c>
      <c r="AF440" s="43" t="str">
        <f ca="1">IFERROR(__xludf.DUMMYFUNCTION("IFERROR(VLOOKUP(E463&amp;F463,IMPORTRANGE(""https://docs.google.com/spreadsheets/d/1Uw7-A9f9R21vMXxHZFNpYNeKFtG8_yji4HS352LGlSQ/edit?pli=1#gid=0"",""1_ACUM!A4:S""),15,FALSE))"),"")</f>
        <v/>
      </c>
      <c r="AG440" s="43" t="str">
        <f ca="1">IFERROR(__xludf.DUMMYFUNCTION("IFERROR(VLOOKUP(E463&amp;F463,IMPORTRANGE(""https://docs.google.com/spreadsheets/d/1Uw7-A9f9R21vMXxHZFNpYNeKFtG8_yji4HS352LGlSQ/edit?pli=1#gid=0"",""1_ACUM!A4:S""),16,FALSE))"),"")</f>
        <v/>
      </c>
      <c r="AH440" s="43" t="str">
        <f ca="1">IFERROR(__xludf.DUMMYFUNCTION("IFERROR(VLOOKUP(E463&amp;F463,IMPORTRANGE(""https://docs.google.com/spreadsheets/d/1Uw7-A9f9R21vMXxHZFNpYNeKFtG8_yji4HS352LGlSQ/edit?pli=1#gid=0"",""1_ACUM!A4:S""),17,FALSE))"),"")</f>
        <v/>
      </c>
      <c r="AI440" s="44" t="str">
        <f ca="1">IFERROR(__xludf.DUMMYFUNCTION("IFERROR(VLOOKUP(E463&amp;F463,IMPORTRANGE(""https://docs.google.com/spreadsheets/d/1Uw7-A9f9R21vMXxHZFNpYNeKFtG8_yji4HS352LGlSQ/edit?pli=1#gid=0"",""1_ACUM!A4:S""),18,FALSE))"),"")</f>
        <v/>
      </c>
      <c r="AJ440" s="44" t="str">
        <f ca="1">IFERROR(__xludf.DUMMYFUNCTION("IFERROR(VLOOKUP(E463&amp;F463,IMPORTRANGE(""https://docs.google.com/spreadsheets/d/1Uw7-A9f9R21vMXxHZFNpYNeKFtG8_yji4HS352LGlSQ/edit?pli=1#gid=0"",""1_ACUM!A4:S""),19,FALSE))"),"")</f>
        <v/>
      </c>
      <c r="AK440" s="98" t="str">
        <f ca="1">IFERROR(__xludf.DUMMYFUNCTION("IFERROR(VLOOKUP(F463,IMPORTRANGE(""https://docs.google.com/spreadsheets/d/1Kvs4KS76FHFqLFIZfrDMff4kP08nblUkihrxltoGBjg/edit#gid=934712705"",""ESENCIAL!A6:BG""),5,FALSE))"),"")</f>
        <v/>
      </c>
      <c r="AL440" s="98" t="str">
        <f t="shared" si="28"/>
        <v/>
      </c>
      <c r="AM440" s="99" t="str">
        <f t="shared" si="29"/>
        <v/>
      </c>
      <c r="AN440" s="100" t="str">
        <f ca="1">IFERROR(__xludf.DUMMYFUNCTION("IFERROR(VLOOKUP(F463,IMPORTRANGE(""https://docs.google.com/spreadsheets/d/1Kvs4KS76FHFqLFIZfrDMff4kP08nblUkihrxltoGBjg/edit#gid=934712705"",""ESENCIAL!A6:BG""),2,FALSE))"),"")</f>
        <v/>
      </c>
      <c r="AO440" s="19" t="str">
        <f t="shared" si="20"/>
        <v/>
      </c>
      <c r="AP440" s="100"/>
      <c r="AQ440" s="100"/>
    </row>
    <row r="441" spans="1:43" ht="15">
      <c r="A441" s="5"/>
      <c r="B441" s="5"/>
      <c r="G441" s="5" t="str">
        <f ca="1">IFERROR(__xludf.DUMMYFUNCTION("IFERROR(VLOOKUP(F464,IMPORTRANGE(""https://docs.google.com/spreadsheets/d/1Kvs4KS76FHFqLFIZfrDMff4kP08nblUkihrxltoGBjg/edit#gid=934712705"",""ESENCIAL!A6:BG""),3,FALSE))"),"")</f>
        <v/>
      </c>
      <c r="H441" s="5" t="str">
        <f ca="1">IFERROR(__xludf.DUMMYFUNCTION("IFERROR(VLOOKUP(F464,IMPORTRANGE(""https://docs.google.com/spreadsheets/d/1Kvs4KS76FHFqLFIZfrDMff4kP08nblUkihrxltoGBjg/edit#gid=934712705"",""ESENCIAL!A6:BG""),8,FALSE))"),"")</f>
        <v/>
      </c>
      <c r="L441" s="287"/>
      <c r="Z441" s="41" t="str">
        <f t="shared" si="27"/>
        <v/>
      </c>
      <c r="AA441" s="5" t="str">
        <f ca="1">IFERROR(__xludf.DUMMYFUNCTION("IFERROR(VLOOKUP(E464&amp;F464,IMPORTRANGE(""https://docs.google.com/spreadsheets/d/1Uw7-A9f9R21vMXxHZFNpYNeKFtG8_yji4HS352LGlSQ/edit?pli=1#gid=0"",""1_ACUM!A4:S""),11,FALSE))"),"")</f>
        <v/>
      </c>
      <c r="AB441" s="42" t="str">
        <f ca="1">IFERROR(__xludf.DUMMYFUNCTION("IFERROR(VLOOKUP(F464,IMPORTRANGE(""https://docs.google.com/spreadsheets/d/1Kvs4KS76FHFqLFIZfrDMff4kP08nblUkihrxltoGBjg/edit#gid=934712705"",""ESENCIAL!A6:BG""),15,FALSE))"),"")</f>
        <v/>
      </c>
      <c r="AC441" s="110" t="str">
        <f ca="1">IFERROR(__xludf.DUMMYFUNCTION("IFERROR(VLOOKUP(E464&amp;F464,IMPORTRANGE(""https://docs.google.com/spreadsheets/d/1Uw7-A9f9R21vMXxHZFNpYNeKFtG8_yji4HS352LGlSQ/edit?pli=1#gid=0"",""1_ACUM!A4:S""),13,FALSE))"),"")</f>
        <v/>
      </c>
      <c r="AD441" s="43" t="str">
        <f ca="1">IFERROR(__xludf.DUMMYFUNCTION("IFERROR(VLOOKUP(E464&amp;F464,IMPORTRANGE(""https://docs.google.com/spreadsheets/d/1Uw7-A9f9R21vMXxHZFNpYNeKFtG8_yji4HS352LGlSQ/edit?pli=1#gid=0"",""1_ACUM!A4:S""),13,FALSE))"),"")</f>
        <v/>
      </c>
      <c r="AE441" s="43" t="str">
        <f ca="1">IFERROR(__xludf.DUMMYFUNCTION("IFERROR(VLOOKUP(E464&amp;F464,IMPORTRANGE(""https://docs.google.com/spreadsheets/d/1Uw7-A9f9R21vMXxHZFNpYNeKFtG8_yji4HS352LGlSQ/edit?pli=1#gid=0"",""1_ACUM!A4:S""),14,FALSE))"),"")</f>
        <v/>
      </c>
      <c r="AF441" s="43" t="str">
        <f ca="1">IFERROR(__xludf.DUMMYFUNCTION("IFERROR(VLOOKUP(E464&amp;F464,IMPORTRANGE(""https://docs.google.com/spreadsheets/d/1Uw7-A9f9R21vMXxHZFNpYNeKFtG8_yji4HS352LGlSQ/edit?pli=1#gid=0"",""1_ACUM!A4:S""),15,FALSE))"),"")</f>
        <v/>
      </c>
      <c r="AG441" s="43" t="str">
        <f ca="1">IFERROR(__xludf.DUMMYFUNCTION("IFERROR(VLOOKUP(E464&amp;F464,IMPORTRANGE(""https://docs.google.com/spreadsheets/d/1Uw7-A9f9R21vMXxHZFNpYNeKFtG8_yji4HS352LGlSQ/edit?pli=1#gid=0"",""1_ACUM!A4:S""),16,FALSE))"),"")</f>
        <v/>
      </c>
      <c r="AH441" s="43" t="str">
        <f ca="1">IFERROR(__xludf.DUMMYFUNCTION("IFERROR(VLOOKUP(E464&amp;F464,IMPORTRANGE(""https://docs.google.com/spreadsheets/d/1Uw7-A9f9R21vMXxHZFNpYNeKFtG8_yji4HS352LGlSQ/edit?pli=1#gid=0"",""1_ACUM!A4:S""),17,FALSE))"),"")</f>
        <v/>
      </c>
      <c r="AI441" s="44" t="str">
        <f ca="1">IFERROR(__xludf.DUMMYFUNCTION("IFERROR(VLOOKUP(E464&amp;F464,IMPORTRANGE(""https://docs.google.com/spreadsheets/d/1Uw7-A9f9R21vMXxHZFNpYNeKFtG8_yji4HS352LGlSQ/edit?pli=1#gid=0"",""1_ACUM!A4:S""),18,FALSE))"),"")</f>
        <v/>
      </c>
      <c r="AJ441" s="44" t="str">
        <f ca="1">IFERROR(__xludf.DUMMYFUNCTION("IFERROR(VLOOKUP(E464&amp;F464,IMPORTRANGE(""https://docs.google.com/spreadsheets/d/1Uw7-A9f9R21vMXxHZFNpYNeKFtG8_yji4HS352LGlSQ/edit?pli=1#gid=0"",""1_ACUM!A4:S""),19,FALSE))"),"")</f>
        <v/>
      </c>
      <c r="AK441" s="98" t="str">
        <f ca="1">IFERROR(__xludf.DUMMYFUNCTION("IFERROR(VLOOKUP(F464,IMPORTRANGE(""https://docs.google.com/spreadsheets/d/1Kvs4KS76FHFqLFIZfrDMff4kP08nblUkihrxltoGBjg/edit#gid=934712705"",""ESENCIAL!A6:BG""),5,FALSE))"),"")</f>
        <v/>
      </c>
      <c r="AL441" s="98" t="str">
        <f t="shared" si="28"/>
        <v/>
      </c>
      <c r="AM441" s="99" t="str">
        <f t="shared" si="29"/>
        <v/>
      </c>
      <c r="AN441" s="100" t="str">
        <f ca="1">IFERROR(__xludf.DUMMYFUNCTION("IFERROR(VLOOKUP(F464,IMPORTRANGE(""https://docs.google.com/spreadsheets/d/1Kvs4KS76FHFqLFIZfrDMff4kP08nblUkihrxltoGBjg/edit#gid=934712705"",""ESENCIAL!A6:BG""),2,FALSE))"),"")</f>
        <v/>
      </c>
      <c r="AO441" s="19" t="str">
        <f t="shared" si="20"/>
        <v/>
      </c>
      <c r="AP441" s="100"/>
      <c r="AQ441" s="100"/>
    </row>
    <row r="442" spans="1:43" ht="15">
      <c r="A442" s="5"/>
      <c r="B442" s="5"/>
      <c r="G442" s="5" t="str">
        <f ca="1">IFERROR(__xludf.DUMMYFUNCTION("IFERROR(VLOOKUP(F465,IMPORTRANGE(""https://docs.google.com/spreadsheets/d/1Kvs4KS76FHFqLFIZfrDMff4kP08nblUkihrxltoGBjg/edit#gid=934712705"",""ESENCIAL!A6:BG""),3,FALSE))"),"")</f>
        <v/>
      </c>
      <c r="H442" s="5" t="str">
        <f ca="1">IFERROR(__xludf.DUMMYFUNCTION("IFERROR(VLOOKUP(F465,IMPORTRANGE(""https://docs.google.com/spreadsheets/d/1Kvs4KS76FHFqLFIZfrDMff4kP08nblUkihrxltoGBjg/edit#gid=934712705"",""ESENCIAL!A6:BG""),8,FALSE))"),"")</f>
        <v/>
      </c>
      <c r="L442" s="287"/>
      <c r="Z442" s="41" t="str">
        <f t="shared" si="27"/>
        <v/>
      </c>
      <c r="AA442" s="5" t="str">
        <f ca="1">IFERROR(__xludf.DUMMYFUNCTION("IFERROR(VLOOKUP(E465&amp;F465,IMPORTRANGE(""https://docs.google.com/spreadsheets/d/1Uw7-A9f9R21vMXxHZFNpYNeKFtG8_yji4HS352LGlSQ/edit?pli=1#gid=0"",""1_ACUM!A4:S""),11,FALSE))"),"")</f>
        <v/>
      </c>
      <c r="AB442" s="42" t="str">
        <f ca="1">IFERROR(__xludf.DUMMYFUNCTION("IFERROR(VLOOKUP(F465,IMPORTRANGE(""https://docs.google.com/spreadsheets/d/1Kvs4KS76FHFqLFIZfrDMff4kP08nblUkihrxltoGBjg/edit#gid=934712705"",""ESENCIAL!A6:BG""),15,FALSE))"),"")</f>
        <v/>
      </c>
      <c r="AC442" s="110" t="str">
        <f ca="1">IFERROR(__xludf.DUMMYFUNCTION("IFERROR(VLOOKUP(E465&amp;F465,IMPORTRANGE(""https://docs.google.com/spreadsheets/d/1Uw7-A9f9R21vMXxHZFNpYNeKFtG8_yji4HS352LGlSQ/edit?pli=1#gid=0"",""1_ACUM!A4:S""),13,FALSE))"),"")</f>
        <v/>
      </c>
      <c r="AD442" s="43" t="str">
        <f ca="1">IFERROR(__xludf.DUMMYFUNCTION("IFERROR(VLOOKUP(E465&amp;F465,IMPORTRANGE(""https://docs.google.com/spreadsheets/d/1Uw7-A9f9R21vMXxHZFNpYNeKFtG8_yji4HS352LGlSQ/edit?pli=1#gid=0"",""1_ACUM!A4:S""),13,FALSE))"),"")</f>
        <v/>
      </c>
      <c r="AE442" s="43" t="str">
        <f ca="1">IFERROR(__xludf.DUMMYFUNCTION("IFERROR(VLOOKUP(E465&amp;F465,IMPORTRANGE(""https://docs.google.com/spreadsheets/d/1Uw7-A9f9R21vMXxHZFNpYNeKFtG8_yji4HS352LGlSQ/edit?pli=1#gid=0"",""1_ACUM!A4:S""),14,FALSE))"),"")</f>
        <v/>
      </c>
      <c r="AF442" s="43" t="str">
        <f ca="1">IFERROR(__xludf.DUMMYFUNCTION("IFERROR(VLOOKUP(E465&amp;F465,IMPORTRANGE(""https://docs.google.com/spreadsheets/d/1Uw7-A9f9R21vMXxHZFNpYNeKFtG8_yji4HS352LGlSQ/edit?pli=1#gid=0"",""1_ACUM!A4:S""),15,FALSE))"),"")</f>
        <v/>
      </c>
      <c r="AG442" s="43" t="str">
        <f ca="1">IFERROR(__xludf.DUMMYFUNCTION("IFERROR(VLOOKUP(E465&amp;F465,IMPORTRANGE(""https://docs.google.com/spreadsheets/d/1Uw7-A9f9R21vMXxHZFNpYNeKFtG8_yji4HS352LGlSQ/edit?pli=1#gid=0"",""1_ACUM!A4:S""),16,FALSE))"),"")</f>
        <v/>
      </c>
      <c r="AH442" s="43" t="str">
        <f ca="1">IFERROR(__xludf.DUMMYFUNCTION("IFERROR(VLOOKUP(E465&amp;F465,IMPORTRANGE(""https://docs.google.com/spreadsheets/d/1Uw7-A9f9R21vMXxHZFNpYNeKFtG8_yji4HS352LGlSQ/edit?pli=1#gid=0"",""1_ACUM!A4:S""),17,FALSE))"),"")</f>
        <v/>
      </c>
      <c r="AI442" s="44" t="str">
        <f ca="1">IFERROR(__xludf.DUMMYFUNCTION("IFERROR(VLOOKUP(E465&amp;F465,IMPORTRANGE(""https://docs.google.com/spreadsheets/d/1Uw7-A9f9R21vMXxHZFNpYNeKFtG8_yji4HS352LGlSQ/edit?pli=1#gid=0"",""1_ACUM!A4:S""),18,FALSE))"),"")</f>
        <v/>
      </c>
      <c r="AJ442" s="44" t="str">
        <f ca="1">IFERROR(__xludf.DUMMYFUNCTION("IFERROR(VLOOKUP(E465&amp;F465,IMPORTRANGE(""https://docs.google.com/spreadsheets/d/1Uw7-A9f9R21vMXxHZFNpYNeKFtG8_yji4HS352LGlSQ/edit?pli=1#gid=0"",""1_ACUM!A4:S""),19,FALSE))"),"")</f>
        <v/>
      </c>
      <c r="AK442" s="98" t="str">
        <f ca="1">IFERROR(__xludf.DUMMYFUNCTION("IFERROR(VLOOKUP(F465,IMPORTRANGE(""https://docs.google.com/spreadsheets/d/1Kvs4KS76FHFqLFIZfrDMff4kP08nblUkihrxltoGBjg/edit#gid=934712705"",""ESENCIAL!A6:BG""),5,FALSE))"),"")</f>
        <v/>
      </c>
      <c r="AL442" s="98" t="str">
        <f t="shared" si="28"/>
        <v/>
      </c>
      <c r="AM442" s="99" t="str">
        <f t="shared" si="29"/>
        <v/>
      </c>
      <c r="AN442" s="100" t="str">
        <f ca="1">IFERROR(__xludf.DUMMYFUNCTION("IFERROR(VLOOKUP(F465,IMPORTRANGE(""https://docs.google.com/spreadsheets/d/1Kvs4KS76FHFqLFIZfrDMff4kP08nblUkihrxltoGBjg/edit#gid=934712705"",""ESENCIAL!A6:BG""),2,FALSE))"),"")</f>
        <v/>
      </c>
      <c r="AO442" s="19" t="str">
        <f t="shared" si="20"/>
        <v/>
      </c>
      <c r="AP442" s="100"/>
      <c r="AQ442" s="100"/>
    </row>
    <row r="443" spans="1:43" ht="15">
      <c r="A443" s="5"/>
      <c r="B443" s="5"/>
      <c r="G443" s="5" t="str">
        <f ca="1">IFERROR(__xludf.DUMMYFUNCTION("IFERROR(VLOOKUP(F466,IMPORTRANGE(""https://docs.google.com/spreadsheets/d/1Kvs4KS76FHFqLFIZfrDMff4kP08nblUkihrxltoGBjg/edit#gid=934712705"",""ESENCIAL!A6:BG""),3,FALSE))"),"")</f>
        <v/>
      </c>
      <c r="H443" s="5" t="str">
        <f ca="1">IFERROR(__xludf.DUMMYFUNCTION("IFERROR(VLOOKUP(F466,IMPORTRANGE(""https://docs.google.com/spreadsheets/d/1Kvs4KS76FHFqLFIZfrDMff4kP08nblUkihrxltoGBjg/edit#gid=934712705"",""ESENCIAL!A6:BG""),8,FALSE))"),"")</f>
        <v/>
      </c>
      <c r="L443" s="287"/>
      <c r="Z443" s="41" t="str">
        <f t="shared" si="27"/>
        <v/>
      </c>
      <c r="AA443" s="5" t="str">
        <f ca="1">IFERROR(__xludf.DUMMYFUNCTION("IFERROR(VLOOKUP(E466&amp;F466,IMPORTRANGE(""https://docs.google.com/spreadsheets/d/1Uw7-A9f9R21vMXxHZFNpYNeKFtG8_yji4HS352LGlSQ/edit?pli=1#gid=0"",""1_ACUM!A4:S""),11,FALSE))"),"")</f>
        <v/>
      </c>
      <c r="AB443" s="42" t="str">
        <f ca="1">IFERROR(__xludf.DUMMYFUNCTION("IFERROR(VLOOKUP(F466,IMPORTRANGE(""https://docs.google.com/spreadsheets/d/1Kvs4KS76FHFqLFIZfrDMff4kP08nblUkihrxltoGBjg/edit#gid=934712705"",""ESENCIAL!A6:BG""),15,FALSE))"),"")</f>
        <v/>
      </c>
      <c r="AC443" s="110" t="str">
        <f ca="1">IFERROR(__xludf.DUMMYFUNCTION("IFERROR(VLOOKUP(E466&amp;F466,IMPORTRANGE(""https://docs.google.com/spreadsheets/d/1Uw7-A9f9R21vMXxHZFNpYNeKFtG8_yji4HS352LGlSQ/edit?pli=1#gid=0"",""1_ACUM!A4:S""),13,FALSE))"),"")</f>
        <v/>
      </c>
      <c r="AD443" s="43" t="str">
        <f ca="1">IFERROR(__xludf.DUMMYFUNCTION("IFERROR(VLOOKUP(E466&amp;F466,IMPORTRANGE(""https://docs.google.com/spreadsheets/d/1Uw7-A9f9R21vMXxHZFNpYNeKFtG8_yji4HS352LGlSQ/edit?pli=1#gid=0"",""1_ACUM!A4:S""),13,FALSE))"),"")</f>
        <v/>
      </c>
      <c r="AE443" s="43" t="str">
        <f ca="1">IFERROR(__xludf.DUMMYFUNCTION("IFERROR(VLOOKUP(E466&amp;F466,IMPORTRANGE(""https://docs.google.com/spreadsheets/d/1Uw7-A9f9R21vMXxHZFNpYNeKFtG8_yji4HS352LGlSQ/edit?pli=1#gid=0"",""1_ACUM!A4:S""),14,FALSE))"),"")</f>
        <v/>
      </c>
      <c r="AF443" s="43" t="str">
        <f ca="1">IFERROR(__xludf.DUMMYFUNCTION("IFERROR(VLOOKUP(E466&amp;F466,IMPORTRANGE(""https://docs.google.com/spreadsheets/d/1Uw7-A9f9R21vMXxHZFNpYNeKFtG8_yji4HS352LGlSQ/edit?pli=1#gid=0"",""1_ACUM!A4:S""),15,FALSE))"),"")</f>
        <v/>
      </c>
      <c r="AG443" s="43" t="str">
        <f ca="1">IFERROR(__xludf.DUMMYFUNCTION("IFERROR(VLOOKUP(E466&amp;F466,IMPORTRANGE(""https://docs.google.com/spreadsheets/d/1Uw7-A9f9R21vMXxHZFNpYNeKFtG8_yji4HS352LGlSQ/edit?pli=1#gid=0"",""1_ACUM!A4:S""),16,FALSE))"),"")</f>
        <v/>
      </c>
      <c r="AH443" s="43" t="str">
        <f ca="1">IFERROR(__xludf.DUMMYFUNCTION("IFERROR(VLOOKUP(E466&amp;F466,IMPORTRANGE(""https://docs.google.com/spreadsheets/d/1Uw7-A9f9R21vMXxHZFNpYNeKFtG8_yji4HS352LGlSQ/edit?pli=1#gid=0"",""1_ACUM!A4:S""),17,FALSE))"),"")</f>
        <v/>
      </c>
      <c r="AI443" s="44" t="str">
        <f ca="1">IFERROR(__xludf.DUMMYFUNCTION("IFERROR(VLOOKUP(E466&amp;F466,IMPORTRANGE(""https://docs.google.com/spreadsheets/d/1Uw7-A9f9R21vMXxHZFNpYNeKFtG8_yji4HS352LGlSQ/edit?pli=1#gid=0"",""1_ACUM!A4:S""),18,FALSE))"),"")</f>
        <v/>
      </c>
      <c r="AJ443" s="44" t="str">
        <f ca="1">IFERROR(__xludf.DUMMYFUNCTION("IFERROR(VLOOKUP(E466&amp;F466,IMPORTRANGE(""https://docs.google.com/spreadsheets/d/1Uw7-A9f9R21vMXxHZFNpYNeKFtG8_yji4HS352LGlSQ/edit?pli=1#gid=0"",""1_ACUM!A4:S""),19,FALSE))"),"")</f>
        <v/>
      </c>
      <c r="AK443" s="98" t="str">
        <f ca="1">IFERROR(__xludf.DUMMYFUNCTION("IFERROR(VLOOKUP(F466,IMPORTRANGE(""https://docs.google.com/spreadsheets/d/1Kvs4KS76FHFqLFIZfrDMff4kP08nblUkihrxltoGBjg/edit#gid=934712705"",""ESENCIAL!A6:BG""),5,FALSE))"),"")</f>
        <v/>
      </c>
      <c r="AL443" s="98" t="str">
        <f t="shared" si="28"/>
        <v/>
      </c>
      <c r="AM443" s="99" t="str">
        <f t="shared" si="29"/>
        <v/>
      </c>
      <c r="AN443" s="100" t="str">
        <f ca="1">IFERROR(__xludf.DUMMYFUNCTION("IFERROR(VLOOKUP(F466,IMPORTRANGE(""https://docs.google.com/spreadsheets/d/1Kvs4KS76FHFqLFIZfrDMff4kP08nblUkihrxltoGBjg/edit#gid=934712705"",""ESENCIAL!A6:BG""),2,FALSE))"),"")</f>
        <v/>
      </c>
      <c r="AO443" s="19" t="str">
        <f t="shared" si="20"/>
        <v/>
      </c>
      <c r="AP443" s="100"/>
      <c r="AQ443" s="100"/>
    </row>
    <row r="444" spans="1:43" ht="15">
      <c r="A444" s="5"/>
      <c r="B444" s="5"/>
      <c r="G444" s="5" t="str">
        <f ca="1">IFERROR(__xludf.DUMMYFUNCTION("IFERROR(VLOOKUP(F467,IMPORTRANGE(""https://docs.google.com/spreadsheets/d/1Kvs4KS76FHFqLFIZfrDMff4kP08nblUkihrxltoGBjg/edit#gid=934712705"",""ESENCIAL!A6:BG""),3,FALSE))"),"")</f>
        <v/>
      </c>
      <c r="H444" s="5" t="str">
        <f ca="1">IFERROR(__xludf.DUMMYFUNCTION("IFERROR(VLOOKUP(F467,IMPORTRANGE(""https://docs.google.com/spreadsheets/d/1Kvs4KS76FHFqLFIZfrDMff4kP08nblUkihrxltoGBjg/edit#gid=934712705"",""ESENCIAL!A6:BG""),8,FALSE))"),"")</f>
        <v/>
      </c>
      <c r="L444" s="287"/>
      <c r="Z444" s="41" t="str">
        <f t="shared" si="27"/>
        <v/>
      </c>
      <c r="AA444" s="5" t="str">
        <f ca="1">IFERROR(__xludf.DUMMYFUNCTION("IFERROR(VLOOKUP(E467&amp;F467,IMPORTRANGE(""https://docs.google.com/spreadsheets/d/1Uw7-A9f9R21vMXxHZFNpYNeKFtG8_yji4HS352LGlSQ/edit?pli=1#gid=0"",""1_ACUM!A4:S""),11,FALSE))"),"")</f>
        <v/>
      </c>
      <c r="AB444" s="42" t="str">
        <f ca="1">IFERROR(__xludf.DUMMYFUNCTION("IFERROR(VLOOKUP(F467,IMPORTRANGE(""https://docs.google.com/spreadsheets/d/1Kvs4KS76FHFqLFIZfrDMff4kP08nblUkihrxltoGBjg/edit#gid=934712705"",""ESENCIAL!A6:BG""),15,FALSE))"),"")</f>
        <v/>
      </c>
      <c r="AC444" s="110" t="str">
        <f ca="1">IFERROR(__xludf.DUMMYFUNCTION("IFERROR(VLOOKUP(E467&amp;F467,IMPORTRANGE(""https://docs.google.com/spreadsheets/d/1Uw7-A9f9R21vMXxHZFNpYNeKFtG8_yji4HS352LGlSQ/edit?pli=1#gid=0"",""1_ACUM!A4:S""),13,FALSE))"),"")</f>
        <v/>
      </c>
      <c r="AD444" s="43" t="str">
        <f ca="1">IFERROR(__xludf.DUMMYFUNCTION("IFERROR(VLOOKUP(E467&amp;F467,IMPORTRANGE(""https://docs.google.com/spreadsheets/d/1Uw7-A9f9R21vMXxHZFNpYNeKFtG8_yji4HS352LGlSQ/edit?pli=1#gid=0"",""1_ACUM!A4:S""),13,FALSE))"),"")</f>
        <v/>
      </c>
      <c r="AE444" s="43" t="str">
        <f ca="1">IFERROR(__xludf.DUMMYFUNCTION("IFERROR(VLOOKUP(E467&amp;F467,IMPORTRANGE(""https://docs.google.com/spreadsheets/d/1Uw7-A9f9R21vMXxHZFNpYNeKFtG8_yji4HS352LGlSQ/edit?pli=1#gid=0"",""1_ACUM!A4:S""),14,FALSE))"),"")</f>
        <v/>
      </c>
      <c r="AF444" s="43" t="str">
        <f ca="1">IFERROR(__xludf.DUMMYFUNCTION("IFERROR(VLOOKUP(E467&amp;F467,IMPORTRANGE(""https://docs.google.com/spreadsheets/d/1Uw7-A9f9R21vMXxHZFNpYNeKFtG8_yji4HS352LGlSQ/edit?pli=1#gid=0"",""1_ACUM!A4:S""),15,FALSE))"),"")</f>
        <v/>
      </c>
      <c r="AG444" s="43" t="str">
        <f ca="1">IFERROR(__xludf.DUMMYFUNCTION("IFERROR(VLOOKUP(E467&amp;F467,IMPORTRANGE(""https://docs.google.com/spreadsheets/d/1Uw7-A9f9R21vMXxHZFNpYNeKFtG8_yji4HS352LGlSQ/edit?pli=1#gid=0"",""1_ACUM!A4:S""),16,FALSE))"),"")</f>
        <v/>
      </c>
      <c r="AH444" s="43" t="str">
        <f ca="1">IFERROR(__xludf.DUMMYFUNCTION("IFERROR(VLOOKUP(E467&amp;F467,IMPORTRANGE(""https://docs.google.com/spreadsheets/d/1Uw7-A9f9R21vMXxHZFNpYNeKFtG8_yji4HS352LGlSQ/edit?pli=1#gid=0"",""1_ACUM!A4:S""),17,FALSE))"),"")</f>
        <v/>
      </c>
      <c r="AI444" s="44" t="str">
        <f ca="1">IFERROR(__xludf.DUMMYFUNCTION("IFERROR(VLOOKUP(E467&amp;F467,IMPORTRANGE(""https://docs.google.com/spreadsheets/d/1Uw7-A9f9R21vMXxHZFNpYNeKFtG8_yji4HS352LGlSQ/edit?pli=1#gid=0"",""1_ACUM!A4:S""),18,FALSE))"),"")</f>
        <v/>
      </c>
      <c r="AJ444" s="44" t="str">
        <f ca="1">IFERROR(__xludf.DUMMYFUNCTION("IFERROR(VLOOKUP(E467&amp;F467,IMPORTRANGE(""https://docs.google.com/spreadsheets/d/1Uw7-A9f9R21vMXxHZFNpYNeKFtG8_yji4HS352LGlSQ/edit?pli=1#gid=0"",""1_ACUM!A4:S""),19,FALSE))"),"")</f>
        <v/>
      </c>
      <c r="AK444" s="98" t="str">
        <f ca="1">IFERROR(__xludf.DUMMYFUNCTION("IFERROR(VLOOKUP(F467,IMPORTRANGE(""https://docs.google.com/spreadsheets/d/1Kvs4KS76FHFqLFIZfrDMff4kP08nblUkihrxltoGBjg/edit#gid=934712705"",""ESENCIAL!A6:BG""),5,FALSE))"),"")</f>
        <v/>
      </c>
      <c r="AL444" s="98" t="str">
        <f t="shared" si="28"/>
        <v/>
      </c>
      <c r="AM444" s="99" t="str">
        <f t="shared" si="29"/>
        <v/>
      </c>
      <c r="AN444" s="100" t="str">
        <f ca="1">IFERROR(__xludf.DUMMYFUNCTION("IFERROR(VLOOKUP(F467,IMPORTRANGE(""https://docs.google.com/spreadsheets/d/1Kvs4KS76FHFqLFIZfrDMff4kP08nblUkihrxltoGBjg/edit#gid=934712705"",""ESENCIAL!A6:BG""),2,FALSE))"),"")</f>
        <v/>
      </c>
      <c r="AO444" s="19" t="str">
        <f t="shared" si="20"/>
        <v/>
      </c>
      <c r="AP444" s="100"/>
      <c r="AQ444" s="100"/>
    </row>
    <row r="445" spans="1:43" ht="15">
      <c r="A445" s="5"/>
      <c r="B445" s="5"/>
      <c r="G445" s="5" t="str">
        <f ca="1">IFERROR(__xludf.DUMMYFUNCTION("IFERROR(VLOOKUP(F468,IMPORTRANGE(""https://docs.google.com/spreadsheets/d/1Kvs4KS76FHFqLFIZfrDMff4kP08nblUkihrxltoGBjg/edit#gid=934712705"",""ESENCIAL!A6:BG""),3,FALSE))"),"")</f>
        <v/>
      </c>
      <c r="H445" s="5" t="str">
        <f ca="1">IFERROR(__xludf.DUMMYFUNCTION("IFERROR(VLOOKUP(F468,IMPORTRANGE(""https://docs.google.com/spreadsheets/d/1Kvs4KS76FHFqLFIZfrDMff4kP08nblUkihrxltoGBjg/edit#gid=934712705"",""ESENCIAL!A6:BG""),8,FALSE))"),"")</f>
        <v/>
      </c>
      <c r="L445" s="287"/>
      <c r="Z445" s="41" t="str">
        <f t="shared" si="27"/>
        <v/>
      </c>
      <c r="AA445" s="5" t="str">
        <f ca="1">IFERROR(__xludf.DUMMYFUNCTION("IFERROR(VLOOKUP(E468&amp;F468,IMPORTRANGE(""https://docs.google.com/spreadsheets/d/1Uw7-A9f9R21vMXxHZFNpYNeKFtG8_yji4HS352LGlSQ/edit?pli=1#gid=0"",""1_ACUM!A4:S""),11,FALSE))"),"")</f>
        <v/>
      </c>
      <c r="AB445" s="42" t="str">
        <f ca="1">IFERROR(__xludf.DUMMYFUNCTION("IFERROR(VLOOKUP(F468,IMPORTRANGE(""https://docs.google.com/spreadsheets/d/1Kvs4KS76FHFqLFIZfrDMff4kP08nblUkihrxltoGBjg/edit#gid=934712705"",""ESENCIAL!A6:BG""),15,FALSE))"),"")</f>
        <v/>
      </c>
      <c r="AC445" s="110" t="str">
        <f ca="1">IFERROR(__xludf.DUMMYFUNCTION("IFERROR(VLOOKUP(E468&amp;F468,IMPORTRANGE(""https://docs.google.com/spreadsheets/d/1Uw7-A9f9R21vMXxHZFNpYNeKFtG8_yji4HS352LGlSQ/edit?pli=1#gid=0"",""1_ACUM!A4:S""),13,FALSE))"),"")</f>
        <v/>
      </c>
      <c r="AD445" s="43" t="str">
        <f ca="1">IFERROR(__xludf.DUMMYFUNCTION("IFERROR(VLOOKUP(E468&amp;F468,IMPORTRANGE(""https://docs.google.com/spreadsheets/d/1Uw7-A9f9R21vMXxHZFNpYNeKFtG8_yji4HS352LGlSQ/edit?pli=1#gid=0"",""1_ACUM!A4:S""),13,FALSE))"),"")</f>
        <v/>
      </c>
      <c r="AE445" s="43" t="str">
        <f ca="1">IFERROR(__xludf.DUMMYFUNCTION("IFERROR(VLOOKUP(E468&amp;F468,IMPORTRANGE(""https://docs.google.com/spreadsheets/d/1Uw7-A9f9R21vMXxHZFNpYNeKFtG8_yji4HS352LGlSQ/edit?pli=1#gid=0"",""1_ACUM!A4:S""),14,FALSE))"),"")</f>
        <v/>
      </c>
      <c r="AF445" s="43" t="str">
        <f ca="1">IFERROR(__xludf.DUMMYFUNCTION("IFERROR(VLOOKUP(E468&amp;F468,IMPORTRANGE(""https://docs.google.com/spreadsheets/d/1Uw7-A9f9R21vMXxHZFNpYNeKFtG8_yji4HS352LGlSQ/edit?pli=1#gid=0"",""1_ACUM!A4:S""),15,FALSE))"),"")</f>
        <v/>
      </c>
      <c r="AG445" s="43" t="str">
        <f ca="1">IFERROR(__xludf.DUMMYFUNCTION("IFERROR(VLOOKUP(E468&amp;F468,IMPORTRANGE(""https://docs.google.com/spreadsheets/d/1Uw7-A9f9R21vMXxHZFNpYNeKFtG8_yji4HS352LGlSQ/edit?pli=1#gid=0"",""1_ACUM!A4:S""),16,FALSE))"),"")</f>
        <v/>
      </c>
      <c r="AH445" s="43" t="str">
        <f ca="1">IFERROR(__xludf.DUMMYFUNCTION("IFERROR(VLOOKUP(E468&amp;F468,IMPORTRANGE(""https://docs.google.com/spreadsheets/d/1Uw7-A9f9R21vMXxHZFNpYNeKFtG8_yji4HS352LGlSQ/edit?pli=1#gid=0"",""1_ACUM!A4:S""),17,FALSE))"),"")</f>
        <v/>
      </c>
      <c r="AI445" s="44" t="str">
        <f ca="1">IFERROR(__xludf.DUMMYFUNCTION("IFERROR(VLOOKUP(E468&amp;F468,IMPORTRANGE(""https://docs.google.com/spreadsheets/d/1Uw7-A9f9R21vMXxHZFNpYNeKFtG8_yji4HS352LGlSQ/edit?pli=1#gid=0"",""1_ACUM!A4:S""),18,FALSE))"),"")</f>
        <v/>
      </c>
      <c r="AJ445" s="44" t="str">
        <f ca="1">IFERROR(__xludf.DUMMYFUNCTION("IFERROR(VLOOKUP(E468&amp;F468,IMPORTRANGE(""https://docs.google.com/spreadsheets/d/1Uw7-A9f9R21vMXxHZFNpYNeKFtG8_yji4HS352LGlSQ/edit?pli=1#gid=0"",""1_ACUM!A4:S""),19,FALSE))"),"")</f>
        <v/>
      </c>
      <c r="AK445" s="98" t="str">
        <f ca="1">IFERROR(__xludf.DUMMYFUNCTION("IFERROR(VLOOKUP(F468,IMPORTRANGE(""https://docs.google.com/spreadsheets/d/1Kvs4KS76FHFqLFIZfrDMff4kP08nblUkihrxltoGBjg/edit#gid=934712705"",""ESENCIAL!A6:BG""),5,FALSE))"),"")</f>
        <v/>
      </c>
      <c r="AL445" s="98" t="str">
        <f t="shared" si="28"/>
        <v/>
      </c>
      <c r="AM445" s="99" t="str">
        <f t="shared" si="29"/>
        <v/>
      </c>
      <c r="AN445" s="100" t="str">
        <f ca="1">IFERROR(__xludf.DUMMYFUNCTION("IFERROR(VLOOKUP(F468,IMPORTRANGE(""https://docs.google.com/spreadsheets/d/1Kvs4KS76FHFqLFIZfrDMff4kP08nblUkihrxltoGBjg/edit#gid=934712705"",""ESENCIAL!A6:BG""),2,FALSE))"),"")</f>
        <v/>
      </c>
      <c r="AO445" s="19" t="str">
        <f t="shared" si="20"/>
        <v/>
      </c>
      <c r="AP445" s="100"/>
      <c r="AQ445" s="100"/>
    </row>
    <row r="446" spans="1:43" ht="15">
      <c r="A446" s="5"/>
      <c r="B446" s="5"/>
      <c r="G446" s="5" t="str">
        <f ca="1">IFERROR(__xludf.DUMMYFUNCTION("IFERROR(VLOOKUP(F469,IMPORTRANGE(""https://docs.google.com/spreadsheets/d/1Kvs4KS76FHFqLFIZfrDMff4kP08nblUkihrxltoGBjg/edit#gid=934712705"",""ESENCIAL!A6:BG""),3,FALSE))"),"")</f>
        <v/>
      </c>
      <c r="H446" s="5" t="str">
        <f ca="1">IFERROR(__xludf.DUMMYFUNCTION("IFERROR(VLOOKUP(F469,IMPORTRANGE(""https://docs.google.com/spreadsheets/d/1Kvs4KS76FHFqLFIZfrDMff4kP08nblUkihrxltoGBjg/edit#gid=934712705"",""ESENCIAL!A6:BG""),8,FALSE))"),"")</f>
        <v/>
      </c>
      <c r="L446" s="287"/>
      <c r="Z446" s="41" t="str">
        <f t="shared" si="27"/>
        <v/>
      </c>
      <c r="AA446" s="5" t="str">
        <f ca="1">IFERROR(__xludf.DUMMYFUNCTION("IFERROR(VLOOKUP(E469&amp;F469,IMPORTRANGE(""https://docs.google.com/spreadsheets/d/1Uw7-A9f9R21vMXxHZFNpYNeKFtG8_yji4HS352LGlSQ/edit?pli=1#gid=0"",""1_ACUM!A4:S""),11,FALSE))"),"")</f>
        <v/>
      </c>
      <c r="AB446" s="42" t="str">
        <f ca="1">IFERROR(__xludf.DUMMYFUNCTION("IFERROR(VLOOKUP(F469,IMPORTRANGE(""https://docs.google.com/spreadsheets/d/1Kvs4KS76FHFqLFIZfrDMff4kP08nblUkihrxltoGBjg/edit#gid=934712705"",""ESENCIAL!A6:BG""),15,FALSE))"),"")</f>
        <v/>
      </c>
      <c r="AC446" s="110" t="str">
        <f ca="1">IFERROR(__xludf.DUMMYFUNCTION("IFERROR(VLOOKUP(E469&amp;F469,IMPORTRANGE(""https://docs.google.com/spreadsheets/d/1Uw7-A9f9R21vMXxHZFNpYNeKFtG8_yji4HS352LGlSQ/edit?pli=1#gid=0"",""1_ACUM!A4:S""),13,FALSE))"),"")</f>
        <v/>
      </c>
      <c r="AD446" s="43" t="str">
        <f ca="1">IFERROR(__xludf.DUMMYFUNCTION("IFERROR(VLOOKUP(E469&amp;F469,IMPORTRANGE(""https://docs.google.com/spreadsheets/d/1Uw7-A9f9R21vMXxHZFNpYNeKFtG8_yji4HS352LGlSQ/edit?pli=1#gid=0"",""1_ACUM!A4:S""),13,FALSE))"),"")</f>
        <v/>
      </c>
      <c r="AE446" s="43" t="str">
        <f ca="1">IFERROR(__xludf.DUMMYFUNCTION("IFERROR(VLOOKUP(E469&amp;F469,IMPORTRANGE(""https://docs.google.com/spreadsheets/d/1Uw7-A9f9R21vMXxHZFNpYNeKFtG8_yji4HS352LGlSQ/edit?pli=1#gid=0"",""1_ACUM!A4:S""),14,FALSE))"),"")</f>
        <v/>
      </c>
      <c r="AF446" s="43" t="str">
        <f ca="1">IFERROR(__xludf.DUMMYFUNCTION("IFERROR(VLOOKUP(E469&amp;F469,IMPORTRANGE(""https://docs.google.com/spreadsheets/d/1Uw7-A9f9R21vMXxHZFNpYNeKFtG8_yji4HS352LGlSQ/edit?pli=1#gid=0"",""1_ACUM!A4:S""),15,FALSE))"),"")</f>
        <v/>
      </c>
      <c r="AG446" s="43" t="str">
        <f ca="1">IFERROR(__xludf.DUMMYFUNCTION("IFERROR(VLOOKUP(E469&amp;F469,IMPORTRANGE(""https://docs.google.com/spreadsheets/d/1Uw7-A9f9R21vMXxHZFNpYNeKFtG8_yji4HS352LGlSQ/edit?pli=1#gid=0"",""1_ACUM!A4:S""),16,FALSE))"),"")</f>
        <v/>
      </c>
      <c r="AH446" s="43" t="str">
        <f ca="1">IFERROR(__xludf.DUMMYFUNCTION("IFERROR(VLOOKUP(E469&amp;F469,IMPORTRANGE(""https://docs.google.com/spreadsheets/d/1Uw7-A9f9R21vMXxHZFNpYNeKFtG8_yji4HS352LGlSQ/edit?pli=1#gid=0"",""1_ACUM!A4:S""),17,FALSE))"),"")</f>
        <v/>
      </c>
      <c r="AI446" s="44" t="str">
        <f ca="1">IFERROR(__xludf.DUMMYFUNCTION("IFERROR(VLOOKUP(E469&amp;F469,IMPORTRANGE(""https://docs.google.com/spreadsheets/d/1Uw7-A9f9R21vMXxHZFNpYNeKFtG8_yji4HS352LGlSQ/edit?pli=1#gid=0"",""1_ACUM!A4:S""),18,FALSE))"),"")</f>
        <v/>
      </c>
      <c r="AJ446" s="44" t="str">
        <f ca="1">IFERROR(__xludf.DUMMYFUNCTION("IFERROR(VLOOKUP(E469&amp;F469,IMPORTRANGE(""https://docs.google.com/spreadsheets/d/1Uw7-A9f9R21vMXxHZFNpYNeKFtG8_yji4HS352LGlSQ/edit?pli=1#gid=0"",""1_ACUM!A4:S""),19,FALSE))"),"")</f>
        <v/>
      </c>
      <c r="AK446" s="98" t="str">
        <f ca="1">IFERROR(__xludf.DUMMYFUNCTION("IFERROR(VLOOKUP(F469,IMPORTRANGE(""https://docs.google.com/spreadsheets/d/1Kvs4KS76FHFqLFIZfrDMff4kP08nblUkihrxltoGBjg/edit#gid=934712705"",""ESENCIAL!A6:BG""),5,FALSE))"),"")</f>
        <v/>
      </c>
      <c r="AL446" s="98" t="str">
        <f t="shared" si="28"/>
        <v/>
      </c>
      <c r="AM446" s="99" t="str">
        <f t="shared" si="29"/>
        <v/>
      </c>
      <c r="AN446" s="100" t="str">
        <f ca="1">IFERROR(__xludf.DUMMYFUNCTION("IFERROR(VLOOKUP(F469,IMPORTRANGE(""https://docs.google.com/spreadsheets/d/1Kvs4KS76FHFqLFIZfrDMff4kP08nblUkihrxltoGBjg/edit#gid=934712705"",""ESENCIAL!A6:BG""),2,FALSE))"),"")</f>
        <v/>
      </c>
      <c r="AO446" s="19" t="str">
        <f t="shared" si="20"/>
        <v/>
      </c>
      <c r="AP446" s="100"/>
      <c r="AQ446" s="100"/>
    </row>
    <row r="447" spans="1:43" ht="15">
      <c r="A447" s="5"/>
      <c r="B447" s="5"/>
      <c r="G447" s="5" t="str">
        <f ca="1">IFERROR(__xludf.DUMMYFUNCTION("IFERROR(VLOOKUP(F470,IMPORTRANGE(""https://docs.google.com/spreadsheets/d/1Kvs4KS76FHFqLFIZfrDMff4kP08nblUkihrxltoGBjg/edit#gid=934712705"",""ESENCIAL!A6:BG""),3,FALSE))"),"")</f>
        <v/>
      </c>
      <c r="H447" s="5" t="str">
        <f ca="1">IFERROR(__xludf.DUMMYFUNCTION("IFERROR(VLOOKUP(F470,IMPORTRANGE(""https://docs.google.com/spreadsheets/d/1Kvs4KS76FHFqLFIZfrDMff4kP08nblUkihrxltoGBjg/edit#gid=934712705"",""ESENCIAL!A6:BG""),8,FALSE))"),"")</f>
        <v/>
      </c>
      <c r="L447" s="287"/>
      <c r="Z447" s="41" t="str">
        <f t="shared" si="27"/>
        <v/>
      </c>
      <c r="AA447" s="5" t="str">
        <f ca="1">IFERROR(__xludf.DUMMYFUNCTION("IFERROR(VLOOKUP(E470&amp;F470,IMPORTRANGE(""https://docs.google.com/spreadsheets/d/1Uw7-A9f9R21vMXxHZFNpYNeKFtG8_yji4HS352LGlSQ/edit?pli=1#gid=0"",""1_ACUM!A4:S""),11,FALSE))"),"")</f>
        <v/>
      </c>
      <c r="AB447" s="42" t="str">
        <f ca="1">IFERROR(__xludf.DUMMYFUNCTION("IFERROR(VLOOKUP(F470,IMPORTRANGE(""https://docs.google.com/spreadsheets/d/1Kvs4KS76FHFqLFIZfrDMff4kP08nblUkihrxltoGBjg/edit#gid=934712705"",""ESENCIAL!A6:BG""),15,FALSE))"),"")</f>
        <v/>
      </c>
      <c r="AC447" s="110" t="str">
        <f ca="1">IFERROR(__xludf.DUMMYFUNCTION("IFERROR(VLOOKUP(E470&amp;F470,IMPORTRANGE(""https://docs.google.com/spreadsheets/d/1Uw7-A9f9R21vMXxHZFNpYNeKFtG8_yji4HS352LGlSQ/edit?pli=1#gid=0"",""1_ACUM!A4:S""),13,FALSE))"),"")</f>
        <v/>
      </c>
      <c r="AD447" s="43" t="str">
        <f ca="1">IFERROR(__xludf.DUMMYFUNCTION("IFERROR(VLOOKUP(E470&amp;F470,IMPORTRANGE(""https://docs.google.com/spreadsheets/d/1Uw7-A9f9R21vMXxHZFNpYNeKFtG8_yji4HS352LGlSQ/edit?pli=1#gid=0"",""1_ACUM!A4:S""),13,FALSE))"),"")</f>
        <v/>
      </c>
      <c r="AE447" s="43" t="str">
        <f ca="1">IFERROR(__xludf.DUMMYFUNCTION("IFERROR(VLOOKUP(E470&amp;F470,IMPORTRANGE(""https://docs.google.com/spreadsheets/d/1Uw7-A9f9R21vMXxHZFNpYNeKFtG8_yji4HS352LGlSQ/edit?pli=1#gid=0"",""1_ACUM!A4:S""),14,FALSE))"),"")</f>
        <v/>
      </c>
      <c r="AF447" s="43" t="str">
        <f ca="1">IFERROR(__xludf.DUMMYFUNCTION("IFERROR(VLOOKUP(E470&amp;F470,IMPORTRANGE(""https://docs.google.com/spreadsheets/d/1Uw7-A9f9R21vMXxHZFNpYNeKFtG8_yji4HS352LGlSQ/edit?pli=1#gid=0"",""1_ACUM!A4:S""),15,FALSE))"),"")</f>
        <v/>
      </c>
      <c r="AG447" s="43" t="str">
        <f ca="1">IFERROR(__xludf.DUMMYFUNCTION("IFERROR(VLOOKUP(E470&amp;F470,IMPORTRANGE(""https://docs.google.com/spreadsheets/d/1Uw7-A9f9R21vMXxHZFNpYNeKFtG8_yji4HS352LGlSQ/edit?pli=1#gid=0"",""1_ACUM!A4:S""),16,FALSE))"),"")</f>
        <v/>
      </c>
      <c r="AH447" s="43" t="str">
        <f ca="1">IFERROR(__xludf.DUMMYFUNCTION("IFERROR(VLOOKUP(E470&amp;F470,IMPORTRANGE(""https://docs.google.com/spreadsheets/d/1Uw7-A9f9R21vMXxHZFNpYNeKFtG8_yji4HS352LGlSQ/edit?pli=1#gid=0"",""1_ACUM!A4:S""),17,FALSE))"),"")</f>
        <v/>
      </c>
      <c r="AI447" s="44" t="str">
        <f ca="1">IFERROR(__xludf.DUMMYFUNCTION("IFERROR(VLOOKUP(E470&amp;F470,IMPORTRANGE(""https://docs.google.com/spreadsheets/d/1Uw7-A9f9R21vMXxHZFNpYNeKFtG8_yji4HS352LGlSQ/edit?pli=1#gid=0"",""1_ACUM!A4:S""),18,FALSE))"),"")</f>
        <v/>
      </c>
      <c r="AJ447" s="44" t="str">
        <f ca="1">IFERROR(__xludf.DUMMYFUNCTION("IFERROR(VLOOKUP(E470&amp;F470,IMPORTRANGE(""https://docs.google.com/spreadsheets/d/1Uw7-A9f9R21vMXxHZFNpYNeKFtG8_yji4HS352LGlSQ/edit?pli=1#gid=0"",""1_ACUM!A4:S""),19,FALSE))"),"")</f>
        <v/>
      </c>
      <c r="AK447" s="98" t="str">
        <f ca="1">IFERROR(__xludf.DUMMYFUNCTION("IFERROR(VLOOKUP(F470,IMPORTRANGE(""https://docs.google.com/spreadsheets/d/1Kvs4KS76FHFqLFIZfrDMff4kP08nblUkihrxltoGBjg/edit#gid=934712705"",""ESENCIAL!A6:BG""),5,FALSE))"),"")</f>
        <v/>
      </c>
      <c r="AL447" s="98" t="str">
        <f t="shared" si="28"/>
        <v/>
      </c>
      <c r="AM447" s="99" t="str">
        <f t="shared" si="29"/>
        <v/>
      </c>
      <c r="AN447" s="100" t="str">
        <f ca="1">IFERROR(__xludf.DUMMYFUNCTION("IFERROR(VLOOKUP(F470,IMPORTRANGE(""https://docs.google.com/spreadsheets/d/1Kvs4KS76FHFqLFIZfrDMff4kP08nblUkihrxltoGBjg/edit#gid=934712705"",""ESENCIAL!A6:BG""),2,FALSE))"),"")</f>
        <v/>
      </c>
      <c r="AO447" s="19" t="str">
        <f t="shared" si="20"/>
        <v/>
      </c>
      <c r="AP447" s="100"/>
      <c r="AQ447" s="100"/>
    </row>
    <row r="448" spans="1:43" ht="15">
      <c r="A448" s="5"/>
      <c r="B448" s="5"/>
      <c r="G448" s="5" t="str">
        <f ca="1">IFERROR(__xludf.DUMMYFUNCTION("IFERROR(VLOOKUP(F471,IMPORTRANGE(""https://docs.google.com/spreadsheets/d/1Kvs4KS76FHFqLFIZfrDMff4kP08nblUkihrxltoGBjg/edit#gid=934712705"",""ESENCIAL!A6:BG""),3,FALSE))"),"")</f>
        <v/>
      </c>
      <c r="H448" s="5" t="str">
        <f ca="1">IFERROR(__xludf.DUMMYFUNCTION("IFERROR(VLOOKUP(F471,IMPORTRANGE(""https://docs.google.com/spreadsheets/d/1Kvs4KS76FHFqLFIZfrDMff4kP08nblUkihrxltoGBjg/edit#gid=934712705"",""ESENCIAL!A6:BG""),8,FALSE))"),"")</f>
        <v/>
      </c>
      <c r="L448" s="287"/>
      <c r="Z448" s="41" t="str">
        <f t="shared" si="27"/>
        <v/>
      </c>
      <c r="AA448" s="5" t="str">
        <f ca="1">IFERROR(__xludf.DUMMYFUNCTION("IFERROR(VLOOKUP(E471&amp;F471,IMPORTRANGE(""https://docs.google.com/spreadsheets/d/1Uw7-A9f9R21vMXxHZFNpYNeKFtG8_yji4HS352LGlSQ/edit?pli=1#gid=0"",""1_ACUM!A4:S""),11,FALSE))"),"")</f>
        <v/>
      </c>
      <c r="AB448" s="42" t="str">
        <f ca="1">IFERROR(__xludf.DUMMYFUNCTION("IFERROR(VLOOKUP(F471,IMPORTRANGE(""https://docs.google.com/spreadsheets/d/1Kvs4KS76FHFqLFIZfrDMff4kP08nblUkihrxltoGBjg/edit#gid=934712705"",""ESENCIAL!A6:BG""),15,FALSE))"),"")</f>
        <v/>
      </c>
      <c r="AC448" s="110" t="str">
        <f ca="1">IFERROR(__xludf.DUMMYFUNCTION("IFERROR(VLOOKUP(E471&amp;F471,IMPORTRANGE(""https://docs.google.com/spreadsheets/d/1Uw7-A9f9R21vMXxHZFNpYNeKFtG8_yji4HS352LGlSQ/edit?pli=1#gid=0"",""1_ACUM!A4:S""),13,FALSE))"),"")</f>
        <v/>
      </c>
      <c r="AD448" s="43" t="str">
        <f ca="1">IFERROR(__xludf.DUMMYFUNCTION("IFERROR(VLOOKUP(E471&amp;F471,IMPORTRANGE(""https://docs.google.com/spreadsheets/d/1Uw7-A9f9R21vMXxHZFNpYNeKFtG8_yji4HS352LGlSQ/edit?pli=1#gid=0"",""1_ACUM!A4:S""),13,FALSE))"),"")</f>
        <v/>
      </c>
      <c r="AE448" s="43" t="str">
        <f ca="1">IFERROR(__xludf.DUMMYFUNCTION("IFERROR(VLOOKUP(E471&amp;F471,IMPORTRANGE(""https://docs.google.com/spreadsheets/d/1Uw7-A9f9R21vMXxHZFNpYNeKFtG8_yji4HS352LGlSQ/edit?pli=1#gid=0"",""1_ACUM!A4:S""),14,FALSE))"),"")</f>
        <v/>
      </c>
      <c r="AF448" s="43" t="str">
        <f ca="1">IFERROR(__xludf.DUMMYFUNCTION("IFERROR(VLOOKUP(E471&amp;F471,IMPORTRANGE(""https://docs.google.com/spreadsheets/d/1Uw7-A9f9R21vMXxHZFNpYNeKFtG8_yji4HS352LGlSQ/edit?pli=1#gid=0"",""1_ACUM!A4:S""),15,FALSE))"),"")</f>
        <v/>
      </c>
      <c r="AG448" s="43" t="str">
        <f ca="1">IFERROR(__xludf.DUMMYFUNCTION("IFERROR(VLOOKUP(E471&amp;F471,IMPORTRANGE(""https://docs.google.com/spreadsheets/d/1Uw7-A9f9R21vMXxHZFNpYNeKFtG8_yji4HS352LGlSQ/edit?pli=1#gid=0"",""1_ACUM!A4:S""),16,FALSE))"),"")</f>
        <v/>
      </c>
      <c r="AH448" s="43" t="str">
        <f ca="1">IFERROR(__xludf.DUMMYFUNCTION("IFERROR(VLOOKUP(E471&amp;F471,IMPORTRANGE(""https://docs.google.com/spreadsheets/d/1Uw7-A9f9R21vMXxHZFNpYNeKFtG8_yji4HS352LGlSQ/edit?pli=1#gid=0"",""1_ACUM!A4:S""),17,FALSE))"),"")</f>
        <v/>
      </c>
      <c r="AI448" s="44" t="str">
        <f ca="1">IFERROR(__xludf.DUMMYFUNCTION("IFERROR(VLOOKUP(E471&amp;F471,IMPORTRANGE(""https://docs.google.com/spreadsheets/d/1Uw7-A9f9R21vMXxHZFNpYNeKFtG8_yji4HS352LGlSQ/edit?pli=1#gid=0"",""1_ACUM!A4:S""),18,FALSE))"),"")</f>
        <v/>
      </c>
      <c r="AJ448" s="44" t="str">
        <f ca="1">IFERROR(__xludf.DUMMYFUNCTION("IFERROR(VLOOKUP(E471&amp;F471,IMPORTRANGE(""https://docs.google.com/spreadsheets/d/1Uw7-A9f9R21vMXxHZFNpYNeKFtG8_yji4HS352LGlSQ/edit?pli=1#gid=0"",""1_ACUM!A4:S""),19,FALSE))"),"")</f>
        <v/>
      </c>
      <c r="AK448" s="98" t="str">
        <f ca="1">IFERROR(__xludf.DUMMYFUNCTION("IFERROR(VLOOKUP(F471,IMPORTRANGE(""https://docs.google.com/spreadsheets/d/1Kvs4KS76FHFqLFIZfrDMff4kP08nblUkihrxltoGBjg/edit#gid=934712705"",""ESENCIAL!A6:BG""),5,FALSE))"),"")</f>
        <v/>
      </c>
      <c r="AL448" s="98" t="str">
        <f t="shared" si="28"/>
        <v/>
      </c>
      <c r="AM448" s="99" t="str">
        <f t="shared" si="29"/>
        <v/>
      </c>
      <c r="AN448" s="100" t="str">
        <f ca="1">IFERROR(__xludf.DUMMYFUNCTION("IFERROR(VLOOKUP(F471,IMPORTRANGE(""https://docs.google.com/spreadsheets/d/1Kvs4KS76FHFqLFIZfrDMff4kP08nblUkihrxltoGBjg/edit#gid=934712705"",""ESENCIAL!A6:BG""),2,FALSE))"),"")</f>
        <v/>
      </c>
      <c r="AO448" s="19" t="str">
        <f t="shared" si="20"/>
        <v/>
      </c>
      <c r="AP448" s="100"/>
      <c r="AQ448" s="100"/>
    </row>
    <row r="449" spans="1:43" ht="15">
      <c r="A449" s="5"/>
      <c r="B449" s="5"/>
      <c r="G449" s="5" t="str">
        <f ca="1">IFERROR(__xludf.DUMMYFUNCTION("IFERROR(VLOOKUP(F472,IMPORTRANGE(""https://docs.google.com/spreadsheets/d/1Kvs4KS76FHFqLFIZfrDMff4kP08nblUkihrxltoGBjg/edit#gid=934712705"",""ESENCIAL!A6:BG""),3,FALSE))"),"")</f>
        <v/>
      </c>
      <c r="H449" s="5" t="str">
        <f ca="1">IFERROR(__xludf.DUMMYFUNCTION("IFERROR(VLOOKUP(F472,IMPORTRANGE(""https://docs.google.com/spreadsheets/d/1Kvs4KS76FHFqLFIZfrDMff4kP08nblUkihrxltoGBjg/edit#gid=934712705"",""ESENCIAL!A6:BG""),8,FALSE))"),"")</f>
        <v/>
      </c>
      <c r="L449" s="287"/>
      <c r="Z449" s="41" t="str">
        <f t="shared" si="27"/>
        <v/>
      </c>
      <c r="AA449" s="5" t="str">
        <f ca="1">IFERROR(__xludf.DUMMYFUNCTION("IFERROR(VLOOKUP(E472&amp;F472,IMPORTRANGE(""https://docs.google.com/spreadsheets/d/1Uw7-A9f9R21vMXxHZFNpYNeKFtG8_yji4HS352LGlSQ/edit?pli=1#gid=0"",""1_ACUM!A4:S""),11,FALSE))"),"")</f>
        <v/>
      </c>
      <c r="AB449" s="42" t="str">
        <f ca="1">IFERROR(__xludf.DUMMYFUNCTION("IFERROR(VLOOKUP(F472,IMPORTRANGE(""https://docs.google.com/spreadsheets/d/1Kvs4KS76FHFqLFIZfrDMff4kP08nblUkihrxltoGBjg/edit#gid=934712705"",""ESENCIAL!A6:BG""),15,FALSE))"),"")</f>
        <v/>
      </c>
      <c r="AC449" s="110" t="str">
        <f ca="1">IFERROR(__xludf.DUMMYFUNCTION("IFERROR(VLOOKUP(E472&amp;F472,IMPORTRANGE(""https://docs.google.com/spreadsheets/d/1Uw7-A9f9R21vMXxHZFNpYNeKFtG8_yji4HS352LGlSQ/edit?pli=1#gid=0"",""1_ACUM!A4:S""),13,FALSE))"),"")</f>
        <v/>
      </c>
      <c r="AD449" s="43" t="str">
        <f ca="1">IFERROR(__xludf.DUMMYFUNCTION("IFERROR(VLOOKUP(E472&amp;F472,IMPORTRANGE(""https://docs.google.com/spreadsheets/d/1Uw7-A9f9R21vMXxHZFNpYNeKFtG8_yji4HS352LGlSQ/edit?pli=1#gid=0"",""1_ACUM!A4:S""),13,FALSE))"),"")</f>
        <v/>
      </c>
      <c r="AE449" s="43" t="str">
        <f ca="1">IFERROR(__xludf.DUMMYFUNCTION("IFERROR(VLOOKUP(E472&amp;F472,IMPORTRANGE(""https://docs.google.com/spreadsheets/d/1Uw7-A9f9R21vMXxHZFNpYNeKFtG8_yji4HS352LGlSQ/edit?pli=1#gid=0"",""1_ACUM!A4:S""),14,FALSE))"),"")</f>
        <v/>
      </c>
      <c r="AF449" s="43" t="str">
        <f ca="1">IFERROR(__xludf.DUMMYFUNCTION("IFERROR(VLOOKUP(E472&amp;F472,IMPORTRANGE(""https://docs.google.com/spreadsheets/d/1Uw7-A9f9R21vMXxHZFNpYNeKFtG8_yji4HS352LGlSQ/edit?pli=1#gid=0"",""1_ACUM!A4:S""),15,FALSE))"),"")</f>
        <v/>
      </c>
      <c r="AG449" s="43" t="str">
        <f ca="1">IFERROR(__xludf.DUMMYFUNCTION("IFERROR(VLOOKUP(E472&amp;F472,IMPORTRANGE(""https://docs.google.com/spreadsheets/d/1Uw7-A9f9R21vMXxHZFNpYNeKFtG8_yji4HS352LGlSQ/edit?pli=1#gid=0"",""1_ACUM!A4:S""),16,FALSE))"),"")</f>
        <v/>
      </c>
      <c r="AH449" s="43" t="str">
        <f ca="1">IFERROR(__xludf.DUMMYFUNCTION("IFERROR(VLOOKUP(E472&amp;F472,IMPORTRANGE(""https://docs.google.com/spreadsheets/d/1Uw7-A9f9R21vMXxHZFNpYNeKFtG8_yji4HS352LGlSQ/edit?pli=1#gid=0"",""1_ACUM!A4:S""),17,FALSE))"),"")</f>
        <v/>
      </c>
      <c r="AI449" s="44" t="str">
        <f ca="1">IFERROR(__xludf.DUMMYFUNCTION("IFERROR(VLOOKUP(E472&amp;F472,IMPORTRANGE(""https://docs.google.com/spreadsheets/d/1Uw7-A9f9R21vMXxHZFNpYNeKFtG8_yji4HS352LGlSQ/edit?pli=1#gid=0"",""1_ACUM!A4:S""),18,FALSE))"),"")</f>
        <v/>
      </c>
      <c r="AJ449" s="44" t="str">
        <f ca="1">IFERROR(__xludf.DUMMYFUNCTION("IFERROR(VLOOKUP(E472&amp;F472,IMPORTRANGE(""https://docs.google.com/spreadsheets/d/1Uw7-A9f9R21vMXxHZFNpYNeKFtG8_yji4HS352LGlSQ/edit?pli=1#gid=0"",""1_ACUM!A4:S""),19,FALSE))"),"")</f>
        <v/>
      </c>
      <c r="AK449" s="98" t="str">
        <f ca="1">IFERROR(__xludf.DUMMYFUNCTION("IFERROR(VLOOKUP(F472,IMPORTRANGE(""https://docs.google.com/spreadsheets/d/1Kvs4KS76FHFqLFIZfrDMff4kP08nblUkihrxltoGBjg/edit#gid=934712705"",""ESENCIAL!A6:BG""),5,FALSE))"),"")</f>
        <v/>
      </c>
      <c r="AL449" s="98" t="str">
        <f t="shared" si="28"/>
        <v/>
      </c>
      <c r="AM449" s="99" t="str">
        <f t="shared" si="29"/>
        <v/>
      </c>
      <c r="AN449" s="100" t="str">
        <f ca="1">IFERROR(__xludf.DUMMYFUNCTION("IFERROR(VLOOKUP(F472,IMPORTRANGE(""https://docs.google.com/spreadsheets/d/1Kvs4KS76FHFqLFIZfrDMff4kP08nblUkihrxltoGBjg/edit#gid=934712705"",""ESENCIAL!A6:BG""),2,FALSE))"),"")</f>
        <v/>
      </c>
      <c r="AO449" s="19" t="str">
        <f t="shared" si="20"/>
        <v/>
      </c>
      <c r="AP449" s="100"/>
      <c r="AQ449" s="100"/>
    </row>
    <row r="450" spans="1:43" ht="15">
      <c r="A450" s="5"/>
      <c r="B450" s="5"/>
      <c r="G450" s="5" t="str">
        <f ca="1">IFERROR(__xludf.DUMMYFUNCTION("IFERROR(VLOOKUP(F473,IMPORTRANGE(""https://docs.google.com/spreadsheets/d/1Kvs4KS76FHFqLFIZfrDMff4kP08nblUkihrxltoGBjg/edit#gid=934712705"",""ESENCIAL!A6:BG""),3,FALSE))"),"")</f>
        <v/>
      </c>
      <c r="H450" s="5" t="str">
        <f ca="1">IFERROR(__xludf.DUMMYFUNCTION("IFERROR(VLOOKUP(F473,IMPORTRANGE(""https://docs.google.com/spreadsheets/d/1Kvs4KS76FHFqLFIZfrDMff4kP08nblUkihrxltoGBjg/edit#gid=934712705"",""ESENCIAL!A6:BG""),8,FALSE))"),"")</f>
        <v/>
      </c>
      <c r="L450" s="287"/>
      <c r="Z450" s="41" t="str">
        <f t="shared" ref="Z450:Z513" si="30">IF(E450&gt;0,IF(AND(AH450=1,AE450=1),"Procede_E_P","NO_CUMPLE"),"")</f>
        <v/>
      </c>
      <c r="AA450" s="5" t="str">
        <f ca="1">IFERROR(__xludf.DUMMYFUNCTION("IFERROR(VLOOKUP(E473&amp;F473,IMPORTRANGE(""https://docs.google.com/spreadsheets/d/1Uw7-A9f9R21vMXxHZFNpYNeKFtG8_yji4HS352LGlSQ/edit?pli=1#gid=0"",""1_ACUM!A4:S""),11,FALSE))"),"")</f>
        <v/>
      </c>
      <c r="AB450" s="42" t="str">
        <f ca="1">IFERROR(__xludf.DUMMYFUNCTION("IFERROR(VLOOKUP(F473,IMPORTRANGE(""https://docs.google.com/spreadsheets/d/1Kvs4KS76FHFqLFIZfrDMff4kP08nblUkihrxltoGBjg/edit#gid=934712705"",""ESENCIAL!A6:BG""),15,FALSE))"),"")</f>
        <v/>
      </c>
      <c r="AC450" s="110" t="str">
        <f ca="1">IFERROR(__xludf.DUMMYFUNCTION("IFERROR(VLOOKUP(E473&amp;F473,IMPORTRANGE(""https://docs.google.com/spreadsheets/d/1Uw7-A9f9R21vMXxHZFNpYNeKFtG8_yji4HS352LGlSQ/edit?pli=1#gid=0"",""1_ACUM!A4:S""),13,FALSE))"),"")</f>
        <v/>
      </c>
      <c r="AD450" s="43" t="str">
        <f ca="1">IFERROR(__xludf.DUMMYFUNCTION("IFERROR(VLOOKUP(E473&amp;F473,IMPORTRANGE(""https://docs.google.com/spreadsheets/d/1Uw7-A9f9R21vMXxHZFNpYNeKFtG8_yji4HS352LGlSQ/edit?pli=1#gid=0"",""1_ACUM!A4:S""),13,FALSE))"),"")</f>
        <v/>
      </c>
      <c r="AE450" s="43" t="str">
        <f ca="1">IFERROR(__xludf.DUMMYFUNCTION("IFERROR(VLOOKUP(E473&amp;F473,IMPORTRANGE(""https://docs.google.com/spreadsheets/d/1Uw7-A9f9R21vMXxHZFNpYNeKFtG8_yji4HS352LGlSQ/edit?pli=1#gid=0"",""1_ACUM!A4:S""),14,FALSE))"),"")</f>
        <v/>
      </c>
      <c r="AF450" s="43" t="str">
        <f ca="1">IFERROR(__xludf.DUMMYFUNCTION("IFERROR(VLOOKUP(E473&amp;F473,IMPORTRANGE(""https://docs.google.com/spreadsheets/d/1Uw7-A9f9R21vMXxHZFNpYNeKFtG8_yji4HS352LGlSQ/edit?pli=1#gid=0"",""1_ACUM!A4:S""),15,FALSE))"),"")</f>
        <v/>
      </c>
      <c r="AG450" s="43" t="str">
        <f ca="1">IFERROR(__xludf.DUMMYFUNCTION("IFERROR(VLOOKUP(E473&amp;F473,IMPORTRANGE(""https://docs.google.com/spreadsheets/d/1Uw7-A9f9R21vMXxHZFNpYNeKFtG8_yji4HS352LGlSQ/edit?pli=1#gid=0"",""1_ACUM!A4:S""),16,FALSE))"),"")</f>
        <v/>
      </c>
      <c r="AH450" s="43" t="str">
        <f ca="1">IFERROR(__xludf.DUMMYFUNCTION("IFERROR(VLOOKUP(E473&amp;F473,IMPORTRANGE(""https://docs.google.com/spreadsheets/d/1Uw7-A9f9R21vMXxHZFNpYNeKFtG8_yji4HS352LGlSQ/edit?pli=1#gid=0"",""1_ACUM!A4:S""),17,FALSE))"),"")</f>
        <v/>
      </c>
      <c r="AI450" s="44" t="str">
        <f ca="1">IFERROR(__xludf.DUMMYFUNCTION("IFERROR(VLOOKUP(E473&amp;F473,IMPORTRANGE(""https://docs.google.com/spreadsheets/d/1Uw7-A9f9R21vMXxHZFNpYNeKFtG8_yji4HS352LGlSQ/edit?pli=1#gid=0"",""1_ACUM!A4:S""),18,FALSE))"),"")</f>
        <v/>
      </c>
      <c r="AJ450" s="44" t="str">
        <f ca="1">IFERROR(__xludf.DUMMYFUNCTION("IFERROR(VLOOKUP(E473&amp;F473,IMPORTRANGE(""https://docs.google.com/spreadsheets/d/1Uw7-A9f9R21vMXxHZFNpYNeKFtG8_yji4HS352LGlSQ/edit?pli=1#gid=0"",""1_ACUM!A4:S""),19,FALSE))"),"")</f>
        <v/>
      </c>
      <c r="AK450" s="98" t="str">
        <f ca="1">IFERROR(__xludf.DUMMYFUNCTION("IFERROR(VLOOKUP(F473,IMPORTRANGE(""https://docs.google.com/spreadsheets/d/1Kvs4KS76FHFqLFIZfrDMff4kP08nblUkihrxltoGBjg/edit#gid=934712705"",""ESENCIAL!A6:BG""),5,FALSE))"),"")</f>
        <v/>
      </c>
      <c r="AL450" s="98" t="str">
        <f t="shared" ref="AL450:AL513" si="31">IF(F450&gt;0,EDATE(AK450,18),"")</f>
        <v/>
      </c>
      <c r="AM450" s="99" t="str">
        <f t="shared" ref="AM450:AM513" si="32">IF(F450&gt;0,IF(AL450&lt;$AM$1,"FINALIZAR FICHA","FICHA EN TIEMPO-18 MESES"),"")</f>
        <v/>
      </c>
      <c r="AN450" s="100" t="str">
        <f ca="1">IFERROR(__xludf.DUMMYFUNCTION("IFERROR(VLOOKUP(F473,IMPORTRANGE(""https://docs.google.com/spreadsheets/d/1Kvs4KS76FHFqLFIZfrDMff4kP08nblUkihrxltoGBjg/edit#gid=934712705"",""ESENCIAL!A6:BG""),2,FALSE))"),"")</f>
        <v/>
      </c>
      <c r="AO450" s="19" t="str">
        <f t="shared" si="20"/>
        <v/>
      </c>
      <c r="AP450" s="100"/>
      <c r="AQ450" s="100"/>
    </row>
    <row r="451" spans="1:43" ht="15">
      <c r="A451" s="5"/>
      <c r="B451" s="5"/>
      <c r="G451" s="5" t="str">
        <f ca="1">IFERROR(__xludf.DUMMYFUNCTION("IFERROR(VLOOKUP(F474,IMPORTRANGE(""https://docs.google.com/spreadsheets/d/1Kvs4KS76FHFqLFIZfrDMff4kP08nblUkihrxltoGBjg/edit#gid=934712705"",""ESENCIAL!A6:BG""),3,FALSE))"),"")</f>
        <v/>
      </c>
      <c r="H451" s="5" t="str">
        <f ca="1">IFERROR(__xludf.DUMMYFUNCTION("IFERROR(VLOOKUP(F474,IMPORTRANGE(""https://docs.google.com/spreadsheets/d/1Kvs4KS76FHFqLFIZfrDMff4kP08nblUkihrxltoGBjg/edit#gid=934712705"",""ESENCIAL!A6:BG""),8,FALSE))"),"")</f>
        <v/>
      </c>
      <c r="L451" s="287"/>
      <c r="Z451" s="41" t="str">
        <f t="shared" si="30"/>
        <v/>
      </c>
      <c r="AA451" s="5" t="str">
        <f ca="1">IFERROR(__xludf.DUMMYFUNCTION("IFERROR(VLOOKUP(E474&amp;F474,IMPORTRANGE(""https://docs.google.com/spreadsheets/d/1Uw7-A9f9R21vMXxHZFNpYNeKFtG8_yji4HS352LGlSQ/edit?pli=1#gid=0"",""1_ACUM!A4:S""),11,FALSE))"),"")</f>
        <v/>
      </c>
      <c r="AB451" s="42" t="str">
        <f ca="1">IFERROR(__xludf.DUMMYFUNCTION("IFERROR(VLOOKUP(F474,IMPORTRANGE(""https://docs.google.com/spreadsheets/d/1Kvs4KS76FHFqLFIZfrDMff4kP08nblUkihrxltoGBjg/edit#gid=934712705"",""ESENCIAL!A6:BG""),15,FALSE))"),"")</f>
        <v/>
      </c>
      <c r="AC451" s="110" t="str">
        <f ca="1">IFERROR(__xludf.DUMMYFUNCTION("IFERROR(VLOOKUP(E474&amp;F474,IMPORTRANGE(""https://docs.google.com/spreadsheets/d/1Uw7-A9f9R21vMXxHZFNpYNeKFtG8_yji4HS352LGlSQ/edit?pli=1#gid=0"",""1_ACUM!A4:S""),13,FALSE))"),"")</f>
        <v/>
      </c>
      <c r="AD451" s="43" t="str">
        <f ca="1">IFERROR(__xludf.DUMMYFUNCTION("IFERROR(VLOOKUP(E474&amp;F474,IMPORTRANGE(""https://docs.google.com/spreadsheets/d/1Uw7-A9f9R21vMXxHZFNpYNeKFtG8_yji4HS352LGlSQ/edit?pli=1#gid=0"",""1_ACUM!A4:S""),13,FALSE))"),"")</f>
        <v/>
      </c>
      <c r="AE451" s="43" t="str">
        <f ca="1">IFERROR(__xludf.DUMMYFUNCTION("IFERROR(VLOOKUP(E474&amp;F474,IMPORTRANGE(""https://docs.google.com/spreadsheets/d/1Uw7-A9f9R21vMXxHZFNpYNeKFtG8_yji4HS352LGlSQ/edit?pli=1#gid=0"",""1_ACUM!A4:S""),14,FALSE))"),"")</f>
        <v/>
      </c>
      <c r="AF451" s="43" t="str">
        <f ca="1">IFERROR(__xludf.DUMMYFUNCTION("IFERROR(VLOOKUP(E474&amp;F474,IMPORTRANGE(""https://docs.google.com/spreadsheets/d/1Uw7-A9f9R21vMXxHZFNpYNeKFtG8_yji4HS352LGlSQ/edit?pli=1#gid=0"",""1_ACUM!A4:S""),15,FALSE))"),"")</f>
        <v/>
      </c>
      <c r="AG451" s="43" t="str">
        <f ca="1">IFERROR(__xludf.DUMMYFUNCTION("IFERROR(VLOOKUP(E474&amp;F474,IMPORTRANGE(""https://docs.google.com/spreadsheets/d/1Uw7-A9f9R21vMXxHZFNpYNeKFtG8_yji4HS352LGlSQ/edit?pli=1#gid=0"",""1_ACUM!A4:S""),16,FALSE))"),"")</f>
        <v/>
      </c>
      <c r="AH451" s="43" t="str">
        <f ca="1">IFERROR(__xludf.DUMMYFUNCTION("IFERROR(VLOOKUP(E474&amp;F474,IMPORTRANGE(""https://docs.google.com/spreadsheets/d/1Uw7-A9f9R21vMXxHZFNpYNeKFtG8_yji4HS352LGlSQ/edit?pli=1#gid=0"",""1_ACUM!A4:S""),17,FALSE))"),"")</f>
        <v/>
      </c>
      <c r="AI451" s="44" t="str">
        <f ca="1">IFERROR(__xludf.DUMMYFUNCTION("IFERROR(VLOOKUP(E474&amp;F474,IMPORTRANGE(""https://docs.google.com/spreadsheets/d/1Uw7-A9f9R21vMXxHZFNpYNeKFtG8_yji4HS352LGlSQ/edit?pli=1#gid=0"",""1_ACUM!A4:S""),18,FALSE))"),"")</f>
        <v/>
      </c>
      <c r="AJ451" s="44" t="str">
        <f ca="1">IFERROR(__xludf.DUMMYFUNCTION("IFERROR(VLOOKUP(E474&amp;F474,IMPORTRANGE(""https://docs.google.com/spreadsheets/d/1Uw7-A9f9R21vMXxHZFNpYNeKFtG8_yji4HS352LGlSQ/edit?pli=1#gid=0"",""1_ACUM!A4:S""),19,FALSE))"),"")</f>
        <v/>
      </c>
      <c r="AK451" s="98" t="str">
        <f ca="1">IFERROR(__xludf.DUMMYFUNCTION("IFERROR(VLOOKUP(F474,IMPORTRANGE(""https://docs.google.com/spreadsheets/d/1Kvs4KS76FHFqLFIZfrDMff4kP08nblUkihrxltoGBjg/edit#gid=934712705"",""ESENCIAL!A6:BG""),5,FALSE))"),"")</f>
        <v/>
      </c>
      <c r="AL451" s="98" t="str">
        <f t="shared" si="31"/>
        <v/>
      </c>
      <c r="AM451" s="99" t="str">
        <f t="shared" si="32"/>
        <v/>
      </c>
      <c r="AN451" s="100" t="str">
        <f ca="1">IFERROR(__xludf.DUMMYFUNCTION("IFERROR(VLOOKUP(F474,IMPORTRANGE(""https://docs.google.com/spreadsheets/d/1Kvs4KS76FHFqLFIZfrDMff4kP08nblUkihrxltoGBjg/edit#gid=934712705"",""ESENCIAL!A6:BG""),2,FALSE))"),"")</f>
        <v/>
      </c>
      <c r="AO451" s="19" t="str">
        <f t="shared" si="20"/>
        <v/>
      </c>
      <c r="AP451" s="100"/>
      <c r="AQ451" s="100"/>
    </row>
    <row r="452" spans="1:43" ht="15">
      <c r="A452" s="5"/>
      <c r="B452" s="5"/>
      <c r="G452" s="5" t="str">
        <f ca="1">IFERROR(__xludf.DUMMYFUNCTION("IFERROR(VLOOKUP(F475,IMPORTRANGE(""https://docs.google.com/spreadsheets/d/1Kvs4KS76FHFqLFIZfrDMff4kP08nblUkihrxltoGBjg/edit#gid=934712705"",""ESENCIAL!A6:BG""),3,FALSE))"),"")</f>
        <v/>
      </c>
      <c r="H452" s="5" t="str">
        <f ca="1">IFERROR(__xludf.DUMMYFUNCTION("IFERROR(VLOOKUP(F475,IMPORTRANGE(""https://docs.google.com/spreadsheets/d/1Kvs4KS76FHFqLFIZfrDMff4kP08nblUkihrxltoGBjg/edit#gid=934712705"",""ESENCIAL!A6:BG""),8,FALSE))"),"")</f>
        <v/>
      </c>
      <c r="L452" s="287"/>
      <c r="Z452" s="41" t="str">
        <f t="shared" si="30"/>
        <v/>
      </c>
      <c r="AA452" s="5" t="str">
        <f ca="1">IFERROR(__xludf.DUMMYFUNCTION("IFERROR(VLOOKUP(E475&amp;F475,IMPORTRANGE(""https://docs.google.com/spreadsheets/d/1Uw7-A9f9R21vMXxHZFNpYNeKFtG8_yji4HS352LGlSQ/edit?pli=1#gid=0"",""1_ACUM!A4:S""),11,FALSE))"),"")</f>
        <v/>
      </c>
      <c r="AB452" s="42" t="str">
        <f ca="1">IFERROR(__xludf.DUMMYFUNCTION("IFERROR(VLOOKUP(F475,IMPORTRANGE(""https://docs.google.com/spreadsheets/d/1Kvs4KS76FHFqLFIZfrDMff4kP08nblUkihrxltoGBjg/edit#gid=934712705"",""ESENCIAL!A6:BG""),15,FALSE))"),"")</f>
        <v/>
      </c>
      <c r="AC452" s="110" t="str">
        <f ca="1">IFERROR(__xludf.DUMMYFUNCTION("IFERROR(VLOOKUP(E475&amp;F475,IMPORTRANGE(""https://docs.google.com/spreadsheets/d/1Uw7-A9f9R21vMXxHZFNpYNeKFtG8_yji4HS352LGlSQ/edit?pli=1#gid=0"",""1_ACUM!A4:S""),13,FALSE))"),"")</f>
        <v/>
      </c>
      <c r="AD452" s="43" t="str">
        <f ca="1">IFERROR(__xludf.DUMMYFUNCTION("IFERROR(VLOOKUP(E475&amp;F475,IMPORTRANGE(""https://docs.google.com/spreadsheets/d/1Uw7-A9f9R21vMXxHZFNpYNeKFtG8_yji4HS352LGlSQ/edit?pli=1#gid=0"",""1_ACUM!A4:S""),13,FALSE))"),"")</f>
        <v/>
      </c>
      <c r="AE452" s="43" t="str">
        <f ca="1">IFERROR(__xludf.DUMMYFUNCTION("IFERROR(VLOOKUP(E475&amp;F475,IMPORTRANGE(""https://docs.google.com/spreadsheets/d/1Uw7-A9f9R21vMXxHZFNpYNeKFtG8_yji4HS352LGlSQ/edit?pli=1#gid=0"",""1_ACUM!A4:S""),14,FALSE))"),"")</f>
        <v/>
      </c>
      <c r="AF452" s="43" t="str">
        <f ca="1">IFERROR(__xludf.DUMMYFUNCTION("IFERROR(VLOOKUP(E475&amp;F475,IMPORTRANGE(""https://docs.google.com/spreadsheets/d/1Uw7-A9f9R21vMXxHZFNpYNeKFtG8_yji4HS352LGlSQ/edit?pli=1#gid=0"",""1_ACUM!A4:S""),15,FALSE))"),"")</f>
        <v/>
      </c>
      <c r="AG452" s="43" t="str">
        <f ca="1">IFERROR(__xludf.DUMMYFUNCTION("IFERROR(VLOOKUP(E475&amp;F475,IMPORTRANGE(""https://docs.google.com/spreadsheets/d/1Uw7-A9f9R21vMXxHZFNpYNeKFtG8_yji4HS352LGlSQ/edit?pli=1#gid=0"",""1_ACUM!A4:S""),16,FALSE))"),"")</f>
        <v/>
      </c>
      <c r="AH452" s="43" t="str">
        <f ca="1">IFERROR(__xludf.DUMMYFUNCTION("IFERROR(VLOOKUP(E475&amp;F475,IMPORTRANGE(""https://docs.google.com/spreadsheets/d/1Uw7-A9f9R21vMXxHZFNpYNeKFtG8_yji4HS352LGlSQ/edit?pli=1#gid=0"",""1_ACUM!A4:S""),17,FALSE))"),"")</f>
        <v/>
      </c>
      <c r="AI452" s="44" t="str">
        <f ca="1">IFERROR(__xludf.DUMMYFUNCTION("IFERROR(VLOOKUP(E475&amp;F475,IMPORTRANGE(""https://docs.google.com/spreadsheets/d/1Uw7-A9f9R21vMXxHZFNpYNeKFtG8_yji4HS352LGlSQ/edit?pli=1#gid=0"",""1_ACUM!A4:S""),18,FALSE))"),"")</f>
        <v/>
      </c>
      <c r="AJ452" s="44" t="str">
        <f ca="1">IFERROR(__xludf.DUMMYFUNCTION("IFERROR(VLOOKUP(E475&amp;F475,IMPORTRANGE(""https://docs.google.com/spreadsheets/d/1Uw7-A9f9R21vMXxHZFNpYNeKFtG8_yji4HS352LGlSQ/edit?pli=1#gid=0"",""1_ACUM!A4:S""),19,FALSE))"),"")</f>
        <v/>
      </c>
      <c r="AK452" s="98" t="str">
        <f ca="1">IFERROR(__xludf.DUMMYFUNCTION("IFERROR(VLOOKUP(F475,IMPORTRANGE(""https://docs.google.com/spreadsheets/d/1Kvs4KS76FHFqLFIZfrDMff4kP08nblUkihrxltoGBjg/edit#gid=934712705"",""ESENCIAL!A6:BG""),5,FALSE))"),"")</f>
        <v/>
      </c>
      <c r="AL452" s="98" t="str">
        <f t="shared" si="31"/>
        <v/>
      </c>
      <c r="AM452" s="99" t="str">
        <f t="shared" si="32"/>
        <v/>
      </c>
      <c r="AN452" s="100" t="str">
        <f ca="1">IFERROR(__xludf.DUMMYFUNCTION("IFERROR(VLOOKUP(F475,IMPORTRANGE(""https://docs.google.com/spreadsheets/d/1Kvs4KS76FHFqLFIZfrDMff4kP08nblUkihrxltoGBjg/edit#gid=934712705"",""ESENCIAL!A6:BG""),2,FALSE))"),"")</f>
        <v/>
      </c>
      <c r="AO452" s="19" t="str">
        <f t="shared" si="20"/>
        <v/>
      </c>
      <c r="AP452" s="100"/>
      <c r="AQ452" s="100"/>
    </row>
    <row r="453" spans="1:43" ht="15">
      <c r="A453" s="5"/>
      <c r="B453" s="5"/>
      <c r="G453" s="5" t="str">
        <f ca="1">IFERROR(__xludf.DUMMYFUNCTION("IFERROR(VLOOKUP(F476,IMPORTRANGE(""https://docs.google.com/spreadsheets/d/1Kvs4KS76FHFqLFIZfrDMff4kP08nblUkihrxltoGBjg/edit#gid=934712705"",""ESENCIAL!A6:BG""),3,FALSE))"),"")</f>
        <v/>
      </c>
      <c r="H453" s="5" t="str">
        <f ca="1">IFERROR(__xludf.DUMMYFUNCTION("IFERROR(VLOOKUP(F476,IMPORTRANGE(""https://docs.google.com/spreadsheets/d/1Kvs4KS76FHFqLFIZfrDMff4kP08nblUkihrxltoGBjg/edit#gid=934712705"",""ESENCIAL!A6:BG""),8,FALSE))"),"")</f>
        <v/>
      </c>
      <c r="L453" s="287"/>
      <c r="Z453" s="41" t="str">
        <f t="shared" si="30"/>
        <v/>
      </c>
      <c r="AA453" s="5" t="str">
        <f ca="1">IFERROR(__xludf.DUMMYFUNCTION("IFERROR(VLOOKUP(E476&amp;F476,IMPORTRANGE(""https://docs.google.com/spreadsheets/d/1Uw7-A9f9R21vMXxHZFNpYNeKFtG8_yji4HS352LGlSQ/edit?pli=1#gid=0"",""1_ACUM!A4:S""),11,FALSE))"),"")</f>
        <v/>
      </c>
      <c r="AB453" s="42" t="str">
        <f ca="1">IFERROR(__xludf.DUMMYFUNCTION("IFERROR(VLOOKUP(F476,IMPORTRANGE(""https://docs.google.com/spreadsheets/d/1Kvs4KS76FHFqLFIZfrDMff4kP08nblUkihrxltoGBjg/edit#gid=934712705"",""ESENCIAL!A6:BG""),15,FALSE))"),"")</f>
        <v/>
      </c>
      <c r="AC453" s="110" t="str">
        <f ca="1">IFERROR(__xludf.DUMMYFUNCTION("IFERROR(VLOOKUP(E476&amp;F476,IMPORTRANGE(""https://docs.google.com/spreadsheets/d/1Uw7-A9f9R21vMXxHZFNpYNeKFtG8_yji4HS352LGlSQ/edit?pli=1#gid=0"",""1_ACUM!A4:S""),13,FALSE))"),"")</f>
        <v/>
      </c>
      <c r="AD453" s="43" t="str">
        <f ca="1">IFERROR(__xludf.DUMMYFUNCTION("IFERROR(VLOOKUP(E476&amp;F476,IMPORTRANGE(""https://docs.google.com/spreadsheets/d/1Uw7-A9f9R21vMXxHZFNpYNeKFtG8_yji4HS352LGlSQ/edit?pli=1#gid=0"",""1_ACUM!A4:S""),13,FALSE))"),"")</f>
        <v/>
      </c>
      <c r="AE453" s="43" t="str">
        <f ca="1">IFERROR(__xludf.DUMMYFUNCTION("IFERROR(VLOOKUP(E476&amp;F476,IMPORTRANGE(""https://docs.google.com/spreadsheets/d/1Uw7-A9f9R21vMXxHZFNpYNeKFtG8_yji4HS352LGlSQ/edit?pli=1#gid=0"",""1_ACUM!A4:S""),14,FALSE))"),"")</f>
        <v/>
      </c>
      <c r="AF453" s="43" t="str">
        <f ca="1">IFERROR(__xludf.DUMMYFUNCTION("IFERROR(VLOOKUP(E476&amp;F476,IMPORTRANGE(""https://docs.google.com/spreadsheets/d/1Uw7-A9f9R21vMXxHZFNpYNeKFtG8_yji4HS352LGlSQ/edit?pli=1#gid=0"",""1_ACUM!A4:S""),15,FALSE))"),"")</f>
        <v/>
      </c>
      <c r="AG453" s="43" t="str">
        <f ca="1">IFERROR(__xludf.DUMMYFUNCTION("IFERROR(VLOOKUP(E476&amp;F476,IMPORTRANGE(""https://docs.google.com/spreadsheets/d/1Uw7-A9f9R21vMXxHZFNpYNeKFtG8_yji4HS352LGlSQ/edit?pli=1#gid=0"",""1_ACUM!A4:S""),16,FALSE))"),"")</f>
        <v/>
      </c>
      <c r="AH453" s="43" t="str">
        <f ca="1">IFERROR(__xludf.DUMMYFUNCTION("IFERROR(VLOOKUP(E476&amp;F476,IMPORTRANGE(""https://docs.google.com/spreadsheets/d/1Uw7-A9f9R21vMXxHZFNpYNeKFtG8_yji4HS352LGlSQ/edit?pli=1#gid=0"",""1_ACUM!A4:S""),17,FALSE))"),"")</f>
        <v/>
      </c>
      <c r="AI453" s="44" t="str">
        <f ca="1">IFERROR(__xludf.DUMMYFUNCTION("IFERROR(VLOOKUP(E476&amp;F476,IMPORTRANGE(""https://docs.google.com/spreadsheets/d/1Uw7-A9f9R21vMXxHZFNpYNeKFtG8_yji4HS352LGlSQ/edit?pli=1#gid=0"",""1_ACUM!A4:S""),18,FALSE))"),"")</f>
        <v/>
      </c>
      <c r="AJ453" s="44" t="str">
        <f ca="1">IFERROR(__xludf.DUMMYFUNCTION("IFERROR(VLOOKUP(E476&amp;F476,IMPORTRANGE(""https://docs.google.com/spreadsheets/d/1Uw7-A9f9R21vMXxHZFNpYNeKFtG8_yji4HS352LGlSQ/edit?pli=1#gid=0"",""1_ACUM!A4:S""),19,FALSE))"),"")</f>
        <v/>
      </c>
      <c r="AK453" s="98" t="str">
        <f ca="1">IFERROR(__xludf.DUMMYFUNCTION("IFERROR(VLOOKUP(F476,IMPORTRANGE(""https://docs.google.com/spreadsheets/d/1Kvs4KS76FHFqLFIZfrDMff4kP08nblUkihrxltoGBjg/edit#gid=934712705"",""ESENCIAL!A6:BG""),5,FALSE))"),"")</f>
        <v/>
      </c>
      <c r="AL453" s="98" t="str">
        <f t="shared" si="31"/>
        <v/>
      </c>
      <c r="AM453" s="99" t="str">
        <f t="shared" si="32"/>
        <v/>
      </c>
      <c r="AN453" s="100" t="str">
        <f ca="1">IFERROR(__xludf.DUMMYFUNCTION("IFERROR(VLOOKUP(F476,IMPORTRANGE(""https://docs.google.com/spreadsheets/d/1Kvs4KS76FHFqLFIZfrDMff4kP08nblUkihrxltoGBjg/edit#gid=934712705"",""ESENCIAL!A6:BG""),2,FALSE))"),"")</f>
        <v/>
      </c>
      <c r="AO453" s="19" t="str">
        <f t="shared" si="20"/>
        <v/>
      </c>
      <c r="AP453" s="100"/>
      <c r="AQ453" s="100"/>
    </row>
    <row r="454" spans="1:43" ht="15">
      <c r="A454" s="5"/>
      <c r="B454" s="5"/>
      <c r="G454" s="5" t="str">
        <f ca="1">IFERROR(__xludf.DUMMYFUNCTION("IFERROR(VLOOKUP(F477,IMPORTRANGE(""https://docs.google.com/spreadsheets/d/1Kvs4KS76FHFqLFIZfrDMff4kP08nblUkihrxltoGBjg/edit#gid=934712705"",""ESENCIAL!A6:BG""),3,FALSE))"),"")</f>
        <v/>
      </c>
      <c r="H454" s="5" t="str">
        <f ca="1">IFERROR(__xludf.DUMMYFUNCTION("IFERROR(VLOOKUP(F477,IMPORTRANGE(""https://docs.google.com/spreadsheets/d/1Kvs4KS76FHFqLFIZfrDMff4kP08nblUkihrxltoGBjg/edit#gid=934712705"",""ESENCIAL!A6:BG""),8,FALSE))"),"")</f>
        <v/>
      </c>
      <c r="L454" s="287"/>
      <c r="Z454" s="41" t="str">
        <f t="shared" si="30"/>
        <v/>
      </c>
      <c r="AA454" s="5" t="str">
        <f ca="1">IFERROR(__xludf.DUMMYFUNCTION("IFERROR(VLOOKUP(E477&amp;F477,IMPORTRANGE(""https://docs.google.com/spreadsheets/d/1Uw7-A9f9R21vMXxHZFNpYNeKFtG8_yji4HS352LGlSQ/edit?pli=1#gid=0"",""1_ACUM!A4:S""),11,FALSE))"),"")</f>
        <v/>
      </c>
      <c r="AB454" s="42" t="str">
        <f ca="1">IFERROR(__xludf.DUMMYFUNCTION("IFERROR(VLOOKUP(F477,IMPORTRANGE(""https://docs.google.com/spreadsheets/d/1Kvs4KS76FHFqLFIZfrDMff4kP08nblUkihrxltoGBjg/edit#gid=934712705"",""ESENCIAL!A6:BG""),15,FALSE))"),"")</f>
        <v/>
      </c>
      <c r="AC454" s="110" t="str">
        <f ca="1">IFERROR(__xludf.DUMMYFUNCTION("IFERROR(VLOOKUP(E477&amp;F477,IMPORTRANGE(""https://docs.google.com/spreadsheets/d/1Uw7-A9f9R21vMXxHZFNpYNeKFtG8_yji4HS352LGlSQ/edit?pli=1#gid=0"",""1_ACUM!A4:S""),13,FALSE))"),"")</f>
        <v/>
      </c>
      <c r="AD454" s="43" t="str">
        <f ca="1">IFERROR(__xludf.DUMMYFUNCTION("IFERROR(VLOOKUP(E477&amp;F477,IMPORTRANGE(""https://docs.google.com/spreadsheets/d/1Uw7-A9f9R21vMXxHZFNpYNeKFtG8_yji4HS352LGlSQ/edit?pli=1#gid=0"",""1_ACUM!A4:S""),13,FALSE))"),"")</f>
        <v/>
      </c>
      <c r="AE454" s="43" t="str">
        <f ca="1">IFERROR(__xludf.DUMMYFUNCTION("IFERROR(VLOOKUP(E477&amp;F477,IMPORTRANGE(""https://docs.google.com/spreadsheets/d/1Uw7-A9f9R21vMXxHZFNpYNeKFtG8_yji4HS352LGlSQ/edit?pli=1#gid=0"",""1_ACUM!A4:S""),14,FALSE))"),"")</f>
        <v/>
      </c>
      <c r="AF454" s="43" t="str">
        <f ca="1">IFERROR(__xludf.DUMMYFUNCTION("IFERROR(VLOOKUP(E477&amp;F477,IMPORTRANGE(""https://docs.google.com/spreadsheets/d/1Uw7-A9f9R21vMXxHZFNpYNeKFtG8_yji4HS352LGlSQ/edit?pli=1#gid=0"",""1_ACUM!A4:S""),15,FALSE))"),"")</f>
        <v/>
      </c>
      <c r="AG454" s="43" t="str">
        <f ca="1">IFERROR(__xludf.DUMMYFUNCTION("IFERROR(VLOOKUP(E477&amp;F477,IMPORTRANGE(""https://docs.google.com/spreadsheets/d/1Uw7-A9f9R21vMXxHZFNpYNeKFtG8_yji4HS352LGlSQ/edit?pli=1#gid=0"",""1_ACUM!A4:S""),16,FALSE))"),"")</f>
        <v/>
      </c>
      <c r="AH454" s="43" t="str">
        <f ca="1">IFERROR(__xludf.DUMMYFUNCTION("IFERROR(VLOOKUP(E477&amp;F477,IMPORTRANGE(""https://docs.google.com/spreadsheets/d/1Uw7-A9f9R21vMXxHZFNpYNeKFtG8_yji4HS352LGlSQ/edit?pli=1#gid=0"",""1_ACUM!A4:S""),17,FALSE))"),"")</f>
        <v/>
      </c>
      <c r="AI454" s="44" t="str">
        <f ca="1">IFERROR(__xludf.DUMMYFUNCTION("IFERROR(VLOOKUP(E477&amp;F477,IMPORTRANGE(""https://docs.google.com/spreadsheets/d/1Uw7-A9f9R21vMXxHZFNpYNeKFtG8_yji4HS352LGlSQ/edit?pli=1#gid=0"",""1_ACUM!A4:S""),18,FALSE))"),"")</f>
        <v/>
      </c>
      <c r="AJ454" s="44" t="str">
        <f ca="1">IFERROR(__xludf.DUMMYFUNCTION("IFERROR(VLOOKUP(E477&amp;F477,IMPORTRANGE(""https://docs.google.com/spreadsheets/d/1Uw7-A9f9R21vMXxHZFNpYNeKFtG8_yji4HS352LGlSQ/edit?pli=1#gid=0"",""1_ACUM!A4:S""),19,FALSE))"),"")</f>
        <v/>
      </c>
      <c r="AK454" s="98" t="str">
        <f ca="1">IFERROR(__xludf.DUMMYFUNCTION("IFERROR(VLOOKUP(F477,IMPORTRANGE(""https://docs.google.com/spreadsheets/d/1Kvs4KS76FHFqLFIZfrDMff4kP08nblUkihrxltoGBjg/edit#gid=934712705"",""ESENCIAL!A6:BG""),5,FALSE))"),"")</f>
        <v/>
      </c>
      <c r="AL454" s="98" t="str">
        <f t="shared" si="31"/>
        <v/>
      </c>
      <c r="AM454" s="99" t="str">
        <f t="shared" si="32"/>
        <v/>
      </c>
      <c r="AN454" s="100" t="str">
        <f ca="1">IFERROR(__xludf.DUMMYFUNCTION("IFERROR(VLOOKUP(F477,IMPORTRANGE(""https://docs.google.com/spreadsheets/d/1Kvs4KS76FHFqLFIZfrDMff4kP08nblUkihrxltoGBjg/edit#gid=934712705"",""ESENCIAL!A6:BG""),2,FALSE))"),"")</f>
        <v/>
      </c>
      <c r="AO454" s="19" t="str">
        <f t="shared" si="20"/>
        <v/>
      </c>
      <c r="AP454" s="100"/>
      <c r="AQ454" s="100"/>
    </row>
    <row r="455" spans="1:43" ht="15">
      <c r="A455" s="5"/>
      <c r="B455" s="5"/>
      <c r="G455" s="5" t="str">
        <f ca="1">IFERROR(__xludf.DUMMYFUNCTION("IFERROR(VLOOKUP(F478,IMPORTRANGE(""https://docs.google.com/spreadsheets/d/1Kvs4KS76FHFqLFIZfrDMff4kP08nblUkihrxltoGBjg/edit#gid=934712705"",""ESENCIAL!A6:BG""),3,FALSE))"),"")</f>
        <v/>
      </c>
      <c r="H455" s="5" t="str">
        <f ca="1">IFERROR(__xludf.DUMMYFUNCTION("IFERROR(VLOOKUP(F478,IMPORTRANGE(""https://docs.google.com/spreadsheets/d/1Kvs4KS76FHFqLFIZfrDMff4kP08nblUkihrxltoGBjg/edit#gid=934712705"",""ESENCIAL!A6:BG""),8,FALSE))"),"")</f>
        <v/>
      </c>
      <c r="L455" s="287"/>
      <c r="Z455" s="41" t="str">
        <f t="shared" si="30"/>
        <v/>
      </c>
      <c r="AA455" s="5" t="str">
        <f ca="1">IFERROR(__xludf.DUMMYFUNCTION("IFERROR(VLOOKUP(E478&amp;F478,IMPORTRANGE(""https://docs.google.com/spreadsheets/d/1Uw7-A9f9R21vMXxHZFNpYNeKFtG8_yji4HS352LGlSQ/edit?pli=1#gid=0"",""1_ACUM!A4:S""),11,FALSE))"),"")</f>
        <v/>
      </c>
      <c r="AB455" s="42" t="str">
        <f ca="1">IFERROR(__xludf.DUMMYFUNCTION("IFERROR(VLOOKUP(F478,IMPORTRANGE(""https://docs.google.com/spreadsheets/d/1Kvs4KS76FHFqLFIZfrDMff4kP08nblUkihrxltoGBjg/edit#gid=934712705"",""ESENCIAL!A6:BG""),15,FALSE))"),"")</f>
        <v/>
      </c>
      <c r="AC455" s="110" t="str">
        <f ca="1">IFERROR(__xludf.DUMMYFUNCTION("IFERROR(VLOOKUP(E478&amp;F478,IMPORTRANGE(""https://docs.google.com/spreadsheets/d/1Uw7-A9f9R21vMXxHZFNpYNeKFtG8_yji4HS352LGlSQ/edit?pli=1#gid=0"",""1_ACUM!A4:S""),13,FALSE))"),"")</f>
        <v/>
      </c>
      <c r="AD455" s="43" t="str">
        <f ca="1">IFERROR(__xludf.DUMMYFUNCTION("IFERROR(VLOOKUP(E478&amp;F478,IMPORTRANGE(""https://docs.google.com/spreadsheets/d/1Uw7-A9f9R21vMXxHZFNpYNeKFtG8_yji4HS352LGlSQ/edit?pli=1#gid=0"",""1_ACUM!A4:S""),13,FALSE))"),"")</f>
        <v/>
      </c>
      <c r="AE455" s="43" t="str">
        <f ca="1">IFERROR(__xludf.DUMMYFUNCTION("IFERROR(VLOOKUP(E478&amp;F478,IMPORTRANGE(""https://docs.google.com/spreadsheets/d/1Uw7-A9f9R21vMXxHZFNpYNeKFtG8_yji4HS352LGlSQ/edit?pli=1#gid=0"",""1_ACUM!A4:S""),14,FALSE))"),"")</f>
        <v/>
      </c>
      <c r="AF455" s="43" t="str">
        <f ca="1">IFERROR(__xludf.DUMMYFUNCTION("IFERROR(VLOOKUP(E478&amp;F478,IMPORTRANGE(""https://docs.google.com/spreadsheets/d/1Uw7-A9f9R21vMXxHZFNpYNeKFtG8_yji4HS352LGlSQ/edit?pli=1#gid=0"",""1_ACUM!A4:S""),15,FALSE))"),"")</f>
        <v/>
      </c>
      <c r="AG455" s="43" t="str">
        <f ca="1">IFERROR(__xludf.DUMMYFUNCTION("IFERROR(VLOOKUP(E478&amp;F478,IMPORTRANGE(""https://docs.google.com/spreadsheets/d/1Uw7-A9f9R21vMXxHZFNpYNeKFtG8_yji4HS352LGlSQ/edit?pli=1#gid=0"",""1_ACUM!A4:S""),16,FALSE))"),"")</f>
        <v/>
      </c>
      <c r="AH455" s="43" t="str">
        <f ca="1">IFERROR(__xludf.DUMMYFUNCTION("IFERROR(VLOOKUP(E478&amp;F478,IMPORTRANGE(""https://docs.google.com/spreadsheets/d/1Uw7-A9f9R21vMXxHZFNpYNeKFtG8_yji4HS352LGlSQ/edit?pli=1#gid=0"",""1_ACUM!A4:S""),17,FALSE))"),"")</f>
        <v/>
      </c>
      <c r="AI455" s="44" t="str">
        <f ca="1">IFERROR(__xludf.DUMMYFUNCTION("IFERROR(VLOOKUP(E478&amp;F478,IMPORTRANGE(""https://docs.google.com/spreadsheets/d/1Uw7-A9f9R21vMXxHZFNpYNeKFtG8_yji4HS352LGlSQ/edit?pli=1#gid=0"",""1_ACUM!A4:S""),18,FALSE))"),"")</f>
        <v/>
      </c>
      <c r="AJ455" s="44" t="str">
        <f ca="1">IFERROR(__xludf.DUMMYFUNCTION("IFERROR(VLOOKUP(E478&amp;F478,IMPORTRANGE(""https://docs.google.com/spreadsheets/d/1Uw7-A9f9R21vMXxHZFNpYNeKFtG8_yji4HS352LGlSQ/edit?pli=1#gid=0"",""1_ACUM!A4:S""),19,FALSE))"),"")</f>
        <v/>
      </c>
      <c r="AK455" s="98" t="str">
        <f ca="1">IFERROR(__xludf.DUMMYFUNCTION("IFERROR(VLOOKUP(F478,IMPORTRANGE(""https://docs.google.com/spreadsheets/d/1Kvs4KS76FHFqLFIZfrDMff4kP08nblUkihrxltoGBjg/edit#gid=934712705"",""ESENCIAL!A6:BG""),5,FALSE))"),"")</f>
        <v/>
      </c>
      <c r="AL455" s="98" t="str">
        <f t="shared" si="31"/>
        <v/>
      </c>
      <c r="AM455" s="99" t="str">
        <f t="shared" si="32"/>
        <v/>
      </c>
      <c r="AN455" s="100" t="str">
        <f ca="1">IFERROR(__xludf.DUMMYFUNCTION("IFERROR(VLOOKUP(F478,IMPORTRANGE(""https://docs.google.com/spreadsheets/d/1Kvs4KS76FHFqLFIZfrDMff4kP08nblUkihrxltoGBjg/edit#gid=934712705"",""ESENCIAL!A6:BG""),2,FALSE))"),"")</f>
        <v/>
      </c>
      <c r="AO455" s="19" t="str">
        <f t="shared" si="20"/>
        <v/>
      </c>
      <c r="AP455" s="100"/>
      <c r="AQ455" s="100"/>
    </row>
    <row r="456" spans="1:43" ht="15">
      <c r="A456" s="5"/>
      <c r="B456" s="5"/>
      <c r="G456" s="5" t="str">
        <f ca="1">IFERROR(__xludf.DUMMYFUNCTION("IFERROR(VLOOKUP(F479,IMPORTRANGE(""https://docs.google.com/spreadsheets/d/1Kvs4KS76FHFqLFIZfrDMff4kP08nblUkihrxltoGBjg/edit#gid=934712705"",""ESENCIAL!A6:BG""),3,FALSE))"),"")</f>
        <v/>
      </c>
      <c r="H456" s="5" t="str">
        <f ca="1">IFERROR(__xludf.DUMMYFUNCTION("IFERROR(VLOOKUP(F479,IMPORTRANGE(""https://docs.google.com/spreadsheets/d/1Kvs4KS76FHFqLFIZfrDMff4kP08nblUkihrxltoGBjg/edit#gid=934712705"",""ESENCIAL!A6:BG""),8,FALSE))"),"")</f>
        <v/>
      </c>
      <c r="L456" s="287"/>
      <c r="Z456" s="41" t="str">
        <f t="shared" si="30"/>
        <v/>
      </c>
      <c r="AA456" s="5" t="str">
        <f ca="1">IFERROR(__xludf.DUMMYFUNCTION("IFERROR(VLOOKUP(E479&amp;F479,IMPORTRANGE(""https://docs.google.com/spreadsheets/d/1Uw7-A9f9R21vMXxHZFNpYNeKFtG8_yji4HS352LGlSQ/edit?pli=1#gid=0"",""1_ACUM!A4:S""),11,FALSE))"),"")</f>
        <v/>
      </c>
      <c r="AB456" s="42" t="str">
        <f ca="1">IFERROR(__xludf.DUMMYFUNCTION("IFERROR(VLOOKUP(F479,IMPORTRANGE(""https://docs.google.com/spreadsheets/d/1Kvs4KS76FHFqLFIZfrDMff4kP08nblUkihrxltoGBjg/edit#gid=934712705"",""ESENCIAL!A6:BG""),15,FALSE))"),"")</f>
        <v/>
      </c>
      <c r="AC456" s="110" t="str">
        <f ca="1">IFERROR(__xludf.DUMMYFUNCTION("IFERROR(VLOOKUP(E479&amp;F479,IMPORTRANGE(""https://docs.google.com/spreadsheets/d/1Uw7-A9f9R21vMXxHZFNpYNeKFtG8_yji4HS352LGlSQ/edit?pli=1#gid=0"",""1_ACUM!A4:S""),13,FALSE))"),"")</f>
        <v/>
      </c>
      <c r="AD456" s="43" t="str">
        <f ca="1">IFERROR(__xludf.DUMMYFUNCTION("IFERROR(VLOOKUP(E479&amp;F479,IMPORTRANGE(""https://docs.google.com/spreadsheets/d/1Uw7-A9f9R21vMXxHZFNpYNeKFtG8_yji4HS352LGlSQ/edit?pli=1#gid=0"",""1_ACUM!A4:S""),13,FALSE))"),"")</f>
        <v/>
      </c>
      <c r="AE456" s="43" t="str">
        <f ca="1">IFERROR(__xludf.DUMMYFUNCTION("IFERROR(VLOOKUP(E479&amp;F479,IMPORTRANGE(""https://docs.google.com/spreadsheets/d/1Uw7-A9f9R21vMXxHZFNpYNeKFtG8_yji4HS352LGlSQ/edit?pli=1#gid=0"",""1_ACUM!A4:S""),14,FALSE))"),"")</f>
        <v/>
      </c>
      <c r="AF456" s="43" t="str">
        <f ca="1">IFERROR(__xludf.DUMMYFUNCTION("IFERROR(VLOOKUP(E479&amp;F479,IMPORTRANGE(""https://docs.google.com/spreadsheets/d/1Uw7-A9f9R21vMXxHZFNpYNeKFtG8_yji4HS352LGlSQ/edit?pli=1#gid=0"",""1_ACUM!A4:S""),15,FALSE))"),"")</f>
        <v/>
      </c>
      <c r="AG456" s="43" t="str">
        <f ca="1">IFERROR(__xludf.DUMMYFUNCTION("IFERROR(VLOOKUP(E479&amp;F479,IMPORTRANGE(""https://docs.google.com/spreadsheets/d/1Uw7-A9f9R21vMXxHZFNpYNeKFtG8_yji4HS352LGlSQ/edit?pli=1#gid=0"",""1_ACUM!A4:S""),16,FALSE))"),"")</f>
        <v/>
      </c>
      <c r="AH456" s="43" t="str">
        <f ca="1">IFERROR(__xludf.DUMMYFUNCTION("IFERROR(VLOOKUP(E479&amp;F479,IMPORTRANGE(""https://docs.google.com/spreadsheets/d/1Uw7-A9f9R21vMXxHZFNpYNeKFtG8_yji4HS352LGlSQ/edit?pli=1#gid=0"",""1_ACUM!A4:S""),17,FALSE))"),"")</f>
        <v/>
      </c>
      <c r="AI456" s="44" t="str">
        <f ca="1">IFERROR(__xludf.DUMMYFUNCTION("IFERROR(VLOOKUP(E479&amp;F479,IMPORTRANGE(""https://docs.google.com/spreadsheets/d/1Uw7-A9f9R21vMXxHZFNpYNeKFtG8_yji4HS352LGlSQ/edit?pli=1#gid=0"",""1_ACUM!A4:S""),18,FALSE))"),"")</f>
        <v/>
      </c>
      <c r="AJ456" s="44" t="str">
        <f ca="1">IFERROR(__xludf.DUMMYFUNCTION("IFERROR(VLOOKUP(E479&amp;F479,IMPORTRANGE(""https://docs.google.com/spreadsheets/d/1Uw7-A9f9R21vMXxHZFNpYNeKFtG8_yji4HS352LGlSQ/edit?pli=1#gid=0"",""1_ACUM!A4:S""),19,FALSE))"),"")</f>
        <v/>
      </c>
      <c r="AK456" s="98" t="str">
        <f ca="1">IFERROR(__xludf.DUMMYFUNCTION("IFERROR(VLOOKUP(F479,IMPORTRANGE(""https://docs.google.com/spreadsheets/d/1Kvs4KS76FHFqLFIZfrDMff4kP08nblUkihrxltoGBjg/edit#gid=934712705"",""ESENCIAL!A6:BG""),5,FALSE))"),"")</f>
        <v/>
      </c>
      <c r="AL456" s="98" t="str">
        <f t="shared" si="31"/>
        <v/>
      </c>
      <c r="AM456" s="99" t="str">
        <f t="shared" si="32"/>
        <v/>
      </c>
      <c r="AN456" s="100" t="str">
        <f ca="1">IFERROR(__xludf.DUMMYFUNCTION("IFERROR(VLOOKUP(F479,IMPORTRANGE(""https://docs.google.com/spreadsheets/d/1Kvs4KS76FHFqLFIZfrDMff4kP08nblUkihrxltoGBjg/edit#gid=934712705"",""ESENCIAL!A6:BG""),2,FALSE))"),"")</f>
        <v/>
      </c>
      <c r="AO456" s="19" t="str">
        <f t="shared" si="20"/>
        <v/>
      </c>
      <c r="AP456" s="100"/>
      <c r="AQ456" s="100"/>
    </row>
    <row r="457" spans="1:43" ht="15">
      <c r="A457" s="5"/>
      <c r="B457" s="5"/>
      <c r="G457" s="5" t="str">
        <f ca="1">IFERROR(__xludf.DUMMYFUNCTION("IFERROR(VLOOKUP(F480,IMPORTRANGE(""https://docs.google.com/spreadsheets/d/1Kvs4KS76FHFqLFIZfrDMff4kP08nblUkihrxltoGBjg/edit#gid=934712705"",""ESENCIAL!A6:BG""),3,FALSE))"),"")</f>
        <v/>
      </c>
      <c r="H457" s="5" t="str">
        <f ca="1">IFERROR(__xludf.DUMMYFUNCTION("IFERROR(VLOOKUP(F480,IMPORTRANGE(""https://docs.google.com/spreadsheets/d/1Kvs4KS76FHFqLFIZfrDMff4kP08nblUkihrxltoGBjg/edit#gid=934712705"",""ESENCIAL!A6:BG""),8,FALSE))"),"")</f>
        <v/>
      </c>
      <c r="L457" s="287"/>
      <c r="Z457" s="41" t="str">
        <f t="shared" si="30"/>
        <v/>
      </c>
      <c r="AA457" s="5" t="str">
        <f ca="1">IFERROR(__xludf.DUMMYFUNCTION("IFERROR(VLOOKUP(E480&amp;F480,IMPORTRANGE(""https://docs.google.com/spreadsheets/d/1Uw7-A9f9R21vMXxHZFNpYNeKFtG8_yji4HS352LGlSQ/edit?pli=1#gid=0"",""1_ACUM!A4:S""),11,FALSE))"),"")</f>
        <v/>
      </c>
      <c r="AB457" s="42" t="str">
        <f ca="1">IFERROR(__xludf.DUMMYFUNCTION("IFERROR(VLOOKUP(F480,IMPORTRANGE(""https://docs.google.com/spreadsheets/d/1Kvs4KS76FHFqLFIZfrDMff4kP08nblUkihrxltoGBjg/edit#gid=934712705"",""ESENCIAL!A6:BG""),15,FALSE))"),"")</f>
        <v/>
      </c>
      <c r="AC457" s="110" t="str">
        <f ca="1">IFERROR(__xludf.DUMMYFUNCTION("IFERROR(VLOOKUP(E480&amp;F480,IMPORTRANGE(""https://docs.google.com/spreadsheets/d/1Uw7-A9f9R21vMXxHZFNpYNeKFtG8_yji4HS352LGlSQ/edit?pli=1#gid=0"",""1_ACUM!A4:S""),13,FALSE))"),"")</f>
        <v/>
      </c>
      <c r="AD457" s="43" t="str">
        <f ca="1">IFERROR(__xludf.DUMMYFUNCTION("IFERROR(VLOOKUP(E480&amp;F480,IMPORTRANGE(""https://docs.google.com/spreadsheets/d/1Uw7-A9f9R21vMXxHZFNpYNeKFtG8_yji4HS352LGlSQ/edit?pli=1#gid=0"",""1_ACUM!A4:S""),13,FALSE))"),"")</f>
        <v/>
      </c>
      <c r="AE457" s="43" t="str">
        <f ca="1">IFERROR(__xludf.DUMMYFUNCTION("IFERROR(VLOOKUP(E480&amp;F480,IMPORTRANGE(""https://docs.google.com/spreadsheets/d/1Uw7-A9f9R21vMXxHZFNpYNeKFtG8_yji4HS352LGlSQ/edit?pli=1#gid=0"",""1_ACUM!A4:S""),14,FALSE))"),"")</f>
        <v/>
      </c>
      <c r="AF457" s="43" t="str">
        <f ca="1">IFERROR(__xludf.DUMMYFUNCTION("IFERROR(VLOOKUP(E480&amp;F480,IMPORTRANGE(""https://docs.google.com/spreadsheets/d/1Uw7-A9f9R21vMXxHZFNpYNeKFtG8_yji4HS352LGlSQ/edit?pli=1#gid=0"",""1_ACUM!A4:S""),15,FALSE))"),"")</f>
        <v/>
      </c>
      <c r="AG457" s="43" t="str">
        <f ca="1">IFERROR(__xludf.DUMMYFUNCTION("IFERROR(VLOOKUP(E480&amp;F480,IMPORTRANGE(""https://docs.google.com/spreadsheets/d/1Uw7-A9f9R21vMXxHZFNpYNeKFtG8_yji4HS352LGlSQ/edit?pli=1#gid=0"",""1_ACUM!A4:S""),16,FALSE))"),"")</f>
        <v/>
      </c>
      <c r="AH457" s="43" t="str">
        <f ca="1">IFERROR(__xludf.DUMMYFUNCTION("IFERROR(VLOOKUP(E480&amp;F480,IMPORTRANGE(""https://docs.google.com/spreadsheets/d/1Uw7-A9f9R21vMXxHZFNpYNeKFtG8_yji4HS352LGlSQ/edit?pli=1#gid=0"",""1_ACUM!A4:S""),17,FALSE))"),"")</f>
        <v/>
      </c>
      <c r="AI457" s="44" t="str">
        <f ca="1">IFERROR(__xludf.DUMMYFUNCTION("IFERROR(VLOOKUP(E480&amp;F480,IMPORTRANGE(""https://docs.google.com/spreadsheets/d/1Uw7-A9f9R21vMXxHZFNpYNeKFtG8_yji4HS352LGlSQ/edit?pli=1#gid=0"",""1_ACUM!A4:S""),18,FALSE))"),"")</f>
        <v/>
      </c>
      <c r="AJ457" s="44" t="str">
        <f ca="1">IFERROR(__xludf.DUMMYFUNCTION("IFERROR(VLOOKUP(E480&amp;F480,IMPORTRANGE(""https://docs.google.com/spreadsheets/d/1Uw7-A9f9R21vMXxHZFNpYNeKFtG8_yji4HS352LGlSQ/edit?pli=1#gid=0"",""1_ACUM!A4:S""),19,FALSE))"),"")</f>
        <v/>
      </c>
      <c r="AK457" s="98" t="str">
        <f ca="1">IFERROR(__xludf.DUMMYFUNCTION("IFERROR(VLOOKUP(F480,IMPORTRANGE(""https://docs.google.com/spreadsheets/d/1Kvs4KS76FHFqLFIZfrDMff4kP08nblUkihrxltoGBjg/edit#gid=934712705"",""ESENCIAL!A6:BG""),5,FALSE))"),"")</f>
        <v/>
      </c>
      <c r="AL457" s="98" t="str">
        <f t="shared" si="31"/>
        <v/>
      </c>
      <c r="AM457" s="99" t="str">
        <f t="shared" si="32"/>
        <v/>
      </c>
      <c r="AN457" s="100" t="str">
        <f ca="1">IFERROR(__xludf.DUMMYFUNCTION("IFERROR(VLOOKUP(F480,IMPORTRANGE(""https://docs.google.com/spreadsheets/d/1Kvs4KS76FHFqLFIZfrDMff4kP08nblUkihrxltoGBjg/edit#gid=934712705"",""ESENCIAL!A6:BG""),2,FALSE))"),"")</f>
        <v/>
      </c>
      <c r="AO457" s="19" t="str">
        <f t="shared" si="20"/>
        <v/>
      </c>
      <c r="AP457" s="100"/>
      <c r="AQ457" s="100"/>
    </row>
    <row r="458" spans="1:43" ht="15">
      <c r="A458" s="5"/>
      <c r="B458" s="5"/>
      <c r="G458" s="5" t="str">
        <f ca="1">IFERROR(__xludf.DUMMYFUNCTION("IFERROR(VLOOKUP(F481,IMPORTRANGE(""https://docs.google.com/spreadsheets/d/1Kvs4KS76FHFqLFIZfrDMff4kP08nblUkihrxltoGBjg/edit#gid=934712705"",""ESENCIAL!A6:BG""),3,FALSE))"),"")</f>
        <v/>
      </c>
      <c r="H458" s="5" t="str">
        <f ca="1">IFERROR(__xludf.DUMMYFUNCTION("IFERROR(VLOOKUP(F481,IMPORTRANGE(""https://docs.google.com/spreadsheets/d/1Kvs4KS76FHFqLFIZfrDMff4kP08nblUkihrxltoGBjg/edit#gid=934712705"",""ESENCIAL!A6:BG""),8,FALSE))"),"")</f>
        <v/>
      </c>
      <c r="L458" s="287"/>
      <c r="Z458" s="41" t="str">
        <f t="shared" si="30"/>
        <v/>
      </c>
      <c r="AA458" s="5" t="str">
        <f ca="1">IFERROR(__xludf.DUMMYFUNCTION("IFERROR(VLOOKUP(E481&amp;F481,IMPORTRANGE(""https://docs.google.com/spreadsheets/d/1Uw7-A9f9R21vMXxHZFNpYNeKFtG8_yji4HS352LGlSQ/edit?pli=1#gid=0"",""1_ACUM!A4:S""),11,FALSE))"),"")</f>
        <v/>
      </c>
      <c r="AB458" s="42" t="str">
        <f ca="1">IFERROR(__xludf.DUMMYFUNCTION("IFERROR(VLOOKUP(F481,IMPORTRANGE(""https://docs.google.com/spreadsheets/d/1Kvs4KS76FHFqLFIZfrDMff4kP08nblUkihrxltoGBjg/edit#gid=934712705"",""ESENCIAL!A6:BG""),15,FALSE))"),"")</f>
        <v/>
      </c>
      <c r="AC458" s="110" t="str">
        <f ca="1">IFERROR(__xludf.DUMMYFUNCTION("IFERROR(VLOOKUP(E481&amp;F481,IMPORTRANGE(""https://docs.google.com/spreadsheets/d/1Uw7-A9f9R21vMXxHZFNpYNeKFtG8_yji4HS352LGlSQ/edit?pli=1#gid=0"",""1_ACUM!A4:S""),13,FALSE))"),"")</f>
        <v/>
      </c>
      <c r="AD458" s="43" t="str">
        <f ca="1">IFERROR(__xludf.DUMMYFUNCTION("IFERROR(VLOOKUP(E481&amp;F481,IMPORTRANGE(""https://docs.google.com/spreadsheets/d/1Uw7-A9f9R21vMXxHZFNpYNeKFtG8_yji4HS352LGlSQ/edit?pli=1#gid=0"",""1_ACUM!A4:S""),13,FALSE))"),"")</f>
        <v/>
      </c>
      <c r="AE458" s="43" t="str">
        <f ca="1">IFERROR(__xludf.DUMMYFUNCTION("IFERROR(VLOOKUP(E481&amp;F481,IMPORTRANGE(""https://docs.google.com/spreadsheets/d/1Uw7-A9f9R21vMXxHZFNpYNeKFtG8_yji4HS352LGlSQ/edit?pli=1#gid=0"",""1_ACUM!A4:S""),14,FALSE))"),"")</f>
        <v/>
      </c>
      <c r="AF458" s="43" t="str">
        <f ca="1">IFERROR(__xludf.DUMMYFUNCTION("IFERROR(VLOOKUP(E481&amp;F481,IMPORTRANGE(""https://docs.google.com/spreadsheets/d/1Uw7-A9f9R21vMXxHZFNpYNeKFtG8_yji4HS352LGlSQ/edit?pli=1#gid=0"",""1_ACUM!A4:S""),15,FALSE))"),"")</f>
        <v/>
      </c>
      <c r="AG458" s="43" t="str">
        <f ca="1">IFERROR(__xludf.DUMMYFUNCTION("IFERROR(VLOOKUP(E481&amp;F481,IMPORTRANGE(""https://docs.google.com/spreadsheets/d/1Uw7-A9f9R21vMXxHZFNpYNeKFtG8_yji4HS352LGlSQ/edit?pli=1#gid=0"",""1_ACUM!A4:S""),16,FALSE))"),"")</f>
        <v/>
      </c>
      <c r="AH458" s="43" t="str">
        <f ca="1">IFERROR(__xludf.DUMMYFUNCTION("IFERROR(VLOOKUP(E481&amp;F481,IMPORTRANGE(""https://docs.google.com/spreadsheets/d/1Uw7-A9f9R21vMXxHZFNpYNeKFtG8_yji4HS352LGlSQ/edit?pli=1#gid=0"",""1_ACUM!A4:S""),17,FALSE))"),"")</f>
        <v/>
      </c>
      <c r="AI458" s="44" t="str">
        <f ca="1">IFERROR(__xludf.DUMMYFUNCTION("IFERROR(VLOOKUP(E481&amp;F481,IMPORTRANGE(""https://docs.google.com/spreadsheets/d/1Uw7-A9f9R21vMXxHZFNpYNeKFtG8_yji4HS352LGlSQ/edit?pli=1#gid=0"",""1_ACUM!A4:S""),18,FALSE))"),"")</f>
        <v/>
      </c>
      <c r="AJ458" s="44" t="str">
        <f ca="1">IFERROR(__xludf.DUMMYFUNCTION("IFERROR(VLOOKUP(E481&amp;F481,IMPORTRANGE(""https://docs.google.com/spreadsheets/d/1Uw7-A9f9R21vMXxHZFNpYNeKFtG8_yji4HS352LGlSQ/edit?pli=1#gid=0"",""1_ACUM!A4:S""),19,FALSE))"),"")</f>
        <v/>
      </c>
      <c r="AK458" s="98" t="str">
        <f ca="1">IFERROR(__xludf.DUMMYFUNCTION("IFERROR(VLOOKUP(F481,IMPORTRANGE(""https://docs.google.com/spreadsheets/d/1Kvs4KS76FHFqLFIZfrDMff4kP08nblUkihrxltoGBjg/edit#gid=934712705"",""ESENCIAL!A6:BG""),5,FALSE))"),"")</f>
        <v/>
      </c>
      <c r="AL458" s="98" t="str">
        <f t="shared" si="31"/>
        <v/>
      </c>
      <c r="AM458" s="99" t="str">
        <f t="shared" si="32"/>
        <v/>
      </c>
      <c r="AN458" s="100" t="str">
        <f ca="1">IFERROR(__xludf.DUMMYFUNCTION("IFERROR(VLOOKUP(F481,IMPORTRANGE(""https://docs.google.com/spreadsheets/d/1Kvs4KS76FHFqLFIZfrDMff4kP08nblUkihrxltoGBjg/edit#gid=934712705"",""ESENCIAL!A6:BG""),2,FALSE))"),"")</f>
        <v/>
      </c>
      <c r="AO458" s="19" t="str">
        <f t="shared" si="20"/>
        <v/>
      </c>
      <c r="AP458" s="100"/>
      <c r="AQ458" s="100"/>
    </row>
    <row r="459" spans="1:43" ht="15">
      <c r="A459" s="5"/>
      <c r="B459" s="5"/>
      <c r="G459" s="5" t="str">
        <f ca="1">IFERROR(__xludf.DUMMYFUNCTION("IFERROR(VLOOKUP(F482,IMPORTRANGE(""https://docs.google.com/spreadsheets/d/1Kvs4KS76FHFqLFIZfrDMff4kP08nblUkihrxltoGBjg/edit#gid=934712705"",""ESENCIAL!A6:BG""),3,FALSE))"),"")</f>
        <v/>
      </c>
      <c r="H459" s="5" t="str">
        <f ca="1">IFERROR(__xludf.DUMMYFUNCTION("IFERROR(VLOOKUP(F482,IMPORTRANGE(""https://docs.google.com/spreadsheets/d/1Kvs4KS76FHFqLFIZfrDMff4kP08nblUkihrxltoGBjg/edit#gid=934712705"",""ESENCIAL!A6:BG""),8,FALSE))"),"")</f>
        <v/>
      </c>
      <c r="L459" s="287"/>
      <c r="Z459" s="41" t="str">
        <f t="shared" si="30"/>
        <v/>
      </c>
      <c r="AA459" s="5" t="str">
        <f ca="1">IFERROR(__xludf.DUMMYFUNCTION("IFERROR(VLOOKUP(E482&amp;F482,IMPORTRANGE(""https://docs.google.com/spreadsheets/d/1Uw7-A9f9R21vMXxHZFNpYNeKFtG8_yji4HS352LGlSQ/edit?pli=1#gid=0"",""1_ACUM!A4:S""),11,FALSE))"),"")</f>
        <v/>
      </c>
      <c r="AB459" s="42" t="str">
        <f ca="1">IFERROR(__xludf.DUMMYFUNCTION("IFERROR(VLOOKUP(F482,IMPORTRANGE(""https://docs.google.com/spreadsheets/d/1Kvs4KS76FHFqLFIZfrDMff4kP08nblUkihrxltoGBjg/edit#gid=934712705"",""ESENCIAL!A6:BG""),15,FALSE))"),"")</f>
        <v/>
      </c>
      <c r="AC459" s="110" t="str">
        <f ca="1">IFERROR(__xludf.DUMMYFUNCTION("IFERROR(VLOOKUP(E482&amp;F482,IMPORTRANGE(""https://docs.google.com/spreadsheets/d/1Uw7-A9f9R21vMXxHZFNpYNeKFtG8_yji4HS352LGlSQ/edit?pli=1#gid=0"",""1_ACUM!A4:S""),13,FALSE))"),"")</f>
        <v/>
      </c>
      <c r="AD459" s="43" t="str">
        <f ca="1">IFERROR(__xludf.DUMMYFUNCTION("IFERROR(VLOOKUP(E482&amp;F482,IMPORTRANGE(""https://docs.google.com/spreadsheets/d/1Uw7-A9f9R21vMXxHZFNpYNeKFtG8_yji4HS352LGlSQ/edit?pli=1#gid=0"",""1_ACUM!A4:S""),13,FALSE))"),"")</f>
        <v/>
      </c>
      <c r="AE459" s="43" t="str">
        <f ca="1">IFERROR(__xludf.DUMMYFUNCTION("IFERROR(VLOOKUP(E482&amp;F482,IMPORTRANGE(""https://docs.google.com/spreadsheets/d/1Uw7-A9f9R21vMXxHZFNpYNeKFtG8_yji4HS352LGlSQ/edit?pli=1#gid=0"",""1_ACUM!A4:S""),14,FALSE))"),"")</f>
        <v/>
      </c>
      <c r="AF459" s="43" t="str">
        <f ca="1">IFERROR(__xludf.DUMMYFUNCTION("IFERROR(VLOOKUP(E482&amp;F482,IMPORTRANGE(""https://docs.google.com/spreadsheets/d/1Uw7-A9f9R21vMXxHZFNpYNeKFtG8_yji4HS352LGlSQ/edit?pli=1#gid=0"",""1_ACUM!A4:S""),15,FALSE))"),"")</f>
        <v/>
      </c>
      <c r="AG459" s="43" t="str">
        <f ca="1">IFERROR(__xludf.DUMMYFUNCTION("IFERROR(VLOOKUP(E482&amp;F482,IMPORTRANGE(""https://docs.google.com/spreadsheets/d/1Uw7-A9f9R21vMXxHZFNpYNeKFtG8_yji4HS352LGlSQ/edit?pli=1#gid=0"",""1_ACUM!A4:S""),16,FALSE))"),"")</f>
        <v/>
      </c>
      <c r="AH459" s="43" t="str">
        <f ca="1">IFERROR(__xludf.DUMMYFUNCTION("IFERROR(VLOOKUP(E482&amp;F482,IMPORTRANGE(""https://docs.google.com/spreadsheets/d/1Uw7-A9f9R21vMXxHZFNpYNeKFtG8_yji4HS352LGlSQ/edit?pli=1#gid=0"",""1_ACUM!A4:S""),17,FALSE))"),"")</f>
        <v/>
      </c>
      <c r="AI459" s="44" t="str">
        <f ca="1">IFERROR(__xludf.DUMMYFUNCTION("IFERROR(VLOOKUP(E482&amp;F482,IMPORTRANGE(""https://docs.google.com/spreadsheets/d/1Uw7-A9f9R21vMXxHZFNpYNeKFtG8_yji4HS352LGlSQ/edit?pli=1#gid=0"",""1_ACUM!A4:S""),18,FALSE))"),"")</f>
        <v/>
      </c>
      <c r="AJ459" s="44" t="str">
        <f ca="1">IFERROR(__xludf.DUMMYFUNCTION("IFERROR(VLOOKUP(E482&amp;F482,IMPORTRANGE(""https://docs.google.com/spreadsheets/d/1Uw7-A9f9R21vMXxHZFNpYNeKFtG8_yji4HS352LGlSQ/edit?pli=1#gid=0"",""1_ACUM!A4:S""),19,FALSE))"),"")</f>
        <v/>
      </c>
      <c r="AK459" s="98" t="str">
        <f ca="1">IFERROR(__xludf.DUMMYFUNCTION("IFERROR(VLOOKUP(F482,IMPORTRANGE(""https://docs.google.com/spreadsheets/d/1Kvs4KS76FHFqLFIZfrDMff4kP08nblUkihrxltoGBjg/edit#gid=934712705"",""ESENCIAL!A6:BG""),5,FALSE))"),"")</f>
        <v/>
      </c>
      <c r="AL459" s="98" t="str">
        <f t="shared" si="31"/>
        <v/>
      </c>
      <c r="AM459" s="99" t="str">
        <f t="shared" si="32"/>
        <v/>
      </c>
      <c r="AN459" s="100" t="str">
        <f ca="1">IFERROR(__xludf.DUMMYFUNCTION("IFERROR(VLOOKUP(F482,IMPORTRANGE(""https://docs.google.com/spreadsheets/d/1Kvs4KS76FHFqLFIZfrDMff4kP08nblUkihrxltoGBjg/edit#gid=934712705"",""ESENCIAL!A6:BG""),2,FALSE))"),"")</f>
        <v/>
      </c>
      <c r="AO459" s="19" t="str">
        <f t="shared" si="20"/>
        <v/>
      </c>
      <c r="AP459" s="100"/>
      <c r="AQ459" s="100"/>
    </row>
    <row r="460" spans="1:43" ht="15">
      <c r="A460" s="5"/>
      <c r="B460" s="5"/>
      <c r="G460" s="5" t="str">
        <f ca="1">IFERROR(__xludf.DUMMYFUNCTION("IFERROR(VLOOKUP(F483,IMPORTRANGE(""https://docs.google.com/spreadsheets/d/1Kvs4KS76FHFqLFIZfrDMff4kP08nblUkihrxltoGBjg/edit#gid=934712705"",""ESENCIAL!A6:BG""),3,FALSE))"),"")</f>
        <v/>
      </c>
      <c r="H460" s="5" t="str">
        <f ca="1">IFERROR(__xludf.DUMMYFUNCTION("IFERROR(VLOOKUP(F483,IMPORTRANGE(""https://docs.google.com/spreadsheets/d/1Kvs4KS76FHFqLFIZfrDMff4kP08nblUkihrxltoGBjg/edit#gid=934712705"",""ESENCIAL!A6:BG""),8,FALSE))"),"")</f>
        <v/>
      </c>
      <c r="L460" s="287"/>
      <c r="Z460" s="41" t="str">
        <f t="shared" si="30"/>
        <v/>
      </c>
      <c r="AA460" s="5" t="str">
        <f ca="1">IFERROR(__xludf.DUMMYFUNCTION("IFERROR(VLOOKUP(E483&amp;F483,IMPORTRANGE(""https://docs.google.com/spreadsheets/d/1Uw7-A9f9R21vMXxHZFNpYNeKFtG8_yji4HS352LGlSQ/edit?pli=1#gid=0"",""1_ACUM!A4:S""),11,FALSE))"),"")</f>
        <v/>
      </c>
      <c r="AB460" s="42" t="str">
        <f ca="1">IFERROR(__xludf.DUMMYFUNCTION("IFERROR(VLOOKUP(F483,IMPORTRANGE(""https://docs.google.com/spreadsheets/d/1Kvs4KS76FHFqLFIZfrDMff4kP08nblUkihrxltoGBjg/edit#gid=934712705"",""ESENCIAL!A6:BG""),15,FALSE))"),"")</f>
        <v/>
      </c>
      <c r="AC460" s="110" t="str">
        <f ca="1">IFERROR(__xludf.DUMMYFUNCTION("IFERROR(VLOOKUP(E483&amp;F483,IMPORTRANGE(""https://docs.google.com/spreadsheets/d/1Uw7-A9f9R21vMXxHZFNpYNeKFtG8_yji4HS352LGlSQ/edit?pli=1#gid=0"",""1_ACUM!A4:S""),13,FALSE))"),"")</f>
        <v/>
      </c>
      <c r="AD460" s="43" t="str">
        <f ca="1">IFERROR(__xludf.DUMMYFUNCTION("IFERROR(VLOOKUP(E483&amp;F483,IMPORTRANGE(""https://docs.google.com/spreadsheets/d/1Uw7-A9f9R21vMXxHZFNpYNeKFtG8_yji4HS352LGlSQ/edit?pli=1#gid=0"",""1_ACUM!A4:S""),13,FALSE))"),"")</f>
        <v/>
      </c>
      <c r="AE460" s="43" t="str">
        <f ca="1">IFERROR(__xludf.DUMMYFUNCTION("IFERROR(VLOOKUP(E483&amp;F483,IMPORTRANGE(""https://docs.google.com/spreadsheets/d/1Uw7-A9f9R21vMXxHZFNpYNeKFtG8_yji4HS352LGlSQ/edit?pli=1#gid=0"",""1_ACUM!A4:S""),14,FALSE))"),"")</f>
        <v/>
      </c>
      <c r="AF460" s="43" t="str">
        <f ca="1">IFERROR(__xludf.DUMMYFUNCTION("IFERROR(VLOOKUP(E483&amp;F483,IMPORTRANGE(""https://docs.google.com/spreadsheets/d/1Uw7-A9f9R21vMXxHZFNpYNeKFtG8_yji4HS352LGlSQ/edit?pli=1#gid=0"",""1_ACUM!A4:S""),15,FALSE))"),"")</f>
        <v/>
      </c>
      <c r="AG460" s="43" t="str">
        <f ca="1">IFERROR(__xludf.DUMMYFUNCTION("IFERROR(VLOOKUP(E483&amp;F483,IMPORTRANGE(""https://docs.google.com/spreadsheets/d/1Uw7-A9f9R21vMXxHZFNpYNeKFtG8_yji4HS352LGlSQ/edit?pli=1#gid=0"",""1_ACUM!A4:S""),16,FALSE))"),"")</f>
        <v/>
      </c>
      <c r="AH460" s="43" t="str">
        <f ca="1">IFERROR(__xludf.DUMMYFUNCTION("IFERROR(VLOOKUP(E483&amp;F483,IMPORTRANGE(""https://docs.google.com/spreadsheets/d/1Uw7-A9f9R21vMXxHZFNpYNeKFtG8_yji4HS352LGlSQ/edit?pli=1#gid=0"",""1_ACUM!A4:S""),17,FALSE))"),"")</f>
        <v/>
      </c>
      <c r="AI460" s="44" t="str">
        <f ca="1">IFERROR(__xludf.DUMMYFUNCTION("IFERROR(VLOOKUP(E483&amp;F483,IMPORTRANGE(""https://docs.google.com/spreadsheets/d/1Uw7-A9f9R21vMXxHZFNpYNeKFtG8_yji4HS352LGlSQ/edit?pli=1#gid=0"",""1_ACUM!A4:S""),18,FALSE))"),"")</f>
        <v/>
      </c>
      <c r="AJ460" s="44" t="str">
        <f ca="1">IFERROR(__xludf.DUMMYFUNCTION("IFERROR(VLOOKUP(E483&amp;F483,IMPORTRANGE(""https://docs.google.com/spreadsheets/d/1Uw7-A9f9R21vMXxHZFNpYNeKFtG8_yji4HS352LGlSQ/edit?pli=1#gid=0"",""1_ACUM!A4:S""),19,FALSE))"),"")</f>
        <v/>
      </c>
      <c r="AK460" s="98" t="str">
        <f ca="1">IFERROR(__xludf.DUMMYFUNCTION("IFERROR(VLOOKUP(F483,IMPORTRANGE(""https://docs.google.com/spreadsheets/d/1Kvs4KS76FHFqLFIZfrDMff4kP08nblUkihrxltoGBjg/edit#gid=934712705"",""ESENCIAL!A6:BG""),5,FALSE))"),"")</f>
        <v/>
      </c>
      <c r="AL460" s="98" t="str">
        <f t="shared" si="31"/>
        <v/>
      </c>
      <c r="AM460" s="99" t="str">
        <f t="shared" si="32"/>
        <v/>
      </c>
      <c r="AN460" s="100" t="str">
        <f ca="1">IFERROR(__xludf.DUMMYFUNCTION("IFERROR(VLOOKUP(F483,IMPORTRANGE(""https://docs.google.com/spreadsheets/d/1Kvs4KS76FHFqLFIZfrDMff4kP08nblUkihrxltoGBjg/edit#gid=934712705"",""ESENCIAL!A6:BG""),2,FALSE))"),"")</f>
        <v/>
      </c>
      <c r="AO460" s="19" t="str">
        <f t="shared" si="20"/>
        <v/>
      </c>
      <c r="AP460" s="100"/>
      <c r="AQ460" s="100"/>
    </row>
    <row r="461" spans="1:43" ht="15">
      <c r="A461" s="5"/>
      <c r="B461" s="5"/>
      <c r="G461" s="5" t="str">
        <f ca="1">IFERROR(__xludf.DUMMYFUNCTION("IFERROR(VLOOKUP(F484,IMPORTRANGE(""https://docs.google.com/spreadsheets/d/1Kvs4KS76FHFqLFIZfrDMff4kP08nblUkihrxltoGBjg/edit#gid=934712705"",""ESENCIAL!A6:BG""),3,FALSE))"),"")</f>
        <v/>
      </c>
      <c r="H461" s="5" t="str">
        <f ca="1">IFERROR(__xludf.DUMMYFUNCTION("IFERROR(VLOOKUP(F484,IMPORTRANGE(""https://docs.google.com/spreadsheets/d/1Kvs4KS76FHFqLFIZfrDMff4kP08nblUkihrxltoGBjg/edit#gid=934712705"",""ESENCIAL!A6:BG""),8,FALSE))"),"")</f>
        <v/>
      </c>
      <c r="L461" s="287"/>
      <c r="Z461" s="41" t="str">
        <f t="shared" si="30"/>
        <v/>
      </c>
      <c r="AA461" s="5" t="str">
        <f ca="1">IFERROR(__xludf.DUMMYFUNCTION("IFERROR(VLOOKUP(E484&amp;F484,IMPORTRANGE(""https://docs.google.com/spreadsheets/d/1Uw7-A9f9R21vMXxHZFNpYNeKFtG8_yji4HS352LGlSQ/edit?pli=1#gid=0"",""1_ACUM!A4:S""),11,FALSE))"),"")</f>
        <v/>
      </c>
      <c r="AB461" s="42" t="str">
        <f ca="1">IFERROR(__xludf.DUMMYFUNCTION("IFERROR(VLOOKUP(F484,IMPORTRANGE(""https://docs.google.com/spreadsheets/d/1Kvs4KS76FHFqLFIZfrDMff4kP08nblUkihrxltoGBjg/edit#gid=934712705"",""ESENCIAL!A6:BG""),15,FALSE))"),"")</f>
        <v/>
      </c>
      <c r="AC461" s="110" t="str">
        <f ca="1">IFERROR(__xludf.DUMMYFUNCTION("IFERROR(VLOOKUP(E484&amp;F484,IMPORTRANGE(""https://docs.google.com/spreadsheets/d/1Uw7-A9f9R21vMXxHZFNpYNeKFtG8_yji4HS352LGlSQ/edit?pli=1#gid=0"",""1_ACUM!A4:S""),13,FALSE))"),"")</f>
        <v/>
      </c>
      <c r="AD461" s="43" t="str">
        <f ca="1">IFERROR(__xludf.DUMMYFUNCTION("IFERROR(VLOOKUP(E484&amp;F484,IMPORTRANGE(""https://docs.google.com/spreadsheets/d/1Uw7-A9f9R21vMXxHZFNpYNeKFtG8_yji4HS352LGlSQ/edit?pli=1#gid=0"",""1_ACUM!A4:S""),13,FALSE))"),"")</f>
        <v/>
      </c>
      <c r="AE461" s="43" t="str">
        <f ca="1">IFERROR(__xludf.DUMMYFUNCTION("IFERROR(VLOOKUP(E484&amp;F484,IMPORTRANGE(""https://docs.google.com/spreadsheets/d/1Uw7-A9f9R21vMXxHZFNpYNeKFtG8_yji4HS352LGlSQ/edit?pli=1#gid=0"",""1_ACUM!A4:S""),14,FALSE))"),"")</f>
        <v/>
      </c>
      <c r="AF461" s="43" t="str">
        <f ca="1">IFERROR(__xludf.DUMMYFUNCTION("IFERROR(VLOOKUP(E484&amp;F484,IMPORTRANGE(""https://docs.google.com/spreadsheets/d/1Uw7-A9f9R21vMXxHZFNpYNeKFtG8_yji4HS352LGlSQ/edit?pli=1#gid=0"",""1_ACUM!A4:S""),15,FALSE))"),"")</f>
        <v/>
      </c>
      <c r="AG461" s="43" t="str">
        <f ca="1">IFERROR(__xludf.DUMMYFUNCTION("IFERROR(VLOOKUP(E484&amp;F484,IMPORTRANGE(""https://docs.google.com/spreadsheets/d/1Uw7-A9f9R21vMXxHZFNpYNeKFtG8_yji4HS352LGlSQ/edit?pli=1#gid=0"",""1_ACUM!A4:S""),16,FALSE))"),"")</f>
        <v/>
      </c>
      <c r="AH461" s="43" t="str">
        <f ca="1">IFERROR(__xludf.DUMMYFUNCTION("IFERROR(VLOOKUP(E484&amp;F484,IMPORTRANGE(""https://docs.google.com/spreadsheets/d/1Uw7-A9f9R21vMXxHZFNpYNeKFtG8_yji4HS352LGlSQ/edit?pli=1#gid=0"",""1_ACUM!A4:S""),17,FALSE))"),"")</f>
        <v/>
      </c>
      <c r="AI461" s="44" t="str">
        <f ca="1">IFERROR(__xludf.DUMMYFUNCTION("IFERROR(VLOOKUP(E484&amp;F484,IMPORTRANGE(""https://docs.google.com/spreadsheets/d/1Uw7-A9f9R21vMXxHZFNpYNeKFtG8_yji4HS352LGlSQ/edit?pli=1#gid=0"",""1_ACUM!A4:S""),18,FALSE))"),"")</f>
        <v/>
      </c>
      <c r="AJ461" s="44" t="str">
        <f ca="1">IFERROR(__xludf.DUMMYFUNCTION("IFERROR(VLOOKUP(E484&amp;F484,IMPORTRANGE(""https://docs.google.com/spreadsheets/d/1Uw7-A9f9R21vMXxHZFNpYNeKFtG8_yji4HS352LGlSQ/edit?pli=1#gid=0"",""1_ACUM!A4:S""),19,FALSE))"),"")</f>
        <v/>
      </c>
      <c r="AK461" s="98" t="str">
        <f ca="1">IFERROR(__xludf.DUMMYFUNCTION("IFERROR(VLOOKUP(F484,IMPORTRANGE(""https://docs.google.com/spreadsheets/d/1Kvs4KS76FHFqLFIZfrDMff4kP08nblUkihrxltoGBjg/edit#gid=934712705"",""ESENCIAL!A6:BG""),5,FALSE))"),"")</f>
        <v/>
      </c>
      <c r="AL461" s="98" t="str">
        <f t="shared" si="31"/>
        <v/>
      </c>
      <c r="AM461" s="99" t="str">
        <f t="shared" si="32"/>
        <v/>
      </c>
      <c r="AN461" s="100" t="str">
        <f ca="1">IFERROR(__xludf.DUMMYFUNCTION("IFERROR(VLOOKUP(F484,IMPORTRANGE(""https://docs.google.com/spreadsheets/d/1Kvs4KS76FHFqLFIZfrDMff4kP08nblUkihrxltoGBjg/edit#gid=934712705"",""ESENCIAL!A6:BG""),2,FALSE))"),"")</f>
        <v/>
      </c>
      <c r="AO461" s="19" t="str">
        <f t="shared" si="20"/>
        <v/>
      </c>
      <c r="AP461" s="100"/>
      <c r="AQ461" s="100"/>
    </row>
    <row r="462" spans="1:43" ht="15">
      <c r="A462" s="5"/>
      <c r="B462" s="5"/>
      <c r="G462" s="5" t="str">
        <f ca="1">IFERROR(__xludf.DUMMYFUNCTION("IFERROR(VLOOKUP(F485,IMPORTRANGE(""https://docs.google.com/spreadsheets/d/1Kvs4KS76FHFqLFIZfrDMff4kP08nblUkihrxltoGBjg/edit#gid=934712705"",""ESENCIAL!A6:BG""),3,FALSE))"),"")</f>
        <v/>
      </c>
      <c r="H462" s="5" t="str">
        <f ca="1">IFERROR(__xludf.DUMMYFUNCTION("IFERROR(VLOOKUP(F485,IMPORTRANGE(""https://docs.google.com/spreadsheets/d/1Kvs4KS76FHFqLFIZfrDMff4kP08nblUkihrxltoGBjg/edit#gid=934712705"",""ESENCIAL!A6:BG""),8,FALSE))"),"")</f>
        <v/>
      </c>
      <c r="L462" s="287"/>
      <c r="Z462" s="41" t="str">
        <f t="shared" si="30"/>
        <v/>
      </c>
      <c r="AA462" s="5" t="str">
        <f ca="1">IFERROR(__xludf.DUMMYFUNCTION("IFERROR(VLOOKUP(E485&amp;F485,IMPORTRANGE(""https://docs.google.com/spreadsheets/d/1Uw7-A9f9R21vMXxHZFNpYNeKFtG8_yji4HS352LGlSQ/edit?pli=1#gid=0"",""1_ACUM!A4:S""),11,FALSE))"),"")</f>
        <v/>
      </c>
      <c r="AB462" s="42" t="str">
        <f ca="1">IFERROR(__xludf.DUMMYFUNCTION("IFERROR(VLOOKUP(F485,IMPORTRANGE(""https://docs.google.com/spreadsheets/d/1Kvs4KS76FHFqLFIZfrDMff4kP08nblUkihrxltoGBjg/edit#gid=934712705"",""ESENCIAL!A6:BG""),15,FALSE))"),"")</f>
        <v/>
      </c>
      <c r="AC462" s="110" t="str">
        <f ca="1">IFERROR(__xludf.DUMMYFUNCTION("IFERROR(VLOOKUP(E485&amp;F485,IMPORTRANGE(""https://docs.google.com/spreadsheets/d/1Uw7-A9f9R21vMXxHZFNpYNeKFtG8_yji4HS352LGlSQ/edit?pli=1#gid=0"",""1_ACUM!A4:S""),13,FALSE))"),"")</f>
        <v/>
      </c>
      <c r="AD462" s="43" t="str">
        <f ca="1">IFERROR(__xludf.DUMMYFUNCTION("IFERROR(VLOOKUP(E485&amp;F485,IMPORTRANGE(""https://docs.google.com/spreadsheets/d/1Uw7-A9f9R21vMXxHZFNpYNeKFtG8_yji4HS352LGlSQ/edit?pli=1#gid=0"",""1_ACUM!A4:S""),13,FALSE))"),"")</f>
        <v/>
      </c>
      <c r="AE462" s="43" t="str">
        <f ca="1">IFERROR(__xludf.DUMMYFUNCTION("IFERROR(VLOOKUP(E485&amp;F485,IMPORTRANGE(""https://docs.google.com/spreadsheets/d/1Uw7-A9f9R21vMXxHZFNpYNeKFtG8_yji4HS352LGlSQ/edit?pli=1#gid=0"",""1_ACUM!A4:S""),14,FALSE))"),"")</f>
        <v/>
      </c>
      <c r="AF462" s="43" t="str">
        <f ca="1">IFERROR(__xludf.DUMMYFUNCTION("IFERROR(VLOOKUP(E485&amp;F485,IMPORTRANGE(""https://docs.google.com/spreadsheets/d/1Uw7-A9f9R21vMXxHZFNpYNeKFtG8_yji4HS352LGlSQ/edit?pli=1#gid=0"",""1_ACUM!A4:S""),15,FALSE))"),"")</f>
        <v/>
      </c>
      <c r="AG462" s="43" t="str">
        <f ca="1">IFERROR(__xludf.DUMMYFUNCTION("IFERROR(VLOOKUP(E485&amp;F485,IMPORTRANGE(""https://docs.google.com/spreadsheets/d/1Uw7-A9f9R21vMXxHZFNpYNeKFtG8_yji4HS352LGlSQ/edit?pli=1#gid=0"",""1_ACUM!A4:S""),16,FALSE))"),"")</f>
        <v/>
      </c>
      <c r="AH462" s="43" t="str">
        <f ca="1">IFERROR(__xludf.DUMMYFUNCTION("IFERROR(VLOOKUP(E485&amp;F485,IMPORTRANGE(""https://docs.google.com/spreadsheets/d/1Uw7-A9f9R21vMXxHZFNpYNeKFtG8_yji4HS352LGlSQ/edit?pli=1#gid=0"",""1_ACUM!A4:S""),17,FALSE))"),"")</f>
        <v/>
      </c>
      <c r="AI462" s="44" t="str">
        <f ca="1">IFERROR(__xludf.DUMMYFUNCTION("IFERROR(VLOOKUP(E485&amp;F485,IMPORTRANGE(""https://docs.google.com/spreadsheets/d/1Uw7-A9f9R21vMXxHZFNpYNeKFtG8_yji4HS352LGlSQ/edit?pli=1#gid=0"",""1_ACUM!A4:S""),18,FALSE))"),"")</f>
        <v/>
      </c>
      <c r="AJ462" s="44" t="str">
        <f ca="1">IFERROR(__xludf.DUMMYFUNCTION("IFERROR(VLOOKUP(E485&amp;F485,IMPORTRANGE(""https://docs.google.com/spreadsheets/d/1Uw7-A9f9R21vMXxHZFNpYNeKFtG8_yji4HS352LGlSQ/edit?pli=1#gid=0"",""1_ACUM!A4:S""),19,FALSE))"),"")</f>
        <v/>
      </c>
      <c r="AK462" s="98" t="str">
        <f ca="1">IFERROR(__xludf.DUMMYFUNCTION("IFERROR(VLOOKUP(F485,IMPORTRANGE(""https://docs.google.com/spreadsheets/d/1Kvs4KS76FHFqLFIZfrDMff4kP08nblUkihrxltoGBjg/edit#gid=934712705"",""ESENCIAL!A6:BG""),5,FALSE))"),"")</f>
        <v/>
      </c>
      <c r="AL462" s="98" t="str">
        <f t="shared" si="31"/>
        <v/>
      </c>
      <c r="AM462" s="99" t="str">
        <f t="shared" si="32"/>
        <v/>
      </c>
      <c r="AN462" s="100" t="str">
        <f ca="1">IFERROR(__xludf.DUMMYFUNCTION("IFERROR(VLOOKUP(F485,IMPORTRANGE(""https://docs.google.com/spreadsheets/d/1Kvs4KS76FHFqLFIZfrDMff4kP08nblUkihrxltoGBjg/edit#gid=934712705"",""ESENCIAL!A6:BG""),2,FALSE))"),"")</f>
        <v/>
      </c>
      <c r="AO462" s="19" t="str">
        <f t="shared" si="20"/>
        <v/>
      </c>
      <c r="AP462" s="100"/>
      <c r="AQ462" s="100"/>
    </row>
    <row r="463" spans="1:43" ht="15">
      <c r="A463" s="5"/>
      <c r="B463" s="5"/>
      <c r="G463" s="5" t="str">
        <f ca="1">IFERROR(__xludf.DUMMYFUNCTION("IFERROR(VLOOKUP(F486,IMPORTRANGE(""https://docs.google.com/spreadsheets/d/1Kvs4KS76FHFqLFIZfrDMff4kP08nblUkihrxltoGBjg/edit#gid=934712705"",""ESENCIAL!A6:BG""),3,FALSE))"),"")</f>
        <v/>
      </c>
      <c r="H463" s="5" t="str">
        <f ca="1">IFERROR(__xludf.DUMMYFUNCTION("IFERROR(VLOOKUP(F486,IMPORTRANGE(""https://docs.google.com/spreadsheets/d/1Kvs4KS76FHFqLFIZfrDMff4kP08nblUkihrxltoGBjg/edit#gid=934712705"",""ESENCIAL!A6:BG""),8,FALSE))"),"")</f>
        <v/>
      </c>
      <c r="L463" s="287"/>
      <c r="Z463" s="41" t="str">
        <f t="shared" si="30"/>
        <v/>
      </c>
      <c r="AA463" s="5" t="str">
        <f ca="1">IFERROR(__xludf.DUMMYFUNCTION("IFERROR(VLOOKUP(E486&amp;F486,IMPORTRANGE(""https://docs.google.com/spreadsheets/d/1Uw7-A9f9R21vMXxHZFNpYNeKFtG8_yji4HS352LGlSQ/edit?pli=1#gid=0"",""1_ACUM!A4:S""),11,FALSE))"),"")</f>
        <v/>
      </c>
      <c r="AB463" s="42" t="str">
        <f ca="1">IFERROR(__xludf.DUMMYFUNCTION("IFERROR(VLOOKUP(F486,IMPORTRANGE(""https://docs.google.com/spreadsheets/d/1Kvs4KS76FHFqLFIZfrDMff4kP08nblUkihrxltoGBjg/edit#gid=934712705"",""ESENCIAL!A6:BG""),15,FALSE))"),"")</f>
        <v/>
      </c>
      <c r="AC463" s="110" t="str">
        <f ca="1">IFERROR(__xludf.DUMMYFUNCTION("IFERROR(VLOOKUP(E486&amp;F486,IMPORTRANGE(""https://docs.google.com/spreadsheets/d/1Uw7-A9f9R21vMXxHZFNpYNeKFtG8_yji4HS352LGlSQ/edit?pli=1#gid=0"",""1_ACUM!A4:S""),13,FALSE))"),"")</f>
        <v/>
      </c>
      <c r="AD463" s="43" t="str">
        <f ca="1">IFERROR(__xludf.DUMMYFUNCTION("IFERROR(VLOOKUP(E486&amp;F486,IMPORTRANGE(""https://docs.google.com/spreadsheets/d/1Uw7-A9f9R21vMXxHZFNpYNeKFtG8_yji4HS352LGlSQ/edit?pli=1#gid=0"",""1_ACUM!A4:S""),13,FALSE))"),"")</f>
        <v/>
      </c>
      <c r="AE463" s="43" t="str">
        <f ca="1">IFERROR(__xludf.DUMMYFUNCTION("IFERROR(VLOOKUP(E486&amp;F486,IMPORTRANGE(""https://docs.google.com/spreadsheets/d/1Uw7-A9f9R21vMXxHZFNpYNeKFtG8_yji4HS352LGlSQ/edit?pli=1#gid=0"",""1_ACUM!A4:S""),14,FALSE))"),"")</f>
        <v/>
      </c>
      <c r="AF463" s="43" t="str">
        <f ca="1">IFERROR(__xludf.DUMMYFUNCTION("IFERROR(VLOOKUP(E486&amp;F486,IMPORTRANGE(""https://docs.google.com/spreadsheets/d/1Uw7-A9f9R21vMXxHZFNpYNeKFtG8_yji4HS352LGlSQ/edit?pli=1#gid=0"",""1_ACUM!A4:S""),15,FALSE))"),"")</f>
        <v/>
      </c>
      <c r="AG463" s="43" t="str">
        <f ca="1">IFERROR(__xludf.DUMMYFUNCTION("IFERROR(VLOOKUP(E486&amp;F486,IMPORTRANGE(""https://docs.google.com/spreadsheets/d/1Uw7-A9f9R21vMXxHZFNpYNeKFtG8_yji4HS352LGlSQ/edit?pli=1#gid=0"",""1_ACUM!A4:S""),16,FALSE))"),"")</f>
        <v/>
      </c>
      <c r="AH463" s="43" t="str">
        <f ca="1">IFERROR(__xludf.DUMMYFUNCTION("IFERROR(VLOOKUP(E486&amp;F486,IMPORTRANGE(""https://docs.google.com/spreadsheets/d/1Uw7-A9f9R21vMXxHZFNpYNeKFtG8_yji4HS352LGlSQ/edit?pli=1#gid=0"",""1_ACUM!A4:S""),17,FALSE))"),"")</f>
        <v/>
      </c>
      <c r="AI463" s="44" t="str">
        <f ca="1">IFERROR(__xludf.DUMMYFUNCTION("IFERROR(VLOOKUP(E486&amp;F486,IMPORTRANGE(""https://docs.google.com/spreadsheets/d/1Uw7-A9f9R21vMXxHZFNpYNeKFtG8_yji4HS352LGlSQ/edit?pli=1#gid=0"",""1_ACUM!A4:S""),18,FALSE))"),"")</f>
        <v/>
      </c>
      <c r="AJ463" s="44" t="str">
        <f ca="1">IFERROR(__xludf.DUMMYFUNCTION("IFERROR(VLOOKUP(E486&amp;F486,IMPORTRANGE(""https://docs.google.com/spreadsheets/d/1Uw7-A9f9R21vMXxHZFNpYNeKFtG8_yji4HS352LGlSQ/edit?pli=1#gid=0"",""1_ACUM!A4:S""),19,FALSE))"),"")</f>
        <v/>
      </c>
      <c r="AK463" s="98" t="str">
        <f ca="1">IFERROR(__xludf.DUMMYFUNCTION("IFERROR(VLOOKUP(F486,IMPORTRANGE(""https://docs.google.com/spreadsheets/d/1Kvs4KS76FHFqLFIZfrDMff4kP08nblUkihrxltoGBjg/edit#gid=934712705"",""ESENCIAL!A6:BG""),5,FALSE))"),"")</f>
        <v/>
      </c>
      <c r="AL463" s="98" t="str">
        <f t="shared" si="31"/>
        <v/>
      </c>
      <c r="AM463" s="99" t="str">
        <f t="shared" si="32"/>
        <v/>
      </c>
      <c r="AN463" s="100" t="str">
        <f ca="1">IFERROR(__xludf.DUMMYFUNCTION("IFERROR(VLOOKUP(F486,IMPORTRANGE(""https://docs.google.com/spreadsheets/d/1Kvs4KS76FHFqLFIZfrDMff4kP08nblUkihrxltoGBjg/edit#gid=934712705"",""ESENCIAL!A6:BG""),2,FALSE))"),"")</f>
        <v/>
      </c>
      <c r="AO463" s="19" t="str">
        <f t="shared" si="20"/>
        <v/>
      </c>
      <c r="AP463" s="100"/>
      <c r="AQ463" s="100"/>
    </row>
    <row r="464" spans="1:43" ht="15">
      <c r="A464" s="5"/>
      <c r="B464" s="5"/>
      <c r="G464" s="5" t="str">
        <f ca="1">IFERROR(__xludf.DUMMYFUNCTION("IFERROR(VLOOKUP(F487,IMPORTRANGE(""https://docs.google.com/spreadsheets/d/1Kvs4KS76FHFqLFIZfrDMff4kP08nblUkihrxltoGBjg/edit#gid=934712705"",""ESENCIAL!A6:BG""),3,FALSE))"),"")</f>
        <v/>
      </c>
      <c r="H464" s="5" t="str">
        <f ca="1">IFERROR(__xludf.DUMMYFUNCTION("IFERROR(VLOOKUP(F487,IMPORTRANGE(""https://docs.google.com/spreadsheets/d/1Kvs4KS76FHFqLFIZfrDMff4kP08nblUkihrxltoGBjg/edit#gid=934712705"",""ESENCIAL!A6:BG""),8,FALSE))"),"")</f>
        <v/>
      </c>
      <c r="L464" s="287"/>
      <c r="Z464" s="41" t="str">
        <f t="shared" si="30"/>
        <v/>
      </c>
      <c r="AA464" s="5" t="str">
        <f ca="1">IFERROR(__xludf.DUMMYFUNCTION("IFERROR(VLOOKUP(E487&amp;F487,IMPORTRANGE(""https://docs.google.com/spreadsheets/d/1Uw7-A9f9R21vMXxHZFNpYNeKFtG8_yji4HS352LGlSQ/edit?pli=1#gid=0"",""1_ACUM!A4:S""),11,FALSE))"),"")</f>
        <v/>
      </c>
      <c r="AB464" s="42" t="str">
        <f ca="1">IFERROR(__xludf.DUMMYFUNCTION("IFERROR(VLOOKUP(F487,IMPORTRANGE(""https://docs.google.com/spreadsheets/d/1Kvs4KS76FHFqLFIZfrDMff4kP08nblUkihrxltoGBjg/edit#gid=934712705"",""ESENCIAL!A6:BG""),15,FALSE))"),"")</f>
        <v/>
      </c>
      <c r="AC464" s="110" t="str">
        <f ca="1">IFERROR(__xludf.DUMMYFUNCTION("IFERROR(VLOOKUP(E487&amp;F487,IMPORTRANGE(""https://docs.google.com/spreadsheets/d/1Uw7-A9f9R21vMXxHZFNpYNeKFtG8_yji4HS352LGlSQ/edit?pli=1#gid=0"",""1_ACUM!A4:S""),13,FALSE))"),"")</f>
        <v/>
      </c>
      <c r="AD464" s="43" t="str">
        <f ca="1">IFERROR(__xludf.DUMMYFUNCTION("IFERROR(VLOOKUP(E487&amp;F487,IMPORTRANGE(""https://docs.google.com/spreadsheets/d/1Uw7-A9f9R21vMXxHZFNpYNeKFtG8_yji4HS352LGlSQ/edit?pli=1#gid=0"",""1_ACUM!A4:S""),13,FALSE))"),"")</f>
        <v/>
      </c>
      <c r="AE464" s="43" t="str">
        <f ca="1">IFERROR(__xludf.DUMMYFUNCTION("IFERROR(VLOOKUP(E487&amp;F487,IMPORTRANGE(""https://docs.google.com/spreadsheets/d/1Uw7-A9f9R21vMXxHZFNpYNeKFtG8_yji4HS352LGlSQ/edit?pli=1#gid=0"",""1_ACUM!A4:S""),14,FALSE))"),"")</f>
        <v/>
      </c>
      <c r="AF464" s="43" t="str">
        <f ca="1">IFERROR(__xludf.DUMMYFUNCTION("IFERROR(VLOOKUP(E487&amp;F487,IMPORTRANGE(""https://docs.google.com/spreadsheets/d/1Uw7-A9f9R21vMXxHZFNpYNeKFtG8_yji4HS352LGlSQ/edit?pli=1#gid=0"",""1_ACUM!A4:S""),15,FALSE))"),"")</f>
        <v/>
      </c>
      <c r="AG464" s="43" t="str">
        <f ca="1">IFERROR(__xludf.DUMMYFUNCTION("IFERROR(VLOOKUP(E487&amp;F487,IMPORTRANGE(""https://docs.google.com/spreadsheets/d/1Uw7-A9f9R21vMXxHZFNpYNeKFtG8_yji4HS352LGlSQ/edit?pli=1#gid=0"",""1_ACUM!A4:S""),16,FALSE))"),"")</f>
        <v/>
      </c>
      <c r="AH464" s="43" t="str">
        <f ca="1">IFERROR(__xludf.DUMMYFUNCTION("IFERROR(VLOOKUP(E487&amp;F487,IMPORTRANGE(""https://docs.google.com/spreadsheets/d/1Uw7-A9f9R21vMXxHZFNpYNeKFtG8_yji4HS352LGlSQ/edit?pli=1#gid=0"",""1_ACUM!A4:S""),17,FALSE))"),"")</f>
        <v/>
      </c>
      <c r="AI464" s="44" t="str">
        <f ca="1">IFERROR(__xludf.DUMMYFUNCTION("IFERROR(VLOOKUP(E487&amp;F487,IMPORTRANGE(""https://docs.google.com/spreadsheets/d/1Uw7-A9f9R21vMXxHZFNpYNeKFtG8_yji4HS352LGlSQ/edit?pli=1#gid=0"",""1_ACUM!A4:S""),18,FALSE))"),"")</f>
        <v/>
      </c>
      <c r="AJ464" s="44" t="str">
        <f ca="1">IFERROR(__xludf.DUMMYFUNCTION("IFERROR(VLOOKUP(E487&amp;F487,IMPORTRANGE(""https://docs.google.com/spreadsheets/d/1Uw7-A9f9R21vMXxHZFNpYNeKFtG8_yji4HS352LGlSQ/edit?pli=1#gid=0"",""1_ACUM!A4:S""),19,FALSE))"),"")</f>
        <v/>
      </c>
      <c r="AK464" s="98" t="str">
        <f ca="1">IFERROR(__xludf.DUMMYFUNCTION("IFERROR(VLOOKUP(F487,IMPORTRANGE(""https://docs.google.com/spreadsheets/d/1Kvs4KS76FHFqLFIZfrDMff4kP08nblUkihrxltoGBjg/edit#gid=934712705"",""ESENCIAL!A6:BG""),5,FALSE))"),"")</f>
        <v/>
      </c>
      <c r="AL464" s="98" t="str">
        <f t="shared" si="31"/>
        <v/>
      </c>
      <c r="AM464" s="99" t="str">
        <f t="shared" si="32"/>
        <v/>
      </c>
      <c r="AN464" s="100" t="str">
        <f ca="1">IFERROR(__xludf.DUMMYFUNCTION("IFERROR(VLOOKUP(F487,IMPORTRANGE(""https://docs.google.com/spreadsheets/d/1Kvs4KS76FHFqLFIZfrDMff4kP08nblUkihrxltoGBjg/edit#gid=934712705"",""ESENCIAL!A6:BG""),2,FALSE))"),"")</f>
        <v/>
      </c>
      <c r="AO464" s="19" t="str">
        <f t="shared" si="20"/>
        <v/>
      </c>
      <c r="AP464" s="100"/>
      <c r="AQ464" s="100"/>
    </row>
    <row r="465" spans="1:43" ht="15">
      <c r="A465" s="5"/>
      <c r="B465" s="5"/>
      <c r="G465" s="5" t="str">
        <f ca="1">IFERROR(__xludf.DUMMYFUNCTION("IFERROR(VLOOKUP(F488,IMPORTRANGE(""https://docs.google.com/spreadsheets/d/1Kvs4KS76FHFqLFIZfrDMff4kP08nblUkihrxltoGBjg/edit#gid=934712705"",""ESENCIAL!A6:BG""),3,FALSE))"),"")</f>
        <v/>
      </c>
      <c r="H465" s="5" t="str">
        <f ca="1">IFERROR(__xludf.DUMMYFUNCTION("IFERROR(VLOOKUP(F488,IMPORTRANGE(""https://docs.google.com/spreadsheets/d/1Kvs4KS76FHFqLFIZfrDMff4kP08nblUkihrxltoGBjg/edit#gid=934712705"",""ESENCIAL!A6:BG""),8,FALSE))"),"")</f>
        <v/>
      </c>
      <c r="L465" s="287"/>
      <c r="Z465" s="41" t="str">
        <f t="shared" si="30"/>
        <v/>
      </c>
      <c r="AA465" s="5" t="str">
        <f ca="1">IFERROR(__xludf.DUMMYFUNCTION("IFERROR(VLOOKUP(E488&amp;F488,IMPORTRANGE(""https://docs.google.com/spreadsheets/d/1Uw7-A9f9R21vMXxHZFNpYNeKFtG8_yji4HS352LGlSQ/edit?pli=1#gid=0"",""1_ACUM!A4:S""),11,FALSE))"),"")</f>
        <v/>
      </c>
      <c r="AB465" s="42" t="str">
        <f ca="1">IFERROR(__xludf.DUMMYFUNCTION("IFERROR(VLOOKUP(F488,IMPORTRANGE(""https://docs.google.com/spreadsheets/d/1Kvs4KS76FHFqLFIZfrDMff4kP08nblUkihrxltoGBjg/edit#gid=934712705"",""ESENCIAL!A6:BG""),15,FALSE))"),"")</f>
        <v/>
      </c>
      <c r="AC465" s="110" t="str">
        <f ca="1">IFERROR(__xludf.DUMMYFUNCTION("IFERROR(VLOOKUP(E488&amp;F488,IMPORTRANGE(""https://docs.google.com/spreadsheets/d/1Uw7-A9f9R21vMXxHZFNpYNeKFtG8_yji4HS352LGlSQ/edit?pli=1#gid=0"",""1_ACUM!A4:S""),13,FALSE))"),"")</f>
        <v/>
      </c>
      <c r="AD465" s="43" t="str">
        <f ca="1">IFERROR(__xludf.DUMMYFUNCTION("IFERROR(VLOOKUP(E488&amp;F488,IMPORTRANGE(""https://docs.google.com/spreadsheets/d/1Uw7-A9f9R21vMXxHZFNpYNeKFtG8_yji4HS352LGlSQ/edit?pli=1#gid=0"",""1_ACUM!A4:S""),13,FALSE))"),"")</f>
        <v/>
      </c>
      <c r="AE465" s="43" t="str">
        <f ca="1">IFERROR(__xludf.DUMMYFUNCTION("IFERROR(VLOOKUP(E488&amp;F488,IMPORTRANGE(""https://docs.google.com/spreadsheets/d/1Uw7-A9f9R21vMXxHZFNpYNeKFtG8_yji4HS352LGlSQ/edit?pli=1#gid=0"",""1_ACUM!A4:S""),14,FALSE))"),"")</f>
        <v/>
      </c>
      <c r="AF465" s="43" t="str">
        <f ca="1">IFERROR(__xludf.DUMMYFUNCTION("IFERROR(VLOOKUP(E488&amp;F488,IMPORTRANGE(""https://docs.google.com/spreadsheets/d/1Uw7-A9f9R21vMXxHZFNpYNeKFtG8_yji4HS352LGlSQ/edit?pli=1#gid=0"",""1_ACUM!A4:S""),15,FALSE))"),"")</f>
        <v/>
      </c>
      <c r="AG465" s="43" t="str">
        <f ca="1">IFERROR(__xludf.DUMMYFUNCTION("IFERROR(VLOOKUP(E488&amp;F488,IMPORTRANGE(""https://docs.google.com/spreadsheets/d/1Uw7-A9f9R21vMXxHZFNpYNeKFtG8_yji4HS352LGlSQ/edit?pli=1#gid=0"",""1_ACUM!A4:S""),16,FALSE))"),"")</f>
        <v/>
      </c>
      <c r="AH465" s="43" t="str">
        <f ca="1">IFERROR(__xludf.DUMMYFUNCTION("IFERROR(VLOOKUP(E488&amp;F488,IMPORTRANGE(""https://docs.google.com/spreadsheets/d/1Uw7-A9f9R21vMXxHZFNpYNeKFtG8_yji4HS352LGlSQ/edit?pli=1#gid=0"",""1_ACUM!A4:S""),17,FALSE))"),"")</f>
        <v/>
      </c>
      <c r="AI465" s="44" t="str">
        <f ca="1">IFERROR(__xludf.DUMMYFUNCTION("IFERROR(VLOOKUP(E488&amp;F488,IMPORTRANGE(""https://docs.google.com/spreadsheets/d/1Uw7-A9f9R21vMXxHZFNpYNeKFtG8_yji4HS352LGlSQ/edit?pli=1#gid=0"",""1_ACUM!A4:S""),18,FALSE))"),"")</f>
        <v/>
      </c>
      <c r="AJ465" s="44" t="str">
        <f ca="1">IFERROR(__xludf.DUMMYFUNCTION("IFERROR(VLOOKUP(E488&amp;F488,IMPORTRANGE(""https://docs.google.com/spreadsheets/d/1Uw7-A9f9R21vMXxHZFNpYNeKFtG8_yji4HS352LGlSQ/edit?pli=1#gid=0"",""1_ACUM!A4:S""),19,FALSE))"),"")</f>
        <v/>
      </c>
      <c r="AK465" s="98" t="str">
        <f ca="1">IFERROR(__xludf.DUMMYFUNCTION("IFERROR(VLOOKUP(F488,IMPORTRANGE(""https://docs.google.com/spreadsheets/d/1Kvs4KS76FHFqLFIZfrDMff4kP08nblUkihrxltoGBjg/edit#gid=934712705"",""ESENCIAL!A6:BG""),5,FALSE))"),"")</f>
        <v/>
      </c>
      <c r="AL465" s="98" t="str">
        <f t="shared" si="31"/>
        <v/>
      </c>
      <c r="AM465" s="99" t="str">
        <f t="shared" si="32"/>
        <v/>
      </c>
      <c r="AN465" s="100" t="str">
        <f ca="1">IFERROR(__xludf.DUMMYFUNCTION("IFERROR(VLOOKUP(F488,IMPORTRANGE(""https://docs.google.com/spreadsheets/d/1Kvs4KS76FHFqLFIZfrDMff4kP08nblUkihrxltoGBjg/edit#gid=934712705"",""ESENCIAL!A6:BG""),2,FALSE))"),"")</f>
        <v/>
      </c>
      <c r="AO465" s="19" t="str">
        <f t="shared" si="20"/>
        <v/>
      </c>
      <c r="AP465" s="100"/>
      <c r="AQ465" s="100"/>
    </row>
    <row r="466" spans="1:43" ht="15">
      <c r="A466" s="5"/>
      <c r="B466" s="5"/>
      <c r="G466" s="5" t="str">
        <f ca="1">IFERROR(__xludf.DUMMYFUNCTION("IFERROR(VLOOKUP(F489,IMPORTRANGE(""https://docs.google.com/spreadsheets/d/1Kvs4KS76FHFqLFIZfrDMff4kP08nblUkihrxltoGBjg/edit#gid=934712705"",""ESENCIAL!A6:BG""),3,FALSE))"),"")</f>
        <v/>
      </c>
      <c r="H466" s="5" t="str">
        <f ca="1">IFERROR(__xludf.DUMMYFUNCTION("IFERROR(VLOOKUP(F489,IMPORTRANGE(""https://docs.google.com/spreadsheets/d/1Kvs4KS76FHFqLFIZfrDMff4kP08nblUkihrxltoGBjg/edit#gid=934712705"",""ESENCIAL!A6:BG""),8,FALSE))"),"")</f>
        <v/>
      </c>
      <c r="L466" s="287"/>
      <c r="Z466" s="41" t="str">
        <f t="shared" si="30"/>
        <v/>
      </c>
      <c r="AA466" s="5" t="str">
        <f ca="1">IFERROR(__xludf.DUMMYFUNCTION("IFERROR(VLOOKUP(E489&amp;F489,IMPORTRANGE(""https://docs.google.com/spreadsheets/d/1Uw7-A9f9R21vMXxHZFNpYNeKFtG8_yji4HS352LGlSQ/edit?pli=1#gid=0"",""1_ACUM!A4:S""),11,FALSE))"),"")</f>
        <v/>
      </c>
      <c r="AB466" s="42" t="str">
        <f ca="1">IFERROR(__xludf.DUMMYFUNCTION("IFERROR(VLOOKUP(F489,IMPORTRANGE(""https://docs.google.com/spreadsheets/d/1Kvs4KS76FHFqLFIZfrDMff4kP08nblUkihrxltoGBjg/edit#gid=934712705"",""ESENCIAL!A6:BG""),15,FALSE))"),"")</f>
        <v/>
      </c>
      <c r="AC466" s="110" t="str">
        <f ca="1">IFERROR(__xludf.DUMMYFUNCTION("IFERROR(VLOOKUP(E489&amp;F489,IMPORTRANGE(""https://docs.google.com/spreadsheets/d/1Uw7-A9f9R21vMXxHZFNpYNeKFtG8_yji4HS352LGlSQ/edit?pli=1#gid=0"",""1_ACUM!A4:S""),13,FALSE))"),"")</f>
        <v/>
      </c>
      <c r="AD466" s="43" t="str">
        <f ca="1">IFERROR(__xludf.DUMMYFUNCTION("IFERROR(VLOOKUP(E489&amp;F489,IMPORTRANGE(""https://docs.google.com/spreadsheets/d/1Uw7-A9f9R21vMXxHZFNpYNeKFtG8_yji4HS352LGlSQ/edit?pli=1#gid=0"",""1_ACUM!A4:S""),13,FALSE))"),"")</f>
        <v/>
      </c>
      <c r="AE466" s="43" t="str">
        <f ca="1">IFERROR(__xludf.DUMMYFUNCTION("IFERROR(VLOOKUP(E489&amp;F489,IMPORTRANGE(""https://docs.google.com/spreadsheets/d/1Uw7-A9f9R21vMXxHZFNpYNeKFtG8_yji4HS352LGlSQ/edit?pli=1#gid=0"",""1_ACUM!A4:S""),14,FALSE))"),"")</f>
        <v/>
      </c>
      <c r="AF466" s="43" t="str">
        <f ca="1">IFERROR(__xludf.DUMMYFUNCTION("IFERROR(VLOOKUP(E489&amp;F489,IMPORTRANGE(""https://docs.google.com/spreadsheets/d/1Uw7-A9f9R21vMXxHZFNpYNeKFtG8_yji4HS352LGlSQ/edit?pli=1#gid=0"",""1_ACUM!A4:S""),15,FALSE))"),"")</f>
        <v/>
      </c>
      <c r="AG466" s="43" t="str">
        <f ca="1">IFERROR(__xludf.DUMMYFUNCTION("IFERROR(VLOOKUP(E489&amp;F489,IMPORTRANGE(""https://docs.google.com/spreadsheets/d/1Uw7-A9f9R21vMXxHZFNpYNeKFtG8_yji4HS352LGlSQ/edit?pli=1#gid=0"",""1_ACUM!A4:S""),16,FALSE))"),"")</f>
        <v/>
      </c>
      <c r="AH466" s="43" t="str">
        <f ca="1">IFERROR(__xludf.DUMMYFUNCTION("IFERROR(VLOOKUP(E489&amp;F489,IMPORTRANGE(""https://docs.google.com/spreadsheets/d/1Uw7-A9f9R21vMXxHZFNpYNeKFtG8_yji4HS352LGlSQ/edit?pli=1#gid=0"",""1_ACUM!A4:S""),17,FALSE))"),"")</f>
        <v/>
      </c>
      <c r="AI466" s="44" t="str">
        <f ca="1">IFERROR(__xludf.DUMMYFUNCTION("IFERROR(VLOOKUP(E489&amp;F489,IMPORTRANGE(""https://docs.google.com/spreadsheets/d/1Uw7-A9f9R21vMXxHZFNpYNeKFtG8_yji4HS352LGlSQ/edit?pli=1#gid=0"",""1_ACUM!A4:S""),18,FALSE))"),"")</f>
        <v/>
      </c>
      <c r="AJ466" s="44" t="str">
        <f ca="1">IFERROR(__xludf.DUMMYFUNCTION("IFERROR(VLOOKUP(E489&amp;F489,IMPORTRANGE(""https://docs.google.com/spreadsheets/d/1Uw7-A9f9R21vMXxHZFNpYNeKFtG8_yji4HS352LGlSQ/edit?pli=1#gid=0"",""1_ACUM!A4:S""),19,FALSE))"),"")</f>
        <v/>
      </c>
      <c r="AK466" s="98" t="str">
        <f ca="1">IFERROR(__xludf.DUMMYFUNCTION("IFERROR(VLOOKUP(F489,IMPORTRANGE(""https://docs.google.com/spreadsheets/d/1Kvs4KS76FHFqLFIZfrDMff4kP08nblUkihrxltoGBjg/edit#gid=934712705"",""ESENCIAL!A6:BG""),5,FALSE))"),"")</f>
        <v/>
      </c>
      <c r="AL466" s="98" t="str">
        <f t="shared" si="31"/>
        <v/>
      </c>
      <c r="AM466" s="99" t="str">
        <f t="shared" si="32"/>
        <v/>
      </c>
      <c r="AN466" s="100" t="str">
        <f ca="1">IFERROR(__xludf.DUMMYFUNCTION("IFERROR(VLOOKUP(F489,IMPORTRANGE(""https://docs.google.com/spreadsheets/d/1Kvs4KS76FHFqLFIZfrDMff4kP08nblUkihrxltoGBjg/edit#gid=934712705"",""ESENCIAL!A6:BG""),2,FALSE))"),"")</f>
        <v/>
      </c>
      <c r="AO466" s="19" t="str">
        <f t="shared" si="20"/>
        <v/>
      </c>
      <c r="AP466" s="100"/>
      <c r="AQ466" s="100"/>
    </row>
    <row r="467" spans="1:43" ht="15">
      <c r="A467" s="5"/>
      <c r="B467" s="5"/>
      <c r="G467" s="5" t="str">
        <f ca="1">IFERROR(__xludf.DUMMYFUNCTION("IFERROR(VLOOKUP(F490,IMPORTRANGE(""https://docs.google.com/spreadsheets/d/1Kvs4KS76FHFqLFIZfrDMff4kP08nblUkihrxltoGBjg/edit#gid=934712705"",""ESENCIAL!A6:BG""),3,FALSE))"),"")</f>
        <v/>
      </c>
      <c r="H467" s="5" t="str">
        <f ca="1">IFERROR(__xludf.DUMMYFUNCTION("IFERROR(VLOOKUP(F490,IMPORTRANGE(""https://docs.google.com/spreadsheets/d/1Kvs4KS76FHFqLFIZfrDMff4kP08nblUkihrxltoGBjg/edit#gid=934712705"",""ESENCIAL!A6:BG""),8,FALSE))"),"")</f>
        <v/>
      </c>
      <c r="L467" s="287"/>
      <c r="Z467" s="41" t="str">
        <f t="shared" si="30"/>
        <v/>
      </c>
      <c r="AA467" s="5" t="str">
        <f ca="1">IFERROR(__xludf.DUMMYFUNCTION("IFERROR(VLOOKUP(E490&amp;F490,IMPORTRANGE(""https://docs.google.com/spreadsheets/d/1Uw7-A9f9R21vMXxHZFNpYNeKFtG8_yji4HS352LGlSQ/edit?pli=1#gid=0"",""1_ACUM!A4:S""),11,FALSE))"),"")</f>
        <v/>
      </c>
      <c r="AB467" s="42" t="str">
        <f ca="1">IFERROR(__xludf.DUMMYFUNCTION("IFERROR(VLOOKUP(F490,IMPORTRANGE(""https://docs.google.com/spreadsheets/d/1Kvs4KS76FHFqLFIZfrDMff4kP08nblUkihrxltoGBjg/edit#gid=934712705"",""ESENCIAL!A6:BG""),15,FALSE))"),"")</f>
        <v/>
      </c>
      <c r="AC467" s="110" t="str">
        <f ca="1">IFERROR(__xludf.DUMMYFUNCTION("IFERROR(VLOOKUP(E490&amp;F490,IMPORTRANGE(""https://docs.google.com/spreadsheets/d/1Uw7-A9f9R21vMXxHZFNpYNeKFtG8_yji4HS352LGlSQ/edit?pli=1#gid=0"",""1_ACUM!A4:S""),13,FALSE))"),"")</f>
        <v/>
      </c>
      <c r="AD467" s="43" t="str">
        <f ca="1">IFERROR(__xludf.DUMMYFUNCTION("IFERROR(VLOOKUP(E490&amp;F490,IMPORTRANGE(""https://docs.google.com/spreadsheets/d/1Uw7-A9f9R21vMXxHZFNpYNeKFtG8_yji4HS352LGlSQ/edit?pli=1#gid=0"",""1_ACUM!A4:S""),13,FALSE))"),"")</f>
        <v/>
      </c>
      <c r="AE467" s="43" t="str">
        <f ca="1">IFERROR(__xludf.DUMMYFUNCTION("IFERROR(VLOOKUP(E490&amp;F490,IMPORTRANGE(""https://docs.google.com/spreadsheets/d/1Uw7-A9f9R21vMXxHZFNpYNeKFtG8_yji4HS352LGlSQ/edit?pli=1#gid=0"",""1_ACUM!A4:S""),14,FALSE))"),"")</f>
        <v/>
      </c>
      <c r="AF467" s="43" t="str">
        <f ca="1">IFERROR(__xludf.DUMMYFUNCTION("IFERROR(VLOOKUP(E490&amp;F490,IMPORTRANGE(""https://docs.google.com/spreadsheets/d/1Uw7-A9f9R21vMXxHZFNpYNeKFtG8_yji4HS352LGlSQ/edit?pli=1#gid=0"",""1_ACUM!A4:S""),15,FALSE))"),"")</f>
        <v/>
      </c>
      <c r="AG467" s="43" t="str">
        <f ca="1">IFERROR(__xludf.DUMMYFUNCTION("IFERROR(VLOOKUP(E490&amp;F490,IMPORTRANGE(""https://docs.google.com/spreadsheets/d/1Uw7-A9f9R21vMXxHZFNpYNeKFtG8_yji4HS352LGlSQ/edit?pli=1#gid=0"",""1_ACUM!A4:S""),16,FALSE))"),"")</f>
        <v/>
      </c>
      <c r="AH467" s="43" t="str">
        <f ca="1">IFERROR(__xludf.DUMMYFUNCTION("IFERROR(VLOOKUP(E490&amp;F490,IMPORTRANGE(""https://docs.google.com/spreadsheets/d/1Uw7-A9f9R21vMXxHZFNpYNeKFtG8_yji4HS352LGlSQ/edit?pli=1#gid=0"",""1_ACUM!A4:S""),17,FALSE))"),"")</f>
        <v/>
      </c>
      <c r="AI467" s="44" t="str">
        <f ca="1">IFERROR(__xludf.DUMMYFUNCTION("IFERROR(VLOOKUP(E490&amp;F490,IMPORTRANGE(""https://docs.google.com/spreadsheets/d/1Uw7-A9f9R21vMXxHZFNpYNeKFtG8_yji4HS352LGlSQ/edit?pli=1#gid=0"",""1_ACUM!A4:S""),18,FALSE))"),"")</f>
        <v/>
      </c>
      <c r="AJ467" s="44" t="str">
        <f ca="1">IFERROR(__xludf.DUMMYFUNCTION("IFERROR(VLOOKUP(E490&amp;F490,IMPORTRANGE(""https://docs.google.com/spreadsheets/d/1Uw7-A9f9R21vMXxHZFNpYNeKFtG8_yji4HS352LGlSQ/edit?pli=1#gid=0"",""1_ACUM!A4:S""),19,FALSE))"),"")</f>
        <v/>
      </c>
      <c r="AK467" s="98" t="str">
        <f ca="1">IFERROR(__xludf.DUMMYFUNCTION("IFERROR(VLOOKUP(F490,IMPORTRANGE(""https://docs.google.com/spreadsheets/d/1Kvs4KS76FHFqLFIZfrDMff4kP08nblUkihrxltoGBjg/edit#gid=934712705"",""ESENCIAL!A6:BG""),5,FALSE))"),"")</f>
        <v/>
      </c>
      <c r="AL467" s="98" t="str">
        <f t="shared" si="31"/>
        <v/>
      </c>
      <c r="AM467" s="99" t="str">
        <f t="shared" si="32"/>
        <v/>
      </c>
      <c r="AN467" s="100" t="str">
        <f ca="1">IFERROR(__xludf.DUMMYFUNCTION("IFERROR(VLOOKUP(F490,IMPORTRANGE(""https://docs.google.com/spreadsheets/d/1Kvs4KS76FHFqLFIZfrDMff4kP08nblUkihrxltoGBjg/edit#gid=934712705"",""ESENCIAL!A6:BG""),2,FALSE))"),"")</f>
        <v/>
      </c>
      <c r="AO467" s="19" t="str">
        <f t="shared" si="20"/>
        <v/>
      </c>
      <c r="AP467" s="100"/>
      <c r="AQ467" s="100"/>
    </row>
    <row r="468" spans="1:43" ht="15">
      <c r="A468" s="5"/>
      <c r="B468" s="5"/>
      <c r="G468" s="5" t="str">
        <f ca="1">IFERROR(__xludf.DUMMYFUNCTION("IFERROR(VLOOKUP(F491,IMPORTRANGE(""https://docs.google.com/spreadsheets/d/1Kvs4KS76FHFqLFIZfrDMff4kP08nblUkihrxltoGBjg/edit#gid=934712705"",""ESENCIAL!A6:BG""),3,FALSE))"),"")</f>
        <v/>
      </c>
      <c r="H468" s="5" t="str">
        <f ca="1">IFERROR(__xludf.DUMMYFUNCTION("IFERROR(VLOOKUP(F491,IMPORTRANGE(""https://docs.google.com/spreadsheets/d/1Kvs4KS76FHFqLFIZfrDMff4kP08nblUkihrxltoGBjg/edit#gid=934712705"",""ESENCIAL!A6:BG""),8,FALSE))"),"")</f>
        <v/>
      </c>
      <c r="L468" s="287"/>
      <c r="Z468" s="41" t="str">
        <f t="shared" si="30"/>
        <v/>
      </c>
      <c r="AA468" s="5" t="str">
        <f ca="1">IFERROR(__xludf.DUMMYFUNCTION("IFERROR(VLOOKUP(E491&amp;F491,IMPORTRANGE(""https://docs.google.com/spreadsheets/d/1Uw7-A9f9R21vMXxHZFNpYNeKFtG8_yji4HS352LGlSQ/edit?pli=1#gid=0"",""1_ACUM!A4:S""),11,FALSE))"),"")</f>
        <v/>
      </c>
      <c r="AB468" s="42" t="str">
        <f ca="1">IFERROR(__xludf.DUMMYFUNCTION("IFERROR(VLOOKUP(F491,IMPORTRANGE(""https://docs.google.com/spreadsheets/d/1Kvs4KS76FHFqLFIZfrDMff4kP08nblUkihrxltoGBjg/edit#gid=934712705"",""ESENCIAL!A6:BG""),15,FALSE))"),"")</f>
        <v/>
      </c>
      <c r="AC468" s="110" t="str">
        <f ca="1">IFERROR(__xludf.DUMMYFUNCTION("IFERROR(VLOOKUP(E491&amp;F491,IMPORTRANGE(""https://docs.google.com/spreadsheets/d/1Uw7-A9f9R21vMXxHZFNpYNeKFtG8_yji4HS352LGlSQ/edit?pli=1#gid=0"",""1_ACUM!A4:S""),13,FALSE))"),"")</f>
        <v/>
      </c>
      <c r="AD468" s="43" t="str">
        <f ca="1">IFERROR(__xludf.DUMMYFUNCTION("IFERROR(VLOOKUP(E491&amp;F491,IMPORTRANGE(""https://docs.google.com/spreadsheets/d/1Uw7-A9f9R21vMXxHZFNpYNeKFtG8_yji4HS352LGlSQ/edit?pli=1#gid=0"",""1_ACUM!A4:S""),13,FALSE))"),"")</f>
        <v/>
      </c>
      <c r="AE468" s="43" t="str">
        <f ca="1">IFERROR(__xludf.DUMMYFUNCTION("IFERROR(VLOOKUP(E491&amp;F491,IMPORTRANGE(""https://docs.google.com/spreadsheets/d/1Uw7-A9f9R21vMXxHZFNpYNeKFtG8_yji4HS352LGlSQ/edit?pli=1#gid=0"",""1_ACUM!A4:S""),14,FALSE))"),"")</f>
        <v/>
      </c>
      <c r="AF468" s="43" t="str">
        <f ca="1">IFERROR(__xludf.DUMMYFUNCTION("IFERROR(VLOOKUP(E491&amp;F491,IMPORTRANGE(""https://docs.google.com/spreadsheets/d/1Uw7-A9f9R21vMXxHZFNpYNeKFtG8_yji4HS352LGlSQ/edit?pli=1#gid=0"",""1_ACUM!A4:S""),15,FALSE))"),"")</f>
        <v/>
      </c>
      <c r="AG468" s="43" t="str">
        <f ca="1">IFERROR(__xludf.DUMMYFUNCTION("IFERROR(VLOOKUP(E491&amp;F491,IMPORTRANGE(""https://docs.google.com/spreadsheets/d/1Uw7-A9f9R21vMXxHZFNpYNeKFtG8_yji4HS352LGlSQ/edit?pli=1#gid=0"",""1_ACUM!A4:S""),16,FALSE))"),"")</f>
        <v/>
      </c>
      <c r="AH468" s="43" t="str">
        <f ca="1">IFERROR(__xludf.DUMMYFUNCTION("IFERROR(VLOOKUP(E491&amp;F491,IMPORTRANGE(""https://docs.google.com/spreadsheets/d/1Uw7-A9f9R21vMXxHZFNpYNeKFtG8_yji4HS352LGlSQ/edit?pli=1#gid=0"",""1_ACUM!A4:S""),17,FALSE))"),"")</f>
        <v/>
      </c>
      <c r="AI468" s="44" t="str">
        <f ca="1">IFERROR(__xludf.DUMMYFUNCTION("IFERROR(VLOOKUP(E491&amp;F491,IMPORTRANGE(""https://docs.google.com/spreadsheets/d/1Uw7-A9f9R21vMXxHZFNpYNeKFtG8_yji4HS352LGlSQ/edit?pli=1#gid=0"",""1_ACUM!A4:S""),18,FALSE))"),"")</f>
        <v/>
      </c>
      <c r="AJ468" s="44" t="str">
        <f ca="1">IFERROR(__xludf.DUMMYFUNCTION("IFERROR(VLOOKUP(E491&amp;F491,IMPORTRANGE(""https://docs.google.com/spreadsheets/d/1Uw7-A9f9R21vMXxHZFNpYNeKFtG8_yji4HS352LGlSQ/edit?pli=1#gid=0"",""1_ACUM!A4:S""),19,FALSE))"),"")</f>
        <v/>
      </c>
      <c r="AK468" s="98" t="str">
        <f ca="1">IFERROR(__xludf.DUMMYFUNCTION("IFERROR(VLOOKUP(F491,IMPORTRANGE(""https://docs.google.com/spreadsheets/d/1Kvs4KS76FHFqLFIZfrDMff4kP08nblUkihrxltoGBjg/edit#gid=934712705"",""ESENCIAL!A6:BG""),5,FALSE))"),"")</f>
        <v/>
      </c>
      <c r="AL468" s="98" t="str">
        <f t="shared" si="31"/>
        <v/>
      </c>
      <c r="AM468" s="99" t="str">
        <f t="shared" si="32"/>
        <v/>
      </c>
      <c r="AN468" s="100" t="str">
        <f ca="1">IFERROR(__xludf.DUMMYFUNCTION("IFERROR(VLOOKUP(F491,IMPORTRANGE(""https://docs.google.com/spreadsheets/d/1Kvs4KS76FHFqLFIZfrDMff4kP08nblUkihrxltoGBjg/edit#gid=934712705"",""ESENCIAL!A6:BG""),2,FALSE))"),"")</f>
        <v/>
      </c>
      <c r="AO468" s="19" t="str">
        <f t="shared" si="20"/>
        <v/>
      </c>
      <c r="AP468" s="100"/>
      <c r="AQ468" s="100"/>
    </row>
    <row r="469" spans="1:43" ht="15">
      <c r="A469" s="5"/>
      <c r="B469" s="5"/>
      <c r="G469" s="5" t="str">
        <f ca="1">IFERROR(__xludf.DUMMYFUNCTION("IFERROR(VLOOKUP(F492,IMPORTRANGE(""https://docs.google.com/spreadsheets/d/1Kvs4KS76FHFqLFIZfrDMff4kP08nblUkihrxltoGBjg/edit#gid=934712705"",""ESENCIAL!A6:BG""),3,FALSE))"),"")</f>
        <v/>
      </c>
      <c r="H469" s="5" t="str">
        <f ca="1">IFERROR(__xludf.DUMMYFUNCTION("IFERROR(VLOOKUP(F492,IMPORTRANGE(""https://docs.google.com/spreadsheets/d/1Kvs4KS76FHFqLFIZfrDMff4kP08nblUkihrxltoGBjg/edit#gid=934712705"",""ESENCIAL!A6:BG""),8,FALSE))"),"")</f>
        <v/>
      </c>
      <c r="L469" s="287"/>
      <c r="Z469" s="41" t="str">
        <f t="shared" si="30"/>
        <v/>
      </c>
      <c r="AA469" s="5" t="str">
        <f ca="1">IFERROR(__xludf.DUMMYFUNCTION("IFERROR(VLOOKUP(E492&amp;F492,IMPORTRANGE(""https://docs.google.com/spreadsheets/d/1Uw7-A9f9R21vMXxHZFNpYNeKFtG8_yji4HS352LGlSQ/edit?pli=1#gid=0"",""1_ACUM!A4:S""),11,FALSE))"),"")</f>
        <v/>
      </c>
      <c r="AB469" s="42" t="str">
        <f ca="1">IFERROR(__xludf.DUMMYFUNCTION("IFERROR(VLOOKUP(F492,IMPORTRANGE(""https://docs.google.com/spreadsheets/d/1Kvs4KS76FHFqLFIZfrDMff4kP08nblUkihrxltoGBjg/edit#gid=934712705"",""ESENCIAL!A6:BG""),15,FALSE))"),"")</f>
        <v/>
      </c>
      <c r="AC469" s="110" t="str">
        <f ca="1">IFERROR(__xludf.DUMMYFUNCTION("IFERROR(VLOOKUP(E492&amp;F492,IMPORTRANGE(""https://docs.google.com/spreadsheets/d/1Uw7-A9f9R21vMXxHZFNpYNeKFtG8_yji4HS352LGlSQ/edit?pli=1#gid=0"",""1_ACUM!A4:S""),13,FALSE))"),"")</f>
        <v/>
      </c>
      <c r="AD469" s="43" t="str">
        <f ca="1">IFERROR(__xludf.DUMMYFUNCTION("IFERROR(VLOOKUP(E492&amp;F492,IMPORTRANGE(""https://docs.google.com/spreadsheets/d/1Uw7-A9f9R21vMXxHZFNpYNeKFtG8_yji4HS352LGlSQ/edit?pli=1#gid=0"",""1_ACUM!A4:S""),13,FALSE))"),"")</f>
        <v/>
      </c>
      <c r="AE469" s="43" t="str">
        <f ca="1">IFERROR(__xludf.DUMMYFUNCTION("IFERROR(VLOOKUP(E492&amp;F492,IMPORTRANGE(""https://docs.google.com/spreadsheets/d/1Uw7-A9f9R21vMXxHZFNpYNeKFtG8_yji4HS352LGlSQ/edit?pli=1#gid=0"",""1_ACUM!A4:S""),14,FALSE))"),"")</f>
        <v/>
      </c>
      <c r="AF469" s="43" t="str">
        <f ca="1">IFERROR(__xludf.DUMMYFUNCTION("IFERROR(VLOOKUP(E492&amp;F492,IMPORTRANGE(""https://docs.google.com/spreadsheets/d/1Uw7-A9f9R21vMXxHZFNpYNeKFtG8_yji4HS352LGlSQ/edit?pli=1#gid=0"",""1_ACUM!A4:S""),15,FALSE))"),"")</f>
        <v/>
      </c>
      <c r="AG469" s="43" t="str">
        <f ca="1">IFERROR(__xludf.DUMMYFUNCTION("IFERROR(VLOOKUP(E492&amp;F492,IMPORTRANGE(""https://docs.google.com/spreadsheets/d/1Uw7-A9f9R21vMXxHZFNpYNeKFtG8_yji4HS352LGlSQ/edit?pli=1#gid=0"",""1_ACUM!A4:S""),16,FALSE))"),"")</f>
        <v/>
      </c>
      <c r="AH469" s="43" t="str">
        <f ca="1">IFERROR(__xludf.DUMMYFUNCTION("IFERROR(VLOOKUP(E492&amp;F492,IMPORTRANGE(""https://docs.google.com/spreadsheets/d/1Uw7-A9f9R21vMXxHZFNpYNeKFtG8_yji4HS352LGlSQ/edit?pli=1#gid=0"",""1_ACUM!A4:S""),17,FALSE))"),"")</f>
        <v/>
      </c>
      <c r="AI469" s="44" t="str">
        <f ca="1">IFERROR(__xludf.DUMMYFUNCTION("IFERROR(VLOOKUP(E492&amp;F492,IMPORTRANGE(""https://docs.google.com/spreadsheets/d/1Uw7-A9f9R21vMXxHZFNpYNeKFtG8_yji4HS352LGlSQ/edit?pli=1#gid=0"",""1_ACUM!A4:S""),18,FALSE))"),"")</f>
        <v/>
      </c>
      <c r="AJ469" s="44" t="str">
        <f ca="1">IFERROR(__xludf.DUMMYFUNCTION("IFERROR(VLOOKUP(E492&amp;F492,IMPORTRANGE(""https://docs.google.com/spreadsheets/d/1Uw7-A9f9R21vMXxHZFNpYNeKFtG8_yji4HS352LGlSQ/edit?pli=1#gid=0"",""1_ACUM!A4:S""),19,FALSE))"),"")</f>
        <v/>
      </c>
      <c r="AK469" s="98" t="str">
        <f ca="1">IFERROR(__xludf.DUMMYFUNCTION("IFERROR(VLOOKUP(F492,IMPORTRANGE(""https://docs.google.com/spreadsheets/d/1Kvs4KS76FHFqLFIZfrDMff4kP08nblUkihrxltoGBjg/edit#gid=934712705"",""ESENCIAL!A6:BG""),5,FALSE))"),"")</f>
        <v/>
      </c>
      <c r="AL469" s="98" t="str">
        <f t="shared" si="31"/>
        <v/>
      </c>
      <c r="AM469" s="99" t="str">
        <f t="shared" si="32"/>
        <v/>
      </c>
      <c r="AN469" s="100" t="str">
        <f ca="1">IFERROR(__xludf.DUMMYFUNCTION("IFERROR(VLOOKUP(F492,IMPORTRANGE(""https://docs.google.com/spreadsheets/d/1Kvs4KS76FHFqLFIZfrDMff4kP08nblUkihrxltoGBjg/edit#gid=934712705"",""ESENCIAL!A6:BG""),2,FALSE))"),"")</f>
        <v/>
      </c>
      <c r="AO469" s="19" t="str">
        <f t="shared" si="20"/>
        <v/>
      </c>
      <c r="AP469" s="100"/>
      <c r="AQ469" s="100"/>
    </row>
    <row r="470" spans="1:43" ht="15">
      <c r="A470" s="5"/>
      <c r="B470" s="5"/>
      <c r="G470" s="5" t="str">
        <f ca="1">IFERROR(__xludf.DUMMYFUNCTION("IFERROR(VLOOKUP(F493,IMPORTRANGE(""https://docs.google.com/spreadsheets/d/1Kvs4KS76FHFqLFIZfrDMff4kP08nblUkihrxltoGBjg/edit#gid=934712705"",""ESENCIAL!A6:BG""),3,FALSE))"),"")</f>
        <v/>
      </c>
      <c r="H470" s="5" t="str">
        <f ca="1">IFERROR(__xludf.DUMMYFUNCTION("IFERROR(VLOOKUP(F493,IMPORTRANGE(""https://docs.google.com/spreadsheets/d/1Kvs4KS76FHFqLFIZfrDMff4kP08nblUkihrxltoGBjg/edit#gid=934712705"",""ESENCIAL!A6:BG""),8,FALSE))"),"")</f>
        <v/>
      </c>
      <c r="L470" s="287"/>
      <c r="Z470" s="41" t="str">
        <f t="shared" si="30"/>
        <v/>
      </c>
      <c r="AA470" s="5" t="str">
        <f ca="1">IFERROR(__xludf.DUMMYFUNCTION("IFERROR(VLOOKUP(E493&amp;F493,IMPORTRANGE(""https://docs.google.com/spreadsheets/d/1Uw7-A9f9R21vMXxHZFNpYNeKFtG8_yji4HS352LGlSQ/edit?pli=1#gid=0"",""1_ACUM!A4:S""),11,FALSE))"),"")</f>
        <v/>
      </c>
      <c r="AB470" s="42" t="str">
        <f ca="1">IFERROR(__xludf.DUMMYFUNCTION("IFERROR(VLOOKUP(F493,IMPORTRANGE(""https://docs.google.com/spreadsheets/d/1Kvs4KS76FHFqLFIZfrDMff4kP08nblUkihrxltoGBjg/edit#gid=934712705"",""ESENCIAL!A6:BG""),15,FALSE))"),"")</f>
        <v/>
      </c>
      <c r="AC470" s="110" t="str">
        <f ca="1">IFERROR(__xludf.DUMMYFUNCTION("IFERROR(VLOOKUP(E493&amp;F493,IMPORTRANGE(""https://docs.google.com/spreadsheets/d/1Uw7-A9f9R21vMXxHZFNpYNeKFtG8_yji4HS352LGlSQ/edit?pli=1#gid=0"",""1_ACUM!A4:S""),13,FALSE))"),"")</f>
        <v/>
      </c>
      <c r="AD470" s="43" t="str">
        <f ca="1">IFERROR(__xludf.DUMMYFUNCTION("IFERROR(VLOOKUP(E493&amp;F493,IMPORTRANGE(""https://docs.google.com/spreadsheets/d/1Uw7-A9f9R21vMXxHZFNpYNeKFtG8_yji4HS352LGlSQ/edit?pli=1#gid=0"",""1_ACUM!A4:S""),13,FALSE))"),"")</f>
        <v/>
      </c>
      <c r="AE470" s="43" t="str">
        <f ca="1">IFERROR(__xludf.DUMMYFUNCTION("IFERROR(VLOOKUP(E493&amp;F493,IMPORTRANGE(""https://docs.google.com/spreadsheets/d/1Uw7-A9f9R21vMXxHZFNpYNeKFtG8_yji4HS352LGlSQ/edit?pli=1#gid=0"",""1_ACUM!A4:S""),14,FALSE))"),"")</f>
        <v/>
      </c>
      <c r="AF470" s="43" t="str">
        <f ca="1">IFERROR(__xludf.DUMMYFUNCTION("IFERROR(VLOOKUP(E493&amp;F493,IMPORTRANGE(""https://docs.google.com/spreadsheets/d/1Uw7-A9f9R21vMXxHZFNpYNeKFtG8_yji4HS352LGlSQ/edit?pli=1#gid=0"",""1_ACUM!A4:S""),15,FALSE))"),"")</f>
        <v/>
      </c>
      <c r="AG470" s="43" t="str">
        <f ca="1">IFERROR(__xludf.DUMMYFUNCTION("IFERROR(VLOOKUP(E493&amp;F493,IMPORTRANGE(""https://docs.google.com/spreadsheets/d/1Uw7-A9f9R21vMXxHZFNpYNeKFtG8_yji4HS352LGlSQ/edit?pli=1#gid=0"",""1_ACUM!A4:S""),16,FALSE))"),"")</f>
        <v/>
      </c>
      <c r="AH470" s="43" t="str">
        <f ca="1">IFERROR(__xludf.DUMMYFUNCTION("IFERROR(VLOOKUP(E493&amp;F493,IMPORTRANGE(""https://docs.google.com/spreadsheets/d/1Uw7-A9f9R21vMXxHZFNpYNeKFtG8_yji4HS352LGlSQ/edit?pli=1#gid=0"",""1_ACUM!A4:S""),17,FALSE))"),"")</f>
        <v/>
      </c>
      <c r="AI470" s="44" t="str">
        <f ca="1">IFERROR(__xludf.DUMMYFUNCTION("IFERROR(VLOOKUP(E493&amp;F493,IMPORTRANGE(""https://docs.google.com/spreadsheets/d/1Uw7-A9f9R21vMXxHZFNpYNeKFtG8_yji4HS352LGlSQ/edit?pli=1#gid=0"",""1_ACUM!A4:S""),18,FALSE))"),"")</f>
        <v/>
      </c>
      <c r="AJ470" s="44" t="str">
        <f ca="1">IFERROR(__xludf.DUMMYFUNCTION("IFERROR(VLOOKUP(E493&amp;F493,IMPORTRANGE(""https://docs.google.com/spreadsheets/d/1Uw7-A9f9R21vMXxHZFNpYNeKFtG8_yji4HS352LGlSQ/edit?pli=1#gid=0"",""1_ACUM!A4:S""),19,FALSE))"),"")</f>
        <v/>
      </c>
      <c r="AK470" s="98" t="str">
        <f ca="1">IFERROR(__xludf.DUMMYFUNCTION("IFERROR(VLOOKUP(F493,IMPORTRANGE(""https://docs.google.com/spreadsheets/d/1Kvs4KS76FHFqLFIZfrDMff4kP08nblUkihrxltoGBjg/edit#gid=934712705"",""ESENCIAL!A6:BG""),5,FALSE))"),"")</f>
        <v/>
      </c>
      <c r="AL470" s="98" t="str">
        <f t="shared" si="31"/>
        <v/>
      </c>
      <c r="AM470" s="99" t="str">
        <f t="shared" si="32"/>
        <v/>
      </c>
      <c r="AN470" s="100" t="str">
        <f ca="1">IFERROR(__xludf.DUMMYFUNCTION("IFERROR(VLOOKUP(F493,IMPORTRANGE(""https://docs.google.com/spreadsheets/d/1Kvs4KS76FHFqLFIZfrDMff4kP08nblUkihrxltoGBjg/edit#gid=934712705"",""ESENCIAL!A6:BG""),2,FALSE))"),"")</f>
        <v/>
      </c>
      <c r="AO470" s="19" t="str">
        <f t="shared" si="20"/>
        <v/>
      </c>
      <c r="AP470" s="100"/>
      <c r="AQ470" s="100"/>
    </row>
    <row r="471" spans="1:43" ht="15">
      <c r="A471" s="5"/>
      <c r="B471" s="5"/>
      <c r="G471" s="5" t="str">
        <f ca="1">IFERROR(__xludf.DUMMYFUNCTION("IFERROR(VLOOKUP(F494,IMPORTRANGE(""https://docs.google.com/spreadsheets/d/1Kvs4KS76FHFqLFIZfrDMff4kP08nblUkihrxltoGBjg/edit#gid=934712705"",""ESENCIAL!A6:BG""),3,FALSE))"),"")</f>
        <v/>
      </c>
      <c r="H471" s="5" t="str">
        <f ca="1">IFERROR(__xludf.DUMMYFUNCTION("IFERROR(VLOOKUP(F494,IMPORTRANGE(""https://docs.google.com/spreadsheets/d/1Kvs4KS76FHFqLFIZfrDMff4kP08nblUkihrxltoGBjg/edit#gid=934712705"",""ESENCIAL!A6:BG""),8,FALSE))"),"")</f>
        <v/>
      </c>
      <c r="L471" s="287"/>
      <c r="Z471" s="41" t="str">
        <f t="shared" si="30"/>
        <v/>
      </c>
      <c r="AA471" s="5" t="str">
        <f ca="1">IFERROR(__xludf.DUMMYFUNCTION("IFERROR(VLOOKUP(E494&amp;F494,IMPORTRANGE(""https://docs.google.com/spreadsheets/d/1Uw7-A9f9R21vMXxHZFNpYNeKFtG8_yji4HS352LGlSQ/edit?pli=1#gid=0"",""1_ACUM!A4:S""),11,FALSE))"),"")</f>
        <v/>
      </c>
      <c r="AB471" s="42" t="str">
        <f ca="1">IFERROR(__xludf.DUMMYFUNCTION("IFERROR(VLOOKUP(F494,IMPORTRANGE(""https://docs.google.com/spreadsheets/d/1Kvs4KS76FHFqLFIZfrDMff4kP08nblUkihrxltoGBjg/edit#gid=934712705"",""ESENCIAL!A6:BG""),15,FALSE))"),"")</f>
        <v/>
      </c>
      <c r="AC471" s="110" t="str">
        <f ca="1">IFERROR(__xludf.DUMMYFUNCTION("IFERROR(VLOOKUP(E494&amp;F494,IMPORTRANGE(""https://docs.google.com/spreadsheets/d/1Uw7-A9f9R21vMXxHZFNpYNeKFtG8_yji4HS352LGlSQ/edit?pli=1#gid=0"",""1_ACUM!A4:S""),13,FALSE))"),"")</f>
        <v/>
      </c>
      <c r="AD471" s="43" t="str">
        <f ca="1">IFERROR(__xludf.DUMMYFUNCTION("IFERROR(VLOOKUP(E494&amp;F494,IMPORTRANGE(""https://docs.google.com/spreadsheets/d/1Uw7-A9f9R21vMXxHZFNpYNeKFtG8_yji4HS352LGlSQ/edit?pli=1#gid=0"",""1_ACUM!A4:S""),13,FALSE))"),"")</f>
        <v/>
      </c>
      <c r="AE471" s="43" t="str">
        <f ca="1">IFERROR(__xludf.DUMMYFUNCTION("IFERROR(VLOOKUP(E494&amp;F494,IMPORTRANGE(""https://docs.google.com/spreadsheets/d/1Uw7-A9f9R21vMXxHZFNpYNeKFtG8_yji4HS352LGlSQ/edit?pli=1#gid=0"",""1_ACUM!A4:S""),14,FALSE))"),"")</f>
        <v/>
      </c>
      <c r="AF471" s="43" t="str">
        <f ca="1">IFERROR(__xludf.DUMMYFUNCTION("IFERROR(VLOOKUP(E494&amp;F494,IMPORTRANGE(""https://docs.google.com/spreadsheets/d/1Uw7-A9f9R21vMXxHZFNpYNeKFtG8_yji4HS352LGlSQ/edit?pli=1#gid=0"",""1_ACUM!A4:S""),15,FALSE))"),"")</f>
        <v/>
      </c>
      <c r="AG471" s="43" t="str">
        <f ca="1">IFERROR(__xludf.DUMMYFUNCTION("IFERROR(VLOOKUP(E494&amp;F494,IMPORTRANGE(""https://docs.google.com/spreadsheets/d/1Uw7-A9f9R21vMXxHZFNpYNeKFtG8_yji4HS352LGlSQ/edit?pli=1#gid=0"",""1_ACUM!A4:S""),16,FALSE))"),"")</f>
        <v/>
      </c>
      <c r="AH471" s="43" t="str">
        <f ca="1">IFERROR(__xludf.DUMMYFUNCTION("IFERROR(VLOOKUP(E494&amp;F494,IMPORTRANGE(""https://docs.google.com/spreadsheets/d/1Uw7-A9f9R21vMXxHZFNpYNeKFtG8_yji4HS352LGlSQ/edit?pli=1#gid=0"",""1_ACUM!A4:S""),17,FALSE))"),"")</f>
        <v/>
      </c>
      <c r="AI471" s="44" t="str">
        <f ca="1">IFERROR(__xludf.DUMMYFUNCTION("IFERROR(VLOOKUP(E494&amp;F494,IMPORTRANGE(""https://docs.google.com/spreadsheets/d/1Uw7-A9f9R21vMXxHZFNpYNeKFtG8_yji4HS352LGlSQ/edit?pli=1#gid=0"",""1_ACUM!A4:S""),18,FALSE))"),"")</f>
        <v/>
      </c>
      <c r="AJ471" s="44" t="str">
        <f ca="1">IFERROR(__xludf.DUMMYFUNCTION("IFERROR(VLOOKUP(E494&amp;F494,IMPORTRANGE(""https://docs.google.com/spreadsheets/d/1Uw7-A9f9R21vMXxHZFNpYNeKFtG8_yji4HS352LGlSQ/edit?pli=1#gid=0"",""1_ACUM!A4:S""),19,FALSE))"),"")</f>
        <v/>
      </c>
      <c r="AK471" s="98" t="str">
        <f ca="1">IFERROR(__xludf.DUMMYFUNCTION("IFERROR(VLOOKUP(F494,IMPORTRANGE(""https://docs.google.com/spreadsheets/d/1Kvs4KS76FHFqLFIZfrDMff4kP08nblUkihrxltoGBjg/edit#gid=934712705"",""ESENCIAL!A6:BG""),5,FALSE))"),"")</f>
        <v/>
      </c>
      <c r="AL471" s="98" t="str">
        <f t="shared" si="31"/>
        <v/>
      </c>
      <c r="AM471" s="99" t="str">
        <f t="shared" si="32"/>
        <v/>
      </c>
      <c r="AN471" s="100" t="str">
        <f ca="1">IFERROR(__xludf.DUMMYFUNCTION("IFERROR(VLOOKUP(F494,IMPORTRANGE(""https://docs.google.com/spreadsheets/d/1Kvs4KS76FHFqLFIZfrDMff4kP08nblUkihrxltoGBjg/edit#gid=934712705"",""ESENCIAL!A6:BG""),2,FALSE))"),"")</f>
        <v/>
      </c>
      <c r="AO471" s="19" t="str">
        <f t="shared" si="20"/>
        <v/>
      </c>
      <c r="AP471" s="100"/>
      <c r="AQ471" s="100"/>
    </row>
    <row r="472" spans="1:43" ht="15">
      <c r="A472" s="5"/>
      <c r="B472" s="5"/>
      <c r="G472" s="5" t="str">
        <f ca="1">IFERROR(__xludf.DUMMYFUNCTION("IFERROR(VLOOKUP(F495,IMPORTRANGE(""https://docs.google.com/spreadsheets/d/1Kvs4KS76FHFqLFIZfrDMff4kP08nblUkihrxltoGBjg/edit#gid=934712705"",""ESENCIAL!A6:BG""),3,FALSE))"),"")</f>
        <v/>
      </c>
      <c r="H472" s="5" t="str">
        <f ca="1">IFERROR(__xludf.DUMMYFUNCTION("IFERROR(VLOOKUP(F495,IMPORTRANGE(""https://docs.google.com/spreadsheets/d/1Kvs4KS76FHFqLFIZfrDMff4kP08nblUkihrxltoGBjg/edit#gid=934712705"",""ESENCIAL!A6:BG""),8,FALSE))"),"")</f>
        <v/>
      </c>
      <c r="L472" s="287"/>
      <c r="Z472" s="41" t="str">
        <f t="shared" si="30"/>
        <v/>
      </c>
      <c r="AA472" s="5" t="str">
        <f ca="1">IFERROR(__xludf.DUMMYFUNCTION("IFERROR(VLOOKUP(E495&amp;F495,IMPORTRANGE(""https://docs.google.com/spreadsheets/d/1Uw7-A9f9R21vMXxHZFNpYNeKFtG8_yji4HS352LGlSQ/edit?pli=1#gid=0"",""1_ACUM!A4:S""),11,FALSE))"),"")</f>
        <v/>
      </c>
      <c r="AB472" s="42" t="str">
        <f ca="1">IFERROR(__xludf.DUMMYFUNCTION("IFERROR(VLOOKUP(F495,IMPORTRANGE(""https://docs.google.com/spreadsheets/d/1Kvs4KS76FHFqLFIZfrDMff4kP08nblUkihrxltoGBjg/edit#gid=934712705"",""ESENCIAL!A6:BG""),15,FALSE))"),"")</f>
        <v/>
      </c>
      <c r="AC472" s="110" t="str">
        <f ca="1">IFERROR(__xludf.DUMMYFUNCTION("IFERROR(VLOOKUP(E495&amp;F495,IMPORTRANGE(""https://docs.google.com/spreadsheets/d/1Uw7-A9f9R21vMXxHZFNpYNeKFtG8_yji4HS352LGlSQ/edit?pli=1#gid=0"",""1_ACUM!A4:S""),13,FALSE))"),"")</f>
        <v/>
      </c>
      <c r="AD472" s="43" t="str">
        <f ca="1">IFERROR(__xludf.DUMMYFUNCTION("IFERROR(VLOOKUP(E495&amp;F495,IMPORTRANGE(""https://docs.google.com/spreadsheets/d/1Uw7-A9f9R21vMXxHZFNpYNeKFtG8_yji4HS352LGlSQ/edit?pli=1#gid=0"",""1_ACUM!A4:S""),13,FALSE))"),"")</f>
        <v/>
      </c>
      <c r="AE472" s="43" t="str">
        <f ca="1">IFERROR(__xludf.DUMMYFUNCTION("IFERROR(VLOOKUP(E495&amp;F495,IMPORTRANGE(""https://docs.google.com/spreadsheets/d/1Uw7-A9f9R21vMXxHZFNpYNeKFtG8_yji4HS352LGlSQ/edit?pli=1#gid=0"",""1_ACUM!A4:S""),14,FALSE))"),"")</f>
        <v/>
      </c>
      <c r="AF472" s="43" t="str">
        <f ca="1">IFERROR(__xludf.DUMMYFUNCTION("IFERROR(VLOOKUP(E495&amp;F495,IMPORTRANGE(""https://docs.google.com/spreadsheets/d/1Uw7-A9f9R21vMXxHZFNpYNeKFtG8_yji4HS352LGlSQ/edit?pli=1#gid=0"",""1_ACUM!A4:S""),15,FALSE))"),"")</f>
        <v/>
      </c>
      <c r="AG472" s="43" t="str">
        <f ca="1">IFERROR(__xludf.DUMMYFUNCTION("IFERROR(VLOOKUP(E495&amp;F495,IMPORTRANGE(""https://docs.google.com/spreadsheets/d/1Uw7-A9f9R21vMXxHZFNpYNeKFtG8_yji4HS352LGlSQ/edit?pli=1#gid=0"",""1_ACUM!A4:S""),16,FALSE))"),"")</f>
        <v/>
      </c>
      <c r="AH472" s="43" t="str">
        <f ca="1">IFERROR(__xludf.DUMMYFUNCTION("IFERROR(VLOOKUP(E495&amp;F495,IMPORTRANGE(""https://docs.google.com/spreadsheets/d/1Uw7-A9f9R21vMXxHZFNpYNeKFtG8_yji4HS352LGlSQ/edit?pli=1#gid=0"",""1_ACUM!A4:S""),17,FALSE))"),"")</f>
        <v/>
      </c>
      <c r="AI472" s="44" t="str">
        <f ca="1">IFERROR(__xludf.DUMMYFUNCTION("IFERROR(VLOOKUP(E495&amp;F495,IMPORTRANGE(""https://docs.google.com/spreadsheets/d/1Uw7-A9f9R21vMXxHZFNpYNeKFtG8_yji4HS352LGlSQ/edit?pli=1#gid=0"",""1_ACUM!A4:S""),18,FALSE))"),"")</f>
        <v/>
      </c>
      <c r="AJ472" s="44" t="str">
        <f ca="1">IFERROR(__xludf.DUMMYFUNCTION("IFERROR(VLOOKUP(E495&amp;F495,IMPORTRANGE(""https://docs.google.com/spreadsheets/d/1Uw7-A9f9R21vMXxHZFNpYNeKFtG8_yji4HS352LGlSQ/edit?pli=1#gid=0"",""1_ACUM!A4:S""),19,FALSE))"),"")</f>
        <v/>
      </c>
      <c r="AK472" s="98" t="str">
        <f ca="1">IFERROR(__xludf.DUMMYFUNCTION("IFERROR(VLOOKUP(F495,IMPORTRANGE(""https://docs.google.com/spreadsheets/d/1Kvs4KS76FHFqLFIZfrDMff4kP08nblUkihrxltoGBjg/edit#gid=934712705"",""ESENCIAL!A6:BG""),5,FALSE))"),"")</f>
        <v/>
      </c>
      <c r="AL472" s="98" t="str">
        <f t="shared" si="31"/>
        <v/>
      </c>
      <c r="AM472" s="99" t="str">
        <f t="shared" si="32"/>
        <v/>
      </c>
      <c r="AN472" s="100" t="str">
        <f ca="1">IFERROR(__xludf.DUMMYFUNCTION("IFERROR(VLOOKUP(F495,IMPORTRANGE(""https://docs.google.com/spreadsheets/d/1Kvs4KS76FHFqLFIZfrDMff4kP08nblUkihrxltoGBjg/edit#gid=934712705"",""ESENCIAL!A6:BG""),2,FALSE))"),"")</f>
        <v/>
      </c>
      <c r="AO472" s="19" t="str">
        <f t="shared" si="20"/>
        <v/>
      </c>
      <c r="AP472" s="100"/>
      <c r="AQ472" s="100"/>
    </row>
    <row r="473" spans="1:43" ht="15">
      <c r="A473" s="5"/>
      <c r="B473" s="5"/>
      <c r="G473" s="5" t="str">
        <f ca="1">IFERROR(__xludf.DUMMYFUNCTION("IFERROR(VLOOKUP(F496,IMPORTRANGE(""https://docs.google.com/spreadsheets/d/1Kvs4KS76FHFqLFIZfrDMff4kP08nblUkihrxltoGBjg/edit#gid=934712705"",""ESENCIAL!A6:BG""),3,FALSE))"),"")</f>
        <v/>
      </c>
      <c r="H473" s="5" t="str">
        <f ca="1">IFERROR(__xludf.DUMMYFUNCTION("IFERROR(VLOOKUP(F496,IMPORTRANGE(""https://docs.google.com/spreadsheets/d/1Kvs4KS76FHFqLFIZfrDMff4kP08nblUkihrxltoGBjg/edit#gid=934712705"",""ESENCIAL!A6:BG""),8,FALSE))"),"")</f>
        <v/>
      </c>
      <c r="L473" s="287"/>
      <c r="Z473" s="41" t="str">
        <f t="shared" si="30"/>
        <v/>
      </c>
      <c r="AA473" s="5" t="str">
        <f ca="1">IFERROR(__xludf.DUMMYFUNCTION("IFERROR(VLOOKUP(E496&amp;F496,IMPORTRANGE(""https://docs.google.com/spreadsheets/d/1Uw7-A9f9R21vMXxHZFNpYNeKFtG8_yji4HS352LGlSQ/edit?pli=1#gid=0"",""1_ACUM!A4:S""),11,FALSE))"),"")</f>
        <v/>
      </c>
      <c r="AB473" s="42" t="str">
        <f ca="1">IFERROR(__xludf.DUMMYFUNCTION("IFERROR(VLOOKUP(F496,IMPORTRANGE(""https://docs.google.com/spreadsheets/d/1Kvs4KS76FHFqLFIZfrDMff4kP08nblUkihrxltoGBjg/edit#gid=934712705"",""ESENCIAL!A6:BG""),15,FALSE))"),"")</f>
        <v/>
      </c>
      <c r="AC473" s="110" t="str">
        <f ca="1">IFERROR(__xludf.DUMMYFUNCTION("IFERROR(VLOOKUP(E496&amp;F496,IMPORTRANGE(""https://docs.google.com/spreadsheets/d/1Uw7-A9f9R21vMXxHZFNpYNeKFtG8_yji4HS352LGlSQ/edit?pli=1#gid=0"",""1_ACUM!A4:S""),13,FALSE))"),"")</f>
        <v/>
      </c>
      <c r="AD473" s="43" t="str">
        <f ca="1">IFERROR(__xludf.DUMMYFUNCTION("IFERROR(VLOOKUP(E496&amp;F496,IMPORTRANGE(""https://docs.google.com/spreadsheets/d/1Uw7-A9f9R21vMXxHZFNpYNeKFtG8_yji4HS352LGlSQ/edit?pli=1#gid=0"",""1_ACUM!A4:S""),13,FALSE))"),"")</f>
        <v/>
      </c>
      <c r="AE473" s="43" t="str">
        <f ca="1">IFERROR(__xludf.DUMMYFUNCTION("IFERROR(VLOOKUP(E496&amp;F496,IMPORTRANGE(""https://docs.google.com/spreadsheets/d/1Uw7-A9f9R21vMXxHZFNpYNeKFtG8_yji4HS352LGlSQ/edit?pli=1#gid=0"",""1_ACUM!A4:S""),14,FALSE))"),"")</f>
        <v/>
      </c>
      <c r="AF473" s="43" t="str">
        <f ca="1">IFERROR(__xludf.DUMMYFUNCTION("IFERROR(VLOOKUP(E496&amp;F496,IMPORTRANGE(""https://docs.google.com/spreadsheets/d/1Uw7-A9f9R21vMXxHZFNpYNeKFtG8_yji4HS352LGlSQ/edit?pli=1#gid=0"",""1_ACUM!A4:S""),15,FALSE))"),"")</f>
        <v/>
      </c>
      <c r="AG473" s="43" t="str">
        <f ca="1">IFERROR(__xludf.DUMMYFUNCTION("IFERROR(VLOOKUP(E496&amp;F496,IMPORTRANGE(""https://docs.google.com/spreadsheets/d/1Uw7-A9f9R21vMXxHZFNpYNeKFtG8_yji4HS352LGlSQ/edit?pli=1#gid=0"",""1_ACUM!A4:S""),16,FALSE))"),"")</f>
        <v/>
      </c>
      <c r="AH473" s="43" t="str">
        <f ca="1">IFERROR(__xludf.DUMMYFUNCTION("IFERROR(VLOOKUP(E496&amp;F496,IMPORTRANGE(""https://docs.google.com/spreadsheets/d/1Uw7-A9f9R21vMXxHZFNpYNeKFtG8_yji4HS352LGlSQ/edit?pli=1#gid=0"",""1_ACUM!A4:S""),17,FALSE))"),"")</f>
        <v/>
      </c>
      <c r="AI473" s="44" t="str">
        <f ca="1">IFERROR(__xludf.DUMMYFUNCTION("IFERROR(VLOOKUP(E496&amp;F496,IMPORTRANGE(""https://docs.google.com/spreadsheets/d/1Uw7-A9f9R21vMXxHZFNpYNeKFtG8_yji4HS352LGlSQ/edit?pli=1#gid=0"",""1_ACUM!A4:S""),18,FALSE))"),"")</f>
        <v/>
      </c>
      <c r="AJ473" s="44" t="str">
        <f ca="1">IFERROR(__xludf.DUMMYFUNCTION("IFERROR(VLOOKUP(E496&amp;F496,IMPORTRANGE(""https://docs.google.com/spreadsheets/d/1Uw7-A9f9R21vMXxHZFNpYNeKFtG8_yji4HS352LGlSQ/edit?pli=1#gid=0"",""1_ACUM!A4:S""),19,FALSE))"),"")</f>
        <v/>
      </c>
      <c r="AK473" s="98" t="str">
        <f ca="1">IFERROR(__xludf.DUMMYFUNCTION("IFERROR(VLOOKUP(F496,IMPORTRANGE(""https://docs.google.com/spreadsheets/d/1Kvs4KS76FHFqLFIZfrDMff4kP08nblUkihrxltoGBjg/edit#gid=934712705"",""ESENCIAL!A6:BG""),5,FALSE))"),"")</f>
        <v/>
      </c>
      <c r="AL473" s="98" t="str">
        <f t="shared" si="31"/>
        <v/>
      </c>
      <c r="AM473" s="99" t="str">
        <f t="shared" si="32"/>
        <v/>
      </c>
      <c r="AN473" s="100" t="str">
        <f ca="1">IFERROR(__xludf.DUMMYFUNCTION("IFERROR(VLOOKUP(F496,IMPORTRANGE(""https://docs.google.com/spreadsheets/d/1Kvs4KS76FHFqLFIZfrDMff4kP08nblUkihrxltoGBjg/edit#gid=934712705"",""ESENCIAL!A6:BG""),2,FALSE))"),"")</f>
        <v/>
      </c>
      <c r="AO473" s="19" t="str">
        <f t="shared" si="20"/>
        <v/>
      </c>
      <c r="AP473" s="100"/>
      <c r="AQ473" s="100"/>
    </row>
    <row r="474" spans="1:43" ht="15">
      <c r="A474" s="5"/>
      <c r="B474" s="5"/>
      <c r="G474" s="5" t="str">
        <f ca="1">IFERROR(__xludf.DUMMYFUNCTION("IFERROR(VLOOKUP(F497,IMPORTRANGE(""https://docs.google.com/spreadsheets/d/1Kvs4KS76FHFqLFIZfrDMff4kP08nblUkihrxltoGBjg/edit#gid=934712705"",""ESENCIAL!A6:BG""),3,FALSE))"),"")</f>
        <v/>
      </c>
      <c r="H474" s="5" t="str">
        <f ca="1">IFERROR(__xludf.DUMMYFUNCTION("IFERROR(VLOOKUP(F497,IMPORTRANGE(""https://docs.google.com/spreadsheets/d/1Kvs4KS76FHFqLFIZfrDMff4kP08nblUkihrxltoGBjg/edit#gid=934712705"",""ESENCIAL!A6:BG""),8,FALSE))"),"")</f>
        <v/>
      </c>
      <c r="L474" s="287"/>
      <c r="Z474" s="41" t="str">
        <f t="shared" si="30"/>
        <v/>
      </c>
      <c r="AA474" s="5" t="str">
        <f ca="1">IFERROR(__xludf.DUMMYFUNCTION("IFERROR(VLOOKUP(E497&amp;F497,IMPORTRANGE(""https://docs.google.com/spreadsheets/d/1Uw7-A9f9R21vMXxHZFNpYNeKFtG8_yji4HS352LGlSQ/edit?pli=1#gid=0"",""1_ACUM!A4:S""),11,FALSE))"),"")</f>
        <v/>
      </c>
      <c r="AB474" s="42" t="str">
        <f ca="1">IFERROR(__xludf.DUMMYFUNCTION("IFERROR(VLOOKUP(F497,IMPORTRANGE(""https://docs.google.com/spreadsheets/d/1Kvs4KS76FHFqLFIZfrDMff4kP08nblUkihrxltoGBjg/edit#gid=934712705"",""ESENCIAL!A6:BG""),15,FALSE))"),"")</f>
        <v/>
      </c>
      <c r="AC474" s="110" t="str">
        <f ca="1">IFERROR(__xludf.DUMMYFUNCTION("IFERROR(VLOOKUP(E497&amp;F497,IMPORTRANGE(""https://docs.google.com/spreadsheets/d/1Uw7-A9f9R21vMXxHZFNpYNeKFtG8_yji4HS352LGlSQ/edit?pli=1#gid=0"",""1_ACUM!A4:S""),13,FALSE))"),"")</f>
        <v/>
      </c>
      <c r="AD474" s="43" t="str">
        <f ca="1">IFERROR(__xludf.DUMMYFUNCTION("IFERROR(VLOOKUP(E497&amp;F497,IMPORTRANGE(""https://docs.google.com/spreadsheets/d/1Uw7-A9f9R21vMXxHZFNpYNeKFtG8_yji4HS352LGlSQ/edit?pli=1#gid=0"",""1_ACUM!A4:S""),13,FALSE))"),"")</f>
        <v/>
      </c>
      <c r="AE474" s="43" t="str">
        <f ca="1">IFERROR(__xludf.DUMMYFUNCTION("IFERROR(VLOOKUP(E497&amp;F497,IMPORTRANGE(""https://docs.google.com/spreadsheets/d/1Uw7-A9f9R21vMXxHZFNpYNeKFtG8_yji4HS352LGlSQ/edit?pli=1#gid=0"",""1_ACUM!A4:S""),14,FALSE))"),"")</f>
        <v/>
      </c>
      <c r="AF474" s="43" t="str">
        <f ca="1">IFERROR(__xludf.DUMMYFUNCTION("IFERROR(VLOOKUP(E497&amp;F497,IMPORTRANGE(""https://docs.google.com/spreadsheets/d/1Uw7-A9f9R21vMXxHZFNpYNeKFtG8_yji4HS352LGlSQ/edit?pli=1#gid=0"",""1_ACUM!A4:S""),15,FALSE))"),"")</f>
        <v/>
      </c>
      <c r="AG474" s="43" t="str">
        <f ca="1">IFERROR(__xludf.DUMMYFUNCTION("IFERROR(VLOOKUP(E497&amp;F497,IMPORTRANGE(""https://docs.google.com/spreadsheets/d/1Uw7-A9f9R21vMXxHZFNpYNeKFtG8_yji4HS352LGlSQ/edit?pli=1#gid=0"",""1_ACUM!A4:S""),16,FALSE))"),"")</f>
        <v/>
      </c>
      <c r="AH474" s="43" t="str">
        <f ca="1">IFERROR(__xludf.DUMMYFUNCTION("IFERROR(VLOOKUP(E497&amp;F497,IMPORTRANGE(""https://docs.google.com/spreadsheets/d/1Uw7-A9f9R21vMXxHZFNpYNeKFtG8_yji4HS352LGlSQ/edit?pli=1#gid=0"",""1_ACUM!A4:S""),17,FALSE))"),"")</f>
        <v/>
      </c>
      <c r="AI474" s="44" t="str">
        <f ca="1">IFERROR(__xludf.DUMMYFUNCTION("IFERROR(VLOOKUP(E497&amp;F497,IMPORTRANGE(""https://docs.google.com/spreadsheets/d/1Uw7-A9f9R21vMXxHZFNpYNeKFtG8_yji4HS352LGlSQ/edit?pli=1#gid=0"",""1_ACUM!A4:S""),18,FALSE))"),"")</f>
        <v/>
      </c>
      <c r="AJ474" s="44" t="str">
        <f ca="1">IFERROR(__xludf.DUMMYFUNCTION("IFERROR(VLOOKUP(E497&amp;F497,IMPORTRANGE(""https://docs.google.com/spreadsheets/d/1Uw7-A9f9R21vMXxHZFNpYNeKFtG8_yji4HS352LGlSQ/edit?pli=1#gid=0"",""1_ACUM!A4:S""),19,FALSE))"),"")</f>
        <v/>
      </c>
      <c r="AK474" s="98" t="str">
        <f ca="1">IFERROR(__xludf.DUMMYFUNCTION("IFERROR(VLOOKUP(F497,IMPORTRANGE(""https://docs.google.com/spreadsheets/d/1Kvs4KS76FHFqLFIZfrDMff4kP08nblUkihrxltoGBjg/edit#gid=934712705"",""ESENCIAL!A6:BG""),5,FALSE))"),"")</f>
        <v/>
      </c>
      <c r="AL474" s="98" t="str">
        <f t="shared" si="31"/>
        <v/>
      </c>
      <c r="AM474" s="99" t="str">
        <f t="shared" si="32"/>
        <v/>
      </c>
      <c r="AN474" s="100" t="str">
        <f ca="1">IFERROR(__xludf.DUMMYFUNCTION("IFERROR(VLOOKUP(F497,IMPORTRANGE(""https://docs.google.com/spreadsheets/d/1Kvs4KS76FHFqLFIZfrDMff4kP08nblUkihrxltoGBjg/edit#gid=934712705"",""ESENCIAL!A6:BG""),2,FALSE))"),"")</f>
        <v/>
      </c>
      <c r="AO474" s="19" t="str">
        <f t="shared" si="20"/>
        <v/>
      </c>
      <c r="AP474" s="100"/>
      <c r="AQ474" s="100"/>
    </row>
    <row r="475" spans="1:43" ht="15">
      <c r="A475" s="5"/>
      <c r="B475" s="5"/>
      <c r="G475" s="5" t="str">
        <f ca="1">IFERROR(__xludf.DUMMYFUNCTION("IFERROR(VLOOKUP(F498,IMPORTRANGE(""https://docs.google.com/spreadsheets/d/1Kvs4KS76FHFqLFIZfrDMff4kP08nblUkihrxltoGBjg/edit#gid=934712705"",""ESENCIAL!A6:BG""),3,FALSE))"),"")</f>
        <v/>
      </c>
      <c r="H475" s="5" t="str">
        <f ca="1">IFERROR(__xludf.DUMMYFUNCTION("IFERROR(VLOOKUP(F498,IMPORTRANGE(""https://docs.google.com/spreadsheets/d/1Kvs4KS76FHFqLFIZfrDMff4kP08nblUkihrxltoGBjg/edit#gid=934712705"",""ESENCIAL!A6:BG""),8,FALSE))"),"")</f>
        <v/>
      </c>
      <c r="L475" s="287"/>
      <c r="Z475" s="41" t="str">
        <f t="shared" si="30"/>
        <v/>
      </c>
      <c r="AA475" s="5" t="str">
        <f ca="1">IFERROR(__xludf.DUMMYFUNCTION("IFERROR(VLOOKUP(E498&amp;F498,IMPORTRANGE(""https://docs.google.com/spreadsheets/d/1Uw7-A9f9R21vMXxHZFNpYNeKFtG8_yji4HS352LGlSQ/edit?pli=1#gid=0"",""1_ACUM!A4:S""),11,FALSE))"),"")</f>
        <v/>
      </c>
      <c r="AB475" s="42" t="str">
        <f ca="1">IFERROR(__xludf.DUMMYFUNCTION("IFERROR(VLOOKUP(F498,IMPORTRANGE(""https://docs.google.com/spreadsheets/d/1Kvs4KS76FHFqLFIZfrDMff4kP08nblUkihrxltoGBjg/edit#gid=934712705"",""ESENCIAL!A6:BG""),15,FALSE))"),"")</f>
        <v/>
      </c>
      <c r="AC475" s="110" t="str">
        <f ca="1">IFERROR(__xludf.DUMMYFUNCTION("IFERROR(VLOOKUP(E498&amp;F498,IMPORTRANGE(""https://docs.google.com/spreadsheets/d/1Uw7-A9f9R21vMXxHZFNpYNeKFtG8_yji4HS352LGlSQ/edit?pli=1#gid=0"",""1_ACUM!A4:S""),13,FALSE))"),"")</f>
        <v/>
      </c>
      <c r="AD475" s="43" t="str">
        <f ca="1">IFERROR(__xludf.DUMMYFUNCTION("IFERROR(VLOOKUP(E498&amp;F498,IMPORTRANGE(""https://docs.google.com/spreadsheets/d/1Uw7-A9f9R21vMXxHZFNpYNeKFtG8_yji4HS352LGlSQ/edit?pli=1#gid=0"",""1_ACUM!A4:S""),13,FALSE))"),"")</f>
        <v/>
      </c>
      <c r="AE475" s="43" t="str">
        <f ca="1">IFERROR(__xludf.DUMMYFUNCTION("IFERROR(VLOOKUP(E498&amp;F498,IMPORTRANGE(""https://docs.google.com/spreadsheets/d/1Uw7-A9f9R21vMXxHZFNpYNeKFtG8_yji4HS352LGlSQ/edit?pli=1#gid=0"",""1_ACUM!A4:S""),14,FALSE))"),"")</f>
        <v/>
      </c>
      <c r="AF475" s="43" t="str">
        <f ca="1">IFERROR(__xludf.DUMMYFUNCTION("IFERROR(VLOOKUP(E498&amp;F498,IMPORTRANGE(""https://docs.google.com/spreadsheets/d/1Uw7-A9f9R21vMXxHZFNpYNeKFtG8_yji4HS352LGlSQ/edit?pli=1#gid=0"",""1_ACUM!A4:S""),15,FALSE))"),"")</f>
        <v/>
      </c>
      <c r="AG475" s="43" t="str">
        <f ca="1">IFERROR(__xludf.DUMMYFUNCTION("IFERROR(VLOOKUP(E498&amp;F498,IMPORTRANGE(""https://docs.google.com/spreadsheets/d/1Uw7-A9f9R21vMXxHZFNpYNeKFtG8_yji4HS352LGlSQ/edit?pli=1#gid=0"",""1_ACUM!A4:S""),16,FALSE))"),"")</f>
        <v/>
      </c>
      <c r="AH475" s="43" t="str">
        <f ca="1">IFERROR(__xludf.DUMMYFUNCTION("IFERROR(VLOOKUP(E498&amp;F498,IMPORTRANGE(""https://docs.google.com/spreadsheets/d/1Uw7-A9f9R21vMXxHZFNpYNeKFtG8_yji4HS352LGlSQ/edit?pli=1#gid=0"",""1_ACUM!A4:S""),17,FALSE))"),"")</f>
        <v/>
      </c>
      <c r="AI475" s="44" t="str">
        <f ca="1">IFERROR(__xludf.DUMMYFUNCTION("IFERROR(VLOOKUP(E498&amp;F498,IMPORTRANGE(""https://docs.google.com/spreadsheets/d/1Uw7-A9f9R21vMXxHZFNpYNeKFtG8_yji4HS352LGlSQ/edit?pli=1#gid=0"",""1_ACUM!A4:S""),18,FALSE))"),"")</f>
        <v/>
      </c>
      <c r="AJ475" s="44" t="str">
        <f ca="1">IFERROR(__xludf.DUMMYFUNCTION("IFERROR(VLOOKUP(E498&amp;F498,IMPORTRANGE(""https://docs.google.com/spreadsheets/d/1Uw7-A9f9R21vMXxHZFNpYNeKFtG8_yji4HS352LGlSQ/edit?pli=1#gid=0"",""1_ACUM!A4:S""),19,FALSE))"),"")</f>
        <v/>
      </c>
      <c r="AK475" s="98" t="str">
        <f ca="1">IFERROR(__xludf.DUMMYFUNCTION("IFERROR(VLOOKUP(F498,IMPORTRANGE(""https://docs.google.com/spreadsheets/d/1Kvs4KS76FHFqLFIZfrDMff4kP08nblUkihrxltoGBjg/edit#gid=934712705"",""ESENCIAL!A6:BG""),5,FALSE))"),"")</f>
        <v/>
      </c>
      <c r="AL475" s="98" t="str">
        <f t="shared" si="31"/>
        <v/>
      </c>
      <c r="AM475" s="99" t="str">
        <f t="shared" si="32"/>
        <v/>
      </c>
      <c r="AN475" s="100" t="str">
        <f ca="1">IFERROR(__xludf.DUMMYFUNCTION("IFERROR(VLOOKUP(F498,IMPORTRANGE(""https://docs.google.com/spreadsheets/d/1Kvs4KS76FHFqLFIZfrDMff4kP08nblUkihrxltoGBjg/edit#gid=934712705"",""ESENCIAL!A6:BG""),2,FALSE))"),"")</f>
        <v/>
      </c>
      <c r="AO475" s="19" t="str">
        <f t="shared" si="20"/>
        <v/>
      </c>
      <c r="AP475" s="100"/>
      <c r="AQ475" s="100"/>
    </row>
    <row r="476" spans="1:43" ht="15">
      <c r="A476" s="5"/>
      <c r="B476" s="5"/>
      <c r="G476" s="5" t="str">
        <f ca="1">IFERROR(__xludf.DUMMYFUNCTION("IFERROR(VLOOKUP(F499,IMPORTRANGE(""https://docs.google.com/spreadsheets/d/1Kvs4KS76FHFqLFIZfrDMff4kP08nblUkihrxltoGBjg/edit#gid=934712705"",""ESENCIAL!A6:BG""),3,FALSE))"),"")</f>
        <v/>
      </c>
      <c r="H476" s="5" t="str">
        <f ca="1">IFERROR(__xludf.DUMMYFUNCTION("IFERROR(VLOOKUP(F499,IMPORTRANGE(""https://docs.google.com/spreadsheets/d/1Kvs4KS76FHFqLFIZfrDMff4kP08nblUkihrxltoGBjg/edit#gid=934712705"",""ESENCIAL!A6:BG""),8,FALSE))"),"")</f>
        <v/>
      </c>
      <c r="L476" s="287"/>
      <c r="Z476" s="41" t="str">
        <f t="shared" si="30"/>
        <v/>
      </c>
      <c r="AA476" s="5" t="str">
        <f ca="1">IFERROR(__xludf.DUMMYFUNCTION("IFERROR(VLOOKUP(E499&amp;F499,IMPORTRANGE(""https://docs.google.com/spreadsheets/d/1Uw7-A9f9R21vMXxHZFNpYNeKFtG8_yji4HS352LGlSQ/edit?pli=1#gid=0"",""1_ACUM!A4:S""),11,FALSE))"),"")</f>
        <v/>
      </c>
      <c r="AB476" s="42" t="str">
        <f ca="1">IFERROR(__xludf.DUMMYFUNCTION("IFERROR(VLOOKUP(F499,IMPORTRANGE(""https://docs.google.com/spreadsheets/d/1Kvs4KS76FHFqLFIZfrDMff4kP08nblUkihrxltoGBjg/edit#gid=934712705"",""ESENCIAL!A6:BG""),15,FALSE))"),"")</f>
        <v/>
      </c>
      <c r="AC476" s="110" t="str">
        <f ca="1">IFERROR(__xludf.DUMMYFUNCTION("IFERROR(VLOOKUP(E499&amp;F499,IMPORTRANGE(""https://docs.google.com/spreadsheets/d/1Uw7-A9f9R21vMXxHZFNpYNeKFtG8_yji4HS352LGlSQ/edit?pli=1#gid=0"",""1_ACUM!A4:S""),13,FALSE))"),"")</f>
        <v/>
      </c>
      <c r="AD476" s="43" t="str">
        <f ca="1">IFERROR(__xludf.DUMMYFUNCTION("IFERROR(VLOOKUP(E499&amp;F499,IMPORTRANGE(""https://docs.google.com/spreadsheets/d/1Uw7-A9f9R21vMXxHZFNpYNeKFtG8_yji4HS352LGlSQ/edit?pli=1#gid=0"",""1_ACUM!A4:S""),13,FALSE))"),"")</f>
        <v/>
      </c>
      <c r="AE476" s="43" t="str">
        <f ca="1">IFERROR(__xludf.DUMMYFUNCTION("IFERROR(VLOOKUP(E499&amp;F499,IMPORTRANGE(""https://docs.google.com/spreadsheets/d/1Uw7-A9f9R21vMXxHZFNpYNeKFtG8_yji4HS352LGlSQ/edit?pli=1#gid=0"",""1_ACUM!A4:S""),14,FALSE))"),"")</f>
        <v/>
      </c>
      <c r="AF476" s="43" t="str">
        <f ca="1">IFERROR(__xludf.DUMMYFUNCTION("IFERROR(VLOOKUP(E499&amp;F499,IMPORTRANGE(""https://docs.google.com/spreadsheets/d/1Uw7-A9f9R21vMXxHZFNpYNeKFtG8_yji4HS352LGlSQ/edit?pli=1#gid=0"",""1_ACUM!A4:S""),15,FALSE))"),"")</f>
        <v/>
      </c>
      <c r="AG476" s="43" t="str">
        <f ca="1">IFERROR(__xludf.DUMMYFUNCTION("IFERROR(VLOOKUP(E499&amp;F499,IMPORTRANGE(""https://docs.google.com/spreadsheets/d/1Uw7-A9f9R21vMXxHZFNpYNeKFtG8_yji4HS352LGlSQ/edit?pli=1#gid=0"",""1_ACUM!A4:S""),16,FALSE))"),"")</f>
        <v/>
      </c>
      <c r="AH476" s="43" t="str">
        <f ca="1">IFERROR(__xludf.DUMMYFUNCTION("IFERROR(VLOOKUP(E499&amp;F499,IMPORTRANGE(""https://docs.google.com/spreadsheets/d/1Uw7-A9f9R21vMXxHZFNpYNeKFtG8_yji4HS352LGlSQ/edit?pli=1#gid=0"",""1_ACUM!A4:S""),17,FALSE))"),"")</f>
        <v/>
      </c>
      <c r="AI476" s="44" t="str">
        <f ca="1">IFERROR(__xludf.DUMMYFUNCTION("IFERROR(VLOOKUP(E499&amp;F499,IMPORTRANGE(""https://docs.google.com/spreadsheets/d/1Uw7-A9f9R21vMXxHZFNpYNeKFtG8_yji4HS352LGlSQ/edit?pli=1#gid=0"",""1_ACUM!A4:S""),18,FALSE))"),"")</f>
        <v/>
      </c>
      <c r="AJ476" s="44" t="str">
        <f ca="1">IFERROR(__xludf.DUMMYFUNCTION("IFERROR(VLOOKUP(E499&amp;F499,IMPORTRANGE(""https://docs.google.com/spreadsheets/d/1Uw7-A9f9R21vMXxHZFNpYNeKFtG8_yji4HS352LGlSQ/edit?pli=1#gid=0"",""1_ACUM!A4:S""),19,FALSE))"),"")</f>
        <v/>
      </c>
      <c r="AK476" s="98" t="str">
        <f ca="1">IFERROR(__xludf.DUMMYFUNCTION("IFERROR(VLOOKUP(F499,IMPORTRANGE(""https://docs.google.com/spreadsheets/d/1Kvs4KS76FHFqLFIZfrDMff4kP08nblUkihrxltoGBjg/edit#gid=934712705"",""ESENCIAL!A6:BG""),5,FALSE))"),"")</f>
        <v/>
      </c>
      <c r="AL476" s="98" t="str">
        <f t="shared" si="31"/>
        <v/>
      </c>
      <c r="AM476" s="99" t="str">
        <f t="shared" si="32"/>
        <v/>
      </c>
      <c r="AN476" s="100" t="str">
        <f ca="1">IFERROR(__xludf.DUMMYFUNCTION("IFERROR(VLOOKUP(F499,IMPORTRANGE(""https://docs.google.com/spreadsheets/d/1Kvs4KS76FHFqLFIZfrDMff4kP08nblUkihrxltoGBjg/edit#gid=934712705"",""ESENCIAL!A6:BG""),2,FALSE))"),"")</f>
        <v/>
      </c>
      <c r="AO476" s="19" t="str">
        <f t="shared" si="20"/>
        <v/>
      </c>
      <c r="AP476" s="100"/>
      <c r="AQ476" s="100"/>
    </row>
    <row r="477" spans="1:43" ht="15">
      <c r="A477" s="5"/>
      <c r="B477" s="5"/>
      <c r="G477" s="5" t="str">
        <f ca="1">IFERROR(__xludf.DUMMYFUNCTION("IFERROR(VLOOKUP(F500,IMPORTRANGE(""https://docs.google.com/spreadsheets/d/1Kvs4KS76FHFqLFIZfrDMff4kP08nblUkihrxltoGBjg/edit#gid=934712705"",""ESENCIAL!A6:BG""),3,FALSE))"),"")</f>
        <v/>
      </c>
      <c r="H477" s="5" t="str">
        <f ca="1">IFERROR(__xludf.DUMMYFUNCTION("IFERROR(VLOOKUP(F500,IMPORTRANGE(""https://docs.google.com/spreadsheets/d/1Kvs4KS76FHFqLFIZfrDMff4kP08nblUkihrxltoGBjg/edit#gid=934712705"",""ESENCIAL!A6:BG""),8,FALSE))"),"")</f>
        <v/>
      </c>
      <c r="L477" s="287"/>
      <c r="Z477" s="41" t="str">
        <f t="shared" si="30"/>
        <v/>
      </c>
      <c r="AA477" s="5" t="str">
        <f ca="1">IFERROR(__xludf.DUMMYFUNCTION("IFERROR(VLOOKUP(E500&amp;F500,IMPORTRANGE(""https://docs.google.com/spreadsheets/d/1Uw7-A9f9R21vMXxHZFNpYNeKFtG8_yji4HS352LGlSQ/edit?pli=1#gid=0"",""1_ACUM!A4:S""),11,FALSE))"),"")</f>
        <v/>
      </c>
      <c r="AB477" s="42" t="str">
        <f ca="1">IFERROR(__xludf.DUMMYFUNCTION("IFERROR(VLOOKUP(F500,IMPORTRANGE(""https://docs.google.com/spreadsheets/d/1Kvs4KS76FHFqLFIZfrDMff4kP08nblUkihrxltoGBjg/edit#gid=934712705"",""ESENCIAL!A6:BG""),15,FALSE))"),"")</f>
        <v/>
      </c>
      <c r="AC477" s="110" t="str">
        <f ca="1">IFERROR(__xludf.DUMMYFUNCTION("IFERROR(VLOOKUP(E500&amp;F500,IMPORTRANGE(""https://docs.google.com/spreadsheets/d/1Uw7-A9f9R21vMXxHZFNpYNeKFtG8_yji4HS352LGlSQ/edit?pli=1#gid=0"",""1_ACUM!A4:S""),13,FALSE))"),"")</f>
        <v/>
      </c>
      <c r="AD477" s="43" t="str">
        <f ca="1">IFERROR(__xludf.DUMMYFUNCTION("IFERROR(VLOOKUP(E500&amp;F500,IMPORTRANGE(""https://docs.google.com/spreadsheets/d/1Uw7-A9f9R21vMXxHZFNpYNeKFtG8_yji4HS352LGlSQ/edit?pli=1#gid=0"",""1_ACUM!A4:S""),13,FALSE))"),"")</f>
        <v/>
      </c>
      <c r="AE477" s="43" t="str">
        <f ca="1">IFERROR(__xludf.DUMMYFUNCTION("IFERROR(VLOOKUP(E500&amp;F500,IMPORTRANGE(""https://docs.google.com/spreadsheets/d/1Uw7-A9f9R21vMXxHZFNpYNeKFtG8_yji4HS352LGlSQ/edit?pli=1#gid=0"",""1_ACUM!A4:S""),14,FALSE))"),"")</f>
        <v/>
      </c>
      <c r="AF477" s="43" t="str">
        <f ca="1">IFERROR(__xludf.DUMMYFUNCTION("IFERROR(VLOOKUP(E500&amp;F500,IMPORTRANGE(""https://docs.google.com/spreadsheets/d/1Uw7-A9f9R21vMXxHZFNpYNeKFtG8_yji4HS352LGlSQ/edit?pli=1#gid=0"",""1_ACUM!A4:S""),15,FALSE))"),"")</f>
        <v/>
      </c>
      <c r="AG477" s="43" t="str">
        <f ca="1">IFERROR(__xludf.DUMMYFUNCTION("IFERROR(VLOOKUP(E500&amp;F500,IMPORTRANGE(""https://docs.google.com/spreadsheets/d/1Uw7-A9f9R21vMXxHZFNpYNeKFtG8_yji4HS352LGlSQ/edit?pli=1#gid=0"",""1_ACUM!A4:S""),16,FALSE))"),"")</f>
        <v/>
      </c>
      <c r="AH477" s="43" t="str">
        <f ca="1">IFERROR(__xludf.DUMMYFUNCTION("IFERROR(VLOOKUP(E500&amp;F500,IMPORTRANGE(""https://docs.google.com/spreadsheets/d/1Uw7-A9f9R21vMXxHZFNpYNeKFtG8_yji4HS352LGlSQ/edit?pli=1#gid=0"",""1_ACUM!A4:S""),17,FALSE))"),"")</f>
        <v/>
      </c>
      <c r="AI477" s="44" t="str">
        <f ca="1">IFERROR(__xludf.DUMMYFUNCTION("IFERROR(VLOOKUP(E500&amp;F500,IMPORTRANGE(""https://docs.google.com/spreadsheets/d/1Uw7-A9f9R21vMXxHZFNpYNeKFtG8_yji4HS352LGlSQ/edit?pli=1#gid=0"",""1_ACUM!A4:S""),18,FALSE))"),"")</f>
        <v/>
      </c>
      <c r="AJ477" s="44" t="str">
        <f ca="1">IFERROR(__xludf.DUMMYFUNCTION("IFERROR(VLOOKUP(E500&amp;F500,IMPORTRANGE(""https://docs.google.com/spreadsheets/d/1Uw7-A9f9R21vMXxHZFNpYNeKFtG8_yji4HS352LGlSQ/edit?pli=1#gid=0"",""1_ACUM!A4:S""),19,FALSE))"),"")</f>
        <v/>
      </c>
      <c r="AK477" s="98" t="str">
        <f ca="1">IFERROR(__xludf.DUMMYFUNCTION("IFERROR(VLOOKUP(F500,IMPORTRANGE(""https://docs.google.com/spreadsheets/d/1Kvs4KS76FHFqLFIZfrDMff4kP08nblUkihrxltoGBjg/edit#gid=934712705"",""ESENCIAL!A6:BG""),5,FALSE))"),"")</f>
        <v/>
      </c>
      <c r="AL477" s="98" t="str">
        <f t="shared" si="31"/>
        <v/>
      </c>
      <c r="AM477" s="99" t="str">
        <f t="shared" si="32"/>
        <v/>
      </c>
      <c r="AN477" s="100" t="str">
        <f ca="1">IFERROR(__xludf.DUMMYFUNCTION("IFERROR(VLOOKUP(F500,IMPORTRANGE(""https://docs.google.com/spreadsheets/d/1Kvs4KS76FHFqLFIZfrDMff4kP08nblUkihrxltoGBjg/edit#gid=934712705"",""ESENCIAL!A6:BG""),2,FALSE))"),"")</f>
        <v/>
      </c>
      <c r="AO477" s="19" t="str">
        <f t="shared" si="20"/>
        <v/>
      </c>
      <c r="AP477" s="100"/>
      <c r="AQ477" s="100"/>
    </row>
    <row r="478" spans="1:43" ht="15">
      <c r="A478" s="5"/>
      <c r="B478" s="5"/>
      <c r="G478" s="5" t="str">
        <f ca="1">IFERROR(__xludf.DUMMYFUNCTION("IFERROR(VLOOKUP(F501,IMPORTRANGE(""https://docs.google.com/spreadsheets/d/1Kvs4KS76FHFqLFIZfrDMff4kP08nblUkihrxltoGBjg/edit#gid=934712705"",""ESENCIAL!A6:BG""),3,FALSE))"),"")</f>
        <v/>
      </c>
      <c r="H478" s="5" t="str">
        <f ca="1">IFERROR(__xludf.DUMMYFUNCTION("IFERROR(VLOOKUP(F501,IMPORTRANGE(""https://docs.google.com/spreadsheets/d/1Kvs4KS76FHFqLFIZfrDMff4kP08nblUkihrxltoGBjg/edit#gid=934712705"",""ESENCIAL!A6:BG""),8,FALSE))"),"")</f>
        <v/>
      </c>
      <c r="L478" s="287"/>
      <c r="Z478" s="41" t="str">
        <f t="shared" si="30"/>
        <v/>
      </c>
      <c r="AA478" s="5" t="str">
        <f ca="1">IFERROR(__xludf.DUMMYFUNCTION("IFERROR(VLOOKUP(E501&amp;F501,IMPORTRANGE(""https://docs.google.com/spreadsheets/d/1Uw7-A9f9R21vMXxHZFNpYNeKFtG8_yji4HS352LGlSQ/edit?pli=1#gid=0"",""1_ACUM!A4:S""),11,FALSE))"),"")</f>
        <v/>
      </c>
      <c r="AB478" s="42" t="str">
        <f ca="1">IFERROR(__xludf.DUMMYFUNCTION("IFERROR(VLOOKUP(F501,IMPORTRANGE(""https://docs.google.com/spreadsheets/d/1Kvs4KS76FHFqLFIZfrDMff4kP08nblUkihrxltoGBjg/edit#gid=934712705"",""ESENCIAL!A6:BG""),15,FALSE))"),"")</f>
        <v/>
      </c>
      <c r="AC478" s="110" t="str">
        <f ca="1">IFERROR(__xludf.DUMMYFUNCTION("IFERROR(VLOOKUP(E501&amp;F501,IMPORTRANGE(""https://docs.google.com/spreadsheets/d/1Uw7-A9f9R21vMXxHZFNpYNeKFtG8_yji4HS352LGlSQ/edit?pli=1#gid=0"",""1_ACUM!A4:S""),13,FALSE))"),"")</f>
        <v/>
      </c>
      <c r="AD478" s="43" t="str">
        <f ca="1">IFERROR(__xludf.DUMMYFUNCTION("IFERROR(VLOOKUP(E501&amp;F501,IMPORTRANGE(""https://docs.google.com/spreadsheets/d/1Uw7-A9f9R21vMXxHZFNpYNeKFtG8_yji4HS352LGlSQ/edit?pli=1#gid=0"",""1_ACUM!A4:S""),13,FALSE))"),"")</f>
        <v/>
      </c>
      <c r="AE478" s="43" t="str">
        <f ca="1">IFERROR(__xludf.DUMMYFUNCTION("IFERROR(VLOOKUP(E501&amp;F501,IMPORTRANGE(""https://docs.google.com/spreadsheets/d/1Uw7-A9f9R21vMXxHZFNpYNeKFtG8_yji4HS352LGlSQ/edit?pli=1#gid=0"",""1_ACUM!A4:S""),14,FALSE))"),"")</f>
        <v/>
      </c>
      <c r="AF478" s="43" t="str">
        <f ca="1">IFERROR(__xludf.DUMMYFUNCTION("IFERROR(VLOOKUP(E501&amp;F501,IMPORTRANGE(""https://docs.google.com/spreadsheets/d/1Uw7-A9f9R21vMXxHZFNpYNeKFtG8_yji4HS352LGlSQ/edit?pli=1#gid=0"",""1_ACUM!A4:S""),15,FALSE))"),"")</f>
        <v/>
      </c>
      <c r="AG478" s="43" t="str">
        <f ca="1">IFERROR(__xludf.DUMMYFUNCTION("IFERROR(VLOOKUP(E501&amp;F501,IMPORTRANGE(""https://docs.google.com/spreadsheets/d/1Uw7-A9f9R21vMXxHZFNpYNeKFtG8_yji4HS352LGlSQ/edit?pli=1#gid=0"",""1_ACUM!A4:S""),16,FALSE))"),"")</f>
        <v/>
      </c>
      <c r="AH478" s="43" t="str">
        <f ca="1">IFERROR(__xludf.DUMMYFUNCTION("IFERROR(VLOOKUP(E501&amp;F501,IMPORTRANGE(""https://docs.google.com/spreadsheets/d/1Uw7-A9f9R21vMXxHZFNpYNeKFtG8_yji4HS352LGlSQ/edit?pli=1#gid=0"",""1_ACUM!A4:S""),17,FALSE))"),"")</f>
        <v/>
      </c>
      <c r="AI478" s="44" t="str">
        <f ca="1">IFERROR(__xludf.DUMMYFUNCTION("IFERROR(VLOOKUP(E501&amp;F501,IMPORTRANGE(""https://docs.google.com/spreadsheets/d/1Uw7-A9f9R21vMXxHZFNpYNeKFtG8_yji4HS352LGlSQ/edit?pli=1#gid=0"",""1_ACUM!A4:S""),18,FALSE))"),"")</f>
        <v/>
      </c>
      <c r="AJ478" s="44" t="str">
        <f ca="1">IFERROR(__xludf.DUMMYFUNCTION("IFERROR(VLOOKUP(E501&amp;F501,IMPORTRANGE(""https://docs.google.com/spreadsheets/d/1Uw7-A9f9R21vMXxHZFNpYNeKFtG8_yji4HS352LGlSQ/edit?pli=1#gid=0"",""1_ACUM!A4:S""),19,FALSE))"),"")</f>
        <v/>
      </c>
      <c r="AK478" s="98" t="str">
        <f ca="1">IFERROR(__xludf.DUMMYFUNCTION("IFERROR(VLOOKUP(F501,IMPORTRANGE(""https://docs.google.com/spreadsheets/d/1Kvs4KS76FHFqLFIZfrDMff4kP08nblUkihrxltoGBjg/edit#gid=934712705"",""ESENCIAL!A6:BG""),5,FALSE))"),"")</f>
        <v/>
      </c>
      <c r="AL478" s="98" t="str">
        <f t="shared" si="31"/>
        <v/>
      </c>
      <c r="AM478" s="99" t="str">
        <f t="shared" si="32"/>
        <v/>
      </c>
      <c r="AN478" s="100" t="str">
        <f ca="1">IFERROR(__xludf.DUMMYFUNCTION("IFERROR(VLOOKUP(F501,IMPORTRANGE(""https://docs.google.com/spreadsheets/d/1Kvs4KS76FHFqLFIZfrDMff4kP08nblUkihrxltoGBjg/edit#gid=934712705"",""ESENCIAL!A6:BG""),2,FALSE))"),"")</f>
        <v/>
      </c>
      <c r="AO478" s="19" t="str">
        <f t="shared" si="20"/>
        <v/>
      </c>
      <c r="AP478" s="100"/>
      <c r="AQ478" s="100"/>
    </row>
    <row r="479" spans="1:43" ht="15">
      <c r="A479" s="5"/>
      <c r="B479" s="5"/>
      <c r="G479" s="5" t="str">
        <f ca="1">IFERROR(__xludf.DUMMYFUNCTION("IFERROR(VLOOKUP(F502,IMPORTRANGE(""https://docs.google.com/spreadsheets/d/1Kvs4KS76FHFqLFIZfrDMff4kP08nblUkihrxltoGBjg/edit#gid=934712705"",""ESENCIAL!A6:BG""),3,FALSE))"),"")</f>
        <v/>
      </c>
      <c r="H479" s="5" t="str">
        <f ca="1">IFERROR(__xludf.DUMMYFUNCTION("IFERROR(VLOOKUP(F502,IMPORTRANGE(""https://docs.google.com/spreadsheets/d/1Kvs4KS76FHFqLFIZfrDMff4kP08nblUkihrxltoGBjg/edit#gid=934712705"",""ESENCIAL!A6:BG""),8,FALSE))"),"")</f>
        <v/>
      </c>
      <c r="L479" s="287"/>
      <c r="Z479" s="41" t="str">
        <f t="shared" si="30"/>
        <v/>
      </c>
      <c r="AA479" s="5" t="str">
        <f ca="1">IFERROR(__xludf.DUMMYFUNCTION("IFERROR(VLOOKUP(E502&amp;F502,IMPORTRANGE(""https://docs.google.com/spreadsheets/d/1Uw7-A9f9R21vMXxHZFNpYNeKFtG8_yji4HS352LGlSQ/edit?pli=1#gid=0"",""1_ACUM!A4:S""),11,FALSE))"),"")</f>
        <v/>
      </c>
      <c r="AB479" s="42" t="str">
        <f ca="1">IFERROR(__xludf.DUMMYFUNCTION("IFERROR(VLOOKUP(F502,IMPORTRANGE(""https://docs.google.com/spreadsheets/d/1Kvs4KS76FHFqLFIZfrDMff4kP08nblUkihrxltoGBjg/edit#gid=934712705"",""ESENCIAL!A6:BG""),15,FALSE))"),"")</f>
        <v/>
      </c>
      <c r="AC479" s="110" t="str">
        <f ca="1">IFERROR(__xludf.DUMMYFUNCTION("IFERROR(VLOOKUP(E502&amp;F502,IMPORTRANGE(""https://docs.google.com/spreadsheets/d/1Uw7-A9f9R21vMXxHZFNpYNeKFtG8_yji4HS352LGlSQ/edit?pli=1#gid=0"",""1_ACUM!A4:S""),13,FALSE))"),"")</f>
        <v/>
      </c>
      <c r="AD479" s="43" t="str">
        <f ca="1">IFERROR(__xludf.DUMMYFUNCTION("IFERROR(VLOOKUP(E502&amp;F502,IMPORTRANGE(""https://docs.google.com/spreadsheets/d/1Uw7-A9f9R21vMXxHZFNpYNeKFtG8_yji4HS352LGlSQ/edit?pli=1#gid=0"",""1_ACUM!A4:S""),13,FALSE))"),"")</f>
        <v/>
      </c>
      <c r="AE479" s="43" t="str">
        <f ca="1">IFERROR(__xludf.DUMMYFUNCTION("IFERROR(VLOOKUP(E502&amp;F502,IMPORTRANGE(""https://docs.google.com/spreadsheets/d/1Uw7-A9f9R21vMXxHZFNpYNeKFtG8_yji4HS352LGlSQ/edit?pli=1#gid=0"",""1_ACUM!A4:S""),14,FALSE))"),"")</f>
        <v/>
      </c>
      <c r="AF479" s="43" t="str">
        <f ca="1">IFERROR(__xludf.DUMMYFUNCTION("IFERROR(VLOOKUP(E502&amp;F502,IMPORTRANGE(""https://docs.google.com/spreadsheets/d/1Uw7-A9f9R21vMXxHZFNpYNeKFtG8_yji4HS352LGlSQ/edit?pli=1#gid=0"",""1_ACUM!A4:S""),15,FALSE))"),"")</f>
        <v/>
      </c>
      <c r="AG479" s="43" t="str">
        <f ca="1">IFERROR(__xludf.DUMMYFUNCTION("IFERROR(VLOOKUP(E502&amp;F502,IMPORTRANGE(""https://docs.google.com/spreadsheets/d/1Uw7-A9f9R21vMXxHZFNpYNeKFtG8_yji4HS352LGlSQ/edit?pli=1#gid=0"",""1_ACUM!A4:S""),16,FALSE))"),"")</f>
        <v/>
      </c>
      <c r="AH479" s="43" t="str">
        <f ca="1">IFERROR(__xludf.DUMMYFUNCTION("IFERROR(VLOOKUP(E502&amp;F502,IMPORTRANGE(""https://docs.google.com/spreadsheets/d/1Uw7-A9f9R21vMXxHZFNpYNeKFtG8_yji4HS352LGlSQ/edit?pli=1#gid=0"",""1_ACUM!A4:S""),17,FALSE))"),"")</f>
        <v/>
      </c>
      <c r="AI479" s="44" t="str">
        <f ca="1">IFERROR(__xludf.DUMMYFUNCTION("IFERROR(VLOOKUP(E502&amp;F502,IMPORTRANGE(""https://docs.google.com/spreadsheets/d/1Uw7-A9f9R21vMXxHZFNpYNeKFtG8_yji4HS352LGlSQ/edit?pli=1#gid=0"",""1_ACUM!A4:S""),18,FALSE))"),"")</f>
        <v/>
      </c>
      <c r="AJ479" s="44" t="str">
        <f ca="1">IFERROR(__xludf.DUMMYFUNCTION("IFERROR(VLOOKUP(E502&amp;F502,IMPORTRANGE(""https://docs.google.com/spreadsheets/d/1Uw7-A9f9R21vMXxHZFNpYNeKFtG8_yji4HS352LGlSQ/edit?pli=1#gid=0"",""1_ACUM!A4:S""),19,FALSE))"),"")</f>
        <v/>
      </c>
      <c r="AK479" s="98" t="str">
        <f ca="1">IFERROR(__xludf.DUMMYFUNCTION("IFERROR(VLOOKUP(F502,IMPORTRANGE(""https://docs.google.com/spreadsheets/d/1Kvs4KS76FHFqLFIZfrDMff4kP08nblUkihrxltoGBjg/edit#gid=934712705"",""ESENCIAL!A6:BG""),5,FALSE))"),"")</f>
        <v/>
      </c>
      <c r="AL479" s="98" t="str">
        <f t="shared" si="31"/>
        <v/>
      </c>
      <c r="AM479" s="99" t="str">
        <f t="shared" si="32"/>
        <v/>
      </c>
      <c r="AN479" s="100" t="str">
        <f ca="1">IFERROR(__xludf.DUMMYFUNCTION("IFERROR(VLOOKUP(F502,IMPORTRANGE(""https://docs.google.com/spreadsheets/d/1Kvs4KS76FHFqLFIZfrDMff4kP08nblUkihrxltoGBjg/edit#gid=934712705"",""ESENCIAL!A6:BG""),2,FALSE))"),"")</f>
        <v/>
      </c>
      <c r="AO479" s="19" t="str">
        <f t="shared" si="20"/>
        <v/>
      </c>
      <c r="AP479" s="100"/>
      <c r="AQ479" s="100"/>
    </row>
    <row r="480" spans="1:43" ht="15">
      <c r="A480" s="5"/>
      <c r="B480" s="5"/>
      <c r="G480" s="5" t="str">
        <f ca="1">IFERROR(__xludf.DUMMYFUNCTION("IFERROR(VLOOKUP(F503,IMPORTRANGE(""https://docs.google.com/spreadsheets/d/1Kvs4KS76FHFqLFIZfrDMff4kP08nblUkihrxltoGBjg/edit#gid=934712705"",""ESENCIAL!A6:BG""),3,FALSE))"),"")</f>
        <v/>
      </c>
      <c r="H480" s="5" t="str">
        <f ca="1">IFERROR(__xludf.DUMMYFUNCTION("IFERROR(VLOOKUP(F503,IMPORTRANGE(""https://docs.google.com/spreadsheets/d/1Kvs4KS76FHFqLFIZfrDMff4kP08nblUkihrxltoGBjg/edit#gid=934712705"",""ESENCIAL!A6:BG""),8,FALSE))"),"")</f>
        <v/>
      </c>
      <c r="L480" s="287"/>
      <c r="Z480" s="41" t="str">
        <f t="shared" si="30"/>
        <v/>
      </c>
      <c r="AA480" s="5" t="str">
        <f ca="1">IFERROR(__xludf.DUMMYFUNCTION("IFERROR(VLOOKUP(E503&amp;F503,IMPORTRANGE(""https://docs.google.com/spreadsheets/d/1Uw7-A9f9R21vMXxHZFNpYNeKFtG8_yji4HS352LGlSQ/edit?pli=1#gid=0"",""1_ACUM!A4:S""),11,FALSE))"),"")</f>
        <v/>
      </c>
      <c r="AB480" s="42" t="str">
        <f ca="1">IFERROR(__xludf.DUMMYFUNCTION("IFERROR(VLOOKUP(F503,IMPORTRANGE(""https://docs.google.com/spreadsheets/d/1Kvs4KS76FHFqLFIZfrDMff4kP08nblUkihrxltoGBjg/edit#gid=934712705"",""ESENCIAL!A6:BG""),15,FALSE))"),"")</f>
        <v/>
      </c>
      <c r="AC480" s="110" t="str">
        <f ca="1">IFERROR(__xludf.DUMMYFUNCTION("IFERROR(VLOOKUP(E503&amp;F503,IMPORTRANGE(""https://docs.google.com/spreadsheets/d/1Uw7-A9f9R21vMXxHZFNpYNeKFtG8_yji4HS352LGlSQ/edit?pli=1#gid=0"",""1_ACUM!A4:S""),13,FALSE))"),"")</f>
        <v/>
      </c>
      <c r="AD480" s="43" t="str">
        <f ca="1">IFERROR(__xludf.DUMMYFUNCTION("IFERROR(VLOOKUP(E503&amp;F503,IMPORTRANGE(""https://docs.google.com/spreadsheets/d/1Uw7-A9f9R21vMXxHZFNpYNeKFtG8_yji4HS352LGlSQ/edit?pli=1#gid=0"",""1_ACUM!A4:S""),13,FALSE))"),"")</f>
        <v/>
      </c>
      <c r="AE480" s="43" t="str">
        <f ca="1">IFERROR(__xludf.DUMMYFUNCTION("IFERROR(VLOOKUP(E503&amp;F503,IMPORTRANGE(""https://docs.google.com/spreadsheets/d/1Uw7-A9f9R21vMXxHZFNpYNeKFtG8_yji4HS352LGlSQ/edit?pli=1#gid=0"",""1_ACUM!A4:S""),14,FALSE))"),"")</f>
        <v/>
      </c>
      <c r="AF480" s="43" t="str">
        <f ca="1">IFERROR(__xludf.DUMMYFUNCTION("IFERROR(VLOOKUP(E503&amp;F503,IMPORTRANGE(""https://docs.google.com/spreadsheets/d/1Uw7-A9f9R21vMXxHZFNpYNeKFtG8_yji4HS352LGlSQ/edit?pli=1#gid=0"",""1_ACUM!A4:S""),15,FALSE))"),"")</f>
        <v/>
      </c>
      <c r="AG480" s="43" t="str">
        <f ca="1">IFERROR(__xludf.DUMMYFUNCTION("IFERROR(VLOOKUP(E503&amp;F503,IMPORTRANGE(""https://docs.google.com/spreadsheets/d/1Uw7-A9f9R21vMXxHZFNpYNeKFtG8_yji4HS352LGlSQ/edit?pli=1#gid=0"",""1_ACUM!A4:S""),16,FALSE))"),"")</f>
        <v/>
      </c>
      <c r="AH480" s="43" t="str">
        <f ca="1">IFERROR(__xludf.DUMMYFUNCTION("IFERROR(VLOOKUP(E503&amp;F503,IMPORTRANGE(""https://docs.google.com/spreadsheets/d/1Uw7-A9f9R21vMXxHZFNpYNeKFtG8_yji4HS352LGlSQ/edit?pli=1#gid=0"",""1_ACUM!A4:S""),17,FALSE))"),"")</f>
        <v/>
      </c>
      <c r="AI480" s="44" t="str">
        <f ca="1">IFERROR(__xludf.DUMMYFUNCTION("IFERROR(VLOOKUP(E503&amp;F503,IMPORTRANGE(""https://docs.google.com/spreadsheets/d/1Uw7-A9f9R21vMXxHZFNpYNeKFtG8_yji4HS352LGlSQ/edit?pli=1#gid=0"",""1_ACUM!A4:S""),18,FALSE))"),"")</f>
        <v/>
      </c>
      <c r="AJ480" s="44" t="str">
        <f ca="1">IFERROR(__xludf.DUMMYFUNCTION("IFERROR(VLOOKUP(E503&amp;F503,IMPORTRANGE(""https://docs.google.com/spreadsheets/d/1Uw7-A9f9R21vMXxHZFNpYNeKFtG8_yji4HS352LGlSQ/edit?pli=1#gid=0"",""1_ACUM!A4:S""),19,FALSE))"),"")</f>
        <v/>
      </c>
      <c r="AK480" s="98" t="str">
        <f ca="1">IFERROR(__xludf.DUMMYFUNCTION("IFERROR(VLOOKUP(F503,IMPORTRANGE(""https://docs.google.com/spreadsheets/d/1Kvs4KS76FHFqLFIZfrDMff4kP08nblUkihrxltoGBjg/edit#gid=934712705"",""ESENCIAL!A6:BG""),5,FALSE))"),"")</f>
        <v/>
      </c>
      <c r="AL480" s="98" t="str">
        <f t="shared" si="31"/>
        <v/>
      </c>
      <c r="AM480" s="99" t="str">
        <f t="shared" si="32"/>
        <v/>
      </c>
      <c r="AN480" s="100" t="str">
        <f ca="1">IFERROR(__xludf.DUMMYFUNCTION("IFERROR(VLOOKUP(F503,IMPORTRANGE(""https://docs.google.com/spreadsheets/d/1Kvs4KS76FHFqLFIZfrDMff4kP08nblUkihrxltoGBjg/edit#gid=934712705"",""ESENCIAL!A6:BG""),2,FALSE))"),"")</f>
        <v/>
      </c>
      <c r="AO480" s="19" t="str">
        <f t="shared" si="20"/>
        <v/>
      </c>
      <c r="AP480" s="100"/>
      <c r="AQ480" s="100"/>
    </row>
    <row r="481" spans="1:43" ht="15">
      <c r="A481" s="5"/>
      <c r="B481" s="5"/>
      <c r="G481" s="5" t="str">
        <f ca="1">IFERROR(__xludf.DUMMYFUNCTION("IFERROR(VLOOKUP(F504,IMPORTRANGE(""https://docs.google.com/spreadsheets/d/1Kvs4KS76FHFqLFIZfrDMff4kP08nblUkihrxltoGBjg/edit#gid=934712705"",""ESENCIAL!A6:BG""),3,FALSE))"),"")</f>
        <v/>
      </c>
      <c r="H481" s="5" t="str">
        <f ca="1">IFERROR(__xludf.DUMMYFUNCTION("IFERROR(VLOOKUP(F504,IMPORTRANGE(""https://docs.google.com/spreadsheets/d/1Kvs4KS76FHFqLFIZfrDMff4kP08nblUkihrxltoGBjg/edit#gid=934712705"",""ESENCIAL!A6:BG""),8,FALSE))"),"")</f>
        <v/>
      </c>
      <c r="L481" s="287"/>
      <c r="Z481" s="41" t="str">
        <f t="shared" si="30"/>
        <v/>
      </c>
      <c r="AA481" s="5" t="str">
        <f ca="1">IFERROR(__xludf.DUMMYFUNCTION("IFERROR(VLOOKUP(E504&amp;F504,IMPORTRANGE(""https://docs.google.com/spreadsheets/d/1Uw7-A9f9R21vMXxHZFNpYNeKFtG8_yji4HS352LGlSQ/edit?pli=1#gid=0"",""1_ACUM!A4:S""),11,FALSE))"),"")</f>
        <v/>
      </c>
      <c r="AB481" s="42" t="str">
        <f ca="1">IFERROR(__xludf.DUMMYFUNCTION("IFERROR(VLOOKUP(F504,IMPORTRANGE(""https://docs.google.com/spreadsheets/d/1Kvs4KS76FHFqLFIZfrDMff4kP08nblUkihrxltoGBjg/edit#gid=934712705"",""ESENCIAL!A6:BG""),15,FALSE))"),"")</f>
        <v/>
      </c>
      <c r="AC481" s="110" t="str">
        <f ca="1">IFERROR(__xludf.DUMMYFUNCTION("IFERROR(VLOOKUP(E504&amp;F504,IMPORTRANGE(""https://docs.google.com/spreadsheets/d/1Uw7-A9f9R21vMXxHZFNpYNeKFtG8_yji4HS352LGlSQ/edit?pli=1#gid=0"",""1_ACUM!A4:S""),13,FALSE))"),"")</f>
        <v/>
      </c>
      <c r="AD481" s="43" t="str">
        <f ca="1">IFERROR(__xludf.DUMMYFUNCTION("IFERROR(VLOOKUP(E504&amp;F504,IMPORTRANGE(""https://docs.google.com/spreadsheets/d/1Uw7-A9f9R21vMXxHZFNpYNeKFtG8_yji4HS352LGlSQ/edit?pli=1#gid=0"",""1_ACUM!A4:S""),13,FALSE))"),"")</f>
        <v/>
      </c>
      <c r="AE481" s="43" t="str">
        <f ca="1">IFERROR(__xludf.DUMMYFUNCTION("IFERROR(VLOOKUP(E504&amp;F504,IMPORTRANGE(""https://docs.google.com/spreadsheets/d/1Uw7-A9f9R21vMXxHZFNpYNeKFtG8_yji4HS352LGlSQ/edit?pli=1#gid=0"",""1_ACUM!A4:S""),14,FALSE))"),"")</f>
        <v/>
      </c>
      <c r="AF481" s="43" t="str">
        <f ca="1">IFERROR(__xludf.DUMMYFUNCTION("IFERROR(VLOOKUP(E504&amp;F504,IMPORTRANGE(""https://docs.google.com/spreadsheets/d/1Uw7-A9f9R21vMXxHZFNpYNeKFtG8_yji4HS352LGlSQ/edit?pli=1#gid=0"",""1_ACUM!A4:S""),15,FALSE))"),"")</f>
        <v/>
      </c>
      <c r="AG481" s="43" t="str">
        <f ca="1">IFERROR(__xludf.DUMMYFUNCTION("IFERROR(VLOOKUP(E504&amp;F504,IMPORTRANGE(""https://docs.google.com/spreadsheets/d/1Uw7-A9f9R21vMXxHZFNpYNeKFtG8_yji4HS352LGlSQ/edit?pli=1#gid=0"",""1_ACUM!A4:S""),16,FALSE))"),"")</f>
        <v/>
      </c>
      <c r="AH481" s="43" t="str">
        <f ca="1">IFERROR(__xludf.DUMMYFUNCTION("IFERROR(VLOOKUP(E504&amp;F504,IMPORTRANGE(""https://docs.google.com/spreadsheets/d/1Uw7-A9f9R21vMXxHZFNpYNeKFtG8_yji4HS352LGlSQ/edit?pli=1#gid=0"",""1_ACUM!A4:S""),17,FALSE))"),"")</f>
        <v/>
      </c>
      <c r="AI481" s="44" t="str">
        <f ca="1">IFERROR(__xludf.DUMMYFUNCTION("IFERROR(VLOOKUP(E504&amp;F504,IMPORTRANGE(""https://docs.google.com/spreadsheets/d/1Uw7-A9f9R21vMXxHZFNpYNeKFtG8_yji4HS352LGlSQ/edit?pli=1#gid=0"",""1_ACUM!A4:S""),18,FALSE))"),"")</f>
        <v/>
      </c>
      <c r="AJ481" s="44" t="str">
        <f ca="1">IFERROR(__xludf.DUMMYFUNCTION("IFERROR(VLOOKUP(E504&amp;F504,IMPORTRANGE(""https://docs.google.com/spreadsheets/d/1Uw7-A9f9R21vMXxHZFNpYNeKFtG8_yji4HS352LGlSQ/edit?pli=1#gid=0"",""1_ACUM!A4:S""),19,FALSE))"),"")</f>
        <v/>
      </c>
      <c r="AK481" s="98" t="str">
        <f ca="1">IFERROR(__xludf.DUMMYFUNCTION("IFERROR(VLOOKUP(F504,IMPORTRANGE(""https://docs.google.com/spreadsheets/d/1Kvs4KS76FHFqLFIZfrDMff4kP08nblUkihrxltoGBjg/edit#gid=934712705"",""ESENCIAL!A6:BG""),5,FALSE))"),"")</f>
        <v/>
      </c>
      <c r="AL481" s="98" t="str">
        <f t="shared" si="31"/>
        <v/>
      </c>
      <c r="AM481" s="99" t="str">
        <f t="shared" si="32"/>
        <v/>
      </c>
      <c r="AN481" s="100" t="str">
        <f ca="1">IFERROR(__xludf.DUMMYFUNCTION("IFERROR(VLOOKUP(F504,IMPORTRANGE(""https://docs.google.com/spreadsheets/d/1Kvs4KS76FHFqLFIZfrDMff4kP08nblUkihrxltoGBjg/edit#gid=934712705"",""ESENCIAL!A6:BG""),2,FALSE))"),"")</f>
        <v/>
      </c>
      <c r="AO481" s="19" t="str">
        <f t="shared" si="20"/>
        <v/>
      </c>
      <c r="AP481" s="100"/>
      <c r="AQ481" s="100"/>
    </row>
    <row r="482" spans="1:43" ht="15">
      <c r="A482" s="5"/>
      <c r="B482" s="5"/>
      <c r="G482" s="5" t="str">
        <f ca="1">IFERROR(__xludf.DUMMYFUNCTION("IFERROR(VLOOKUP(F505,IMPORTRANGE(""https://docs.google.com/spreadsheets/d/1Kvs4KS76FHFqLFIZfrDMff4kP08nblUkihrxltoGBjg/edit#gid=934712705"",""ESENCIAL!A6:BG""),3,FALSE))"),"")</f>
        <v/>
      </c>
      <c r="H482" s="5" t="str">
        <f ca="1">IFERROR(__xludf.DUMMYFUNCTION("IFERROR(VLOOKUP(F505,IMPORTRANGE(""https://docs.google.com/spreadsheets/d/1Kvs4KS76FHFqLFIZfrDMff4kP08nblUkihrxltoGBjg/edit#gid=934712705"",""ESENCIAL!A6:BG""),8,FALSE))"),"")</f>
        <v/>
      </c>
      <c r="L482" s="287"/>
      <c r="Z482" s="41" t="str">
        <f t="shared" si="30"/>
        <v/>
      </c>
      <c r="AA482" s="5" t="str">
        <f ca="1">IFERROR(__xludf.DUMMYFUNCTION("IFERROR(VLOOKUP(E505&amp;F505,IMPORTRANGE(""https://docs.google.com/spreadsheets/d/1Uw7-A9f9R21vMXxHZFNpYNeKFtG8_yji4HS352LGlSQ/edit?pli=1#gid=0"",""1_ACUM!A4:S""),11,FALSE))"),"")</f>
        <v/>
      </c>
      <c r="AB482" s="42" t="str">
        <f ca="1">IFERROR(__xludf.DUMMYFUNCTION("IFERROR(VLOOKUP(F505,IMPORTRANGE(""https://docs.google.com/spreadsheets/d/1Kvs4KS76FHFqLFIZfrDMff4kP08nblUkihrxltoGBjg/edit#gid=934712705"",""ESENCIAL!A6:BG""),15,FALSE))"),"")</f>
        <v/>
      </c>
      <c r="AC482" s="110" t="str">
        <f ca="1">IFERROR(__xludf.DUMMYFUNCTION("IFERROR(VLOOKUP(E505&amp;F505,IMPORTRANGE(""https://docs.google.com/spreadsheets/d/1Uw7-A9f9R21vMXxHZFNpYNeKFtG8_yji4HS352LGlSQ/edit?pli=1#gid=0"",""1_ACUM!A4:S""),13,FALSE))"),"")</f>
        <v/>
      </c>
      <c r="AD482" s="43" t="str">
        <f ca="1">IFERROR(__xludf.DUMMYFUNCTION("IFERROR(VLOOKUP(E505&amp;F505,IMPORTRANGE(""https://docs.google.com/spreadsheets/d/1Uw7-A9f9R21vMXxHZFNpYNeKFtG8_yji4HS352LGlSQ/edit?pli=1#gid=0"",""1_ACUM!A4:S""),13,FALSE))"),"")</f>
        <v/>
      </c>
      <c r="AE482" s="43" t="str">
        <f ca="1">IFERROR(__xludf.DUMMYFUNCTION("IFERROR(VLOOKUP(E505&amp;F505,IMPORTRANGE(""https://docs.google.com/spreadsheets/d/1Uw7-A9f9R21vMXxHZFNpYNeKFtG8_yji4HS352LGlSQ/edit?pli=1#gid=0"",""1_ACUM!A4:S""),14,FALSE))"),"")</f>
        <v/>
      </c>
      <c r="AF482" s="43" t="str">
        <f ca="1">IFERROR(__xludf.DUMMYFUNCTION("IFERROR(VLOOKUP(E505&amp;F505,IMPORTRANGE(""https://docs.google.com/spreadsheets/d/1Uw7-A9f9R21vMXxHZFNpYNeKFtG8_yji4HS352LGlSQ/edit?pli=1#gid=0"",""1_ACUM!A4:S""),15,FALSE))"),"")</f>
        <v/>
      </c>
      <c r="AG482" s="43" t="str">
        <f ca="1">IFERROR(__xludf.DUMMYFUNCTION("IFERROR(VLOOKUP(E505&amp;F505,IMPORTRANGE(""https://docs.google.com/spreadsheets/d/1Uw7-A9f9R21vMXxHZFNpYNeKFtG8_yji4HS352LGlSQ/edit?pli=1#gid=0"",""1_ACUM!A4:S""),16,FALSE))"),"")</f>
        <v/>
      </c>
      <c r="AH482" s="43" t="str">
        <f ca="1">IFERROR(__xludf.DUMMYFUNCTION("IFERROR(VLOOKUP(E505&amp;F505,IMPORTRANGE(""https://docs.google.com/spreadsheets/d/1Uw7-A9f9R21vMXxHZFNpYNeKFtG8_yji4HS352LGlSQ/edit?pli=1#gid=0"",""1_ACUM!A4:S""),17,FALSE))"),"")</f>
        <v/>
      </c>
      <c r="AI482" s="44" t="str">
        <f ca="1">IFERROR(__xludf.DUMMYFUNCTION("IFERROR(VLOOKUP(E505&amp;F505,IMPORTRANGE(""https://docs.google.com/spreadsheets/d/1Uw7-A9f9R21vMXxHZFNpYNeKFtG8_yji4HS352LGlSQ/edit?pli=1#gid=0"",""1_ACUM!A4:S""),18,FALSE))"),"")</f>
        <v/>
      </c>
      <c r="AJ482" s="44" t="str">
        <f ca="1">IFERROR(__xludf.DUMMYFUNCTION("IFERROR(VLOOKUP(E505&amp;F505,IMPORTRANGE(""https://docs.google.com/spreadsheets/d/1Uw7-A9f9R21vMXxHZFNpYNeKFtG8_yji4HS352LGlSQ/edit?pli=1#gid=0"",""1_ACUM!A4:S""),19,FALSE))"),"")</f>
        <v/>
      </c>
      <c r="AK482" s="98" t="str">
        <f ca="1">IFERROR(__xludf.DUMMYFUNCTION("IFERROR(VLOOKUP(F505,IMPORTRANGE(""https://docs.google.com/spreadsheets/d/1Kvs4KS76FHFqLFIZfrDMff4kP08nblUkihrxltoGBjg/edit#gid=934712705"",""ESENCIAL!A6:BG""),5,FALSE))"),"")</f>
        <v/>
      </c>
      <c r="AL482" s="98" t="str">
        <f t="shared" si="31"/>
        <v/>
      </c>
      <c r="AM482" s="99" t="str">
        <f t="shared" si="32"/>
        <v/>
      </c>
      <c r="AN482" s="100" t="str">
        <f ca="1">IFERROR(__xludf.DUMMYFUNCTION("IFERROR(VLOOKUP(F505,IMPORTRANGE(""https://docs.google.com/spreadsheets/d/1Kvs4KS76FHFqLFIZfrDMff4kP08nblUkihrxltoGBjg/edit#gid=934712705"",""ESENCIAL!A6:BG""),2,FALSE))"),"")</f>
        <v/>
      </c>
      <c r="AO482" s="19" t="str">
        <f t="shared" si="20"/>
        <v/>
      </c>
      <c r="AP482" s="100"/>
      <c r="AQ482" s="100"/>
    </row>
    <row r="483" spans="1:43" ht="15">
      <c r="A483" s="5"/>
      <c r="B483" s="5"/>
      <c r="G483" s="5" t="str">
        <f ca="1">IFERROR(__xludf.DUMMYFUNCTION("IFERROR(VLOOKUP(F506,IMPORTRANGE(""https://docs.google.com/spreadsheets/d/1Kvs4KS76FHFqLFIZfrDMff4kP08nblUkihrxltoGBjg/edit#gid=934712705"",""ESENCIAL!A6:BG""),3,FALSE))"),"")</f>
        <v/>
      </c>
      <c r="H483" s="5" t="str">
        <f ca="1">IFERROR(__xludf.DUMMYFUNCTION("IFERROR(VLOOKUP(F506,IMPORTRANGE(""https://docs.google.com/spreadsheets/d/1Kvs4KS76FHFqLFIZfrDMff4kP08nblUkihrxltoGBjg/edit#gid=934712705"",""ESENCIAL!A6:BG""),8,FALSE))"),"")</f>
        <v/>
      </c>
      <c r="L483" s="287"/>
      <c r="Z483" s="41" t="str">
        <f t="shared" si="30"/>
        <v/>
      </c>
      <c r="AA483" s="5" t="str">
        <f ca="1">IFERROR(__xludf.DUMMYFUNCTION("IFERROR(VLOOKUP(E506&amp;F506,IMPORTRANGE(""https://docs.google.com/spreadsheets/d/1Uw7-A9f9R21vMXxHZFNpYNeKFtG8_yji4HS352LGlSQ/edit?pli=1#gid=0"",""1_ACUM!A4:S""),11,FALSE))"),"")</f>
        <v/>
      </c>
      <c r="AB483" s="42" t="str">
        <f ca="1">IFERROR(__xludf.DUMMYFUNCTION("IFERROR(VLOOKUP(F506,IMPORTRANGE(""https://docs.google.com/spreadsheets/d/1Kvs4KS76FHFqLFIZfrDMff4kP08nblUkihrxltoGBjg/edit#gid=934712705"",""ESENCIAL!A6:BG""),15,FALSE))"),"")</f>
        <v/>
      </c>
      <c r="AC483" s="110" t="str">
        <f ca="1">IFERROR(__xludf.DUMMYFUNCTION("IFERROR(VLOOKUP(E506&amp;F506,IMPORTRANGE(""https://docs.google.com/spreadsheets/d/1Uw7-A9f9R21vMXxHZFNpYNeKFtG8_yji4HS352LGlSQ/edit?pli=1#gid=0"",""1_ACUM!A4:S""),13,FALSE))"),"")</f>
        <v/>
      </c>
      <c r="AD483" s="43" t="str">
        <f ca="1">IFERROR(__xludf.DUMMYFUNCTION("IFERROR(VLOOKUP(E506&amp;F506,IMPORTRANGE(""https://docs.google.com/spreadsheets/d/1Uw7-A9f9R21vMXxHZFNpYNeKFtG8_yji4HS352LGlSQ/edit?pli=1#gid=0"",""1_ACUM!A4:S""),13,FALSE))"),"")</f>
        <v/>
      </c>
      <c r="AE483" s="43" t="str">
        <f ca="1">IFERROR(__xludf.DUMMYFUNCTION("IFERROR(VLOOKUP(E506&amp;F506,IMPORTRANGE(""https://docs.google.com/spreadsheets/d/1Uw7-A9f9R21vMXxHZFNpYNeKFtG8_yji4HS352LGlSQ/edit?pli=1#gid=0"",""1_ACUM!A4:S""),14,FALSE))"),"")</f>
        <v/>
      </c>
      <c r="AF483" s="43" t="str">
        <f ca="1">IFERROR(__xludf.DUMMYFUNCTION("IFERROR(VLOOKUP(E506&amp;F506,IMPORTRANGE(""https://docs.google.com/spreadsheets/d/1Uw7-A9f9R21vMXxHZFNpYNeKFtG8_yji4HS352LGlSQ/edit?pli=1#gid=0"",""1_ACUM!A4:S""),15,FALSE))"),"")</f>
        <v/>
      </c>
      <c r="AG483" s="43" t="str">
        <f ca="1">IFERROR(__xludf.DUMMYFUNCTION("IFERROR(VLOOKUP(E506&amp;F506,IMPORTRANGE(""https://docs.google.com/spreadsheets/d/1Uw7-A9f9R21vMXxHZFNpYNeKFtG8_yji4HS352LGlSQ/edit?pli=1#gid=0"",""1_ACUM!A4:S""),16,FALSE))"),"")</f>
        <v/>
      </c>
      <c r="AH483" s="43" t="str">
        <f ca="1">IFERROR(__xludf.DUMMYFUNCTION("IFERROR(VLOOKUP(E506&amp;F506,IMPORTRANGE(""https://docs.google.com/spreadsheets/d/1Uw7-A9f9R21vMXxHZFNpYNeKFtG8_yji4HS352LGlSQ/edit?pli=1#gid=0"",""1_ACUM!A4:S""),17,FALSE))"),"")</f>
        <v/>
      </c>
      <c r="AI483" s="44" t="str">
        <f ca="1">IFERROR(__xludf.DUMMYFUNCTION("IFERROR(VLOOKUP(E506&amp;F506,IMPORTRANGE(""https://docs.google.com/spreadsheets/d/1Uw7-A9f9R21vMXxHZFNpYNeKFtG8_yji4HS352LGlSQ/edit?pli=1#gid=0"",""1_ACUM!A4:S""),18,FALSE))"),"")</f>
        <v/>
      </c>
      <c r="AJ483" s="44" t="str">
        <f ca="1">IFERROR(__xludf.DUMMYFUNCTION("IFERROR(VLOOKUP(E506&amp;F506,IMPORTRANGE(""https://docs.google.com/spreadsheets/d/1Uw7-A9f9R21vMXxHZFNpYNeKFtG8_yji4HS352LGlSQ/edit?pli=1#gid=0"",""1_ACUM!A4:S""),19,FALSE))"),"")</f>
        <v/>
      </c>
      <c r="AK483" s="98" t="str">
        <f ca="1">IFERROR(__xludf.DUMMYFUNCTION("IFERROR(VLOOKUP(F506,IMPORTRANGE(""https://docs.google.com/spreadsheets/d/1Kvs4KS76FHFqLFIZfrDMff4kP08nblUkihrxltoGBjg/edit#gid=934712705"",""ESENCIAL!A6:BG""),5,FALSE))"),"")</f>
        <v/>
      </c>
      <c r="AL483" s="98" t="str">
        <f t="shared" si="31"/>
        <v/>
      </c>
      <c r="AM483" s="99" t="str">
        <f t="shared" si="32"/>
        <v/>
      </c>
      <c r="AN483" s="100" t="str">
        <f ca="1">IFERROR(__xludf.DUMMYFUNCTION("IFERROR(VLOOKUP(F506,IMPORTRANGE(""https://docs.google.com/spreadsheets/d/1Kvs4KS76FHFqLFIZfrDMff4kP08nblUkihrxltoGBjg/edit#gid=934712705"",""ESENCIAL!A6:BG""),2,FALSE))"),"")</f>
        <v/>
      </c>
      <c r="AO483" s="19" t="str">
        <f t="shared" si="20"/>
        <v/>
      </c>
      <c r="AP483" s="100"/>
      <c r="AQ483" s="100"/>
    </row>
    <row r="484" spans="1:43" ht="15">
      <c r="A484" s="5"/>
      <c r="B484" s="5"/>
      <c r="G484" s="5" t="str">
        <f ca="1">IFERROR(__xludf.DUMMYFUNCTION("IFERROR(VLOOKUP(F507,IMPORTRANGE(""https://docs.google.com/spreadsheets/d/1Kvs4KS76FHFqLFIZfrDMff4kP08nblUkihrxltoGBjg/edit#gid=934712705"",""ESENCIAL!A6:BG""),3,FALSE))"),"")</f>
        <v/>
      </c>
      <c r="H484" s="5" t="str">
        <f ca="1">IFERROR(__xludf.DUMMYFUNCTION("IFERROR(VLOOKUP(F507,IMPORTRANGE(""https://docs.google.com/spreadsheets/d/1Kvs4KS76FHFqLFIZfrDMff4kP08nblUkihrxltoGBjg/edit#gid=934712705"",""ESENCIAL!A6:BG""),8,FALSE))"),"")</f>
        <v/>
      </c>
      <c r="L484" s="287"/>
      <c r="Z484" s="41" t="str">
        <f t="shared" si="30"/>
        <v/>
      </c>
      <c r="AA484" s="5" t="str">
        <f ca="1">IFERROR(__xludf.DUMMYFUNCTION("IFERROR(VLOOKUP(E507&amp;F507,IMPORTRANGE(""https://docs.google.com/spreadsheets/d/1Uw7-A9f9R21vMXxHZFNpYNeKFtG8_yji4HS352LGlSQ/edit?pli=1#gid=0"",""1_ACUM!A4:S""),11,FALSE))"),"")</f>
        <v/>
      </c>
      <c r="AB484" s="42" t="str">
        <f ca="1">IFERROR(__xludf.DUMMYFUNCTION("IFERROR(VLOOKUP(F507,IMPORTRANGE(""https://docs.google.com/spreadsheets/d/1Kvs4KS76FHFqLFIZfrDMff4kP08nblUkihrxltoGBjg/edit#gid=934712705"",""ESENCIAL!A6:BG""),15,FALSE))"),"")</f>
        <v/>
      </c>
      <c r="AC484" s="110" t="str">
        <f ca="1">IFERROR(__xludf.DUMMYFUNCTION("IFERROR(VLOOKUP(E507&amp;F507,IMPORTRANGE(""https://docs.google.com/spreadsheets/d/1Uw7-A9f9R21vMXxHZFNpYNeKFtG8_yji4HS352LGlSQ/edit?pli=1#gid=0"",""1_ACUM!A4:S""),13,FALSE))"),"")</f>
        <v/>
      </c>
      <c r="AD484" s="43" t="str">
        <f ca="1">IFERROR(__xludf.DUMMYFUNCTION("IFERROR(VLOOKUP(E507&amp;F507,IMPORTRANGE(""https://docs.google.com/spreadsheets/d/1Uw7-A9f9R21vMXxHZFNpYNeKFtG8_yji4HS352LGlSQ/edit?pli=1#gid=0"",""1_ACUM!A4:S""),13,FALSE))"),"")</f>
        <v/>
      </c>
      <c r="AE484" s="43" t="str">
        <f ca="1">IFERROR(__xludf.DUMMYFUNCTION("IFERROR(VLOOKUP(E507&amp;F507,IMPORTRANGE(""https://docs.google.com/spreadsheets/d/1Uw7-A9f9R21vMXxHZFNpYNeKFtG8_yji4HS352LGlSQ/edit?pli=1#gid=0"",""1_ACUM!A4:S""),14,FALSE))"),"")</f>
        <v/>
      </c>
      <c r="AF484" s="43" t="str">
        <f ca="1">IFERROR(__xludf.DUMMYFUNCTION("IFERROR(VLOOKUP(E507&amp;F507,IMPORTRANGE(""https://docs.google.com/spreadsheets/d/1Uw7-A9f9R21vMXxHZFNpYNeKFtG8_yji4HS352LGlSQ/edit?pli=1#gid=0"",""1_ACUM!A4:S""),15,FALSE))"),"")</f>
        <v/>
      </c>
      <c r="AG484" s="43" t="str">
        <f ca="1">IFERROR(__xludf.DUMMYFUNCTION("IFERROR(VLOOKUP(E507&amp;F507,IMPORTRANGE(""https://docs.google.com/spreadsheets/d/1Uw7-A9f9R21vMXxHZFNpYNeKFtG8_yji4HS352LGlSQ/edit?pli=1#gid=0"",""1_ACUM!A4:S""),16,FALSE))"),"")</f>
        <v/>
      </c>
      <c r="AH484" s="43" t="str">
        <f ca="1">IFERROR(__xludf.DUMMYFUNCTION("IFERROR(VLOOKUP(E507&amp;F507,IMPORTRANGE(""https://docs.google.com/spreadsheets/d/1Uw7-A9f9R21vMXxHZFNpYNeKFtG8_yji4HS352LGlSQ/edit?pli=1#gid=0"",""1_ACUM!A4:S""),17,FALSE))"),"")</f>
        <v/>
      </c>
      <c r="AI484" s="44" t="str">
        <f ca="1">IFERROR(__xludf.DUMMYFUNCTION("IFERROR(VLOOKUP(E507&amp;F507,IMPORTRANGE(""https://docs.google.com/spreadsheets/d/1Uw7-A9f9R21vMXxHZFNpYNeKFtG8_yji4HS352LGlSQ/edit?pli=1#gid=0"",""1_ACUM!A4:S""),18,FALSE))"),"")</f>
        <v/>
      </c>
      <c r="AJ484" s="44" t="str">
        <f ca="1">IFERROR(__xludf.DUMMYFUNCTION("IFERROR(VLOOKUP(E507&amp;F507,IMPORTRANGE(""https://docs.google.com/spreadsheets/d/1Uw7-A9f9R21vMXxHZFNpYNeKFtG8_yji4HS352LGlSQ/edit?pli=1#gid=0"",""1_ACUM!A4:S""),19,FALSE))"),"")</f>
        <v/>
      </c>
      <c r="AK484" s="98" t="str">
        <f ca="1">IFERROR(__xludf.DUMMYFUNCTION("IFERROR(VLOOKUP(F507,IMPORTRANGE(""https://docs.google.com/spreadsheets/d/1Kvs4KS76FHFqLFIZfrDMff4kP08nblUkihrxltoGBjg/edit#gid=934712705"",""ESENCIAL!A6:BG""),5,FALSE))"),"")</f>
        <v/>
      </c>
      <c r="AL484" s="98" t="str">
        <f t="shared" si="31"/>
        <v/>
      </c>
      <c r="AM484" s="99" t="str">
        <f t="shared" si="32"/>
        <v/>
      </c>
      <c r="AN484" s="100" t="str">
        <f ca="1">IFERROR(__xludf.DUMMYFUNCTION("IFERROR(VLOOKUP(F507,IMPORTRANGE(""https://docs.google.com/spreadsheets/d/1Kvs4KS76FHFqLFIZfrDMff4kP08nblUkihrxltoGBjg/edit#gid=934712705"",""ESENCIAL!A6:BG""),2,FALSE))"),"")</f>
        <v/>
      </c>
      <c r="AO484" s="19" t="str">
        <f t="shared" si="20"/>
        <v/>
      </c>
      <c r="AP484" s="100"/>
      <c r="AQ484" s="100"/>
    </row>
    <row r="485" spans="1:43" ht="15">
      <c r="A485" s="5"/>
      <c r="B485" s="5"/>
      <c r="G485" s="5" t="str">
        <f ca="1">IFERROR(__xludf.DUMMYFUNCTION("IFERROR(VLOOKUP(F508,IMPORTRANGE(""https://docs.google.com/spreadsheets/d/1Kvs4KS76FHFqLFIZfrDMff4kP08nblUkihrxltoGBjg/edit#gid=934712705"",""ESENCIAL!A6:BG""),3,FALSE))"),"")</f>
        <v/>
      </c>
      <c r="H485" s="5" t="str">
        <f ca="1">IFERROR(__xludf.DUMMYFUNCTION("IFERROR(VLOOKUP(F508,IMPORTRANGE(""https://docs.google.com/spreadsheets/d/1Kvs4KS76FHFqLFIZfrDMff4kP08nblUkihrxltoGBjg/edit#gid=934712705"",""ESENCIAL!A6:BG""),8,FALSE))"),"")</f>
        <v/>
      </c>
      <c r="L485" s="287"/>
      <c r="Z485" s="41" t="str">
        <f t="shared" si="30"/>
        <v/>
      </c>
      <c r="AA485" s="5" t="str">
        <f ca="1">IFERROR(__xludf.DUMMYFUNCTION("IFERROR(VLOOKUP(E508&amp;F508,IMPORTRANGE(""https://docs.google.com/spreadsheets/d/1Uw7-A9f9R21vMXxHZFNpYNeKFtG8_yji4HS352LGlSQ/edit?pli=1#gid=0"",""1_ACUM!A4:S""),11,FALSE))"),"")</f>
        <v/>
      </c>
      <c r="AB485" s="42" t="str">
        <f ca="1">IFERROR(__xludf.DUMMYFUNCTION("IFERROR(VLOOKUP(F508,IMPORTRANGE(""https://docs.google.com/spreadsheets/d/1Kvs4KS76FHFqLFIZfrDMff4kP08nblUkihrxltoGBjg/edit#gid=934712705"",""ESENCIAL!A6:BG""),15,FALSE))"),"")</f>
        <v/>
      </c>
      <c r="AC485" s="110" t="str">
        <f ca="1">IFERROR(__xludf.DUMMYFUNCTION("IFERROR(VLOOKUP(E508&amp;F508,IMPORTRANGE(""https://docs.google.com/spreadsheets/d/1Uw7-A9f9R21vMXxHZFNpYNeKFtG8_yji4HS352LGlSQ/edit?pli=1#gid=0"",""1_ACUM!A4:S""),13,FALSE))"),"")</f>
        <v/>
      </c>
      <c r="AD485" s="43" t="str">
        <f ca="1">IFERROR(__xludf.DUMMYFUNCTION("IFERROR(VLOOKUP(E508&amp;F508,IMPORTRANGE(""https://docs.google.com/spreadsheets/d/1Uw7-A9f9R21vMXxHZFNpYNeKFtG8_yji4HS352LGlSQ/edit?pli=1#gid=0"",""1_ACUM!A4:S""),13,FALSE))"),"")</f>
        <v/>
      </c>
      <c r="AE485" s="43" t="str">
        <f ca="1">IFERROR(__xludf.DUMMYFUNCTION("IFERROR(VLOOKUP(E508&amp;F508,IMPORTRANGE(""https://docs.google.com/spreadsheets/d/1Uw7-A9f9R21vMXxHZFNpYNeKFtG8_yji4HS352LGlSQ/edit?pli=1#gid=0"",""1_ACUM!A4:S""),14,FALSE))"),"")</f>
        <v/>
      </c>
      <c r="AF485" s="43" t="str">
        <f ca="1">IFERROR(__xludf.DUMMYFUNCTION("IFERROR(VLOOKUP(E508&amp;F508,IMPORTRANGE(""https://docs.google.com/spreadsheets/d/1Uw7-A9f9R21vMXxHZFNpYNeKFtG8_yji4HS352LGlSQ/edit?pli=1#gid=0"",""1_ACUM!A4:S""),15,FALSE))"),"")</f>
        <v/>
      </c>
      <c r="AG485" s="43" t="str">
        <f ca="1">IFERROR(__xludf.DUMMYFUNCTION("IFERROR(VLOOKUP(E508&amp;F508,IMPORTRANGE(""https://docs.google.com/spreadsheets/d/1Uw7-A9f9R21vMXxHZFNpYNeKFtG8_yji4HS352LGlSQ/edit?pli=1#gid=0"",""1_ACUM!A4:S""),16,FALSE))"),"")</f>
        <v/>
      </c>
      <c r="AH485" s="43" t="str">
        <f ca="1">IFERROR(__xludf.DUMMYFUNCTION("IFERROR(VLOOKUP(E508&amp;F508,IMPORTRANGE(""https://docs.google.com/spreadsheets/d/1Uw7-A9f9R21vMXxHZFNpYNeKFtG8_yji4HS352LGlSQ/edit?pli=1#gid=0"",""1_ACUM!A4:S""),17,FALSE))"),"")</f>
        <v/>
      </c>
      <c r="AI485" s="44" t="str">
        <f ca="1">IFERROR(__xludf.DUMMYFUNCTION("IFERROR(VLOOKUP(E508&amp;F508,IMPORTRANGE(""https://docs.google.com/spreadsheets/d/1Uw7-A9f9R21vMXxHZFNpYNeKFtG8_yji4HS352LGlSQ/edit?pli=1#gid=0"",""1_ACUM!A4:S""),18,FALSE))"),"")</f>
        <v/>
      </c>
      <c r="AJ485" s="44" t="str">
        <f ca="1">IFERROR(__xludf.DUMMYFUNCTION("IFERROR(VLOOKUP(E508&amp;F508,IMPORTRANGE(""https://docs.google.com/spreadsheets/d/1Uw7-A9f9R21vMXxHZFNpYNeKFtG8_yji4HS352LGlSQ/edit?pli=1#gid=0"",""1_ACUM!A4:S""),19,FALSE))"),"")</f>
        <v/>
      </c>
      <c r="AK485" s="98" t="str">
        <f ca="1">IFERROR(__xludf.DUMMYFUNCTION("IFERROR(VLOOKUP(F508,IMPORTRANGE(""https://docs.google.com/spreadsheets/d/1Kvs4KS76FHFqLFIZfrDMff4kP08nblUkihrxltoGBjg/edit#gid=934712705"",""ESENCIAL!A6:BG""),5,FALSE))"),"")</f>
        <v/>
      </c>
      <c r="AL485" s="98" t="str">
        <f t="shared" si="31"/>
        <v/>
      </c>
      <c r="AM485" s="99" t="str">
        <f t="shared" si="32"/>
        <v/>
      </c>
      <c r="AN485" s="100" t="str">
        <f ca="1">IFERROR(__xludf.DUMMYFUNCTION("IFERROR(VLOOKUP(F508,IMPORTRANGE(""https://docs.google.com/spreadsheets/d/1Kvs4KS76FHFqLFIZfrDMff4kP08nblUkihrxltoGBjg/edit#gid=934712705"",""ESENCIAL!A6:BG""),2,FALSE))"),"")</f>
        <v/>
      </c>
      <c r="AO485" s="19" t="str">
        <f t="shared" si="20"/>
        <v/>
      </c>
      <c r="AP485" s="100"/>
      <c r="AQ485" s="100"/>
    </row>
    <row r="486" spans="1:43" ht="15">
      <c r="A486" s="5"/>
      <c r="B486" s="5"/>
      <c r="G486" s="5" t="str">
        <f ca="1">IFERROR(__xludf.DUMMYFUNCTION("IFERROR(VLOOKUP(F509,IMPORTRANGE(""https://docs.google.com/spreadsheets/d/1Kvs4KS76FHFqLFIZfrDMff4kP08nblUkihrxltoGBjg/edit#gid=934712705"",""ESENCIAL!A6:BG""),3,FALSE))"),"")</f>
        <v/>
      </c>
      <c r="H486" s="5" t="str">
        <f ca="1">IFERROR(__xludf.DUMMYFUNCTION("IFERROR(VLOOKUP(F509,IMPORTRANGE(""https://docs.google.com/spreadsheets/d/1Kvs4KS76FHFqLFIZfrDMff4kP08nblUkihrxltoGBjg/edit#gid=934712705"",""ESENCIAL!A6:BG""),8,FALSE))"),"")</f>
        <v/>
      </c>
      <c r="L486" s="287"/>
      <c r="Z486" s="41" t="str">
        <f t="shared" si="30"/>
        <v/>
      </c>
      <c r="AA486" s="5" t="str">
        <f ca="1">IFERROR(__xludf.DUMMYFUNCTION("IFERROR(VLOOKUP(E509&amp;F509,IMPORTRANGE(""https://docs.google.com/spreadsheets/d/1Uw7-A9f9R21vMXxHZFNpYNeKFtG8_yji4HS352LGlSQ/edit?pli=1#gid=0"",""1_ACUM!A4:S""),11,FALSE))"),"")</f>
        <v/>
      </c>
      <c r="AB486" s="42" t="str">
        <f ca="1">IFERROR(__xludf.DUMMYFUNCTION("IFERROR(VLOOKUP(F509,IMPORTRANGE(""https://docs.google.com/spreadsheets/d/1Kvs4KS76FHFqLFIZfrDMff4kP08nblUkihrxltoGBjg/edit#gid=934712705"",""ESENCIAL!A6:BG""),15,FALSE))"),"")</f>
        <v/>
      </c>
      <c r="AC486" s="110" t="str">
        <f ca="1">IFERROR(__xludf.DUMMYFUNCTION("IFERROR(VLOOKUP(E509&amp;F509,IMPORTRANGE(""https://docs.google.com/spreadsheets/d/1Uw7-A9f9R21vMXxHZFNpYNeKFtG8_yji4HS352LGlSQ/edit?pli=1#gid=0"",""1_ACUM!A4:S""),13,FALSE))"),"")</f>
        <v/>
      </c>
      <c r="AD486" s="43" t="str">
        <f ca="1">IFERROR(__xludf.DUMMYFUNCTION("IFERROR(VLOOKUP(E509&amp;F509,IMPORTRANGE(""https://docs.google.com/spreadsheets/d/1Uw7-A9f9R21vMXxHZFNpYNeKFtG8_yji4HS352LGlSQ/edit?pli=1#gid=0"",""1_ACUM!A4:S""),13,FALSE))"),"")</f>
        <v/>
      </c>
      <c r="AE486" s="43" t="str">
        <f ca="1">IFERROR(__xludf.DUMMYFUNCTION("IFERROR(VLOOKUP(E509&amp;F509,IMPORTRANGE(""https://docs.google.com/spreadsheets/d/1Uw7-A9f9R21vMXxHZFNpYNeKFtG8_yji4HS352LGlSQ/edit?pli=1#gid=0"",""1_ACUM!A4:S""),14,FALSE))"),"")</f>
        <v/>
      </c>
      <c r="AF486" s="43" t="str">
        <f ca="1">IFERROR(__xludf.DUMMYFUNCTION("IFERROR(VLOOKUP(E509&amp;F509,IMPORTRANGE(""https://docs.google.com/spreadsheets/d/1Uw7-A9f9R21vMXxHZFNpYNeKFtG8_yji4HS352LGlSQ/edit?pli=1#gid=0"",""1_ACUM!A4:S""),15,FALSE))"),"")</f>
        <v/>
      </c>
      <c r="AG486" s="43" t="str">
        <f ca="1">IFERROR(__xludf.DUMMYFUNCTION("IFERROR(VLOOKUP(E509&amp;F509,IMPORTRANGE(""https://docs.google.com/spreadsheets/d/1Uw7-A9f9R21vMXxHZFNpYNeKFtG8_yji4HS352LGlSQ/edit?pli=1#gid=0"",""1_ACUM!A4:S""),16,FALSE))"),"")</f>
        <v/>
      </c>
      <c r="AH486" s="43" t="str">
        <f ca="1">IFERROR(__xludf.DUMMYFUNCTION("IFERROR(VLOOKUP(E509&amp;F509,IMPORTRANGE(""https://docs.google.com/spreadsheets/d/1Uw7-A9f9R21vMXxHZFNpYNeKFtG8_yji4HS352LGlSQ/edit?pli=1#gid=0"",""1_ACUM!A4:S""),17,FALSE))"),"")</f>
        <v/>
      </c>
      <c r="AI486" s="44" t="str">
        <f ca="1">IFERROR(__xludf.DUMMYFUNCTION("IFERROR(VLOOKUP(E509&amp;F509,IMPORTRANGE(""https://docs.google.com/spreadsheets/d/1Uw7-A9f9R21vMXxHZFNpYNeKFtG8_yji4HS352LGlSQ/edit?pli=1#gid=0"",""1_ACUM!A4:S""),18,FALSE))"),"")</f>
        <v/>
      </c>
      <c r="AJ486" s="44" t="str">
        <f ca="1">IFERROR(__xludf.DUMMYFUNCTION("IFERROR(VLOOKUP(E509&amp;F509,IMPORTRANGE(""https://docs.google.com/spreadsheets/d/1Uw7-A9f9R21vMXxHZFNpYNeKFtG8_yji4HS352LGlSQ/edit?pli=1#gid=0"",""1_ACUM!A4:S""),19,FALSE))"),"")</f>
        <v/>
      </c>
      <c r="AK486" s="98" t="str">
        <f ca="1">IFERROR(__xludf.DUMMYFUNCTION("IFERROR(VLOOKUP(F509,IMPORTRANGE(""https://docs.google.com/spreadsheets/d/1Kvs4KS76FHFqLFIZfrDMff4kP08nblUkihrxltoGBjg/edit#gid=934712705"",""ESENCIAL!A6:BG""),5,FALSE))"),"")</f>
        <v/>
      </c>
      <c r="AL486" s="98" t="str">
        <f t="shared" si="31"/>
        <v/>
      </c>
      <c r="AM486" s="99" t="str">
        <f t="shared" si="32"/>
        <v/>
      </c>
      <c r="AN486" s="100" t="str">
        <f ca="1">IFERROR(__xludf.DUMMYFUNCTION("IFERROR(VLOOKUP(F509,IMPORTRANGE(""https://docs.google.com/spreadsheets/d/1Kvs4KS76FHFqLFIZfrDMff4kP08nblUkihrxltoGBjg/edit#gid=934712705"",""ESENCIAL!A6:BG""),2,FALSE))"),"")</f>
        <v/>
      </c>
      <c r="AO486" s="19" t="str">
        <f t="shared" si="20"/>
        <v/>
      </c>
      <c r="AP486" s="100"/>
      <c r="AQ486" s="100"/>
    </row>
    <row r="487" spans="1:43" ht="15">
      <c r="A487" s="5"/>
      <c r="B487" s="5"/>
      <c r="G487" s="5" t="str">
        <f ca="1">IFERROR(__xludf.DUMMYFUNCTION("IFERROR(VLOOKUP(F510,IMPORTRANGE(""https://docs.google.com/spreadsheets/d/1Kvs4KS76FHFqLFIZfrDMff4kP08nblUkihrxltoGBjg/edit#gid=934712705"",""ESENCIAL!A6:BG""),3,FALSE))"),"")</f>
        <v/>
      </c>
      <c r="H487" s="5" t="str">
        <f ca="1">IFERROR(__xludf.DUMMYFUNCTION("IFERROR(VLOOKUP(F510,IMPORTRANGE(""https://docs.google.com/spreadsheets/d/1Kvs4KS76FHFqLFIZfrDMff4kP08nblUkihrxltoGBjg/edit#gid=934712705"",""ESENCIAL!A6:BG""),8,FALSE))"),"")</f>
        <v/>
      </c>
      <c r="L487" s="287"/>
      <c r="Z487" s="41" t="str">
        <f t="shared" si="30"/>
        <v/>
      </c>
      <c r="AA487" s="5" t="str">
        <f ca="1">IFERROR(__xludf.DUMMYFUNCTION("IFERROR(VLOOKUP(E510&amp;F510,IMPORTRANGE(""https://docs.google.com/spreadsheets/d/1Uw7-A9f9R21vMXxHZFNpYNeKFtG8_yji4HS352LGlSQ/edit?pli=1#gid=0"",""1_ACUM!A4:S""),11,FALSE))"),"")</f>
        <v/>
      </c>
      <c r="AB487" s="42" t="str">
        <f ca="1">IFERROR(__xludf.DUMMYFUNCTION("IFERROR(VLOOKUP(F510,IMPORTRANGE(""https://docs.google.com/spreadsheets/d/1Kvs4KS76FHFqLFIZfrDMff4kP08nblUkihrxltoGBjg/edit#gid=934712705"",""ESENCIAL!A6:BG""),15,FALSE))"),"")</f>
        <v/>
      </c>
      <c r="AC487" s="110" t="str">
        <f ca="1">IFERROR(__xludf.DUMMYFUNCTION("IFERROR(VLOOKUP(E510&amp;F510,IMPORTRANGE(""https://docs.google.com/spreadsheets/d/1Uw7-A9f9R21vMXxHZFNpYNeKFtG8_yji4HS352LGlSQ/edit?pli=1#gid=0"",""1_ACUM!A4:S""),13,FALSE))"),"")</f>
        <v/>
      </c>
      <c r="AD487" s="43" t="str">
        <f ca="1">IFERROR(__xludf.DUMMYFUNCTION("IFERROR(VLOOKUP(E510&amp;F510,IMPORTRANGE(""https://docs.google.com/spreadsheets/d/1Uw7-A9f9R21vMXxHZFNpYNeKFtG8_yji4HS352LGlSQ/edit?pli=1#gid=0"",""1_ACUM!A4:S""),13,FALSE))"),"")</f>
        <v/>
      </c>
      <c r="AE487" s="43" t="str">
        <f ca="1">IFERROR(__xludf.DUMMYFUNCTION("IFERROR(VLOOKUP(E510&amp;F510,IMPORTRANGE(""https://docs.google.com/spreadsheets/d/1Uw7-A9f9R21vMXxHZFNpYNeKFtG8_yji4HS352LGlSQ/edit?pli=1#gid=0"",""1_ACUM!A4:S""),14,FALSE))"),"")</f>
        <v/>
      </c>
      <c r="AF487" s="43" t="str">
        <f ca="1">IFERROR(__xludf.DUMMYFUNCTION("IFERROR(VLOOKUP(E510&amp;F510,IMPORTRANGE(""https://docs.google.com/spreadsheets/d/1Uw7-A9f9R21vMXxHZFNpYNeKFtG8_yji4HS352LGlSQ/edit?pli=1#gid=0"",""1_ACUM!A4:S""),15,FALSE))"),"")</f>
        <v/>
      </c>
      <c r="AG487" s="43" t="str">
        <f ca="1">IFERROR(__xludf.DUMMYFUNCTION("IFERROR(VLOOKUP(E510&amp;F510,IMPORTRANGE(""https://docs.google.com/spreadsheets/d/1Uw7-A9f9R21vMXxHZFNpYNeKFtG8_yji4HS352LGlSQ/edit?pli=1#gid=0"",""1_ACUM!A4:S""),16,FALSE))"),"")</f>
        <v/>
      </c>
      <c r="AH487" s="43" t="str">
        <f ca="1">IFERROR(__xludf.DUMMYFUNCTION("IFERROR(VLOOKUP(E510&amp;F510,IMPORTRANGE(""https://docs.google.com/spreadsheets/d/1Uw7-A9f9R21vMXxHZFNpYNeKFtG8_yji4HS352LGlSQ/edit?pli=1#gid=0"",""1_ACUM!A4:S""),17,FALSE))"),"")</f>
        <v/>
      </c>
      <c r="AI487" s="44" t="str">
        <f ca="1">IFERROR(__xludf.DUMMYFUNCTION("IFERROR(VLOOKUP(E510&amp;F510,IMPORTRANGE(""https://docs.google.com/spreadsheets/d/1Uw7-A9f9R21vMXxHZFNpYNeKFtG8_yji4HS352LGlSQ/edit?pli=1#gid=0"",""1_ACUM!A4:S""),18,FALSE))"),"")</f>
        <v/>
      </c>
      <c r="AJ487" s="44" t="str">
        <f ca="1">IFERROR(__xludf.DUMMYFUNCTION("IFERROR(VLOOKUP(E510&amp;F510,IMPORTRANGE(""https://docs.google.com/spreadsheets/d/1Uw7-A9f9R21vMXxHZFNpYNeKFtG8_yji4HS352LGlSQ/edit?pli=1#gid=0"",""1_ACUM!A4:S""),19,FALSE))"),"")</f>
        <v/>
      </c>
      <c r="AK487" s="98" t="str">
        <f ca="1">IFERROR(__xludf.DUMMYFUNCTION("IFERROR(VLOOKUP(F510,IMPORTRANGE(""https://docs.google.com/spreadsheets/d/1Kvs4KS76FHFqLFIZfrDMff4kP08nblUkihrxltoGBjg/edit#gid=934712705"",""ESENCIAL!A6:BG""),5,FALSE))"),"")</f>
        <v/>
      </c>
      <c r="AL487" s="98" t="str">
        <f t="shared" si="31"/>
        <v/>
      </c>
      <c r="AM487" s="99" t="str">
        <f t="shared" si="32"/>
        <v/>
      </c>
      <c r="AN487" s="100" t="str">
        <f ca="1">IFERROR(__xludf.DUMMYFUNCTION("IFERROR(VLOOKUP(F510,IMPORTRANGE(""https://docs.google.com/spreadsheets/d/1Kvs4KS76FHFqLFIZfrDMff4kP08nblUkihrxltoGBjg/edit#gid=934712705"",""ESENCIAL!A6:BG""),2,FALSE))"),"")</f>
        <v/>
      </c>
      <c r="AO487" s="19" t="str">
        <f t="shared" si="20"/>
        <v/>
      </c>
      <c r="AP487" s="100"/>
      <c r="AQ487" s="100"/>
    </row>
    <row r="488" spans="1:43" ht="15">
      <c r="A488" s="5"/>
      <c r="B488" s="5"/>
      <c r="G488" s="5" t="str">
        <f ca="1">IFERROR(__xludf.DUMMYFUNCTION("IFERROR(VLOOKUP(F511,IMPORTRANGE(""https://docs.google.com/spreadsheets/d/1Kvs4KS76FHFqLFIZfrDMff4kP08nblUkihrxltoGBjg/edit#gid=934712705"",""ESENCIAL!A6:BG""),3,FALSE))"),"")</f>
        <v/>
      </c>
      <c r="H488" s="5" t="str">
        <f ca="1">IFERROR(__xludf.DUMMYFUNCTION("IFERROR(VLOOKUP(F511,IMPORTRANGE(""https://docs.google.com/spreadsheets/d/1Kvs4KS76FHFqLFIZfrDMff4kP08nblUkihrxltoGBjg/edit#gid=934712705"",""ESENCIAL!A6:BG""),8,FALSE))"),"")</f>
        <v/>
      </c>
      <c r="L488" s="287"/>
      <c r="Z488" s="41" t="str">
        <f t="shared" si="30"/>
        <v/>
      </c>
      <c r="AA488" s="5" t="str">
        <f ca="1">IFERROR(__xludf.DUMMYFUNCTION("IFERROR(VLOOKUP(E511&amp;F511,IMPORTRANGE(""https://docs.google.com/spreadsheets/d/1Uw7-A9f9R21vMXxHZFNpYNeKFtG8_yji4HS352LGlSQ/edit?pli=1#gid=0"",""1_ACUM!A4:S""),11,FALSE))"),"")</f>
        <v/>
      </c>
      <c r="AB488" s="42" t="str">
        <f ca="1">IFERROR(__xludf.DUMMYFUNCTION("IFERROR(VLOOKUP(F511,IMPORTRANGE(""https://docs.google.com/spreadsheets/d/1Kvs4KS76FHFqLFIZfrDMff4kP08nblUkihrxltoGBjg/edit#gid=934712705"",""ESENCIAL!A6:BG""),15,FALSE))"),"")</f>
        <v/>
      </c>
      <c r="AC488" s="110" t="str">
        <f ca="1">IFERROR(__xludf.DUMMYFUNCTION("IFERROR(VLOOKUP(E511&amp;F511,IMPORTRANGE(""https://docs.google.com/spreadsheets/d/1Uw7-A9f9R21vMXxHZFNpYNeKFtG8_yji4HS352LGlSQ/edit?pli=1#gid=0"",""1_ACUM!A4:S""),13,FALSE))"),"")</f>
        <v/>
      </c>
      <c r="AD488" s="43" t="str">
        <f ca="1">IFERROR(__xludf.DUMMYFUNCTION("IFERROR(VLOOKUP(E511&amp;F511,IMPORTRANGE(""https://docs.google.com/spreadsheets/d/1Uw7-A9f9R21vMXxHZFNpYNeKFtG8_yji4HS352LGlSQ/edit?pli=1#gid=0"",""1_ACUM!A4:S""),13,FALSE))"),"")</f>
        <v/>
      </c>
      <c r="AE488" s="43" t="str">
        <f ca="1">IFERROR(__xludf.DUMMYFUNCTION("IFERROR(VLOOKUP(E511&amp;F511,IMPORTRANGE(""https://docs.google.com/spreadsheets/d/1Uw7-A9f9R21vMXxHZFNpYNeKFtG8_yji4HS352LGlSQ/edit?pli=1#gid=0"",""1_ACUM!A4:S""),14,FALSE))"),"")</f>
        <v/>
      </c>
      <c r="AF488" s="43" t="str">
        <f ca="1">IFERROR(__xludf.DUMMYFUNCTION("IFERROR(VLOOKUP(E511&amp;F511,IMPORTRANGE(""https://docs.google.com/spreadsheets/d/1Uw7-A9f9R21vMXxHZFNpYNeKFtG8_yji4HS352LGlSQ/edit?pli=1#gid=0"",""1_ACUM!A4:S""),15,FALSE))"),"")</f>
        <v/>
      </c>
      <c r="AG488" s="43" t="str">
        <f ca="1">IFERROR(__xludf.DUMMYFUNCTION("IFERROR(VLOOKUP(E511&amp;F511,IMPORTRANGE(""https://docs.google.com/spreadsheets/d/1Uw7-A9f9R21vMXxHZFNpYNeKFtG8_yji4HS352LGlSQ/edit?pli=1#gid=0"",""1_ACUM!A4:S""),16,FALSE))"),"")</f>
        <v/>
      </c>
      <c r="AH488" s="43" t="str">
        <f ca="1">IFERROR(__xludf.DUMMYFUNCTION("IFERROR(VLOOKUP(E511&amp;F511,IMPORTRANGE(""https://docs.google.com/spreadsheets/d/1Uw7-A9f9R21vMXxHZFNpYNeKFtG8_yji4HS352LGlSQ/edit?pli=1#gid=0"",""1_ACUM!A4:S""),17,FALSE))"),"")</f>
        <v/>
      </c>
      <c r="AI488" s="44" t="str">
        <f ca="1">IFERROR(__xludf.DUMMYFUNCTION("IFERROR(VLOOKUP(E511&amp;F511,IMPORTRANGE(""https://docs.google.com/spreadsheets/d/1Uw7-A9f9R21vMXxHZFNpYNeKFtG8_yji4HS352LGlSQ/edit?pli=1#gid=0"",""1_ACUM!A4:S""),18,FALSE))"),"")</f>
        <v/>
      </c>
      <c r="AJ488" s="44" t="str">
        <f ca="1">IFERROR(__xludf.DUMMYFUNCTION("IFERROR(VLOOKUP(E511&amp;F511,IMPORTRANGE(""https://docs.google.com/spreadsheets/d/1Uw7-A9f9R21vMXxHZFNpYNeKFtG8_yji4HS352LGlSQ/edit?pli=1#gid=0"",""1_ACUM!A4:S""),19,FALSE))"),"")</f>
        <v/>
      </c>
      <c r="AK488" s="98" t="str">
        <f ca="1">IFERROR(__xludf.DUMMYFUNCTION("IFERROR(VLOOKUP(F511,IMPORTRANGE(""https://docs.google.com/spreadsheets/d/1Kvs4KS76FHFqLFIZfrDMff4kP08nblUkihrxltoGBjg/edit#gid=934712705"",""ESENCIAL!A6:BG""),5,FALSE))"),"")</f>
        <v/>
      </c>
      <c r="AL488" s="98" t="str">
        <f t="shared" si="31"/>
        <v/>
      </c>
      <c r="AM488" s="99" t="str">
        <f t="shared" si="32"/>
        <v/>
      </c>
      <c r="AN488" s="100" t="str">
        <f ca="1">IFERROR(__xludf.DUMMYFUNCTION("IFERROR(VLOOKUP(F511,IMPORTRANGE(""https://docs.google.com/spreadsheets/d/1Kvs4KS76FHFqLFIZfrDMff4kP08nblUkihrxltoGBjg/edit#gid=934712705"",""ESENCIAL!A6:BG""),2,FALSE))"),"")</f>
        <v/>
      </c>
      <c r="AO488" s="19" t="str">
        <f t="shared" si="20"/>
        <v/>
      </c>
      <c r="AP488" s="100"/>
      <c r="AQ488" s="100"/>
    </row>
    <row r="489" spans="1:43" ht="15">
      <c r="A489" s="5"/>
      <c r="B489" s="5"/>
      <c r="G489" s="5" t="str">
        <f ca="1">IFERROR(__xludf.DUMMYFUNCTION("IFERROR(VLOOKUP(F512,IMPORTRANGE(""https://docs.google.com/spreadsheets/d/1Kvs4KS76FHFqLFIZfrDMff4kP08nblUkihrxltoGBjg/edit#gid=934712705"",""ESENCIAL!A6:BG""),3,FALSE))"),"")</f>
        <v/>
      </c>
      <c r="H489" s="5" t="str">
        <f ca="1">IFERROR(__xludf.DUMMYFUNCTION("IFERROR(VLOOKUP(F512,IMPORTRANGE(""https://docs.google.com/spreadsheets/d/1Kvs4KS76FHFqLFIZfrDMff4kP08nblUkihrxltoGBjg/edit#gid=934712705"",""ESENCIAL!A6:BG""),8,FALSE))"),"")</f>
        <v/>
      </c>
      <c r="L489" s="287"/>
      <c r="Z489" s="41" t="str">
        <f t="shared" si="30"/>
        <v/>
      </c>
      <c r="AA489" s="5" t="str">
        <f ca="1">IFERROR(__xludf.DUMMYFUNCTION("IFERROR(VLOOKUP(E512&amp;F512,IMPORTRANGE(""https://docs.google.com/spreadsheets/d/1Uw7-A9f9R21vMXxHZFNpYNeKFtG8_yji4HS352LGlSQ/edit?pli=1#gid=0"",""1_ACUM!A4:S""),11,FALSE))"),"")</f>
        <v/>
      </c>
      <c r="AB489" s="42" t="str">
        <f ca="1">IFERROR(__xludf.DUMMYFUNCTION("IFERROR(VLOOKUP(F512,IMPORTRANGE(""https://docs.google.com/spreadsheets/d/1Kvs4KS76FHFqLFIZfrDMff4kP08nblUkihrxltoGBjg/edit#gid=934712705"",""ESENCIAL!A6:BG""),15,FALSE))"),"")</f>
        <v/>
      </c>
      <c r="AC489" s="110" t="str">
        <f ca="1">IFERROR(__xludf.DUMMYFUNCTION("IFERROR(VLOOKUP(E512&amp;F512,IMPORTRANGE(""https://docs.google.com/spreadsheets/d/1Uw7-A9f9R21vMXxHZFNpYNeKFtG8_yji4HS352LGlSQ/edit?pli=1#gid=0"",""1_ACUM!A4:S""),13,FALSE))"),"")</f>
        <v/>
      </c>
      <c r="AD489" s="43" t="str">
        <f ca="1">IFERROR(__xludf.DUMMYFUNCTION("IFERROR(VLOOKUP(E512&amp;F512,IMPORTRANGE(""https://docs.google.com/spreadsheets/d/1Uw7-A9f9R21vMXxHZFNpYNeKFtG8_yji4HS352LGlSQ/edit?pli=1#gid=0"",""1_ACUM!A4:S""),13,FALSE))"),"")</f>
        <v/>
      </c>
      <c r="AE489" s="43" t="str">
        <f ca="1">IFERROR(__xludf.DUMMYFUNCTION("IFERROR(VLOOKUP(E512&amp;F512,IMPORTRANGE(""https://docs.google.com/spreadsheets/d/1Uw7-A9f9R21vMXxHZFNpYNeKFtG8_yji4HS352LGlSQ/edit?pli=1#gid=0"",""1_ACUM!A4:S""),14,FALSE))"),"")</f>
        <v/>
      </c>
      <c r="AF489" s="43" t="str">
        <f ca="1">IFERROR(__xludf.DUMMYFUNCTION("IFERROR(VLOOKUP(E512&amp;F512,IMPORTRANGE(""https://docs.google.com/spreadsheets/d/1Uw7-A9f9R21vMXxHZFNpYNeKFtG8_yji4HS352LGlSQ/edit?pli=1#gid=0"",""1_ACUM!A4:S""),15,FALSE))"),"")</f>
        <v/>
      </c>
      <c r="AG489" s="43" t="str">
        <f ca="1">IFERROR(__xludf.DUMMYFUNCTION("IFERROR(VLOOKUP(E512&amp;F512,IMPORTRANGE(""https://docs.google.com/spreadsheets/d/1Uw7-A9f9R21vMXxHZFNpYNeKFtG8_yji4HS352LGlSQ/edit?pli=1#gid=0"",""1_ACUM!A4:S""),16,FALSE))"),"")</f>
        <v/>
      </c>
      <c r="AH489" s="43" t="str">
        <f ca="1">IFERROR(__xludf.DUMMYFUNCTION("IFERROR(VLOOKUP(E512&amp;F512,IMPORTRANGE(""https://docs.google.com/spreadsheets/d/1Uw7-A9f9R21vMXxHZFNpYNeKFtG8_yji4HS352LGlSQ/edit?pli=1#gid=0"",""1_ACUM!A4:S""),17,FALSE))"),"")</f>
        <v/>
      </c>
      <c r="AI489" s="44" t="str">
        <f ca="1">IFERROR(__xludf.DUMMYFUNCTION("IFERROR(VLOOKUP(E512&amp;F512,IMPORTRANGE(""https://docs.google.com/spreadsheets/d/1Uw7-A9f9R21vMXxHZFNpYNeKFtG8_yji4HS352LGlSQ/edit?pli=1#gid=0"",""1_ACUM!A4:S""),18,FALSE))"),"")</f>
        <v/>
      </c>
      <c r="AJ489" s="44" t="str">
        <f ca="1">IFERROR(__xludf.DUMMYFUNCTION("IFERROR(VLOOKUP(E512&amp;F512,IMPORTRANGE(""https://docs.google.com/spreadsheets/d/1Uw7-A9f9R21vMXxHZFNpYNeKFtG8_yji4HS352LGlSQ/edit?pli=1#gid=0"",""1_ACUM!A4:S""),19,FALSE))"),"")</f>
        <v/>
      </c>
      <c r="AK489" s="98" t="str">
        <f ca="1">IFERROR(__xludf.DUMMYFUNCTION("IFERROR(VLOOKUP(F512,IMPORTRANGE(""https://docs.google.com/spreadsheets/d/1Kvs4KS76FHFqLFIZfrDMff4kP08nblUkihrxltoGBjg/edit#gid=934712705"",""ESENCIAL!A6:BG""),5,FALSE))"),"")</f>
        <v/>
      </c>
      <c r="AL489" s="98" t="str">
        <f t="shared" si="31"/>
        <v/>
      </c>
      <c r="AM489" s="99" t="str">
        <f t="shared" si="32"/>
        <v/>
      </c>
      <c r="AN489" s="100" t="str">
        <f ca="1">IFERROR(__xludf.DUMMYFUNCTION("IFERROR(VLOOKUP(F512,IMPORTRANGE(""https://docs.google.com/spreadsheets/d/1Kvs4KS76FHFqLFIZfrDMff4kP08nblUkihrxltoGBjg/edit#gid=934712705"",""ESENCIAL!A6:BG""),2,FALSE))"),"")</f>
        <v/>
      </c>
      <c r="AO489" s="19" t="str">
        <f t="shared" si="20"/>
        <v/>
      </c>
      <c r="AP489" s="100"/>
      <c r="AQ489" s="100"/>
    </row>
    <row r="490" spans="1:43" ht="15">
      <c r="A490" s="5"/>
      <c r="B490" s="5"/>
      <c r="G490" s="5" t="str">
        <f ca="1">IFERROR(__xludf.DUMMYFUNCTION("IFERROR(VLOOKUP(F513,IMPORTRANGE(""https://docs.google.com/spreadsheets/d/1Kvs4KS76FHFqLFIZfrDMff4kP08nblUkihrxltoGBjg/edit#gid=934712705"",""ESENCIAL!A6:BG""),3,FALSE))"),"")</f>
        <v/>
      </c>
      <c r="H490" s="5" t="str">
        <f ca="1">IFERROR(__xludf.DUMMYFUNCTION("IFERROR(VLOOKUP(F513,IMPORTRANGE(""https://docs.google.com/spreadsheets/d/1Kvs4KS76FHFqLFIZfrDMff4kP08nblUkihrxltoGBjg/edit#gid=934712705"",""ESENCIAL!A6:BG""),8,FALSE))"),"")</f>
        <v/>
      </c>
      <c r="L490" s="287"/>
      <c r="Z490" s="41" t="str">
        <f t="shared" si="30"/>
        <v/>
      </c>
      <c r="AA490" s="5" t="str">
        <f ca="1">IFERROR(__xludf.DUMMYFUNCTION("IFERROR(VLOOKUP(E513&amp;F513,IMPORTRANGE(""https://docs.google.com/spreadsheets/d/1Uw7-A9f9R21vMXxHZFNpYNeKFtG8_yji4HS352LGlSQ/edit?pli=1#gid=0"",""1_ACUM!A4:S""),11,FALSE))"),"")</f>
        <v/>
      </c>
      <c r="AB490" s="42" t="str">
        <f ca="1">IFERROR(__xludf.DUMMYFUNCTION("IFERROR(VLOOKUP(F513,IMPORTRANGE(""https://docs.google.com/spreadsheets/d/1Kvs4KS76FHFqLFIZfrDMff4kP08nblUkihrxltoGBjg/edit#gid=934712705"",""ESENCIAL!A6:BG""),15,FALSE))"),"")</f>
        <v/>
      </c>
      <c r="AC490" s="110" t="str">
        <f ca="1">IFERROR(__xludf.DUMMYFUNCTION("IFERROR(VLOOKUP(E513&amp;F513,IMPORTRANGE(""https://docs.google.com/spreadsheets/d/1Uw7-A9f9R21vMXxHZFNpYNeKFtG8_yji4HS352LGlSQ/edit?pli=1#gid=0"",""1_ACUM!A4:S""),13,FALSE))"),"")</f>
        <v/>
      </c>
      <c r="AD490" s="43" t="str">
        <f ca="1">IFERROR(__xludf.DUMMYFUNCTION("IFERROR(VLOOKUP(E513&amp;F513,IMPORTRANGE(""https://docs.google.com/spreadsheets/d/1Uw7-A9f9R21vMXxHZFNpYNeKFtG8_yji4HS352LGlSQ/edit?pli=1#gid=0"",""1_ACUM!A4:S""),13,FALSE))"),"")</f>
        <v/>
      </c>
      <c r="AE490" s="43" t="str">
        <f ca="1">IFERROR(__xludf.DUMMYFUNCTION("IFERROR(VLOOKUP(E513&amp;F513,IMPORTRANGE(""https://docs.google.com/spreadsheets/d/1Uw7-A9f9R21vMXxHZFNpYNeKFtG8_yji4HS352LGlSQ/edit?pli=1#gid=0"",""1_ACUM!A4:S""),14,FALSE))"),"")</f>
        <v/>
      </c>
      <c r="AF490" s="43" t="str">
        <f ca="1">IFERROR(__xludf.DUMMYFUNCTION("IFERROR(VLOOKUP(E513&amp;F513,IMPORTRANGE(""https://docs.google.com/spreadsheets/d/1Uw7-A9f9R21vMXxHZFNpYNeKFtG8_yji4HS352LGlSQ/edit?pli=1#gid=0"",""1_ACUM!A4:S""),15,FALSE))"),"")</f>
        <v/>
      </c>
      <c r="AG490" s="43" t="str">
        <f ca="1">IFERROR(__xludf.DUMMYFUNCTION("IFERROR(VLOOKUP(E513&amp;F513,IMPORTRANGE(""https://docs.google.com/spreadsheets/d/1Uw7-A9f9R21vMXxHZFNpYNeKFtG8_yji4HS352LGlSQ/edit?pli=1#gid=0"",""1_ACUM!A4:S""),16,FALSE))"),"")</f>
        <v/>
      </c>
      <c r="AH490" s="43" t="str">
        <f ca="1">IFERROR(__xludf.DUMMYFUNCTION("IFERROR(VLOOKUP(E513&amp;F513,IMPORTRANGE(""https://docs.google.com/spreadsheets/d/1Uw7-A9f9R21vMXxHZFNpYNeKFtG8_yji4HS352LGlSQ/edit?pli=1#gid=0"",""1_ACUM!A4:S""),17,FALSE))"),"")</f>
        <v/>
      </c>
      <c r="AI490" s="44" t="str">
        <f ca="1">IFERROR(__xludf.DUMMYFUNCTION("IFERROR(VLOOKUP(E513&amp;F513,IMPORTRANGE(""https://docs.google.com/spreadsheets/d/1Uw7-A9f9R21vMXxHZFNpYNeKFtG8_yji4HS352LGlSQ/edit?pli=1#gid=0"",""1_ACUM!A4:S""),18,FALSE))"),"")</f>
        <v/>
      </c>
      <c r="AJ490" s="44" t="str">
        <f ca="1">IFERROR(__xludf.DUMMYFUNCTION("IFERROR(VLOOKUP(E513&amp;F513,IMPORTRANGE(""https://docs.google.com/spreadsheets/d/1Uw7-A9f9R21vMXxHZFNpYNeKFtG8_yji4HS352LGlSQ/edit?pli=1#gid=0"",""1_ACUM!A4:S""),19,FALSE))"),"")</f>
        <v/>
      </c>
      <c r="AK490" s="98" t="str">
        <f ca="1">IFERROR(__xludf.DUMMYFUNCTION("IFERROR(VLOOKUP(F513,IMPORTRANGE(""https://docs.google.com/spreadsheets/d/1Kvs4KS76FHFqLFIZfrDMff4kP08nblUkihrxltoGBjg/edit#gid=934712705"",""ESENCIAL!A6:BG""),5,FALSE))"),"")</f>
        <v/>
      </c>
      <c r="AL490" s="98" t="str">
        <f t="shared" si="31"/>
        <v/>
      </c>
      <c r="AM490" s="99" t="str">
        <f t="shared" si="32"/>
        <v/>
      </c>
      <c r="AN490" s="100" t="str">
        <f ca="1">IFERROR(__xludf.DUMMYFUNCTION("IFERROR(VLOOKUP(F513,IMPORTRANGE(""https://docs.google.com/spreadsheets/d/1Kvs4KS76FHFqLFIZfrDMff4kP08nblUkihrxltoGBjg/edit#gid=934712705"",""ESENCIAL!A6:BG""),2,FALSE))"),"")</f>
        <v/>
      </c>
      <c r="AO490" s="19" t="str">
        <f t="shared" ref="AO490:AO744" si="33">IF(F490&gt;0,"Yamboro","")</f>
        <v/>
      </c>
      <c r="AP490" s="100"/>
      <c r="AQ490" s="100"/>
    </row>
    <row r="491" spans="1:43" ht="15">
      <c r="A491" s="5"/>
      <c r="B491" s="5"/>
      <c r="G491" s="5" t="str">
        <f ca="1">IFERROR(__xludf.DUMMYFUNCTION("IFERROR(VLOOKUP(F514,IMPORTRANGE(""https://docs.google.com/spreadsheets/d/1Kvs4KS76FHFqLFIZfrDMff4kP08nblUkihrxltoGBjg/edit#gid=934712705"",""ESENCIAL!A6:BG""),3,FALSE))"),"")</f>
        <v/>
      </c>
      <c r="H491" s="5" t="str">
        <f ca="1">IFERROR(__xludf.DUMMYFUNCTION("IFERROR(VLOOKUP(F514,IMPORTRANGE(""https://docs.google.com/spreadsheets/d/1Kvs4KS76FHFqLFIZfrDMff4kP08nblUkihrxltoGBjg/edit#gid=934712705"",""ESENCIAL!A6:BG""),8,FALSE))"),"")</f>
        <v/>
      </c>
      <c r="L491" s="287"/>
      <c r="Z491" s="41" t="str">
        <f t="shared" si="30"/>
        <v/>
      </c>
      <c r="AA491" s="5" t="str">
        <f ca="1">IFERROR(__xludf.DUMMYFUNCTION("IFERROR(VLOOKUP(E514&amp;F514,IMPORTRANGE(""https://docs.google.com/spreadsheets/d/1Uw7-A9f9R21vMXxHZFNpYNeKFtG8_yji4HS352LGlSQ/edit?pli=1#gid=0"",""1_ACUM!A4:S""),11,FALSE))"),"")</f>
        <v/>
      </c>
      <c r="AB491" s="42" t="str">
        <f ca="1">IFERROR(__xludf.DUMMYFUNCTION("IFERROR(VLOOKUP(F514,IMPORTRANGE(""https://docs.google.com/spreadsheets/d/1Kvs4KS76FHFqLFIZfrDMff4kP08nblUkihrxltoGBjg/edit#gid=934712705"",""ESENCIAL!A6:BG""),15,FALSE))"),"")</f>
        <v/>
      </c>
      <c r="AC491" s="110" t="str">
        <f ca="1">IFERROR(__xludf.DUMMYFUNCTION("IFERROR(VLOOKUP(E514&amp;F514,IMPORTRANGE(""https://docs.google.com/spreadsheets/d/1Uw7-A9f9R21vMXxHZFNpYNeKFtG8_yji4HS352LGlSQ/edit?pli=1#gid=0"",""1_ACUM!A4:S""),13,FALSE))"),"")</f>
        <v/>
      </c>
      <c r="AD491" s="43" t="str">
        <f ca="1">IFERROR(__xludf.DUMMYFUNCTION("IFERROR(VLOOKUP(E514&amp;F514,IMPORTRANGE(""https://docs.google.com/spreadsheets/d/1Uw7-A9f9R21vMXxHZFNpYNeKFtG8_yji4HS352LGlSQ/edit?pli=1#gid=0"",""1_ACUM!A4:S""),13,FALSE))"),"")</f>
        <v/>
      </c>
      <c r="AE491" s="43" t="str">
        <f ca="1">IFERROR(__xludf.DUMMYFUNCTION("IFERROR(VLOOKUP(E514&amp;F514,IMPORTRANGE(""https://docs.google.com/spreadsheets/d/1Uw7-A9f9R21vMXxHZFNpYNeKFtG8_yji4HS352LGlSQ/edit?pli=1#gid=0"",""1_ACUM!A4:S""),14,FALSE))"),"")</f>
        <v/>
      </c>
      <c r="AF491" s="43" t="str">
        <f ca="1">IFERROR(__xludf.DUMMYFUNCTION("IFERROR(VLOOKUP(E514&amp;F514,IMPORTRANGE(""https://docs.google.com/spreadsheets/d/1Uw7-A9f9R21vMXxHZFNpYNeKFtG8_yji4HS352LGlSQ/edit?pli=1#gid=0"",""1_ACUM!A4:S""),15,FALSE))"),"")</f>
        <v/>
      </c>
      <c r="AG491" s="43" t="str">
        <f ca="1">IFERROR(__xludf.DUMMYFUNCTION("IFERROR(VLOOKUP(E514&amp;F514,IMPORTRANGE(""https://docs.google.com/spreadsheets/d/1Uw7-A9f9R21vMXxHZFNpYNeKFtG8_yji4HS352LGlSQ/edit?pli=1#gid=0"",""1_ACUM!A4:S""),16,FALSE))"),"")</f>
        <v/>
      </c>
      <c r="AH491" s="43" t="str">
        <f ca="1">IFERROR(__xludf.DUMMYFUNCTION("IFERROR(VLOOKUP(E514&amp;F514,IMPORTRANGE(""https://docs.google.com/spreadsheets/d/1Uw7-A9f9R21vMXxHZFNpYNeKFtG8_yji4HS352LGlSQ/edit?pli=1#gid=0"",""1_ACUM!A4:S""),17,FALSE))"),"")</f>
        <v/>
      </c>
      <c r="AI491" s="44" t="str">
        <f ca="1">IFERROR(__xludf.DUMMYFUNCTION("IFERROR(VLOOKUP(E514&amp;F514,IMPORTRANGE(""https://docs.google.com/spreadsheets/d/1Uw7-A9f9R21vMXxHZFNpYNeKFtG8_yji4HS352LGlSQ/edit?pli=1#gid=0"",""1_ACUM!A4:S""),18,FALSE))"),"")</f>
        <v/>
      </c>
      <c r="AJ491" s="44" t="str">
        <f ca="1">IFERROR(__xludf.DUMMYFUNCTION("IFERROR(VLOOKUP(E514&amp;F514,IMPORTRANGE(""https://docs.google.com/spreadsheets/d/1Uw7-A9f9R21vMXxHZFNpYNeKFtG8_yji4HS352LGlSQ/edit?pli=1#gid=0"",""1_ACUM!A4:S""),19,FALSE))"),"")</f>
        <v/>
      </c>
      <c r="AK491" s="98" t="str">
        <f ca="1">IFERROR(__xludf.DUMMYFUNCTION("IFERROR(VLOOKUP(F514,IMPORTRANGE(""https://docs.google.com/spreadsheets/d/1Kvs4KS76FHFqLFIZfrDMff4kP08nblUkihrxltoGBjg/edit#gid=934712705"",""ESENCIAL!A6:BG""),5,FALSE))"),"")</f>
        <v/>
      </c>
      <c r="AL491" s="98" t="str">
        <f t="shared" si="31"/>
        <v/>
      </c>
      <c r="AM491" s="99" t="str">
        <f t="shared" si="32"/>
        <v/>
      </c>
      <c r="AN491" s="100" t="str">
        <f ca="1">IFERROR(__xludf.DUMMYFUNCTION("IFERROR(VLOOKUP(F514,IMPORTRANGE(""https://docs.google.com/spreadsheets/d/1Kvs4KS76FHFqLFIZfrDMff4kP08nblUkihrxltoGBjg/edit#gid=934712705"",""ESENCIAL!A6:BG""),2,FALSE))"),"")</f>
        <v/>
      </c>
      <c r="AO491" s="19" t="str">
        <f t="shared" si="33"/>
        <v/>
      </c>
      <c r="AP491" s="100"/>
      <c r="AQ491" s="100"/>
    </row>
    <row r="492" spans="1:43" ht="15">
      <c r="A492" s="5"/>
      <c r="B492" s="5"/>
      <c r="G492" s="5" t="str">
        <f ca="1">IFERROR(__xludf.DUMMYFUNCTION("IFERROR(VLOOKUP(F515,IMPORTRANGE(""https://docs.google.com/spreadsheets/d/1Kvs4KS76FHFqLFIZfrDMff4kP08nblUkihrxltoGBjg/edit#gid=934712705"",""ESENCIAL!A6:BG""),3,FALSE))"),"")</f>
        <v/>
      </c>
      <c r="H492" s="5" t="str">
        <f ca="1">IFERROR(__xludf.DUMMYFUNCTION("IFERROR(VLOOKUP(F515,IMPORTRANGE(""https://docs.google.com/spreadsheets/d/1Kvs4KS76FHFqLFIZfrDMff4kP08nblUkihrxltoGBjg/edit#gid=934712705"",""ESENCIAL!A6:BG""),8,FALSE))"),"")</f>
        <v/>
      </c>
      <c r="L492" s="287"/>
      <c r="Z492" s="41" t="str">
        <f t="shared" si="30"/>
        <v/>
      </c>
      <c r="AA492" s="5" t="str">
        <f ca="1">IFERROR(__xludf.DUMMYFUNCTION("IFERROR(VLOOKUP(E515&amp;F515,IMPORTRANGE(""https://docs.google.com/spreadsheets/d/1Uw7-A9f9R21vMXxHZFNpYNeKFtG8_yji4HS352LGlSQ/edit?pli=1#gid=0"",""1_ACUM!A4:S""),11,FALSE))"),"")</f>
        <v/>
      </c>
      <c r="AB492" s="42" t="str">
        <f ca="1">IFERROR(__xludf.DUMMYFUNCTION("IFERROR(VLOOKUP(F515,IMPORTRANGE(""https://docs.google.com/spreadsheets/d/1Kvs4KS76FHFqLFIZfrDMff4kP08nblUkihrxltoGBjg/edit#gid=934712705"",""ESENCIAL!A6:BG""),15,FALSE))"),"")</f>
        <v/>
      </c>
      <c r="AC492" s="110" t="str">
        <f ca="1">IFERROR(__xludf.DUMMYFUNCTION("IFERROR(VLOOKUP(E515&amp;F515,IMPORTRANGE(""https://docs.google.com/spreadsheets/d/1Uw7-A9f9R21vMXxHZFNpYNeKFtG8_yji4HS352LGlSQ/edit?pli=1#gid=0"",""1_ACUM!A4:S""),13,FALSE))"),"")</f>
        <v/>
      </c>
      <c r="AD492" s="43" t="str">
        <f ca="1">IFERROR(__xludf.DUMMYFUNCTION("IFERROR(VLOOKUP(E515&amp;F515,IMPORTRANGE(""https://docs.google.com/spreadsheets/d/1Uw7-A9f9R21vMXxHZFNpYNeKFtG8_yji4HS352LGlSQ/edit?pli=1#gid=0"",""1_ACUM!A4:S""),13,FALSE))"),"")</f>
        <v/>
      </c>
      <c r="AE492" s="43" t="str">
        <f ca="1">IFERROR(__xludf.DUMMYFUNCTION("IFERROR(VLOOKUP(E515&amp;F515,IMPORTRANGE(""https://docs.google.com/spreadsheets/d/1Uw7-A9f9R21vMXxHZFNpYNeKFtG8_yji4HS352LGlSQ/edit?pli=1#gid=0"",""1_ACUM!A4:S""),14,FALSE))"),"")</f>
        <v/>
      </c>
      <c r="AF492" s="43" t="str">
        <f ca="1">IFERROR(__xludf.DUMMYFUNCTION("IFERROR(VLOOKUP(E515&amp;F515,IMPORTRANGE(""https://docs.google.com/spreadsheets/d/1Uw7-A9f9R21vMXxHZFNpYNeKFtG8_yji4HS352LGlSQ/edit?pli=1#gid=0"",""1_ACUM!A4:S""),15,FALSE))"),"")</f>
        <v/>
      </c>
      <c r="AG492" s="43" t="str">
        <f ca="1">IFERROR(__xludf.DUMMYFUNCTION("IFERROR(VLOOKUP(E515&amp;F515,IMPORTRANGE(""https://docs.google.com/spreadsheets/d/1Uw7-A9f9R21vMXxHZFNpYNeKFtG8_yji4HS352LGlSQ/edit?pli=1#gid=0"",""1_ACUM!A4:S""),16,FALSE))"),"")</f>
        <v/>
      </c>
      <c r="AH492" s="43" t="str">
        <f ca="1">IFERROR(__xludf.DUMMYFUNCTION("IFERROR(VLOOKUP(E515&amp;F515,IMPORTRANGE(""https://docs.google.com/spreadsheets/d/1Uw7-A9f9R21vMXxHZFNpYNeKFtG8_yji4HS352LGlSQ/edit?pli=1#gid=0"",""1_ACUM!A4:S""),17,FALSE))"),"")</f>
        <v/>
      </c>
      <c r="AI492" s="44" t="str">
        <f ca="1">IFERROR(__xludf.DUMMYFUNCTION("IFERROR(VLOOKUP(E515&amp;F515,IMPORTRANGE(""https://docs.google.com/spreadsheets/d/1Uw7-A9f9R21vMXxHZFNpYNeKFtG8_yji4HS352LGlSQ/edit?pli=1#gid=0"",""1_ACUM!A4:S""),18,FALSE))"),"")</f>
        <v/>
      </c>
      <c r="AJ492" s="44" t="str">
        <f ca="1">IFERROR(__xludf.DUMMYFUNCTION("IFERROR(VLOOKUP(E515&amp;F515,IMPORTRANGE(""https://docs.google.com/spreadsheets/d/1Uw7-A9f9R21vMXxHZFNpYNeKFtG8_yji4HS352LGlSQ/edit?pli=1#gid=0"",""1_ACUM!A4:S""),19,FALSE))"),"")</f>
        <v/>
      </c>
      <c r="AK492" s="98" t="str">
        <f ca="1">IFERROR(__xludf.DUMMYFUNCTION("IFERROR(VLOOKUP(F515,IMPORTRANGE(""https://docs.google.com/spreadsheets/d/1Kvs4KS76FHFqLFIZfrDMff4kP08nblUkihrxltoGBjg/edit#gid=934712705"",""ESENCIAL!A6:BG""),5,FALSE))"),"")</f>
        <v/>
      </c>
      <c r="AL492" s="98" t="str">
        <f t="shared" si="31"/>
        <v/>
      </c>
      <c r="AM492" s="99" t="str">
        <f t="shared" si="32"/>
        <v/>
      </c>
      <c r="AN492" s="100" t="str">
        <f ca="1">IFERROR(__xludf.DUMMYFUNCTION("IFERROR(VLOOKUP(F515,IMPORTRANGE(""https://docs.google.com/spreadsheets/d/1Kvs4KS76FHFqLFIZfrDMff4kP08nblUkihrxltoGBjg/edit#gid=934712705"",""ESENCIAL!A6:BG""),2,FALSE))"),"")</f>
        <v/>
      </c>
      <c r="AO492" s="19" t="str">
        <f t="shared" si="33"/>
        <v/>
      </c>
      <c r="AP492" s="100"/>
      <c r="AQ492" s="100"/>
    </row>
    <row r="493" spans="1:43" ht="15">
      <c r="A493" s="5"/>
      <c r="B493" s="5"/>
      <c r="G493" s="5" t="str">
        <f ca="1">IFERROR(__xludf.DUMMYFUNCTION("IFERROR(VLOOKUP(F516,IMPORTRANGE(""https://docs.google.com/spreadsheets/d/1Kvs4KS76FHFqLFIZfrDMff4kP08nblUkihrxltoGBjg/edit#gid=934712705"",""ESENCIAL!A6:BG""),3,FALSE))"),"")</f>
        <v/>
      </c>
      <c r="H493" s="5" t="str">
        <f ca="1">IFERROR(__xludf.DUMMYFUNCTION("IFERROR(VLOOKUP(F516,IMPORTRANGE(""https://docs.google.com/spreadsheets/d/1Kvs4KS76FHFqLFIZfrDMff4kP08nblUkihrxltoGBjg/edit#gid=934712705"",""ESENCIAL!A6:BG""),8,FALSE))"),"")</f>
        <v/>
      </c>
      <c r="L493" s="287"/>
      <c r="Z493" s="41" t="str">
        <f t="shared" si="30"/>
        <v/>
      </c>
      <c r="AA493" s="5" t="str">
        <f ca="1">IFERROR(__xludf.DUMMYFUNCTION("IFERROR(VLOOKUP(E516&amp;F516,IMPORTRANGE(""https://docs.google.com/spreadsheets/d/1Uw7-A9f9R21vMXxHZFNpYNeKFtG8_yji4HS352LGlSQ/edit?pli=1#gid=0"",""1_ACUM!A4:S""),11,FALSE))"),"")</f>
        <v/>
      </c>
      <c r="AB493" s="42" t="str">
        <f ca="1">IFERROR(__xludf.DUMMYFUNCTION("IFERROR(VLOOKUP(F516,IMPORTRANGE(""https://docs.google.com/spreadsheets/d/1Kvs4KS76FHFqLFIZfrDMff4kP08nblUkihrxltoGBjg/edit#gid=934712705"",""ESENCIAL!A6:BG""),15,FALSE))"),"")</f>
        <v/>
      </c>
      <c r="AC493" s="110" t="str">
        <f ca="1">IFERROR(__xludf.DUMMYFUNCTION("IFERROR(VLOOKUP(E516&amp;F516,IMPORTRANGE(""https://docs.google.com/spreadsheets/d/1Uw7-A9f9R21vMXxHZFNpYNeKFtG8_yji4HS352LGlSQ/edit?pli=1#gid=0"",""1_ACUM!A4:S""),13,FALSE))"),"")</f>
        <v/>
      </c>
      <c r="AD493" s="43" t="str">
        <f ca="1">IFERROR(__xludf.DUMMYFUNCTION("IFERROR(VLOOKUP(E516&amp;F516,IMPORTRANGE(""https://docs.google.com/spreadsheets/d/1Uw7-A9f9R21vMXxHZFNpYNeKFtG8_yji4HS352LGlSQ/edit?pli=1#gid=0"",""1_ACUM!A4:S""),13,FALSE))"),"")</f>
        <v/>
      </c>
      <c r="AE493" s="43" t="str">
        <f ca="1">IFERROR(__xludf.DUMMYFUNCTION("IFERROR(VLOOKUP(E516&amp;F516,IMPORTRANGE(""https://docs.google.com/spreadsheets/d/1Uw7-A9f9R21vMXxHZFNpYNeKFtG8_yji4HS352LGlSQ/edit?pli=1#gid=0"",""1_ACUM!A4:S""),14,FALSE))"),"")</f>
        <v/>
      </c>
      <c r="AF493" s="43" t="str">
        <f ca="1">IFERROR(__xludf.DUMMYFUNCTION("IFERROR(VLOOKUP(E516&amp;F516,IMPORTRANGE(""https://docs.google.com/spreadsheets/d/1Uw7-A9f9R21vMXxHZFNpYNeKFtG8_yji4HS352LGlSQ/edit?pli=1#gid=0"",""1_ACUM!A4:S""),15,FALSE))"),"")</f>
        <v/>
      </c>
      <c r="AG493" s="43" t="str">
        <f ca="1">IFERROR(__xludf.DUMMYFUNCTION("IFERROR(VLOOKUP(E516&amp;F516,IMPORTRANGE(""https://docs.google.com/spreadsheets/d/1Uw7-A9f9R21vMXxHZFNpYNeKFtG8_yji4HS352LGlSQ/edit?pli=1#gid=0"",""1_ACUM!A4:S""),16,FALSE))"),"")</f>
        <v/>
      </c>
      <c r="AH493" s="43" t="str">
        <f ca="1">IFERROR(__xludf.DUMMYFUNCTION("IFERROR(VLOOKUP(E516&amp;F516,IMPORTRANGE(""https://docs.google.com/spreadsheets/d/1Uw7-A9f9R21vMXxHZFNpYNeKFtG8_yji4HS352LGlSQ/edit?pli=1#gid=0"",""1_ACUM!A4:S""),17,FALSE))"),"")</f>
        <v/>
      </c>
      <c r="AI493" s="44" t="str">
        <f ca="1">IFERROR(__xludf.DUMMYFUNCTION("IFERROR(VLOOKUP(E516&amp;F516,IMPORTRANGE(""https://docs.google.com/spreadsheets/d/1Uw7-A9f9R21vMXxHZFNpYNeKFtG8_yji4HS352LGlSQ/edit?pli=1#gid=0"",""1_ACUM!A4:S""),18,FALSE))"),"")</f>
        <v/>
      </c>
      <c r="AJ493" s="44" t="str">
        <f ca="1">IFERROR(__xludf.DUMMYFUNCTION("IFERROR(VLOOKUP(E516&amp;F516,IMPORTRANGE(""https://docs.google.com/spreadsheets/d/1Uw7-A9f9R21vMXxHZFNpYNeKFtG8_yji4HS352LGlSQ/edit?pli=1#gid=0"",""1_ACUM!A4:S""),19,FALSE))"),"")</f>
        <v/>
      </c>
      <c r="AK493" s="98" t="str">
        <f ca="1">IFERROR(__xludf.DUMMYFUNCTION("IFERROR(VLOOKUP(F516,IMPORTRANGE(""https://docs.google.com/spreadsheets/d/1Kvs4KS76FHFqLFIZfrDMff4kP08nblUkihrxltoGBjg/edit#gid=934712705"",""ESENCIAL!A6:BG""),5,FALSE))"),"")</f>
        <v/>
      </c>
      <c r="AL493" s="98" t="str">
        <f t="shared" si="31"/>
        <v/>
      </c>
      <c r="AM493" s="99" t="str">
        <f t="shared" si="32"/>
        <v/>
      </c>
      <c r="AN493" s="100" t="str">
        <f ca="1">IFERROR(__xludf.DUMMYFUNCTION("IFERROR(VLOOKUP(F516,IMPORTRANGE(""https://docs.google.com/spreadsheets/d/1Kvs4KS76FHFqLFIZfrDMff4kP08nblUkihrxltoGBjg/edit#gid=934712705"",""ESENCIAL!A6:BG""),2,FALSE))"),"")</f>
        <v/>
      </c>
      <c r="AO493" s="19" t="str">
        <f t="shared" si="33"/>
        <v/>
      </c>
      <c r="AP493" s="100"/>
      <c r="AQ493" s="100"/>
    </row>
    <row r="494" spans="1:43" ht="15">
      <c r="A494" s="5"/>
      <c r="B494" s="5"/>
      <c r="G494" s="5" t="str">
        <f ca="1">IFERROR(__xludf.DUMMYFUNCTION("IFERROR(VLOOKUP(F517,IMPORTRANGE(""https://docs.google.com/spreadsheets/d/1Kvs4KS76FHFqLFIZfrDMff4kP08nblUkihrxltoGBjg/edit#gid=934712705"",""ESENCIAL!A6:BG""),3,FALSE))"),"")</f>
        <v/>
      </c>
      <c r="H494" s="5" t="str">
        <f ca="1">IFERROR(__xludf.DUMMYFUNCTION("IFERROR(VLOOKUP(F517,IMPORTRANGE(""https://docs.google.com/spreadsheets/d/1Kvs4KS76FHFqLFIZfrDMff4kP08nblUkihrxltoGBjg/edit#gid=934712705"",""ESENCIAL!A6:BG""),8,FALSE))"),"")</f>
        <v/>
      </c>
      <c r="L494" s="287"/>
      <c r="Z494" s="41" t="str">
        <f t="shared" si="30"/>
        <v/>
      </c>
      <c r="AA494" s="5" t="str">
        <f ca="1">IFERROR(__xludf.DUMMYFUNCTION("IFERROR(VLOOKUP(E517&amp;F517,IMPORTRANGE(""https://docs.google.com/spreadsheets/d/1Uw7-A9f9R21vMXxHZFNpYNeKFtG8_yji4HS352LGlSQ/edit?pli=1#gid=0"",""1_ACUM!A4:S""),11,FALSE))"),"")</f>
        <v/>
      </c>
      <c r="AB494" s="42" t="str">
        <f ca="1">IFERROR(__xludf.DUMMYFUNCTION("IFERROR(VLOOKUP(F517,IMPORTRANGE(""https://docs.google.com/spreadsheets/d/1Kvs4KS76FHFqLFIZfrDMff4kP08nblUkihrxltoGBjg/edit#gid=934712705"",""ESENCIAL!A6:BG""),15,FALSE))"),"")</f>
        <v/>
      </c>
      <c r="AC494" s="110" t="str">
        <f ca="1">IFERROR(__xludf.DUMMYFUNCTION("IFERROR(VLOOKUP(E517&amp;F517,IMPORTRANGE(""https://docs.google.com/spreadsheets/d/1Uw7-A9f9R21vMXxHZFNpYNeKFtG8_yji4HS352LGlSQ/edit?pli=1#gid=0"",""1_ACUM!A4:S""),13,FALSE))"),"")</f>
        <v/>
      </c>
      <c r="AD494" s="43" t="str">
        <f ca="1">IFERROR(__xludf.DUMMYFUNCTION("IFERROR(VLOOKUP(E517&amp;F517,IMPORTRANGE(""https://docs.google.com/spreadsheets/d/1Uw7-A9f9R21vMXxHZFNpYNeKFtG8_yji4HS352LGlSQ/edit?pli=1#gid=0"",""1_ACUM!A4:S""),13,FALSE))"),"")</f>
        <v/>
      </c>
      <c r="AE494" s="43" t="str">
        <f ca="1">IFERROR(__xludf.DUMMYFUNCTION("IFERROR(VLOOKUP(E517&amp;F517,IMPORTRANGE(""https://docs.google.com/spreadsheets/d/1Uw7-A9f9R21vMXxHZFNpYNeKFtG8_yji4HS352LGlSQ/edit?pli=1#gid=0"",""1_ACUM!A4:S""),14,FALSE))"),"")</f>
        <v/>
      </c>
      <c r="AF494" s="43" t="str">
        <f ca="1">IFERROR(__xludf.DUMMYFUNCTION("IFERROR(VLOOKUP(E517&amp;F517,IMPORTRANGE(""https://docs.google.com/spreadsheets/d/1Uw7-A9f9R21vMXxHZFNpYNeKFtG8_yji4HS352LGlSQ/edit?pli=1#gid=0"",""1_ACUM!A4:S""),15,FALSE))"),"")</f>
        <v/>
      </c>
      <c r="AG494" s="43" t="str">
        <f ca="1">IFERROR(__xludf.DUMMYFUNCTION("IFERROR(VLOOKUP(E517&amp;F517,IMPORTRANGE(""https://docs.google.com/spreadsheets/d/1Uw7-A9f9R21vMXxHZFNpYNeKFtG8_yji4HS352LGlSQ/edit?pli=1#gid=0"",""1_ACUM!A4:S""),16,FALSE))"),"")</f>
        <v/>
      </c>
      <c r="AH494" s="43" t="str">
        <f ca="1">IFERROR(__xludf.DUMMYFUNCTION("IFERROR(VLOOKUP(E517&amp;F517,IMPORTRANGE(""https://docs.google.com/spreadsheets/d/1Uw7-A9f9R21vMXxHZFNpYNeKFtG8_yji4HS352LGlSQ/edit?pli=1#gid=0"",""1_ACUM!A4:S""),17,FALSE))"),"")</f>
        <v/>
      </c>
      <c r="AI494" s="44" t="str">
        <f ca="1">IFERROR(__xludf.DUMMYFUNCTION("IFERROR(VLOOKUP(E517&amp;F517,IMPORTRANGE(""https://docs.google.com/spreadsheets/d/1Uw7-A9f9R21vMXxHZFNpYNeKFtG8_yji4HS352LGlSQ/edit?pli=1#gid=0"",""1_ACUM!A4:S""),18,FALSE))"),"")</f>
        <v/>
      </c>
      <c r="AJ494" s="44" t="str">
        <f ca="1">IFERROR(__xludf.DUMMYFUNCTION("IFERROR(VLOOKUP(E517&amp;F517,IMPORTRANGE(""https://docs.google.com/spreadsheets/d/1Uw7-A9f9R21vMXxHZFNpYNeKFtG8_yji4HS352LGlSQ/edit?pli=1#gid=0"",""1_ACUM!A4:S""),19,FALSE))"),"")</f>
        <v/>
      </c>
      <c r="AK494" s="98" t="str">
        <f ca="1">IFERROR(__xludf.DUMMYFUNCTION("IFERROR(VLOOKUP(F517,IMPORTRANGE(""https://docs.google.com/spreadsheets/d/1Kvs4KS76FHFqLFIZfrDMff4kP08nblUkihrxltoGBjg/edit#gid=934712705"",""ESENCIAL!A6:BG""),5,FALSE))"),"")</f>
        <v/>
      </c>
      <c r="AL494" s="98" t="str">
        <f t="shared" si="31"/>
        <v/>
      </c>
      <c r="AM494" s="99" t="str">
        <f t="shared" si="32"/>
        <v/>
      </c>
      <c r="AN494" s="100" t="str">
        <f ca="1">IFERROR(__xludf.DUMMYFUNCTION("IFERROR(VLOOKUP(F517,IMPORTRANGE(""https://docs.google.com/spreadsheets/d/1Kvs4KS76FHFqLFIZfrDMff4kP08nblUkihrxltoGBjg/edit#gid=934712705"",""ESENCIAL!A6:BG""),2,FALSE))"),"")</f>
        <v/>
      </c>
      <c r="AO494" s="19" t="str">
        <f t="shared" si="33"/>
        <v/>
      </c>
      <c r="AP494" s="100"/>
      <c r="AQ494" s="100"/>
    </row>
    <row r="495" spans="1:43" ht="15">
      <c r="A495" s="5"/>
      <c r="B495" s="5"/>
      <c r="G495" s="5" t="str">
        <f ca="1">IFERROR(__xludf.DUMMYFUNCTION("IFERROR(VLOOKUP(F518,IMPORTRANGE(""https://docs.google.com/spreadsheets/d/1Kvs4KS76FHFqLFIZfrDMff4kP08nblUkihrxltoGBjg/edit#gid=934712705"",""ESENCIAL!A6:BG""),3,FALSE))"),"")</f>
        <v/>
      </c>
      <c r="H495" s="5" t="str">
        <f ca="1">IFERROR(__xludf.DUMMYFUNCTION("IFERROR(VLOOKUP(F518,IMPORTRANGE(""https://docs.google.com/spreadsheets/d/1Kvs4KS76FHFqLFIZfrDMff4kP08nblUkihrxltoGBjg/edit#gid=934712705"",""ESENCIAL!A6:BG""),8,FALSE))"),"")</f>
        <v/>
      </c>
      <c r="L495" s="287"/>
      <c r="Z495" s="41" t="str">
        <f t="shared" si="30"/>
        <v/>
      </c>
      <c r="AA495" s="5" t="str">
        <f ca="1">IFERROR(__xludf.DUMMYFUNCTION("IFERROR(VLOOKUP(E518&amp;F518,IMPORTRANGE(""https://docs.google.com/spreadsheets/d/1Uw7-A9f9R21vMXxHZFNpYNeKFtG8_yji4HS352LGlSQ/edit?pli=1#gid=0"",""1_ACUM!A4:S""),11,FALSE))"),"")</f>
        <v/>
      </c>
      <c r="AB495" s="42" t="str">
        <f ca="1">IFERROR(__xludf.DUMMYFUNCTION("IFERROR(VLOOKUP(F518,IMPORTRANGE(""https://docs.google.com/spreadsheets/d/1Kvs4KS76FHFqLFIZfrDMff4kP08nblUkihrxltoGBjg/edit#gid=934712705"",""ESENCIAL!A6:BG""),15,FALSE))"),"")</f>
        <v/>
      </c>
      <c r="AC495" s="110" t="str">
        <f ca="1">IFERROR(__xludf.DUMMYFUNCTION("IFERROR(VLOOKUP(E518&amp;F518,IMPORTRANGE(""https://docs.google.com/spreadsheets/d/1Uw7-A9f9R21vMXxHZFNpYNeKFtG8_yji4HS352LGlSQ/edit?pli=1#gid=0"",""1_ACUM!A4:S""),13,FALSE))"),"")</f>
        <v/>
      </c>
      <c r="AD495" s="43" t="str">
        <f ca="1">IFERROR(__xludf.DUMMYFUNCTION("IFERROR(VLOOKUP(E518&amp;F518,IMPORTRANGE(""https://docs.google.com/spreadsheets/d/1Uw7-A9f9R21vMXxHZFNpYNeKFtG8_yji4HS352LGlSQ/edit?pli=1#gid=0"",""1_ACUM!A4:S""),13,FALSE))"),"")</f>
        <v/>
      </c>
      <c r="AE495" s="43" t="str">
        <f ca="1">IFERROR(__xludf.DUMMYFUNCTION("IFERROR(VLOOKUP(E518&amp;F518,IMPORTRANGE(""https://docs.google.com/spreadsheets/d/1Uw7-A9f9R21vMXxHZFNpYNeKFtG8_yji4HS352LGlSQ/edit?pli=1#gid=0"",""1_ACUM!A4:S""),14,FALSE))"),"")</f>
        <v/>
      </c>
      <c r="AF495" s="43" t="str">
        <f ca="1">IFERROR(__xludf.DUMMYFUNCTION("IFERROR(VLOOKUP(E518&amp;F518,IMPORTRANGE(""https://docs.google.com/spreadsheets/d/1Uw7-A9f9R21vMXxHZFNpYNeKFtG8_yji4HS352LGlSQ/edit?pli=1#gid=0"",""1_ACUM!A4:S""),15,FALSE))"),"")</f>
        <v/>
      </c>
      <c r="AG495" s="43" t="str">
        <f ca="1">IFERROR(__xludf.DUMMYFUNCTION("IFERROR(VLOOKUP(E518&amp;F518,IMPORTRANGE(""https://docs.google.com/spreadsheets/d/1Uw7-A9f9R21vMXxHZFNpYNeKFtG8_yji4HS352LGlSQ/edit?pli=1#gid=0"",""1_ACUM!A4:S""),16,FALSE))"),"")</f>
        <v/>
      </c>
      <c r="AH495" s="43" t="str">
        <f ca="1">IFERROR(__xludf.DUMMYFUNCTION("IFERROR(VLOOKUP(E518&amp;F518,IMPORTRANGE(""https://docs.google.com/spreadsheets/d/1Uw7-A9f9R21vMXxHZFNpYNeKFtG8_yji4HS352LGlSQ/edit?pli=1#gid=0"",""1_ACUM!A4:S""),17,FALSE))"),"")</f>
        <v/>
      </c>
      <c r="AI495" s="44" t="str">
        <f ca="1">IFERROR(__xludf.DUMMYFUNCTION("IFERROR(VLOOKUP(E518&amp;F518,IMPORTRANGE(""https://docs.google.com/spreadsheets/d/1Uw7-A9f9R21vMXxHZFNpYNeKFtG8_yji4HS352LGlSQ/edit?pli=1#gid=0"",""1_ACUM!A4:S""),18,FALSE))"),"")</f>
        <v/>
      </c>
      <c r="AJ495" s="44" t="str">
        <f ca="1">IFERROR(__xludf.DUMMYFUNCTION("IFERROR(VLOOKUP(E518&amp;F518,IMPORTRANGE(""https://docs.google.com/spreadsheets/d/1Uw7-A9f9R21vMXxHZFNpYNeKFtG8_yji4HS352LGlSQ/edit?pli=1#gid=0"",""1_ACUM!A4:S""),19,FALSE))"),"")</f>
        <v/>
      </c>
      <c r="AK495" s="98" t="str">
        <f ca="1">IFERROR(__xludf.DUMMYFUNCTION("IFERROR(VLOOKUP(F518,IMPORTRANGE(""https://docs.google.com/spreadsheets/d/1Kvs4KS76FHFqLFIZfrDMff4kP08nblUkihrxltoGBjg/edit#gid=934712705"",""ESENCIAL!A6:BG""),5,FALSE))"),"")</f>
        <v/>
      </c>
      <c r="AL495" s="98" t="str">
        <f t="shared" si="31"/>
        <v/>
      </c>
      <c r="AM495" s="99" t="str">
        <f t="shared" si="32"/>
        <v/>
      </c>
      <c r="AN495" s="100" t="str">
        <f ca="1">IFERROR(__xludf.DUMMYFUNCTION("IFERROR(VLOOKUP(F518,IMPORTRANGE(""https://docs.google.com/spreadsheets/d/1Kvs4KS76FHFqLFIZfrDMff4kP08nblUkihrxltoGBjg/edit#gid=934712705"",""ESENCIAL!A6:BG""),2,FALSE))"),"")</f>
        <v/>
      </c>
      <c r="AO495" s="19" t="str">
        <f t="shared" si="33"/>
        <v/>
      </c>
      <c r="AP495" s="100"/>
      <c r="AQ495" s="100"/>
    </row>
    <row r="496" spans="1:43" ht="15">
      <c r="A496" s="5"/>
      <c r="B496" s="5"/>
      <c r="G496" s="5" t="str">
        <f ca="1">IFERROR(__xludf.DUMMYFUNCTION("IFERROR(VLOOKUP(F519,IMPORTRANGE(""https://docs.google.com/spreadsheets/d/1Kvs4KS76FHFqLFIZfrDMff4kP08nblUkihrxltoGBjg/edit#gid=934712705"",""ESENCIAL!A6:BG""),3,FALSE))"),"")</f>
        <v/>
      </c>
      <c r="H496" s="5" t="str">
        <f ca="1">IFERROR(__xludf.DUMMYFUNCTION("IFERROR(VLOOKUP(F519,IMPORTRANGE(""https://docs.google.com/spreadsheets/d/1Kvs4KS76FHFqLFIZfrDMff4kP08nblUkihrxltoGBjg/edit#gid=934712705"",""ESENCIAL!A6:BG""),8,FALSE))"),"")</f>
        <v/>
      </c>
      <c r="L496" s="287"/>
      <c r="Z496" s="41" t="str">
        <f t="shared" si="30"/>
        <v/>
      </c>
      <c r="AA496" s="5" t="str">
        <f ca="1">IFERROR(__xludf.DUMMYFUNCTION("IFERROR(VLOOKUP(E519&amp;F519,IMPORTRANGE(""https://docs.google.com/spreadsheets/d/1Uw7-A9f9R21vMXxHZFNpYNeKFtG8_yji4HS352LGlSQ/edit?pli=1#gid=0"",""1_ACUM!A4:S""),11,FALSE))"),"")</f>
        <v/>
      </c>
      <c r="AB496" s="42" t="str">
        <f ca="1">IFERROR(__xludf.DUMMYFUNCTION("IFERROR(VLOOKUP(F519,IMPORTRANGE(""https://docs.google.com/spreadsheets/d/1Kvs4KS76FHFqLFIZfrDMff4kP08nblUkihrxltoGBjg/edit#gid=934712705"",""ESENCIAL!A6:BG""),15,FALSE))"),"")</f>
        <v/>
      </c>
      <c r="AC496" s="110" t="str">
        <f ca="1">IFERROR(__xludf.DUMMYFUNCTION("IFERROR(VLOOKUP(E519&amp;F519,IMPORTRANGE(""https://docs.google.com/spreadsheets/d/1Uw7-A9f9R21vMXxHZFNpYNeKFtG8_yji4HS352LGlSQ/edit?pli=1#gid=0"",""1_ACUM!A4:S""),13,FALSE))"),"")</f>
        <v/>
      </c>
      <c r="AD496" s="43" t="str">
        <f ca="1">IFERROR(__xludf.DUMMYFUNCTION("IFERROR(VLOOKUP(E519&amp;F519,IMPORTRANGE(""https://docs.google.com/spreadsheets/d/1Uw7-A9f9R21vMXxHZFNpYNeKFtG8_yji4HS352LGlSQ/edit?pli=1#gid=0"",""1_ACUM!A4:S""),13,FALSE))"),"")</f>
        <v/>
      </c>
      <c r="AE496" s="43" t="str">
        <f ca="1">IFERROR(__xludf.DUMMYFUNCTION("IFERROR(VLOOKUP(E519&amp;F519,IMPORTRANGE(""https://docs.google.com/spreadsheets/d/1Uw7-A9f9R21vMXxHZFNpYNeKFtG8_yji4HS352LGlSQ/edit?pli=1#gid=0"",""1_ACUM!A4:S""),14,FALSE))"),"")</f>
        <v/>
      </c>
      <c r="AF496" s="43" t="str">
        <f ca="1">IFERROR(__xludf.DUMMYFUNCTION("IFERROR(VLOOKUP(E519&amp;F519,IMPORTRANGE(""https://docs.google.com/spreadsheets/d/1Uw7-A9f9R21vMXxHZFNpYNeKFtG8_yji4HS352LGlSQ/edit?pli=1#gid=0"",""1_ACUM!A4:S""),15,FALSE))"),"")</f>
        <v/>
      </c>
      <c r="AG496" s="43" t="str">
        <f ca="1">IFERROR(__xludf.DUMMYFUNCTION("IFERROR(VLOOKUP(E519&amp;F519,IMPORTRANGE(""https://docs.google.com/spreadsheets/d/1Uw7-A9f9R21vMXxHZFNpYNeKFtG8_yji4HS352LGlSQ/edit?pli=1#gid=0"",""1_ACUM!A4:S""),16,FALSE))"),"")</f>
        <v/>
      </c>
      <c r="AH496" s="43" t="str">
        <f ca="1">IFERROR(__xludf.DUMMYFUNCTION("IFERROR(VLOOKUP(E519&amp;F519,IMPORTRANGE(""https://docs.google.com/spreadsheets/d/1Uw7-A9f9R21vMXxHZFNpYNeKFtG8_yji4HS352LGlSQ/edit?pli=1#gid=0"",""1_ACUM!A4:S""),17,FALSE))"),"")</f>
        <v/>
      </c>
      <c r="AI496" s="44" t="str">
        <f ca="1">IFERROR(__xludf.DUMMYFUNCTION("IFERROR(VLOOKUP(E519&amp;F519,IMPORTRANGE(""https://docs.google.com/spreadsheets/d/1Uw7-A9f9R21vMXxHZFNpYNeKFtG8_yji4HS352LGlSQ/edit?pli=1#gid=0"",""1_ACUM!A4:S""),18,FALSE))"),"")</f>
        <v/>
      </c>
      <c r="AJ496" s="44" t="str">
        <f ca="1">IFERROR(__xludf.DUMMYFUNCTION("IFERROR(VLOOKUP(E519&amp;F519,IMPORTRANGE(""https://docs.google.com/spreadsheets/d/1Uw7-A9f9R21vMXxHZFNpYNeKFtG8_yji4HS352LGlSQ/edit?pli=1#gid=0"",""1_ACUM!A4:S""),19,FALSE))"),"")</f>
        <v/>
      </c>
      <c r="AK496" s="98" t="str">
        <f ca="1">IFERROR(__xludf.DUMMYFUNCTION("IFERROR(VLOOKUP(F519,IMPORTRANGE(""https://docs.google.com/spreadsheets/d/1Kvs4KS76FHFqLFIZfrDMff4kP08nblUkihrxltoGBjg/edit#gid=934712705"",""ESENCIAL!A6:BG""),5,FALSE))"),"")</f>
        <v/>
      </c>
      <c r="AL496" s="98" t="str">
        <f t="shared" si="31"/>
        <v/>
      </c>
      <c r="AM496" s="99" t="str">
        <f t="shared" si="32"/>
        <v/>
      </c>
      <c r="AN496" s="100" t="str">
        <f ca="1">IFERROR(__xludf.DUMMYFUNCTION("IFERROR(VLOOKUP(F519,IMPORTRANGE(""https://docs.google.com/spreadsheets/d/1Kvs4KS76FHFqLFIZfrDMff4kP08nblUkihrxltoGBjg/edit#gid=934712705"",""ESENCIAL!A6:BG""),2,FALSE))"),"")</f>
        <v/>
      </c>
      <c r="AO496" s="19" t="str">
        <f t="shared" si="33"/>
        <v/>
      </c>
      <c r="AP496" s="100"/>
      <c r="AQ496" s="100"/>
    </row>
    <row r="497" spans="1:43" ht="15">
      <c r="A497" s="5"/>
      <c r="B497" s="5"/>
      <c r="G497" s="5" t="str">
        <f ca="1">IFERROR(__xludf.DUMMYFUNCTION("IFERROR(VLOOKUP(F520,IMPORTRANGE(""https://docs.google.com/spreadsheets/d/1Kvs4KS76FHFqLFIZfrDMff4kP08nblUkihrxltoGBjg/edit#gid=934712705"",""ESENCIAL!A6:BG""),3,FALSE))"),"")</f>
        <v/>
      </c>
      <c r="H497" s="5" t="str">
        <f ca="1">IFERROR(__xludf.DUMMYFUNCTION("IFERROR(VLOOKUP(F520,IMPORTRANGE(""https://docs.google.com/spreadsheets/d/1Kvs4KS76FHFqLFIZfrDMff4kP08nblUkihrxltoGBjg/edit#gid=934712705"",""ESENCIAL!A6:BG""),8,FALSE))"),"")</f>
        <v/>
      </c>
      <c r="L497" s="287"/>
      <c r="Z497" s="41" t="str">
        <f t="shared" si="30"/>
        <v/>
      </c>
      <c r="AA497" s="5" t="str">
        <f ca="1">IFERROR(__xludf.DUMMYFUNCTION("IFERROR(VLOOKUP(E520&amp;F520,IMPORTRANGE(""https://docs.google.com/spreadsheets/d/1Uw7-A9f9R21vMXxHZFNpYNeKFtG8_yji4HS352LGlSQ/edit?pli=1#gid=0"",""1_ACUM!A4:S""),11,FALSE))"),"")</f>
        <v/>
      </c>
      <c r="AB497" s="42" t="str">
        <f ca="1">IFERROR(__xludf.DUMMYFUNCTION("IFERROR(VLOOKUP(F520,IMPORTRANGE(""https://docs.google.com/spreadsheets/d/1Kvs4KS76FHFqLFIZfrDMff4kP08nblUkihrxltoGBjg/edit#gid=934712705"",""ESENCIAL!A6:BG""),15,FALSE))"),"")</f>
        <v/>
      </c>
      <c r="AC497" s="110" t="str">
        <f ca="1">IFERROR(__xludf.DUMMYFUNCTION("IFERROR(VLOOKUP(E520&amp;F520,IMPORTRANGE(""https://docs.google.com/spreadsheets/d/1Uw7-A9f9R21vMXxHZFNpYNeKFtG8_yji4HS352LGlSQ/edit?pli=1#gid=0"",""1_ACUM!A4:S""),13,FALSE))"),"")</f>
        <v/>
      </c>
      <c r="AD497" s="43" t="str">
        <f ca="1">IFERROR(__xludf.DUMMYFUNCTION("IFERROR(VLOOKUP(E520&amp;F520,IMPORTRANGE(""https://docs.google.com/spreadsheets/d/1Uw7-A9f9R21vMXxHZFNpYNeKFtG8_yji4HS352LGlSQ/edit?pli=1#gid=0"",""1_ACUM!A4:S""),13,FALSE))"),"")</f>
        <v/>
      </c>
      <c r="AE497" s="43" t="str">
        <f ca="1">IFERROR(__xludf.DUMMYFUNCTION("IFERROR(VLOOKUP(E520&amp;F520,IMPORTRANGE(""https://docs.google.com/spreadsheets/d/1Uw7-A9f9R21vMXxHZFNpYNeKFtG8_yji4HS352LGlSQ/edit?pli=1#gid=0"",""1_ACUM!A4:S""),14,FALSE))"),"")</f>
        <v/>
      </c>
      <c r="AF497" s="43" t="str">
        <f ca="1">IFERROR(__xludf.DUMMYFUNCTION("IFERROR(VLOOKUP(E520&amp;F520,IMPORTRANGE(""https://docs.google.com/spreadsheets/d/1Uw7-A9f9R21vMXxHZFNpYNeKFtG8_yji4HS352LGlSQ/edit?pli=1#gid=0"",""1_ACUM!A4:S""),15,FALSE))"),"")</f>
        <v/>
      </c>
      <c r="AG497" s="43" t="str">
        <f ca="1">IFERROR(__xludf.DUMMYFUNCTION("IFERROR(VLOOKUP(E520&amp;F520,IMPORTRANGE(""https://docs.google.com/spreadsheets/d/1Uw7-A9f9R21vMXxHZFNpYNeKFtG8_yji4HS352LGlSQ/edit?pli=1#gid=0"",""1_ACUM!A4:S""),16,FALSE))"),"")</f>
        <v/>
      </c>
      <c r="AH497" s="43" t="str">
        <f ca="1">IFERROR(__xludf.DUMMYFUNCTION("IFERROR(VLOOKUP(E520&amp;F520,IMPORTRANGE(""https://docs.google.com/spreadsheets/d/1Uw7-A9f9R21vMXxHZFNpYNeKFtG8_yji4HS352LGlSQ/edit?pli=1#gid=0"",""1_ACUM!A4:S""),17,FALSE))"),"")</f>
        <v/>
      </c>
      <c r="AI497" s="44" t="str">
        <f ca="1">IFERROR(__xludf.DUMMYFUNCTION("IFERROR(VLOOKUP(E520&amp;F520,IMPORTRANGE(""https://docs.google.com/spreadsheets/d/1Uw7-A9f9R21vMXxHZFNpYNeKFtG8_yji4HS352LGlSQ/edit?pli=1#gid=0"",""1_ACUM!A4:S""),18,FALSE))"),"")</f>
        <v/>
      </c>
      <c r="AJ497" s="44" t="str">
        <f ca="1">IFERROR(__xludf.DUMMYFUNCTION("IFERROR(VLOOKUP(E520&amp;F520,IMPORTRANGE(""https://docs.google.com/spreadsheets/d/1Uw7-A9f9R21vMXxHZFNpYNeKFtG8_yji4HS352LGlSQ/edit?pli=1#gid=0"",""1_ACUM!A4:S""),19,FALSE))"),"")</f>
        <v/>
      </c>
      <c r="AK497" s="98" t="str">
        <f ca="1">IFERROR(__xludf.DUMMYFUNCTION("IFERROR(VLOOKUP(F520,IMPORTRANGE(""https://docs.google.com/spreadsheets/d/1Kvs4KS76FHFqLFIZfrDMff4kP08nblUkihrxltoGBjg/edit#gid=934712705"",""ESENCIAL!A6:BG""),5,FALSE))"),"")</f>
        <v/>
      </c>
      <c r="AL497" s="98" t="str">
        <f t="shared" si="31"/>
        <v/>
      </c>
      <c r="AM497" s="99" t="str">
        <f t="shared" si="32"/>
        <v/>
      </c>
      <c r="AN497" s="100" t="str">
        <f ca="1">IFERROR(__xludf.DUMMYFUNCTION("IFERROR(VLOOKUP(F520,IMPORTRANGE(""https://docs.google.com/spreadsheets/d/1Kvs4KS76FHFqLFIZfrDMff4kP08nblUkihrxltoGBjg/edit#gid=934712705"",""ESENCIAL!A6:BG""),2,FALSE))"),"")</f>
        <v/>
      </c>
      <c r="AO497" s="19" t="str">
        <f t="shared" si="33"/>
        <v/>
      </c>
      <c r="AP497" s="100"/>
      <c r="AQ497" s="100"/>
    </row>
    <row r="498" spans="1:43" ht="15">
      <c r="A498" s="5"/>
      <c r="B498" s="5"/>
      <c r="G498" s="5" t="str">
        <f ca="1">IFERROR(__xludf.DUMMYFUNCTION("IFERROR(VLOOKUP(F521,IMPORTRANGE(""https://docs.google.com/spreadsheets/d/1Kvs4KS76FHFqLFIZfrDMff4kP08nblUkihrxltoGBjg/edit#gid=934712705"",""ESENCIAL!A6:BG""),3,FALSE))"),"")</f>
        <v/>
      </c>
      <c r="H498" s="5" t="str">
        <f ca="1">IFERROR(__xludf.DUMMYFUNCTION("IFERROR(VLOOKUP(F521,IMPORTRANGE(""https://docs.google.com/spreadsheets/d/1Kvs4KS76FHFqLFIZfrDMff4kP08nblUkihrxltoGBjg/edit#gid=934712705"",""ESENCIAL!A6:BG""),8,FALSE))"),"")</f>
        <v/>
      </c>
      <c r="L498" s="287"/>
      <c r="Z498" s="41" t="str">
        <f t="shared" si="30"/>
        <v/>
      </c>
      <c r="AA498" s="5" t="str">
        <f ca="1">IFERROR(__xludf.DUMMYFUNCTION("IFERROR(VLOOKUP(E521&amp;F521,IMPORTRANGE(""https://docs.google.com/spreadsheets/d/1Uw7-A9f9R21vMXxHZFNpYNeKFtG8_yji4HS352LGlSQ/edit?pli=1#gid=0"",""1_ACUM!A4:S""),11,FALSE))"),"")</f>
        <v/>
      </c>
      <c r="AB498" s="42" t="str">
        <f ca="1">IFERROR(__xludf.DUMMYFUNCTION("IFERROR(VLOOKUP(F521,IMPORTRANGE(""https://docs.google.com/spreadsheets/d/1Kvs4KS76FHFqLFIZfrDMff4kP08nblUkihrxltoGBjg/edit#gid=934712705"",""ESENCIAL!A6:BG""),15,FALSE))"),"")</f>
        <v/>
      </c>
      <c r="AC498" s="110" t="str">
        <f ca="1">IFERROR(__xludf.DUMMYFUNCTION("IFERROR(VLOOKUP(E521&amp;F521,IMPORTRANGE(""https://docs.google.com/spreadsheets/d/1Uw7-A9f9R21vMXxHZFNpYNeKFtG8_yji4HS352LGlSQ/edit?pli=1#gid=0"",""1_ACUM!A4:S""),13,FALSE))"),"")</f>
        <v/>
      </c>
      <c r="AD498" s="43" t="str">
        <f ca="1">IFERROR(__xludf.DUMMYFUNCTION("IFERROR(VLOOKUP(E521&amp;F521,IMPORTRANGE(""https://docs.google.com/spreadsheets/d/1Uw7-A9f9R21vMXxHZFNpYNeKFtG8_yji4HS352LGlSQ/edit?pli=1#gid=0"",""1_ACUM!A4:S""),13,FALSE))"),"")</f>
        <v/>
      </c>
      <c r="AE498" s="43" t="str">
        <f ca="1">IFERROR(__xludf.DUMMYFUNCTION("IFERROR(VLOOKUP(E521&amp;F521,IMPORTRANGE(""https://docs.google.com/spreadsheets/d/1Uw7-A9f9R21vMXxHZFNpYNeKFtG8_yji4HS352LGlSQ/edit?pli=1#gid=0"",""1_ACUM!A4:S""),14,FALSE))"),"")</f>
        <v/>
      </c>
      <c r="AF498" s="43" t="str">
        <f ca="1">IFERROR(__xludf.DUMMYFUNCTION("IFERROR(VLOOKUP(E521&amp;F521,IMPORTRANGE(""https://docs.google.com/spreadsheets/d/1Uw7-A9f9R21vMXxHZFNpYNeKFtG8_yji4HS352LGlSQ/edit?pli=1#gid=0"",""1_ACUM!A4:S""),15,FALSE))"),"")</f>
        <v/>
      </c>
      <c r="AG498" s="43" t="str">
        <f ca="1">IFERROR(__xludf.DUMMYFUNCTION("IFERROR(VLOOKUP(E521&amp;F521,IMPORTRANGE(""https://docs.google.com/spreadsheets/d/1Uw7-A9f9R21vMXxHZFNpYNeKFtG8_yji4HS352LGlSQ/edit?pli=1#gid=0"",""1_ACUM!A4:S""),16,FALSE))"),"")</f>
        <v/>
      </c>
      <c r="AH498" s="43" t="str">
        <f ca="1">IFERROR(__xludf.DUMMYFUNCTION("IFERROR(VLOOKUP(E521&amp;F521,IMPORTRANGE(""https://docs.google.com/spreadsheets/d/1Uw7-A9f9R21vMXxHZFNpYNeKFtG8_yji4HS352LGlSQ/edit?pli=1#gid=0"",""1_ACUM!A4:S""),17,FALSE))"),"")</f>
        <v/>
      </c>
      <c r="AI498" s="44" t="str">
        <f ca="1">IFERROR(__xludf.DUMMYFUNCTION("IFERROR(VLOOKUP(E521&amp;F521,IMPORTRANGE(""https://docs.google.com/spreadsheets/d/1Uw7-A9f9R21vMXxHZFNpYNeKFtG8_yji4HS352LGlSQ/edit?pli=1#gid=0"",""1_ACUM!A4:S""),18,FALSE))"),"")</f>
        <v/>
      </c>
      <c r="AJ498" s="44" t="str">
        <f ca="1">IFERROR(__xludf.DUMMYFUNCTION("IFERROR(VLOOKUP(E521&amp;F521,IMPORTRANGE(""https://docs.google.com/spreadsheets/d/1Uw7-A9f9R21vMXxHZFNpYNeKFtG8_yji4HS352LGlSQ/edit?pli=1#gid=0"",""1_ACUM!A4:S""),19,FALSE))"),"")</f>
        <v/>
      </c>
      <c r="AK498" s="98" t="str">
        <f ca="1">IFERROR(__xludf.DUMMYFUNCTION("IFERROR(VLOOKUP(F521,IMPORTRANGE(""https://docs.google.com/spreadsheets/d/1Kvs4KS76FHFqLFIZfrDMff4kP08nblUkihrxltoGBjg/edit#gid=934712705"",""ESENCIAL!A6:BG""),5,FALSE))"),"")</f>
        <v/>
      </c>
      <c r="AL498" s="98" t="str">
        <f t="shared" si="31"/>
        <v/>
      </c>
      <c r="AM498" s="99" t="str">
        <f t="shared" si="32"/>
        <v/>
      </c>
      <c r="AN498" s="100" t="str">
        <f ca="1">IFERROR(__xludf.DUMMYFUNCTION("IFERROR(VLOOKUP(F521,IMPORTRANGE(""https://docs.google.com/spreadsheets/d/1Kvs4KS76FHFqLFIZfrDMff4kP08nblUkihrxltoGBjg/edit#gid=934712705"",""ESENCIAL!A6:BG""),2,FALSE))"),"")</f>
        <v/>
      </c>
      <c r="AO498" s="19" t="str">
        <f t="shared" si="33"/>
        <v/>
      </c>
      <c r="AP498" s="100"/>
      <c r="AQ498" s="100"/>
    </row>
    <row r="499" spans="1:43" ht="15">
      <c r="A499" s="5"/>
      <c r="B499" s="5"/>
      <c r="G499" s="5" t="str">
        <f ca="1">IFERROR(__xludf.DUMMYFUNCTION("IFERROR(VLOOKUP(F522,IMPORTRANGE(""https://docs.google.com/spreadsheets/d/1Kvs4KS76FHFqLFIZfrDMff4kP08nblUkihrxltoGBjg/edit#gid=934712705"",""ESENCIAL!A6:BG""),3,FALSE))"),"")</f>
        <v/>
      </c>
      <c r="H499" s="5" t="str">
        <f ca="1">IFERROR(__xludf.DUMMYFUNCTION("IFERROR(VLOOKUP(F522,IMPORTRANGE(""https://docs.google.com/spreadsheets/d/1Kvs4KS76FHFqLFIZfrDMff4kP08nblUkihrxltoGBjg/edit#gid=934712705"",""ESENCIAL!A6:BG""),8,FALSE))"),"")</f>
        <v/>
      </c>
      <c r="L499" s="287"/>
      <c r="Z499" s="41" t="str">
        <f t="shared" si="30"/>
        <v/>
      </c>
      <c r="AA499" s="5" t="str">
        <f ca="1">IFERROR(__xludf.DUMMYFUNCTION("IFERROR(VLOOKUP(E522&amp;F522,IMPORTRANGE(""https://docs.google.com/spreadsheets/d/1Uw7-A9f9R21vMXxHZFNpYNeKFtG8_yji4HS352LGlSQ/edit?pli=1#gid=0"",""1_ACUM!A4:S""),11,FALSE))"),"")</f>
        <v/>
      </c>
      <c r="AB499" s="42" t="str">
        <f ca="1">IFERROR(__xludf.DUMMYFUNCTION("IFERROR(VLOOKUP(F522,IMPORTRANGE(""https://docs.google.com/spreadsheets/d/1Kvs4KS76FHFqLFIZfrDMff4kP08nblUkihrxltoGBjg/edit#gid=934712705"",""ESENCIAL!A6:BG""),15,FALSE))"),"")</f>
        <v/>
      </c>
      <c r="AC499" s="110" t="str">
        <f ca="1">IFERROR(__xludf.DUMMYFUNCTION("IFERROR(VLOOKUP(E522&amp;F522,IMPORTRANGE(""https://docs.google.com/spreadsheets/d/1Uw7-A9f9R21vMXxHZFNpYNeKFtG8_yji4HS352LGlSQ/edit?pli=1#gid=0"",""1_ACUM!A4:S""),13,FALSE))"),"")</f>
        <v/>
      </c>
      <c r="AD499" s="43" t="str">
        <f ca="1">IFERROR(__xludf.DUMMYFUNCTION("IFERROR(VLOOKUP(E522&amp;F522,IMPORTRANGE(""https://docs.google.com/spreadsheets/d/1Uw7-A9f9R21vMXxHZFNpYNeKFtG8_yji4HS352LGlSQ/edit?pli=1#gid=0"",""1_ACUM!A4:S""),13,FALSE))"),"")</f>
        <v/>
      </c>
      <c r="AE499" s="43" t="str">
        <f ca="1">IFERROR(__xludf.DUMMYFUNCTION("IFERROR(VLOOKUP(E522&amp;F522,IMPORTRANGE(""https://docs.google.com/spreadsheets/d/1Uw7-A9f9R21vMXxHZFNpYNeKFtG8_yji4HS352LGlSQ/edit?pli=1#gid=0"",""1_ACUM!A4:S""),14,FALSE))"),"")</f>
        <v/>
      </c>
      <c r="AF499" s="43" t="str">
        <f ca="1">IFERROR(__xludf.DUMMYFUNCTION("IFERROR(VLOOKUP(E522&amp;F522,IMPORTRANGE(""https://docs.google.com/spreadsheets/d/1Uw7-A9f9R21vMXxHZFNpYNeKFtG8_yji4HS352LGlSQ/edit?pli=1#gid=0"",""1_ACUM!A4:S""),15,FALSE))"),"")</f>
        <v/>
      </c>
      <c r="AG499" s="43" t="str">
        <f ca="1">IFERROR(__xludf.DUMMYFUNCTION("IFERROR(VLOOKUP(E522&amp;F522,IMPORTRANGE(""https://docs.google.com/spreadsheets/d/1Uw7-A9f9R21vMXxHZFNpYNeKFtG8_yji4HS352LGlSQ/edit?pli=1#gid=0"",""1_ACUM!A4:S""),16,FALSE))"),"")</f>
        <v/>
      </c>
      <c r="AH499" s="43" t="str">
        <f ca="1">IFERROR(__xludf.DUMMYFUNCTION("IFERROR(VLOOKUP(E522&amp;F522,IMPORTRANGE(""https://docs.google.com/spreadsheets/d/1Uw7-A9f9R21vMXxHZFNpYNeKFtG8_yji4HS352LGlSQ/edit?pli=1#gid=0"",""1_ACUM!A4:S""),17,FALSE))"),"")</f>
        <v/>
      </c>
      <c r="AI499" s="44" t="str">
        <f ca="1">IFERROR(__xludf.DUMMYFUNCTION("IFERROR(VLOOKUP(E522&amp;F522,IMPORTRANGE(""https://docs.google.com/spreadsheets/d/1Uw7-A9f9R21vMXxHZFNpYNeKFtG8_yji4HS352LGlSQ/edit?pli=1#gid=0"",""1_ACUM!A4:S""),18,FALSE))"),"")</f>
        <v/>
      </c>
      <c r="AJ499" s="44" t="str">
        <f ca="1">IFERROR(__xludf.DUMMYFUNCTION("IFERROR(VLOOKUP(E522&amp;F522,IMPORTRANGE(""https://docs.google.com/spreadsheets/d/1Uw7-A9f9R21vMXxHZFNpYNeKFtG8_yji4HS352LGlSQ/edit?pli=1#gid=0"",""1_ACUM!A4:S""),19,FALSE))"),"")</f>
        <v/>
      </c>
      <c r="AK499" s="98" t="str">
        <f ca="1">IFERROR(__xludf.DUMMYFUNCTION("IFERROR(VLOOKUP(F522,IMPORTRANGE(""https://docs.google.com/spreadsheets/d/1Kvs4KS76FHFqLFIZfrDMff4kP08nblUkihrxltoGBjg/edit#gid=934712705"",""ESENCIAL!A6:BG""),5,FALSE))"),"")</f>
        <v/>
      </c>
      <c r="AL499" s="98" t="str">
        <f t="shared" si="31"/>
        <v/>
      </c>
      <c r="AM499" s="99" t="str">
        <f t="shared" si="32"/>
        <v/>
      </c>
      <c r="AN499" s="100" t="str">
        <f ca="1">IFERROR(__xludf.DUMMYFUNCTION("IFERROR(VLOOKUP(F522,IMPORTRANGE(""https://docs.google.com/spreadsheets/d/1Kvs4KS76FHFqLFIZfrDMff4kP08nblUkihrxltoGBjg/edit#gid=934712705"",""ESENCIAL!A6:BG""),2,FALSE))"),"")</f>
        <v/>
      </c>
      <c r="AO499" s="19" t="str">
        <f t="shared" si="33"/>
        <v/>
      </c>
      <c r="AP499" s="100"/>
      <c r="AQ499" s="100"/>
    </row>
    <row r="500" spans="1:43" ht="15">
      <c r="A500" s="5"/>
      <c r="B500" s="5"/>
      <c r="G500" s="5" t="str">
        <f ca="1">IFERROR(__xludf.DUMMYFUNCTION("IFERROR(VLOOKUP(F523,IMPORTRANGE(""https://docs.google.com/spreadsheets/d/1Kvs4KS76FHFqLFIZfrDMff4kP08nblUkihrxltoGBjg/edit#gid=934712705"",""ESENCIAL!A6:BG""),3,FALSE))"),"")</f>
        <v/>
      </c>
      <c r="H500" s="5" t="str">
        <f ca="1">IFERROR(__xludf.DUMMYFUNCTION("IFERROR(VLOOKUP(F523,IMPORTRANGE(""https://docs.google.com/spreadsheets/d/1Kvs4KS76FHFqLFIZfrDMff4kP08nblUkihrxltoGBjg/edit#gid=934712705"",""ESENCIAL!A6:BG""),8,FALSE))"),"")</f>
        <v/>
      </c>
      <c r="L500" s="287"/>
      <c r="Z500" s="41" t="str">
        <f t="shared" si="30"/>
        <v/>
      </c>
      <c r="AA500" s="5" t="str">
        <f ca="1">IFERROR(__xludf.DUMMYFUNCTION("IFERROR(VLOOKUP(E523&amp;F523,IMPORTRANGE(""https://docs.google.com/spreadsheets/d/1Uw7-A9f9R21vMXxHZFNpYNeKFtG8_yji4HS352LGlSQ/edit?pli=1#gid=0"",""1_ACUM!A4:S""),11,FALSE))"),"")</f>
        <v/>
      </c>
      <c r="AB500" s="42" t="str">
        <f ca="1">IFERROR(__xludf.DUMMYFUNCTION("IFERROR(VLOOKUP(F523,IMPORTRANGE(""https://docs.google.com/spreadsheets/d/1Kvs4KS76FHFqLFIZfrDMff4kP08nblUkihrxltoGBjg/edit#gid=934712705"",""ESENCIAL!A6:BG""),15,FALSE))"),"")</f>
        <v/>
      </c>
      <c r="AC500" s="110" t="str">
        <f ca="1">IFERROR(__xludf.DUMMYFUNCTION("IFERROR(VLOOKUP(E523&amp;F523,IMPORTRANGE(""https://docs.google.com/spreadsheets/d/1Uw7-A9f9R21vMXxHZFNpYNeKFtG8_yji4HS352LGlSQ/edit?pli=1#gid=0"",""1_ACUM!A4:S""),13,FALSE))"),"")</f>
        <v/>
      </c>
      <c r="AD500" s="43" t="str">
        <f ca="1">IFERROR(__xludf.DUMMYFUNCTION("IFERROR(VLOOKUP(E523&amp;F523,IMPORTRANGE(""https://docs.google.com/spreadsheets/d/1Uw7-A9f9R21vMXxHZFNpYNeKFtG8_yji4HS352LGlSQ/edit?pli=1#gid=0"",""1_ACUM!A4:S""),13,FALSE))"),"")</f>
        <v/>
      </c>
      <c r="AE500" s="43" t="str">
        <f ca="1">IFERROR(__xludf.DUMMYFUNCTION("IFERROR(VLOOKUP(E523&amp;F523,IMPORTRANGE(""https://docs.google.com/spreadsheets/d/1Uw7-A9f9R21vMXxHZFNpYNeKFtG8_yji4HS352LGlSQ/edit?pli=1#gid=0"",""1_ACUM!A4:S""),14,FALSE))"),"")</f>
        <v/>
      </c>
      <c r="AF500" s="43" t="str">
        <f ca="1">IFERROR(__xludf.DUMMYFUNCTION("IFERROR(VLOOKUP(E523&amp;F523,IMPORTRANGE(""https://docs.google.com/spreadsheets/d/1Uw7-A9f9R21vMXxHZFNpYNeKFtG8_yji4HS352LGlSQ/edit?pli=1#gid=0"",""1_ACUM!A4:S""),15,FALSE))"),"")</f>
        <v/>
      </c>
      <c r="AG500" s="43" t="str">
        <f ca="1">IFERROR(__xludf.DUMMYFUNCTION("IFERROR(VLOOKUP(E523&amp;F523,IMPORTRANGE(""https://docs.google.com/spreadsheets/d/1Uw7-A9f9R21vMXxHZFNpYNeKFtG8_yji4HS352LGlSQ/edit?pli=1#gid=0"",""1_ACUM!A4:S""),16,FALSE))"),"")</f>
        <v/>
      </c>
      <c r="AH500" s="43" t="str">
        <f ca="1">IFERROR(__xludf.DUMMYFUNCTION("IFERROR(VLOOKUP(E523&amp;F523,IMPORTRANGE(""https://docs.google.com/spreadsheets/d/1Uw7-A9f9R21vMXxHZFNpYNeKFtG8_yji4HS352LGlSQ/edit?pli=1#gid=0"",""1_ACUM!A4:S""),17,FALSE))"),"")</f>
        <v/>
      </c>
      <c r="AI500" s="44" t="str">
        <f ca="1">IFERROR(__xludf.DUMMYFUNCTION("IFERROR(VLOOKUP(E523&amp;F523,IMPORTRANGE(""https://docs.google.com/spreadsheets/d/1Uw7-A9f9R21vMXxHZFNpYNeKFtG8_yji4HS352LGlSQ/edit?pli=1#gid=0"",""1_ACUM!A4:S""),18,FALSE))"),"")</f>
        <v/>
      </c>
      <c r="AJ500" s="44" t="str">
        <f ca="1">IFERROR(__xludf.DUMMYFUNCTION("IFERROR(VLOOKUP(E523&amp;F523,IMPORTRANGE(""https://docs.google.com/spreadsheets/d/1Uw7-A9f9R21vMXxHZFNpYNeKFtG8_yji4HS352LGlSQ/edit?pli=1#gid=0"",""1_ACUM!A4:S""),19,FALSE))"),"")</f>
        <v/>
      </c>
      <c r="AK500" s="98" t="str">
        <f ca="1">IFERROR(__xludf.DUMMYFUNCTION("IFERROR(VLOOKUP(F523,IMPORTRANGE(""https://docs.google.com/spreadsheets/d/1Kvs4KS76FHFqLFIZfrDMff4kP08nblUkihrxltoGBjg/edit#gid=934712705"",""ESENCIAL!A6:BG""),5,FALSE))"),"")</f>
        <v/>
      </c>
      <c r="AL500" s="98" t="str">
        <f t="shared" si="31"/>
        <v/>
      </c>
      <c r="AM500" s="99" t="str">
        <f t="shared" si="32"/>
        <v/>
      </c>
      <c r="AN500" s="100" t="str">
        <f ca="1">IFERROR(__xludf.DUMMYFUNCTION("IFERROR(VLOOKUP(F523,IMPORTRANGE(""https://docs.google.com/spreadsheets/d/1Kvs4KS76FHFqLFIZfrDMff4kP08nblUkihrxltoGBjg/edit#gid=934712705"",""ESENCIAL!A6:BG""),2,FALSE))"),"")</f>
        <v/>
      </c>
      <c r="AO500" s="19" t="str">
        <f t="shared" si="33"/>
        <v/>
      </c>
      <c r="AP500" s="100"/>
      <c r="AQ500" s="100"/>
    </row>
    <row r="501" spans="1:43" ht="15">
      <c r="A501" s="5"/>
      <c r="B501" s="5"/>
      <c r="G501" s="5" t="str">
        <f ca="1">IFERROR(__xludf.DUMMYFUNCTION("IFERROR(VLOOKUP(F524,IMPORTRANGE(""https://docs.google.com/spreadsheets/d/1Kvs4KS76FHFqLFIZfrDMff4kP08nblUkihrxltoGBjg/edit#gid=934712705"",""ESENCIAL!A6:BG""),3,FALSE))"),"")</f>
        <v/>
      </c>
      <c r="H501" s="5" t="str">
        <f ca="1">IFERROR(__xludf.DUMMYFUNCTION("IFERROR(VLOOKUP(F524,IMPORTRANGE(""https://docs.google.com/spreadsheets/d/1Kvs4KS76FHFqLFIZfrDMff4kP08nblUkihrxltoGBjg/edit#gid=934712705"",""ESENCIAL!A6:BG""),8,FALSE))"),"")</f>
        <v/>
      </c>
      <c r="L501" s="287"/>
      <c r="Z501" s="41" t="str">
        <f t="shared" si="30"/>
        <v/>
      </c>
      <c r="AA501" s="5" t="str">
        <f ca="1">IFERROR(__xludf.DUMMYFUNCTION("IFERROR(VLOOKUP(E524&amp;F524,IMPORTRANGE(""https://docs.google.com/spreadsheets/d/1Uw7-A9f9R21vMXxHZFNpYNeKFtG8_yji4HS352LGlSQ/edit?pli=1#gid=0"",""1_ACUM!A4:S""),11,FALSE))"),"")</f>
        <v/>
      </c>
      <c r="AB501" s="42" t="str">
        <f ca="1">IFERROR(__xludf.DUMMYFUNCTION("IFERROR(VLOOKUP(F524,IMPORTRANGE(""https://docs.google.com/spreadsheets/d/1Kvs4KS76FHFqLFIZfrDMff4kP08nblUkihrxltoGBjg/edit#gid=934712705"",""ESENCIAL!A6:BG""),15,FALSE))"),"")</f>
        <v/>
      </c>
      <c r="AC501" s="110" t="str">
        <f ca="1">IFERROR(__xludf.DUMMYFUNCTION("IFERROR(VLOOKUP(E524&amp;F524,IMPORTRANGE(""https://docs.google.com/spreadsheets/d/1Uw7-A9f9R21vMXxHZFNpYNeKFtG8_yji4HS352LGlSQ/edit?pli=1#gid=0"",""1_ACUM!A4:S""),13,FALSE))"),"")</f>
        <v/>
      </c>
      <c r="AD501" s="43" t="str">
        <f ca="1">IFERROR(__xludf.DUMMYFUNCTION("IFERROR(VLOOKUP(E524&amp;F524,IMPORTRANGE(""https://docs.google.com/spreadsheets/d/1Uw7-A9f9R21vMXxHZFNpYNeKFtG8_yji4HS352LGlSQ/edit?pli=1#gid=0"",""1_ACUM!A4:S""),13,FALSE))"),"")</f>
        <v/>
      </c>
      <c r="AE501" s="43" t="str">
        <f ca="1">IFERROR(__xludf.DUMMYFUNCTION("IFERROR(VLOOKUP(E524&amp;F524,IMPORTRANGE(""https://docs.google.com/spreadsheets/d/1Uw7-A9f9R21vMXxHZFNpYNeKFtG8_yji4HS352LGlSQ/edit?pli=1#gid=0"",""1_ACUM!A4:S""),14,FALSE))"),"")</f>
        <v/>
      </c>
      <c r="AF501" s="43" t="str">
        <f ca="1">IFERROR(__xludf.DUMMYFUNCTION("IFERROR(VLOOKUP(E524&amp;F524,IMPORTRANGE(""https://docs.google.com/spreadsheets/d/1Uw7-A9f9R21vMXxHZFNpYNeKFtG8_yji4HS352LGlSQ/edit?pli=1#gid=0"",""1_ACUM!A4:S""),15,FALSE))"),"")</f>
        <v/>
      </c>
      <c r="AG501" s="43" t="str">
        <f ca="1">IFERROR(__xludf.DUMMYFUNCTION("IFERROR(VLOOKUP(E524&amp;F524,IMPORTRANGE(""https://docs.google.com/spreadsheets/d/1Uw7-A9f9R21vMXxHZFNpYNeKFtG8_yji4HS352LGlSQ/edit?pli=1#gid=0"",""1_ACUM!A4:S""),16,FALSE))"),"")</f>
        <v/>
      </c>
      <c r="AH501" s="43" t="str">
        <f ca="1">IFERROR(__xludf.DUMMYFUNCTION("IFERROR(VLOOKUP(E524&amp;F524,IMPORTRANGE(""https://docs.google.com/spreadsheets/d/1Uw7-A9f9R21vMXxHZFNpYNeKFtG8_yji4HS352LGlSQ/edit?pli=1#gid=0"",""1_ACUM!A4:S""),17,FALSE))"),"")</f>
        <v/>
      </c>
      <c r="AI501" s="44" t="str">
        <f ca="1">IFERROR(__xludf.DUMMYFUNCTION("IFERROR(VLOOKUP(E524&amp;F524,IMPORTRANGE(""https://docs.google.com/spreadsheets/d/1Uw7-A9f9R21vMXxHZFNpYNeKFtG8_yji4HS352LGlSQ/edit?pli=1#gid=0"",""1_ACUM!A4:S""),18,FALSE))"),"")</f>
        <v/>
      </c>
      <c r="AJ501" s="44" t="str">
        <f ca="1">IFERROR(__xludf.DUMMYFUNCTION("IFERROR(VLOOKUP(E524&amp;F524,IMPORTRANGE(""https://docs.google.com/spreadsheets/d/1Uw7-A9f9R21vMXxHZFNpYNeKFtG8_yji4HS352LGlSQ/edit?pli=1#gid=0"",""1_ACUM!A4:S""),19,FALSE))"),"")</f>
        <v/>
      </c>
      <c r="AK501" s="98" t="str">
        <f ca="1">IFERROR(__xludf.DUMMYFUNCTION("IFERROR(VLOOKUP(F524,IMPORTRANGE(""https://docs.google.com/spreadsheets/d/1Kvs4KS76FHFqLFIZfrDMff4kP08nblUkihrxltoGBjg/edit#gid=934712705"",""ESENCIAL!A6:BG""),5,FALSE))"),"")</f>
        <v/>
      </c>
      <c r="AL501" s="98" t="str">
        <f t="shared" si="31"/>
        <v/>
      </c>
      <c r="AM501" s="99" t="str">
        <f t="shared" si="32"/>
        <v/>
      </c>
      <c r="AN501" s="100" t="str">
        <f ca="1">IFERROR(__xludf.DUMMYFUNCTION("IFERROR(VLOOKUP(F524,IMPORTRANGE(""https://docs.google.com/spreadsheets/d/1Kvs4KS76FHFqLFIZfrDMff4kP08nblUkihrxltoGBjg/edit#gid=934712705"",""ESENCIAL!A6:BG""),2,FALSE))"),"")</f>
        <v/>
      </c>
      <c r="AO501" s="19" t="str">
        <f t="shared" si="33"/>
        <v/>
      </c>
      <c r="AP501" s="100"/>
      <c r="AQ501" s="100"/>
    </row>
    <row r="502" spans="1:43" ht="15">
      <c r="A502" s="5"/>
      <c r="B502" s="5"/>
      <c r="G502" s="5" t="str">
        <f ca="1">IFERROR(__xludf.DUMMYFUNCTION("IFERROR(VLOOKUP(F525,IMPORTRANGE(""https://docs.google.com/spreadsheets/d/1Kvs4KS76FHFqLFIZfrDMff4kP08nblUkihrxltoGBjg/edit#gid=934712705"",""ESENCIAL!A6:BG""),3,FALSE))"),"")</f>
        <v/>
      </c>
      <c r="H502" s="5" t="str">
        <f ca="1">IFERROR(__xludf.DUMMYFUNCTION("IFERROR(VLOOKUP(F525,IMPORTRANGE(""https://docs.google.com/spreadsheets/d/1Kvs4KS76FHFqLFIZfrDMff4kP08nblUkihrxltoGBjg/edit#gid=934712705"",""ESENCIAL!A6:BG""),8,FALSE))"),"")</f>
        <v/>
      </c>
      <c r="L502" s="287"/>
      <c r="Z502" s="41" t="str">
        <f t="shared" si="30"/>
        <v/>
      </c>
      <c r="AA502" s="5" t="str">
        <f ca="1">IFERROR(__xludf.DUMMYFUNCTION("IFERROR(VLOOKUP(E525&amp;F525,IMPORTRANGE(""https://docs.google.com/spreadsheets/d/1Uw7-A9f9R21vMXxHZFNpYNeKFtG8_yji4HS352LGlSQ/edit?pli=1#gid=0"",""1_ACUM!A4:S""),11,FALSE))"),"")</f>
        <v/>
      </c>
      <c r="AB502" s="42" t="str">
        <f ca="1">IFERROR(__xludf.DUMMYFUNCTION("IFERROR(VLOOKUP(F525,IMPORTRANGE(""https://docs.google.com/spreadsheets/d/1Kvs4KS76FHFqLFIZfrDMff4kP08nblUkihrxltoGBjg/edit#gid=934712705"",""ESENCIAL!A6:BG""),15,FALSE))"),"")</f>
        <v/>
      </c>
      <c r="AC502" s="110" t="str">
        <f ca="1">IFERROR(__xludf.DUMMYFUNCTION("IFERROR(VLOOKUP(E525&amp;F525,IMPORTRANGE(""https://docs.google.com/spreadsheets/d/1Uw7-A9f9R21vMXxHZFNpYNeKFtG8_yji4HS352LGlSQ/edit?pli=1#gid=0"",""1_ACUM!A4:S""),13,FALSE))"),"")</f>
        <v/>
      </c>
      <c r="AD502" s="43" t="str">
        <f ca="1">IFERROR(__xludf.DUMMYFUNCTION("IFERROR(VLOOKUP(E525&amp;F525,IMPORTRANGE(""https://docs.google.com/spreadsheets/d/1Uw7-A9f9R21vMXxHZFNpYNeKFtG8_yji4HS352LGlSQ/edit?pli=1#gid=0"",""1_ACUM!A4:S""),13,FALSE))"),"")</f>
        <v/>
      </c>
      <c r="AE502" s="43" t="str">
        <f ca="1">IFERROR(__xludf.DUMMYFUNCTION("IFERROR(VLOOKUP(E525&amp;F525,IMPORTRANGE(""https://docs.google.com/spreadsheets/d/1Uw7-A9f9R21vMXxHZFNpYNeKFtG8_yji4HS352LGlSQ/edit?pli=1#gid=0"",""1_ACUM!A4:S""),14,FALSE))"),"")</f>
        <v/>
      </c>
      <c r="AF502" s="43" t="str">
        <f ca="1">IFERROR(__xludf.DUMMYFUNCTION("IFERROR(VLOOKUP(E525&amp;F525,IMPORTRANGE(""https://docs.google.com/spreadsheets/d/1Uw7-A9f9R21vMXxHZFNpYNeKFtG8_yji4HS352LGlSQ/edit?pli=1#gid=0"",""1_ACUM!A4:S""),15,FALSE))"),"")</f>
        <v/>
      </c>
      <c r="AG502" s="43" t="str">
        <f ca="1">IFERROR(__xludf.DUMMYFUNCTION("IFERROR(VLOOKUP(E525&amp;F525,IMPORTRANGE(""https://docs.google.com/spreadsheets/d/1Uw7-A9f9R21vMXxHZFNpYNeKFtG8_yji4HS352LGlSQ/edit?pli=1#gid=0"",""1_ACUM!A4:S""),16,FALSE))"),"")</f>
        <v/>
      </c>
      <c r="AH502" s="43" t="str">
        <f ca="1">IFERROR(__xludf.DUMMYFUNCTION("IFERROR(VLOOKUP(E525&amp;F525,IMPORTRANGE(""https://docs.google.com/spreadsheets/d/1Uw7-A9f9R21vMXxHZFNpYNeKFtG8_yji4HS352LGlSQ/edit?pli=1#gid=0"",""1_ACUM!A4:S""),17,FALSE))"),"")</f>
        <v/>
      </c>
      <c r="AI502" s="44" t="str">
        <f ca="1">IFERROR(__xludf.DUMMYFUNCTION("IFERROR(VLOOKUP(E525&amp;F525,IMPORTRANGE(""https://docs.google.com/spreadsheets/d/1Uw7-A9f9R21vMXxHZFNpYNeKFtG8_yji4HS352LGlSQ/edit?pli=1#gid=0"",""1_ACUM!A4:S""),18,FALSE))"),"")</f>
        <v/>
      </c>
      <c r="AJ502" s="44" t="str">
        <f ca="1">IFERROR(__xludf.DUMMYFUNCTION("IFERROR(VLOOKUP(E525&amp;F525,IMPORTRANGE(""https://docs.google.com/spreadsheets/d/1Uw7-A9f9R21vMXxHZFNpYNeKFtG8_yji4HS352LGlSQ/edit?pli=1#gid=0"",""1_ACUM!A4:S""),19,FALSE))"),"")</f>
        <v/>
      </c>
      <c r="AK502" s="98" t="str">
        <f ca="1">IFERROR(__xludf.DUMMYFUNCTION("IFERROR(VLOOKUP(F525,IMPORTRANGE(""https://docs.google.com/spreadsheets/d/1Kvs4KS76FHFqLFIZfrDMff4kP08nblUkihrxltoGBjg/edit#gid=934712705"",""ESENCIAL!A6:BG""),5,FALSE))"),"")</f>
        <v/>
      </c>
      <c r="AL502" s="98" t="str">
        <f t="shared" si="31"/>
        <v/>
      </c>
      <c r="AM502" s="99" t="str">
        <f t="shared" si="32"/>
        <v/>
      </c>
      <c r="AN502" s="100" t="str">
        <f ca="1">IFERROR(__xludf.DUMMYFUNCTION("IFERROR(VLOOKUP(F525,IMPORTRANGE(""https://docs.google.com/spreadsheets/d/1Kvs4KS76FHFqLFIZfrDMff4kP08nblUkihrxltoGBjg/edit#gid=934712705"",""ESENCIAL!A6:BG""),2,FALSE))"),"")</f>
        <v/>
      </c>
      <c r="AO502" s="19" t="str">
        <f t="shared" si="33"/>
        <v/>
      </c>
      <c r="AP502" s="100"/>
      <c r="AQ502" s="100"/>
    </row>
    <row r="503" spans="1:43" ht="15">
      <c r="A503" s="5"/>
      <c r="B503" s="5"/>
      <c r="G503" s="5" t="str">
        <f ca="1">IFERROR(__xludf.DUMMYFUNCTION("IFERROR(VLOOKUP(F526,IMPORTRANGE(""https://docs.google.com/spreadsheets/d/1Kvs4KS76FHFqLFIZfrDMff4kP08nblUkihrxltoGBjg/edit#gid=934712705"",""ESENCIAL!A6:BG""),3,FALSE))"),"")</f>
        <v/>
      </c>
      <c r="H503" s="5" t="str">
        <f ca="1">IFERROR(__xludf.DUMMYFUNCTION("IFERROR(VLOOKUP(F526,IMPORTRANGE(""https://docs.google.com/spreadsheets/d/1Kvs4KS76FHFqLFIZfrDMff4kP08nblUkihrxltoGBjg/edit#gid=934712705"",""ESENCIAL!A6:BG""),8,FALSE))"),"")</f>
        <v/>
      </c>
      <c r="L503" s="287"/>
      <c r="Z503" s="41" t="str">
        <f t="shared" si="30"/>
        <v/>
      </c>
      <c r="AA503" s="5" t="str">
        <f ca="1">IFERROR(__xludf.DUMMYFUNCTION("IFERROR(VLOOKUP(E526&amp;F526,IMPORTRANGE(""https://docs.google.com/spreadsheets/d/1Uw7-A9f9R21vMXxHZFNpYNeKFtG8_yji4HS352LGlSQ/edit?pli=1#gid=0"",""1_ACUM!A4:S""),11,FALSE))"),"")</f>
        <v/>
      </c>
      <c r="AB503" s="42" t="str">
        <f ca="1">IFERROR(__xludf.DUMMYFUNCTION("IFERROR(VLOOKUP(F526,IMPORTRANGE(""https://docs.google.com/spreadsheets/d/1Kvs4KS76FHFqLFIZfrDMff4kP08nblUkihrxltoGBjg/edit#gid=934712705"",""ESENCIAL!A6:BG""),15,FALSE))"),"")</f>
        <v/>
      </c>
      <c r="AC503" s="110" t="str">
        <f ca="1">IFERROR(__xludf.DUMMYFUNCTION("IFERROR(VLOOKUP(E526&amp;F526,IMPORTRANGE(""https://docs.google.com/spreadsheets/d/1Uw7-A9f9R21vMXxHZFNpYNeKFtG8_yji4HS352LGlSQ/edit?pli=1#gid=0"",""1_ACUM!A4:S""),13,FALSE))"),"")</f>
        <v/>
      </c>
      <c r="AD503" s="43" t="str">
        <f ca="1">IFERROR(__xludf.DUMMYFUNCTION("IFERROR(VLOOKUP(E526&amp;F526,IMPORTRANGE(""https://docs.google.com/spreadsheets/d/1Uw7-A9f9R21vMXxHZFNpYNeKFtG8_yji4HS352LGlSQ/edit?pli=1#gid=0"",""1_ACUM!A4:S""),13,FALSE))"),"")</f>
        <v/>
      </c>
      <c r="AE503" s="43" t="str">
        <f ca="1">IFERROR(__xludf.DUMMYFUNCTION("IFERROR(VLOOKUP(E526&amp;F526,IMPORTRANGE(""https://docs.google.com/spreadsheets/d/1Uw7-A9f9R21vMXxHZFNpYNeKFtG8_yji4HS352LGlSQ/edit?pli=1#gid=0"",""1_ACUM!A4:S""),14,FALSE))"),"")</f>
        <v/>
      </c>
      <c r="AF503" s="43" t="str">
        <f ca="1">IFERROR(__xludf.DUMMYFUNCTION("IFERROR(VLOOKUP(E526&amp;F526,IMPORTRANGE(""https://docs.google.com/spreadsheets/d/1Uw7-A9f9R21vMXxHZFNpYNeKFtG8_yji4HS352LGlSQ/edit?pli=1#gid=0"",""1_ACUM!A4:S""),15,FALSE))"),"")</f>
        <v/>
      </c>
      <c r="AG503" s="43" t="str">
        <f ca="1">IFERROR(__xludf.DUMMYFUNCTION("IFERROR(VLOOKUP(E526&amp;F526,IMPORTRANGE(""https://docs.google.com/spreadsheets/d/1Uw7-A9f9R21vMXxHZFNpYNeKFtG8_yji4HS352LGlSQ/edit?pli=1#gid=0"",""1_ACUM!A4:S""),16,FALSE))"),"")</f>
        <v/>
      </c>
      <c r="AH503" s="43" t="str">
        <f ca="1">IFERROR(__xludf.DUMMYFUNCTION("IFERROR(VLOOKUP(E526&amp;F526,IMPORTRANGE(""https://docs.google.com/spreadsheets/d/1Uw7-A9f9R21vMXxHZFNpYNeKFtG8_yji4HS352LGlSQ/edit?pli=1#gid=0"",""1_ACUM!A4:S""),17,FALSE))"),"")</f>
        <v/>
      </c>
      <c r="AI503" s="44" t="str">
        <f ca="1">IFERROR(__xludf.DUMMYFUNCTION("IFERROR(VLOOKUP(E526&amp;F526,IMPORTRANGE(""https://docs.google.com/spreadsheets/d/1Uw7-A9f9R21vMXxHZFNpYNeKFtG8_yji4HS352LGlSQ/edit?pli=1#gid=0"",""1_ACUM!A4:S""),18,FALSE))"),"")</f>
        <v/>
      </c>
      <c r="AJ503" s="44" t="str">
        <f ca="1">IFERROR(__xludf.DUMMYFUNCTION("IFERROR(VLOOKUP(E526&amp;F526,IMPORTRANGE(""https://docs.google.com/spreadsheets/d/1Uw7-A9f9R21vMXxHZFNpYNeKFtG8_yji4HS352LGlSQ/edit?pli=1#gid=0"",""1_ACUM!A4:S""),19,FALSE))"),"")</f>
        <v/>
      </c>
      <c r="AK503" s="98" t="str">
        <f ca="1">IFERROR(__xludf.DUMMYFUNCTION("IFERROR(VLOOKUP(F526,IMPORTRANGE(""https://docs.google.com/spreadsheets/d/1Kvs4KS76FHFqLFIZfrDMff4kP08nblUkihrxltoGBjg/edit#gid=934712705"",""ESENCIAL!A6:BG""),5,FALSE))"),"")</f>
        <v/>
      </c>
      <c r="AL503" s="98" t="str">
        <f t="shared" si="31"/>
        <v/>
      </c>
      <c r="AM503" s="99" t="str">
        <f t="shared" si="32"/>
        <v/>
      </c>
      <c r="AN503" s="100" t="str">
        <f ca="1">IFERROR(__xludf.DUMMYFUNCTION("IFERROR(VLOOKUP(F526,IMPORTRANGE(""https://docs.google.com/spreadsheets/d/1Kvs4KS76FHFqLFIZfrDMff4kP08nblUkihrxltoGBjg/edit#gid=934712705"",""ESENCIAL!A6:BG""),2,FALSE))"),"")</f>
        <v/>
      </c>
      <c r="AO503" s="19" t="str">
        <f t="shared" si="33"/>
        <v/>
      </c>
      <c r="AP503" s="100"/>
      <c r="AQ503" s="100"/>
    </row>
    <row r="504" spans="1:43" ht="15">
      <c r="A504" s="5"/>
      <c r="B504" s="5"/>
      <c r="G504" s="5" t="str">
        <f ca="1">IFERROR(__xludf.DUMMYFUNCTION("IFERROR(VLOOKUP(F527,IMPORTRANGE(""https://docs.google.com/spreadsheets/d/1Kvs4KS76FHFqLFIZfrDMff4kP08nblUkihrxltoGBjg/edit#gid=934712705"",""ESENCIAL!A6:BG""),3,FALSE))"),"")</f>
        <v/>
      </c>
      <c r="H504" s="5" t="str">
        <f ca="1">IFERROR(__xludf.DUMMYFUNCTION("IFERROR(VLOOKUP(F527,IMPORTRANGE(""https://docs.google.com/spreadsheets/d/1Kvs4KS76FHFqLFIZfrDMff4kP08nblUkihrxltoGBjg/edit#gid=934712705"",""ESENCIAL!A6:BG""),8,FALSE))"),"")</f>
        <v/>
      </c>
      <c r="L504" s="287"/>
      <c r="Z504" s="41" t="str">
        <f t="shared" si="30"/>
        <v/>
      </c>
      <c r="AA504" s="5" t="str">
        <f ca="1">IFERROR(__xludf.DUMMYFUNCTION("IFERROR(VLOOKUP(E527&amp;F527,IMPORTRANGE(""https://docs.google.com/spreadsheets/d/1Uw7-A9f9R21vMXxHZFNpYNeKFtG8_yji4HS352LGlSQ/edit?pli=1#gid=0"",""1_ACUM!A4:S""),11,FALSE))"),"")</f>
        <v/>
      </c>
      <c r="AB504" s="42" t="str">
        <f ca="1">IFERROR(__xludf.DUMMYFUNCTION("IFERROR(VLOOKUP(F527,IMPORTRANGE(""https://docs.google.com/spreadsheets/d/1Kvs4KS76FHFqLFIZfrDMff4kP08nblUkihrxltoGBjg/edit#gid=934712705"",""ESENCIAL!A6:BG""),15,FALSE))"),"")</f>
        <v/>
      </c>
      <c r="AC504" s="110" t="str">
        <f ca="1">IFERROR(__xludf.DUMMYFUNCTION("IFERROR(VLOOKUP(E527&amp;F527,IMPORTRANGE(""https://docs.google.com/spreadsheets/d/1Uw7-A9f9R21vMXxHZFNpYNeKFtG8_yji4HS352LGlSQ/edit?pli=1#gid=0"",""1_ACUM!A4:S""),13,FALSE))"),"")</f>
        <v/>
      </c>
      <c r="AD504" s="43" t="str">
        <f ca="1">IFERROR(__xludf.DUMMYFUNCTION("IFERROR(VLOOKUP(E527&amp;F527,IMPORTRANGE(""https://docs.google.com/spreadsheets/d/1Uw7-A9f9R21vMXxHZFNpYNeKFtG8_yji4HS352LGlSQ/edit?pli=1#gid=0"",""1_ACUM!A4:S""),13,FALSE))"),"")</f>
        <v/>
      </c>
      <c r="AE504" s="43" t="str">
        <f ca="1">IFERROR(__xludf.DUMMYFUNCTION("IFERROR(VLOOKUP(E527&amp;F527,IMPORTRANGE(""https://docs.google.com/spreadsheets/d/1Uw7-A9f9R21vMXxHZFNpYNeKFtG8_yji4HS352LGlSQ/edit?pli=1#gid=0"",""1_ACUM!A4:S""),14,FALSE))"),"")</f>
        <v/>
      </c>
      <c r="AF504" s="43" t="str">
        <f ca="1">IFERROR(__xludf.DUMMYFUNCTION("IFERROR(VLOOKUP(E527&amp;F527,IMPORTRANGE(""https://docs.google.com/spreadsheets/d/1Uw7-A9f9R21vMXxHZFNpYNeKFtG8_yji4HS352LGlSQ/edit?pli=1#gid=0"",""1_ACUM!A4:S""),15,FALSE))"),"")</f>
        <v/>
      </c>
      <c r="AG504" s="43" t="str">
        <f ca="1">IFERROR(__xludf.DUMMYFUNCTION("IFERROR(VLOOKUP(E527&amp;F527,IMPORTRANGE(""https://docs.google.com/spreadsheets/d/1Uw7-A9f9R21vMXxHZFNpYNeKFtG8_yji4HS352LGlSQ/edit?pli=1#gid=0"",""1_ACUM!A4:S""),16,FALSE))"),"")</f>
        <v/>
      </c>
      <c r="AH504" s="43" t="str">
        <f ca="1">IFERROR(__xludf.DUMMYFUNCTION("IFERROR(VLOOKUP(E527&amp;F527,IMPORTRANGE(""https://docs.google.com/spreadsheets/d/1Uw7-A9f9R21vMXxHZFNpYNeKFtG8_yji4HS352LGlSQ/edit?pli=1#gid=0"",""1_ACUM!A4:S""),17,FALSE))"),"")</f>
        <v/>
      </c>
      <c r="AI504" s="44" t="str">
        <f ca="1">IFERROR(__xludf.DUMMYFUNCTION("IFERROR(VLOOKUP(E527&amp;F527,IMPORTRANGE(""https://docs.google.com/spreadsheets/d/1Uw7-A9f9R21vMXxHZFNpYNeKFtG8_yji4HS352LGlSQ/edit?pli=1#gid=0"",""1_ACUM!A4:S""),18,FALSE))"),"")</f>
        <v/>
      </c>
      <c r="AJ504" s="44" t="str">
        <f ca="1">IFERROR(__xludf.DUMMYFUNCTION("IFERROR(VLOOKUP(E527&amp;F527,IMPORTRANGE(""https://docs.google.com/spreadsheets/d/1Uw7-A9f9R21vMXxHZFNpYNeKFtG8_yji4HS352LGlSQ/edit?pli=1#gid=0"",""1_ACUM!A4:S""),19,FALSE))"),"")</f>
        <v/>
      </c>
      <c r="AK504" s="98" t="str">
        <f ca="1">IFERROR(__xludf.DUMMYFUNCTION("IFERROR(VLOOKUP(F527,IMPORTRANGE(""https://docs.google.com/spreadsheets/d/1Kvs4KS76FHFqLFIZfrDMff4kP08nblUkihrxltoGBjg/edit#gid=934712705"",""ESENCIAL!A6:BG""),5,FALSE))"),"")</f>
        <v/>
      </c>
      <c r="AL504" s="98" t="str">
        <f t="shared" si="31"/>
        <v/>
      </c>
      <c r="AM504" s="99" t="str">
        <f t="shared" si="32"/>
        <v/>
      </c>
      <c r="AN504" s="100" t="str">
        <f ca="1">IFERROR(__xludf.DUMMYFUNCTION("IFERROR(VLOOKUP(F527,IMPORTRANGE(""https://docs.google.com/spreadsheets/d/1Kvs4KS76FHFqLFIZfrDMff4kP08nblUkihrxltoGBjg/edit#gid=934712705"",""ESENCIAL!A6:BG""),2,FALSE))"),"")</f>
        <v/>
      </c>
      <c r="AO504" s="19" t="str">
        <f t="shared" si="33"/>
        <v/>
      </c>
      <c r="AP504" s="100"/>
      <c r="AQ504" s="100"/>
    </row>
    <row r="505" spans="1:43" ht="15">
      <c r="A505" s="5"/>
      <c r="B505" s="5"/>
      <c r="G505" s="5" t="str">
        <f ca="1">IFERROR(__xludf.DUMMYFUNCTION("IFERROR(VLOOKUP(F528,IMPORTRANGE(""https://docs.google.com/spreadsheets/d/1Kvs4KS76FHFqLFIZfrDMff4kP08nblUkihrxltoGBjg/edit#gid=934712705"",""ESENCIAL!A6:BG""),3,FALSE))"),"")</f>
        <v/>
      </c>
      <c r="H505" s="5" t="str">
        <f ca="1">IFERROR(__xludf.DUMMYFUNCTION("IFERROR(VLOOKUP(F528,IMPORTRANGE(""https://docs.google.com/spreadsheets/d/1Kvs4KS76FHFqLFIZfrDMff4kP08nblUkihrxltoGBjg/edit#gid=934712705"",""ESENCIAL!A6:BG""),8,FALSE))"),"")</f>
        <v/>
      </c>
      <c r="L505" s="287"/>
      <c r="Z505" s="41" t="str">
        <f t="shared" si="30"/>
        <v/>
      </c>
      <c r="AA505" s="5" t="str">
        <f ca="1">IFERROR(__xludf.DUMMYFUNCTION("IFERROR(VLOOKUP(E528&amp;F528,IMPORTRANGE(""https://docs.google.com/spreadsheets/d/1Uw7-A9f9R21vMXxHZFNpYNeKFtG8_yji4HS352LGlSQ/edit?pli=1#gid=0"",""1_ACUM!A4:S""),11,FALSE))"),"")</f>
        <v/>
      </c>
      <c r="AB505" s="42" t="str">
        <f ca="1">IFERROR(__xludf.DUMMYFUNCTION("IFERROR(VLOOKUP(F528,IMPORTRANGE(""https://docs.google.com/spreadsheets/d/1Kvs4KS76FHFqLFIZfrDMff4kP08nblUkihrxltoGBjg/edit#gid=934712705"",""ESENCIAL!A6:BG""),15,FALSE))"),"")</f>
        <v/>
      </c>
      <c r="AC505" s="110" t="str">
        <f ca="1">IFERROR(__xludf.DUMMYFUNCTION("IFERROR(VLOOKUP(E528&amp;F528,IMPORTRANGE(""https://docs.google.com/spreadsheets/d/1Uw7-A9f9R21vMXxHZFNpYNeKFtG8_yji4HS352LGlSQ/edit?pli=1#gid=0"",""1_ACUM!A4:S""),13,FALSE))"),"")</f>
        <v/>
      </c>
      <c r="AD505" s="43" t="str">
        <f ca="1">IFERROR(__xludf.DUMMYFUNCTION("IFERROR(VLOOKUP(E528&amp;F528,IMPORTRANGE(""https://docs.google.com/spreadsheets/d/1Uw7-A9f9R21vMXxHZFNpYNeKFtG8_yji4HS352LGlSQ/edit?pli=1#gid=0"",""1_ACUM!A4:S""),13,FALSE))"),"")</f>
        <v/>
      </c>
      <c r="AE505" s="43" t="str">
        <f ca="1">IFERROR(__xludf.DUMMYFUNCTION("IFERROR(VLOOKUP(E528&amp;F528,IMPORTRANGE(""https://docs.google.com/spreadsheets/d/1Uw7-A9f9R21vMXxHZFNpYNeKFtG8_yji4HS352LGlSQ/edit?pli=1#gid=0"",""1_ACUM!A4:S""),14,FALSE))"),"")</f>
        <v/>
      </c>
      <c r="AF505" s="43" t="str">
        <f ca="1">IFERROR(__xludf.DUMMYFUNCTION("IFERROR(VLOOKUP(E528&amp;F528,IMPORTRANGE(""https://docs.google.com/spreadsheets/d/1Uw7-A9f9R21vMXxHZFNpYNeKFtG8_yji4HS352LGlSQ/edit?pli=1#gid=0"",""1_ACUM!A4:S""),15,FALSE))"),"")</f>
        <v/>
      </c>
      <c r="AG505" s="43" t="str">
        <f ca="1">IFERROR(__xludf.DUMMYFUNCTION("IFERROR(VLOOKUP(E528&amp;F528,IMPORTRANGE(""https://docs.google.com/spreadsheets/d/1Uw7-A9f9R21vMXxHZFNpYNeKFtG8_yji4HS352LGlSQ/edit?pli=1#gid=0"",""1_ACUM!A4:S""),16,FALSE))"),"")</f>
        <v/>
      </c>
      <c r="AH505" s="43" t="str">
        <f ca="1">IFERROR(__xludf.DUMMYFUNCTION("IFERROR(VLOOKUP(E528&amp;F528,IMPORTRANGE(""https://docs.google.com/spreadsheets/d/1Uw7-A9f9R21vMXxHZFNpYNeKFtG8_yji4HS352LGlSQ/edit?pli=1#gid=0"",""1_ACUM!A4:S""),17,FALSE))"),"")</f>
        <v/>
      </c>
      <c r="AI505" s="44" t="str">
        <f ca="1">IFERROR(__xludf.DUMMYFUNCTION("IFERROR(VLOOKUP(E528&amp;F528,IMPORTRANGE(""https://docs.google.com/spreadsheets/d/1Uw7-A9f9R21vMXxHZFNpYNeKFtG8_yji4HS352LGlSQ/edit?pli=1#gid=0"",""1_ACUM!A4:S""),18,FALSE))"),"")</f>
        <v/>
      </c>
      <c r="AJ505" s="44" t="str">
        <f ca="1">IFERROR(__xludf.DUMMYFUNCTION("IFERROR(VLOOKUP(E528&amp;F528,IMPORTRANGE(""https://docs.google.com/spreadsheets/d/1Uw7-A9f9R21vMXxHZFNpYNeKFtG8_yji4HS352LGlSQ/edit?pli=1#gid=0"",""1_ACUM!A4:S""),19,FALSE))"),"")</f>
        <v/>
      </c>
      <c r="AK505" s="98" t="str">
        <f ca="1">IFERROR(__xludf.DUMMYFUNCTION("IFERROR(VLOOKUP(F528,IMPORTRANGE(""https://docs.google.com/spreadsheets/d/1Kvs4KS76FHFqLFIZfrDMff4kP08nblUkihrxltoGBjg/edit#gid=934712705"",""ESENCIAL!A6:BG""),5,FALSE))"),"")</f>
        <v/>
      </c>
      <c r="AL505" s="98" t="str">
        <f t="shared" si="31"/>
        <v/>
      </c>
      <c r="AM505" s="99" t="str">
        <f t="shared" si="32"/>
        <v/>
      </c>
      <c r="AN505" s="100" t="str">
        <f ca="1">IFERROR(__xludf.DUMMYFUNCTION("IFERROR(VLOOKUP(F528,IMPORTRANGE(""https://docs.google.com/spreadsheets/d/1Kvs4KS76FHFqLFIZfrDMff4kP08nblUkihrxltoGBjg/edit#gid=934712705"",""ESENCIAL!A6:BG""),2,FALSE))"),"")</f>
        <v/>
      </c>
      <c r="AO505" s="19" t="str">
        <f t="shared" si="33"/>
        <v/>
      </c>
      <c r="AP505" s="100"/>
      <c r="AQ505" s="100"/>
    </row>
    <row r="506" spans="1:43" ht="15">
      <c r="A506" s="5"/>
      <c r="B506" s="5"/>
      <c r="G506" s="5" t="str">
        <f ca="1">IFERROR(__xludf.DUMMYFUNCTION("IFERROR(VLOOKUP(F529,IMPORTRANGE(""https://docs.google.com/spreadsheets/d/1Kvs4KS76FHFqLFIZfrDMff4kP08nblUkihrxltoGBjg/edit#gid=934712705"",""ESENCIAL!A6:BG""),3,FALSE))"),"")</f>
        <v/>
      </c>
      <c r="H506" s="5" t="str">
        <f ca="1">IFERROR(__xludf.DUMMYFUNCTION("IFERROR(VLOOKUP(F529,IMPORTRANGE(""https://docs.google.com/spreadsheets/d/1Kvs4KS76FHFqLFIZfrDMff4kP08nblUkihrxltoGBjg/edit#gid=934712705"",""ESENCIAL!A6:BG""),8,FALSE))"),"")</f>
        <v/>
      </c>
      <c r="L506" s="287"/>
      <c r="Z506" s="41" t="str">
        <f t="shared" si="30"/>
        <v/>
      </c>
      <c r="AA506" s="5" t="str">
        <f ca="1">IFERROR(__xludf.DUMMYFUNCTION("IFERROR(VLOOKUP(E529&amp;F529,IMPORTRANGE(""https://docs.google.com/spreadsheets/d/1Uw7-A9f9R21vMXxHZFNpYNeKFtG8_yji4HS352LGlSQ/edit?pli=1#gid=0"",""1_ACUM!A4:S""),11,FALSE))"),"")</f>
        <v/>
      </c>
      <c r="AB506" s="42" t="str">
        <f ca="1">IFERROR(__xludf.DUMMYFUNCTION("IFERROR(VLOOKUP(F529,IMPORTRANGE(""https://docs.google.com/spreadsheets/d/1Kvs4KS76FHFqLFIZfrDMff4kP08nblUkihrxltoGBjg/edit#gid=934712705"",""ESENCIAL!A6:BG""),15,FALSE))"),"")</f>
        <v/>
      </c>
      <c r="AC506" s="110" t="str">
        <f ca="1">IFERROR(__xludf.DUMMYFUNCTION("IFERROR(VLOOKUP(E529&amp;F529,IMPORTRANGE(""https://docs.google.com/spreadsheets/d/1Uw7-A9f9R21vMXxHZFNpYNeKFtG8_yji4HS352LGlSQ/edit?pli=1#gid=0"",""1_ACUM!A4:S""),13,FALSE))"),"")</f>
        <v/>
      </c>
      <c r="AD506" s="43" t="str">
        <f ca="1">IFERROR(__xludf.DUMMYFUNCTION("IFERROR(VLOOKUP(E529&amp;F529,IMPORTRANGE(""https://docs.google.com/spreadsheets/d/1Uw7-A9f9R21vMXxHZFNpYNeKFtG8_yji4HS352LGlSQ/edit?pli=1#gid=0"",""1_ACUM!A4:S""),13,FALSE))"),"")</f>
        <v/>
      </c>
      <c r="AE506" s="43" t="str">
        <f ca="1">IFERROR(__xludf.DUMMYFUNCTION("IFERROR(VLOOKUP(E529&amp;F529,IMPORTRANGE(""https://docs.google.com/spreadsheets/d/1Uw7-A9f9R21vMXxHZFNpYNeKFtG8_yji4HS352LGlSQ/edit?pli=1#gid=0"",""1_ACUM!A4:S""),14,FALSE))"),"")</f>
        <v/>
      </c>
      <c r="AF506" s="43" t="str">
        <f ca="1">IFERROR(__xludf.DUMMYFUNCTION("IFERROR(VLOOKUP(E529&amp;F529,IMPORTRANGE(""https://docs.google.com/spreadsheets/d/1Uw7-A9f9R21vMXxHZFNpYNeKFtG8_yji4HS352LGlSQ/edit?pli=1#gid=0"",""1_ACUM!A4:S""),15,FALSE))"),"")</f>
        <v/>
      </c>
      <c r="AG506" s="43" t="str">
        <f ca="1">IFERROR(__xludf.DUMMYFUNCTION("IFERROR(VLOOKUP(E529&amp;F529,IMPORTRANGE(""https://docs.google.com/spreadsheets/d/1Uw7-A9f9R21vMXxHZFNpYNeKFtG8_yji4HS352LGlSQ/edit?pli=1#gid=0"",""1_ACUM!A4:S""),16,FALSE))"),"")</f>
        <v/>
      </c>
      <c r="AH506" s="43" t="str">
        <f ca="1">IFERROR(__xludf.DUMMYFUNCTION("IFERROR(VLOOKUP(E529&amp;F529,IMPORTRANGE(""https://docs.google.com/spreadsheets/d/1Uw7-A9f9R21vMXxHZFNpYNeKFtG8_yji4HS352LGlSQ/edit?pli=1#gid=0"",""1_ACUM!A4:S""),17,FALSE))"),"")</f>
        <v/>
      </c>
      <c r="AI506" s="44" t="str">
        <f ca="1">IFERROR(__xludf.DUMMYFUNCTION("IFERROR(VLOOKUP(E529&amp;F529,IMPORTRANGE(""https://docs.google.com/spreadsheets/d/1Uw7-A9f9R21vMXxHZFNpYNeKFtG8_yji4HS352LGlSQ/edit?pli=1#gid=0"",""1_ACUM!A4:S""),18,FALSE))"),"")</f>
        <v/>
      </c>
      <c r="AJ506" s="44" t="str">
        <f ca="1">IFERROR(__xludf.DUMMYFUNCTION("IFERROR(VLOOKUP(E529&amp;F529,IMPORTRANGE(""https://docs.google.com/spreadsheets/d/1Uw7-A9f9R21vMXxHZFNpYNeKFtG8_yji4HS352LGlSQ/edit?pli=1#gid=0"",""1_ACUM!A4:S""),19,FALSE))"),"")</f>
        <v/>
      </c>
      <c r="AK506" s="98" t="str">
        <f ca="1">IFERROR(__xludf.DUMMYFUNCTION("IFERROR(VLOOKUP(F529,IMPORTRANGE(""https://docs.google.com/spreadsheets/d/1Kvs4KS76FHFqLFIZfrDMff4kP08nblUkihrxltoGBjg/edit#gid=934712705"",""ESENCIAL!A6:BG""),5,FALSE))"),"")</f>
        <v/>
      </c>
      <c r="AL506" s="98" t="str">
        <f t="shared" si="31"/>
        <v/>
      </c>
      <c r="AM506" s="99" t="str">
        <f t="shared" si="32"/>
        <v/>
      </c>
      <c r="AN506" s="100" t="str">
        <f ca="1">IFERROR(__xludf.DUMMYFUNCTION("IFERROR(VLOOKUP(F529,IMPORTRANGE(""https://docs.google.com/spreadsheets/d/1Kvs4KS76FHFqLFIZfrDMff4kP08nblUkihrxltoGBjg/edit#gid=934712705"",""ESENCIAL!A6:BG""),2,FALSE))"),"")</f>
        <v/>
      </c>
      <c r="AO506" s="19" t="str">
        <f t="shared" si="33"/>
        <v/>
      </c>
      <c r="AP506" s="100"/>
      <c r="AQ506" s="100"/>
    </row>
    <row r="507" spans="1:43" ht="15">
      <c r="A507" s="5"/>
      <c r="B507" s="5"/>
      <c r="G507" s="5" t="str">
        <f ca="1">IFERROR(__xludf.DUMMYFUNCTION("IFERROR(VLOOKUP(F530,IMPORTRANGE(""https://docs.google.com/spreadsheets/d/1Kvs4KS76FHFqLFIZfrDMff4kP08nblUkihrxltoGBjg/edit#gid=934712705"",""ESENCIAL!A6:BG""),3,FALSE))"),"")</f>
        <v/>
      </c>
      <c r="H507" s="5" t="str">
        <f ca="1">IFERROR(__xludf.DUMMYFUNCTION("IFERROR(VLOOKUP(F530,IMPORTRANGE(""https://docs.google.com/spreadsheets/d/1Kvs4KS76FHFqLFIZfrDMff4kP08nblUkihrxltoGBjg/edit#gid=934712705"",""ESENCIAL!A6:BG""),8,FALSE))"),"")</f>
        <v/>
      </c>
      <c r="L507" s="287"/>
      <c r="Z507" s="41" t="str">
        <f t="shared" si="30"/>
        <v/>
      </c>
      <c r="AA507" s="5" t="str">
        <f ca="1">IFERROR(__xludf.DUMMYFUNCTION("IFERROR(VLOOKUP(E530&amp;F530,IMPORTRANGE(""https://docs.google.com/spreadsheets/d/1Uw7-A9f9R21vMXxHZFNpYNeKFtG8_yji4HS352LGlSQ/edit?pli=1#gid=0"",""1_ACUM!A4:S""),11,FALSE))"),"")</f>
        <v/>
      </c>
      <c r="AB507" s="42" t="str">
        <f ca="1">IFERROR(__xludf.DUMMYFUNCTION("IFERROR(VLOOKUP(F530,IMPORTRANGE(""https://docs.google.com/spreadsheets/d/1Kvs4KS76FHFqLFIZfrDMff4kP08nblUkihrxltoGBjg/edit#gid=934712705"",""ESENCIAL!A6:BG""),15,FALSE))"),"")</f>
        <v/>
      </c>
      <c r="AC507" s="110" t="str">
        <f ca="1">IFERROR(__xludf.DUMMYFUNCTION("IFERROR(VLOOKUP(E530&amp;F530,IMPORTRANGE(""https://docs.google.com/spreadsheets/d/1Uw7-A9f9R21vMXxHZFNpYNeKFtG8_yji4HS352LGlSQ/edit?pli=1#gid=0"",""1_ACUM!A4:S""),13,FALSE))"),"")</f>
        <v/>
      </c>
      <c r="AD507" s="43" t="str">
        <f ca="1">IFERROR(__xludf.DUMMYFUNCTION("IFERROR(VLOOKUP(E530&amp;F530,IMPORTRANGE(""https://docs.google.com/spreadsheets/d/1Uw7-A9f9R21vMXxHZFNpYNeKFtG8_yji4HS352LGlSQ/edit?pli=1#gid=0"",""1_ACUM!A4:S""),13,FALSE))"),"")</f>
        <v/>
      </c>
      <c r="AE507" s="43" t="str">
        <f ca="1">IFERROR(__xludf.DUMMYFUNCTION("IFERROR(VLOOKUP(E530&amp;F530,IMPORTRANGE(""https://docs.google.com/spreadsheets/d/1Uw7-A9f9R21vMXxHZFNpYNeKFtG8_yji4HS352LGlSQ/edit?pli=1#gid=0"",""1_ACUM!A4:S""),14,FALSE))"),"")</f>
        <v/>
      </c>
      <c r="AF507" s="43" t="str">
        <f ca="1">IFERROR(__xludf.DUMMYFUNCTION("IFERROR(VLOOKUP(E530&amp;F530,IMPORTRANGE(""https://docs.google.com/spreadsheets/d/1Uw7-A9f9R21vMXxHZFNpYNeKFtG8_yji4HS352LGlSQ/edit?pli=1#gid=0"",""1_ACUM!A4:S""),15,FALSE))"),"")</f>
        <v/>
      </c>
      <c r="AG507" s="43" t="str">
        <f ca="1">IFERROR(__xludf.DUMMYFUNCTION("IFERROR(VLOOKUP(E530&amp;F530,IMPORTRANGE(""https://docs.google.com/spreadsheets/d/1Uw7-A9f9R21vMXxHZFNpYNeKFtG8_yji4HS352LGlSQ/edit?pli=1#gid=0"",""1_ACUM!A4:S""),16,FALSE))"),"")</f>
        <v/>
      </c>
      <c r="AH507" s="43" t="str">
        <f ca="1">IFERROR(__xludf.DUMMYFUNCTION("IFERROR(VLOOKUP(E530&amp;F530,IMPORTRANGE(""https://docs.google.com/spreadsheets/d/1Uw7-A9f9R21vMXxHZFNpYNeKFtG8_yji4HS352LGlSQ/edit?pli=1#gid=0"",""1_ACUM!A4:S""),17,FALSE))"),"")</f>
        <v/>
      </c>
      <c r="AI507" s="44" t="str">
        <f ca="1">IFERROR(__xludf.DUMMYFUNCTION("IFERROR(VLOOKUP(E530&amp;F530,IMPORTRANGE(""https://docs.google.com/spreadsheets/d/1Uw7-A9f9R21vMXxHZFNpYNeKFtG8_yji4HS352LGlSQ/edit?pli=1#gid=0"",""1_ACUM!A4:S""),18,FALSE))"),"")</f>
        <v/>
      </c>
      <c r="AJ507" s="44" t="str">
        <f ca="1">IFERROR(__xludf.DUMMYFUNCTION("IFERROR(VLOOKUP(E530&amp;F530,IMPORTRANGE(""https://docs.google.com/spreadsheets/d/1Uw7-A9f9R21vMXxHZFNpYNeKFtG8_yji4HS352LGlSQ/edit?pli=1#gid=0"",""1_ACUM!A4:S""),19,FALSE))"),"")</f>
        <v/>
      </c>
      <c r="AK507" s="98" t="str">
        <f ca="1">IFERROR(__xludf.DUMMYFUNCTION("IFERROR(VLOOKUP(F530,IMPORTRANGE(""https://docs.google.com/spreadsheets/d/1Kvs4KS76FHFqLFIZfrDMff4kP08nblUkihrxltoGBjg/edit#gid=934712705"",""ESENCIAL!A6:BG""),5,FALSE))"),"")</f>
        <v/>
      </c>
      <c r="AL507" s="98" t="str">
        <f t="shared" si="31"/>
        <v/>
      </c>
      <c r="AM507" s="99" t="str">
        <f t="shared" si="32"/>
        <v/>
      </c>
      <c r="AN507" s="100" t="str">
        <f ca="1">IFERROR(__xludf.DUMMYFUNCTION("IFERROR(VLOOKUP(F530,IMPORTRANGE(""https://docs.google.com/spreadsheets/d/1Kvs4KS76FHFqLFIZfrDMff4kP08nblUkihrxltoGBjg/edit#gid=934712705"",""ESENCIAL!A6:BG""),2,FALSE))"),"")</f>
        <v/>
      </c>
      <c r="AO507" s="19" t="str">
        <f t="shared" si="33"/>
        <v/>
      </c>
      <c r="AP507" s="100"/>
      <c r="AQ507" s="100"/>
    </row>
    <row r="508" spans="1:43" ht="15">
      <c r="A508" s="5"/>
      <c r="B508" s="5"/>
      <c r="G508" s="5" t="str">
        <f ca="1">IFERROR(__xludf.DUMMYFUNCTION("IFERROR(VLOOKUP(F531,IMPORTRANGE(""https://docs.google.com/spreadsheets/d/1Kvs4KS76FHFqLFIZfrDMff4kP08nblUkihrxltoGBjg/edit#gid=934712705"",""ESENCIAL!A6:BG""),3,FALSE))"),"")</f>
        <v/>
      </c>
      <c r="H508" s="5" t="str">
        <f ca="1">IFERROR(__xludf.DUMMYFUNCTION("IFERROR(VLOOKUP(F531,IMPORTRANGE(""https://docs.google.com/spreadsheets/d/1Kvs4KS76FHFqLFIZfrDMff4kP08nblUkihrxltoGBjg/edit#gid=934712705"",""ESENCIAL!A6:BG""),8,FALSE))"),"")</f>
        <v/>
      </c>
      <c r="L508" s="287"/>
      <c r="Z508" s="41" t="str">
        <f t="shared" si="30"/>
        <v/>
      </c>
      <c r="AA508" s="5" t="str">
        <f ca="1">IFERROR(__xludf.DUMMYFUNCTION("IFERROR(VLOOKUP(E531&amp;F531,IMPORTRANGE(""https://docs.google.com/spreadsheets/d/1Uw7-A9f9R21vMXxHZFNpYNeKFtG8_yji4HS352LGlSQ/edit?pli=1#gid=0"",""1_ACUM!A4:S""),11,FALSE))"),"")</f>
        <v/>
      </c>
      <c r="AB508" s="42" t="str">
        <f ca="1">IFERROR(__xludf.DUMMYFUNCTION("IFERROR(VLOOKUP(F531,IMPORTRANGE(""https://docs.google.com/spreadsheets/d/1Kvs4KS76FHFqLFIZfrDMff4kP08nblUkihrxltoGBjg/edit#gid=934712705"",""ESENCIAL!A6:BG""),15,FALSE))"),"")</f>
        <v/>
      </c>
      <c r="AC508" s="110" t="str">
        <f ca="1">IFERROR(__xludf.DUMMYFUNCTION("IFERROR(VLOOKUP(E531&amp;F531,IMPORTRANGE(""https://docs.google.com/spreadsheets/d/1Uw7-A9f9R21vMXxHZFNpYNeKFtG8_yji4HS352LGlSQ/edit?pli=1#gid=0"",""1_ACUM!A4:S""),13,FALSE))"),"")</f>
        <v/>
      </c>
      <c r="AD508" s="43" t="str">
        <f ca="1">IFERROR(__xludf.DUMMYFUNCTION("IFERROR(VLOOKUP(E531&amp;F531,IMPORTRANGE(""https://docs.google.com/spreadsheets/d/1Uw7-A9f9R21vMXxHZFNpYNeKFtG8_yji4HS352LGlSQ/edit?pli=1#gid=0"",""1_ACUM!A4:S""),13,FALSE))"),"")</f>
        <v/>
      </c>
      <c r="AE508" s="43" t="str">
        <f ca="1">IFERROR(__xludf.DUMMYFUNCTION("IFERROR(VLOOKUP(E531&amp;F531,IMPORTRANGE(""https://docs.google.com/spreadsheets/d/1Uw7-A9f9R21vMXxHZFNpYNeKFtG8_yji4HS352LGlSQ/edit?pli=1#gid=0"",""1_ACUM!A4:S""),14,FALSE))"),"")</f>
        <v/>
      </c>
      <c r="AF508" s="43" t="str">
        <f ca="1">IFERROR(__xludf.DUMMYFUNCTION("IFERROR(VLOOKUP(E531&amp;F531,IMPORTRANGE(""https://docs.google.com/spreadsheets/d/1Uw7-A9f9R21vMXxHZFNpYNeKFtG8_yji4HS352LGlSQ/edit?pli=1#gid=0"",""1_ACUM!A4:S""),15,FALSE))"),"")</f>
        <v/>
      </c>
      <c r="AG508" s="43" t="str">
        <f ca="1">IFERROR(__xludf.DUMMYFUNCTION("IFERROR(VLOOKUP(E531&amp;F531,IMPORTRANGE(""https://docs.google.com/spreadsheets/d/1Uw7-A9f9R21vMXxHZFNpYNeKFtG8_yji4HS352LGlSQ/edit?pli=1#gid=0"",""1_ACUM!A4:S""),16,FALSE))"),"")</f>
        <v/>
      </c>
      <c r="AH508" s="43" t="str">
        <f ca="1">IFERROR(__xludf.DUMMYFUNCTION("IFERROR(VLOOKUP(E531&amp;F531,IMPORTRANGE(""https://docs.google.com/spreadsheets/d/1Uw7-A9f9R21vMXxHZFNpYNeKFtG8_yji4HS352LGlSQ/edit?pli=1#gid=0"",""1_ACUM!A4:S""),17,FALSE))"),"")</f>
        <v/>
      </c>
      <c r="AI508" s="44" t="str">
        <f ca="1">IFERROR(__xludf.DUMMYFUNCTION("IFERROR(VLOOKUP(E531&amp;F531,IMPORTRANGE(""https://docs.google.com/spreadsheets/d/1Uw7-A9f9R21vMXxHZFNpYNeKFtG8_yji4HS352LGlSQ/edit?pli=1#gid=0"",""1_ACUM!A4:S""),18,FALSE))"),"")</f>
        <v/>
      </c>
      <c r="AJ508" s="44" t="str">
        <f ca="1">IFERROR(__xludf.DUMMYFUNCTION("IFERROR(VLOOKUP(E531&amp;F531,IMPORTRANGE(""https://docs.google.com/spreadsheets/d/1Uw7-A9f9R21vMXxHZFNpYNeKFtG8_yji4HS352LGlSQ/edit?pli=1#gid=0"",""1_ACUM!A4:S""),19,FALSE))"),"")</f>
        <v/>
      </c>
      <c r="AK508" s="98" t="str">
        <f ca="1">IFERROR(__xludf.DUMMYFUNCTION("IFERROR(VLOOKUP(F531,IMPORTRANGE(""https://docs.google.com/spreadsheets/d/1Kvs4KS76FHFqLFIZfrDMff4kP08nblUkihrxltoGBjg/edit#gid=934712705"",""ESENCIAL!A6:BG""),5,FALSE))"),"")</f>
        <v/>
      </c>
      <c r="AL508" s="98" t="str">
        <f t="shared" si="31"/>
        <v/>
      </c>
      <c r="AM508" s="99" t="str">
        <f t="shared" si="32"/>
        <v/>
      </c>
      <c r="AN508" s="100" t="str">
        <f ca="1">IFERROR(__xludf.DUMMYFUNCTION("IFERROR(VLOOKUP(F531,IMPORTRANGE(""https://docs.google.com/spreadsheets/d/1Kvs4KS76FHFqLFIZfrDMff4kP08nblUkihrxltoGBjg/edit#gid=934712705"",""ESENCIAL!A6:BG""),2,FALSE))"),"")</f>
        <v/>
      </c>
      <c r="AO508" s="19" t="str">
        <f t="shared" si="33"/>
        <v/>
      </c>
      <c r="AP508" s="100"/>
      <c r="AQ508" s="100"/>
    </row>
    <row r="509" spans="1:43" ht="15">
      <c r="A509" s="5"/>
      <c r="B509" s="5"/>
      <c r="G509" s="5" t="str">
        <f ca="1">IFERROR(__xludf.DUMMYFUNCTION("IFERROR(VLOOKUP(F532,IMPORTRANGE(""https://docs.google.com/spreadsheets/d/1Kvs4KS76FHFqLFIZfrDMff4kP08nblUkihrxltoGBjg/edit#gid=934712705"",""ESENCIAL!A6:BG""),3,FALSE))"),"")</f>
        <v/>
      </c>
      <c r="H509" s="5" t="str">
        <f ca="1">IFERROR(__xludf.DUMMYFUNCTION("IFERROR(VLOOKUP(F532,IMPORTRANGE(""https://docs.google.com/spreadsheets/d/1Kvs4KS76FHFqLFIZfrDMff4kP08nblUkihrxltoGBjg/edit#gid=934712705"",""ESENCIAL!A6:BG""),8,FALSE))"),"")</f>
        <v/>
      </c>
      <c r="L509" s="287"/>
      <c r="Z509" s="41" t="str">
        <f t="shared" si="30"/>
        <v/>
      </c>
      <c r="AA509" s="5" t="str">
        <f ca="1">IFERROR(__xludf.DUMMYFUNCTION("IFERROR(VLOOKUP(E532&amp;F532,IMPORTRANGE(""https://docs.google.com/spreadsheets/d/1Uw7-A9f9R21vMXxHZFNpYNeKFtG8_yji4HS352LGlSQ/edit?pli=1#gid=0"",""1_ACUM!A4:S""),11,FALSE))"),"")</f>
        <v/>
      </c>
      <c r="AB509" s="42" t="str">
        <f ca="1">IFERROR(__xludf.DUMMYFUNCTION("IFERROR(VLOOKUP(F532,IMPORTRANGE(""https://docs.google.com/spreadsheets/d/1Kvs4KS76FHFqLFIZfrDMff4kP08nblUkihrxltoGBjg/edit#gid=934712705"",""ESENCIAL!A6:BG""),15,FALSE))"),"")</f>
        <v/>
      </c>
      <c r="AC509" s="110" t="str">
        <f ca="1">IFERROR(__xludf.DUMMYFUNCTION("IFERROR(VLOOKUP(E532&amp;F532,IMPORTRANGE(""https://docs.google.com/spreadsheets/d/1Uw7-A9f9R21vMXxHZFNpYNeKFtG8_yji4HS352LGlSQ/edit?pli=1#gid=0"",""1_ACUM!A4:S""),13,FALSE))"),"")</f>
        <v/>
      </c>
      <c r="AD509" s="43" t="str">
        <f ca="1">IFERROR(__xludf.DUMMYFUNCTION("IFERROR(VLOOKUP(E532&amp;F532,IMPORTRANGE(""https://docs.google.com/spreadsheets/d/1Uw7-A9f9R21vMXxHZFNpYNeKFtG8_yji4HS352LGlSQ/edit?pli=1#gid=0"",""1_ACUM!A4:S""),13,FALSE))"),"")</f>
        <v/>
      </c>
      <c r="AE509" s="43" t="str">
        <f ca="1">IFERROR(__xludf.DUMMYFUNCTION("IFERROR(VLOOKUP(E532&amp;F532,IMPORTRANGE(""https://docs.google.com/spreadsheets/d/1Uw7-A9f9R21vMXxHZFNpYNeKFtG8_yji4HS352LGlSQ/edit?pli=1#gid=0"",""1_ACUM!A4:S""),14,FALSE))"),"")</f>
        <v/>
      </c>
      <c r="AF509" s="43" t="str">
        <f ca="1">IFERROR(__xludf.DUMMYFUNCTION("IFERROR(VLOOKUP(E532&amp;F532,IMPORTRANGE(""https://docs.google.com/spreadsheets/d/1Uw7-A9f9R21vMXxHZFNpYNeKFtG8_yji4HS352LGlSQ/edit?pli=1#gid=0"",""1_ACUM!A4:S""),15,FALSE))"),"")</f>
        <v/>
      </c>
      <c r="AG509" s="43" t="str">
        <f ca="1">IFERROR(__xludf.DUMMYFUNCTION("IFERROR(VLOOKUP(E532&amp;F532,IMPORTRANGE(""https://docs.google.com/spreadsheets/d/1Uw7-A9f9R21vMXxHZFNpYNeKFtG8_yji4HS352LGlSQ/edit?pli=1#gid=0"",""1_ACUM!A4:S""),16,FALSE))"),"")</f>
        <v/>
      </c>
      <c r="AH509" s="43" t="str">
        <f ca="1">IFERROR(__xludf.DUMMYFUNCTION("IFERROR(VLOOKUP(E532&amp;F532,IMPORTRANGE(""https://docs.google.com/spreadsheets/d/1Uw7-A9f9R21vMXxHZFNpYNeKFtG8_yji4HS352LGlSQ/edit?pli=1#gid=0"",""1_ACUM!A4:S""),17,FALSE))"),"")</f>
        <v/>
      </c>
      <c r="AI509" s="44" t="str">
        <f ca="1">IFERROR(__xludf.DUMMYFUNCTION("IFERROR(VLOOKUP(E532&amp;F532,IMPORTRANGE(""https://docs.google.com/spreadsheets/d/1Uw7-A9f9R21vMXxHZFNpYNeKFtG8_yji4HS352LGlSQ/edit?pli=1#gid=0"",""1_ACUM!A4:S""),18,FALSE))"),"")</f>
        <v/>
      </c>
      <c r="AJ509" s="44" t="str">
        <f ca="1">IFERROR(__xludf.DUMMYFUNCTION("IFERROR(VLOOKUP(E532&amp;F532,IMPORTRANGE(""https://docs.google.com/spreadsheets/d/1Uw7-A9f9R21vMXxHZFNpYNeKFtG8_yji4HS352LGlSQ/edit?pli=1#gid=0"",""1_ACUM!A4:S""),19,FALSE))"),"")</f>
        <v/>
      </c>
      <c r="AK509" s="98" t="str">
        <f ca="1">IFERROR(__xludf.DUMMYFUNCTION("IFERROR(VLOOKUP(F532,IMPORTRANGE(""https://docs.google.com/spreadsheets/d/1Kvs4KS76FHFqLFIZfrDMff4kP08nblUkihrxltoGBjg/edit#gid=934712705"",""ESENCIAL!A6:BG""),5,FALSE))"),"")</f>
        <v/>
      </c>
      <c r="AL509" s="98" t="str">
        <f t="shared" si="31"/>
        <v/>
      </c>
      <c r="AM509" s="99" t="str">
        <f t="shared" si="32"/>
        <v/>
      </c>
      <c r="AN509" s="100" t="str">
        <f ca="1">IFERROR(__xludf.DUMMYFUNCTION("IFERROR(VLOOKUP(F532,IMPORTRANGE(""https://docs.google.com/spreadsheets/d/1Kvs4KS76FHFqLFIZfrDMff4kP08nblUkihrxltoGBjg/edit#gid=934712705"",""ESENCIAL!A6:BG""),2,FALSE))"),"")</f>
        <v/>
      </c>
      <c r="AO509" s="19" t="str">
        <f t="shared" si="33"/>
        <v/>
      </c>
      <c r="AP509" s="100"/>
      <c r="AQ509" s="100"/>
    </row>
    <row r="510" spans="1:43" ht="15">
      <c r="A510" s="5"/>
      <c r="B510" s="5"/>
      <c r="G510" s="5" t="str">
        <f ca="1">IFERROR(__xludf.DUMMYFUNCTION("IFERROR(VLOOKUP(F533,IMPORTRANGE(""https://docs.google.com/spreadsheets/d/1Kvs4KS76FHFqLFIZfrDMff4kP08nblUkihrxltoGBjg/edit#gid=934712705"",""ESENCIAL!A6:BG""),3,FALSE))"),"")</f>
        <v/>
      </c>
      <c r="H510" s="5" t="str">
        <f ca="1">IFERROR(__xludf.DUMMYFUNCTION("IFERROR(VLOOKUP(F533,IMPORTRANGE(""https://docs.google.com/spreadsheets/d/1Kvs4KS76FHFqLFIZfrDMff4kP08nblUkihrxltoGBjg/edit#gid=934712705"",""ESENCIAL!A6:BG""),8,FALSE))"),"")</f>
        <v/>
      </c>
      <c r="L510" s="287"/>
      <c r="Z510" s="41" t="str">
        <f t="shared" si="30"/>
        <v/>
      </c>
      <c r="AA510" s="5" t="str">
        <f ca="1">IFERROR(__xludf.DUMMYFUNCTION("IFERROR(VLOOKUP(E533&amp;F533,IMPORTRANGE(""https://docs.google.com/spreadsheets/d/1Uw7-A9f9R21vMXxHZFNpYNeKFtG8_yji4HS352LGlSQ/edit?pli=1#gid=0"",""1_ACUM!A4:S""),11,FALSE))"),"")</f>
        <v/>
      </c>
      <c r="AB510" s="42" t="str">
        <f ca="1">IFERROR(__xludf.DUMMYFUNCTION("IFERROR(VLOOKUP(F533,IMPORTRANGE(""https://docs.google.com/spreadsheets/d/1Kvs4KS76FHFqLFIZfrDMff4kP08nblUkihrxltoGBjg/edit#gid=934712705"",""ESENCIAL!A6:BG""),15,FALSE))"),"")</f>
        <v/>
      </c>
      <c r="AC510" s="110" t="str">
        <f ca="1">IFERROR(__xludf.DUMMYFUNCTION("IFERROR(VLOOKUP(E533&amp;F533,IMPORTRANGE(""https://docs.google.com/spreadsheets/d/1Uw7-A9f9R21vMXxHZFNpYNeKFtG8_yji4HS352LGlSQ/edit?pli=1#gid=0"",""1_ACUM!A4:S""),13,FALSE))"),"")</f>
        <v/>
      </c>
      <c r="AD510" s="43" t="str">
        <f ca="1">IFERROR(__xludf.DUMMYFUNCTION("IFERROR(VLOOKUP(E533&amp;F533,IMPORTRANGE(""https://docs.google.com/spreadsheets/d/1Uw7-A9f9R21vMXxHZFNpYNeKFtG8_yji4HS352LGlSQ/edit?pli=1#gid=0"",""1_ACUM!A4:S""),13,FALSE))"),"")</f>
        <v/>
      </c>
      <c r="AE510" s="43" t="str">
        <f ca="1">IFERROR(__xludf.DUMMYFUNCTION("IFERROR(VLOOKUP(E533&amp;F533,IMPORTRANGE(""https://docs.google.com/spreadsheets/d/1Uw7-A9f9R21vMXxHZFNpYNeKFtG8_yji4HS352LGlSQ/edit?pli=1#gid=0"",""1_ACUM!A4:S""),14,FALSE))"),"")</f>
        <v/>
      </c>
      <c r="AF510" s="43" t="str">
        <f ca="1">IFERROR(__xludf.DUMMYFUNCTION("IFERROR(VLOOKUP(E533&amp;F533,IMPORTRANGE(""https://docs.google.com/spreadsheets/d/1Uw7-A9f9R21vMXxHZFNpYNeKFtG8_yji4HS352LGlSQ/edit?pli=1#gid=0"",""1_ACUM!A4:S""),15,FALSE))"),"")</f>
        <v/>
      </c>
      <c r="AG510" s="43" t="str">
        <f ca="1">IFERROR(__xludf.DUMMYFUNCTION("IFERROR(VLOOKUP(E533&amp;F533,IMPORTRANGE(""https://docs.google.com/spreadsheets/d/1Uw7-A9f9R21vMXxHZFNpYNeKFtG8_yji4HS352LGlSQ/edit?pli=1#gid=0"",""1_ACUM!A4:S""),16,FALSE))"),"")</f>
        <v/>
      </c>
      <c r="AH510" s="43" t="str">
        <f ca="1">IFERROR(__xludf.DUMMYFUNCTION("IFERROR(VLOOKUP(E533&amp;F533,IMPORTRANGE(""https://docs.google.com/spreadsheets/d/1Uw7-A9f9R21vMXxHZFNpYNeKFtG8_yji4HS352LGlSQ/edit?pli=1#gid=0"",""1_ACUM!A4:S""),17,FALSE))"),"")</f>
        <v/>
      </c>
      <c r="AI510" s="44" t="str">
        <f ca="1">IFERROR(__xludf.DUMMYFUNCTION("IFERROR(VLOOKUP(E533&amp;F533,IMPORTRANGE(""https://docs.google.com/spreadsheets/d/1Uw7-A9f9R21vMXxHZFNpYNeKFtG8_yji4HS352LGlSQ/edit?pli=1#gid=0"",""1_ACUM!A4:S""),18,FALSE))"),"")</f>
        <v/>
      </c>
      <c r="AJ510" s="44" t="str">
        <f ca="1">IFERROR(__xludf.DUMMYFUNCTION("IFERROR(VLOOKUP(E533&amp;F533,IMPORTRANGE(""https://docs.google.com/spreadsheets/d/1Uw7-A9f9R21vMXxHZFNpYNeKFtG8_yji4HS352LGlSQ/edit?pli=1#gid=0"",""1_ACUM!A4:S""),19,FALSE))"),"")</f>
        <v/>
      </c>
      <c r="AK510" s="98" t="str">
        <f ca="1">IFERROR(__xludf.DUMMYFUNCTION("IFERROR(VLOOKUP(F533,IMPORTRANGE(""https://docs.google.com/spreadsheets/d/1Kvs4KS76FHFqLFIZfrDMff4kP08nblUkihrxltoGBjg/edit#gid=934712705"",""ESENCIAL!A6:BG""),5,FALSE))"),"")</f>
        <v/>
      </c>
      <c r="AL510" s="98" t="str">
        <f t="shared" si="31"/>
        <v/>
      </c>
      <c r="AM510" s="99" t="str">
        <f t="shared" si="32"/>
        <v/>
      </c>
      <c r="AN510" s="100" t="str">
        <f ca="1">IFERROR(__xludf.DUMMYFUNCTION("IFERROR(VLOOKUP(F533,IMPORTRANGE(""https://docs.google.com/spreadsheets/d/1Kvs4KS76FHFqLFIZfrDMff4kP08nblUkihrxltoGBjg/edit#gid=934712705"",""ESENCIAL!A6:BG""),2,FALSE))"),"")</f>
        <v/>
      </c>
      <c r="AO510" s="19" t="str">
        <f t="shared" si="33"/>
        <v/>
      </c>
      <c r="AP510" s="100"/>
      <c r="AQ510" s="100"/>
    </row>
    <row r="511" spans="1:43" ht="15">
      <c r="A511" s="5"/>
      <c r="B511" s="5"/>
      <c r="G511" s="5" t="str">
        <f ca="1">IFERROR(__xludf.DUMMYFUNCTION("IFERROR(VLOOKUP(F534,IMPORTRANGE(""https://docs.google.com/spreadsheets/d/1Kvs4KS76FHFqLFIZfrDMff4kP08nblUkihrxltoGBjg/edit#gid=934712705"",""ESENCIAL!A6:BG""),3,FALSE))"),"")</f>
        <v/>
      </c>
      <c r="H511" s="5" t="str">
        <f ca="1">IFERROR(__xludf.DUMMYFUNCTION("IFERROR(VLOOKUP(F534,IMPORTRANGE(""https://docs.google.com/spreadsheets/d/1Kvs4KS76FHFqLFIZfrDMff4kP08nblUkihrxltoGBjg/edit#gid=934712705"",""ESENCIAL!A6:BG""),8,FALSE))"),"")</f>
        <v/>
      </c>
      <c r="L511" s="287"/>
      <c r="Z511" s="41" t="str">
        <f t="shared" si="30"/>
        <v/>
      </c>
      <c r="AA511" s="5" t="str">
        <f ca="1">IFERROR(__xludf.DUMMYFUNCTION("IFERROR(VLOOKUP(E534&amp;F534,IMPORTRANGE(""https://docs.google.com/spreadsheets/d/1Uw7-A9f9R21vMXxHZFNpYNeKFtG8_yji4HS352LGlSQ/edit?pli=1#gid=0"",""1_ACUM!A4:S""),11,FALSE))"),"")</f>
        <v/>
      </c>
      <c r="AB511" s="42" t="str">
        <f ca="1">IFERROR(__xludf.DUMMYFUNCTION("IFERROR(VLOOKUP(F534,IMPORTRANGE(""https://docs.google.com/spreadsheets/d/1Kvs4KS76FHFqLFIZfrDMff4kP08nblUkihrxltoGBjg/edit#gid=934712705"",""ESENCIAL!A6:BG""),15,FALSE))"),"")</f>
        <v/>
      </c>
      <c r="AC511" s="110" t="str">
        <f ca="1">IFERROR(__xludf.DUMMYFUNCTION("IFERROR(VLOOKUP(E534&amp;F534,IMPORTRANGE(""https://docs.google.com/spreadsheets/d/1Uw7-A9f9R21vMXxHZFNpYNeKFtG8_yji4HS352LGlSQ/edit?pli=1#gid=0"",""1_ACUM!A4:S""),13,FALSE))"),"")</f>
        <v/>
      </c>
      <c r="AD511" s="43" t="str">
        <f ca="1">IFERROR(__xludf.DUMMYFUNCTION("IFERROR(VLOOKUP(E534&amp;F534,IMPORTRANGE(""https://docs.google.com/spreadsheets/d/1Uw7-A9f9R21vMXxHZFNpYNeKFtG8_yji4HS352LGlSQ/edit?pli=1#gid=0"",""1_ACUM!A4:S""),13,FALSE))"),"")</f>
        <v/>
      </c>
      <c r="AE511" s="43" t="str">
        <f ca="1">IFERROR(__xludf.DUMMYFUNCTION("IFERROR(VLOOKUP(E534&amp;F534,IMPORTRANGE(""https://docs.google.com/spreadsheets/d/1Uw7-A9f9R21vMXxHZFNpYNeKFtG8_yji4HS352LGlSQ/edit?pli=1#gid=0"",""1_ACUM!A4:S""),14,FALSE))"),"")</f>
        <v/>
      </c>
      <c r="AF511" s="43" t="str">
        <f ca="1">IFERROR(__xludf.DUMMYFUNCTION("IFERROR(VLOOKUP(E534&amp;F534,IMPORTRANGE(""https://docs.google.com/spreadsheets/d/1Uw7-A9f9R21vMXxHZFNpYNeKFtG8_yji4HS352LGlSQ/edit?pli=1#gid=0"",""1_ACUM!A4:S""),15,FALSE))"),"")</f>
        <v/>
      </c>
      <c r="AG511" s="43" t="str">
        <f ca="1">IFERROR(__xludf.DUMMYFUNCTION("IFERROR(VLOOKUP(E534&amp;F534,IMPORTRANGE(""https://docs.google.com/spreadsheets/d/1Uw7-A9f9R21vMXxHZFNpYNeKFtG8_yji4HS352LGlSQ/edit?pli=1#gid=0"",""1_ACUM!A4:S""),16,FALSE))"),"")</f>
        <v/>
      </c>
      <c r="AH511" s="43" t="str">
        <f ca="1">IFERROR(__xludf.DUMMYFUNCTION("IFERROR(VLOOKUP(E534&amp;F534,IMPORTRANGE(""https://docs.google.com/spreadsheets/d/1Uw7-A9f9R21vMXxHZFNpYNeKFtG8_yji4HS352LGlSQ/edit?pli=1#gid=0"",""1_ACUM!A4:S""),17,FALSE))"),"")</f>
        <v/>
      </c>
      <c r="AI511" s="44" t="str">
        <f ca="1">IFERROR(__xludf.DUMMYFUNCTION("IFERROR(VLOOKUP(E534&amp;F534,IMPORTRANGE(""https://docs.google.com/spreadsheets/d/1Uw7-A9f9R21vMXxHZFNpYNeKFtG8_yji4HS352LGlSQ/edit?pli=1#gid=0"",""1_ACUM!A4:S""),18,FALSE))"),"")</f>
        <v/>
      </c>
      <c r="AJ511" s="44" t="str">
        <f ca="1">IFERROR(__xludf.DUMMYFUNCTION("IFERROR(VLOOKUP(E534&amp;F534,IMPORTRANGE(""https://docs.google.com/spreadsheets/d/1Uw7-A9f9R21vMXxHZFNpYNeKFtG8_yji4HS352LGlSQ/edit?pli=1#gid=0"",""1_ACUM!A4:S""),19,FALSE))"),"")</f>
        <v/>
      </c>
      <c r="AK511" s="98" t="str">
        <f ca="1">IFERROR(__xludf.DUMMYFUNCTION("IFERROR(VLOOKUP(F534,IMPORTRANGE(""https://docs.google.com/spreadsheets/d/1Kvs4KS76FHFqLFIZfrDMff4kP08nblUkihrxltoGBjg/edit#gid=934712705"",""ESENCIAL!A6:BG""),5,FALSE))"),"")</f>
        <v/>
      </c>
      <c r="AL511" s="98" t="str">
        <f t="shared" si="31"/>
        <v/>
      </c>
      <c r="AM511" s="99" t="str">
        <f t="shared" si="32"/>
        <v/>
      </c>
      <c r="AN511" s="100" t="str">
        <f ca="1">IFERROR(__xludf.DUMMYFUNCTION("IFERROR(VLOOKUP(F534,IMPORTRANGE(""https://docs.google.com/spreadsheets/d/1Kvs4KS76FHFqLFIZfrDMff4kP08nblUkihrxltoGBjg/edit#gid=934712705"",""ESENCIAL!A6:BG""),2,FALSE))"),"")</f>
        <v/>
      </c>
      <c r="AO511" s="19" t="str">
        <f t="shared" si="33"/>
        <v/>
      </c>
      <c r="AP511" s="100"/>
      <c r="AQ511" s="100"/>
    </row>
    <row r="512" spans="1:43" ht="15">
      <c r="A512" s="5"/>
      <c r="B512" s="5"/>
      <c r="G512" s="5" t="str">
        <f ca="1">IFERROR(__xludf.DUMMYFUNCTION("IFERROR(VLOOKUP(F535,IMPORTRANGE(""https://docs.google.com/spreadsheets/d/1Kvs4KS76FHFqLFIZfrDMff4kP08nblUkihrxltoGBjg/edit#gid=934712705"",""ESENCIAL!A6:BG""),3,FALSE))"),"")</f>
        <v/>
      </c>
      <c r="H512" s="5" t="str">
        <f ca="1">IFERROR(__xludf.DUMMYFUNCTION("IFERROR(VLOOKUP(F535,IMPORTRANGE(""https://docs.google.com/spreadsheets/d/1Kvs4KS76FHFqLFIZfrDMff4kP08nblUkihrxltoGBjg/edit#gid=934712705"",""ESENCIAL!A6:BG""),8,FALSE))"),"")</f>
        <v/>
      </c>
      <c r="L512" s="287"/>
      <c r="Z512" s="41" t="str">
        <f t="shared" si="30"/>
        <v/>
      </c>
      <c r="AA512" s="5" t="str">
        <f ca="1">IFERROR(__xludf.DUMMYFUNCTION("IFERROR(VLOOKUP(E535&amp;F535,IMPORTRANGE(""https://docs.google.com/spreadsheets/d/1Uw7-A9f9R21vMXxHZFNpYNeKFtG8_yji4HS352LGlSQ/edit?pli=1#gid=0"",""1_ACUM!A4:S""),11,FALSE))"),"")</f>
        <v/>
      </c>
      <c r="AB512" s="42" t="str">
        <f ca="1">IFERROR(__xludf.DUMMYFUNCTION("IFERROR(VLOOKUP(F535,IMPORTRANGE(""https://docs.google.com/spreadsheets/d/1Kvs4KS76FHFqLFIZfrDMff4kP08nblUkihrxltoGBjg/edit#gid=934712705"",""ESENCIAL!A6:BG""),15,FALSE))"),"")</f>
        <v/>
      </c>
      <c r="AC512" s="110" t="str">
        <f ca="1">IFERROR(__xludf.DUMMYFUNCTION("IFERROR(VLOOKUP(E535&amp;F535,IMPORTRANGE(""https://docs.google.com/spreadsheets/d/1Uw7-A9f9R21vMXxHZFNpYNeKFtG8_yji4HS352LGlSQ/edit?pli=1#gid=0"",""1_ACUM!A4:S""),13,FALSE))"),"")</f>
        <v/>
      </c>
      <c r="AD512" s="43" t="str">
        <f ca="1">IFERROR(__xludf.DUMMYFUNCTION("IFERROR(VLOOKUP(E535&amp;F535,IMPORTRANGE(""https://docs.google.com/spreadsheets/d/1Uw7-A9f9R21vMXxHZFNpYNeKFtG8_yji4HS352LGlSQ/edit?pli=1#gid=0"",""1_ACUM!A4:S""),13,FALSE))"),"")</f>
        <v/>
      </c>
      <c r="AE512" s="43" t="str">
        <f ca="1">IFERROR(__xludf.DUMMYFUNCTION("IFERROR(VLOOKUP(E535&amp;F535,IMPORTRANGE(""https://docs.google.com/spreadsheets/d/1Uw7-A9f9R21vMXxHZFNpYNeKFtG8_yji4HS352LGlSQ/edit?pli=1#gid=0"",""1_ACUM!A4:S""),14,FALSE))"),"")</f>
        <v/>
      </c>
      <c r="AF512" s="43" t="str">
        <f ca="1">IFERROR(__xludf.DUMMYFUNCTION("IFERROR(VLOOKUP(E535&amp;F535,IMPORTRANGE(""https://docs.google.com/spreadsheets/d/1Uw7-A9f9R21vMXxHZFNpYNeKFtG8_yji4HS352LGlSQ/edit?pli=1#gid=0"",""1_ACUM!A4:S""),15,FALSE))"),"")</f>
        <v/>
      </c>
      <c r="AG512" s="43" t="str">
        <f ca="1">IFERROR(__xludf.DUMMYFUNCTION("IFERROR(VLOOKUP(E535&amp;F535,IMPORTRANGE(""https://docs.google.com/spreadsheets/d/1Uw7-A9f9R21vMXxHZFNpYNeKFtG8_yji4HS352LGlSQ/edit?pli=1#gid=0"",""1_ACUM!A4:S""),16,FALSE))"),"")</f>
        <v/>
      </c>
      <c r="AH512" s="43" t="str">
        <f ca="1">IFERROR(__xludf.DUMMYFUNCTION("IFERROR(VLOOKUP(E535&amp;F535,IMPORTRANGE(""https://docs.google.com/spreadsheets/d/1Uw7-A9f9R21vMXxHZFNpYNeKFtG8_yji4HS352LGlSQ/edit?pli=1#gid=0"",""1_ACUM!A4:S""),17,FALSE))"),"")</f>
        <v/>
      </c>
      <c r="AI512" s="44" t="str">
        <f ca="1">IFERROR(__xludf.DUMMYFUNCTION("IFERROR(VLOOKUP(E535&amp;F535,IMPORTRANGE(""https://docs.google.com/spreadsheets/d/1Uw7-A9f9R21vMXxHZFNpYNeKFtG8_yji4HS352LGlSQ/edit?pli=1#gid=0"",""1_ACUM!A4:S""),18,FALSE))"),"")</f>
        <v/>
      </c>
      <c r="AJ512" s="44" t="str">
        <f ca="1">IFERROR(__xludf.DUMMYFUNCTION("IFERROR(VLOOKUP(E535&amp;F535,IMPORTRANGE(""https://docs.google.com/spreadsheets/d/1Uw7-A9f9R21vMXxHZFNpYNeKFtG8_yji4HS352LGlSQ/edit?pli=1#gid=0"",""1_ACUM!A4:S""),19,FALSE))"),"")</f>
        <v/>
      </c>
      <c r="AK512" s="98" t="str">
        <f ca="1">IFERROR(__xludf.DUMMYFUNCTION("IFERROR(VLOOKUP(F535,IMPORTRANGE(""https://docs.google.com/spreadsheets/d/1Kvs4KS76FHFqLFIZfrDMff4kP08nblUkihrxltoGBjg/edit#gid=934712705"",""ESENCIAL!A6:BG""),5,FALSE))"),"")</f>
        <v/>
      </c>
      <c r="AL512" s="98" t="str">
        <f t="shared" si="31"/>
        <v/>
      </c>
      <c r="AM512" s="99" t="str">
        <f t="shared" si="32"/>
        <v/>
      </c>
      <c r="AN512" s="100" t="str">
        <f ca="1">IFERROR(__xludf.DUMMYFUNCTION("IFERROR(VLOOKUP(F535,IMPORTRANGE(""https://docs.google.com/spreadsheets/d/1Kvs4KS76FHFqLFIZfrDMff4kP08nblUkihrxltoGBjg/edit#gid=934712705"",""ESENCIAL!A6:BG""),2,FALSE))"),"")</f>
        <v/>
      </c>
      <c r="AO512" s="19" t="str">
        <f t="shared" si="33"/>
        <v/>
      </c>
      <c r="AP512" s="100"/>
      <c r="AQ512" s="100"/>
    </row>
    <row r="513" spans="1:43" ht="15">
      <c r="A513" s="5"/>
      <c r="B513" s="5"/>
      <c r="G513" s="5" t="str">
        <f ca="1">IFERROR(__xludf.DUMMYFUNCTION("IFERROR(VLOOKUP(F536,IMPORTRANGE(""https://docs.google.com/spreadsheets/d/1Kvs4KS76FHFqLFIZfrDMff4kP08nblUkihrxltoGBjg/edit#gid=934712705"",""ESENCIAL!A6:BG""),3,FALSE))"),"")</f>
        <v/>
      </c>
      <c r="H513" s="5" t="str">
        <f ca="1">IFERROR(__xludf.DUMMYFUNCTION("IFERROR(VLOOKUP(F536,IMPORTRANGE(""https://docs.google.com/spreadsheets/d/1Kvs4KS76FHFqLFIZfrDMff4kP08nblUkihrxltoGBjg/edit#gid=934712705"",""ESENCIAL!A6:BG""),8,FALSE))"),"")</f>
        <v/>
      </c>
      <c r="L513" s="287"/>
      <c r="Z513" s="41" t="str">
        <f t="shared" si="30"/>
        <v/>
      </c>
      <c r="AA513" s="5" t="str">
        <f ca="1">IFERROR(__xludf.DUMMYFUNCTION("IFERROR(VLOOKUP(E536&amp;F536,IMPORTRANGE(""https://docs.google.com/spreadsheets/d/1Uw7-A9f9R21vMXxHZFNpYNeKFtG8_yji4HS352LGlSQ/edit?pli=1#gid=0"",""1_ACUM!A4:S""),11,FALSE))"),"")</f>
        <v/>
      </c>
      <c r="AB513" s="42" t="str">
        <f ca="1">IFERROR(__xludf.DUMMYFUNCTION("IFERROR(VLOOKUP(F536,IMPORTRANGE(""https://docs.google.com/spreadsheets/d/1Kvs4KS76FHFqLFIZfrDMff4kP08nblUkihrxltoGBjg/edit#gid=934712705"",""ESENCIAL!A6:BG""),15,FALSE))"),"")</f>
        <v/>
      </c>
      <c r="AC513" s="110" t="str">
        <f ca="1">IFERROR(__xludf.DUMMYFUNCTION("IFERROR(VLOOKUP(E536&amp;F536,IMPORTRANGE(""https://docs.google.com/spreadsheets/d/1Uw7-A9f9R21vMXxHZFNpYNeKFtG8_yji4HS352LGlSQ/edit?pli=1#gid=0"",""1_ACUM!A4:S""),13,FALSE))"),"")</f>
        <v/>
      </c>
      <c r="AD513" s="43" t="str">
        <f ca="1">IFERROR(__xludf.DUMMYFUNCTION("IFERROR(VLOOKUP(E536&amp;F536,IMPORTRANGE(""https://docs.google.com/spreadsheets/d/1Uw7-A9f9R21vMXxHZFNpYNeKFtG8_yji4HS352LGlSQ/edit?pli=1#gid=0"",""1_ACUM!A4:S""),13,FALSE))"),"")</f>
        <v/>
      </c>
      <c r="AE513" s="43" t="str">
        <f ca="1">IFERROR(__xludf.DUMMYFUNCTION("IFERROR(VLOOKUP(E536&amp;F536,IMPORTRANGE(""https://docs.google.com/spreadsheets/d/1Uw7-A9f9R21vMXxHZFNpYNeKFtG8_yji4HS352LGlSQ/edit?pli=1#gid=0"",""1_ACUM!A4:S""),14,FALSE))"),"")</f>
        <v/>
      </c>
      <c r="AF513" s="43" t="str">
        <f ca="1">IFERROR(__xludf.DUMMYFUNCTION("IFERROR(VLOOKUP(E536&amp;F536,IMPORTRANGE(""https://docs.google.com/spreadsheets/d/1Uw7-A9f9R21vMXxHZFNpYNeKFtG8_yji4HS352LGlSQ/edit?pli=1#gid=0"",""1_ACUM!A4:S""),15,FALSE))"),"")</f>
        <v/>
      </c>
      <c r="AG513" s="43" t="str">
        <f ca="1">IFERROR(__xludf.DUMMYFUNCTION("IFERROR(VLOOKUP(E536&amp;F536,IMPORTRANGE(""https://docs.google.com/spreadsheets/d/1Uw7-A9f9R21vMXxHZFNpYNeKFtG8_yji4HS352LGlSQ/edit?pli=1#gid=0"",""1_ACUM!A4:S""),16,FALSE))"),"")</f>
        <v/>
      </c>
      <c r="AH513" s="43" t="str">
        <f ca="1">IFERROR(__xludf.DUMMYFUNCTION("IFERROR(VLOOKUP(E536&amp;F536,IMPORTRANGE(""https://docs.google.com/spreadsheets/d/1Uw7-A9f9R21vMXxHZFNpYNeKFtG8_yji4HS352LGlSQ/edit?pli=1#gid=0"",""1_ACUM!A4:S""),17,FALSE))"),"")</f>
        <v/>
      </c>
      <c r="AI513" s="44" t="str">
        <f ca="1">IFERROR(__xludf.DUMMYFUNCTION("IFERROR(VLOOKUP(E536&amp;F536,IMPORTRANGE(""https://docs.google.com/spreadsheets/d/1Uw7-A9f9R21vMXxHZFNpYNeKFtG8_yji4HS352LGlSQ/edit?pli=1#gid=0"",""1_ACUM!A4:S""),18,FALSE))"),"")</f>
        <v/>
      </c>
      <c r="AJ513" s="44" t="str">
        <f ca="1">IFERROR(__xludf.DUMMYFUNCTION("IFERROR(VLOOKUP(E536&amp;F536,IMPORTRANGE(""https://docs.google.com/spreadsheets/d/1Uw7-A9f9R21vMXxHZFNpYNeKFtG8_yji4HS352LGlSQ/edit?pli=1#gid=0"",""1_ACUM!A4:S""),19,FALSE))"),"")</f>
        <v/>
      </c>
      <c r="AK513" s="98" t="str">
        <f ca="1">IFERROR(__xludf.DUMMYFUNCTION("IFERROR(VLOOKUP(F536,IMPORTRANGE(""https://docs.google.com/spreadsheets/d/1Kvs4KS76FHFqLFIZfrDMff4kP08nblUkihrxltoGBjg/edit#gid=934712705"",""ESENCIAL!A6:BG""),5,FALSE))"),"")</f>
        <v/>
      </c>
      <c r="AL513" s="98" t="str">
        <f t="shared" si="31"/>
        <v/>
      </c>
      <c r="AM513" s="99" t="str">
        <f t="shared" si="32"/>
        <v/>
      </c>
      <c r="AN513" s="100" t="str">
        <f ca="1">IFERROR(__xludf.DUMMYFUNCTION("IFERROR(VLOOKUP(F536,IMPORTRANGE(""https://docs.google.com/spreadsheets/d/1Kvs4KS76FHFqLFIZfrDMff4kP08nblUkihrxltoGBjg/edit#gid=934712705"",""ESENCIAL!A6:BG""),2,FALSE))"),"")</f>
        <v/>
      </c>
      <c r="AO513" s="19" t="str">
        <f t="shared" si="33"/>
        <v/>
      </c>
      <c r="AP513" s="100"/>
      <c r="AQ513" s="100"/>
    </row>
    <row r="514" spans="1:43" ht="15">
      <c r="A514" s="5"/>
      <c r="B514" s="5"/>
      <c r="G514" s="5" t="str">
        <f ca="1">IFERROR(__xludf.DUMMYFUNCTION("IFERROR(VLOOKUP(F537,IMPORTRANGE(""https://docs.google.com/spreadsheets/d/1Kvs4KS76FHFqLFIZfrDMff4kP08nblUkihrxltoGBjg/edit#gid=934712705"",""ESENCIAL!A6:BG""),3,FALSE))"),"")</f>
        <v/>
      </c>
      <c r="H514" s="5" t="str">
        <f ca="1">IFERROR(__xludf.DUMMYFUNCTION("IFERROR(VLOOKUP(F537,IMPORTRANGE(""https://docs.google.com/spreadsheets/d/1Kvs4KS76FHFqLFIZfrDMff4kP08nblUkihrxltoGBjg/edit#gid=934712705"",""ESENCIAL!A6:BG""),8,FALSE))"),"")</f>
        <v/>
      </c>
      <c r="L514" s="287"/>
      <c r="Z514" s="41" t="str">
        <f t="shared" ref="Z514:Z577" si="34">IF(E514&gt;0,IF(AND(AH514=1,AE514=1),"Procede_E_P","NO_CUMPLE"),"")</f>
        <v/>
      </c>
      <c r="AA514" s="5" t="str">
        <f ca="1">IFERROR(__xludf.DUMMYFUNCTION("IFERROR(VLOOKUP(E537&amp;F537,IMPORTRANGE(""https://docs.google.com/spreadsheets/d/1Uw7-A9f9R21vMXxHZFNpYNeKFtG8_yji4HS352LGlSQ/edit?pli=1#gid=0"",""1_ACUM!A4:S""),11,FALSE))"),"")</f>
        <v/>
      </c>
      <c r="AB514" s="42" t="str">
        <f ca="1">IFERROR(__xludf.DUMMYFUNCTION("IFERROR(VLOOKUP(F537,IMPORTRANGE(""https://docs.google.com/spreadsheets/d/1Kvs4KS76FHFqLFIZfrDMff4kP08nblUkihrxltoGBjg/edit#gid=934712705"",""ESENCIAL!A6:BG""),15,FALSE))"),"")</f>
        <v/>
      </c>
      <c r="AC514" s="110" t="str">
        <f ca="1">IFERROR(__xludf.DUMMYFUNCTION("IFERROR(VLOOKUP(E537&amp;F537,IMPORTRANGE(""https://docs.google.com/spreadsheets/d/1Uw7-A9f9R21vMXxHZFNpYNeKFtG8_yji4HS352LGlSQ/edit?pli=1#gid=0"",""1_ACUM!A4:S""),13,FALSE))"),"")</f>
        <v/>
      </c>
      <c r="AD514" s="43" t="str">
        <f ca="1">IFERROR(__xludf.DUMMYFUNCTION("IFERROR(VLOOKUP(E537&amp;F537,IMPORTRANGE(""https://docs.google.com/spreadsheets/d/1Uw7-A9f9R21vMXxHZFNpYNeKFtG8_yji4HS352LGlSQ/edit?pli=1#gid=0"",""1_ACUM!A4:S""),13,FALSE))"),"")</f>
        <v/>
      </c>
      <c r="AE514" s="43" t="str">
        <f ca="1">IFERROR(__xludf.DUMMYFUNCTION("IFERROR(VLOOKUP(E537&amp;F537,IMPORTRANGE(""https://docs.google.com/spreadsheets/d/1Uw7-A9f9R21vMXxHZFNpYNeKFtG8_yji4HS352LGlSQ/edit?pli=1#gid=0"",""1_ACUM!A4:S""),14,FALSE))"),"")</f>
        <v/>
      </c>
      <c r="AF514" s="43" t="str">
        <f ca="1">IFERROR(__xludf.DUMMYFUNCTION("IFERROR(VLOOKUP(E537&amp;F537,IMPORTRANGE(""https://docs.google.com/spreadsheets/d/1Uw7-A9f9R21vMXxHZFNpYNeKFtG8_yji4HS352LGlSQ/edit?pli=1#gid=0"",""1_ACUM!A4:S""),15,FALSE))"),"")</f>
        <v/>
      </c>
      <c r="AG514" s="43" t="str">
        <f ca="1">IFERROR(__xludf.DUMMYFUNCTION("IFERROR(VLOOKUP(E537&amp;F537,IMPORTRANGE(""https://docs.google.com/spreadsheets/d/1Uw7-A9f9R21vMXxHZFNpYNeKFtG8_yji4HS352LGlSQ/edit?pli=1#gid=0"",""1_ACUM!A4:S""),16,FALSE))"),"")</f>
        <v/>
      </c>
      <c r="AH514" s="43" t="str">
        <f ca="1">IFERROR(__xludf.DUMMYFUNCTION("IFERROR(VLOOKUP(E537&amp;F537,IMPORTRANGE(""https://docs.google.com/spreadsheets/d/1Uw7-A9f9R21vMXxHZFNpYNeKFtG8_yji4HS352LGlSQ/edit?pli=1#gid=0"",""1_ACUM!A4:S""),17,FALSE))"),"")</f>
        <v/>
      </c>
      <c r="AI514" s="44" t="str">
        <f ca="1">IFERROR(__xludf.DUMMYFUNCTION("IFERROR(VLOOKUP(E537&amp;F537,IMPORTRANGE(""https://docs.google.com/spreadsheets/d/1Uw7-A9f9R21vMXxHZFNpYNeKFtG8_yji4HS352LGlSQ/edit?pli=1#gid=0"",""1_ACUM!A4:S""),18,FALSE))"),"")</f>
        <v/>
      </c>
      <c r="AJ514" s="44" t="str">
        <f ca="1">IFERROR(__xludf.DUMMYFUNCTION("IFERROR(VLOOKUP(E537&amp;F537,IMPORTRANGE(""https://docs.google.com/spreadsheets/d/1Uw7-A9f9R21vMXxHZFNpYNeKFtG8_yji4HS352LGlSQ/edit?pli=1#gid=0"",""1_ACUM!A4:S""),19,FALSE))"),"")</f>
        <v/>
      </c>
      <c r="AK514" s="98" t="str">
        <f ca="1">IFERROR(__xludf.DUMMYFUNCTION("IFERROR(VLOOKUP(F537,IMPORTRANGE(""https://docs.google.com/spreadsheets/d/1Kvs4KS76FHFqLFIZfrDMff4kP08nblUkihrxltoGBjg/edit#gid=934712705"",""ESENCIAL!A6:BG""),5,FALSE))"),"")</f>
        <v/>
      </c>
      <c r="AL514" s="98" t="str">
        <f t="shared" ref="AL514:AL577" si="35">IF(F514&gt;0,EDATE(AK514,18),"")</f>
        <v/>
      </c>
      <c r="AM514" s="99" t="str">
        <f t="shared" ref="AM514:AM577" si="36">IF(F514&gt;0,IF(AL514&lt;$AM$1,"FINALIZAR FICHA","FICHA EN TIEMPO-18 MESES"),"")</f>
        <v/>
      </c>
      <c r="AN514" s="100" t="str">
        <f ca="1">IFERROR(__xludf.DUMMYFUNCTION("IFERROR(VLOOKUP(F537,IMPORTRANGE(""https://docs.google.com/spreadsheets/d/1Kvs4KS76FHFqLFIZfrDMff4kP08nblUkihrxltoGBjg/edit#gid=934712705"",""ESENCIAL!A6:BG""),2,FALSE))"),"")</f>
        <v/>
      </c>
      <c r="AO514" s="19" t="str">
        <f t="shared" si="33"/>
        <v/>
      </c>
      <c r="AP514" s="100"/>
      <c r="AQ514" s="100"/>
    </row>
    <row r="515" spans="1:43" ht="15">
      <c r="A515" s="5"/>
      <c r="B515" s="5"/>
      <c r="G515" s="5" t="str">
        <f ca="1">IFERROR(__xludf.DUMMYFUNCTION("IFERROR(VLOOKUP(F538,IMPORTRANGE(""https://docs.google.com/spreadsheets/d/1Kvs4KS76FHFqLFIZfrDMff4kP08nblUkihrxltoGBjg/edit#gid=934712705"",""ESENCIAL!A6:BG""),3,FALSE))"),"")</f>
        <v/>
      </c>
      <c r="H515" s="5" t="str">
        <f ca="1">IFERROR(__xludf.DUMMYFUNCTION("IFERROR(VLOOKUP(F538,IMPORTRANGE(""https://docs.google.com/spreadsheets/d/1Kvs4KS76FHFqLFIZfrDMff4kP08nblUkihrxltoGBjg/edit#gid=934712705"",""ESENCIAL!A6:BG""),8,FALSE))"),"")</f>
        <v/>
      </c>
      <c r="L515" s="287"/>
      <c r="Z515" s="41" t="str">
        <f t="shared" si="34"/>
        <v/>
      </c>
      <c r="AA515" s="5" t="str">
        <f ca="1">IFERROR(__xludf.DUMMYFUNCTION("IFERROR(VLOOKUP(E538&amp;F538,IMPORTRANGE(""https://docs.google.com/spreadsheets/d/1Uw7-A9f9R21vMXxHZFNpYNeKFtG8_yji4HS352LGlSQ/edit?pli=1#gid=0"",""1_ACUM!A4:S""),11,FALSE))"),"")</f>
        <v/>
      </c>
      <c r="AB515" s="42" t="str">
        <f ca="1">IFERROR(__xludf.DUMMYFUNCTION("IFERROR(VLOOKUP(F538,IMPORTRANGE(""https://docs.google.com/spreadsheets/d/1Kvs4KS76FHFqLFIZfrDMff4kP08nblUkihrxltoGBjg/edit#gid=934712705"",""ESENCIAL!A6:BG""),15,FALSE))"),"")</f>
        <v/>
      </c>
      <c r="AC515" s="110" t="str">
        <f ca="1">IFERROR(__xludf.DUMMYFUNCTION("IFERROR(VLOOKUP(E538&amp;F538,IMPORTRANGE(""https://docs.google.com/spreadsheets/d/1Uw7-A9f9R21vMXxHZFNpYNeKFtG8_yji4HS352LGlSQ/edit?pli=1#gid=0"",""1_ACUM!A4:S""),13,FALSE))"),"")</f>
        <v/>
      </c>
      <c r="AD515" s="43" t="str">
        <f ca="1">IFERROR(__xludf.DUMMYFUNCTION("IFERROR(VLOOKUP(E538&amp;F538,IMPORTRANGE(""https://docs.google.com/spreadsheets/d/1Uw7-A9f9R21vMXxHZFNpYNeKFtG8_yji4HS352LGlSQ/edit?pli=1#gid=0"",""1_ACUM!A4:S""),13,FALSE))"),"")</f>
        <v/>
      </c>
      <c r="AE515" s="43" t="str">
        <f ca="1">IFERROR(__xludf.DUMMYFUNCTION("IFERROR(VLOOKUP(E538&amp;F538,IMPORTRANGE(""https://docs.google.com/spreadsheets/d/1Uw7-A9f9R21vMXxHZFNpYNeKFtG8_yji4HS352LGlSQ/edit?pli=1#gid=0"",""1_ACUM!A4:S""),14,FALSE))"),"")</f>
        <v/>
      </c>
      <c r="AF515" s="43" t="str">
        <f ca="1">IFERROR(__xludf.DUMMYFUNCTION("IFERROR(VLOOKUP(E538&amp;F538,IMPORTRANGE(""https://docs.google.com/spreadsheets/d/1Uw7-A9f9R21vMXxHZFNpYNeKFtG8_yji4HS352LGlSQ/edit?pli=1#gid=0"",""1_ACUM!A4:S""),15,FALSE))"),"")</f>
        <v/>
      </c>
      <c r="AG515" s="43" t="str">
        <f ca="1">IFERROR(__xludf.DUMMYFUNCTION("IFERROR(VLOOKUP(E538&amp;F538,IMPORTRANGE(""https://docs.google.com/spreadsheets/d/1Uw7-A9f9R21vMXxHZFNpYNeKFtG8_yji4HS352LGlSQ/edit?pli=1#gid=0"",""1_ACUM!A4:S""),16,FALSE))"),"")</f>
        <v/>
      </c>
      <c r="AH515" s="43" t="str">
        <f ca="1">IFERROR(__xludf.DUMMYFUNCTION("IFERROR(VLOOKUP(E538&amp;F538,IMPORTRANGE(""https://docs.google.com/spreadsheets/d/1Uw7-A9f9R21vMXxHZFNpYNeKFtG8_yji4HS352LGlSQ/edit?pli=1#gid=0"",""1_ACUM!A4:S""),17,FALSE))"),"")</f>
        <v/>
      </c>
      <c r="AI515" s="44" t="str">
        <f ca="1">IFERROR(__xludf.DUMMYFUNCTION("IFERROR(VLOOKUP(E538&amp;F538,IMPORTRANGE(""https://docs.google.com/spreadsheets/d/1Uw7-A9f9R21vMXxHZFNpYNeKFtG8_yji4HS352LGlSQ/edit?pli=1#gid=0"",""1_ACUM!A4:S""),18,FALSE))"),"")</f>
        <v/>
      </c>
      <c r="AJ515" s="44" t="str">
        <f ca="1">IFERROR(__xludf.DUMMYFUNCTION("IFERROR(VLOOKUP(E538&amp;F538,IMPORTRANGE(""https://docs.google.com/spreadsheets/d/1Uw7-A9f9R21vMXxHZFNpYNeKFtG8_yji4HS352LGlSQ/edit?pli=1#gid=0"",""1_ACUM!A4:S""),19,FALSE))"),"")</f>
        <v/>
      </c>
      <c r="AK515" s="98" t="str">
        <f ca="1">IFERROR(__xludf.DUMMYFUNCTION("IFERROR(VLOOKUP(F538,IMPORTRANGE(""https://docs.google.com/spreadsheets/d/1Kvs4KS76FHFqLFIZfrDMff4kP08nblUkihrxltoGBjg/edit#gid=934712705"",""ESENCIAL!A6:BG""),5,FALSE))"),"")</f>
        <v/>
      </c>
      <c r="AL515" s="98" t="str">
        <f t="shared" si="35"/>
        <v/>
      </c>
      <c r="AM515" s="99" t="str">
        <f t="shared" si="36"/>
        <v/>
      </c>
      <c r="AN515" s="100" t="str">
        <f ca="1">IFERROR(__xludf.DUMMYFUNCTION("IFERROR(VLOOKUP(F538,IMPORTRANGE(""https://docs.google.com/spreadsheets/d/1Kvs4KS76FHFqLFIZfrDMff4kP08nblUkihrxltoGBjg/edit#gid=934712705"",""ESENCIAL!A6:BG""),2,FALSE))"),"")</f>
        <v/>
      </c>
      <c r="AO515" s="19" t="str">
        <f t="shared" si="33"/>
        <v/>
      </c>
      <c r="AP515" s="100"/>
      <c r="AQ515" s="100"/>
    </row>
    <row r="516" spans="1:43" ht="15">
      <c r="A516" s="5"/>
      <c r="B516" s="5"/>
      <c r="G516" s="5" t="str">
        <f ca="1">IFERROR(__xludf.DUMMYFUNCTION("IFERROR(VLOOKUP(F539,IMPORTRANGE(""https://docs.google.com/spreadsheets/d/1Kvs4KS76FHFqLFIZfrDMff4kP08nblUkihrxltoGBjg/edit#gid=934712705"",""ESENCIAL!A6:BG""),3,FALSE))"),"")</f>
        <v/>
      </c>
      <c r="H516" s="5" t="str">
        <f ca="1">IFERROR(__xludf.DUMMYFUNCTION("IFERROR(VLOOKUP(F539,IMPORTRANGE(""https://docs.google.com/spreadsheets/d/1Kvs4KS76FHFqLFIZfrDMff4kP08nblUkihrxltoGBjg/edit#gid=934712705"",""ESENCIAL!A6:BG""),8,FALSE))"),"")</f>
        <v/>
      </c>
      <c r="L516" s="287"/>
      <c r="Z516" s="41" t="str">
        <f t="shared" si="34"/>
        <v/>
      </c>
      <c r="AA516" s="5" t="str">
        <f ca="1">IFERROR(__xludf.DUMMYFUNCTION("IFERROR(VLOOKUP(E539&amp;F539,IMPORTRANGE(""https://docs.google.com/spreadsheets/d/1Uw7-A9f9R21vMXxHZFNpYNeKFtG8_yji4HS352LGlSQ/edit?pli=1#gid=0"",""1_ACUM!A4:S""),11,FALSE))"),"")</f>
        <v/>
      </c>
      <c r="AB516" s="42" t="str">
        <f ca="1">IFERROR(__xludf.DUMMYFUNCTION("IFERROR(VLOOKUP(F539,IMPORTRANGE(""https://docs.google.com/spreadsheets/d/1Kvs4KS76FHFqLFIZfrDMff4kP08nblUkihrxltoGBjg/edit#gid=934712705"",""ESENCIAL!A6:BG""),15,FALSE))"),"")</f>
        <v/>
      </c>
      <c r="AC516" s="110" t="str">
        <f ca="1">IFERROR(__xludf.DUMMYFUNCTION("IFERROR(VLOOKUP(E539&amp;F539,IMPORTRANGE(""https://docs.google.com/spreadsheets/d/1Uw7-A9f9R21vMXxHZFNpYNeKFtG8_yji4HS352LGlSQ/edit?pli=1#gid=0"",""1_ACUM!A4:S""),13,FALSE))"),"")</f>
        <v/>
      </c>
      <c r="AD516" s="43" t="str">
        <f ca="1">IFERROR(__xludf.DUMMYFUNCTION("IFERROR(VLOOKUP(E539&amp;F539,IMPORTRANGE(""https://docs.google.com/spreadsheets/d/1Uw7-A9f9R21vMXxHZFNpYNeKFtG8_yji4HS352LGlSQ/edit?pli=1#gid=0"",""1_ACUM!A4:S""),13,FALSE))"),"")</f>
        <v/>
      </c>
      <c r="AE516" s="43" t="str">
        <f ca="1">IFERROR(__xludf.DUMMYFUNCTION("IFERROR(VLOOKUP(E539&amp;F539,IMPORTRANGE(""https://docs.google.com/spreadsheets/d/1Uw7-A9f9R21vMXxHZFNpYNeKFtG8_yji4HS352LGlSQ/edit?pli=1#gid=0"",""1_ACUM!A4:S""),14,FALSE))"),"")</f>
        <v/>
      </c>
      <c r="AF516" s="43" t="str">
        <f ca="1">IFERROR(__xludf.DUMMYFUNCTION("IFERROR(VLOOKUP(E539&amp;F539,IMPORTRANGE(""https://docs.google.com/spreadsheets/d/1Uw7-A9f9R21vMXxHZFNpYNeKFtG8_yji4HS352LGlSQ/edit?pli=1#gid=0"",""1_ACUM!A4:S""),15,FALSE))"),"")</f>
        <v/>
      </c>
      <c r="AG516" s="43" t="str">
        <f ca="1">IFERROR(__xludf.DUMMYFUNCTION("IFERROR(VLOOKUP(E539&amp;F539,IMPORTRANGE(""https://docs.google.com/spreadsheets/d/1Uw7-A9f9R21vMXxHZFNpYNeKFtG8_yji4HS352LGlSQ/edit?pli=1#gid=0"",""1_ACUM!A4:S""),16,FALSE))"),"")</f>
        <v/>
      </c>
      <c r="AH516" s="43" t="str">
        <f ca="1">IFERROR(__xludf.DUMMYFUNCTION("IFERROR(VLOOKUP(E539&amp;F539,IMPORTRANGE(""https://docs.google.com/spreadsheets/d/1Uw7-A9f9R21vMXxHZFNpYNeKFtG8_yji4HS352LGlSQ/edit?pli=1#gid=0"",""1_ACUM!A4:S""),17,FALSE))"),"")</f>
        <v/>
      </c>
      <c r="AI516" s="44" t="str">
        <f ca="1">IFERROR(__xludf.DUMMYFUNCTION("IFERROR(VLOOKUP(E539&amp;F539,IMPORTRANGE(""https://docs.google.com/spreadsheets/d/1Uw7-A9f9R21vMXxHZFNpYNeKFtG8_yji4HS352LGlSQ/edit?pli=1#gid=0"",""1_ACUM!A4:S""),18,FALSE))"),"")</f>
        <v/>
      </c>
      <c r="AJ516" s="44" t="str">
        <f ca="1">IFERROR(__xludf.DUMMYFUNCTION("IFERROR(VLOOKUP(E539&amp;F539,IMPORTRANGE(""https://docs.google.com/spreadsheets/d/1Uw7-A9f9R21vMXxHZFNpYNeKFtG8_yji4HS352LGlSQ/edit?pli=1#gid=0"",""1_ACUM!A4:S""),19,FALSE))"),"")</f>
        <v/>
      </c>
      <c r="AK516" s="98" t="str">
        <f ca="1">IFERROR(__xludf.DUMMYFUNCTION("IFERROR(VLOOKUP(F539,IMPORTRANGE(""https://docs.google.com/spreadsheets/d/1Kvs4KS76FHFqLFIZfrDMff4kP08nblUkihrxltoGBjg/edit#gid=934712705"",""ESENCIAL!A6:BG""),5,FALSE))"),"")</f>
        <v/>
      </c>
      <c r="AL516" s="98" t="str">
        <f t="shared" si="35"/>
        <v/>
      </c>
      <c r="AM516" s="99" t="str">
        <f t="shared" si="36"/>
        <v/>
      </c>
      <c r="AN516" s="100" t="str">
        <f ca="1">IFERROR(__xludf.DUMMYFUNCTION("IFERROR(VLOOKUP(F539,IMPORTRANGE(""https://docs.google.com/spreadsheets/d/1Kvs4KS76FHFqLFIZfrDMff4kP08nblUkihrxltoGBjg/edit#gid=934712705"",""ESENCIAL!A6:BG""),2,FALSE))"),"")</f>
        <v/>
      </c>
      <c r="AO516" s="19" t="str">
        <f t="shared" si="33"/>
        <v/>
      </c>
      <c r="AP516" s="100"/>
      <c r="AQ516" s="100"/>
    </row>
    <row r="517" spans="1:43" ht="15">
      <c r="A517" s="5"/>
      <c r="B517" s="5"/>
      <c r="G517" s="5" t="str">
        <f ca="1">IFERROR(__xludf.DUMMYFUNCTION("IFERROR(VLOOKUP(F540,IMPORTRANGE(""https://docs.google.com/spreadsheets/d/1Kvs4KS76FHFqLFIZfrDMff4kP08nblUkihrxltoGBjg/edit#gid=934712705"",""ESENCIAL!A6:BG""),3,FALSE))"),"")</f>
        <v/>
      </c>
      <c r="H517" s="5" t="str">
        <f ca="1">IFERROR(__xludf.DUMMYFUNCTION("IFERROR(VLOOKUP(F540,IMPORTRANGE(""https://docs.google.com/spreadsheets/d/1Kvs4KS76FHFqLFIZfrDMff4kP08nblUkihrxltoGBjg/edit#gid=934712705"",""ESENCIAL!A6:BG""),8,FALSE))"),"")</f>
        <v/>
      </c>
      <c r="L517" s="287"/>
      <c r="Z517" s="41" t="str">
        <f t="shared" si="34"/>
        <v/>
      </c>
      <c r="AA517" s="5" t="str">
        <f ca="1">IFERROR(__xludf.DUMMYFUNCTION("IFERROR(VLOOKUP(E540&amp;F540,IMPORTRANGE(""https://docs.google.com/spreadsheets/d/1Uw7-A9f9R21vMXxHZFNpYNeKFtG8_yji4HS352LGlSQ/edit?pli=1#gid=0"",""1_ACUM!A4:S""),11,FALSE))"),"")</f>
        <v/>
      </c>
      <c r="AB517" s="42" t="str">
        <f ca="1">IFERROR(__xludf.DUMMYFUNCTION("IFERROR(VLOOKUP(F540,IMPORTRANGE(""https://docs.google.com/spreadsheets/d/1Kvs4KS76FHFqLFIZfrDMff4kP08nblUkihrxltoGBjg/edit#gid=934712705"",""ESENCIAL!A6:BG""),15,FALSE))"),"")</f>
        <v/>
      </c>
      <c r="AC517" s="110" t="str">
        <f ca="1">IFERROR(__xludf.DUMMYFUNCTION("IFERROR(VLOOKUP(E540&amp;F540,IMPORTRANGE(""https://docs.google.com/spreadsheets/d/1Uw7-A9f9R21vMXxHZFNpYNeKFtG8_yji4HS352LGlSQ/edit?pli=1#gid=0"",""1_ACUM!A4:S""),13,FALSE))"),"")</f>
        <v/>
      </c>
      <c r="AD517" s="43" t="str">
        <f ca="1">IFERROR(__xludf.DUMMYFUNCTION("IFERROR(VLOOKUP(E540&amp;F540,IMPORTRANGE(""https://docs.google.com/spreadsheets/d/1Uw7-A9f9R21vMXxHZFNpYNeKFtG8_yji4HS352LGlSQ/edit?pli=1#gid=0"",""1_ACUM!A4:S""),13,FALSE))"),"")</f>
        <v/>
      </c>
      <c r="AE517" s="43" t="str">
        <f ca="1">IFERROR(__xludf.DUMMYFUNCTION("IFERROR(VLOOKUP(E540&amp;F540,IMPORTRANGE(""https://docs.google.com/spreadsheets/d/1Uw7-A9f9R21vMXxHZFNpYNeKFtG8_yji4HS352LGlSQ/edit?pli=1#gid=0"",""1_ACUM!A4:S""),14,FALSE))"),"")</f>
        <v/>
      </c>
      <c r="AF517" s="43" t="str">
        <f ca="1">IFERROR(__xludf.DUMMYFUNCTION("IFERROR(VLOOKUP(E540&amp;F540,IMPORTRANGE(""https://docs.google.com/spreadsheets/d/1Uw7-A9f9R21vMXxHZFNpYNeKFtG8_yji4HS352LGlSQ/edit?pli=1#gid=0"",""1_ACUM!A4:S""),15,FALSE))"),"")</f>
        <v/>
      </c>
      <c r="AG517" s="43" t="str">
        <f ca="1">IFERROR(__xludf.DUMMYFUNCTION("IFERROR(VLOOKUP(E540&amp;F540,IMPORTRANGE(""https://docs.google.com/spreadsheets/d/1Uw7-A9f9R21vMXxHZFNpYNeKFtG8_yji4HS352LGlSQ/edit?pli=1#gid=0"",""1_ACUM!A4:S""),16,FALSE))"),"")</f>
        <v/>
      </c>
      <c r="AH517" s="43" t="str">
        <f ca="1">IFERROR(__xludf.DUMMYFUNCTION("IFERROR(VLOOKUP(E540&amp;F540,IMPORTRANGE(""https://docs.google.com/spreadsheets/d/1Uw7-A9f9R21vMXxHZFNpYNeKFtG8_yji4HS352LGlSQ/edit?pli=1#gid=0"",""1_ACUM!A4:S""),17,FALSE))"),"")</f>
        <v/>
      </c>
      <c r="AI517" s="44" t="str">
        <f ca="1">IFERROR(__xludf.DUMMYFUNCTION("IFERROR(VLOOKUP(E540&amp;F540,IMPORTRANGE(""https://docs.google.com/spreadsheets/d/1Uw7-A9f9R21vMXxHZFNpYNeKFtG8_yji4HS352LGlSQ/edit?pli=1#gid=0"",""1_ACUM!A4:S""),18,FALSE))"),"")</f>
        <v/>
      </c>
      <c r="AJ517" s="44" t="str">
        <f ca="1">IFERROR(__xludf.DUMMYFUNCTION("IFERROR(VLOOKUP(E540&amp;F540,IMPORTRANGE(""https://docs.google.com/spreadsheets/d/1Uw7-A9f9R21vMXxHZFNpYNeKFtG8_yji4HS352LGlSQ/edit?pli=1#gid=0"",""1_ACUM!A4:S""),19,FALSE))"),"")</f>
        <v/>
      </c>
      <c r="AK517" s="98" t="str">
        <f ca="1">IFERROR(__xludf.DUMMYFUNCTION("IFERROR(VLOOKUP(F540,IMPORTRANGE(""https://docs.google.com/spreadsheets/d/1Kvs4KS76FHFqLFIZfrDMff4kP08nblUkihrxltoGBjg/edit#gid=934712705"",""ESENCIAL!A6:BG""),5,FALSE))"),"")</f>
        <v/>
      </c>
      <c r="AL517" s="98" t="str">
        <f t="shared" si="35"/>
        <v/>
      </c>
      <c r="AM517" s="99" t="str">
        <f t="shared" si="36"/>
        <v/>
      </c>
      <c r="AN517" s="100" t="str">
        <f ca="1">IFERROR(__xludf.DUMMYFUNCTION("IFERROR(VLOOKUP(F540,IMPORTRANGE(""https://docs.google.com/spreadsheets/d/1Kvs4KS76FHFqLFIZfrDMff4kP08nblUkihrxltoGBjg/edit#gid=934712705"",""ESENCIAL!A6:BG""),2,FALSE))"),"")</f>
        <v/>
      </c>
      <c r="AO517" s="19" t="str">
        <f t="shared" si="33"/>
        <v/>
      </c>
      <c r="AP517" s="100"/>
      <c r="AQ517" s="100"/>
    </row>
    <row r="518" spans="1:43" ht="15">
      <c r="A518" s="5"/>
      <c r="B518" s="5"/>
      <c r="G518" s="5" t="str">
        <f ca="1">IFERROR(__xludf.DUMMYFUNCTION("IFERROR(VLOOKUP(F541,IMPORTRANGE(""https://docs.google.com/spreadsheets/d/1Kvs4KS76FHFqLFIZfrDMff4kP08nblUkihrxltoGBjg/edit#gid=934712705"",""ESENCIAL!A6:BG""),3,FALSE))"),"")</f>
        <v/>
      </c>
      <c r="H518" s="5" t="str">
        <f ca="1">IFERROR(__xludf.DUMMYFUNCTION("IFERROR(VLOOKUP(F541,IMPORTRANGE(""https://docs.google.com/spreadsheets/d/1Kvs4KS76FHFqLFIZfrDMff4kP08nblUkihrxltoGBjg/edit#gid=934712705"",""ESENCIAL!A6:BG""),8,FALSE))"),"")</f>
        <v/>
      </c>
      <c r="L518" s="287"/>
      <c r="Z518" s="41" t="str">
        <f t="shared" si="34"/>
        <v/>
      </c>
      <c r="AA518" s="5" t="str">
        <f ca="1">IFERROR(__xludf.DUMMYFUNCTION("IFERROR(VLOOKUP(E541&amp;F541,IMPORTRANGE(""https://docs.google.com/spreadsheets/d/1Uw7-A9f9R21vMXxHZFNpYNeKFtG8_yji4HS352LGlSQ/edit?pli=1#gid=0"",""1_ACUM!A4:S""),11,FALSE))"),"")</f>
        <v/>
      </c>
      <c r="AB518" s="42" t="str">
        <f ca="1">IFERROR(__xludf.DUMMYFUNCTION("IFERROR(VLOOKUP(F541,IMPORTRANGE(""https://docs.google.com/spreadsheets/d/1Kvs4KS76FHFqLFIZfrDMff4kP08nblUkihrxltoGBjg/edit#gid=934712705"",""ESENCIAL!A6:BG""),15,FALSE))"),"")</f>
        <v/>
      </c>
      <c r="AC518" s="110" t="str">
        <f ca="1">IFERROR(__xludf.DUMMYFUNCTION("IFERROR(VLOOKUP(E541&amp;F541,IMPORTRANGE(""https://docs.google.com/spreadsheets/d/1Uw7-A9f9R21vMXxHZFNpYNeKFtG8_yji4HS352LGlSQ/edit?pli=1#gid=0"",""1_ACUM!A4:S""),13,FALSE))"),"")</f>
        <v/>
      </c>
      <c r="AD518" s="43" t="str">
        <f ca="1">IFERROR(__xludf.DUMMYFUNCTION("IFERROR(VLOOKUP(E541&amp;F541,IMPORTRANGE(""https://docs.google.com/spreadsheets/d/1Uw7-A9f9R21vMXxHZFNpYNeKFtG8_yji4HS352LGlSQ/edit?pli=1#gid=0"",""1_ACUM!A4:S""),13,FALSE))"),"")</f>
        <v/>
      </c>
      <c r="AE518" s="43" t="str">
        <f ca="1">IFERROR(__xludf.DUMMYFUNCTION("IFERROR(VLOOKUP(E541&amp;F541,IMPORTRANGE(""https://docs.google.com/spreadsheets/d/1Uw7-A9f9R21vMXxHZFNpYNeKFtG8_yji4HS352LGlSQ/edit?pli=1#gid=0"",""1_ACUM!A4:S""),14,FALSE))"),"")</f>
        <v/>
      </c>
      <c r="AF518" s="43" t="str">
        <f ca="1">IFERROR(__xludf.DUMMYFUNCTION("IFERROR(VLOOKUP(E541&amp;F541,IMPORTRANGE(""https://docs.google.com/spreadsheets/d/1Uw7-A9f9R21vMXxHZFNpYNeKFtG8_yji4HS352LGlSQ/edit?pli=1#gid=0"",""1_ACUM!A4:S""),15,FALSE))"),"")</f>
        <v/>
      </c>
      <c r="AG518" s="43" t="str">
        <f ca="1">IFERROR(__xludf.DUMMYFUNCTION("IFERROR(VLOOKUP(E541&amp;F541,IMPORTRANGE(""https://docs.google.com/spreadsheets/d/1Uw7-A9f9R21vMXxHZFNpYNeKFtG8_yji4HS352LGlSQ/edit?pli=1#gid=0"",""1_ACUM!A4:S""),16,FALSE))"),"")</f>
        <v/>
      </c>
      <c r="AH518" s="43" t="str">
        <f ca="1">IFERROR(__xludf.DUMMYFUNCTION("IFERROR(VLOOKUP(E541&amp;F541,IMPORTRANGE(""https://docs.google.com/spreadsheets/d/1Uw7-A9f9R21vMXxHZFNpYNeKFtG8_yji4HS352LGlSQ/edit?pli=1#gid=0"",""1_ACUM!A4:S""),17,FALSE))"),"")</f>
        <v/>
      </c>
      <c r="AI518" s="44" t="str">
        <f ca="1">IFERROR(__xludf.DUMMYFUNCTION("IFERROR(VLOOKUP(E541&amp;F541,IMPORTRANGE(""https://docs.google.com/spreadsheets/d/1Uw7-A9f9R21vMXxHZFNpYNeKFtG8_yji4HS352LGlSQ/edit?pli=1#gid=0"",""1_ACUM!A4:S""),18,FALSE))"),"")</f>
        <v/>
      </c>
      <c r="AJ518" s="44" t="str">
        <f ca="1">IFERROR(__xludf.DUMMYFUNCTION("IFERROR(VLOOKUP(E541&amp;F541,IMPORTRANGE(""https://docs.google.com/spreadsheets/d/1Uw7-A9f9R21vMXxHZFNpYNeKFtG8_yji4HS352LGlSQ/edit?pli=1#gid=0"",""1_ACUM!A4:S""),19,FALSE))"),"")</f>
        <v/>
      </c>
      <c r="AK518" s="98" t="str">
        <f ca="1">IFERROR(__xludf.DUMMYFUNCTION("IFERROR(VLOOKUP(F541,IMPORTRANGE(""https://docs.google.com/spreadsheets/d/1Kvs4KS76FHFqLFIZfrDMff4kP08nblUkihrxltoGBjg/edit#gid=934712705"",""ESENCIAL!A6:BG""),5,FALSE))"),"")</f>
        <v/>
      </c>
      <c r="AL518" s="98" t="str">
        <f t="shared" si="35"/>
        <v/>
      </c>
      <c r="AM518" s="99" t="str">
        <f t="shared" si="36"/>
        <v/>
      </c>
      <c r="AN518" s="100" t="str">
        <f ca="1">IFERROR(__xludf.DUMMYFUNCTION("IFERROR(VLOOKUP(F541,IMPORTRANGE(""https://docs.google.com/spreadsheets/d/1Kvs4KS76FHFqLFIZfrDMff4kP08nblUkihrxltoGBjg/edit#gid=934712705"",""ESENCIAL!A6:BG""),2,FALSE))"),"")</f>
        <v/>
      </c>
      <c r="AO518" s="19" t="str">
        <f t="shared" si="33"/>
        <v/>
      </c>
      <c r="AP518" s="100"/>
      <c r="AQ518" s="100"/>
    </row>
    <row r="519" spans="1:43" ht="15">
      <c r="A519" s="5"/>
      <c r="B519" s="5"/>
      <c r="G519" s="5" t="str">
        <f ca="1">IFERROR(__xludf.DUMMYFUNCTION("IFERROR(VLOOKUP(F542,IMPORTRANGE(""https://docs.google.com/spreadsheets/d/1Kvs4KS76FHFqLFIZfrDMff4kP08nblUkihrxltoGBjg/edit#gid=934712705"",""ESENCIAL!A6:BG""),3,FALSE))"),"")</f>
        <v/>
      </c>
      <c r="H519" s="5" t="str">
        <f ca="1">IFERROR(__xludf.DUMMYFUNCTION("IFERROR(VLOOKUP(F542,IMPORTRANGE(""https://docs.google.com/spreadsheets/d/1Kvs4KS76FHFqLFIZfrDMff4kP08nblUkihrxltoGBjg/edit#gid=934712705"",""ESENCIAL!A6:BG""),8,FALSE))"),"")</f>
        <v/>
      </c>
      <c r="L519" s="287"/>
      <c r="Z519" s="41" t="str">
        <f t="shared" si="34"/>
        <v/>
      </c>
      <c r="AA519" s="5" t="str">
        <f ca="1">IFERROR(__xludf.DUMMYFUNCTION("IFERROR(VLOOKUP(E542&amp;F542,IMPORTRANGE(""https://docs.google.com/spreadsheets/d/1Uw7-A9f9R21vMXxHZFNpYNeKFtG8_yji4HS352LGlSQ/edit?pli=1#gid=0"",""1_ACUM!A4:S""),11,FALSE))"),"")</f>
        <v/>
      </c>
      <c r="AB519" s="42" t="str">
        <f ca="1">IFERROR(__xludf.DUMMYFUNCTION("IFERROR(VLOOKUP(F542,IMPORTRANGE(""https://docs.google.com/spreadsheets/d/1Kvs4KS76FHFqLFIZfrDMff4kP08nblUkihrxltoGBjg/edit#gid=934712705"",""ESENCIAL!A6:BG""),15,FALSE))"),"")</f>
        <v/>
      </c>
      <c r="AC519" s="110" t="str">
        <f ca="1">IFERROR(__xludf.DUMMYFUNCTION("IFERROR(VLOOKUP(E542&amp;F542,IMPORTRANGE(""https://docs.google.com/spreadsheets/d/1Uw7-A9f9R21vMXxHZFNpYNeKFtG8_yji4HS352LGlSQ/edit?pli=1#gid=0"",""1_ACUM!A4:S""),13,FALSE))"),"")</f>
        <v/>
      </c>
      <c r="AD519" s="43" t="str">
        <f ca="1">IFERROR(__xludf.DUMMYFUNCTION("IFERROR(VLOOKUP(E542&amp;F542,IMPORTRANGE(""https://docs.google.com/spreadsheets/d/1Uw7-A9f9R21vMXxHZFNpYNeKFtG8_yji4HS352LGlSQ/edit?pli=1#gid=0"",""1_ACUM!A4:S""),13,FALSE))"),"")</f>
        <v/>
      </c>
      <c r="AE519" s="43" t="str">
        <f ca="1">IFERROR(__xludf.DUMMYFUNCTION("IFERROR(VLOOKUP(E542&amp;F542,IMPORTRANGE(""https://docs.google.com/spreadsheets/d/1Uw7-A9f9R21vMXxHZFNpYNeKFtG8_yji4HS352LGlSQ/edit?pli=1#gid=0"",""1_ACUM!A4:S""),14,FALSE))"),"")</f>
        <v/>
      </c>
      <c r="AF519" s="43" t="str">
        <f ca="1">IFERROR(__xludf.DUMMYFUNCTION("IFERROR(VLOOKUP(E542&amp;F542,IMPORTRANGE(""https://docs.google.com/spreadsheets/d/1Uw7-A9f9R21vMXxHZFNpYNeKFtG8_yji4HS352LGlSQ/edit?pli=1#gid=0"",""1_ACUM!A4:S""),15,FALSE))"),"")</f>
        <v/>
      </c>
      <c r="AG519" s="43" t="str">
        <f ca="1">IFERROR(__xludf.DUMMYFUNCTION("IFERROR(VLOOKUP(E542&amp;F542,IMPORTRANGE(""https://docs.google.com/spreadsheets/d/1Uw7-A9f9R21vMXxHZFNpYNeKFtG8_yji4HS352LGlSQ/edit?pli=1#gid=0"",""1_ACUM!A4:S""),16,FALSE))"),"")</f>
        <v/>
      </c>
      <c r="AH519" s="43" t="str">
        <f ca="1">IFERROR(__xludf.DUMMYFUNCTION("IFERROR(VLOOKUP(E542&amp;F542,IMPORTRANGE(""https://docs.google.com/spreadsheets/d/1Uw7-A9f9R21vMXxHZFNpYNeKFtG8_yji4HS352LGlSQ/edit?pli=1#gid=0"",""1_ACUM!A4:S""),17,FALSE))"),"")</f>
        <v/>
      </c>
      <c r="AI519" s="44" t="str">
        <f ca="1">IFERROR(__xludf.DUMMYFUNCTION("IFERROR(VLOOKUP(E542&amp;F542,IMPORTRANGE(""https://docs.google.com/spreadsheets/d/1Uw7-A9f9R21vMXxHZFNpYNeKFtG8_yji4HS352LGlSQ/edit?pli=1#gid=0"",""1_ACUM!A4:S""),18,FALSE))"),"")</f>
        <v/>
      </c>
      <c r="AJ519" s="44" t="str">
        <f ca="1">IFERROR(__xludf.DUMMYFUNCTION("IFERROR(VLOOKUP(E542&amp;F542,IMPORTRANGE(""https://docs.google.com/spreadsheets/d/1Uw7-A9f9R21vMXxHZFNpYNeKFtG8_yji4HS352LGlSQ/edit?pli=1#gid=0"",""1_ACUM!A4:S""),19,FALSE))"),"")</f>
        <v/>
      </c>
      <c r="AK519" s="98" t="str">
        <f ca="1">IFERROR(__xludf.DUMMYFUNCTION("IFERROR(VLOOKUP(F542,IMPORTRANGE(""https://docs.google.com/spreadsheets/d/1Kvs4KS76FHFqLFIZfrDMff4kP08nblUkihrxltoGBjg/edit#gid=934712705"",""ESENCIAL!A6:BG""),5,FALSE))"),"")</f>
        <v/>
      </c>
      <c r="AL519" s="98" t="str">
        <f t="shared" si="35"/>
        <v/>
      </c>
      <c r="AM519" s="99" t="str">
        <f t="shared" si="36"/>
        <v/>
      </c>
      <c r="AN519" s="100" t="str">
        <f ca="1">IFERROR(__xludf.DUMMYFUNCTION("IFERROR(VLOOKUP(F542,IMPORTRANGE(""https://docs.google.com/spreadsheets/d/1Kvs4KS76FHFqLFIZfrDMff4kP08nblUkihrxltoGBjg/edit#gid=934712705"",""ESENCIAL!A6:BG""),2,FALSE))"),"")</f>
        <v/>
      </c>
      <c r="AO519" s="19" t="str">
        <f t="shared" si="33"/>
        <v/>
      </c>
      <c r="AP519" s="100"/>
      <c r="AQ519" s="100"/>
    </row>
    <row r="520" spans="1:43" ht="15">
      <c r="A520" s="5"/>
      <c r="B520" s="5"/>
      <c r="G520" s="5" t="str">
        <f ca="1">IFERROR(__xludf.DUMMYFUNCTION("IFERROR(VLOOKUP(F543,IMPORTRANGE(""https://docs.google.com/spreadsheets/d/1Kvs4KS76FHFqLFIZfrDMff4kP08nblUkihrxltoGBjg/edit#gid=934712705"",""ESENCIAL!A6:BG""),3,FALSE))"),"")</f>
        <v/>
      </c>
      <c r="H520" s="5" t="str">
        <f ca="1">IFERROR(__xludf.DUMMYFUNCTION("IFERROR(VLOOKUP(F543,IMPORTRANGE(""https://docs.google.com/spreadsheets/d/1Kvs4KS76FHFqLFIZfrDMff4kP08nblUkihrxltoGBjg/edit#gid=934712705"",""ESENCIAL!A6:BG""),8,FALSE))"),"")</f>
        <v/>
      </c>
      <c r="L520" s="287"/>
      <c r="Z520" s="41" t="str">
        <f t="shared" si="34"/>
        <v/>
      </c>
      <c r="AA520" s="5" t="str">
        <f ca="1">IFERROR(__xludf.DUMMYFUNCTION("IFERROR(VLOOKUP(E543&amp;F543,IMPORTRANGE(""https://docs.google.com/spreadsheets/d/1Uw7-A9f9R21vMXxHZFNpYNeKFtG8_yji4HS352LGlSQ/edit?pli=1#gid=0"",""1_ACUM!A4:S""),11,FALSE))"),"")</f>
        <v/>
      </c>
      <c r="AB520" s="42" t="str">
        <f ca="1">IFERROR(__xludf.DUMMYFUNCTION("IFERROR(VLOOKUP(F543,IMPORTRANGE(""https://docs.google.com/spreadsheets/d/1Kvs4KS76FHFqLFIZfrDMff4kP08nblUkihrxltoGBjg/edit#gid=934712705"",""ESENCIAL!A6:BG""),15,FALSE))"),"")</f>
        <v/>
      </c>
      <c r="AC520" s="110" t="str">
        <f ca="1">IFERROR(__xludf.DUMMYFUNCTION("IFERROR(VLOOKUP(E543&amp;F543,IMPORTRANGE(""https://docs.google.com/spreadsheets/d/1Uw7-A9f9R21vMXxHZFNpYNeKFtG8_yji4HS352LGlSQ/edit?pli=1#gid=0"",""1_ACUM!A4:S""),13,FALSE))"),"")</f>
        <v/>
      </c>
      <c r="AD520" s="43" t="str">
        <f ca="1">IFERROR(__xludf.DUMMYFUNCTION("IFERROR(VLOOKUP(E543&amp;F543,IMPORTRANGE(""https://docs.google.com/spreadsheets/d/1Uw7-A9f9R21vMXxHZFNpYNeKFtG8_yji4HS352LGlSQ/edit?pli=1#gid=0"",""1_ACUM!A4:S""),13,FALSE))"),"")</f>
        <v/>
      </c>
      <c r="AE520" s="43" t="str">
        <f ca="1">IFERROR(__xludf.DUMMYFUNCTION("IFERROR(VLOOKUP(E543&amp;F543,IMPORTRANGE(""https://docs.google.com/spreadsheets/d/1Uw7-A9f9R21vMXxHZFNpYNeKFtG8_yji4HS352LGlSQ/edit?pli=1#gid=0"",""1_ACUM!A4:S""),14,FALSE))"),"")</f>
        <v/>
      </c>
      <c r="AF520" s="43" t="str">
        <f ca="1">IFERROR(__xludf.DUMMYFUNCTION("IFERROR(VLOOKUP(E543&amp;F543,IMPORTRANGE(""https://docs.google.com/spreadsheets/d/1Uw7-A9f9R21vMXxHZFNpYNeKFtG8_yji4HS352LGlSQ/edit?pli=1#gid=0"",""1_ACUM!A4:S""),15,FALSE))"),"")</f>
        <v/>
      </c>
      <c r="AG520" s="43" t="str">
        <f ca="1">IFERROR(__xludf.DUMMYFUNCTION("IFERROR(VLOOKUP(E543&amp;F543,IMPORTRANGE(""https://docs.google.com/spreadsheets/d/1Uw7-A9f9R21vMXxHZFNpYNeKFtG8_yji4HS352LGlSQ/edit?pli=1#gid=0"",""1_ACUM!A4:S""),16,FALSE))"),"")</f>
        <v/>
      </c>
      <c r="AH520" s="43" t="str">
        <f ca="1">IFERROR(__xludf.DUMMYFUNCTION("IFERROR(VLOOKUP(E543&amp;F543,IMPORTRANGE(""https://docs.google.com/spreadsheets/d/1Uw7-A9f9R21vMXxHZFNpYNeKFtG8_yji4HS352LGlSQ/edit?pli=1#gid=0"",""1_ACUM!A4:S""),17,FALSE))"),"")</f>
        <v/>
      </c>
      <c r="AI520" s="44" t="str">
        <f ca="1">IFERROR(__xludf.DUMMYFUNCTION("IFERROR(VLOOKUP(E543&amp;F543,IMPORTRANGE(""https://docs.google.com/spreadsheets/d/1Uw7-A9f9R21vMXxHZFNpYNeKFtG8_yji4HS352LGlSQ/edit?pli=1#gid=0"",""1_ACUM!A4:S""),18,FALSE))"),"")</f>
        <v/>
      </c>
      <c r="AJ520" s="44" t="str">
        <f ca="1">IFERROR(__xludf.DUMMYFUNCTION("IFERROR(VLOOKUP(E543&amp;F543,IMPORTRANGE(""https://docs.google.com/spreadsheets/d/1Uw7-A9f9R21vMXxHZFNpYNeKFtG8_yji4HS352LGlSQ/edit?pli=1#gid=0"",""1_ACUM!A4:S""),19,FALSE))"),"")</f>
        <v/>
      </c>
      <c r="AK520" s="98" t="str">
        <f ca="1">IFERROR(__xludf.DUMMYFUNCTION("IFERROR(VLOOKUP(F543,IMPORTRANGE(""https://docs.google.com/spreadsheets/d/1Kvs4KS76FHFqLFIZfrDMff4kP08nblUkihrxltoGBjg/edit#gid=934712705"",""ESENCIAL!A6:BG""),5,FALSE))"),"")</f>
        <v/>
      </c>
      <c r="AL520" s="98" t="str">
        <f t="shared" si="35"/>
        <v/>
      </c>
      <c r="AM520" s="99" t="str">
        <f t="shared" si="36"/>
        <v/>
      </c>
      <c r="AN520" s="100" t="str">
        <f ca="1">IFERROR(__xludf.DUMMYFUNCTION("IFERROR(VLOOKUP(F543,IMPORTRANGE(""https://docs.google.com/spreadsheets/d/1Kvs4KS76FHFqLFIZfrDMff4kP08nblUkihrxltoGBjg/edit#gid=934712705"",""ESENCIAL!A6:BG""),2,FALSE))"),"")</f>
        <v/>
      </c>
      <c r="AO520" s="19" t="str">
        <f t="shared" si="33"/>
        <v/>
      </c>
      <c r="AP520" s="100"/>
      <c r="AQ520" s="100"/>
    </row>
    <row r="521" spans="1:43" ht="15">
      <c r="A521" s="5"/>
      <c r="B521" s="5"/>
      <c r="G521" s="5" t="str">
        <f ca="1">IFERROR(__xludf.DUMMYFUNCTION("IFERROR(VLOOKUP(F544,IMPORTRANGE(""https://docs.google.com/spreadsheets/d/1Kvs4KS76FHFqLFIZfrDMff4kP08nblUkihrxltoGBjg/edit#gid=934712705"",""ESENCIAL!A6:BG""),3,FALSE))"),"")</f>
        <v/>
      </c>
      <c r="H521" s="5" t="str">
        <f ca="1">IFERROR(__xludf.DUMMYFUNCTION("IFERROR(VLOOKUP(F544,IMPORTRANGE(""https://docs.google.com/spreadsheets/d/1Kvs4KS76FHFqLFIZfrDMff4kP08nblUkihrxltoGBjg/edit#gid=934712705"",""ESENCIAL!A6:BG""),8,FALSE))"),"")</f>
        <v/>
      </c>
      <c r="L521" s="287"/>
      <c r="Z521" s="41" t="str">
        <f t="shared" si="34"/>
        <v/>
      </c>
      <c r="AA521" s="5" t="str">
        <f ca="1">IFERROR(__xludf.DUMMYFUNCTION("IFERROR(VLOOKUP(E544&amp;F544,IMPORTRANGE(""https://docs.google.com/spreadsheets/d/1Uw7-A9f9R21vMXxHZFNpYNeKFtG8_yji4HS352LGlSQ/edit?pli=1#gid=0"",""1_ACUM!A4:S""),11,FALSE))"),"")</f>
        <v/>
      </c>
      <c r="AB521" s="42" t="str">
        <f ca="1">IFERROR(__xludf.DUMMYFUNCTION("IFERROR(VLOOKUP(F544,IMPORTRANGE(""https://docs.google.com/spreadsheets/d/1Kvs4KS76FHFqLFIZfrDMff4kP08nblUkihrxltoGBjg/edit#gid=934712705"",""ESENCIAL!A6:BG""),15,FALSE))"),"")</f>
        <v/>
      </c>
      <c r="AC521" s="110" t="str">
        <f ca="1">IFERROR(__xludf.DUMMYFUNCTION("IFERROR(VLOOKUP(E544&amp;F544,IMPORTRANGE(""https://docs.google.com/spreadsheets/d/1Uw7-A9f9R21vMXxHZFNpYNeKFtG8_yji4HS352LGlSQ/edit?pli=1#gid=0"",""1_ACUM!A4:S""),13,FALSE))"),"")</f>
        <v/>
      </c>
      <c r="AD521" s="43" t="str">
        <f ca="1">IFERROR(__xludf.DUMMYFUNCTION("IFERROR(VLOOKUP(E544&amp;F544,IMPORTRANGE(""https://docs.google.com/spreadsheets/d/1Uw7-A9f9R21vMXxHZFNpYNeKFtG8_yji4HS352LGlSQ/edit?pli=1#gid=0"",""1_ACUM!A4:S""),13,FALSE))"),"")</f>
        <v/>
      </c>
      <c r="AE521" s="43" t="str">
        <f ca="1">IFERROR(__xludf.DUMMYFUNCTION("IFERROR(VLOOKUP(E544&amp;F544,IMPORTRANGE(""https://docs.google.com/spreadsheets/d/1Uw7-A9f9R21vMXxHZFNpYNeKFtG8_yji4HS352LGlSQ/edit?pli=1#gid=0"",""1_ACUM!A4:S""),14,FALSE))"),"")</f>
        <v/>
      </c>
      <c r="AF521" s="43" t="str">
        <f ca="1">IFERROR(__xludf.DUMMYFUNCTION("IFERROR(VLOOKUP(E544&amp;F544,IMPORTRANGE(""https://docs.google.com/spreadsheets/d/1Uw7-A9f9R21vMXxHZFNpYNeKFtG8_yji4HS352LGlSQ/edit?pli=1#gid=0"",""1_ACUM!A4:S""),15,FALSE))"),"")</f>
        <v/>
      </c>
      <c r="AG521" s="43" t="str">
        <f ca="1">IFERROR(__xludf.DUMMYFUNCTION("IFERROR(VLOOKUP(E544&amp;F544,IMPORTRANGE(""https://docs.google.com/spreadsheets/d/1Uw7-A9f9R21vMXxHZFNpYNeKFtG8_yji4HS352LGlSQ/edit?pli=1#gid=0"",""1_ACUM!A4:S""),16,FALSE))"),"")</f>
        <v/>
      </c>
      <c r="AH521" s="43" t="str">
        <f ca="1">IFERROR(__xludf.DUMMYFUNCTION("IFERROR(VLOOKUP(E544&amp;F544,IMPORTRANGE(""https://docs.google.com/spreadsheets/d/1Uw7-A9f9R21vMXxHZFNpYNeKFtG8_yji4HS352LGlSQ/edit?pli=1#gid=0"",""1_ACUM!A4:S""),17,FALSE))"),"")</f>
        <v/>
      </c>
      <c r="AI521" s="44" t="str">
        <f ca="1">IFERROR(__xludf.DUMMYFUNCTION("IFERROR(VLOOKUP(E544&amp;F544,IMPORTRANGE(""https://docs.google.com/spreadsheets/d/1Uw7-A9f9R21vMXxHZFNpYNeKFtG8_yji4HS352LGlSQ/edit?pli=1#gid=0"",""1_ACUM!A4:S""),18,FALSE))"),"")</f>
        <v/>
      </c>
      <c r="AJ521" s="44" t="str">
        <f ca="1">IFERROR(__xludf.DUMMYFUNCTION("IFERROR(VLOOKUP(E544&amp;F544,IMPORTRANGE(""https://docs.google.com/spreadsheets/d/1Uw7-A9f9R21vMXxHZFNpYNeKFtG8_yji4HS352LGlSQ/edit?pli=1#gid=0"",""1_ACUM!A4:S""),19,FALSE))"),"")</f>
        <v/>
      </c>
      <c r="AK521" s="98" t="str">
        <f ca="1">IFERROR(__xludf.DUMMYFUNCTION("IFERROR(VLOOKUP(F544,IMPORTRANGE(""https://docs.google.com/spreadsheets/d/1Kvs4KS76FHFqLFIZfrDMff4kP08nblUkihrxltoGBjg/edit#gid=934712705"",""ESENCIAL!A6:BG""),5,FALSE))"),"")</f>
        <v/>
      </c>
      <c r="AL521" s="98" t="str">
        <f t="shared" si="35"/>
        <v/>
      </c>
      <c r="AM521" s="99" t="str">
        <f t="shared" si="36"/>
        <v/>
      </c>
      <c r="AN521" s="100" t="str">
        <f ca="1">IFERROR(__xludf.DUMMYFUNCTION("IFERROR(VLOOKUP(F544,IMPORTRANGE(""https://docs.google.com/spreadsheets/d/1Kvs4KS76FHFqLFIZfrDMff4kP08nblUkihrxltoGBjg/edit#gid=934712705"",""ESENCIAL!A6:BG""),2,FALSE))"),"")</f>
        <v/>
      </c>
      <c r="AO521" s="19" t="str">
        <f t="shared" si="33"/>
        <v/>
      </c>
      <c r="AP521" s="100"/>
      <c r="AQ521" s="100"/>
    </row>
    <row r="522" spans="1:43" ht="15">
      <c r="A522" s="5"/>
      <c r="B522" s="5"/>
      <c r="G522" s="5" t="str">
        <f ca="1">IFERROR(__xludf.DUMMYFUNCTION("IFERROR(VLOOKUP(F545,IMPORTRANGE(""https://docs.google.com/spreadsheets/d/1Kvs4KS76FHFqLFIZfrDMff4kP08nblUkihrxltoGBjg/edit#gid=934712705"",""ESENCIAL!A6:BG""),3,FALSE))"),"")</f>
        <v/>
      </c>
      <c r="H522" s="5" t="str">
        <f ca="1">IFERROR(__xludf.DUMMYFUNCTION("IFERROR(VLOOKUP(F545,IMPORTRANGE(""https://docs.google.com/spreadsheets/d/1Kvs4KS76FHFqLFIZfrDMff4kP08nblUkihrxltoGBjg/edit#gid=934712705"",""ESENCIAL!A6:BG""),8,FALSE))"),"")</f>
        <v/>
      </c>
      <c r="L522" s="287"/>
      <c r="Z522" s="41" t="str">
        <f t="shared" si="34"/>
        <v/>
      </c>
      <c r="AA522" s="5" t="str">
        <f ca="1">IFERROR(__xludf.DUMMYFUNCTION("IFERROR(VLOOKUP(E545&amp;F545,IMPORTRANGE(""https://docs.google.com/spreadsheets/d/1Uw7-A9f9R21vMXxHZFNpYNeKFtG8_yji4HS352LGlSQ/edit?pli=1#gid=0"",""1_ACUM!A4:S""),11,FALSE))"),"")</f>
        <v/>
      </c>
      <c r="AB522" s="42" t="str">
        <f ca="1">IFERROR(__xludf.DUMMYFUNCTION("IFERROR(VLOOKUP(F545,IMPORTRANGE(""https://docs.google.com/spreadsheets/d/1Kvs4KS76FHFqLFIZfrDMff4kP08nblUkihrxltoGBjg/edit#gid=934712705"",""ESENCIAL!A6:BG""),15,FALSE))"),"")</f>
        <v/>
      </c>
      <c r="AC522" s="110" t="str">
        <f ca="1">IFERROR(__xludf.DUMMYFUNCTION("IFERROR(VLOOKUP(E545&amp;F545,IMPORTRANGE(""https://docs.google.com/spreadsheets/d/1Uw7-A9f9R21vMXxHZFNpYNeKFtG8_yji4HS352LGlSQ/edit?pli=1#gid=0"",""1_ACUM!A4:S""),13,FALSE))"),"")</f>
        <v/>
      </c>
      <c r="AD522" s="43" t="str">
        <f ca="1">IFERROR(__xludf.DUMMYFUNCTION("IFERROR(VLOOKUP(E545&amp;F545,IMPORTRANGE(""https://docs.google.com/spreadsheets/d/1Uw7-A9f9R21vMXxHZFNpYNeKFtG8_yji4HS352LGlSQ/edit?pli=1#gid=0"",""1_ACUM!A4:S""),13,FALSE))"),"")</f>
        <v/>
      </c>
      <c r="AE522" s="43" t="str">
        <f ca="1">IFERROR(__xludf.DUMMYFUNCTION("IFERROR(VLOOKUP(E545&amp;F545,IMPORTRANGE(""https://docs.google.com/spreadsheets/d/1Uw7-A9f9R21vMXxHZFNpYNeKFtG8_yji4HS352LGlSQ/edit?pli=1#gid=0"",""1_ACUM!A4:S""),14,FALSE))"),"")</f>
        <v/>
      </c>
      <c r="AF522" s="43" t="str">
        <f ca="1">IFERROR(__xludf.DUMMYFUNCTION("IFERROR(VLOOKUP(E545&amp;F545,IMPORTRANGE(""https://docs.google.com/spreadsheets/d/1Uw7-A9f9R21vMXxHZFNpYNeKFtG8_yji4HS352LGlSQ/edit?pli=1#gid=0"",""1_ACUM!A4:S""),15,FALSE))"),"")</f>
        <v/>
      </c>
      <c r="AG522" s="43" t="str">
        <f ca="1">IFERROR(__xludf.DUMMYFUNCTION("IFERROR(VLOOKUP(E545&amp;F545,IMPORTRANGE(""https://docs.google.com/spreadsheets/d/1Uw7-A9f9R21vMXxHZFNpYNeKFtG8_yji4HS352LGlSQ/edit?pli=1#gid=0"",""1_ACUM!A4:S""),16,FALSE))"),"")</f>
        <v/>
      </c>
      <c r="AH522" s="43" t="str">
        <f ca="1">IFERROR(__xludf.DUMMYFUNCTION("IFERROR(VLOOKUP(E545&amp;F545,IMPORTRANGE(""https://docs.google.com/spreadsheets/d/1Uw7-A9f9R21vMXxHZFNpYNeKFtG8_yji4HS352LGlSQ/edit?pli=1#gid=0"",""1_ACUM!A4:S""),17,FALSE))"),"")</f>
        <v/>
      </c>
      <c r="AI522" s="44" t="str">
        <f ca="1">IFERROR(__xludf.DUMMYFUNCTION("IFERROR(VLOOKUP(E545&amp;F545,IMPORTRANGE(""https://docs.google.com/spreadsheets/d/1Uw7-A9f9R21vMXxHZFNpYNeKFtG8_yji4HS352LGlSQ/edit?pli=1#gid=0"",""1_ACUM!A4:S""),18,FALSE))"),"")</f>
        <v/>
      </c>
      <c r="AJ522" s="44" t="str">
        <f ca="1">IFERROR(__xludf.DUMMYFUNCTION("IFERROR(VLOOKUP(E545&amp;F545,IMPORTRANGE(""https://docs.google.com/spreadsheets/d/1Uw7-A9f9R21vMXxHZFNpYNeKFtG8_yji4HS352LGlSQ/edit?pli=1#gid=0"",""1_ACUM!A4:S""),19,FALSE))"),"")</f>
        <v/>
      </c>
      <c r="AK522" s="98" t="str">
        <f ca="1">IFERROR(__xludf.DUMMYFUNCTION("IFERROR(VLOOKUP(F545,IMPORTRANGE(""https://docs.google.com/spreadsheets/d/1Kvs4KS76FHFqLFIZfrDMff4kP08nblUkihrxltoGBjg/edit#gid=934712705"",""ESENCIAL!A6:BG""),5,FALSE))"),"")</f>
        <v/>
      </c>
      <c r="AL522" s="98" t="str">
        <f t="shared" si="35"/>
        <v/>
      </c>
      <c r="AM522" s="99" t="str">
        <f t="shared" si="36"/>
        <v/>
      </c>
      <c r="AN522" s="100" t="str">
        <f ca="1">IFERROR(__xludf.DUMMYFUNCTION("IFERROR(VLOOKUP(F545,IMPORTRANGE(""https://docs.google.com/spreadsheets/d/1Kvs4KS76FHFqLFIZfrDMff4kP08nblUkihrxltoGBjg/edit#gid=934712705"",""ESENCIAL!A6:BG""),2,FALSE))"),"")</f>
        <v/>
      </c>
      <c r="AO522" s="19" t="str">
        <f t="shared" si="33"/>
        <v/>
      </c>
      <c r="AP522" s="100"/>
      <c r="AQ522" s="100"/>
    </row>
    <row r="523" spans="1:43" ht="15">
      <c r="A523" s="5"/>
      <c r="B523" s="5"/>
      <c r="G523" s="5" t="str">
        <f ca="1">IFERROR(__xludf.DUMMYFUNCTION("IFERROR(VLOOKUP(F546,IMPORTRANGE(""https://docs.google.com/spreadsheets/d/1Kvs4KS76FHFqLFIZfrDMff4kP08nblUkihrxltoGBjg/edit#gid=934712705"",""ESENCIAL!A6:BG""),3,FALSE))"),"")</f>
        <v/>
      </c>
      <c r="H523" s="5" t="str">
        <f ca="1">IFERROR(__xludf.DUMMYFUNCTION("IFERROR(VLOOKUP(F546,IMPORTRANGE(""https://docs.google.com/spreadsheets/d/1Kvs4KS76FHFqLFIZfrDMff4kP08nblUkihrxltoGBjg/edit#gid=934712705"",""ESENCIAL!A6:BG""),8,FALSE))"),"")</f>
        <v/>
      </c>
      <c r="L523" s="287"/>
      <c r="Z523" s="41" t="str">
        <f t="shared" si="34"/>
        <v/>
      </c>
      <c r="AA523" s="5" t="str">
        <f ca="1">IFERROR(__xludf.DUMMYFUNCTION("IFERROR(VLOOKUP(E546&amp;F546,IMPORTRANGE(""https://docs.google.com/spreadsheets/d/1Uw7-A9f9R21vMXxHZFNpYNeKFtG8_yji4HS352LGlSQ/edit?pli=1#gid=0"",""1_ACUM!A4:S""),11,FALSE))"),"")</f>
        <v/>
      </c>
      <c r="AB523" s="42" t="str">
        <f ca="1">IFERROR(__xludf.DUMMYFUNCTION("IFERROR(VLOOKUP(F546,IMPORTRANGE(""https://docs.google.com/spreadsheets/d/1Kvs4KS76FHFqLFIZfrDMff4kP08nblUkihrxltoGBjg/edit#gid=934712705"",""ESENCIAL!A6:BG""),15,FALSE))"),"")</f>
        <v/>
      </c>
      <c r="AC523" s="110" t="str">
        <f ca="1">IFERROR(__xludf.DUMMYFUNCTION("IFERROR(VLOOKUP(E546&amp;F546,IMPORTRANGE(""https://docs.google.com/spreadsheets/d/1Uw7-A9f9R21vMXxHZFNpYNeKFtG8_yji4HS352LGlSQ/edit?pli=1#gid=0"",""1_ACUM!A4:S""),13,FALSE))"),"")</f>
        <v/>
      </c>
      <c r="AD523" s="43" t="str">
        <f ca="1">IFERROR(__xludf.DUMMYFUNCTION("IFERROR(VLOOKUP(E546&amp;F546,IMPORTRANGE(""https://docs.google.com/spreadsheets/d/1Uw7-A9f9R21vMXxHZFNpYNeKFtG8_yji4HS352LGlSQ/edit?pli=1#gid=0"",""1_ACUM!A4:S""),13,FALSE))"),"")</f>
        <v/>
      </c>
      <c r="AE523" s="43" t="str">
        <f ca="1">IFERROR(__xludf.DUMMYFUNCTION("IFERROR(VLOOKUP(E546&amp;F546,IMPORTRANGE(""https://docs.google.com/spreadsheets/d/1Uw7-A9f9R21vMXxHZFNpYNeKFtG8_yji4HS352LGlSQ/edit?pli=1#gid=0"",""1_ACUM!A4:S""),14,FALSE))"),"")</f>
        <v/>
      </c>
      <c r="AF523" s="43" t="str">
        <f ca="1">IFERROR(__xludf.DUMMYFUNCTION("IFERROR(VLOOKUP(E546&amp;F546,IMPORTRANGE(""https://docs.google.com/spreadsheets/d/1Uw7-A9f9R21vMXxHZFNpYNeKFtG8_yji4HS352LGlSQ/edit?pli=1#gid=0"",""1_ACUM!A4:S""),15,FALSE))"),"")</f>
        <v/>
      </c>
      <c r="AG523" s="43" t="str">
        <f ca="1">IFERROR(__xludf.DUMMYFUNCTION("IFERROR(VLOOKUP(E546&amp;F546,IMPORTRANGE(""https://docs.google.com/spreadsheets/d/1Uw7-A9f9R21vMXxHZFNpYNeKFtG8_yji4HS352LGlSQ/edit?pli=1#gid=0"",""1_ACUM!A4:S""),16,FALSE))"),"")</f>
        <v/>
      </c>
      <c r="AH523" s="43" t="str">
        <f ca="1">IFERROR(__xludf.DUMMYFUNCTION("IFERROR(VLOOKUP(E546&amp;F546,IMPORTRANGE(""https://docs.google.com/spreadsheets/d/1Uw7-A9f9R21vMXxHZFNpYNeKFtG8_yji4HS352LGlSQ/edit?pli=1#gid=0"",""1_ACUM!A4:S""),17,FALSE))"),"")</f>
        <v/>
      </c>
      <c r="AI523" s="44" t="str">
        <f ca="1">IFERROR(__xludf.DUMMYFUNCTION("IFERROR(VLOOKUP(E546&amp;F546,IMPORTRANGE(""https://docs.google.com/spreadsheets/d/1Uw7-A9f9R21vMXxHZFNpYNeKFtG8_yji4HS352LGlSQ/edit?pli=1#gid=0"",""1_ACUM!A4:S""),18,FALSE))"),"")</f>
        <v/>
      </c>
      <c r="AJ523" s="44" t="str">
        <f ca="1">IFERROR(__xludf.DUMMYFUNCTION("IFERROR(VLOOKUP(E546&amp;F546,IMPORTRANGE(""https://docs.google.com/spreadsheets/d/1Uw7-A9f9R21vMXxHZFNpYNeKFtG8_yji4HS352LGlSQ/edit?pli=1#gid=0"",""1_ACUM!A4:S""),19,FALSE))"),"")</f>
        <v/>
      </c>
      <c r="AK523" s="98" t="str">
        <f ca="1">IFERROR(__xludf.DUMMYFUNCTION("IFERROR(VLOOKUP(F546,IMPORTRANGE(""https://docs.google.com/spreadsheets/d/1Kvs4KS76FHFqLFIZfrDMff4kP08nblUkihrxltoGBjg/edit#gid=934712705"",""ESENCIAL!A6:BG""),5,FALSE))"),"")</f>
        <v/>
      </c>
      <c r="AL523" s="98" t="str">
        <f t="shared" si="35"/>
        <v/>
      </c>
      <c r="AM523" s="99" t="str">
        <f t="shared" si="36"/>
        <v/>
      </c>
      <c r="AN523" s="100" t="str">
        <f ca="1">IFERROR(__xludf.DUMMYFUNCTION("IFERROR(VLOOKUP(F546,IMPORTRANGE(""https://docs.google.com/spreadsheets/d/1Kvs4KS76FHFqLFIZfrDMff4kP08nblUkihrxltoGBjg/edit#gid=934712705"",""ESENCIAL!A6:BG""),2,FALSE))"),"")</f>
        <v/>
      </c>
      <c r="AO523" s="19" t="str">
        <f t="shared" si="33"/>
        <v/>
      </c>
      <c r="AP523" s="100"/>
      <c r="AQ523" s="100"/>
    </row>
    <row r="524" spans="1:43" ht="15">
      <c r="A524" s="5"/>
      <c r="B524" s="5"/>
      <c r="G524" s="5" t="str">
        <f ca="1">IFERROR(__xludf.DUMMYFUNCTION("IFERROR(VLOOKUP(F547,IMPORTRANGE(""https://docs.google.com/spreadsheets/d/1Kvs4KS76FHFqLFIZfrDMff4kP08nblUkihrxltoGBjg/edit#gid=934712705"",""ESENCIAL!A6:BG""),3,FALSE))"),"")</f>
        <v/>
      </c>
      <c r="H524" s="5" t="str">
        <f ca="1">IFERROR(__xludf.DUMMYFUNCTION("IFERROR(VLOOKUP(F547,IMPORTRANGE(""https://docs.google.com/spreadsheets/d/1Kvs4KS76FHFqLFIZfrDMff4kP08nblUkihrxltoGBjg/edit#gid=934712705"",""ESENCIAL!A6:BG""),8,FALSE))"),"")</f>
        <v/>
      </c>
      <c r="L524" s="287"/>
      <c r="Z524" s="41" t="str">
        <f t="shared" si="34"/>
        <v/>
      </c>
      <c r="AA524" s="5" t="str">
        <f ca="1">IFERROR(__xludf.DUMMYFUNCTION("IFERROR(VLOOKUP(E547&amp;F547,IMPORTRANGE(""https://docs.google.com/spreadsheets/d/1Uw7-A9f9R21vMXxHZFNpYNeKFtG8_yji4HS352LGlSQ/edit?pli=1#gid=0"",""1_ACUM!A4:S""),11,FALSE))"),"")</f>
        <v/>
      </c>
      <c r="AB524" s="42" t="str">
        <f ca="1">IFERROR(__xludf.DUMMYFUNCTION("IFERROR(VLOOKUP(F547,IMPORTRANGE(""https://docs.google.com/spreadsheets/d/1Kvs4KS76FHFqLFIZfrDMff4kP08nblUkihrxltoGBjg/edit#gid=934712705"",""ESENCIAL!A6:BG""),15,FALSE))"),"")</f>
        <v/>
      </c>
      <c r="AC524" s="110" t="str">
        <f ca="1">IFERROR(__xludf.DUMMYFUNCTION("IFERROR(VLOOKUP(E547&amp;F547,IMPORTRANGE(""https://docs.google.com/spreadsheets/d/1Uw7-A9f9R21vMXxHZFNpYNeKFtG8_yji4HS352LGlSQ/edit?pli=1#gid=0"",""1_ACUM!A4:S""),13,FALSE))"),"")</f>
        <v/>
      </c>
      <c r="AD524" s="43" t="str">
        <f ca="1">IFERROR(__xludf.DUMMYFUNCTION("IFERROR(VLOOKUP(E547&amp;F547,IMPORTRANGE(""https://docs.google.com/spreadsheets/d/1Uw7-A9f9R21vMXxHZFNpYNeKFtG8_yji4HS352LGlSQ/edit?pli=1#gid=0"",""1_ACUM!A4:S""),13,FALSE))"),"")</f>
        <v/>
      </c>
      <c r="AE524" s="43" t="str">
        <f ca="1">IFERROR(__xludf.DUMMYFUNCTION("IFERROR(VLOOKUP(E547&amp;F547,IMPORTRANGE(""https://docs.google.com/spreadsheets/d/1Uw7-A9f9R21vMXxHZFNpYNeKFtG8_yji4HS352LGlSQ/edit?pli=1#gid=0"",""1_ACUM!A4:S""),14,FALSE))"),"")</f>
        <v/>
      </c>
      <c r="AF524" s="43" t="str">
        <f ca="1">IFERROR(__xludf.DUMMYFUNCTION("IFERROR(VLOOKUP(E547&amp;F547,IMPORTRANGE(""https://docs.google.com/spreadsheets/d/1Uw7-A9f9R21vMXxHZFNpYNeKFtG8_yji4HS352LGlSQ/edit?pli=1#gid=0"",""1_ACUM!A4:S""),15,FALSE))"),"")</f>
        <v/>
      </c>
      <c r="AG524" s="43" t="str">
        <f ca="1">IFERROR(__xludf.DUMMYFUNCTION("IFERROR(VLOOKUP(E547&amp;F547,IMPORTRANGE(""https://docs.google.com/spreadsheets/d/1Uw7-A9f9R21vMXxHZFNpYNeKFtG8_yji4HS352LGlSQ/edit?pli=1#gid=0"",""1_ACUM!A4:S""),16,FALSE))"),"")</f>
        <v/>
      </c>
      <c r="AH524" s="43" t="str">
        <f ca="1">IFERROR(__xludf.DUMMYFUNCTION("IFERROR(VLOOKUP(E547&amp;F547,IMPORTRANGE(""https://docs.google.com/spreadsheets/d/1Uw7-A9f9R21vMXxHZFNpYNeKFtG8_yji4HS352LGlSQ/edit?pli=1#gid=0"",""1_ACUM!A4:S""),17,FALSE))"),"")</f>
        <v/>
      </c>
      <c r="AI524" s="44" t="str">
        <f ca="1">IFERROR(__xludf.DUMMYFUNCTION("IFERROR(VLOOKUP(E547&amp;F547,IMPORTRANGE(""https://docs.google.com/spreadsheets/d/1Uw7-A9f9R21vMXxHZFNpYNeKFtG8_yji4HS352LGlSQ/edit?pli=1#gid=0"",""1_ACUM!A4:S""),18,FALSE))"),"")</f>
        <v/>
      </c>
      <c r="AJ524" s="44" t="str">
        <f ca="1">IFERROR(__xludf.DUMMYFUNCTION("IFERROR(VLOOKUP(E547&amp;F547,IMPORTRANGE(""https://docs.google.com/spreadsheets/d/1Uw7-A9f9R21vMXxHZFNpYNeKFtG8_yji4HS352LGlSQ/edit?pli=1#gid=0"",""1_ACUM!A4:S""),19,FALSE))"),"")</f>
        <v/>
      </c>
      <c r="AK524" s="98" t="str">
        <f ca="1">IFERROR(__xludf.DUMMYFUNCTION("IFERROR(VLOOKUP(F547,IMPORTRANGE(""https://docs.google.com/spreadsheets/d/1Kvs4KS76FHFqLFIZfrDMff4kP08nblUkihrxltoGBjg/edit#gid=934712705"",""ESENCIAL!A6:BG""),5,FALSE))"),"")</f>
        <v/>
      </c>
      <c r="AL524" s="98" t="str">
        <f t="shared" si="35"/>
        <v/>
      </c>
      <c r="AM524" s="99" t="str">
        <f t="shared" si="36"/>
        <v/>
      </c>
      <c r="AN524" s="100" t="str">
        <f ca="1">IFERROR(__xludf.DUMMYFUNCTION("IFERROR(VLOOKUP(F547,IMPORTRANGE(""https://docs.google.com/spreadsheets/d/1Kvs4KS76FHFqLFIZfrDMff4kP08nblUkihrxltoGBjg/edit#gid=934712705"",""ESENCIAL!A6:BG""),2,FALSE))"),"")</f>
        <v/>
      </c>
      <c r="AO524" s="19" t="str">
        <f t="shared" si="33"/>
        <v/>
      </c>
      <c r="AP524" s="100"/>
      <c r="AQ524" s="100"/>
    </row>
    <row r="525" spans="1:43" ht="15">
      <c r="A525" s="5"/>
      <c r="B525" s="5"/>
      <c r="G525" s="5" t="str">
        <f ca="1">IFERROR(__xludf.DUMMYFUNCTION("IFERROR(VLOOKUP(F548,IMPORTRANGE(""https://docs.google.com/spreadsheets/d/1Kvs4KS76FHFqLFIZfrDMff4kP08nblUkihrxltoGBjg/edit#gid=934712705"",""ESENCIAL!A6:BG""),3,FALSE))"),"")</f>
        <v/>
      </c>
      <c r="H525" s="5" t="str">
        <f ca="1">IFERROR(__xludf.DUMMYFUNCTION("IFERROR(VLOOKUP(F548,IMPORTRANGE(""https://docs.google.com/spreadsheets/d/1Kvs4KS76FHFqLFIZfrDMff4kP08nblUkihrxltoGBjg/edit#gid=934712705"",""ESENCIAL!A6:BG""),8,FALSE))"),"")</f>
        <v/>
      </c>
      <c r="L525" s="287"/>
      <c r="Z525" s="41" t="str">
        <f t="shared" si="34"/>
        <v/>
      </c>
      <c r="AA525" s="5" t="str">
        <f ca="1">IFERROR(__xludf.DUMMYFUNCTION("IFERROR(VLOOKUP(E548&amp;F548,IMPORTRANGE(""https://docs.google.com/spreadsheets/d/1Uw7-A9f9R21vMXxHZFNpYNeKFtG8_yji4HS352LGlSQ/edit?pli=1#gid=0"",""1_ACUM!A4:S""),11,FALSE))"),"")</f>
        <v/>
      </c>
      <c r="AB525" s="42" t="str">
        <f ca="1">IFERROR(__xludf.DUMMYFUNCTION("IFERROR(VLOOKUP(F548,IMPORTRANGE(""https://docs.google.com/spreadsheets/d/1Kvs4KS76FHFqLFIZfrDMff4kP08nblUkihrxltoGBjg/edit#gid=934712705"",""ESENCIAL!A6:BG""),15,FALSE))"),"")</f>
        <v/>
      </c>
      <c r="AC525" s="110" t="str">
        <f ca="1">IFERROR(__xludf.DUMMYFUNCTION("IFERROR(VLOOKUP(E548&amp;F548,IMPORTRANGE(""https://docs.google.com/spreadsheets/d/1Uw7-A9f9R21vMXxHZFNpYNeKFtG8_yji4HS352LGlSQ/edit?pli=1#gid=0"",""1_ACUM!A4:S""),13,FALSE))"),"")</f>
        <v/>
      </c>
      <c r="AD525" s="43" t="str">
        <f ca="1">IFERROR(__xludf.DUMMYFUNCTION("IFERROR(VLOOKUP(E548&amp;F548,IMPORTRANGE(""https://docs.google.com/spreadsheets/d/1Uw7-A9f9R21vMXxHZFNpYNeKFtG8_yji4HS352LGlSQ/edit?pli=1#gid=0"",""1_ACUM!A4:S""),13,FALSE))"),"")</f>
        <v/>
      </c>
      <c r="AE525" s="43" t="str">
        <f ca="1">IFERROR(__xludf.DUMMYFUNCTION("IFERROR(VLOOKUP(E548&amp;F548,IMPORTRANGE(""https://docs.google.com/spreadsheets/d/1Uw7-A9f9R21vMXxHZFNpYNeKFtG8_yji4HS352LGlSQ/edit?pli=1#gid=0"",""1_ACUM!A4:S""),14,FALSE))"),"")</f>
        <v/>
      </c>
      <c r="AF525" s="43" t="str">
        <f ca="1">IFERROR(__xludf.DUMMYFUNCTION("IFERROR(VLOOKUP(E548&amp;F548,IMPORTRANGE(""https://docs.google.com/spreadsheets/d/1Uw7-A9f9R21vMXxHZFNpYNeKFtG8_yji4HS352LGlSQ/edit?pli=1#gid=0"",""1_ACUM!A4:S""),15,FALSE))"),"")</f>
        <v/>
      </c>
      <c r="AG525" s="43" t="str">
        <f ca="1">IFERROR(__xludf.DUMMYFUNCTION("IFERROR(VLOOKUP(E548&amp;F548,IMPORTRANGE(""https://docs.google.com/spreadsheets/d/1Uw7-A9f9R21vMXxHZFNpYNeKFtG8_yji4HS352LGlSQ/edit?pli=1#gid=0"",""1_ACUM!A4:S""),16,FALSE))"),"")</f>
        <v/>
      </c>
      <c r="AH525" s="43" t="str">
        <f ca="1">IFERROR(__xludf.DUMMYFUNCTION("IFERROR(VLOOKUP(E548&amp;F548,IMPORTRANGE(""https://docs.google.com/spreadsheets/d/1Uw7-A9f9R21vMXxHZFNpYNeKFtG8_yji4HS352LGlSQ/edit?pli=1#gid=0"",""1_ACUM!A4:S""),17,FALSE))"),"")</f>
        <v/>
      </c>
      <c r="AI525" s="44" t="str">
        <f ca="1">IFERROR(__xludf.DUMMYFUNCTION("IFERROR(VLOOKUP(E548&amp;F548,IMPORTRANGE(""https://docs.google.com/spreadsheets/d/1Uw7-A9f9R21vMXxHZFNpYNeKFtG8_yji4HS352LGlSQ/edit?pli=1#gid=0"",""1_ACUM!A4:S""),18,FALSE))"),"")</f>
        <v/>
      </c>
      <c r="AJ525" s="44" t="str">
        <f ca="1">IFERROR(__xludf.DUMMYFUNCTION("IFERROR(VLOOKUP(E548&amp;F548,IMPORTRANGE(""https://docs.google.com/spreadsheets/d/1Uw7-A9f9R21vMXxHZFNpYNeKFtG8_yji4HS352LGlSQ/edit?pli=1#gid=0"",""1_ACUM!A4:S""),19,FALSE))"),"")</f>
        <v/>
      </c>
      <c r="AK525" s="98" t="str">
        <f ca="1">IFERROR(__xludf.DUMMYFUNCTION("IFERROR(VLOOKUP(F548,IMPORTRANGE(""https://docs.google.com/spreadsheets/d/1Kvs4KS76FHFqLFIZfrDMff4kP08nblUkihrxltoGBjg/edit#gid=934712705"",""ESENCIAL!A6:BG""),5,FALSE))"),"")</f>
        <v/>
      </c>
      <c r="AL525" s="98" t="str">
        <f t="shared" si="35"/>
        <v/>
      </c>
      <c r="AM525" s="99" t="str">
        <f t="shared" si="36"/>
        <v/>
      </c>
      <c r="AN525" s="100" t="str">
        <f ca="1">IFERROR(__xludf.DUMMYFUNCTION("IFERROR(VLOOKUP(F548,IMPORTRANGE(""https://docs.google.com/spreadsheets/d/1Kvs4KS76FHFqLFIZfrDMff4kP08nblUkihrxltoGBjg/edit#gid=934712705"",""ESENCIAL!A6:BG""),2,FALSE))"),"")</f>
        <v/>
      </c>
      <c r="AO525" s="19" t="str">
        <f t="shared" si="33"/>
        <v/>
      </c>
      <c r="AP525" s="100"/>
      <c r="AQ525" s="100"/>
    </row>
    <row r="526" spans="1:43" ht="15">
      <c r="A526" s="5"/>
      <c r="B526" s="5"/>
      <c r="G526" s="5" t="str">
        <f ca="1">IFERROR(__xludf.DUMMYFUNCTION("IFERROR(VLOOKUP(F549,IMPORTRANGE(""https://docs.google.com/spreadsheets/d/1Kvs4KS76FHFqLFIZfrDMff4kP08nblUkihrxltoGBjg/edit#gid=934712705"",""ESENCIAL!A6:BG""),3,FALSE))"),"")</f>
        <v/>
      </c>
      <c r="H526" s="5" t="str">
        <f ca="1">IFERROR(__xludf.DUMMYFUNCTION("IFERROR(VLOOKUP(F549,IMPORTRANGE(""https://docs.google.com/spreadsheets/d/1Kvs4KS76FHFqLFIZfrDMff4kP08nblUkihrxltoGBjg/edit#gid=934712705"",""ESENCIAL!A6:BG""),8,FALSE))"),"")</f>
        <v/>
      </c>
      <c r="L526" s="287"/>
      <c r="Z526" s="41" t="str">
        <f t="shared" si="34"/>
        <v/>
      </c>
      <c r="AA526" s="5" t="str">
        <f ca="1">IFERROR(__xludf.DUMMYFUNCTION("IFERROR(VLOOKUP(E549&amp;F549,IMPORTRANGE(""https://docs.google.com/spreadsheets/d/1Uw7-A9f9R21vMXxHZFNpYNeKFtG8_yji4HS352LGlSQ/edit?pli=1#gid=0"",""1_ACUM!A4:S""),11,FALSE))"),"")</f>
        <v/>
      </c>
      <c r="AB526" s="42" t="str">
        <f ca="1">IFERROR(__xludf.DUMMYFUNCTION("IFERROR(VLOOKUP(F549,IMPORTRANGE(""https://docs.google.com/spreadsheets/d/1Kvs4KS76FHFqLFIZfrDMff4kP08nblUkihrxltoGBjg/edit#gid=934712705"",""ESENCIAL!A6:BG""),15,FALSE))"),"")</f>
        <v/>
      </c>
      <c r="AC526" s="110" t="str">
        <f ca="1">IFERROR(__xludf.DUMMYFUNCTION("IFERROR(VLOOKUP(E549&amp;F549,IMPORTRANGE(""https://docs.google.com/spreadsheets/d/1Uw7-A9f9R21vMXxHZFNpYNeKFtG8_yji4HS352LGlSQ/edit?pli=1#gid=0"",""1_ACUM!A4:S""),13,FALSE))"),"")</f>
        <v/>
      </c>
      <c r="AD526" s="43" t="str">
        <f ca="1">IFERROR(__xludf.DUMMYFUNCTION("IFERROR(VLOOKUP(E549&amp;F549,IMPORTRANGE(""https://docs.google.com/spreadsheets/d/1Uw7-A9f9R21vMXxHZFNpYNeKFtG8_yji4HS352LGlSQ/edit?pli=1#gid=0"",""1_ACUM!A4:S""),13,FALSE))"),"")</f>
        <v/>
      </c>
      <c r="AE526" s="43" t="str">
        <f ca="1">IFERROR(__xludf.DUMMYFUNCTION("IFERROR(VLOOKUP(E549&amp;F549,IMPORTRANGE(""https://docs.google.com/spreadsheets/d/1Uw7-A9f9R21vMXxHZFNpYNeKFtG8_yji4HS352LGlSQ/edit?pli=1#gid=0"",""1_ACUM!A4:S""),14,FALSE))"),"")</f>
        <v/>
      </c>
      <c r="AF526" s="43" t="str">
        <f ca="1">IFERROR(__xludf.DUMMYFUNCTION("IFERROR(VLOOKUP(E549&amp;F549,IMPORTRANGE(""https://docs.google.com/spreadsheets/d/1Uw7-A9f9R21vMXxHZFNpYNeKFtG8_yji4HS352LGlSQ/edit?pli=1#gid=0"",""1_ACUM!A4:S""),15,FALSE))"),"")</f>
        <v/>
      </c>
      <c r="AG526" s="43" t="str">
        <f ca="1">IFERROR(__xludf.DUMMYFUNCTION("IFERROR(VLOOKUP(E549&amp;F549,IMPORTRANGE(""https://docs.google.com/spreadsheets/d/1Uw7-A9f9R21vMXxHZFNpYNeKFtG8_yji4HS352LGlSQ/edit?pli=1#gid=0"",""1_ACUM!A4:S""),16,FALSE))"),"")</f>
        <v/>
      </c>
      <c r="AH526" s="43" t="str">
        <f ca="1">IFERROR(__xludf.DUMMYFUNCTION("IFERROR(VLOOKUP(E549&amp;F549,IMPORTRANGE(""https://docs.google.com/spreadsheets/d/1Uw7-A9f9R21vMXxHZFNpYNeKFtG8_yji4HS352LGlSQ/edit?pli=1#gid=0"",""1_ACUM!A4:S""),17,FALSE))"),"")</f>
        <v/>
      </c>
      <c r="AI526" s="44" t="str">
        <f ca="1">IFERROR(__xludf.DUMMYFUNCTION("IFERROR(VLOOKUP(E549&amp;F549,IMPORTRANGE(""https://docs.google.com/spreadsheets/d/1Uw7-A9f9R21vMXxHZFNpYNeKFtG8_yji4HS352LGlSQ/edit?pli=1#gid=0"",""1_ACUM!A4:S""),18,FALSE))"),"")</f>
        <v/>
      </c>
      <c r="AJ526" s="44" t="str">
        <f ca="1">IFERROR(__xludf.DUMMYFUNCTION("IFERROR(VLOOKUP(E549&amp;F549,IMPORTRANGE(""https://docs.google.com/spreadsheets/d/1Uw7-A9f9R21vMXxHZFNpYNeKFtG8_yji4HS352LGlSQ/edit?pli=1#gid=0"",""1_ACUM!A4:S""),19,FALSE))"),"")</f>
        <v/>
      </c>
      <c r="AK526" s="98" t="str">
        <f ca="1">IFERROR(__xludf.DUMMYFUNCTION("IFERROR(VLOOKUP(F549,IMPORTRANGE(""https://docs.google.com/spreadsheets/d/1Kvs4KS76FHFqLFIZfrDMff4kP08nblUkihrxltoGBjg/edit#gid=934712705"",""ESENCIAL!A6:BG""),5,FALSE))"),"")</f>
        <v/>
      </c>
      <c r="AL526" s="98" t="str">
        <f t="shared" si="35"/>
        <v/>
      </c>
      <c r="AM526" s="99" t="str">
        <f t="shared" si="36"/>
        <v/>
      </c>
      <c r="AN526" s="100" t="str">
        <f ca="1">IFERROR(__xludf.DUMMYFUNCTION("IFERROR(VLOOKUP(F549,IMPORTRANGE(""https://docs.google.com/spreadsheets/d/1Kvs4KS76FHFqLFIZfrDMff4kP08nblUkihrxltoGBjg/edit#gid=934712705"",""ESENCIAL!A6:BG""),2,FALSE))"),"")</f>
        <v/>
      </c>
      <c r="AO526" s="19" t="str">
        <f t="shared" si="33"/>
        <v/>
      </c>
      <c r="AP526" s="100"/>
      <c r="AQ526" s="100"/>
    </row>
    <row r="527" spans="1:43" ht="15">
      <c r="A527" s="5"/>
      <c r="B527" s="5"/>
      <c r="G527" s="5" t="str">
        <f ca="1">IFERROR(__xludf.DUMMYFUNCTION("IFERROR(VLOOKUP(F550,IMPORTRANGE(""https://docs.google.com/spreadsheets/d/1Kvs4KS76FHFqLFIZfrDMff4kP08nblUkihrxltoGBjg/edit#gid=934712705"",""ESENCIAL!A6:BG""),3,FALSE))"),"")</f>
        <v/>
      </c>
      <c r="H527" s="5" t="str">
        <f ca="1">IFERROR(__xludf.DUMMYFUNCTION("IFERROR(VLOOKUP(F550,IMPORTRANGE(""https://docs.google.com/spreadsheets/d/1Kvs4KS76FHFqLFIZfrDMff4kP08nblUkihrxltoGBjg/edit#gid=934712705"",""ESENCIAL!A6:BG""),8,FALSE))"),"")</f>
        <v/>
      </c>
      <c r="L527" s="287"/>
      <c r="Z527" s="41" t="str">
        <f t="shared" si="34"/>
        <v/>
      </c>
      <c r="AA527" s="5" t="str">
        <f ca="1">IFERROR(__xludf.DUMMYFUNCTION("IFERROR(VLOOKUP(E550&amp;F550,IMPORTRANGE(""https://docs.google.com/spreadsheets/d/1Uw7-A9f9R21vMXxHZFNpYNeKFtG8_yji4HS352LGlSQ/edit?pli=1#gid=0"",""1_ACUM!A4:S""),11,FALSE))"),"")</f>
        <v/>
      </c>
      <c r="AB527" s="42" t="str">
        <f ca="1">IFERROR(__xludf.DUMMYFUNCTION("IFERROR(VLOOKUP(F550,IMPORTRANGE(""https://docs.google.com/spreadsheets/d/1Kvs4KS76FHFqLFIZfrDMff4kP08nblUkihrxltoGBjg/edit#gid=934712705"",""ESENCIAL!A6:BG""),15,FALSE))"),"")</f>
        <v/>
      </c>
      <c r="AC527" s="110" t="str">
        <f ca="1">IFERROR(__xludf.DUMMYFUNCTION("IFERROR(VLOOKUP(E550&amp;F550,IMPORTRANGE(""https://docs.google.com/spreadsheets/d/1Uw7-A9f9R21vMXxHZFNpYNeKFtG8_yji4HS352LGlSQ/edit?pli=1#gid=0"",""1_ACUM!A4:S""),13,FALSE))"),"")</f>
        <v/>
      </c>
      <c r="AD527" s="43" t="str">
        <f ca="1">IFERROR(__xludf.DUMMYFUNCTION("IFERROR(VLOOKUP(E550&amp;F550,IMPORTRANGE(""https://docs.google.com/spreadsheets/d/1Uw7-A9f9R21vMXxHZFNpYNeKFtG8_yji4HS352LGlSQ/edit?pli=1#gid=0"",""1_ACUM!A4:S""),13,FALSE))"),"")</f>
        <v/>
      </c>
      <c r="AE527" s="43" t="str">
        <f ca="1">IFERROR(__xludf.DUMMYFUNCTION("IFERROR(VLOOKUP(E550&amp;F550,IMPORTRANGE(""https://docs.google.com/spreadsheets/d/1Uw7-A9f9R21vMXxHZFNpYNeKFtG8_yji4HS352LGlSQ/edit?pli=1#gid=0"",""1_ACUM!A4:S""),14,FALSE))"),"")</f>
        <v/>
      </c>
      <c r="AF527" s="43" t="str">
        <f ca="1">IFERROR(__xludf.DUMMYFUNCTION("IFERROR(VLOOKUP(E550&amp;F550,IMPORTRANGE(""https://docs.google.com/spreadsheets/d/1Uw7-A9f9R21vMXxHZFNpYNeKFtG8_yji4HS352LGlSQ/edit?pli=1#gid=0"",""1_ACUM!A4:S""),15,FALSE))"),"")</f>
        <v/>
      </c>
      <c r="AG527" s="43" t="str">
        <f ca="1">IFERROR(__xludf.DUMMYFUNCTION("IFERROR(VLOOKUP(E550&amp;F550,IMPORTRANGE(""https://docs.google.com/spreadsheets/d/1Uw7-A9f9R21vMXxHZFNpYNeKFtG8_yji4HS352LGlSQ/edit?pli=1#gid=0"",""1_ACUM!A4:S""),16,FALSE))"),"")</f>
        <v/>
      </c>
      <c r="AH527" s="43" t="str">
        <f ca="1">IFERROR(__xludf.DUMMYFUNCTION("IFERROR(VLOOKUP(E550&amp;F550,IMPORTRANGE(""https://docs.google.com/spreadsheets/d/1Uw7-A9f9R21vMXxHZFNpYNeKFtG8_yji4HS352LGlSQ/edit?pli=1#gid=0"",""1_ACUM!A4:S""),17,FALSE))"),"")</f>
        <v/>
      </c>
      <c r="AI527" s="44" t="str">
        <f ca="1">IFERROR(__xludf.DUMMYFUNCTION("IFERROR(VLOOKUP(E550&amp;F550,IMPORTRANGE(""https://docs.google.com/spreadsheets/d/1Uw7-A9f9R21vMXxHZFNpYNeKFtG8_yji4HS352LGlSQ/edit?pli=1#gid=0"",""1_ACUM!A4:S""),18,FALSE))"),"")</f>
        <v/>
      </c>
      <c r="AJ527" s="44" t="str">
        <f ca="1">IFERROR(__xludf.DUMMYFUNCTION("IFERROR(VLOOKUP(E550&amp;F550,IMPORTRANGE(""https://docs.google.com/spreadsheets/d/1Uw7-A9f9R21vMXxHZFNpYNeKFtG8_yji4HS352LGlSQ/edit?pli=1#gid=0"",""1_ACUM!A4:S""),19,FALSE))"),"")</f>
        <v/>
      </c>
      <c r="AK527" s="98" t="str">
        <f ca="1">IFERROR(__xludf.DUMMYFUNCTION("IFERROR(VLOOKUP(F550,IMPORTRANGE(""https://docs.google.com/spreadsheets/d/1Kvs4KS76FHFqLFIZfrDMff4kP08nblUkihrxltoGBjg/edit#gid=934712705"",""ESENCIAL!A6:BG""),5,FALSE))"),"")</f>
        <v/>
      </c>
      <c r="AL527" s="98" t="str">
        <f t="shared" si="35"/>
        <v/>
      </c>
      <c r="AM527" s="99" t="str">
        <f t="shared" si="36"/>
        <v/>
      </c>
      <c r="AN527" s="100" t="str">
        <f ca="1">IFERROR(__xludf.DUMMYFUNCTION("IFERROR(VLOOKUP(F550,IMPORTRANGE(""https://docs.google.com/spreadsheets/d/1Kvs4KS76FHFqLFIZfrDMff4kP08nblUkihrxltoGBjg/edit#gid=934712705"",""ESENCIAL!A6:BG""),2,FALSE))"),"")</f>
        <v/>
      </c>
      <c r="AO527" s="19" t="str">
        <f t="shared" si="33"/>
        <v/>
      </c>
      <c r="AP527" s="100"/>
      <c r="AQ527" s="100"/>
    </row>
    <row r="528" spans="1:43" ht="15">
      <c r="A528" s="5"/>
      <c r="B528" s="5"/>
      <c r="G528" s="5" t="str">
        <f ca="1">IFERROR(__xludf.DUMMYFUNCTION("IFERROR(VLOOKUP(F551,IMPORTRANGE(""https://docs.google.com/spreadsheets/d/1Kvs4KS76FHFqLFIZfrDMff4kP08nblUkihrxltoGBjg/edit#gid=934712705"",""ESENCIAL!A6:BG""),3,FALSE))"),"")</f>
        <v/>
      </c>
      <c r="H528" s="5" t="str">
        <f ca="1">IFERROR(__xludf.DUMMYFUNCTION("IFERROR(VLOOKUP(F551,IMPORTRANGE(""https://docs.google.com/spreadsheets/d/1Kvs4KS76FHFqLFIZfrDMff4kP08nblUkihrxltoGBjg/edit#gid=934712705"",""ESENCIAL!A6:BG""),8,FALSE))"),"")</f>
        <v/>
      </c>
      <c r="L528" s="287"/>
      <c r="Z528" s="41" t="str">
        <f t="shared" si="34"/>
        <v/>
      </c>
      <c r="AA528" s="5" t="str">
        <f ca="1">IFERROR(__xludf.DUMMYFUNCTION("IFERROR(VLOOKUP(E551&amp;F551,IMPORTRANGE(""https://docs.google.com/spreadsheets/d/1Uw7-A9f9R21vMXxHZFNpYNeKFtG8_yji4HS352LGlSQ/edit?pli=1#gid=0"",""1_ACUM!A4:S""),11,FALSE))"),"")</f>
        <v/>
      </c>
      <c r="AB528" s="42" t="str">
        <f ca="1">IFERROR(__xludf.DUMMYFUNCTION("IFERROR(VLOOKUP(F551,IMPORTRANGE(""https://docs.google.com/spreadsheets/d/1Kvs4KS76FHFqLFIZfrDMff4kP08nblUkihrxltoGBjg/edit#gid=934712705"",""ESENCIAL!A6:BG""),15,FALSE))"),"")</f>
        <v/>
      </c>
      <c r="AC528" s="110" t="str">
        <f ca="1">IFERROR(__xludf.DUMMYFUNCTION("IFERROR(VLOOKUP(E551&amp;F551,IMPORTRANGE(""https://docs.google.com/spreadsheets/d/1Uw7-A9f9R21vMXxHZFNpYNeKFtG8_yji4HS352LGlSQ/edit?pli=1#gid=0"",""1_ACUM!A4:S""),13,FALSE))"),"")</f>
        <v/>
      </c>
      <c r="AD528" s="43" t="str">
        <f ca="1">IFERROR(__xludf.DUMMYFUNCTION("IFERROR(VLOOKUP(E551&amp;F551,IMPORTRANGE(""https://docs.google.com/spreadsheets/d/1Uw7-A9f9R21vMXxHZFNpYNeKFtG8_yji4HS352LGlSQ/edit?pli=1#gid=0"",""1_ACUM!A4:S""),13,FALSE))"),"")</f>
        <v/>
      </c>
      <c r="AE528" s="43" t="str">
        <f ca="1">IFERROR(__xludf.DUMMYFUNCTION("IFERROR(VLOOKUP(E551&amp;F551,IMPORTRANGE(""https://docs.google.com/spreadsheets/d/1Uw7-A9f9R21vMXxHZFNpYNeKFtG8_yji4HS352LGlSQ/edit?pli=1#gid=0"",""1_ACUM!A4:S""),14,FALSE))"),"")</f>
        <v/>
      </c>
      <c r="AF528" s="43" t="str">
        <f ca="1">IFERROR(__xludf.DUMMYFUNCTION("IFERROR(VLOOKUP(E551&amp;F551,IMPORTRANGE(""https://docs.google.com/spreadsheets/d/1Uw7-A9f9R21vMXxHZFNpYNeKFtG8_yji4HS352LGlSQ/edit?pli=1#gid=0"",""1_ACUM!A4:S""),15,FALSE))"),"")</f>
        <v/>
      </c>
      <c r="AG528" s="43" t="str">
        <f ca="1">IFERROR(__xludf.DUMMYFUNCTION("IFERROR(VLOOKUP(E551&amp;F551,IMPORTRANGE(""https://docs.google.com/spreadsheets/d/1Uw7-A9f9R21vMXxHZFNpYNeKFtG8_yji4HS352LGlSQ/edit?pli=1#gid=0"",""1_ACUM!A4:S""),16,FALSE))"),"")</f>
        <v/>
      </c>
      <c r="AH528" s="43" t="str">
        <f ca="1">IFERROR(__xludf.DUMMYFUNCTION("IFERROR(VLOOKUP(E551&amp;F551,IMPORTRANGE(""https://docs.google.com/spreadsheets/d/1Uw7-A9f9R21vMXxHZFNpYNeKFtG8_yji4HS352LGlSQ/edit?pli=1#gid=0"",""1_ACUM!A4:S""),17,FALSE))"),"")</f>
        <v/>
      </c>
      <c r="AI528" s="44" t="str">
        <f ca="1">IFERROR(__xludf.DUMMYFUNCTION("IFERROR(VLOOKUP(E551&amp;F551,IMPORTRANGE(""https://docs.google.com/spreadsheets/d/1Uw7-A9f9R21vMXxHZFNpYNeKFtG8_yji4HS352LGlSQ/edit?pli=1#gid=0"",""1_ACUM!A4:S""),18,FALSE))"),"")</f>
        <v/>
      </c>
      <c r="AJ528" s="44" t="str">
        <f ca="1">IFERROR(__xludf.DUMMYFUNCTION("IFERROR(VLOOKUP(E551&amp;F551,IMPORTRANGE(""https://docs.google.com/spreadsheets/d/1Uw7-A9f9R21vMXxHZFNpYNeKFtG8_yji4HS352LGlSQ/edit?pli=1#gid=0"",""1_ACUM!A4:S""),19,FALSE))"),"")</f>
        <v/>
      </c>
      <c r="AK528" s="98" t="str">
        <f ca="1">IFERROR(__xludf.DUMMYFUNCTION("IFERROR(VLOOKUP(F551,IMPORTRANGE(""https://docs.google.com/spreadsheets/d/1Kvs4KS76FHFqLFIZfrDMff4kP08nblUkihrxltoGBjg/edit#gid=934712705"",""ESENCIAL!A6:BG""),5,FALSE))"),"")</f>
        <v/>
      </c>
      <c r="AL528" s="98" t="str">
        <f t="shared" si="35"/>
        <v/>
      </c>
      <c r="AM528" s="99" t="str">
        <f t="shared" si="36"/>
        <v/>
      </c>
      <c r="AN528" s="100" t="str">
        <f ca="1">IFERROR(__xludf.DUMMYFUNCTION("IFERROR(VLOOKUP(F551,IMPORTRANGE(""https://docs.google.com/spreadsheets/d/1Kvs4KS76FHFqLFIZfrDMff4kP08nblUkihrxltoGBjg/edit#gid=934712705"",""ESENCIAL!A6:BG""),2,FALSE))"),"")</f>
        <v/>
      </c>
      <c r="AO528" s="19" t="str">
        <f t="shared" si="33"/>
        <v/>
      </c>
      <c r="AP528" s="100"/>
      <c r="AQ528" s="100"/>
    </row>
    <row r="529" spans="1:43" ht="15">
      <c r="A529" s="5"/>
      <c r="B529" s="5"/>
      <c r="G529" s="5" t="str">
        <f ca="1">IFERROR(__xludf.DUMMYFUNCTION("IFERROR(VLOOKUP(F552,IMPORTRANGE(""https://docs.google.com/spreadsheets/d/1Kvs4KS76FHFqLFIZfrDMff4kP08nblUkihrxltoGBjg/edit#gid=934712705"",""ESENCIAL!A6:BG""),3,FALSE))"),"")</f>
        <v/>
      </c>
      <c r="H529" s="5" t="str">
        <f ca="1">IFERROR(__xludf.DUMMYFUNCTION("IFERROR(VLOOKUP(F552,IMPORTRANGE(""https://docs.google.com/spreadsheets/d/1Kvs4KS76FHFqLFIZfrDMff4kP08nblUkihrxltoGBjg/edit#gid=934712705"",""ESENCIAL!A6:BG""),8,FALSE))"),"")</f>
        <v/>
      </c>
      <c r="L529" s="287"/>
      <c r="Z529" s="41" t="str">
        <f t="shared" si="34"/>
        <v/>
      </c>
      <c r="AA529" s="5" t="str">
        <f ca="1">IFERROR(__xludf.DUMMYFUNCTION("IFERROR(VLOOKUP(E552&amp;F552,IMPORTRANGE(""https://docs.google.com/spreadsheets/d/1Uw7-A9f9R21vMXxHZFNpYNeKFtG8_yji4HS352LGlSQ/edit?pli=1#gid=0"",""1_ACUM!A4:S""),11,FALSE))"),"")</f>
        <v/>
      </c>
      <c r="AB529" s="42" t="str">
        <f ca="1">IFERROR(__xludf.DUMMYFUNCTION("IFERROR(VLOOKUP(F552,IMPORTRANGE(""https://docs.google.com/spreadsheets/d/1Kvs4KS76FHFqLFIZfrDMff4kP08nblUkihrxltoGBjg/edit#gid=934712705"",""ESENCIAL!A6:BG""),15,FALSE))"),"")</f>
        <v/>
      </c>
      <c r="AC529" s="110" t="str">
        <f ca="1">IFERROR(__xludf.DUMMYFUNCTION("IFERROR(VLOOKUP(E552&amp;F552,IMPORTRANGE(""https://docs.google.com/spreadsheets/d/1Uw7-A9f9R21vMXxHZFNpYNeKFtG8_yji4HS352LGlSQ/edit?pli=1#gid=0"",""1_ACUM!A4:S""),13,FALSE))"),"")</f>
        <v/>
      </c>
      <c r="AD529" s="43" t="str">
        <f ca="1">IFERROR(__xludf.DUMMYFUNCTION("IFERROR(VLOOKUP(E552&amp;F552,IMPORTRANGE(""https://docs.google.com/spreadsheets/d/1Uw7-A9f9R21vMXxHZFNpYNeKFtG8_yji4HS352LGlSQ/edit?pli=1#gid=0"",""1_ACUM!A4:S""),13,FALSE))"),"")</f>
        <v/>
      </c>
      <c r="AE529" s="43" t="str">
        <f ca="1">IFERROR(__xludf.DUMMYFUNCTION("IFERROR(VLOOKUP(E552&amp;F552,IMPORTRANGE(""https://docs.google.com/spreadsheets/d/1Uw7-A9f9R21vMXxHZFNpYNeKFtG8_yji4HS352LGlSQ/edit?pli=1#gid=0"",""1_ACUM!A4:S""),14,FALSE))"),"")</f>
        <v/>
      </c>
      <c r="AF529" s="43" t="str">
        <f ca="1">IFERROR(__xludf.DUMMYFUNCTION("IFERROR(VLOOKUP(E552&amp;F552,IMPORTRANGE(""https://docs.google.com/spreadsheets/d/1Uw7-A9f9R21vMXxHZFNpYNeKFtG8_yji4HS352LGlSQ/edit?pli=1#gid=0"",""1_ACUM!A4:S""),15,FALSE))"),"")</f>
        <v/>
      </c>
      <c r="AG529" s="43" t="str">
        <f ca="1">IFERROR(__xludf.DUMMYFUNCTION("IFERROR(VLOOKUP(E552&amp;F552,IMPORTRANGE(""https://docs.google.com/spreadsheets/d/1Uw7-A9f9R21vMXxHZFNpYNeKFtG8_yji4HS352LGlSQ/edit?pli=1#gid=0"",""1_ACUM!A4:S""),16,FALSE))"),"")</f>
        <v/>
      </c>
      <c r="AH529" s="43" t="str">
        <f ca="1">IFERROR(__xludf.DUMMYFUNCTION("IFERROR(VLOOKUP(E552&amp;F552,IMPORTRANGE(""https://docs.google.com/spreadsheets/d/1Uw7-A9f9R21vMXxHZFNpYNeKFtG8_yji4HS352LGlSQ/edit?pli=1#gid=0"",""1_ACUM!A4:S""),17,FALSE))"),"")</f>
        <v/>
      </c>
      <c r="AI529" s="44" t="str">
        <f ca="1">IFERROR(__xludf.DUMMYFUNCTION("IFERROR(VLOOKUP(E552&amp;F552,IMPORTRANGE(""https://docs.google.com/spreadsheets/d/1Uw7-A9f9R21vMXxHZFNpYNeKFtG8_yji4HS352LGlSQ/edit?pli=1#gid=0"",""1_ACUM!A4:S""),18,FALSE))"),"")</f>
        <v/>
      </c>
      <c r="AJ529" s="44" t="str">
        <f ca="1">IFERROR(__xludf.DUMMYFUNCTION("IFERROR(VLOOKUP(E552&amp;F552,IMPORTRANGE(""https://docs.google.com/spreadsheets/d/1Uw7-A9f9R21vMXxHZFNpYNeKFtG8_yji4HS352LGlSQ/edit?pli=1#gid=0"",""1_ACUM!A4:S""),19,FALSE))"),"")</f>
        <v/>
      </c>
      <c r="AK529" s="98" t="str">
        <f ca="1">IFERROR(__xludf.DUMMYFUNCTION("IFERROR(VLOOKUP(F552,IMPORTRANGE(""https://docs.google.com/spreadsheets/d/1Kvs4KS76FHFqLFIZfrDMff4kP08nblUkihrxltoGBjg/edit#gid=934712705"",""ESENCIAL!A6:BG""),5,FALSE))"),"")</f>
        <v/>
      </c>
      <c r="AL529" s="98" t="str">
        <f t="shared" si="35"/>
        <v/>
      </c>
      <c r="AM529" s="99" t="str">
        <f t="shared" si="36"/>
        <v/>
      </c>
      <c r="AN529" s="100" t="str">
        <f ca="1">IFERROR(__xludf.DUMMYFUNCTION("IFERROR(VLOOKUP(F552,IMPORTRANGE(""https://docs.google.com/spreadsheets/d/1Kvs4KS76FHFqLFIZfrDMff4kP08nblUkihrxltoGBjg/edit#gid=934712705"",""ESENCIAL!A6:BG""),2,FALSE))"),"")</f>
        <v/>
      </c>
      <c r="AO529" s="19" t="str">
        <f t="shared" si="33"/>
        <v/>
      </c>
      <c r="AP529" s="100"/>
      <c r="AQ529" s="100"/>
    </row>
    <row r="530" spans="1:43" ht="15">
      <c r="A530" s="5"/>
      <c r="B530" s="5"/>
      <c r="G530" s="5" t="str">
        <f ca="1">IFERROR(__xludf.DUMMYFUNCTION("IFERROR(VLOOKUP(F553,IMPORTRANGE(""https://docs.google.com/spreadsheets/d/1Kvs4KS76FHFqLFIZfrDMff4kP08nblUkihrxltoGBjg/edit#gid=934712705"",""ESENCIAL!A6:BG""),3,FALSE))"),"")</f>
        <v/>
      </c>
      <c r="H530" s="5" t="str">
        <f ca="1">IFERROR(__xludf.DUMMYFUNCTION("IFERROR(VLOOKUP(F553,IMPORTRANGE(""https://docs.google.com/spreadsheets/d/1Kvs4KS76FHFqLFIZfrDMff4kP08nblUkihrxltoGBjg/edit#gid=934712705"",""ESENCIAL!A6:BG""),8,FALSE))"),"")</f>
        <v/>
      </c>
      <c r="L530" s="287"/>
      <c r="Z530" s="41" t="str">
        <f t="shared" si="34"/>
        <v/>
      </c>
      <c r="AA530" s="5" t="str">
        <f ca="1">IFERROR(__xludf.DUMMYFUNCTION("IFERROR(VLOOKUP(E553&amp;F553,IMPORTRANGE(""https://docs.google.com/spreadsheets/d/1Uw7-A9f9R21vMXxHZFNpYNeKFtG8_yji4HS352LGlSQ/edit?pli=1#gid=0"",""1_ACUM!A4:S""),11,FALSE))"),"")</f>
        <v/>
      </c>
      <c r="AB530" s="42" t="str">
        <f ca="1">IFERROR(__xludf.DUMMYFUNCTION("IFERROR(VLOOKUP(F553,IMPORTRANGE(""https://docs.google.com/spreadsheets/d/1Kvs4KS76FHFqLFIZfrDMff4kP08nblUkihrxltoGBjg/edit#gid=934712705"",""ESENCIAL!A6:BG""),15,FALSE))"),"")</f>
        <v/>
      </c>
      <c r="AC530" s="110" t="str">
        <f ca="1">IFERROR(__xludf.DUMMYFUNCTION("IFERROR(VLOOKUP(E553&amp;F553,IMPORTRANGE(""https://docs.google.com/spreadsheets/d/1Uw7-A9f9R21vMXxHZFNpYNeKFtG8_yji4HS352LGlSQ/edit?pli=1#gid=0"",""1_ACUM!A4:S""),13,FALSE))"),"")</f>
        <v/>
      </c>
      <c r="AD530" s="43" t="str">
        <f ca="1">IFERROR(__xludf.DUMMYFUNCTION("IFERROR(VLOOKUP(E553&amp;F553,IMPORTRANGE(""https://docs.google.com/spreadsheets/d/1Uw7-A9f9R21vMXxHZFNpYNeKFtG8_yji4HS352LGlSQ/edit?pli=1#gid=0"",""1_ACUM!A4:S""),13,FALSE))"),"")</f>
        <v/>
      </c>
      <c r="AE530" s="43" t="str">
        <f ca="1">IFERROR(__xludf.DUMMYFUNCTION("IFERROR(VLOOKUP(E553&amp;F553,IMPORTRANGE(""https://docs.google.com/spreadsheets/d/1Uw7-A9f9R21vMXxHZFNpYNeKFtG8_yji4HS352LGlSQ/edit?pli=1#gid=0"",""1_ACUM!A4:S""),14,FALSE))"),"")</f>
        <v/>
      </c>
      <c r="AF530" s="43" t="str">
        <f ca="1">IFERROR(__xludf.DUMMYFUNCTION("IFERROR(VLOOKUP(E553&amp;F553,IMPORTRANGE(""https://docs.google.com/spreadsheets/d/1Uw7-A9f9R21vMXxHZFNpYNeKFtG8_yji4HS352LGlSQ/edit?pli=1#gid=0"",""1_ACUM!A4:S""),15,FALSE))"),"")</f>
        <v/>
      </c>
      <c r="AG530" s="43" t="str">
        <f ca="1">IFERROR(__xludf.DUMMYFUNCTION("IFERROR(VLOOKUP(E553&amp;F553,IMPORTRANGE(""https://docs.google.com/spreadsheets/d/1Uw7-A9f9R21vMXxHZFNpYNeKFtG8_yji4HS352LGlSQ/edit?pli=1#gid=0"",""1_ACUM!A4:S""),16,FALSE))"),"")</f>
        <v/>
      </c>
      <c r="AH530" s="43" t="str">
        <f ca="1">IFERROR(__xludf.DUMMYFUNCTION("IFERROR(VLOOKUP(E553&amp;F553,IMPORTRANGE(""https://docs.google.com/spreadsheets/d/1Uw7-A9f9R21vMXxHZFNpYNeKFtG8_yji4HS352LGlSQ/edit?pli=1#gid=0"",""1_ACUM!A4:S""),17,FALSE))"),"")</f>
        <v/>
      </c>
      <c r="AI530" s="44" t="str">
        <f ca="1">IFERROR(__xludf.DUMMYFUNCTION("IFERROR(VLOOKUP(E553&amp;F553,IMPORTRANGE(""https://docs.google.com/spreadsheets/d/1Uw7-A9f9R21vMXxHZFNpYNeKFtG8_yji4HS352LGlSQ/edit?pli=1#gid=0"",""1_ACUM!A4:S""),18,FALSE))"),"")</f>
        <v/>
      </c>
      <c r="AJ530" s="44" t="str">
        <f ca="1">IFERROR(__xludf.DUMMYFUNCTION("IFERROR(VLOOKUP(E553&amp;F553,IMPORTRANGE(""https://docs.google.com/spreadsheets/d/1Uw7-A9f9R21vMXxHZFNpYNeKFtG8_yji4HS352LGlSQ/edit?pli=1#gid=0"",""1_ACUM!A4:S""),19,FALSE))"),"")</f>
        <v/>
      </c>
      <c r="AK530" s="98" t="str">
        <f ca="1">IFERROR(__xludf.DUMMYFUNCTION("IFERROR(VLOOKUP(F553,IMPORTRANGE(""https://docs.google.com/spreadsheets/d/1Kvs4KS76FHFqLFIZfrDMff4kP08nblUkihrxltoGBjg/edit#gid=934712705"",""ESENCIAL!A6:BG""),5,FALSE))"),"")</f>
        <v/>
      </c>
      <c r="AL530" s="98" t="str">
        <f t="shared" si="35"/>
        <v/>
      </c>
      <c r="AM530" s="99" t="str">
        <f t="shared" si="36"/>
        <v/>
      </c>
      <c r="AN530" s="100" t="str">
        <f ca="1">IFERROR(__xludf.DUMMYFUNCTION("IFERROR(VLOOKUP(F553,IMPORTRANGE(""https://docs.google.com/spreadsheets/d/1Kvs4KS76FHFqLFIZfrDMff4kP08nblUkihrxltoGBjg/edit#gid=934712705"",""ESENCIAL!A6:BG""),2,FALSE))"),"")</f>
        <v/>
      </c>
      <c r="AO530" s="19" t="str">
        <f t="shared" si="33"/>
        <v/>
      </c>
      <c r="AP530" s="100"/>
      <c r="AQ530" s="100"/>
    </row>
    <row r="531" spans="1:43" ht="15">
      <c r="A531" s="5"/>
      <c r="B531" s="5"/>
      <c r="G531" s="5" t="str">
        <f ca="1">IFERROR(__xludf.DUMMYFUNCTION("IFERROR(VLOOKUP(F554,IMPORTRANGE(""https://docs.google.com/spreadsheets/d/1Kvs4KS76FHFqLFIZfrDMff4kP08nblUkihrxltoGBjg/edit#gid=934712705"",""ESENCIAL!A6:BG""),3,FALSE))"),"")</f>
        <v/>
      </c>
      <c r="H531" s="5" t="str">
        <f ca="1">IFERROR(__xludf.DUMMYFUNCTION("IFERROR(VLOOKUP(F554,IMPORTRANGE(""https://docs.google.com/spreadsheets/d/1Kvs4KS76FHFqLFIZfrDMff4kP08nblUkihrxltoGBjg/edit#gid=934712705"",""ESENCIAL!A6:BG""),8,FALSE))"),"")</f>
        <v/>
      </c>
      <c r="L531" s="287"/>
      <c r="Z531" s="41" t="str">
        <f t="shared" si="34"/>
        <v/>
      </c>
      <c r="AA531" s="5" t="str">
        <f ca="1">IFERROR(__xludf.DUMMYFUNCTION("IFERROR(VLOOKUP(E554&amp;F554,IMPORTRANGE(""https://docs.google.com/spreadsheets/d/1Uw7-A9f9R21vMXxHZFNpYNeKFtG8_yji4HS352LGlSQ/edit?pli=1#gid=0"",""1_ACUM!A4:S""),11,FALSE))"),"")</f>
        <v/>
      </c>
      <c r="AB531" s="42" t="str">
        <f ca="1">IFERROR(__xludf.DUMMYFUNCTION("IFERROR(VLOOKUP(F554,IMPORTRANGE(""https://docs.google.com/spreadsheets/d/1Kvs4KS76FHFqLFIZfrDMff4kP08nblUkihrxltoGBjg/edit#gid=934712705"",""ESENCIAL!A6:BG""),15,FALSE))"),"")</f>
        <v/>
      </c>
      <c r="AC531" s="110" t="str">
        <f ca="1">IFERROR(__xludf.DUMMYFUNCTION("IFERROR(VLOOKUP(E554&amp;F554,IMPORTRANGE(""https://docs.google.com/spreadsheets/d/1Uw7-A9f9R21vMXxHZFNpYNeKFtG8_yji4HS352LGlSQ/edit?pli=1#gid=0"",""1_ACUM!A4:S""),13,FALSE))"),"")</f>
        <v/>
      </c>
      <c r="AD531" s="43" t="str">
        <f ca="1">IFERROR(__xludf.DUMMYFUNCTION("IFERROR(VLOOKUP(E554&amp;F554,IMPORTRANGE(""https://docs.google.com/spreadsheets/d/1Uw7-A9f9R21vMXxHZFNpYNeKFtG8_yji4HS352LGlSQ/edit?pli=1#gid=0"",""1_ACUM!A4:S""),13,FALSE))"),"")</f>
        <v/>
      </c>
      <c r="AE531" s="43" t="str">
        <f ca="1">IFERROR(__xludf.DUMMYFUNCTION("IFERROR(VLOOKUP(E554&amp;F554,IMPORTRANGE(""https://docs.google.com/spreadsheets/d/1Uw7-A9f9R21vMXxHZFNpYNeKFtG8_yji4HS352LGlSQ/edit?pli=1#gid=0"",""1_ACUM!A4:S""),14,FALSE))"),"")</f>
        <v/>
      </c>
      <c r="AF531" s="43" t="str">
        <f ca="1">IFERROR(__xludf.DUMMYFUNCTION("IFERROR(VLOOKUP(E554&amp;F554,IMPORTRANGE(""https://docs.google.com/spreadsheets/d/1Uw7-A9f9R21vMXxHZFNpYNeKFtG8_yji4HS352LGlSQ/edit?pli=1#gid=0"",""1_ACUM!A4:S""),15,FALSE))"),"")</f>
        <v/>
      </c>
      <c r="AG531" s="43" t="str">
        <f ca="1">IFERROR(__xludf.DUMMYFUNCTION("IFERROR(VLOOKUP(E554&amp;F554,IMPORTRANGE(""https://docs.google.com/spreadsheets/d/1Uw7-A9f9R21vMXxHZFNpYNeKFtG8_yji4HS352LGlSQ/edit?pli=1#gid=0"",""1_ACUM!A4:S""),16,FALSE))"),"")</f>
        <v/>
      </c>
      <c r="AH531" s="43" t="str">
        <f ca="1">IFERROR(__xludf.DUMMYFUNCTION("IFERROR(VLOOKUP(E554&amp;F554,IMPORTRANGE(""https://docs.google.com/spreadsheets/d/1Uw7-A9f9R21vMXxHZFNpYNeKFtG8_yji4HS352LGlSQ/edit?pli=1#gid=0"",""1_ACUM!A4:S""),17,FALSE))"),"")</f>
        <v/>
      </c>
      <c r="AI531" s="44" t="str">
        <f ca="1">IFERROR(__xludf.DUMMYFUNCTION("IFERROR(VLOOKUP(E554&amp;F554,IMPORTRANGE(""https://docs.google.com/spreadsheets/d/1Uw7-A9f9R21vMXxHZFNpYNeKFtG8_yji4HS352LGlSQ/edit?pli=1#gid=0"",""1_ACUM!A4:S""),18,FALSE))"),"")</f>
        <v/>
      </c>
      <c r="AJ531" s="44" t="str">
        <f ca="1">IFERROR(__xludf.DUMMYFUNCTION("IFERROR(VLOOKUP(E554&amp;F554,IMPORTRANGE(""https://docs.google.com/spreadsheets/d/1Uw7-A9f9R21vMXxHZFNpYNeKFtG8_yji4HS352LGlSQ/edit?pli=1#gid=0"",""1_ACUM!A4:S""),19,FALSE))"),"")</f>
        <v/>
      </c>
      <c r="AK531" s="98" t="str">
        <f ca="1">IFERROR(__xludf.DUMMYFUNCTION("IFERROR(VLOOKUP(F554,IMPORTRANGE(""https://docs.google.com/spreadsheets/d/1Kvs4KS76FHFqLFIZfrDMff4kP08nblUkihrxltoGBjg/edit#gid=934712705"",""ESENCIAL!A6:BG""),5,FALSE))"),"")</f>
        <v/>
      </c>
      <c r="AL531" s="98" t="str">
        <f t="shared" si="35"/>
        <v/>
      </c>
      <c r="AM531" s="99" t="str">
        <f t="shared" si="36"/>
        <v/>
      </c>
      <c r="AN531" s="100" t="str">
        <f ca="1">IFERROR(__xludf.DUMMYFUNCTION("IFERROR(VLOOKUP(F554,IMPORTRANGE(""https://docs.google.com/spreadsheets/d/1Kvs4KS76FHFqLFIZfrDMff4kP08nblUkihrxltoGBjg/edit#gid=934712705"",""ESENCIAL!A6:BG""),2,FALSE))"),"")</f>
        <v/>
      </c>
      <c r="AO531" s="19" t="str">
        <f t="shared" si="33"/>
        <v/>
      </c>
      <c r="AP531" s="100"/>
      <c r="AQ531" s="100"/>
    </row>
    <row r="532" spans="1:43" ht="15">
      <c r="A532" s="5"/>
      <c r="B532" s="5"/>
      <c r="G532" s="5" t="str">
        <f ca="1">IFERROR(__xludf.DUMMYFUNCTION("IFERROR(VLOOKUP(F555,IMPORTRANGE(""https://docs.google.com/spreadsheets/d/1Kvs4KS76FHFqLFIZfrDMff4kP08nblUkihrxltoGBjg/edit#gid=934712705"",""ESENCIAL!A6:BG""),3,FALSE))"),"")</f>
        <v/>
      </c>
      <c r="H532" s="5" t="str">
        <f ca="1">IFERROR(__xludf.DUMMYFUNCTION("IFERROR(VLOOKUP(F555,IMPORTRANGE(""https://docs.google.com/spreadsheets/d/1Kvs4KS76FHFqLFIZfrDMff4kP08nblUkihrxltoGBjg/edit#gid=934712705"",""ESENCIAL!A6:BG""),8,FALSE))"),"")</f>
        <v/>
      </c>
      <c r="L532" s="287"/>
      <c r="Z532" s="41" t="str">
        <f t="shared" si="34"/>
        <v/>
      </c>
      <c r="AA532" s="5" t="str">
        <f ca="1">IFERROR(__xludf.DUMMYFUNCTION("IFERROR(VLOOKUP(E555&amp;F555,IMPORTRANGE(""https://docs.google.com/spreadsheets/d/1Uw7-A9f9R21vMXxHZFNpYNeKFtG8_yji4HS352LGlSQ/edit?pli=1#gid=0"",""1_ACUM!A4:S""),11,FALSE))"),"")</f>
        <v/>
      </c>
      <c r="AB532" s="42" t="str">
        <f ca="1">IFERROR(__xludf.DUMMYFUNCTION("IFERROR(VLOOKUP(F555,IMPORTRANGE(""https://docs.google.com/spreadsheets/d/1Kvs4KS76FHFqLFIZfrDMff4kP08nblUkihrxltoGBjg/edit#gid=934712705"",""ESENCIAL!A6:BG""),15,FALSE))"),"")</f>
        <v/>
      </c>
      <c r="AC532" s="110" t="str">
        <f ca="1">IFERROR(__xludf.DUMMYFUNCTION("IFERROR(VLOOKUP(E555&amp;F555,IMPORTRANGE(""https://docs.google.com/spreadsheets/d/1Uw7-A9f9R21vMXxHZFNpYNeKFtG8_yji4HS352LGlSQ/edit?pli=1#gid=0"",""1_ACUM!A4:S""),13,FALSE))"),"")</f>
        <v/>
      </c>
      <c r="AD532" s="43" t="str">
        <f ca="1">IFERROR(__xludf.DUMMYFUNCTION("IFERROR(VLOOKUP(E555&amp;F555,IMPORTRANGE(""https://docs.google.com/spreadsheets/d/1Uw7-A9f9R21vMXxHZFNpYNeKFtG8_yji4HS352LGlSQ/edit?pli=1#gid=0"",""1_ACUM!A4:S""),13,FALSE))"),"")</f>
        <v/>
      </c>
      <c r="AE532" s="43" t="str">
        <f ca="1">IFERROR(__xludf.DUMMYFUNCTION("IFERROR(VLOOKUP(E555&amp;F555,IMPORTRANGE(""https://docs.google.com/spreadsheets/d/1Uw7-A9f9R21vMXxHZFNpYNeKFtG8_yji4HS352LGlSQ/edit?pli=1#gid=0"",""1_ACUM!A4:S""),14,FALSE))"),"")</f>
        <v/>
      </c>
      <c r="AF532" s="43" t="str">
        <f ca="1">IFERROR(__xludf.DUMMYFUNCTION("IFERROR(VLOOKUP(E555&amp;F555,IMPORTRANGE(""https://docs.google.com/spreadsheets/d/1Uw7-A9f9R21vMXxHZFNpYNeKFtG8_yji4HS352LGlSQ/edit?pli=1#gid=0"",""1_ACUM!A4:S""),15,FALSE))"),"")</f>
        <v/>
      </c>
      <c r="AG532" s="43" t="str">
        <f ca="1">IFERROR(__xludf.DUMMYFUNCTION("IFERROR(VLOOKUP(E555&amp;F555,IMPORTRANGE(""https://docs.google.com/spreadsheets/d/1Uw7-A9f9R21vMXxHZFNpYNeKFtG8_yji4HS352LGlSQ/edit?pli=1#gid=0"",""1_ACUM!A4:S""),16,FALSE))"),"")</f>
        <v/>
      </c>
      <c r="AH532" s="43" t="str">
        <f ca="1">IFERROR(__xludf.DUMMYFUNCTION("IFERROR(VLOOKUP(E555&amp;F555,IMPORTRANGE(""https://docs.google.com/spreadsheets/d/1Uw7-A9f9R21vMXxHZFNpYNeKFtG8_yji4HS352LGlSQ/edit?pli=1#gid=0"",""1_ACUM!A4:S""),17,FALSE))"),"")</f>
        <v/>
      </c>
      <c r="AI532" s="44" t="str">
        <f ca="1">IFERROR(__xludf.DUMMYFUNCTION("IFERROR(VLOOKUP(E555&amp;F555,IMPORTRANGE(""https://docs.google.com/spreadsheets/d/1Uw7-A9f9R21vMXxHZFNpYNeKFtG8_yji4HS352LGlSQ/edit?pli=1#gid=0"",""1_ACUM!A4:S""),18,FALSE))"),"")</f>
        <v/>
      </c>
      <c r="AJ532" s="44" t="str">
        <f ca="1">IFERROR(__xludf.DUMMYFUNCTION("IFERROR(VLOOKUP(E555&amp;F555,IMPORTRANGE(""https://docs.google.com/spreadsheets/d/1Uw7-A9f9R21vMXxHZFNpYNeKFtG8_yji4HS352LGlSQ/edit?pli=1#gid=0"",""1_ACUM!A4:S""),19,FALSE))"),"")</f>
        <v/>
      </c>
      <c r="AK532" s="98" t="str">
        <f ca="1">IFERROR(__xludf.DUMMYFUNCTION("IFERROR(VLOOKUP(F555,IMPORTRANGE(""https://docs.google.com/spreadsheets/d/1Kvs4KS76FHFqLFIZfrDMff4kP08nblUkihrxltoGBjg/edit#gid=934712705"",""ESENCIAL!A6:BG""),5,FALSE))"),"")</f>
        <v/>
      </c>
      <c r="AL532" s="98" t="str">
        <f t="shared" si="35"/>
        <v/>
      </c>
      <c r="AM532" s="99" t="str">
        <f t="shared" si="36"/>
        <v/>
      </c>
      <c r="AN532" s="100" t="str">
        <f ca="1">IFERROR(__xludf.DUMMYFUNCTION("IFERROR(VLOOKUP(F555,IMPORTRANGE(""https://docs.google.com/spreadsheets/d/1Kvs4KS76FHFqLFIZfrDMff4kP08nblUkihrxltoGBjg/edit#gid=934712705"",""ESENCIAL!A6:BG""),2,FALSE))"),"")</f>
        <v/>
      </c>
      <c r="AO532" s="19" t="str">
        <f t="shared" si="33"/>
        <v/>
      </c>
      <c r="AP532" s="100"/>
      <c r="AQ532" s="100"/>
    </row>
    <row r="533" spans="1:43" ht="15">
      <c r="A533" s="5"/>
      <c r="B533" s="5"/>
      <c r="G533" s="5" t="str">
        <f ca="1">IFERROR(__xludf.DUMMYFUNCTION("IFERROR(VLOOKUP(F556,IMPORTRANGE(""https://docs.google.com/spreadsheets/d/1Kvs4KS76FHFqLFIZfrDMff4kP08nblUkihrxltoGBjg/edit#gid=934712705"",""ESENCIAL!A6:BG""),3,FALSE))"),"")</f>
        <v/>
      </c>
      <c r="H533" s="5" t="str">
        <f ca="1">IFERROR(__xludf.DUMMYFUNCTION("IFERROR(VLOOKUP(F556,IMPORTRANGE(""https://docs.google.com/spreadsheets/d/1Kvs4KS76FHFqLFIZfrDMff4kP08nblUkihrxltoGBjg/edit#gid=934712705"",""ESENCIAL!A6:BG""),8,FALSE))"),"")</f>
        <v/>
      </c>
      <c r="L533" s="287"/>
      <c r="Z533" s="41" t="str">
        <f t="shared" si="34"/>
        <v/>
      </c>
      <c r="AA533" s="5" t="str">
        <f ca="1">IFERROR(__xludf.DUMMYFUNCTION("IFERROR(VLOOKUP(E556&amp;F556,IMPORTRANGE(""https://docs.google.com/spreadsheets/d/1Uw7-A9f9R21vMXxHZFNpYNeKFtG8_yji4HS352LGlSQ/edit?pli=1#gid=0"",""1_ACUM!A4:S""),11,FALSE))"),"")</f>
        <v/>
      </c>
      <c r="AB533" s="42" t="str">
        <f ca="1">IFERROR(__xludf.DUMMYFUNCTION("IFERROR(VLOOKUP(F556,IMPORTRANGE(""https://docs.google.com/spreadsheets/d/1Kvs4KS76FHFqLFIZfrDMff4kP08nblUkihrxltoGBjg/edit#gid=934712705"",""ESENCIAL!A6:BG""),15,FALSE))"),"")</f>
        <v/>
      </c>
      <c r="AC533" s="110" t="str">
        <f ca="1">IFERROR(__xludf.DUMMYFUNCTION("IFERROR(VLOOKUP(E556&amp;F556,IMPORTRANGE(""https://docs.google.com/spreadsheets/d/1Uw7-A9f9R21vMXxHZFNpYNeKFtG8_yji4HS352LGlSQ/edit?pli=1#gid=0"",""1_ACUM!A4:S""),13,FALSE))"),"")</f>
        <v/>
      </c>
      <c r="AD533" s="43" t="str">
        <f ca="1">IFERROR(__xludf.DUMMYFUNCTION("IFERROR(VLOOKUP(E556&amp;F556,IMPORTRANGE(""https://docs.google.com/spreadsheets/d/1Uw7-A9f9R21vMXxHZFNpYNeKFtG8_yji4HS352LGlSQ/edit?pli=1#gid=0"",""1_ACUM!A4:S""),13,FALSE))"),"")</f>
        <v/>
      </c>
      <c r="AE533" s="43" t="str">
        <f ca="1">IFERROR(__xludf.DUMMYFUNCTION("IFERROR(VLOOKUP(E556&amp;F556,IMPORTRANGE(""https://docs.google.com/spreadsheets/d/1Uw7-A9f9R21vMXxHZFNpYNeKFtG8_yji4HS352LGlSQ/edit?pli=1#gid=0"",""1_ACUM!A4:S""),14,FALSE))"),"")</f>
        <v/>
      </c>
      <c r="AF533" s="43" t="str">
        <f ca="1">IFERROR(__xludf.DUMMYFUNCTION("IFERROR(VLOOKUP(E556&amp;F556,IMPORTRANGE(""https://docs.google.com/spreadsheets/d/1Uw7-A9f9R21vMXxHZFNpYNeKFtG8_yji4HS352LGlSQ/edit?pli=1#gid=0"",""1_ACUM!A4:S""),15,FALSE))"),"")</f>
        <v/>
      </c>
      <c r="AG533" s="43" t="str">
        <f ca="1">IFERROR(__xludf.DUMMYFUNCTION("IFERROR(VLOOKUP(E556&amp;F556,IMPORTRANGE(""https://docs.google.com/spreadsheets/d/1Uw7-A9f9R21vMXxHZFNpYNeKFtG8_yji4HS352LGlSQ/edit?pli=1#gid=0"",""1_ACUM!A4:S""),16,FALSE))"),"")</f>
        <v/>
      </c>
      <c r="AH533" s="43" t="str">
        <f ca="1">IFERROR(__xludf.DUMMYFUNCTION("IFERROR(VLOOKUP(E556&amp;F556,IMPORTRANGE(""https://docs.google.com/spreadsheets/d/1Uw7-A9f9R21vMXxHZFNpYNeKFtG8_yji4HS352LGlSQ/edit?pli=1#gid=0"",""1_ACUM!A4:S""),17,FALSE))"),"")</f>
        <v/>
      </c>
      <c r="AI533" s="44" t="str">
        <f ca="1">IFERROR(__xludf.DUMMYFUNCTION("IFERROR(VLOOKUP(E556&amp;F556,IMPORTRANGE(""https://docs.google.com/spreadsheets/d/1Uw7-A9f9R21vMXxHZFNpYNeKFtG8_yji4HS352LGlSQ/edit?pli=1#gid=0"",""1_ACUM!A4:S""),18,FALSE))"),"")</f>
        <v/>
      </c>
      <c r="AJ533" s="44" t="str">
        <f ca="1">IFERROR(__xludf.DUMMYFUNCTION("IFERROR(VLOOKUP(E556&amp;F556,IMPORTRANGE(""https://docs.google.com/spreadsheets/d/1Uw7-A9f9R21vMXxHZFNpYNeKFtG8_yji4HS352LGlSQ/edit?pli=1#gid=0"",""1_ACUM!A4:S""),19,FALSE))"),"")</f>
        <v/>
      </c>
      <c r="AK533" s="98" t="str">
        <f ca="1">IFERROR(__xludf.DUMMYFUNCTION("IFERROR(VLOOKUP(F556,IMPORTRANGE(""https://docs.google.com/spreadsheets/d/1Kvs4KS76FHFqLFIZfrDMff4kP08nblUkihrxltoGBjg/edit#gid=934712705"",""ESENCIAL!A6:BG""),5,FALSE))"),"")</f>
        <v/>
      </c>
      <c r="AL533" s="98" t="str">
        <f t="shared" si="35"/>
        <v/>
      </c>
      <c r="AM533" s="99" t="str">
        <f t="shared" si="36"/>
        <v/>
      </c>
      <c r="AN533" s="100" t="str">
        <f ca="1">IFERROR(__xludf.DUMMYFUNCTION("IFERROR(VLOOKUP(F556,IMPORTRANGE(""https://docs.google.com/spreadsheets/d/1Kvs4KS76FHFqLFIZfrDMff4kP08nblUkihrxltoGBjg/edit#gid=934712705"",""ESENCIAL!A6:BG""),2,FALSE))"),"")</f>
        <v/>
      </c>
      <c r="AO533" s="19" t="str">
        <f t="shared" si="33"/>
        <v/>
      </c>
      <c r="AP533" s="100"/>
      <c r="AQ533" s="100"/>
    </row>
    <row r="534" spans="1:43" ht="15">
      <c r="A534" s="5"/>
      <c r="B534" s="5"/>
      <c r="G534" s="5" t="str">
        <f ca="1">IFERROR(__xludf.DUMMYFUNCTION("IFERROR(VLOOKUP(F557,IMPORTRANGE(""https://docs.google.com/spreadsheets/d/1Kvs4KS76FHFqLFIZfrDMff4kP08nblUkihrxltoGBjg/edit#gid=934712705"",""ESENCIAL!A6:BG""),3,FALSE))"),"")</f>
        <v/>
      </c>
      <c r="H534" s="5" t="str">
        <f ca="1">IFERROR(__xludf.DUMMYFUNCTION("IFERROR(VLOOKUP(F557,IMPORTRANGE(""https://docs.google.com/spreadsheets/d/1Kvs4KS76FHFqLFIZfrDMff4kP08nblUkihrxltoGBjg/edit#gid=934712705"",""ESENCIAL!A6:BG""),8,FALSE))"),"")</f>
        <v/>
      </c>
      <c r="L534" s="287"/>
      <c r="Z534" s="41" t="str">
        <f t="shared" si="34"/>
        <v/>
      </c>
      <c r="AA534" s="5" t="str">
        <f ca="1">IFERROR(__xludf.DUMMYFUNCTION("IFERROR(VLOOKUP(E557&amp;F557,IMPORTRANGE(""https://docs.google.com/spreadsheets/d/1Uw7-A9f9R21vMXxHZFNpYNeKFtG8_yji4HS352LGlSQ/edit?pli=1#gid=0"",""1_ACUM!A4:S""),11,FALSE))"),"")</f>
        <v/>
      </c>
      <c r="AB534" s="42" t="str">
        <f ca="1">IFERROR(__xludf.DUMMYFUNCTION("IFERROR(VLOOKUP(F557,IMPORTRANGE(""https://docs.google.com/spreadsheets/d/1Kvs4KS76FHFqLFIZfrDMff4kP08nblUkihrxltoGBjg/edit#gid=934712705"",""ESENCIAL!A6:BG""),15,FALSE))"),"")</f>
        <v/>
      </c>
      <c r="AC534" s="110" t="str">
        <f ca="1">IFERROR(__xludf.DUMMYFUNCTION("IFERROR(VLOOKUP(E557&amp;F557,IMPORTRANGE(""https://docs.google.com/spreadsheets/d/1Uw7-A9f9R21vMXxHZFNpYNeKFtG8_yji4HS352LGlSQ/edit?pli=1#gid=0"",""1_ACUM!A4:S""),13,FALSE))"),"")</f>
        <v/>
      </c>
      <c r="AD534" s="43" t="str">
        <f ca="1">IFERROR(__xludf.DUMMYFUNCTION("IFERROR(VLOOKUP(E557&amp;F557,IMPORTRANGE(""https://docs.google.com/spreadsheets/d/1Uw7-A9f9R21vMXxHZFNpYNeKFtG8_yji4HS352LGlSQ/edit?pli=1#gid=0"",""1_ACUM!A4:S""),13,FALSE))"),"")</f>
        <v/>
      </c>
      <c r="AE534" s="43" t="str">
        <f ca="1">IFERROR(__xludf.DUMMYFUNCTION("IFERROR(VLOOKUP(E557&amp;F557,IMPORTRANGE(""https://docs.google.com/spreadsheets/d/1Uw7-A9f9R21vMXxHZFNpYNeKFtG8_yji4HS352LGlSQ/edit?pli=1#gid=0"",""1_ACUM!A4:S""),14,FALSE))"),"")</f>
        <v/>
      </c>
      <c r="AF534" s="43" t="str">
        <f ca="1">IFERROR(__xludf.DUMMYFUNCTION("IFERROR(VLOOKUP(E557&amp;F557,IMPORTRANGE(""https://docs.google.com/spreadsheets/d/1Uw7-A9f9R21vMXxHZFNpYNeKFtG8_yji4HS352LGlSQ/edit?pli=1#gid=0"",""1_ACUM!A4:S""),15,FALSE))"),"")</f>
        <v/>
      </c>
      <c r="AG534" s="43" t="str">
        <f ca="1">IFERROR(__xludf.DUMMYFUNCTION("IFERROR(VLOOKUP(E557&amp;F557,IMPORTRANGE(""https://docs.google.com/spreadsheets/d/1Uw7-A9f9R21vMXxHZFNpYNeKFtG8_yji4HS352LGlSQ/edit?pli=1#gid=0"",""1_ACUM!A4:S""),16,FALSE))"),"")</f>
        <v/>
      </c>
      <c r="AH534" s="43" t="str">
        <f ca="1">IFERROR(__xludf.DUMMYFUNCTION("IFERROR(VLOOKUP(E557&amp;F557,IMPORTRANGE(""https://docs.google.com/spreadsheets/d/1Uw7-A9f9R21vMXxHZFNpYNeKFtG8_yji4HS352LGlSQ/edit?pli=1#gid=0"",""1_ACUM!A4:S""),17,FALSE))"),"")</f>
        <v/>
      </c>
      <c r="AI534" s="44" t="str">
        <f ca="1">IFERROR(__xludf.DUMMYFUNCTION("IFERROR(VLOOKUP(E557&amp;F557,IMPORTRANGE(""https://docs.google.com/spreadsheets/d/1Uw7-A9f9R21vMXxHZFNpYNeKFtG8_yji4HS352LGlSQ/edit?pli=1#gid=0"",""1_ACUM!A4:S""),18,FALSE))"),"")</f>
        <v/>
      </c>
      <c r="AJ534" s="44" t="str">
        <f ca="1">IFERROR(__xludf.DUMMYFUNCTION("IFERROR(VLOOKUP(E557&amp;F557,IMPORTRANGE(""https://docs.google.com/spreadsheets/d/1Uw7-A9f9R21vMXxHZFNpYNeKFtG8_yji4HS352LGlSQ/edit?pli=1#gid=0"",""1_ACUM!A4:S""),19,FALSE))"),"")</f>
        <v/>
      </c>
      <c r="AK534" s="98" t="str">
        <f ca="1">IFERROR(__xludf.DUMMYFUNCTION("IFERROR(VLOOKUP(F557,IMPORTRANGE(""https://docs.google.com/spreadsheets/d/1Kvs4KS76FHFqLFIZfrDMff4kP08nblUkihrxltoGBjg/edit#gid=934712705"",""ESENCIAL!A6:BG""),5,FALSE))"),"")</f>
        <v/>
      </c>
      <c r="AL534" s="98" t="str">
        <f t="shared" si="35"/>
        <v/>
      </c>
      <c r="AM534" s="99" t="str">
        <f t="shared" si="36"/>
        <v/>
      </c>
      <c r="AN534" s="100" t="str">
        <f ca="1">IFERROR(__xludf.DUMMYFUNCTION("IFERROR(VLOOKUP(F557,IMPORTRANGE(""https://docs.google.com/spreadsheets/d/1Kvs4KS76FHFqLFIZfrDMff4kP08nblUkihrxltoGBjg/edit#gid=934712705"",""ESENCIAL!A6:BG""),2,FALSE))"),"")</f>
        <v/>
      </c>
      <c r="AO534" s="19" t="str">
        <f t="shared" si="33"/>
        <v/>
      </c>
      <c r="AP534" s="100"/>
      <c r="AQ534" s="100"/>
    </row>
    <row r="535" spans="1:43" ht="15">
      <c r="A535" s="5"/>
      <c r="B535" s="5"/>
      <c r="G535" s="5" t="str">
        <f ca="1">IFERROR(__xludf.DUMMYFUNCTION("IFERROR(VLOOKUP(F558,IMPORTRANGE(""https://docs.google.com/spreadsheets/d/1Kvs4KS76FHFqLFIZfrDMff4kP08nblUkihrxltoGBjg/edit#gid=934712705"",""ESENCIAL!A6:BG""),3,FALSE))"),"")</f>
        <v/>
      </c>
      <c r="H535" s="5" t="str">
        <f ca="1">IFERROR(__xludf.DUMMYFUNCTION("IFERROR(VLOOKUP(F558,IMPORTRANGE(""https://docs.google.com/spreadsheets/d/1Kvs4KS76FHFqLFIZfrDMff4kP08nblUkihrxltoGBjg/edit#gid=934712705"",""ESENCIAL!A6:BG""),8,FALSE))"),"")</f>
        <v/>
      </c>
      <c r="L535" s="287"/>
      <c r="Z535" s="41" t="str">
        <f t="shared" si="34"/>
        <v/>
      </c>
      <c r="AA535" s="5" t="str">
        <f ca="1">IFERROR(__xludf.DUMMYFUNCTION("IFERROR(VLOOKUP(E558&amp;F558,IMPORTRANGE(""https://docs.google.com/spreadsheets/d/1Uw7-A9f9R21vMXxHZFNpYNeKFtG8_yji4HS352LGlSQ/edit?pli=1#gid=0"",""1_ACUM!A4:S""),11,FALSE))"),"")</f>
        <v/>
      </c>
      <c r="AB535" s="42" t="str">
        <f ca="1">IFERROR(__xludf.DUMMYFUNCTION("IFERROR(VLOOKUP(F558,IMPORTRANGE(""https://docs.google.com/spreadsheets/d/1Kvs4KS76FHFqLFIZfrDMff4kP08nblUkihrxltoGBjg/edit#gid=934712705"",""ESENCIAL!A6:BG""),15,FALSE))"),"")</f>
        <v/>
      </c>
      <c r="AC535" s="110" t="str">
        <f ca="1">IFERROR(__xludf.DUMMYFUNCTION("IFERROR(VLOOKUP(E558&amp;F558,IMPORTRANGE(""https://docs.google.com/spreadsheets/d/1Uw7-A9f9R21vMXxHZFNpYNeKFtG8_yji4HS352LGlSQ/edit?pli=1#gid=0"",""1_ACUM!A4:S""),13,FALSE))"),"")</f>
        <v/>
      </c>
      <c r="AD535" s="43" t="str">
        <f ca="1">IFERROR(__xludf.DUMMYFUNCTION("IFERROR(VLOOKUP(E558&amp;F558,IMPORTRANGE(""https://docs.google.com/spreadsheets/d/1Uw7-A9f9R21vMXxHZFNpYNeKFtG8_yji4HS352LGlSQ/edit?pli=1#gid=0"",""1_ACUM!A4:S""),13,FALSE))"),"")</f>
        <v/>
      </c>
      <c r="AE535" s="43" t="str">
        <f ca="1">IFERROR(__xludf.DUMMYFUNCTION("IFERROR(VLOOKUP(E558&amp;F558,IMPORTRANGE(""https://docs.google.com/spreadsheets/d/1Uw7-A9f9R21vMXxHZFNpYNeKFtG8_yji4HS352LGlSQ/edit?pli=1#gid=0"",""1_ACUM!A4:S""),14,FALSE))"),"")</f>
        <v/>
      </c>
      <c r="AF535" s="43" t="str">
        <f ca="1">IFERROR(__xludf.DUMMYFUNCTION("IFERROR(VLOOKUP(E558&amp;F558,IMPORTRANGE(""https://docs.google.com/spreadsheets/d/1Uw7-A9f9R21vMXxHZFNpYNeKFtG8_yji4HS352LGlSQ/edit?pli=1#gid=0"",""1_ACUM!A4:S""),15,FALSE))"),"")</f>
        <v/>
      </c>
      <c r="AG535" s="43" t="str">
        <f ca="1">IFERROR(__xludf.DUMMYFUNCTION("IFERROR(VLOOKUP(E558&amp;F558,IMPORTRANGE(""https://docs.google.com/spreadsheets/d/1Uw7-A9f9R21vMXxHZFNpYNeKFtG8_yji4HS352LGlSQ/edit?pli=1#gid=0"",""1_ACUM!A4:S""),16,FALSE))"),"")</f>
        <v/>
      </c>
      <c r="AH535" s="43" t="str">
        <f ca="1">IFERROR(__xludf.DUMMYFUNCTION("IFERROR(VLOOKUP(E558&amp;F558,IMPORTRANGE(""https://docs.google.com/spreadsheets/d/1Uw7-A9f9R21vMXxHZFNpYNeKFtG8_yji4HS352LGlSQ/edit?pli=1#gid=0"",""1_ACUM!A4:S""),17,FALSE))"),"")</f>
        <v/>
      </c>
      <c r="AI535" s="44" t="str">
        <f ca="1">IFERROR(__xludf.DUMMYFUNCTION("IFERROR(VLOOKUP(E558&amp;F558,IMPORTRANGE(""https://docs.google.com/spreadsheets/d/1Uw7-A9f9R21vMXxHZFNpYNeKFtG8_yji4HS352LGlSQ/edit?pli=1#gid=0"",""1_ACUM!A4:S""),18,FALSE))"),"")</f>
        <v/>
      </c>
      <c r="AJ535" s="44" t="str">
        <f ca="1">IFERROR(__xludf.DUMMYFUNCTION("IFERROR(VLOOKUP(E558&amp;F558,IMPORTRANGE(""https://docs.google.com/spreadsheets/d/1Uw7-A9f9R21vMXxHZFNpYNeKFtG8_yji4HS352LGlSQ/edit?pli=1#gid=0"",""1_ACUM!A4:S""),19,FALSE))"),"")</f>
        <v/>
      </c>
      <c r="AK535" s="98" t="str">
        <f ca="1">IFERROR(__xludf.DUMMYFUNCTION("IFERROR(VLOOKUP(F558,IMPORTRANGE(""https://docs.google.com/spreadsheets/d/1Kvs4KS76FHFqLFIZfrDMff4kP08nblUkihrxltoGBjg/edit#gid=934712705"",""ESENCIAL!A6:BG""),5,FALSE))"),"")</f>
        <v/>
      </c>
      <c r="AL535" s="98" t="str">
        <f t="shared" si="35"/>
        <v/>
      </c>
      <c r="AM535" s="99" t="str">
        <f t="shared" si="36"/>
        <v/>
      </c>
      <c r="AN535" s="100" t="str">
        <f ca="1">IFERROR(__xludf.DUMMYFUNCTION("IFERROR(VLOOKUP(F558,IMPORTRANGE(""https://docs.google.com/spreadsheets/d/1Kvs4KS76FHFqLFIZfrDMff4kP08nblUkihrxltoGBjg/edit#gid=934712705"",""ESENCIAL!A6:BG""),2,FALSE))"),"")</f>
        <v/>
      </c>
      <c r="AO535" s="19" t="str">
        <f t="shared" si="33"/>
        <v/>
      </c>
      <c r="AP535" s="100"/>
      <c r="AQ535" s="100"/>
    </row>
    <row r="536" spans="1:43" ht="15">
      <c r="A536" s="5"/>
      <c r="B536" s="5"/>
      <c r="G536" s="5" t="str">
        <f ca="1">IFERROR(__xludf.DUMMYFUNCTION("IFERROR(VLOOKUP(F559,IMPORTRANGE(""https://docs.google.com/spreadsheets/d/1Kvs4KS76FHFqLFIZfrDMff4kP08nblUkihrxltoGBjg/edit#gid=934712705"",""ESENCIAL!A6:BG""),3,FALSE))"),"")</f>
        <v/>
      </c>
      <c r="H536" s="5" t="str">
        <f ca="1">IFERROR(__xludf.DUMMYFUNCTION("IFERROR(VLOOKUP(F559,IMPORTRANGE(""https://docs.google.com/spreadsheets/d/1Kvs4KS76FHFqLFIZfrDMff4kP08nblUkihrxltoGBjg/edit#gid=934712705"",""ESENCIAL!A6:BG""),8,FALSE))"),"")</f>
        <v/>
      </c>
      <c r="L536" s="287"/>
      <c r="Z536" s="41" t="str">
        <f t="shared" si="34"/>
        <v/>
      </c>
      <c r="AA536" s="5" t="str">
        <f ca="1">IFERROR(__xludf.DUMMYFUNCTION("IFERROR(VLOOKUP(E559&amp;F559,IMPORTRANGE(""https://docs.google.com/spreadsheets/d/1Uw7-A9f9R21vMXxHZFNpYNeKFtG8_yji4HS352LGlSQ/edit?pli=1#gid=0"",""1_ACUM!A4:S""),11,FALSE))"),"")</f>
        <v/>
      </c>
      <c r="AB536" s="42" t="str">
        <f ca="1">IFERROR(__xludf.DUMMYFUNCTION("IFERROR(VLOOKUP(F559,IMPORTRANGE(""https://docs.google.com/spreadsheets/d/1Kvs4KS76FHFqLFIZfrDMff4kP08nblUkihrxltoGBjg/edit#gid=934712705"",""ESENCIAL!A6:BG""),15,FALSE))"),"")</f>
        <v/>
      </c>
      <c r="AC536" s="110" t="str">
        <f ca="1">IFERROR(__xludf.DUMMYFUNCTION("IFERROR(VLOOKUP(E559&amp;F559,IMPORTRANGE(""https://docs.google.com/spreadsheets/d/1Uw7-A9f9R21vMXxHZFNpYNeKFtG8_yji4HS352LGlSQ/edit?pli=1#gid=0"",""1_ACUM!A4:S""),13,FALSE))"),"")</f>
        <v/>
      </c>
      <c r="AD536" s="43" t="str">
        <f ca="1">IFERROR(__xludf.DUMMYFUNCTION("IFERROR(VLOOKUP(E559&amp;F559,IMPORTRANGE(""https://docs.google.com/spreadsheets/d/1Uw7-A9f9R21vMXxHZFNpYNeKFtG8_yji4HS352LGlSQ/edit?pli=1#gid=0"",""1_ACUM!A4:S""),13,FALSE))"),"")</f>
        <v/>
      </c>
      <c r="AE536" s="43" t="str">
        <f ca="1">IFERROR(__xludf.DUMMYFUNCTION("IFERROR(VLOOKUP(E559&amp;F559,IMPORTRANGE(""https://docs.google.com/spreadsheets/d/1Uw7-A9f9R21vMXxHZFNpYNeKFtG8_yji4HS352LGlSQ/edit?pli=1#gid=0"",""1_ACUM!A4:S""),14,FALSE))"),"")</f>
        <v/>
      </c>
      <c r="AF536" s="43" t="str">
        <f ca="1">IFERROR(__xludf.DUMMYFUNCTION("IFERROR(VLOOKUP(E559&amp;F559,IMPORTRANGE(""https://docs.google.com/spreadsheets/d/1Uw7-A9f9R21vMXxHZFNpYNeKFtG8_yji4HS352LGlSQ/edit?pli=1#gid=0"",""1_ACUM!A4:S""),15,FALSE))"),"")</f>
        <v/>
      </c>
      <c r="AG536" s="43" t="str">
        <f ca="1">IFERROR(__xludf.DUMMYFUNCTION("IFERROR(VLOOKUP(E559&amp;F559,IMPORTRANGE(""https://docs.google.com/spreadsheets/d/1Uw7-A9f9R21vMXxHZFNpYNeKFtG8_yji4HS352LGlSQ/edit?pli=1#gid=0"",""1_ACUM!A4:S""),16,FALSE))"),"")</f>
        <v/>
      </c>
      <c r="AH536" s="43" t="str">
        <f ca="1">IFERROR(__xludf.DUMMYFUNCTION("IFERROR(VLOOKUP(E559&amp;F559,IMPORTRANGE(""https://docs.google.com/spreadsheets/d/1Uw7-A9f9R21vMXxHZFNpYNeKFtG8_yji4HS352LGlSQ/edit?pli=1#gid=0"",""1_ACUM!A4:S""),17,FALSE))"),"")</f>
        <v/>
      </c>
      <c r="AI536" s="44" t="str">
        <f ca="1">IFERROR(__xludf.DUMMYFUNCTION("IFERROR(VLOOKUP(E559&amp;F559,IMPORTRANGE(""https://docs.google.com/spreadsheets/d/1Uw7-A9f9R21vMXxHZFNpYNeKFtG8_yji4HS352LGlSQ/edit?pli=1#gid=0"",""1_ACUM!A4:S""),18,FALSE))"),"")</f>
        <v/>
      </c>
      <c r="AJ536" s="44" t="str">
        <f ca="1">IFERROR(__xludf.DUMMYFUNCTION("IFERROR(VLOOKUP(E559&amp;F559,IMPORTRANGE(""https://docs.google.com/spreadsheets/d/1Uw7-A9f9R21vMXxHZFNpYNeKFtG8_yji4HS352LGlSQ/edit?pli=1#gid=0"",""1_ACUM!A4:S""),19,FALSE))"),"")</f>
        <v/>
      </c>
      <c r="AK536" s="98" t="str">
        <f ca="1">IFERROR(__xludf.DUMMYFUNCTION("IFERROR(VLOOKUP(F559,IMPORTRANGE(""https://docs.google.com/spreadsheets/d/1Kvs4KS76FHFqLFIZfrDMff4kP08nblUkihrxltoGBjg/edit#gid=934712705"",""ESENCIAL!A6:BG""),5,FALSE))"),"")</f>
        <v/>
      </c>
      <c r="AL536" s="98" t="str">
        <f t="shared" si="35"/>
        <v/>
      </c>
      <c r="AM536" s="99" t="str">
        <f t="shared" si="36"/>
        <v/>
      </c>
      <c r="AN536" s="100" t="str">
        <f ca="1">IFERROR(__xludf.DUMMYFUNCTION("IFERROR(VLOOKUP(F559,IMPORTRANGE(""https://docs.google.com/spreadsheets/d/1Kvs4KS76FHFqLFIZfrDMff4kP08nblUkihrxltoGBjg/edit#gid=934712705"",""ESENCIAL!A6:BG""),2,FALSE))"),"")</f>
        <v/>
      </c>
      <c r="AO536" s="19" t="str">
        <f t="shared" si="33"/>
        <v/>
      </c>
      <c r="AP536" s="100"/>
      <c r="AQ536" s="100"/>
    </row>
    <row r="537" spans="1:43" ht="15">
      <c r="A537" s="5"/>
      <c r="B537" s="5"/>
      <c r="G537" s="5" t="str">
        <f ca="1">IFERROR(__xludf.DUMMYFUNCTION("IFERROR(VLOOKUP(F560,IMPORTRANGE(""https://docs.google.com/spreadsheets/d/1Kvs4KS76FHFqLFIZfrDMff4kP08nblUkihrxltoGBjg/edit#gid=934712705"",""ESENCIAL!A6:BG""),3,FALSE))"),"")</f>
        <v/>
      </c>
      <c r="H537" s="5" t="str">
        <f ca="1">IFERROR(__xludf.DUMMYFUNCTION("IFERROR(VLOOKUP(F560,IMPORTRANGE(""https://docs.google.com/spreadsheets/d/1Kvs4KS76FHFqLFIZfrDMff4kP08nblUkihrxltoGBjg/edit#gid=934712705"",""ESENCIAL!A6:BG""),8,FALSE))"),"")</f>
        <v/>
      </c>
      <c r="L537" s="287"/>
      <c r="Z537" s="41" t="str">
        <f t="shared" si="34"/>
        <v/>
      </c>
      <c r="AA537" s="5" t="str">
        <f ca="1">IFERROR(__xludf.DUMMYFUNCTION("IFERROR(VLOOKUP(E560&amp;F560,IMPORTRANGE(""https://docs.google.com/spreadsheets/d/1Uw7-A9f9R21vMXxHZFNpYNeKFtG8_yji4HS352LGlSQ/edit?pli=1#gid=0"",""1_ACUM!A4:S""),11,FALSE))"),"")</f>
        <v/>
      </c>
      <c r="AB537" s="42" t="str">
        <f ca="1">IFERROR(__xludf.DUMMYFUNCTION("IFERROR(VLOOKUP(F560,IMPORTRANGE(""https://docs.google.com/spreadsheets/d/1Kvs4KS76FHFqLFIZfrDMff4kP08nblUkihrxltoGBjg/edit#gid=934712705"",""ESENCIAL!A6:BG""),15,FALSE))"),"")</f>
        <v/>
      </c>
      <c r="AC537" s="110" t="str">
        <f ca="1">IFERROR(__xludf.DUMMYFUNCTION("IFERROR(VLOOKUP(E560&amp;F560,IMPORTRANGE(""https://docs.google.com/spreadsheets/d/1Uw7-A9f9R21vMXxHZFNpYNeKFtG8_yji4HS352LGlSQ/edit?pli=1#gid=0"",""1_ACUM!A4:S""),13,FALSE))"),"")</f>
        <v/>
      </c>
      <c r="AD537" s="43" t="str">
        <f ca="1">IFERROR(__xludf.DUMMYFUNCTION("IFERROR(VLOOKUP(E560&amp;F560,IMPORTRANGE(""https://docs.google.com/spreadsheets/d/1Uw7-A9f9R21vMXxHZFNpYNeKFtG8_yji4HS352LGlSQ/edit?pli=1#gid=0"",""1_ACUM!A4:S""),13,FALSE))"),"")</f>
        <v/>
      </c>
      <c r="AE537" s="43" t="str">
        <f ca="1">IFERROR(__xludf.DUMMYFUNCTION("IFERROR(VLOOKUP(E560&amp;F560,IMPORTRANGE(""https://docs.google.com/spreadsheets/d/1Uw7-A9f9R21vMXxHZFNpYNeKFtG8_yji4HS352LGlSQ/edit?pli=1#gid=0"",""1_ACUM!A4:S""),14,FALSE))"),"")</f>
        <v/>
      </c>
      <c r="AF537" s="43" t="str">
        <f ca="1">IFERROR(__xludf.DUMMYFUNCTION("IFERROR(VLOOKUP(E560&amp;F560,IMPORTRANGE(""https://docs.google.com/spreadsheets/d/1Uw7-A9f9R21vMXxHZFNpYNeKFtG8_yji4HS352LGlSQ/edit?pli=1#gid=0"",""1_ACUM!A4:S""),15,FALSE))"),"")</f>
        <v/>
      </c>
      <c r="AG537" s="43" t="str">
        <f ca="1">IFERROR(__xludf.DUMMYFUNCTION("IFERROR(VLOOKUP(E560&amp;F560,IMPORTRANGE(""https://docs.google.com/spreadsheets/d/1Uw7-A9f9R21vMXxHZFNpYNeKFtG8_yji4HS352LGlSQ/edit?pli=1#gid=0"",""1_ACUM!A4:S""),16,FALSE))"),"")</f>
        <v/>
      </c>
      <c r="AH537" s="43" t="str">
        <f ca="1">IFERROR(__xludf.DUMMYFUNCTION("IFERROR(VLOOKUP(E560&amp;F560,IMPORTRANGE(""https://docs.google.com/spreadsheets/d/1Uw7-A9f9R21vMXxHZFNpYNeKFtG8_yji4HS352LGlSQ/edit?pli=1#gid=0"",""1_ACUM!A4:S""),17,FALSE))"),"")</f>
        <v/>
      </c>
      <c r="AI537" s="44" t="str">
        <f ca="1">IFERROR(__xludf.DUMMYFUNCTION("IFERROR(VLOOKUP(E560&amp;F560,IMPORTRANGE(""https://docs.google.com/spreadsheets/d/1Uw7-A9f9R21vMXxHZFNpYNeKFtG8_yji4HS352LGlSQ/edit?pli=1#gid=0"",""1_ACUM!A4:S""),18,FALSE))"),"")</f>
        <v/>
      </c>
      <c r="AJ537" s="44" t="str">
        <f ca="1">IFERROR(__xludf.DUMMYFUNCTION("IFERROR(VLOOKUP(E560&amp;F560,IMPORTRANGE(""https://docs.google.com/spreadsheets/d/1Uw7-A9f9R21vMXxHZFNpYNeKFtG8_yji4HS352LGlSQ/edit?pli=1#gid=0"",""1_ACUM!A4:S""),19,FALSE))"),"")</f>
        <v/>
      </c>
      <c r="AK537" s="98" t="str">
        <f ca="1">IFERROR(__xludf.DUMMYFUNCTION("IFERROR(VLOOKUP(F560,IMPORTRANGE(""https://docs.google.com/spreadsheets/d/1Kvs4KS76FHFqLFIZfrDMff4kP08nblUkihrxltoGBjg/edit#gid=934712705"",""ESENCIAL!A6:BG""),5,FALSE))"),"")</f>
        <v/>
      </c>
      <c r="AL537" s="98" t="str">
        <f t="shared" si="35"/>
        <v/>
      </c>
      <c r="AM537" s="99" t="str">
        <f t="shared" si="36"/>
        <v/>
      </c>
      <c r="AN537" s="100" t="str">
        <f ca="1">IFERROR(__xludf.DUMMYFUNCTION("IFERROR(VLOOKUP(F560,IMPORTRANGE(""https://docs.google.com/spreadsheets/d/1Kvs4KS76FHFqLFIZfrDMff4kP08nblUkihrxltoGBjg/edit#gid=934712705"",""ESENCIAL!A6:BG""),2,FALSE))"),"")</f>
        <v/>
      </c>
      <c r="AO537" s="19" t="str">
        <f t="shared" si="33"/>
        <v/>
      </c>
      <c r="AP537" s="100"/>
      <c r="AQ537" s="100"/>
    </row>
    <row r="538" spans="1:43" ht="15">
      <c r="A538" s="5"/>
      <c r="B538" s="5"/>
      <c r="G538" s="5" t="str">
        <f ca="1">IFERROR(__xludf.DUMMYFUNCTION("IFERROR(VLOOKUP(F561,IMPORTRANGE(""https://docs.google.com/spreadsheets/d/1Kvs4KS76FHFqLFIZfrDMff4kP08nblUkihrxltoGBjg/edit#gid=934712705"",""ESENCIAL!A6:BG""),3,FALSE))"),"")</f>
        <v/>
      </c>
      <c r="H538" s="5" t="str">
        <f ca="1">IFERROR(__xludf.DUMMYFUNCTION("IFERROR(VLOOKUP(F561,IMPORTRANGE(""https://docs.google.com/spreadsheets/d/1Kvs4KS76FHFqLFIZfrDMff4kP08nblUkihrxltoGBjg/edit#gid=934712705"",""ESENCIAL!A6:BG""),8,FALSE))"),"")</f>
        <v/>
      </c>
      <c r="L538" s="287"/>
      <c r="Z538" s="41" t="str">
        <f t="shared" si="34"/>
        <v/>
      </c>
      <c r="AA538" s="5" t="str">
        <f ca="1">IFERROR(__xludf.DUMMYFUNCTION("IFERROR(VLOOKUP(E561&amp;F561,IMPORTRANGE(""https://docs.google.com/spreadsheets/d/1Uw7-A9f9R21vMXxHZFNpYNeKFtG8_yji4HS352LGlSQ/edit?pli=1#gid=0"",""1_ACUM!A4:S""),11,FALSE))"),"")</f>
        <v/>
      </c>
      <c r="AB538" s="42" t="str">
        <f ca="1">IFERROR(__xludf.DUMMYFUNCTION("IFERROR(VLOOKUP(F561,IMPORTRANGE(""https://docs.google.com/spreadsheets/d/1Kvs4KS76FHFqLFIZfrDMff4kP08nblUkihrxltoGBjg/edit#gid=934712705"",""ESENCIAL!A6:BG""),15,FALSE))"),"")</f>
        <v/>
      </c>
      <c r="AC538" s="110" t="str">
        <f ca="1">IFERROR(__xludf.DUMMYFUNCTION("IFERROR(VLOOKUP(E561&amp;F561,IMPORTRANGE(""https://docs.google.com/spreadsheets/d/1Uw7-A9f9R21vMXxHZFNpYNeKFtG8_yji4HS352LGlSQ/edit?pli=1#gid=0"",""1_ACUM!A4:S""),13,FALSE))"),"")</f>
        <v/>
      </c>
      <c r="AD538" s="43" t="str">
        <f ca="1">IFERROR(__xludf.DUMMYFUNCTION("IFERROR(VLOOKUP(E561&amp;F561,IMPORTRANGE(""https://docs.google.com/spreadsheets/d/1Uw7-A9f9R21vMXxHZFNpYNeKFtG8_yji4HS352LGlSQ/edit?pli=1#gid=0"",""1_ACUM!A4:S""),13,FALSE))"),"")</f>
        <v/>
      </c>
      <c r="AE538" s="43" t="str">
        <f ca="1">IFERROR(__xludf.DUMMYFUNCTION("IFERROR(VLOOKUP(E561&amp;F561,IMPORTRANGE(""https://docs.google.com/spreadsheets/d/1Uw7-A9f9R21vMXxHZFNpYNeKFtG8_yji4HS352LGlSQ/edit?pli=1#gid=0"",""1_ACUM!A4:S""),14,FALSE))"),"")</f>
        <v/>
      </c>
      <c r="AF538" s="43" t="str">
        <f ca="1">IFERROR(__xludf.DUMMYFUNCTION("IFERROR(VLOOKUP(E561&amp;F561,IMPORTRANGE(""https://docs.google.com/spreadsheets/d/1Uw7-A9f9R21vMXxHZFNpYNeKFtG8_yji4HS352LGlSQ/edit?pli=1#gid=0"",""1_ACUM!A4:S""),15,FALSE))"),"")</f>
        <v/>
      </c>
      <c r="AG538" s="43" t="str">
        <f ca="1">IFERROR(__xludf.DUMMYFUNCTION("IFERROR(VLOOKUP(E561&amp;F561,IMPORTRANGE(""https://docs.google.com/spreadsheets/d/1Uw7-A9f9R21vMXxHZFNpYNeKFtG8_yji4HS352LGlSQ/edit?pli=1#gid=0"",""1_ACUM!A4:S""),16,FALSE))"),"")</f>
        <v/>
      </c>
      <c r="AH538" s="43" t="str">
        <f ca="1">IFERROR(__xludf.DUMMYFUNCTION("IFERROR(VLOOKUP(E561&amp;F561,IMPORTRANGE(""https://docs.google.com/spreadsheets/d/1Uw7-A9f9R21vMXxHZFNpYNeKFtG8_yji4HS352LGlSQ/edit?pli=1#gid=0"",""1_ACUM!A4:S""),17,FALSE))"),"")</f>
        <v/>
      </c>
      <c r="AI538" s="44" t="str">
        <f ca="1">IFERROR(__xludf.DUMMYFUNCTION("IFERROR(VLOOKUP(E561&amp;F561,IMPORTRANGE(""https://docs.google.com/spreadsheets/d/1Uw7-A9f9R21vMXxHZFNpYNeKFtG8_yji4HS352LGlSQ/edit?pli=1#gid=0"",""1_ACUM!A4:S""),18,FALSE))"),"")</f>
        <v/>
      </c>
      <c r="AJ538" s="44" t="str">
        <f ca="1">IFERROR(__xludf.DUMMYFUNCTION("IFERROR(VLOOKUP(E561&amp;F561,IMPORTRANGE(""https://docs.google.com/spreadsheets/d/1Uw7-A9f9R21vMXxHZFNpYNeKFtG8_yji4HS352LGlSQ/edit?pli=1#gid=0"",""1_ACUM!A4:S""),19,FALSE))"),"")</f>
        <v/>
      </c>
      <c r="AK538" s="98" t="str">
        <f ca="1">IFERROR(__xludf.DUMMYFUNCTION("IFERROR(VLOOKUP(F561,IMPORTRANGE(""https://docs.google.com/spreadsheets/d/1Kvs4KS76FHFqLFIZfrDMff4kP08nblUkihrxltoGBjg/edit#gid=934712705"",""ESENCIAL!A6:BG""),5,FALSE))"),"")</f>
        <v/>
      </c>
      <c r="AL538" s="98" t="str">
        <f t="shared" si="35"/>
        <v/>
      </c>
      <c r="AM538" s="99" t="str">
        <f t="shared" si="36"/>
        <v/>
      </c>
      <c r="AN538" s="100" t="str">
        <f ca="1">IFERROR(__xludf.DUMMYFUNCTION("IFERROR(VLOOKUP(F561,IMPORTRANGE(""https://docs.google.com/spreadsheets/d/1Kvs4KS76FHFqLFIZfrDMff4kP08nblUkihrxltoGBjg/edit#gid=934712705"",""ESENCIAL!A6:BG""),2,FALSE))"),"")</f>
        <v/>
      </c>
      <c r="AO538" s="19" t="str">
        <f t="shared" si="33"/>
        <v/>
      </c>
      <c r="AP538" s="100"/>
      <c r="AQ538" s="100"/>
    </row>
    <row r="539" spans="1:43" ht="15">
      <c r="A539" s="5"/>
      <c r="B539" s="5"/>
      <c r="G539" s="5" t="str">
        <f ca="1">IFERROR(__xludf.DUMMYFUNCTION("IFERROR(VLOOKUP(F562,IMPORTRANGE(""https://docs.google.com/spreadsheets/d/1Kvs4KS76FHFqLFIZfrDMff4kP08nblUkihrxltoGBjg/edit#gid=934712705"",""ESENCIAL!A6:BG""),3,FALSE))"),"")</f>
        <v/>
      </c>
      <c r="H539" s="5" t="str">
        <f ca="1">IFERROR(__xludf.DUMMYFUNCTION("IFERROR(VLOOKUP(F562,IMPORTRANGE(""https://docs.google.com/spreadsheets/d/1Kvs4KS76FHFqLFIZfrDMff4kP08nblUkihrxltoGBjg/edit#gid=934712705"",""ESENCIAL!A6:BG""),8,FALSE))"),"")</f>
        <v/>
      </c>
      <c r="L539" s="287"/>
      <c r="Z539" s="41" t="str">
        <f t="shared" si="34"/>
        <v/>
      </c>
      <c r="AA539" s="5" t="str">
        <f ca="1">IFERROR(__xludf.DUMMYFUNCTION("IFERROR(VLOOKUP(E562&amp;F562,IMPORTRANGE(""https://docs.google.com/spreadsheets/d/1Uw7-A9f9R21vMXxHZFNpYNeKFtG8_yji4HS352LGlSQ/edit?pli=1#gid=0"",""1_ACUM!A4:S""),11,FALSE))"),"")</f>
        <v/>
      </c>
      <c r="AB539" s="42" t="str">
        <f ca="1">IFERROR(__xludf.DUMMYFUNCTION("IFERROR(VLOOKUP(F562,IMPORTRANGE(""https://docs.google.com/spreadsheets/d/1Kvs4KS76FHFqLFIZfrDMff4kP08nblUkihrxltoGBjg/edit#gid=934712705"",""ESENCIAL!A6:BG""),15,FALSE))"),"")</f>
        <v/>
      </c>
      <c r="AC539" s="110" t="str">
        <f ca="1">IFERROR(__xludf.DUMMYFUNCTION("IFERROR(VLOOKUP(E562&amp;F562,IMPORTRANGE(""https://docs.google.com/spreadsheets/d/1Uw7-A9f9R21vMXxHZFNpYNeKFtG8_yji4HS352LGlSQ/edit?pli=1#gid=0"",""1_ACUM!A4:S""),13,FALSE))"),"")</f>
        <v/>
      </c>
      <c r="AD539" s="43" t="str">
        <f ca="1">IFERROR(__xludf.DUMMYFUNCTION("IFERROR(VLOOKUP(E562&amp;F562,IMPORTRANGE(""https://docs.google.com/spreadsheets/d/1Uw7-A9f9R21vMXxHZFNpYNeKFtG8_yji4HS352LGlSQ/edit?pli=1#gid=0"",""1_ACUM!A4:S""),13,FALSE))"),"")</f>
        <v/>
      </c>
      <c r="AE539" s="43" t="str">
        <f ca="1">IFERROR(__xludf.DUMMYFUNCTION("IFERROR(VLOOKUP(E562&amp;F562,IMPORTRANGE(""https://docs.google.com/spreadsheets/d/1Uw7-A9f9R21vMXxHZFNpYNeKFtG8_yji4HS352LGlSQ/edit?pli=1#gid=0"",""1_ACUM!A4:S""),14,FALSE))"),"")</f>
        <v/>
      </c>
      <c r="AF539" s="43" t="str">
        <f ca="1">IFERROR(__xludf.DUMMYFUNCTION("IFERROR(VLOOKUP(E562&amp;F562,IMPORTRANGE(""https://docs.google.com/spreadsheets/d/1Uw7-A9f9R21vMXxHZFNpYNeKFtG8_yji4HS352LGlSQ/edit?pli=1#gid=0"",""1_ACUM!A4:S""),15,FALSE))"),"")</f>
        <v/>
      </c>
      <c r="AG539" s="43" t="str">
        <f ca="1">IFERROR(__xludf.DUMMYFUNCTION("IFERROR(VLOOKUP(E562&amp;F562,IMPORTRANGE(""https://docs.google.com/spreadsheets/d/1Uw7-A9f9R21vMXxHZFNpYNeKFtG8_yji4HS352LGlSQ/edit?pli=1#gid=0"",""1_ACUM!A4:S""),16,FALSE))"),"")</f>
        <v/>
      </c>
      <c r="AH539" s="43" t="str">
        <f ca="1">IFERROR(__xludf.DUMMYFUNCTION("IFERROR(VLOOKUP(E562&amp;F562,IMPORTRANGE(""https://docs.google.com/spreadsheets/d/1Uw7-A9f9R21vMXxHZFNpYNeKFtG8_yji4HS352LGlSQ/edit?pli=1#gid=0"",""1_ACUM!A4:S""),17,FALSE))"),"")</f>
        <v/>
      </c>
      <c r="AI539" s="44" t="str">
        <f ca="1">IFERROR(__xludf.DUMMYFUNCTION("IFERROR(VLOOKUP(E562&amp;F562,IMPORTRANGE(""https://docs.google.com/spreadsheets/d/1Uw7-A9f9R21vMXxHZFNpYNeKFtG8_yji4HS352LGlSQ/edit?pli=1#gid=0"",""1_ACUM!A4:S""),18,FALSE))"),"")</f>
        <v/>
      </c>
      <c r="AJ539" s="44" t="str">
        <f ca="1">IFERROR(__xludf.DUMMYFUNCTION("IFERROR(VLOOKUP(E562&amp;F562,IMPORTRANGE(""https://docs.google.com/spreadsheets/d/1Uw7-A9f9R21vMXxHZFNpYNeKFtG8_yji4HS352LGlSQ/edit?pli=1#gid=0"",""1_ACUM!A4:S""),19,FALSE))"),"")</f>
        <v/>
      </c>
      <c r="AK539" s="98" t="str">
        <f ca="1">IFERROR(__xludf.DUMMYFUNCTION("IFERROR(VLOOKUP(F562,IMPORTRANGE(""https://docs.google.com/spreadsheets/d/1Kvs4KS76FHFqLFIZfrDMff4kP08nblUkihrxltoGBjg/edit#gid=934712705"",""ESENCIAL!A6:BG""),5,FALSE))"),"")</f>
        <v/>
      </c>
      <c r="AL539" s="98" t="str">
        <f t="shared" si="35"/>
        <v/>
      </c>
      <c r="AM539" s="99" t="str">
        <f t="shared" si="36"/>
        <v/>
      </c>
      <c r="AN539" s="100" t="str">
        <f ca="1">IFERROR(__xludf.DUMMYFUNCTION("IFERROR(VLOOKUP(F562,IMPORTRANGE(""https://docs.google.com/spreadsheets/d/1Kvs4KS76FHFqLFIZfrDMff4kP08nblUkihrxltoGBjg/edit#gid=934712705"",""ESENCIAL!A6:BG""),2,FALSE))"),"")</f>
        <v/>
      </c>
      <c r="AO539" s="19" t="str">
        <f t="shared" si="33"/>
        <v/>
      </c>
      <c r="AP539" s="100"/>
      <c r="AQ539" s="100"/>
    </row>
    <row r="540" spans="1:43" ht="15">
      <c r="A540" s="5"/>
      <c r="B540" s="5"/>
      <c r="G540" s="5" t="str">
        <f ca="1">IFERROR(__xludf.DUMMYFUNCTION("IFERROR(VLOOKUP(F563,IMPORTRANGE(""https://docs.google.com/spreadsheets/d/1Kvs4KS76FHFqLFIZfrDMff4kP08nblUkihrxltoGBjg/edit#gid=934712705"",""ESENCIAL!A6:BG""),3,FALSE))"),"")</f>
        <v/>
      </c>
      <c r="H540" s="5" t="str">
        <f ca="1">IFERROR(__xludf.DUMMYFUNCTION("IFERROR(VLOOKUP(F563,IMPORTRANGE(""https://docs.google.com/spreadsheets/d/1Kvs4KS76FHFqLFIZfrDMff4kP08nblUkihrxltoGBjg/edit#gid=934712705"",""ESENCIAL!A6:BG""),8,FALSE))"),"")</f>
        <v/>
      </c>
      <c r="L540" s="287"/>
      <c r="Z540" s="41" t="str">
        <f t="shared" si="34"/>
        <v/>
      </c>
      <c r="AA540" s="5" t="str">
        <f ca="1">IFERROR(__xludf.DUMMYFUNCTION("IFERROR(VLOOKUP(E563&amp;F563,IMPORTRANGE(""https://docs.google.com/spreadsheets/d/1Uw7-A9f9R21vMXxHZFNpYNeKFtG8_yji4HS352LGlSQ/edit?pli=1#gid=0"",""1_ACUM!A4:S""),11,FALSE))"),"")</f>
        <v/>
      </c>
      <c r="AB540" s="42" t="str">
        <f ca="1">IFERROR(__xludf.DUMMYFUNCTION("IFERROR(VLOOKUP(F563,IMPORTRANGE(""https://docs.google.com/spreadsheets/d/1Kvs4KS76FHFqLFIZfrDMff4kP08nblUkihrxltoGBjg/edit#gid=934712705"",""ESENCIAL!A6:BG""),15,FALSE))"),"")</f>
        <v/>
      </c>
      <c r="AC540" s="110" t="str">
        <f ca="1">IFERROR(__xludf.DUMMYFUNCTION("IFERROR(VLOOKUP(E563&amp;F563,IMPORTRANGE(""https://docs.google.com/spreadsheets/d/1Uw7-A9f9R21vMXxHZFNpYNeKFtG8_yji4HS352LGlSQ/edit?pli=1#gid=0"",""1_ACUM!A4:S""),13,FALSE))"),"")</f>
        <v/>
      </c>
      <c r="AD540" s="43" t="str">
        <f ca="1">IFERROR(__xludf.DUMMYFUNCTION("IFERROR(VLOOKUP(E563&amp;F563,IMPORTRANGE(""https://docs.google.com/spreadsheets/d/1Uw7-A9f9R21vMXxHZFNpYNeKFtG8_yji4HS352LGlSQ/edit?pli=1#gid=0"",""1_ACUM!A4:S""),13,FALSE))"),"")</f>
        <v/>
      </c>
      <c r="AE540" s="43" t="str">
        <f ca="1">IFERROR(__xludf.DUMMYFUNCTION("IFERROR(VLOOKUP(E563&amp;F563,IMPORTRANGE(""https://docs.google.com/spreadsheets/d/1Uw7-A9f9R21vMXxHZFNpYNeKFtG8_yji4HS352LGlSQ/edit?pli=1#gid=0"",""1_ACUM!A4:S""),14,FALSE))"),"")</f>
        <v/>
      </c>
      <c r="AF540" s="43" t="str">
        <f ca="1">IFERROR(__xludf.DUMMYFUNCTION("IFERROR(VLOOKUP(E563&amp;F563,IMPORTRANGE(""https://docs.google.com/spreadsheets/d/1Uw7-A9f9R21vMXxHZFNpYNeKFtG8_yji4HS352LGlSQ/edit?pli=1#gid=0"",""1_ACUM!A4:S""),15,FALSE))"),"")</f>
        <v/>
      </c>
      <c r="AG540" s="43" t="str">
        <f ca="1">IFERROR(__xludf.DUMMYFUNCTION("IFERROR(VLOOKUP(E563&amp;F563,IMPORTRANGE(""https://docs.google.com/spreadsheets/d/1Uw7-A9f9R21vMXxHZFNpYNeKFtG8_yji4HS352LGlSQ/edit?pli=1#gid=0"",""1_ACUM!A4:S""),16,FALSE))"),"")</f>
        <v/>
      </c>
      <c r="AH540" s="43" t="str">
        <f ca="1">IFERROR(__xludf.DUMMYFUNCTION("IFERROR(VLOOKUP(E563&amp;F563,IMPORTRANGE(""https://docs.google.com/spreadsheets/d/1Uw7-A9f9R21vMXxHZFNpYNeKFtG8_yji4HS352LGlSQ/edit?pli=1#gid=0"",""1_ACUM!A4:S""),17,FALSE))"),"")</f>
        <v/>
      </c>
      <c r="AI540" s="44" t="str">
        <f ca="1">IFERROR(__xludf.DUMMYFUNCTION("IFERROR(VLOOKUP(E563&amp;F563,IMPORTRANGE(""https://docs.google.com/spreadsheets/d/1Uw7-A9f9R21vMXxHZFNpYNeKFtG8_yji4HS352LGlSQ/edit?pli=1#gid=0"",""1_ACUM!A4:S""),18,FALSE))"),"")</f>
        <v/>
      </c>
      <c r="AJ540" s="44" t="str">
        <f ca="1">IFERROR(__xludf.DUMMYFUNCTION("IFERROR(VLOOKUP(E563&amp;F563,IMPORTRANGE(""https://docs.google.com/spreadsheets/d/1Uw7-A9f9R21vMXxHZFNpYNeKFtG8_yji4HS352LGlSQ/edit?pli=1#gid=0"",""1_ACUM!A4:S""),19,FALSE))"),"")</f>
        <v/>
      </c>
      <c r="AK540" s="98" t="str">
        <f ca="1">IFERROR(__xludf.DUMMYFUNCTION("IFERROR(VLOOKUP(F563,IMPORTRANGE(""https://docs.google.com/spreadsheets/d/1Kvs4KS76FHFqLFIZfrDMff4kP08nblUkihrxltoGBjg/edit#gid=934712705"",""ESENCIAL!A6:BG""),5,FALSE))"),"")</f>
        <v/>
      </c>
      <c r="AL540" s="98" t="str">
        <f t="shared" si="35"/>
        <v/>
      </c>
      <c r="AM540" s="99" t="str">
        <f t="shared" si="36"/>
        <v/>
      </c>
      <c r="AN540" s="100" t="str">
        <f ca="1">IFERROR(__xludf.DUMMYFUNCTION("IFERROR(VLOOKUP(F563,IMPORTRANGE(""https://docs.google.com/spreadsheets/d/1Kvs4KS76FHFqLFIZfrDMff4kP08nblUkihrxltoGBjg/edit#gid=934712705"",""ESENCIAL!A6:BG""),2,FALSE))"),"")</f>
        <v/>
      </c>
      <c r="AO540" s="19" t="str">
        <f t="shared" si="33"/>
        <v/>
      </c>
      <c r="AP540" s="100"/>
      <c r="AQ540" s="100"/>
    </row>
    <row r="541" spans="1:43" ht="15">
      <c r="A541" s="5"/>
      <c r="B541" s="5"/>
      <c r="G541" s="5" t="str">
        <f ca="1">IFERROR(__xludf.DUMMYFUNCTION("IFERROR(VLOOKUP(F564,IMPORTRANGE(""https://docs.google.com/spreadsheets/d/1Kvs4KS76FHFqLFIZfrDMff4kP08nblUkihrxltoGBjg/edit#gid=934712705"",""ESENCIAL!A6:BG""),3,FALSE))"),"")</f>
        <v/>
      </c>
      <c r="H541" s="5" t="str">
        <f ca="1">IFERROR(__xludf.DUMMYFUNCTION("IFERROR(VLOOKUP(F564,IMPORTRANGE(""https://docs.google.com/spreadsheets/d/1Kvs4KS76FHFqLFIZfrDMff4kP08nblUkihrxltoGBjg/edit#gid=934712705"",""ESENCIAL!A6:BG""),8,FALSE))"),"")</f>
        <v/>
      </c>
      <c r="L541" s="287"/>
      <c r="Z541" s="41" t="str">
        <f t="shared" si="34"/>
        <v/>
      </c>
      <c r="AA541" s="5" t="str">
        <f ca="1">IFERROR(__xludf.DUMMYFUNCTION("IFERROR(VLOOKUP(E564&amp;F564,IMPORTRANGE(""https://docs.google.com/spreadsheets/d/1Uw7-A9f9R21vMXxHZFNpYNeKFtG8_yji4HS352LGlSQ/edit?pli=1#gid=0"",""1_ACUM!A4:S""),11,FALSE))"),"")</f>
        <v/>
      </c>
      <c r="AB541" s="42" t="str">
        <f ca="1">IFERROR(__xludf.DUMMYFUNCTION("IFERROR(VLOOKUP(F564,IMPORTRANGE(""https://docs.google.com/spreadsheets/d/1Kvs4KS76FHFqLFIZfrDMff4kP08nblUkihrxltoGBjg/edit#gid=934712705"",""ESENCIAL!A6:BG""),15,FALSE))"),"")</f>
        <v/>
      </c>
      <c r="AC541" s="110" t="str">
        <f ca="1">IFERROR(__xludf.DUMMYFUNCTION("IFERROR(VLOOKUP(E564&amp;F564,IMPORTRANGE(""https://docs.google.com/spreadsheets/d/1Uw7-A9f9R21vMXxHZFNpYNeKFtG8_yji4HS352LGlSQ/edit?pli=1#gid=0"",""1_ACUM!A4:S""),13,FALSE))"),"")</f>
        <v/>
      </c>
      <c r="AD541" s="43" t="str">
        <f ca="1">IFERROR(__xludf.DUMMYFUNCTION("IFERROR(VLOOKUP(E564&amp;F564,IMPORTRANGE(""https://docs.google.com/spreadsheets/d/1Uw7-A9f9R21vMXxHZFNpYNeKFtG8_yji4HS352LGlSQ/edit?pli=1#gid=0"",""1_ACUM!A4:S""),13,FALSE))"),"")</f>
        <v/>
      </c>
      <c r="AE541" s="43" t="str">
        <f ca="1">IFERROR(__xludf.DUMMYFUNCTION("IFERROR(VLOOKUP(E564&amp;F564,IMPORTRANGE(""https://docs.google.com/spreadsheets/d/1Uw7-A9f9R21vMXxHZFNpYNeKFtG8_yji4HS352LGlSQ/edit?pli=1#gid=0"",""1_ACUM!A4:S""),14,FALSE))"),"")</f>
        <v/>
      </c>
      <c r="AF541" s="43" t="str">
        <f ca="1">IFERROR(__xludf.DUMMYFUNCTION("IFERROR(VLOOKUP(E564&amp;F564,IMPORTRANGE(""https://docs.google.com/spreadsheets/d/1Uw7-A9f9R21vMXxHZFNpYNeKFtG8_yji4HS352LGlSQ/edit?pli=1#gid=0"",""1_ACUM!A4:S""),15,FALSE))"),"")</f>
        <v/>
      </c>
      <c r="AG541" s="43" t="str">
        <f ca="1">IFERROR(__xludf.DUMMYFUNCTION("IFERROR(VLOOKUP(E564&amp;F564,IMPORTRANGE(""https://docs.google.com/spreadsheets/d/1Uw7-A9f9R21vMXxHZFNpYNeKFtG8_yji4HS352LGlSQ/edit?pli=1#gid=0"",""1_ACUM!A4:S""),16,FALSE))"),"")</f>
        <v/>
      </c>
      <c r="AH541" s="43" t="str">
        <f ca="1">IFERROR(__xludf.DUMMYFUNCTION("IFERROR(VLOOKUP(E564&amp;F564,IMPORTRANGE(""https://docs.google.com/spreadsheets/d/1Uw7-A9f9R21vMXxHZFNpYNeKFtG8_yji4HS352LGlSQ/edit?pli=1#gid=0"",""1_ACUM!A4:S""),17,FALSE))"),"")</f>
        <v/>
      </c>
      <c r="AI541" s="44" t="str">
        <f ca="1">IFERROR(__xludf.DUMMYFUNCTION("IFERROR(VLOOKUP(E564&amp;F564,IMPORTRANGE(""https://docs.google.com/spreadsheets/d/1Uw7-A9f9R21vMXxHZFNpYNeKFtG8_yji4HS352LGlSQ/edit?pli=1#gid=0"",""1_ACUM!A4:S""),18,FALSE))"),"")</f>
        <v/>
      </c>
      <c r="AJ541" s="44" t="str">
        <f ca="1">IFERROR(__xludf.DUMMYFUNCTION("IFERROR(VLOOKUP(E564&amp;F564,IMPORTRANGE(""https://docs.google.com/spreadsheets/d/1Uw7-A9f9R21vMXxHZFNpYNeKFtG8_yji4HS352LGlSQ/edit?pli=1#gid=0"",""1_ACUM!A4:S""),19,FALSE))"),"")</f>
        <v/>
      </c>
      <c r="AK541" s="98" t="str">
        <f ca="1">IFERROR(__xludf.DUMMYFUNCTION("IFERROR(VLOOKUP(F564,IMPORTRANGE(""https://docs.google.com/spreadsheets/d/1Kvs4KS76FHFqLFIZfrDMff4kP08nblUkihrxltoGBjg/edit#gid=934712705"",""ESENCIAL!A6:BG""),5,FALSE))"),"")</f>
        <v/>
      </c>
      <c r="AL541" s="98" t="str">
        <f t="shared" si="35"/>
        <v/>
      </c>
      <c r="AM541" s="99" t="str">
        <f t="shared" si="36"/>
        <v/>
      </c>
      <c r="AN541" s="100" t="str">
        <f ca="1">IFERROR(__xludf.DUMMYFUNCTION("IFERROR(VLOOKUP(F564,IMPORTRANGE(""https://docs.google.com/spreadsheets/d/1Kvs4KS76FHFqLFIZfrDMff4kP08nblUkihrxltoGBjg/edit#gid=934712705"",""ESENCIAL!A6:BG""),2,FALSE))"),"")</f>
        <v/>
      </c>
      <c r="AO541" s="19" t="str">
        <f t="shared" si="33"/>
        <v/>
      </c>
      <c r="AP541" s="100"/>
      <c r="AQ541" s="100"/>
    </row>
    <row r="542" spans="1:43" ht="15">
      <c r="A542" s="5"/>
      <c r="B542" s="5"/>
      <c r="G542" s="5" t="str">
        <f ca="1">IFERROR(__xludf.DUMMYFUNCTION("IFERROR(VLOOKUP(F565,IMPORTRANGE(""https://docs.google.com/spreadsheets/d/1Kvs4KS76FHFqLFIZfrDMff4kP08nblUkihrxltoGBjg/edit#gid=934712705"",""ESENCIAL!A6:BG""),3,FALSE))"),"")</f>
        <v/>
      </c>
      <c r="H542" s="5" t="str">
        <f ca="1">IFERROR(__xludf.DUMMYFUNCTION("IFERROR(VLOOKUP(F565,IMPORTRANGE(""https://docs.google.com/spreadsheets/d/1Kvs4KS76FHFqLFIZfrDMff4kP08nblUkihrxltoGBjg/edit#gid=934712705"",""ESENCIAL!A6:BG""),8,FALSE))"),"")</f>
        <v/>
      </c>
      <c r="L542" s="287"/>
      <c r="Z542" s="41" t="str">
        <f t="shared" si="34"/>
        <v/>
      </c>
      <c r="AA542" s="5" t="str">
        <f ca="1">IFERROR(__xludf.DUMMYFUNCTION("IFERROR(VLOOKUP(E565&amp;F565,IMPORTRANGE(""https://docs.google.com/spreadsheets/d/1Uw7-A9f9R21vMXxHZFNpYNeKFtG8_yji4HS352LGlSQ/edit?pli=1#gid=0"",""1_ACUM!A4:S""),11,FALSE))"),"")</f>
        <v/>
      </c>
      <c r="AB542" s="42" t="str">
        <f ca="1">IFERROR(__xludf.DUMMYFUNCTION("IFERROR(VLOOKUP(F565,IMPORTRANGE(""https://docs.google.com/spreadsheets/d/1Kvs4KS76FHFqLFIZfrDMff4kP08nblUkihrxltoGBjg/edit#gid=934712705"",""ESENCIAL!A6:BG""),15,FALSE))"),"")</f>
        <v/>
      </c>
      <c r="AC542" s="110" t="str">
        <f ca="1">IFERROR(__xludf.DUMMYFUNCTION("IFERROR(VLOOKUP(E565&amp;F565,IMPORTRANGE(""https://docs.google.com/spreadsheets/d/1Uw7-A9f9R21vMXxHZFNpYNeKFtG8_yji4HS352LGlSQ/edit?pli=1#gid=0"",""1_ACUM!A4:S""),13,FALSE))"),"")</f>
        <v/>
      </c>
      <c r="AD542" s="43" t="str">
        <f ca="1">IFERROR(__xludf.DUMMYFUNCTION("IFERROR(VLOOKUP(E565&amp;F565,IMPORTRANGE(""https://docs.google.com/spreadsheets/d/1Uw7-A9f9R21vMXxHZFNpYNeKFtG8_yji4HS352LGlSQ/edit?pli=1#gid=0"",""1_ACUM!A4:S""),13,FALSE))"),"")</f>
        <v/>
      </c>
      <c r="AE542" s="43" t="str">
        <f ca="1">IFERROR(__xludf.DUMMYFUNCTION("IFERROR(VLOOKUP(E565&amp;F565,IMPORTRANGE(""https://docs.google.com/spreadsheets/d/1Uw7-A9f9R21vMXxHZFNpYNeKFtG8_yji4HS352LGlSQ/edit?pli=1#gid=0"",""1_ACUM!A4:S""),14,FALSE))"),"")</f>
        <v/>
      </c>
      <c r="AF542" s="43" t="str">
        <f ca="1">IFERROR(__xludf.DUMMYFUNCTION("IFERROR(VLOOKUP(E565&amp;F565,IMPORTRANGE(""https://docs.google.com/spreadsheets/d/1Uw7-A9f9R21vMXxHZFNpYNeKFtG8_yji4HS352LGlSQ/edit?pli=1#gid=0"",""1_ACUM!A4:S""),15,FALSE))"),"")</f>
        <v/>
      </c>
      <c r="AG542" s="43" t="str">
        <f ca="1">IFERROR(__xludf.DUMMYFUNCTION("IFERROR(VLOOKUP(E565&amp;F565,IMPORTRANGE(""https://docs.google.com/spreadsheets/d/1Uw7-A9f9R21vMXxHZFNpYNeKFtG8_yji4HS352LGlSQ/edit?pli=1#gid=0"",""1_ACUM!A4:S""),16,FALSE))"),"")</f>
        <v/>
      </c>
      <c r="AH542" s="43" t="str">
        <f ca="1">IFERROR(__xludf.DUMMYFUNCTION("IFERROR(VLOOKUP(E565&amp;F565,IMPORTRANGE(""https://docs.google.com/spreadsheets/d/1Uw7-A9f9R21vMXxHZFNpYNeKFtG8_yji4HS352LGlSQ/edit?pli=1#gid=0"",""1_ACUM!A4:S""),17,FALSE))"),"")</f>
        <v/>
      </c>
      <c r="AI542" s="44" t="str">
        <f ca="1">IFERROR(__xludf.DUMMYFUNCTION("IFERROR(VLOOKUP(E565&amp;F565,IMPORTRANGE(""https://docs.google.com/spreadsheets/d/1Uw7-A9f9R21vMXxHZFNpYNeKFtG8_yji4HS352LGlSQ/edit?pli=1#gid=0"",""1_ACUM!A4:S""),18,FALSE))"),"")</f>
        <v/>
      </c>
      <c r="AJ542" s="44" t="str">
        <f ca="1">IFERROR(__xludf.DUMMYFUNCTION("IFERROR(VLOOKUP(E565&amp;F565,IMPORTRANGE(""https://docs.google.com/spreadsheets/d/1Uw7-A9f9R21vMXxHZFNpYNeKFtG8_yji4HS352LGlSQ/edit?pli=1#gid=0"",""1_ACUM!A4:S""),19,FALSE))"),"")</f>
        <v/>
      </c>
      <c r="AK542" s="98" t="str">
        <f ca="1">IFERROR(__xludf.DUMMYFUNCTION("IFERROR(VLOOKUP(F565,IMPORTRANGE(""https://docs.google.com/spreadsheets/d/1Kvs4KS76FHFqLFIZfrDMff4kP08nblUkihrxltoGBjg/edit#gid=934712705"",""ESENCIAL!A6:BG""),5,FALSE))"),"")</f>
        <v/>
      </c>
      <c r="AL542" s="98" t="str">
        <f t="shared" si="35"/>
        <v/>
      </c>
      <c r="AM542" s="99" t="str">
        <f t="shared" si="36"/>
        <v/>
      </c>
      <c r="AN542" s="100" t="str">
        <f ca="1">IFERROR(__xludf.DUMMYFUNCTION("IFERROR(VLOOKUP(F565,IMPORTRANGE(""https://docs.google.com/spreadsheets/d/1Kvs4KS76FHFqLFIZfrDMff4kP08nblUkihrxltoGBjg/edit#gid=934712705"",""ESENCIAL!A6:BG""),2,FALSE))"),"")</f>
        <v/>
      </c>
      <c r="AO542" s="19" t="str">
        <f t="shared" si="33"/>
        <v/>
      </c>
      <c r="AP542" s="100"/>
      <c r="AQ542" s="100"/>
    </row>
    <row r="543" spans="1:43" ht="15">
      <c r="A543" s="5"/>
      <c r="B543" s="5"/>
      <c r="G543" s="5" t="str">
        <f ca="1">IFERROR(__xludf.DUMMYFUNCTION("IFERROR(VLOOKUP(F566,IMPORTRANGE(""https://docs.google.com/spreadsheets/d/1Kvs4KS76FHFqLFIZfrDMff4kP08nblUkihrxltoGBjg/edit#gid=934712705"",""ESENCIAL!A6:BG""),3,FALSE))"),"")</f>
        <v/>
      </c>
      <c r="H543" s="5" t="str">
        <f ca="1">IFERROR(__xludf.DUMMYFUNCTION("IFERROR(VLOOKUP(F566,IMPORTRANGE(""https://docs.google.com/spreadsheets/d/1Kvs4KS76FHFqLFIZfrDMff4kP08nblUkihrxltoGBjg/edit#gid=934712705"",""ESENCIAL!A6:BG""),8,FALSE))"),"")</f>
        <v/>
      </c>
      <c r="L543" s="287"/>
      <c r="Z543" s="41" t="str">
        <f t="shared" si="34"/>
        <v/>
      </c>
      <c r="AA543" s="5" t="str">
        <f ca="1">IFERROR(__xludf.DUMMYFUNCTION("IFERROR(VLOOKUP(E566&amp;F566,IMPORTRANGE(""https://docs.google.com/spreadsheets/d/1Uw7-A9f9R21vMXxHZFNpYNeKFtG8_yji4HS352LGlSQ/edit?pli=1#gid=0"",""1_ACUM!A4:S""),11,FALSE))"),"")</f>
        <v/>
      </c>
      <c r="AB543" s="42" t="str">
        <f ca="1">IFERROR(__xludf.DUMMYFUNCTION("IFERROR(VLOOKUP(F566,IMPORTRANGE(""https://docs.google.com/spreadsheets/d/1Kvs4KS76FHFqLFIZfrDMff4kP08nblUkihrxltoGBjg/edit#gid=934712705"",""ESENCIAL!A6:BG""),15,FALSE))"),"")</f>
        <v/>
      </c>
      <c r="AC543" s="110" t="str">
        <f ca="1">IFERROR(__xludf.DUMMYFUNCTION("IFERROR(VLOOKUP(E566&amp;F566,IMPORTRANGE(""https://docs.google.com/spreadsheets/d/1Uw7-A9f9R21vMXxHZFNpYNeKFtG8_yji4HS352LGlSQ/edit?pli=1#gid=0"",""1_ACUM!A4:S""),13,FALSE))"),"")</f>
        <v/>
      </c>
      <c r="AD543" s="43" t="str">
        <f ca="1">IFERROR(__xludf.DUMMYFUNCTION("IFERROR(VLOOKUP(E566&amp;F566,IMPORTRANGE(""https://docs.google.com/spreadsheets/d/1Uw7-A9f9R21vMXxHZFNpYNeKFtG8_yji4HS352LGlSQ/edit?pli=1#gid=0"",""1_ACUM!A4:S""),13,FALSE))"),"")</f>
        <v/>
      </c>
      <c r="AE543" s="43" t="str">
        <f ca="1">IFERROR(__xludf.DUMMYFUNCTION("IFERROR(VLOOKUP(E566&amp;F566,IMPORTRANGE(""https://docs.google.com/spreadsheets/d/1Uw7-A9f9R21vMXxHZFNpYNeKFtG8_yji4HS352LGlSQ/edit?pli=1#gid=0"",""1_ACUM!A4:S""),14,FALSE))"),"")</f>
        <v/>
      </c>
      <c r="AF543" s="43" t="str">
        <f ca="1">IFERROR(__xludf.DUMMYFUNCTION("IFERROR(VLOOKUP(E566&amp;F566,IMPORTRANGE(""https://docs.google.com/spreadsheets/d/1Uw7-A9f9R21vMXxHZFNpYNeKFtG8_yji4HS352LGlSQ/edit?pli=1#gid=0"",""1_ACUM!A4:S""),15,FALSE))"),"")</f>
        <v/>
      </c>
      <c r="AG543" s="43" t="str">
        <f ca="1">IFERROR(__xludf.DUMMYFUNCTION("IFERROR(VLOOKUP(E566&amp;F566,IMPORTRANGE(""https://docs.google.com/spreadsheets/d/1Uw7-A9f9R21vMXxHZFNpYNeKFtG8_yji4HS352LGlSQ/edit?pli=1#gid=0"",""1_ACUM!A4:S""),16,FALSE))"),"")</f>
        <v/>
      </c>
      <c r="AH543" s="43" t="str">
        <f ca="1">IFERROR(__xludf.DUMMYFUNCTION("IFERROR(VLOOKUP(E566&amp;F566,IMPORTRANGE(""https://docs.google.com/spreadsheets/d/1Uw7-A9f9R21vMXxHZFNpYNeKFtG8_yji4HS352LGlSQ/edit?pli=1#gid=0"",""1_ACUM!A4:S""),17,FALSE))"),"")</f>
        <v/>
      </c>
      <c r="AI543" s="44" t="str">
        <f ca="1">IFERROR(__xludf.DUMMYFUNCTION("IFERROR(VLOOKUP(E566&amp;F566,IMPORTRANGE(""https://docs.google.com/spreadsheets/d/1Uw7-A9f9R21vMXxHZFNpYNeKFtG8_yji4HS352LGlSQ/edit?pli=1#gid=0"",""1_ACUM!A4:S""),18,FALSE))"),"")</f>
        <v/>
      </c>
      <c r="AJ543" s="44" t="str">
        <f ca="1">IFERROR(__xludf.DUMMYFUNCTION("IFERROR(VLOOKUP(E566&amp;F566,IMPORTRANGE(""https://docs.google.com/spreadsheets/d/1Uw7-A9f9R21vMXxHZFNpYNeKFtG8_yji4HS352LGlSQ/edit?pli=1#gid=0"",""1_ACUM!A4:S""),19,FALSE))"),"")</f>
        <v/>
      </c>
      <c r="AK543" s="98" t="str">
        <f ca="1">IFERROR(__xludf.DUMMYFUNCTION("IFERROR(VLOOKUP(F566,IMPORTRANGE(""https://docs.google.com/spreadsheets/d/1Kvs4KS76FHFqLFIZfrDMff4kP08nblUkihrxltoGBjg/edit#gid=934712705"",""ESENCIAL!A6:BG""),5,FALSE))"),"")</f>
        <v/>
      </c>
      <c r="AL543" s="98" t="str">
        <f t="shared" si="35"/>
        <v/>
      </c>
      <c r="AM543" s="99" t="str">
        <f t="shared" si="36"/>
        <v/>
      </c>
      <c r="AN543" s="100" t="str">
        <f ca="1">IFERROR(__xludf.DUMMYFUNCTION("IFERROR(VLOOKUP(F566,IMPORTRANGE(""https://docs.google.com/spreadsheets/d/1Kvs4KS76FHFqLFIZfrDMff4kP08nblUkihrxltoGBjg/edit#gid=934712705"",""ESENCIAL!A6:BG""),2,FALSE))"),"")</f>
        <v/>
      </c>
      <c r="AO543" s="19" t="str">
        <f t="shared" si="33"/>
        <v/>
      </c>
      <c r="AP543" s="100"/>
      <c r="AQ543" s="100"/>
    </row>
    <row r="544" spans="1:43" ht="15">
      <c r="A544" s="5"/>
      <c r="B544" s="5"/>
      <c r="G544" s="5" t="str">
        <f ca="1">IFERROR(__xludf.DUMMYFUNCTION("IFERROR(VLOOKUP(F567,IMPORTRANGE(""https://docs.google.com/spreadsheets/d/1Kvs4KS76FHFqLFIZfrDMff4kP08nblUkihrxltoGBjg/edit#gid=934712705"",""ESENCIAL!A6:BG""),3,FALSE))"),"")</f>
        <v/>
      </c>
      <c r="H544" s="5" t="str">
        <f ca="1">IFERROR(__xludf.DUMMYFUNCTION("IFERROR(VLOOKUP(F567,IMPORTRANGE(""https://docs.google.com/spreadsheets/d/1Kvs4KS76FHFqLFIZfrDMff4kP08nblUkihrxltoGBjg/edit#gid=934712705"",""ESENCIAL!A6:BG""),8,FALSE))"),"")</f>
        <v/>
      </c>
      <c r="L544" s="287"/>
      <c r="Z544" s="41" t="str">
        <f t="shared" si="34"/>
        <v/>
      </c>
      <c r="AA544" s="5" t="str">
        <f ca="1">IFERROR(__xludf.DUMMYFUNCTION("IFERROR(VLOOKUP(E567&amp;F567,IMPORTRANGE(""https://docs.google.com/spreadsheets/d/1Uw7-A9f9R21vMXxHZFNpYNeKFtG8_yji4HS352LGlSQ/edit?pli=1#gid=0"",""1_ACUM!A4:S""),11,FALSE))"),"")</f>
        <v/>
      </c>
      <c r="AB544" s="42" t="str">
        <f ca="1">IFERROR(__xludf.DUMMYFUNCTION("IFERROR(VLOOKUP(F567,IMPORTRANGE(""https://docs.google.com/spreadsheets/d/1Kvs4KS76FHFqLFIZfrDMff4kP08nblUkihrxltoGBjg/edit#gid=934712705"",""ESENCIAL!A6:BG""),15,FALSE))"),"")</f>
        <v/>
      </c>
      <c r="AC544" s="110" t="str">
        <f ca="1">IFERROR(__xludf.DUMMYFUNCTION("IFERROR(VLOOKUP(E567&amp;F567,IMPORTRANGE(""https://docs.google.com/spreadsheets/d/1Uw7-A9f9R21vMXxHZFNpYNeKFtG8_yji4HS352LGlSQ/edit?pli=1#gid=0"",""1_ACUM!A4:S""),13,FALSE))"),"")</f>
        <v/>
      </c>
      <c r="AD544" s="43" t="str">
        <f ca="1">IFERROR(__xludf.DUMMYFUNCTION("IFERROR(VLOOKUP(E567&amp;F567,IMPORTRANGE(""https://docs.google.com/spreadsheets/d/1Uw7-A9f9R21vMXxHZFNpYNeKFtG8_yji4HS352LGlSQ/edit?pli=1#gid=0"",""1_ACUM!A4:S""),13,FALSE))"),"")</f>
        <v/>
      </c>
      <c r="AE544" s="43" t="str">
        <f ca="1">IFERROR(__xludf.DUMMYFUNCTION("IFERROR(VLOOKUP(E567&amp;F567,IMPORTRANGE(""https://docs.google.com/spreadsheets/d/1Uw7-A9f9R21vMXxHZFNpYNeKFtG8_yji4HS352LGlSQ/edit?pli=1#gid=0"",""1_ACUM!A4:S""),14,FALSE))"),"")</f>
        <v/>
      </c>
      <c r="AF544" s="43" t="str">
        <f ca="1">IFERROR(__xludf.DUMMYFUNCTION("IFERROR(VLOOKUP(E567&amp;F567,IMPORTRANGE(""https://docs.google.com/spreadsheets/d/1Uw7-A9f9R21vMXxHZFNpYNeKFtG8_yji4HS352LGlSQ/edit?pli=1#gid=0"",""1_ACUM!A4:S""),15,FALSE))"),"")</f>
        <v/>
      </c>
      <c r="AG544" s="43" t="str">
        <f ca="1">IFERROR(__xludf.DUMMYFUNCTION("IFERROR(VLOOKUP(E567&amp;F567,IMPORTRANGE(""https://docs.google.com/spreadsheets/d/1Uw7-A9f9R21vMXxHZFNpYNeKFtG8_yji4HS352LGlSQ/edit?pli=1#gid=0"",""1_ACUM!A4:S""),16,FALSE))"),"")</f>
        <v/>
      </c>
      <c r="AH544" s="43" t="str">
        <f ca="1">IFERROR(__xludf.DUMMYFUNCTION("IFERROR(VLOOKUP(E567&amp;F567,IMPORTRANGE(""https://docs.google.com/spreadsheets/d/1Uw7-A9f9R21vMXxHZFNpYNeKFtG8_yji4HS352LGlSQ/edit?pli=1#gid=0"",""1_ACUM!A4:S""),17,FALSE))"),"")</f>
        <v/>
      </c>
      <c r="AI544" s="44" t="str">
        <f ca="1">IFERROR(__xludf.DUMMYFUNCTION("IFERROR(VLOOKUP(E567&amp;F567,IMPORTRANGE(""https://docs.google.com/spreadsheets/d/1Uw7-A9f9R21vMXxHZFNpYNeKFtG8_yji4HS352LGlSQ/edit?pli=1#gid=0"",""1_ACUM!A4:S""),18,FALSE))"),"")</f>
        <v/>
      </c>
      <c r="AJ544" s="44" t="str">
        <f ca="1">IFERROR(__xludf.DUMMYFUNCTION("IFERROR(VLOOKUP(E567&amp;F567,IMPORTRANGE(""https://docs.google.com/spreadsheets/d/1Uw7-A9f9R21vMXxHZFNpYNeKFtG8_yji4HS352LGlSQ/edit?pli=1#gid=0"",""1_ACUM!A4:S""),19,FALSE))"),"")</f>
        <v/>
      </c>
      <c r="AK544" s="98" t="str">
        <f ca="1">IFERROR(__xludf.DUMMYFUNCTION("IFERROR(VLOOKUP(F567,IMPORTRANGE(""https://docs.google.com/spreadsheets/d/1Kvs4KS76FHFqLFIZfrDMff4kP08nblUkihrxltoGBjg/edit#gid=934712705"",""ESENCIAL!A6:BG""),5,FALSE))"),"")</f>
        <v/>
      </c>
      <c r="AL544" s="98" t="str">
        <f t="shared" si="35"/>
        <v/>
      </c>
      <c r="AM544" s="99" t="str">
        <f t="shared" si="36"/>
        <v/>
      </c>
      <c r="AN544" s="100" t="str">
        <f ca="1">IFERROR(__xludf.DUMMYFUNCTION("IFERROR(VLOOKUP(F567,IMPORTRANGE(""https://docs.google.com/spreadsheets/d/1Kvs4KS76FHFqLFIZfrDMff4kP08nblUkihrxltoGBjg/edit#gid=934712705"",""ESENCIAL!A6:BG""),2,FALSE))"),"")</f>
        <v/>
      </c>
      <c r="AO544" s="19" t="str">
        <f t="shared" si="33"/>
        <v/>
      </c>
      <c r="AP544" s="100"/>
      <c r="AQ544" s="100"/>
    </row>
    <row r="545" spans="1:43" ht="15">
      <c r="A545" s="5"/>
      <c r="B545" s="5"/>
      <c r="G545" s="5" t="str">
        <f ca="1">IFERROR(__xludf.DUMMYFUNCTION("IFERROR(VLOOKUP(F568,IMPORTRANGE(""https://docs.google.com/spreadsheets/d/1Kvs4KS76FHFqLFIZfrDMff4kP08nblUkihrxltoGBjg/edit#gid=934712705"",""ESENCIAL!A6:BG""),3,FALSE))"),"")</f>
        <v/>
      </c>
      <c r="H545" s="5" t="str">
        <f ca="1">IFERROR(__xludf.DUMMYFUNCTION("IFERROR(VLOOKUP(F568,IMPORTRANGE(""https://docs.google.com/spreadsheets/d/1Kvs4KS76FHFqLFIZfrDMff4kP08nblUkihrxltoGBjg/edit#gid=934712705"",""ESENCIAL!A6:BG""),8,FALSE))"),"")</f>
        <v/>
      </c>
      <c r="L545" s="287"/>
      <c r="Z545" s="41" t="str">
        <f t="shared" si="34"/>
        <v/>
      </c>
      <c r="AA545" s="5" t="str">
        <f ca="1">IFERROR(__xludf.DUMMYFUNCTION("IFERROR(VLOOKUP(E568&amp;F568,IMPORTRANGE(""https://docs.google.com/spreadsheets/d/1Uw7-A9f9R21vMXxHZFNpYNeKFtG8_yji4HS352LGlSQ/edit?pli=1#gid=0"",""1_ACUM!A4:S""),11,FALSE))"),"")</f>
        <v/>
      </c>
      <c r="AB545" s="42" t="str">
        <f ca="1">IFERROR(__xludf.DUMMYFUNCTION("IFERROR(VLOOKUP(F568,IMPORTRANGE(""https://docs.google.com/spreadsheets/d/1Kvs4KS76FHFqLFIZfrDMff4kP08nblUkihrxltoGBjg/edit#gid=934712705"",""ESENCIAL!A6:BG""),15,FALSE))"),"")</f>
        <v/>
      </c>
      <c r="AC545" s="110" t="str">
        <f ca="1">IFERROR(__xludf.DUMMYFUNCTION("IFERROR(VLOOKUP(E568&amp;F568,IMPORTRANGE(""https://docs.google.com/spreadsheets/d/1Uw7-A9f9R21vMXxHZFNpYNeKFtG8_yji4HS352LGlSQ/edit?pli=1#gid=0"",""1_ACUM!A4:S""),13,FALSE))"),"")</f>
        <v/>
      </c>
      <c r="AD545" s="43" t="str">
        <f ca="1">IFERROR(__xludf.DUMMYFUNCTION("IFERROR(VLOOKUP(E568&amp;F568,IMPORTRANGE(""https://docs.google.com/spreadsheets/d/1Uw7-A9f9R21vMXxHZFNpYNeKFtG8_yji4HS352LGlSQ/edit?pli=1#gid=0"",""1_ACUM!A4:S""),13,FALSE))"),"")</f>
        <v/>
      </c>
      <c r="AE545" s="43" t="str">
        <f ca="1">IFERROR(__xludf.DUMMYFUNCTION("IFERROR(VLOOKUP(E568&amp;F568,IMPORTRANGE(""https://docs.google.com/spreadsheets/d/1Uw7-A9f9R21vMXxHZFNpYNeKFtG8_yji4HS352LGlSQ/edit?pli=1#gid=0"",""1_ACUM!A4:S""),14,FALSE))"),"")</f>
        <v/>
      </c>
      <c r="AF545" s="43" t="str">
        <f ca="1">IFERROR(__xludf.DUMMYFUNCTION("IFERROR(VLOOKUP(E568&amp;F568,IMPORTRANGE(""https://docs.google.com/spreadsheets/d/1Uw7-A9f9R21vMXxHZFNpYNeKFtG8_yji4HS352LGlSQ/edit?pli=1#gid=0"",""1_ACUM!A4:S""),15,FALSE))"),"")</f>
        <v/>
      </c>
      <c r="AG545" s="43" t="str">
        <f ca="1">IFERROR(__xludf.DUMMYFUNCTION("IFERROR(VLOOKUP(E568&amp;F568,IMPORTRANGE(""https://docs.google.com/spreadsheets/d/1Uw7-A9f9R21vMXxHZFNpYNeKFtG8_yji4HS352LGlSQ/edit?pli=1#gid=0"",""1_ACUM!A4:S""),16,FALSE))"),"")</f>
        <v/>
      </c>
      <c r="AH545" s="43" t="str">
        <f ca="1">IFERROR(__xludf.DUMMYFUNCTION("IFERROR(VLOOKUP(E568&amp;F568,IMPORTRANGE(""https://docs.google.com/spreadsheets/d/1Uw7-A9f9R21vMXxHZFNpYNeKFtG8_yji4HS352LGlSQ/edit?pli=1#gid=0"",""1_ACUM!A4:S""),17,FALSE))"),"")</f>
        <v/>
      </c>
      <c r="AI545" s="44" t="str">
        <f ca="1">IFERROR(__xludf.DUMMYFUNCTION("IFERROR(VLOOKUP(E568&amp;F568,IMPORTRANGE(""https://docs.google.com/spreadsheets/d/1Uw7-A9f9R21vMXxHZFNpYNeKFtG8_yji4HS352LGlSQ/edit?pli=1#gid=0"",""1_ACUM!A4:S""),18,FALSE))"),"")</f>
        <v/>
      </c>
      <c r="AJ545" s="44" t="str">
        <f ca="1">IFERROR(__xludf.DUMMYFUNCTION("IFERROR(VLOOKUP(E568&amp;F568,IMPORTRANGE(""https://docs.google.com/spreadsheets/d/1Uw7-A9f9R21vMXxHZFNpYNeKFtG8_yji4HS352LGlSQ/edit?pli=1#gid=0"",""1_ACUM!A4:S""),19,FALSE))"),"")</f>
        <v/>
      </c>
      <c r="AK545" s="98" t="str">
        <f ca="1">IFERROR(__xludf.DUMMYFUNCTION("IFERROR(VLOOKUP(F568,IMPORTRANGE(""https://docs.google.com/spreadsheets/d/1Kvs4KS76FHFqLFIZfrDMff4kP08nblUkihrxltoGBjg/edit#gid=934712705"",""ESENCIAL!A6:BG""),5,FALSE))"),"")</f>
        <v/>
      </c>
      <c r="AL545" s="98" t="str">
        <f t="shared" si="35"/>
        <v/>
      </c>
      <c r="AM545" s="99" t="str">
        <f t="shared" si="36"/>
        <v/>
      </c>
      <c r="AN545" s="100" t="str">
        <f ca="1">IFERROR(__xludf.DUMMYFUNCTION("IFERROR(VLOOKUP(F568,IMPORTRANGE(""https://docs.google.com/spreadsheets/d/1Kvs4KS76FHFqLFIZfrDMff4kP08nblUkihrxltoGBjg/edit#gid=934712705"",""ESENCIAL!A6:BG""),2,FALSE))"),"")</f>
        <v/>
      </c>
      <c r="AO545" s="19" t="str">
        <f t="shared" si="33"/>
        <v/>
      </c>
      <c r="AP545" s="100"/>
      <c r="AQ545" s="100"/>
    </row>
    <row r="546" spans="1:43" ht="15">
      <c r="A546" s="5"/>
      <c r="B546" s="5"/>
      <c r="G546" s="5" t="str">
        <f ca="1">IFERROR(__xludf.DUMMYFUNCTION("IFERROR(VLOOKUP(F569,IMPORTRANGE(""https://docs.google.com/spreadsheets/d/1Kvs4KS76FHFqLFIZfrDMff4kP08nblUkihrxltoGBjg/edit#gid=934712705"",""ESENCIAL!A6:BG""),3,FALSE))"),"")</f>
        <v/>
      </c>
      <c r="H546" s="5" t="str">
        <f ca="1">IFERROR(__xludf.DUMMYFUNCTION("IFERROR(VLOOKUP(F569,IMPORTRANGE(""https://docs.google.com/spreadsheets/d/1Kvs4KS76FHFqLFIZfrDMff4kP08nblUkihrxltoGBjg/edit#gid=934712705"",""ESENCIAL!A6:BG""),8,FALSE))"),"")</f>
        <v/>
      </c>
      <c r="L546" s="287"/>
      <c r="Z546" s="41" t="str">
        <f t="shared" si="34"/>
        <v/>
      </c>
      <c r="AA546" s="5" t="str">
        <f ca="1">IFERROR(__xludf.DUMMYFUNCTION("IFERROR(VLOOKUP(E569&amp;F569,IMPORTRANGE(""https://docs.google.com/spreadsheets/d/1Uw7-A9f9R21vMXxHZFNpYNeKFtG8_yji4HS352LGlSQ/edit?pli=1#gid=0"",""1_ACUM!A4:S""),11,FALSE))"),"")</f>
        <v/>
      </c>
      <c r="AB546" s="42" t="str">
        <f ca="1">IFERROR(__xludf.DUMMYFUNCTION("IFERROR(VLOOKUP(F569,IMPORTRANGE(""https://docs.google.com/spreadsheets/d/1Kvs4KS76FHFqLFIZfrDMff4kP08nblUkihrxltoGBjg/edit#gid=934712705"",""ESENCIAL!A6:BG""),15,FALSE))"),"")</f>
        <v/>
      </c>
      <c r="AC546" s="110" t="str">
        <f ca="1">IFERROR(__xludf.DUMMYFUNCTION("IFERROR(VLOOKUP(E569&amp;F569,IMPORTRANGE(""https://docs.google.com/spreadsheets/d/1Uw7-A9f9R21vMXxHZFNpYNeKFtG8_yji4HS352LGlSQ/edit?pli=1#gid=0"",""1_ACUM!A4:S""),13,FALSE))"),"")</f>
        <v/>
      </c>
      <c r="AD546" s="43" t="str">
        <f ca="1">IFERROR(__xludf.DUMMYFUNCTION("IFERROR(VLOOKUP(E569&amp;F569,IMPORTRANGE(""https://docs.google.com/spreadsheets/d/1Uw7-A9f9R21vMXxHZFNpYNeKFtG8_yji4HS352LGlSQ/edit?pli=1#gid=0"",""1_ACUM!A4:S""),13,FALSE))"),"")</f>
        <v/>
      </c>
      <c r="AE546" s="43" t="str">
        <f ca="1">IFERROR(__xludf.DUMMYFUNCTION("IFERROR(VLOOKUP(E569&amp;F569,IMPORTRANGE(""https://docs.google.com/spreadsheets/d/1Uw7-A9f9R21vMXxHZFNpYNeKFtG8_yji4HS352LGlSQ/edit?pli=1#gid=0"",""1_ACUM!A4:S""),14,FALSE))"),"")</f>
        <v/>
      </c>
      <c r="AF546" s="43" t="str">
        <f ca="1">IFERROR(__xludf.DUMMYFUNCTION("IFERROR(VLOOKUP(E569&amp;F569,IMPORTRANGE(""https://docs.google.com/spreadsheets/d/1Uw7-A9f9R21vMXxHZFNpYNeKFtG8_yji4HS352LGlSQ/edit?pli=1#gid=0"",""1_ACUM!A4:S""),15,FALSE))"),"")</f>
        <v/>
      </c>
      <c r="AG546" s="43" t="str">
        <f ca="1">IFERROR(__xludf.DUMMYFUNCTION("IFERROR(VLOOKUP(E569&amp;F569,IMPORTRANGE(""https://docs.google.com/spreadsheets/d/1Uw7-A9f9R21vMXxHZFNpYNeKFtG8_yji4HS352LGlSQ/edit?pli=1#gid=0"",""1_ACUM!A4:S""),16,FALSE))"),"")</f>
        <v/>
      </c>
      <c r="AH546" s="43" t="str">
        <f ca="1">IFERROR(__xludf.DUMMYFUNCTION("IFERROR(VLOOKUP(E569&amp;F569,IMPORTRANGE(""https://docs.google.com/spreadsheets/d/1Uw7-A9f9R21vMXxHZFNpYNeKFtG8_yji4HS352LGlSQ/edit?pli=1#gid=0"",""1_ACUM!A4:S""),17,FALSE))"),"")</f>
        <v/>
      </c>
      <c r="AI546" s="44" t="str">
        <f ca="1">IFERROR(__xludf.DUMMYFUNCTION("IFERROR(VLOOKUP(E569&amp;F569,IMPORTRANGE(""https://docs.google.com/spreadsheets/d/1Uw7-A9f9R21vMXxHZFNpYNeKFtG8_yji4HS352LGlSQ/edit?pli=1#gid=0"",""1_ACUM!A4:S""),18,FALSE))"),"")</f>
        <v/>
      </c>
      <c r="AJ546" s="44" t="str">
        <f ca="1">IFERROR(__xludf.DUMMYFUNCTION("IFERROR(VLOOKUP(E569&amp;F569,IMPORTRANGE(""https://docs.google.com/spreadsheets/d/1Uw7-A9f9R21vMXxHZFNpYNeKFtG8_yji4HS352LGlSQ/edit?pli=1#gid=0"",""1_ACUM!A4:S""),19,FALSE))"),"")</f>
        <v/>
      </c>
      <c r="AK546" s="98" t="str">
        <f ca="1">IFERROR(__xludf.DUMMYFUNCTION("IFERROR(VLOOKUP(F569,IMPORTRANGE(""https://docs.google.com/spreadsheets/d/1Kvs4KS76FHFqLFIZfrDMff4kP08nblUkihrxltoGBjg/edit#gid=934712705"",""ESENCIAL!A6:BG""),5,FALSE))"),"")</f>
        <v/>
      </c>
      <c r="AL546" s="98" t="str">
        <f t="shared" si="35"/>
        <v/>
      </c>
      <c r="AM546" s="99" t="str">
        <f t="shared" si="36"/>
        <v/>
      </c>
      <c r="AN546" s="100" t="str">
        <f ca="1">IFERROR(__xludf.DUMMYFUNCTION("IFERROR(VLOOKUP(F569,IMPORTRANGE(""https://docs.google.com/spreadsheets/d/1Kvs4KS76FHFqLFIZfrDMff4kP08nblUkihrxltoGBjg/edit#gid=934712705"",""ESENCIAL!A6:BG""),2,FALSE))"),"")</f>
        <v/>
      </c>
      <c r="AO546" s="19" t="str">
        <f t="shared" si="33"/>
        <v/>
      </c>
      <c r="AP546" s="100"/>
      <c r="AQ546" s="100"/>
    </row>
    <row r="547" spans="1:43" ht="15">
      <c r="A547" s="5"/>
      <c r="B547" s="5"/>
      <c r="G547" s="5" t="str">
        <f ca="1">IFERROR(__xludf.DUMMYFUNCTION("IFERROR(VLOOKUP(F570,IMPORTRANGE(""https://docs.google.com/spreadsheets/d/1Kvs4KS76FHFqLFIZfrDMff4kP08nblUkihrxltoGBjg/edit#gid=934712705"",""ESENCIAL!A6:BG""),3,FALSE))"),"")</f>
        <v/>
      </c>
      <c r="H547" s="5" t="str">
        <f ca="1">IFERROR(__xludf.DUMMYFUNCTION("IFERROR(VLOOKUP(F570,IMPORTRANGE(""https://docs.google.com/spreadsheets/d/1Kvs4KS76FHFqLFIZfrDMff4kP08nblUkihrxltoGBjg/edit#gid=934712705"",""ESENCIAL!A6:BG""),8,FALSE))"),"")</f>
        <v/>
      </c>
      <c r="L547" s="287"/>
      <c r="Z547" s="41" t="str">
        <f t="shared" si="34"/>
        <v/>
      </c>
      <c r="AA547" s="5" t="str">
        <f ca="1">IFERROR(__xludf.DUMMYFUNCTION("IFERROR(VLOOKUP(E570&amp;F570,IMPORTRANGE(""https://docs.google.com/spreadsheets/d/1Uw7-A9f9R21vMXxHZFNpYNeKFtG8_yji4HS352LGlSQ/edit?pli=1#gid=0"",""1_ACUM!A4:S""),11,FALSE))"),"")</f>
        <v/>
      </c>
      <c r="AB547" s="42" t="str">
        <f ca="1">IFERROR(__xludf.DUMMYFUNCTION("IFERROR(VLOOKUP(F570,IMPORTRANGE(""https://docs.google.com/spreadsheets/d/1Kvs4KS76FHFqLFIZfrDMff4kP08nblUkihrxltoGBjg/edit#gid=934712705"",""ESENCIAL!A6:BG""),15,FALSE))"),"")</f>
        <v/>
      </c>
      <c r="AC547" s="110" t="str">
        <f ca="1">IFERROR(__xludf.DUMMYFUNCTION("IFERROR(VLOOKUP(E570&amp;F570,IMPORTRANGE(""https://docs.google.com/spreadsheets/d/1Uw7-A9f9R21vMXxHZFNpYNeKFtG8_yji4HS352LGlSQ/edit?pli=1#gid=0"",""1_ACUM!A4:S""),13,FALSE))"),"")</f>
        <v/>
      </c>
      <c r="AD547" s="43" t="str">
        <f ca="1">IFERROR(__xludf.DUMMYFUNCTION("IFERROR(VLOOKUP(E570&amp;F570,IMPORTRANGE(""https://docs.google.com/spreadsheets/d/1Uw7-A9f9R21vMXxHZFNpYNeKFtG8_yji4HS352LGlSQ/edit?pli=1#gid=0"",""1_ACUM!A4:S""),13,FALSE))"),"")</f>
        <v/>
      </c>
      <c r="AE547" s="43" t="str">
        <f ca="1">IFERROR(__xludf.DUMMYFUNCTION("IFERROR(VLOOKUP(E570&amp;F570,IMPORTRANGE(""https://docs.google.com/spreadsheets/d/1Uw7-A9f9R21vMXxHZFNpYNeKFtG8_yji4HS352LGlSQ/edit?pli=1#gid=0"",""1_ACUM!A4:S""),14,FALSE))"),"")</f>
        <v/>
      </c>
      <c r="AF547" s="43" t="str">
        <f ca="1">IFERROR(__xludf.DUMMYFUNCTION("IFERROR(VLOOKUP(E570&amp;F570,IMPORTRANGE(""https://docs.google.com/spreadsheets/d/1Uw7-A9f9R21vMXxHZFNpYNeKFtG8_yji4HS352LGlSQ/edit?pli=1#gid=0"",""1_ACUM!A4:S""),15,FALSE))"),"")</f>
        <v/>
      </c>
      <c r="AG547" s="43" t="str">
        <f ca="1">IFERROR(__xludf.DUMMYFUNCTION("IFERROR(VLOOKUP(E570&amp;F570,IMPORTRANGE(""https://docs.google.com/spreadsheets/d/1Uw7-A9f9R21vMXxHZFNpYNeKFtG8_yji4HS352LGlSQ/edit?pli=1#gid=0"",""1_ACUM!A4:S""),16,FALSE))"),"")</f>
        <v/>
      </c>
      <c r="AH547" s="43" t="str">
        <f ca="1">IFERROR(__xludf.DUMMYFUNCTION("IFERROR(VLOOKUP(E570&amp;F570,IMPORTRANGE(""https://docs.google.com/spreadsheets/d/1Uw7-A9f9R21vMXxHZFNpYNeKFtG8_yji4HS352LGlSQ/edit?pli=1#gid=0"",""1_ACUM!A4:S""),17,FALSE))"),"")</f>
        <v/>
      </c>
      <c r="AI547" s="44" t="str">
        <f ca="1">IFERROR(__xludf.DUMMYFUNCTION("IFERROR(VLOOKUP(E570&amp;F570,IMPORTRANGE(""https://docs.google.com/spreadsheets/d/1Uw7-A9f9R21vMXxHZFNpYNeKFtG8_yji4HS352LGlSQ/edit?pli=1#gid=0"",""1_ACUM!A4:S""),18,FALSE))"),"")</f>
        <v/>
      </c>
      <c r="AJ547" s="44" t="str">
        <f ca="1">IFERROR(__xludf.DUMMYFUNCTION("IFERROR(VLOOKUP(E570&amp;F570,IMPORTRANGE(""https://docs.google.com/spreadsheets/d/1Uw7-A9f9R21vMXxHZFNpYNeKFtG8_yji4HS352LGlSQ/edit?pli=1#gid=0"",""1_ACUM!A4:S""),19,FALSE))"),"")</f>
        <v/>
      </c>
      <c r="AK547" s="98" t="str">
        <f ca="1">IFERROR(__xludf.DUMMYFUNCTION("IFERROR(VLOOKUP(F570,IMPORTRANGE(""https://docs.google.com/spreadsheets/d/1Kvs4KS76FHFqLFIZfrDMff4kP08nblUkihrxltoGBjg/edit#gid=934712705"",""ESENCIAL!A6:BG""),5,FALSE))"),"")</f>
        <v/>
      </c>
      <c r="AL547" s="98" t="str">
        <f t="shared" si="35"/>
        <v/>
      </c>
      <c r="AM547" s="99" t="str">
        <f t="shared" si="36"/>
        <v/>
      </c>
      <c r="AN547" s="100" t="str">
        <f ca="1">IFERROR(__xludf.DUMMYFUNCTION("IFERROR(VLOOKUP(F570,IMPORTRANGE(""https://docs.google.com/spreadsheets/d/1Kvs4KS76FHFqLFIZfrDMff4kP08nblUkihrxltoGBjg/edit#gid=934712705"",""ESENCIAL!A6:BG""),2,FALSE))"),"")</f>
        <v/>
      </c>
      <c r="AO547" s="19" t="str">
        <f t="shared" si="33"/>
        <v/>
      </c>
      <c r="AP547" s="100"/>
      <c r="AQ547" s="100"/>
    </row>
    <row r="548" spans="1:43" ht="15">
      <c r="A548" s="5"/>
      <c r="B548" s="5"/>
      <c r="G548" s="5" t="str">
        <f ca="1">IFERROR(__xludf.DUMMYFUNCTION("IFERROR(VLOOKUP(F571,IMPORTRANGE(""https://docs.google.com/spreadsheets/d/1Kvs4KS76FHFqLFIZfrDMff4kP08nblUkihrxltoGBjg/edit#gid=934712705"",""ESENCIAL!A6:BG""),3,FALSE))"),"")</f>
        <v/>
      </c>
      <c r="H548" s="5" t="str">
        <f ca="1">IFERROR(__xludf.DUMMYFUNCTION("IFERROR(VLOOKUP(F571,IMPORTRANGE(""https://docs.google.com/spreadsheets/d/1Kvs4KS76FHFqLFIZfrDMff4kP08nblUkihrxltoGBjg/edit#gid=934712705"",""ESENCIAL!A6:BG""),8,FALSE))"),"")</f>
        <v/>
      </c>
      <c r="L548" s="287"/>
      <c r="Z548" s="41" t="str">
        <f t="shared" si="34"/>
        <v/>
      </c>
      <c r="AA548" s="5" t="str">
        <f ca="1">IFERROR(__xludf.DUMMYFUNCTION("IFERROR(VLOOKUP(E571&amp;F571,IMPORTRANGE(""https://docs.google.com/spreadsheets/d/1Uw7-A9f9R21vMXxHZFNpYNeKFtG8_yji4HS352LGlSQ/edit?pli=1#gid=0"",""1_ACUM!A4:S""),11,FALSE))"),"")</f>
        <v/>
      </c>
      <c r="AB548" s="42" t="str">
        <f ca="1">IFERROR(__xludf.DUMMYFUNCTION("IFERROR(VLOOKUP(F571,IMPORTRANGE(""https://docs.google.com/spreadsheets/d/1Kvs4KS76FHFqLFIZfrDMff4kP08nblUkihrxltoGBjg/edit#gid=934712705"",""ESENCIAL!A6:BG""),15,FALSE))"),"")</f>
        <v/>
      </c>
      <c r="AC548" s="110" t="str">
        <f ca="1">IFERROR(__xludf.DUMMYFUNCTION("IFERROR(VLOOKUP(E571&amp;F571,IMPORTRANGE(""https://docs.google.com/spreadsheets/d/1Uw7-A9f9R21vMXxHZFNpYNeKFtG8_yji4HS352LGlSQ/edit?pli=1#gid=0"",""1_ACUM!A4:S""),13,FALSE))"),"")</f>
        <v/>
      </c>
      <c r="AD548" s="43" t="str">
        <f ca="1">IFERROR(__xludf.DUMMYFUNCTION("IFERROR(VLOOKUP(E571&amp;F571,IMPORTRANGE(""https://docs.google.com/spreadsheets/d/1Uw7-A9f9R21vMXxHZFNpYNeKFtG8_yji4HS352LGlSQ/edit?pli=1#gid=0"",""1_ACUM!A4:S""),13,FALSE))"),"")</f>
        <v/>
      </c>
      <c r="AE548" s="43" t="str">
        <f ca="1">IFERROR(__xludf.DUMMYFUNCTION("IFERROR(VLOOKUP(E571&amp;F571,IMPORTRANGE(""https://docs.google.com/spreadsheets/d/1Uw7-A9f9R21vMXxHZFNpYNeKFtG8_yji4HS352LGlSQ/edit?pli=1#gid=0"",""1_ACUM!A4:S""),14,FALSE))"),"")</f>
        <v/>
      </c>
      <c r="AF548" s="43" t="str">
        <f ca="1">IFERROR(__xludf.DUMMYFUNCTION("IFERROR(VLOOKUP(E571&amp;F571,IMPORTRANGE(""https://docs.google.com/spreadsheets/d/1Uw7-A9f9R21vMXxHZFNpYNeKFtG8_yji4HS352LGlSQ/edit?pli=1#gid=0"",""1_ACUM!A4:S""),15,FALSE))"),"")</f>
        <v/>
      </c>
      <c r="AG548" s="43" t="str">
        <f ca="1">IFERROR(__xludf.DUMMYFUNCTION("IFERROR(VLOOKUP(E571&amp;F571,IMPORTRANGE(""https://docs.google.com/spreadsheets/d/1Uw7-A9f9R21vMXxHZFNpYNeKFtG8_yji4HS352LGlSQ/edit?pli=1#gid=0"",""1_ACUM!A4:S""),16,FALSE))"),"")</f>
        <v/>
      </c>
      <c r="AH548" s="43" t="str">
        <f ca="1">IFERROR(__xludf.DUMMYFUNCTION("IFERROR(VLOOKUP(E571&amp;F571,IMPORTRANGE(""https://docs.google.com/spreadsheets/d/1Uw7-A9f9R21vMXxHZFNpYNeKFtG8_yji4HS352LGlSQ/edit?pli=1#gid=0"",""1_ACUM!A4:S""),17,FALSE))"),"")</f>
        <v/>
      </c>
      <c r="AI548" s="44" t="str">
        <f ca="1">IFERROR(__xludf.DUMMYFUNCTION("IFERROR(VLOOKUP(E571&amp;F571,IMPORTRANGE(""https://docs.google.com/spreadsheets/d/1Uw7-A9f9R21vMXxHZFNpYNeKFtG8_yji4HS352LGlSQ/edit?pli=1#gid=0"",""1_ACUM!A4:S""),18,FALSE))"),"")</f>
        <v/>
      </c>
      <c r="AJ548" s="44" t="str">
        <f ca="1">IFERROR(__xludf.DUMMYFUNCTION("IFERROR(VLOOKUP(E571&amp;F571,IMPORTRANGE(""https://docs.google.com/spreadsheets/d/1Uw7-A9f9R21vMXxHZFNpYNeKFtG8_yji4HS352LGlSQ/edit?pli=1#gid=0"",""1_ACUM!A4:S""),19,FALSE))"),"")</f>
        <v/>
      </c>
      <c r="AK548" s="98" t="str">
        <f ca="1">IFERROR(__xludf.DUMMYFUNCTION("IFERROR(VLOOKUP(F571,IMPORTRANGE(""https://docs.google.com/spreadsheets/d/1Kvs4KS76FHFqLFIZfrDMff4kP08nblUkihrxltoGBjg/edit#gid=934712705"",""ESENCIAL!A6:BG""),5,FALSE))"),"")</f>
        <v/>
      </c>
      <c r="AL548" s="98" t="str">
        <f t="shared" si="35"/>
        <v/>
      </c>
      <c r="AM548" s="99" t="str">
        <f t="shared" si="36"/>
        <v/>
      </c>
      <c r="AN548" s="100" t="str">
        <f ca="1">IFERROR(__xludf.DUMMYFUNCTION("IFERROR(VLOOKUP(F571,IMPORTRANGE(""https://docs.google.com/spreadsheets/d/1Kvs4KS76FHFqLFIZfrDMff4kP08nblUkihrxltoGBjg/edit#gid=934712705"",""ESENCIAL!A6:BG""),2,FALSE))"),"")</f>
        <v/>
      </c>
      <c r="AO548" s="19" t="str">
        <f t="shared" si="33"/>
        <v/>
      </c>
      <c r="AP548" s="100"/>
      <c r="AQ548" s="100"/>
    </row>
    <row r="549" spans="1:43" ht="15">
      <c r="A549" s="5"/>
      <c r="B549" s="5"/>
      <c r="G549" s="5" t="str">
        <f ca="1">IFERROR(__xludf.DUMMYFUNCTION("IFERROR(VLOOKUP(F572,IMPORTRANGE(""https://docs.google.com/spreadsheets/d/1Kvs4KS76FHFqLFIZfrDMff4kP08nblUkihrxltoGBjg/edit#gid=934712705"",""ESENCIAL!A6:BG""),3,FALSE))"),"")</f>
        <v/>
      </c>
      <c r="H549" s="5" t="str">
        <f ca="1">IFERROR(__xludf.DUMMYFUNCTION("IFERROR(VLOOKUP(F572,IMPORTRANGE(""https://docs.google.com/spreadsheets/d/1Kvs4KS76FHFqLFIZfrDMff4kP08nblUkihrxltoGBjg/edit#gid=934712705"",""ESENCIAL!A6:BG""),8,FALSE))"),"")</f>
        <v/>
      </c>
      <c r="L549" s="287"/>
      <c r="Z549" s="41" t="str">
        <f t="shared" si="34"/>
        <v/>
      </c>
      <c r="AA549" s="5" t="str">
        <f ca="1">IFERROR(__xludf.DUMMYFUNCTION("IFERROR(VLOOKUP(E572&amp;F572,IMPORTRANGE(""https://docs.google.com/spreadsheets/d/1Uw7-A9f9R21vMXxHZFNpYNeKFtG8_yji4HS352LGlSQ/edit?pli=1#gid=0"",""1_ACUM!A4:S""),11,FALSE))"),"")</f>
        <v/>
      </c>
      <c r="AB549" s="42" t="str">
        <f ca="1">IFERROR(__xludf.DUMMYFUNCTION("IFERROR(VLOOKUP(F572,IMPORTRANGE(""https://docs.google.com/spreadsheets/d/1Kvs4KS76FHFqLFIZfrDMff4kP08nblUkihrxltoGBjg/edit#gid=934712705"",""ESENCIAL!A6:BG""),15,FALSE))"),"")</f>
        <v/>
      </c>
      <c r="AC549" s="110" t="str">
        <f ca="1">IFERROR(__xludf.DUMMYFUNCTION("IFERROR(VLOOKUP(E572&amp;F572,IMPORTRANGE(""https://docs.google.com/spreadsheets/d/1Uw7-A9f9R21vMXxHZFNpYNeKFtG8_yji4HS352LGlSQ/edit?pli=1#gid=0"",""1_ACUM!A4:S""),13,FALSE))"),"")</f>
        <v/>
      </c>
      <c r="AD549" s="43" t="str">
        <f ca="1">IFERROR(__xludf.DUMMYFUNCTION("IFERROR(VLOOKUP(E572&amp;F572,IMPORTRANGE(""https://docs.google.com/spreadsheets/d/1Uw7-A9f9R21vMXxHZFNpYNeKFtG8_yji4HS352LGlSQ/edit?pli=1#gid=0"",""1_ACUM!A4:S""),13,FALSE))"),"")</f>
        <v/>
      </c>
      <c r="AE549" s="43" t="str">
        <f ca="1">IFERROR(__xludf.DUMMYFUNCTION("IFERROR(VLOOKUP(E572&amp;F572,IMPORTRANGE(""https://docs.google.com/spreadsheets/d/1Uw7-A9f9R21vMXxHZFNpYNeKFtG8_yji4HS352LGlSQ/edit?pli=1#gid=0"",""1_ACUM!A4:S""),14,FALSE))"),"")</f>
        <v/>
      </c>
      <c r="AF549" s="43" t="str">
        <f ca="1">IFERROR(__xludf.DUMMYFUNCTION("IFERROR(VLOOKUP(E572&amp;F572,IMPORTRANGE(""https://docs.google.com/spreadsheets/d/1Uw7-A9f9R21vMXxHZFNpYNeKFtG8_yji4HS352LGlSQ/edit?pli=1#gid=0"",""1_ACUM!A4:S""),15,FALSE))"),"")</f>
        <v/>
      </c>
      <c r="AG549" s="43" t="str">
        <f ca="1">IFERROR(__xludf.DUMMYFUNCTION("IFERROR(VLOOKUP(E572&amp;F572,IMPORTRANGE(""https://docs.google.com/spreadsheets/d/1Uw7-A9f9R21vMXxHZFNpYNeKFtG8_yji4HS352LGlSQ/edit?pli=1#gid=0"",""1_ACUM!A4:S""),16,FALSE))"),"")</f>
        <v/>
      </c>
      <c r="AH549" s="43" t="str">
        <f ca="1">IFERROR(__xludf.DUMMYFUNCTION("IFERROR(VLOOKUP(E572&amp;F572,IMPORTRANGE(""https://docs.google.com/spreadsheets/d/1Uw7-A9f9R21vMXxHZFNpYNeKFtG8_yji4HS352LGlSQ/edit?pli=1#gid=0"",""1_ACUM!A4:S""),17,FALSE))"),"")</f>
        <v/>
      </c>
      <c r="AI549" s="44" t="str">
        <f ca="1">IFERROR(__xludf.DUMMYFUNCTION("IFERROR(VLOOKUP(E572&amp;F572,IMPORTRANGE(""https://docs.google.com/spreadsheets/d/1Uw7-A9f9R21vMXxHZFNpYNeKFtG8_yji4HS352LGlSQ/edit?pli=1#gid=0"",""1_ACUM!A4:S""),18,FALSE))"),"")</f>
        <v/>
      </c>
      <c r="AJ549" s="44" t="str">
        <f ca="1">IFERROR(__xludf.DUMMYFUNCTION("IFERROR(VLOOKUP(E572&amp;F572,IMPORTRANGE(""https://docs.google.com/spreadsheets/d/1Uw7-A9f9R21vMXxHZFNpYNeKFtG8_yji4HS352LGlSQ/edit?pli=1#gid=0"",""1_ACUM!A4:S""),19,FALSE))"),"")</f>
        <v/>
      </c>
      <c r="AK549" s="98" t="str">
        <f ca="1">IFERROR(__xludf.DUMMYFUNCTION("IFERROR(VLOOKUP(F572,IMPORTRANGE(""https://docs.google.com/spreadsheets/d/1Kvs4KS76FHFqLFIZfrDMff4kP08nblUkihrxltoGBjg/edit#gid=934712705"",""ESENCIAL!A6:BG""),5,FALSE))"),"")</f>
        <v/>
      </c>
      <c r="AL549" s="98" t="str">
        <f t="shared" si="35"/>
        <v/>
      </c>
      <c r="AM549" s="99" t="str">
        <f t="shared" si="36"/>
        <v/>
      </c>
      <c r="AN549" s="100" t="str">
        <f ca="1">IFERROR(__xludf.DUMMYFUNCTION("IFERROR(VLOOKUP(F572,IMPORTRANGE(""https://docs.google.com/spreadsheets/d/1Kvs4KS76FHFqLFIZfrDMff4kP08nblUkihrxltoGBjg/edit#gid=934712705"",""ESENCIAL!A6:BG""),2,FALSE))"),"")</f>
        <v/>
      </c>
      <c r="AO549" s="19" t="str">
        <f t="shared" si="33"/>
        <v/>
      </c>
      <c r="AP549" s="100"/>
      <c r="AQ549" s="100"/>
    </row>
    <row r="550" spans="1:43" ht="15">
      <c r="A550" s="5"/>
      <c r="B550" s="5"/>
      <c r="G550" s="5" t="str">
        <f ca="1">IFERROR(__xludf.DUMMYFUNCTION("IFERROR(VLOOKUP(F573,IMPORTRANGE(""https://docs.google.com/spreadsheets/d/1Kvs4KS76FHFqLFIZfrDMff4kP08nblUkihrxltoGBjg/edit#gid=934712705"",""ESENCIAL!A6:BG""),3,FALSE))"),"")</f>
        <v/>
      </c>
      <c r="H550" s="5" t="str">
        <f ca="1">IFERROR(__xludf.DUMMYFUNCTION("IFERROR(VLOOKUP(F573,IMPORTRANGE(""https://docs.google.com/spreadsheets/d/1Kvs4KS76FHFqLFIZfrDMff4kP08nblUkihrxltoGBjg/edit#gid=934712705"",""ESENCIAL!A6:BG""),8,FALSE))"),"")</f>
        <v/>
      </c>
      <c r="L550" s="287"/>
      <c r="Z550" s="41" t="str">
        <f t="shared" si="34"/>
        <v/>
      </c>
      <c r="AA550" s="5" t="str">
        <f ca="1">IFERROR(__xludf.DUMMYFUNCTION("IFERROR(VLOOKUP(E573&amp;F573,IMPORTRANGE(""https://docs.google.com/spreadsheets/d/1Uw7-A9f9R21vMXxHZFNpYNeKFtG8_yji4HS352LGlSQ/edit?pli=1#gid=0"",""1_ACUM!A4:S""),11,FALSE))"),"")</f>
        <v/>
      </c>
      <c r="AB550" s="42" t="str">
        <f ca="1">IFERROR(__xludf.DUMMYFUNCTION("IFERROR(VLOOKUP(F573,IMPORTRANGE(""https://docs.google.com/spreadsheets/d/1Kvs4KS76FHFqLFIZfrDMff4kP08nblUkihrxltoGBjg/edit#gid=934712705"",""ESENCIAL!A6:BG""),15,FALSE))"),"")</f>
        <v/>
      </c>
      <c r="AC550" s="110" t="str">
        <f ca="1">IFERROR(__xludf.DUMMYFUNCTION("IFERROR(VLOOKUP(E573&amp;F573,IMPORTRANGE(""https://docs.google.com/spreadsheets/d/1Uw7-A9f9R21vMXxHZFNpYNeKFtG8_yji4HS352LGlSQ/edit?pli=1#gid=0"",""1_ACUM!A4:S""),13,FALSE))"),"")</f>
        <v/>
      </c>
      <c r="AD550" s="43" t="str">
        <f ca="1">IFERROR(__xludf.DUMMYFUNCTION("IFERROR(VLOOKUP(E573&amp;F573,IMPORTRANGE(""https://docs.google.com/spreadsheets/d/1Uw7-A9f9R21vMXxHZFNpYNeKFtG8_yji4HS352LGlSQ/edit?pli=1#gid=0"",""1_ACUM!A4:S""),13,FALSE))"),"")</f>
        <v/>
      </c>
      <c r="AE550" s="43" t="str">
        <f ca="1">IFERROR(__xludf.DUMMYFUNCTION("IFERROR(VLOOKUP(E573&amp;F573,IMPORTRANGE(""https://docs.google.com/spreadsheets/d/1Uw7-A9f9R21vMXxHZFNpYNeKFtG8_yji4HS352LGlSQ/edit?pli=1#gid=0"",""1_ACUM!A4:S""),14,FALSE))"),"")</f>
        <v/>
      </c>
      <c r="AF550" s="43" t="str">
        <f ca="1">IFERROR(__xludf.DUMMYFUNCTION("IFERROR(VLOOKUP(E573&amp;F573,IMPORTRANGE(""https://docs.google.com/spreadsheets/d/1Uw7-A9f9R21vMXxHZFNpYNeKFtG8_yji4HS352LGlSQ/edit?pli=1#gid=0"",""1_ACUM!A4:S""),15,FALSE))"),"")</f>
        <v/>
      </c>
      <c r="AG550" s="43" t="str">
        <f ca="1">IFERROR(__xludf.DUMMYFUNCTION("IFERROR(VLOOKUP(E573&amp;F573,IMPORTRANGE(""https://docs.google.com/spreadsheets/d/1Uw7-A9f9R21vMXxHZFNpYNeKFtG8_yji4HS352LGlSQ/edit?pli=1#gid=0"",""1_ACUM!A4:S""),16,FALSE))"),"")</f>
        <v/>
      </c>
      <c r="AH550" s="43" t="str">
        <f ca="1">IFERROR(__xludf.DUMMYFUNCTION("IFERROR(VLOOKUP(E573&amp;F573,IMPORTRANGE(""https://docs.google.com/spreadsheets/d/1Uw7-A9f9R21vMXxHZFNpYNeKFtG8_yji4HS352LGlSQ/edit?pli=1#gid=0"",""1_ACUM!A4:S""),17,FALSE))"),"")</f>
        <v/>
      </c>
      <c r="AI550" s="44" t="str">
        <f ca="1">IFERROR(__xludf.DUMMYFUNCTION("IFERROR(VLOOKUP(E573&amp;F573,IMPORTRANGE(""https://docs.google.com/spreadsheets/d/1Uw7-A9f9R21vMXxHZFNpYNeKFtG8_yji4HS352LGlSQ/edit?pli=1#gid=0"",""1_ACUM!A4:S""),18,FALSE))"),"")</f>
        <v/>
      </c>
      <c r="AJ550" s="44" t="str">
        <f ca="1">IFERROR(__xludf.DUMMYFUNCTION("IFERROR(VLOOKUP(E573&amp;F573,IMPORTRANGE(""https://docs.google.com/spreadsheets/d/1Uw7-A9f9R21vMXxHZFNpYNeKFtG8_yji4HS352LGlSQ/edit?pli=1#gid=0"",""1_ACUM!A4:S""),19,FALSE))"),"")</f>
        <v/>
      </c>
      <c r="AK550" s="98" t="str">
        <f ca="1">IFERROR(__xludf.DUMMYFUNCTION("IFERROR(VLOOKUP(F573,IMPORTRANGE(""https://docs.google.com/spreadsheets/d/1Kvs4KS76FHFqLFIZfrDMff4kP08nblUkihrxltoGBjg/edit#gid=934712705"",""ESENCIAL!A6:BG""),5,FALSE))"),"")</f>
        <v/>
      </c>
      <c r="AL550" s="98" t="str">
        <f t="shared" si="35"/>
        <v/>
      </c>
      <c r="AM550" s="99" t="str">
        <f t="shared" si="36"/>
        <v/>
      </c>
      <c r="AN550" s="100" t="str">
        <f ca="1">IFERROR(__xludf.DUMMYFUNCTION("IFERROR(VLOOKUP(F573,IMPORTRANGE(""https://docs.google.com/spreadsheets/d/1Kvs4KS76FHFqLFIZfrDMff4kP08nblUkihrxltoGBjg/edit#gid=934712705"",""ESENCIAL!A6:BG""),2,FALSE))"),"")</f>
        <v/>
      </c>
      <c r="AO550" s="19" t="str">
        <f t="shared" si="33"/>
        <v/>
      </c>
      <c r="AP550" s="100"/>
      <c r="AQ550" s="100"/>
    </row>
    <row r="551" spans="1:43" ht="15">
      <c r="A551" s="5"/>
      <c r="B551" s="5"/>
      <c r="G551" s="5" t="str">
        <f ca="1">IFERROR(__xludf.DUMMYFUNCTION("IFERROR(VLOOKUP(F574,IMPORTRANGE(""https://docs.google.com/spreadsheets/d/1Kvs4KS76FHFqLFIZfrDMff4kP08nblUkihrxltoGBjg/edit#gid=934712705"",""ESENCIAL!A6:BG""),3,FALSE))"),"")</f>
        <v/>
      </c>
      <c r="H551" s="5" t="str">
        <f ca="1">IFERROR(__xludf.DUMMYFUNCTION("IFERROR(VLOOKUP(F574,IMPORTRANGE(""https://docs.google.com/spreadsheets/d/1Kvs4KS76FHFqLFIZfrDMff4kP08nblUkihrxltoGBjg/edit#gid=934712705"",""ESENCIAL!A6:BG""),8,FALSE))"),"")</f>
        <v/>
      </c>
      <c r="L551" s="287"/>
      <c r="Z551" s="41" t="str">
        <f t="shared" si="34"/>
        <v/>
      </c>
      <c r="AA551" s="5" t="str">
        <f ca="1">IFERROR(__xludf.DUMMYFUNCTION("IFERROR(VLOOKUP(E574&amp;F574,IMPORTRANGE(""https://docs.google.com/spreadsheets/d/1Uw7-A9f9R21vMXxHZFNpYNeKFtG8_yji4HS352LGlSQ/edit?pli=1#gid=0"",""1_ACUM!A4:S""),11,FALSE))"),"")</f>
        <v/>
      </c>
      <c r="AB551" s="42" t="str">
        <f ca="1">IFERROR(__xludf.DUMMYFUNCTION("IFERROR(VLOOKUP(F574,IMPORTRANGE(""https://docs.google.com/spreadsheets/d/1Kvs4KS76FHFqLFIZfrDMff4kP08nblUkihrxltoGBjg/edit#gid=934712705"",""ESENCIAL!A6:BG""),15,FALSE))"),"")</f>
        <v/>
      </c>
      <c r="AC551" s="110" t="str">
        <f ca="1">IFERROR(__xludf.DUMMYFUNCTION("IFERROR(VLOOKUP(E574&amp;F574,IMPORTRANGE(""https://docs.google.com/spreadsheets/d/1Uw7-A9f9R21vMXxHZFNpYNeKFtG8_yji4HS352LGlSQ/edit?pli=1#gid=0"",""1_ACUM!A4:S""),13,FALSE))"),"")</f>
        <v/>
      </c>
      <c r="AD551" s="43" t="str">
        <f ca="1">IFERROR(__xludf.DUMMYFUNCTION("IFERROR(VLOOKUP(E574&amp;F574,IMPORTRANGE(""https://docs.google.com/spreadsheets/d/1Uw7-A9f9R21vMXxHZFNpYNeKFtG8_yji4HS352LGlSQ/edit?pli=1#gid=0"",""1_ACUM!A4:S""),13,FALSE))"),"")</f>
        <v/>
      </c>
      <c r="AE551" s="43" t="str">
        <f ca="1">IFERROR(__xludf.DUMMYFUNCTION("IFERROR(VLOOKUP(E574&amp;F574,IMPORTRANGE(""https://docs.google.com/spreadsheets/d/1Uw7-A9f9R21vMXxHZFNpYNeKFtG8_yji4HS352LGlSQ/edit?pli=1#gid=0"",""1_ACUM!A4:S""),14,FALSE))"),"")</f>
        <v/>
      </c>
      <c r="AF551" s="43" t="str">
        <f ca="1">IFERROR(__xludf.DUMMYFUNCTION("IFERROR(VLOOKUP(E574&amp;F574,IMPORTRANGE(""https://docs.google.com/spreadsheets/d/1Uw7-A9f9R21vMXxHZFNpYNeKFtG8_yji4HS352LGlSQ/edit?pli=1#gid=0"",""1_ACUM!A4:S""),15,FALSE))"),"")</f>
        <v/>
      </c>
      <c r="AG551" s="43" t="str">
        <f ca="1">IFERROR(__xludf.DUMMYFUNCTION("IFERROR(VLOOKUP(E574&amp;F574,IMPORTRANGE(""https://docs.google.com/spreadsheets/d/1Uw7-A9f9R21vMXxHZFNpYNeKFtG8_yji4HS352LGlSQ/edit?pli=1#gid=0"",""1_ACUM!A4:S""),16,FALSE))"),"")</f>
        <v/>
      </c>
      <c r="AH551" s="43" t="str">
        <f ca="1">IFERROR(__xludf.DUMMYFUNCTION("IFERROR(VLOOKUP(E574&amp;F574,IMPORTRANGE(""https://docs.google.com/spreadsheets/d/1Uw7-A9f9R21vMXxHZFNpYNeKFtG8_yji4HS352LGlSQ/edit?pli=1#gid=0"",""1_ACUM!A4:S""),17,FALSE))"),"")</f>
        <v/>
      </c>
      <c r="AI551" s="44" t="str">
        <f ca="1">IFERROR(__xludf.DUMMYFUNCTION("IFERROR(VLOOKUP(E574&amp;F574,IMPORTRANGE(""https://docs.google.com/spreadsheets/d/1Uw7-A9f9R21vMXxHZFNpYNeKFtG8_yji4HS352LGlSQ/edit?pli=1#gid=0"",""1_ACUM!A4:S""),18,FALSE))"),"")</f>
        <v/>
      </c>
      <c r="AJ551" s="44" t="str">
        <f ca="1">IFERROR(__xludf.DUMMYFUNCTION("IFERROR(VLOOKUP(E574&amp;F574,IMPORTRANGE(""https://docs.google.com/spreadsheets/d/1Uw7-A9f9R21vMXxHZFNpYNeKFtG8_yji4HS352LGlSQ/edit?pli=1#gid=0"",""1_ACUM!A4:S""),19,FALSE))"),"")</f>
        <v/>
      </c>
      <c r="AK551" s="98" t="str">
        <f ca="1">IFERROR(__xludf.DUMMYFUNCTION("IFERROR(VLOOKUP(F574,IMPORTRANGE(""https://docs.google.com/spreadsheets/d/1Kvs4KS76FHFqLFIZfrDMff4kP08nblUkihrxltoGBjg/edit#gid=934712705"",""ESENCIAL!A6:BG""),5,FALSE))"),"")</f>
        <v/>
      </c>
      <c r="AL551" s="98" t="str">
        <f t="shared" si="35"/>
        <v/>
      </c>
      <c r="AM551" s="99" t="str">
        <f t="shared" si="36"/>
        <v/>
      </c>
      <c r="AN551" s="100" t="str">
        <f ca="1">IFERROR(__xludf.DUMMYFUNCTION("IFERROR(VLOOKUP(F574,IMPORTRANGE(""https://docs.google.com/spreadsheets/d/1Kvs4KS76FHFqLFIZfrDMff4kP08nblUkihrxltoGBjg/edit#gid=934712705"",""ESENCIAL!A6:BG""),2,FALSE))"),"")</f>
        <v/>
      </c>
      <c r="AO551" s="19" t="str">
        <f t="shared" si="33"/>
        <v/>
      </c>
      <c r="AP551" s="100"/>
      <c r="AQ551" s="100"/>
    </row>
    <row r="552" spans="1:43" ht="15">
      <c r="A552" s="5"/>
      <c r="B552" s="5"/>
      <c r="G552" s="5" t="str">
        <f ca="1">IFERROR(__xludf.DUMMYFUNCTION("IFERROR(VLOOKUP(F575,IMPORTRANGE(""https://docs.google.com/spreadsheets/d/1Kvs4KS76FHFqLFIZfrDMff4kP08nblUkihrxltoGBjg/edit#gid=934712705"",""ESENCIAL!A6:BG""),3,FALSE))"),"")</f>
        <v/>
      </c>
      <c r="H552" s="5" t="str">
        <f ca="1">IFERROR(__xludf.DUMMYFUNCTION("IFERROR(VLOOKUP(F575,IMPORTRANGE(""https://docs.google.com/spreadsheets/d/1Kvs4KS76FHFqLFIZfrDMff4kP08nblUkihrxltoGBjg/edit#gid=934712705"",""ESENCIAL!A6:BG""),8,FALSE))"),"")</f>
        <v/>
      </c>
      <c r="L552" s="287"/>
      <c r="Z552" s="41" t="str">
        <f t="shared" si="34"/>
        <v/>
      </c>
      <c r="AA552" s="5" t="str">
        <f ca="1">IFERROR(__xludf.DUMMYFUNCTION("IFERROR(VLOOKUP(E575&amp;F575,IMPORTRANGE(""https://docs.google.com/spreadsheets/d/1Uw7-A9f9R21vMXxHZFNpYNeKFtG8_yji4HS352LGlSQ/edit?pli=1#gid=0"",""1_ACUM!A4:S""),11,FALSE))"),"")</f>
        <v/>
      </c>
      <c r="AB552" s="42" t="str">
        <f ca="1">IFERROR(__xludf.DUMMYFUNCTION("IFERROR(VLOOKUP(F575,IMPORTRANGE(""https://docs.google.com/spreadsheets/d/1Kvs4KS76FHFqLFIZfrDMff4kP08nblUkihrxltoGBjg/edit#gid=934712705"",""ESENCIAL!A6:BG""),15,FALSE))"),"")</f>
        <v/>
      </c>
      <c r="AC552" s="110" t="str">
        <f ca="1">IFERROR(__xludf.DUMMYFUNCTION("IFERROR(VLOOKUP(E575&amp;F575,IMPORTRANGE(""https://docs.google.com/spreadsheets/d/1Uw7-A9f9R21vMXxHZFNpYNeKFtG8_yji4HS352LGlSQ/edit?pli=1#gid=0"",""1_ACUM!A4:S""),13,FALSE))"),"")</f>
        <v/>
      </c>
      <c r="AD552" s="43" t="str">
        <f ca="1">IFERROR(__xludf.DUMMYFUNCTION("IFERROR(VLOOKUP(E575&amp;F575,IMPORTRANGE(""https://docs.google.com/spreadsheets/d/1Uw7-A9f9R21vMXxHZFNpYNeKFtG8_yji4HS352LGlSQ/edit?pli=1#gid=0"",""1_ACUM!A4:S""),13,FALSE))"),"")</f>
        <v/>
      </c>
      <c r="AE552" s="43" t="str">
        <f ca="1">IFERROR(__xludf.DUMMYFUNCTION("IFERROR(VLOOKUP(E575&amp;F575,IMPORTRANGE(""https://docs.google.com/spreadsheets/d/1Uw7-A9f9R21vMXxHZFNpYNeKFtG8_yji4HS352LGlSQ/edit?pli=1#gid=0"",""1_ACUM!A4:S""),14,FALSE))"),"")</f>
        <v/>
      </c>
      <c r="AF552" s="43" t="str">
        <f ca="1">IFERROR(__xludf.DUMMYFUNCTION("IFERROR(VLOOKUP(E575&amp;F575,IMPORTRANGE(""https://docs.google.com/spreadsheets/d/1Uw7-A9f9R21vMXxHZFNpYNeKFtG8_yji4HS352LGlSQ/edit?pli=1#gid=0"",""1_ACUM!A4:S""),15,FALSE))"),"")</f>
        <v/>
      </c>
      <c r="AG552" s="43" t="str">
        <f ca="1">IFERROR(__xludf.DUMMYFUNCTION("IFERROR(VLOOKUP(E575&amp;F575,IMPORTRANGE(""https://docs.google.com/spreadsheets/d/1Uw7-A9f9R21vMXxHZFNpYNeKFtG8_yji4HS352LGlSQ/edit?pli=1#gid=0"",""1_ACUM!A4:S""),16,FALSE))"),"")</f>
        <v/>
      </c>
      <c r="AH552" s="43" t="str">
        <f ca="1">IFERROR(__xludf.DUMMYFUNCTION("IFERROR(VLOOKUP(E575&amp;F575,IMPORTRANGE(""https://docs.google.com/spreadsheets/d/1Uw7-A9f9R21vMXxHZFNpYNeKFtG8_yji4HS352LGlSQ/edit?pli=1#gid=0"",""1_ACUM!A4:S""),17,FALSE))"),"")</f>
        <v/>
      </c>
      <c r="AI552" s="44" t="str">
        <f ca="1">IFERROR(__xludf.DUMMYFUNCTION("IFERROR(VLOOKUP(E575&amp;F575,IMPORTRANGE(""https://docs.google.com/spreadsheets/d/1Uw7-A9f9R21vMXxHZFNpYNeKFtG8_yji4HS352LGlSQ/edit?pli=1#gid=0"",""1_ACUM!A4:S""),18,FALSE))"),"")</f>
        <v/>
      </c>
      <c r="AJ552" s="44" t="str">
        <f ca="1">IFERROR(__xludf.DUMMYFUNCTION("IFERROR(VLOOKUP(E575&amp;F575,IMPORTRANGE(""https://docs.google.com/spreadsheets/d/1Uw7-A9f9R21vMXxHZFNpYNeKFtG8_yji4HS352LGlSQ/edit?pli=1#gid=0"",""1_ACUM!A4:S""),19,FALSE))"),"")</f>
        <v/>
      </c>
      <c r="AK552" s="98" t="str">
        <f ca="1">IFERROR(__xludf.DUMMYFUNCTION("IFERROR(VLOOKUP(F575,IMPORTRANGE(""https://docs.google.com/spreadsheets/d/1Kvs4KS76FHFqLFIZfrDMff4kP08nblUkihrxltoGBjg/edit#gid=934712705"",""ESENCIAL!A6:BG""),5,FALSE))"),"")</f>
        <v/>
      </c>
      <c r="AL552" s="98" t="str">
        <f t="shared" si="35"/>
        <v/>
      </c>
      <c r="AM552" s="99" t="str">
        <f t="shared" si="36"/>
        <v/>
      </c>
      <c r="AN552" s="100" t="str">
        <f ca="1">IFERROR(__xludf.DUMMYFUNCTION("IFERROR(VLOOKUP(F575,IMPORTRANGE(""https://docs.google.com/spreadsheets/d/1Kvs4KS76FHFqLFIZfrDMff4kP08nblUkihrxltoGBjg/edit#gid=934712705"",""ESENCIAL!A6:BG""),2,FALSE))"),"")</f>
        <v/>
      </c>
      <c r="AO552" s="19" t="str">
        <f t="shared" si="33"/>
        <v/>
      </c>
      <c r="AP552" s="100"/>
      <c r="AQ552" s="100"/>
    </row>
    <row r="553" spans="1:43" ht="15">
      <c r="A553" s="5"/>
      <c r="B553" s="5"/>
      <c r="G553" s="5" t="str">
        <f ca="1">IFERROR(__xludf.DUMMYFUNCTION("IFERROR(VLOOKUP(F576,IMPORTRANGE(""https://docs.google.com/spreadsheets/d/1Kvs4KS76FHFqLFIZfrDMff4kP08nblUkihrxltoGBjg/edit#gid=934712705"",""ESENCIAL!A6:BG""),3,FALSE))"),"")</f>
        <v/>
      </c>
      <c r="H553" s="5" t="str">
        <f ca="1">IFERROR(__xludf.DUMMYFUNCTION("IFERROR(VLOOKUP(F576,IMPORTRANGE(""https://docs.google.com/spreadsheets/d/1Kvs4KS76FHFqLFIZfrDMff4kP08nblUkihrxltoGBjg/edit#gid=934712705"",""ESENCIAL!A6:BG""),8,FALSE))"),"")</f>
        <v/>
      </c>
      <c r="L553" s="287"/>
      <c r="Z553" s="41" t="str">
        <f t="shared" si="34"/>
        <v/>
      </c>
      <c r="AA553" s="5" t="str">
        <f ca="1">IFERROR(__xludf.DUMMYFUNCTION("IFERROR(VLOOKUP(E576&amp;F576,IMPORTRANGE(""https://docs.google.com/spreadsheets/d/1Uw7-A9f9R21vMXxHZFNpYNeKFtG8_yji4HS352LGlSQ/edit?pli=1#gid=0"",""1_ACUM!A4:S""),11,FALSE))"),"")</f>
        <v/>
      </c>
      <c r="AB553" s="42" t="str">
        <f ca="1">IFERROR(__xludf.DUMMYFUNCTION("IFERROR(VLOOKUP(F576,IMPORTRANGE(""https://docs.google.com/spreadsheets/d/1Kvs4KS76FHFqLFIZfrDMff4kP08nblUkihrxltoGBjg/edit#gid=934712705"",""ESENCIAL!A6:BG""),15,FALSE))"),"")</f>
        <v/>
      </c>
      <c r="AC553" s="110" t="str">
        <f ca="1">IFERROR(__xludf.DUMMYFUNCTION("IFERROR(VLOOKUP(E576&amp;F576,IMPORTRANGE(""https://docs.google.com/spreadsheets/d/1Uw7-A9f9R21vMXxHZFNpYNeKFtG8_yji4HS352LGlSQ/edit?pli=1#gid=0"",""1_ACUM!A4:S""),13,FALSE))"),"")</f>
        <v/>
      </c>
      <c r="AD553" s="43" t="str">
        <f ca="1">IFERROR(__xludf.DUMMYFUNCTION("IFERROR(VLOOKUP(E576&amp;F576,IMPORTRANGE(""https://docs.google.com/spreadsheets/d/1Uw7-A9f9R21vMXxHZFNpYNeKFtG8_yji4HS352LGlSQ/edit?pli=1#gid=0"",""1_ACUM!A4:S""),13,FALSE))"),"")</f>
        <v/>
      </c>
      <c r="AE553" s="43" t="str">
        <f ca="1">IFERROR(__xludf.DUMMYFUNCTION("IFERROR(VLOOKUP(E576&amp;F576,IMPORTRANGE(""https://docs.google.com/spreadsheets/d/1Uw7-A9f9R21vMXxHZFNpYNeKFtG8_yji4HS352LGlSQ/edit?pli=1#gid=0"",""1_ACUM!A4:S""),14,FALSE))"),"")</f>
        <v/>
      </c>
      <c r="AF553" s="43" t="str">
        <f ca="1">IFERROR(__xludf.DUMMYFUNCTION("IFERROR(VLOOKUP(E576&amp;F576,IMPORTRANGE(""https://docs.google.com/spreadsheets/d/1Uw7-A9f9R21vMXxHZFNpYNeKFtG8_yji4HS352LGlSQ/edit?pli=1#gid=0"",""1_ACUM!A4:S""),15,FALSE))"),"")</f>
        <v/>
      </c>
      <c r="AG553" s="43" t="str">
        <f ca="1">IFERROR(__xludf.DUMMYFUNCTION("IFERROR(VLOOKUP(E576&amp;F576,IMPORTRANGE(""https://docs.google.com/spreadsheets/d/1Uw7-A9f9R21vMXxHZFNpYNeKFtG8_yji4HS352LGlSQ/edit?pli=1#gid=0"",""1_ACUM!A4:S""),16,FALSE))"),"")</f>
        <v/>
      </c>
      <c r="AH553" s="43" t="str">
        <f ca="1">IFERROR(__xludf.DUMMYFUNCTION("IFERROR(VLOOKUP(E576&amp;F576,IMPORTRANGE(""https://docs.google.com/spreadsheets/d/1Uw7-A9f9R21vMXxHZFNpYNeKFtG8_yji4HS352LGlSQ/edit?pli=1#gid=0"",""1_ACUM!A4:S""),17,FALSE))"),"")</f>
        <v/>
      </c>
      <c r="AI553" s="44" t="str">
        <f ca="1">IFERROR(__xludf.DUMMYFUNCTION("IFERROR(VLOOKUP(E576&amp;F576,IMPORTRANGE(""https://docs.google.com/spreadsheets/d/1Uw7-A9f9R21vMXxHZFNpYNeKFtG8_yji4HS352LGlSQ/edit?pli=1#gid=0"",""1_ACUM!A4:S""),18,FALSE))"),"")</f>
        <v/>
      </c>
      <c r="AJ553" s="44" t="str">
        <f ca="1">IFERROR(__xludf.DUMMYFUNCTION("IFERROR(VLOOKUP(E576&amp;F576,IMPORTRANGE(""https://docs.google.com/spreadsheets/d/1Uw7-A9f9R21vMXxHZFNpYNeKFtG8_yji4HS352LGlSQ/edit?pli=1#gid=0"",""1_ACUM!A4:S""),19,FALSE))"),"")</f>
        <v/>
      </c>
      <c r="AK553" s="98" t="str">
        <f ca="1">IFERROR(__xludf.DUMMYFUNCTION("IFERROR(VLOOKUP(F576,IMPORTRANGE(""https://docs.google.com/spreadsheets/d/1Kvs4KS76FHFqLFIZfrDMff4kP08nblUkihrxltoGBjg/edit#gid=934712705"",""ESENCIAL!A6:BG""),5,FALSE))"),"")</f>
        <v/>
      </c>
      <c r="AL553" s="98" t="str">
        <f t="shared" si="35"/>
        <v/>
      </c>
      <c r="AM553" s="99" t="str">
        <f t="shared" si="36"/>
        <v/>
      </c>
      <c r="AN553" s="100" t="str">
        <f ca="1">IFERROR(__xludf.DUMMYFUNCTION("IFERROR(VLOOKUP(F576,IMPORTRANGE(""https://docs.google.com/spreadsheets/d/1Kvs4KS76FHFqLFIZfrDMff4kP08nblUkihrxltoGBjg/edit#gid=934712705"",""ESENCIAL!A6:BG""),2,FALSE))"),"")</f>
        <v/>
      </c>
      <c r="AO553" s="19" t="str">
        <f t="shared" si="33"/>
        <v/>
      </c>
      <c r="AP553" s="100"/>
      <c r="AQ553" s="100"/>
    </row>
    <row r="554" spans="1:43" ht="15">
      <c r="A554" s="5"/>
      <c r="B554" s="5"/>
      <c r="G554" s="5" t="str">
        <f ca="1">IFERROR(__xludf.DUMMYFUNCTION("IFERROR(VLOOKUP(F577,IMPORTRANGE(""https://docs.google.com/spreadsheets/d/1Kvs4KS76FHFqLFIZfrDMff4kP08nblUkihrxltoGBjg/edit#gid=934712705"",""ESENCIAL!A6:BG""),3,FALSE))"),"")</f>
        <v/>
      </c>
      <c r="H554" s="5" t="str">
        <f ca="1">IFERROR(__xludf.DUMMYFUNCTION("IFERROR(VLOOKUP(F577,IMPORTRANGE(""https://docs.google.com/spreadsheets/d/1Kvs4KS76FHFqLFIZfrDMff4kP08nblUkihrxltoGBjg/edit#gid=934712705"",""ESENCIAL!A6:BG""),8,FALSE))"),"")</f>
        <v/>
      </c>
      <c r="L554" s="287"/>
      <c r="Z554" s="41" t="str">
        <f t="shared" si="34"/>
        <v/>
      </c>
      <c r="AA554" s="5" t="str">
        <f ca="1">IFERROR(__xludf.DUMMYFUNCTION("IFERROR(VLOOKUP(E577&amp;F577,IMPORTRANGE(""https://docs.google.com/spreadsheets/d/1Uw7-A9f9R21vMXxHZFNpYNeKFtG8_yji4HS352LGlSQ/edit?pli=1#gid=0"",""1_ACUM!A4:S""),11,FALSE))"),"")</f>
        <v/>
      </c>
      <c r="AB554" s="42" t="str">
        <f ca="1">IFERROR(__xludf.DUMMYFUNCTION("IFERROR(VLOOKUP(F577,IMPORTRANGE(""https://docs.google.com/spreadsheets/d/1Kvs4KS76FHFqLFIZfrDMff4kP08nblUkihrxltoGBjg/edit#gid=934712705"",""ESENCIAL!A6:BG""),15,FALSE))"),"")</f>
        <v/>
      </c>
      <c r="AC554" s="110" t="str">
        <f ca="1">IFERROR(__xludf.DUMMYFUNCTION("IFERROR(VLOOKUP(E577&amp;F577,IMPORTRANGE(""https://docs.google.com/spreadsheets/d/1Uw7-A9f9R21vMXxHZFNpYNeKFtG8_yji4HS352LGlSQ/edit?pli=1#gid=0"",""1_ACUM!A4:S""),13,FALSE))"),"")</f>
        <v/>
      </c>
      <c r="AD554" s="43" t="str">
        <f ca="1">IFERROR(__xludf.DUMMYFUNCTION("IFERROR(VLOOKUP(E577&amp;F577,IMPORTRANGE(""https://docs.google.com/spreadsheets/d/1Uw7-A9f9R21vMXxHZFNpYNeKFtG8_yji4HS352LGlSQ/edit?pli=1#gid=0"",""1_ACUM!A4:S""),13,FALSE))"),"")</f>
        <v/>
      </c>
      <c r="AE554" s="43" t="str">
        <f ca="1">IFERROR(__xludf.DUMMYFUNCTION("IFERROR(VLOOKUP(E577&amp;F577,IMPORTRANGE(""https://docs.google.com/spreadsheets/d/1Uw7-A9f9R21vMXxHZFNpYNeKFtG8_yji4HS352LGlSQ/edit?pli=1#gid=0"",""1_ACUM!A4:S""),14,FALSE))"),"")</f>
        <v/>
      </c>
      <c r="AF554" s="43" t="str">
        <f ca="1">IFERROR(__xludf.DUMMYFUNCTION("IFERROR(VLOOKUP(E577&amp;F577,IMPORTRANGE(""https://docs.google.com/spreadsheets/d/1Uw7-A9f9R21vMXxHZFNpYNeKFtG8_yji4HS352LGlSQ/edit?pli=1#gid=0"",""1_ACUM!A4:S""),15,FALSE))"),"")</f>
        <v/>
      </c>
      <c r="AG554" s="43" t="str">
        <f ca="1">IFERROR(__xludf.DUMMYFUNCTION("IFERROR(VLOOKUP(E577&amp;F577,IMPORTRANGE(""https://docs.google.com/spreadsheets/d/1Uw7-A9f9R21vMXxHZFNpYNeKFtG8_yji4HS352LGlSQ/edit?pli=1#gid=0"",""1_ACUM!A4:S""),16,FALSE))"),"")</f>
        <v/>
      </c>
      <c r="AH554" s="43" t="str">
        <f ca="1">IFERROR(__xludf.DUMMYFUNCTION("IFERROR(VLOOKUP(E577&amp;F577,IMPORTRANGE(""https://docs.google.com/spreadsheets/d/1Uw7-A9f9R21vMXxHZFNpYNeKFtG8_yji4HS352LGlSQ/edit?pli=1#gid=0"",""1_ACUM!A4:S""),17,FALSE))"),"")</f>
        <v/>
      </c>
      <c r="AI554" s="44" t="str">
        <f ca="1">IFERROR(__xludf.DUMMYFUNCTION("IFERROR(VLOOKUP(E577&amp;F577,IMPORTRANGE(""https://docs.google.com/spreadsheets/d/1Uw7-A9f9R21vMXxHZFNpYNeKFtG8_yji4HS352LGlSQ/edit?pli=1#gid=0"",""1_ACUM!A4:S""),18,FALSE))"),"")</f>
        <v/>
      </c>
      <c r="AJ554" s="44" t="str">
        <f ca="1">IFERROR(__xludf.DUMMYFUNCTION("IFERROR(VLOOKUP(E577&amp;F577,IMPORTRANGE(""https://docs.google.com/spreadsheets/d/1Uw7-A9f9R21vMXxHZFNpYNeKFtG8_yji4HS352LGlSQ/edit?pli=1#gid=0"",""1_ACUM!A4:S""),19,FALSE))"),"")</f>
        <v/>
      </c>
      <c r="AK554" s="98" t="str">
        <f ca="1">IFERROR(__xludf.DUMMYFUNCTION("IFERROR(VLOOKUP(F577,IMPORTRANGE(""https://docs.google.com/spreadsheets/d/1Kvs4KS76FHFqLFIZfrDMff4kP08nblUkihrxltoGBjg/edit#gid=934712705"",""ESENCIAL!A6:BG""),5,FALSE))"),"")</f>
        <v/>
      </c>
      <c r="AL554" s="98" t="str">
        <f t="shared" si="35"/>
        <v/>
      </c>
      <c r="AM554" s="99" t="str">
        <f t="shared" si="36"/>
        <v/>
      </c>
      <c r="AN554" s="100" t="str">
        <f ca="1">IFERROR(__xludf.DUMMYFUNCTION("IFERROR(VLOOKUP(F577,IMPORTRANGE(""https://docs.google.com/spreadsheets/d/1Kvs4KS76FHFqLFIZfrDMff4kP08nblUkihrxltoGBjg/edit#gid=934712705"",""ESENCIAL!A6:BG""),2,FALSE))"),"")</f>
        <v/>
      </c>
      <c r="AO554" s="19" t="str">
        <f t="shared" si="33"/>
        <v/>
      </c>
      <c r="AP554" s="100"/>
      <c r="AQ554" s="100"/>
    </row>
    <row r="555" spans="1:43" ht="15">
      <c r="A555" s="5"/>
      <c r="B555" s="5"/>
      <c r="G555" s="5" t="str">
        <f ca="1">IFERROR(__xludf.DUMMYFUNCTION("IFERROR(VLOOKUP(F578,IMPORTRANGE(""https://docs.google.com/spreadsheets/d/1Kvs4KS76FHFqLFIZfrDMff4kP08nblUkihrxltoGBjg/edit#gid=934712705"",""ESENCIAL!A6:BG""),3,FALSE))"),"")</f>
        <v/>
      </c>
      <c r="H555" s="5" t="str">
        <f ca="1">IFERROR(__xludf.DUMMYFUNCTION("IFERROR(VLOOKUP(F578,IMPORTRANGE(""https://docs.google.com/spreadsheets/d/1Kvs4KS76FHFqLFIZfrDMff4kP08nblUkihrxltoGBjg/edit#gid=934712705"",""ESENCIAL!A6:BG""),8,FALSE))"),"")</f>
        <v/>
      </c>
      <c r="L555" s="287"/>
      <c r="Z555" s="41" t="str">
        <f t="shared" si="34"/>
        <v/>
      </c>
      <c r="AA555" s="5" t="str">
        <f ca="1">IFERROR(__xludf.DUMMYFUNCTION("IFERROR(VLOOKUP(E578&amp;F578,IMPORTRANGE(""https://docs.google.com/spreadsheets/d/1Uw7-A9f9R21vMXxHZFNpYNeKFtG8_yji4HS352LGlSQ/edit?pli=1#gid=0"",""1_ACUM!A4:S""),11,FALSE))"),"")</f>
        <v/>
      </c>
      <c r="AB555" s="42" t="str">
        <f ca="1">IFERROR(__xludf.DUMMYFUNCTION("IFERROR(VLOOKUP(F578,IMPORTRANGE(""https://docs.google.com/spreadsheets/d/1Kvs4KS76FHFqLFIZfrDMff4kP08nblUkihrxltoGBjg/edit#gid=934712705"",""ESENCIAL!A6:BG""),15,FALSE))"),"")</f>
        <v/>
      </c>
      <c r="AC555" s="110" t="str">
        <f ca="1">IFERROR(__xludf.DUMMYFUNCTION("IFERROR(VLOOKUP(E578&amp;F578,IMPORTRANGE(""https://docs.google.com/spreadsheets/d/1Uw7-A9f9R21vMXxHZFNpYNeKFtG8_yji4HS352LGlSQ/edit?pli=1#gid=0"",""1_ACUM!A4:S""),13,FALSE))"),"")</f>
        <v/>
      </c>
      <c r="AD555" s="43" t="str">
        <f ca="1">IFERROR(__xludf.DUMMYFUNCTION("IFERROR(VLOOKUP(E578&amp;F578,IMPORTRANGE(""https://docs.google.com/spreadsheets/d/1Uw7-A9f9R21vMXxHZFNpYNeKFtG8_yji4HS352LGlSQ/edit?pli=1#gid=0"",""1_ACUM!A4:S""),13,FALSE))"),"")</f>
        <v/>
      </c>
      <c r="AE555" s="43" t="str">
        <f ca="1">IFERROR(__xludf.DUMMYFUNCTION("IFERROR(VLOOKUP(E578&amp;F578,IMPORTRANGE(""https://docs.google.com/spreadsheets/d/1Uw7-A9f9R21vMXxHZFNpYNeKFtG8_yji4HS352LGlSQ/edit?pli=1#gid=0"",""1_ACUM!A4:S""),14,FALSE))"),"")</f>
        <v/>
      </c>
      <c r="AF555" s="43" t="str">
        <f ca="1">IFERROR(__xludf.DUMMYFUNCTION("IFERROR(VLOOKUP(E578&amp;F578,IMPORTRANGE(""https://docs.google.com/spreadsheets/d/1Uw7-A9f9R21vMXxHZFNpYNeKFtG8_yji4HS352LGlSQ/edit?pli=1#gid=0"",""1_ACUM!A4:S""),15,FALSE))"),"")</f>
        <v/>
      </c>
      <c r="AG555" s="43" t="str">
        <f ca="1">IFERROR(__xludf.DUMMYFUNCTION("IFERROR(VLOOKUP(E578&amp;F578,IMPORTRANGE(""https://docs.google.com/spreadsheets/d/1Uw7-A9f9R21vMXxHZFNpYNeKFtG8_yji4HS352LGlSQ/edit?pli=1#gid=0"",""1_ACUM!A4:S""),16,FALSE))"),"")</f>
        <v/>
      </c>
      <c r="AH555" s="43" t="str">
        <f ca="1">IFERROR(__xludf.DUMMYFUNCTION("IFERROR(VLOOKUP(E578&amp;F578,IMPORTRANGE(""https://docs.google.com/spreadsheets/d/1Uw7-A9f9R21vMXxHZFNpYNeKFtG8_yji4HS352LGlSQ/edit?pli=1#gid=0"",""1_ACUM!A4:S""),17,FALSE))"),"")</f>
        <v/>
      </c>
      <c r="AI555" s="44" t="str">
        <f ca="1">IFERROR(__xludf.DUMMYFUNCTION("IFERROR(VLOOKUP(E578&amp;F578,IMPORTRANGE(""https://docs.google.com/spreadsheets/d/1Uw7-A9f9R21vMXxHZFNpYNeKFtG8_yji4HS352LGlSQ/edit?pli=1#gid=0"",""1_ACUM!A4:S""),18,FALSE))"),"")</f>
        <v/>
      </c>
      <c r="AJ555" s="44" t="str">
        <f ca="1">IFERROR(__xludf.DUMMYFUNCTION("IFERROR(VLOOKUP(E578&amp;F578,IMPORTRANGE(""https://docs.google.com/spreadsheets/d/1Uw7-A9f9R21vMXxHZFNpYNeKFtG8_yji4HS352LGlSQ/edit?pli=1#gid=0"",""1_ACUM!A4:S""),19,FALSE))"),"")</f>
        <v/>
      </c>
      <c r="AK555" s="98" t="str">
        <f ca="1">IFERROR(__xludf.DUMMYFUNCTION("IFERROR(VLOOKUP(F578,IMPORTRANGE(""https://docs.google.com/spreadsheets/d/1Kvs4KS76FHFqLFIZfrDMff4kP08nblUkihrxltoGBjg/edit#gid=934712705"",""ESENCIAL!A6:BG""),5,FALSE))"),"")</f>
        <v/>
      </c>
      <c r="AL555" s="98" t="str">
        <f t="shared" si="35"/>
        <v/>
      </c>
      <c r="AM555" s="99" t="str">
        <f t="shared" si="36"/>
        <v/>
      </c>
      <c r="AN555" s="100" t="str">
        <f ca="1">IFERROR(__xludf.DUMMYFUNCTION("IFERROR(VLOOKUP(F578,IMPORTRANGE(""https://docs.google.com/spreadsheets/d/1Kvs4KS76FHFqLFIZfrDMff4kP08nblUkihrxltoGBjg/edit#gid=934712705"",""ESENCIAL!A6:BG""),2,FALSE))"),"")</f>
        <v/>
      </c>
      <c r="AO555" s="19" t="str">
        <f t="shared" si="33"/>
        <v/>
      </c>
      <c r="AP555" s="100"/>
      <c r="AQ555" s="100"/>
    </row>
    <row r="556" spans="1:43" ht="15">
      <c r="A556" s="5"/>
      <c r="B556" s="5"/>
      <c r="G556" s="5" t="str">
        <f ca="1">IFERROR(__xludf.DUMMYFUNCTION("IFERROR(VLOOKUP(F579,IMPORTRANGE(""https://docs.google.com/spreadsheets/d/1Kvs4KS76FHFqLFIZfrDMff4kP08nblUkihrxltoGBjg/edit#gid=934712705"",""ESENCIAL!A6:BG""),3,FALSE))"),"")</f>
        <v/>
      </c>
      <c r="H556" s="5" t="str">
        <f ca="1">IFERROR(__xludf.DUMMYFUNCTION("IFERROR(VLOOKUP(F579,IMPORTRANGE(""https://docs.google.com/spreadsheets/d/1Kvs4KS76FHFqLFIZfrDMff4kP08nblUkihrxltoGBjg/edit#gid=934712705"",""ESENCIAL!A6:BG""),8,FALSE))"),"")</f>
        <v/>
      </c>
      <c r="L556" s="287"/>
      <c r="Z556" s="41" t="str">
        <f t="shared" si="34"/>
        <v/>
      </c>
      <c r="AA556" s="5" t="str">
        <f ca="1">IFERROR(__xludf.DUMMYFUNCTION("IFERROR(VLOOKUP(E579&amp;F579,IMPORTRANGE(""https://docs.google.com/spreadsheets/d/1Uw7-A9f9R21vMXxHZFNpYNeKFtG8_yji4HS352LGlSQ/edit?pli=1#gid=0"",""1_ACUM!A4:S""),11,FALSE))"),"")</f>
        <v/>
      </c>
      <c r="AB556" s="42" t="str">
        <f ca="1">IFERROR(__xludf.DUMMYFUNCTION("IFERROR(VLOOKUP(F579,IMPORTRANGE(""https://docs.google.com/spreadsheets/d/1Kvs4KS76FHFqLFIZfrDMff4kP08nblUkihrxltoGBjg/edit#gid=934712705"",""ESENCIAL!A6:BG""),15,FALSE))"),"")</f>
        <v/>
      </c>
      <c r="AC556" s="110" t="str">
        <f ca="1">IFERROR(__xludf.DUMMYFUNCTION("IFERROR(VLOOKUP(E579&amp;F579,IMPORTRANGE(""https://docs.google.com/spreadsheets/d/1Uw7-A9f9R21vMXxHZFNpYNeKFtG8_yji4HS352LGlSQ/edit?pli=1#gid=0"",""1_ACUM!A4:S""),13,FALSE))"),"")</f>
        <v/>
      </c>
      <c r="AD556" s="43" t="str">
        <f ca="1">IFERROR(__xludf.DUMMYFUNCTION("IFERROR(VLOOKUP(E579&amp;F579,IMPORTRANGE(""https://docs.google.com/spreadsheets/d/1Uw7-A9f9R21vMXxHZFNpYNeKFtG8_yji4HS352LGlSQ/edit?pli=1#gid=0"",""1_ACUM!A4:S""),13,FALSE))"),"")</f>
        <v/>
      </c>
      <c r="AE556" s="43" t="str">
        <f ca="1">IFERROR(__xludf.DUMMYFUNCTION("IFERROR(VLOOKUP(E579&amp;F579,IMPORTRANGE(""https://docs.google.com/spreadsheets/d/1Uw7-A9f9R21vMXxHZFNpYNeKFtG8_yji4HS352LGlSQ/edit?pli=1#gid=0"",""1_ACUM!A4:S""),14,FALSE))"),"")</f>
        <v/>
      </c>
      <c r="AF556" s="43" t="str">
        <f ca="1">IFERROR(__xludf.DUMMYFUNCTION("IFERROR(VLOOKUP(E579&amp;F579,IMPORTRANGE(""https://docs.google.com/spreadsheets/d/1Uw7-A9f9R21vMXxHZFNpYNeKFtG8_yji4HS352LGlSQ/edit?pli=1#gid=0"",""1_ACUM!A4:S""),15,FALSE))"),"")</f>
        <v/>
      </c>
      <c r="AG556" s="43" t="str">
        <f ca="1">IFERROR(__xludf.DUMMYFUNCTION("IFERROR(VLOOKUP(E579&amp;F579,IMPORTRANGE(""https://docs.google.com/spreadsheets/d/1Uw7-A9f9R21vMXxHZFNpYNeKFtG8_yji4HS352LGlSQ/edit?pli=1#gid=0"",""1_ACUM!A4:S""),16,FALSE))"),"")</f>
        <v/>
      </c>
      <c r="AH556" s="43" t="str">
        <f ca="1">IFERROR(__xludf.DUMMYFUNCTION("IFERROR(VLOOKUP(E579&amp;F579,IMPORTRANGE(""https://docs.google.com/spreadsheets/d/1Uw7-A9f9R21vMXxHZFNpYNeKFtG8_yji4HS352LGlSQ/edit?pli=1#gid=0"",""1_ACUM!A4:S""),17,FALSE))"),"")</f>
        <v/>
      </c>
      <c r="AI556" s="44" t="str">
        <f ca="1">IFERROR(__xludf.DUMMYFUNCTION("IFERROR(VLOOKUP(E579&amp;F579,IMPORTRANGE(""https://docs.google.com/spreadsheets/d/1Uw7-A9f9R21vMXxHZFNpYNeKFtG8_yji4HS352LGlSQ/edit?pli=1#gid=0"",""1_ACUM!A4:S""),18,FALSE))"),"")</f>
        <v/>
      </c>
      <c r="AJ556" s="44" t="str">
        <f ca="1">IFERROR(__xludf.DUMMYFUNCTION("IFERROR(VLOOKUP(E579&amp;F579,IMPORTRANGE(""https://docs.google.com/spreadsheets/d/1Uw7-A9f9R21vMXxHZFNpYNeKFtG8_yji4HS352LGlSQ/edit?pli=1#gid=0"",""1_ACUM!A4:S""),19,FALSE))"),"")</f>
        <v/>
      </c>
      <c r="AK556" s="98" t="str">
        <f ca="1">IFERROR(__xludf.DUMMYFUNCTION("IFERROR(VLOOKUP(F579,IMPORTRANGE(""https://docs.google.com/spreadsheets/d/1Kvs4KS76FHFqLFIZfrDMff4kP08nblUkihrxltoGBjg/edit#gid=934712705"",""ESENCIAL!A6:BG""),5,FALSE))"),"")</f>
        <v/>
      </c>
      <c r="AL556" s="98" t="str">
        <f t="shared" si="35"/>
        <v/>
      </c>
      <c r="AM556" s="99" t="str">
        <f t="shared" si="36"/>
        <v/>
      </c>
      <c r="AN556" s="100" t="str">
        <f ca="1">IFERROR(__xludf.DUMMYFUNCTION("IFERROR(VLOOKUP(F579,IMPORTRANGE(""https://docs.google.com/spreadsheets/d/1Kvs4KS76FHFqLFIZfrDMff4kP08nblUkihrxltoGBjg/edit#gid=934712705"",""ESENCIAL!A6:BG""),2,FALSE))"),"")</f>
        <v/>
      </c>
      <c r="AO556" s="19" t="str">
        <f t="shared" si="33"/>
        <v/>
      </c>
      <c r="AP556" s="100"/>
      <c r="AQ556" s="100"/>
    </row>
    <row r="557" spans="1:43" ht="15">
      <c r="A557" s="5"/>
      <c r="B557" s="5"/>
      <c r="G557" s="5" t="str">
        <f ca="1">IFERROR(__xludf.DUMMYFUNCTION("IFERROR(VLOOKUP(F580,IMPORTRANGE(""https://docs.google.com/spreadsheets/d/1Kvs4KS76FHFqLFIZfrDMff4kP08nblUkihrxltoGBjg/edit#gid=934712705"",""ESENCIAL!A6:BG""),3,FALSE))"),"")</f>
        <v/>
      </c>
      <c r="H557" s="5" t="str">
        <f ca="1">IFERROR(__xludf.DUMMYFUNCTION("IFERROR(VLOOKUP(F580,IMPORTRANGE(""https://docs.google.com/spreadsheets/d/1Kvs4KS76FHFqLFIZfrDMff4kP08nblUkihrxltoGBjg/edit#gid=934712705"",""ESENCIAL!A6:BG""),8,FALSE))"),"")</f>
        <v/>
      </c>
      <c r="L557" s="287"/>
      <c r="Z557" s="41" t="str">
        <f t="shared" si="34"/>
        <v/>
      </c>
      <c r="AA557" s="5" t="str">
        <f ca="1">IFERROR(__xludf.DUMMYFUNCTION("IFERROR(VLOOKUP(E580&amp;F580,IMPORTRANGE(""https://docs.google.com/spreadsheets/d/1Uw7-A9f9R21vMXxHZFNpYNeKFtG8_yji4HS352LGlSQ/edit?pli=1#gid=0"",""1_ACUM!A4:S""),11,FALSE))"),"")</f>
        <v/>
      </c>
      <c r="AB557" s="42" t="str">
        <f ca="1">IFERROR(__xludf.DUMMYFUNCTION("IFERROR(VLOOKUP(F580,IMPORTRANGE(""https://docs.google.com/spreadsheets/d/1Kvs4KS76FHFqLFIZfrDMff4kP08nblUkihrxltoGBjg/edit#gid=934712705"",""ESENCIAL!A6:BG""),15,FALSE))"),"")</f>
        <v/>
      </c>
      <c r="AC557" s="110" t="str">
        <f ca="1">IFERROR(__xludf.DUMMYFUNCTION("IFERROR(VLOOKUP(E580&amp;F580,IMPORTRANGE(""https://docs.google.com/spreadsheets/d/1Uw7-A9f9R21vMXxHZFNpYNeKFtG8_yji4HS352LGlSQ/edit?pli=1#gid=0"",""1_ACUM!A4:S""),13,FALSE))"),"")</f>
        <v/>
      </c>
      <c r="AD557" s="43" t="str">
        <f ca="1">IFERROR(__xludf.DUMMYFUNCTION("IFERROR(VLOOKUP(E580&amp;F580,IMPORTRANGE(""https://docs.google.com/spreadsheets/d/1Uw7-A9f9R21vMXxHZFNpYNeKFtG8_yji4HS352LGlSQ/edit?pli=1#gid=0"",""1_ACUM!A4:S""),13,FALSE))"),"")</f>
        <v/>
      </c>
      <c r="AE557" s="43" t="str">
        <f ca="1">IFERROR(__xludf.DUMMYFUNCTION("IFERROR(VLOOKUP(E580&amp;F580,IMPORTRANGE(""https://docs.google.com/spreadsheets/d/1Uw7-A9f9R21vMXxHZFNpYNeKFtG8_yji4HS352LGlSQ/edit?pli=1#gid=0"",""1_ACUM!A4:S""),14,FALSE))"),"")</f>
        <v/>
      </c>
      <c r="AF557" s="43" t="str">
        <f ca="1">IFERROR(__xludf.DUMMYFUNCTION("IFERROR(VLOOKUP(E580&amp;F580,IMPORTRANGE(""https://docs.google.com/spreadsheets/d/1Uw7-A9f9R21vMXxHZFNpYNeKFtG8_yji4HS352LGlSQ/edit?pli=1#gid=0"",""1_ACUM!A4:S""),15,FALSE))"),"")</f>
        <v/>
      </c>
      <c r="AG557" s="43" t="str">
        <f ca="1">IFERROR(__xludf.DUMMYFUNCTION("IFERROR(VLOOKUP(E580&amp;F580,IMPORTRANGE(""https://docs.google.com/spreadsheets/d/1Uw7-A9f9R21vMXxHZFNpYNeKFtG8_yji4HS352LGlSQ/edit?pli=1#gid=0"",""1_ACUM!A4:S""),16,FALSE))"),"")</f>
        <v/>
      </c>
      <c r="AH557" s="43" t="str">
        <f ca="1">IFERROR(__xludf.DUMMYFUNCTION("IFERROR(VLOOKUP(E580&amp;F580,IMPORTRANGE(""https://docs.google.com/spreadsheets/d/1Uw7-A9f9R21vMXxHZFNpYNeKFtG8_yji4HS352LGlSQ/edit?pli=1#gid=0"",""1_ACUM!A4:S""),17,FALSE))"),"")</f>
        <v/>
      </c>
      <c r="AI557" s="44" t="str">
        <f ca="1">IFERROR(__xludf.DUMMYFUNCTION("IFERROR(VLOOKUP(E580&amp;F580,IMPORTRANGE(""https://docs.google.com/spreadsheets/d/1Uw7-A9f9R21vMXxHZFNpYNeKFtG8_yji4HS352LGlSQ/edit?pli=1#gid=0"",""1_ACUM!A4:S""),18,FALSE))"),"")</f>
        <v/>
      </c>
      <c r="AJ557" s="44" t="str">
        <f ca="1">IFERROR(__xludf.DUMMYFUNCTION("IFERROR(VLOOKUP(E580&amp;F580,IMPORTRANGE(""https://docs.google.com/spreadsheets/d/1Uw7-A9f9R21vMXxHZFNpYNeKFtG8_yji4HS352LGlSQ/edit?pli=1#gid=0"",""1_ACUM!A4:S""),19,FALSE))"),"")</f>
        <v/>
      </c>
      <c r="AK557" s="98" t="str">
        <f ca="1">IFERROR(__xludf.DUMMYFUNCTION("IFERROR(VLOOKUP(F580,IMPORTRANGE(""https://docs.google.com/spreadsheets/d/1Kvs4KS76FHFqLFIZfrDMff4kP08nblUkihrxltoGBjg/edit#gid=934712705"",""ESENCIAL!A6:BG""),5,FALSE))"),"")</f>
        <v/>
      </c>
      <c r="AL557" s="98" t="str">
        <f t="shared" si="35"/>
        <v/>
      </c>
      <c r="AM557" s="99" t="str">
        <f t="shared" si="36"/>
        <v/>
      </c>
      <c r="AN557" s="100" t="str">
        <f ca="1">IFERROR(__xludf.DUMMYFUNCTION("IFERROR(VLOOKUP(F580,IMPORTRANGE(""https://docs.google.com/spreadsheets/d/1Kvs4KS76FHFqLFIZfrDMff4kP08nblUkihrxltoGBjg/edit#gid=934712705"",""ESENCIAL!A6:BG""),2,FALSE))"),"")</f>
        <v/>
      </c>
      <c r="AO557" s="19" t="str">
        <f t="shared" si="33"/>
        <v/>
      </c>
      <c r="AP557" s="100"/>
      <c r="AQ557" s="100"/>
    </row>
    <row r="558" spans="1:43" ht="15">
      <c r="A558" s="5"/>
      <c r="B558" s="5"/>
      <c r="G558" s="5" t="str">
        <f ca="1">IFERROR(__xludf.DUMMYFUNCTION("IFERROR(VLOOKUP(F581,IMPORTRANGE(""https://docs.google.com/spreadsheets/d/1Kvs4KS76FHFqLFIZfrDMff4kP08nblUkihrxltoGBjg/edit#gid=934712705"",""ESENCIAL!A6:BG""),3,FALSE))"),"")</f>
        <v/>
      </c>
      <c r="H558" s="5" t="str">
        <f ca="1">IFERROR(__xludf.DUMMYFUNCTION("IFERROR(VLOOKUP(F581,IMPORTRANGE(""https://docs.google.com/spreadsheets/d/1Kvs4KS76FHFqLFIZfrDMff4kP08nblUkihrxltoGBjg/edit#gid=934712705"",""ESENCIAL!A6:BG""),8,FALSE))"),"")</f>
        <v/>
      </c>
      <c r="L558" s="287"/>
      <c r="Z558" s="41" t="str">
        <f t="shared" si="34"/>
        <v/>
      </c>
      <c r="AA558" s="5" t="str">
        <f ca="1">IFERROR(__xludf.DUMMYFUNCTION("IFERROR(VLOOKUP(E581&amp;F581,IMPORTRANGE(""https://docs.google.com/spreadsheets/d/1Uw7-A9f9R21vMXxHZFNpYNeKFtG8_yji4HS352LGlSQ/edit?pli=1#gid=0"",""1_ACUM!A4:S""),11,FALSE))"),"")</f>
        <v/>
      </c>
      <c r="AB558" s="42" t="str">
        <f ca="1">IFERROR(__xludf.DUMMYFUNCTION("IFERROR(VLOOKUP(F581,IMPORTRANGE(""https://docs.google.com/spreadsheets/d/1Kvs4KS76FHFqLFIZfrDMff4kP08nblUkihrxltoGBjg/edit#gid=934712705"",""ESENCIAL!A6:BG""),15,FALSE))"),"")</f>
        <v/>
      </c>
      <c r="AC558" s="110" t="str">
        <f ca="1">IFERROR(__xludf.DUMMYFUNCTION("IFERROR(VLOOKUP(E581&amp;F581,IMPORTRANGE(""https://docs.google.com/spreadsheets/d/1Uw7-A9f9R21vMXxHZFNpYNeKFtG8_yji4HS352LGlSQ/edit?pli=1#gid=0"",""1_ACUM!A4:S""),13,FALSE))"),"")</f>
        <v/>
      </c>
      <c r="AD558" s="43" t="str">
        <f ca="1">IFERROR(__xludf.DUMMYFUNCTION("IFERROR(VLOOKUP(E581&amp;F581,IMPORTRANGE(""https://docs.google.com/spreadsheets/d/1Uw7-A9f9R21vMXxHZFNpYNeKFtG8_yji4HS352LGlSQ/edit?pli=1#gid=0"",""1_ACUM!A4:S""),13,FALSE))"),"")</f>
        <v/>
      </c>
      <c r="AE558" s="43" t="str">
        <f ca="1">IFERROR(__xludf.DUMMYFUNCTION("IFERROR(VLOOKUP(E581&amp;F581,IMPORTRANGE(""https://docs.google.com/spreadsheets/d/1Uw7-A9f9R21vMXxHZFNpYNeKFtG8_yji4HS352LGlSQ/edit?pli=1#gid=0"",""1_ACUM!A4:S""),14,FALSE))"),"")</f>
        <v/>
      </c>
      <c r="AF558" s="43" t="str">
        <f ca="1">IFERROR(__xludf.DUMMYFUNCTION("IFERROR(VLOOKUP(E581&amp;F581,IMPORTRANGE(""https://docs.google.com/spreadsheets/d/1Uw7-A9f9R21vMXxHZFNpYNeKFtG8_yji4HS352LGlSQ/edit?pli=1#gid=0"",""1_ACUM!A4:S""),15,FALSE))"),"")</f>
        <v/>
      </c>
      <c r="AG558" s="43" t="str">
        <f ca="1">IFERROR(__xludf.DUMMYFUNCTION("IFERROR(VLOOKUP(E581&amp;F581,IMPORTRANGE(""https://docs.google.com/spreadsheets/d/1Uw7-A9f9R21vMXxHZFNpYNeKFtG8_yji4HS352LGlSQ/edit?pli=1#gid=0"",""1_ACUM!A4:S""),16,FALSE))"),"")</f>
        <v/>
      </c>
      <c r="AH558" s="43" t="str">
        <f ca="1">IFERROR(__xludf.DUMMYFUNCTION("IFERROR(VLOOKUP(E581&amp;F581,IMPORTRANGE(""https://docs.google.com/spreadsheets/d/1Uw7-A9f9R21vMXxHZFNpYNeKFtG8_yji4HS352LGlSQ/edit?pli=1#gid=0"",""1_ACUM!A4:S""),17,FALSE))"),"")</f>
        <v/>
      </c>
      <c r="AI558" s="44" t="str">
        <f ca="1">IFERROR(__xludf.DUMMYFUNCTION("IFERROR(VLOOKUP(E581&amp;F581,IMPORTRANGE(""https://docs.google.com/spreadsheets/d/1Uw7-A9f9R21vMXxHZFNpYNeKFtG8_yji4HS352LGlSQ/edit?pli=1#gid=0"",""1_ACUM!A4:S""),18,FALSE))"),"")</f>
        <v/>
      </c>
      <c r="AJ558" s="44" t="str">
        <f ca="1">IFERROR(__xludf.DUMMYFUNCTION("IFERROR(VLOOKUP(E581&amp;F581,IMPORTRANGE(""https://docs.google.com/spreadsheets/d/1Uw7-A9f9R21vMXxHZFNpYNeKFtG8_yji4HS352LGlSQ/edit?pli=1#gid=0"",""1_ACUM!A4:S""),19,FALSE))"),"")</f>
        <v/>
      </c>
      <c r="AK558" s="98" t="str">
        <f ca="1">IFERROR(__xludf.DUMMYFUNCTION("IFERROR(VLOOKUP(F581,IMPORTRANGE(""https://docs.google.com/spreadsheets/d/1Kvs4KS76FHFqLFIZfrDMff4kP08nblUkihrxltoGBjg/edit#gid=934712705"",""ESENCIAL!A6:BG""),5,FALSE))"),"")</f>
        <v/>
      </c>
      <c r="AL558" s="98" t="str">
        <f t="shared" si="35"/>
        <v/>
      </c>
      <c r="AM558" s="99" t="str">
        <f t="shared" si="36"/>
        <v/>
      </c>
      <c r="AN558" s="100" t="str">
        <f ca="1">IFERROR(__xludf.DUMMYFUNCTION("IFERROR(VLOOKUP(F581,IMPORTRANGE(""https://docs.google.com/spreadsheets/d/1Kvs4KS76FHFqLFIZfrDMff4kP08nblUkihrxltoGBjg/edit#gid=934712705"",""ESENCIAL!A6:BG""),2,FALSE))"),"")</f>
        <v/>
      </c>
      <c r="AO558" s="19" t="str">
        <f t="shared" si="33"/>
        <v/>
      </c>
      <c r="AP558" s="100"/>
      <c r="AQ558" s="100"/>
    </row>
    <row r="559" spans="1:43" ht="15">
      <c r="A559" s="5"/>
      <c r="B559" s="5"/>
      <c r="G559" s="5" t="str">
        <f ca="1">IFERROR(__xludf.DUMMYFUNCTION("IFERROR(VLOOKUP(F582,IMPORTRANGE(""https://docs.google.com/spreadsheets/d/1Kvs4KS76FHFqLFIZfrDMff4kP08nblUkihrxltoGBjg/edit#gid=934712705"",""ESENCIAL!A6:BG""),3,FALSE))"),"")</f>
        <v/>
      </c>
      <c r="H559" s="5" t="str">
        <f ca="1">IFERROR(__xludf.DUMMYFUNCTION("IFERROR(VLOOKUP(F582,IMPORTRANGE(""https://docs.google.com/spreadsheets/d/1Kvs4KS76FHFqLFIZfrDMff4kP08nblUkihrxltoGBjg/edit#gid=934712705"",""ESENCIAL!A6:BG""),8,FALSE))"),"")</f>
        <v/>
      </c>
      <c r="L559" s="287"/>
      <c r="Z559" s="41" t="str">
        <f t="shared" si="34"/>
        <v/>
      </c>
      <c r="AA559" s="5" t="str">
        <f ca="1">IFERROR(__xludf.DUMMYFUNCTION("IFERROR(VLOOKUP(E582&amp;F582,IMPORTRANGE(""https://docs.google.com/spreadsheets/d/1Uw7-A9f9R21vMXxHZFNpYNeKFtG8_yji4HS352LGlSQ/edit?pli=1#gid=0"",""1_ACUM!A4:S""),11,FALSE))"),"")</f>
        <v/>
      </c>
      <c r="AB559" s="42" t="str">
        <f ca="1">IFERROR(__xludf.DUMMYFUNCTION("IFERROR(VLOOKUP(F582,IMPORTRANGE(""https://docs.google.com/spreadsheets/d/1Kvs4KS76FHFqLFIZfrDMff4kP08nblUkihrxltoGBjg/edit#gid=934712705"",""ESENCIAL!A6:BG""),15,FALSE))"),"")</f>
        <v/>
      </c>
      <c r="AC559" s="110" t="str">
        <f ca="1">IFERROR(__xludf.DUMMYFUNCTION("IFERROR(VLOOKUP(E582&amp;F582,IMPORTRANGE(""https://docs.google.com/spreadsheets/d/1Uw7-A9f9R21vMXxHZFNpYNeKFtG8_yji4HS352LGlSQ/edit?pli=1#gid=0"",""1_ACUM!A4:S""),13,FALSE))"),"")</f>
        <v/>
      </c>
      <c r="AD559" s="43" t="str">
        <f ca="1">IFERROR(__xludf.DUMMYFUNCTION("IFERROR(VLOOKUP(E582&amp;F582,IMPORTRANGE(""https://docs.google.com/spreadsheets/d/1Uw7-A9f9R21vMXxHZFNpYNeKFtG8_yji4HS352LGlSQ/edit?pli=1#gid=0"",""1_ACUM!A4:S""),13,FALSE))"),"")</f>
        <v/>
      </c>
      <c r="AE559" s="43" t="str">
        <f ca="1">IFERROR(__xludf.DUMMYFUNCTION("IFERROR(VLOOKUP(E582&amp;F582,IMPORTRANGE(""https://docs.google.com/spreadsheets/d/1Uw7-A9f9R21vMXxHZFNpYNeKFtG8_yji4HS352LGlSQ/edit?pli=1#gid=0"",""1_ACUM!A4:S""),14,FALSE))"),"")</f>
        <v/>
      </c>
      <c r="AF559" s="43" t="str">
        <f ca="1">IFERROR(__xludf.DUMMYFUNCTION("IFERROR(VLOOKUP(E582&amp;F582,IMPORTRANGE(""https://docs.google.com/spreadsheets/d/1Uw7-A9f9R21vMXxHZFNpYNeKFtG8_yji4HS352LGlSQ/edit?pli=1#gid=0"",""1_ACUM!A4:S""),15,FALSE))"),"")</f>
        <v/>
      </c>
      <c r="AG559" s="43" t="str">
        <f ca="1">IFERROR(__xludf.DUMMYFUNCTION("IFERROR(VLOOKUP(E582&amp;F582,IMPORTRANGE(""https://docs.google.com/spreadsheets/d/1Uw7-A9f9R21vMXxHZFNpYNeKFtG8_yji4HS352LGlSQ/edit?pli=1#gid=0"",""1_ACUM!A4:S""),16,FALSE))"),"")</f>
        <v/>
      </c>
      <c r="AH559" s="43" t="str">
        <f ca="1">IFERROR(__xludf.DUMMYFUNCTION("IFERROR(VLOOKUP(E582&amp;F582,IMPORTRANGE(""https://docs.google.com/spreadsheets/d/1Uw7-A9f9R21vMXxHZFNpYNeKFtG8_yji4HS352LGlSQ/edit?pli=1#gid=0"",""1_ACUM!A4:S""),17,FALSE))"),"")</f>
        <v/>
      </c>
      <c r="AI559" s="44" t="str">
        <f ca="1">IFERROR(__xludf.DUMMYFUNCTION("IFERROR(VLOOKUP(E582&amp;F582,IMPORTRANGE(""https://docs.google.com/spreadsheets/d/1Uw7-A9f9R21vMXxHZFNpYNeKFtG8_yji4HS352LGlSQ/edit?pli=1#gid=0"",""1_ACUM!A4:S""),18,FALSE))"),"")</f>
        <v/>
      </c>
      <c r="AJ559" s="44" t="str">
        <f ca="1">IFERROR(__xludf.DUMMYFUNCTION("IFERROR(VLOOKUP(E582&amp;F582,IMPORTRANGE(""https://docs.google.com/spreadsheets/d/1Uw7-A9f9R21vMXxHZFNpYNeKFtG8_yji4HS352LGlSQ/edit?pli=1#gid=0"",""1_ACUM!A4:S""),19,FALSE))"),"")</f>
        <v/>
      </c>
      <c r="AK559" s="98" t="str">
        <f ca="1">IFERROR(__xludf.DUMMYFUNCTION("IFERROR(VLOOKUP(F582,IMPORTRANGE(""https://docs.google.com/spreadsheets/d/1Kvs4KS76FHFqLFIZfrDMff4kP08nblUkihrxltoGBjg/edit#gid=934712705"",""ESENCIAL!A6:BG""),5,FALSE))"),"")</f>
        <v/>
      </c>
      <c r="AL559" s="98" t="str">
        <f t="shared" si="35"/>
        <v/>
      </c>
      <c r="AM559" s="99" t="str">
        <f t="shared" si="36"/>
        <v/>
      </c>
      <c r="AN559" s="100" t="str">
        <f ca="1">IFERROR(__xludf.DUMMYFUNCTION("IFERROR(VLOOKUP(F582,IMPORTRANGE(""https://docs.google.com/spreadsheets/d/1Kvs4KS76FHFqLFIZfrDMff4kP08nblUkihrxltoGBjg/edit#gid=934712705"",""ESENCIAL!A6:BG""),2,FALSE))"),"")</f>
        <v/>
      </c>
      <c r="AO559" s="19" t="str">
        <f t="shared" si="33"/>
        <v/>
      </c>
      <c r="AP559" s="100"/>
      <c r="AQ559" s="100"/>
    </row>
    <row r="560" spans="1:43" ht="15">
      <c r="A560" s="5"/>
      <c r="B560" s="5"/>
      <c r="G560" s="5" t="str">
        <f ca="1">IFERROR(__xludf.DUMMYFUNCTION("IFERROR(VLOOKUP(F583,IMPORTRANGE(""https://docs.google.com/spreadsheets/d/1Kvs4KS76FHFqLFIZfrDMff4kP08nblUkihrxltoGBjg/edit#gid=934712705"",""ESENCIAL!A6:BG""),3,FALSE))"),"")</f>
        <v/>
      </c>
      <c r="H560" s="5" t="str">
        <f ca="1">IFERROR(__xludf.DUMMYFUNCTION("IFERROR(VLOOKUP(F583,IMPORTRANGE(""https://docs.google.com/spreadsheets/d/1Kvs4KS76FHFqLFIZfrDMff4kP08nblUkihrxltoGBjg/edit#gid=934712705"",""ESENCIAL!A6:BG""),8,FALSE))"),"")</f>
        <v/>
      </c>
      <c r="L560" s="287"/>
      <c r="Z560" s="41" t="str">
        <f t="shared" si="34"/>
        <v/>
      </c>
      <c r="AA560" s="5" t="str">
        <f ca="1">IFERROR(__xludf.DUMMYFUNCTION("IFERROR(VLOOKUP(E583&amp;F583,IMPORTRANGE(""https://docs.google.com/spreadsheets/d/1Uw7-A9f9R21vMXxHZFNpYNeKFtG8_yji4HS352LGlSQ/edit?pli=1#gid=0"",""1_ACUM!A4:S""),11,FALSE))"),"")</f>
        <v/>
      </c>
      <c r="AB560" s="42" t="str">
        <f ca="1">IFERROR(__xludf.DUMMYFUNCTION("IFERROR(VLOOKUP(F583,IMPORTRANGE(""https://docs.google.com/spreadsheets/d/1Kvs4KS76FHFqLFIZfrDMff4kP08nblUkihrxltoGBjg/edit#gid=934712705"",""ESENCIAL!A6:BG""),15,FALSE))"),"")</f>
        <v/>
      </c>
      <c r="AC560" s="110" t="str">
        <f ca="1">IFERROR(__xludf.DUMMYFUNCTION("IFERROR(VLOOKUP(E583&amp;F583,IMPORTRANGE(""https://docs.google.com/spreadsheets/d/1Uw7-A9f9R21vMXxHZFNpYNeKFtG8_yji4HS352LGlSQ/edit?pli=1#gid=0"",""1_ACUM!A4:S""),13,FALSE))"),"")</f>
        <v/>
      </c>
      <c r="AD560" s="43" t="str">
        <f ca="1">IFERROR(__xludf.DUMMYFUNCTION("IFERROR(VLOOKUP(E583&amp;F583,IMPORTRANGE(""https://docs.google.com/spreadsheets/d/1Uw7-A9f9R21vMXxHZFNpYNeKFtG8_yji4HS352LGlSQ/edit?pli=1#gid=0"",""1_ACUM!A4:S""),13,FALSE))"),"")</f>
        <v/>
      </c>
      <c r="AE560" s="43" t="str">
        <f ca="1">IFERROR(__xludf.DUMMYFUNCTION("IFERROR(VLOOKUP(E583&amp;F583,IMPORTRANGE(""https://docs.google.com/spreadsheets/d/1Uw7-A9f9R21vMXxHZFNpYNeKFtG8_yji4HS352LGlSQ/edit?pli=1#gid=0"",""1_ACUM!A4:S""),14,FALSE))"),"")</f>
        <v/>
      </c>
      <c r="AF560" s="43" t="str">
        <f ca="1">IFERROR(__xludf.DUMMYFUNCTION("IFERROR(VLOOKUP(E583&amp;F583,IMPORTRANGE(""https://docs.google.com/spreadsheets/d/1Uw7-A9f9R21vMXxHZFNpYNeKFtG8_yji4HS352LGlSQ/edit?pli=1#gid=0"",""1_ACUM!A4:S""),15,FALSE))"),"")</f>
        <v/>
      </c>
      <c r="AG560" s="43" t="str">
        <f ca="1">IFERROR(__xludf.DUMMYFUNCTION("IFERROR(VLOOKUP(E583&amp;F583,IMPORTRANGE(""https://docs.google.com/spreadsheets/d/1Uw7-A9f9R21vMXxHZFNpYNeKFtG8_yji4HS352LGlSQ/edit?pli=1#gid=0"",""1_ACUM!A4:S""),16,FALSE))"),"")</f>
        <v/>
      </c>
      <c r="AH560" s="43" t="str">
        <f ca="1">IFERROR(__xludf.DUMMYFUNCTION("IFERROR(VLOOKUP(E583&amp;F583,IMPORTRANGE(""https://docs.google.com/spreadsheets/d/1Uw7-A9f9R21vMXxHZFNpYNeKFtG8_yji4HS352LGlSQ/edit?pli=1#gid=0"",""1_ACUM!A4:S""),17,FALSE))"),"")</f>
        <v/>
      </c>
      <c r="AI560" s="44" t="str">
        <f ca="1">IFERROR(__xludf.DUMMYFUNCTION("IFERROR(VLOOKUP(E583&amp;F583,IMPORTRANGE(""https://docs.google.com/spreadsheets/d/1Uw7-A9f9R21vMXxHZFNpYNeKFtG8_yji4HS352LGlSQ/edit?pli=1#gid=0"",""1_ACUM!A4:S""),18,FALSE))"),"")</f>
        <v/>
      </c>
      <c r="AJ560" s="44" t="str">
        <f ca="1">IFERROR(__xludf.DUMMYFUNCTION("IFERROR(VLOOKUP(E583&amp;F583,IMPORTRANGE(""https://docs.google.com/spreadsheets/d/1Uw7-A9f9R21vMXxHZFNpYNeKFtG8_yji4HS352LGlSQ/edit?pli=1#gid=0"",""1_ACUM!A4:S""),19,FALSE))"),"")</f>
        <v/>
      </c>
      <c r="AK560" s="98" t="str">
        <f ca="1">IFERROR(__xludf.DUMMYFUNCTION("IFERROR(VLOOKUP(F583,IMPORTRANGE(""https://docs.google.com/spreadsheets/d/1Kvs4KS76FHFqLFIZfrDMff4kP08nblUkihrxltoGBjg/edit#gid=934712705"",""ESENCIAL!A6:BG""),5,FALSE))"),"")</f>
        <v/>
      </c>
      <c r="AL560" s="98" t="str">
        <f t="shared" si="35"/>
        <v/>
      </c>
      <c r="AM560" s="99" t="str">
        <f t="shared" si="36"/>
        <v/>
      </c>
      <c r="AN560" s="100" t="str">
        <f ca="1">IFERROR(__xludf.DUMMYFUNCTION("IFERROR(VLOOKUP(F583,IMPORTRANGE(""https://docs.google.com/spreadsheets/d/1Kvs4KS76FHFqLFIZfrDMff4kP08nblUkihrxltoGBjg/edit#gid=934712705"",""ESENCIAL!A6:BG""),2,FALSE))"),"")</f>
        <v/>
      </c>
      <c r="AO560" s="19" t="str">
        <f t="shared" si="33"/>
        <v/>
      </c>
      <c r="AP560" s="100"/>
      <c r="AQ560" s="100"/>
    </row>
    <row r="561" spans="1:43" ht="15">
      <c r="A561" s="5"/>
      <c r="B561" s="5"/>
      <c r="G561" s="5" t="str">
        <f ca="1">IFERROR(__xludf.DUMMYFUNCTION("IFERROR(VLOOKUP(F584,IMPORTRANGE(""https://docs.google.com/spreadsheets/d/1Kvs4KS76FHFqLFIZfrDMff4kP08nblUkihrxltoGBjg/edit#gid=934712705"",""ESENCIAL!A6:BG""),3,FALSE))"),"")</f>
        <v/>
      </c>
      <c r="H561" s="5" t="str">
        <f ca="1">IFERROR(__xludf.DUMMYFUNCTION("IFERROR(VLOOKUP(F584,IMPORTRANGE(""https://docs.google.com/spreadsheets/d/1Kvs4KS76FHFqLFIZfrDMff4kP08nblUkihrxltoGBjg/edit#gid=934712705"",""ESENCIAL!A6:BG""),8,FALSE))"),"")</f>
        <v/>
      </c>
      <c r="L561" s="287"/>
      <c r="Z561" s="41" t="str">
        <f t="shared" si="34"/>
        <v/>
      </c>
      <c r="AA561" s="5" t="str">
        <f ca="1">IFERROR(__xludf.DUMMYFUNCTION("IFERROR(VLOOKUP(E584&amp;F584,IMPORTRANGE(""https://docs.google.com/spreadsheets/d/1Uw7-A9f9R21vMXxHZFNpYNeKFtG8_yji4HS352LGlSQ/edit?pli=1#gid=0"",""1_ACUM!A4:S""),11,FALSE))"),"")</f>
        <v/>
      </c>
      <c r="AB561" s="42" t="str">
        <f ca="1">IFERROR(__xludf.DUMMYFUNCTION("IFERROR(VLOOKUP(F584,IMPORTRANGE(""https://docs.google.com/spreadsheets/d/1Kvs4KS76FHFqLFIZfrDMff4kP08nblUkihrxltoGBjg/edit#gid=934712705"",""ESENCIAL!A6:BG""),15,FALSE))"),"")</f>
        <v/>
      </c>
      <c r="AC561" s="110" t="str">
        <f ca="1">IFERROR(__xludf.DUMMYFUNCTION("IFERROR(VLOOKUP(E584&amp;F584,IMPORTRANGE(""https://docs.google.com/spreadsheets/d/1Uw7-A9f9R21vMXxHZFNpYNeKFtG8_yji4HS352LGlSQ/edit?pli=1#gid=0"",""1_ACUM!A4:S""),13,FALSE))"),"")</f>
        <v/>
      </c>
      <c r="AD561" s="43" t="str">
        <f ca="1">IFERROR(__xludf.DUMMYFUNCTION("IFERROR(VLOOKUP(E584&amp;F584,IMPORTRANGE(""https://docs.google.com/spreadsheets/d/1Uw7-A9f9R21vMXxHZFNpYNeKFtG8_yji4HS352LGlSQ/edit?pli=1#gid=0"",""1_ACUM!A4:S""),13,FALSE))"),"")</f>
        <v/>
      </c>
      <c r="AE561" s="43" t="str">
        <f ca="1">IFERROR(__xludf.DUMMYFUNCTION("IFERROR(VLOOKUP(E584&amp;F584,IMPORTRANGE(""https://docs.google.com/spreadsheets/d/1Uw7-A9f9R21vMXxHZFNpYNeKFtG8_yji4HS352LGlSQ/edit?pli=1#gid=0"",""1_ACUM!A4:S""),14,FALSE))"),"")</f>
        <v/>
      </c>
      <c r="AF561" s="43" t="str">
        <f ca="1">IFERROR(__xludf.DUMMYFUNCTION("IFERROR(VLOOKUP(E584&amp;F584,IMPORTRANGE(""https://docs.google.com/spreadsheets/d/1Uw7-A9f9R21vMXxHZFNpYNeKFtG8_yji4HS352LGlSQ/edit?pli=1#gid=0"",""1_ACUM!A4:S""),15,FALSE))"),"")</f>
        <v/>
      </c>
      <c r="AG561" s="43" t="str">
        <f ca="1">IFERROR(__xludf.DUMMYFUNCTION("IFERROR(VLOOKUP(E584&amp;F584,IMPORTRANGE(""https://docs.google.com/spreadsheets/d/1Uw7-A9f9R21vMXxHZFNpYNeKFtG8_yji4HS352LGlSQ/edit?pli=1#gid=0"",""1_ACUM!A4:S""),16,FALSE))"),"")</f>
        <v/>
      </c>
      <c r="AH561" s="43" t="str">
        <f ca="1">IFERROR(__xludf.DUMMYFUNCTION("IFERROR(VLOOKUP(E584&amp;F584,IMPORTRANGE(""https://docs.google.com/spreadsheets/d/1Uw7-A9f9R21vMXxHZFNpYNeKFtG8_yji4HS352LGlSQ/edit?pli=1#gid=0"",""1_ACUM!A4:S""),17,FALSE))"),"")</f>
        <v/>
      </c>
      <c r="AI561" s="44" t="str">
        <f ca="1">IFERROR(__xludf.DUMMYFUNCTION("IFERROR(VLOOKUP(E584&amp;F584,IMPORTRANGE(""https://docs.google.com/spreadsheets/d/1Uw7-A9f9R21vMXxHZFNpYNeKFtG8_yji4HS352LGlSQ/edit?pli=1#gid=0"",""1_ACUM!A4:S""),18,FALSE))"),"")</f>
        <v/>
      </c>
      <c r="AJ561" s="44" t="str">
        <f ca="1">IFERROR(__xludf.DUMMYFUNCTION("IFERROR(VLOOKUP(E584&amp;F584,IMPORTRANGE(""https://docs.google.com/spreadsheets/d/1Uw7-A9f9R21vMXxHZFNpYNeKFtG8_yji4HS352LGlSQ/edit?pli=1#gid=0"",""1_ACUM!A4:S""),19,FALSE))"),"")</f>
        <v/>
      </c>
      <c r="AK561" s="98" t="str">
        <f ca="1">IFERROR(__xludf.DUMMYFUNCTION("IFERROR(VLOOKUP(F584,IMPORTRANGE(""https://docs.google.com/spreadsheets/d/1Kvs4KS76FHFqLFIZfrDMff4kP08nblUkihrxltoGBjg/edit#gid=934712705"",""ESENCIAL!A6:BG""),5,FALSE))"),"")</f>
        <v/>
      </c>
      <c r="AL561" s="98" t="str">
        <f t="shared" si="35"/>
        <v/>
      </c>
      <c r="AM561" s="99" t="str">
        <f t="shared" si="36"/>
        <v/>
      </c>
      <c r="AN561" s="100" t="str">
        <f ca="1">IFERROR(__xludf.DUMMYFUNCTION("IFERROR(VLOOKUP(F584,IMPORTRANGE(""https://docs.google.com/spreadsheets/d/1Kvs4KS76FHFqLFIZfrDMff4kP08nblUkihrxltoGBjg/edit#gid=934712705"",""ESENCIAL!A6:BG""),2,FALSE))"),"")</f>
        <v/>
      </c>
      <c r="AO561" s="19" t="str">
        <f t="shared" si="33"/>
        <v/>
      </c>
      <c r="AP561" s="100"/>
      <c r="AQ561" s="100"/>
    </row>
    <row r="562" spans="1:43" ht="15">
      <c r="A562" s="5"/>
      <c r="B562" s="5"/>
      <c r="G562" s="5" t="str">
        <f ca="1">IFERROR(__xludf.DUMMYFUNCTION("IFERROR(VLOOKUP(F585,IMPORTRANGE(""https://docs.google.com/spreadsheets/d/1Kvs4KS76FHFqLFIZfrDMff4kP08nblUkihrxltoGBjg/edit#gid=934712705"",""ESENCIAL!A6:BG""),3,FALSE))"),"")</f>
        <v/>
      </c>
      <c r="H562" s="5" t="str">
        <f ca="1">IFERROR(__xludf.DUMMYFUNCTION("IFERROR(VLOOKUP(F585,IMPORTRANGE(""https://docs.google.com/spreadsheets/d/1Kvs4KS76FHFqLFIZfrDMff4kP08nblUkihrxltoGBjg/edit#gid=934712705"",""ESENCIAL!A6:BG""),8,FALSE))"),"")</f>
        <v/>
      </c>
      <c r="L562" s="287"/>
      <c r="Z562" s="41" t="str">
        <f t="shared" si="34"/>
        <v/>
      </c>
      <c r="AA562" s="5" t="str">
        <f ca="1">IFERROR(__xludf.DUMMYFUNCTION("IFERROR(VLOOKUP(E585&amp;F585,IMPORTRANGE(""https://docs.google.com/spreadsheets/d/1Uw7-A9f9R21vMXxHZFNpYNeKFtG8_yji4HS352LGlSQ/edit?pli=1#gid=0"",""1_ACUM!A4:S""),11,FALSE))"),"")</f>
        <v/>
      </c>
      <c r="AB562" s="42" t="str">
        <f ca="1">IFERROR(__xludf.DUMMYFUNCTION("IFERROR(VLOOKUP(F585,IMPORTRANGE(""https://docs.google.com/spreadsheets/d/1Kvs4KS76FHFqLFIZfrDMff4kP08nblUkihrxltoGBjg/edit#gid=934712705"",""ESENCIAL!A6:BG""),15,FALSE))"),"")</f>
        <v/>
      </c>
      <c r="AC562" s="110" t="str">
        <f ca="1">IFERROR(__xludf.DUMMYFUNCTION("IFERROR(VLOOKUP(E585&amp;F585,IMPORTRANGE(""https://docs.google.com/spreadsheets/d/1Uw7-A9f9R21vMXxHZFNpYNeKFtG8_yji4HS352LGlSQ/edit?pli=1#gid=0"",""1_ACUM!A4:S""),13,FALSE))"),"")</f>
        <v/>
      </c>
      <c r="AD562" s="43" t="str">
        <f ca="1">IFERROR(__xludf.DUMMYFUNCTION("IFERROR(VLOOKUP(E585&amp;F585,IMPORTRANGE(""https://docs.google.com/spreadsheets/d/1Uw7-A9f9R21vMXxHZFNpYNeKFtG8_yji4HS352LGlSQ/edit?pli=1#gid=0"",""1_ACUM!A4:S""),13,FALSE))"),"")</f>
        <v/>
      </c>
      <c r="AE562" s="43" t="str">
        <f ca="1">IFERROR(__xludf.DUMMYFUNCTION("IFERROR(VLOOKUP(E585&amp;F585,IMPORTRANGE(""https://docs.google.com/spreadsheets/d/1Uw7-A9f9R21vMXxHZFNpYNeKFtG8_yji4HS352LGlSQ/edit?pli=1#gid=0"",""1_ACUM!A4:S""),14,FALSE))"),"")</f>
        <v/>
      </c>
      <c r="AF562" s="43" t="str">
        <f ca="1">IFERROR(__xludf.DUMMYFUNCTION("IFERROR(VLOOKUP(E585&amp;F585,IMPORTRANGE(""https://docs.google.com/spreadsheets/d/1Uw7-A9f9R21vMXxHZFNpYNeKFtG8_yji4HS352LGlSQ/edit?pli=1#gid=0"",""1_ACUM!A4:S""),15,FALSE))"),"")</f>
        <v/>
      </c>
      <c r="AG562" s="43" t="str">
        <f ca="1">IFERROR(__xludf.DUMMYFUNCTION("IFERROR(VLOOKUP(E585&amp;F585,IMPORTRANGE(""https://docs.google.com/spreadsheets/d/1Uw7-A9f9R21vMXxHZFNpYNeKFtG8_yji4HS352LGlSQ/edit?pli=1#gid=0"",""1_ACUM!A4:S""),16,FALSE))"),"")</f>
        <v/>
      </c>
      <c r="AH562" s="43" t="str">
        <f ca="1">IFERROR(__xludf.DUMMYFUNCTION("IFERROR(VLOOKUP(E585&amp;F585,IMPORTRANGE(""https://docs.google.com/spreadsheets/d/1Uw7-A9f9R21vMXxHZFNpYNeKFtG8_yji4HS352LGlSQ/edit?pli=1#gid=0"",""1_ACUM!A4:S""),17,FALSE))"),"")</f>
        <v/>
      </c>
      <c r="AI562" s="44" t="str">
        <f ca="1">IFERROR(__xludf.DUMMYFUNCTION("IFERROR(VLOOKUP(E585&amp;F585,IMPORTRANGE(""https://docs.google.com/spreadsheets/d/1Uw7-A9f9R21vMXxHZFNpYNeKFtG8_yji4HS352LGlSQ/edit?pli=1#gid=0"",""1_ACUM!A4:S""),18,FALSE))"),"")</f>
        <v/>
      </c>
      <c r="AJ562" s="44" t="str">
        <f ca="1">IFERROR(__xludf.DUMMYFUNCTION("IFERROR(VLOOKUP(E585&amp;F585,IMPORTRANGE(""https://docs.google.com/spreadsheets/d/1Uw7-A9f9R21vMXxHZFNpYNeKFtG8_yji4HS352LGlSQ/edit?pli=1#gid=0"",""1_ACUM!A4:S""),19,FALSE))"),"")</f>
        <v/>
      </c>
      <c r="AK562" s="98" t="str">
        <f ca="1">IFERROR(__xludf.DUMMYFUNCTION("IFERROR(VLOOKUP(F585,IMPORTRANGE(""https://docs.google.com/spreadsheets/d/1Kvs4KS76FHFqLFIZfrDMff4kP08nblUkihrxltoGBjg/edit#gid=934712705"",""ESENCIAL!A6:BG""),5,FALSE))"),"")</f>
        <v/>
      </c>
      <c r="AL562" s="98" t="str">
        <f t="shared" si="35"/>
        <v/>
      </c>
      <c r="AM562" s="99" t="str">
        <f t="shared" si="36"/>
        <v/>
      </c>
      <c r="AN562" s="100" t="str">
        <f ca="1">IFERROR(__xludf.DUMMYFUNCTION("IFERROR(VLOOKUP(F585,IMPORTRANGE(""https://docs.google.com/spreadsheets/d/1Kvs4KS76FHFqLFIZfrDMff4kP08nblUkihrxltoGBjg/edit#gid=934712705"",""ESENCIAL!A6:BG""),2,FALSE))"),"")</f>
        <v/>
      </c>
      <c r="AO562" s="19" t="str">
        <f t="shared" si="33"/>
        <v/>
      </c>
      <c r="AP562" s="100"/>
      <c r="AQ562" s="100"/>
    </row>
    <row r="563" spans="1:43" ht="15">
      <c r="A563" s="5"/>
      <c r="B563" s="5"/>
      <c r="G563" s="5" t="str">
        <f ca="1">IFERROR(__xludf.DUMMYFUNCTION("IFERROR(VLOOKUP(F586,IMPORTRANGE(""https://docs.google.com/spreadsheets/d/1Kvs4KS76FHFqLFIZfrDMff4kP08nblUkihrxltoGBjg/edit#gid=934712705"",""ESENCIAL!A6:BG""),3,FALSE))"),"")</f>
        <v/>
      </c>
      <c r="H563" s="5" t="str">
        <f ca="1">IFERROR(__xludf.DUMMYFUNCTION("IFERROR(VLOOKUP(F586,IMPORTRANGE(""https://docs.google.com/spreadsheets/d/1Kvs4KS76FHFqLFIZfrDMff4kP08nblUkihrxltoGBjg/edit#gid=934712705"",""ESENCIAL!A6:BG""),8,FALSE))"),"")</f>
        <v/>
      </c>
      <c r="L563" s="287"/>
      <c r="Z563" s="41" t="str">
        <f t="shared" si="34"/>
        <v/>
      </c>
      <c r="AA563" s="5" t="str">
        <f ca="1">IFERROR(__xludf.DUMMYFUNCTION("IFERROR(VLOOKUP(E586&amp;F586,IMPORTRANGE(""https://docs.google.com/spreadsheets/d/1Uw7-A9f9R21vMXxHZFNpYNeKFtG8_yji4HS352LGlSQ/edit?pli=1#gid=0"",""1_ACUM!A4:S""),11,FALSE))"),"")</f>
        <v/>
      </c>
      <c r="AB563" s="42" t="str">
        <f ca="1">IFERROR(__xludf.DUMMYFUNCTION("IFERROR(VLOOKUP(F586,IMPORTRANGE(""https://docs.google.com/spreadsheets/d/1Kvs4KS76FHFqLFIZfrDMff4kP08nblUkihrxltoGBjg/edit#gid=934712705"",""ESENCIAL!A6:BG""),15,FALSE))"),"")</f>
        <v/>
      </c>
      <c r="AC563" s="110" t="str">
        <f ca="1">IFERROR(__xludf.DUMMYFUNCTION("IFERROR(VLOOKUP(E586&amp;F586,IMPORTRANGE(""https://docs.google.com/spreadsheets/d/1Uw7-A9f9R21vMXxHZFNpYNeKFtG8_yji4HS352LGlSQ/edit?pli=1#gid=0"",""1_ACUM!A4:S""),13,FALSE))"),"")</f>
        <v/>
      </c>
      <c r="AD563" s="43" t="str">
        <f ca="1">IFERROR(__xludf.DUMMYFUNCTION("IFERROR(VLOOKUP(E586&amp;F586,IMPORTRANGE(""https://docs.google.com/spreadsheets/d/1Uw7-A9f9R21vMXxHZFNpYNeKFtG8_yji4HS352LGlSQ/edit?pli=1#gid=0"",""1_ACUM!A4:S""),13,FALSE))"),"")</f>
        <v/>
      </c>
      <c r="AE563" s="43" t="str">
        <f ca="1">IFERROR(__xludf.DUMMYFUNCTION("IFERROR(VLOOKUP(E586&amp;F586,IMPORTRANGE(""https://docs.google.com/spreadsheets/d/1Uw7-A9f9R21vMXxHZFNpYNeKFtG8_yji4HS352LGlSQ/edit?pli=1#gid=0"",""1_ACUM!A4:S""),14,FALSE))"),"")</f>
        <v/>
      </c>
      <c r="AF563" s="43" t="str">
        <f ca="1">IFERROR(__xludf.DUMMYFUNCTION("IFERROR(VLOOKUP(E586&amp;F586,IMPORTRANGE(""https://docs.google.com/spreadsheets/d/1Uw7-A9f9R21vMXxHZFNpYNeKFtG8_yji4HS352LGlSQ/edit?pli=1#gid=0"",""1_ACUM!A4:S""),15,FALSE))"),"")</f>
        <v/>
      </c>
      <c r="AG563" s="43" t="str">
        <f ca="1">IFERROR(__xludf.DUMMYFUNCTION("IFERROR(VLOOKUP(E586&amp;F586,IMPORTRANGE(""https://docs.google.com/spreadsheets/d/1Uw7-A9f9R21vMXxHZFNpYNeKFtG8_yji4HS352LGlSQ/edit?pli=1#gid=0"",""1_ACUM!A4:S""),16,FALSE))"),"")</f>
        <v/>
      </c>
      <c r="AH563" s="43" t="str">
        <f ca="1">IFERROR(__xludf.DUMMYFUNCTION("IFERROR(VLOOKUP(E586&amp;F586,IMPORTRANGE(""https://docs.google.com/spreadsheets/d/1Uw7-A9f9R21vMXxHZFNpYNeKFtG8_yji4HS352LGlSQ/edit?pli=1#gid=0"",""1_ACUM!A4:S""),17,FALSE))"),"")</f>
        <v/>
      </c>
      <c r="AI563" s="44" t="str">
        <f ca="1">IFERROR(__xludf.DUMMYFUNCTION("IFERROR(VLOOKUP(E586&amp;F586,IMPORTRANGE(""https://docs.google.com/spreadsheets/d/1Uw7-A9f9R21vMXxHZFNpYNeKFtG8_yji4HS352LGlSQ/edit?pli=1#gid=0"",""1_ACUM!A4:S""),18,FALSE))"),"")</f>
        <v/>
      </c>
      <c r="AJ563" s="44" t="str">
        <f ca="1">IFERROR(__xludf.DUMMYFUNCTION("IFERROR(VLOOKUP(E586&amp;F586,IMPORTRANGE(""https://docs.google.com/spreadsheets/d/1Uw7-A9f9R21vMXxHZFNpYNeKFtG8_yji4HS352LGlSQ/edit?pli=1#gid=0"",""1_ACUM!A4:S""),19,FALSE))"),"")</f>
        <v/>
      </c>
      <c r="AK563" s="98" t="str">
        <f ca="1">IFERROR(__xludf.DUMMYFUNCTION("IFERROR(VLOOKUP(F586,IMPORTRANGE(""https://docs.google.com/spreadsheets/d/1Kvs4KS76FHFqLFIZfrDMff4kP08nblUkihrxltoGBjg/edit#gid=934712705"",""ESENCIAL!A6:BG""),5,FALSE))"),"")</f>
        <v/>
      </c>
      <c r="AL563" s="98" t="str">
        <f t="shared" si="35"/>
        <v/>
      </c>
      <c r="AM563" s="99" t="str">
        <f t="shared" si="36"/>
        <v/>
      </c>
      <c r="AN563" s="100" t="str">
        <f ca="1">IFERROR(__xludf.DUMMYFUNCTION("IFERROR(VLOOKUP(F586,IMPORTRANGE(""https://docs.google.com/spreadsheets/d/1Kvs4KS76FHFqLFIZfrDMff4kP08nblUkihrxltoGBjg/edit#gid=934712705"",""ESENCIAL!A6:BG""),2,FALSE))"),"")</f>
        <v/>
      </c>
      <c r="AO563" s="19" t="str">
        <f t="shared" si="33"/>
        <v/>
      </c>
      <c r="AP563" s="100"/>
      <c r="AQ563" s="100"/>
    </row>
    <row r="564" spans="1:43" ht="15">
      <c r="A564" s="5"/>
      <c r="B564" s="5"/>
      <c r="G564" s="5" t="str">
        <f ca="1">IFERROR(__xludf.DUMMYFUNCTION("IFERROR(VLOOKUP(F587,IMPORTRANGE(""https://docs.google.com/spreadsheets/d/1Kvs4KS76FHFqLFIZfrDMff4kP08nblUkihrxltoGBjg/edit#gid=934712705"",""ESENCIAL!A6:BG""),3,FALSE))"),"")</f>
        <v/>
      </c>
      <c r="H564" s="5" t="str">
        <f ca="1">IFERROR(__xludf.DUMMYFUNCTION("IFERROR(VLOOKUP(F587,IMPORTRANGE(""https://docs.google.com/spreadsheets/d/1Kvs4KS76FHFqLFIZfrDMff4kP08nblUkihrxltoGBjg/edit#gid=934712705"",""ESENCIAL!A6:BG""),8,FALSE))"),"")</f>
        <v/>
      </c>
      <c r="L564" s="287"/>
      <c r="Z564" s="41" t="str">
        <f t="shared" si="34"/>
        <v/>
      </c>
      <c r="AA564" s="5" t="str">
        <f ca="1">IFERROR(__xludf.DUMMYFUNCTION("IFERROR(VLOOKUP(E587&amp;F587,IMPORTRANGE(""https://docs.google.com/spreadsheets/d/1Uw7-A9f9R21vMXxHZFNpYNeKFtG8_yji4HS352LGlSQ/edit?pli=1#gid=0"",""1_ACUM!A4:S""),11,FALSE))"),"")</f>
        <v/>
      </c>
      <c r="AB564" s="42" t="str">
        <f ca="1">IFERROR(__xludf.DUMMYFUNCTION("IFERROR(VLOOKUP(F587,IMPORTRANGE(""https://docs.google.com/spreadsheets/d/1Kvs4KS76FHFqLFIZfrDMff4kP08nblUkihrxltoGBjg/edit#gid=934712705"",""ESENCIAL!A6:BG""),15,FALSE))"),"")</f>
        <v/>
      </c>
      <c r="AC564" s="110" t="str">
        <f ca="1">IFERROR(__xludf.DUMMYFUNCTION("IFERROR(VLOOKUP(E587&amp;F587,IMPORTRANGE(""https://docs.google.com/spreadsheets/d/1Uw7-A9f9R21vMXxHZFNpYNeKFtG8_yji4HS352LGlSQ/edit?pli=1#gid=0"",""1_ACUM!A4:S""),13,FALSE))"),"")</f>
        <v/>
      </c>
      <c r="AD564" s="43" t="str">
        <f ca="1">IFERROR(__xludf.DUMMYFUNCTION("IFERROR(VLOOKUP(E587&amp;F587,IMPORTRANGE(""https://docs.google.com/spreadsheets/d/1Uw7-A9f9R21vMXxHZFNpYNeKFtG8_yji4HS352LGlSQ/edit?pli=1#gid=0"",""1_ACUM!A4:S""),13,FALSE))"),"")</f>
        <v/>
      </c>
      <c r="AE564" s="43" t="str">
        <f ca="1">IFERROR(__xludf.DUMMYFUNCTION("IFERROR(VLOOKUP(E587&amp;F587,IMPORTRANGE(""https://docs.google.com/spreadsheets/d/1Uw7-A9f9R21vMXxHZFNpYNeKFtG8_yji4HS352LGlSQ/edit?pli=1#gid=0"",""1_ACUM!A4:S""),14,FALSE))"),"")</f>
        <v/>
      </c>
      <c r="AF564" s="43" t="str">
        <f ca="1">IFERROR(__xludf.DUMMYFUNCTION("IFERROR(VLOOKUP(E587&amp;F587,IMPORTRANGE(""https://docs.google.com/spreadsheets/d/1Uw7-A9f9R21vMXxHZFNpYNeKFtG8_yji4HS352LGlSQ/edit?pli=1#gid=0"",""1_ACUM!A4:S""),15,FALSE))"),"")</f>
        <v/>
      </c>
      <c r="AG564" s="43" t="str">
        <f ca="1">IFERROR(__xludf.DUMMYFUNCTION("IFERROR(VLOOKUP(E587&amp;F587,IMPORTRANGE(""https://docs.google.com/spreadsheets/d/1Uw7-A9f9R21vMXxHZFNpYNeKFtG8_yji4HS352LGlSQ/edit?pli=1#gid=0"",""1_ACUM!A4:S""),16,FALSE))"),"")</f>
        <v/>
      </c>
      <c r="AH564" s="43" t="str">
        <f ca="1">IFERROR(__xludf.DUMMYFUNCTION("IFERROR(VLOOKUP(E587&amp;F587,IMPORTRANGE(""https://docs.google.com/spreadsheets/d/1Uw7-A9f9R21vMXxHZFNpYNeKFtG8_yji4HS352LGlSQ/edit?pli=1#gid=0"",""1_ACUM!A4:S""),17,FALSE))"),"")</f>
        <v/>
      </c>
      <c r="AI564" s="44" t="str">
        <f ca="1">IFERROR(__xludf.DUMMYFUNCTION("IFERROR(VLOOKUP(E587&amp;F587,IMPORTRANGE(""https://docs.google.com/spreadsheets/d/1Uw7-A9f9R21vMXxHZFNpYNeKFtG8_yji4HS352LGlSQ/edit?pli=1#gid=0"",""1_ACUM!A4:S""),18,FALSE))"),"")</f>
        <v/>
      </c>
      <c r="AJ564" s="44" t="str">
        <f ca="1">IFERROR(__xludf.DUMMYFUNCTION("IFERROR(VLOOKUP(E587&amp;F587,IMPORTRANGE(""https://docs.google.com/spreadsheets/d/1Uw7-A9f9R21vMXxHZFNpYNeKFtG8_yji4HS352LGlSQ/edit?pli=1#gid=0"",""1_ACUM!A4:S""),19,FALSE))"),"")</f>
        <v/>
      </c>
      <c r="AK564" s="98" t="str">
        <f ca="1">IFERROR(__xludf.DUMMYFUNCTION("IFERROR(VLOOKUP(F587,IMPORTRANGE(""https://docs.google.com/spreadsheets/d/1Kvs4KS76FHFqLFIZfrDMff4kP08nblUkihrxltoGBjg/edit#gid=934712705"",""ESENCIAL!A6:BG""),5,FALSE))"),"")</f>
        <v/>
      </c>
      <c r="AL564" s="98" t="str">
        <f t="shared" si="35"/>
        <v/>
      </c>
      <c r="AM564" s="99" t="str">
        <f t="shared" si="36"/>
        <v/>
      </c>
      <c r="AN564" s="100" t="str">
        <f ca="1">IFERROR(__xludf.DUMMYFUNCTION("IFERROR(VLOOKUP(F587,IMPORTRANGE(""https://docs.google.com/spreadsheets/d/1Kvs4KS76FHFqLFIZfrDMff4kP08nblUkihrxltoGBjg/edit#gid=934712705"",""ESENCIAL!A6:BG""),2,FALSE))"),"")</f>
        <v/>
      </c>
      <c r="AO564" s="19" t="str">
        <f t="shared" si="33"/>
        <v/>
      </c>
      <c r="AP564" s="100"/>
      <c r="AQ564" s="100"/>
    </row>
    <row r="565" spans="1:43" ht="15">
      <c r="A565" s="5"/>
      <c r="B565" s="5"/>
      <c r="G565" s="5" t="str">
        <f ca="1">IFERROR(__xludf.DUMMYFUNCTION("IFERROR(VLOOKUP(F588,IMPORTRANGE(""https://docs.google.com/spreadsheets/d/1Kvs4KS76FHFqLFIZfrDMff4kP08nblUkihrxltoGBjg/edit#gid=934712705"",""ESENCIAL!A6:BG""),3,FALSE))"),"")</f>
        <v/>
      </c>
      <c r="H565" s="5" t="str">
        <f ca="1">IFERROR(__xludf.DUMMYFUNCTION("IFERROR(VLOOKUP(F588,IMPORTRANGE(""https://docs.google.com/spreadsheets/d/1Kvs4KS76FHFqLFIZfrDMff4kP08nblUkihrxltoGBjg/edit#gid=934712705"",""ESENCIAL!A6:BG""),8,FALSE))"),"")</f>
        <v/>
      </c>
      <c r="L565" s="287"/>
      <c r="Z565" s="41" t="str">
        <f t="shared" si="34"/>
        <v/>
      </c>
      <c r="AA565" s="5" t="str">
        <f ca="1">IFERROR(__xludf.DUMMYFUNCTION("IFERROR(VLOOKUP(E588&amp;F588,IMPORTRANGE(""https://docs.google.com/spreadsheets/d/1Uw7-A9f9R21vMXxHZFNpYNeKFtG8_yji4HS352LGlSQ/edit?pli=1#gid=0"",""1_ACUM!A4:S""),11,FALSE))"),"")</f>
        <v/>
      </c>
      <c r="AB565" s="42" t="str">
        <f ca="1">IFERROR(__xludf.DUMMYFUNCTION("IFERROR(VLOOKUP(F588,IMPORTRANGE(""https://docs.google.com/spreadsheets/d/1Kvs4KS76FHFqLFIZfrDMff4kP08nblUkihrxltoGBjg/edit#gid=934712705"",""ESENCIAL!A6:BG""),15,FALSE))"),"")</f>
        <v/>
      </c>
      <c r="AC565" s="110" t="str">
        <f ca="1">IFERROR(__xludf.DUMMYFUNCTION("IFERROR(VLOOKUP(E588&amp;F588,IMPORTRANGE(""https://docs.google.com/spreadsheets/d/1Uw7-A9f9R21vMXxHZFNpYNeKFtG8_yji4HS352LGlSQ/edit?pli=1#gid=0"",""1_ACUM!A4:S""),13,FALSE))"),"")</f>
        <v/>
      </c>
      <c r="AD565" s="43" t="str">
        <f ca="1">IFERROR(__xludf.DUMMYFUNCTION("IFERROR(VLOOKUP(E588&amp;F588,IMPORTRANGE(""https://docs.google.com/spreadsheets/d/1Uw7-A9f9R21vMXxHZFNpYNeKFtG8_yji4HS352LGlSQ/edit?pli=1#gid=0"",""1_ACUM!A4:S""),13,FALSE))"),"")</f>
        <v/>
      </c>
      <c r="AE565" s="43" t="str">
        <f ca="1">IFERROR(__xludf.DUMMYFUNCTION("IFERROR(VLOOKUP(E588&amp;F588,IMPORTRANGE(""https://docs.google.com/spreadsheets/d/1Uw7-A9f9R21vMXxHZFNpYNeKFtG8_yji4HS352LGlSQ/edit?pli=1#gid=0"",""1_ACUM!A4:S""),14,FALSE))"),"")</f>
        <v/>
      </c>
      <c r="AF565" s="43" t="str">
        <f ca="1">IFERROR(__xludf.DUMMYFUNCTION("IFERROR(VLOOKUP(E588&amp;F588,IMPORTRANGE(""https://docs.google.com/spreadsheets/d/1Uw7-A9f9R21vMXxHZFNpYNeKFtG8_yji4HS352LGlSQ/edit?pli=1#gid=0"",""1_ACUM!A4:S""),15,FALSE))"),"")</f>
        <v/>
      </c>
      <c r="AG565" s="43" t="str">
        <f ca="1">IFERROR(__xludf.DUMMYFUNCTION("IFERROR(VLOOKUP(E588&amp;F588,IMPORTRANGE(""https://docs.google.com/spreadsheets/d/1Uw7-A9f9R21vMXxHZFNpYNeKFtG8_yji4HS352LGlSQ/edit?pli=1#gid=0"",""1_ACUM!A4:S""),16,FALSE))"),"")</f>
        <v/>
      </c>
      <c r="AH565" s="43" t="str">
        <f ca="1">IFERROR(__xludf.DUMMYFUNCTION("IFERROR(VLOOKUP(E588&amp;F588,IMPORTRANGE(""https://docs.google.com/spreadsheets/d/1Uw7-A9f9R21vMXxHZFNpYNeKFtG8_yji4HS352LGlSQ/edit?pli=1#gid=0"",""1_ACUM!A4:S""),17,FALSE))"),"")</f>
        <v/>
      </c>
      <c r="AI565" s="44" t="str">
        <f ca="1">IFERROR(__xludf.DUMMYFUNCTION("IFERROR(VLOOKUP(E588&amp;F588,IMPORTRANGE(""https://docs.google.com/spreadsheets/d/1Uw7-A9f9R21vMXxHZFNpYNeKFtG8_yji4HS352LGlSQ/edit?pli=1#gid=0"",""1_ACUM!A4:S""),18,FALSE))"),"")</f>
        <v/>
      </c>
      <c r="AJ565" s="44" t="str">
        <f ca="1">IFERROR(__xludf.DUMMYFUNCTION("IFERROR(VLOOKUP(E588&amp;F588,IMPORTRANGE(""https://docs.google.com/spreadsheets/d/1Uw7-A9f9R21vMXxHZFNpYNeKFtG8_yji4HS352LGlSQ/edit?pli=1#gid=0"",""1_ACUM!A4:S""),19,FALSE))"),"")</f>
        <v/>
      </c>
      <c r="AK565" s="98" t="str">
        <f ca="1">IFERROR(__xludf.DUMMYFUNCTION("IFERROR(VLOOKUP(F588,IMPORTRANGE(""https://docs.google.com/spreadsheets/d/1Kvs4KS76FHFqLFIZfrDMff4kP08nblUkihrxltoGBjg/edit#gid=934712705"",""ESENCIAL!A6:BG""),5,FALSE))"),"")</f>
        <v/>
      </c>
      <c r="AL565" s="98" t="str">
        <f t="shared" si="35"/>
        <v/>
      </c>
      <c r="AM565" s="99" t="str">
        <f t="shared" si="36"/>
        <v/>
      </c>
      <c r="AN565" s="100" t="str">
        <f ca="1">IFERROR(__xludf.DUMMYFUNCTION("IFERROR(VLOOKUP(F588,IMPORTRANGE(""https://docs.google.com/spreadsheets/d/1Kvs4KS76FHFqLFIZfrDMff4kP08nblUkihrxltoGBjg/edit#gid=934712705"",""ESENCIAL!A6:BG""),2,FALSE))"),"")</f>
        <v/>
      </c>
      <c r="AO565" s="19" t="str">
        <f t="shared" si="33"/>
        <v/>
      </c>
      <c r="AP565" s="100"/>
      <c r="AQ565" s="100"/>
    </row>
    <row r="566" spans="1:43" ht="15">
      <c r="A566" s="5"/>
      <c r="B566" s="5"/>
      <c r="G566" s="5" t="str">
        <f ca="1">IFERROR(__xludf.DUMMYFUNCTION("IFERROR(VLOOKUP(F589,IMPORTRANGE(""https://docs.google.com/spreadsheets/d/1Kvs4KS76FHFqLFIZfrDMff4kP08nblUkihrxltoGBjg/edit#gid=934712705"",""ESENCIAL!A6:BG""),3,FALSE))"),"")</f>
        <v/>
      </c>
      <c r="H566" s="5" t="str">
        <f ca="1">IFERROR(__xludf.DUMMYFUNCTION("IFERROR(VLOOKUP(F589,IMPORTRANGE(""https://docs.google.com/spreadsheets/d/1Kvs4KS76FHFqLFIZfrDMff4kP08nblUkihrxltoGBjg/edit#gid=934712705"",""ESENCIAL!A6:BG""),8,FALSE))"),"")</f>
        <v/>
      </c>
      <c r="L566" s="287"/>
      <c r="Z566" s="41" t="str">
        <f t="shared" si="34"/>
        <v/>
      </c>
      <c r="AA566" s="5" t="str">
        <f ca="1">IFERROR(__xludf.DUMMYFUNCTION("IFERROR(VLOOKUP(E589&amp;F589,IMPORTRANGE(""https://docs.google.com/spreadsheets/d/1Uw7-A9f9R21vMXxHZFNpYNeKFtG8_yji4HS352LGlSQ/edit?pli=1#gid=0"",""1_ACUM!A4:S""),11,FALSE))"),"")</f>
        <v/>
      </c>
      <c r="AB566" s="42" t="str">
        <f ca="1">IFERROR(__xludf.DUMMYFUNCTION("IFERROR(VLOOKUP(F589,IMPORTRANGE(""https://docs.google.com/spreadsheets/d/1Kvs4KS76FHFqLFIZfrDMff4kP08nblUkihrxltoGBjg/edit#gid=934712705"",""ESENCIAL!A6:BG""),15,FALSE))"),"")</f>
        <v/>
      </c>
      <c r="AC566" s="110" t="str">
        <f ca="1">IFERROR(__xludf.DUMMYFUNCTION("IFERROR(VLOOKUP(E589&amp;F589,IMPORTRANGE(""https://docs.google.com/spreadsheets/d/1Uw7-A9f9R21vMXxHZFNpYNeKFtG8_yji4HS352LGlSQ/edit?pli=1#gid=0"",""1_ACUM!A4:S""),13,FALSE))"),"")</f>
        <v/>
      </c>
      <c r="AD566" s="43" t="str">
        <f ca="1">IFERROR(__xludf.DUMMYFUNCTION("IFERROR(VLOOKUP(E589&amp;F589,IMPORTRANGE(""https://docs.google.com/spreadsheets/d/1Uw7-A9f9R21vMXxHZFNpYNeKFtG8_yji4HS352LGlSQ/edit?pli=1#gid=0"",""1_ACUM!A4:S""),13,FALSE))"),"")</f>
        <v/>
      </c>
      <c r="AE566" s="43" t="str">
        <f ca="1">IFERROR(__xludf.DUMMYFUNCTION("IFERROR(VLOOKUP(E589&amp;F589,IMPORTRANGE(""https://docs.google.com/spreadsheets/d/1Uw7-A9f9R21vMXxHZFNpYNeKFtG8_yji4HS352LGlSQ/edit?pli=1#gid=0"",""1_ACUM!A4:S""),14,FALSE))"),"")</f>
        <v/>
      </c>
      <c r="AF566" s="43" t="str">
        <f ca="1">IFERROR(__xludf.DUMMYFUNCTION("IFERROR(VLOOKUP(E589&amp;F589,IMPORTRANGE(""https://docs.google.com/spreadsheets/d/1Uw7-A9f9R21vMXxHZFNpYNeKFtG8_yji4HS352LGlSQ/edit?pli=1#gid=0"",""1_ACUM!A4:S""),15,FALSE))"),"")</f>
        <v/>
      </c>
      <c r="AG566" s="43" t="str">
        <f ca="1">IFERROR(__xludf.DUMMYFUNCTION("IFERROR(VLOOKUP(E589&amp;F589,IMPORTRANGE(""https://docs.google.com/spreadsheets/d/1Uw7-A9f9R21vMXxHZFNpYNeKFtG8_yji4HS352LGlSQ/edit?pli=1#gid=0"",""1_ACUM!A4:S""),16,FALSE))"),"")</f>
        <v/>
      </c>
      <c r="AH566" s="43" t="str">
        <f ca="1">IFERROR(__xludf.DUMMYFUNCTION("IFERROR(VLOOKUP(E589&amp;F589,IMPORTRANGE(""https://docs.google.com/spreadsheets/d/1Uw7-A9f9R21vMXxHZFNpYNeKFtG8_yji4HS352LGlSQ/edit?pli=1#gid=0"",""1_ACUM!A4:S""),17,FALSE))"),"")</f>
        <v/>
      </c>
      <c r="AI566" s="44" t="str">
        <f ca="1">IFERROR(__xludf.DUMMYFUNCTION("IFERROR(VLOOKUP(E589&amp;F589,IMPORTRANGE(""https://docs.google.com/spreadsheets/d/1Uw7-A9f9R21vMXxHZFNpYNeKFtG8_yji4HS352LGlSQ/edit?pli=1#gid=0"",""1_ACUM!A4:S""),18,FALSE))"),"")</f>
        <v/>
      </c>
      <c r="AJ566" s="44" t="str">
        <f ca="1">IFERROR(__xludf.DUMMYFUNCTION("IFERROR(VLOOKUP(E589&amp;F589,IMPORTRANGE(""https://docs.google.com/spreadsheets/d/1Uw7-A9f9R21vMXxHZFNpYNeKFtG8_yji4HS352LGlSQ/edit?pli=1#gid=0"",""1_ACUM!A4:S""),19,FALSE))"),"")</f>
        <v/>
      </c>
      <c r="AK566" s="98" t="str">
        <f ca="1">IFERROR(__xludf.DUMMYFUNCTION("IFERROR(VLOOKUP(F589,IMPORTRANGE(""https://docs.google.com/spreadsheets/d/1Kvs4KS76FHFqLFIZfrDMff4kP08nblUkihrxltoGBjg/edit#gid=934712705"",""ESENCIAL!A6:BG""),5,FALSE))"),"")</f>
        <v/>
      </c>
      <c r="AL566" s="98" t="str">
        <f t="shared" si="35"/>
        <v/>
      </c>
      <c r="AM566" s="99" t="str">
        <f t="shared" si="36"/>
        <v/>
      </c>
      <c r="AN566" s="100" t="str">
        <f ca="1">IFERROR(__xludf.DUMMYFUNCTION("IFERROR(VLOOKUP(F589,IMPORTRANGE(""https://docs.google.com/spreadsheets/d/1Kvs4KS76FHFqLFIZfrDMff4kP08nblUkihrxltoGBjg/edit#gid=934712705"",""ESENCIAL!A6:BG""),2,FALSE))"),"")</f>
        <v/>
      </c>
      <c r="AO566" s="19" t="str">
        <f t="shared" si="33"/>
        <v/>
      </c>
      <c r="AP566" s="100"/>
      <c r="AQ566" s="100"/>
    </row>
    <row r="567" spans="1:43" ht="15">
      <c r="A567" s="5"/>
      <c r="B567" s="5"/>
      <c r="G567" s="5" t="str">
        <f ca="1">IFERROR(__xludf.DUMMYFUNCTION("IFERROR(VLOOKUP(F590,IMPORTRANGE(""https://docs.google.com/spreadsheets/d/1Kvs4KS76FHFqLFIZfrDMff4kP08nblUkihrxltoGBjg/edit#gid=934712705"",""ESENCIAL!A6:BG""),3,FALSE))"),"")</f>
        <v/>
      </c>
      <c r="H567" s="5" t="str">
        <f ca="1">IFERROR(__xludf.DUMMYFUNCTION("IFERROR(VLOOKUP(F590,IMPORTRANGE(""https://docs.google.com/spreadsheets/d/1Kvs4KS76FHFqLFIZfrDMff4kP08nblUkihrxltoGBjg/edit#gid=934712705"",""ESENCIAL!A6:BG""),8,FALSE))"),"")</f>
        <v/>
      </c>
      <c r="L567" s="287"/>
      <c r="Z567" s="41" t="str">
        <f t="shared" si="34"/>
        <v/>
      </c>
      <c r="AA567" s="5" t="str">
        <f ca="1">IFERROR(__xludf.DUMMYFUNCTION("IFERROR(VLOOKUP(E590&amp;F590,IMPORTRANGE(""https://docs.google.com/spreadsheets/d/1Uw7-A9f9R21vMXxHZFNpYNeKFtG8_yji4HS352LGlSQ/edit?pli=1#gid=0"",""1_ACUM!A4:S""),11,FALSE))"),"")</f>
        <v/>
      </c>
      <c r="AB567" s="42" t="str">
        <f ca="1">IFERROR(__xludf.DUMMYFUNCTION("IFERROR(VLOOKUP(F590,IMPORTRANGE(""https://docs.google.com/spreadsheets/d/1Kvs4KS76FHFqLFIZfrDMff4kP08nblUkihrxltoGBjg/edit#gid=934712705"",""ESENCIAL!A6:BG""),15,FALSE))"),"")</f>
        <v/>
      </c>
      <c r="AC567" s="110" t="str">
        <f ca="1">IFERROR(__xludf.DUMMYFUNCTION("IFERROR(VLOOKUP(E590&amp;F590,IMPORTRANGE(""https://docs.google.com/spreadsheets/d/1Uw7-A9f9R21vMXxHZFNpYNeKFtG8_yji4HS352LGlSQ/edit?pli=1#gid=0"",""1_ACUM!A4:S""),13,FALSE))"),"")</f>
        <v/>
      </c>
      <c r="AD567" s="43" t="str">
        <f ca="1">IFERROR(__xludf.DUMMYFUNCTION("IFERROR(VLOOKUP(E590&amp;F590,IMPORTRANGE(""https://docs.google.com/spreadsheets/d/1Uw7-A9f9R21vMXxHZFNpYNeKFtG8_yji4HS352LGlSQ/edit?pli=1#gid=0"",""1_ACUM!A4:S""),13,FALSE))"),"")</f>
        <v/>
      </c>
      <c r="AE567" s="43" t="str">
        <f ca="1">IFERROR(__xludf.DUMMYFUNCTION("IFERROR(VLOOKUP(E590&amp;F590,IMPORTRANGE(""https://docs.google.com/spreadsheets/d/1Uw7-A9f9R21vMXxHZFNpYNeKFtG8_yji4HS352LGlSQ/edit?pli=1#gid=0"",""1_ACUM!A4:S""),14,FALSE))"),"")</f>
        <v/>
      </c>
      <c r="AF567" s="43" t="str">
        <f ca="1">IFERROR(__xludf.DUMMYFUNCTION("IFERROR(VLOOKUP(E590&amp;F590,IMPORTRANGE(""https://docs.google.com/spreadsheets/d/1Uw7-A9f9R21vMXxHZFNpYNeKFtG8_yji4HS352LGlSQ/edit?pli=1#gid=0"",""1_ACUM!A4:S""),15,FALSE))"),"")</f>
        <v/>
      </c>
      <c r="AG567" s="43" t="str">
        <f ca="1">IFERROR(__xludf.DUMMYFUNCTION("IFERROR(VLOOKUP(E590&amp;F590,IMPORTRANGE(""https://docs.google.com/spreadsheets/d/1Uw7-A9f9R21vMXxHZFNpYNeKFtG8_yji4HS352LGlSQ/edit?pli=1#gid=0"",""1_ACUM!A4:S""),16,FALSE))"),"")</f>
        <v/>
      </c>
      <c r="AH567" s="43" t="str">
        <f ca="1">IFERROR(__xludf.DUMMYFUNCTION("IFERROR(VLOOKUP(E590&amp;F590,IMPORTRANGE(""https://docs.google.com/spreadsheets/d/1Uw7-A9f9R21vMXxHZFNpYNeKFtG8_yji4HS352LGlSQ/edit?pli=1#gid=0"",""1_ACUM!A4:S""),17,FALSE))"),"")</f>
        <v/>
      </c>
      <c r="AI567" s="44" t="str">
        <f ca="1">IFERROR(__xludf.DUMMYFUNCTION("IFERROR(VLOOKUP(E590&amp;F590,IMPORTRANGE(""https://docs.google.com/spreadsheets/d/1Uw7-A9f9R21vMXxHZFNpYNeKFtG8_yji4HS352LGlSQ/edit?pli=1#gid=0"",""1_ACUM!A4:S""),18,FALSE))"),"")</f>
        <v/>
      </c>
      <c r="AJ567" s="44" t="str">
        <f ca="1">IFERROR(__xludf.DUMMYFUNCTION("IFERROR(VLOOKUP(E590&amp;F590,IMPORTRANGE(""https://docs.google.com/spreadsheets/d/1Uw7-A9f9R21vMXxHZFNpYNeKFtG8_yji4HS352LGlSQ/edit?pli=1#gid=0"",""1_ACUM!A4:S""),19,FALSE))"),"")</f>
        <v/>
      </c>
      <c r="AK567" s="98" t="str">
        <f ca="1">IFERROR(__xludf.DUMMYFUNCTION("IFERROR(VLOOKUP(F590,IMPORTRANGE(""https://docs.google.com/spreadsheets/d/1Kvs4KS76FHFqLFIZfrDMff4kP08nblUkihrxltoGBjg/edit#gid=934712705"",""ESENCIAL!A6:BG""),5,FALSE))"),"")</f>
        <v/>
      </c>
      <c r="AL567" s="98" t="str">
        <f t="shared" si="35"/>
        <v/>
      </c>
      <c r="AM567" s="99" t="str">
        <f t="shared" si="36"/>
        <v/>
      </c>
      <c r="AN567" s="100" t="str">
        <f ca="1">IFERROR(__xludf.DUMMYFUNCTION("IFERROR(VLOOKUP(F590,IMPORTRANGE(""https://docs.google.com/spreadsheets/d/1Kvs4KS76FHFqLFIZfrDMff4kP08nblUkihrxltoGBjg/edit#gid=934712705"",""ESENCIAL!A6:BG""),2,FALSE))"),"")</f>
        <v/>
      </c>
      <c r="AO567" s="19" t="str">
        <f t="shared" si="33"/>
        <v/>
      </c>
      <c r="AP567" s="100"/>
      <c r="AQ567" s="100"/>
    </row>
    <row r="568" spans="1:43" ht="15">
      <c r="A568" s="5"/>
      <c r="B568" s="5"/>
      <c r="G568" s="5" t="str">
        <f ca="1">IFERROR(__xludf.DUMMYFUNCTION("IFERROR(VLOOKUP(F591,IMPORTRANGE(""https://docs.google.com/spreadsheets/d/1Kvs4KS76FHFqLFIZfrDMff4kP08nblUkihrxltoGBjg/edit#gid=934712705"",""ESENCIAL!A6:BG""),3,FALSE))"),"")</f>
        <v/>
      </c>
      <c r="H568" s="5" t="str">
        <f ca="1">IFERROR(__xludf.DUMMYFUNCTION("IFERROR(VLOOKUP(F591,IMPORTRANGE(""https://docs.google.com/spreadsheets/d/1Kvs4KS76FHFqLFIZfrDMff4kP08nblUkihrxltoGBjg/edit#gid=934712705"",""ESENCIAL!A6:BG""),8,FALSE))"),"")</f>
        <v/>
      </c>
      <c r="L568" s="287"/>
      <c r="Z568" s="41" t="str">
        <f t="shared" si="34"/>
        <v/>
      </c>
      <c r="AA568" s="5" t="str">
        <f ca="1">IFERROR(__xludf.DUMMYFUNCTION("IFERROR(VLOOKUP(E591&amp;F591,IMPORTRANGE(""https://docs.google.com/spreadsheets/d/1Uw7-A9f9R21vMXxHZFNpYNeKFtG8_yji4HS352LGlSQ/edit?pli=1#gid=0"",""1_ACUM!A4:S""),11,FALSE))"),"")</f>
        <v/>
      </c>
      <c r="AB568" s="42" t="str">
        <f ca="1">IFERROR(__xludf.DUMMYFUNCTION("IFERROR(VLOOKUP(F591,IMPORTRANGE(""https://docs.google.com/spreadsheets/d/1Kvs4KS76FHFqLFIZfrDMff4kP08nblUkihrxltoGBjg/edit#gid=934712705"",""ESENCIAL!A6:BG""),15,FALSE))"),"")</f>
        <v/>
      </c>
      <c r="AC568" s="110" t="str">
        <f ca="1">IFERROR(__xludf.DUMMYFUNCTION("IFERROR(VLOOKUP(E591&amp;F591,IMPORTRANGE(""https://docs.google.com/spreadsheets/d/1Uw7-A9f9R21vMXxHZFNpYNeKFtG8_yji4HS352LGlSQ/edit?pli=1#gid=0"",""1_ACUM!A4:S""),13,FALSE))"),"")</f>
        <v/>
      </c>
      <c r="AD568" s="43" t="str">
        <f ca="1">IFERROR(__xludf.DUMMYFUNCTION("IFERROR(VLOOKUP(E591&amp;F591,IMPORTRANGE(""https://docs.google.com/spreadsheets/d/1Uw7-A9f9R21vMXxHZFNpYNeKFtG8_yji4HS352LGlSQ/edit?pli=1#gid=0"",""1_ACUM!A4:S""),13,FALSE))"),"")</f>
        <v/>
      </c>
      <c r="AE568" s="43" t="str">
        <f ca="1">IFERROR(__xludf.DUMMYFUNCTION("IFERROR(VLOOKUP(E591&amp;F591,IMPORTRANGE(""https://docs.google.com/spreadsheets/d/1Uw7-A9f9R21vMXxHZFNpYNeKFtG8_yji4HS352LGlSQ/edit?pli=1#gid=0"",""1_ACUM!A4:S""),14,FALSE))"),"")</f>
        <v/>
      </c>
      <c r="AF568" s="43" t="str">
        <f ca="1">IFERROR(__xludf.DUMMYFUNCTION("IFERROR(VLOOKUP(E591&amp;F591,IMPORTRANGE(""https://docs.google.com/spreadsheets/d/1Uw7-A9f9R21vMXxHZFNpYNeKFtG8_yji4HS352LGlSQ/edit?pli=1#gid=0"",""1_ACUM!A4:S""),15,FALSE))"),"")</f>
        <v/>
      </c>
      <c r="AG568" s="43" t="str">
        <f ca="1">IFERROR(__xludf.DUMMYFUNCTION("IFERROR(VLOOKUP(E591&amp;F591,IMPORTRANGE(""https://docs.google.com/spreadsheets/d/1Uw7-A9f9R21vMXxHZFNpYNeKFtG8_yji4HS352LGlSQ/edit?pli=1#gid=0"",""1_ACUM!A4:S""),16,FALSE))"),"")</f>
        <v/>
      </c>
      <c r="AH568" s="43" t="str">
        <f ca="1">IFERROR(__xludf.DUMMYFUNCTION("IFERROR(VLOOKUP(E591&amp;F591,IMPORTRANGE(""https://docs.google.com/spreadsheets/d/1Uw7-A9f9R21vMXxHZFNpYNeKFtG8_yji4HS352LGlSQ/edit?pli=1#gid=0"",""1_ACUM!A4:S""),17,FALSE))"),"")</f>
        <v/>
      </c>
      <c r="AI568" s="44" t="str">
        <f ca="1">IFERROR(__xludf.DUMMYFUNCTION("IFERROR(VLOOKUP(E591&amp;F591,IMPORTRANGE(""https://docs.google.com/spreadsheets/d/1Uw7-A9f9R21vMXxHZFNpYNeKFtG8_yji4HS352LGlSQ/edit?pli=1#gid=0"",""1_ACUM!A4:S""),18,FALSE))"),"")</f>
        <v/>
      </c>
      <c r="AJ568" s="44" t="str">
        <f ca="1">IFERROR(__xludf.DUMMYFUNCTION("IFERROR(VLOOKUP(E591&amp;F591,IMPORTRANGE(""https://docs.google.com/spreadsheets/d/1Uw7-A9f9R21vMXxHZFNpYNeKFtG8_yji4HS352LGlSQ/edit?pli=1#gid=0"",""1_ACUM!A4:S""),19,FALSE))"),"")</f>
        <v/>
      </c>
      <c r="AK568" s="98" t="str">
        <f ca="1">IFERROR(__xludf.DUMMYFUNCTION("IFERROR(VLOOKUP(F591,IMPORTRANGE(""https://docs.google.com/spreadsheets/d/1Kvs4KS76FHFqLFIZfrDMff4kP08nblUkihrxltoGBjg/edit#gid=934712705"",""ESENCIAL!A6:BG""),5,FALSE))"),"")</f>
        <v/>
      </c>
      <c r="AL568" s="98" t="str">
        <f t="shared" si="35"/>
        <v/>
      </c>
      <c r="AM568" s="99" t="str">
        <f t="shared" si="36"/>
        <v/>
      </c>
      <c r="AN568" s="100" t="str">
        <f ca="1">IFERROR(__xludf.DUMMYFUNCTION("IFERROR(VLOOKUP(F591,IMPORTRANGE(""https://docs.google.com/spreadsheets/d/1Kvs4KS76FHFqLFIZfrDMff4kP08nblUkihrxltoGBjg/edit#gid=934712705"",""ESENCIAL!A6:BG""),2,FALSE))"),"")</f>
        <v/>
      </c>
      <c r="AO568" s="19" t="str">
        <f t="shared" si="33"/>
        <v/>
      </c>
      <c r="AP568" s="100"/>
      <c r="AQ568" s="100"/>
    </row>
    <row r="569" spans="1:43" ht="15">
      <c r="A569" s="5"/>
      <c r="B569" s="5"/>
      <c r="G569" s="5" t="str">
        <f ca="1">IFERROR(__xludf.DUMMYFUNCTION("IFERROR(VLOOKUP(F592,IMPORTRANGE(""https://docs.google.com/spreadsheets/d/1Kvs4KS76FHFqLFIZfrDMff4kP08nblUkihrxltoGBjg/edit#gid=934712705"",""ESENCIAL!A6:BG""),3,FALSE))"),"")</f>
        <v/>
      </c>
      <c r="H569" s="5" t="str">
        <f ca="1">IFERROR(__xludf.DUMMYFUNCTION("IFERROR(VLOOKUP(F592,IMPORTRANGE(""https://docs.google.com/spreadsheets/d/1Kvs4KS76FHFqLFIZfrDMff4kP08nblUkihrxltoGBjg/edit#gid=934712705"",""ESENCIAL!A6:BG""),8,FALSE))"),"")</f>
        <v/>
      </c>
      <c r="L569" s="287"/>
      <c r="Z569" s="41" t="str">
        <f t="shared" si="34"/>
        <v/>
      </c>
      <c r="AA569" s="5" t="str">
        <f ca="1">IFERROR(__xludf.DUMMYFUNCTION("IFERROR(VLOOKUP(E592&amp;F592,IMPORTRANGE(""https://docs.google.com/spreadsheets/d/1Uw7-A9f9R21vMXxHZFNpYNeKFtG8_yji4HS352LGlSQ/edit?pli=1#gid=0"",""1_ACUM!A4:S""),11,FALSE))"),"")</f>
        <v/>
      </c>
      <c r="AB569" s="42" t="str">
        <f ca="1">IFERROR(__xludf.DUMMYFUNCTION("IFERROR(VLOOKUP(F592,IMPORTRANGE(""https://docs.google.com/spreadsheets/d/1Kvs4KS76FHFqLFIZfrDMff4kP08nblUkihrxltoGBjg/edit#gid=934712705"",""ESENCIAL!A6:BG""),15,FALSE))"),"")</f>
        <v/>
      </c>
      <c r="AC569" s="110" t="str">
        <f ca="1">IFERROR(__xludf.DUMMYFUNCTION("IFERROR(VLOOKUP(E592&amp;F592,IMPORTRANGE(""https://docs.google.com/spreadsheets/d/1Uw7-A9f9R21vMXxHZFNpYNeKFtG8_yji4HS352LGlSQ/edit?pli=1#gid=0"",""1_ACUM!A4:S""),13,FALSE))"),"")</f>
        <v/>
      </c>
      <c r="AD569" s="43" t="str">
        <f ca="1">IFERROR(__xludf.DUMMYFUNCTION("IFERROR(VLOOKUP(E592&amp;F592,IMPORTRANGE(""https://docs.google.com/spreadsheets/d/1Uw7-A9f9R21vMXxHZFNpYNeKFtG8_yji4HS352LGlSQ/edit?pli=1#gid=0"",""1_ACUM!A4:S""),13,FALSE))"),"")</f>
        <v/>
      </c>
      <c r="AE569" s="43" t="str">
        <f ca="1">IFERROR(__xludf.DUMMYFUNCTION("IFERROR(VLOOKUP(E592&amp;F592,IMPORTRANGE(""https://docs.google.com/spreadsheets/d/1Uw7-A9f9R21vMXxHZFNpYNeKFtG8_yji4HS352LGlSQ/edit?pli=1#gid=0"",""1_ACUM!A4:S""),14,FALSE))"),"")</f>
        <v/>
      </c>
      <c r="AF569" s="43" t="str">
        <f ca="1">IFERROR(__xludf.DUMMYFUNCTION("IFERROR(VLOOKUP(E592&amp;F592,IMPORTRANGE(""https://docs.google.com/spreadsheets/d/1Uw7-A9f9R21vMXxHZFNpYNeKFtG8_yji4HS352LGlSQ/edit?pli=1#gid=0"",""1_ACUM!A4:S""),15,FALSE))"),"")</f>
        <v/>
      </c>
      <c r="AG569" s="43" t="str">
        <f ca="1">IFERROR(__xludf.DUMMYFUNCTION("IFERROR(VLOOKUP(E592&amp;F592,IMPORTRANGE(""https://docs.google.com/spreadsheets/d/1Uw7-A9f9R21vMXxHZFNpYNeKFtG8_yji4HS352LGlSQ/edit?pli=1#gid=0"",""1_ACUM!A4:S""),16,FALSE))"),"")</f>
        <v/>
      </c>
      <c r="AH569" s="43" t="str">
        <f ca="1">IFERROR(__xludf.DUMMYFUNCTION("IFERROR(VLOOKUP(E592&amp;F592,IMPORTRANGE(""https://docs.google.com/spreadsheets/d/1Uw7-A9f9R21vMXxHZFNpYNeKFtG8_yji4HS352LGlSQ/edit?pli=1#gid=0"",""1_ACUM!A4:S""),17,FALSE))"),"")</f>
        <v/>
      </c>
      <c r="AI569" s="44" t="str">
        <f ca="1">IFERROR(__xludf.DUMMYFUNCTION("IFERROR(VLOOKUP(E592&amp;F592,IMPORTRANGE(""https://docs.google.com/spreadsheets/d/1Uw7-A9f9R21vMXxHZFNpYNeKFtG8_yji4HS352LGlSQ/edit?pli=1#gid=0"",""1_ACUM!A4:S""),18,FALSE))"),"")</f>
        <v/>
      </c>
      <c r="AJ569" s="44" t="str">
        <f ca="1">IFERROR(__xludf.DUMMYFUNCTION("IFERROR(VLOOKUP(E592&amp;F592,IMPORTRANGE(""https://docs.google.com/spreadsheets/d/1Uw7-A9f9R21vMXxHZFNpYNeKFtG8_yji4HS352LGlSQ/edit?pli=1#gid=0"",""1_ACUM!A4:S""),19,FALSE))"),"")</f>
        <v/>
      </c>
      <c r="AK569" s="98" t="str">
        <f ca="1">IFERROR(__xludf.DUMMYFUNCTION("IFERROR(VLOOKUP(F592,IMPORTRANGE(""https://docs.google.com/spreadsheets/d/1Kvs4KS76FHFqLFIZfrDMff4kP08nblUkihrxltoGBjg/edit#gid=934712705"",""ESENCIAL!A6:BG""),5,FALSE))"),"")</f>
        <v/>
      </c>
      <c r="AL569" s="98" t="str">
        <f t="shared" si="35"/>
        <v/>
      </c>
      <c r="AM569" s="99" t="str">
        <f t="shared" si="36"/>
        <v/>
      </c>
      <c r="AN569" s="100" t="str">
        <f ca="1">IFERROR(__xludf.DUMMYFUNCTION("IFERROR(VLOOKUP(F592,IMPORTRANGE(""https://docs.google.com/spreadsheets/d/1Kvs4KS76FHFqLFIZfrDMff4kP08nblUkihrxltoGBjg/edit#gid=934712705"",""ESENCIAL!A6:BG""),2,FALSE))"),"")</f>
        <v/>
      </c>
      <c r="AO569" s="19" t="str">
        <f t="shared" si="33"/>
        <v/>
      </c>
      <c r="AP569" s="100"/>
      <c r="AQ569" s="100"/>
    </row>
    <row r="570" spans="1:43" ht="15">
      <c r="A570" s="5"/>
      <c r="B570" s="5"/>
      <c r="G570" s="5" t="str">
        <f ca="1">IFERROR(__xludf.DUMMYFUNCTION("IFERROR(VLOOKUP(F593,IMPORTRANGE(""https://docs.google.com/spreadsheets/d/1Kvs4KS76FHFqLFIZfrDMff4kP08nblUkihrxltoGBjg/edit#gid=934712705"",""ESENCIAL!A6:BG""),3,FALSE))"),"")</f>
        <v/>
      </c>
      <c r="H570" s="5" t="str">
        <f ca="1">IFERROR(__xludf.DUMMYFUNCTION("IFERROR(VLOOKUP(F593,IMPORTRANGE(""https://docs.google.com/spreadsheets/d/1Kvs4KS76FHFqLFIZfrDMff4kP08nblUkihrxltoGBjg/edit#gid=934712705"",""ESENCIAL!A6:BG""),8,FALSE))"),"")</f>
        <v/>
      </c>
      <c r="L570" s="287"/>
      <c r="Z570" s="41" t="str">
        <f t="shared" si="34"/>
        <v/>
      </c>
      <c r="AA570" s="5" t="str">
        <f ca="1">IFERROR(__xludf.DUMMYFUNCTION("IFERROR(VLOOKUP(E593&amp;F593,IMPORTRANGE(""https://docs.google.com/spreadsheets/d/1Uw7-A9f9R21vMXxHZFNpYNeKFtG8_yji4HS352LGlSQ/edit?pli=1#gid=0"",""1_ACUM!A4:S""),11,FALSE))"),"")</f>
        <v/>
      </c>
      <c r="AB570" s="42" t="str">
        <f ca="1">IFERROR(__xludf.DUMMYFUNCTION("IFERROR(VLOOKUP(F593,IMPORTRANGE(""https://docs.google.com/spreadsheets/d/1Kvs4KS76FHFqLFIZfrDMff4kP08nblUkihrxltoGBjg/edit#gid=934712705"",""ESENCIAL!A6:BG""),15,FALSE))"),"")</f>
        <v/>
      </c>
      <c r="AC570" s="110" t="str">
        <f ca="1">IFERROR(__xludf.DUMMYFUNCTION("IFERROR(VLOOKUP(E593&amp;F593,IMPORTRANGE(""https://docs.google.com/spreadsheets/d/1Uw7-A9f9R21vMXxHZFNpYNeKFtG8_yji4HS352LGlSQ/edit?pli=1#gid=0"",""1_ACUM!A4:S""),13,FALSE))"),"")</f>
        <v/>
      </c>
      <c r="AD570" s="43" t="str">
        <f ca="1">IFERROR(__xludf.DUMMYFUNCTION("IFERROR(VLOOKUP(E593&amp;F593,IMPORTRANGE(""https://docs.google.com/spreadsheets/d/1Uw7-A9f9R21vMXxHZFNpYNeKFtG8_yji4HS352LGlSQ/edit?pli=1#gid=0"",""1_ACUM!A4:S""),13,FALSE))"),"")</f>
        <v/>
      </c>
      <c r="AE570" s="43" t="str">
        <f ca="1">IFERROR(__xludf.DUMMYFUNCTION("IFERROR(VLOOKUP(E593&amp;F593,IMPORTRANGE(""https://docs.google.com/spreadsheets/d/1Uw7-A9f9R21vMXxHZFNpYNeKFtG8_yji4HS352LGlSQ/edit?pli=1#gid=0"",""1_ACUM!A4:S""),14,FALSE))"),"")</f>
        <v/>
      </c>
      <c r="AF570" s="43" t="str">
        <f ca="1">IFERROR(__xludf.DUMMYFUNCTION("IFERROR(VLOOKUP(E593&amp;F593,IMPORTRANGE(""https://docs.google.com/spreadsheets/d/1Uw7-A9f9R21vMXxHZFNpYNeKFtG8_yji4HS352LGlSQ/edit?pli=1#gid=0"",""1_ACUM!A4:S""),15,FALSE))"),"")</f>
        <v/>
      </c>
      <c r="AG570" s="43" t="str">
        <f ca="1">IFERROR(__xludf.DUMMYFUNCTION("IFERROR(VLOOKUP(E593&amp;F593,IMPORTRANGE(""https://docs.google.com/spreadsheets/d/1Uw7-A9f9R21vMXxHZFNpYNeKFtG8_yji4HS352LGlSQ/edit?pli=1#gid=0"",""1_ACUM!A4:S""),16,FALSE))"),"")</f>
        <v/>
      </c>
      <c r="AH570" s="43" t="str">
        <f ca="1">IFERROR(__xludf.DUMMYFUNCTION("IFERROR(VLOOKUP(E593&amp;F593,IMPORTRANGE(""https://docs.google.com/spreadsheets/d/1Uw7-A9f9R21vMXxHZFNpYNeKFtG8_yji4HS352LGlSQ/edit?pli=1#gid=0"",""1_ACUM!A4:S""),17,FALSE))"),"")</f>
        <v/>
      </c>
      <c r="AI570" s="44" t="str">
        <f ca="1">IFERROR(__xludf.DUMMYFUNCTION("IFERROR(VLOOKUP(E593&amp;F593,IMPORTRANGE(""https://docs.google.com/spreadsheets/d/1Uw7-A9f9R21vMXxHZFNpYNeKFtG8_yji4HS352LGlSQ/edit?pli=1#gid=0"",""1_ACUM!A4:S""),18,FALSE))"),"")</f>
        <v/>
      </c>
      <c r="AJ570" s="44" t="str">
        <f ca="1">IFERROR(__xludf.DUMMYFUNCTION("IFERROR(VLOOKUP(E593&amp;F593,IMPORTRANGE(""https://docs.google.com/spreadsheets/d/1Uw7-A9f9R21vMXxHZFNpYNeKFtG8_yji4HS352LGlSQ/edit?pli=1#gid=0"",""1_ACUM!A4:S""),19,FALSE))"),"")</f>
        <v/>
      </c>
      <c r="AK570" s="98" t="str">
        <f ca="1">IFERROR(__xludf.DUMMYFUNCTION("IFERROR(VLOOKUP(F593,IMPORTRANGE(""https://docs.google.com/spreadsheets/d/1Kvs4KS76FHFqLFIZfrDMff4kP08nblUkihrxltoGBjg/edit#gid=934712705"",""ESENCIAL!A6:BG""),5,FALSE))"),"")</f>
        <v/>
      </c>
      <c r="AL570" s="98" t="str">
        <f t="shared" si="35"/>
        <v/>
      </c>
      <c r="AM570" s="99" t="str">
        <f t="shared" si="36"/>
        <v/>
      </c>
      <c r="AN570" s="100" t="str">
        <f ca="1">IFERROR(__xludf.DUMMYFUNCTION("IFERROR(VLOOKUP(F593,IMPORTRANGE(""https://docs.google.com/spreadsheets/d/1Kvs4KS76FHFqLFIZfrDMff4kP08nblUkihrxltoGBjg/edit#gid=934712705"",""ESENCIAL!A6:BG""),2,FALSE))"),"")</f>
        <v/>
      </c>
      <c r="AO570" s="19" t="str">
        <f t="shared" si="33"/>
        <v/>
      </c>
      <c r="AP570" s="100"/>
      <c r="AQ570" s="100"/>
    </row>
    <row r="571" spans="1:43" ht="15">
      <c r="A571" s="5"/>
      <c r="B571" s="5"/>
      <c r="G571" s="5" t="str">
        <f ca="1">IFERROR(__xludf.DUMMYFUNCTION("IFERROR(VLOOKUP(F594,IMPORTRANGE(""https://docs.google.com/spreadsheets/d/1Kvs4KS76FHFqLFIZfrDMff4kP08nblUkihrxltoGBjg/edit#gid=934712705"",""ESENCIAL!A6:BG""),3,FALSE))"),"")</f>
        <v/>
      </c>
      <c r="H571" s="5" t="str">
        <f ca="1">IFERROR(__xludf.DUMMYFUNCTION("IFERROR(VLOOKUP(F594,IMPORTRANGE(""https://docs.google.com/spreadsheets/d/1Kvs4KS76FHFqLFIZfrDMff4kP08nblUkihrxltoGBjg/edit#gid=934712705"",""ESENCIAL!A6:BG""),8,FALSE))"),"")</f>
        <v/>
      </c>
      <c r="L571" s="287"/>
      <c r="Z571" s="41" t="str">
        <f t="shared" si="34"/>
        <v/>
      </c>
      <c r="AA571" s="5" t="str">
        <f ca="1">IFERROR(__xludf.DUMMYFUNCTION("IFERROR(VLOOKUP(E594&amp;F594,IMPORTRANGE(""https://docs.google.com/spreadsheets/d/1Uw7-A9f9R21vMXxHZFNpYNeKFtG8_yji4HS352LGlSQ/edit?pli=1#gid=0"",""1_ACUM!A4:S""),11,FALSE))"),"")</f>
        <v/>
      </c>
      <c r="AB571" s="42" t="str">
        <f ca="1">IFERROR(__xludf.DUMMYFUNCTION("IFERROR(VLOOKUP(F594,IMPORTRANGE(""https://docs.google.com/spreadsheets/d/1Kvs4KS76FHFqLFIZfrDMff4kP08nblUkihrxltoGBjg/edit#gid=934712705"",""ESENCIAL!A6:BG""),15,FALSE))"),"")</f>
        <v/>
      </c>
      <c r="AC571" s="110" t="str">
        <f ca="1">IFERROR(__xludf.DUMMYFUNCTION("IFERROR(VLOOKUP(E594&amp;F594,IMPORTRANGE(""https://docs.google.com/spreadsheets/d/1Uw7-A9f9R21vMXxHZFNpYNeKFtG8_yji4HS352LGlSQ/edit?pli=1#gid=0"",""1_ACUM!A4:S""),13,FALSE))"),"")</f>
        <v/>
      </c>
      <c r="AD571" s="43" t="str">
        <f ca="1">IFERROR(__xludf.DUMMYFUNCTION("IFERROR(VLOOKUP(E594&amp;F594,IMPORTRANGE(""https://docs.google.com/spreadsheets/d/1Uw7-A9f9R21vMXxHZFNpYNeKFtG8_yji4HS352LGlSQ/edit?pli=1#gid=0"",""1_ACUM!A4:S""),13,FALSE))"),"")</f>
        <v/>
      </c>
      <c r="AE571" s="43" t="str">
        <f ca="1">IFERROR(__xludf.DUMMYFUNCTION("IFERROR(VLOOKUP(E594&amp;F594,IMPORTRANGE(""https://docs.google.com/spreadsheets/d/1Uw7-A9f9R21vMXxHZFNpYNeKFtG8_yji4HS352LGlSQ/edit?pli=1#gid=0"",""1_ACUM!A4:S""),14,FALSE))"),"")</f>
        <v/>
      </c>
      <c r="AF571" s="43" t="str">
        <f ca="1">IFERROR(__xludf.DUMMYFUNCTION("IFERROR(VLOOKUP(E594&amp;F594,IMPORTRANGE(""https://docs.google.com/spreadsheets/d/1Uw7-A9f9R21vMXxHZFNpYNeKFtG8_yji4HS352LGlSQ/edit?pli=1#gid=0"",""1_ACUM!A4:S""),15,FALSE))"),"")</f>
        <v/>
      </c>
      <c r="AG571" s="43" t="str">
        <f ca="1">IFERROR(__xludf.DUMMYFUNCTION("IFERROR(VLOOKUP(E594&amp;F594,IMPORTRANGE(""https://docs.google.com/spreadsheets/d/1Uw7-A9f9R21vMXxHZFNpYNeKFtG8_yji4HS352LGlSQ/edit?pli=1#gid=0"",""1_ACUM!A4:S""),16,FALSE))"),"")</f>
        <v/>
      </c>
      <c r="AH571" s="43" t="str">
        <f ca="1">IFERROR(__xludf.DUMMYFUNCTION("IFERROR(VLOOKUP(E594&amp;F594,IMPORTRANGE(""https://docs.google.com/spreadsheets/d/1Uw7-A9f9R21vMXxHZFNpYNeKFtG8_yji4HS352LGlSQ/edit?pli=1#gid=0"",""1_ACUM!A4:S""),17,FALSE))"),"")</f>
        <v/>
      </c>
      <c r="AI571" s="44" t="str">
        <f ca="1">IFERROR(__xludf.DUMMYFUNCTION("IFERROR(VLOOKUP(E594&amp;F594,IMPORTRANGE(""https://docs.google.com/spreadsheets/d/1Uw7-A9f9R21vMXxHZFNpYNeKFtG8_yji4HS352LGlSQ/edit?pli=1#gid=0"",""1_ACUM!A4:S""),18,FALSE))"),"")</f>
        <v/>
      </c>
      <c r="AJ571" s="44" t="str">
        <f ca="1">IFERROR(__xludf.DUMMYFUNCTION("IFERROR(VLOOKUP(E594&amp;F594,IMPORTRANGE(""https://docs.google.com/spreadsheets/d/1Uw7-A9f9R21vMXxHZFNpYNeKFtG8_yji4HS352LGlSQ/edit?pli=1#gid=0"",""1_ACUM!A4:S""),19,FALSE))"),"")</f>
        <v/>
      </c>
      <c r="AK571" s="98" t="str">
        <f ca="1">IFERROR(__xludf.DUMMYFUNCTION("IFERROR(VLOOKUP(F594,IMPORTRANGE(""https://docs.google.com/spreadsheets/d/1Kvs4KS76FHFqLFIZfrDMff4kP08nblUkihrxltoGBjg/edit#gid=934712705"",""ESENCIAL!A6:BG""),5,FALSE))"),"")</f>
        <v/>
      </c>
      <c r="AL571" s="98" t="str">
        <f t="shared" si="35"/>
        <v/>
      </c>
      <c r="AM571" s="99" t="str">
        <f t="shared" si="36"/>
        <v/>
      </c>
      <c r="AN571" s="100" t="str">
        <f ca="1">IFERROR(__xludf.DUMMYFUNCTION("IFERROR(VLOOKUP(F594,IMPORTRANGE(""https://docs.google.com/spreadsheets/d/1Kvs4KS76FHFqLFIZfrDMff4kP08nblUkihrxltoGBjg/edit#gid=934712705"",""ESENCIAL!A6:BG""),2,FALSE))"),"")</f>
        <v/>
      </c>
      <c r="AO571" s="19" t="str">
        <f t="shared" si="33"/>
        <v/>
      </c>
      <c r="AP571" s="100"/>
      <c r="AQ571" s="100"/>
    </row>
    <row r="572" spans="1:43" ht="15">
      <c r="A572" s="5"/>
      <c r="B572" s="5"/>
      <c r="G572" s="5" t="str">
        <f ca="1">IFERROR(__xludf.DUMMYFUNCTION("IFERROR(VLOOKUP(F595,IMPORTRANGE(""https://docs.google.com/spreadsheets/d/1Kvs4KS76FHFqLFIZfrDMff4kP08nblUkihrxltoGBjg/edit#gid=934712705"",""ESENCIAL!A6:BG""),3,FALSE))"),"")</f>
        <v/>
      </c>
      <c r="H572" s="5" t="str">
        <f ca="1">IFERROR(__xludf.DUMMYFUNCTION("IFERROR(VLOOKUP(F595,IMPORTRANGE(""https://docs.google.com/spreadsheets/d/1Kvs4KS76FHFqLFIZfrDMff4kP08nblUkihrxltoGBjg/edit#gid=934712705"",""ESENCIAL!A6:BG""),8,FALSE))"),"")</f>
        <v/>
      </c>
      <c r="L572" s="287"/>
      <c r="Z572" s="41" t="str">
        <f t="shared" si="34"/>
        <v/>
      </c>
      <c r="AA572" s="5" t="str">
        <f ca="1">IFERROR(__xludf.DUMMYFUNCTION("IFERROR(VLOOKUP(E595&amp;F595,IMPORTRANGE(""https://docs.google.com/spreadsheets/d/1Uw7-A9f9R21vMXxHZFNpYNeKFtG8_yji4HS352LGlSQ/edit?pli=1#gid=0"",""1_ACUM!A4:S""),11,FALSE))"),"")</f>
        <v/>
      </c>
      <c r="AB572" s="42" t="str">
        <f ca="1">IFERROR(__xludf.DUMMYFUNCTION("IFERROR(VLOOKUP(F595,IMPORTRANGE(""https://docs.google.com/spreadsheets/d/1Kvs4KS76FHFqLFIZfrDMff4kP08nblUkihrxltoGBjg/edit#gid=934712705"",""ESENCIAL!A6:BG""),15,FALSE))"),"")</f>
        <v/>
      </c>
      <c r="AC572" s="110" t="str">
        <f ca="1">IFERROR(__xludf.DUMMYFUNCTION("IFERROR(VLOOKUP(E595&amp;F595,IMPORTRANGE(""https://docs.google.com/spreadsheets/d/1Uw7-A9f9R21vMXxHZFNpYNeKFtG8_yji4HS352LGlSQ/edit?pli=1#gid=0"",""1_ACUM!A4:S""),13,FALSE))"),"")</f>
        <v/>
      </c>
      <c r="AD572" s="43" t="str">
        <f ca="1">IFERROR(__xludf.DUMMYFUNCTION("IFERROR(VLOOKUP(E595&amp;F595,IMPORTRANGE(""https://docs.google.com/spreadsheets/d/1Uw7-A9f9R21vMXxHZFNpYNeKFtG8_yji4HS352LGlSQ/edit?pli=1#gid=0"",""1_ACUM!A4:S""),13,FALSE))"),"")</f>
        <v/>
      </c>
      <c r="AE572" s="43" t="str">
        <f ca="1">IFERROR(__xludf.DUMMYFUNCTION("IFERROR(VLOOKUP(E595&amp;F595,IMPORTRANGE(""https://docs.google.com/spreadsheets/d/1Uw7-A9f9R21vMXxHZFNpYNeKFtG8_yji4HS352LGlSQ/edit?pli=1#gid=0"",""1_ACUM!A4:S""),14,FALSE))"),"")</f>
        <v/>
      </c>
      <c r="AF572" s="43" t="str">
        <f ca="1">IFERROR(__xludf.DUMMYFUNCTION("IFERROR(VLOOKUP(E595&amp;F595,IMPORTRANGE(""https://docs.google.com/spreadsheets/d/1Uw7-A9f9R21vMXxHZFNpYNeKFtG8_yji4HS352LGlSQ/edit?pli=1#gid=0"",""1_ACUM!A4:S""),15,FALSE))"),"")</f>
        <v/>
      </c>
      <c r="AG572" s="43" t="str">
        <f ca="1">IFERROR(__xludf.DUMMYFUNCTION("IFERROR(VLOOKUP(E595&amp;F595,IMPORTRANGE(""https://docs.google.com/spreadsheets/d/1Uw7-A9f9R21vMXxHZFNpYNeKFtG8_yji4HS352LGlSQ/edit?pli=1#gid=0"",""1_ACUM!A4:S""),16,FALSE))"),"")</f>
        <v/>
      </c>
      <c r="AH572" s="43" t="str">
        <f ca="1">IFERROR(__xludf.DUMMYFUNCTION("IFERROR(VLOOKUP(E595&amp;F595,IMPORTRANGE(""https://docs.google.com/spreadsheets/d/1Uw7-A9f9R21vMXxHZFNpYNeKFtG8_yji4HS352LGlSQ/edit?pli=1#gid=0"",""1_ACUM!A4:S""),17,FALSE))"),"")</f>
        <v/>
      </c>
      <c r="AI572" s="44" t="str">
        <f ca="1">IFERROR(__xludf.DUMMYFUNCTION("IFERROR(VLOOKUP(E595&amp;F595,IMPORTRANGE(""https://docs.google.com/spreadsheets/d/1Uw7-A9f9R21vMXxHZFNpYNeKFtG8_yji4HS352LGlSQ/edit?pli=1#gid=0"",""1_ACUM!A4:S""),18,FALSE))"),"")</f>
        <v/>
      </c>
      <c r="AJ572" s="44" t="str">
        <f ca="1">IFERROR(__xludf.DUMMYFUNCTION("IFERROR(VLOOKUP(E595&amp;F595,IMPORTRANGE(""https://docs.google.com/spreadsheets/d/1Uw7-A9f9R21vMXxHZFNpYNeKFtG8_yji4HS352LGlSQ/edit?pli=1#gid=0"",""1_ACUM!A4:S""),19,FALSE))"),"")</f>
        <v/>
      </c>
      <c r="AK572" s="98" t="str">
        <f ca="1">IFERROR(__xludf.DUMMYFUNCTION("IFERROR(VLOOKUP(F595,IMPORTRANGE(""https://docs.google.com/spreadsheets/d/1Kvs4KS76FHFqLFIZfrDMff4kP08nblUkihrxltoGBjg/edit#gid=934712705"",""ESENCIAL!A6:BG""),5,FALSE))"),"")</f>
        <v/>
      </c>
      <c r="AL572" s="98" t="str">
        <f t="shared" si="35"/>
        <v/>
      </c>
      <c r="AM572" s="99" t="str">
        <f t="shared" si="36"/>
        <v/>
      </c>
      <c r="AN572" s="100" t="str">
        <f ca="1">IFERROR(__xludf.DUMMYFUNCTION("IFERROR(VLOOKUP(F595,IMPORTRANGE(""https://docs.google.com/spreadsheets/d/1Kvs4KS76FHFqLFIZfrDMff4kP08nblUkihrxltoGBjg/edit#gid=934712705"",""ESENCIAL!A6:BG""),2,FALSE))"),"")</f>
        <v/>
      </c>
      <c r="AO572" s="19" t="str">
        <f t="shared" si="33"/>
        <v/>
      </c>
      <c r="AP572" s="100"/>
      <c r="AQ572" s="100"/>
    </row>
    <row r="573" spans="1:43" ht="15">
      <c r="A573" s="5"/>
      <c r="B573" s="5"/>
      <c r="G573" s="5" t="str">
        <f ca="1">IFERROR(__xludf.DUMMYFUNCTION("IFERROR(VLOOKUP(F596,IMPORTRANGE(""https://docs.google.com/spreadsheets/d/1Kvs4KS76FHFqLFIZfrDMff4kP08nblUkihrxltoGBjg/edit#gid=934712705"",""ESENCIAL!A6:BG""),3,FALSE))"),"")</f>
        <v/>
      </c>
      <c r="H573" s="5" t="str">
        <f ca="1">IFERROR(__xludf.DUMMYFUNCTION("IFERROR(VLOOKUP(F596,IMPORTRANGE(""https://docs.google.com/spreadsheets/d/1Kvs4KS76FHFqLFIZfrDMff4kP08nblUkihrxltoGBjg/edit#gid=934712705"",""ESENCIAL!A6:BG""),8,FALSE))"),"")</f>
        <v/>
      </c>
      <c r="L573" s="287"/>
      <c r="Z573" s="41" t="str">
        <f t="shared" si="34"/>
        <v/>
      </c>
      <c r="AA573" s="5" t="str">
        <f ca="1">IFERROR(__xludf.DUMMYFUNCTION("IFERROR(VLOOKUP(E596&amp;F596,IMPORTRANGE(""https://docs.google.com/spreadsheets/d/1Uw7-A9f9R21vMXxHZFNpYNeKFtG8_yji4HS352LGlSQ/edit?pli=1#gid=0"",""1_ACUM!A4:S""),11,FALSE))"),"")</f>
        <v/>
      </c>
      <c r="AB573" s="42" t="str">
        <f ca="1">IFERROR(__xludf.DUMMYFUNCTION("IFERROR(VLOOKUP(F596,IMPORTRANGE(""https://docs.google.com/spreadsheets/d/1Kvs4KS76FHFqLFIZfrDMff4kP08nblUkihrxltoGBjg/edit#gid=934712705"",""ESENCIAL!A6:BG""),15,FALSE))"),"")</f>
        <v/>
      </c>
      <c r="AC573" s="110" t="str">
        <f ca="1">IFERROR(__xludf.DUMMYFUNCTION("IFERROR(VLOOKUP(E596&amp;F596,IMPORTRANGE(""https://docs.google.com/spreadsheets/d/1Uw7-A9f9R21vMXxHZFNpYNeKFtG8_yji4HS352LGlSQ/edit?pli=1#gid=0"",""1_ACUM!A4:S""),13,FALSE))"),"")</f>
        <v/>
      </c>
      <c r="AD573" s="43" t="str">
        <f ca="1">IFERROR(__xludf.DUMMYFUNCTION("IFERROR(VLOOKUP(E596&amp;F596,IMPORTRANGE(""https://docs.google.com/spreadsheets/d/1Uw7-A9f9R21vMXxHZFNpYNeKFtG8_yji4HS352LGlSQ/edit?pli=1#gid=0"",""1_ACUM!A4:S""),13,FALSE))"),"")</f>
        <v/>
      </c>
      <c r="AE573" s="43" t="str">
        <f ca="1">IFERROR(__xludf.DUMMYFUNCTION("IFERROR(VLOOKUP(E596&amp;F596,IMPORTRANGE(""https://docs.google.com/spreadsheets/d/1Uw7-A9f9R21vMXxHZFNpYNeKFtG8_yji4HS352LGlSQ/edit?pli=1#gid=0"",""1_ACUM!A4:S""),14,FALSE))"),"")</f>
        <v/>
      </c>
      <c r="AF573" s="43" t="str">
        <f ca="1">IFERROR(__xludf.DUMMYFUNCTION("IFERROR(VLOOKUP(E596&amp;F596,IMPORTRANGE(""https://docs.google.com/spreadsheets/d/1Uw7-A9f9R21vMXxHZFNpYNeKFtG8_yji4HS352LGlSQ/edit?pli=1#gid=0"",""1_ACUM!A4:S""),15,FALSE))"),"")</f>
        <v/>
      </c>
      <c r="AG573" s="43" t="str">
        <f ca="1">IFERROR(__xludf.DUMMYFUNCTION("IFERROR(VLOOKUP(E596&amp;F596,IMPORTRANGE(""https://docs.google.com/spreadsheets/d/1Uw7-A9f9R21vMXxHZFNpYNeKFtG8_yji4HS352LGlSQ/edit?pli=1#gid=0"",""1_ACUM!A4:S""),16,FALSE))"),"")</f>
        <v/>
      </c>
      <c r="AH573" s="43" t="str">
        <f ca="1">IFERROR(__xludf.DUMMYFUNCTION("IFERROR(VLOOKUP(E596&amp;F596,IMPORTRANGE(""https://docs.google.com/spreadsheets/d/1Uw7-A9f9R21vMXxHZFNpYNeKFtG8_yji4HS352LGlSQ/edit?pli=1#gid=0"",""1_ACUM!A4:S""),17,FALSE))"),"")</f>
        <v/>
      </c>
      <c r="AI573" s="44" t="str">
        <f ca="1">IFERROR(__xludf.DUMMYFUNCTION("IFERROR(VLOOKUP(E596&amp;F596,IMPORTRANGE(""https://docs.google.com/spreadsheets/d/1Uw7-A9f9R21vMXxHZFNpYNeKFtG8_yji4HS352LGlSQ/edit?pli=1#gid=0"",""1_ACUM!A4:S""),18,FALSE))"),"")</f>
        <v/>
      </c>
      <c r="AJ573" s="44" t="str">
        <f ca="1">IFERROR(__xludf.DUMMYFUNCTION("IFERROR(VLOOKUP(E596&amp;F596,IMPORTRANGE(""https://docs.google.com/spreadsheets/d/1Uw7-A9f9R21vMXxHZFNpYNeKFtG8_yji4HS352LGlSQ/edit?pli=1#gid=0"",""1_ACUM!A4:S""),19,FALSE))"),"")</f>
        <v/>
      </c>
      <c r="AK573" s="98" t="str">
        <f ca="1">IFERROR(__xludf.DUMMYFUNCTION("IFERROR(VLOOKUP(F596,IMPORTRANGE(""https://docs.google.com/spreadsheets/d/1Kvs4KS76FHFqLFIZfrDMff4kP08nblUkihrxltoGBjg/edit#gid=934712705"",""ESENCIAL!A6:BG""),5,FALSE))"),"")</f>
        <v/>
      </c>
      <c r="AL573" s="98" t="str">
        <f t="shared" si="35"/>
        <v/>
      </c>
      <c r="AM573" s="99" t="str">
        <f t="shared" si="36"/>
        <v/>
      </c>
      <c r="AN573" s="100" t="str">
        <f ca="1">IFERROR(__xludf.DUMMYFUNCTION("IFERROR(VLOOKUP(F596,IMPORTRANGE(""https://docs.google.com/spreadsheets/d/1Kvs4KS76FHFqLFIZfrDMff4kP08nblUkihrxltoGBjg/edit#gid=934712705"",""ESENCIAL!A6:BG""),2,FALSE))"),"")</f>
        <v/>
      </c>
      <c r="AO573" s="19" t="str">
        <f t="shared" si="33"/>
        <v/>
      </c>
      <c r="AP573" s="100"/>
      <c r="AQ573" s="100"/>
    </row>
    <row r="574" spans="1:43" ht="15">
      <c r="A574" s="5"/>
      <c r="B574" s="5"/>
      <c r="G574" s="5" t="str">
        <f ca="1">IFERROR(__xludf.DUMMYFUNCTION("IFERROR(VLOOKUP(F597,IMPORTRANGE(""https://docs.google.com/spreadsheets/d/1Kvs4KS76FHFqLFIZfrDMff4kP08nblUkihrxltoGBjg/edit#gid=934712705"",""ESENCIAL!A6:BG""),3,FALSE))"),"")</f>
        <v/>
      </c>
      <c r="H574" s="5" t="str">
        <f ca="1">IFERROR(__xludf.DUMMYFUNCTION("IFERROR(VLOOKUP(F597,IMPORTRANGE(""https://docs.google.com/spreadsheets/d/1Kvs4KS76FHFqLFIZfrDMff4kP08nblUkihrxltoGBjg/edit#gid=934712705"",""ESENCIAL!A6:BG""),8,FALSE))"),"")</f>
        <v/>
      </c>
      <c r="L574" s="287"/>
      <c r="Z574" s="41" t="str">
        <f t="shared" si="34"/>
        <v/>
      </c>
      <c r="AA574" s="5" t="str">
        <f ca="1">IFERROR(__xludf.DUMMYFUNCTION("IFERROR(VLOOKUP(E597&amp;F597,IMPORTRANGE(""https://docs.google.com/spreadsheets/d/1Uw7-A9f9R21vMXxHZFNpYNeKFtG8_yji4HS352LGlSQ/edit?pli=1#gid=0"",""1_ACUM!A4:S""),11,FALSE))"),"")</f>
        <v/>
      </c>
      <c r="AB574" s="42" t="str">
        <f ca="1">IFERROR(__xludf.DUMMYFUNCTION("IFERROR(VLOOKUP(F597,IMPORTRANGE(""https://docs.google.com/spreadsheets/d/1Kvs4KS76FHFqLFIZfrDMff4kP08nblUkihrxltoGBjg/edit#gid=934712705"",""ESENCIAL!A6:BG""),15,FALSE))"),"")</f>
        <v/>
      </c>
      <c r="AC574" s="110" t="str">
        <f ca="1">IFERROR(__xludf.DUMMYFUNCTION("IFERROR(VLOOKUP(E597&amp;F597,IMPORTRANGE(""https://docs.google.com/spreadsheets/d/1Uw7-A9f9R21vMXxHZFNpYNeKFtG8_yji4HS352LGlSQ/edit?pli=1#gid=0"",""1_ACUM!A4:S""),13,FALSE))"),"")</f>
        <v/>
      </c>
      <c r="AD574" s="43" t="str">
        <f ca="1">IFERROR(__xludf.DUMMYFUNCTION("IFERROR(VLOOKUP(E597&amp;F597,IMPORTRANGE(""https://docs.google.com/spreadsheets/d/1Uw7-A9f9R21vMXxHZFNpYNeKFtG8_yji4HS352LGlSQ/edit?pli=1#gid=0"",""1_ACUM!A4:S""),13,FALSE))"),"")</f>
        <v/>
      </c>
      <c r="AE574" s="43" t="str">
        <f ca="1">IFERROR(__xludf.DUMMYFUNCTION("IFERROR(VLOOKUP(E597&amp;F597,IMPORTRANGE(""https://docs.google.com/spreadsheets/d/1Uw7-A9f9R21vMXxHZFNpYNeKFtG8_yji4HS352LGlSQ/edit?pli=1#gid=0"",""1_ACUM!A4:S""),14,FALSE))"),"")</f>
        <v/>
      </c>
      <c r="AF574" s="43" t="str">
        <f ca="1">IFERROR(__xludf.DUMMYFUNCTION("IFERROR(VLOOKUP(E597&amp;F597,IMPORTRANGE(""https://docs.google.com/spreadsheets/d/1Uw7-A9f9R21vMXxHZFNpYNeKFtG8_yji4HS352LGlSQ/edit?pli=1#gid=0"",""1_ACUM!A4:S""),15,FALSE))"),"")</f>
        <v/>
      </c>
      <c r="AG574" s="43" t="str">
        <f ca="1">IFERROR(__xludf.DUMMYFUNCTION("IFERROR(VLOOKUP(E597&amp;F597,IMPORTRANGE(""https://docs.google.com/spreadsheets/d/1Uw7-A9f9R21vMXxHZFNpYNeKFtG8_yji4HS352LGlSQ/edit?pli=1#gid=0"",""1_ACUM!A4:S""),16,FALSE))"),"")</f>
        <v/>
      </c>
      <c r="AH574" s="43" t="str">
        <f ca="1">IFERROR(__xludf.DUMMYFUNCTION("IFERROR(VLOOKUP(E597&amp;F597,IMPORTRANGE(""https://docs.google.com/spreadsheets/d/1Uw7-A9f9R21vMXxHZFNpYNeKFtG8_yji4HS352LGlSQ/edit?pli=1#gid=0"",""1_ACUM!A4:S""),17,FALSE))"),"")</f>
        <v/>
      </c>
      <c r="AI574" s="44" t="str">
        <f ca="1">IFERROR(__xludf.DUMMYFUNCTION("IFERROR(VLOOKUP(E597&amp;F597,IMPORTRANGE(""https://docs.google.com/spreadsheets/d/1Uw7-A9f9R21vMXxHZFNpYNeKFtG8_yji4HS352LGlSQ/edit?pli=1#gid=0"",""1_ACUM!A4:S""),18,FALSE))"),"")</f>
        <v/>
      </c>
      <c r="AJ574" s="44" t="str">
        <f ca="1">IFERROR(__xludf.DUMMYFUNCTION("IFERROR(VLOOKUP(E597&amp;F597,IMPORTRANGE(""https://docs.google.com/spreadsheets/d/1Uw7-A9f9R21vMXxHZFNpYNeKFtG8_yji4HS352LGlSQ/edit?pli=1#gid=0"",""1_ACUM!A4:S""),19,FALSE))"),"")</f>
        <v/>
      </c>
      <c r="AK574" s="98" t="str">
        <f ca="1">IFERROR(__xludf.DUMMYFUNCTION("IFERROR(VLOOKUP(F597,IMPORTRANGE(""https://docs.google.com/spreadsheets/d/1Kvs4KS76FHFqLFIZfrDMff4kP08nblUkihrxltoGBjg/edit#gid=934712705"",""ESENCIAL!A6:BG""),5,FALSE))"),"")</f>
        <v/>
      </c>
      <c r="AL574" s="98" t="str">
        <f t="shared" si="35"/>
        <v/>
      </c>
      <c r="AM574" s="99" t="str">
        <f t="shared" si="36"/>
        <v/>
      </c>
      <c r="AN574" s="100" t="str">
        <f ca="1">IFERROR(__xludf.DUMMYFUNCTION("IFERROR(VLOOKUP(F597,IMPORTRANGE(""https://docs.google.com/spreadsheets/d/1Kvs4KS76FHFqLFIZfrDMff4kP08nblUkihrxltoGBjg/edit#gid=934712705"",""ESENCIAL!A6:BG""),2,FALSE))"),"")</f>
        <v/>
      </c>
      <c r="AO574" s="19" t="str">
        <f t="shared" si="33"/>
        <v/>
      </c>
      <c r="AP574" s="100"/>
      <c r="AQ574" s="100"/>
    </row>
    <row r="575" spans="1:43" ht="15">
      <c r="A575" s="5"/>
      <c r="B575" s="5"/>
      <c r="G575" s="5" t="str">
        <f ca="1">IFERROR(__xludf.DUMMYFUNCTION("IFERROR(VLOOKUP(F598,IMPORTRANGE(""https://docs.google.com/spreadsheets/d/1Kvs4KS76FHFqLFIZfrDMff4kP08nblUkihrxltoGBjg/edit#gid=934712705"",""ESENCIAL!A6:BG""),3,FALSE))"),"")</f>
        <v/>
      </c>
      <c r="H575" s="5" t="str">
        <f ca="1">IFERROR(__xludf.DUMMYFUNCTION("IFERROR(VLOOKUP(F598,IMPORTRANGE(""https://docs.google.com/spreadsheets/d/1Kvs4KS76FHFqLFIZfrDMff4kP08nblUkihrxltoGBjg/edit#gid=934712705"",""ESENCIAL!A6:BG""),8,FALSE))"),"")</f>
        <v/>
      </c>
      <c r="L575" s="287"/>
      <c r="Z575" s="41" t="str">
        <f t="shared" si="34"/>
        <v/>
      </c>
      <c r="AA575" s="5" t="str">
        <f ca="1">IFERROR(__xludf.DUMMYFUNCTION("IFERROR(VLOOKUP(E598&amp;F598,IMPORTRANGE(""https://docs.google.com/spreadsheets/d/1Uw7-A9f9R21vMXxHZFNpYNeKFtG8_yji4HS352LGlSQ/edit?pli=1#gid=0"",""1_ACUM!A4:S""),11,FALSE))"),"")</f>
        <v/>
      </c>
      <c r="AB575" s="42" t="str">
        <f ca="1">IFERROR(__xludf.DUMMYFUNCTION("IFERROR(VLOOKUP(F598,IMPORTRANGE(""https://docs.google.com/spreadsheets/d/1Kvs4KS76FHFqLFIZfrDMff4kP08nblUkihrxltoGBjg/edit#gid=934712705"",""ESENCIAL!A6:BG""),15,FALSE))"),"")</f>
        <v/>
      </c>
      <c r="AC575" s="110" t="str">
        <f ca="1">IFERROR(__xludf.DUMMYFUNCTION("IFERROR(VLOOKUP(E598&amp;F598,IMPORTRANGE(""https://docs.google.com/spreadsheets/d/1Uw7-A9f9R21vMXxHZFNpYNeKFtG8_yji4HS352LGlSQ/edit?pli=1#gid=0"",""1_ACUM!A4:S""),13,FALSE))"),"")</f>
        <v/>
      </c>
      <c r="AD575" s="43" t="str">
        <f ca="1">IFERROR(__xludf.DUMMYFUNCTION("IFERROR(VLOOKUP(E598&amp;F598,IMPORTRANGE(""https://docs.google.com/spreadsheets/d/1Uw7-A9f9R21vMXxHZFNpYNeKFtG8_yji4HS352LGlSQ/edit?pli=1#gid=0"",""1_ACUM!A4:S""),13,FALSE))"),"")</f>
        <v/>
      </c>
      <c r="AE575" s="43" t="str">
        <f ca="1">IFERROR(__xludf.DUMMYFUNCTION("IFERROR(VLOOKUP(E598&amp;F598,IMPORTRANGE(""https://docs.google.com/spreadsheets/d/1Uw7-A9f9R21vMXxHZFNpYNeKFtG8_yji4HS352LGlSQ/edit?pli=1#gid=0"",""1_ACUM!A4:S""),14,FALSE))"),"")</f>
        <v/>
      </c>
      <c r="AF575" s="43" t="str">
        <f ca="1">IFERROR(__xludf.DUMMYFUNCTION("IFERROR(VLOOKUP(E598&amp;F598,IMPORTRANGE(""https://docs.google.com/spreadsheets/d/1Uw7-A9f9R21vMXxHZFNpYNeKFtG8_yji4HS352LGlSQ/edit?pli=1#gid=0"",""1_ACUM!A4:S""),15,FALSE))"),"")</f>
        <v/>
      </c>
      <c r="AG575" s="43" t="str">
        <f ca="1">IFERROR(__xludf.DUMMYFUNCTION("IFERROR(VLOOKUP(E598&amp;F598,IMPORTRANGE(""https://docs.google.com/spreadsheets/d/1Uw7-A9f9R21vMXxHZFNpYNeKFtG8_yji4HS352LGlSQ/edit?pli=1#gid=0"",""1_ACUM!A4:S""),16,FALSE))"),"")</f>
        <v/>
      </c>
      <c r="AH575" s="43" t="str">
        <f ca="1">IFERROR(__xludf.DUMMYFUNCTION("IFERROR(VLOOKUP(E598&amp;F598,IMPORTRANGE(""https://docs.google.com/spreadsheets/d/1Uw7-A9f9R21vMXxHZFNpYNeKFtG8_yji4HS352LGlSQ/edit?pli=1#gid=0"",""1_ACUM!A4:S""),17,FALSE))"),"")</f>
        <v/>
      </c>
      <c r="AI575" s="44" t="str">
        <f ca="1">IFERROR(__xludf.DUMMYFUNCTION("IFERROR(VLOOKUP(E598&amp;F598,IMPORTRANGE(""https://docs.google.com/spreadsheets/d/1Uw7-A9f9R21vMXxHZFNpYNeKFtG8_yji4HS352LGlSQ/edit?pli=1#gid=0"",""1_ACUM!A4:S""),18,FALSE))"),"")</f>
        <v/>
      </c>
      <c r="AJ575" s="44" t="str">
        <f ca="1">IFERROR(__xludf.DUMMYFUNCTION("IFERROR(VLOOKUP(E598&amp;F598,IMPORTRANGE(""https://docs.google.com/spreadsheets/d/1Uw7-A9f9R21vMXxHZFNpYNeKFtG8_yji4HS352LGlSQ/edit?pli=1#gid=0"",""1_ACUM!A4:S""),19,FALSE))"),"")</f>
        <v/>
      </c>
      <c r="AK575" s="98" t="str">
        <f ca="1">IFERROR(__xludf.DUMMYFUNCTION("IFERROR(VLOOKUP(F598,IMPORTRANGE(""https://docs.google.com/spreadsheets/d/1Kvs4KS76FHFqLFIZfrDMff4kP08nblUkihrxltoGBjg/edit#gid=934712705"",""ESENCIAL!A6:BG""),5,FALSE))"),"")</f>
        <v/>
      </c>
      <c r="AL575" s="98" t="str">
        <f t="shared" si="35"/>
        <v/>
      </c>
      <c r="AM575" s="99" t="str">
        <f t="shared" si="36"/>
        <v/>
      </c>
      <c r="AN575" s="100" t="str">
        <f ca="1">IFERROR(__xludf.DUMMYFUNCTION("IFERROR(VLOOKUP(F598,IMPORTRANGE(""https://docs.google.com/spreadsheets/d/1Kvs4KS76FHFqLFIZfrDMff4kP08nblUkihrxltoGBjg/edit#gid=934712705"",""ESENCIAL!A6:BG""),2,FALSE))"),"")</f>
        <v/>
      </c>
      <c r="AO575" s="19" t="str">
        <f t="shared" si="33"/>
        <v/>
      </c>
      <c r="AP575" s="100"/>
      <c r="AQ575" s="100"/>
    </row>
    <row r="576" spans="1:43" ht="15">
      <c r="A576" s="5"/>
      <c r="B576" s="5"/>
      <c r="G576" s="5" t="str">
        <f ca="1">IFERROR(__xludf.DUMMYFUNCTION("IFERROR(VLOOKUP(F599,IMPORTRANGE(""https://docs.google.com/spreadsheets/d/1Kvs4KS76FHFqLFIZfrDMff4kP08nblUkihrxltoGBjg/edit#gid=934712705"",""ESENCIAL!A6:BG""),3,FALSE))"),"")</f>
        <v/>
      </c>
      <c r="H576" s="5" t="str">
        <f ca="1">IFERROR(__xludf.DUMMYFUNCTION("IFERROR(VLOOKUP(F599,IMPORTRANGE(""https://docs.google.com/spreadsheets/d/1Kvs4KS76FHFqLFIZfrDMff4kP08nblUkihrxltoGBjg/edit#gid=934712705"",""ESENCIAL!A6:BG""),8,FALSE))"),"")</f>
        <v/>
      </c>
      <c r="L576" s="287"/>
      <c r="Z576" s="41" t="str">
        <f t="shared" si="34"/>
        <v/>
      </c>
      <c r="AA576" s="5" t="str">
        <f ca="1">IFERROR(__xludf.DUMMYFUNCTION("IFERROR(VLOOKUP(E599&amp;F599,IMPORTRANGE(""https://docs.google.com/spreadsheets/d/1Uw7-A9f9R21vMXxHZFNpYNeKFtG8_yji4HS352LGlSQ/edit?pli=1#gid=0"",""1_ACUM!A4:S""),11,FALSE))"),"")</f>
        <v/>
      </c>
      <c r="AB576" s="42" t="str">
        <f ca="1">IFERROR(__xludf.DUMMYFUNCTION("IFERROR(VLOOKUP(F599,IMPORTRANGE(""https://docs.google.com/spreadsheets/d/1Kvs4KS76FHFqLFIZfrDMff4kP08nblUkihrxltoGBjg/edit#gid=934712705"",""ESENCIAL!A6:BG""),15,FALSE))"),"")</f>
        <v/>
      </c>
      <c r="AC576" s="110" t="str">
        <f ca="1">IFERROR(__xludf.DUMMYFUNCTION("IFERROR(VLOOKUP(E599&amp;F599,IMPORTRANGE(""https://docs.google.com/spreadsheets/d/1Uw7-A9f9R21vMXxHZFNpYNeKFtG8_yji4HS352LGlSQ/edit?pli=1#gid=0"",""1_ACUM!A4:S""),13,FALSE))"),"")</f>
        <v/>
      </c>
      <c r="AD576" s="43" t="str">
        <f ca="1">IFERROR(__xludf.DUMMYFUNCTION("IFERROR(VLOOKUP(E599&amp;F599,IMPORTRANGE(""https://docs.google.com/spreadsheets/d/1Uw7-A9f9R21vMXxHZFNpYNeKFtG8_yji4HS352LGlSQ/edit?pli=1#gid=0"",""1_ACUM!A4:S""),13,FALSE))"),"")</f>
        <v/>
      </c>
      <c r="AE576" s="43" t="str">
        <f ca="1">IFERROR(__xludf.DUMMYFUNCTION("IFERROR(VLOOKUP(E599&amp;F599,IMPORTRANGE(""https://docs.google.com/spreadsheets/d/1Uw7-A9f9R21vMXxHZFNpYNeKFtG8_yji4HS352LGlSQ/edit?pli=1#gid=0"",""1_ACUM!A4:S""),14,FALSE))"),"")</f>
        <v/>
      </c>
      <c r="AF576" s="43" t="str">
        <f ca="1">IFERROR(__xludf.DUMMYFUNCTION("IFERROR(VLOOKUP(E599&amp;F599,IMPORTRANGE(""https://docs.google.com/spreadsheets/d/1Uw7-A9f9R21vMXxHZFNpYNeKFtG8_yji4HS352LGlSQ/edit?pli=1#gid=0"",""1_ACUM!A4:S""),15,FALSE))"),"")</f>
        <v/>
      </c>
      <c r="AG576" s="43" t="str">
        <f ca="1">IFERROR(__xludf.DUMMYFUNCTION("IFERROR(VLOOKUP(E599&amp;F599,IMPORTRANGE(""https://docs.google.com/spreadsheets/d/1Uw7-A9f9R21vMXxHZFNpYNeKFtG8_yji4HS352LGlSQ/edit?pli=1#gid=0"",""1_ACUM!A4:S""),16,FALSE))"),"")</f>
        <v/>
      </c>
      <c r="AH576" s="43" t="str">
        <f ca="1">IFERROR(__xludf.DUMMYFUNCTION("IFERROR(VLOOKUP(E599&amp;F599,IMPORTRANGE(""https://docs.google.com/spreadsheets/d/1Uw7-A9f9R21vMXxHZFNpYNeKFtG8_yji4HS352LGlSQ/edit?pli=1#gid=0"",""1_ACUM!A4:S""),17,FALSE))"),"")</f>
        <v/>
      </c>
      <c r="AI576" s="44" t="str">
        <f ca="1">IFERROR(__xludf.DUMMYFUNCTION("IFERROR(VLOOKUP(E599&amp;F599,IMPORTRANGE(""https://docs.google.com/spreadsheets/d/1Uw7-A9f9R21vMXxHZFNpYNeKFtG8_yji4HS352LGlSQ/edit?pli=1#gid=0"",""1_ACUM!A4:S""),18,FALSE))"),"")</f>
        <v/>
      </c>
      <c r="AJ576" s="44" t="str">
        <f ca="1">IFERROR(__xludf.DUMMYFUNCTION("IFERROR(VLOOKUP(E599&amp;F599,IMPORTRANGE(""https://docs.google.com/spreadsheets/d/1Uw7-A9f9R21vMXxHZFNpYNeKFtG8_yji4HS352LGlSQ/edit?pli=1#gid=0"",""1_ACUM!A4:S""),19,FALSE))"),"")</f>
        <v/>
      </c>
      <c r="AK576" s="98" t="str">
        <f ca="1">IFERROR(__xludf.DUMMYFUNCTION("IFERROR(VLOOKUP(F599,IMPORTRANGE(""https://docs.google.com/spreadsheets/d/1Kvs4KS76FHFqLFIZfrDMff4kP08nblUkihrxltoGBjg/edit#gid=934712705"",""ESENCIAL!A6:BG""),5,FALSE))"),"")</f>
        <v/>
      </c>
      <c r="AL576" s="98" t="str">
        <f t="shared" si="35"/>
        <v/>
      </c>
      <c r="AM576" s="99" t="str">
        <f t="shared" si="36"/>
        <v/>
      </c>
      <c r="AN576" s="100" t="str">
        <f ca="1">IFERROR(__xludf.DUMMYFUNCTION("IFERROR(VLOOKUP(F599,IMPORTRANGE(""https://docs.google.com/spreadsheets/d/1Kvs4KS76FHFqLFIZfrDMff4kP08nblUkihrxltoGBjg/edit#gid=934712705"",""ESENCIAL!A6:BG""),2,FALSE))"),"")</f>
        <v/>
      </c>
      <c r="AO576" s="19" t="str">
        <f t="shared" si="33"/>
        <v/>
      </c>
      <c r="AP576" s="100"/>
      <c r="AQ576" s="100"/>
    </row>
    <row r="577" spans="1:43" ht="15">
      <c r="A577" s="5"/>
      <c r="B577" s="5"/>
      <c r="G577" s="5" t="str">
        <f ca="1">IFERROR(__xludf.DUMMYFUNCTION("IFERROR(VLOOKUP(F600,IMPORTRANGE(""https://docs.google.com/spreadsheets/d/1Kvs4KS76FHFqLFIZfrDMff4kP08nblUkihrxltoGBjg/edit#gid=934712705"",""ESENCIAL!A6:BG""),3,FALSE))"),"")</f>
        <v/>
      </c>
      <c r="H577" s="5" t="str">
        <f ca="1">IFERROR(__xludf.DUMMYFUNCTION("IFERROR(VLOOKUP(F600,IMPORTRANGE(""https://docs.google.com/spreadsheets/d/1Kvs4KS76FHFqLFIZfrDMff4kP08nblUkihrxltoGBjg/edit#gid=934712705"",""ESENCIAL!A6:BG""),8,FALSE))"),"")</f>
        <v/>
      </c>
      <c r="L577" s="287"/>
      <c r="Z577" s="41" t="str">
        <f t="shared" si="34"/>
        <v/>
      </c>
      <c r="AA577" s="5" t="str">
        <f ca="1">IFERROR(__xludf.DUMMYFUNCTION("IFERROR(VLOOKUP(E600&amp;F600,IMPORTRANGE(""https://docs.google.com/spreadsheets/d/1Uw7-A9f9R21vMXxHZFNpYNeKFtG8_yji4HS352LGlSQ/edit?pli=1#gid=0"",""1_ACUM!A4:S""),11,FALSE))"),"")</f>
        <v/>
      </c>
      <c r="AB577" s="42" t="str">
        <f ca="1">IFERROR(__xludf.DUMMYFUNCTION("IFERROR(VLOOKUP(F600,IMPORTRANGE(""https://docs.google.com/spreadsheets/d/1Kvs4KS76FHFqLFIZfrDMff4kP08nblUkihrxltoGBjg/edit#gid=934712705"",""ESENCIAL!A6:BG""),15,FALSE))"),"")</f>
        <v/>
      </c>
      <c r="AC577" s="110" t="str">
        <f ca="1">IFERROR(__xludf.DUMMYFUNCTION("IFERROR(VLOOKUP(E600&amp;F600,IMPORTRANGE(""https://docs.google.com/spreadsheets/d/1Uw7-A9f9R21vMXxHZFNpYNeKFtG8_yji4HS352LGlSQ/edit?pli=1#gid=0"",""1_ACUM!A4:S""),13,FALSE))"),"")</f>
        <v/>
      </c>
      <c r="AD577" s="43" t="str">
        <f ca="1">IFERROR(__xludf.DUMMYFUNCTION("IFERROR(VLOOKUP(E600&amp;F600,IMPORTRANGE(""https://docs.google.com/spreadsheets/d/1Uw7-A9f9R21vMXxHZFNpYNeKFtG8_yji4HS352LGlSQ/edit?pli=1#gid=0"",""1_ACUM!A4:S""),13,FALSE))"),"")</f>
        <v/>
      </c>
      <c r="AE577" s="43" t="str">
        <f ca="1">IFERROR(__xludf.DUMMYFUNCTION("IFERROR(VLOOKUP(E600&amp;F600,IMPORTRANGE(""https://docs.google.com/spreadsheets/d/1Uw7-A9f9R21vMXxHZFNpYNeKFtG8_yji4HS352LGlSQ/edit?pli=1#gid=0"",""1_ACUM!A4:S""),14,FALSE))"),"")</f>
        <v/>
      </c>
      <c r="AF577" s="43" t="str">
        <f ca="1">IFERROR(__xludf.DUMMYFUNCTION("IFERROR(VLOOKUP(E600&amp;F600,IMPORTRANGE(""https://docs.google.com/spreadsheets/d/1Uw7-A9f9R21vMXxHZFNpYNeKFtG8_yji4HS352LGlSQ/edit?pli=1#gid=0"",""1_ACUM!A4:S""),15,FALSE))"),"")</f>
        <v/>
      </c>
      <c r="AG577" s="43" t="str">
        <f ca="1">IFERROR(__xludf.DUMMYFUNCTION("IFERROR(VLOOKUP(E600&amp;F600,IMPORTRANGE(""https://docs.google.com/spreadsheets/d/1Uw7-A9f9R21vMXxHZFNpYNeKFtG8_yji4HS352LGlSQ/edit?pli=1#gid=0"",""1_ACUM!A4:S""),16,FALSE))"),"")</f>
        <v/>
      </c>
      <c r="AH577" s="43" t="str">
        <f ca="1">IFERROR(__xludf.DUMMYFUNCTION("IFERROR(VLOOKUP(E600&amp;F600,IMPORTRANGE(""https://docs.google.com/spreadsheets/d/1Uw7-A9f9R21vMXxHZFNpYNeKFtG8_yji4HS352LGlSQ/edit?pli=1#gid=0"",""1_ACUM!A4:S""),17,FALSE))"),"")</f>
        <v/>
      </c>
      <c r="AI577" s="44" t="str">
        <f ca="1">IFERROR(__xludf.DUMMYFUNCTION("IFERROR(VLOOKUP(E600&amp;F600,IMPORTRANGE(""https://docs.google.com/spreadsheets/d/1Uw7-A9f9R21vMXxHZFNpYNeKFtG8_yji4HS352LGlSQ/edit?pli=1#gid=0"",""1_ACUM!A4:S""),18,FALSE))"),"")</f>
        <v/>
      </c>
      <c r="AJ577" s="44" t="str">
        <f ca="1">IFERROR(__xludf.DUMMYFUNCTION("IFERROR(VLOOKUP(E600&amp;F600,IMPORTRANGE(""https://docs.google.com/spreadsheets/d/1Uw7-A9f9R21vMXxHZFNpYNeKFtG8_yji4HS352LGlSQ/edit?pli=1#gid=0"",""1_ACUM!A4:S""),19,FALSE))"),"")</f>
        <v/>
      </c>
      <c r="AK577" s="98" t="str">
        <f ca="1">IFERROR(__xludf.DUMMYFUNCTION("IFERROR(VLOOKUP(F600,IMPORTRANGE(""https://docs.google.com/spreadsheets/d/1Kvs4KS76FHFqLFIZfrDMff4kP08nblUkihrxltoGBjg/edit#gid=934712705"",""ESENCIAL!A6:BG""),5,FALSE))"),"")</f>
        <v/>
      </c>
      <c r="AL577" s="98" t="str">
        <f t="shared" si="35"/>
        <v/>
      </c>
      <c r="AM577" s="99" t="str">
        <f t="shared" si="36"/>
        <v/>
      </c>
      <c r="AN577" s="100" t="str">
        <f ca="1">IFERROR(__xludf.DUMMYFUNCTION("IFERROR(VLOOKUP(F600,IMPORTRANGE(""https://docs.google.com/spreadsheets/d/1Kvs4KS76FHFqLFIZfrDMff4kP08nblUkihrxltoGBjg/edit#gid=934712705"",""ESENCIAL!A6:BG""),2,FALSE))"),"")</f>
        <v/>
      </c>
      <c r="AO577" s="19" t="str">
        <f t="shared" si="33"/>
        <v/>
      </c>
      <c r="AP577" s="100"/>
      <c r="AQ577" s="100"/>
    </row>
    <row r="578" spans="1:43" ht="15">
      <c r="A578" s="5"/>
      <c r="B578" s="5"/>
      <c r="G578" s="5" t="str">
        <f ca="1">IFERROR(__xludf.DUMMYFUNCTION("IFERROR(VLOOKUP(F601,IMPORTRANGE(""https://docs.google.com/spreadsheets/d/1Kvs4KS76FHFqLFIZfrDMff4kP08nblUkihrxltoGBjg/edit#gid=934712705"",""ESENCIAL!A6:BG""),3,FALSE))"),"")</f>
        <v/>
      </c>
      <c r="H578" s="5" t="str">
        <f ca="1">IFERROR(__xludf.DUMMYFUNCTION("IFERROR(VLOOKUP(F601,IMPORTRANGE(""https://docs.google.com/spreadsheets/d/1Kvs4KS76FHFqLFIZfrDMff4kP08nblUkihrxltoGBjg/edit#gid=934712705"",""ESENCIAL!A6:BG""),8,FALSE))"),"")</f>
        <v/>
      </c>
      <c r="L578" s="287"/>
      <c r="Z578" s="41" t="str">
        <f t="shared" ref="Z578:Z641" si="37">IF(E578&gt;0,IF(AND(AH578=1,AE578=1),"Procede_E_P","NO_CUMPLE"),"")</f>
        <v/>
      </c>
      <c r="AA578" s="5" t="str">
        <f ca="1">IFERROR(__xludf.DUMMYFUNCTION("IFERROR(VLOOKUP(E601&amp;F601,IMPORTRANGE(""https://docs.google.com/spreadsheets/d/1Uw7-A9f9R21vMXxHZFNpYNeKFtG8_yji4HS352LGlSQ/edit?pli=1#gid=0"",""1_ACUM!A4:S""),11,FALSE))"),"")</f>
        <v/>
      </c>
      <c r="AB578" s="42" t="str">
        <f ca="1">IFERROR(__xludf.DUMMYFUNCTION("IFERROR(VLOOKUP(F601,IMPORTRANGE(""https://docs.google.com/spreadsheets/d/1Kvs4KS76FHFqLFIZfrDMff4kP08nblUkihrxltoGBjg/edit#gid=934712705"",""ESENCIAL!A6:BG""),15,FALSE))"),"")</f>
        <v/>
      </c>
      <c r="AC578" s="110" t="str">
        <f ca="1">IFERROR(__xludf.DUMMYFUNCTION("IFERROR(VLOOKUP(E601&amp;F601,IMPORTRANGE(""https://docs.google.com/spreadsheets/d/1Uw7-A9f9R21vMXxHZFNpYNeKFtG8_yji4HS352LGlSQ/edit?pli=1#gid=0"",""1_ACUM!A4:S""),13,FALSE))"),"")</f>
        <v/>
      </c>
      <c r="AD578" s="43" t="str">
        <f ca="1">IFERROR(__xludf.DUMMYFUNCTION("IFERROR(VLOOKUP(E601&amp;F601,IMPORTRANGE(""https://docs.google.com/spreadsheets/d/1Uw7-A9f9R21vMXxHZFNpYNeKFtG8_yji4HS352LGlSQ/edit?pli=1#gid=0"",""1_ACUM!A4:S""),13,FALSE))"),"")</f>
        <v/>
      </c>
      <c r="AE578" s="43" t="str">
        <f ca="1">IFERROR(__xludf.DUMMYFUNCTION("IFERROR(VLOOKUP(E601&amp;F601,IMPORTRANGE(""https://docs.google.com/spreadsheets/d/1Uw7-A9f9R21vMXxHZFNpYNeKFtG8_yji4HS352LGlSQ/edit?pli=1#gid=0"",""1_ACUM!A4:S""),14,FALSE))"),"")</f>
        <v/>
      </c>
      <c r="AF578" s="43" t="str">
        <f ca="1">IFERROR(__xludf.DUMMYFUNCTION("IFERROR(VLOOKUP(E601&amp;F601,IMPORTRANGE(""https://docs.google.com/spreadsheets/d/1Uw7-A9f9R21vMXxHZFNpYNeKFtG8_yji4HS352LGlSQ/edit?pli=1#gid=0"",""1_ACUM!A4:S""),15,FALSE))"),"")</f>
        <v/>
      </c>
      <c r="AG578" s="43" t="str">
        <f ca="1">IFERROR(__xludf.DUMMYFUNCTION("IFERROR(VLOOKUP(E601&amp;F601,IMPORTRANGE(""https://docs.google.com/spreadsheets/d/1Uw7-A9f9R21vMXxHZFNpYNeKFtG8_yji4HS352LGlSQ/edit?pli=1#gid=0"",""1_ACUM!A4:S""),16,FALSE))"),"")</f>
        <v/>
      </c>
      <c r="AH578" s="43" t="str">
        <f ca="1">IFERROR(__xludf.DUMMYFUNCTION("IFERROR(VLOOKUP(E601&amp;F601,IMPORTRANGE(""https://docs.google.com/spreadsheets/d/1Uw7-A9f9R21vMXxHZFNpYNeKFtG8_yji4HS352LGlSQ/edit?pli=1#gid=0"",""1_ACUM!A4:S""),17,FALSE))"),"")</f>
        <v/>
      </c>
      <c r="AI578" s="44" t="str">
        <f ca="1">IFERROR(__xludf.DUMMYFUNCTION("IFERROR(VLOOKUP(E601&amp;F601,IMPORTRANGE(""https://docs.google.com/spreadsheets/d/1Uw7-A9f9R21vMXxHZFNpYNeKFtG8_yji4HS352LGlSQ/edit?pli=1#gid=0"",""1_ACUM!A4:S""),18,FALSE))"),"")</f>
        <v/>
      </c>
      <c r="AJ578" s="44" t="str">
        <f ca="1">IFERROR(__xludf.DUMMYFUNCTION("IFERROR(VLOOKUP(E601&amp;F601,IMPORTRANGE(""https://docs.google.com/spreadsheets/d/1Uw7-A9f9R21vMXxHZFNpYNeKFtG8_yji4HS352LGlSQ/edit?pli=1#gid=0"",""1_ACUM!A4:S""),19,FALSE))"),"")</f>
        <v/>
      </c>
      <c r="AK578" s="98" t="str">
        <f ca="1">IFERROR(__xludf.DUMMYFUNCTION("IFERROR(VLOOKUP(F601,IMPORTRANGE(""https://docs.google.com/spreadsheets/d/1Kvs4KS76FHFqLFIZfrDMff4kP08nblUkihrxltoGBjg/edit#gid=934712705"",""ESENCIAL!A6:BG""),5,FALSE))"),"")</f>
        <v/>
      </c>
      <c r="AL578" s="98" t="str">
        <f t="shared" ref="AL578:AL641" si="38">IF(F578&gt;0,EDATE(AK578,18),"")</f>
        <v/>
      </c>
      <c r="AM578" s="99" t="str">
        <f t="shared" ref="AM578:AM641" si="39">IF(F578&gt;0,IF(AL578&lt;$AM$1,"FINALIZAR FICHA","FICHA EN TIEMPO-18 MESES"),"")</f>
        <v/>
      </c>
      <c r="AN578" s="100" t="str">
        <f ca="1">IFERROR(__xludf.DUMMYFUNCTION("IFERROR(VLOOKUP(F601,IMPORTRANGE(""https://docs.google.com/spreadsheets/d/1Kvs4KS76FHFqLFIZfrDMff4kP08nblUkihrxltoGBjg/edit#gid=934712705"",""ESENCIAL!A6:BG""),2,FALSE))"),"")</f>
        <v/>
      </c>
      <c r="AO578" s="19" t="str">
        <f t="shared" si="33"/>
        <v/>
      </c>
      <c r="AP578" s="100"/>
      <c r="AQ578" s="100"/>
    </row>
    <row r="579" spans="1:43" ht="15">
      <c r="A579" s="5"/>
      <c r="B579" s="5"/>
      <c r="G579" s="5" t="str">
        <f ca="1">IFERROR(__xludf.DUMMYFUNCTION("IFERROR(VLOOKUP(F602,IMPORTRANGE(""https://docs.google.com/spreadsheets/d/1Kvs4KS76FHFqLFIZfrDMff4kP08nblUkihrxltoGBjg/edit#gid=934712705"",""ESENCIAL!A6:BG""),3,FALSE))"),"")</f>
        <v/>
      </c>
      <c r="H579" s="5" t="str">
        <f ca="1">IFERROR(__xludf.DUMMYFUNCTION("IFERROR(VLOOKUP(F602,IMPORTRANGE(""https://docs.google.com/spreadsheets/d/1Kvs4KS76FHFqLFIZfrDMff4kP08nblUkihrxltoGBjg/edit#gid=934712705"",""ESENCIAL!A6:BG""),8,FALSE))"),"")</f>
        <v/>
      </c>
      <c r="L579" s="287"/>
      <c r="Z579" s="41" t="str">
        <f t="shared" si="37"/>
        <v/>
      </c>
      <c r="AA579" s="5" t="str">
        <f ca="1">IFERROR(__xludf.DUMMYFUNCTION("IFERROR(VLOOKUP(E602&amp;F602,IMPORTRANGE(""https://docs.google.com/spreadsheets/d/1Uw7-A9f9R21vMXxHZFNpYNeKFtG8_yji4HS352LGlSQ/edit?pli=1#gid=0"",""1_ACUM!A4:S""),11,FALSE))"),"")</f>
        <v/>
      </c>
      <c r="AB579" s="42" t="str">
        <f ca="1">IFERROR(__xludf.DUMMYFUNCTION("IFERROR(VLOOKUP(F602,IMPORTRANGE(""https://docs.google.com/spreadsheets/d/1Kvs4KS76FHFqLFIZfrDMff4kP08nblUkihrxltoGBjg/edit#gid=934712705"",""ESENCIAL!A6:BG""),15,FALSE))"),"")</f>
        <v/>
      </c>
      <c r="AC579" s="110" t="str">
        <f ca="1">IFERROR(__xludf.DUMMYFUNCTION("IFERROR(VLOOKUP(E602&amp;F602,IMPORTRANGE(""https://docs.google.com/spreadsheets/d/1Uw7-A9f9R21vMXxHZFNpYNeKFtG8_yji4HS352LGlSQ/edit?pli=1#gid=0"",""1_ACUM!A4:S""),13,FALSE))"),"")</f>
        <v/>
      </c>
      <c r="AD579" s="43" t="str">
        <f ca="1">IFERROR(__xludf.DUMMYFUNCTION("IFERROR(VLOOKUP(E602&amp;F602,IMPORTRANGE(""https://docs.google.com/spreadsheets/d/1Uw7-A9f9R21vMXxHZFNpYNeKFtG8_yji4HS352LGlSQ/edit?pli=1#gid=0"",""1_ACUM!A4:S""),13,FALSE))"),"")</f>
        <v/>
      </c>
      <c r="AE579" s="43" t="str">
        <f ca="1">IFERROR(__xludf.DUMMYFUNCTION("IFERROR(VLOOKUP(E602&amp;F602,IMPORTRANGE(""https://docs.google.com/spreadsheets/d/1Uw7-A9f9R21vMXxHZFNpYNeKFtG8_yji4HS352LGlSQ/edit?pli=1#gid=0"",""1_ACUM!A4:S""),14,FALSE))"),"")</f>
        <v/>
      </c>
      <c r="AF579" s="43" t="str">
        <f ca="1">IFERROR(__xludf.DUMMYFUNCTION("IFERROR(VLOOKUP(E602&amp;F602,IMPORTRANGE(""https://docs.google.com/spreadsheets/d/1Uw7-A9f9R21vMXxHZFNpYNeKFtG8_yji4HS352LGlSQ/edit?pli=1#gid=0"",""1_ACUM!A4:S""),15,FALSE))"),"")</f>
        <v/>
      </c>
      <c r="AG579" s="43" t="str">
        <f ca="1">IFERROR(__xludf.DUMMYFUNCTION("IFERROR(VLOOKUP(E602&amp;F602,IMPORTRANGE(""https://docs.google.com/spreadsheets/d/1Uw7-A9f9R21vMXxHZFNpYNeKFtG8_yji4HS352LGlSQ/edit?pli=1#gid=0"",""1_ACUM!A4:S""),16,FALSE))"),"")</f>
        <v/>
      </c>
      <c r="AH579" s="43" t="str">
        <f ca="1">IFERROR(__xludf.DUMMYFUNCTION("IFERROR(VLOOKUP(E602&amp;F602,IMPORTRANGE(""https://docs.google.com/spreadsheets/d/1Uw7-A9f9R21vMXxHZFNpYNeKFtG8_yji4HS352LGlSQ/edit?pli=1#gid=0"",""1_ACUM!A4:S""),17,FALSE))"),"")</f>
        <v/>
      </c>
      <c r="AI579" s="44" t="str">
        <f ca="1">IFERROR(__xludf.DUMMYFUNCTION("IFERROR(VLOOKUP(E602&amp;F602,IMPORTRANGE(""https://docs.google.com/spreadsheets/d/1Uw7-A9f9R21vMXxHZFNpYNeKFtG8_yji4HS352LGlSQ/edit?pli=1#gid=0"",""1_ACUM!A4:S""),18,FALSE))"),"")</f>
        <v/>
      </c>
      <c r="AJ579" s="44" t="str">
        <f ca="1">IFERROR(__xludf.DUMMYFUNCTION("IFERROR(VLOOKUP(E602&amp;F602,IMPORTRANGE(""https://docs.google.com/spreadsheets/d/1Uw7-A9f9R21vMXxHZFNpYNeKFtG8_yji4HS352LGlSQ/edit?pli=1#gid=0"",""1_ACUM!A4:S""),19,FALSE))"),"")</f>
        <v/>
      </c>
      <c r="AK579" s="98" t="str">
        <f ca="1">IFERROR(__xludf.DUMMYFUNCTION("IFERROR(VLOOKUP(F602,IMPORTRANGE(""https://docs.google.com/spreadsheets/d/1Kvs4KS76FHFqLFIZfrDMff4kP08nblUkihrxltoGBjg/edit#gid=934712705"",""ESENCIAL!A6:BG""),5,FALSE))"),"")</f>
        <v/>
      </c>
      <c r="AL579" s="98" t="str">
        <f t="shared" si="38"/>
        <v/>
      </c>
      <c r="AM579" s="99" t="str">
        <f t="shared" si="39"/>
        <v/>
      </c>
      <c r="AN579" s="100" t="str">
        <f ca="1">IFERROR(__xludf.DUMMYFUNCTION("IFERROR(VLOOKUP(F602,IMPORTRANGE(""https://docs.google.com/spreadsheets/d/1Kvs4KS76FHFqLFIZfrDMff4kP08nblUkihrxltoGBjg/edit#gid=934712705"",""ESENCIAL!A6:BG""),2,FALSE))"),"")</f>
        <v/>
      </c>
      <c r="AO579" s="19" t="str">
        <f t="shared" si="33"/>
        <v/>
      </c>
      <c r="AP579" s="100"/>
      <c r="AQ579" s="100"/>
    </row>
    <row r="580" spans="1:43" ht="15">
      <c r="A580" s="5"/>
      <c r="B580" s="5"/>
      <c r="G580" s="5" t="str">
        <f ca="1">IFERROR(__xludf.DUMMYFUNCTION("IFERROR(VLOOKUP(F603,IMPORTRANGE(""https://docs.google.com/spreadsheets/d/1Kvs4KS76FHFqLFIZfrDMff4kP08nblUkihrxltoGBjg/edit#gid=934712705"",""ESENCIAL!A6:BG""),3,FALSE))"),"")</f>
        <v/>
      </c>
      <c r="H580" s="5" t="str">
        <f ca="1">IFERROR(__xludf.DUMMYFUNCTION("IFERROR(VLOOKUP(F603,IMPORTRANGE(""https://docs.google.com/spreadsheets/d/1Kvs4KS76FHFqLFIZfrDMff4kP08nblUkihrxltoGBjg/edit#gid=934712705"",""ESENCIAL!A6:BG""),8,FALSE))"),"")</f>
        <v/>
      </c>
      <c r="L580" s="287"/>
      <c r="Z580" s="41" t="str">
        <f t="shared" si="37"/>
        <v/>
      </c>
      <c r="AA580" s="5" t="str">
        <f ca="1">IFERROR(__xludf.DUMMYFUNCTION("IFERROR(VLOOKUP(E603&amp;F603,IMPORTRANGE(""https://docs.google.com/spreadsheets/d/1Uw7-A9f9R21vMXxHZFNpYNeKFtG8_yji4HS352LGlSQ/edit?pli=1#gid=0"",""1_ACUM!A4:S""),11,FALSE))"),"")</f>
        <v/>
      </c>
      <c r="AB580" s="42" t="str">
        <f ca="1">IFERROR(__xludf.DUMMYFUNCTION("IFERROR(VLOOKUP(F603,IMPORTRANGE(""https://docs.google.com/spreadsheets/d/1Kvs4KS76FHFqLFIZfrDMff4kP08nblUkihrxltoGBjg/edit#gid=934712705"",""ESENCIAL!A6:BG""),15,FALSE))"),"")</f>
        <v/>
      </c>
      <c r="AC580" s="110" t="str">
        <f ca="1">IFERROR(__xludf.DUMMYFUNCTION("IFERROR(VLOOKUP(E603&amp;F603,IMPORTRANGE(""https://docs.google.com/spreadsheets/d/1Uw7-A9f9R21vMXxHZFNpYNeKFtG8_yji4HS352LGlSQ/edit?pli=1#gid=0"",""1_ACUM!A4:S""),13,FALSE))"),"")</f>
        <v/>
      </c>
      <c r="AD580" s="43" t="str">
        <f ca="1">IFERROR(__xludf.DUMMYFUNCTION("IFERROR(VLOOKUP(E603&amp;F603,IMPORTRANGE(""https://docs.google.com/spreadsheets/d/1Uw7-A9f9R21vMXxHZFNpYNeKFtG8_yji4HS352LGlSQ/edit?pli=1#gid=0"",""1_ACUM!A4:S""),13,FALSE))"),"")</f>
        <v/>
      </c>
      <c r="AE580" s="43" t="str">
        <f ca="1">IFERROR(__xludf.DUMMYFUNCTION("IFERROR(VLOOKUP(E603&amp;F603,IMPORTRANGE(""https://docs.google.com/spreadsheets/d/1Uw7-A9f9R21vMXxHZFNpYNeKFtG8_yji4HS352LGlSQ/edit?pli=1#gid=0"",""1_ACUM!A4:S""),14,FALSE))"),"")</f>
        <v/>
      </c>
      <c r="AF580" s="43" t="str">
        <f ca="1">IFERROR(__xludf.DUMMYFUNCTION("IFERROR(VLOOKUP(E603&amp;F603,IMPORTRANGE(""https://docs.google.com/spreadsheets/d/1Uw7-A9f9R21vMXxHZFNpYNeKFtG8_yji4HS352LGlSQ/edit?pli=1#gid=0"",""1_ACUM!A4:S""),15,FALSE))"),"")</f>
        <v/>
      </c>
      <c r="AG580" s="43" t="str">
        <f ca="1">IFERROR(__xludf.DUMMYFUNCTION("IFERROR(VLOOKUP(E603&amp;F603,IMPORTRANGE(""https://docs.google.com/spreadsheets/d/1Uw7-A9f9R21vMXxHZFNpYNeKFtG8_yji4HS352LGlSQ/edit?pli=1#gid=0"",""1_ACUM!A4:S""),16,FALSE))"),"")</f>
        <v/>
      </c>
      <c r="AH580" s="43" t="str">
        <f ca="1">IFERROR(__xludf.DUMMYFUNCTION("IFERROR(VLOOKUP(E603&amp;F603,IMPORTRANGE(""https://docs.google.com/spreadsheets/d/1Uw7-A9f9R21vMXxHZFNpYNeKFtG8_yji4HS352LGlSQ/edit?pli=1#gid=0"",""1_ACUM!A4:S""),17,FALSE))"),"")</f>
        <v/>
      </c>
      <c r="AI580" s="44" t="str">
        <f ca="1">IFERROR(__xludf.DUMMYFUNCTION("IFERROR(VLOOKUP(E603&amp;F603,IMPORTRANGE(""https://docs.google.com/spreadsheets/d/1Uw7-A9f9R21vMXxHZFNpYNeKFtG8_yji4HS352LGlSQ/edit?pli=1#gid=0"",""1_ACUM!A4:S""),18,FALSE))"),"")</f>
        <v/>
      </c>
      <c r="AJ580" s="44" t="str">
        <f ca="1">IFERROR(__xludf.DUMMYFUNCTION("IFERROR(VLOOKUP(E603&amp;F603,IMPORTRANGE(""https://docs.google.com/spreadsheets/d/1Uw7-A9f9R21vMXxHZFNpYNeKFtG8_yji4HS352LGlSQ/edit?pli=1#gid=0"",""1_ACUM!A4:S""),19,FALSE))"),"")</f>
        <v/>
      </c>
      <c r="AK580" s="98" t="str">
        <f ca="1">IFERROR(__xludf.DUMMYFUNCTION("IFERROR(VLOOKUP(F603,IMPORTRANGE(""https://docs.google.com/spreadsheets/d/1Kvs4KS76FHFqLFIZfrDMff4kP08nblUkihrxltoGBjg/edit#gid=934712705"",""ESENCIAL!A6:BG""),5,FALSE))"),"")</f>
        <v/>
      </c>
      <c r="AL580" s="98" t="str">
        <f t="shared" si="38"/>
        <v/>
      </c>
      <c r="AM580" s="99" t="str">
        <f t="shared" si="39"/>
        <v/>
      </c>
      <c r="AN580" s="100" t="str">
        <f ca="1">IFERROR(__xludf.DUMMYFUNCTION("IFERROR(VLOOKUP(F603,IMPORTRANGE(""https://docs.google.com/spreadsheets/d/1Kvs4KS76FHFqLFIZfrDMff4kP08nblUkihrxltoGBjg/edit#gid=934712705"",""ESENCIAL!A6:BG""),2,FALSE))"),"")</f>
        <v/>
      </c>
      <c r="AO580" s="19" t="str">
        <f t="shared" si="33"/>
        <v/>
      </c>
      <c r="AP580" s="100"/>
      <c r="AQ580" s="100"/>
    </row>
    <row r="581" spans="1:43" ht="15">
      <c r="A581" s="5"/>
      <c r="B581" s="5"/>
      <c r="G581" s="5" t="str">
        <f ca="1">IFERROR(__xludf.DUMMYFUNCTION("IFERROR(VLOOKUP(F604,IMPORTRANGE(""https://docs.google.com/spreadsheets/d/1Kvs4KS76FHFqLFIZfrDMff4kP08nblUkihrxltoGBjg/edit#gid=934712705"",""ESENCIAL!A6:BG""),3,FALSE))"),"")</f>
        <v/>
      </c>
      <c r="H581" s="5" t="str">
        <f ca="1">IFERROR(__xludf.DUMMYFUNCTION("IFERROR(VLOOKUP(F604,IMPORTRANGE(""https://docs.google.com/spreadsheets/d/1Kvs4KS76FHFqLFIZfrDMff4kP08nblUkihrxltoGBjg/edit#gid=934712705"",""ESENCIAL!A6:BG""),8,FALSE))"),"")</f>
        <v/>
      </c>
      <c r="L581" s="287"/>
      <c r="Z581" s="41" t="str">
        <f t="shared" si="37"/>
        <v/>
      </c>
      <c r="AA581" s="5" t="str">
        <f ca="1">IFERROR(__xludf.DUMMYFUNCTION("IFERROR(VLOOKUP(E604&amp;F604,IMPORTRANGE(""https://docs.google.com/spreadsheets/d/1Uw7-A9f9R21vMXxHZFNpYNeKFtG8_yji4HS352LGlSQ/edit?pli=1#gid=0"",""1_ACUM!A4:S""),11,FALSE))"),"")</f>
        <v/>
      </c>
      <c r="AB581" s="42" t="str">
        <f ca="1">IFERROR(__xludf.DUMMYFUNCTION("IFERROR(VLOOKUP(F604,IMPORTRANGE(""https://docs.google.com/spreadsheets/d/1Kvs4KS76FHFqLFIZfrDMff4kP08nblUkihrxltoGBjg/edit#gid=934712705"",""ESENCIAL!A6:BG""),15,FALSE))"),"")</f>
        <v/>
      </c>
      <c r="AC581" s="110" t="str">
        <f ca="1">IFERROR(__xludf.DUMMYFUNCTION("IFERROR(VLOOKUP(E604&amp;F604,IMPORTRANGE(""https://docs.google.com/spreadsheets/d/1Uw7-A9f9R21vMXxHZFNpYNeKFtG8_yji4HS352LGlSQ/edit?pli=1#gid=0"",""1_ACUM!A4:S""),13,FALSE))"),"")</f>
        <v/>
      </c>
      <c r="AD581" s="43" t="str">
        <f ca="1">IFERROR(__xludf.DUMMYFUNCTION("IFERROR(VLOOKUP(E604&amp;F604,IMPORTRANGE(""https://docs.google.com/spreadsheets/d/1Uw7-A9f9R21vMXxHZFNpYNeKFtG8_yji4HS352LGlSQ/edit?pli=1#gid=0"",""1_ACUM!A4:S""),13,FALSE))"),"")</f>
        <v/>
      </c>
      <c r="AE581" s="43" t="str">
        <f ca="1">IFERROR(__xludf.DUMMYFUNCTION("IFERROR(VLOOKUP(E604&amp;F604,IMPORTRANGE(""https://docs.google.com/spreadsheets/d/1Uw7-A9f9R21vMXxHZFNpYNeKFtG8_yji4HS352LGlSQ/edit?pli=1#gid=0"",""1_ACUM!A4:S""),14,FALSE))"),"")</f>
        <v/>
      </c>
      <c r="AF581" s="43" t="str">
        <f ca="1">IFERROR(__xludf.DUMMYFUNCTION("IFERROR(VLOOKUP(E604&amp;F604,IMPORTRANGE(""https://docs.google.com/spreadsheets/d/1Uw7-A9f9R21vMXxHZFNpYNeKFtG8_yji4HS352LGlSQ/edit?pli=1#gid=0"",""1_ACUM!A4:S""),15,FALSE))"),"")</f>
        <v/>
      </c>
      <c r="AG581" s="43" t="str">
        <f ca="1">IFERROR(__xludf.DUMMYFUNCTION("IFERROR(VLOOKUP(E604&amp;F604,IMPORTRANGE(""https://docs.google.com/spreadsheets/d/1Uw7-A9f9R21vMXxHZFNpYNeKFtG8_yji4HS352LGlSQ/edit?pli=1#gid=0"",""1_ACUM!A4:S""),16,FALSE))"),"")</f>
        <v/>
      </c>
      <c r="AH581" s="43" t="str">
        <f ca="1">IFERROR(__xludf.DUMMYFUNCTION("IFERROR(VLOOKUP(E604&amp;F604,IMPORTRANGE(""https://docs.google.com/spreadsheets/d/1Uw7-A9f9R21vMXxHZFNpYNeKFtG8_yji4HS352LGlSQ/edit?pli=1#gid=0"",""1_ACUM!A4:S""),17,FALSE))"),"")</f>
        <v/>
      </c>
      <c r="AI581" s="44" t="str">
        <f ca="1">IFERROR(__xludf.DUMMYFUNCTION("IFERROR(VLOOKUP(E604&amp;F604,IMPORTRANGE(""https://docs.google.com/spreadsheets/d/1Uw7-A9f9R21vMXxHZFNpYNeKFtG8_yji4HS352LGlSQ/edit?pli=1#gid=0"",""1_ACUM!A4:S""),18,FALSE))"),"")</f>
        <v/>
      </c>
      <c r="AJ581" s="44" t="str">
        <f ca="1">IFERROR(__xludf.DUMMYFUNCTION("IFERROR(VLOOKUP(E604&amp;F604,IMPORTRANGE(""https://docs.google.com/spreadsheets/d/1Uw7-A9f9R21vMXxHZFNpYNeKFtG8_yji4HS352LGlSQ/edit?pli=1#gid=0"",""1_ACUM!A4:S""),19,FALSE))"),"")</f>
        <v/>
      </c>
      <c r="AK581" s="98" t="str">
        <f ca="1">IFERROR(__xludf.DUMMYFUNCTION("IFERROR(VLOOKUP(F604,IMPORTRANGE(""https://docs.google.com/spreadsheets/d/1Kvs4KS76FHFqLFIZfrDMff4kP08nblUkihrxltoGBjg/edit#gid=934712705"",""ESENCIAL!A6:BG""),5,FALSE))"),"")</f>
        <v/>
      </c>
      <c r="AL581" s="98" t="str">
        <f t="shared" si="38"/>
        <v/>
      </c>
      <c r="AM581" s="99" t="str">
        <f t="shared" si="39"/>
        <v/>
      </c>
      <c r="AN581" s="100" t="str">
        <f ca="1">IFERROR(__xludf.DUMMYFUNCTION("IFERROR(VLOOKUP(F604,IMPORTRANGE(""https://docs.google.com/spreadsheets/d/1Kvs4KS76FHFqLFIZfrDMff4kP08nblUkihrxltoGBjg/edit#gid=934712705"",""ESENCIAL!A6:BG""),2,FALSE))"),"")</f>
        <v/>
      </c>
      <c r="AO581" s="19" t="str">
        <f t="shared" si="33"/>
        <v/>
      </c>
      <c r="AP581" s="100"/>
      <c r="AQ581" s="100"/>
    </row>
    <row r="582" spans="1:43" ht="15">
      <c r="A582" s="5"/>
      <c r="B582" s="5"/>
      <c r="G582" s="5" t="str">
        <f ca="1">IFERROR(__xludf.DUMMYFUNCTION("IFERROR(VLOOKUP(F605,IMPORTRANGE(""https://docs.google.com/spreadsheets/d/1Kvs4KS76FHFqLFIZfrDMff4kP08nblUkihrxltoGBjg/edit#gid=934712705"",""ESENCIAL!A6:BG""),3,FALSE))"),"")</f>
        <v/>
      </c>
      <c r="H582" s="5" t="str">
        <f ca="1">IFERROR(__xludf.DUMMYFUNCTION("IFERROR(VLOOKUP(F605,IMPORTRANGE(""https://docs.google.com/spreadsheets/d/1Kvs4KS76FHFqLFIZfrDMff4kP08nblUkihrxltoGBjg/edit#gid=934712705"",""ESENCIAL!A6:BG""),8,FALSE))"),"")</f>
        <v/>
      </c>
      <c r="L582" s="287"/>
      <c r="Z582" s="41" t="str">
        <f t="shared" si="37"/>
        <v/>
      </c>
      <c r="AA582" s="5" t="str">
        <f ca="1">IFERROR(__xludf.DUMMYFUNCTION("IFERROR(VLOOKUP(E605&amp;F605,IMPORTRANGE(""https://docs.google.com/spreadsheets/d/1Uw7-A9f9R21vMXxHZFNpYNeKFtG8_yji4HS352LGlSQ/edit?pli=1#gid=0"",""1_ACUM!A4:S""),11,FALSE))"),"")</f>
        <v/>
      </c>
      <c r="AB582" s="42" t="str">
        <f ca="1">IFERROR(__xludf.DUMMYFUNCTION("IFERROR(VLOOKUP(F605,IMPORTRANGE(""https://docs.google.com/spreadsheets/d/1Kvs4KS76FHFqLFIZfrDMff4kP08nblUkihrxltoGBjg/edit#gid=934712705"",""ESENCIAL!A6:BG""),15,FALSE))"),"")</f>
        <v/>
      </c>
      <c r="AC582" s="110" t="str">
        <f ca="1">IFERROR(__xludf.DUMMYFUNCTION("IFERROR(VLOOKUP(E605&amp;F605,IMPORTRANGE(""https://docs.google.com/spreadsheets/d/1Uw7-A9f9R21vMXxHZFNpYNeKFtG8_yji4HS352LGlSQ/edit?pli=1#gid=0"",""1_ACUM!A4:S""),13,FALSE))"),"")</f>
        <v/>
      </c>
      <c r="AD582" s="43" t="str">
        <f ca="1">IFERROR(__xludf.DUMMYFUNCTION("IFERROR(VLOOKUP(E605&amp;F605,IMPORTRANGE(""https://docs.google.com/spreadsheets/d/1Uw7-A9f9R21vMXxHZFNpYNeKFtG8_yji4HS352LGlSQ/edit?pli=1#gid=0"",""1_ACUM!A4:S""),13,FALSE))"),"")</f>
        <v/>
      </c>
      <c r="AE582" s="43" t="str">
        <f ca="1">IFERROR(__xludf.DUMMYFUNCTION("IFERROR(VLOOKUP(E605&amp;F605,IMPORTRANGE(""https://docs.google.com/spreadsheets/d/1Uw7-A9f9R21vMXxHZFNpYNeKFtG8_yji4HS352LGlSQ/edit?pli=1#gid=0"",""1_ACUM!A4:S""),14,FALSE))"),"")</f>
        <v/>
      </c>
      <c r="AF582" s="43" t="str">
        <f ca="1">IFERROR(__xludf.DUMMYFUNCTION("IFERROR(VLOOKUP(E605&amp;F605,IMPORTRANGE(""https://docs.google.com/spreadsheets/d/1Uw7-A9f9R21vMXxHZFNpYNeKFtG8_yji4HS352LGlSQ/edit?pli=1#gid=0"",""1_ACUM!A4:S""),15,FALSE))"),"")</f>
        <v/>
      </c>
      <c r="AG582" s="43" t="str">
        <f ca="1">IFERROR(__xludf.DUMMYFUNCTION("IFERROR(VLOOKUP(E605&amp;F605,IMPORTRANGE(""https://docs.google.com/spreadsheets/d/1Uw7-A9f9R21vMXxHZFNpYNeKFtG8_yji4HS352LGlSQ/edit?pli=1#gid=0"",""1_ACUM!A4:S""),16,FALSE))"),"")</f>
        <v/>
      </c>
      <c r="AH582" s="43" t="str">
        <f ca="1">IFERROR(__xludf.DUMMYFUNCTION("IFERROR(VLOOKUP(E605&amp;F605,IMPORTRANGE(""https://docs.google.com/spreadsheets/d/1Uw7-A9f9R21vMXxHZFNpYNeKFtG8_yji4HS352LGlSQ/edit?pli=1#gid=0"",""1_ACUM!A4:S""),17,FALSE))"),"")</f>
        <v/>
      </c>
      <c r="AI582" s="44" t="str">
        <f ca="1">IFERROR(__xludf.DUMMYFUNCTION("IFERROR(VLOOKUP(E605&amp;F605,IMPORTRANGE(""https://docs.google.com/spreadsheets/d/1Uw7-A9f9R21vMXxHZFNpYNeKFtG8_yji4HS352LGlSQ/edit?pli=1#gid=0"",""1_ACUM!A4:S""),18,FALSE))"),"")</f>
        <v/>
      </c>
      <c r="AJ582" s="44" t="str">
        <f ca="1">IFERROR(__xludf.DUMMYFUNCTION("IFERROR(VLOOKUP(E605&amp;F605,IMPORTRANGE(""https://docs.google.com/spreadsheets/d/1Uw7-A9f9R21vMXxHZFNpYNeKFtG8_yji4HS352LGlSQ/edit?pli=1#gid=0"",""1_ACUM!A4:S""),19,FALSE))"),"")</f>
        <v/>
      </c>
      <c r="AK582" s="98" t="str">
        <f ca="1">IFERROR(__xludf.DUMMYFUNCTION("IFERROR(VLOOKUP(F605,IMPORTRANGE(""https://docs.google.com/spreadsheets/d/1Kvs4KS76FHFqLFIZfrDMff4kP08nblUkihrxltoGBjg/edit#gid=934712705"",""ESENCIAL!A6:BG""),5,FALSE))"),"")</f>
        <v/>
      </c>
      <c r="AL582" s="98" t="str">
        <f t="shared" si="38"/>
        <v/>
      </c>
      <c r="AM582" s="99" t="str">
        <f t="shared" si="39"/>
        <v/>
      </c>
      <c r="AN582" s="100" t="str">
        <f ca="1">IFERROR(__xludf.DUMMYFUNCTION("IFERROR(VLOOKUP(F605,IMPORTRANGE(""https://docs.google.com/spreadsheets/d/1Kvs4KS76FHFqLFIZfrDMff4kP08nblUkihrxltoGBjg/edit#gid=934712705"",""ESENCIAL!A6:BG""),2,FALSE))"),"")</f>
        <v/>
      </c>
      <c r="AO582" s="19" t="str">
        <f t="shared" si="33"/>
        <v/>
      </c>
      <c r="AP582" s="100"/>
      <c r="AQ582" s="100"/>
    </row>
    <row r="583" spans="1:43" ht="15">
      <c r="A583" s="5"/>
      <c r="B583" s="5"/>
      <c r="G583" s="5" t="str">
        <f ca="1">IFERROR(__xludf.DUMMYFUNCTION("IFERROR(VLOOKUP(F606,IMPORTRANGE(""https://docs.google.com/spreadsheets/d/1Kvs4KS76FHFqLFIZfrDMff4kP08nblUkihrxltoGBjg/edit#gid=934712705"",""ESENCIAL!A6:BG""),3,FALSE))"),"")</f>
        <v/>
      </c>
      <c r="H583" s="5" t="str">
        <f ca="1">IFERROR(__xludf.DUMMYFUNCTION("IFERROR(VLOOKUP(F606,IMPORTRANGE(""https://docs.google.com/spreadsheets/d/1Kvs4KS76FHFqLFIZfrDMff4kP08nblUkihrxltoGBjg/edit#gid=934712705"",""ESENCIAL!A6:BG""),8,FALSE))"),"")</f>
        <v/>
      </c>
      <c r="L583" s="287"/>
      <c r="Z583" s="41" t="str">
        <f t="shared" si="37"/>
        <v/>
      </c>
      <c r="AA583" s="5" t="str">
        <f ca="1">IFERROR(__xludf.DUMMYFUNCTION("IFERROR(VLOOKUP(E606&amp;F606,IMPORTRANGE(""https://docs.google.com/spreadsheets/d/1Uw7-A9f9R21vMXxHZFNpYNeKFtG8_yji4HS352LGlSQ/edit?pli=1#gid=0"",""1_ACUM!A4:S""),11,FALSE))"),"")</f>
        <v/>
      </c>
      <c r="AB583" s="42" t="str">
        <f ca="1">IFERROR(__xludf.DUMMYFUNCTION("IFERROR(VLOOKUP(F606,IMPORTRANGE(""https://docs.google.com/spreadsheets/d/1Kvs4KS76FHFqLFIZfrDMff4kP08nblUkihrxltoGBjg/edit#gid=934712705"",""ESENCIAL!A6:BG""),15,FALSE))"),"")</f>
        <v/>
      </c>
      <c r="AC583" s="110" t="str">
        <f ca="1">IFERROR(__xludf.DUMMYFUNCTION("IFERROR(VLOOKUP(E606&amp;F606,IMPORTRANGE(""https://docs.google.com/spreadsheets/d/1Uw7-A9f9R21vMXxHZFNpYNeKFtG8_yji4HS352LGlSQ/edit?pli=1#gid=0"",""1_ACUM!A4:S""),13,FALSE))"),"")</f>
        <v/>
      </c>
      <c r="AD583" s="43" t="str">
        <f ca="1">IFERROR(__xludf.DUMMYFUNCTION("IFERROR(VLOOKUP(E606&amp;F606,IMPORTRANGE(""https://docs.google.com/spreadsheets/d/1Uw7-A9f9R21vMXxHZFNpYNeKFtG8_yji4HS352LGlSQ/edit?pli=1#gid=0"",""1_ACUM!A4:S""),13,FALSE))"),"")</f>
        <v/>
      </c>
      <c r="AE583" s="43" t="str">
        <f ca="1">IFERROR(__xludf.DUMMYFUNCTION("IFERROR(VLOOKUP(E606&amp;F606,IMPORTRANGE(""https://docs.google.com/spreadsheets/d/1Uw7-A9f9R21vMXxHZFNpYNeKFtG8_yji4HS352LGlSQ/edit?pli=1#gid=0"",""1_ACUM!A4:S""),14,FALSE))"),"")</f>
        <v/>
      </c>
      <c r="AF583" s="43" t="str">
        <f ca="1">IFERROR(__xludf.DUMMYFUNCTION("IFERROR(VLOOKUP(E606&amp;F606,IMPORTRANGE(""https://docs.google.com/spreadsheets/d/1Uw7-A9f9R21vMXxHZFNpYNeKFtG8_yji4HS352LGlSQ/edit?pli=1#gid=0"",""1_ACUM!A4:S""),15,FALSE))"),"")</f>
        <v/>
      </c>
      <c r="AG583" s="43" t="str">
        <f ca="1">IFERROR(__xludf.DUMMYFUNCTION("IFERROR(VLOOKUP(E606&amp;F606,IMPORTRANGE(""https://docs.google.com/spreadsheets/d/1Uw7-A9f9R21vMXxHZFNpYNeKFtG8_yji4HS352LGlSQ/edit?pli=1#gid=0"",""1_ACUM!A4:S""),16,FALSE))"),"")</f>
        <v/>
      </c>
      <c r="AH583" s="43" t="str">
        <f ca="1">IFERROR(__xludf.DUMMYFUNCTION("IFERROR(VLOOKUP(E606&amp;F606,IMPORTRANGE(""https://docs.google.com/spreadsheets/d/1Uw7-A9f9R21vMXxHZFNpYNeKFtG8_yji4HS352LGlSQ/edit?pli=1#gid=0"",""1_ACUM!A4:S""),17,FALSE))"),"")</f>
        <v/>
      </c>
      <c r="AI583" s="44" t="str">
        <f ca="1">IFERROR(__xludf.DUMMYFUNCTION("IFERROR(VLOOKUP(E606&amp;F606,IMPORTRANGE(""https://docs.google.com/spreadsheets/d/1Uw7-A9f9R21vMXxHZFNpYNeKFtG8_yji4HS352LGlSQ/edit?pli=1#gid=0"",""1_ACUM!A4:S""),18,FALSE))"),"")</f>
        <v/>
      </c>
      <c r="AJ583" s="44" t="str">
        <f ca="1">IFERROR(__xludf.DUMMYFUNCTION("IFERROR(VLOOKUP(E606&amp;F606,IMPORTRANGE(""https://docs.google.com/spreadsheets/d/1Uw7-A9f9R21vMXxHZFNpYNeKFtG8_yji4HS352LGlSQ/edit?pli=1#gid=0"",""1_ACUM!A4:S""),19,FALSE))"),"")</f>
        <v/>
      </c>
      <c r="AK583" s="98" t="str">
        <f ca="1">IFERROR(__xludf.DUMMYFUNCTION("IFERROR(VLOOKUP(F606,IMPORTRANGE(""https://docs.google.com/spreadsheets/d/1Kvs4KS76FHFqLFIZfrDMff4kP08nblUkihrxltoGBjg/edit#gid=934712705"",""ESENCIAL!A6:BG""),5,FALSE))"),"")</f>
        <v/>
      </c>
      <c r="AL583" s="98" t="str">
        <f t="shared" si="38"/>
        <v/>
      </c>
      <c r="AM583" s="99" t="str">
        <f t="shared" si="39"/>
        <v/>
      </c>
      <c r="AN583" s="100" t="str">
        <f ca="1">IFERROR(__xludf.DUMMYFUNCTION("IFERROR(VLOOKUP(F606,IMPORTRANGE(""https://docs.google.com/spreadsheets/d/1Kvs4KS76FHFqLFIZfrDMff4kP08nblUkihrxltoGBjg/edit#gid=934712705"",""ESENCIAL!A6:BG""),2,FALSE))"),"")</f>
        <v/>
      </c>
      <c r="AO583" s="19" t="str">
        <f t="shared" si="33"/>
        <v/>
      </c>
      <c r="AP583" s="100"/>
      <c r="AQ583" s="100"/>
    </row>
    <row r="584" spans="1:43" ht="15">
      <c r="A584" s="5"/>
      <c r="B584" s="5"/>
      <c r="G584" s="5" t="str">
        <f ca="1">IFERROR(__xludf.DUMMYFUNCTION("IFERROR(VLOOKUP(F607,IMPORTRANGE(""https://docs.google.com/spreadsheets/d/1Kvs4KS76FHFqLFIZfrDMff4kP08nblUkihrxltoGBjg/edit#gid=934712705"",""ESENCIAL!A6:BG""),3,FALSE))"),"")</f>
        <v/>
      </c>
      <c r="H584" s="5" t="str">
        <f ca="1">IFERROR(__xludf.DUMMYFUNCTION("IFERROR(VLOOKUP(F607,IMPORTRANGE(""https://docs.google.com/spreadsheets/d/1Kvs4KS76FHFqLFIZfrDMff4kP08nblUkihrxltoGBjg/edit#gid=934712705"",""ESENCIAL!A6:BG""),8,FALSE))"),"")</f>
        <v/>
      </c>
      <c r="L584" s="287"/>
      <c r="Z584" s="41" t="str">
        <f t="shared" si="37"/>
        <v/>
      </c>
      <c r="AA584" s="5" t="str">
        <f ca="1">IFERROR(__xludf.DUMMYFUNCTION("IFERROR(VLOOKUP(E607&amp;F607,IMPORTRANGE(""https://docs.google.com/spreadsheets/d/1Uw7-A9f9R21vMXxHZFNpYNeKFtG8_yji4HS352LGlSQ/edit?pli=1#gid=0"",""1_ACUM!A4:S""),11,FALSE))"),"")</f>
        <v/>
      </c>
      <c r="AB584" s="42" t="str">
        <f ca="1">IFERROR(__xludf.DUMMYFUNCTION("IFERROR(VLOOKUP(F607,IMPORTRANGE(""https://docs.google.com/spreadsheets/d/1Kvs4KS76FHFqLFIZfrDMff4kP08nblUkihrxltoGBjg/edit#gid=934712705"",""ESENCIAL!A6:BG""),15,FALSE))"),"")</f>
        <v/>
      </c>
      <c r="AC584" s="110" t="str">
        <f ca="1">IFERROR(__xludf.DUMMYFUNCTION("IFERROR(VLOOKUP(E607&amp;F607,IMPORTRANGE(""https://docs.google.com/spreadsheets/d/1Uw7-A9f9R21vMXxHZFNpYNeKFtG8_yji4HS352LGlSQ/edit?pli=1#gid=0"",""1_ACUM!A4:S""),13,FALSE))"),"")</f>
        <v/>
      </c>
      <c r="AD584" s="43" t="str">
        <f ca="1">IFERROR(__xludf.DUMMYFUNCTION("IFERROR(VLOOKUP(E607&amp;F607,IMPORTRANGE(""https://docs.google.com/spreadsheets/d/1Uw7-A9f9R21vMXxHZFNpYNeKFtG8_yji4HS352LGlSQ/edit?pli=1#gid=0"",""1_ACUM!A4:S""),13,FALSE))"),"")</f>
        <v/>
      </c>
      <c r="AE584" s="43" t="str">
        <f ca="1">IFERROR(__xludf.DUMMYFUNCTION("IFERROR(VLOOKUP(E607&amp;F607,IMPORTRANGE(""https://docs.google.com/spreadsheets/d/1Uw7-A9f9R21vMXxHZFNpYNeKFtG8_yji4HS352LGlSQ/edit?pli=1#gid=0"",""1_ACUM!A4:S""),14,FALSE))"),"")</f>
        <v/>
      </c>
      <c r="AF584" s="43" t="str">
        <f ca="1">IFERROR(__xludf.DUMMYFUNCTION("IFERROR(VLOOKUP(E607&amp;F607,IMPORTRANGE(""https://docs.google.com/spreadsheets/d/1Uw7-A9f9R21vMXxHZFNpYNeKFtG8_yji4HS352LGlSQ/edit?pli=1#gid=0"",""1_ACUM!A4:S""),15,FALSE))"),"")</f>
        <v/>
      </c>
      <c r="AG584" s="43" t="str">
        <f ca="1">IFERROR(__xludf.DUMMYFUNCTION("IFERROR(VLOOKUP(E607&amp;F607,IMPORTRANGE(""https://docs.google.com/spreadsheets/d/1Uw7-A9f9R21vMXxHZFNpYNeKFtG8_yji4HS352LGlSQ/edit?pli=1#gid=0"",""1_ACUM!A4:S""),16,FALSE))"),"")</f>
        <v/>
      </c>
      <c r="AH584" s="43" t="str">
        <f ca="1">IFERROR(__xludf.DUMMYFUNCTION("IFERROR(VLOOKUP(E607&amp;F607,IMPORTRANGE(""https://docs.google.com/spreadsheets/d/1Uw7-A9f9R21vMXxHZFNpYNeKFtG8_yji4HS352LGlSQ/edit?pli=1#gid=0"",""1_ACUM!A4:S""),17,FALSE))"),"")</f>
        <v/>
      </c>
      <c r="AI584" s="44" t="str">
        <f ca="1">IFERROR(__xludf.DUMMYFUNCTION("IFERROR(VLOOKUP(E607&amp;F607,IMPORTRANGE(""https://docs.google.com/spreadsheets/d/1Uw7-A9f9R21vMXxHZFNpYNeKFtG8_yji4HS352LGlSQ/edit?pli=1#gid=0"",""1_ACUM!A4:S""),18,FALSE))"),"")</f>
        <v/>
      </c>
      <c r="AJ584" s="44" t="str">
        <f ca="1">IFERROR(__xludf.DUMMYFUNCTION("IFERROR(VLOOKUP(E607&amp;F607,IMPORTRANGE(""https://docs.google.com/spreadsheets/d/1Uw7-A9f9R21vMXxHZFNpYNeKFtG8_yji4HS352LGlSQ/edit?pli=1#gid=0"",""1_ACUM!A4:S""),19,FALSE))"),"")</f>
        <v/>
      </c>
      <c r="AK584" s="98" t="str">
        <f ca="1">IFERROR(__xludf.DUMMYFUNCTION("IFERROR(VLOOKUP(F607,IMPORTRANGE(""https://docs.google.com/spreadsheets/d/1Kvs4KS76FHFqLFIZfrDMff4kP08nblUkihrxltoGBjg/edit#gid=934712705"",""ESENCIAL!A6:BG""),5,FALSE))"),"")</f>
        <v/>
      </c>
      <c r="AL584" s="98" t="str">
        <f t="shared" si="38"/>
        <v/>
      </c>
      <c r="AM584" s="99" t="str">
        <f t="shared" si="39"/>
        <v/>
      </c>
      <c r="AN584" s="100" t="str">
        <f ca="1">IFERROR(__xludf.DUMMYFUNCTION("IFERROR(VLOOKUP(F607,IMPORTRANGE(""https://docs.google.com/spreadsheets/d/1Kvs4KS76FHFqLFIZfrDMff4kP08nblUkihrxltoGBjg/edit#gid=934712705"",""ESENCIAL!A6:BG""),2,FALSE))"),"")</f>
        <v/>
      </c>
      <c r="AO584" s="19" t="str">
        <f t="shared" si="33"/>
        <v/>
      </c>
      <c r="AP584" s="100"/>
      <c r="AQ584" s="100"/>
    </row>
    <row r="585" spans="1:43" ht="15">
      <c r="A585" s="5"/>
      <c r="B585" s="5"/>
      <c r="G585" s="5" t="str">
        <f ca="1">IFERROR(__xludf.DUMMYFUNCTION("IFERROR(VLOOKUP(F608,IMPORTRANGE(""https://docs.google.com/spreadsheets/d/1Kvs4KS76FHFqLFIZfrDMff4kP08nblUkihrxltoGBjg/edit#gid=934712705"",""ESENCIAL!A6:BG""),3,FALSE))"),"")</f>
        <v/>
      </c>
      <c r="H585" s="5" t="str">
        <f ca="1">IFERROR(__xludf.DUMMYFUNCTION("IFERROR(VLOOKUP(F608,IMPORTRANGE(""https://docs.google.com/spreadsheets/d/1Kvs4KS76FHFqLFIZfrDMff4kP08nblUkihrxltoGBjg/edit#gid=934712705"",""ESENCIAL!A6:BG""),8,FALSE))"),"")</f>
        <v/>
      </c>
      <c r="L585" s="287"/>
      <c r="Z585" s="41" t="str">
        <f t="shared" si="37"/>
        <v/>
      </c>
      <c r="AA585" s="5" t="str">
        <f ca="1">IFERROR(__xludf.DUMMYFUNCTION("IFERROR(VLOOKUP(E608&amp;F608,IMPORTRANGE(""https://docs.google.com/spreadsheets/d/1Uw7-A9f9R21vMXxHZFNpYNeKFtG8_yji4HS352LGlSQ/edit?pli=1#gid=0"",""1_ACUM!A4:S""),11,FALSE))"),"")</f>
        <v/>
      </c>
      <c r="AB585" s="42" t="str">
        <f ca="1">IFERROR(__xludf.DUMMYFUNCTION("IFERROR(VLOOKUP(F608,IMPORTRANGE(""https://docs.google.com/spreadsheets/d/1Kvs4KS76FHFqLFIZfrDMff4kP08nblUkihrxltoGBjg/edit#gid=934712705"",""ESENCIAL!A6:BG""),15,FALSE))"),"")</f>
        <v/>
      </c>
      <c r="AC585" s="110" t="str">
        <f ca="1">IFERROR(__xludf.DUMMYFUNCTION("IFERROR(VLOOKUP(E608&amp;F608,IMPORTRANGE(""https://docs.google.com/spreadsheets/d/1Uw7-A9f9R21vMXxHZFNpYNeKFtG8_yji4HS352LGlSQ/edit?pli=1#gid=0"",""1_ACUM!A4:S""),13,FALSE))"),"")</f>
        <v/>
      </c>
      <c r="AD585" s="43" t="str">
        <f ca="1">IFERROR(__xludf.DUMMYFUNCTION("IFERROR(VLOOKUP(E608&amp;F608,IMPORTRANGE(""https://docs.google.com/spreadsheets/d/1Uw7-A9f9R21vMXxHZFNpYNeKFtG8_yji4HS352LGlSQ/edit?pli=1#gid=0"",""1_ACUM!A4:S""),13,FALSE))"),"")</f>
        <v/>
      </c>
      <c r="AE585" s="43" t="str">
        <f ca="1">IFERROR(__xludf.DUMMYFUNCTION("IFERROR(VLOOKUP(E608&amp;F608,IMPORTRANGE(""https://docs.google.com/spreadsheets/d/1Uw7-A9f9R21vMXxHZFNpYNeKFtG8_yji4HS352LGlSQ/edit?pli=1#gid=0"",""1_ACUM!A4:S""),14,FALSE))"),"")</f>
        <v/>
      </c>
      <c r="AF585" s="43" t="str">
        <f ca="1">IFERROR(__xludf.DUMMYFUNCTION("IFERROR(VLOOKUP(E608&amp;F608,IMPORTRANGE(""https://docs.google.com/spreadsheets/d/1Uw7-A9f9R21vMXxHZFNpYNeKFtG8_yji4HS352LGlSQ/edit?pli=1#gid=0"",""1_ACUM!A4:S""),15,FALSE))"),"")</f>
        <v/>
      </c>
      <c r="AG585" s="43" t="str">
        <f ca="1">IFERROR(__xludf.DUMMYFUNCTION("IFERROR(VLOOKUP(E608&amp;F608,IMPORTRANGE(""https://docs.google.com/spreadsheets/d/1Uw7-A9f9R21vMXxHZFNpYNeKFtG8_yji4HS352LGlSQ/edit?pli=1#gid=0"",""1_ACUM!A4:S""),16,FALSE))"),"")</f>
        <v/>
      </c>
      <c r="AH585" s="43" t="str">
        <f ca="1">IFERROR(__xludf.DUMMYFUNCTION("IFERROR(VLOOKUP(E608&amp;F608,IMPORTRANGE(""https://docs.google.com/spreadsheets/d/1Uw7-A9f9R21vMXxHZFNpYNeKFtG8_yji4HS352LGlSQ/edit?pli=1#gid=0"",""1_ACUM!A4:S""),17,FALSE))"),"")</f>
        <v/>
      </c>
      <c r="AI585" s="44" t="str">
        <f ca="1">IFERROR(__xludf.DUMMYFUNCTION("IFERROR(VLOOKUP(E608&amp;F608,IMPORTRANGE(""https://docs.google.com/spreadsheets/d/1Uw7-A9f9R21vMXxHZFNpYNeKFtG8_yji4HS352LGlSQ/edit?pli=1#gid=0"",""1_ACUM!A4:S""),18,FALSE))"),"")</f>
        <v/>
      </c>
      <c r="AJ585" s="44" t="str">
        <f ca="1">IFERROR(__xludf.DUMMYFUNCTION("IFERROR(VLOOKUP(E608&amp;F608,IMPORTRANGE(""https://docs.google.com/spreadsheets/d/1Uw7-A9f9R21vMXxHZFNpYNeKFtG8_yji4HS352LGlSQ/edit?pli=1#gid=0"",""1_ACUM!A4:S""),19,FALSE))"),"")</f>
        <v/>
      </c>
      <c r="AK585" s="98" t="str">
        <f ca="1">IFERROR(__xludf.DUMMYFUNCTION("IFERROR(VLOOKUP(F608,IMPORTRANGE(""https://docs.google.com/spreadsheets/d/1Kvs4KS76FHFqLFIZfrDMff4kP08nblUkihrxltoGBjg/edit#gid=934712705"",""ESENCIAL!A6:BG""),5,FALSE))"),"")</f>
        <v/>
      </c>
      <c r="AL585" s="98" t="str">
        <f t="shared" si="38"/>
        <v/>
      </c>
      <c r="AM585" s="99" t="str">
        <f t="shared" si="39"/>
        <v/>
      </c>
      <c r="AN585" s="100" t="str">
        <f ca="1">IFERROR(__xludf.DUMMYFUNCTION("IFERROR(VLOOKUP(F608,IMPORTRANGE(""https://docs.google.com/spreadsheets/d/1Kvs4KS76FHFqLFIZfrDMff4kP08nblUkihrxltoGBjg/edit#gid=934712705"",""ESENCIAL!A6:BG""),2,FALSE))"),"")</f>
        <v/>
      </c>
      <c r="AO585" s="19" t="str">
        <f t="shared" si="33"/>
        <v/>
      </c>
      <c r="AP585" s="100"/>
      <c r="AQ585" s="100"/>
    </row>
    <row r="586" spans="1:43" ht="15">
      <c r="A586" s="5"/>
      <c r="B586" s="5"/>
      <c r="G586" s="5" t="str">
        <f ca="1">IFERROR(__xludf.DUMMYFUNCTION("IFERROR(VLOOKUP(F609,IMPORTRANGE(""https://docs.google.com/spreadsheets/d/1Kvs4KS76FHFqLFIZfrDMff4kP08nblUkihrxltoGBjg/edit#gid=934712705"",""ESENCIAL!A6:BG""),3,FALSE))"),"")</f>
        <v/>
      </c>
      <c r="H586" s="5" t="str">
        <f ca="1">IFERROR(__xludf.DUMMYFUNCTION("IFERROR(VLOOKUP(F609,IMPORTRANGE(""https://docs.google.com/spreadsheets/d/1Kvs4KS76FHFqLFIZfrDMff4kP08nblUkihrxltoGBjg/edit#gid=934712705"",""ESENCIAL!A6:BG""),8,FALSE))"),"")</f>
        <v/>
      </c>
      <c r="L586" s="287"/>
      <c r="Z586" s="41" t="str">
        <f t="shared" si="37"/>
        <v/>
      </c>
      <c r="AA586" s="5" t="str">
        <f ca="1">IFERROR(__xludf.DUMMYFUNCTION("IFERROR(VLOOKUP(E609&amp;F609,IMPORTRANGE(""https://docs.google.com/spreadsheets/d/1Uw7-A9f9R21vMXxHZFNpYNeKFtG8_yji4HS352LGlSQ/edit?pli=1#gid=0"",""1_ACUM!A4:S""),11,FALSE))"),"")</f>
        <v/>
      </c>
      <c r="AB586" s="42" t="str">
        <f ca="1">IFERROR(__xludf.DUMMYFUNCTION("IFERROR(VLOOKUP(F609,IMPORTRANGE(""https://docs.google.com/spreadsheets/d/1Kvs4KS76FHFqLFIZfrDMff4kP08nblUkihrxltoGBjg/edit#gid=934712705"",""ESENCIAL!A6:BG""),15,FALSE))"),"")</f>
        <v/>
      </c>
      <c r="AC586" s="110" t="str">
        <f ca="1">IFERROR(__xludf.DUMMYFUNCTION("IFERROR(VLOOKUP(E609&amp;F609,IMPORTRANGE(""https://docs.google.com/spreadsheets/d/1Uw7-A9f9R21vMXxHZFNpYNeKFtG8_yji4HS352LGlSQ/edit?pli=1#gid=0"",""1_ACUM!A4:S""),13,FALSE))"),"")</f>
        <v/>
      </c>
      <c r="AD586" s="43" t="str">
        <f ca="1">IFERROR(__xludf.DUMMYFUNCTION("IFERROR(VLOOKUP(E609&amp;F609,IMPORTRANGE(""https://docs.google.com/spreadsheets/d/1Uw7-A9f9R21vMXxHZFNpYNeKFtG8_yji4HS352LGlSQ/edit?pli=1#gid=0"",""1_ACUM!A4:S""),13,FALSE))"),"")</f>
        <v/>
      </c>
      <c r="AE586" s="43" t="str">
        <f ca="1">IFERROR(__xludf.DUMMYFUNCTION("IFERROR(VLOOKUP(E609&amp;F609,IMPORTRANGE(""https://docs.google.com/spreadsheets/d/1Uw7-A9f9R21vMXxHZFNpYNeKFtG8_yji4HS352LGlSQ/edit?pli=1#gid=0"",""1_ACUM!A4:S""),14,FALSE))"),"")</f>
        <v/>
      </c>
      <c r="AF586" s="43" t="str">
        <f ca="1">IFERROR(__xludf.DUMMYFUNCTION("IFERROR(VLOOKUP(E609&amp;F609,IMPORTRANGE(""https://docs.google.com/spreadsheets/d/1Uw7-A9f9R21vMXxHZFNpYNeKFtG8_yji4HS352LGlSQ/edit?pli=1#gid=0"",""1_ACUM!A4:S""),15,FALSE))"),"")</f>
        <v/>
      </c>
      <c r="AG586" s="43" t="str">
        <f ca="1">IFERROR(__xludf.DUMMYFUNCTION("IFERROR(VLOOKUP(E609&amp;F609,IMPORTRANGE(""https://docs.google.com/spreadsheets/d/1Uw7-A9f9R21vMXxHZFNpYNeKFtG8_yji4HS352LGlSQ/edit?pli=1#gid=0"",""1_ACUM!A4:S""),16,FALSE))"),"")</f>
        <v/>
      </c>
      <c r="AH586" s="43" t="str">
        <f ca="1">IFERROR(__xludf.DUMMYFUNCTION("IFERROR(VLOOKUP(E609&amp;F609,IMPORTRANGE(""https://docs.google.com/spreadsheets/d/1Uw7-A9f9R21vMXxHZFNpYNeKFtG8_yji4HS352LGlSQ/edit?pli=1#gid=0"",""1_ACUM!A4:S""),17,FALSE))"),"")</f>
        <v/>
      </c>
      <c r="AI586" s="44" t="str">
        <f ca="1">IFERROR(__xludf.DUMMYFUNCTION("IFERROR(VLOOKUP(E609&amp;F609,IMPORTRANGE(""https://docs.google.com/spreadsheets/d/1Uw7-A9f9R21vMXxHZFNpYNeKFtG8_yji4HS352LGlSQ/edit?pli=1#gid=0"",""1_ACUM!A4:S""),18,FALSE))"),"")</f>
        <v/>
      </c>
      <c r="AJ586" s="44" t="str">
        <f ca="1">IFERROR(__xludf.DUMMYFUNCTION("IFERROR(VLOOKUP(E609&amp;F609,IMPORTRANGE(""https://docs.google.com/spreadsheets/d/1Uw7-A9f9R21vMXxHZFNpYNeKFtG8_yji4HS352LGlSQ/edit?pli=1#gid=0"",""1_ACUM!A4:S""),19,FALSE))"),"")</f>
        <v/>
      </c>
      <c r="AK586" s="98" t="str">
        <f ca="1">IFERROR(__xludf.DUMMYFUNCTION("IFERROR(VLOOKUP(F609,IMPORTRANGE(""https://docs.google.com/spreadsheets/d/1Kvs4KS76FHFqLFIZfrDMff4kP08nblUkihrxltoGBjg/edit#gid=934712705"",""ESENCIAL!A6:BG""),5,FALSE))"),"")</f>
        <v/>
      </c>
      <c r="AL586" s="98" t="str">
        <f t="shared" si="38"/>
        <v/>
      </c>
      <c r="AM586" s="99" t="str">
        <f t="shared" si="39"/>
        <v/>
      </c>
      <c r="AN586" s="100" t="str">
        <f ca="1">IFERROR(__xludf.DUMMYFUNCTION("IFERROR(VLOOKUP(F609,IMPORTRANGE(""https://docs.google.com/spreadsheets/d/1Kvs4KS76FHFqLFIZfrDMff4kP08nblUkihrxltoGBjg/edit#gid=934712705"",""ESENCIAL!A6:BG""),2,FALSE))"),"")</f>
        <v/>
      </c>
      <c r="AO586" s="19" t="str">
        <f t="shared" si="33"/>
        <v/>
      </c>
      <c r="AP586" s="100"/>
      <c r="AQ586" s="100"/>
    </row>
    <row r="587" spans="1:43" ht="15">
      <c r="A587" s="5"/>
      <c r="B587" s="5"/>
      <c r="G587" s="5" t="str">
        <f ca="1">IFERROR(__xludf.DUMMYFUNCTION("IFERROR(VLOOKUP(F610,IMPORTRANGE(""https://docs.google.com/spreadsheets/d/1Kvs4KS76FHFqLFIZfrDMff4kP08nblUkihrxltoGBjg/edit#gid=934712705"",""ESENCIAL!A6:BG""),3,FALSE))"),"")</f>
        <v/>
      </c>
      <c r="H587" s="5" t="str">
        <f ca="1">IFERROR(__xludf.DUMMYFUNCTION("IFERROR(VLOOKUP(F610,IMPORTRANGE(""https://docs.google.com/spreadsheets/d/1Kvs4KS76FHFqLFIZfrDMff4kP08nblUkihrxltoGBjg/edit#gid=934712705"",""ESENCIAL!A6:BG""),8,FALSE))"),"")</f>
        <v/>
      </c>
      <c r="L587" s="287"/>
      <c r="Z587" s="41" t="str">
        <f t="shared" si="37"/>
        <v/>
      </c>
      <c r="AA587" s="5" t="str">
        <f ca="1">IFERROR(__xludf.DUMMYFUNCTION("IFERROR(VLOOKUP(E610&amp;F610,IMPORTRANGE(""https://docs.google.com/spreadsheets/d/1Uw7-A9f9R21vMXxHZFNpYNeKFtG8_yji4HS352LGlSQ/edit?pli=1#gid=0"",""1_ACUM!A4:S""),11,FALSE))"),"")</f>
        <v/>
      </c>
      <c r="AB587" s="42" t="str">
        <f ca="1">IFERROR(__xludf.DUMMYFUNCTION("IFERROR(VLOOKUP(F610,IMPORTRANGE(""https://docs.google.com/spreadsheets/d/1Kvs4KS76FHFqLFIZfrDMff4kP08nblUkihrxltoGBjg/edit#gid=934712705"",""ESENCIAL!A6:BG""),15,FALSE))"),"")</f>
        <v/>
      </c>
      <c r="AC587" s="110" t="str">
        <f ca="1">IFERROR(__xludf.DUMMYFUNCTION("IFERROR(VLOOKUP(E610&amp;F610,IMPORTRANGE(""https://docs.google.com/spreadsheets/d/1Uw7-A9f9R21vMXxHZFNpYNeKFtG8_yji4HS352LGlSQ/edit?pli=1#gid=0"",""1_ACUM!A4:S""),13,FALSE))"),"")</f>
        <v/>
      </c>
      <c r="AD587" s="43" t="str">
        <f ca="1">IFERROR(__xludf.DUMMYFUNCTION("IFERROR(VLOOKUP(E610&amp;F610,IMPORTRANGE(""https://docs.google.com/spreadsheets/d/1Uw7-A9f9R21vMXxHZFNpYNeKFtG8_yji4HS352LGlSQ/edit?pli=1#gid=0"",""1_ACUM!A4:S""),13,FALSE))"),"")</f>
        <v/>
      </c>
      <c r="AE587" s="43" t="str">
        <f ca="1">IFERROR(__xludf.DUMMYFUNCTION("IFERROR(VLOOKUP(E610&amp;F610,IMPORTRANGE(""https://docs.google.com/spreadsheets/d/1Uw7-A9f9R21vMXxHZFNpYNeKFtG8_yji4HS352LGlSQ/edit?pli=1#gid=0"",""1_ACUM!A4:S""),14,FALSE))"),"")</f>
        <v/>
      </c>
      <c r="AF587" s="43" t="str">
        <f ca="1">IFERROR(__xludf.DUMMYFUNCTION("IFERROR(VLOOKUP(E610&amp;F610,IMPORTRANGE(""https://docs.google.com/spreadsheets/d/1Uw7-A9f9R21vMXxHZFNpYNeKFtG8_yji4HS352LGlSQ/edit?pli=1#gid=0"",""1_ACUM!A4:S""),15,FALSE))"),"")</f>
        <v/>
      </c>
      <c r="AG587" s="43" t="str">
        <f ca="1">IFERROR(__xludf.DUMMYFUNCTION("IFERROR(VLOOKUP(E610&amp;F610,IMPORTRANGE(""https://docs.google.com/spreadsheets/d/1Uw7-A9f9R21vMXxHZFNpYNeKFtG8_yji4HS352LGlSQ/edit?pli=1#gid=0"",""1_ACUM!A4:S""),16,FALSE))"),"")</f>
        <v/>
      </c>
      <c r="AH587" s="43" t="str">
        <f ca="1">IFERROR(__xludf.DUMMYFUNCTION("IFERROR(VLOOKUP(E610&amp;F610,IMPORTRANGE(""https://docs.google.com/spreadsheets/d/1Uw7-A9f9R21vMXxHZFNpYNeKFtG8_yji4HS352LGlSQ/edit?pli=1#gid=0"",""1_ACUM!A4:S""),17,FALSE))"),"")</f>
        <v/>
      </c>
      <c r="AI587" s="44" t="str">
        <f ca="1">IFERROR(__xludf.DUMMYFUNCTION("IFERROR(VLOOKUP(E610&amp;F610,IMPORTRANGE(""https://docs.google.com/spreadsheets/d/1Uw7-A9f9R21vMXxHZFNpYNeKFtG8_yji4HS352LGlSQ/edit?pli=1#gid=0"",""1_ACUM!A4:S""),18,FALSE))"),"")</f>
        <v/>
      </c>
      <c r="AJ587" s="44" t="str">
        <f ca="1">IFERROR(__xludf.DUMMYFUNCTION("IFERROR(VLOOKUP(E610&amp;F610,IMPORTRANGE(""https://docs.google.com/spreadsheets/d/1Uw7-A9f9R21vMXxHZFNpYNeKFtG8_yji4HS352LGlSQ/edit?pli=1#gid=0"",""1_ACUM!A4:S""),19,FALSE))"),"")</f>
        <v/>
      </c>
      <c r="AK587" s="98" t="str">
        <f ca="1">IFERROR(__xludf.DUMMYFUNCTION("IFERROR(VLOOKUP(F610,IMPORTRANGE(""https://docs.google.com/spreadsheets/d/1Kvs4KS76FHFqLFIZfrDMff4kP08nblUkihrxltoGBjg/edit#gid=934712705"",""ESENCIAL!A6:BG""),5,FALSE))"),"")</f>
        <v/>
      </c>
      <c r="AL587" s="98" t="str">
        <f t="shared" si="38"/>
        <v/>
      </c>
      <c r="AM587" s="99" t="str">
        <f t="shared" si="39"/>
        <v/>
      </c>
      <c r="AN587" s="100" t="str">
        <f ca="1">IFERROR(__xludf.DUMMYFUNCTION("IFERROR(VLOOKUP(F610,IMPORTRANGE(""https://docs.google.com/spreadsheets/d/1Kvs4KS76FHFqLFIZfrDMff4kP08nblUkihrxltoGBjg/edit#gid=934712705"",""ESENCIAL!A6:BG""),2,FALSE))"),"")</f>
        <v/>
      </c>
      <c r="AO587" s="19" t="str">
        <f t="shared" si="33"/>
        <v/>
      </c>
      <c r="AP587" s="100"/>
      <c r="AQ587" s="100"/>
    </row>
    <row r="588" spans="1:43" ht="15">
      <c r="A588" s="5"/>
      <c r="B588" s="5"/>
      <c r="G588" s="5" t="str">
        <f ca="1">IFERROR(__xludf.DUMMYFUNCTION("IFERROR(VLOOKUP(F611,IMPORTRANGE(""https://docs.google.com/spreadsheets/d/1Kvs4KS76FHFqLFIZfrDMff4kP08nblUkihrxltoGBjg/edit#gid=934712705"",""ESENCIAL!A6:BG""),3,FALSE))"),"")</f>
        <v/>
      </c>
      <c r="H588" s="5" t="str">
        <f ca="1">IFERROR(__xludf.DUMMYFUNCTION("IFERROR(VLOOKUP(F611,IMPORTRANGE(""https://docs.google.com/spreadsheets/d/1Kvs4KS76FHFqLFIZfrDMff4kP08nblUkihrxltoGBjg/edit#gid=934712705"",""ESENCIAL!A6:BG""),8,FALSE))"),"")</f>
        <v/>
      </c>
      <c r="L588" s="287"/>
      <c r="Z588" s="41" t="str">
        <f t="shared" si="37"/>
        <v/>
      </c>
      <c r="AA588" s="5" t="str">
        <f ca="1">IFERROR(__xludf.DUMMYFUNCTION("IFERROR(VLOOKUP(E611&amp;F611,IMPORTRANGE(""https://docs.google.com/spreadsheets/d/1Uw7-A9f9R21vMXxHZFNpYNeKFtG8_yji4HS352LGlSQ/edit?pli=1#gid=0"",""1_ACUM!A4:S""),11,FALSE))"),"")</f>
        <v/>
      </c>
      <c r="AB588" s="42" t="str">
        <f ca="1">IFERROR(__xludf.DUMMYFUNCTION("IFERROR(VLOOKUP(F611,IMPORTRANGE(""https://docs.google.com/spreadsheets/d/1Kvs4KS76FHFqLFIZfrDMff4kP08nblUkihrxltoGBjg/edit#gid=934712705"",""ESENCIAL!A6:BG""),15,FALSE))"),"")</f>
        <v/>
      </c>
      <c r="AC588" s="110" t="str">
        <f ca="1">IFERROR(__xludf.DUMMYFUNCTION("IFERROR(VLOOKUP(E611&amp;F611,IMPORTRANGE(""https://docs.google.com/spreadsheets/d/1Uw7-A9f9R21vMXxHZFNpYNeKFtG8_yji4HS352LGlSQ/edit?pli=1#gid=0"",""1_ACUM!A4:S""),13,FALSE))"),"")</f>
        <v/>
      </c>
      <c r="AD588" s="43" t="str">
        <f ca="1">IFERROR(__xludf.DUMMYFUNCTION("IFERROR(VLOOKUP(E611&amp;F611,IMPORTRANGE(""https://docs.google.com/spreadsheets/d/1Uw7-A9f9R21vMXxHZFNpYNeKFtG8_yji4HS352LGlSQ/edit?pli=1#gid=0"",""1_ACUM!A4:S""),13,FALSE))"),"")</f>
        <v/>
      </c>
      <c r="AE588" s="43" t="str">
        <f ca="1">IFERROR(__xludf.DUMMYFUNCTION("IFERROR(VLOOKUP(E611&amp;F611,IMPORTRANGE(""https://docs.google.com/spreadsheets/d/1Uw7-A9f9R21vMXxHZFNpYNeKFtG8_yji4HS352LGlSQ/edit?pli=1#gid=0"",""1_ACUM!A4:S""),14,FALSE))"),"")</f>
        <v/>
      </c>
      <c r="AF588" s="43" t="str">
        <f ca="1">IFERROR(__xludf.DUMMYFUNCTION("IFERROR(VLOOKUP(E611&amp;F611,IMPORTRANGE(""https://docs.google.com/spreadsheets/d/1Uw7-A9f9R21vMXxHZFNpYNeKFtG8_yji4HS352LGlSQ/edit?pli=1#gid=0"",""1_ACUM!A4:S""),15,FALSE))"),"")</f>
        <v/>
      </c>
      <c r="AG588" s="43" t="str">
        <f ca="1">IFERROR(__xludf.DUMMYFUNCTION("IFERROR(VLOOKUP(E611&amp;F611,IMPORTRANGE(""https://docs.google.com/spreadsheets/d/1Uw7-A9f9R21vMXxHZFNpYNeKFtG8_yji4HS352LGlSQ/edit?pli=1#gid=0"",""1_ACUM!A4:S""),16,FALSE))"),"")</f>
        <v/>
      </c>
      <c r="AH588" s="43" t="str">
        <f ca="1">IFERROR(__xludf.DUMMYFUNCTION("IFERROR(VLOOKUP(E611&amp;F611,IMPORTRANGE(""https://docs.google.com/spreadsheets/d/1Uw7-A9f9R21vMXxHZFNpYNeKFtG8_yji4HS352LGlSQ/edit?pli=1#gid=0"",""1_ACUM!A4:S""),17,FALSE))"),"")</f>
        <v/>
      </c>
      <c r="AI588" s="44" t="str">
        <f ca="1">IFERROR(__xludf.DUMMYFUNCTION("IFERROR(VLOOKUP(E611&amp;F611,IMPORTRANGE(""https://docs.google.com/spreadsheets/d/1Uw7-A9f9R21vMXxHZFNpYNeKFtG8_yji4HS352LGlSQ/edit?pli=1#gid=0"",""1_ACUM!A4:S""),18,FALSE))"),"")</f>
        <v/>
      </c>
      <c r="AJ588" s="44" t="str">
        <f ca="1">IFERROR(__xludf.DUMMYFUNCTION("IFERROR(VLOOKUP(E611&amp;F611,IMPORTRANGE(""https://docs.google.com/spreadsheets/d/1Uw7-A9f9R21vMXxHZFNpYNeKFtG8_yji4HS352LGlSQ/edit?pli=1#gid=0"",""1_ACUM!A4:S""),19,FALSE))"),"")</f>
        <v/>
      </c>
      <c r="AK588" s="98" t="str">
        <f ca="1">IFERROR(__xludf.DUMMYFUNCTION("IFERROR(VLOOKUP(F611,IMPORTRANGE(""https://docs.google.com/spreadsheets/d/1Kvs4KS76FHFqLFIZfrDMff4kP08nblUkihrxltoGBjg/edit#gid=934712705"",""ESENCIAL!A6:BG""),5,FALSE))"),"")</f>
        <v/>
      </c>
      <c r="AL588" s="98" t="str">
        <f t="shared" si="38"/>
        <v/>
      </c>
      <c r="AM588" s="99" t="str">
        <f t="shared" si="39"/>
        <v/>
      </c>
      <c r="AN588" s="100" t="str">
        <f ca="1">IFERROR(__xludf.DUMMYFUNCTION("IFERROR(VLOOKUP(F611,IMPORTRANGE(""https://docs.google.com/spreadsheets/d/1Kvs4KS76FHFqLFIZfrDMff4kP08nblUkihrxltoGBjg/edit#gid=934712705"",""ESENCIAL!A6:BG""),2,FALSE))"),"")</f>
        <v/>
      </c>
      <c r="AO588" s="19" t="str">
        <f t="shared" si="33"/>
        <v/>
      </c>
      <c r="AP588" s="100"/>
      <c r="AQ588" s="100"/>
    </row>
    <row r="589" spans="1:43" ht="15">
      <c r="A589" s="5"/>
      <c r="B589" s="5"/>
      <c r="G589" s="5" t="str">
        <f ca="1">IFERROR(__xludf.DUMMYFUNCTION("IFERROR(VLOOKUP(F612,IMPORTRANGE(""https://docs.google.com/spreadsheets/d/1Kvs4KS76FHFqLFIZfrDMff4kP08nblUkihrxltoGBjg/edit#gid=934712705"",""ESENCIAL!A6:BG""),3,FALSE))"),"")</f>
        <v/>
      </c>
      <c r="H589" s="5" t="str">
        <f ca="1">IFERROR(__xludf.DUMMYFUNCTION("IFERROR(VLOOKUP(F612,IMPORTRANGE(""https://docs.google.com/spreadsheets/d/1Kvs4KS76FHFqLFIZfrDMff4kP08nblUkihrxltoGBjg/edit#gid=934712705"",""ESENCIAL!A6:BG""),8,FALSE))"),"")</f>
        <v/>
      </c>
      <c r="L589" s="287"/>
      <c r="Z589" s="41" t="str">
        <f t="shared" si="37"/>
        <v/>
      </c>
      <c r="AA589" s="5" t="str">
        <f ca="1">IFERROR(__xludf.DUMMYFUNCTION("IFERROR(VLOOKUP(E612&amp;F612,IMPORTRANGE(""https://docs.google.com/spreadsheets/d/1Uw7-A9f9R21vMXxHZFNpYNeKFtG8_yji4HS352LGlSQ/edit?pli=1#gid=0"",""1_ACUM!A4:S""),11,FALSE))"),"")</f>
        <v/>
      </c>
      <c r="AB589" s="42" t="str">
        <f ca="1">IFERROR(__xludf.DUMMYFUNCTION("IFERROR(VLOOKUP(F612,IMPORTRANGE(""https://docs.google.com/spreadsheets/d/1Kvs4KS76FHFqLFIZfrDMff4kP08nblUkihrxltoGBjg/edit#gid=934712705"",""ESENCIAL!A6:BG""),15,FALSE))"),"")</f>
        <v/>
      </c>
      <c r="AC589" s="110" t="str">
        <f ca="1">IFERROR(__xludf.DUMMYFUNCTION("IFERROR(VLOOKUP(E612&amp;F612,IMPORTRANGE(""https://docs.google.com/spreadsheets/d/1Uw7-A9f9R21vMXxHZFNpYNeKFtG8_yji4HS352LGlSQ/edit?pli=1#gid=0"",""1_ACUM!A4:S""),13,FALSE))"),"")</f>
        <v/>
      </c>
      <c r="AD589" s="43" t="str">
        <f ca="1">IFERROR(__xludf.DUMMYFUNCTION("IFERROR(VLOOKUP(E612&amp;F612,IMPORTRANGE(""https://docs.google.com/spreadsheets/d/1Uw7-A9f9R21vMXxHZFNpYNeKFtG8_yji4HS352LGlSQ/edit?pli=1#gid=0"",""1_ACUM!A4:S""),13,FALSE))"),"")</f>
        <v/>
      </c>
      <c r="AE589" s="43" t="str">
        <f ca="1">IFERROR(__xludf.DUMMYFUNCTION("IFERROR(VLOOKUP(E612&amp;F612,IMPORTRANGE(""https://docs.google.com/spreadsheets/d/1Uw7-A9f9R21vMXxHZFNpYNeKFtG8_yji4HS352LGlSQ/edit?pli=1#gid=0"",""1_ACUM!A4:S""),14,FALSE))"),"")</f>
        <v/>
      </c>
      <c r="AF589" s="43" t="str">
        <f ca="1">IFERROR(__xludf.DUMMYFUNCTION("IFERROR(VLOOKUP(E612&amp;F612,IMPORTRANGE(""https://docs.google.com/spreadsheets/d/1Uw7-A9f9R21vMXxHZFNpYNeKFtG8_yji4HS352LGlSQ/edit?pli=1#gid=0"",""1_ACUM!A4:S""),15,FALSE))"),"")</f>
        <v/>
      </c>
      <c r="AG589" s="43" t="str">
        <f ca="1">IFERROR(__xludf.DUMMYFUNCTION("IFERROR(VLOOKUP(E612&amp;F612,IMPORTRANGE(""https://docs.google.com/spreadsheets/d/1Uw7-A9f9R21vMXxHZFNpYNeKFtG8_yji4HS352LGlSQ/edit?pli=1#gid=0"",""1_ACUM!A4:S""),16,FALSE))"),"")</f>
        <v/>
      </c>
      <c r="AH589" s="43" t="str">
        <f ca="1">IFERROR(__xludf.DUMMYFUNCTION("IFERROR(VLOOKUP(E612&amp;F612,IMPORTRANGE(""https://docs.google.com/spreadsheets/d/1Uw7-A9f9R21vMXxHZFNpYNeKFtG8_yji4HS352LGlSQ/edit?pli=1#gid=0"",""1_ACUM!A4:S""),17,FALSE))"),"")</f>
        <v/>
      </c>
      <c r="AI589" s="44" t="str">
        <f ca="1">IFERROR(__xludf.DUMMYFUNCTION("IFERROR(VLOOKUP(E612&amp;F612,IMPORTRANGE(""https://docs.google.com/spreadsheets/d/1Uw7-A9f9R21vMXxHZFNpYNeKFtG8_yji4HS352LGlSQ/edit?pli=1#gid=0"",""1_ACUM!A4:S""),18,FALSE))"),"")</f>
        <v/>
      </c>
      <c r="AJ589" s="44" t="str">
        <f ca="1">IFERROR(__xludf.DUMMYFUNCTION("IFERROR(VLOOKUP(E612&amp;F612,IMPORTRANGE(""https://docs.google.com/spreadsheets/d/1Uw7-A9f9R21vMXxHZFNpYNeKFtG8_yji4HS352LGlSQ/edit?pli=1#gid=0"",""1_ACUM!A4:S""),19,FALSE))"),"")</f>
        <v/>
      </c>
      <c r="AK589" s="98" t="str">
        <f ca="1">IFERROR(__xludf.DUMMYFUNCTION("IFERROR(VLOOKUP(F612,IMPORTRANGE(""https://docs.google.com/spreadsheets/d/1Kvs4KS76FHFqLFIZfrDMff4kP08nblUkihrxltoGBjg/edit#gid=934712705"",""ESENCIAL!A6:BG""),5,FALSE))"),"")</f>
        <v/>
      </c>
      <c r="AL589" s="98" t="str">
        <f t="shared" si="38"/>
        <v/>
      </c>
      <c r="AM589" s="99" t="str">
        <f t="shared" si="39"/>
        <v/>
      </c>
      <c r="AN589" s="100" t="str">
        <f ca="1">IFERROR(__xludf.DUMMYFUNCTION("IFERROR(VLOOKUP(F612,IMPORTRANGE(""https://docs.google.com/spreadsheets/d/1Kvs4KS76FHFqLFIZfrDMff4kP08nblUkihrxltoGBjg/edit#gid=934712705"",""ESENCIAL!A6:BG""),2,FALSE))"),"")</f>
        <v/>
      </c>
      <c r="AO589" s="19" t="str">
        <f t="shared" si="33"/>
        <v/>
      </c>
      <c r="AP589" s="100"/>
      <c r="AQ589" s="100"/>
    </row>
    <row r="590" spans="1:43" ht="15">
      <c r="A590" s="5"/>
      <c r="B590" s="5"/>
      <c r="G590" s="5" t="str">
        <f ca="1">IFERROR(__xludf.DUMMYFUNCTION("IFERROR(VLOOKUP(F613,IMPORTRANGE(""https://docs.google.com/spreadsheets/d/1Kvs4KS76FHFqLFIZfrDMff4kP08nblUkihrxltoGBjg/edit#gid=934712705"",""ESENCIAL!A6:BG""),3,FALSE))"),"")</f>
        <v/>
      </c>
      <c r="H590" s="5" t="str">
        <f ca="1">IFERROR(__xludf.DUMMYFUNCTION("IFERROR(VLOOKUP(F613,IMPORTRANGE(""https://docs.google.com/spreadsheets/d/1Kvs4KS76FHFqLFIZfrDMff4kP08nblUkihrxltoGBjg/edit#gid=934712705"",""ESENCIAL!A6:BG""),8,FALSE))"),"")</f>
        <v/>
      </c>
      <c r="L590" s="287"/>
      <c r="Z590" s="41" t="str">
        <f t="shared" si="37"/>
        <v/>
      </c>
      <c r="AA590" s="5" t="str">
        <f ca="1">IFERROR(__xludf.DUMMYFUNCTION("IFERROR(VLOOKUP(E613&amp;F613,IMPORTRANGE(""https://docs.google.com/spreadsheets/d/1Uw7-A9f9R21vMXxHZFNpYNeKFtG8_yji4HS352LGlSQ/edit?pli=1#gid=0"",""1_ACUM!A4:S""),11,FALSE))"),"")</f>
        <v/>
      </c>
      <c r="AB590" s="42" t="str">
        <f ca="1">IFERROR(__xludf.DUMMYFUNCTION("IFERROR(VLOOKUP(F613,IMPORTRANGE(""https://docs.google.com/spreadsheets/d/1Kvs4KS76FHFqLFIZfrDMff4kP08nblUkihrxltoGBjg/edit#gid=934712705"",""ESENCIAL!A6:BG""),15,FALSE))"),"")</f>
        <v/>
      </c>
      <c r="AC590" s="110" t="str">
        <f ca="1">IFERROR(__xludf.DUMMYFUNCTION("IFERROR(VLOOKUP(E613&amp;F613,IMPORTRANGE(""https://docs.google.com/spreadsheets/d/1Uw7-A9f9R21vMXxHZFNpYNeKFtG8_yji4HS352LGlSQ/edit?pli=1#gid=0"",""1_ACUM!A4:S""),13,FALSE))"),"")</f>
        <v/>
      </c>
      <c r="AD590" s="43" t="str">
        <f ca="1">IFERROR(__xludf.DUMMYFUNCTION("IFERROR(VLOOKUP(E613&amp;F613,IMPORTRANGE(""https://docs.google.com/spreadsheets/d/1Uw7-A9f9R21vMXxHZFNpYNeKFtG8_yji4HS352LGlSQ/edit?pli=1#gid=0"",""1_ACUM!A4:S""),13,FALSE))"),"")</f>
        <v/>
      </c>
      <c r="AE590" s="43" t="str">
        <f ca="1">IFERROR(__xludf.DUMMYFUNCTION("IFERROR(VLOOKUP(E613&amp;F613,IMPORTRANGE(""https://docs.google.com/spreadsheets/d/1Uw7-A9f9R21vMXxHZFNpYNeKFtG8_yji4HS352LGlSQ/edit?pli=1#gid=0"",""1_ACUM!A4:S""),14,FALSE))"),"")</f>
        <v/>
      </c>
      <c r="AF590" s="43" t="str">
        <f ca="1">IFERROR(__xludf.DUMMYFUNCTION("IFERROR(VLOOKUP(E613&amp;F613,IMPORTRANGE(""https://docs.google.com/spreadsheets/d/1Uw7-A9f9R21vMXxHZFNpYNeKFtG8_yji4HS352LGlSQ/edit?pli=1#gid=0"",""1_ACUM!A4:S""),15,FALSE))"),"")</f>
        <v/>
      </c>
      <c r="AG590" s="43" t="str">
        <f ca="1">IFERROR(__xludf.DUMMYFUNCTION("IFERROR(VLOOKUP(E613&amp;F613,IMPORTRANGE(""https://docs.google.com/spreadsheets/d/1Uw7-A9f9R21vMXxHZFNpYNeKFtG8_yji4HS352LGlSQ/edit?pli=1#gid=0"",""1_ACUM!A4:S""),16,FALSE))"),"")</f>
        <v/>
      </c>
      <c r="AH590" s="43" t="str">
        <f ca="1">IFERROR(__xludf.DUMMYFUNCTION("IFERROR(VLOOKUP(E613&amp;F613,IMPORTRANGE(""https://docs.google.com/spreadsheets/d/1Uw7-A9f9R21vMXxHZFNpYNeKFtG8_yji4HS352LGlSQ/edit?pli=1#gid=0"",""1_ACUM!A4:S""),17,FALSE))"),"")</f>
        <v/>
      </c>
      <c r="AI590" s="44" t="str">
        <f ca="1">IFERROR(__xludf.DUMMYFUNCTION("IFERROR(VLOOKUP(E613&amp;F613,IMPORTRANGE(""https://docs.google.com/spreadsheets/d/1Uw7-A9f9R21vMXxHZFNpYNeKFtG8_yji4HS352LGlSQ/edit?pli=1#gid=0"",""1_ACUM!A4:S""),18,FALSE))"),"")</f>
        <v/>
      </c>
      <c r="AJ590" s="44" t="str">
        <f ca="1">IFERROR(__xludf.DUMMYFUNCTION("IFERROR(VLOOKUP(E613&amp;F613,IMPORTRANGE(""https://docs.google.com/spreadsheets/d/1Uw7-A9f9R21vMXxHZFNpYNeKFtG8_yji4HS352LGlSQ/edit?pli=1#gid=0"",""1_ACUM!A4:S""),19,FALSE))"),"")</f>
        <v/>
      </c>
      <c r="AK590" s="98" t="str">
        <f ca="1">IFERROR(__xludf.DUMMYFUNCTION("IFERROR(VLOOKUP(F613,IMPORTRANGE(""https://docs.google.com/spreadsheets/d/1Kvs4KS76FHFqLFIZfrDMff4kP08nblUkihrxltoGBjg/edit#gid=934712705"",""ESENCIAL!A6:BG""),5,FALSE))"),"")</f>
        <v/>
      </c>
      <c r="AL590" s="98" t="str">
        <f t="shared" si="38"/>
        <v/>
      </c>
      <c r="AM590" s="99" t="str">
        <f t="shared" si="39"/>
        <v/>
      </c>
      <c r="AN590" s="100" t="str">
        <f ca="1">IFERROR(__xludf.DUMMYFUNCTION("IFERROR(VLOOKUP(F613,IMPORTRANGE(""https://docs.google.com/spreadsheets/d/1Kvs4KS76FHFqLFIZfrDMff4kP08nblUkihrxltoGBjg/edit#gid=934712705"",""ESENCIAL!A6:BG""),2,FALSE))"),"")</f>
        <v/>
      </c>
      <c r="AO590" s="19" t="str">
        <f t="shared" si="33"/>
        <v/>
      </c>
      <c r="AP590" s="100"/>
      <c r="AQ590" s="100"/>
    </row>
    <row r="591" spans="1:43" ht="15">
      <c r="A591" s="5"/>
      <c r="B591" s="5"/>
      <c r="G591" s="5" t="str">
        <f ca="1">IFERROR(__xludf.DUMMYFUNCTION("IFERROR(VLOOKUP(F614,IMPORTRANGE(""https://docs.google.com/spreadsheets/d/1Kvs4KS76FHFqLFIZfrDMff4kP08nblUkihrxltoGBjg/edit#gid=934712705"",""ESENCIAL!A6:BG""),3,FALSE))"),"")</f>
        <v/>
      </c>
      <c r="H591" s="5" t="str">
        <f ca="1">IFERROR(__xludf.DUMMYFUNCTION("IFERROR(VLOOKUP(F614,IMPORTRANGE(""https://docs.google.com/spreadsheets/d/1Kvs4KS76FHFqLFIZfrDMff4kP08nblUkihrxltoGBjg/edit#gid=934712705"",""ESENCIAL!A6:BG""),8,FALSE))"),"")</f>
        <v/>
      </c>
      <c r="L591" s="287"/>
      <c r="Z591" s="41" t="str">
        <f t="shared" si="37"/>
        <v/>
      </c>
      <c r="AA591" s="5" t="str">
        <f ca="1">IFERROR(__xludf.DUMMYFUNCTION("IFERROR(VLOOKUP(E614&amp;F614,IMPORTRANGE(""https://docs.google.com/spreadsheets/d/1Uw7-A9f9R21vMXxHZFNpYNeKFtG8_yji4HS352LGlSQ/edit?pli=1#gid=0"",""1_ACUM!A4:S""),11,FALSE))"),"")</f>
        <v/>
      </c>
      <c r="AB591" s="42" t="str">
        <f ca="1">IFERROR(__xludf.DUMMYFUNCTION("IFERROR(VLOOKUP(F614,IMPORTRANGE(""https://docs.google.com/spreadsheets/d/1Kvs4KS76FHFqLFIZfrDMff4kP08nblUkihrxltoGBjg/edit#gid=934712705"",""ESENCIAL!A6:BG""),15,FALSE))"),"")</f>
        <v/>
      </c>
      <c r="AC591" s="110" t="str">
        <f ca="1">IFERROR(__xludf.DUMMYFUNCTION("IFERROR(VLOOKUP(E614&amp;F614,IMPORTRANGE(""https://docs.google.com/spreadsheets/d/1Uw7-A9f9R21vMXxHZFNpYNeKFtG8_yji4HS352LGlSQ/edit?pli=1#gid=0"",""1_ACUM!A4:S""),13,FALSE))"),"")</f>
        <v/>
      </c>
      <c r="AD591" s="43" t="str">
        <f ca="1">IFERROR(__xludf.DUMMYFUNCTION("IFERROR(VLOOKUP(E614&amp;F614,IMPORTRANGE(""https://docs.google.com/spreadsheets/d/1Uw7-A9f9R21vMXxHZFNpYNeKFtG8_yji4HS352LGlSQ/edit?pli=1#gid=0"",""1_ACUM!A4:S""),13,FALSE))"),"")</f>
        <v/>
      </c>
      <c r="AE591" s="43" t="str">
        <f ca="1">IFERROR(__xludf.DUMMYFUNCTION("IFERROR(VLOOKUP(E614&amp;F614,IMPORTRANGE(""https://docs.google.com/spreadsheets/d/1Uw7-A9f9R21vMXxHZFNpYNeKFtG8_yji4HS352LGlSQ/edit?pli=1#gid=0"",""1_ACUM!A4:S""),14,FALSE))"),"")</f>
        <v/>
      </c>
      <c r="AF591" s="43" t="str">
        <f ca="1">IFERROR(__xludf.DUMMYFUNCTION("IFERROR(VLOOKUP(E614&amp;F614,IMPORTRANGE(""https://docs.google.com/spreadsheets/d/1Uw7-A9f9R21vMXxHZFNpYNeKFtG8_yji4HS352LGlSQ/edit?pli=1#gid=0"",""1_ACUM!A4:S""),15,FALSE))"),"")</f>
        <v/>
      </c>
      <c r="AG591" s="43" t="str">
        <f ca="1">IFERROR(__xludf.DUMMYFUNCTION("IFERROR(VLOOKUP(E614&amp;F614,IMPORTRANGE(""https://docs.google.com/spreadsheets/d/1Uw7-A9f9R21vMXxHZFNpYNeKFtG8_yji4HS352LGlSQ/edit?pli=1#gid=0"",""1_ACUM!A4:S""),16,FALSE))"),"")</f>
        <v/>
      </c>
      <c r="AH591" s="43" t="str">
        <f ca="1">IFERROR(__xludf.DUMMYFUNCTION("IFERROR(VLOOKUP(E614&amp;F614,IMPORTRANGE(""https://docs.google.com/spreadsheets/d/1Uw7-A9f9R21vMXxHZFNpYNeKFtG8_yji4HS352LGlSQ/edit?pli=1#gid=0"",""1_ACUM!A4:S""),17,FALSE))"),"")</f>
        <v/>
      </c>
      <c r="AI591" s="44" t="str">
        <f ca="1">IFERROR(__xludf.DUMMYFUNCTION("IFERROR(VLOOKUP(E614&amp;F614,IMPORTRANGE(""https://docs.google.com/spreadsheets/d/1Uw7-A9f9R21vMXxHZFNpYNeKFtG8_yji4HS352LGlSQ/edit?pli=1#gid=0"",""1_ACUM!A4:S""),18,FALSE))"),"")</f>
        <v/>
      </c>
      <c r="AJ591" s="44" t="str">
        <f ca="1">IFERROR(__xludf.DUMMYFUNCTION("IFERROR(VLOOKUP(E614&amp;F614,IMPORTRANGE(""https://docs.google.com/spreadsheets/d/1Uw7-A9f9R21vMXxHZFNpYNeKFtG8_yji4HS352LGlSQ/edit?pli=1#gid=0"",""1_ACUM!A4:S""),19,FALSE))"),"")</f>
        <v/>
      </c>
      <c r="AK591" s="98" t="str">
        <f ca="1">IFERROR(__xludf.DUMMYFUNCTION("IFERROR(VLOOKUP(F614,IMPORTRANGE(""https://docs.google.com/spreadsheets/d/1Kvs4KS76FHFqLFIZfrDMff4kP08nblUkihrxltoGBjg/edit#gid=934712705"",""ESENCIAL!A6:BG""),5,FALSE))"),"")</f>
        <v/>
      </c>
      <c r="AL591" s="98" t="str">
        <f t="shared" si="38"/>
        <v/>
      </c>
      <c r="AM591" s="99" t="str">
        <f t="shared" si="39"/>
        <v/>
      </c>
      <c r="AN591" s="100" t="str">
        <f ca="1">IFERROR(__xludf.DUMMYFUNCTION("IFERROR(VLOOKUP(F614,IMPORTRANGE(""https://docs.google.com/spreadsheets/d/1Kvs4KS76FHFqLFIZfrDMff4kP08nblUkihrxltoGBjg/edit#gid=934712705"",""ESENCIAL!A6:BG""),2,FALSE))"),"")</f>
        <v/>
      </c>
      <c r="AO591" s="19" t="str">
        <f t="shared" si="33"/>
        <v/>
      </c>
      <c r="AP591" s="100"/>
      <c r="AQ591" s="100"/>
    </row>
    <row r="592" spans="1:43" ht="15">
      <c r="A592" s="5"/>
      <c r="B592" s="5"/>
      <c r="G592" s="5" t="str">
        <f ca="1">IFERROR(__xludf.DUMMYFUNCTION("IFERROR(VLOOKUP(F615,IMPORTRANGE(""https://docs.google.com/spreadsheets/d/1Kvs4KS76FHFqLFIZfrDMff4kP08nblUkihrxltoGBjg/edit#gid=934712705"",""ESENCIAL!A6:BG""),3,FALSE))"),"")</f>
        <v/>
      </c>
      <c r="H592" s="5" t="str">
        <f ca="1">IFERROR(__xludf.DUMMYFUNCTION("IFERROR(VLOOKUP(F615,IMPORTRANGE(""https://docs.google.com/spreadsheets/d/1Kvs4KS76FHFqLFIZfrDMff4kP08nblUkihrxltoGBjg/edit#gid=934712705"",""ESENCIAL!A6:BG""),8,FALSE))"),"")</f>
        <v/>
      </c>
      <c r="L592" s="287"/>
      <c r="Z592" s="41" t="str">
        <f t="shared" si="37"/>
        <v/>
      </c>
      <c r="AA592" s="5" t="str">
        <f ca="1">IFERROR(__xludf.DUMMYFUNCTION("IFERROR(VLOOKUP(E615&amp;F615,IMPORTRANGE(""https://docs.google.com/spreadsheets/d/1Uw7-A9f9R21vMXxHZFNpYNeKFtG8_yji4HS352LGlSQ/edit?pli=1#gid=0"",""1_ACUM!A4:S""),11,FALSE))"),"")</f>
        <v/>
      </c>
      <c r="AB592" s="42" t="str">
        <f ca="1">IFERROR(__xludf.DUMMYFUNCTION("IFERROR(VLOOKUP(F615,IMPORTRANGE(""https://docs.google.com/spreadsheets/d/1Kvs4KS76FHFqLFIZfrDMff4kP08nblUkihrxltoGBjg/edit#gid=934712705"",""ESENCIAL!A6:BG""),15,FALSE))"),"")</f>
        <v/>
      </c>
      <c r="AC592" s="110" t="str">
        <f ca="1">IFERROR(__xludf.DUMMYFUNCTION("IFERROR(VLOOKUP(E615&amp;F615,IMPORTRANGE(""https://docs.google.com/spreadsheets/d/1Uw7-A9f9R21vMXxHZFNpYNeKFtG8_yji4HS352LGlSQ/edit?pli=1#gid=0"",""1_ACUM!A4:S""),13,FALSE))"),"")</f>
        <v/>
      </c>
      <c r="AD592" s="43" t="str">
        <f ca="1">IFERROR(__xludf.DUMMYFUNCTION("IFERROR(VLOOKUP(E615&amp;F615,IMPORTRANGE(""https://docs.google.com/spreadsheets/d/1Uw7-A9f9R21vMXxHZFNpYNeKFtG8_yji4HS352LGlSQ/edit?pli=1#gid=0"",""1_ACUM!A4:S""),13,FALSE))"),"")</f>
        <v/>
      </c>
      <c r="AE592" s="43" t="str">
        <f ca="1">IFERROR(__xludf.DUMMYFUNCTION("IFERROR(VLOOKUP(E615&amp;F615,IMPORTRANGE(""https://docs.google.com/spreadsheets/d/1Uw7-A9f9R21vMXxHZFNpYNeKFtG8_yji4HS352LGlSQ/edit?pli=1#gid=0"",""1_ACUM!A4:S""),14,FALSE))"),"")</f>
        <v/>
      </c>
      <c r="AF592" s="43" t="str">
        <f ca="1">IFERROR(__xludf.DUMMYFUNCTION("IFERROR(VLOOKUP(E615&amp;F615,IMPORTRANGE(""https://docs.google.com/spreadsheets/d/1Uw7-A9f9R21vMXxHZFNpYNeKFtG8_yji4HS352LGlSQ/edit?pli=1#gid=0"",""1_ACUM!A4:S""),15,FALSE))"),"")</f>
        <v/>
      </c>
      <c r="AG592" s="43" t="str">
        <f ca="1">IFERROR(__xludf.DUMMYFUNCTION("IFERROR(VLOOKUP(E615&amp;F615,IMPORTRANGE(""https://docs.google.com/spreadsheets/d/1Uw7-A9f9R21vMXxHZFNpYNeKFtG8_yji4HS352LGlSQ/edit?pli=1#gid=0"",""1_ACUM!A4:S""),16,FALSE))"),"")</f>
        <v/>
      </c>
      <c r="AH592" s="43" t="str">
        <f ca="1">IFERROR(__xludf.DUMMYFUNCTION("IFERROR(VLOOKUP(E615&amp;F615,IMPORTRANGE(""https://docs.google.com/spreadsheets/d/1Uw7-A9f9R21vMXxHZFNpYNeKFtG8_yji4HS352LGlSQ/edit?pli=1#gid=0"",""1_ACUM!A4:S""),17,FALSE))"),"")</f>
        <v/>
      </c>
      <c r="AI592" s="44" t="str">
        <f ca="1">IFERROR(__xludf.DUMMYFUNCTION("IFERROR(VLOOKUP(E615&amp;F615,IMPORTRANGE(""https://docs.google.com/spreadsheets/d/1Uw7-A9f9R21vMXxHZFNpYNeKFtG8_yji4HS352LGlSQ/edit?pli=1#gid=0"",""1_ACUM!A4:S""),18,FALSE))"),"")</f>
        <v/>
      </c>
      <c r="AJ592" s="44" t="str">
        <f ca="1">IFERROR(__xludf.DUMMYFUNCTION("IFERROR(VLOOKUP(E615&amp;F615,IMPORTRANGE(""https://docs.google.com/spreadsheets/d/1Uw7-A9f9R21vMXxHZFNpYNeKFtG8_yji4HS352LGlSQ/edit?pli=1#gid=0"",""1_ACUM!A4:S""),19,FALSE))"),"")</f>
        <v/>
      </c>
      <c r="AK592" s="98" t="str">
        <f ca="1">IFERROR(__xludf.DUMMYFUNCTION("IFERROR(VLOOKUP(F615,IMPORTRANGE(""https://docs.google.com/spreadsheets/d/1Kvs4KS76FHFqLFIZfrDMff4kP08nblUkihrxltoGBjg/edit#gid=934712705"",""ESENCIAL!A6:BG""),5,FALSE))"),"")</f>
        <v/>
      </c>
      <c r="AL592" s="98" t="str">
        <f t="shared" si="38"/>
        <v/>
      </c>
      <c r="AM592" s="99" t="str">
        <f t="shared" si="39"/>
        <v/>
      </c>
      <c r="AN592" s="100" t="str">
        <f ca="1">IFERROR(__xludf.DUMMYFUNCTION("IFERROR(VLOOKUP(F615,IMPORTRANGE(""https://docs.google.com/spreadsheets/d/1Kvs4KS76FHFqLFIZfrDMff4kP08nblUkihrxltoGBjg/edit#gid=934712705"",""ESENCIAL!A6:BG""),2,FALSE))"),"")</f>
        <v/>
      </c>
      <c r="AO592" s="19" t="str">
        <f t="shared" si="33"/>
        <v/>
      </c>
      <c r="AP592" s="100"/>
      <c r="AQ592" s="100"/>
    </row>
    <row r="593" spans="1:43" ht="15">
      <c r="A593" s="5"/>
      <c r="B593" s="5"/>
      <c r="G593" s="5" t="str">
        <f ca="1">IFERROR(__xludf.DUMMYFUNCTION("IFERROR(VLOOKUP(F616,IMPORTRANGE(""https://docs.google.com/spreadsheets/d/1Kvs4KS76FHFqLFIZfrDMff4kP08nblUkihrxltoGBjg/edit#gid=934712705"",""ESENCIAL!A6:BG""),3,FALSE))"),"")</f>
        <v/>
      </c>
      <c r="H593" s="5" t="str">
        <f ca="1">IFERROR(__xludf.DUMMYFUNCTION("IFERROR(VLOOKUP(F616,IMPORTRANGE(""https://docs.google.com/spreadsheets/d/1Kvs4KS76FHFqLFIZfrDMff4kP08nblUkihrxltoGBjg/edit#gid=934712705"",""ESENCIAL!A6:BG""),8,FALSE))"),"")</f>
        <v/>
      </c>
      <c r="L593" s="287"/>
      <c r="Z593" s="41" t="str">
        <f t="shared" si="37"/>
        <v/>
      </c>
      <c r="AA593" s="5" t="str">
        <f ca="1">IFERROR(__xludf.DUMMYFUNCTION("IFERROR(VLOOKUP(E616&amp;F616,IMPORTRANGE(""https://docs.google.com/spreadsheets/d/1Uw7-A9f9R21vMXxHZFNpYNeKFtG8_yji4HS352LGlSQ/edit?pli=1#gid=0"",""1_ACUM!A4:S""),11,FALSE))"),"")</f>
        <v/>
      </c>
      <c r="AB593" s="42" t="str">
        <f ca="1">IFERROR(__xludf.DUMMYFUNCTION("IFERROR(VLOOKUP(F616,IMPORTRANGE(""https://docs.google.com/spreadsheets/d/1Kvs4KS76FHFqLFIZfrDMff4kP08nblUkihrxltoGBjg/edit#gid=934712705"",""ESENCIAL!A6:BG""),15,FALSE))"),"")</f>
        <v/>
      </c>
      <c r="AC593" s="110" t="str">
        <f ca="1">IFERROR(__xludf.DUMMYFUNCTION("IFERROR(VLOOKUP(E616&amp;F616,IMPORTRANGE(""https://docs.google.com/spreadsheets/d/1Uw7-A9f9R21vMXxHZFNpYNeKFtG8_yji4HS352LGlSQ/edit?pli=1#gid=0"",""1_ACUM!A4:S""),13,FALSE))"),"")</f>
        <v/>
      </c>
      <c r="AD593" s="43" t="str">
        <f ca="1">IFERROR(__xludf.DUMMYFUNCTION("IFERROR(VLOOKUP(E616&amp;F616,IMPORTRANGE(""https://docs.google.com/spreadsheets/d/1Uw7-A9f9R21vMXxHZFNpYNeKFtG8_yji4HS352LGlSQ/edit?pli=1#gid=0"",""1_ACUM!A4:S""),13,FALSE))"),"")</f>
        <v/>
      </c>
      <c r="AE593" s="43" t="str">
        <f ca="1">IFERROR(__xludf.DUMMYFUNCTION("IFERROR(VLOOKUP(E616&amp;F616,IMPORTRANGE(""https://docs.google.com/spreadsheets/d/1Uw7-A9f9R21vMXxHZFNpYNeKFtG8_yji4HS352LGlSQ/edit?pli=1#gid=0"",""1_ACUM!A4:S""),14,FALSE))"),"")</f>
        <v/>
      </c>
      <c r="AF593" s="43" t="str">
        <f ca="1">IFERROR(__xludf.DUMMYFUNCTION("IFERROR(VLOOKUP(E616&amp;F616,IMPORTRANGE(""https://docs.google.com/spreadsheets/d/1Uw7-A9f9R21vMXxHZFNpYNeKFtG8_yji4HS352LGlSQ/edit?pli=1#gid=0"",""1_ACUM!A4:S""),15,FALSE))"),"")</f>
        <v/>
      </c>
      <c r="AG593" s="43" t="str">
        <f ca="1">IFERROR(__xludf.DUMMYFUNCTION("IFERROR(VLOOKUP(E616&amp;F616,IMPORTRANGE(""https://docs.google.com/spreadsheets/d/1Uw7-A9f9R21vMXxHZFNpYNeKFtG8_yji4HS352LGlSQ/edit?pli=1#gid=0"",""1_ACUM!A4:S""),16,FALSE))"),"")</f>
        <v/>
      </c>
      <c r="AH593" s="43" t="str">
        <f ca="1">IFERROR(__xludf.DUMMYFUNCTION("IFERROR(VLOOKUP(E616&amp;F616,IMPORTRANGE(""https://docs.google.com/spreadsheets/d/1Uw7-A9f9R21vMXxHZFNpYNeKFtG8_yji4HS352LGlSQ/edit?pli=1#gid=0"",""1_ACUM!A4:S""),17,FALSE))"),"")</f>
        <v/>
      </c>
      <c r="AI593" s="44" t="str">
        <f ca="1">IFERROR(__xludf.DUMMYFUNCTION("IFERROR(VLOOKUP(E616&amp;F616,IMPORTRANGE(""https://docs.google.com/spreadsheets/d/1Uw7-A9f9R21vMXxHZFNpYNeKFtG8_yji4HS352LGlSQ/edit?pli=1#gid=0"",""1_ACUM!A4:S""),18,FALSE))"),"")</f>
        <v/>
      </c>
      <c r="AJ593" s="44" t="str">
        <f ca="1">IFERROR(__xludf.DUMMYFUNCTION("IFERROR(VLOOKUP(E616&amp;F616,IMPORTRANGE(""https://docs.google.com/spreadsheets/d/1Uw7-A9f9R21vMXxHZFNpYNeKFtG8_yji4HS352LGlSQ/edit?pli=1#gid=0"",""1_ACUM!A4:S""),19,FALSE))"),"")</f>
        <v/>
      </c>
      <c r="AK593" s="98" t="str">
        <f ca="1">IFERROR(__xludf.DUMMYFUNCTION("IFERROR(VLOOKUP(F616,IMPORTRANGE(""https://docs.google.com/spreadsheets/d/1Kvs4KS76FHFqLFIZfrDMff4kP08nblUkihrxltoGBjg/edit#gid=934712705"",""ESENCIAL!A6:BG""),5,FALSE))"),"")</f>
        <v/>
      </c>
      <c r="AL593" s="98" t="str">
        <f t="shared" si="38"/>
        <v/>
      </c>
      <c r="AM593" s="99" t="str">
        <f t="shared" si="39"/>
        <v/>
      </c>
      <c r="AN593" s="100" t="str">
        <f ca="1">IFERROR(__xludf.DUMMYFUNCTION("IFERROR(VLOOKUP(F616,IMPORTRANGE(""https://docs.google.com/spreadsheets/d/1Kvs4KS76FHFqLFIZfrDMff4kP08nblUkihrxltoGBjg/edit#gid=934712705"",""ESENCIAL!A6:BG""),2,FALSE))"),"")</f>
        <v/>
      </c>
      <c r="AO593" s="19" t="str">
        <f t="shared" si="33"/>
        <v/>
      </c>
      <c r="AP593" s="100"/>
      <c r="AQ593" s="100"/>
    </row>
    <row r="594" spans="1:43" ht="15">
      <c r="A594" s="5"/>
      <c r="B594" s="5"/>
      <c r="G594" s="5" t="str">
        <f ca="1">IFERROR(__xludf.DUMMYFUNCTION("IFERROR(VLOOKUP(F617,IMPORTRANGE(""https://docs.google.com/spreadsheets/d/1Kvs4KS76FHFqLFIZfrDMff4kP08nblUkihrxltoGBjg/edit#gid=934712705"",""ESENCIAL!A6:BG""),3,FALSE))"),"")</f>
        <v/>
      </c>
      <c r="H594" s="5" t="str">
        <f ca="1">IFERROR(__xludf.DUMMYFUNCTION("IFERROR(VLOOKUP(F617,IMPORTRANGE(""https://docs.google.com/spreadsheets/d/1Kvs4KS76FHFqLFIZfrDMff4kP08nblUkihrxltoGBjg/edit#gid=934712705"",""ESENCIAL!A6:BG""),8,FALSE))"),"")</f>
        <v/>
      </c>
      <c r="L594" s="287"/>
      <c r="Z594" s="41" t="str">
        <f t="shared" si="37"/>
        <v/>
      </c>
      <c r="AA594" s="5" t="str">
        <f ca="1">IFERROR(__xludf.DUMMYFUNCTION("IFERROR(VLOOKUP(E617&amp;F617,IMPORTRANGE(""https://docs.google.com/spreadsheets/d/1Uw7-A9f9R21vMXxHZFNpYNeKFtG8_yji4HS352LGlSQ/edit?pli=1#gid=0"",""1_ACUM!A4:S""),11,FALSE))"),"")</f>
        <v/>
      </c>
      <c r="AB594" s="42" t="str">
        <f ca="1">IFERROR(__xludf.DUMMYFUNCTION("IFERROR(VLOOKUP(F617,IMPORTRANGE(""https://docs.google.com/spreadsheets/d/1Kvs4KS76FHFqLFIZfrDMff4kP08nblUkihrxltoGBjg/edit#gid=934712705"",""ESENCIAL!A6:BG""),15,FALSE))"),"")</f>
        <v/>
      </c>
      <c r="AC594" s="110" t="str">
        <f ca="1">IFERROR(__xludf.DUMMYFUNCTION("IFERROR(VLOOKUP(E617&amp;F617,IMPORTRANGE(""https://docs.google.com/spreadsheets/d/1Uw7-A9f9R21vMXxHZFNpYNeKFtG8_yji4HS352LGlSQ/edit?pli=1#gid=0"",""1_ACUM!A4:S""),13,FALSE))"),"")</f>
        <v/>
      </c>
      <c r="AD594" s="43" t="str">
        <f ca="1">IFERROR(__xludf.DUMMYFUNCTION("IFERROR(VLOOKUP(E617&amp;F617,IMPORTRANGE(""https://docs.google.com/spreadsheets/d/1Uw7-A9f9R21vMXxHZFNpYNeKFtG8_yji4HS352LGlSQ/edit?pli=1#gid=0"",""1_ACUM!A4:S""),13,FALSE))"),"")</f>
        <v/>
      </c>
      <c r="AE594" s="43" t="str">
        <f ca="1">IFERROR(__xludf.DUMMYFUNCTION("IFERROR(VLOOKUP(E617&amp;F617,IMPORTRANGE(""https://docs.google.com/spreadsheets/d/1Uw7-A9f9R21vMXxHZFNpYNeKFtG8_yji4HS352LGlSQ/edit?pli=1#gid=0"",""1_ACUM!A4:S""),14,FALSE))"),"")</f>
        <v/>
      </c>
      <c r="AF594" s="43" t="str">
        <f ca="1">IFERROR(__xludf.DUMMYFUNCTION("IFERROR(VLOOKUP(E617&amp;F617,IMPORTRANGE(""https://docs.google.com/spreadsheets/d/1Uw7-A9f9R21vMXxHZFNpYNeKFtG8_yji4HS352LGlSQ/edit?pli=1#gid=0"",""1_ACUM!A4:S""),15,FALSE))"),"")</f>
        <v/>
      </c>
      <c r="AG594" s="43" t="str">
        <f ca="1">IFERROR(__xludf.DUMMYFUNCTION("IFERROR(VLOOKUP(E617&amp;F617,IMPORTRANGE(""https://docs.google.com/spreadsheets/d/1Uw7-A9f9R21vMXxHZFNpYNeKFtG8_yji4HS352LGlSQ/edit?pli=1#gid=0"",""1_ACUM!A4:S""),16,FALSE))"),"")</f>
        <v/>
      </c>
      <c r="AH594" s="43" t="str">
        <f ca="1">IFERROR(__xludf.DUMMYFUNCTION("IFERROR(VLOOKUP(E617&amp;F617,IMPORTRANGE(""https://docs.google.com/spreadsheets/d/1Uw7-A9f9R21vMXxHZFNpYNeKFtG8_yji4HS352LGlSQ/edit?pli=1#gid=0"",""1_ACUM!A4:S""),17,FALSE))"),"")</f>
        <v/>
      </c>
      <c r="AI594" s="44" t="str">
        <f ca="1">IFERROR(__xludf.DUMMYFUNCTION("IFERROR(VLOOKUP(E617&amp;F617,IMPORTRANGE(""https://docs.google.com/spreadsheets/d/1Uw7-A9f9R21vMXxHZFNpYNeKFtG8_yji4HS352LGlSQ/edit?pli=1#gid=0"",""1_ACUM!A4:S""),18,FALSE))"),"")</f>
        <v/>
      </c>
      <c r="AJ594" s="44" t="str">
        <f ca="1">IFERROR(__xludf.DUMMYFUNCTION("IFERROR(VLOOKUP(E617&amp;F617,IMPORTRANGE(""https://docs.google.com/spreadsheets/d/1Uw7-A9f9R21vMXxHZFNpYNeKFtG8_yji4HS352LGlSQ/edit?pli=1#gid=0"",""1_ACUM!A4:S""),19,FALSE))"),"")</f>
        <v/>
      </c>
      <c r="AK594" s="98" t="str">
        <f ca="1">IFERROR(__xludf.DUMMYFUNCTION("IFERROR(VLOOKUP(F617,IMPORTRANGE(""https://docs.google.com/spreadsheets/d/1Kvs4KS76FHFqLFIZfrDMff4kP08nblUkihrxltoGBjg/edit#gid=934712705"",""ESENCIAL!A6:BG""),5,FALSE))"),"")</f>
        <v/>
      </c>
      <c r="AL594" s="98" t="str">
        <f t="shared" si="38"/>
        <v/>
      </c>
      <c r="AM594" s="99" t="str">
        <f t="shared" si="39"/>
        <v/>
      </c>
      <c r="AN594" s="100" t="str">
        <f ca="1">IFERROR(__xludf.DUMMYFUNCTION("IFERROR(VLOOKUP(F617,IMPORTRANGE(""https://docs.google.com/spreadsheets/d/1Kvs4KS76FHFqLFIZfrDMff4kP08nblUkihrxltoGBjg/edit#gid=934712705"",""ESENCIAL!A6:BG""),2,FALSE))"),"")</f>
        <v/>
      </c>
      <c r="AO594" s="19" t="str">
        <f t="shared" si="33"/>
        <v/>
      </c>
      <c r="AP594" s="100"/>
      <c r="AQ594" s="100"/>
    </row>
    <row r="595" spans="1:43" ht="15">
      <c r="A595" s="5"/>
      <c r="B595" s="5"/>
      <c r="G595" s="5" t="str">
        <f ca="1">IFERROR(__xludf.DUMMYFUNCTION("IFERROR(VLOOKUP(F618,IMPORTRANGE(""https://docs.google.com/spreadsheets/d/1Kvs4KS76FHFqLFIZfrDMff4kP08nblUkihrxltoGBjg/edit#gid=934712705"",""ESENCIAL!A6:BG""),3,FALSE))"),"")</f>
        <v/>
      </c>
      <c r="H595" s="5" t="str">
        <f ca="1">IFERROR(__xludf.DUMMYFUNCTION("IFERROR(VLOOKUP(F618,IMPORTRANGE(""https://docs.google.com/spreadsheets/d/1Kvs4KS76FHFqLFIZfrDMff4kP08nblUkihrxltoGBjg/edit#gid=934712705"",""ESENCIAL!A6:BG""),8,FALSE))"),"")</f>
        <v/>
      </c>
      <c r="L595" s="287"/>
      <c r="Z595" s="41" t="str">
        <f t="shared" si="37"/>
        <v/>
      </c>
      <c r="AA595" s="5" t="str">
        <f ca="1">IFERROR(__xludf.DUMMYFUNCTION("IFERROR(VLOOKUP(E618&amp;F618,IMPORTRANGE(""https://docs.google.com/spreadsheets/d/1Uw7-A9f9R21vMXxHZFNpYNeKFtG8_yji4HS352LGlSQ/edit?pli=1#gid=0"",""1_ACUM!A4:S""),11,FALSE))"),"")</f>
        <v/>
      </c>
      <c r="AB595" s="42" t="str">
        <f ca="1">IFERROR(__xludf.DUMMYFUNCTION("IFERROR(VLOOKUP(F618,IMPORTRANGE(""https://docs.google.com/spreadsheets/d/1Kvs4KS76FHFqLFIZfrDMff4kP08nblUkihrxltoGBjg/edit#gid=934712705"",""ESENCIAL!A6:BG""),15,FALSE))"),"")</f>
        <v/>
      </c>
      <c r="AC595" s="110" t="str">
        <f ca="1">IFERROR(__xludf.DUMMYFUNCTION("IFERROR(VLOOKUP(E618&amp;F618,IMPORTRANGE(""https://docs.google.com/spreadsheets/d/1Uw7-A9f9R21vMXxHZFNpYNeKFtG8_yji4HS352LGlSQ/edit?pli=1#gid=0"",""1_ACUM!A4:S""),13,FALSE))"),"")</f>
        <v/>
      </c>
      <c r="AD595" s="43" t="str">
        <f ca="1">IFERROR(__xludf.DUMMYFUNCTION("IFERROR(VLOOKUP(E618&amp;F618,IMPORTRANGE(""https://docs.google.com/spreadsheets/d/1Uw7-A9f9R21vMXxHZFNpYNeKFtG8_yji4HS352LGlSQ/edit?pli=1#gid=0"",""1_ACUM!A4:S""),13,FALSE))"),"")</f>
        <v/>
      </c>
      <c r="AE595" s="43" t="str">
        <f ca="1">IFERROR(__xludf.DUMMYFUNCTION("IFERROR(VLOOKUP(E618&amp;F618,IMPORTRANGE(""https://docs.google.com/spreadsheets/d/1Uw7-A9f9R21vMXxHZFNpYNeKFtG8_yji4HS352LGlSQ/edit?pli=1#gid=0"",""1_ACUM!A4:S""),14,FALSE))"),"")</f>
        <v/>
      </c>
      <c r="AF595" s="43" t="str">
        <f ca="1">IFERROR(__xludf.DUMMYFUNCTION("IFERROR(VLOOKUP(E618&amp;F618,IMPORTRANGE(""https://docs.google.com/spreadsheets/d/1Uw7-A9f9R21vMXxHZFNpYNeKFtG8_yji4HS352LGlSQ/edit?pli=1#gid=0"",""1_ACUM!A4:S""),15,FALSE))"),"")</f>
        <v/>
      </c>
      <c r="AG595" s="43" t="str">
        <f ca="1">IFERROR(__xludf.DUMMYFUNCTION("IFERROR(VLOOKUP(E618&amp;F618,IMPORTRANGE(""https://docs.google.com/spreadsheets/d/1Uw7-A9f9R21vMXxHZFNpYNeKFtG8_yji4HS352LGlSQ/edit?pli=1#gid=0"",""1_ACUM!A4:S""),16,FALSE))"),"")</f>
        <v/>
      </c>
      <c r="AH595" s="43" t="str">
        <f ca="1">IFERROR(__xludf.DUMMYFUNCTION("IFERROR(VLOOKUP(E618&amp;F618,IMPORTRANGE(""https://docs.google.com/spreadsheets/d/1Uw7-A9f9R21vMXxHZFNpYNeKFtG8_yji4HS352LGlSQ/edit?pli=1#gid=0"",""1_ACUM!A4:S""),17,FALSE))"),"")</f>
        <v/>
      </c>
      <c r="AI595" s="44" t="str">
        <f ca="1">IFERROR(__xludf.DUMMYFUNCTION("IFERROR(VLOOKUP(E618&amp;F618,IMPORTRANGE(""https://docs.google.com/spreadsheets/d/1Uw7-A9f9R21vMXxHZFNpYNeKFtG8_yji4HS352LGlSQ/edit?pli=1#gid=0"",""1_ACUM!A4:S""),18,FALSE))"),"")</f>
        <v/>
      </c>
      <c r="AJ595" s="44" t="str">
        <f ca="1">IFERROR(__xludf.DUMMYFUNCTION("IFERROR(VLOOKUP(E618&amp;F618,IMPORTRANGE(""https://docs.google.com/spreadsheets/d/1Uw7-A9f9R21vMXxHZFNpYNeKFtG8_yji4HS352LGlSQ/edit?pli=1#gid=0"",""1_ACUM!A4:S""),19,FALSE))"),"")</f>
        <v/>
      </c>
      <c r="AK595" s="98" t="str">
        <f ca="1">IFERROR(__xludf.DUMMYFUNCTION("IFERROR(VLOOKUP(F618,IMPORTRANGE(""https://docs.google.com/spreadsheets/d/1Kvs4KS76FHFqLFIZfrDMff4kP08nblUkihrxltoGBjg/edit#gid=934712705"",""ESENCIAL!A6:BG""),5,FALSE))"),"")</f>
        <v/>
      </c>
      <c r="AL595" s="98" t="str">
        <f t="shared" si="38"/>
        <v/>
      </c>
      <c r="AM595" s="99" t="str">
        <f t="shared" si="39"/>
        <v/>
      </c>
      <c r="AN595" s="100" t="str">
        <f ca="1">IFERROR(__xludf.DUMMYFUNCTION("IFERROR(VLOOKUP(F618,IMPORTRANGE(""https://docs.google.com/spreadsheets/d/1Kvs4KS76FHFqLFIZfrDMff4kP08nblUkihrxltoGBjg/edit#gid=934712705"",""ESENCIAL!A6:BG""),2,FALSE))"),"")</f>
        <v/>
      </c>
      <c r="AO595" s="19" t="str">
        <f t="shared" si="33"/>
        <v/>
      </c>
      <c r="AP595" s="100"/>
      <c r="AQ595" s="100"/>
    </row>
    <row r="596" spans="1:43" ht="15">
      <c r="A596" s="5"/>
      <c r="B596" s="5"/>
      <c r="G596" s="5" t="str">
        <f ca="1">IFERROR(__xludf.DUMMYFUNCTION("IFERROR(VLOOKUP(F619,IMPORTRANGE(""https://docs.google.com/spreadsheets/d/1Kvs4KS76FHFqLFIZfrDMff4kP08nblUkihrxltoGBjg/edit#gid=934712705"",""ESENCIAL!A6:BG""),3,FALSE))"),"")</f>
        <v/>
      </c>
      <c r="H596" s="5" t="str">
        <f ca="1">IFERROR(__xludf.DUMMYFUNCTION("IFERROR(VLOOKUP(F619,IMPORTRANGE(""https://docs.google.com/spreadsheets/d/1Kvs4KS76FHFqLFIZfrDMff4kP08nblUkihrxltoGBjg/edit#gid=934712705"",""ESENCIAL!A6:BG""),8,FALSE))"),"")</f>
        <v/>
      </c>
      <c r="L596" s="287"/>
      <c r="Z596" s="41" t="str">
        <f t="shared" si="37"/>
        <v/>
      </c>
      <c r="AA596" s="5" t="str">
        <f ca="1">IFERROR(__xludf.DUMMYFUNCTION("IFERROR(VLOOKUP(E619&amp;F619,IMPORTRANGE(""https://docs.google.com/spreadsheets/d/1Uw7-A9f9R21vMXxHZFNpYNeKFtG8_yji4HS352LGlSQ/edit?pli=1#gid=0"",""1_ACUM!A4:S""),11,FALSE))"),"")</f>
        <v/>
      </c>
      <c r="AB596" s="42" t="str">
        <f ca="1">IFERROR(__xludf.DUMMYFUNCTION("IFERROR(VLOOKUP(F619,IMPORTRANGE(""https://docs.google.com/spreadsheets/d/1Kvs4KS76FHFqLFIZfrDMff4kP08nblUkihrxltoGBjg/edit#gid=934712705"",""ESENCIAL!A6:BG""),15,FALSE))"),"")</f>
        <v/>
      </c>
      <c r="AC596" s="110" t="str">
        <f ca="1">IFERROR(__xludf.DUMMYFUNCTION("IFERROR(VLOOKUP(E619&amp;F619,IMPORTRANGE(""https://docs.google.com/spreadsheets/d/1Uw7-A9f9R21vMXxHZFNpYNeKFtG8_yji4HS352LGlSQ/edit?pli=1#gid=0"",""1_ACUM!A4:S""),13,FALSE))"),"")</f>
        <v/>
      </c>
      <c r="AD596" s="43" t="str">
        <f ca="1">IFERROR(__xludf.DUMMYFUNCTION("IFERROR(VLOOKUP(E619&amp;F619,IMPORTRANGE(""https://docs.google.com/spreadsheets/d/1Uw7-A9f9R21vMXxHZFNpYNeKFtG8_yji4HS352LGlSQ/edit?pli=1#gid=0"",""1_ACUM!A4:S""),13,FALSE))"),"")</f>
        <v/>
      </c>
      <c r="AE596" s="43" t="str">
        <f ca="1">IFERROR(__xludf.DUMMYFUNCTION("IFERROR(VLOOKUP(E619&amp;F619,IMPORTRANGE(""https://docs.google.com/spreadsheets/d/1Uw7-A9f9R21vMXxHZFNpYNeKFtG8_yji4HS352LGlSQ/edit?pli=1#gid=0"",""1_ACUM!A4:S""),14,FALSE))"),"")</f>
        <v/>
      </c>
      <c r="AF596" s="43" t="str">
        <f ca="1">IFERROR(__xludf.DUMMYFUNCTION("IFERROR(VLOOKUP(E619&amp;F619,IMPORTRANGE(""https://docs.google.com/spreadsheets/d/1Uw7-A9f9R21vMXxHZFNpYNeKFtG8_yji4HS352LGlSQ/edit?pli=1#gid=0"",""1_ACUM!A4:S""),15,FALSE))"),"")</f>
        <v/>
      </c>
      <c r="AG596" s="43" t="str">
        <f ca="1">IFERROR(__xludf.DUMMYFUNCTION("IFERROR(VLOOKUP(E619&amp;F619,IMPORTRANGE(""https://docs.google.com/spreadsheets/d/1Uw7-A9f9R21vMXxHZFNpYNeKFtG8_yji4HS352LGlSQ/edit?pli=1#gid=0"",""1_ACUM!A4:S""),16,FALSE))"),"")</f>
        <v/>
      </c>
      <c r="AH596" s="43" t="str">
        <f ca="1">IFERROR(__xludf.DUMMYFUNCTION("IFERROR(VLOOKUP(E619&amp;F619,IMPORTRANGE(""https://docs.google.com/spreadsheets/d/1Uw7-A9f9R21vMXxHZFNpYNeKFtG8_yji4HS352LGlSQ/edit?pli=1#gid=0"",""1_ACUM!A4:S""),17,FALSE))"),"")</f>
        <v/>
      </c>
      <c r="AI596" s="44" t="str">
        <f ca="1">IFERROR(__xludf.DUMMYFUNCTION("IFERROR(VLOOKUP(E619&amp;F619,IMPORTRANGE(""https://docs.google.com/spreadsheets/d/1Uw7-A9f9R21vMXxHZFNpYNeKFtG8_yji4HS352LGlSQ/edit?pli=1#gid=0"",""1_ACUM!A4:S""),18,FALSE))"),"")</f>
        <v/>
      </c>
      <c r="AJ596" s="44" t="str">
        <f ca="1">IFERROR(__xludf.DUMMYFUNCTION("IFERROR(VLOOKUP(E619&amp;F619,IMPORTRANGE(""https://docs.google.com/spreadsheets/d/1Uw7-A9f9R21vMXxHZFNpYNeKFtG8_yji4HS352LGlSQ/edit?pli=1#gid=0"",""1_ACUM!A4:S""),19,FALSE))"),"")</f>
        <v/>
      </c>
      <c r="AK596" s="98" t="str">
        <f ca="1">IFERROR(__xludf.DUMMYFUNCTION("IFERROR(VLOOKUP(F619,IMPORTRANGE(""https://docs.google.com/spreadsheets/d/1Kvs4KS76FHFqLFIZfrDMff4kP08nblUkihrxltoGBjg/edit#gid=934712705"",""ESENCIAL!A6:BG""),5,FALSE))"),"")</f>
        <v/>
      </c>
      <c r="AL596" s="98" t="str">
        <f t="shared" si="38"/>
        <v/>
      </c>
      <c r="AM596" s="99" t="str">
        <f t="shared" si="39"/>
        <v/>
      </c>
      <c r="AN596" s="100" t="str">
        <f ca="1">IFERROR(__xludf.DUMMYFUNCTION("IFERROR(VLOOKUP(F619,IMPORTRANGE(""https://docs.google.com/spreadsheets/d/1Kvs4KS76FHFqLFIZfrDMff4kP08nblUkihrxltoGBjg/edit#gid=934712705"",""ESENCIAL!A6:BG""),2,FALSE))"),"")</f>
        <v/>
      </c>
      <c r="AO596" s="19" t="str">
        <f t="shared" si="33"/>
        <v/>
      </c>
      <c r="AP596" s="100"/>
      <c r="AQ596" s="100"/>
    </row>
    <row r="597" spans="1:43" ht="15">
      <c r="A597" s="5"/>
      <c r="B597" s="5"/>
      <c r="G597" s="5" t="str">
        <f ca="1">IFERROR(__xludf.DUMMYFUNCTION("IFERROR(VLOOKUP(F620,IMPORTRANGE(""https://docs.google.com/spreadsheets/d/1Kvs4KS76FHFqLFIZfrDMff4kP08nblUkihrxltoGBjg/edit#gid=934712705"",""ESENCIAL!A6:BG""),3,FALSE))"),"")</f>
        <v/>
      </c>
      <c r="H597" s="5" t="str">
        <f ca="1">IFERROR(__xludf.DUMMYFUNCTION("IFERROR(VLOOKUP(F620,IMPORTRANGE(""https://docs.google.com/spreadsheets/d/1Kvs4KS76FHFqLFIZfrDMff4kP08nblUkihrxltoGBjg/edit#gid=934712705"",""ESENCIAL!A6:BG""),8,FALSE))"),"")</f>
        <v/>
      </c>
      <c r="L597" s="287"/>
      <c r="Z597" s="41" t="str">
        <f t="shared" si="37"/>
        <v/>
      </c>
      <c r="AA597" s="5" t="str">
        <f ca="1">IFERROR(__xludf.DUMMYFUNCTION("IFERROR(VLOOKUP(E620&amp;F620,IMPORTRANGE(""https://docs.google.com/spreadsheets/d/1Uw7-A9f9R21vMXxHZFNpYNeKFtG8_yji4HS352LGlSQ/edit?pli=1#gid=0"",""1_ACUM!A4:S""),11,FALSE))"),"")</f>
        <v/>
      </c>
      <c r="AB597" s="42" t="str">
        <f ca="1">IFERROR(__xludf.DUMMYFUNCTION("IFERROR(VLOOKUP(F620,IMPORTRANGE(""https://docs.google.com/spreadsheets/d/1Kvs4KS76FHFqLFIZfrDMff4kP08nblUkihrxltoGBjg/edit#gid=934712705"",""ESENCIAL!A6:BG""),15,FALSE))"),"")</f>
        <v/>
      </c>
      <c r="AC597" s="110" t="str">
        <f ca="1">IFERROR(__xludf.DUMMYFUNCTION("IFERROR(VLOOKUP(E620&amp;F620,IMPORTRANGE(""https://docs.google.com/spreadsheets/d/1Uw7-A9f9R21vMXxHZFNpYNeKFtG8_yji4HS352LGlSQ/edit?pli=1#gid=0"",""1_ACUM!A4:S""),13,FALSE))"),"")</f>
        <v/>
      </c>
      <c r="AD597" s="43" t="str">
        <f ca="1">IFERROR(__xludf.DUMMYFUNCTION("IFERROR(VLOOKUP(E620&amp;F620,IMPORTRANGE(""https://docs.google.com/spreadsheets/d/1Uw7-A9f9R21vMXxHZFNpYNeKFtG8_yji4HS352LGlSQ/edit?pli=1#gid=0"",""1_ACUM!A4:S""),13,FALSE))"),"")</f>
        <v/>
      </c>
      <c r="AE597" s="43" t="str">
        <f ca="1">IFERROR(__xludf.DUMMYFUNCTION("IFERROR(VLOOKUP(E620&amp;F620,IMPORTRANGE(""https://docs.google.com/spreadsheets/d/1Uw7-A9f9R21vMXxHZFNpYNeKFtG8_yji4HS352LGlSQ/edit?pli=1#gid=0"",""1_ACUM!A4:S""),14,FALSE))"),"")</f>
        <v/>
      </c>
      <c r="AF597" s="43" t="str">
        <f ca="1">IFERROR(__xludf.DUMMYFUNCTION("IFERROR(VLOOKUP(E620&amp;F620,IMPORTRANGE(""https://docs.google.com/spreadsheets/d/1Uw7-A9f9R21vMXxHZFNpYNeKFtG8_yji4HS352LGlSQ/edit?pli=1#gid=0"",""1_ACUM!A4:S""),15,FALSE))"),"")</f>
        <v/>
      </c>
      <c r="AG597" s="43" t="str">
        <f ca="1">IFERROR(__xludf.DUMMYFUNCTION("IFERROR(VLOOKUP(E620&amp;F620,IMPORTRANGE(""https://docs.google.com/spreadsheets/d/1Uw7-A9f9R21vMXxHZFNpYNeKFtG8_yji4HS352LGlSQ/edit?pli=1#gid=0"",""1_ACUM!A4:S""),16,FALSE))"),"")</f>
        <v/>
      </c>
      <c r="AH597" s="43" t="str">
        <f ca="1">IFERROR(__xludf.DUMMYFUNCTION("IFERROR(VLOOKUP(E620&amp;F620,IMPORTRANGE(""https://docs.google.com/spreadsheets/d/1Uw7-A9f9R21vMXxHZFNpYNeKFtG8_yji4HS352LGlSQ/edit?pli=1#gid=0"",""1_ACUM!A4:S""),17,FALSE))"),"")</f>
        <v/>
      </c>
      <c r="AI597" s="44" t="str">
        <f ca="1">IFERROR(__xludf.DUMMYFUNCTION("IFERROR(VLOOKUP(E620&amp;F620,IMPORTRANGE(""https://docs.google.com/spreadsheets/d/1Uw7-A9f9R21vMXxHZFNpYNeKFtG8_yji4HS352LGlSQ/edit?pli=1#gid=0"",""1_ACUM!A4:S""),18,FALSE))"),"")</f>
        <v/>
      </c>
      <c r="AJ597" s="44" t="str">
        <f ca="1">IFERROR(__xludf.DUMMYFUNCTION("IFERROR(VLOOKUP(E620&amp;F620,IMPORTRANGE(""https://docs.google.com/spreadsheets/d/1Uw7-A9f9R21vMXxHZFNpYNeKFtG8_yji4HS352LGlSQ/edit?pli=1#gid=0"",""1_ACUM!A4:S""),19,FALSE))"),"")</f>
        <v/>
      </c>
      <c r="AK597" s="98" t="str">
        <f ca="1">IFERROR(__xludf.DUMMYFUNCTION("IFERROR(VLOOKUP(F620,IMPORTRANGE(""https://docs.google.com/spreadsheets/d/1Kvs4KS76FHFqLFIZfrDMff4kP08nblUkihrxltoGBjg/edit#gid=934712705"",""ESENCIAL!A6:BG""),5,FALSE))"),"")</f>
        <v/>
      </c>
      <c r="AL597" s="98" t="str">
        <f t="shared" si="38"/>
        <v/>
      </c>
      <c r="AM597" s="99" t="str">
        <f t="shared" si="39"/>
        <v/>
      </c>
      <c r="AN597" s="100" t="str">
        <f ca="1">IFERROR(__xludf.DUMMYFUNCTION("IFERROR(VLOOKUP(F620,IMPORTRANGE(""https://docs.google.com/spreadsheets/d/1Kvs4KS76FHFqLFIZfrDMff4kP08nblUkihrxltoGBjg/edit#gid=934712705"",""ESENCIAL!A6:BG""),2,FALSE))"),"")</f>
        <v/>
      </c>
      <c r="AO597" s="19" t="str">
        <f t="shared" si="33"/>
        <v/>
      </c>
      <c r="AP597" s="100"/>
      <c r="AQ597" s="100"/>
    </row>
    <row r="598" spans="1:43" ht="15">
      <c r="A598" s="5"/>
      <c r="B598" s="5"/>
      <c r="G598" s="5" t="str">
        <f ca="1">IFERROR(__xludf.DUMMYFUNCTION("IFERROR(VLOOKUP(F621,IMPORTRANGE(""https://docs.google.com/spreadsheets/d/1Kvs4KS76FHFqLFIZfrDMff4kP08nblUkihrxltoGBjg/edit#gid=934712705"",""ESENCIAL!A6:BG""),3,FALSE))"),"")</f>
        <v/>
      </c>
      <c r="H598" s="5" t="str">
        <f ca="1">IFERROR(__xludf.DUMMYFUNCTION("IFERROR(VLOOKUP(F621,IMPORTRANGE(""https://docs.google.com/spreadsheets/d/1Kvs4KS76FHFqLFIZfrDMff4kP08nblUkihrxltoGBjg/edit#gid=934712705"",""ESENCIAL!A6:BG""),8,FALSE))"),"")</f>
        <v/>
      </c>
      <c r="L598" s="287"/>
      <c r="Z598" s="41" t="str">
        <f t="shared" si="37"/>
        <v/>
      </c>
      <c r="AA598" s="5" t="str">
        <f ca="1">IFERROR(__xludf.DUMMYFUNCTION("IFERROR(VLOOKUP(E621&amp;F621,IMPORTRANGE(""https://docs.google.com/spreadsheets/d/1Uw7-A9f9R21vMXxHZFNpYNeKFtG8_yji4HS352LGlSQ/edit?pli=1#gid=0"",""1_ACUM!A4:S""),11,FALSE))"),"")</f>
        <v/>
      </c>
      <c r="AB598" s="42" t="str">
        <f ca="1">IFERROR(__xludf.DUMMYFUNCTION("IFERROR(VLOOKUP(F621,IMPORTRANGE(""https://docs.google.com/spreadsheets/d/1Kvs4KS76FHFqLFIZfrDMff4kP08nblUkihrxltoGBjg/edit#gid=934712705"",""ESENCIAL!A6:BG""),15,FALSE))"),"")</f>
        <v/>
      </c>
      <c r="AC598" s="110" t="str">
        <f ca="1">IFERROR(__xludf.DUMMYFUNCTION("IFERROR(VLOOKUP(E621&amp;F621,IMPORTRANGE(""https://docs.google.com/spreadsheets/d/1Uw7-A9f9R21vMXxHZFNpYNeKFtG8_yji4HS352LGlSQ/edit?pli=1#gid=0"",""1_ACUM!A4:S""),13,FALSE))"),"")</f>
        <v/>
      </c>
      <c r="AD598" s="43" t="str">
        <f ca="1">IFERROR(__xludf.DUMMYFUNCTION("IFERROR(VLOOKUP(E621&amp;F621,IMPORTRANGE(""https://docs.google.com/spreadsheets/d/1Uw7-A9f9R21vMXxHZFNpYNeKFtG8_yji4HS352LGlSQ/edit?pli=1#gid=0"",""1_ACUM!A4:S""),13,FALSE))"),"")</f>
        <v/>
      </c>
      <c r="AE598" s="43" t="str">
        <f ca="1">IFERROR(__xludf.DUMMYFUNCTION("IFERROR(VLOOKUP(E621&amp;F621,IMPORTRANGE(""https://docs.google.com/spreadsheets/d/1Uw7-A9f9R21vMXxHZFNpYNeKFtG8_yji4HS352LGlSQ/edit?pli=1#gid=0"",""1_ACUM!A4:S""),14,FALSE))"),"")</f>
        <v/>
      </c>
      <c r="AF598" s="43" t="str">
        <f ca="1">IFERROR(__xludf.DUMMYFUNCTION("IFERROR(VLOOKUP(E621&amp;F621,IMPORTRANGE(""https://docs.google.com/spreadsheets/d/1Uw7-A9f9R21vMXxHZFNpYNeKFtG8_yji4HS352LGlSQ/edit?pli=1#gid=0"",""1_ACUM!A4:S""),15,FALSE))"),"")</f>
        <v/>
      </c>
      <c r="AG598" s="43" t="str">
        <f ca="1">IFERROR(__xludf.DUMMYFUNCTION("IFERROR(VLOOKUP(E621&amp;F621,IMPORTRANGE(""https://docs.google.com/spreadsheets/d/1Uw7-A9f9R21vMXxHZFNpYNeKFtG8_yji4HS352LGlSQ/edit?pli=1#gid=0"",""1_ACUM!A4:S""),16,FALSE))"),"")</f>
        <v/>
      </c>
      <c r="AH598" s="43" t="str">
        <f ca="1">IFERROR(__xludf.DUMMYFUNCTION("IFERROR(VLOOKUP(E621&amp;F621,IMPORTRANGE(""https://docs.google.com/spreadsheets/d/1Uw7-A9f9R21vMXxHZFNpYNeKFtG8_yji4HS352LGlSQ/edit?pli=1#gid=0"",""1_ACUM!A4:S""),17,FALSE))"),"")</f>
        <v/>
      </c>
      <c r="AI598" s="44" t="str">
        <f ca="1">IFERROR(__xludf.DUMMYFUNCTION("IFERROR(VLOOKUP(E621&amp;F621,IMPORTRANGE(""https://docs.google.com/spreadsheets/d/1Uw7-A9f9R21vMXxHZFNpYNeKFtG8_yji4HS352LGlSQ/edit?pli=1#gid=0"",""1_ACUM!A4:S""),18,FALSE))"),"")</f>
        <v/>
      </c>
      <c r="AJ598" s="44" t="str">
        <f ca="1">IFERROR(__xludf.DUMMYFUNCTION("IFERROR(VLOOKUP(E621&amp;F621,IMPORTRANGE(""https://docs.google.com/spreadsheets/d/1Uw7-A9f9R21vMXxHZFNpYNeKFtG8_yji4HS352LGlSQ/edit?pli=1#gid=0"",""1_ACUM!A4:S""),19,FALSE))"),"")</f>
        <v/>
      </c>
      <c r="AK598" s="98" t="str">
        <f ca="1">IFERROR(__xludf.DUMMYFUNCTION("IFERROR(VLOOKUP(F621,IMPORTRANGE(""https://docs.google.com/spreadsheets/d/1Kvs4KS76FHFqLFIZfrDMff4kP08nblUkihrxltoGBjg/edit#gid=934712705"",""ESENCIAL!A6:BG""),5,FALSE))"),"")</f>
        <v/>
      </c>
      <c r="AL598" s="98" t="str">
        <f t="shared" si="38"/>
        <v/>
      </c>
      <c r="AM598" s="99" t="str">
        <f t="shared" si="39"/>
        <v/>
      </c>
      <c r="AN598" s="100" t="str">
        <f ca="1">IFERROR(__xludf.DUMMYFUNCTION("IFERROR(VLOOKUP(F621,IMPORTRANGE(""https://docs.google.com/spreadsheets/d/1Kvs4KS76FHFqLFIZfrDMff4kP08nblUkihrxltoGBjg/edit#gid=934712705"",""ESENCIAL!A6:BG""),2,FALSE))"),"")</f>
        <v/>
      </c>
      <c r="AO598" s="19" t="str">
        <f t="shared" si="33"/>
        <v/>
      </c>
      <c r="AP598" s="100"/>
      <c r="AQ598" s="100"/>
    </row>
    <row r="599" spans="1:43" ht="15">
      <c r="A599" s="5"/>
      <c r="B599" s="5"/>
      <c r="G599" s="5" t="str">
        <f ca="1">IFERROR(__xludf.DUMMYFUNCTION("IFERROR(VLOOKUP(F622,IMPORTRANGE(""https://docs.google.com/spreadsheets/d/1Kvs4KS76FHFqLFIZfrDMff4kP08nblUkihrxltoGBjg/edit#gid=934712705"",""ESENCIAL!A6:BG""),3,FALSE))"),"")</f>
        <v/>
      </c>
      <c r="H599" s="5" t="str">
        <f ca="1">IFERROR(__xludf.DUMMYFUNCTION("IFERROR(VLOOKUP(F622,IMPORTRANGE(""https://docs.google.com/spreadsheets/d/1Kvs4KS76FHFqLFIZfrDMff4kP08nblUkihrxltoGBjg/edit#gid=934712705"",""ESENCIAL!A6:BG""),8,FALSE))"),"")</f>
        <v/>
      </c>
      <c r="L599" s="287"/>
      <c r="Z599" s="41" t="str">
        <f t="shared" si="37"/>
        <v/>
      </c>
      <c r="AA599" s="5" t="str">
        <f ca="1">IFERROR(__xludf.DUMMYFUNCTION("IFERROR(VLOOKUP(E622&amp;F622,IMPORTRANGE(""https://docs.google.com/spreadsheets/d/1Uw7-A9f9R21vMXxHZFNpYNeKFtG8_yji4HS352LGlSQ/edit?pli=1#gid=0"",""1_ACUM!A4:S""),11,FALSE))"),"")</f>
        <v/>
      </c>
      <c r="AB599" s="42" t="str">
        <f ca="1">IFERROR(__xludf.DUMMYFUNCTION("IFERROR(VLOOKUP(F622,IMPORTRANGE(""https://docs.google.com/spreadsheets/d/1Kvs4KS76FHFqLFIZfrDMff4kP08nblUkihrxltoGBjg/edit#gid=934712705"",""ESENCIAL!A6:BG""),15,FALSE))"),"")</f>
        <v/>
      </c>
      <c r="AC599" s="110" t="str">
        <f ca="1">IFERROR(__xludf.DUMMYFUNCTION("IFERROR(VLOOKUP(E622&amp;F622,IMPORTRANGE(""https://docs.google.com/spreadsheets/d/1Uw7-A9f9R21vMXxHZFNpYNeKFtG8_yji4HS352LGlSQ/edit?pli=1#gid=0"",""1_ACUM!A4:S""),13,FALSE))"),"")</f>
        <v/>
      </c>
      <c r="AD599" s="43" t="str">
        <f ca="1">IFERROR(__xludf.DUMMYFUNCTION("IFERROR(VLOOKUP(E622&amp;F622,IMPORTRANGE(""https://docs.google.com/spreadsheets/d/1Uw7-A9f9R21vMXxHZFNpYNeKFtG8_yji4HS352LGlSQ/edit?pli=1#gid=0"",""1_ACUM!A4:S""),13,FALSE))"),"")</f>
        <v/>
      </c>
      <c r="AE599" s="43" t="str">
        <f ca="1">IFERROR(__xludf.DUMMYFUNCTION("IFERROR(VLOOKUP(E622&amp;F622,IMPORTRANGE(""https://docs.google.com/spreadsheets/d/1Uw7-A9f9R21vMXxHZFNpYNeKFtG8_yji4HS352LGlSQ/edit?pli=1#gid=0"",""1_ACUM!A4:S""),14,FALSE))"),"")</f>
        <v/>
      </c>
      <c r="AF599" s="43" t="str">
        <f ca="1">IFERROR(__xludf.DUMMYFUNCTION("IFERROR(VLOOKUP(E622&amp;F622,IMPORTRANGE(""https://docs.google.com/spreadsheets/d/1Uw7-A9f9R21vMXxHZFNpYNeKFtG8_yji4HS352LGlSQ/edit?pli=1#gid=0"",""1_ACUM!A4:S""),15,FALSE))"),"")</f>
        <v/>
      </c>
      <c r="AG599" s="43" t="str">
        <f ca="1">IFERROR(__xludf.DUMMYFUNCTION("IFERROR(VLOOKUP(E622&amp;F622,IMPORTRANGE(""https://docs.google.com/spreadsheets/d/1Uw7-A9f9R21vMXxHZFNpYNeKFtG8_yji4HS352LGlSQ/edit?pli=1#gid=0"",""1_ACUM!A4:S""),16,FALSE))"),"")</f>
        <v/>
      </c>
      <c r="AH599" s="43" t="str">
        <f ca="1">IFERROR(__xludf.DUMMYFUNCTION("IFERROR(VLOOKUP(E622&amp;F622,IMPORTRANGE(""https://docs.google.com/spreadsheets/d/1Uw7-A9f9R21vMXxHZFNpYNeKFtG8_yji4HS352LGlSQ/edit?pli=1#gid=0"",""1_ACUM!A4:S""),17,FALSE))"),"")</f>
        <v/>
      </c>
      <c r="AI599" s="44" t="str">
        <f ca="1">IFERROR(__xludf.DUMMYFUNCTION("IFERROR(VLOOKUP(E622&amp;F622,IMPORTRANGE(""https://docs.google.com/spreadsheets/d/1Uw7-A9f9R21vMXxHZFNpYNeKFtG8_yji4HS352LGlSQ/edit?pli=1#gid=0"",""1_ACUM!A4:S""),18,FALSE))"),"")</f>
        <v/>
      </c>
      <c r="AJ599" s="44" t="str">
        <f ca="1">IFERROR(__xludf.DUMMYFUNCTION("IFERROR(VLOOKUP(E622&amp;F622,IMPORTRANGE(""https://docs.google.com/spreadsheets/d/1Uw7-A9f9R21vMXxHZFNpYNeKFtG8_yji4HS352LGlSQ/edit?pli=1#gid=0"",""1_ACUM!A4:S""),19,FALSE))"),"")</f>
        <v/>
      </c>
      <c r="AK599" s="98" t="str">
        <f ca="1">IFERROR(__xludf.DUMMYFUNCTION("IFERROR(VLOOKUP(F622,IMPORTRANGE(""https://docs.google.com/spreadsheets/d/1Kvs4KS76FHFqLFIZfrDMff4kP08nblUkihrxltoGBjg/edit#gid=934712705"",""ESENCIAL!A6:BG""),5,FALSE))"),"")</f>
        <v/>
      </c>
      <c r="AL599" s="98" t="str">
        <f t="shared" si="38"/>
        <v/>
      </c>
      <c r="AM599" s="99" t="str">
        <f t="shared" si="39"/>
        <v/>
      </c>
      <c r="AN599" s="100" t="str">
        <f ca="1">IFERROR(__xludf.DUMMYFUNCTION("IFERROR(VLOOKUP(F622,IMPORTRANGE(""https://docs.google.com/spreadsheets/d/1Kvs4KS76FHFqLFIZfrDMff4kP08nblUkihrxltoGBjg/edit#gid=934712705"",""ESENCIAL!A6:BG""),2,FALSE))"),"")</f>
        <v/>
      </c>
      <c r="AO599" s="19" t="str">
        <f t="shared" si="33"/>
        <v/>
      </c>
      <c r="AP599" s="100"/>
      <c r="AQ599" s="100"/>
    </row>
    <row r="600" spans="1:43" ht="15">
      <c r="A600" s="5"/>
      <c r="B600" s="5"/>
      <c r="G600" s="5" t="str">
        <f ca="1">IFERROR(__xludf.DUMMYFUNCTION("IFERROR(VLOOKUP(F623,IMPORTRANGE(""https://docs.google.com/spreadsheets/d/1Kvs4KS76FHFqLFIZfrDMff4kP08nblUkihrxltoGBjg/edit#gid=934712705"",""ESENCIAL!A6:BG""),3,FALSE))"),"")</f>
        <v/>
      </c>
      <c r="H600" s="5" t="str">
        <f ca="1">IFERROR(__xludf.DUMMYFUNCTION("IFERROR(VLOOKUP(F623,IMPORTRANGE(""https://docs.google.com/spreadsheets/d/1Kvs4KS76FHFqLFIZfrDMff4kP08nblUkihrxltoGBjg/edit#gid=934712705"",""ESENCIAL!A6:BG""),8,FALSE))"),"")</f>
        <v/>
      </c>
      <c r="L600" s="287"/>
      <c r="Z600" s="41" t="str">
        <f t="shared" si="37"/>
        <v/>
      </c>
      <c r="AA600" s="5" t="str">
        <f ca="1">IFERROR(__xludf.DUMMYFUNCTION("IFERROR(VLOOKUP(E623&amp;F623,IMPORTRANGE(""https://docs.google.com/spreadsheets/d/1Uw7-A9f9R21vMXxHZFNpYNeKFtG8_yji4HS352LGlSQ/edit?pli=1#gid=0"",""1_ACUM!A4:S""),11,FALSE))"),"")</f>
        <v/>
      </c>
      <c r="AB600" s="42" t="str">
        <f ca="1">IFERROR(__xludf.DUMMYFUNCTION("IFERROR(VLOOKUP(F623,IMPORTRANGE(""https://docs.google.com/spreadsheets/d/1Kvs4KS76FHFqLFIZfrDMff4kP08nblUkihrxltoGBjg/edit#gid=934712705"",""ESENCIAL!A6:BG""),15,FALSE))"),"")</f>
        <v/>
      </c>
      <c r="AC600" s="110" t="str">
        <f ca="1">IFERROR(__xludf.DUMMYFUNCTION("IFERROR(VLOOKUP(E623&amp;F623,IMPORTRANGE(""https://docs.google.com/spreadsheets/d/1Uw7-A9f9R21vMXxHZFNpYNeKFtG8_yji4HS352LGlSQ/edit?pli=1#gid=0"",""1_ACUM!A4:S""),13,FALSE))"),"")</f>
        <v/>
      </c>
      <c r="AD600" s="43" t="str">
        <f ca="1">IFERROR(__xludf.DUMMYFUNCTION("IFERROR(VLOOKUP(E623&amp;F623,IMPORTRANGE(""https://docs.google.com/spreadsheets/d/1Uw7-A9f9R21vMXxHZFNpYNeKFtG8_yji4HS352LGlSQ/edit?pli=1#gid=0"",""1_ACUM!A4:S""),13,FALSE))"),"")</f>
        <v/>
      </c>
      <c r="AE600" s="43" t="str">
        <f ca="1">IFERROR(__xludf.DUMMYFUNCTION("IFERROR(VLOOKUP(E623&amp;F623,IMPORTRANGE(""https://docs.google.com/spreadsheets/d/1Uw7-A9f9R21vMXxHZFNpYNeKFtG8_yji4HS352LGlSQ/edit?pli=1#gid=0"",""1_ACUM!A4:S""),14,FALSE))"),"")</f>
        <v/>
      </c>
      <c r="AF600" s="43" t="str">
        <f ca="1">IFERROR(__xludf.DUMMYFUNCTION("IFERROR(VLOOKUP(E623&amp;F623,IMPORTRANGE(""https://docs.google.com/spreadsheets/d/1Uw7-A9f9R21vMXxHZFNpYNeKFtG8_yji4HS352LGlSQ/edit?pli=1#gid=0"",""1_ACUM!A4:S""),15,FALSE))"),"")</f>
        <v/>
      </c>
      <c r="AG600" s="43" t="str">
        <f ca="1">IFERROR(__xludf.DUMMYFUNCTION("IFERROR(VLOOKUP(E623&amp;F623,IMPORTRANGE(""https://docs.google.com/spreadsheets/d/1Uw7-A9f9R21vMXxHZFNpYNeKFtG8_yji4HS352LGlSQ/edit?pli=1#gid=0"",""1_ACUM!A4:S""),16,FALSE))"),"")</f>
        <v/>
      </c>
      <c r="AH600" s="43" t="str">
        <f ca="1">IFERROR(__xludf.DUMMYFUNCTION("IFERROR(VLOOKUP(E623&amp;F623,IMPORTRANGE(""https://docs.google.com/spreadsheets/d/1Uw7-A9f9R21vMXxHZFNpYNeKFtG8_yji4HS352LGlSQ/edit?pli=1#gid=0"",""1_ACUM!A4:S""),17,FALSE))"),"")</f>
        <v/>
      </c>
      <c r="AI600" s="44" t="str">
        <f ca="1">IFERROR(__xludf.DUMMYFUNCTION("IFERROR(VLOOKUP(E623&amp;F623,IMPORTRANGE(""https://docs.google.com/spreadsheets/d/1Uw7-A9f9R21vMXxHZFNpYNeKFtG8_yji4HS352LGlSQ/edit?pli=1#gid=0"",""1_ACUM!A4:S""),18,FALSE))"),"")</f>
        <v/>
      </c>
      <c r="AJ600" s="44" t="str">
        <f ca="1">IFERROR(__xludf.DUMMYFUNCTION("IFERROR(VLOOKUP(E623&amp;F623,IMPORTRANGE(""https://docs.google.com/spreadsheets/d/1Uw7-A9f9R21vMXxHZFNpYNeKFtG8_yji4HS352LGlSQ/edit?pli=1#gid=0"",""1_ACUM!A4:S""),19,FALSE))"),"")</f>
        <v/>
      </c>
      <c r="AK600" s="98" t="str">
        <f ca="1">IFERROR(__xludf.DUMMYFUNCTION("IFERROR(VLOOKUP(F623,IMPORTRANGE(""https://docs.google.com/spreadsheets/d/1Kvs4KS76FHFqLFIZfrDMff4kP08nblUkihrxltoGBjg/edit#gid=934712705"",""ESENCIAL!A6:BG""),5,FALSE))"),"")</f>
        <v/>
      </c>
      <c r="AL600" s="98" t="str">
        <f t="shared" si="38"/>
        <v/>
      </c>
      <c r="AM600" s="99" t="str">
        <f t="shared" si="39"/>
        <v/>
      </c>
      <c r="AN600" s="100" t="str">
        <f ca="1">IFERROR(__xludf.DUMMYFUNCTION("IFERROR(VLOOKUP(F623,IMPORTRANGE(""https://docs.google.com/spreadsheets/d/1Kvs4KS76FHFqLFIZfrDMff4kP08nblUkihrxltoGBjg/edit#gid=934712705"",""ESENCIAL!A6:BG""),2,FALSE))"),"")</f>
        <v/>
      </c>
      <c r="AO600" s="19" t="str">
        <f t="shared" si="33"/>
        <v/>
      </c>
      <c r="AP600" s="100"/>
      <c r="AQ600" s="100"/>
    </row>
    <row r="601" spans="1:43" ht="15">
      <c r="A601" s="5"/>
      <c r="B601" s="5"/>
      <c r="G601" s="5" t="str">
        <f ca="1">IFERROR(__xludf.DUMMYFUNCTION("IFERROR(VLOOKUP(F624,IMPORTRANGE(""https://docs.google.com/spreadsheets/d/1Kvs4KS76FHFqLFIZfrDMff4kP08nblUkihrxltoGBjg/edit#gid=934712705"",""ESENCIAL!A6:BG""),3,FALSE))"),"")</f>
        <v/>
      </c>
      <c r="H601" s="5" t="str">
        <f ca="1">IFERROR(__xludf.DUMMYFUNCTION("IFERROR(VLOOKUP(F624,IMPORTRANGE(""https://docs.google.com/spreadsheets/d/1Kvs4KS76FHFqLFIZfrDMff4kP08nblUkihrxltoGBjg/edit#gid=934712705"",""ESENCIAL!A6:BG""),8,FALSE))"),"")</f>
        <v/>
      </c>
      <c r="L601" s="287"/>
      <c r="Z601" s="41" t="str">
        <f t="shared" si="37"/>
        <v/>
      </c>
      <c r="AA601" s="5" t="str">
        <f ca="1">IFERROR(__xludf.DUMMYFUNCTION("IFERROR(VLOOKUP(E624&amp;F624,IMPORTRANGE(""https://docs.google.com/spreadsheets/d/1Uw7-A9f9R21vMXxHZFNpYNeKFtG8_yji4HS352LGlSQ/edit?pli=1#gid=0"",""1_ACUM!A4:S""),11,FALSE))"),"")</f>
        <v/>
      </c>
      <c r="AB601" s="42" t="str">
        <f ca="1">IFERROR(__xludf.DUMMYFUNCTION("IFERROR(VLOOKUP(F624,IMPORTRANGE(""https://docs.google.com/spreadsheets/d/1Kvs4KS76FHFqLFIZfrDMff4kP08nblUkihrxltoGBjg/edit#gid=934712705"",""ESENCIAL!A6:BG""),15,FALSE))"),"")</f>
        <v/>
      </c>
      <c r="AC601" s="110" t="str">
        <f ca="1">IFERROR(__xludf.DUMMYFUNCTION("IFERROR(VLOOKUP(E624&amp;F624,IMPORTRANGE(""https://docs.google.com/spreadsheets/d/1Uw7-A9f9R21vMXxHZFNpYNeKFtG8_yji4HS352LGlSQ/edit?pli=1#gid=0"",""1_ACUM!A4:S""),13,FALSE))"),"")</f>
        <v/>
      </c>
      <c r="AD601" s="43" t="str">
        <f ca="1">IFERROR(__xludf.DUMMYFUNCTION("IFERROR(VLOOKUP(E624&amp;F624,IMPORTRANGE(""https://docs.google.com/spreadsheets/d/1Uw7-A9f9R21vMXxHZFNpYNeKFtG8_yji4HS352LGlSQ/edit?pli=1#gid=0"",""1_ACUM!A4:S""),13,FALSE))"),"")</f>
        <v/>
      </c>
      <c r="AE601" s="43" t="str">
        <f ca="1">IFERROR(__xludf.DUMMYFUNCTION("IFERROR(VLOOKUP(E624&amp;F624,IMPORTRANGE(""https://docs.google.com/spreadsheets/d/1Uw7-A9f9R21vMXxHZFNpYNeKFtG8_yji4HS352LGlSQ/edit?pli=1#gid=0"",""1_ACUM!A4:S""),14,FALSE))"),"")</f>
        <v/>
      </c>
      <c r="AF601" s="43" t="str">
        <f ca="1">IFERROR(__xludf.DUMMYFUNCTION("IFERROR(VLOOKUP(E624&amp;F624,IMPORTRANGE(""https://docs.google.com/spreadsheets/d/1Uw7-A9f9R21vMXxHZFNpYNeKFtG8_yji4HS352LGlSQ/edit?pli=1#gid=0"",""1_ACUM!A4:S""),15,FALSE))"),"")</f>
        <v/>
      </c>
      <c r="AG601" s="43" t="str">
        <f ca="1">IFERROR(__xludf.DUMMYFUNCTION("IFERROR(VLOOKUP(E624&amp;F624,IMPORTRANGE(""https://docs.google.com/spreadsheets/d/1Uw7-A9f9R21vMXxHZFNpYNeKFtG8_yji4HS352LGlSQ/edit?pli=1#gid=0"",""1_ACUM!A4:S""),16,FALSE))"),"")</f>
        <v/>
      </c>
      <c r="AH601" s="43" t="str">
        <f ca="1">IFERROR(__xludf.DUMMYFUNCTION("IFERROR(VLOOKUP(E624&amp;F624,IMPORTRANGE(""https://docs.google.com/spreadsheets/d/1Uw7-A9f9R21vMXxHZFNpYNeKFtG8_yji4HS352LGlSQ/edit?pli=1#gid=0"",""1_ACUM!A4:S""),17,FALSE))"),"")</f>
        <v/>
      </c>
      <c r="AI601" s="44" t="str">
        <f ca="1">IFERROR(__xludf.DUMMYFUNCTION("IFERROR(VLOOKUP(E624&amp;F624,IMPORTRANGE(""https://docs.google.com/spreadsheets/d/1Uw7-A9f9R21vMXxHZFNpYNeKFtG8_yji4HS352LGlSQ/edit?pli=1#gid=0"",""1_ACUM!A4:S""),18,FALSE))"),"")</f>
        <v/>
      </c>
      <c r="AJ601" s="44" t="str">
        <f ca="1">IFERROR(__xludf.DUMMYFUNCTION("IFERROR(VLOOKUP(E624&amp;F624,IMPORTRANGE(""https://docs.google.com/spreadsheets/d/1Uw7-A9f9R21vMXxHZFNpYNeKFtG8_yji4HS352LGlSQ/edit?pli=1#gid=0"",""1_ACUM!A4:S""),19,FALSE))"),"")</f>
        <v/>
      </c>
      <c r="AK601" s="98" t="str">
        <f ca="1">IFERROR(__xludf.DUMMYFUNCTION("IFERROR(VLOOKUP(F624,IMPORTRANGE(""https://docs.google.com/spreadsheets/d/1Kvs4KS76FHFqLFIZfrDMff4kP08nblUkihrxltoGBjg/edit#gid=934712705"",""ESENCIAL!A6:BG""),5,FALSE))"),"")</f>
        <v/>
      </c>
      <c r="AL601" s="98" t="str">
        <f t="shared" si="38"/>
        <v/>
      </c>
      <c r="AM601" s="99" t="str">
        <f t="shared" si="39"/>
        <v/>
      </c>
      <c r="AN601" s="100" t="str">
        <f ca="1">IFERROR(__xludf.DUMMYFUNCTION("IFERROR(VLOOKUP(F624,IMPORTRANGE(""https://docs.google.com/spreadsheets/d/1Kvs4KS76FHFqLFIZfrDMff4kP08nblUkihrxltoGBjg/edit#gid=934712705"",""ESENCIAL!A6:BG""),2,FALSE))"),"")</f>
        <v/>
      </c>
      <c r="AO601" s="19" t="str">
        <f t="shared" si="33"/>
        <v/>
      </c>
      <c r="AP601" s="100"/>
      <c r="AQ601" s="100"/>
    </row>
    <row r="602" spans="1:43" ht="15">
      <c r="A602" s="5"/>
      <c r="B602" s="5"/>
      <c r="G602" s="5" t="str">
        <f ca="1">IFERROR(__xludf.DUMMYFUNCTION("IFERROR(VLOOKUP(F625,IMPORTRANGE(""https://docs.google.com/spreadsheets/d/1Kvs4KS76FHFqLFIZfrDMff4kP08nblUkihrxltoGBjg/edit#gid=934712705"",""ESENCIAL!A6:BG""),3,FALSE))"),"")</f>
        <v/>
      </c>
      <c r="H602" s="5" t="str">
        <f ca="1">IFERROR(__xludf.DUMMYFUNCTION("IFERROR(VLOOKUP(F625,IMPORTRANGE(""https://docs.google.com/spreadsheets/d/1Kvs4KS76FHFqLFIZfrDMff4kP08nblUkihrxltoGBjg/edit#gid=934712705"",""ESENCIAL!A6:BG""),8,FALSE))"),"")</f>
        <v/>
      </c>
      <c r="L602" s="287"/>
      <c r="Z602" s="41" t="str">
        <f t="shared" si="37"/>
        <v/>
      </c>
      <c r="AA602" s="5" t="str">
        <f ca="1">IFERROR(__xludf.DUMMYFUNCTION("IFERROR(VLOOKUP(E625&amp;F625,IMPORTRANGE(""https://docs.google.com/spreadsheets/d/1Uw7-A9f9R21vMXxHZFNpYNeKFtG8_yji4HS352LGlSQ/edit?pli=1#gid=0"",""1_ACUM!A4:S""),11,FALSE))"),"")</f>
        <v/>
      </c>
      <c r="AB602" s="42" t="str">
        <f ca="1">IFERROR(__xludf.DUMMYFUNCTION("IFERROR(VLOOKUP(F625,IMPORTRANGE(""https://docs.google.com/spreadsheets/d/1Kvs4KS76FHFqLFIZfrDMff4kP08nblUkihrxltoGBjg/edit#gid=934712705"",""ESENCIAL!A6:BG""),15,FALSE))"),"")</f>
        <v/>
      </c>
      <c r="AC602" s="110" t="str">
        <f ca="1">IFERROR(__xludf.DUMMYFUNCTION("IFERROR(VLOOKUP(E625&amp;F625,IMPORTRANGE(""https://docs.google.com/spreadsheets/d/1Uw7-A9f9R21vMXxHZFNpYNeKFtG8_yji4HS352LGlSQ/edit?pli=1#gid=0"",""1_ACUM!A4:S""),13,FALSE))"),"")</f>
        <v/>
      </c>
      <c r="AD602" s="43" t="str">
        <f ca="1">IFERROR(__xludf.DUMMYFUNCTION("IFERROR(VLOOKUP(E625&amp;F625,IMPORTRANGE(""https://docs.google.com/spreadsheets/d/1Uw7-A9f9R21vMXxHZFNpYNeKFtG8_yji4HS352LGlSQ/edit?pli=1#gid=0"",""1_ACUM!A4:S""),13,FALSE))"),"")</f>
        <v/>
      </c>
      <c r="AE602" s="43" t="str">
        <f ca="1">IFERROR(__xludf.DUMMYFUNCTION("IFERROR(VLOOKUP(E625&amp;F625,IMPORTRANGE(""https://docs.google.com/spreadsheets/d/1Uw7-A9f9R21vMXxHZFNpYNeKFtG8_yji4HS352LGlSQ/edit?pli=1#gid=0"",""1_ACUM!A4:S""),14,FALSE))"),"")</f>
        <v/>
      </c>
      <c r="AF602" s="43" t="str">
        <f ca="1">IFERROR(__xludf.DUMMYFUNCTION("IFERROR(VLOOKUP(E625&amp;F625,IMPORTRANGE(""https://docs.google.com/spreadsheets/d/1Uw7-A9f9R21vMXxHZFNpYNeKFtG8_yji4HS352LGlSQ/edit?pli=1#gid=0"",""1_ACUM!A4:S""),15,FALSE))"),"")</f>
        <v/>
      </c>
      <c r="AG602" s="43" t="str">
        <f ca="1">IFERROR(__xludf.DUMMYFUNCTION("IFERROR(VLOOKUP(E625&amp;F625,IMPORTRANGE(""https://docs.google.com/spreadsheets/d/1Uw7-A9f9R21vMXxHZFNpYNeKFtG8_yji4HS352LGlSQ/edit?pli=1#gid=0"",""1_ACUM!A4:S""),16,FALSE))"),"")</f>
        <v/>
      </c>
      <c r="AH602" s="43" t="str">
        <f ca="1">IFERROR(__xludf.DUMMYFUNCTION("IFERROR(VLOOKUP(E625&amp;F625,IMPORTRANGE(""https://docs.google.com/spreadsheets/d/1Uw7-A9f9R21vMXxHZFNpYNeKFtG8_yji4HS352LGlSQ/edit?pli=1#gid=0"",""1_ACUM!A4:S""),17,FALSE))"),"")</f>
        <v/>
      </c>
      <c r="AI602" s="44" t="str">
        <f ca="1">IFERROR(__xludf.DUMMYFUNCTION("IFERROR(VLOOKUP(E625&amp;F625,IMPORTRANGE(""https://docs.google.com/spreadsheets/d/1Uw7-A9f9R21vMXxHZFNpYNeKFtG8_yji4HS352LGlSQ/edit?pli=1#gid=0"",""1_ACUM!A4:S""),18,FALSE))"),"")</f>
        <v/>
      </c>
      <c r="AJ602" s="44" t="str">
        <f ca="1">IFERROR(__xludf.DUMMYFUNCTION("IFERROR(VLOOKUP(E625&amp;F625,IMPORTRANGE(""https://docs.google.com/spreadsheets/d/1Uw7-A9f9R21vMXxHZFNpYNeKFtG8_yji4HS352LGlSQ/edit?pli=1#gid=0"",""1_ACUM!A4:S""),19,FALSE))"),"")</f>
        <v/>
      </c>
      <c r="AK602" s="98" t="str">
        <f ca="1">IFERROR(__xludf.DUMMYFUNCTION("IFERROR(VLOOKUP(F625,IMPORTRANGE(""https://docs.google.com/spreadsheets/d/1Kvs4KS76FHFqLFIZfrDMff4kP08nblUkihrxltoGBjg/edit#gid=934712705"",""ESENCIAL!A6:BG""),5,FALSE))"),"")</f>
        <v/>
      </c>
      <c r="AL602" s="98" t="str">
        <f t="shared" si="38"/>
        <v/>
      </c>
      <c r="AM602" s="99" t="str">
        <f t="shared" si="39"/>
        <v/>
      </c>
      <c r="AN602" s="100" t="str">
        <f ca="1">IFERROR(__xludf.DUMMYFUNCTION("IFERROR(VLOOKUP(F625,IMPORTRANGE(""https://docs.google.com/spreadsheets/d/1Kvs4KS76FHFqLFIZfrDMff4kP08nblUkihrxltoGBjg/edit#gid=934712705"",""ESENCIAL!A6:BG""),2,FALSE))"),"")</f>
        <v/>
      </c>
      <c r="AO602" s="19" t="str">
        <f t="shared" si="33"/>
        <v/>
      </c>
      <c r="AP602" s="100"/>
      <c r="AQ602" s="100"/>
    </row>
    <row r="603" spans="1:43" ht="15">
      <c r="A603" s="5"/>
      <c r="B603" s="5"/>
      <c r="G603" s="5" t="str">
        <f ca="1">IFERROR(__xludf.DUMMYFUNCTION("IFERROR(VLOOKUP(F626,IMPORTRANGE(""https://docs.google.com/spreadsheets/d/1Kvs4KS76FHFqLFIZfrDMff4kP08nblUkihrxltoGBjg/edit#gid=934712705"",""ESENCIAL!A6:BG""),3,FALSE))"),"")</f>
        <v/>
      </c>
      <c r="H603" s="5" t="str">
        <f ca="1">IFERROR(__xludf.DUMMYFUNCTION("IFERROR(VLOOKUP(F626,IMPORTRANGE(""https://docs.google.com/spreadsheets/d/1Kvs4KS76FHFqLFIZfrDMff4kP08nblUkihrxltoGBjg/edit#gid=934712705"",""ESENCIAL!A6:BG""),8,FALSE))"),"")</f>
        <v/>
      </c>
      <c r="L603" s="287"/>
      <c r="Z603" s="41" t="str">
        <f t="shared" si="37"/>
        <v/>
      </c>
      <c r="AA603" s="5" t="str">
        <f ca="1">IFERROR(__xludf.DUMMYFUNCTION("IFERROR(VLOOKUP(E626&amp;F626,IMPORTRANGE(""https://docs.google.com/spreadsheets/d/1Uw7-A9f9R21vMXxHZFNpYNeKFtG8_yji4HS352LGlSQ/edit?pli=1#gid=0"",""1_ACUM!A4:S""),11,FALSE))"),"")</f>
        <v/>
      </c>
      <c r="AB603" s="42" t="str">
        <f ca="1">IFERROR(__xludf.DUMMYFUNCTION("IFERROR(VLOOKUP(F626,IMPORTRANGE(""https://docs.google.com/spreadsheets/d/1Kvs4KS76FHFqLFIZfrDMff4kP08nblUkihrxltoGBjg/edit#gid=934712705"",""ESENCIAL!A6:BG""),15,FALSE))"),"")</f>
        <v/>
      </c>
      <c r="AC603" s="110" t="str">
        <f ca="1">IFERROR(__xludf.DUMMYFUNCTION("IFERROR(VLOOKUP(E626&amp;F626,IMPORTRANGE(""https://docs.google.com/spreadsheets/d/1Uw7-A9f9R21vMXxHZFNpYNeKFtG8_yji4HS352LGlSQ/edit?pli=1#gid=0"",""1_ACUM!A4:S""),13,FALSE))"),"")</f>
        <v/>
      </c>
      <c r="AD603" s="43" t="str">
        <f ca="1">IFERROR(__xludf.DUMMYFUNCTION("IFERROR(VLOOKUP(E626&amp;F626,IMPORTRANGE(""https://docs.google.com/spreadsheets/d/1Uw7-A9f9R21vMXxHZFNpYNeKFtG8_yji4HS352LGlSQ/edit?pli=1#gid=0"",""1_ACUM!A4:S""),13,FALSE))"),"")</f>
        <v/>
      </c>
      <c r="AE603" s="43" t="str">
        <f ca="1">IFERROR(__xludf.DUMMYFUNCTION("IFERROR(VLOOKUP(E626&amp;F626,IMPORTRANGE(""https://docs.google.com/spreadsheets/d/1Uw7-A9f9R21vMXxHZFNpYNeKFtG8_yji4HS352LGlSQ/edit?pli=1#gid=0"",""1_ACUM!A4:S""),14,FALSE))"),"")</f>
        <v/>
      </c>
      <c r="AF603" s="43" t="str">
        <f ca="1">IFERROR(__xludf.DUMMYFUNCTION("IFERROR(VLOOKUP(E626&amp;F626,IMPORTRANGE(""https://docs.google.com/spreadsheets/d/1Uw7-A9f9R21vMXxHZFNpYNeKFtG8_yji4HS352LGlSQ/edit?pli=1#gid=0"",""1_ACUM!A4:S""),15,FALSE))"),"")</f>
        <v/>
      </c>
      <c r="AG603" s="43" t="str">
        <f ca="1">IFERROR(__xludf.DUMMYFUNCTION("IFERROR(VLOOKUP(E626&amp;F626,IMPORTRANGE(""https://docs.google.com/spreadsheets/d/1Uw7-A9f9R21vMXxHZFNpYNeKFtG8_yji4HS352LGlSQ/edit?pli=1#gid=0"",""1_ACUM!A4:S""),16,FALSE))"),"")</f>
        <v/>
      </c>
      <c r="AH603" s="43" t="str">
        <f ca="1">IFERROR(__xludf.DUMMYFUNCTION("IFERROR(VLOOKUP(E626&amp;F626,IMPORTRANGE(""https://docs.google.com/spreadsheets/d/1Uw7-A9f9R21vMXxHZFNpYNeKFtG8_yji4HS352LGlSQ/edit?pli=1#gid=0"",""1_ACUM!A4:S""),17,FALSE))"),"")</f>
        <v/>
      </c>
      <c r="AI603" s="44" t="str">
        <f ca="1">IFERROR(__xludf.DUMMYFUNCTION("IFERROR(VLOOKUP(E626&amp;F626,IMPORTRANGE(""https://docs.google.com/spreadsheets/d/1Uw7-A9f9R21vMXxHZFNpYNeKFtG8_yji4HS352LGlSQ/edit?pli=1#gid=0"",""1_ACUM!A4:S""),18,FALSE))"),"")</f>
        <v/>
      </c>
      <c r="AJ603" s="44" t="str">
        <f ca="1">IFERROR(__xludf.DUMMYFUNCTION("IFERROR(VLOOKUP(E626&amp;F626,IMPORTRANGE(""https://docs.google.com/spreadsheets/d/1Uw7-A9f9R21vMXxHZFNpYNeKFtG8_yji4HS352LGlSQ/edit?pli=1#gid=0"",""1_ACUM!A4:S""),19,FALSE))"),"")</f>
        <v/>
      </c>
      <c r="AK603" s="98" t="str">
        <f ca="1">IFERROR(__xludf.DUMMYFUNCTION("IFERROR(VLOOKUP(F626,IMPORTRANGE(""https://docs.google.com/spreadsheets/d/1Kvs4KS76FHFqLFIZfrDMff4kP08nblUkihrxltoGBjg/edit#gid=934712705"",""ESENCIAL!A6:BG""),5,FALSE))"),"")</f>
        <v/>
      </c>
      <c r="AL603" s="98" t="str">
        <f t="shared" si="38"/>
        <v/>
      </c>
      <c r="AM603" s="99" t="str">
        <f t="shared" si="39"/>
        <v/>
      </c>
      <c r="AN603" s="100" t="str">
        <f ca="1">IFERROR(__xludf.DUMMYFUNCTION("IFERROR(VLOOKUP(F626,IMPORTRANGE(""https://docs.google.com/spreadsheets/d/1Kvs4KS76FHFqLFIZfrDMff4kP08nblUkihrxltoGBjg/edit#gid=934712705"",""ESENCIAL!A6:BG""),2,FALSE))"),"")</f>
        <v/>
      </c>
      <c r="AO603" s="19" t="str">
        <f t="shared" si="33"/>
        <v/>
      </c>
      <c r="AP603" s="100"/>
      <c r="AQ603" s="100"/>
    </row>
    <row r="604" spans="1:43" ht="15">
      <c r="A604" s="5"/>
      <c r="B604" s="5"/>
      <c r="G604" s="5" t="str">
        <f ca="1">IFERROR(__xludf.DUMMYFUNCTION("IFERROR(VLOOKUP(F627,IMPORTRANGE(""https://docs.google.com/spreadsheets/d/1Kvs4KS76FHFqLFIZfrDMff4kP08nblUkihrxltoGBjg/edit#gid=934712705"",""ESENCIAL!A6:BG""),3,FALSE))"),"")</f>
        <v/>
      </c>
      <c r="H604" s="5" t="str">
        <f ca="1">IFERROR(__xludf.DUMMYFUNCTION("IFERROR(VLOOKUP(F627,IMPORTRANGE(""https://docs.google.com/spreadsheets/d/1Kvs4KS76FHFqLFIZfrDMff4kP08nblUkihrxltoGBjg/edit#gid=934712705"",""ESENCIAL!A6:BG""),8,FALSE))"),"")</f>
        <v/>
      </c>
      <c r="L604" s="40"/>
      <c r="Z604" s="41" t="str">
        <f t="shared" si="37"/>
        <v/>
      </c>
      <c r="AA604" s="5" t="str">
        <f ca="1">IFERROR(__xludf.DUMMYFUNCTION("IFERROR(VLOOKUP(E627&amp;F627,IMPORTRANGE(""https://docs.google.com/spreadsheets/d/1Uw7-A9f9R21vMXxHZFNpYNeKFtG8_yji4HS352LGlSQ/edit?pli=1#gid=0"",""1_ACUM!A4:S""),11,FALSE))"),"")</f>
        <v/>
      </c>
      <c r="AB604" s="42" t="str">
        <f ca="1">IFERROR(__xludf.DUMMYFUNCTION("IFERROR(VLOOKUP(F627,IMPORTRANGE(""https://docs.google.com/spreadsheets/d/1Kvs4KS76FHFqLFIZfrDMff4kP08nblUkihrxltoGBjg/edit#gid=934712705"",""ESENCIAL!A6:BG""),15,FALSE))"),"")</f>
        <v/>
      </c>
      <c r="AC604" s="110" t="str">
        <f ca="1">IFERROR(__xludf.DUMMYFUNCTION("IFERROR(VLOOKUP(E627&amp;F627,IMPORTRANGE(""https://docs.google.com/spreadsheets/d/1Uw7-A9f9R21vMXxHZFNpYNeKFtG8_yji4HS352LGlSQ/edit?pli=1#gid=0"",""1_ACUM!A4:S""),13,FALSE))"),"")</f>
        <v/>
      </c>
      <c r="AD604" s="43" t="str">
        <f ca="1">IFERROR(__xludf.DUMMYFUNCTION("IFERROR(VLOOKUP(E627&amp;F627,IMPORTRANGE(""https://docs.google.com/spreadsheets/d/1Uw7-A9f9R21vMXxHZFNpYNeKFtG8_yji4HS352LGlSQ/edit?pli=1#gid=0"",""1_ACUM!A4:S""),13,FALSE))"),"")</f>
        <v/>
      </c>
      <c r="AE604" s="43" t="str">
        <f ca="1">IFERROR(__xludf.DUMMYFUNCTION("IFERROR(VLOOKUP(E627&amp;F627,IMPORTRANGE(""https://docs.google.com/spreadsheets/d/1Uw7-A9f9R21vMXxHZFNpYNeKFtG8_yji4HS352LGlSQ/edit?pli=1#gid=0"",""1_ACUM!A4:S""),14,FALSE))"),"")</f>
        <v/>
      </c>
      <c r="AF604" s="43" t="str">
        <f ca="1">IFERROR(__xludf.DUMMYFUNCTION("IFERROR(VLOOKUP(E627&amp;F627,IMPORTRANGE(""https://docs.google.com/spreadsheets/d/1Uw7-A9f9R21vMXxHZFNpYNeKFtG8_yji4HS352LGlSQ/edit?pli=1#gid=0"",""1_ACUM!A4:S""),15,FALSE))"),"")</f>
        <v/>
      </c>
      <c r="AG604" s="43" t="str">
        <f ca="1">IFERROR(__xludf.DUMMYFUNCTION("IFERROR(VLOOKUP(E627&amp;F627,IMPORTRANGE(""https://docs.google.com/spreadsheets/d/1Uw7-A9f9R21vMXxHZFNpYNeKFtG8_yji4HS352LGlSQ/edit?pli=1#gid=0"",""1_ACUM!A4:S""),16,FALSE))"),"")</f>
        <v/>
      </c>
      <c r="AH604" s="43" t="str">
        <f ca="1">IFERROR(__xludf.DUMMYFUNCTION("IFERROR(VLOOKUP(E627&amp;F627,IMPORTRANGE(""https://docs.google.com/spreadsheets/d/1Uw7-A9f9R21vMXxHZFNpYNeKFtG8_yji4HS352LGlSQ/edit?pli=1#gid=0"",""1_ACUM!A4:S""),17,FALSE))"),"")</f>
        <v/>
      </c>
      <c r="AI604" s="44" t="str">
        <f ca="1">IFERROR(__xludf.DUMMYFUNCTION("IFERROR(VLOOKUP(E627&amp;F627,IMPORTRANGE(""https://docs.google.com/spreadsheets/d/1Uw7-A9f9R21vMXxHZFNpYNeKFtG8_yji4HS352LGlSQ/edit?pli=1#gid=0"",""1_ACUM!A4:S""),18,FALSE))"),"")</f>
        <v/>
      </c>
      <c r="AJ604" s="44" t="str">
        <f ca="1">IFERROR(__xludf.DUMMYFUNCTION("IFERROR(VLOOKUP(E627&amp;F627,IMPORTRANGE(""https://docs.google.com/spreadsheets/d/1Uw7-A9f9R21vMXxHZFNpYNeKFtG8_yji4HS352LGlSQ/edit?pli=1#gid=0"",""1_ACUM!A4:S""),19,FALSE))"),"")</f>
        <v/>
      </c>
      <c r="AK604" s="98" t="str">
        <f ca="1">IFERROR(__xludf.DUMMYFUNCTION("IFERROR(VLOOKUP(F627,IMPORTRANGE(""https://docs.google.com/spreadsheets/d/1Kvs4KS76FHFqLFIZfrDMff4kP08nblUkihrxltoGBjg/edit#gid=934712705"",""ESENCIAL!A6:BG""),5,FALSE))"),"")</f>
        <v/>
      </c>
      <c r="AL604" s="98" t="str">
        <f t="shared" si="38"/>
        <v/>
      </c>
      <c r="AM604" s="99" t="str">
        <f t="shared" si="39"/>
        <v/>
      </c>
      <c r="AN604" s="100" t="str">
        <f ca="1">IFERROR(__xludf.DUMMYFUNCTION("IFERROR(VLOOKUP(F627,IMPORTRANGE(""https://docs.google.com/spreadsheets/d/1Kvs4KS76FHFqLFIZfrDMff4kP08nblUkihrxltoGBjg/edit#gid=934712705"",""ESENCIAL!A6:BG""),2,FALSE))"),"")</f>
        <v/>
      </c>
      <c r="AO604" s="19" t="str">
        <f t="shared" si="33"/>
        <v/>
      </c>
      <c r="AP604" s="100"/>
      <c r="AQ604" s="100"/>
    </row>
    <row r="605" spans="1:43" ht="15">
      <c r="A605" s="5"/>
      <c r="B605" s="5"/>
      <c r="G605" s="5" t="str">
        <f ca="1">IFERROR(__xludf.DUMMYFUNCTION("IFERROR(VLOOKUP(F628,IMPORTRANGE(""https://docs.google.com/spreadsheets/d/1Kvs4KS76FHFqLFIZfrDMff4kP08nblUkihrxltoGBjg/edit#gid=934712705"",""ESENCIAL!A6:BG""),3,FALSE))"),"")</f>
        <v/>
      </c>
      <c r="H605" s="5" t="str">
        <f ca="1">IFERROR(__xludf.DUMMYFUNCTION("IFERROR(VLOOKUP(F628,IMPORTRANGE(""https://docs.google.com/spreadsheets/d/1Kvs4KS76FHFqLFIZfrDMff4kP08nblUkihrxltoGBjg/edit#gid=934712705"",""ESENCIAL!A6:BG""),8,FALSE))"),"")</f>
        <v/>
      </c>
      <c r="L605" s="40"/>
      <c r="Z605" s="41" t="str">
        <f t="shared" si="37"/>
        <v/>
      </c>
      <c r="AA605" s="5" t="str">
        <f ca="1">IFERROR(__xludf.DUMMYFUNCTION("IFERROR(VLOOKUP(E628&amp;F628,IMPORTRANGE(""https://docs.google.com/spreadsheets/d/1Uw7-A9f9R21vMXxHZFNpYNeKFtG8_yji4HS352LGlSQ/edit?pli=1#gid=0"",""1_ACUM!A4:S""),11,FALSE))"),"")</f>
        <v/>
      </c>
      <c r="AB605" s="42" t="str">
        <f ca="1">IFERROR(__xludf.DUMMYFUNCTION("IFERROR(VLOOKUP(F628,IMPORTRANGE(""https://docs.google.com/spreadsheets/d/1Kvs4KS76FHFqLFIZfrDMff4kP08nblUkihrxltoGBjg/edit#gid=934712705"",""ESENCIAL!A6:BG""),15,FALSE))"),"")</f>
        <v/>
      </c>
      <c r="AC605" s="110" t="str">
        <f ca="1">IFERROR(__xludf.DUMMYFUNCTION("IFERROR(VLOOKUP(E628&amp;F628,IMPORTRANGE(""https://docs.google.com/spreadsheets/d/1Uw7-A9f9R21vMXxHZFNpYNeKFtG8_yji4HS352LGlSQ/edit?pli=1#gid=0"",""1_ACUM!A4:S""),13,FALSE))"),"")</f>
        <v/>
      </c>
      <c r="AD605" s="43" t="str">
        <f ca="1">IFERROR(__xludf.DUMMYFUNCTION("IFERROR(VLOOKUP(E628&amp;F628,IMPORTRANGE(""https://docs.google.com/spreadsheets/d/1Uw7-A9f9R21vMXxHZFNpYNeKFtG8_yji4HS352LGlSQ/edit?pli=1#gid=0"",""1_ACUM!A4:S""),13,FALSE))"),"")</f>
        <v/>
      </c>
      <c r="AE605" s="43" t="str">
        <f ca="1">IFERROR(__xludf.DUMMYFUNCTION("IFERROR(VLOOKUP(E628&amp;F628,IMPORTRANGE(""https://docs.google.com/spreadsheets/d/1Uw7-A9f9R21vMXxHZFNpYNeKFtG8_yji4HS352LGlSQ/edit?pli=1#gid=0"",""1_ACUM!A4:S""),14,FALSE))"),"")</f>
        <v/>
      </c>
      <c r="AF605" s="43" t="str">
        <f ca="1">IFERROR(__xludf.DUMMYFUNCTION("IFERROR(VLOOKUP(E628&amp;F628,IMPORTRANGE(""https://docs.google.com/spreadsheets/d/1Uw7-A9f9R21vMXxHZFNpYNeKFtG8_yji4HS352LGlSQ/edit?pli=1#gid=0"",""1_ACUM!A4:S""),15,FALSE))"),"")</f>
        <v/>
      </c>
      <c r="AG605" s="43" t="str">
        <f ca="1">IFERROR(__xludf.DUMMYFUNCTION("IFERROR(VLOOKUP(E628&amp;F628,IMPORTRANGE(""https://docs.google.com/spreadsheets/d/1Uw7-A9f9R21vMXxHZFNpYNeKFtG8_yji4HS352LGlSQ/edit?pli=1#gid=0"",""1_ACUM!A4:S""),16,FALSE))"),"")</f>
        <v/>
      </c>
      <c r="AH605" s="43" t="str">
        <f ca="1">IFERROR(__xludf.DUMMYFUNCTION("IFERROR(VLOOKUP(E628&amp;F628,IMPORTRANGE(""https://docs.google.com/spreadsheets/d/1Uw7-A9f9R21vMXxHZFNpYNeKFtG8_yji4HS352LGlSQ/edit?pli=1#gid=0"",""1_ACUM!A4:S""),17,FALSE))"),"")</f>
        <v/>
      </c>
      <c r="AI605" s="44" t="str">
        <f ca="1">IFERROR(__xludf.DUMMYFUNCTION("IFERROR(VLOOKUP(E628&amp;F628,IMPORTRANGE(""https://docs.google.com/spreadsheets/d/1Uw7-A9f9R21vMXxHZFNpYNeKFtG8_yji4HS352LGlSQ/edit?pli=1#gid=0"",""1_ACUM!A4:S""),18,FALSE))"),"")</f>
        <v/>
      </c>
      <c r="AJ605" s="44" t="str">
        <f ca="1">IFERROR(__xludf.DUMMYFUNCTION("IFERROR(VLOOKUP(E628&amp;F628,IMPORTRANGE(""https://docs.google.com/spreadsheets/d/1Uw7-A9f9R21vMXxHZFNpYNeKFtG8_yji4HS352LGlSQ/edit?pli=1#gid=0"",""1_ACUM!A4:S""),19,FALSE))"),"")</f>
        <v/>
      </c>
      <c r="AK605" s="98" t="str">
        <f ca="1">IFERROR(__xludf.DUMMYFUNCTION("IFERROR(VLOOKUP(F628,IMPORTRANGE(""https://docs.google.com/spreadsheets/d/1Kvs4KS76FHFqLFIZfrDMff4kP08nblUkihrxltoGBjg/edit#gid=934712705"",""ESENCIAL!A6:BG""),5,FALSE))"),"")</f>
        <v/>
      </c>
      <c r="AL605" s="98" t="str">
        <f t="shared" si="38"/>
        <v/>
      </c>
      <c r="AM605" s="99" t="str">
        <f t="shared" si="39"/>
        <v/>
      </c>
      <c r="AN605" s="100" t="str">
        <f ca="1">IFERROR(__xludf.DUMMYFUNCTION("IFERROR(VLOOKUP(F628,IMPORTRANGE(""https://docs.google.com/spreadsheets/d/1Kvs4KS76FHFqLFIZfrDMff4kP08nblUkihrxltoGBjg/edit#gid=934712705"",""ESENCIAL!A6:BG""),2,FALSE))"),"")</f>
        <v/>
      </c>
      <c r="AO605" s="19" t="str">
        <f t="shared" si="33"/>
        <v/>
      </c>
      <c r="AP605" s="100"/>
      <c r="AQ605" s="100"/>
    </row>
    <row r="606" spans="1:43" ht="15">
      <c r="A606" s="5"/>
      <c r="B606" s="5"/>
      <c r="G606" s="5" t="str">
        <f ca="1">IFERROR(__xludf.DUMMYFUNCTION("IFERROR(VLOOKUP(F629,IMPORTRANGE(""https://docs.google.com/spreadsheets/d/1Kvs4KS76FHFqLFIZfrDMff4kP08nblUkihrxltoGBjg/edit#gid=934712705"",""ESENCIAL!A6:BG""),3,FALSE))"),"")</f>
        <v/>
      </c>
      <c r="H606" s="5" t="str">
        <f ca="1">IFERROR(__xludf.DUMMYFUNCTION("IFERROR(VLOOKUP(F629,IMPORTRANGE(""https://docs.google.com/spreadsheets/d/1Kvs4KS76FHFqLFIZfrDMff4kP08nblUkihrxltoGBjg/edit#gid=934712705"",""ESENCIAL!A6:BG""),8,FALSE))"),"")</f>
        <v/>
      </c>
      <c r="L606" s="40"/>
      <c r="Z606" s="41" t="str">
        <f t="shared" si="37"/>
        <v/>
      </c>
      <c r="AA606" s="5" t="str">
        <f ca="1">IFERROR(__xludf.DUMMYFUNCTION("IFERROR(VLOOKUP(E629&amp;F629,IMPORTRANGE(""https://docs.google.com/spreadsheets/d/1Uw7-A9f9R21vMXxHZFNpYNeKFtG8_yji4HS352LGlSQ/edit?pli=1#gid=0"",""1_ACUM!A4:S""),11,FALSE))"),"")</f>
        <v/>
      </c>
      <c r="AB606" s="42" t="str">
        <f ca="1">IFERROR(__xludf.DUMMYFUNCTION("IFERROR(VLOOKUP(F629,IMPORTRANGE(""https://docs.google.com/spreadsheets/d/1Kvs4KS76FHFqLFIZfrDMff4kP08nblUkihrxltoGBjg/edit#gid=934712705"",""ESENCIAL!A6:BG""),15,FALSE))"),"")</f>
        <v/>
      </c>
      <c r="AC606" s="110" t="str">
        <f ca="1">IFERROR(__xludf.DUMMYFUNCTION("IFERROR(VLOOKUP(E629&amp;F629,IMPORTRANGE(""https://docs.google.com/spreadsheets/d/1Uw7-A9f9R21vMXxHZFNpYNeKFtG8_yji4HS352LGlSQ/edit?pli=1#gid=0"",""1_ACUM!A4:S""),13,FALSE))"),"")</f>
        <v/>
      </c>
      <c r="AD606" s="43" t="str">
        <f ca="1">IFERROR(__xludf.DUMMYFUNCTION("IFERROR(VLOOKUP(E629&amp;F629,IMPORTRANGE(""https://docs.google.com/spreadsheets/d/1Uw7-A9f9R21vMXxHZFNpYNeKFtG8_yji4HS352LGlSQ/edit?pli=1#gid=0"",""1_ACUM!A4:S""),13,FALSE))"),"")</f>
        <v/>
      </c>
      <c r="AE606" s="43" t="str">
        <f ca="1">IFERROR(__xludf.DUMMYFUNCTION("IFERROR(VLOOKUP(E629&amp;F629,IMPORTRANGE(""https://docs.google.com/spreadsheets/d/1Uw7-A9f9R21vMXxHZFNpYNeKFtG8_yji4HS352LGlSQ/edit?pli=1#gid=0"",""1_ACUM!A4:S""),14,FALSE))"),"")</f>
        <v/>
      </c>
      <c r="AF606" s="43" t="str">
        <f ca="1">IFERROR(__xludf.DUMMYFUNCTION("IFERROR(VLOOKUP(E629&amp;F629,IMPORTRANGE(""https://docs.google.com/spreadsheets/d/1Uw7-A9f9R21vMXxHZFNpYNeKFtG8_yji4HS352LGlSQ/edit?pli=1#gid=0"",""1_ACUM!A4:S""),15,FALSE))"),"")</f>
        <v/>
      </c>
      <c r="AG606" s="43" t="str">
        <f ca="1">IFERROR(__xludf.DUMMYFUNCTION("IFERROR(VLOOKUP(E629&amp;F629,IMPORTRANGE(""https://docs.google.com/spreadsheets/d/1Uw7-A9f9R21vMXxHZFNpYNeKFtG8_yji4HS352LGlSQ/edit?pli=1#gid=0"",""1_ACUM!A4:S""),16,FALSE))"),"")</f>
        <v/>
      </c>
      <c r="AH606" s="43" t="str">
        <f ca="1">IFERROR(__xludf.DUMMYFUNCTION("IFERROR(VLOOKUP(E629&amp;F629,IMPORTRANGE(""https://docs.google.com/spreadsheets/d/1Uw7-A9f9R21vMXxHZFNpYNeKFtG8_yji4HS352LGlSQ/edit?pli=1#gid=0"",""1_ACUM!A4:S""),17,FALSE))"),"")</f>
        <v/>
      </c>
      <c r="AI606" s="44" t="str">
        <f ca="1">IFERROR(__xludf.DUMMYFUNCTION("IFERROR(VLOOKUP(E629&amp;F629,IMPORTRANGE(""https://docs.google.com/spreadsheets/d/1Uw7-A9f9R21vMXxHZFNpYNeKFtG8_yji4HS352LGlSQ/edit?pli=1#gid=0"",""1_ACUM!A4:S""),18,FALSE))"),"")</f>
        <v/>
      </c>
      <c r="AJ606" s="44" t="str">
        <f ca="1">IFERROR(__xludf.DUMMYFUNCTION("IFERROR(VLOOKUP(E629&amp;F629,IMPORTRANGE(""https://docs.google.com/spreadsheets/d/1Uw7-A9f9R21vMXxHZFNpYNeKFtG8_yji4HS352LGlSQ/edit?pli=1#gid=0"",""1_ACUM!A4:S""),19,FALSE))"),"")</f>
        <v/>
      </c>
      <c r="AK606" s="98" t="str">
        <f ca="1">IFERROR(__xludf.DUMMYFUNCTION("IFERROR(VLOOKUP(F629,IMPORTRANGE(""https://docs.google.com/spreadsheets/d/1Kvs4KS76FHFqLFIZfrDMff4kP08nblUkihrxltoGBjg/edit#gid=934712705"",""ESENCIAL!A6:BG""),5,FALSE))"),"")</f>
        <v/>
      </c>
      <c r="AL606" s="98" t="str">
        <f t="shared" si="38"/>
        <v/>
      </c>
      <c r="AM606" s="99" t="str">
        <f t="shared" si="39"/>
        <v/>
      </c>
      <c r="AN606" s="100" t="str">
        <f ca="1">IFERROR(__xludf.DUMMYFUNCTION("IFERROR(VLOOKUP(F629,IMPORTRANGE(""https://docs.google.com/spreadsheets/d/1Kvs4KS76FHFqLFIZfrDMff4kP08nblUkihrxltoGBjg/edit#gid=934712705"",""ESENCIAL!A6:BG""),2,FALSE))"),"")</f>
        <v/>
      </c>
      <c r="AO606" s="19" t="str">
        <f t="shared" si="33"/>
        <v/>
      </c>
      <c r="AP606" s="100"/>
      <c r="AQ606" s="100"/>
    </row>
    <row r="607" spans="1:43" ht="15">
      <c r="A607" s="5"/>
      <c r="B607" s="5"/>
      <c r="G607" s="5" t="str">
        <f ca="1">IFERROR(__xludf.DUMMYFUNCTION("IFERROR(VLOOKUP(F630,IMPORTRANGE(""https://docs.google.com/spreadsheets/d/1Kvs4KS76FHFqLFIZfrDMff4kP08nblUkihrxltoGBjg/edit#gid=934712705"",""ESENCIAL!A6:BG""),3,FALSE))"),"")</f>
        <v/>
      </c>
      <c r="H607" s="5" t="str">
        <f ca="1">IFERROR(__xludf.DUMMYFUNCTION("IFERROR(VLOOKUP(F630,IMPORTRANGE(""https://docs.google.com/spreadsheets/d/1Kvs4KS76FHFqLFIZfrDMff4kP08nblUkihrxltoGBjg/edit#gid=934712705"",""ESENCIAL!A6:BG""),8,FALSE))"),"")</f>
        <v/>
      </c>
      <c r="L607" s="40"/>
      <c r="Z607" s="41" t="str">
        <f t="shared" si="37"/>
        <v/>
      </c>
      <c r="AA607" s="5" t="str">
        <f ca="1">IFERROR(__xludf.DUMMYFUNCTION("IFERROR(VLOOKUP(E630&amp;F630,IMPORTRANGE(""https://docs.google.com/spreadsheets/d/1Uw7-A9f9R21vMXxHZFNpYNeKFtG8_yji4HS352LGlSQ/edit?pli=1#gid=0"",""1_ACUM!A4:S""),11,FALSE))"),"")</f>
        <v/>
      </c>
      <c r="AB607" s="42" t="str">
        <f ca="1">IFERROR(__xludf.DUMMYFUNCTION("IFERROR(VLOOKUP(F630,IMPORTRANGE(""https://docs.google.com/spreadsheets/d/1Kvs4KS76FHFqLFIZfrDMff4kP08nblUkihrxltoGBjg/edit#gid=934712705"",""ESENCIAL!A6:BG""),15,FALSE))"),"")</f>
        <v/>
      </c>
      <c r="AC607" s="110" t="str">
        <f ca="1">IFERROR(__xludf.DUMMYFUNCTION("IFERROR(VLOOKUP(E630&amp;F630,IMPORTRANGE(""https://docs.google.com/spreadsheets/d/1Uw7-A9f9R21vMXxHZFNpYNeKFtG8_yji4HS352LGlSQ/edit?pli=1#gid=0"",""1_ACUM!A4:S""),13,FALSE))"),"")</f>
        <v/>
      </c>
      <c r="AD607" s="43" t="str">
        <f ca="1">IFERROR(__xludf.DUMMYFUNCTION("IFERROR(VLOOKUP(E630&amp;F630,IMPORTRANGE(""https://docs.google.com/spreadsheets/d/1Uw7-A9f9R21vMXxHZFNpYNeKFtG8_yji4HS352LGlSQ/edit?pli=1#gid=0"",""1_ACUM!A4:S""),13,FALSE))"),"")</f>
        <v/>
      </c>
      <c r="AE607" s="43" t="str">
        <f ca="1">IFERROR(__xludf.DUMMYFUNCTION("IFERROR(VLOOKUP(E630&amp;F630,IMPORTRANGE(""https://docs.google.com/spreadsheets/d/1Uw7-A9f9R21vMXxHZFNpYNeKFtG8_yji4HS352LGlSQ/edit?pli=1#gid=0"",""1_ACUM!A4:S""),14,FALSE))"),"")</f>
        <v/>
      </c>
      <c r="AF607" s="43" t="str">
        <f ca="1">IFERROR(__xludf.DUMMYFUNCTION("IFERROR(VLOOKUP(E630&amp;F630,IMPORTRANGE(""https://docs.google.com/spreadsheets/d/1Uw7-A9f9R21vMXxHZFNpYNeKFtG8_yji4HS352LGlSQ/edit?pli=1#gid=0"",""1_ACUM!A4:S""),15,FALSE))"),"")</f>
        <v/>
      </c>
      <c r="AG607" s="43" t="str">
        <f ca="1">IFERROR(__xludf.DUMMYFUNCTION("IFERROR(VLOOKUP(E630&amp;F630,IMPORTRANGE(""https://docs.google.com/spreadsheets/d/1Uw7-A9f9R21vMXxHZFNpYNeKFtG8_yji4HS352LGlSQ/edit?pli=1#gid=0"",""1_ACUM!A4:S""),16,FALSE))"),"")</f>
        <v/>
      </c>
      <c r="AH607" s="43" t="str">
        <f ca="1">IFERROR(__xludf.DUMMYFUNCTION("IFERROR(VLOOKUP(E630&amp;F630,IMPORTRANGE(""https://docs.google.com/spreadsheets/d/1Uw7-A9f9R21vMXxHZFNpYNeKFtG8_yji4HS352LGlSQ/edit?pli=1#gid=0"",""1_ACUM!A4:S""),17,FALSE))"),"")</f>
        <v/>
      </c>
      <c r="AI607" s="44" t="str">
        <f ca="1">IFERROR(__xludf.DUMMYFUNCTION("IFERROR(VLOOKUP(E630&amp;F630,IMPORTRANGE(""https://docs.google.com/spreadsheets/d/1Uw7-A9f9R21vMXxHZFNpYNeKFtG8_yji4HS352LGlSQ/edit?pli=1#gid=0"",""1_ACUM!A4:S""),18,FALSE))"),"")</f>
        <v/>
      </c>
      <c r="AJ607" s="44" t="str">
        <f ca="1">IFERROR(__xludf.DUMMYFUNCTION("IFERROR(VLOOKUP(E630&amp;F630,IMPORTRANGE(""https://docs.google.com/spreadsheets/d/1Uw7-A9f9R21vMXxHZFNpYNeKFtG8_yji4HS352LGlSQ/edit?pli=1#gid=0"",""1_ACUM!A4:S""),19,FALSE))"),"")</f>
        <v/>
      </c>
      <c r="AK607" s="98" t="str">
        <f ca="1">IFERROR(__xludf.DUMMYFUNCTION("IFERROR(VLOOKUP(F630,IMPORTRANGE(""https://docs.google.com/spreadsheets/d/1Kvs4KS76FHFqLFIZfrDMff4kP08nblUkihrxltoGBjg/edit#gid=934712705"",""ESENCIAL!A6:BG""),5,FALSE))"),"")</f>
        <v/>
      </c>
      <c r="AL607" s="98" t="str">
        <f t="shared" si="38"/>
        <v/>
      </c>
      <c r="AM607" s="99" t="str">
        <f t="shared" si="39"/>
        <v/>
      </c>
      <c r="AN607" s="100" t="str">
        <f ca="1">IFERROR(__xludf.DUMMYFUNCTION("IFERROR(VLOOKUP(F630,IMPORTRANGE(""https://docs.google.com/spreadsheets/d/1Kvs4KS76FHFqLFIZfrDMff4kP08nblUkihrxltoGBjg/edit#gid=934712705"",""ESENCIAL!A6:BG""),2,FALSE))"),"")</f>
        <v/>
      </c>
      <c r="AO607" s="19" t="str">
        <f t="shared" si="33"/>
        <v/>
      </c>
      <c r="AP607" s="100"/>
      <c r="AQ607" s="100"/>
    </row>
    <row r="608" spans="1:43" ht="15">
      <c r="A608" s="5"/>
      <c r="B608" s="5"/>
      <c r="G608" s="5" t="str">
        <f ca="1">IFERROR(__xludf.DUMMYFUNCTION("IFERROR(VLOOKUP(F631,IMPORTRANGE(""https://docs.google.com/spreadsheets/d/1Kvs4KS76FHFqLFIZfrDMff4kP08nblUkihrxltoGBjg/edit#gid=934712705"",""ESENCIAL!A6:BG""),3,FALSE))"),"")</f>
        <v/>
      </c>
      <c r="H608" s="5" t="str">
        <f ca="1">IFERROR(__xludf.DUMMYFUNCTION("IFERROR(VLOOKUP(F631,IMPORTRANGE(""https://docs.google.com/spreadsheets/d/1Kvs4KS76FHFqLFIZfrDMff4kP08nblUkihrxltoGBjg/edit#gid=934712705"",""ESENCIAL!A6:BG""),8,FALSE))"),"")</f>
        <v/>
      </c>
      <c r="L608" s="40"/>
      <c r="Z608" s="41" t="str">
        <f t="shared" si="37"/>
        <v/>
      </c>
      <c r="AA608" s="5" t="str">
        <f ca="1">IFERROR(__xludf.DUMMYFUNCTION("IFERROR(VLOOKUP(E631&amp;F631,IMPORTRANGE(""https://docs.google.com/spreadsheets/d/1Uw7-A9f9R21vMXxHZFNpYNeKFtG8_yji4HS352LGlSQ/edit?pli=1#gid=0"",""1_ACUM!A4:S""),11,FALSE))"),"")</f>
        <v/>
      </c>
      <c r="AB608" s="42" t="str">
        <f ca="1">IFERROR(__xludf.DUMMYFUNCTION("IFERROR(VLOOKUP(F631,IMPORTRANGE(""https://docs.google.com/spreadsheets/d/1Kvs4KS76FHFqLFIZfrDMff4kP08nblUkihrxltoGBjg/edit#gid=934712705"",""ESENCIAL!A6:BG""),15,FALSE))"),"")</f>
        <v/>
      </c>
      <c r="AC608" s="110" t="str">
        <f ca="1">IFERROR(__xludf.DUMMYFUNCTION("IFERROR(VLOOKUP(E631&amp;F631,IMPORTRANGE(""https://docs.google.com/spreadsheets/d/1Uw7-A9f9R21vMXxHZFNpYNeKFtG8_yji4HS352LGlSQ/edit?pli=1#gid=0"",""1_ACUM!A4:S""),13,FALSE))"),"")</f>
        <v/>
      </c>
      <c r="AD608" s="43" t="str">
        <f ca="1">IFERROR(__xludf.DUMMYFUNCTION("IFERROR(VLOOKUP(E631&amp;F631,IMPORTRANGE(""https://docs.google.com/spreadsheets/d/1Uw7-A9f9R21vMXxHZFNpYNeKFtG8_yji4HS352LGlSQ/edit?pli=1#gid=0"",""1_ACUM!A4:S""),13,FALSE))"),"")</f>
        <v/>
      </c>
      <c r="AE608" s="43" t="str">
        <f ca="1">IFERROR(__xludf.DUMMYFUNCTION("IFERROR(VLOOKUP(E631&amp;F631,IMPORTRANGE(""https://docs.google.com/spreadsheets/d/1Uw7-A9f9R21vMXxHZFNpYNeKFtG8_yji4HS352LGlSQ/edit?pli=1#gid=0"",""1_ACUM!A4:S""),14,FALSE))"),"")</f>
        <v/>
      </c>
      <c r="AF608" s="43" t="str">
        <f ca="1">IFERROR(__xludf.DUMMYFUNCTION("IFERROR(VLOOKUP(E631&amp;F631,IMPORTRANGE(""https://docs.google.com/spreadsheets/d/1Uw7-A9f9R21vMXxHZFNpYNeKFtG8_yji4HS352LGlSQ/edit?pli=1#gid=0"",""1_ACUM!A4:S""),15,FALSE))"),"")</f>
        <v/>
      </c>
      <c r="AG608" s="43" t="str">
        <f ca="1">IFERROR(__xludf.DUMMYFUNCTION("IFERROR(VLOOKUP(E631&amp;F631,IMPORTRANGE(""https://docs.google.com/spreadsheets/d/1Uw7-A9f9R21vMXxHZFNpYNeKFtG8_yji4HS352LGlSQ/edit?pli=1#gid=0"",""1_ACUM!A4:S""),16,FALSE))"),"")</f>
        <v/>
      </c>
      <c r="AH608" s="43" t="str">
        <f ca="1">IFERROR(__xludf.DUMMYFUNCTION("IFERROR(VLOOKUP(E631&amp;F631,IMPORTRANGE(""https://docs.google.com/spreadsheets/d/1Uw7-A9f9R21vMXxHZFNpYNeKFtG8_yji4HS352LGlSQ/edit?pli=1#gid=0"",""1_ACUM!A4:S""),17,FALSE))"),"")</f>
        <v/>
      </c>
      <c r="AI608" s="44" t="str">
        <f ca="1">IFERROR(__xludf.DUMMYFUNCTION("IFERROR(VLOOKUP(E631&amp;F631,IMPORTRANGE(""https://docs.google.com/spreadsheets/d/1Uw7-A9f9R21vMXxHZFNpYNeKFtG8_yji4HS352LGlSQ/edit?pli=1#gid=0"",""1_ACUM!A4:S""),18,FALSE))"),"")</f>
        <v/>
      </c>
      <c r="AJ608" s="44" t="str">
        <f ca="1">IFERROR(__xludf.DUMMYFUNCTION("IFERROR(VLOOKUP(E631&amp;F631,IMPORTRANGE(""https://docs.google.com/spreadsheets/d/1Uw7-A9f9R21vMXxHZFNpYNeKFtG8_yji4HS352LGlSQ/edit?pli=1#gid=0"",""1_ACUM!A4:S""),19,FALSE))"),"")</f>
        <v/>
      </c>
      <c r="AK608" s="98" t="str">
        <f ca="1">IFERROR(__xludf.DUMMYFUNCTION("IFERROR(VLOOKUP(F631,IMPORTRANGE(""https://docs.google.com/spreadsheets/d/1Kvs4KS76FHFqLFIZfrDMff4kP08nblUkihrxltoGBjg/edit#gid=934712705"",""ESENCIAL!A6:BG""),5,FALSE))"),"")</f>
        <v/>
      </c>
      <c r="AL608" s="98" t="str">
        <f t="shared" si="38"/>
        <v/>
      </c>
      <c r="AM608" s="99" t="str">
        <f t="shared" si="39"/>
        <v/>
      </c>
      <c r="AN608" s="100" t="str">
        <f ca="1">IFERROR(__xludf.DUMMYFUNCTION("IFERROR(VLOOKUP(F631,IMPORTRANGE(""https://docs.google.com/spreadsheets/d/1Kvs4KS76FHFqLFIZfrDMff4kP08nblUkihrxltoGBjg/edit#gid=934712705"",""ESENCIAL!A6:BG""),2,FALSE))"),"")</f>
        <v/>
      </c>
      <c r="AO608" s="19" t="str">
        <f t="shared" si="33"/>
        <v/>
      </c>
      <c r="AP608" s="100"/>
      <c r="AQ608" s="100"/>
    </row>
    <row r="609" spans="1:43" ht="15">
      <c r="A609" s="5"/>
      <c r="B609" s="5"/>
      <c r="G609" s="5" t="str">
        <f ca="1">IFERROR(__xludf.DUMMYFUNCTION("IFERROR(VLOOKUP(F632,IMPORTRANGE(""https://docs.google.com/spreadsheets/d/1Kvs4KS76FHFqLFIZfrDMff4kP08nblUkihrxltoGBjg/edit#gid=934712705"",""ESENCIAL!A6:BG""),3,FALSE))"),"")</f>
        <v/>
      </c>
      <c r="H609" s="5" t="str">
        <f ca="1">IFERROR(__xludf.DUMMYFUNCTION("IFERROR(VLOOKUP(F632,IMPORTRANGE(""https://docs.google.com/spreadsheets/d/1Kvs4KS76FHFqLFIZfrDMff4kP08nblUkihrxltoGBjg/edit#gid=934712705"",""ESENCIAL!A6:BG""),8,FALSE))"),"")</f>
        <v/>
      </c>
      <c r="L609" s="40"/>
      <c r="Z609" s="41" t="str">
        <f t="shared" si="37"/>
        <v/>
      </c>
      <c r="AA609" s="5" t="str">
        <f ca="1">IFERROR(__xludf.DUMMYFUNCTION("IFERROR(VLOOKUP(E632&amp;F632,IMPORTRANGE(""https://docs.google.com/spreadsheets/d/1Uw7-A9f9R21vMXxHZFNpYNeKFtG8_yji4HS352LGlSQ/edit?pli=1#gid=0"",""1_ACUM!A4:S""),11,FALSE))"),"")</f>
        <v/>
      </c>
      <c r="AB609" s="42" t="str">
        <f ca="1">IFERROR(__xludf.DUMMYFUNCTION("IFERROR(VLOOKUP(F632,IMPORTRANGE(""https://docs.google.com/spreadsheets/d/1Kvs4KS76FHFqLFIZfrDMff4kP08nblUkihrxltoGBjg/edit#gid=934712705"",""ESENCIAL!A6:BG""),15,FALSE))"),"")</f>
        <v/>
      </c>
      <c r="AC609" s="110" t="str">
        <f ca="1">IFERROR(__xludf.DUMMYFUNCTION("IFERROR(VLOOKUP(E632&amp;F632,IMPORTRANGE(""https://docs.google.com/spreadsheets/d/1Uw7-A9f9R21vMXxHZFNpYNeKFtG8_yji4HS352LGlSQ/edit?pli=1#gid=0"",""1_ACUM!A4:S""),13,FALSE))"),"")</f>
        <v/>
      </c>
      <c r="AD609" s="43" t="str">
        <f ca="1">IFERROR(__xludf.DUMMYFUNCTION("IFERROR(VLOOKUP(E632&amp;F632,IMPORTRANGE(""https://docs.google.com/spreadsheets/d/1Uw7-A9f9R21vMXxHZFNpYNeKFtG8_yji4HS352LGlSQ/edit?pli=1#gid=0"",""1_ACUM!A4:S""),13,FALSE))"),"")</f>
        <v/>
      </c>
      <c r="AE609" s="43" t="str">
        <f ca="1">IFERROR(__xludf.DUMMYFUNCTION("IFERROR(VLOOKUP(E632&amp;F632,IMPORTRANGE(""https://docs.google.com/spreadsheets/d/1Uw7-A9f9R21vMXxHZFNpYNeKFtG8_yji4HS352LGlSQ/edit?pli=1#gid=0"",""1_ACUM!A4:S""),14,FALSE))"),"")</f>
        <v/>
      </c>
      <c r="AF609" s="43" t="str">
        <f ca="1">IFERROR(__xludf.DUMMYFUNCTION("IFERROR(VLOOKUP(E632&amp;F632,IMPORTRANGE(""https://docs.google.com/spreadsheets/d/1Uw7-A9f9R21vMXxHZFNpYNeKFtG8_yji4HS352LGlSQ/edit?pli=1#gid=0"",""1_ACUM!A4:S""),15,FALSE))"),"")</f>
        <v/>
      </c>
      <c r="AG609" s="43" t="str">
        <f ca="1">IFERROR(__xludf.DUMMYFUNCTION("IFERROR(VLOOKUP(E632&amp;F632,IMPORTRANGE(""https://docs.google.com/spreadsheets/d/1Uw7-A9f9R21vMXxHZFNpYNeKFtG8_yji4HS352LGlSQ/edit?pli=1#gid=0"",""1_ACUM!A4:S""),16,FALSE))"),"")</f>
        <v/>
      </c>
      <c r="AH609" s="43" t="str">
        <f ca="1">IFERROR(__xludf.DUMMYFUNCTION("IFERROR(VLOOKUP(E632&amp;F632,IMPORTRANGE(""https://docs.google.com/spreadsheets/d/1Uw7-A9f9R21vMXxHZFNpYNeKFtG8_yji4HS352LGlSQ/edit?pli=1#gid=0"",""1_ACUM!A4:S""),17,FALSE))"),"")</f>
        <v/>
      </c>
      <c r="AI609" s="44" t="str">
        <f ca="1">IFERROR(__xludf.DUMMYFUNCTION("IFERROR(VLOOKUP(E632&amp;F632,IMPORTRANGE(""https://docs.google.com/spreadsheets/d/1Uw7-A9f9R21vMXxHZFNpYNeKFtG8_yji4HS352LGlSQ/edit?pli=1#gid=0"",""1_ACUM!A4:S""),18,FALSE))"),"")</f>
        <v/>
      </c>
      <c r="AJ609" s="44" t="str">
        <f ca="1">IFERROR(__xludf.DUMMYFUNCTION("IFERROR(VLOOKUP(E632&amp;F632,IMPORTRANGE(""https://docs.google.com/spreadsheets/d/1Uw7-A9f9R21vMXxHZFNpYNeKFtG8_yji4HS352LGlSQ/edit?pli=1#gid=0"",""1_ACUM!A4:S""),19,FALSE))"),"")</f>
        <v/>
      </c>
      <c r="AK609" s="98" t="str">
        <f ca="1">IFERROR(__xludf.DUMMYFUNCTION("IFERROR(VLOOKUP(F632,IMPORTRANGE(""https://docs.google.com/spreadsheets/d/1Kvs4KS76FHFqLFIZfrDMff4kP08nblUkihrxltoGBjg/edit#gid=934712705"",""ESENCIAL!A6:BG""),5,FALSE))"),"")</f>
        <v/>
      </c>
      <c r="AL609" s="98" t="str">
        <f t="shared" si="38"/>
        <v/>
      </c>
      <c r="AM609" s="99" t="str">
        <f t="shared" si="39"/>
        <v/>
      </c>
      <c r="AN609" s="100" t="str">
        <f ca="1">IFERROR(__xludf.DUMMYFUNCTION("IFERROR(VLOOKUP(F632,IMPORTRANGE(""https://docs.google.com/spreadsheets/d/1Kvs4KS76FHFqLFIZfrDMff4kP08nblUkihrxltoGBjg/edit#gid=934712705"",""ESENCIAL!A6:BG""),2,FALSE))"),"")</f>
        <v/>
      </c>
      <c r="AO609" s="19" t="str">
        <f t="shared" si="33"/>
        <v/>
      </c>
      <c r="AP609" s="100"/>
      <c r="AQ609" s="100"/>
    </row>
    <row r="610" spans="1:43" ht="15">
      <c r="A610" s="5"/>
      <c r="B610" s="5"/>
      <c r="G610" s="5" t="str">
        <f ca="1">IFERROR(__xludf.DUMMYFUNCTION("IFERROR(VLOOKUP(F633,IMPORTRANGE(""https://docs.google.com/spreadsheets/d/1Kvs4KS76FHFqLFIZfrDMff4kP08nblUkihrxltoGBjg/edit#gid=934712705"",""ESENCIAL!A6:BG""),3,FALSE))"),"")</f>
        <v/>
      </c>
      <c r="H610" s="5" t="str">
        <f ca="1">IFERROR(__xludf.DUMMYFUNCTION("IFERROR(VLOOKUP(F633,IMPORTRANGE(""https://docs.google.com/spreadsheets/d/1Kvs4KS76FHFqLFIZfrDMff4kP08nblUkihrxltoGBjg/edit#gid=934712705"",""ESENCIAL!A6:BG""),8,FALSE))"),"")</f>
        <v/>
      </c>
      <c r="L610" s="40"/>
      <c r="Z610" s="41" t="str">
        <f t="shared" si="37"/>
        <v/>
      </c>
      <c r="AA610" s="5" t="str">
        <f ca="1">IFERROR(__xludf.DUMMYFUNCTION("IFERROR(VLOOKUP(E633&amp;F633,IMPORTRANGE(""https://docs.google.com/spreadsheets/d/1Uw7-A9f9R21vMXxHZFNpYNeKFtG8_yji4HS352LGlSQ/edit?pli=1#gid=0"",""1_ACUM!A4:S""),11,FALSE))"),"")</f>
        <v/>
      </c>
      <c r="AB610" s="42" t="str">
        <f ca="1">IFERROR(__xludf.DUMMYFUNCTION("IFERROR(VLOOKUP(F633,IMPORTRANGE(""https://docs.google.com/spreadsheets/d/1Kvs4KS76FHFqLFIZfrDMff4kP08nblUkihrxltoGBjg/edit#gid=934712705"",""ESENCIAL!A6:BG""),15,FALSE))"),"")</f>
        <v/>
      </c>
      <c r="AC610" s="110" t="str">
        <f ca="1">IFERROR(__xludf.DUMMYFUNCTION("IFERROR(VLOOKUP(E633&amp;F633,IMPORTRANGE(""https://docs.google.com/spreadsheets/d/1Uw7-A9f9R21vMXxHZFNpYNeKFtG8_yji4HS352LGlSQ/edit?pli=1#gid=0"",""1_ACUM!A4:S""),13,FALSE))"),"")</f>
        <v/>
      </c>
      <c r="AD610" s="43" t="str">
        <f ca="1">IFERROR(__xludf.DUMMYFUNCTION("IFERROR(VLOOKUP(E633&amp;F633,IMPORTRANGE(""https://docs.google.com/spreadsheets/d/1Uw7-A9f9R21vMXxHZFNpYNeKFtG8_yji4HS352LGlSQ/edit?pli=1#gid=0"",""1_ACUM!A4:S""),13,FALSE))"),"")</f>
        <v/>
      </c>
      <c r="AE610" s="43" t="str">
        <f ca="1">IFERROR(__xludf.DUMMYFUNCTION("IFERROR(VLOOKUP(E633&amp;F633,IMPORTRANGE(""https://docs.google.com/spreadsheets/d/1Uw7-A9f9R21vMXxHZFNpYNeKFtG8_yji4HS352LGlSQ/edit?pli=1#gid=0"",""1_ACUM!A4:S""),14,FALSE))"),"")</f>
        <v/>
      </c>
      <c r="AF610" s="43" t="str">
        <f ca="1">IFERROR(__xludf.DUMMYFUNCTION("IFERROR(VLOOKUP(E633&amp;F633,IMPORTRANGE(""https://docs.google.com/spreadsheets/d/1Uw7-A9f9R21vMXxHZFNpYNeKFtG8_yji4HS352LGlSQ/edit?pli=1#gid=0"",""1_ACUM!A4:S""),15,FALSE))"),"")</f>
        <v/>
      </c>
      <c r="AG610" s="43" t="str">
        <f ca="1">IFERROR(__xludf.DUMMYFUNCTION("IFERROR(VLOOKUP(E633&amp;F633,IMPORTRANGE(""https://docs.google.com/spreadsheets/d/1Uw7-A9f9R21vMXxHZFNpYNeKFtG8_yji4HS352LGlSQ/edit?pli=1#gid=0"",""1_ACUM!A4:S""),16,FALSE))"),"")</f>
        <v/>
      </c>
      <c r="AH610" s="43" t="str">
        <f ca="1">IFERROR(__xludf.DUMMYFUNCTION("IFERROR(VLOOKUP(E633&amp;F633,IMPORTRANGE(""https://docs.google.com/spreadsheets/d/1Uw7-A9f9R21vMXxHZFNpYNeKFtG8_yji4HS352LGlSQ/edit?pli=1#gid=0"",""1_ACUM!A4:S""),17,FALSE))"),"")</f>
        <v/>
      </c>
      <c r="AI610" s="44" t="str">
        <f ca="1">IFERROR(__xludf.DUMMYFUNCTION("IFERROR(VLOOKUP(E633&amp;F633,IMPORTRANGE(""https://docs.google.com/spreadsheets/d/1Uw7-A9f9R21vMXxHZFNpYNeKFtG8_yji4HS352LGlSQ/edit?pli=1#gid=0"",""1_ACUM!A4:S""),18,FALSE))"),"")</f>
        <v/>
      </c>
      <c r="AJ610" s="44" t="str">
        <f ca="1">IFERROR(__xludf.DUMMYFUNCTION("IFERROR(VLOOKUP(E633&amp;F633,IMPORTRANGE(""https://docs.google.com/spreadsheets/d/1Uw7-A9f9R21vMXxHZFNpYNeKFtG8_yji4HS352LGlSQ/edit?pli=1#gid=0"",""1_ACUM!A4:S""),19,FALSE))"),"")</f>
        <v/>
      </c>
      <c r="AK610" s="98" t="str">
        <f ca="1">IFERROR(__xludf.DUMMYFUNCTION("IFERROR(VLOOKUP(F633,IMPORTRANGE(""https://docs.google.com/spreadsheets/d/1Kvs4KS76FHFqLFIZfrDMff4kP08nblUkihrxltoGBjg/edit#gid=934712705"",""ESENCIAL!A6:BG""),5,FALSE))"),"")</f>
        <v/>
      </c>
      <c r="AL610" s="98" t="str">
        <f t="shared" si="38"/>
        <v/>
      </c>
      <c r="AM610" s="99" t="str">
        <f t="shared" si="39"/>
        <v/>
      </c>
      <c r="AN610" s="100" t="str">
        <f ca="1">IFERROR(__xludf.DUMMYFUNCTION("IFERROR(VLOOKUP(F633,IMPORTRANGE(""https://docs.google.com/spreadsheets/d/1Kvs4KS76FHFqLFIZfrDMff4kP08nblUkihrxltoGBjg/edit#gid=934712705"",""ESENCIAL!A6:BG""),2,FALSE))"),"")</f>
        <v/>
      </c>
      <c r="AO610" s="19" t="str">
        <f t="shared" si="33"/>
        <v/>
      </c>
      <c r="AP610" s="100"/>
      <c r="AQ610" s="100"/>
    </row>
    <row r="611" spans="1:43" ht="15">
      <c r="A611" s="5"/>
      <c r="B611" s="5"/>
      <c r="G611" s="5" t="str">
        <f ca="1">IFERROR(__xludf.DUMMYFUNCTION("IFERROR(VLOOKUP(F634,IMPORTRANGE(""https://docs.google.com/spreadsheets/d/1Kvs4KS76FHFqLFIZfrDMff4kP08nblUkihrxltoGBjg/edit#gid=934712705"",""ESENCIAL!A6:BG""),3,FALSE))"),"")</f>
        <v/>
      </c>
      <c r="H611" s="5" t="str">
        <f ca="1">IFERROR(__xludf.DUMMYFUNCTION("IFERROR(VLOOKUP(F634,IMPORTRANGE(""https://docs.google.com/spreadsheets/d/1Kvs4KS76FHFqLFIZfrDMff4kP08nblUkihrxltoGBjg/edit#gid=934712705"",""ESENCIAL!A6:BG""),8,FALSE))"),"")</f>
        <v/>
      </c>
      <c r="L611" s="40"/>
      <c r="Z611" s="41" t="str">
        <f t="shared" si="37"/>
        <v/>
      </c>
      <c r="AA611" s="5" t="str">
        <f ca="1">IFERROR(__xludf.DUMMYFUNCTION("IFERROR(VLOOKUP(E634&amp;F634,IMPORTRANGE(""https://docs.google.com/spreadsheets/d/1Uw7-A9f9R21vMXxHZFNpYNeKFtG8_yji4HS352LGlSQ/edit?pli=1#gid=0"",""1_ACUM!A4:S""),11,FALSE))"),"")</f>
        <v/>
      </c>
      <c r="AB611" s="42" t="str">
        <f ca="1">IFERROR(__xludf.DUMMYFUNCTION("IFERROR(VLOOKUP(F634,IMPORTRANGE(""https://docs.google.com/spreadsheets/d/1Kvs4KS76FHFqLFIZfrDMff4kP08nblUkihrxltoGBjg/edit#gid=934712705"",""ESENCIAL!A6:BG""),15,FALSE))"),"")</f>
        <v/>
      </c>
      <c r="AC611" s="110" t="str">
        <f ca="1">IFERROR(__xludf.DUMMYFUNCTION("IFERROR(VLOOKUP(E634&amp;F634,IMPORTRANGE(""https://docs.google.com/spreadsheets/d/1Uw7-A9f9R21vMXxHZFNpYNeKFtG8_yji4HS352LGlSQ/edit?pli=1#gid=0"",""1_ACUM!A4:S""),13,FALSE))"),"")</f>
        <v/>
      </c>
      <c r="AD611" s="43" t="str">
        <f ca="1">IFERROR(__xludf.DUMMYFUNCTION("IFERROR(VLOOKUP(E634&amp;F634,IMPORTRANGE(""https://docs.google.com/spreadsheets/d/1Uw7-A9f9R21vMXxHZFNpYNeKFtG8_yji4HS352LGlSQ/edit?pli=1#gid=0"",""1_ACUM!A4:S""),13,FALSE))"),"")</f>
        <v/>
      </c>
      <c r="AE611" s="43" t="str">
        <f ca="1">IFERROR(__xludf.DUMMYFUNCTION("IFERROR(VLOOKUP(E634&amp;F634,IMPORTRANGE(""https://docs.google.com/spreadsheets/d/1Uw7-A9f9R21vMXxHZFNpYNeKFtG8_yji4HS352LGlSQ/edit?pli=1#gid=0"",""1_ACUM!A4:S""),14,FALSE))"),"")</f>
        <v/>
      </c>
      <c r="AF611" s="43" t="str">
        <f ca="1">IFERROR(__xludf.DUMMYFUNCTION("IFERROR(VLOOKUP(E634&amp;F634,IMPORTRANGE(""https://docs.google.com/spreadsheets/d/1Uw7-A9f9R21vMXxHZFNpYNeKFtG8_yji4HS352LGlSQ/edit?pli=1#gid=0"",""1_ACUM!A4:S""),15,FALSE))"),"")</f>
        <v/>
      </c>
      <c r="AG611" s="43" t="str">
        <f ca="1">IFERROR(__xludf.DUMMYFUNCTION("IFERROR(VLOOKUP(E634&amp;F634,IMPORTRANGE(""https://docs.google.com/spreadsheets/d/1Uw7-A9f9R21vMXxHZFNpYNeKFtG8_yji4HS352LGlSQ/edit?pli=1#gid=0"",""1_ACUM!A4:S""),16,FALSE))"),"")</f>
        <v/>
      </c>
      <c r="AH611" s="43" t="str">
        <f ca="1">IFERROR(__xludf.DUMMYFUNCTION("IFERROR(VLOOKUP(E634&amp;F634,IMPORTRANGE(""https://docs.google.com/spreadsheets/d/1Uw7-A9f9R21vMXxHZFNpYNeKFtG8_yji4HS352LGlSQ/edit?pli=1#gid=0"",""1_ACUM!A4:S""),17,FALSE))"),"")</f>
        <v/>
      </c>
      <c r="AI611" s="44" t="str">
        <f ca="1">IFERROR(__xludf.DUMMYFUNCTION("IFERROR(VLOOKUP(E634&amp;F634,IMPORTRANGE(""https://docs.google.com/spreadsheets/d/1Uw7-A9f9R21vMXxHZFNpYNeKFtG8_yji4HS352LGlSQ/edit?pli=1#gid=0"",""1_ACUM!A4:S""),18,FALSE))"),"")</f>
        <v/>
      </c>
      <c r="AJ611" s="44" t="str">
        <f ca="1">IFERROR(__xludf.DUMMYFUNCTION("IFERROR(VLOOKUP(E634&amp;F634,IMPORTRANGE(""https://docs.google.com/spreadsheets/d/1Uw7-A9f9R21vMXxHZFNpYNeKFtG8_yji4HS352LGlSQ/edit?pli=1#gid=0"",""1_ACUM!A4:S""),19,FALSE))"),"")</f>
        <v/>
      </c>
      <c r="AK611" s="98" t="str">
        <f ca="1">IFERROR(__xludf.DUMMYFUNCTION("IFERROR(VLOOKUP(F634,IMPORTRANGE(""https://docs.google.com/spreadsheets/d/1Kvs4KS76FHFqLFIZfrDMff4kP08nblUkihrxltoGBjg/edit#gid=934712705"",""ESENCIAL!A6:BG""),5,FALSE))"),"")</f>
        <v/>
      </c>
      <c r="AL611" s="98" t="str">
        <f t="shared" si="38"/>
        <v/>
      </c>
      <c r="AM611" s="99" t="str">
        <f t="shared" si="39"/>
        <v/>
      </c>
      <c r="AN611" s="100" t="str">
        <f ca="1">IFERROR(__xludf.DUMMYFUNCTION("IFERROR(VLOOKUP(F634,IMPORTRANGE(""https://docs.google.com/spreadsheets/d/1Kvs4KS76FHFqLFIZfrDMff4kP08nblUkihrxltoGBjg/edit#gid=934712705"",""ESENCIAL!A6:BG""),2,FALSE))"),"")</f>
        <v/>
      </c>
      <c r="AO611" s="19" t="str">
        <f t="shared" si="33"/>
        <v/>
      </c>
      <c r="AP611" s="100"/>
      <c r="AQ611" s="100"/>
    </row>
    <row r="612" spans="1:43" ht="15">
      <c r="A612" s="5"/>
      <c r="B612" s="5"/>
      <c r="G612" s="5" t="str">
        <f ca="1">IFERROR(__xludf.DUMMYFUNCTION("IFERROR(VLOOKUP(F635,IMPORTRANGE(""https://docs.google.com/spreadsheets/d/1Kvs4KS76FHFqLFIZfrDMff4kP08nblUkihrxltoGBjg/edit#gid=934712705"",""ESENCIAL!A6:BG""),3,FALSE))"),"")</f>
        <v/>
      </c>
      <c r="H612" s="5" t="str">
        <f ca="1">IFERROR(__xludf.DUMMYFUNCTION("IFERROR(VLOOKUP(F635,IMPORTRANGE(""https://docs.google.com/spreadsheets/d/1Kvs4KS76FHFqLFIZfrDMff4kP08nblUkihrxltoGBjg/edit#gid=934712705"",""ESENCIAL!A6:BG""),8,FALSE))"),"")</f>
        <v/>
      </c>
      <c r="L612" s="40"/>
      <c r="Z612" s="41" t="str">
        <f t="shared" si="37"/>
        <v/>
      </c>
      <c r="AA612" s="5" t="str">
        <f ca="1">IFERROR(__xludf.DUMMYFUNCTION("IFERROR(VLOOKUP(E635&amp;F635,IMPORTRANGE(""https://docs.google.com/spreadsheets/d/1Uw7-A9f9R21vMXxHZFNpYNeKFtG8_yji4HS352LGlSQ/edit?pli=1#gid=0"",""1_ACUM!A4:S""),11,FALSE))"),"")</f>
        <v/>
      </c>
      <c r="AB612" s="42" t="str">
        <f ca="1">IFERROR(__xludf.DUMMYFUNCTION("IFERROR(VLOOKUP(F635,IMPORTRANGE(""https://docs.google.com/spreadsheets/d/1Kvs4KS76FHFqLFIZfrDMff4kP08nblUkihrxltoGBjg/edit#gid=934712705"",""ESENCIAL!A6:BG""),15,FALSE))"),"")</f>
        <v/>
      </c>
      <c r="AC612" s="110" t="str">
        <f ca="1">IFERROR(__xludf.DUMMYFUNCTION("IFERROR(VLOOKUP(E635&amp;F635,IMPORTRANGE(""https://docs.google.com/spreadsheets/d/1Uw7-A9f9R21vMXxHZFNpYNeKFtG8_yji4HS352LGlSQ/edit?pli=1#gid=0"",""1_ACUM!A4:S""),13,FALSE))"),"")</f>
        <v/>
      </c>
      <c r="AD612" s="43" t="str">
        <f ca="1">IFERROR(__xludf.DUMMYFUNCTION("IFERROR(VLOOKUP(E635&amp;F635,IMPORTRANGE(""https://docs.google.com/spreadsheets/d/1Uw7-A9f9R21vMXxHZFNpYNeKFtG8_yji4HS352LGlSQ/edit?pli=1#gid=0"",""1_ACUM!A4:S""),13,FALSE))"),"")</f>
        <v/>
      </c>
      <c r="AE612" s="43" t="str">
        <f ca="1">IFERROR(__xludf.DUMMYFUNCTION("IFERROR(VLOOKUP(E635&amp;F635,IMPORTRANGE(""https://docs.google.com/spreadsheets/d/1Uw7-A9f9R21vMXxHZFNpYNeKFtG8_yji4HS352LGlSQ/edit?pli=1#gid=0"",""1_ACUM!A4:S""),14,FALSE))"),"")</f>
        <v/>
      </c>
      <c r="AF612" s="43" t="str">
        <f ca="1">IFERROR(__xludf.DUMMYFUNCTION("IFERROR(VLOOKUP(E635&amp;F635,IMPORTRANGE(""https://docs.google.com/spreadsheets/d/1Uw7-A9f9R21vMXxHZFNpYNeKFtG8_yji4HS352LGlSQ/edit?pli=1#gid=0"",""1_ACUM!A4:S""),15,FALSE))"),"")</f>
        <v/>
      </c>
      <c r="AG612" s="43" t="str">
        <f ca="1">IFERROR(__xludf.DUMMYFUNCTION("IFERROR(VLOOKUP(E635&amp;F635,IMPORTRANGE(""https://docs.google.com/spreadsheets/d/1Uw7-A9f9R21vMXxHZFNpYNeKFtG8_yji4HS352LGlSQ/edit?pli=1#gid=0"",""1_ACUM!A4:S""),16,FALSE))"),"")</f>
        <v/>
      </c>
      <c r="AH612" s="43" t="str">
        <f ca="1">IFERROR(__xludf.DUMMYFUNCTION("IFERROR(VLOOKUP(E635&amp;F635,IMPORTRANGE(""https://docs.google.com/spreadsheets/d/1Uw7-A9f9R21vMXxHZFNpYNeKFtG8_yji4HS352LGlSQ/edit?pli=1#gid=0"",""1_ACUM!A4:S""),17,FALSE))"),"")</f>
        <v/>
      </c>
      <c r="AI612" s="44" t="str">
        <f ca="1">IFERROR(__xludf.DUMMYFUNCTION("IFERROR(VLOOKUP(E635&amp;F635,IMPORTRANGE(""https://docs.google.com/spreadsheets/d/1Uw7-A9f9R21vMXxHZFNpYNeKFtG8_yji4HS352LGlSQ/edit?pli=1#gid=0"",""1_ACUM!A4:S""),18,FALSE))"),"")</f>
        <v/>
      </c>
      <c r="AJ612" s="44" t="str">
        <f ca="1">IFERROR(__xludf.DUMMYFUNCTION("IFERROR(VLOOKUP(E635&amp;F635,IMPORTRANGE(""https://docs.google.com/spreadsheets/d/1Uw7-A9f9R21vMXxHZFNpYNeKFtG8_yji4HS352LGlSQ/edit?pli=1#gid=0"",""1_ACUM!A4:S""),19,FALSE))"),"")</f>
        <v/>
      </c>
      <c r="AK612" s="98" t="str">
        <f ca="1">IFERROR(__xludf.DUMMYFUNCTION("IFERROR(VLOOKUP(F635,IMPORTRANGE(""https://docs.google.com/spreadsheets/d/1Kvs4KS76FHFqLFIZfrDMff4kP08nblUkihrxltoGBjg/edit#gid=934712705"",""ESENCIAL!A6:BG""),5,FALSE))"),"")</f>
        <v/>
      </c>
      <c r="AL612" s="98" t="str">
        <f t="shared" si="38"/>
        <v/>
      </c>
      <c r="AM612" s="99" t="str">
        <f t="shared" si="39"/>
        <v/>
      </c>
      <c r="AN612" s="100" t="str">
        <f ca="1">IFERROR(__xludf.DUMMYFUNCTION("IFERROR(VLOOKUP(F635,IMPORTRANGE(""https://docs.google.com/spreadsheets/d/1Kvs4KS76FHFqLFIZfrDMff4kP08nblUkihrxltoGBjg/edit#gid=934712705"",""ESENCIAL!A6:BG""),2,FALSE))"),"")</f>
        <v/>
      </c>
      <c r="AO612" s="19" t="str">
        <f t="shared" si="33"/>
        <v/>
      </c>
      <c r="AP612" s="100"/>
      <c r="AQ612" s="100"/>
    </row>
    <row r="613" spans="1:43" ht="15">
      <c r="A613" s="5"/>
      <c r="B613" s="5"/>
      <c r="G613" s="5" t="str">
        <f ca="1">IFERROR(__xludf.DUMMYFUNCTION("IFERROR(VLOOKUP(F636,IMPORTRANGE(""https://docs.google.com/spreadsheets/d/1Kvs4KS76FHFqLFIZfrDMff4kP08nblUkihrxltoGBjg/edit#gid=934712705"",""ESENCIAL!A6:BG""),3,FALSE))"),"")</f>
        <v/>
      </c>
      <c r="H613" s="5" t="str">
        <f ca="1">IFERROR(__xludf.DUMMYFUNCTION("IFERROR(VLOOKUP(F636,IMPORTRANGE(""https://docs.google.com/spreadsheets/d/1Kvs4KS76FHFqLFIZfrDMff4kP08nblUkihrxltoGBjg/edit#gid=934712705"",""ESENCIAL!A6:BG""),8,FALSE))"),"")</f>
        <v/>
      </c>
      <c r="L613" s="40"/>
      <c r="Z613" s="41" t="str">
        <f t="shared" si="37"/>
        <v/>
      </c>
      <c r="AA613" s="5" t="str">
        <f ca="1">IFERROR(__xludf.DUMMYFUNCTION("IFERROR(VLOOKUP(E636&amp;F636,IMPORTRANGE(""https://docs.google.com/spreadsheets/d/1Uw7-A9f9R21vMXxHZFNpYNeKFtG8_yji4HS352LGlSQ/edit?pli=1#gid=0"",""1_ACUM!A4:S""),11,FALSE))"),"")</f>
        <v/>
      </c>
      <c r="AB613" s="42" t="str">
        <f ca="1">IFERROR(__xludf.DUMMYFUNCTION("IFERROR(VLOOKUP(F636,IMPORTRANGE(""https://docs.google.com/spreadsheets/d/1Kvs4KS76FHFqLFIZfrDMff4kP08nblUkihrxltoGBjg/edit#gid=934712705"",""ESENCIAL!A6:BG""),15,FALSE))"),"")</f>
        <v/>
      </c>
      <c r="AC613" s="110" t="str">
        <f ca="1">IFERROR(__xludf.DUMMYFUNCTION("IFERROR(VLOOKUP(E636&amp;F636,IMPORTRANGE(""https://docs.google.com/spreadsheets/d/1Uw7-A9f9R21vMXxHZFNpYNeKFtG8_yji4HS352LGlSQ/edit?pli=1#gid=0"",""1_ACUM!A4:S""),13,FALSE))"),"")</f>
        <v/>
      </c>
      <c r="AD613" s="43" t="str">
        <f ca="1">IFERROR(__xludf.DUMMYFUNCTION("IFERROR(VLOOKUP(E636&amp;F636,IMPORTRANGE(""https://docs.google.com/spreadsheets/d/1Uw7-A9f9R21vMXxHZFNpYNeKFtG8_yji4HS352LGlSQ/edit?pli=1#gid=0"",""1_ACUM!A4:S""),13,FALSE))"),"")</f>
        <v/>
      </c>
      <c r="AE613" s="43" t="str">
        <f ca="1">IFERROR(__xludf.DUMMYFUNCTION("IFERROR(VLOOKUP(E636&amp;F636,IMPORTRANGE(""https://docs.google.com/spreadsheets/d/1Uw7-A9f9R21vMXxHZFNpYNeKFtG8_yji4HS352LGlSQ/edit?pli=1#gid=0"",""1_ACUM!A4:S""),14,FALSE))"),"")</f>
        <v/>
      </c>
      <c r="AF613" s="43" t="str">
        <f ca="1">IFERROR(__xludf.DUMMYFUNCTION("IFERROR(VLOOKUP(E636&amp;F636,IMPORTRANGE(""https://docs.google.com/spreadsheets/d/1Uw7-A9f9R21vMXxHZFNpYNeKFtG8_yji4HS352LGlSQ/edit?pli=1#gid=0"",""1_ACUM!A4:S""),15,FALSE))"),"")</f>
        <v/>
      </c>
      <c r="AG613" s="43" t="str">
        <f ca="1">IFERROR(__xludf.DUMMYFUNCTION("IFERROR(VLOOKUP(E636&amp;F636,IMPORTRANGE(""https://docs.google.com/spreadsheets/d/1Uw7-A9f9R21vMXxHZFNpYNeKFtG8_yji4HS352LGlSQ/edit?pli=1#gid=0"",""1_ACUM!A4:S""),16,FALSE))"),"")</f>
        <v/>
      </c>
      <c r="AH613" s="43" t="str">
        <f ca="1">IFERROR(__xludf.DUMMYFUNCTION("IFERROR(VLOOKUP(E636&amp;F636,IMPORTRANGE(""https://docs.google.com/spreadsheets/d/1Uw7-A9f9R21vMXxHZFNpYNeKFtG8_yji4HS352LGlSQ/edit?pli=1#gid=0"",""1_ACUM!A4:S""),17,FALSE))"),"")</f>
        <v/>
      </c>
      <c r="AI613" s="44" t="str">
        <f ca="1">IFERROR(__xludf.DUMMYFUNCTION("IFERROR(VLOOKUP(E636&amp;F636,IMPORTRANGE(""https://docs.google.com/spreadsheets/d/1Uw7-A9f9R21vMXxHZFNpYNeKFtG8_yji4HS352LGlSQ/edit?pli=1#gid=0"",""1_ACUM!A4:S""),18,FALSE))"),"")</f>
        <v/>
      </c>
      <c r="AJ613" s="44" t="str">
        <f ca="1">IFERROR(__xludf.DUMMYFUNCTION("IFERROR(VLOOKUP(E636&amp;F636,IMPORTRANGE(""https://docs.google.com/spreadsheets/d/1Uw7-A9f9R21vMXxHZFNpYNeKFtG8_yji4HS352LGlSQ/edit?pli=1#gid=0"",""1_ACUM!A4:S""),19,FALSE))"),"")</f>
        <v/>
      </c>
      <c r="AK613" s="98" t="str">
        <f ca="1">IFERROR(__xludf.DUMMYFUNCTION("IFERROR(VLOOKUP(F636,IMPORTRANGE(""https://docs.google.com/spreadsheets/d/1Kvs4KS76FHFqLFIZfrDMff4kP08nblUkihrxltoGBjg/edit#gid=934712705"",""ESENCIAL!A6:BG""),5,FALSE))"),"")</f>
        <v/>
      </c>
      <c r="AL613" s="98" t="str">
        <f t="shared" si="38"/>
        <v/>
      </c>
      <c r="AM613" s="99" t="str">
        <f t="shared" si="39"/>
        <v/>
      </c>
      <c r="AN613" s="100" t="str">
        <f ca="1">IFERROR(__xludf.DUMMYFUNCTION("IFERROR(VLOOKUP(F636,IMPORTRANGE(""https://docs.google.com/spreadsheets/d/1Kvs4KS76FHFqLFIZfrDMff4kP08nblUkihrxltoGBjg/edit#gid=934712705"",""ESENCIAL!A6:BG""),2,FALSE))"),"")</f>
        <v/>
      </c>
      <c r="AO613" s="19" t="str">
        <f t="shared" si="33"/>
        <v/>
      </c>
      <c r="AP613" s="100"/>
      <c r="AQ613" s="100"/>
    </row>
    <row r="614" spans="1:43" ht="15">
      <c r="A614" s="5"/>
      <c r="B614" s="5"/>
      <c r="G614" s="5" t="str">
        <f ca="1">IFERROR(__xludf.DUMMYFUNCTION("IFERROR(VLOOKUP(F637,IMPORTRANGE(""https://docs.google.com/spreadsheets/d/1Kvs4KS76FHFqLFIZfrDMff4kP08nblUkihrxltoGBjg/edit#gid=934712705"",""ESENCIAL!A6:BG""),3,FALSE))"),"")</f>
        <v/>
      </c>
      <c r="H614" s="5" t="str">
        <f ca="1">IFERROR(__xludf.DUMMYFUNCTION("IFERROR(VLOOKUP(F637,IMPORTRANGE(""https://docs.google.com/spreadsheets/d/1Kvs4KS76FHFqLFIZfrDMff4kP08nblUkihrxltoGBjg/edit#gid=934712705"",""ESENCIAL!A6:BG""),8,FALSE))"),"")</f>
        <v/>
      </c>
      <c r="L614" s="40"/>
      <c r="Z614" s="41" t="str">
        <f t="shared" si="37"/>
        <v/>
      </c>
      <c r="AA614" s="5" t="str">
        <f ca="1">IFERROR(__xludf.DUMMYFUNCTION("IFERROR(VLOOKUP(E637&amp;F637,IMPORTRANGE(""https://docs.google.com/spreadsheets/d/1Uw7-A9f9R21vMXxHZFNpYNeKFtG8_yji4HS352LGlSQ/edit?pli=1#gid=0"",""1_ACUM!A4:S""),11,FALSE))"),"")</f>
        <v/>
      </c>
      <c r="AB614" s="42" t="str">
        <f ca="1">IFERROR(__xludf.DUMMYFUNCTION("IFERROR(VLOOKUP(F637,IMPORTRANGE(""https://docs.google.com/spreadsheets/d/1Kvs4KS76FHFqLFIZfrDMff4kP08nblUkihrxltoGBjg/edit#gid=934712705"",""ESENCIAL!A6:BG""),15,FALSE))"),"")</f>
        <v/>
      </c>
      <c r="AC614" s="110" t="str">
        <f ca="1">IFERROR(__xludf.DUMMYFUNCTION("IFERROR(VLOOKUP(E637&amp;F637,IMPORTRANGE(""https://docs.google.com/spreadsheets/d/1Uw7-A9f9R21vMXxHZFNpYNeKFtG8_yji4HS352LGlSQ/edit?pli=1#gid=0"",""1_ACUM!A4:S""),13,FALSE))"),"")</f>
        <v/>
      </c>
      <c r="AD614" s="43" t="str">
        <f ca="1">IFERROR(__xludf.DUMMYFUNCTION("IFERROR(VLOOKUP(E637&amp;F637,IMPORTRANGE(""https://docs.google.com/spreadsheets/d/1Uw7-A9f9R21vMXxHZFNpYNeKFtG8_yji4HS352LGlSQ/edit?pli=1#gid=0"",""1_ACUM!A4:S""),13,FALSE))"),"")</f>
        <v/>
      </c>
      <c r="AE614" s="43" t="str">
        <f ca="1">IFERROR(__xludf.DUMMYFUNCTION("IFERROR(VLOOKUP(E637&amp;F637,IMPORTRANGE(""https://docs.google.com/spreadsheets/d/1Uw7-A9f9R21vMXxHZFNpYNeKFtG8_yji4HS352LGlSQ/edit?pli=1#gid=0"",""1_ACUM!A4:S""),14,FALSE))"),"")</f>
        <v/>
      </c>
      <c r="AF614" s="43" t="str">
        <f ca="1">IFERROR(__xludf.DUMMYFUNCTION("IFERROR(VLOOKUP(E637&amp;F637,IMPORTRANGE(""https://docs.google.com/spreadsheets/d/1Uw7-A9f9R21vMXxHZFNpYNeKFtG8_yji4HS352LGlSQ/edit?pli=1#gid=0"",""1_ACUM!A4:S""),15,FALSE))"),"")</f>
        <v/>
      </c>
      <c r="AG614" s="43" t="str">
        <f ca="1">IFERROR(__xludf.DUMMYFUNCTION("IFERROR(VLOOKUP(E637&amp;F637,IMPORTRANGE(""https://docs.google.com/spreadsheets/d/1Uw7-A9f9R21vMXxHZFNpYNeKFtG8_yji4HS352LGlSQ/edit?pli=1#gid=0"",""1_ACUM!A4:S""),16,FALSE))"),"")</f>
        <v/>
      </c>
      <c r="AH614" s="43" t="str">
        <f ca="1">IFERROR(__xludf.DUMMYFUNCTION("IFERROR(VLOOKUP(E637&amp;F637,IMPORTRANGE(""https://docs.google.com/spreadsheets/d/1Uw7-A9f9R21vMXxHZFNpYNeKFtG8_yji4HS352LGlSQ/edit?pli=1#gid=0"",""1_ACUM!A4:S""),17,FALSE))"),"")</f>
        <v/>
      </c>
      <c r="AI614" s="44" t="str">
        <f ca="1">IFERROR(__xludf.DUMMYFUNCTION("IFERROR(VLOOKUP(E637&amp;F637,IMPORTRANGE(""https://docs.google.com/spreadsheets/d/1Uw7-A9f9R21vMXxHZFNpYNeKFtG8_yji4HS352LGlSQ/edit?pli=1#gid=0"",""1_ACUM!A4:S""),18,FALSE))"),"")</f>
        <v/>
      </c>
      <c r="AJ614" s="44" t="str">
        <f ca="1">IFERROR(__xludf.DUMMYFUNCTION("IFERROR(VLOOKUP(E637&amp;F637,IMPORTRANGE(""https://docs.google.com/spreadsheets/d/1Uw7-A9f9R21vMXxHZFNpYNeKFtG8_yji4HS352LGlSQ/edit?pli=1#gid=0"",""1_ACUM!A4:S""),19,FALSE))"),"")</f>
        <v/>
      </c>
      <c r="AK614" s="98" t="str">
        <f ca="1">IFERROR(__xludf.DUMMYFUNCTION("IFERROR(VLOOKUP(F637,IMPORTRANGE(""https://docs.google.com/spreadsheets/d/1Kvs4KS76FHFqLFIZfrDMff4kP08nblUkihrxltoGBjg/edit#gid=934712705"",""ESENCIAL!A6:BG""),5,FALSE))"),"")</f>
        <v/>
      </c>
      <c r="AL614" s="98" t="str">
        <f t="shared" si="38"/>
        <v/>
      </c>
      <c r="AM614" s="99" t="str">
        <f t="shared" si="39"/>
        <v/>
      </c>
      <c r="AN614" s="100" t="str">
        <f ca="1">IFERROR(__xludf.DUMMYFUNCTION("IFERROR(VLOOKUP(F637,IMPORTRANGE(""https://docs.google.com/spreadsheets/d/1Kvs4KS76FHFqLFIZfrDMff4kP08nblUkihrxltoGBjg/edit#gid=934712705"",""ESENCIAL!A6:BG""),2,FALSE))"),"")</f>
        <v/>
      </c>
      <c r="AO614" s="19" t="str">
        <f t="shared" si="33"/>
        <v/>
      </c>
      <c r="AP614" s="100"/>
      <c r="AQ614" s="100"/>
    </row>
    <row r="615" spans="1:43" ht="15">
      <c r="A615" s="5"/>
      <c r="B615" s="5"/>
      <c r="G615" s="5" t="str">
        <f ca="1">IFERROR(__xludf.DUMMYFUNCTION("IFERROR(VLOOKUP(F638,IMPORTRANGE(""https://docs.google.com/spreadsheets/d/1Kvs4KS76FHFqLFIZfrDMff4kP08nblUkihrxltoGBjg/edit#gid=934712705"",""ESENCIAL!A6:BG""),3,FALSE))"),"")</f>
        <v/>
      </c>
      <c r="H615" s="5" t="str">
        <f ca="1">IFERROR(__xludf.DUMMYFUNCTION("IFERROR(VLOOKUP(F638,IMPORTRANGE(""https://docs.google.com/spreadsheets/d/1Kvs4KS76FHFqLFIZfrDMff4kP08nblUkihrxltoGBjg/edit#gid=934712705"",""ESENCIAL!A6:BG""),8,FALSE))"),"")</f>
        <v/>
      </c>
      <c r="L615" s="40"/>
      <c r="Z615" s="41" t="str">
        <f t="shared" si="37"/>
        <v/>
      </c>
      <c r="AA615" s="5" t="str">
        <f ca="1">IFERROR(__xludf.DUMMYFUNCTION("IFERROR(VLOOKUP(E638&amp;F638,IMPORTRANGE(""https://docs.google.com/spreadsheets/d/1Uw7-A9f9R21vMXxHZFNpYNeKFtG8_yji4HS352LGlSQ/edit?pli=1#gid=0"",""1_ACUM!A4:S""),11,FALSE))"),"")</f>
        <v/>
      </c>
      <c r="AB615" s="42" t="str">
        <f ca="1">IFERROR(__xludf.DUMMYFUNCTION("IFERROR(VLOOKUP(F638,IMPORTRANGE(""https://docs.google.com/spreadsheets/d/1Kvs4KS76FHFqLFIZfrDMff4kP08nblUkihrxltoGBjg/edit#gid=934712705"",""ESENCIAL!A6:BG""),15,FALSE))"),"")</f>
        <v/>
      </c>
      <c r="AC615" s="110" t="str">
        <f ca="1">IFERROR(__xludf.DUMMYFUNCTION("IFERROR(VLOOKUP(E638&amp;F638,IMPORTRANGE(""https://docs.google.com/spreadsheets/d/1Uw7-A9f9R21vMXxHZFNpYNeKFtG8_yji4HS352LGlSQ/edit?pli=1#gid=0"",""1_ACUM!A4:S""),13,FALSE))"),"")</f>
        <v/>
      </c>
      <c r="AD615" s="43" t="str">
        <f ca="1">IFERROR(__xludf.DUMMYFUNCTION("IFERROR(VLOOKUP(E638&amp;F638,IMPORTRANGE(""https://docs.google.com/spreadsheets/d/1Uw7-A9f9R21vMXxHZFNpYNeKFtG8_yji4HS352LGlSQ/edit?pli=1#gid=0"",""1_ACUM!A4:S""),13,FALSE))"),"")</f>
        <v/>
      </c>
      <c r="AE615" s="43" t="str">
        <f ca="1">IFERROR(__xludf.DUMMYFUNCTION("IFERROR(VLOOKUP(E638&amp;F638,IMPORTRANGE(""https://docs.google.com/spreadsheets/d/1Uw7-A9f9R21vMXxHZFNpYNeKFtG8_yji4HS352LGlSQ/edit?pli=1#gid=0"",""1_ACUM!A4:S""),14,FALSE))"),"")</f>
        <v/>
      </c>
      <c r="AF615" s="43" t="str">
        <f ca="1">IFERROR(__xludf.DUMMYFUNCTION("IFERROR(VLOOKUP(E638&amp;F638,IMPORTRANGE(""https://docs.google.com/spreadsheets/d/1Uw7-A9f9R21vMXxHZFNpYNeKFtG8_yji4HS352LGlSQ/edit?pli=1#gid=0"",""1_ACUM!A4:S""),15,FALSE))"),"")</f>
        <v/>
      </c>
      <c r="AG615" s="43" t="str">
        <f ca="1">IFERROR(__xludf.DUMMYFUNCTION("IFERROR(VLOOKUP(E638&amp;F638,IMPORTRANGE(""https://docs.google.com/spreadsheets/d/1Uw7-A9f9R21vMXxHZFNpYNeKFtG8_yji4HS352LGlSQ/edit?pli=1#gid=0"",""1_ACUM!A4:S""),16,FALSE))"),"")</f>
        <v/>
      </c>
      <c r="AH615" s="43" t="str">
        <f ca="1">IFERROR(__xludf.DUMMYFUNCTION("IFERROR(VLOOKUP(E638&amp;F638,IMPORTRANGE(""https://docs.google.com/spreadsheets/d/1Uw7-A9f9R21vMXxHZFNpYNeKFtG8_yji4HS352LGlSQ/edit?pli=1#gid=0"",""1_ACUM!A4:S""),17,FALSE))"),"")</f>
        <v/>
      </c>
      <c r="AI615" s="44" t="str">
        <f ca="1">IFERROR(__xludf.DUMMYFUNCTION("IFERROR(VLOOKUP(E638&amp;F638,IMPORTRANGE(""https://docs.google.com/spreadsheets/d/1Uw7-A9f9R21vMXxHZFNpYNeKFtG8_yji4HS352LGlSQ/edit?pli=1#gid=0"",""1_ACUM!A4:S""),18,FALSE))"),"")</f>
        <v/>
      </c>
      <c r="AJ615" s="44" t="str">
        <f ca="1">IFERROR(__xludf.DUMMYFUNCTION("IFERROR(VLOOKUP(E638&amp;F638,IMPORTRANGE(""https://docs.google.com/spreadsheets/d/1Uw7-A9f9R21vMXxHZFNpYNeKFtG8_yji4HS352LGlSQ/edit?pli=1#gid=0"",""1_ACUM!A4:S""),19,FALSE))"),"")</f>
        <v/>
      </c>
      <c r="AK615" s="98" t="str">
        <f ca="1">IFERROR(__xludf.DUMMYFUNCTION("IFERROR(VLOOKUP(F638,IMPORTRANGE(""https://docs.google.com/spreadsheets/d/1Kvs4KS76FHFqLFIZfrDMff4kP08nblUkihrxltoGBjg/edit#gid=934712705"",""ESENCIAL!A6:BG""),5,FALSE))"),"")</f>
        <v/>
      </c>
      <c r="AL615" s="98" t="str">
        <f t="shared" si="38"/>
        <v/>
      </c>
      <c r="AM615" s="99" t="str">
        <f t="shared" si="39"/>
        <v/>
      </c>
      <c r="AN615" s="100" t="str">
        <f ca="1">IFERROR(__xludf.DUMMYFUNCTION("IFERROR(VLOOKUP(F638,IMPORTRANGE(""https://docs.google.com/spreadsheets/d/1Kvs4KS76FHFqLFIZfrDMff4kP08nblUkihrxltoGBjg/edit#gid=934712705"",""ESENCIAL!A6:BG""),2,FALSE))"),"")</f>
        <v/>
      </c>
      <c r="AO615" s="19" t="str">
        <f t="shared" si="33"/>
        <v/>
      </c>
      <c r="AP615" s="100"/>
      <c r="AQ615" s="100"/>
    </row>
    <row r="616" spans="1:43" ht="15">
      <c r="A616" s="5"/>
      <c r="B616" s="5"/>
      <c r="G616" s="5" t="str">
        <f ca="1">IFERROR(__xludf.DUMMYFUNCTION("IFERROR(VLOOKUP(F639,IMPORTRANGE(""https://docs.google.com/spreadsheets/d/1Kvs4KS76FHFqLFIZfrDMff4kP08nblUkihrxltoGBjg/edit#gid=934712705"",""ESENCIAL!A6:BG""),3,FALSE))"),"")</f>
        <v/>
      </c>
      <c r="H616" s="5" t="str">
        <f ca="1">IFERROR(__xludf.DUMMYFUNCTION("IFERROR(VLOOKUP(F639,IMPORTRANGE(""https://docs.google.com/spreadsheets/d/1Kvs4KS76FHFqLFIZfrDMff4kP08nblUkihrxltoGBjg/edit#gid=934712705"",""ESENCIAL!A6:BG""),8,FALSE))"),"")</f>
        <v/>
      </c>
      <c r="L616" s="40"/>
      <c r="Z616" s="41" t="str">
        <f t="shared" si="37"/>
        <v/>
      </c>
      <c r="AA616" s="5" t="str">
        <f ca="1">IFERROR(__xludf.DUMMYFUNCTION("IFERROR(VLOOKUP(E639&amp;F639,IMPORTRANGE(""https://docs.google.com/spreadsheets/d/1Uw7-A9f9R21vMXxHZFNpYNeKFtG8_yji4HS352LGlSQ/edit?pli=1#gid=0"",""1_ACUM!A4:S""),11,FALSE))"),"")</f>
        <v/>
      </c>
      <c r="AB616" s="42" t="str">
        <f ca="1">IFERROR(__xludf.DUMMYFUNCTION("IFERROR(VLOOKUP(F639,IMPORTRANGE(""https://docs.google.com/spreadsheets/d/1Kvs4KS76FHFqLFIZfrDMff4kP08nblUkihrxltoGBjg/edit#gid=934712705"",""ESENCIAL!A6:BG""),15,FALSE))"),"")</f>
        <v/>
      </c>
      <c r="AC616" s="110" t="str">
        <f ca="1">IFERROR(__xludf.DUMMYFUNCTION("IFERROR(VLOOKUP(E639&amp;F639,IMPORTRANGE(""https://docs.google.com/spreadsheets/d/1Uw7-A9f9R21vMXxHZFNpYNeKFtG8_yji4HS352LGlSQ/edit?pli=1#gid=0"",""1_ACUM!A4:S""),13,FALSE))"),"")</f>
        <v/>
      </c>
      <c r="AD616" s="43" t="str">
        <f ca="1">IFERROR(__xludf.DUMMYFUNCTION("IFERROR(VLOOKUP(E639&amp;F639,IMPORTRANGE(""https://docs.google.com/spreadsheets/d/1Uw7-A9f9R21vMXxHZFNpYNeKFtG8_yji4HS352LGlSQ/edit?pli=1#gid=0"",""1_ACUM!A4:S""),13,FALSE))"),"")</f>
        <v/>
      </c>
      <c r="AE616" s="43" t="str">
        <f ca="1">IFERROR(__xludf.DUMMYFUNCTION("IFERROR(VLOOKUP(E639&amp;F639,IMPORTRANGE(""https://docs.google.com/spreadsheets/d/1Uw7-A9f9R21vMXxHZFNpYNeKFtG8_yji4HS352LGlSQ/edit?pli=1#gid=0"",""1_ACUM!A4:S""),14,FALSE))"),"")</f>
        <v/>
      </c>
      <c r="AF616" s="43" t="str">
        <f ca="1">IFERROR(__xludf.DUMMYFUNCTION("IFERROR(VLOOKUP(E639&amp;F639,IMPORTRANGE(""https://docs.google.com/spreadsheets/d/1Uw7-A9f9R21vMXxHZFNpYNeKFtG8_yji4HS352LGlSQ/edit?pli=1#gid=0"",""1_ACUM!A4:S""),15,FALSE))"),"")</f>
        <v/>
      </c>
      <c r="AG616" s="43" t="str">
        <f ca="1">IFERROR(__xludf.DUMMYFUNCTION("IFERROR(VLOOKUP(E639&amp;F639,IMPORTRANGE(""https://docs.google.com/spreadsheets/d/1Uw7-A9f9R21vMXxHZFNpYNeKFtG8_yji4HS352LGlSQ/edit?pli=1#gid=0"",""1_ACUM!A4:S""),16,FALSE))"),"")</f>
        <v/>
      </c>
      <c r="AH616" s="43" t="str">
        <f ca="1">IFERROR(__xludf.DUMMYFUNCTION("IFERROR(VLOOKUP(E639&amp;F639,IMPORTRANGE(""https://docs.google.com/spreadsheets/d/1Uw7-A9f9R21vMXxHZFNpYNeKFtG8_yji4HS352LGlSQ/edit?pli=1#gid=0"",""1_ACUM!A4:S""),17,FALSE))"),"")</f>
        <v/>
      </c>
      <c r="AI616" s="44" t="str">
        <f ca="1">IFERROR(__xludf.DUMMYFUNCTION("IFERROR(VLOOKUP(E639&amp;F639,IMPORTRANGE(""https://docs.google.com/spreadsheets/d/1Uw7-A9f9R21vMXxHZFNpYNeKFtG8_yji4HS352LGlSQ/edit?pli=1#gid=0"",""1_ACUM!A4:S""),18,FALSE))"),"")</f>
        <v/>
      </c>
      <c r="AJ616" s="44" t="str">
        <f ca="1">IFERROR(__xludf.DUMMYFUNCTION("IFERROR(VLOOKUP(E639&amp;F639,IMPORTRANGE(""https://docs.google.com/spreadsheets/d/1Uw7-A9f9R21vMXxHZFNpYNeKFtG8_yji4HS352LGlSQ/edit?pli=1#gid=0"",""1_ACUM!A4:S""),19,FALSE))"),"")</f>
        <v/>
      </c>
      <c r="AK616" s="98" t="str">
        <f ca="1">IFERROR(__xludf.DUMMYFUNCTION("IFERROR(VLOOKUP(F639,IMPORTRANGE(""https://docs.google.com/spreadsheets/d/1Kvs4KS76FHFqLFIZfrDMff4kP08nblUkihrxltoGBjg/edit#gid=934712705"",""ESENCIAL!A6:BG""),5,FALSE))"),"")</f>
        <v/>
      </c>
      <c r="AL616" s="98" t="str">
        <f t="shared" si="38"/>
        <v/>
      </c>
      <c r="AM616" s="99" t="str">
        <f t="shared" si="39"/>
        <v/>
      </c>
      <c r="AN616" s="100" t="str">
        <f ca="1">IFERROR(__xludf.DUMMYFUNCTION("IFERROR(VLOOKUP(F639,IMPORTRANGE(""https://docs.google.com/spreadsheets/d/1Kvs4KS76FHFqLFIZfrDMff4kP08nblUkihrxltoGBjg/edit#gid=934712705"",""ESENCIAL!A6:BG""),2,FALSE))"),"")</f>
        <v/>
      </c>
      <c r="AO616" s="19" t="str">
        <f t="shared" si="33"/>
        <v/>
      </c>
      <c r="AP616" s="100"/>
      <c r="AQ616" s="100"/>
    </row>
    <row r="617" spans="1:43" ht="15">
      <c r="A617" s="5"/>
      <c r="B617" s="5"/>
      <c r="G617" s="5" t="str">
        <f ca="1">IFERROR(__xludf.DUMMYFUNCTION("IFERROR(VLOOKUP(F640,IMPORTRANGE(""https://docs.google.com/spreadsheets/d/1Kvs4KS76FHFqLFIZfrDMff4kP08nblUkihrxltoGBjg/edit#gid=934712705"",""ESENCIAL!A6:BG""),3,FALSE))"),"")</f>
        <v/>
      </c>
      <c r="H617" s="5" t="str">
        <f ca="1">IFERROR(__xludf.DUMMYFUNCTION("IFERROR(VLOOKUP(F640,IMPORTRANGE(""https://docs.google.com/spreadsheets/d/1Kvs4KS76FHFqLFIZfrDMff4kP08nblUkihrxltoGBjg/edit#gid=934712705"",""ESENCIAL!A6:BG""),8,FALSE))"),"")</f>
        <v/>
      </c>
      <c r="L617" s="40"/>
      <c r="Z617" s="41" t="str">
        <f t="shared" si="37"/>
        <v/>
      </c>
      <c r="AA617" s="5" t="str">
        <f ca="1">IFERROR(__xludf.DUMMYFUNCTION("IFERROR(VLOOKUP(E640&amp;F640,IMPORTRANGE(""https://docs.google.com/spreadsheets/d/1Uw7-A9f9R21vMXxHZFNpYNeKFtG8_yji4HS352LGlSQ/edit?pli=1#gid=0"",""1_ACUM!A4:S""),11,FALSE))"),"")</f>
        <v/>
      </c>
      <c r="AB617" s="42" t="str">
        <f ca="1">IFERROR(__xludf.DUMMYFUNCTION("IFERROR(VLOOKUP(F640,IMPORTRANGE(""https://docs.google.com/spreadsheets/d/1Kvs4KS76FHFqLFIZfrDMff4kP08nblUkihrxltoGBjg/edit#gid=934712705"",""ESENCIAL!A6:BG""),15,FALSE))"),"")</f>
        <v/>
      </c>
      <c r="AC617" s="110" t="str">
        <f ca="1">IFERROR(__xludf.DUMMYFUNCTION("IFERROR(VLOOKUP(E640&amp;F640,IMPORTRANGE(""https://docs.google.com/spreadsheets/d/1Uw7-A9f9R21vMXxHZFNpYNeKFtG8_yji4HS352LGlSQ/edit?pli=1#gid=0"",""1_ACUM!A4:S""),13,FALSE))"),"")</f>
        <v/>
      </c>
      <c r="AD617" s="43" t="str">
        <f ca="1">IFERROR(__xludf.DUMMYFUNCTION("IFERROR(VLOOKUP(E640&amp;F640,IMPORTRANGE(""https://docs.google.com/spreadsheets/d/1Uw7-A9f9R21vMXxHZFNpYNeKFtG8_yji4HS352LGlSQ/edit?pli=1#gid=0"",""1_ACUM!A4:S""),13,FALSE))"),"")</f>
        <v/>
      </c>
      <c r="AE617" s="43" t="str">
        <f ca="1">IFERROR(__xludf.DUMMYFUNCTION("IFERROR(VLOOKUP(E640&amp;F640,IMPORTRANGE(""https://docs.google.com/spreadsheets/d/1Uw7-A9f9R21vMXxHZFNpYNeKFtG8_yji4HS352LGlSQ/edit?pli=1#gid=0"",""1_ACUM!A4:S""),14,FALSE))"),"")</f>
        <v/>
      </c>
      <c r="AF617" s="43" t="str">
        <f ca="1">IFERROR(__xludf.DUMMYFUNCTION("IFERROR(VLOOKUP(E640&amp;F640,IMPORTRANGE(""https://docs.google.com/spreadsheets/d/1Uw7-A9f9R21vMXxHZFNpYNeKFtG8_yji4HS352LGlSQ/edit?pli=1#gid=0"",""1_ACUM!A4:S""),15,FALSE))"),"")</f>
        <v/>
      </c>
      <c r="AG617" s="43" t="str">
        <f ca="1">IFERROR(__xludf.DUMMYFUNCTION("IFERROR(VLOOKUP(E640&amp;F640,IMPORTRANGE(""https://docs.google.com/spreadsheets/d/1Uw7-A9f9R21vMXxHZFNpYNeKFtG8_yji4HS352LGlSQ/edit?pli=1#gid=0"",""1_ACUM!A4:S""),16,FALSE))"),"")</f>
        <v/>
      </c>
      <c r="AH617" s="43" t="str">
        <f ca="1">IFERROR(__xludf.DUMMYFUNCTION("IFERROR(VLOOKUP(E640&amp;F640,IMPORTRANGE(""https://docs.google.com/spreadsheets/d/1Uw7-A9f9R21vMXxHZFNpYNeKFtG8_yji4HS352LGlSQ/edit?pli=1#gid=0"",""1_ACUM!A4:S""),17,FALSE))"),"")</f>
        <v/>
      </c>
      <c r="AI617" s="44" t="str">
        <f ca="1">IFERROR(__xludf.DUMMYFUNCTION("IFERROR(VLOOKUP(E640&amp;F640,IMPORTRANGE(""https://docs.google.com/spreadsheets/d/1Uw7-A9f9R21vMXxHZFNpYNeKFtG8_yji4HS352LGlSQ/edit?pli=1#gid=0"",""1_ACUM!A4:S""),18,FALSE))"),"")</f>
        <v/>
      </c>
      <c r="AJ617" s="44" t="str">
        <f ca="1">IFERROR(__xludf.DUMMYFUNCTION("IFERROR(VLOOKUP(E640&amp;F640,IMPORTRANGE(""https://docs.google.com/spreadsheets/d/1Uw7-A9f9R21vMXxHZFNpYNeKFtG8_yji4HS352LGlSQ/edit?pli=1#gid=0"",""1_ACUM!A4:S""),19,FALSE))"),"")</f>
        <v/>
      </c>
      <c r="AK617" s="98" t="str">
        <f ca="1">IFERROR(__xludf.DUMMYFUNCTION("IFERROR(VLOOKUP(F640,IMPORTRANGE(""https://docs.google.com/spreadsheets/d/1Kvs4KS76FHFqLFIZfrDMff4kP08nblUkihrxltoGBjg/edit#gid=934712705"",""ESENCIAL!A6:BG""),5,FALSE))"),"")</f>
        <v/>
      </c>
      <c r="AL617" s="98" t="str">
        <f t="shared" si="38"/>
        <v/>
      </c>
      <c r="AM617" s="99" t="str">
        <f t="shared" si="39"/>
        <v/>
      </c>
      <c r="AN617" s="100" t="str">
        <f ca="1">IFERROR(__xludf.DUMMYFUNCTION("IFERROR(VLOOKUP(F640,IMPORTRANGE(""https://docs.google.com/spreadsheets/d/1Kvs4KS76FHFqLFIZfrDMff4kP08nblUkihrxltoGBjg/edit#gid=934712705"",""ESENCIAL!A6:BG""),2,FALSE))"),"")</f>
        <v/>
      </c>
      <c r="AO617" s="19" t="str">
        <f t="shared" si="33"/>
        <v/>
      </c>
      <c r="AP617" s="100"/>
      <c r="AQ617" s="100"/>
    </row>
    <row r="618" spans="1:43" ht="15">
      <c r="A618" s="5"/>
      <c r="B618" s="5"/>
      <c r="G618" s="5" t="str">
        <f ca="1">IFERROR(__xludf.DUMMYFUNCTION("IFERROR(VLOOKUP(F641,IMPORTRANGE(""https://docs.google.com/spreadsheets/d/1Kvs4KS76FHFqLFIZfrDMff4kP08nblUkihrxltoGBjg/edit#gid=934712705"",""ESENCIAL!A6:BG""),3,FALSE))"),"")</f>
        <v/>
      </c>
      <c r="H618" s="5" t="str">
        <f ca="1">IFERROR(__xludf.DUMMYFUNCTION("IFERROR(VLOOKUP(F641,IMPORTRANGE(""https://docs.google.com/spreadsheets/d/1Kvs4KS76FHFqLFIZfrDMff4kP08nblUkihrxltoGBjg/edit#gid=934712705"",""ESENCIAL!A6:BG""),8,FALSE))"),"")</f>
        <v/>
      </c>
      <c r="L618" s="40"/>
      <c r="Z618" s="41" t="str">
        <f t="shared" si="37"/>
        <v/>
      </c>
      <c r="AA618" s="5" t="str">
        <f ca="1">IFERROR(__xludf.DUMMYFUNCTION("IFERROR(VLOOKUP(E641&amp;F641,IMPORTRANGE(""https://docs.google.com/spreadsheets/d/1Uw7-A9f9R21vMXxHZFNpYNeKFtG8_yji4HS352LGlSQ/edit?pli=1#gid=0"",""1_ACUM!A4:S""),11,FALSE))"),"")</f>
        <v/>
      </c>
      <c r="AB618" s="42" t="str">
        <f ca="1">IFERROR(__xludf.DUMMYFUNCTION("IFERROR(VLOOKUP(F641,IMPORTRANGE(""https://docs.google.com/spreadsheets/d/1Kvs4KS76FHFqLFIZfrDMff4kP08nblUkihrxltoGBjg/edit#gid=934712705"",""ESENCIAL!A6:BG""),15,FALSE))"),"")</f>
        <v/>
      </c>
      <c r="AC618" s="110" t="str">
        <f ca="1">IFERROR(__xludf.DUMMYFUNCTION("IFERROR(VLOOKUP(E641&amp;F641,IMPORTRANGE(""https://docs.google.com/spreadsheets/d/1Uw7-A9f9R21vMXxHZFNpYNeKFtG8_yji4HS352LGlSQ/edit?pli=1#gid=0"",""1_ACUM!A4:S""),13,FALSE))"),"")</f>
        <v/>
      </c>
      <c r="AD618" s="43" t="str">
        <f ca="1">IFERROR(__xludf.DUMMYFUNCTION("IFERROR(VLOOKUP(E641&amp;F641,IMPORTRANGE(""https://docs.google.com/spreadsheets/d/1Uw7-A9f9R21vMXxHZFNpYNeKFtG8_yji4HS352LGlSQ/edit?pli=1#gid=0"",""1_ACUM!A4:S""),13,FALSE))"),"")</f>
        <v/>
      </c>
      <c r="AE618" s="43" t="str">
        <f ca="1">IFERROR(__xludf.DUMMYFUNCTION("IFERROR(VLOOKUP(E641&amp;F641,IMPORTRANGE(""https://docs.google.com/spreadsheets/d/1Uw7-A9f9R21vMXxHZFNpYNeKFtG8_yji4HS352LGlSQ/edit?pli=1#gid=0"",""1_ACUM!A4:S""),14,FALSE))"),"")</f>
        <v/>
      </c>
      <c r="AF618" s="43" t="str">
        <f ca="1">IFERROR(__xludf.DUMMYFUNCTION("IFERROR(VLOOKUP(E641&amp;F641,IMPORTRANGE(""https://docs.google.com/spreadsheets/d/1Uw7-A9f9R21vMXxHZFNpYNeKFtG8_yji4HS352LGlSQ/edit?pli=1#gid=0"",""1_ACUM!A4:S""),15,FALSE))"),"")</f>
        <v/>
      </c>
      <c r="AG618" s="43" t="str">
        <f ca="1">IFERROR(__xludf.DUMMYFUNCTION("IFERROR(VLOOKUP(E641&amp;F641,IMPORTRANGE(""https://docs.google.com/spreadsheets/d/1Uw7-A9f9R21vMXxHZFNpYNeKFtG8_yji4HS352LGlSQ/edit?pli=1#gid=0"",""1_ACUM!A4:S""),16,FALSE))"),"")</f>
        <v/>
      </c>
      <c r="AH618" s="43" t="str">
        <f ca="1">IFERROR(__xludf.DUMMYFUNCTION("IFERROR(VLOOKUP(E641&amp;F641,IMPORTRANGE(""https://docs.google.com/spreadsheets/d/1Uw7-A9f9R21vMXxHZFNpYNeKFtG8_yji4HS352LGlSQ/edit?pli=1#gid=0"",""1_ACUM!A4:S""),17,FALSE))"),"")</f>
        <v/>
      </c>
      <c r="AI618" s="44" t="str">
        <f ca="1">IFERROR(__xludf.DUMMYFUNCTION("IFERROR(VLOOKUP(E641&amp;F641,IMPORTRANGE(""https://docs.google.com/spreadsheets/d/1Uw7-A9f9R21vMXxHZFNpYNeKFtG8_yji4HS352LGlSQ/edit?pli=1#gid=0"",""1_ACUM!A4:S""),18,FALSE))"),"")</f>
        <v/>
      </c>
      <c r="AJ618" s="44" t="str">
        <f ca="1">IFERROR(__xludf.DUMMYFUNCTION("IFERROR(VLOOKUP(E641&amp;F641,IMPORTRANGE(""https://docs.google.com/spreadsheets/d/1Uw7-A9f9R21vMXxHZFNpYNeKFtG8_yji4HS352LGlSQ/edit?pli=1#gid=0"",""1_ACUM!A4:S""),19,FALSE))"),"")</f>
        <v/>
      </c>
      <c r="AK618" s="98" t="str">
        <f ca="1">IFERROR(__xludf.DUMMYFUNCTION("IFERROR(VLOOKUP(F641,IMPORTRANGE(""https://docs.google.com/spreadsheets/d/1Kvs4KS76FHFqLFIZfrDMff4kP08nblUkihrxltoGBjg/edit#gid=934712705"",""ESENCIAL!A6:BG""),5,FALSE))"),"")</f>
        <v/>
      </c>
      <c r="AL618" s="98" t="str">
        <f t="shared" si="38"/>
        <v/>
      </c>
      <c r="AM618" s="99" t="str">
        <f t="shared" si="39"/>
        <v/>
      </c>
      <c r="AN618" s="100" t="str">
        <f ca="1">IFERROR(__xludf.DUMMYFUNCTION("IFERROR(VLOOKUP(F641,IMPORTRANGE(""https://docs.google.com/spreadsheets/d/1Kvs4KS76FHFqLFIZfrDMff4kP08nblUkihrxltoGBjg/edit#gid=934712705"",""ESENCIAL!A6:BG""),2,FALSE))"),"")</f>
        <v/>
      </c>
      <c r="AO618" s="19" t="str">
        <f t="shared" si="33"/>
        <v/>
      </c>
      <c r="AP618" s="100"/>
      <c r="AQ618" s="100"/>
    </row>
    <row r="619" spans="1:43" ht="15">
      <c r="A619" s="5"/>
      <c r="B619" s="5"/>
      <c r="G619" s="5" t="str">
        <f ca="1">IFERROR(__xludf.DUMMYFUNCTION("IFERROR(VLOOKUP(F642,IMPORTRANGE(""https://docs.google.com/spreadsheets/d/1Kvs4KS76FHFqLFIZfrDMff4kP08nblUkihrxltoGBjg/edit#gid=934712705"",""ESENCIAL!A6:BG""),3,FALSE))"),"")</f>
        <v/>
      </c>
      <c r="H619" s="5" t="str">
        <f ca="1">IFERROR(__xludf.DUMMYFUNCTION("IFERROR(VLOOKUP(F642,IMPORTRANGE(""https://docs.google.com/spreadsheets/d/1Kvs4KS76FHFqLFIZfrDMff4kP08nblUkihrxltoGBjg/edit#gid=934712705"",""ESENCIAL!A6:BG""),8,FALSE))"),"")</f>
        <v/>
      </c>
      <c r="L619" s="40"/>
      <c r="Z619" s="41" t="str">
        <f t="shared" si="37"/>
        <v/>
      </c>
      <c r="AA619" s="5" t="str">
        <f ca="1">IFERROR(__xludf.DUMMYFUNCTION("IFERROR(VLOOKUP(E642&amp;F642,IMPORTRANGE(""https://docs.google.com/spreadsheets/d/1Uw7-A9f9R21vMXxHZFNpYNeKFtG8_yji4HS352LGlSQ/edit?pli=1#gid=0"",""1_ACUM!A4:S""),11,FALSE))"),"")</f>
        <v/>
      </c>
      <c r="AB619" s="42" t="str">
        <f ca="1">IFERROR(__xludf.DUMMYFUNCTION("IFERROR(VLOOKUP(F642,IMPORTRANGE(""https://docs.google.com/spreadsheets/d/1Kvs4KS76FHFqLFIZfrDMff4kP08nblUkihrxltoGBjg/edit#gid=934712705"",""ESENCIAL!A6:BG""),15,FALSE))"),"")</f>
        <v/>
      </c>
      <c r="AC619" s="110" t="str">
        <f ca="1">IFERROR(__xludf.DUMMYFUNCTION("IFERROR(VLOOKUP(E642&amp;F642,IMPORTRANGE(""https://docs.google.com/spreadsheets/d/1Uw7-A9f9R21vMXxHZFNpYNeKFtG8_yji4HS352LGlSQ/edit?pli=1#gid=0"",""1_ACUM!A4:S""),13,FALSE))"),"")</f>
        <v/>
      </c>
      <c r="AD619" s="43" t="str">
        <f ca="1">IFERROR(__xludf.DUMMYFUNCTION("IFERROR(VLOOKUP(E642&amp;F642,IMPORTRANGE(""https://docs.google.com/spreadsheets/d/1Uw7-A9f9R21vMXxHZFNpYNeKFtG8_yji4HS352LGlSQ/edit?pli=1#gid=0"",""1_ACUM!A4:S""),13,FALSE))"),"")</f>
        <v/>
      </c>
      <c r="AE619" s="43" t="str">
        <f ca="1">IFERROR(__xludf.DUMMYFUNCTION("IFERROR(VLOOKUP(E642&amp;F642,IMPORTRANGE(""https://docs.google.com/spreadsheets/d/1Uw7-A9f9R21vMXxHZFNpYNeKFtG8_yji4HS352LGlSQ/edit?pli=1#gid=0"",""1_ACUM!A4:S""),14,FALSE))"),"")</f>
        <v/>
      </c>
      <c r="AF619" s="43" t="str">
        <f ca="1">IFERROR(__xludf.DUMMYFUNCTION("IFERROR(VLOOKUP(E642&amp;F642,IMPORTRANGE(""https://docs.google.com/spreadsheets/d/1Uw7-A9f9R21vMXxHZFNpYNeKFtG8_yji4HS352LGlSQ/edit?pli=1#gid=0"",""1_ACUM!A4:S""),15,FALSE))"),"")</f>
        <v/>
      </c>
      <c r="AG619" s="43" t="str">
        <f ca="1">IFERROR(__xludf.DUMMYFUNCTION("IFERROR(VLOOKUP(E642&amp;F642,IMPORTRANGE(""https://docs.google.com/spreadsheets/d/1Uw7-A9f9R21vMXxHZFNpYNeKFtG8_yji4HS352LGlSQ/edit?pli=1#gid=0"",""1_ACUM!A4:S""),16,FALSE))"),"")</f>
        <v/>
      </c>
      <c r="AH619" s="43" t="str">
        <f ca="1">IFERROR(__xludf.DUMMYFUNCTION("IFERROR(VLOOKUP(E642&amp;F642,IMPORTRANGE(""https://docs.google.com/spreadsheets/d/1Uw7-A9f9R21vMXxHZFNpYNeKFtG8_yji4HS352LGlSQ/edit?pli=1#gid=0"",""1_ACUM!A4:S""),17,FALSE))"),"")</f>
        <v/>
      </c>
      <c r="AI619" s="44" t="str">
        <f ca="1">IFERROR(__xludf.DUMMYFUNCTION("IFERROR(VLOOKUP(E642&amp;F642,IMPORTRANGE(""https://docs.google.com/spreadsheets/d/1Uw7-A9f9R21vMXxHZFNpYNeKFtG8_yji4HS352LGlSQ/edit?pli=1#gid=0"",""1_ACUM!A4:S""),18,FALSE))"),"")</f>
        <v/>
      </c>
      <c r="AJ619" s="44" t="str">
        <f ca="1">IFERROR(__xludf.DUMMYFUNCTION("IFERROR(VLOOKUP(E642&amp;F642,IMPORTRANGE(""https://docs.google.com/spreadsheets/d/1Uw7-A9f9R21vMXxHZFNpYNeKFtG8_yji4HS352LGlSQ/edit?pli=1#gid=0"",""1_ACUM!A4:S""),19,FALSE))"),"")</f>
        <v/>
      </c>
      <c r="AK619" s="98" t="str">
        <f ca="1">IFERROR(__xludf.DUMMYFUNCTION("IFERROR(VLOOKUP(F642,IMPORTRANGE(""https://docs.google.com/spreadsheets/d/1Kvs4KS76FHFqLFIZfrDMff4kP08nblUkihrxltoGBjg/edit#gid=934712705"",""ESENCIAL!A6:BG""),5,FALSE))"),"")</f>
        <v/>
      </c>
      <c r="AL619" s="98" t="str">
        <f t="shared" si="38"/>
        <v/>
      </c>
      <c r="AM619" s="99" t="str">
        <f t="shared" si="39"/>
        <v/>
      </c>
      <c r="AN619" s="100" t="str">
        <f ca="1">IFERROR(__xludf.DUMMYFUNCTION("IFERROR(VLOOKUP(F642,IMPORTRANGE(""https://docs.google.com/spreadsheets/d/1Kvs4KS76FHFqLFIZfrDMff4kP08nblUkihrxltoGBjg/edit#gid=934712705"",""ESENCIAL!A6:BG""),2,FALSE))"),"")</f>
        <v/>
      </c>
      <c r="AO619" s="19" t="str">
        <f t="shared" si="33"/>
        <v/>
      </c>
      <c r="AP619" s="100"/>
      <c r="AQ619" s="100"/>
    </row>
    <row r="620" spans="1:43" ht="15">
      <c r="A620" s="5"/>
      <c r="B620" s="5"/>
      <c r="G620" s="5" t="str">
        <f ca="1">IFERROR(__xludf.DUMMYFUNCTION("IFERROR(VLOOKUP(F643,IMPORTRANGE(""https://docs.google.com/spreadsheets/d/1Kvs4KS76FHFqLFIZfrDMff4kP08nblUkihrxltoGBjg/edit#gid=934712705"",""ESENCIAL!A6:BG""),3,FALSE))"),"")</f>
        <v/>
      </c>
      <c r="H620" s="5" t="str">
        <f ca="1">IFERROR(__xludf.DUMMYFUNCTION("IFERROR(VLOOKUP(F643,IMPORTRANGE(""https://docs.google.com/spreadsheets/d/1Kvs4KS76FHFqLFIZfrDMff4kP08nblUkihrxltoGBjg/edit#gid=934712705"",""ESENCIAL!A6:BG""),8,FALSE))"),"")</f>
        <v/>
      </c>
      <c r="L620" s="40"/>
      <c r="Z620" s="41" t="str">
        <f t="shared" si="37"/>
        <v/>
      </c>
      <c r="AA620" s="5" t="str">
        <f ca="1">IFERROR(__xludf.DUMMYFUNCTION("IFERROR(VLOOKUP(E643&amp;F643,IMPORTRANGE(""https://docs.google.com/spreadsheets/d/1Uw7-A9f9R21vMXxHZFNpYNeKFtG8_yji4HS352LGlSQ/edit?pli=1#gid=0"",""1_ACUM!A4:S""),11,FALSE))"),"")</f>
        <v/>
      </c>
      <c r="AB620" s="42" t="str">
        <f ca="1">IFERROR(__xludf.DUMMYFUNCTION("IFERROR(VLOOKUP(F643,IMPORTRANGE(""https://docs.google.com/spreadsheets/d/1Kvs4KS76FHFqLFIZfrDMff4kP08nblUkihrxltoGBjg/edit#gid=934712705"",""ESENCIAL!A6:BG""),15,FALSE))"),"")</f>
        <v/>
      </c>
      <c r="AC620" s="110" t="str">
        <f ca="1">IFERROR(__xludf.DUMMYFUNCTION("IFERROR(VLOOKUP(E643&amp;F643,IMPORTRANGE(""https://docs.google.com/spreadsheets/d/1Uw7-A9f9R21vMXxHZFNpYNeKFtG8_yji4HS352LGlSQ/edit?pli=1#gid=0"",""1_ACUM!A4:S""),13,FALSE))"),"")</f>
        <v/>
      </c>
      <c r="AD620" s="43" t="str">
        <f ca="1">IFERROR(__xludf.DUMMYFUNCTION("IFERROR(VLOOKUP(E643&amp;F643,IMPORTRANGE(""https://docs.google.com/spreadsheets/d/1Uw7-A9f9R21vMXxHZFNpYNeKFtG8_yji4HS352LGlSQ/edit?pli=1#gid=0"",""1_ACUM!A4:S""),13,FALSE))"),"")</f>
        <v/>
      </c>
      <c r="AE620" s="43" t="str">
        <f ca="1">IFERROR(__xludf.DUMMYFUNCTION("IFERROR(VLOOKUP(E643&amp;F643,IMPORTRANGE(""https://docs.google.com/spreadsheets/d/1Uw7-A9f9R21vMXxHZFNpYNeKFtG8_yji4HS352LGlSQ/edit?pli=1#gid=0"",""1_ACUM!A4:S""),14,FALSE))"),"")</f>
        <v/>
      </c>
      <c r="AF620" s="43" t="str">
        <f ca="1">IFERROR(__xludf.DUMMYFUNCTION("IFERROR(VLOOKUP(E643&amp;F643,IMPORTRANGE(""https://docs.google.com/spreadsheets/d/1Uw7-A9f9R21vMXxHZFNpYNeKFtG8_yji4HS352LGlSQ/edit?pli=1#gid=0"",""1_ACUM!A4:S""),15,FALSE))"),"")</f>
        <v/>
      </c>
      <c r="AG620" s="43" t="str">
        <f ca="1">IFERROR(__xludf.DUMMYFUNCTION("IFERROR(VLOOKUP(E643&amp;F643,IMPORTRANGE(""https://docs.google.com/spreadsheets/d/1Uw7-A9f9R21vMXxHZFNpYNeKFtG8_yji4HS352LGlSQ/edit?pli=1#gid=0"",""1_ACUM!A4:S""),16,FALSE))"),"")</f>
        <v/>
      </c>
      <c r="AH620" s="43" t="str">
        <f ca="1">IFERROR(__xludf.DUMMYFUNCTION("IFERROR(VLOOKUP(E643&amp;F643,IMPORTRANGE(""https://docs.google.com/spreadsheets/d/1Uw7-A9f9R21vMXxHZFNpYNeKFtG8_yji4HS352LGlSQ/edit?pli=1#gid=0"",""1_ACUM!A4:S""),17,FALSE))"),"")</f>
        <v/>
      </c>
      <c r="AI620" s="44" t="str">
        <f ca="1">IFERROR(__xludf.DUMMYFUNCTION("IFERROR(VLOOKUP(E643&amp;F643,IMPORTRANGE(""https://docs.google.com/spreadsheets/d/1Uw7-A9f9R21vMXxHZFNpYNeKFtG8_yji4HS352LGlSQ/edit?pli=1#gid=0"",""1_ACUM!A4:S""),18,FALSE))"),"")</f>
        <v/>
      </c>
      <c r="AJ620" s="44" t="str">
        <f ca="1">IFERROR(__xludf.DUMMYFUNCTION("IFERROR(VLOOKUP(E643&amp;F643,IMPORTRANGE(""https://docs.google.com/spreadsheets/d/1Uw7-A9f9R21vMXxHZFNpYNeKFtG8_yji4HS352LGlSQ/edit?pli=1#gid=0"",""1_ACUM!A4:S""),19,FALSE))"),"")</f>
        <v/>
      </c>
      <c r="AK620" s="98" t="str">
        <f ca="1">IFERROR(__xludf.DUMMYFUNCTION("IFERROR(VLOOKUP(F643,IMPORTRANGE(""https://docs.google.com/spreadsheets/d/1Kvs4KS76FHFqLFIZfrDMff4kP08nblUkihrxltoGBjg/edit#gid=934712705"",""ESENCIAL!A6:BG""),5,FALSE))"),"")</f>
        <v/>
      </c>
      <c r="AL620" s="98" t="str">
        <f t="shared" si="38"/>
        <v/>
      </c>
      <c r="AM620" s="99" t="str">
        <f t="shared" si="39"/>
        <v/>
      </c>
      <c r="AN620" s="100" t="str">
        <f ca="1">IFERROR(__xludf.DUMMYFUNCTION("IFERROR(VLOOKUP(F643,IMPORTRANGE(""https://docs.google.com/spreadsheets/d/1Kvs4KS76FHFqLFIZfrDMff4kP08nblUkihrxltoGBjg/edit#gid=934712705"",""ESENCIAL!A6:BG""),2,FALSE))"),"")</f>
        <v/>
      </c>
      <c r="AO620" s="19" t="str">
        <f t="shared" si="33"/>
        <v/>
      </c>
      <c r="AP620" s="100"/>
      <c r="AQ620" s="100"/>
    </row>
    <row r="621" spans="1:43" ht="15">
      <c r="A621" s="5"/>
      <c r="B621" s="5"/>
      <c r="G621" s="5" t="str">
        <f ca="1">IFERROR(__xludf.DUMMYFUNCTION("IFERROR(VLOOKUP(F644,IMPORTRANGE(""https://docs.google.com/spreadsheets/d/1Kvs4KS76FHFqLFIZfrDMff4kP08nblUkihrxltoGBjg/edit#gid=934712705"",""ESENCIAL!A6:BG""),3,FALSE))"),"")</f>
        <v/>
      </c>
      <c r="H621" s="5" t="str">
        <f ca="1">IFERROR(__xludf.DUMMYFUNCTION("IFERROR(VLOOKUP(F644,IMPORTRANGE(""https://docs.google.com/spreadsheets/d/1Kvs4KS76FHFqLFIZfrDMff4kP08nblUkihrxltoGBjg/edit#gid=934712705"",""ESENCIAL!A6:BG""),8,FALSE))"),"")</f>
        <v/>
      </c>
      <c r="L621" s="40"/>
      <c r="Z621" s="41" t="str">
        <f t="shared" si="37"/>
        <v/>
      </c>
      <c r="AA621" s="5" t="str">
        <f ca="1">IFERROR(__xludf.DUMMYFUNCTION("IFERROR(VLOOKUP(E644&amp;F644,IMPORTRANGE(""https://docs.google.com/spreadsheets/d/1Uw7-A9f9R21vMXxHZFNpYNeKFtG8_yji4HS352LGlSQ/edit?pli=1#gid=0"",""1_ACUM!A4:S""),11,FALSE))"),"")</f>
        <v/>
      </c>
      <c r="AB621" s="42" t="str">
        <f ca="1">IFERROR(__xludf.DUMMYFUNCTION("IFERROR(VLOOKUP(F644,IMPORTRANGE(""https://docs.google.com/spreadsheets/d/1Kvs4KS76FHFqLFIZfrDMff4kP08nblUkihrxltoGBjg/edit#gid=934712705"",""ESENCIAL!A6:BG""),15,FALSE))"),"")</f>
        <v/>
      </c>
      <c r="AC621" s="110" t="str">
        <f ca="1">IFERROR(__xludf.DUMMYFUNCTION("IFERROR(VLOOKUP(E644&amp;F644,IMPORTRANGE(""https://docs.google.com/spreadsheets/d/1Uw7-A9f9R21vMXxHZFNpYNeKFtG8_yji4HS352LGlSQ/edit?pli=1#gid=0"",""1_ACUM!A4:S""),13,FALSE))"),"")</f>
        <v/>
      </c>
      <c r="AD621" s="43" t="str">
        <f ca="1">IFERROR(__xludf.DUMMYFUNCTION("IFERROR(VLOOKUP(E644&amp;F644,IMPORTRANGE(""https://docs.google.com/spreadsheets/d/1Uw7-A9f9R21vMXxHZFNpYNeKFtG8_yji4HS352LGlSQ/edit?pli=1#gid=0"",""1_ACUM!A4:S""),13,FALSE))"),"")</f>
        <v/>
      </c>
      <c r="AE621" s="43" t="str">
        <f ca="1">IFERROR(__xludf.DUMMYFUNCTION("IFERROR(VLOOKUP(E644&amp;F644,IMPORTRANGE(""https://docs.google.com/spreadsheets/d/1Uw7-A9f9R21vMXxHZFNpYNeKFtG8_yji4HS352LGlSQ/edit?pli=1#gid=0"",""1_ACUM!A4:S""),14,FALSE))"),"")</f>
        <v/>
      </c>
      <c r="AF621" s="43" t="str">
        <f ca="1">IFERROR(__xludf.DUMMYFUNCTION("IFERROR(VLOOKUP(E644&amp;F644,IMPORTRANGE(""https://docs.google.com/spreadsheets/d/1Uw7-A9f9R21vMXxHZFNpYNeKFtG8_yji4HS352LGlSQ/edit?pli=1#gid=0"",""1_ACUM!A4:S""),15,FALSE))"),"")</f>
        <v/>
      </c>
      <c r="AG621" s="43" t="str">
        <f ca="1">IFERROR(__xludf.DUMMYFUNCTION("IFERROR(VLOOKUP(E644&amp;F644,IMPORTRANGE(""https://docs.google.com/spreadsheets/d/1Uw7-A9f9R21vMXxHZFNpYNeKFtG8_yji4HS352LGlSQ/edit?pli=1#gid=0"",""1_ACUM!A4:S""),16,FALSE))"),"")</f>
        <v/>
      </c>
      <c r="AH621" s="43" t="str">
        <f ca="1">IFERROR(__xludf.DUMMYFUNCTION("IFERROR(VLOOKUP(E644&amp;F644,IMPORTRANGE(""https://docs.google.com/spreadsheets/d/1Uw7-A9f9R21vMXxHZFNpYNeKFtG8_yji4HS352LGlSQ/edit?pli=1#gid=0"",""1_ACUM!A4:S""),17,FALSE))"),"")</f>
        <v/>
      </c>
      <c r="AI621" s="44" t="str">
        <f ca="1">IFERROR(__xludf.DUMMYFUNCTION("IFERROR(VLOOKUP(E644&amp;F644,IMPORTRANGE(""https://docs.google.com/spreadsheets/d/1Uw7-A9f9R21vMXxHZFNpYNeKFtG8_yji4HS352LGlSQ/edit?pli=1#gid=0"",""1_ACUM!A4:S""),18,FALSE))"),"")</f>
        <v/>
      </c>
      <c r="AJ621" s="44" t="str">
        <f ca="1">IFERROR(__xludf.DUMMYFUNCTION("IFERROR(VLOOKUP(E644&amp;F644,IMPORTRANGE(""https://docs.google.com/spreadsheets/d/1Uw7-A9f9R21vMXxHZFNpYNeKFtG8_yji4HS352LGlSQ/edit?pli=1#gid=0"",""1_ACUM!A4:S""),19,FALSE))"),"")</f>
        <v/>
      </c>
      <c r="AK621" s="98" t="str">
        <f ca="1">IFERROR(__xludf.DUMMYFUNCTION("IFERROR(VLOOKUP(F644,IMPORTRANGE(""https://docs.google.com/spreadsheets/d/1Kvs4KS76FHFqLFIZfrDMff4kP08nblUkihrxltoGBjg/edit#gid=934712705"",""ESENCIAL!A6:BG""),5,FALSE))"),"")</f>
        <v/>
      </c>
      <c r="AL621" s="98" t="str">
        <f t="shared" si="38"/>
        <v/>
      </c>
      <c r="AM621" s="99" t="str">
        <f t="shared" si="39"/>
        <v/>
      </c>
      <c r="AN621" s="100" t="str">
        <f ca="1">IFERROR(__xludf.DUMMYFUNCTION("IFERROR(VLOOKUP(F644,IMPORTRANGE(""https://docs.google.com/spreadsheets/d/1Kvs4KS76FHFqLFIZfrDMff4kP08nblUkihrxltoGBjg/edit#gid=934712705"",""ESENCIAL!A6:BG""),2,FALSE))"),"")</f>
        <v/>
      </c>
      <c r="AO621" s="19" t="str">
        <f t="shared" si="33"/>
        <v/>
      </c>
      <c r="AP621" s="100"/>
      <c r="AQ621" s="100"/>
    </row>
    <row r="622" spans="1:43" ht="15">
      <c r="A622" s="5"/>
      <c r="B622" s="5"/>
      <c r="G622" s="5" t="str">
        <f ca="1">IFERROR(__xludf.DUMMYFUNCTION("IFERROR(VLOOKUP(F645,IMPORTRANGE(""https://docs.google.com/spreadsheets/d/1Kvs4KS76FHFqLFIZfrDMff4kP08nblUkihrxltoGBjg/edit#gid=934712705"",""ESENCIAL!A6:BG""),3,FALSE))"),"")</f>
        <v/>
      </c>
      <c r="H622" s="5" t="str">
        <f ca="1">IFERROR(__xludf.DUMMYFUNCTION("IFERROR(VLOOKUP(F645,IMPORTRANGE(""https://docs.google.com/spreadsheets/d/1Kvs4KS76FHFqLFIZfrDMff4kP08nblUkihrxltoGBjg/edit#gid=934712705"",""ESENCIAL!A6:BG""),8,FALSE))"),"")</f>
        <v/>
      </c>
      <c r="L622" s="40"/>
      <c r="Z622" s="41" t="str">
        <f t="shared" si="37"/>
        <v/>
      </c>
      <c r="AA622" s="5" t="str">
        <f ca="1">IFERROR(__xludf.DUMMYFUNCTION("IFERROR(VLOOKUP(E645&amp;F645,IMPORTRANGE(""https://docs.google.com/spreadsheets/d/1Uw7-A9f9R21vMXxHZFNpYNeKFtG8_yji4HS352LGlSQ/edit?pli=1#gid=0"",""1_ACUM!A4:S""),11,FALSE))"),"")</f>
        <v/>
      </c>
      <c r="AB622" s="42" t="str">
        <f ca="1">IFERROR(__xludf.DUMMYFUNCTION("IFERROR(VLOOKUP(F645,IMPORTRANGE(""https://docs.google.com/spreadsheets/d/1Kvs4KS76FHFqLFIZfrDMff4kP08nblUkihrxltoGBjg/edit#gid=934712705"",""ESENCIAL!A6:BG""),15,FALSE))"),"")</f>
        <v/>
      </c>
      <c r="AC622" s="110" t="str">
        <f ca="1">IFERROR(__xludf.DUMMYFUNCTION("IFERROR(VLOOKUP(E645&amp;F645,IMPORTRANGE(""https://docs.google.com/spreadsheets/d/1Uw7-A9f9R21vMXxHZFNpYNeKFtG8_yji4HS352LGlSQ/edit?pli=1#gid=0"",""1_ACUM!A4:S""),13,FALSE))"),"")</f>
        <v/>
      </c>
      <c r="AD622" s="43" t="str">
        <f ca="1">IFERROR(__xludf.DUMMYFUNCTION("IFERROR(VLOOKUP(E645&amp;F645,IMPORTRANGE(""https://docs.google.com/spreadsheets/d/1Uw7-A9f9R21vMXxHZFNpYNeKFtG8_yji4HS352LGlSQ/edit?pli=1#gid=0"",""1_ACUM!A4:S""),13,FALSE))"),"")</f>
        <v/>
      </c>
      <c r="AE622" s="43" t="str">
        <f ca="1">IFERROR(__xludf.DUMMYFUNCTION("IFERROR(VLOOKUP(E645&amp;F645,IMPORTRANGE(""https://docs.google.com/spreadsheets/d/1Uw7-A9f9R21vMXxHZFNpYNeKFtG8_yji4HS352LGlSQ/edit?pli=1#gid=0"",""1_ACUM!A4:S""),14,FALSE))"),"")</f>
        <v/>
      </c>
      <c r="AF622" s="43" t="str">
        <f ca="1">IFERROR(__xludf.DUMMYFUNCTION("IFERROR(VLOOKUP(E645&amp;F645,IMPORTRANGE(""https://docs.google.com/spreadsheets/d/1Uw7-A9f9R21vMXxHZFNpYNeKFtG8_yji4HS352LGlSQ/edit?pli=1#gid=0"",""1_ACUM!A4:S""),15,FALSE))"),"")</f>
        <v/>
      </c>
      <c r="AG622" s="43" t="str">
        <f ca="1">IFERROR(__xludf.DUMMYFUNCTION("IFERROR(VLOOKUP(E645&amp;F645,IMPORTRANGE(""https://docs.google.com/spreadsheets/d/1Uw7-A9f9R21vMXxHZFNpYNeKFtG8_yji4HS352LGlSQ/edit?pli=1#gid=0"",""1_ACUM!A4:S""),16,FALSE))"),"")</f>
        <v/>
      </c>
      <c r="AH622" s="43" t="str">
        <f ca="1">IFERROR(__xludf.DUMMYFUNCTION("IFERROR(VLOOKUP(E645&amp;F645,IMPORTRANGE(""https://docs.google.com/spreadsheets/d/1Uw7-A9f9R21vMXxHZFNpYNeKFtG8_yji4HS352LGlSQ/edit?pli=1#gid=0"",""1_ACUM!A4:S""),17,FALSE))"),"")</f>
        <v/>
      </c>
      <c r="AI622" s="44" t="str">
        <f ca="1">IFERROR(__xludf.DUMMYFUNCTION("IFERROR(VLOOKUP(E645&amp;F645,IMPORTRANGE(""https://docs.google.com/spreadsheets/d/1Uw7-A9f9R21vMXxHZFNpYNeKFtG8_yji4HS352LGlSQ/edit?pli=1#gid=0"",""1_ACUM!A4:S""),18,FALSE))"),"")</f>
        <v/>
      </c>
      <c r="AJ622" s="44" t="str">
        <f ca="1">IFERROR(__xludf.DUMMYFUNCTION("IFERROR(VLOOKUP(E645&amp;F645,IMPORTRANGE(""https://docs.google.com/spreadsheets/d/1Uw7-A9f9R21vMXxHZFNpYNeKFtG8_yji4HS352LGlSQ/edit?pli=1#gid=0"",""1_ACUM!A4:S""),19,FALSE))"),"")</f>
        <v/>
      </c>
      <c r="AK622" s="98" t="str">
        <f ca="1">IFERROR(__xludf.DUMMYFUNCTION("IFERROR(VLOOKUP(F645,IMPORTRANGE(""https://docs.google.com/spreadsheets/d/1Kvs4KS76FHFqLFIZfrDMff4kP08nblUkihrxltoGBjg/edit#gid=934712705"",""ESENCIAL!A6:BG""),5,FALSE))"),"")</f>
        <v/>
      </c>
      <c r="AL622" s="98" t="str">
        <f t="shared" si="38"/>
        <v/>
      </c>
      <c r="AM622" s="99" t="str">
        <f t="shared" si="39"/>
        <v/>
      </c>
      <c r="AN622" s="100" t="str">
        <f ca="1">IFERROR(__xludf.DUMMYFUNCTION("IFERROR(VLOOKUP(F645,IMPORTRANGE(""https://docs.google.com/spreadsheets/d/1Kvs4KS76FHFqLFIZfrDMff4kP08nblUkihrxltoGBjg/edit#gid=934712705"",""ESENCIAL!A6:BG""),2,FALSE))"),"")</f>
        <v/>
      </c>
      <c r="AO622" s="19" t="str">
        <f t="shared" si="33"/>
        <v/>
      </c>
      <c r="AP622" s="100"/>
      <c r="AQ622" s="100"/>
    </row>
    <row r="623" spans="1:43" ht="15">
      <c r="A623" s="5"/>
      <c r="B623" s="5"/>
      <c r="G623" s="5" t="str">
        <f ca="1">IFERROR(__xludf.DUMMYFUNCTION("IFERROR(VLOOKUP(F646,IMPORTRANGE(""https://docs.google.com/spreadsheets/d/1Kvs4KS76FHFqLFIZfrDMff4kP08nblUkihrxltoGBjg/edit#gid=934712705"",""ESENCIAL!A6:BG""),3,FALSE))"),"")</f>
        <v/>
      </c>
      <c r="H623" s="5" t="str">
        <f ca="1">IFERROR(__xludf.DUMMYFUNCTION("IFERROR(VLOOKUP(F646,IMPORTRANGE(""https://docs.google.com/spreadsheets/d/1Kvs4KS76FHFqLFIZfrDMff4kP08nblUkihrxltoGBjg/edit#gid=934712705"",""ESENCIAL!A6:BG""),8,FALSE))"),"")</f>
        <v/>
      </c>
      <c r="L623" s="40"/>
      <c r="Z623" s="41" t="str">
        <f t="shared" si="37"/>
        <v/>
      </c>
      <c r="AA623" s="5" t="str">
        <f ca="1">IFERROR(__xludf.DUMMYFUNCTION("IFERROR(VLOOKUP(E646&amp;F646,IMPORTRANGE(""https://docs.google.com/spreadsheets/d/1Uw7-A9f9R21vMXxHZFNpYNeKFtG8_yji4HS352LGlSQ/edit?pli=1#gid=0"",""1_ACUM!A4:S""),11,FALSE))"),"")</f>
        <v/>
      </c>
      <c r="AB623" s="42" t="str">
        <f ca="1">IFERROR(__xludf.DUMMYFUNCTION("IFERROR(VLOOKUP(F646,IMPORTRANGE(""https://docs.google.com/spreadsheets/d/1Kvs4KS76FHFqLFIZfrDMff4kP08nblUkihrxltoGBjg/edit#gid=934712705"",""ESENCIAL!A6:BG""),15,FALSE))"),"")</f>
        <v/>
      </c>
      <c r="AC623" s="110" t="str">
        <f ca="1">IFERROR(__xludf.DUMMYFUNCTION("IFERROR(VLOOKUP(E646&amp;F646,IMPORTRANGE(""https://docs.google.com/spreadsheets/d/1Uw7-A9f9R21vMXxHZFNpYNeKFtG8_yji4HS352LGlSQ/edit?pli=1#gid=0"",""1_ACUM!A4:S""),13,FALSE))"),"")</f>
        <v/>
      </c>
      <c r="AD623" s="43" t="str">
        <f ca="1">IFERROR(__xludf.DUMMYFUNCTION("IFERROR(VLOOKUP(E646&amp;F646,IMPORTRANGE(""https://docs.google.com/spreadsheets/d/1Uw7-A9f9R21vMXxHZFNpYNeKFtG8_yji4HS352LGlSQ/edit?pli=1#gid=0"",""1_ACUM!A4:S""),13,FALSE))"),"")</f>
        <v/>
      </c>
      <c r="AE623" s="43" t="str">
        <f ca="1">IFERROR(__xludf.DUMMYFUNCTION("IFERROR(VLOOKUP(E646&amp;F646,IMPORTRANGE(""https://docs.google.com/spreadsheets/d/1Uw7-A9f9R21vMXxHZFNpYNeKFtG8_yji4HS352LGlSQ/edit?pli=1#gid=0"",""1_ACUM!A4:S""),14,FALSE))"),"")</f>
        <v/>
      </c>
      <c r="AF623" s="43" t="str">
        <f ca="1">IFERROR(__xludf.DUMMYFUNCTION("IFERROR(VLOOKUP(E646&amp;F646,IMPORTRANGE(""https://docs.google.com/spreadsheets/d/1Uw7-A9f9R21vMXxHZFNpYNeKFtG8_yji4HS352LGlSQ/edit?pli=1#gid=0"",""1_ACUM!A4:S""),15,FALSE))"),"")</f>
        <v/>
      </c>
      <c r="AG623" s="43" t="str">
        <f ca="1">IFERROR(__xludf.DUMMYFUNCTION("IFERROR(VLOOKUP(E646&amp;F646,IMPORTRANGE(""https://docs.google.com/spreadsheets/d/1Uw7-A9f9R21vMXxHZFNpYNeKFtG8_yji4HS352LGlSQ/edit?pli=1#gid=0"",""1_ACUM!A4:S""),16,FALSE))"),"")</f>
        <v/>
      </c>
      <c r="AH623" s="43" t="str">
        <f ca="1">IFERROR(__xludf.DUMMYFUNCTION("IFERROR(VLOOKUP(E646&amp;F646,IMPORTRANGE(""https://docs.google.com/spreadsheets/d/1Uw7-A9f9R21vMXxHZFNpYNeKFtG8_yji4HS352LGlSQ/edit?pli=1#gid=0"",""1_ACUM!A4:S""),17,FALSE))"),"")</f>
        <v/>
      </c>
      <c r="AI623" s="44" t="str">
        <f ca="1">IFERROR(__xludf.DUMMYFUNCTION("IFERROR(VLOOKUP(E646&amp;F646,IMPORTRANGE(""https://docs.google.com/spreadsheets/d/1Uw7-A9f9R21vMXxHZFNpYNeKFtG8_yji4HS352LGlSQ/edit?pli=1#gid=0"",""1_ACUM!A4:S""),18,FALSE))"),"")</f>
        <v/>
      </c>
      <c r="AJ623" s="44" t="str">
        <f ca="1">IFERROR(__xludf.DUMMYFUNCTION("IFERROR(VLOOKUP(E646&amp;F646,IMPORTRANGE(""https://docs.google.com/spreadsheets/d/1Uw7-A9f9R21vMXxHZFNpYNeKFtG8_yji4HS352LGlSQ/edit?pli=1#gid=0"",""1_ACUM!A4:S""),19,FALSE))"),"")</f>
        <v/>
      </c>
      <c r="AK623" s="98" t="str">
        <f ca="1">IFERROR(__xludf.DUMMYFUNCTION("IFERROR(VLOOKUP(F646,IMPORTRANGE(""https://docs.google.com/spreadsheets/d/1Kvs4KS76FHFqLFIZfrDMff4kP08nblUkihrxltoGBjg/edit#gid=934712705"",""ESENCIAL!A6:BG""),5,FALSE))"),"")</f>
        <v/>
      </c>
      <c r="AL623" s="98" t="str">
        <f t="shared" si="38"/>
        <v/>
      </c>
      <c r="AM623" s="99" t="str">
        <f t="shared" si="39"/>
        <v/>
      </c>
      <c r="AN623" s="100" t="str">
        <f ca="1">IFERROR(__xludf.DUMMYFUNCTION("IFERROR(VLOOKUP(F646,IMPORTRANGE(""https://docs.google.com/spreadsheets/d/1Kvs4KS76FHFqLFIZfrDMff4kP08nblUkihrxltoGBjg/edit#gid=934712705"",""ESENCIAL!A6:BG""),2,FALSE))"),"")</f>
        <v/>
      </c>
      <c r="AO623" s="19" t="str">
        <f t="shared" si="33"/>
        <v/>
      </c>
      <c r="AP623" s="100"/>
      <c r="AQ623" s="100"/>
    </row>
    <row r="624" spans="1:43" ht="15">
      <c r="A624" s="5"/>
      <c r="B624" s="5"/>
      <c r="G624" s="5" t="str">
        <f ca="1">IFERROR(__xludf.DUMMYFUNCTION("IFERROR(VLOOKUP(F647,IMPORTRANGE(""https://docs.google.com/spreadsheets/d/1Kvs4KS76FHFqLFIZfrDMff4kP08nblUkihrxltoGBjg/edit#gid=934712705"",""ESENCIAL!A6:BG""),3,FALSE))"),"")</f>
        <v/>
      </c>
      <c r="H624" s="5" t="str">
        <f ca="1">IFERROR(__xludf.DUMMYFUNCTION("IFERROR(VLOOKUP(F647,IMPORTRANGE(""https://docs.google.com/spreadsheets/d/1Kvs4KS76FHFqLFIZfrDMff4kP08nblUkihrxltoGBjg/edit#gid=934712705"",""ESENCIAL!A6:BG""),8,FALSE))"),"")</f>
        <v/>
      </c>
      <c r="L624" s="40"/>
      <c r="Z624" s="41" t="str">
        <f t="shared" si="37"/>
        <v/>
      </c>
      <c r="AA624" s="5" t="str">
        <f ca="1">IFERROR(__xludf.DUMMYFUNCTION("IFERROR(VLOOKUP(E647&amp;F647,IMPORTRANGE(""https://docs.google.com/spreadsheets/d/1Uw7-A9f9R21vMXxHZFNpYNeKFtG8_yji4HS352LGlSQ/edit?pli=1#gid=0"",""1_ACUM!A4:S""),11,FALSE))"),"")</f>
        <v/>
      </c>
      <c r="AB624" s="42" t="str">
        <f ca="1">IFERROR(__xludf.DUMMYFUNCTION("IFERROR(VLOOKUP(F647,IMPORTRANGE(""https://docs.google.com/spreadsheets/d/1Kvs4KS76FHFqLFIZfrDMff4kP08nblUkihrxltoGBjg/edit#gid=934712705"",""ESENCIAL!A6:BG""),15,FALSE))"),"")</f>
        <v/>
      </c>
      <c r="AC624" s="110" t="str">
        <f ca="1">IFERROR(__xludf.DUMMYFUNCTION("IFERROR(VLOOKUP(E647&amp;F647,IMPORTRANGE(""https://docs.google.com/spreadsheets/d/1Uw7-A9f9R21vMXxHZFNpYNeKFtG8_yji4HS352LGlSQ/edit?pli=1#gid=0"",""1_ACUM!A4:S""),13,FALSE))"),"")</f>
        <v/>
      </c>
      <c r="AD624" s="43" t="str">
        <f ca="1">IFERROR(__xludf.DUMMYFUNCTION("IFERROR(VLOOKUP(E647&amp;F647,IMPORTRANGE(""https://docs.google.com/spreadsheets/d/1Uw7-A9f9R21vMXxHZFNpYNeKFtG8_yji4HS352LGlSQ/edit?pli=1#gid=0"",""1_ACUM!A4:S""),13,FALSE))"),"")</f>
        <v/>
      </c>
      <c r="AE624" s="43" t="str">
        <f ca="1">IFERROR(__xludf.DUMMYFUNCTION("IFERROR(VLOOKUP(E647&amp;F647,IMPORTRANGE(""https://docs.google.com/spreadsheets/d/1Uw7-A9f9R21vMXxHZFNpYNeKFtG8_yji4HS352LGlSQ/edit?pli=1#gid=0"",""1_ACUM!A4:S""),14,FALSE))"),"")</f>
        <v/>
      </c>
      <c r="AF624" s="43" t="str">
        <f ca="1">IFERROR(__xludf.DUMMYFUNCTION("IFERROR(VLOOKUP(E647&amp;F647,IMPORTRANGE(""https://docs.google.com/spreadsheets/d/1Uw7-A9f9R21vMXxHZFNpYNeKFtG8_yji4HS352LGlSQ/edit?pli=1#gid=0"",""1_ACUM!A4:S""),15,FALSE))"),"")</f>
        <v/>
      </c>
      <c r="AG624" s="43" t="str">
        <f ca="1">IFERROR(__xludf.DUMMYFUNCTION("IFERROR(VLOOKUP(E647&amp;F647,IMPORTRANGE(""https://docs.google.com/spreadsheets/d/1Uw7-A9f9R21vMXxHZFNpYNeKFtG8_yji4HS352LGlSQ/edit?pli=1#gid=0"",""1_ACUM!A4:S""),16,FALSE))"),"")</f>
        <v/>
      </c>
      <c r="AH624" s="43" t="str">
        <f ca="1">IFERROR(__xludf.DUMMYFUNCTION("IFERROR(VLOOKUP(E647&amp;F647,IMPORTRANGE(""https://docs.google.com/spreadsheets/d/1Uw7-A9f9R21vMXxHZFNpYNeKFtG8_yji4HS352LGlSQ/edit?pli=1#gid=0"",""1_ACUM!A4:S""),17,FALSE))"),"")</f>
        <v/>
      </c>
      <c r="AI624" s="44" t="str">
        <f ca="1">IFERROR(__xludf.DUMMYFUNCTION("IFERROR(VLOOKUP(E647&amp;F647,IMPORTRANGE(""https://docs.google.com/spreadsheets/d/1Uw7-A9f9R21vMXxHZFNpYNeKFtG8_yji4HS352LGlSQ/edit?pli=1#gid=0"",""1_ACUM!A4:S""),18,FALSE))"),"")</f>
        <v/>
      </c>
      <c r="AJ624" s="44" t="str">
        <f ca="1">IFERROR(__xludf.DUMMYFUNCTION("IFERROR(VLOOKUP(E647&amp;F647,IMPORTRANGE(""https://docs.google.com/spreadsheets/d/1Uw7-A9f9R21vMXxHZFNpYNeKFtG8_yji4HS352LGlSQ/edit?pli=1#gid=0"",""1_ACUM!A4:S""),19,FALSE))"),"")</f>
        <v/>
      </c>
      <c r="AK624" s="98" t="str">
        <f ca="1">IFERROR(__xludf.DUMMYFUNCTION("IFERROR(VLOOKUP(F647,IMPORTRANGE(""https://docs.google.com/spreadsheets/d/1Kvs4KS76FHFqLFIZfrDMff4kP08nblUkihrxltoGBjg/edit#gid=934712705"",""ESENCIAL!A6:BG""),5,FALSE))"),"")</f>
        <v/>
      </c>
      <c r="AL624" s="98" t="str">
        <f t="shared" si="38"/>
        <v/>
      </c>
      <c r="AM624" s="99" t="str">
        <f t="shared" si="39"/>
        <v/>
      </c>
      <c r="AN624" s="100" t="str">
        <f ca="1">IFERROR(__xludf.DUMMYFUNCTION("IFERROR(VLOOKUP(F647,IMPORTRANGE(""https://docs.google.com/spreadsheets/d/1Kvs4KS76FHFqLFIZfrDMff4kP08nblUkihrxltoGBjg/edit#gid=934712705"",""ESENCIAL!A6:BG""),2,FALSE))"),"")</f>
        <v/>
      </c>
      <c r="AO624" s="19" t="str">
        <f t="shared" si="33"/>
        <v/>
      </c>
      <c r="AP624" s="100"/>
      <c r="AQ624" s="100"/>
    </row>
    <row r="625" spans="1:43" ht="15">
      <c r="A625" s="5"/>
      <c r="B625" s="5"/>
      <c r="G625" s="5" t="str">
        <f ca="1">IFERROR(__xludf.DUMMYFUNCTION("IFERROR(VLOOKUP(F648,IMPORTRANGE(""https://docs.google.com/spreadsheets/d/1Kvs4KS76FHFqLFIZfrDMff4kP08nblUkihrxltoGBjg/edit#gid=934712705"",""ESENCIAL!A6:BG""),3,FALSE))"),"")</f>
        <v/>
      </c>
      <c r="H625" s="5" t="str">
        <f ca="1">IFERROR(__xludf.DUMMYFUNCTION("IFERROR(VLOOKUP(F648,IMPORTRANGE(""https://docs.google.com/spreadsheets/d/1Kvs4KS76FHFqLFIZfrDMff4kP08nblUkihrxltoGBjg/edit#gid=934712705"",""ESENCIAL!A6:BG""),8,FALSE))"),"")</f>
        <v/>
      </c>
      <c r="L625" s="40"/>
      <c r="Z625" s="41" t="str">
        <f t="shared" si="37"/>
        <v/>
      </c>
      <c r="AA625" s="5" t="str">
        <f ca="1">IFERROR(__xludf.DUMMYFUNCTION("IFERROR(VLOOKUP(E648&amp;F648,IMPORTRANGE(""https://docs.google.com/spreadsheets/d/1Uw7-A9f9R21vMXxHZFNpYNeKFtG8_yji4HS352LGlSQ/edit?pli=1#gid=0"",""1_ACUM!A4:S""),11,FALSE))"),"")</f>
        <v/>
      </c>
      <c r="AB625" s="42" t="str">
        <f ca="1">IFERROR(__xludf.DUMMYFUNCTION("IFERROR(VLOOKUP(F648,IMPORTRANGE(""https://docs.google.com/spreadsheets/d/1Kvs4KS76FHFqLFIZfrDMff4kP08nblUkihrxltoGBjg/edit#gid=934712705"",""ESENCIAL!A6:BG""),15,FALSE))"),"")</f>
        <v/>
      </c>
      <c r="AC625" s="110" t="str">
        <f ca="1">IFERROR(__xludf.DUMMYFUNCTION("IFERROR(VLOOKUP(E648&amp;F648,IMPORTRANGE(""https://docs.google.com/spreadsheets/d/1Uw7-A9f9R21vMXxHZFNpYNeKFtG8_yji4HS352LGlSQ/edit?pli=1#gid=0"",""1_ACUM!A4:S""),13,FALSE))"),"")</f>
        <v/>
      </c>
      <c r="AD625" s="43" t="str">
        <f ca="1">IFERROR(__xludf.DUMMYFUNCTION("IFERROR(VLOOKUP(E648&amp;F648,IMPORTRANGE(""https://docs.google.com/spreadsheets/d/1Uw7-A9f9R21vMXxHZFNpYNeKFtG8_yji4HS352LGlSQ/edit?pli=1#gid=0"",""1_ACUM!A4:S""),13,FALSE))"),"")</f>
        <v/>
      </c>
      <c r="AE625" s="43" t="str">
        <f ca="1">IFERROR(__xludf.DUMMYFUNCTION("IFERROR(VLOOKUP(E648&amp;F648,IMPORTRANGE(""https://docs.google.com/spreadsheets/d/1Uw7-A9f9R21vMXxHZFNpYNeKFtG8_yji4HS352LGlSQ/edit?pli=1#gid=0"",""1_ACUM!A4:S""),14,FALSE))"),"")</f>
        <v/>
      </c>
      <c r="AF625" s="43" t="str">
        <f ca="1">IFERROR(__xludf.DUMMYFUNCTION("IFERROR(VLOOKUP(E648&amp;F648,IMPORTRANGE(""https://docs.google.com/spreadsheets/d/1Uw7-A9f9R21vMXxHZFNpYNeKFtG8_yji4HS352LGlSQ/edit?pli=1#gid=0"",""1_ACUM!A4:S""),15,FALSE))"),"")</f>
        <v/>
      </c>
      <c r="AG625" s="43" t="str">
        <f ca="1">IFERROR(__xludf.DUMMYFUNCTION("IFERROR(VLOOKUP(E648&amp;F648,IMPORTRANGE(""https://docs.google.com/spreadsheets/d/1Uw7-A9f9R21vMXxHZFNpYNeKFtG8_yji4HS352LGlSQ/edit?pli=1#gid=0"",""1_ACUM!A4:S""),16,FALSE))"),"")</f>
        <v/>
      </c>
      <c r="AH625" s="43" t="str">
        <f ca="1">IFERROR(__xludf.DUMMYFUNCTION("IFERROR(VLOOKUP(E648&amp;F648,IMPORTRANGE(""https://docs.google.com/spreadsheets/d/1Uw7-A9f9R21vMXxHZFNpYNeKFtG8_yji4HS352LGlSQ/edit?pli=1#gid=0"",""1_ACUM!A4:S""),17,FALSE))"),"")</f>
        <v/>
      </c>
      <c r="AI625" s="44" t="str">
        <f ca="1">IFERROR(__xludf.DUMMYFUNCTION("IFERROR(VLOOKUP(E648&amp;F648,IMPORTRANGE(""https://docs.google.com/spreadsheets/d/1Uw7-A9f9R21vMXxHZFNpYNeKFtG8_yji4HS352LGlSQ/edit?pli=1#gid=0"",""1_ACUM!A4:S""),18,FALSE))"),"")</f>
        <v/>
      </c>
      <c r="AJ625" s="44" t="str">
        <f ca="1">IFERROR(__xludf.DUMMYFUNCTION("IFERROR(VLOOKUP(E648&amp;F648,IMPORTRANGE(""https://docs.google.com/spreadsheets/d/1Uw7-A9f9R21vMXxHZFNpYNeKFtG8_yji4HS352LGlSQ/edit?pli=1#gid=0"",""1_ACUM!A4:S""),19,FALSE))"),"")</f>
        <v/>
      </c>
      <c r="AK625" s="98" t="str">
        <f ca="1">IFERROR(__xludf.DUMMYFUNCTION("IFERROR(VLOOKUP(F648,IMPORTRANGE(""https://docs.google.com/spreadsheets/d/1Kvs4KS76FHFqLFIZfrDMff4kP08nblUkihrxltoGBjg/edit#gid=934712705"",""ESENCIAL!A6:BG""),5,FALSE))"),"")</f>
        <v/>
      </c>
      <c r="AL625" s="98" t="str">
        <f t="shared" si="38"/>
        <v/>
      </c>
      <c r="AM625" s="99" t="str">
        <f t="shared" si="39"/>
        <v/>
      </c>
      <c r="AN625" s="100" t="str">
        <f ca="1">IFERROR(__xludf.DUMMYFUNCTION("IFERROR(VLOOKUP(F648,IMPORTRANGE(""https://docs.google.com/spreadsheets/d/1Kvs4KS76FHFqLFIZfrDMff4kP08nblUkihrxltoGBjg/edit#gid=934712705"",""ESENCIAL!A6:BG""),2,FALSE))"),"")</f>
        <v/>
      </c>
      <c r="AO625" s="19" t="str">
        <f t="shared" si="33"/>
        <v/>
      </c>
      <c r="AP625" s="100"/>
      <c r="AQ625" s="100"/>
    </row>
    <row r="626" spans="1:43" ht="15">
      <c r="A626" s="5"/>
      <c r="B626" s="5"/>
      <c r="G626" s="5" t="str">
        <f ca="1">IFERROR(__xludf.DUMMYFUNCTION("IFERROR(VLOOKUP(F649,IMPORTRANGE(""https://docs.google.com/spreadsheets/d/1Kvs4KS76FHFqLFIZfrDMff4kP08nblUkihrxltoGBjg/edit#gid=934712705"",""ESENCIAL!A6:BG""),3,FALSE))"),"")</f>
        <v/>
      </c>
      <c r="H626" s="5" t="str">
        <f ca="1">IFERROR(__xludf.DUMMYFUNCTION("IFERROR(VLOOKUP(F649,IMPORTRANGE(""https://docs.google.com/spreadsheets/d/1Kvs4KS76FHFqLFIZfrDMff4kP08nblUkihrxltoGBjg/edit#gid=934712705"",""ESENCIAL!A6:BG""),8,FALSE))"),"")</f>
        <v/>
      </c>
      <c r="L626" s="40"/>
      <c r="Z626" s="41" t="str">
        <f t="shared" si="37"/>
        <v/>
      </c>
      <c r="AA626" s="5" t="str">
        <f ca="1">IFERROR(__xludf.DUMMYFUNCTION("IFERROR(VLOOKUP(E649&amp;F649,IMPORTRANGE(""https://docs.google.com/spreadsheets/d/1Uw7-A9f9R21vMXxHZFNpYNeKFtG8_yji4HS352LGlSQ/edit?pli=1#gid=0"",""1_ACUM!A4:S""),11,FALSE))"),"")</f>
        <v/>
      </c>
      <c r="AB626" s="42" t="str">
        <f ca="1">IFERROR(__xludf.DUMMYFUNCTION("IFERROR(VLOOKUP(F649,IMPORTRANGE(""https://docs.google.com/spreadsheets/d/1Kvs4KS76FHFqLFIZfrDMff4kP08nblUkihrxltoGBjg/edit#gid=934712705"",""ESENCIAL!A6:BG""),15,FALSE))"),"")</f>
        <v/>
      </c>
      <c r="AC626" s="110" t="str">
        <f ca="1">IFERROR(__xludf.DUMMYFUNCTION("IFERROR(VLOOKUP(E649&amp;F649,IMPORTRANGE(""https://docs.google.com/spreadsheets/d/1Uw7-A9f9R21vMXxHZFNpYNeKFtG8_yji4HS352LGlSQ/edit?pli=1#gid=0"",""1_ACUM!A4:S""),13,FALSE))"),"")</f>
        <v/>
      </c>
      <c r="AD626" s="43" t="str">
        <f ca="1">IFERROR(__xludf.DUMMYFUNCTION("IFERROR(VLOOKUP(E649&amp;F649,IMPORTRANGE(""https://docs.google.com/spreadsheets/d/1Uw7-A9f9R21vMXxHZFNpYNeKFtG8_yji4HS352LGlSQ/edit?pli=1#gid=0"",""1_ACUM!A4:S""),13,FALSE))"),"")</f>
        <v/>
      </c>
      <c r="AE626" s="43" t="str">
        <f ca="1">IFERROR(__xludf.DUMMYFUNCTION("IFERROR(VLOOKUP(E649&amp;F649,IMPORTRANGE(""https://docs.google.com/spreadsheets/d/1Uw7-A9f9R21vMXxHZFNpYNeKFtG8_yji4HS352LGlSQ/edit?pli=1#gid=0"",""1_ACUM!A4:S""),14,FALSE))"),"")</f>
        <v/>
      </c>
      <c r="AF626" s="43" t="str">
        <f ca="1">IFERROR(__xludf.DUMMYFUNCTION("IFERROR(VLOOKUP(E649&amp;F649,IMPORTRANGE(""https://docs.google.com/spreadsheets/d/1Uw7-A9f9R21vMXxHZFNpYNeKFtG8_yji4HS352LGlSQ/edit?pli=1#gid=0"",""1_ACUM!A4:S""),15,FALSE))"),"")</f>
        <v/>
      </c>
      <c r="AG626" s="43" t="str">
        <f ca="1">IFERROR(__xludf.DUMMYFUNCTION("IFERROR(VLOOKUP(E649&amp;F649,IMPORTRANGE(""https://docs.google.com/spreadsheets/d/1Uw7-A9f9R21vMXxHZFNpYNeKFtG8_yji4HS352LGlSQ/edit?pli=1#gid=0"",""1_ACUM!A4:S""),16,FALSE))"),"")</f>
        <v/>
      </c>
      <c r="AH626" s="43" t="str">
        <f ca="1">IFERROR(__xludf.DUMMYFUNCTION("IFERROR(VLOOKUP(E649&amp;F649,IMPORTRANGE(""https://docs.google.com/spreadsheets/d/1Uw7-A9f9R21vMXxHZFNpYNeKFtG8_yji4HS352LGlSQ/edit?pli=1#gid=0"",""1_ACUM!A4:S""),17,FALSE))"),"")</f>
        <v/>
      </c>
      <c r="AI626" s="44" t="str">
        <f ca="1">IFERROR(__xludf.DUMMYFUNCTION("IFERROR(VLOOKUP(E649&amp;F649,IMPORTRANGE(""https://docs.google.com/spreadsheets/d/1Uw7-A9f9R21vMXxHZFNpYNeKFtG8_yji4HS352LGlSQ/edit?pli=1#gid=0"",""1_ACUM!A4:S""),18,FALSE))"),"")</f>
        <v/>
      </c>
      <c r="AJ626" s="44" t="str">
        <f ca="1">IFERROR(__xludf.DUMMYFUNCTION("IFERROR(VLOOKUP(E649&amp;F649,IMPORTRANGE(""https://docs.google.com/spreadsheets/d/1Uw7-A9f9R21vMXxHZFNpYNeKFtG8_yji4HS352LGlSQ/edit?pli=1#gid=0"",""1_ACUM!A4:S""),19,FALSE))"),"")</f>
        <v/>
      </c>
      <c r="AK626" s="98" t="str">
        <f ca="1">IFERROR(__xludf.DUMMYFUNCTION("IFERROR(VLOOKUP(F649,IMPORTRANGE(""https://docs.google.com/spreadsheets/d/1Kvs4KS76FHFqLFIZfrDMff4kP08nblUkihrxltoGBjg/edit#gid=934712705"",""ESENCIAL!A6:BG""),5,FALSE))"),"")</f>
        <v/>
      </c>
      <c r="AL626" s="98" t="str">
        <f t="shared" si="38"/>
        <v/>
      </c>
      <c r="AM626" s="99" t="str">
        <f t="shared" si="39"/>
        <v/>
      </c>
      <c r="AN626" s="100" t="str">
        <f ca="1">IFERROR(__xludf.DUMMYFUNCTION("IFERROR(VLOOKUP(F649,IMPORTRANGE(""https://docs.google.com/spreadsheets/d/1Kvs4KS76FHFqLFIZfrDMff4kP08nblUkihrxltoGBjg/edit#gid=934712705"",""ESENCIAL!A6:BG""),2,FALSE))"),"")</f>
        <v/>
      </c>
      <c r="AO626" s="19" t="str">
        <f t="shared" si="33"/>
        <v/>
      </c>
      <c r="AP626" s="100"/>
      <c r="AQ626" s="100"/>
    </row>
    <row r="627" spans="1:43" ht="15">
      <c r="A627" s="5"/>
      <c r="B627" s="5"/>
      <c r="G627" s="5" t="str">
        <f ca="1">IFERROR(__xludf.DUMMYFUNCTION("IFERROR(VLOOKUP(F650,IMPORTRANGE(""https://docs.google.com/spreadsheets/d/1Kvs4KS76FHFqLFIZfrDMff4kP08nblUkihrxltoGBjg/edit#gid=934712705"",""ESENCIAL!A6:BG""),3,FALSE))"),"")</f>
        <v/>
      </c>
      <c r="H627" s="5" t="str">
        <f ca="1">IFERROR(__xludf.DUMMYFUNCTION("IFERROR(VLOOKUP(F650,IMPORTRANGE(""https://docs.google.com/spreadsheets/d/1Kvs4KS76FHFqLFIZfrDMff4kP08nblUkihrxltoGBjg/edit#gid=934712705"",""ESENCIAL!A6:BG""),8,FALSE))"),"")</f>
        <v/>
      </c>
      <c r="L627" s="40"/>
      <c r="Z627" s="41" t="str">
        <f t="shared" si="37"/>
        <v/>
      </c>
      <c r="AA627" s="5" t="str">
        <f ca="1">IFERROR(__xludf.DUMMYFUNCTION("IFERROR(VLOOKUP(E650&amp;F650,IMPORTRANGE(""https://docs.google.com/spreadsheets/d/1Uw7-A9f9R21vMXxHZFNpYNeKFtG8_yji4HS352LGlSQ/edit?pli=1#gid=0"",""1_ACUM!A4:S""),11,FALSE))"),"")</f>
        <v/>
      </c>
      <c r="AB627" s="42" t="str">
        <f ca="1">IFERROR(__xludf.DUMMYFUNCTION("IFERROR(VLOOKUP(F650,IMPORTRANGE(""https://docs.google.com/spreadsheets/d/1Kvs4KS76FHFqLFIZfrDMff4kP08nblUkihrxltoGBjg/edit#gid=934712705"",""ESENCIAL!A6:BG""),15,FALSE))"),"")</f>
        <v/>
      </c>
      <c r="AC627" s="110" t="str">
        <f ca="1">IFERROR(__xludf.DUMMYFUNCTION("IFERROR(VLOOKUP(E650&amp;F650,IMPORTRANGE(""https://docs.google.com/spreadsheets/d/1Uw7-A9f9R21vMXxHZFNpYNeKFtG8_yji4HS352LGlSQ/edit?pli=1#gid=0"",""1_ACUM!A4:S""),13,FALSE))"),"")</f>
        <v/>
      </c>
      <c r="AD627" s="43" t="str">
        <f ca="1">IFERROR(__xludf.DUMMYFUNCTION("IFERROR(VLOOKUP(E650&amp;F650,IMPORTRANGE(""https://docs.google.com/spreadsheets/d/1Uw7-A9f9R21vMXxHZFNpYNeKFtG8_yji4HS352LGlSQ/edit?pli=1#gid=0"",""1_ACUM!A4:S""),13,FALSE))"),"")</f>
        <v/>
      </c>
      <c r="AE627" s="43" t="str">
        <f ca="1">IFERROR(__xludf.DUMMYFUNCTION("IFERROR(VLOOKUP(E650&amp;F650,IMPORTRANGE(""https://docs.google.com/spreadsheets/d/1Uw7-A9f9R21vMXxHZFNpYNeKFtG8_yji4HS352LGlSQ/edit?pli=1#gid=0"",""1_ACUM!A4:S""),14,FALSE))"),"")</f>
        <v/>
      </c>
      <c r="AF627" s="43" t="str">
        <f ca="1">IFERROR(__xludf.DUMMYFUNCTION("IFERROR(VLOOKUP(E650&amp;F650,IMPORTRANGE(""https://docs.google.com/spreadsheets/d/1Uw7-A9f9R21vMXxHZFNpYNeKFtG8_yji4HS352LGlSQ/edit?pli=1#gid=0"",""1_ACUM!A4:S""),15,FALSE))"),"")</f>
        <v/>
      </c>
      <c r="AG627" s="43" t="str">
        <f ca="1">IFERROR(__xludf.DUMMYFUNCTION("IFERROR(VLOOKUP(E650&amp;F650,IMPORTRANGE(""https://docs.google.com/spreadsheets/d/1Uw7-A9f9R21vMXxHZFNpYNeKFtG8_yji4HS352LGlSQ/edit?pli=1#gid=0"",""1_ACUM!A4:S""),16,FALSE))"),"")</f>
        <v/>
      </c>
      <c r="AH627" s="43" t="str">
        <f ca="1">IFERROR(__xludf.DUMMYFUNCTION("IFERROR(VLOOKUP(E650&amp;F650,IMPORTRANGE(""https://docs.google.com/spreadsheets/d/1Uw7-A9f9R21vMXxHZFNpYNeKFtG8_yji4HS352LGlSQ/edit?pli=1#gid=0"",""1_ACUM!A4:S""),17,FALSE))"),"")</f>
        <v/>
      </c>
      <c r="AI627" s="44" t="str">
        <f ca="1">IFERROR(__xludf.DUMMYFUNCTION("IFERROR(VLOOKUP(E650&amp;F650,IMPORTRANGE(""https://docs.google.com/spreadsheets/d/1Uw7-A9f9R21vMXxHZFNpYNeKFtG8_yji4HS352LGlSQ/edit?pli=1#gid=0"",""1_ACUM!A4:S""),18,FALSE))"),"")</f>
        <v/>
      </c>
      <c r="AJ627" s="44" t="str">
        <f ca="1">IFERROR(__xludf.DUMMYFUNCTION("IFERROR(VLOOKUP(E650&amp;F650,IMPORTRANGE(""https://docs.google.com/spreadsheets/d/1Uw7-A9f9R21vMXxHZFNpYNeKFtG8_yji4HS352LGlSQ/edit?pli=1#gid=0"",""1_ACUM!A4:S""),19,FALSE))"),"")</f>
        <v/>
      </c>
      <c r="AK627" s="98" t="str">
        <f ca="1">IFERROR(__xludf.DUMMYFUNCTION("IFERROR(VLOOKUP(F650,IMPORTRANGE(""https://docs.google.com/spreadsheets/d/1Kvs4KS76FHFqLFIZfrDMff4kP08nblUkihrxltoGBjg/edit#gid=934712705"",""ESENCIAL!A6:BG""),5,FALSE))"),"")</f>
        <v/>
      </c>
      <c r="AL627" s="98" t="str">
        <f t="shared" si="38"/>
        <v/>
      </c>
      <c r="AM627" s="99" t="str">
        <f t="shared" si="39"/>
        <v/>
      </c>
      <c r="AN627" s="100" t="str">
        <f ca="1">IFERROR(__xludf.DUMMYFUNCTION("IFERROR(VLOOKUP(F650,IMPORTRANGE(""https://docs.google.com/spreadsheets/d/1Kvs4KS76FHFqLFIZfrDMff4kP08nblUkihrxltoGBjg/edit#gid=934712705"",""ESENCIAL!A6:BG""),2,FALSE))"),"")</f>
        <v/>
      </c>
      <c r="AO627" s="19" t="str">
        <f t="shared" si="33"/>
        <v/>
      </c>
      <c r="AP627" s="100"/>
      <c r="AQ627" s="100"/>
    </row>
    <row r="628" spans="1:43" ht="15">
      <c r="A628" s="5"/>
      <c r="B628" s="5"/>
      <c r="G628" s="5" t="str">
        <f ca="1">IFERROR(__xludf.DUMMYFUNCTION("IFERROR(VLOOKUP(F651,IMPORTRANGE(""https://docs.google.com/spreadsheets/d/1Kvs4KS76FHFqLFIZfrDMff4kP08nblUkihrxltoGBjg/edit#gid=934712705"",""ESENCIAL!A6:BG""),3,FALSE))"),"")</f>
        <v/>
      </c>
      <c r="H628" s="5" t="str">
        <f ca="1">IFERROR(__xludf.DUMMYFUNCTION("IFERROR(VLOOKUP(F651,IMPORTRANGE(""https://docs.google.com/spreadsheets/d/1Kvs4KS76FHFqLFIZfrDMff4kP08nblUkihrxltoGBjg/edit#gid=934712705"",""ESENCIAL!A6:BG""),8,FALSE))"),"")</f>
        <v/>
      </c>
      <c r="L628" s="40"/>
      <c r="Z628" s="41" t="str">
        <f t="shared" si="37"/>
        <v/>
      </c>
      <c r="AA628" s="5" t="str">
        <f ca="1">IFERROR(__xludf.DUMMYFUNCTION("IFERROR(VLOOKUP(E651&amp;F651,IMPORTRANGE(""https://docs.google.com/spreadsheets/d/1Uw7-A9f9R21vMXxHZFNpYNeKFtG8_yji4HS352LGlSQ/edit?pli=1#gid=0"",""1_ACUM!A4:S""),11,FALSE))"),"")</f>
        <v/>
      </c>
      <c r="AB628" s="42" t="str">
        <f ca="1">IFERROR(__xludf.DUMMYFUNCTION("IFERROR(VLOOKUP(F651,IMPORTRANGE(""https://docs.google.com/spreadsheets/d/1Kvs4KS76FHFqLFIZfrDMff4kP08nblUkihrxltoGBjg/edit#gid=934712705"",""ESENCIAL!A6:BG""),15,FALSE))"),"")</f>
        <v/>
      </c>
      <c r="AC628" s="110" t="str">
        <f ca="1">IFERROR(__xludf.DUMMYFUNCTION("IFERROR(VLOOKUP(E651&amp;F651,IMPORTRANGE(""https://docs.google.com/spreadsheets/d/1Uw7-A9f9R21vMXxHZFNpYNeKFtG8_yji4HS352LGlSQ/edit?pli=1#gid=0"",""1_ACUM!A4:S""),13,FALSE))"),"")</f>
        <v/>
      </c>
      <c r="AD628" s="43" t="str">
        <f ca="1">IFERROR(__xludf.DUMMYFUNCTION("IFERROR(VLOOKUP(E651&amp;F651,IMPORTRANGE(""https://docs.google.com/spreadsheets/d/1Uw7-A9f9R21vMXxHZFNpYNeKFtG8_yji4HS352LGlSQ/edit?pli=1#gid=0"",""1_ACUM!A4:S""),13,FALSE))"),"")</f>
        <v/>
      </c>
      <c r="AE628" s="43" t="str">
        <f ca="1">IFERROR(__xludf.DUMMYFUNCTION("IFERROR(VLOOKUP(E651&amp;F651,IMPORTRANGE(""https://docs.google.com/spreadsheets/d/1Uw7-A9f9R21vMXxHZFNpYNeKFtG8_yji4HS352LGlSQ/edit?pli=1#gid=0"",""1_ACUM!A4:S""),14,FALSE))"),"")</f>
        <v/>
      </c>
      <c r="AF628" s="43" t="str">
        <f ca="1">IFERROR(__xludf.DUMMYFUNCTION("IFERROR(VLOOKUP(E651&amp;F651,IMPORTRANGE(""https://docs.google.com/spreadsheets/d/1Uw7-A9f9R21vMXxHZFNpYNeKFtG8_yji4HS352LGlSQ/edit?pli=1#gid=0"",""1_ACUM!A4:S""),15,FALSE))"),"")</f>
        <v/>
      </c>
      <c r="AG628" s="43" t="str">
        <f ca="1">IFERROR(__xludf.DUMMYFUNCTION("IFERROR(VLOOKUP(E651&amp;F651,IMPORTRANGE(""https://docs.google.com/spreadsheets/d/1Uw7-A9f9R21vMXxHZFNpYNeKFtG8_yji4HS352LGlSQ/edit?pli=1#gid=0"",""1_ACUM!A4:S""),16,FALSE))"),"")</f>
        <v/>
      </c>
      <c r="AH628" s="43" t="str">
        <f ca="1">IFERROR(__xludf.DUMMYFUNCTION("IFERROR(VLOOKUP(E651&amp;F651,IMPORTRANGE(""https://docs.google.com/spreadsheets/d/1Uw7-A9f9R21vMXxHZFNpYNeKFtG8_yji4HS352LGlSQ/edit?pli=1#gid=0"",""1_ACUM!A4:S""),17,FALSE))"),"")</f>
        <v/>
      </c>
      <c r="AI628" s="44" t="str">
        <f ca="1">IFERROR(__xludf.DUMMYFUNCTION("IFERROR(VLOOKUP(E651&amp;F651,IMPORTRANGE(""https://docs.google.com/spreadsheets/d/1Uw7-A9f9R21vMXxHZFNpYNeKFtG8_yji4HS352LGlSQ/edit?pli=1#gid=0"",""1_ACUM!A4:S""),18,FALSE))"),"")</f>
        <v/>
      </c>
      <c r="AJ628" s="44" t="str">
        <f ca="1">IFERROR(__xludf.DUMMYFUNCTION("IFERROR(VLOOKUP(E651&amp;F651,IMPORTRANGE(""https://docs.google.com/spreadsheets/d/1Uw7-A9f9R21vMXxHZFNpYNeKFtG8_yji4HS352LGlSQ/edit?pli=1#gid=0"",""1_ACUM!A4:S""),19,FALSE))"),"")</f>
        <v/>
      </c>
      <c r="AK628" s="98" t="str">
        <f ca="1">IFERROR(__xludf.DUMMYFUNCTION("IFERROR(VLOOKUP(F651,IMPORTRANGE(""https://docs.google.com/spreadsheets/d/1Kvs4KS76FHFqLFIZfrDMff4kP08nblUkihrxltoGBjg/edit#gid=934712705"",""ESENCIAL!A6:BG""),5,FALSE))"),"")</f>
        <v/>
      </c>
      <c r="AL628" s="98" t="str">
        <f t="shared" si="38"/>
        <v/>
      </c>
      <c r="AM628" s="99" t="str">
        <f t="shared" si="39"/>
        <v/>
      </c>
      <c r="AN628" s="100" t="str">
        <f ca="1">IFERROR(__xludf.DUMMYFUNCTION("IFERROR(VLOOKUP(F651,IMPORTRANGE(""https://docs.google.com/spreadsheets/d/1Kvs4KS76FHFqLFIZfrDMff4kP08nblUkihrxltoGBjg/edit#gid=934712705"",""ESENCIAL!A6:BG""),2,FALSE))"),"")</f>
        <v/>
      </c>
      <c r="AO628" s="19" t="str">
        <f t="shared" si="33"/>
        <v/>
      </c>
      <c r="AP628" s="100"/>
      <c r="AQ628" s="100"/>
    </row>
    <row r="629" spans="1:43" ht="15">
      <c r="A629" s="5"/>
      <c r="B629" s="5"/>
      <c r="G629" s="5" t="str">
        <f ca="1">IFERROR(__xludf.DUMMYFUNCTION("IFERROR(VLOOKUP(F652,IMPORTRANGE(""https://docs.google.com/spreadsheets/d/1Kvs4KS76FHFqLFIZfrDMff4kP08nblUkihrxltoGBjg/edit#gid=934712705"",""ESENCIAL!A6:BG""),3,FALSE))"),"")</f>
        <v/>
      </c>
      <c r="H629" s="5" t="str">
        <f ca="1">IFERROR(__xludf.DUMMYFUNCTION("IFERROR(VLOOKUP(F652,IMPORTRANGE(""https://docs.google.com/spreadsheets/d/1Kvs4KS76FHFqLFIZfrDMff4kP08nblUkihrxltoGBjg/edit#gid=934712705"",""ESENCIAL!A6:BG""),8,FALSE))"),"")</f>
        <v/>
      </c>
      <c r="L629" s="40"/>
      <c r="Z629" s="41" t="str">
        <f t="shared" si="37"/>
        <v/>
      </c>
      <c r="AA629" s="5" t="str">
        <f ca="1">IFERROR(__xludf.DUMMYFUNCTION("IFERROR(VLOOKUP(E652&amp;F652,IMPORTRANGE(""https://docs.google.com/spreadsheets/d/1Uw7-A9f9R21vMXxHZFNpYNeKFtG8_yji4HS352LGlSQ/edit?pli=1#gid=0"",""1_ACUM!A4:S""),11,FALSE))"),"")</f>
        <v/>
      </c>
      <c r="AB629" s="42" t="str">
        <f ca="1">IFERROR(__xludf.DUMMYFUNCTION("IFERROR(VLOOKUP(F652,IMPORTRANGE(""https://docs.google.com/spreadsheets/d/1Kvs4KS76FHFqLFIZfrDMff4kP08nblUkihrxltoGBjg/edit#gid=934712705"",""ESENCIAL!A6:BG""),15,FALSE))"),"")</f>
        <v/>
      </c>
      <c r="AC629" s="110" t="str">
        <f ca="1">IFERROR(__xludf.DUMMYFUNCTION("IFERROR(VLOOKUP(E652&amp;F652,IMPORTRANGE(""https://docs.google.com/spreadsheets/d/1Uw7-A9f9R21vMXxHZFNpYNeKFtG8_yji4HS352LGlSQ/edit?pli=1#gid=0"",""1_ACUM!A4:S""),13,FALSE))"),"")</f>
        <v/>
      </c>
      <c r="AD629" s="43" t="str">
        <f ca="1">IFERROR(__xludf.DUMMYFUNCTION("IFERROR(VLOOKUP(E652&amp;F652,IMPORTRANGE(""https://docs.google.com/spreadsheets/d/1Uw7-A9f9R21vMXxHZFNpYNeKFtG8_yji4HS352LGlSQ/edit?pli=1#gid=0"",""1_ACUM!A4:S""),13,FALSE))"),"")</f>
        <v/>
      </c>
      <c r="AE629" s="43" t="str">
        <f ca="1">IFERROR(__xludf.DUMMYFUNCTION("IFERROR(VLOOKUP(E652&amp;F652,IMPORTRANGE(""https://docs.google.com/spreadsheets/d/1Uw7-A9f9R21vMXxHZFNpYNeKFtG8_yji4HS352LGlSQ/edit?pli=1#gid=0"",""1_ACUM!A4:S""),14,FALSE))"),"")</f>
        <v/>
      </c>
      <c r="AF629" s="43" t="str">
        <f ca="1">IFERROR(__xludf.DUMMYFUNCTION("IFERROR(VLOOKUP(E652&amp;F652,IMPORTRANGE(""https://docs.google.com/spreadsheets/d/1Uw7-A9f9R21vMXxHZFNpYNeKFtG8_yji4HS352LGlSQ/edit?pli=1#gid=0"",""1_ACUM!A4:S""),15,FALSE))"),"")</f>
        <v/>
      </c>
      <c r="AG629" s="43" t="str">
        <f ca="1">IFERROR(__xludf.DUMMYFUNCTION("IFERROR(VLOOKUP(E652&amp;F652,IMPORTRANGE(""https://docs.google.com/spreadsheets/d/1Uw7-A9f9R21vMXxHZFNpYNeKFtG8_yji4HS352LGlSQ/edit?pli=1#gid=0"",""1_ACUM!A4:S""),16,FALSE))"),"")</f>
        <v/>
      </c>
      <c r="AH629" s="43" t="str">
        <f ca="1">IFERROR(__xludf.DUMMYFUNCTION("IFERROR(VLOOKUP(E652&amp;F652,IMPORTRANGE(""https://docs.google.com/spreadsheets/d/1Uw7-A9f9R21vMXxHZFNpYNeKFtG8_yji4HS352LGlSQ/edit?pli=1#gid=0"",""1_ACUM!A4:S""),17,FALSE))"),"")</f>
        <v/>
      </c>
      <c r="AI629" s="44" t="str">
        <f ca="1">IFERROR(__xludf.DUMMYFUNCTION("IFERROR(VLOOKUP(E652&amp;F652,IMPORTRANGE(""https://docs.google.com/spreadsheets/d/1Uw7-A9f9R21vMXxHZFNpYNeKFtG8_yji4HS352LGlSQ/edit?pli=1#gid=0"",""1_ACUM!A4:S""),18,FALSE))"),"")</f>
        <v/>
      </c>
      <c r="AJ629" s="44" t="str">
        <f ca="1">IFERROR(__xludf.DUMMYFUNCTION("IFERROR(VLOOKUP(E652&amp;F652,IMPORTRANGE(""https://docs.google.com/spreadsheets/d/1Uw7-A9f9R21vMXxHZFNpYNeKFtG8_yji4HS352LGlSQ/edit?pli=1#gid=0"",""1_ACUM!A4:S""),19,FALSE))"),"")</f>
        <v/>
      </c>
      <c r="AK629" s="98" t="str">
        <f ca="1">IFERROR(__xludf.DUMMYFUNCTION("IFERROR(VLOOKUP(F652,IMPORTRANGE(""https://docs.google.com/spreadsheets/d/1Kvs4KS76FHFqLFIZfrDMff4kP08nblUkihrxltoGBjg/edit#gid=934712705"",""ESENCIAL!A6:BG""),5,FALSE))"),"")</f>
        <v/>
      </c>
      <c r="AL629" s="98" t="str">
        <f t="shared" si="38"/>
        <v/>
      </c>
      <c r="AM629" s="99" t="str">
        <f t="shared" si="39"/>
        <v/>
      </c>
      <c r="AN629" s="100" t="str">
        <f ca="1">IFERROR(__xludf.DUMMYFUNCTION("IFERROR(VLOOKUP(F652,IMPORTRANGE(""https://docs.google.com/spreadsheets/d/1Kvs4KS76FHFqLFIZfrDMff4kP08nblUkihrxltoGBjg/edit#gid=934712705"",""ESENCIAL!A6:BG""),2,FALSE))"),"")</f>
        <v/>
      </c>
      <c r="AO629" s="19" t="str">
        <f t="shared" si="33"/>
        <v/>
      </c>
      <c r="AP629" s="100"/>
      <c r="AQ629" s="100"/>
    </row>
    <row r="630" spans="1:43" ht="15">
      <c r="A630" s="5"/>
      <c r="B630" s="5"/>
      <c r="G630" s="5" t="str">
        <f ca="1">IFERROR(__xludf.DUMMYFUNCTION("IFERROR(VLOOKUP(F653,IMPORTRANGE(""https://docs.google.com/spreadsheets/d/1Kvs4KS76FHFqLFIZfrDMff4kP08nblUkihrxltoGBjg/edit#gid=934712705"",""ESENCIAL!A6:BG""),3,FALSE))"),"")</f>
        <v/>
      </c>
      <c r="H630" s="5" t="str">
        <f ca="1">IFERROR(__xludf.DUMMYFUNCTION("IFERROR(VLOOKUP(F653,IMPORTRANGE(""https://docs.google.com/spreadsheets/d/1Kvs4KS76FHFqLFIZfrDMff4kP08nblUkihrxltoGBjg/edit#gid=934712705"",""ESENCIAL!A6:BG""),8,FALSE))"),"")</f>
        <v/>
      </c>
      <c r="L630" s="40"/>
      <c r="Z630" s="41" t="str">
        <f t="shared" si="37"/>
        <v/>
      </c>
      <c r="AA630" s="5" t="str">
        <f ca="1">IFERROR(__xludf.DUMMYFUNCTION("IFERROR(VLOOKUP(E653&amp;F653,IMPORTRANGE(""https://docs.google.com/spreadsheets/d/1Uw7-A9f9R21vMXxHZFNpYNeKFtG8_yji4HS352LGlSQ/edit?pli=1#gid=0"",""1_ACUM!A4:S""),11,FALSE))"),"")</f>
        <v/>
      </c>
      <c r="AB630" s="42" t="str">
        <f ca="1">IFERROR(__xludf.DUMMYFUNCTION("IFERROR(VLOOKUP(F653,IMPORTRANGE(""https://docs.google.com/spreadsheets/d/1Kvs4KS76FHFqLFIZfrDMff4kP08nblUkihrxltoGBjg/edit#gid=934712705"",""ESENCIAL!A6:BG""),15,FALSE))"),"")</f>
        <v/>
      </c>
      <c r="AC630" s="110" t="str">
        <f ca="1">IFERROR(__xludf.DUMMYFUNCTION("IFERROR(VLOOKUP(E653&amp;F653,IMPORTRANGE(""https://docs.google.com/spreadsheets/d/1Uw7-A9f9R21vMXxHZFNpYNeKFtG8_yji4HS352LGlSQ/edit?pli=1#gid=0"",""1_ACUM!A4:S""),13,FALSE))"),"")</f>
        <v/>
      </c>
      <c r="AD630" s="43" t="str">
        <f ca="1">IFERROR(__xludf.DUMMYFUNCTION("IFERROR(VLOOKUP(E653&amp;F653,IMPORTRANGE(""https://docs.google.com/spreadsheets/d/1Uw7-A9f9R21vMXxHZFNpYNeKFtG8_yji4HS352LGlSQ/edit?pli=1#gid=0"",""1_ACUM!A4:S""),13,FALSE))"),"")</f>
        <v/>
      </c>
      <c r="AE630" s="43" t="str">
        <f ca="1">IFERROR(__xludf.DUMMYFUNCTION("IFERROR(VLOOKUP(E653&amp;F653,IMPORTRANGE(""https://docs.google.com/spreadsheets/d/1Uw7-A9f9R21vMXxHZFNpYNeKFtG8_yji4HS352LGlSQ/edit?pli=1#gid=0"",""1_ACUM!A4:S""),14,FALSE))"),"")</f>
        <v/>
      </c>
      <c r="AF630" s="43" t="str">
        <f ca="1">IFERROR(__xludf.DUMMYFUNCTION("IFERROR(VLOOKUP(E653&amp;F653,IMPORTRANGE(""https://docs.google.com/spreadsheets/d/1Uw7-A9f9R21vMXxHZFNpYNeKFtG8_yji4HS352LGlSQ/edit?pli=1#gid=0"",""1_ACUM!A4:S""),15,FALSE))"),"")</f>
        <v/>
      </c>
      <c r="AG630" s="43" t="str">
        <f ca="1">IFERROR(__xludf.DUMMYFUNCTION("IFERROR(VLOOKUP(E653&amp;F653,IMPORTRANGE(""https://docs.google.com/spreadsheets/d/1Uw7-A9f9R21vMXxHZFNpYNeKFtG8_yji4HS352LGlSQ/edit?pli=1#gid=0"",""1_ACUM!A4:S""),16,FALSE))"),"")</f>
        <v/>
      </c>
      <c r="AH630" s="43" t="str">
        <f ca="1">IFERROR(__xludf.DUMMYFUNCTION("IFERROR(VLOOKUP(E653&amp;F653,IMPORTRANGE(""https://docs.google.com/spreadsheets/d/1Uw7-A9f9R21vMXxHZFNpYNeKFtG8_yji4HS352LGlSQ/edit?pli=1#gid=0"",""1_ACUM!A4:S""),17,FALSE))"),"")</f>
        <v/>
      </c>
      <c r="AI630" s="44" t="str">
        <f ca="1">IFERROR(__xludf.DUMMYFUNCTION("IFERROR(VLOOKUP(E653&amp;F653,IMPORTRANGE(""https://docs.google.com/spreadsheets/d/1Uw7-A9f9R21vMXxHZFNpYNeKFtG8_yji4HS352LGlSQ/edit?pli=1#gid=0"",""1_ACUM!A4:S""),18,FALSE))"),"")</f>
        <v/>
      </c>
      <c r="AJ630" s="44" t="str">
        <f ca="1">IFERROR(__xludf.DUMMYFUNCTION("IFERROR(VLOOKUP(E653&amp;F653,IMPORTRANGE(""https://docs.google.com/spreadsheets/d/1Uw7-A9f9R21vMXxHZFNpYNeKFtG8_yji4HS352LGlSQ/edit?pli=1#gid=0"",""1_ACUM!A4:S""),19,FALSE))"),"")</f>
        <v/>
      </c>
      <c r="AK630" s="98" t="str">
        <f ca="1">IFERROR(__xludf.DUMMYFUNCTION("IFERROR(VLOOKUP(F653,IMPORTRANGE(""https://docs.google.com/spreadsheets/d/1Kvs4KS76FHFqLFIZfrDMff4kP08nblUkihrxltoGBjg/edit#gid=934712705"",""ESENCIAL!A6:BG""),5,FALSE))"),"")</f>
        <v/>
      </c>
      <c r="AL630" s="98" t="str">
        <f t="shared" si="38"/>
        <v/>
      </c>
      <c r="AM630" s="99" t="str">
        <f t="shared" si="39"/>
        <v/>
      </c>
      <c r="AN630" s="100" t="str">
        <f ca="1">IFERROR(__xludf.DUMMYFUNCTION("IFERROR(VLOOKUP(F653,IMPORTRANGE(""https://docs.google.com/spreadsheets/d/1Kvs4KS76FHFqLFIZfrDMff4kP08nblUkihrxltoGBjg/edit#gid=934712705"",""ESENCIAL!A6:BG""),2,FALSE))"),"")</f>
        <v/>
      </c>
      <c r="AO630" s="19" t="str">
        <f t="shared" si="33"/>
        <v/>
      </c>
      <c r="AP630" s="100"/>
      <c r="AQ630" s="100"/>
    </row>
    <row r="631" spans="1:43" ht="15">
      <c r="A631" s="5"/>
      <c r="B631" s="5"/>
      <c r="G631" s="5" t="str">
        <f ca="1">IFERROR(__xludf.DUMMYFUNCTION("IFERROR(VLOOKUP(F654,IMPORTRANGE(""https://docs.google.com/spreadsheets/d/1Kvs4KS76FHFqLFIZfrDMff4kP08nblUkihrxltoGBjg/edit#gid=934712705"",""ESENCIAL!A6:BG""),3,FALSE))"),"")</f>
        <v/>
      </c>
      <c r="H631" s="5" t="str">
        <f ca="1">IFERROR(__xludf.DUMMYFUNCTION("IFERROR(VLOOKUP(F654,IMPORTRANGE(""https://docs.google.com/spreadsheets/d/1Kvs4KS76FHFqLFIZfrDMff4kP08nblUkihrxltoGBjg/edit#gid=934712705"",""ESENCIAL!A6:BG""),8,FALSE))"),"")</f>
        <v/>
      </c>
      <c r="L631" s="40"/>
      <c r="Z631" s="41" t="str">
        <f t="shared" si="37"/>
        <v/>
      </c>
      <c r="AA631" s="5" t="str">
        <f ca="1">IFERROR(__xludf.DUMMYFUNCTION("IFERROR(VLOOKUP(E654&amp;F654,IMPORTRANGE(""https://docs.google.com/spreadsheets/d/1Uw7-A9f9R21vMXxHZFNpYNeKFtG8_yji4HS352LGlSQ/edit?pli=1#gid=0"",""1_ACUM!A4:S""),11,FALSE))"),"")</f>
        <v/>
      </c>
      <c r="AB631" s="42" t="str">
        <f ca="1">IFERROR(__xludf.DUMMYFUNCTION("IFERROR(VLOOKUP(F654,IMPORTRANGE(""https://docs.google.com/spreadsheets/d/1Kvs4KS76FHFqLFIZfrDMff4kP08nblUkihrxltoGBjg/edit#gid=934712705"",""ESENCIAL!A6:BG""),15,FALSE))"),"")</f>
        <v/>
      </c>
      <c r="AC631" s="110" t="str">
        <f ca="1">IFERROR(__xludf.DUMMYFUNCTION("IFERROR(VLOOKUP(E654&amp;F654,IMPORTRANGE(""https://docs.google.com/spreadsheets/d/1Uw7-A9f9R21vMXxHZFNpYNeKFtG8_yji4HS352LGlSQ/edit?pli=1#gid=0"",""1_ACUM!A4:S""),13,FALSE))"),"")</f>
        <v/>
      </c>
      <c r="AD631" s="43" t="str">
        <f ca="1">IFERROR(__xludf.DUMMYFUNCTION("IFERROR(VLOOKUP(E654&amp;F654,IMPORTRANGE(""https://docs.google.com/spreadsheets/d/1Uw7-A9f9R21vMXxHZFNpYNeKFtG8_yji4HS352LGlSQ/edit?pli=1#gid=0"",""1_ACUM!A4:S""),13,FALSE))"),"")</f>
        <v/>
      </c>
      <c r="AE631" s="43" t="str">
        <f ca="1">IFERROR(__xludf.DUMMYFUNCTION("IFERROR(VLOOKUP(E654&amp;F654,IMPORTRANGE(""https://docs.google.com/spreadsheets/d/1Uw7-A9f9R21vMXxHZFNpYNeKFtG8_yji4HS352LGlSQ/edit?pli=1#gid=0"",""1_ACUM!A4:S""),14,FALSE))"),"")</f>
        <v/>
      </c>
      <c r="AF631" s="43" t="str">
        <f ca="1">IFERROR(__xludf.DUMMYFUNCTION("IFERROR(VLOOKUP(E654&amp;F654,IMPORTRANGE(""https://docs.google.com/spreadsheets/d/1Uw7-A9f9R21vMXxHZFNpYNeKFtG8_yji4HS352LGlSQ/edit?pli=1#gid=0"",""1_ACUM!A4:S""),15,FALSE))"),"")</f>
        <v/>
      </c>
      <c r="AG631" s="43" t="str">
        <f ca="1">IFERROR(__xludf.DUMMYFUNCTION("IFERROR(VLOOKUP(E654&amp;F654,IMPORTRANGE(""https://docs.google.com/spreadsheets/d/1Uw7-A9f9R21vMXxHZFNpYNeKFtG8_yji4HS352LGlSQ/edit?pli=1#gid=0"",""1_ACUM!A4:S""),16,FALSE))"),"")</f>
        <v/>
      </c>
      <c r="AH631" s="43" t="str">
        <f ca="1">IFERROR(__xludf.DUMMYFUNCTION("IFERROR(VLOOKUP(E654&amp;F654,IMPORTRANGE(""https://docs.google.com/spreadsheets/d/1Uw7-A9f9R21vMXxHZFNpYNeKFtG8_yji4HS352LGlSQ/edit?pli=1#gid=0"",""1_ACUM!A4:S""),17,FALSE))"),"")</f>
        <v/>
      </c>
      <c r="AI631" s="44" t="str">
        <f ca="1">IFERROR(__xludf.DUMMYFUNCTION("IFERROR(VLOOKUP(E654&amp;F654,IMPORTRANGE(""https://docs.google.com/spreadsheets/d/1Uw7-A9f9R21vMXxHZFNpYNeKFtG8_yji4HS352LGlSQ/edit?pli=1#gid=0"",""1_ACUM!A4:S""),18,FALSE))"),"")</f>
        <v/>
      </c>
      <c r="AJ631" s="44" t="str">
        <f ca="1">IFERROR(__xludf.DUMMYFUNCTION("IFERROR(VLOOKUP(E654&amp;F654,IMPORTRANGE(""https://docs.google.com/spreadsheets/d/1Uw7-A9f9R21vMXxHZFNpYNeKFtG8_yji4HS352LGlSQ/edit?pli=1#gid=0"",""1_ACUM!A4:S""),19,FALSE))"),"")</f>
        <v/>
      </c>
      <c r="AK631" s="98" t="str">
        <f ca="1">IFERROR(__xludf.DUMMYFUNCTION("IFERROR(VLOOKUP(F654,IMPORTRANGE(""https://docs.google.com/spreadsheets/d/1Kvs4KS76FHFqLFIZfrDMff4kP08nblUkihrxltoGBjg/edit#gid=934712705"",""ESENCIAL!A6:BG""),5,FALSE))"),"")</f>
        <v/>
      </c>
      <c r="AL631" s="98" t="str">
        <f t="shared" si="38"/>
        <v/>
      </c>
      <c r="AM631" s="99" t="str">
        <f t="shared" si="39"/>
        <v/>
      </c>
      <c r="AN631" s="100" t="str">
        <f ca="1">IFERROR(__xludf.DUMMYFUNCTION("IFERROR(VLOOKUP(F654,IMPORTRANGE(""https://docs.google.com/spreadsheets/d/1Kvs4KS76FHFqLFIZfrDMff4kP08nblUkihrxltoGBjg/edit#gid=934712705"",""ESENCIAL!A6:BG""),2,FALSE))"),"")</f>
        <v/>
      </c>
      <c r="AO631" s="19" t="str">
        <f t="shared" si="33"/>
        <v/>
      </c>
      <c r="AP631" s="100"/>
      <c r="AQ631" s="100"/>
    </row>
    <row r="632" spans="1:43" ht="15">
      <c r="A632" s="5"/>
      <c r="B632" s="5"/>
      <c r="G632" s="5" t="str">
        <f ca="1">IFERROR(__xludf.DUMMYFUNCTION("IFERROR(VLOOKUP(F655,IMPORTRANGE(""https://docs.google.com/spreadsheets/d/1Kvs4KS76FHFqLFIZfrDMff4kP08nblUkihrxltoGBjg/edit#gid=934712705"",""ESENCIAL!A6:BG""),3,FALSE))"),"")</f>
        <v/>
      </c>
      <c r="H632" s="5" t="str">
        <f ca="1">IFERROR(__xludf.DUMMYFUNCTION("IFERROR(VLOOKUP(F655,IMPORTRANGE(""https://docs.google.com/spreadsheets/d/1Kvs4KS76FHFqLFIZfrDMff4kP08nblUkihrxltoGBjg/edit#gid=934712705"",""ESENCIAL!A6:BG""),8,FALSE))"),"")</f>
        <v/>
      </c>
      <c r="L632" s="40"/>
      <c r="Z632" s="41" t="str">
        <f t="shared" si="37"/>
        <v/>
      </c>
      <c r="AA632" s="5" t="str">
        <f ca="1">IFERROR(__xludf.DUMMYFUNCTION("IFERROR(VLOOKUP(E655&amp;F655,IMPORTRANGE(""https://docs.google.com/spreadsheets/d/1Uw7-A9f9R21vMXxHZFNpYNeKFtG8_yji4HS352LGlSQ/edit?pli=1#gid=0"",""1_ACUM!A4:S""),11,FALSE))"),"")</f>
        <v/>
      </c>
      <c r="AB632" s="42" t="str">
        <f ca="1">IFERROR(__xludf.DUMMYFUNCTION("IFERROR(VLOOKUP(F655,IMPORTRANGE(""https://docs.google.com/spreadsheets/d/1Kvs4KS76FHFqLFIZfrDMff4kP08nblUkihrxltoGBjg/edit#gid=934712705"",""ESENCIAL!A6:BG""),15,FALSE))"),"")</f>
        <v/>
      </c>
      <c r="AC632" s="110" t="str">
        <f ca="1">IFERROR(__xludf.DUMMYFUNCTION("IFERROR(VLOOKUP(E655&amp;F655,IMPORTRANGE(""https://docs.google.com/spreadsheets/d/1Uw7-A9f9R21vMXxHZFNpYNeKFtG8_yji4HS352LGlSQ/edit?pli=1#gid=0"",""1_ACUM!A4:S""),13,FALSE))"),"")</f>
        <v/>
      </c>
      <c r="AD632" s="43" t="str">
        <f ca="1">IFERROR(__xludf.DUMMYFUNCTION("IFERROR(VLOOKUP(E655&amp;F655,IMPORTRANGE(""https://docs.google.com/spreadsheets/d/1Uw7-A9f9R21vMXxHZFNpYNeKFtG8_yji4HS352LGlSQ/edit?pli=1#gid=0"",""1_ACUM!A4:S""),13,FALSE))"),"")</f>
        <v/>
      </c>
      <c r="AE632" s="43" t="str">
        <f ca="1">IFERROR(__xludf.DUMMYFUNCTION("IFERROR(VLOOKUP(E655&amp;F655,IMPORTRANGE(""https://docs.google.com/spreadsheets/d/1Uw7-A9f9R21vMXxHZFNpYNeKFtG8_yji4HS352LGlSQ/edit?pli=1#gid=0"",""1_ACUM!A4:S""),14,FALSE))"),"")</f>
        <v/>
      </c>
      <c r="AF632" s="43" t="str">
        <f ca="1">IFERROR(__xludf.DUMMYFUNCTION("IFERROR(VLOOKUP(E655&amp;F655,IMPORTRANGE(""https://docs.google.com/spreadsheets/d/1Uw7-A9f9R21vMXxHZFNpYNeKFtG8_yji4HS352LGlSQ/edit?pli=1#gid=0"",""1_ACUM!A4:S""),15,FALSE))"),"")</f>
        <v/>
      </c>
      <c r="AG632" s="43" t="str">
        <f ca="1">IFERROR(__xludf.DUMMYFUNCTION("IFERROR(VLOOKUP(E655&amp;F655,IMPORTRANGE(""https://docs.google.com/spreadsheets/d/1Uw7-A9f9R21vMXxHZFNpYNeKFtG8_yji4HS352LGlSQ/edit?pli=1#gid=0"",""1_ACUM!A4:S""),16,FALSE))"),"")</f>
        <v/>
      </c>
      <c r="AH632" s="43" t="str">
        <f ca="1">IFERROR(__xludf.DUMMYFUNCTION("IFERROR(VLOOKUP(E655&amp;F655,IMPORTRANGE(""https://docs.google.com/spreadsheets/d/1Uw7-A9f9R21vMXxHZFNpYNeKFtG8_yji4HS352LGlSQ/edit?pli=1#gid=0"",""1_ACUM!A4:S""),17,FALSE))"),"")</f>
        <v/>
      </c>
      <c r="AI632" s="44" t="str">
        <f ca="1">IFERROR(__xludf.DUMMYFUNCTION("IFERROR(VLOOKUP(E655&amp;F655,IMPORTRANGE(""https://docs.google.com/spreadsheets/d/1Uw7-A9f9R21vMXxHZFNpYNeKFtG8_yji4HS352LGlSQ/edit?pli=1#gid=0"",""1_ACUM!A4:S""),18,FALSE))"),"")</f>
        <v/>
      </c>
      <c r="AJ632" s="44" t="str">
        <f ca="1">IFERROR(__xludf.DUMMYFUNCTION("IFERROR(VLOOKUP(E655&amp;F655,IMPORTRANGE(""https://docs.google.com/spreadsheets/d/1Uw7-A9f9R21vMXxHZFNpYNeKFtG8_yji4HS352LGlSQ/edit?pli=1#gid=0"",""1_ACUM!A4:S""),19,FALSE))"),"")</f>
        <v/>
      </c>
      <c r="AK632" s="98" t="str">
        <f ca="1">IFERROR(__xludf.DUMMYFUNCTION("IFERROR(VLOOKUP(F655,IMPORTRANGE(""https://docs.google.com/spreadsheets/d/1Kvs4KS76FHFqLFIZfrDMff4kP08nblUkihrxltoGBjg/edit#gid=934712705"",""ESENCIAL!A6:BG""),5,FALSE))"),"")</f>
        <v/>
      </c>
      <c r="AL632" s="98" t="str">
        <f t="shared" si="38"/>
        <v/>
      </c>
      <c r="AM632" s="99" t="str">
        <f t="shared" si="39"/>
        <v/>
      </c>
      <c r="AN632" s="100" t="str">
        <f ca="1">IFERROR(__xludf.DUMMYFUNCTION("IFERROR(VLOOKUP(F655,IMPORTRANGE(""https://docs.google.com/spreadsheets/d/1Kvs4KS76FHFqLFIZfrDMff4kP08nblUkihrxltoGBjg/edit#gid=934712705"",""ESENCIAL!A6:BG""),2,FALSE))"),"")</f>
        <v/>
      </c>
      <c r="AO632" s="19" t="str">
        <f t="shared" si="33"/>
        <v/>
      </c>
      <c r="AP632" s="100"/>
      <c r="AQ632" s="100"/>
    </row>
    <row r="633" spans="1:43" ht="15">
      <c r="A633" s="5"/>
      <c r="B633" s="5"/>
      <c r="G633" s="5" t="str">
        <f ca="1">IFERROR(__xludf.DUMMYFUNCTION("IFERROR(VLOOKUP(F656,IMPORTRANGE(""https://docs.google.com/spreadsheets/d/1Kvs4KS76FHFqLFIZfrDMff4kP08nblUkihrxltoGBjg/edit#gid=934712705"",""ESENCIAL!A6:BG""),3,FALSE))"),"")</f>
        <v/>
      </c>
      <c r="H633" s="5" t="str">
        <f ca="1">IFERROR(__xludf.DUMMYFUNCTION("IFERROR(VLOOKUP(F656,IMPORTRANGE(""https://docs.google.com/spreadsheets/d/1Kvs4KS76FHFqLFIZfrDMff4kP08nblUkihrxltoGBjg/edit#gid=934712705"",""ESENCIAL!A6:BG""),8,FALSE))"),"")</f>
        <v/>
      </c>
      <c r="L633" s="40"/>
      <c r="Z633" s="41" t="str">
        <f t="shared" si="37"/>
        <v/>
      </c>
      <c r="AA633" s="5" t="str">
        <f ca="1">IFERROR(__xludf.DUMMYFUNCTION("IFERROR(VLOOKUP(E656&amp;F656,IMPORTRANGE(""https://docs.google.com/spreadsheets/d/1Uw7-A9f9R21vMXxHZFNpYNeKFtG8_yji4HS352LGlSQ/edit?pli=1#gid=0"",""1_ACUM!A4:S""),11,FALSE))"),"")</f>
        <v/>
      </c>
      <c r="AB633" s="42" t="str">
        <f ca="1">IFERROR(__xludf.DUMMYFUNCTION("IFERROR(VLOOKUP(F656,IMPORTRANGE(""https://docs.google.com/spreadsheets/d/1Kvs4KS76FHFqLFIZfrDMff4kP08nblUkihrxltoGBjg/edit#gid=934712705"",""ESENCIAL!A6:BG""),15,FALSE))"),"")</f>
        <v/>
      </c>
      <c r="AC633" s="110" t="str">
        <f ca="1">IFERROR(__xludf.DUMMYFUNCTION("IFERROR(VLOOKUP(E656&amp;F656,IMPORTRANGE(""https://docs.google.com/spreadsheets/d/1Uw7-A9f9R21vMXxHZFNpYNeKFtG8_yji4HS352LGlSQ/edit?pli=1#gid=0"",""1_ACUM!A4:S""),13,FALSE))"),"")</f>
        <v/>
      </c>
      <c r="AD633" s="43" t="str">
        <f ca="1">IFERROR(__xludf.DUMMYFUNCTION("IFERROR(VLOOKUP(E656&amp;F656,IMPORTRANGE(""https://docs.google.com/spreadsheets/d/1Uw7-A9f9R21vMXxHZFNpYNeKFtG8_yji4HS352LGlSQ/edit?pli=1#gid=0"",""1_ACUM!A4:S""),13,FALSE))"),"")</f>
        <v/>
      </c>
      <c r="AE633" s="43" t="str">
        <f ca="1">IFERROR(__xludf.DUMMYFUNCTION("IFERROR(VLOOKUP(E656&amp;F656,IMPORTRANGE(""https://docs.google.com/spreadsheets/d/1Uw7-A9f9R21vMXxHZFNpYNeKFtG8_yji4HS352LGlSQ/edit?pli=1#gid=0"",""1_ACUM!A4:S""),14,FALSE))"),"")</f>
        <v/>
      </c>
      <c r="AF633" s="43" t="str">
        <f ca="1">IFERROR(__xludf.DUMMYFUNCTION("IFERROR(VLOOKUP(E656&amp;F656,IMPORTRANGE(""https://docs.google.com/spreadsheets/d/1Uw7-A9f9R21vMXxHZFNpYNeKFtG8_yji4HS352LGlSQ/edit?pli=1#gid=0"",""1_ACUM!A4:S""),15,FALSE))"),"")</f>
        <v/>
      </c>
      <c r="AG633" s="43" t="str">
        <f ca="1">IFERROR(__xludf.DUMMYFUNCTION("IFERROR(VLOOKUP(E656&amp;F656,IMPORTRANGE(""https://docs.google.com/spreadsheets/d/1Uw7-A9f9R21vMXxHZFNpYNeKFtG8_yji4HS352LGlSQ/edit?pli=1#gid=0"",""1_ACUM!A4:S""),16,FALSE))"),"")</f>
        <v/>
      </c>
      <c r="AH633" s="43" t="str">
        <f ca="1">IFERROR(__xludf.DUMMYFUNCTION("IFERROR(VLOOKUP(E656&amp;F656,IMPORTRANGE(""https://docs.google.com/spreadsheets/d/1Uw7-A9f9R21vMXxHZFNpYNeKFtG8_yji4HS352LGlSQ/edit?pli=1#gid=0"",""1_ACUM!A4:S""),17,FALSE))"),"")</f>
        <v/>
      </c>
      <c r="AI633" s="44" t="str">
        <f ca="1">IFERROR(__xludf.DUMMYFUNCTION("IFERROR(VLOOKUP(E656&amp;F656,IMPORTRANGE(""https://docs.google.com/spreadsheets/d/1Uw7-A9f9R21vMXxHZFNpYNeKFtG8_yji4HS352LGlSQ/edit?pli=1#gid=0"",""1_ACUM!A4:S""),18,FALSE))"),"")</f>
        <v/>
      </c>
      <c r="AJ633" s="44" t="str">
        <f ca="1">IFERROR(__xludf.DUMMYFUNCTION("IFERROR(VLOOKUP(E656&amp;F656,IMPORTRANGE(""https://docs.google.com/spreadsheets/d/1Uw7-A9f9R21vMXxHZFNpYNeKFtG8_yji4HS352LGlSQ/edit?pli=1#gid=0"",""1_ACUM!A4:S""),19,FALSE))"),"")</f>
        <v/>
      </c>
      <c r="AK633" s="98" t="str">
        <f ca="1">IFERROR(__xludf.DUMMYFUNCTION("IFERROR(VLOOKUP(F656,IMPORTRANGE(""https://docs.google.com/spreadsheets/d/1Kvs4KS76FHFqLFIZfrDMff4kP08nblUkihrxltoGBjg/edit#gid=934712705"",""ESENCIAL!A6:BG""),5,FALSE))"),"")</f>
        <v/>
      </c>
      <c r="AL633" s="98" t="str">
        <f t="shared" si="38"/>
        <v/>
      </c>
      <c r="AM633" s="99" t="str">
        <f t="shared" si="39"/>
        <v/>
      </c>
      <c r="AN633" s="100" t="str">
        <f ca="1">IFERROR(__xludf.DUMMYFUNCTION("IFERROR(VLOOKUP(F656,IMPORTRANGE(""https://docs.google.com/spreadsheets/d/1Kvs4KS76FHFqLFIZfrDMff4kP08nblUkihrxltoGBjg/edit#gid=934712705"",""ESENCIAL!A6:BG""),2,FALSE))"),"")</f>
        <v/>
      </c>
      <c r="AO633" s="19" t="str">
        <f t="shared" si="33"/>
        <v/>
      </c>
      <c r="AP633" s="100"/>
      <c r="AQ633" s="100"/>
    </row>
    <row r="634" spans="1:43" ht="15">
      <c r="A634" s="5"/>
      <c r="B634" s="5"/>
      <c r="G634" s="5" t="str">
        <f ca="1">IFERROR(__xludf.DUMMYFUNCTION("IFERROR(VLOOKUP(F657,IMPORTRANGE(""https://docs.google.com/spreadsheets/d/1Kvs4KS76FHFqLFIZfrDMff4kP08nblUkihrxltoGBjg/edit#gid=934712705"",""ESENCIAL!A6:BG""),3,FALSE))"),"")</f>
        <v/>
      </c>
      <c r="H634" s="5" t="str">
        <f ca="1">IFERROR(__xludf.DUMMYFUNCTION("IFERROR(VLOOKUP(F657,IMPORTRANGE(""https://docs.google.com/spreadsheets/d/1Kvs4KS76FHFqLFIZfrDMff4kP08nblUkihrxltoGBjg/edit#gid=934712705"",""ESENCIAL!A6:BG""),8,FALSE))"),"")</f>
        <v/>
      </c>
      <c r="L634" s="40"/>
      <c r="Z634" s="41" t="str">
        <f t="shared" si="37"/>
        <v/>
      </c>
      <c r="AA634" s="5" t="str">
        <f ca="1">IFERROR(__xludf.DUMMYFUNCTION("IFERROR(VLOOKUP(E657&amp;F657,IMPORTRANGE(""https://docs.google.com/spreadsheets/d/1Uw7-A9f9R21vMXxHZFNpYNeKFtG8_yji4HS352LGlSQ/edit?pli=1#gid=0"",""1_ACUM!A4:S""),11,FALSE))"),"")</f>
        <v/>
      </c>
      <c r="AB634" s="42" t="str">
        <f ca="1">IFERROR(__xludf.DUMMYFUNCTION("IFERROR(VLOOKUP(F657,IMPORTRANGE(""https://docs.google.com/spreadsheets/d/1Kvs4KS76FHFqLFIZfrDMff4kP08nblUkihrxltoGBjg/edit#gid=934712705"",""ESENCIAL!A6:BG""),15,FALSE))"),"")</f>
        <v/>
      </c>
      <c r="AC634" s="110" t="str">
        <f ca="1">IFERROR(__xludf.DUMMYFUNCTION("IFERROR(VLOOKUP(E657&amp;F657,IMPORTRANGE(""https://docs.google.com/spreadsheets/d/1Uw7-A9f9R21vMXxHZFNpYNeKFtG8_yji4HS352LGlSQ/edit?pli=1#gid=0"",""1_ACUM!A4:S""),13,FALSE))"),"")</f>
        <v/>
      </c>
      <c r="AD634" s="43" t="str">
        <f ca="1">IFERROR(__xludf.DUMMYFUNCTION("IFERROR(VLOOKUP(E657&amp;F657,IMPORTRANGE(""https://docs.google.com/spreadsheets/d/1Uw7-A9f9R21vMXxHZFNpYNeKFtG8_yji4HS352LGlSQ/edit?pli=1#gid=0"",""1_ACUM!A4:S""),13,FALSE))"),"")</f>
        <v/>
      </c>
      <c r="AE634" s="43" t="str">
        <f ca="1">IFERROR(__xludf.DUMMYFUNCTION("IFERROR(VLOOKUP(E657&amp;F657,IMPORTRANGE(""https://docs.google.com/spreadsheets/d/1Uw7-A9f9R21vMXxHZFNpYNeKFtG8_yji4HS352LGlSQ/edit?pli=1#gid=0"",""1_ACUM!A4:S""),14,FALSE))"),"")</f>
        <v/>
      </c>
      <c r="AF634" s="43" t="str">
        <f ca="1">IFERROR(__xludf.DUMMYFUNCTION("IFERROR(VLOOKUP(E657&amp;F657,IMPORTRANGE(""https://docs.google.com/spreadsheets/d/1Uw7-A9f9R21vMXxHZFNpYNeKFtG8_yji4HS352LGlSQ/edit?pli=1#gid=0"",""1_ACUM!A4:S""),15,FALSE))"),"")</f>
        <v/>
      </c>
      <c r="AG634" s="43" t="str">
        <f ca="1">IFERROR(__xludf.DUMMYFUNCTION("IFERROR(VLOOKUP(E657&amp;F657,IMPORTRANGE(""https://docs.google.com/spreadsheets/d/1Uw7-A9f9R21vMXxHZFNpYNeKFtG8_yji4HS352LGlSQ/edit?pli=1#gid=0"",""1_ACUM!A4:S""),16,FALSE))"),"")</f>
        <v/>
      </c>
      <c r="AH634" s="43" t="str">
        <f ca="1">IFERROR(__xludf.DUMMYFUNCTION("IFERROR(VLOOKUP(E657&amp;F657,IMPORTRANGE(""https://docs.google.com/spreadsheets/d/1Uw7-A9f9R21vMXxHZFNpYNeKFtG8_yji4HS352LGlSQ/edit?pli=1#gid=0"",""1_ACUM!A4:S""),17,FALSE))"),"")</f>
        <v/>
      </c>
      <c r="AI634" s="44" t="str">
        <f ca="1">IFERROR(__xludf.DUMMYFUNCTION("IFERROR(VLOOKUP(E657&amp;F657,IMPORTRANGE(""https://docs.google.com/spreadsheets/d/1Uw7-A9f9R21vMXxHZFNpYNeKFtG8_yji4HS352LGlSQ/edit?pli=1#gid=0"",""1_ACUM!A4:S""),18,FALSE))"),"")</f>
        <v/>
      </c>
      <c r="AJ634" s="44" t="str">
        <f ca="1">IFERROR(__xludf.DUMMYFUNCTION("IFERROR(VLOOKUP(E657&amp;F657,IMPORTRANGE(""https://docs.google.com/spreadsheets/d/1Uw7-A9f9R21vMXxHZFNpYNeKFtG8_yji4HS352LGlSQ/edit?pli=1#gid=0"",""1_ACUM!A4:S""),19,FALSE))"),"")</f>
        <v/>
      </c>
      <c r="AK634" s="98" t="str">
        <f ca="1">IFERROR(__xludf.DUMMYFUNCTION("IFERROR(VLOOKUP(F657,IMPORTRANGE(""https://docs.google.com/spreadsheets/d/1Kvs4KS76FHFqLFIZfrDMff4kP08nblUkihrxltoGBjg/edit#gid=934712705"",""ESENCIAL!A6:BG""),5,FALSE))"),"")</f>
        <v/>
      </c>
      <c r="AL634" s="98" t="str">
        <f t="shared" si="38"/>
        <v/>
      </c>
      <c r="AM634" s="99" t="str">
        <f t="shared" si="39"/>
        <v/>
      </c>
      <c r="AN634" s="100" t="str">
        <f ca="1">IFERROR(__xludf.DUMMYFUNCTION("IFERROR(VLOOKUP(F657,IMPORTRANGE(""https://docs.google.com/spreadsheets/d/1Kvs4KS76FHFqLFIZfrDMff4kP08nblUkihrxltoGBjg/edit#gid=934712705"",""ESENCIAL!A6:BG""),2,FALSE))"),"")</f>
        <v/>
      </c>
      <c r="AO634" s="19" t="str">
        <f t="shared" si="33"/>
        <v/>
      </c>
      <c r="AP634" s="100"/>
      <c r="AQ634" s="100"/>
    </row>
    <row r="635" spans="1:43" ht="15">
      <c r="A635" s="5"/>
      <c r="B635" s="5"/>
      <c r="G635" s="5" t="str">
        <f ca="1">IFERROR(__xludf.DUMMYFUNCTION("IFERROR(VLOOKUP(F658,IMPORTRANGE(""https://docs.google.com/spreadsheets/d/1Kvs4KS76FHFqLFIZfrDMff4kP08nblUkihrxltoGBjg/edit#gid=934712705"",""ESENCIAL!A6:BG""),3,FALSE))"),"")</f>
        <v/>
      </c>
      <c r="H635" s="5" t="str">
        <f ca="1">IFERROR(__xludf.DUMMYFUNCTION("IFERROR(VLOOKUP(F658,IMPORTRANGE(""https://docs.google.com/spreadsheets/d/1Kvs4KS76FHFqLFIZfrDMff4kP08nblUkihrxltoGBjg/edit#gid=934712705"",""ESENCIAL!A6:BG""),8,FALSE))"),"")</f>
        <v/>
      </c>
      <c r="L635" s="40"/>
      <c r="Z635" s="41" t="str">
        <f t="shared" si="37"/>
        <v/>
      </c>
      <c r="AA635" s="5" t="str">
        <f ca="1">IFERROR(__xludf.DUMMYFUNCTION("IFERROR(VLOOKUP(E658&amp;F658,IMPORTRANGE(""https://docs.google.com/spreadsheets/d/1Uw7-A9f9R21vMXxHZFNpYNeKFtG8_yji4HS352LGlSQ/edit?pli=1#gid=0"",""1_ACUM!A4:S""),11,FALSE))"),"")</f>
        <v/>
      </c>
      <c r="AB635" s="42" t="str">
        <f ca="1">IFERROR(__xludf.DUMMYFUNCTION("IFERROR(VLOOKUP(F658,IMPORTRANGE(""https://docs.google.com/spreadsheets/d/1Kvs4KS76FHFqLFIZfrDMff4kP08nblUkihrxltoGBjg/edit#gid=934712705"",""ESENCIAL!A6:BG""),15,FALSE))"),"")</f>
        <v/>
      </c>
      <c r="AC635" s="110" t="str">
        <f ca="1">IFERROR(__xludf.DUMMYFUNCTION("IFERROR(VLOOKUP(E658&amp;F658,IMPORTRANGE(""https://docs.google.com/spreadsheets/d/1Uw7-A9f9R21vMXxHZFNpYNeKFtG8_yji4HS352LGlSQ/edit?pli=1#gid=0"",""1_ACUM!A4:S""),13,FALSE))"),"")</f>
        <v/>
      </c>
      <c r="AD635" s="43" t="str">
        <f ca="1">IFERROR(__xludf.DUMMYFUNCTION("IFERROR(VLOOKUP(E658&amp;F658,IMPORTRANGE(""https://docs.google.com/spreadsheets/d/1Uw7-A9f9R21vMXxHZFNpYNeKFtG8_yji4HS352LGlSQ/edit?pli=1#gid=0"",""1_ACUM!A4:S""),13,FALSE))"),"")</f>
        <v/>
      </c>
      <c r="AE635" s="43" t="str">
        <f ca="1">IFERROR(__xludf.DUMMYFUNCTION("IFERROR(VLOOKUP(E658&amp;F658,IMPORTRANGE(""https://docs.google.com/spreadsheets/d/1Uw7-A9f9R21vMXxHZFNpYNeKFtG8_yji4HS352LGlSQ/edit?pli=1#gid=0"",""1_ACUM!A4:S""),14,FALSE))"),"")</f>
        <v/>
      </c>
      <c r="AF635" s="43" t="str">
        <f ca="1">IFERROR(__xludf.DUMMYFUNCTION("IFERROR(VLOOKUP(E658&amp;F658,IMPORTRANGE(""https://docs.google.com/spreadsheets/d/1Uw7-A9f9R21vMXxHZFNpYNeKFtG8_yji4HS352LGlSQ/edit?pli=1#gid=0"",""1_ACUM!A4:S""),15,FALSE))"),"")</f>
        <v/>
      </c>
      <c r="AG635" s="43" t="str">
        <f ca="1">IFERROR(__xludf.DUMMYFUNCTION("IFERROR(VLOOKUP(E658&amp;F658,IMPORTRANGE(""https://docs.google.com/spreadsheets/d/1Uw7-A9f9R21vMXxHZFNpYNeKFtG8_yji4HS352LGlSQ/edit?pli=1#gid=0"",""1_ACUM!A4:S""),16,FALSE))"),"")</f>
        <v/>
      </c>
      <c r="AH635" s="43" t="str">
        <f ca="1">IFERROR(__xludf.DUMMYFUNCTION("IFERROR(VLOOKUP(E658&amp;F658,IMPORTRANGE(""https://docs.google.com/spreadsheets/d/1Uw7-A9f9R21vMXxHZFNpYNeKFtG8_yji4HS352LGlSQ/edit?pli=1#gid=0"",""1_ACUM!A4:S""),17,FALSE))"),"")</f>
        <v/>
      </c>
      <c r="AI635" s="44" t="str">
        <f ca="1">IFERROR(__xludf.DUMMYFUNCTION("IFERROR(VLOOKUP(E658&amp;F658,IMPORTRANGE(""https://docs.google.com/spreadsheets/d/1Uw7-A9f9R21vMXxHZFNpYNeKFtG8_yji4HS352LGlSQ/edit?pli=1#gid=0"",""1_ACUM!A4:S""),18,FALSE))"),"")</f>
        <v/>
      </c>
      <c r="AJ635" s="44" t="str">
        <f ca="1">IFERROR(__xludf.DUMMYFUNCTION("IFERROR(VLOOKUP(E658&amp;F658,IMPORTRANGE(""https://docs.google.com/spreadsheets/d/1Uw7-A9f9R21vMXxHZFNpYNeKFtG8_yji4HS352LGlSQ/edit?pli=1#gid=0"",""1_ACUM!A4:S""),19,FALSE))"),"")</f>
        <v/>
      </c>
      <c r="AK635" s="98" t="str">
        <f ca="1">IFERROR(__xludf.DUMMYFUNCTION("IFERROR(VLOOKUP(F658,IMPORTRANGE(""https://docs.google.com/spreadsheets/d/1Kvs4KS76FHFqLFIZfrDMff4kP08nblUkihrxltoGBjg/edit#gid=934712705"",""ESENCIAL!A6:BG""),5,FALSE))"),"")</f>
        <v/>
      </c>
      <c r="AL635" s="98" t="str">
        <f t="shared" si="38"/>
        <v/>
      </c>
      <c r="AM635" s="99" t="str">
        <f t="shared" si="39"/>
        <v/>
      </c>
      <c r="AN635" s="100" t="str">
        <f ca="1">IFERROR(__xludf.DUMMYFUNCTION("IFERROR(VLOOKUP(F658,IMPORTRANGE(""https://docs.google.com/spreadsheets/d/1Kvs4KS76FHFqLFIZfrDMff4kP08nblUkihrxltoGBjg/edit#gid=934712705"",""ESENCIAL!A6:BG""),2,FALSE))"),"")</f>
        <v/>
      </c>
      <c r="AO635" s="19" t="str">
        <f t="shared" si="33"/>
        <v/>
      </c>
      <c r="AP635" s="100"/>
      <c r="AQ635" s="100"/>
    </row>
    <row r="636" spans="1:43" ht="15">
      <c r="A636" s="5"/>
      <c r="B636" s="5"/>
      <c r="G636" s="5" t="str">
        <f ca="1">IFERROR(__xludf.DUMMYFUNCTION("IFERROR(VLOOKUP(F659,IMPORTRANGE(""https://docs.google.com/spreadsheets/d/1Kvs4KS76FHFqLFIZfrDMff4kP08nblUkihrxltoGBjg/edit#gid=934712705"",""ESENCIAL!A6:BG""),3,FALSE))"),"")</f>
        <v/>
      </c>
      <c r="H636" s="5" t="str">
        <f ca="1">IFERROR(__xludf.DUMMYFUNCTION("IFERROR(VLOOKUP(F659,IMPORTRANGE(""https://docs.google.com/spreadsheets/d/1Kvs4KS76FHFqLFIZfrDMff4kP08nblUkihrxltoGBjg/edit#gid=934712705"",""ESENCIAL!A6:BG""),8,FALSE))"),"")</f>
        <v/>
      </c>
      <c r="L636" s="40"/>
      <c r="Z636" s="41" t="str">
        <f t="shared" si="37"/>
        <v/>
      </c>
      <c r="AA636" s="5" t="str">
        <f ca="1">IFERROR(__xludf.DUMMYFUNCTION("IFERROR(VLOOKUP(E659&amp;F659,IMPORTRANGE(""https://docs.google.com/spreadsheets/d/1Uw7-A9f9R21vMXxHZFNpYNeKFtG8_yji4HS352LGlSQ/edit?pli=1#gid=0"",""1_ACUM!A4:S""),11,FALSE))"),"")</f>
        <v/>
      </c>
      <c r="AB636" s="42" t="str">
        <f ca="1">IFERROR(__xludf.DUMMYFUNCTION("IFERROR(VLOOKUP(F659,IMPORTRANGE(""https://docs.google.com/spreadsheets/d/1Kvs4KS76FHFqLFIZfrDMff4kP08nblUkihrxltoGBjg/edit#gid=934712705"",""ESENCIAL!A6:BG""),15,FALSE))"),"")</f>
        <v/>
      </c>
      <c r="AC636" s="110" t="str">
        <f ca="1">IFERROR(__xludf.DUMMYFUNCTION("IFERROR(VLOOKUP(E659&amp;F659,IMPORTRANGE(""https://docs.google.com/spreadsheets/d/1Uw7-A9f9R21vMXxHZFNpYNeKFtG8_yji4HS352LGlSQ/edit?pli=1#gid=0"",""1_ACUM!A4:S""),13,FALSE))"),"")</f>
        <v/>
      </c>
      <c r="AD636" s="43" t="str">
        <f ca="1">IFERROR(__xludf.DUMMYFUNCTION("IFERROR(VLOOKUP(E659&amp;F659,IMPORTRANGE(""https://docs.google.com/spreadsheets/d/1Uw7-A9f9R21vMXxHZFNpYNeKFtG8_yji4HS352LGlSQ/edit?pli=1#gid=0"",""1_ACUM!A4:S""),13,FALSE))"),"")</f>
        <v/>
      </c>
      <c r="AE636" s="43" t="str">
        <f ca="1">IFERROR(__xludf.DUMMYFUNCTION("IFERROR(VLOOKUP(E659&amp;F659,IMPORTRANGE(""https://docs.google.com/spreadsheets/d/1Uw7-A9f9R21vMXxHZFNpYNeKFtG8_yji4HS352LGlSQ/edit?pli=1#gid=0"",""1_ACUM!A4:S""),14,FALSE))"),"")</f>
        <v/>
      </c>
      <c r="AF636" s="43" t="str">
        <f ca="1">IFERROR(__xludf.DUMMYFUNCTION("IFERROR(VLOOKUP(E659&amp;F659,IMPORTRANGE(""https://docs.google.com/spreadsheets/d/1Uw7-A9f9R21vMXxHZFNpYNeKFtG8_yji4HS352LGlSQ/edit?pli=1#gid=0"",""1_ACUM!A4:S""),15,FALSE))"),"")</f>
        <v/>
      </c>
      <c r="AG636" s="43" t="str">
        <f ca="1">IFERROR(__xludf.DUMMYFUNCTION("IFERROR(VLOOKUP(E659&amp;F659,IMPORTRANGE(""https://docs.google.com/spreadsheets/d/1Uw7-A9f9R21vMXxHZFNpYNeKFtG8_yji4HS352LGlSQ/edit?pli=1#gid=0"",""1_ACUM!A4:S""),16,FALSE))"),"")</f>
        <v/>
      </c>
      <c r="AH636" s="43" t="str">
        <f ca="1">IFERROR(__xludf.DUMMYFUNCTION("IFERROR(VLOOKUP(E659&amp;F659,IMPORTRANGE(""https://docs.google.com/spreadsheets/d/1Uw7-A9f9R21vMXxHZFNpYNeKFtG8_yji4HS352LGlSQ/edit?pli=1#gid=0"",""1_ACUM!A4:S""),17,FALSE))"),"")</f>
        <v/>
      </c>
      <c r="AI636" s="44" t="str">
        <f ca="1">IFERROR(__xludf.DUMMYFUNCTION("IFERROR(VLOOKUP(E659&amp;F659,IMPORTRANGE(""https://docs.google.com/spreadsheets/d/1Uw7-A9f9R21vMXxHZFNpYNeKFtG8_yji4HS352LGlSQ/edit?pli=1#gid=0"",""1_ACUM!A4:S""),18,FALSE))"),"")</f>
        <v/>
      </c>
      <c r="AJ636" s="44" t="str">
        <f ca="1">IFERROR(__xludf.DUMMYFUNCTION("IFERROR(VLOOKUP(E659&amp;F659,IMPORTRANGE(""https://docs.google.com/spreadsheets/d/1Uw7-A9f9R21vMXxHZFNpYNeKFtG8_yji4HS352LGlSQ/edit?pli=1#gid=0"",""1_ACUM!A4:S""),19,FALSE))"),"")</f>
        <v/>
      </c>
      <c r="AK636" s="98" t="str">
        <f ca="1">IFERROR(__xludf.DUMMYFUNCTION("IFERROR(VLOOKUP(F659,IMPORTRANGE(""https://docs.google.com/spreadsheets/d/1Kvs4KS76FHFqLFIZfrDMff4kP08nblUkihrxltoGBjg/edit#gid=934712705"",""ESENCIAL!A6:BG""),5,FALSE))"),"")</f>
        <v/>
      </c>
      <c r="AL636" s="98" t="str">
        <f t="shared" si="38"/>
        <v/>
      </c>
      <c r="AM636" s="99" t="str">
        <f t="shared" si="39"/>
        <v/>
      </c>
      <c r="AN636" s="100" t="str">
        <f ca="1">IFERROR(__xludf.DUMMYFUNCTION("IFERROR(VLOOKUP(F659,IMPORTRANGE(""https://docs.google.com/spreadsheets/d/1Kvs4KS76FHFqLFIZfrDMff4kP08nblUkihrxltoGBjg/edit#gid=934712705"",""ESENCIAL!A6:BG""),2,FALSE))"),"")</f>
        <v/>
      </c>
      <c r="AO636" s="19" t="str">
        <f t="shared" si="33"/>
        <v/>
      </c>
      <c r="AP636" s="100"/>
      <c r="AQ636" s="100"/>
    </row>
    <row r="637" spans="1:43" ht="15">
      <c r="A637" s="5"/>
      <c r="B637" s="5"/>
      <c r="G637" s="5" t="str">
        <f ca="1">IFERROR(__xludf.DUMMYFUNCTION("IFERROR(VLOOKUP(F660,IMPORTRANGE(""https://docs.google.com/spreadsheets/d/1Kvs4KS76FHFqLFIZfrDMff4kP08nblUkihrxltoGBjg/edit#gid=934712705"",""ESENCIAL!A6:BG""),3,FALSE))"),"")</f>
        <v/>
      </c>
      <c r="H637" s="5" t="str">
        <f ca="1">IFERROR(__xludf.DUMMYFUNCTION("IFERROR(VLOOKUP(F660,IMPORTRANGE(""https://docs.google.com/spreadsheets/d/1Kvs4KS76FHFqLFIZfrDMff4kP08nblUkihrxltoGBjg/edit#gid=934712705"",""ESENCIAL!A6:BG""),8,FALSE))"),"")</f>
        <v/>
      </c>
      <c r="L637" s="40"/>
      <c r="Z637" s="41" t="str">
        <f t="shared" si="37"/>
        <v/>
      </c>
      <c r="AA637" s="5" t="str">
        <f ca="1">IFERROR(__xludf.DUMMYFUNCTION("IFERROR(VLOOKUP(E660&amp;F660,IMPORTRANGE(""https://docs.google.com/spreadsheets/d/1Uw7-A9f9R21vMXxHZFNpYNeKFtG8_yji4HS352LGlSQ/edit?pli=1#gid=0"",""1_ACUM!A4:S""),11,FALSE))"),"")</f>
        <v/>
      </c>
      <c r="AB637" s="42" t="str">
        <f ca="1">IFERROR(__xludf.DUMMYFUNCTION("IFERROR(VLOOKUP(F660,IMPORTRANGE(""https://docs.google.com/spreadsheets/d/1Kvs4KS76FHFqLFIZfrDMff4kP08nblUkihrxltoGBjg/edit#gid=934712705"",""ESENCIAL!A6:BG""),15,FALSE))"),"")</f>
        <v/>
      </c>
      <c r="AC637" s="110" t="str">
        <f ca="1">IFERROR(__xludf.DUMMYFUNCTION("IFERROR(VLOOKUP(E660&amp;F660,IMPORTRANGE(""https://docs.google.com/spreadsheets/d/1Uw7-A9f9R21vMXxHZFNpYNeKFtG8_yji4HS352LGlSQ/edit?pli=1#gid=0"",""1_ACUM!A4:S""),13,FALSE))"),"")</f>
        <v/>
      </c>
      <c r="AD637" s="43" t="str">
        <f ca="1">IFERROR(__xludf.DUMMYFUNCTION("IFERROR(VLOOKUP(E660&amp;F660,IMPORTRANGE(""https://docs.google.com/spreadsheets/d/1Uw7-A9f9R21vMXxHZFNpYNeKFtG8_yji4HS352LGlSQ/edit?pli=1#gid=0"",""1_ACUM!A4:S""),13,FALSE))"),"")</f>
        <v/>
      </c>
      <c r="AE637" s="43" t="str">
        <f ca="1">IFERROR(__xludf.DUMMYFUNCTION("IFERROR(VLOOKUP(E660&amp;F660,IMPORTRANGE(""https://docs.google.com/spreadsheets/d/1Uw7-A9f9R21vMXxHZFNpYNeKFtG8_yji4HS352LGlSQ/edit?pli=1#gid=0"",""1_ACUM!A4:S""),14,FALSE))"),"")</f>
        <v/>
      </c>
      <c r="AF637" s="43" t="str">
        <f ca="1">IFERROR(__xludf.DUMMYFUNCTION("IFERROR(VLOOKUP(E660&amp;F660,IMPORTRANGE(""https://docs.google.com/spreadsheets/d/1Uw7-A9f9R21vMXxHZFNpYNeKFtG8_yji4HS352LGlSQ/edit?pli=1#gid=0"",""1_ACUM!A4:S""),15,FALSE))"),"")</f>
        <v/>
      </c>
      <c r="AG637" s="43" t="str">
        <f ca="1">IFERROR(__xludf.DUMMYFUNCTION("IFERROR(VLOOKUP(E660&amp;F660,IMPORTRANGE(""https://docs.google.com/spreadsheets/d/1Uw7-A9f9R21vMXxHZFNpYNeKFtG8_yji4HS352LGlSQ/edit?pli=1#gid=0"",""1_ACUM!A4:S""),16,FALSE))"),"")</f>
        <v/>
      </c>
      <c r="AH637" s="43" t="str">
        <f ca="1">IFERROR(__xludf.DUMMYFUNCTION("IFERROR(VLOOKUP(E660&amp;F660,IMPORTRANGE(""https://docs.google.com/spreadsheets/d/1Uw7-A9f9R21vMXxHZFNpYNeKFtG8_yji4HS352LGlSQ/edit?pli=1#gid=0"",""1_ACUM!A4:S""),17,FALSE))"),"")</f>
        <v/>
      </c>
      <c r="AI637" s="44" t="str">
        <f ca="1">IFERROR(__xludf.DUMMYFUNCTION("IFERROR(VLOOKUP(E660&amp;F660,IMPORTRANGE(""https://docs.google.com/spreadsheets/d/1Uw7-A9f9R21vMXxHZFNpYNeKFtG8_yji4HS352LGlSQ/edit?pli=1#gid=0"",""1_ACUM!A4:S""),18,FALSE))"),"")</f>
        <v/>
      </c>
      <c r="AJ637" s="44" t="str">
        <f ca="1">IFERROR(__xludf.DUMMYFUNCTION("IFERROR(VLOOKUP(E660&amp;F660,IMPORTRANGE(""https://docs.google.com/spreadsheets/d/1Uw7-A9f9R21vMXxHZFNpYNeKFtG8_yji4HS352LGlSQ/edit?pli=1#gid=0"",""1_ACUM!A4:S""),19,FALSE))"),"")</f>
        <v/>
      </c>
      <c r="AK637" s="98" t="str">
        <f ca="1">IFERROR(__xludf.DUMMYFUNCTION("IFERROR(VLOOKUP(F660,IMPORTRANGE(""https://docs.google.com/spreadsheets/d/1Kvs4KS76FHFqLFIZfrDMff4kP08nblUkihrxltoGBjg/edit#gid=934712705"",""ESENCIAL!A6:BG""),5,FALSE))"),"")</f>
        <v/>
      </c>
      <c r="AL637" s="98" t="str">
        <f t="shared" si="38"/>
        <v/>
      </c>
      <c r="AM637" s="99" t="str">
        <f t="shared" si="39"/>
        <v/>
      </c>
      <c r="AN637" s="100" t="str">
        <f ca="1">IFERROR(__xludf.DUMMYFUNCTION("IFERROR(VLOOKUP(F660,IMPORTRANGE(""https://docs.google.com/spreadsheets/d/1Kvs4KS76FHFqLFIZfrDMff4kP08nblUkihrxltoGBjg/edit#gid=934712705"",""ESENCIAL!A6:BG""),2,FALSE))"),"")</f>
        <v/>
      </c>
      <c r="AO637" s="19" t="str">
        <f t="shared" si="33"/>
        <v/>
      </c>
      <c r="AP637" s="100"/>
      <c r="AQ637" s="100"/>
    </row>
    <row r="638" spans="1:43" ht="15">
      <c r="A638" s="5"/>
      <c r="B638" s="5"/>
      <c r="G638" s="5" t="str">
        <f ca="1">IFERROR(__xludf.DUMMYFUNCTION("IFERROR(VLOOKUP(F661,IMPORTRANGE(""https://docs.google.com/spreadsheets/d/1Kvs4KS76FHFqLFIZfrDMff4kP08nblUkihrxltoGBjg/edit#gid=934712705"",""ESENCIAL!A6:BG""),3,FALSE))"),"")</f>
        <v/>
      </c>
      <c r="H638" s="5" t="str">
        <f ca="1">IFERROR(__xludf.DUMMYFUNCTION("IFERROR(VLOOKUP(F661,IMPORTRANGE(""https://docs.google.com/spreadsheets/d/1Kvs4KS76FHFqLFIZfrDMff4kP08nblUkihrxltoGBjg/edit#gid=934712705"",""ESENCIAL!A6:BG""),8,FALSE))"),"")</f>
        <v/>
      </c>
      <c r="L638" s="40"/>
      <c r="Z638" s="41" t="str">
        <f t="shared" si="37"/>
        <v/>
      </c>
      <c r="AA638" s="5" t="str">
        <f ca="1">IFERROR(__xludf.DUMMYFUNCTION("IFERROR(VLOOKUP(E661&amp;F661,IMPORTRANGE(""https://docs.google.com/spreadsheets/d/1Uw7-A9f9R21vMXxHZFNpYNeKFtG8_yji4HS352LGlSQ/edit?pli=1#gid=0"",""1_ACUM!A4:S""),11,FALSE))"),"")</f>
        <v/>
      </c>
      <c r="AB638" s="42" t="str">
        <f ca="1">IFERROR(__xludf.DUMMYFUNCTION("IFERROR(VLOOKUP(F661,IMPORTRANGE(""https://docs.google.com/spreadsheets/d/1Kvs4KS76FHFqLFIZfrDMff4kP08nblUkihrxltoGBjg/edit#gid=934712705"",""ESENCIAL!A6:BG""),15,FALSE))"),"")</f>
        <v/>
      </c>
      <c r="AC638" s="110" t="str">
        <f ca="1">IFERROR(__xludf.DUMMYFUNCTION("IFERROR(VLOOKUP(E661&amp;F661,IMPORTRANGE(""https://docs.google.com/spreadsheets/d/1Uw7-A9f9R21vMXxHZFNpYNeKFtG8_yji4HS352LGlSQ/edit?pli=1#gid=0"",""1_ACUM!A4:S""),13,FALSE))"),"")</f>
        <v/>
      </c>
      <c r="AD638" s="43" t="str">
        <f ca="1">IFERROR(__xludf.DUMMYFUNCTION("IFERROR(VLOOKUP(E661&amp;F661,IMPORTRANGE(""https://docs.google.com/spreadsheets/d/1Uw7-A9f9R21vMXxHZFNpYNeKFtG8_yji4HS352LGlSQ/edit?pli=1#gid=0"",""1_ACUM!A4:S""),13,FALSE))"),"")</f>
        <v/>
      </c>
      <c r="AE638" s="43" t="str">
        <f ca="1">IFERROR(__xludf.DUMMYFUNCTION("IFERROR(VLOOKUP(E661&amp;F661,IMPORTRANGE(""https://docs.google.com/spreadsheets/d/1Uw7-A9f9R21vMXxHZFNpYNeKFtG8_yji4HS352LGlSQ/edit?pli=1#gid=0"",""1_ACUM!A4:S""),14,FALSE))"),"")</f>
        <v/>
      </c>
      <c r="AF638" s="43" t="str">
        <f ca="1">IFERROR(__xludf.DUMMYFUNCTION("IFERROR(VLOOKUP(E661&amp;F661,IMPORTRANGE(""https://docs.google.com/spreadsheets/d/1Uw7-A9f9R21vMXxHZFNpYNeKFtG8_yji4HS352LGlSQ/edit?pli=1#gid=0"",""1_ACUM!A4:S""),15,FALSE))"),"")</f>
        <v/>
      </c>
      <c r="AG638" s="43" t="str">
        <f ca="1">IFERROR(__xludf.DUMMYFUNCTION("IFERROR(VLOOKUP(E661&amp;F661,IMPORTRANGE(""https://docs.google.com/spreadsheets/d/1Uw7-A9f9R21vMXxHZFNpYNeKFtG8_yji4HS352LGlSQ/edit?pli=1#gid=0"",""1_ACUM!A4:S""),16,FALSE))"),"")</f>
        <v/>
      </c>
      <c r="AH638" s="43" t="str">
        <f ca="1">IFERROR(__xludf.DUMMYFUNCTION("IFERROR(VLOOKUP(E661&amp;F661,IMPORTRANGE(""https://docs.google.com/spreadsheets/d/1Uw7-A9f9R21vMXxHZFNpYNeKFtG8_yji4HS352LGlSQ/edit?pli=1#gid=0"",""1_ACUM!A4:S""),17,FALSE))"),"")</f>
        <v/>
      </c>
      <c r="AI638" s="44" t="str">
        <f ca="1">IFERROR(__xludf.DUMMYFUNCTION("IFERROR(VLOOKUP(E661&amp;F661,IMPORTRANGE(""https://docs.google.com/spreadsheets/d/1Uw7-A9f9R21vMXxHZFNpYNeKFtG8_yji4HS352LGlSQ/edit?pli=1#gid=0"",""1_ACUM!A4:S""),18,FALSE))"),"")</f>
        <v/>
      </c>
      <c r="AJ638" s="44" t="str">
        <f ca="1">IFERROR(__xludf.DUMMYFUNCTION("IFERROR(VLOOKUP(E661&amp;F661,IMPORTRANGE(""https://docs.google.com/spreadsheets/d/1Uw7-A9f9R21vMXxHZFNpYNeKFtG8_yji4HS352LGlSQ/edit?pli=1#gid=0"",""1_ACUM!A4:S""),19,FALSE))"),"")</f>
        <v/>
      </c>
      <c r="AK638" s="98" t="str">
        <f ca="1">IFERROR(__xludf.DUMMYFUNCTION("IFERROR(VLOOKUP(F661,IMPORTRANGE(""https://docs.google.com/spreadsheets/d/1Kvs4KS76FHFqLFIZfrDMff4kP08nblUkihrxltoGBjg/edit#gid=934712705"",""ESENCIAL!A6:BG""),5,FALSE))"),"")</f>
        <v/>
      </c>
      <c r="AL638" s="98" t="str">
        <f t="shared" si="38"/>
        <v/>
      </c>
      <c r="AM638" s="99" t="str">
        <f t="shared" si="39"/>
        <v/>
      </c>
      <c r="AN638" s="100" t="str">
        <f ca="1">IFERROR(__xludf.DUMMYFUNCTION("IFERROR(VLOOKUP(F661,IMPORTRANGE(""https://docs.google.com/spreadsheets/d/1Kvs4KS76FHFqLFIZfrDMff4kP08nblUkihrxltoGBjg/edit#gid=934712705"",""ESENCIAL!A6:BG""),2,FALSE))"),"")</f>
        <v/>
      </c>
      <c r="AO638" s="19" t="str">
        <f t="shared" si="33"/>
        <v/>
      </c>
      <c r="AP638" s="100"/>
      <c r="AQ638" s="100"/>
    </row>
    <row r="639" spans="1:43" ht="15">
      <c r="A639" s="5"/>
      <c r="B639" s="5"/>
      <c r="G639" s="5" t="str">
        <f ca="1">IFERROR(__xludf.DUMMYFUNCTION("IFERROR(VLOOKUP(F662,IMPORTRANGE(""https://docs.google.com/spreadsheets/d/1Kvs4KS76FHFqLFIZfrDMff4kP08nblUkihrxltoGBjg/edit#gid=934712705"",""ESENCIAL!A6:BG""),3,FALSE))"),"")</f>
        <v/>
      </c>
      <c r="H639" s="5" t="str">
        <f ca="1">IFERROR(__xludf.DUMMYFUNCTION("IFERROR(VLOOKUP(F662,IMPORTRANGE(""https://docs.google.com/spreadsheets/d/1Kvs4KS76FHFqLFIZfrDMff4kP08nblUkihrxltoGBjg/edit#gid=934712705"",""ESENCIAL!A6:BG""),8,FALSE))"),"")</f>
        <v/>
      </c>
      <c r="L639" s="40"/>
      <c r="Z639" s="41" t="str">
        <f t="shared" si="37"/>
        <v/>
      </c>
      <c r="AA639" s="5" t="str">
        <f ca="1">IFERROR(__xludf.DUMMYFUNCTION("IFERROR(VLOOKUP(E662&amp;F662,IMPORTRANGE(""https://docs.google.com/spreadsheets/d/1Uw7-A9f9R21vMXxHZFNpYNeKFtG8_yji4HS352LGlSQ/edit?pli=1#gid=0"",""1_ACUM!A4:S""),11,FALSE))"),"")</f>
        <v/>
      </c>
      <c r="AB639" s="42" t="str">
        <f ca="1">IFERROR(__xludf.DUMMYFUNCTION("IFERROR(VLOOKUP(F662,IMPORTRANGE(""https://docs.google.com/spreadsheets/d/1Kvs4KS76FHFqLFIZfrDMff4kP08nblUkihrxltoGBjg/edit#gid=934712705"",""ESENCIAL!A6:BG""),15,FALSE))"),"")</f>
        <v/>
      </c>
      <c r="AC639" s="110" t="str">
        <f ca="1">IFERROR(__xludf.DUMMYFUNCTION("IFERROR(VLOOKUP(E662&amp;F662,IMPORTRANGE(""https://docs.google.com/spreadsheets/d/1Uw7-A9f9R21vMXxHZFNpYNeKFtG8_yji4HS352LGlSQ/edit?pli=1#gid=0"",""1_ACUM!A4:S""),13,FALSE))"),"")</f>
        <v/>
      </c>
      <c r="AD639" s="43" t="str">
        <f ca="1">IFERROR(__xludf.DUMMYFUNCTION("IFERROR(VLOOKUP(E662&amp;F662,IMPORTRANGE(""https://docs.google.com/spreadsheets/d/1Uw7-A9f9R21vMXxHZFNpYNeKFtG8_yji4HS352LGlSQ/edit?pli=1#gid=0"",""1_ACUM!A4:S""),13,FALSE))"),"")</f>
        <v/>
      </c>
      <c r="AE639" s="43" t="str">
        <f ca="1">IFERROR(__xludf.DUMMYFUNCTION("IFERROR(VLOOKUP(E662&amp;F662,IMPORTRANGE(""https://docs.google.com/spreadsheets/d/1Uw7-A9f9R21vMXxHZFNpYNeKFtG8_yji4HS352LGlSQ/edit?pli=1#gid=0"",""1_ACUM!A4:S""),14,FALSE))"),"")</f>
        <v/>
      </c>
      <c r="AF639" s="43" t="str">
        <f ca="1">IFERROR(__xludf.DUMMYFUNCTION("IFERROR(VLOOKUP(E662&amp;F662,IMPORTRANGE(""https://docs.google.com/spreadsheets/d/1Uw7-A9f9R21vMXxHZFNpYNeKFtG8_yji4HS352LGlSQ/edit?pli=1#gid=0"",""1_ACUM!A4:S""),15,FALSE))"),"")</f>
        <v/>
      </c>
      <c r="AG639" s="43" t="str">
        <f ca="1">IFERROR(__xludf.DUMMYFUNCTION("IFERROR(VLOOKUP(E662&amp;F662,IMPORTRANGE(""https://docs.google.com/spreadsheets/d/1Uw7-A9f9R21vMXxHZFNpYNeKFtG8_yji4HS352LGlSQ/edit?pli=1#gid=0"",""1_ACUM!A4:S""),16,FALSE))"),"")</f>
        <v/>
      </c>
      <c r="AH639" s="43" t="str">
        <f ca="1">IFERROR(__xludf.DUMMYFUNCTION("IFERROR(VLOOKUP(E662&amp;F662,IMPORTRANGE(""https://docs.google.com/spreadsheets/d/1Uw7-A9f9R21vMXxHZFNpYNeKFtG8_yji4HS352LGlSQ/edit?pli=1#gid=0"",""1_ACUM!A4:S""),17,FALSE))"),"")</f>
        <v/>
      </c>
      <c r="AI639" s="44" t="str">
        <f ca="1">IFERROR(__xludf.DUMMYFUNCTION("IFERROR(VLOOKUP(E662&amp;F662,IMPORTRANGE(""https://docs.google.com/spreadsheets/d/1Uw7-A9f9R21vMXxHZFNpYNeKFtG8_yji4HS352LGlSQ/edit?pli=1#gid=0"",""1_ACUM!A4:S""),18,FALSE))"),"")</f>
        <v/>
      </c>
      <c r="AJ639" s="44" t="str">
        <f ca="1">IFERROR(__xludf.DUMMYFUNCTION("IFERROR(VLOOKUP(E662&amp;F662,IMPORTRANGE(""https://docs.google.com/spreadsheets/d/1Uw7-A9f9R21vMXxHZFNpYNeKFtG8_yji4HS352LGlSQ/edit?pli=1#gid=0"",""1_ACUM!A4:S""),19,FALSE))"),"")</f>
        <v/>
      </c>
      <c r="AK639" s="98" t="str">
        <f ca="1">IFERROR(__xludf.DUMMYFUNCTION("IFERROR(VLOOKUP(F662,IMPORTRANGE(""https://docs.google.com/spreadsheets/d/1Kvs4KS76FHFqLFIZfrDMff4kP08nblUkihrxltoGBjg/edit#gid=934712705"",""ESENCIAL!A6:BG""),5,FALSE))"),"")</f>
        <v/>
      </c>
      <c r="AL639" s="98" t="str">
        <f t="shared" si="38"/>
        <v/>
      </c>
      <c r="AM639" s="99" t="str">
        <f t="shared" si="39"/>
        <v/>
      </c>
      <c r="AN639" s="100" t="str">
        <f ca="1">IFERROR(__xludf.DUMMYFUNCTION("IFERROR(VLOOKUP(F662,IMPORTRANGE(""https://docs.google.com/spreadsheets/d/1Kvs4KS76FHFqLFIZfrDMff4kP08nblUkihrxltoGBjg/edit#gid=934712705"",""ESENCIAL!A6:BG""),2,FALSE))"),"")</f>
        <v/>
      </c>
      <c r="AO639" s="19" t="str">
        <f t="shared" si="33"/>
        <v/>
      </c>
      <c r="AP639" s="100"/>
      <c r="AQ639" s="100"/>
    </row>
    <row r="640" spans="1:43" ht="15">
      <c r="A640" s="5"/>
      <c r="B640" s="5"/>
      <c r="G640" s="5" t="str">
        <f ca="1">IFERROR(__xludf.DUMMYFUNCTION("IFERROR(VLOOKUP(F663,IMPORTRANGE(""https://docs.google.com/spreadsheets/d/1Kvs4KS76FHFqLFIZfrDMff4kP08nblUkihrxltoGBjg/edit#gid=934712705"",""ESENCIAL!A6:BG""),3,FALSE))"),"")</f>
        <v/>
      </c>
      <c r="H640" s="5" t="str">
        <f ca="1">IFERROR(__xludf.DUMMYFUNCTION("IFERROR(VLOOKUP(F663,IMPORTRANGE(""https://docs.google.com/spreadsheets/d/1Kvs4KS76FHFqLFIZfrDMff4kP08nblUkihrxltoGBjg/edit#gid=934712705"",""ESENCIAL!A6:BG""),8,FALSE))"),"")</f>
        <v/>
      </c>
      <c r="L640" s="40"/>
      <c r="Z640" s="41" t="str">
        <f t="shared" si="37"/>
        <v/>
      </c>
      <c r="AA640" s="5" t="str">
        <f ca="1">IFERROR(__xludf.DUMMYFUNCTION("IFERROR(VLOOKUP(E663&amp;F663,IMPORTRANGE(""https://docs.google.com/spreadsheets/d/1Uw7-A9f9R21vMXxHZFNpYNeKFtG8_yji4HS352LGlSQ/edit?pli=1#gid=0"",""1_ACUM!A4:S""),11,FALSE))"),"")</f>
        <v/>
      </c>
      <c r="AB640" s="42" t="str">
        <f ca="1">IFERROR(__xludf.DUMMYFUNCTION("IFERROR(VLOOKUP(F663,IMPORTRANGE(""https://docs.google.com/spreadsheets/d/1Kvs4KS76FHFqLFIZfrDMff4kP08nblUkihrxltoGBjg/edit#gid=934712705"",""ESENCIAL!A6:BG""),15,FALSE))"),"")</f>
        <v/>
      </c>
      <c r="AC640" s="110" t="str">
        <f ca="1">IFERROR(__xludf.DUMMYFUNCTION("IFERROR(VLOOKUP(E663&amp;F663,IMPORTRANGE(""https://docs.google.com/spreadsheets/d/1Uw7-A9f9R21vMXxHZFNpYNeKFtG8_yji4HS352LGlSQ/edit?pli=1#gid=0"",""1_ACUM!A4:S""),13,FALSE))"),"")</f>
        <v/>
      </c>
      <c r="AD640" s="43" t="str">
        <f ca="1">IFERROR(__xludf.DUMMYFUNCTION("IFERROR(VLOOKUP(E663&amp;F663,IMPORTRANGE(""https://docs.google.com/spreadsheets/d/1Uw7-A9f9R21vMXxHZFNpYNeKFtG8_yji4HS352LGlSQ/edit?pli=1#gid=0"",""1_ACUM!A4:S""),13,FALSE))"),"")</f>
        <v/>
      </c>
      <c r="AE640" s="43" t="str">
        <f ca="1">IFERROR(__xludf.DUMMYFUNCTION("IFERROR(VLOOKUP(E663&amp;F663,IMPORTRANGE(""https://docs.google.com/spreadsheets/d/1Uw7-A9f9R21vMXxHZFNpYNeKFtG8_yji4HS352LGlSQ/edit?pli=1#gid=0"",""1_ACUM!A4:S""),14,FALSE))"),"")</f>
        <v/>
      </c>
      <c r="AF640" s="43" t="str">
        <f ca="1">IFERROR(__xludf.DUMMYFUNCTION("IFERROR(VLOOKUP(E663&amp;F663,IMPORTRANGE(""https://docs.google.com/spreadsheets/d/1Uw7-A9f9R21vMXxHZFNpYNeKFtG8_yji4HS352LGlSQ/edit?pli=1#gid=0"",""1_ACUM!A4:S""),15,FALSE))"),"")</f>
        <v/>
      </c>
      <c r="AG640" s="43" t="str">
        <f ca="1">IFERROR(__xludf.DUMMYFUNCTION("IFERROR(VLOOKUP(E663&amp;F663,IMPORTRANGE(""https://docs.google.com/spreadsheets/d/1Uw7-A9f9R21vMXxHZFNpYNeKFtG8_yji4HS352LGlSQ/edit?pli=1#gid=0"",""1_ACUM!A4:S""),16,FALSE))"),"")</f>
        <v/>
      </c>
      <c r="AH640" s="43" t="str">
        <f ca="1">IFERROR(__xludf.DUMMYFUNCTION("IFERROR(VLOOKUP(E663&amp;F663,IMPORTRANGE(""https://docs.google.com/spreadsheets/d/1Uw7-A9f9R21vMXxHZFNpYNeKFtG8_yji4HS352LGlSQ/edit?pli=1#gid=0"",""1_ACUM!A4:S""),17,FALSE))"),"")</f>
        <v/>
      </c>
      <c r="AI640" s="44" t="str">
        <f ca="1">IFERROR(__xludf.DUMMYFUNCTION("IFERROR(VLOOKUP(E663&amp;F663,IMPORTRANGE(""https://docs.google.com/spreadsheets/d/1Uw7-A9f9R21vMXxHZFNpYNeKFtG8_yji4HS352LGlSQ/edit?pli=1#gid=0"",""1_ACUM!A4:S""),18,FALSE))"),"")</f>
        <v/>
      </c>
      <c r="AJ640" s="44" t="str">
        <f ca="1">IFERROR(__xludf.DUMMYFUNCTION("IFERROR(VLOOKUP(E663&amp;F663,IMPORTRANGE(""https://docs.google.com/spreadsheets/d/1Uw7-A9f9R21vMXxHZFNpYNeKFtG8_yji4HS352LGlSQ/edit?pli=1#gid=0"",""1_ACUM!A4:S""),19,FALSE))"),"")</f>
        <v/>
      </c>
      <c r="AK640" s="98" t="str">
        <f ca="1">IFERROR(__xludf.DUMMYFUNCTION("IFERROR(VLOOKUP(F663,IMPORTRANGE(""https://docs.google.com/spreadsheets/d/1Kvs4KS76FHFqLFIZfrDMff4kP08nblUkihrxltoGBjg/edit#gid=934712705"",""ESENCIAL!A6:BG""),5,FALSE))"),"")</f>
        <v/>
      </c>
      <c r="AL640" s="98" t="str">
        <f t="shared" si="38"/>
        <v/>
      </c>
      <c r="AM640" s="99" t="str">
        <f t="shared" si="39"/>
        <v/>
      </c>
      <c r="AN640" s="100" t="str">
        <f ca="1">IFERROR(__xludf.DUMMYFUNCTION("IFERROR(VLOOKUP(F663,IMPORTRANGE(""https://docs.google.com/spreadsheets/d/1Kvs4KS76FHFqLFIZfrDMff4kP08nblUkihrxltoGBjg/edit#gid=934712705"",""ESENCIAL!A6:BG""),2,FALSE))"),"")</f>
        <v/>
      </c>
      <c r="AO640" s="19" t="str">
        <f t="shared" si="33"/>
        <v/>
      </c>
      <c r="AP640" s="100"/>
      <c r="AQ640" s="100"/>
    </row>
    <row r="641" spans="1:43" ht="15">
      <c r="A641" s="5"/>
      <c r="B641" s="5"/>
      <c r="G641" s="5" t="str">
        <f ca="1">IFERROR(__xludf.DUMMYFUNCTION("IFERROR(VLOOKUP(F664,IMPORTRANGE(""https://docs.google.com/spreadsheets/d/1Kvs4KS76FHFqLFIZfrDMff4kP08nblUkihrxltoGBjg/edit#gid=934712705"",""ESENCIAL!A6:BG""),3,FALSE))"),"")</f>
        <v/>
      </c>
      <c r="H641" s="5" t="str">
        <f ca="1">IFERROR(__xludf.DUMMYFUNCTION("IFERROR(VLOOKUP(F664,IMPORTRANGE(""https://docs.google.com/spreadsheets/d/1Kvs4KS76FHFqLFIZfrDMff4kP08nblUkihrxltoGBjg/edit#gid=934712705"",""ESENCIAL!A6:BG""),8,FALSE))"),"")</f>
        <v/>
      </c>
      <c r="L641" s="40"/>
      <c r="Z641" s="41" t="str">
        <f t="shared" si="37"/>
        <v/>
      </c>
      <c r="AA641" s="5" t="str">
        <f ca="1">IFERROR(__xludf.DUMMYFUNCTION("IFERROR(VLOOKUP(E664&amp;F664,IMPORTRANGE(""https://docs.google.com/spreadsheets/d/1Uw7-A9f9R21vMXxHZFNpYNeKFtG8_yji4HS352LGlSQ/edit?pli=1#gid=0"",""1_ACUM!A4:S""),11,FALSE))"),"")</f>
        <v/>
      </c>
      <c r="AB641" s="42" t="str">
        <f ca="1">IFERROR(__xludf.DUMMYFUNCTION("IFERROR(VLOOKUP(F664,IMPORTRANGE(""https://docs.google.com/spreadsheets/d/1Kvs4KS76FHFqLFIZfrDMff4kP08nblUkihrxltoGBjg/edit#gid=934712705"",""ESENCIAL!A6:BG""),15,FALSE))"),"")</f>
        <v/>
      </c>
      <c r="AC641" s="110" t="str">
        <f ca="1">IFERROR(__xludf.DUMMYFUNCTION("IFERROR(VLOOKUP(E664&amp;F664,IMPORTRANGE(""https://docs.google.com/spreadsheets/d/1Uw7-A9f9R21vMXxHZFNpYNeKFtG8_yji4HS352LGlSQ/edit?pli=1#gid=0"",""1_ACUM!A4:S""),13,FALSE))"),"")</f>
        <v/>
      </c>
      <c r="AD641" s="43" t="str">
        <f ca="1">IFERROR(__xludf.DUMMYFUNCTION("IFERROR(VLOOKUP(E664&amp;F664,IMPORTRANGE(""https://docs.google.com/spreadsheets/d/1Uw7-A9f9R21vMXxHZFNpYNeKFtG8_yji4HS352LGlSQ/edit?pli=1#gid=0"",""1_ACUM!A4:S""),13,FALSE))"),"")</f>
        <v/>
      </c>
      <c r="AE641" s="43" t="str">
        <f ca="1">IFERROR(__xludf.DUMMYFUNCTION("IFERROR(VLOOKUP(E664&amp;F664,IMPORTRANGE(""https://docs.google.com/spreadsheets/d/1Uw7-A9f9R21vMXxHZFNpYNeKFtG8_yji4HS352LGlSQ/edit?pli=1#gid=0"",""1_ACUM!A4:S""),14,FALSE))"),"")</f>
        <v/>
      </c>
      <c r="AF641" s="43" t="str">
        <f ca="1">IFERROR(__xludf.DUMMYFUNCTION("IFERROR(VLOOKUP(E664&amp;F664,IMPORTRANGE(""https://docs.google.com/spreadsheets/d/1Uw7-A9f9R21vMXxHZFNpYNeKFtG8_yji4HS352LGlSQ/edit?pli=1#gid=0"",""1_ACUM!A4:S""),15,FALSE))"),"")</f>
        <v/>
      </c>
      <c r="AG641" s="43" t="str">
        <f ca="1">IFERROR(__xludf.DUMMYFUNCTION("IFERROR(VLOOKUP(E664&amp;F664,IMPORTRANGE(""https://docs.google.com/spreadsheets/d/1Uw7-A9f9R21vMXxHZFNpYNeKFtG8_yji4HS352LGlSQ/edit?pli=1#gid=0"",""1_ACUM!A4:S""),16,FALSE))"),"")</f>
        <v/>
      </c>
      <c r="AH641" s="43" t="str">
        <f ca="1">IFERROR(__xludf.DUMMYFUNCTION("IFERROR(VLOOKUP(E664&amp;F664,IMPORTRANGE(""https://docs.google.com/spreadsheets/d/1Uw7-A9f9R21vMXxHZFNpYNeKFtG8_yji4HS352LGlSQ/edit?pli=1#gid=0"",""1_ACUM!A4:S""),17,FALSE))"),"")</f>
        <v/>
      </c>
      <c r="AI641" s="44" t="str">
        <f ca="1">IFERROR(__xludf.DUMMYFUNCTION("IFERROR(VLOOKUP(E664&amp;F664,IMPORTRANGE(""https://docs.google.com/spreadsheets/d/1Uw7-A9f9R21vMXxHZFNpYNeKFtG8_yji4HS352LGlSQ/edit?pli=1#gid=0"",""1_ACUM!A4:S""),18,FALSE))"),"")</f>
        <v/>
      </c>
      <c r="AJ641" s="44" t="str">
        <f ca="1">IFERROR(__xludf.DUMMYFUNCTION("IFERROR(VLOOKUP(E664&amp;F664,IMPORTRANGE(""https://docs.google.com/spreadsheets/d/1Uw7-A9f9R21vMXxHZFNpYNeKFtG8_yji4HS352LGlSQ/edit?pli=1#gid=0"",""1_ACUM!A4:S""),19,FALSE))"),"")</f>
        <v/>
      </c>
      <c r="AK641" s="98" t="str">
        <f ca="1">IFERROR(__xludf.DUMMYFUNCTION("IFERROR(VLOOKUP(F664,IMPORTRANGE(""https://docs.google.com/spreadsheets/d/1Kvs4KS76FHFqLFIZfrDMff4kP08nblUkihrxltoGBjg/edit#gid=934712705"",""ESENCIAL!A6:BG""),5,FALSE))"),"")</f>
        <v/>
      </c>
      <c r="AL641" s="98" t="str">
        <f t="shared" si="38"/>
        <v/>
      </c>
      <c r="AM641" s="99" t="str">
        <f t="shared" si="39"/>
        <v/>
      </c>
      <c r="AN641" s="100" t="str">
        <f ca="1">IFERROR(__xludf.DUMMYFUNCTION("IFERROR(VLOOKUP(F664,IMPORTRANGE(""https://docs.google.com/spreadsheets/d/1Kvs4KS76FHFqLFIZfrDMff4kP08nblUkihrxltoGBjg/edit#gid=934712705"",""ESENCIAL!A6:BG""),2,FALSE))"),"")</f>
        <v/>
      </c>
      <c r="AO641" s="19" t="str">
        <f t="shared" si="33"/>
        <v/>
      </c>
      <c r="AP641" s="100"/>
      <c r="AQ641" s="100"/>
    </row>
    <row r="642" spans="1:43" ht="15">
      <c r="A642" s="5"/>
      <c r="B642" s="5"/>
      <c r="G642" s="5" t="str">
        <f ca="1">IFERROR(__xludf.DUMMYFUNCTION("IFERROR(VLOOKUP(F665,IMPORTRANGE(""https://docs.google.com/spreadsheets/d/1Kvs4KS76FHFqLFIZfrDMff4kP08nblUkihrxltoGBjg/edit#gid=934712705"",""ESENCIAL!A6:BG""),3,FALSE))"),"")</f>
        <v/>
      </c>
      <c r="H642" s="5" t="str">
        <f ca="1">IFERROR(__xludf.DUMMYFUNCTION("IFERROR(VLOOKUP(F665,IMPORTRANGE(""https://docs.google.com/spreadsheets/d/1Kvs4KS76FHFqLFIZfrDMff4kP08nblUkihrxltoGBjg/edit#gid=934712705"",""ESENCIAL!A6:BG""),8,FALSE))"),"")</f>
        <v/>
      </c>
      <c r="L642" s="40"/>
      <c r="Z642" s="41" t="str">
        <f t="shared" ref="Z642:Z705" si="40">IF(E642&gt;0,IF(AND(AH642=1,AE642=1),"Procede_E_P","NO_CUMPLE"),"")</f>
        <v/>
      </c>
      <c r="AA642" s="5" t="str">
        <f ca="1">IFERROR(__xludf.DUMMYFUNCTION("IFERROR(VLOOKUP(E665&amp;F665,IMPORTRANGE(""https://docs.google.com/spreadsheets/d/1Uw7-A9f9R21vMXxHZFNpYNeKFtG8_yji4HS352LGlSQ/edit?pli=1#gid=0"",""1_ACUM!A4:S""),11,FALSE))"),"")</f>
        <v/>
      </c>
      <c r="AB642" s="42" t="str">
        <f ca="1">IFERROR(__xludf.DUMMYFUNCTION("IFERROR(VLOOKUP(F665,IMPORTRANGE(""https://docs.google.com/spreadsheets/d/1Kvs4KS76FHFqLFIZfrDMff4kP08nblUkihrxltoGBjg/edit#gid=934712705"",""ESENCIAL!A6:BG""),15,FALSE))"),"")</f>
        <v/>
      </c>
      <c r="AC642" s="110" t="str">
        <f ca="1">IFERROR(__xludf.DUMMYFUNCTION("IFERROR(VLOOKUP(E665&amp;F665,IMPORTRANGE(""https://docs.google.com/spreadsheets/d/1Uw7-A9f9R21vMXxHZFNpYNeKFtG8_yji4HS352LGlSQ/edit?pli=1#gid=0"",""1_ACUM!A4:S""),13,FALSE))"),"")</f>
        <v/>
      </c>
      <c r="AD642" s="43" t="str">
        <f ca="1">IFERROR(__xludf.DUMMYFUNCTION("IFERROR(VLOOKUP(E665&amp;F665,IMPORTRANGE(""https://docs.google.com/spreadsheets/d/1Uw7-A9f9R21vMXxHZFNpYNeKFtG8_yji4HS352LGlSQ/edit?pli=1#gid=0"",""1_ACUM!A4:S""),13,FALSE))"),"")</f>
        <v/>
      </c>
      <c r="AE642" s="43" t="str">
        <f ca="1">IFERROR(__xludf.DUMMYFUNCTION("IFERROR(VLOOKUP(E665&amp;F665,IMPORTRANGE(""https://docs.google.com/spreadsheets/d/1Uw7-A9f9R21vMXxHZFNpYNeKFtG8_yji4HS352LGlSQ/edit?pli=1#gid=0"",""1_ACUM!A4:S""),14,FALSE))"),"")</f>
        <v/>
      </c>
      <c r="AF642" s="43" t="str">
        <f ca="1">IFERROR(__xludf.DUMMYFUNCTION("IFERROR(VLOOKUP(E665&amp;F665,IMPORTRANGE(""https://docs.google.com/spreadsheets/d/1Uw7-A9f9R21vMXxHZFNpYNeKFtG8_yji4HS352LGlSQ/edit?pli=1#gid=0"",""1_ACUM!A4:S""),15,FALSE))"),"")</f>
        <v/>
      </c>
      <c r="AG642" s="43" t="str">
        <f ca="1">IFERROR(__xludf.DUMMYFUNCTION("IFERROR(VLOOKUP(E665&amp;F665,IMPORTRANGE(""https://docs.google.com/spreadsheets/d/1Uw7-A9f9R21vMXxHZFNpYNeKFtG8_yji4HS352LGlSQ/edit?pli=1#gid=0"",""1_ACUM!A4:S""),16,FALSE))"),"")</f>
        <v/>
      </c>
      <c r="AH642" s="43" t="str">
        <f ca="1">IFERROR(__xludf.DUMMYFUNCTION("IFERROR(VLOOKUP(E665&amp;F665,IMPORTRANGE(""https://docs.google.com/spreadsheets/d/1Uw7-A9f9R21vMXxHZFNpYNeKFtG8_yji4HS352LGlSQ/edit?pli=1#gid=0"",""1_ACUM!A4:S""),17,FALSE))"),"")</f>
        <v/>
      </c>
      <c r="AI642" s="44" t="str">
        <f ca="1">IFERROR(__xludf.DUMMYFUNCTION("IFERROR(VLOOKUP(E665&amp;F665,IMPORTRANGE(""https://docs.google.com/spreadsheets/d/1Uw7-A9f9R21vMXxHZFNpYNeKFtG8_yji4HS352LGlSQ/edit?pli=1#gid=0"",""1_ACUM!A4:S""),18,FALSE))"),"")</f>
        <v/>
      </c>
      <c r="AJ642" s="44" t="str">
        <f ca="1">IFERROR(__xludf.DUMMYFUNCTION("IFERROR(VLOOKUP(E665&amp;F665,IMPORTRANGE(""https://docs.google.com/spreadsheets/d/1Uw7-A9f9R21vMXxHZFNpYNeKFtG8_yji4HS352LGlSQ/edit?pli=1#gid=0"",""1_ACUM!A4:S""),19,FALSE))"),"")</f>
        <v/>
      </c>
      <c r="AK642" s="98" t="str">
        <f ca="1">IFERROR(__xludf.DUMMYFUNCTION("IFERROR(VLOOKUP(F665,IMPORTRANGE(""https://docs.google.com/spreadsheets/d/1Kvs4KS76FHFqLFIZfrDMff4kP08nblUkihrxltoGBjg/edit#gid=934712705"",""ESENCIAL!A6:BG""),5,FALSE))"),"")</f>
        <v/>
      </c>
      <c r="AL642" s="98" t="str">
        <f t="shared" ref="AL642:AL705" si="41">IF(F642&gt;0,EDATE(AK642,18),"")</f>
        <v/>
      </c>
      <c r="AM642" s="99" t="str">
        <f t="shared" ref="AM642:AM705" si="42">IF(F642&gt;0,IF(AL642&lt;$AM$1,"FINALIZAR FICHA","FICHA EN TIEMPO-18 MESES"),"")</f>
        <v/>
      </c>
      <c r="AN642" s="100" t="str">
        <f ca="1">IFERROR(__xludf.DUMMYFUNCTION("IFERROR(VLOOKUP(F665,IMPORTRANGE(""https://docs.google.com/spreadsheets/d/1Kvs4KS76FHFqLFIZfrDMff4kP08nblUkihrxltoGBjg/edit#gid=934712705"",""ESENCIAL!A6:BG""),2,FALSE))"),"")</f>
        <v/>
      </c>
      <c r="AO642" s="19" t="str">
        <f t="shared" si="33"/>
        <v/>
      </c>
      <c r="AP642" s="100"/>
      <c r="AQ642" s="100"/>
    </row>
    <row r="643" spans="1:43" ht="15">
      <c r="A643" s="5"/>
      <c r="B643" s="5"/>
      <c r="G643" s="5" t="str">
        <f ca="1">IFERROR(__xludf.DUMMYFUNCTION("IFERROR(VLOOKUP(F666,IMPORTRANGE(""https://docs.google.com/spreadsheets/d/1Kvs4KS76FHFqLFIZfrDMff4kP08nblUkihrxltoGBjg/edit#gid=934712705"",""ESENCIAL!A6:BG""),3,FALSE))"),"")</f>
        <v/>
      </c>
      <c r="H643" s="5" t="str">
        <f ca="1">IFERROR(__xludf.DUMMYFUNCTION("IFERROR(VLOOKUP(F666,IMPORTRANGE(""https://docs.google.com/spreadsheets/d/1Kvs4KS76FHFqLFIZfrDMff4kP08nblUkihrxltoGBjg/edit#gid=934712705"",""ESENCIAL!A6:BG""),8,FALSE))"),"")</f>
        <v/>
      </c>
      <c r="L643" s="40"/>
      <c r="Z643" s="41" t="str">
        <f t="shared" si="40"/>
        <v/>
      </c>
      <c r="AA643" s="5" t="str">
        <f ca="1">IFERROR(__xludf.DUMMYFUNCTION("IFERROR(VLOOKUP(E666&amp;F666,IMPORTRANGE(""https://docs.google.com/spreadsheets/d/1Uw7-A9f9R21vMXxHZFNpYNeKFtG8_yji4HS352LGlSQ/edit?pli=1#gid=0"",""1_ACUM!A4:S""),11,FALSE))"),"")</f>
        <v/>
      </c>
      <c r="AB643" s="42" t="str">
        <f ca="1">IFERROR(__xludf.DUMMYFUNCTION("IFERROR(VLOOKUP(F666,IMPORTRANGE(""https://docs.google.com/spreadsheets/d/1Kvs4KS76FHFqLFIZfrDMff4kP08nblUkihrxltoGBjg/edit#gid=934712705"",""ESENCIAL!A6:BG""),15,FALSE))"),"")</f>
        <v/>
      </c>
      <c r="AC643" s="110" t="str">
        <f ca="1">IFERROR(__xludf.DUMMYFUNCTION("IFERROR(VLOOKUP(E666&amp;F666,IMPORTRANGE(""https://docs.google.com/spreadsheets/d/1Uw7-A9f9R21vMXxHZFNpYNeKFtG8_yji4HS352LGlSQ/edit?pli=1#gid=0"",""1_ACUM!A4:S""),13,FALSE))"),"")</f>
        <v/>
      </c>
      <c r="AD643" s="43" t="str">
        <f ca="1">IFERROR(__xludf.DUMMYFUNCTION("IFERROR(VLOOKUP(E666&amp;F666,IMPORTRANGE(""https://docs.google.com/spreadsheets/d/1Uw7-A9f9R21vMXxHZFNpYNeKFtG8_yji4HS352LGlSQ/edit?pli=1#gid=0"",""1_ACUM!A4:S""),13,FALSE))"),"")</f>
        <v/>
      </c>
      <c r="AE643" s="43" t="str">
        <f ca="1">IFERROR(__xludf.DUMMYFUNCTION("IFERROR(VLOOKUP(E666&amp;F666,IMPORTRANGE(""https://docs.google.com/spreadsheets/d/1Uw7-A9f9R21vMXxHZFNpYNeKFtG8_yji4HS352LGlSQ/edit?pli=1#gid=0"",""1_ACUM!A4:S""),14,FALSE))"),"")</f>
        <v/>
      </c>
      <c r="AF643" s="43" t="str">
        <f ca="1">IFERROR(__xludf.DUMMYFUNCTION("IFERROR(VLOOKUP(E666&amp;F666,IMPORTRANGE(""https://docs.google.com/spreadsheets/d/1Uw7-A9f9R21vMXxHZFNpYNeKFtG8_yji4HS352LGlSQ/edit?pli=1#gid=0"",""1_ACUM!A4:S""),15,FALSE))"),"")</f>
        <v/>
      </c>
      <c r="AG643" s="43" t="str">
        <f ca="1">IFERROR(__xludf.DUMMYFUNCTION("IFERROR(VLOOKUP(E666&amp;F666,IMPORTRANGE(""https://docs.google.com/spreadsheets/d/1Uw7-A9f9R21vMXxHZFNpYNeKFtG8_yji4HS352LGlSQ/edit?pli=1#gid=0"",""1_ACUM!A4:S""),16,FALSE))"),"")</f>
        <v/>
      </c>
      <c r="AH643" s="43" t="str">
        <f ca="1">IFERROR(__xludf.DUMMYFUNCTION("IFERROR(VLOOKUP(E666&amp;F666,IMPORTRANGE(""https://docs.google.com/spreadsheets/d/1Uw7-A9f9R21vMXxHZFNpYNeKFtG8_yji4HS352LGlSQ/edit?pli=1#gid=0"",""1_ACUM!A4:S""),17,FALSE))"),"")</f>
        <v/>
      </c>
      <c r="AI643" s="44" t="str">
        <f ca="1">IFERROR(__xludf.DUMMYFUNCTION("IFERROR(VLOOKUP(E666&amp;F666,IMPORTRANGE(""https://docs.google.com/spreadsheets/d/1Uw7-A9f9R21vMXxHZFNpYNeKFtG8_yji4HS352LGlSQ/edit?pli=1#gid=0"",""1_ACUM!A4:S""),18,FALSE))"),"")</f>
        <v/>
      </c>
      <c r="AJ643" s="44" t="str">
        <f ca="1">IFERROR(__xludf.DUMMYFUNCTION("IFERROR(VLOOKUP(E666&amp;F666,IMPORTRANGE(""https://docs.google.com/spreadsheets/d/1Uw7-A9f9R21vMXxHZFNpYNeKFtG8_yji4HS352LGlSQ/edit?pli=1#gid=0"",""1_ACUM!A4:S""),19,FALSE))"),"")</f>
        <v/>
      </c>
      <c r="AK643" s="98" t="str">
        <f ca="1">IFERROR(__xludf.DUMMYFUNCTION("IFERROR(VLOOKUP(F666,IMPORTRANGE(""https://docs.google.com/spreadsheets/d/1Kvs4KS76FHFqLFIZfrDMff4kP08nblUkihrxltoGBjg/edit#gid=934712705"",""ESENCIAL!A6:BG""),5,FALSE))"),"")</f>
        <v/>
      </c>
      <c r="AL643" s="98" t="str">
        <f t="shared" si="41"/>
        <v/>
      </c>
      <c r="AM643" s="99" t="str">
        <f t="shared" si="42"/>
        <v/>
      </c>
      <c r="AN643" s="100" t="str">
        <f ca="1">IFERROR(__xludf.DUMMYFUNCTION("IFERROR(VLOOKUP(F666,IMPORTRANGE(""https://docs.google.com/spreadsheets/d/1Kvs4KS76FHFqLFIZfrDMff4kP08nblUkihrxltoGBjg/edit#gid=934712705"",""ESENCIAL!A6:BG""),2,FALSE))"),"")</f>
        <v/>
      </c>
      <c r="AO643" s="19" t="str">
        <f t="shared" si="33"/>
        <v/>
      </c>
      <c r="AP643" s="100"/>
      <c r="AQ643" s="100"/>
    </row>
    <row r="644" spans="1:43" ht="15">
      <c r="A644" s="5"/>
      <c r="B644" s="5"/>
      <c r="G644" s="5" t="str">
        <f ca="1">IFERROR(__xludf.DUMMYFUNCTION("IFERROR(VLOOKUP(F667,IMPORTRANGE(""https://docs.google.com/spreadsheets/d/1Kvs4KS76FHFqLFIZfrDMff4kP08nblUkihrxltoGBjg/edit#gid=934712705"",""ESENCIAL!A6:BG""),3,FALSE))"),"")</f>
        <v/>
      </c>
      <c r="H644" s="5" t="str">
        <f ca="1">IFERROR(__xludf.DUMMYFUNCTION("IFERROR(VLOOKUP(F667,IMPORTRANGE(""https://docs.google.com/spreadsheets/d/1Kvs4KS76FHFqLFIZfrDMff4kP08nblUkihrxltoGBjg/edit#gid=934712705"",""ESENCIAL!A6:BG""),8,FALSE))"),"")</f>
        <v/>
      </c>
      <c r="L644" s="40"/>
      <c r="Z644" s="41" t="str">
        <f t="shared" si="40"/>
        <v/>
      </c>
      <c r="AA644" s="5" t="str">
        <f ca="1">IFERROR(__xludf.DUMMYFUNCTION("IFERROR(VLOOKUP(E667&amp;F667,IMPORTRANGE(""https://docs.google.com/spreadsheets/d/1Uw7-A9f9R21vMXxHZFNpYNeKFtG8_yji4HS352LGlSQ/edit?pli=1#gid=0"",""1_ACUM!A4:S""),11,FALSE))"),"")</f>
        <v/>
      </c>
      <c r="AB644" s="42" t="str">
        <f ca="1">IFERROR(__xludf.DUMMYFUNCTION("IFERROR(VLOOKUP(F667,IMPORTRANGE(""https://docs.google.com/spreadsheets/d/1Kvs4KS76FHFqLFIZfrDMff4kP08nblUkihrxltoGBjg/edit#gid=934712705"",""ESENCIAL!A6:BG""),15,FALSE))"),"")</f>
        <v/>
      </c>
      <c r="AC644" s="110" t="str">
        <f ca="1">IFERROR(__xludf.DUMMYFUNCTION("IFERROR(VLOOKUP(E667&amp;F667,IMPORTRANGE(""https://docs.google.com/spreadsheets/d/1Uw7-A9f9R21vMXxHZFNpYNeKFtG8_yji4HS352LGlSQ/edit?pli=1#gid=0"",""1_ACUM!A4:S""),13,FALSE))"),"")</f>
        <v/>
      </c>
      <c r="AD644" s="43" t="str">
        <f ca="1">IFERROR(__xludf.DUMMYFUNCTION("IFERROR(VLOOKUP(E667&amp;F667,IMPORTRANGE(""https://docs.google.com/spreadsheets/d/1Uw7-A9f9R21vMXxHZFNpYNeKFtG8_yji4HS352LGlSQ/edit?pli=1#gid=0"",""1_ACUM!A4:S""),13,FALSE))"),"")</f>
        <v/>
      </c>
      <c r="AE644" s="43" t="str">
        <f ca="1">IFERROR(__xludf.DUMMYFUNCTION("IFERROR(VLOOKUP(E667&amp;F667,IMPORTRANGE(""https://docs.google.com/spreadsheets/d/1Uw7-A9f9R21vMXxHZFNpYNeKFtG8_yji4HS352LGlSQ/edit?pli=1#gid=0"",""1_ACUM!A4:S""),14,FALSE))"),"")</f>
        <v/>
      </c>
      <c r="AF644" s="43" t="str">
        <f ca="1">IFERROR(__xludf.DUMMYFUNCTION("IFERROR(VLOOKUP(E667&amp;F667,IMPORTRANGE(""https://docs.google.com/spreadsheets/d/1Uw7-A9f9R21vMXxHZFNpYNeKFtG8_yji4HS352LGlSQ/edit?pli=1#gid=0"",""1_ACUM!A4:S""),15,FALSE))"),"")</f>
        <v/>
      </c>
      <c r="AG644" s="43" t="str">
        <f ca="1">IFERROR(__xludf.DUMMYFUNCTION("IFERROR(VLOOKUP(E667&amp;F667,IMPORTRANGE(""https://docs.google.com/spreadsheets/d/1Uw7-A9f9R21vMXxHZFNpYNeKFtG8_yji4HS352LGlSQ/edit?pli=1#gid=0"",""1_ACUM!A4:S""),16,FALSE))"),"")</f>
        <v/>
      </c>
      <c r="AH644" s="43" t="str">
        <f ca="1">IFERROR(__xludf.DUMMYFUNCTION("IFERROR(VLOOKUP(E667&amp;F667,IMPORTRANGE(""https://docs.google.com/spreadsheets/d/1Uw7-A9f9R21vMXxHZFNpYNeKFtG8_yji4HS352LGlSQ/edit?pli=1#gid=0"",""1_ACUM!A4:S""),17,FALSE))"),"")</f>
        <v/>
      </c>
      <c r="AI644" s="44" t="str">
        <f ca="1">IFERROR(__xludf.DUMMYFUNCTION("IFERROR(VLOOKUP(E667&amp;F667,IMPORTRANGE(""https://docs.google.com/spreadsheets/d/1Uw7-A9f9R21vMXxHZFNpYNeKFtG8_yji4HS352LGlSQ/edit?pli=1#gid=0"",""1_ACUM!A4:S""),18,FALSE))"),"")</f>
        <v/>
      </c>
      <c r="AJ644" s="44" t="str">
        <f ca="1">IFERROR(__xludf.DUMMYFUNCTION("IFERROR(VLOOKUP(E667&amp;F667,IMPORTRANGE(""https://docs.google.com/spreadsheets/d/1Uw7-A9f9R21vMXxHZFNpYNeKFtG8_yji4HS352LGlSQ/edit?pli=1#gid=0"",""1_ACUM!A4:S""),19,FALSE))"),"")</f>
        <v/>
      </c>
      <c r="AK644" s="98" t="str">
        <f ca="1">IFERROR(__xludf.DUMMYFUNCTION("IFERROR(VLOOKUP(F667,IMPORTRANGE(""https://docs.google.com/spreadsheets/d/1Kvs4KS76FHFqLFIZfrDMff4kP08nblUkihrxltoGBjg/edit#gid=934712705"",""ESENCIAL!A6:BG""),5,FALSE))"),"")</f>
        <v/>
      </c>
      <c r="AL644" s="98" t="str">
        <f t="shared" si="41"/>
        <v/>
      </c>
      <c r="AM644" s="99" t="str">
        <f t="shared" si="42"/>
        <v/>
      </c>
      <c r="AN644" s="100" t="str">
        <f ca="1">IFERROR(__xludf.DUMMYFUNCTION("IFERROR(VLOOKUP(F667,IMPORTRANGE(""https://docs.google.com/spreadsheets/d/1Kvs4KS76FHFqLFIZfrDMff4kP08nblUkihrxltoGBjg/edit#gid=934712705"",""ESENCIAL!A6:BG""),2,FALSE))"),"")</f>
        <v/>
      </c>
      <c r="AO644" s="19" t="str">
        <f t="shared" si="33"/>
        <v/>
      </c>
      <c r="AP644" s="100"/>
      <c r="AQ644" s="100"/>
    </row>
    <row r="645" spans="1:43" ht="15">
      <c r="A645" s="5"/>
      <c r="B645" s="5"/>
      <c r="G645" s="5" t="str">
        <f ca="1">IFERROR(__xludf.DUMMYFUNCTION("IFERROR(VLOOKUP(F668,IMPORTRANGE(""https://docs.google.com/spreadsheets/d/1Kvs4KS76FHFqLFIZfrDMff4kP08nblUkihrxltoGBjg/edit#gid=934712705"",""ESENCIAL!A6:BG""),3,FALSE))"),"")</f>
        <v/>
      </c>
      <c r="H645" s="5" t="str">
        <f ca="1">IFERROR(__xludf.DUMMYFUNCTION("IFERROR(VLOOKUP(F668,IMPORTRANGE(""https://docs.google.com/spreadsheets/d/1Kvs4KS76FHFqLFIZfrDMff4kP08nblUkihrxltoGBjg/edit#gid=934712705"",""ESENCIAL!A6:BG""),8,FALSE))"),"")</f>
        <v/>
      </c>
      <c r="L645" s="40"/>
      <c r="Z645" s="41" t="str">
        <f t="shared" si="40"/>
        <v/>
      </c>
      <c r="AA645" s="5" t="str">
        <f ca="1">IFERROR(__xludf.DUMMYFUNCTION("IFERROR(VLOOKUP(E668&amp;F668,IMPORTRANGE(""https://docs.google.com/spreadsheets/d/1Uw7-A9f9R21vMXxHZFNpYNeKFtG8_yji4HS352LGlSQ/edit?pli=1#gid=0"",""1_ACUM!A4:S""),11,FALSE))"),"")</f>
        <v/>
      </c>
      <c r="AB645" s="42" t="str">
        <f ca="1">IFERROR(__xludf.DUMMYFUNCTION("IFERROR(VLOOKUP(F668,IMPORTRANGE(""https://docs.google.com/spreadsheets/d/1Kvs4KS76FHFqLFIZfrDMff4kP08nblUkihrxltoGBjg/edit#gid=934712705"",""ESENCIAL!A6:BG""),15,FALSE))"),"")</f>
        <v/>
      </c>
      <c r="AC645" s="110" t="str">
        <f ca="1">IFERROR(__xludf.DUMMYFUNCTION("IFERROR(VLOOKUP(E668&amp;F668,IMPORTRANGE(""https://docs.google.com/spreadsheets/d/1Uw7-A9f9R21vMXxHZFNpYNeKFtG8_yji4HS352LGlSQ/edit?pli=1#gid=0"",""1_ACUM!A4:S""),13,FALSE))"),"")</f>
        <v/>
      </c>
      <c r="AD645" s="43" t="str">
        <f ca="1">IFERROR(__xludf.DUMMYFUNCTION("IFERROR(VLOOKUP(E668&amp;F668,IMPORTRANGE(""https://docs.google.com/spreadsheets/d/1Uw7-A9f9R21vMXxHZFNpYNeKFtG8_yji4HS352LGlSQ/edit?pli=1#gid=0"",""1_ACUM!A4:S""),13,FALSE))"),"")</f>
        <v/>
      </c>
      <c r="AE645" s="43" t="str">
        <f ca="1">IFERROR(__xludf.DUMMYFUNCTION("IFERROR(VLOOKUP(E668&amp;F668,IMPORTRANGE(""https://docs.google.com/spreadsheets/d/1Uw7-A9f9R21vMXxHZFNpYNeKFtG8_yji4HS352LGlSQ/edit?pli=1#gid=0"",""1_ACUM!A4:S""),14,FALSE))"),"")</f>
        <v/>
      </c>
      <c r="AF645" s="43" t="str">
        <f ca="1">IFERROR(__xludf.DUMMYFUNCTION("IFERROR(VLOOKUP(E668&amp;F668,IMPORTRANGE(""https://docs.google.com/spreadsheets/d/1Uw7-A9f9R21vMXxHZFNpYNeKFtG8_yji4HS352LGlSQ/edit?pli=1#gid=0"",""1_ACUM!A4:S""),15,FALSE))"),"")</f>
        <v/>
      </c>
      <c r="AG645" s="43" t="str">
        <f ca="1">IFERROR(__xludf.DUMMYFUNCTION("IFERROR(VLOOKUP(E668&amp;F668,IMPORTRANGE(""https://docs.google.com/spreadsheets/d/1Uw7-A9f9R21vMXxHZFNpYNeKFtG8_yji4HS352LGlSQ/edit?pli=1#gid=0"",""1_ACUM!A4:S""),16,FALSE))"),"")</f>
        <v/>
      </c>
      <c r="AH645" s="43" t="str">
        <f ca="1">IFERROR(__xludf.DUMMYFUNCTION("IFERROR(VLOOKUP(E668&amp;F668,IMPORTRANGE(""https://docs.google.com/spreadsheets/d/1Uw7-A9f9R21vMXxHZFNpYNeKFtG8_yji4HS352LGlSQ/edit?pli=1#gid=0"",""1_ACUM!A4:S""),17,FALSE))"),"")</f>
        <v/>
      </c>
      <c r="AI645" s="44" t="str">
        <f ca="1">IFERROR(__xludf.DUMMYFUNCTION("IFERROR(VLOOKUP(E668&amp;F668,IMPORTRANGE(""https://docs.google.com/spreadsheets/d/1Uw7-A9f9R21vMXxHZFNpYNeKFtG8_yji4HS352LGlSQ/edit?pli=1#gid=0"",""1_ACUM!A4:S""),18,FALSE))"),"")</f>
        <v/>
      </c>
      <c r="AJ645" s="44" t="str">
        <f ca="1">IFERROR(__xludf.DUMMYFUNCTION("IFERROR(VLOOKUP(E668&amp;F668,IMPORTRANGE(""https://docs.google.com/spreadsheets/d/1Uw7-A9f9R21vMXxHZFNpYNeKFtG8_yji4HS352LGlSQ/edit?pli=1#gid=0"",""1_ACUM!A4:S""),19,FALSE))"),"")</f>
        <v/>
      </c>
      <c r="AK645" s="98" t="str">
        <f ca="1">IFERROR(__xludf.DUMMYFUNCTION("IFERROR(VLOOKUP(F668,IMPORTRANGE(""https://docs.google.com/spreadsheets/d/1Kvs4KS76FHFqLFIZfrDMff4kP08nblUkihrxltoGBjg/edit#gid=934712705"",""ESENCIAL!A6:BG""),5,FALSE))"),"")</f>
        <v/>
      </c>
      <c r="AL645" s="98" t="str">
        <f t="shared" si="41"/>
        <v/>
      </c>
      <c r="AM645" s="99" t="str">
        <f t="shared" si="42"/>
        <v/>
      </c>
      <c r="AN645" s="100" t="str">
        <f ca="1">IFERROR(__xludf.DUMMYFUNCTION("IFERROR(VLOOKUP(F668,IMPORTRANGE(""https://docs.google.com/spreadsheets/d/1Kvs4KS76FHFqLFIZfrDMff4kP08nblUkihrxltoGBjg/edit#gid=934712705"",""ESENCIAL!A6:BG""),2,FALSE))"),"")</f>
        <v/>
      </c>
      <c r="AO645" s="19" t="str">
        <f t="shared" si="33"/>
        <v/>
      </c>
      <c r="AP645" s="100"/>
      <c r="AQ645" s="100"/>
    </row>
    <row r="646" spans="1:43" ht="15">
      <c r="A646" s="5"/>
      <c r="B646" s="5"/>
      <c r="G646" s="5" t="str">
        <f ca="1">IFERROR(__xludf.DUMMYFUNCTION("IFERROR(VLOOKUP(F669,IMPORTRANGE(""https://docs.google.com/spreadsheets/d/1Kvs4KS76FHFqLFIZfrDMff4kP08nblUkihrxltoGBjg/edit#gid=934712705"",""ESENCIAL!A6:BG""),3,FALSE))"),"")</f>
        <v/>
      </c>
      <c r="H646" s="5" t="str">
        <f ca="1">IFERROR(__xludf.DUMMYFUNCTION("IFERROR(VLOOKUP(F669,IMPORTRANGE(""https://docs.google.com/spreadsheets/d/1Kvs4KS76FHFqLFIZfrDMff4kP08nblUkihrxltoGBjg/edit#gid=934712705"",""ESENCIAL!A6:BG""),8,FALSE))"),"")</f>
        <v/>
      </c>
      <c r="L646" s="40"/>
      <c r="Z646" s="41" t="str">
        <f t="shared" si="40"/>
        <v/>
      </c>
      <c r="AA646" s="5" t="str">
        <f ca="1">IFERROR(__xludf.DUMMYFUNCTION("IFERROR(VLOOKUP(E669&amp;F669,IMPORTRANGE(""https://docs.google.com/spreadsheets/d/1Uw7-A9f9R21vMXxHZFNpYNeKFtG8_yji4HS352LGlSQ/edit?pli=1#gid=0"",""1_ACUM!A4:S""),11,FALSE))"),"")</f>
        <v/>
      </c>
      <c r="AB646" s="42" t="str">
        <f ca="1">IFERROR(__xludf.DUMMYFUNCTION("IFERROR(VLOOKUP(F669,IMPORTRANGE(""https://docs.google.com/spreadsheets/d/1Kvs4KS76FHFqLFIZfrDMff4kP08nblUkihrxltoGBjg/edit#gid=934712705"",""ESENCIAL!A6:BG""),15,FALSE))"),"")</f>
        <v/>
      </c>
      <c r="AC646" s="110" t="str">
        <f ca="1">IFERROR(__xludf.DUMMYFUNCTION("IFERROR(VLOOKUP(E669&amp;F669,IMPORTRANGE(""https://docs.google.com/spreadsheets/d/1Uw7-A9f9R21vMXxHZFNpYNeKFtG8_yji4HS352LGlSQ/edit?pli=1#gid=0"",""1_ACUM!A4:S""),13,FALSE))"),"")</f>
        <v/>
      </c>
      <c r="AD646" s="43" t="str">
        <f ca="1">IFERROR(__xludf.DUMMYFUNCTION("IFERROR(VLOOKUP(E669&amp;F669,IMPORTRANGE(""https://docs.google.com/spreadsheets/d/1Uw7-A9f9R21vMXxHZFNpYNeKFtG8_yji4HS352LGlSQ/edit?pli=1#gid=0"",""1_ACUM!A4:S""),13,FALSE))"),"")</f>
        <v/>
      </c>
      <c r="AE646" s="43" t="str">
        <f ca="1">IFERROR(__xludf.DUMMYFUNCTION("IFERROR(VLOOKUP(E669&amp;F669,IMPORTRANGE(""https://docs.google.com/spreadsheets/d/1Uw7-A9f9R21vMXxHZFNpYNeKFtG8_yji4HS352LGlSQ/edit?pli=1#gid=0"",""1_ACUM!A4:S""),14,FALSE))"),"")</f>
        <v/>
      </c>
      <c r="AF646" s="43" t="str">
        <f ca="1">IFERROR(__xludf.DUMMYFUNCTION("IFERROR(VLOOKUP(E669&amp;F669,IMPORTRANGE(""https://docs.google.com/spreadsheets/d/1Uw7-A9f9R21vMXxHZFNpYNeKFtG8_yji4HS352LGlSQ/edit?pli=1#gid=0"",""1_ACUM!A4:S""),15,FALSE))"),"")</f>
        <v/>
      </c>
      <c r="AG646" s="43" t="str">
        <f ca="1">IFERROR(__xludf.DUMMYFUNCTION("IFERROR(VLOOKUP(E669&amp;F669,IMPORTRANGE(""https://docs.google.com/spreadsheets/d/1Uw7-A9f9R21vMXxHZFNpYNeKFtG8_yji4HS352LGlSQ/edit?pli=1#gid=0"",""1_ACUM!A4:S""),16,FALSE))"),"")</f>
        <v/>
      </c>
      <c r="AH646" s="43" t="str">
        <f ca="1">IFERROR(__xludf.DUMMYFUNCTION("IFERROR(VLOOKUP(E669&amp;F669,IMPORTRANGE(""https://docs.google.com/spreadsheets/d/1Uw7-A9f9R21vMXxHZFNpYNeKFtG8_yji4HS352LGlSQ/edit?pli=1#gid=0"",""1_ACUM!A4:S""),17,FALSE))"),"")</f>
        <v/>
      </c>
      <c r="AI646" s="44" t="str">
        <f ca="1">IFERROR(__xludf.DUMMYFUNCTION("IFERROR(VLOOKUP(E669&amp;F669,IMPORTRANGE(""https://docs.google.com/spreadsheets/d/1Uw7-A9f9R21vMXxHZFNpYNeKFtG8_yji4HS352LGlSQ/edit?pli=1#gid=0"",""1_ACUM!A4:S""),18,FALSE))"),"")</f>
        <v/>
      </c>
      <c r="AJ646" s="44" t="str">
        <f ca="1">IFERROR(__xludf.DUMMYFUNCTION("IFERROR(VLOOKUP(E669&amp;F669,IMPORTRANGE(""https://docs.google.com/spreadsheets/d/1Uw7-A9f9R21vMXxHZFNpYNeKFtG8_yji4HS352LGlSQ/edit?pli=1#gid=0"",""1_ACUM!A4:S""),19,FALSE))"),"")</f>
        <v/>
      </c>
      <c r="AK646" s="98" t="str">
        <f ca="1">IFERROR(__xludf.DUMMYFUNCTION("IFERROR(VLOOKUP(F669,IMPORTRANGE(""https://docs.google.com/spreadsheets/d/1Kvs4KS76FHFqLFIZfrDMff4kP08nblUkihrxltoGBjg/edit#gid=934712705"",""ESENCIAL!A6:BG""),5,FALSE))"),"")</f>
        <v/>
      </c>
      <c r="AL646" s="98" t="str">
        <f t="shared" si="41"/>
        <v/>
      </c>
      <c r="AM646" s="99" t="str">
        <f t="shared" si="42"/>
        <v/>
      </c>
      <c r="AN646" s="100" t="str">
        <f ca="1">IFERROR(__xludf.DUMMYFUNCTION("IFERROR(VLOOKUP(F669,IMPORTRANGE(""https://docs.google.com/spreadsheets/d/1Kvs4KS76FHFqLFIZfrDMff4kP08nblUkihrxltoGBjg/edit#gid=934712705"",""ESENCIAL!A6:BG""),2,FALSE))"),"")</f>
        <v/>
      </c>
      <c r="AO646" s="19" t="str">
        <f t="shared" si="33"/>
        <v/>
      </c>
      <c r="AP646" s="100"/>
      <c r="AQ646" s="100"/>
    </row>
    <row r="647" spans="1:43" ht="15">
      <c r="A647" s="5"/>
      <c r="B647" s="5"/>
      <c r="G647" s="5" t="str">
        <f ca="1">IFERROR(__xludf.DUMMYFUNCTION("IFERROR(VLOOKUP(F670,IMPORTRANGE(""https://docs.google.com/spreadsheets/d/1Kvs4KS76FHFqLFIZfrDMff4kP08nblUkihrxltoGBjg/edit#gid=934712705"",""ESENCIAL!A6:BG""),3,FALSE))"),"")</f>
        <v/>
      </c>
      <c r="H647" s="5" t="str">
        <f ca="1">IFERROR(__xludf.DUMMYFUNCTION("IFERROR(VLOOKUP(F670,IMPORTRANGE(""https://docs.google.com/spreadsheets/d/1Kvs4KS76FHFqLFIZfrDMff4kP08nblUkihrxltoGBjg/edit#gid=934712705"",""ESENCIAL!A6:BG""),8,FALSE))"),"")</f>
        <v/>
      </c>
      <c r="L647" s="40"/>
      <c r="Z647" s="41" t="str">
        <f t="shared" si="40"/>
        <v/>
      </c>
      <c r="AA647" s="5" t="str">
        <f ca="1">IFERROR(__xludf.DUMMYFUNCTION("IFERROR(VLOOKUP(E670&amp;F670,IMPORTRANGE(""https://docs.google.com/spreadsheets/d/1Uw7-A9f9R21vMXxHZFNpYNeKFtG8_yji4HS352LGlSQ/edit?pli=1#gid=0"",""1_ACUM!A4:S""),11,FALSE))"),"")</f>
        <v/>
      </c>
      <c r="AB647" s="42" t="str">
        <f ca="1">IFERROR(__xludf.DUMMYFUNCTION("IFERROR(VLOOKUP(F670,IMPORTRANGE(""https://docs.google.com/spreadsheets/d/1Kvs4KS76FHFqLFIZfrDMff4kP08nblUkihrxltoGBjg/edit#gid=934712705"",""ESENCIAL!A6:BG""),15,FALSE))"),"")</f>
        <v/>
      </c>
      <c r="AC647" s="110" t="str">
        <f ca="1">IFERROR(__xludf.DUMMYFUNCTION("IFERROR(VLOOKUP(E670&amp;F670,IMPORTRANGE(""https://docs.google.com/spreadsheets/d/1Uw7-A9f9R21vMXxHZFNpYNeKFtG8_yji4HS352LGlSQ/edit?pli=1#gid=0"",""1_ACUM!A4:S""),13,FALSE))"),"")</f>
        <v/>
      </c>
      <c r="AD647" s="43" t="str">
        <f ca="1">IFERROR(__xludf.DUMMYFUNCTION("IFERROR(VLOOKUP(E670&amp;F670,IMPORTRANGE(""https://docs.google.com/spreadsheets/d/1Uw7-A9f9R21vMXxHZFNpYNeKFtG8_yji4HS352LGlSQ/edit?pli=1#gid=0"",""1_ACUM!A4:S""),13,FALSE))"),"")</f>
        <v/>
      </c>
      <c r="AE647" s="43" t="str">
        <f ca="1">IFERROR(__xludf.DUMMYFUNCTION("IFERROR(VLOOKUP(E670&amp;F670,IMPORTRANGE(""https://docs.google.com/spreadsheets/d/1Uw7-A9f9R21vMXxHZFNpYNeKFtG8_yji4HS352LGlSQ/edit?pli=1#gid=0"",""1_ACUM!A4:S""),14,FALSE))"),"")</f>
        <v/>
      </c>
      <c r="AF647" s="43" t="str">
        <f ca="1">IFERROR(__xludf.DUMMYFUNCTION("IFERROR(VLOOKUP(E670&amp;F670,IMPORTRANGE(""https://docs.google.com/spreadsheets/d/1Uw7-A9f9R21vMXxHZFNpYNeKFtG8_yji4HS352LGlSQ/edit?pli=1#gid=0"",""1_ACUM!A4:S""),15,FALSE))"),"")</f>
        <v/>
      </c>
      <c r="AG647" s="43" t="str">
        <f ca="1">IFERROR(__xludf.DUMMYFUNCTION("IFERROR(VLOOKUP(E670&amp;F670,IMPORTRANGE(""https://docs.google.com/spreadsheets/d/1Uw7-A9f9R21vMXxHZFNpYNeKFtG8_yji4HS352LGlSQ/edit?pli=1#gid=0"",""1_ACUM!A4:S""),16,FALSE))"),"")</f>
        <v/>
      </c>
      <c r="AH647" s="43" t="str">
        <f ca="1">IFERROR(__xludf.DUMMYFUNCTION("IFERROR(VLOOKUP(E670&amp;F670,IMPORTRANGE(""https://docs.google.com/spreadsheets/d/1Uw7-A9f9R21vMXxHZFNpYNeKFtG8_yji4HS352LGlSQ/edit?pli=1#gid=0"",""1_ACUM!A4:S""),17,FALSE))"),"")</f>
        <v/>
      </c>
      <c r="AI647" s="44" t="str">
        <f ca="1">IFERROR(__xludf.DUMMYFUNCTION("IFERROR(VLOOKUP(E670&amp;F670,IMPORTRANGE(""https://docs.google.com/spreadsheets/d/1Uw7-A9f9R21vMXxHZFNpYNeKFtG8_yji4HS352LGlSQ/edit?pli=1#gid=0"",""1_ACUM!A4:S""),18,FALSE))"),"")</f>
        <v/>
      </c>
      <c r="AJ647" s="44" t="str">
        <f ca="1">IFERROR(__xludf.DUMMYFUNCTION("IFERROR(VLOOKUP(E670&amp;F670,IMPORTRANGE(""https://docs.google.com/spreadsheets/d/1Uw7-A9f9R21vMXxHZFNpYNeKFtG8_yji4HS352LGlSQ/edit?pli=1#gid=0"",""1_ACUM!A4:S""),19,FALSE))"),"")</f>
        <v/>
      </c>
      <c r="AK647" s="98" t="str">
        <f ca="1">IFERROR(__xludf.DUMMYFUNCTION("IFERROR(VLOOKUP(F670,IMPORTRANGE(""https://docs.google.com/spreadsheets/d/1Kvs4KS76FHFqLFIZfrDMff4kP08nblUkihrxltoGBjg/edit#gid=934712705"",""ESENCIAL!A6:BG""),5,FALSE))"),"")</f>
        <v/>
      </c>
      <c r="AL647" s="98" t="str">
        <f t="shared" si="41"/>
        <v/>
      </c>
      <c r="AM647" s="99" t="str">
        <f t="shared" si="42"/>
        <v/>
      </c>
      <c r="AN647" s="100" t="str">
        <f ca="1">IFERROR(__xludf.DUMMYFUNCTION("IFERROR(VLOOKUP(F670,IMPORTRANGE(""https://docs.google.com/spreadsheets/d/1Kvs4KS76FHFqLFIZfrDMff4kP08nblUkihrxltoGBjg/edit#gid=934712705"",""ESENCIAL!A6:BG""),2,FALSE))"),"")</f>
        <v/>
      </c>
      <c r="AO647" s="19" t="str">
        <f t="shared" si="33"/>
        <v/>
      </c>
      <c r="AP647" s="100"/>
      <c r="AQ647" s="100"/>
    </row>
    <row r="648" spans="1:43" ht="15">
      <c r="A648" s="5"/>
      <c r="B648" s="5"/>
      <c r="G648" s="5" t="str">
        <f ca="1">IFERROR(__xludf.DUMMYFUNCTION("IFERROR(VLOOKUP(F671,IMPORTRANGE(""https://docs.google.com/spreadsheets/d/1Kvs4KS76FHFqLFIZfrDMff4kP08nblUkihrxltoGBjg/edit#gid=934712705"",""ESENCIAL!A6:BG""),3,FALSE))"),"")</f>
        <v/>
      </c>
      <c r="H648" s="5" t="str">
        <f ca="1">IFERROR(__xludf.DUMMYFUNCTION("IFERROR(VLOOKUP(F671,IMPORTRANGE(""https://docs.google.com/spreadsheets/d/1Kvs4KS76FHFqLFIZfrDMff4kP08nblUkihrxltoGBjg/edit#gid=934712705"",""ESENCIAL!A6:BG""),8,FALSE))"),"")</f>
        <v/>
      </c>
      <c r="L648" s="40"/>
      <c r="Z648" s="41" t="str">
        <f t="shared" si="40"/>
        <v/>
      </c>
      <c r="AA648" s="5" t="str">
        <f ca="1">IFERROR(__xludf.DUMMYFUNCTION("IFERROR(VLOOKUP(E671&amp;F671,IMPORTRANGE(""https://docs.google.com/spreadsheets/d/1Uw7-A9f9R21vMXxHZFNpYNeKFtG8_yji4HS352LGlSQ/edit?pli=1#gid=0"",""1_ACUM!A4:S""),11,FALSE))"),"")</f>
        <v/>
      </c>
      <c r="AB648" s="42" t="str">
        <f ca="1">IFERROR(__xludf.DUMMYFUNCTION("IFERROR(VLOOKUP(F671,IMPORTRANGE(""https://docs.google.com/spreadsheets/d/1Kvs4KS76FHFqLFIZfrDMff4kP08nblUkihrxltoGBjg/edit#gid=934712705"",""ESENCIAL!A6:BG""),15,FALSE))"),"")</f>
        <v/>
      </c>
      <c r="AC648" s="110" t="str">
        <f ca="1">IFERROR(__xludf.DUMMYFUNCTION("IFERROR(VLOOKUP(E671&amp;F671,IMPORTRANGE(""https://docs.google.com/spreadsheets/d/1Uw7-A9f9R21vMXxHZFNpYNeKFtG8_yji4HS352LGlSQ/edit?pli=1#gid=0"",""1_ACUM!A4:S""),13,FALSE))"),"")</f>
        <v/>
      </c>
      <c r="AD648" s="43" t="str">
        <f ca="1">IFERROR(__xludf.DUMMYFUNCTION("IFERROR(VLOOKUP(E671&amp;F671,IMPORTRANGE(""https://docs.google.com/spreadsheets/d/1Uw7-A9f9R21vMXxHZFNpYNeKFtG8_yji4HS352LGlSQ/edit?pli=1#gid=0"",""1_ACUM!A4:S""),13,FALSE))"),"")</f>
        <v/>
      </c>
      <c r="AE648" s="43" t="str">
        <f ca="1">IFERROR(__xludf.DUMMYFUNCTION("IFERROR(VLOOKUP(E671&amp;F671,IMPORTRANGE(""https://docs.google.com/spreadsheets/d/1Uw7-A9f9R21vMXxHZFNpYNeKFtG8_yji4HS352LGlSQ/edit?pli=1#gid=0"",""1_ACUM!A4:S""),14,FALSE))"),"")</f>
        <v/>
      </c>
      <c r="AF648" s="43" t="str">
        <f ca="1">IFERROR(__xludf.DUMMYFUNCTION("IFERROR(VLOOKUP(E671&amp;F671,IMPORTRANGE(""https://docs.google.com/spreadsheets/d/1Uw7-A9f9R21vMXxHZFNpYNeKFtG8_yji4HS352LGlSQ/edit?pli=1#gid=0"",""1_ACUM!A4:S""),15,FALSE))"),"")</f>
        <v/>
      </c>
      <c r="AG648" s="43" t="str">
        <f ca="1">IFERROR(__xludf.DUMMYFUNCTION("IFERROR(VLOOKUP(E671&amp;F671,IMPORTRANGE(""https://docs.google.com/spreadsheets/d/1Uw7-A9f9R21vMXxHZFNpYNeKFtG8_yji4HS352LGlSQ/edit?pli=1#gid=0"",""1_ACUM!A4:S""),16,FALSE))"),"")</f>
        <v/>
      </c>
      <c r="AH648" s="43" t="str">
        <f ca="1">IFERROR(__xludf.DUMMYFUNCTION("IFERROR(VLOOKUP(E671&amp;F671,IMPORTRANGE(""https://docs.google.com/spreadsheets/d/1Uw7-A9f9R21vMXxHZFNpYNeKFtG8_yji4HS352LGlSQ/edit?pli=1#gid=0"",""1_ACUM!A4:S""),17,FALSE))"),"")</f>
        <v/>
      </c>
      <c r="AI648" s="44" t="str">
        <f ca="1">IFERROR(__xludf.DUMMYFUNCTION("IFERROR(VLOOKUP(E671&amp;F671,IMPORTRANGE(""https://docs.google.com/spreadsheets/d/1Uw7-A9f9R21vMXxHZFNpYNeKFtG8_yji4HS352LGlSQ/edit?pli=1#gid=0"",""1_ACUM!A4:S""),18,FALSE))"),"")</f>
        <v/>
      </c>
      <c r="AJ648" s="44" t="str">
        <f ca="1">IFERROR(__xludf.DUMMYFUNCTION("IFERROR(VLOOKUP(E671&amp;F671,IMPORTRANGE(""https://docs.google.com/spreadsheets/d/1Uw7-A9f9R21vMXxHZFNpYNeKFtG8_yji4HS352LGlSQ/edit?pli=1#gid=0"",""1_ACUM!A4:S""),19,FALSE))"),"")</f>
        <v/>
      </c>
      <c r="AK648" s="98" t="str">
        <f ca="1">IFERROR(__xludf.DUMMYFUNCTION("IFERROR(VLOOKUP(F671,IMPORTRANGE(""https://docs.google.com/spreadsheets/d/1Kvs4KS76FHFqLFIZfrDMff4kP08nblUkihrxltoGBjg/edit#gid=934712705"",""ESENCIAL!A6:BG""),5,FALSE))"),"")</f>
        <v/>
      </c>
      <c r="AL648" s="98" t="str">
        <f t="shared" si="41"/>
        <v/>
      </c>
      <c r="AM648" s="99" t="str">
        <f t="shared" si="42"/>
        <v/>
      </c>
      <c r="AN648" s="100" t="str">
        <f ca="1">IFERROR(__xludf.DUMMYFUNCTION("IFERROR(VLOOKUP(F671,IMPORTRANGE(""https://docs.google.com/spreadsheets/d/1Kvs4KS76FHFqLFIZfrDMff4kP08nblUkihrxltoGBjg/edit#gid=934712705"",""ESENCIAL!A6:BG""),2,FALSE))"),"")</f>
        <v/>
      </c>
      <c r="AO648" s="19" t="str">
        <f t="shared" si="33"/>
        <v/>
      </c>
      <c r="AP648" s="100"/>
      <c r="AQ648" s="100"/>
    </row>
    <row r="649" spans="1:43" ht="15">
      <c r="A649" s="5"/>
      <c r="B649" s="5"/>
      <c r="G649" s="5" t="str">
        <f ca="1">IFERROR(__xludf.DUMMYFUNCTION("IFERROR(VLOOKUP(F672,IMPORTRANGE(""https://docs.google.com/spreadsheets/d/1Kvs4KS76FHFqLFIZfrDMff4kP08nblUkihrxltoGBjg/edit#gid=934712705"",""ESENCIAL!A6:BG""),3,FALSE))"),"")</f>
        <v/>
      </c>
      <c r="H649" s="5" t="str">
        <f ca="1">IFERROR(__xludf.DUMMYFUNCTION("IFERROR(VLOOKUP(F672,IMPORTRANGE(""https://docs.google.com/spreadsheets/d/1Kvs4KS76FHFqLFIZfrDMff4kP08nblUkihrxltoGBjg/edit#gid=934712705"",""ESENCIAL!A6:BG""),8,FALSE))"),"")</f>
        <v/>
      </c>
      <c r="L649" s="40"/>
      <c r="Z649" s="41" t="str">
        <f t="shared" si="40"/>
        <v/>
      </c>
      <c r="AA649" s="5" t="str">
        <f ca="1">IFERROR(__xludf.DUMMYFUNCTION("IFERROR(VLOOKUP(E672&amp;F672,IMPORTRANGE(""https://docs.google.com/spreadsheets/d/1Uw7-A9f9R21vMXxHZFNpYNeKFtG8_yji4HS352LGlSQ/edit?pli=1#gid=0"",""1_ACUM!A4:S""),11,FALSE))"),"")</f>
        <v/>
      </c>
      <c r="AB649" s="42" t="str">
        <f ca="1">IFERROR(__xludf.DUMMYFUNCTION("IFERROR(VLOOKUP(F672,IMPORTRANGE(""https://docs.google.com/spreadsheets/d/1Kvs4KS76FHFqLFIZfrDMff4kP08nblUkihrxltoGBjg/edit#gid=934712705"",""ESENCIAL!A6:BG""),15,FALSE))"),"")</f>
        <v/>
      </c>
      <c r="AC649" s="110" t="str">
        <f ca="1">IFERROR(__xludf.DUMMYFUNCTION("IFERROR(VLOOKUP(E672&amp;F672,IMPORTRANGE(""https://docs.google.com/spreadsheets/d/1Uw7-A9f9R21vMXxHZFNpYNeKFtG8_yji4HS352LGlSQ/edit?pli=1#gid=0"",""1_ACUM!A4:S""),13,FALSE))"),"")</f>
        <v/>
      </c>
      <c r="AD649" s="43" t="str">
        <f ca="1">IFERROR(__xludf.DUMMYFUNCTION("IFERROR(VLOOKUP(E672&amp;F672,IMPORTRANGE(""https://docs.google.com/spreadsheets/d/1Uw7-A9f9R21vMXxHZFNpYNeKFtG8_yji4HS352LGlSQ/edit?pli=1#gid=0"",""1_ACUM!A4:S""),13,FALSE))"),"")</f>
        <v/>
      </c>
      <c r="AE649" s="43" t="str">
        <f ca="1">IFERROR(__xludf.DUMMYFUNCTION("IFERROR(VLOOKUP(E672&amp;F672,IMPORTRANGE(""https://docs.google.com/spreadsheets/d/1Uw7-A9f9R21vMXxHZFNpYNeKFtG8_yji4HS352LGlSQ/edit?pli=1#gid=0"",""1_ACUM!A4:S""),14,FALSE))"),"")</f>
        <v/>
      </c>
      <c r="AF649" s="43" t="str">
        <f ca="1">IFERROR(__xludf.DUMMYFUNCTION("IFERROR(VLOOKUP(E672&amp;F672,IMPORTRANGE(""https://docs.google.com/spreadsheets/d/1Uw7-A9f9R21vMXxHZFNpYNeKFtG8_yji4HS352LGlSQ/edit?pli=1#gid=0"",""1_ACUM!A4:S""),15,FALSE))"),"")</f>
        <v/>
      </c>
      <c r="AG649" s="43" t="str">
        <f ca="1">IFERROR(__xludf.DUMMYFUNCTION("IFERROR(VLOOKUP(E672&amp;F672,IMPORTRANGE(""https://docs.google.com/spreadsheets/d/1Uw7-A9f9R21vMXxHZFNpYNeKFtG8_yji4HS352LGlSQ/edit?pli=1#gid=0"",""1_ACUM!A4:S""),16,FALSE))"),"")</f>
        <v/>
      </c>
      <c r="AH649" s="43" t="str">
        <f ca="1">IFERROR(__xludf.DUMMYFUNCTION("IFERROR(VLOOKUP(E672&amp;F672,IMPORTRANGE(""https://docs.google.com/spreadsheets/d/1Uw7-A9f9R21vMXxHZFNpYNeKFtG8_yji4HS352LGlSQ/edit?pli=1#gid=0"",""1_ACUM!A4:S""),17,FALSE))"),"")</f>
        <v/>
      </c>
      <c r="AI649" s="44" t="str">
        <f ca="1">IFERROR(__xludf.DUMMYFUNCTION("IFERROR(VLOOKUP(E672&amp;F672,IMPORTRANGE(""https://docs.google.com/spreadsheets/d/1Uw7-A9f9R21vMXxHZFNpYNeKFtG8_yji4HS352LGlSQ/edit?pli=1#gid=0"",""1_ACUM!A4:S""),18,FALSE))"),"")</f>
        <v/>
      </c>
      <c r="AJ649" s="44" t="str">
        <f ca="1">IFERROR(__xludf.DUMMYFUNCTION("IFERROR(VLOOKUP(E672&amp;F672,IMPORTRANGE(""https://docs.google.com/spreadsheets/d/1Uw7-A9f9R21vMXxHZFNpYNeKFtG8_yji4HS352LGlSQ/edit?pli=1#gid=0"",""1_ACUM!A4:S""),19,FALSE))"),"")</f>
        <v/>
      </c>
      <c r="AK649" s="98" t="str">
        <f ca="1">IFERROR(__xludf.DUMMYFUNCTION("IFERROR(VLOOKUP(F672,IMPORTRANGE(""https://docs.google.com/spreadsheets/d/1Kvs4KS76FHFqLFIZfrDMff4kP08nblUkihrxltoGBjg/edit#gid=934712705"",""ESENCIAL!A6:BG""),5,FALSE))"),"")</f>
        <v/>
      </c>
      <c r="AL649" s="98" t="str">
        <f t="shared" si="41"/>
        <v/>
      </c>
      <c r="AM649" s="99" t="str">
        <f t="shared" si="42"/>
        <v/>
      </c>
      <c r="AN649" s="100" t="str">
        <f ca="1">IFERROR(__xludf.DUMMYFUNCTION("IFERROR(VLOOKUP(F672,IMPORTRANGE(""https://docs.google.com/spreadsheets/d/1Kvs4KS76FHFqLFIZfrDMff4kP08nblUkihrxltoGBjg/edit#gid=934712705"",""ESENCIAL!A6:BG""),2,FALSE))"),"")</f>
        <v/>
      </c>
      <c r="AO649" s="19" t="str">
        <f t="shared" si="33"/>
        <v/>
      </c>
      <c r="AP649" s="100"/>
      <c r="AQ649" s="100"/>
    </row>
    <row r="650" spans="1:43" ht="15">
      <c r="A650" s="5"/>
      <c r="B650" s="5"/>
      <c r="G650" s="5" t="str">
        <f ca="1">IFERROR(__xludf.DUMMYFUNCTION("IFERROR(VLOOKUP(F673,IMPORTRANGE(""https://docs.google.com/spreadsheets/d/1Kvs4KS76FHFqLFIZfrDMff4kP08nblUkihrxltoGBjg/edit#gid=934712705"",""ESENCIAL!A6:BG""),3,FALSE))"),"")</f>
        <v/>
      </c>
      <c r="H650" s="5" t="str">
        <f ca="1">IFERROR(__xludf.DUMMYFUNCTION("IFERROR(VLOOKUP(F673,IMPORTRANGE(""https://docs.google.com/spreadsheets/d/1Kvs4KS76FHFqLFIZfrDMff4kP08nblUkihrxltoGBjg/edit#gid=934712705"",""ESENCIAL!A6:BG""),8,FALSE))"),"")</f>
        <v/>
      </c>
      <c r="L650" s="40"/>
      <c r="Z650" s="41" t="str">
        <f t="shared" si="40"/>
        <v/>
      </c>
      <c r="AA650" s="5" t="str">
        <f ca="1">IFERROR(__xludf.DUMMYFUNCTION("IFERROR(VLOOKUP(E673&amp;F673,IMPORTRANGE(""https://docs.google.com/spreadsheets/d/1Uw7-A9f9R21vMXxHZFNpYNeKFtG8_yji4HS352LGlSQ/edit?pli=1#gid=0"",""1_ACUM!A4:S""),11,FALSE))"),"")</f>
        <v/>
      </c>
      <c r="AB650" s="42" t="str">
        <f ca="1">IFERROR(__xludf.DUMMYFUNCTION("IFERROR(VLOOKUP(F673,IMPORTRANGE(""https://docs.google.com/spreadsheets/d/1Kvs4KS76FHFqLFIZfrDMff4kP08nblUkihrxltoGBjg/edit#gid=934712705"",""ESENCIAL!A6:BG""),15,FALSE))"),"")</f>
        <v/>
      </c>
      <c r="AC650" s="110" t="str">
        <f ca="1">IFERROR(__xludf.DUMMYFUNCTION("IFERROR(VLOOKUP(E673&amp;F673,IMPORTRANGE(""https://docs.google.com/spreadsheets/d/1Uw7-A9f9R21vMXxHZFNpYNeKFtG8_yji4HS352LGlSQ/edit?pli=1#gid=0"",""1_ACUM!A4:S""),13,FALSE))"),"")</f>
        <v/>
      </c>
      <c r="AD650" s="43" t="str">
        <f ca="1">IFERROR(__xludf.DUMMYFUNCTION("IFERROR(VLOOKUP(E673&amp;F673,IMPORTRANGE(""https://docs.google.com/spreadsheets/d/1Uw7-A9f9R21vMXxHZFNpYNeKFtG8_yji4HS352LGlSQ/edit?pli=1#gid=0"",""1_ACUM!A4:S""),13,FALSE))"),"")</f>
        <v/>
      </c>
      <c r="AE650" s="43" t="str">
        <f ca="1">IFERROR(__xludf.DUMMYFUNCTION("IFERROR(VLOOKUP(E673&amp;F673,IMPORTRANGE(""https://docs.google.com/spreadsheets/d/1Uw7-A9f9R21vMXxHZFNpYNeKFtG8_yji4HS352LGlSQ/edit?pli=1#gid=0"",""1_ACUM!A4:S""),14,FALSE))"),"")</f>
        <v/>
      </c>
      <c r="AF650" s="43" t="str">
        <f ca="1">IFERROR(__xludf.DUMMYFUNCTION("IFERROR(VLOOKUP(E673&amp;F673,IMPORTRANGE(""https://docs.google.com/spreadsheets/d/1Uw7-A9f9R21vMXxHZFNpYNeKFtG8_yji4HS352LGlSQ/edit?pli=1#gid=0"",""1_ACUM!A4:S""),15,FALSE))"),"")</f>
        <v/>
      </c>
      <c r="AG650" s="43" t="str">
        <f ca="1">IFERROR(__xludf.DUMMYFUNCTION("IFERROR(VLOOKUP(E673&amp;F673,IMPORTRANGE(""https://docs.google.com/spreadsheets/d/1Uw7-A9f9R21vMXxHZFNpYNeKFtG8_yji4HS352LGlSQ/edit?pli=1#gid=0"",""1_ACUM!A4:S""),16,FALSE))"),"")</f>
        <v/>
      </c>
      <c r="AH650" s="43" t="str">
        <f ca="1">IFERROR(__xludf.DUMMYFUNCTION("IFERROR(VLOOKUP(E673&amp;F673,IMPORTRANGE(""https://docs.google.com/spreadsheets/d/1Uw7-A9f9R21vMXxHZFNpYNeKFtG8_yji4HS352LGlSQ/edit?pli=1#gid=0"",""1_ACUM!A4:S""),17,FALSE))"),"")</f>
        <v/>
      </c>
      <c r="AI650" s="44" t="str">
        <f ca="1">IFERROR(__xludf.DUMMYFUNCTION("IFERROR(VLOOKUP(E673&amp;F673,IMPORTRANGE(""https://docs.google.com/spreadsheets/d/1Uw7-A9f9R21vMXxHZFNpYNeKFtG8_yji4HS352LGlSQ/edit?pli=1#gid=0"",""1_ACUM!A4:S""),18,FALSE))"),"")</f>
        <v/>
      </c>
      <c r="AJ650" s="44" t="str">
        <f ca="1">IFERROR(__xludf.DUMMYFUNCTION("IFERROR(VLOOKUP(E673&amp;F673,IMPORTRANGE(""https://docs.google.com/spreadsheets/d/1Uw7-A9f9R21vMXxHZFNpYNeKFtG8_yji4HS352LGlSQ/edit?pli=1#gid=0"",""1_ACUM!A4:S""),19,FALSE))"),"")</f>
        <v/>
      </c>
      <c r="AK650" s="98" t="str">
        <f ca="1">IFERROR(__xludf.DUMMYFUNCTION("IFERROR(VLOOKUP(F673,IMPORTRANGE(""https://docs.google.com/spreadsheets/d/1Kvs4KS76FHFqLFIZfrDMff4kP08nblUkihrxltoGBjg/edit#gid=934712705"",""ESENCIAL!A6:BG""),5,FALSE))"),"")</f>
        <v/>
      </c>
      <c r="AL650" s="98" t="str">
        <f t="shared" si="41"/>
        <v/>
      </c>
      <c r="AM650" s="99" t="str">
        <f t="shared" si="42"/>
        <v/>
      </c>
      <c r="AN650" s="100" t="str">
        <f ca="1">IFERROR(__xludf.DUMMYFUNCTION("IFERROR(VLOOKUP(F673,IMPORTRANGE(""https://docs.google.com/spreadsheets/d/1Kvs4KS76FHFqLFIZfrDMff4kP08nblUkihrxltoGBjg/edit#gid=934712705"",""ESENCIAL!A6:BG""),2,FALSE))"),"")</f>
        <v/>
      </c>
      <c r="AO650" s="19" t="str">
        <f t="shared" si="33"/>
        <v/>
      </c>
      <c r="AP650" s="100"/>
      <c r="AQ650" s="100"/>
    </row>
    <row r="651" spans="1:43" ht="15">
      <c r="A651" s="5"/>
      <c r="B651" s="5"/>
      <c r="G651" s="5" t="str">
        <f ca="1">IFERROR(__xludf.DUMMYFUNCTION("IFERROR(VLOOKUP(F674,IMPORTRANGE(""https://docs.google.com/spreadsheets/d/1Kvs4KS76FHFqLFIZfrDMff4kP08nblUkihrxltoGBjg/edit#gid=934712705"",""ESENCIAL!A6:BG""),3,FALSE))"),"")</f>
        <v/>
      </c>
      <c r="H651" s="5" t="str">
        <f ca="1">IFERROR(__xludf.DUMMYFUNCTION("IFERROR(VLOOKUP(F674,IMPORTRANGE(""https://docs.google.com/spreadsheets/d/1Kvs4KS76FHFqLFIZfrDMff4kP08nblUkihrxltoGBjg/edit#gid=934712705"",""ESENCIAL!A6:BG""),8,FALSE))"),"")</f>
        <v/>
      </c>
      <c r="L651" s="40"/>
      <c r="Z651" s="41" t="str">
        <f t="shared" si="40"/>
        <v/>
      </c>
      <c r="AA651" s="5" t="str">
        <f ca="1">IFERROR(__xludf.DUMMYFUNCTION("IFERROR(VLOOKUP(E674&amp;F674,IMPORTRANGE(""https://docs.google.com/spreadsheets/d/1Uw7-A9f9R21vMXxHZFNpYNeKFtG8_yji4HS352LGlSQ/edit?pli=1#gid=0"",""1_ACUM!A4:S""),11,FALSE))"),"")</f>
        <v/>
      </c>
      <c r="AB651" s="42" t="str">
        <f ca="1">IFERROR(__xludf.DUMMYFUNCTION("IFERROR(VLOOKUP(F674,IMPORTRANGE(""https://docs.google.com/spreadsheets/d/1Kvs4KS76FHFqLFIZfrDMff4kP08nblUkihrxltoGBjg/edit#gid=934712705"",""ESENCIAL!A6:BG""),15,FALSE))"),"")</f>
        <v/>
      </c>
      <c r="AC651" s="110" t="str">
        <f ca="1">IFERROR(__xludf.DUMMYFUNCTION("IFERROR(VLOOKUP(E674&amp;F674,IMPORTRANGE(""https://docs.google.com/spreadsheets/d/1Uw7-A9f9R21vMXxHZFNpYNeKFtG8_yji4HS352LGlSQ/edit?pli=1#gid=0"",""1_ACUM!A4:S""),13,FALSE))"),"")</f>
        <v/>
      </c>
      <c r="AD651" s="43" t="str">
        <f ca="1">IFERROR(__xludf.DUMMYFUNCTION("IFERROR(VLOOKUP(E674&amp;F674,IMPORTRANGE(""https://docs.google.com/spreadsheets/d/1Uw7-A9f9R21vMXxHZFNpYNeKFtG8_yji4HS352LGlSQ/edit?pli=1#gid=0"",""1_ACUM!A4:S""),13,FALSE))"),"")</f>
        <v/>
      </c>
      <c r="AE651" s="43" t="str">
        <f ca="1">IFERROR(__xludf.DUMMYFUNCTION("IFERROR(VLOOKUP(E674&amp;F674,IMPORTRANGE(""https://docs.google.com/spreadsheets/d/1Uw7-A9f9R21vMXxHZFNpYNeKFtG8_yji4HS352LGlSQ/edit?pli=1#gid=0"",""1_ACUM!A4:S""),14,FALSE))"),"")</f>
        <v/>
      </c>
      <c r="AF651" s="43" t="str">
        <f ca="1">IFERROR(__xludf.DUMMYFUNCTION("IFERROR(VLOOKUP(E674&amp;F674,IMPORTRANGE(""https://docs.google.com/spreadsheets/d/1Uw7-A9f9R21vMXxHZFNpYNeKFtG8_yji4HS352LGlSQ/edit?pli=1#gid=0"",""1_ACUM!A4:S""),15,FALSE))"),"")</f>
        <v/>
      </c>
      <c r="AG651" s="43" t="str">
        <f ca="1">IFERROR(__xludf.DUMMYFUNCTION("IFERROR(VLOOKUP(E674&amp;F674,IMPORTRANGE(""https://docs.google.com/spreadsheets/d/1Uw7-A9f9R21vMXxHZFNpYNeKFtG8_yji4HS352LGlSQ/edit?pli=1#gid=0"",""1_ACUM!A4:S""),16,FALSE))"),"")</f>
        <v/>
      </c>
      <c r="AH651" s="43" t="str">
        <f ca="1">IFERROR(__xludf.DUMMYFUNCTION("IFERROR(VLOOKUP(E674&amp;F674,IMPORTRANGE(""https://docs.google.com/spreadsheets/d/1Uw7-A9f9R21vMXxHZFNpYNeKFtG8_yji4HS352LGlSQ/edit?pli=1#gid=0"",""1_ACUM!A4:S""),17,FALSE))"),"")</f>
        <v/>
      </c>
      <c r="AI651" s="44" t="str">
        <f ca="1">IFERROR(__xludf.DUMMYFUNCTION("IFERROR(VLOOKUP(E674&amp;F674,IMPORTRANGE(""https://docs.google.com/spreadsheets/d/1Uw7-A9f9R21vMXxHZFNpYNeKFtG8_yji4HS352LGlSQ/edit?pli=1#gid=0"",""1_ACUM!A4:S""),18,FALSE))"),"")</f>
        <v/>
      </c>
      <c r="AJ651" s="44" t="str">
        <f ca="1">IFERROR(__xludf.DUMMYFUNCTION("IFERROR(VLOOKUP(E674&amp;F674,IMPORTRANGE(""https://docs.google.com/spreadsheets/d/1Uw7-A9f9R21vMXxHZFNpYNeKFtG8_yji4HS352LGlSQ/edit?pli=1#gid=0"",""1_ACUM!A4:S""),19,FALSE))"),"")</f>
        <v/>
      </c>
      <c r="AK651" s="98" t="str">
        <f ca="1">IFERROR(__xludf.DUMMYFUNCTION("IFERROR(VLOOKUP(F674,IMPORTRANGE(""https://docs.google.com/spreadsheets/d/1Kvs4KS76FHFqLFIZfrDMff4kP08nblUkihrxltoGBjg/edit#gid=934712705"",""ESENCIAL!A6:BG""),5,FALSE))"),"")</f>
        <v/>
      </c>
      <c r="AL651" s="98" t="str">
        <f t="shared" si="41"/>
        <v/>
      </c>
      <c r="AM651" s="99" t="str">
        <f t="shared" si="42"/>
        <v/>
      </c>
      <c r="AN651" s="100" t="str">
        <f ca="1">IFERROR(__xludf.DUMMYFUNCTION("IFERROR(VLOOKUP(F674,IMPORTRANGE(""https://docs.google.com/spreadsheets/d/1Kvs4KS76FHFqLFIZfrDMff4kP08nblUkihrxltoGBjg/edit#gid=934712705"",""ESENCIAL!A6:BG""),2,FALSE))"),"")</f>
        <v/>
      </c>
      <c r="AO651" s="19" t="str">
        <f t="shared" si="33"/>
        <v/>
      </c>
      <c r="AP651" s="100"/>
      <c r="AQ651" s="100"/>
    </row>
    <row r="652" spans="1:43" ht="15">
      <c r="A652" s="5"/>
      <c r="B652" s="5"/>
      <c r="G652" s="5" t="str">
        <f ca="1">IFERROR(__xludf.DUMMYFUNCTION("IFERROR(VLOOKUP(F675,IMPORTRANGE(""https://docs.google.com/spreadsheets/d/1Kvs4KS76FHFqLFIZfrDMff4kP08nblUkihrxltoGBjg/edit#gid=934712705"",""ESENCIAL!A6:BG""),3,FALSE))"),"")</f>
        <v/>
      </c>
      <c r="H652" s="5" t="str">
        <f ca="1">IFERROR(__xludf.DUMMYFUNCTION("IFERROR(VLOOKUP(F675,IMPORTRANGE(""https://docs.google.com/spreadsheets/d/1Kvs4KS76FHFqLFIZfrDMff4kP08nblUkihrxltoGBjg/edit#gid=934712705"",""ESENCIAL!A6:BG""),8,FALSE))"),"")</f>
        <v/>
      </c>
      <c r="L652" s="40"/>
      <c r="Z652" s="41" t="str">
        <f t="shared" si="40"/>
        <v/>
      </c>
      <c r="AA652" s="5" t="str">
        <f ca="1">IFERROR(__xludf.DUMMYFUNCTION("IFERROR(VLOOKUP(E675&amp;F675,IMPORTRANGE(""https://docs.google.com/spreadsheets/d/1Uw7-A9f9R21vMXxHZFNpYNeKFtG8_yji4HS352LGlSQ/edit?pli=1#gid=0"",""1_ACUM!A4:S""),11,FALSE))"),"")</f>
        <v/>
      </c>
      <c r="AB652" s="42" t="str">
        <f ca="1">IFERROR(__xludf.DUMMYFUNCTION("IFERROR(VLOOKUP(F675,IMPORTRANGE(""https://docs.google.com/spreadsheets/d/1Kvs4KS76FHFqLFIZfrDMff4kP08nblUkihrxltoGBjg/edit#gid=934712705"",""ESENCIAL!A6:BG""),15,FALSE))"),"")</f>
        <v/>
      </c>
      <c r="AC652" s="110" t="str">
        <f ca="1">IFERROR(__xludf.DUMMYFUNCTION("IFERROR(VLOOKUP(E675&amp;F675,IMPORTRANGE(""https://docs.google.com/spreadsheets/d/1Uw7-A9f9R21vMXxHZFNpYNeKFtG8_yji4HS352LGlSQ/edit?pli=1#gid=0"",""1_ACUM!A4:S""),13,FALSE))"),"")</f>
        <v/>
      </c>
      <c r="AD652" s="43" t="str">
        <f ca="1">IFERROR(__xludf.DUMMYFUNCTION("IFERROR(VLOOKUP(E675&amp;F675,IMPORTRANGE(""https://docs.google.com/spreadsheets/d/1Uw7-A9f9R21vMXxHZFNpYNeKFtG8_yji4HS352LGlSQ/edit?pli=1#gid=0"",""1_ACUM!A4:S""),13,FALSE))"),"")</f>
        <v/>
      </c>
      <c r="AE652" s="43" t="str">
        <f ca="1">IFERROR(__xludf.DUMMYFUNCTION("IFERROR(VLOOKUP(E675&amp;F675,IMPORTRANGE(""https://docs.google.com/spreadsheets/d/1Uw7-A9f9R21vMXxHZFNpYNeKFtG8_yji4HS352LGlSQ/edit?pli=1#gid=0"",""1_ACUM!A4:S""),14,FALSE))"),"")</f>
        <v/>
      </c>
      <c r="AF652" s="43" t="str">
        <f ca="1">IFERROR(__xludf.DUMMYFUNCTION("IFERROR(VLOOKUP(E675&amp;F675,IMPORTRANGE(""https://docs.google.com/spreadsheets/d/1Uw7-A9f9R21vMXxHZFNpYNeKFtG8_yji4HS352LGlSQ/edit?pli=1#gid=0"",""1_ACUM!A4:S""),15,FALSE))"),"")</f>
        <v/>
      </c>
      <c r="AG652" s="43" t="str">
        <f ca="1">IFERROR(__xludf.DUMMYFUNCTION("IFERROR(VLOOKUP(E675&amp;F675,IMPORTRANGE(""https://docs.google.com/spreadsheets/d/1Uw7-A9f9R21vMXxHZFNpYNeKFtG8_yji4HS352LGlSQ/edit?pli=1#gid=0"",""1_ACUM!A4:S""),16,FALSE))"),"")</f>
        <v/>
      </c>
      <c r="AH652" s="43" t="str">
        <f ca="1">IFERROR(__xludf.DUMMYFUNCTION("IFERROR(VLOOKUP(E675&amp;F675,IMPORTRANGE(""https://docs.google.com/spreadsheets/d/1Uw7-A9f9R21vMXxHZFNpYNeKFtG8_yji4HS352LGlSQ/edit?pli=1#gid=0"",""1_ACUM!A4:S""),17,FALSE))"),"")</f>
        <v/>
      </c>
      <c r="AI652" s="44" t="str">
        <f ca="1">IFERROR(__xludf.DUMMYFUNCTION("IFERROR(VLOOKUP(E675&amp;F675,IMPORTRANGE(""https://docs.google.com/spreadsheets/d/1Uw7-A9f9R21vMXxHZFNpYNeKFtG8_yji4HS352LGlSQ/edit?pli=1#gid=0"",""1_ACUM!A4:S""),18,FALSE))"),"")</f>
        <v/>
      </c>
      <c r="AJ652" s="44" t="str">
        <f ca="1">IFERROR(__xludf.DUMMYFUNCTION("IFERROR(VLOOKUP(E675&amp;F675,IMPORTRANGE(""https://docs.google.com/spreadsheets/d/1Uw7-A9f9R21vMXxHZFNpYNeKFtG8_yji4HS352LGlSQ/edit?pli=1#gid=0"",""1_ACUM!A4:S""),19,FALSE))"),"")</f>
        <v/>
      </c>
      <c r="AK652" s="98" t="str">
        <f ca="1">IFERROR(__xludf.DUMMYFUNCTION("IFERROR(VLOOKUP(F675,IMPORTRANGE(""https://docs.google.com/spreadsheets/d/1Kvs4KS76FHFqLFIZfrDMff4kP08nblUkihrxltoGBjg/edit#gid=934712705"",""ESENCIAL!A6:BG""),5,FALSE))"),"")</f>
        <v/>
      </c>
      <c r="AL652" s="98" t="str">
        <f t="shared" si="41"/>
        <v/>
      </c>
      <c r="AM652" s="99" t="str">
        <f t="shared" si="42"/>
        <v/>
      </c>
      <c r="AN652" s="100" t="str">
        <f ca="1">IFERROR(__xludf.DUMMYFUNCTION("IFERROR(VLOOKUP(F675,IMPORTRANGE(""https://docs.google.com/spreadsheets/d/1Kvs4KS76FHFqLFIZfrDMff4kP08nblUkihrxltoGBjg/edit#gid=934712705"",""ESENCIAL!A6:BG""),2,FALSE))"),"")</f>
        <v/>
      </c>
      <c r="AO652" s="19" t="str">
        <f t="shared" si="33"/>
        <v/>
      </c>
      <c r="AP652" s="100"/>
      <c r="AQ652" s="100"/>
    </row>
    <row r="653" spans="1:43" ht="15">
      <c r="A653" s="5"/>
      <c r="B653" s="5"/>
      <c r="G653" s="5" t="str">
        <f ca="1">IFERROR(__xludf.DUMMYFUNCTION("IFERROR(VLOOKUP(F676,IMPORTRANGE(""https://docs.google.com/spreadsheets/d/1Kvs4KS76FHFqLFIZfrDMff4kP08nblUkihrxltoGBjg/edit#gid=934712705"",""ESENCIAL!A6:BG""),3,FALSE))"),"")</f>
        <v/>
      </c>
      <c r="H653" s="5" t="str">
        <f ca="1">IFERROR(__xludf.DUMMYFUNCTION("IFERROR(VLOOKUP(F676,IMPORTRANGE(""https://docs.google.com/spreadsheets/d/1Kvs4KS76FHFqLFIZfrDMff4kP08nblUkihrxltoGBjg/edit#gid=934712705"",""ESENCIAL!A6:BG""),8,FALSE))"),"")</f>
        <v/>
      </c>
      <c r="L653" s="40"/>
      <c r="Z653" s="41" t="str">
        <f t="shared" si="40"/>
        <v/>
      </c>
      <c r="AA653" s="5" t="str">
        <f ca="1">IFERROR(__xludf.DUMMYFUNCTION("IFERROR(VLOOKUP(E676&amp;F676,IMPORTRANGE(""https://docs.google.com/spreadsheets/d/1Uw7-A9f9R21vMXxHZFNpYNeKFtG8_yji4HS352LGlSQ/edit?pli=1#gid=0"",""1_ACUM!A4:S""),11,FALSE))"),"")</f>
        <v/>
      </c>
      <c r="AB653" s="42" t="str">
        <f ca="1">IFERROR(__xludf.DUMMYFUNCTION("IFERROR(VLOOKUP(F676,IMPORTRANGE(""https://docs.google.com/spreadsheets/d/1Kvs4KS76FHFqLFIZfrDMff4kP08nblUkihrxltoGBjg/edit#gid=934712705"",""ESENCIAL!A6:BG""),15,FALSE))"),"")</f>
        <v/>
      </c>
      <c r="AC653" s="110" t="str">
        <f ca="1">IFERROR(__xludf.DUMMYFUNCTION("IFERROR(VLOOKUP(E676&amp;F676,IMPORTRANGE(""https://docs.google.com/spreadsheets/d/1Uw7-A9f9R21vMXxHZFNpYNeKFtG8_yji4HS352LGlSQ/edit?pli=1#gid=0"",""1_ACUM!A4:S""),13,FALSE))"),"")</f>
        <v/>
      </c>
      <c r="AD653" s="43" t="str">
        <f ca="1">IFERROR(__xludf.DUMMYFUNCTION("IFERROR(VLOOKUP(E676&amp;F676,IMPORTRANGE(""https://docs.google.com/spreadsheets/d/1Uw7-A9f9R21vMXxHZFNpYNeKFtG8_yji4HS352LGlSQ/edit?pli=1#gid=0"",""1_ACUM!A4:S""),13,FALSE))"),"")</f>
        <v/>
      </c>
      <c r="AE653" s="43" t="str">
        <f ca="1">IFERROR(__xludf.DUMMYFUNCTION("IFERROR(VLOOKUP(E676&amp;F676,IMPORTRANGE(""https://docs.google.com/spreadsheets/d/1Uw7-A9f9R21vMXxHZFNpYNeKFtG8_yji4HS352LGlSQ/edit?pli=1#gid=0"",""1_ACUM!A4:S""),14,FALSE))"),"")</f>
        <v/>
      </c>
      <c r="AF653" s="43" t="str">
        <f ca="1">IFERROR(__xludf.DUMMYFUNCTION("IFERROR(VLOOKUP(E676&amp;F676,IMPORTRANGE(""https://docs.google.com/spreadsheets/d/1Uw7-A9f9R21vMXxHZFNpYNeKFtG8_yji4HS352LGlSQ/edit?pli=1#gid=0"",""1_ACUM!A4:S""),15,FALSE))"),"")</f>
        <v/>
      </c>
      <c r="AG653" s="43" t="str">
        <f ca="1">IFERROR(__xludf.DUMMYFUNCTION("IFERROR(VLOOKUP(E676&amp;F676,IMPORTRANGE(""https://docs.google.com/spreadsheets/d/1Uw7-A9f9R21vMXxHZFNpYNeKFtG8_yji4HS352LGlSQ/edit?pli=1#gid=0"",""1_ACUM!A4:S""),16,FALSE))"),"")</f>
        <v/>
      </c>
      <c r="AH653" s="43" t="str">
        <f ca="1">IFERROR(__xludf.DUMMYFUNCTION("IFERROR(VLOOKUP(E676&amp;F676,IMPORTRANGE(""https://docs.google.com/spreadsheets/d/1Uw7-A9f9R21vMXxHZFNpYNeKFtG8_yji4HS352LGlSQ/edit?pli=1#gid=0"",""1_ACUM!A4:S""),17,FALSE))"),"")</f>
        <v/>
      </c>
      <c r="AI653" s="44" t="str">
        <f ca="1">IFERROR(__xludf.DUMMYFUNCTION("IFERROR(VLOOKUP(E676&amp;F676,IMPORTRANGE(""https://docs.google.com/spreadsheets/d/1Uw7-A9f9R21vMXxHZFNpYNeKFtG8_yji4HS352LGlSQ/edit?pli=1#gid=0"",""1_ACUM!A4:S""),18,FALSE))"),"")</f>
        <v/>
      </c>
      <c r="AJ653" s="44" t="str">
        <f ca="1">IFERROR(__xludf.DUMMYFUNCTION("IFERROR(VLOOKUP(E676&amp;F676,IMPORTRANGE(""https://docs.google.com/spreadsheets/d/1Uw7-A9f9R21vMXxHZFNpYNeKFtG8_yji4HS352LGlSQ/edit?pli=1#gid=0"",""1_ACUM!A4:S""),19,FALSE))"),"")</f>
        <v/>
      </c>
      <c r="AK653" s="98" t="str">
        <f ca="1">IFERROR(__xludf.DUMMYFUNCTION("IFERROR(VLOOKUP(F676,IMPORTRANGE(""https://docs.google.com/spreadsheets/d/1Kvs4KS76FHFqLFIZfrDMff4kP08nblUkihrxltoGBjg/edit#gid=934712705"",""ESENCIAL!A6:BG""),5,FALSE))"),"")</f>
        <v/>
      </c>
      <c r="AL653" s="98" t="str">
        <f t="shared" si="41"/>
        <v/>
      </c>
      <c r="AM653" s="99" t="str">
        <f t="shared" si="42"/>
        <v/>
      </c>
      <c r="AN653" s="100" t="str">
        <f ca="1">IFERROR(__xludf.DUMMYFUNCTION("IFERROR(VLOOKUP(F676,IMPORTRANGE(""https://docs.google.com/spreadsheets/d/1Kvs4KS76FHFqLFIZfrDMff4kP08nblUkihrxltoGBjg/edit#gid=934712705"",""ESENCIAL!A6:BG""),2,FALSE))"),"")</f>
        <v/>
      </c>
      <c r="AO653" s="19" t="str">
        <f t="shared" si="33"/>
        <v/>
      </c>
      <c r="AP653" s="100"/>
      <c r="AQ653" s="100"/>
    </row>
    <row r="654" spans="1:43" ht="15">
      <c r="A654" s="5"/>
      <c r="B654" s="5"/>
      <c r="G654" s="5" t="str">
        <f ca="1">IFERROR(__xludf.DUMMYFUNCTION("IFERROR(VLOOKUP(F677,IMPORTRANGE(""https://docs.google.com/spreadsheets/d/1Kvs4KS76FHFqLFIZfrDMff4kP08nblUkihrxltoGBjg/edit#gid=934712705"",""ESENCIAL!A6:BG""),3,FALSE))"),"")</f>
        <v/>
      </c>
      <c r="H654" s="5" t="str">
        <f ca="1">IFERROR(__xludf.DUMMYFUNCTION("IFERROR(VLOOKUP(F677,IMPORTRANGE(""https://docs.google.com/spreadsheets/d/1Kvs4KS76FHFqLFIZfrDMff4kP08nblUkihrxltoGBjg/edit#gid=934712705"",""ESENCIAL!A6:BG""),8,FALSE))"),"")</f>
        <v/>
      </c>
      <c r="L654" s="40"/>
      <c r="Z654" s="41" t="str">
        <f t="shared" si="40"/>
        <v/>
      </c>
      <c r="AA654" s="5" t="str">
        <f ca="1">IFERROR(__xludf.DUMMYFUNCTION("IFERROR(VLOOKUP(E677&amp;F677,IMPORTRANGE(""https://docs.google.com/spreadsheets/d/1Uw7-A9f9R21vMXxHZFNpYNeKFtG8_yji4HS352LGlSQ/edit?pli=1#gid=0"",""1_ACUM!A4:S""),11,FALSE))"),"")</f>
        <v/>
      </c>
      <c r="AB654" s="42" t="str">
        <f ca="1">IFERROR(__xludf.DUMMYFUNCTION("IFERROR(VLOOKUP(F677,IMPORTRANGE(""https://docs.google.com/spreadsheets/d/1Kvs4KS76FHFqLFIZfrDMff4kP08nblUkihrxltoGBjg/edit#gid=934712705"",""ESENCIAL!A6:BG""),15,FALSE))"),"")</f>
        <v/>
      </c>
      <c r="AC654" s="110" t="str">
        <f ca="1">IFERROR(__xludf.DUMMYFUNCTION("IFERROR(VLOOKUP(E677&amp;F677,IMPORTRANGE(""https://docs.google.com/spreadsheets/d/1Uw7-A9f9R21vMXxHZFNpYNeKFtG8_yji4HS352LGlSQ/edit?pli=1#gid=0"",""1_ACUM!A4:S""),13,FALSE))"),"")</f>
        <v/>
      </c>
      <c r="AD654" s="43" t="str">
        <f ca="1">IFERROR(__xludf.DUMMYFUNCTION("IFERROR(VLOOKUP(E677&amp;F677,IMPORTRANGE(""https://docs.google.com/spreadsheets/d/1Uw7-A9f9R21vMXxHZFNpYNeKFtG8_yji4HS352LGlSQ/edit?pli=1#gid=0"",""1_ACUM!A4:S""),13,FALSE))"),"")</f>
        <v/>
      </c>
      <c r="AE654" s="43" t="str">
        <f ca="1">IFERROR(__xludf.DUMMYFUNCTION("IFERROR(VLOOKUP(E677&amp;F677,IMPORTRANGE(""https://docs.google.com/spreadsheets/d/1Uw7-A9f9R21vMXxHZFNpYNeKFtG8_yji4HS352LGlSQ/edit?pli=1#gid=0"",""1_ACUM!A4:S""),14,FALSE))"),"")</f>
        <v/>
      </c>
      <c r="AF654" s="43" t="str">
        <f ca="1">IFERROR(__xludf.DUMMYFUNCTION("IFERROR(VLOOKUP(E677&amp;F677,IMPORTRANGE(""https://docs.google.com/spreadsheets/d/1Uw7-A9f9R21vMXxHZFNpYNeKFtG8_yji4HS352LGlSQ/edit?pli=1#gid=0"",""1_ACUM!A4:S""),15,FALSE))"),"")</f>
        <v/>
      </c>
      <c r="AG654" s="43" t="str">
        <f ca="1">IFERROR(__xludf.DUMMYFUNCTION("IFERROR(VLOOKUP(E677&amp;F677,IMPORTRANGE(""https://docs.google.com/spreadsheets/d/1Uw7-A9f9R21vMXxHZFNpYNeKFtG8_yji4HS352LGlSQ/edit?pli=1#gid=0"",""1_ACUM!A4:S""),16,FALSE))"),"")</f>
        <v/>
      </c>
      <c r="AH654" s="43" t="str">
        <f ca="1">IFERROR(__xludf.DUMMYFUNCTION("IFERROR(VLOOKUP(E677&amp;F677,IMPORTRANGE(""https://docs.google.com/spreadsheets/d/1Uw7-A9f9R21vMXxHZFNpYNeKFtG8_yji4HS352LGlSQ/edit?pli=1#gid=0"",""1_ACUM!A4:S""),17,FALSE))"),"")</f>
        <v/>
      </c>
      <c r="AI654" s="44" t="str">
        <f ca="1">IFERROR(__xludf.DUMMYFUNCTION("IFERROR(VLOOKUP(E677&amp;F677,IMPORTRANGE(""https://docs.google.com/spreadsheets/d/1Uw7-A9f9R21vMXxHZFNpYNeKFtG8_yji4HS352LGlSQ/edit?pli=1#gid=0"",""1_ACUM!A4:S""),18,FALSE))"),"")</f>
        <v/>
      </c>
      <c r="AJ654" s="44" t="str">
        <f ca="1">IFERROR(__xludf.DUMMYFUNCTION("IFERROR(VLOOKUP(E677&amp;F677,IMPORTRANGE(""https://docs.google.com/spreadsheets/d/1Uw7-A9f9R21vMXxHZFNpYNeKFtG8_yji4HS352LGlSQ/edit?pli=1#gid=0"",""1_ACUM!A4:S""),19,FALSE))"),"")</f>
        <v/>
      </c>
      <c r="AK654" s="98" t="str">
        <f ca="1">IFERROR(__xludf.DUMMYFUNCTION("IFERROR(VLOOKUP(F677,IMPORTRANGE(""https://docs.google.com/spreadsheets/d/1Kvs4KS76FHFqLFIZfrDMff4kP08nblUkihrxltoGBjg/edit#gid=934712705"",""ESENCIAL!A6:BG""),5,FALSE))"),"")</f>
        <v/>
      </c>
      <c r="AL654" s="98" t="str">
        <f t="shared" si="41"/>
        <v/>
      </c>
      <c r="AM654" s="99" t="str">
        <f t="shared" si="42"/>
        <v/>
      </c>
      <c r="AN654" s="100" t="str">
        <f ca="1">IFERROR(__xludf.DUMMYFUNCTION("IFERROR(VLOOKUP(F677,IMPORTRANGE(""https://docs.google.com/spreadsheets/d/1Kvs4KS76FHFqLFIZfrDMff4kP08nblUkihrxltoGBjg/edit#gid=934712705"",""ESENCIAL!A6:BG""),2,FALSE))"),"")</f>
        <v/>
      </c>
      <c r="AO654" s="19" t="str">
        <f t="shared" si="33"/>
        <v/>
      </c>
      <c r="AP654" s="100"/>
      <c r="AQ654" s="100"/>
    </row>
    <row r="655" spans="1:43" ht="15">
      <c r="A655" s="5"/>
      <c r="B655" s="5"/>
      <c r="G655" s="5" t="str">
        <f ca="1">IFERROR(__xludf.DUMMYFUNCTION("IFERROR(VLOOKUP(F678,IMPORTRANGE(""https://docs.google.com/spreadsheets/d/1Kvs4KS76FHFqLFIZfrDMff4kP08nblUkihrxltoGBjg/edit#gid=934712705"",""ESENCIAL!A6:BG""),3,FALSE))"),"")</f>
        <v/>
      </c>
      <c r="H655" s="5" t="str">
        <f ca="1">IFERROR(__xludf.DUMMYFUNCTION("IFERROR(VLOOKUP(F678,IMPORTRANGE(""https://docs.google.com/spreadsheets/d/1Kvs4KS76FHFqLFIZfrDMff4kP08nblUkihrxltoGBjg/edit#gid=934712705"",""ESENCIAL!A6:BG""),8,FALSE))"),"")</f>
        <v/>
      </c>
      <c r="L655" s="40"/>
      <c r="Z655" s="41" t="str">
        <f t="shared" si="40"/>
        <v/>
      </c>
      <c r="AA655" s="5" t="str">
        <f ca="1">IFERROR(__xludf.DUMMYFUNCTION("IFERROR(VLOOKUP(E678&amp;F678,IMPORTRANGE(""https://docs.google.com/spreadsheets/d/1Uw7-A9f9R21vMXxHZFNpYNeKFtG8_yji4HS352LGlSQ/edit?pli=1#gid=0"",""1_ACUM!A4:S""),11,FALSE))"),"")</f>
        <v/>
      </c>
      <c r="AB655" s="42" t="str">
        <f ca="1">IFERROR(__xludf.DUMMYFUNCTION("IFERROR(VLOOKUP(F678,IMPORTRANGE(""https://docs.google.com/spreadsheets/d/1Kvs4KS76FHFqLFIZfrDMff4kP08nblUkihrxltoGBjg/edit#gid=934712705"",""ESENCIAL!A6:BG""),15,FALSE))"),"")</f>
        <v/>
      </c>
      <c r="AC655" s="110" t="str">
        <f ca="1">IFERROR(__xludf.DUMMYFUNCTION("IFERROR(VLOOKUP(E678&amp;F678,IMPORTRANGE(""https://docs.google.com/spreadsheets/d/1Uw7-A9f9R21vMXxHZFNpYNeKFtG8_yji4HS352LGlSQ/edit?pli=1#gid=0"",""1_ACUM!A4:S""),13,FALSE))"),"")</f>
        <v/>
      </c>
      <c r="AD655" s="43" t="str">
        <f ca="1">IFERROR(__xludf.DUMMYFUNCTION("IFERROR(VLOOKUP(E678&amp;F678,IMPORTRANGE(""https://docs.google.com/spreadsheets/d/1Uw7-A9f9R21vMXxHZFNpYNeKFtG8_yji4HS352LGlSQ/edit?pli=1#gid=0"",""1_ACUM!A4:S""),13,FALSE))"),"")</f>
        <v/>
      </c>
      <c r="AE655" s="43" t="str">
        <f ca="1">IFERROR(__xludf.DUMMYFUNCTION("IFERROR(VLOOKUP(E678&amp;F678,IMPORTRANGE(""https://docs.google.com/spreadsheets/d/1Uw7-A9f9R21vMXxHZFNpYNeKFtG8_yji4HS352LGlSQ/edit?pli=1#gid=0"",""1_ACUM!A4:S""),14,FALSE))"),"")</f>
        <v/>
      </c>
      <c r="AF655" s="43" t="str">
        <f ca="1">IFERROR(__xludf.DUMMYFUNCTION("IFERROR(VLOOKUP(E678&amp;F678,IMPORTRANGE(""https://docs.google.com/spreadsheets/d/1Uw7-A9f9R21vMXxHZFNpYNeKFtG8_yji4HS352LGlSQ/edit?pli=1#gid=0"",""1_ACUM!A4:S""),15,FALSE))"),"")</f>
        <v/>
      </c>
      <c r="AG655" s="43" t="str">
        <f ca="1">IFERROR(__xludf.DUMMYFUNCTION("IFERROR(VLOOKUP(E678&amp;F678,IMPORTRANGE(""https://docs.google.com/spreadsheets/d/1Uw7-A9f9R21vMXxHZFNpYNeKFtG8_yji4HS352LGlSQ/edit?pli=1#gid=0"",""1_ACUM!A4:S""),16,FALSE))"),"")</f>
        <v/>
      </c>
      <c r="AH655" s="43" t="str">
        <f ca="1">IFERROR(__xludf.DUMMYFUNCTION("IFERROR(VLOOKUP(E678&amp;F678,IMPORTRANGE(""https://docs.google.com/spreadsheets/d/1Uw7-A9f9R21vMXxHZFNpYNeKFtG8_yji4HS352LGlSQ/edit?pli=1#gid=0"",""1_ACUM!A4:S""),17,FALSE))"),"")</f>
        <v/>
      </c>
      <c r="AI655" s="44" t="str">
        <f ca="1">IFERROR(__xludf.DUMMYFUNCTION("IFERROR(VLOOKUP(E678&amp;F678,IMPORTRANGE(""https://docs.google.com/spreadsheets/d/1Uw7-A9f9R21vMXxHZFNpYNeKFtG8_yji4HS352LGlSQ/edit?pli=1#gid=0"",""1_ACUM!A4:S""),18,FALSE))"),"")</f>
        <v/>
      </c>
      <c r="AJ655" s="44" t="str">
        <f ca="1">IFERROR(__xludf.DUMMYFUNCTION("IFERROR(VLOOKUP(E678&amp;F678,IMPORTRANGE(""https://docs.google.com/spreadsheets/d/1Uw7-A9f9R21vMXxHZFNpYNeKFtG8_yji4HS352LGlSQ/edit?pli=1#gid=0"",""1_ACUM!A4:S""),19,FALSE))"),"")</f>
        <v/>
      </c>
      <c r="AK655" s="98" t="str">
        <f ca="1">IFERROR(__xludf.DUMMYFUNCTION("IFERROR(VLOOKUP(F678,IMPORTRANGE(""https://docs.google.com/spreadsheets/d/1Kvs4KS76FHFqLFIZfrDMff4kP08nblUkihrxltoGBjg/edit#gid=934712705"",""ESENCIAL!A6:BG""),5,FALSE))"),"")</f>
        <v/>
      </c>
      <c r="AL655" s="98" t="str">
        <f t="shared" si="41"/>
        <v/>
      </c>
      <c r="AM655" s="99" t="str">
        <f t="shared" si="42"/>
        <v/>
      </c>
      <c r="AN655" s="100" t="str">
        <f ca="1">IFERROR(__xludf.DUMMYFUNCTION("IFERROR(VLOOKUP(F678,IMPORTRANGE(""https://docs.google.com/spreadsheets/d/1Kvs4KS76FHFqLFIZfrDMff4kP08nblUkihrxltoGBjg/edit#gid=934712705"",""ESENCIAL!A6:BG""),2,FALSE))"),"")</f>
        <v/>
      </c>
      <c r="AO655" s="19" t="str">
        <f t="shared" si="33"/>
        <v/>
      </c>
      <c r="AP655" s="100"/>
      <c r="AQ655" s="100"/>
    </row>
    <row r="656" spans="1:43" ht="15">
      <c r="A656" s="5"/>
      <c r="B656" s="5"/>
      <c r="G656" s="5" t="str">
        <f ca="1">IFERROR(__xludf.DUMMYFUNCTION("IFERROR(VLOOKUP(F679,IMPORTRANGE(""https://docs.google.com/spreadsheets/d/1Kvs4KS76FHFqLFIZfrDMff4kP08nblUkihrxltoGBjg/edit#gid=934712705"",""ESENCIAL!A6:BG""),3,FALSE))"),"")</f>
        <v/>
      </c>
      <c r="H656" s="5" t="str">
        <f ca="1">IFERROR(__xludf.DUMMYFUNCTION("IFERROR(VLOOKUP(F679,IMPORTRANGE(""https://docs.google.com/spreadsheets/d/1Kvs4KS76FHFqLFIZfrDMff4kP08nblUkihrxltoGBjg/edit#gid=934712705"",""ESENCIAL!A6:BG""),8,FALSE))"),"")</f>
        <v/>
      </c>
      <c r="L656" s="40"/>
      <c r="Z656" s="41" t="str">
        <f t="shared" si="40"/>
        <v/>
      </c>
      <c r="AA656" s="5" t="str">
        <f ca="1">IFERROR(__xludf.DUMMYFUNCTION("IFERROR(VLOOKUP(E679&amp;F679,IMPORTRANGE(""https://docs.google.com/spreadsheets/d/1Uw7-A9f9R21vMXxHZFNpYNeKFtG8_yji4HS352LGlSQ/edit?pli=1#gid=0"",""1_ACUM!A4:S""),11,FALSE))"),"")</f>
        <v/>
      </c>
      <c r="AB656" s="42" t="str">
        <f ca="1">IFERROR(__xludf.DUMMYFUNCTION("IFERROR(VLOOKUP(F679,IMPORTRANGE(""https://docs.google.com/spreadsheets/d/1Kvs4KS76FHFqLFIZfrDMff4kP08nblUkihrxltoGBjg/edit#gid=934712705"",""ESENCIAL!A6:BG""),15,FALSE))"),"")</f>
        <v/>
      </c>
      <c r="AC656" s="110" t="str">
        <f ca="1">IFERROR(__xludf.DUMMYFUNCTION("IFERROR(VLOOKUP(E679&amp;F679,IMPORTRANGE(""https://docs.google.com/spreadsheets/d/1Uw7-A9f9R21vMXxHZFNpYNeKFtG8_yji4HS352LGlSQ/edit?pli=1#gid=0"",""1_ACUM!A4:S""),13,FALSE))"),"")</f>
        <v/>
      </c>
      <c r="AD656" s="43" t="str">
        <f ca="1">IFERROR(__xludf.DUMMYFUNCTION("IFERROR(VLOOKUP(E679&amp;F679,IMPORTRANGE(""https://docs.google.com/spreadsheets/d/1Uw7-A9f9R21vMXxHZFNpYNeKFtG8_yji4HS352LGlSQ/edit?pli=1#gid=0"",""1_ACUM!A4:S""),13,FALSE))"),"")</f>
        <v/>
      </c>
      <c r="AE656" s="43" t="str">
        <f ca="1">IFERROR(__xludf.DUMMYFUNCTION("IFERROR(VLOOKUP(E679&amp;F679,IMPORTRANGE(""https://docs.google.com/spreadsheets/d/1Uw7-A9f9R21vMXxHZFNpYNeKFtG8_yji4HS352LGlSQ/edit?pli=1#gid=0"",""1_ACUM!A4:S""),14,FALSE))"),"")</f>
        <v/>
      </c>
      <c r="AF656" s="43" t="str">
        <f ca="1">IFERROR(__xludf.DUMMYFUNCTION("IFERROR(VLOOKUP(E679&amp;F679,IMPORTRANGE(""https://docs.google.com/spreadsheets/d/1Uw7-A9f9R21vMXxHZFNpYNeKFtG8_yji4HS352LGlSQ/edit?pli=1#gid=0"",""1_ACUM!A4:S""),15,FALSE))"),"")</f>
        <v/>
      </c>
      <c r="AG656" s="43" t="str">
        <f ca="1">IFERROR(__xludf.DUMMYFUNCTION("IFERROR(VLOOKUP(E679&amp;F679,IMPORTRANGE(""https://docs.google.com/spreadsheets/d/1Uw7-A9f9R21vMXxHZFNpYNeKFtG8_yji4HS352LGlSQ/edit?pli=1#gid=0"",""1_ACUM!A4:S""),16,FALSE))"),"")</f>
        <v/>
      </c>
      <c r="AH656" s="43" t="str">
        <f ca="1">IFERROR(__xludf.DUMMYFUNCTION("IFERROR(VLOOKUP(E679&amp;F679,IMPORTRANGE(""https://docs.google.com/spreadsheets/d/1Uw7-A9f9R21vMXxHZFNpYNeKFtG8_yji4HS352LGlSQ/edit?pli=1#gid=0"",""1_ACUM!A4:S""),17,FALSE))"),"")</f>
        <v/>
      </c>
      <c r="AI656" s="44" t="str">
        <f ca="1">IFERROR(__xludf.DUMMYFUNCTION("IFERROR(VLOOKUP(E679&amp;F679,IMPORTRANGE(""https://docs.google.com/spreadsheets/d/1Uw7-A9f9R21vMXxHZFNpYNeKFtG8_yji4HS352LGlSQ/edit?pli=1#gid=0"",""1_ACUM!A4:S""),18,FALSE))"),"")</f>
        <v/>
      </c>
      <c r="AJ656" s="44" t="str">
        <f ca="1">IFERROR(__xludf.DUMMYFUNCTION("IFERROR(VLOOKUP(E679&amp;F679,IMPORTRANGE(""https://docs.google.com/spreadsheets/d/1Uw7-A9f9R21vMXxHZFNpYNeKFtG8_yji4HS352LGlSQ/edit?pli=1#gid=0"",""1_ACUM!A4:S""),19,FALSE))"),"")</f>
        <v/>
      </c>
      <c r="AK656" s="98" t="str">
        <f ca="1">IFERROR(__xludf.DUMMYFUNCTION("IFERROR(VLOOKUP(F679,IMPORTRANGE(""https://docs.google.com/spreadsheets/d/1Kvs4KS76FHFqLFIZfrDMff4kP08nblUkihrxltoGBjg/edit#gid=934712705"",""ESENCIAL!A6:BG""),5,FALSE))"),"")</f>
        <v/>
      </c>
      <c r="AL656" s="98" t="str">
        <f t="shared" si="41"/>
        <v/>
      </c>
      <c r="AM656" s="99" t="str">
        <f t="shared" si="42"/>
        <v/>
      </c>
      <c r="AN656" s="100" t="str">
        <f ca="1">IFERROR(__xludf.DUMMYFUNCTION("IFERROR(VLOOKUP(F679,IMPORTRANGE(""https://docs.google.com/spreadsheets/d/1Kvs4KS76FHFqLFIZfrDMff4kP08nblUkihrxltoGBjg/edit#gid=934712705"",""ESENCIAL!A6:BG""),2,FALSE))"),"")</f>
        <v/>
      </c>
      <c r="AO656" s="19" t="str">
        <f t="shared" si="33"/>
        <v/>
      </c>
      <c r="AP656" s="100"/>
      <c r="AQ656" s="100"/>
    </row>
    <row r="657" spans="1:43" ht="15">
      <c r="A657" s="5"/>
      <c r="B657" s="5"/>
      <c r="G657" s="5" t="str">
        <f ca="1">IFERROR(__xludf.DUMMYFUNCTION("IFERROR(VLOOKUP(F680,IMPORTRANGE(""https://docs.google.com/spreadsheets/d/1Kvs4KS76FHFqLFIZfrDMff4kP08nblUkihrxltoGBjg/edit#gid=934712705"",""ESENCIAL!A6:BG""),3,FALSE))"),"")</f>
        <v/>
      </c>
      <c r="H657" s="5" t="str">
        <f ca="1">IFERROR(__xludf.DUMMYFUNCTION("IFERROR(VLOOKUP(F680,IMPORTRANGE(""https://docs.google.com/spreadsheets/d/1Kvs4KS76FHFqLFIZfrDMff4kP08nblUkihrxltoGBjg/edit#gid=934712705"",""ESENCIAL!A6:BG""),8,FALSE))"),"")</f>
        <v/>
      </c>
      <c r="L657" s="40"/>
      <c r="Z657" s="41" t="str">
        <f t="shared" si="40"/>
        <v/>
      </c>
      <c r="AA657" s="5" t="str">
        <f ca="1">IFERROR(__xludf.DUMMYFUNCTION("IFERROR(VLOOKUP(E680&amp;F680,IMPORTRANGE(""https://docs.google.com/spreadsheets/d/1Uw7-A9f9R21vMXxHZFNpYNeKFtG8_yji4HS352LGlSQ/edit?pli=1#gid=0"",""1_ACUM!A4:S""),11,FALSE))"),"")</f>
        <v/>
      </c>
      <c r="AB657" s="42" t="str">
        <f ca="1">IFERROR(__xludf.DUMMYFUNCTION("IFERROR(VLOOKUP(F680,IMPORTRANGE(""https://docs.google.com/spreadsheets/d/1Kvs4KS76FHFqLFIZfrDMff4kP08nblUkihrxltoGBjg/edit#gid=934712705"",""ESENCIAL!A6:BG""),15,FALSE))"),"")</f>
        <v/>
      </c>
      <c r="AC657" s="110" t="str">
        <f ca="1">IFERROR(__xludf.DUMMYFUNCTION("IFERROR(VLOOKUP(E680&amp;F680,IMPORTRANGE(""https://docs.google.com/spreadsheets/d/1Uw7-A9f9R21vMXxHZFNpYNeKFtG8_yji4HS352LGlSQ/edit?pli=1#gid=0"",""1_ACUM!A4:S""),13,FALSE))"),"")</f>
        <v/>
      </c>
      <c r="AD657" s="43" t="str">
        <f ca="1">IFERROR(__xludf.DUMMYFUNCTION("IFERROR(VLOOKUP(E680&amp;F680,IMPORTRANGE(""https://docs.google.com/spreadsheets/d/1Uw7-A9f9R21vMXxHZFNpYNeKFtG8_yji4HS352LGlSQ/edit?pli=1#gid=0"",""1_ACUM!A4:S""),13,FALSE))"),"")</f>
        <v/>
      </c>
      <c r="AE657" s="43" t="str">
        <f ca="1">IFERROR(__xludf.DUMMYFUNCTION("IFERROR(VLOOKUP(E680&amp;F680,IMPORTRANGE(""https://docs.google.com/spreadsheets/d/1Uw7-A9f9R21vMXxHZFNpYNeKFtG8_yji4HS352LGlSQ/edit?pli=1#gid=0"",""1_ACUM!A4:S""),14,FALSE))"),"")</f>
        <v/>
      </c>
      <c r="AF657" s="43" t="str">
        <f ca="1">IFERROR(__xludf.DUMMYFUNCTION("IFERROR(VLOOKUP(E680&amp;F680,IMPORTRANGE(""https://docs.google.com/spreadsheets/d/1Uw7-A9f9R21vMXxHZFNpYNeKFtG8_yji4HS352LGlSQ/edit?pli=1#gid=0"",""1_ACUM!A4:S""),15,FALSE))"),"")</f>
        <v/>
      </c>
      <c r="AG657" s="43" t="str">
        <f ca="1">IFERROR(__xludf.DUMMYFUNCTION("IFERROR(VLOOKUP(E680&amp;F680,IMPORTRANGE(""https://docs.google.com/spreadsheets/d/1Uw7-A9f9R21vMXxHZFNpYNeKFtG8_yji4HS352LGlSQ/edit?pli=1#gid=0"",""1_ACUM!A4:S""),16,FALSE))"),"")</f>
        <v/>
      </c>
      <c r="AH657" s="43" t="str">
        <f ca="1">IFERROR(__xludf.DUMMYFUNCTION("IFERROR(VLOOKUP(E680&amp;F680,IMPORTRANGE(""https://docs.google.com/spreadsheets/d/1Uw7-A9f9R21vMXxHZFNpYNeKFtG8_yji4HS352LGlSQ/edit?pli=1#gid=0"",""1_ACUM!A4:S""),17,FALSE))"),"")</f>
        <v/>
      </c>
      <c r="AI657" s="44" t="str">
        <f ca="1">IFERROR(__xludf.DUMMYFUNCTION("IFERROR(VLOOKUP(E680&amp;F680,IMPORTRANGE(""https://docs.google.com/spreadsheets/d/1Uw7-A9f9R21vMXxHZFNpYNeKFtG8_yji4HS352LGlSQ/edit?pli=1#gid=0"",""1_ACUM!A4:S""),18,FALSE))"),"")</f>
        <v/>
      </c>
      <c r="AJ657" s="44" t="str">
        <f ca="1">IFERROR(__xludf.DUMMYFUNCTION("IFERROR(VLOOKUP(E680&amp;F680,IMPORTRANGE(""https://docs.google.com/spreadsheets/d/1Uw7-A9f9R21vMXxHZFNpYNeKFtG8_yji4HS352LGlSQ/edit?pli=1#gid=0"",""1_ACUM!A4:S""),19,FALSE))"),"")</f>
        <v/>
      </c>
      <c r="AK657" s="98" t="str">
        <f ca="1">IFERROR(__xludf.DUMMYFUNCTION("IFERROR(VLOOKUP(F680,IMPORTRANGE(""https://docs.google.com/spreadsheets/d/1Kvs4KS76FHFqLFIZfrDMff4kP08nblUkihrxltoGBjg/edit#gid=934712705"",""ESENCIAL!A6:BG""),5,FALSE))"),"")</f>
        <v/>
      </c>
      <c r="AL657" s="98" t="str">
        <f t="shared" si="41"/>
        <v/>
      </c>
      <c r="AM657" s="99" t="str">
        <f t="shared" si="42"/>
        <v/>
      </c>
      <c r="AN657" s="100" t="str">
        <f ca="1">IFERROR(__xludf.DUMMYFUNCTION("IFERROR(VLOOKUP(F680,IMPORTRANGE(""https://docs.google.com/spreadsheets/d/1Kvs4KS76FHFqLFIZfrDMff4kP08nblUkihrxltoGBjg/edit#gid=934712705"",""ESENCIAL!A6:BG""),2,FALSE))"),"")</f>
        <v/>
      </c>
      <c r="AO657" s="19" t="str">
        <f t="shared" si="33"/>
        <v/>
      </c>
      <c r="AP657" s="100"/>
      <c r="AQ657" s="100"/>
    </row>
    <row r="658" spans="1:43" ht="15">
      <c r="A658" s="5"/>
      <c r="B658" s="5"/>
      <c r="G658" s="5" t="str">
        <f ca="1">IFERROR(__xludf.DUMMYFUNCTION("IFERROR(VLOOKUP(F681,IMPORTRANGE(""https://docs.google.com/spreadsheets/d/1Kvs4KS76FHFqLFIZfrDMff4kP08nblUkihrxltoGBjg/edit#gid=934712705"",""ESENCIAL!A6:BG""),3,FALSE))"),"")</f>
        <v/>
      </c>
      <c r="H658" s="5" t="str">
        <f ca="1">IFERROR(__xludf.DUMMYFUNCTION("IFERROR(VLOOKUP(F681,IMPORTRANGE(""https://docs.google.com/spreadsheets/d/1Kvs4KS76FHFqLFIZfrDMff4kP08nblUkihrxltoGBjg/edit#gid=934712705"",""ESENCIAL!A6:BG""),8,FALSE))"),"")</f>
        <v/>
      </c>
      <c r="L658" s="40"/>
      <c r="Z658" s="41" t="str">
        <f t="shared" si="40"/>
        <v/>
      </c>
      <c r="AA658" s="5" t="str">
        <f ca="1">IFERROR(__xludf.DUMMYFUNCTION("IFERROR(VLOOKUP(E681&amp;F681,IMPORTRANGE(""https://docs.google.com/spreadsheets/d/1Uw7-A9f9R21vMXxHZFNpYNeKFtG8_yji4HS352LGlSQ/edit?pli=1#gid=0"",""1_ACUM!A4:S""),11,FALSE))"),"")</f>
        <v/>
      </c>
      <c r="AB658" s="42" t="str">
        <f ca="1">IFERROR(__xludf.DUMMYFUNCTION("IFERROR(VLOOKUP(F681,IMPORTRANGE(""https://docs.google.com/spreadsheets/d/1Kvs4KS76FHFqLFIZfrDMff4kP08nblUkihrxltoGBjg/edit#gid=934712705"",""ESENCIAL!A6:BG""),15,FALSE))"),"")</f>
        <v/>
      </c>
      <c r="AC658" s="110" t="str">
        <f ca="1">IFERROR(__xludf.DUMMYFUNCTION("IFERROR(VLOOKUP(E681&amp;F681,IMPORTRANGE(""https://docs.google.com/spreadsheets/d/1Uw7-A9f9R21vMXxHZFNpYNeKFtG8_yji4HS352LGlSQ/edit?pli=1#gid=0"",""1_ACUM!A4:S""),13,FALSE))"),"")</f>
        <v/>
      </c>
      <c r="AD658" s="43" t="str">
        <f ca="1">IFERROR(__xludf.DUMMYFUNCTION("IFERROR(VLOOKUP(E681&amp;F681,IMPORTRANGE(""https://docs.google.com/spreadsheets/d/1Uw7-A9f9R21vMXxHZFNpYNeKFtG8_yji4HS352LGlSQ/edit?pli=1#gid=0"",""1_ACUM!A4:S""),13,FALSE))"),"")</f>
        <v/>
      </c>
      <c r="AE658" s="43" t="str">
        <f ca="1">IFERROR(__xludf.DUMMYFUNCTION("IFERROR(VLOOKUP(E681&amp;F681,IMPORTRANGE(""https://docs.google.com/spreadsheets/d/1Uw7-A9f9R21vMXxHZFNpYNeKFtG8_yji4HS352LGlSQ/edit?pli=1#gid=0"",""1_ACUM!A4:S""),14,FALSE))"),"")</f>
        <v/>
      </c>
      <c r="AF658" s="43" t="str">
        <f ca="1">IFERROR(__xludf.DUMMYFUNCTION("IFERROR(VLOOKUP(E681&amp;F681,IMPORTRANGE(""https://docs.google.com/spreadsheets/d/1Uw7-A9f9R21vMXxHZFNpYNeKFtG8_yji4HS352LGlSQ/edit?pli=1#gid=0"",""1_ACUM!A4:S""),15,FALSE))"),"")</f>
        <v/>
      </c>
      <c r="AG658" s="43" t="str">
        <f ca="1">IFERROR(__xludf.DUMMYFUNCTION("IFERROR(VLOOKUP(E681&amp;F681,IMPORTRANGE(""https://docs.google.com/spreadsheets/d/1Uw7-A9f9R21vMXxHZFNpYNeKFtG8_yji4HS352LGlSQ/edit?pli=1#gid=0"",""1_ACUM!A4:S""),16,FALSE))"),"")</f>
        <v/>
      </c>
      <c r="AH658" s="43" t="str">
        <f ca="1">IFERROR(__xludf.DUMMYFUNCTION("IFERROR(VLOOKUP(E681&amp;F681,IMPORTRANGE(""https://docs.google.com/spreadsheets/d/1Uw7-A9f9R21vMXxHZFNpYNeKFtG8_yji4HS352LGlSQ/edit?pli=1#gid=0"",""1_ACUM!A4:S""),17,FALSE))"),"")</f>
        <v/>
      </c>
      <c r="AI658" s="44" t="str">
        <f ca="1">IFERROR(__xludf.DUMMYFUNCTION("IFERROR(VLOOKUP(E681&amp;F681,IMPORTRANGE(""https://docs.google.com/spreadsheets/d/1Uw7-A9f9R21vMXxHZFNpYNeKFtG8_yji4HS352LGlSQ/edit?pli=1#gid=0"",""1_ACUM!A4:S""),18,FALSE))"),"")</f>
        <v/>
      </c>
      <c r="AJ658" s="44" t="str">
        <f ca="1">IFERROR(__xludf.DUMMYFUNCTION("IFERROR(VLOOKUP(E681&amp;F681,IMPORTRANGE(""https://docs.google.com/spreadsheets/d/1Uw7-A9f9R21vMXxHZFNpYNeKFtG8_yji4HS352LGlSQ/edit?pli=1#gid=0"",""1_ACUM!A4:S""),19,FALSE))"),"")</f>
        <v/>
      </c>
      <c r="AK658" s="98" t="str">
        <f ca="1">IFERROR(__xludf.DUMMYFUNCTION("IFERROR(VLOOKUP(F681,IMPORTRANGE(""https://docs.google.com/spreadsheets/d/1Kvs4KS76FHFqLFIZfrDMff4kP08nblUkihrxltoGBjg/edit#gid=934712705"",""ESENCIAL!A6:BG""),5,FALSE))"),"")</f>
        <v/>
      </c>
      <c r="AL658" s="98" t="str">
        <f t="shared" si="41"/>
        <v/>
      </c>
      <c r="AM658" s="99" t="str">
        <f t="shared" si="42"/>
        <v/>
      </c>
      <c r="AN658" s="100" t="str">
        <f ca="1">IFERROR(__xludf.DUMMYFUNCTION("IFERROR(VLOOKUP(F681,IMPORTRANGE(""https://docs.google.com/spreadsheets/d/1Kvs4KS76FHFqLFIZfrDMff4kP08nblUkihrxltoGBjg/edit#gid=934712705"",""ESENCIAL!A6:BG""),2,FALSE))"),"")</f>
        <v/>
      </c>
      <c r="AO658" s="19" t="str">
        <f t="shared" si="33"/>
        <v/>
      </c>
      <c r="AP658" s="100"/>
      <c r="AQ658" s="100"/>
    </row>
    <row r="659" spans="1:43" ht="15">
      <c r="A659" s="5"/>
      <c r="B659" s="5"/>
      <c r="G659" s="5" t="str">
        <f ca="1">IFERROR(__xludf.DUMMYFUNCTION("IFERROR(VLOOKUP(F682,IMPORTRANGE(""https://docs.google.com/spreadsheets/d/1Kvs4KS76FHFqLFIZfrDMff4kP08nblUkihrxltoGBjg/edit#gid=934712705"",""ESENCIAL!A6:BG""),3,FALSE))"),"")</f>
        <v/>
      </c>
      <c r="H659" s="5" t="str">
        <f ca="1">IFERROR(__xludf.DUMMYFUNCTION("IFERROR(VLOOKUP(F682,IMPORTRANGE(""https://docs.google.com/spreadsheets/d/1Kvs4KS76FHFqLFIZfrDMff4kP08nblUkihrxltoGBjg/edit#gid=934712705"",""ESENCIAL!A6:BG""),8,FALSE))"),"")</f>
        <v/>
      </c>
      <c r="L659" s="40"/>
      <c r="Z659" s="41" t="str">
        <f t="shared" si="40"/>
        <v/>
      </c>
      <c r="AA659" s="5" t="str">
        <f ca="1">IFERROR(__xludf.DUMMYFUNCTION("IFERROR(VLOOKUP(E682&amp;F682,IMPORTRANGE(""https://docs.google.com/spreadsheets/d/1Uw7-A9f9R21vMXxHZFNpYNeKFtG8_yji4HS352LGlSQ/edit?pli=1#gid=0"",""1_ACUM!A4:S""),11,FALSE))"),"")</f>
        <v/>
      </c>
      <c r="AB659" s="42" t="str">
        <f ca="1">IFERROR(__xludf.DUMMYFUNCTION("IFERROR(VLOOKUP(F682,IMPORTRANGE(""https://docs.google.com/spreadsheets/d/1Kvs4KS76FHFqLFIZfrDMff4kP08nblUkihrxltoGBjg/edit#gid=934712705"",""ESENCIAL!A6:BG""),15,FALSE))"),"")</f>
        <v/>
      </c>
      <c r="AC659" s="110" t="str">
        <f ca="1">IFERROR(__xludf.DUMMYFUNCTION("IFERROR(VLOOKUP(E682&amp;F682,IMPORTRANGE(""https://docs.google.com/spreadsheets/d/1Uw7-A9f9R21vMXxHZFNpYNeKFtG8_yji4HS352LGlSQ/edit?pli=1#gid=0"",""1_ACUM!A4:S""),13,FALSE))"),"")</f>
        <v/>
      </c>
      <c r="AD659" s="43" t="str">
        <f ca="1">IFERROR(__xludf.DUMMYFUNCTION("IFERROR(VLOOKUP(E682&amp;F682,IMPORTRANGE(""https://docs.google.com/spreadsheets/d/1Uw7-A9f9R21vMXxHZFNpYNeKFtG8_yji4HS352LGlSQ/edit?pli=1#gid=0"",""1_ACUM!A4:S""),13,FALSE))"),"")</f>
        <v/>
      </c>
      <c r="AE659" s="43" t="str">
        <f ca="1">IFERROR(__xludf.DUMMYFUNCTION("IFERROR(VLOOKUP(E682&amp;F682,IMPORTRANGE(""https://docs.google.com/spreadsheets/d/1Uw7-A9f9R21vMXxHZFNpYNeKFtG8_yji4HS352LGlSQ/edit?pli=1#gid=0"",""1_ACUM!A4:S""),14,FALSE))"),"")</f>
        <v/>
      </c>
      <c r="AF659" s="43" t="str">
        <f ca="1">IFERROR(__xludf.DUMMYFUNCTION("IFERROR(VLOOKUP(E682&amp;F682,IMPORTRANGE(""https://docs.google.com/spreadsheets/d/1Uw7-A9f9R21vMXxHZFNpYNeKFtG8_yji4HS352LGlSQ/edit?pli=1#gid=0"",""1_ACUM!A4:S""),15,FALSE))"),"")</f>
        <v/>
      </c>
      <c r="AG659" s="43" t="str">
        <f ca="1">IFERROR(__xludf.DUMMYFUNCTION("IFERROR(VLOOKUP(E682&amp;F682,IMPORTRANGE(""https://docs.google.com/spreadsheets/d/1Uw7-A9f9R21vMXxHZFNpYNeKFtG8_yji4HS352LGlSQ/edit?pli=1#gid=0"",""1_ACUM!A4:S""),16,FALSE))"),"")</f>
        <v/>
      </c>
      <c r="AH659" s="43" t="str">
        <f ca="1">IFERROR(__xludf.DUMMYFUNCTION("IFERROR(VLOOKUP(E682&amp;F682,IMPORTRANGE(""https://docs.google.com/spreadsheets/d/1Uw7-A9f9R21vMXxHZFNpYNeKFtG8_yji4HS352LGlSQ/edit?pli=1#gid=0"",""1_ACUM!A4:S""),17,FALSE))"),"")</f>
        <v/>
      </c>
      <c r="AI659" s="44" t="str">
        <f ca="1">IFERROR(__xludf.DUMMYFUNCTION("IFERROR(VLOOKUP(E682&amp;F682,IMPORTRANGE(""https://docs.google.com/spreadsheets/d/1Uw7-A9f9R21vMXxHZFNpYNeKFtG8_yji4HS352LGlSQ/edit?pli=1#gid=0"",""1_ACUM!A4:S""),18,FALSE))"),"")</f>
        <v/>
      </c>
      <c r="AJ659" s="44" t="str">
        <f ca="1">IFERROR(__xludf.DUMMYFUNCTION("IFERROR(VLOOKUP(E682&amp;F682,IMPORTRANGE(""https://docs.google.com/spreadsheets/d/1Uw7-A9f9R21vMXxHZFNpYNeKFtG8_yji4HS352LGlSQ/edit?pli=1#gid=0"",""1_ACUM!A4:S""),19,FALSE))"),"")</f>
        <v/>
      </c>
      <c r="AK659" s="98" t="str">
        <f ca="1">IFERROR(__xludf.DUMMYFUNCTION("IFERROR(VLOOKUP(F682,IMPORTRANGE(""https://docs.google.com/spreadsheets/d/1Kvs4KS76FHFqLFIZfrDMff4kP08nblUkihrxltoGBjg/edit#gid=934712705"",""ESENCIAL!A6:BG""),5,FALSE))"),"")</f>
        <v/>
      </c>
      <c r="AL659" s="98" t="str">
        <f t="shared" si="41"/>
        <v/>
      </c>
      <c r="AM659" s="99" t="str">
        <f t="shared" si="42"/>
        <v/>
      </c>
      <c r="AN659" s="100" t="str">
        <f ca="1">IFERROR(__xludf.DUMMYFUNCTION("IFERROR(VLOOKUP(F682,IMPORTRANGE(""https://docs.google.com/spreadsheets/d/1Kvs4KS76FHFqLFIZfrDMff4kP08nblUkihrxltoGBjg/edit#gid=934712705"",""ESENCIAL!A6:BG""),2,FALSE))"),"")</f>
        <v/>
      </c>
      <c r="AO659" s="19" t="str">
        <f t="shared" si="33"/>
        <v/>
      </c>
      <c r="AP659" s="100"/>
      <c r="AQ659" s="100"/>
    </row>
    <row r="660" spans="1:43" ht="15">
      <c r="A660" s="5"/>
      <c r="B660" s="5"/>
      <c r="G660" s="5" t="str">
        <f ca="1">IFERROR(__xludf.DUMMYFUNCTION("IFERROR(VLOOKUP(F683,IMPORTRANGE(""https://docs.google.com/spreadsheets/d/1Kvs4KS76FHFqLFIZfrDMff4kP08nblUkihrxltoGBjg/edit#gid=934712705"",""ESENCIAL!A6:BG""),3,FALSE))"),"")</f>
        <v/>
      </c>
      <c r="H660" s="5" t="str">
        <f ca="1">IFERROR(__xludf.DUMMYFUNCTION("IFERROR(VLOOKUP(F683,IMPORTRANGE(""https://docs.google.com/spreadsheets/d/1Kvs4KS76FHFqLFIZfrDMff4kP08nblUkihrxltoGBjg/edit#gid=934712705"",""ESENCIAL!A6:BG""),8,FALSE))"),"")</f>
        <v/>
      </c>
      <c r="L660" s="40"/>
      <c r="Z660" s="41" t="str">
        <f t="shared" si="40"/>
        <v/>
      </c>
      <c r="AA660" s="5" t="str">
        <f ca="1">IFERROR(__xludf.DUMMYFUNCTION("IFERROR(VLOOKUP(E683&amp;F683,IMPORTRANGE(""https://docs.google.com/spreadsheets/d/1Uw7-A9f9R21vMXxHZFNpYNeKFtG8_yji4HS352LGlSQ/edit?pli=1#gid=0"",""1_ACUM!A4:S""),11,FALSE))"),"")</f>
        <v/>
      </c>
      <c r="AB660" s="42" t="str">
        <f ca="1">IFERROR(__xludf.DUMMYFUNCTION("IFERROR(VLOOKUP(F683,IMPORTRANGE(""https://docs.google.com/spreadsheets/d/1Kvs4KS76FHFqLFIZfrDMff4kP08nblUkihrxltoGBjg/edit#gid=934712705"",""ESENCIAL!A6:BG""),15,FALSE))"),"")</f>
        <v/>
      </c>
      <c r="AC660" s="110" t="str">
        <f ca="1">IFERROR(__xludf.DUMMYFUNCTION("IFERROR(VLOOKUP(E683&amp;F683,IMPORTRANGE(""https://docs.google.com/spreadsheets/d/1Uw7-A9f9R21vMXxHZFNpYNeKFtG8_yji4HS352LGlSQ/edit?pli=1#gid=0"",""1_ACUM!A4:S""),13,FALSE))"),"")</f>
        <v/>
      </c>
      <c r="AD660" s="43" t="str">
        <f ca="1">IFERROR(__xludf.DUMMYFUNCTION("IFERROR(VLOOKUP(E683&amp;F683,IMPORTRANGE(""https://docs.google.com/spreadsheets/d/1Uw7-A9f9R21vMXxHZFNpYNeKFtG8_yji4HS352LGlSQ/edit?pli=1#gid=0"",""1_ACUM!A4:S""),13,FALSE))"),"")</f>
        <v/>
      </c>
      <c r="AE660" s="43" t="str">
        <f ca="1">IFERROR(__xludf.DUMMYFUNCTION("IFERROR(VLOOKUP(E683&amp;F683,IMPORTRANGE(""https://docs.google.com/spreadsheets/d/1Uw7-A9f9R21vMXxHZFNpYNeKFtG8_yji4HS352LGlSQ/edit?pli=1#gid=0"",""1_ACUM!A4:S""),14,FALSE))"),"")</f>
        <v/>
      </c>
      <c r="AF660" s="43" t="str">
        <f ca="1">IFERROR(__xludf.DUMMYFUNCTION("IFERROR(VLOOKUP(E683&amp;F683,IMPORTRANGE(""https://docs.google.com/spreadsheets/d/1Uw7-A9f9R21vMXxHZFNpYNeKFtG8_yji4HS352LGlSQ/edit?pli=1#gid=0"",""1_ACUM!A4:S""),15,FALSE))"),"")</f>
        <v/>
      </c>
      <c r="AG660" s="43" t="str">
        <f ca="1">IFERROR(__xludf.DUMMYFUNCTION("IFERROR(VLOOKUP(E683&amp;F683,IMPORTRANGE(""https://docs.google.com/spreadsheets/d/1Uw7-A9f9R21vMXxHZFNpYNeKFtG8_yji4HS352LGlSQ/edit?pli=1#gid=0"",""1_ACUM!A4:S""),16,FALSE))"),"")</f>
        <v/>
      </c>
      <c r="AH660" s="43" t="str">
        <f ca="1">IFERROR(__xludf.DUMMYFUNCTION("IFERROR(VLOOKUP(E683&amp;F683,IMPORTRANGE(""https://docs.google.com/spreadsheets/d/1Uw7-A9f9R21vMXxHZFNpYNeKFtG8_yji4HS352LGlSQ/edit?pli=1#gid=0"",""1_ACUM!A4:S""),17,FALSE))"),"")</f>
        <v/>
      </c>
      <c r="AI660" s="44" t="str">
        <f ca="1">IFERROR(__xludf.DUMMYFUNCTION("IFERROR(VLOOKUP(E683&amp;F683,IMPORTRANGE(""https://docs.google.com/spreadsheets/d/1Uw7-A9f9R21vMXxHZFNpYNeKFtG8_yji4HS352LGlSQ/edit?pli=1#gid=0"",""1_ACUM!A4:S""),18,FALSE))"),"")</f>
        <v/>
      </c>
      <c r="AJ660" s="44" t="str">
        <f ca="1">IFERROR(__xludf.DUMMYFUNCTION("IFERROR(VLOOKUP(E683&amp;F683,IMPORTRANGE(""https://docs.google.com/spreadsheets/d/1Uw7-A9f9R21vMXxHZFNpYNeKFtG8_yji4HS352LGlSQ/edit?pli=1#gid=0"",""1_ACUM!A4:S""),19,FALSE))"),"")</f>
        <v/>
      </c>
      <c r="AK660" s="98" t="str">
        <f ca="1">IFERROR(__xludf.DUMMYFUNCTION("IFERROR(VLOOKUP(F683,IMPORTRANGE(""https://docs.google.com/spreadsheets/d/1Kvs4KS76FHFqLFIZfrDMff4kP08nblUkihrxltoGBjg/edit#gid=934712705"",""ESENCIAL!A6:BG""),5,FALSE))"),"")</f>
        <v/>
      </c>
      <c r="AL660" s="98" t="str">
        <f t="shared" si="41"/>
        <v/>
      </c>
      <c r="AM660" s="99" t="str">
        <f t="shared" si="42"/>
        <v/>
      </c>
      <c r="AN660" s="100" t="str">
        <f ca="1">IFERROR(__xludf.DUMMYFUNCTION("IFERROR(VLOOKUP(F683,IMPORTRANGE(""https://docs.google.com/spreadsheets/d/1Kvs4KS76FHFqLFIZfrDMff4kP08nblUkihrxltoGBjg/edit#gid=934712705"",""ESENCIAL!A6:BG""),2,FALSE))"),"")</f>
        <v/>
      </c>
      <c r="AO660" s="19" t="str">
        <f t="shared" si="33"/>
        <v/>
      </c>
      <c r="AP660" s="100"/>
      <c r="AQ660" s="100"/>
    </row>
    <row r="661" spans="1:43" ht="15">
      <c r="A661" s="5"/>
      <c r="B661" s="5"/>
      <c r="G661" s="5" t="str">
        <f ca="1">IFERROR(__xludf.DUMMYFUNCTION("IFERROR(VLOOKUP(F684,IMPORTRANGE(""https://docs.google.com/spreadsheets/d/1Kvs4KS76FHFqLFIZfrDMff4kP08nblUkihrxltoGBjg/edit#gid=934712705"",""ESENCIAL!A6:BG""),3,FALSE))"),"")</f>
        <v/>
      </c>
      <c r="H661" s="5" t="str">
        <f ca="1">IFERROR(__xludf.DUMMYFUNCTION("IFERROR(VLOOKUP(F684,IMPORTRANGE(""https://docs.google.com/spreadsheets/d/1Kvs4KS76FHFqLFIZfrDMff4kP08nblUkihrxltoGBjg/edit#gid=934712705"",""ESENCIAL!A6:BG""),8,FALSE))"),"")</f>
        <v/>
      </c>
      <c r="L661" s="40"/>
      <c r="Z661" s="41" t="str">
        <f t="shared" si="40"/>
        <v/>
      </c>
      <c r="AA661" s="5" t="str">
        <f ca="1">IFERROR(__xludf.DUMMYFUNCTION("IFERROR(VLOOKUP(E684&amp;F684,IMPORTRANGE(""https://docs.google.com/spreadsheets/d/1Uw7-A9f9R21vMXxHZFNpYNeKFtG8_yji4HS352LGlSQ/edit?pli=1#gid=0"",""1_ACUM!A4:S""),11,FALSE))"),"")</f>
        <v/>
      </c>
      <c r="AB661" s="42" t="str">
        <f ca="1">IFERROR(__xludf.DUMMYFUNCTION("IFERROR(VLOOKUP(F684,IMPORTRANGE(""https://docs.google.com/spreadsheets/d/1Kvs4KS76FHFqLFIZfrDMff4kP08nblUkihrxltoGBjg/edit#gid=934712705"",""ESENCIAL!A6:BG""),15,FALSE))"),"")</f>
        <v/>
      </c>
      <c r="AC661" s="110" t="str">
        <f ca="1">IFERROR(__xludf.DUMMYFUNCTION("IFERROR(VLOOKUP(E684&amp;F684,IMPORTRANGE(""https://docs.google.com/spreadsheets/d/1Uw7-A9f9R21vMXxHZFNpYNeKFtG8_yji4HS352LGlSQ/edit?pli=1#gid=0"",""1_ACUM!A4:S""),13,FALSE))"),"")</f>
        <v/>
      </c>
      <c r="AD661" s="43" t="str">
        <f ca="1">IFERROR(__xludf.DUMMYFUNCTION("IFERROR(VLOOKUP(E684&amp;F684,IMPORTRANGE(""https://docs.google.com/spreadsheets/d/1Uw7-A9f9R21vMXxHZFNpYNeKFtG8_yji4HS352LGlSQ/edit?pli=1#gid=0"",""1_ACUM!A4:S""),13,FALSE))"),"")</f>
        <v/>
      </c>
      <c r="AE661" s="43" t="str">
        <f ca="1">IFERROR(__xludf.DUMMYFUNCTION("IFERROR(VLOOKUP(E684&amp;F684,IMPORTRANGE(""https://docs.google.com/spreadsheets/d/1Uw7-A9f9R21vMXxHZFNpYNeKFtG8_yji4HS352LGlSQ/edit?pli=1#gid=0"",""1_ACUM!A4:S""),14,FALSE))"),"")</f>
        <v/>
      </c>
      <c r="AF661" s="43" t="str">
        <f ca="1">IFERROR(__xludf.DUMMYFUNCTION("IFERROR(VLOOKUP(E684&amp;F684,IMPORTRANGE(""https://docs.google.com/spreadsheets/d/1Uw7-A9f9R21vMXxHZFNpYNeKFtG8_yji4HS352LGlSQ/edit?pli=1#gid=0"",""1_ACUM!A4:S""),15,FALSE))"),"")</f>
        <v/>
      </c>
      <c r="AG661" s="43" t="str">
        <f ca="1">IFERROR(__xludf.DUMMYFUNCTION("IFERROR(VLOOKUP(E684&amp;F684,IMPORTRANGE(""https://docs.google.com/spreadsheets/d/1Uw7-A9f9R21vMXxHZFNpYNeKFtG8_yji4HS352LGlSQ/edit?pli=1#gid=0"",""1_ACUM!A4:S""),16,FALSE))"),"")</f>
        <v/>
      </c>
      <c r="AH661" s="43" t="str">
        <f ca="1">IFERROR(__xludf.DUMMYFUNCTION("IFERROR(VLOOKUP(E684&amp;F684,IMPORTRANGE(""https://docs.google.com/spreadsheets/d/1Uw7-A9f9R21vMXxHZFNpYNeKFtG8_yji4HS352LGlSQ/edit?pli=1#gid=0"",""1_ACUM!A4:S""),17,FALSE))"),"")</f>
        <v/>
      </c>
      <c r="AI661" s="44" t="str">
        <f ca="1">IFERROR(__xludf.DUMMYFUNCTION("IFERROR(VLOOKUP(E684&amp;F684,IMPORTRANGE(""https://docs.google.com/spreadsheets/d/1Uw7-A9f9R21vMXxHZFNpYNeKFtG8_yji4HS352LGlSQ/edit?pli=1#gid=0"",""1_ACUM!A4:S""),18,FALSE))"),"")</f>
        <v/>
      </c>
      <c r="AJ661" s="44" t="str">
        <f ca="1">IFERROR(__xludf.DUMMYFUNCTION("IFERROR(VLOOKUP(E684&amp;F684,IMPORTRANGE(""https://docs.google.com/spreadsheets/d/1Uw7-A9f9R21vMXxHZFNpYNeKFtG8_yji4HS352LGlSQ/edit?pli=1#gid=0"",""1_ACUM!A4:S""),19,FALSE))"),"")</f>
        <v/>
      </c>
      <c r="AK661" s="98" t="str">
        <f ca="1">IFERROR(__xludf.DUMMYFUNCTION("IFERROR(VLOOKUP(F684,IMPORTRANGE(""https://docs.google.com/spreadsheets/d/1Kvs4KS76FHFqLFIZfrDMff4kP08nblUkihrxltoGBjg/edit#gid=934712705"",""ESENCIAL!A6:BG""),5,FALSE))"),"")</f>
        <v/>
      </c>
      <c r="AL661" s="98" t="str">
        <f t="shared" si="41"/>
        <v/>
      </c>
      <c r="AM661" s="99" t="str">
        <f t="shared" si="42"/>
        <v/>
      </c>
      <c r="AN661" s="100" t="str">
        <f ca="1">IFERROR(__xludf.DUMMYFUNCTION("IFERROR(VLOOKUP(F684,IMPORTRANGE(""https://docs.google.com/spreadsheets/d/1Kvs4KS76FHFqLFIZfrDMff4kP08nblUkihrxltoGBjg/edit#gid=934712705"",""ESENCIAL!A6:BG""),2,FALSE))"),"")</f>
        <v/>
      </c>
      <c r="AO661" s="19" t="str">
        <f t="shared" si="33"/>
        <v/>
      </c>
      <c r="AP661" s="100"/>
      <c r="AQ661" s="100"/>
    </row>
    <row r="662" spans="1:43" ht="15">
      <c r="A662" s="5"/>
      <c r="B662" s="5"/>
      <c r="G662" s="5" t="str">
        <f ca="1">IFERROR(__xludf.DUMMYFUNCTION("IFERROR(VLOOKUP(F685,IMPORTRANGE(""https://docs.google.com/spreadsheets/d/1Kvs4KS76FHFqLFIZfrDMff4kP08nblUkihrxltoGBjg/edit#gid=934712705"",""ESENCIAL!A6:BG""),3,FALSE))"),"")</f>
        <v/>
      </c>
      <c r="H662" s="5" t="str">
        <f ca="1">IFERROR(__xludf.DUMMYFUNCTION("IFERROR(VLOOKUP(F685,IMPORTRANGE(""https://docs.google.com/spreadsheets/d/1Kvs4KS76FHFqLFIZfrDMff4kP08nblUkihrxltoGBjg/edit#gid=934712705"",""ESENCIAL!A6:BG""),8,FALSE))"),"")</f>
        <v/>
      </c>
      <c r="L662" s="40"/>
      <c r="Z662" s="41" t="str">
        <f t="shared" si="40"/>
        <v/>
      </c>
      <c r="AA662" s="5" t="str">
        <f ca="1">IFERROR(__xludf.DUMMYFUNCTION("IFERROR(VLOOKUP(E685&amp;F685,IMPORTRANGE(""https://docs.google.com/spreadsheets/d/1Uw7-A9f9R21vMXxHZFNpYNeKFtG8_yji4HS352LGlSQ/edit?pli=1#gid=0"",""1_ACUM!A4:S""),11,FALSE))"),"")</f>
        <v/>
      </c>
      <c r="AB662" s="42" t="str">
        <f ca="1">IFERROR(__xludf.DUMMYFUNCTION("IFERROR(VLOOKUP(F685,IMPORTRANGE(""https://docs.google.com/spreadsheets/d/1Kvs4KS76FHFqLFIZfrDMff4kP08nblUkihrxltoGBjg/edit#gid=934712705"",""ESENCIAL!A6:BG""),15,FALSE))"),"")</f>
        <v/>
      </c>
      <c r="AC662" s="110" t="str">
        <f ca="1">IFERROR(__xludf.DUMMYFUNCTION("IFERROR(VLOOKUP(E685&amp;F685,IMPORTRANGE(""https://docs.google.com/spreadsheets/d/1Uw7-A9f9R21vMXxHZFNpYNeKFtG8_yji4HS352LGlSQ/edit?pli=1#gid=0"",""1_ACUM!A4:S""),13,FALSE))"),"")</f>
        <v/>
      </c>
      <c r="AD662" s="43" t="str">
        <f ca="1">IFERROR(__xludf.DUMMYFUNCTION("IFERROR(VLOOKUP(E685&amp;F685,IMPORTRANGE(""https://docs.google.com/spreadsheets/d/1Uw7-A9f9R21vMXxHZFNpYNeKFtG8_yji4HS352LGlSQ/edit?pli=1#gid=0"",""1_ACUM!A4:S""),13,FALSE))"),"")</f>
        <v/>
      </c>
      <c r="AE662" s="43" t="str">
        <f ca="1">IFERROR(__xludf.DUMMYFUNCTION("IFERROR(VLOOKUP(E685&amp;F685,IMPORTRANGE(""https://docs.google.com/spreadsheets/d/1Uw7-A9f9R21vMXxHZFNpYNeKFtG8_yji4HS352LGlSQ/edit?pli=1#gid=0"",""1_ACUM!A4:S""),14,FALSE))"),"")</f>
        <v/>
      </c>
      <c r="AF662" s="43" t="str">
        <f ca="1">IFERROR(__xludf.DUMMYFUNCTION("IFERROR(VLOOKUP(E685&amp;F685,IMPORTRANGE(""https://docs.google.com/spreadsheets/d/1Uw7-A9f9R21vMXxHZFNpYNeKFtG8_yji4HS352LGlSQ/edit?pli=1#gid=0"",""1_ACUM!A4:S""),15,FALSE))"),"")</f>
        <v/>
      </c>
      <c r="AG662" s="43" t="str">
        <f ca="1">IFERROR(__xludf.DUMMYFUNCTION("IFERROR(VLOOKUP(E685&amp;F685,IMPORTRANGE(""https://docs.google.com/spreadsheets/d/1Uw7-A9f9R21vMXxHZFNpYNeKFtG8_yji4HS352LGlSQ/edit?pli=1#gid=0"",""1_ACUM!A4:S""),16,FALSE))"),"")</f>
        <v/>
      </c>
      <c r="AH662" s="43" t="str">
        <f ca="1">IFERROR(__xludf.DUMMYFUNCTION("IFERROR(VLOOKUP(E685&amp;F685,IMPORTRANGE(""https://docs.google.com/spreadsheets/d/1Uw7-A9f9R21vMXxHZFNpYNeKFtG8_yji4HS352LGlSQ/edit?pli=1#gid=0"",""1_ACUM!A4:S""),17,FALSE))"),"")</f>
        <v/>
      </c>
      <c r="AI662" s="44" t="str">
        <f ca="1">IFERROR(__xludf.DUMMYFUNCTION("IFERROR(VLOOKUP(E685&amp;F685,IMPORTRANGE(""https://docs.google.com/spreadsheets/d/1Uw7-A9f9R21vMXxHZFNpYNeKFtG8_yji4HS352LGlSQ/edit?pli=1#gid=0"",""1_ACUM!A4:S""),18,FALSE))"),"")</f>
        <v/>
      </c>
      <c r="AJ662" s="44" t="str">
        <f ca="1">IFERROR(__xludf.DUMMYFUNCTION("IFERROR(VLOOKUP(E685&amp;F685,IMPORTRANGE(""https://docs.google.com/spreadsheets/d/1Uw7-A9f9R21vMXxHZFNpYNeKFtG8_yji4HS352LGlSQ/edit?pli=1#gid=0"",""1_ACUM!A4:S""),19,FALSE))"),"")</f>
        <v/>
      </c>
      <c r="AK662" s="98" t="str">
        <f ca="1">IFERROR(__xludf.DUMMYFUNCTION("IFERROR(VLOOKUP(F685,IMPORTRANGE(""https://docs.google.com/spreadsheets/d/1Kvs4KS76FHFqLFIZfrDMff4kP08nblUkihrxltoGBjg/edit#gid=934712705"",""ESENCIAL!A6:BG""),5,FALSE))"),"")</f>
        <v/>
      </c>
      <c r="AL662" s="98" t="str">
        <f t="shared" si="41"/>
        <v/>
      </c>
      <c r="AM662" s="99" t="str">
        <f t="shared" si="42"/>
        <v/>
      </c>
      <c r="AN662" s="100" t="str">
        <f ca="1">IFERROR(__xludf.DUMMYFUNCTION("IFERROR(VLOOKUP(F685,IMPORTRANGE(""https://docs.google.com/spreadsheets/d/1Kvs4KS76FHFqLFIZfrDMff4kP08nblUkihrxltoGBjg/edit#gid=934712705"",""ESENCIAL!A6:BG""),2,FALSE))"),"")</f>
        <v/>
      </c>
      <c r="AO662" s="19" t="str">
        <f t="shared" si="33"/>
        <v/>
      </c>
      <c r="AP662" s="100"/>
      <c r="AQ662" s="100"/>
    </row>
    <row r="663" spans="1:43" ht="15">
      <c r="A663" s="5"/>
      <c r="B663" s="5"/>
      <c r="G663" s="5" t="str">
        <f ca="1">IFERROR(__xludf.DUMMYFUNCTION("IFERROR(VLOOKUP(F686,IMPORTRANGE(""https://docs.google.com/spreadsheets/d/1Kvs4KS76FHFqLFIZfrDMff4kP08nblUkihrxltoGBjg/edit#gid=934712705"",""ESENCIAL!A6:BG""),3,FALSE))"),"")</f>
        <v/>
      </c>
      <c r="H663" s="5" t="str">
        <f ca="1">IFERROR(__xludf.DUMMYFUNCTION("IFERROR(VLOOKUP(F686,IMPORTRANGE(""https://docs.google.com/spreadsheets/d/1Kvs4KS76FHFqLFIZfrDMff4kP08nblUkihrxltoGBjg/edit#gid=934712705"",""ESENCIAL!A6:BG""),8,FALSE))"),"")</f>
        <v/>
      </c>
      <c r="L663" s="40"/>
      <c r="Z663" s="41" t="str">
        <f t="shared" si="40"/>
        <v/>
      </c>
      <c r="AA663" s="5" t="str">
        <f ca="1">IFERROR(__xludf.DUMMYFUNCTION("IFERROR(VLOOKUP(E686&amp;F686,IMPORTRANGE(""https://docs.google.com/spreadsheets/d/1Uw7-A9f9R21vMXxHZFNpYNeKFtG8_yji4HS352LGlSQ/edit?pli=1#gid=0"",""1_ACUM!A4:S""),11,FALSE))"),"")</f>
        <v/>
      </c>
      <c r="AB663" s="42" t="str">
        <f ca="1">IFERROR(__xludf.DUMMYFUNCTION("IFERROR(VLOOKUP(F686,IMPORTRANGE(""https://docs.google.com/spreadsheets/d/1Kvs4KS76FHFqLFIZfrDMff4kP08nblUkihrxltoGBjg/edit#gid=934712705"",""ESENCIAL!A6:BG""),15,FALSE))"),"")</f>
        <v/>
      </c>
      <c r="AC663" s="110" t="str">
        <f ca="1">IFERROR(__xludf.DUMMYFUNCTION("IFERROR(VLOOKUP(E686&amp;F686,IMPORTRANGE(""https://docs.google.com/spreadsheets/d/1Uw7-A9f9R21vMXxHZFNpYNeKFtG8_yji4HS352LGlSQ/edit?pli=1#gid=0"",""1_ACUM!A4:S""),13,FALSE))"),"")</f>
        <v/>
      </c>
      <c r="AD663" s="43" t="str">
        <f ca="1">IFERROR(__xludf.DUMMYFUNCTION("IFERROR(VLOOKUP(E686&amp;F686,IMPORTRANGE(""https://docs.google.com/spreadsheets/d/1Uw7-A9f9R21vMXxHZFNpYNeKFtG8_yji4HS352LGlSQ/edit?pli=1#gid=0"",""1_ACUM!A4:S""),13,FALSE))"),"")</f>
        <v/>
      </c>
      <c r="AE663" s="43" t="str">
        <f ca="1">IFERROR(__xludf.DUMMYFUNCTION("IFERROR(VLOOKUP(E686&amp;F686,IMPORTRANGE(""https://docs.google.com/spreadsheets/d/1Uw7-A9f9R21vMXxHZFNpYNeKFtG8_yji4HS352LGlSQ/edit?pli=1#gid=0"",""1_ACUM!A4:S""),14,FALSE))"),"")</f>
        <v/>
      </c>
      <c r="AF663" s="43" t="str">
        <f ca="1">IFERROR(__xludf.DUMMYFUNCTION("IFERROR(VLOOKUP(E686&amp;F686,IMPORTRANGE(""https://docs.google.com/spreadsheets/d/1Uw7-A9f9R21vMXxHZFNpYNeKFtG8_yji4HS352LGlSQ/edit?pli=1#gid=0"",""1_ACUM!A4:S""),15,FALSE))"),"")</f>
        <v/>
      </c>
      <c r="AG663" s="43" t="str">
        <f ca="1">IFERROR(__xludf.DUMMYFUNCTION("IFERROR(VLOOKUP(E686&amp;F686,IMPORTRANGE(""https://docs.google.com/spreadsheets/d/1Uw7-A9f9R21vMXxHZFNpYNeKFtG8_yji4HS352LGlSQ/edit?pli=1#gid=0"",""1_ACUM!A4:S""),16,FALSE))"),"")</f>
        <v/>
      </c>
      <c r="AH663" s="43" t="str">
        <f ca="1">IFERROR(__xludf.DUMMYFUNCTION("IFERROR(VLOOKUP(E686&amp;F686,IMPORTRANGE(""https://docs.google.com/spreadsheets/d/1Uw7-A9f9R21vMXxHZFNpYNeKFtG8_yji4HS352LGlSQ/edit?pli=1#gid=0"",""1_ACUM!A4:S""),17,FALSE))"),"")</f>
        <v/>
      </c>
      <c r="AI663" s="44" t="str">
        <f ca="1">IFERROR(__xludf.DUMMYFUNCTION("IFERROR(VLOOKUP(E686&amp;F686,IMPORTRANGE(""https://docs.google.com/spreadsheets/d/1Uw7-A9f9R21vMXxHZFNpYNeKFtG8_yji4HS352LGlSQ/edit?pli=1#gid=0"",""1_ACUM!A4:S""),18,FALSE))"),"")</f>
        <v/>
      </c>
      <c r="AJ663" s="44" t="str">
        <f ca="1">IFERROR(__xludf.DUMMYFUNCTION("IFERROR(VLOOKUP(E686&amp;F686,IMPORTRANGE(""https://docs.google.com/spreadsheets/d/1Uw7-A9f9R21vMXxHZFNpYNeKFtG8_yji4HS352LGlSQ/edit?pli=1#gid=0"",""1_ACUM!A4:S""),19,FALSE))"),"")</f>
        <v/>
      </c>
      <c r="AK663" s="98" t="str">
        <f ca="1">IFERROR(__xludf.DUMMYFUNCTION("IFERROR(VLOOKUP(F686,IMPORTRANGE(""https://docs.google.com/spreadsheets/d/1Kvs4KS76FHFqLFIZfrDMff4kP08nblUkihrxltoGBjg/edit#gid=934712705"",""ESENCIAL!A6:BG""),5,FALSE))"),"")</f>
        <v/>
      </c>
      <c r="AL663" s="98" t="str">
        <f t="shared" si="41"/>
        <v/>
      </c>
      <c r="AM663" s="99" t="str">
        <f t="shared" si="42"/>
        <v/>
      </c>
      <c r="AN663" s="100" t="str">
        <f ca="1">IFERROR(__xludf.DUMMYFUNCTION("IFERROR(VLOOKUP(F686,IMPORTRANGE(""https://docs.google.com/spreadsheets/d/1Kvs4KS76FHFqLFIZfrDMff4kP08nblUkihrxltoGBjg/edit#gid=934712705"",""ESENCIAL!A6:BG""),2,FALSE))"),"")</f>
        <v/>
      </c>
      <c r="AO663" s="19" t="str">
        <f t="shared" si="33"/>
        <v/>
      </c>
      <c r="AP663" s="100"/>
      <c r="AQ663" s="100"/>
    </row>
    <row r="664" spans="1:43" ht="15">
      <c r="A664" s="5"/>
      <c r="B664" s="5"/>
      <c r="G664" s="5" t="str">
        <f ca="1">IFERROR(__xludf.DUMMYFUNCTION("IFERROR(VLOOKUP(F687,IMPORTRANGE(""https://docs.google.com/spreadsheets/d/1Kvs4KS76FHFqLFIZfrDMff4kP08nblUkihrxltoGBjg/edit#gid=934712705"",""ESENCIAL!A6:BG""),3,FALSE))"),"")</f>
        <v/>
      </c>
      <c r="H664" s="5" t="str">
        <f ca="1">IFERROR(__xludf.DUMMYFUNCTION("IFERROR(VLOOKUP(F687,IMPORTRANGE(""https://docs.google.com/spreadsheets/d/1Kvs4KS76FHFqLFIZfrDMff4kP08nblUkihrxltoGBjg/edit#gid=934712705"",""ESENCIAL!A6:BG""),8,FALSE))"),"")</f>
        <v/>
      </c>
      <c r="L664" s="40"/>
      <c r="Z664" s="41" t="str">
        <f t="shared" si="40"/>
        <v/>
      </c>
      <c r="AA664" s="5" t="str">
        <f ca="1">IFERROR(__xludf.DUMMYFUNCTION("IFERROR(VLOOKUP(E687&amp;F687,IMPORTRANGE(""https://docs.google.com/spreadsheets/d/1Uw7-A9f9R21vMXxHZFNpYNeKFtG8_yji4HS352LGlSQ/edit?pli=1#gid=0"",""1_ACUM!A4:S""),11,FALSE))"),"")</f>
        <v/>
      </c>
      <c r="AB664" s="42" t="str">
        <f ca="1">IFERROR(__xludf.DUMMYFUNCTION("IFERROR(VLOOKUP(F687,IMPORTRANGE(""https://docs.google.com/spreadsheets/d/1Kvs4KS76FHFqLFIZfrDMff4kP08nblUkihrxltoGBjg/edit#gid=934712705"",""ESENCIAL!A6:BG""),15,FALSE))"),"")</f>
        <v/>
      </c>
      <c r="AC664" s="110" t="str">
        <f ca="1">IFERROR(__xludf.DUMMYFUNCTION("IFERROR(VLOOKUP(E687&amp;F687,IMPORTRANGE(""https://docs.google.com/spreadsheets/d/1Uw7-A9f9R21vMXxHZFNpYNeKFtG8_yji4HS352LGlSQ/edit?pli=1#gid=0"",""1_ACUM!A4:S""),13,FALSE))"),"")</f>
        <v/>
      </c>
      <c r="AD664" s="43" t="str">
        <f ca="1">IFERROR(__xludf.DUMMYFUNCTION("IFERROR(VLOOKUP(E687&amp;F687,IMPORTRANGE(""https://docs.google.com/spreadsheets/d/1Uw7-A9f9R21vMXxHZFNpYNeKFtG8_yji4HS352LGlSQ/edit?pli=1#gid=0"",""1_ACUM!A4:S""),13,FALSE))"),"")</f>
        <v/>
      </c>
      <c r="AE664" s="43" t="str">
        <f ca="1">IFERROR(__xludf.DUMMYFUNCTION("IFERROR(VLOOKUP(E687&amp;F687,IMPORTRANGE(""https://docs.google.com/spreadsheets/d/1Uw7-A9f9R21vMXxHZFNpYNeKFtG8_yji4HS352LGlSQ/edit?pli=1#gid=0"",""1_ACUM!A4:S""),14,FALSE))"),"")</f>
        <v/>
      </c>
      <c r="AF664" s="43" t="str">
        <f ca="1">IFERROR(__xludf.DUMMYFUNCTION("IFERROR(VLOOKUP(E687&amp;F687,IMPORTRANGE(""https://docs.google.com/spreadsheets/d/1Uw7-A9f9R21vMXxHZFNpYNeKFtG8_yji4HS352LGlSQ/edit?pli=1#gid=0"",""1_ACUM!A4:S""),15,FALSE))"),"")</f>
        <v/>
      </c>
      <c r="AG664" s="43" t="str">
        <f ca="1">IFERROR(__xludf.DUMMYFUNCTION("IFERROR(VLOOKUP(E687&amp;F687,IMPORTRANGE(""https://docs.google.com/spreadsheets/d/1Uw7-A9f9R21vMXxHZFNpYNeKFtG8_yji4HS352LGlSQ/edit?pli=1#gid=0"",""1_ACUM!A4:S""),16,FALSE))"),"")</f>
        <v/>
      </c>
      <c r="AH664" s="43" t="str">
        <f ca="1">IFERROR(__xludf.DUMMYFUNCTION("IFERROR(VLOOKUP(E687&amp;F687,IMPORTRANGE(""https://docs.google.com/spreadsheets/d/1Uw7-A9f9R21vMXxHZFNpYNeKFtG8_yji4HS352LGlSQ/edit?pli=1#gid=0"",""1_ACUM!A4:S""),17,FALSE))"),"")</f>
        <v/>
      </c>
      <c r="AI664" s="44" t="str">
        <f ca="1">IFERROR(__xludf.DUMMYFUNCTION("IFERROR(VLOOKUP(E687&amp;F687,IMPORTRANGE(""https://docs.google.com/spreadsheets/d/1Uw7-A9f9R21vMXxHZFNpYNeKFtG8_yji4HS352LGlSQ/edit?pli=1#gid=0"",""1_ACUM!A4:S""),18,FALSE))"),"")</f>
        <v/>
      </c>
      <c r="AJ664" s="44" t="str">
        <f ca="1">IFERROR(__xludf.DUMMYFUNCTION("IFERROR(VLOOKUP(E687&amp;F687,IMPORTRANGE(""https://docs.google.com/spreadsheets/d/1Uw7-A9f9R21vMXxHZFNpYNeKFtG8_yji4HS352LGlSQ/edit?pli=1#gid=0"",""1_ACUM!A4:S""),19,FALSE))"),"")</f>
        <v/>
      </c>
      <c r="AK664" s="98" t="str">
        <f ca="1">IFERROR(__xludf.DUMMYFUNCTION("IFERROR(VLOOKUP(F687,IMPORTRANGE(""https://docs.google.com/spreadsheets/d/1Kvs4KS76FHFqLFIZfrDMff4kP08nblUkihrxltoGBjg/edit#gid=934712705"",""ESENCIAL!A6:BG""),5,FALSE))"),"")</f>
        <v/>
      </c>
      <c r="AL664" s="98" t="str">
        <f t="shared" si="41"/>
        <v/>
      </c>
      <c r="AM664" s="99" t="str">
        <f t="shared" si="42"/>
        <v/>
      </c>
      <c r="AN664" s="100" t="str">
        <f ca="1">IFERROR(__xludf.DUMMYFUNCTION("IFERROR(VLOOKUP(F687,IMPORTRANGE(""https://docs.google.com/spreadsheets/d/1Kvs4KS76FHFqLFIZfrDMff4kP08nblUkihrxltoGBjg/edit#gid=934712705"",""ESENCIAL!A6:BG""),2,FALSE))"),"")</f>
        <v/>
      </c>
      <c r="AO664" s="19" t="str">
        <f t="shared" si="33"/>
        <v/>
      </c>
      <c r="AP664" s="100"/>
      <c r="AQ664" s="100"/>
    </row>
    <row r="665" spans="1:43" ht="15">
      <c r="A665" s="5"/>
      <c r="B665" s="5"/>
      <c r="G665" s="5" t="str">
        <f ca="1">IFERROR(__xludf.DUMMYFUNCTION("IFERROR(VLOOKUP(F688,IMPORTRANGE(""https://docs.google.com/spreadsheets/d/1Kvs4KS76FHFqLFIZfrDMff4kP08nblUkihrxltoGBjg/edit#gid=934712705"",""ESENCIAL!A6:BG""),3,FALSE))"),"")</f>
        <v/>
      </c>
      <c r="H665" s="5" t="str">
        <f ca="1">IFERROR(__xludf.DUMMYFUNCTION("IFERROR(VLOOKUP(F688,IMPORTRANGE(""https://docs.google.com/spreadsheets/d/1Kvs4KS76FHFqLFIZfrDMff4kP08nblUkihrxltoGBjg/edit#gid=934712705"",""ESENCIAL!A6:BG""),8,FALSE))"),"")</f>
        <v/>
      </c>
      <c r="L665" s="40"/>
      <c r="Z665" s="41" t="str">
        <f t="shared" si="40"/>
        <v/>
      </c>
      <c r="AA665" s="5" t="str">
        <f ca="1">IFERROR(__xludf.DUMMYFUNCTION("IFERROR(VLOOKUP(E688&amp;F688,IMPORTRANGE(""https://docs.google.com/spreadsheets/d/1Uw7-A9f9R21vMXxHZFNpYNeKFtG8_yji4HS352LGlSQ/edit?pli=1#gid=0"",""1_ACUM!A4:S""),11,FALSE))"),"")</f>
        <v/>
      </c>
      <c r="AB665" s="42" t="str">
        <f ca="1">IFERROR(__xludf.DUMMYFUNCTION("IFERROR(VLOOKUP(F688,IMPORTRANGE(""https://docs.google.com/spreadsheets/d/1Kvs4KS76FHFqLFIZfrDMff4kP08nblUkihrxltoGBjg/edit#gid=934712705"",""ESENCIAL!A6:BG""),15,FALSE))"),"")</f>
        <v/>
      </c>
      <c r="AC665" s="110" t="str">
        <f ca="1">IFERROR(__xludf.DUMMYFUNCTION("IFERROR(VLOOKUP(E688&amp;F688,IMPORTRANGE(""https://docs.google.com/spreadsheets/d/1Uw7-A9f9R21vMXxHZFNpYNeKFtG8_yji4HS352LGlSQ/edit?pli=1#gid=0"",""1_ACUM!A4:S""),13,FALSE))"),"")</f>
        <v/>
      </c>
      <c r="AD665" s="43" t="str">
        <f ca="1">IFERROR(__xludf.DUMMYFUNCTION("IFERROR(VLOOKUP(E688&amp;F688,IMPORTRANGE(""https://docs.google.com/spreadsheets/d/1Uw7-A9f9R21vMXxHZFNpYNeKFtG8_yji4HS352LGlSQ/edit?pli=1#gid=0"",""1_ACUM!A4:S""),13,FALSE))"),"")</f>
        <v/>
      </c>
      <c r="AE665" s="43" t="str">
        <f ca="1">IFERROR(__xludf.DUMMYFUNCTION("IFERROR(VLOOKUP(E688&amp;F688,IMPORTRANGE(""https://docs.google.com/spreadsheets/d/1Uw7-A9f9R21vMXxHZFNpYNeKFtG8_yji4HS352LGlSQ/edit?pli=1#gid=0"",""1_ACUM!A4:S""),14,FALSE))"),"")</f>
        <v/>
      </c>
      <c r="AF665" s="43" t="str">
        <f ca="1">IFERROR(__xludf.DUMMYFUNCTION("IFERROR(VLOOKUP(E688&amp;F688,IMPORTRANGE(""https://docs.google.com/spreadsheets/d/1Uw7-A9f9R21vMXxHZFNpYNeKFtG8_yji4HS352LGlSQ/edit?pli=1#gid=0"",""1_ACUM!A4:S""),15,FALSE))"),"")</f>
        <v/>
      </c>
      <c r="AG665" s="43" t="str">
        <f ca="1">IFERROR(__xludf.DUMMYFUNCTION("IFERROR(VLOOKUP(E688&amp;F688,IMPORTRANGE(""https://docs.google.com/spreadsheets/d/1Uw7-A9f9R21vMXxHZFNpYNeKFtG8_yji4HS352LGlSQ/edit?pli=1#gid=0"",""1_ACUM!A4:S""),16,FALSE))"),"")</f>
        <v/>
      </c>
      <c r="AH665" s="43" t="str">
        <f ca="1">IFERROR(__xludf.DUMMYFUNCTION("IFERROR(VLOOKUP(E688&amp;F688,IMPORTRANGE(""https://docs.google.com/spreadsheets/d/1Uw7-A9f9R21vMXxHZFNpYNeKFtG8_yji4HS352LGlSQ/edit?pli=1#gid=0"",""1_ACUM!A4:S""),17,FALSE))"),"")</f>
        <v/>
      </c>
      <c r="AI665" s="44" t="str">
        <f ca="1">IFERROR(__xludf.DUMMYFUNCTION("IFERROR(VLOOKUP(E688&amp;F688,IMPORTRANGE(""https://docs.google.com/spreadsheets/d/1Uw7-A9f9R21vMXxHZFNpYNeKFtG8_yji4HS352LGlSQ/edit?pli=1#gid=0"",""1_ACUM!A4:S""),18,FALSE))"),"")</f>
        <v/>
      </c>
      <c r="AJ665" s="44" t="str">
        <f ca="1">IFERROR(__xludf.DUMMYFUNCTION("IFERROR(VLOOKUP(E688&amp;F688,IMPORTRANGE(""https://docs.google.com/spreadsheets/d/1Uw7-A9f9R21vMXxHZFNpYNeKFtG8_yji4HS352LGlSQ/edit?pli=1#gid=0"",""1_ACUM!A4:S""),19,FALSE))"),"")</f>
        <v/>
      </c>
      <c r="AK665" s="98" t="str">
        <f ca="1">IFERROR(__xludf.DUMMYFUNCTION("IFERROR(VLOOKUP(F688,IMPORTRANGE(""https://docs.google.com/spreadsheets/d/1Kvs4KS76FHFqLFIZfrDMff4kP08nblUkihrxltoGBjg/edit#gid=934712705"",""ESENCIAL!A6:BG""),5,FALSE))"),"")</f>
        <v/>
      </c>
      <c r="AL665" s="98" t="str">
        <f t="shared" si="41"/>
        <v/>
      </c>
      <c r="AM665" s="99" t="str">
        <f t="shared" si="42"/>
        <v/>
      </c>
      <c r="AN665" s="100" t="str">
        <f ca="1">IFERROR(__xludf.DUMMYFUNCTION("IFERROR(VLOOKUP(F688,IMPORTRANGE(""https://docs.google.com/spreadsheets/d/1Kvs4KS76FHFqLFIZfrDMff4kP08nblUkihrxltoGBjg/edit#gid=934712705"",""ESENCIAL!A6:BG""),2,FALSE))"),"")</f>
        <v/>
      </c>
      <c r="AO665" s="19" t="str">
        <f t="shared" si="33"/>
        <v/>
      </c>
      <c r="AP665" s="100"/>
      <c r="AQ665" s="100"/>
    </row>
    <row r="666" spans="1:43" ht="15">
      <c r="A666" s="5"/>
      <c r="B666" s="5"/>
      <c r="G666" s="5" t="str">
        <f ca="1">IFERROR(__xludf.DUMMYFUNCTION("IFERROR(VLOOKUP(F689,IMPORTRANGE(""https://docs.google.com/spreadsheets/d/1Kvs4KS76FHFqLFIZfrDMff4kP08nblUkihrxltoGBjg/edit#gid=934712705"",""ESENCIAL!A6:BG""),3,FALSE))"),"")</f>
        <v/>
      </c>
      <c r="H666" s="5" t="str">
        <f ca="1">IFERROR(__xludf.DUMMYFUNCTION("IFERROR(VLOOKUP(F689,IMPORTRANGE(""https://docs.google.com/spreadsheets/d/1Kvs4KS76FHFqLFIZfrDMff4kP08nblUkihrxltoGBjg/edit#gid=934712705"",""ESENCIAL!A6:BG""),8,FALSE))"),"")</f>
        <v/>
      </c>
      <c r="L666" s="40"/>
      <c r="Z666" s="41" t="str">
        <f t="shared" si="40"/>
        <v/>
      </c>
      <c r="AA666" s="5" t="str">
        <f ca="1">IFERROR(__xludf.DUMMYFUNCTION("IFERROR(VLOOKUP(E689&amp;F689,IMPORTRANGE(""https://docs.google.com/spreadsheets/d/1Uw7-A9f9R21vMXxHZFNpYNeKFtG8_yji4HS352LGlSQ/edit?pli=1#gid=0"",""1_ACUM!A4:S""),11,FALSE))"),"")</f>
        <v/>
      </c>
      <c r="AB666" s="42" t="str">
        <f ca="1">IFERROR(__xludf.DUMMYFUNCTION("IFERROR(VLOOKUP(F689,IMPORTRANGE(""https://docs.google.com/spreadsheets/d/1Kvs4KS76FHFqLFIZfrDMff4kP08nblUkihrxltoGBjg/edit#gid=934712705"",""ESENCIAL!A6:BG""),15,FALSE))"),"")</f>
        <v/>
      </c>
      <c r="AC666" s="110" t="str">
        <f ca="1">IFERROR(__xludf.DUMMYFUNCTION("IFERROR(VLOOKUP(E689&amp;F689,IMPORTRANGE(""https://docs.google.com/spreadsheets/d/1Uw7-A9f9R21vMXxHZFNpYNeKFtG8_yji4HS352LGlSQ/edit?pli=1#gid=0"",""1_ACUM!A4:S""),13,FALSE))"),"")</f>
        <v/>
      </c>
      <c r="AD666" s="43" t="str">
        <f ca="1">IFERROR(__xludf.DUMMYFUNCTION("IFERROR(VLOOKUP(E689&amp;F689,IMPORTRANGE(""https://docs.google.com/spreadsheets/d/1Uw7-A9f9R21vMXxHZFNpYNeKFtG8_yji4HS352LGlSQ/edit?pli=1#gid=0"",""1_ACUM!A4:S""),13,FALSE))"),"")</f>
        <v/>
      </c>
      <c r="AE666" s="43" t="str">
        <f ca="1">IFERROR(__xludf.DUMMYFUNCTION("IFERROR(VLOOKUP(E689&amp;F689,IMPORTRANGE(""https://docs.google.com/spreadsheets/d/1Uw7-A9f9R21vMXxHZFNpYNeKFtG8_yji4HS352LGlSQ/edit?pli=1#gid=0"",""1_ACUM!A4:S""),14,FALSE))"),"")</f>
        <v/>
      </c>
      <c r="AF666" s="43" t="str">
        <f ca="1">IFERROR(__xludf.DUMMYFUNCTION("IFERROR(VLOOKUP(E689&amp;F689,IMPORTRANGE(""https://docs.google.com/spreadsheets/d/1Uw7-A9f9R21vMXxHZFNpYNeKFtG8_yji4HS352LGlSQ/edit?pli=1#gid=0"",""1_ACUM!A4:S""),15,FALSE))"),"")</f>
        <v/>
      </c>
      <c r="AG666" s="43" t="str">
        <f ca="1">IFERROR(__xludf.DUMMYFUNCTION("IFERROR(VLOOKUP(E689&amp;F689,IMPORTRANGE(""https://docs.google.com/spreadsheets/d/1Uw7-A9f9R21vMXxHZFNpYNeKFtG8_yji4HS352LGlSQ/edit?pli=1#gid=0"",""1_ACUM!A4:S""),16,FALSE))"),"")</f>
        <v/>
      </c>
      <c r="AH666" s="43" t="str">
        <f ca="1">IFERROR(__xludf.DUMMYFUNCTION("IFERROR(VLOOKUP(E689&amp;F689,IMPORTRANGE(""https://docs.google.com/spreadsheets/d/1Uw7-A9f9R21vMXxHZFNpYNeKFtG8_yji4HS352LGlSQ/edit?pli=1#gid=0"",""1_ACUM!A4:S""),17,FALSE))"),"")</f>
        <v/>
      </c>
      <c r="AI666" s="44" t="str">
        <f ca="1">IFERROR(__xludf.DUMMYFUNCTION("IFERROR(VLOOKUP(E689&amp;F689,IMPORTRANGE(""https://docs.google.com/spreadsheets/d/1Uw7-A9f9R21vMXxHZFNpYNeKFtG8_yji4HS352LGlSQ/edit?pli=1#gid=0"",""1_ACUM!A4:S""),18,FALSE))"),"")</f>
        <v/>
      </c>
      <c r="AJ666" s="44" t="str">
        <f ca="1">IFERROR(__xludf.DUMMYFUNCTION("IFERROR(VLOOKUP(E689&amp;F689,IMPORTRANGE(""https://docs.google.com/spreadsheets/d/1Uw7-A9f9R21vMXxHZFNpYNeKFtG8_yji4HS352LGlSQ/edit?pli=1#gid=0"",""1_ACUM!A4:S""),19,FALSE))"),"")</f>
        <v/>
      </c>
      <c r="AK666" s="98" t="str">
        <f ca="1">IFERROR(__xludf.DUMMYFUNCTION("IFERROR(VLOOKUP(F689,IMPORTRANGE(""https://docs.google.com/spreadsheets/d/1Kvs4KS76FHFqLFIZfrDMff4kP08nblUkihrxltoGBjg/edit#gid=934712705"",""ESENCIAL!A6:BG""),5,FALSE))"),"")</f>
        <v/>
      </c>
      <c r="AL666" s="98" t="str">
        <f t="shared" si="41"/>
        <v/>
      </c>
      <c r="AM666" s="99" t="str">
        <f t="shared" si="42"/>
        <v/>
      </c>
      <c r="AN666" s="100" t="str">
        <f ca="1">IFERROR(__xludf.DUMMYFUNCTION("IFERROR(VLOOKUP(F689,IMPORTRANGE(""https://docs.google.com/spreadsheets/d/1Kvs4KS76FHFqLFIZfrDMff4kP08nblUkihrxltoGBjg/edit#gid=934712705"",""ESENCIAL!A6:BG""),2,FALSE))"),"")</f>
        <v/>
      </c>
      <c r="AO666" s="19" t="str">
        <f t="shared" si="33"/>
        <v/>
      </c>
      <c r="AP666" s="100"/>
      <c r="AQ666" s="100"/>
    </row>
    <row r="667" spans="1:43" ht="15">
      <c r="A667" s="5"/>
      <c r="B667" s="5"/>
      <c r="G667" s="5" t="str">
        <f ca="1">IFERROR(__xludf.DUMMYFUNCTION("IFERROR(VLOOKUP(F690,IMPORTRANGE(""https://docs.google.com/spreadsheets/d/1Kvs4KS76FHFqLFIZfrDMff4kP08nblUkihrxltoGBjg/edit#gid=934712705"",""ESENCIAL!A6:BG""),3,FALSE))"),"")</f>
        <v/>
      </c>
      <c r="H667" s="5" t="str">
        <f ca="1">IFERROR(__xludf.DUMMYFUNCTION("IFERROR(VLOOKUP(F690,IMPORTRANGE(""https://docs.google.com/spreadsheets/d/1Kvs4KS76FHFqLFIZfrDMff4kP08nblUkihrxltoGBjg/edit#gid=934712705"",""ESENCIAL!A6:BG""),8,FALSE))"),"")</f>
        <v/>
      </c>
      <c r="L667" s="40"/>
      <c r="Z667" s="41" t="str">
        <f t="shared" si="40"/>
        <v/>
      </c>
      <c r="AA667" s="5" t="str">
        <f ca="1">IFERROR(__xludf.DUMMYFUNCTION("IFERROR(VLOOKUP(E690&amp;F690,IMPORTRANGE(""https://docs.google.com/spreadsheets/d/1Uw7-A9f9R21vMXxHZFNpYNeKFtG8_yji4HS352LGlSQ/edit?pli=1#gid=0"",""1_ACUM!A4:S""),11,FALSE))"),"")</f>
        <v/>
      </c>
      <c r="AB667" s="42" t="str">
        <f ca="1">IFERROR(__xludf.DUMMYFUNCTION("IFERROR(VLOOKUP(F690,IMPORTRANGE(""https://docs.google.com/spreadsheets/d/1Kvs4KS76FHFqLFIZfrDMff4kP08nblUkihrxltoGBjg/edit#gid=934712705"",""ESENCIAL!A6:BG""),15,FALSE))"),"")</f>
        <v/>
      </c>
      <c r="AC667" s="110" t="str">
        <f ca="1">IFERROR(__xludf.DUMMYFUNCTION("IFERROR(VLOOKUP(E690&amp;F690,IMPORTRANGE(""https://docs.google.com/spreadsheets/d/1Uw7-A9f9R21vMXxHZFNpYNeKFtG8_yji4HS352LGlSQ/edit?pli=1#gid=0"",""1_ACUM!A4:S""),13,FALSE))"),"")</f>
        <v/>
      </c>
      <c r="AD667" s="43" t="str">
        <f ca="1">IFERROR(__xludf.DUMMYFUNCTION("IFERROR(VLOOKUP(E690&amp;F690,IMPORTRANGE(""https://docs.google.com/spreadsheets/d/1Uw7-A9f9R21vMXxHZFNpYNeKFtG8_yji4HS352LGlSQ/edit?pli=1#gid=0"",""1_ACUM!A4:S""),13,FALSE))"),"")</f>
        <v/>
      </c>
      <c r="AE667" s="43" t="str">
        <f ca="1">IFERROR(__xludf.DUMMYFUNCTION("IFERROR(VLOOKUP(E690&amp;F690,IMPORTRANGE(""https://docs.google.com/spreadsheets/d/1Uw7-A9f9R21vMXxHZFNpYNeKFtG8_yji4HS352LGlSQ/edit?pli=1#gid=0"",""1_ACUM!A4:S""),14,FALSE))"),"")</f>
        <v/>
      </c>
      <c r="AF667" s="43" t="str">
        <f ca="1">IFERROR(__xludf.DUMMYFUNCTION("IFERROR(VLOOKUP(E690&amp;F690,IMPORTRANGE(""https://docs.google.com/spreadsheets/d/1Uw7-A9f9R21vMXxHZFNpYNeKFtG8_yji4HS352LGlSQ/edit?pli=1#gid=0"",""1_ACUM!A4:S""),15,FALSE))"),"")</f>
        <v/>
      </c>
      <c r="AG667" s="43" t="str">
        <f ca="1">IFERROR(__xludf.DUMMYFUNCTION("IFERROR(VLOOKUP(E690&amp;F690,IMPORTRANGE(""https://docs.google.com/spreadsheets/d/1Uw7-A9f9R21vMXxHZFNpYNeKFtG8_yji4HS352LGlSQ/edit?pli=1#gid=0"",""1_ACUM!A4:S""),16,FALSE))"),"")</f>
        <v/>
      </c>
      <c r="AH667" s="43" t="str">
        <f ca="1">IFERROR(__xludf.DUMMYFUNCTION("IFERROR(VLOOKUP(E690&amp;F690,IMPORTRANGE(""https://docs.google.com/spreadsheets/d/1Uw7-A9f9R21vMXxHZFNpYNeKFtG8_yji4HS352LGlSQ/edit?pli=1#gid=0"",""1_ACUM!A4:S""),17,FALSE))"),"")</f>
        <v/>
      </c>
      <c r="AI667" s="44" t="str">
        <f ca="1">IFERROR(__xludf.DUMMYFUNCTION("IFERROR(VLOOKUP(E690&amp;F690,IMPORTRANGE(""https://docs.google.com/spreadsheets/d/1Uw7-A9f9R21vMXxHZFNpYNeKFtG8_yji4HS352LGlSQ/edit?pli=1#gid=0"",""1_ACUM!A4:S""),18,FALSE))"),"")</f>
        <v/>
      </c>
      <c r="AJ667" s="44" t="str">
        <f ca="1">IFERROR(__xludf.DUMMYFUNCTION("IFERROR(VLOOKUP(E690&amp;F690,IMPORTRANGE(""https://docs.google.com/spreadsheets/d/1Uw7-A9f9R21vMXxHZFNpYNeKFtG8_yji4HS352LGlSQ/edit?pli=1#gid=0"",""1_ACUM!A4:S""),19,FALSE))"),"")</f>
        <v/>
      </c>
      <c r="AK667" s="98" t="str">
        <f ca="1">IFERROR(__xludf.DUMMYFUNCTION("IFERROR(VLOOKUP(F690,IMPORTRANGE(""https://docs.google.com/spreadsheets/d/1Kvs4KS76FHFqLFIZfrDMff4kP08nblUkihrxltoGBjg/edit#gid=934712705"",""ESENCIAL!A6:BG""),5,FALSE))"),"")</f>
        <v/>
      </c>
      <c r="AL667" s="98" t="str">
        <f t="shared" si="41"/>
        <v/>
      </c>
      <c r="AM667" s="99" t="str">
        <f t="shared" si="42"/>
        <v/>
      </c>
      <c r="AN667" s="100" t="str">
        <f ca="1">IFERROR(__xludf.DUMMYFUNCTION("IFERROR(VLOOKUP(F690,IMPORTRANGE(""https://docs.google.com/spreadsheets/d/1Kvs4KS76FHFqLFIZfrDMff4kP08nblUkihrxltoGBjg/edit#gid=934712705"",""ESENCIAL!A6:BG""),2,FALSE))"),"")</f>
        <v/>
      </c>
      <c r="AO667" s="19" t="str">
        <f t="shared" si="33"/>
        <v/>
      </c>
      <c r="AP667" s="100"/>
      <c r="AQ667" s="100"/>
    </row>
    <row r="668" spans="1:43" ht="15">
      <c r="A668" s="5"/>
      <c r="B668" s="5"/>
      <c r="G668" s="5" t="str">
        <f ca="1">IFERROR(__xludf.DUMMYFUNCTION("IFERROR(VLOOKUP(F691,IMPORTRANGE(""https://docs.google.com/spreadsheets/d/1Kvs4KS76FHFqLFIZfrDMff4kP08nblUkihrxltoGBjg/edit#gid=934712705"",""ESENCIAL!A6:BG""),3,FALSE))"),"")</f>
        <v/>
      </c>
      <c r="H668" s="5" t="str">
        <f ca="1">IFERROR(__xludf.DUMMYFUNCTION("IFERROR(VLOOKUP(F691,IMPORTRANGE(""https://docs.google.com/spreadsheets/d/1Kvs4KS76FHFqLFIZfrDMff4kP08nblUkihrxltoGBjg/edit#gid=934712705"",""ESENCIAL!A6:BG""),8,FALSE))"),"")</f>
        <v/>
      </c>
      <c r="L668" s="40"/>
      <c r="Z668" s="41" t="str">
        <f t="shared" si="40"/>
        <v/>
      </c>
      <c r="AA668" s="5" t="str">
        <f ca="1">IFERROR(__xludf.DUMMYFUNCTION("IFERROR(VLOOKUP(E691&amp;F691,IMPORTRANGE(""https://docs.google.com/spreadsheets/d/1Uw7-A9f9R21vMXxHZFNpYNeKFtG8_yji4HS352LGlSQ/edit?pli=1#gid=0"",""1_ACUM!A4:S""),11,FALSE))"),"")</f>
        <v/>
      </c>
      <c r="AB668" s="42" t="str">
        <f ca="1">IFERROR(__xludf.DUMMYFUNCTION("IFERROR(VLOOKUP(F691,IMPORTRANGE(""https://docs.google.com/spreadsheets/d/1Kvs4KS76FHFqLFIZfrDMff4kP08nblUkihrxltoGBjg/edit#gid=934712705"",""ESENCIAL!A6:BG""),15,FALSE))"),"")</f>
        <v/>
      </c>
      <c r="AC668" s="110" t="str">
        <f ca="1">IFERROR(__xludf.DUMMYFUNCTION("IFERROR(VLOOKUP(E691&amp;F691,IMPORTRANGE(""https://docs.google.com/spreadsheets/d/1Uw7-A9f9R21vMXxHZFNpYNeKFtG8_yji4HS352LGlSQ/edit?pli=1#gid=0"",""1_ACUM!A4:S""),13,FALSE))"),"")</f>
        <v/>
      </c>
      <c r="AD668" s="43" t="str">
        <f ca="1">IFERROR(__xludf.DUMMYFUNCTION("IFERROR(VLOOKUP(E691&amp;F691,IMPORTRANGE(""https://docs.google.com/spreadsheets/d/1Uw7-A9f9R21vMXxHZFNpYNeKFtG8_yji4HS352LGlSQ/edit?pli=1#gid=0"",""1_ACUM!A4:S""),13,FALSE))"),"")</f>
        <v/>
      </c>
      <c r="AE668" s="43" t="str">
        <f ca="1">IFERROR(__xludf.DUMMYFUNCTION("IFERROR(VLOOKUP(E691&amp;F691,IMPORTRANGE(""https://docs.google.com/spreadsheets/d/1Uw7-A9f9R21vMXxHZFNpYNeKFtG8_yji4HS352LGlSQ/edit?pli=1#gid=0"",""1_ACUM!A4:S""),14,FALSE))"),"")</f>
        <v/>
      </c>
      <c r="AF668" s="43" t="str">
        <f ca="1">IFERROR(__xludf.DUMMYFUNCTION("IFERROR(VLOOKUP(E691&amp;F691,IMPORTRANGE(""https://docs.google.com/spreadsheets/d/1Uw7-A9f9R21vMXxHZFNpYNeKFtG8_yji4HS352LGlSQ/edit?pli=1#gid=0"",""1_ACUM!A4:S""),15,FALSE))"),"")</f>
        <v/>
      </c>
      <c r="AG668" s="43" t="str">
        <f ca="1">IFERROR(__xludf.DUMMYFUNCTION("IFERROR(VLOOKUP(E691&amp;F691,IMPORTRANGE(""https://docs.google.com/spreadsheets/d/1Uw7-A9f9R21vMXxHZFNpYNeKFtG8_yji4HS352LGlSQ/edit?pli=1#gid=0"",""1_ACUM!A4:S""),16,FALSE))"),"")</f>
        <v/>
      </c>
      <c r="AH668" s="43" t="str">
        <f ca="1">IFERROR(__xludf.DUMMYFUNCTION("IFERROR(VLOOKUP(E691&amp;F691,IMPORTRANGE(""https://docs.google.com/spreadsheets/d/1Uw7-A9f9R21vMXxHZFNpYNeKFtG8_yji4HS352LGlSQ/edit?pli=1#gid=0"",""1_ACUM!A4:S""),17,FALSE))"),"")</f>
        <v/>
      </c>
      <c r="AI668" s="44" t="str">
        <f ca="1">IFERROR(__xludf.DUMMYFUNCTION("IFERROR(VLOOKUP(E691&amp;F691,IMPORTRANGE(""https://docs.google.com/spreadsheets/d/1Uw7-A9f9R21vMXxHZFNpYNeKFtG8_yji4HS352LGlSQ/edit?pli=1#gid=0"",""1_ACUM!A4:S""),18,FALSE))"),"")</f>
        <v/>
      </c>
      <c r="AJ668" s="44" t="str">
        <f ca="1">IFERROR(__xludf.DUMMYFUNCTION("IFERROR(VLOOKUP(E691&amp;F691,IMPORTRANGE(""https://docs.google.com/spreadsheets/d/1Uw7-A9f9R21vMXxHZFNpYNeKFtG8_yji4HS352LGlSQ/edit?pli=1#gid=0"",""1_ACUM!A4:S""),19,FALSE))"),"")</f>
        <v/>
      </c>
      <c r="AK668" s="98" t="str">
        <f ca="1">IFERROR(__xludf.DUMMYFUNCTION("IFERROR(VLOOKUP(F691,IMPORTRANGE(""https://docs.google.com/spreadsheets/d/1Kvs4KS76FHFqLFIZfrDMff4kP08nblUkihrxltoGBjg/edit#gid=934712705"",""ESENCIAL!A6:BG""),5,FALSE))"),"")</f>
        <v/>
      </c>
      <c r="AL668" s="98" t="str">
        <f t="shared" si="41"/>
        <v/>
      </c>
      <c r="AM668" s="99" t="str">
        <f t="shared" si="42"/>
        <v/>
      </c>
      <c r="AN668" s="100" t="str">
        <f ca="1">IFERROR(__xludf.DUMMYFUNCTION("IFERROR(VLOOKUP(F691,IMPORTRANGE(""https://docs.google.com/spreadsheets/d/1Kvs4KS76FHFqLFIZfrDMff4kP08nblUkihrxltoGBjg/edit#gid=934712705"",""ESENCIAL!A6:BG""),2,FALSE))"),"")</f>
        <v/>
      </c>
      <c r="AO668" s="19" t="str">
        <f t="shared" si="33"/>
        <v/>
      </c>
      <c r="AP668" s="100"/>
      <c r="AQ668" s="100"/>
    </row>
    <row r="669" spans="1:43" ht="15">
      <c r="A669" s="5"/>
      <c r="B669" s="5"/>
      <c r="G669" s="5" t="str">
        <f ca="1">IFERROR(__xludf.DUMMYFUNCTION("IFERROR(VLOOKUP(F692,IMPORTRANGE(""https://docs.google.com/spreadsheets/d/1Kvs4KS76FHFqLFIZfrDMff4kP08nblUkihrxltoGBjg/edit#gid=934712705"",""ESENCIAL!A6:BG""),3,FALSE))"),"")</f>
        <v/>
      </c>
      <c r="H669" s="5" t="str">
        <f ca="1">IFERROR(__xludf.DUMMYFUNCTION("IFERROR(VLOOKUP(F692,IMPORTRANGE(""https://docs.google.com/spreadsheets/d/1Kvs4KS76FHFqLFIZfrDMff4kP08nblUkihrxltoGBjg/edit#gid=934712705"",""ESENCIAL!A6:BG""),8,FALSE))"),"")</f>
        <v/>
      </c>
      <c r="L669" s="40"/>
      <c r="Z669" s="41" t="str">
        <f t="shared" si="40"/>
        <v/>
      </c>
      <c r="AA669" s="5" t="str">
        <f ca="1">IFERROR(__xludf.DUMMYFUNCTION("IFERROR(VLOOKUP(E692&amp;F692,IMPORTRANGE(""https://docs.google.com/spreadsheets/d/1Uw7-A9f9R21vMXxHZFNpYNeKFtG8_yji4HS352LGlSQ/edit?pli=1#gid=0"",""1_ACUM!A4:S""),11,FALSE))"),"")</f>
        <v/>
      </c>
      <c r="AB669" s="42" t="str">
        <f ca="1">IFERROR(__xludf.DUMMYFUNCTION("IFERROR(VLOOKUP(F692,IMPORTRANGE(""https://docs.google.com/spreadsheets/d/1Kvs4KS76FHFqLFIZfrDMff4kP08nblUkihrxltoGBjg/edit#gid=934712705"",""ESENCIAL!A6:BG""),15,FALSE))"),"")</f>
        <v/>
      </c>
      <c r="AC669" s="110" t="str">
        <f ca="1">IFERROR(__xludf.DUMMYFUNCTION("IFERROR(VLOOKUP(E692&amp;F692,IMPORTRANGE(""https://docs.google.com/spreadsheets/d/1Uw7-A9f9R21vMXxHZFNpYNeKFtG8_yji4HS352LGlSQ/edit?pli=1#gid=0"",""1_ACUM!A4:S""),13,FALSE))"),"")</f>
        <v/>
      </c>
      <c r="AD669" s="43" t="str">
        <f ca="1">IFERROR(__xludf.DUMMYFUNCTION("IFERROR(VLOOKUP(E692&amp;F692,IMPORTRANGE(""https://docs.google.com/spreadsheets/d/1Uw7-A9f9R21vMXxHZFNpYNeKFtG8_yji4HS352LGlSQ/edit?pli=1#gid=0"",""1_ACUM!A4:S""),13,FALSE))"),"")</f>
        <v/>
      </c>
      <c r="AE669" s="43" t="str">
        <f ca="1">IFERROR(__xludf.DUMMYFUNCTION("IFERROR(VLOOKUP(E692&amp;F692,IMPORTRANGE(""https://docs.google.com/spreadsheets/d/1Uw7-A9f9R21vMXxHZFNpYNeKFtG8_yji4HS352LGlSQ/edit?pli=1#gid=0"",""1_ACUM!A4:S""),14,FALSE))"),"")</f>
        <v/>
      </c>
      <c r="AF669" s="43" t="str">
        <f ca="1">IFERROR(__xludf.DUMMYFUNCTION("IFERROR(VLOOKUP(E692&amp;F692,IMPORTRANGE(""https://docs.google.com/spreadsheets/d/1Uw7-A9f9R21vMXxHZFNpYNeKFtG8_yji4HS352LGlSQ/edit?pli=1#gid=0"",""1_ACUM!A4:S""),15,FALSE))"),"")</f>
        <v/>
      </c>
      <c r="AG669" s="43" t="str">
        <f ca="1">IFERROR(__xludf.DUMMYFUNCTION("IFERROR(VLOOKUP(E692&amp;F692,IMPORTRANGE(""https://docs.google.com/spreadsheets/d/1Uw7-A9f9R21vMXxHZFNpYNeKFtG8_yji4HS352LGlSQ/edit?pli=1#gid=0"",""1_ACUM!A4:S""),16,FALSE))"),"")</f>
        <v/>
      </c>
      <c r="AH669" s="43" t="str">
        <f ca="1">IFERROR(__xludf.DUMMYFUNCTION("IFERROR(VLOOKUP(E692&amp;F692,IMPORTRANGE(""https://docs.google.com/spreadsheets/d/1Uw7-A9f9R21vMXxHZFNpYNeKFtG8_yji4HS352LGlSQ/edit?pli=1#gid=0"",""1_ACUM!A4:S""),17,FALSE))"),"")</f>
        <v/>
      </c>
      <c r="AI669" s="44" t="str">
        <f ca="1">IFERROR(__xludf.DUMMYFUNCTION("IFERROR(VLOOKUP(E692&amp;F692,IMPORTRANGE(""https://docs.google.com/spreadsheets/d/1Uw7-A9f9R21vMXxHZFNpYNeKFtG8_yji4HS352LGlSQ/edit?pli=1#gid=0"",""1_ACUM!A4:S""),18,FALSE))"),"")</f>
        <v/>
      </c>
      <c r="AJ669" s="44" t="str">
        <f ca="1">IFERROR(__xludf.DUMMYFUNCTION("IFERROR(VLOOKUP(E692&amp;F692,IMPORTRANGE(""https://docs.google.com/spreadsheets/d/1Uw7-A9f9R21vMXxHZFNpYNeKFtG8_yji4HS352LGlSQ/edit?pli=1#gid=0"",""1_ACUM!A4:S""),19,FALSE))"),"")</f>
        <v/>
      </c>
      <c r="AK669" s="98" t="str">
        <f ca="1">IFERROR(__xludf.DUMMYFUNCTION("IFERROR(VLOOKUP(F692,IMPORTRANGE(""https://docs.google.com/spreadsheets/d/1Kvs4KS76FHFqLFIZfrDMff4kP08nblUkihrxltoGBjg/edit#gid=934712705"",""ESENCIAL!A6:BG""),5,FALSE))"),"")</f>
        <v/>
      </c>
      <c r="AL669" s="98" t="str">
        <f t="shared" si="41"/>
        <v/>
      </c>
      <c r="AM669" s="99" t="str">
        <f t="shared" si="42"/>
        <v/>
      </c>
      <c r="AN669" s="100" t="str">
        <f ca="1">IFERROR(__xludf.DUMMYFUNCTION("IFERROR(VLOOKUP(F692,IMPORTRANGE(""https://docs.google.com/spreadsheets/d/1Kvs4KS76FHFqLFIZfrDMff4kP08nblUkihrxltoGBjg/edit#gid=934712705"",""ESENCIAL!A6:BG""),2,FALSE))"),"")</f>
        <v/>
      </c>
      <c r="AO669" s="19" t="str">
        <f t="shared" si="33"/>
        <v/>
      </c>
      <c r="AP669" s="100"/>
      <c r="AQ669" s="100"/>
    </row>
    <row r="670" spans="1:43" ht="15">
      <c r="A670" s="5"/>
      <c r="B670" s="5"/>
      <c r="G670" s="5" t="str">
        <f ca="1">IFERROR(__xludf.DUMMYFUNCTION("IFERROR(VLOOKUP(F693,IMPORTRANGE(""https://docs.google.com/spreadsheets/d/1Kvs4KS76FHFqLFIZfrDMff4kP08nblUkihrxltoGBjg/edit#gid=934712705"",""ESENCIAL!A6:BG""),3,FALSE))"),"")</f>
        <v/>
      </c>
      <c r="H670" s="5" t="str">
        <f ca="1">IFERROR(__xludf.DUMMYFUNCTION("IFERROR(VLOOKUP(F693,IMPORTRANGE(""https://docs.google.com/spreadsheets/d/1Kvs4KS76FHFqLFIZfrDMff4kP08nblUkihrxltoGBjg/edit#gid=934712705"",""ESENCIAL!A6:BG""),8,FALSE))"),"")</f>
        <v/>
      </c>
      <c r="L670" s="40"/>
      <c r="Z670" s="41" t="str">
        <f t="shared" si="40"/>
        <v/>
      </c>
      <c r="AA670" s="5" t="str">
        <f ca="1">IFERROR(__xludf.DUMMYFUNCTION("IFERROR(VLOOKUP(E693&amp;F693,IMPORTRANGE(""https://docs.google.com/spreadsheets/d/1Uw7-A9f9R21vMXxHZFNpYNeKFtG8_yji4HS352LGlSQ/edit?pli=1#gid=0"",""1_ACUM!A4:S""),11,FALSE))"),"")</f>
        <v/>
      </c>
      <c r="AB670" s="42" t="str">
        <f ca="1">IFERROR(__xludf.DUMMYFUNCTION("IFERROR(VLOOKUP(F693,IMPORTRANGE(""https://docs.google.com/spreadsheets/d/1Kvs4KS76FHFqLFIZfrDMff4kP08nblUkihrxltoGBjg/edit#gid=934712705"",""ESENCIAL!A6:BG""),15,FALSE))"),"")</f>
        <v/>
      </c>
      <c r="AC670" s="110" t="str">
        <f ca="1">IFERROR(__xludf.DUMMYFUNCTION("IFERROR(VLOOKUP(E693&amp;F693,IMPORTRANGE(""https://docs.google.com/spreadsheets/d/1Uw7-A9f9R21vMXxHZFNpYNeKFtG8_yji4HS352LGlSQ/edit?pli=1#gid=0"",""1_ACUM!A4:S""),13,FALSE))"),"")</f>
        <v/>
      </c>
      <c r="AD670" s="43" t="str">
        <f ca="1">IFERROR(__xludf.DUMMYFUNCTION("IFERROR(VLOOKUP(E693&amp;F693,IMPORTRANGE(""https://docs.google.com/spreadsheets/d/1Uw7-A9f9R21vMXxHZFNpYNeKFtG8_yji4HS352LGlSQ/edit?pli=1#gid=0"",""1_ACUM!A4:S""),13,FALSE))"),"")</f>
        <v/>
      </c>
      <c r="AE670" s="43" t="str">
        <f ca="1">IFERROR(__xludf.DUMMYFUNCTION("IFERROR(VLOOKUP(E693&amp;F693,IMPORTRANGE(""https://docs.google.com/spreadsheets/d/1Uw7-A9f9R21vMXxHZFNpYNeKFtG8_yji4HS352LGlSQ/edit?pli=1#gid=0"",""1_ACUM!A4:S""),14,FALSE))"),"")</f>
        <v/>
      </c>
      <c r="AF670" s="43" t="str">
        <f ca="1">IFERROR(__xludf.DUMMYFUNCTION("IFERROR(VLOOKUP(E693&amp;F693,IMPORTRANGE(""https://docs.google.com/spreadsheets/d/1Uw7-A9f9R21vMXxHZFNpYNeKFtG8_yji4HS352LGlSQ/edit?pli=1#gid=0"",""1_ACUM!A4:S""),15,FALSE))"),"")</f>
        <v/>
      </c>
      <c r="AG670" s="43" t="str">
        <f ca="1">IFERROR(__xludf.DUMMYFUNCTION("IFERROR(VLOOKUP(E693&amp;F693,IMPORTRANGE(""https://docs.google.com/spreadsheets/d/1Uw7-A9f9R21vMXxHZFNpYNeKFtG8_yji4HS352LGlSQ/edit?pli=1#gid=0"",""1_ACUM!A4:S""),16,FALSE))"),"")</f>
        <v/>
      </c>
      <c r="AH670" s="43" t="str">
        <f ca="1">IFERROR(__xludf.DUMMYFUNCTION("IFERROR(VLOOKUP(E693&amp;F693,IMPORTRANGE(""https://docs.google.com/spreadsheets/d/1Uw7-A9f9R21vMXxHZFNpYNeKFtG8_yji4HS352LGlSQ/edit?pli=1#gid=0"",""1_ACUM!A4:S""),17,FALSE))"),"")</f>
        <v/>
      </c>
      <c r="AI670" s="44" t="str">
        <f ca="1">IFERROR(__xludf.DUMMYFUNCTION("IFERROR(VLOOKUP(E693&amp;F693,IMPORTRANGE(""https://docs.google.com/spreadsheets/d/1Uw7-A9f9R21vMXxHZFNpYNeKFtG8_yji4HS352LGlSQ/edit?pli=1#gid=0"",""1_ACUM!A4:S""),18,FALSE))"),"")</f>
        <v/>
      </c>
      <c r="AJ670" s="44" t="str">
        <f ca="1">IFERROR(__xludf.DUMMYFUNCTION("IFERROR(VLOOKUP(E693&amp;F693,IMPORTRANGE(""https://docs.google.com/spreadsheets/d/1Uw7-A9f9R21vMXxHZFNpYNeKFtG8_yji4HS352LGlSQ/edit?pli=1#gid=0"",""1_ACUM!A4:S""),19,FALSE))"),"")</f>
        <v/>
      </c>
      <c r="AK670" s="98" t="str">
        <f ca="1">IFERROR(__xludf.DUMMYFUNCTION("IFERROR(VLOOKUP(F693,IMPORTRANGE(""https://docs.google.com/spreadsheets/d/1Kvs4KS76FHFqLFIZfrDMff4kP08nblUkihrxltoGBjg/edit#gid=934712705"",""ESENCIAL!A6:BG""),5,FALSE))"),"")</f>
        <v/>
      </c>
      <c r="AL670" s="98" t="str">
        <f t="shared" si="41"/>
        <v/>
      </c>
      <c r="AM670" s="99" t="str">
        <f t="shared" si="42"/>
        <v/>
      </c>
      <c r="AN670" s="100" t="str">
        <f ca="1">IFERROR(__xludf.DUMMYFUNCTION("IFERROR(VLOOKUP(F693,IMPORTRANGE(""https://docs.google.com/spreadsheets/d/1Kvs4KS76FHFqLFIZfrDMff4kP08nblUkihrxltoGBjg/edit#gid=934712705"",""ESENCIAL!A6:BG""),2,FALSE))"),"")</f>
        <v/>
      </c>
      <c r="AO670" s="19" t="str">
        <f t="shared" si="33"/>
        <v/>
      </c>
      <c r="AP670" s="100"/>
      <c r="AQ670" s="100"/>
    </row>
    <row r="671" spans="1:43" ht="15">
      <c r="A671" s="5"/>
      <c r="B671" s="5"/>
      <c r="G671" s="5" t="str">
        <f ca="1">IFERROR(__xludf.DUMMYFUNCTION("IFERROR(VLOOKUP(F694,IMPORTRANGE(""https://docs.google.com/spreadsheets/d/1Kvs4KS76FHFqLFIZfrDMff4kP08nblUkihrxltoGBjg/edit#gid=934712705"",""ESENCIAL!A6:BG""),3,FALSE))"),"")</f>
        <v/>
      </c>
      <c r="H671" s="5" t="str">
        <f ca="1">IFERROR(__xludf.DUMMYFUNCTION("IFERROR(VLOOKUP(F694,IMPORTRANGE(""https://docs.google.com/spreadsheets/d/1Kvs4KS76FHFqLFIZfrDMff4kP08nblUkihrxltoGBjg/edit#gid=934712705"",""ESENCIAL!A6:BG""),8,FALSE))"),"")</f>
        <v/>
      </c>
      <c r="L671" s="40"/>
      <c r="Z671" s="41" t="str">
        <f t="shared" si="40"/>
        <v/>
      </c>
      <c r="AA671" s="5" t="str">
        <f ca="1">IFERROR(__xludf.DUMMYFUNCTION("IFERROR(VLOOKUP(E694&amp;F694,IMPORTRANGE(""https://docs.google.com/spreadsheets/d/1Uw7-A9f9R21vMXxHZFNpYNeKFtG8_yji4HS352LGlSQ/edit?pli=1#gid=0"",""1_ACUM!A4:S""),11,FALSE))"),"")</f>
        <v/>
      </c>
      <c r="AB671" s="42" t="str">
        <f ca="1">IFERROR(__xludf.DUMMYFUNCTION("IFERROR(VLOOKUP(F694,IMPORTRANGE(""https://docs.google.com/spreadsheets/d/1Kvs4KS76FHFqLFIZfrDMff4kP08nblUkihrxltoGBjg/edit#gid=934712705"",""ESENCIAL!A6:BG""),15,FALSE))"),"")</f>
        <v/>
      </c>
      <c r="AC671" s="110" t="str">
        <f ca="1">IFERROR(__xludf.DUMMYFUNCTION("IFERROR(VLOOKUP(E694&amp;F694,IMPORTRANGE(""https://docs.google.com/spreadsheets/d/1Uw7-A9f9R21vMXxHZFNpYNeKFtG8_yji4HS352LGlSQ/edit?pli=1#gid=0"",""1_ACUM!A4:S""),13,FALSE))"),"")</f>
        <v/>
      </c>
      <c r="AD671" s="43" t="str">
        <f ca="1">IFERROR(__xludf.DUMMYFUNCTION("IFERROR(VLOOKUP(E694&amp;F694,IMPORTRANGE(""https://docs.google.com/spreadsheets/d/1Uw7-A9f9R21vMXxHZFNpYNeKFtG8_yji4HS352LGlSQ/edit?pli=1#gid=0"",""1_ACUM!A4:S""),13,FALSE))"),"")</f>
        <v/>
      </c>
      <c r="AE671" s="43" t="str">
        <f ca="1">IFERROR(__xludf.DUMMYFUNCTION("IFERROR(VLOOKUP(E694&amp;F694,IMPORTRANGE(""https://docs.google.com/spreadsheets/d/1Uw7-A9f9R21vMXxHZFNpYNeKFtG8_yji4HS352LGlSQ/edit?pli=1#gid=0"",""1_ACUM!A4:S""),14,FALSE))"),"")</f>
        <v/>
      </c>
      <c r="AF671" s="43" t="str">
        <f ca="1">IFERROR(__xludf.DUMMYFUNCTION("IFERROR(VLOOKUP(E694&amp;F694,IMPORTRANGE(""https://docs.google.com/spreadsheets/d/1Uw7-A9f9R21vMXxHZFNpYNeKFtG8_yji4HS352LGlSQ/edit?pli=1#gid=0"",""1_ACUM!A4:S""),15,FALSE))"),"")</f>
        <v/>
      </c>
      <c r="AG671" s="43" t="str">
        <f ca="1">IFERROR(__xludf.DUMMYFUNCTION("IFERROR(VLOOKUP(E694&amp;F694,IMPORTRANGE(""https://docs.google.com/spreadsheets/d/1Uw7-A9f9R21vMXxHZFNpYNeKFtG8_yji4HS352LGlSQ/edit?pli=1#gid=0"",""1_ACUM!A4:S""),16,FALSE))"),"")</f>
        <v/>
      </c>
      <c r="AH671" s="43" t="str">
        <f ca="1">IFERROR(__xludf.DUMMYFUNCTION("IFERROR(VLOOKUP(E694&amp;F694,IMPORTRANGE(""https://docs.google.com/spreadsheets/d/1Uw7-A9f9R21vMXxHZFNpYNeKFtG8_yji4HS352LGlSQ/edit?pli=1#gid=0"",""1_ACUM!A4:S""),17,FALSE))"),"")</f>
        <v/>
      </c>
      <c r="AI671" s="44" t="str">
        <f ca="1">IFERROR(__xludf.DUMMYFUNCTION("IFERROR(VLOOKUP(E694&amp;F694,IMPORTRANGE(""https://docs.google.com/spreadsheets/d/1Uw7-A9f9R21vMXxHZFNpYNeKFtG8_yji4HS352LGlSQ/edit?pli=1#gid=0"",""1_ACUM!A4:S""),18,FALSE))"),"")</f>
        <v/>
      </c>
      <c r="AJ671" s="44" t="str">
        <f ca="1">IFERROR(__xludf.DUMMYFUNCTION("IFERROR(VLOOKUP(E694&amp;F694,IMPORTRANGE(""https://docs.google.com/spreadsheets/d/1Uw7-A9f9R21vMXxHZFNpYNeKFtG8_yji4HS352LGlSQ/edit?pli=1#gid=0"",""1_ACUM!A4:S""),19,FALSE))"),"")</f>
        <v/>
      </c>
      <c r="AK671" s="98" t="str">
        <f ca="1">IFERROR(__xludf.DUMMYFUNCTION("IFERROR(VLOOKUP(F694,IMPORTRANGE(""https://docs.google.com/spreadsheets/d/1Kvs4KS76FHFqLFIZfrDMff4kP08nblUkihrxltoGBjg/edit#gid=934712705"",""ESENCIAL!A6:BG""),5,FALSE))"),"")</f>
        <v/>
      </c>
      <c r="AL671" s="98" t="str">
        <f t="shared" si="41"/>
        <v/>
      </c>
      <c r="AM671" s="99" t="str">
        <f t="shared" si="42"/>
        <v/>
      </c>
      <c r="AN671" s="100" t="str">
        <f ca="1">IFERROR(__xludf.DUMMYFUNCTION("IFERROR(VLOOKUP(F694,IMPORTRANGE(""https://docs.google.com/spreadsheets/d/1Kvs4KS76FHFqLFIZfrDMff4kP08nblUkihrxltoGBjg/edit#gid=934712705"",""ESENCIAL!A6:BG""),2,FALSE))"),"")</f>
        <v/>
      </c>
      <c r="AO671" s="19" t="str">
        <f t="shared" si="33"/>
        <v/>
      </c>
      <c r="AP671" s="100"/>
      <c r="AQ671" s="100"/>
    </row>
    <row r="672" spans="1:43" ht="15">
      <c r="A672" s="5"/>
      <c r="B672" s="5"/>
      <c r="G672" s="5" t="str">
        <f ca="1">IFERROR(__xludf.DUMMYFUNCTION("IFERROR(VLOOKUP(F695,IMPORTRANGE(""https://docs.google.com/spreadsheets/d/1Kvs4KS76FHFqLFIZfrDMff4kP08nblUkihrxltoGBjg/edit#gid=934712705"",""ESENCIAL!A6:BG""),3,FALSE))"),"")</f>
        <v/>
      </c>
      <c r="H672" s="5" t="str">
        <f ca="1">IFERROR(__xludf.DUMMYFUNCTION("IFERROR(VLOOKUP(F695,IMPORTRANGE(""https://docs.google.com/spreadsheets/d/1Kvs4KS76FHFqLFIZfrDMff4kP08nblUkihrxltoGBjg/edit#gid=934712705"",""ESENCIAL!A6:BG""),8,FALSE))"),"")</f>
        <v/>
      </c>
      <c r="L672" s="40"/>
      <c r="Z672" s="41" t="str">
        <f t="shared" si="40"/>
        <v/>
      </c>
      <c r="AA672" s="5" t="str">
        <f ca="1">IFERROR(__xludf.DUMMYFUNCTION("IFERROR(VLOOKUP(E695&amp;F695,IMPORTRANGE(""https://docs.google.com/spreadsheets/d/1Uw7-A9f9R21vMXxHZFNpYNeKFtG8_yji4HS352LGlSQ/edit?pli=1#gid=0"",""1_ACUM!A4:S""),11,FALSE))"),"")</f>
        <v/>
      </c>
      <c r="AB672" s="42" t="str">
        <f ca="1">IFERROR(__xludf.DUMMYFUNCTION("IFERROR(VLOOKUP(F695,IMPORTRANGE(""https://docs.google.com/spreadsheets/d/1Kvs4KS76FHFqLFIZfrDMff4kP08nblUkihrxltoGBjg/edit#gid=934712705"",""ESENCIAL!A6:BG""),15,FALSE))"),"")</f>
        <v/>
      </c>
      <c r="AC672" s="110" t="str">
        <f ca="1">IFERROR(__xludf.DUMMYFUNCTION("IFERROR(VLOOKUP(E695&amp;F695,IMPORTRANGE(""https://docs.google.com/spreadsheets/d/1Uw7-A9f9R21vMXxHZFNpYNeKFtG8_yji4HS352LGlSQ/edit?pli=1#gid=0"",""1_ACUM!A4:S""),13,FALSE))"),"")</f>
        <v/>
      </c>
      <c r="AD672" s="43" t="str">
        <f ca="1">IFERROR(__xludf.DUMMYFUNCTION("IFERROR(VLOOKUP(E695&amp;F695,IMPORTRANGE(""https://docs.google.com/spreadsheets/d/1Uw7-A9f9R21vMXxHZFNpYNeKFtG8_yji4HS352LGlSQ/edit?pli=1#gid=0"",""1_ACUM!A4:S""),13,FALSE))"),"")</f>
        <v/>
      </c>
      <c r="AE672" s="43" t="str">
        <f ca="1">IFERROR(__xludf.DUMMYFUNCTION("IFERROR(VLOOKUP(E695&amp;F695,IMPORTRANGE(""https://docs.google.com/spreadsheets/d/1Uw7-A9f9R21vMXxHZFNpYNeKFtG8_yji4HS352LGlSQ/edit?pli=1#gid=0"",""1_ACUM!A4:S""),14,FALSE))"),"")</f>
        <v/>
      </c>
      <c r="AF672" s="43" t="str">
        <f ca="1">IFERROR(__xludf.DUMMYFUNCTION("IFERROR(VLOOKUP(E695&amp;F695,IMPORTRANGE(""https://docs.google.com/spreadsheets/d/1Uw7-A9f9R21vMXxHZFNpYNeKFtG8_yji4HS352LGlSQ/edit?pli=1#gid=0"",""1_ACUM!A4:S""),15,FALSE))"),"")</f>
        <v/>
      </c>
      <c r="AG672" s="43" t="str">
        <f ca="1">IFERROR(__xludf.DUMMYFUNCTION("IFERROR(VLOOKUP(E695&amp;F695,IMPORTRANGE(""https://docs.google.com/spreadsheets/d/1Uw7-A9f9R21vMXxHZFNpYNeKFtG8_yji4HS352LGlSQ/edit?pli=1#gid=0"",""1_ACUM!A4:S""),16,FALSE))"),"")</f>
        <v/>
      </c>
      <c r="AH672" s="43" t="str">
        <f ca="1">IFERROR(__xludf.DUMMYFUNCTION("IFERROR(VLOOKUP(E695&amp;F695,IMPORTRANGE(""https://docs.google.com/spreadsheets/d/1Uw7-A9f9R21vMXxHZFNpYNeKFtG8_yji4HS352LGlSQ/edit?pli=1#gid=0"",""1_ACUM!A4:S""),17,FALSE))"),"")</f>
        <v/>
      </c>
      <c r="AI672" s="44" t="str">
        <f ca="1">IFERROR(__xludf.DUMMYFUNCTION("IFERROR(VLOOKUP(E695&amp;F695,IMPORTRANGE(""https://docs.google.com/spreadsheets/d/1Uw7-A9f9R21vMXxHZFNpYNeKFtG8_yji4HS352LGlSQ/edit?pli=1#gid=0"",""1_ACUM!A4:S""),18,FALSE))"),"")</f>
        <v/>
      </c>
      <c r="AJ672" s="44" t="str">
        <f ca="1">IFERROR(__xludf.DUMMYFUNCTION("IFERROR(VLOOKUP(E695&amp;F695,IMPORTRANGE(""https://docs.google.com/spreadsheets/d/1Uw7-A9f9R21vMXxHZFNpYNeKFtG8_yji4HS352LGlSQ/edit?pli=1#gid=0"",""1_ACUM!A4:S""),19,FALSE))"),"")</f>
        <v/>
      </c>
      <c r="AK672" s="98" t="str">
        <f ca="1">IFERROR(__xludf.DUMMYFUNCTION("IFERROR(VLOOKUP(F695,IMPORTRANGE(""https://docs.google.com/spreadsheets/d/1Kvs4KS76FHFqLFIZfrDMff4kP08nblUkihrxltoGBjg/edit#gid=934712705"",""ESENCIAL!A6:BG""),5,FALSE))"),"")</f>
        <v/>
      </c>
      <c r="AL672" s="98" t="str">
        <f t="shared" si="41"/>
        <v/>
      </c>
      <c r="AM672" s="99" t="str">
        <f t="shared" si="42"/>
        <v/>
      </c>
      <c r="AN672" s="100" t="str">
        <f ca="1">IFERROR(__xludf.DUMMYFUNCTION("IFERROR(VLOOKUP(F695,IMPORTRANGE(""https://docs.google.com/spreadsheets/d/1Kvs4KS76FHFqLFIZfrDMff4kP08nblUkihrxltoGBjg/edit#gid=934712705"",""ESENCIAL!A6:BG""),2,FALSE))"),"")</f>
        <v/>
      </c>
      <c r="AO672" s="19" t="str">
        <f t="shared" si="33"/>
        <v/>
      </c>
      <c r="AP672" s="100"/>
      <c r="AQ672" s="100"/>
    </row>
    <row r="673" spans="1:43" ht="15">
      <c r="A673" s="5"/>
      <c r="B673" s="5"/>
      <c r="G673" s="5" t="str">
        <f ca="1">IFERROR(__xludf.DUMMYFUNCTION("IFERROR(VLOOKUP(F696,IMPORTRANGE(""https://docs.google.com/spreadsheets/d/1Kvs4KS76FHFqLFIZfrDMff4kP08nblUkihrxltoGBjg/edit#gid=934712705"",""ESENCIAL!A6:BG""),3,FALSE))"),"")</f>
        <v/>
      </c>
      <c r="H673" s="5" t="str">
        <f ca="1">IFERROR(__xludf.DUMMYFUNCTION("IFERROR(VLOOKUP(F696,IMPORTRANGE(""https://docs.google.com/spreadsheets/d/1Kvs4KS76FHFqLFIZfrDMff4kP08nblUkihrxltoGBjg/edit#gid=934712705"",""ESENCIAL!A6:BG""),8,FALSE))"),"")</f>
        <v/>
      </c>
      <c r="L673" s="40"/>
      <c r="Z673" s="41" t="str">
        <f t="shared" si="40"/>
        <v/>
      </c>
      <c r="AA673" s="5" t="str">
        <f ca="1">IFERROR(__xludf.DUMMYFUNCTION("IFERROR(VLOOKUP(E696&amp;F696,IMPORTRANGE(""https://docs.google.com/spreadsheets/d/1Uw7-A9f9R21vMXxHZFNpYNeKFtG8_yji4HS352LGlSQ/edit?pli=1#gid=0"",""1_ACUM!A4:S""),11,FALSE))"),"")</f>
        <v/>
      </c>
      <c r="AB673" s="42" t="str">
        <f ca="1">IFERROR(__xludf.DUMMYFUNCTION("IFERROR(VLOOKUP(F696,IMPORTRANGE(""https://docs.google.com/spreadsheets/d/1Kvs4KS76FHFqLFIZfrDMff4kP08nblUkihrxltoGBjg/edit#gid=934712705"",""ESENCIAL!A6:BG""),15,FALSE))"),"")</f>
        <v/>
      </c>
      <c r="AC673" s="110" t="str">
        <f ca="1">IFERROR(__xludf.DUMMYFUNCTION("IFERROR(VLOOKUP(E696&amp;F696,IMPORTRANGE(""https://docs.google.com/spreadsheets/d/1Uw7-A9f9R21vMXxHZFNpYNeKFtG8_yji4HS352LGlSQ/edit?pli=1#gid=0"",""1_ACUM!A4:S""),13,FALSE))"),"")</f>
        <v/>
      </c>
      <c r="AD673" s="43" t="str">
        <f ca="1">IFERROR(__xludf.DUMMYFUNCTION("IFERROR(VLOOKUP(E696&amp;F696,IMPORTRANGE(""https://docs.google.com/spreadsheets/d/1Uw7-A9f9R21vMXxHZFNpYNeKFtG8_yji4HS352LGlSQ/edit?pli=1#gid=0"",""1_ACUM!A4:S""),13,FALSE))"),"")</f>
        <v/>
      </c>
      <c r="AE673" s="43" t="str">
        <f ca="1">IFERROR(__xludf.DUMMYFUNCTION("IFERROR(VLOOKUP(E696&amp;F696,IMPORTRANGE(""https://docs.google.com/spreadsheets/d/1Uw7-A9f9R21vMXxHZFNpYNeKFtG8_yji4HS352LGlSQ/edit?pli=1#gid=0"",""1_ACUM!A4:S""),14,FALSE))"),"")</f>
        <v/>
      </c>
      <c r="AF673" s="43" t="str">
        <f ca="1">IFERROR(__xludf.DUMMYFUNCTION("IFERROR(VLOOKUP(E696&amp;F696,IMPORTRANGE(""https://docs.google.com/spreadsheets/d/1Uw7-A9f9R21vMXxHZFNpYNeKFtG8_yji4HS352LGlSQ/edit?pli=1#gid=0"",""1_ACUM!A4:S""),15,FALSE))"),"")</f>
        <v/>
      </c>
      <c r="AG673" s="43" t="str">
        <f ca="1">IFERROR(__xludf.DUMMYFUNCTION("IFERROR(VLOOKUP(E696&amp;F696,IMPORTRANGE(""https://docs.google.com/spreadsheets/d/1Uw7-A9f9R21vMXxHZFNpYNeKFtG8_yji4HS352LGlSQ/edit?pli=1#gid=0"",""1_ACUM!A4:S""),16,FALSE))"),"")</f>
        <v/>
      </c>
      <c r="AH673" s="43" t="str">
        <f ca="1">IFERROR(__xludf.DUMMYFUNCTION("IFERROR(VLOOKUP(E696&amp;F696,IMPORTRANGE(""https://docs.google.com/spreadsheets/d/1Uw7-A9f9R21vMXxHZFNpYNeKFtG8_yji4HS352LGlSQ/edit?pli=1#gid=0"",""1_ACUM!A4:S""),17,FALSE))"),"")</f>
        <v/>
      </c>
      <c r="AI673" s="44" t="str">
        <f ca="1">IFERROR(__xludf.DUMMYFUNCTION("IFERROR(VLOOKUP(E696&amp;F696,IMPORTRANGE(""https://docs.google.com/spreadsheets/d/1Uw7-A9f9R21vMXxHZFNpYNeKFtG8_yji4HS352LGlSQ/edit?pli=1#gid=0"",""1_ACUM!A4:S""),18,FALSE))"),"")</f>
        <v/>
      </c>
      <c r="AJ673" s="44" t="str">
        <f ca="1">IFERROR(__xludf.DUMMYFUNCTION("IFERROR(VLOOKUP(E696&amp;F696,IMPORTRANGE(""https://docs.google.com/spreadsheets/d/1Uw7-A9f9R21vMXxHZFNpYNeKFtG8_yji4HS352LGlSQ/edit?pli=1#gid=0"",""1_ACUM!A4:S""),19,FALSE))"),"")</f>
        <v/>
      </c>
      <c r="AK673" s="98" t="str">
        <f ca="1">IFERROR(__xludf.DUMMYFUNCTION("IFERROR(VLOOKUP(F696,IMPORTRANGE(""https://docs.google.com/spreadsheets/d/1Kvs4KS76FHFqLFIZfrDMff4kP08nblUkihrxltoGBjg/edit#gid=934712705"",""ESENCIAL!A6:BG""),5,FALSE))"),"")</f>
        <v/>
      </c>
      <c r="AL673" s="98" t="str">
        <f t="shared" si="41"/>
        <v/>
      </c>
      <c r="AM673" s="99" t="str">
        <f t="shared" si="42"/>
        <v/>
      </c>
      <c r="AN673" s="100" t="str">
        <f ca="1">IFERROR(__xludf.DUMMYFUNCTION("IFERROR(VLOOKUP(F696,IMPORTRANGE(""https://docs.google.com/spreadsheets/d/1Kvs4KS76FHFqLFIZfrDMff4kP08nblUkihrxltoGBjg/edit#gid=934712705"",""ESENCIAL!A6:BG""),2,FALSE))"),"")</f>
        <v/>
      </c>
      <c r="AO673" s="19" t="str">
        <f t="shared" si="33"/>
        <v/>
      </c>
      <c r="AP673" s="100"/>
      <c r="AQ673" s="100"/>
    </row>
    <row r="674" spans="1:43" ht="15">
      <c r="A674" s="5"/>
      <c r="B674" s="5"/>
      <c r="G674" s="5" t="str">
        <f ca="1">IFERROR(__xludf.DUMMYFUNCTION("IFERROR(VLOOKUP(F697,IMPORTRANGE(""https://docs.google.com/spreadsheets/d/1Kvs4KS76FHFqLFIZfrDMff4kP08nblUkihrxltoGBjg/edit#gid=934712705"",""ESENCIAL!A6:BG""),3,FALSE))"),"")</f>
        <v/>
      </c>
      <c r="H674" s="5" t="str">
        <f ca="1">IFERROR(__xludf.DUMMYFUNCTION("IFERROR(VLOOKUP(F697,IMPORTRANGE(""https://docs.google.com/spreadsheets/d/1Kvs4KS76FHFqLFIZfrDMff4kP08nblUkihrxltoGBjg/edit#gid=934712705"",""ESENCIAL!A6:BG""),8,FALSE))"),"")</f>
        <v/>
      </c>
      <c r="L674" s="40"/>
      <c r="Z674" s="41" t="str">
        <f t="shared" si="40"/>
        <v/>
      </c>
      <c r="AA674" s="5" t="str">
        <f ca="1">IFERROR(__xludf.DUMMYFUNCTION("IFERROR(VLOOKUP(E697&amp;F697,IMPORTRANGE(""https://docs.google.com/spreadsheets/d/1Uw7-A9f9R21vMXxHZFNpYNeKFtG8_yji4HS352LGlSQ/edit?pli=1#gid=0"",""1_ACUM!A4:S""),11,FALSE))"),"")</f>
        <v/>
      </c>
      <c r="AB674" s="42" t="str">
        <f ca="1">IFERROR(__xludf.DUMMYFUNCTION("IFERROR(VLOOKUP(F697,IMPORTRANGE(""https://docs.google.com/spreadsheets/d/1Kvs4KS76FHFqLFIZfrDMff4kP08nblUkihrxltoGBjg/edit#gid=934712705"",""ESENCIAL!A6:BG""),15,FALSE))"),"")</f>
        <v/>
      </c>
      <c r="AC674" s="110" t="str">
        <f ca="1">IFERROR(__xludf.DUMMYFUNCTION("IFERROR(VLOOKUP(E697&amp;F697,IMPORTRANGE(""https://docs.google.com/spreadsheets/d/1Uw7-A9f9R21vMXxHZFNpYNeKFtG8_yji4HS352LGlSQ/edit?pli=1#gid=0"",""1_ACUM!A4:S""),13,FALSE))"),"")</f>
        <v/>
      </c>
      <c r="AD674" s="43" t="str">
        <f ca="1">IFERROR(__xludf.DUMMYFUNCTION("IFERROR(VLOOKUP(E697&amp;F697,IMPORTRANGE(""https://docs.google.com/spreadsheets/d/1Uw7-A9f9R21vMXxHZFNpYNeKFtG8_yji4HS352LGlSQ/edit?pli=1#gid=0"",""1_ACUM!A4:S""),13,FALSE))"),"")</f>
        <v/>
      </c>
      <c r="AE674" s="43" t="str">
        <f ca="1">IFERROR(__xludf.DUMMYFUNCTION("IFERROR(VLOOKUP(E697&amp;F697,IMPORTRANGE(""https://docs.google.com/spreadsheets/d/1Uw7-A9f9R21vMXxHZFNpYNeKFtG8_yji4HS352LGlSQ/edit?pli=1#gid=0"",""1_ACUM!A4:S""),14,FALSE))"),"")</f>
        <v/>
      </c>
      <c r="AF674" s="43" t="str">
        <f ca="1">IFERROR(__xludf.DUMMYFUNCTION("IFERROR(VLOOKUP(E697&amp;F697,IMPORTRANGE(""https://docs.google.com/spreadsheets/d/1Uw7-A9f9R21vMXxHZFNpYNeKFtG8_yji4HS352LGlSQ/edit?pli=1#gid=0"",""1_ACUM!A4:S""),15,FALSE))"),"")</f>
        <v/>
      </c>
      <c r="AG674" s="43" t="str">
        <f ca="1">IFERROR(__xludf.DUMMYFUNCTION("IFERROR(VLOOKUP(E697&amp;F697,IMPORTRANGE(""https://docs.google.com/spreadsheets/d/1Uw7-A9f9R21vMXxHZFNpYNeKFtG8_yji4HS352LGlSQ/edit?pli=1#gid=0"",""1_ACUM!A4:S""),16,FALSE))"),"")</f>
        <v/>
      </c>
      <c r="AH674" s="43" t="str">
        <f ca="1">IFERROR(__xludf.DUMMYFUNCTION("IFERROR(VLOOKUP(E697&amp;F697,IMPORTRANGE(""https://docs.google.com/spreadsheets/d/1Uw7-A9f9R21vMXxHZFNpYNeKFtG8_yji4HS352LGlSQ/edit?pli=1#gid=0"",""1_ACUM!A4:S""),17,FALSE))"),"")</f>
        <v/>
      </c>
      <c r="AI674" s="44" t="str">
        <f ca="1">IFERROR(__xludf.DUMMYFUNCTION("IFERROR(VLOOKUP(E697&amp;F697,IMPORTRANGE(""https://docs.google.com/spreadsheets/d/1Uw7-A9f9R21vMXxHZFNpYNeKFtG8_yji4HS352LGlSQ/edit?pli=1#gid=0"",""1_ACUM!A4:S""),18,FALSE))"),"")</f>
        <v/>
      </c>
      <c r="AJ674" s="44" t="str">
        <f ca="1">IFERROR(__xludf.DUMMYFUNCTION("IFERROR(VLOOKUP(E697&amp;F697,IMPORTRANGE(""https://docs.google.com/spreadsheets/d/1Uw7-A9f9R21vMXxHZFNpYNeKFtG8_yji4HS352LGlSQ/edit?pli=1#gid=0"",""1_ACUM!A4:S""),19,FALSE))"),"")</f>
        <v/>
      </c>
      <c r="AK674" s="98" t="str">
        <f ca="1">IFERROR(__xludf.DUMMYFUNCTION("IFERROR(VLOOKUP(F697,IMPORTRANGE(""https://docs.google.com/spreadsheets/d/1Kvs4KS76FHFqLFIZfrDMff4kP08nblUkihrxltoGBjg/edit#gid=934712705"",""ESENCIAL!A6:BG""),5,FALSE))"),"")</f>
        <v/>
      </c>
      <c r="AL674" s="98" t="str">
        <f t="shared" si="41"/>
        <v/>
      </c>
      <c r="AM674" s="99" t="str">
        <f t="shared" si="42"/>
        <v/>
      </c>
      <c r="AN674" s="100" t="str">
        <f ca="1">IFERROR(__xludf.DUMMYFUNCTION("IFERROR(VLOOKUP(F697,IMPORTRANGE(""https://docs.google.com/spreadsheets/d/1Kvs4KS76FHFqLFIZfrDMff4kP08nblUkihrxltoGBjg/edit#gid=934712705"",""ESENCIAL!A6:BG""),2,FALSE))"),"")</f>
        <v/>
      </c>
      <c r="AO674" s="19" t="str">
        <f t="shared" si="33"/>
        <v/>
      </c>
      <c r="AP674" s="100"/>
      <c r="AQ674" s="100"/>
    </row>
    <row r="675" spans="1:43" ht="15">
      <c r="A675" s="5"/>
      <c r="B675" s="5"/>
      <c r="G675" s="5" t="str">
        <f ca="1">IFERROR(__xludf.DUMMYFUNCTION("IFERROR(VLOOKUP(F698,IMPORTRANGE(""https://docs.google.com/spreadsheets/d/1Kvs4KS76FHFqLFIZfrDMff4kP08nblUkihrxltoGBjg/edit#gid=934712705"",""ESENCIAL!A6:BG""),3,FALSE))"),"")</f>
        <v/>
      </c>
      <c r="H675" s="5" t="str">
        <f ca="1">IFERROR(__xludf.DUMMYFUNCTION("IFERROR(VLOOKUP(F698,IMPORTRANGE(""https://docs.google.com/spreadsheets/d/1Kvs4KS76FHFqLFIZfrDMff4kP08nblUkihrxltoGBjg/edit#gid=934712705"",""ESENCIAL!A6:BG""),8,FALSE))"),"")</f>
        <v/>
      </c>
      <c r="L675" s="40"/>
      <c r="Z675" s="41" t="str">
        <f t="shared" si="40"/>
        <v/>
      </c>
      <c r="AA675" s="5" t="str">
        <f ca="1">IFERROR(__xludf.DUMMYFUNCTION("IFERROR(VLOOKUP(E698&amp;F698,IMPORTRANGE(""https://docs.google.com/spreadsheets/d/1Uw7-A9f9R21vMXxHZFNpYNeKFtG8_yji4HS352LGlSQ/edit?pli=1#gid=0"",""1_ACUM!A4:S""),11,FALSE))"),"")</f>
        <v/>
      </c>
      <c r="AB675" s="42" t="str">
        <f ca="1">IFERROR(__xludf.DUMMYFUNCTION("IFERROR(VLOOKUP(F698,IMPORTRANGE(""https://docs.google.com/spreadsheets/d/1Kvs4KS76FHFqLFIZfrDMff4kP08nblUkihrxltoGBjg/edit#gid=934712705"",""ESENCIAL!A6:BG""),15,FALSE))"),"")</f>
        <v/>
      </c>
      <c r="AC675" s="110" t="str">
        <f ca="1">IFERROR(__xludf.DUMMYFUNCTION("IFERROR(VLOOKUP(E698&amp;F698,IMPORTRANGE(""https://docs.google.com/spreadsheets/d/1Uw7-A9f9R21vMXxHZFNpYNeKFtG8_yji4HS352LGlSQ/edit?pli=1#gid=0"",""1_ACUM!A4:S""),13,FALSE))"),"")</f>
        <v/>
      </c>
      <c r="AD675" s="43" t="str">
        <f ca="1">IFERROR(__xludf.DUMMYFUNCTION("IFERROR(VLOOKUP(E698&amp;F698,IMPORTRANGE(""https://docs.google.com/spreadsheets/d/1Uw7-A9f9R21vMXxHZFNpYNeKFtG8_yji4HS352LGlSQ/edit?pli=1#gid=0"",""1_ACUM!A4:S""),13,FALSE))"),"")</f>
        <v/>
      </c>
      <c r="AE675" s="43" t="str">
        <f ca="1">IFERROR(__xludf.DUMMYFUNCTION("IFERROR(VLOOKUP(E698&amp;F698,IMPORTRANGE(""https://docs.google.com/spreadsheets/d/1Uw7-A9f9R21vMXxHZFNpYNeKFtG8_yji4HS352LGlSQ/edit?pli=1#gid=0"",""1_ACUM!A4:S""),14,FALSE))"),"")</f>
        <v/>
      </c>
      <c r="AF675" s="43" t="str">
        <f ca="1">IFERROR(__xludf.DUMMYFUNCTION("IFERROR(VLOOKUP(E698&amp;F698,IMPORTRANGE(""https://docs.google.com/spreadsheets/d/1Uw7-A9f9R21vMXxHZFNpYNeKFtG8_yji4HS352LGlSQ/edit?pli=1#gid=0"",""1_ACUM!A4:S""),15,FALSE))"),"")</f>
        <v/>
      </c>
      <c r="AG675" s="43" t="str">
        <f ca="1">IFERROR(__xludf.DUMMYFUNCTION("IFERROR(VLOOKUP(E698&amp;F698,IMPORTRANGE(""https://docs.google.com/spreadsheets/d/1Uw7-A9f9R21vMXxHZFNpYNeKFtG8_yji4HS352LGlSQ/edit?pli=1#gid=0"",""1_ACUM!A4:S""),16,FALSE))"),"")</f>
        <v/>
      </c>
      <c r="AH675" s="43" t="str">
        <f ca="1">IFERROR(__xludf.DUMMYFUNCTION("IFERROR(VLOOKUP(E698&amp;F698,IMPORTRANGE(""https://docs.google.com/spreadsheets/d/1Uw7-A9f9R21vMXxHZFNpYNeKFtG8_yji4HS352LGlSQ/edit?pli=1#gid=0"",""1_ACUM!A4:S""),17,FALSE))"),"")</f>
        <v/>
      </c>
      <c r="AI675" s="44" t="str">
        <f ca="1">IFERROR(__xludf.DUMMYFUNCTION("IFERROR(VLOOKUP(E698&amp;F698,IMPORTRANGE(""https://docs.google.com/spreadsheets/d/1Uw7-A9f9R21vMXxHZFNpYNeKFtG8_yji4HS352LGlSQ/edit?pli=1#gid=0"",""1_ACUM!A4:S""),18,FALSE))"),"")</f>
        <v/>
      </c>
      <c r="AJ675" s="44" t="str">
        <f ca="1">IFERROR(__xludf.DUMMYFUNCTION("IFERROR(VLOOKUP(E698&amp;F698,IMPORTRANGE(""https://docs.google.com/spreadsheets/d/1Uw7-A9f9R21vMXxHZFNpYNeKFtG8_yji4HS352LGlSQ/edit?pli=1#gid=0"",""1_ACUM!A4:S""),19,FALSE))"),"")</f>
        <v/>
      </c>
      <c r="AK675" s="98" t="str">
        <f ca="1">IFERROR(__xludf.DUMMYFUNCTION("IFERROR(VLOOKUP(F698,IMPORTRANGE(""https://docs.google.com/spreadsheets/d/1Kvs4KS76FHFqLFIZfrDMff4kP08nblUkihrxltoGBjg/edit#gid=934712705"",""ESENCIAL!A6:BG""),5,FALSE))"),"")</f>
        <v/>
      </c>
      <c r="AL675" s="98" t="str">
        <f t="shared" si="41"/>
        <v/>
      </c>
      <c r="AM675" s="99" t="str">
        <f t="shared" si="42"/>
        <v/>
      </c>
      <c r="AN675" s="100" t="str">
        <f ca="1">IFERROR(__xludf.DUMMYFUNCTION("IFERROR(VLOOKUP(F698,IMPORTRANGE(""https://docs.google.com/spreadsheets/d/1Kvs4KS76FHFqLFIZfrDMff4kP08nblUkihrxltoGBjg/edit#gid=934712705"",""ESENCIAL!A6:BG""),2,FALSE))"),"")</f>
        <v/>
      </c>
      <c r="AO675" s="19" t="str">
        <f t="shared" si="33"/>
        <v/>
      </c>
      <c r="AP675" s="100"/>
      <c r="AQ675" s="100"/>
    </row>
    <row r="676" spans="1:43" ht="15">
      <c r="A676" s="5"/>
      <c r="B676" s="5"/>
      <c r="G676" s="5" t="str">
        <f ca="1">IFERROR(__xludf.DUMMYFUNCTION("IFERROR(VLOOKUP(F699,IMPORTRANGE(""https://docs.google.com/spreadsheets/d/1Kvs4KS76FHFqLFIZfrDMff4kP08nblUkihrxltoGBjg/edit#gid=934712705"",""ESENCIAL!A6:BG""),3,FALSE))"),"")</f>
        <v/>
      </c>
      <c r="H676" s="5" t="str">
        <f ca="1">IFERROR(__xludf.DUMMYFUNCTION("IFERROR(VLOOKUP(F699,IMPORTRANGE(""https://docs.google.com/spreadsheets/d/1Kvs4KS76FHFqLFIZfrDMff4kP08nblUkihrxltoGBjg/edit#gid=934712705"",""ESENCIAL!A6:BG""),8,FALSE))"),"")</f>
        <v/>
      </c>
      <c r="L676" s="40"/>
      <c r="Z676" s="41" t="str">
        <f t="shared" si="40"/>
        <v/>
      </c>
      <c r="AA676" s="5" t="str">
        <f ca="1">IFERROR(__xludf.DUMMYFUNCTION("IFERROR(VLOOKUP(E699&amp;F699,IMPORTRANGE(""https://docs.google.com/spreadsheets/d/1Uw7-A9f9R21vMXxHZFNpYNeKFtG8_yji4HS352LGlSQ/edit?pli=1#gid=0"",""1_ACUM!A4:S""),11,FALSE))"),"")</f>
        <v/>
      </c>
      <c r="AB676" s="42" t="str">
        <f ca="1">IFERROR(__xludf.DUMMYFUNCTION("IFERROR(VLOOKUP(F699,IMPORTRANGE(""https://docs.google.com/spreadsheets/d/1Kvs4KS76FHFqLFIZfrDMff4kP08nblUkihrxltoGBjg/edit#gid=934712705"",""ESENCIAL!A6:BG""),15,FALSE))"),"")</f>
        <v/>
      </c>
      <c r="AC676" s="110" t="str">
        <f ca="1">IFERROR(__xludf.DUMMYFUNCTION("IFERROR(VLOOKUP(E699&amp;F699,IMPORTRANGE(""https://docs.google.com/spreadsheets/d/1Uw7-A9f9R21vMXxHZFNpYNeKFtG8_yji4HS352LGlSQ/edit?pli=1#gid=0"",""1_ACUM!A4:S""),13,FALSE))"),"")</f>
        <v/>
      </c>
      <c r="AD676" s="43" t="str">
        <f ca="1">IFERROR(__xludf.DUMMYFUNCTION("IFERROR(VLOOKUP(E699&amp;F699,IMPORTRANGE(""https://docs.google.com/spreadsheets/d/1Uw7-A9f9R21vMXxHZFNpYNeKFtG8_yji4HS352LGlSQ/edit?pli=1#gid=0"",""1_ACUM!A4:S""),13,FALSE))"),"")</f>
        <v/>
      </c>
      <c r="AE676" s="43" t="str">
        <f ca="1">IFERROR(__xludf.DUMMYFUNCTION("IFERROR(VLOOKUP(E699&amp;F699,IMPORTRANGE(""https://docs.google.com/spreadsheets/d/1Uw7-A9f9R21vMXxHZFNpYNeKFtG8_yji4HS352LGlSQ/edit?pli=1#gid=0"",""1_ACUM!A4:S""),14,FALSE))"),"")</f>
        <v/>
      </c>
      <c r="AF676" s="43" t="str">
        <f ca="1">IFERROR(__xludf.DUMMYFUNCTION("IFERROR(VLOOKUP(E699&amp;F699,IMPORTRANGE(""https://docs.google.com/spreadsheets/d/1Uw7-A9f9R21vMXxHZFNpYNeKFtG8_yji4HS352LGlSQ/edit?pli=1#gid=0"",""1_ACUM!A4:S""),15,FALSE))"),"")</f>
        <v/>
      </c>
      <c r="AG676" s="43" t="str">
        <f ca="1">IFERROR(__xludf.DUMMYFUNCTION("IFERROR(VLOOKUP(E699&amp;F699,IMPORTRANGE(""https://docs.google.com/spreadsheets/d/1Uw7-A9f9R21vMXxHZFNpYNeKFtG8_yji4HS352LGlSQ/edit?pli=1#gid=0"",""1_ACUM!A4:S""),16,FALSE))"),"")</f>
        <v/>
      </c>
      <c r="AH676" s="43" t="str">
        <f ca="1">IFERROR(__xludf.DUMMYFUNCTION("IFERROR(VLOOKUP(E699&amp;F699,IMPORTRANGE(""https://docs.google.com/spreadsheets/d/1Uw7-A9f9R21vMXxHZFNpYNeKFtG8_yji4HS352LGlSQ/edit?pli=1#gid=0"",""1_ACUM!A4:S""),17,FALSE))"),"")</f>
        <v/>
      </c>
      <c r="AI676" s="44" t="str">
        <f ca="1">IFERROR(__xludf.DUMMYFUNCTION("IFERROR(VLOOKUP(E699&amp;F699,IMPORTRANGE(""https://docs.google.com/spreadsheets/d/1Uw7-A9f9R21vMXxHZFNpYNeKFtG8_yji4HS352LGlSQ/edit?pli=1#gid=0"",""1_ACUM!A4:S""),18,FALSE))"),"")</f>
        <v/>
      </c>
      <c r="AJ676" s="44" t="str">
        <f ca="1">IFERROR(__xludf.DUMMYFUNCTION("IFERROR(VLOOKUP(E699&amp;F699,IMPORTRANGE(""https://docs.google.com/spreadsheets/d/1Uw7-A9f9R21vMXxHZFNpYNeKFtG8_yji4HS352LGlSQ/edit?pli=1#gid=0"",""1_ACUM!A4:S""),19,FALSE))"),"")</f>
        <v/>
      </c>
      <c r="AK676" s="98" t="str">
        <f ca="1">IFERROR(__xludf.DUMMYFUNCTION("IFERROR(VLOOKUP(F699,IMPORTRANGE(""https://docs.google.com/spreadsheets/d/1Kvs4KS76FHFqLFIZfrDMff4kP08nblUkihrxltoGBjg/edit#gid=934712705"",""ESENCIAL!A6:BG""),5,FALSE))"),"")</f>
        <v/>
      </c>
      <c r="AL676" s="98" t="str">
        <f t="shared" si="41"/>
        <v/>
      </c>
      <c r="AM676" s="99" t="str">
        <f t="shared" si="42"/>
        <v/>
      </c>
      <c r="AN676" s="100" t="str">
        <f ca="1">IFERROR(__xludf.DUMMYFUNCTION("IFERROR(VLOOKUP(F699,IMPORTRANGE(""https://docs.google.com/spreadsheets/d/1Kvs4KS76FHFqLFIZfrDMff4kP08nblUkihrxltoGBjg/edit#gid=934712705"",""ESENCIAL!A6:BG""),2,FALSE))"),"")</f>
        <v/>
      </c>
      <c r="AO676" s="19" t="str">
        <f t="shared" si="33"/>
        <v/>
      </c>
      <c r="AP676" s="100"/>
      <c r="AQ676" s="100"/>
    </row>
    <row r="677" spans="1:43" ht="15">
      <c r="A677" s="5"/>
      <c r="B677" s="5"/>
      <c r="G677" s="5" t="str">
        <f ca="1">IFERROR(__xludf.DUMMYFUNCTION("IFERROR(VLOOKUP(F700,IMPORTRANGE(""https://docs.google.com/spreadsheets/d/1Kvs4KS76FHFqLFIZfrDMff4kP08nblUkihrxltoGBjg/edit#gid=934712705"",""ESENCIAL!A6:BG""),3,FALSE))"),"")</f>
        <v/>
      </c>
      <c r="H677" s="5" t="str">
        <f ca="1">IFERROR(__xludf.DUMMYFUNCTION("IFERROR(VLOOKUP(F700,IMPORTRANGE(""https://docs.google.com/spreadsheets/d/1Kvs4KS76FHFqLFIZfrDMff4kP08nblUkihrxltoGBjg/edit#gid=934712705"",""ESENCIAL!A6:BG""),8,FALSE))"),"")</f>
        <v/>
      </c>
      <c r="L677" s="40"/>
      <c r="Z677" s="41" t="str">
        <f t="shared" si="40"/>
        <v/>
      </c>
      <c r="AA677" s="5" t="str">
        <f ca="1">IFERROR(__xludf.DUMMYFUNCTION("IFERROR(VLOOKUP(E700&amp;F700,IMPORTRANGE(""https://docs.google.com/spreadsheets/d/1Uw7-A9f9R21vMXxHZFNpYNeKFtG8_yji4HS352LGlSQ/edit?pli=1#gid=0"",""1_ACUM!A4:S""),11,FALSE))"),"")</f>
        <v/>
      </c>
      <c r="AB677" s="42" t="str">
        <f ca="1">IFERROR(__xludf.DUMMYFUNCTION("IFERROR(VLOOKUP(F700,IMPORTRANGE(""https://docs.google.com/spreadsheets/d/1Kvs4KS76FHFqLFIZfrDMff4kP08nblUkihrxltoGBjg/edit#gid=934712705"",""ESENCIAL!A6:BG""),15,FALSE))"),"")</f>
        <v/>
      </c>
      <c r="AC677" s="110" t="str">
        <f ca="1">IFERROR(__xludf.DUMMYFUNCTION("IFERROR(VLOOKUP(E700&amp;F700,IMPORTRANGE(""https://docs.google.com/spreadsheets/d/1Uw7-A9f9R21vMXxHZFNpYNeKFtG8_yji4HS352LGlSQ/edit?pli=1#gid=0"",""1_ACUM!A4:S""),13,FALSE))"),"")</f>
        <v/>
      </c>
      <c r="AD677" s="43" t="str">
        <f ca="1">IFERROR(__xludf.DUMMYFUNCTION("IFERROR(VLOOKUP(E700&amp;F700,IMPORTRANGE(""https://docs.google.com/spreadsheets/d/1Uw7-A9f9R21vMXxHZFNpYNeKFtG8_yji4HS352LGlSQ/edit?pli=1#gid=0"",""1_ACUM!A4:S""),13,FALSE))"),"")</f>
        <v/>
      </c>
      <c r="AE677" s="43" t="str">
        <f ca="1">IFERROR(__xludf.DUMMYFUNCTION("IFERROR(VLOOKUP(E700&amp;F700,IMPORTRANGE(""https://docs.google.com/spreadsheets/d/1Uw7-A9f9R21vMXxHZFNpYNeKFtG8_yji4HS352LGlSQ/edit?pli=1#gid=0"",""1_ACUM!A4:S""),14,FALSE))"),"")</f>
        <v/>
      </c>
      <c r="AF677" s="43" t="str">
        <f ca="1">IFERROR(__xludf.DUMMYFUNCTION("IFERROR(VLOOKUP(E700&amp;F700,IMPORTRANGE(""https://docs.google.com/spreadsheets/d/1Uw7-A9f9R21vMXxHZFNpYNeKFtG8_yji4HS352LGlSQ/edit?pli=1#gid=0"",""1_ACUM!A4:S""),15,FALSE))"),"")</f>
        <v/>
      </c>
      <c r="AG677" s="43" t="str">
        <f ca="1">IFERROR(__xludf.DUMMYFUNCTION("IFERROR(VLOOKUP(E700&amp;F700,IMPORTRANGE(""https://docs.google.com/spreadsheets/d/1Uw7-A9f9R21vMXxHZFNpYNeKFtG8_yji4HS352LGlSQ/edit?pli=1#gid=0"",""1_ACUM!A4:S""),16,FALSE))"),"")</f>
        <v/>
      </c>
      <c r="AH677" s="43" t="str">
        <f ca="1">IFERROR(__xludf.DUMMYFUNCTION("IFERROR(VLOOKUP(E700&amp;F700,IMPORTRANGE(""https://docs.google.com/spreadsheets/d/1Uw7-A9f9R21vMXxHZFNpYNeKFtG8_yji4HS352LGlSQ/edit?pli=1#gid=0"",""1_ACUM!A4:S""),17,FALSE))"),"")</f>
        <v/>
      </c>
      <c r="AI677" s="44" t="str">
        <f ca="1">IFERROR(__xludf.DUMMYFUNCTION("IFERROR(VLOOKUP(E700&amp;F700,IMPORTRANGE(""https://docs.google.com/spreadsheets/d/1Uw7-A9f9R21vMXxHZFNpYNeKFtG8_yji4HS352LGlSQ/edit?pli=1#gid=0"",""1_ACUM!A4:S""),18,FALSE))"),"")</f>
        <v/>
      </c>
      <c r="AJ677" s="44" t="str">
        <f ca="1">IFERROR(__xludf.DUMMYFUNCTION("IFERROR(VLOOKUP(E700&amp;F700,IMPORTRANGE(""https://docs.google.com/spreadsheets/d/1Uw7-A9f9R21vMXxHZFNpYNeKFtG8_yji4HS352LGlSQ/edit?pli=1#gid=0"",""1_ACUM!A4:S""),19,FALSE))"),"")</f>
        <v/>
      </c>
      <c r="AK677" s="98" t="str">
        <f ca="1">IFERROR(__xludf.DUMMYFUNCTION("IFERROR(VLOOKUP(F700,IMPORTRANGE(""https://docs.google.com/spreadsheets/d/1Kvs4KS76FHFqLFIZfrDMff4kP08nblUkihrxltoGBjg/edit#gid=934712705"",""ESENCIAL!A6:BG""),5,FALSE))"),"")</f>
        <v/>
      </c>
      <c r="AL677" s="98" t="str">
        <f t="shared" si="41"/>
        <v/>
      </c>
      <c r="AM677" s="99" t="str">
        <f t="shared" si="42"/>
        <v/>
      </c>
      <c r="AN677" s="100" t="str">
        <f ca="1">IFERROR(__xludf.DUMMYFUNCTION("IFERROR(VLOOKUP(F700,IMPORTRANGE(""https://docs.google.com/spreadsheets/d/1Kvs4KS76FHFqLFIZfrDMff4kP08nblUkihrxltoGBjg/edit#gid=934712705"",""ESENCIAL!A6:BG""),2,FALSE))"),"")</f>
        <v/>
      </c>
      <c r="AO677" s="19" t="str">
        <f t="shared" si="33"/>
        <v/>
      </c>
      <c r="AP677" s="100"/>
      <c r="AQ677" s="100"/>
    </row>
    <row r="678" spans="1:43" ht="15">
      <c r="A678" s="5"/>
      <c r="B678" s="5"/>
      <c r="G678" s="5" t="str">
        <f ca="1">IFERROR(__xludf.DUMMYFUNCTION("IFERROR(VLOOKUP(F701,IMPORTRANGE(""https://docs.google.com/spreadsheets/d/1Kvs4KS76FHFqLFIZfrDMff4kP08nblUkihrxltoGBjg/edit#gid=934712705"",""ESENCIAL!A6:BG""),3,FALSE))"),"")</f>
        <v/>
      </c>
      <c r="H678" s="5" t="str">
        <f ca="1">IFERROR(__xludf.DUMMYFUNCTION("IFERROR(VLOOKUP(F701,IMPORTRANGE(""https://docs.google.com/spreadsheets/d/1Kvs4KS76FHFqLFIZfrDMff4kP08nblUkihrxltoGBjg/edit#gid=934712705"",""ESENCIAL!A6:BG""),8,FALSE))"),"")</f>
        <v/>
      </c>
      <c r="L678" s="40"/>
      <c r="Z678" s="41" t="str">
        <f t="shared" si="40"/>
        <v/>
      </c>
      <c r="AA678" s="5" t="str">
        <f ca="1">IFERROR(__xludf.DUMMYFUNCTION("IFERROR(VLOOKUP(E701&amp;F701,IMPORTRANGE(""https://docs.google.com/spreadsheets/d/1Uw7-A9f9R21vMXxHZFNpYNeKFtG8_yji4HS352LGlSQ/edit?pli=1#gid=0"",""1_ACUM!A4:S""),11,FALSE))"),"")</f>
        <v/>
      </c>
      <c r="AB678" s="42" t="str">
        <f ca="1">IFERROR(__xludf.DUMMYFUNCTION("IFERROR(VLOOKUP(F701,IMPORTRANGE(""https://docs.google.com/spreadsheets/d/1Kvs4KS76FHFqLFIZfrDMff4kP08nblUkihrxltoGBjg/edit#gid=934712705"",""ESENCIAL!A6:BG""),15,FALSE))"),"")</f>
        <v/>
      </c>
      <c r="AC678" s="110" t="str">
        <f ca="1">IFERROR(__xludf.DUMMYFUNCTION("IFERROR(VLOOKUP(E701&amp;F701,IMPORTRANGE(""https://docs.google.com/spreadsheets/d/1Uw7-A9f9R21vMXxHZFNpYNeKFtG8_yji4HS352LGlSQ/edit?pli=1#gid=0"",""1_ACUM!A4:S""),13,FALSE))"),"")</f>
        <v/>
      </c>
      <c r="AD678" s="43" t="str">
        <f ca="1">IFERROR(__xludf.DUMMYFUNCTION("IFERROR(VLOOKUP(E701&amp;F701,IMPORTRANGE(""https://docs.google.com/spreadsheets/d/1Uw7-A9f9R21vMXxHZFNpYNeKFtG8_yji4HS352LGlSQ/edit?pli=1#gid=0"",""1_ACUM!A4:S""),13,FALSE))"),"")</f>
        <v/>
      </c>
      <c r="AE678" s="43" t="str">
        <f ca="1">IFERROR(__xludf.DUMMYFUNCTION("IFERROR(VLOOKUP(E701&amp;F701,IMPORTRANGE(""https://docs.google.com/spreadsheets/d/1Uw7-A9f9R21vMXxHZFNpYNeKFtG8_yji4HS352LGlSQ/edit?pli=1#gid=0"",""1_ACUM!A4:S""),14,FALSE))"),"")</f>
        <v/>
      </c>
      <c r="AF678" s="43" t="str">
        <f ca="1">IFERROR(__xludf.DUMMYFUNCTION("IFERROR(VLOOKUP(E701&amp;F701,IMPORTRANGE(""https://docs.google.com/spreadsheets/d/1Uw7-A9f9R21vMXxHZFNpYNeKFtG8_yji4HS352LGlSQ/edit?pli=1#gid=0"",""1_ACUM!A4:S""),15,FALSE))"),"")</f>
        <v/>
      </c>
      <c r="AG678" s="43" t="str">
        <f ca="1">IFERROR(__xludf.DUMMYFUNCTION("IFERROR(VLOOKUP(E701&amp;F701,IMPORTRANGE(""https://docs.google.com/spreadsheets/d/1Uw7-A9f9R21vMXxHZFNpYNeKFtG8_yji4HS352LGlSQ/edit?pli=1#gid=0"",""1_ACUM!A4:S""),16,FALSE))"),"")</f>
        <v/>
      </c>
      <c r="AH678" s="43" t="str">
        <f ca="1">IFERROR(__xludf.DUMMYFUNCTION("IFERROR(VLOOKUP(E701&amp;F701,IMPORTRANGE(""https://docs.google.com/spreadsheets/d/1Uw7-A9f9R21vMXxHZFNpYNeKFtG8_yji4HS352LGlSQ/edit?pli=1#gid=0"",""1_ACUM!A4:S""),17,FALSE))"),"")</f>
        <v/>
      </c>
      <c r="AI678" s="44" t="str">
        <f ca="1">IFERROR(__xludf.DUMMYFUNCTION("IFERROR(VLOOKUP(E701&amp;F701,IMPORTRANGE(""https://docs.google.com/spreadsheets/d/1Uw7-A9f9R21vMXxHZFNpYNeKFtG8_yji4HS352LGlSQ/edit?pli=1#gid=0"",""1_ACUM!A4:S""),18,FALSE))"),"")</f>
        <v/>
      </c>
      <c r="AJ678" s="44" t="str">
        <f ca="1">IFERROR(__xludf.DUMMYFUNCTION("IFERROR(VLOOKUP(E701&amp;F701,IMPORTRANGE(""https://docs.google.com/spreadsheets/d/1Uw7-A9f9R21vMXxHZFNpYNeKFtG8_yji4HS352LGlSQ/edit?pli=1#gid=0"",""1_ACUM!A4:S""),19,FALSE))"),"")</f>
        <v/>
      </c>
      <c r="AK678" s="98" t="str">
        <f ca="1">IFERROR(__xludf.DUMMYFUNCTION("IFERROR(VLOOKUP(F701,IMPORTRANGE(""https://docs.google.com/spreadsheets/d/1Kvs4KS76FHFqLFIZfrDMff4kP08nblUkihrxltoGBjg/edit#gid=934712705"",""ESENCIAL!A6:BG""),5,FALSE))"),"")</f>
        <v/>
      </c>
      <c r="AL678" s="98" t="str">
        <f t="shared" si="41"/>
        <v/>
      </c>
      <c r="AM678" s="99" t="str">
        <f t="shared" si="42"/>
        <v/>
      </c>
      <c r="AN678" s="100" t="str">
        <f ca="1">IFERROR(__xludf.DUMMYFUNCTION("IFERROR(VLOOKUP(F701,IMPORTRANGE(""https://docs.google.com/spreadsheets/d/1Kvs4KS76FHFqLFIZfrDMff4kP08nblUkihrxltoGBjg/edit#gid=934712705"",""ESENCIAL!A6:BG""),2,FALSE))"),"")</f>
        <v/>
      </c>
      <c r="AO678" s="19" t="str">
        <f t="shared" si="33"/>
        <v/>
      </c>
      <c r="AP678" s="100"/>
      <c r="AQ678" s="100"/>
    </row>
    <row r="679" spans="1:43" ht="15">
      <c r="A679" s="5"/>
      <c r="B679" s="5"/>
      <c r="G679" s="5" t="str">
        <f ca="1">IFERROR(__xludf.DUMMYFUNCTION("IFERROR(VLOOKUP(F702,IMPORTRANGE(""https://docs.google.com/spreadsheets/d/1Kvs4KS76FHFqLFIZfrDMff4kP08nblUkihrxltoGBjg/edit#gid=934712705"",""ESENCIAL!A6:BG""),3,FALSE))"),"")</f>
        <v/>
      </c>
      <c r="H679" s="5" t="str">
        <f ca="1">IFERROR(__xludf.DUMMYFUNCTION("IFERROR(VLOOKUP(F702,IMPORTRANGE(""https://docs.google.com/spreadsheets/d/1Kvs4KS76FHFqLFIZfrDMff4kP08nblUkihrxltoGBjg/edit#gid=934712705"",""ESENCIAL!A6:BG""),8,FALSE))"),"")</f>
        <v/>
      </c>
      <c r="L679" s="40"/>
      <c r="Z679" s="41" t="str">
        <f t="shared" si="40"/>
        <v/>
      </c>
      <c r="AA679" s="5" t="str">
        <f ca="1">IFERROR(__xludf.DUMMYFUNCTION("IFERROR(VLOOKUP(E702&amp;F702,IMPORTRANGE(""https://docs.google.com/spreadsheets/d/1Uw7-A9f9R21vMXxHZFNpYNeKFtG8_yji4HS352LGlSQ/edit?pli=1#gid=0"",""1_ACUM!A4:S""),11,FALSE))"),"")</f>
        <v/>
      </c>
      <c r="AB679" s="42" t="str">
        <f ca="1">IFERROR(__xludf.DUMMYFUNCTION("IFERROR(VLOOKUP(F702,IMPORTRANGE(""https://docs.google.com/spreadsheets/d/1Kvs4KS76FHFqLFIZfrDMff4kP08nblUkihrxltoGBjg/edit#gid=934712705"",""ESENCIAL!A6:BG""),15,FALSE))"),"")</f>
        <v/>
      </c>
      <c r="AC679" s="110" t="str">
        <f ca="1">IFERROR(__xludf.DUMMYFUNCTION("IFERROR(VLOOKUP(E702&amp;F702,IMPORTRANGE(""https://docs.google.com/spreadsheets/d/1Uw7-A9f9R21vMXxHZFNpYNeKFtG8_yji4HS352LGlSQ/edit?pli=1#gid=0"",""1_ACUM!A4:S""),13,FALSE))"),"")</f>
        <v/>
      </c>
      <c r="AD679" s="43" t="str">
        <f ca="1">IFERROR(__xludf.DUMMYFUNCTION("IFERROR(VLOOKUP(E702&amp;F702,IMPORTRANGE(""https://docs.google.com/spreadsheets/d/1Uw7-A9f9R21vMXxHZFNpYNeKFtG8_yji4HS352LGlSQ/edit?pli=1#gid=0"",""1_ACUM!A4:S""),13,FALSE))"),"")</f>
        <v/>
      </c>
      <c r="AE679" s="43" t="str">
        <f ca="1">IFERROR(__xludf.DUMMYFUNCTION("IFERROR(VLOOKUP(E702&amp;F702,IMPORTRANGE(""https://docs.google.com/spreadsheets/d/1Uw7-A9f9R21vMXxHZFNpYNeKFtG8_yji4HS352LGlSQ/edit?pli=1#gid=0"",""1_ACUM!A4:S""),14,FALSE))"),"")</f>
        <v/>
      </c>
      <c r="AF679" s="43" t="str">
        <f ca="1">IFERROR(__xludf.DUMMYFUNCTION("IFERROR(VLOOKUP(E702&amp;F702,IMPORTRANGE(""https://docs.google.com/spreadsheets/d/1Uw7-A9f9R21vMXxHZFNpYNeKFtG8_yji4HS352LGlSQ/edit?pli=1#gid=0"",""1_ACUM!A4:S""),15,FALSE))"),"")</f>
        <v/>
      </c>
      <c r="AG679" s="43" t="str">
        <f ca="1">IFERROR(__xludf.DUMMYFUNCTION("IFERROR(VLOOKUP(E702&amp;F702,IMPORTRANGE(""https://docs.google.com/spreadsheets/d/1Uw7-A9f9R21vMXxHZFNpYNeKFtG8_yji4HS352LGlSQ/edit?pli=1#gid=0"",""1_ACUM!A4:S""),16,FALSE))"),"")</f>
        <v/>
      </c>
      <c r="AH679" s="43" t="str">
        <f ca="1">IFERROR(__xludf.DUMMYFUNCTION("IFERROR(VLOOKUP(E702&amp;F702,IMPORTRANGE(""https://docs.google.com/spreadsheets/d/1Uw7-A9f9R21vMXxHZFNpYNeKFtG8_yji4HS352LGlSQ/edit?pli=1#gid=0"",""1_ACUM!A4:S""),17,FALSE))"),"")</f>
        <v/>
      </c>
      <c r="AI679" s="44" t="str">
        <f ca="1">IFERROR(__xludf.DUMMYFUNCTION("IFERROR(VLOOKUP(E702&amp;F702,IMPORTRANGE(""https://docs.google.com/spreadsheets/d/1Uw7-A9f9R21vMXxHZFNpYNeKFtG8_yji4HS352LGlSQ/edit?pli=1#gid=0"",""1_ACUM!A4:S""),18,FALSE))"),"")</f>
        <v/>
      </c>
      <c r="AJ679" s="44" t="str">
        <f ca="1">IFERROR(__xludf.DUMMYFUNCTION("IFERROR(VLOOKUP(E702&amp;F702,IMPORTRANGE(""https://docs.google.com/spreadsheets/d/1Uw7-A9f9R21vMXxHZFNpYNeKFtG8_yji4HS352LGlSQ/edit?pli=1#gid=0"",""1_ACUM!A4:S""),19,FALSE))"),"")</f>
        <v/>
      </c>
      <c r="AK679" s="98" t="str">
        <f ca="1">IFERROR(__xludf.DUMMYFUNCTION("IFERROR(VLOOKUP(F702,IMPORTRANGE(""https://docs.google.com/spreadsheets/d/1Kvs4KS76FHFqLFIZfrDMff4kP08nblUkihrxltoGBjg/edit#gid=934712705"",""ESENCIAL!A6:BG""),5,FALSE))"),"")</f>
        <v/>
      </c>
      <c r="AL679" s="98" t="str">
        <f t="shared" si="41"/>
        <v/>
      </c>
      <c r="AM679" s="99" t="str">
        <f t="shared" si="42"/>
        <v/>
      </c>
      <c r="AN679" s="100" t="str">
        <f ca="1">IFERROR(__xludf.DUMMYFUNCTION("IFERROR(VLOOKUP(F702,IMPORTRANGE(""https://docs.google.com/spreadsheets/d/1Kvs4KS76FHFqLFIZfrDMff4kP08nblUkihrxltoGBjg/edit#gid=934712705"",""ESENCIAL!A6:BG""),2,FALSE))"),"")</f>
        <v/>
      </c>
      <c r="AO679" s="19" t="str">
        <f t="shared" si="33"/>
        <v/>
      </c>
      <c r="AP679" s="100"/>
      <c r="AQ679" s="100"/>
    </row>
    <row r="680" spans="1:43" ht="15">
      <c r="A680" s="5"/>
      <c r="B680" s="5"/>
      <c r="G680" s="5" t="str">
        <f ca="1">IFERROR(__xludf.DUMMYFUNCTION("IFERROR(VLOOKUP(F703,IMPORTRANGE(""https://docs.google.com/spreadsheets/d/1Kvs4KS76FHFqLFIZfrDMff4kP08nblUkihrxltoGBjg/edit#gid=934712705"",""ESENCIAL!A6:BG""),3,FALSE))"),"")</f>
        <v/>
      </c>
      <c r="H680" s="5" t="str">
        <f ca="1">IFERROR(__xludf.DUMMYFUNCTION("IFERROR(VLOOKUP(F703,IMPORTRANGE(""https://docs.google.com/spreadsheets/d/1Kvs4KS76FHFqLFIZfrDMff4kP08nblUkihrxltoGBjg/edit#gid=934712705"",""ESENCIAL!A6:BG""),8,FALSE))"),"")</f>
        <v/>
      </c>
      <c r="L680" s="40"/>
      <c r="Z680" s="41" t="str">
        <f t="shared" si="40"/>
        <v/>
      </c>
      <c r="AA680" s="5" t="str">
        <f ca="1">IFERROR(__xludf.DUMMYFUNCTION("IFERROR(VLOOKUP(E703&amp;F703,IMPORTRANGE(""https://docs.google.com/spreadsheets/d/1Uw7-A9f9R21vMXxHZFNpYNeKFtG8_yji4HS352LGlSQ/edit?pli=1#gid=0"",""1_ACUM!A4:S""),11,FALSE))"),"")</f>
        <v/>
      </c>
      <c r="AB680" s="42" t="str">
        <f ca="1">IFERROR(__xludf.DUMMYFUNCTION("IFERROR(VLOOKUP(F703,IMPORTRANGE(""https://docs.google.com/spreadsheets/d/1Kvs4KS76FHFqLFIZfrDMff4kP08nblUkihrxltoGBjg/edit#gid=934712705"",""ESENCIAL!A6:BG""),15,FALSE))"),"")</f>
        <v/>
      </c>
      <c r="AC680" s="110" t="str">
        <f ca="1">IFERROR(__xludf.DUMMYFUNCTION("IFERROR(VLOOKUP(E703&amp;F703,IMPORTRANGE(""https://docs.google.com/spreadsheets/d/1Uw7-A9f9R21vMXxHZFNpYNeKFtG8_yji4HS352LGlSQ/edit?pli=1#gid=0"",""1_ACUM!A4:S""),13,FALSE))"),"")</f>
        <v/>
      </c>
      <c r="AD680" s="43" t="str">
        <f ca="1">IFERROR(__xludf.DUMMYFUNCTION("IFERROR(VLOOKUP(E703&amp;F703,IMPORTRANGE(""https://docs.google.com/spreadsheets/d/1Uw7-A9f9R21vMXxHZFNpYNeKFtG8_yji4HS352LGlSQ/edit?pli=1#gid=0"",""1_ACUM!A4:S""),13,FALSE))"),"")</f>
        <v/>
      </c>
      <c r="AE680" s="43" t="str">
        <f ca="1">IFERROR(__xludf.DUMMYFUNCTION("IFERROR(VLOOKUP(E703&amp;F703,IMPORTRANGE(""https://docs.google.com/spreadsheets/d/1Uw7-A9f9R21vMXxHZFNpYNeKFtG8_yji4HS352LGlSQ/edit?pli=1#gid=0"",""1_ACUM!A4:S""),14,FALSE))"),"")</f>
        <v/>
      </c>
      <c r="AF680" s="43" t="str">
        <f ca="1">IFERROR(__xludf.DUMMYFUNCTION("IFERROR(VLOOKUP(E703&amp;F703,IMPORTRANGE(""https://docs.google.com/spreadsheets/d/1Uw7-A9f9R21vMXxHZFNpYNeKFtG8_yji4HS352LGlSQ/edit?pli=1#gid=0"",""1_ACUM!A4:S""),15,FALSE))"),"")</f>
        <v/>
      </c>
      <c r="AG680" s="43" t="str">
        <f ca="1">IFERROR(__xludf.DUMMYFUNCTION("IFERROR(VLOOKUP(E703&amp;F703,IMPORTRANGE(""https://docs.google.com/spreadsheets/d/1Uw7-A9f9R21vMXxHZFNpYNeKFtG8_yji4HS352LGlSQ/edit?pli=1#gid=0"",""1_ACUM!A4:S""),16,FALSE))"),"")</f>
        <v/>
      </c>
      <c r="AH680" s="43" t="str">
        <f ca="1">IFERROR(__xludf.DUMMYFUNCTION("IFERROR(VLOOKUP(E703&amp;F703,IMPORTRANGE(""https://docs.google.com/spreadsheets/d/1Uw7-A9f9R21vMXxHZFNpYNeKFtG8_yji4HS352LGlSQ/edit?pli=1#gid=0"",""1_ACUM!A4:S""),17,FALSE))"),"")</f>
        <v/>
      </c>
      <c r="AI680" s="44" t="str">
        <f ca="1">IFERROR(__xludf.DUMMYFUNCTION("IFERROR(VLOOKUP(E703&amp;F703,IMPORTRANGE(""https://docs.google.com/spreadsheets/d/1Uw7-A9f9R21vMXxHZFNpYNeKFtG8_yji4HS352LGlSQ/edit?pli=1#gid=0"",""1_ACUM!A4:S""),18,FALSE))"),"")</f>
        <v/>
      </c>
      <c r="AJ680" s="44" t="str">
        <f ca="1">IFERROR(__xludf.DUMMYFUNCTION("IFERROR(VLOOKUP(E703&amp;F703,IMPORTRANGE(""https://docs.google.com/spreadsheets/d/1Uw7-A9f9R21vMXxHZFNpYNeKFtG8_yji4HS352LGlSQ/edit?pli=1#gid=0"",""1_ACUM!A4:S""),19,FALSE))"),"")</f>
        <v/>
      </c>
      <c r="AK680" s="98" t="str">
        <f ca="1">IFERROR(__xludf.DUMMYFUNCTION("IFERROR(VLOOKUP(F703,IMPORTRANGE(""https://docs.google.com/spreadsheets/d/1Kvs4KS76FHFqLFIZfrDMff4kP08nblUkihrxltoGBjg/edit#gid=934712705"",""ESENCIAL!A6:BG""),5,FALSE))"),"")</f>
        <v/>
      </c>
      <c r="AL680" s="98" t="str">
        <f t="shared" si="41"/>
        <v/>
      </c>
      <c r="AM680" s="99" t="str">
        <f t="shared" si="42"/>
        <v/>
      </c>
      <c r="AN680" s="100" t="str">
        <f ca="1">IFERROR(__xludf.DUMMYFUNCTION("IFERROR(VLOOKUP(F703,IMPORTRANGE(""https://docs.google.com/spreadsheets/d/1Kvs4KS76FHFqLFIZfrDMff4kP08nblUkihrxltoGBjg/edit#gid=934712705"",""ESENCIAL!A6:BG""),2,FALSE))"),"")</f>
        <v/>
      </c>
      <c r="AO680" s="19" t="str">
        <f t="shared" si="33"/>
        <v/>
      </c>
      <c r="AP680" s="100"/>
      <c r="AQ680" s="100"/>
    </row>
    <row r="681" spans="1:43" ht="15">
      <c r="A681" s="5"/>
      <c r="B681" s="5"/>
      <c r="G681" s="5" t="str">
        <f ca="1">IFERROR(__xludf.DUMMYFUNCTION("IFERROR(VLOOKUP(F704,IMPORTRANGE(""https://docs.google.com/spreadsheets/d/1Kvs4KS76FHFqLFIZfrDMff4kP08nblUkihrxltoGBjg/edit#gid=934712705"",""ESENCIAL!A6:BG""),3,FALSE))"),"")</f>
        <v/>
      </c>
      <c r="H681" s="5" t="str">
        <f ca="1">IFERROR(__xludf.DUMMYFUNCTION("IFERROR(VLOOKUP(F704,IMPORTRANGE(""https://docs.google.com/spreadsheets/d/1Kvs4KS76FHFqLFIZfrDMff4kP08nblUkihrxltoGBjg/edit#gid=934712705"",""ESENCIAL!A6:BG""),8,FALSE))"),"")</f>
        <v/>
      </c>
      <c r="L681" s="40"/>
      <c r="Z681" s="41" t="str">
        <f t="shared" si="40"/>
        <v/>
      </c>
      <c r="AA681" s="5" t="str">
        <f ca="1">IFERROR(__xludf.DUMMYFUNCTION("IFERROR(VLOOKUP(E704&amp;F704,IMPORTRANGE(""https://docs.google.com/spreadsheets/d/1Uw7-A9f9R21vMXxHZFNpYNeKFtG8_yji4HS352LGlSQ/edit?pli=1#gid=0"",""1_ACUM!A4:S""),11,FALSE))"),"")</f>
        <v/>
      </c>
      <c r="AB681" s="42" t="str">
        <f ca="1">IFERROR(__xludf.DUMMYFUNCTION("IFERROR(VLOOKUP(F704,IMPORTRANGE(""https://docs.google.com/spreadsheets/d/1Kvs4KS76FHFqLFIZfrDMff4kP08nblUkihrxltoGBjg/edit#gid=934712705"",""ESENCIAL!A6:BG""),15,FALSE))"),"")</f>
        <v/>
      </c>
      <c r="AC681" s="110" t="str">
        <f ca="1">IFERROR(__xludf.DUMMYFUNCTION("IFERROR(VLOOKUP(E704&amp;F704,IMPORTRANGE(""https://docs.google.com/spreadsheets/d/1Uw7-A9f9R21vMXxHZFNpYNeKFtG8_yji4HS352LGlSQ/edit?pli=1#gid=0"",""1_ACUM!A4:S""),13,FALSE))"),"")</f>
        <v/>
      </c>
      <c r="AD681" s="43" t="str">
        <f ca="1">IFERROR(__xludf.DUMMYFUNCTION("IFERROR(VLOOKUP(E704&amp;F704,IMPORTRANGE(""https://docs.google.com/spreadsheets/d/1Uw7-A9f9R21vMXxHZFNpYNeKFtG8_yji4HS352LGlSQ/edit?pli=1#gid=0"",""1_ACUM!A4:S""),13,FALSE))"),"")</f>
        <v/>
      </c>
      <c r="AE681" s="43" t="str">
        <f ca="1">IFERROR(__xludf.DUMMYFUNCTION("IFERROR(VLOOKUP(E704&amp;F704,IMPORTRANGE(""https://docs.google.com/spreadsheets/d/1Uw7-A9f9R21vMXxHZFNpYNeKFtG8_yji4HS352LGlSQ/edit?pli=1#gid=0"",""1_ACUM!A4:S""),14,FALSE))"),"")</f>
        <v/>
      </c>
      <c r="AF681" s="43" t="str">
        <f ca="1">IFERROR(__xludf.DUMMYFUNCTION("IFERROR(VLOOKUP(E704&amp;F704,IMPORTRANGE(""https://docs.google.com/spreadsheets/d/1Uw7-A9f9R21vMXxHZFNpYNeKFtG8_yji4HS352LGlSQ/edit?pli=1#gid=0"",""1_ACUM!A4:S""),15,FALSE))"),"")</f>
        <v/>
      </c>
      <c r="AG681" s="43" t="str">
        <f ca="1">IFERROR(__xludf.DUMMYFUNCTION("IFERROR(VLOOKUP(E704&amp;F704,IMPORTRANGE(""https://docs.google.com/spreadsheets/d/1Uw7-A9f9R21vMXxHZFNpYNeKFtG8_yji4HS352LGlSQ/edit?pli=1#gid=0"",""1_ACUM!A4:S""),16,FALSE))"),"")</f>
        <v/>
      </c>
      <c r="AH681" s="43" t="str">
        <f ca="1">IFERROR(__xludf.DUMMYFUNCTION("IFERROR(VLOOKUP(E704&amp;F704,IMPORTRANGE(""https://docs.google.com/spreadsheets/d/1Uw7-A9f9R21vMXxHZFNpYNeKFtG8_yji4HS352LGlSQ/edit?pli=1#gid=0"",""1_ACUM!A4:S""),17,FALSE))"),"")</f>
        <v/>
      </c>
      <c r="AI681" s="44" t="str">
        <f ca="1">IFERROR(__xludf.DUMMYFUNCTION("IFERROR(VLOOKUP(E704&amp;F704,IMPORTRANGE(""https://docs.google.com/spreadsheets/d/1Uw7-A9f9R21vMXxHZFNpYNeKFtG8_yji4HS352LGlSQ/edit?pli=1#gid=0"",""1_ACUM!A4:S""),18,FALSE))"),"")</f>
        <v/>
      </c>
      <c r="AJ681" s="44" t="str">
        <f ca="1">IFERROR(__xludf.DUMMYFUNCTION("IFERROR(VLOOKUP(E704&amp;F704,IMPORTRANGE(""https://docs.google.com/spreadsheets/d/1Uw7-A9f9R21vMXxHZFNpYNeKFtG8_yji4HS352LGlSQ/edit?pli=1#gid=0"",""1_ACUM!A4:S""),19,FALSE))"),"")</f>
        <v/>
      </c>
      <c r="AK681" s="98" t="str">
        <f ca="1">IFERROR(__xludf.DUMMYFUNCTION("IFERROR(VLOOKUP(F704,IMPORTRANGE(""https://docs.google.com/spreadsheets/d/1Kvs4KS76FHFqLFIZfrDMff4kP08nblUkihrxltoGBjg/edit#gid=934712705"",""ESENCIAL!A6:BG""),5,FALSE))"),"")</f>
        <v/>
      </c>
      <c r="AL681" s="98" t="str">
        <f t="shared" si="41"/>
        <v/>
      </c>
      <c r="AM681" s="99" t="str">
        <f t="shared" si="42"/>
        <v/>
      </c>
      <c r="AN681" s="100" t="str">
        <f ca="1">IFERROR(__xludf.DUMMYFUNCTION("IFERROR(VLOOKUP(F704,IMPORTRANGE(""https://docs.google.com/spreadsheets/d/1Kvs4KS76FHFqLFIZfrDMff4kP08nblUkihrxltoGBjg/edit#gid=934712705"",""ESENCIAL!A6:BG""),2,FALSE))"),"")</f>
        <v/>
      </c>
      <c r="AO681" s="19" t="str">
        <f t="shared" si="33"/>
        <v/>
      </c>
      <c r="AP681" s="100"/>
      <c r="AQ681" s="100"/>
    </row>
    <row r="682" spans="1:43" ht="15">
      <c r="A682" s="5"/>
      <c r="B682" s="5"/>
      <c r="G682" s="5" t="str">
        <f ca="1">IFERROR(__xludf.DUMMYFUNCTION("IFERROR(VLOOKUP(F705,IMPORTRANGE(""https://docs.google.com/spreadsheets/d/1Kvs4KS76FHFqLFIZfrDMff4kP08nblUkihrxltoGBjg/edit#gid=934712705"",""ESENCIAL!A6:BG""),3,FALSE))"),"")</f>
        <v/>
      </c>
      <c r="H682" s="5" t="str">
        <f ca="1">IFERROR(__xludf.DUMMYFUNCTION("IFERROR(VLOOKUP(F705,IMPORTRANGE(""https://docs.google.com/spreadsheets/d/1Kvs4KS76FHFqLFIZfrDMff4kP08nblUkihrxltoGBjg/edit#gid=934712705"",""ESENCIAL!A6:BG""),8,FALSE))"),"")</f>
        <v/>
      </c>
      <c r="L682" s="40"/>
      <c r="Z682" s="41" t="str">
        <f t="shared" si="40"/>
        <v/>
      </c>
      <c r="AA682" s="5" t="str">
        <f ca="1">IFERROR(__xludf.DUMMYFUNCTION("IFERROR(VLOOKUP(E705&amp;F705,IMPORTRANGE(""https://docs.google.com/spreadsheets/d/1Uw7-A9f9R21vMXxHZFNpYNeKFtG8_yji4HS352LGlSQ/edit?pli=1#gid=0"",""1_ACUM!A4:S""),11,FALSE))"),"")</f>
        <v/>
      </c>
      <c r="AB682" s="42" t="str">
        <f ca="1">IFERROR(__xludf.DUMMYFUNCTION("IFERROR(VLOOKUP(F705,IMPORTRANGE(""https://docs.google.com/spreadsheets/d/1Kvs4KS76FHFqLFIZfrDMff4kP08nblUkihrxltoGBjg/edit#gid=934712705"",""ESENCIAL!A6:BG""),15,FALSE))"),"")</f>
        <v/>
      </c>
      <c r="AC682" s="110" t="str">
        <f ca="1">IFERROR(__xludf.DUMMYFUNCTION("IFERROR(VLOOKUP(E705&amp;F705,IMPORTRANGE(""https://docs.google.com/spreadsheets/d/1Uw7-A9f9R21vMXxHZFNpYNeKFtG8_yji4HS352LGlSQ/edit?pli=1#gid=0"",""1_ACUM!A4:S""),13,FALSE))"),"")</f>
        <v/>
      </c>
      <c r="AD682" s="43" t="str">
        <f ca="1">IFERROR(__xludf.DUMMYFUNCTION("IFERROR(VLOOKUP(E705&amp;F705,IMPORTRANGE(""https://docs.google.com/spreadsheets/d/1Uw7-A9f9R21vMXxHZFNpYNeKFtG8_yji4HS352LGlSQ/edit?pli=1#gid=0"",""1_ACUM!A4:S""),13,FALSE))"),"")</f>
        <v/>
      </c>
      <c r="AE682" s="43" t="str">
        <f ca="1">IFERROR(__xludf.DUMMYFUNCTION("IFERROR(VLOOKUP(E705&amp;F705,IMPORTRANGE(""https://docs.google.com/spreadsheets/d/1Uw7-A9f9R21vMXxHZFNpYNeKFtG8_yji4HS352LGlSQ/edit?pli=1#gid=0"",""1_ACUM!A4:S""),14,FALSE))"),"")</f>
        <v/>
      </c>
      <c r="AF682" s="43" t="str">
        <f ca="1">IFERROR(__xludf.DUMMYFUNCTION("IFERROR(VLOOKUP(E705&amp;F705,IMPORTRANGE(""https://docs.google.com/spreadsheets/d/1Uw7-A9f9R21vMXxHZFNpYNeKFtG8_yji4HS352LGlSQ/edit?pli=1#gid=0"",""1_ACUM!A4:S""),15,FALSE))"),"")</f>
        <v/>
      </c>
      <c r="AG682" s="43" t="str">
        <f ca="1">IFERROR(__xludf.DUMMYFUNCTION("IFERROR(VLOOKUP(E705&amp;F705,IMPORTRANGE(""https://docs.google.com/spreadsheets/d/1Uw7-A9f9R21vMXxHZFNpYNeKFtG8_yji4HS352LGlSQ/edit?pli=1#gid=0"",""1_ACUM!A4:S""),16,FALSE))"),"")</f>
        <v/>
      </c>
      <c r="AH682" s="43" t="str">
        <f ca="1">IFERROR(__xludf.DUMMYFUNCTION("IFERROR(VLOOKUP(E705&amp;F705,IMPORTRANGE(""https://docs.google.com/spreadsheets/d/1Uw7-A9f9R21vMXxHZFNpYNeKFtG8_yji4HS352LGlSQ/edit?pli=1#gid=0"",""1_ACUM!A4:S""),17,FALSE))"),"")</f>
        <v/>
      </c>
      <c r="AI682" s="44" t="str">
        <f ca="1">IFERROR(__xludf.DUMMYFUNCTION("IFERROR(VLOOKUP(E705&amp;F705,IMPORTRANGE(""https://docs.google.com/spreadsheets/d/1Uw7-A9f9R21vMXxHZFNpYNeKFtG8_yji4HS352LGlSQ/edit?pli=1#gid=0"",""1_ACUM!A4:S""),18,FALSE))"),"")</f>
        <v/>
      </c>
      <c r="AJ682" s="44" t="str">
        <f ca="1">IFERROR(__xludf.DUMMYFUNCTION("IFERROR(VLOOKUP(E705&amp;F705,IMPORTRANGE(""https://docs.google.com/spreadsheets/d/1Uw7-A9f9R21vMXxHZFNpYNeKFtG8_yji4HS352LGlSQ/edit?pli=1#gid=0"",""1_ACUM!A4:S""),19,FALSE))"),"")</f>
        <v/>
      </c>
      <c r="AK682" s="98" t="str">
        <f ca="1">IFERROR(__xludf.DUMMYFUNCTION("IFERROR(VLOOKUP(F705,IMPORTRANGE(""https://docs.google.com/spreadsheets/d/1Kvs4KS76FHFqLFIZfrDMff4kP08nblUkihrxltoGBjg/edit#gid=934712705"",""ESENCIAL!A6:BG""),5,FALSE))"),"")</f>
        <v/>
      </c>
      <c r="AL682" s="98" t="str">
        <f t="shared" si="41"/>
        <v/>
      </c>
      <c r="AM682" s="99" t="str">
        <f t="shared" si="42"/>
        <v/>
      </c>
      <c r="AN682" s="100" t="str">
        <f ca="1">IFERROR(__xludf.DUMMYFUNCTION("IFERROR(VLOOKUP(F705,IMPORTRANGE(""https://docs.google.com/spreadsheets/d/1Kvs4KS76FHFqLFIZfrDMff4kP08nblUkihrxltoGBjg/edit#gid=934712705"",""ESENCIAL!A6:BG""),2,FALSE))"),"")</f>
        <v/>
      </c>
      <c r="AO682" s="19" t="str">
        <f t="shared" si="33"/>
        <v/>
      </c>
      <c r="AP682" s="100"/>
      <c r="AQ682" s="100"/>
    </row>
    <row r="683" spans="1:43" ht="15">
      <c r="A683" s="5"/>
      <c r="B683" s="5"/>
      <c r="G683" s="5" t="str">
        <f ca="1">IFERROR(__xludf.DUMMYFUNCTION("IFERROR(VLOOKUP(F706,IMPORTRANGE(""https://docs.google.com/spreadsheets/d/1Kvs4KS76FHFqLFIZfrDMff4kP08nblUkihrxltoGBjg/edit#gid=934712705"",""ESENCIAL!A6:BG""),3,FALSE))"),"")</f>
        <v/>
      </c>
      <c r="H683" s="5" t="str">
        <f ca="1">IFERROR(__xludf.DUMMYFUNCTION("IFERROR(VLOOKUP(F706,IMPORTRANGE(""https://docs.google.com/spreadsheets/d/1Kvs4KS76FHFqLFIZfrDMff4kP08nblUkihrxltoGBjg/edit#gid=934712705"",""ESENCIAL!A6:BG""),8,FALSE))"),"")</f>
        <v/>
      </c>
      <c r="L683" s="40"/>
      <c r="Z683" s="41" t="str">
        <f t="shared" si="40"/>
        <v/>
      </c>
      <c r="AA683" s="5" t="str">
        <f ca="1">IFERROR(__xludf.DUMMYFUNCTION("IFERROR(VLOOKUP(E706&amp;F706,IMPORTRANGE(""https://docs.google.com/spreadsheets/d/1Uw7-A9f9R21vMXxHZFNpYNeKFtG8_yji4HS352LGlSQ/edit?pli=1#gid=0"",""1_ACUM!A4:S""),11,FALSE))"),"")</f>
        <v/>
      </c>
      <c r="AB683" s="42" t="str">
        <f ca="1">IFERROR(__xludf.DUMMYFUNCTION("IFERROR(VLOOKUP(F706,IMPORTRANGE(""https://docs.google.com/spreadsheets/d/1Kvs4KS76FHFqLFIZfrDMff4kP08nblUkihrxltoGBjg/edit#gid=934712705"",""ESENCIAL!A6:BG""),15,FALSE))"),"")</f>
        <v/>
      </c>
      <c r="AC683" s="110" t="str">
        <f ca="1">IFERROR(__xludf.DUMMYFUNCTION("IFERROR(VLOOKUP(E706&amp;F706,IMPORTRANGE(""https://docs.google.com/spreadsheets/d/1Uw7-A9f9R21vMXxHZFNpYNeKFtG8_yji4HS352LGlSQ/edit?pli=1#gid=0"",""1_ACUM!A4:S""),13,FALSE))"),"")</f>
        <v/>
      </c>
      <c r="AD683" s="43" t="str">
        <f ca="1">IFERROR(__xludf.DUMMYFUNCTION("IFERROR(VLOOKUP(E706&amp;F706,IMPORTRANGE(""https://docs.google.com/spreadsheets/d/1Uw7-A9f9R21vMXxHZFNpYNeKFtG8_yji4HS352LGlSQ/edit?pli=1#gid=0"",""1_ACUM!A4:S""),13,FALSE))"),"")</f>
        <v/>
      </c>
      <c r="AE683" s="43" t="str">
        <f ca="1">IFERROR(__xludf.DUMMYFUNCTION("IFERROR(VLOOKUP(E706&amp;F706,IMPORTRANGE(""https://docs.google.com/spreadsheets/d/1Uw7-A9f9R21vMXxHZFNpYNeKFtG8_yji4HS352LGlSQ/edit?pli=1#gid=0"",""1_ACUM!A4:S""),14,FALSE))"),"")</f>
        <v/>
      </c>
      <c r="AF683" s="43" t="str">
        <f ca="1">IFERROR(__xludf.DUMMYFUNCTION("IFERROR(VLOOKUP(E706&amp;F706,IMPORTRANGE(""https://docs.google.com/spreadsheets/d/1Uw7-A9f9R21vMXxHZFNpYNeKFtG8_yji4HS352LGlSQ/edit?pli=1#gid=0"",""1_ACUM!A4:S""),15,FALSE))"),"")</f>
        <v/>
      </c>
      <c r="AG683" s="43" t="str">
        <f ca="1">IFERROR(__xludf.DUMMYFUNCTION("IFERROR(VLOOKUP(E706&amp;F706,IMPORTRANGE(""https://docs.google.com/spreadsheets/d/1Uw7-A9f9R21vMXxHZFNpYNeKFtG8_yji4HS352LGlSQ/edit?pli=1#gid=0"",""1_ACUM!A4:S""),16,FALSE))"),"")</f>
        <v/>
      </c>
      <c r="AH683" s="43" t="str">
        <f ca="1">IFERROR(__xludf.DUMMYFUNCTION("IFERROR(VLOOKUP(E706&amp;F706,IMPORTRANGE(""https://docs.google.com/spreadsheets/d/1Uw7-A9f9R21vMXxHZFNpYNeKFtG8_yji4HS352LGlSQ/edit?pli=1#gid=0"",""1_ACUM!A4:S""),17,FALSE))"),"")</f>
        <v/>
      </c>
      <c r="AI683" s="44" t="str">
        <f ca="1">IFERROR(__xludf.DUMMYFUNCTION("IFERROR(VLOOKUP(E706&amp;F706,IMPORTRANGE(""https://docs.google.com/spreadsheets/d/1Uw7-A9f9R21vMXxHZFNpYNeKFtG8_yji4HS352LGlSQ/edit?pli=1#gid=0"",""1_ACUM!A4:S""),18,FALSE))"),"")</f>
        <v/>
      </c>
      <c r="AJ683" s="44" t="str">
        <f ca="1">IFERROR(__xludf.DUMMYFUNCTION("IFERROR(VLOOKUP(E706&amp;F706,IMPORTRANGE(""https://docs.google.com/spreadsheets/d/1Uw7-A9f9R21vMXxHZFNpYNeKFtG8_yji4HS352LGlSQ/edit?pli=1#gid=0"",""1_ACUM!A4:S""),19,FALSE))"),"")</f>
        <v/>
      </c>
      <c r="AK683" s="98" t="str">
        <f ca="1">IFERROR(__xludf.DUMMYFUNCTION("IFERROR(VLOOKUP(F706,IMPORTRANGE(""https://docs.google.com/spreadsheets/d/1Kvs4KS76FHFqLFIZfrDMff4kP08nblUkihrxltoGBjg/edit#gid=934712705"",""ESENCIAL!A6:BG""),5,FALSE))"),"")</f>
        <v/>
      </c>
      <c r="AL683" s="98" t="str">
        <f t="shared" si="41"/>
        <v/>
      </c>
      <c r="AM683" s="99" t="str">
        <f t="shared" si="42"/>
        <v/>
      </c>
      <c r="AN683" s="100" t="str">
        <f ca="1">IFERROR(__xludf.DUMMYFUNCTION("IFERROR(VLOOKUP(F706,IMPORTRANGE(""https://docs.google.com/spreadsheets/d/1Kvs4KS76FHFqLFIZfrDMff4kP08nblUkihrxltoGBjg/edit#gid=934712705"",""ESENCIAL!A6:BG""),2,FALSE))"),"")</f>
        <v/>
      </c>
      <c r="AO683" s="19" t="str">
        <f t="shared" si="33"/>
        <v/>
      </c>
      <c r="AP683" s="100"/>
      <c r="AQ683" s="100"/>
    </row>
    <row r="684" spans="1:43" ht="15">
      <c r="A684" s="5"/>
      <c r="B684" s="5"/>
      <c r="G684" s="5" t="str">
        <f ca="1">IFERROR(__xludf.DUMMYFUNCTION("IFERROR(VLOOKUP(F707,IMPORTRANGE(""https://docs.google.com/spreadsheets/d/1Kvs4KS76FHFqLFIZfrDMff4kP08nblUkihrxltoGBjg/edit#gid=934712705"",""ESENCIAL!A6:BG""),3,FALSE))"),"")</f>
        <v/>
      </c>
      <c r="H684" s="5" t="str">
        <f ca="1">IFERROR(__xludf.DUMMYFUNCTION("IFERROR(VLOOKUP(F707,IMPORTRANGE(""https://docs.google.com/spreadsheets/d/1Kvs4KS76FHFqLFIZfrDMff4kP08nblUkihrxltoGBjg/edit#gid=934712705"",""ESENCIAL!A6:BG""),8,FALSE))"),"")</f>
        <v/>
      </c>
      <c r="L684" s="40"/>
      <c r="Z684" s="41" t="str">
        <f t="shared" si="40"/>
        <v/>
      </c>
      <c r="AA684" s="5" t="str">
        <f ca="1">IFERROR(__xludf.DUMMYFUNCTION("IFERROR(VLOOKUP(E707&amp;F707,IMPORTRANGE(""https://docs.google.com/spreadsheets/d/1Uw7-A9f9R21vMXxHZFNpYNeKFtG8_yji4HS352LGlSQ/edit?pli=1#gid=0"",""1_ACUM!A4:S""),11,FALSE))"),"")</f>
        <v/>
      </c>
      <c r="AB684" s="42" t="str">
        <f ca="1">IFERROR(__xludf.DUMMYFUNCTION("IFERROR(VLOOKUP(F707,IMPORTRANGE(""https://docs.google.com/spreadsheets/d/1Kvs4KS76FHFqLFIZfrDMff4kP08nblUkihrxltoGBjg/edit#gid=934712705"",""ESENCIAL!A6:BG""),15,FALSE))"),"")</f>
        <v/>
      </c>
      <c r="AC684" s="110" t="str">
        <f ca="1">IFERROR(__xludf.DUMMYFUNCTION("IFERROR(VLOOKUP(E707&amp;F707,IMPORTRANGE(""https://docs.google.com/spreadsheets/d/1Uw7-A9f9R21vMXxHZFNpYNeKFtG8_yji4HS352LGlSQ/edit?pli=1#gid=0"",""1_ACUM!A4:S""),13,FALSE))"),"")</f>
        <v/>
      </c>
      <c r="AD684" s="43" t="str">
        <f ca="1">IFERROR(__xludf.DUMMYFUNCTION("IFERROR(VLOOKUP(E707&amp;F707,IMPORTRANGE(""https://docs.google.com/spreadsheets/d/1Uw7-A9f9R21vMXxHZFNpYNeKFtG8_yji4HS352LGlSQ/edit?pli=1#gid=0"",""1_ACUM!A4:S""),13,FALSE))"),"")</f>
        <v/>
      </c>
      <c r="AE684" s="43" t="str">
        <f ca="1">IFERROR(__xludf.DUMMYFUNCTION("IFERROR(VLOOKUP(E707&amp;F707,IMPORTRANGE(""https://docs.google.com/spreadsheets/d/1Uw7-A9f9R21vMXxHZFNpYNeKFtG8_yji4HS352LGlSQ/edit?pli=1#gid=0"",""1_ACUM!A4:S""),14,FALSE))"),"")</f>
        <v/>
      </c>
      <c r="AF684" s="43" t="str">
        <f ca="1">IFERROR(__xludf.DUMMYFUNCTION("IFERROR(VLOOKUP(E707&amp;F707,IMPORTRANGE(""https://docs.google.com/spreadsheets/d/1Uw7-A9f9R21vMXxHZFNpYNeKFtG8_yji4HS352LGlSQ/edit?pli=1#gid=0"",""1_ACUM!A4:S""),15,FALSE))"),"")</f>
        <v/>
      </c>
      <c r="AG684" s="43" t="str">
        <f ca="1">IFERROR(__xludf.DUMMYFUNCTION("IFERROR(VLOOKUP(E707&amp;F707,IMPORTRANGE(""https://docs.google.com/spreadsheets/d/1Uw7-A9f9R21vMXxHZFNpYNeKFtG8_yji4HS352LGlSQ/edit?pli=1#gid=0"",""1_ACUM!A4:S""),16,FALSE))"),"")</f>
        <v/>
      </c>
      <c r="AH684" s="43" t="str">
        <f ca="1">IFERROR(__xludf.DUMMYFUNCTION("IFERROR(VLOOKUP(E707&amp;F707,IMPORTRANGE(""https://docs.google.com/spreadsheets/d/1Uw7-A9f9R21vMXxHZFNpYNeKFtG8_yji4HS352LGlSQ/edit?pli=1#gid=0"",""1_ACUM!A4:S""),17,FALSE))"),"")</f>
        <v/>
      </c>
      <c r="AI684" s="44" t="str">
        <f ca="1">IFERROR(__xludf.DUMMYFUNCTION("IFERROR(VLOOKUP(E707&amp;F707,IMPORTRANGE(""https://docs.google.com/spreadsheets/d/1Uw7-A9f9R21vMXxHZFNpYNeKFtG8_yji4HS352LGlSQ/edit?pli=1#gid=0"",""1_ACUM!A4:S""),18,FALSE))"),"")</f>
        <v/>
      </c>
      <c r="AJ684" s="44" t="str">
        <f ca="1">IFERROR(__xludf.DUMMYFUNCTION("IFERROR(VLOOKUP(E707&amp;F707,IMPORTRANGE(""https://docs.google.com/spreadsheets/d/1Uw7-A9f9R21vMXxHZFNpYNeKFtG8_yji4HS352LGlSQ/edit?pli=1#gid=0"",""1_ACUM!A4:S""),19,FALSE))"),"")</f>
        <v/>
      </c>
      <c r="AK684" s="98" t="str">
        <f ca="1">IFERROR(__xludf.DUMMYFUNCTION("IFERROR(VLOOKUP(F707,IMPORTRANGE(""https://docs.google.com/spreadsheets/d/1Kvs4KS76FHFqLFIZfrDMff4kP08nblUkihrxltoGBjg/edit#gid=934712705"",""ESENCIAL!A6:BG""),5,FALSE))"),"")</f>
        <v/>
      </c>
      <c r="AL684" s="98" t="str">
        <f t="shared" si="41"/>
        <v/>
      </c>
      <c r="AM684" s="99" t="str">
        <f t="shared" si="42"/>
        <v/>
      </c>
      <c r="AN684" s="100" t="str">
        <f ca="1">IFERROR(__xludf.DUMMYFUNCTION("IFERROR(VLOOKUP(F707,IMPORTRANGE(""https://docs.google.com/spreadsheets/d/1Kvs4KS76FHFqLFIZfrDMff4kP08nblUkihrxltoGBjg/edit#gid=934712705"",""ESENCIAL!A6:BG""),2,FALSE))"),"")</f>
        <v/>
      </c>
      <c r="AO684" s="19" t="str">
        <f t="shared" si="33"/>
        <v/>
      </c>
      <c r="AP684" s="100"/>
      <c r="AQ684" s="100"/>
    </row>
    <row r="685" spans="1:43" ht="15">
      <c r="A685" s="5"/>
      <c r="B685" s="5"/>
      <c r="G685" s="5" t="str">
        <f ca="1">IFERROR(__xludf.DUMMYFUNCTION("IFERROR(VLOOKUP(F708,IMPORTRANGE(""https://docs.google.com/spreadsheets/d/1Kvs4KS76FHFqLFIZfrDMff4kP08nblUkihrxltoGBjg/edit#gid=934712705"",""ESENCIAL!A6:BG""),3,FALSE))"),"")</f>
        <v/>
      </c>
      <c r="H685" s="5" t="str">
        <f ca="1">IFERROR(__xludf.DUMMYFUNCTION("IFERROR(VLOOKUP(F708,IMPORTRANGE(""https://docs.google.com/spreadsheets/d/1Kvs4KS76FHFqLFIZfrDMff4kP08nblUkihrxltoGBjg/edit#gid=934712705"",""ESENCIAL!A6:BG""),8,FALSE))"),"")</f>
        <v/>
      </c>
      <c r="L685" s="40"/>
      <c r="Z685" s="41" t="str">
        <f t="shared" si="40"/>
        <v/>
      </c>
      <c r="AA685" s="5" t="str">
        <f ca="1">IFERROR(__xludf.DUMMYFUNCTION("IFERROR(VLOOKUP(E708&amp;F708,IMPORTRANGE(""https://docs.google.com/spreadsheets/d/1Uw7-A9f9R21vMXxHZFNpYNeKFtG8_yji4HS352LGlSQ/edit?pli=1#gid=0"",""1_ACUM!A4:S""),11,FALSE))"),"")</f>
        <v/>
      </c>
      <c r="AB685" s="42" t="str">
        <f ca="1">IFERROR(__xludf.DUMMYFUNCTION("IFERROR(VLOOKUP(F708,IMPORTRANGE(""https://docs.google.com/spreadsheets/d/1Kvs4KS76FHFqLFIZfrDMff4kP08nblUkihrxltoGBjg/edit#gid=934712705"",""ESENCIAL!A6:BG""),15,FALSE))"),"")</f>
        <v/>
      </c>
      <c r="AC685" s="110" t="str">
        <f ca="1">IFERROR(__xludf.DUMMYFUNCTION("IFERROR(VLOOKUP(E708&amp;F708,IMPORTRANGE(""https://docs.google.com/spreadsheets/d/1Uw7-A9f9R21vMXxHZFNpYNeKFtG8_yji4HS352LGlSQ/edit?pli=1#gid=0"",""1_ACUM!A4:S""),13,FALSE))"),"")</f>
        <v/>
      </c>
      <c r="AD685" s="43" t="str">
        <f ca="1">IFERROR(__xludf.DUMMYFUNCTION("IFERROR(VLOOKUP(E708&amp;F708,IMPORTRANGE(""https://docs.google.com/spreadsheets/d/1Uw7-A9f9R21vMXxHZFNpYNeKFtG8_yji4HS352LGlSQ/edit?pli=1#gid=0"",""1_ACUM!A4:S""),13,FALSE))"),"")</f>
        <v/>
      </c>
      <c r="AE685" s="43" t="str">
        <f ca="1">IFERROR(__xludf.DUMMYFUNCTION("IFERROR(VLOOKUP(E708&amp;F708,IMPORTRANGE(""https://docs.google.com/spreadsheets/d/1Uw7-A9f9R21vMXxHZFNpYNeKFtG8_yji4HS352LGlSQ/edit?pli=1#gid=0"",""1_ACUM!A4:S""),14,FALSE))"),"")</f>
        <v/>
      </c>
      <c r="AF685" s="43" t="str">
        <f ca="1">IFERROR(__xludf.DUMMYFUNCTION("IFERROR(VLOOKUP(E708&amp;F708,IMPORTRANGE(""https://docs.google.com/spreadsheets/d/1Uw7-A9f9R21vMXxHZFNpYNeKFtG8_yji4HS352LGlSQ/edit?pli=1#gid=0"",""1_ACUM!A4:S""),15,FALSE))"),"")</f>
        <v/>
      </c>
      <c r="AG685" s="43" t="str">
        <f ca="1">IFERROR(__xludf.DUMMYFUNCTION("IFERROR(VLOOKUP(E708&amp;F708,IMPORTRANGE(""https://docs.google.com/spreadsheets/d/1Uw7-A9f9R21vMXxHZFNpYNeKFtG8_yji4HS352LGlSQ/edit?pli=1#gid=0"",""1_ACUM!A4:S""),16,FALSE))"),"")</f>
        <v/>
      </c>
      <c r="AH685" s="43" t="str">
        <f ca="1">IFERROR(__xludf.DUMMYFUNCTION("IFERROR(VLOOKUP(E708&amp;F708,IMPORTRANGE(""https://docs.google.com/spreadsheets/d/1Uw7-A9f9R21vMXxHZFNpYNeKFtG8_yji4HS352LGlSQ/edit?pli=1#gid=0"",""1_ACUM!A4:S""),17,FALSE))"),"")</f>
        <v/>
      </c>
      <c r="AI685" s="44" t="str">
        <f ca="1">IFERROR(__xludf.DUMMYFUNCTION("IFERROR(VLOOKUP(E708&amp;F708,IMPORTRANGE(""https://docs.google.com/spreadsheets/d/1Uw7-A9f9R21vMXxHZFNpYNeKFtG8_yji4HS352LGlSQ/edit?pli=1#gid=0"",""1_ACUM!A4:S""),18,FALSE))"),"")</f>
        <v/>
      </c>
      <c r="AJ685" s="44" t="str">
        <f ca="1">IFERROR(__xludf.DUMMYFUNCTION("IFERROR(VLOOKUP(E708&amp;F708,IMPORTRANGE(""https://docs.google.com/spreadsheets/d/1Uw7-A9f9R21vMXxHZFNpYNeKFtG8_yji4HS352LGlSQ/edit?pli=1#gid=0"",""1_ACUM!A4:S""),19,FALSE))"),"")</f>
        <v/>
      </c>
      <c r="AK685" s="98" t="str">
        <f ca="1">IFERROR(__xludf.DUMMYFUNCTION("IFERROR(VLOOKUP(F708,IMPORTRANGE(""https://docs.google.com/spreadsheets/d/1Kvs4KS76FHFqLFIZfrDMff4kP08nblUkihrxltoGBjg/edit#gid=934712705"",""ESENCIAL!A6:BG""),5,FALSE))"),"")</f>
        <v/>
      </c>
      <c r="AL685" s="98" t="str">
        <f t="shared" si="41"/>
        <v/>
      </c>
      <c r="AM685" s="99" t="str">
        <f t="shared" si="42"/>
        <v/>
      </c>
      <c r="AN685" s="100" t="str">
        <f ca="1">IFERROR(__xludf.DUMMYFUNCTION("IFERROR(VLOOKUP(F708,IMPORTRANGE(""https://docs.google.com/spreadsheets/d/1Kvs4KS76FHFqLFIZfrDMff4kP08nblUkihrxltoGBjg/edit#gid=934712705"",""ESENCIAL!A6:BG""),2,FALSE))"),"")</f>
        <v/>
      </c>
      <c r="AO685" s="19" t="str">
        <f t="shared" si="33"/>
        <v/>
      </c>
      <c r="AP685" s="100"/>
      <c r="AQ685" s="100"/>
    </row>
    <row r="686" spans="1:43" ht="15">
      <c r="A686" s="5"/>
      <c r="B686" s="5"/>
      <c r="G686" s="5" t="str">
        <f ca="1">IFERROR(__xludf.DUMMYFUNCTION("IFERROR(VLOOKUP(F709,IMPORTRANGE(""https://docs.google.com/spreadsheets/d/1Kvs4KS76FHFqLFIZfrDMff4kP08nblUkihrxltoGBjg/edit#gid=934712705"",""ESENCIAL!A6:BG""),3,FALSE))"),"")</f>
        <v/>
      </c>
      <c r="H686" s="5" t="str">
        <f ca="1">IFERROR(__xludf.DUMMYFUNCTION("IFERROR(VLOOKUP(F709,IMPORTRANGE(""https://docs.google.com/spreadsheets/d/1Kvs4KS76FHFqLFIZfrDMff4kP08nblUkihrxltoGBjg/edit#gid=934712705"",""ESENCIAL!A6:BG""),8,FALSE))"),"")</f>
        <v/>
      </c>
      <c r="L686" s="40"/>
      <c r="Z686" s="41" t="str">
        <f t="shared" si="40"/>
        <v/>
      </c>
      <c r="AA686" s="5" t="str">
        <f ca="1">IFERROR(__xludf.DUMMYFUNCTION("IFERROR(VLOOKUP(E709&amp;F709,IMPORTRANGE(""https://docs.google.com/spreadsheets/d/1Uw7-A9f9R21vMXxHZFNpYNeKFtG8_yji4HS352LGlSQ/edit?pli=1#gid=0"",""1_ACUM!A4:S""),11,FALSE))"),"")</f>
        <v/>
      </c>
      <c r="AB686" s="42" t="str">
        <f ca="1">IFERROR(__xludf.DUMMYFUNCTION("IFERROR(VLOOKUP(F709,IMPORTRANGE(""https://docs.google.com/spreadsheets/d/1Kvs4KS76FHFqLFIZfrDMff4kP08nblUkihrxltoGBjg/edit#gid=934712705"",""ESENCIAL!A6:BG""),15,FALSE))"),"")</f>
        <v/>
      </c>
      <c r="AC686" s="110" t="str">
        <f ca="1">IFERROR(__xludf.DUMMYFUNCTION("IFERROR(VLOOKUP(E709&amp;F709,IMPORTRANGE(""https://docs.google.com/spreadsheets/d/1Uw7-A9f9R21vMXxHZFNpYNeKFtG8_yji4HS352LGlSQ/edit?pli=1#gid=0"",""1_ACUM!A4:S""),13,FALSE))"),"")</f>
        <v/>
      </c>
      <c r="AD686" s="43" t="str">
        <f ca="1">IFERROR(__xludf.DUMMYFUNCTION("IFERROR(VLOOKUP(E709&amp;F709,IMPORTRANGE(""https://docs.google.com/spreadsheets/d/1Uw7-A9f9R21vMXxHZFNpYNeKFtG8_yji4HS352LGlSQ/edit?pli=1#gid=0"",""1_ACUM!A4:S""),13,FALSE))"),"")</f>
        <v/>
      </c>
      <c r="AE686" s="43" t="str">
        <f ca="1">IFERROR(__xludf.DUMMYFUNCTION("IFERROR(VLOOKUP(E709&amp;F709,IMPORTRANGE(""https://docs.google.com/spreadsheets/d/1Uw7-A9f9R21vMXxHZFNpYNeKFtG8_yji4HS352LGlSQ/edit?pli=1#gid=0"",""1_ACUM!A4:S""),14,FALSE))"),"")</f>
        <v/>
      </c>
      <c r="AF686" s="43" t="str">
        <f ca="1">IFERROR(__xludf.DUMMYFUNCTION("IFERROR(VLOOKUP(E709&amp;F709,IMPORTRANGE(""https://docs.google.com/spreadsheets/d/1Uw7-A9f9R21vMXxHZFNpYNeKFtG8_yji4HS352LGlSQ/edit?pli=1#gid=0"",""1_ACUM!A4:S""),15,FALSE))"),"")</f>
        <v/>
      </c>
      <c r="AG686" s="43" t="str">
        <f ca="1">IFERROR(__xludf.DUMMYFUNCTION("IFERROR(VLOOKUP(E709&amp;F709,IMPORTRANGE(""https://docs.google.com/spreadsheets/d/1Uw7-A9f9R21vMXxHZFNpYNeKFtG8_yji4HS352LGlSQ/edit?pli=1#gid=0"",""1_ACUM!A4:S""),16,FALSE))"),"")</f>
        <v/>
      </c>
      <c r="AH686" s="43" t="str">
        <f ca="1">IFERROR(__xludf.DUMMYFUNCTION("IFERROR(VLOOKUP(E709&amp;F709,IMPORTRANGE(""https://docs.google.com/spreadsheets/d/1Uw7-A9f9R21vMXxHZFNpYNeKFtG8_yji4HS352LGlSQ/edit?pli=1#gid=0"",""1_ACUM!A4:S""),17,FALSE))"),"")</f>
        <v/>
      </c>
      <c r="AI686" s="44" t="str">
        <f ca="1">IFERROR(__xludf.DUMMYFUNCTION("IFERROR(VLOOKUP(E709&amp;F709,IMPORTRANGE(""https://docs.google.com/spreadsheets/d/1Uw7-A9f9R21vMXxHZFNpYNeKFtG8_yji4HS352LGlSQ/edit?pli=1#gid=0"",""1_ACUM!A4:S""),18,FALSE))"),"")</f>
        <v/>
      </c>
      <c r="AJ686" s="44" t="str">
        <f ca="1">IFERROR(__xludf.DUMMYFUNCTION("IFERROR(VLOOKUP(E709&amp;F709,IMPORTRANGE(""https://docs.google.com/spreadsheets/d/1Uw7-A9f9R21vMXxHZFNpYNeKFtG8_yji4HS352LGlSQ/edit?pli=1#gid=0"",""1_ACUM!A4:S""),19,FALSE))"),"")</f>
        <v/>
      </c>
      <c r="AK686" s="98" t="str">
        <f ca="1">IFERROR(__xludf.DUMMYFUNCTION("IFERROR(VLOOKUP(F709,IMPORTRANGE(""https://docs.google.com/spreadsheets/d/1Kvs4KS76FHFqLFIZfrDMff4kP08nblUkihrxltoGBjg/edit#gid=934712705"",""ESENCIAL!A6:BG""),5,FALSE))"),"")</f>
        <v/>
      </c>
      <c r="AL686" s="98" t="str">
        <f t="shared" si="41"/>
        <v/>
      </c>
      <c r="AM686" s="99" t="str">
        <f t="shared" si="42"/>
        <v/>
      </c>
      <c r="AN686" s="100" t="str">
        <f ca="1">IFERROR(__xludf.DUMMYFUNCTION("IFERROR(VLOOKUP(F709,IMPORTRANGE(""https://docs.google.com/spreadsheets/d/1Kvs4KS76FHFqLFIZfrDMff4kP08nblUkihrxltoGBjg/edit#gid=934712705"",""ESENCIAL!A6:BG""),2,FALSE))"),"")</f>
        <v/>
      </c>
      <c r="AO686" s="19" t="str">
        <f t="shared" si="33"/>
        <v/>
      </c>
      <c r="AP686" s="100"/>
      <c r="AQ686" s="100"/>
    </row>
    <row r="687" spans="1:43" ht="15">
      <c r="A687" s="5"/>
      <c r="B687" s="5"/>
      <c r="G687" s="5" t="str">
        <f ca="1">IFERROR(__xludf.DUMMYFUNCTION("IFERROR(VLOOKUP(F710,IMPORTRANGE(""https://docs.google.com/spreadsheets/d/1Kvs4KS76FHFqLFIZfrDMff4kP08nblUkihrxltoGBjg/edit#gid=934712705"",""ESENCIAL!A6:BG""),3,FALSE))"),"")</f>
        <v/>
      </c>
      <c r="H687" s="5" t="str">
        <f ca="1">IFERROR(__xludf.DUMMYFUNCTION("IFERROR(VLOOKUP(F710,IMPORTRANGE(""https://docs.google.com/spreadsheets/d/1Kvs4KS76FHFqLFIZfrDMff4kP08nblUkihrxltoGBjg/edit#gid=934712705"",""ESENCIAL!A6:BG""),8,FALSE))"),"")</f>
        <v/>
      </c>
      <c r="L687" s="40"/>
      <c r="Z687" s="41" t="str">
        <f t="shared" si="40"/>
        <v/>
      </c>
      <c r="AA687" s="5" t="str">
        <f ca="1">IFERROR(__xludf.DUMMYFUNCTION("IFERROR(VLOOKUP(E710&amp;F710,IMPORTRANGE(""https://docs.google.com/spreadsheets/d/1Uw7-A9f9R21vMXxHZFNpYNeKFtG8_yji4HS352LGlSQ/edit?pli=1#gid=0"",""1_ACUM!A4:S""),11,FALSE))"),"")</f>
        <v/>
      </c>
      <c r="AB687" s="42" t="str">
        <f ca="1">IFERROR(__xludf.DUMMYFUNCTION("IFERROR(VLOOKUP(F710,IMPORTRANGE(""https://docs.google.com/spreadsheets/d/1Kvs4KS76FHFqLFIZfrDMff4kP08nblUkihrxltoGBjg/edit#gid=934712705"",""ESENCIAL!A6:BG""),15,FALSE))"),"")</f>
        <v/>
      </c>
      <c r="AC687" s="110" t="str">
        <f ca="1">IFERROR(__xludf.DUMMYFUNCTION("IFERROR(VLOOKUP(E710&amp;F710,IMPORTRANGE(""https://docs.google.com/spreadsheets/d/1Uw7-A9f9R21vMXxHZFNpYNeKFtG8_yji4HS352LGlSQ/edit?pli=1#gid=0"",""1_ACUM!A4:S""),13,FALSE))"),"")</f>
        <v/>
      </c>
      <c r="AD687" s="43" t="str">
        <f ca="1">IFERROR(__xludf.DUMMYFUNCTION("IFERROR(VLOOKUP(E710&amp;F710,IMPORTRANGE(""https://docs.google.com/spreadsheets/d/1Uw7-A9f9R21vMXxHZFNpYNeKFtG8_yji4HS352LGlSQ/edit?pli=1#gid=0"",""1_ACUM!A4:S""),13,FALSE))"),"")</f>
        <v/>
      </c>
      <c r="AE687" s="43" t="str">
        <f ca="1">IFERROR(__xludf.DUMMYFUNCTION("IFERROR(VLOOKUP(E710&amp;F710,IMPORTRANGE(""https://docs.google.com/spreadsheets/d/1Uw7-A9f9R21vMXxHZFNpYNeKFtG8_yji4HS352LGlSQ/edit?pli=1#gid=0"",""1_ACUM!A4:S""),14,FALSE))"),"")</f>
        <v/>
      </c>
      <c r="AF687" s="43" t="str">
        <f ca="1">IFERROR(__xludf.DUMMYFUNCTION("IFERROR(VLOOKUP(E710&amp;F710,IMPORTRANGE(""https://docs.google.com/spreadsheets/d/1Uw7-A9f9R21vMXxHZFNpYNeKFtG8_yji4HS352LGlSQ/edit?pli=1#gid=0"",""1_ACUM!A4:S""),15,FALSE))"),"")</f>
        <v/>
      </c>
      <c r="AG687" s="43" t="str">
        <f ca="1">IFERROR(__xludf.DUMMYFUNCTION("IFERROR(VLOOKUP(E710&amp;F710,IMPORTRANGE(""https://docs.google.com/spreadsheets/d/1Uw7-A9f9R21vMXxHZFNpYNeKFtG8_yji4HS352LGlSQ/edit?pli=1#gid=0"",""1_ACUM!A4:S""),16,FALSE))"),"")</f>
        <v/>
      </c>
      <c r="AH687" s="43" t="str">
        <f ca="1">IFERROR(__xludf.DUMMYFUNCTION("IFERROR(VLOOKUP(E710&amp;F710,IMPORTRANGE(""https://docs.google.com/spreadsheets/d/1Uw7-A9f9R21vMXxHZFNpYNeKFtG8_yji4HS352LGlSQ/edit?pli=1#gid=0"",""1_ACUM!A4:S""),17,FALSE))"),"")</f>
        <v/>
      </c>
      <c r="AI687" s="44" t="str">
        <f ca="1">IFERROR(__xludf.DUMMYFUNCTION("IFERROR(VLOOKUP(E710&amp;F710,IMPORTRANGE(""https://docs.google.com/spreadsheets/d/1Uw7-A9f9R21vMXxHZFNpYNeKFtG8_yji4HS352LGlSQ/edit?pli=1#gid=0"",""1_ACUM!A4:S""),18,FALSE))"),"")</f>
        <v/>
      </c>
      <c r="AJ687" s="44" t="str">
        <f ca="1">IFERROR(__xludf.DUMMYFUNCTION("IFERROR(VLOOKUP(E710&amp;F710,IMPORTRANGE(""https://docs.google.com/spreadsheets/d/1Uw7-A9f9R21vMXxHZFNpYNeKFtG8_yji4HS352LGlSQ/edit?pli=1#gid=0"",""1_ACUM!A4:S""),19,FALSE))"),"")</f>
        <v/>
      </c>
      <c r="AK687" s="98" t="str">
        <f ca="1">IFERROR(__xludf.DUMMYFUNCTION("IFERROR(VLOOKUP(F710,IMPORTRANGE(""https://docs.google.com/spreadsheets/d/1Kvs4KS76FHFqLFIZfrDMff4kP08nblUkihrxltoGBjg/edit#gid=934712705"",""ESENCIAL!A6:BG""),5,FALSE))"),"")</f>
        <v/>
      </c>
      <c r="AL687" s="98" t="str">
        <f t="shared" si="41"/>
        <v/>
      </c>
      <c r="AM687" s="99" t="str">
        <f t="shared" si="42"/>
        <v/>
      </c>
      <c r="AN687" s="100" t="str">
        <f ca="1">IFERROR(__xludf.DUMMYFUNCTION("IFERROR(VLOOKUP(F710,IMPORTRANGE(""https://docs.google.com/spreadsheets/d/1Kvs4KS76FHFqLFIZfrDMff4kP08nblUkihrxltoGBjg/edit#gid=934712705"",""ESENCIAL!A6:BG""),2,FALSE))"),"")</f>
        <v/>
      </c>
      <c r="AO687" s="19" t="str">
        <f t="shared" si="33"/>
        <v/>
      </c>
      <c r="AP687" s="100"/>
      <c r="AQ687" s="100"/>
    </row>
    <row r="688" spans="1:43" ht="15">
      <c r="A688" s="5"/>
      <c r="B688" s="5"/>
      <c r="G688" s="5" t="str">
        <f ca="1">IFERROR(__xludf.DUMMYFUNCTION("IFERROR(VLOOKUP(F711,IMPORTRANGE(""https://docs.google.com/spreadsheets/d/1Kvs4KS76FHFqLFIZfrDMff4kP08nblUkihrxltoGBjg/edit#gid=934712705"",""ESENCIAL!A6:BG""),3,FALSE))"),"")</f>
        <v/>
      </c>
      <c r="H688" s="5" t="str">
        <f ca="1">IFERROR(__xludf.DUMMYFUNCTION("IFERROR(VLOOKUP(F711,IMPORTRANGE(""https://docs.google.com/spreadsheets/d/1Kvs4KS76FHFqLFIZfrDMff4kP08nblUkihrxltoGBjg/edit#gid=934712705"",""ESENCIAL!A6:BG""),8,FALSE))"),"")</f>
        <v/>
      </c>
      <c r="L688" s="40"/>
      <c r="Z688" s="41" t="str">
        <f t="shared" si="40"/>
        <v/>
      </c>
      <c r="AA688" s="5" t="str">
        <f ca="1">IFERROR(__xludf.DUMMYFUNCTION("IFERROR(VLOOKUP(E711&amp;F711,IMPORTRANGE(""https://docs.google.com/spreadsheets/d/1Uw7-A9f9R21vMXxHZFNpYNeKFtG8_yji4HS352LGlSQ/edit?pli=1#gid=0"",""1_ACUM!A4:S""),11,FALSE))"),"")</f>
        <v/>
      </c>
      <c r="AB688" s="42" t="str">
        <f ca="1">IFERROR(__xludf.DUMMYFUNCTION("IFERROR(VLOOKUP(F711,IMPORTRANGE(""https://docs.google.com/spreadsheets/d/1Kvs4KS76FHFqLFIZfrDMff4kP08nblUkihrxltoGBjg/edit#gid=934712705"",""ESENCIAL!A6:BG""),15,FALSE))"),"")</f>
        <v/>
      </c>
      <c r="AC688" s="110" t="str">
        <f ca="1">IFERROR(__xludf.DUMMYFUNCTION("IFERROR(VLOOKUP(E711&amp;F711,IMPORTRANGE(""https://docs.google.com/spreadsheets/d/1Uw7-A9f9R21vMXxHZFNpYNeKFtG8_yji4HS352LGlSQ/edit?pli=1#gid=0"",""1_ACUM!A4:S""),13,FALSE))"),"")</f>
        <v/>
      </c>
      <c r="AD688" s="43" t="str">
        <f ca="1">IFERROR(__xludf.DUMMYFUNCTION("IFERROR(VLOOKUP(E711&amp;F711,IMPORTRANGE(""https://docs.google.com/spreadsheets/d/1Uw7-A9f9R21vMXxHZFNpYNeKFtG8_yji4HS352LGlSQ/edit?pli=1#gid=0"",""1_ACUM!A4:S""),13,FALSE))"),"")</f>
        <v/>
      </c>
      <c r="AE688" s="43" t="str">
        <f ca="1">IFERROR(__xludf.DUMMYFUNCTION("IFERROR(VLOOKUP(E711&amp;F711,IMPORTRANGE(""https://docs.google.com/spreadsheets/d/1Uw7-A9f9R21vMXxHZFNpYNeKFtG8_yji4HS352LGlSQ/edit?pli=1#gid=0"",""1_ACUM!A4:S""),14,FALSE))"),"")</f>
        <v/>
      </c>
      <c r="AF688" s="43" t="str">
        <f ca="1">IFERROR(__xludf.DUMMYFUNCTION("IFERROR(VLOOKUP(E711&amp;F711,IMPORTRANGE(""https://docs.google.com/spreadsheets/d/1Uw7-A9f9R21vMXxHZFNpYNeKFtG8_yji4HS352LGlSQ/edit?pli=1#gid=0"",""1_ACUM!A4:S""),15,FALSE))"),"")</f>
        <v/>
      </c>
      <c r="AG688" s="43" t="str">
        <f ca="1">IFERROR(__xludf.DUMMYFUNCTION("IFERROR(VLOOKUP(E711&amp;F711,IMPORTRANGE(""https://docs.google.com/spreadsheets/d/1Uw7-A9f9R21vMXxHZFNpYNeKFtG8_yji4HS352LGlSQ/edit?pli=1#gid=0"",""1_ACUM!A4:S""),16,FALSE))"),"")</f>
        <v/>
      </c>
      <c r="AH688" s="43" t="str">
        <f ca="1">IFERROR(__xludf.DUMMYFUNCTION("IFERROR(VLOOKUP(E711&amp;F711,IMPORTRANGE(""https://docs.google.com/spreadsheets/d/1Uw7-A9f9R21vMXxHZFNpYNeKFtG8_yji4HS352LGlSQ/edit?pli=1#gid=0"",""1_ACUM!A4:S""),17,FALSE))"),"")</f>
        <v/>
      </c>
      <c r="AI688" s="44" t="str">
        <f ca="1">IFERROR(__xludf.DUMMYFUNCTION("IFERROR(VLOOKUP(E711&amp;F711,IMPORTRANGE(""https://docs.google.com/spreadsheets/d/1Uw7-A9f9R21vMXxHZFNpYNeKFtG8_yji4HS352LGlSQ/edit?pli=1#gid=0"",""1_ACUM!A4:S""),18,FALSE))"),"")</f>
        <v/>
      </c>
      <c r="AJ688" s="44" t="str">
        <f ca="1">IFERROR(__xludf.DUMMYFUNCTION("IFERROR(VLOOKUP(E711&amp;F711,IMPORTRANGE(""https://docs.google.com/spreadsheets/d/1Uw7-A9f9R21vMXxHZFNpYNeKFtG8_yji4HS352LGlSQ/edit?pli=1#gid=0"",""1_ACUM!A4:S""),19,FALSE))"),"")</f>
        <v/>
      </c>
      <c r="AK688" s="98" t="str">
        <f ca="1">IFERROR(__xludf.DUMMYFUNCTION("IFERROR(VLOOKUP(F711,IMPORTRANGE(""https://docs.google.com/spreadsheets/d/1Kvs4KS76FHFqLFIZfrDMff4kP08nblUkihrxltoGBjg/edit#gid=934712705"",""ESENCIAL!A6:BG""),5,FALSE))"),"")</f>
        <v/>
      </c>
      <c r="AL688" s="98" t="str">
        <f t="shared" si="41"/>
        <v/>
      </c>
      <c r="AM688" s="99" t="str">
        <f t="shared" si="42"/>
        <v/>
      </c>
      <c r="AN688" s="100" t="str">
        <f ca="1">IFERROR(__xludf.DUMMYFUNCTION("IFERROR(VLOOKUP(F711,IMPORTRANGE(""https://docs.google.com/spreadsheets/d/1Kvs4KS76FHFqLFIZfrDMff4kP08nblUkihrxltoGBjg/edit#gid=934712705"",""ESENCIAL!A6:BG""),2,FALSE))"),"")</f>
        <v/>
      </c>
      <c r="AO688" s="19" t="str">
        <f t="shared" si="33"/>
        <v/>
      </c>
      <c r="AP688" s="100"/>
      <c r="AQ688" s="100"/>
    </row>
    <row r="689" spans="1:43" ht="15">
      <c r="A689" s="5"/>
      <c r="B689" s="5"/>
      <c r="G689" s="5" t="str">
        <f ca="1">IFERROR(__xludf.DUMMYFUNCTION("IFERROR(VLOOKUP(F712,IMPORTRANGE(""https://docs.google.com/spreadsheets/d/1Kvs4KS76FHFqLFIZfrDMff4kP08nblUkihrxltoGBjg/edit#gid=934712705"",""ESENCIAL!A6:BG""),3,FALSE))"),"")</f>
        <v/>
      </c>
      <c r="H689" s="5" t="str">
        <f ca="1">IFERROR(__xludf.DUMMYFUNCTION("IFERROR(VLOOKUP(F712,IMPORTRANGE(""https://docs.google.com/spreadsheets/d/1Kvs4KS76FHFqLFIZfrDMff4kP08nblUkihrxltoGBjg/edit#gid=934712705"",""ESENCIAL!A6:BG""),8,FALSE))"),"")</f>
        <v/>
      </c>
      <c r="L689" s="40"/>
      <c r="Z689" s="41" t="str">
        <f t="shared" si="40"/>
        <v/>
      </c>
      <c r="AA689" s="5" t="str">
        <f ca="1">IFERROR(__xludf.DUMMYFUNCTION("IFERROR(VLOOKUP(E712&amp;F712,IMPORTRANGE(""https://docs.google.com/spreadsheets/d/1Uw7-A9f9R21vMXxHZFNpYNeKFtG8_yji4HS352LGlSQ/edit?pli=1#gid=0"",""1_ACUM!A4:S""),11,FALSE))"),"")</f>
        <v/>
      </c>
      <c r="AB689" s="42" t="str">
        <f ca="1">IFERROR(__xludf.DUMMYFUNCTION("IFERROR(VLOOKUP(F712,IMPORTRANGE(""https://docs.google.com/spreadsheets/d/1Kvs4KS76FHFqLFIZfrDMff4kP08nblUkihrxltoGBjg/edit#gid=934712705"",""ESENCIAL!A6:BG""),15,FALSE))"),"")</f>
        <v/>
      </c>
      <c r="AC689" s="110" t="str">
        <f ca="1">IFERROR(__xludf.DUMMYFUNCTION("IFERROR(VLOOKUP(E712&amp;F712,IMPORTRANGE(""https://docs.google.com/spreadsheets/d/1Uw7-A9f9R21vMXxHZFNpYNeKFtG8_yji4HS352LGlSQ/edit?pli=1#gid=0"",""1_ACUM!A4:S""),13,FALSE))"),"")</f>
        <v/>
      </c>
      <c r="AD689" s="43" t="str">
        <f ca="1">IFERROR(__xludf.DUMMYFUNCTION("IFERROR(VLOOKUP(E712&amp;F712,IMPORTRANGE(""https://docs.google.com/spreadsheets/d/1Uw7-A9f9R21vMXxHZFNpYNeKFtG8_yji4HS352LGlSQ/edit?pli=1#gid=0"",""1_ACUM!A4:S""),13,FALSE))"),"")</f>
        <v/>
      </c>
      <c r="AE689" s="43" t="str">
        <f ca="1">IFERROR(__xludf.DUMMYFUNCTION("IFERROR(VLOOKUP(E712&amp;F712,IMPORTRANGE(""https://docs.google.com/spreadsheets/d/1Uw7-A9f9R21vMXxHZFNpYNeKFtG8_yji4HS352LGlSQ/edit?pli=1#gid=0"",""1_ACUM!A4:S""),14,FALSE))"),"")</f>
        <v/>
      </c>
      <c r="AF689" s="43" t="str">
        <f ca="1">IFERROR(__xludf.DUMMYFUNCTION("IFERROR(VLOOKUP(E712&amp;F712,IMPORTRANGE(""https://docs.google.com/spreadsheets/d/1Uw7-A9f9R21vMXxHZFNpYNeKFtG8_yji4HS352LGlSQ/edit?pli=1#gid=0"",""1_ACUM!A4:S""),15,FALSE))"),"")</f>
        <v/>
      </c>
      <c r="AG689" s="43" t="str">
        <f ca="1">IFERROR(__xludf.DUMMYFUNCTION("IFERROR(VLOOKUP(E712&amp;F712,IMPORTRANGE(""https://docs.google.com/spreadsheets/d/1Uw7-A9f9R21vMXxHZFNpYNeKFtG8_yji4HS352LGlSQ/edit?pli=1#gid=0"",""1_ACUM!A4:S""),16,FALSE))"),"")</f>
        <v/>
      </c>
      <c r="AH689" s="43" t="str">
        <f ca="1">IFERROR(__xludf.DUMMYFUNCTION("IFERROR(VLOOKUP(E712&amp;F712,IMPORTRANGE(""https://docs.google.com/spreadsheets/d/1Uw7-A9f9R21vMXxHZFNpYNeKFtG8_yji4HS352LGlSQ/edit?pli=1#gid=0"",""1_ACUM!A4:S""),17,FALSE))"),"")</f>
        <v/>
      </c>
      <c r="AI689" s="44" t="str">
        <f ca="1">IFERROR(__xludf.DUMMYFUNCTION("IFERROR(VLOOKUP(E712&amp;F712,IMPORTRANGE(""https://docs.google.com/spreadsheets/d/1Uw7-A9f9R21vMXxHZFNpYNeKFtG8_yji4HS352LGlSQ/edit?pli=1#gid=0"",""1_ACUM!A4:S""),18,FALSE))"),"")</f>
        <v/>
      </c>
      <c r="AJ689" s="44" t="str">
        <f ca="1">IFERROR(__xludf.DUMMYFUNCTION("IFERROR(VLOOKUP(E712&amp;F712,IMPORTRANGE(""https://docs.google.com/spreadsheets/d/1Uw7-A9f9R21vMXxHZFNpYNeKFtG8_yji4HS352LGlSQ/edit?pli=1#gid=0"",""1_ACUM!A4:S""),19,FALSE))"),"")</f>
        <v/>
      </c>
      <c r="AK689" s="98" t="str">
        <f ca="1">IFERROR(__xludf.DUMMYFUNCTION("IFERROR(VLOOKUP(F712,IMPORTRANGE(""https://docs.google.com/spreadsheets/d/1Kvs4KS76FHFqLFIZfrDMff4kP08nblUkihrxltoGBjg/edit#gid=934712705"",""ESENCIAL!A6:BG""),5,FALSE))"),"")</f>
        <v/>
      </c>
      <c r="AL689" s="98" t="str">
        <f t="shared" si="41"/>
        <v/>
      </c>
      <c r="AM689" s="99" t="str">
        <f t="shared" si="42"/>
        <v/>
      </c>
      <c r="AN689" s="100" t="str">
        <f ca="1">IFERROR(__xludf.DUMMYFUNCTION("IFERROR(VLOOKUP(F712,IMPORTRANGE(""https://docs.google.com/spreadsheets/d/1Kvs4KS76FHFqLFIZfrDMff4kP08nblUkihrxltoGBjg/edit#gid=934712705"",""ESENCIAL!A6:BG""),2,FALSE))"),"")</f>
        <v/>
      </c>
      <c r="AO689" s="19" t="str">
        <f t="shared" si="33"/>
        <v/>
      </c>
      <c r="AP689" s="100"/>
      <c r="AQ689" s="100"/>
    </row>
    <row r="690" spans="1:43" ht="15">
      <c r="A690" s="5"/>
      <c r="B690" s="5"/>
      <c r="G690" s="5" t="str">
        <f ca="1">IFERROR(__xludf.DUMMYFUNCTION("IFERROR(VLOOKUP(F713,IMPORTRANGE(""https://docs.google.com/spreadsheets/d/1Kvs4KS76FHFqLFIZfrDMff4kP08nblUkihrxltoGBjg/edit#gid=934712705"",""ESENCIAL!A6:BG""),3,FALSE))"),"")</f>
        <v/>
      </c>
      <c r="H690" s="5" t="str">
        <f ca="1">IFERROR(__xludf.DUMMYFUNCTION("IFERROR(VLOOKUP(F713,IMPORTRANGE(""https://docs.google.com/spreadsheets/d/1Kvs4KS76FHFqLFIZfrDMff4kP08nblUkihrxltoGBjg/edit#gid=934712705"",""ESENCIAL!A6:BG""),8,FALSE))"),"")</f>
        <v/>
      </c>
      <c r="L690" s="40"/>
      <c r="Z690" s="41" t="str">
        <f t="shared" si="40"/>
        <v/>
      </c>
      <c r="AA690" s="5" t="str">
        <f ca="1">IFERROR(__xludf.DUMMYFUNCTION("IFERROR(VLOOKUP(E713&amp;F713,IMPORTRANGE(""https://docs.google.com/spreadsheets/d/1Uw7-A9f9R21vMXxHZFNpYNeKFtG8_yji4HS352LGlSQ/edit?pli=1#gid=0"",""1_ACUM!A4:S""),11,FALSE))"),"")</f>
        <v/>
      </c>
      <c r="AB690" s="42" t="str">
        <f ca="1">IFERROR(__xludf.DUMMYFUNCTION("IFERROR(VLOOKUP(F713,IMPORTRANGE(""https://docs.google.com/spreadsheets/d/1Kvs4KS76FHFqLFIZfrDMff4kP08nblUkihrxltoGBjg/edit#gid=934712705"",""ESENCIAL!A6:BG""),15,FALSE))"),"")</f>
        <v/>
      </c>
      <c r="AC690" s="110" t="str">
        <f ca="1">IFERROR(__xludf.DUMMYFUNCTION("IFERROR(VLOOKUP(E713&amp;F713,IMPORTRANGE(""https://docs.google.com/spreadsheets/d/1Uw7-A9f9R21vMXxHZFNpYNeKFtG8_yji4HS352LGlSQ/edit?pli=1#gid=0"",""1_ACUM!A4:S""),13,FALSE))"),"")</f>
        <v/>
      </c>
      <c r="AD690" s="43" t="str">
        <f ca="1">IFERROR(__xludf.DUMMYFUNCTION("IFERROR(VLOOKUP(E713&amp;F713,IMPORTRANGE(""https://docs.google.com/spreadsheets/d/1Uw7-A9f9R21vMXxHZFNpYNeKFtG8_yji4HS352LGlSQ/edit?pli=1#gid=0"",""1_ACUM!A4:S""),13,FALSE))"),"")</f>
        <v/>
      </c>
      <c r="AE690" s="43" t="str">
        <f ca="1">IFERROR(__xludf.DUMMYFUNCTION("IFERROR(VLOOKUP(E713&amp;F713,IMPORTRANGE(""https://docs.google.com/spreadsheets/d/1Uw7-A9f9R21vMXxHZFNpYNeKFtG8_yji4HS352LGlSQ/edit?pli=1#gid=0"",""1_ACUM!A4:S""),14,FALSE))"),"")</f>
        <v/>
      </c>
      <c r="AF690" s="43" t="str">
        <f ca="1">IFERROR(__xludf.DUMMYFUNCTION("IFERROR(VLOOKUP(E713&amp;F713,IMPORTRANGE(""https://docs.google.com/spreadsheets/d/1Uw7-A9f9R21vMXxHZFNpYNeKFtG8_yji4HS352LGlSQ/edit?pli=1#gid=0"",""1_ACUM!A4:S""),15,FALSE))"),"")</f>
        <v/>
      </c>
      <c r="AG690" s="43" t="str">
        <f ca="1">IFERROR(__xludf.DUMMYFUNCTION("IFERROR(VLOOKUP(E713&amp;F713,IMPORTRANGE(""https://docs.google.com/spreadsheets/d/1Uw7-A9f9R21vMXxHZFNpYNeKFtG8_yji4HS352LGlSQ/edit?pli=1#gid=0"",""1_ACUM!A4:S""),16,FALSE))"),"")</f>
        <v/>
      </c>
      <c r="AH690" s="43" t="str">
        <f ca="1">IFERROR(__xludf.DUMMYFUNCTION("IFERROR(VLOOKUP(E713&amp;F713,IMPORTRANGE(""https://docs.google.com/spreadsheets/d/1Uw7-A9f9R21vMXxHZFNpYNeKFtG8_yji4HS352LGlSQ/edit?pli=1#gid=0"",""1_ACUM!A4:S""),17,FALSE))"),"")</f>
        <v/>
      </c>
      <c r="AI690" s="44" t="str">
        <f ca="1">IFERROR(__xludf.DUMMYFUNCTION("IFERROR(VLOOKUP(E713&amp;F713,IMPORTRANGE(""https://docs.google.com/spreadsheets/d/1Uw7-A9f9R21vMXxHZFNpYNeKFtG8_yji4HS352LGlSQ/edit?pli=1#gid=0"",""1_ACUM!A4:S""),18,FALSE))"),"")</f>
        <v/>
      </c>
      <c r="AJ690" s="44" t="str">
        <f ca="1">IFERROR(__xludf.DUMMYFUNCTION("IFERROR(VLOOKUP(E713&amp;F713,IMPORTRANGE(""https://docs.google.com/spreadsheets/d/1Uw7-A9f9R21vMXxHZFNpYNeKFtG8_yji4HS352LGlSQ/edit?pli=1#gid=0"",""1_ACUM!A4:S""),19,FALSE))"),"")</f>
        <v/>
      </c>
      <c r="AK690" s="98" t="str">
        <f ca="1">IFERROR(__xludf.DUMMYFUNCTION("IFERROR(VLOOKUP(F713,IMPORTRANGE(""https://docs.google.com/spreadsheets/d/1Kvs4KS76FHFqLFIZfrDMff4kP08nblUkihrxltoGBjg/edit#gid=934712705"",""ESENCIAL!A6:BG""),5,FALSE))"),"")</f>
        <v/>
      </c>
      <c r="AL690" s="98" t="str">
        <f t="shared" si="41"/>
        <v/>
      </c>
      <c r="AM690" s="99" t="str">
        <f t="shared" si="42"/>
        <v/>
      </c>
      <c r="AN690" s="100" t="str">
        <f ca="1">IFERROR(__xludf.DUMMYFUNCTION("IFERROR(VLOOKUP(F713,IMPORTRANGE(""https://docs.google.com/spreadsheets/d/1Kvs4KS76FHFqLFIZfrDMff4kP08nblUkihrxltoGBjg/edit#gid=934712705"",""ESENCIAL!A6:BG""),2,FALSE))"),"")</f>
        <v/>
      </c>
      <c r="AO690" s="19" t="str">
        <f t="shared" si="33"/>
        <v/>
      </c>
      <c r="AP690" s="100"/>
      <c r="AQ690" s="100"/>
    </row>
    <row r="691" spans="1:43" ht="15">
      <c r="A691" s="5"/>
      <c r="B691" s="5"/>
      <c r="G691" s="5" t="str">
        <f ca="1">IFERROR(__xludf.DUMMYFUNCTION("IFERROR(VLOOKUP(F714,IMPORTRANGE(""https://docs.google.com/spreadsheets/d/1Kvs4KS76FHFqLFIZfrDMff4kP08nblUkihrxltoGBjg/edit#gid=934712705"",""ESENCIAL!A6:BG""),3,FALSE))"),"")</f>
        <v/>
      </c>
      <c r="H691" s="5" t="str">
        <f ca="1">IFERROR(__xludf.DUMMYFUNCTION("IFERROR(VLOOKUP(F714,IMPORTRANGE(""https://docs.google.com/spreadsheets/d/1Kvs4KS76FHFqLFIZfrDMff4kP08nblUkihrxltoGBjg/edit#gid=934712705"",""ESENCIAL!A6:BG""),8,FALSE))"),"")</f>
        <v/>
      </c>
      <c r="L691" s="40"/>
      <c r="Z691" s="41" t="str">
        <f t="shared" si="40"/>
        <v/>
      </c>
      <c r="AA691" s="5" t="str">
        <f ca="1">IFERROR(__xludf.DUMMYFUNCTION("IFERROR(VLOOKUP(E714&amp;F714,IMPORTRANGE(""https://docs.google.com/spreadsheets/d/1Uw7-A9f9R21vMXxHZFNpYNeKFtG8_yji4HS352LGlSQ/edit?pli=1#gid=0"",""1_ACUM!A4:S""),11,FALSE))"),"")</f>
        <v/>
      </c>
      <c r="AB691" s="42" t="str">
        <f ca="1">IFERROR(__xludf.DUMMYFUNCTION("IFERROR(VLOOKUP(F714,IMPORTRANGE(""https://docs.google.com/spreadsheets/d/1Kvs4KS76FHFqLFIZfrDMff4kP08nblUkihrxltoGBjg/edit#gid=934712705"",""ESENCIAL!A6:BG""),15,FALSE))"),"")</f>
        <v/>
      </c>
      <c r="AC691" s="110" t="str">
        <f ca="1">IFERROR(__xludf.DUMMYFUNCTION("IFERROR(VLOOKUP(E714&amp;F714,IMPORTRANGE(""https://docs.google.com/spreadsheets/d/1Uw7-A9f9R21vMXxHZFNpYNeKFtG8_yji4HS352LGlSQ/edit?pli=1#gid=0"",""1_ACUM!A4:S""),13,FALSE))"),"")</f>
        <v/>
      </c>
      <c r="AD691" s="43" t="str">
        <f ca="1">IFERROR(__xludf.DUMMYFUNCTION("IFERROR(VLOOKUP(E714&amp;F714,IMPORTRANGE(""https://docs.google.com/spreadsheets/d/1Uw7-A9f9R21vMXxHZFNpYNeKFtG8_yji4HS352LGlSQ/edit?pli=1#gid=0"",""1_ACUM!A4:S""),13,FALSE))"),"")</f>
        <v/>
      </c>
      <c r="AE691" s="43" t="str">
        <f ca="1">IFERROR(__xludf.DUMMYFUNCTION("IFERROR(VLOOKUP(E714&amp;F714,IMPORTRANGE(""https://docs.google.com/spreadsheets/d/1Uw7-A9f9R21vMXxHZFNpYNeKFtG8_yji4HS352LGlSQ/edit?pli=1#gid=0"",""1_ACUM!A4:S""),14,FALSE))"),"")</f>
        <v/>
      </c>
      <c r="AF691" s="43" t="str">
        <f ca="1">IFERROR(__xludf.DUMMYFUNCTION("IFERROR(VLOOKUP(E714&amp;F714,IMPORTRANGE(""https://docs.google.com/spreadsheets/d/1Uw7-A9f9R21vMXxHZFNpYNeKFtG8_yji4HS352LGlSQ/edit?pli=1#gid=0"",""1_ACUM!A4:S""),15,FALSE))"),"")</f>
        <v/>
      </c>
      <c r="AG691" s="43" t="str">
        <f ca="1">IFERROR(__xludf.DUMMYFUNCTION("IFERROR(VLOOKUP(E714&amp;F714,IMPORTRANGE(""https://docs.google.com/spreadsheets/d/1Uw7-A9f9R21vMXxHZFNpYNeKFtG8_yji4HS352LGlSQ/edit?pli=1#gid=0"",""1_ACUM!A4:S""),16,FALSE))"),"")</f>
        <v/>
      </c>
      <c r="AH691" s="43" t="str">
        <f ca="1">IFERROR(__xludf.DUMMYFUNCTION("IFERROR(VLOOKUP(E714&amp;F714,IMPORTRANGE(""https://docs.google.com/spreadsheets/d/1Uw7-A9f9R21vMXxHZFNpYNeKFtG8_yji4HS352LGlSQ/edit?pli=1#gid=0"",""1_ACUM!A4:S""),17,FALSE))"),"")</f>
        <v/>
      </c>
      <c r="AI691" s="44" t="str">
        <f ca="1">IFERROR(__xludf.DUMMYFUNCTION("IFERROR(VLOOKUP(E714&amp;F714,IMPORTRANGE(""https://docs.google.com/spreadsheets/d/1Uw7-A9f9R21vMXxHZFNpYNeKFtG8_yji4HS352LGlSQ/edit?pli=1#gid=0"",""1_ACUM!A4:S""),18,FALSE))"),"")</f>
        <v/>
      </c>
      <c r="AJ691" s="44" t="str">
        <f ca="1">IFERROR(__xludf.DUMMYFUNCTION("IFERROR(VLOOKUP(E714&amp;F714,IMPORTRANGE(""https://docs.google.com/spreadsheets/d/1Uw7-A9f9R21vMXxHZFNpYNeKFtG8_yji4HS352LGlSQ/edit?pli=1#gid=0"",""1_ACUM!A4:S""),19,FALSE))"),"")</f>
        <v/>
      </c>
      <c r="AK691" s="98" t="str">
        <f ca="1">IFERROR(__xludf.DUMMYFUNCTION("IFERROR(VLOOKUP(F714,IMPORTRANGE(""https://docs.google.com/spreadsheets/d/1Kvs4KS76FHFqLFIZfrDMff4kP08nblUkihrxltoGBjg/edit#gid=934712705"",""ESENCIAL!A6:BG""),5,FALSE))"),"")</f>
        <v/>
      </c>
      <c r="AL691" s="98" t="str">
        <f t="shared" si="41"/>
        <v/>
      </c>
      <c r="AM691" s="99" t="str">
        <f t="shared" si="42"/>
        <v/>
      </c>
      <c r="AN691" s="100" t="str">
        <f ca="1">IFERROR(__xludf.DUMMYFUNCTION("IFERROR(VLOOKUP(F714,IMPORTRANGE(""https://docs.google.com/spreadsheets/d/1Kvs4KS76FHFqLFIZfrDMff4kP08nblUkihrxltoGBjg/edit#gid=934712705"",""ESENCIAL!A6:BG""),2,FALSE))"),"")</f>
        <v/>
      </c>
      <c r="AO691" s="19" t="str">
        <f t="shared" si="33"/>
        <v/>
      </c>
      <c r="AP691" s="100"/>
      <c r="AQ691" s="100"/>
    </row>
    <row r="692" spans="1:43" ht="15">
      <c r="A692" s="5"/>
      <c r="B692" s="5"/>
      <c r="G692" s="5" t="str">
        <f ca="1">IFERROR(__xludf.DUMMYFUNCTION("IFERROR(VLOOKUP(F715,IMPORTRANGE(""https://docs.google.com/spreadsheets/d/1Kvs4KS76FHFqLFIZfrDMff4kP08nblUkihrxltoGBjg/edit#gid=934712705"",""ESENCIAL!A6:BG""),3,FALSE))"),"")</f>
        <v/>
      </c>
      <c r="H692" s="5" t="str">
        <f ca="1">IFERROR(__xludf.DUMMYFUNCTION("IFERROR(VLOOKUP(F715,IMPORTRANGE(""https://docs.google.com/spreadsheets/d/1Kvs4KS76FHFqLFIZfrDMff4kP08nblUkihrxltoGBjg/edit#gid=934712705"",""ESENCIAL!A6:BG""),8,FALSE))"),"")</f>
        <v/>
      </c>
      <c r="L692" s="40"/>
      <c r="Z692" s="41" t="str">
        <f t="shared" si="40"/>
        <v/>
      </c>
      <c r="AA692" s="5" t="str">
        <f ca="1">IFERROR(__xludf.DUMMYFUNCTION("IFERROR(VLOOKUP(E715&amp;F715,IMPORTRANGE(""https://docs.google.com/spreadsheets/d/1Uw7-A9f9R21vMXxHZFNpYNeKFtG8_yji4HS352LGlSQ/edit?pli=1#gid=0"",""1_ACUM!A4:S""),11,FALSE))"),"")</f>
        <v/>
      </c>
      <c r="AB692" s="42" t="str">
        <f ca="1">IFERROR(__xludf.DUMMYFUNCTION("IFERROR(VLOOKUP(F715,IMPORTRANGE(""https://docs.google.com/spreadsheets/d/1Kvs4KS76FHFqLFIZfrDMff4kP08nblUkihrxltoGBjg/edit#gid=934712705"",""ESENCIAL!A6:BG""),15,FALSE))"),"")</f>
        <v/>
      </c>
      <c r="AC692" s="110" t="str">
        <f ca="1">IFERROR(__xludf.DUMMYFUNCTION("IFERROR(VLOOKUP(E715&amp;F715,IMPORTRANGE(""https://docs.google.com/spreadsheets/d/1Uw7-A9f9R21vMXxHZFNpYNeKFtG8_yji4HS352LGlSQ/edit?pli=1#gid=0"",""1_ACUM!A4:S""),13,FALSE))"),"")</f>
        <v/>
      </c>
      <c r="AD692" s="43" t="str">
        <f ca="1">IFERROR(__xludf.DUMMYFUNCTION("IFERROR(VLOOKUP(E715&amp;F715,IMPORTRANGE(""https://docs.google.com/spreadsheets/d/1Uw7-A9f9R21vMXxHZFNpYNeKFtG8_yji4HS352LGlSQ/edit?pli=1#gid=0"",""1_ACUM!A4:S""),13,FALSE))"),"")</f>
        <v/>
      </c>
      <c r="AE692" s="43" t="str">
        <f ca="1">IFERROR(__xludf.DUMMYFUNCTION("IFERROR(VLOOKUP(E715&amp;F715,IMPORTRANGE(""https://docs.google.com/spreadsheets/d/1Uw7-A9f9R21vMXxHZFNpYNeKFtG8_yji4HS352LGlSQ/edit?pli=1#gid=0"",""1_ACUM!A4:S""),14,FALSE))"),"")</f>
        <v/>
      </c>
      <c r="AF692" s="43" t="str">
        <f ca="1">IFERROR(__xludf.DUMMYFUNCTION("IFERROR(VLOOKUP(E715&amp;F715,IMPORTRANGE(""https://docs.google.com/spreadsheets/d/1Uw7-A9f9R21vMXxHZFNpYNeKFtG8_yji4HS352LGlSQ/edit?pli=1#gid=0"",""1_ACUM!A4:S""),15,FALSE))"),"")</f>
        <v/>
      </c>
      <c r="AG692" s="43" t="str">
        <f ca="1">IFERROR(__xludf.DUMMYFUNCTION("IFERROR(VLOOKUP(E715&amp;F715,IMPORTRANGE(""https://docs.google.com/spreadsheets/d/1Uw7-A9f9R21vMXxHZFNpYNeKFtG8_yji4HS352LGlSQ/edit?pli=1#gid=0"",""1_ACUM!A4:S""),16,FALSE))"),"")</f>
        <v/>
      </c>
      <c r="AH692" s="43" t="str">
        <f ca="1">IFERROR(__xludf.DUMMYFUNCTION("IFERROR(VLOOKUP(E715&amp;F715,IMPORTRANGE(""https://docs.google.com/spreadsheets/d/1Uw7-A9f9R21vMXxHZFNpYNeKFtG8_yji4HS352LGlSQ/edit?pli=1#gid=0"",""1_ACUM!A4:S""),17,FALSE))"),"")</f>
        <v/>
      </c>
      <c r="AI692" s="44" t="str">
        <f ca="1">IFERROR(__xludf.DUMMYFUNCTION("IFERROR(VLOOKUP(E715&amp;F715,IMPORTRANGE(""https://docs.google.com/spreadsheets/d/1Uw7-A9f9R21vMXxHZFNpYNeKFtG8_yji4HS352LGlSQ/edit?pli=1#gid=0"",""1_ACUM!A4:S""),18,FALSE))"),"")</f>
        <v/>
      </c>
      <c r="AJ692" s="44" t="str">
        <f ca="1">IFERROR(__xludf.DUMMYFUNCTION("IFERROR(VLOOKUP(E715&amp;F715,IMPORTRANGE(""https://docs.google.com/spreadsheets/d/1Uw7-A9f9R21vMXxHZFNpYNeKFtG8_yji4HS352LGlSQ/edit?pli=1#gid=0"",""1_ACUM!A4:S""),19,FALSE))"),"")</f>
        <v/>
      </c>
      <c r="AK692" s="98" t="str">
        <f ca="1">IFERROR(__xludf.DUMMYFUNCTION("IFERROR(VLOOKUP(F715,IMPORTRANGE(""https://docs.google.com/spreadsheets/d/1Kvs4KS76FHFqLFIZfrDMff4kP08nblUkihrxltoGBjg/edit#gid=934712705"",""ESENCIAL!A6:BG""),5,FALSE))"),"")</f>
        <v/>
      </c>
      <c r="AL692" s="98" t="str">
        <f t="shared" si="41"/>
        <v/>
      </c>
      <c r="AM692" s="99" t="str">
        <f t="shared" si="42"/>
        <v/>
      </c>
      <c r="AN692" s="100" t="str">
        <f ca="1">IFERROR(__xludf.DUMMYFUNCTION("IFERROR(VLOOKUP(F715,IMPORTRANGE(""https://docs.google.com/spreadsheets/d/1Kvs4KS76FHFqLFIZfrDMff4kP08nblUkihrxltoGBjg/edit#gid=934712705"",""ESENCIAL!A6:BG""),2,FALSE))"),"")</f>
        <v/>
      </c>
      <c r="AO692" s="19" t="str">
        <f t="shared" si="33"/>
        <v/>
      </c>
      <c r="AP692" s="100"/>
      <c r="AQ692" s="100"/>
    </row>
    <row r="693" spans="1:43" ht="15">
      <c r="A693" s="5"/>
      <c r="B693" s="5"/>
      <c r="G693" s="5" t="str">
        <f ca="1">IFERROR(__xludf.DUMMYFUNCTION("IFERROR(VLOOKUP(F716,IMPORTRANGE(""https://docs.google.com/spreadsheets/d/1Kvs4KS76FHFqLFIZfrDMff4kP08nblUkihrxltoGBjg/edit#gid=934712705"",""ESENCIAL!A6:BG""),3,FALSE))"),"")</f>
        <v/>
      </c>
      <c r="H693" s="5" t="str">
        <f ca="1">IFERROR(__xludf.DUMMYFUNCTION("IFERROR(VLOOKUP(F716,IMPORTRANGE(""https://docs.google.com/spreadsheets/d/1Kvs4KS76FHFqLFIZfrDMff4kP08nblUkihrxltoGBjg/edit#gid=934712705"",""ESENCIAL!A6:BG""),8,FALSE))"),"")</f>
        <v/>
      </c>
      <c r="L693" s="40"/>
      <c r="Z693" s="41" t="str">
        <f t="shared" si="40"/>
        <v/>
      </c>
      <c r="AA693" s="5" t="str">
        <f ca="1">IFERROR(__xludf.DUMMYFUNCTION("IFERROR(VLOOKUP(E716&amp;F716,IMPORTRANGE(""https://docs.google.com/spreadsheets/d/1Uw7-A9f9R21vMXxHZFNpYNeKFtG8_yji4HS352LGlSQ/edit?pli=1#gid=0"",""1_ACUM!A4:S""),11,FALSE))"),"")</f>
        <v/>
      </c>
      <c r="AB693" s="42" t="str">
        <f ca="1">IFERROR(__xludf.DUMMYFUNCTION("IFERROR(VLOOKUP(F716,IMPORTRANGE(""https://docs.google.com/spreadsheets/d/1Kvs4KS76FHFqLFIZfrDMff4kP08nblUkihrxltoGBjg/edit#gid=934712705"",""ESENCIAL!A6:BG""),15,FALSE))"),"")</f>
        <v/>
      </c>
      <c r="AC693" s="110" t="str">
        <f ca="1">IFERROR(__xludf.DUMMYFUNCTION("IFERROR(VLOOKUP(E716&amp;F716,IMPORTRANGE(""https://docs.google.com/spreadsheets/d/1Uw7-A9f9R21vMXxHZFNpYNeKFtG8_yji4HS352LGlSQ/edit?pli=1#gid=0"",""1_ACUM!A4:S""),13,FALSE))"),"")</f>
        <v/>
      </c>
      <c r="AD693" s="43" t="str">
        <f ca="1">IFERROR(__xludf.DUMMYFUNCTION("IFERROR(VLOOKUP(E716&amp;F716,IMPORTRANGE(""https://docs.google.com/spreadsheets/d/1Uw7-A9f9R21vMXxHZFNpYNeKFtG8_yji4HS352LGlSQ/edit?pli=1#gid=0"",""1_ACUM!A4:S""),13,FALSE))"),"")</f>
        <v/>
      </c>
      <c r="AE693" s="43" t="str">
        <f ca="1">IFERROR(__xludf.DUMMYFUNCTION("IFERROR(VLOOKUP(E716&amp;F716,IMPORTRANGE(""https://docs.google.com/spreadsheets/d/1Uw7-A9f9R21vMXxHZFNpYNeKFtG8_yji4HS352LGlSQ/edit?pli=1#gid=0"",""1_ACUM!A4:S""),14,FALSE))"),"")</f>
        <v/>
      </c>
      <c r="AF693" s="43" t="str">
        <f ca="1">IFERROR(__xludf.DUMMYFUNCTION("IFERROR(VLOOKUP(E716&amp;F716,IMPORTRANGE(""https://docs.google.com/spreadsheets/d/1Uw7-A9f9R21vMXxHZFNpYNeKFtG8_yji4HS352LGlSQ/edit?pli=1#gid=0"",""1_ACUM!A4:S""),15,FALSE))"),"")</f>
        <v/>
      </c>
      <c r="AG693" s="43" t="str">
        <f ca="1">IFERROR(__xludf.DUMMYFUNCTION("IFERROR(VLOOKUP(E716&amp;F716,IMPORTRANGE(""https://docs.google.com/spreadsheets/d/1Uw7-A9f9R21vMXxHZFNpYNeKFtG8_yji4HS352LGlSQ/edit?pli=1#gid=0"",""1_ACUM!A4:S""),16,FALSE))"),"")</f>
        <v/>
      </c>
      <c r="AH693" s="43" t="str">
        <f ca="1">IFERROR(__xludf.DUMMYFUNCTION("IFERROR(VLOOKUP(E716&amp;F716,IMPORTRANGE(""https://docs.google.com/spreadsheets/d/1Uw7-A9f9R21vMXxHZFNpYNeKFtG8_yji4HS352LGlSQ/edit?pli=1#gid=0"",""1_ACUM!A4:S""),17,FALSE))"),"")</f>
        <v/>
      </c>
      <c r="AI693" s="44" t="str">
        <f ca="1">IFERROR(__xludf.DUMMYFUNCTION("IFERROR(VLOOKUP(E716&amp;F716,IMPORTRANGE(""https://docs.google.com/spreadsheets/d/1Uw7-A9f9R21vMXxHZFNpYNeKFtG8_yji4HS352LGlSQ/edit?pli=1#gid=0"",""1_ACUM!A4:S""),18,FALSE))"),"")</f>
        <v/>
      </c>
      <c r="AJ693" s="44" t="str">
        <f ca="1">IFERROR(__xludf.DUMMYFUNCTION("IFERROR(VLOOKUP(E716&amp;F716,IMPORTRANGE(""https://docs.google.com/spreadsheets/d/1Uw7-A9f9R21vMXxHZFNpYNeKFtG8_yji4HS352LGlSQ/edit?pli=1#gid=0"",""1_ACUM!A4:S""),19,FALSE))"),"")</f>
        <v/>
      </c>
      <c r="AK693" s="98" t="str">
        <f ca="1">IFERROR(__xludf.DUMMYFUNCTION("IFERROR(VLOOKUP(F716,IMPORTRANGE(""https://docs.google.com/spreadsheets/d/1Kvs4KS76FHFqLFIZfrDMff4kP08nblUkihrxltoGBjg/edit#gid=934712705"",""ESENCIAL!A6:BG""),5,FALSE))"),"")</f>
        <v/>
      </c>
      <c r="AL693" s="98" t="str">
        <f t="shared" si="41"/>
        <v/>
      </c>
      <c r="AM693" s="99" t="str">
        <f t="shared" si="42"/>
        <v/>
      </c>
      <c r="AN693" s="100" t="str">
        <f ca="1">IFERROR(__xludf.DUMMYFUNCTION("IFERROR(VLOOKUP(F716,IMPORTRANGE(""https://docs.google.com/spreadsheets/d/1Kvs4KS76FHFqLFIZfrDMff4kP08nblUkihrxltoGBjg/edit#gid=934712705"",""ESENCIAL!A6:BG""),2,FALSE))"),"")</f>
        <v/>
      </c>
      <c r="AO693" s="19" t="str">
        <f t="shared" si="33"/>
        <v/>
      </c>
      <c r="AP693" s="100"/>
      <c r="AQ693" s="100"/>
    </row>
    <row r="694" spans="1:43" ht="15">
      <c r="A694" s="5"/>
      <c r="B694" s="5"/>
      <c r="G694" s="5" t="str">
        <f ca="1">IFERROR(__xludf.DUMMYFUNCTION("IFERROR(VLOOKUP(F717,IMPORTRANGE(""https://docs.google.com/spreadsheets/d/1Kvs4KS76FHFqLFIZfrDMff4kP08nblUkihrxltoGBjg/edit#gid=934712705"",""ESENCIAL!A6:BG""),3,FALSE))"),"")</f>
        <v/>
      </c>
      <c r="H694" s="5" t="str">
        <f ca="1">IFERROR(__xludf.DUMMYFUNCTION("IFERROR(VLOOKUP(F717,IMPORTRANGE(""https://docs.google.com/spreadsheets/d/1Kvs4KS76FHFqLFIZfrDMff4kP08nblUkihrxltoGBjg/edit#gid=934712705"",""ESENCIAL!A6:BG""),8,FALSE))"),"")</f>
        <v/>
      </c>
      <c r="L694" s="40"/>
      <c r="Z694" s="41" t="str">
        <f t="shared" si="40"/>
        <v/>
      </c>
      <c r="AA694" s="5" t="str">
        <f ca="1">IFERROR(__xludf.DUMMYFUNCTION("IFERROR(VLOOKUP(E717&amp;F717,IMPORTRANGE(""https://docs.google.com/spreadsheets/d/1Uw7-A9f9R21vMXxHZFNpYNeKFtG8_yji4HS352LGlSQ/edit?pli=1#gid=0"",""1_ACUM!A4:S""),11,FALSE))"),"")</f>
        <v/>
      </c>
      <c r="AB694" s="42" t="str">
        <f ca="1">IFERROR(__xludf.DUMMYFUNCTION("IFERROR(VLOOKUP(F717,IMPORTRANGE(""https://docs.google.com/spreadsheets/d/1Kvs4KS76FHFqLFIZfrDMff4kP08nblUkihrxltoGBjg/edit#gid=934712705"",""ESENCIAL!A6:BG""),15,FALSE))"),"")</f>
        <v/>
      </c>
      <c r="AC694" s="110" t="str">
        <f ca="1">IFERROR(__xludf.DUMMYFUNCTION("IFERROR(VLOOKUP(E717&amp;F717,IMPORTRANGE(""https://docs.google.com/spreadsheets/d/1Uw7-A9f9R21vMXxHZFNpYNeKFtG8_yji4HS352LGlSQ/edit?pli=1#gid=0"",""1_ACUM!A4:S""),13,FALSE))"),"")</f>
        <v/>
      </c>
      <c r="AD694" s="43" t="str">
        <f ca="1">IFERROR(__xludf.DUMMYFUNCTION("IFERROR(VLOOKUP(E717&amp;F717,IMPORTRANGE(""https://docs.google.com/spreadsheets/d/1Uw7-A9f9R21vMXxHZFNpYNeKFtG8_yji4HS352LGlSQ/edit?pli=1#gid=0"",""1_ACUM!A4:S""),13,FALSE))"),"")</f>
        <v/>
      </c>
      <c r="AE694" s="43" t="str">
        <f ca="1">IFERROR(__xludf.DUMMYFUNCTION("IFERROR(VLOOKUP(E717&amp;F717,IMPORTRANGE(""https://docs.google.com/spreadsheets/d/1Uw7-A9f9R21vMXxHZFNpYNeKFtG8_yji4HS352LGlSQ/edit?pli=1#gid=0"",""1_ACUM!A4:S""),14,FALSE))"),"")</f>
        <v/>
      </c>
      <c r="AF694" s="43" t="str">
        <f ca="1">IFERROR(__xludf.DUMMYFUNCTION("IFERROR(VLOOKUP(E717&amp;F717,IMPORTRANGE(""https://docs.google.com/spreadsheets/d/1Uw7-A9f9R21vMXxHZFNpYNeKFtG8_yji4HS352LGlSQ/edit?pli=1#gid=0"",""1_ACUM!A4:S""),15,FALSE))"),"")</f>
        <v/>
      </c>
      <c r="AG694" s="43" t="str">
        <f ca="1">IFERROR(__xludf.DUMMYFUNCTION("IFERROR(VLOOKUP(E717&amp;F717,IMPORTRANGE(""https://docs.google.com/spreadsheets/d/1Uw7-A9f9R21vMXxHZFNpYNeKFtG8_yji4HS352LGlSQ/edit?pli=1#gid=0"",""1_ACUM!A4:S""),16,FALSE))"),"")</f>
        <v/>
      </c>
      <c r="AH694" s="43" t="str">
        <f ca="1">IFERROR(__xludf.DUMMYFUNCTION("IFERROR(VLOOKUP(E717&amp;F717,IMPORTRANGE(""https://docs.google.com/spreadsheets/d/1Uw7-A9f9R21vMXxHZFNpYNeKFtG8_yji4HS352LGlSQ/edit?pli=1#gid=0"",""1_ACUM!A4:S""),17,FALSE))"),"")</f>
        <v/>
      </c>
      <c r="AI694" s="44" t="str">
        <f ca="1">IFERROR(__xludf.DUMMYFUNCTION("IFERROR(VLOOKUP(E717&amp;F717,IMPORTRANGE(""https://docs.google.com/spreadsheets/d/1Uw7-A9f9R21vMXxHZFNpYNeKFtG8_yji4HS352LGlSQ/edit?pli=1#gid=0"",""1_ACUM!A4:S""),18,FALSE))"),"")</f>
        <v/>
      </c>
      <c r="AJ694" s="44" t="str">
        <f ca="1">IFERROR(__xludf.DUMMYFUNCTION("IFERROR(VLOOKUP(E717&amp;F717,IMPORTRANGE(""https://docs.google.com/spreadsheets/d/1Uw7-A9f9R21vMXxHZFNpYNeKFtG8_yji4HS352LGlSQ/edit?pli=1#gid=0"",""1_ACUM!A4:S""),19,FALSE))"),"")</f>
        <v/>
      </c>
      <c r="AK694" s="98" t="str">
        <f ca="1">IFERROR(__xludf.DUMMYFUNCTION("IFERROR(VLOOKUP(F717,IMPORTRANGE(""https://docs.google.com/spreadsheets/d/1Kvs4KS76FHFqLFIZfrDMff4kP08nblUkihrxltoGBjg/edit#gid=934712705"",""ESENCIAL!A6:BG""),5,FALSE))"),"")</f>
        <v/>
      </c>
      <c r="AL694" s="98" t="str">
        <f t="shared" si="41"/>
        <v/>
      </c>
      <c r="AM694" s="99" t="str">
        <f t="shared" si="42"/>
        <v/>
      </c>
      <c r="AN694" s="100" t="str">
        <f ca="1">IFERROR(__xludf.DUMMYFUNCTION("IFERROR(VLOOKUP(F717,IMPORTRANGE(""https://docs.google.com/spreadsheets/d/1Kvs4KS76FHFqLFIZfrDMff4kP08nblUkihrxltoGBjg/edit#gid=934712705"",""ESENCIAL!A6:BG""),2,FALSE))"),"")</f>
        <v/>
      </c>
      <c r="AO694" s="19" t="str">
        <f t="shared" si="33"/>
        <v/>
      </c>
      <c r="AP694" s="100"/>
      <c r="AQ694" s="100"/>
    </row>
    <row r="695" spans="1:43" ht="15">
      <c r="A695" s="5"/>
      <c r="B695" s="5"/>
      <c r="G695" s="5" t="str">
        <f ca="1">IFERROR(__xludf.DUMMYFUNCTION("IFERROR(VLOOKUP(F718,IMPORTRANGE(""https://docs.google.com/spreadsheets/d/1Kvs4KS76FHFqLFIZfrDMff4kP08nblUkihrxltoGBjg/edit#gid=934712705"",""ESENCIAL!A6:BG""),3,FALSE))"),"")</f>
        <v/>
      </c>
      <c r="H695" s="5" t="str">
        <f ca="1">IFERROR(__xludf.DUMMYFUNCTION("IFERROR(VLOOKUP(F718,IMPORTRANGE(""https://docs.google.com/spreadsheets/d/1Kvs4KS76FHFqLFIZfrDMff4kP08nblUkihrxltoGBjg/edit#gid=934712705"",""ESENCIAL!A6:BG""),8,FALSE))"),"")</f>
        <v/>
      </c>
      <c r="L695" s="40"/>
      <c r="Z695" s="41" t="str">
        <f t="shared" si="40"/>
        <v/>
      </c>
      <c r="AA695" s="5" t="str">
        <f ca="1">IFERROR(__xludf.DUMMYFUNCTION("IFERROR(VLOOKUP(E718&amp;F718,IMPORTRANGE(""https://docs.google.com/spreadsheets/d/1Uw7-A9f9R21vMXxHZFNpYNeKFtG8_yji4HS352LGlSQ/edit?pli=1#gid=0"",""1_ACUM!A4:S""),11,FALSE))"),"")</f>
        <v/>
      </c>
      <c r="AB695" s="42" t="str">
        <f ca="1">IFERROR(__xludf.DUMMYFUNCTION("IFERROR(VLOOKUP(F718,IMPORTRANGE(""https://docs.google.com/spreadsheets/d/1Kvs4KS76FHFqLFIZfrDMff4kP08nblUkihrxltoGBjg/edit#gid=934712705"",""ESENCIAL!A6:BG""),15,FALSE))"),"")</f>
        <v/>
      </c>
      <c r="AC695" s="110" t="str">
        <f ca="1">IFERROR(__xludf.DUMMYFUNCTION("IFERROR(VLOOKUP(E718&amp;F718,IMPORTRANGE(""https://docs.google.com/spreadsheets/d/1Uw7-A9f9R21vMXxHZFNpYNeKFtG8_yji4HS352LGlSQ/edit?pli=1#gid=0"",""1_ACUM!A4:S""),13,FALSE))"),"")</f>
        <v/>
      </c>
      <c r="AD695" s="43" t="str">
        <f ca="1">IFERROR(__xludf.DUMMYFUNCTION("IFERROR(VLOOKUP(E718&amp;F718,IMPORTRANGE(""https://docs.google.com/spreadsheets/d/1Uw7-A9f9R21vMXxHZFNpYNeKFtG8_yji4HS352LGlSQ/edit?pli=1#gid=0"",""1_ACUM!A4:S""),13,FALSE))"),"")</f>
        <v/>
      </c>
      <c r="AE695" s="43" t="str">
        <f ca="1">IFERROR(__xludf.DUMMYFUNCTION("IFERROR(VLOOKUP(E718&amp;F718,IMPORTRANGE(""https://docs.google.com/spreadsheets/d/1Uw7-A9f9R21vMXxHZFNpYNeKFtG8_yji4HS352LGlSQ/edit?pli=1#gid=0"",""1_ACUM!A4:S""),14,FALSE))"),"")</f>
        <v/>
      </c>
      <c r="AF695" s="43" t="str">
        <f ca="1">IFERROR(__xludf.DUMMYFUNCTION("IFERROR(VLOOKUP(E718&amp;F718,IMPORTRANGE(""https://docs.google.com/spreadsheets/d/1Uw7-A9f9R21vMXxHZFNpYNeKFtG8_yji4HS352LGlSQ/edit?pli=1#gid=0"",""1_ACUM!A4:S""),15,FALSE))"),"")</f>
        <v/>
      </c>
      <c r="AG695" s="43" t="str">
        <f ca="1">IFERROR(__xludf.DUMMYFUNCTION("IFERROR(VLOOKUP(E718&amp;F718,IMPORTRANGE(""https://docs.google.com/spreadsheets/d/1Uw7-A9f9R21vMXxHZFNpYNeKFtG8_yji4HS352LGlSQ/edit?pli=1#gid=0"",""1_ACUM!A4:S""),16,FALSE))"),"")</f>
        <v/>
      </c>
      <c r="AH695" s="43" t="str">
        <f ca="1">IFERROR(__xludf.DUMMYFUNCTION("IFERROR(VLOOKUP(E718&amp;F718,IMPORTRANGE(""https://docs.google.com/spreadsheets/d/1Uw7-A9f9R21vMXxHZFNpYNeKFtG8_yji4HS352LGlSQ/edit?pli=1#gid=0"",""1_ACUM!A4:S""),17,FALSE))"),"")</f>
        <v/>
      </c>
      <c r="AI695" s="44" t="str">
        <f ca="1">IFERROR(__xludf.DUMMYFUNCTION("IFERROR(VLOOKUP(E718&amp;F718,IMPORTRANGE(""https://docs.google.com/spreadsheets/d/1Uw7-A9f9R21vMXxHZFNpYNeKFtG8_yji4HS352LGlSQ/edit?pli=1#gid=0"",""1_ACUM!A4:S""),18,FALSE))"),"")</f>
        <v/>
      </c>
      <c r="AJ695" s="44" t="str">
        <f ca="1">IFERROR(__xludf.DUMMYFUNCTION("IFERROR(VLOOKUP(E718&amp;F718,IMPORTRANGE(""https://docs.google.com/spreadsheets/d/1Uw7-A9f9R21vMXxHZFNpYNeKFtG8_yji4HS352LGlSQ/edit?pli=1#gid=0"",""1_ACUM!A4:S""),19,FALSE))"),"")</f>
        <v/>
      </c>
      <c r="AK695" s="98" t="str">
        <f ca="1">IFERROR(__xludf.DUMMYFUNCTION("IFERROR(VLOOKUP(F718,IMPORTRANGE(""https://docs.google.com/spreadsheets/d/1Kvs4KS76FHFqLFIZfrDMff4kP08nblUkihrxltoGBjg/edit#gid=934712705"",""ESENCIAL!A6:BG""),5,FALSE))"),"")</f>
        <v/>
      </c>
      <c r="AL695" s="98" t="str">
        <f t="shared" si="41"/>
        <v/>
      </c>
      <c r="AM695" s="99" t="str">
        <f t="shared" si="42"/>
        <v/>
      </c>
      <c r="AN695" s="100" t="str">
        <f ca="1">IFERROR(__xludf.DUMMYFUNCTION("IFERROR(VLOOKUP(F718,IMPORTRANGE(""https://docs.google.com/spreadsheets/d/1Kvs4KS76FHFqLFIZfrDMff4kP08nblUkihrxltoGBjg/edit#gid=934712705"",""ESENCIAL!A6:BG""),2,FALSE))"),"")</f>
        <v/>
      </c>
      <c r="AO695" s="19" t="str">
        <f t="shared" si="33"/>
        <v/>
      </c>
      <c r="AP695" s="100"/>
      <c r="AQ695" s="100"/>
    </row>
    <row r="696" spans="1:43" ht="15">
      <c r="A696" s="5"/>
      <c r="B696" s="5"/>
      <c r="G696" s="5" t="str">
        <f ca="1">IFERROR(__xludf.DUMMYFUNCTION("IFERROR(VLOOKUP(F719,IMPORTRANGE(""https://docs.google.com/spreadsheets/d/1Kvs4KS76FHFqLFIZfrDMff4kP08nblUkihrxltoGBjg/edit#gid=934712705"",""ESENCIAL!A6:BG""),3,FALSE))"),"")</f>
        <v/>
      </c>
      <c r="H696" s="5" t="str">
        <f ca="1">IFERROR(__xludf.DUMMYFUNCTION("IFERROR(VLOOKUP(F719,IMPORTRANGE(""https://docs.google.com/spreadsheets/d/1Kvs4KS76FHFqLFIZfrDMff4kP08nblUkihrxltoGBjg/edit#gid=934712705"",""ESENCIAL!A6:BG""),8,FALSE))"),"")</f>
        <v/>
      </c>
      <c r="L696" s="40"/>
      <c r="Z696" s="41" t="str">
        <f t="shared" si="40"/>
        <v/>
      </c>
      <c r="AA696" s="5" t="str">
        <f ca="1">IFERROR(__xludf.DUMMYFUNCTION("IFERROR(VLOOKUP(E719&amp;F719,IMPORTRANGE(""https://docs.google.com/spreadsheets/d/1Uw7-A9f9R21vMXxHZFNpYNeKFtG8_yji4HS352LGlSQ/edit?pli=1#gid=0"",""1_ACUM!A4:S""),11,FALSE))"),"")</f>
        <v/>
      </c>
      <c r="AB696" s="42" t="str">
        <f ca="1">IFERROR(__xludf.DUMMYFUNCTION("IFERROR(VLOOKUP(F719,IMPORTRANGE(""https://docs.google.com/spreadsheets/d/1Kvs4KS76FHFqLFIZfrDMff4kP08nblUkihrxltoGBjg/edit#gid=934712705"",""ESENCIAL!A6:BG""),15,FALSE))"),"")</f>
        <v/>
      </c>
      <c r="AC696" s="110" t="str">
        <f ca="1">IFERROR(__xludf.DUMMYFUNCTION("IFERROR(VLOOKUP(E719&amp;F719,IMPORTRANGE(""https://docs.google.com/spreadsheets/d/1Uw7-A9f9R21vMXxHZFNpYNeKFtG8_yji4HS352LGlSQ/edit?pli=1#gid=0"",""1_ACUM!A4:S""),13,FALSE))"),"")</f>
        <v/>
      </c>
      <c r="AD696" s="43" t="str">
        <f ca="1">IFERROR(__xludf.DUMMYFUNCTION("IFERROR(VLOOKUP(E719&amp;F719,IMPORTRANGE(""https://docs.google.com/spreadsheets/d/1Uw7-A9f9R21vMXxHZFNpYNeKFtG8_yji4HS352LGlSQ/edit?pli=1#gid=0"",""1_ACUM!A4:S""),13,FALSE))"),"")</f>
        <v/>
      </c>
      <c r="AE696" s="43" t="str">
        <f ca="1">IFERROR(__xludf.DUMMYFUNCTION("IFERROR(VLOOKUP(E719&amp;F719,IMPORTRANGE(""https://docs.google.com/spreadsheets/d/1Uw7-A9f9R21vMXxHZFNpYNeKFtG8_yji4HS352LGlSQ/edit?pli=1#gid=0"",""1_ACUM!A4:S""),14,FALSE))"),"")</f>
        <v/>
      </c>
      <c r="AF696" s="43" t="str">
        <f ca="1">IFERROR(__xludf.DUMMYFUNCTION("IFERROR(VLOOKUP(E719&amp;F719,IMPORTRANGE(""https://docs.google.com/spreadsheets/d/1Uw7-A9f9R21vMXxHZFNpYNeKFtG8_yji4HS352LGlSQ/edit?pli=1#gid=0"",""1_ACUM!A4:S""),15,FALSE))"),"")</f>
        <v/>
      </c>
      <c r="AG696" s="43" t="str">
        <f ca="1">IFERROR(__xludf.DUMMYFUNCTION("IFERROR(VLOOKUP(E719&amp;F719,IMPORTRANGE(""https://docs.google.com/spreadsheets/d/1Uw7-A9f9R21vMXxHZFNpYNeKFtG8_yji4HS352LGlSQ/edit?pli=1#gid=0"",""1_ACUM!A4:S""),16,FALSE))"),"")</f>
        <v/>
      </c>
      <c r="AH696" s="43" t="str">
        <f ca="1">IFERROR(__xludf.DUMMYFUNCTION("IFERROR(VLOOKUP(E719&amp;F719,IMPORTRANGE(""https://docs.google.com/spreadsheets/d/1Uw7-A9f9R21vMXxHZFNpYNeKFtG8_yji4HS352LGlSQ/edit?pli=1#gid=0"",""1_ACUM!A4:S""),17,FALSE))"),"")</f>
        <v/>
      </c>
      <c r="AI696" s="44" t="str">
        <f ca="1">IFERROR(__xludf.DUMMYFUNCTION("IFERROR(VLOOKUP(E719&amp;F719,IMPORTRANGE(""https://docs.google.com/spreadsheets/d/1Uw7-A9f9R21vMXxHZFNpYNeKFtG8_yji4HS352LGlSQ/edit?pli=1#gid=0"",""1_ACUM!A4:S""),18,FALSE))"),"")</f>
        <v/>
      </c>
      <c r="AJ696" s="44" t="str">
        <f ca="1">IFERROR(__xludf.DUMMYFUNCTION("IFERROR(VLOOKUP(E719&amp;F719,IMPORTRANGE(""https://docs.google.com/spreadsheets/d/1Uw7-A9f9R21vMXxHZFNpYNeKFtG8_yji4HS352LGlSQ/edit?pli=1#gid=0"",""1_ACUM!A4:S""),19,FALSE))"),"")</f>
        <v/>
      </c>
      <c r="AK696" s="98" t="str">
        <f ca="1">IFERROR(__xludf.DUMMYFUNCTION("IFERROR(VLOOKUP(F719,IMPORTRANGE(""https://docs.google.com/spreadsheets/d/1Kvs4KS76FHFqLFIZfrDMff4kP08nblUkihrxltoGBjg/edit#gid=934712705"",""ESENCIAL!A6:BG""),5,FALSE))"),"")</f>
        <v/>
      </c>
      <c r="AL696" s="98" t="str">
        <f t="shared" si="41"/>
        <v/>
      </c>
      <c r="AM696" s="99" t="str">
        <f t="shared" si="42"/>
        <v/>
      </c>
      <c r="AN696" s="100" t="str">
        <f ca="1">IFERROR(__xludf.DUMMYFUNCTION("IFERROR(VLOOKUP(F719,IMPORTRANGE(""https://docs.google.com/spreadsheets/d/1Kvs4KS76FHFqLFIZfrDMff4kP08nblUkihrxltoGBjg/edit#gid=934712705"",""ESENCIAL!A6:BG""),2,FALSE))"),"")</f>
        <v/>
      </c>
      <c r="AO696" s="19" t="str">
        <f t="shared" si="33"/>
        <v/>
      </c>
      <c r="AP696" s="100"/>
      <c r="AQ696" s="100"/>
    </row>
    <row r="697" spans="1:43" ht="15">
      <c r="A697" s="5"/>
      <c r="B697" s="5"/>
      <c r="G697" s="5" t="str">
        <f ca="1">IFERROR(__xludf.DUMMYFUNCTION("IFERROR(VLOOKUP(F720,IMPORTRANGE(""https://docs.google.com/spreadsheets/d/1Kvs4KS76FHFqLFIZfrDMff4kP08nblUkihrxltoGBjg/edit#gid=934712705"",""ESENCIAL!A6:BG""),3,FALSE))"),"")</f>
        <v/>
      </c>
      <c r="H697" s="5" t="str">
        <f ca="1">IFERROR(__xludf.DUMMYFUNCTION("IFERROR(VLOOKUP(F720,IMPORTRANGE(""https://docs.google.com/spreadsheets/d/1Kvs4KS76FHFqLFIZfrDMff4kP08nblUkihrxltoGBjg/edit#gid=934712705"",""ESENCIAL!A6:BG""),8,FALSE))"),"")</f>
        <v/>
      </c>
      <c r="L697" s="40"/>
      <c r="Z697" s="41" t="str">
        <f t="shared" si="40"/>
        <v/>
      </c>
      <c r="AA697" s="5" t="str">
        <f ca="1">IFERROR(__xludf.DUMMYFUNCTION("IFERROR(VLOOKUP(E720&amp;F720,IMPORTRANGE(""https://docs.google.com/spreadsheets/d/1Uw7-A9f9R21vMXxHZFNpYNeKFtG8_yji4HS352LGlSQ/edit?pli=1#gid=0"",""1_ACUM!A4:S""),11,FALSE))"),"")</f>
        <v/>
      </c>
      <c r="AB697" s="42" t="str">
        <f ca="1">IFERROR(__xludf.DUMMYFUNCTION("IFERROR(VLOOKUP(F720,IMPORTRANGE(""https://docs.google.com/spreadsheets/d/1Kvs4KS76FHFqLFIZfrDMff4kP08nblUkihrxltoGBjg/edit#gid=934712705"",""ESENCIAL!A6:BG""),15,FALSE))"),"")</f>
        <v/>
      </c>
      <c r="AC697" s="110" t="str">
        <f ca="1">IFERROR(__xludf.DUMMYFUNCTION("IFERROR(VLOOKUP(E720&amp;F720,IMPORTRANGE(""https://docs.google.com/spreadsheets/d/1Uw7-A9f9R21vMXxHZFNpYNeKFtG8_yji4HS352LGlSQ/edit?pli=1#gid=0"",""1_ACUM!A4:S""),13,FALSE))"),"")</f>
        <v/>
      </c>
      <c r="AD697" s="43" t="str">
        <f ca="1">IFERROR(__xludf.DUMMYFUNCTION("IFERROR(VLOOKUP(E720&amp;F720,IMPORTRANGE(""https://docs.google.com/spreadsheets/d/1Uw7-A9f9R21vMXxHZFNpYNeKFtG8_yji4HS352LGlSQ/edit?pli=1#gid=0"",""1_ACUM!A4:S""),13,FALSE))"),"")</f>
        <v/>
      </c>
      <c r="AE697" s="43" t="str">
        <f ca="1">IFERROR(__xludf.DUMMYFUNCTION("IFERROR(VLOOKUP(E720&amp;F720,IMPORTRANGE(""https://docs.google.com/spreadsheets/d/1Uw7-A9f9R21vMXxHZFNpYNeKFtG8_yji4HS352LGlSQ/edit?pli=1#gid=0"",""1_ACUM!A4:S""),14,FALSE))"),"")</f>
        <v/>
      </c>
      <c r="AF697" s="43" t="str">
        <f ca="1">IFERROR(__xludf.DUMMYFUNCTION("IFERROR(VLOOKUP(E720&amp;F720,IMPORTRANGE(""https://docs.google.com/spreadsheets/d/1Uw7-A9f9R21vMXxHZFNpYNeKFtG8_yji4HS352LGlSQ/edit?pli=1#gid=0"",""1_ACUM!A4:S""),15,FALSE))"),"")</f>
        <v/>
      </c>
      <c r="AG697" s="43" t="str">
        <f ca="1">IFERROR(__xludf.DUMMYFUNCTION("IFERROR(VLOOKUP(E720&amp;F720,IMPORTRANGE(""https://docs.google.com/spreadsheets/d/1Uw7-A9f9R21vMXxHZFNpYNeKFtG8_yji4HS352LGlSQ/edit?pli=1#gid=0"",""1_ACUM!A4:S""),16,FALSE))"),"")</f>
        <v/>
      </c>
      <c r="AH697" s="43" t="str">
        <f ca="1">IFERROR(__xludf.DUMMYFUNCTION("IFERROR(VLOOKUP(E720&amp;F720,IMPORTRANGE(""https://docs.google.com/spreadsheets/d/1Uw7-A9f9R21vMXxHZFNpYNeKFtG8_yji4HS352LGlSQ/edit?pli=1#gid=0"",""1_ACUM!A4:S""),17,FALSE))"),"")</f>
        <v/>
      </c>
      <c r="AI697" s="44" t="str">
        <f ca="1">IFERROR(__xludf.DUMMYFUNCTION("IFERROR(VLOOKUP(E720&amp;F720,IMPORTRANGE(""https://docs.google.com/spreadsheets/d/1Uw7-A9f9R21vMXxHZFNpYNeKFtG8_yji4HS352LGlSQ/edit?pli=1#gid=0"",""1_ACUM!A4:S""),18,FALSE))"),"")</f>
        <v/>
      </c>
      <c r="AJ697" s="44" t="str">
        <f ca="1">IFERROR(__xludf.DUMMYFUNCTION("IFERROR(VLOOKUP(E720&amp;F720,IMPORTRANGE(""https://docs.google.com/spreadsheets/d/1Uw7-A9f9R21vMXxHZFNpYNeKFtG8_yji4HS352LGlSQ/edit?pli=1#gid=0"",""1_ACUM!A4:S""),19,FALSE))"),"")</f>
        <v/>
      </c>
      <c r="AK697" s="98" t="str">
        <f ca="1">IFERROR(__xludf.DUMMYFUNCTION("IFERROR(VLOOKUP(F720,IMPORTRANGE(""https://docs.google.com/spreadsheets/d/1Kvs4KS76FHFqLFIZfrDMff4kP08nblUkihrxltoGBjg/edit#gid=934712705"",""ESENCIAL!A6:BG""),5,FALSE))"),"")</f>
        <v/>
      </c>
      <c r="AL697" s="98" t="str">
        <f t="shared" si="41"/>
        <v/>
      </c>
      <c r="AM697" s="99" t="str">
        <f t="shared" si="42"/>
        <v/>
      </c>
      <c r="AN697" s="100" t="str">
        <f ca="1">IFERROR(__xludf.DUMMYFUNCTION("IFERROR(VLOOKUP(F720,IMPORTRANGE(""https://docs.google.com/spreadsheets/d/1Kvs4KS76FHFqLFIZfrDMff4kP08nblUkihrxltoGBjg/edit#gid=934712705"",""ESENCIAL!A6:BG""),2,FALSE))"),"")</f>
        <v/>
      </c>
      <c r="AO697" s="19" t="str">
        <f t="shared" si="33"/>
        <v/>
      </c>
      <c r="AP697" s="100"/>
      <c r="AQ697" s="100"/>
    </row>
    <row r="698" spans="1:43" ht="15">
      <c r="A698" s="5"/>
      <c r="B698" s="5"/>
      <c r="G698" s="5" t="str">
        <f ca="1">IFERROR(__xludf.DUMMYFUNCTION("IFERROR(VLOOKUP(F721,IMPORTRANGE(""https://docs.google.com/spreadsheets/d/1Kvs4KS76FHFqLFIZfrDMff4kP08nblUkihrxltoGBjg/edit#gid=934712705"",""ESENCIAL!A6:BG""),3,FALSE))"),"")</f>
        <v/>
      </c>
      <c r="H698" s="5" t="str">
        <f ca="1">IFERROR(__xludf.DUMMYFUNCTION("IFERROR(VLOOKUP(F721,IMPORTRANGE(""https://docs.google.com/spreadsheets/d/1Kvs4KS76FHFqLFIZfrDMff4kP08nblUkihrxltoGBjg/edit#gid=934712705"",""ESENCIAL!A6:BG""),8,FALSE))"),"")</f>
        <v/>
      </c>
      <c r="L698" s="40"/>
      <c r="Z698" s="41" t="str">
        <f t="shared" si="40"/>
        <v/>
      </c>
      <c r="AA698" s="5" t="str">
        <f ca="1">IFERROR(__xludf.DUMMYFUNCTION("IFERROR(VLOOKUP(E721&amp;F721,IMPORTRANGE(""https://docs.google.com/spreadsheets/d/1Uw7-A9f9R21vMXxHZFNpYNeKFtG8_yji4HS352LGlSQ/edit?pli=1#gid=0"",""1_ACUM!A4:S""),11,FALSE))"),"")</f>
        <v/>
      </c>
      <c r="AB698" s="42" t="str">
        <f ca="1">IFERROR(__xludf.DUMMYFUNCTION("IFERROR(VLOOKUP(F721,IMPORTRANGE(""https://docs.google.com/spreadsheets/d/1Kvs4KS76FHFqLFIZfrDMff4kP08nblUkihrxltoGBjg/edit#gid=934712705"",""ESENCIAL!A6:BG""),15,FALSE))"),"")</f>
        <v/>
      </c>
      <c r="AC698" s="110" t="str">
        <f ca="1">IFERROR(__xludf.DUMMYFUNCTION("IFERROR(VLOOKUP(E721&amp;F721,IMPORTRANGE(""https://docs.google.com/spreadsheets/d/1Uw7-A9f9R21vMXxHZFNpYNeKFtG8_yji4HS352LGlSQ/edit?pli=1#gid=0"",""1_ACUM!A4:S""),13,FALSE))"),"")</f>
        <v/>
      </c>
      <c r="AD698" s="43" t="str">
        <f ca="1">IFERROR(__xludf.DUMMYFUNCTION("IFERROR(VLOOKUP(E721&amp;F721,IMPORTRANGE(""https://docs.google.com/spreadsheets/d/1Uw7-A9f9R21vMXxHZFNpYNeKFtG8_yji4HS352LGlSQ/edit?pli=1#gid=0"",""1_ACUM!A4:S""),13,FALSE))"),"")</f>
        <v/>
      </c>
      <c r="AE698" s="43" t="str">
        <f ca="1">IFERROR(__xludf.DUMMYFUNCTION("IFERROR(VLOOKUP(E721&amp;F721,IMPORTRANGE(""https://docs.google.com/spreadsheets/d/1Uw7-A9f9R21vMXxHZFNpYNeKFtG8_yji4HS352LGlSQ/edit?pli=1#gid=0"",""1_ACUM!A4:S""),14,FALSE))"),"")</f>
        <v/>
      </c>
      <c r="AF698" s="43" t="str">
        <f ca="1">IFERROR(__xludf.DUMMYFUNCTION("IFERROR(VLOOKUP(E721&amp;F721,IMPORTRANGE(""https://docs.google.com/spreadsheets/d/1Uw7-A9f9R21vMXxHZFNpYNeKFtG8_yji4HS352LGlSQ/edit?pli=1#gid=0"",""1_ACUM!A4:S""),15,FALSE))"),"")</f>
        <v/>
      </c>
      <c r="AG698" s="43" t="str">
        <f ca="1">IFERROR(__xludf.DUMMYFUNCTION("IFERROR(VLOOKUP(E721&amp;F721,IMPORTRANGE(""https://docs.google.com/spreadsheets/d/1Uw7-A9f9R21vMXxHZFNpYNeKFtG8_yji4HS352LGlSQ/edit?pli=1#gid=0"",""1_ACUM!A4:S""),16,FALSE))"),"")</f>
        <v/>
      </c>
      <c r="AH698" s="43" t="str">
        <f ca="1">IFERROR(__xludf.DUMMYFUNCTION("IFERROR(VLOOKUP(E721&amp;F721,IMPORTRANGE(""https://docs.google.com/spreadsheets/d/1Uw7-A9f9R21vMXxHZFNpYNeKFtG8_yji4HS352LGlSQ/edit?pli=1#gid=0"",""1_ACUM!A4:S""),17,FALSE))"),"")</f>
        <v/>
      </c>
      <c r="AI698" s="44" t="str">
        <f ca="1">IFERROR(__xludf.DUMMYFUNCTION("IFERROR(VLOOKUP(E721&amp;F721,IMPORTRANGE(""https://docs.google.com/spreadsheets/d/1Uw7-A9f9R21vMXxHZFNpYNeKFtG8_yji4HS352LGlSQ/edit?pli=1#gid=0"",""1_ACUM!A4:S""),18,FALSE))"),"")</f>
        <v/>
      </c>
      <c r="AJ698" s="44" t="str">
        <f ca="1">IFERROR(__xludf.DUMMYFUNCTION("IFERROR(VLOOKUP(E721&amp;F721,IMPORTRANGE(""https://docs.google.com/spreadsheets/d/1Uw7-A9f9R21vMXxHZFNpYNeKFtG8_yji4HS352LGlSQ/edit?pli=1#gid=0"",""1_ACUM!A4:S""),19,FALSE))"),"")</f>
        <v/>
      </c>
      <c r="AK698" s="98" t="str">
        <f ca="1">IFERROR(__xludf.DUMMYFUNCTION("IFERROR(VLOOKUP(F721,IMPORTRANGE(""https://docs.google.com/spreadsheets/d/1Kvs4KS76FHFqLFIZfrDMff4kP08nblUkihrxltoGBjg/edit#gid=934712705"",""ESENCIAL!A6:BG""),5,FALSE))"),"")</f>
        <v/>
      </c>
      <c r="AL698" s="98" t="str">
        <f t="shared" si="41"/>
        <v/>
      </c>
      <c r="AM698" s="99" t="str">
        <f t="shared" si="42"/>
        <v/>
      </c>
      <c r="AN698" s="100" t="str">
        <f ca="1">IFERROR(__xludf.DUMMYFUNCTION("IFERROR(VLOOKUP(F721,IMPORTRANGE(""https://docs.google.com/spreadsheets/d/1Kvs4KS76FHFqLFIZfrDMff4kP08nblUkihrxltoGBjg/edit#gid=934712705"",""ESENCIAL!A6:BG""),2,FALSE))"),"")</f>
        <v/>
      </c>
      <c r="AO698" s="19" t="str">
        <f t="shared" si="33"/>
        <v/>
      </c>
      <c r="AP698" s="100"/>
      <c r="AQ698" s="100"/>
    </row>
    <row r="699" spans="1:43" ht="15">
      <c r="A699" s="5"/>
      <c r="B699" s="5"/>
      <c r="G699" s="5" t="str">
        <f ca="1">IFERROR(__xludf.DUMMYFUNCTION("IFERROR(VLOOKUP(F722,IMPORTRANGE(""https://docs.google.com/spreadsheets/d/1Kvs4KS76FHFqLFIZfrDMff4kP08nblUkihrxltoGBjg/edit#gid=934712705"",""ESENCIAL!A6:BG""),3,FALSE))"),"")</f>
        <v/>
      </c>
      <c r="H699" s="5" t="str">
        <f ca="1">IFERROR(__xludf.DUMMYFUNCTION("IFERROR(VLOOKUP(F722,IMPORTRANGE(""https://docs.google.com/spreadsheets/d/1Kvs4KS76FHFqLFIZfrDMff4kP08nblUkihrxltoGBjg/edit#gid=934712705"",""ESENCIAL!A6:BG""),8,FALSE))"),"")</f>
        <v/>
      </c>
      <c r="L699" s="40"/>
      <c r="Z699" s="41" t="str">
        <f t="shared" si="40"/>
        <v/>
      </c>
      <c r="AA699" s="5" t="str">
        <f ca="1">IFERROR(__xludf.DUMMYFUNCTION("IFERROR(VLOOKUP(E722&amp;F722,IMPORTRANGE(""https://docs.google.com/spreadsheets/d/1Uw7-A9f9R21vMXxHZFNpYNeKFtG8_yji4HS352LGlSQ/edit?pli=1#gid=0"",""1_ACUM!A4:S""),11,FALSE))"),"")</f>
        <v/>
      </c>
      <c r="AB699" s="42" t="str">
        <f ca="1">IFERROR(__xludf.DUMMYFUNCTION("IFERROR(VLOOKUP(F722,IMPORTRANGE(""https://docs.google.com/spreadsheets/d/1Kvs4KS76FHFqLFIZfrDMff4kP08nblUkihrxltoGBjg/edit#gid=934712705"",""ESENCIAL!A6:BG""),15,FALSE))"),"")</f>
        <v/>
      </c>
      <c r="AC699" s="110" t="str">
        <f ca="1">IFERROR(__xludf.DUMMYFUNCTION("IFERROR(VLOOKUP(E722&amp;F722,IMPORTRANGE(""https://docs.google.com/spreadsheets/d/1Uw7-A9f9R21vMXxHZFNpYNeKFtG8_yji4HS352LGlSQ/edit?pli=1#gid=0"",""1_ACUM!A4:S""),13,FALSE))"),"")</f>
        <v/>
      </c>
      <c r="AD699" s="43" t="str">
        <f ca="1">IFERROR(__xludf.DUMMYFUNCTION("IFERROR(VLOOKUP(E722&amp;F722,IMPORTRANGE(""https://docs.google.com/spreadsheets/d/1Uw7-A9f9R21vMXxHZFNpYNeKFtG8_yji4HS352LGlSQ/edit?pli=1#gid=0"",""1_ACUM!A4:S""),13,FALSE))"),"")</f>
        <v/>
      </c>
      <c r="AE699" s="43" t="str">
        <f ca="1">IFERROR(__xludf.DUMMYFUNCTION("IFERROR(VLOOKUP(E722&amp;F722,IMPORTRANGE(""https://docs.google.com/spreadsheets/d/1Uw7-A9f9R21vMXxHZFNpYNeKFtG8_yji4HS352LGlSQ/edit?pli=1#gid=0"",""1_ACUM!A4:S""),14,FALSE))"),"")</f>
        <v/>
      </c>
      <c r="AF699" s="43" t="str">
        <f ca="1">IFERROR(__xludf.DUMMYFUNCTION("IFERROR(VLOOKUP(E722&amp;F722,IMPORTRANGE(""https://docs.google.com/spreadsheets/d/1Uw7-A9f9R21vMXxHZFNpYNeKFtG8_yji4HS352LGlSQ/edit?pli=1#gid=0"",""1_ACUM!A4:S""),15,FALSE))"),"")</f>
        <v/>
      </c>
      <c r="AG699" s="43" t="str">
        <f ca="1">IFERROR(__xludf.DUMMYFUNCTION("IFERROR(VLOOKUP(E722&amp;F722,IMPORTRANGE(""https://docs.google.com/spreadsheets/d/1Uw7-A9f9R21vMXxHZFNpYNeKFtG8_yji4HS352LGlSQ/edit?pli=1#gid=0"",""1_ACUM!A4:S""),16,FALSE))"),"")</f>
        <v/>
      </c>
      <c r="AH699" s="43" t="str">
        <f ca="1">IFERROR(__xludf.DUMMYFUNCTION("IFERROR(VLOOKUP(E722&amp;F722,IMPORTRANGE(""https://docs.google.com/spreadsheets/d/1Uw7-A9f9R21vMXxHZFNpYNeKFtG8_yji4HS352LGlSQ/edit?pli=1#gid=0"",""1_ACUM!A4:S""),17,FALSE))"),"")</f>
        <v/>
      </c>
      <c r="AI699" s="44" t="str">
        <f ca="1">IFERROR(__xludf.DUMMYFUNCTION("IFERROR(VLOOKUP(E722&amp;F722,IMPORTRANGE(""https://docs.google.com/spreadsheets/d/1Uw7-A9f9R21vMXxHZFNpYNeKFtG8_yji4HS352LGlSQ/edit?pli=1#gid=0"",""1_ACUM!A4:S""),18,FALSE))"),"")</f>
        <v/>
      </c>
      <c r="AJ699" s="44" t="str">
        <f ca="1">IFERROR(__xludf.DUMMYFUNCTION("IFERROR(VLOOKUP(E722&amp;F722,IMPORTRANGE(""https://docs.google.com/spreadsheets/d/1Uw7-A9f9R21vMXxHZFNpYNeKFtG8_yji4HS352LGlSQ/edit?pli=1#gid=0"",""1_ACUM!A4:S""),19,FALSE))"),"")</f>
        <v/>
      </c>
      <c r="AK699" s="98" t="str">
        <f ca="1">IFERROR(__xludf.DUMMYFUNCTION("IFERROR(VLOOKUP(F722,IMPORTRANGE(""https://docs.google.com/spreadsheets/d/1Kvs4KS76FHFqLFIZfrDMff4kP08nblUkihrxltoGBjg/edit#gid=934712705"",""ESENCIAL!A6:BG""),5,FALSE))"),"")</f>
        <v/>
      </c>
      <c r="AL699" s="98" t="str">
        <f t="shared" si="41"/>
        <v/>
      </c>
      <c r="AM699" s="99" t="str">
        <f t="shared" si="42"/>
        <v/>
      </c>
      <c r="AN699" s="100" t="str">
        <f ca="1">IFERROR(__xludf.DUMMYFUNCTION("IFERROR(VLOOKUP(F722,IMPORTRANGE(""https://docs.google.com/spreadsheets/d/1Kvs4KS76FHFqLFIZfrDMff4kP08nblUkihrxltoGBjg/edit#gid=934712705"",""ESENCIAL!A6:BG""),2,FALSE))"),"")</f>
        <v/>
      </c>
      <c r="AO699" s="19" t="str">
        <f t="shared" si="33"/>
        <v/>
      </c>
      <c r="AP699" s="100"/>
      <c r="AQ699" s="100"/>
    </row>
    <row r="700" spans="1:43" ht="15">
      <c r="A700" s="5"/>
      <c r="B700" s="5"/>
      <c r="G700" s="5" t="str">
        <f ca="1">IFERROR(__xludf.DUMMYFUNCTION("IFERROR(VLOOKUP(F723,IMPORTRANGE(""https://docs.google.com/spreadsheets/d/1Kvs4KS76FHFqLFIZfrDMff4kP08nblUkihrxltoGBjg/edit#gid=934712705"",""ESENCIAL!A6:BG""),3,FALSE))"),"")</f>
        <v/>
      </c>
      <c r="H700" s="5" t="str">
        <f ca="1">IFERROR(__xludf.DUMMYFUNCTION("IFERROR(VLOOKUP(F723,IMPORTRANGE(""https://docs.google.com/spreadsheets/d/1Kvs4KS76FHFqLFIZfrDMff4kP08nblUkihrxltoGBjg/edit#gid=934712705"",""ESENCIAL!A6:BG""),8,FALSE))"),"")</f>
        <v/>
      </c>
      <c r="L700" s="40"/>
      <c r="Z700" s="41" t="str">
        <f t="shared" si="40"/>
        <v/>
      </c>
      <c r="AA700" s="5" t="str">
        <f ca="1">IFERROR(__xludf.DUMMYFUNCTION("IFERROR(VLOOKUP(E723&amp;F723,IMPORTRANGE(""https://docs.google.com/spreadsheets/d/1Uw7-A9f9R21vMXxHZFNpYNeKFtG8_yji4HS352LGlSQ/edit?pli=1#gid=0"",""1_ACUM!A4:S""),11,FALSE))"),"")</f>
        <v/>
      </c>
      <c r="AB700" s="42" t="str">
        <f ca="1">IFERROR(__xludf.DUMMYFUNCTION("IFERROR(VLOOKUP(F723,IMPORTRANGE(""https://docs.google.com/spreadsheets/d/1Kvs4KS76FHFqLFIZfrDMff4kP08nblUkihrxltoGBjg/edit#gid=934712705"",""ESENCIAL!A6:BG""),15,FALSE))"),"")</f>
        <v/>
      </c>
      <c r="AC700" s="110" t="str">
        <f ca="1">IFERROR(__xludf.DUMMYFUNCTION("IFERROR(VLOOKUP(E723&amp;F723,IMPORTRANGE(""https://docs.google.com/spreadsheets/d/1Uw7-A9f9R21vMXxHZFNpYNeKFtG8_yji4HS352LGlSQ/edit?pli=1#gid=0"",""1_ACUM!A4:S""),13,FALSE))"),"")</f>
        <v/>
      </c>
      <c r="AD700" s="43" t="str">
        <f ca="1">IFERROR(__xludf.DUMMYFUNCTION("IFERROR(VLOOKUP(E723&amp;F723,IMPORTRANGE(""https://docs.google.com/spreadsheets/d/1Uw7-A9f9R21vMXxHZFNpYNeKFtG8_yji4HS352LGlSQ/edit?pli=1#gid=0"",""1_ACUM!A4:S""),13,FALSE))"),"")</f>
        <v/>
      </c>
      <c r="AE700" s="43" t="str">
        <f ca="1">IFERROR(__xludf.DUMMYFUNCTION("IFERROR(VLOOKUP(E723&amp;F723,IMPORTRANGE(""https://docs.google.com/spreadsheets/d/1Uw7-A9f9R21vMXxHZFNpYNeKFtG8_yji4HS352LGlSQ/edit?pli=1#gid=0"",""1_ACUM!A4:S""),14,FALSE))"),"")</f>
        <v/>
      </c>
      <c r="AF700" s="43" t="str">
        <f ca="1">IFERROR(__xludf.DUMMYFUNCTION("IFERROR(VLOOKUP(E723&amp;F723,IMPORTRANGE(""https://docs.google.com/spreadsheets/d/1Uw7-A9f9R21vMXxHZFNpYNeKFtG8_yji4HS352LGlSQ/edit?pli=1#gid=0"",""1_ACUM!A4:S""),15,FALSE))"),"")</f>
        <v/>
      </c>
      <c r="AG700" s="43" t="str">
        <f ca="1">IFERROR(__xludf.DUMMYFUNCTION("IFERROR(VLOOKUP(E723&amp;F723,IMPORTRANGE(""https://docs.google.com/spreadsheets/d/1Uw7-A9f9R21vMXxHZFNpYNeKFtG8_yji4HS352LGlSQ/edit?pli=1#gid=0"",""1_ACUM!A4:S""),16,FALSE))"),"")</f>
        <v/>
      </c>
      <c r="AH700" s="43" t="str">
        <f ca="1">IFERROR(__xludf.DUMMYFUNCTION("IFERROR(VLOOKUP(E723&amp;F723,IMPORTRANGE(""https://docs.google.com/spreadsheets/d/1Uw7-A9f9R21vMXxHZFNpYNeKFtG8_yji4HS352LGlSQ/edit?pli=1#gid=0"",""1_ACUM!A4:S""),17,FALSE))"),"")</f>
        <v/>
      </c>
      <c r="AI700" s="44" t="str">
        <f ca="1">IFERROR(__xludf.DUMMYFUNCTION("IFERROR(VLOOKUP(E723&amp;F723,IMPORTRANGE(""https://docs.google.com/spreadsheets/d/1Uw7-A9f9R21vMXxHZFNpYNeKFtG8_yji4HS352LGlSQ/edit?pli=1#gid=0"",""1_ACUM!A4:S""),18,FALSE))"),"")</f>
        <v/>
      </c>
      <c r="AJ700" s="44" t="str">
        <f ca="1">IFERROR(__xludf.DUMMYFUNCTION("IFERROR(VLOOKUP(E723&amp;F723,IMPORTRANGE(""https://docs.google.com/spreadsheets/d/1Uw7-A9f9R21vMXxHZFNpYNeKFtG8_yji4HS352LGlSQ/edit?pli=1#gid=0"",""1_ACUM!A4:S""),19,FALSE))"),"")</f>
        <v/>
      </c>
      <c r="AK700" s="98" t="str">
        <f ca="1">IFERROR(__xludf.DUMMYFUNCTION("IFERROR(VLOOKUP(F723,IMPORTRANGE(""https://docs.google.com/spreadsheets/d/1Kvs4KS76FHFqLFIZfrDMff4kP08nblUkihrxltoGBjg/edit#gid=934712705"",""ESENCIAL!A6:BG""),5,FALSE))"),"")</f>
        <v/>
      </c>
      <c r="AL700" s="98" t="str">
        <f t="shared" si="41"/>
        <v/>
      </c>
      <c r="AM700" s="99" t="str">
        <f t="shared" si="42"/>
        <v/>
      </c>
      <c r="AN700" s="100" t="str">
        <f ca="1">IFERROR(__xludf.DUMMYFUNCTION("IFERROR(VLOOKUP(F723,IMPORTRANGE(""https://docs.google.com/spreadsheets/d/1Kvs4KS76FHFqLFIZfrDMff4kP08nblUkihrxltoGBjg/edit#gid=934712705"",""ESENCIAL!A6:BG""),2,FALSE))"),"")</f>
        <v/>
      </c>
      <c r="AO700" s="19" t="str">
        <f t="shared" si="33"/>
        <v/>
      </c>
      <c r="AP700" s="100"/>
      <c r="AQ700" s="100"/>
    </row>
    <row r="701" spans="1:43" ht="15">
      <c r="A701" s="5"/>
      <c r="B701" s="5"/>
      <c r="G701" s="5" t="str">
        <f ca="1">IFERROR(__xludf.DUMMYFUNCTION("IFERROR(VLOOKUP(F724,IMPORTRANGE(""https://docs.google.com/spreadsheets/d/1Kvs4KS76FHFqLFIZfrDMff4kP08nblUkihrxltoGBjg/edit#gid=934712705"",""ESENCIAL!A6:BG""),3,FALSE))"),"")</f>
        <v/>
      </c>
      <c r="H701" s="5" t="str">
        <f ca="1">IFERROR(__xludf.DUMMYFUNCTION("IFERROR(VLOOKUP(F724,IMPORTRANGE(""https://docs.google.com/spreadsheets/d/1Kvs4KS76FHFqLFIZfrDMff4kP08nblUkihrxltoGBjg/edit#gid=934712705"",""ESENCIAL!A6:BG""),8,FALSE))"),"")</f>
        <v/>
      </c>
      <c r="L701" s="40"/>
      <c r="Z701" s="41" t="str">
        <f t="shared" si="40"/>
        <v/>
      </c>
      <c r="AA701" s="5" t="str">
        <f ca="1">IFERROR(__xludf.DUMMYFUNCTION("IFERROR(VLOOKUP(E724&amp;F724,IMPORTRANGE(""https://docs.google.com/spreadsheets/d/1Uw7-A9f9R21vMXxHZFNpYNeKFtG8_yji4HS352LGlSQ/edit?pli=1#gid=0"",""1_ACUM!A4:S""),11,FALSE))"),"")</f>
        <v/>
      </c>
      <c r="AB701" s="42" t="str">
        <f ca="1">IFERROR(__xludf.DUMMYFUNCTION("IFERROR(VLOOKUP(F724,IMPORTRANGE(""https://docs.google.com/spreadsheets/d/1Kvs4KS76FHFqLFIZfrDMff4kP08nblUkihrxltoGBjg/edit#gid=934712705"",""ESENCIAL!A6:BG""),15,FALSE))"),"")</f>
        <v/>
      </c>
      <c r="AC701" s="110" t="str">
        <f ca="1">IFERROR(__xludf.DUMMYFUNCTION("IFERROR(VLOOKUP(E724&amp;F724,IMPORTRANGE(""https://docs.google.com/spreadsheets/d/1Uw7-A9f9R21vMXxHZFNpYNeKFtG8_yji4HS352LGlSQ/edit?pli=1#gid=0"",""1_ACUM!A4:S""),13,FALSE))"),"")</f>
        <v/>
      </c>
      <c r="AD701" s="43" t="str">
        <f ca="1">IFERROR(__xludf.DUMMYFUNCTION("IFERROR(VLOOKUP(E724&amp;F724,IMPORTRANGE(""https://docs.google.com/spreadsheets/d/1Uw7-A9f9R21vMXxHZFNpYNeKFtG8_yji4HS352LGlSQ/edit?pli=1#gid=0"",""1_ACUM!A4:S""),13,FALSE))"),"")</f>
        <v/>
      </c>
      <c r="AE701" s="43" t="str">
        <f ca="1">IFERROR(__xludf.DUMMYFUNCTION("IFERROR(VLOOKUP(E724&amp;F724,IMPORTRANGE(""https://docs.google.com/spreadsheets/d/1Uw7-A9f9R21vMXxHZFNpYNeKFtG8_yji4HS352LGlSQ/edit?pli=1#gid=0"",""1_ACUM!A4:S""),14,FALSE))"),"")</f>
        <v/>
      </c>
      <c r="AF701" s="43" t="str">
        <f ca="1">IFERROR(__xludf.DUMMYFUNCTION("IFERROR(VLOOKUP(E724&amp;F724,IMPORTRANGE(""https://docs.google.com/spreadsheets/d/1Uw7-A9f9R21vMXxHZFNpYNeKFtG8_yji4HS352LGlSQ/edit?pli=1#gid=0"",""1_ACUM!A4:S""),15,FALSE))"),"")</f>
        <v/>
      </c>
      <c r="AG701" s="43" t="str">
        <f ca="1">IFERROR(__xludf.DUMMYFUNCTION("IFERROR(VLOOKUP(E724&amp;F724,IMPORTRANGE(""https://docs.google.com/spreadsheets/d/1Uw7-A9f9R21vMXxHZFNpYNeKFtG8_yji4HS352LGlSQ/edit?pli=1#gid=0"",""1_ACUM!A4:S""),16,FALSE))"),"")</f>
        <v/>
      </c>
      <c r="AH701" s="43" t="str">
        <f ca="1">IFERROR(__xludf.DUMMYFUNCTION("IFERROR(VLOOKUP(E724&amp;F724,IMPORTRANGE(""https://docs.google.com/spreadsheets/d/1Uw7-A9f9R21vMXxHZFNpYNeKFtG8_yji4HS352LGlSQ/edit?pli=1#gid=0"",""1_ACUM!A4:S""),17,FALSE))"),"")</f>
        <v/>
      </c>
      <c r="AI701" s="44" t="str">
        <f ca="1">IFERROR(__xludf.DUMMYFUNCTION("IFERROR(VLOOKUP(E724&amp;F724,IMPORTRANGE(""https://docs.google.com/spreadsheets/d/1Uw7-A9f9R21vMXxHZFNpYNeKFtG8_yji4HS352LGlSQ/edit?pli=1#gid=0"",""1_ACUM!A4:S""),18,FALSE))"),"")</f>
        <v/>
      </c>
      <c r="AJ701" s="44" t="str">
        <f ca="1">IFERROR(__xludf.DUMMYFUNCTION("IFERROR(VLOOKUP(E724&amp;F724,IMPORTRANGE(""https://docs.google.com/spreadsheets/d/1Uw7-A9f9R21vMXxHZFNpYNeKFtG8_yji4HS352LGlSQ/edit?pli=1#gid=0"",""1_ACUM!A4:S""),19,FALSE))"),"")</f>
        <v/>
      </c>
      <c r="AK701" s="98" t="str">
        <f ca="1">IFERROR(__xludf.DUMMYFUNCTION("IFERROR(VLOOKUP(F724,IMPORTRANGE(""https://docs.google.com/spreadsheets/d/1Kvs4KS76FHFqLFIZfrDMff4kP08nblUkihrxltoGBjg/edit#gid=934712705"",""ESENCIAL!A6:BG""),5,FALSE))"),"")</f>
        <v/>
      </c>
      <c r="AL701" s="98" t="str">
        <f t="shared" si="41"/>
        <v/>
      </c>
      <c r="AM701" s="99" t="str">
        <f t="shared" si="42"/>
        <v/>
      </c>
      <c r="AN701" s="100" t="str">
        <f ca="1">IFERROR(__xludf.DUMMYFUNCTION("IFERROR(VLOOKUP(F724,IMPORTRANGE(""https://docs.google.com/spreadsheets/d/1Kvs4KS76FHFqLFIZfrDMff4kP08nblUkihrxltoGBjg/edit#gid=934712705"",""ESENCIAL!A6:BG""),2,FALSE))"),"")</f>
        <v/>
      </c>
      <c r="AO701" s="19" t="str">
        <f t="shared" si="33"/>
        <v/>
      </c>
      <c r="AP701" s="100"/>
      <c r="AQ701" s="100"/>
    </row>
    <row r="702" spans="1:43" ht="15">
      <c r="A702" s="5"/>
      <c r="B702" s="5"/>
      <c r="G702" s="5" t="str">
        <f ca="1">IFERROR(__xludf.DUMMYFUNCTION("IFERROR(VLOOKUP(F725,IMPORTRANGE(""https://docs.google.com/spreadsheets/d/1Kvs4KS76FHFqLFIZfrDMff4kP08nblUkihrxltoGBjg/edit#gid=934712705"",""ESENCIAL!A6:BG""),3,FALSE))"),"")</f>
        <v/>
      </c>
      <c r="H702" s="5" t="str">
        <f ca="1">IFERROR(__xludf.DUMMYFUNCTION("IFERROR(VLOOKUP(F725,IMPORTRANGE(""https://docs.google.com/spreadsheets/d/1Kvs4KS76FHFqLFIZfrDMff4kP08nblUkihrxltoGBjg/edit#gid=934712705"",""ESENCIAL!A6:BG""),8,FALSE))"),"")</f>
        <v/>
      </c>
      <c r="L702" s="40"/>
      <c r="Z702" s="41" t="str">
        <f t="shared" si="40"/>
        <v/>
      </c>
      <c r="AA702" s="5" t="str">
        <f ca="1">IFERROR(__xludf.DUMMYFUNCTION("IFERROR(VLOOKUP(E725&amp;F725,IMPORTRANGE(""https://docs.google.com/spreadsheets/d/1Uw7-A9f9R21vMXxHZFNpYNeKFtG8_yji4HS352LGlSQ/edit?pli=1#gid=0"",""1_ACUM!A4:S""),11,FALSE))"),"")</f>
        <v/>
      </c>
      <c r="AB702" s="42" t="str">
        <f ca="1">IFERROR(__xludf.DUMMYFUNCTION("IFERROR(VLOOKUP(F725,IMPORTRANGE(""https://docs.google.com/spreadsheets/d/1Kvs4KS76FHFqLFIZfrDMff4kP08nblUkihrxltoGBjg/edit#gid=934712705"",""ESENCIAL!A6:BG""),15,FALSE))"),"")</f>
        <v/>
      </c>
      <c r="AC702" s="110" t="str">
        <f ca="1">IFERROR(__xludf.DUMMYFUNCTION("IFERROR(VLOOKUP(E725&amp;F725,IMPORTRANGE(""https://docs.google.com/spreadsheets/d/1Uw7-A9f9R21vMXxHZFNpYNeKFtG8_yji4HS352LGlSQ/edit?pli=1#gid=0"",""1_ACUM!A4:S""),13,FALSE))"),"")</f>
        <v/>
      </c>
      <c r="AD702" s="43" t="str">
        <f ca="1">IFERROR(__xludf.DUMMYFUNCTION("IFERROR(VLOOKUP(E725&amp;F725,IMPORTRANGE(""https://docs.google.com/spreadsheets/d/1Uw7-A9f9R21vMXxHZFNpYNeKFtG8_yji4HS352LGlSQ/edit?pli=1#gid=0"",""1_ACUM!A4:S""),13,FALSE))"),"")</f>
        <v/>
      </c>
      <c r="AE702" s="43" t="str">
        <f ca="1">IFERROR(__xludf.DUMMYFUNCTION("IFERROR(VLOOKUP(E725&amp;F725,IMPORTRANGE(""https://docs.google.com/spreadsheets/d/1Uw7-A9f9R21vMXxHZFNpYNeKFtG8_yji4HS352LGlSQ/edit?pli=1#gid=0"",""1_ACUM!A4:S""),14,FALSE))"),"")</f>
        <v/>
      </c>
      <c r="AF702" s="43" t="str">
        <f ca="1">IFERROR(__xludf.DUMMYFUNCTION("IFERROR(VLOOKUP(E725&amp;F725,IMPORTRANGE(""https://docs.google.com/spreadsheets/d/1Uw7-A9f9R21vMXxHZFNpYNeKFtG8_yji4HS352LGlSQ/edit?pli=1#gid=0"",""1_ACUM!A4:S""),15,FALSE))"),"")</f>
        <v/>
      </c>
      <c r="AG702" s="43" t="str">
        <f ca="1">IFERROR(__xludf.DUMMYFUNCTION("IFERROR(VLOOKUP(E725&amp;F725,IMPORTRANGE(""https://docs.google.com/spreadsheets/d/1Uw7-A9f9R21vMXxHZFNpYNeKFtG8_yji4HS352LGlSQ/edit?pli=1#gid=0"",""1_ACUM!A4:S""),16,FALSE))"),"")</f>
        <v/>
      </c>
      <c r="AH702" s="43" t="str">
        <f ca="1">IFERROR(__xludf.DUMMYFUNCTION("IFERROR(VLOOKUP(E725&amp;F725,IMPORTRANGE(""https://docs.google.com/spreadsheets/d/1Uw7-A9f9R21vMXxHZFNpYNeKFtG8_yji4HS352LGlSQ/edit?pli=1#gid=0"",""1_ACUM!A4:S""),17,FALSE))"),"")</f>
        <v/>
      </c>
      <c r="AI702" s="44" t="str">
        <f ca="1">IFERROR(__xludf.DUMMYFUNCTION("IFERROR(VLOOKUP(E725&amp;F725,IMPORTRANGE(""https://docs.google.com/spreadsheets/d/1Uw7-A9f9R21vMXxHZFNpYNeKFtG8_yji4HS352LGlSQ/edit?pli=1#gid=0"",""1_ACUM!A4:S""),18,FALSE))"),"")</f>
        <v/>
      </c>
      <c r="AJ702" s="44" t="str">
        <f ca="1">IFERROR(__xludf.DUMMYFUNCTION("IFERROR(VLOOKUP(E725&amp;F725,IMPORTRANGE(""https://docs.google.com/spreadsheets/d/1Uw7-A9f9R21vMXxHZFNpYNeKFtG8_yji4HS352LGlSQ/edit?pli=1#gid=0"",""1_ACUM!A4:S""),19,FALSE))"),"")</f>
        <v/>
      </c>
      <c r="AK702" s="98" t="str">
        <f ca="1">IFERROR(__xludf.DUMMYFUNCTION("IFERROR(VLOOKUP(F725,IMPORTRANGE(""https://docs.google.com/spreadsheets/d/1Kvs4KS76FHFqLFIZfrDMff4kP08nblUkihrxltoGBjg/edit#gid=934712705"",""ESENCIAL!A6:BG""),5,FALSE))"),"")</f>
        <v/>
      </c>
      <c r="AL702" s="98" t="str">
        <f t="shared" si="41"/>
        <v/>
      </c>
      <c r="AM702" s="99" t="str">
        <f t="shared" si="42"/>
        <v/>
      </c>
      <c r="AN702" s="100" t="str">
        <f ca="1">IFERROR(__xludf.DUMMYFUNCTION("IFERROR(VLOOKUP(F725,IMPORTRANGE(""https://docs.google.com/spreadsheets/d/1Kvs4KS76FHFqLFIZfrDMff4kP08nblUkihrxltoGBjg/edit#gid=934712705"",""ESENCIAL!A6:BG""),2,FALSE))"),"")</f>
        <v/>
      </c>
      <c r="AO702" s="19" t="str">
        <f t="shared" si="33"/>
        <v/>
      </c>
      <c r="AP702" s="100"/>
      <c r="AQ702" s="100"/>
    </row>
    <row r="703" spans="1:43" ht="15">
      <c r="A703" s="5"/>
      <c r="B703" s="5"/>
      <c r="G703" s="5" t="str">
        <f ca="1">IFERROR(__xludf.DUMMYFUNCTION("IFERROR(VLOOKUP(F726,IMPORTRANGE(""https://docs.google.com/spreadsheets/d/1Kvs4KS76FHFqLFIZfrDMff4kP08nblUkihrxltoGBjg/edit#gid=934712705"",""ESENCIAL!A6:BG""),3,FALSE))"),"")</f>
        <v/>
      </c>
      <c r="H703" s="5" t="str">
        <f ca="1">IFERROR(__xludf.DUMMYFUNCTION("IFERROR(VLOOKUP(F726,IMPORTRANGE(""https://docs.google.com/spreadsheets/d/1Kvs4KS76FHFqLFIZfrDMff4kP08nblUkihrxltoGBjg/edit#gid=934712705"",""ESENCIAL!A6:BG""),8,FALSE))"),"")</f>
        <v/>
      </c>
      <c r="L703" s="40"/>
      <c r="Z703" s="41" t="str">
        <f t="shared" si="40"/>
        <v/>
      </c>
      <c r="AA703" s="5" t="str">
        <f ca="1">IFERROR(__xludf.DUMMYFUNCTION("IFERROR(VLOOKUP(E726&amp;F726,IMPORTRANGE(""https://docs.google.com/spreadsheets/d/1Uw7-A9f9R21vMXxHZFNpYNeKFtG8_yji4HS352LGlSQ/edit?pli=1#gid=0"",""1_ACUM!A4:S""),11,FALSE))"),"")</f>
        <v/>
      </c>
      <c r="AB703" s="42" t="str">
        <f ca="1">IFERROR(__xludf.DUMMYFUNCTION("IFERROR(VLOOKUP(F726,IMPORTRANGE(""https://docs.google.com/spreadsheets/d/1Kvs4KS76FHFqLFIZfrDMff4kP08nblUkihrxltoGBjg/edit#gid=934712705"",""ESENCIAL!A6:BG""),15,FALSE))"),"")</f>
        <v/>
      </c>
      <c r="AC703" s="110" t="str">
        <f ca="1">IFERROR(__xludf.DUMMYFUNCTION("IFERROR(VLOOKUP(E726&amp;F726,IMPORTRANGE(""https://docs.google.com/spreadsheets/d/1Uw7-A9f9R21vMXxHZFNpYNeKFtG8_yji4HS352LGlSQ/edit?pli=1#gid=0"",""1_ACUM!A4:S""),13,FALSE))"),"")</f>
        <v/>
      </c>
      <c r="AD703" s="43" t="str">
        <f ca="1">IFERROR(__xludf.DUMMYFUNCTION("IFERROR(VLOOKUP(E726&amp;F726,IMPORTRANGE(""https://docs.google.com/spreadsheets/d/1Uw7-A9f9R21vMXxHZFNpYNeKFtG8_yji4HS352LGlSQ/edit?pli=1#gid=0"",""1_ACUM!A4:S""),13,FALSE))"),"")</f>
        <v/>
      </c>
      <c r="AE703" s="43" t="str">
        <f ca="1">IFERROR(__xludf.DUMMYFUNCTION("IFERROR(VLOOKUP(E726&amp;F726,IMPORTRANGE(""https://docs.google.com/spreadsheets/d/1Uw7-A9f9R21vMXxHZFNpYNeKFtG8_yji4HS352LGlSQ/edit?pli=1#gid=0"",""1_ACUM!A4:S""),14,FALSE))"),"")</f>
        <v/>
      </c>
      <c r="AF703" s="43" t="str">
        <f ca="1">IFERROR(__xludf.DUMMYFUNCTION("IFERROR(VLOOKUP(E726&amp;F726,IMPORTRANGE(""https://docs.google.com/spreadsheets/d/1Uw7-A9f9R21vMXxHZFNpYNeKFtG8_yji4HS352LGlSQ/edit?pli=1#gid=0"",""1_ACUM!A4:S""),15,FALSE))"),"")</f>
        <v/>
      </c>
      <c r="AG703" s="43" t="str">
        <f ca="1">IFERROR(__xludf.DUMMYFUNCTION("IFERROR(VLOOKUP(E726&amp;F726,IMPORTRANGE(""https://docs.google.com/spreadsheets/d/1Uw7-A9f9R21vMXxHZFNpYNeKFtG8_yji4HS352LGlSQ/edit?pli=1#gid=0"",""1_ACUM!A4:S""),16,FALSE))"),"")</f>
        <v/>
      </c>
      <c r="AH703" s="43" t="str">
        <f ca="1">IFERROR(__xludf.DUMMYFUNCTION("IFERROR(VLOOKUP(E726&amp;F726,IMPORTRANGE(""https://docs.google.com/spreadsheets/d/1Uw7-A9f9R21vMXxHZFNpYNeKFtG8_yji4HS352LGlSQ/edit?pli=1#gid=0"",""1_ACUM!A4:S""),17,FALSE))"),"")</f>
        <v/>
      </c>
      <c r="AI703" s="44" t="str">
        <f ca="1">IFERROR(__xludf.DUMMYFUNCTION("IFERROR(VLOOKUP(E726&amp;F726,IMPORTRANGE(""https://docs.google.com/spreadsheets/d/1Uw7-A9f9R21vMXxHZFNpYNeKFtG8_yji4HS352LGlSQ/edit?pli=1#gid=0"",""1_ACUM!A4:S""),18,FALSE))"),"")</f>
        <v/>
      </c>
      <c r="AJ703" s="44" t="str">
        <f ca="1">IFERROR(__xludf.DUMMYFUNCTION("IFERROR(VLOOKUP(E726&amp;F726,IMPORTRANGE(""https://docs.google.com/spreadsheets/d/1Uw7-A9f9R21vMXxHZFNpYNeKFtG8_yji4HS352LGlSQ/edit?pli=1#gid=0"",""1_ACUM!A4:S""),19,FALSE))"),"")</f>
        <v/>
      </c>
      <c r="AK703" s="98" t="str">
        <f ca="1">IFERROR(__xludf.DUMMYFUNCTION("IFERROR(VLOOKUP(F726,IMPORTRANGE(""https://docs.google.com/spreadsheets/d/1Kvs4KS76FHFqLFIZfrDMff4kP08nblUkihrxltoGBjg/edit#gid=934712705"",""ESENCIAL!A6:BG""),5,FALSE))"),"")</f>
        <v/>
      </c>
      <c r="AL703" s="98" t="str">
        <f t="shared" si="41"/>
        <v/>
      </c>
      <c r="AM703" s="99" t="str">
        <f t="shared" si="42"/>
        <v/>
      </c>
      <c r="AN703" s="100" t="str">
        <f ca="1">IFERROR(__xludf.DUMMYFUNCTION("IFERROR(VLOOKUP(F726,IMPORTRANGE(""https://docs.google.com/spreadsheets/d/1Kvs4KS76FHFqLFIZfrDMff4kP08nblUkihrxltoGBjg/edit#gid=934712705"",""ESENCIAL!A6:BG""),2,FALSE))"),"")</f>
        <v/>
      </c>
      <c r="AO703" s="19" t="str">
        <f t="shared" si="33"/>
        <v/>
      </c>
      <c r="AP703" s="100"/>
      <c r="AQ703" s="100"/>
    </row>
    <row r="704" spans="1:43" ht="15">
      <c r="A704" s="5"/>
      <c r="B704" s="5"/>
      <c r="G704" s="5" t="str">
        <f ca="1">IFERROR(__xludf.DUMMYFUNCTION("IFERROR(VLOOKUP(F727,IMPORTRANGE(""https://docs.google.com/spreadsheets/d/1Kvs4KS76FHFqLFIZfrDMff4kP08nblUkihrxltoGBjg/edit#gid=934712705"",""ESENCIAL!A6:BG""),3,FALSE))"),"")</f>
        <v/>
      </c>
      <c r="H704" s="5" t="str">
        <f ca="1">IFERROR(__xludf.DUMMYFUNCTION("IFERROR(VLOOKUP(F727,IMPORTRANGE(""https://docs.google.com/spreadsheets/d/1Kvs4KS76FHFqLFIZfrDMff4kP08nblUkihrxltoGBjg/edit#gid=934712705"",""ESENCIAL!A6:BG""),8,FALSE))"),"")</f>
        <v/>
      </c>
      <c r="L704" s="40"/>
      <c r="Z704" s="41" t="str">
        <f t="shared" si="40"/>
        <v/>
      </c>
      <c r="AA704" s="5" t="str">
        <f ca="1">IFERROR(__xludf.DUMMYFUNCTION("IFERROR(VLOOKUP(E727&amp;F727,IMPORTRANGE(""https://docs.google.com/spreadsheets/d/1Uw7-A9f9R21vMXxHZFNpYNeKFtG8_yji4HS352LGlSQ/edit?pli=1#gid=0"",""1_ACUM!A4:S""),11,FALSE))"),"")</f>
        <v/>
      </c>
      <c r="AB704" s="42" t="str">
        <f ca="1">IFERROR(__xludf.DUMMYFUNCTION("IFERROR(VLOOKUP(F727,IMPORTRANGE(""https://docs.google.com/spreadsheets/d/1Kvs4KS76FHFqLFIZfrDMff4kP08nblUkihrxltoGBjg/edit#gid=934712705"",""ESENCIAL!A6:BG""),15,FALSE))"),"")</f>
        <v/>
      </c>
      <c r="AC704" s="110" t="str">
        <f ca="1">IFERROR(__xludf.DUMMYFUNCTION("IFERROR(VLOOKUP(E727&amp;F727,IMPORTRANGE(""https://docs.google.com/spreadsheets/d/1Uw7-A9f9R21vMXxHZFNpYNeKFtG8_yji4HS352LGlSQ/edit?pli=1#gid=0"",""1_ACUM!A4:S""),13,FALSE))"),"")</f>
        <v/>
      </c>
      <c r="AD704" s="43" t="str">
        <f ca="1">IFERROR(__xludf.DUMMYFUNCTION("IFERROR(VLOOKUP(E727&amp;F727,IMPORTRANGE(""https://docs.google.com/spreadsheets/d/1Uw7-A9f9R21vMXxHZFNpYNeKFtG8_yji4HS352LGlSQ/edit?pli=1#gid=0"",""1_ACUM!A4:S""),13,FALSE))"),"")</f>
        <v/>
      </c>
      <c r="AE704" s="43" t="str">
        <f ca="1">IFERROR(__xludf.DUMMYFUNCTION("IFERROR(VLOOKUP(E727&amp;F727,IMPORTRANGE(""https://docs.google.com/spreadsheets/d/1Uw7-A9f9R21vMXxHZFNpYNeKFtG8_yji4HS352LGlSQ/edit?pli=1#gid=0"",""1_ACUM!A4:S""),14,FALSE))"),"")</f>
        <v/>
      </c>
      <c r="AF704" s="43" t="str">
        <f ca="1">IFERROR(__xludf.DUMMYFUNCTION("IFERROR(VLOOKUP(E727&amp;F727,IMPORTRANGE(""https://docs.google.com/spreadsheets/d/1Uw7-A9f9R21vMXxHZFNpYNeKFtG8_yji4HS352LGlSQ/edit?pli=1#gid=0"",""1_ACUM!A4:S""),15,FALSE))"),"")</f>
        <v/>
      </c>
      <c r="AG704" s="43" t="str">
        <f ca="1">IFERROR(__xludf.DUMMYFUNCTION("IFERROR(VLOOKUP(E727&amp;F727,IMPORTRANGE(""https://docs.google.com/spreadsheets/d/1Uw7-A9f9R21vMXxHZFNpYNeKFtG8_yji4HS352LGlSQ/edit?pli=1#gid=0"",""1_ACUM!A4:S""),16,FALSE))"),"")</f>
        <v/>
      </c>
      <c r="AH704" s="43" t="str">
        <f ca="1">IFERROR(__xludf.DUMMYFUNCTION("IFERROR(VLOOKUP(E727&amp;F727,IMPORTRANGE(""https://docs.google.com/spreadsheets/d/1Uw7-A9f9R21vMXxHZFNpYNeKFtG8_yji4HS352LGlSQ/edit?pli=1#gid=0"",""1_ACUM!A4:S""),17,FALSE))"),"")</f>
        <v/>
      </c>
      <c r="AI704" s="44" t="str">
        <f ca="1">IFERROR(__xludf.DUMMYFUNCTION("IFERROR(VLOOKUP(E727&amp;F727,IMPORTRANGE(""https://docs.google.com/spreadsheets/d/1Uw7-A9f9R21vMXxHZFNpYNeKFtG8_yji4HS352LGlSQ/edit?pli=1#gid=0"",""1_ACUM!A4:S""),18,FALSE))"),"")</f>
        <v/>
      </c>
      <c r="AJ704" s="44" t="str">
        <f ca="1">IFERROR(__xludf.DUMMYFUNCTION("IFERROR(VLOOKUP(E727&amp;F727,IMPORTRANGE(""https://docs.google.com/spreadsheets/d/1Uw7-A9f9R21vMXxHZFNpYNeKFtG8_yji4HS352LGlSQ/edit?pli=1#gid=0"",""1_ACUM!A4:S""),19,FALSE))"),"")</f>
        <v/>
      </c>
      <c r="AK704" s="98" t="str">
        <f ca="1">IFERROR(__xludf.DUMMYFUNCTION("IFERROR(VLOOKUP(F727,IMPORTRANGE(""https://docs.google.com/spreadsheets/d/1Kvs4KS76FHFqLFIZfrDMff4kP08nblUkihrxltoGBjg/edit#gid=934712705"",""ESENCIAL!A6:BG""),5,FALSE))"),"")</f>
        <v/>
      </c>
      <c r="AL704" s="98" t="str">
        <f t="shared" si="41"/>
        <v/>
      </c>
      <c r="AM704" s="99" t="str">
        <f t="shared" si="42"/>
        <v/>
      </c>
      <c r="AN704" s="100" t="str">
        <f ca="1">IFERROR(__xludf.DUMMYFUNCTION("IFERROR(VLOOKUP(F727,IMPORTRANGE(""https://docs.google.com/spreadsheets/d/1Kvs4KS76FHFqLFIZfrDMff4kP08nblUkihrxltoGBjg/edit#gid=934712705"",""ESENCIAL!A6:BG""),2,FALSE))"),"")</f>
        <v/>
      </c>
      <c r="AO704" s="19" t="str">
        <f t="shared" si="33"/>
        <v/>
      </c>
      <c r="AP704" s="100"/>
      <c r="AQ704" s="100"/>
    </row>
    <row r="705" spans="1:43" ht="15">
      <c r="A705" s="5"/>
      <c r="B705" s="5"/>
      <c r="G705" s="5" t="str">
        <f ca="1">IFERROR(__xludf.DUMMYFUNCTION("IFERROR(VLOOKUP(F728,IMPORTRANGE(""https://docs.google.com/spreadsheets/d/1Kvs4KS76FHFqLFIZfrDMff4kP08nblUkihrxltoGBjg/edit#gid=934712705"",""ESENCIAL!A6:BG""),3,FALSE))"),"")</f>
        <v/>
      </c>
      <c r="H705" s="5" t="str">
        <f ca="1">IFERROR(__xludf.DUMMYFUNCTION("IFERROR(VLOOKUP(F728,IMPORTRANGE(""https://docs.google.com/spreadsheets/d/1Kvs4KS76FHFqLFIZfrDMff4kP08nblUkihrxltoGBjg/edit#gid=934712705"",""ESENCIAL!A6:BG""),8,FALSE))"),"")</f>
        <v/>
      </c>
      <c r="L705" s="40"/>
      <c r="Z705" s="41" t="str">
        <f t="shared" si="40"/>
        <v/>
      </c>
      <c r="AA705" s="5" t="str">
        <f ca="1">IFERROR(__xludf.DUMMYFUNCTION("IFERROR(VLOOKUP(E728&amp;F728,IMPORTRANGE(""https://docs.google.com/spreadsheets/d/1Uw7-A9f9R21vMXxHZFNpYNeKFtG8_yji4HS352LGlSQ/edit?pli=1#gid=0"",""1_ACUM!A4:S""),11,FALSE))"),"")</f>
        <v/>
      </c>
      <c r="AB705" s="42" t="str">
        <f ca="1">IFERROR(__xludf.DUMMYFUNCTION("IFERROR(VLOOKUP(F728,IMPORTRANGE(""https://docs.google.com/spreadsheets/d/1Kvs4KS76FHFqLFIZfrDMff4kP08nblUkihrxltoGBjg/edit#gid=934712705"",""ESENCIAL!A6:BG""),15,FALSE))"),"")</f>
        <v/>
      </c>
      <c r="AC705" s="110" t="str">
        <f ca="1">IFERROR(__xludf.DUMMYFUNCTION("IFERROR(VLOOKUP(E728&amp;F728,IMPORTRANGE(""https://docs.google.com/spreadsheets/d/1Uw7-A9f9R21vMXxHZFNpYNeKFtG8_yji4HS352LGlSQ/edit?pli=1#gid=0"",""1_ACUM!A4:S""),13,FALSE))"),"")</f>
        <v/>
      </c>
      <c r="AD705" s="43" t="str">
        <f ca="1">IFERROR(__xludf.DUMMYFUNCTION("IFERROR(VLOOKUP(E728&amp;F728,IMPORTRANGE(""https://docs.google.com/spreadsheets/d/1Uw7-A9f9R21vMXxHZFNpYNeKFtG8_yji4HS352LGlSQ/edit?pli=1#gid=0"",""1_ACUM!A4:S""),13,FALSE))"),"")</f>
        <v/>
      </c>
      <c r="AE705" s="43" t="str">
        <f ca="1">IFERROR(__xludf.DUMMYFUNCTION("IFERROR(VLOOKUP(E728&amp;F728,IMPORTRANGE(""https://docs.google.com/spreadsheets/d/1Uw7-A9f9R21vMXxHZFNpYNeKFtG8_yji4HS352LGlSQ/edit?pli=1#gid=0"",""1_ACUM!A4:S""),14,FALSE))"),"")</f>
        <v/>
      </c>
      <c r="AF705" s="43" t="str">
        <f ca="1">IFERROR(__xludf.DUMMYFUNCTION("IFERROR(VLOOKUP(E728&amp;F728,IMPORTRANGE(""https://docs.google.com/spreadsheets/d/1Uw7-A9f9R21vMXxHZFNpYNeKFtG8_yji4HS352LGlSQ/edit?pli=1#gid=0"",""1_ACUM!A4:S""),15,FALSE))"),"")</f>
        <v/>
      </c>
      <c r="AG705" s="43" t="str">
        <f ca="1">IFERROR(__xludf.DUMMYFUNCTION("IFERROR(VLOOKUP(E728&amp;F728,IMPORTRANGE(""https://docs.google.com/spreadsheets/d/1Uw7-A9f9R21vMXxHZFNpYNeKFtG8_yji4HS352LGlSQ/edit?pli=1#gid=0"",""1_ACUM!A4:S""),16,FALSE))"),"")</f>
        <v/>
      </c>
      <c r="AH705" s="43" t="str">
        <f ca="1">IFERROR(__xludf.DUMMYFUNCTION("IFERROR(VLOOKUP(E728&amp;F728,IMPORTRANGE(""https://docs.google.com/spreadsheets/d/1Uw7-A9f9R21vMXxHZFNpYNeKFtG8_yji4HS352LGlSQ/edit?pli=1#gid=0"",""1_ACUM!A4:S""),17,FALSE))"),"")</f>
        <v/>
      </c>
      <c r="AI705" s="44" t="str">
        <f ca="1">IFERROR(__xludf.DUMMYFUNCTION("IFERROR(VLOOKUP(E728&amp;F728,IMPORTRANGE(""https://docs.google.com/spreadsheets/d/1Uw7-A9f9R21vMXxHZFNpYNeKFtG8_yji4HS352LGlSQ/edit?pli=1#gid=0"",""1_ACUM!A4:S""),18,FALSE))"),"")</f>
        <v/>
      </c>
      <c r="AJ705" s="44" t="str">
        <f ca="1">IFERROR(__xludf.DUMMYFUNCTION("IFERROR(VLOOKUP(E728&amp;F728,IMPORTRANGE(""https://docs.google.com/spreadsheets/d/1Uw7-A9f9R21vMXxHZFNpYNeKFtG8_yji4HS352LGlSQ/edit?pli=1#gid=0"",""1_ACUM!A4:S""),19,FALSE))"),"")</f>
        <v/>
      </c>
      <c r="AK705" s="98" t="str">
        <f ca="1">IFERROR(__xludf.DUMMYFUNCTION("IFERROR(VLOOKUP(F728,IMPORTRANGE(""https://docs.google.com/spreadsheets/d/1Kvs4KS76FHFqLFIZfrDMff4kP08nblUkihrxltoGBjg/edit#gid=934712705"",""ESENCIAL!A6:BG""),5,FALSE))"),"")</f>
        <v/>
      </c>
      <c r="AL705" s="98" t="str">
        <f t="shared" si="41"/>
        <v/>
      </c>
      <c r="AM705" s="99" t="str">
        <f t="shared" si="42"/>
        <v/>
      </c>
      <c r="AN705" s="100" t="str">
        <f ca="1">IFERROR(__xludf.DUMMYFUNCTION("IFERROR(VLOOKUP(F728,IMPORTRANGE(""https://docs.google.com/spreadsheets/d/1Kvs4KS76FHFqLFIZfrDMff4kP08nblUkihrxltoGBjg/edit#gid=934712705"",""ESENCIAL!A6:BG""),2,FALSE))"),"")</f>
        <v/>
      </c>
      <c r="AO705" s="19" t="str">
        <f t="shared" si="33"/>
        <v/>
      </c>
      <c r="AP705" s="100"/>
      <c r="AQ705" s="100"/>
    </row>
    <row r="706" spans="1:43" ht="15">
      <c r="A706" s="5"/>
      <c r="B706" s="5"/>
      <c r="G706" s="5" t="str">
        <f ca="1">IFERROR(__xludf.DUMMYFUNCTION("IFERROR(VLOOKUP(F729,IMPORTRANGE(""https://docs.google.com/spreadsheets/d/1Kvs4KS76FHFqLFIZfrDMff4kP08nblUkihrxltoGBjg/edit#gid=934712705"",""ESENCIAL!A6:BG""),3,FALSE))"),"")</f>
        <v/>
      </c>
      <c r="H706" s="5" t="str">
        <f ca="1">IFERROR(__xludf.DUMMYFUNCTION("IFERROR(VLOOKUP(F729,IMPORTRANGE(""https://docs.google.com/spreadsheets/d/1Kvs4KS76FHFqLFIZfrDMff4kP08nblUkihrxltoGBjg/edit#gid=934712705"",""ESENCIAL!A6:BG""),8,FALSE))"),"")</f>
        <v/>
      </c>
      <c r="L706" s="40"/>
      <c r="Z706" s="41" t="str">
        <f t="shared" ref="Z706:Z769" si="43">IF(E706&gt;0,IF(AND(AH706=1,AE706=1),"Procede_E_P","NO_CUMPLE"),"")</f>
        <v/>
      </c>
      <c r="AA706" s="5" t="str">
        <f ca="1">IFERROR(__xludf.DUMMYFUNCTION("IFERROR(VLOOKUP(E729&amp;F729,IMPORTRANGE(""https://docs.google.com/spreadsheets/d/1Uw7-A9f9R21vMXxHZFNpYNeKFtG8_yji4HS352LGlSQ/edit?pli=1#gid=0"",""1_ACUM!A4:S""),11,FALSE))"),"")</f>
        <v/>
      </c>
      <c r="AB706" s="42" t="str">
        <f ca="1">IFERROR(__xludf.DUMMYFUNCTION("IFERROR(VLOOKUP(F729,IMPORTRANGE(""https://docs.google.com/spreadsheets/d/1Kvs4KS76FHFqLFIZfrDMff4kP08nblUkihrxltoGBjg/edit#gid=934712705"",""ESENCIAL!A6:BG""),15,FALSE))"),"")</f>
        <v/>
      </c>
      <c r="AC706" s="110" t="str">
        <f ca="1">IFERROR(__xludf.DUMMYFUNCTION("IFERROR(VLOOKUP(E729&amp;F729,IMPORTRANGE(""https://docs.google.com/spreadsheets/d/1Uw7-A9f9R21vMXxHZFNpYNeKFtG8_yji4HS352LGlSQ/edit?pli=1#gid=0"",""1_ACUM!A4:S""),13,FALSE))"),"")</f>
        <v/>
      </c>
      <c r="AD706" s="43" t="str">
        <f ca="1">IFERROR(__xludf.DUMMYFUNCTION("IFERROR(VLOOKUP(E729&amp;F729,IMPORTRANGE(""https://docs.google.com/spreadsheets/d/1Uw7-A9f9R21vMXxHZFNpYNeKFtG8_yji4HS352LGlSQ/edit?pli=1#gid=0"",""1_ACUM!A4:S""),13,FALSE))"),"")</f>
        <v/>
      </c>
      <c r="AE706" s="43" t="str">
        <f ca="1">IFERROR(__xludf.DUMMYFUNCTION("IFERROR(VLOOKUP(E729&amp;F729,IMPORTRANGE(""https://docs.google.com/spreadsheets/d/1Uw7-A9f9R21vMXxHZFNpYNeKFtG8_yji4HS352LGlSQ/edit?pli=1#gid=0"",""1_ACUM!A4:S""),14,FALSE))"),"")</f>
        <v/>
      </c>
      <c r="AF706" s="43" t="str">
        <f ca="1">IFERROR(__xludf.DUMMYFUNCTION("IFERROR(VLOOKUP(E729&amp;F729,IMPORTRANGE(""https://docs.google.com/spreadsheets/d/1Uw7-A9f9R21vMXxHZFNpYNeKFtG8_yji4HS352LGlSQ/edit?pli=1#gid=0"",""1_ACUM!A4:S""),15,FALSE))"),"")</f>
        <v/>
      </c>
      <c r="AG706" s="43" t="str">
        <f ca="1">IFERROR(__xludf.DUMMYFUNCTION("IFERROR(VLOOKUP(E729&amp;F729,IMPORTRANGE(""https://docs.google.com/spreadsheets/d/1Uw7-A9f9R21vMXxHZFNpYNeKFtG8_yji4HS352LGlSQ/edit?pli=1#gid=0"",""1_ACUM!A4:S""),16,FALSE))"),"")</f>
        <v/>
      </c>
      <c r="AH706" s="43" t="str">
        <f ca="1">IFERROR(__xludf.DUMMYFUNCTION("IFERROR(VLOOKUP(E729&amp;F729,IMPORTRANGE(""https://docs.google.com/spreadsheets/d/1Uw7-A9f9R21vMXxHZFNpYNeKFtG8_yji4HS352LGlSQ/edit?pli=1#gid=0"",""1_ACUM!A4:S""),17,FALSE))"),"")</f>
        <v/>
      </c>
      <c r="AI706" s="44" t="str">
        <f ca="1">IFERROR(__xludf.DUMMYFUNCTION("IFERROR(VLOOKUP(E729&amp;F729,IMPORTRANGE(""https://docs.google.com/spreadsheets/d/1Uw7-A9f9R21vMXxHZFNpYNeKFtG8_yji4HS352LGlSQ/edit?pli=1#gid=0"",""1_ACUM!A4:S""),18,FALSE))"),"")</f>
        <v/>
      </c>
      <c r="AJ706" s="44" t="str">
        <f ca="1">IFERROR(__xludf.DUMMYFUNCTION("IFERROR(VLOOKUP(E729&amp;F729,IMPORTRANGE(""https://docs.google.com/spreadsheets/d/1Uw7-A9f9R21vMXxHZFNpYNeKFtG8_yji4HS352LGlSQ/edit?pli=1#gid=0"",""1_ACUM!A4:S""),19,FALSE))"),"")</f>
        <v/>
      </c>
      <c r="AK706" s="98" t="str">
        <f ca="1">IFERROR(__xludf.DUMMYFUNCTION("IFERROR(VLOOKUP(F729,IMPORTRANGE(""https://docs.google.com/spreadsheets/d/1Kvs4KS76FHFqLFIZfrDMff4kP08nblUkihrxltoGBjg/edit#gid=934712705"",""ESENCIAL!A6:BG""),5,FALSE))"),"")</f>
        <v/>
      </c>
      <c r="AL706" s="98" t="str">
        <f t="shared" ref="AL706:AL769" si="44">IF(F706&gt;0,EDATE(AK706,18),"")</f>
        <v/>
      </c>
      <c r="AM706" s="99" t="str">
        <f t="shared" ref="AM706:AM769" si="45">IF(F706&gt;0,IF(AL706&lt;$AM$1,"FINALIZAR FICHA","FICHA EN TIEMPO-18 MESES"),"")</f>
        <v/>
      </c>
      <c r="AN706" s="100" t="str">
        <f ca="1">IFERROR(__xludf.DUMMYFUNCTION("IFERROR(VLOOKUP(F729,IMPORTRANGE(""https://docs.google.com/spreadsheets/d/1Kvs4KS76FHFqLFIZfrDMff4kP08nblUkihrxltoGBjg/edit#gid=934712705"",""ESENCIAL!A6:BG""),2,FALSE))"),"")</f>
        <v/>
      </c>
      <c r="AO706" s="19" t="str">
        <f t="shared" si="33"/>
        <v/>
      </c>
      <c r="AP706" s="100"/>
      <c r="AQ706" s="100"/>
    </row>
    <row r="707" spans="1:43" ht="15">
      <c r="A707" s="5"/>
      <c r="B707" s="5"/>
      <c r="G707" s="5" t="str">
        <f ca="1">IFERROR(__xludf.DUMMYFUNCTION("IFERROR(VLOOKUP(F730,IMPORTRANGE(""https://docs.google.com/spreadsheets/d/1Kvs4KS76FHFqLFIZfrDMff4kP08nblUkihrxltoGBjg/edit#gid=934712705"",""ESENCIAL!A6:BG""),3,FALSE))"),"")</f>
        <v/>
      </c>
      <c r="H707" s="5" t="str">
        <f ca="1">IFERROR(__xludf.DUMMYFUNCTION("IFERROR(VLOOKUP(F730,IMPORTRANGE(""https://docs.google.com/spreadsheets/d/1Kvs4KS76FHFqLFIZfrDMff4kP08nblUkihrxltoGBjg/edit#gid=934712705"",""ESENCIAL!A6:BG""),8,FALSE))"),"")</f>
        <v/>
      </c>
      <c r="L707" s="40"/>
      <c r="Z707" s="41" t="str">
        <f t="shared" si="43"/>
        <v/>
      </c>
      <c r="AA707" s="5" t="str">
        <f ca="1">IFERROR(__xludf.DUMMYFUNCTION("IFERROR(VLOOKUP(E730&amp;F730,IMPORTRANGE(""https://docs.google.com/spreadsheets/d/1Uw7-A9f9R21vMXxHZFNpYNeKFtG8_yji4HS352LGlSQ/edit?pli=1#gid=0"",""1_ACUM!A4:S""),11,FALSE))"),"")</f>
        <v/>
      </c>
      <c r="AB707" s="42" t="str">
        <f ca="1">IFERROR(__xludf.DUMMYFUNCTION("IFERROR(VLOOKUP(F730,IMPORTRANGE(""https://docs.google.com/spreadsheets/d/1Kvs4KS76FHFqLFIZfrDMff4kP08nblUkihrxltoGBjg/edit#gid=934712705"",""ESENCIAL!A6:BG""),15,FALSE))"),"")</f>
        <v/>
      </c>
      <c r="AC707" s="110" t="str">
        <f ca="1">IFERROR(__xludf.DUMMYFUNCTION("IFERROR(VLOOKUP(E730&amp;F730,IMPORTRANGE(""https://docs.google.com/spreadsheets/d/1Uw7-A9f9R21vMXxHZFNpYNeKFtG8_yji4HS352LGlSQ/edit?pli=1#gid=0"",""1_ACUM!A4:S""),13,FALSE))"),"")</f>
        <v/>
      </c>
      <c r="AD707" s="43" t="str">
        <f ca="1">IFERROR(__xludf.DUMMYFUNCTION("IFERROR(VLOOKUP(E730&amp;F730,IMPORTRANGE(""https://docs.google.com/spreadsheets/d/1Uw7-A9f9R21vMXxHZFNpYNeKFtG8_yji4HS352LGlSQ/edit?pli=1#gid=0"",""1_ACUM!A4:S""),13,FALSE))"),"")</f>
        <v/>
      </c>
      <c r="AE707" s="43" t="str">
        <f ca="1">IFERROR(__xludf.DUMMYFUNCTION("IFERROR(VLOOKUP(E730&amp;F730,IMPORTRANGE(""https://docs.google.com/spreadsheets/d/1Uw7-A9f9R21vMXxHZFNpYNeKFtG8_yji4HS352LGlSQ/edit?pli=1#gid=0"",""1_ACUM!A4:S""),14,FALSE))"),"")</f>
        <v/>
      </c>
      <c r="AF707" s="43" t="str">
        <f ca="1">IFERROR(__xludf.DUMMYFUNCTION("IFERROR(VLOOKUP(E730&amp;F730,IMPORTRANGE(""https://docs.google.com/spreadsheets/d/1Uw7-A9f9R21vMXxHZFNpYNeKFtG8_yji4HS352LGlSQ/edit?pli=1#gid=0"",""1_ACUM!A4:S""),15,FALSE))"),"")</f>
        <v/>
      </c>
      <c r="AG707" s="43" t="str">
        <f ca="1">IFERROR(__xludf.DUMMYFUNCTION("IFERROR(VLOOKUP(E730&amp;F730,IMPORTRANGE(""https://docs.google.com/spreadsheets/d/1Uw7-A9f9R21vMXxHZFNpYNeKFtG8_yji4HS352LGlSQ/edit?pli=1#gid=0"",""1_ACUM!A4:S""),16,FALSE))"),"")</f>
        <v/>
      </c>
      <c r="AH707" s="43" t="str">
        <f ca="1">IFERROR(__xludf.DUMMYFUNCTION("IFERROR(VLOOKUP(E730&amp;F730,IMPORTRANGE(""https://docs.google.com/spreadsheets/d/1Uw7-A9f9R21vMXxHZFNpYNeKFtG8_yji4HS352LGlSQ/edit?pli=1#gid=0"",""1_ACUM!A4:S""),17,FALSE))"),"")</f>
        <v/>
      </c>
      <c r="AI707" s="44" t="str">
        <f ca="1">IFERROR(__xludf.DUMMYFUNCTION("IFERROR(VLOOKUP(E730&amp;F730,IMPORTRANGE(""https://docs.google.com/spreadsheets/d/1Uw7-A9f9R21vMXxHZFNpYNeKFtG8_yji4HS352LGlSQ/edit?pli=1#gid=0"",""1_ACUM!A4:S""),18,FALSE))"),"")</f>
        <v/>
      </c>
      <c r="AJ707" s="44" t="str">
        <f ca="1">IFERROR(__xludf.DUMMYFUNCTION("IFERROR(VLOOKUP(E730&amp;F730,IMPORTRANGE(""https://docs.google.com/spreadsheets/d/1Uw7-A9f9R21vMXxHZFNpYNeKFtG8_yji4HS352LGlSQ/edit?pli=1#gid=0"",""1_ACUM!A4:S""),19,FALSE))"),"")</f>
        <v/>
      </c>
      <c r="AK707" s="98" t="str">
        <f ca="1">IFERROR(__xludf.DUMMYFUNCTION("IFERROR(VLOOKUP(F730,IMPORTRANGE(""https://docs.google.com/spreadsheets/d/1Kvs4KS76FHFqLFIZfrDMff4kP08nblUkihrxltoGBjg/edit#gid=934712705"",""ESENCIAL!A6:BG""),5,FALSE))"),"")</f>
        <v/>
      </c>
      <c r="AL707" s="98" t="str">
        <f t="shared" si="44"/>
        <v/>
      </c>
      <c r="AM707" s="99" t="str">
        <f t="shared" si="45"/>
        <v/>
      </c>
      <c r="AN707" s="100" t="str">
        <f ca="1">IFERROR(__xludf.DUMMYFUNCTION("IFERROR(VLOOKUP(F730,IMPORTRANGE(""https://docs.google.com/spreadsheets/d/1Kvs4KS76FHFqLFIZfrDMff4kP08nblUkihrxltoGBjg/edit#gid=934712705"",""ESENCIAL!A6:BG""),2,FALSE))"),"")</f>
        <v/>
      </c>
      <c r="AO707" s="19" t="str">
        <f t="shared" si="33"/>
        <v/>
      </c>
      <c r="AP707" s="100"/>
      <c r="AQ707" s="100"/>
    </row>
    <row r="708" spans="1:43" ht="15">
      <c r="A708" s="5"/>
      <c r="B708" s="5"/>
      <c r="G708" s="5" t="str">
        <f ca="1">IFERROR(__xludf.DUMMYFUNCTION("IFERROR(VLOOKUP(F731,IMPORTRANGE(""https://docs.google.com/spreadsheets/d/1Kvs4KS76FHFqLFIZfrDMff4kP08nblUkihrxltoGBjg/edit#gid=934712705"",""ESENCIAL!A6:BG""),3,FALSE))"),"")</f>
        <v/>
      </c>
      <c r="H708" s="5" t="str">
        <f ca="1">IFERROR(__xludf.DUMMYFUNCTION("IFERROR(VLOOKUP(F731,IMPORTRANGE(""https://docs.google.com/spreadsheets/d/1Kvs4KS76FHFqLFIZfrDMff4kP08nblUkihrxltoGBjg/edit#gid=934712705"",""ESENCIAL!A6:BG""),8,FALSE))"),"")</f>
        <v/>
      </c>
      <c r="L708" s="40"/>
      <c r="Z708" s="41" t="str">
        <f t="shared" si="43"/>
        <v/>
      </c>
      <c r="AA708" s="5" t="str">
        <f ca="1">IFERROR(__xludf.DUMMYFUNCTION("IFERROR(VLOOKUP(E731&amp;F731,IMPORTRANGE(""https://docs.google.com/spreadsheets/d/1Uw7-A9f9R21vMXxHZFNpYNeKFtG8_yji4HS352LGlSQ/edit?pli=1#gid=0"",""1_ACUM!A4:S""),11,FALSE))"),"")</f>
        <v/>
      </c>
      <c r="AB708" s="42" t="str">
        <f ca="1">IFERROR(__xludf.DUMMYFUNCTION("IFERROR(VLOOKUP(F731,IMPORTRANGE(""https://docs.google.com/spreadsheets/d/1Kvs4KS76FHFqLFIZfrDMff4kP08nblUkihrxltoGBjg/edit#gid=934712705"",""ESENCIAL!A6:BG""),15,FALSE))"),"")</f>
        <v/>
      </c>
      <c r="AC708" s="110" t="str">
        <f ca="1">IFERROR(__xludf.DUMMYFUNCTION("IFERROR(VLOOKUP(E731&amp;F731,IMPORTRANGE(""https://docs.google.com/spreadsheets/d/1Uw7-A9f9R21vMXxHZFNpYNeKFtG8_yji4HS352LGlSQ/edit?pli=1#gid=0"",""1_ACUM!A4:S""),13,FALSE))"),"")</f>
        <v/>
      </c>
      <c r="AD708" s="43" t="str">
        <f ca="1">IFERROR(__xludf.DUMMYFUNCTION("IFERROR(VLOOKUP(E731&amp;F731,IMPORTRANGE(""https://docs.google.com/spreadsheets/d/1Uw7-A9f9R21vMXxHZFNpYNeKFtG8_yji4HS352LGlSQ/edit?pli=1#gid=0"",""1_ACUM!A4:S""),13,FALSE))"),"")</f>
        <v/>
      </c>
      <c r="AE708" s="43" t="str">
        <f ca="1">IFERROR(__xludf.DUMMYFUNCTION("IFERROR(VLOOKUP(E731&amp;F731,IMPORTRANGE(""https://docs.google.com/spreadsheets/d/1Uw7-A9f9R21vMXxHZFNpYNeKFtG8_yji4HS352LGlSQ/edit?pli=1#gid=0"",""1_ACUM!A4:S""),14,FALSE))"),"")</f>
        <v/>
      </c>
      <c r="AF708" s="43" t="str">
        <f ca="1">IFERROR(__xludf.DUMMYFUNCTION("IFERROR(VLOOKUP(E731&amp;F731,IMPORTRANGE(""https://docs.google.com/spreadsheets/d/1Uw7-A9f9R21vMXxHZFNpYNeKFtG8_yji4HS352LGlSQ/edit?pli=1#gid=0"",""1_ACUM!A4:S""),15,FALSE))"),"")</f>
        <v/>
      </c>
      <c r="AG708" s="43" t="str">
        <f ca="1">IFERROR(__xludf.DUMMYFUNCTION("IFERROR(VLOOKUP(E731&amp;F731,IMPORTRANGE(""https://docs.google.com/spreadsheets/d/1Uw7-A9f9R21vMXxHZFNpYNeKFtG8_yji4HS352LGlSQ/edit?pli=1#gid=0"",""1_ACUM!A4:S""),16,FALSE))"),"")</f>
        <v/>
      </c>
      <c r="AH708" s="43" t="str">
        <f ca="1">IFERROR(__xludf.DUMMYFUNCTION("IFERROR(VLOOKUP(E731&amp;F731,IMPORTRANGE(""https://docs.google.com/spreadsheets/d/1Uw7-A9f9R21vMXxHZFNpYNeKFtG8_yji4HS352LGlSQ/edit?pli=1#gid=0"",""1_ACUM!A4:S""),17,FALSE))"),"")</f>
        <v/>
      </c>
      <c r="AI708" s="44" t="str">
        <f ca="1">IFERROR(__xludf.DUMMYFUNCTION("IFERROR(VLOOKUP(E731&amp;F731,IMPORTRANGE(""https://docs.google.com/spreadsheets/d/1Uw7-A9f9R21vMXxHZFNpYNeKFtG8_yji4HS352LGlSQ/edit?pli=1#gid=0"",""1_ACUM!A4:S""),18,FALSE))"),"")</f>
        <v/>
      </c>
      <c r="AJ708" s="44" t="str">
        <f ca="1">IFERROR(__xludf.DUMMYFUNCTION("IFERROR(VLOOKUP(E731&amp;F731,IMPORTRANGE(""https://docs.google.com/spreadsheets/d/1Uw7-A9f9R21vMXxHZFNpYNeKFtG8_yji4HS352LGlSQ/edit?pli=1#gid=0"",""1_ACUM!A4:S""),19,FALSE))"),"")</f>
        <v/>
      </c>
      <c r="AK708" s="98" t="str">
        <f ca="1">IFERROR(__xludf.DUMMYFUNCTION("IFERROR(VLOOKUP(F731,IMPORTRANGE(""https://docs.google.com/spreadsheets/d/1Kvs4KS76FHFqLFIZfrDMff4kP08nblUkihrxltoGBjg/edit#gid=934712705"",""ESENCIAL!A6:BG""),5,FALSE))"),"")</f>
        <v/>
      </c>
      <c r="AL708" s="98" t="str">
        <f t="shared" si="44"/>
        <v/>
      </c>
      <c r="AM708" s="99" t="str">
        <f t="shared" si="45"/>
        <v/>
      </c>
      <c r="AN708" s="100" t="str">
        <f ca="1">IFERROR(__xludf.DUMMYFUNCTION("IFERROR(VLOOKUP(F731,IMPORTRANGE(""https://docs.google.com/spreadsheets/d/1Kvs4KS76FHFqLFIZfrDMff4kP08nblUkihrxltoGBjg/edit#gid=934712705"",""ESENCIAL!A6:BG""),2,FALSE))"),"")</f>
        <v/>
      </c>
      <c r="AO708" s="19" t="str">
        <f t="shared" si="33"/>
        <v/>
      </c>
      <c r="AP708" s="100"/>
      <c r="AQ708" s="100"/>
    </row>
    <row r="709" spans="1:43" ht="15">
      <c r="A709" s="5"/>
      <c r="B709" s="5"/>
      <c r="G709" s="5" t="str">
        <f ca="1">IFERROR(__xludf.DUMMYFUNCTION("IFERROR(VLOOKUP(F732,IMPORTRANGE(""https://docs.google.com/spreadsheets/d/1Kvs4KS76FHFqLFIZfrDMff4kP08nblUkihrxltoGBjg/edit#gid=934712705"",""ESENCIAL!A6:BG""),3,FALSE))"),"")</f>
        <v/>
      </c>
      <c r="H709" s="5" t="str">
        <f ca="1">IFERROR(__xludf.DUMMYFUNCTION("IFERROR(VLOOKUP(F732,IMPORTRANGE(""https://docs.google.com/spreadsheets/d/1Kvs4KS76FHFqLFIZfrDMff4kP08nblUkihrxltoGBjg/edit#gid=934712705"",""ESENCIAL!A6:BG""),8,FALSE))"),"")</f>
        <v/>
      </c>
      <c r="L709" s="40"/>
      <c r="Z709" s="41" t="str">
        <f t="shared" si="43"/>
        <v/>
      </c>
      <c r="AA709" s="5" t="str">
        <f ca="1">IFERROR(__xludf.DUMMYFUNCTION("IFERROR(VLOOKUP(E732&amp;F732,IMPORTRANGE(""https://docs.google.com/spreadsheets/d/1Uw7-A9f9R21vMXxHZFNpYNeKFtG8_yji4HS352LGlSQ/edit?pli=1#gid=0"",""1_ACUM!A4:S""),11,FALSE))"),"")</f>
        <v/>
      </c>
      <c r="AB709" s="42" t="str">
        <f ca="1">IFERROR(__xludf.DUMMYFUNCTION("IFERROR(VLOOKUP(F732,IMPORTRANGE(""https://docs.google.com/spreadsheets/d/1Kvs4KS76FHFqLFIZfrDMff4kP08nblUkihrxltoGBjg/edit#gid=934712705"",""ESENCIAL!A6:BG""),15,FALSE))"),"")</f>
        <v/>
      </c>
      <c r="AC709" s="110" t="str">
        <f ca="1">IFERROR(__xludf.DUMMYFUNCTION("IFERROR(VLOOKUP(E732&amp;F732,IMPORTRANGE(""https://docs.google.com/spreadsheets/d/1Uw7-A9f9R21vMXxHZFNpYNeKFtG8_yji4HS352LGlSQ/edit?pli=1#gid=0"",""1_ACUM!A4:S""),13,FALSE))"),"")</f>
        <v/>
      </c>
      <c r="AD709" s="43" t="str">
        <f ca="1">IFERROR(__xludf.DUMMYFUNCTION("IFERROR(VLOOKUP(E732&amp;F732,IMPORTRANGE(""https://docs.google.com/spreadsheets/d/1Uw7-A9f9R21vMXxHZFNpYNeKFtG8_yji4HS352LGlSQ/edit?pli=1#gid=0"",""1_ACUM!A4:S""),13,FALSE))"),"")</f>
        <v/>
      </c>
      <c r="AE709" s="43" t="str">
        <f ca="1">IFERROR(__xludf.DUMMYFUNCTION("IFERROR(VLOOKUP(E732&amp;F732,IMPORTRANGE(""https://docs.google.com/spreadsheets/d/1Uw7-A9f9R21vMXxHZFNpYNeKFtG8_yji4HS352LGlSQ/edit?pli=1#gid=0"",""1_ACUM!A4:S""),14,FALSE))"),"")</f>
        <v/>
      </c>
      <c r="AF709" s="43" t="str">
        <f ca="1">IFERROR(__xludf.DUMMYFUNCTION("IFERROR(VLOOKUP(E732&amp;F732,IMPORTRANGE(""https://docs.google.com/spreadsheets/d/1Uw7-A9f9R21vMXxHZFNpYNeKFtG8_yji4HS352LGlSQ/edit?pli=1#gid=0"",""1_ACUM!A4:S""),15,FALSE))"),"")</f>
        <v/>
      </c>
      <c r="AG709" s="43" t="str">
        <f ca="1">IFERROR(__xludf.DUMMYFUNCTION("IFERROR(VLOOKUP(E732&amp;F732,IMPORTRANGE(""https://docs.google.com/spreadsheets/d/1Uw7-A9f9R21vMXxHZFNpYNeKFtG8_yji4HS352LGlSQ/edit?pli=1#gid=0"",""1_ACUM!A4:S""),16,FALSE))"),"")</f>
        <v/>
      </c>
      <c r="AH709" s="43" t="str">
        <f ca="1">IFERROR(__xludf.DUMMYFUNCTION("IFERROR(VLOOKUP(E732&amp;F732,IMPORTRANGE(""https://docs.google.com/spreadsheets/d/1Uw7-A9f9R21vMXxHZFNpYNeKFtG8_yji4HS352LGlSQ/edit?pli=1#gid=0"",""1_ACUM!A4:S""),17,FALSE))"),"")</f>
        <v/>
      </c>
      <c r="AI709" s="44" t="str">
        <f ca="1">IFERROR(__xludf.DUMMYFUNCTION("IFERROR(VLOOKUP(E732&amp;F732,IMPORTRANGE(""https://docs.google.com/spreadsheets/d/1Uw7-A9f9R21vMXxHZFNpYNeKFtG8_yji4HS352LGlSQ/edit?pli=1#gid=0"",""1_ACUM!A4:S""),18,FALSE))"),"")</f>
        <v/>
      </c>
      <c r="AJ709" s="44" t="str">
        <f ca="1">IFERROR(__xludf.DUMMYFUNCTION("IFERROR(VLOOKUP(E732&amp;F732,IMPORTRANGE(""https://docs.google.com/spreadsheets/d/1Uw7-A9f9R21vMXxHZFNpYNeKFtG8_yji4HS352LGlSQ/edit?pli=1#gid=0"",""1_ACUM!A4:S""),19,FALSE))"),"")</f>
        <v/>
      </c>
      <c r="AK709" s="98" t="str">
        <f ca="1">IFERROR(__xludf.DUMMYFUNCTION("IFERROR(VLOOKUP(F732,IMPORTRANGE(""https://docs.google.com/spreadsheets/d/1Kvs4KS76FHFqLFIZfrDMff4kP08nblUkihrxltoGBjg/edit#gid=934712705"",""ESENCIAL!A6:BG""),5,FALSE))"),"")</f>
        <v/>
      </c>
      <c r="AL709" s="98" t="str">
        <f t="shared" si="44"/>
        <v/>
      </c>
      <c r="AM709" s="99" t="str">
        <f t="shared" si="45"/>
        <v/>
      </c>
      <c r="AN709" s="100" t="str">
        <f ca="1">IFERROR(__xludf.DUMMYFUNCTION("IFERROR(VLOOKUP(F732,IMPORTRANGE(""https://docs.google.com/spreadsheets/d/1Kvs4KS76FHFqLFIZfrDMff4kP08nblUkihrxltoGBjg/edit#gid=934712705"",""ESENCIAL!A6:BG""),2,FALSE))"),"")</f>
        <v/>
      </c>
      <c r="AO709" s="19" t="str">
        <f t="shared" si="33"/>
        <v/>
      </c>
      <c r="AP709" s="100"/>
      <c r="AQ709" s="100"/>
    </row>
    <row r="710" spans="1:43" ht="15">
      <c r="A710" s="5"/>
      <c r="B710" s="5"/>
      <c r="G710" s="5" t="str">
        <f ca="1">IFERROR(__xludf.DUMMYFUNCTION("IFERROR(VLOOKUP(F733,IMPORTRANGE(""https://docs.google.com/spreadsheets/d/1Kvs4KS76FHFqLFIZfrDMff4kP08nblUkihrxltoGBjg/edit#gid=934712705"",""ESENCIAL!A6:BG""),3,FALSE))"),"")</f>
        <v/>
      </c>
      <c r="H710" s="5" t="str">
        <f ca="1">IFERROR(__xludf.DUMMYFUNCTION("IFERROR(VLOOKUP(F733,IMPORTRANGE(""https://docs.google.com/spreadsheets/d/1Kvs4KS76FHFqLFIZfrDMff4kP08nblUkihrxltoGBjg/edit#gid=934712705"",""ESENCIAL!A6:BG""),8,FALSE))"),"")</f>
        <v/>
      </c>
      <c r="L710" s="40"/>
      <c r="Z710" s="41" t="str">
        <f t="shared" si="43"/>
        <v/>
      </c>
      <c r="AA710" s="5" t="str">
        <f ca="1">IFERROR(__xludf.DUMMYFUNCTION("IFERROR(VLOOKUP(E733&amp;F733,IMPORTRANGE(""https://docs.google.com/spreadsheets/d/1Uw7-A9f9R21vMXxHZFNpYNeKFtG8_yji4HS352LGlSQ/edit?pli=1#gid=0"",""1_ACUM!A4:S""),11,FALSE))"),"")</f>
        <v/>
      </c>
      <c r="AB710" s="42" t="str">
        <f ca="1">IFERROR(__xludf.DUMMYFUNCTION("IFERROR(VLOOKUP(F733,IMPORTRANGE(""https://docs.google.com/spreadsheets/d/1Kvs4KS76FHFqLFIZfrDMff4kP08nblUkihrxltoGBjg/edit#gid=934712705"",""ESENCIAL!A6:BG""),15,FALSE))"),"")</f>
        <v/>
      </c>
      <c r="AC710" s="110" t="str">
        <f ca="1">IFERROR(__xludf.DUMMYFUNCTION("IFERROR(VLOOKUP(E733&amp;F733,IMPORTRANGE(""https://docs.google.com/spreadsheets/d/1Uw7-A9f9R21vMXxHZFNpYNeKFtG8_yji4HS352LGlSQ/edit?pli=1#gid=0"",""1_ACUM!A4:S""),13,FALSE))"),"")</f>
        <v/>
      </c>
      <c r="AD710" s="43" t="str">
        <f ca="1">IFERROR(__xludf.DUMMYFUNCTION("IFERROR(VLOOKUP(E733&amp;F733,IMPORTRANGE(""https://docs.google.com/spreadsheets/d/1Uw7-A9f9R21vMXxHZFNpYNeKFtG8_yji4HS352LGlSQ/edit?pli=1#gid=0"",""1_ACUM!A4:S""),13,FALSE))"),"")</f>
        <v/>
      </c>
      <c r="AE710" s="43" t="str">
        <f ca="1">IFERROR(__xludf.DUMMYFUNCTION("IFERROR(VLOOKUP(E733&amp;F733,IMPORTRANGE(""https://docs.google.com/spreadsheets/d/1Uw7-A9f9R21vMXxHZFNpYNeKFtG8_yji4HS352LGlSQ/edit?pli=1#gid=0"",""1_ACUM!A4:S""),14,FALSE))"),"")</f>
        <v/>
      </c>
      <c r="AF710" s="43" t="str">
        <f ca="1">IFERROR(__xludf.DUMMYFUNCTION("IFERROR(VLOOKUP(E733&amp;F733,IMPORTRANGE(""https://docs.google.com/spreadsheets/d/1Uw7-A9f9R21vMXxHZFNpYNeKFtG8_yji4HS352LGlSQ/edit?pli=1#gid=0"",""1_ACUM!A4:S""),15,FALSE))"),"")</f>
        <v/>
      </c>
      <c r="AG710" s="43" t="str">
        <f ca="1">IFERROR(__xludf.DUMMYFUNCTION("IFERROR(VLOOKUP(E733&amp;F733,IMPORTRANGE(""https://docs.google.com/spreadsheets/d/1Uw7-A9f9R21vMXxHZFNpYNeKFtG8_yji4HS352LGlSQ/edit?pli=1#gid=0"",""1_ACUM!A4:S""),16,FALSE))"),"")</f>
        <v/>
      </c>
      <c r="AH710" s="43" t="str">
        <f ca="1">IFERROR(__xludf.DUMMYFUNCTION("IFERROR(VLOOKUP(E733&amp;F733,IMPORTRANGE(""https://docs.google.com/spreadsheets/d/1Uw7-A9f9R21vMXxHZFNpYNeKFtG8_yji4HS352LGlSQ/edit?pli=1#gid=0"",""1_ACUM!A4:S""),17,FALSE))"),"")</f>
        <v/>
      </c>
      <c r="AI710" s="44" t="str">
        <f ca="1">IFERROR(__xludf.DUMMYFUNCTION("IFERROR(VLOOKUP(E733&amp;F733,IMPORTRANGE(""https://docs.google.com/spreadsheets/d/1Uw7-A9f9R21vMXxHZFNpYNeKFtG8_yji4HS352LGlSQ/edit?pli=1#gid=0"",""1_ACUM!A4:S""),18,FALSE))"),"")</f>
        <v/>
      </c>
      <c r="AJ710" s="44" t="str">
        <f ca="1">IFERROR(__xludf.DUMMYFUNCTION("IFERROR(VLOOKUP(E733&amp;F733,IMPORTRANGE(""https://docs.google.com/spreadsheets/d/1Uw7-A9f9R21vMXxHZFNpYNeKFtG8_yji4HS352LGlSQ/edit?pli=1#gid=0"",""1_ACUM!A4:S""),19,FALSE))"),"")</f>
        <v/>
      </c>
      <c r="AK710" s="98" t="str">
        <f ca="1">IFERROR(__xludf.DUMMYFUNCTION("IFERROR(VLOOKUP(F733,IMPORTRANGE(""https://docs.google.com/spreadsheets/d/1Kvs4KS76FHFqLFIZfrDMff4kP08nblUkihrxltoGBjg/edit#gid=934712705"",""ESENCIAL!A6:BG""),5,FALSE))"),"")</f>
        <v/>
      </c>
      <c r="AL710" s="98" t="str">
        <f t="shared" si="44"/>
        <v/>
      </c>
      <c r="AM710" s="99" t="str">
        <f t="shared" si="45"/>
        <v/>
      </c>
      <c r="AN710" s="100" t="str">
        <f ca="1">IFERROR(__xludf.DUMMYFUNCTION("IFERROR(VLOOKUP(F733,IMPORTRANGE(""https://docs.google.com/spreadsheets/d/1Kvs4KS76FHFqLFIZfrDMff4kP08nblUkihrxltoGBjg/edit#gid=934712705"",""ESENCIAL!A6:BG""),2,FALSE))"),"")</f>
        <v/>
      </c>
      <c r="AO710" s="19" t="str">
        <f t="shared" si="33"/>
        <v/>
      </c>
      <c r="AP710" s="100"/>
      <c r="AQ710" s="100"/>
    </row>
    <row r="711" spans="1:43" ht="15">
      <c r="A711" s="5"/>
      <c r="B711" s="5"/>
      <c r="G711" s="5" t="str">
        <f ca="1">IFERROR(__xludf.DUMMYFUNCTION("IFERROR(VLOOKUP(F734,IMPORTRANGE(""https://docs.google.com/spreadsheets/d/1Kvs4KS76FHFqLFIZfrDMff4kP08nblUkihrxltoGBjg/edit#gid=934712705"",""ESENCIAL!A6:BG""),3,FALSE))"),"")</f>
        <v/>
      </c>
      <c r="H711" s="5" t="str">
        <f ca="1">IFERROR(__xludf.DUMMYFUNCTION("IFERROR(VLOOKUP(F734,IMPORTRANGE(""https://docs.google.com/spreadsheets/d/1Kvs4KS76FHFqLFIZfrDMff4kP08nblUkihrxltoGBjg/edit#gid=934712705"",""ESENCIAL!A6:BG""),8,FALSE))"),"")</f>
        <v/>
      </c>
      <c r="L711" s="40"/>
      <c r="Z711" s="41" t="str">
        <f t="shared" si="43"/>
        <v/>
      </c>
      <c r="AA711" s="5" t="str">
        <f ca="1">IFERROR(__xludf.DUMMYFUNCTION("IFERROR(VLOOKUP(E734&amp;F734,IMPORTRANGE(""https://docs.google.com/spreadsheets/d/1Uw7-A9f9R21vMXxHZFNpYNeKFtG8_yji4HS352LGlSQ/edit?pli=1#gid=0"",""1_ACUM!A4:S""),11,FALSE))"),"")</f>
        <v/>
      </c>
      <c r="AB711" s="42" t="str">
        <f ca="1">IFERROR(__xludf.DUMMYFUNCTION("IFERROR(VLOOKUP(F734,IMPORTRANGE(""https://docs.google.com/spreadsheets/d/1Kvs4KS76FHFqLFIZfrDMff4kP08nblUkihrxltoGBjg/edit#gid=934712705"",""ESENCIAL!A6:BG""),15,FALSE))"),"")</f>
        <v/>
      </c>
      <c r="AC711" s="110" t="str">
        <f ca="1">IFERROR(__xludf.DUMMYFUNCTION("IFERROR(VLOOKUP(E734&amp;F734,IMPORTRANGE(""https://docs.google.com/spreadsheets/d/1Uw7-A9f9R21vMXxHZFNpYNeKFtG8_yji4HS352LGlSQ/edit?pli=1#gid=0"",""1_ACUM!A4:S""),13,FALSE))"),"")</f>
        <v/>
      </c>
      <c r="AD711" s="43" t="str">
        <f ca="1">IFERROR(__xludf.DUMMYFUNCTION("IFERROR(VLOOKUP(E734&amp;F734,IMPORTRANGE(""https://docs.google.com/spreadsheets/d/1Uw7-A9f9R21vMXxHZFNpYNeKFtG8_yji4HS352LGlSQ/edit?pli=1#gid=0"",""1_ACUM!A4:S""),13,FALSE))"),"")</f>
        <v/>
      </c>
      <c r="AE711" s="43" t="str">
        <f ca="1">IFERROR(__xludf.DUMMYFUNCTION("IFERROR(VLOOKUP(E734&amp;F734,IMPORTRANGE(""https://docs.google.com/spreadsheets/d/1Uw7-A9f9R21vMXxHZFNpYNeKFtG8_yji4HS352LGlSQ/edit?pli=1#gid=0"",""1_ACUM!A4:S""),14,FALSE))"),"")</f>
        <v/>
      </c>
      <c r="AF711" s="43" t="str">
        <f ca="1">IFERROR(__xludf.DUMMYFUNCTION("IFERROR(VLOOKUP(E734&amp;F734,IMPORTRANGE(""https://docs.google.com/spreadsheets/d/1Uw7-A9f9R21vMXxHZFNpYNeKFtG8_yji4HS352LGlSQ/edit?pli=1#gid=0"",""1_ACUM!A4:S""),15,FALSE))"),"")</f>
        <v/>
      </c>
      <c r="AG711" s="43" t="str">
        <f ca="1">IFERROR(__xludf.DUMMYFUNCTION("IFERROR(VLOOKUP(E734&amp;F734,IMPORTRANGE(""https://docs.google.com/spreadsheets/d/1Uw7-A9f9R21vMXxHZFNpYNeKFtG8_yji4HS352LGlSQ/edit?pli=1#gid=0"",""1_ACUM!A4:S""),16,FALSE))"),"")</f>
        <v/>
      </c>
      <c r="AH711" s="43" t="str">
        <f ca="1">IFERROR(__xludf.DUMMYFUNCTION("IFERROR(VLOOKUP(E734&amp;F734,IMPORTRANGE(""https://docs.google.com/spreadsheets/d/1Uw7-A9f9R21vMXxHZFNpYNeKFtG8_yji4HS352LGlSQ/edit?pli=1#gid=0"",""1_ACUM!A4:S""),17,FALSE))"),"")</f>
        <v/>
      </c>
      <c r="AI711" s="44" t="str">
        <f ca="1">IFERROR(__xludf.DUMMYFUNCTION("IFERROR(VLOOKUP(E734&amp;F734,IMPORTRANGE(""https://docs.google.com/spreadsheets/d/1Uw7-A9f9R21vMXxHZFNpYNeKFtG8_yji4HS352LGlSQ/edit?pli=1#gid=0"",""1_ACUM!A4:S""),18,FALSE))"),"")</f>
        <v/>
      </c>
      <c r="AJ711" s="44" t="str">
        <f ca="1">IFERROR(__xludf.DUMMYFUNCTION("IFERROR(VLOOKUP(E734&amp;F734,IMPORTRANGE(""https://docs.google.com/spreadsheets/d/1Uw7-A9f9R21vMXxHZFNpYNeKFtG8_yji4HS352LGlSQ/edit?pli=1#gid=0"",""1_ACUM!A4:S""),19,FALSE))"),"")</f>
        <v/>
      </c>
      <c r="AK711" s="98" t="str">
        <f ca="1">IFERROR(__xludf.DUMMYFUNCTION("IFERROR(VLOOKUP(F734,IMPORTRANGE(""https://docs.google.com/spreadsheets/d/1Kvs4KS76FHFqLFIZfrDMff4kP08nblUkihrxltoGBjg/edit#gid=934712705"",""ESENCIAL!A6:BG""),5,FALSE))"),"")</f>
        <v/>
      </c>
      <c r="AL711" s="98" t="str">
        <f t="shared" si="44"/>
        <v/>
      </c>
      <c r="AM711" s="99" t="str">
        <f t="shared" si="45"/>
        <v/>
      </c>
      <c r="AN711" s="100" t="str">
        <f ca="1">IFERROR(__xludf.DUMMYFUNCTION("IFERROR(VLOOKUP(F734,IMPORTRANGE(""https://docs.google.com/spreadsheets/d/1Kvs4KS76FHFqLFIZfrDMff4kP08nblUkihrxltoGBjg/edit#gid=934712705"",""ESENCIAL!A6:BG""),2,FALSE))"),"")</f>
        <v/>
      </c>
      <c r="AO711" s="19" t="str">
        <f t="shared" si="33"/>
        <v/>
      </c>
      <c r="AP711" s="100"/>
      <c r="AQ711" s="100"/>
    </row>
    <row r="712" spans="1:43" ht="15">
      <c r="A712" s="5"/>
      <c r="B712" s="5"/>
      <c r="G712" s="5" t="str">
        <f ca="1">IFERROR(__xludf.DUMMYFUNCTION("IFERROR(VLOOKUP(F735,IMPORTRANGE(""https://docs.google.com/spreadsheets/d/1Kvs4KS76FHFqLFIZfrDMff4kP08nblUkihrxltoGBjg/edit#gid=934712705"",""ESENCIAL!A6:BG""),3,FALSE))"),"")</f>
        <v/>
      </c>
      <c r="H712" s="5" t="str">
        <f ca="1">IFERROR(__xludf.DUMMYFUNCTION("IFERROR(VLOOKUP(F735,IMPORTRANGE(""https://docs.google.com/spreadsheets/d/1Kvs4KS76FHFqLFIZfrDMff4kP08nblUkihrxltoGBjg/edit#gid=934712705"",""ESENCIAL!A6:BG""),8,FALSE))"),"")</f>
        <v/>
      </c>
      <c r="L712" s="40"/>
      <c r="Z712" s="41" t="str">
        <f t="shared" si="43"/>
        <v/>
      </c>
      <c r="AA712" s="5" t="str">
        <f ca="1">IFERROR(__xludf.DUMMYFUNCTION("IFERROR(VLOOKUP(E735&amp;F735,IMPORTRANGE(""https://docs.google.com/spreadsheets/d/1Uw7-A9f9R21vMXxHZFNpYNeKFtG8_yji4HS352LGlSQ/edit?pli=1#gid=0"",""1_ACUM!A4:S""),11,FALSE))"),"")</f>
        <v/>
      </c>
      <c r="AB712" s="42" t="str">
        <f ca="1">IFERROR(__xludf.DUMMYFUNCTION("IFERROR(VLOOKUP(F735,IMPORTRANGE(""https://docs.google.com/spreadsheets/d/1Kvs4KS76FHFqLFIZfrDMff4kP08nblUkihrxltoGBjg/edit#gid=934712705"",""ESENCIAL!A6:BG""),15,FALSE))"),"")</f>
        <v/>
      </c>
      <c r="AC712" s="110" t="str">
        <f ca="1">IFERROR(__xludf.DUMMYFUNCTION("IFERROR(VLOOKUP(E735&amp;F735,IMPORTRANGE(""https://docs.google.com/spreadsheets/d/1Uw7-A9f9R21vMXxHZFNpYNeKFtG8_yji4HS352LGlSQ/edit?pli=1#gid=0"",""1_ACUM!A4:S""),13,FALSE))"),"")</f>
        <v/>
      </c>
      <c r="AD712" s="43" t="str">
        <f ca="1">IFERROR(__xludf.DUMMYFUNCTION("IFERROR(VLOOKUP(E735&amp;F735,IMPORTRANGE(""https://docs.google.com/spreadsheets/d/1Uw7-A9f9R21vMXxHZFNpYNeKFtG8_yji4HS352LGlSQ/edit?pli=1#gid=0"",""1_ACUM!A4:S""),13,FALSE))"),"")</f>
        <v/>
      </c>
      <c r="AE712" s="43" t="str">
        <f ca="1">IFERROR(__xludf.DUMMYFUNCTION("IFERROR(VLOOKUP(E735&amp;F735,IMPORTRANGE(""https://docs.google.com/spreadsheets/d/1Uw7-A9f9R21vMXxHZFNpYNeKFtG8_yji4HS352LGlSQ/edit?pli=1#gid=0"",""1_ACUM!A4:S""),14,FALSE))"),"")</f>
        <v/>
      </c>
      <c r="AF712" s="43" t="str">
        <f ca="1">IFERROR(__xludf.DUMMYFUNCTION("IFERROR(VLOOKUP(E735&amp;F735,IMPORTRANGE(""https://docs.google.com/spreadsheets/d/1Uw7-A9f9R21vMXxHZFNpYNeKFtG8_yji4HS352LGlSQ/edit?pli=1#gid=0"",""1_ACUM!A4:S""),15,FALSE))"),"")</f>
        <v/>
      </c>
      <c r="AG712" s="43" t="str">
        <f ca="1">IFERROR(__xludf.DUMMYFUNCTION("IFERROR(VLOOKUP(E735&amp;F735,IMPORTRANGE(""https://docs.google.com/spreadsheets/d/1Uw7-A9f9R21vMXxHZFNpYNeKFtG8_yji4HS352LGlSQ/edit?pli=1#gid=0"",""1_ACUM!A4:S""),16,FALSE))"),"")</f>
        <v/>
      </c>
      <c r="AH712" s="43" t="str">
        <f ca="1">IFERROR(__xludf.DUMMYFUNCTION("IFERROR(VLOOKUP(E735&amp;F735,IMPORTRANGE(""https://docs.google.com/spreadsheets/d/1Uw7-A9f9R21vMXxHZFNpYNeKFtG8_yji4HS352LGlSQ/edit?pli=1#gid=0"",""1_ACUM!A4:S""),17,FALSE))"),"")</f>
        <v/>
      </c>
      <c r="AI712" s="44" t="str">
        <f ca="1">IFERROR(__xludf.DUMMYFUNCTION("IFERROR(VLOOKUP(E735&amp;F735,IMPORTRANGE(""https://docs.google.com/spreadsheets/d/1Uw7-A9f9R21vMXxHZFNpYNeKFtG8_yji4HS352LGlSQ/edit?pli=1#gid=0"",""1_ACUM!A4:S""),18,FALSE))"),"")</f>
        <v/>
      </c>
      <c r="AJ712" s="44" t="str">
        <f ca="1">IFERROR(__xludf.DUMMYFUNCTION("IFERROR(VLOOKUP(E735&amp;F735,IMPORTRANGE(""https://docs.google.com/spreadsheets/d/1Uw7-A9f9R21vMXxHZFNpYNeKFtG8_yji4HS352LGlSQ/edit?pli=1#gid=0"",""1_ACUM!A4:S""),19,FALSE))"),"")</f>
        <v/>
      </c>
      <c r="AK712" s="98" t="str">
        <f ca="1">IFERROR(__xludf.DUMMYFUNCTION("IFERROR(VLOOKUP(F735,IMPORTRANGE(""https://docs.google.com/spreadsheets/d/1Kvs4KS76FHFqLFIZfrDMff4kP08nblUkihrxltoGBjg/edit#gid=934712705"",""ESENCIAL!A6:BG""),5,FALSE))"),"")</f>
        <v/>
      </c>
      <c r="AL712" s="98" t="str">
        <f t="shared" si="44"/>
        <v/>
      </c>
      <c r="AM712" s="99" t="str">
        <f t="shared" si="45"/>
        <v/>
      </c>
      <c r="AN712" s="100" t="str">
        <f ca="1">IFERROR(__xludf.DUMMYFUNCTION("IFERROR(VLOOKUP(F735,IMPORTRANGE(""https://docs.google.com/spreadsheets/d/1Kvs4KS76FHFqLFIZfrDMff4kP08nblUkihrxltoGBjg/edit#gid=934712705"",""ESENCIAL!A6:BG""),2,FALSE))"),"")</f>
        <v/>
      </c>
      <c r="AO712" s="19" t="str">
        <f t="shared" si="33"/>
        <v/>
      </c>
      <c r="AP712" s="100"/>
      <c r="AQ712" s="100"/>
    </row>
    <row r="713" spans="1:43" ht="15">
      <c r="A713" s="5"/>
      <c r="B713" s="5"/>
      <c r="G713" s="5" t="str">
        <f ca="1">IFERROR(__xludf.DUMMYFUNCTION("IFERROR(VLOOKUP(F736,IMPORTRANGE(""https://docs.google.com/spreadsheets/d/1Kvs4KS76FHFqLFIZfrDMff4kP08nblUkihrxltoGBjg/edit#gid=934712705"",""ESENCIAL!A6:BG""),3,FALSE))"),"")</f>
        <v/>
      </c>
      <c r="H713" s="5" t="str">
        <f ca="1">IFERROR(__xludf.DUMMYFUNCTION("IFERROR(VLOOKUP(F736,IMPORTRANGE(""https://docs.google.com/spreadsheets/d/1Kvs4KS76FHFqLFIZfrDMff4kP08nblUkihrxltoGBjg/edit#gid=934712705"",""ESENCIAL!A6:BG""),8,FALSE))"),"")</f>
        <v/>
      </c>
      <c r="L713" s="40"/>
      <c r="Z713" s="41" t="str">
        <f t="shared" si="43"/>
        <v/>
      </c>
      <c r="AA713" s="5" t="str">
        <f ca="1">IFERROR(__xludf.DUMMYFUNCTION("IFERROR(VLOOKUP(E736&amp;F736,IMPORTRANGE(""https://docs.google.com/spreadsheets/d/1Uw7-A9f9R21vMXxHZFNpYNeKFtG8_yji4HS352LGlSQ/edit?pli=1#gid=0"",""1_ACUM!A4:S""),11,FALSE))"),"")</f>
        <v/>
      </c>
      <c r="AB713" s="42" t="str">
        <f ca="1">IFERROR(__xludf.DUMMYFUNCTION("IFERROR(VLOOKUP(F736,IMPORTRANGE(""https://docs.google.com/spreadsheets/d/1Kvs4KS76FHFqLFIZfrDMff4kP08nblUkihrxltoGBjg/edit#gid=934712705"",""ESENCIAL!A6:BG""),15,FALSE))"),"")</f>
        <v/>
      </c>
      <c r="AC713" s="110" t="str">
        <f ca="1">IFERROR(__xludf.DUMMYFUNCTION("IFERROR(VLOOKUP(E736&amp;F736,IMPORTRANGE(""https://docs.google.com/spreadsheets/d/1Uw7-A9f9R21vMXxHZFNpYNeKFtG8_yji4HS352LGlSQ/edit?pli=1#gid=0"",""1_ACUM!A4:S""),13,FALSE))"),"")</f>
        <v/>
      </c>
      <c r="AD713" s="43" t="str">
        <f ca="1">IFERROR(__xludf.DUMMYFUNCTION("IFERROR(VLOOKUP(E736&amp;F736,IMPORTRANGE(""https://docs.google.com/spreadsheets/d/1Uw7-A9f9R21vMXxHZFNpYNeKFtG8_yji4HS352LGlSQ/edit?pli=1#gid=0"",""1_ACUM!A4:S""),13,FALSE))"),"")</f>
        <v/>
      </c>
      <c r="AE713" s="43" t="str">
        <f ca="1">IFERROR(__xludf.DUMMYFUNCTION("IFERROR(VLOOKUP(E736&amp;F736,IMPORTRANGE(""https://docs.google.com/spreadsheets/d/1Uw7-A9f9R21vMXxHZFNpYNeKFtG8_yji4HS352LGlSQ/edit?pli=1#gid=0"",""1_ACUM!A4:S""),14,FALSE))"),"")</f>
        <v/>
      </c>
      <c r="AF713" s="43" t="str">
        <f ca="1">IFERROR(__xludf.DUMMYFUNCTION("IFERROR(VLOOKUP(E736&amp;F736,IMPORTRANGE(""https://docs.google.com/spreadsheets/d/1Uw7-A9f9R21vMXxHZFNpYNeKFtG8_yji4HS352LGlSQ/edit?pli=1#gid=0"",""1_ACUM!A4:S""),15,FALSE))"),"")</f>
        <v/>
      </c>
      <c r="AG713" s="43" t="str">
        <f ca="1">IFERROR(__xludf.DUMMYFUNCTION("IFERROR(VLOOKUP(E736&amp;F736,IMPORTRANGE(""https://docs.google.com/spreadsheets/d/1Uw7-A9f9R21vMXxHZFNpYNeKFtG8_yji4HS352LGlSQ/edit?pli=1#gid=0"",""1_ACUM!A4:S""),16,FALSE))"),"")</f>
        <v/>
      </c>
      <c r="AH713" s="43" t="str">
        <f ca="1">IFERROR(__xludf.DUMMYFUNCTION("IFERROR(VLOOKUP(E736&amp;F736,IMPORTRANGE(""https://docs.google.com/spreadsheets/d/1Uw7-A9f9R21vMXxHZFNpYNeKFtG8_yji4HS352LGlSQ/edit?pli=1#gid=0"",""1_ACUM!A4:S""),17,FALSE))"),"")</f>
        <v/>
      </c>
      <c r="AI713" s="44" t="str">
        <f ca="1">IFERROR(__xludf.DUMMYFUNCTION("IFERROR(VLOOKUP(E736&amp;F736,IMPORTRANGE(""https://docs.google.com/spreadsheets/d/1Uw7-A9f9R21vMXxHZFNpYNeKFtG8_yji4HS352LGlSQ/edit?pli=1#gid=0"",""1_ACUM!A4:S""),18,FALSE))"),"")</f>
        <v/>
      </c>
      <c r="AJ713" s="44" t="str">
        <f ca="1">IFERROR(__xludf.DUMMYFUNCTION("IFERROR(VLOOKUP(E736&amp;F736,IMPORTRANGE(""https://docs.google.com/spreadsheets/d/1Uw7-A9f9R21vMXxHZFNpYNeKFtG8_yji4HS352LGlSQ/edit?pli=1#gid=0"",""1_ACUM!A4:S""),19,FALSE))"),"")</f>
        <v/>
      </c>
      <c r="AK713" s="98" t="str">
        <f ca="1">IFERROR(__xludf.DUMMYFUNCTION("IFERROR(VLOOKUP(F736,IMPORTRANGE(""https://docs.google.com/spreadsheets/d/1Kvs4KS76FHFqLFIZfrDMff4kP08nblUkihrxltoGBjg/edit#gid=934712705"",""ESENCIAL!A6:BG""),5,FALSE))"),"")</f>
        <v/>
      </c>
      <c r="AL713" s="98" t="str">
        <f t="shared" si="44"/>
        <v/>
      </c>
      <c r="AM713" s="99" t="str">
        <f t="shared" si="45"/>
        <v/>
      </c>
      <c r="AN713" s="100" t="str">
        <f ca="1">IFERROR(__xludf.DUMMYFUNCTION("IFERROR(VLOOKUP(F736,IMPORTRANGE(""https://docs.google.com/spreadsheets/d/1Kvs4KS76FHFqLFIZfrDMff4kP08nblUkihrxltoGBjg/edit#gid=934712705"",""ESENCIAL!A6:BG""),2,FALSE))"),"")</f>
        <v/>
      </c>
      <c r="AO713" s="19" t="str">
        <f t="shared" si="33"/>
        <v/>
      </c>
      <c r="AP713" s="100"/>
      <c r="AQ713" s="100"/>
    </row>
    <row r="714" spans="1:43" ht="15">
      <c r="A714" s="5"/>
      <c r="B714" s="5"/>
      <c r="G714" s="5" t="str">
        <f ca="1">IFERROR(__xludf.DUMMYFUNCTION("IFERROR(VLOOKUP(F737,IMPORTRANGE(""https://docs.google.com/spreadsheets/d/1Kvs4KS76FHFqLFIZfrDMff4kP08nblUkihrxltoGBjg/edit#gid=934712705"",""ESENCIAL!A6:BG""),3,FALSE))"),"")</f>
        <v/>
      </c>
      <c r="H714" s="5" t="str">
        <f ca="1">IFERROR(__xludf.DUMMYFUNCTION("IFERROR(VLOOKUP(F737,IMPORTRANGE(""https://docs.google.com/spreadsheets/d/1Kvs4KS76FHFqLFIZfrDMff4kP08nblUkihrxltoGBjg/edit#gid=934712705"",""ESENCIAL!A6:BG""),8,FALSE))"),"")</f>
        <v/>
      </c>
      <c r="L714" s="40"/>
      <c r="Z714" s="41" t="str">
        <f t="shared" si="43"/>
        <v/>
      </c>
      <c r="AA714" s="5" t="str">
        <f ca="1">IFERROR(__xludf.DUMMYFUNCTION("IFERROR(VLOOKUP(E737&amp;F737,IMPORTRANGE(""https://docs.google.com/spreadsheets/d/1Uw7-A9f9R21vMXxHZFNpYNeKFtG8_yji4HS352LGlSQ/edit?pli=1#gid=0"",""1_ACUM!A4:S""),11,FALSE))"),"")</f>
        <v/>
      </c>
      <c r="AB714" s="42" t="str">
        <f ca="1">IFERROR(__xludf.DUMMYFUNCTION("IFERROR(VLOOKUP(F737,IMPORTRANGE(""https://docs.google.com/spreadsheets/d/1Kvs4KS76FHFqLFIZfrDMff4kP08nblUkihrxltoGBjg/edit#gid=934712705"",""ESENCIAL!A6:BG""),15,FALSE))"),"")</f>
        <v/>
      </c>
      <c r="AC714" s="110" t="str">
        <f ca="1">IFERROR(__xludf.DUMMYFUNCTION("IFERROR(VLOOKUP(E737&amp;F737,IMPORTRANGE(""https://docs.google.com/spreadsheets/d/1Uw7-A9f9R21vMXxHZFNpYNeKFtG8_yji4HS352LGlSQ/edit?pli=1#gid=0"",""1_ACUM!A4:S""),13,FALSE))"),"")</f>
        <v/>
      </c>
      <c r="AD714" s="43" t="str">
        <f ca="1">IFERROR(__xludf.DUMMYFUNCTION("IFERROR(VLOOKUP(E737&amp;F737,IMPORTRANGE(""https://docs.google.com/spreadsheets/d/1Uw7-A9f9R21vMXxHZFNpYNeKFtG8_yji4HS352LGlSQ/edit?pli=1#gid=0"",""1_ACUM!A4:S""),13,FALSE))"),"")</f>
        <v/>
      </c>
      <c r="AE714" s="43" t="str">
        <f ca="1">IFERROR(__xludf.DUMMYFUNCTION("IFERROR(VLOOKUP(E737&amp;F737,IMPORTRANGE(""https://docs.google.com/spreadsheets/d/1Uw7-A9f9R21vMXxHZFNpYNeKFtG8_yji4HS352LGlSQ/edit?pli=1#gid=0"",""1_ACUM!A4:S""),14,FALSE))"),"")</f>
        <v/>
      </c>
      <c r="AF714" s="43" t="str">
        <f ca="1">IFERROR(__xludf.DUMMYFUNCTION("IFERROR(VLOOKUP(E737&amp;F737,IMPORTRANGE(""https://docs.google.com/spreadsheets/d/1Uw7-A9f9R21vMXxHZFNpYNeKFtG8_yji4HS352LGlSQ/edit?pli=1#gid=0"",""1_ACUM!A4:S""),15,FALSE))"),"")</f>
        <v/>
      </c>
      <c r="AG714" s="43" t="str">
        <f ca="1">IFERROR(__xludf.DUMMYFUNCTION("IFERROR(VLOOKUP(E737&amp;F737,IMPORTRANGE(""https://docs.google.com/spreadsheets/d/1Uw7-A9f9R21vMXxHZFNpYNeKFtG8_yji4HS352LGlSQ/edit?pli=1#gid=0"",""1_ACUM!A4:S""),16,FALSE))"),"")</f>
        <v/>
      </c>
      <c r="AH714" s="43" t="str">
        <f ca="1">IFERROR(__xludf.DUMMYFUNCTION("IFERROR(VLOOKUP(E737&amp;F737,IMPORTRANGE(""https://docs.google.com/spreadsheets/d/1Uw7-A9f9R21vMXxHZFNpYNeKFtG8_yji4HS352LGlSQ/edit?pli=1#gid=0"",""1_ACUM!A4:S""),17,FALSE))"),"")</f>
        <v/>
      </c>
      <c r="AI714" s="44" t="str">
        <f ca="1">IFERROR(__xludf.DUMMYFUNCTION("IFERROR(VLOOKUP(E737&amp;F737,IMPORTRANGE(""https://docs.google.com/spreadsheets/d/1Uw7-A9f9R21vMXxHZFNpYNeKFtG8_yji4HS352LGlSQ/edit?pli=1#gid=0"",""1_ACUM!A4:S""),18,FALSE))"),"")</f>
        <v/>
      </c>
      <c r="AJ714" s="44" t="str">
        <f ca="1">IFERROR(__xludf.DUMMYFUNCTION("IFERROR(VLOOKUP(E737&amp;F737,IMPORTRANGE(""https://docs.google.com/spreadsheets/d/1Uw7-A9f9R21vMXxHZFNpYNeKFtG8_yji4HS352LGlSQ/edit?pli=1#gid=0"",""1_ACUM!A4:S""),19,FALSE))"),"")</f>
        <v/>
      </c>
      <c r="AK714" s="98" t="str">
        <f ca="1">IFERROR(__xludf.DUMMYFUNCTION("IFERROR(VLOOKUP(F737,IMPORTRANGE(""https://docs.google.com/spreadsheets/d/1Kvs4KS76FHFqLFIZfrDMff4kP08nblUkihrxltoGBjg/edit#gid=934712705"",""ESENCIAL!A6:BG""),5,FALSE))"),"")</f>
        <v/>
      </c>
      <c r="AL714" s="98" t="str">
        <f t="shared" si="44"/>
        <v/>
      </c>
      <c r="AM714" s="99" t="str">
        <f t="shared" si="45"/>
        <v/>
      </c>
      <c r="AN714" s="100" t="str">
        <f ca="1">IFERROR(__xludf.DUMMYFUNCTION("IFERROR(VLOOKUP(F737,IMPORTRANGE(""https://docs.google.com/spreadsheets/d/1Kvs4KS76FHFqLFIZfrDMff4kP08nblUkihrxltoGBjg/edit#gid=934712705"",""ESENCIAL!A6:BG""),2,FALSE))"),"")</f>
        <v/>
      </c>
      <c r="AO714" s="19" t="str">
        <f t="shared" si="33"/>
        <v/>
      </c>
      <c r="AP714" s="100"/>
      <c r="AQ714" s="100"/>
    </row>
    <row r="715" spans="1:43" ht="15">
      <c r="A715" s="5"/>
      <c r="B715" s="5"/>
      <c r="G715" s="5" t="str">
        <f ca="1">IFERROR(__xludf.DUMMYFUNCTION("IFERROR(VLOOKUP(F738,IMPORTRANGE(""https://docs.google.com/spreadsheets/d/1Kvs4KS76FHFqLFIZfrDMff4kP08nblUkihrxltoGBjg/edit#gid=934712705"",""ESENCIAL!A6:BG""),3,FALSE))"),"")</f>
        <v/>
      </c>
      <c r="H715" s="5" t="str">
        <f ca="1">IFERROR(__xludf.DUMMYFUNCTION("IFERROR(VLOOKUP(F738,IMPORTRANGE(""https://docs.google.com/spreadsheets/d/1Kvs4KS76FHFqLFIZfrDMff4kP08nblUkihrxltoGBjg/edit#gid=934712705"",""ESENCIAL!A6:BG""),8,FALSE))"),"")</f>
        <v/>
      </c>
      <c r="L715" s="40"/>
      <c r="Z715" s="41" t="str">
        <f t="shared" si="43"/>
        <v/>
      </c>
      <c r="AA715" s="5" t="str">
        <f ca="1">IFERROR(__xludf.DUMMYFUNCTION("IFERROR(VLOOKUP(E738&amp;F738,IMPORTRANGE(""https://docs.google.com/spreadsheets/d/1Uw7-A9f9R21vMXxHZFNpYNeKFtG8_yji4HS352LGlSQ/edit?pli=1#gid=0"",""1_ACUM!A4:S""),11,FALSE))"),"")</f>
        <v/>
      </c>
      <c r="AB715" s="42" t="str">
        <f ca="1">IFERROR(__xludf.DUMMYFUNCTION("IFERROR(VLOOKUP(F738,IMPORTRANGE(""https://docs.google.com/spreadsheets/d/1Kvs4KS76FHFqLFIZfrDMff4kP08nblUkihrxltoGBjg/edit#gid=934712705"",""ESENCIAL!A6:BG""),15,FALSE))"),"")</f>
        <v/>
      </c>
      <c r="AC715" s="110" t="str">
        <f ca="1">IFERROR(__xludf.DUMMYFUNCTION("IFERROR(VLOOKUP(E738&amp;F738,IMPORTRANGE(""https://docs.google.com/spreadsheets/d/1Uw7-A9f9R21vMXxHZFNpYNeKFtG8_yji4HS352LGlSQ/edit?pli=1#gid=0"",""1_ACUM!A4:S""),13,FALSE))"),"")</f>
        <v/>
      </c>
      <c r="AD715" s="43" t="str">
        <f ca="1">IFERROR(__xludf.DUMMYFUNCTION("IFERROR(VLOOKUP(E738&amp;F738,IMPORTRANGE(""https://docs.google.com/spreadsheets/d/1Uw7-A9f9R21vMXxHZFNpYNeKFtG8_yji4HS352LGlSQ/edit?pli=1#gid=0"",""1_ACUM!A4:S""),13,FALSE))"),"")</f>
        <v/>
      </c>
      <c r="AE715" s="43" t="str">
        <f ca="1">IFERROR(__xludf.DUMMYFUNCTION("IFERROR(VLOOKUP(E738&amp;F738,IMPORTRANGE(""https://docs.google.com/spreadsheets/d/1Uw7-A9f9R21vMXxHZFNpYNeKFtG8_yji4HS352LGlSQ/edit?pli=1#gid=0"",""1_ACUM!A4:S""),14,FALSE))"),"")</f>
        <v/>
      </c>
      <c r="AF715" s="43" t="str">
        <f ca="1">IFERROR(__xludf.DUMMYFUNCTION("IFERROR(VLOOKUP(E738&amp;F738,IMPORTRANGE(""https://docs.google.com/spreadsheets/d/1Uw7-A9f9R21vMXxHZFNpYNeKFtG8_yji4HS352LGlSQ/edit?pli=1#gid=0"",""1_ACUM!A4:S""),15,FALSE))"),"")</f>
        <v/>
      </c>
      <c r="AG715" s="43" t="str">
        <f ca="1">IFERROR(__xludf.DUMMYFUNCTION("IFERROR(VLOOKUP(E738&amp;F738,IMPORTRANGE(""https://docs.google.com/spreadsheets/d/1Uw7-A9f9R21vMXxHZFNpYNeKFtG8_yji4HS352LGlSQ/edit?pli=1#gid=0"",""1_ACUM!A4:S""),16,FALSE))"),"")</f>
        <v/>
      </c>
      <c r="AH715" s="43" t="str">
        <f ca="1">IFERROR(__xludf.DUMMYFUNCTION("IFERROR(VLOOKUP(E738&amp;F738,IMPORTRANGE(""https://docs.google.com/spreadsheets/d/1Uw7-A9f9R21vMXxHZFNpYNeKFtG8_yji4HS352LGlSQ/edit?pli=1#gid=0"",""1_ACUM!A4:S""),17,FALSE))"),"")</f>
        <v/>
      </c>
      <c r="AI715" s="44" t="str">
        <f ca="1">IFERROR(__xludf.DUMMYFUNCTION("IFERROR(VLOOKUP(E738&amp;F738,IMPORTRANGE(""https://docs.google.com/spreadsheets/d/1Uw7-A9f9R21vMXxHZFNpYNeKFtG8_yji4HS352LGlSQ/edit?pli=1#gid=0"",""1_ACUM!A4:S""),18,FALSE))"),"")</f>
        <v/>
      </c>
      <c r="AJ715" s="44" t="str">
        <f ca="1">IFERROR(__xludf.DUMMYFUNCTION("IFERROR(VLOOKUP(E738&amp;F738,IMPORTRANGE(""https://docs.google.com/spreadsheets/d/1Uw7-A9f9R21vMXxHZFNpYNeKFtG8_yji4HS352LGlSQ/edit?pli=1#gid=0"",""1_ACUM!A4:S""),19,FALSE))"),"")</f>
        <v/>
      </c>
      <c r="AK715" s="98" t="str">
        <f ca="1">IFERROR(__xludf.DUMMYFUNCTION("IFERROR(VLOOKUP(F738,IMPORTRANGE(""https://docs.google.com/spreadsheets/d/1Kvs4KS76FHFqLFIZfrDMff4kP08nblUkihrxltoGBjg/edit#gid=934712705"",""ESENCIAL!A6:BG""),5,FALSE))"),"")</f>
        <v/>
      </c>
      <c r="AL715" s="98" t="str">
        <f t="shared" si="44"/>
        <v/>
      </c>
      <c r="AM715" s="99" t="str">
        <f t="shared" si="45"/>
        <v/>
      </c>
      <c r="AN715" s="100" t="str">
        <f ca="1">IFERROR(__xludf.DUMMYFUNCTION("IFERROR(VLOOKUP(F738,IMPORTRANGE(""https://docs.google.com/spreadsheets/d/1Kvs4KS76FHFqLFIZfrDMff4kP08nblUkihrxltoGBjg/edit#gid=934712705"",""ESENCIAL!A6:BG""),2,FALSE))"),"")</f>
        <v/>
      </c>
      <c r="AO715" s="19" t="str">
        <f t="shared" si="33"/>
        <v/>
      </c>
      <c r="AP715" s="100"/>
      <c r="AQ715" s="100"/>
    </row>
    <row r="716" spans="1:43" ht="15">
      <c r="A716" s="5"/>
      <c r="B716" s="5"/>
      <c r="G716" s="5" t="str">
        <f ca="1">IFERROR(__xludf.DUMMYFUNCTION("IFERROR(VLOOKUP(F739,IMPORTRANGE(""https://docs.google.com/spreadsheets/d/1Kvs4KS76FHFqLFIZfrDMff4kP08nblUkihrxltoGBjg/edit#gid=934712705"",""ESENCIAL!A6:BG""),3,FALSE))"),"")</f>
        <v/>
      </c>
      <c r="H716" s="5" t="str">
        <f ca="1">IFERROR(__xludf.DUMMYFUNCTION("IFERROR(VLOOKUP(F739,IMPORTRANGE(""https://docs.google.com/spreadsheets/d/1Kvs4KS76FHFqLFIZfrDMff4kP08nblUkihrxltoGBjg/edit#gid=934712705"",""ESENCIAL!A6:BG""),8,FALSE))"),"")</f>
        <v/>
      </c>
      <c r="L716" s="40"/>
      <c r="Z716" s="41" t="str">
        <f t="shared" si="43"/>
        <v/>
      </c>
      <c r="AA716" s="5" t="str">
        <f ca="1">IFERROR(__xludf.DUMMYFUNCTION("IFERROR(VLOOKUP(E739&amp;F739,IMPORTRANGE(""https://docs.google.com/spreadsheets/d/1Uw7-A9f9R21vMXxHZFNpYNeKFtG8_yji4HS352LGlSQ/edit?pli=1#gid=0"",""1_ACUM!A4:S""),11,FALSE))"),"")</f>
        <v/>
      </c>
      <c r="AB716" s="42" t="str">
        <f ca="1">IFERROR(__xludf.DUMMYFUNCTION("IFERROR(VLOOKUP(F739,IMPORTRANGE(""https://docs.google.com/spreadsheets/d/1Kvs4KS76FHFqLFIZfrDMff4kP08nblUkihrxltoGBjg/edit#gid=934712705"",""ESENCIAL!A6:BG""),15,FALSE))"),"")</f>
        <v/>
      </c>
      <c r="AC716" s="110" t="str">
        <f ca="1">IFERROR(__xludf.DUMMYFUNCTION("IFERROR(VLOOKUP(E739&amp;F739,IMPORTRANGE(""https://docs.google.com/spreadsheets/d/1Uw7-A9f9R21vMXxHZFNpYNeKFtG8_yji4HS352LGlSQ/edit?pli=1#gid=0"",""1_ACUM!A4:S""),13,FALSE))"),"")</f>
        <v/>
      </c>
      <c r="AD716" s="43" t="str">
        <f ca="1">IFERROR(__xludf.DUMMYFUNCTION("IFERROR(VLOOKUP(E739&amp;F739,IMPORTRANGE(""https://docs.google.com/spreadsheets/d/1Uw7-A9f9R21vMXxHZFNpYNeKFtG8_yji4HS352LGlSQ/edit?pli=1#gid=0"",""1_ACUM!A4:S""),13,FALSE))"),"")</f>
        <v/>
      </c>
      <c r="AE716" s="43" t="str">
        <f ca="1">IFERROR(__xludf.DUMMYFUNCTION("IFERROR(VLOOKUP(E739&amp;F739,IMPORTRANGE(""https://docs.google.com/spreadsheets/d/1Uw7-A9f9R21vMXxHZFNpYNeKFtG8_yji4HS352LGlSQ/edit?pli=1#gid=0"",""1_ACUM!A4:S""),14,FALSE))"),"")</f>
        <v/>
      </c>
      <c r="AF716" s="43" t="str">
        <f ca="1">IFERROR(__xludf.DUMMYFUNCTION("IFERROR(VLOOKUP(E739&amp;F739,IMPORTRANGE(""https://docs.google.com/spreadsheets/d/1Uw7-A9f9R21vMXxHZFNpYNeKFtG8_yji4HS352LGlSQ/edit?pli=1#gid=0"",""1_ACUM!A4:S""),15,FALSE))"),"")</f>
        <v/>
      </c>
      <c r="AG716" s="43" t="str">
        <f ca="1">IFERROR(__xludf.DUMMYFUNCTION("IFERROR(VLOOKUP(E739&amp;F739,IMPORTRANGE(""https://docs.google.com/spreadsheets/d/1Uw7-A9f9R21vMXxHZFNpYNeKFtG8_yji4HS352LGlSQ/edit?pli=1#gid=0"",""1_ACUM!A4:S""),16,FALSE))"),"")</f>
        <v/>
      </c>
      <c r="AH716" s="43" t="str">
        <f ca="1">IFERROR(__xludf.DUMMYFUNCTION("IFERROR(VLOOKUP(E739&amp;F739,IMPORTRANGE(""https://docs.google.com/spreadsheets/d/1Uw7-A9f9R21vMXxHZFNpYNeKFtG8_yji4HS352LGlSQ/edit?pli=1#gid=0"",""1_ACUM!A4:S""),17,FALSE))"),"")</f>
        <v/>
      </c>
      <c r="AI716" s="44" t="str">
        <f ca="1">IFERROR(__xludf.DUMMYFUNCTION("IFERROR(VLOOKUP(E739&amp;F739,IMPORTRANGE(""https://docs.google.com/spreadsheets/d/1Uw7-A9f9R21vMXxHZFNpYNeKFtG8_yji4HS352LGlSQ/edit?pli=1#gid=0"",""1_ACUM!A4:S""),18,FALSE))"),"")</f>
        <v/>
      </c>
      <c r="AJ716" s="44" t="str">
        <f ca="1">IFERROR(__xludf.DUMMYFUNCTION("IFERROR(VLOOKUP(E739&amp;F739,IMPORTRANGE(""https://docs.google.com/spreadsheets/d/1Uw7-A9f9R21vMXxHZFNpYNeKFtG8_yji4HS352LGlSQ/edit?pli=1#gid=0"",""1_ACUM!A4:S""),19,FALSE))"),"")</f>
        <v/>
      </c>
      <c r="AK716" s="98" t="str">
        <f ca="1">IFERROR(__xludf.DUMMYFUNCTION("IFERROR(VLOOKUP(F739,IMPORTRANGE(""https://docs.google.com/spreadsheets/d/1Kvs4KS76FHFqLFIZfrDMff4kP08nblUkihrxltoGBjg/edit#gid=934712705"",""ESENCIAL!A6:BG""),5,FALSE))"),"")</f>
        <v/>
      </c>
      <c r="AL716" s="98" t="str">
        <f t="shared" si="44"/>
        <v/>
      </c>
      <c r="AM716" s="99" t="str">
        <f t="shared" si="45"/>
        <v/>
      </c>
      <c r="AN716" s="100" t="str">
        <f ca="1">IFERROR(__xludf.DUMMYFUNCTION("IFERROR(VLOOKUP(F739,IMPORTRANGE(""https://docs.google.com/spreadsheets/d/1Kvs4KS76FHFqLFIZfrDMff4kP08nblUkihrxltoGBjg/edit#gid=934712705"",""ESENCIAL!A6:BG""),2,FALSE))"),"")</f>
        <v/>
      </c>
      <c r="AO716" s="19" t="str">
        <f t="shared" si="33"/>
        <v/>
      </c>
      <c r="AP716" s="100"/>
      <c r="AQ716" s="100"/>
    </row>
    <row r="717" spans="1:43" ht="15">
      <c r="A717" s="5"/>
      <c r="B717" s="5"/>
      <c r="G717" s="5" t="str">
        <f ca="1">IFERROR(__xludf.DUMMYFUNCTION("IFERROR(VLOOKUP(F740,IMPORTRANGE(""https://docs.google.com/spreadsheets/d/1Kvs4KS76FHFqLFIZfrDMff4kP08nblUkihrxltoGBjg/edit#gid=934712705"",""ESENCIAL!A6:BG""),3,FALSE))"),"")</f>
        <v/>
      </c>
      <c r="H717" s="5" t="str">
        <f ca="1">IFERROR(__xludf.DUMMYFUNCTION("IFERROR(VLOOKUP(F740,IMPORTRANGE(""https://docs.google.com/spreadsheets/d/1Kvs4KS76FHFqLFIZfrDMff4kP08nblUkihrxltoGBjg/edit#gid=934712705"",""ESENCIAL!A6:BG""),8,FALSE))"),"")</f>
        <v/>
      </c>
      <c r="L717" s="40"/>
      <c r="Z717" s="41" t="str">
        <f t="shared" si="43"/>
        <v/>
      </c>
      <c r="AA717" s="5" t="str">
        <f ca="1">IFERROR(__xludf.DUMMYFUNCTION("IFERROR(VLOOKUP(E740&amp;F740,IMPORTRANGE(""https://docs.google.com/spreadsheets/d/1Uw7-A9f9R21vMXxHZFNpYNeKFtG8_yji4HS352LGlSQ/edit?pli=1#gid=0"",""1_ACUM!A4:S""),11,FALSE))"),"")</f>
        <v/>
      </c>
      <c r="AB717" s="42" t="str">
        <f ca="1">IFERROR(__xludf.DUMMYFUNCTION("IFERROR(VLOOKUP(F740,IMPORTRANGE(""https://docs.google.com/spreadsheets/d/1Kvs4KS76FHFqLFIZfrDMff4kP08nblUkihrxltoGBjg/edit#gid=934712705"",""ESENCIAL!A6:BG""),15,FALSE))"),"")</f>
        <v/>
      </c>
      <c r="AC717" s="110" t="str">
        <f ca="1">IFERROR(__xludf.DUMMYFUNCTION("IFERROR(VLOOKUP(E740&amp;F740,IMPORTRANGE(""https://docs.google.com/spreadsheets/d/1Uw7-A9f9R21vMXxHZFNpYNeKFtG8_yji4HS352LGlSQ/edit?pli=1#gid=0"",""1_ACUM!A4:S""),13,FALSE))"),"")</f>
        <v/>
      </c>
      <c r="AD717" s="43" t="str">
        <f ca="1">IFERROR(__xludf.DUMMYFUNCTION("IFERROR(VLOOKUP(E740&amp;F740,IMPORTRANGE(""https://docs.google.com/spreadsheets/d/1Uw7-A9f9R21vMXxHZFNpYNeKFtG8_yji4HS352LGlSQ/edit?pli=1#gid=0"",""1_ACUM!A4:S""),13,FALSE))"),"")</f>
        <v/>
      </c>
      <c r="AE717" s="43" t="str">
        <f ca="1">IFERROR(__xludf.DUMMYFUNCTION("IFERROR(VLOOKUP(E740&amp;F740,IMPORTRANGE(""https://docs.google.com/spreadsheets/d/1Uw7-A9f9R21vMXxHZFNpYNeKFtG8_yji4HS352LGlSQ/edit?pli=1#gid=0"",""1_ACUM!A4:S""),14,FALSE))"),"")</f>
        <v/>
      </c>
      <c r="AF717" s="43" t="str">
        <f ca="1">IFERROR(__xludf.DUMMYFUNCTION("IFERROR(VLOOKUP(E740&amp;F740,IMPORTRANGE(""https://docs.google.com/spreadsheets/d/1Uw7-A9f9R21vMXxHZFNpYNeKFtG8_yji4HS352LGlSQ/edit?pli=1#gid=0"",""1_ACUM!A4:S""),15,FALSE))"),"")</f>
        <v/>
      </c>
      <c r="AG717" s="43" t="str">
        <f ca="1">IFERROR(__xludf.DUMMYFUNCTION("IFERROR(VLOOKUP(E740&amp;F740,IMPORTRANGE(""https://docs.google.com/spreadsheets/d/1Uw7-A9f9R21vMXxHZFNpYNeKFtG8_yji4HS352LGlSQ/edit?pli=1#gid=0"",""1_ACUM!A4:S""),16,FALSE))"),"")</f>
        <v/>
      </c>
      <c r="AH717" s="43" t="str">
        <f ca="1">IFERROR(__xludf.DUMMYFUNCTION("IFERROR(VLOOKUP(E740&amp;F740,IMPORTRANGE(""https://docs.google.com/spreadsheets/d/1Uw7-A9f9R21vMXxHZFNpYNeKFtG8_yji4HS352LGlSQ/edit?pli=1#gid=0"",""1_ACUM!A4:S""),17,FALSE))"),"")</f>
        <v/>
      </c>
      <c r="AI717" s="44" t="str">
        <f ca="1">IFERROR(__xludf.DUMMYFUNCTION("IFERROR(VLOOKUP(E740&amp;F740,IMPORTRANGE(""https://docs.google.com/spreadsheets/d/1Uw7-A9f9R21vMXxHZFNpYNeKFtG8_yji4HS352LGlSQ/edit?pli=1#gid=0"",""1_ACUM!A4:S""),18,FALSE))"),"")</f>
        <v/>
      </c>
      <c r="AJ717" s="44" t="str">
        <f ca="1">IFERROR(__xludf.DUMMYFUNCTION("IFERROR(VLOOKUP(E740&amp;F740,IMPORTRANGE(""https://docs.google.com/spreadsheets/d/1Uw7-A9f9R21vMXxHZFNpYNeKFtG8_yji4HS352LGlSQ/edit?pli=1#gid=0"",""1_ACUM!A4:S""),19,FALSE))"),"")</f>
        <v/>
      </c>
      <c r="AK717" s="98" t="str">
        <f ca="1">IFERROR(__xludf.DUMMYFUNCTION("IFERROR(VLOOKUP(F740,IMPORTRANGE(""https://docs.google.com/spreadsheets/d/1Kvs4KS76FHFqLFIZfrDMff4kP08nblUkihrxltoGBjg/edit#gid=934712705"",""ESENCIAL!A6:BG""),5,FALSE))"),"")</f>
        <v/>
      </c>
      <c r="AL717" s="98" t="str">
        <f t="shared" si="44"/>
        <v/>
      </c>
      <c r="AM717" s="99" t="str">
        <f t="shared" si="45"/>
        <v/>
      </c>
      <c r="AN717" s="100" t="str">
        <f ca="1">IFERROR(__xludf.DUMMYFUNCTION("IFERROR(VLOOKUP(F740,IMPORTRANGE(""https://docs.google.com/spreadsheets/d/1Kvs4KS76FHFqLFIZfrDMff4kP08nblUkihrxltoGBjg/edit#gid=934712705"",""ESENCIAL!A6:BG""),2,FALSE))"),"")</f>
        <v/>
      </c>
      <c r="AO717" s="19" t="str">
        <f t="shared" si="33"/>
        <v/>
      </c>
      <c r="AP717" s="100"/>
      <c r="AQ717" s="100"/>
    </row>
    <row r="718" spans="1:43" ht="15">
      <c r="A718" s="5"/>
      <c r="B718" s="5"/>
      <c r="G718" s="5" t="str">
        <f ca="1">IFERROR(__xludf.DUMMYFUNCTION("IFERROR(VLOOKUP(F741,IMPORTRANGE(""https://docs.google.com/spreadsheets/d/1Kvs4KS76FHFqLFIZfrDMff4kP08nblUkihrxltoGBjg/edit#gid=934712705"",""ESENCIAL!A6:BG""),3,FALSE))"),"")</f>
        <v/>
      </c>
      <c r="H718" s="5" t="str">
        <f ca="1">IFERROR(__xludf.DUMMYFUNCTION("IFERROR(VLOOKUP(F741,IMPORTRANGE(""https://docs.google.com/spreadsheets/d/1Kvs4KS76FHFqLFIZfrDMff4kP08nblUkihrxltoGBjg/edit#gid=934712705"",""ESENCIAL!A6:BG""),8,FALSE))"),"")</f>
        <v/>
      </c>
      <c r="L718" s="40"/>
      <c r="Z718" s="41" t="str">
        <f t="shared" si="43"/>
        <v/>
      </c>
      <c r="AA718" s="5" t="str">
        <f ca="1">IFERROR(__xludf.DUMMYFUNCTION("IFERROR(VLOOKUP(E741&amp;F741,IMPORTRANGE(""https://docs.google.com/spreadsheets/d/1Uw7-A9f9R21vMXxHZFNpYNeKFtG8_yji4HS352LGlSQ/edit?pli=1#gid=0"",""1_ACUM!A4:S""),11,FALSE))"),"")</f>
        <v/>
      </c>
      <c r="AB718" s="42" t="str">
        <f ca="1">IFERROR(__xludf.DUMMYFUNCTION("IFERROR(VLOOKUP(F741,IMPORTRANGE(""https://docs.google.com/spreadsheets/d/1Kvs4KS76FHFqLFIZfrDMff4kP08nblUkihrxltoGBjg/edit#gid=934712705"",""ESENCIAL!A6:BG""),15,FALSE))"),"")</f>
        <v/>
      </c>
      <c r="AC718" s="110" t="str">
        <f ca="1">IFERROR(__xludf.DUMMYFUNCTION("IFERROR(VLOOKUP(E741&amp;F741,IMPORTRANGE(""https://docs.google.com/spreadsheets/d/1Uw7-A9f9R21vMXxHZFNpYNeKFtG8_yji4HS352LGlSQ/edit?pli=1#gid=0"",""1_ACUM!A4:S""),13,FALSE))"),"")</f>
        <v/>
      </c>
      <c r="AD718" s="43" t="str">
        <f ca="1">IFERROR(__xludf.DUMMYFUNCTION("IFERROR(VLOOKUP(E741&amp;F741,IMPORTRANGE(""https://docs.google.com/spreadsheets/d/1Uw7-A9f9R21vMXxHZFNpYNeKFtG8_yji4HS352LGlSQ/edit?pli=1#gid=0"",""1_ACUM!A4:S""),13,FALSE))"),"")</f>
        <v/>
      </c>
      <c r="AE718" s="43" t="str">
        <f ca="1">IFERROR(__xludf.DUMMYFUNCTION("IFERROR(VLOOKUP(E741&amp;F741,IMPORTRANGE(""https://docs.google.com/spreadsheets/d/1Uw7-A9f9R21vMXxHZFNpYNeKFtG8_yji4HS352LGlSQ/edit?pli=1#gid=0"",""1_ACUM!A4:S""),14,FALSE))"),"")</f>
        <v/>
      </c>
      <c r="AF718" s="43" t="str">
        <f ca="1">IFERROR(__xludf.DUMMYFUNCTION("IFERROR(VLOOKUP(E741&amp;F741,IMPORTRANGE(""https://docs.google.com/spreadsheets/d/1Uw7-A9f9R21vMXxHZFNpYNeKFtG8_yji4HS352LGlSQ/edit?pli=1#gid=0"",""1_ACUM!A4:S""),15,FALSE))"),"")</f>
        <v/>
      </c>
      <c r="AG718" s="43" t="str">
        <f ca="1">IFERROR(__xludf.DUMMYFUNCTION("IFERROR(VLOOKUP(E741&amp;F741,IMPORTRANGE(""https://docs.google.com/spreadsheets/d/1Uw7-A9f9R21vMXxHZFNpYNeKFtG8_yji4HS352LGlSQ/edit?pli=1#gid=0"",""1_ACUM!A4:S""),16,FALSE))"),"")</f>
        <v/>
      </c>
      <c r="AH718" s="43" t="str">
        <f ca="1">IFERROR(__xludf.DUMMYFUNCTION("IFERROR(VLOOKUP(E741&amp;F741,IMPORTRANGE(""https://docs.google.com/spreadsheets/d/1Uw7-A9f9R21vMXxHZFNpYNeKFtG8_yji4HS352LGlSQ/edit?pli=1#gid=0"",""1_ACUM!A4:S""),17,FALSE))"),"")</f>
        <v/>
      </c>
      <c r="AI718" s="44" t="str">
        <f ca="1">IFERROR(__xludf.DUMMYFUNCTION("IFERROR(VLOOKUP(E741&amp;F741,IMPORTRANGE(""https://docs.google.com/spreadsheets/d/1Uw7-A9f9R21vMXxHZFNpYNeKFtG8_yji4HS352LGlSQ/edit?pli=1#gid=0"",""1_ACUM!A4:S""),18,FALSE))"),"")</f>
        <v/>
      </c>
      <c r="AJ718" s="44" t="str">
        <f ca="1">IFERROR(__xludf.DUMMYFUNCTION("IFERROR(VLOOKUP(E741&amp;F741,IMPORTRANGE(""https://docs.google.com/spreadsheets/d/1Uw7-A9f9R21vMXxHZFNpYNeKFtG8_yji4HS352LGlSQ/edit?pli=1#gid=0"",""1_ACUM!A4:S""),19,FALSE))"),"")</f>
        <v/>
      </c>
      <c r="AK718" s="98" t="str">
        <f ca="1">IFERROR(__xludf.DUMMYFUNCTION("IFERROR(VLOOKUP(F741,IMPORTRANGE(""https://docs.google.com/spreadsheets/d/1Kvs4KS76FHFqLFIZfrDMff4kP08nblUkihrxltoGBjg/edit#gid=934712705"",""ESENCIAL!A6:BG""),5,FALSE))"),"")</f>
        <v/>
      </c>
      <c r="AL718" s="98" t="str">
        <f t="shared" si="44"/>
        <v/>
      </c>
      <c r="AM718" s="99" t="str">
        <f t="shared" si="45"/>
        <v/>
      </c>
      <c r="AN718" s="100" t="str">
        <f ca="1">IFERROR(__xludf.DUMMYFUNCTION("IFERROR(VLOOKUP(F741,IMPORTRANGE(""https://docs.google.com/spreadsheets/d/1Kvs4KS76FHFqLFIZfrDMff4kP08nblUkihrxltoGBjg/edit#gid=934712705"",""ESENCIAL!A6:BG""),2,FALSE))"),"")</f>
        <v/>
      </c>
      <c r="AO718" s="19" t="str">
        <f t="shared" si="33"/>
        <v/>
      </c>
      <c r="AP718" s="100"/>
      <c r="AQ718" s="100"/>
    </row>
    <row r="719" spans="1:43" ht="15">
      <c r="A719" s="5"/>
      <c r="B719" s="5"/>
      <c r="G719" s="5" t="str">
        <f ca="1">IFERROR(__xludf.DUMMYFUNCTION("IFERROR(VLOOKUP(F742,IMPORTRANGE(""https://docs.google.com/spreadsheets/d/1Kvs4KS76FHFqLFIZfrDMff4kP08nblUkihrxltoGBjg/edit#gid=934712705"",""ESENCIAL!A6:BG""),3,FALSE))"),"")</f>
        <v/>
      </c>
      <c r="H719" s="5" t="str">
        <f ca="1">IFERROR(__xludf.DUMMYFUNCTION("IFERROR(VLOOKUP(F742,IMPORTRANGE(""https://docs.google.com/spreadsheets/d/1Kvs4KS76FHFqLFIZfrDMff4kP08nblUkihrxltoGBjg/edit#gid=934712705"",""ESENCIAL!A6:BG""),8,FALSE))"),"")</f>
        <v/>
      </c>
      <c r="L719" s="40"/>
      <c r="Z719" s="41" t="str">
        <f t="shared" si="43"/>
        <v/>
      </c>
      <c r="AA719" s="5" t="str">
        <f ca="1">IFERROR(__xludf.DUMMYFUNCTION("IFERROR(VLOOKUP(E742&amp;F742,IMPORTRANGE(""https://docs.google.com/spreadsheets/d/1Uw7-A9f9R21vMXxHZFNpYNeKFtG8_yji4HS352LGlSQ/edit?pli=1#gid=0"",""1_ACUM!A4:S""),11,FALSE))"),"")</f>
        <v/>
      </c>
      <c r="AB719" s="42" t="str">
        <f ca="1">IFERROR(__xludf.DUMMYFUNCTION("IFERROR(VLOOKUP(F742,IMPORTRANGE(""https://docs.google.com/spreadsheets/d/1Kvs4KS76FHFqLFIZfrDMff4kP08nblUkihrxltoGBjg/edit#gid=934712705"",""ESENCIAL!A6:BG""),15,FALSE))"),"")</f>
        <v/>
      </c>
      <c r="AC719" s="110" t="str">
        <f ca="1">IFERROR(__xludf.DUMMYFUNCTION("IFERROR(VLOOKUP(E742&amp;F742,IMPORTRANGE(""https://docs.google.com/spreadsheets/d/1Uw7-A9f9R21vMXxHZFNpYNeKFtG8_yji4HS352LGlSQ/edit?pli=1#gid=0"",""1_ACUM!A4:S""),13,FALSE))"),"")</f>
        <v/>
      </c>
      <c r="AD719" s="43" t="str">
        <f ca="1">IFERROR(__xludf.DUMMYFUNCTION("IFERROR(VLOOKUP(E742&amp;F742,IMPORTRANGE(""https://docs.google.com/spreadsheets/d/1Uw7-A9f9R21vMXxHZFNpYNeKFtG8_yji4HS352LGlSQ/edit?pli=1#gid=0"",""1_ACUM!A4:S""),13,FALSE))"),"")</f>
        <v/>
      </c>
      <c r="AE719" s="43" t="str">
        <f ca="1">IFERROR(__xludf.DUMMYFUNCTION("IFERROR(VLOOKUP(E742&amp;F742,IMPORTRANGE(""https://docs.google.com/spreadsheets/d/1Uw7-A9f9R21vMXxHZFNpYNeKFtG8_yji4HS352LGlSQ/edit?pli=1#gid=0"",""1_ACUM!A4:S""),14,FALSE))"),"")</f>
        <v/>
      </c>
      <c r="AF719" s="43" t="str">
        <f ca="1">IFERROR(__xludf.DUMMYFUNCTION("IFERROR(VLOOKUP(E742&amp;F742,IMPORTRANGE(""https://docs.google.com/spreadsheets/d/1Uw7-A9f9R21vMXxHZFNpYNeKFtG8_yji4HS352LGlSQ/edit?pli=1#gid=0"",""1_ACUM!A4:S""),15,FALSE))"),"")</f>
        <v/>
      </c>
      <c r="AG719" s="43" t="str">
        <f ca="1">IFERROR(__xludf.DUMMYFUNCTION("IFERROR(VLOOKUP(E742&amp;F742,IMPORTRANGE(""https://docs.google.com/spreadsheets/d/1Uw7-A9f9R21vMXxHZFNpYNeKFtG8_yji4HS352LGlSQ/edit?pli=1#gid=0"",""1_ACUM!A4:S""),16,FALSE))"),"")</f>
        <v/>
      </c>
      <c r="AH719" s="43" t="str">
        <f ca="1">IFERROR(__xludf.DUMMYFUNCTION("IFERROR(VLOOKUP(E742&amp;F742,IMPORTRANGE(""https://docs.google.com/spreadsheets/d/1Uw7-A9f9R21vMXxHZFNpYNeKFtG8_yji4HS352LGlSQ/edit?pli=1#gid=0"",""1_ACUM!A4:S""),17,FALSE))"),"")</f>
        <v/>
      </c>
      <c r="AI719" s="44" t="str">
        <f ca="1">IFERROR(__xludf.DUMMYFUNCTION("IFERROR(VLOOKUP(E742&amp;F742,IMPORTRANGE(""https://docs.google.com/spreadsheets/d/1Uw7-A9f9R21vMXxHZFNpYNeKFtG8_yji4HS352LGlSQ/edit?pli=1#gid=0"",""1_ACUM!A4:S""),18,FALSE))"),"")</f>
        <v/>
      </c>
      <c r="AJ719" s="44" t="str">
        <f ca="1">IFERROR(__xludf.DUMMYFUNCTION("IFERROR(VLOOKUP(E742&amp;F742,IMPORTRANGE(""https://docs.google.com/spreadsheets/d/1Uw7-A9f9R21vMXxHZFNpYNeKFtG8_yji4HS352LGlSQ/edit?pli=1#gid=0"",""1_ACUM!A4:S""),19,FALSE))"),"")</f>
        <v/>
      </c>
      <c r="AK719" s="98" t="str">
        <f ca="1">IFERROR(__xludf.DUMMYFUNCTION("IFERROR(VLOOKUP(F742,IMPORTRANGE(""https://docs.google.com/spreadsheets/d/1Kvs4KS76FHFqLFIZfrDMff4kP08nblUkihrxltoGBjg/edit#gid=934712705"",""ESENCIAL!A6:BG""),5,FALSE))"),"")</f>
        <v/>
      </c>
      <c r="AL719" s="98" t="str">
        <f t="shared" si="44"/>
        <v/>
      </c>
      <c r="AM719" s="99" t="str">
        <f t="shared" si="45"/>
        <v/>
      </c>
      <c r="AN719" s="100" t="str">
        <f ca="1">IFERROR(__xludf.DUMMYFUNCTION("IFERROR(VLOOKUP(F742,IMPORTRANGE(""https://docs.google.com/spreadsheets/d/1Kvs4KS76FHFqLFIZfrDMff4kP08nblUkihrxltoGBjg/edit#gid=934712705"",""ESENCIAL!A6:BG""),2,FALSE))"),"")</f>
        <v/>
      </c>
      <c r="AO719" s="19" t="str">
        <f t="shared" si="33"/>
        <v/>
      </c>
      <c r="AP719" s="100"/>
      <c r="AQ719" s="100"/>
    </row>
    <row r="720" spans="1:43" ht="15">
      <c r="A720" s="5"/>
      <c r="B720" s="5"/>
      <c r="G720" s="5" t="str">
        <f ca="1">IFERROR(__xludf.DUMMYFUNCTION("IFERROR(VLOOKUP(F743,IMPORTRANGE(""https://docs.google.com/spreadsheets/d/1Kvs4KS76FHFqLFIZfrDMff4kP08nblUkihrxltoGBjg/edit#gid=934712705"",""ESENCIAL!A6:BG""),3,FALSE))"),"")</f>
        <v/>
      </c>
      <c r="H720" s="5" t="str">
        <f ca="1">IFERROR(__xludf.DUMMYFUNCTION("IFERROR(VLOOKUP(F743,IMPORTRANGE(""https://docs.google.com/spreadsheets/d/1Kvs4KS76FHFqLFIZfrDMff4kP08nblUkihrxltoGBjg/edit#gid=934712705"",""ESENCIAL!A6:BG""),8,FALSE))"),"")</f>
        <v/>
      </c>
      <c r="L720" s="40"/>
      <c r="Z720" s="41" t="str">
        <f t="shared" si="43"/>
        <v/>
      </c>
      <c r="AA720" s="5" t="str">
        <f ca="1">IFERROR(__xludf.DUMMYFUNCTION("IFERROR(VLOOKUP(E743&amp;F743,IMPORTRANGE(""https://docs.google.com/spreadsheets/d/1Uw7-A9f9R21vMXxHZFNpYNeKFtG8_yji4HS352LGlSQ/edit?pli=1#gid=0"",""1_ACUM!A4:S""),11,FALSE))"),"")</f>
        <v/>
      </c>
      <c r="AB720" s="42" t="str">
        <f ca="1">IFERROR(__xludf.DUMMYFUNCTION("IFERROR(VLOOKUP(F743,IMPORTRANGE(""https://docs.google.com/spreadsheets/d/1Kvs4KS76FHFqLFIZfrDMff4kP08nblUkihrxltoGBjg/edit#gid=934712705"",""ESENCIAL!A6:BG""),15,FALSE))"),"")</f>
        <v/>
      </c>
      <c r="AC720" s="110" t="str">
        <f ca="1">IFERROR(__xludf.DUMMYFUNCTION("IFERROR(VLOOKUP(E743&amp;F743,IMPORTRANGE(""https://docs.google.com/spreadsheets/d/1Uw7-A9f9R21vMXxHZFNpYNeKFtG8_yji4HS352LGlSQ/edit?pli=1#gid=0"",""1_ACUM!A4:S""),13,FALSE))"),"")</f>
        <v/>
      </c>
      <c r="AD720" s="43" t="str">
        <f ca="1">IFERROR(__xludf.DUMMYFUNCTION("IFERROR(VLOOKUP(E743&amp;F743,IMPORTRANGE(""https://docs.google.com/spreadsheets/d/1Uw7-A9f9R21vMXxHZFNpYNeKFtG8_yji4HS352LGlSQ/edit?pli=1#gid=0"",""1_ACUM!A4:S""),13,FALSE))"),"")</f>
        <v/>
      </c>
      <c r="AE720" s="43" t="str">
        <f ca="1">IFERROR(__xludf.DUMMYFUNCTION("IFERROR(VLOOKUP(E743&amp;F743,IMPORTRANGE(""https://docs.google.com/spreadsheets/d/1Uw7-A9f9R21vMXxHZFNpYNeKFtG8_yji4HS352LGlSQ/edit?pli=1#gid=0"",""1_ACUM!A4:S""),14,FALSE))"),"")</f>
        <v/>
      </c>
      <c r="AF720" s="43" t="str">
        <f ca="1">IFERROR(__xludf.DUMMYFUNCTION("IFERROR(VLOOKUP(E743&amp;F743,IMPORTRANGE(""https://docs.google.com/spreadsheets/d/1Uw7-A9f9R21vMXxHZFNpYNeKFtG8_yji4HS352LGlSQ/edit?pli=1#gid=0"",""1_ACUM!A4:S""),15,FALSE))"),"")</f>
        <v/>
      </c>
      <c r="AG720" s="43" t="str">
        <f ca="1">IFERROR(__xludf.DUMMYFUNCTION("IFERROR(VLOOKUP(E743&amp;F743,IMPORTRANGE(""https://docs.google.com/spreadsheets/d/1Uw7-A9f9R21vMXxHZFNpYNeKFtG8_yji4HS352LGlSQ/edit?pli=1#gid=0"",""1_ACUM!A4:S""),16,FALSE))"),"")</f>
        <v/>
      </c>
      <c r="AH720" s="43" t="str">
        <f ca="1">IFERROR(__xludf.DUMMYFUNCTION("IFERROR(VLOOKUP(E743&amp;F743,IMPORTRANGE(""https://docs.google.com/spreadsheets/d/1Uw7-A9f9R21vMXxHZFNpYNeKFtG8_yji4HS352LGlSQ/edit?pli=1#gid=0"",""1_ACUM!A4:S""),17,FALSE))"),"")</f>
        <v/>
      </c>
      <c r="AI720" s="44" t="str">
        <f ca="1">IFERROR(__xludf.DUMMYFUNCTION("IFERROR(VLOOKUP(E743&amp;F743,IMPORTRANGE(""https://docs.google.com/spreadsheets/d/1Uw7-A9f9R21vMXxHZFNpYNeKFtG8_yji4HS352LGlSQ/edit?pli=1#gid=0"",""1_ACUM!A4:S""),18,FALSE))"),"")</f>
        <v/>
      </c>
      <c r="AJ720" s="44" t="str">
        <f ca="1">IFERROR(__xludf.DUMMYFUNCTION("IFERROR(VLOOKUP(E743&amp;F743,IMPORTRANGE(""https://docs.google.com/spreadsheets/d/1Uw7-A9f9R21vMXxHZFNpYNeKFtG8_yji4HS352LGlSQ/edit?pli=1#gid=0"",""1_ACUM!A4:S""),19,FALSE))"),"")</f>
        <v/>
      </c>
      <c r="AK720" s="98" t="str">
        <f ca="1">IFERROR(__xludf.DUMMYFUNCTION("IFERROR(VLOOKUP(F743,IMPORTRANGE(""https://docs.google.com/spreadsheets/d/1Kvs4KS76FHFqLFIZfrDMff4kP08nblUkihrxltoGBjg/edit#gid=934712705"",""ESENCIAL!A6:BG""),5,FALSE))"),"")</f>
        <v/>
      </c>
      <c r="AL720" s="98" t="str">
        <f t="shared" si="44"/>
        <v/>
      </c>
      <c r="AM720" s="99" t="str">
        <f t="shared" si="45"/>
        <v/>
      </c>
      <c r="AN720" s="100" t="str">
        <f ca="1">IFERROR(__xludf.DUMMYFUNCTION("IFERROR(VLOOKUP(F743,IMPORTRANGE(""https://docs.google.com/spreadsheets/d/1Kvs4KS76FHFqLFIZfrDMff4kP08nblUkihrxltoGBjg/edit#gid=934712705"",""ESENCIAL!A6:BG""),2,FALSE))"),"")</f>
        <v/>
      </c>
      <c r="AO720" s="19" t="str">
        <f t="shared" si="33"/>
        <v/>
      </c>
      <c r="AP720" s="100"/>
      <c r="AQ720" s="100"/>
    </row>
    <row r="721" spans="1:43" ht="15">
      <c r="A721" s="5"/>
      <c r="B721" s="5"/>
      <c r="G721" s="5" t="str">
        <f ca="1">IFERROR(__xludf.DUMMYFUNCTION("IFERROR(VLOOKUP(F744,IMPORTRANGE(""https://docs.google.com/spreadsheets/d/1Kvs4KS76FHFqLFIZfrDMff4kP08nblUkihrxltoGBjg/edit#gid=934712705"",""ESENCIAL!A6:BG""),3,FALSE))"),"")</f>
        <v/>
      </c>
      <c r="H721" s="5" t="str">
        <f ca="1">IFERROR(__xludf.DUMMYFUNCTION("IFERROR(VLOOKUP(F744,IMPORTRANGE(""https://docs.google.com/spreadsheets/d/1Kvs4KS76FHFqLFIZfrDMff4kP08nblUkihrxltoGBjg/edit#gid=934712705"",""ESENCIAL!A6:BG""),8,FALSE))"),"")</f>
        <v/>
      </c>
      <c r="L721" s="40"/>
      <c r="Z721" s="41" t="str">
        <f t="shared" si="43"/>
        <v/>
      </c>
      <c r="AA721" s="5" t="str">
        <f ca="1">IFERROR(__xludf.DUMMYFUNCTION("IFERROR(VLOOKUP(E744&amp;F744,IMPORTRANGE(""https://docs.google.com/spreadsheets/d/1Uw7-A9f9R21vMXxHZFNpYNeKFtG8_yji4HS352LGlSQ/edit?pli=1#gid=0"",""1_ACUM!A4:S""),11,FALSE))"),"")</f>
        <v/>
      </c>
      <c r="AB721" s="42" t="str">
        <f ca="1">IFERROR(__xludf.DUMMYFUNCTION("IFERROR(VLOOKUP(F744,IMPORTRANGE(""https://docs.google.com/spreadsheets/d/1Kvs4KS76FHFqLFIZfrDMff4kP08nblUkihrxltoGBjg/edit#gid=934712705"",""ESENCIAL!A6:BG""),15,FALSE))"),"")</f>
        <v/>
      </c>
      <c r="AC721" s="110" t="str">
        <f ca="1">IFERROR(__xludf.DUMMYFUNCTION("IFERROR(VLOOKUP(E744&amp;F744,IMPORTRANGE(""https://docs.google.com/spreadsheets/d/1Uw7-A9f9R21vMXxHZFNpYNeKFtG8_yji4HS352LGlSQ/edit?pli=1#gid=0"",""1_ACUM!A4:S""),13,FALSE))"),"")</f>
        <v/>
      </c>
      <c r="AD721" s="43" t="str">
        <f ca="1">IFERROR(__xludf.DUMMYFUNCTION("IFERROR(VLOOKUP(E744&amp;F744,IMPORTRANGE(""https://docs.google.com/spreadsheets/d/1Uw7-A9f9R21vMXxHZFNpYNeKFtG8_yji4HS352LGlSQ/edit?pli=1#gid=0"",""1_ACUM!A4:S""),13,FALSE))"),"")</f>
        <v/>
      </c>
      <c r="AE721" s="43" t="str">
        <f ca="1">IFERROR(__xludf.DUMMYFUNCTION("IFERROR(VLOOKUP(E744&amp;F744,IMPORTRANGE(""https://docs.google.com/spreadsheets/d/1Uw7-A9f9R21vMXxHZFNpYNeKFtG8_yji4HS352LGlSQ/edit?pli=1#gid=0"",""1_ACUM!A4:S""),14,FALSE))"),"")</f>
        <v/>
      </c>
      <c r="AF721" s="43" t="str">
        <f ca="1">IFERROR(__xludf.DUMMYFUNCTION("IFERROR(VLOOKUP(E744&amp;F744,IMPORTRANGE(""https://docs.google.com/spreadsheets/d/1Uw7-A9f9R21vMXxHZFNpYNeKFtG8_yji4HS352LGlSQ/edit?pli=1#gid=0"",""1_ACUM!A4:S""),15,FALSE))"),"")</f>
        <v/>
      </c>
      <c r="AG721" s="43" t="str">
        <f ca="1">IFERROR(__xludf.DUMMYFUNCTION("IFERROR(VLOOKUP(E744&amp;F744,IMPORTRANGE(""https://docs.google.com/spreadsheets/d/1Uw7-A9f9R21vMXxHZFNpYNeKFtG8_yji4HS352LGlSQ/edit?pli=1#gid=0"",""1_ACUM!A4:S""),16,FALSE))"),"")</f>
        <v/>
      </c>
      <c r="AH721" s="43" t="str">
        <f ca="1">IFERROR(__xludf.DUMMYFUNCTION("IFERROR(VLOOKUP(E744&amp;F744,IMPORTRANGE(""https://docs.google.com/spreadsheets/d/1Uw7-A9f9R21vMXxHZFNpYNeKFtG8_yji4HS352LGlSQ/edit?pli=1#gid=0"",""1_ACUM!A4:S""),17,FALSE))"),"")</f>
        <v/>
      </c>
      <c r="AI721" s="44" t="str">
        <f ca="1">IFERROR(__xludf.DUMMYFUNCTION("IFERROR(VLOOKUP(E744&amp;F744,IMPORTRANGE(""https://docs.google.com/spreadsheets/d/1Uw7-A9f9R21vMXxHZFNpYNeKFtG8_yji4HS352LGlSQ/edit?pli=1#gid=0"",""1_ACUM!A4:S""),18,FALSE))"),"")</f>
        <v/>
      </c>
      <c r="AJ721" s="44" t="str">
        <f ca="1">IFERROR(__xludf.DUMMYFUNCTION("IFERROR(VLOOKUP(E744&amp;F744,IMPORTRANGE(""https://docs.google.com/spreadsheets/d/1Uw7-A9f9R21vMXxHZFNpYNeKFtG8_yji4HS352LGlSQ/edit?pli=1#gid=0"",""1_ACUM!A4:S""),19,FALSE))"),"")</f>
        <v/>
      </c>
      <c r="AK721" s="98" t="str">
        <f ca="1">IFERROR(__xludf.DUMMYFUNCTION("IFERROR(VLOOKUP(F744,IMPORTRANGE(""https://docs.google.com/spreadsheets/d/1Kvs4KS76FHFqLFIZfrDMff4kP08nblUkihrxltoGBjg/edit#gid=934712705"",""ESENCIAL!A6:BG""),5,FALSE))"),"")</f>
        <v/>
      </c>
      <c r="AL721" s="98" t="str">
        <f t="shared" si="44"/>
        <v/>
      </c>
      <c r="AM721" s="99" t="str">
        <f t="shared" si="45"/>
        <v/>
      </c>
      <c r="AN721" s="100" t="str">
        <f ca="1">IFERROR(__xludf.DUMMYFUNCTION("IFERROR(VLOOKUP(F744,IMPORTRANGE(""https://docs.google.com/spreadsheets/d/1Kvs4KS76FHFqLFIZfrDMff4kP08nblUkihrxltoGBjg/edit#gid=934712705"",""ESENCIAL!A6:BG""),2,FALSE))"),"")</f>
        <v/>
      </c>
      <c r="AO721" s="19" t="str">
        <f t="shared" si="33"/>
        <v/>
      </c>
      <c r="AP721" s="100"/>
      <c r="AQ721" s="100"/>
    </row>
    <row r="722" spans="1:43" ht="15">
      <c r="A722" s="5"/>
      <c r="B722" s="5"/>
      <c r="G722" s="5" t="str">
        <f ca="1">IFERROR(__xludf.DUMMYFUNCTION("IFERROR(VLOOKUP(F745,IMPORTRANGE(""https://docs.google.com/spreadsheets/d/1Kvs4KS76FHFqLFIZfrDMff4kP08nblUkihrxltoGBjg/edit#gid=934712705"",""ESENCIAL!A6:BG""),3,FALSE))"),"")</f>
        <v/>
      </c>
      <c r="H722" s="5" t="str">
        <f ca="1">IFERROR(__xludf.DUMMYFUNCTION("IFERROR(VLOOKUP(F745,IMPORTRANGE(""https://docs.google.com/spreadsheets/d/1Kvs4KS76FHFqLFIZfrDMff4kP08nblUkihrxltoGBjg/edit#gid=934712705"",""ESENCIAL!A6:BG""),8,FALSE))"),"")</f>
        <v/>
      </c>
      <c r="L722" s="40"/>
      <c r="Z722" s="41" t="str">
        <f t="shared" si="43"/>
        <v/>
      </c>
      <c r="AA722" s="5" t="str">
        <f ca="1">IFERROR(__xludf.DUMMYFUNCTION("IFERROR(VLOOKUP(E745&amp;F745,IMPORTRANGE(""https://docs.google.com/spreadsheets/d/1Uw7-A9f9R21vMXxHZFNpYNeKFtG8_yji4HS352LGlSQ/edit?pli=1#gid=0"",""1_ACUM!A4:S""),11,FALSE))"),"")</f>
        <v/>
      </c>
      <c r="AB722" s="42" t="str">
        <f ca="1">IFERROR(__xludf.DUMMYFUNCTION("IFERROR(VLOOKUP(F745,IMPORTRANGE(""https://docs.google.com/spreadsheets/d/1Kvs4KS76FHFqLFIZfrDMff4kP08nblUkihrxltoGBjg/edit#gid=934712705"",""ESENCIAL!A6:BG""),15,FALSE))"),"")</f>
        <v/>
      </c>
      <c r="AC722" s="110" t="str">
        <f ca="1">IFERROR(__xludf.DUMMYFUNCTION("IFERROR(VLOOKUP(E745&amp;F745,IMPORTRANGE(""https://docs.google.com/spreadsheets/d/1Uw7-A9f9R21vMXxHZFNpYNeKFtG8_yji4HS352LGlSQ/edit?pli=1#gid=0"",""1_ACUM!A4:S""),13,FALSE))"),"")</f>
        <v/>
      </c>
      <c r="AD722" s="43" t="str">
        <f ca="1">IFERROR(__xludf.DUMMYFUNCTION("IFERROR(VLOOKUP(E745&amp;F745,IMPORTRANGE(""https://docs.google.com/spreadsheets/d/1Uw7-A9f9R21vMXxHZFNpYNeKFtG8_yji4HS352LGlSQ/edit?pli=1#gid=0"",""1_ACUM!A4:S""),13,FALSE))"),"")</f>
        <v/>
      </c>
      <c r="AE722" s="43" t="str">
        <f ca="1">IFERROR(__xludf.DUMMYFUNCTION("IFERROR(VLOOKUP(E745&amp;F745,IMPORTRANGE(""https://docs.google.com/spreadsheets/d/1Uw7-A9f9R21vMXxHZFNpYNeKFtG8_yji4HS352LGlSQ/edit?pli=1#gid=0"",""1_ACUM!A4:S""),14,FALSE))"),"")</f>
        <v/>
      </c>
      <c r="AF722" s="43" t="str">
        <f ca="1">IFERROR(__xludf.DUMMYFUNCTION("IFERROR(VLOOKUP(E745&amp;F745,IMPORTRANGE(""https://docs.google.com/spreadsheets/d/1Uw7-A9f9R21vMXxHZFNpYNeKFtG8_yji4HS352LGlSQ/edit?pli=1#gid=0"",""1_ACUM!A4:S""),15,FALSE))"),"")</f>
        <v/>
      </c>
      <c r="AG722" s="43" t="str">
        <f ca="1">IFERROR(__xludf.DUMMYFUNCTION("IFERROR(VLOOKUP(E745&amp;F745,IMPORTRANGE(""https://docs.google.com/spreadsheets/d/1Uw7-A9f9R21vMXxHZFNpYNeKFtG8_yji4HS352LGlSQ/edit?pli=1#gid=0"",""1_ACUM!A4:S""),16,FALSE))"),"")</f>
        <v/>
      </c>
      <c r="AH722" s="43" t="str">
        <f ca="1">IFERROR(__xludf.DUMMYFUNCTION("IFERROR(VLOOKUP(E745&amp;F745,IMPORTRANGE(""https://docs.google.com/spreadsheets/d/1Uw7-A9f9R21vMXxHZFNpYNeKFtG8_yji4HS352LGlSQ/edit?pli=1#gid=0"",""1_ACUM!A4:S""),17,FALSE))"),"")</f>
        <v/>
      </c>
      <c r="AI722" s="44" t="str">
        <f ca="1">IFERROR(__xludf.DUMMYFUNCTION("IFERROR(VLOOKUP(E745&amp;F745,IMPORTRANGE(""https://docs.google.com/spreadsheets/d/1Uw7-A9f9R21vMXxHZFNpYNeKFtG8_yji4HS352LGlSQ/edit?pli=1#gid=0"",""1_ACUM!A4:S""),18,FALSE))"),"")</f>
        <v/>
      </c>
      <c r="AJ722" s="44" t="str">
        <f ca="1">IFERROR(__xludf.DUMMYFUNCTION("IFERROR(VLOOKUP(E745&amp;F745,IMPORTRANGE(""https://docs.google.com/spreadsheets/d/1Uw7-A9f9R21vMXxHZFNpYNeKFtG8_yji4HS352LGlSQ/edit?pli=1#gid=0"",""1_ACUM!A4:S""),19,FALSE))"),"")</f>
        <v/>
      </c>
      <c r="AK722" s="98" t="str">
        <f ca="1">IFERROR(__xludf.DUMMYFUNCTION("IFERROR(VLOOKUP(F745,IMPORTRANGE(""https://docs.google.com/spreadsheets/d/1Kvs4KS76FHFqLFIZfrDMff4kP08nblUkihrxltoGBjg/edit#gid=934712705"",""ESENCIAL!A6:BG""),5,FALSE))"),"")</f>
        <v/>
      </c>
      <c r="AL722" s="98" t="str">
        <f t="shared" si="44"/>
        <v/>
      </c>
      <c r="AM722" s="99" t="str">
        <f t="shared" si="45"/>
        <v/>
      </c>
      <c r="AN722" s="100" t="str">
        <f ca="1">IFERROR(__xludf.DUMMYFUNCTION("IFERROR(VLOOKUP(F745,IMPORTRANGE(""https://docs.google.com/spreadsheets/d/1Kvs4KS76FHFqLFIZfrDMff4kP08nblUkihrxltoGBjg/edit#gid=934712705"",""ESENCIAL!A6:BG""),2,FALSE))"),"")</f>
        <v/>
      </c>
      <c r="AO722" s="19" t="str">
        <f t="shared" si="33"/>
        <v/>
      </c>
      <c r="AP722" s="100"/>
      <c r="AQ722" s="100"/>
    </row>
    <row r="723" spans="1:43" ht="15">
      <c r="A723" s="5"/>
      <c r="B723" s="5"/>
      <c r="G723" s="5" t="str">
        <f ca="1">IFERROR(__xludf.DUMMYFUNCTION("IFERROR(VLOOKUP(F746,IMPORTRANGE(""https://docs.google.com/spreadsheets/d/1Kvs4KS76FHFqLFIZfrDMff4kP08nblUkihrxltoGBjg/edit#gid=934712705"",""ESENCIAL!A6:BG""),3,FALSE))"),"")</f>
        <v/>
      </c>
      <c r="H723" s="5" t="str">
        <f ca="1">IFERROR(__xludf.DUMMYFUNCTION("IFERROR(VLOOKUP(F746,IMPORTRANGE(""https://docs.google.com/spreadsheets/d/1Kvs4KS76FHFqLFIZfrDMff4kP08nblUkihrxltoGBjg/edit#gid=934712705"",""ESENCIAL!A6:BG""),8,FALSE))"),"")</f>
        <v/>
      </c>
      <c r="L723" s="40"/>
      <c r="Z723" s="41" t="str">
        <f t="shared" si="43"/>
        <v/>
      </c>
      <c r="AA723" s="5" t="str">
        <f ca="1">IFERROR(__xludf.DUMMYFUNCTION("IFERROR(VLOOKUP(E746&amp;F746,IMPORTRANGE(""https://docs.google.com/spreadsheets/d/1Uw7-A9f9R21vMXxHZFNpYNeKFtG8_yji4HS352LGlSQ/edit?pli=1#gid=0"",""1_ACUM!A4:S""),11,FALSE))"),"")</f>
        <v/>
      </c>
      <c r="AB723" s="42" t="str">
        <f ca="1">IFERROR(__xludf.DUMMYFUNCTION("IFERROR(VLOOKUP(F746,IMPORTRANGE(""https://docs.google.com/spreadsheets/d/1Kvs4KS76FHFqLFIZfrDMff4kP08nblUkihrxltoGBjg/edit#gid=934712705"",""ESENCIAL!A6:BG""),15,FALSE))"),"")</f>
        <v/>
      </c>
      <c r="AC723" s="110" t="str">
        <f ca="1">IFERROR(__xludf.DUMMYFUNCTION("IFERROR(VLOOKUP(E746&amp;F746,IMPORTRANGE(""https://docs.google.com/spreadsheets/d/1Uw7-A9f9R21vMXxHZFNpYNeKFtG8_yji4HS352LGlSQ/edit?pli=1#gid=0"",""1_ACUM!A4:S""),13,FALSE))"),"")</f>
        <v/>
      </c>
      <c r="AD723" s="43" t="str">
        <f ca="1">IFERROR(__xludf.DUMMYFUNCTION("IFERROR(VLOOKUP(E746&amp;F746,IMPORTRANGE(""https://docs.google.com/spreadsheets/d/1Uw7-A9f9R21vMXxHZFNpYNeKFtG8_yji4HS352LGlSQ/edit?pli=1#gid=0"",""1_ACUM!A4:S""),13,FALSE))"),"")</f>
        <v/>
      </c>
      <c r="AE723" s="43" t="str">
        <f ca="1">IFERROR(__xludf.DUMMYFUNCTION("IFERROR(VLOOKUP(E746&amp;F746,IMPORTRANGE(""https://docs.google.com/spreadsheets/d/1Uw7-A9f9R21vMXxHZFNpYNeKFtG8_yji4HS352LGlSQ/edit?pli=1#gid=0"",""1_ACUM!A4:S""),14,FALSE))"),"")</f>
        <v/>
      </c>
      <c r="AF723" s="43" t="str">
        <f ca="1">IFERROR(__xludf.DUMMYFUNCTION("IFERROR(VLOOKUP(E746&amp;F746,IMPORTRANGE(""https://docs.google.com/spreadsheets/d/1Uw7-A9f9R21vMXxHZFNpYNeKFtG8_yji4HS352LGlSQ/edit?pli=1#gid=0"",""1_ACUM!A4:S""),15,FALSE))"),"")</f>
        <v/>
      </c>
      <c r="AG723" s="43" t="str">
        <f ca="1">IFERROR(__xludf.DUMMYFUNCTION("IFERROR(VLOOKUP(E746&amp;F746,IMPORTRANGE(""https://docs.google.com/spreadsheets/d/1Uw7-A9f9R21vMXxHZFNpYNeKFtG8_yji4HS352LGlSQ/edit?pli=1#gid=0"",""1_ACUM!A4:S""),16,FALSE))"),"")</f>
        <v/>
      </c>
      <c r="AH723" s="43" t="str">
        <f ca="1">IFERROR(__xludf.DUMMYFUNCTION("IFERROR(VLOOKUP(E746&amp;F746,IMPORTRANGE(""https://docs.google.com/spreadsheets/d/1Uw7-A9f9R21vMXxHZFNpYNeKFtG8_yji4HS352LGlSQ/edit?pli=1#gid=0"",""1_ACUM!A4:S""),17,FALSE))"),"")</f>
        <v/>
      </c>
      <c r="AI723" s="44" t="str">
        <f ca="1">IFERROR(__xludf.DUMMYFUNCTION("IFERROR(VLOOKUP(E746&amp;F746,IMPORTRANGE(""https://docs.google.com/spreadsheets/d/1Uw7-A9f9R21vMXxHZFNpYNeKFtG8_yji4HS352LGlSQ/edit?pli=1#gid=0"",""1_ACUM!A4:S""),18,FALSE))"),"")</f>
        <v/>
      </c>
      <c r="AJ723" s="44" t="str">
        <f ca="1">IFERROR(__xludf.DUMMYFUNCTION("IFERROR(VLOOKUP(E746&amp;F746,IMPORTRANGE(""https://docs.google.com/spreadsheets/d/1Uw7-A9f9R21vMXxHZFNpYNeKFtG8_yji4HS352LGlSQ/edit?pli=1#gid=0"",""1_ACUM!A4:S""),19,FALSE))"),"")</f>
        <v/>
      </c>
      <c r="AK723" s="98" t="str">
        <f ca="1">IFERROR(__xludf.DUMMYFUNCTION("IFERROR(VLOOKUP(F746,IMPORTRANGE(""https://docs.google.com/spreadsheets/d/1Kvs4KS76FHFqLFIZfrDMff4kP08nblUkihrxltoGBjg/edit#gid=934712705"",""ESENCIAL!A6:BG""),5,FALSE))"),"")</f>
        <v/>
      </c>
      <c r="AL723" s="98" t="str">
        <f t="shared" si="44"/>
        <v/>
      </c>
      <c r="AM723" s="99" t="str">
        <f t="shared" si="45"/>
        <v/>
      </c>
      <c r="AN723" s="100" t="str">
        <f ca="1">IFERROR(__xludf.DUMMYFUNCTION("IFERROR(VLOOKUP(F746,IMPORTRANGE(""https://docs.google.com/spreadsheets/d/1Kvs4KS76FHFqLFIZfrDMff4kP08nblUkihrxltoGBjg/edit#gid=934712705"",""ESENCIAL!A6:BG""),2,FALSE))"),"")</f>
        <v/>
      </c>
      <c r="AO723" s="19" t="str">
        <f t="shared" si="33"/>
        <v/>
      </c>
      <c r="AP723" s="100"/>
      <c r="AQ723" s="100"/>
    </row>
    <row r="724" spans="1:43" ht="15">
      <c r="A724" s="5"/>
      <c r="B724" s="5"/>
      <c r="G724" s="5" t="str">
        <f ca="1">IFERROR(__xludf.DUMMYFUNCTION("IFERROR(VLOOKUP(F747,IMPORTRANGE(""https://docs.google.com/spreadsheets/d/1Kvs4KS76FHFqLFIZfrDMff4kP08nblUkihrxltoGBjg/edit#gid=934712705"",""ESENCIAL!A6:BG""),3,FALSE))"),"")</f>
        <v/>
      </c>
      <c r="H724" s="5" t="str">
        <f ca="1">IFERROR(__xludf.DUMMYFUNCTION("IFERROR(VLOOKUP(F747,IMPORTRANGE(""https://docs.google.com/spreadsheets/d/1Kvs4KS76FHFqLFIZfrDMff4kP08nblUkihrxltoGBjg/edit#gid=934712705"",""ESENCIAL!A6:BG""),8,FALSE))"),"")</f>
        <v/>
      </c>
      <c r="L724" s="40"/>
      <c r="Z724" s="41" t="str">
        <f t="shared" si="43"/>
        <v/>
      </c>
      <c r="AA724" s="5" t="str">
        <f ca="1">IFERROR(__xludf.DUMMYFUNCTION("IFERROR(VLOOKUP(E747&amp;F747,IMPORTRANGE(""https://docs.google.com/spreadsheets/d/1Uw7-A9f9R21vMXxHZFNpYNeKFtG8_yji4HS352LGlSQ/edit?pli=1#gid=0"",""1_ACUM!A4:S""),11,FALSE))"),"")</f>
        <v/>
      </c>
      <c r="AB724" s="42" t="str">
        <f ca="1">IFERROR(__xludf.DUMMYFUNCTION("IFERROR(VLOOKUP(F747,IMPORTRANGE(""https://docs.google.com/spreadsheets/d/1Kvs4KS76FHFqLFIZfrDMff4kP08nblUkihrxltoGBjg/edit#gid=934712705"",""ESENCIAL!A6:BG""),15,FALSE))"),"")</f>
        <v/>
      </c>
      <c r="AC724" s="110" t="str">
        <f ca="1">IFERROR(__xludf.DUMMYFUNCTION("IFERROR(VLOOKUP(E747&amp;F747,IMPORTRANGE(""https://docs.google.com/spreadsheets/d/1Uw7-A9f9R21vMXxHZFNpYNeKFtG8_yji4HS352LGlSQ/edit?pli=1#gid=0"",""1_ACUM!A4:S""),13,FALSE))"),"")</f>
        <v/>
      </c>
      <c r="AD724" s="43" t="str">
        <f ca="1">IFERROR(__xludf.DUMMYFUNCTION("IFERROR(VLOOKUP(E747&amp;F747,IMPORTRANGE(""https://docs.google.com/spreadsheets/d/1Uw7-A9f9R21vMXxHZFNpYNeKFtG8_yji4HS352LGlSQ/edit?pli=1#gid=0"",""1_ACUM!A4:S""),13,FALSE))"),"")</f>
        <v/>
      </c>
      <c r="AE724" s="43" t="str">
        <f ca="1">IFERROR(__xludf.DUMMYFUNCTION("IFERROR(VLOOKUP(E747&amp;F747,IMPORTRANGE(""https://docs.google.com/spreadsheets/d/1Uw7-A9f9R21vMXxHZFNpYNeKFtG8_yji4HS352LGlSQ/edit?pli=1#gid=0"",""1_ACUM!A4:S""),14,FALSE))"),"")</f>
        <v/>
      </c>
      <c r="AF724" s="43" t="str">
        <f ca="1">IFERROR(__xludf.DUMMYFUNCTION("IFERROR(VLOOKUP(E747&amp;F747,IMPORTRANGE(""https://docs.google.com/spreadsheets/d/1Uw7-A9f9R21vMXxHZFNpYNeKFtG8_yji4HS352LGlSQ/edit?pli=1#gid=0"",""1_ACUM!A4:S""),15,FALSE))"),"")</f>
        <v/>
      </c>
      <c r="AG724" s="43" t="str">
        <f ca="1">IFERROR(__xludf.DUMMYFUNCTION("IFERROR(VLOOKUP(E747&amp;F747,IMPORTRANGE(""https://docs.google.com/spreadsheets/d/1Uw7-A9f9R21vMXxHZFNpYNeKFtG8_yji4HS352LGlSQ/edit?pli=1#gid=0"",""1_ACUM!A4:S""),16,FALSE))"),"")</f>
        <v/>
      </c>
      <c r="AH724" s="43" t="str">
        <f ca="1">IFERROR(__xludf.DUMMYFUNCTION("IFERROR(VLOOKUP(E747&amp;F747,IMPORTRANGE(""https://docs.google.com/spreadsheets/d/1Uw7-A9f9R21vMXxHZFNpYNeKFtG8_yji4HS352LGlSQ/edit?pli=1#gid=0"",""1_ACUM!A4:S""),17,FALSE))"),"")</f>
        <v/>
      </c>
      <c r="AI724" s="44" t="str">
        <f ca="1">IFERROR(__xludf.DUMMYFUNCTION("IFERROR(VLOOKUP(E747&amp;F747,IMPORTRANGE(""https://docs.google.com/spreadsheets/d/1Uw7-A9f9R21vMXxHZFNpYNeKFtG8_yji4HS352LGlSQ/edit?pli=1#gid=0"",""1_ACUM!A4:S""),18,FALSE))"),"")</f>
        <v/>
      </c>
      <c r="AJ724" s="44" t="str">
        <f ca="1">IFERROR(__xludf.DUMMYFUNCTION("IFERROR(VLOOKUP(E747&amp;F747,IMPORTRANGE(""https://docs.google.com/spreadsheets/d/1Uw7-A9f9R21vMXxHZFNpYNeKFtG8_yji4HS352LGlSQ/edit?pli=1#gid=0"",""1_ACUM!A4:S""),19,FALSE))"),"")</f>
        <v/>
      </c>
      <c r="AK724" s="98" t="str">
        <f ca="1">IFERROR(__xludf.DUMMYFUNCTION("IFERROR(VLOOKUP(F747,IMPORTRANGE(""https://docs.google.com/spreadsheets/d/1Kvs4KS76FHFqLFIZfrDMff4kP08nblUkihrxltoGBjg/edit#gid=934712705"",""ESENCIAL!A6:BG""),5,FALSE))"),"")</f>
        <v/>
      </c>
      <c r="AL724" s="98" t="str">
        <f t="shared" si="44"/>
        <v/>
      </c>
      <c r="AM724" s="99" t="str">
        <f t="shared" si="45"/>
        <v/>
      </c>
      <c r="AN724" s="100" t="str">
        <f ca="1">IFERROR(__xludf.DUMMYFUNCTION("IFERROR(VLOOKUP(F747,IMPORTRANGE(""https://docs.google.com/spreadsheets/d/1Kvs4KS76FHFqLFIZfrDMff4kP08nblUkihrxltoGBjg/edit#gid=934712705"",""ESENCIAL!A6:BG""),2,FALSE))"),"")</f>
        <v/>
      </c>
      <c r="AO724" s="19" t="str">
        <f t="shared" si="33"/>
        <v/>
      </c>
      <c r="AP724" s="100"/>
      <c r="AQ724" s="100"/>
    </row>
    <row r="725" spans="1:43" ht="15">
      <c r="A725" s="5"/>
      <c r="B725" s="5"/>
      <c r="G725" s="5" t="str">
        <f ca="1">IFERROR(__xludf.DUMMYFUNCTION("IFERROR(VLOOKUP(F748,IMPORTRANGE(""https://docs.google.com/spreadsheets/d/1Kvs4KS76FHFqLFIZfrDMff4kP08nblUkihrxltoGBjg/edit#gid=934712705"",""ESENCIAL!A6:BG""),3,FALSE))"),"")</f>
        <v/>
      </c>
      <c r="H725" s="5" t="str">
        <f ca="1">IFERROR(__xludf.DUMMYFUNCTION("IFERROR(VLOOKUP(F748,IMPORTRANGE(""https://docs.google.com/spreadsheets/d/1Kvs4KS76FHFqLFIZfrDMff4kP08nblUkihrxltoGBjg/edit#gid=934712705"",""ESENCIAL!A6:BG""),8,FALSE))"),"")</f>
        <v/>
      </c>
      <c r="L725" s="40"/>
      <c r="Z725" s="41" t="str">
        <f t="shared" si="43"/>
        <v/>
      </c>
      <c r="AA725" s="5" t="str">
        <f ca="1">IFERROR(__xludf.DUMMYFUNCTION("IFERROR(VLOOKUP(E748&amp;F748,IMPORTRANGE(""https://docs.google.com/spreadsheets/d/1Uw7-A9f9R21vMXxHZFNpYNeKFtG8_yji4HS352LGlSQ/edit?pli=1#gid=0"",""1_ACUM!A4:S""),11,FALSE))"),"")</f>
        <v/>
      </c>
      <c r="AB725" s="42" t="str">
        <f ca="1">IFERROR(__xludf.DUMMYFUNCTION("IFERROR(VLOOKUP(F748,IMPORTRANGE(""https://docs.google.com/spreadsheets/d/1Kvs4KS76FHFqLFIZfrDMff4kP08nblUkihrxltoGBjg/edit#gid=934712705"",""ESENCIAL!A6:BG""),15,FALSE))"),"")</f>
        <v/>
      </c>
      <c r="AC725" s="110" t="str">
        <f ca="1">IFERROR(__xludf.DUMMYFUNCTION("IFERROR(VLOOKUP(E748&amp;F748,IMPORTRANGE(""https://docs.google.com/spreadsheets/d/1Uw7-A9f9R21vMXxHZFNpYNeKFtG8_yji4HS352LGlSQ/edit?pli=1#gid=0"",""1_ACUM!A4:S""),13,FALSE))"),"")</f>
        <v/>
      </c>
      <c r="AD725" s="43" t="str">
        <f ca="1">IFERROR(__xludf.DUMMYFUNCTION("IFERROR(VLOOKUP(E748&amp;F748,IMPORTRANGE(""https://docs.google.com/spreadsheets/d/1Uw7-A9f9R21vMXxHZFNpYNeKFtG8_yji4HS352LGlSQ/edit?pli=1#gid=0"",""1_ACUM!A4:S""),13,FALSE))"),"")</f>
        <v/>
      </c>
      <c r="AE725" s="43" t="str">
        <f ca="1">IFERROR(__xludf.DUMMYFUNCTION("IFERROR(VLOOKUP(E748&amp;F748,IMPORTRANGE(""https://docs.google.com/spreadsheets/d/1Uw7-A9f9R21vMXxHZFNpYNeKFtG8_yji4HS352LGlSQ/edit?pli=1#gid=0"",""1_ACUM!A4:S""),14,FALSE))"),"")</f>
        <v/>
      </c>
      <c r="AF725" s="43" t="str">
        <f ca="1">IFERROR(__xludf.DUMMYFUNCTION("IFERROR(VLOOKUP(E748&amp;F748,IMPORTRANGE(""https://docs.google.com/spreadsheets/d/1Uw7-A9f9R21vMXxHZFNpYNeKFtG8_yji4HS352LGlSQ/edit?pli=1#gid=0"",""1_ACUM!A4:S""),15,FALSE))"),"")</f>
        <v/>
      </c>
      <c r="AG725" s="43" t="str">
        <f ca="1">IFERROR(__xludf.DUMMYFUNCTION("IFERROR(VLOOKUP(E748&amp;F748,IMPORTRANGE(""https://docs.google.com/spreadsheets/d/1Uw7-A9f9R21vMXxHZFNpYNeKFtG8_yji4HS352LGlSQ/edit?pli=1#gid=0"",""1_ACUM!A4:S""),16,FALSE))"),"")</f>
        <v/>
      </c>
      <c r="AH725" s="43" t="str">
        <f ca="1">IFERROR(__xludf.DUMMYFUNCTION("IFERROR(VLOOKUP(E748&amp;F748,IMPORTRANGE(""https://docs.google.com/spreadsheets/d/1Uw7-A9f9R21vMXxHZFNpYNeKFtG8_yji4HS352LGlSQ/edit?pli=1#gid=0"",""1_ACUM!A4:S""),17,FALSE))"),"")</f>
        <v/>
      </c>
      <c r="AI725" s="44" t="str">
        <f ca="1">IFERROR(__xludf.DUMMYFUNCTION("IFERROR(VLOOKUP(E748&amp;F748,IMPORTRANGE(""https://docs.google.com/spreadsheets/d/1Uw7-A9f9R21vMXxHZFNpYNeKFtG8_yji4HS352LGlSQ/edit?pli=1#gid=0"",""1_ACUM!A4:S""),18,FALSE))"),"")</f>
        <v/>
      </c>
      <c r="AJ725" s="44" t="str">
        <f ca="1">IFERROR(__xludf.DUMMYFUNCTION("IFERROR(VLOOKUP(E748&amp;F748,IMPORTRANGE(""https://docs.google.com/spreadsheets/d/1Uw7-A9f9R21vMXxHZFNpYNeKFtG8_yji4HS352LGlSQ/edit?pli=1#gid=0"",""1_ACUM!A4:S""),19,FALSE))"),"")</f>
        <v/>
      </c>
      <c r="AK725" s="98" t="str">
        <f ca="1">IFERROR(__xludf.DUMMYFUNCTION("IFERROR(VLOOKUP(F748,IMPORTRANGE(""https://docs.google.com/spreadsheets/d/1Kvs4KS76FHFqLFIZfrDMff4kP08nblUkihrxltoGBjg/edit#gid=934712705"",""ESENCIAL!A6:BG""),5,FALSE))"),"")</f>
        <v/>
      </c>
      <c r="AL725" s="98" t="str">
        <f t="shared" si="44"/>
        <v/>
      </c>
      <c r="AM725" s="99" t="str">
        <f t="shared" si="45"/>
        <v/>
      </c>
      <c r="AN725" s="100" t="str">
        <f ca="1">IFERROR(__xludf.DUMMYFUNCTION("IFERROR(VLOOKUP(F748,IMPORTRANGE(""https://docs.google.com/spreadsheets/d/1Kvs4KS76FHFqLFIZfrDMff4kP08nblUkihrxltoGBjg/edit#gid=934712705"",""ESENCIAL!A6:BG""),2,FALSE))"),"")</f>
        <v/>
      </c>
      <c r="AO725" s="19" t="str">
        <f t="shared" si="33"/>
        <v/>
      </c>
      <c r="AP725" s="100"/>
      <c r="AQ725" s="100"/>
    </row>
    <row r="726" spans="1:43" ht="15">
      <c r="A726" s="5"/>
      <c r="B726" s="5"/>
      <c r="G726" s="5" t="str">
        <f ca="1">IFERROR(__xludf.DUMMYFUNCTION("IFERROR(VLOOKUP(F749,IMPORTRANGE(""https://docs.google.com/spreadsheets/d/1Kvs4KS76FHFqLFIZfrDMff4kP08nblUkihrxltoGBjg/edit#gid=934712705"",""ESENCIAL!A6:BG""),3,FALSE))"),"")</f>
        <v/>
      </c>
      <c r="H726" s="5" t="str">
        <f ca="1">IFERROR(__xludf.DUMMYFUNCTION("IFERROR(VLOOKUP(F749,IMPORTRANGE(""https://docs.google.com/spreadsheets/d/1Kvs4KS76FHFqLFIZfrDMff4kP08nblUkihrxltoGBjg/edit#gid=934712705"",""ESENCIAL!A6:BG""),8,FALSE))"),"")</f>
        <v/>
      </c>
      <c r="L726" s="40"/>
      <c r="Z726" s="41" t="str">
        <f t="shared" si="43"/>
        <v/>
      </c>
      <c r="AA726" s="5" t="str">
        <f ca="1">IFERROR(__xludf.DUMMYFUNCTION("IFERROR(VLOOKUP(E749&amp;F749,IMPORTRANGE(""https://docs.google.com/spreadsheets/d/1Uw7-A9f9R21vMXxHZFNpYNeKFtG8_yji4HS352LGlSQ/edit?pli=1#gid=0"",""1_ACUM!A4:S""),11,FALSE))"),"")</f>
        <v/>
      </c>
      <c r="AB726" s="42" t="str">
        <f ca="1">IFERROR(__xludf.DUMMYFUNCTION("IFERROR(VLOOKUP(F749,IMPORTRANGE(""https://docs.google.com/spreadsheets/d/1Kvs4KS76FHFqLFIZfrDMff4kP08nblUkihrxltoGBjg/edit#gid=934712705"",""ESENCIAL!A6:BG""),15,FALSE))"),"")</f>
        <v/>
      </c>
      <c r="AC726" s="110" t="str">
        <f ca="1">IFERROR(__xludf.DUMMYFUNCTION("IFERROR(VLOOKUP(E749&amp;F749,IMPORTRANGE(""https://docs.google.com/spreadsheets/d/1Uw7-A9f9R21vMXxHZFNpYNeKFtG8_yji4HS352LGlSQ/edit?pli=1#gid=0"",""1_ACUM!A4:S""),13,FALSE))"),"")</f>
        <v/>
      </c>
      <c r="AD726" s="43" t="str">
        <f ca="1">IFERROR(__xludf.DUMMYFUNCTION("IFERROR(VLOOKUP(E749&amp;F749,IMPORTRANGE(""https://docs.google.com/spreadsheets/d/1Uw7-A9f9R21vMXxHZFNpYNeKFtG8_yji4HS352LGlSQ/edit?pli=1#gid=0"",""1_ACUM!A4:S""),13,FALSE))"),"")</f>
        <v/>
      </c>
      <c r="AE726" s="43" t="str">
        <f ca="1">IFERROR(__xludf.DUMMYFUNCTION("IFERROR(VLOOKUP(E749&amp;F749,IMPORTRANGE(""https://docs.google.com/spreadsheets/d/1Uw7-A9f9R21vMXxHZFNpYNeKFtG8_yji4HS352LGlSQ/edit?pli=1#gid=0"",""1_ACUM!A4:S""),14,FALSE))"),"")</f>
        <v/>
      </c>
      <c r="AF726" s="43" t="str">
        <f ca="1">IFERROR(__xludf.DUMMYFUNCTION("IFERROR(VLOOKUP(E749&amp;F749,IMPORTRANGE(""https://docs.google.com/spreadsheets/d/1Uw7-A9f9R21vMXxHZFNpYNeKFtG8_yji4HS352LGlSQ/edit?pli=1#gid=0"",""1_ACUM!A4:S""),15,FALSE))"),"")</f>
        <v/>
      </c>
      <c r="AG726" s="43" t="str">
        <f ca="1">IFERROR(__xludf.DUMMYFUNCTION("IFERROR(VLOOKUP(E749&amp;F749,IMPORTRANGE(""https://docs.google.com/spreadsheets/d/1Uw7-A9f9R21vMXxHZFNpYNeKFtG8_yji4HS352LGlSQ/edit?pli=1#gid=0"",""1_ACUM!A4:S""),16,FALSE))"),"")</f>
        <v/>
      </c>
      <c r="AH726" s="43" t="str">
        <f ca="1">IFERROR(__xludf.DUMMYFUNCTION("IFERROR(VLOOKUP(E749&amp;F749,IMPORTRANGE(""https://docs.google.com/spreadsheets/d/1Uw7-A9f9R21vMXxHZFNpYNeKFtG8_yji4HS352LGlSQ/edit?pli=1#gid=0"",""1_ACUM!A4:S""),17,FALSE))"),"")</f>
        <v/>
      </c>
      <c r="AI726" s="44" t="str">
        <f ca="1">IFERROR(__xludf.DUMMYFUNCTION("IFERROR(VLOOKUP(E749&amp;F749,IMPORTRANGE(""https://docs.google.com/spreadsheets/d/1Uw7-A9f9R21vMXxHZFNpYNeKFtG8_yji4HS352LGlSQ/edit?pli=1#gid=0"",""1_ACUM!A4:S""),18,FALSE))"),"")</f>
        <v/>
      </c>
      <c r="AJ726" s="44" t="str">
        <f ca="1">IFERROR(__xludf.DUMMYFUNCTION("IFERROR(VLOOKUP(E749&amp;F749,IMPORTRANGE(""https://docs.google.com/spreadsheets/d/1Uw7-A9f9R21vMXxHZFNpYNeKFtG8_yji4HS352LGlSQ/edit?pli=1#gid=0"",""1_ACUM!A4:S""),19,FALSE))"),"")</f>
        <v/>
      </c>
      <c r="AK726" s="98" t="str">
        <f ca="1">IFERROR(__xludf.DUMMYFUNCTION("IFERROR(VLOOKUP(F749,IMPORTRANGE(""https://docs.google.com/spreadsheets/d/1Kvs4KS76FHFqLFIZfrDMff4kP08nblUkihrxltoGBjg/edit#gid=934712705"",""ESENCIAL!A6:BG""),5,FALSE))"),"")</f>
        <v/>
      </c>
      <c r="AL726" s="98" t="str">
        <f t="shared" si="44"/>
        <v/>
      </c>
      <c r="AM726" s="99" t="str">
        <f t="shared" si="45"/>
        <v/>
      </c>
      <c r="AN726" s="100" t="str">
        <f ca="1">IFERROR(__xludf.DUMMYFUNCTION("IFERROR(VLOOKUP(F749,IMPORTRANGE(""https://docs.google.com/spreadsheets/d/1Kvs4KS76FHFqLFIZfrDMff4kP08nblUkihrxltoGBjg/edit#gid=934712705"",""ESENCIAL!A6:BG""),2,FALSE))"),"")</f>
        <v/>
      </c>
      <c r="AO726" s="19" t="str">
        <f t="shared" si="33"/>
        <v/>
      </c>
      <c r="AP726" s="100"/>
      <c r="AQ726" s="100"/>
    </row>
    <row r="727" spans="1:43" ht="15">
      <c r="A727" s="5"/>
      <c r="B727" s="5"/>
      <c r="G727" s="5" t="str">
        <f ca="1">IFERROR(__xludf.DUMMYFUNCTION("IFERROR(VLOOKUP(F750,IMPORTRANGE(""https://docs.google.com/spreadsheets/d/1Kvs4KS76FHFqLFIZfrDMff4kP08nblUkihrxltoGBjg/edit#gid=934712705"",""ESENCIAL!A6:BG""),3,FALSE))"),"")</f>
        <v/>
      </c>
      <c r="H727" s="5" t="str">
        <f ca="1">IFERROR(__xludf.DUMMYFUNCTION("IFERROR(VLOOKUP(F750,IMPORTRANGE(""https://docs.google.com/spreadsheets/d/1Kvs4KS76FHFqLFIZfrDMff4kP08nblUkihrxltoGBjg/edit#gid=934712705"",""ESENCIAL!A6:BG""),8,FALSE))"),"")</f>
        <v/>
      </c>
      <c r="L727" s="40"/>
      <c r="Z727" s="41" t="str">
        <f t="shared" si="43"/>
        <v/>
      </c>
      <c r="AA727" s="5" t="str">
        <f ca="1">IFERROR(__xludf.DUMMYFUNCTION("IFERROR(VLOOKUP(E750&amp;F750,IMPORTRANGE(""https://docs.google.com/spreadsheets/d/1Uw7-A9f9R21vMXxHZFNpYNeKFtG8_yji4HS352LGlSQ/edit?pli=1#gid=0"",""1_ACUM!A4:S""),11,FALSE))"),"")</f>
        <v/>
      </c>
      <c r="AB727" s="42" t="str">
        <f ca="1">IFERROR(__xludf.DUMMYFUNCTION("IFERROR(VLOOKUP(F750,IMPORTRANGE(""https://docs.google.com/spreadsheets/d/1Kvs4KS76FHFqLFIZfrDMff4kP08nblUkihrxltoGBjg/edit#gid=934712705"",""ESENCIAL!A6:BG""),15,FALSE))"),"")</f>
        <v/>
      </c>
      <c r="AC727" s="110" t="str">
        <f ca="1">IFERROR(__xludf.DUMMYFUNCTION("IFERROR(VLOOKUP(E750&amp;F750,IMPORTRANGE(""https://docs.google.com/spreadsheets/d/1Uw7-A9f9R21vMXxHZFNpYNeKFtG8_yji4HS352LGlSQ/edit?pli=1#gid=0"",""1_ACUM!A4:S""),13,FALSE))"),"")</f>
        <v/>
      </c>
      <c r="AD727" s="43" t="str">
        <f ca="1">IFERROR(__xludf.DUMMYFUNCTION("IFERROR(VLOOKUP(E750&amp;F750,IMPORTRANGE(""https://docs.google.com/spreadsheets/d/1Uw7-A9f9R21vMXxHZFNpYNeKFtG8_yji4HS352LGlSQ/edit?pli=1#gid=0"",""1_ACUM!A4:S""),13,FALSE))"),"")</f>
        <v/>
      </c>
      <c r="AE727" s="43" t="str">
        <f ca="1">IFERROR(__xludf.DUMMYFUNCTION("IFERROR(VLOOKUP(E750&amp;F750,IMPORTRANGE(""https://docs.google.com/spreadsheets/d/1Uw7-A9f9R21vMXxHZFNpYNeKFtG8_yji4HS352LGlSQ/edit?pli=1#gid=0"",""1_ACUM!A4:S""),14,FALSE))"),"")</f>
        <v/>
      </c>
      <c r="AF727" s="43" t="str">
        <f ca="1">IFERROR(__xludf.DUMMYFUNCTION("IFERROR(VLOOKUP(E750&amp;F750,IMPORTRANGE(""https://docs.google.com/spreadsheets/d/1Uw7-A9f9R21vMXxHZFNpYNeKFtG8_yji4HS352LGlSQ/edit?pli=1#gid=0"",""1_ACUM!A4:S""),15,FALSE))"),"")</f>
        <v/>
      </c>
      <c r="AG727" s="43" t="str">
        <f ca="1">IFERROR(__xludf.DUMMYFUNCTION("IFERROR(VLOOKUP(E750&amp;F750,IMPORTRANGE(""https://docs.google.com/spreadsheets/d/1Uw7-A9f9R21vMXxHZFNpYNeKFtG8_yji4HS352LGlSQ/edit?pli=1#gid=0"",""1_ACUM!A4:S""),16,FALSE))"),"")</f>
        <v/>
      </c>
      <c r="AH727" s="43" t="str">
        <f ca="1">IFERROR(__xludf.DUMMYFUNCTION("IFERROR(VLOOKUP(E750&amp;F750,IMPORTRANGE(""https://docs.google.com/spreadsheets/d/1Uw7-A9f9R21vMXxHZFNpYNeKFtG8_yji4HS352LGlSQ/edit?pli=1#gid=0"",""1_ACUM!A4:S""),17,FALSE))"),"")</f>
        <v/>
      </c>
      <c r="AI727" s="44" t="str">
        <f ca="1">IFERROR(__xludf.DUMMYFUNCTION("IFERROR(VLOOKUP(E750&amp;F750,IMPORTRANGE(""https://docs.google.com/spreadsheets/d/1Uw7-A9f9R21vMXxHZFNpYNeKFtG8_yji4HS352LGlSQ/edit?pli=1#gid=0"",""1_ACUM!A4:S""),18,FALSE))"),"")</f>
        <v/>
      </c>
      <c r="AJ727" s="44" t="str">
        <f ca="1">IFERROR(__xludf.DUMMYFUNCTION("IFERROR(VLOOKUP(E750&amp;F750,IMPORTRANGE(""https://docs.google.com/spreadsheets/d/1Uw7-A9f9R21vMXxHZFNpYNeKFtG8_yji4HS352LGlSQ/edit?pli=1#gid=0"",""1_ACUM!A4:S""),19,FALSE))"),"")</f>
        <v/>
      </c>
      <c r="AK727" s="98" t="str">
        <f ca="1">IFERROR(__xludf.DUMMYFUNCTION("IFERROR(VLOOKUP(F750,IMPORTRANGE(""https://docs.google.com/spreadsheets/d/1Kvs4KS76FHFqLFIZfrDMff4kP08nblUkihrxltoGBjg/edit#gid=934712705"",""ESENCIAL!A6:BG""),5,FALSE))"),"")</f>
        <v/>
      </c>
      <c r="AL727" s="98" t="str">
        <f t="shared" si="44"/>
        <v/>
      </c>
      <c r="AM727" s="99" t="str">
        <f t="shared" si="45"/>
        <v/>
      </c>
      <c r="AN727" s="100" t="str">
        <f ca="1">IFERROR(__xludf.DUMMYFUNCTION("IFERROR(VLOOKUP(F750,IMPORTRANGE(""https://docs.google.com/spreadsheets/d/1Kvs4KS76FHFqLFIZfrDMff4kP08nblUkihrxltoGBjg/edit#gid=934712705"",""ESENCIAL!A6:BG""),2,FALSE))"),"")</f>
        <v/>
      </c>
      <c r="AO727" s="19" t="str">
        <f t="shared" si="33"/>
        <v/>
      </c>
      <c r="AP727" s="100"/>
      <c r="AQ727" s="100"/>
    </row>
    <row r="728" spans="1:43" ht="15">
      <c r="A728" s="5"/>
      <c r="B728" s="5"/>
      <c r="G728" s="5" t="str">
        <f ca="1">IFERROR(__xludf.DUMMYFUNCTION("IFERROR(VLOOKUP(F751,IMPORTRANGE(""https://docs.google.com/spreadsheets/d/1Kvs4KS76FHFqLFIZfrDMff4kP08nblUkihrxltoGBjg/edit#gid=934712705"",""ESENCIAL!A6:BG""),3,FALSE))"),"")</f>
        <v/>
      </c>
      <c r="H728" s="5" t="str">
        <f ca="1">IFERROR(__xludf.DUMMYFUNCTION("IFERROR(VLOOKUP(F751,IMPORTRANGE(""https://docs.google.com/spreadsheets/d/1Kvs4KS76FHFqLFIZfrDMff4kP08nblUkihrxltoGBjg/edit#gid=934712705"",""ESENCIAL!A6:BG""),8,FALSE))"),"")</f>
        <v/>
      </c>
      <c r="L728" s="40"/>
      <c r="Z728" s="41" t="str">
        <f t="shared" si="43"/>
        <v/>
      </c>
      <c r="AA728" s="5" t="str">
        <f ca="1">IFERROR(__xludf.DUMMYFUNCTION("IFERROR(VLOOKUP(E751&amp;F751,IMPORTRANGE(""https://docs.google.com/spreadsheets/d/1Uw7-A9f9R21vMXxHZFNpYNeKFtG8_yji4HS352LGlSQ/edit?pli=1#gid=0"",""1_ACUM!A4:S""),11,FALSE))"),"")</f>
        <v/>
      </c>
      <c r="AB728" s="42" t="str">
        <f ca="1">IFERROR(__xludf.DUMMYFUNCTION("IFERROR(VLOOKUP(F751,IMPORTRANGE(""https://docs.google.com/spreadsheets/d/1Kvs4KS76FHFqLFIZfrDMff4kP08nblUkihrxltoGBjg/edit#gid=934712705"",""ESENCIAL!A6:BG""),15,FALSE))"),"")</f>
        <v/>
      </c>
      <c r="AC728" s="110" t="str">
        <f ca="1">IFERROR(__xludf.DUMMYFUNCTION("IFERROR(VLOOKUP(E751&amp;F751,IMPORTRANGE(""https://docs.google.com/spreadsheets/d/1Uw7-A9f9R21vMXxHZFNpYNeKFtG8_yji4HS352LGlSQ/edit?pli=1#gid=0"",""1_ACUM!A4:S""),13,FALSE))"),"")</f>
        <v/>
      </c>
      <c r="AD728" s="43" t="str">
        <f ca="1">IFERROR(__xludf.DUMMYFUNCTION("IFERROR(VLOOKUP(E751&amp;F751,IMPORTRANGE(""https://docs.google.com/spreadsheets/d/1Uw7-A9f9R21vMXxHZFNpYNeKFtG8_yji4HS352LGlSQ/edit?pli=1#gid=0"",""1_ACUM!A4:S""),13,FALSE))"),"")</f>
        <v/>
      </c>
      <c r="AE728" s="43" t="str">
        <f ca="1">IFERROR(__xludf.DUMMYFUNCTION("IFERROR(VLOOKUP(E751&amp;F751,IMPORTRANGE(""https://docs.google.com/spreadsheets/d/1Uw7-A9f9R21vMXxHZFNpYNeKFtG8_yji4HS352LGlSQ/edit?pli=1#gid=0"",""1_ACUM!A4:S""),14,FALSE))"),"")</f>
        <v/>
      </c>
      <c r="AF728" s="43" t="str">
        <f ca="1">IFERROR(__xludf.DUMMYFUNCTION("IFERROR(VLOOKUP(E751&amp;F751,IMPORTRANGE(""https://docs.google.com/spreadsheets/d/1Uw7-A9f9R21vMXxHZFNpYNeKFtG8_yji4HS352LGlSQ/edit?pli=1#gid=0"",""1_ACUM!A4:S""),15,FALSE))"),"")</f>
        <v/>
      </c>
      <c r="AG728" s="43" t="str">
        <f ca="1">IFERROR(__xludf.DUMMYFUNCTION("IFERROR(VLOOKUP(E751&amp;F751,IMPORTRANGE(""https://docs.google.com/spreadsheets/d/1Uw7-A9f9R21vMXxHZFNpYNeKFtG8_yji4HS352LGlSQ/edit?pli=1#gid=0"",""1_ACUM!A4:S""),16,FALSE))"),"")</f>
        <v/>
      </c>
      <c r="AH728" s="43" t="str">
        <f ca="1">IFERROR(__xludf.DUMMYFUNCTION("IFERROR(VLOOKUP(E751&amp;F751,IMPORTRANGE(""https://docs.google.com/spreadsheets/d/1Uw7-A9f9R21vMXxHZFNpYNeKFtG8_yji4HS352LGlSQ/edit?pli=1#gid=0"",""1_ACUM!A4:S""),17,FALSE))"),"")</f>
        <v/>
      </c>
      <c r="AI728" s="44" t="str">
        <f ca="1">IFERROR(__xludf.DUMMYFUNCTION("IFERROR(VLOOKUP(E751&amp;F751,IMPORTRANGE(""https://docs.google.com/spreadsheets/d/1Uw7-A9f9R21vMXxHZFNpYNeKFtG8_yji4HS352LGlSQ/edit?pli=1#gid=0"",""1_ACUM!A4:S""),18,FALSE))"),"")</f>
        <v/>
      </c>
      <c r="AJ728" s="44" t="str">
        <f ca="1">IFERROR(__xludf.DUMMYFUNCTION("IFERROR(VLOOKUP(E751&amp;F751,IMPORTRANGE(""https://docs.google.com/spreadsheets/d/1Uw7-A9f9R21vMXxHZFNpYNeKFtG8_yji4HS352LGlSQ/edit?pli=1#gid=0"",""1_ACUM!A4:S""),19,FALSE))"),"")</f>
        <v/>
      </c>
      <c r="AK728" s="98" t="str">
        <f ca="1">IFERROR(__xludf.DUMMYFUNCTION("IFERROR(VLOOKUP(F751,IMPORTRANGE(""https://docs.google.com/spreadsheets/d/1Kvs4KS76FHFqLFIZfrDMff4kP08nblUkihrxltoGBjg/edit#gid=934712705"",""ESENCIAL!A6:BG""),5,FALSE))"),"")</f>
        <v/>
      </c>
      <c r="AL728" s="98" t="str">
        <f t="shared" si="44"/>
        <v/>
      </c>
      <c r="AM728" s="99" t="str">
        <f t="shared" si="45"/>
        <v/>
      </c>
      <c r="AN728" s="100" t="str">
        <f ca="1">IFERROR(__xludf.DUMMYFUNCTION("IFERROR(VLOOKUP(F751,IMPORTRANGE(""https://docs.google.com/spreadsheets/d/1Kvs4KS76FHFqLFIZfrDMff4kP08nblUkihrxltoGBjg/edit#gid=934712705"",""ESENCIAL!A6:BG""),2,FALSE))"),"")</f>
        <v/>
      </c>
      <c r="AO728" s="19" t="str">
        <f t="shared" si="33"/>
        <v/>
      </c>
      <c r="AP728" s="100"/>
      <c r="AQ728" s="100"/>
    </row>
    <row r="729" spans="1:43" ht="15">
      <c r="A729" s="5"/>
      <c r="B729" s="5"/>
      <c r="G729" s="5" t="str">
        <f ca="1">IFERROR(__xludf.DUMMYFUNCTION("IFERROR(VLOOKUP(F752,IMPORTRANGE(""https://docs.google.com/spreadsheets/d/1Kvs4KS76FHFqLFIZfrDMff4kP08nblUkihrxltoGBjg/edit#gid=934712705"",""ESENCIAL!A6:BG""),3,FALSE))"),"")</f>
        <v/>
      </c>
      <c r="H729" s="5" t="str">
        <f ca="1">IFERROR(__xludf.DUMMYFUNCTION("IFERROR(VLOOKUP(F752,IMPORTRANGE(""https://docs.google.com/spreadsheets/d/1Kvs4KS76FHFqLFIZfrDMff4kP08nblUkihrxltoGBjg/edit#gid=934712705"",""ESENCIAL!A6:BG""),8,FALSE))"),"")</f>
        <v/>
      </c>
      <c r="L729" s="40"/>
      <c r="Z729" s="41" t="str">
        <f t="shared" si="43"/>
        <v/>
      </c>
      <c r="AA729" s="5" t="str">
        <f ca="1">IFERROR(__xludf.DUMMYFUNCTION("IFERROR(VLOOKUP(E752&amp;F752,IMPORTRANGE(""https://docs.google.com/spreadsheets/d/1Uw7-A9f9R21vMXxHZFNpYNeKFtG8_yji4HS352LGlSQ/edit?pli=1#gid=0"",""1_ACUM!A4:S""),11,FALSE))"),"")</f>
        <v/>
      </c>
      <c r="AB729" s="42" t="str">
        <f ca="1">IFERROR(__xludf.DUMMYFUNCTION("IFERROR(VLOOKUP(F752,IMPORTRANGE(""https://docs.google.com/spreadsheets/d/1Kvs4KS76FHFqLFIZfrDMff4kP08nblUkihrxltoGBjg/edit#gid=934712705"",""ESENCIAL!A6:BG""),15,FALSE))"),"")</f>
        <v/>
      </c>
      <c r="AC729" s="110" t="str">
        <f ca="1">IFERROR(__xludf.DUMMYFUNCTION("IFERROR(VLOOKUP(E752&amp;F752,IMPORTRANGE(""https://docs.google.com/spreadsheets/d/1Uw7-A9f9R21vMXxHZFNpYNeKFtG8_yji4HS352LGlSQ/edit?pli=1#gid=0"",""1_ACUM!A4:S""),13,FALSE))"),"")</f>
        <v/>
      </c>
      <c r="AD729" s="43" t="str">
        <f ca="1">IFERROR(__xludf.DUMMYFUNCTION("IFERROR(VLOOKUP(E752&amp;F752,IMPORTRANGE(""https://docs.google.com/spreadsheets/d/1Uw7-A9f9R21vMXxHZFNpYNeKFtG8_yji4HS352LGlSQ/edit?pli=1#gid=0"",""1_ACUM!A4:S""),13,FALSE))"),"")</f>
        <v/>
      </c>
      <c r="AE729" s="43" t="str">
        <f ca="1">IFERROR(__xludf.DUMMYFUNCTION("IFERROR(VLOOKUP(E752&amp;F752,IMPORTRANGE(""https://docs.google.com/spreadsheets/d/1Uw7-A9f9R21vMXxHZFNpYNeKFtG8_yji4HS352LGlSQ/edit?pli=1#gid=0"",""1_ACUM!A4:S""),14,FALSE))"),"")</f>
        <v/>
      </c>
      <c r="AF729" s="43" t="str">
        <f ca="1">IFERROR(__xludf.DUMMYFUNCTION("IFERROR(VLOOKUP(E752&amp;F752,IMPORTRANGE(""https://docs.google.com/spreadsheets/d/1Uw7-A9f9R21vMXxHZFNpYNeKFtG8_yji4HS352LGlSQ/edit?pli=1#gid=0"",""1_ACUM!A4:S""),15,FALSE))"),"")</f>
        <v/>
      </c>
      <c r="AG729" s="43" t="str">
        <f ca="1">IFERROR(__xludf.DUMMYFUNCTION("IFERROR(VLOOKUP(E752&amp;F752,IMPORTRANGE(""https://docs.google.com/spreadsheets/d/1Uw7-A9f9R21vMXxHZFNpYNeKFtG8_yji4HS352LGlSQ/edit?pli=1#gid=0"",""1_ACUM!A4:S""),16,FALSE))"),"")</f>
        <v/>
      </c>
      <c r="AH729" s="43" t="str">
        <f ca="1">IFERROR(__xludf.DUMMYFUNCTION("IFERROR(VLOOKUP(E752&amp;F752,IMPORTRANGE(""https://docs.google.com/spreadsheets/d/1Uw7-A9f9R21vMXxHZFNpYNeKFtG8_yji4HS352LGlSQ/edit?pli=1#gid=0"",""1_ACUM!A4:S""),17,FALSE))"),"")</f>
        <v/>
      </c>
      <c r="AI729" s="44" t="str">
        <f ca="1">IFERROR(__xludf.DUMMYFUNCTION("IFERROR(VLOOKUP(E752&amp;F752,IMPORTRANGE(""https://docs.google.com/spreadsheets/d/1Uw7-A9f9R21vMXxHZFNpYNeKFtG8_yji4HS352LGlSQ/edit?pli=1#gid=0"",""1_ACUM!A4:S""),18,FALSE))"),"")</f>
        <v/>
      </c>
      <c r="AJ729" s="44" t="str">
        <f ca="1">IFERROR(__xludf.DUMMYFUNCTION("IFERROR(VLOOKUP(E752&amp;F752,IMPORTRANGE(""https://docs.google.com/spreadsheets/d/1Uw7-A9f9R21vMXxHZFNpYNeKFtG8_yji4HS352LGlSQ/edit?pli=1#gid=0"",""1_ACUM!A4:S""),19,FALSE))"),"")</f>
        <v/>
      </c>
      <c r="AK729" s="98" t="str">
        <f ca="1">IFERROR(__xludf.DUMMYFUNCTION("IFERROR(VLOOKUP(F752,IMPORTRANGE(""https://docs.google.com/spreadsheets/d/1Kvs4KS76FHFqLFIZfrDMff4kP08nblUkihrxltoGBjg/edit#gid=934712705"",""ESENCIAL!A6:BG""),5,FALSE))"),"")</f>
        <v/>
      </c>
      <c r="AL729" s="98" t="str">
        <f t="shared" si="44"/>
        <v/>
      </c>
      <c r="AM729" s="99" t="str">
        <f t="shared" si="45"/>
        <v/>
      </c>
      <c r="AN729" s="100" t="str">
        <f ca="1">IFERROR(__xludf.DUMMYFUNCTION("IFERROR(VLOOKUP(F752,IMPORTRANGE(""https://docs.google.com/spreadsheets/d/1Kvs4KS76FHFqLFIZfrDMff4kP08nblUkihrxltoGBjg/edit#gid=934712705"",""ESENCIAL!A6:BG""),2,FALSE))"),"")</f>
        <v/>
      </c>
      <c r="AO729" s="19" t="str">
        <f t="shared" si="33"/>
        <v/>
      </c>
      <c r="AP729" s="100"/>
      <c r="AQ729" s="100"/>
    </row>
    <row r="730" spans="1:43" ht="15">
      <c r="A730" s="5"/>
      <c r="B730" s="5"/>
      <c r="G730" s="5" t="str">
        <f ca="1">IFERROR(__xludf.DUMMYFUNCTION("IFERROR(VLOOKUP(F753,IMPORTRANGE(""https://docs.google.com/spreadsheets/d/1Kvs4KS76FHFqLFIZfrDMff4kP08nblUkihrxltoGBjg/edit#gid=934712705"",""ESENCIAL!A6:BG""),3,FALSE))"),"")</f>
        <v/>
      </c>
      <c r="H730" s="5" t="str">
        <f ca="1">IFERROR(__xludf.DUMMYFUNCTION("IFERROR(VLOOKUP(F753,IMPORTRANGE(""https://docs.google.com/spreadsheets/d/1Kvs4KS76FHFqLFIZfrDMff4kP08nblUkihrxltoGBjg/edit#gid=934712705"",""ESENCIAL!A6:BG""),8,FALSE))"),"")</f>
        <v/>
      </c>
      <c r="L730" s="40"/>
      <c r="Z730" s="41" t="str">
        <f t="shared" si="43"/>
        <v/>
      </c>
      <c r="AA730" s="5" t="str">
        <f ca="1">IFERROR(__xludf.DUMMYFUNCTION("IFERROR(VLOOKUP(E753&amp;F753,IMPORTRANGE(""https://docs.google.com/spreadsheets/d/1Uw7-A9f9R21vMXxHZFNpYNeKFtG8_yji4HS352LGlSQ/edit?pli=1#gid=0"",""1_ACUM!A4:S""),11,FALSE))"),"")</f>
        <v/>
      </c>
      <c r="AB730" s="42" t="str">
        <f ca="1">IFERROR(__xludf.DUMMYFUNCTION("IFERROR(VLOOKUP(F753,IMPORTRANGE(""https://docs.google.com/spreadsheets/d/1Kvs4KS76FHFqLFIZfrDMff4kP08nblUkihrxltoGBjg/edit#gid=934712705"",""ESENCIAL!A6:BG""),15,FALSE))"),"")</f>
        <v/>
      </c>
      <c r="AC730" s="110" t="str">
        <f ca="1">IFERROR(__xludf.DUMMYFUNCTION("IFERROR(VLOOKUP(E753&amp;F753,IMPORTRANGE(""https://docs.google.com/spreadsheets/d/1Uw7-A9f9R21vMXxHZFNpYNeKFtG8_yji4HS352LGlSQ/edit?pli=1#gid=0"",""1_ACUM!A4:S""),13,FALSE))"),"")</f>
        <v/>
      </c>
      <c r="AD730" s="43" t="str">
        <f ca="1">IFERROR(__xludf.DUMMYFUNCTION("IFERROR(VLOOKUP(E753&amp;F753,IMPORTRANGE(""https://docs.google.com/spreadsheets/d/1Uw7-A9f9R21vMXxHZFNpYNeKFtG8_yji4HS352LGlSQ/edit?pli=1#gid=0"",""1_ACUM!A4:S""),13,FALSE))"),"")</f>
        <v/>
      </c>
      <c r="AE730" s="43" t="str">
        <f ca="1">IFERROR(__xludf.DUMMYFUNCTION("IFERROR(VLOOKUP(E753&amp;F753,IMPORTRANGE(""https://docs.google.com/spreadsheets/d/1Uw7-A9f9R21vMXxHZFNpYNeKFtG8_yji4HS352LGlSQ/edit?pli=1#gid=0"",""1_ACUM!A4:S""),14,FALSE))"),"")</f>
        <v/>
      </c>
      <c r="AF730" s="43" t="str">
        <f ca="1">IFERROR(__xludf.DUMMYFUNCTION("IFERROR(VLOOKUP(E753&amp;F753,IMPORTRANGE(""https://docs.google.com/spreadsheets/d/1Uw7-A9f9R21vMXxHZFNpYNeKFtG8_yji4HS352LGlSQ/edit?pli=1#gid=0"",""1_ACUM!A4:S""),15,FALSE))"),"")</f>
        <v/>
      </c>
      <c r="AG730" s="43" t="str">
        <f ca="1">IFERROR(__xludf.DUMMYFUNCTION("IFERROR(VLOOKUP(E753&amp;F753,IMPORTRANGE(""https://docs.google.com/spreadsheets/d/1Uw7-A9f9R21vMXxHZFNpYNeKFtG8_yji4HS352LGlSQ/edit?pli=1#gid=0"",""1_ACUM!A4:S""),16,FALSE))"),"")</f>
        <v/>
      </c>
      <c r="AH730" s="43" t="str">
        <f ca="1">IFERROR(__xludf.DUMMYFUNCTION("IFERROR(VLOOKUP(E753&amp;F753,IMPORTRANGE(""https://docs.google.com/spreadsheets/d/1Uw7-A9f9R21vMXxHZFNpYNeKFtG8_yji4HS352LGlSQ/edit?pli=1#gid=0"",""1_ACUM!A4:S""),17,FALSE))"),"")</f>
        <v/>
      </c>
      <c r="AI730" s="44" t="str">
        <f ca="1">IFERROR(__xludf.DUMMYFUNCTION("IFERROR(VLOOKUP(E753&amp;F753,IMPORTRANGE(""https://docs.google.com/spreadsheets/d/1Uw7-A9f9R21vMXxHZFNpYNeKFtG8_yji4HS352LGlSQ/edit?pli=1#gid=0"",""1_ACUM!A4:S""),18,FALSE))"),"")</f>
        <v/>
      </c>
      <c r="AJ730" s="44" t="str">
        <f ca="1">IFERROR(__xludf.DUMMYFUNCTION("IFERROR(VLOOKUP(E753&amp;F753,IMPORTRANGE(""https://docs.google.com/spreadsheets/d/1Uw7-A9f9R21vMXxHZFNpYNeKFtG8_yji4HS352LGlSQ/edit?pli=1#gid=0"",""1_ACUM!A4:S""),19,FALSE))"),"")</f>
        <v/>
      </c>
      <c r="AK730" s="98" t="str">
        <f ca="1">IFERROR(__xludf.DUMMYFUNCTION("IFERROR(VLOOKUP(F753,IMPORTRANGE(""https://docs.google.com/spreadsheets/d/1Kvs4KS76FHFqLFIZfrDMff4kP08nblUkihrxltoGBjg/edit#gid=934712705"",""ESENCIAL!A6:BG""),5,FALSE))"),"")</f>
        <v/>
      </c>
      <c r="AL730" s="98" t="str">
        <f t="shared" si="44"/>
        <v/>
      </c>
      <c r="AM730" s="99" t="str">
        <f t="shared" si="45"/>
        <v/>
      </c>
      <c r="AN730" s="100" t="str">
        <f ca="1">IFERROR(__xludf.DUMMYFUNCTION("IFERROR(VLOOKUP(F753,IMPORTRANGE(""https://docs.google.com/spreadsheets/d/1Kvs4KS76FHFqLFIZfrDMff4kP08nblUkihrxltoGBjg/edit#gid=934712705"",""ESENCIAL!A6:BG""),2,FALSE))"),"")</f>
        <v/>
      </c>
      <c r="AO730" s="19" t="str">
        <f t="shared" si="33"/>
        <v/>
      </c>
      <c r="AP730" s="100"/>
      <c r="AQ730" s="100"/>
    </row>
    <row r="731" spans="1:43" ht="15">
      <c r="A731" s="5"/>
      <c r="B731" s="5"/>
      <c r="G731" s="5" t="str">
        <f ca="1">IFERROR(__xludf.DUMMYFUNCTION("IFERROR(VLOOKUP(F754,IMPORTRANGE(""https://docs.google.com/spreadsheets/d/1Kvs4KS76FHFqLFIZfrDMff4kP08nblUkihrxltoGBjg/edit#gid=934712705"",""ESENCIAL!A6:BG""),3,FALSE))"),"")</f>
        <v/>
      </c>
      <c r="H731" s="5" t="str">
        <f ca="1">IFERROR(__xludf.DUMMYFUNCTION("IFERROR(VLOOKUP(F754,IMPORTRANGE(""https://docs.google.com/spreadsheets/d/1Kvs4KS76FHFqLFIZfrDMff4kP08nblUkihrxltoGBjg/edit#gid=934712705"",""ESENCIAL!A6:BG""),8,FALSE))"),"")</f>
        <v/>
      </c>
      <c r="L731" s="40"/>
      <c r="Z731" s="41" t="str">
        <f t="shared" si="43"/>
        <v/>
      </c>
      <c r="AA731" s="5" t="str">
        <f ca="1">IFERROR(__xludf.DUMMYFUNCTION("IFERROR(VLOOKUP(E754&amp;F754,IMPORTRANGE(""https://docs.google.com/spreadsheets/d/1Uw7-A9f9R21vMXxHZFNpYNeKFtG8_yji4HS352LGlSQ/edit?pli=1#gid=0"",""1_ACUM!A4:S""),11,FALSE))"),"")</f>
        <v/>
      </c>
      <c r="AB731" s="42" t="str">
        <f ca="1">IFERROR(__xludf.DUMMYFUNCTION("IFERROR(VLOOKUP(F754,IMPORTRANGE(""https://docs.google.com/spreadsheets/d/1Kvs4KS76FHFqLFIZfrDMff4kP08nblUkihrxltoGBjg/edit#gid=934712705"",""ESENCIAL!A6:BG""),15,FALSE))"),"")</f>
        <v/>
      </c>
      <c r="AC731" s="110" t="str">
        <f ca="1">IFERROR(__xludf.DUMMYFUNCTION("IFERROR(VLOOKUP(E754&amp;F754,IMPORTRANGE(""https://docs.google.com/spreadsheets/d/1Uw7-A9f9R21vMXxHZFNpYNeKFtG8_yji4HS352LGlSQ/edit?pli=1#gid=0"",""1_ACUM!A4:S""),13,FALSE))"),"")</f>
        <v/>
      </c>
      <c r="AD731" s="43" t="str">
        <f ca="1">IFERROR(__xludf.DUMMYFUNCTION("IFERROR(VLOOKUP(E754&amp;F754,IMPORTRANGE(""https://docs.google.com/spreadsheets/d/1Uw7-A9f9R21vMXxHZFNpYNeKFtG8_yji4HS352LGlSQ/edit?pli=1#gid=0"",""1_ACUM!A4:S""),13,FALSE))"),"")</f>
        <v/>
      </c>
      <c r="AE731" s="43" t="str">
        <f ca="1">IFERROR(__xludf.DUMMYFUNCTION("IFERROR(VLOOKUP(E754&amp;F754,IMPORTRANGE(""https://docs.google.com/spreadsheets/d/1Uw7-A9f9R21vMXxHZFNpYNeKFtG8_yji4HS352LGlSQ/edit?pli=1#gid=0"",""1_ACUM!A4:S""),14,FALSE))"),"")</f>
        <v/>
      </c>
      <c r="AF731" s="43" t="str">
        <f ca="1">IFERROR(__xludf.DUMMYFUNCTION("IFERROR(VLOOKUP(E754&amp;F754,IMPORTRANGE(""https://docs.google.com/spreadsheets/d/1Uw7-A9f9R21vMXxHZFNpYNeKFtG8_yji4HS352LGlSQ/edit?pli=1#gid=0"",""1_ACUM!A4:S""),15,FALSE))"),"")</f>
        <v/>
      </c>
      <c r="AG731" s="43" t="str">
        <f ca="1">IFERROR(__xludf.DUMMYFUNCTION("IFERROR(VLOOKUP(E754&amp;F754,IMPORTRANGE(""https://docs.google.com/spreadsheets/d/1Uw7-A9f9R21vMXxHZFNpYNeKFtG8_yji4HS352LGlSQ/edit?pli=1#gid=0"",""1_ACUM!A4:S""),16,FALSE))"),"")</f>
        <v/>
      </c>
      <c r="AH731" s="43" t="str">
        <f ca="1">IFERROR(__xludf.DUMMYFUNCTION("IFERROR(VLOOKUP(E754&amp;F754,IMPORTRANGE(""https://docs.google.com/spreadsheets/d/1Uw7-A9f9R21vMXxHZFNpYNeKFtG8_yji4HS352LGlSQ/edit?pli=1#gid=0"",""1_ACUM!A4:S""),17,FALSE))"),"")</f>
        <v/>
      </c>
      <c r="AI731" s="44" t="str">
        <f ca="1">IFERROR(__xludf.DUMMYFUNCTION("IFERROR(VLOOKUP(E754&amp;F754,IMPORTRANGE(""https://docs.google.com/spreadsheets/d/1Uw7-A9f9R21vMXxHZFNpYNeKFtG8_yji4HS352LGlSQ/edit?pli=1#gid=0"",""1_ACUM!A4:S""),18,FALSE))"),"")</f>
        <v/>
      </c>
      <c r="AJ731" s="44" t="str">
        <f ca="1">IFERROR(__xludf.DUMMYFUNCTION("IFERROR(VLOOKUP(E754&amp;F754,IMPORTRANGE(""https://docs.google.com/spreadsheets/d/1Uw7-A9f9R21vMXxHZFNpYNeKFtG8_yji4HS352LGlSQ/edit?pli=1#gid=0"",""1_ACUM!A4:S""),19,FALSE))"),"")</f>
        <v/>
      </c>
      <c r="AK731" s="98" t="str">
        <f ca="1">IFERROR(__xludf.DUMMYFUNCTION("IFERROR(VLOOKUP(F754,IMPORTRANGE(""https://docs.google.com/spreadsheets/d/1Kvs4KS76FHFqLFIZfrDMff4kP08nblUkihrxltoGBjg/edit#gid=934712705"",""ESENCIAL!A6:BG""),5,FALSE))"),"")</f>
        <v/>
      </c>
      <c r="AL731" s="98" t="str">
        <f t="shared" si="44"/>
        <v/>
      </c>
      <c r="AM731" s="99" t="str">
        <f t="shared" si="45"/>
        <v/>
      </c>
      <c r="AN731" s="100" t="str">
        <f ca="1">IFERROR(__xludf.DUMMYFUNCTION("IFERROR(VLOOKUP(F754,IMPORTRANGE(""https://docs.google.com/spreadsheets/d/1Kvs4KS76FHFqLFIZfrDMff4kP08nblUkihrxltoGBjg/edit#gid=934712705"",""ESENCIAL!A6:BG""),2,FALSE))"),"")</f>
        <v/>
      </c>
      <c r="AO731" s="19" t="str">
        <f t="shared" si="33"/>
        <v/>
      </c>
      <c r="AP731" s="100"/>
      <c r="AQ731" s="100"/>
    </row>
    <row r="732" spans="1:43" ht="15">
      <c r="A732" s="5"/>
      <c r="B732" s="5"/>
      <c r="G732" s="5" t="str">
        <f ca="1">IFERROR(__xludf.DUMMYFUNCTION("IFERROR(VLOOKUP(F755,IMPORTRANGE(""https://docs.google.com/spreadsheets/d/1Kvs4KS76FHFqLFIZfrDMff4kP08nblUkihrxltoGBjg/edit#gid=934712705"",""ESENCIAL!A6:BG""),3,FALSE))"),"")</f>
        <v/>
      </c>
      <c r="H732" s="5" t="str">
        <f ca="1">IFERROR(__xludf.DUMMYFUNCTION("IFERROR(VLOOKUP(F755,IMPORTRANGE(""https://docs.google.com/spreadsheets/d/1Kvs4KS76FHFqLFIZfrDMff4kP08nblUkihrxltoGBjg/edit#gid=934712705"",""ESENCIAL!A6:BG""),8,FALSE))"),"")</f>
        <v/>
      </c>
      <c r="L732" s="40"/>
      <c r="Z732" s="41" t="str">
        <f t="shared" si="43"/>
        <v/>
      </c>
      <c r="AA732" s="5" t="str">
        <f ca="1">IFERROR(__xludf.DUMMYFUNCTION("IFERROR(VLOOKUP(E755&amp;F755,IMPORTRANGE(""https://docs.google.com/spreadsheets/d/1Uw7-A9f9R21vMXxHZFNpYNeKFtG8_yji4HS352LGlSQ/edit?pli=1#gid=0"",""1_ACUM!A4:S""),11,FALSE))"),"")</f>
        <v/>
      </c>
      <c r="AB732" s="42" t="str">
        <f ca="1">IFERROR(__xludf.DUMMYFUNCTION("IFERROR(VLOOKUP(F755,IMPORTRANGE(""https://docs.google.com/spreadsheets/d/1Kvs4KS76FHFqLFIZfrDMff4kP08nblUkihrxltoGBjg/edit#gid=934712705"",""ESENCIAL!A6:BG""),15,FALSE))"),"")</f>
        <v/>
      </c>
      <c r="AC732" s="110" t="str">
        <f ca="1">IFERROR(__xludf.DUMMYFUNCTION("IFERROR(VLOOKUP(E755&amp;F755,IMPORTRANGE(""https://docs.google.com/spreadsheets/d/1Uw7-A9f9R21vMXxHZFNpYNeKFtG8_yji4HS352LGlSQ/edit?pli=1#gid=0"",""1_ACUM!A4:S""),13,FALSE))"),"")</f>
        <v/>
      </c>
      <c r="AD732" s="43" t="str">
        <f ca="1">IFERROR(__xludf.DUMMYFUNCTION("IFERROR(VLOOKUP(E755&amp;F755,IMPORTRANGE(""https://docs.google.com/spreadsheets/d/1Uw7-A9f9R21vMXxHZFNpYNeKFtG8_yji4HS352LGlSQ/edit?pli=1#gid=0"",""1_ACUM!A4:S""),13,FALSE))"),"")</f>
        <v/>
      </c>
      <c r="AE732" s="43" t="str">
        <f ca="1">IFERROR(__xludf.DUMMYFUNCTION("IFERROR(VLOOKUP(E755&amp;F755,IMPORTRANGE(""https://docs.google.com/spreadsheets/d/1Uw7-A9f9R21vMXxHZFNpYNeKFtG8_yji4HS352LGlSQ/edit?pli=1#gid=0"",""1_ACUM!A4:S""),14,FALSE))"),"")</f>
        <v/>
      </c>
      <c r="AF732" s="43" t="str">
        <f ca="1">IFERROR(__xludf.DUMMYFUNCTION("IFERROR(VLOOKUP(E755&amp;F755,IMPORTRANGE(""https://docs.google.com/spreadsheets/d/1Uw7-A9f9R21vMXxHZFNpYNeKFtG8_yji4HS352LGlSQ/edit?pli=1#gid=0"",""1_ACUM!A4:S""),15,FALSE))"),"")</f>
        <v/>
      </c>
      <c r="AG732" s="43" t="str">
        <f ca="1">IFERROR(__xludf.DUMMYFUNCTION("IFERROR(VLOOKUP(E755&amp;F755,IMPORTRANGE(""https://docs.google.com/spreadsheets/d/1Uw7-A9f9R21vMXxHZFNpYNeKFtG8_yji4HS352LGlSQ/edit?pli=1#gid=0"",""1_ACUM!A4:S""),16,FALSE))"),"")</f>
        <v/>
      </c>
      <c r="AH732" s="43" t="str">
        <f ca="1">IFERROR(__xludf.DUMMYFUNCTION("IFERROR(VLOOKUP(E755&amp;F755,IMPORTRANGE(""https://docs.google.com/spreadsheets/d/1Uw7-A9f9R21vMXxHZFNpYNeKFtG8_yji4HS352LGlSQ/edit?pli=1#gid=0"",""1_ACUM!A4:S""),17,FALSE))"),"")</f>
        <v/>
      </c>
      <c r="AI732" s="44" t="str">
        <f ca="1">IFERROR(__xludf.DUMMYFUNCTION("IFERROR(VLOOKUP(E755&amp;F755,IMPORTRANGE(""https://docs.google.com/spreadsheets/d/1Uw7-A9f9R21vMXxHZFNpYNeKFtG8_yji4HS352LGlSQ/edit?pli=1#gid=0"",""1_ACUM!A4:S""),18,FALSE))"),"")</f>
        <v/>
      </c>
      <c r="AJ732" s="44" t="str">
        <f ca="1">IFERROR(__xludf.DUMMYFUNCTION("IFERROR(VLOOKUP(E755&amp;F755,IMPORTRANGE(""https://docs.google.com/spreadsheets/d/1Uw7-A9f9R21vMXxHZFNpYNeKFtG8_yji4HS352LGlSQ/edit?pli=1#gid=0"",""1_ACUM!A4:S""),19,FALSE))"),"")</f>
        <v/>
      </c>
      <c r="AK732" s="98" t="str">
        <f ca="1">IFERROR(__xludf.DUMMYFUNCTION("IFERROR(VLOOKUP(F755,IMPORTRANGE(""https://docs.google.com/spreadsheets/d/1Kvs4KS76FHFqLFIZfrDMff4kP08nblUkihrxltoGBjg/edit#gid=934712705"",""ESENCIAL!A6:BG""),5,FALSE))"),"")</f>
        <v/>
      </c>
      <c r="AL732" s="98" t="str">
        <f t="shared" si="44"/>
        <v/>
      </c>
      <c r="AM732" s="99" t="str">
        <f t="shared" si="45"/>
        <v/>
      </c>
      <c r="AN732" s="100" t="str">
        <f ca="1">IFERROR(__xludf.DUMMYFUNCTION("IFERROR(VLOOKUP(F755,IMPORTRANGE(""https://docs.google.com/spreadsheets/d/1Kvs4KS76FHFqLFIZfrDMff4kP08nblUkihrxltoGBjg/edit#gid=934712705"",""ESENCIAL!A6:BG""),2,FALSE))"),"")</f>
        <v/>
      </c>
      <c r="AO732" s="19" t="str">
        <f t="shared" si="33"/>
        <v/>
      </c>
      <c r="AP732" s="100"/>
      <c r="AQ732" s="100"/>
    </row>
    <row r="733" spans="1:43" ht="15">
      <c r="A733" s="5"/>
      <c r="B733" s="5"/>
      <c r="G733" s="5" t="str">
        <f ca="1">IFERROR(__xludf.DUMMYFUNCTION("IFERROR(VLOOKUP(F756,IMPORTRANGE(""https://docs.google.com/spreadsheets/d/1Kvs4KS76FHFqLFIZfrDMff4kP08nblUkihrxltoGBjg/edit#gid=934712705"",""ESENCIAL!A6:BG""),3,FALSE))"),"")</f>
        <v/>
      </c>
      <c r="H733" s="5" t="str">
        <f ca="1">IFERROR(__xludf.DUMMYFUNCTION("IFERROR(VLOOKUP(F756,IMPORTRANGE(""https://docs.google.com/spreadsheets/d/1Kvs4KS76FHFqLFIZfrDMff4kP08nblUkihrxltoGBjg/edit#gid=934712705"",""ESENCIAL!A6:BG""),8,FALSE))"),"")</f>
        <v/>
      </c>
      <c r="L733" s="40"/>
      <c r="Z733" s="41" t="str">
        <f t="shared" si="43"/>
        <v/>
      </c>
      <c r="AA733" s="5" t="str">
        <f ca="1">IFERROR(__xludf.DUMMYFUNCTION("IFERROR(VLOOKUP(E756&amp;F756,IMPORTRANGE(""https://docs.google.com/spreadsheets/d/1Uw7-A9f9R21vMXxHZFNpYNeKFtG8_yji4HS352LGlSQ/edit?pli=1#gid=0"",""1_ACUM!A4:S""),11,FALSE))"),"")</f>
        <v/>
      </c>
      <c r="AB733" s="42" t="str">
        <f ca="1">IFERROR(__xludf.DUMMYFUNCTION("IFERROR(VLOOKUP(F756,IMPORTRANGE(""https://docs.google.com/spreadsheets/d/1Kvs4KS76FHFqLFIZfrDMff4kP08nblUkihrxltoGBjg/edit#gid=934712705"",""ESENCIAL!A6:BG""),15,FALSE))"),"")</f>
        <v/>
      </c>
      <c r="AC733" s="110" t="str">
        <f ca="1">IFERROR(__xludf.DUMMYFUNCTION("IFERROR(VLOOKUP(E756&amp;F756,IMPORTRANGE(""https://docs.google.com/spreadsheets/d/1Uw7-A9f9R21vMXxHZFNpYNeKFtG8_yji4HS352LGlSQ/edit?pli=1#gid=0"",""1_ACUM!A4:S""),13,FALSE))"),"")</f>
        <v/>
      </c>
      <c r="AD733" s="43" t="str">
        <f ca="1">IFERROR(__xludf.DUMMYFUNCTION("IFERROR(VLOOKUP(E756&amp;F756,IMPORTRANGE(""https://docs.google.com/spreadsheets/d/1Uw7-A9f9R21vMXxHZFNpYNeKFtG8_yji4HS352LGlSQ/edit?pli=1#gid=0"",""1_ACUM!A4:S""),13,FALSE))"),"")</f>
        <v/>
      </c>
      <c r="AE733" s="43" t="str">
        <f ca="1">IFERROR(__xludf.DUMMYFUNCTION("IFERROR(VLOOKUP(E756&amp;F756,IMPORTRANGE(""https://docs.google.com/spreadsheets/d/1Uw7-A9f9R21vMXxHZFNpYNeKFtG8_yji4HS352LGlSQ/edit?pli=1#gid=0"",""1_ACUM!A4:S""),14,FALSE))"),"")</f>
        <v/>
      </c>
      <c r="AF733" s="43" t="str">
        <f ca="1">IFERROR(__xludf.DUMMYFUNCTION("IFERROR(VLOOKUP(E756&amp;F756,IMPORTRANGE(""https://docs.google.com/spreadsheets/d/1Uw7-A9f9R21vMXxHZFNpYNeKFtG8_yji4HS352LGlSQ/edit?pli=1#gid=0"",""1_ACUM!A4:S""),15,FALSE))"),"")</f>
        <v/>
      </c>
      <c r="AG733" s="43" t="str">
        <f ca="1">IFERROR(__xludf.DUMMYFUNCTION("IFERROR(VLOOKUP(E756&amp;F756,IMPORTRANGE(""https://docs.google.com/spreadsheets/d/1Uw7-A9f9R21vMXxHZFNpYNeKFtG8_yji4HS352LGlSQ/edit?pli=1#gid=0"",""1_ACUM!A4:S""),16,FALSE))"),"")</f>
        <v/>
      </c>
      <c r="AH733" s="43" t="str">
        <f ca="1">IFERROR(__xludf.DUMMYFUNCTION("IFERROR(VLOOKUP(E756&amp;F756,IMPORTRANGE(""https://docs.google.com/spreadsheets/d/1Uw7-A9f9R21vMXxHZFNpYNeKFtG8_yji4HS352LGlSQ/edit?pli=1#gid=0"",""1_ACUM!A4:S""),17,FALSE))"),"")</f>
        <v/>
      </c>
      <c r="AI733" s="44" t="str">
        <f ca="1">IFERROR(__xludf.DUMMYFUNCTION("IFERROR(VLOOKUP(E756&amp;F756,IMPORTRANGE(""https://docs.google.com/spreadsheets/d/1Uw7-A9f9R21vMXxHZFNpYNeKFtG8_yji4HS352LGlSQ/edit?pli=1#gid=0"",""1_ACUM!A4:S""),18,FALSE))"),"")</f>
        <v/>
      </c>
      <c r="AJ733" s="44" t="str">
        <f ca="1">IFERROR(__xludf.DUMMYFUNCTION("IFERROR(VLOOKUP(E756&amp;F756,IMPORTRANGE(""https://docs.google.com/spreadsheets/d/1Uw7-A9f9R21vMXxHZFNpYNeKFtG8_yji4HS352LGlSQ/edit?pli=1#gid=0"",""1_ACUM!A4:S""),19,FALSE))"),"")</f>
        <v/>
      </c>
      <c r="AK733" s="98" t="str">
        <f ca="1">IFERROR(__xludf.DUMMYFUNCTION("IFERROR(VLOOKUP(F756,IMPORTRANGE(""https://docs.google.com/spreadsheets/d/1Kvs4KS76FHFqLFIZfrDMff4kP08nblUkihrxltoGBjg/edit#gid=934712705"",""ESENCIAL!A6:BG""),5,FALSE))"),"")</f>
        <v/>
      </c>
      <c r="AL733" s="98" t="str">
        <f t="shared" si="44"/>
        <v/>
      </c>
      <c r="AM733" s="99" t="str">
        <f t="shared" si="45"/>
        <v/>
      </c>
      <c r="AN733" s="100" t="str">
        <f ca="1">IFERROR(__xludf.DUMMYFUNCTION("IFERROR(VLOOKUP(F756,IMPORTRANGE(""https://docs.google.com/spreadsheets/d/1Kvs4KS76FHFqLFIZfrDMff4kP08nblUkihrxltoGBjg/edit#gid=934712705"",""ESENCIAL!A6:BG""),2,FALSE))"),"")</f>
        <v/>
      </c>
      <c r="AO733" s="19" t="str">
        <f t="shared" si="33"/>
        <v/>
      </c>
      <c r="AP733" s="100"/>
      <c r="AQ733" s="100"/>
    </row>
    <row r="734" spans="1:43" ht="15">
      <c r="A734" s="5"/>
      <c r="B734" s="5"/>
      <c r="G734" s="5" t="str">
        <f ca="1">IFERROR(__xludf.DUMMYFUNCTION("IFERROR(VLOOKUP(F757,IMPORTRANGE(""https://docs.google.com/spreadsheets/d/1Kvs4KS76FHFqLFIZfrDMff4kP08nblUkihrxltoGBjg/edit#gid=934712705"",""ESENCIAL!A6:BG""),3,FALSE))"),"")</f>
        <v/>
      </c>
      <c r="H734" s="5" t="str">
        <f ca="1">IFERROR(__xludf.DUMMYFUNCTION("IFERROR(VLOOKUP(F757,IMPORTRANGE(""https://docs.google.com/spreadsheets/d/1Kvs4KS76FHFqLFIZfrDMff4kP08nblUkihrxltoGBjg/edit#gid=934712705"",""ESENCIAL!A6:BG""),8,FALSE))"),"")</f>
        <v/>
      </c>
      <c r="L734" s="40"/>
      <c r="Z734" s="41" t="str">
        <f t="shared" si="43"/>
        <v/>
      </c>
      <c r="AA734" s="5" t="str">
        <f ca="1">IFERROR(__xludf.DUMMYFUNCTION("IFERROR(VLOOKUP(E757&amp;F757,IMPORTRANGE(""https://docs.google.com/spreadsheets/d/1Uw7-A9f9R21vMXxHZFNpYNeKFtG8_yji4HS352LGlSQ/edit?pli=1#gid=0"",""1_ACUM!A4:S""),11,FALSE))"),"")</f>
        <v/>
      </c>
      <c r="AB734" s="42" t="str">
        <f ca="1">IFERROR(__xludf.DUMMYFUNCTION("IFERROR(VLOOKUP(F757,IMPORTRANGE(""https://docs.google.com/spreadsheets/d/1Kvs4KS76FHFqLFIZfrDMff4kP08nblUkihrxltoGBjg/edit#gid=934712705"",""ESENCIAL!A6:BG""),15,FALSE))"),"")</f>
        <v/>
      </c>
      <c r="AC734" s="110" t="str">
        <f ca="1">IFERROR(__xludf.DUMMYFUNCTION("IFERROR(VLOOKUP(E757&amp;F757,IMPORTRANGE(""https://docs.google.com/spreadsheets/d/1Uw7-A9f9R21vMXxHZFNpYNeKFtG8_yji4HS352LGlSQ/edit?pli=1#gid=0"",""1_ACUM!A4:S""),13,FALSE))"),"")</f>
        <v/>
      </c>
      <c r="AD734" s="43" t="str">
        <f ca="1">IFERROR(__xludf.DUMMYFUNCTION("IFERROR(VLOOKUP(E757&amp;F757,IMPORTRANGE(""https://docs.google.com/spreadsheets/d/1Uw7-A9f9R21vMXxHZFNpYNeKFtG8_yji4HS352LGlSQ/edit?pli=1#gid=0"",""1_ACUM!A4:S""),13,FALSE))"),"")</f>
        <v/>
      </c>
      <c r="AE734" s="43" t="str">
        <f ca="1">IFERROR(__xludf.DUMMYFUNCTION("IFERROR(VLOOKUP(E757&amp;F757,IMPORTRANGE(""https://docs.google.com/spreadsheets/d/1Uw7-A9f9R21vMXxHZFNpYNeKFtG8_yji4HS352LGlSQ/edit?pli=1#gid=0"",""1_ACUM!A4:S""),14,FALSE))"),"")</f>
        <v/>
      </c>
      <c r="AF734" s="43" t="str">
        <f ca="1">IFERROR(__xludf.DUMMYFUNCTION("IFERROR(VLOOKUP(E757&amp;F757,IMPORTRANGE(""https://docs.google.com/spreadsheets/d/1Uw7-A9f9R21vMXxHZFNpYNeKFtG8_yji4HS352LGlSQ/edit?pli=1#gid=0"",""1_ACUM!A4:S""),15,FALSE))"),"")</f>
        <v/>
      </c>
      <c r="AG734" s="43" t="str">
        <f ca="1">IFERROR(__xludf.DUMMYFUNCTION("IFERROR(VLOOKUP(E757&amp;F757,IMPORTRANGE(""https://docs.google.com/spreadsheets/d/1Uw7-A9f9R21vMXxHZFNpYNeKFtG8_yji4HS352LGlSQ/edit?pli=1#gid=0"",""1_ACUM!A4:S""),16,FALSE))"),"")</f>
        <v/>
      </c>
      <c r="AH734" s="43" t="str">
        <f ca="1">IFERROR(__xludf.DUMMYFUNCTION("IFERROR(VLOOKUP(E757&amp;F757,IMPORTRANGE(""https://docs.google.com/spreadsheets/d/1Uw7-A9f9R21vMXxHZFNpYNeKFtG8_yji4HS352LGlSQ/edit?pli=1#gid=0"",""1_ACUM!A4:S""),17,FALSE))"),"")</f>
        <v/>
      </c>
      <c r="AI734" s="44" t="str">
        <f ca="1">IFERROR(__xludf.DUMMYFUNCTION("IFERROR(VLOOKUP(E757&amp;F757,IMPORTRANGE(""https://docs.google.com/spreadsheets/d/1Uw7-A9f9R21vMXxHZFNpYNeKFtG8_yji4HS352LGlSQ/edit?pli=1#gid=0"",""1_ACUM!A4:S""),18,FALSE))"),"")</f>
        <v/>
      </c>
      <c r="AJ734" s="44" t="str">
        <f ca="1">IFERROR(__xludf.DUMMYFUNCTION("IFERROR(VLOOKUP(E757&amp;F757,IMPORTRANGE(""https://docs.google.com/spreadsheets/d/1Uw7-A9f9R21vMXxHZFNpYNeKFtG8_yji4HS352LGlSQ/edit?pli=1#gid=0"",""1_ACUM!A4:S""),19,FALSE))"),"")</f>
        <v/>
      </c>
      <c r="AK734" s="98" t="str">
        <f ca="1">IFERROR(__xludf.DUMMYFUNCTION("IFERROR(VLOOKUP(F757,IMPORTRANGE(""https://docs.google.com/spreadsheets/d/1Kvs4KS76FHFqLFIZfrDMff4kP08nblUkihrxltoGBjg/edit#gid=934712705"",""ESENCIAL!A6:BG""),5,FALSE))"),"")</f>
        <v/>
      </c>
      <c r="AL734" s="98" t="str">
        <f t="shared" si="44"/>
        <v/>
      </c>
      <c r="AM734" s="99" t="str">
        <f t="shared" si="45"/>
        <v/>
      </c>
      <c r="AN734" s="100" t="str">
        <f ca="1">IFERROR(__xludf.DUMMYFUNCTION("IFERROR(VLOOKUP(F757,IMPORTRANGE(""https://docs.google.com/spreadsheets/d/1Kvs4KS76FHFqLFIZfrDMff4kP08nblUkihrxltoGBjg/edit#gid=934712705"",""ESENCIAL!A6:BG""),2,FALSE))"),"")</f>
        <v/>
      </c>
      <c r="AO734" s="19" t="str">
        <f t="shared" si="33"/>
        <v/>
      </c>
      <c r="AP734" s="100"/>
      <c r="AQ734" s="100"/>
    </row>
    <row r="735" spans="1:43" ht="15">
      <c r="A735" s="5"/>
      <c r="B735" s="5"/>
      <c r="G735" s="5" t="str">
        <f ca="1">IFERROR(__xludf.DUMMYFUNCTION("IFERROR(VLOOKUP(F758,IMPORTRANGE(""https://docs.google.com/spreadsheets/d/1Kvs4KS76FHFqLFIZfrDMff4kP08nblUkihrxltoGBjg/edit#gid=934712705"",""ESENCIAL!A6:BG""),3,FALSE))"),"")</f>
        <v/>
      </c>
      <c r="H735" s="5" t="str">
        <f ca="1">IFERROR(__xludf.DUMMYFUNCTION("IFERROR(VLOOKUP(F758,IMPORTRANGE(""https://docs.google.com/spreadsheets/d/1Kvs4KS76FHFqLFIZfrDMff4kP08nblUkihrxltoGBjg/edit#gid=934712705"",""ESENCIAL!A6:BG""),8,FALSE))"),"")</f>
        <v/>
      </c>
      <c r="L735" s="40"/>
      <c r="Z735" s="41" t="str">
        <f t="shared" si="43"/>
        <v/>
      </c>
      <c r="AA735" s="5" t="str">
        <f ca="1">IFERROR(__xludf.DUMMYFUNCTION("IFERROR(VLOOKUP(E758&amp;F758,IMPORTRANGE(""https://docs.google.com/spreadsheets/d/1Uw7-A9f9R21vMXxHZFNpYNeKFtG8_yji4HS352LGlSQ/edit?pli=1#gid=0"",""1_ACUM!A4:S""),11,FALSE))"),"")</f>
        <v/>
      </c>
      <c r="AB735" s="42" t="str">
        <f ca="1">IFERROR(__xludf.DUMMYFUNCTION("IFERROR(VLOOKUP(F758,IMPORTRANGE(""https://docs.google.com/spreadsheets/d/1Kvs4KS76FHFqLFIZfrDMff4kP08nblUkihrxltoGBjg/edit#gid=934712705"",""ESENCIAL!A6:BG""),15,FALSE))"),"")</f>
        <v/>
      </c>
      <c r="AC735" s="110" t="str">
        <f ca="1">IFERROR(__xludf.DUMMYFUNCTION("IFERROR(VLOOKUP(E758&amp;F758,IMPORTRANGE(""https://docs.google.com/spreadsheets/d/1Uw7-A9f9R21vMXxHZFNpYNeKFtG8_yji4HS352LGlSQ/edit?pli=1#gid=0"",""1_ACUM!A4:S""),13,FALSE))"),"")</f>
        <v/>
      </c>
      <c r="AD735" s="43" t="str">
        <f ca="1">IFERROR(__xludf.DUMMYFUNCTION("IFERROR(VLOOKUP(E758&amp;F758,IMPORTRANGE(""https://docs.google.com/spreadsheets/d/1Uw7-A9f9R21vMXxHZFNpYNeKFtG8_yji4HS352LGlSQ/edit?pli=1#gid=0"",""1_ACUM!A4:S""),13,FALSE))"),"")</f>
        <v/>
      </c>
      <c r="AE735" s="43" t="str">
        <f ca="1">IFERROR(__xludf.DUMMYFUNCTION("IFERROR(VLOOKUP(E758&amp;F758,IMPORTRANGE(""https://docs.google.com/spreadsheets/d/1Uw7-A9f9R21vMXxHZFNpYNeKFtG8_yji4HS352LGlSQ/edit?pli=1#gid=0"",""1_ACUM!A4:S""),14,FALSE))"),"")</f>
        <v/>
      </c>
      <c r="AF735" s="43" t="str">
        <f ca="1">IFERROR(__xludf.DUMMYFUNCTION("IFERROR(VLOOKUP(E758&amp;F758,IMPORTRANGE(""https://docs.google.com/spreadsheets/d/1Uw7-A9f9R21vMXxHZFNpYNeKFtG8_yji4HS352LGlSQ/edit?pli=1#gid=0"",""1_ACUM!A4:S""),15,FALSE))"),"")</f>
        <v/>
      </c>
      <c r="AG735" s="43" t="str">
        <f ca="1">IFERROR(__xludf.DUMMYFUNCTION("IFERROR(VLOOKUP(E758&amp;F758,IMPORTRANGE(""https://docs.google.com/spreadsheets/d/1Uw7-A9f9R21vMXxHZFNpYNeKFtG8_yji4HS352LGlSQ/edit?pli=1#gid=0"",""1_ACUM!A4:S""),16,FALSE))"),"")</f>
        <v/>
      </c>
      <c r="AH735" s="43" t="str">
        <f ca="1">IFERROR(__xludf.DUMMYFUNCTION("IFERROR(VLOOKUP(E758&amp;F758,IMPORTRANGE(""https://docs.google.com/spreadsheets/d/1Uw7-A9f9R21vMXxHZFNpYNeKFtG8_yji4HS352LGlSQ/edit?pli=1#gid=0"",""1_ACUM!A4:S""),17,FALSE))"),"")</f>
        <v/>
      </c>
      <c r="AI735" s="44" t="str">
        <f ca="1">IFERROR(__xludf.DUMMYFUNCTION("IFERROR(VLOOKUP(E758&amp;F758,IMPORTRANGE(""https://docs.google.com/spreadsheets/d/1Uw7-A9f9R21vMXxHZFNpYNeKFtG8_yji4HS352LGlSQ/edit?pli=1#gid=0"",""1_ACUM!A4:S""),18,FALSE))"),"")</f>
        <v/>
      </c>
      <c r="AJ735" s="44" t="str">
        <f ca="1">IFERROR(__xludf.DUMMYFUNCTION("IFERROR(VLOOKUP(E758&amp;F758,IMPORTRANGE(""https://docs.google.com/spreadsheets/d/1Uw7-A9f9R21vMXxHZFNpYNeKFtG8_yji4HS352LGlSQ/edit?pli=1#gid=0"",""1_ACUM!A4:S""),19,FALSE))"),"")</f>
        <v/>
      </c>
      <c r="AK735" s="98" t="str">
        <f ca="1">IFERROR(__xludf.DUMMYFUNCTION("IFERROR(VLOOKUP(F758,IMPORTRANGE(""https://docs.google.com/spreadsheets/d/1Kvs4KS76FHFqLFIZfrDMff4kP08nblUkihrxltoGBjg/edit#gid=934712705"",""ESENCIAL!A6:BG""),5,FALSE))"),"")</f>
        <v/>
      </c>
      <c r="AL735" s="98" t="str">
        <f t="shared" si="44"/>
        <v/>
      </c>
      <c r="AM735" s="99" t="str">
        <f t="shared" si="45"/>
        <v/>
      </c>
      <c r="AN735" s="100" t="str">
        <f ca="1">IFERROR(__xludf.DUMMYFUNCTION("IFERROR(VLOOKUP(F758,IMPORTRANGE(""https://docs.google.com/spreadsheets/d/1Kvs4KS76FHFqLFIZfrDMff4kP08nblUkihrxltoGBjg/edit#gid=934712705"",""ESENCIAL!A6:BG""),2,FALSE))"),"")</f>
        <v/>
      </c>
      <c r="AO735" s="19" t="str">
        <f t="shared" si="33"/>
        <v/>
      </c>
      <c r="AP735" s="100"/>
      <c r="AQ735" s="100"/>
    </row>
    <row r="736" spans="1:43" ht="15">
      <c r="A736" s="5"/>
      <c r="B736" s="5"/>
      <c r="G736" s="5" t="str">
        <f ca="1">IFERROR(__xludf.DUMMYFUNCTION("IFERROR(VLOOKUP(F759,IMPORTRANGE(""https://docs.google.com/spreadsheets/d/1Kvs4KS76FHFqLFIZfrDMff4kP08nblUkihrxltoGBjg/edit#gid=934712705"",""ESENCIAL!A6:BG""),3,FALSE))"),"")</f>
        <v/>
      </c>
      <c r="H736" s="5" t="str">
        <f ca="1">IFERROR(__xludf.DUMMYFUNCTION("IFERROR(VLOOKUP(F759,IMPORTRANGE(""https://docs.google.com/spreadsheets/d/1Kvs4KS76FHFqLFIZfrDMff4kP08nblUkihrxltoGBjg/edit#gid=934712705"",""ESENCIAL!A6:BG""),8,FALSE))"),"")</f>
        <v/>
      </c>
      <c r="L736" s="40"/>
      <c r="Z736" s="41" t="str">
        <f t="shared" si="43"/>
        <v/>
      </c>
      <c r="AA736" s="5" t="str">
        <f ca="1">IFERROR(__xludf.DUMMYFUNCTION("IFERROR(VLOOKUP(E759&amp;F759,IMPORTRANGE(""https://docs.google.com/spreadsheets/d/1Uw7-A9f9R21vMXxHZFNpYNeKFtG8_yji4HS352LGlSQ/edit?pli=1#gid=0"",""1_ACUM!A4:S""),11,FALSE))"),"")</f>
        <v/>
      </c>
      <c r="AB736" s="42" t="str">
        <f ca="1">IFERROR(__xludf.DUMMYFUNCTION("IFERROR(VLOOKUP(F759,IMPORTRANGE(""https://docs.google.com/spreadsheets/d/1Kvs4KS76FHFqLFIZfrDMff4kP08nblUkihrxltoGBjg/edit#gid=934712705"",""ESENCIAL!A6:BG""),15,FALSE))"),"")</f>
        <v/>
      </c>
      <c r="AC736" s="110" t="str">
        <f ca="1">IFERROR(__xludf.DUMMYFUNCTION("IFERROR(VLOOKUP(E759&amp;F759,IMPORTRANGE(""https://docs.google.com/spreadsheets/d/1Uw7-A9f9R21vMXxHZFNpYNeKFtG8_yji4HS352LGlSQ/edit?pli=1#gid=0"",""1_ACUM!A4:S""),13,FALSE))"),"")</f>
        <v/>
      </c>
      <c r="AD736" s="43" t="str">
        <f ca="1">IFERROR(__xludf.DUMMYFUNCTION("IFERROR(VLOOKUP(E759&amp;F759,IMPORTRANGE(""https://docs.google.com/spreadsheets/d/1Uw7-A9f9R21vMXxHZFNpYNeKFtG8_yji4HS352LGlSQ/edit?pli=1#gid=0"",""1_ACUM!A4:S""),13,FALSE))"),"")</f>
        <v/>
      </c>
      <c r="AE736" s="43" t="str">
        <f ca="1">IFERROR(__xludf.DUMMYFUNCTION("IFERROR(VLOOKUP(E759&amp;F759,IMPORTRANGE(""https://docs.google.com/spreadsheets/d/1Uw7-A9f9R21vMXxHZFNpYNeKFtG8_yji4HS352LGlSQ/edit?pli=1#gid=0"",""1_ACUM!A4:S""),14,FALSE))"),"")</f>
        <v/>
      </c>
      <c r="AF736" s="43" t="str">
        <f ca="1">IFERROR(__xludf.DUMMYFUNCTION("IFERROR(VLOOKUP(E759&amp;F759,IMPORTRANGE(""https://docs.google.com/spreadsheets/d/1Uw7-A9f9R21vMXxHZFNpYNeKFtG8_yji4HS352LGlSQ/edit?pli=1#gid=0"",""1_ACUM!A4:S""),15,FALSE))"),"")</f>
        <v/>
      </c>
      <c r="AG736" s="43" t="str">
        <f ca="1">IFERROR(__xludf.DUMMYFUNCTION("IFERROR(VLOOKUP(E759&amp;F759,IMPORTRANGE(""https://docs.google.com/spreadsheets/d/1Uw7-A9f9R21vMXxHZFNpYNeKFtG8_yji4HS352LGlSQ/edit?pli=1#gid=0"",""1_ACUM!A4:S""),16,FALSE))"),"")</f>
        <v/>
      </c>
      <c r="AH736" s="43" t="str">
        <f ca="1">IFERROR(__xludf.DUMMYFUNCTION("IFERROR(VLOOKUP(E759&amp;F759,IMPORTRANGE(""https://docs.google.com/spreadsheets/d/1Uw7-A9f9R21vMXxHZFNpYNeKFtG8_yji4HS352LGlSQ/edit?pli=1#gid=0"",""1_ACUM!A4:S""),17,FALSE))"),"")</f>
        <v/>
      </c>
      <c r="AI736" s="44" t="str">
        <f ca="1">IFERROR(__xludf.DUMMYFUNCTION("IFERROR(VLOOKUP(E759&amp;F759,IMPORTRANGE(""https://docs.google.com/spreadsheets/d/1Uw7-A9f9R21vMXxHZFNpYNeKFtG8_yji4HS352LGlSQ/edit?pli=1#gid=0"",""1_ACUM!A4:S""),18,FALSE))"),"")</f>
        <v/>
      </c>
      <c r="AJ736" s="44" t="str">
        <f ca="1">IFERROR(__xludf.DUMMYFUNCTION("IFERROR(VLOOKUP(E759&amp;F759,IMPORTRANGE(""https://docs.google.com/spreadsheets/d/1Uw7-A9f9R21vMXxHZFNpYNeKFtG8_yji4HS352LGlSQ/edit?pli=1#gid=0"",""1_ACUM!A4:S""),19,FALSE))"),"")</f>
        <v/>
      </c>
      <c r="AK736" s="98" t="str">
        <f ca="1">IFERROR(__xludf.DUMMYFUNCTION("IFERROR(VLOOKUP(F759,IMPORTRANGE(""https://docs.google.com/spreadsheets/d/1Kvs4KS76FHFqLFIZfrDMff4kP08nblUkihrxltoGBjg/edit#gid=934712705"",""ESENCIAL!A6:BG""),5,FALSE))"),"")</f>
        <v/>
      </c>
      <c r="AL736" s="98" t="str">
        <f t="shared" si="44"/>
        <v/>
      </c>
      <c r="AM736" s="99" t="str">
        <f t="shared" si="45"/>
        <v/>
      </c>
      <c r="AN736" s="100" t="str">
        <f ca="1">IFERROR(__xludf.DUMMYFUNCTION("IFERROR(VLOOKUP(F759,IMPORTRANGE(""https://docs.google.com/spreadsheets/d/1Kvs4KS76FHFqLFIZfrDMff4kP08nblUkihrxltoGBjg/edit#gid=934712705"",""ESENCIAL!A6:BG""),2,FALSE))"),"")</f>
        <v/>
      </c>
      <c r="AO736" s="19" t="str">
        <f t="shared" si="33"/>
        <v/>
      </c>
      <c r="AP736" s="100"/>
      <c r="AQ736" s="100"/>
    </row>
    <row r="737" spans="1:43" ht="15">
      <c r="A737" s="5"/>
      <c r="B737" s="5"/>
      <c r="G737" s="5" t="str">
        <f ca="1">IFERROR(__xludf.DUMMYFUNCTION("IFERROR(VLOOKUP(F760,IMPORTRANGE(""https://docs.google.com/spreadsheets/d/1Kvs4KS76FHFqLFIZfrDMff4kP08nblUkihrxltoGBjg/edit#gid=934712705"",""ESENCIAL!A6:BG""),3,FALSE))"),"")</f>
        <v/>
      </c>
      <c r="H737" s="5" t="str">
        <f ca="1">IFERROR(__xludf.DUMMYFUNCTION("IFERROR(VLOOKUP(F760,IMPORTRANGE(""https://docs.google.com/spreadsheets/d/1Kvs4KS76FHFqLFIZfrDMff4kP08nblUkihrxltoGBjg/edit#gid=934712705"",""ESENCIAL!A6:BG""),8,FALSE))"),"")</f>
        <v/>
      </c>
      <c r="L737" s="40"/>
      <c r="Z737" s="41" t="str">
        <f t="shared" si="43"/>
        <v/>
      </c>
      <c r="AA737" s="5" t="str">
        <f ca="1">IFERROR(__xludf.DUMMYFUNCTION("IFERROR(VLOOKUP(E760&amp;F760,IMPORTRANGE(""https://docs.google.com/spreadsheets/d/1Uw7-A9f9R21vMXxHZFNpYNeKFtG8_yji4HS352LGlSQ/edit?pli=1#gid=0"",""1_ACUM!A4:S""),11,FALSE))"),"")</f>
        <v/>
      </c>
      <c r="AB737" s="42" t="str">
        <f ca="1">IFERROR(__xludf.DUMMYFUNCTION("IFERROR(VLOOKUP(F760,IMPORTRANGE(""https://docs.google.com/spreadsheets/d/1Kvs4KS76FHFqLFIZfrDMff4kP08nblUkihrxltoGBjg/edit#gid=934712705"",""ESENCIAL!A6:BG""),15,FALSE))"),"")</f>
        <v/>
      </c>
      <c r="AC737" s="110" t="str">
        <f ca="1">IFERROR(__xludf.DUMMYFUNCTION("IFERROR(VLOOKUP(E760&amp;F760,IMPORTRANGE(""https://docs.google.com/spreadsheets/d/1Uw7-A9f9R21vMXxHZFNpYNeKFtG8_yji4HS352LGlSQ/edit?pli=1#gid=0"",""1_ACUM!A4:S""),13,FALSE))"),"")</f>
        <v/>
      </c>
      <c r="AD737" s="43" t="str">
        <f ca="1">IFERROR(__xludf.DUMMYFUNCTION("IFERROR(VLOOKUP(E760&amp;F760,IMPORTRANGE(""https://docs.google.com/spreadsheets/d/1Uw7-A9f9R21vMXxHZFNpYNeKFtG8_yji4HS352LGlSQ/edit?pli=1#gid=0"",""1_ACUM!A4:S""),13,FALSE))"),"")</f>
        <v/>
      </c>
      <c r="AE737" s="43" t="str">
        <f ca="1">IFERROR(__xludf.DUMMYFUNCTION("IFERROR(VLOOKUP(E760&amp;F760,IMPORTRANGE(""https://docs.google.com/spreadsheets/d/1Uw7-A9f9R21vMXxHZFNpYNeKFtG8_yji4HS352LGlSQ/edit?pli=1#gid=0"",""1_ACUM!A4:S""),14,FALSE))"),"")</f>
        <v/>
      </c>
      <c r="AF737" s="43" t="str">
        <f ca="1">IFERROR(__xludf.DUMMYFUNCTION("IFERROR(VLOOKUP(E760&amp;F760,IMPORTRANGE(""https://docs.google.com/spreadsheets/d/1Uw7-A9f9R21vMXxHZFNpYNeKFtG8_yji4HS352LGlSQ/edit?pli=1#gid=0"",""1_ACUM!A4:S""),15,FALSE))"),"")</f>
        <v/>
      </c>
      <c r="AG737" s="43" t="str">
        <f ca="1">IFERROR(__xludf.DUMMYFUNCTION("IFERROR(VLOOKUP(E760&amp;F760,IMPORTRANGE(""https://docs.google.com/spreadsheets/d/1Uw7-A9f9R21vMXxHZFNpYNeKFtG8_yji4HS352LGlSQ/edit?pli=1#gid=0"",""1_ACUM!A4:S""),16,FALSE))"),"")</f>
        <v/>
      </c>
      <c r="AH737" s="43" t="str">
        <f ca="1">IFERROR(__xludf.DUMMYFUNCTION("IFERROR(VLOOKUP(E760&amp;F760,IMPORTRANGE(""https://docs.google.com/spreadsheets/d/1Uw7-A9f9R21vMXxHZFNpYNeKFtG8_yji4HS352LGlSQ/edit?pli=1#gid=0"",""1_ACUM!A4:S""),17,FALSE))"),"")</f>
        <v/>
      </c>
      <c r="AI737" s="44" t="str">
        <f ca="1">IFERROR(__xludf.DUMMYFUNCTION("IFERROR(VLOOKUP(E760&amp;F760,IMPORTRANGE(""https://docs.google.com/spreadsheets/d/1Uw7-A9f9R21vMXxHZFNpYNeKFtG8_yji4HS352LGlSQ/edit?pli=1#gid=0"",""1_ACUM!A4:S""),18,FALSE))"),"")</f>
        <v/>
      </c>
      <c r="AJ737" s="44" t="str">
        <f ca="1">IFERROR(__xludf.DUMMYFUNCTION("IFERROR(VLOOKUP(E760&amp;F760,IMPORTRANGE(""https://docs.google.com/spreadsheets/d/1Uw7-A9f9R21vMXxHZFNpYNeKFtG8_yji4HS352LGlSQ/edit?pli=1#gid=0"",""1_ACUM!A4:S""),19,FALSE))"),"")</f>
        <v/>
      </c>
      <c r="AK737" s="98" t="str">
        <f ca="1">IFERROR(__xludf.DUMMYFUNCTION("IFERROR(VLOOKUP(F760,IMPORTRANGE(""https://docs.google.com/spreadsheets/d/1Kvs4KS76FHFqLFIZfrDMff4kP08nblUkihrxltoGBjg/edit#gid=934712705"",""ESENCIAL!A6:BG""),5,FALSE))"),"")</f>
        <v/>
      </c>
      <c r="AL737" s="98" t="str">
        <f t="shared" si="44"/>
        <v/>
      </c>
      <c r="AM737" s="99" t="str">
        <f t="shared" si="45"/>
        <v/>
      </c>
      <c r="AN737" s="100" t="str">
        <f ca="1">IFERROR(__xludf.DUMMYFUNCTION("IFERROR(VLOOKUP(F760,IMPORTRANGE(""https://docs.google.com/spreadsheets/d/1Kvs4KS76FHFqLFIZfrDMff4kP08nblUkihrxltoGBjg/edit#gid=934712705"",""ESENCIAL!A6:BG""),2,FALSE))"),"")</f>
        <v/>
      </c>
      <c r="AO737" s="19" t="str">
        <f t="shared" si="33"/>
        <v/>
      </c>
      <c r="AP737" s="100"/>
      <c r="AQ737" s="100"/>
    </row>
    <row r="738" spans="1:43" ht="15">
      <c r="A738" s="5"/>
      <c r="B738" s="5"/>
      <c r="G738" s="5" t="str">
        <f ca="1">IFERROR(__xludf.DUMMYFUNCTION("IFERROR(VLOOKUP(F761,IMPORTRANGE(""https://docs.google.com/spreadsheets/d/1Kvs4KS76FHFqLFIZfrDMff4kP08nblUkihrxltoGBjg/edit#gid=934712705"",""ESENCIAL!A6:BG""),3,FALSE))"),"")</f>
        <v/>
      </c>
      <c r="H738" s="5" t="str">
        <f ca="1">IFERROR(__xludf.DUMMYFUNCTION("IFERROR(VLOOKUP(F761,IMPORTRANGE(""https://docs.google.com/spreadsheets/d/1Kvs4KS76FHFqLFIZfrDMff4kP08nblUkihrxltoGBjg/edit#gid=934712705"",""ESENCIAL!A6:BG""),8,FALSE))"),"")</f>
        <v/>
      </c>
      <c r="L738" s="40"/>
      <c r="Z738" s="41" t="str">
        <f t="shared" si="43"/>
        <v/>
      </c>
      <c r="AA738" s="5" t="str">
        <f ca="1">IFERROR(__xludf.DUMMYFUNCTION("IFERROR(VLOOKUP(E761&amp;F761,IMPORTRANGE(""https://docs.google.com/spreadsheets/d/1Uw7-A9f9R21vMXxHZFNpYNeKFtG8_yji4HS352LGlSQ/edit?pli=1#gid=0"",""1_ACUM!A4:S""),11,FALSE))"),"")</f>
        <v/>
      </c>
      <c r="AB738" s="42" t="str">
        <f ca="1">IFERROR(__xludf.DUMMYFUNCTION("IFERROR(VLOOKUP(F761,IMPORTRANGE(""https://docs.google.com/spreadsheets/d/1Kvs4KS76FHFqLFIZfrDMff4kP08nblUkihrxltoGBjg/edit#gid=934712705"",""ESENCIAL!A6:BG""),15,FALSE))"),"")</f>
        <v/>
      </c>
      <c r="AC738" s="110" t="str">
        <f ca="1">IFERROR(__xludf.DUMMYFUNCTION("IFERROR(VLOOKUP(E761&amp;F761,IMPORTRANGE(""https://docs.google.com/spreadsheets/d/1Uw7-A9f9R21vMXxHZFNpYNeKFtG8_yji4HS352LGlSQ/edit?pli=1#gid=0"",""1_ACUM!A4:S""),13,FALSE))"),"")</f>
        <v/>
      </c>
      <c r="AD738" s="43" t="str">
        <f ca="1">IFERROR(__xludf.DUMMYFUNCTION("IFERROR(VLOOKUP(E761&amp;F761,IMPORTRANGE(""https://docs.google.com/spreadsheets/d/1Uw7-A9f9R21vMXxHZFNpYNeKFtG8_yji4HS352LGlSQ/edit?pli=1#gid=0"",""1_ACUM!A4:S""),13,FALSE))"),"")</f>
        <v/>
      </c>
      <c r="AE738" s="43" t="str">
        <f ca="1">IFERROR(__xludf.DUMMYFUNCTION("IFERROR(VLOOKUP(E761&amp;F761,IMPORTRANGE(""https://docs.google.com/spreadsheets/d/1Uw7-A9f9R21vMXxHZFNpYNeKFtG8_yji4HS352LGlSQ/edit?pli=1#gid=0"",""1_ACUM!A4:S""),14,FALSE))"),"")</f>
        <v/>
      </c>
      <c r="AF738" s="43" t="str">
        <f ca="1">IFERROR(__xludf.DUMMYFUNCTION("IFERROR(VLOOKUP(E761&amp;F761,IMPORTRANGE(""https://docs.google.com/spreadsheets/d/1Uw7-A9f9R21vMXxHZFNpYNeKFtG8_yji4HS352LGlSQ/edit?pli=1#gid=0"",""1_ACUM!A4:S""),15,FALSE))"),"")</f>
        <v/>
      </c>
      <c r="AG738" s="43" t="str">
        <f ca="1">IFERROR(__xludf.DUMMYFUNCTION("IFERROR(VLOOKUP(E761&amp;F761,IMPORTRANGE(""https://docs.google.com/spreadsheets/d/1Uw7-A9f9R21vMXxHZFNpYNeKFtG8_yji4HS352LGlSQ/edit?pli=1#gid=0"",""1_ACUM!A4:S""),16,FALSE))"),"")</f>
        <v/>
      </c>
      <c r="AH738" s="43" t="str">
        <f ca="1">IFERROR(__xludf.DUMMYFUNCTION("IFERROR(VLOOKUP(E761&amp;F761,IMPORTRANGE(""https://docs.google.com/spreadsheets/d/1Uw7-A9f9R21vMXxHZFNpYNeKFtG8_yji4HS352LGlSQ/edit?pli=1#gid=0"",""1_ACUM!A4:S""),17,FALSE))"),"")</f>
        <v/>
      </c>
      <c r="AI738" s="44" t="str">
        <f ca="1">IFERROR(__xludf.DUMMYFUNCTION("IFERROR(VLOOKUP(E761&amp;F761,IMPORTRANGE(""https://docs.google.com/spreadsheets/d/1Uw7-A9f9R21vMXxHZFNpYNeKFtG8_yji4HS352LGlSQ/edit?pli=1#gid=0"",""1_ACUM!A4:S""),18,FALSE))"),"")</f>
        <v/>
      </c>
      <c r="AJ738" s="44" t="str">
        <f ca="1">IFERROR(__xludf.DUMMYFUNCTION("IFERROR(VLOOKUP(E761&amp;F761,IMPORTRANGE(""https://docs.google.com/spreadsheets/d/1Uw7-A9f9R21vMXxHZFNpYNeKFtG8_yji4HS352LGlSQ/edit?pli=1#gid=0"",""1_ACUM!A4:S""),19,FALSE))"),"")</f>
        <v/>
      </c>
      <c r="AK738" s="98" t="str">
        <f ca="1">IFERROR(__xludf.DUMMYFUNCTION("IFERROR(VLOOKUP(F761,IMPORTRANGE(""https://docs.google.com/spreadsheets/d/1Kvs4KS76FHFqLFIZfrDMff4kP08nblUkihrxltoGBjg/edit#gid=934712705"",""ESENCIAL!A6:BG""),5,FALSE))"),"")</f>
        <v/>
      </c>
      <c r="AL738" s="98" t="str">
        <f t="shared" si="44"/>
        <v/>
      </c>
      <c r="AM738" s="99" t="str">
        <f t="shared" si="45"/>
        <v/>
      </c>
      <c r="AN738" s="100" t="str">
        <f ca="1">IFERROR(__xludf.DUMMYFUNCTION("IFERROR(VLOOKUP(F761,IMPORTRANGE(""https://docs.google.com/spreadsheets/d/1Kvs4KS76FHFqLFIZfrDMff4kP08nblUkihrxltoGBjg/edit#gid=934712705"",""ESENCIAL!A6:BG""),2,FALSE))"),"")</f>
        <v/>
      </c>
      <c r="AO738" s="19" t="str">
        <f t="shared" si="33"/>
        <v/>
      </c>
      <c r="AP738" s="100"/>
      <c r="AQ738" s="100"/>
    </row>
    <row r="739" spans="1:43" ht="15">
      <c r="A739" s="5"/>
      <c r="B739" s="5"/>
      <c r="G739" s="5" t="str">
        <f ca="1">IFERROR(__xludf.DUMMYFUNCTION("IFERROR(VLOOKUP(F762,IMPORTRANGE(""https://docs.google.com/spreadsheets/d/1Kvs4KS76FHFqLFIZfrDMff4kP08nblUkihrxltoGBjg/edit#gid=934712705"",""ESENCIAL!A6:BG""),3,FALSE))"),"")</f>
        <v/>
      </c>
      <c r="H739" s="5" t="str">
        <f ca="1">IFERROR(__xludf.DUMMYFUNCTION("IFERROR(VLOOKUP(F762,IMPORTRANGE(""https://docs.google.com/spreadsheets/d/1Kvs4KS76FHFqLFIZfrDMff4kP08nblUkihrxltoGBjg/edit#gid=934712705"",""ESENCIAL!A6:BG""),8,FALSE))"),"")</f>
        <v/>
      </c>
      <c r="L739" s="40"/>
      <c r="Z739" s="41" t="str">
        <f t="shared" si="43"/>
        <v/>
      </c>
      <c r="AA739" s="5" t="str">
        <f ca="1">IFERROR(__xludf.DUMMYFUNCTION("IFERROR(VLOOKUP(E762&amp;F762,IMPORTRANGE(""https://docs.google.com/spreadsheets/d/1Uw7-A9f9R21vMXxHZFNpYNeKFtG8_yji4HS352LGlSQ/edit?pli=1#gid=0"",""1_ACUM!A4:S""),11,FALSE))"),"")</f>
        <v/>
      </c>
      <c r="AB739" s="42" t="str">
        <f ca="1">IFERROR(__xludf.DUMMYFUNCTION("IFERROR(VLOOKUP(F762,IMPORTRANGE(""https://docs.google.com/spreadsheets/d/1Kvs4KS76FHFqLFIZfrDMff4kP08nblUkihrxltoGBjg/edit#gid=934712705"",""ESENCIAL!A6:BG""),15,FALSE))"),"")</f>
        <v/>
      </c>
      <c r="AC739" s="110" t="str">
        <f ca="1">IFERROR(__xludf.DUMMYFUNCTION("IFERROR(VLOOKUP(E762&amp;F762,IMPORTRANGE(""https://docs.google.com/spreadsheets/d/1Uw7-A9f9R21vMXxHZFNpYNeKFtG8_yji4HS352LGlSQ/edit?pli=1#gid=0"",""1_ACUM!A4:S""),13,FALSE))"),"")</f>
        <v/>
      </c>
      <c r="AD739" s="43" t="str">
        <f ca="1">IFERROR(__xludf.DUMMYFUNCTION("IFERROR(VLOOKUP(E762&amp;F762,IMPORTRANGE(""https://docs.google.com/spreadsheets/d/1Uw7-A9f9R21vMXxHZFNpYNeKFtG8_yji4HS352LGlSQ/edit?pli=1#gid=0"",""1_ACUM!A4:S""),13,FALSE))"),"")</f>
        <v/>
      </c>
      <c r="AE739" s="43" t="str">
        <f ca="1">IFERROR(__xludf.DUMMYFUNCTION("IFERROR(VLOOKUP(E762&amp;F762,IMPORTRANGE(""https://docs.google.com/spreadsheets/d/1Uw7-A9f9R21vMXxHZFNpYNeKFtG8_yji4HS352LGlSQ/edit?pli=1#gid=0"",""1_ACUM!A4:S""),14,FALSE))"),"")</f>
        <v/>
      </c>
      <c r="AF739" s="43" t="str">
        <f ca="1">IFERROR(__xludf.DUMMYFUNCTION("IFERROR(VLOOKUP(E762&amp;F762,IMPORTRANGE(""https://docs.google.com/spreadsheets/d/1Uw7-A9f9R21vMXxHZFNpYNeKFtG8_yji4HS352LGlSQ/edit?pli=1#gid=0"",""1_ACUM!A4:S""),15,FALSE))"),"")</f>
        <v/>
      </c>
      <c r="AG739" s="43" t="str">
        <f ca="1">IFERROR(__xludf.DUMMYFUNCTION("IFERROR(VLOOKUP(E762&amp;F762,IMPORTRANGE(""https://docs.google.com/spreadsheets/d/1Uw7-A9f9R21vMXxHZFNpYNeKFtG8_yji4HS352LGlSQ/edit?pli=1#gid=0"",""1_ACUM!A4:S""),16,FALSE))"),"")</f>
        <v/>
      </c>
      <c r="AH739" s="43" t="str">
        <f ca="1">IFERROR(__xludf.DUMMYFUNCTION("IFERROR(VLOOKUP(E762&amp;F762,IMPORTRANGE(""https://docs.google.com/spreadsheets/d/1Uw7-A9f9R21vMXxHZFNpYNeKFtG8_yji4HS352LGlSQ/edit?pli=1#gid=0"",""1_ACUM!A4:S""),17,FALSE))"),"")</f>
        <v/>
      </c>
      <c r="AI739" s="44" t="str">
        <f ca="1">IFERROR(__xludf.DUMMYFUNCTION("IFERROR(VLOOKUP(E762&amp;F762,IMPORTRANGE(""https://docs.google.com/spreadsheets/d/1Uw7-A9f9R21vMXxHZFNpYNeKFtG8_yji4HS352LGlSQ/edit?pli=1#gid=0"",""1_ACUM!A4:S""),18,FALSE))"),"")</f>
        <v/>
      </c>
      <c r="AJ739" s="44" t="str">
        <f ca="1">IFERROR(__xludf.DUMMYFUNCTION("IFERROR(VLOOKUP(E762&amp;F762,IMPORTRANGE(""https://docs.google.com/spreadsheets/d/1Uw7-A9f9R21vMXxHZFNpYNeKFtG8_yji4HS352LGlSQ/edit?pli=1#gid=0"",""1_ACUM!A4:S""),19,FALSE))"),"")</f>
        <v/>
      </c>
      <c r="AK739" s="98" t="str">
        <f ca="1">IFERROR(__xludf.DUMMYFUNCTION("IFERROR(VLOOKUP(F762,IMPORTRANGE(""https://docs.google.com/spreadsheets/d/1Kvs4KS76FHFqLFIZfrDMff4kP08nblUkihrxltoGBjg/edit#gid=934712705"",""ESENCIAL!A6:BG""),5,FALSE))"),"")</f>
        <v/>
      </c>
      <c r="AL739" s="98" t="str">
        <f t="shared" si="44"/>
        <v/>
      </c>
      <c r="AM739" s="99" t="str">
        <f t="shared" si="45"/>
        <v/>
      </c>
      <c r="AN739" s="100" t="str">
        <f ca="1">IFERROR(__xludf.DUMMYFUNCTION("IFERROR(VLOOKUP(F762,IMPORTRANGE(""https://docs.google.com/spreadsheets/d/1Kvs4KS76FHFqLFIZfrDMff4kP08nblUkihrxltoGBjg/edit#gid=934712705"",""ESENCIAL!A6:BG""),2,FALSE))"),"")</f>
        <v/>
      </c>
      <c r="AO739" s="19" t="str">
        <f t="shared" si="33"/>
        <v/>
      </c>
      <c r="AP739" s="100"/>
      <c r="AQ739" s="100"/>
    </row>
    <row r="740" spans="1:43" ht="15">
      <c r="A740" s="5"/>
      <c r="B740" s="5"/>
      <c r="G740" s="5" t="str">
        <f ca="1">IFERROR(__xludf.DUMMYFUNCTION("IFERROR(VLOOKUP(F763,IMPORTRANGE(""https://docs.google.com/spreadsheets/d/1Kvs4KS76FHFqLFIZfrDMff4kP08nblUkihrxltoGBjg/edit#gid=934712705"",""ESENCIAL!A6:BG""),3,FALSE))"),"")</f>
        <v/>
      </c>
      <c r="H740" s="5" t="str">
        <f ca="1">IFERROR(__xludf.DUMMYFUNCTION("IFERROR(VLOOKUP(F763,IMPORTRANGE(""https://docs.google.com/spreadsheets/d/1Kvs4KS76FHFqLFIZfrDMff4kP08nblUkihrxltoGBjg/edit#gid=934712705"",""ESENCIAL!A6:BG""),8,FALSE))"),"")</f>
        <v/>
      </c>
      <c r="L740" s="40"/>
      <c r="Z740" s="41" t="str">
        <f t="shared" si="43"/>
        <v/>
      </c>
      <c r="AA740" s="5" t="str">
        <f ca="1">IFERROR(__xludf.DUMMYFUNCTION("IFERROR(VLOOKUP(E763&amp;F763,IMPORTRANGE(""https://docs.google.com/spreadsheets/d/1Uw7-A9f9R21vMXxHZFNpYNeKFtG8_yji4HS352LGlSQ/edit?pli=1#gid=0"",""1_ACUM!A4:S""),11,FALSE))"),"")</f>
        <v/>
      </c>
      <c r="AB740" s="42" t="str">
        <f ca="1">IFERROR(__xludf.DUMMYFUNCTION("IFERROR(VLOOKUP(F763,IMPORTRANGE(""https://docs.google.com/spreadsheets/d/1Kvs4KS76FHFqLFIZfrDMff4kP08nblUkihrxltoGBjg/edit#gid=934712705"",""ESENCIAL!A6:BG""),15,FALSE))"),"")</f>
        <v/>
      </c>
      <c r="AC740" s="110" t="str">
        <f ca="1">IFERROR(__xludf.DUMMYFUNCTION("IFERROR(VLOOKUP(E763&amp;F763,IMPORTRANGE(""https://docs.google.com/spreadsheets/d/1Uw7-A9f9R21vMXxHZFNpYNeKFtG8_yji4HS352LGlSQ/edit?pli=1#gid=0"",""1_ACUM!A4:S""),13,FALSE))"),"")</f>
        <v/>
      </c>
      <c r="AD740" s="43" t="str">
        <f ca="1">IFERROR(__xludf.DUMMYFUNCTION("IFERROR(VLOOKUP(E763&amp;F763,IMPORTRANGE(""https://docs.google.com/spreadsheets/d/1Uw7-A9f9R21vMXxHZFNpYNeKFtG8_yji4HS352LGlSQ/edit?pli=1#gid=0"",""1_ACUM!A4:S""),13,FALSE))"),"")</f>
        <v/>
      </c>
      <c r="AE740" s="43" t="str">
        <f ca="1">IFERROR(__xludf.DUMMYFUNCTION("IFERROR(VLOOKUP(E763&amp;F763,IMPORTRANGE(""https://docs.google.com/spreadsheets/d/1Uw7-A9f9R21vMXxHZFNpYNeKFtG8_yji4HS352LGlSQ/edit?pli=1#gid=0"",""1_ACUM!A4:S""),14,FALSE))"),"")</f>
        <v/>
      </c>
      <c r="AF740" s="43" t="str">
        <f ca="1">IFERROR(__xludf.DUMMYFUNCTION("IFERROR(VLOOKUP(E763&amp;F763,IMPORTRANGE(""https://docs.google.com/spreadsheets/d/1Uw7-A9f9R21vMXxHZFNpYNeKFtG8_yji4HS352LGlSQ/edit?pli=1#gid=0"",""1_ACUM!A4:S""),15,FALSE))"),"")</f>
        <v/>
      </c>
      <c r="AG740" s="43" t="str">
        <f ca="1">IFERROR(__xludf.DUMMYFUNCTION("IFERROR(VLOOKUP(E763&amp;F763,IMPORTRANGE(""https://docs.google.com/spreadsheets/d/1Uw7-A9f9R21vMXxHZFNpYNeKFtG8_yji4HS352LGlSQ/edit?pli=1#gid=0"",""1_ACUM!A4:S""),16,FALSE))"),"")</f>
        <v/>
      </c>
      <c r="AH740" s="43" t="str">
        <f ca="1">IFERROR(__xludf.DUMMYFUNCTION("IFERROR(VLOOKUP(E763&amp;F763,IMPORTRANGE(""https://docs.google.com/spreadsheets/d/1Uw7-A9f9R21vMXxHZFNpYNeKFtG8_yji4HS352LGlSQ/edit?pli=1#gid=0"",""1_ACUM!A4:S""),17,FALSE))"),"")</f>
        <v/>
      </c>
      <c r="AI740" s="44" t="str">
        <f ca="1">IFERROR(__xludf.DUMMYFUNCTION("IFERROR(VLOOKUP(E763&amp;F763,IMPORTRANGE(""https://docs.google.com/spreadsheets/d/1Uw7-A9f9R21vMXxHZFNpYNeKFtG8_yji4HS352LGlSQ/edit?pli=1#gid=0"",""1_ACUM!A4:S""),18,FALSE))"),"")</f>
        <v/>
      </c>
      <c r="AJ740" s="44" t="str">
        <f ca="1">IFERROR(__xludf.DUMMYFUNCTION("IFERROR(VLOOKUP(E763&amp;F763,IMPORTRANGE(""https://docs.google.com/spreadsheets/d/1Uw7-A9f9R21vMXxHZFNpYNeKFtG8_yji4HS352LGlSQ/edit?pli=1#gid=0"",""1_ACUM!A4:S""),19,FALSE))"),"")</f>
        <v/>
      </c>
      <c r="AK740" s="98" t="str">
        <f ca="1">IFERROR(__xludf.DUMMYFUNCTION("IFERROR(VLOOKUP(F763,IMPORTRANGE(""https://docs.google.com/spreadsheets/d/1Kvs4KS76FHFqLFIZfrDMff4kP08nblUkihrxltoGBjg/edit#gid=934712705"",""ESENCIAL!A6:BG""),5,FALSE))"),"")</f>
        <v/>
      </c>
      <c r="AL740" s="98" t="str">
        <f t="shared" si="44"/>
        <v/>
      </c>
      <c r="AM740" s="99" t="str">
        <f t="shared" si="45"/>
        <v/>
      </c>
      <c r="AN740" s="100" t="str">
        <f ca="1">IFERROR(__xludf.DUMMYFUNCTION("IFERROR(VLOOKUP(F763,IMPORTRANGE(""https://docs.google.com/spreadsheets/d/1Kvs4KS76FHFqLFIZfrDMff4kP08nblUkihrxltoGBjg/edit#gid=934712705"",""ESENCIAL!A6:BG""),2,FALSE))"),"")</f>
        <v/>
      </c>
      <c r="AO740" s="19" t="str">
        <f t="shared" si="33"/>
        <v/>
      </c>
      <c r="AP740" s="100"/>
      <c r="AQ740" s="100"/>
    </row>
    <row r="741" spans="1:43" ht="15">
      <c r="A741" s="5"/>
      <c r="B741" s="5"/>
      <c r="G741" s="5" t="str">
        <f ca="1">IFERROR(__xludf.DUMMYFUNCTION("IFERROR(VLOOKUP(F764,IMPORTRANGE(""https://docs.google.com/spreadsheets/d/1Kvs4KS76FHFqLFIZfrDMff4kP08nblUkihrxltoGBjg/edit#gid=934712705"",""ESENCIAL!A6:BG""),3,FALSE))"),"")</f>
        <v/>
      </c>
      <c r="H741" s="5" t="str">
        <f ca="1">IFERROR(__xludf.DUMMYFUNCTION("IFERROR(VLOOKUP(F764,IMPORTRANGE(""https://docs.google.com/spreadsheets/d/1Kvs4KS76FHFqLFIZfrDMff4kP08nblUkihrxltoGBjg/edit#gid=934712705"",""ESENCIAL!A6:BG""),8,FALSE))"),"")</f>
        <v/>
      </c>
      <c r="L741" s="40"/>
      <c r="Z741" s="41" t="str">
        <f t="shared" si="43"/>
        <v/>
      </c>
      <c r="AA741" s="5" t="str">
        <f ca="1">IFERROR(__xludf.DUMMYFUNCTION("IFERROR(VLOOKUP(E764&amp;F764,IMPORTRANGE(""https://docs.google.com/spreadsheets/d/1Uw7-A9f9R21vMXxHZFNpYNeKFtG8_yji4HS352LGlSQ/edit?pli=1#gid=0"",""1_ACUM!A4:S""),11,FALSE))"),"")</f>
        <v/>
      </c>
      <c r="AB741" s="42" t="str">
        <f ca="1">IFERROR(__xludf.DUMMYFUNCTION("IFERROR(VLOOKUP(F764,IMPORTRANGE(""https://docs.google.com/spreadsheets/d/1Kvs4KS76FHFqLFIZfrDMff4kP08nblUkihrxltoGBjg/edit#gid=934712705"",""ESENCIAL!A6:BG""),15,FALSE))"),"")</f>
        <v/>
      </c>
      <c r="AC741" s="110" t="str">
        <f ca="1">IFERROR(__xludf.DUMMYFUNCTION("IFERROR(VLOOKUP(E764&amp;F764,IMPORTRANGE(""https://docs.google.com/spreadsheets/d/1Uw7-A9f9R21vMXxHZFNpYNeKFtG8_yji4HS352LGlSQ/edit?pli=1#gid=0"",""1_ACUM!A4:S""),13,FALSE))"),"")</f>
        <v/>
      </c>
      <c r="AD741" s="43" t="str">
        <f ca="1">IFERROR(__xludf.DUMMYFUNCTION("IFERROR(VLOOKUP(E764&amp;F764,IMPORTRANGE(""https://docs.google.com/spreadsheets/d/1Uw7-A9f9R21vMXxHZFNpYNeKFtG8_yji4HS352LGlSQ/edit?pli=1#gid=0"",""1_ACUM!A4:S""),13,FALSE))"),"")</f>
        <v/>
      </c>
      <c r="AE741" s="43" t="str">
        <f ca="1">IFERROR(__xludf.DUMMYFUNCTION("IFERROR(VLOOKUP(E764&amp;F764,IMPORTRANGE(""https://docs.google.com/spreadsheets/d/1Uw7-A9f9R21vMXxHZFNpYNeKFtG8_yji4HS352LGlSQ/edit?pli=1#gid=0"",""1_ACUM!A4:S""),14,FALSE))"),"")</f>
        <v/>
      </c>
      <c r="AF741" s="43" t="str">
        <f ca="1">IFERROR(__xludf.DUMMYFUNCTION("IFERROR(VLOOKUP(E764&amp;F764,IMPORTRANGE(""https://docs.google.com/spreadsheets/d/1Uw7-A9f9R21vMXxHZFNpYNeKFtG8_yji4HS352LGlSQ/edit?pli=1#gid=0"",""1_ACUM!A4:S""),15,FALSE))"),"")</f>
        <v/>
      </c>
      <c r="AG741" s="43" t="str">
        <f ca="1">IFERROR(__xludf.DUMMYFUNCTION("IFERROR(VLOOKUP(E764&amp;F764,IMPORTRANGE(""https://docs.google.com/spreadsheets/d/1Uw7-A9f9R21vMXxHZFNpYNeKFtG8_yji4HS352LGlSQ/edit?pli=1#gid=0"",""1_ACUM!A4:S""),16,FALSE))"),"")</f>
        <v/>
      </c>
      <c r="AH741" s="43" t="str">
        <f ca="1">IFERROR(__xludf.DUMMYFUNCTION("IFERROR(VLOOKUP(E764&amp;F764,IMPORTRANGE(""https://docs.google.com/spreadsheets/d/1Uw7-A9f9R21vMXxHZFNpYNeKFtG8_yji4HS352LGlSQ/edit?pli=1#gid=0"",""1_ACUM!A4:S""),17,FALSE))"),"")</f>
        <v/>
      </c>
      <c r="AI741" s="44" t="str">
        <f ca="1">IFERROR(__xludf.DUMMYFUNCTION("IFERROR(VLOOKUP(E764&amp;F764,IMPORTRANGE(""https://docs.google.com/spreadsheets/d/1Uw7-A9f9R21vMXxHZFNpYNeKFtG8_yji4HS352LGlSQ/edit?pli=1#gid=0"",""1_ACUM!A4:S""),18,FALSE))"),"")</f>
        <v/>
      </c>
      <c r="AJ741" s="44" t="str">
        <f ca="1">IFERROR(__xludf.DUMMYFUNCTION("IFERROR(VLOOKUP(E764&amp;F764,IMPORTRANGE(""https://docs.google.com/spreadsheets/d/1Uw7-A9f9R21vMXxHZFNpYNeKFtG8_yji4HS352LGlSQ/edit?pli=1#gid=0"",""1_ACUM!A4:S""),19,FALSE))"),"")</f>
        <v/>
      </c>
      <c r="AK741" s="98" t="str">
        <f ca="1">IFERROR(__xludf.DUMMYFUNCTION("IFERROR(VLOOKUP(F764,IMPORTRANGE(""https://docs.google.com/spreadsheets/d/1Kvs4KS76FHFqLFIZfrDMff4kP08nblUkihrxltoGBjg/edit#gid=934712705"",""ESENCIAL!A6:BG""),5,FALSE))"),"")</f>
        <v/>
      </c>
      <c r="AL741" s="98" t="str">
        <f t="shared" si="44"/>
        <v/>
      </c>
      <c r="AM741" s="99" t="str">
        <f t="shared" si="45"/>
        <v/>
      </c>
      <c r="AN741" s="100" t="str">
        <f ca="1">IFERROR(__xludf.DUMMYFUNCTION("IFERROR(VLOOKUP(F764,IMPORTRANGE(""https://docs.google.com/spreadsheets/d/1Kvs4KS76FHFqLFIZfrDMff4kP08nblUkihrxltoGBjg/edit#gid=934712705"",""ESENCIAL!A6:BG""),2,FALSE))"),"")</f>
        <v/>
      </c>
      <c r="AO741" s="19" t="str">
        <f t="shared" si="33"/>
        <v/>
      </c>
      <c r="AP741" s="100"/>
      <c r="AQ741" s="100"/>
    </row>
    <row r="742" spans="1:43" ht="15">
      <c r="A742" s="5"/>
      <c r="B742" s="5"/>
      <c r="G742" s="5" t="str">
        <f ca="1">IFERROR(__xludf.DUMMYFUNCTION("IFERROR(VLOOKUP(F765,IMPORTRANGE(""https://docs.google.com/spreadsheets/d/1Kvs4KS76FHFqLFIZfrDMff4kP08nblUkihrxltoGBjg/edit#gid=934712705"",""ESENCIAL!A6:BG""),3,FALSE))"),"")</f>
        <v/>
      </c>
      <c r="H742" s="5" t="str">
        <f ca="1">IFERROR(__xludf.DUMMYFUNCTION("IFERROR(VLOOKUP(F765,IMPORTRANGE(""https://docs.google.com/spreadsheets/d/1Kvs4KS76FHFqLFIZfrDMff4kP08nblUkihrxltoGBjg/edit#gid=934712705"",""ESENCIAL!A6:BG""),8,FALSE))"),"")</f>
        <v/>
      </c>
      <c r="L742" s="40"/>
      <c r="Z742" s="41" t="str">
        <f t="shared" si="43"/>
        <v/>
      </c>
      <c r="AA742" s="5" t="str">
        <f ca="1">IFERROR(__xludf.DUMMYFUNCTION("IFERROR(VLOOKUP(E765&amp;F765,IMPORTRANGE(""https://docs.google.com/spreadsheets/d/1Uw7-A9f9R21vMXxHZFNpYNeKFtG8_yji4HS352LGlSQ/edit?pli=1#gid=0"",""1_ACUM!A4:S""),11,FALSE))"),"")</f>
        <v/>
      </c>
      <c r="AB742" s="42" t="str">
        <f ca="1">IFERROR(__xludf.DUMMYFUNCTION("IFERROR(VLOOKUP(F765,IMPORTRANGE(""https://docs.google.com/spreadsheets/d/1Kvs4KS76FHFqLFIZfrDMff4kP08nblUkihrxltoGBjg/edit#gid=934712705"",""ESENCIAL!A6:BG""),15,FALSE))"),"")</f>
        <v/>
      </c>
      <c r="AC742" s="110" t="str">
        <f ca="1">IFERROR(__xludf.DUMMYFUNCTION("IFERROR(VLOOKUP(E765&amp;F765,IMPORTRANGE(""https://docs.google.com/spreadsheets/d/1Uw7-A9f9R21vMXxHZFNpYNeKFtG8_yji4HS352LGlSQ/edit?pli=1#gid=0"",""1_ACUM!A4:S""),13,FALSE))"),"")</f>
        <v/>
      </c>
      <c r="AD742" s="43" t="str">
        <f ca="1">IFERROR(__xludf.DUMMYFUNCTION("IFERROR(VLOOKUP(E765&amp;F765,IMPORTRANGE(""https://docs.google.com/spreadsheets/d/1Uw7-A9f9R21vMXxHZFNpYNeKFtG8_yji4HS352LGlSQ/edit?pli=1#gid=0"",""1_ACUM!A4:S""),13,FALSE))"),"")</f>
        <v/>
      </c>
      <c r="AE742" s="43" t="str">
        <f ca="1">IFERROR(__xludf.DUMMYFUNCTION("IFERROR(VLOOKUP(E765&amp;F765,IMPORTRANGE(""https://docs.google.com/spreadsheets/d/1Uw7-A9f9R21vMXxHZFNpYNeKFtG8_yji4HS352LGlSQ/edit?pli=1#gid=0"",""1_ACUM!A4:S""),14,FALSE))"),"")</f>
        <v/>
      </c>
      <c r="AF742" s="43" t="str">
        <f ca="1">IFERROR(__xludf.DUMMYFUNCTION("IFERROR(VLOOKUP(E765&amp;F765,IMPORTRANGE(""https://docs.google.com/spreadsheets/d/1Uw7-A9f9R21vMXxHZFNpYNeKFtG8_yji4HS352LGlSQ/edit?pli=1#gid=0"",""1_ACUM!A4:S""),15,FALSE))"),"")</f>
        <v/>
      </c>
      <c r="AG742" s="43" t="str">
        <f ca="1">IFERROR(__xludf.DUMMYFUNCTION("IFERROR(VLOOKUP(E765&amp;F765,IMPORTRANGE(""https://docs.google.com/spreadsheets/d/1Uw7-A9f9R21vMXxHZFNpYNeKFtG8_yji4HS352LGlSQ/edit?pli=1#gid=0"",""1_ACUM!A4:S""),16,FALSE))"),"")</f>
        <v/>
      </c>
      <c r="AH742" s="43" t="str">
        <f ca="1">IFERROR(__xludf.DUMMYFUNCTION("IFERROR(VLOOKUP(E765&amp;F765,IMPORTRANGE(""https://docs.google.com/spreadsheets/d/1Uw7-A9f9R21vMXxHZFNpYNeKFtG8_yji4HS352LGlSQ/edit?pli=1#gid=0"",""1_ACUM!A4:S""),17,FALSE))"),"")</f>
        <v/>
      </c>
      <c r="AI742" s="44" t="str">
        <f ca="1">IFERROR(__xludf.DUMMYFUNCTION("IFERROR(VLOOKUP(E765&amp;F765,IMPORTRANGE(""https://docs.google.com/spreadsheets/d/1Uw7-A9f9R21vMXxHZFNpYNeKFtG8_yji4HS352LGlSQ/edit?pli=1#gid=0"",""1_ACUM!A4:S""),18,FALSE))"),"")</f>
        <v/>
      </c>
      <c r="AJ742" s="44" t="str">
        <f ca="1">IFERROR(__xludf.DUMMYFUNCTION("IFERROR(VLOOKUP(E765&amp;F765,IMPORTRANGE(""https://docs.google.com/spreadsheets/d/1Uw7-A9f9R21vMXxHZFNpYNeKFtG8_yji4HS352LGlSQ/edit?pli=1#gid=0"",""1_ACUM!A4:S""),19,FALSE))"),"")</f>
        <v/>
      </c>
      <c r="AK742" s="98" t="str">
        <f ca="1">IFERROR(__xludf.DUMMYFUNCTION("IFERROR(VLOOKUP(F765,IMPORTRANGE(""https://docs.google.com/spreadsheets/d/1Kvs4KS76FHFqLFIZfrDMff4kP08nblUkihrxltoGBjg/edit#gid=934712705"",""ESENCIAL!A6:BG""),5,FALSE))"),"")</f>
        <v/>
      </c>
      <c r="AL742" s="98" t="str">
        <f t="shared" si="44"/>
        <v/>
      </c>
      <c r="AM742" s="99" t="str">
        <f t="shared" si="45"/>
        <v/>
      </c>
      <c r="AN742" s="100" t="str">
        <f ca="1">IFERROR(__xludf.DUMMYFUNCTION("IFERROR(VLOOKUP(F765,IMPORTRANGE(""https://docs.google.com/spreadsheets/d/1Kvs4KS76FHFqLFIZfrDMff4kP08nblUkihrxltoGBjg/edit#gid=934712705"",""ESENCIAL!A6:BG""),2,FALSE))"),"")</f>
        <v/>
      </c>
      <c r="AO742" s="19" t="str">
        <f t="shared" si="33"/>
        <v/>
      </c>
      <c r="AP742" s="100"/>
      <c r="AQ742" s="100"/>
    </row>
    <row r="743" spans="1:43" ht="15">
      <c r="A743" s="5"/>
      <c r="B743" s="5"/>
      <c r="G743" s="5" t="str">
        <f ca="1">IFERROR(__xludf.DUMMYFUNCTION("IFERROR(VLOOKUP(F766,IMPORTRANGE(""https://docs.google.com/spreadsheets/d/1Kvs4KS76FHFqLFIZfrDMff4kP08nblUkihrxltoGBjg/edit#gid=934712705"",""ESENCIAL!A6:BG""),3,FALSE))"),"")</f>
        <v/>
      </c>
      <c r="H743" s="5" t="str">
        <f ca="1">IFERROR(__xludf.DUMMYFUNCTION("IFERROR(VLOOKUP(F766,IMPORTRANGE(""https://docs.google.com/spreadsheets/d/1Kvs4KS76FHFqLFIZfrDMff4kP08nblUkihrxltoGBjg/edit#gid=934712705"",""ESENCIAL!A6:BG""),8,FALSE))"),"")</f>
        <v/>
      </c>
      <c r="L743" s="40"/>
      <c r="Z743" s="41" t="str">
        <f t="shared" si="43"/>
        <v/>
      </c>
      <c r="AA743" s="5" t="str">
        <f ca="1">IFERROR(__xludf.DUMMYFUNCTION("IFERROR(VLOOKUP(E766&amp;F766,IMPORTRANGE(""https://docs.google.com/spreadsheets/d/1Uw7-A9f9R21vMXxHZFNpYNeKFtG8_yji4HS352LGlSQ/edit?pli=1#gid=0"",""1_ACUM!A4:S""),11,FALSE))"),"")</f>
        <v/>
      </c>
      <c r="AB743" s="42" t="str">
        <f ca="1">IFERROR(__xludf.DUMMYFUNCTION("IFERROR(VLOOKUP(F766,IMPORTRANGE(""https://docs.google.com/spreadsheets/d/1Kvs4KS76FHFqLFIZfrDMff4kP08nblUkihrxltoGBjg/edit#gid=934712705"",""ESENCIAL!A6:BG""),15,FALSE))"),"")</f>
        <v/>
      </c>
      <c r="AC743" s="110" t="str">
        <f ca="1">IFERROR(__xludf.DUMMYFUNCTION("IFERROR(VLOOKUP(E766&amp;F766,IMPORTRANGE(""https://docs.google.com/spreadsheets/d/1Uw7-A9f9R21vMXxHZFNpYNeKFtG8_yji4HS352LGlSQ/edit?pli=1#gid=0"",""1_ACUM!A4:S""),13,FALSE))"),"")</f>
        <v/>
      </c>
      <c r="AD743" s="43" t="str">
        <f ca="1">IFERROR(__xludf.DUMMYFUNCTION("IFERROR(VLOOKUP(E766&amp;F766,IMPORTRANGE(""https://docs.google.com/spreadsheets/d/1Uw7-A9f9R21vMXxHZFNpYNeKFtG8_yji4HS352LGlSQ/edit?pli=1#gid=0"",""1_ACUM!A4:S""),13,FALSE))"),"")</f>
        <v/>
      </c>
      <c r="AE743" s="43" t="str">
        <f ca="1">IFERROR(__xludf.DUMMYFUNCTION("IFERROR(VLOOKUP(E766&amp;F766,IMPORTRANGE(""https://docs.google.com/spreadsheets/d/1Uw7-A9f9R21vMXxHZFNpYNeKFtG8_yji4HS352LGlSQ/edit?pli=1#gid=0"",""1_ACUM!A4:S""),14,FALSE))"),"")</f>
        <v/>
      </c>
      <c r="AF743" s="43" t="str">
        <f ca="1">IFERROR(__xludf.DUMMYFUNCTION("IFERROR(VLOOKUP(E766&amp;F766,IMPORTRANGE(""https://docs.google.com/spreadsheets/d/1Uw7-A9f9R21vMXxHZFNpYNeKFtG8_yji4HS352LGlSQ/edit?pli=1#gid=0"",""1_ACUM!A4:S""),15,FALSE))"),"")</f>
        <v/>
      </c>
      <c r="AG743" s="43" t="str">
        <f ca="1">IFERROR(__xludf.DUMMYFUNCTION("IFERROR(VLOOKUP(E766&amp;F766,IMPORTRANGE(""https://docs.google.com/spreadsheets/d/1Uw7-A9f9R21vMXxHZFNpYNeKFtG8_yji4HS352LGlSQ/edit?pli=1#gid=0"",""1_ACUM!A4:S""),16,FALSE))"),"")</f>
        <v/>
      </c>
      <c r="AH743" s="43" t="str">
        <f ca="1">IFERROR(__xludf.DUMMYFUNCTION("IFERROR(VLOOKUP(E766&amp;F766,IMPORTRANGE(""https://docs.google.com/spreadsheets/d/1Uw7-A9f9R21vMXxHZFNpYNeKFtG8_yji4HS352LGlSQ/edit?pli=1#gid=0"",""1_ACUM!A4:S""),17,FALSE))"),"")</f>
        <v/>
      </c>
      <c r="AI743" s="44" t="str">
        <f ca="1">IFERROR(__xludf.DUMMYFUNCTION("IFERROR(VLOOKUP(E766&amp;F766,IMPORTRANGE(""https://docs.google.com/spreadsheets/d/1Uw7-A9f9R21vMXxHZFNpYNeKFtG8_yji4HS352LGlSQ/edit?pli=1#gid=0"",""1_ACUM!A4:S""),18,FALSE))"),"")</f>
        <v/>
      </c>
      <c r="AJ743" s="44" t="str">
        <f ca="1">IFERROR(__xludf.DUMMYFUNCTION("IFERROR(VLOOKUP(E766&amp;F766,IMPORTRANGE(""https://docs.google.com/spreadsheets/d/1Uw7-A9f9R21vMXxHZFNpYNeKFtG8_yji4HS352LGlSQ/edit?pli=1#gid=0"",""1_ACUM!A4:S""),19,FALSE))"),"")</f>
        <v/>
      </c>
      <c r="AK743" s="98" t="str">
        <f ca="1">IFERROR(__xludf.DUMMYFUNCTION("IFERROR(VLOOKUP(F766,IMPORTRANGE(""https://docs.google.com/spreadsheets/d/1Kvs4KS76FHFqLFIZfrDMff4kP08nblUkihrxltoGBjg/edit#gid=934712705"",""ESENCIAL!A6:BG""),5,FALSE))"),"")</f>
        <v/>
      </c>
      <c r="AL743" s="98" t="str">
        <f t="shared" si="44"/>
        <v/>
      </c>
      <c r="AM743" s="99" t="str">
        <f t="shared" si="45"/>
        <v/>
      </c>
      <c r="AN743" s="100" t="str">
        <f ca="1">IFERROR(__xludf.DUMMYFUNCTION("IFERROR(VLOOKUP(F766,IMPORTRANGE(""https://docs.google.com/spreadsheets/d/1Kvs4KS76FHFqLFIZfrDMff4kP08nblUkihrxltoGBjg/edit#gid=934712705"",""ESENCIAL!A6:BG""),2,FALSE))"),"")</f>
        <v/>
      </c>
      <c r="AO743" s="19" t="str">
        <f t="shared" si="33"/>
        <v/>
      </c>
      <c r="AP743" s="100"/>
      <c r="AQ743" s="100"/>
    </row>
    <row r="744" spans="1:43" ht="15">
      <c r="A744" s="5"/>
      <c r="B744" s="5"/>
      <c r="G744" s="5" t="str">
        <f ca="1">IFERROR(__xludf.DUMMYFUNCTION("IFERROR(VLOOKUP(F767,IMPORTRANGE(""https://docs.google.com/spreadsheets/d/1Kvs4KS76FHFqLFIZfrDMff4kP08nblUkihrxltoGBjg/edit#gid=934712705"",""ESENCIAL!A6:BG""),3,FALSE))"),"")</f>
        <v/>
      </c>
      <c r="H744" s="5" t="str">
        <f ca="1">IFERROR(__xludf.DUMMYFUNCTION("IFERROR(VLOOKUP(F767,IMPORTRANGE(""https://docs.google.com/spreadsheets/d/1Kvs4KS76FHFqLFIZfrDMff4kP08nblUkihrxltoGBjg/edit#gid=934712705"",""ESENCIAL!A6:BG""),8,FALSE))"),"")</f>
        <v/>
      </c>
      <c r="L744" s="40"/>
      <c r="Z744" s="41" t="str">
        <f t="shared" si="43"/>
        <v/>
      </c>
      <c r="AA744" s="5" t="str">
        <f ca="1">IFERROR(__xludf.DUMMYFUNCTION("IFERROR(VLOOKUP(E767&amp;F767,IMPORTRANGE(""https://docs.google.com/spreadsheets/d/1Uw7-A9f9R21vMXxHZFNpYNeKFtG8_yji4HS352LGlSQ/edit?pli=1#gid=0"",""1_ACUM!A4:S""),11,FALSE))"),"")</f>
        <v/>
      </c>
      <c r="AB744" s="42" t="str">
        <f ca="1">IFERROR(__xludf.DUMMYFUNCTION("IFERROR(VLOOKUP(F767,IMPORTRANGE(""https://docs.google.com/spreadsheets/d/1Kvs4KS76FHFqLFIZfrDMff4kP08nblUkihrxltoGBjg/edit#gid=934712705"",""ESENCIAL!A6:BG""),15,FALSE))"),"")</f>
        <v/>
      </c>
      <c r="AC744" s="110" t="str">
        <f ca="1">IFERROR(__xludf.DUMMYFUNCTION("IFERROR(VLOOKUP(E767&amp;F767,IMPORTRANGE(""https://docs.google.com/spreadsheets/d/1Uw7-A9f9R21vMXxHZFNpYNeKFtG8_yji4HS352LGlSQ/edit?pli=1#gid=0"",""1_ACUM!A4:S""),13,FALSE))"),"")</f>
        <v/>
      </c>
      <c r="AD744" s="43" t="str">
        <f ca="1">IFERROR(__xludf.DUMMYFUNCTION("IFERROR(VLOOKUP(E767&amp;F767,IMPORTRANGE(""https://docs.google.com/spreadsheets/d/1Uw7-A9f9R21vMXxHZFNpYNeKFtG8_yji4HS352LGlSQ/edit?pli=1#gid=0"",""1_ACUM!A4:S""),13,FALSE))"),"")</f>
        <v/>
      </c>
      <c r="AE744" s="43" t="str">
        <f ca="1">IFERROR(__xludf.DUMMYFUNCTION("IFERROR(VLOOKUP(E767&amp;F767,IMPORTRANGE(""https://docs.google.com/spreadsheets/d/1Uw7-A9f9R21vMXxHZFNpYNeKFtG8_yji4HS352LGlSQ/edit?pli=1#gid=0"",""1_ACUM!A4:S""),14,FALSE))"),"")</f>
        <v/>
      </c>
      <c r="AF744" s="43" t="str">
        <f ca="1">IFERROR(__xludf.DUMMYFUNCTION("IFERROR(VLOOKUP(E767&amp;F767,IMPORTRANGE(""https://docs.google.com/spreadsheets/d/1Uw7-A9f9R21vMXxHZFNpYNeKFtG8_yji4HS352LGlSQ/edit?pli=1#gid=0"",""1_ACUM!A4:S""),15,FALSE))"),"")</f>
        <v/>
      </c>
      <c r="AG744" s="43" t="str">
        <f ca="1">IFERROR(__xludf.DUMMYFUNCTION("IFERROR(VLOOKUP(E767&amp;F767,IMPORTRANGE(""https://docs.google.com/spreadsheets/d/1Uw7-A9f9R21vMXxHZFNpYNeKFtG8_yji4HS352LGlSQ/edit?pli=1#gid=0"",""1_ACUM!A4:S""),16,FALSE))"),"")</f>
        <v/>
      </c>
      <c r="AH744" s="43" t="str">
        <f ca="1">IFERROR(__xludf.DUMMYFUNCTION("IFERROR(VLOOKUP(E767&amp;F767,IMPORTRANGE(""https://docs.google.com/spreadsheets/d/1Uw7-A9f9R21vMXxHZFNpYNeKFtG8_yji4HS352LGlSQ/edit?pli=1#gid=0"",""1_ACUM!A4:S""),17,FALSE))"),"")</f>
        <v/>
      </c>
      <c r="AI744" s="44" t="str">
        <f ca="1">IFERROR(__xludf.DUMMYFUNCTION("IFERROR(VLOOKUP(E767&amp;F767,IMPORTRANGE(""https://docs.google.com/spreadsheets/d/1Uw7-A9f9R21vMXxHZFNpYNeKFtG8_yji4HS352LGlSQ/edit?pli=1#gid=0"",""1_ACUM!A4:S""),18,FALSE))"),"")</f>
        <v/>
      </c>
      <c r="AJ744" s="44" t="str">
        <f ca="1">IFERROR(__xludf.DUMMYFUNCTION("IFERROR(VLOOKUP(E767&amp;F767,IMPORTRANGE(""https://docs.google.com/spreadsheets/d/1Uw7-A9f9R21vMXxHZFNpYNeKFtG8_yji4HS352LGlSQ/edit?pli=1#gid=0"",""1_ACUM!A4:S""),19,FALSE))"),"")</f>
        <v/>
      </c>
      <c r="AK744" s="98" t="str">
        <f ca="1">IFERROR(__xludf.DUMMYFUNCTION("IFERROR(VLOOKUP(F767,IMPORTRANGE(""https://docs.google.com/spreadsheets/d/1Kvs4KS76FHFqLFIZfrDMff4kP08nblUkihrxltoGBjg/edit#gid=934712705"",""ESENCIAL!A6:BG""),5,FALSE))"),"")</f>
        <v/>
      </c>
      <c r="AL744" s="98" t="str">
        <f t="shared" si="44"/>
        <v/>
      </c>
      <c r="AM744" s="99" t="str">
        <f t="shared" si="45"/>
        <v/>
      </c>
      <c r="AN744" s="100" t="str">
        <f ca="1">IFERROR(__xludf.DUMMYFUNCTION("IFERROR(VLOOKUP(F767,IMPORTRANGE(""https://docs.google.com/spreadsheets/d/1Kvs4KS76FHFqLFIZfrDMff4kP08nblUkihrxltoGBjg/edit#gid=934712705"",""ESENCIAL!A6:BG""),2,FALSE))"),"")</f>
        <v/>
      </c>
      <c r="AO744" s="19" t="str">
        <f t="shared" si="33"/>
        <v/>
      </c>
      <c r="AP744" s="100"/>
      <c r="AQ744" s="100"/>
    </row>
    <row r="745" spans="1:43" ht="15">
      <c r="A745" s="5"/>
      <c r="B745" s="5"/>
      <c r="G745" s="5" t="str">
        <f ca="1">IFERROR(__xludf.DUMMYFUNCTION("IFERROR(VLOOKUP(F768,IMPORTRANGE(""https://docs.google.com/spreadsheets/d/1Kvs4KS76FHFqLFIZfrDMff4kP08nblUkihrxltoGBjg/edit#gid=934712705"",""ESENCIAL!A6:BG""),3,FALSE))"),"")</f>
        <v/>
      </c>
      <c r="H745" s="5" t="str">
        <f ca="1">IFERROR(__xludf.DUMMYFUNCTION("IFERROR(VLOOKUP(F768,IMPORTRANGE(""https://docs.google.com/spreadsheets/d/1Kvs4KS76FHFqLFIZfrDMff4kP08nblUkihrxltoGBjg/edit#gid=934712705"",""ESENCIAL!A6:BG""),8,FALSE))"),"")</f>
        <v/>
      </c>
      <c r="L745" s="40"/>
      <c r="Z745" s="41" t="str">
        <f t="shared" si="43"/>
        <v/>
      </c>
      <c r="AA745" s="5" t="str">
        <f ca="1">IFERROR(__xludf.DUMMYFUNCTION("IFERROR(VLOOKUP(E768&amp;F768,IMPORTRANGE(""https://docs.google.com/spreadsheets/d/1Uw7-A9f9R21vMXxHZFNpYNeKFtG8_yji4HS352LGlSQ/edit?pli=1#gid=0"",""1_ACUM!A4:S""),11,FALSE))"),"")</f>
        <v/>
      </c>
      <c r="AB745" s="42" t="str">
        <f ca="1">IFERROR(__xludf.DUMMYFUNCTION("IFERROR(VLOOKUP(F768,IMPORTRANGE(""https://docs.google.com/spreadsheets/d/1Kvs4KS76FHFqLFIZfrDMff4kP08nblUkihrxltoGBjg/edit#gid=934712705"",""ESENCIAL!A6:BG""),15,FALSE))"),"")</f>
        <v/>
      </c>
      <c r="AC745" s="110" t="str">
        <f ca="1">IFERROR(__xludf.DUMMYFUNCTION("IFERROR(VLOOKUP(E768&amp;F768,IMPORTRANGE(""https://docs.google.com/spreadsheets/d/1Uw7-A9f9R21vMXxHZFNpYNeKFtG8_yji4HS352LGlSQ/edit?pli=1#gid=0"",""1_ACUM!A4:S""),13,FALSE))"),"")</f>
        <v/>
      </c>
      <c r="AD745" s="43" t="str">
        <f ca="1">IFERROR(__xludf.DUMMYFUNCTION("IFERROR(VLOOKUP(E768&amp;F768,IMPORTRANGE(""https://docs.google.com/spreadsheets/d/1Uw7-A9f9R21vMXxHZFNpYNeKFtG8_yji4HS352LGlSQ/edit?pli=1#gid=0"",""1_ACUM!A4:S""),13,FALSE))"),"")</f>
        <v/>
      </c>
      <c r="AE745" s="43" t="str">
        <f ca="1">IFERROR(__xludf.DUMMYFUNCTION("IFERROR(VLOOKUP(E768&amp;F768,IMPORTRANGE(""https://docs.google.com/spreadsheets/d/1Uw7-A9f9R21vMXxHZFNpYNeKFtG8_yji4HS352LGlSQ/edit?pli=1#gid=0"",""1_ACUM!A4:S""),14,FALSE))"),"")</f>
        <v/>
      </c>
      <c r="AF745" s="43" t="str">
        <f ca="1">IFERROR(__xludf.DUMMYFUNCTION("IFERROR(VLOOKUP(E768&amp;F768,IMPORTRANGE(""https://docs.google.com/spreadsheets/d/1Uw7-A9f9R21vMXxHZFNpYNeKFtG8_yji4HS352LGlSQ/edit?pli=1#gid=0"",""1_ACUM!A4:S""),15,FALSE))"),"")</f>
        <v/>
      </c>
      <c r="AG745" s="43" t="str">
        <f ca="1">IFERROR(__xludf.DUMMYFUNCTION("IFERROR(VLOOKUP(E768&amp;F768,IMPORTRANGE(""https://docs.google.com/spreadsheets/d/1Uw7-A9f9R21vMXxHZFNpYNeKFtG8_yji4HS352LGlSQ/edit?pli=1#gid=0"",""1_ACUM!A4:S""),16,FALSE))"),"")</f>
        <v/>
      </c>
      <c r="AH745" s="43" t="str">
        <f ca="1">IFERROR(__xludf.DUMMYFUNCTION("IFERROR(VLOOKUP(E768&amp;F768,IMPORTRANGE(""https://docs.google.com/spreadsheets/d/1Uw7-A9f9R21vMXxHZFNpYNeKFtG8_yji4HS352LGlSQ/edit?pli=1#gid=0"",""1_ACUM!A4:S""),17,FALSE))"),"")</f>
        <v/>
      </c>
      <c r="AI745" s="44" t="str">
        <f ca="1">IFERROR(__xludf.DUMMYFUNCTION("IFERROR(VLOOKUP(E768&amp;F768,IMPORTRANGE(""https://docs.google.com/spreadsheets/d/1Uw7-A9f9R21vMXxHZFNpYNeKFtG8_yji4HS352LGlSQ/edit?pli=1#gid=0"",""1_ACUM!A4:S""),18,FALSE))"),"")</f>
        <v/>
      </c>
      <c r="AJ745" s="44" t="str">
        <f ca="1">IFERROR(__xludf.DUMMYFUNCTION("IFERROR(VLOOKUP(E768&amp;F768,IMPORTRANGE(""https://docs.google.com/spreadsheets/d/1Uw7-A9f9R21vMXxHZFNpYNeKFtG8_yji4HS352LGlSQ/edit?pli=1#gid=0"",""1_ACUM!A4:S""),19,FALSE))"),"")</f>
        <v/>
      </c>
      <c r="AK745" s="98" t="str">
        <f ca="1">IFERROR(__xludf.DUMMYFUNCTION("IFERROR(VLOOKUP(F768,IMPORTRANGE(""https://docs.google.com/spreadsheets/d/1Kvs4KS76FHFqLFIZfrDMff4kP08nblUkihrxltoGBjg/edit#gid=934712705"",""ESENCIAL!A6:BG""),5,FALSE))"),"")</f>
        <v/>
      </c>
      <c r="AL745" s="98" t="str">
        <f t="shared" si="44"/>
        <v/>
      </c>
      <c r="AM745" s="99" t="str">
        <f t="shared" si="45"/>
        <v/>
      </c>
      <c r="AN745" s="100" t="str">
        <f ca="1">IFERROR(__xludf.DUMMYFUNCTION("IFERROR(VLOOKUP(F768,IMPORTRANGE(""https://docs.google.com/spreadsheets/d/1Kvs4KS76FHFqLFIZfrDMff4kP08nblUkihrxltoGBjg/edit#gid=934712705"",""ESENCIAL!A6:BG""),2,FALSE))"),"")</f>
        <v/>
      </c>
      <c r="AO745" s="19" t="str">
        <f t="shared" ref="AO745:AO941" si="46">IF(F745&gt;0,"Yamboro","")</f>
        <v/>
      </c>
      <c r="AP745" s="100"/>
      <c r="AQ745" s="100"/>
    </row>
    <row r="746" spans="1:43" ht="15">
      <c r="A746" s="5"/>
      <c r="B746" s="5"/>
      <c r="G746" s="5" t="str">
        <f ca="1">IFERROR(__xludf.DUMMYFUNCTION("IFERROR(VLOOKUP(F769,IMPORTRANGE(""https://docs.google.com/spreadsheets/d/1Kvs4KS76FHFqLFIZfrDMff4kP08nblUkihrxltoGBjg/edit#gid=934712705"",""ESENCIAL!A6:BG""),3,FALSE))"),"")</f>
        <v/>
      </c>
      <c r="H746" s="5" t="str">
        <f ca="1">IFERROR(__xludf.DUMMYFUNCTION("IFERROR(VLOOKUP(F769,IMPORTRANGE(""https://docs.google.com/spreadsheets/d/1Kvs4KS76FHFqLFIZfrDMff4kP08nblUkihrxltoGBjg/edit#gid=934712705"",""ESENCIAL!A6:BG""),8,FALSE))"),"")</f>
        <v/>
      </c>
      <c r="L746" s="40"/>
      <c r="Z746" s="41" t="str">
        <f t="shared" si="43"/>
        <v/>
      </c>
      <c r="AA746" s="5" t="str">
        <f ca="1">IFERROR(__xludf.DUMMYFUNCTION("IFERROR(VLOOKUP(E769&amp;F769,IMPORTRANGE(""https://docs.google.com/spreadsheets/d/1Uw7-A9f9R21vMXxHZFNpYNeKFtG8_yji4HS352LGlSQ/edit?pli=1#gid=0"",""1_ACUM!A4:S""),11,FALSE))"),"")</f>
        <v/>
      </c>
      <c r="AB746" s="42" t="str">
        <f ca="1">IFERROR(__xludf.DUMMYFUNCTION("IFERROR(VLOOKUP(F769,IMPORTRANGE(""https://docs.google.com/spreadsheets/d/1Kvs4KS76FHFqLFIZfrDMff4kP08nblUkihrxltoGBjg/edit#gid=934712705"",""ESENCIAL!A6:BG""),15,FALSE))"),"")</f>
        <v/>
      </c>
      <c r="AC746" s="110" t="str">
        <f ca="1">IFERROR(__xludf.DUMMYFUNCTION("IFERROR(VLOOKUP(E769&amp;F769,IMPORTRANGE(""https://docs.google.com/spreadsheets/d/1Uw7-A9f9R21vMXxHZFNpYNeKFtG8_yji4HS352LGlSQ/edit?pli=1#gid=0"",""1_ACUM!A4:S""),13,FALSE))"),"")</f>
        <v/>
      </c>
      <c r="AD746" s="43" t="str">
        <f ca="1">IFERROR(__xludf.DUMMYFUNCTION("IFERROR(VLOOKUP(E769&amp;F769,IMPORTRANGE(""https://docs.google.com/spreadsheets/d/1Uw7-A9f9R21vMXxHZFNpYNeKFtG8_yji4HS352LGlSQ/edit?pli=1#gid=0"",""1_ACUM!A4:S""),13,FALSE))"),"")</f>
        <v/>
      </c>
      <c r="AE746" s="43" t="str">
        <f ca="1">IFERROR(__xludf.DUMMYFUNCTION("IFERROR(VLOOKUP(E769&amp;F769,IMPORTRANGE(""https://docs.google.com/spreadsheets/d/1Uw7-A9f9R21vMXxHZFNpYNeKFtG8_yji4HS352LGlSQ/edit?pli=1#gid=0"",""1_ACUM!A4:S""),14,FALSE))"),"")</f>
        <v/>
      </c>
      <c r="AF746" s="43" t="str">
        <f ca="1">IFERROR(__xludf.DUMMYFUNCTION("IFERROR(VLOOKUP(E769&amp;F769,IMPORTRANGE(""https://docs.google.com/spreadsheets/d/1Uw7-A9f9R21vMXxHZFNpYNeKFtG8_yji4HS352LGlSQ/edit?pli=1#gid=0"",""1_ACUM!A4:S""),15,FALSE))"),"")</f>
        <v/>
      </c>
      <c r="AG746" s="43" t="str">
        <f ca="1">IFERROR(__xludf.DUMMYFUNCTION("IFERROR(VLOOKUP(E769&amp;F769,IMPORTRANGE(""https://docs.google.com/spreadsheets/d/1Uw7-A9f9R21vMXxHZFNpYNeKFtG8_yji4HS352LGlSQ/edit?pli=1#gid=0"",""1_ACUM!A4:S""),16,FALSE))"),"")</f>
        <v/>
      </c>
      <c r="AH746" s="43" t="str">
        <f ca="1">IFERROR(__xludf.DUMMYFUNCTION("IFERROR(VLOOKUP(E769&amp;F769,IMPORTRANGE(""https://docs.google.com/spreadsheets/d/1Uw7-A9f9R21vMXxHZFNpYNeKFtG8_yji4HS352LGlSQ/edit?pli=1#gid=0"",""1_ACUM!A4:S""),17,FALSE))"),"")</f>
        <v/>
      </c>
      <c r="AI746" s="44" t="str">
        <f ca="1">IFERROR(__xludf.DUMMYFUNCTION("IFERROR(VLOOKUP(E769&amp;F769,IMPORTRANGE(""https://docs.google.com/spreadsheets/d/1Uw7-A9f9R21vMXxHZFNpYNeKFtG8_yji4HS352LGlSQ/edit?pli=1#gid=0"",""1_ACUM!A4:S""),18,FALSE))"),"")</f>
        <v/>
      </c>
      <c r="AJ746" s="44" t="str">
        <f ca="1">IFERROR(__xludf.DUMMYFUNCTION("IFERROR(VLOOKUP(E769&amp;F769,IMPORTRANGE(""https://docs.google.com/spreadsheets/d/1Uw7-A9f9R21vMXxHZFNpYNeKFtG8_yji4HS352LGlSQ/edit?pli=1#gid=0"",""1_ACUM!A4:S""),19,FALSE))"),"")</f>
        <v/>
      </c>
      <c r="AK746" s="98" t="str">
        <f ca="1">IFERROR(__xludf.DUMMYFUNCTION("IFERROR(VLOOKUP(F769,IMPORTRANGE(""https://docs.google.com/spreadsheets/d/1Kvs4KS76FHFqLFIZfrDMff4kP08nblUkihrxltoGBjg/edit#gid=934712705"",""ESENCIAL!A6:BG""),5,FALSE))"),"")</f>
        <v/>
      </c>
      <c r="AL746" s="98" t="str">
        <f t="shared" si="44"/>
        <v/>
      </c>
      <c r="AM746" s="99" t="str">
        <f t="shared" si="45"/>
        <v/>
      </c>
      <c r="AN746" s="100" t="str">
        <f ca="1">IFERROR(__xludf.DUMMYFUNCTION("IFERROR(VLOOKUP(F769,IMPORTRANGE(""https://docs.google.com/spreadsheets/d/1Kvs4KS76FHFqLFIZfrDMff4kP08nblUkihrxltoGBjg/edit#gid=934712705"",""ESENCIAL!A6:BG""),2,FALSE))"),"")</f>
        <v/>
      </c>
      <c r="AO746" s="19" t="str">
        <f t="shared" si="46"/>
        <v/>
      </c>
      <c r="AP746" s="100"/>
      <c r="AQ746" s="100"/>
    </row>
    <row r="747" spans="1:43" ht="15">
      <c r="A747" s="5"/>
      <c r="B747" s="5"/>
      <c r="G747" s="5" t="str">
        <f ca="1">IFERROR(__xludf.DUMMYFUNCTION("IFERROR(VLOOKUP(F770,IMPORTRANGE(""https://docs.google.com/spreadsheets/d/1Kvs4KS76FHFqLFIZfrDMff4kP08nblUkihrxltoGBjg/edit#gid=934712705"",""ESENCIAL!A6:BG""),3,FALSE))"),"")</f>
        <v/>
      </c>
      <c r="H747" s="5" t="str">
        <f ca="1">IFERROR(__xludf.DUMMYFUNCTION("IFERROR(VLOOKUP(F770,IMPORTRANGE(""https://docs.google.com/spreadsheets/d/1Kvs4KS76FHFqLFIZfrDMff4kP08nblUkihrxltoGBjg/edit#gid=934712705"",""ESENCIAL!A6:BG""),8,FALSE))"),"")</f>
        <v/>
      </c>
      <c r="L747" s="40"/>
      <c r="Z747" s="41" t="str">
        <f t="shared" si="43"/>
        <v/>
      </c>
      <c r="AA747" s="5" t="str">
        <f ca="1">IFERROR(__xludf.DUMMYFUNCTION("IFERROR(VLOOKUP(E770&amp;F770,IMPORTRANGE(""https://docs.google.com/spreadsheets/d/1Uw7-A9f9R21vMXxHZFNpYNeKFtG8_yji4HS352LGlSQ/edit?pli=1#gid=0"",""1_ACUM!A4:S""),11,FALSE))"),"")</f>
        <v/>
      </c>
      <c r="AB747" s="42" t="str">
        <f ca="1">IFERROR(__xludf.DUMMYFUNCTION("IFERROR(VLOOKUP(F770,IMPORTRANGE(""https://docs.google.com/spreadsheets/d/1Kvs4KS76FHFqLFIZfrDMff4kP08nblUkihrxltoGBjg/edit#gid=934712705"",""ESENCIAL!A6:BG""),15,FALSE))"),"")</f>
        <v/>
      </c>
      <c r="AC747" s="110" t="str">
        <f ca="1">IFERROR(__xludf.DUMMYFUNCTION("IFERROR(VLOOKUP(E770&amp;F770,IMPORTRANGE(""https://docs.google.com/spreadsheets/d/1Uw7-A9f9R21vMXxHZFNpYNeKFtG8_yji4HS352LGlSQ/edit?pli=1#gid=0"",""1_ACUM!A4:S""),13,FALSE))"),"")</f>
        <v/>
      </c>
      <c r="AD747" s="43" t="str">
        <f ca="1">IFERROR(__xludf.DUMMYFUNCTION("IFERROR(VLOOKUP(E770&amp;F770,IMPORTRANGE(""https://docs.google.com/spreadsheets/d/1Uw7-A9f9R21vMXxHZFNpYNeKFtG8_yji4HS352LGlSQ/edit?pli=1#gid=0"",""1_ACUM!A4:S""),13,FALSE))"),"")</f>
        <v/>
      </c>
      <c r="AE747" s="43" t="str">
        <f ca="1">IFERROR(__xludf.DUMMYFUNCTION("IFERROR(VLOOKUP(E770&amp;F770,IMPORTRANGE(""https://docs.google.com/spreadsheets/d/1Uw7-A9f9R21vMXxHZFNpYNeKFtG8_yji4HS352LGlSQ/edit?pli=1#gid=0"",""1_ACUM!A4:S""),14,FALSE))"),"")</f>
        <v/>
      </c>
      <c r="AF747" s="43" t="str">
        <f ca="1">IFERROR(__xludf.DUMMYFUNCTION("IFERROR(VLOOKUP(E770&amp;F770,IMPORTRANGE(""https://docs.google.com/spreadsheets/d/1Uw7-A9f9R21vMXxHZFNpYNeKFtG8_yji4HS352LGlSQ/edit?pli=1#gid=0"",""1_ACUM!A4:S""),15,FALSE))"),"")</f>
        <v/>
      </c>
      <c r="AG747" s="43" t="str">
        <f ca="1">IFERROR(__xludf.DUMMYFUNCTION("IFERROR(VLOOKUP(E770&amp;F770,IMPORTRANGE(""https://docs.google.com/spreadsheets/d/1Uw7-A9f9R21vMXxHZFNpYNeKFtG8_yji4HS352LGlSQ/edit?pli=1#gid=0"",""1_ACUM!A4:S""),16,FALSE))"),"")</f>
        <v/>
      </c>
      <c r="AH747" s="43" t="str">
        <f ca="1">IFERROR(__xludf.DUMMYFUNCTION("IFERROR(VLOOKUP(E770&amp;F770,IMPORTRANGE(""https://docs.google.com/spreadsheets/d/1Uw7-A9f9R21vMXxHZFNpYNeKFtG8_yji4HS352LGlSQ/edit?pli=1#gid=0"",""1_ACUM!A4:S""),17,FALSE))"),"")</f>
        <v/>
      </c>
      <c r="AI747" s="44" t="str">
        <f ca="1">IFERROR(__xludf.DUMMYFUNCTION("IFERROR(VLOOKUP(E770&amp;F770,IMPORTRANGE(""https://docs.google.com/spreadsheets/d/1Uw7-A9f9R21vMXxHZFNpYNeKFtG8_yji4HS352LGlSQ/edit?pli=1#gid=0"",""1_ACUM!A4:S""),18,FALSE))"),"")</f>
        <v/>
      </c>
      <c r="AJ747" s="44" t="str">
        <f ca="1">IFERROR(__xludf.DUMMYFUNCTION("IFERROR(VLOOKUP(E770&amp;F770,IMPORTRANGE(""https://docs.google.com/spreadsheets/d/1Uw7-A9f9R21vMXxHZFNpYNeKFtG8_yji4HS352LGlSQ/edit?pli=1#gid=0"",""1_ACUM!A4:S""),19,FALSE))"),"")</f>
        <v/>
      </c>
      <c r="AK747" s="98" t="str">
        <f ca="1">IFERROR(__xludf.DUMMYFUNCTION("IFERROR(VLOOKUP(F770,IMPORTRANGE(""https://docs.google.com/spreadsheets/d/1Kvs4KS76FHFqLFIZfrDMff4kP08nblUkihrxltoGBjg/edit#gid=934712705"",""ESENCIAL!A6:BG""),5,FALSE))"),"")</f>
        <v/>
      </c>
      <c r="AL747" s="98" t="str">
        <f t="shared" si="44"/>
        <v/>
      </c>
      <c r="AM747" s="99" t="str">
        <f t="shared" si="45"/>
        <v/>
      </c>
      <c r="AN747" s="100" t="str">
        <f ca="1">IFERROR(__xludf.DUMMYFUNCTION("IFERROR(VLOOKUP(F770,IMPORTRANGE(""https://docs.google.com/spreadsheets/d/1Kvs4KS76FHFqLFIZfrDMff4kP08nblUkihrxltoGBjg/edit#gid=934712705"",""ESENCIAL!A6:BG""),2,FALSE))"),"")</f>
        <v/>
      </c>
      <c r="AO747" s="19" t="str">
        <f t="shared" si="46"/>
        <v/>
      </c>
      <c r="AP747" s="100"/>
      <c r="AQ747" s="100"/>
    </row>
    <row r="748" spans="1:43" ht="15">
      <c r="A748" s="5"/>
      <c r="B748" s="5"/>
      <c r="G748" s="5" t="str">
        <f ca="1">IFERROR(__xludf.DUMMYFUNCTION("IFERROR(VLOOKUP(F771,IMPORTRANGE(""https://docs.google.com/spreadsheets/d/1Kvs4KS76FHFqLFIZfrDMff4kP08nblUkihrxltoGBjg/edit#gid=934712705"",""ESENCIAL!A6:BG""),3,FALSE))"),"")</f>
        <v/>
      </c>
      <c r="H748" s="5" t="str">
        <f ca="1">IFERROR(__xludf.DUMMYFUNCTION("IFERROR(VLOOKUP(F771,IMPORTRANGE(""https://docs.google.com/spreadsheets/d/1Kvs4KS76FHFqLFIZfrDMff4kP08nblUkihrxltoGBjg/edit#gid=934712705"",""ESENCIAL!A6:BG""),8,FALSE))"),"")</f>
        <v/>
      </c>
      <c r="L748" s="40"/>
      <c r="Z748" s="41" t="str">
        <f t="shared" si="43"/>
        <v/>
      </c>
      <c r="AA748" s="5" t="str">
        <f ca="1">IFERROR(__xludf.DUMMYFUNCTION("IFERROR(VLOOKUP(E771&amp;F771,IMPORTRANGE(""https://docs.google.com/spreadsheets/d/1Uw7-A9f9R21vMXxHZFNpYNeKFtG8_yji4HS352LGlSQ/edit?pli=1#gid=0"",""1_ACUM!A4:S""),11,FALSE))"),"")</f>
        <v/>
      </c>
      <c r="AB748" s="42" t="str">
        <f ca="1">IFERROR(__xludf.DUMMYFUNCTION("IFERROR(VLOOKUP(F771,IMPORTRANGE(""https://docs.google.com/spreadsheets/d/1Kvs4KS76FHFqLFIZfrDMff4kP08nblUkihrxltoGBjg/edit#gid=934712705"",""ESENCIAL!A6:BG""),15,FALSE))"),"")</f>
        <v/>
      </c>
      <c r="AC748" s="110" t="str">
        <f ca="1">IFERROR(__xludf.DUMMYFUNCTION("IFERROR(VLOOKUP(E771&amp;F771,IMPORTRANGE(""https://docs.google.com/spreadsheets/d/1Uw7-A9f9R21vMXxHZFNpYNeKFtG8_yji4HS352LGlSQ/edit?pli=1#gid=0"",""1_ACUM!A4:S""),13,FALSE))"),"")</f>
        <v/>
      </c>
      <c r="AD748" s="43" t="str">
        <f ca="1">IFERROR(__xludf.DUMMYFUNCTION("IFERROR(VLOOKUP(E771&amp;F771,IMPORTRANGE(""https://docs.google.com/spreadsheets/d/1Uw7-A9f9R21vMXxHZFNpYNeKFtG8_yji4HS352LGlSQ/edit?pli=1#gid=0"",""1_ACUM!A4:S""),13,FALSE))"),"")</f>
        <v/>
      </c>
      <c r="AE748" s="43" t="str">
        <f ca="1">IFERROR(__xludf.DUMMYFUNCTION("IFERROR(VLOOKUP(E771&amp;F771,IMPORTRANGE(""https://docs.google.com/spreadsheets/d/1Uw7-A9f9R21vMXxHZFNpYNeKFtG8_yji4HS352LGlSQ/edit?pli=1#gid=0"",""1_ACUM!A4:S""),14,FALSE))"),"")</f>
        <v/>
      </c>
      <c r="AF748" s="43" t="str">
        <f ca="1">IFERROR(__xludf.DUMMYFUNCTION("IFERROR(VLOOKUP(E771&amp;F771,IMPORTRANGE(""https://docs.google.com/spreadsheets/d/1Uw7-A9f9R21vMXxHZFNpYNeKFtG8_yji4HS352LGlSQ/edit?pli=1#gid=0"",""1_ACUM!A4:S""),15,FALSE))"),"")</f>
        <v/>
      </c>
      <c r="AG748" s="43" t="str">
        <f ca="1">IFERROR(__xludf.DUMMYFUNCTION("IFERROR(VLOOKUP(E771&amp;F771,IMPORTRANGE(""https://docs.google.com/spreadsheets/d/1Uw7-A9f9R21vMXxHZFNpYNeKFtG8_yji4HS352LGlSQ/edit?pli=1#gid=0"",""1_ACUM!A4:S""),16,FALSE))"),"")</f>
        <v/>
      </c>
      <c r="AH748" s="43" t="str">
        <f ca="1">IFERROR(__xludf.DUMMYFUNCTION("IFERROR(VLOOKUP(E771&amp;F771,IMPORTRANGE(""https://docs.google.com/spreadsheets/d/1Uw7-A9f9R21vMXxHZFNpYNeKFtG8_yji4HS352LGlSQ/edit?pli=1#gid=0"",""1_ACUM!A4:S""),17,FALSE))"),"")</f>
        <v/>
      </c>
      <c r="AI748" s="44" t="str">
        <f ca="1">IFERROR(__xludf.DUMMYFUNCTION("IFERROR(VLOOKUP(E771&amp;F771,IMPORTRANGE(""https://docs.google.com/spreadsheets/d/1Uw7-A9f9R21vMXxHZFNpYNeKFtG8_yji4HS352LGlSQ/edit?pli=1#gid=0"",""1_ACUM!A4:S""),18,FALSE))"),"")</f>
        <v/>
      </c>
      <c r="AJ748" s="44" t="str">
        <f ca="1">IFERROR(__xludf.DUMMYFUNCTION("IFERROR(VLOOKUP(E771&amp;F771,IMPORTRANGE(""https://docs.google.com/spreadsheets/d/1Uw7-A9f9R21vMXxHZFNpYNeKFtG8_yji4HS352LGlSQ/edit?pli=1#gid=0"",""1_ACUM!A4:S""),19,FALSE))"),"")</f>
        <v/>
      </c>
      <c r="AK748" s="98" t="str">
        <f ca="1">IFERROR(__xludf.DUMMYFUNCTION("IFERROR(VLOOKUP(F771,IMPORTRANGE(""https://docs.google.com/spreadsheets/d/1Kvs4KS76FHFqLFIZfrDMff4kP08nblUkihrxltoGBjg/edit#gid=934712705"",""ESENCIAL!A6:BG""),5,FALSE))"),"")</f>
        <v/>
      </c>
      <c r="AL748" s="98" t="str">
        <f t="shared" si="44"/>
        <v/>
      </c>
      <c r="AM748" s="99" t="str">
        <f t="shared" si="45"/>
        <v/>
      </c>
      <c r="AN748" s="100" t="str">
        <f ca="1">IFERROR(__xludf.DUMMYFUNCTION("IFERROR(VLOOKUP(F771,IMPORTRANGE(""https://docs.google.com/spreadsheets/d/1Kvs4KS76FHFqLFIZfrDMff4kP08nblUkihrxltoGBjg/edit#gid=934712705"",""ESENCIAL!A6:BG""),2,FALSE))"),"")</f>
        <v/>
      </c>
      <c r="AO748" s="19" t="str">
        <f t="shared" si="46"/>
        <v/>
      </c>
      <c r="AP748" s="100"/>
      <c r="AQ748" s="100"/>
    </row>
    <row r="749" spans="1:43" ht="15">
      <c r="A749" s="5"/>
      <c r="B749" s="5"/>
      <c r="G749" s="5" t="str">
        <f ca="1">IFERROR(__xludf.DUMMYFUNCTION("IFERROR(VLOOKUP(F772,IMPORTRANGE(""https://docs.google.com/spreadsheets/d/1Kvs4KS76FHFqLFIZfrDMff4kP08nblUkihrxltoGBjg/edit#gid=934712705"",""ESENCIAL!A6:BG""),3,FALSE))"),"")</f>
        <v/>
      </c>
      <c r="H749" s="5" t="str">
        <f ca="1">IFERROR(__xludf.DUMMYFUNCTION("IFERROR(VLOOKUP(F772,IMPORTRANGE(""https://docs.google.com/spreadsheets/d/1Kvs4KS76FHFqLFIZfrDMff4kP08nblUkihrxltoGBjg/edit#gid=934712705"",""ESENCIAL!A6:BG""),8,FALSE))"),"")</f>
        <v/>
      </c>
      <c r="L749" s="40"/>
      <c r="Z749" s="41" t="str">
        <f t="shared" si="43"/>
        <v/>
      </c>
      <c r="AA749" s="5" t="str">
        <f ca="1">IFERROR(__xludf.DUMMYFUNCTION("IFERROR(VLOOKUP(E772&amp;F772,IMPORTRANGE(""https://docs.google.com/spreadsheets/d/1Uw7-A9f9R21vMXxHZFNpYNeKFtG8_yji4HS352LGlSQ/edit?pli=1#gid=0"",""1_ACUM!A4:S""),11,FALSE))"),"")</f>
        <v/>
      </c>
      <c r="AB749" s="42" t="str">
        <f ca="1">IFERROR(__xludf.DUMMYFUNCTION("IFERROR(VLOOKUP(F772,IMPORTRANGE(""https://docs.google.com/spreadsheets/d/1Kvs4KS76FHFqLFIZfrDMff4kP08nblUkihrxltoGBjg/edit#gid=934712705"",""ESENCIAL!A6:BG""),15,FALSE))"),"")</f>
        <v/>
      </c>
      <c r="AC749" s="110" t="str">
        <f ca="1">IFERROR(__xludf.DUMMYFUNCTION("IFERROR(VLOOKUP(E772&amp;F772,IMPORTRANGE(""https://docs.google.com/spreadsheets/d/1Uw7-A9f9R21vMXxHZFNpYNeKFtG8_yji4HS352LGlSQ/edit?pli=1#gid=0"",""1_ACUM!A4:S""),13,FALSE))"),"")</f>
        <v/>
      </c>
      <c r="AD749" s="43" t="str">
        <f ca="1">IFERROR(__xludf.DUMMYFUNCTION("IFERROR(VLOOKUP(E772&amp;F772,IMPORTRANGE(""https://docs.google.com/spreadsheets/d/1Uw7-A9f9R21vMXxHZFNpYNeKFtG8_yji4HS352LGlSQ/edit?pli=1#gid=0"",""1_ACUM!A4:S""),13,FALSE))"),"")</f>
        <v/>
      </c>
      <c r="AE749" s="43" t="str">
        <f ca="1">IFERROR(__xludf.DUMMYFUNCTION("IFERROR(VLOOKUP(E772&amp;F772,IMPORTRANGE(""https://docs.google.com/spreadsheets/d/1Uw7-A9f9R21vMXxHZFNpYNeKFtG8_yji4HS352LGlSQ/edit?pli=1#gid=0"",""1_ACUM!A4:S""),14,FALSE))"),"")</f>
        <v/>
      </c>
      <c r="AF749" s="43" t="str">
        <f ca="1">IFERROR(__xludf.DUMMYFUNCTION("IFERROR(VLOOKUP(E772&amp;F772,IMPORTRANGE(""https://docs.google.com/spreadsheets/d/1Uw7-A9f9R21vMXxHZFNpYNeKFtG8_yji4HS352LGlSQ/edit?pli=1#gid=0"",""1_ACUM!A4:S""),15,FALSE))"),"")</f>
        <v/>
      </c>
      <c r="AG749" s="43" t="str">
        <f ca="1">IFERROR(__xludf.DUMMYFUNCTION("IFERROR(VLOOKUP(E772&amp;F772,IMPORTRANGE(""https://docs.google.com/spreadsheets/d/1Uw7-A9f9R21vMXxHZFNpYNeKFtG8_yji4HS352LGlSQ/edit?pli=1#gid=0"",""1_ACUM!A4:S""),16,FALSE))"),"")</f>
        <v/>
      </c>
      <c r="AH749" s="43" t="str">
        <f ca="1">IFERROR(__xludf.DUMMYFUNCTION("IFERROR(VLOOKUP(E772&amp;F772,IMPORTRANGE(""https://docs.google.com/spreadsheets/d/1Uw7-A9f9R21vMXxHZFNpYNeKFtG8_yji4HS352LGlSQ/edit?pli=1#gid=0"",""1_ACUM!A4:S""),17,FALSE))"),"")</f>
        <v/>
      </c>
      <c r="AI749" s="44" t="str">
        <f ca="1">IFERROR(__xludf.DUMMYFUNCTION("IFERROR(VLOOKUP(E772&amp;F772,IMPORTRANGE(""https://docs.google.com/spreadsheets/d/1Uw7-A9f9R21vMXxHZFNpYNeKFtG8_yji4HS352LGlSQ/edit?pli=1#gid=0"",""1_ACUM!A4:S""),18,FALSE))"),"")</f>
        <v/>
      </c>
      <c r="AJ749" s="44" t="str">
        <f ca="1">IFERROR(__xludf.DUMMYFUNCTION("IFERROR(VLOOKUP(E772&amp;F772,IMPORTRANGE(""https://docs.google.com/spreadsheets/d/1Uw7-A9f9R21vMXxHZFNpYNeKFtG8_yji4HS352LGlSQ/edit?pli=1#gid=0"",""1_ACUM!A4:S""),19,FALSE))"),"")</f>
        <v/>
      </c>
      <c r="AK749" s="98" t="str">
        <f ca="1">IFERROR(__xludf.DUMMYFUNCTION("IFERROR(VLOOKUP(F772,IMPORTRANGE(""https://docs.google.com/spreadsheets/d/1Kvs4KS76FHFqLFIZfrDMff4kP08nblUkihrxltoGBjg/edit#gid=934712705"",""ESENCIAL!A6:BG""),5,FALSE))"),"")</f>
        <v/>
      </c>
      <c r="AL749" s="98" t="str">
        <f t="shared" si="44"/>
        <v/>
      </c>
      <c r="AM749" s="99" t="str">
        <f t="shared" si="45"/>
        <v/>
      </c>
      <c r="AN749" s="100" t="str">
        <f ca="1">IFERROR(__xludf.DUMMYFUNCTION("IFERROR(VLOOKUP(F772,IMPORTRANGE(""https://docs.google.com/spreadsheets/d/1Kvs4KS76FHFqLFIZfrDMff4kP08nblUkihrxltoGBjg/edit#gid=934712705"",""ESENCIAL!A6:BG""),2,FALSE))"),"")</f>
        <v/>
      </c>
      <c r="AO749" s="19" t="str">
        <f t="shared" si="46"/>
        <v/>
      </c>
      <c r="AP749" s="100"/>
      <c r="AQ749" s="100"/>
    </row>
    <row r="750" spans="1:43" ht="15">
      <c r="A750" s="5"/>
      <c r="B750" s="5"/>
      <c r="G750" s="5" t="str">
        <f ca="1">IFERROR(__xludf.DUMMYFUNCTION("IFERROR(VLOOKUP(F773,IMPORTRANGE(""https://docs.google.com/spreadsheets/d/1Kvs4KS76FHFqLFIZfrDMff4kP08nblUkihrxltoGBjg/edit#gid=934712705"",""ESENCIAL!A6:BG""),3,FALSE))"),"")</f>
        <v/>
      </c>
      <c r="H750" s="5" t="str">
        <f ca="1">IFERROR(__xludf.DUMMYFUNCTION("IFERROR(VLOOKUP(F773,IMPORTRANGE(""https://docs.google.com/spreadsheets/d/1Kvs4KS76FHFqLFIZfrDMff4kP08nblUkihrxltoGBjg/edit#gid=934712705"",""ESENCIAL!A6:BG""),8,FALSE))"),"")</f>
        <v/>
      </c>
      <c r="L750" s="40"/>
      <c r="Z750" s="41" t="str">
        <f t="shared" si="43"/>
        <v/>
      </c>
      <c r="AA750" s="5" t="str">
        <f ca="1">IFERROR(__xludf.DUMMYFUNCTION("IFERROR(VLOOKUP(E773&amp;F773,IMPORTRANGE(""https://docs.google.com/spreadsheets/d/1Uw7-A9f9R21vMXxHZFNpYNeKFtG8_yji4HS352LGlSQ/edit?pli=1#gid=0"",""1_ACUM!A4:S""),11,FALSE))"),"")</f>
        <v/>
      </c>
      <c r="AB750" s="42" t="str">
        <f ca="1">IFERROR(__xludf.DUMMYFUNCTION("IFERROR(VLOOKUP(F773,IMPORTRANGE(""https://docs.google.com/spreadsheets/d/1Kvs4KS76FHFqLFIZfrDMff4kP08nblUkihrxltoGBjg/edit#gid=934712705"",""ESENCIAL!A6:BG""),15,FALSE))"),"")</f>
        <v/>
      </c>
      <c r="AC750" s="110" t="str">
        <f ca="1">IFERROR(__xludf.DUMMYFUNCTION("IFERROR(VLOOKUP(E773&amp;F773,IMPORTRANGE(""https://docs.google.com/spreadsheets/d/1Uw7-A9f9R21vMXxHZFNpYNeKFtG8_yji4HS352LGlSQ/edit?pli=1#gid=0"",""1_ACUM!A4:S""),13,FALSE))"),"")</f>
        <v/>
      </c>
      <c r="AD750" s="43" t="str">
        <f ca="1">IFERROR(__xludf.DUMMYFUNCTION("IFERROR(VLOOKUP(E773&amp;F773,IMPORTRANGE(""https://docs.google.com/spreadsheets/d/1Uw7-A9f9R21vMXxHZFNpYNeKFtG8_yji4HS352LGlSQ/edit?pli=1#gid=0"",""1_ACUM!A4:S""),13,FALSE))"),"")</f>
        <v/>
      </c>
      <c r="AE750" s="43" t="str">
        <f ca="1">IFERROR(__xludf.DUMMYFUNCTION("IFERROR(VLOOKUP(E773&amp;F773,IMPORTRANGE(""https://docs.google.com/spreadsheets/d/1Uw7-A9f9R21vMXxHZFNpYNeKFtG8_yji4HS352LGlSQ/edit?pli=1#gid=0"",""1_ACUM!A4:S""),14,FALSE))"),"")</f>
        <v/>
      </c>
      <c r="AF750" s="43" t="str">
        <f ca="1">IFERROR(__xludf.DUMMYFUNCTION("IFERROR(VLOOKUP(E773&amp;F773,IMPORTRANGE(""https://docs.google.com/spreadsheets/d/1Uw7-A9f9R21vMXxHZFNpYNeKFtG8_yji4HS352LGlSQ/edit?pli=1#gid=0"",""1_ACUM!A4:S""),15,FALSE))"),"")</f>
        <v/>
      </c>
      <c r="AG750" s="43" t="str">
        <f ca="1">IFERROR(__xludf.DUMMYFUNCTION("IFERROR(VLOOKUP(E773&amp;F773,IMPORTRANGE(""https://docs.google.com/spreadsheets/d/1Uw7-A9f9R21vMXxHZFNpYNeKFtG8_yji4HS352LGlSQ/edit?pli=1#gid=0"",""1_ACUM!A4:S""),16,FALSE))"),"")</f>
        <v/>
      </c>
      <c r="AH750" s="43" t="str">
        <f ca="1">IFERROR(__xludf.DUMMYFUNCTION("IFERROR(VLOOKUP(E773&amp;F773,IMPORTRANGE(""https://docs.google.com/spreadsheets/d/1Uw7-A9f9R21vMXxHZFNpYNeKFtG8_yji4HS352LGlSQ/edit?pli=1#gid=0"",""1_ACUM!A4:S""),17,FALSE))"),"")</f>
        <v/>
      </c>
      <c r="AI750" s="44" t="str">
        <f ca="1">IFERROR(__xludf.DUMMYFUNCTION("IFERROR(VLOOKUP(E773&amp;F773,IMPORTRANGE(""https://docs.google.com/spreadsheets/d/1Uw7-A9f9R21vMXxHZFNpYNeKFtG8_yji4HS352LGlSQ/edit?pli=1#gid=0"",""1_ACUM!A4:S""),18,FALSE))"),"")</f>
        <v/>
      </c>
      <c r="AJ750" s="44" t="str">
        <f ca="1">IFERROR(__xludf.DUMMYFUNCTION("IFERROR(VLOOKUP(E773&amp;F773,IMPORTRANGE(""https://docs.google.com/spreadsheets/d/1Uw7-A9f9R21vMXxHZFNpYNeKFtG8_yji4HS352LGlSQ/edit?pli=1#gid=0"",""1_ACUM!A4:S""),19,FALSE))"),"")</f>
        <v/>
      </c>
      <c r="AK750" s="98" t="str">
        <f ca="1">IFERROR(__xludf.DUMMYFUNCTION("IFERROR(VLOOKUP(F773,IMPORTRANGE(""https://docs.google.com/spreadsheets/d/1Kvs4KS76FHFqLFIZfrDMff4kP08nblUkihrxltoGBjg/edit#gid=934712705"",""ESENCIAL!A6:BG""),5,FALSE))"),"")</f>
        <v/>
      </c>
      <c r="AL750" s="98" t="str">
        <f t="shared" si="44"/>
        <v/>
      </c>
      <c r="AM750" s="99" t="str">
        <f t="shared" si="45"/>
        <v/>
      </c>
      <c r="AN750" s="100" t="str">
        <f ca="1">IFERROR(__xludf.DUMMYFUNCTION("IFERROR(VLOOKUP(F773,IMPORTRANGE(""https://docs.google.com/spreadsheets/d/1Kvs4KS76FHFqLFIZfrDMff4kP08nblUkihrxltoGBjg/edit#gid=934712705"",""ESENCIAL!A6:BG""),2,FALSE))"),"")</f>
        <v/>
      </c>
      <c r="AO750" s="19" t="str">
        <f t="shared" si="46"/>
        <v/>
      </c>
      <c r="AP750" s="100"/>
      <c r="AQ750" s="100"/>
    </row>
    <row r="751" spans="1:43" ht="15">
      <c r="A751" s="5"/>
      <c r="B751" s="5"/>
      <c r="G751" s="5" t="str">
        <f ca="1">IFERROR(__xludf.DUMMYFUNCTION("IFERROR(VLOOKUP(F774,IMPORTRANGE(""https://docs.google.com/spreadsheets/d/1Kvs4KS76FHFqLFIZfrDMff4kP08nblUkihrxltoGBjg/edit#gid=934712705"",""ESENCIAL!A6:BG""),3,FALSE))"),"")</f>
        <v/>
      </c>
      <c r="H751" s="5" t="str">
        <f ca="1">IFERROR(__xludf.DUMMYFUNCTION("IFERROR(VLOOKUP(F774,IMPORTRANGE(""https://docs.google.com/spreadsheets/d/1Kvs4KS76FHFqLFIZfrDMff4kP08nblUkihrxltoGBjg/edit#gid=934712705"",""ESENCIAL!A6:BG""),8,FALSE))"),"")</f>
        <v/>
      </c>
      <c r="L751" s="40"/>
      <c r="Z751" s="41" t="str">
        <f t="shared" si="43"/>
        <v/>
      </c>
      <c r="AA751" s="5" t="str">
        <f ca="1">IFERROR(__xludf.DUMMYFUNCTION("IFERROR(VLOOKUP(E774&amp;F774,IMPORTRANGE(""https://docs.google.com/spreadsheets/d/1Uw7-A9f9R21vMXxHZFNpYNeKFtG8_yji4HS352LGlSQ/edit?pli=1#gid=0"",""1_ACUM!A4:S""),11,FALSE))"),"")</f>
        <v/>
      </c>
      <c r="AB751" s="42" t="str">
        <f ca="1">IFERROR(__xludf.DUMMYFUNCTION("IFERROR(VLOOKUP(F774,IMPORTRANGE(""https://docs.google.com/spreadsheets/d/1Kvs4KS76FHFqLFIZfrDMff4kP08nblUkihrxltoGBjg/edit#gid=934712705"",""ESENCIAL!A6:BG""),15,FALSE))"),"")</f>
        <v/>
      </c>
      <c r="AC751" s="110" t="str">
        <f ca="1">IFERROR(__xludf.DUMMYFUNCTION("IFERROR(VLOOKUP(E774&amp;F774,IMPORTRANGE(""https://docs.google.com/spreadsheets/d/1Uw7-A9f9R21vMXxHZFNpYNeKFtG8_yji4HS352LGlSQ/edit?pli=1#gid=0"",""1_ACUM!A4:S""),13,FALSE))"),"")</f>
        <v/>
      </c>
      <c r="AD751" s="43" t="str">
        <f ca="1">IFERROR(__xludf.DUMMYFUNCTION("IFERROR(VLOOKUP(E774&amp;F774,IMPORTRANGE(""https://docs.google.com/spreadsheets/d/1Uw7-A9f9R21vMXxHZFNpYNeKFtG8_yji4HS352LGlSQ/edit?pli=1#gid=0"",""1_ACUM!A4:S""),13,FALSE))"),"")</f>
        <v/>
      </c>
      <c r="AE751" s="43" t="str">
        <f ca="1">IFERROR(__xludf.DUMMYFUNCTION("IFERROR(VLOOKUP(E774&amp;F774,IMPORTRANGE(""https://docs.google.com/spreadsheets/d/1Uw7-A9f9R21vMXxHZFNpYNeKFtG8_yji4HS352LGlSQ/edit?pli=1#gid=0"",""1_ACUM!A4:S""),14,FALSE))"),"")</f>
        <v/>
      </c>
      <c r="AF751" s="43" t="str">
        <f ca="1">IFERROR(__xludf.DUMMYFUNCTION("IFERROR(VLOOKUP(E774&amp;F774,IMPORTRANGE(""https://docs.google.com/spreadsheets/d/1Uw7-A9f9R21vMXxHZFNpYNeKFtG8_yji4HS352LGlSQ/edit?pli=1#gid=0"",""1_ACUM!A4:S""),15,FALSE))"),"")</f>
        <v/>
      </c>
      <c r="AG751" s="43" t="str">
        <f ca="1">IFERROR(__xludf.DUMMYFUNCTION("IFERROR(VLOOKUP(E774&amp;F774,IMPORTRANGE(""https://docs.google.com/spreadsheets/d/1Uw7-A9f9R21vMXxHZFNpYNeKFtG8_yji4HS352LGlSQ/edit?pli=1#gid=0"",""1_ACUM!A4:S""),16,FALSE))"),"")</f>
        <v/>
      </c>
      <c r="AH751" s="43" t="str">
        <f ca="1">IFERROR(__xludf.DUMMYFUNCTION("IFERROR(VLOOKUP(E774&amp;F774,IMPORTRANGE(""https://docs.google.com/spreadsheets/d/1Uw7-A9f9R21vMXxHZFNpYNeKFtG8_yji4HS352LGlSQ/edit?pli=1#gid=0"",""1_ACUM!A4:S""),17,FALSE))"),"")</f>
        <v/>
      </c>
      <c r="AI751" s="44" t="str">
        <f ca="1">IFERROR(__xludf.DUMMYFUNCTION("IFERROR(VLOOKUP(E774&amp;F774,IMPORTRANGE(""https://docs.google.com/spreadsheets/d/1Uw7-A9f9R21vMXxHZFNpYNeKFtG8_yji4HS352LGlSQ/edit?pli=1#gid=0"",""1_ACUM!A4:S""),18,FALSE))"),"")</f>
        <v/>
      </c>
      <c r="AJ751" s="44" t="str">
        <f ca="1">IFERROR(__xludf.DUMMYFUNCTION("IFERROR(VLOOKUP(E774&amp;F774,IMPORTRANGE(""https://docs.google.com/spreadsheets/d/1Uw7-A9f9R21vMXxHZFNpYNeKFtG8_yji4HS352LGlSQ/edit?pli=1#gid=0"",""1_ACUM!A4:S""),19,FALSE))"),"")</f>
        <v/>
      </c>
      <c r="AK751" s="98" t="str">
        <f ca="1">IFERROR(__xludf.DUMMYFUNCTION("IFERROR(VLOOKUP(F774,IMPORTRANGE(""https://docs.google.com/spreadsheets/d/1Kvs4KS76FHFqLFIZfrDMff4kP08nblUkihrxltoGBjg/edit#gid=934712705"",""ESENCIAL!A6:BG""),5,FALSE))"),"")</f>
        <v/>
      </c>
      <c r="AL751" s="98" t="str">
        <f t="shared" si="44"/>
        <v/>
      </c>
      <c r="AM751" s="99" t="str">
        <f t="shared" si="45"/>
        <v/>
      </c>
      <c r="AN751" s="100" t="str">
        <f ca="1">IFERROR(__xludf.DUMMYFUNCTION("IFERROR(VLOOKUP(F774,IMPORTRANGE(""https://docs.google.com/spreadsheets/d/1Kvs4KS76FHFqLFIZfrDMff4kP08nblUkihrxltoGBjg/edit#gid=934712705"",""ESENCIAL!A6:BG""),2,FALSE))"),"")</f>
        <v/>
      </c>
      <c r="AO751" s="19" t="str">
        <f t="shared" si="46"/>
        <v/>
      </c>
      <c r="AP751" s="100"/>
      <c r="AQ751" s="100"/>
    </row>
    <row r="752" spans="1:43" ht="15">
      <c r="A752" s="5"/>
      <c r="B752" s="5"/>
      <c r="G752" s="5" t="str">
        <f ca="1">IFERROR(__xludf.DUMMYFUNCTION("IFERROR(VLOOKUP(F775,IMPORTRANGE(""https://docs.google.com/spreadsheets/d/1Kvs4KS76FHFqLFIZfrDMff4kP08nblUkihrxltoGBjg/edit#gid=934712705"",""ESENCIAL!A6:BG""),3,FALSE))"),"")</f>
        <v/>
      </c>
      <c r="H752" s="5" t="str">
        <f ca="1">IFERROR(__xludf.DUMMYFUNCTION("IFERROR(VLOOKUP(F775,IMPORTRANGE(""https://docs.google.com/spreadsheets/d/1Kvs4KS76FHFqLFIZfrDMff4kP08nblUkihrxltoGBjg/edit#gid=934712705"",""ESENCIAL!A6:BG""),8,FALSE))"),"")</f>
        <v/>
      </c>
      <c r="L752" s="40"/>
      <c r="Z752" s="41" t="str">
        <f t="shared" si="43"/>
        <v/>
      </c>
      <c r="AA752" s="5" t="str">
        <f ca="1">IFERROR(__xludf.DUMMYFUNCTION("IFERROR(VLOOKUP(E775&amp;F775,IMPORTRANGE(""https://docs.google.com/spreadsheets/d/1Uw7-A9f9R21vMXxHZFNpYNeKFtG8_yji4HS352LGlSQ/edit?pli=1#gid=0"",""1_ACUM!A4:S""),11,FALSE))"),"")</f>
        <v/>
      </c>
      <c r="AB752" s="42" t="str">
        <f ca="1">IFERROR(__xludf.DUMMYFUNCTION("IFERROR(VLOOKUP(F775,IMPORTRANGE(""https://docs.google.com/spreadsheets/d/1Kvs4KS76FHFqLFIZfrDMff4kP08nblUkihrxltoGBjg/edit#gid=934712705"",""ESENCIAL!A6:BG""),15,FALSE))"),"")</f>
        <v/>
      </c>
      <c r="AC752" s="110" t="str">
        <f ca="1">IFERROR(__xludf.DUMMYFUNCTION("IFERROR(VLOOKUP(E775&amp;F775,IMPORTRANGE(""https://docs.google.com/spreadsheets/d/1Uw7-A9f9R21vMXxHZFNpYNeKFtG8_yji4HS352LGlSQ/edit?pli=1#gid=0"",""1_ACUM!A4:S""),13,FALSE))"),"")</f>
        <v/>
      </c>
      <c r="AD752" s="43" t="str">
        <f ca="1">IFERROR(__xludf.DUMMYFUNCTION("IFERROR(VLOOKUP(E775&amp;F775,IMPORTRANGE(""https://docs.google.com/spreadsheets/d/1Uw7-A9f9R21vMXxHZFNpYNeKFtG8_yji4HS352LGlSQ/edit?pli=1#gid=0"",""1_ACUM!A4:S""),13,FALSE))"),"")</f>
        <v/>
      </c>
      <c r="AE752" s="43" t="str">
        <f ca="1">IFERROR(__xludf.DUMMYFUNCTION("IFERROR(VLOOKUP(E775&amp;F775,IMPORTRANGE(""https://docs.google.com/spreadsheets/d/1Uw7-A9f9R21vMXxHZFNpYNeKFtG8_yji4HS352LGlSQ/edit?pli=1#gid=0"",""1_ACUM!A4:S""),14,FALSE))"),"")</f>
        <v/>
      </c>
      <c r="AF752" s="43" t="str">
        <f ca="1">IFERROR(__xludf.DUMMYFUNCTION("IFERROR(VLOOKUP(E775&amp;F775,IMPORTRANGE(""https://docs.google.com/spreadsheets/d/1Uw7-A9f9R21vMXxHZFNpYNeKFtG8_yji4HS352LGlSQ/edit?pli=1#gid=0"",""1_ACUM!A4:S""),15,FALSE))"),"")</f>
        <v/>
      </c>
      <c r="AG752" s="43" t="str">
        <f ca="1">IFERROR(__xludf.DUMMYFUNCTION("IFERROR(VLOOKUP(E775&amp;F775,IMPORTRANGE(""https://docs.google.com/spreadsheets/d/1Uw7-A9f9R21vMXxHZFNpYNeKFtG8_yji4HS352LGlSQ/edit?pli=1#gid=0"",""1_ACUM!A4:S""),16,FALSE))"),"")</f>
        <v/>
      </c>
      <c r="AH752" s="43" t="str">
        <f ca="1">IFERROR(__xludf.DUMMYFUNCTION("IFERROR(VLOOKUP(E775&amp;F775,IMPORTRANGE(""https://docs.google.com/spreadsheets/d/1Uw7-A9f9R21vMXxHZFNpYNeKFtG8_yji4HS352LGlSQ/edit?pli=1#gid=0"",""1_ACUM!A4:S""),17,FALSE))"),"")</f>
        <v/>
      </c>
      <c r="AI752" s="44" t="str">
        <f ca="1">IFERROR(__xludf.DUMMYFUNCTION("IFERROR(VLOOKUP(E775&amp;F775,IMPORTRANGE(""https://docs.google.com/spreadsheets/d/1Uw7-A9f9R21vMXxHZFNpYNeKFtG8_yji4HS352LGlSQ/edit?pli=1#gid=0"",""1_ACUM!A4:S""),18,FALSE))"),"")</f>
        <v/>
      </c>
      <c r="AJ752" s="44" t="str">
        <f ca="1">IFERROR(__xludf.DUMMYFUNCTION("IFERROR(VLOOKUP(E775&amp;F775,IMPORTRANGE(""https://docs.google.com/spreadsheets/d/1Uw7-A9f9R21vMXxHZFNpYNeKFtG8_yji4HS352LGlSQ/edit?pli=1#gid=0"",""1_ACUM!A4:S""),19,FALSE))"),"")</f>
        <v/>
      </c>
      <c r="AK752" s="98" t="str">
        <f ca="1">IFERROR(__xludf.DUMMYFUNCTION("IFERROR(VLOOKUP(F775,IMPORTRANGE(""https://docs.google.com/spreadsheets/d/1Kvs4KS76FHFqLFIZfrDMff4kP08nblUkihrxltoGBjg/edit#gid=934712705"",""ESENCIAL!A6:BG""),5,FALSE))"),"")</f>
        <v/>
      </c>
      <c r="AL752" s="98" t="str">
        <f t="shared" si="44"/>
        <v/>
      </c>
      <c r="AM752" s="99" t="str">
        <f t="shared" si="45"/>
        <v/>
      </c>
      <c r="AN752" s="100" t="str">
        <f ca="1">IFERROR(__xludf.DUMMYFUNCTION("IFERROR(VLOOKUP(F775,IMPORTRANGE(""https://docs.google.com/spreadsheets/d/1Kvs4KS76FHFqLFIZfrDMff4kP08nblUkihrxltoGBjg/edit#gid=934712705"",""ESENCIAL!A6:BG""),2,FALSE))"),"")</f>
        <v/>
      </c>
      <c r="AO752" s="19" t="str">
        <f t="shared" si="46"/>
        <v/>
      </c>
      <c r="AP752" s="100"/>
      <c r="AQ752" s="100"/>
    </row>
    <row r="753" spans="1:43" ht="15">
      <c r="A753" s="5"/>
      <c r="B753" s="5"/>
      <c r="G753" s="5" t="str">
        <f ca="1">IFERROR(__xludf.DUMMYFUNCTION("IFERROR(VLOOKUP(F776,IMPORTRANGE(""https://docs.google.com/spreadsheets/d/1Kvs4KS76FHFqLFIZfrDMff4kP08nblUkihrxltoGBjg/edit#gid=934712705"",""ESENCIAL!A6:BG""),3,FALSE))"),"")</f>
        <v/>
      </c>
      <c r="H753" s="5" t="str">
        <f ca="1">IFERROR(__xludf.DUMMYFUNCTION("IFERROR(VLOOKUP(F776,IMPORTRANGE(""https://docs.google.com/spreadsheets/d/1Kvs4KS76FHFqLFIZfrDMff4kP08nblUkihrxltoGBjg/edit#gid=934712705"",""ESENCIAL!A6:BG""),8,FALSE))"),"")</f>
        <v/>
      </c>
      <c r="L753" s="40"/>
      <c r="Z753" s="41" t="str">
        <f t="shared" si="43"/>
        <v/>
      </c>
      <c r="AA753" s="5" t="str">
        <f ca="1">IFERROR(__xludf.DUMMYFUNCTION("IFERROR(VLOOKUP(E776&amp;F776,IMPORTRANGE(""https://docs.google.com/spreadsheets/d/1Uw7-A9f9R21vMXxHZFNpYNeKFtG8_yji4HS352LGlSQ/edit?pli=1#gid=0"",""1_ACUM!A4:S""),11,FALSE))"),"")</f>
        <v/>
      </c>
      <c r="AB753" s="42" t="str">
        <f ca="1">IFERROR(__xludf.DUMMYFUNCTION("IFERROR(VLOOKUP(F776,IMPORTRANGE(""https://docs.google.com/spreadsheets/d/1Kvs4KS76FHFqLFIZfrDMff4kP08nblUkihrxltoGBjg/edit#gid=934712705"",""ESENCIAL!A6:BG""),15,FALSE))"),"")</f>
        <v/>
      </c>
      <c r="AC753" s="110" t="str">
        <f ca="1">IFERROR(__xludf.DUMMYFUNCTION("IFERROR(VLOOKUP(E776&amp;F776,IMPORTRANGE(""https://docs.google.com/spreadsheets/d/1Uw7-A9f9R21vMXxHZFNpYNeKFtG8_yji4HS352LGlSQ/edit?pli=1#gid=0"",""1_ACUM!A4:S""),13,FALSE))"),"")</f>
        <v/>
      </c>
      <c r="AD753" s="43" t="str">
        <f ca="1">IFERROR(__xludf.DUMMYFUNCTION("IFERROR(VLOOKUP(E776&amp;F776,IMPORTRANGE(""https://docs.google.com/spreadsheets/d/1Uw7-A9f9R21vMXxHZFNpYNeKFtG8_yji4HS352LGlSQ/edit?pli=1#gid=0"",""1_ACUM!A4:S""),13,FALSE))"),"")</f>
        <v/>
      </c>
      <c r="AE753" s="43" t="str">
        <f ca="1">IFERROR(__xludf.DUMMYFUNCTION("IFERROR(VLOOKUP(E776&amp;F776,IMPORTRANGE(""https://docs.google.com/spreadsheets/d/1Uw7-A9f9R21vMXxHZFNpYNeKFtG8_yji4HS352LGlSQ/edit?pli=1#gid=0"",""1_ACUM!A4:S""),14,FALSE))"),"")</f>
        <v/>
      </c>
      <c r="AF753" s="43" t="str">
        <f ca="1">IFERROR(__xludf.DUMMYFUNCTION("IFERROR(VLOOKUP(E776&amp;F776,IMPORTRANGE(""https://docs.google.com/spreadsheets/d/1Uw7-A9f9R21vMXxHZFNpYNeKFtG8_yji4HS352LGlSQ/edit?pli=1#gid=0"",""1_ACUM!A4:S""),15,FALSE))"),"")</f>
        <v/>
      </c>
      <c r="AG753" s="43" t="str">
        <f ca="1">IFERROR(__xludf.DUMMYFUNCTION("IFERROR(VLOOKUP(E776&amp;F776,IMPORTRANGE(""https://docs.google.com/spreadsheets/d/1Uw7-A9f9R21vMXxHZFNpYNeKFtG8_yji4HS352LGlSQ/edit?pli=1#gid=0"",""1_ACUM!A4:S""),16,FALSE))"),"")</f>
        <v/>
      </c>
      <c r="AH753" s="43" t="str">
        <f ca="1">IFERROR(__xludf.DUMMYFUNCTION("IFERROR(VLOOKUP(E776&amp;F776,IMPORTRANGE(""https://docs.google.com/spreadsheets/d/1Uw7-A9f9R21vMXxHZFNpYNeKFtG8_yji4HS352LGlSQ/edit?pli=1#gid=0"",""1_ACUM!A4:S""),17,FALSE))"),"")</f>
        <v/>
      </c>
      <c r="AI753" s="44" t="str">
        <f ca="1">IFERROR(__xludf.DUMMYFUNCTION("IFERROR(VLOOKUP(E776&amp;F776,IMPORTRANGE(""https://docs.google.com/spreadsheets/d/1Uw7-A9f9R21vMXxHZFNpYNeKFtG8_yji4HS352LGlSQ/edit?pli=1#gid=0"",""1_ACUM!A4:S""),18,FALSE))"),"")</f>
        <v/>
      </c>
      <c r="AJ753" s="44" t="str">
        <f ca="1">IFERROR(__xludf.DUMMYFUNCTION("IFERROR(VLOOKUP(E776&amp;F776,IMPORTRANGE(""https://docs.google.com/spreadsheets/d/1Uw7-A9f9R21vMXxHZFNpYNeKFtG8_yji4HS352LGlSQ/edit?pli=1#gid=0"",""1_ACUM!A4:S""),19,FALSE))"),"")</f>
        <v/>
      </c>
      <c r="AK753" s="98" t="str">
        <f ca="1">IFERROR(__xludf.DUMMYFUNCTION("IFERROR(VLOOKUP(F776,IMPORTRANGE(""https://docs.google.com/spreadsheets/d/1Kvs4KS76FHFqLFIZfrDMff4kP08nblUkihrxltoGBjg/edit#gid=934712705"",""ESENCIAL!A6:BG""),5,FALSE))"),"")</f>
        <v/>
      </c>
      <c r="AL753" s="98" t="str">
        <f t="shared" si="44"/>
        <v/>
      </c>
      <c r="AM753" s="99" t="str">
        <f t="shared" si="45"/>
        <v/>
      </c>
      <c r="AN753" s="100" t="str">
        <f ca="1">IFERROR(__xludf.DUMMYFUNCTION("IFERROR(VLOOKUP(F776,IMPORTRANGE(""https://docs.google.com/spreadsheets/d/1Kvs4KS76FHFqLFIZfrDMff4kP08nblUkihrxltoGBjg/edit#gid=934712705"",""ESENCIAL!A6:BG""),2,FALSE))"),"")</f>
        <v/>
      </c>
      <c r="AO753" s="19" t="str">
        <f t="shared" si="46"/>
        <v/>
      </c>
      <c r="AP753" s="100"/>
      <c r="AQ753" s="100"/>
    </row>
    <row r="754" spans="1:43" ht="15">
      <c r="A754" s="5"/>
      <c r="B754" s="5"/>
      <c r="G754" s="5" t="str">
        <f ca="1">IFERROR(__xludf.DUMMYFUNCTION("IFERROR(VLOOKUP(F777,IMPORTRANGE(""https://docs.google.com/spreadsheets/d/1Kvs4KS76FHFqLFIZfrDMff4kP08nblUkihrxltoGBjg/edit#gid=934712705"",""ESENCIAL!A6:BG""),3,FALSE))"),"")</f>
        <v/>
      </c>
      <c r="H754" s="5" t="str">
        <f ca="1">IFERROR(__xludf.DUMMYFUNCTION("IFERROR(VLOOKUP(F777,IMPORTRANGE(""https://docs.google.com/spreadsheets/d/1Kvs4KS76FHFqLFIZfrDMff4kP08nblUkihrxltoGBjg/edit#gid=934712705"",""ESENCIAL!A6:BG""),8,FALSE))"),"")</f>
        <v/>
      </c>
      <c r="L754" s="40"/>
      <c r="Z754" s="41" t="str">
        <f t="shared" si="43"/>
        <v/>
      </c>
      <c r="AA754" s="5" t="str">
        <f ca="1">IFERROR(__xludf.DUMMYFUNCTION("IFERROR(VLOOKUP(E777&amp;F777,IMPORTRANGE(""https://docs.google.com/spreadsheets/d/1Uw7-A9f9R21vMXxHZFNpYNeKFtG8_yji4HS352LGlSQ/edit?pli=1#gid=0"",""1_ACUM!A4:S""),11,FALSE))"),"")</f>
        <v/>
      </c>
      <c r="AB754" s="42" t="str">
        <f ca="1">IFERROR(__xludf.DUMMYFUNCTION("IFERROR(VLOOKUP(F777,IMPORTRANGE(""https://docs.google.com/spreadsheets/d/1Kvs4KS76FHFqLFIZfrDMff4kP08nblUkihrxltoGBjg/edit#gid=934712705"",""ESENCIAL!A6:BG""),15,FALSE))"),"")</f>
        <v/>
      </c>
      <c r="AC754" s="110" t="str">
        <f ca="1">IFERROR(__xludf.DUMMYFUNCTION("IFERROR(VLOOKUP(E777&amp;F777,IMPORTRANGE(""https://docs.google.com/spreadsheets/d/1Uw7-A9f9R21vMXxHZFNpYNeKFtG8_yji4HS352LGlSQ/edit?pli=1#gid=0"",""1_ACUM!A4:S""),13,FALSE))"),"")</f>
        <v/>
      </c>
      <c r="AD754" s="43" t="str">
        <f ca="1">IFERROR(__xludf.DUMMYFUNCTION("IFERROR(VLOOKUP(E777&amp;F777,IMPORTRANGE(""https://docs.google.com/spreadsheets/d/1Uw7-A9f9R21vMXxHZFNpYNeKFtG8_yji4HS352LGlSQ/edit?pli=1#gid=0"",""1_ACUM!A4:S""),13,FALSE))"),"")</f>
        <v/>
      </c>
      <c r="AE754" s="43" t="str">
        <f ca="1">IFERROR(__xludf.DUMMYFUNCTION("IFERROR(VLOOKUP(E777&amp;F777,IMPORTRANGE(""https://docs.google.com/spreadsheets/d/1Uw7-A9f9R21vMXxHZFNpYNeKFtG8_yji4HS352LGlSQ/edit?pli=1#gid=0"",""1_ACUM!A4:S""),14,FALSE))"),"")</f>
        <v/>
      </c>
      <c r="AF754" s="43" t="str">
        <f ca="1">IFERROR(__xludf.DUMMYFUNCTION("IFERROR(VLOOKUP(E777&amp;F777,IMPORTRANGE(""https://docs.google.com/spreadsheets/d/1Uw7-A9f9R21vMXxHZFNpYNeKFtG8_yji4HS352LGlSQ/edit?pli=1#gid=0"",""1_ACUM!A4:S""),15,FALSE))"),"")</f>
        <v/>
      </c>
      <c r="AG754" s="43" t="str">
        <f ca="1">IFERROR(__xludf.DUMMYFUNCTION("IFERROR(VLOOKUP(E777&amp;F777,IMPORTRANGE(""https://docs.google.com/spreadsheets/d/1Uw7-A9f9R21vMXxHZFNpYNeKFtG8_yji4HS352LGlSQ/edit?pli=1#gid=0"",""1_ACUM!A4:S""),16,FALSE))"),"")</f>
        <v/>
      </c>
      <c r="AH754" s="43" t="str">
        <f ca="1">IFERROR(__xludf.DUMMYFUNCTION("IFERROR(VLOOKUP(E777&amp;F777,IMPORTRANGE(""https://docs.google.com/spreadsheets/d/1Uw7-A9f9R21vMXxHZFNpYNeKFtG8_yji4HS352LGlSQ/edit?pli=1#gid=0"",""1_ACUM!A4:S""),17,FALSE))"),"")</f>
        <v/>
      </c>
      <c r="AI754" s="44" t="str">
        <f ca="1">IFERROR(__xludf.DUMMYFUNCTION("IFERROR(VLOOKUP(E777&amp;F777,IMPORTRANGE(""https://docs.google.com/spreadsheets/d/1Uw7-A9f9R21vMXxHZFNpYNeKFtG8_yji4HS352LGlSQ/edit?pli=1#gid=0"",""1_ACUM!A4:S""),18,FALSE))"),"")</f>
        <v/>
      </c>
      <c r="AJ754" s="44" t="str">
        <f ca="1">IFERROR(__xludf.DUMMYFUNCTION("IFERROR(VLOOKUP(E777&amp;F777,IMPORTRANGE(""https://docs.google.com/spreadsheets/d/1Uw7-A9f9R21vMXxHZFNpYNeKFtG8_yji4HS352LGlSQ/edit?pli=1#gid=0"",""1_ACUM!A4:S""),19,FALSE))"),"")</f>
        <v/>
      </c>
      <c r="AK754" s="98" t="str">
        <f ca="1">IFERROR(__xludf.DUMMYFUNCTION("IFERROR(VLOOKUP(F777,IMPORTRANGE(""https://docs.google.com/spreadsheets/d/1Kvs4KS76FHFqLFIZfrDMff4kP08nblUkihrxltoGBjg/edit#gid=934712705"",""ESENCIAL!A6:BG""),5,FALSE))"),"")</f>
        <v/>
      </c>
      <c r="AL754" s="98" t="str">
        <f t="shared" si="44"/>
        <v/>
      </c>
      <c r="AM754" s="99" t="str">
        <f t="shared" si="45"/>
        <v/>
      </c>
      <c r="AN754" s="100" t="str">
        <f ca="1">IFERROR(__xludf.DUMMYFUNCTION("IFERROR(VLOOKUP(F777,IMPORTRANGE(""https://docs.google.com/spreadsheets/d/1Kvs4KS76FHFqLFIZfrDMff4kP08nblUkihrxltoGBjg/edit#gid=934712705"",""ESENCIAL!A6:BG""),2,FALSE))"),"")</f>
        <v/>
      </c>
      <c r="AO754" s="19" t="str">
        <f t="shared" si="46"/>
        <v/>
      </c>
      <c r="AP754" s="100"/>
      <c r="AQ754" s="100"/>
    </row>
    <row r="755" spans="1:43" ht="15">
      <c r="A755" s="5"/>
      <c r="B755" s="5"/>
      <c r="G755" s="5" t="str">
        <f ca="1">IFERROR(__xludf.DUMMYFUNCTION("IFERROR(VLOOKUP(F778,IMPORTRANGE(""https://docs.google.com/spreadsheets/d/1Kvs4KS76FHFqLFIZfrDMff4kP08nblUkihrxltoGBjg/edit#gid=934712705"",""ESENCIAL!A6:BG""),3,FALSE))"),"")</f>
        <v/>
      </c>
      <c r="H755" s="5" t="str">
        <f ca="1">IFERROR(__xludf.DUMMYFUNCTION("IFERROR(VLOOKUP(F778,IMPORTRANGE(""https://docs.google.com/spreadsheets/d/1Kvs4KS76FHFqLFIZfrDMff4kP08nblUkihrxltoGBjg/edit#gid=934712705"",""ESENCIAL!A6:BG""),8,FALSE))"),"")</f>
        <v/>
      </c>
      <c r="L755" s="40"/>
      <c r="Z755" s="41" t="str">
        <f t="shared" si="43"/>
        <v/>
      </c>
      <c r="AA755" s="5" t="str">
        <f ca="1">IFERROR(__xludf.DUMMYFUNCTION("IFERROR(VLOOKUP(E778&amp;F778,IMPORTRANGE(""https://docs.google.com/spreadsheets/d/1Uw7-A9f9R21vMXxHZFNpYNeKFtG8_yji4HS352LGlSQ/edit?pli=1#gid=0"",""1_ACUM!A4:S""),11,FALSE))"),"")</f>
        <v/>
      </c>
      <c r="AB755" s="42" t="str">
        <f ca="1">IFERROR(__xludf.DUMMYFUNCTION("IFERROR(VLOOKUP(F778,IMPORTRANGE(""https://docs.google.com/spreadsheets/d/1Kvs4KS76FHFqLFIZfrDMff4kP08nblUkihrxltoGBjg/edit#gid=934712705"",""ESENCIAL!A6:BG""),15,FALSE))"),"")</f>
        <v/>
      </c>
      <c r="AC755" s="110" t="str">
        <f ca="1">IFERROR(__xludf.DUMMYFUNCTION("IFERROR(VLOOKUP(E778&amp;F778,IMPORTRANGE(""https://docs.google.com/spreadsheets/d/1Uw7-A9f9R21vMXxHZFNpYNeKFtG8_yji4HS352LGlSQ/edit?pli=1#gid=0"",""1_ACUM!A4:S""),13,FALSE))"),"")</f>
        <v/>
      </c>
      <c r="AD755" s="43" t="str">
        <f ca="1">IFERROR(__xludf.DUMMYFUNCTION("IFERROR(VLOOKUP(E778&amp;F778,IMPORTRANGE(""https://docs.google.com/spreadsheets/d/1Uw7-A9f9R21vMXxHZFNpYNeKFtG8_yji4HS352LGlSQ/edit?pli=1#gid=0"",""1_ACUM!A4:S""),13,FALSE))"),"")</f>
        <v/>
      </c>
      <c r="AE755" s="43" t="str">
        <f ca="1">IFERROR(__xludf.DUMMYFUNCTION("IFERROR(VLOOKUP(E778&amp;F778,IMPORTRANGE(""https://docs.google.com/spreadsheets/d/1Uw7-A9f9R21vMXxHZFNpYNeKFtG8_yji4HS352LGlSQ/edit?pli=1#gid=0"",""1_ACUM!A4:S""),14,FALSE))"),"")</f>
        <v/>
      </c>
      <c r="AF755" s="43" t="str">
        <f ca="1">IFERROR(__xludf.DUMMYFUNCTION("IFERROR(VLOOKUP(E778&amp;F778,IMPORTRANGE(""https://docs.google.com/spreadsheets/d/1Uw7-A9f9R21vMXxHZFNpYNeKFtG8_yji4HS352LGlSQ/edit?pli=1#gid=0"",""1_ACUM!A4:S""),15,FALSE))"),"")</f>
        <v/>
      </c>
      <c r="AG755" s="43" t="str">
        <f ca="1">IFERROR(__xludf.DUMMYFUNCTION("IFERROR(VLOOKUP(E778&amp;F778,IMPORTRANGE(""https://docs.google.com/spreadsheets/d/1Uw7-A9f9R21vMXxHZFNpYNeKFtG8_yji4HS352LGlSQ/edit?pli=1#gid=0"",""1_ACUM!A4:S""),16,FALSE))"),"")</f>
        <v/>
      </c>
      <c r="AH755" s="43" t="str">
        <f ca="1">IFERROR(__xludf.DUMMYFUNCTION("IFERROR(VLOOKUP(E778&amp;F778,IMPORTRANGE(""https://docs.google.com/spreadsheets/d/1Uw7-A9f9R21vMXxHZFNpYNeKFtG8_yji4HS352LGlSQ/edit?pli=1#gid=0"",""1_ACUM!A4:S""),17,FALSE))"),"")</f>
        <v/>
      </c>
      <c r="AI755" s="44" t="str">
        <f ca="1">IFERROR(__xludf.DUMMYFUNCTION("IFERROR(VLOOKUP(E778&amp;F778,IMPORTRANGE(""https://docs.google.com/spreadsheets/d/1Uw7-A9f9R21vMXxHZFNpYNeKFtG8_yji4HS352LGlSQ/edit?pli=1#gid=0"",""1_ACUM!A4:S""),18,FALSE))"),"")</f>
        <v/>
      </c>
      <c r="AJ755" s="44" t="str">
        <f ca="1">IFERROR(__xludf.DUMMYFUNCTION("IFERROR(VLOOKUP(E778&amp;F778,IMPORTRANGE(""https://docs.google.com/spreadsheets/d/1Uw7-A9f9R21vMXxHZFNpYNeKFtG8_yji4HS352LGlSQ/edit?pli=1#gid=0"",""1_ACUM!A4:S""),19,FALSE))"),"")</f>
        <v/>
      </c>
      <c r="AK755" s="98" t="str">
        <f ca="1">IFERROR(__xludf.DUMMYFUNCTION("IFERROR(VLOOKUP(F778,IMPORTRANGE(""https://docs.google.com/spreadsheets/d/1Kvs4KS76FHFqLFIZfrDMff4kP08nblUkihrxltoGBjg/edit#gid=934712705"",""ESENCIAL!A6:BG""),5,FALSE))"),"")</f>
        <v/>
      </c>
      <c r="AL755" s="98" t="str">
        <f t="shared" si="44"/>
        <v/>
      </c>
      <c r="AM755" s="99" t="str">
        <f t="shared" si="45"/>
        <v/>
      </c>
      <c r="AN755" s="100" t="str">
        <f ca="1">IFERROR(__xludf.DUMMYFUNCTION("IFERROR(VLOOKUP(F778,IMPORTRANGE(""https://docs.google.com/spreadsheets/d/1Kvs4KS76FHFqLFIZfrDMff4kP08nblUkihrxltoGBjg/edit#gid=934712705"",""ESENCIAL!A6:BG""),2,FALSE))"),"")</f>
        <v/>
      </c>
      <c r="AO755" s="19" t="str">
        <f t="shared" si="46"/>
        <v/>
      </c>
      <c r="AP755" s="100"/>
      <c r="AQ755" s="100"/>
    </row>
    <row r="756" spans="1:43" ht="15">
      <c r="A756" s="5"/>
      <c r="B756" s="5"/>
      <c r="G756" s="5" t="str">
        <f ca="1">IFERROR(__xludf.DUMMYFUNCTION("IFERROR(VLOOKUP(F779,IMPORTRANGE(""https://docs.google.com/spreadsheets/d/1Kvs4KS76FHFqLFIZfrDMff4kP08nblUkihrxltoGBjg/edit#gid=934712705"",""ESENCIAL!A6:BG""),3,FALSE))"),"")</f>
        <v/>
      </c>
      <c r="H756" s="5" t="str">
        <f ca="1">IFERROR(__xludf.DUMMYFUNCTION("IFERROR(VLOOKUP(F779,IMPORTRANGE(""https://docs.google.com/spreadsheets/d/1Kvs4KS76FHFqLFIZfrDMff4kP08nblUkihrxltoGBjg/edit#gid=934712705"",""ESENCIAL!A6:BG""),8,FALSE))"),"")</f>
        <v/>
      </c>
      <c r="L756" s="40"/>
      <c r="Z756" s="41" t="str">
        <f t="shared" si="43"/>
        <v/>
      </c>
      <c r="AA756" s="5" t="str">
        <f ca="1">IFERROR(__xludf.DUMMYFUNCTION("IFERROR(VLOOKUP(E779&amp;F779,IMPORTRANGE(""https://docs.google.com/spreadsheets/d/1Uw7-A9f9R21vMXxHZFNpYNeKFtG8_yji4HS352LGlSQ/edit?pli=1#gid=0"",""1_ACUM!A4:S""),11,FALSE))"),"")</f>
        <v/>
      </c>
      <c r="AB756" s="42" t="str">
        <f ca="1">IFERROR(__xludf.DUMMYFUNCTION("IFERROR(VLOOKUP(F779,IMPORTRANGE(""https://docs.google.com/spreadsheets/d/1Kvs4KS76FHFqLFIZfrDMff4kP08nblUkihrxltoGBjg/edit#gid=934712705"",""ESENCIAL!A6:BG""),15,FALSE))"),"")</f>
        <v/>
      </c>
      <c r="AC756" s="110" t="str">
        <f ca="1">IFERROR(__xludf.DUMMYFUNCTION("IFERROR(VLOOKUP(E779&amp;F779,IMPORTRANGE(""https://docs.google.com/spreadsheets/d/1Uw7-A9f9R21vMXxHZFNpYNeKFtG8_yji4HS352LGlSQ/edit?pli=1#gid=0"",""1_ACUM!A4:S""),13,FALSE))"),"")</f>
        <v/>
      </c>
      <c r="AD756" s="43" t="str">
        <f ca="1">IFERROR(__xludf.DUMMYFUNCTION("IFERROR(VLOOKUP(E779&amp;F779,IMPORTRANGE(""https://docs.google.com/spreadsheets/d/1Uw7-A9f9R21vMXxHZFNpYNeKFtG8_yji4HS352LGlSQ/edit?pli=1#gid=0"",""1_ACUM!A4:S""),13,FALSE))"),"")</f>
        <v/>
      </c>
      <c r="AE756" s="43" t="str">
        <f ca="1">IFERROR(__xludf.DUMMYFUNCTION("IFERROR(VLOOKUP(E779&amp;F779,IMPORTRANGE(""https://docs.google.com/spreadsheets/d/1Uw7-A9f9R21vMXxHZFNpYNeKFtG8_yji4HS352LGlSQ/edit?pli=1#gid=0"",""1_ACUM!A4:S""),14,FALSE))"),"")</f>
        <v/>
      </c>
      <c r="AF756" s="43" t="str">
        <f ca="1">IFERROR(__xludf.DUMMYFUNCTION("IFERROR(VLOOKUP(E779&amp;F779,IMPORTRANGE(""https://docs.google.com/spreadsheets/d/1Uw7-A9f9R21vMXxHZFNpYNeKFtG8_yji4HS352LGlSQ/edit?pli=1#gid=0"",""1_ACUM!A4:S""),15,FALSE))"),"")</f>
        <v/>
      </c>
      <c r="AG756" s="43" t="str">
        <f ca="1">IFERROR(__xludf.DUMMYFUNCTION("IFERROR(VLOOKUP(E779&amp;F779,IMPORTRANGE(""https://docs.google.com/spreadsheets/d/1Uw7-A9f9R21vMXxHZFNpYNeKFtG8_yji4HS352LGlSQ/edit?pli=1#gid=0"",""1_ACUM!A4:S""),16,FALSE))"),"")</f>
        <v/>
      </c>
      <c r="AH756" s="43" t="str">
        <f ca="1">IFERROR(__xludf.DUMMYFUNCTION("IFERROR(VLOOKUP(E779&amp;F779,IMPORTRANGE(""https://docs.google.com/spreadsheets/d/1Uw7-A9f9R21vMXxHZFNpYNeKFtG8_yji4HS352LGlSQ/edit?pli=1#gid=0"",""1_ACUM!A4:S""),17,FALSE))"),"")</f>
        <v/>
      </c>
      <c r="AI756" s="44" t="str">
        <f ca="1">IFERROR(__xludf.DUMMYFUNCTION("IFERROR(VLOOKUP(E779&amp;F779,IMPORTRANGE(""https://docs.google.com/spreadsheets/d/1Uw7-A9f9R21vMXxHZFNpYNeKFtG8_yji4HS352LGlSQ/edit?pli=1#gid=0"",""1_ACUM!A4:S""),18,FALSE))"),"")</f>
        <v/>
      </c>
      <c r="AJ756" s="44" t="str">
        <f ca="1">IFERROR(__xludf.DUMMYFUNCTION("IFERROR(VLOOKUP(E779&amp;F779,IMPORTRANGE(""https://docs.google.com/spreadsheets/d/1Uw7-A9f9R21vMXxHZFNpYNeKFtG8_yji4HS352LGlSQ/edit?pli=1#gid=0"",""1_ACUM!A4:S""),19,FALSE))"),"")</f>
        <v/>
      </c>
      <c r="AK756" s="98" t="str">
        <f ca="1">IFERROR(__xludf.DUMMYFUNCTION("IFERROR(VLOOKUP(F779,IMPORTRANGE(""https://docs.google.com/spreadsheets/d/1Kvs4KS76FHFqLFIZfrDMff4kP08nblUkihrxltoGBjg/edit#gid=934712705"",""ESENCIAL!A6:BG""),5,FALSE))"),"")</f>
        <v/>
      </c>
      <c r="AL756" s="98" t="str">
        <f t="shared" si="44"/>
        <v/>
      </c>
      <c r="AM756" s="99" t="str">
        <f t="shared" si="45"/>
        <v/>
      </c>
      <c r="AN756" s="100" t="str">
        <f ca="1">IFERROR(__xludf.DUMMYFUNCTION("IFERROR(VLOOKUP(F779,IMPORTRANGE(""https://docs.google.com/spreadsheets/d/1Kvs4KS76FHFqLFIZfrDMff4kP08nblUkihrxltoGBjg/edit#gid=934712705"",""ESENCIAL!A6:BG""),2,FALSE))"),"")</f>
        <v/>
      </c>
      <c r="AO756" s="19" t="str">
        <f t="shared" si="46"/>
        <v/>
      </c>
      <c r="AP756" s="100"/>
      <c r="AQ756" s="100"/>
    </row>
    <row r="757" spans="1:43" ht="15">
      <c r="A757" s="5"/>
      <c r="B757" s="5"/>
      <c r="G757" s="5" t="str">
        <f ca="1">IFERROR(__xludf.DUMMYFUNCTION("IFERROR(VLOOKUP(F780,IMPORTRANGE(""https://docs.google.com/spreadsheets/d/1Kvs4KS76FHFqLFIZfrDMff4kP08nblUkihrxltoGBjg/edit#gid=934712705"",""ESENCIAL!A6:BG""),3,FALSE))"),"")</f>
        <v/>
      </c>
      <c r="H757" s="5" t="str">
        <f ca="1">IFERROR(__xludf.DUMMYFUNCTION("IFERROR(VLOOKUP(F780,IMPORTRANGE(""https://docs.google.com/spreadsheets/d/1Kvs4KS76FHFqLFIZfrDMff4kP08nblUkihrxltoGBjg/edit#gid=934712705"",""ESENCIAL!A6:BG""),8,FALSE))"),"")</f>
        <v/>
      </c>
      <c r="L757" s="40"/>
      <c r="Z757" s="41" t="str">
        <f t="shared" si="43"/>
        <v/>
      </c>
      <c r="AA757" s="5" t="str">
        <f ca="1">IFERROR(__xludf.DUMMYFUNCTION("IFERROR(VLOOKUP(E780&amp;F780,IMPORTRANGE(""https://docs.google.com/spreadsheets/d/1Uw7-A9f9R21vMXxHZFNpYNeKFtG8_yji4HS352LGlSQ/edit?pli=1#gid=0"",""1_ACUM!A4:S""),11,FALSE))"),"")</f>
        <v/>
      </c>
      <c r="AB757" s="42" t="str">
        <f ca="1">IFERROR(__xludf.DUMMYFUNCTION("IFERROR(VLOOKUP(F780,IMPORTRANGE(""https://docs.google.com/spreadsheets/d/1Kvs4KS76FHFqLFIZfrDMff4kP08nblUkihrxltoGBjg/edit#gid=934712705"",""ESENCIAL!A6:BG""),15,FALSE))"),"")</f>
        <v/>
      </c>
      <c r="AC757" s="110" t="str">
        <f ca="1">IFERROR(__xludf.DUMMYFUNCTION("IFERROR(VLOOKUP(E780&amp;F780,IMPORTRANGE(""https://docs.google.com/spreadsheets/d/1Uw7-A9f9R21vMXxHZFNpYNeKFtG8_yji4HS352LGlSQ/edit?pli=1#gid=0"",""1_ACUM!A4:S""),13,FALSE))"),"")</f>
        <v/>
      </c>
      <c r="AD757" s="43" t="str">
        <f ca="1">IFERROR(__xludf.DUMMYFUNCTION("IFERROR(VLOOKUP(E780&amp;F780,IMPORTRANGE(""https://docs.google.com/spreadsheets/d/1Uw7-A9f9R21vMXxHZFNpYNeKFtG8_yji4HS352LGlSQ/edit?pli=1#gid=0"",""1_ACUM!A4:S""),13,FALSE))"),"")</f>
        <v/>
      </c>
      <c r="AE757" s="43" t="str">
        <f ca="1">IFERROR(__xludf.DUMMYFUNCTION("IFERROR(VLOOKUP(E780&amp;F780,IMPORTRANGE(""https://docs.google.com/spreadsheets/d/1Uw7-A9f9R21vMXxHZFNpYNeKFtG8_yji4HS352LGlSQ/edit?pli=1#gid=0"",""1_ACUM!A4:S""),14,FALSE))"),"")</f>
        <v/>
      </c>
      <c r="AF757" s="43" t="str">
        <f ca="1">IFERROR(__xludf.DUMMYFUNCTION("IFERROR(VLOOKUP(E780&amp;F780,IMPORTRANGE(""https://docs.google.com/spreadsheets/d/1Uw7-A9f9R21vMXxHZFNpYNeKFtG8_yji4HS352LGlSQ/edit?pli=1#gid=0"",""1_ACUM!A4:S""),15,FALSE))"),"")</f>
        <v/>
      </c>
      <c r="AG757" s="43" t="str">
        <f ca="1">IFERROR(__xludf.DUMMYFUNCTION("IFERROR(VLOOKUP(E780&amp;F780,IMPORTRANGE(""https://docs.google.com/spreadsheets/d/1Uw7-A9f9R21vMXxHZFNpYNeKFtG8_yji4HS352LGlSQ/edit?pli=1#gid=0"",""1_ACUM!A4:S""),16,FALSE))"),"")</f>
        <v/>
      </c>
      <c r="AH757" s="43" t="str">
        <f ca="1">IFERROR(__xludf.DUMMYFUNCTION("IFERROR(VLOOKUP(E780&amp;F780,IMPORTRANGE(""https://docs.google.com/spreadsheets/d/1Uw7-A9f9R21vMXxHZFNpYNeKFtG8_yji4HS352LGlSQ/edit?pli=1#gid=0"",""1_ACUM!A4:S""),17,FALSE))"),"")</f>
        <v/>
      </c>
      <c r="AI757" s="44" t="str">
        <f ca="1">IFERROR(__xludf.DUMMYFUNCTION("IFERROR(VLOOKUP(E780&amp;F780,IMPORTRANGE(""https://docs.google.com/spreadsheets/d/1Uw7-A9f9R21vMXxHZFNpYNeKFtG8_yji4HS352LGlSQ/edit?pli=1#gid=0"",""1_ACUM!A4:S""),18,FALSE))"),"")</f>
        <v/>
      </c>
      <c r="AJ757" s="44" t="str">
        <f ca="1">IFERROR(__xludf.DUMMYFUNCTION("IFERROR(VLOOKUP(E780&amp;F780,IMPORTRANGE(""https://docs.google.com/spreadsheets/d/1Uw7-A9f9R21vMXxHZFNpYNeKFtG8_yji4HS352LGlSQ/edit?pli=1#gid=0"",""1_ACUM!A4:S""),19,FALSE))"),"")</f>
        <v/>
      </c>
      <c r="AK757" s="98" t="str">
        <f ca="1">IFERROR(__xludf.DUMMYFUNCTION("IFERROR(VLOOKUP(F780,IMPORTRANGE(""https://docs.google.com/spreadsheets/d/1Kvs4KS76FHFqLFIZfrDMff4kP08nblUkihrxltoGBjg/edit#gid=934712705"",""ESENCIAL!A6:BG""),5,FALSE))"),"")</f>
        <v/>
      </c>
      <c r="AL757" s="98" t="str">
        <f t="shared" si="44"/>
        <v/>
      </c>
      <c r="AM757" s="99" t="str">
        <f t="shared" si="45"/>
        <v/>
      </c>
      <c r="AN757" s="100" t="str">
        <f ca="1">IFERROR(__xludf.DUMMYFUNCTION("IFERROR(VLOOKUP(F780,IMPORTRANGE(""https://docs.google.com/spreadsheets/d/1Kvs4KS76FHFqLFIZfrDMff4kP08nblUkihrxltoGBjg/edit#gid=934712705"",""ESENCIAL!A6:BG""),2,FALSE))"),"")</f>
        <v/>
      </c>
      <c r="AO757" s="19" t="str">
        <f t="shared" si="46"/>
        <v/>
      </c>
      <c r="AP757" s="100"/>
      <c r="AQ757" s="100"/>
    </row>
    <row r="758" spans="1:43" ht="15">
      <c r="A758" s="5"/>
      <c r="B758" s="5"/>
      <c r="G758" s="5" t="str">
        <f ca="1">IFERROR(__xludf.DUMMYFUNCTION("IFERROR(VLOOKUP(F781,IMPORTRANGE(""https://docs.google.com/spreadsheets/d/1Kvs4KS76FHFqLFIZfrDMff4kP08nblUkihrxltoGBjg/edit#gid=934712705"",""ESENCIAL!A6:BG""),3,FALSE))"),"")</f>
        <v/>
      </c>
      <c r="H758" s="5" t="str">
        <f ca="1">IFERROR(__xludf.DUMMYFUNCTION("IFERROR(VLOOKUP(F781,IMPORTRANGE(""https://docs.google.com/spreadsheets/d/1Kvs4KS76FHFqLFIZfrDMff4kP08nblUkihrxltoGBjg/edit#gid=934712705"",""ESENCIAL!A6:BG""),8,FALSE))"),"")</f>
        <v/>
      </c>
      <c r="L758" s="40"/>
      <c r="Z758" s="41" t="str">
        <f t="shared" si="43"/>
        <v/>
      </c>
      <c r="AA758" s="5" t="str">
        <f ca="1">IFERROR(__xludf.DUMMYFUNCTION("IFERROR(VLOOKUP(E781&amp;F781,IMPORTRANGE(""https://docs.google.com/spreadsheets/d/1Uw7-A9f9R21vMXxHZFNpYNeKFtG8_yji4HS352LGlSQ/edit?pli=1#gid=0"",""1_ACUM!A4:S""),11,FALSE))"),"")</f>
        <v/>
      </c>
      <c r="AB758" s="42" t="str">
        <f ca="1">IFERROR(__xludf.DUMMYFUNCTION("IFERROR(VLOOKUP(F781,IMPORTRANGE(""https://docs.google.com/spreadsheets/d/1Kvs4KS76FHFqLFIZfrDMff4kP08nblUkihrxltoGBjg/edit#gid=934712705"",""ESENCIAL!A6:BG""),15,FALSE))"),"")</f>
        <v/>
      </c>
      <c r="AC758" s="110" t="str">
        <f ca="1">IFERROR(__xludf.DUMMYFUNCTION("IFERROR(VLOOKUP(E781&amp;F781,IMPORTRANGE(""https://docs.google.com/spreadsheets/d/1Uw7-A9f9R21vMXxHZFNpYNeKFtG8_yji4HS352LGlSQ/edit?pli=1#gid=0"",""1_ACUM!A4:S""),13,FALSE))"),"")</f>
        <v/>
      </c>
      <c r="AD758" s="43" t="str">
        <f ca="1">IFERROR(__xludf.DUMMYFUNCTION("IFERROR(VLOOKUP(E781&amp;F781,IMPORTRANGE(""https://docs.google.com/spreadsheets/d/1Uw7-A9f9R21vMXxHZFNpYNeKFtG8_yji4HS352LGlSQ/edit?pli=1#gid=0"",""1_ACUM!A4:S""),13,FALSE))"),"")</f>
        <v/>
      </c>
      <c r="AE758" s="43" t="str">
        <f ca="1">IFERROR(__xludf.DUMMYFUNCTION("IFERROR(VLOOKUP(E781&amp;F781,IMPORTRANGE(""https://docs.google.com/spreadsheets/d/1Uw7-A9f9R21vMXxHZFNpYNeKFtG8_yji4HS352LGlSQ/edit?pli=1#gid=0"",""1_ACUM!A4:S""),14,FALSE))"),"")</f>
        <v/>
      </c>
      <c r="AF758" s="43" t="str">
        <f ca="1">IFERROR(__xludf.DUMMYFUNCTION("IFERROR(VLOOKUP(E781&amp;F781,IMPORTRANGE(""https://docs.google.com/spreadsheets/d/1Uw7-A9f9R21vMXxHZFNpYNeKFtG8_yji4HS352LGlSQ/edit?pli=1#gid=0"",""1_ACUM!A4:S""),15,FALSE))"),"")</f>
        <v/>
      </c>
      <c r="AG758" s="43" t="str">
        <f ca="1">IFERROR(__xludf.DUMMYFUNCTION("IFERROR(VLOOKUP(E781&amp;F781,IMPORTRANGE(""https://docs.google.com/spreadsheets/d/1Uw7-A9f9R21vMXxHZFNpYNeKFtG8_yji4HS352LGlSQ/edit?pli=1#gid=0"",""1_ACUM!A4:S""),16,FALSE))"),"")</f>
        <v/>
      </c>
      <c r="AH758" s="43" t="str">
        <f ca="1">IFERROR(__xludf.DUMMYFUNCTION("IFERROR(VLOOKUP(E781&amp;F781,IMPORTRANGE(""https://docs.google.com/spreadsheets/d/1Uw7-A9f9R21vMXxHZFNpYNeKFtG8_yji4HS352LGlSQ/edit?pli=1#gid=0"",""1_ACUM!A4:S""),17,FALSE))"),"")</f>
        <v/>
      </c>
      <c r="AI758" s="44" t="str">
        <f ca="1">IFERROR(__xludf.DUMMYFUNCTION("IFERROR(VLOOKUP(E781&amp;F781,IMPORTRANGE(""https://docs.google.com/spreadsheets/d/1Uw7-A9f9R21vMXxHZFNpYNeKFtG8_yji4HS352LGlSQ/edit?pli=1#gid=0"",""1_ACUM!A4:S""),18,FALSE))"),"")</f>
        <v/>
      </c>
      <c r="AJ758" s="44" t="str">
        <f ca="1">IFERROR(__xludf.DUMMYFUNCTION("IFERROR(VLOOKUP(E781&amp;F781,IMPORTRANGE(""https://docs.google.com/spreadsheets/d/1Uw7-A9f9R21vMXxHZFNpYNeKFtG8_yji4HS352LGlSQ/edit?pli=1#gid=0"",""1_ACUM!A4:S""),19,FALSE))"),"")</f>
        <v/>
      </c>
      <c r="AK758" s="98" t="str">
        <f ca="1">IFERROR(__xludf.DUMMYFUNCTION("IFERROR(VLOOKUP(F781,IMPORTRANGE(""https://docs.google.com/spreadsheets/d/1Kvs4KS76FHFqLFIZfrDMff4kP08nblUkihrxltoGBjg/edit#gid=934712705"",""ESENCIAL!A6:BG""),5,FALSE))"),"")</f>
        <v/>
      </c>
      <c r="AL758" s="98" t="str">
        <f t="shared" si="44"/>
        <v/>
      </c>
      <c r="AM758" s="99" t="str">
        <f t="shared" si="45"/>
        <v/>
      </c>
      <c r="AN758" s="100" t="str">
        <f ca="1">IFERROR(__xludf.DUMMYFUNCTION("IFERROR(VLOOKUP(F781,IMPORTRANGE(""https://docs.google.com/spreadsheets/d/1Kvs4KS76FHFqLFIZfrDMff4kP08nblUkihrxltoGBjg/edit#gid=934712705"",""ESENCIAL!A6:BG""),2,FALSE))"),"")</f>
        <v/>
      </c>
      <c r="AO758" s="19" t="str">
        <f t="shared" si="46"/>
        <v/>
      </c>
      <c r="AP758" s="100"/>
      <c r="AQ758" s="100"/>
    </row>
    <row r="759" spans="1:43" ht="15">
      <c r="A759" s="5"/>
      <c r="B759" s="5"/>
      <c r="G759" s="5" t="str">
        <f ca="1">IFERROR(__xludf.DUMMYFUNCTION("IFERROR(VLOOKUP(F782,IMPORTRANGE(""https://docs.google.com/spreadsheets/d/1Kvs4KS76FHFqLFIZfrDMff4kP08nblUkihrxltoGBjg/edit#gid=934712705"",""ESENCIAL!A6:BG""),3,FALSE))"),"")</f>
        <v/>
      </c>
      <c r="H759" s="5" t="str">
        <f ca="1">IFERROR(__xludf.DUMMYFUNCTION("IFERROR(VLOOKUP(F782,IMPORTRANGE(""https://docs.google.com/spreadsheets/d/1Kvs4KS76FHFqLFIZfrDMff4kP08nblUkihrxltoGBjg/edit#gid=934712705"",""ESENCIAL!A6:BG""),8,FALSE))"),"")</f>
        <v/>
      </c>
      <c r="L759" s="40"/>
      <c r="Z759" s="41" t="str">
        <f t="shared" si="43"/>
        <v/>
      </c>
      <c r="AA759" s="5" t="str">
        <f ca="1">IFERROR(__xludf.DUMMYFUNCTION("IFERROR(VLOOKUP(E782&amp;F782,IMPORTRANGE(""https://docs.google.com/spreadsheets/d/1Uw7-A9f9R21vMXxHZFNpYNeKFtG8_yji4HS352LGlSQ/edit?pli=1#gid=0"",""1_ACUM!A4:S""),11,FALSE))"),"")</f>
        <v/>
      </c>
      <c r="AB759" s="42" t="str">
        <f ca="1">IFERROR(__xludf.DUMMYFUNCTION("IFERROR(VLOOKUP(F782,IMPORTRANGE(""https://docs.google.com/spreadsheets/d/1Kvs4KS76FHFqLFIZfrDMff4kP08nblUkihrxltoGBjg/edit#gid=934712705"",""ESENCIAL!A6:BG""),15,FALSE))"),"")</f>
        <v/>
      </c>
      <c r="AC759" s="110" t="str">
        <f ca="1">IFERROR(__xludf.DUMMYFUNCTION("IFERROR(VLOOKUP(E782&amp;F782,IMPORTRANGE(""https://docs.google.com/spreadsheets/d/1Uw7-A9f9R21vMXxHZFNpYNeKFtG8_yji4HS352LGlSQ/edit?pli=1#gid=0"",""1_ACUM!A4:S""),13,FALSE))"),"")</f>
        <v/>
      </c>
      <c r="AD759" s="43" t="str">
        <f ca="1">IFERROR(__xludf.DUMMYFUNCTION("IFERROR(VLOOKUP(E782&amp;F782,IMPORTRANGE(""https://docs.google.com/spreadsheets/d/1Uw7-A9f9R21vMXxHZFNpYNeKFtG8_yji4HS352LGlSQ/edit?pli=1#gid=0"",""1_ACUM!A4:S""),13,FALSE))"),"")</f>
        <v/>
      </c>
      <c r="AE759" s="43" t="str">
        <f ca="1">IFERROR(__xludf.DUMMYFUNCTION("IFERROR(VLOOKUP(E782&amp;F782,IMPORTRANGE(""https://docs.google.com/spreadsheets/d/1Uw7-A9f9R21vMXxHZFNpYNeKFtG8_yji4HS352LGlSQ/edit?pli=1#gid=0"",""1_ACUM!A4:S""),14,FALSE))"),"")</f>
        <v/>
      </c>
      <c r="AF759" s="43" t="str">
        <f ca="1">IFERROR(__xludf.DUMMYFUNCTION("IFERROR(VLOOKUP(E782&amp;F782,IMPORTRANGE(""https://docs.google.com/spreadsheets/d/1Uw7-A9f9R21vMXxHZFNpYNeKFtG8_yji4HS352LGlSQ/edit?pli=1#gid=0"",""1_ACUM!A4:S""),15,FALSE))"),"")</f>
        <v/>
      </c>
      <c r="AG759" s="43" t="str">
        <f ca="1">IFERROR(__xludf.DUMMYFUNCTION("IFERROR(VLOOKUP(E782&amp;F782,IMPORTRANGE(""https://docs.google.com/spreadsheets/d/1Uw7-A9f9R21vMXxHZFNpYNeKFtG8_yji4HS352LGlSQ/edit?pli=1#gid=0"",""1_ACUM!A4:S""),16,FALSE))"),"")</f>
        <v/>
      </c>
      <c r="AH759" s="43" t="str">
        <f ca="1">IFERROR(__xludf.DUMMYFUNCTION("IFERROR(VLOOKUP(E782&amp;F782,IMPORTRANGE(""https://docs.google.com/spreadsheets/d/1Uw7-A9f9R21vMXxHZFNpYNeKFtG8_yji4HS352LGlSQ/edit?pli=1#gid=0"",""1_ACUM!A4:S""),17,FALSE))"),"")</f>
        <v/>
      </c>
      <c r="AI759" s="44" t="str">
        <f ca="1">IFERROR(__xludf.DUMMYFUNCTION("IFERROR(VLOOKUP(E782&amp;F782,IMPORTRANGE(""https://docs.google.com/spreadsheets/d/1Uw7-A9f9R21vMXxHZFNpYNeKFtG8_yji4HS352LGlSQ/edit?pli=1#gid=0"",""1_ACUM!A4:S""),18,FALSE))"),"")</f>
        <v/>
      </c>
      <c r="AJ759" s="44" t="str">
        <f ca="1">IFERROR(__xludf.DUMMYFUNCTION("IFERROR(VLOOKUP(E782&amp;F782,IMPORTRANGE(""https://docs.google.com/spreadsheets/d/1Uw7-A9f9R21vMXxHZFNpYNeKFtG8_yji4HS352LGlSQ/edit?pli=1#gid=0"",""1_ACUM!A4:S""),19,FALSE))"),"")</f>
        <v/>
      </c>
      <c r="AK759" s="98" t="str">
        <f ca="1">IFERROR(__xludf.DUMMYFUNCTION("IFERROR(VLOOKUP(F782,IMPORTRANGE(""https://docs.google.com/spreadsheets/d/1Kvs4KS76FHFqLFIZfrDMff4kP08nblUkihrxltoGBjg/edit#gid=934712705"",""ESENCIAL!A6:BG""),5,FALSE))"),"")</f>
        <v/>
      </c>
      <c r="AL759" s="98" t="str">
        <f t="shared" si="44"/>
        <v/>
      </c>
      <c r="AM759" s="99" t="str">
        <f t="shared" si="45"/>
        <v/>
      </c>
      <c r="AN759" s="100" t="str">
        <f ca="1">IFERROR(__xludf.DUMMYFUNCTION("IFERROR(VLOOKUP(F782,IMPORTRANGE(""https://docs.google.com/spreadsheets/d/1Kvs4KS76FHFqLFIZfrDMff4kP08nblUkihrxltoGBjg/edit#gid=934712705"",""ESENCIAL!A6:BG""),2,FALSE))"),"")</f>
        <v/>
      </c>
      <c r="AO759" s="19" t="str">
        <f t="shared" si="46"/>
        <v/>
      </c>
      <c r="AP759" s="100"/>
      <c r="AQ759" s="100"/>
    </row>
    <row r="760" spans="1:43" ht="15">
      <c r="A760" s="5"/>
      <c r="B760" s="5"/>
      <c r="G760" s="5" t="str">
        <f ca="1">IFERROR(__xludf.DUMMYFUNCTION("IFERROR(VLOOKUP(F783,IMPORTRANGE(""https://docs.google.com/spreadsheets/d/1Kvs4KS76FHFqLFIZfrDMff4kP08nblUkihrxltoGBjg/edit#gid=934712705"",""ESENCIAL!A6:BG""),3,FALSE))"),"")</f>
        <v/>
      </c>
      <c r="H760" s="5" t="str">
        <f ca="1">IFERROR(__xludf.DUMMYFUNCTION("IFERROR(VLOOKUP(F783,IMPORTRANGE(""https://docs.google.com/spreadsheets/d/1Kvs4KS76FHFqLFIZfrDMff4kP08nblUkihrxltoGBjg/edit#gid=934712705"",""ESENCIAL!A6:BG""),8,FALSE))"),"")</f>
        <v/>
      </c>
      <c r="L760" s="40"/>
      <c r="Z760" s="41" t="str">
        <f t="shared" si="43"/>
        <v/>
      </c>
      <c r="AA760" s="5" t="str">
        <f ca="1">IFERROR(__xludf.DUMMYFUNCTION("IFERROR(VLOOKUP(E783&amp;F783,IMPORTRANGE(""https://docs.google.com/spreadsheets/d/1Uw7-A9f9R21vMXxHZFNpYNeKFtG8_yji4HS352LGlSQ/edit?pli=1#gid=0"",""1_ACUM!A4:S""),11,FALSE))"),"")</f>
        <v/>
      </c>
      <c r="AB760" s="42" t="str">
        <f ca="1">IFERROR(__xludf.DUMMYFUNCTION("IFERROR(VLOOKUP(F783,IMPORTRANGE(""https://docs.google.com/spreadsheets/d/1Kvs4KS76FHFqLFIZfrDMff4kP08nblUkihrxltoGBjg/edit#gid=934712705"",""ESENCIAL!A6:BG""),15,FALSE))"),"")</f>
        <v/>
      </c>
      <c r="AC760" s="110" t="str">
        <f ca="1">IFERROR(__xludf.DUMMYFUNCTION("IFERROR(VLOOKUP(E783&amp;F783,IMPORTRANGE(""https://docs.google.com/spreadsheets/d/1Uw7-A9f9R21vMXxHZFNpYNeKFtG8_yji4HS352LGlSQ/edit?pli=1#gid=0"",""1_ACUM!A4:S""),13,FALSE))"),"")</f>
        <v/>
      </c>
      <c r="AD760" s="43" t="str">
        <f ca="1">IFERROR(__xludf.DUMMYFUNCTION("IFERROR(VLOOKUP(E783&amp;F783,IMPORTRANGE(""https://docs.google.com/spreadsheets/d/1Uw7-A9f9R21vMXxHZFNpYNeKFtG8_yji4HS352LGlSQ/edit?pli=1#gid=0"",""1_ACUM!A4:S""),13,FALSE))"),"")</f>
        <v/>
      </c>
      <c r="AE760" s="43" t="str">
        <f ca="1">IFERROR(__xludf.DUMMYFUNCTION("IFERROR(VLOOKUP(E783&amp;F783,IMPORTRANGE(""https://docs.google.com/spreadsheets/d/1Uw7-A9f9R21vMXxHZFNpYNeKFtG8_yji4HS352LGlSQ/edit?pli=1#gid=0"",""1_ACUM!A4:S""),14,FALSE))"),"")</f>
        <v/>
      </c>
      <c r="AF760" s="43" t="str">
        <f ca="1">IFERROR(__xludf.DUMMYFUNCTION("IFERROR(VLOOKUP(E783&amp;F783,IMPORTRANGE(""https://docs.google.com/spreadsheets/d/1Uw7-A9f9R21vMXxHZFNpYNeKFtG8_yji4HS352LGlSQ/edit?pli=1#gid=0"",""1_ACUM!A4:S""),15,FALSE))"),"")</f>
        <v/>
      </c>
      <c r="AG760" s="43" t="str">
        <f ca="1">IFERROR(__xludf.DUMMYFUNCTION("IFERROR(VLOOKUP(E783&amp;F783,IMPORTRANGE(""https://docs.google.com/spreadsheets/d/1Uw7-A9f9R21vMXxHZFNpYNeKFtG8_yji4HS352LGlSQ/edit?pli=1#gid=0"",""1_ACUM!A4:S""),16,FALSE))"),"")</f>
        <v/>
      </c>
      <c r="AH760" s="43" t="str">
        <f ca="1">IFERROR(__xludf.DUMMYFUNCTION("IFERROR(VLOOKUP(E783&amp;F783,IMPORTRANGE(""https://docs.google.com/spreadsheets/d/1Uw7-A9f9R21vMXxHZFNpYNeKFtG8_yji4HS352LGlSQ/edit?pli=1#gid=0"",""1_ACUM!A4:S""),17,FALSE))"),"")</f>
        <v/>
      </c>
      <c r="AI760" s="44" t="str">
        <f ca="1">IFERROR(__xludf.DUMMYFUNCTION("IFERROR(VLOOKUP(E783&amp;F783,IMPORTRANGE(""https://docs.google.com/spreadsheets/d/1Uw7-A9f9R21vMXxHZFNpYNeKFtG8_yji4HS352LGlSQ/edit?pli=1#gid=0"",""1_ACUM!A4:S""),18,FALSE))"),"")</f>
        <v/>
      </c>
      <c r="AJ760" s="44" t="str">
        <f ca="1">IFERROR(__xludf.DUMMYFUNCTION("IFERROR(VLOOKUP(E783&amp;F783,IMPORTRANGE(""https://docs.google.com/spreadsheets/d/1Uw7-A9f9R21vMXxHZFNpYNeKFtG8_yji4HS352LGlSQ/edit?pli=1#gid=0"",""1_ACUM!A4:S""),19,FALSE))"),"")</f>
        <v/>
      </c>
      <c r="AK760" s="98" t="str">
        <f ca="1">IFERROR(__xludf.DUMMYFUNCTION("IFERROR(VLOOKUP(F783,IMPORTRANGE(""https://docs.google.com/spreadsheets/d/1Kvs4KS76FHFqLFIZfrDMff4kP08nblUkihrxltoGBjg/edit#gid=934712705"",""ESENCIAL!A6:BG""),5,FALSE))"),"")</f>
        <v/>
      </c>
      <c r="AL760" s="98" t="str">
        <f t="shared" si="44"/>
        <v/>
      </c>
      <c r="AM760" s="99" t="str">
        <f t="shared" si="45"/>
        <v/>
      </c>
      <c r="AN760" s="100" t="str">
        <f ca="1">IFERROR(__xludf.DUMMYFUNCTION("IFERROR(VLOOKUP(F783,IMPORTRANGE(""https://docs.google.com/spreadsheets/d/1Kvs4KS76FHFqLFIZfrDMff4kP08nblUkihrxltoGBjg/edit#gid=934712705"",""ESENCIAL!A6:BG""),2,FALSE))"),"")</f>
        <v/>
      </c>
      <c r="AO760" s="19" t="str">
        <f t="shared" si="46"/>
        <v/>
      </c>
      <c r="AP760" s="100"/>
      <c r="AQ760" s="100"/>
    </row>
    <row r="761" spans="1:43" ht="15">
      <c r="A761" s="5"/>
      <c r="B761" s="5"/>
      <c r="G761" s="5" t="str">
        <f ca="1">IFERROR(__xludf.DUMMYFUNCTION("IFERROR(VLOOKUP(F784,IMPORTRANGE(""https://docs.google.com/spreadsheets/d/1Kvs4KS76FHFqLFIZfrDMff4kP08nblUkihrxltoGBjg/edit#gid=934712705"",""ESENCIAL!A6:BG""),3,FALSE))"),"")</f>
        <v/>
      </c>
      <c r="H761" s="5" t="str">
        <f ca="1">IFERROR(__xludf.DUMMYFUNCTION("IFERROR(VLOOKUP(F784,IMPORTRANGE(""https://docs.google.com/spreadsheets/d/1Kvs4KS76FHFqLFIZfrDMff4kP08nblUkihrxltoGBjg/edit#gid=934712705"",""ESENCIAL!A6:BG""),8,FALSE))"),"")</f>
        <v/>
      </c>
      <c r="L761" s="40"/>
      <c r="Z761" s="41" t="str">
        <f t="shared" si="43"/>
        <v/>
      </c>
      <c r="AA761" s="5" t="str">
        <f ca="1">IFERROR(__xludf.DUMMYFUNCTION("IFERROR(VLOOKUP(E784&amp;F784,IMPORTRANGE(""https://docs.google.com/spreadsheets/d/1Uw7-A9f9R21vMXxHZFNpYNeKFtG8_yji4HS352LGlSQ/edit?pli=1#gid=0"",""1_ACUM!A4:S""),11,FALSE))"),"")</f>
        <v/>
      </c>
      <c r="AB761" s="42" t="str">
        <f ca="1">IFERROR(__xludf.DUMMYFUNCTION("IFERROR(VLOOKUP(F784,IMPORTRANGE(""https://docs.google.com/spreadsheets/d/1Kvs4KS76FHFqLFIZfrDMff4kP08nblUkihrxltoGBjg/edit#gid=934712705"",""ESENCIAL!A6:BG""),15,FALSE))"),"")</f>
        <v/>
      </c>
      <c r="AC761" s="110" t="str">
        <f ca="1">IFERROR(__xludf.DUMMYFUNCTION("IFERROR(VLOOKUP(E784&amp;F784,IMPORTRANGE(""https://docs.google.com/spreadsheets/d/1Uw7-A9f9R21vMXxHZFNpYNeKFtG8_yji4HS352LGlSQ/edit?pli=1#gid=0"",""1_ACUM!A4:S""),13,FALSE))"),"")</f>
        <v/>
      </c>
      <c r="AD761" s="43" t="str">
        <f ca="1">IFERROR(__xludf.DUMMYFUNCTION("IFERROR(VLOOKUP(E784&amp;F784,IMPORTRANGE(""https://docs.google.com/spreadsheets/d/1Uw7-A9f9R21vMXxHZFNpYNeKFtG8_yji4HS352LGlSQ/edit?pli=1#gid=0"",""1_ACUM!A4:S""),13,FALSE))"),"")</f>
        <v/>
      </c>
      <c r="AE761" s="43" t="str">
        <f ca="1">IFERROR(__xludf.DUMMYFUNCTION("IFERROR(VLOOKUP(E784&amp;F784,IMPORTRANGE(""https://docs.google.com/spreadsheets/d/1Uw7-A9f9R21vMXxHZFNpYNeKFtG8_yji4HS352LGlSQ/edit?pli=1#gid=0"",""1_ACUM!A4:S""),14,FALSE))"),"")</f>
        <v/>
      </c>
      <c r="AF761" s="43" t="str">
        <f ca="1">IFERROR(__xludf.DUMMYFUNCTION("IFERROR(VLOOKUP(E784&amp;F784,IMPORTRANGE(""https://docs.google.com/spreadsheets/d/1Uw7-A9f9R21vMXxHZFNpYNeKFtG8_yji4HS352LGlSQ/edit?pli=1#gid=0"",""1_ACUM!A4:S""),15,FALSE))"),"")</f>
        <v/>
      </c>
      <c r="AG761" s="43" t="str">
        <f ca="1">IFERROR(__xludf.DUMMYFUNCTION("IFERROR(VLOOKUP(E784&amp;F784,IMPORTRANGE(""https://docs.google.com/spreadsheets/d/1Uw7-A9f9R21vMXxHZFNpYNeKFtG8_yji4HS352LGlSQ/edit?pli=1#gid=0"",""1_ACUM!A4:S""),16,FALSE))"),"")</f>
        <v/>
      </c>
      <c r="AH761" s="43" t="str">
        <f ca="1">IFERROR(__xludf.DUMMYFUNCTION("IFERROR(VLOOKUP(E784&amp;F784,IMPORTRANGE(""https://docs.google.com/spreadsheets/d/1Uw7-A9f9R21vMXxHZFNpYNeKFtG8_yji4HS352LGlSQ/edit?pli=1#gid=0"",""1_ACUM!A4:S""),17,FALSE))"),"")</f>
        <v/>
      </c>
      <c r="AI761" s="44" t="str">
        <f ca="1">IFERROR(__xludf.DUMMYFUNCTION("IFERROR(VLOOKUP(E784&amp;F784,IMPORTRANGE(""https://docs.google.com/spreadsheets/d/1Uw7-A9f9R21vMXxHZFNpYNeKFtG8_yji4HS352LGlSQ/edit?pli=1#gid=0"",""1_ACUM!A4:S""),18,FALSE))"),"")</f>
        <v/>
      </c>
      <c r="AJ761" s="44" t="str">
        <f ca="1">IFERROR(__xludf.DUMMYFUNCTION("IFERROR(VLOOKUP(E784&amp;F784,IMPORTRANGE(""https://docs.google.com/spreadsheets/d/1Uw7-A9f9R21vMXxHZFNpYNeKFtG8_yji4HS352LGlSQ/edit?pli=1#gid=0"",""1_ACUM!A4:S""),19,FALSE))"),"")</f>
        <v/>
      </c>
      <c r="AK761" s="98" t="str">
        <f ca="1">IFERROR(__xludf.DUMMYFUNCTION("IFERROR(VLOOKUP(F784,IMPORTRANGE(""https://docs.google.com/spreadsheets/d/1Kvs4KS76FHFqLFIZfrDMff4kP08nblUkihrxltoGBjg/edit#gid=934712705"",""ESENCIAL!A6:BG""),5,FALSE))"),"")</f>
        <v/>
      </c>
      <c r="AL761" s="98" t="str">
        <f t="shared" si="44"/>
        <v/>
      </c>
      <c r="AM761" s="99" t="str">
        <f t="shared" si="45"/>
        <v/>
      </c>
      <c r="AN761" s="100" t="str">
        <f ca="1">IFERROR(__xludf.DUMMYFUNCTION("IFERROR(VLOOKUP(F784,IMPORTRANGE(""https://docs.google.com/spreadsheets/d/1Kvs4KS76FHFqLFIZfrDMff4kP08nblUkihrxltoGBjg/edit#gid=934712705"",""ESENCIAL!A6:BG""),2,FALSE))"),"")</f>
        <v/>
      </c>
      <c r="AO761" s="19" t="str">
        <f t="shared" si="46"/>
        <v/>
      </c>
      <c r="AP761" s="100"/>
      <c r="AQ761" s="100"/>
    </row>
    <row r="762" spans="1:43" ht="15">
      <c r="A762" s="5"/>
      <c r="B762" s="5"/>
      <c r="G762" s="5" t="str">
        <f ca="1">IFERROR(__xludf.DUMMYFUNCTION("IFERROR(VLOOKUP(F785,IMPORTRANGE(""https://docs.google.com/spreadsheets/d/1Kvs4KS76FHFqLFIZfrDMff4kP08nblUkihrxltoGBjg/edit#gid=934712705"",""ESENCIAL!A6:BG""),3,FALSE))"),"")</f>
        <v/>
      </c>
      <c r="H762" s="5" t="str">
        <f ca="1">IFERROR(__xludf.DUMMYFUNCTION("IFERROR(VLOOKUP(F785,IMPORTRANGE(""https://docs.google.com/spreadsheets/d/1Kvs4KS76FHFqLFIZfrDMff4kP08nblUkihrxltoGBjg/edit#gid=934712705"",""ESENCIAL!A6:BG""),8,FALSE))"),"")</f>
        <v/>
      </c>
      <c r="L762" s="40"/>
      <c r="Z762" s="41" t="str">
        <f t="shared" si="43"/>
        <v/>
      </c>
      <c r="AA762" s="5" t="str">
        <f ca="1">IFERROR(__xludf.DUMMYFUNCTION("IFERROR(VLOOKUP(E785&amp;F785,IMPORTRANGE(""https://docs.google.com/spreadsheets/d/1Uw7-A9f9R21vMXxHZFNpYNeKFtG8_yji4HS352LGlSQ/edit?pli=1#gid=0"",""1_ACUM!A4:S""),11,FALSE))"),"")</f>
        <v/>
      </c>
      <c r="AB762" s="42" t="str">
        <f ca="1">IFERROR(__xludf.DUMMYFUNCTION("IFERROR(VLOOKUP(F785,IMPORTRANGE(""https://docs.google.com/spreadsheets/d/1Kvs4KS76FHFqLFIZfrDMff4kP08nblUkihrxltoGBjg/edit#gid=934712705"",""ESENCIAL!A6:BG""),15,FALSE))"),"")</f>
        <v/>
      </c>
      <c r="AC762" s="110" t="str">
        <f ca="1">IFERROR(__xludf.DUMMYFUNCTION("IFERROR(VLOOKUP(E785&amp;F785,IMPORTRANGE(""https://docs.google.com/spreadsheets/d/1Uw7-A9f9R21vMXxHZFNpYNeKFtG8_yji4HS352LGlSQ/edit?pli=1#gid=0"",""1_ACUM!A4:S""),13,FALSE))"),"")</f>
        <v/>
      </c>
      <c r="AD762" s="43" t="str">
        <f ca="1">IFERROR(__xludf.DUMMYFUNCTION("IFERROR(VLOOKUP(E785&amp;F785,IMPORTRANGE(""https://docs.google.com/spreadsheets/d/1Uw7-A9f9R21vMXxHZFNpYNeKFtG8_yji4HS352LGlSQ/edit?pli=1#gid=0"",""1_ACUM!A4:S""),13,FALSE))"),"")</f>
        <v/>
      </c>
      <c r="AE762" s="43" t="str">
        <f ca="1">IFERROR(__xludf.DUMMYFUNCTION("IFERROR(VLOOKUP(E785&amp;F785,IMPORTRANGE(""https://docs.google.com/spreadsheets/d/1Uw7-A9f9R21vMXxHZFNpYNeKFtG8_yji4HS352LGlSQ/edit?pli=1#gid=0"",""1_ACUM!A4:S""),14,FALSE))"),"")</f>
        <v/>
      </c>
      <c r="AF762" s="43" t="str">
        <f ca="1">IFERROR(__xludf.DUMMYFUNCTION("IFERROR(VLOOKUP(E785&amp;F785,IMPORTRANGE(""https://docs.google.com/spreadsheets/d/1Uw7-A9f9R21vMXxHZFNpYNeKFtG8_yji4HS352LGlSQ/edit?pli=1#gid=0"",""1_ACUM!A4:S""),15,FALSE))"),"")</f>
        <v/>
      </c>
      <c r="AG762" s="43" t="str">
        <f ca="1">IFERROR(__xludf.DUMMYFUNCTION("IFERROR(VLOOKUP(E785&amp;F785,IMPORTRANGE(""https://docs.google.com/spreadsheets/d/1Uw7-A9f9R21vMXxHZFNpYNeKFtG8_yji4HS352LGlSQ/edit?pli=1#gid=0"",""1_ACUM!A4:S""),16,FALSE))"),"")</f>
        <v/>
      </c>
      <c r="AH762" s="43" t="str">
        <f ca="1">IFERROR(__xludf.DUMMYFUNCTION("IFERROR(VLOOKUP(E785&amp;F785,IMPORTRANGE(""https://docs.google.com/spreadsheets/d/1Uw7-A9f9R21vMXxHZFNpYNeKFtG8_yji4HS352LGlSQ/edit?pli=1#gid=0"",""1_ACUM!A4:S""),17,FALSE))"),"")</f>
        <v/>
      </c>
      <c r="AI762" s="44" t="str">
        <f ca="1">IFERROR(__xludf.DUMMYFUNCTION("IFERROR(VLOOKUP(E785&amp;F785,IMPORTRANGE(""https://docs.google.com/spreadsheets/d/1Uw7-A9f9R21vMXxHZFNpYNeKFtG8_yji4HS352LGlSQ/edit?pli=1#gid=0"",""1_ACUM!A4:S""),18,FALSE))"),"")</f>
        <v/>
      </c>
      <c r="AJ762" s="44" t="str">
        <f ca="1">IFERROR(__xludf.DUMMYFUNCTION("IFERROR(VLOOKUP(E785&amp;F785,IMPORTRANGE(""https://docs.google.com/spreadsheets/d/1Uw7-A9f9R21vMXxHZFNpYNeKFtG8_yji4HS352LGlSQ/edit?pli=1#gid=0"",""1_ACUM!A4:S""),19,FALSE))"),"")</f>
        <v/>
      </c>
      <c r="AK762" s="98" t="str">
        <f ca="1">IFERROR(__xludf.DUMMYFUNCTION("IFERROR(VLOOKUP(F785,IMPORTRANGE(""https://docs.google.com/spreadsheets/d/1Kvs4KS76FHFqLFIZfrDMff4kP08nblUkihrxltoGBjg/edit#gid=934712705"",""ESENCIAL!A6:BG""),5,FALSE))"),"")</f>
        <v/>
      </c>
      <c r="AL762" s="98" t="str">
        <f t="shared" si="44"/>
        <v/>
      </c>
      <c r="AM762" s="99" t="str">
        <f t="shared" si="45"/>
        <v/>
      </c>
      <c r="AN762" s="100" t="str">
        <f ca="1">IFERROR(__xludf.DUMMYFUNCTION("IFERROR(VLOOKUP(F785,IMPORTRANGE(""https://docs.google.com/spreadsheets/d/1Kvs4KS76FHFqLFIZfrDMff4kP08nblUkihrxltoGBjg/edit#gid=934712705"",""ESENCIAL!A6:BG""),2,FALSE))"),"")</f>
        <v/>
      </c>
      <c r="AO762" s="19" t="str">
        <f t="shared" si="46"/>
        <v/>
      </c>
      <c r="AP762" s="100"/>
      <c r="AQ762" s="100"/>
    </row>
    <row r="763" spans="1:43" ht="15">
      <c r="A763" s="5"/>
      <c r="B763" s="5"/>
      <c r="G763" s="5" t="str">
        <f ca="1">IFERROR(__xludf.DUMMYFUNCTION("IFERROR(VLOOKUP(F786,IMPORTRANGE(""https://docs.google.com/spreadsheets/d/1Kvs4KS76FHFqLFIZfrDMff4kP08nblUkihrxltoGBjg/edit#gid=934712705"",""ESENCIAL!A6:BG""),3,FALSE))"),"")</f>
        <v/>
      </c>
      <c r="H763" s="5" t="str">
        <f ca="1">IFERROR(__xludf.DUMMYFUNCTION("IFERROR(VLOOKUP(F786,IMPORTRANGE(""https://docs.google.com/spreadsheets/d/1Kvs4KS76FHFqLFIZfrDMff4kP08nblUkihrxltoGBjg/edit#gid=934712705"",""ESENCIAL!A6:BG""),8,FALSE))"),"")</f>
        <v/>
      </c>
      <c r="L763" s="40"/>
      <c r="Z763" s="41" t="str">
        <f t="shared" si="43"/>
        <v/>
      </c>
      <c r="AA763" s="5" t="str">
        <f ca="1">IFERROR(__xludf.DUMMYFUNCTION("IFERROR(VLOOKUP(E786&amp;F786,IMPORTRANGE(""https://docs.google.com/spreadsheets/d/1Uw7-A9f9R21vMXxHZFNpYNeKFtG8_yji4HS352LGlSQ/edit?pli=1#gid=0"",""1_ACUM!A4:S""),11,FALSE))"),"")</f>
        <v/>
      </c>
      <c r="AB763" s="42" t="str">
        <f ca="1">IFERROR(__xludf.DUMMYFUNCTION("IFERROR(VLOOKUP(F786,IMPORTRANGE(""https://docs.google.com/spreadsheets/d/1Kvs4KS76FHFqLFIZfrDMff4kP08nblUkihrxltoGBjg/edit#gid=934712705"",""ESENCIAL!A6:BG""),15,FALSE))"),"")</f>
        <v/>
      </c>
      <c r="AC763" s="110" t="str">
        <f ca="1">IFERROR(__xludf.DUMMYFUNCTION("IFERROR(VLOOKUP(E786&amp;F786,IMPORTRANGE(""https://docs.google.com/spreadsheets/d/1Uw7-A9f9R21vMXxHZFNpYNeKFtG8_yji4HS352LGlSQ/edit?pli=1#gid=0"",""1_ACUM!A4:S""),13,FALSE))"),"")</f>
        <v/>
      </c>
      <c r="AD763" s="43" t="str">
        <f ca="1">IFERROR(__xludf.DUMMYFUNCTION("IFERROR(VLOOKUP(E786&amp;F786,IMPORTRANGE(""https://docs.google.com/spreadsheets/d/1Uw7-A9f9R21vMXxHZFNpYNeKFtG8_yji4HS352LGlSQ/edit?pli=1#gid=0"",""1_ACUM!A4:S""),13,FALSE))"),"")</f>
        <v/>
      </c>
      <c r="AE763" s="43" t="str">
        <f ca="1">IFERROR(__xludf.DUMMYFUNCTION("IFERROR(VLOOKUP(E786&amp;F786,IMPORTRANGE(""https://docs.google.com/spreadsheets/d/1Uw7-A9f9R21vMXxHZFNpYNeKFtG8_yji4HS352LGlSQ/edit?pli=1#gid=0"",""1_ACUM!A4:S""),14,FALSE))"),"")</f>
        <v/>
      </c>
      <c r="AF763" s="43" t="str">
        <f ca="1">IFERROR(__xludf.DUMMYFUNCTION("IFERROR(VLOOKUP(E786&amp;F786,IMPORTRANGE(""https://docs.google.com/spreadsheets/d/1Uw7-A9f9R21vMXxHZFNpYNeKFtG8_yji4HS352LGlSQ/edit?pli=1#gid=0"",""1_ACUM!A4:S""),15,FALSE))"),"")</f>
        <v/>
      </c>
      <c r="AG763" s="43" t="str">
        <f ca="1">IFERROR(__xludf.DUMMYFUNCTION("IFERROR(VLOOKUP(E786&amp;F786,IMPORTRANGE(""https://docs.google.com/spreadsheets/d/1Uw7-A9f9R21vMXxHZFNpYNeKFtG8_yji4HS352LGlSQ/edit?pli=1#gid=0"",""1_ACUM!A4:S""),16,FALSE))"),"")</f>
        <v/>
      </c>
      <c r="AH763" s="43" t="str">
        <f ca="1">IFERROR(__xludf.DUMMYFUNCTION("IFERROR(VLOOKUP(E786&amp;F786,IMPORTRANGE(""https://docs.google.com/spreadsheets/d/1Uw7-A9f9R21vMXxHZFNpYNeKFtG8_yji4HS352LGlSQ/edit?pli=1#gid=0"",""1_ACUM!A4:S""),17,FALSE))"),"")</f>
        <v/>
      </c>
      <c r="AI763" s="44" t="str">
        <f ca="1">IFERROR(__xludf.DUMMYFUNCTION("IFERROR(VLOOKUP(E786&amp;F786,IMPORTRANGE(""https://docs.google.com/spreadsheets/d/1Uw7-A9f9R21vMXxHZFNpYNeKFtG8_yji4HS352LGlSQ/edit?pli=1#gid=0"",""1_ACUM!A4:S""),18,FALSE))"),"")</f>
        <v/>
      </c>
      <c r="AJ763" s="44" t="str">
        <f ca="1">IFERROR(__xludf.DUMMYFUNCTION("IFERROR(VLOOKUP(E786&amp;F786,IMPORTRANGE(""https://docs.google.com/spreadsheets/d/1Uw7-A9f9R21vMXxHZFNpYNeKFtG8_yji4HS352LGlSQ/edit?pli=1#gid=0"",""1_ACUM!A4:S""),19,FALSE))"),"")</f>
        <v/>
      </c>
      <c r="AK763" s="98" t="str">
        <f ca="1">IFERROR(__xludf.DUMMYFUNCTION("IFERROR(VLOOKUP(F786,IMPORTRANGE(""https://docs.google.com/spreadsheets/d/1Kvs4KS76FHFqLFIZfrDMff4kP08nblUkihrxltoGBjg/edit#gid=934712705"",""ESENCIAL!A6:BG""),5,FALSE))"),"")</f>
        <v/>
      </c>
      <c r="AL763" s="98" t="str">
        <f t="shared" si="44"/>
        <v/>
      </c>
      <c r="AM763" s="99" t="str">
        <f t="shared" si="45"/>
        <v/>
      </c>
      <c r="AN763" s="100" t="str">
        <f ca="1">IFERROR(__xludf.DUMMYFUNCTION("IFERROR(VLOOKUP(F786,IMPORTRANGE(""https://docs.google.com/spreadsheets/d/1Kvs4KS76FHFqLFIZfrDMff4kP08nblUkihrxltoGBjg/edit#gid=934712705"",""ESENCIAL!A6:BG""),2,FALSE))"),"")</f>
        <v/>
      </c>
      <c r="AO763" s="19" t="str">
        <f t="shared" si="46"/>
        <v/>
      </c>
      <c r="AP763" s="100"/>
      <c r="AQ763" s="100"/>
    </row>
    <row r="764" spans="1:43" ht="15">
      <c r="A764" s="5"/>
      <c r="B764" s="5"/>
      <c r="G764" s="5" t="str">
        <f ca="1">IFERROR(__xludf.DUMMYFUNCTION("IFERROR(VLOOKUP(F787,IMPORTRANGE(""https://docs.google.com/spreadsheets/d/1Kvs4KS76FHFqLFIZfrDMff4kP08nblUkihrxltoGBjg/edit#gid=934712705"",""ESENCIAL!A6:BG""),3,FALSE))"),"")</f>
        <v/>
      </c>
      <c r="H764" s="5" t="str">
        <f ca="1">IFERROR(__xludf.DUMMYFUNCTION("IFERROR(VLOOKUP(F787,IMPORTRANGE(""https://docs.google.com/spreadsheets/d/1Kvs4KS76FHFqLFIZfrDMff4kP08nblUkihrxltoGBjg/edit#gid=934712705"",""ESENCIAL!A6:BG""),8,FALSE))"),"")</f>
        <v/>
      </c>
      <c r="L764" s="40"/>
      <c r="Z764" s="41" t="str">
        <f t="shared" si="43"/>
        <v/>
      </c>
      <c r="AA764" s="5" t="str">
        <f ca="1">IFERROR(__xludf.DUMMYFUNCTION("IFERROR(VLOOKUP(E787&amp;F787,IMPORTRANGE(""https://docs.google.com/spreadsheets/d/1Uw7-A9f9R21vMXxHZFNpYNeKFtG8_yji4HS352LGlSQ/edit?pli=1#gid=0"",""1_ACUM!A4:S""),11,FALSE))"),"")</f>
        <v/>
      </c>
      <c r="AB764" s="42" t="str">
        <f ca="1">IFERROR(__xludf.DUMMYFUNCTION("IFERROR(VLOOKUP(F787,IMPORTRANGE(""https://docs.google.com/spreadsheets/d/1Kvs4KS76FHFqLFIZfrDMff4kP08nblUkihrxltoGBjg/edit#gid=934712705"",""ESENCIAL!A6:BG""),15,FALSE))"),"")</f>
        <v/>
      </c>
      <c r="AC764" s="110" t="str">
        <f ca="1">IFERROR(__xludf.DUMMYFUNCTION("IFERROR(VLOOKUP(E787&amp;F787,IMPORTRANGE(""https://docs.google.com/spreadsheets/d/1Uw7-A9f9R21vMXxHZFNpYNeKFtG8_yji4HS352LGlSQ/edit?pli=1#gid=0"",""1_ACUM!A4:S""),13,FALSE))"),"")</f>
        <v/>
      </c>
      <c r="AD764" s="43" t="str">
        <f ca="1">IFERROR(__xludf.DUMMYFUNCTION("IFERROR(VLOOKUP(E787&amp;F787,IMPORTRANGE(""https://docs.google.com/spreadsheets/d/1Uw7-A9f9R21vMXxHZFNpYNeKFtG8_yji4HS352LGlSQ/edit?pli=1#gid=0"",""1_ACUM!A4:S""),13,FALSE))"),"")</f>
        <v/>
      </c>
      <c r="AE764" s="43" t="str">
        <f ca="1">IFERROR(__xludf.DUMMYFUNCTION("IFERROR(VLOOKUP(E787&amp;F787,IMPORTRANGE(""https://docs.google.com/spreadsheets/d/1Uw7-A9f9R21vMXxHZFNpYNeKFtG8_yji4HS352LGlSQ/edit?pli=1#gid=0"",""1_ACUM!A4:S""),14,FALSE))"),"")</f>
        <v/>
      </c>
      <c r="AF764" s="43" t="str">
        <f ca="1">IFERROR(__xludf.DUMMYFUNCTION("IFERROR(VLOOKUP(E787&amp;F787,IMPORTRANGE(""https://docs.google.com/spreadsheets/d/1Uw7-A9f9R21vMXxHZFNpYNeKFtG8_yji4HS352LGlSQ/edit?pli=1#gid=0"",""1_ACUM!A4:S""),15,FALSE))"),"")</f>
        <v/>
      </c>
      <c r="AG764" s="43" t="str">
        <f ca="1">IFERROR(__xludf.DUMMYFUNCTION("IFERROR(VLOOKUP(E787&amp;F787,IMPORTRANGE(""https://docs.google.com/spreadsheets/d/1Uw7-A9f9R21vMXxHZFNpYNeKFtG8_yji4HS352LGlSQ/edit?pli=1#gid=0"",""1_ACUM!A4:S""),16,FALSE))"),"")</f>
        <v/>
      </c>
      <c r="AH764" s="43" t="str">
        <f ca="1">IFERROR(__xludf.DUMMYFUNCTION("IFERROR(VLOOKUP(E787&amp;F787,IMPORTRANGE(""https://docs.google.com/spreadsheets/d/1Uw7-A9f9R21vMXxHZFNpYNeKFtG8_yji4HS352LGlSQ/edit?pli=1#gid=0"",""1_ACUM!A4:S""),17,FALSE))"),"")</f>
        <v/>
      </c>
      <c r="AI764" s="44" t="str">
        <f ca="1">IFERROR(__xludf.DUMMYFUNCTION("IFERROR(VLOOKUP(E787&amp;F787,IMPORTRANGE(""https://docs.google.com/spreadsheets/d/1Uw7-A9f9R21vMXxHZFNpYNeKFtG8_yji4HS352LGlSQ/edit?pli=1#gid=0"",""1_ACUM!A4:S""),18,FALSE))"),"")</f>
        <v/>
      </c>
      <c r="AJ764" s="44" t="str">
        <f ca="1">IFERROR(__xludf.DUMMYFUNCTION("IFERROR(VLOOKUP(E787&amp;F787,IMPORTRANGE(""https://docs.google.com/spreadsheets/d/1Uw7-A9f9R21vMXxHZFNpYNeKFtG8_yji4HS352LGlSQ/edit?pli=1#gid=0"",""1_ACUM!A4:S""),19,FALSE))"),"")</f>
        <v/>
      </c>
      <c r="AK764" s="98" t="str">
        <f ca="1">IFERROR(__xludf.DUMMYFUNCTION("IFERROR(VLOOKUP(F787,IMPORTRANGE(""https://docs.google.com/spreadsheets/d/1Kvs4KS76FHFqLFIZfrDMff4kP08nblUkihrxltoGBjg/edit#gid=934712705"",""ESENCIAL!A6:BG""),5,FALSE))"),"")</f>
        <v/>
      </c>
      <c r="AL764" s="98" t="str">
        <f t="shared" si="44"/>
        <v/>
      </c>
      <c r="AM764" s="99" t="str">
        <f t="shared" si="45"/>
        <v/>
      </c>
      <c r="AN764" s="100" t="str">
        <f ca="1">IFERROR(__xludf.DUMMYFUNCTION("IFERROR(VLOOKUP(F787,IMPORTRANGE(""https://docs.google.com/spreadsheets/d/1Kvs4KS76FHFqLFIZfrDMff4kP08nblUkihrxltoGBjg/edit#gid=934712705"",""ESENCIAL!A6:BG""),2,FALSE))"),"")</f>
        <v/>
      </c>
      <c r="AO764" s="19" t="str">
        <f t="shared" si="46"/>
        <v/>
      </c>
      <c r="AP764" s="100"/>
      <c r="AQ764" s="100"/>
    </row>
    <row r="765" spans="1:43" ht="15">
      <c r="A765" s="5"/>
      <c r="B765" s="5"/>
      <c r="G765" s="5" t="str">
        <f ca="1">IFERROR(__xludf.DUMMYFUNCTION("IFERROR(VLOOKUP(F788,IMPORTRANGE(""https://docs.google.com/spreadsheets/d/1Kvs4KS76FHFqLFIZfrDMff4kP08nblUkihrxltoGBjg/edit#gid=934712705"",""ESENCIAL!A6:BG""),3,FALSE))"),"")</f>
        <v/>
      </c>
      <c r="H765" s="5" t="str">
        <f ca="1">IFERROR(__xludf.DUMMYFUNCTION("IFERROR(VLOOKUP(F788,IMPORTRANGE(""https://docs.google.com/spreadsheets/d/1Kvs4KS76FHFqLFIZfrDMff4kP08nblUkihrxltoGBjg/edit#gid=934712705"",""ESENCIAL!A6:BG""),8,FALSE))"),"")</f>
        <v/>
      </c>
      <c r="L765" s="40"/>
      <c r="Z765" s="41" t="str">
        <f t="shared" si="43"/>
        <v/>
      </c>
      <c r="AA765" s="5" t="str">
        <f ca="1">IFERROR(__xludf.DUMMYFUNCTION("IFERROR(VLOOKUP(E788&amp;F788,IMPORTRANGE(""https://docs.google.com/spreadsheets/d/1Uw7-A9f9R21vMXxHZFNpYNeKFtG8_yji4HS352LGlSQ/edit?pli=1#gid=0"",""1_ACUM!A4:S""),11,FALSE))"),"")</f>
        <v/>
      </c>
      <c r="AB765" s="42" t="str">
        <f ca="1">IFERROR(__xludf.DUMMYFUNCTION("IFERROR(VLOOKUP(F788,IMPORTRANGE(""https://docs.google.com/spreadsheets/d/1Kvs4KS76FHFqLFIZfrDMff4kP08nblUkihrxltoGBjg/edit#gid=934712705"",""ESENCIAL!A6:BG""),15,FALSE))"),"")</f>
        <v/>
      </c>
      <c r="AC765" s="110" t="str">
        <f ca="1">IFERROR(__xludf.DUMMYFUNCTION("IFERROR(VLOOKUP(E788&amp;F788,IMPORTRANGE(""https://docs.google.com/spreadsheets/d/1Uw7-A9f9R21vMXxHZFNpYNeKFtG8_yji4HS352LGlSQ/edit?pli=1#gid=0"",""1_ACUM!A4:S""),13,FALSE))"),"")</f>
        <v/>
      </c>
      <c r="AD765" s="43" t="str">
        <f ca="1">IFERROR(__xludf.DUMMYFUNCTION("IFERROR(VLOOKUP(E788&amp;F788,IMPORTRANGE(""https://docs.google.com/spreadsheets/d/1Uw7-A9f9R21vMXxHZFNpYNeKFtG8_yji4HS352LGlSQ/edit?pli=1#gid=0"",""1_ACUM!A4:S""),13,FALSE))"),"")</f>
        <v/>
      </c>
      <c r="AE765" s="43" t="str">
        <f ca="1">IFERROR(__xludf.DUMMYFUNCTION("IFERROR(VLOOKUP(E788&amp;F788,IMPORTRANGE(""https://docs.google.com/spreadsheets/d/1Uw7-A9f9R21vMXxHZFNpYNeKFtG8_yji4HS352LGlSQ/edit?pli=1#gid=0"",""1_ACUM!A4:S""),14,FALSE))"),"")</f>
        <v/>
      </c>
      <c r="AF765" s="43" t="str">
        <f ca="1">IFERROR(__xludf.DUMMYFUNCTION("IFERROR(VLOOKUP(E788&amp;F788,IMPORTRANGE(""https://docs.google.com/spreadsheets/d/1Uw7-A9f9R21vMXxHZFNpYNeKFtG8_yji4HS352LGlSQ/edit?pli=1#gid=0"",""1_ACUM!A4:S""),15,FALSE))"),"")</f>
        <v/>
      </c>
      <c r="AG765" s="43" t="str">
        <f ca="1">IFERROR(__xludf.DUMMYFUNCTION("IFERROR(VLOOKUP(E788&amp;F788,IMPORTRANGE(""https://docs.google.com/spreadsheets/d/1Uw7-A9f9R21vMXxHZFNpYNeKFtG8_yji4HS352LGlSQ/edit?pli=1#gid=0"",""1_ACUM!A4:S""),16,FALSE))"),"")</f>
        <v/>
      </c>
      <c r="AH765" s="43" t="str">
        <f ca="1">IFERROR(__xludf.DUMMYFUNCTION("IFERROR(VLOOKUP(E788&amp;F788,IMPORTRANGE(""https://docs.google.com/spreadsheets/d/1Uw7-A9f9R21vMXxHZFNpYNeKFtG8_yji4HS352LGlSQ/edit?pli=1#gid=0"",""1_ACUM!A4:S""),17,FALSE))"),"")</f>
        <v/>
      </c>
      <c r="AI765" s="44" t="str">
        <f ca="1">IFERROR(__xludf.DUMMYFUNCTION("IFERROR(VLOOKUP(E788&amp;F788,IMPORTRANGE(""https://docs.google.com/spreadsheets/d/1Uw7-A9f9R21vMXxHZFNpYNeKFtG8_yji4HS352LGlSQ/edit?pli=1#gid=0"",""1_ACUM!A4:S""),18,FALSE))"),"")</f>
        <v/>
      </c>
      <c r="AJ765" s="44" t="str">
        <f ca="1">IFERROR(__xludf.DUMMYFUNCTION("IFERROR(VLOOKUP(E788&amp;F788,IMPORTRANGE(""https://docs.google.com/spreadsheets/d/1Uw7-A9f9R21vMXxHZFNpYNeKFtG8_yji4HS352LGlSQ/edit?pli=1#gid=0"",""1_ACUM!A4:S""),19,FALSE))"),"")</f>
        <v/>
      </c>
      <c r="AK765" s="98" t="str">
        <f ca="1">IFERROR(__xludf.DUMMYFUNCTION("IFERROR(VLOOKUP(F788,IMPORTRANGE(""https://docs.google.com/spreadsheets/d/1Kvs4KS76FHFqLFIZfrDMff4kP08nblUkihrxltoGBjg/edit#gid=934712705"",""ESENCIAL!A6:BG""),5,FALSE))"),"")</f>
        <v/>
      </c>
      <c r="AL765" s="98" t="str">
        <f t="shared" si="44"/>
        <v/>
      </c>
      <c r="AM765" s="99" t="str">
        <f t="shared" si="45"/>
        <v/>
      </c>
      <c r="AN765" s="100" t="str">
        <f ca="1">IFERROR(__xludf.DUMMYFUNCTION("IFERROR(VLOOKUP(F788,IMPORTRANGE(""https://docs.google.com/spreadsheets/d/1Kvs4KS76FHFqLFIZfrDMff4kP08nblUkihrxltoGBjg/edit#gid=934712705"",""ESENCIAL!A6:BG""),2,FALSE))"),"")</f>
        <v/>
      </c>
      <c r="AO765" s="19" t="str">
        <f t="shared" si="46"/>
        <v/>
      </c>
      <c r="AP765" s="100"/>
      <c r="AQ765" s="100"/>
    </row>
    <row r="766" spans="1:43" ht="15">
      <c r="A766" s="5"/>
      <c r="B766" s="5"/>
      <c r="G766" s="5" t="str">
        <f ca="1">IFERROR(__xludf.DUMMYFUNCTION("IFERROR(VLOOKUP(F789,IMPORTRANGE(""https://docs.google.com/spreadsheets/d/1Kvs4KS76FHFqLFIZfrDMff4kP08nblUkihrxltoGBjg/edit#gid=934712705"",""ESENCIAL!A6:BG""),3,FALSE))"),"")</f>
        <v/>
      </c>
      <c r="H766" s="5" t="str">
        <f ca="1">IFERROR(__xludf.DUMMYFUNCTION("IFERROR(VLOOKUP(F789,IMPORTRANGE(""https://docs.google.com/spreadsheets/d/1Kvs4KS76FHFqLFIZfrDMff4kP08nblUkihrxltoGBjg/edit#gid=934712705"",""ESENCIAL!A6:BG""),8,FALSE))"),"")</f>
        <v/>
      </c>
      <c r="L766" s="40"/>
      <c r="Z766" s="41" t="str">
        <f t="shared" si="43"/>
        <v/>
      </c>
      <c r="AA766" s="5" t="str">
        <f ca="1">IFERROR(__xludf.DUMMYFUNCTION("IFERROR(VLOOKUP(E789&amp;F789,IMPORTRANGE(""https://docs.google.com/spreadsheets/d/1Uw7-A9f9R21vMXxHZFNpYNeKFtG8_yji4HS352LGlSQ/edit?pli=1#gid=0"",""1_ACUM!A4:S""),11,FALSE))"),"")</f>
        <v/>
      </c>
      <c r="AB766" s="42" t="str">
        <f ca="1">IFERROR(__xludf.DUMMYFUNCTION("IFERROR(VLOOKUP(F789,IMPORTRANGE(""https://docs.google.com/spreadsheets/d/1Kvs4KS76FHFqLFIZfrDMff4kP08nblUkihrxltoGBjg/edit#gid=934712705"",""ESENCIAL!A6:BG""),15,FALSE))"),"")</f>
        <v/>
      </c>
      <c r="AC766" s="110" t="str">
        <f ca="1">IFERROR(__xludf.DUMMYFUNCTION("IFERROR(VLOOKUP(E789&amp;F789,IMPORTRANGE(""https://docs.google.com/spreadsheets/d/1Uw7-A9f9R21vMXxHZFNpYNeKFtG8_yji4HS352LGlSQ/edit?pli=1#gid=0"",""1_ACUM!A4:S""),13,FALSE))"),"")</f>
        <v/>
      </c>
      <c r="AD766" s="43" t="str">
        <f ca="1">IFERROR(__xludf.DUMMYFUNCTION("IFERROR(VLOOKUP(E789&amp;F789,IMPORTRANGE(""https://docs.google.com/spreadsheets/d/1Uw7-A9f9R21vMXxHZFNpYNeKFtG8_yji4HS352LGlSQ/edit?pli=1#gid=0"",""1_ACUM!A4:S""),13,FALSE))"),"")</f>
        <v/>
      </c>
      <c r="AE766" s="43" t="str">
        <f ca="1">IFERROR(__xludf.DUMMYFUNCTION("IFERROR(VLOOKUP(E789&amp;F789,IMPORTRANGE(""https://docs.google.com/spreadsheets/d/1Uw7-A9f9R21vMXxHZFNpYNeKFtG8_yji4HS352LGlSQ/edit?pli=1#gid=0"",""1_ACUM!A4:S""),14,FALSE))"),"")</f>
        <v/>
      </c>
      <c r="AF766" s="43" t="str">
        <f ca="1">IFERROR(__xludf.DUMMYFUNCTION("IFERROR(VLOOKUP(E789&amp;F789,IMPORTRANGE(""https://docs.google.com/spreadsheets/d/1Uw7-A9f9R21vMXxHZFNpYNeKFtG8_yji4HS352LGlSQ/edit?pli=1#gid=0"",""1_ACUM!A4:S""),15,FALSE))"),"")</f>
        <v/>
      </c>
      <c r="AG766" s="43" t="str">
        <f ca="1">IFERROR(__xludf.DUMMYFUNCTION("IFERROR(VLOOKUP(E789&amp;F789,IMPORTRANGE(""https://docs.google.com/spreadsheets/d/1Uw7-A9f9R21vMXxHZFNpYNeKFtG8_yji4HS352LGlSQ/edit?pli=1#gid=0"",""1_ACUM!A4:S""),16,FALSE))"),"")</f>
        <v/>
      </c>
      <c r="AH766" s="43" t="str">
        <f ca="1">IFERROR(__xludf.DUMMYFUNCTION("IFERROR(VLOOKUP(E789&amp;F789,IMPORTRANGE(""https://docs.google.com/spreadsheets/d/1Uw7-A9f9R21vMXxHZFNpYNeKFtG8_yji4HS352LGlSQ/edit?pli=1#gid=0"",""1_ACUM!A4:S""),17,FALSE))"),"")</f>
        <v/>
      </c>
      <c r="AI766" s="44" t="str">
        <f ca="1">IFERROR(__xludf.DUMMYFUNCTION("IFERROR(VLOOKUP(E789&amp;F789,IMPORTRANGE(""https://docs.google.com/spreadsheets/d/1Uw7-A9f9R21vMXxHZFNpYNeKFtG8_yji4HS352LGlSQ/edit?pli=1#gid=0"",""1_ACUM!A4:S""),18,FALSE))"),"")</f>
        <v/>
      </c>
      <c r="AJ766" s="44" t="str">
        <f ca="1">IFERROR(__xludf.DUMMYFUNCTION("IFERROR(VLOOKUP(E789&amp;F789,IMPORTRANGE(""https://docs.google.com/spreadsheets/d/1Uw7-A9f9R21vMXxHZFNpYNeKFtG8_yji4HS352LGlSQ/edit?pli=1#gid=0"",""1_ACUM!A4:S""),19,FALSE))"),"")</f>
        <v/>
      </c>
      <c r="AK766" s="98" t="str">
        <f ca="1">IFERROR(__xludf.DUMMYFUNCTION("IFERROR(VLOOKUP(F789,IMPORTRANGE(""https://docs.google.com/spreadsheets/d/1Kvs4KS76FHFqLFIZfrDMff4kP08nblUkihrxltoGBjg/edit#gid=934712705"",""ESENCIAL!A6:BG""),5,FALSE))"),"")</f>
        <v/>
      </c>
      <c r="AL766" s="98" t="str">
        <f t="shared" si="44"/>
        <v/>
      </c>
      <c r="AM766" s="99" t="str">
        <f t="shared" si="45"/>
        <v/>
      </c>
      <c r="AN766" s="100" t="str">
        <f ca="1">IFERROR(__xludf.DUMMYFUNCTION("IFERROR(VLOOKUP(F789,IMPORTRANGE(""https://docs.google.com/spreadsheets/d/1Kvs4KS76FHFqLFIZfrDMff4kP08nblUkihrxltoGBjg/edit#gid=934712705"",""ESENCIAL!A6:BG""),2,FALSE))"),"")</f>
        <v/>
      </c>
      <c r="AO766" s="19" t="str">
        <f t="shared" si="46"/>
        <v/>
      </c>
      <c r="AP766" s="100"/>
      <c r="AQ766" s="100"/>
    </row>
    <row r="767" spans="1:43" ht="15">
      <c r="A767" s="5"/>
      <c r="B767" s="5"/>
      <c r="G767" s="5" t="str">
        <f ca="1">IFERROR(__xludf.DUMMYFUNCTION("IFERROR(VLOOKUP(F790,IMPORTRANGE(""https://docs.google.com/spreadsheets/d/1Kvs4KS76FHFqLFIZfrDMff4kP08nblUkihrxltoGBjg/edit#gid=934712705"",""ESENCIAL!A6:BG""),3,FALSE))"),"")</f>
        <v/>
      </c>
      <c r="H767" s="5" t="str">
        <f ca="1">IFERROR(__xludf.DUMMYFUNCTION("IFERROR(VLOOKUP(F790,IMPORTRANGE(""https://docs.google.com/spreadsheets/d/1Kvs4KS76FHFqLFIZfrDMff4kP08nblUkihrxltoGBjg/edit#gid=934712705"",""ESENCIAL!A6:BG""),8,FALSE))"),"")</f>
        <v/>
      </c>
      <c r="L767" s="40"/>
      <c r="Z767" s="41" t="str">
        <f t="shared" si="43"/>
        <v/>
      </c>
      <c r="AA767" s="5" t="str">
        <f ca="1">IFERROR(__xludf.DUMMYFUNCTION("IFERROR(VLOOKUP(E790&amp;F790,IMPORTRANGE(""https://docs.google.com/spreadsheets/d/1Uw7-A9f9R21vMXxHZFNpYNeKFtG8_yji4HS352LGlSQ/edit?pli=1#gid=0"",""1_ACUM!A4:S""),11,FALSE))"),"")</f>
        <v/>
      </c>
      <c r="AB767" s="42" t="str">
        <f ca="1">IFERROR(__xludf.DUMMYFUNCTION("IFERROR(VLOOKUP(F790,IMPORTRANGE(""https://docs.google.com/spreadsheets/d/1Kvs4KS76FHFqLFIZfrDMff4kP08nblUkihrxltoGBjg/edit#gid=934712705"",""ESENCIAL!A6:BG""),15,FALSE))"),"")</f>
        <v/>
      </c>
      <c r="AC767" s="110" t="str">
        <f ca="1">IFERROR(__xludf.DUMMYFUNCTION("IFERROR(VLOOKUP(E790&amp;F790,IMPORTRANGE(""https://docs.google.com/spreadsheets/d/1Uw7-A9f9R21vMXxHZFNpYNeKFtG8_yji4HS352LGlSQ/edit?pli=1#gid=0"",""1_ACUM!A4:S""),13,FALSE))"),"")</f>
        <v/>
      </c>
      <c r="AD767" s="43" t="str">
        <f ca="1">IFERROR(__xludf.DUMMYFUNCTION("IFERROR(VLOOKUP(E790&amp;F790,IMPORTRANGE(""https://docs.google.com/spreadsheets/d/1Uw7-A9f9R21vMXxHZFNpYNeKFtG8_yji4HS352LGlSQ/edit?pli=1#gid=0"",""1_ACUM!A4:S""),13,FALSE))"),"")</f>
        <v/>
      </c>
      <c r="AE767" s="43" t="str">
        <f ca="1">IFERROR(__xludf.DUMMYFUNCTION("IFERROR(VLOOKUP(E790&amp;F790,IMPORTRANGE(""https://docs.google.com/spreadsheets/d/1Uw7-A9f9R21vMXxHZFNpYNeKFtG8_yji4HS352LGlSQ/edit?pli=1#gid=0"",""1_ACUM!A4:S""),14,FALSE))"),"")</f>
        <v/>
      </c>
      <c r="AF767" s="43" t="str">
        <f ca="1">IFERROR(__xludf.DUMMYFUNCTION("IFERROR(VLOOKUP(E790&amp;F790,IMPORTRANGE(""https://docs.google.com/spreadsheets/d/1Uw7-A9f9R21vMXxHZFNpYNeKFtG8_yji4HS352LGlSQ/edit?pli=1#gid=0"",""1_ACUM!A4:S""),15,FALSE))"),"")</f>
        <v/>
      </c>
      <c r="AG767" s="43" t="str">
        <f ca="1">IFERROR(__xludf.DUMMYFUNCTION("IFERROR(VLOOKUP(E790&amp;F790,IMPORTRANGE(""https://docs.google.com/spreadsheets/d/1Uw7-A9f9R21vMXxHZFNpYNeKFtG8_yji4HS352LGlSQ/edit?pli=1#gid=0"",""1_ACUM!A4:S""),16,FALSE))"),"")</f>
        <v/>
      </c>
      <c r="AH767" s="43" t="str">
        <f ca="1">IFERROR(__xludf.DUMMYFUNCTION("IFERROR(VLOOKUP(E790&amp;F790,IMPORTRANGE(""https://docs.google.com/spreadsheets/d/1Uw7-A9f9R21vMXxHZFNpYNeKFtG8_yji4HS352LGlSQ/edit?pli=1#gid=0"",""1_ACUM!A4:S""),17,FALSE))"),"")</f>
        <v/>
      </c>
      <c r="AI767" s="44" t="str">
        <f ca="1">IFERROR(__xludf.DUMMYFUNCTION("IFERROR(VLOOKUP(E790&amp;F790,IMPORTRANGE(""https://docs.google.com/spreadsheets/d/1Uw7-A9f9R21vMXxHZFNpYNeKFtG8_yji4HS352LGlSQ/edit?pli=1#gid=0"",""1_ACUM!A4:S""),18,FALSE))"),"")</f>
        <v/>
      </c>
      <c r="AJ767" s="44" t="str">
        <f ca="1">IFERROR(__xludf.DUMMYFUNCTION("IFERROR(VLOOKUP(E790&amp;F790,IMPORTRANGE(""https://docs.google.com/spreadsheets/d/1Uw7-A9f9R21vMXxHZFNpYNeKFtG8_yji4HS352LGlSQ/edit?pli=1#gid=0"",""1_ACUM!A4:S""),19,FALSE))"),"")</f>
        <v/>
      </c>
      <c r="AK767" s="98" t="str">
        <f ca="1">IFERROR(__xludf.DUMMYFUNCTION("IFERROR(VLOOKUP(F790,IMPORTRANGE(""https://docs.google.com/spreadsheets/d/1Kvs4KS76FHFqLFIZfrDMff4kP08nblUkihrxltoGBjg/edit#gid=934712705"",""ESENCIAL!A6:BG""),5,FALSE))"),"")</f>
        <v/>
      </c>
      <c r="AL767" s="98" t="str">
        <f t="shared" si="44"/>
        <v/>
      </c>
      <c r="AM767" s="99" t="str">
        <f t="shared" si="45"/>
        <v/>
      </c>
      <c r="AN767" s="100" t="str">
        <f ca="1">IFERROR(__xludf.DUMMYFUNCTION("IFERROR(VLOOKUP(F790,IMPORTRANGE(""https://docs.google.com/spreadsheets/d/1Kvs4KS76FHFqLFIZfrDMff4kP08nblUkihrxltoGBjg/edit#gid=934712705"",""ESENCIAL!A6:BG""),2,FALSE))"),"")</f>
        <v/>
      </c>
      <c r="AO767" s="19" t="str">
        <f t="shared" si="46"/>
        <v/>
      </c>
      <c r="AP767" s="100"/>
      <c r="AQ767" s="100"/>
    </row>
    <row r="768" spans="1:43" ht="15">
      <c r="A768" s="5"/>
      <c r="B768" s="5"/>
      <c r="G768" s="5" t="str">
        <f ca="1">IFERROR(__xludf.DUMMYFUNCTION("IFERROR(VLOOKUP(F791,IMPORTRANGE(""https://docs.google.com/spreadsheets/d/1Kvs4KS76FHFqLFIZfrDMff4kP08nblUkihrxltoGBjg/edit#gid=934712705"",""ESENCIAL!A6:BG""),3,FALSE))"),"")</f>
        <v/>
      </c>
      <c r="H768" s="5" t="str">
        <f ca="1">IFERROR(__xludf.DUMMYFUNCTION("IFERROR(VLOOKUP(F791,IMPORTRANGE(""https://docs.google.com/spreadsheets/d/1Kvs4KS76FHFqLFIZfrDMff4kP08nblUkihrxltoGBjg/edit#gid=934712705"",""ESENCIAL!A6:BG""),8,FALSE))"),"")</f>
        <v/>
      </c>
      <c r="L768" s="40"/>
      <c r="Z768" s="41" t="str">
        <f t="shared" si="43"/>
        <v/>
      </c>
      <c r="AA768" s="5" t="str">
        <f ca="1">IFERROR(__xludf.DUMMYFUNCTION("IFERROR(VLOOKUP(E791&amp;F791,IMPORTRANGE(""https://docs.google.com/spreadsheets/d/1Uw7-A9f9R21vMXxHZFNpYNeKFtG8_yji4HS352LGlSQ/edit?pli=1#gid=0"",""1_ACUM!A4:S""),11,FALSE))"),"")</f>
        <v/>
      </c>
      <c r="AB768" s="42" t="str">
        <f ca="1">IFERROR(__xludf.DUMMYFUNCTION("IFERROR(VLOOKUP(F791,IMPORTRANGE(""https://docs.google.com/spreadsheets/d/1Kvs4KS76FHFqLFIZfrDMff4kP08nblUkihrxltoGBjg/edit#gid=934712705"",""ESENCIAL!A6:BG""),15,FALSE))"),"")</f>
        <v/>
      </c>
      <c r="AC768" s="110" t="str">
        <f ca="1">IFERROR(__xludf.DUMMYFUNCTION("IFERROR(VLOOKUP(E791&amp;F791,IMPORTRANGE(""https://docs.google.com/spreadsheets/d/1Uw7-A9f9R21vMXxHZFNpYNeKFtG8_yji4HS352LGlSQ/edit?pli=1#gid=0"",""1_ACUM!A4:S""),13,FALSE))"),"")</f>
        <v/>
      </c>
      <c r="AD768" s="43" t="str">
        <f ca="1">IFERROR(__xludf.DUMMYFUNCTION("IFERROR(VLOOKUP(E791&amp;F791,IMPORTRANGE(""https://docs.google.com/spreadsheets/d/1Uw7-A9f9R21vMXxHZFNpYNeKFtG8_yji4HS352LGlSQ/edit?pli=1#gid=0"",""1_ACUM!A4:S""),13,FALSE))"),"")</f>
        <v/>
      </c>
      <c r="AE768" s="43" t="str">
        <f ca="1">IFERROR(__xludf.DUMMYFUNCTION("IFERROR(VLOOKUP(E791&amp;F791,IMPORTRANGE(""https://docs.google.com/spreadsheets/d/1Uw7-A9f9R21vMXxHZFNpYNeKFtG8_yji4HS352LGlSQ/edit?pli=1#gid=0"",""1_ACUM!A4:S""),14,FALSE))"),"")</f>
        <v/>
      </c>
      <c r="AF768" s="43" t="str">
        <f ca="1">IFERROR(__xludf.DUMMYFUNCTION("IFERROR(VLOOKUP(E791&amp;F791,IMPORTRANGE(""https://docs.google.com/spreadsheets/d/1Uw7-A9f9R21vMXxHZFNpYNeKFtG8_yji4HS352LGlSQ/edit?pli=1#gid=0"",""1_ACUM!A4:S""),15,FALSE))"),"")</f>
        <v/>
      </c>
      <c r="AG768" s="43" t="str">
        <f ca="1">IFERROR(__xludf.DUMMYFUNCTION("IFERROR(VLOOKUP(E791&amp;F791,IMPORTRANGE(""https://docs.google.com/spreadsheets/d/1Uw7-A9f9R21vMXxHZFNpYNeKFtG8_yji4HS352LGlSQ/edit?pli=1#gid=0"",""1_ACUM!A4:S""),16,FALSE))"),"")</f>
        <v/>
      </c>
      <c r="AH768" s="43" t="str">
        <f ca="1">IFERROR(__xludf.DUMMYFUNCTION("IFERROR(VLOOKUP(E791&amp;F791,IMPORTRANGE(""https://docs.google.com/spreadsheets/d/1Uw7-A9f9R21vMXxHZFNpYNeKFtG8_yji4HS352LGlSQ/edit?pli=1#gid=0"",""1_ACUM!A4:S""),17,FALSE))"),"")</f>
        <v/>
      </c>
      <c r="AI768" s="44" t="str">
        <f ca="1">IFERROR(__xludf.DUMMYFUNCTION("IFERROR(VLOOKUP(E791&amp;F791,IMPORTRANGE(""https://docs.google.com/spreadsheets/d/1Uw7-A9f9R21vMXxHZFNpYNeKFtG8_yji4HS352LGlSQ/edit?pli=1#gid=0"",""1_ACUM!A4:S""),18,FALSE))"),"")</f>
        <v/>
      </c>
      <c r="AJ768" s="44" t="str">
        <f ca="1">IFERROR(__xludf.DUMMYFUNCTION("IFERROR(VLOOKUP(E791&amp;F791,IMPORTRANGE(""https://docs.google.com/spreadsheets/d/1Uw7-A9f9R21vMXxHZFNpYNeKFtG8_yji4HS352LGlSQ/edit?pli=1#gid=0"",""1_ACUM!A4:S""),19,FALSE))"),"")</f>
        <v/>
      </c>
      <c r="AK768" s="98" t="str">
        <f ca="1">IFERROR(__xludf.DUMMYFUNCTION("IFERROR(VLOOKUP(F791,IMPORTRANGE(""https://docs.google.com/spreadsheets/d/1Kvs4KS76FHFqLFIZfrDMff4kP08nblUkihrxltoGBjg/edit#gid=934712705"",""ESENCIAL!A6:BG""),5,FALSE))"),"")</f>
        <v/>
      </c>
      <c r="AL768" s="98" t="str">
        <f t="shared" si="44"/>
        <v/>
      </c>
      <c r="AM768" s="99" t="str">
        <f t="shared" si="45"/>
        <v/>
      </c>
      <c r="AN768" s="100" t="str">
        <f ca="1">IFERROR(__xludf.DUMMYFUNCTION("IFERROR(VLOOKUP(F791,IMPORTRANGE(""https://docs.google.com/spreadsheets/d/1Kvs4KS76FHFqLFIZfrDMff4kP08nblUkihrxltoGBjg/edit#gid=934712705"",""ESENCIAL!A6:BG""),2,FALSE))"),"")</f>
        <v/>
      </c>
      <c r="AO768" s="19" t="str">
        <f t="shared" si="46"/>
        <v/>
      </c>
      <c r="AP768" s="100"/>
      <c r="AQ768" s="100"/>
    </row>
    <row r="769" spans="1:43" ht="15">
      <c r="A769" s="5"/>
      <c r="B769" s="5"/>
      <c r="G769" s="5" t="str">
        <f ca="1">IFERROR(__xludf.DUMMYFUNCTION("IFERROR(VLOOKUP(F792,IMPORTRANGE(""https://docs.google.com/spreadsheets/d/1Kvs4KS76FHFqLFIZfrDMff4kP08nblUkihrxltoGBjg/edit#gid=934712705"",""ESENCIAL!A6:BG""),3,FALSE))"),"")</f>
        <v/>
      </c>
      <c r="H769" s="5" t="str">
        <f ca="1">IFERROR(__xludf.DUMMYFUNCTION("IFERROR(VLOOKUP(F792,IMPORTRANGE(""https://docs.google.com/spreadsheets/d/1Kvs4KS76FHFqLFIZfrDMff4kP08nblUkihrxltoGBjg/edit#gid=934712705"",""ESENCIAL!A6:BG""),8,FALSE))"),"")</f>
        <v/>
      </c>
      <c r="L769" s="40"/>
      <c r="Z769" s="41" t="str">
        <f t="shared" si="43"/>
        <v/>
      </c>
      <c r="AA769" s="5" t="str">
        <f ca="1">IFERROR(__xludf.DUMMYFUNCTION("IFERROR(VLOOKUP(E792&amp;F792,IMPORTRANGE(""https://docs.google.com/spreadsheets/d/1Uw7-A9f9R21vMXxHZFNpYNeKFtG8_yji4HS352LGlSQ/edit?pli=1#gid=0"",""1_ACUM!A4:S""),11,FALSE))"),"")</f>
        <v/>
      </c>
      <c r="AB769" s="42" t="str">
        <f ca="1">IFERROR(__xludf.DUMMYFUNCTION("IFERROR(VLOOKUP(F792,IMPORTRANGE(""https://docs.google.com/spreadsheets/d/1Kvs4KS76FHFqLFIZfrDMff4kP08nblUkihrxltoGBjg/edit#gid=934712705"",""ESENCIAL!A6:BG""),15,FALSE))"),"")</f>
        <v/>
      </c>
      <c r="AC769" s="110" t="str">
        <f ca="1">IFERROR(__xludf.DUMMYFUNCTION("IFERROR(VLOOKUP(E792&amp;F792,IMPORTRANGE(""https://docs.google.com/spreadsheets/d/1Uw7-A9f9R21vMXxHZFNpYNeKFtG8_yji4HS352LGlSQ/edit?pli=1#gid=0"",""1_ACUM!A4:S""),13,FALSE))"),"")</f>
        <v/>
      </c>
      <c r="AD769" s="43" t="str">
        <f ca="1">IFERROR(__xludf.DUMMYFUNCTION("IFERROR(VLOOKUP(E792&amp;F792,IMPORTRANGE(""https://docs.google.com/spreadsheets/d/1Uw7-A9f9R21vMXxHZFNpYNeKFtG8_yji4HS352LGlSQ/edit?pli=1#gid=0"",""1_ACUM!A4:S""),13,FALSE))"),"")</f>
        <v/>
      </c>
      <c r="AE769" s="43" t="str">
        <f ca="1">IFERROR(__xludf.DUMMYFUNCTION("IFERROR(VLOOKUP(E792&amp;F792,IMPORTRANGE(""https://docs.google.com/spreadsheets/d/1Uw7-A9f9R21vMXxHZFNpYNeKFtG8_yji4HS352LGlSQ/edit?pli=1#gid=0"",""1_ACUM!A4:S""),14,FALSE))"),"")</f>
        <v/>
      </c>
      <c r="AF769" s="43" t="str">
        <f ca="1">IFERROR(__xludf.DUMMYFUNCTION("IFERROR(VLOOKUP(E792&amp;F792,IMPORTRANGE(""https://docs.google.com/spreadsheets/d/1Uw7-A9f9R21vMXxHZFNpYNeKFtG8_yji4HS352LGlSQ/edit?pli=1#gid=0"",""1_ACUM!A4:S""),15,FALSE))"),"")</f>
        <v/>
      </c>
      <c r="AG769" s="43" t="str">
        <f ca="1">IFERROR(__xludf.DUMMYFUNCTION("IFERROR(VLOOKUP(E792&amp;F792,IMPORTRANGE(""https://docs.google.com/spreadsheets/d/1Uw7-A9f9R21vMXxHZFNpYNeKFtG8_yji4HS352LGlSQ/edit?pli=1#gid=0"",""1_ACUM!A4:S""),16,FALSE))"),"")</f>
        <v/>
      </c>
      <c r="AH769" s="43" t="str">
        <f ca="1">IFERROR(__xludf.DUMMYFUNCTION("IFERROR(VLOOKUP(E792&amp;F792,IMPORTRANGE(""https://docs.google.com/spreadsheets/d/1Uw7-A9f9R21vMXxHZFNpYNeKFtG8_yji4HS352LGlSQ/edit?pli=1#gid=0"",""1_ACUM!A4:S""),17,FALSE))"),"")</f>
        <v/>
      </c>
      <c r="AI769" s="44" t="str">
        <f ca="1">IFERROR(__xludf.DUMMYFUNCTION("IFERROR(VLOOKUP(E792&amp;F792,IMPORTRANGE(""https://docs.google.com/spreadsheets/d/1Uw7-A9f9R21vMXxHZFNpYNeKFtG8_yji4HS352LGlSQ/edit?pli=1#gid=0"",""1_ACUM!A4:S""),18,FALSE))"),"")</f>
        <v/>
      </c>
      <c r="AJ769" s="44" t="str">
        <f ca="1">IFERROR(__xludf.DUMMYFUNCTION("IFERROR(VLOOKUP(E792&amp;F792,IMPORTRANGE(""https://docs.google.com/spreadsheets/d/1Uw7-A9f9R21vMXxHZFNpYNeKFtG8_yji4HS352LGlSQ/edit?pli=1#gid=0"",""1_ACUM!A4:S""),19,FALSE))"),"")</f>
        <v/>
      </c>
      <c r="AK769" s="98" t="str">
        <f ca="1">IFERROR(__xludf.DUMMYFUNCTION("IFERROR(VLOOKUP(F792,IMPORTRANGE(""https://docs.google.com/spreadsheets/d/1Kvs4KS76FHFqLFIZfrDMff4kP08nblUkihrxltoGBjg/edit#gid=934712705"",""ESENCIAL!A6:BG""),5,FALSE))"),"")</f>
        <v/>
      </c>
      <c r="AL769" s="98" t="str">
        <f t="shared" si="44"/>
        <v/>
      </c>
      <c r="AM769" s="99" t="str">
        <f t="shared" si="45"/>
        <v/>
      </c>
      <c r="AN769" s="100" t="str">
        <f ca="1">IFERROR(__xludf.DUMMYFUNCTION("IFERROR(VLOOKUP(F792,IMPORTRANGE(""https://docs.google.com/spreadsheets/d/1Kvs4KS76FHFqLFIZfrDMff4kP08nblUkihrxltoGBjg/edit#gid=934712705"",""ESENCIAL!A6:BG""),2,FALSE))"),"")</f>
        <v/>
      </c>
      <c r="AO769" s="19" t="str">
        <f t="shared" si="46"/>
        <v/>
      </c>
      <c r="AP769" s="100"/>
      <c r="AQ769" s="100"/>
    </row>
    <row r="770" spans="1:43" ht="15">
      <c r="A770" s="5"/>
      <c r="B770" s="5"/>
      <c r="G770" s="5" t="str">
        <f ca="1">IFERROR(__xludf.DUMMYFUNCTION("IFERROR(VLOOKUP(F793,IMPORTRANGE(""https://docs.google.com/spreadsheets/d/1Kvs4KS76FHFqLFIZfrDMff4kP08nblUkihrxltoGBjg/edit#gid=934712705"",""ESENCIAL!A6:BG""),3,FALSE))"),"")</f>
        <v/>
      </c>
      <c r="H770" s="5" t="str">
        <f ca="1">IFERROR(__xludf.DUMMYFUNCTION("IFERROR(VLOOKUP(F793,IMPORTRANGE(""https://docs.google.com/spreadsheets/d/1Kvs4KS76FHFqLFIZfrDMff4kP08nblUkihrxltoGBjg/edit#gid=934712705"",""ESENCIAL!A6:BG""),8,FALSE))"),"")</f>
        <v/>
      </c>
      <c r="L770" s="40"/>
      <c r="Z770" s="41" t="str">
        <f t="shared" ref="Z770:Z833" si="47">IF(E770&gt;0,IF(AND(AH770=1,AE770=1),"Procede_E_P","NO_CUMPLE"),"")</f>
        <v/>
      </c>
      <c r="AA770" s="5" t="str">
        <f ca="1">IFERROR(__xludf.DUMMYFUNCTION("IFERROR(VLOOKUP(E793&amp;F793,IMPORTRANGE(""https://docs.google.com/spreadsheets/d/1Uw7-A9f9R21vMXxHZFNpYNeKFtG8_yji4HS352LGlSQ/edit?pli=1#gid=0"",""1_ACUM!A4:S""),11,FALSE))"),"")</f>
        <v/>
      </c>
      <c r="AB770" s="42" t="str">
        <f ca="1">IFERROR(__xludf.DUMMYFUNCTION("IFERROR(VLOOKUP(F793,IMPORTRANGE(""https://docs.google.com/spreadsheets/d/1Kvs4KS76FHFqLFIZfrDMff4kP08nblUkihrxltoGBjg/edit#gid=934712705"",""ESENCIAL!A6:BG""),15,FALSE))"),"")</f>
        <v/>
      </c>
      <c r="AC770" s="110" t="str">
        <f ca="1">IFERROR(__xludf.DUMMYFUNCTION("IFERROR(VLOOKUP(E793&amp;F793,IMPORTRANGE(""https://docs.google.com/spreadsheets/d/1Uw7-A9f9R21vMXxHZFNpYNeKFtG8_yji4HS352LGlSQ/edit?pli=1#gid=0"",""1_ACUM!A4:S""),13,FALSE))"),"")</f>
        <v/>
      </c>
      <c r="AD770" s="43" t="str">
        <f ca="1">IFERROR(__xludf.DUMMYFUNCTION("IFERROR(VLOOKUP(E793&amp;F793,IMPORTRANGE(""https://docs.google.com/spreadsheets/d/1Uw7-A9f9R21vMXxHZFNpYNeKFtG8_yji4HS352LGlSQ/edit?pli=1#gid=0"",""1_ACUM!A4:S""),13,FALSE))"),"")</f>
        <v/>
      </c>
      <c r="AE770" s="43" t="str">
        <f ca="1">IFERROR(__xludf.DUMMYFUNCTION("IFERROR(VLOOKUP(E793&amp;F793,IMPORTRANGE(""https://docs.google.com/spreadsheets/d/1Uw7-A9f9R21vMXxHZFNpYNeKFtG8_yji4HS352LGlSQ/edit?pli=1#gid=0"",""1_ACUM!A4:S""),14,FALSE))"),"")</f>
        <v/>
      </c>
      <c r="AF770" s="43" t="str">
        <f ca="1">IFERROR(__xludf.DUMMYFUNCTION("IFERROR(VLOOKUP(E793&amp;F793,IMPORTRANGE(""https://docs.google.com/spreadsheets/d/1Uw7-A9f9R21vMXxHZFNpYNeKFtG8_yji4HS352LGlSQ/edit?pli=1#gid=0"",""1_ACUM!A4:S""),15,FALSE))"),"")</f>
        <v/>
      </c>
      <c r="AG770" s="43" t="str">
        <f ca="1">IFERROR(__xludf.DUMMYFUNCTION("IFERROR(VLOOKUP(E793&amp;F793,IMPORTRANGE(""https://docs.google.com/spreadsheets/d/1Uw7-A9f9R21vMXxHZFNpYNeKFtG8_yji4HS352LGlSQ/edit?pli=1#gid=0"",""1_ACUM!A4:S""),16,FALSE))"),"")</f>
        <v/>
      </c>
      <c r="AH770" s="43" t="str">
        <f ca="1">IFERROR(__xludf.DUMMYFUNCTION("IFERROR(VLOOKUP(E793&amp;F793,IMPORTRANGE(""https://docs.google.com/spreadsheets/d/1Uw7-A9f9R21vMXxHZFNpYNeKFtG8_yji4HS352LGlSQ/edit?pli=1#gid=0"",""1_ACUM!A4:S""),17,FALSE))"),"")</f>
        <v/>
      </c>
      <c r="AI770" s="44" t="str">
        <f ca="1">IFERROR(__xludf.DUMMYFUNCTION("IFERROR(VLOOKUP(E793&amp;F793,IMPORTRANGE(""https://docs.google.com/spreadsheets/d/1Uw7-A9f9R21vMXxHZFNpYNeKFtG8_yji4HS352LGlSQ/edit?pli=1#gid=0"",""1_ACUM!A4:S""),18,FALSE))"),"")</f>
        <v/>
      </c>
      <c r="AJ770" s="44" t="str">
        <f ca="1">IFERROR(__xludf.DUMMYFUNCTION("IFERROR(VLOOKUP(E793&amp;F793,IMPORTRANGE(""https://docs.google.com/spreadsheets/d/1Uw7-A9f9R21vMXxHZFNpYNeKFtG8_yji4HS352LGlSQ/edit?pli=1#gid=0"",""1_ACUM!A4:S""),19,FALSE))"),"")</f>
        <v/>
      </c>
      <c r="AK770" s="98" t="str">
        <f ca="1">IFERROR(__xludf.DUMMYFUNCTION("IFERROR(VLOOKUP(F793,IMPORTRANGE(""https://docs.google.com/spreadsheets/d/1Kvs4KS76FHFqLFIZfrDMff4kP08nblUkihrxltoGBjg/edit#gid=934712705"",""ESENCIAL!A6:BG""),5,FALSE))"),"")</f>
        <v/>
      </c>
      <c r="AL770" s="98" t="str">
        <f t="shared" ref="AL770:AL833" si="48">IF(F770&gt;0,EDATE(AK770,18),"")</f>
        <v/>
      </c>
      <c r="AM770" s="99" t="str">
        <f t="shared" ref="AM770:AM833" si="49">IF(F770&gt;0,IF(AL770&lt;$AM$1,"FINALIZAR FICHA","FICHA EN TIEMPO-18 MESES"),"")</f>
        <v/>
      </c>
      <c r="AN770" s="100" t="str">
        <f ca="1">IFERROR(__xludf.DUMMYFUNCTION("IFERROR(VLOOKUP(F793,IMPORTRANGE(""https://docs.google.com/spreadsheets/d/1Kvs4KS76FHFqLFIZfrDMff4kP08nblUkihrxltoGBjg/edit#gid=934712705"",""ESENCIAL!A6:BG""),2,FALSE))"),"")</f>
        <v/>
      </c>
      <c r="AO770" s="19" t="str">
        <f t="shared" si="46"/>
        <v/>
      </c>
      <c r="AP770" s="100"/>
      <c r="AQ770" s="100"/>
    </row>
    <row r="771" spans="1:43" ht="15">
      <c r="A771" s="5"/>
      <c r="B771" s="5"/>
      <c r="G771" s="5" t="str">
        <f ca="1">IFERROR(__xludf.DUMMYFUNCTION("IFERROR(VLOOKUP(F794,IMPORTRANGE(""https://docs.google.com/spreadsheets/d/1Kvs4KS76FHFqLFIZfrDMff4kP08nblUkihrxltoGBjg/edit#gid=934712705"",""ESENCIAL!A6:BG""),3,FALSE))"),"")</f>
        <v/>
      </c>
      <c r="H771" s="5" t="str">
        <f ca="1">IFERROR(__xludf.DUMMYFUNCTION("IFERROR(VLOOKUP(F794,IMPORTRANGE(""https://docs.google.com/spreadsheets/d/1Kvs4KS76FHFqLFIZfrDMff4kP08nblUkihrxltoGBjg/edit#gid=934712705"",""ESENCIAL!A6:BG""),8,FALSE))"),"")</f>
        <v/>
      </c>
      <c r="L771" s="40"/>
      <c r="Z771" s="41" t="str">
        <f t="shared" si="47"/>
        <v/>
      </c>
      <c r="AA771" s="5" t="str">
        <f ca="1">IFERROR(__xludf.DUMMYFUNCTION("IFERROR(VLOOKUP(E794&amp;F794,IMPORTRANGE(""https://docs.google.com/spreadsheets/d/1Uw7-A9f9R21vMXxHZFNpYNeKFtG8_yji4HS352LGlSQ/edit?pli=1#gid=0"",""1_ACUM!A4:S""),11,FALSE))"),"")</f>
        <v/>
      </c>
      <c r="AB771" s="42" t="str">
        <f ca="1">IFERROR(__xludf.DUMMYFUNCTION("IFERROR(VLOOKUP(F794,IMPORTRANGE(""https://docs.google.com/spreadsheets/d/1Kvs4KS76FHFqLFIZfrDMff4kP08nblUkihrxltoGBjg/edit#gid=934712705"",""ESENCIAL!A6:BG""),15,FALSE))"),"")</f>
        <v/>
      </c>
      <c r="AC771" s="110" t="str">
        <f ca="1">IFERROR(__xludf.DUMMYFUNCTION("IFERROR(VLOOKUP(E794&amp;F794,IMPORTRANGE(""https://docs.google.com/spreadsheets/d/1Uw7-A9f9R21vMXxHZFNpYNeKFtG8_yji4HS352LGlSQ/edit?pli=1#gid=0"",""1_ACUM!A4:S""),13,FALSE))"),"")</f>
        <v/>
      </c>
      <c r="AD771" s="43" t="str">
        <f ca="1">IFERROR(__xludf.DUMMYFUNCTION("IFERROR(VLOOKUP(E794&amp;F794,IMPORTRANGE(""https://docs.google.com/spreadsheets/d/1Uw7-A9f9R21vMXxHZFNpYNeKFtG8_yji4HS352LGlSQ/edit?pli=1#gid=0"",""1_ACUM!A4:S""),13,FALSE))"),"")</f>
        <v/>
      </c>
      <c r="AE771" s="43" t="str">
        <f ca="1">IFERROR(__xludf.DUMMYFUNCTION("IFERROR(VLOOKUP(E794&amp;F794,IMPORTRANGE(""https://docs.google.com/spreadsheets/d/1Uw7-A9f9R21vMXxHZFNpYNeKFtG8_yji4HS352LGlSQ/edit?pli=1#gid=0"",""1_ACUM!A4:S""),14,FALSE))"),"")</f>
        <v/>
      </c>
      <c r="AF771" s="43" t="str">
        <f ca="1">IFERROR(__xludf.DUMMYFUNCTION("IFERROR(VLOOKUP(E794&amp;F794,IMPORTRANGE(""https://docs.google.com/spreadsheets/d/1Uw7-A9f9R21vMXxHZFNpYNeKFtG8_yji4HS352LGlSQ/edit?pli=1#gid=0"",""1_ACUM!A4:S""),15,FALSE))"),"")</f>
        <v/>
      </c>
      <c r="AG771" s="43" t="str">
        <f ca="1">IFERROR(__xludf.DUMMYFUNCTION("IFERROR(VLOOKUP(E794&amp;F794,IMPORTRANGE(""https://docs.google.com/spreadsheets/d/1Uw7-A9f9R21vMXxHZFNpYNeKFtG8_yji4HS352LGlSQ/edit?pli=1#gid=0"",""1_ACUM!A4:S""),16,FALSE))"),"")</f>
        <v/>
      </c>
      <c r="AH771" s="43" t="str">
        <f ca="1">IFERROR(__xludf.DUMMYFUNCTION("IFERROR(VLOOKUP(E794&amp;F794,IMPORTRANGE(""https://docs.google.com/spreadsheets/d/1Uw7-A9f9R21vMXxHZFNpYNeKFtG8_yji4HS352LGlSQ/edit?pli=1#gid=0"",""1_ACUM!A4:S""),17,FALSE))"),"")</f>
        <v/>
      </c>
      <c r="AI771" s="44" t="str">
        <f ca="1">IFERROR(__xludf.DUMMYFUNCTION("IFERROR(VLOOKUP(E794&amp;F794,IMPORTRANGE(""https://docs.google.com/spreadsheets/d/1Uw7-A9f9R21vMXxHZFNpYNeKFtG8_yji4HS352LGlSQ/edit?pli=1#gid=0"",""1_ACUM!A4:S""),18,FALSE))"),"")</f>
        <v/>
      </c>
      <c r="AJ771" s="44" t="str">
        <f ca="1">IFERROR(__xludf.DUMMYFUNCTION("IFERROR(VLOOKUP(E794&amp;F794,IMPORTRANGE(""https://docs.google.com/spreadsheets/d/1Uw7-A9f9R21vMXxHZFNpYNeKFtG8_yji4HS352LGlSQ/edit?pli=1#gid=0"",""1_ACUM!A4:S""),19,FALSE))"),"")</f>
        <v/>
      </c>
      <c r="AK771" s="98" t="str">
        <f ca="1">IFERROR(__xludf.DUMMYFUNCTION("IFERROR(VLOOKUP(F794,IMPORTRANGE(""https://docs.google.com/spreadsheets/d/1Kvs4KS76FHFqLFIZfrDMff4kP08nblUkihrxltoGBjg/edit#gid=934712705"",""ESENCIAL!A6:BG""),5,FALSE))"),"")</f>
        <v/>
      </c>
      <c r="AL771" s="98" t="str">
        <f t="shared" si="48"/>
        <v/>
      </c>
      <c r="AM771" s="99" t="str">
        <f t="shared" si="49"/>
        <v/>
      </c>
      <c r="AN771" s="100" t="str">
        <f ca="1">IFERROR(__xludf.DUMMYFUNCTION("IFERROR(VLOOKUP(F794,IMPORTRANGE(""https://docs.google.com/spreadsheets/d/1Kvs4KS76FHFqLFIZfrDMff4kP08nblUkihrxltoGBjg/edit#gid=934712705"",""ESENCIAL!A6:BG""),2,FALSE))"),"")</f>
        <v/>
      </c>
      <c r="AO771" s="19" t="str">
        <f t="shared" si="46"/>
        <v/>
      </c>
      <c r="AP771" s="100"/>
      <c r="AQ771" s="100"/>
    </row>
    <row r="772" spans="1:43" ht="15">
      <c r="A772" s="5"/>
      <c r="B772" s="5"/>
      <c r="G772" s="5" t="str">
        <f ca="1">IFERROR(__xludf.DUMMYFUNCTION("IFERROR(VLOOKUP(F795,IMPORTRANGE(""https://docs.google.com/spreadsheets/d/1Kvs4KS76FHFqLFIZfrDMff4kP08nblUkihrxltoGBjg/edit#gid=934712705"",""ESENCIAL!A6:BG""),3,FALSE))"),"")</f>
        <v/>
      </c>
      <c r="H772" s="5" t="str">
        <f ca="1">IFERROR(__xludf.DUMMYFUNCTION("IFERROR(VLOOKUP(F795,IMPORTRANGE(""https://docs.google.com/spreadsheets/d/1Kvs4KS76FHFqLFIZfrDMff4kP08nblUkihrxltoGBjg/edit#gid=934712705"",""ESENCIAL!A6:BG""),8,FALSE))"),"")</f>
        <v/>
      </c>
      <c r="L772" s="40"/>
      <c r="Z772" s="41" t="str">
        <f t="shared" si="47"/>
        <v/>
      </c>
      <c r="AA772" s="5" t="str">
        <f ca="1">IFERROR(__xludf.DUMMYFUNCTION("IFERROR(VLOOKUP(E795&amp;F795,IMPORTRANGE(""https://docs.google.com/spreadsheets/d/1Uw7-A9f9R21vMXxHZFNpYNeKFtG8_yji4HS352LGlSQ/edit?pli=1#gid=0"",""1_ACUM!A4:S""),11,FALSE))"),"")</f>
        <v/>
      </c>
      <c r="AB772" s="42" t="str">
        <f ca="1">IFERROR(__xludf.DUMMYFUNCTION("IFERROR(VLOOKUP(F795,IMPORTRANGE(""https://docs.google.com/spreadsheets/d/1Kvs4KS76FHFqLFIZfrDMff4kP08nblUkihrxltoGBjg/edit#gid=934712705"",""ESENCIAL!A6:BG""),15,FALSE))"),"")</f>
        <v/>
      </c>
      <c r="AC772" s="110" t="str">
        <f ca="1">IFERROR(__xludf.DUMMYFUNCTION("IFERROR(VLOOKUP(E795&amp;F795,IMPORTRANGE(""https://docs.google.com/spreadsheets/d/1Uw7-A9f9R21vMXxHZFNpYNeKFtG8_yji4HS352LGlSQ/edit?pli=1#gid=0"",""1_ACUM!A4:S""),13,FALSE))"),"")</f>
        <v/>
      </c>
      <c r="AD772" s="43" t="str">
        <f ca="1">IFERROR(__xludf.DUMMYFUNCTION("IFERROR(VLOOKUP(E795&amp;F795,IMPORTRANGE(""https://docs.google.com/spreadsheets/d/1Uw7-A9f9R21vMXxHZFNpYNeKFtG8_yji4HS352LGlSQ/edit?pli=1#gid=0"",""1_ACUM!A4:S""),13,FALSE))"),"")</f>
        <v/>
      </c>
      <c r="AE772" s="43" t="str">
        <f ca="1">IFERROR(__xludf.DUMMYFUNCTION("IFERROR(VLOOKUP(E795&amp;F795,IMPORTRANGE(""https://docs.google.com/spreadsheets/d/1Uw7-A9f9R21vMXxHZFNpYNeKFtG8_yji4HS352LGlSQ/edit?pli=1#gid=0"",""1_ACUM!A4:S""),14,FALSE))"),"")</f>
        <v/>
      </c>
      <c r="AF772" s="43" t="str">
        <f ca="1">IFERROR(__xludf.DUMMYFUNCTION("IFERROR(VLOOKUP(E795&amp;F795,IMPORTRANGE(""https://docs.google.com/spreadsheets/d/1Uw7-A9f9R21vMXxHZFNpYNeKFtG8_yji4HS352LGlSQ/edit?pli=1#gid=0"",""1_ACUM!A4:S""),15,FALSE))"),"")</f>
        <v/>
      </c>
      <c r="AG772" s="43" t="str">
        <f ca="1">IFERROR(__xludf.DUMMYFUNCTION("IFERROR(VLOOKUP(E795&amp;F795,IMPORTRANGE(""https://docs.google.com/spreadsheets/d/1Uw7-A9f9R21vMXxHZFNpYNeKFtG8_yji4HS352LGlSQ/edit?pli=1#gid=0"",""1_ACUM!A4:S""),16,FALSE))"),"")</f>
        <v/>
      </c>
      <c r="AH772" s="43" t="str">
        <f ca="1">IFERROR(__xludf.DUMMYFUNCTION("IFERROR(VLOOKUP(E795&amp;F795,IMPORTRANGE(""https://docs.google.com/spreadsheets/d/1Uw7-A9f9R21vMXxHZFNpYNeKFtG8_yji4HS352LGlSQ/edit?pli=1#gid=0"",""1_ACUM!A4:S""),17,FALSE))"),"")</f>
        <v/>
      </c>
      <c r="AI772" s="44" t="str">
        <f ca="1">IFERROR(__xludf.DUMMYFUNCTION("IFERROR(VLOOKUP(E795&amp;F795,IMPORTRANGE(""https://docs.google.com/spreadsheets/d/1Uw7-A9f9R21vMXxHZFNpYNeKFtG8_yji4HS352LGlSQ/edit?pli=1#gid=0"",""1_ACUM!A4:S""),18,FALSE))"),"")</f>
        <v/>
      </c>
      <c r="AJ772" s="44" t="str">
        <f ca="1">IFERROR(__xludf.DUMMYFUNCTION("IFERROR(VLOOKUP(E795&amp;F795,IMPORTRANGE(""https://docs.google.com/spreadsheets/d/1Uw7-A9f9R21vMXxHZFNpYNeKFtG8_yji4HS352LGlSQ/edit?pli=1#gid=0"",""1_ACUM!A4:S""),19,FALSE))"),"")</f>
        <v/>
      </c>
      <c r="AK772" s="98" t="str">
        <f ca="1">IFERROR(__xludf.DUMMYFUNCTION("IFERROR(VLOOKUP(F795,IMPORTRANGE(""https://docs.google.com/spreadsheets/d/1Kvs4KS76FHFqLFIZfrDMff4kP08nblUkihrxltoGBjg/edit#gid=934712705"",""ESENCIAL!A6:BG""),5,FALSE))"),"")</f>
        <v/>
      </c>
      <c r="AL772" s="98" t="str">
        <f t="shared" si="48"/>
        <v/>
      </c>
      <c r="AM772" s="99" t="str">
        <f t="shared" si="49"/>
        <v/>
      </c>
      <c r="AN772" s="100" t="str">
        <f ca="1">IFERROR(__xludf.DUMMYFUNCTION("IFERROR(VLOOKUP(F795,IMPORTRANGE(""https://docs.google.com/spreadsheets/d/1Kvs4KS76FHFqLFIZfrDMff4kP08nblUkihrxltoGBjg/edit#gid=934712705"",""ESENCIAL!A6:BG""),2,FALSE))"),"")</f>
        <v/>
      </c>
      <c r="AO772" s="19" t="str">
        <f t="shared" si="46"/>
        <v/>
      </c>
      <c r="AP772" s="100"/>
      <c r="AQ772" s="100"/>
    </row>
    <row r="773" spans="1:43" ht="15">
      <c r="A773" s="5"/>
      <c r="B773" s="5"/>
      <c r="G773" s="5" t="str">
        <f ca="1">IFERROR(__xludf.DUMMYFUNCTION("IFERROR(VLOOKUP(F796,IMPORTRANGE(""https://docs.google.com/spreadsheets/d/1Kvs4KS76FHFqLFIZfrDMff4kP08nblUkihrxltoGBjg/edit#gid=934712705"",""ESENCIAL!A6:BG""),3,FALSE))"),"")</f>
        <v/>
      </c>
      <c r="H773" s="5" t="str">
        <f ca="1">IFERROR(__xludf.DUMMYFUNCTION("IFERROR(VLOOKUP(F796,IMPORTRANGE(""https://docs.google.com/spreadsheets/d/1Kvs4KS76FHFqLFIZfrDMff4kP08nblUkihrxltoGBjg/edit#gid=934712705"",""ESENCIAL!A6:BG""),8,FALSE))"),"")</f>
        <v/>
      </c>
      <c r="L773" s="40"/>
      <c r="Z773" s="41" t="str">
        <f t="shared" si="47"/>
        <v/>
      </c>
      <c r="AA773" s="5" t="str">
        <f ca="1">IFERROR(__xludf.DUMMYFUNCTION("IFERROR(VLOOKUP(E796&amp;F796,IMPORTRANGE(""https://docs.google.com/spreadsheets/d/1Uw7-A9f9R21vMXxHZFNpYNeKFtG8_yji4HS352LGlSQ/edit?pli=1#gid=0"",""1_ACUM!A4:S""),11,FALSE))"),"")</f>
        <v/>
      </c>
      <c r="AB773" s="42" t="str">
        <f ca="1">IFERROR(__xludf.DUMMYFUNCTION("IFERROR(VLOOKUP(F796,IMPORTRANGE(""https://docs.google.com/spreadsheets/d/1Kvs4KS76FHFqLFIZfrDMff4kP08nblUkihrxltoGBjg/edit#gid=934712705"",""ESENCIAL!A6:BG""),15,FALSE))"),"")</f>
        <v/>
      </c>
      <c r="AC773" s="110" t="str">
        <f ca="1">IFERROR(__xludf.DUMMYFUNCTION("IFERROR(VLOOKUP(E796&amp;F796,IMPORTRANGE(""https://docs.google.com/spreadsheets/d/1Uw7-A9f9R21vMXxHZFNpYNeKFtG8_yji4HS352LGlSQ/edit?pli=1#gid=0"",""1_ACUM!A4:S""),13,FALSE))"),"")</f>
        <v/>
      </c>
      <c r="AD773" s="43" t="str">
        <f ca="1">IFERROR(__xludf.DUMMYFUNCTION("IFERROR(VLOOKUP(E796&amp;F796,IMPORTRANGE(""https://docs.google.com/spreadsheets/d/1Uw7-A9f9R21vMXxHZFNpYNeKFtG8_yji4HS352LGlSQ/edit?pli=1#gid=0"",""1_ACUM!A4:S""),13,FALSE))"),"")</f>
        <v/>
      </c>
      <c r="AE773" s="43" t="str">
        <f ca="1">IFERROR(__xludf.DUMMYFUNCTION("IFERROR(VLOOKUP(E796&amp;F796,IMPORTRANGE(""https://docs.google.com/spreadsheets/d/1Uw7-A9f9R21vMXxHZFNpYNeKFtG8_yji4HS352LGlSQ/edit?pli=1#gid=0"",""1_ACUM!A4:S""),14,FALSE))"),"")</f>
        <v/>
      </c>
      <c r="AF773" s="43" t="str">
        <f ca="1">IFERROR(__xludf.DUMMYFUNCTION("IFERROR(VLOOKUP(E796&amp;F796,IMPORTRANGE(""https://docs.google.com/spreadsheets/d/1Uw7-A9f9R21vMXxHZFNpYNeKFtG8_yji4HS352LGlSQ/edit?pli=1#gid=0"",""1_ACUM!A4:S""),15,FALSE))"),"")</f>
        <v/>
      </c>
      <c r="AG773" s="43" t="str">
        <f ca="1">IFERROR(__xludf.DUMMYFUNCTION("IFERROR(VLOOKUP(E796&amp;F796,IMPORTRANGE(""https://docs.google.com/spreadsheets/d/1Uw7-A9f9R21vMXxHZFNpYNeKFtG8_yji4HS352LGlSQ/edit?pli=1#gid=0"",""1_ACUM!A4:S""),16,FALSE))"),"")</f>
        <v/>
      </c>
      <c r="AH773" s="43" t="str">
        <f ca="1">IFERROR(__xludf.DUMMYFUNCTION("IFERROR(VLOOKUP(E796&amp;F796,IMPORTRANGE(""https://docs.google.com/spreadsheets/d/1Uw7-A9f9R21vMXxHZFNpYNeKFtG8_yji4HS352LGlSQ/edit?pli=1#gid=0"",""1_ACUM!A4:S""),17,FALSE))"),"")</f>
        <v/>
      </c>
      <c r="AI773" s="44" t="str">
        <f ca="1">IFERROR(__xludf.DUMMYFUNCTION("IFERROR(VLOOKUP(E796&amp;F796,IMPORTRANGE(""https://docs.google.com/spreadsheets/d/1Uw7-A9f9R21vMXxHZFNpYNeKFtG8_yji4HS352LGlSQ/edit?pli=1#gid=0"",""1_ACUM!A4:S""),18,FALSE))"),"")</f>
        <v/>
      </c>
      <c r="AJ773" s="44" t="str">
        <f ca="1">IFERROR(__xludf.DUMMYFUNCTION("IFERROR(VLOOKUP(E796&amp;F796,IMPORTRANGE(""https://docs.google.com/spreadsheets/d/1Uw7-A9f9R21vMXxHZFNpYNeKFtG8_yji4HS352LGlSQ/edit?pli=1#gid=0"",""1_ACUM!A4:S""),19,FALSE))"),"")</f>
        <v/>
      </c>
      <c r="AK773" s="98" t="str">
        <f ca="1">IFERROR(__xludf.DUMMYFUNCTION("IFERROR(VLOOKUP(F796,IMPORTRANGE(""https://docs.google.com/spreadsheets/d/1Kvs4KS76FHFqLFIZfrDMff4kP08nblUkihrxltoGBjg/edit#gid=934712705"",""ESENCIAL!A6:BG""),5,FALSE))"),"")</f>
        <v/>
      </c>
      <c r="AL773" s="98" t="str">
        <f t="shared" si="48"/>
        <v/>
      </c>
      <c r="AM773" s="99" t="str">
        <f t="shared" si="49"/>
        <v/>
      </c>
      <c r="AN773" s="100" t="str">
        <f ca="1">IFERROR(__xludf.DUMMYFUNCTION("IFERROR(VLOOKUP(F796,IMPORTRANGE(""https://docs.google.com/spreadsheets/d/1Kvs4KS76FHFqLFIZfrDMff4kP08nblUkihrxltoGBjg/edit#gid=934712705"",""ESENCIAL!A6:BG""),2,FALSE))"),"")</f>
        <v/>
      </c>
      <c r="AO773" s="19" t="str">
        <f t="shared" si="46"/>
        <v/>
      </c>
      <c r="AP773" s="100"/>
      <c r="AQ773" s="100"/>
    </row>
    <row r="774" spans="1:43" ht="15">
      <c r="A774" s="5"/>
      <c r="B774" s="5"/>
      <c r="G774" s="5" t="str">
        <f ca="1">IFERROR(__xludf.DUMMYFUNCTION("IFERROR(VLOOKUP(F797,IMPORTRANGE(""https://docs.google.com/spreadsheets/d/1Kvs4KS76FHFqLFIZfrDMff4kP08nblUkihrxltoGBjg/edit#gid=934712705"",""ESENCIAL!A6:BG""),3,FALSE))"),"")</f>
        <v/>
      </c>
      <c r="H774" s="5" t="str">
        <f ca="1">IFERROR(__xludf.DUMMYFUNCTION("IFERROR(VLOOKUP(F797,IMPORTRANGE(""https://docs.google.com/spreadsheets/d/1Kvs4KS76FHFqLFIZfrDMff4kP08nblUkihrxltoGBjg/edit#gid=934712705"",""ESENCIAL!A6:BG""),8,FALSE))"),"")</f>
        <v/>
      </c>
      <c r="L774" s="40"/>
      <c r="Z774" s="41" t="str">
        <f t="shared" si="47"/>
        <v/>
      </c>
      <c r="AA774" s="5" t="str">
        <f ca="1">IFERROR(__xludf.DUMMYFUNCTION("IFERROR(VLOOKUP(E797&amp;F797,IMPORTRANGE(""https://docs.google.com/spreadsheets/d/1Uw7-A9f9R21vMXxHZFNpYNeKFtG8_yji4HS352LGlSQ/edit?pli=1#gid=0"",""1_ACUM!A4:S""),11,FALSE))"),"")</f>
        <v/>
      </c>
      <c r="AB774" s="42" t="str">
        <f ca="1">IFERROR(__xludf.DUMMYFUNCTION("IFERROR(VLOOKUP(F797,IMPORTRANGE(""https://docs.google.com/spreadsheets/d/1Kvs4KS76FHFqLFIZfrDMff4kP08nblUkihrxltoGBjg/edit#gid=934712705"",""ESENCIAL!A6:BG""),15,FALSE))"),"")</f>
        <v/>
      </c>
      <c r="AC774" s="110" t="str">
        <f ca="1">IFERROR(__xludf.DUMMYFUNCTION("IFERROR(VLOOKUP(E797&amp;F797,IMPORTRANGE(""https://docs.google.com/spreadsheets/d/1Uw7-A9f9R21vMXxHZFNpYNeKFtG8_yji4HS352LGlSQ/edit?pli=1#gid=0"",""1_ACUM!A4:S""),13,FALSE))"),"")</f>
        <v/>
      </c>
      <c r="AD774" s="43" t="str">
        <f ca="1">IFERROR(__xludf.DUMMYFUNCTION("IFERROR(VLOOKUP(E797&amp;F797,IMPORTRANGE(""https://docs.google.com/spreadsheets/d/1Uw7-A9f9R21vMXxHZFNpYNeKFtG8_yji4HS352LGlSQ/edit?pli=1#gid=0"",""1_ACUM!A4:S""),13,FALSE))"),"")</f>
        <v/>
      </c>
      <c r="AE774" s="43" t="str">
        <f ca="1">IFERROR(__xludf.DUMMYFUNCTION("IFERROR(VLOOKUP(E797&amp;F797,IMPORTRANGE(""https://docs.google.com/spreadsheets/d/1Uw7-A9f9R21vMXxHZFNpYNeKFtG8_yji4HS352LGlSQ/edit?pli=1#gid=0"",""1_ACUM!A4:S""),14,FALSE))"),"")</f>
        <v/>
      </c>
      <c r="AF774" s="43" t="str">
        <f ca="1">IFERROR(__xludf.DUMMYFUNCTION("IFERROR(VLOOKUP(E797&amp;F797,IMPORTRANGE(""https://docs.google.com/spreadsheets/d/1Uw7-A9f9R21vMXxHZFNpYNeKFtG8_yji4HS352LGlSQ/edit?pli=1#gid=0"",""1_ACUM!A4:S""),15,FALSE))"),"")</f>
        <v/>
      </c>
      <c r="AG774" s="43" t="str">
        <f ca="1">IFERROR(__xludf.DUMMYFUNCTION("IFERROR(VLOOKUP(E797&amp;F797,IMPORTRANGE(""https://docs.google.com/spreadsheets/d/1Uw7-A9f9R21vMXxHZFNpYNeKFtG8_yji4HS352LGlSQ/edit?pli=1#gid=0"",""1_ACUM!A4:S""),16,FALSE))"),"")</f>
        <v/>
      </c>
      <c r="AH774" s="43" t="str">
        <f ca="1">IFERROR(__xludf.DUMMYFUNCTION("IFERROR(VLOOKUP(E797&amp;F797,IMPORTRANGE(""https://docs.google.com/spreadsheets/d/1Uw7-A9f9R21vMXxHZFNpYNeKFtG8_yji4HS352LGlSQ/edit?pli=1#gid=0"",""1_ACUM!A4:S""),17,FALSE))"),"")</f>
        <v/>
      </c>
      <c r="AI774" s="44" t="str">
        <f ca="1">IFERROR(__xludf.DUMMYFUNCTION("IFERROR(VLOOKUP(E797&amp;F797,IMPORTRANGE(""https://docs.google.com/spreadsheets/d/1Uw7-A9f9R21vMXxHZFNpYNeKFtG8_yji4HS352LGlSQ/edit?pli=1#gid=0"",""1_ACUM!A4:S""),18,FALSE))"),"")</f>
        <v/>
      </c>
      <c r="AJ774" s="44" t="str">
        <f ca="1">IFERROR(__xludf.DUMMYFUNCTION("IFERROR(VLOOKUP(E797&amp;F797,IMPORTRANGE(""https://docs.google.com/spreadsheets/d/1Uw7-A9f9R21vMXxHZFNpYNeKFtG8_yji4HS352LGlSQ/edit?pli=1#gid=0"",""1_ACUM!A4:S""),19,FALSE))"),"")</f>
        <v/>
      </c>
      <c r="AK774" s="98" t="str">
        <f ca="1">IFERROR(__xludf.DUMMYFUNCTION("IFERROR(VLOOKUP(F797,IMPORTRANGE(""https://docs.google.com/spreadsheets/d/1Kvs4KS76FHFqLFIZfrDMff4kP08nblUkihrxltoGBjg/edit#gid=934712705"",""ESENCIAL!A6:BG""),5,FALSE))"),"")</f>
        <v/>
      </c>
      <c r="AL774" s="98" t="str">
        <f t="shared" si="48"/>
        <v/>
      </c>
      <c r="AM774" s="99" t="str">
        <f t="shared" si="49"/>
        <v/>
      </c>
      <c r="AN774" s="100" t="str">
        <f ca="1">IFERROR(__xludf.DUMMYFUNCTION("IFERROR(VLOOKUP(F797,IMPORTRANGE(""https://docs.google.com/spreadsheets/d/1Kvs4KS76FHFqLFIZfrDMff4kP08nblUkihrxltoGBjg/edit#gid=934712705"",""ESENCIAL!A6:BG""),2,FALSE))"),"")</f>
        <v/>
      </c>
      <c r="AO774" s="19" t="str">
        <f t="shared" si="46"/>
        <v/>
      </c>
      <c r="AP774" s="100"/>
      <c r="AQ774" s="100"/>
    </row>
    <row r="775" spans="1:43" ht="15">
      <c r="A775" s="5"/>
      <c r="B775" s="5"/>
      <c r="G775" s="5" t="str">
        <f ca="1">IFERROR(__xludf.DUMMYFUNCTION("IFERROR(VLOOKUP(F798,IMPORTRANGE(""https://docs.google.com/spreadsheets/d/1Kvs4KS76FHFqLFIZfrDMff4kP08nblUkihrxltoGBjg/edit#gid=934712705"",""ESENCIAL!A6:BG""),3,FALSE))"),"")</f>
        <v/>
      </c>
      <c r="H775" s="5" t="str">
        <f ca="1">IFERROR(__xludf.DUMMYFUNCTION("IFERROR(VLOOKUP(F798,IMPORTRANGE(""https://docs.google.com/spreadsheets/d/1Kvs4KS76FHFqLFIZfrDMff4kP08nblUkihrxltoGBjg/edit#gid=934712705"",""ESENCIAL!A6:BG""),8,FALSE))"),"")</f>
        <v/>
      </c>
      <c r="L775" s="40"/>
      <c r="Z775" s="41" t="str">
        <f t="shared" si="47"/>
        <v/>
      </c>
      <c r="AA775" s="5" t="str">
        <f ca="1">IFERROR(__xludf.DUMMYFUNCTION("IFERROR(VLOOKUP(E798&amp;F798,IMPORTRANGE(""https://docs.google.com/spreadsheets/d/1Uw7-A9f9R21vMXxHZFNpYNeKFtG8_yji4HS352LGlSQ/edit?pli=1#gid=0"",""1_ACUM!A4:S""),11,FALSE))"),"")</f>
        <v/>
      </c>
      <c r="AB775" s="42" t="str">
        <f ca="1">IFERROR(__xludf.DUMMYFUNCTION("IFERROR(VLOOKUP(F798,IMPORTRANGE(""https://docs.google.com/spreadsheets/d/1Kvs4KS76FHFqLFIZfrDMff4kP08nblUkihrxltoGBjg/edit#gid=934712705"",""ESENCIAL!A6:BG""),15,FALSE))"),"")</f>
        <v/>
      </c>
      <c r="AC775" s="110" t="str">
        <f ca="1">IFERROR(__xludf.DUMMYFUNCTION("IFERROR(VLOOKUP(E798&amp;F798,IMPORTRANGE(""https://docs.google.com/spreadsheets/d/1Uw7-A9f9R21vMXxHZFNpYNeKFtG8_yji4HS352LGlSQ/edit?pli=1#gid=0"",""1_ACUM!A4:S""),13,FALSE))"),"")</f>
        <v/>
      </c>
      <c r="AD775" s="43" t="str">
        <f ca="1">IFERROR(__xludf.DUMMYFUNCTION("IFERROR(VLOOKUP(E798&amp;F798,IMPORTRANGE(""https://docs.google.com/spreadsheets/d/1Uw7-A9f9R21vMXxHZFNpYNeKFtG8_yji4HS352LGlSQ/edit?pli=1#gid=0"",""1_ACUM!A4:S""),13,FALSE))"),"")</f>
        <v/>
      </c>
      <c r="AE775" s="43" t="str">
        <f ca="1">IFERROR(__xludf.DUMMYFUNCTION("IFERROR(VLOOKUP(E798&amp;F798,IMPORTRANGE(""https://docs.google.com/spreadsheets/d/1Uw7-A9f9R21vMXxHZFNpYNeKFtG8_yji4HS352LGlSQ/edit?pli=1#gid=0"",""1_ACUM!A4:S""),14,FALSE))"),"")</f>
        <v/>
      </c>
      <c r="AF775" s="43" t="str">
        <f ca="1">IFERROR(__xludf.DUMMYFUNCTION("IFERROR(VLOOKUP(E798&amp;F798,IMPORTRANGE(""https://docs.google.com/spreadsheets/d/1Uw7-A9f9R21vMXxHZFNpYNeKFtG8_yji4HS352LGlSQ/edit?pli=1#gid=0"",""1_ACUM!A4:S""),15,FALSE))"),"")</f>
        <v/>
      </c>
      <c r="AG775" s="43" t="str">
        <f ca="1">IFERROR(__xludf.DUMMYFUNCTION("IFERROR(VLOOKUP(E798&amp;F798,IMPORTRANGE(""https://docs.google.com/spreadsheets/d/1Uw7-A9f9R21vMXxHZFNpYNeKFtG8_yji4HS352LGlSQ/edit?pli=1#gid=0"",""1_ACUM!A4:S""),16,FALSE))"),"")</f>
        <v/>
      </c>
      <c r="AH775" s="43" t="str">
        <f ca="1">IFERROR(__xludf.DUMMYFUNCTION("IFERROR(VLOOKUP(E798&amp;F798,IMPORTRANGE(""https://docs.google.com/spreadsheets/d/1Uw7-A9f9R21vMXxHZFNpYNeKFtG8_yji4HS352LGlSQ/edit?pli=1#gid=0"",""1_ACUM!A4:S""),17,FALSE))"),"")</f>
        <v/>
      </c>
      <c r="AI775" s="44" t="str">
        <f ca="1">IFERROR(__xludf.DUMMYFUNCTION("IFERROR(VLOOKUP(E798&amp;F798,IMPORTRANGE(""https://docs.google.com/spreadsheets/d/1Uw7-A9f9R21vMXxHZFNpYNeKFtG8_yji4HS352LGlSQ/edit?pli=1#gid=0"",""1_ACUM!A4:S""),18,FALSE))"),"")</f>
        <v/>
      </c>
      <c r="AJ775" s="44" t="str">
        <f ca="1">IFERROR(__xludf.DUMMYFUNCTION("IFERROR(VLOOKUP(E798&amp;F798,IMPORTRANGE(""https://docs.google.com/spreadsheets/d/1Uw7-A9f9R21vMXxHZFNpYNeKFtG8_yji4HS352LGlSQ/edit?pli=1#gid=0"",""1_ACUM!A4:S""),19,FALSE))"),"")</f>
        <v/>
      </c>
      <c r="AK775" s="98" t="str">
        <f ca="1">IFERROR(__xludf.DUMMYFUNCTION("IFERROR(VLOOKUP(F798,IMPORTRANGE(""https://docs.google.com/spreadsheets/d/1Kvs4KS76FHFqLFIZfrDMff4kP08nblUkihrxltoGBjg/edit#gid=934712705"",""ESENCIAL!A6:BG""),5,FALSE))"),"")</f>
        <v/>
      </c>
      <c r="AL775" s="98" t="str">
        <f t="shared" si="48"/>
        <v/>
      </c>
      <c r="AM775" s="99" t="str">
        <f t="shared" si="49"/>
        <v/>
      </c>
      <c r="AN775" s="100" t="str">
        <f ca="1">IFERROR(__xludf.DUMMYFUNCTION("IFERROR(VLOOKUP(F798,IMPORTRANGE(""https://docs.google.com/spreadsheets/d/1Kvs4KS76FHFqLFIZfrDMff4kP08nblUkihrxltoGBjg/edit#gid=934712705"",""ESENCIAL!A6:BG""),2,FALSE))"),"")</f>
        <v/>
      </c>
      <c r="AO775" s="19" t="str">
        <f t="shared" si="46"/>
        <v/>
      </c>
      <c r="AP775" s="100"/>
      <c r="AQ775" s="100"/>
    </row>
    <row r="776" spans="1:43" ht="15">
      <c r="A776" s="5"/>
      <c r="B776" s="5"/>
      <c r="G776" s="5" t="str">
        <f ca="1">IFERROR(__xludf.DUMMYFUNCTION("IFERROR(VLOOKUP(F799,IMPORTRANGE(""https://docs.google.com/spreadsheets/d/1Kvs4KS76FHFqLFIZfrDMff4kP08nblUkihrxltoGBjg/edit#gid=934712705"",""ESENCIAL!A6:BG""),3,FALSE))"),"")</f>
        <v/>
      </c>
      <c r="H776" s="5" t="str">
        <f ca="1">IFERROR(__xludf.DUMMYFUNCTION("IFERROR(VLOOKUP(F799,IMPORTRANGE(""https://docs.google.com/spreadsheets/d/1Kvs4KS76FHFqLFIZfrDMff4kP08nblUkihrxltoGBjg/edit#gid=934712705"",""ESENCIAL!A6:BG""),8,FALSE))"),"")</f>
        <v/>
      </c>
      <c r="L776" s="40"/>
      <c r="Z776" s="41" t="str">
        <f t="shared" si="47"/>
        <v/>
      </c>
      <c r="AA776" s="5" t="str">
        <f ca="1">IFERROR(__xludf.DUMMYFUNCTION("IFERROR(VLOOKUP(E799&amp;F799,IMPORTRANGE(""https://docs.google.com/spreadsheets/d/1Uw7-A9f9R21vMXxHZFNpYNeKFtG8_yji4HS352LGlSQ/edit?pli=1#gid=0"",""1_ACUM!A4:S""),11,FALSE))"),"")</f>
        <v/>
      </c>
      <c r="AB776" s="42" t="str">
        <f ca="1">IFERROR(__xludf.DUMMYFUNCTION("IFERROR(VLOOKUP(F799,IMPORTRANGE(""https://docs.google.com/spreadsheets/d/1Kvs4KS76FHFqLFIZfrDMff4kP08nblUkihrxltoGBjg/edit#gid=934712705"",""ESENCIAL!A6:BG""),15,FALSE))"),"")</f>
        <v/>
      </c>
      <c r="AC776" s="110" t="str">
        <f ca="1">IFERROR(__xludf.DUMMYFUNCTION("IFERROR(VLOOKUP(E799&amp;F799,IMPORTRANGE(""https://docs.google.com/spreadsheets/d/1Uw7-A9f9R21vMXxHZFNpYNeKFtG8_yji4HS352LGlSQ/edit?pli=1#gid=0"",""1_ACUM!A4:S""),13,FALSE))"),"")</f>
        <v/>
      </c>
      <c r="AD776" s="43" t="str">
        <f ca="1">IFERROR(__xludf.DUMMYFUNCTION("IFERROR(VLOOKUP(E799&amp;F799,IMPORTRANGE(""https://docs.google.com/spreadsheets/d/1Uw7-A9f9R21vMXxHZFNpYNeKFtG8_yji4HS352LGlSQ/edit?pli=1#gid=0"",""1_ACUM!A4:S""),13,FALSE))"),"")</f>
        <v/>
      </c>
      <c r="AE776" s="43" t="str">
        <f ca="1">IFERROR(__xludf.DUMMYFUNCTION("IFERROR(VLOOKUP(E799&amp;F799,IMPORTRANGE(""https://docs.google.com/spreadsheets/d/1Uw7-A9f9R21vMXxHZFNpYNeKFtG8_yji4HS352LGlSQ/edit?pli=1#gid=0"",""1_ACUM!A4:S""),14,FALSE))"),"")</f>
        <v/>
      </c>
      <c r="AF776" s="43" t="str">
        <f ca="1">IFERROR(__xludf.DUMMYFUNCTION("IFERROR(VLOOKUP(E799&amp;F799,IMPORTRANGE(""https://docs.google.com/spreadsheets/d/1Uw7-A9f9R21vMXxHZFNpYNeKFtG8_yji4HS352LGlSQ/edit?pli=1#gid=0"",""1_ACUM!A4:S""),15,FALSE))"),"")</f>
        <v/>
      </c>
      <c r="AG776" s="43" t="str">
        <f ca="1">IFERROR(__xludf.DUMMYFUNCTION("IFERROR(VLOOKUP(E799&amp;F799,IMPORTRANGE(""https://docs.google.com/spreadsheets/d/1Uw7-A9f9R21vMXxHZFNpYNeKFtG8_yji4HS352LGlSQ/edit?pli=1#gid=0"",""1_ACUM!A4:S""),16,FALSE))"),"")</f>
        <v/>
      </c>
      <c r="AH776" s="43" t="str">
        <f ca="1">IFERROR(__xludf.DUMMYFUNCTION("IFERROR(VLOOKUP(E799&amp;F799,IMPORTRANGE(""https://docs.google.com/spreadsheets/d/1Uw7-A9f9R21vMXxHZFNpYNeKFtG8_yji4HS352LGlSQ/edit?pli=1#gid=0"",""1_ACUM!A4:S""),17,FALSE))"),"")</f>
        <v/>
      </c>
      <c r="AI776" s="44" t="str">
        <f ca="1">IFERROR(__xludf.DUMMYFUNCTION("IFERROR(VLOOKUP(E799&amp;F799,IMPORTRANGE(""https://docs.google.com/spreadsheets/d/1Uw7-A9f9R21vMXxHZFNpYNeKFtG8_yji4HS352LGlSQ/edit?pli=1#gid=0"",""1_ACUM!A4:S""),18,FALSE))"),"")</f>
        <v/>
      </c>
      <c r="AJ776" s="44" t="str">
        <f ca="1">IFERROR(__xludf.DUMMYFUNCTION("IFERROR(VLOOKUP(E799&amp;F799,IMPORTRANGE(""https://docs.google.com/spreadsheets/d/1Uw7-A9f9R21vMXxHZFNpYNeKFtG8_yji4HS352LGlSQ/edit?pli=1#gid=0"",""1_ACUM!A4:S""),19,FALSE))"),"")</f>
        <v/>
      </c>
      <c r="AK776" s="98" t="str">
        <f ca="1">IFERROR(__xludf.DUMMYFUNCTION("IFERROR(VLOOKUP(F799,IMPORTRANGE(""https://docs.google.com/spreadsheets/d/1Kvs4KS76FHFqLFIZfrDMff4kP08nblUkihrxltoGBjg/edit#gid=934712705"",""ESENCIAL!A6:BG""),5,FALSE))"),"")</f>
        <v/>
      </c>
      <c r="AL776" s="98" t="str">
        <f t="shared" si="48"/>
        <v/>
      </c>
      <c r="AM776" s="99" t="str">
        <f t="shared" si="49"/>
        <v/>
      </c>
      <c r="AN776" s="100" t="str">
        <f ca="1">IFERROR(__xludf.DUMMYFUNCTION("IFERROR(VLOOKUP(F799,IMPORTRANGE(""https://docs.google.com/spreadsheets/d/1Kvs4KS76FHFqLFIZfrDMff4kP08nblUkihrxltoGBjg/edit#gid=934712705"",""ESENCIAL!A6:BG""),2,FALSE))"),"")</f>
        <v/>
      </c>
      <c r="AO776" s="19" t="str">
        <f t="shared" si="46"/>
        <v/>
      </c>
      <c r="AP776" s="100"/>
      <c r="AQ776" s="100"/>
    </row>
    <row r="777" spans="1:43" ht="15">
      <c r="A777" s="5"/>
      <c r="B777" s="5"/>
      <c r="G777" s="5" t="str">
        <f ca="1">IFERROR(__xludf.DUMMYFUNCTION("IFERROR(VLOOKUP(F800,IMPORTRANGE(""https://docs.google.com/spreadsheets/d/1Kvs4KS76FHFqLFIZfrDMff4kP08nblUkihrxltoGBjg/edit#gid=934712705"",""ESENCIAL!A6:BG""),3,FALSE))"),"")</f>
        <v/>
      </c>
      <c r="H777" s="5" t="str">
        <f ca="1">IFERROR(__xludf.DUMMYFUNCTION("IFERROR(VLOOKUP(F800,IMPORTRANGE(""https://docs.google.com/spreadsheets/d/1Kvs4KS76FHFqLFIZfrDMff4kP08nblUkihrxltoGBjg/edit#gid=934712705"",""ESENCIAL!A6:BG""),8,FALSE))"),"")</f>
        <v/>
      </c>
      <c r="L777" s="40"/>
      <c r="Z777" s="41" t="str">
        <f t="shared" si="47"/>
        <v/>
      </c>
      <c r="AA777" s="5" t="str">
        <f ca="1">IFERROR(__xludf.DUMMYFUNCTION("IFERROR(VLOOKUP(E800&amp;F800,IMPORTRANGE(""https://docs.google.com/spreadsheets/d/1Uw7-A9f9R21vMXxHZFNpYNeKFtG8_yji4HS352LGlSQ/edit?pli=1#gid=0"",""1_ACUM!A4:S""),11,FALSE))"),"")</f>
        <v/>
      </c>
      <c r="AB777" s="42" t="str">
        <f ca="1">IFERROR(__xludf.DUMMYFUNCTION("IFERROR(VLOOKUP(F800,IMPORTRANGE(""https://docs.google.com/spreadsheets/d/1Kvs4KS76FHFqLFIZfrDMff4kP08nblUkihrxltoGBjg/edit#gid=934712705"",""ESENCIAL!A6:BG""),15,FALSE))"),"")</f>
        <v/>
      </c>
      <c r="AC777" s="110" t="str">
        <f ca="1">IFERROR(__xludf.DUMMYFUNCTION("IFERROR(VLOOKUP(E800&amp;F800,IMPORTRANGE(""https://docs.google.com/spreadsheets/d/1Uw7-A9f9R21vMXxHZFNpYNeKFtG8_yji4HS352LGlSQ/edit?pli=1#gid=0"",""1_ACUM!A4:S""),13,FALSE))"),"")</f>
        <v/>
      </c>
      <c r="AD777" s="43" t="str">
        <f ca="1">IFERROR(__xludf.DUMMYFUNCTION("IFERROR(VLOOKUP(E800&amp;F800,IMPORTRANGE(""https://docs.google.com/spreadsheets/d/1Uw7-A9f9R21vMXxHZFNpYNeKFtG8_yji4HS352LGlSQ/edit?pli=1#gid=0"",""1_ACUM!A4:S""),13,FALSE))"),"")</f>
        <v/>
      </c>
      <c r="AE777" s="43" t="str">
        <f ca="1">IFERROR(__xludf.DUMMYFUNCTION("IFERROR(VLOOKUP(E800&amp;F800,IMPORTRANGE(""https://docs.google.com/spreadsheets/d/1Uw7-A9f9R21vMXxHZFNpYNeKFtG8_yji4HS352LGlSQ/edit?pli=1#gid=0"",""1_ACUM!A4:S""),14,FALSE))"),"")</f>
        <v/>
      </c>
      <c r="AF777" s="43" t="str">
        <f ca="1">IFERROR(__xludf.DUMMYFUNCTION("IFERROR(VLOOKUP(E800&amp;F800,IMPORTRANGE(""https://docs.google.com/spreadsheets/d/1Uw7-A9f9R21vMXxHZFNpYNeKFtG8_yji4HS352LGlSQ/edit?pli=1#gid=0"",""1_ACUM!A4:S""),15,FALSE))"),"")</f>
        <v/>
      </c>
      <c r="AG777" s="43" t="str">
        <f ca="1">IFERROR(__xludf.DUMMYFUNCTION("IFERROR(VLOOKUP(E800&amp;F800,IMPORTRANGE(""https://docs.google.com/spreadsheets/d/1Uw7-A9f9R21vMXxHZFNpYNeKFtG8_yji4HS352LGlSQ/edit?pli=1#gid=0"",""1_ACUM!A4:S""),16,FALSE))"),"")</f>
        <v/>
      </c>
      <c r="AH777" s="43" t="str">
        <f ca="1">IFERROR(__xludf.DUMMYFUNCTION("IFERROR(VLOOKUP(E800&amp;F800,IMPORTRANGE(""https://docs.google.com/spreadsheets/d/1Uw7-A9f9R21vMXxHZFNpYNeKFtG8_yji4HS352LGlSQ/edit?pli=1#gid=0"",""1_ACUM!A4:S""),17,FALSE))"),"")</f>
        <v/>
      </c>
      <c r="AI777" s="44" t="str">
        <f ca="1">IFERROR(__xludf.DUMMYFUNCTION("IFERROR(VLOOKUP(E800&amp;F800,IMPORTRANGE(""https://docs.google.com/spreadsheets/d/1Uw7-A9f9R21vMXxHZFNpYNeKFtG8_yji4HS352LGlSQ/edit?pli=1#gid=0"",""1_ACUM!A4:S""),18,FALSE))"),"")</f>
        <v/>
      </c>
      <c r="AJ777" s="44" t="str">
        <f ca="1">IFERROR(__xludf.DUMMYFUNCTION("IFERROR(VLOOKUP(E800&amp;F800,IMPORTRANGE(""https://docs.google.com/spreadsheets/d/1Uw7-A9f9R21vMXxHZFNpYNeKFtG8_yji4HS352LGlSQ/edit?pli=1#gid=0"",""1_ACUM!A4:S""),19,FALSE))"),"")</f>
        <v/>
      </c>
      <c r="AK777" s="98" t="str">
        <f ca="1">IFERROR(__xludf.DUMMYFUNCTION("IFERROR(VLOOKUP(F800,IMPORTRANGE(""https://docs.google.com/spreadsheets/d/1Kvs4KS76FHFqLFIZfrDMff4kP08nblUkihrxltoGBjg/edit#gid=934712705"",""ESENCIAL!A6:BG""),5,FALSE))"),"")</f>
        <v/>
      </c>
      <c r="AL777" s="98" t="str">
        <f t="shared" si="48"/>
        <v/>
      </c>
      <c r="AM777" s="99" t="str">
        <f t="shared" si="49"/>
        <v/>
      </c>
      <c r="AN777" s="100" t="str">
        <f ca="1">IFERROR(__xludf.DUMMYFUNCTION("IFERROR(VLOOKUP(F800,IMPORTRANGE(""https://docs.google.com/spreadsheets/d/1Kvs4KS76FHFqLFIZfrDMff4kP08nblUkihrxltoGBjg/edit#gid=934712705"",""ESENCIAL!A6:BG""),2,FALSE))"),"")</f>
        <v/>
      </c>
      <c r="AO777" s="19" t="str">
        <f t="shared" si="46"/>
        <v/>
      </c>
      <c r="AP777" s="100"/>
      <c r="AQ777" s="100"/>
    </row>
    <row r="778" spans="1:43" ht="15">
      <c r="A778" s="5"/>
      <c r="B778" s="5"/>
      <c r="G778" s="5" t="str">
        <f ca="1">IFERROR(__xludf.DUMMYFUNCTION("IFERROR(VLOOKUP(F801,IMPORTRANGE(""https://docs.google.com/spreadsheets/d/1Kvs4KS76FHFqLFIZfrDMff4kP08nblUkihrxltoGBjg/edit#gid=934712705"",""ESENCIAL!A6:BG""),3,FALSE))"),"")</f>
        <v/>
      </c>
      <c r="H778" s="5" t="str">
        <f ca="1">IFERROR(__xludf.DUMMYFUNCTION("IFERROR(VLOOKUP(F801,IMPORTRANGE(""https://docs.google.com/spreadsheets/d/1Kvs4KS76FHFqLFIZfrDMff4kP08nblUkihrxltoGBjg/edit#gid=934712705"",""ESENCIAL!A6:BG""),8,FALSE))"),"")</f>
        <v/>
      </c>
      <c r="L778" s="40"/>
      <c r="Z778" s="41" t="str">
        <f t="shared" si="47"/>
        <v/>
      </c>
      <c r="AA778" s="5" t="str">
        <f ca="1">IFERROR(__xludf.DUMMYFUNCTION("IFERROR(VLOOKUP(E801&amp;F801,IMPORTRANGE(""https://docs.google.com/spreadsheets/d/1Uw7-A9f9R21vMXxHZFNpYNeKFtG8_yji4HS352LGlSQ/edit?pli=1#gid=0"",""1_ACUM!A4:S""),11,FALSE))"),"")</f>
        <v/>
      </c>
      <c r="AB778" s="42" t="str">
        <f ca="1">IFERROR(__xludf.DUMMYFUNCTION("IFERROR(VLOOKUP(F801,IMPORTRANGE(""https://docs.google.com/spreadsheets/d/1Kvs4KS76FHFqLFIZfrDMff4kP08nblUkihrxltoGBjg/edit#gid=934712705"",""ESENCIAL!A6:BG""),15,FALSE))"),"")</f>
        <v/>
      </c>
      <c r="AC778" s="110" t="str">
        <f ca="1">IFERROR(__xludf.DUMMYFUNCTION("IFERROR(VLOOKUP(E801&amp;F801,IMPORTRANGE(""https://docs.google.com/spreadsheets/d/1Uw7-A9f9R21vMXxHZFNpYNeKFtG8_yji4HS352LGlSQ/edit?pli=1#gid=0"",""1_ACUM!A4:S""),13,FALSE))"),"")</f>
        <v/>
      </c>
      <c r="AD778" s="43" t="str">
        <f ca="1">IFERROR(__xludf.DUMMYFUNCTION("IFERROR(VLOOKUP(E801&amp;F801,IMPORTRANGE(""https://docs.google.com/spreadsheets/d/1Uw7-A9f9R21vMXxHZFNpYNeKFtG8_yji4HS352LGlSQ/edit?pli=1#gid=0"",""1_ACUM!A4:S""),13,FALSE))"),"")</f>
        <v/>
      </c>
      <c r="AE778" s="43" t="str">
        <f ca="1">IFERROR(__xludf.DUMMYFUNCTION("IFERROR(VLOOKUP(E801&amp;F801,IMPORTRANGE(""https://docs.google.com/spreadsheets/d/1Uw7-A9f9R21vMXxHZFNpYNeKFtG8_yji4HS352LGlSQ/edit?pli=1#gid=0"",""1_ACUM!A4:S""),14,FALSE))"),"")</f>
        <v/>
      </c>
      <c r="AF778" s="43" t="str">
        <f ca="1">IFERROR(__xludf.DUMMYFUNCTION("IFERROR(VLOOKUP(E801&amp;F801,IMPORTRANGE(""https://docs.google.com/spreadsheets/d/1Uw7-A9f9R21vMXxHZFNpYNeKFtG8_yji4HS352LGlSQ/edit?pli=1#gid=0"",""1_ACUM!A4:S""),15,FALSE))"),"")</f>
        <v/>
      </c>
      <c r="AG778" s="43" t="str">
        <f ca="1">IFERROR(__xludf.DUMMYFUNCTION("IFERROR(VLOOKUP(E801&amp;F801,IMPORTRANGE(""https://docs.google.com/spreadsheets/d/1Uw7-A9f9R21vMXxHZFNpYNeKFtG8_yji4HS352LGlSQ/edit?pli=1#gid=0"",""1_ACUM!A4:S""),16,FALSE))"),"")</f>
        <v/>
      </c>
      <c r="AH778" s="43" t="str">
        <f ca="1">IFERROR(__xludf.DUMMYFUNCTION("IFERROR(VLOOKUP(E801&amp;F801,IMPORTRANGE(""https://docs.google.com/spreadsheets/d/1Uw7-A9f9R21vMXxHZFNpYNeKFtG8_yji4HS352LGlSQ/edit?pli=1#gid=0"",""1_ACUM!A4:S""),17,FALSE))"),"")</f>
        <v/>
      </c>
      <c r="AI778" s="44" t="str">
        <f ca="1">IFERROR(__xludf.DUMMYFUNCTION("IFERROR(VLOOKUP(E801&amp;F801,IMPORTRANGE(""https://docs.google.com/spreadsheets/d/1Uw7-A9f9R21vMXxHZFNpYNeKFtG8_yji4HS352LGlSQ/edit?pli=1#gid=0"",""1_ACUM!A4:S""),18,FALSE))"),"")</f>
        <v/>
      </c>
      <c r="AJ778" s="44" t="str">
        <f ca="1">IFERROR(__xludf.DUMMYFUNCTION("IFERROR(VLOOKUP(E801&amp;F801,IMPORTRANGE(""https://docs.google.com/spreadsheets/d/1Uw7-A9f9R21vMXxHZFNpYNeKFtG8_yji4HS352LGlSQ/edit?pli=1#gid=0"",""1_ACUM!A4:S""),19,FALSE))"),"")</f>
        <v/>
      </c>
      <c r="AK778" s="98" t="str">
        <f ca="1">IFERROR(__xludf.DUMMYFUNCTION("IFERROR(VLOOKUP(F801,IMPORTRANGE(""https://docs.google.com/spreadsheets/d/1Kvs4KS76FHFqLFIZfrDMff4kP08nblUkihrxltoGBjg/edit#gid=934712705"",""ESENCIAL!A6:BG""),5,FALSE))"),"")</f>
        <v/>
      </c>
      <c r="AL778" s="98" t="str">
        <f t="shared" si="48"/>
        <v/>
      </c>
      <c r="AM778" s="99" t="str">
        <f t="shared" si="49"/>
        <v/>
      </c>
      <c r="AN778" s="100" t="str">
        <f ca="1">IFERROR(__xludf.DUMMYFUNCTION("IFERROR(VLOOKUP(F801,IMPORTRANGE(""https://docs.google.com/spreadsheets/d/1Kvs4KS76FHFqLFIZfrDMff4kP08nblUkihrxltoGBjg/edit#gid=934712705"",""ESENCIAL!A6:BG""),2,FALSE))"),"")</f>
        <v/>
      </c>
      <c r="AO778" s="19" t="str">
        <f t="shared" si="46"/>
        <v/>
      </c>
      <c r="AP778" s="100"/>
      <c r="AQ778" s="100"/>
    </row>
    <row r="779" spans="1:43" ht="15">
      <c r="A779" s="5"/>
      <c r="B779" s="5"/>
      <c r="G779" s="5" t="str">
        <f ca="1">IFERROR(__xludf.DUMMYFUNCTION("IFERROR(VLOOKUP(F802,IMPORTRANGE(""https://docs.google.com/spreadsheets/d/1Kvs4KS76FHFqLFIZfrDMff4kP08nblUkihrxltoGBjg/edit#gid=934712705"",""ESENCIAL!A6:BG""),3,FALSE))"),"")</f>
        <v/>
      </c>
      <c r="H779" s="5" t="str">
        <f ca="1">IFERROR(__xludf.DUMMYFUNCTION("IFERROR(VLOOKUP(F802,IMPORTRANGE(""https://docs.google.com/spreadsheets/d/1Kvs4KS76FHFqLFIZfrDMff4kP08nblUkihrxltoGBjg/edit#gid=934712705"",""ESENCIAL!A6:BG""),8,FALSE))"),"")</f>
        <v/>
      </c>
      <c r="L779" s="40"/>
      <c r="Z779" s="41" t="str">
        <f t="shared" si="47"/>
        <v/>
      </c>
      <c r="AA779" s="5" t="str">
        <f ca="1">IFERROR(__xludf.DUMMYFUNCTION("IFERROR(VLOOKUP(E802&amp;F802,IMPORTRANGE(""https://docs.google.com/spreadsheets/d/1Uw7-A9f9R21vMXxHZFNpYNeKFtG8_yji4HS352LGlSQ/edit?pli=1#gid=0"",""1_ACUM!A4:S""),11,FALSE))"),"")</f>
        <v/>
      </c>
      <c r="AB779" s="42" t="str">
        <f ca="1">IFERROR(__xludf.DUMMYFUNCTION("IFERROR(VLOOKUP(F802,IMPORTRANGE(""https://docs.google.com/spreadsheets/d/1Kvs4KS76FHFqLFIZfrDMff4kP08nblUkihrxltoGBjg/edit#gid=934712705"",""ESENCIAL!A6:BG""),15,FALSE))"),"")</f>
        <v/>
      </c>
      <c r="AC779" s="110" t="str">
        <f ca="1">IFERROR(__xludf.DUMMYFUNCTION("IFERROR(VLOOKUP(E802&amp;F802,IMPORTRANGE(""https://docs.google.com/spreadsheets/d/1Uw7-A9f9R21vMXxHZFNpYNeKFtG8_yji4HS352LGlSQ/edit?pli=1#gid=0"",""1_ACUM!A4:S""),13,FALSE))"),"")</f>
        <v/>
      </c>
      <c r="AD779" s="43" t="str">
        <f ca="1">IFERROR(__xludf.DUMMYFUNCTION("IFERROR(VLOOKUP(E802&amp;F802,IMPORTRANGE(""https://docs.google.com/spreadsheets/d/1Uw7-A9f9R21vMXxHZFNpYNeKFtG8_yji4HS352LGlSQ/edit?pli=1#gid=0"",""1_ACUM!A4:S""),13,FALSE))"),"")</f>
        <v/>
      </c>
      <c r="AE779" s="43" t="str">
        <f ca="1">IFERROR(__xludf.DUMMYFUNCTION("IFERROR(VLOOKUP(E802&amp;F802,IMPORTRANGE(""https://docs.google.com/spreadsheets/d/1Uw7-A9f9R21vMXxHZFNpYNeKFtG8_yji4HS352LGlSQ/edit?pli=1#gid=0"",""1_ACUM!A4:S""),14,FALSE))"),"")</f>
        <v/>
      </c>
      <c r="AF779" s="43" t="str">
        <f ca="1">IFERROR(__xludf.DUMMYFUNCTION("IFERROR(VLOOKUP(E802&amp;F802,IMPORTRANGE(""https://docs.google.com/spreadsheets/d/1Uw7-A9f9R21vMXxHZFNpYNeKFtG8_yji4HS352LGlSQ/edit?pli=1#gid=0"",""1_ACUM!A4:S""),15,FALSE))"),"")</f>
        <v/>
      </c>
      <c r="AG779" s="43" t="str">
        <f ca="1">IFERROR(__xludf.DUMMYFUNCTION("IFERROR(VLOOKUP(E802&amp;F802,IMPORTRANGE(""https://docs.google.com/spreadsheets/d/1Uw7-A9f9R21vMXxHZFNpYNeKFtG8_yji4HS352LGlSQ/edit?pli=1#gid=0"",""1_ACUM!A4:S""),16,FALSE))"),"")</f>
        <v/>
      </c>
      <c r="AH779" s="43" t="str">
        <f ca="1">IFERROR(__xludf.DUMMYFUNCTION("IFERROR(VLOOKUP(E802&amp;F802,IMPORTRANGE(""https://docs.google.com/spreadsheets/d/1Uw7-A9f9R21vMXxHZFNpYNeKFtG8_yji4HS352LGlSQ/edit?pli=1#gid=0"",""1_ACUM!A4:S""),17,FALSE))"),"")</f>
        <v/>
      </c>
      <c r="AI779" s="44" t="str">
        <f ca="1">IFERROR(__xludf.DUMMYFUNCTION("IFERROR(VLOOKUP(E802&amp;F802,IMPORTRANGE(""https://docs.google.com/spreadsheets/d/1Uw7-A9f9R21vMXxHZFNpYNeKFtG8_yji4HS352LGlSQ/edit?pli=1#gid=0"",""1_ACUM!A4:S""),18,FALSE))"),"")</f>
        <v/>
      </c>
      <c r="AJ779" s="44" t="str">
        <f ca="1">IFERROR(__xludf.DUMMYFUNCTION("IFERROR(VLOOKUP(E802&amp;F802,IMPORTRANGE(""https://docs.google.com/spreadsheets/d/1Uw7-A9f9R21vMXxHZFNpYNeKFtG8_yji4HS352LGlSQ/edit?pli=1#gid=0"",""1_ACUM!A4:S""),19,FALSE))"),"")</f>
        <v/>
      </c>
      <c r="AK779" s="98" t="str">
        <f ca="1">IFERROR(__xludf.DUMMYFUNCTION("IFERROR(VLOOKUP(F802,IMPORTRANGE(""https://docs.google.com/spreadsheets/d/1Kvs4KS76FHFqLFIZfrDMff4kP08nblUkihrxltoGBjg/edit#gid=934712705"",""ESENCIAL!A6:BG""),5,FALSE))"),"")</f>
        <v/>
      </c>
      <c r="AL779" s="98" t="str">
        <f t="shared" si="48"/>
        <v/>
      </c>
      <c r="AM779" s="99" t="str">
        <f t="shared" si="49"/>
        <v/>
      </c>
      <c r="AN779" s="100" t="str">
        <f ca="1">IFERROR(__xludf.DUMMYFUNCTION("IFERROR(VLOOKUP(F802,IMPORTRANGE(""https://docs.google.com/spreadsheets/d/1Kvs4KS76FHFqLFIZfrDMff4kP08nblUkihrxltoGBjg/edit#gid=934712705"",""ESENCIAL!A6:BG""),2,FALSE))"),"")</f>
        <v/>
      </c>
      <c r="AO779" s="19" t="str">
        <f t="shared" si="46"/>
        <v/>
      </c>
      <c r="AP779" s="100"/>
      <c r="AQ779" s="100"/>
    </row>
    <row r="780" spans="1:43" ht="15">
      <c r="A780" s="5"/>
      <c r="B780" s="5"/>
      <c r="G780" s="5" t="str">
        <f ca="1">IFERROR(__xludf.DUMMYFUNCTION("IFERROR(VLOOKUP(F803,IMPORTRANGE(""https://docs.google.com/spreadsheets/d/1Kvs4KS76FHFqLFIZfrDMff4kP08nblUkihrxltoGBjg/edit#gid=934712705"",""ESENCIAL!A6:BG""),3,FALSE))"),"")</f>
        <v/>
      </c>
      <c r="H780" s="5" t="str">
        <f ca="1">IFERROR(__xludf.DUMMYFUNCTION("IFERROR(VLOOKUP(F803,IMPORTRANGE(""https://docs.google.com/spreadsheets/d/1Kvs4KS76FHFqLFIZfrDMff4kP08nblUkihrxltoGBjg/edit#gid=934712705"",""ESENCIAL!A6:BG""),8,FALSE))"),"")</f>
        <v/>
      </c>
      <c r="L780" s="40"/>
      <c r="Z780" s="41" t="str">
        <f t="shared" si="47"/>
        <v/>
      </c>
      <c r="AA780" s="5" t="str">
        <f ca="1">IFERROR(__xludf.DUMMYFUNCTION("IFERROR(VLOOKUP(E803&amp;F803,IMPORTRANGE(""https://docs.google.com/spreadsheets/d/1Uw7-A9f9R21vMXxHZFNpYNeKFtG8_yji4HS352LGlSQ/edit?pli=1#gid=0"",""1_ACUM!A4:S""),11,FALSE))"),"")</f>
        <v/>
      </c>
      <c r="AB780" s="42" t="str">
        <f ca="1">IFERROR(__xludf.DUMMYFUNCTION("IFERROR(VLOOKUP(F803,IMPORTRANGE(""https://docs.google.com/spreadsheets/d/1Kvs4KS76FHFqLFIZfrDMff4kP08nblUkihrxltoGBjg/edit#gid=934712705"",""ESENCIAL!A6:BG""),15,FALSE))"),"")</f>
        <v/>
      </c>
      <c r="AC780" s="110" t="str">
        <f ca="1">IFERROR(__xludf.DUMMYFUNCTION("IFERROR(VLOOKUP(E803&amp;F803,IMPORTRANGE(""https://docs.google.com/spreadsheets/d/1Uw7-A9f9R21vMXxHZFNpYNeKFtG8_yji4HS352LGlSQ/edit?pli=1#gid=0"",""1_ACUM!A4:S""),13,FALSE))"),"")</f>
        <v/>
      </c>
      <c r="AD780" s="43" t="str">
        <f ca="1">IFERROR(__xludf.DUMMYFUNCTION("IFERROR(VLOOKUP(E803&amp;F803,IMPORTRANGE(""https://docs.google.com/spreadsheets/d/1Uw7-A9f9R21vMXxHZFNpYNeKFtG8_yji4HS352LGlSQ/edit?pli=1#gid=0"",""1_ACUM!A4:S""),13,FALSE))"),"")</f>
        <v/>
      </c>
      <c r="AE780" s="43" t="str">
        <f ca="1">IFERROR(__xludf.DUMMYFUNCTION("IFERROR(VLOOKUP(E803&amp;F803,IMPORTRANGE(""https://docs.google.com/spreadsheets/d/1Uw7-A9f9R21vMXxHZFNpYNeKFtG8_yji4HS352LGlSQ/edit?pli=1#gid=0"",""1_ACUM!A4:S""),14,FALSE))"),"")</f>
        <v/>
      </c>
      <c r="AF780" s="43" t="str">
        <f ca="1">IFERROR(__xludf.DUMMYFUNCTION("IFERROR(VLOOKUP(E803&amp;F803,IMPORTRANGE(""https://docs.google.com/spreadsheets/d/1Uw7-A9f9R21vMXxHZFNpYNeKFtG8_yji4HS352LGlSQ/edit?pli=1#gid=0"",""1_ACUM!A4:S""),15,FALSE))"),"")</f>
        <v/>
      </c>
      <c r="AG780" s="43" t="str">
        <f ca="1">IFERROR(__xludf.DUMMYFUNCTION("IFERROR(VLOOKUP(E803&amp;F803,IMPORTRANGE(""https://docs.google.com/spreadsheets/d/1Uw7-A9f9R21vMXxHZFNpYNeKFtG8_yji4HS352LGlSQ/edit?pli=1#gid=0"",""1_ACUM!A4:S""),16,FALSE))"),"")</f>
        <v/>
      </c>
      <c r="AH780" s="43" t="str">
        <f ca="1">IFERROR(__xludf.DUMMYFUNCTION("IFERROR(VLOOKUP(E803&amp;F803,IMPORTRANGE(""https://docs.google.com/spreadsheets/d/1Uw7-A9f9R21vMXxHZFNpYNeKFtG8_yji4HS352LGlSQ/edit?pli=1#gid=0"",""1_ACUM!A4:S""),17,FALSE))"),"")</f>
        <v/>
      </c>
      <c r="AI780" s="44" t="str">
        <f ca="1">IFERROR(__xludf.DUMMYFUNCTION("IFERROR(VLOOKUP(E803&amp;F803,IMPORTRANGE(""https://docs.google.com/spreadsheets/d/1Uw7-A9f9R21vMXxHZFNpYNeKFtG8_yji4HS352LGlSQ/edit?pli=1#gid=0"",""1_ACUM!A4:S""),18,FALSE))"),"")</f>
        <v/>
      </c>
      <c r="AJ780" s="44" t="str">
        <f ca="1">IFERROR(__xludf.DUMMYFUNCTION("IFERROR(VLOOKUP(E803&amp;F803,IMPORTRANGE(""https://docs.google.com/spreadsheets/d/1Uw7-A9f9R21vMXxHZFNpYNeKFtG8_yji4HS352LGlSQ/edit?pli=1#gid=0"",""1_ACUM!A4:S""),19,FALSE))"),"")</f>
        <v/>
      </c>
      <c r="AK780" s="98" t="str">
        <f ca="1">IFERROR(__xludf.DUMMYFUNCTION("IFERROR(VLOOKUP(F803,IMPORTRANGE(""https://docs.google.com/spreadsheets/d/1Kvs4KS76FHFqLFIZfrDMff4kP08nblUkihrxltoGBjg/edit#gid=934712705"",""ESENCIAL!A6:BG""),5,FALSE))"),"")</f>
        <v/>
      </c>
      <c r="AL780" s="98" t="str">
        <f t="shared" si="48"/>
        <v/>
      </c>
      <c r="AM780" s="99" t="str">
        <f t="shared" si="49"/>
        <v/>
      </c>
      <c r="AN780" s="100" t="str">
        <f ca="1">IFERROR(__xludf.DUMMYFUNCTION("IFERROR(VLOOKUP(F803,IMPORTRANGE(""https://docs.google.com/spreadsheets/d/1Kvs4KS76FHFqLFIZfrDMff4kP08nblUkihrxltoGBjg/edit#gid=934712705"",""ESENCIAL!A6:BG""),2,FALSE))"),"")</f>
        <v/>
      </c>
      <c r="AO780" s="19" t="str">
        <f t="shared" si="46"/>
        <v/>
      </c>
      <c r="AP780" s="100"/>
      <c r="AQ780" s="100"/>
    </row>
    <row r="781" spans="1:43" ht="15">
      <c r="A781" s="5"/>
      <c r="B781" s="5"/>
      <c r="G781" s="5" t="str">
        <f ca="1">IFERROR(__xludf.DUMMYFUNCTION("IFERROR(VLOOKUP(F804,IMPORTRANGE(""https://docs.google.com/spreadsheets/d/1Kvs4KS76FHFqLFIZfrDMff4kP08nblUkihrxltoGBjg/edit#gid=934712705"",""ESENCIAL!A6:BG""),3,FALSE))"),"")</f>
        <v/>
      </c>
      <c r="H781" s="5" t="str">
        <f ca="1">IFERROR(__xludf.DUMMYFUNCTION("IFERROR(VLOOKUP(F804,IMPORTRANGE(""https://docs.google.com/spreadsheets/d/1Kvs4KS76FHFqLFIZfrDMff4kP08nblUkihrxltoGBjg/edit#gid=934712705"",""ESENCIAL!A6:BG""),8,FALSE))"),"")</f>
        <v/>
      </c>
      <c r="L781" s="40"/>
      <c r="Z781" s="41" t="str">
        <f t="shared" si="47"/>
        <v/>
      </c>
      <c r="AA781" s="5" t="str">
        <f ca="1">IFERROR(__xludf.DUMMYFUNCTION("IFERROR(VLOOKUP(E804&amp;F804,IMPORTRANGE(""https://docs.google.com/spreadsheets/d/1Uw7-A9f9R21vMXxHZFNpYNeKFtG8_yji4HS352LGlSQ/edit?pli=1#gid=0"",""1_ACUM!A4:S""),11,FALSE))"),"")</f>
        <v/>
      </c>
      <c r="AB781" s="42" t="str">
        <f ca="1">IFERROR(__xludf.DUMMYFUNCTION("IFERROR(VLOOKUP(F804,IMPORTRANGE(""https://docs.google.com/spreadsheets/d/1Kvs4KS76FHFqLFIZfrDMff4kP08nblUkihrxltoGBjg/edit#gid=934712705"",""ESENCIAL!A6:BG""),15,FALSE))"),"")</f>
        <v/>
      </c>
      <c r="AC781" s="110" t="str">
        <f ca="1">IFERROR(__xludf.DUMMYFUNCTION("IFERROR(VLOOKUP(E804&amp;F804,IMPORTRANGE(""https://docs.google.com/spreadsheets/d/1Uw7-A9f9R21vMXxHZFNpYNeKFtG8_yji4HS352LGlSQ/edit?pli=1#gid=0"",""1_ACUM!A4:S""),13,FALSE))"),"")</f>
        <v/>
      </c>
      <c r="AD781" s="43" t="str">
        <f ca="1">IFERROR(__xludf.DUMMYFUNCTION("IFERROR(VLOOKUP(E804&amp;F804,IMPORTRANGE(""https://docs.google.com/spreadsheets/d/1Uw7-A9f9R21vMXxHZFNpYNeKFtG8_yji4HS352LGlSQ/edit?pli=1#gid=0"",""1_ACUM!A4:S""),13,FALSE))"),"")</f>
        <v/>
      </c>
      <c r="AE781" s="43" t="str">
        <f ca="1">IFERROR(__xludf.DUMMYFUNCTION("IFERROR(VLOOKUP(E804&amp;F804,IMPORTRANGE(""https://docs.google.com/spreadsheets/d/1Uw7-A9f9R21vMXxHZFNpYNeKFtG8_yji4HS352LGlSQ/edit?pli=1#gid=0"",""1_ACUM!A4:S""),14,FALSE))"),"")</f>
        <v/>
      </c>
      <c r="AF781" s="43" t="str">
        <f ca="1">IFERROR(__xludf.DUMMYFUNCTION("IFERROR(VLOOKUP(E804&amp;F804,IMPORTRANGE(""https://docs.google.com/spreadsheets/d/1Uw7-A9f9R21vMXxHZFNpYNeKFtG8_yji4HS352LGlSQ/edit?pli=1#gid=0"",""1_ACUM!A4:S""),15,FALSE))"),"")</f>
        <v/>
      </c>
      <c r="AG781" s="43" t="str">
        <f ca="1">IFERROR(__xludf.DUMMYFUNCTION("IFERROR(VLOOKUP(E804&amp;F804,IMPORTRANGE(""https://docs.google.com/spreadsheets/d/1Uw7-A9f9R21vMXxHZFNpYNeKFtG8_yji4HS352LGlSQ/edit?pli=1#gid=0"",""1_ACUM!A4:S""),16,FALSE))"),"")</f>
        <v/>
      </c>
      <c r="AH781" s="43" t="str">
        <f ca="1">IFERROR(__xludf.DUMMYFUNCTION("IFERROR(VLOOKUP(E804&amp;F804,IMPORTRANGE(""https://docs.google.com/spreadsheets/d/1Uw7-A9f9R21vMXxHZFNpYNeKFtG8_yji4HS352LGlSQ/edit?pli=1#gid=0"",""1_ACUM!A4:S""),17,FALSE))"),"")</f>
        <v/>
      </c>
      <c r="AI781" s="44" t="str">
        <f ca="1">IFERROR(__xludf.DUMMYFUNCTION("IFERROR(VLOOKUP(E804&amp;F804,IMPORTRANGE(""https://docs.google.com/spreadsheets/d/1Uw7-A9f9R21vMXxHZFNpYNeKFtG8_yji4HS352LGlSQ/edit?pli=1#gid=0"",""1_ACUM!A4:S""),18,FALSE))"),"")</f>
        <v/>
      </c>
      <c r="AJ781" s="44" t="str">
        <f ca="1">IFERROR(__xludf.DUMMYFUNCTION("IFERROR(VLOOKUP(E804&amp;F804,IMPORTRANGE(""https://docs.google.com/spreadsheets/d/1Uw7-A9f9R21vMXxHZFNpYNeKFtG8_yji4HS352LGlSQ/edit?pli=1#gid=0"",""1_ACUM!A4:S""),19,FALSE))"),"")</f>
        <v/>
      </c>
      <c r="AK781" s="98" t="str">
        <f ca="1">IFERROR(__xludf.DUMMYFUNCTION("IFERROR(VLOOKUP(F804,IMPORTRANGE(""https://docs.google.com/spreadsheets/d/1Kvs4KS76FHFqLFIZfrDMff4kP08nblUkihrxltoGBjg/edit#gid=934712705"",""ESENCIAL!A6:BG""),5,FALSE))"),"")</f>
        <v/>
      </c>
      <c r="AL781" s="98" t="str">
        <f t="shared" si="48"/>
        <v/>
      </c>
      <c r="AM781" s="99" t="str">
        <f t="shared" si="49"/>
        <v/>
      </c>
      <c r="AN781" s="100" t="str">
        <f ca="1">IFERROR(__xludf.DUMMYFUNCTION("IFERROR(VLOOKUP(F804,IMPORTRANGE(""https://docs.google.com/spreadsheets/d/1Kvs4KS76FHFqLFIZfrDMff4kP08nblUkihrxltoGBjg/edit#gid=934712705"",""ESENCIAL!A6:BG""),2,FALSE))"),"")</f>
        <v/>
      </c>
      <c r="AO781" s="19" t="str">
        <f t="shared" si="46"/>
        <v/>
      </c>
      <c r="AP781" s="100"/>
      <c r="AQ781" s="100"/>
    </row>
    <row r="782" spans="1:43" ht="15">
      <c r="A782" s="5"/>
      <c r="B782" s="5"/>
      <c r="G782" s="5" t="str">
        <f ca="1">IFERROR(__xludf.DUMMYFUNCTION("IFERROR(VLOOKUP(F805,IMPORTRANGE(""https://docs.google.com/spreadsheets/d/1Kvs4KS76FHFqLFIZfrDMff4kP08nblUkihrxltoGBjg/edit#gid=934712705"",""ESENCIAL!A6:BG""),3,FALSE))"),"")</f>
        <v/>
      </c>
      <c r="H782" s="5" t="str">
        <f ca="1">IFERROR(__xludf.DUMMYFUNCTION("IFERROR(VLOOKUP(F805,IMPORTRANGE(""https://docs.google.com/spreadsheets/d/1Kvs4KS76FHFqLFIZfrDMff4kP08nblUkihrxltoGBjg/edit#gid=934712705"",""ESENCIAL!A6:BG""),8,FALSE))"),"")</f>
        <v/>
      </c>
      <c r="L782" s="40"/>
      <c r="Z782" s="41" t="str">
        <f t="shared" si="47"/>
        <v/>
      </c>
      <c r="AA782" s="5" t="str">
        <f ca="1">IFERROR(__xludf.DUMMYFUNCTION("IFERROR(VLOOKUP(E805&amp;F805,IMPORTRANGE(""https://docs.google.com/spreadsheets/d/1Uw7-A9f9R21vMXxHZFNpYNeKFtG8_yji4HS352LGlSQ/edit?pli=1#gid=0"",""1_ACUM!A4:S""),11,FALSE))"),"")</f>
        <v/>
      </c>
      <c r="AB782" s="42" t="str">
        <f ca="1">IFERROR(__xludf.DUMMYFUNCTION("IFERROR(VLOOKUP(F805,IMPORTRANGE(""https://docs.google.com/spreadsheets/d/1Kvs4KS76FHFqLFIZfrDMff4kP08nblUkihrxltoGBjg/edit#gid=934712705"",""ESENCIAL!A6:BG""),15,FALSE))"),"")</f>
        <v/>
      </c>
      <c r="AC782" s="110" t="str">
        <f ca="1">IFERROR(__xludf.DUMMYFUNCTION("IFERROR(VLOOKUP(E805&amp;F805,IMPORTRANGE(""https://docs.google.com/spreadsheets/d/1Uw7-A9f9R21vMXxHZFNpYNeKFtG8_yji4HS352LGlSQ/edit?pli=1#gid=0"",""1_ACUM!A4:S""),13,FALSE))"),"")</f>
        <v/>
      </c>
      <c r="AD782" s="43" t="str">
        <f ca="1">IFERROR(__xludf.DUMMYFUNCTION("IFERROR(VLOOKUP(E805&amp;F805,IMPORTRANGE(""https://docs.google.com/spreadsheets/d/1Uw7-A9f9R21vMXxHZFNpYNeKFtG8_yji4HS352LGlSQ/edit?pli=1#gid=0"",""1_ACUM!A4:S""),13,FALSE))"),"")</f>
        <v/>
      </c>
      <c r="AE782" s="43" t="str">
        <f ca="1">IFERROR(__xludf.DUMMYFUNCTION("IFERROR(VLOOKUP(E805&amp;F805,IMPORTRANGE(""https://docs.google.com/spreadsheets/d/1Uw7-A9f9R21vMXxHZFNpYNeKFtG8_yji4HS352LGlSQ/edit?pli=1#gid=0"",""1_ACUM!A4:S""),14,FALSE))"),"")</f>
        <v/>
      </c>
      <c r="AF782" s="43" t="str">
        <f ca="1">IFERROR(__xludf.DUMMYFUNCTION("IFERROR(VLOOKUP(E805&amp;F805,IMPORTRANGE(""https://docs.google.com/spreadsheets/d/1Uw7-A9f9R21vMXxHZFNpYNeKFtG8_yji4HS352LGlSQ/edit?pli=1#gid=0"",""1_ACUM!A4:S""),15,FALSE))"),"")</f>
        <v/>
      </c>
      <c r="AG782" s="43" t="str">
        <f ca="1">IFERROR(__xludf.DUMMYFUNCTION("IFERROR(VLOOKUP(E805&amp;F805,IMPORTRANGE(""https://docs.google.com/spreadsheets/d/1Uw7-A9f9R21vMXxHZFNpYNeKFtG8_yji4HS352LGlSQ/edit?pli=1#gid=0"",""1_ACUM!A4:S""),16,FALSE))"),"")</f>
        <v/>
      </c>
      <c r="AH782" s="43" t="str">
        <f ca="1">IFERROR(__xludf.DUMMYFUNCTION("IFERROR(VLOOKUP(E805&amp;F805,IMPORTRANGE(""https://docs.google.com/spreadsheets/d/1Uw7-A9f9R21vMXxHZFNpYNeKFtG8_yji4HS352LGlSQ/edit?pli=1#gid=0"",""1_ACUM!A4:S""),17,FALSE))"),"")</f>
        <v/>
      </c>
      <c r="AI782" s="44" t="str">
        <f ca="1">IFERROR(__xludf.DUMMYFUNCTION("IFERROR(VLOOKUP(E805&amp;F805,IMPORTRANGE(""https://docs.google.com/spreadsheets/d/1Uw7-A9f9R21vMXxHZFNpYNeKFtG8_yji4HS352LGlSQ/edit?pli=1#gid=0"",""1_ACUM!A4:S""),18,FALSE))"),"")</f>
        <v/>
      </c>
      <c r="AJ782" s="44" t="str">
        <f ca="1">IFERROR(__xludf.DUMMYFUNCTION("IFERROR(VLOOKUP(E805&amp;F805,IMPORTRANGE(""https://docs.google.com/spreadsheets/d/1Uw7-A9f9R21vMXxHZFNpYNeKFtG8_yji4HS352LGlSQ/edit?pli=1#gid=0"",""1_ACUM!A4:S""),19,FALSE))"),"")</f>
        <v/>
      </c>
      <c r="AK782" s="98" t="str">
        <f ca="1">IFERROR(__xludf.DUMMYFUNCTION("IFERROR(VLOOKUP(F805,IMPORTRANGE(""https://docs.google.com/spreadsheets/d/1Kvs4KS76FHFqLFIZfrDMff4kP08nblUkihrxltoGBjg/edit#gid=934712705"",""ESENCIAL!A6:BG""),5,FALSE))"),"")</f>
        <v/>
      </c>
      <c r="AL782" s="98" t="str">
        <f t="shared" si="48"/>
        <v/>
      </c>
      <c r="AM782" s="99" t="str">
        <f t="shared" si="49"/>
        <v/>
      </c>
      <c r="AN782" s="100" t="str">
        <f ca="1">IFERROR(__xludf.DUMMYFUNCTION("IFERROR(VLOOKUP(F805,IMPORTRANGE(""https://docs.google.com/spreadsheets/d/1Kvs4KS76FHFqLFIZfrDMff4kP08nblUkihrxltoGBjg/edit#gid=934712705"",""ESENCIAL!A6:BG""),2,FALSE))"),"")</f>
        <v/>
      </c>
      <c r="AO782" s="19" t="str">
        <f t="shared" si="46"/>
        <v/>
      </c>
      <c r="AP782" s="100"/>
      <c r="AQ782" s="100"/>
    </row>
    <row r="783" spans="1:43" ht="15">
      <c r="A783" s="5"/>
      <c r="B783" s="5"/>
      <c r="G783" s="5" t="str">
        <f ca="1">IFERROR(__xludf.DUMMYFUNCTION("IFERROR(VLOOKUP(F806,IMPORTRANGE(""https://docs.google.com/spreadsheets/d/1Kvs4KS76FHFqLFIZfrDMff4kP08nblUkihrxltoGBjg/edit#gid=934712705"",""ESENCIAL!A6:BG""),3,FALSE))"),"")</f>
        <v/>
      </c>
      <c r="H783" s="5" t="str">
        <f ca="1">IFERROR(__xludf.DUMMYFUNCTION("IFERROR(VLOOKUP(F806,IMPORTRANGE(""https://docs.google.com/spreadsheets/d/1Kvs4KS76FHFqLFIZfrDMff4kP08nblUkihrxltoGBjg/edit#gid=934712705"",""ESENCIAL!A6:BG""),8,FALSE))"),"")</f>
        <v/>
      </c>
      <c r="L783" s="40"/>
      <c r="Z783" s="41" t="str">
        <f t="shared" si="47"/>
        <v/>
      </c>
      <c r="AA783" s="5" t="str">
        <f ca="1">IFERROR(__xludf.DUMMYFUNCTION("IFERROR(VLOOKUP(E806&amp;F806,IMPORTRANGE(""https://docs.google.com/spreadsheets/d/1Uw7-A9f9R21vMXxHZFNpYNeKFtG8_yji4HS352LGlSQ/edit?pli=1#gid=0"",""1_ACUM!A4:S""),11,FALSE))"),"")</f>
        <v/>
      </c>
      <c r="AB783" s="42" t="str">
        <f ca="1">IFERROR(__xludf.DUMMYFUNCTION("IFERROR(VLOOKUP(F806,IMPORTRANGE(""https://docs.google.com/spreadsheets/d/1Kvs4KS76FHFqLFIZfrDMff4kP08nblUkihrxltoGBjg/edit#gid=934712705"",""ESENCIAL!A6:BG""),15,FALSE))"),"")</f>
        <v/>
      </c>
      <c r="AC783" s="110" t="str">
        <f ca="1">IFERROR(__xludf.DUMMYFUNCTION("IFERROR(VLOOKUP(E806&amp;F806,IMPORTRANGE(""https://docs.google.com/spreadsheets/d/1Uw7-A9f9R21vMXxHZFNpYNeKFtG8_yji4HS352LGlSQ/edit?pli=1#gid=0"",""1_ACUM!A4:S""),13,FALSE))"),"")</f>
        <v/>
      </c>
      <c r="AD783" s="43" t="str">
        <f ca="1">IFERROR(__xludf.DUMMYFUNCTION("IFERROR(VLOOKUP(E806&amp;F806,IMPORTRANGE(""https://docs.google.com/spreadsheets/d/1Uw7-A9f9R21vMXxHZFNpYNeKFtG8_yji4HS352LGlSQ/edit?pli=1#gid=0"",""1_ACUM!A4:S""),13,FALSE))"),"")</f>
        <v/>
      </c>
      <c r="AE783" s="43" t="str">
        <f ca="1">IFERROR(__xludf.DUMMYFUNCTION("IFERROR(VLOOKUP(E806&amp;F806,IMPORTRANGE(""https://docs.google.com/spreadsheets/d/1Uw7-A9f9R21vMXxHZFNpYNeKFtG8_yji4HS352LGlSQ/edit?pli=1#gid=0"",""1_ACUM!A4:S""),14,FALSE))"),"")</f>
        <v/>
      </c>
      <c r="AF783" s="43" t="str">
        <f ca="1">IFERROR(__xludf.DUMMYFUNCTION("IFERROR(VLOOKUP(E806&amp;F806,IMPORTRANGE(""https://docs.google.com/spreadsheets/d/1Uw7-A9f9R21vMXxHZFNpYNeKFtG8_yji4HS352LGlSQ/edit?pli=1#gid=0"",""1_ACUM!A4:S""),15,FALSE))"),"")</f>
        <v/>
      </c>
      <c r="AG783" s="43" t="str">
        <f ca="1">IFERROR(__xludf.DUMMYFUNCTION("IFERROR(VLOOKUP(E806&amp;F806,IMPORTRANGE(""https://docs.google.com/spreadsheets/d/1Uw7-A9f9R21vMXxHZFNpYNeKFtG8_yji4HS352LGlSQ/edit?pli=1#gid=0"",""1_ACUM!A4:S""),16,FALSE))"),"")</f>
        <v/>
      </c>
      <c r="AH783" s="43" t="str">
        <f ca="1">IFERROR(__xludf.DUMMYFUNCTION("IFERROR(VLOOKUP(E806&amp;F806,IMPORTRANGE(""https://docs.google.com/spreadsheets/d/1Uw7-A9f9R21vMXxHZFNpYNeKFtG8_yji4HS352LGlSQ/edit?pli=1#gid=0"",""1_ACUM!A4:S""),17,FALSE))"),"")</f>
        <v/>
      </c>
      <c r="AI783" s="44" t="str">
        <f ca="1">IFERROR(__xludf.DUMMYFUNCTION("IFERROR(VLOOKUP(E806&amp;F806,IMPORTRANGE(""https://docs.google.com/spreadsheets/d/1Uw7-A9f9R21vMXxHZFNpYNeKFtG8_yji4HS352LGlSQ/edit?pli=1#gid=0"",""1_ACUM!A4:S""),18,FALSE))"),"")</f>
        <v/>
      </c>
      <c r="AJ783" s="44" t="str">
        <f ca="1">IFERROR(__xludf.DUMMYFUNCTION("IFERROR(VLOOKUP(E806&amp;F806,IMPORTRANGE(""https://docs.google.com/spreadsheets/d/1Uw7-A9f9R21vMXxHZFNpYNeKFtG8_yji4HS352LGlSQ/edit?pli=1#gid=0"",""1_ACUM!A4:S""),19,FALSE))"),"")</f>
        <v/>
      </c>
      <c r="AK783" s="98" t="str">
        <f ca="1">IFERROR(__xludf.DUMMYFUNCTION("IFERROR(VLOOKUP(F806,IMPORTRANGE(""https://docs.google.com/spreadsheets/d/1Kvs4KS76FHFqLFIZfrDMff4kP08nblUkihrxltoGBjg/edit#gid=934712705"",""ESENCIAL!A6:BG""),5,FALSE))"),"")</f>
        <v/>
      </c>
      <c r="AL783" s="98" t="str">
        <f t="shared" si="48"/>
        <v/>
      </c>
      <c r="AM783" s="99" t="str">
        <f t="shared" si="49"/>
        <v/>
      </c>
      <c r="AN783" s="100" t="str">
        <f ca="1">IFERROR(__xludf.DUMMYFUNCTION("IFERROR(VLOOKUP(F806,IMPORTRANGE(""https://docs.google.com/spreadsheets/d/1Kvs4KS76FHFqLFIZfrDMff4kP08nblUkihrxltoGBjg/edit#gid=934712705"",""ESENCIAL!A6:BG""),2,FALSE))"),"")</f>
        <v/>
      </c>
      <c r="AO783" s="19" t="str">
        <f t="shared" si="46"/>
        <v/>
      </c>
      <c r="AP783" s="100"/>
      <c r="AQ783" s="100"/>
    </row>
    <row r="784" spans="1:43" ht="15">
      <c r="A784" s="5"/>
      <c r="B784" s="5"/>
      <c r="G784" s="5" t="str">
        <f ca="1">IFERROR(__xludf.DUMMYFUNCTION("IFERROR(VLOOKUP(F807,IMPORTRANGE(""https://docs.google.com/spreadsheets/d/1Kvs4KS76FHFqLFIZfrDMff4kP08nblUkihrxltoGBjg/edit#gid=934712705"",""ESENCIAL!A6:BG""),3,FALSE))"),"")</f>
        <v/>
      </c>
      <c r="H784" s="5" t="str">
        <f ca="1">IFERROR(__xludf.DUMMYFUNCTION("IFERROR(VLOOKUP(F807,IMPORTRANGE(""https://docs.google.com/spreadsheets/d/1Kvs4KS76FHFqLFIZfrDMff4kP08nblUkihrxltoGBjg/edit#gid=934712705"",""ESENCIAL!A6:BG""),8,FALSE))"),"")</f>
        <v/>
      </c>
      <c r="L784" s="40"/>
      <c r="Z784" s="41" t="str">
        <f t="shared" si="47"/>
        <v/>
      </c>
      <c r="AA784" s="5" t="str">
        <f ca="1">IFERROR(__xludf.DUMMYFUNCTION("IFERROR(VLOOKUP(E807&amp;F807,IMPORTRANGE(""https://docs.google.com/spreadsheets/d/1Uw7-A9f9R21vMXxHZFNpYNeKFtG8_yji4HS352LGlSQ/edit?pli=1#gid=0"",""1_ACUM!A4:S""),11,FALSE))"),"")</f>
        <v/>
      </c>
      <c r="AB784" s="42" t="str">
        <f ca="1">IFERROR(__xludf.DUMMYFUNCTION("IFERROR(VLOOKUP(F807,IMPORTRANGE(""https://docs.google.com/spreadsheets/d/1Kvs4KS76FHFqLFIZfrDMff4kP08nblUkihrxltoGBjg/edit#gid=934712705"",""ESENCIAL!A6:BG""),15,FALSE))"),"")</f>
        <v/>
      </c>
      <c r="AC784" s="110" t="str">
        <f ca="1">IFERROR(__xludf.DUMMYFUNCTION("IFERROR(VLOOKUP(E807&amp;F807,IMPORTRANGE(""https://docs.google.com/spreadsheets/d/1Uw7-A9f9R21vMXxHZFNpYNeKFtG8_yji4HS352LGlSQ/edit?pli=1#gid=0"",""1_ACUM!A4:S""),13,FALSE))"),"")</f>
        <v/>
      </c>
      <c r="AD784" s="43" t="str">
        <f ca="1">IFERROR(__xludf.DUMMYFUNCTION("IFERROR(VLOOKUP(E807&amp;F807,IMPORTRANGE(""https://docs.google.com/spreadsheets/d/1Uw7-A9f9R21vMXxHZFNpYNeKFtG8_yji4HS352LGlSQ/edit?pli=1#gid=0"",""1_ACUM!A4:S""),13,FALSE))"),"")</f>
        <v/>
      </c>
      <c r="AE784" s="43" t="str">
        <f ca="1">IFERROR(__xludf.DUMMYFUNCTION("IFERROR(VLOOKUP(E807&amp;F807,IMPORTRANGE(""https://docs.google.com/spreadsheets/d/1Uw7-A9f9R21vMXxHZFNpYNeKFtG8_yji4HS352LGlSQ/edit?pli=1#gid=0"",""1_ACUM!A4:S""),14,FALSE))"),"")</f>
        <v/>
      </c>
      <c r="AF784" s="43" t="str">
        <f ca="1">IFERROR(__xludf.DUMMYFUNCTION("IFERROR(VLOOKUP(E807&amp;F807,IMPORTRANGE(""https://docs.google.com/spreadsheets/d/1Uw7-A9f9R21vMXxHZFNpYNeKFtG8_yji4HS352LGlSQ/edit?pli=1#gid=0"",""1_ACUM!A4:S""),15,FALSE))"),"")</f>
        <v/>
      </c>
      <c r="AG784" s="43" t="str">
        <f ca="1">IFERROR(__xludf.DUMMYFUNCTION("IFERROR(VLOOKUP(E807&amp;F807,IMPORTRANGE(""https://docs.google.com/spreadsheets/d/1Uw7-A9f9R21vMXxHZFNpYNeKFtG8_yji4HS352LGlSQ/edit?pli=1#gid=0"",""1_ACUM!A4:S""),16,FALSE))"),"")</f>
        <v/>
      </c>
      <c r="AH784" s="43" t="str">
        <f ca="1">IFERROR(__xludf.DUMMYFUNCTION("IFERROR(VLOOKUP(E807&amp;F807,IMPORTRANGE(""https://docs.google.com/spreadsheets/d/1Uw7-A9f9R21vMXxHZFNpYNeKFtG8_yji4HS352LGlSQ/edit?pli=1#gid=0"",""1_ACUM!A4:S""),17,FALSE))"),"")</f>
        <v/>
      </c>
      <c r="AI784" s="44" t="str">
        <f ca="1">IFERROR(__xludf.DUMMYFUNCTION("IFERROR(VLOOKUP(E807&amp;F807,IMPORTRANGE(""https://docs.google.com/spreadsheets/d/1Uw7-A9f9R21vMXxHZFNpYNeKFtG8_yji4HS352LGlSQ/edit?pli=1#gid=0"",""1_ACUM!A4:S""),18,FALSE))"),"")</f>
        <v/>
      </c>
      <c r="AJ784" s="44" t="str">
        <f ca="1">IFERROR(__xludf.DUMMYFUNCTION("IFERROR(VLOOKUP(E807&amp;F807,IMPORTRANGE(""https://docs.google.com/spreadsheets/d/1Uw7-A9f9R21vMXxHZFNpYNeKFtG8_yji4HS352LGlSQ/edit?pli=1#gid=0"",""1_ACUM!A4:S""),19,FALSE))"),"")</f>
        <v/>
      </c>
      <c r="AK784" s="98" t="str">
        <f ca="1">IFERROR(__xludf.DUMMYFUNCTION("IFERROR(VLOOKUP(F807,IMPORTRANGE(""https://docs.google.com/spreadsheets/d/1Kvs4KS76FHFqLFIZfrDMff4kP08nblUkihrxltoGBjg/edit#gid=934712705"",""ESENCIAL!A6:BG""),5,FALSE))"),"")</f>
        <v/>
      </c>
      <c r="AL784" s="98" t="str">
        <f t="shared" si="48"/>
        <v/>
      </c>
      <c r="AM784" s="99" t="str">
        <f t="shared" si="49"/>
        <v/>
      </c>
      <c r="AN784" s="100" t="str">
        <f ca="1">IFERROR(__xludf.DUMMYFUNCTION("IFERROR(VLOOKUP(F807,IMPORTRANGE(""https://docs.google.com/spreadsheets/d/1Kvs4KS76FHFqLFIZfrDMff4kP08nblUkihrxltoGBjg/edit#gid=934712705"",""ESENCIAL!A6:BG""),2,FALSE))"),"")</f>
        <v/>
      </c>
      <c r="AO784" s="19" t="str">
        <f t="shared" si="46"/>
        <v/>
      </c>
      <c r="AP784" s="100"/>
      <c r="AQ784" s="100"/>
    </row>
    <row r="785" spans="1:43" ht="15">
      <c r="A785" s="5"/>
      <c r="B785" s="5"/>
      <c r="G785" s="5" t="str">
        <f ca="1">IFERROR(__xludf.DUMMYFUNCTION("IFERROR(VLOOKUP(F808,IMPORTRANGE(""https://docs.google.com/spreadsheets/d/1Kvs4KS76FHFqLFIZfrDMff4kP08nblUkihrxltoGBjg/edit#gid=934712705"",""ESENCIAL!A6:BG""),3,FALSE))"),"")</f>
        <v/>
      </c>
      <c r="H785" s="5" t="str">
        <f ca="1">IFERROR(__xludf.DUMMYFUNCTION("IFERROR(VLOOKUP(F808,IMPORTRANGE(""https://docs.google.com/spreadsheets/d/1Kvs4KS76FHFqLFIZfrDMff4kP08nblUkihrxltoGBjg/edit#gid=934712705"",""ESENCIAL!A6:BG""),8,FALSE))"),"")</f>
        <v/>
      </c>
      <c r="L785" s="40"/>
      <c r="Z785" s="41" t="str">
        <f t="shared" si="47"/>
        <v/>
      </c>
      <c r="AA785" s="5" t="str">
        <f ca="1">IFERROR(__xludf.DUMMYFUNCTION("IFERROR(VLOOKUP(E808&amp;F808,IMPORTRANGE(""https://docs.google.com/spreadsheets/d/1Uw7-A9f9R21vMXxHZFNpYNeKFtG8_yji4HS352LGlSQ/edit?pli=1#gid=0"",""1_ACUM!A4:S""),11,FALSE))"),"")</f>
        <v/>
      </c>
      <c r="AB785" s="42" t="str">
        <f ca="1">IFERROR(__xludf.DUMMYFUNCTION("IFERROR(VLOOKUP(F808,IMPORTRANGE(""https://docs.google.com/spreadsheets/d/1Kvs4KS76FHFqLFIZfrDMff4kP08nblUkihrxltoGBjg/edit#gid=934712705"",""ESENCIAL!A6:BG""),15,FALSE))"),"")</f>
        <v/>
      </c>
      <c r="AC785" s="110" t="str">
        <f ca="1">IFERROR(__xludf.DUMMYFUNCTION("IFERROR(VLOOKUP(E808&amp;F808,IMPORTRANGE(""https://docs.google.com/spreadsheets/d/1Uw7-A9f9R21vMXxHZFNpYNeKFtG8_yji4HS352LGlSQ/edit?pli=1#gid=0"",""1_ACUM!A4:S""),13,FALSE))"),"")</f>
        <v/>
      </c>
      <c r="AD785" s="43" t="str">
        <f ca="1">IFERROR(__xludf.DUMMYFUNCTION("IFERROR(VLOOKUP(E808&amp;F808,IMPORTRANGE(""https://docs.google.com/spreadsheets/d/1Uw7-A9f9R21vMXxHZFNpYNeKFtG8_yji4HS352LGlSQ/edit?pli=1#gid=0"",""1_ACUM!A4:S""),13,FALSE))"),"")</f>
        <v/>
      </c>
      <c r="AE785" s="43" t="str">
        <f ca="1">IFERROR(__xludf.DUMMYFUNCTION("IFERROR(VLOOKUP(E808&amp;F808,IMPORTRANGE(""https://docs.google.com/spreadsheets/d/1Uw7-A9f9R21vMXxHZFNpYNeKFtG8_yji4HS352LGlSQ/edit?pli=1#gid=0"",""1_ACUM!A4:S""),14,FALSE))"),"")</f>
        <v/>
      </c>
      <c r="AF785" s="43" t="str">
        <f ca="1">IFERROR(__xludf.DUMMYFUNCTION("IFERROR(VLOOKUP(E808&amp;F808,IMPORTRANGE(""https://docs.google.com/spreadsheets/d/1Uw7-A9f9R21vMXxHZFNpYNeKFtG8_yji4HS352LGlSQ/edit?pli=1#gid=0"",""1_ACUM!A4:S""),15,FALSE))"),"")</f>
        <v/>
      </c>
      <c r="AG785" s="43" t="str">
        <f ca="1">IFERROR(__xludf.DUMMYFUNCTION("IFERROR(VLOOKUP(E808&amp;F808,IMPORTRANGE(""https://docs.google.com/spreadsheets/d/1Uw7-A9f9R21vMXxHZFNpYNeKFtG8_yji4HS352LGlSQ/edit?pli=1#gid=0"",""1_ACUM!A4:S""),16,FALSE))"),"")</f>
        <v/>
      </c>
      <c r="AH785" s="43" t="str">
        <f ca="1">IFERROR(__xludf.DUMMYFUNCTION("IFERROR(VLOOKUP(E808&amp;F808,IMPORTRANGE(""https://docs.google.com/spreadsheets/d/1Uw7-A9f9R21vMXxHZFNpYNeKFtG8_yji4HS352LGlSQ/edit?pli=1#gid=0"",""1_ACUM!A4:S""),17,FALSE))"),"")</f>
        <v/>
      </c>
      <c r="AI785" s="44" t="str">
        <f ca="1">IFERROR(__xludf.DUMMYFUNCTION("IFERROR(VLOOKUP(E808&amp;F808,IMPORTRANGE(""https://docs.google.com/spreadsheets/d/1Uw7-A9f9R21vMXxHZFNpYNeKFtG8_yji4HS352LGlSQ/edit?pli=1#gid=0"",""1_ACUM!A4:S""),18,FALSE))"),"")</f>
        <v/>
      </c>
      <c r="AJ785" s="44" t="str">
        <f ca="1">IFERROR(__xludf.DUMMYFUNCTION("IFERROR(VLOOKUP(E808&amp;F808,IMPORTRANGE(""https://docs.google.com/spreadsheets/d/1Uw7-A9f9R21vMXxHZFNpYNeKFtG8_yji4HS352LGlSQ/edit?pli=1#gid=0"",""1_ACUM!A4:S""),19,FALSE))"),"")</f>
        <v/>
      </c>
      <c r="AK785" s="98" t="str">
        <f ca="1">IFERROR(__xludf.DUMMYFUNCTION("IFERROR(VLOOKUP(F808,IMPORTRANGE(""https://docs.google.com/spreadsheets/d/1Kvs4KS76FHFqLFIZfrDMff4kP08nblUkihrxltoGBjg/edit#gid=934712705"",""ESENCIAL!A6:BG""),5,FALSE))"),"")</f>
        <v/>
      </c>
      <c r="AL785" s="98" t="str">
        <f t="shared" si="48"/>
        <v/>
      </c>
      <c r="AM785" s="99" t="str">
        <f t="shared" si="49"/>
        <v/>
      </c>
      <c r="AN785" s="100" t="str">
        <f ca="1">IFERROR(__xludf.DUMMYFUNCTION("IFERROR(VLOOKUP(F808,IMPORTRANGE(""https://docs.google.com/spreadsheets/d/1Kvs4KS76FHFqLFIZfrDMff4kP08nblUkihrxltoGBjg/edit#gid=934712705"",""ESENCIAL!A6:BG""),2,FALSE))"),"")</f>
        <v/>
      </c>
      <c r="AO785" s="19" t="str">
        <f t="shared" si="46"/>
        <v/>
      </c>
      <c r="AP785" s="100"/>
      <c r="AQ785" s="100"/>
    </row>
    <row r="786" spans="1:43" ht="15">
      <c r="A786" s="5"/>
      <c r="B786" s="5"/>
      <c r="G786" s="5" t="str">
        <f ca="1">IFERROR(__xludf.DUMMYFUNCTION("IFERROR(VLOOKUP(F809,IMPORTRANGE(""https://docs.google.com/spreadsheets/d/1Kvs4KS76FHFqLFIZfrDMff4kP08nblUkihrxltoGBjg/edit#gid=934712705"",""ESENCIAL!A6:BG""),3,FALSE))"),"")</f>
        <v/>
      </c>
      <c r="H786" s="5" t="str">
        <f ca="1">IFERROR(__xludf.DUMMYFUNCTION("IFERROR(VLOOKUP(F809,IMPORTRANGE(""https://docs.google.com/spreadsheets/d/1Kvs4KS76FHFqLFIZfrDMff4kP08nblUkihrxltoGBjg/edit#gid=934712705"",""ESENCIAL!A6:BG""),8,FALSE))"),"")</f>
        <v/>
      </c>
      <c r="L786" s="40"/>
      <c r="Z786" s="41" t="str">
        <f t="shared" si="47"/>
        <v/>
      </c>
      <c r="AA786" s="5" t="str">
        <f ca="1">IFERROR(__xludf.DUMMYFUNCTION("IFERROR(VLOOKUP(E809&amp;F809,IMPORTRANGE(""https://docs.google.com/spreadsheets/d/1Uw7-A9f9R21vMXxHZFNpYNeKFtG8_yji4HS352LGlSQ/edit?pli=1#gid=0"",""1_ACUM!A4:S""),11,FALSE))"),"")</f>
        <v/>
      </c>
      <c r="AB786" s="42" t="str">
        <f ca="1">IFERROR(__xludf.DUMMYFUNCTION("IFERROR(VLOOKUP(F809,IMPORTRANGE(""https://docs.google.com/spreadsheets/d/1Kvs4KS76FHFqLFIZfrDMff4kP08nblUkihrxltoGBjg/edit#gid=934712705"",""ESENCIAL!A6:BG""),15,FALSE))"),"")</f>
        <v/>
      </c>
      <c r="AC786" s="110" t="str">
        <f ca="1">IFERROR(__xludf.DUMMYFUNCTION("IFERROR(VLOOKUP(E809&amp;F809,IMPORTRANGE(""https://docs.google.com/spreadsheets/d/1Uw7-A9f9R21vMXxHZFNpYNeKFtG8_yji4HS352LGlSQ/edit?pli=1#gid=0"",""1_ACUM!A4:S""),13,FALSE))"),"")</f>
        <v/>
      </c>
      <c r="AD786" s="43" t="str">
        <f ca="1">IFERROR(__xludf.DUMMYFUNCTION("IFERROR(VLOOKUP(E809&amp;F809,IMPORTRANGE(""https://docs.google.com/spreadsheets/d/1Uw7-A9f9R21vMXxHZFNpYNeKFtG8_yji4HS352LGlSQ/edit?pli=1#gid=0"",""1_ACUM!A4:S""),13,FALSE))"),"")</f>
        <v/>
      </c>
      <c r="AE786" s="43" t="str">
        <f ca="1">IFERROR(__xludf.DUMMYFUNCTION("IFERROR(VLOOKUP(E809&amp;F809,IMPORTRANGE(""https://docs.google.com/spreadsheets/d/1Uw7-A9f9R21vMXxHZFNpYNeKFtG8_yji4HS352LGlSQ/edit?pli=1#gid=0"",""1_ACUM!A4:S""),14,FALSE))"),"")</f>
        <v/>
      </c>
      <c r="AF786" s="43" t="str">
        <f ca="1">IFERROR(__xludf.DUMMYFUNCTION("IFERROR(VLOOKUP(E809&amp;F809,IMPORTRANGE(""https://docs.google.com/spreadsheets/d/1Uw7-A9f9R21vMXxHZFNpYNeKFtG8_yji4HS352LGlSQ/edit?pli=1#gid=0"",""1_ACUM!A4:S""),15,FALSE))"),"")</f>
        <v/>
      </c>
      <c r="AG786" s="43" t="str">
        <f ca="1">IFERROR(__xludf.DUMMYFUNCTION("IFERROR(VLOOKUP(E809&amp;F809,IMPORTRANGE(""https://docs.google.com/spreadsheets/d/1Uw7-A9f9R21vMXxHZFNpYNeKFtG8_yji4HS352LGlSQ/edit?pli=1#gid=0"",""1_ACUM!A4:S""),16,FALSE))"),"")</f>
        <v/>
      </c>
      <c r="AH786" s="43" t="str">
        <f ca="1">IFERROR(__xludf.DUMMYFUNCTION("IFERROR(VLOOKUP(E809&amp;F809,IMPORTRANGE(""https://docs.google.com/spreadsheets/d/1Uw7-A9f9R21vMXxHZFNpYNeKFtG8_yji4HS352LGlSQ/edit?pli=1#gid=0"",""1_ACUM!A4:S""),17,FALSE))"),"")</f>
        <v/>
      </c>
      <c r="AI786" s="44" t="str">
        <f ca="1">IFERROR(__xludf.DUMMYFUNCTION("IFERROR(VLOOKUP(E809&amp;F809,IMPORTRANGE(""https://docs.google.com/spreadsheets/d/1Uw7-A9f9R21vMXxHZFNpYNeKFtG8_yji4HS352LGlSQ/edit?pli=1#gid=0"",""1_ACUM!A4:S""),18,FALSE))"),"")</f>
        <v/>
      </c>
      <c r="AJ786" s="44" t="str">
        <f ca="1">IFERROR(__xludf.DUMMYFUNCTION("IFERROR(VLOOKUP(E809&amp;F809,IMPORTRANGE(""https://docs.google.com/spreadsheets/d/1Uw7-A9f9R21vMXxHZFNpYNeKFtG8_yji4HS352LGlSQ/edit?pli=1#gid=0"",""1_ACUM!A4:S""),19,FALSE))"),"")</f>
        <v/>
      </c>
      <c r="AK786" s="98" t="str">
        <f ca="1">IFERROR(__xludf.DUMMYFUNCTION("IFERROR(VLOOKUP(F809,IMPORTRANGE(""https://docs.google.com/spreadsheets/d/1Kvs4KS76FHFqLFIZfrDMff4kP08nblUkihrxltoGBjg/edit#gid=934712705"",""ESENCIAL!A6:BG""),5,FALSE))"),"")</f>
        <v/>
      </c>
      <c r="AL786" s="98" t="str">
        <f t="shared" si="48"/>
        <v/>
      </c>
      <c r="AM786" s="99" t="str">
        <f t="shared" si="49"/>
        <v/>
      </c>
      <c r="AN786" s="100" t="str">
        <f ca="1">IFERROR(__xludf.DUMMYFUNCTION("IFERROR(VLOOKUP(F809,IMPORTRANGE(""https://docs.google.com/spreadsheets/d/1Kvs4KS76FHFqLFIZfrDMff4kP08nblUkihrxltoGBjg/edit#gid=934712705"",""ESENCIAL!A6:BG""),2,FALSE))"),"")</f>
        <v/>
      </c>
      <c r="AO786" s="19" t="str">
        <f t="shared" si="46"/>
        <v/>
      </c>
      <c r="AP786" s="100"/>
      <c r="AQ786" s="100"/>
    </row>
    <row r="787" spans="1:43" ht="15">
      <c r="A787" s="5"/>
      <c r="B787" s="5"/>
      <c r="G787" s="5" t="str">
        <f ca="1">IFERROR(__xludf.DUMMYFUNCTION("IFERROR(VLOOKUP(F810,IMPORTRANGE(""https://docs.google.com/spreadsheets/d/1Kvs4KS76FHFqLFIZfrDMff4kP08nblUkihrxltoGBjg/edit#gid=934712705"",""ESENCIAL!A6:BG""),3,FALSE))"),"")</f>
        <v/>
      </c>
      <c r="H787" s="5" t="str">
        <f ca="1">IFERROR(__xludf.DUMMYFUNCTION("IFERROR(VLOOKUP(F810,IMPORTRANGE(""https://docs.google.com/spreadsheets/d/1Kvs4KS76FHFqLFIZfrDMff4kP08nblUkihrxltoGBjg/edit#gid=934712705"",""ESENCIAL!A6:BG""),8,FALSE))"),"")</f>
        <v/>
      </c>
      <c r="L787" s="40"/>
      <c r="Z787" s="41" t="str">
        <f t="shared" si="47"/>
        <v/>
      </c>
      <c r="AA787" s="5" t="str">
        <f ca="1">IFERROR(__xludf.DUMMYFUNCTION("IFERROR(VLOOKUP(E810&amp;F810,IMPORTRANGE(""https://docs.google.com/spreadsheets/d/1Uw7-A9f9R21vMXxHZFNpYNeKFtG8_yji4HS352LGlSQ/edit?pli=1#gid=0"",""1_ACUM!A4:S""),11,FALSE))"),"")</f>
        <v/>
      </c>
      <c r="AB787" s="42" t="str">
        <f ca="1">IFERROR(__xludf.DUMMYFUNCTION("IFERROR(VLOOKUP(F810,IMPORTRANGE(""https://docs.google.com/spreadsheets/d/1Kvs4KS76FHFqLFIZfrDMff4kP08nblUkihrxltoGBjg/edit#gid=934712705"",""ESENCIAL!A6:BG""),15,FALSE))"),"")</f>
        <v/>
      </c>
      <c r="AC787" s="110" t="str">
        <f ca="1">IFERROR(__xludf.DUMMYFUNCTION("IFERROR(VLOOKUP(E810&amp;F810,IMPORTRANGE(""https://docs.google.com/spreadsheets/d/1Uw7-A9f9R21vMXxHZFNpYNeKFtG8_yji4HS352LGlSQ/edit?pli=1#gid=0"",""1_ACUM!A4:S""),13,FALSE))"),"")</f>
        <v/>
      </c>
      <c r="AD787" s="43" t="str">
        <f ca="1">IFERROR(__xludf.DUMMYFUNCTION("IFERROR(VLOOKUP(E810&amp;F810,IMPORTRANGE(""https://docs.google.com/spreadsheets/d/1Uw7-A9f9R21vMXxHZFNpYNeKFtG8_yji4HS352LGlSQ/edit?pli=1#gid=0"",""1_ACUM!A4:S""),13,FALSE))"),"")</f>
        <v/>
      </c>
      <c r="AE787" s="43" t="str">
        <f ca="1">IFERROR(__xludf.DUMMYFUNCTION("IFERROR(VLOOKUP(E810&amp;F810,IMPORTRANGE(""https://docs.google.com/spreadsheets/d/1Uw7-A9f9R21vMXxHZFNpYNeKFtG8_yji4HS352LGlSQ/edit?pli=1#gid=0"",""1_ACUM!A4:S""),14,FALSE))"),"")</f>
        <v/>
      </c>
      <c r="AF787" s="43" t="str">
        <f ca="1">IFERROR(__xludf.DUMMYFUNCTION("IFERROR(VLOOKUP(E810&amp;F810,IMPORTRANGE(""https://docs.google.com/spreadsheets/d/1Uw7-A9f9R21vMXxHZFNpYNeKFtG8_yji4HS352LGlSQ/edit?pli=1#gid=0"",""1_ACUM!A4:S""),15,FALSE))"),"")</f>
        <v/>
      </c>
      <c r="AG787" s="43" t="str">
        <f ca="1">IFERROR(__xludf.DUMMYFUNCTION("IFERROR(VLOOKUP(E810&amp;F810,IMPORTRANGE(""https://docs.google.com/spreadsheets/d/1Uw7-A9f9R21vMXxHZFNpYNeKFtG8_yji4HS352LGlSQ/edit?pli=1#gid=0"",""1_ACUM!A4:S""),16,FALSE))"),"")</f>
        <v/>
      </c>
      <c r="AH787" s="43" t="str">
        <f ca="1">IFERROR(__xludf.DUMMYFUNCTION("IFERROR(VLOOKUP(E810&amp;F810,IMPORTRANGE(""https://docs.google.com/spreadsheets/d/1Uw7-A9f9R21vMXxHZFNpYNeKFtG8_yji4HS352LGlSQ/edit?pli=1#gid=0"",""1_ACUM!A4:S""),17,FALSE))"),"")</f>
        <v/>
      </c>
      <c r="AI787" s="44" t="str">
        <f ca="1">IFERROR(__xludf.DUMMYFUNCTION("IFERROR(VLOOKUP(E810&amp;F810,IMPORTRANGE(""https://docs.google.com/spreadsheets/d/1Uw7-A9f9R21vMXxHZFNpYNeKFtG8_yji4HS352LGlSQ/edit?pli=1#gid=0"",""1_ACUM!A4:S""),18,FALSE))"),"")</f>
        <v/>
      </c>
      <c r="AJ787" s="44" t="str">
        <f ca="1">IFERROR(__xludf.DUMMYFUNCTION("IFERROR(VLOOKUP(E810&amp;F810,IMPORTRANGE(""https://docs.google.com/spreadsheets/d/1Uw7-A9f9R21vMXxHZFNpYNeKFtG8_yji4HS352LGlSQ/edit?pli=1#gid=0"",""1_ACUM!A4:S""),19,FALSE))"),"")</f>
        <v/>
      </c>
      <c r="AK787" s="98" t="str">
        <f ca="1">IFERROR(__xludf.DUMMYFUNCTION("IFERROR(VLOOKUP(F810,IMPORTRANGE(""https://docs.google.com/spreadsheets/d/1Kvs4KS76FHFqLFIZfrDMff4kP08nblUkihrxltoGBjg/edit#gid=934712705"",""ESENCIAL!A6:BG""),5,FALSE))"),"")</f>
        <v/>
      </c>
      <c r="AL787" s="98" t="str">
        <f t="shared" si="48"/>
        <v/>
      </c>
      <c r="AM787" s="99" t="str">
        <f t="shared" si="49"/>
        <v/>
      </c>
      <c r="AN787" s="100" t="str">
        <f ca="1">IFERROR(__xludf.DUMMYFUNCTION("IFERROR(VLOOKUP(F810,IMPORTRANGE(""https://docs.google.com/spreadsheets/d/1Kvs4KS76FHFqLFIZfrDMff4kP08nblUkihrxltoGBjg/edit#gid=934712705"",""ESENCIAL!A6:BG""),2,FALSE))"),"")</f>
        <v/>
      </c>
      <c r="AO787" s="19" t="str">
        <f t="shared" si="46"/>
        <v/>
      </c>
      <c r="AP787" s="100"/>
      <c r="AQ787" s="100"/>
    </row>
    <row r="788" spans="1:43" ht="15">
      <c r="A788" s="5"/>
      <c r="B788" s="5"/>
      <c r="G788" s="5" t="str">
        <f ca="1">IFERROR(__xludf.DUMMYFUNCTION("IFERROR(VLOOKUP(F811,IMPORTRANGE(""https://docs.google.com/spreadsheets/d/1Kvs4KS76FHFqLFIZfrDMff4kP08nblUkihrxltoGBjg/edit#gid=934712705"",""ESENCIAL!A6:BG""),3,FALSE))"),"")</f>
        <v/>
      </c>
      <c r="H788" s="5" t="str">
        <f ca="1">IFERROR(__xludf.DUMMYFUNCTION("IFERROR(VLOOKUP(F811,IMPORTRANGE(""https://docs.google.com/spreadsheets/d/1Kvs4KS76FHFqLFIZfrDMff4kP08nblUkihrxltoGBjg/edit#gid=934712705"",""ESENCIAL!A6:BG""),8,FALSE))"),"")</f>
        <v/>
      </c>
      <c r="L788" s="40"/>
      <c r="Z788" s="41" t="str">
        <f t="shared" si="47"/>
        <v/>
      </c>
      <c r="AA788" s="5" t="str">
        <f ca="1">IFERROR(__xludf.DUMMYFUNCTION("IFERROR(VLOOKUP(E811&amp;F811,IMPORTRANGE(""https://docs.google.com/spreadsheets/d/1Uw7-A9f9R21vMXxHZFNpYNeKFtG8_yji4HS352LGlSQ/edit?pli=1#gid=0"",""1_ACUM!A4:S""),11,FALSE))"),"")</f>
        <v/>
      </c>
      <c r="AB788" s="42" t="str">
        <f ca="1">IFERROR(__xludf.DUMMYFUNCTION("IFERROR(VLOOKUP(F811,IMPORTRANGE(""https://docs.google.com/spreadsheets/d/1Kvs4KS76FHFqLFIZfrDMff4kP08nblUkihrxltoGBjg/edit#gid=934712705"",""ESENCIAL!A6:BG""),15,FALSE))"),"")</f>
        <v/>
      </c>
      <c r="AC788" s="110" t="str">
        <f ca="1">IFERROR(__xludf.DUMMYFUNCTION("IFERROR(VLOOKUP(E811&amp;F811,IMPORTRANGE(""https://docs.google.com/spreadsheets/d/1Uw7-A9f9R21vMXxHZFNpYNeKFtG8_yji4HS352LGlSQ/edit?pli=1#gid=0"",""1_ACUM!A4:S""),13,FALSE))"),"")</f>
        <v/>
      </c>
      <c r="AD788" s="43" t="str">
        <f ca="1">IFERROR(__xludf.DUMMYFUNCTION("IFERROR(VLOOKUP(E811&amp;F811,IMPORTRANGE(""https://docs.google.com/spreadsheets/d/1Uw7-A9f9R21vMXxHZFNpYNeKFtG8_yji4HS352LGlSQ/edit?pli=1#gid=0"",""1_ACUM!A4:S""),13,FALSE))"),"")</f>
        <v/>
      </c>
      <c r="AE788" s="43" t="str">
        <f ca="1">IFERROR(__xludf.DUMMYFUNCTION("IFERROR(VLOOKUP(E811&amp;F811,IMPORTRANGE(""https://docs.google.com/spreadsheets/d/1Uw7-A9f9R21vMXxHZFNpYNeKFtG8_yji4HS352LGlSQ/edit?pli=1#gid=0"",""1_ACUM!A4:S""),14,FALSE))"),"")</f>
        <v/>
      </c>
      <c r="AF788" s="43" t="str">
        <f ca="1">IFERROR(__xludf.DUMMYFUNCTION("IFERROR(VLOOKUP(E811&amp;F811,IMPORTRANGE(""https://docs.google.com/spreadsheets/d/1Uw7-A9f9R21vMXxHZFNpYNeKFtG8_yji4HS352LGlSQ/edit?pli=1#gid=0"",""1_ACUM!A4:S""),15,FALSE))"),"")</f>
        <v/>
      </c>
      <c r="AG788" s="43" t="str">
        <f ca="1">IFERROR(__xludf.DUMMYFUNCTION("IFERROR(VLOOKUP(E811&amp;F811,IMPORTRANGE(""https://docs.google.com/spreadsheets/d/1Uw7-A9f9R21vMXxHZFNpYNeKFtG8_yji4HS352LGlSQ/edit?pli=1#gid=0"",""1_ACUM!A4:S""),16,FALSE))"),"")</f>
        <v/>
      </c>
      <c r="AH788" s="43" t="str">
        <f ca="1">IFERROR(__xludf.DUMMYFUNCTION("IFERROR(VLOOKUP(E811&amp;F811,IMPORTRANGE(""https://docs.google.com/spreadsheets/d/1Uw7-A9f9R21vMXxHZFNpYNeKFtG8_yji4HS352LGlSQ/edit?pli=1#gid=0"",""1_ACUM!A4:S""),17,FALSE))"),"")</f>
        <v/>
      </c>
      <c r="AI788" s="44" t="str">
        <f ca="1">IFERROR(__xludf.DUMMYFUNCTION("IFERROR(VLOOKUP(E811&amp;F811,IMPORTRANGE(""https://docs.google.com/spreadsheets/d/1Uw7-A9f9R21vMXxHZFNpYNeKFtG8_yji4HS352LGlSQ/edit?pli=1#gid=0"",""1_ACUM!A4:S""),18,FALSE))"),"")</f>
        <v/>
      </c>
      <c r="AJ788" s="44" t="str">
        <f ca="1">IFERROR(__xludf.DUMMYFUNCTION("IFERROR(VLOOKUP(E811&amp;F811,IMPORTRANGE(""https://docs.google.com/spreadsheets/d/1Uw7-A9f9R21vMXxHZFNpYNeKFtG8_yji4HS352LGlSQ/edit?pli=1#gid=0"",""1_ACUM!A4:S""),19,FALSE))"),"")</f>
        <v/>
      </c>
      <c r="AK788" s="98" t="str">
        <f ca="1">IFERROR(__xludf.DUMMYFUNCTION("IFERROR(VLOOKUP(F811,IMPORTRANGE(""https://docs.google.com/spreadsheets/d/1Kvs4KS76FHFqLFIZfrDMff4kP08nblUkihrxltoGBjg/edit#gid=934712705"",""ESENCIAL!A6:BG""),5,FALSE))"),"")</f>
        <v/>
      </c>
      <c r="AL788" s="98" t="str">
        <f t="shared" si="48"/>
        <v/>
      </c>
      <c r="AM788" s="99" t="str">
        <f t="shared" si="49"/>
        <v/>
      </c>
      <c r="AN788" s="100" t="str">
        <f ca="1">IFERROR(__xludf.DUMMYFUNCTION("IFERROR(VLOOKUP(F811,IMPORTRANGE(""https://docs.google.com/spreadsheets/d/1Kvs4KS76FHFqLFIZfrDMff4kP08nblUkihrxltoGBjg/edit#gid=934712705"",""ESENCIAL!A6:BG""),2,FALSE))"),"")</f>
        <v/>
      </c>
      <c r="AO788" s="19" t="str">
        <f t="shared" si="46"/>
        <v/>
      </c>
      <c r="AP788" s="100"/>
      <c r="AQ788" s="100"/>
    </row>
    <row r="789" spans="1:43" ht="15">
      <c r="A789" s="5"/>
      <c r="B789" s="5"/>
      <c r="G789" s="5" t="str">
        <f ca="1">IFERROR(__xludf.DUMMYFUNCTION("IFERROR(VLOOKUP(F812,IMPORTRANGE(""https://docs.google.com/spreadsheets/d/1Kvs4KS76FHFqLFIZfrDMff4kP08nblUkihrxltoGBjg/edit#gid=934712705"",""ESENCIAL!A6:BG""),3,FALSE))"),"")</f>
        <v/>
      </c>
      <c r="H789" s="5" t="str">
        <f ca="1">IFERROR(__xludf.DUMMYFUNCTION("IFERROR(VLOOKUP(F812,IMPORTRANGE(""https://docs.google.com/spreadsheets/d/1Kvs4KS76FHFqLFIZfrDMff4kP08nblUkihrxltoGBjg/edit#gid=934712705"",""ESENCIAL!A6:BG""),8,FALSE))"),"")</f>
        <v/>
      </c>
      <c r="L789" s="40"/>
      <c r="Z789" s="41" t="str">
        <f t="shared" si="47"/>
        <v/>
      </c>
      <c r="AA789" s="5" t="str">
        <f ca="1">IFERROR(__xludf.DUMMYFUNCTION("IFERROR(VLOOKUP(E812&amp;F812,IMPORTRANGE(""https://docs.google.com/spreadsheets/d/1Uw7-A9f9R21vMXxHZFNpYNeKFtG8_yji4HS352LGlSQ/edit?pli=1#gid=0"",""1_ACUM!A4:S""),11,FALSE))"),"")</f>
        <v/>
      </c>
      <c r="AB789" s="42" t="str">
        <f ca="1">IFERROR(__xludf.DUMMYFUNCTION("IFERROR(VLOOKUP(F812,IMPORTRANGE(""https://docs.google.com/spreadsheets/d/1Kvs4KS76FHFqLFIZfrDMff4kP08nblUkihrxltoGBjg/edit#gid=934712705"",""ESENCIAL!A6:BG""),15,FALSE))"),"")</f>
        <v/>
      </c>
      <c r="AC789" s="110" t="str">
        <f ca="1">IFERROR(__xludf.DUMMYFUNCTION("IFERROR(VLOOKUP(E812&amp;F812,IMPORTRANGE(""https://docs.google.com/spreadsheets/d/1Uw7-A9f9R21vMXxHZFNpYNeKFtG8_yji4HS352LGlSQ/edit?pli=1#gid=0"",""1_ACUM!A4:S""),13,FALSE))"),"")</f>
        <v/>
      </c>
      <c r="AD789" s="43" t="str">
        <f ca="1">IFERROR(__xludf.DUMMYFUNCTION("IFERROR(VLOOKUP(E812&amp;F812,IMPORTRANGE(""https://docs.google.com/spreadsheets/d/1Uw7-A9f9R21vMXxHZFNpYNeKFtG8_yji4HS352LGlSQ/edit?pli=1#gid=0"",""1_ACUM!A4:S""),13,FALSE))"),"")</f>
        <v/>
      </c>
      <c r="AE789" s="43" t="str">
        <f ca="1">IFERROR(__xludf.DUMMYFUNCTION("IFERROR(VLOOKUP(E812&amp;F812,IMPORTRANGE(""https://docs.google.com/spreadsheets/d/1Uw7-A9f9R21vMXxHZFNpYNeKFtG8_yji4HS352LGlSQ/edit?pli=1#gid=0"",""1_ACUM!A4:S""),14,FALSE))"),"")</f>
        <v/>
      </c>
      <c r="AF789" s="43" t="str">
        <f ca="1">IFERROR(__xludf.DUMMYFUNCTION("IFERROR(VLOOKUP(E812&amp;F812,IMPORTRANGE(""https://docs.google.com/spreadsheets/d/1Uw7-A9f9R21vMXxHZFNpYNeKFtG8_yji4HS352LGlSQ/edit?pli=1#gid=0"",""1_ACUM!A4:S""),15,FALSE))"),"")</f>
        <v/>
      </c>
      <c r="AG789" s="43" t="str">
        <f ca="1">IFERROR(__xludf.DUMMYFUNCTION("IFERROR(VLOOKUP(E812&amp;F812,IMPORTRANGE(""https://docs.google.com/spreadsheets/d/1Uw7-A9f9R21vMXxHZFNpYNeKFtG8_yji4HS352LGlSQ/edit?pli=1#gid=0"",""1_ACUM!A4:S""),16,FALSE))"),"")</f>
        <v/>
      </c>
      <c r="AH789" s="43" t="str">
        <f ca="1">IFERROR(__xludf.DUMMYFUNCTION("IFERROR(VLOOKUP(E812&amp;F812,IMPORTRANGE(""https://docs.google.com/spreadsheets/d/1Uw7-A9f9R21vMXxHZFNpYNeKFtG8_yji4HS352LGlSQ/edit?pli=1#gid=0"",""1_ACUM!A4:S""),17,FALSE))"),"")</f>
        <v/>
      </c>
      <c r="AI789" s="44" t="str">
        <f ca="1">IFERROR(__xludf.DUMMYFUNCTION("IFERROR(VLOOKUP(E812&amp;F812,IMPORTRANGE(""https://docs.google.com/spreadsheets/d/1Uw7-A9f9R21vMXxHZFNpYNeKFtG8_yji4HS352LGlSQ/edit?pli=1#gid=0"",""1_ACUM!A4:S""),18,FALSE))"),"")</f>
        <v/>
      </c>
      <c r="AJ789" s="44" t="str">
        <f ca="1">IFERROR(__xludf.DUMMYFUNCTION("IFERROR(VLOOKUP(E812&amp;F812,IMPORTRANGE(""https://docs.google.com/spreadsheets/d/1Uw7-A9f9R21vMXxHZFNpYNeKFtG8_yji4HS352LGlSQ/edit?pli=1#gid=0"",""1_ACUM!A4:S""),19,FALSE))"),"")</f>
        <v/>
      </c>
      <c r="AK789" s="98" t="str">
        <f ca="1">IFERROR(__xludf.DUMMYFUNCTION("IFERROR(VLOOKUP(F812,IMPORTRANGE(""https://docs.google.com/spreadsheets/d/1Kvs4KS76FHFqLFIZfrDMff4kP08nblUkihrxltoGBjg/edit#gid=934712705"",""ESENCIAL!A6:BG""),5,FALSE))"),"")</f>
        <v/>
      </c>
      <c r="AL789" s="98" t="str">
        <f t="shared" si="48"/>
        <v/>
      </c>
      <c r="AM789" s="99" t="str">
        <f t="shared" si="49"/>
        <v/>
      </c>
      <c r="AN789" s="100" t="str">
        <f ca="1">IFERROR(__xludf.DUMMYFUNCTION("IFERROR(VLOOKUP(F812,IMPORTRANGE(""https://docs.google.com/spreadsheets/d/1Kvs4KS76FHFqLFIZfrDMff4kP08nblUkihrxltoGBjg/edit#gid=934712705"",""ESENCIAL!A6:BG""),2,FALSE))"),"")</f>
        <v/>
      </c>
      <c r="AO789" s="19" t="str">
        <f t="shared" si="46"/>
        <v/>
      </c>
      <c r="AP789" s="100"/>
      <c r="AQ789" s="100"/>
    </row>
    <row r="790" spans="1:43" ht="15">
      <c r="A790" s="5"/>
      <c r="B790" s="5"/>
      <c r="G790" s="5" t="str">
        <f ca="1">IFERROR(__xludf.DUMMYFUNCTION("IFERROR(VLOOKUP(F813,IMPORTRANGE(""https://docs.google.com/spreadsheets/d/1Kvs4KS76FHFqLFIZfrDMff4kP08nblUkihrxltoGBjg/edit#gid=934712705"",""ESENCIAL!A6:BG""),3,FALSE))"),"")</f>
        <v/>
      </c>
      <c r="H790" s="5" t="str">
        <f ca="1">IFERROR(__xludf.DUMMYFUNCTION("IFERROR(VLOOKUP(F813,IMPORTRANGE(""https://docs.google.com/spreadsheets/d/1Kvs4KS76FHFqLFIZfrDMff4kP08nblUkihrxltoGBjg/edit#gid=934712705"",""ESENCIAL!A6:BG""),8,FALSE))"),"")</f>
        <v/>
      </c>
      <c r="L790" s="40"/>
      <c r="Z790" s="41" t="str">
        <f t="shared" si="47"/>
        <v/>
      </c>
      <c r="AA790" s="5" t="str">
        <f ca="1">IFERROR(__xludf.DUMMYFUNCTION("IFERROR(VLOOKUP(E813&amp;F813,IMPORTRANGE(""https://docs.google.com/spreadsheets/d/1Uw7-A9f9R21vMXxHZFNpYNeKFtG8_yji4HS352LGlSQ/edit?pli=1#gid=0"",""1_ACUM!A4:S""),11,FALSE))"),"")</f>
        <v/>
      </c>
      <c r="AB790" s="42" t="str">
        <f ca="1">IFERROR(__xludf.DUMMYFUNCTION("IFERROR(VLOOKUP(F813,IMPORTRANGE(""https://docs.google.com/spreadsheets/d/1Kvs4KS76FHFqLFIZfrDMff4kP08nblUkihrxltoGBjg/edit#gid=934712705"",""ESENCIAL!A6:BG""),15,FALSE))"),"")</f>
        <v/>
      </c>
      <c r="AC790" s="110" t="str">
        <f ca="1">IFERROR(__xludf.DUMMYFUNCTION("IFERROR(VLOOKUP(E813&amp;F813,IMPORTRANGE(""https://docs.google.com/spreadsheets/d/1Uw7-A9f9R21vMXxHZFNpYNeKFtG8_yji4HS352LGlSQ/edit?pli=1#gid=0"",""1_ACUM!A4:S""),13,FALSE))"),"")</f>
        <v/>
      </c>
      <c r="AD790" s="43" t="str">
        <f ca="1">IFERROR(__xludf.DUMMYFUNCTION("IFERROR(VLOOKUP(E813&amp;F813,IMPORTRANGE(""https://docs.google.com/spreadsheets/d/1Uw7-A9f9R21vMXxHZFNpYNeKFtG8_yji4HS352LGlSQ/edit?pli=1#gid=0"",""1_ACUM!A4:S""),13,FALSE))"),"")</f>
        <v/>
      </c>
      <c r="AE790" s="43" t="str">
        <f ca="1">IFERROR(__xludf.DUMMYFUNCTION("IFERROR(VLOOKUP(E813&amp;F813,IMPORTRANGE(""https://docs.google.com/spreadsheets/d/1Uw7-A9f9R21vMXxHZFNpYNeKFtG8_yji4HS352LGlSQ/edit?pli=1#gid=0"",""1_ACUM!A4:S""),14,FALSE))"),"")</f>
        <v/>
      </c>
      <c r="AF790" s="43" t="str">
        <f ca="1">IFERROR(__xludf.DUMMYFUNCTION("IFERROR(VLOOKUP(E813&amp;F813,IMPORTRANGE(""https://docs.google.com/spreadsheets/d/1Uw7-A9f9R21vMXxHZFNpYNeKFtG8_yji4HS352LGlSQ/edit?pli=1#gid=0"",""1_ACUM!A4:S""),15,FALSE))"),"")</f>
        <v/>
      </c>
      <c r="AG790" s="43" t="str">
        <f ca="1">IFERROR(__xludf.DUMMYFUNCTION("IFERROR(VLOOKUP(E813&amp;F813,IMPORTRANGE(""https://docs.google.com/spreadsheets/d/1Uw7-A9f9R21vMXxHZFNpYNeKFtG8_yji4HS352LGlSQ/edit?pli=1#gid=0"",""1_ACUM!A4:S""),16,FALSE))"),"")</f>
        <v/>
      </c>
      <c r="AH790" s="43" t="str">
        <f ca="1">IFERROR(__xludf.DUMMYFUNCTION("IFERROR(VLOOKUP(E813&amp;F813,IMPORTRANGE(""https://docs.google.com/spreadsheets/d/1Uw7-A9f9R21vMXxHZFNpYNeKFtG8_yji4HS352LGlSQ/edit?pli=1#gid=0"",""1_ACUM!A4:S""),17,FALSE))"),"")</f>
        <v/>
      </c>
      <c r="AI790" s="44" t="str">
        <f ca="1">IFERROR(__xludf.DUMMYFUNCTION("IFERROR(VLOOKUP(E813&amp;F813,IMPORTRANGE(""https://docs.google.com/spreadsheets/d/1Uw7-A9f9R21vMXxHZFNpYNeKFtG8_yji4HS352LGlSQ/edit?pli=1#gid=0"",""1_ACUM!A4:S""),18,FALSE))"),"")</f>
        <v/>
      </c>
      <c r="AJ790" s="44" t="str">
        <f ca="1">IFERROR(__xludf.DUMMYFUNCTION("IFERROR(VLOOKUP(E813&amp;F813,IMPORTRANGE(""https://docs.google.com/spreadsheets/d/1Uw7-A9f9R21vMXxHZFNpYNeKFtG8_yji4HS352LGlSQ/edit?pli=1#gid=0"",""1_ACUM!A4:S""),19,FALSE))"),"")</f>
        <v/>
      </c>
      <c r="AK790" s="98" t="str">
        <f ca="1">IFERROR(__xludf.DUMMYFUNCTION("IFERROR(VLOOKUP(F813,IMPORTRANGE(""https://docs.google.com/spreadsheets/d/1Kvs4KS76FHFqLFIZfrDMff4kP08nblUkihrxltoGBjg/edit#gid=934712705"",""ESENCIAL!A6:BG""),5,FALSE))"),"")</f>
        <v/>
      </c>
      <c r="AL790" s="98" t="str">
        <f t="shared" si="48"/>
        <v/>
      </c>
      <c r="AM790" s="99" t="str">
        <f t="shared" si="49"/>
        <v/>
      </c>
      <c r="AN790" s="100" t="str">
        <f ca="1">IFERROR(__xludf.DUMMYFUNCTION("IFERROR(VLOOKUP(F813,IMPORTRANGE(""https://docs.google.com/spreadsheets/d/1Kvs4KS76FHFqLFIZfrDMff4kP08nblUkihrxltoGBjg/edit#gid=934712705"",""ESENCIAL!A6:BG""),2,FALSE))"),"")</f>
        <v/>
      </c>
      <c r="AO790" s="19" t="str">
        <f t="shared" si="46"/>
        <v/>
      </c>
      <c r="AP790" s="100"/>
      <c r="AQ790" s="100"/>
    </row>
    <row r="791" spans="1:43" ht="15">
      <c r="A791" s="5"/>
      <c r="B791" s="5"/>
      <c r="G791" s="5" t="str">
        <f ca="1">IFERROR(__xludf.DUMMYFUNCTION("IFERROR(VLOOKUP(F814,IMPORTRANGE(""https://docs.google.com/spreadsheets/d/1Kvs4KS76FHFqLFIZfrDMff4kP08nblUkihrxltoGBjg/edit#gid=934712705"",""ESENCIAL!A6:BG""),3,FALSE))"),"")</f>
        <v/>
      </c>
      <c r="H791" s="5" t="str">
        <f ca="1">IFERROR(__xludf.DUMMYFUNCTION("IFERROR(VLOOKUP(F814,IMPORTRANGE(""https://docs.google.com/spreadsheets/d/1Kvs4KS76FHFqLFIZfrDMff4kP08nblUkihrxltoGBjg/edit#gid=934712705"",""ESENCIAL!A6:BG""),8,FALSE))"),"")</f>
        <v/>
      </c>
      <c r="L791" s="40"/>
      <c r="Z791" s="41" t="str">
        <f t="shared" si="47"/>
        <v/>
      </c>
      <c r="AA791" s="5" t="str">
        <f ca="1">IFERROR(__xludf.DUMMYFUNCTION("IFERROR(VLOOKUP(E814&amp;F814,IMPORTRANGE(""https://docs.google.com/spreadsheets/d/1Uw7-A9f9R21vMXxHZFNpYNeKFtG8_yji4HS352LGlSQ/edit?pli=1#gid=0"",""1_ACUM!A4:S""),11,FALSE))"),"")</f>
        <v/>
      </c>
      <c r="AB791" s="42" t="str">
        <f ca="1">IFERROR(__xludf.DUMMYFUNCTION("IFERROR(VLOOKUP(F814,IMPORTRANGE(""https://docs.google.com/spreadsheets/d/1Kvs4KS76FHFqLFIZfrDMff4kP08nblUkihrxltoGBjg/edit#gid=934712705"",""ESENCIAL!A6:BG""),15,FALSE))"),"")</f>
        <v/>
      </c>
      <c r="AC791" s="110" t="str">
        <f ca="1">IFERROR(__xludf.DUMMYFUNCTION("IFERROR(VLOOKUP(E814&amp;F814,IMPORTRANGE(""https://docs.google.com/spreadsheets/d/1Uw7-A9f9R21vMXxHZFNpYNeKFtG8_yji4HS352LGlSQ/edit?pli=1#gid=0"",""1_ACUM!A4:S""),13,FALSE))"),"")</f>
        <v/>
      </c>
      <c r="AD791" s="43" t="str">
        <f ca="1">IFERROR(__xludf.DUMMYFUNCTION("IFERROR(VLOOKUP(E814&amp;F814,IMPORTRANGE(""https://docs.google.com/spreadsheets/d/1Uw7-A9f9R21vMXxHZFNpYNeKFtG8_yji4HS352LGlSQ/edit?pli=1#gid=0"",""1_ACUM!A4:S""),13,FALSE))"),"")</f>
        <v/>
      </c>
      <c r="AE791" s="43" t="str">
        <f ca="1">IFERROR(__xludf.DUMMYFUNCTION("IFERROR(VLOOKUP(E814&amp;F814,IMPORTRANGE(""https://docs.google.com/spreadsheets/d/1Uw7-A9f9R21vMXxHZFNpYNeKFtG8_yji4HS352LGlSQ/edit?pli=1#gid=0"",""1_ACUM!A4:S""),14,FALSE))"),"")</f>
        <v/>
      </c>
      <c r="AF791" s="43" t="str">
        <f ca="1">IFERROR(__xludf.DUMMYFUNCTION("IFERROR(VLOOKUP(E814&amp;F814,IMPORTRANGE(""https://docs.google.com/spreadsheets/d/1Uw7-A9f9R21vMXxHZFNpYNeKFtG8_yji4HS352LGlSQ/edit?pli=1#gid=0"",""1_ACUM!A4:S""),15,FALSE))"),"")</f>
        <v/>
      </c>
      <c r="AG791" s="43" t="str">
        <f ca="1">IFERROR(__xludf.DUMMYFUNCTION("IFERROR(VLOOKUP(E814&amp;F814,IMPORTRANGE(""https://docs.google.com/spreadsheets/d/1Uw7-A9f9R21vMXxHZFNpYNeKFtG8_yji4HS352LGlSQ/edit?pli=1#gid=0"",""1_ACUM!A4:S""),16,FALSE))"),"")</f>
        <v/>
      </c>
      <c r="AH791" s="43" t="str">
        <f ca="1">IFERROR(__xludf.DUMMYFUNCTION("IFERROR(VLOOKUP(E814&amp;F814,IMPORTRANGE(""https://docs.google.com/spreadsheets/d/1Uw7-A9f9R21vMXxHZFNpYNeKFtG8_yji4HS352LGlSQ/edit?pli=1#gid=0"",""1_ACUM!A4:S""),17,FALSE))"),"")</f>
        <v/>
      </c>
      <c r="AI791" s="44" t="str">
        <f ca="1">IFERROR(__xludf.DUMMYFUNCTION("IFERROR(VLOOKUP(E814&amp;F814,IMPORTRANGE(""https://docs.google.com/spreadsheets/d/1Uw7-A9f9R21vMXxHZFNpYNeKFtG8_yji4HS352LGlSQ/edit?pli=1#gid=0"",""1_ACUM!A4:S""),18,FALSE))"),"")</f>
        <v/>
      </c>
      <c r="AJ791" s="44" t="str">
        <f ca="1">IFERROR(__xludf.DUMMYFUNCTION("IFERROR(VLOOKUP(E814&amp;F814,IMPORTRANGE(""https://docs.google.com/spreadsheets/d/1Uw7-A9f9R21vMXxHZFNpYNeKFtG8_yji4HS352LGlSQ/edit?pli=1#gid=0"",""1_ACUM!A4:S""),19,FALSE))"),"")</f>
        <v/>
      </c>
      <c r="AK791" s="98" t="str">
        <f ca="1">IFERROR(__xludf.DUMMYFUNCTION("IFERROR(VLOOKUP(F814,IMPORTRANGE(""https://docs.google.com/spreadsheets/d/1Kvs4KS76FHFqLFIZfrDMff4kP08nblUkihrxltoGBjg/edit#gid=934712705"",""ESENCIAL!A6:BG""),5,FALSE))"),"")</f>
        <v/>
      </c>
      <c r="AL791" s="98" t="str">
        <f t="shared" si="48"/>
        <v/>
      </c>
      <c r="AM791" s="99" t="str">
        <f t="shared" si="49"/>
        <v/>
      </c>
      <c r="AN791" s="100" t="str">
        <f ca="1">IFERROR(__xludf.DUMMYFUNCTION("IFERROR(VLOOKUP(F814,IMPORTRANGE(""https://docs.google.com/spreadsheets/d/1Kvs4KS76FHFqLFIZfrDMff4kP08nblUkihrxltoGBjg/edit#gid=934712705"",""ESENCIAL!A6:BG""),2,FALSE))"),"")</f>
        <v/>
      </c>
      <c r="AO791" s="19" t="str">
        <f t="shared" si="46"/>
        <v/>
      </c>
      <c r="AP791" s="100"/>
      <c r="AQ791" s="100"/>
    </row>
    <row r="792" spans="1:43" ht="15">
      <c r="A792" s="5"/>
      <c r="B792" s="5"/>
      <c r="G792" s="5" t="str">
        <f ca="1">IFERROR(__xludf.DUMMYFUNCTION("IFERROR(VLOOKUP(F815,IMPORTRANGE(""https://docs.google.com/spreadsheets/d/1Kvs4KS76FHFqLFIZfrDMff4kP08nblUkihrxltoGBjg/edit#gid=934712705"",""ESENCIAL!A6:BG""),3,FALSE))"),"")</f>
        <v/>
      </c>
      <c r="H792" s="5" t="str">
        <f ca="1">IFERROR(__xludf.DUMMYFUNCTION("IFERROR(VLOOKUP(F815,IMPORTRANGE(""https://docs.google.com/spreadsheets/d/1Kvs4KS76FHFqLFIZfrDMff4kP08nblUkihrxltoGBjg/edit#gid=934712705"",""ESENCIAL!A6:BG""),8,FALSE))"),"")</f>
        <v/>
      </c>
      <c r="L792" s="40"/>
      <c r="Z792" s="41" t="str">
        <f t="shared" si="47"/>
        <v/>
      </c>
      <c r="AA792" s="5" t="str">
        <f ca="1">IFERROR(__xludf.DUMMYFUNCTION("IFERROR(VLOOKUP(E815&amp;F815,IMPORTRANGE(""https://docs.google.com/spreadsheets/d/1Uw7-A9f9R21vMXxHZFNpYNeKFtG8_yji4HS352LGlSQ/edit?pli=1#gid=0"",""1_ACUM!A4:S""),11,FALSE))"),"")</f>
        <v/>
      </c>
      <c r="AB792" s="42" t="str">
        <f ca="1">IFERROR(__xludf.DUMMYFUNCTION("IFERROR(VLOOKUP(F815,IMPORTRANGE(""https://docs.google.com/spreadsheets/d/1Kvs4KS76FHFqLFIZfrDMff4kP08nblUkihrxltoGBjg/edit#gid=934712705"",""ESENCIAL!A6:BG""),15,FALSE))"),"")</f>
        <v/>
      </c>
      <c r="AC792" s="110" t="str">
        <f ca="1">IFERROR(__xludf.DUMMYFUNCTION("IFERROR(VLOOKUP(E815&amp;F815,IMPORTRANGE(""https://docs.google.com/spreadsheets/d/1Uw7-A9f9R21vMXxHZFNpYNeKFtG8_yji4HS352LGlSQ/edit?pli=1#gid=0"",""1_ACUM!A4:S""),13,FALSE))"),"")</f>
        <v/>
      </c>
      <c r="AD792" s="43" t="str">
        <f ca="1">IFERROR(__xludf.DUMMYFUNCTION("IFERROR(VLOOKUP(E815&amp;F815,IMPORTRANGE(""https://docs.google.com/spreadsheets/d/1Uw7-A9f9R21vMXxHZFNpYNeKFtG8_yji4HS352LGlSQ/edit?pli=1#gid=0"",""1_ACUM!A4:S""),13,FALSE))"),"")</f>
        <v/>
      </c>
      <c r="AE792" s="43" t="str">
        <f ca="1">IFERROR(__xludf.DUMMYFUNCTION("IFERROR(VLOOKUP(E815&amp;F815,IMPORTRANGE(""https://docs.google.com/spreadsheets/d/1Uw7-A9f9R21vMXxHZFNpYNeKFtG8_yji4HS352LGlSQ/edit?pli=1#gid=0"",""1_ACUM!A4:S""),14,FALSE))"),"")</f>
        <v/>
      </c>
      <c r="AF792" s="43" t="str">
        <f ca="1">IFERROR(__xludf.DUMMYFUNCTION("IFERROR(VLOOKUP(E815&amp;F815,IMPORTRANGE(""https://docs.google.com/spreadsheets/d/1Uw7-A9f9R21vMXxHZFNpYNeKFtG8_yji4HS352LGlSQ/edit?pli=1#gid=0"",""1_ACUM!A4:S""),15,FALSE))"),"")</f>
        <v/>
      </c>
      <c r="AG792" s="43" t="str">
        <f ca="1">IFERROR(__xludf.DUMMYFUNCTION("IFERROR(VLOOKUP(E815&amp;F815,IMPORTRANGE(""https://docs.google.com/spreadsheets/d/1Uw7-A9f9R21vMXxHZFNpYNeKFtG8_yji4HS352LGlSQ/edit?pli=1#gid=0"",""1_ACUM!A4:S""),16,FALSE))"),"")</f>
        <v/>
      </c>
      <c r="AH792" s="43" t="str">
        <f ca="1">IFERROR(__xludf.DUMMYFUNCTION("IFERROR(VLOOKUP(E815&amp;F815,IMPORTRANGE(""https://docs.google.com/spreadsheets/d/1Uw7-A9f9R21vMXxHZFNpYNeKFtG8_yji4HS352LGlSQ/edit?pli=1#gid=0"",""1_ACUM!A4:S""),17,FALSE))"),"")</f>
        <v/>
      </c>
      <c r="AI792" s="44" t="str">
        <f ca="1">IFERROR(__xludf.DUMMYFUNCTION("IFERROR(VLOOKUP(E815&amp;F815,IMPORTRANGE(""https://docs.google.com/spreadsheets/d/1Uw7-A9f9R21vMXxHZFNpYNeKFtG8_yji4HS352LGlSQ/edit?pli=1#gid=0"",""1_ACUM!A4:S""),18,FALSE))"),"")</f>
        <v/>
      </c>
      <c r="AJ792" s="44" t="str">
        <f ca="1">IFERROR(__xludf.DUMMYFUNCTION("IFERROR(VLOOKUP(E815&amp;F815,IMPORTRANGE(""https://docs.google.com/spreadsheets/d/1Uw7-A9f9R21vMXxHZFNpYNeKFtG8_yji4HS352LGlSQ/edit?pli=1#gid=0"",""1_ACUM!A4:S""),19,FALSE))"),"")</f>
        <v/>
      </c>
      <c r="AK792" s="98" t="str">
        <f ca="1">IFERROR(__xludf.DUMMYFUNCTION("IFERROR(VLOOKUP(F815,IMPORTRANGE(""https://docs.google.com/spreadsheets/d/1Kvs4KS76FHFqLFIZfrDMff4kP08nblUkihrxltoGBjg/edit#gid=934712705"",""ESENCIAL!A6:BG""),5,FALSE))"),"")</f>
        <v/>
      </c>
      <c r="AL792" s="98" t="str">
        <f t="shared" si="48"/>
        <v/>
      </c>
      <c r="AM792" s="99" t="str">
        <f t="shared" si="49"/>
        <v/>
      </c>
      <c r="AN792" s="100" t="str">
        <f ca="1">IFERROR(__xludf.DUMMYFUNCTION("IFERROR(VLOOKUP(F815,IMPORTRANGE(""https://docs.google.com/spreadsheets/d/1Kvs4KS76FHFqLFIZfrDMff4kP08nblUkihrxltoGBjg/edit#gid=934712705"",""ESENCIAL!A6:BG""),2,FALSE))"),"")</f>
        <v/>
      </c>
      <c r="AO792" s="19" t="str">
        <f t="shared" si="46"/>
        <v/>
      </c>
      <c r="AP792" s="100"/>
      <c r="AQ792" s="100"/>
    </row>
    <row r="793" spans="1:43" ht="15">
      <c r="A793" s="5"/>
      <c r="B793" s="5"/>
      <c r="G793" s="5" t="str">
        <f ca="1">IFERROR(__xludf.DUMMYFUNCTION("IFERROR(VLOOKUP(F816,IMPORTRANGE(""https://docs.google.com/spreadsheets/d/1Kvs4KS76FHFqLFIZfrDMff4kP08nblUkihrxltoGBjg/edit#gid=934712705"",""ESENCIAL!A6:BG""),3,FALSE))"),"")</f>
        <v/>
      </c>
      <c r="H793" s="5" t="str">
        <f ca="1">IFERROR(__xludf.DUMMYFUNCTION("IFERROR(VLOOKUP(F816,IMPORTRANGE(""https://docs.google.com/spreadsheets/d/1Kvs4KS76FHFqLFIZfrDMff4kP08nblUkihrxltoGBjg/edit#gid=934712705"",""ESENCIAL!A6:BG""),8,FALSE))"),"")</f>
        <v/>
      </c>
      <c r="L793" s="40"/>
      <c r="Z793" s="41" t="str">
        <f t="shared" si="47"/>
        <v/>
      </c>
      <c r="AA793" s="5" t="str">
        <f ca="1">IFERROR(__xludf.DUMMYFUNCTION("IFERROR(VLOOKUP(E816&amp;F816,IMPORTRANGE(""https://docs.google.com/spreadsheets/d/1Uw7-A9f9R21vMXxHZFNpYNeKFtG8_yji4HS352LGlSQ/edit?pli=1#gid=0"",""1_ACUM!A4:S""),11,FALSE))"),"")</f>
        <v/>
      </c>
      <c r="AB793" s="42" t="str">
        <f ca="1">IFERROR(__xludf.DUMMYFUNCTION("IFERROR(VLOOKUP(F816,IMPORTRANGE(""https://docs.google.com/spreadsheets/d/1Kvs4KS76FHFqLFIZfrDMff4kP08nblUkihrxltoGBjg/edit#gid=934712705"",""ESENCIAL!A6:BG""),15,FALSE))"),"")</f>
        <v/>
      </c>
      <c r="AC793" s="110" t="str">
        <f ca="1">IFERROR(__xludf.DUMMYFUNCTION("IFERROR(VLOOKUP(E816&amp;F816,IMPORTRANGE(""https://docs.google.com/spreadsheets/d/1Uw7-A9f9R21vMXxHZFNpYNeKFtG8_yji4HS352LGlSQ/edit?pli=1#gid=0"",""1_ACUM!A4:S""),13,FALSE))"),"")</f>
        <v/>
      </c>
      <c r="AD793" s="43" t="str">
        <f ca="1">IFERROR(__xludf.DUMMYFUNCTION("IFERROR(VLOOKUP(E816&amp;F816,IMPORTRANGE(""https://docs.google.com/spreadsheets/d/1Uw7-A9f9R21vMXxHZFNpYNeKFtG8_yji4HS352LGlSQ/edit?pli=1#gid=0"",""1_ACUM!A4:S""),13,FALSE))"),"")</f>
        <v/>
      </c>
      <c r="AE793" s="43" t="str">
        <f ca="1">IFERROR(__xludf.DUMMYFUNCTION("IFERROR(VLOOKUP(E816&amp;F816,IMPORTRANGE(""https://docs.google.com/spreadsheets/d/1Uw7-A9f9R21vMXxHZFNpYNeKFtG8_yji4HS352LGlSQ/edit?pli=1#gid=0"",""1_ACUM!A4:S""),14,FALSE))"),"")</f>
        <v/>
      </c>
      <c r="AF793" s="43" t="str">
        <f ca="1">IFERROR(__xludf.DUMMYFUNCTION("IFERROR(VLOOKUP(E816&amp;F816,IMPORTRANGE(""https://docs.google.com/spreadsheets/d/1Uw7-A9f9R21vMXxHZFNpYNeKFtG8_yji4HS352LGlSQ/edit?pli=1#gid=0"",""1_ACUM!A4:S""),15,FALSE))"),"")</f>
        <v/>
      </c>
      <c r="AG793" s="43" t="str">
        <f ca="1">IFERROR(__xludf.DUMMYFUNCTION("IFERROR(VLOOKUP(E816&amp;F816,IMPORTRANGE(""https://docs.google.com/spreadsheets/d/1Uw7-A9f9R21vMXxHZFNpYNeKFtG8_yji4HS352LGlSQ/edit?pli=1#gid=0"",""1_ACUM!A4:S""),16,FALSE))"),"")</f>
        <v/>
      </c>
      <c r="AH793" s="43" t="str">
        <f ca="1">IFERROR(__xludf.DUMMYFUNCTION("IFERROR(VLOOKUP(E816&amp;F816,IMPORTRANGE(""https://docs.google.com/spreadsheets/d/1Uw7-A9f9R21vMXxHZFNpYNeKFtG8_yji4HS352LGlSQ/edit?pli=1#gid=0"",""1_ACUM!A4:S""),17,FALSE))"),"")</f>
        <v/>
      </c>
      <c r="AI793" s="44" t="str">
        <f ca="1">IFERROR(__xludf.DUMMYFUNCTION("IFERROR(VLOOKUP(E816&amp;F816,IMPORTRANGE(""https://docs.google.com/spreadsheets/d/1Uw7-A9f9R21vMXxHZFNpYNeKFtG8_yji4HS352LGlSQ/edit?pli=1#gid=0"",""1_ACUM!A4:S""),18,FALSE))"),"")</f>
        <v/>
      </c>
      <c r="AJ793" s="44" t="str">
        <f ca="1">IFERROR(__xludf.DUMMYFUNCTION("IFERROR(VLOOKUP(E816&amp;F816,IMPORTRANGE(""https://docs.google.com/spreadsheets/d/1Uw7-A9f9R21vMXxHZFNpYNeKFtG8_yji4HS352LGlSQ/edit?pli=1#gid=0"",""1_ACUM!A4:S""),19,FALSE))"),"")</f>
        <v/>
      </c>
      <c r="AK793" s="98" t="str">
        <f ca="1">IFERROR(__xludf.DUMMYFUNCTION("IFERROR(VLOOKUP(F816,IMPORTRANGE(""https://docs.google.com/spreadsheets/d/1Kvs4KS76FHFqLFIZfrDMff4kP08nblUkihrxltoGBjg/edit#gid=934712705"",""ESENCIAL!A6:BG""),5,FALSE))"),"")</f>
        <v/>
      </c>
      <c r="AL793" s="98" t="str">
        <f t="shared" si="48"/>
        <v/>
      </c>
      <c r="AM793" s="99" t="str">
        <f t="shared" si="49"/>
        <v/>
      </c>
      <c r="AN793" s="100" t="str">
        <f ca="1">IFERROR(__xludf.DUMMYFUNCTION("IFERROR(VLOOKUP(F816,IMPORTRANGE(""https://docs.google.com/spreadsheets/d/1Kvs4KS76FHFqLFIZfrDMff4kP08nblUkihrxltoGBjg/edit#gid=934712705"",""ESENCIAL!A6:BG""),2,FALSE))"),"")</f>
        <v/>
      </c>
      <c r="AO793" s="19" t="str">
        <f t="shared" si="46"/>
        <v/>
      </c>
      <c r="AP793" s="100"/>
      <c r="AQ793" s="100"/>
    </row>
    <row r="794" spans="1:43" ht="15">
      <c r="A794" s="5"/>
      <c r="B794" s="5"/>
      <c r="G794" s="5" t="str">
        <f ca="1">IFERROR(__xludf.DUMMYFUNCTION("IFERROR(VLOOKUP(F817,IMPORTRANGE(""https://docs.google.com/spreadsheets/d/1Kvs4KS76FHFqLFIZfrDMff4kP08nblUkihrxltoGBjg/edit#gid=934712705"",""ESENCIAL!A6:BG""),3,FALSE))"),"")</f>
        <v/>
      </c>
      <c r="H794" s="5" t="str">
        <f ca="1">IFERROR(__xludf.DUMMYFUNCTION("IFERROR(VLOOKUP(F817,IMPORTRANGE(""https://docs.google.com/spreadsheets/d/1Kvs4KS76FHFqLFIZfrDMff4kP08nblUkihrxltoGBjg/edit#gid=934712705"",""ESENCIAL!A6:BG""),8,FALSE))"),"")</f>
        <v/>
      </c>
      <c r="L794" s="40"/>
      <c r="Z794" s="41" t="str">
        <f t="shared" si="47"/>
        <v/>
      </c>
      <c r="AA794" s="5" t="str">
        <f ca="1">IFERROR(__xludf.DUMMYFUNCTION("IFERROR(VLOOKUP(E817&amp;F817,IMPORTRANGE(""https://docs.google.com/spreadsheets/d/1Uw7-A9f9R21vMXxHZFNpYNeKFtG8_yji4HS352LGlSQ/edit?pli=1#gid=0"",""1_ACUM!A4:S""),11,FALSE))"),"")</f>
        <v/>
      </c>
      <c r="AB794" s="42" t="str">
        <f ca="1">IFERROR(__xludf.DUMMYFUNCTION("IFERROR(VLOOKUP(F817,IMPORTRANGE(""https://docs.google.com/spreadsheets/d/1Kvs4KS76FHFqLFIZfrDMff4kP08nblUkihrxltoGBjg/edit#gid=934712705"",""ESENCIAL!A6:BG""),15,FALSE))"),"")</f>
        <v/>
      </c>
      <c r="AC794" s="110" t="str">
        <f ca="1">IFERROR(__xludf.DUMMYFUNCTION("IFERROR(VLOOKUP(E817&amp;F817,IMPORTRANGE(""https://docs.google.com/spreadsheets/d/1Uw7-A9f9R21vMXxHZFNpYNeKFtG8_yji4HS352LGlSQ/edit?pli=1#gid=0"",""1_ACUM!A4:S""),13,FALSE))"),"")</f>
        <v/>
      </c>
      <c r="AD794" s="43" t="str">
        <f ca="1">IFERROR(__xludf.DUMMYFUNCTION("IFERROR(VLOOKUP(E817&amp;F817,IMPORTRANGE(""https://docs.google.com/spreadsheets/d/1Uw7-A9f9R21vMXxHZFNpYNeKFtG8_yji4HS352LGlSQ/edit?pli=1#gid=0"",""1_ACUM!A4:S""),13,FALSE))"),"")</f>
        <v/>
      </c>
      <c r="AE794" s="43" t="str">
        <f ca="1">IFERROR(__xludf.DUMMYFUNCTION("IFERROR(VLOOKUP(E817&amp;F817,IMPORTRANGE(""https://docs.google.com/spreadsheets/d/1Uw7-A9f9R21vMXxHZFNpYNeKFtG8_yji4HS352LGlSQ/edit?pli=1#gid=0"",""1_ACUM!A4:S""),14,FALSE))"),"")</f>
        <v/>
      </c>
      <c r="AF794" s="43" t="str">
        <f ca="1">IFERROR(__xludf.DUMMYFUNCTION("IFERROR(VLOOKUP(E817&amp;F817,IMPORTRANGE(""https://docs.google.com/spreadsheets/d/1Uw7-A9f9R21vMXxHZFNpYNeKFtG8_yji4HS352LGlSQ/edit?pli=1#gid=0"",""1_ACUM!A4:S""),15,FALSE))"),"")</f>
        <v/>
      </c>
      <c r="AG794" s="43" t="str">
        <f ca="1">IFERROR(__xludf.DUMMYFUNCTION("IFERROR(VLOOKUP(E817&amp;F817,IMPORTRANGE(""https://docs.google.com/spreadsheets/d/1Uw7-A9f9R21vMXxHZFNpYNeKFtG8_yji4HS352LGlSQ/edit?pli=1#gid=0"",""1_ACUM!A4:S""),16,FALSE))"),"")</f>
        <v/>
      </c>
      <c r="AH794" s="43" t="str">
        <f ca="1">IFERROR(__xludf.DUMMYFUNCTION("IFERROR(VLOOKUP(E817&amp;F817,IMPORTRANGE(""https://docs.google.com/spreadsheets/d/1Uw7-A9f9R21vMXxHZFNpYNeKFtG8_yji4HS352LGlSQ/edit?pli=1#gid=0"",""1_ACUM!A4:S""),17,FALSE))"),"")</f>
        <v/>
      </c>
      <c r="AI794" s="44" t="str">
        <f ca="1">IFERROR(__xludf.DUMMYFUNCTION("IFERROR(VLOOKUP(E817&amp;F817,IMPORTRANGE(""https://docs.google.com/spreadsheets/d/1Uw7-A9f9R21vMXxHZFNpYNeKFtG8_yji4HS352LGlSQ/edit?pli=1#gid=0"",""1_ACUM!A4:S""),18,FALSE))"),"")</f>
        <v/>
      </c>
      <c r="AJ794" s="44" t="str">
        <f ca="1">IFERROR(__xludf.DUMMYFUNCTION("IFERROR(VLOOKUP(E817&amp;F817,IMPORTRANGE(""https://docs.google.com/spreadsheets/d/1Uw7-A9f9R21vMXxHZFNpYNeKFtG8_yji4HS352LGlSQ/edit?pli=1#gid=0"",""1_ACUM!A4:S""),19,FALSE))"),"")</f>
        <v/>
      </c>
      <c r="AK794" s="98" t="str">
        <f ca="1">IFERROR(__xludf.DUMMYFUNCTION("IFERROR(VLOOKUP(F817,IMPORTRANGE(""https://docs.google.com/spreadsheets/d/1Kvs4KS76FHFqLFIZfrDMff4kP08nblUkihrxltoGBjg/edit#gid=934712705"",""ESENCIAL!A6:BG""),5,FALSE))"),"")</f>
        <v/>
      </c>
      <c r="AL794" s="98" t="str">
        <f t="shared" si="48"/>
        <v/>
      </c>
      <c r="AM794" s="99" t="str">
        <f t="shared" si="49"/>
        <v/>
      </c>
      <c r="AN794" s="100" t="str">
        <f ca="1">IFERROR(__xludf.DUMMYFUNCTION("IFERROR(VLOOKUP(F817,IMPORTRANGE(""https://docs.google.com/spreadsheets/d/1Kvs4KS76FHFqLFIZfrDMff4kP08nblUkihrxltoGBjg/edit#gid=934712705"",""ESENCIAL!A6:BG""),2,FALSE))"),"")</f>
        <v/>
      </c>
      <c r="AO794" s="19" t="str">
        <f t="shared" si="46"/>
        <v/>
      </c>
      <c r="AP794" s="100"/>
      <c r="AQ794" s="100"/>
    </row>
    <row r="795" spans="1:43" ht="15">
      <c r="A795" s="5"/>
      <c r="B795" s="5"/>
      <c r="G795" s="5" t="str">
        <f ca="1">IFERROR(__xludf.DUMMYFUNCTION("IFERROR(VLOOKUP(F818,IMPORTRANGE(""https://docs.google.com/spreadsheets/d/1Kvs4KS76FHFqLFIZfrDMff4kP08nblUkihrxltoGBjg/edit#gid=934712705"",""ESENCIAL!A6:BG""),3,FALSE))"),"")</f>
        <v/>
      </c>
      <c r="H795" s="5" t="str">
        <f ca="1">IFERROR(__xludf.DUMMYFUNCTION("IFERROR(VLOOKUP(F818,IMPORTRANGE(""https://docs.google.com/spreadsheets/d/1Kvs4KS76FHFqLFIZfrDMff4kP08nblUkihrxltoGBjg/edit#gid=934712705"",""ESENCIAL!A6:BG""),8,FALSE))"),"")</f>
        <v/>
      </c>
      <c r="L795" s="40"/>
      <c r="Z795" s="41" t="str">
        <f t="shared" si="47"/>
        <v/>
      </c>
      <c r="AA795" s="5" t="str">
        <f ca="1">IFERROR(__xludf.DUMMYFUNCTION("IFERROR(VLOOKUP(E818&amp;F818,IMPORTRANGE(""https://docs.google.com/spreadsheets/d/1Uw7-A9f9R21vMXxHZFNpYNeKFtG8_yji4HS352LGlSQ/edit?pli=1#gid=0"",""1_ACUM!A4:S""),11,FALSE))"),"")</f>
        <v/>
      </c>
      <c r="AB795" s="42" t="str">
        <f ca="1">IFERROR(__xludf.DUMMYFUNCTION("IFERROR(VLOOKUP(F818,IMPORTRANGE(""https://docs.google.com/spreadsheets/d/1Kvs4KS76FHFqLFIZfrDMff4kP08nblUkihrxltoGBjg/edit#gid=934712705"",""ESENCIAL!A6:BG""),15,FALSE))"),"")</f>
        <v/>
      </c>
      <c r="AC795" s="110" t="str">
        <f ca="1">IFERROR(__xludf.DUMMYFUNCTION("IFERROR(VLOOKUP(E818&amp;F818,IMPORTRANGE(""https://docs.google.com/spreadsheets/d/1Uw7-A9f9R21vMXxHZFNpYNeKFtG8_yji4HS352LGlSQ/edit?pli=1#gid=0"",""1_ACUM!A4:S""),13,FALSE))"),"")</f>
        <v/>
      </c>
      <c r="AD795" s="43" t="str">
        <f ca="1">IFERROR(__xludf.DUMMYFUNCTION("IFERROR(VLOOKUP(E818&amp;F818,IMPORTRANGE(""https://docs.google.com/spreadsheets/d/1Uw7-A9f9R21vMXxHZFNpYNeKFtG8_yji4HS352LGlSQ/edit?pli=1#gid=0"",""1_ACUM!A4:S""),13,FALSE))"),"")</f>
        <v/>
      </c>
      <c r="AE795" s="43" t="str">
        <f ca="1">IFERROR(__xludf.DUMMYFUNCTION("IFERROR(VLOOKUP(E818&amp;F818,IMPORTRANGE(""https://docs.google.com/spreadsheets/d/1Uw7-A9f9R21vMXxHZFNpYNeKFtG8_yji4HS352LGlSQ/edit?pli=1#gid=0"",""1_ACUM!A4:S""),14,FALSE))"),"")</f>
        <v/>
      </c>
      <c r="AF795" s="43" t="str">
        <f ca="1">IFERROR(__xludf.DUMMYFUNCTION("IFERROR(VLOOKUP(E818&amp;F818,IMPORTRANGE(""https://docs.google.com/spreadsheets/d/1Uw7-A9f9R21vMXxHZFNpYNeKFtG8_yji4HS352LGlSQ/edit?pli=1#gid=0"",""1_ACUM!A4:S""),15,FALSE))"),"")</f>
        <v/>
      </c>
      <c r="AG795" s="43" t="str">
        <f ca="1">IFERROR(__xludf.DUMMYFUNCTION("IFERROR(VLOOKUP(E818&amp;F818,IMPORTRANGE(""https://docs.google.com/spreadsheets/d/1Uw7-A9f9R21vMXxHZFNpYNeKFtG8_yji4HS352LGlSQ/edit?pli=1#gid=0"",""1_ACUM!A4:S""),16,FALSE))"),"")</f>
        <v/>
      </c>
      <c r="AH795" s="43" t="str">
        <f ca="1">IFERROR(__xludf.DUMMYFUNCTION("IFERROR(VLOOKUP(E818&amp;F818,IMPORTRANGE(""https://docs.google.com/spreadsheets/d/1Uw7-A9f9R21vMXxHZFNpYNeKFtG8_yji4HS352LGlSQ/edit?pli=1#gid=0"",""1_ACUM!A4:S""),17,FALSE))"),"")</f>
        <v/>
      </c>
      <c r="AI795" s="44" t="str">
        <f ca="1">IFERROR(__xludf.DUMMYFUNCTION("IFERROR(VLOOKUP(E818&amp;F818,IMPORTRANGE(""https://docs.google.com/spreadsheets/d/1Uw7-A9f9R21vMXxHZFNpYNeKFtG8_yji4HS352LGlSQ/edit?pli=1#gid=0"",""1_ACUM!A4:S""),18,FALSE))"),"")</f>
        <v/>
      </c>
      <c r="AJ795" s="44" t="str">
        <f ca="1">IFERROR(__xludf.DUMMYFUNCTION("IFERROR(VLOOKUP(E818&amp;F818,IMPORTRANGE(""https://docs.google.com/spreadsheets/d/1Uw7-A9f9R21vMXxHZFNpYNeKFtG8_yji4HS352LGlSQ/edit?pli=1#gid=0"",""1_ACUM!A4:S""),19,FALSE))"),"")</f>
        <v/>
      </c>
      <c r="AK795" s="98" t="str">
        <f ca="1">IFERROR(__xludf.DUMMYFUNCTION("IFERROR(VLOOKUP(F818,IMPORTRANGE(""https://docs.google.com/spreadsheets/d/1Kvs4KS76FHFqLFIZfrDMff4kP08nblUkihrxltoGBjg/edit#gid=934712705"",""ESENCIAL!A6:BG""),5,FALSE))"),"")</f>
        <v/>
      </c>
      <c r="AL795" s="98" t="str">
        <f t="shared" si="48"/>
        <v/>
      </c>
      <c r="AM795" s="99" t="str">
        <f t="shared" si="49"/>
        <v/>
      </c>
      <c r="AN795" s="100" t="str">
        <f ca="1">IFERROR(__xludf.DUMMYFUNCTION("IFERROR(VLOOKUP(F818,IMPORTRANGE(""https://docs.google.com/spreadsheets/d/1Kvs4KS76FHFqLFIZfrDMff4kP08nblUkihrxltoGBjg/edit#gid=934712705"",""ESENCIAL!A6:BG""),2,FALSE))"),"")</f>
        <v/>
      </c>
      <c r="AO795" s="19" t="str">
        <f t="shared" si="46"/>
        <v/>
      </c>
      <c r="AP795" s="100"/>
      <c r="AQ795" s="100"/>
    </row>
    <row r="796" spans="1:43" ht="15">
      <c r="A796" s="5"/>
      <c r="B796" s="5"/>
      <c r="G796" s="5" t="str">
        <f ca="1">IFERROR(__xludf.DUMMYFUNCTION("IFERROR(VLOOKUP(F819,IMPORTRANGE(""https://docs.google.com/spreadsheets/d/1Kvs4KS76FHFqLFIZfrDMff4kP08nblUkihrxltoGBjg/edit#gid=934712705"",""ESENCIAL!A6:BG""),3,FALSE))"),"")</f>
        <v/>
      </c>
      <c r="H796" s="5" t="str">
        <f ca="1">IFERROR(__xludf.DUMMYFUNCTION("IFERROR(VLOOKUP(F819,IMPORTRANGE(""https://docs.google.com/spreadsheets/d/1Kvs4KS76FHFqLFIZfrDMff4kP08nblUkihrxltoGBjg/edit#gid=934712705"",""ESENCIAL!A6:BG""),8,FALSE))"),"")</f>
        <v/>
      </c>
      <c r="L796" s="40"/>
      <c r="Z796" s="41" t="str">
        <f t="shared" si="47"/>
        <v/>
      </c>
      <c r="AA796" s="5" t="str">
        <f ca="1">IFERROR(__xludf.DUMMYFUNCTION("IFERROR(VLOOKUP(E819&amp;F819,IMPORTRANGE(""https://docs.google.com/spreadsheets/d/1Uw7-A9f9R21vMXxHZFNpYNeKFtG8_yji4HS352LGlSQ/edit?pli=1#gid=0"",""1_ACUM!A4:S""),11,FALSE))"),"")</f>
        <v/>
      </c>
      <c r="AB796" s="42" t="str">
        <f ca="1">IFERROR(__xludf.DUMMYFUNCTION("IFERROR(VLOOKUP(F819,IMPORTRANGE(""https://docs.google.com/spreadsheets/d/1Kvs4KS76FHFqLFIZfrDMff4kP08nblUkihrxltoGBjg/edit#gid=934712705"",""ESENCIAL!A6:BG""),15,FALSE))"),"")</f>
        <v/>
      </c>
      <c r="AC796" s="110" t="str">
        <f ca="1">IFERROR(__xludf.DUMMYFUNCTION("IFERROR(VLOOKUP(E819&amp;F819,IMPORTRANGE(""https://docs.google.com/spreadsheets/d/1Uw7-A9f9R21vMXxHZFNpYNeKFtG8_yji4HS352LGlSQ/edit?pli=1#gid=0"",""1_ACUM!A4:S""),13,FALSE))"),"")</f>
        <v/>
      </c>
      <c r="AD796" s="43" t="str">
        <f ca="1">IFERROR(__xludf.DUMMYFUNCTION("IFERROR(VLOOKUP(E819&amp;F819,IMPORTRANGE(""https://docs.google.com/spreadsheets/d/1Uw7-A9f9R21vMXxHZFNpYNeKFtG8_yji4HS352LGlSQ/edit?pli=1#gid=0"",""1_ACUM!A4:S""),13,FALSE))"),"")</f>
        <v/>
      </c>
      <c r="AE796" s="43" t="str">
        <f ca="1">IFERROR(__xludf.DUMMYFUNCTION("IFERROR(VLOOKUP(E819&amp;F819,IMPORTRANGE(""https://docs.google.com/spreadsheets/d/1Uw7-A9f9R21vMXxHZFNpYNeKFtG8_yji4HS352LGlSQ/edit?pli=1#gid=0"",""1_ACUM!A4:S""),14,FALSE))"),"")</f>
        <v/>
      </c>
      <c r="AF796" s="43" t="str">
        <f ca="1">IFERROR(__xludf.DUMMYFUNCTION("IFERROR(VLOOKUP(E819&amp;F819,IMPORTRANGE(""https://docs.google.com/spreadsheets/d/1Uw7-A9f9R21vMXxHZFNpYNeKFtG8_yji4HS352LGlSQ/edit?pli=1#gid=0"",""1_ACUM!A4:S""),15,FALSE))"),"")</f>
        <v/>
      </c>
      <c r="AG796" s="43" t="str">
        <f ca="1">IFERROR(__xludf.DUMMYFUNCTION("IFERROR(VLOOKUP(E819&amp;F819,IMPORTRANGE(""https://docs.google.com/spreadsheets/d/1Uw7-A9f9R21vMXxHZFNpYNeKFtG8_yji4HS352LGlSQ/edit?pli=1#gid=0"",""1_ACUM!A4:S""),16,FALSE))"),"")</f>
        <v/>
      </c>
      <c r="AH796" s="43" t="str">
        <f ca="1">IFERROR(__xludf.DUMMYFUNCTION("IFERROR(VLOOKUP(E819&amp;F819,IMPORTRANGE(""https://docs.google.com/spreadsheets/d/1Uw7-A9f9R21vMXxHZFNpYNeKFtG8_yji4HS352LGlSQ/edit?pli=1#gid=0"",""1_ACUM!A4:S""),17,FALSE))"),"")</f>
        <v/>
      </c>
      <c r="AI796" s="44" t="str">
        <f ca="1">IFERROR(__xludf.DUMMYFUNCTION("IFERROR(VLOOKUP(E819&amp;F819,IMPORTRANGE(""https://docs.google.com/spreadsheets/d/1Uw7-A9f9R21vMXxHZFNpYNeKFtG8_yji4HS352LGlSQ/edit?pli=1#gid=0"",""1_ACUM!A4:S""),18,FALSE))"),"")</f>
        <v/>
      </c>
      <c r="AJ796" s="44" t="str">
        <f ca="1">IFERROR(__xludf.DUMMYFUNCTION("IFERROR(VLOOKUP(E819&amp;F819,IMPORTRANGE(""https://docs.google.com/spreadsheets/d/1Uw7-A9f9R21vMXxHZFNpYNeKFtG8_yji4HS352LGlSQ/edit?pli=1#gid=0"",""1_ACUM!A4:S""),19,FALSE))"),"")</f>
        <v/>
      </c>
      <c r="AK796" s="98" t="str">
        <f ca="1">IFERROR(__xludf.DUMMYFUNCTION("IFERROR(VLOOKUP(F819,IMPORTRANGE(""https://docs.google.com/spreadsheets/d/1Kvs4KS76FHFqLFIZfrDMff4kP08nblUkihrxltoGBjg/edit#gid=934712705"",""ESENCIAL!A6:BG""),5,FALSE))"),"")</f>
        <v/>
      </c>
      <c r="AL796" s="98" t="str">
        <f t="shared" si="48"/>
        <v/>
      </c>
      <c r="AM796" s="99" t="str">
        <f t="shared" si="49"/>
        <v/>
      </c>
      <c r="AN796" s="100" t="str">
        <f ca="1">IFERROR(__xludf.DUMMYFUNCTION("IFERROR(VLOOKUP(F819,IMPORTRANGE(""https://docs.google.com/spreadsheets/d/1Kvs4KS76FHFqLFIZfrDMff4kP08nblUkihrxltoGBjg/edit#gid=934712705"",""ESENCIAL!A6:BG""),2,FALSE))"),"")</f>
        <v/>
      </c>
      <c r="AO796" s="19" t="str">
        <f t="shared" si="46"/>
        <v/>
      </c>
      <c r="AP796" s="100"/>
      <c r="AQ796" s="100"/>
    </row>
    <row r="797" spans="1:43" ht="15">
      <c r="A797" s="5"/>
      <c r="B797" s="5"/>
      <c r="G797" s="5" t="str">
        <f ca="1">IFERROR(__xludf.DUMMYFUNCTION("IFERROR(VLOOKUP(F820,IMPORTRANGE(""https://docs.google.com/spreadsheets/d/1Kvs4KS76FHFqLFIZfrDMff4kP08nblUkihrxltoGBjg/edit#gid=934712705"",""ESENCIAL!A6:BG""),3,FALSE))"),"")</f>
        <v/>
      </c>
      <c r="H797" s="5" t="str">
        <f ca="1">IFERROR(__xludf.DUMMYFUNCTION("IFERROR(VLOOKUP(F820,IMPORTRANGE(""https://docs.google.com/spreadsheets/d/1Kvs4KS76FHFqLFIZfrDMff4kP08nblUkihrxltoGBjg/edit#gid=934712705"",""ESENCIAL!A6:BG""),8,FALSE))"),"")</f>
        <v/>
      </c>
      <c r="L797" s="40"/>
      <c r="Z797" s="41" t="str">
        <f t="shared" si="47"/>
        <v/>
      </c>
      <c r="AA797" s="5" t="str">
        <f ca="1">IFERROR(__xludf.DUMMYFUNCTION("IFERROR(VLOOKUP(E820&amp;F820,IMPORTRANGE(""https://docs.google.com/spreadsheets/d/1Uw7-A9f9R21vMXxHZFNpYNeKFtG8_yji4HS352LGlSQ/edit?pli=1#gid=0"",""1_ACUM!A4:S""),11,FALSE))"),"")</f>
        <v/>
      </c>
      <c r="AB797" s="42" t="str">
        <f ca="1">IFERROR(__xludf.DUMMYFUNCTION("IFERROR(VLOOKUP(F820,IMPORTRANGE(""https://docs.google.com/spreadsheets/d/1Kvs4KS76FHFqLFIZfrDMff4kP08nblUkihrxltoGBjg/edit#gid=934712705"",""ESENCIAL!A6:BG""),15,FALSE))"),"")</f>
        <v/>
      </c>
      <c r="AC797" s="110" t="str">
        <f ca="1">IFERROR(__xludf.DUMMYFUNCTION("IFERROR(VLOOKUP(E820&amp;F820,IMPORTRANGE(""https://docs.google.com/spreadsheets/d/1Uw7-A9f9R21vMXxHZFNpYNeKFtG8_yji4HS352LGlSQ/edit?pli=1#gid=0"",""1_ACUM!A4:S""),13,FALSE))"),"")</f>
        <v/>
      </c>
      <c r="AD797" s="43" t="str">
        <f ca="1">IFERROR(__xludf.DUMMYFUNCTION("IFERROR(VLOOKUP(E820&amp;F820,IMPORTRANGE(""https://docs.google.com/spreadsheets/d/1Uw7-A9f9R21vMXxHZFNpYNeKFtG8_yji4HS352LGlSQ/edit?pli=1#gid=0"",""1_ACUM!A4:S""),13,FALSE))"),"")</f>
        <v/>
      </c>
      <c r="AE797" s="43" t="str">
        <f ca="1">IFERROR(__xludf.DUMMYFUNCTION("IFERROR(VLOOKUP(E820&amp;F820,IMPORTRANGE(""https://docs.google.com/spreadsheets/d/1Uw7-A9f9R21vMXxHZFNpYNeKFtG8_yji4HS352LGlSQ/edit?pli=1#gid=0"",""1_ACUM!A4:S""),14,FALSE))"),"")</f>
        <v/>
      </c>
      <c r="AF797" s="43" t="str">
        <f ca="1">IFERROR(__xludf.DUMMYFUNCTION("IFERROR(VLOOKUP(E820&amp;F820,IMPORTRANGE(""https://docs.google.com/spreadsheets/d/1Uw7-A9f9R21vMXxHZFNpYNeKFtG8_yji4HS352LGlSQ/edit?pli=1#gid=0"",""1_ACUM!A4:S""),15,FALSE))"),"")</f>
        <v/>
      </c>
      <c r="AG797" s="43" t="str">
        <f ca="1">IFERROR(__xludf.DUMMYFUNCTION("IFERROR(VLOOKUP(E820&amp;F820,IMPORTRANGE(""https://docs.google.com/spreadsheets/d/1Uw7-A9f9R21vMXxHZFNpYNeKFtG8_yji4HS352LGlSQ/edit?pli=1#gid=0"",""1_ACUM!A4:S""),16,FALSE))"),"")</f>
        <v/>
      </c>
      <c r="AH797" s="43" t="str">
        <f ca="1">IFERROR(__xludf.DUMMYFUNCTION("IFERROR(VLOOKUP(E820&amp;F820,IMPORTRANGE(""https://docs.google.com/spreadsheets/d/1Uw7-A9f9R21vMXxHZFNpYNeKFtG8_yji4HS352LGlSQ/edit?pli=1#gid=0"",""1_ACUM!A4:S""),17,FALSE))"),"")</f>
        <v/>
      </c>
      <c r="AI797" s="44" t="str">
        <f ca="1">IFERROR(__xludf.DUMMYFUNCTION("IFERROR(VLOOKUP(E820&amp;F820,IMPORTRANGE(""https://docs.google.com/spreadsheets/d/1Uw7-A9f9R21vMXxHZFNpYNeKFtG8_yji4HS352LGlSQ/edit?pli=1#gid=0"",""1_ACUM!A4:S""),18,FALSE))"),"")</f>
        <v/>
      </c>
      <c r="AJ797" s="44" t="str">
        <f ca="1">IFERROR(__xludf.DUMMYFUNCTION("IFERROR(VLOOKUP(E820&amp;F820,IMPORTRANGE(""https://docs.google.com/spreadsheets/d/1Uw7-A9f9R21vMXxHZFNpYNeKFtG8_yji4HS352LGlSQ/edit?pli=1#gid=0"",""1_ACUM!A4:S""),19,FALSE))"),"")</f>
        <v/>
      </c>
      <c r="AK797" s="98" t="str">
        <f ca="1">IFERROR(__xludf.DUMMYFUNCTION("IFERROR(VLOOKUP(F820,IMPORTRANGE(""https://docs.google.com/spreadsheets/d/1Kvs4KS76FHFqLFIZfrDMff4kP08nblUkihrxltoGBjg/edit#gid=934712705"",""ESENCIAL!A6:BG""),5,FALSE))"),"")</f>
        <v/>
      </c>
      <c r="AL797" s="98" t="str">
        <f t="shared" si="48"/>
        <v/>
      </c>
      <c r="AM797" s="99" t="str">
        <f t="shared" si="49"/>
        <v/>
      </c>
      <c r="AN797" s="100" t="str">
        <f ca="1">IFERROR(__xludf.DUMMYFUNCTION("IFERROR(VLOOKUP(F820,IMPORTRANGE(""https://docs.google.com/spreadsheets/d/1Kvs4KS76FHFqLFIZfrDMff4kP08nblUkihrxltoGBjg/edit#gid=934712705"",""ESENCIAL!A6:BG""),2,FALSE))"),"")</f>
        <v/>
      </c>
      <c r="AO797" s="19" t="str">
        <f t="shared" si="46"/>
        <v/>
      </c>
      <c r="AP797" s="100"/>
      <c r="AQ797" s="100"/>
    </row>
    <row r="798" spans="1:43" ht="15">
      <c r="A798" s="5"/>
      <c r="B798" s="5"/>
      <c r="G798" s="5" t="str">
        <f ca="1">IFERROR(__xludf.DUMMYFUNCTION("IFERROR(VLOOKUP(F821,IMPORTRANGE(""https://docs.google.com/spreadsheets/d/1Kvs4KS76FHFqLFIZfrDMff4kP08nblUkihrxltoGBjg/edit#gid=934712705"",""ESENCIAL!A6:BG""),3,FALSE))"),"")</f>
        <v/>
      </c>
      <c r="H798" s="5" t="str">
        <f ca="1">IFERROR(__xludf.DUMMYFUNCTION("IFERROR(VLOOKUP(F821,IMPORTRANGE(""https://docs.google.com/spreadsheets/d/1Kvs4KS76FHFqLFIZfrDMff4kP08nblUkihrxltoGBjg/edit#gid=934712705"",""ESENCIAL!A6:BG""),8,FALSE))"),"")</f>
        <v/>
      </c>
      <c r="L798" s="40"/>
      <c r="Z798" s="41" t="str">
        <f t="shared" si="47"/>
        <v/>
      </c>
      <c r="AA798" s="5" t="str">
        <f ca="1">IFERROR(__xludf.DUMMYFUNCTION("IFERROR(VLOOKUP(E821&amp;F821,IMPORTRANGE(""https://docs.google.com/spreadsheets/d/1Uw7-A9f9R21vMXxHZFNpYNeKFtG8_yji4HS352LGlSQ/edit?pli=1#gid=0"",""1_ACUM!A4:S""),11,FALSE))"),"")</f>
        <v/>
      </c>
      <c r="AB798" s="42" t="str">
        <f ca="1">IFERROR(__xludf.DUMMYFUNCTION("IFERROR(VLOOKUP(F821,IMPORTRANGE(""https://docs.google.com/spreadsheets/d/1Kvs4KS76FHFqLFIZfrDMff4kP08nblUkihrxltoGBjg/edit#gid=934712705"",""ESENCIAL!A6:BG""),15,FALSE))"),"")</f>
        <v/>
      </c>
      <c r="AC798" s="110" t="str">
        <f ca="1">IFERROR(__xludf.DUMMYFUNCTION("IFERROR(VLOOKUP(E821&amp;F821,IMPORTRANGE(""https://docs.google.com/spreadsheets/d/1Uw7-A9f9R21vMXxHZFNpYNeKFtG8_yji4HS352LGlSQ/edit?pli=1#gid=0"",""1_ACUM!A4:S""),13,FALSE))"),"")</f>
        <v/>
      </c>
      <c r="AD798" s="43" t="str">
        <f ca="1">IFERROR(__xludf.DUMMYFUNCTION("IFERROR(VLOOKUP(E821&amp;F821,IMPORTRANGE(""https://docs.google.com/spreadsheets/d/1Uw7-A9f9R21vMXxHZFNpYNeKFtG8_yji4HS352LGlSQ/edit?pli=1#gid=0"",""1_ACUM!A4:S""),13,FALSE))"),"")</f>
        <v/>
      </c>
      <c r="AE798" s="43" t="str">
        <f ca="1">IFERROR(__xludf.DUMMYFUNCTION("IFERROR(VLOOKUP(E821&amp;F821,IMPORTRANGE(""https://docs.google.com/spreadsheets/d/1Uw7-A9f9R21vMXxHZFNpYNeKFtG8_yji4HS352LGlSQ/edit?pli=1#gid=0"",""1_ACUM!A4:S""),14,FALSE))"),"")</f>
        <v/>
      </c>
      <c r="AF798" s="43" t="str">
        <f ca="1">IFERROR(__xludf.DUMMYFUNCTION("IFERROR(VLOOKUP(E821&amp;F821,IMPORTRANGE(""https://docs.google.com/spreadsheets/d/1Uw7-A9f9R21vMXxHZFNpYNeKFtG8_yji4HS352LGlSQ/edit?pli=1#gid=0"",""1_ACUM!A4:S""),15,FALSE))"),"")</f>
        <v/>
      </c>
      <c r="AG798" s="43" t="str">
        <f ca="1">IFERROR(__xludf.DUMMYFUNCTION("IFERROR(VLOOKUP(E821&amp;F821,IMPORTRANGE(""https://docs.google.com/spreadsheets/d/1Uw7-A9f9R21vMXxHZFNpYNeKFtG8_yji4HS352LGlSQ/edit?pli=1#gid=0"",""1_ACUM!A4:S""),16,FALSE))"),"")</f>
        <v/>
      </c>
      <c r="AH798" s="43" t="str">
        <f ca="1">IFERROR(__xludf.DUMMYFUNCTION("IFERROR(VLOOKUP(E821&amp;F821,IMPORTRANGE(""https://docs.google.com/spreadsheets/d/1Uw7-A9f9R21vMXxHZFNpYNeKFtG8_yji4HS352LGlSQ/edit?pli=1#gid=0"",""1_ACUM!A4:S""),17,FALSE))"),"")</f>
        <v/>
      </c>
      <c r="AI798" s="44" t="str">
        <f ca="1">IFERROR(__xludf.DUMMYFUNCTION("IFERROR(VLOOKUP(E821&amp;F821,IMPORTRANGE(""https://docs.google.com/spreadsheets/d/1Uw7-A9f9R21vMXxHZFNpYNeKFtG8_yji4HS352LGlSQ/edit?pli=1#gid=0"",""1_ACUM!A4:S""),18,FALSE))"),"")</f>
        <v/>
      </c>
      <c r="AJ798" s="44" t="str">
        <f ca="1">IFERROR(__xludf.DUMMYFUNCTION("IFERROR(VLOOKUP(E821&amp;F821,IMPORTRANGE(""https://docs.google.com/spreadsheets/d/1Uw7-A9f9R21vMXxHZFNpYNeKFtG8_yji4HS352LGlSQ/edit?pli=1#gid=0"",""1_ACUM!A4:S""),19,FALSE))"),"")</f>
        <v/>
      </c>
      <c r="AK798" s="98" t="str">
        <f ca="1">IFERROR(__xludf.DUMMYFUNCTION("IFERROR(VLOOKUP(F821,IMPORTRANGE(""https://docs.google.com/spreadsheets/d/1Kvs4KS76FHFqLFIZfrDMff4kP08nblUkihrxltoGBjg/edit#gid=934712705"",""ESENCIAL!A6:BG""),5,FALSE))"),"")</f>
        <v/>
      </c>
      <c r="AL798" s="98" t="str">
        <f t="shared" si="48"/>
        <v/>
      </c>
      <c r="AM798" s="99" t="str">
        <f t="shared" si="49"/>
        <v/>
      </c>
      <c r="AN798" s="100" t="str">
        <f ca="1">IFERROR(__xludf.DUMMYFUNCTION("IFERROR(VLOOKUP(F821,IMPORTRANGE(""https://docs.google.com/spreadsheets/d/1Kvs4KS76FHFqLFIZfrDMff4kP08nblUkihrxltoGBjg/edit#gid=934712705"",""ESENCIAL!A6:BG""),2,FALSE))"),"")</f>
        <v/>
      </c>
      <c r="AO798" s="19" t="str">
        <f t="shared" si="46"/>
        <v/>
      </c>
      <c r="AP798" s="100"/>
      <c r="AQ798" s="100"/>
    </row>
    <row r="799" spans="1:43" ht="15">
      <c r="A799" s="5"/>
      <c r="B799" s="5"/>
      <c r="G799" s="5" t="str">
        <f ca="1">IFERROR(__xludf.DUMMYFUNCTION("IFERROR(VLOOKUP(F822,IMPORTRANGE(""https://docs.google.com/spreadsheets/d/1Kvs4KS76FHFqLFIZfrDMff4kP08nblUkihrxltoGBjg/edit#gid=934712705"",""ESENCIAL!A6:BG""),3,FALSE))"),"")</f>
        <v/>
      </c>
      <c r="H799" s="5" t="str">
        <f ca="1">IFERROR(__xludf.DUMMYFUNCTION("IFERROR(VLOOKUP(F822,IMPORTRANGE(""https://docs.google.com/spreadsheets/d/1Kvs4KS76FHFqLFIZfrDMff4kP08nblUkihrxltoGBjg/edit#gid=934712705"",""ESENCIAL!A6:BG""),8,FALSE))"),"")</f>
        <v/>
      </c>
      <c r="L799" s="40"/>
      <c r="Z799" s="41" t="str">
        <f t="shared" si="47"/>
        <v/>
      </c>
      <c r="AA799" s="5" t="str">
        <f ca="1">IFERROR(__xludf.DUMMYFUNCTION("IFERROR(VLOOKUP(E822&amp;F822,IMPORTRANGE(""https://docs.google.com/spreadsheets/d/1Uw7-A9f9R21vMXxHZFNpYNeKFtG8_yji4HS352LGlSQ/edit?pli=1#gid=0"",""1_ACUM!A4:S""),11,FALSE))"),"")</f>
        <v/>
      </c>
      <c r="AB799" s="42" t="str">
        <f ca="1">IFERROR(__xludf.DUMMYFUNCTION("IFERROR(VLOOKUP(F822,IMPORTRANGE(""https://docs.google.com/spreadsheets/d/1Kvs4KS76FHFqLFIZfrDMff4kP08nblUkihrxltoGBjg/edit#gid=934712705"",""ESENCIAL!A6:BG""),15,FALSE))"),"")</f>
        <v/>
      </c>
      <c r="AC799" s="110" t="str">
        <f ca="1">IFERROR(__xludf.DUMMYFUNCTION("IFERROR(VLOOKUP(E822&amp;F822,IMPORTRANGE(""https://docs.google.com/spreadsheets/d/1Uw7-A9f9R21vMXxHZFNpYNeKFtG8_yji4HS352LGlSQ/edit?pli=1#gid=0"",""1_ACUM!A4:S""),13,FALSE))"),"")</f>
        <v/>
      </c>
      <c r="AD799" s="43" t="str">
        <f ca="1">IFERROR(__xludf.DUMMYFUNCTION("IFERROR(VLOOKUP(E822&amp;F822,IMPORTRANGE(""https://docs.google.com/spreadsheets/d/1Uw7-A9f9R21vMXxHZFNpYNeKFtG8_yji4HS352LGlSQ/edit?pli=1#gid=0"",""1_ACUM!A4:S""),13,FALSE))"),"")</f>
        <v/>
      </c>
      <c r="AE799" s="43" t="str">
        <f ca="1">IFERROR(__xludf.DUMMYFUNCTION("IFERROR(VLOOKUP(E822&amp;F822,IMPORTRANGE(""https://docs.google.com/spreadsheets/d/1Uw7-A9f9R21vMXxHZFNpYNeKFtG8_yji4HS352LGlSQ/edit?pli=1#gid=0"",""1_ACUM!A4:S""),14,FALSE))"),"")</f>
        <v/>
      </c>
      <c r="AF799" s="43" t="str">
        <f ca="1">IFERROR(__xludf.DUMMYFUNCTION("IFERROR(VLOOKUP(E822&amp;F822,IMPORTRANGE(""https://docs.google.com/spreadsheets/d/1Uw7-A9f9R21vMXxHZFNpYNeKFtG8_yji4HS352LGlSQ/edit?pli=1#gid=0"",""1_ACUM!A4:S""),15,FALSE))"),"")</f>
        <v/>
      </c>
      <c r="AG799" s="43" t="str">
        <f ca="1">IFERROR(__xludf.DUMMYFUNCTION("IFERROR(VLOOKUP(E822&amp;F822,IMPORTRANGE(""https://docs.google.com/spreadsheets/d/1Uw7-A9f9R21vMXxHZFNpYNeKFtG8_yji4HS352LGlSQ/edit?pli=1#gid=0"",""1_ACUM!A4:S""),16,FALSE))"),"")</f>
        <v/>
      </c>
      <c r="AH799" s="43" t="str">
        <f ca="1">IFERROR(__xludf.DUMMYFUNCTION("IFERROR(VLOOKUP(E822&amp;F822,IMPORTRANGE(""https://docs.google.com/spreadsheets/d/1Uw7-A9f9R21vMXxHZFNpYNeKFtG8_yji4HS352LGlSQ/edit?pli=1#gid=0"",""1_ACUM!A4:S""),17,FALSE))"),"")</f>
        <v/>
      </c>
      <c r="AI799" s="44" t="str">
        <f ca="1">IFERROR(__xludf.DUMMYFUNCTION("IFERROR(VLOOKUP(E822&amp;F822,IMPORTRANGE(""https://docs.google.com/spreadsheets/d/1Uw7-A9f9R21vMXxHZFNpYNeKFtG8_yji4HS352LGlSQ/edit?pli=1#gid=0"",""1_ACUM!A4:S""),18,FALSE))"),"")</f>
        <v/>
      </c>
      <c r="AJ799" s="44" t="str">
        <f ca="1">IFERROR(__xludf.DUMMYFUNCTION("IFERROR(VLOOKUP(E822&amp;F822,IMPORTRANGE(""https://docs.google.com/spreadsheets/d/1Uw7-A9f9R21vMXxHZFNpYNeKFtG8_yji4HS352LGlSQ/edit?pli=1#gid=0"",""1_ACUM!A4:S""),19,FALSE))"),"")</f>
        <v/>
      </c>
      <c r="AK799" s="98" t="str">
        <f ca="1">IFERROR(__xludf.DUMMYFUNCTION("IFERROR(VLOOKUP(F822,IMPORTRANGE(""https://docs.google.com/spreadsheets/d/1Kvs4KS76FHFqLFIZfrDMff4kP08nblUkihrxltoGBjg/edit#gid=934712705"",""ESENCIAL!A6:BG""),5,FALSE))"),"")</f>
        <v/>
      </c>
      <c r="AL799" s="98" t="str">
        <f t="shared" si="48"/>
        <v/>
      </c>
      <c r="AM799" s="99" t="str">
        <f t="shared" si="49"/>
        <v/>
      </c>
      <c r="AN799" s="100" t="str">
        <f ca="1">IFERROR(__xludf.DUMMYFUNCTION("IFERROR(VLOOKUP(F822,IMPORTRANGE(""https://docs.google.com/spreadsheets/d/1Kvs4KS76FHFqLFIZfrDMff4kP08nblUkihrxltoGBjg/edit#gid=934712705"",""ESENCIAL!A6:BG""),2,FALSE))"),"")</f>
        <v/>
      </c>
      <c r="AO799" s="19" t="str">
        <f t="shared" si="46"/>
        <v/>
      </c>
      <c r="AP799" s="100"/>
      <c r="AQ799" s="100"/>
    </row>
    <row r="800" spans="1:43" ht="15">
      <c r="A800" s="5"/>
      <c r="B800" s="5"/>
      <c r="G800" s="5" t="str">
        <f ca="1">IFERROR(__xludf.DUMMYFUNCTION("IFERROR(VLOOKUP(F823,IMPORTRANGE(""https://docs.google.com/spreadsheets/d/1Kvs4KS76FHFqLFIZfrDMff4kP08nblUkihrxltoGBjg/edit#gid=934712705"",""ESENCIAL!A6:BG""),3,FALSE))"),"")</f>
        <v/>
      </c>
      <c r="H800" s="5" t="str">
        <f ca="1">IFERROR(__xludf.DUMMYFUNCTION("IFERROR(VLOOKUP(F823,IMPORTRANGE(""https://docs.google.com/spreadsheets/d/1Kvs4KS76FHFqLFIZfrDMff4kP08nblUkihrxltoGBjg/edit#gid=934712705"",""ESENCIAL!A6:BG""),8,FALSE))"),"")</f>
        <v/>
      </c>
      <c r="L800" s="40"/>
      <c r="Z800" s="41" t="str">
        <f t="shared" si="47"/>
        <v/>
      </c>
      <c r="AA800" s="5" t="str">
        <f ca="1">IFERROR(__xludf.DUMMYFUNCTION("IFERROR(VLOOKUP(E823&amp;F823,IMPORTRANGE(""https://docs.google.com/spreadsheets/d/1Uw7-A9f9R21vMXxHZFNpYNeKFtG8_yji4HS352LGlSQ/edit?pli=1#gid=0"",""1_ACUM!A4:S""),11,FALSE))"),"")</f>
        <v/>
      </c>
      <c r="AB800" s="42" t="str">
        <f ca="1">IFERROR(__xludf.DUMMYFUNCTION("IFERROR(VLOOKUP(F823,IMPORTRANGE(""https://docs.google.com/spreadsheets/d/1Kvs4KS76FHFqLFIZfrDMff4kP08nblUkihrxltoGBjg/edit#gid=934712705"",""ESENCIAL!A6:BG""),15,FALSE))"),"")</f>
        <v/>
      </c>
      <c r="AC800" s="110" t="str">
        <f ca="1">IFERROR(__xludf.DUMMYFUNCTION("IFERROR(VLOOKUP(E823&amp;F823,IMPORTRANGE(""https://docs.google.com/spreadsheets/d/1Uw7-A9f9R21vMXxHZFNpYNeKFtG8_yji4HS352LGlSQ/edit?pli=1#gid=0"",""1_ACUM!A4:S""),13,FALSE))"),"")</f>
        <v/>
      </c>
      <c r="AD800" s="43" t="str">
        <f ca="1">IFERROR(__xludf.DUMMYFUNCTION("IFERROR(VLOOKUP(E823&amp;F823,IMPORTRANGE(""https://docs.google.com/spreadsheets/d/1Uw7-A9f9R21vMXxHZFNpYNeKFtG8_yji4HS352LGlSQ/edit?pli=1#gid=0"",""1_ACUM!A4:S""),13,FALSE))"),"")</f>
        <v/>
      </c>
      <c r="AE800" s="43" t="str">
        <f ca="1">IFERROR(__xludf.DUMMYFUNCTION("IFERROR(VLOOKUP(E823&amp;F823,IMPORTRANGE(""https://docs.google.com/spreadsheets/d/1Uw7-A9f9R21vMXxHZFNpYNeKFtG8_yji4HS352LGlSQ/edit?pli=1#gid=0"",""1_ACUM!A4:S""),14,FALSE))"),"")</f>
        <v/>
      </c>
      <c r="AF800" s="43" t="str">
        <f ca="1">IFERROR(__xludf.DUMMYFUNCTION("IFERROR(VLOOKUP(E823&amp;F823,IMPORTRANGE(""https://docs.google.com/spreadsheets/d/1Uw7-A9f9R21vMXxHZFNpYNeKFtG8_yji4HS352LGlSQ/edit?pli=1#gid=0"",""1_ACUM!A4:S""),15,FALSE))"),"")</f>
        <v/>
      </c>
      <c r="AG800" s="43" t="str">
        <f ca="1">IFERROR(__xludf.DUMMYFUNCTION("IFERROR(VLOOKUP(E823&amp;F823,IMPORTRANGE(""https://docs.google.com/spreadsheets/d/1Uw7-A9f9R21vMXxHZFNpYNeKFtG8_yji4HS352LGlSQ/edit?pli=1#gid=0"",""1_ACUM!A4:S""),16,FALSE))"),"")</f>
        <v/>
      </c>
      <c r="AH800" s="43" t="str">
        <f ca="1">IFERROR(__xludf.DUMMYFUNCTION("IFERROR(VLOOKUP(E823&amp;F823,IMPORTRANGE(""https://docs.google.com/spreadsheets/d/1Uw7-A9f9R21vMXxHZFNpYNeKFtG8_yji4HS352LGlSQ/edit?pli=1#gid=0"",""1_ACUM!A4:S""),17,FALSE))"),"")</f>
        <v/>
      </c>
      <c r="AI800" s="44" t="str">
        <f ca="1">IFERROR(__xludf.DUMMYFUNCTION("IFERROR(VLOOKUP(E823&amp;F823,IMPORTRANGE(""https://docs.google.com/spreadsheets/d/1Uw7-A9f9R21vMXxHZFNpYNeKFtG8_yji4HS352LGlSQ/edit?pli=1#gid=0"",""1_ACUM!A4:S""),18,FALSE))"),"")</f>
        <v/>
      </c>
      <c r="AJ800" s="44" t="str">
        <f ca="1">IFERROR(__xludf.DUMMYFUNCTION("IFERROR(VLOOKUP(E823&amp;F823,IMPORTRANGE(""https://docs.google.com/spreadsheets/d/1Uw7-A9f9R21vMXxHZFNpYNeKFtG8_yji4HS352LGlSQ/edit?pli=1#gid=0"",""1_ACUM!A4:S""),19,FALSE))"),"")</f>
        <v/>
      </c>
      <c r="AK800" s="98" t="str">
        <f ca="1">IFERROR(__xludf.DUMMYFUNCTION("IFERROR(VLOOKUP(F823,IMPORTRANGE(""https://docs.google.com/spreadsheets/d/1Kvs4KS76FHFqLFIZfrDMff4kP08nblUkihrxltoGBjg/edit#gid=934712705"",""ESENCIAL!A6:BG""),5,FALSE))"),"")</f>
        <v/>
      </c>
      <c r="AL800" s="98" t="str">
        <f t="shared" si="48"/>
        <v/>
      </c>
      <c r="AM800" s="99" t="str">
        <f t="shared" si="49"/>
        <v/>
      </c>
      <c r="AN800" s="100" t="str">
        <f ca="1">IFERROR(__xludf.DUMMYFUNCTION("IFERROR(VLOOKUP(F823,IMPORTRANGE(""https://docs.google.com/spreadsheets/d/1Kvs4KS76FHFqLFIZfrDMff4kP08nblUkihrxltoGBjg/edit#gid=934712705"",""ESENCIAL!A6:BG""),2,FALSE))"),"")</f>
        <v/>
      </c>
      <c r="AO800" s="19" t="str">
        <f t="shared" si="46"/>
        <v/>
      </c>
      <c r="AP800" s="100"/>
      <c r="AQ800" s="100"/>
    </row>
    <row r="801" spans="1:43" ht="15">
      <c r="A801" s="5"/>
      <c r="B801" s="5"/>
      <c r="G801" s="5" t="str">
        <f ca="1">IFERROR(__xludf.DUMMYFUNCTION("IFERROR(VLOOKUP(F824,IMPORTRANGE(""https://docs.google.com/spreadsheets/d/1Kvs4KS76FHFqLFIZfrDMff4kP08nblUkihrxltoGBjg/edit#gid=934712705"",""ESENCIAL!A6:BG""),3,FALSE))"),"")</f>
        <v/>
      </c>
      <c r="H801" s="5" t="str">
        <f ca="1">IFERROR(__xludf.DUMMYFUNCTION("IFERROR(VLOOKUP(F824,IMPORTRANGE(""https://docs.google.com/spreadsheets/d/1Kvs4KS76FHFqLFIZfrDMff4kP08nblUkihrxltoGBjg/edit#gid=934712705"",""ESENCIAL!A6:BG""),8,FALSE))"),"")</f>
        <v/>
      </c>
      <c r="L801" s="40"/>
      <c r="Z801" s="41" t="str">
        <f t="shared" si="47"/>
        <v/>
      </c>
      <c r="AA801" s="5" t="str">
        <f ca="1">IFERROR(__xludf.DUMMYFUNCTION("IFERROR(VLOOKUP(E824&amp;F824,IMPORTRANGE(""https://docs.google.com/spreadsheets/d/1Uw7-A9f9R21vMXxHZFNpYNeKFtG8_yji4HS352LGlSQ/edit?pli=1#gid=0"",""1_ACUM!A4:S""),11,FALSE))"),"")</f>
        <v/>
      </c>
      <c r="AB801" s="42" t="str">
        <f ca="1">IFERROR(__xludf.DUMMYFUNCTION("IFERROR(VLOOKUP(F824,IMPORTRANGE(""https://docs.google.com/spreadsheets/d/1Kvs4KS76FHFqLFIZfrDMff4kP08nblUkihrxltoGBjg/edit#gid=934712705"",""ESENCIAL!A6:BG""),15,FALSE))"),"")</f>
        <v/>
      </c>
      <c r="AC801" s="110" t="str">
        <f ca="1">IFERROR(__xludf.DUMMYFUNCTION("IFERROR(VLOOKUP(E824&amp;F824,IMPORTRANGE(""https://docs.google.com/spreadsheets/d/1Uw7-A9f9R21vMXxHZFNpYNeKFtG8_yji4HS352LGlSQ/edit?pli=1#gid=0"",""1_ACUM!A4:S""),13,FALSE))"),"")</f>
        <v/>
      </c>
      <c r="AD801" s="43" t="str">
        <f ca="1">IFERROR(__xludf.DUMMYFUNCTION("IFERROR(VLOOKUP(E824&amp;F824,IMPORTRANGE(""https://docs.google.com/spreadsheets/d/1Uw7-A9f9R21vMXxHZFNpYNeKFtG8_yji4HS352LGlSQ/edit?pli=1#gid=0"",""1_ACUM!A4:S""),13,FALSE))"),"")</f>
        <v/>
      </c>
      <c r="AE801" s="43" t="str">
        <f ca="1">IFERROR(__xludf.DUMMYFUNCTION("IFERROR(VLOOKUP(E824&amp;F824,IMPORTRANGE(""https://docs.google.com/spreadsheets/d/1Uw7-A9f9R21vMXxHZFNpYNeKFtG8_yji4HS352LGlSQ/edit?pli=1#gid=0"",""1_ACUM!A4:S""),14,FALSE))"),"")</f>
        <v/>
      </c>
      <c r="AF801" s="43" t="str">
        <f ca="1">IFERROR(__xludf.DUMMYFUNCTION("IFERROR(VLOOKUP(E824&amp;F824,IMPORTRANGE(""https://docs.google.com/spreadsheets/d/1Uw7-A9f9R21vMXxHZFNpYNeKFtG8_yji4HS352LGlSQ/edit?pli=1#gid=0"",""1_ACUM!A4:S""),15,FALSE))"),"")</f>
        <v/>
      </c>
      <c r="AG801" s="43" t="str">
        <f ca="1">IFERROR(__xludf.DUMMYFUNCTION("IFERROR(VLOOKUP(E824&amp;F824,IMPORTRANGE(""https://docs.google.com/spreadsheets/d/1Uw7-A9f9R21vMXxHZFNpYNeKFtG8_yji4HS352LGlSQ/edit?pli=1#gid=0"",""1_ACUM!A4:S""),16,FALSE))"),"")</f>
        <v/>
      </c>
      <c r="AH801" s="43" t="str">
        <f ca="1">IFERROR(__xludf.DUMMYFUNCTION("IFERROR(VLOOKUP(E824&amp;F824,IMPORTRANGE(""https://docs.google.com/spreadsheets/d/1Uw7-A9f9R21vMXxHZFNpYNeKFtG8_yji4HS352LGlSQ/edit?pli=1#gid=0"",""1_ACUM!A4:S""),17,FALSE))"),"")</f>
        <v/>
      </c>
      <c r="AI801" s="44" t="str">
        <f ca="1">IFERROR(__xludf.DUMMYFUNCTION("IFERROR(VLOOKUP(E824&amp;F824,IMPORTRANGE(""https://docs.google.com/spreadsheets/d/1Uw7-A9f9R21vMXxHZFNpYNeKFtG8_yji4HS352LGlSQ/edit?pli=1#gid=0"",""1_ACUM!A4:S""),18,FALSE))"),"")</f>
        <v/>
      </c>
      <c r="AJ801" s="44" t="str">
        <f ca="1">IFERROR(__xludf.DUMMYFUNCTION("IFERROR(VLOOKUP(E824&amp;F824,IMPORTRANGE(""https://docs.google.com/spreadsheets/d/1Uw7-A9f9R21vMXxHZFNpYNeKFtG8_yji4HS352LGlSQ/edit?pli=1#gid=0"",""1_ACUM!A4:S""),19,FALSE))"),"")</f>
        <v/>
      </c>
      <c r="AK801" s="98" t="str">
        <f ca="1">IFERROR(__xludf.DUMMYFUNCTION("IFERROR(VLOOKUP(F824,IMPORTRANGE(""https://docs.google.com/spreadsheets/d/1Kvs4KS76FHFqLFIZfrDMff4kP08nblUkihrxltoGBjg/edit#gid=934712705"",""ESENCIAL!A6:BG""),5,FALSE))"),"")</f>
        <v/>
      </c>
      <c r="AL801" s="98" t="str">
        <f t="shared" si="48"/>
        <v/>
      </c>
      <c r="AM801" s="99" t="str">
        <f t="shared" si="49"/>
        <v/>
      </c>
      <c r="AN801" s="100" t="str">
        <f ca="1">IFERROR(__xludf.DUMMYFUNCTION("IFERROR(VLOOKUP(F824,IMPORTRANGE(""https://docs.google.com/spreadsheets/d/1Kvs4KS76FHFqLFIZfrDMff4kP08nblUkihrxltoGBjg/edit#gid=934712705"",""ESENCIAL!A6:BG""),2,FALSE))"),"")</f>
        <v/>
      </c>
      <c r="AO801" s="19" t="str">
        <f t="shared" si="46"/>
        <v/>
      </c>
      <c r="AP801" s="100"/>
      <c r="AQ801" s="100"/>
    </row>
    <row r="802" spans="1:43" ht="15">
      <c r="A802" s="5"/>
      <c r="B802" s="5"/>
      <c r="G802" s="5" t="str">
        <f ca="1">IFERROR(__xludf.DUMMYFUNCTION("IFERROR(VLOOKUP(F825,IMPORTRANGE(""https://docs.google.com/spreadsheets/d/1Kvs4KS76FHFqLFIZfrDMff4kP08nblUkihrxltoGBjg/edit#gid=934712705"",""ESENCIAL!A6:BG""),3,FALSE))"),"")</f>
        <v/>
      </c>
      <c r="H802" s="5" t="str">
        <f ca="1">IFERROR(__xludf.DUMMYFUNCTION("IFERROR(VLOOKUP(F825,IMPORTRANGE(""https://docs.google.com/spreadsheets/d/1Kvs4KS76FHFqLFIZfrDMff4kP08nblUkihrxltoGBjg/edit#gid=934712705"",""ESENCIAL!A6:BG""),8,FALSE))"),"")</f>
        <v/>
      </c>
      <c r="L802" s="40"/>
      <c r="Z802" s="41" t="str">
        <f t="shared" si="47"/>
        <v/>
      </c>
      <c r="AA802" s="5" t="str">
        <f ca="1">IFERROR(__xludf.DUMMYFUNCTION("IFERROR(VLOOKUP(E825&amp;F825,IMPORTRANGE(""https://docs.google.com/spreadsheets/d/1Uw7-A9f9R21vMXxHZFNpYNeKFtG8_yji4HS352LGlSQ/edit?pli=1#gid=0"",""1_ACUM!A4:S""),11,FALSE))"),"")</f>
        <v/>
      </c>
      <c r="AB802" s="42" t="str">
        <f ca="1">IFERROR(__xludf.DUMMYFUNCTION("IFERROR(VLOOKUP(F825,IMPORTRANGE(""https://docs.google.com/spreadsheets/d/1Kvs4KS76FHFqLFIZfrDMff4kP08nblUkihrxltoGBjg/edit#gid=934712705"",""ESENCIAL!A6:BG""),15,FALSE))"),"")</f>
        <v/>
      </c>
      <c r="AC802" s="110" t="str">
        <f ca="1">IFERROR(__xludf.DUMMYFUNCTION("IFERROR(VLOOKUP(E825&amp;F825,IMPORTRANGE(""https://docs.google.com/spreadsheets/d/1Uw7-A9f9R21vMXxHZFNpYNeKFtG8_yji4HS352LGlSQ/edit?pli=1#gid=0"",""1_ACUM!A4:S""),13,FALSE))"),"")</f>
        <v/>
      </c>
      <c r="AD802" s="43" t="str">
        <f ca="1">IFERROR(__xludf.DUMMYFUNCTION("IFERROR(VLOOKUP(E825&amp;F825,IMPORTRANGE(""https://docs.google.com/spreadsheets/d/1Uw7-A9f9R21vMXxHZFNpYNeKFtG8_yji4HS352LGlSQ/edit?pli=1#gid=0"",""1_ACUM!A4:S""),13,FALSE))"),"")</f>
        <v/>
      </c>
      <c r="AE802" s="43" t="str">
        <f ca="1">IFERROR(__xludf.DUMMYFUNCTION("IFERROR(VLOOKUP(E825&amp;F825,IMPORTRANGE(""https://docs.google.com/spreadsheets/d/1Uw7-A9f9R21vMXxHZFNpYNeKFtG8_yji4HS352LGlSQ/edit?pli=1#gid=0"",""1_ACUM!A4:S""),14,FALSE))"),"")</f>
        <v/>
      </c>
      <c r="AF802" s="43" t="str">
        <f ca="1">IFERROR(__xludf.DUMMYFUNCTION("IFERROR(VLOOKUP(E825&amp;F825,IMPORTRANGE(""https://docs.google.com/spreadsheets/d/1Uw7-A9f9R21vMXxHZFNpYNeKFtG8_yji4HS352LGlSQ/edit?pli=1#gid=0"",""1_ACUM!A4:S""),15,FALSE))"),"")</f>
        <v/>
      </c>
      <c r="AG802" s="43" t="str">
        <f ca="1">IFERROR(__xludf.DUMMYFUNCTION("IFERROR(VLOOKUP(E825&amp;F825,IMPORTRANGE(""https://docs.google.com/spreadsheets/d/1Uw7-A9f9R21vMXxHZFNpYNeKFtG8_yji4HS352LGlSQ/edit?pli=1#gid=0"",""1_ACUM!A4:S""),16,FALSE))"),"")</f>
        <v/>
      </c>
      <c r="AH802" s="43" t="str">
        <f ca="1">IFERROR(__xludf.DUMMYFUNCTION("IFERROR(VLOOKUP(E825&amp;F825,IMPORTRANGE(""https://docs.google.com/spreadsheets/d/1Uw7-A9f9R21vMXxHZFNpYNeKFtG8_yji4HS352LGlSQ/edit?pli=1#gid=0"",""1_ACUM!A4:S""),17,FALSE))"),"")</f>
        <v/>
      </c>
      <c r="AI802" s="44" t="str">
        <f ca="1">IFERROR(__xludf.DUMMYFUNCTION("IFERROR(VLOOKUP(E825&amp;F825,IMPORTRANGE(""https://docs.google.com/spreadsheets/d/1Uw7-A9f9R21vMXxHZFNpYNeKFtG8_yji4HS352LGlSQ/edit?pli=1#gid=0"",""1_ACUM!A4:S""),18,FALSE))"),"")</f>
        <v/>
      </c>
      <c r="AJ802" s="44" t="str">
        <f ca="1">IFERROR(__xludf.DUMMYFUNCTION("IFERROR(VLOOKUP(E825&amp;F825,IMPORTRANGE(""https://docs.google.com/spreadsheets/d/1Uw7-A9f9R21vMXxHZFNpYNeKFtG8_yji4HS352LGlSQ/edit?pli=1#gid=0"",""1_ACUM!A4:S""),19,FALSE))"),"")</f>
        <v/>
      </c>
      <c r="AK802" s="98" t="str">
        <f ca="1">IFERROR(__xludf.DUMMYFUNCTION("IFERROR(VLOOKUP(F825,IMPORTRANGE(""https://docs.google.com/spreadsheets/d/1Kvs4KS76FHFqLFIZfrDMff4kP08nblUkihrxltoGBjg/edit#gid=934712705"",""ESENCIAL!A6:BG""),5,FALSE))"),"")</f>
        <v/>
      </c>
      <c r="AL802" s="98" t="str">
        <f t="shared" si="48"/>
        <v/>
      </c>
      <c r="AM802" s="99" t="str">
        <f t="shared" si="49"/>
        <v/>
      </c>
      <c r="AN802" s="100" t="str">
        <f ca="1">IFERROR(__xludf.DUMMYFUNCTION("IFERROR(VLOOKUP(F825,IMPORTRANGE(""https://docs.google.com/spreadsheets/d/1Kvs4KS76FHFqLFIZfrDMff4kP08nblUkihrxltoGBjg/edit#gid=934712705"",""ESENCIAL!A6:BG""),2,FALSE))"),"")</f>
        <v/>
      </c>
      <c r="AO802" s="19" t="str">
        <f t="shared" si="46"/>
        <v/>
      </c>
      <c r="AP802" s="100"/>
      <c r="AQ802" s="100"/>
    </row>
    <row r="803" spans="1:43" ht="15">
      <c r="A803" s="5"/>
      <c r="B803" s="5"/>
      <c r="G803" s="5" t="str">
        <f ca="1">IFERROR(__xludf.DUMMYFUNCTION("IFERROR(VLOOKUP(F826,IMPORTRANGE(""https://docs.google.com/spreadsheets/d/1Kvs4KS76FHFqLFIZfrDMff4kP08nblUkihrxltoGBjg/edit#gid=934712705"",""ESENCIAL!A6:BG""),3,FALSE))"),"")</f>
        <v/>
      </c>
      <c r="H803" s="5" t="str">
        <f ca="1">IFERROR(__xludf.DUMMYFUNCTION("IFERROR(VLOOKUP(F826,IMPORTRANGE(""https://docs.google.com/spreadsheets/d/1Kvs4KS76FHFqLFIZfrDMff4kP08nblUkihrxltoGBjg/edit#gid=934712705"",""ESENCIAL!A6:BG""),8,FALSE))"),"")</f>
        <v/>
      </c>
      <c r="L803" s="40"/>
      <c r="Z803" s="41" t="str">
        <f t="shared" si="47"/>
        <v/>
      </c>
      <c r="AA803" s="5" t="str">
        <f ca="1">IFERROR(__xludf.DUMMYFUNCTION("IFERROR(VLOOKUP(E826&amp;F826,IMPORTRANGE(""https://docs.google.com/spreadsheets/d/1Uw7-A9f9R21vMXxHZFNpYNeKFtG8_yji4HS352LGlSQ/edit?pli=1#gid=0"",""1_ACUM!A4:S""),11,FALSE))"),"")</f>
        <v/>
      </c>
      <c r="AB803" s="42" t="str">
        <f ca="1">IFERROR(__xludf.DUMMYFUNCTION("IFERROR(VLOOKUP(F826,IMPORTRANGE(""https://docs.google.com/spreadsheets/d/1Kvs4KS76FHFqLFIZfrDMff4kP08nblUkihrxltoGBjg/edit#gid=934712705"",""ESENCIAL!A6:BG""),15,FALSE))"),"")</f>
        <v/>
      </c>
      <c r="AC803" s="110" t="str">
        <f ca="1">IFERROR(__xludf.DUMMYFUNCTION("IFERROR(VLOOKUP(E826&amp;F826,IMPORTRANGE(""https://docs.google.com/spreadsheets/d/1Uw7-A9f9R21vMXxHZFNpYNeKFtG8_yji4HS352LGlSQ/edit?pli=1#gid=0"",""1_ACUM!A4:S""),13,FALSE))"),"")</f>
        <v/>
      </c>
      <c r="AD803" s="43" t="str">
        <f ca="1">IFERROR(__xludf.DUMMYFUNCTION("IFERROR(VLOOKUP(E826&amp;F826,IMPORTRANGE(""https://docs.google.com/spreadsheets/d/1Uw7-A9f9R21vMXxHZFNpYNeKFtG8_yji4HS352LGlSQ/edit?pli=1#gid=0"",""1_ACUM!A4:S""),13,FALSE))"),"")</f>
        <v/>
      </c>
      <c r="AE803" s="43" t="str">
        <f ca="1">IFERROR(__xludf.DUMMYFUNCTION("IFERROR(VLOOKUP(E826&amp;F826,IMPORTRANGE(""https://docs.google.com/spreadsheets/d/1Uw7-A9f9R21vMXxHZFNpYNeKFtG8_yji4HS352LGlSQ/edit?pli=1#gid=0"",""1_ACUM!A4:S""),14,FALSE))"),"")</f>
        <v/>
      </c>
      <c r="AF803" s="43" t="str">
        <f ca="1">IFERROR(__xludf.DUMMYFUNCTION("IFERROR(VLOOKUP(E826&amp;F826,IMPORTRANGE(""https://docs.google.com/spreadsheets/d/1Uw7-A9f9R21vMXxHZFNpYNeKFtG8_yji4HS352LGlSQ/edit?pli=1#gid=0"",""1_ACUM!A4:S""),15,FALSE))"),"")</f>
        <v/>
      </c>
      <c r="AG803" s="43" t="str">
        <f ca="1">IFERROR(__xludf.DUMMYFUNCTION("IFERROR(VLOOKUP(E826&amp;F826,IMPORTRANGE(""https://docs.google.com/spreadsheets/d/1Uw7-A9f9R21vMXxHZFNpYNeKFtG8_yji4HS352LGlSQ/edit?pli=1#gid=0"",""1_ACUM!A4:S""),16,FALSE))"),"")</f>
        <v/>
      </c>
      <c r="AH803" s="43" t="str">
        <f ca="1">IFERROR(__xludf.DUMMYFUNCTION("IFERROR(VLOOKUP(E826&amp;F826,IMPORTRANGE(""https://docs.google.com/spreadsheets/d/1Uw7-A9f9R21vMXxHZFNpYNeKFtG8_yji4HS352LGlSQ/edit?pli=1#gid=0"",""1_ACUM!A4:S""),17,FALSE))"),"")</f>
        <v/>
      </c>
      <c r="AI803" s="44" t="str">
        <f ca="1">IFERROR(__xludf.DUMMYFUNCTION("IFERROR(VLOOKUP(E826&amp;F826,IMPORTRANGE(""https://docs.google.com/spreadsheets/d/1Uw7-A9f9R21vMXxHZFNpYNeKFtG8_yji4HS352LGlSQ/edit?pli=1#gid=0"",""1_ACUM!A4:S""),18,FALSE))"),"")</f>
        <v/>
      </c>
      <c r="AJ803" s="44" t="str">
        <f ca="1">IFERROR(__xludf.DUMMYFUNCTION("IFERROR(VLOOKUP(E826&amp;F826,IMPORTRANGE(""https://docs.google.com/spreadsheets/d/1Uw7-A9f9R21vMXxHZFNpYNeKFtG8_yji4HS352LGlSQ/edit?pli=1#gid=0"",""1_ACUM!A4:S""),19,FALSE))"),"")</f>
        <v/>
      </c>
      <c r="AK803" s="98" t="str">
        <f ca="1">IFERROR(__xludf.DUMMYFUNCTION("IFERROR(VLOOKUP(F826,IMPORTRANGE(""https://docs.google.com/spreadsheets/d/1Kvs4KS76FHFqLFIZfrDMff4kP08nblUkihrxltoGBjg/edit#gid=934712705"",""ESENCIAL!A6:BG""),5,FALSE))"),"")</f>
        <v/>
      </c>
      <c r="AL803" s="98" t="str">
        <f t="shared" si="48"/>
        <v/>
      </c>
      <c r="AM803" s="99" t="str">
        <f t="shared" si="49"/>
        <v/>
      </c>
      <c r="AN803" s="100" t="str">
        <f ca="1">IFERROR(__xludf.DUMMYFUNCTION("IFERROR(VLOOKUP(F826,IMPORTRANGE(""https://docs.google.com/spreadsheets/d/1Kvs4KS76FHFqLFIZfrDMff4kP08nblUkihrxltoGBjg/edit#gid=934712705"",""ESENCIAL!A6:BG""),2,FALSE))"),"")</f>
        <v/>
      </c>
      <c r="AO803" s="19" t="str">
        <f t="shared" si="46"/>
        <v/>
      </c>
      <c r="AP803" s="100"/>
      <c r="AQ803" s="100"/>
    </row>
    <row r="804" spans="1:43" ht="15">
      <c r="A804" s="5"/>
      <c r="B804" s="5"/>
      <c r="G804" s="5" t="str">
        <f ca="1">IFERROR(__xludf.DUMMYFUNCTION("IFERROR(VLOOKUP(F827,IMPORTRANGE(""https://docs.google.com/spreadsheets/d/1Kvs4KS76FHFqLFIZfrDMff4kP08nblUkihrxltoGBjg/edit#gid=934712705"",""ESENCIAL!A6:BG""),3,FALSE))"),"")</f>
        <v/>
      </c>
      <c r="H804" s="5" t="str">
        <f ca="1">IFERROR(__xludf.DUMMYFUNCTION("IFERROR(VLOOKUP(F827,IMPORTRANGE(""https://docs.google.com/spreadsheets/d/1Kvs4KS76FHFqLFIZfrDMff4kP08nblUkihrxltoGBjg/edit#gid=934712705"",""ESENCIAL!A6:BG""),8,FALSE))"),"")</f>
        <v/>
      </c>
      <c r="L804" s="40"/>
      <c r="Z804" s="41" t="str">
        <f t="shared" si="47"/>
        <v/>
      </c>
      <c r="AA804" s="5" t="str">
        <f ca="1">IFERROR(__xludf.DUMMYFUNCTION("IFERROR(VLOOKUP(E827&amp;F827,IMPORTRANGE(""https://docs.google.com/spreadsheets/d/1Uw7-A9f9R21vMXxHZFNpYNeKFtG8_yji4HS352LGlSQ/edit?pli=1#gid=0"",""1_ACUM!A4:S""),11,FALSE))"),"")</f>
        <v/>
      </c>
      <c r="AB804" s="42" t="str">
        <f ca="1">IFERROR(__xludf.DUMMYFUNCTION("IFERROR(VLOOKUP(F827,IMPORTRANGE(""https://docs.google.com/spreadsheets/d/1Kvs4KS76FHFqLFIZfrDMff4kP08nblUkihrxltoGBjg/edit#gid=934712705"",""ESENCIAL!A6:BG""),15,FALSE))"),"")</f>
        <v/>
      </c>
      <c r="AC804" s="110" t="str">
        <f ca="1">IFERROR(__xludf.DUMMYFUNCTION("IFERROR(VLOOKUP(E827&amp;F827,IMPORTRANGE(""https://docs.google.com/spreadsheets/d/1Uw7-A9f9R21vMXxHZFNpYNeKFtG8_yji4HS352LGlSQ/edit?pli=1#gid=0"",""1_ACUM!A4:S""),13,FALSE))"),"")</f>
        <v/>
      </c>
      <c r="AD804" s="43" t="str">
        <f ca="1">IFERROR(__xludf.DUMMYFUNCTION("IFERROR(VLOOKUP(E827&amp;F827,IMPORTRANGE(""https://docs.google.com/spreadsheets/d/1Uw7-A9f9R21vMXxHZFNpYNeKFtG8_yji4HS352LGlSQ/edit?pli=1#gid=0"",""1_ACUM!A4:S""),13,FALSE))"),"")</f>
        <v/>
      </c>
      <c r="AE804" s="43" t="str">
        <f ca="1">IFERROR(__xludf.DUMMYFUNCTION("IFERROR(VLOOKUP(E827&amp;F827,IMPORTRANGE(""https://docs.google.com/spreadsheets/d/1Uw7-A9f9R21vMXxHZFNpYNeKFtG8_yji4HS352LGlSQ/edit?pli=1#gid=0"",""1_ACUM!A4:S""),14,FALSE))"),"")</f>
        <v/>
      </c>
      <c r="AF804" s="43" t="str">
        <f ca="1">IFERROR(__xludf.DUMMYFUNCTION("IFERROR(VLOOKUP(E827&amp;F827,IMPORTRANGE(""https://docs.google.com/spreadsheets/d/1Uw7-A9f9R21vMXxHZFNpYNeKFtG8_yji4HS352LGlSQ/edit?pli=1#gid=0"",""1_ACUM!A4:S""),15,FALSE))"),"")</f>
        <v/>
      </c>
      <c r="AG804" s="43" t="str">
        <f ca="1">IFERROR(__xludf.DUMMYFUNCTION("IFERROR(VLOOKUP(E827&amp;F827,IMPORTRANGE(""https://docs.google.com/spreadsheets/d/1Uw7-A9f9R21vMXxHZFNpYNeKFtG8_yji4HS352LGlSQ/edit?pli=1#gid=0"",""1_ACUM!A4:S""),16,FALSE))"),"")</f>
        <v/>
      </c>
      <c r="AH804" s="43" t="str">
        <f ca="1">IFERROR(__xludf.DUMMYFUNCTION("IFERROR(VLOOKUP(E827&amp;F827,IMPORTRANGE(""https://docs.google.com/spreadsheets/d/1Uw7-A9f9R21vMXxHZFNpYNeKFtG8_yji4HS352LGlSQ/edit?pli=1#gid=0"",""1_ACUM!A4:S""),17,FALSE))"),"")</f>
        <v/>
      </c>
      <c r="AI804" s="44" t="str">
        <f ca="1">IFERROR(__xludf.DUMMYFUNCTION("IFERROR(VLOOKUP(E827&amp;F827,IMPORTRANGE(""https://docs.google.com/spreadsheets/d/1Uw7-A9f9R21vMXxHZFNpYNeKFtG8_yji4HS352LGlSQ/edit?pli=1#gid=0"",""1_ACUM!A4:S""),18,FALSE))"),"")</f>
        <v/>
      </c>
      <c r="AJ804" s="44" t="str">
        <f ca="1">IFERROR(__xludf.DUMMYFUNCTION("IFERROR(VLOOKUP(E827&amp;F827,IMPORTRANGE(""https://docs.google.com/spreadsheets/d/1Uw7-A9f9R21vMXxHZFNpYNeKFtG8_yji4HS352LGlSQ/edit?pli=1#gid=0"",""1_ACUM!A4:S""),19,FALSE))"),"")</f>
        <v/>
      </c>
      <c r="AK804" s="98" t="str">
        <f ca="1">IFERROR(__xludf.DUMMYFUNCTION("IFERROR(VLOOKUP(F827,IMPORTRANGE(""https://docs.google.com/spreadsheets/d/1Kvs4KS76FHFqLFIZfrDMff4kP08nblUkihrxltoGBjg/edit#gid=934712705"",""ESENCIAL!A6:BG""),5,FALSE))"),"")</f>
        <v/>
      </c>
      <c r="AL804" s="98" t="str">
        <f t="shared" si="48"/>
        <v/>
      </c>
      <c r="AM804" s="99" t="str">
        <f t="shared" si="49"/>
        <v/>
      </c>
      <c r="AN804" s="100" t="str">
        <f ca="1">IFERROR(__xludf.DUMMYFUNCTION("IFERROR(VLOOKUP(F827,IMPORTRANGE(""https://docs.google.com/spreadsheets/d/1Kvs4KS76FHFqLFIZfrDMff4kP08nblUkihrxltoGBjg/edit#gid=934712705"",""ESENCIAL!A6:BG""),2,FALSE))"),"")</f>
        <v/>
      </c>
      <c r="AO804" s="19" t="str">
        <f t="shared" si="46"/>
        <v/>
      </c>
      <c r="AP804" s="100"/>
      <c r="AQ804" s="100"/>
    </row>
    <row r="805" spans="1:43" ht="15">
      <c r="A805" s="5"/>
      <c r="B805" s="5"/>
      <c r="G805" s="5" t="str">
        <f ca="1">IFERROR(__xludf.DUMMYFUNCTION("IFERROR(VLOOKUP(F828,IMPORTRANGE(""https://docs.google.com/spreadsheets/d/1Kvs4KS76FHFqLFIZfrDMff4kP08nblUkihrxltoGBjg/edit#gid=934712705"",""ESENCIAL!A6:BG""),3,FALSE))"),"")</f>
        <v/>
      </c>
      <c r="H805" s="5" t="str">
        <f ca="1">IFERROR(__xludf.DUMMYFUNCTION("IFERROR(VLOOKUP(F828,IMPORTRANGE(""https://docs.google.com/spreadsheets/d/1Kvs4KS76FHFqLFIZfrDMff4kP08nblUkihrxltoGBjg/edit#gid=934712705"",""ESENCIAL!A6:BG""),8,FALSE))"),"")</f>
        <v/>
      </c>
      <c r="L805" s="40"/>
      <c r="Z805" s="41" t="str">
        <f t="shared" si="47"/>
        <v/>
      </c>
      <c r="AA805" s="5" t="str">
        <f ca="1">IFERROR(__xludf.DUMMYFUNCTION("IFERROR(VLOOKUP(E828&amp;F828,IMPORTRANGE(""https://docs.google.com/spreadsheets/d/1Uw7-A9f9R21vMXxHZFNpYNeKFtG8_yji4HS352LGlSQ/edit?pli=1#gid=0"",""1_ACUM!A4:S""),11,FALSE))"),"")</f>
        <v/>
      </c>
      <c r="AB805" s="42" t="str">
        <f ca="1">IFERROR(__xludf.DUMMYFUNCTION("IFERROR(VLOOKUP(F828,IMPORTRANGE(""https://docs.google.com/spreadsheets/d/1Kvs4KS76FHFqLFIZfrDMff4kP08nblUkihrxltoGBjg/edit#gid=934712705"",""ESENCIAL!A6:BG""),15,FALSE))"),"")</f>
        <v/>
      </c>
      <c r="AC805" s="110" t="str">
        <f ca="1">IFERROR(__xludf.DUMMYFUNCTION("IFERROR(VLOOKUP(E828&amp;F828,IMPORTRANGE(""https://docs.google.com/spreadsheets/d/1Uw7-A9f9R21vMXxHZFNpYNeKFtG8_yji4HS352LGlSQ/edit?pli=1#gid=0"",""1_ACUM!A4:S""),13,FALSE))"),"")</f>
        <v/>
      </c>
      <c r="AD805" s="43" t="str">
        <f ca="1">IFERROR(__xludf.DUMMYFUNCTION("IFERROR(VLOOKUP(E828&amp;F828,IMPORTRANGE(""https://docs.google.com/spreadsheets/d/1Uw7-A9f9R21vMXxHZFNpYNeKFtG8_yji4HS352LGlSQ/edit?pli=1#gid=0"",""1_ACUM!A4:S""),13,FALSE))"),"")</f>
        <v/>
      </c>
      <c r="AE805" s="43" t="str">
        <f ca="1">IFERROR(__xludf.DUMMYFUNCTION("IFERROR(VLOOKUP(E828&amp;F828,IMPORTRANGE(""https://docs.google.com/spreadsheets/d/1Uw7-A9f9R21vMXxHZFNpYNeKFtG8_yji4HS352LGlSQ/edit?pli=1#gid=0"",""1_ACUM!A4:S""),14,FALSE))"),"")</f>
        <v/>
      </c>
      <c r="AF805" s="43" t="str">
        <f ca="1">IFERROR(__xludf.DUMMYFUNCTION("IFERROR(VLOOKUP(E828&amp;F828,IMPORTRANGE(""https://docs.google.com/spreadsheets/d/1Uw7-A9f9R21vMXxHZFNpYNeKFtG8_yji4HS352LGlSQ/edit?pli=1#gid=0"",""1_ACUM!A4:S""),15,FALSE))"),"")</f>
        <v/>
      </c>
      <c r="AG805" s="43" t="str">
        <f ca="1">IFERROR(__xludf.DUMMYFUNCTION("IFERROR(VLOOKUP(E828&amp;F828,IMPORTRANGE(""https://docs.google.com/spreadsheets/d/1Uw7-A9f9R21vMXxHZFNpYNeKFtG8_yji4HS352LGlSQ/edit?pli=1#gid=0"",""1_ACUM!A4:S""),16,FALSE))"),"")</f>
        <v/>
      </c>
      <c r="AH805" s="43" t="str">
        <f ca="1">IFERROR(__xludf.DUMMYFUNCTION("IFERROR(VLOOKUP(E828&amp;F828,IMPORTRANGE(""https://docs.google.com/spreadsheets/d/1Uw7-A9f9R21vMXxHZFNpYNeKFtG8_yji4HS352LGlSQ/edit?pli=1#gid=0"",""1_ACUM!A4:S""),17,FALSE))"),"")</f>
        <v/>
      </c>
      <c r="AI805" s="44" t="str">
        <f ca="1">IFERROR(__xludf.DUMMYFUNCTION("IFERROR(VLOOKUP(E828&amp;F828,IMPORTRANGE(""https://docs.google.com/spreadsheets/d/1Uw7-A9f9R21vMXxHZFNpYNeKFtG8_yji4HS352LGlSQ/edit?pli=1#gid=0"",""1_ACUM!A4:S""),18,FALSE))"),"")</f>
        <v/>
      </c>
      <c r="AJ805" s="44" t="str">
        <f ca="1">IFERROR(__xludf.DUMMYFUNCTION("IFERROR(VLOOKUP(E828&amp;F828,IMPORTRANGE(""https://docs.google.com/spreadsheets/d/1Uw7-A9f9R21vMXxHZFNpYNeKFtG8_yji4HS352LGlSQ/edit?pli=1#gid=0"",""1_ACUM!A4:S""),19,FALSE))"),"")</f>
        <v/>
      </c>
      <c r="AK805" s="98" t="str">
        <f ca="1">IFERROR(__xludf.DUMMYFUNCTION("IFERROR(VLOOKUP(F828,IMPORTRANGE(""https://docs.google.com/spreadsheets/d/1Kvs4KS76FHFqLFIZfrDMff4kP08nblUkihrxltoGBjg/edit#gid=934712705"",""ESENCIAL!A6:BG""),5,FALSE))"),"")</f>
        <v/>
      </c>
      <c r="AL805" s="98" t="str">
        <f t="shared" si="48"/>
        <v/>
      </c>
      <c r="AM805" s="99" t="str">
        <f t="shared" si="49"/>
        <v/>
      </c>
      <c r="AN805" s="100" t="str">
        <f ca="1">IFERROR(__xludf.DUMMYFUNCTION("IFERROR(VLOOKUP(F828,IMPORTRANGE(""https://docs.google.com/spreadsheets/d/1Kvs4KS76FHFqLFIZfrDMff4kP08nblUkihrxltoGBjg/edit#gid=934712705"",""ESENCIAL!A6:BG""),2,FALSE))"),"")</f>
        <v/>
      </c>
      <c r="AO805" s="19" t="str">
        <f t="shared" si="46"/>
        <v/>
      </c>
      <c r="AP805" s="100"/>
      <c r="AQ805" s="100"/>
    </row>
    <row r="806" spans="1:43" ht="15">
      <c r="A806" s="5"/>
      <c r="B806" s="5"/>
      <c r="G806" s="5" t="str">
        <f ca="1">IFERROR(__xludf.DUMMYFUNCTION("IFERROR(VLOOKUP(F829,IMPORTRANGE(""https://docs.google.com/spreadsheets/d/1Kvs4KS76FHFqLFIZfrDMff4kP08nblUkihrxltoGBjg/edit#gid=934712705"",""ESENCIAL!A6:BG""),3,FALSE))"),"")</f>
        <v/>
      </c>
      <c r="H806" s="5" t="str">
        <f ca="1">IFERROR(__xludf.DUMMYFUNCTION("IFERROR(VLOOKUP(F829,IMPORTRANGE(""https://docs.google.com/spreadsheets/d/1Kvs4KS76FHFqLFIZfrDMff4kP08nblUkihrxltoGBjg/edit#gid=934712705"",""ESENCIAL!A6:BG""),8,FALSE))"),"")</f>
        <v/>
      </c>
      <c r="L806" s="40"/>
      <c r="Z806" s="41" t="str">
        <f t="shared" si="47"/>
        <v/>
      </c>
      <c r="AA806" s="5" t="str">
        <f ca="1">IFERROR(__xludf.DUMMYFUNCTION("IFERROR(VLOOKUP(E829&amp;F829,IMPORTRANGE(""https://docs.google.com/spreadsheets/d/1Uw7-A9f9R21vMXxHZFNpYNeKFtG8_yji4HS352LGlSQ/edit?pli=1#gid=0"",""1_ACUM!A4:S""),11,FALSE))"),"")</f>
        <v/>
      </c>
      <c r="AB806" s="42" t="str">
        <f ca="1">IFERROR(__xludf.DUMMYFUNCTION("IFERROR(VLOOKUP(F829,IMPORTRANGE(""https://docs.google.com/spreadsheets/d/1Kvs4KS76FHFqLFIZfrDMff4kP08nblUkihrxltoGBjg/edit#gid=934712705"",""ESENCIAL!A6:BG""),15,FALSE))"),"")</f>
        <v/>
      </c>
      <c r="AC806" s="110" t="str">
        <f ca="1">IFERROR(__xludf.DUMMYFUNCTION("IFERROR(VLOOKUP(E829&amp;F829,IMPORTRANGE(""https://docs.google.com/spreadsheets/d/1Uw7-A9f9R21vMXxHZFNpYNeKFtG8_yji4HS352LGlSQ/edit?pli=1#gid=0"",""1_ACUM!A4:S""),13,FALSE))"),"")</f>
        <v/>
      </c>
      <c r="AD806" s="43" t="str">
        <f ca="1">IFERROR(__xludf.DUMMYFUNCTION("IFERROR(VLOOKUP(E829&amp;F829,IMPORTRANGE(""https://docs.google.com/spreadsheets/d/1Uw7-A9f9R21vMXxHZFNpYNeKFtG8_yji4HS352LGlSQ/edit?pli=1#gid=0"",""1_ACUM!A4:S""),13,FALSE))"),"")</f>
        <v/>
      </c>
      <c r="AE806" s="43" t="str">
        <f ca="1">IFERROR(__xludf.DUMMYFUNCTION("IFERROR(VLOOKUP(E829&amp;F829,IMPORTRANGE(""https://docs.google.com/spreadsheets/d/1Uw7-A9f9R21vMXxHZFNpYNeKFtG8_yji4HS352LGlSQ/edit?pli=1#gid=0"",""1_ACUM!A4:S""),14,FALSE))"),"")</f>
        <v/>
      </c>
      <c r="AF806" s="43" t="str">
        <f ca="1">IFERROR(__xludf.DUMMYFUNCTION("IFERROR(VLOOKUP(E829&amp;F829,IMPORTRANGE(""https://docs.google.com/spreadsheets/d/1Uw7-A9f9R21vMXxHZFNpYNeKFtG8_yji4HS352LGlSQ/edit?pli=1#gid=0"",""1_ACUM!A4:S""),15,FALSE))"),"")</f>
        <v/>
      </c>
      <c r="AG806" s="43" t="str">
        <f ca="1">IFERROR(__xludf.DUMMYFUNCTION("IFERROR(VLOOKUP(E829&amp;F829,IMPORTRANGE(""https://docs.google.com/spreadsheets/d/1Uw7-A9f9R21vMXxHZFNpYNeKFtG8_yji4HS352LGlSQ/edit?pli=1#gid=0"",""1_ACUM!A4:S""),16,FALSE))"),"")</f>
        <v/>
      </c>
      <c r="AH806" s="43" t="str">
        <f ca="1">IFERROR(__xludf.DUMMYFUNCTION("IFERROR(VLOOKUP(E829&amp;F829,IMPORTRANGE(""https://docs.google.com/spreadsheets/d/1Uw7-A9f9R21vMXxHZFNpYNeKFtG8_yji4HS352LGlSQ/edit?pli=1#gid=0"",""1_ACUM!A4:S""),17,FALSE))"),"")</f>
        <v/>
      </c>
      <c r="AI806" s="44" t="str">
        <f ca="1">IFERROR(__xludf.DUMMYFUNCTION("IFERROR(VLOOKUP(E829&amp;F829,IMPORTRANGE(""https://docs.google.com/spreadsheets/d/1Uw7-A9f9R21vMXxHZFNpYNeKFtG8_yji4HS352LGlSQ/edit?pli=1#gid=0"",""1_ACUM!A4:S""),18,FALSE))"),"")</f>
        <v/>
      </c>
      <c r="AJ806" s="44" t="str">
        <f ca="1">IFERROR(__xludf.DUMMYFUNCTION("IFERROR(VLOOKUP(E829&amp;F829,IMPORTRANGE(""https://docs.google.com/spreadsheets/d/1Uw7-A9f9R21vMXxHZFNpYNeKFtG8_yji4HS352LGlSQ/edit?pli=1#gid=0"",""1_ACUM!A4:S""),19,FALSE))"),"")</f>
        <v/>
      </c>
      <c r="AK806" s="98" t="str">
        <f ca="1">IFERROR(__xludf.DUMMYFUNCTION("IFERROR(VLOOKUP(F829,IMPORTRANGE(""https://docs.google.com/spreadsheets/d/1Kvs4KS76FHFqLFIZfrDMff4kP08nblUkihrxltoGBjg/edit#gid=934712705"",""ESENCIAL!A6:BG""),5,FALSE))"),"")</f>
        <v/>
      </c>
      <c r="AL806" s="98" t="str">
        <f t="shared" si="48"/>
        <v/>
      </c>
      <c r="AM806" s="99" t="str">
        <f t="shared" si="49"/>
        <v/>
      </c>
      <c r="AN806" s="100" t="str">
        <f ca="1">IFERROR(__xludf.DUMMYFUNCTION("IFERROR(VLOOKUP(F829,IMPORTRANGE(""https://docs.google.com/spreadsheets/d/1Kvs4KS76FHFqLFIZfrDMff4kP08nblUkihrxltoGBjg/edit#gid=934712705"",""ESENCIAL!A6:BG""),2,FALSE))"),"")</f>
        <v/>
      </c>
      <c r="AO806" s="19" t="str">
        <f t="shared" si="46"/>
        <v/>
      </c>
      <c r="AP806" s="100"/>
      <c r="AQ806" s="100"/>
    </row>
    <row r="807" spans="1:43" ht="15">
      <c r="A807" s="5"/>
      <c r="B807" s="5"/>
      <c r="G807" s="5" t="str">
        <f ca="1">IFERROR(__xludf.DUMMYFUNCTION("IFERROR(VLOOKUP(F830,IMPORTRANGE(""https://docs.google.com/spreadsheets/d/1Kvs4KS76FHFqLFIZfrDMff4kP08nblUkihrxltoGBjg/edit#gid=934712705"",""ESENCIAL!A6:BG""),3,FALSE))"),"")</f>
        <v/>
      </c>
      <c r="H807" s="5" t="str">
        <f ca="1">IFERROR(__xludf.DUMMYFUNCTION("IFERROR(VLOOKUP(F830,IMPORTRANGE(""https://docs.google.com/spreadsheets/d/1Kvs4KS76FHFqLFIZfrDMff4kP08nblUkihrxltoGBjg/edit#gid=934712705"",""ESENCIAL!A6:BG""),8,FALSE))"),"")</f>
        <v/>
      </c>
      <c r="L807" s="40"/>
      <c r="Z807" s="41" t="str">
        <f t="shared" si="47"/>
        <v/>
      </c>
      <c r="AA807" s="5" t="str">
        <f ca="1">IFERROR(__xludf.DUMMYFUNCTION("IFERROR(VLOOKUP(E830&amp;F830,IMPORTRANGE(""https://docs.google.com/spreadsheets/d/1Uw7-A9f9R21vMXxHZFNpYNeKFtG8_yji4HS352LGlSQ/edit?pli=1#gid=0"",""1_ACUM!A4:S""),11,FALSE))"),"")</f>
        <v/>
      </c>
      <c r="AB807" s="42" t="str">
        <f ca="1">IFERROR(__xludf.DUMMYFUNCTION("IFERROR(VLOOKUP(F830,IMPORTRANGE(""https://docs.google.com/spreadsheets/d/1Kvs4KS76FHFqLFIZfrDMff4kP08nblUkihrxltoGBjg/edit#gid=934712705"",""ESENCIAL!A6:BG""),15,FALSE))"),"")</f>
        <v/>
      </c>
      <c r="AC807" s="110" t="str">
        <f ca="1">IFERROR(__xludf.DUMMYFUNCTION("IFERROR(VLOOKUP(E830&amp;F830,IMPORTRANGE(""https://docs.google.com/spreadsheets/d/1Uw7-A9f9R21vMXxHZFNpYNeKFtG8_yji4HS352LGlSQ/edit?pli=1#gid=0"",""1_ACUM!A4:S""),13,FALSE))"),"")</f>
        <v/>
      </c>
      <c r="AD807" s="43" t="str">
        <f ca="1">IFERROR(__xludf.DUMMYFUNCTION("IFERROR(VLOOKUP(E830&amp;F830,IMPORTRANGE(""https://docs.google.com/spreadsheets/d/1Uw7-A9f9R21vMXxHZFNpYNeKFtG8_yji4HS352LGlSQ/edit?pli=1#gid=0"",""1_ACUM!A4:S""),13,FALSE))"),"")</f>
        <v/>
      </c>
      <c r="AE807" s="43" t="str">
        <f ca="1">IFERROR(__xludf.DUMMYFUNCTION("IFERROR(VLOOKUP(E830&amp;F830,IMPORTRANGE(""https://docs.google.com/spreadsheets/d/1Uw7-A9f9R21vMXxHZFNpYNeKFtG8_yji4HS352LGlSQ/edit?pli=1#gid=0"",""1_ACUM!A4:S""),14,FALSE))"),"")</f>
        <v/>
      </c>
      <c r="AF807" s="43" t="str">
        <f ca="1">IFERROR(__xludf.DUMMYFUNCTION("IFERROR(VLOOKUP(E830&amp;F830,IMPORTRANGE(""https://docs.google.com/spreadsheets/d/1Uw7-A9f9R21vMXxHZFNpYNeKFtG8_yji4HS352LGlSQ/edit?pli=1#gid=0"",""1_ACUM!A4:S""),15,FALSE))"),"")</f>
        <v/>
      </c>
      <c r="AG807" s="43" t="str">
        <f ca="1">IFERROR(__xludf.DUMMYFUNCTION("IFERROR(VLOOKUP(E830&amp;F830,IMPORTRANGE(""https://docs.google.com/spreadsheets/d/1Uw7-A9f9R21vMXxHZFNpYNeKFtG8_yji4HS352LGlSQ/edit?pli=1#gid=0"",""1_ACUM!A4:S""),16,FALSE))"),"")</f>
        <v/>
      </c>
      <c r="AH807" s="43" t="str">
        <f ca="1">IFERROR(__xludf.DUMMYFUNCTION("IFERROR(VLOOKUP(E830&amp;F830,IMPORTRANGE(""https://docs.google.com/spreadsheets/d/1Uw7-A9f9R21vMXxHZFNpYNeKFtG8_yji4HS352LGlSQ/edit?pli=1#gid=0"",""1_ACUM!A4:S""),17,FALSE))"),"")</f>
        <v/>
      </c>
      <c r="AI807" s="44" t="str">
        <f ca="1">IFERROR(__xludf.DUMMYFUNCTION("IFERROR(VLOOKUP(E830&amp;F830,IMPORTRANGE(""https://docs.google.com/spreadsheets/d/1Uw7-A9f9R21vMXxHZFNpYNeKFtG8_yji4HS352LGlSQ/edit?pli=1#gid=0"",""1_ACUM!A4:S""),18,FALSE))"),"")</f>
        <v/>
      </c>
      <c r="AJ807" s="44" t="str">
        <f ca="1">IFERROR(__xludf.DUMMYFUNCTION("IFERROR(VLOOKUP(E830&amp;F830,IMPORTRANGE(""https://docs.google.com/spreadsheets/d/1Uw7-A9f9R21vMXxHZFNpYNeKFtG8_yji4HS352LGlSQ/edit?pli=1#gid=0"",""1_ACUM!A4:S""),19,FALSE))"),"")</f>
        <v/>
      </c>
      <c r="AK807" s="98" t="str">
        <f ca="1">IFERROR(__xludf.DUMMYFUNCTION("IFERROR(VLOOKUP(F830,IMPORTRANGE(""https://docs.google.com/spreadsheets/d/1Kvs4KS76FHFqLFIZfrDMff4kP08nblUkihrxltoGBjg/edit#gid=934712705"",""ESENCIAL!A6:BG""),5,FALSE))"),"")</f>
        <v/>
      </c>
      <c r="AL807" s="98" t="str">
        <f t="shared" si="48"/>
        <v/>
      </c>
      <c r="AM807" s="99" t="str">
        <f t="shared" si="49"/>
        <v/>
      </c>
      <c r="AN807" s="100" t="str">
        <f ca="1">IFERROR(__xludf.DUMMYFUNCTION("IFERROR(VLOOKUP(F830,IMPORTRANGE(""https://docs.google.com/spreadsheets/d/1Kvs4KS76FHFqLFIZfrDMff4kP08nblUkihrxltoGBjg/edit#gid=934712705"",""ESENCIAL!A6:BG""),2,FALSE))"),"")</f>
        <v/>
      </c>
      <c r="AO807" s="19" t="str">
        <f t="shared" si="46"/>
        <v/>
      </c>
      <c r="AP807" s="100"/>
      <c r="AQ807" s="100"/>
    </row>
    <row r="808" spans="1:43" ht="15">
      <c r="A808" s="5"/>
      <c r="B808" s="5"/>
      <c r="G808" s="5" t="str">
        <f ca="1">IFERROR(__xludf.DUMMYFUNCTION("IFERROR(VLOOKUP(F831,IMPORTRANGE(""https://docs.google.com/spreadsheets/d/1Kvs4KS76FHFqLFIZfrDMff4kP08nblUkihrxltoGBjg/edit#gid=934712705"",""ESENCIAL!A6:BG""),3,FALSE))"),"")</f>
        <v/>
      </c>
      <c r="H808" s="5" t="str">
        <f ca="1">IFERROR(__xludf.DUMMYFUNCTION("IFERROR(VLOOKUP(F831,IMPORTRANGE(""https://docs.google.com/spreadsheets/d/1Kvs4KS76FHFqLFIZfrDMff4kP08nblUkihrxltoGBjg/edit#gid=934712705"",""ESENCIAL!A6:BG""),8,FALSE))"),"")</f>
        <v/>
      </c>
      <c r="L808" s="40"/>
      <c r="Z808" s="41" t="str">
        <f t="shared" si="47"/>
        <v/>
      </c>
      <c r="AA808" s="5" t="str">
        <f ca="1">IFERROR(__xludf.DUMMYFUNCTION("IFERROR(VLOOKUP(E831&amp;F831,IMPORTRANGE(""https://docs.google.com/spreadsheets/d/1Uw7-A9f9R21vMXxHZFNpYNeKFtG8_yji4HS352LGlSQ/edit?pli=1#gid=0"",""1_ACUM!A4:S""),11,FALSE))"),"")</f>
        <v/>
      </c>
      <c r="AB808" s="42" t="str">
        <f ca="1">IFERROR(__xludf.DUMMYFUNCTION("IFERROR(VLOOKUP(F831,IMPORTRANGE(""https://docs.google.com/spreadsheets/d/1Kvs4KS76FHFqLFIZfrDMff4kP08nblUkihrxltoGBjg/edit#gid=934712705"",""ESENCIAL!A6:BG""),15,FALSE))"),"")</f>
        <v/>
      </c>
      <c r="AC808" s="110" t="str">
        <f ca="1">IFERROR(__xludf.DUMMYFUNCTION("IFERROR(VLOOKUP(E831&amp;F831,IMPORTRANGE(""https://docs.google.com/spreadsheets/d/1Uw7-A9f9R21vMXxHZFNpYNeKFtG8_yji4HS352LGlSQ/edit?pli=1#gid=0"",""1_ACUM!A4:S""),13,FALSE))"),"")</f>
        <v/>
      </c>
      <c r="AD808" s="43" t="str">
        <f ca="1">IFERROR(__xludf.DUMMYFUNCTION("IFERROR(VLOOKUP(E831&amp;F831,IMPORTRANGE(""https://docs.google.com/spreadsheets/d/1Uw7-A9f9R21vMXxHZFNpYNeKFtG8_yji4HS352LGlSQ/edit?pli=1#gid=0"",""1_ACUM!A4:S""),13,FALSE))"),"")</f>
        <v/>
      </c>
      <c r="AE808" s="43" t="str">
        <f ca="1">IFERROR(__xludf.DUMMYFUNCTION("IFERROR(VLOOKUP(E831&amp;F831,IMPORTRANGE(""https://docs.google.com/spreadsheets/d/1Uw7-A9f9R21vMXxHZFNpYNeKFtG8_yji4HS352LGlSQ/edit?pli=1#gid=0"",""1_ACUM!A4:S""),14,FALSE))"),"")</f>
        <v/>
      </c>
      <c r="AF808" s="43" t="str">
        <f ca="1">IFERROR(__xludf.DUMMYFUNCTION("IFERROR(VLOOKUP(E831&amp;F831,IMPORTRANGE(""https://docs.google.com/spreadsheets/d/1Uw7-A9f9R21vMXxHZFNpYNeKFtG8_yji4HS352LGlSQ/edit?pli=1#gid=0"",""1_ACUM!A4:S""),15,FALSE))"),"")</f>
        <v/>
      </c>
      <c r="AG808" s="43" t="str">
        <f ca="1">IFERROR(__xludf.DUMMYFUNCTION("IFERROR(VLOOKUP(E831&amp;F831,IMPORTRANGE(""https://docs.google.com/spreadsheets/d/1Uw7-A9f9R21vMXxHZFNpYNeKFtG8_yji4HS352LGlSQ/edit?pli=1#gid=0"",""1_ACUM!A4:S""),16,FALSE))"),"")</f>
        <v/>
      </c>
      <c r="AH808" s="43" t="str">
        <f ca="1">IFERROR(__xludf.DUMMYFUNCTION("IFERROR(VLOOKUP(E831&amp;F831,IMPORTRANGE(""https://docs.google.com/spreadsheets/d/1Uw7-A9f9R21vMXxHZFNpYNeKFtG8_yji4HS352LGlSQ/edit?pli=1#gid=0"",""1_ACUM!A4:S""),17,FALSE))"),"")</f>
        <v/>
      </c>
      <c r="AI808" s="44" t="str">
        <f ca="1">IFERROR(__xludf.DUMMYFUNCTION("IFERROR(VLOOKUP(E831&amp;F831,IMPORTRANGE(""https://docs.google.com/spreadsheets/d/1Uw7-A9f9R21vMXxHZFNpYNeKFtG8_yji4HS352LGlSQ/edit?pli=1#gid=0"",""1_ACUM!A4:S""),18,FALSE))"),"")</f>
        <v/>
      </c>
      <c r="AJ808" s="44" t="str">
        <f ca="1">IFERROR(__xludf.DUMMYFUNCTION("IFERROR(VLOOKUP(E831&amp;F831,IMPORTRANGE(""https://docs.google.com/spreadsheets/d/1Uw7-A9f9R21vMXxHZFNpYNeKFtG8_yji4HS352LGlSQ/edit?pli=1#gid=0"",""1_ACUM!A4:S""),19,FALSE))"),"")</f>
        <v/>
      </c>
      <c r="AK808" s="98" t="str">
        <f ca="1">IFERROR(__xludf.DUMMYFUNCTION("IFERROR(VLOOKUP(F831,IMPORTRANGE(""https://docs.google.com/spreadsheets/d/1Kvs4KS76FHFqLFIZfrDMff4kP08nblUkihrxltoGBjg/edit#gid=934712705"",""ESENCIAL!A6:BG""),5,FALSE))"),"")</f>
        <v/>
      </c>
      <c r="AL808" s="98" t="str">
        <f t="shared" si="48"/>
        <v/>
      </c>
      <c r="AM808" s="99" t="str">
        <f t="shared" si="49"/>
        <v/>
      </c>
      <c r="AN808" s="100" t="str">
        <f ca="1">IFERROR(__xludf.DUMMYFUNCTION("IFERROR(VLOOKUP(F831,IMPORTRANGE(""https://docs.google.com/spreadsheets/d/1Kvs4KS76FHFqLFIZfrDMff4kP08nblUkihrxltoGBjg/edit#gid=934712705"",""ESENCIAL!A6:BG""),2,FALSE))"),"")</f>
        <v/>
      </c>
      <c r="AO808" s="19" t="str">
        <f t="shared" si="46"/>
        <v/>
      </c>
      <c r="AP808" s="100"/>
      <c r="AQ808" s="100"/>
    </row>
    <row r="809" spans="1:43" ht="15">
      <c r="A809" s="5"/>
      <c r="B809" s="5"/>
      <c r="G809" s="5" t="str">
        <f ca="1">IFERROR(__xludf.DUMMYFUNCTION("IFERROR(VLOOKUP(F832,IMPORTRANGE(""https://docs.google.com/spreadsheets/d/1Kvs4KS76FHFqLFIZfrDMff4kP08nblUkihrxltoGBjg/edit#gid=934712705"",""ESENCIAL!A6:BG""),3,FALSE))"),"")</f>
        <v/>
      </c>
      <c r="H809" s="5" t="str">
        <f ca="1">IFERROR(__xludf.DUMMYFUNCTION("IFERROR(VLOOKUP(F832,IMPORTRANGE(""https://docs.google.com/spreadsheets/d/1Kvs4KS76FHFqLFIZfrDMff4kP08nblUkihrxltoGBjg/edit#gid=934712705"",""ESENCIAL!A6:BG""),8,FALSE))"),"")</f>
        <v/>
      </c>
      <c r="L809" s="40"/>
      <c r="Z809" s="41" t="str">
        <f t="shared" si="47"/>
        <v/>
      </c>
      <c r="AA809" s="5" t="str">
        <f ca="1">IFERROR(__xludf.DUMMYFUNCTION("IFERROR(VLOOKUP(E832&amp;F832,IMPORTRANGE(""https://docs.google.com/spreadsheets/d/1Uw7-A9f9R21vMXxHZFNpYNeKFtG8_yji4HS352LGlSQ/edit?pli=1#gid=0"",""1_ACUM!A4:S""),11,FALSE))"),"")</f>
        <v/>
      </c>
      <c r="AB809" s="42" t="str">
        <f ca="1">IFERROR(__xludf.DUMMYFUNCTION("IFERROR(VLOOKUP(F832,IMPORTRANGE(""https://docs.google.com/spreadsheets/d/1Kvs4KS76FHFqLFIZfrDMff4kP08nblUkihrxltoGBjg/edit#gid=934712705"",""ESENCIAL!A6:BG""),15,FALSE))"),"")</f>
        <v/>
      </c>
      <c r="AC809" s="110" t="str">
        <f ca="1">IFERROR(__xludf.DUMMYFUNCTION("IFERROR(VLOOKUP(E832&amp;F832,IMPORTRANGE(""https://docs.google.com/spreadsheets/d/1Uw7-A9f9R21vMXxHZFNpYNeKFtG8_yji4HS352LGlSQ/edit?pli=1#gid=0"",""1_ACUM!A4:S""),13,FALSE))"),"")</f>
        <v/>
      </c>
      <c r="AD809" s="43" t="str">
        <f ca="1">IFERROR(__xludf.DUMMYFUNCTION("IFERROR(VLOOKUP(E832&amp;F832,IMPORTRANGE(""https://docs.google.com/spreadsheets/d/1Uw7-A9f9R21vMXxHZFNpYNeKFtG8_yji4HS352LGlSQ/edit?pli=1#gid=0"",""1_ACUM!A4:S""),13,FALSE))"),"")</f>
        <v/>
      </c>
      <c r="AE809" s="43" t="str">
        <f ca="1">IFERROR(__xludf.DUMMYFUNCTION("IFERROR(VLOOKUP(E832&amp;F832,IMPORTRANGE(""https://docs.google.com/spreadsheets/d/1Uw7-A9f9R21vMXxHZFNpYNeKFtG8_yji4HS352LGlSQ/edit?pli=1#gid=0"",""1_ACUM!A4:S""),14,FALSE))"),"")</f>
        <v/>
      </c>
      <c r="AF809" s="43" t="str">
        <f ca="1">IFERROR(__xludf.DUMMYFUNCTION("IFERROR(VLOOKUP(E832&amp;F832,IMPORTRANGE(""https://docs.google.com/spreadsheets/d/1Uw7-A9f9R21vMXxHZFNpYNeKFtG8_yji4HS352LGlSQ/edit?pli=1#gid=0"",""1_ACUM!A4:S""),15,FALSE))"),"")</f>
        <v/>
      </c>
      <c r="AG809" s="43" t="str">
        <f ca="1">IFERROR(__xludf.DUMMYFUNCTION("IFERROR(VLOOKUP(E832&amp;F832,IMPORTRANGE(""https://docs.google.com/spreadsheets/d/1Uw7-A9f9R21vMXxHZFNpYNeKFtG8_yji4HS352LGlSQ/edit?pli=1#gid=0"",""1_ACUM!A4:S""),16,FALSE))"),"")</f>
        <v/>
      </c>
      <c r="AH809" s="43" t="str">
        <f ca="1">IFERROR(__xludf.DUMMYFUNCTION("IFERROR(VLOOKUP(E832&amp;F832,IMPORTRANGE(""https://docs.google.com/spreadsheets/d/1Uw7-A9f9R21vMXxHZFNpYNeKFtG8_yji4HS352LGlSQ/edit?pli=1#gid=0"",""1_ACUM!A4:S""),17,FALSE))"),"")</f>
        <v/>
      </c>
      <c r="AI809" s="44" t="str">
        <f ca="1">IFERROR(__xludf.DUMMYFUNCTION("IFERROR(VLOOKUP(E832&amp;F832,IMPORTRANGE(""https://docs.google.com/spreadsheets/d/1Uw7-A9f9R21vMXxHZFNpYNeKFtG8_yji4HS352LGlSQ/edit?pli=1#gid=0"",""1_ACUM!A4:S""),18,FALSE))"),"")</f>
        <v/>
      </c>
      <c r="AJ809" s="44" t="str">
        <f ca="1">IFERROR(__xludf.DUMMYFUNCTION("IFERROR(VLOOKUP(E832&amp;F832,IMPORTRANGE(""https://docs.google.com/spreadsheets/d/1Uw7-A9f9R21vMXxHZFNpYNeKFtG8_yji4HS352LGlSQ/edit?pli=1#gid=0"",""1_ACUM!A4:S""),19,FALSE))"),"")</f>
        <v/>
      </c>
      <c r="AK809" s="98" t="str">
        <f ca="1">IFERROR(__xludf.DUMMYFUNCTION("IFERROR(VLOOKUP(F832,IMPORTRANGE(""https://docs.google.com/spreadsheets/d/1Kvs4KS76FHFqLFIZfrDMff4kP08nblUkihrxltoGBjg/edit#gid=934712705"",""ESENCIAL!A6:BG""),5,FALSE))"),"")</f>
        <v/>
      </c>
      <c r="AL809" s="98" t="str">
        <f t="shared" si="48"/>
        <v/>
      </c>
      <c r="AM809" s="99" t="str">
        <f t="shared" si="49"/>
        <v/>
      </c>
      <c r="AN809" s="100" t="str">
        <f ca="1">IFERROR(__xludf.DUMMYFUNCTION("IFERROR(VLOOKUP(F832,IMPORTRANGE(""https://docs.google.com/spreadsheets/d/1Kvs4KS76FHFqLFIZfrDMff4kP08nblUkihrxltoGBjg/edit#gid=934712705"",""ESENCIAL!A6:BG""),2,FALSE))"),"")</f>
        <v/>
      </c>
      <c r="AO809" s="19" t="str">
        <f t="shared" si="46"/>
        <v/>
      </c>
      <c r="AP809" s="100"/>
      <c r="AQ809" s="100"/>
    </row>
    <row r="810" spans="1:43" ht="15">
      <c r="A810" s="5"/>
      <c r="B810" s="5"/>
      <c r="G810" s="5" t="str">
        <f ca="1">IFERROR(__xludf.DUMMYFUNCTION("IFERROR(VLOOKUP(F833,IMPORTRANGE(""https://docs.google.com/spreadsheets/d/1Kvs4KS76FHFqLFIZfrDMff4kP08nblUkihrxltoGBjg/edit#gid=934712705"",""ESENCIAL!A6:BG""),3,FALSE))"),"")</f>
        <v/>
      </c>
      <c r="H810" s="5" t="str">
        <f ca="1">IFERROR(__xludf.DUMMYFUNCTION("IFERROR(VLOOKUP(F833,IMPORTRANGE(""https://docs.google.com/spreadsheets/d/1Kvs4KS76FHFqLFIZfrDMff4kP08nblUkihrxltoGBjg/edit#gid=934712705"",""ESENCIAL!A6:BG""),8,FALSE))"),"")</f>
        <v/>
      </c>
      <c r="L810" s="40"/>
      <c r="Z810" s="41" t="str">
        <f t="shared" si="47"/>
        <v/>
      </c>
      <c r="AA810" s="5" t="str">
        <f ca="1">IFERROR(__xludf.DUMMYFUNCTION("IFERROR(VLOOKUP(E833&amp;F833,IMPORTRANGE(""https://docs.google.com/spreadsheets/d/1Uw7-A9f9R21vMXxHZFNpYNeKFtG8_yji4HS352LGlSQ/edit?pli=1#gid=0"",""1_ACUM!A4:S""),11,FALSE))"),"")</f>
        <v/>
      </c>
      <c r="AB810" s="42" t="str">
        <f ca="1">IFERROR(__xludf.DUMMYFUNCTION("IFERROR(VLOOKUP(F833,IMPORTRANGE(""https://docs.google.com/spreadsheets/d/1Kvs4KS76FHFqLFIZfrDMff4kP08nblUkihrxltoGBjg/edit#gid=934712705"",""ESENCIAL!A6:BG""),15,FALSE))"),"")</f>
        <v/>
      </c>
      <c r="AC810" s="110" t="str">
        <f ca="1">IFERROR(__xludf.DUMMYFUNCTION("IFERROR(VLOOKUP(E833&amp;F833,IMPORTRANGE(""https://docs.google.com/spreadsheets/d/1Uw7-A9f9R21vMXxHZFNpYNeKFtG8_yji4HS352LGlSQ/edit?pli=1#gid=0"",""1_ACUM!A4:S""),13,FALSE))"),"")</f>
        <v/>
      </c>
      <c r="AD810" s="43" t="str">
        <f ca="1">IFERROR(__xludf.DUMMYFUNCTION("IFERROR(VLOOKUP(E833&amp;F833,IMPORTRANGE(""https://docs.google.com/spreadsheets/d/1Uw7-A9f9R21vMXxHZFNpYNeKFtG8_yji4HS352LGlSQ/edit?pli=1#gid=0"",""1_ACUM!A4:S""),13,FALSE))"),"")</f>
        <v/>
      </c>
      <c r="AE810" s="43" t="str">
        <f ca="1">IFERROR(__xludf.DUMMYFUNCTION("IFERROR(VLOOKUP(E833&amp;F833,IMPORTRANGE(""https://docs.google.com/spreadsheets/d/1Uw7-A9f9R21vMXxHZFNpYNeKFtG8_yji4HS352LGlSQ/edit?pli=1#gid=0"",""1_ACUM!A4:S""),14,FALSE))"),"")</f>
        <v/>
      </c>
      <c r="AF810" s="43" t="str">
        <f ca="1">IFERROR(__xludf.DUMMYFUNCTION("IFERROR(VLOOKUP(E833&amp;F833,IMPORTRANGE(""https://docs.google.com/spreadsheets/d/1Uw7-A9f9R21vMXxHZFNpYNeKFtG8_yji4HS352LGlSQ/edit?pli=1#gid=0"",""1_ACUM!A4:S""),15,FALSE))"),"")</f>
        <v/>
      </c>
      <c r="AG810" s="43" t="str">
        <f ca="1">IFERROR(__xludf.DUMMYFUNCTION("IFERROR(VLOOKUP(E833&amp;F833,IMPORTRANGE(""https://docs.google.com/spreadsheets/d/1Uw7-A9f9R21vMXxHZFNpYNeKFtG8_yji4HS352LGlSQ/edit?pli=1#gid=0"",""1_ACUM!A4:S""),16,FALSE))"),"")</f>
        <v/>
      </c>
      <c r="AH810" s="43" t="str">
        <f ca="1">IFERROR(__xludf.DUMMYFUNCTION("IFERROR(VLOOKUP(E833&amp;F833,IMPORTRANGE(""https://docs.google.com/spreadsheets/d/1Uw7-A9f9R21vMXxHZFNpYNeKFtG8_yji4HS352LGlSQ/edit?pli=1#gid=0"",""1_ACUM!A4:S""),17,FALSE))"),"")</f>
        <v/>
      </c>
      <c r="AI810" s="44" t="str">
        <f ca="1">IFERROR(__xludf.DUMMYFUNCTION("IFERROR(VLOOKUP(E833&amp;F833,IMPORTRANGE(""https://docs.google.com/spreadsheets/d/1Uw7-A9f9R21vMXxHZFNpYNeKFtG8_yji4HS352LGlSQ/edit?pli=1#gid=0"",""1_ACUM!A4:S""),18,FALSE))"),"")</f>
        <v/>
      </c>
      <c r="AJ810" s="44" t="str">
        <f ca="1">IFERROR(__xludf.DUMMYFUNCTION("IFERROR(VLOOKUP(E833&amp;F833,IMPORTRANGE(""https://docs.google.com/spreadsheets/d/1Uw7-A9f9R21vMXxHZFNpYNeKFtG8_yji4HS352LGlSQ/edit?pli=1#gid=0"",""1_ACUM!A4:S""),19,FALSE))"),"")</f>
        <v/>
      </c>
      <c r="AK810" s="98" t="str">
        <f ca="1">IFERROR(__xludf.DUMMYFUNCTION("IFERROR(VLOOKUP(F833,IMPORTRANGE(""https://docs.google.com/spreadsheets/d/1Kvs4KS76FHFqLFIZfrDMff4kP08nblUkihrxltoGBjg/edit#gid=934712705"",""ESENCIAL!A6:BG""),5,FALSE))"),"")</f>
        <v/>
      </c>
      <c r="AL810" s="98" t="str">
        <f t="shared" si="48"/>
        <v/>
      </c>
      <c r="AM810" s="99" t="str">
        <f t="shared" si="49"/>
        <v/>
      </c>
      <c r="AN810" s="100" t="str">
        <f ca="1">IFERROR(__xludf.DUMMYFUNCTION("IFERROR(VLOOKUP(F833,IMPORTRANGE(""https://docs.google.com/spreadsheets/d/1Kvs4KS76FHFqLFIZfrDMff4kP08nblUkihrxltoGBjg/edit#gid=934712705"",""ESENCIAL!A6:BG""),2,FALSE))"),"")</f>
        <v/>
      </c>
      <c r="AO810" s="19" t="str">
        <f t="shared" si="46"/>
        <v/>
      </c>
      <c r="AP810" s="100"/>
      <c r="AQ810" s="100"/>
    </row>
    <row r="811" spans="1:43" ht="15">
      <c r="A811" s="5"/>
      <c r="B811" s="5"/>
      <c r="G811" s="5" t="str">
        <f ca="1">IFERROR(__xludf.DUMMYFUNCTION("IFERROR(VLOOKUP(F834,IMPORTRANGE(""https://docs.google.com/spreadsheets/d/1Kvs4KS76FHFqLFIZfrDMff4kP08nblUkihrxltoGBjg/edit#gid=934712705"",""ESENCIAL!A6:BG""),3,FALSE))"),"")</f>
        <v/>
      </c>
      <c r="H811" s="5" t="str">
        <f ca="1">IFERROR(__xludf.DUMMYFUNCTION("IFERROR(VLOOKUP(F834,IMPORTRANGE(""https://docs.google.com/spreadsheets/d/1Kvs4KS76FHFqLFIZfrDMff4kP08nblUkihrxltoGBjg/edit#gid=934712705"",""ESENCIAL!A6:BG""),8,FALSE))"),"")</f>
        <v/>
      </c>
      <c r="L811" s="40"/>
      <c r="Z811" s="41" t="str">
        <f t="shared" si="47"/>
        <v/>
      </c>
      <c r="AA811" s="5" t="str">
        <f ca="1">IFERROR(__xludf.DUMMYFUNCTION("IFERROR(VLOOKUP(E834&amp;F834,IMPORTRANGE(""https://docs.google.com/spreadsheets/d/1Uw7-A9f9R21vMXxHZFNpYNeKFtG8_yji4HS352LGlSQ/edit?pli=1#gid=0"",""1_ACUM!A4:S""),11,FALSE))"),"")</f>
        <v/>
      </c>
      <c r="AB811" s="42" t="str">
        <f ca="1">IFERROR(__xludf.DUMMYFUNCTION("IFERROR(VLOOKUP(F834,IMPORTRANGE(""https://docs.google.com/spreadsheets/d/1Kvs4KS76FHFqLFIZfrDMff4kP08nblUkihrxltoGBjg/edit#gid=934712705"",""ESENCIAL!A6:BG""),15,FALSE))"),"")</f>
        <v/>
      </c>
      <c r="AC811" s="110" t="str">
        <f ca="1">IFERROR(__xludf.DUMMYFUNCTION("IFERROR(VLOOKUP(E834&amp;F834,IMPORTRANGE(""https://docs.google.com/spreadsheets/d/1Uw7-A9f9R21vMXxHZFNpYNeKFtG8_yji4HS352LGlSQ/edit?pli=1#gid=0"",""1_ACUM!A4:S""),13,FALSE))"),"")</f>
        <v/>
      </c>
      <c r="AD811" s="43" t="str">
        <f ca="1">IFERROR(__xludf.DUMMYFUNCTION("IFERROR(VLOOKUP(E834&amp;F834,IMPORTRANGE(""https://docs.google.com/spreadsheets/d/1Uw7-A9f9R21vMXxHZFNpYNeKFtG8_yji4HS352LGlSQ/edit?pli=1#gid=0"",""1_ACUM!A4:S""),13,FALSE))"),"")</f>
        <v/>
      </c>
      <c r="AE811" s="43" t="str">
        <f ca="1">IFERROR(__xludf.DUMMYFUNCTION("IFERROR(VLOOKUP(E834&amp;F834,IMPORTRANGE(""https://docs.google.com/spreadsheets/d/1Uw7-A9f9R21vMXxHZFNpYNeKFtG8_yji4HS352LGlSQ/edit?pli=1#gid=0"",""1_ACUM!A4:S""),14,FALSE))"),"")</f>
        <v/>
      </c>
      <c r="AF811" s="43" t="str">
        <f ca="1">IFERROR(__xludf.DUMMYFUNCTION("IFERROR(VLOOKUP(E834&amp;F834,IMPORTRANGE(""https://docs.google.com/spreadsheets/d/1Uw7-A9f9R21vMXxHZFNpYNeKFtG8_yji4HS352LGlSQ/edit?pli=1#gid=0"",""1_ACUM!A4:S""),15,FALSE))"),"")</f>
        <v/>
      </c>
      <c r="AG811" s="43" t="str">
        <f ca="1">IFERROR(__xludf.DUMMYFUNCTION("IFERROR(VLOOKUP(E834&amp;F834,IMPORTRANGE(""https://docs.google.com/spreadsheets/d/1Uw7-A9f9R21vMXxHZFNpYNeKFtG8_yji4HS352LGlSQ/edit?pli=1#gid=0"",""1_ACUM!A4:S""),16,FALSE))"),"")</f>
        <v/>
      </c>
      <c r="AH811" s="43" t="str">
        <f ca="1">IFERROR(__xludf.DUMMYFUNCTION("IFERROR(VLOOKUP(E834&amp;F834,IMPORTRANGE(""https://docs.google.com/spreadsheets/d/1Uw7-A9f9R21vMXxHZFNpYNeKFtG8_yji4HS352LGlSQ/edit?pli=1#gid=0"",""1_ACUM!A4:S""),17,FALSE))"),"")</f>
        <v/>
      </c>
      <c r="AI811" s="44" t="str">
        <f ca="1">IFERROR(__xludf.DUMMYFUNCTION("IFERROR(VLOOKUP(E834&amp;F834,IMPORTRANGE(""https://docs.google.com/spreadsheets/d/1Uw7-A9f9R21vMXxHZFNpYNeKFtG8_yji4HS352LGlSQ/edit?pli=1#gid=0"",""1_ACUM!A4:S""),18,FALSE))"),"")</f>
        <v/>
      </c>
      <c r="AJ811" s="44" t="str">
        <f ca="1">IFERROR(__xludf.DUMMYFUNCTION("IFERROR(VLOOKUP(E834&amp;F834,IMPORTRANGE(""https://docs.google.com/spreadsheets/d/1Uw7-A9f9R21vMXxHZFNpYNeKFtG8_yji4HS352LGlSQ/edit?pli=1#gid=0"",""1_ACUM!A4:S""),19,FALSE))"),"")</f>
        <v/>
      </c>
      <c r="AK811" s="98" t="str">
        <f ca="1">IFERROR(__xludf.DUMMYFUNCTION("IFERROR(VLOOKUP(F834,IMPORTRANGE(""https://docs.google.com/spreadsheets/d/1Kvs4KS76FHFqLFIZfrDMff4kP08nblUkihrxltoGBjg/edit#gid=934712705"",""ESENCIAL!A6:BG""),5,FALSE))"),"")</f>
        <v/>
      </c>
      <c r="AL811" s="98" t="str">
        <f t="shared" si="48"/>
        <v/>
      </c>
      <c r="AM811" s="99" t="str">
        <f t="shared" si="49"/>
        <v/>
      </c>
      <c r="AN811" s="100" t="str">
        <f ca="1">IFERROR(__xludf.DUMMYFUNCTION("IFERROR(VLOOKUP(F834,IMPORTRANGE(""https://docs.google.com/spreadsheets/d/1Kvs4KS76FHFqLFIZfrDMff4kP08nblUkihrxltoGBjg/edit#gid=934712705"",""ESENCIAL!A6:BG""),2,FALSE))"),"")</f>
        <v/>
      </c>
      <c r="AO811" s="19" t="str">
        <f t="shared" si="46"/>
        <v/>
      </c>
      <c r="AP811" s="100"/>
      <c r="AQ811" s="100"/>
    </row>
    <row r="812" spans="1:43" ht="15">
      <c r="A812" s="5"/>
      <c r="B812" s="5"/>
      <c r="G812" s="5" t="str">
        <f ca="1">IFERROR(__xludf.DUMMYFUNCTION("IFERROR(VLOOKUP(F835,IMPORTRANGE(""https://docs.google.com/spreadsheets/d/1Kvs4KS76FHFqLFIZfrDMff4kP08nblUkihrxltoGBjg/edit#gid=934712705"",""ESENCIAL!A6:BG""),3,FALSE))"),"")</f>
        <v/>
      </c>
      <c r="H812" s="5" t="str">
        <f ca="1">IFERROR(__xludf.DUMMYFUNCTION("IFERROR(VLOOKUP(F835,IMPORTRANGE(""https://docs.google.com/spreadsheets/d/1Kvs4KS76FHFqLFIZfrDMff4kP08nblUkihrxltoGBjg/edit#gid=934712705"",""ESENCIAL!A6:BG""),8,FALSE))"),"")</f>
        <v/>
      </c>
      <c r="L812" s="40"/>
      <c r="Z812" s="41" t="str">
        <f t="shared" si="47"/>
        <v/>
      </c>
      <c r="AA812" s="5" t="str">
        <f ca="1">IFERROR(__xludf.DUMMYFUNCTION("IFERROR(VLOOKUP(E835&amp;F835,IMPORTRANGE(""https://docs.google.com/spreadsheets/d/1Uw7-A9f9R21vMXxHZFNpYNeKFtG8_yji4HS352LGlSQ/edit?pli=1#gid=0"",""1_ACUM!A4:S""),11,FALSE))"),"")</f>
        <v/>
      </c>
      <c r="AB812" s="42" t="str">
        <f ca="1">IFERROR(__xludf.DUMMYFUNCTION("IFERROR(VLOOKUP(F835,IMPORTRANGE(""https://docs.google.com/spreadsheets/d/1Kvs4KS76FHFqLFIZfrDMff4kP08nblUkihrxltoGBjg/edit#gid=934712705"",""ESENCIAL!A6:BG""),15,FALSE))"),"")</f>
        <v/>
      </c>
      <c r="AC812" s="110" t="str">
        <f ca="1">IFERROR(__xludf.DUMMYFUNCTION("IFERROR(VLOOKUP(E835&amp;F835,IMPORTRANGE(""https://docs.google.com/spreadsheets/d/1Uw7-A9f9R21vMXxHZFNpYNeKFtG8_yji4HS352LGlSQ/edit?pli=1#gid=0"",""1_ACUM!A4:S""),13,FALSE))"),"")</f>
        <v/>
      </c>
      <c r="AD812" s="43" t="str">
        <f ca="1">IFERROR(__xludf.DUMMYFUNCTION("IFERROR(VLOOKUP(E835&amp;F835,IMPORTRANGE(""https://docs.google.com/spreadsheets/d/1Uw7-A9f9R21vMXxHZFNpYNeKFtG8_yji4HS352LGlSQ/edit?pli=1#gid=0"",""1_ACUM!A4:S""),13,FALSE))"),"")</f>
        <v/>
      </c>
      <c r="AE812" s="43" t="str">
        <f ca="1">IFERROR(__xludf.DUMMYFUNCTION("IFERROR(VLOOKUP(E835&amp;F835,IMPORTRANGE(""https://docs.google.com/spreadsheets/d/1Uw7-A9f9R21vMXxHZFNpYNeKFtG8_yji4HS352LGlSQ/edit?pli=1#gid=0"",""1_ACUM!A4:S""),14,FALSE))"),"")</f>
        <v/>
      </c>
      <c r="AF812" s="43" t="str">
        <f ca="1">IFERROR(__xludf.DUMMYFUNCTION("IFERROR(VLOOKUP(E835&amp;F835,IMPORTRANGE(""https://docs.google.com/spreadsheets/d/1Uw7-A9f9R21vMXxHZFNpYNeKFtG8_yji4HS352LGlSQ/edit?pli=1#gid=0"",""1_ACUM!A4:S""),15,FALSE))"),"")</f>
        <v/>
      </c>
      <c r="AG812" s="43" t="str">
        <f ca="1">IFERROR(__xludf.DUMMYFUNCTION("IFERROR(VLOOKUP(E835&amp;F835,IMPORTRANGE(""https://docs.google.com/spreadsheets/d/1Uw7-A9f9R21vMXxHZFNpYNeKFtG8_yji4HS352LGlSQ/edit?pli=1#gid=0"",""1_ACUM!A4:S""),16,FALSE))"),"")</f>
        <v/>
      </c>
      <c r="AH812" s="43" t="str">
        <f ca="1">IFERROR(__xludf.DUMMYFUNCTION("IFERROR(VLOOKUP(E835&amp;F835,IMPORTRANGE(""https://docs.google.com/spreadsheets/d/1Uw7-A9f9R21vMXxHZFNpYNeKFtG8_yji4HS352LGlSQ/edit?pli=1#gid=0"",""1_ACUM!A4:S""),17,FALSE))"),"")</f>
        <v/>
      </c>
      <c r="AI812" s="44" t="str">
        <f ca="1">IFERROR(__xludf.DUMMYFUNCTION("IFERROR(VLOOKUP(E835&amp;F835,IMPORTRANGE(""https://docs.google.com/spreadsheets/d/1Uw7-A9f9R21vMXxHZFNpYNeKFtG8_yji4HS352LGlSQ/edit?pli=1#gid=0"",""1_ACUM!A4:S""),18,FALSE))"),"")</f>
        <v/>
      </c>
      <c r="AJ812" s="44" t="str">
        <f ca="1">IFERROR(__xludf.DUMMYFUNCTION("IFERROR(VLOOKUP(E835&amp;F835,IMPORTRANGE(""https://docs.google.com/spreadsheets/d/1Uw7-A9f9R21vMXxHZFNpYNeKFtG8_yji4HS352LGlSQ/edit?pli=1#gid=0"",""1_ACUM!A4:S""),19,FALSE))"),"")</f>
        <v/>
      </c>
      <c r="AK812" s="98" t="str">
        <f ca="1">IFERROR(__xludf.DUMMYFUNCTION("IFERROR(VLOOKUP(F835,IMPORTRANGE(""https://docs.google.com/spreadsheets/d/1Kvs4KS76FHFqLFIZfrDMff4kP08nblUkihrxltoGBjg/edit#gid=934712705"",""ESENCIAL!A6:BG""),5,FALSE))"),"")</f>
        <v/>
      </c>
      <c r="AL812" s="98" t="str">
        <f t="shared" si="48"/>
        <v/>
      </c>
      <c r="AM812" s="99" t="str">
        <f t="shared" si="49"/>
        <v/>
      </c>
      <c r="AN812" s="100" t="str">
        <f ca="1">IFERROR(__xludf.DUMMYFUNCTION("IFERROR(VLOOKUP(F835,IMPORTRANGE(""https://docs.google.com/spreadsheets/d/1Kvs4KS76FHFqLFIZfrDMff4kP08nblUkihrxltoGBjg/edit#gid=934712705"",""ESENCIAL!A6:BG""),2,FALSE))"),"")</f>
        <v/>
      </c>
      <c r="AO812" s="19" t="str">
        <f t="shared" si="46"/>
        <v/>
      </c>
      <c r="AP812" s="100"/>
      <c r="AQ812" s="100"/>
    </row>
    <row r="813" spans="1:43" ht="15">
      <c r="A813" s="5"/>
      <c r="B813" s="5"/>
      <c r="G813" s="5" t="str">
        <f ca="1">IFERROR(__xludf.DUMMYFUNCTION("IFERROR(VLOOKUP(F836,IMPORTRANGE(""https://docs.google.com/spreadsheets/d/1Kvs4KS76FHFqLFIZfrDMff4kP08nblUkihrxltoGBjg/edit#gid=934712705"",""ESENCIAL!A6:BG""),3,FALSE))"),"")</f>
        <v/>
      </c>
      <c r="H813" s="5" t="str">
        <f ca="1">IFERROR(__xludf.DUMMYFUNCTION("IFERROR(VLOOKUP(F836,IMPORTRANGE(""https://docs.google.com/spreadsheets/d/1Kvs4KS76FHFqLFIZfrDMff4kP08nblUkihrxltoGBjg/edit#gid=934712705"",""ESENCIAL!A6:BG""),8,FALSE))"),"")</f>
        <v/>
      </c>
      <c r="L813" s="40"/>
      <c r="Z813" s="41" t="str">
        <f t="shared" si="47"/>
        <v/>
      </c>
      <c r="AA813" s="5" t="str">
        <f ca="1">IFERROR(__xludf.DUMMYFUNCTION("IFERROR(VLOOKUP(E836&amp;F836,IMPORTRANGE(""https://docs.google.com/spreadsheets/d/1Uw7-A9f9R21vMXxHZFNpYNeKFtG8_yji4HS352LGlSQ/edit?pli=1#gid=0"",""1_ACUM!A4:S""),11,FALSE))"),"")</f>
        <v/>
      </c>
      <c r="AB813" s="42" t="str">
        <f ca="1">IFERROR(__xludf.DUMMYFUNCTION("IFERROR(VLOOKUP(F836,IMPORTRANGE(""https://docs.google.com/spreadsheets/d/1Kvs4KS76FHFqLFIZfrDMff4kP08nblUkihrxltoGBjg/edit#gid=934712705"",""ESENCIAL!A6:BG""),15,FALSE))"),"")</f>
        <v/>
      </c>
      <c r="AC813" s="110" t="str">
        <f ca="1">IFERROR(__xludf.DUMMYFUNCTION("IFERROR(VLOOKUP(E836&amp;F836,IMPORTRANGE(""https://docs.google.com/spreadsheets/d/1Uw7-A9f9R21vMXxHZFNpYNeKFtG8_yji4HS352LGlSQ/edit?pli=1#gid=0"",""1_ACUM!A4:S""),13,FALSE))"),"")</f>
        <v/>
      </c>
      <c r="AD813" s="43" t="str">
        <f ca="1">IFERROR(__xludf.DUMMYFUNCTION("IFERROR(VLOOKUP(E836&amp;F836,IMPORTRANGE(""https://docs.google.com/spreadsheets/d/1Uw7-A9f9R21vMXxHZFNpYNeKFtG8_yji4HS352LGlSQ/edit?pli=1#gid=0"",""1_ACUM!A4:S""),13,FALSE))"),"")</f>
        <v/>
      </c>
      <c r="AE813" s="43" t="str">
        <f ca="1">IFERROR(__xludf.DUMMYFUNCTION("IFERROR(VLOOKUP(E836&amp;F836,IMPORTRANGE(""https://docs.google.com/spreadsheets/d/1Uw7-A9f9R21vMXxHZFNpYNeKFtG8_yji4HS352LGlSQ/edit?pli=1#gid=0"",""1_ACUM!A4:S""),14,FALSE))"),"")</f>
        <v/>
      </c>
      <c r="AF813" s="43" t="str">
        <f ca="1">IFERROR(__xludf.DUMMYFUNCTION("IFERROR(VLOOKUP(E836&amp;F836,IMPORTRANGE(""https://docs.google.com/spreadsheets/d/1Uw7-A9f9R21vMXxHZFNpYNeKFtG8_yji4HS352LGlSQ/edit?pli=1#gid=0"",""1_ACUM!A4:S""),15,FALSE))"),"")</f>
        <v/>
      </c>
      <c r="AG813" s="43" t="str">
        <f ca="1">IFERROR(__xludf.DUMMYFUNCTION("IFERROR(VLOOKUP(E836&amp;F836,IMPORTRANGE(""https://docs.google.com/spreadsheets/d/1Uw7-A9f9R21vMXxHZFNpYNeKFtG8_yji4HS352LGlSQ/edit?pli=1#gid=0"",""1_ACUM!A4:S""),16,FALSE))"),"")</f>
        <v/>
      </c>
      <c r="AH813" s="43" t="str">
        <f ca="1">IFERROR(__xludf.DUMMYFUNCTION("IFERROR(VLOOKUP(E836&amp;F836,IMPORTRANGE(""https://docs.google.com/spreadsheets/d/1Uw7-A9f9R21vMXxHZFNpYNeKFtG8_yji4HS352LGlSQ/edit?pli=1#gid=0"",""1_ACUM!A4:S""),17,FALSE))"),"")</f>
        <v/>
      </c>
      <c r="AI813" s="44" t="str">
        <f ca="1">IFERROR(__xludf.DUMMYFUNCTION("IFERROR(VLOOKUP(E836&amp;F836,IMPORTRANGE(""https://docs.google.com/spreadsheets/d/1Uw7-A9f9R21vMXxHZFNpYNeKFtG8_yji4HS352LGlSQ/edit?pli=1#gid=0"",""1_ACUM!A4:S""),18,FALSE))"),"")</f>
        <v/>
      </c>
      <c r="AJ813" s="44" t="str">
        <f ca="1">IFERROR(__xludf.DUMMYFUNCTION("IFERROR(VLOOKUP(E836&amp;F836,IMPORTRANGE(""https://docs.google.com/spreadsheets/d/1Uw7-A9f9R21vMXxHZFNpYNeKFtG8_yji4HS352LGlSQ/edit?pli=1#gid=0"",""1_ACUM!A4:S""),19,FALSE))"),"")</f>
        <v/>
      </c>
      <c r="AK813" s="98" t="str">
        <f ca="1">IFERROR(__xludf.DUMMYFUNCTION("IFERROR(VLOOKUP(F836,IMPORTRANGE(""https://docs.google.com/spreadsheets/d/1Kvs4KS76FHFqLFIZfrDMff4kP08nblUkihrxltoGBjg/edit#gid=934712705"",""ESENCIAL!A6:BG""),5,FALSE))"),"")</f>
        <v/>
      </c>
      <c r="AL813" s="98" t="str">
        <f t="shared" si="48"/>
        <v/>
      </c>
      <c r="AM813" s="99" t="str">
        <f t="shared" si="49"/>
        <v/>
      </c>
      <c r="AN813" s="100" t="str">
        <f ca="1">IFERROR(__xludf.DUMMYFUNCTION("IFERROR(VLOOKUP(F836,IMPORTRANGE(""https://docs.google.com/spreadsheets/d/1Kvs4KS76FHFqLFIZfrDMff4kP08nblUkihrxltoGBjg/edit#gid=934712705"",""ESENCIAL!A6:BG""),2,FALSE))"),"")</f>
        <v/>
      </c>
      <c r="AO813" s="19" t="str">
        <f t="shared" si="46"/>
        <v/>
      </c>
      <c r="AP813" s="100"/>
      <c r="AQ813" s="100"/>
    </row>
    <row r="814" spans="1:43" ht="15">
      <c r="A814" s="5"/>
      <c r="B814" s="5"/>
      <c r="G814" s="5" t="str">
        <f ca="1">IFERROR(__xludf.DUMMYFUNCTION("IFERROR(VLOOKUP(F837,IMPORTRANGE(""https://docs.google.com/spreadsheets/d/1Kvs4KS76FHFqLFIZfrDMff4kP08nblUkihrxltoGBjg/edit#gid=934712705"",""ESENCIAL!A6:BG""),3,FALSE))"),"")</f>
        <v/>
      </c>
      <c r="H814" s="5" t="str">
        <f ca="1">IFERROR(__xludf.DUMMYFUNCTION("IFERROR(VLOOKUP(F837,IMPORTRANGE(""https://docs.google.com/spreadsheets/d/1Kvs4KS76FHFqLFIZfrDMff4kP08nblUkihrxltoGBjg/edit#gid=934712705"",""ESENCIAL!A6:BG""),8,FALSE))"),"")</f>
        <v/>
      </c>
      <c r="L814" s="40"/>
      <c r="Z814" s="41" t="str">
        <f t="shared" si="47"/>
        <v/>
      </c>
      <c r="AA814" s="5" t="str">
        <f ca="1">IFERROR(__xludf.DUMMYFUNCTION("IFERROR(VLOOKUP(E837&amp;F837,IMPORTRANGE(""https://docs.google.com/spreadsheets/d/1Uw7-A9f9R21vMXxHZFNpYNeKFtG8_yji4HS352LGlSQ/edit?pli=1#gid=0"",""1_ACUM!A4:S""),11,FALSE))"),"")</f>
        <v/>
      </c>
      <c r="AB814" s="42" t="str">
        <f ca="1">IFERROR(__xludf.DUMMYFUNCTION("IFERROR(VLOOKUP(F837,IMPORTRANGE(""https://docs.google.com/spreadsheets/d/1Kvs4KS76FHFqLFIZfrDMff4kP08nblUkihrxltoGBjg/edit#gid=934712705"",""ESENCIAL!A6:BG""),15,FALSE))"),"")</f>
        <v/>
      </c>
      <c r="AC814" s="110" t="str">
        <f ca="1">IFERROR(__xludf.DUMMYFUNCTION("IFERROR(VLOOKUP(E837&amp;F837,IMPORTRANGE(""https://docs.google.com/spreadsheets/d/1Uw7-A9f9R21vMXxHZFNpYNeKFtG8_yji4HS352LGlSQ/edit?pli=1#gid=0"",""1_ACUM!A4:S""),13,FALSE))"),"")</f>
        <v/>
      </c>
      <c r="AD814" s="43" t="str">
        <f ca="1">IFERROR(__xludf.DUMMYFUNCTION("IFERROR(VLOOKUP(E837&amp;F837,IMPORTRANGE(""https://docs.google.com/spreadsheets/d/1Uw7-A9f9R21vMXxHZFNpYNeKFtG8_yji4HS352LGlSQ/edit?pli=1#gid=0"",""1_ACUM!A4:S""),13,FALSE))"),"")</f>
        <v/>
      </c>
      <c r="AE814" s="43" t="str">
        <f ca="1">IFERROR(__xludf.DUMMYFUNCTION("IFERROR(VLOOKUP(E837&amp;F837,IMPORTRANGE(""https://docs.google.com/spreadsheets/d/1Uw7-A9f9R21vMXxHZFNpYNeKFtG8_yji4HS352LGlSQ/edit?pli=1#gid=0"",""1_ACUM!A4:S""),14,FALSE))"),"")</f>
        <v/>
      </c>
      <c r="AF814" s="43" t="str">
        <f ca="1">IFERROR(__xludf.DUMMYFUNCTION("IFERROR(VLOOKUP(E837&amp;F837,IMPORTRANGE(""https://docs.google.com/spreadsheets/d/1Uw7-A9f9R21vMXxHZFNpYNeKFtG8_yji4HS352LGlSQ/edit?pli=1#gid=0"",""1_ACUM!A4:S""),15,FALSE))"),"")</f>
        <v/>
      </c>
      <c r="AG814" s="43" t="str">
        <f ca="1">IFERROR(__xludf.DUMMYFUNCTION("IFERROR(VLOOKUP(E837&amp;F837,IMPORTRANGE(""https://docs.google.com/spreadsheets/d/1Uw7-A9f9R21vMXxHZFNpYNeKFtG8_yji4HS352LGlSQ/edit?pli=1#gid=0"",""1_ACUM!A4:S""),16,FALSE))"),"")</f>
        <v/>
      </c>
      <c r="AH814" s="43" t="str">
        <f ca="1">IFERROR(__xludf.DUMMYFUNCTION("IFERROR(VLOOKUP(E837&amp;F837,IMPORTRANGE(""https://docs.google.com/spreadsheets/d/1Uw7-A9f9R21vMXxHZFNpYNeKFtG8_yji4HS352LGlSQ/edit?pli=1#gid=0"",""1_ACUM!A4:S""),17,FALSE))"),"")</f>
        <v/>
      </c>
      <c r="AI814" s="44" t="str">
        <f ca="1">IFERROR(__xludf.DUMMYFUNCTION("IFERROR(VLOOKUP(E837&amp;F837,IMPORTRANGE(""https://docs.google.com/spreadsheets/d/1Uw7-A9f9R21vMXxHZFNpYNeKFtG8_yji4HS352LGlSQ/edit?pli=1#gid=0"",""1_ACUM!A4:S""),18,FALSE))"),"")</f>
        <v/>
      </c>
      <c r="AJ814" s="44" t="str">
        <f ca="1">IFERROR(__xludf.DUMMYFUNCTION("IFERROR(VLOOKUP(E837&amp;F837,IMPORTRANGE(""https://docs.google.com/spreadsheets/d/1Uw7-A9f9R21vMXxHZFNpYNeKFtG8_yji4HS352LGlSQ/edit?pli=1#gid=0"",""1_ACUM!A4:S""),19,FALSE))"),"")</f>
        <v/>
      </c>
      <c r="AK814" s="98" t="str">
        <f ca="1">IFERROR(__xludf.DUMMYFUNCTION("IFERROR(VLOOKUP(F837,IMPORTRANGE(""https://docs.google.com/spreadsheets/d/1Kvs4KS76FHFqLFIZfrDMff4kP08nblUkihrxltoGBjg/edit#gid=934712705"",""ESENCIAL!A6:BG""),5,FALSE))"),"")</f>
        <v/>
      </c>
      <c r="AL814" s="98" t="str">
        <f t="shared" si="48"/>
        <v/>
      </c>
      <c r="AM814" s="99" t="str">
        <f t="shared" si="49"/>
        <v/>
      </c>
      <c r="AN814" s="100" t="str">
        <f ca="1">IFERROR(__xludf.DUMMYFUNCTION("IFERROR(VLOOKUP(F837,IMPORTRANGE(""https://docs.google.com/spreadsheets/d/1Kvs4KS76FHFqLFIZfrDMff4kP08nblUkihrxltoGBjg/edit#gid=934712705"",""ESENCIAL!A6:BG""),2,FALSE))"),"")</f>
        <v/>
      </c>
      <c r="AO814" s="19" t="str">
        <f t="shared" si="46"/>
        <v/>
      </c>
      <c r="AP814" s="100"/>
      <c r="AQ814" s="100"/>
    </row>
    <row r="815" spans="1:43" ht="15">
      <c r="A815" s="5"/>
      <c r="B815" s="5"/>
      <c r="G815" s="5" t="str">
        <f ca="1">IFERROR(__xludf.DUMMYFUNCTION("IFERROR(VLOOKUP(F838,IMPORTRANGE(""https://docs.google.com/spreadsheets/d/1Kvs4KS76FHFqLFIZfrDMff4kP08nblUkihrxltoGBjg/edit#gid=934712705"",""ESENCIAL!A6:BG""),3,FALSE))"),"")</f>
        <v/>
      </c>
      <c r="H815" s="5" t="str">
        <f ca="1">IFERROR(__xludf.DUMMYFUNCTION("IFERROR(VLOOKUP(F838,IMPORTRANGE(""https://docs.google.com/spreadsheets/d/1Kvs4KS76FHFqLFIZfrDMff4kP08nblUkihrxltoGBjg/edit#gid=934712705"",""ESENCIAL!A6:BG""),8,FALSE))"),"")</f>
        <v/>
      </c>
      <c r="L815" s="40"/>
      <c r="Z815" s="41" t="str">
        <f t="shared" si="47"/>
        <v/>
      </c>
      <c r="AA815" s="5" t="str">
        <f ca="1">IFERROR(__xludf.DUMMYFUNCTION("IFERROR(VLOOKUP(E838&amp;F838,IMPORTRANGE(""https://docs.google.com/spreadsheets/d/1Uw7-A9f9R21vMXxHZFNpYNeKFtG8_yji4HS352LGlSQ/edit?pli=1#gid=0"",""1_ACUM!A4:S""),11,FALSE))"),"")</f>
        <v/>
      </c>
      <c r="AB815" s="42" t="str">
        <f ca="1">IFERROR(__xludf.DUMMYFUNCTION("IFERROR(VLOOKUP(F838,IMPORTRANGE(""https://docs.google.com/spreadsheets/d/1Kvs4KS76FHFqLFIZfrDMff4kP08nblUkihrxltoGBjg/edit#gid=934712705"",""ESENCIAL!A6:BG""),15,FALSE))"),"")</f>
        <v/>
      </c>
      <c r="AC815" s="110" t="str">
        <f ca="1">IFERROR(__xludf.DUMMYFUNCTION("IFERROR(VLOOKUP(E838&amp;F838,IMPORTRANGE(""https://docs.google.com/spreadsheets/d/1Uw7-A9f9R21vMXxHZFNpYNeKFtG8_yji4HS352LGlSQ/edit?pli=1#gid=0"",""1_ACUM!A4:S""),13,FALSE))"),"")</f>
        <v/>
      </c>
      <c r="AD815" s="43" t="str">
        <f ca="1">IFERROR(__xludf.DUMMYFUNCTION("IFERROR(VLOOKUP(E838&amp;F838,IMPORTRANGE(""https://docs.google.com/spreadsheets/d/1Uw7-A9f9R21vMXxHZFNpYNeKFtG8_yji4HS352LGlSQ/edit?pli=1#gid=0"",""1_ACUM!A4:S""),13,FALSE))"),"")</f>
        <v/>
      </c>
      <c r="AE815" s="43" t="str">
        <f ca="1">IFERROR(__xludf.DUMMYFUNCTION("IFERROR(VLOOKUP(E838&amp;F838,IMPORTRANGE(""https://docs.google.com/spreadsheets/d/1Uw7-A9f9R21vMXxHZFNpYNeKFtG8_yji4HS352LGlSQ/edit?pli=1#gid=0"",""1_ACUM!A4:S""),14,FALSE))"),"")</f>
        <v/>
      </c>
      <c r="AF815" s="43" t="str">
        <f ca="1">IFERROR(__xludf.DUMMYFUNCTION("IFERROR(VLOOKUP(E838&amp;F838,IMPORTRANGE(""https://docs.google.com/spreadsheets/d/1Uw7-A9f9R21vMXxHZFNpYNeKFtG8_yji4HS352LGlSQ/edit?pli=1#gid=0"",""1_ACUM!A4:S""),15,FALSE))"),"")</f>
        <v/>
      </c>
      <c r="AG815" s="43" t="str">
        <f ca="1">IFERROR(__xludf.DUMMYFUNCTION("IFERROR(VLOOKUP(E838&amp;F838,IMPORTRANGE(""https://docs.google.com/spreadsheets/d/1Uw7-A9f9R21vMXxHZFNpYNeKFtG8_yji4HS352LGlSQ/edit?pli=1#gid=0"",""1_ACUM!A4:S""),16,FALSE))"),"")</f>
        <v/>
      </c>
      <c r="AH815" s="43" t="str">
        <f ca="1">IFERROR(__xludf.DUMMYFUNCTION("IFERROR(VLOOKUP(E838&amp;F838,IMPORTRANGE(""https://docs.google.com/spreadsheets/d/1Uw7-A9f9R21vMXxHZFNpYNeKFtG8_yji4HS352LGlSQ/edit?pli=1#gid=0"",""1_ACUM!A4:S""),17,FALSE))"),"")</f>
        <v/>
      </c>
      <c r="AI815" s="44" t="str">
        <f ca="1">IFERROR(__xludf.DUMMYFUNCTION("IFERROR(VLOOKUP(E838&amp;F838,IMPORTRANGE(""https://docs.google.com/spreadsheets/d/1Uw7-A9f9R21vMXxHZFNpYNeKFtG8_yji4HS352LGlSQ/edit?pli=1#gid=0"",""1_ACUM!A4:S""),18,FALSE))"),"")</f>
        <v/>
      </c>
      <c r="AJ815" s="44" t="str">
        <f ca="1">IFERROR(__xludf.DUMMYFUNCTION("IFERROR(VLOOKUP(E838&amp;F838,IMPORTRANGE(""https://docs.google.com/spreadsheets/d/1Uw7-A9f9R21vMXxHZFNpYNeKFtG8_yji4HS352LGlSQ/edit?pli=1#gid=0"",""1_ACUM!A4:S""),19,FALSE))"),"")</f>
        <v/>
      </c>
      <c r="AK815" s="98" t="str">
        <f ca="1">IFERROR(__xludf.DUMMYFUNCTION("IFERROR(VLOOKUP(F838,IMPORTRANGE(""https://docs.google.com/spreadsheets/d/1Kvs4KS76FHFqLFIZfrDMff4kP08nblUkihrxltoGBjg/edit#gid=934712705"",""ESENCIAL!A6:BG""),5,FALSE))"),"")</f>
        <v/>
      </c>
      <c r="AL815" s="98" t="str">
        <f t="shared" si="48"/>
        <v/>
      </c>
      <c r="AM815" s="99" t="str">
        <f t="shared" si="49"/>
        <v/>
      </c>
      <c r="AN815" s="100" t="str">
        <f ca="1">IFERROR(__xludf.DUMMYFUNCTION("IFERROR(VLOOKUP(F838,IMPORTRANGE(""https://docs.google.com/spreadsheets/d/1Kvs4KS76FHFqLFIZfrDMff4kP08nblUkihrxltoGBjg/edit#gid=934712705"",""ESENCIAL!A6:BG""),2,FALSE))"),"")</f>
        <v/>
      </c>
      <c r="AO815" s="19" t="str">
        <f t="shared" si="46"/>
        <v/>
      </c>
      <c r="AP815" s="100"/>
      <c r="AQ815" s="100"/>
    </row>
    <row r="816" spans="1:43" ht="15">
      <c r="A816" s="5"/>
      <c r="B816" s="5"/>
      <c r="G816" s="5" t="str">
        <f ca="1">IFERROR(__xludf.DUMMYFUNCTION("IFERROR(VLOOKUP(F839,IMPORTRANGE(""https://docs.google.com/spreadsheets/d/1Kvs4KS76FHFqLFIZfrDMff4kP08nblUkihrxltoGBjg/edit#gid=934712705"",""ESENCIAL!A6:BG""),3,FALSE))"),"")</f>
        <v/>
      </c>
      <c r="H816" s="5" t="str">
        <f ca="1">IFERROR(__xludf.DUMMYFUNCTION("IFERROR(VLOOKUP(F839,IMPORTRANGE(""https://docs.google.com/spreadsheets/d/1Kvs4KS76FHFqLFIZfrDMff4kP08nblUkihrxltoGBjg/edit#gid=934712705"",""ESENCIAL!A6:BG""),8,FALSE))"),"")</f>
        <v/>
      </c>
      <c r="L816" s="40"/>
      <c r="Z816" s="41" t="str">
        <f t="shared" si="47"/>
        <v/>
      </c>
      <c r="AA816" s="5" t="str">
        <f ca="1">IFERROR(__xludf.DUMMYFUNCTION("IFERROR(VLOOKUP(E839&amp;F839,IMPORTRANGE(""https://docs.google.com/spreadsheets/d/1Uw7-A9f9R21vMXxHZFNpYNeKFtG8_yji4HS352LGlSQ/edit?pli=1#gid=0"",""1_ACUM!A4:S""),11,FALSE))"),"")</f>
        <v/>
      </c>
      <c r="AB816" s="42" t="str">
        <f ca="1">IFERROR(__xludf.DUMMYFUNCTION("IFERROR(VLOOKUP(F839,IMPORTRANGE(""https://docs.google.com/spreadsheets/d/1Kvs4KS76FHFqLFIZfrDMff4kP08nblUkihrxltoGBjg/edit#gid=934712705"",""ESENCIAL!A6:BG""),15,FALSE))"),"")</f>
        <v/>
      </c>
      <c r="AC816" s="110" t="str">
        <f ca="1">IFERROR(__xludf.DUMMYFUNCTION("IFERROR(VLOOKUP(E839&amp;F839,IMPORTRANGE(""https://docs.google.com/spreadsheets/d/1Uw7-A9f9R21vMXxHZFNpYNeKFtG8_yji4HS352LGlSQ/edit?pli=1#gid=0"",""1_ACUM!A4:S""),13,FALSE))"),"")</f>
        <v/>
      </c>
      <c r="AD816" s="43" t="str">
        <f ca="1">IFERROR(__xludf.DUMMYFUNCTION("IFERROR(VLOOKUP(E839&amp;F839,IMPORTRANGE(""https://docs.google.com/spreadsheets/d/1Uw7-A9f9R21vMXxHZFNpYNeKFtG8_yji4HS352LGlSQ/edit?pli=1#gid=0"",""1_ACUM!A4:S""),13,FALSE))"),"")</f>
        <v/>
      </c>
      <c r="AE816" s="43" t="str">
        <f ca="1">IFERROR(__xludf.DUMMYFUNCTION("IFERROR(VLOOKUP(E839&amp;F839,IMPORTRANGE(""https://docs.google.com/spreadsheets/d/1Uw7-A9f9R21vMXxHZFNpYNeKFtG8_yji4HS352LGlSQ/edit?pli=1#gid=0"",""1_ACUM!A4:S""),14,FALSE))"),"")</f>
        <v/>
      </c>
      <c r="AF816" s="43" t="str">
        <f ca="1">IFERROR(__xludf.DUMMYFUNCTION("IFERROR(VLOOKUP(E839&amp;F839,IMPORTRANGE(""https://docs.google.com/spreadsheets/d/1Uw7-A9f9R21vMXxHZFNpYNeKFtG8_yji4HS352LGlSQ/edit?pli=1#gid=0"",""1_ACUM!A4:S""),15,FALSE))"),"")</f>
        <v/>
      </c>
      <c r="AG816" s="43" t="str">
        <f ca="1">IFERROR(__xludf.DUMMYFUNCTION("IFERROR(VLOOKUP(E839&amp;F839,IMPORTRANGE(""https://docs.google.com/spreadsheets/d/1Uw7-A9f9R21vMXxHZFNpYNeKFtG8_yji4HS352LGlSQ/edit?pli=1#gid=0"",""1_ACUM!A4:S""),16,FALSE))"),"")</f>
        <v/>
      </c>
      <c r="AH816" s="43" t="str">
        <f ca="1">IFERROR(__xludf.DUMMYFUNCTION("IFERROR(VLOOKUP(E839&amp;F839,IMPORTRANGE(""https://docs.google.com/spreadsheets/d/1Uw7-A9f9R21vMXxHZFNpYNeKFtG8_yji4HS352LGlSQ/edit?pli=1#gid=0"",""1_ACUM!A4:S""),17,FALSE))"),"")</f>
        <v/>
      </c>
      <c r="AI816" s="44" t="str">
        <f ca="1">IFERROR(__xludf.DUMMYFUNCTION("IFERROR(VLOOKUP(E839&amp;F839,IMPORTRANGE(""https://docs.google.com/spreadsheets/d/1Uw7-A9f9R21vMXxHZFNpYNeKFtG8_yji4HS352LGlSQ/edit?pli=1#gid=0"",""1_ACUM!A4:S""),18,FALSE))"),"")</f>
        <v/>
      </c>
      <c r="AJ816" s="44" t="str">
        <f ca="1">IFERROR(__xludf.DUMMYFUNCTION("IFERROR(VLOOKUP(E839&amp;F839,IMPORTRANGE(""https://docs.google.com/spreadsheets/d/1Uw7-A9f9R21vMXxHZFNpYNeKFtG8_yji4HS352LGlSQ/edit?pli=1#gid=0"",""1_ACUM!A4:S""),19,FALSE))"),"")</f>
        <v/>
      </c>
      <c r="AK816" s="98" t="str">
        <f ca="1">IFERROR(__xludf.DUMMYFUNCTION("IFERROR(VLOOKUP(F839,IMPORTRANGE(""https://docs.google.com/spreadsheets/d/1Kvs4KS76FHFqLFIZfrDMff4kP08nblUkihrxltoGBjg/edit#gid=934712705"",""ESENCIAL!A6:BG""),5,FALSE))"),"")</f>
        <v/>
      </c>
      <c r="AL816" s="98" t="str">
        <f t="shared" si="48"/>
        <v/>
      </c>
      <c r="AM816" s="99" t="str">
        <f t="shared" si="49"/>
        <v/>
      </c>
      <c r="AN816" s="100" t="str">
        <f ca="1">IFERROR(__xludf.DUMMYFUNCTION("IFERROR(VLOOKUP(F839,IMPORTRANGE(""https://docs.google.com/spreadsheets/d/1Kvs4KS76FHFqLFIZfrDMff4kP08nblUkihrxltoGBjg/edit#gid=934712705"",""ESENCIAL!A6:BG""),2,FALSE))"),"")</f>
        <v/>
      </c>
      <c r="AO816" s="19" t="str">
        <f t="shared" si="46"/>
        <v/>
      </c>
      <c r="AP816" s="100"/>
      <c r="AQ816" s="100"/>
    </row>
    <row r="817" spans="1:43" ht="15">
      <c r="A817" s="5"/>
      <c r="B817" s="5"/>
      <c r="G817" s="5" t="str">
        <f ca="1">IFERROR(__xludf.DUMMYFUNCTION("IFERROR(VLOOKUP(F840,IMPORTRANGE(""https://docs.google.com/spreadsheets/d/1Kvs4KS76FHFqLFIZfrDMff4kP08nblUkihrxltoGBjg/edit#gid=934712705"",""ESENCIAL!A6:BG""),3,FALSE))"),"")</f>
        <v/>
      </c>
      <c r="H817" s="5" t="str">
        <f ca="1">IFERROR(__xludf.DUMMYFUNCTION("IFERROR(VLOOKUP(F840,IMPORTRANGE(""https://docs.google.com/spreadsheets/d/1Kvs4KS76FHFqLFIZfrDMff4kP08nblUkihrxltoGBjg/edit#gid=934712705"",""ESENCIAL!A6:BG""),8,FALSE))"),"")</f>
        <v/>
      </c>
      <c r="L817" s="40"/>
      <c r="Z817" s="41" t="str">
        <f t="shared" si="47"/>
        <v/>
      </c>
      <c r="AA817" s="5" t="str">
        <f ca="1">IFERROR(__xludf.DUMMYFUNCTION("IFERROR(VLOOKUP(E840&amp;F840,IMPORTRANGE(""https://docs.google.com/spreadsheets/d/1Uw7-A9f9R21vMXxHZFNpYNeKFtG8_yji4HS352LGlSQ/edit?pli=1#gid=0"",""1_ACUM!A4:S""),11,FALSE))"),"")</f>
        <v/>
      </c>
      <c r="AB817" s="42" t="str">
        <f ca="1">IFERROR(__xludf.DUMMYFUNCTION("IFERROR(VLOOKUP(F840,IMPORTRANGE(""https://docs.google.com/spreadsheets/d/1Kvs4KS76FHFqLFIZfrDMff4kP08nblUkihrxltoGBjg/edit#gid=934712705"",""ESENCIAL!A6:BG""),15,FALSE))"),"")</f>
        <v/>
      </c>
      <c r="AC817" s="110" t="str">
        <f ca="1">IFERROR(__xludf.DUMMYFUNCTION("IFERROR(VLOOKUP(E840&amp;F840,IMPORTRANGE(""https://docs.google.com/spreadsheets/d/1Uw7-A9f9R21vMXxHZFNpYNeKFtG8_yji4HS352LGlSQ/edit?pli=1#gid=0"",""1_ACUM!A4:S""),13,FALSE))"),"")</f>
        <v/>
      </c>
      <c r="AD817" s="43" t="str">
        <f ca="1">IFERROR(__xludf.DUMMYFUNCTION("IFERROR(VLOOKUP(E840&amp;F840,IMPORTRANGE(""https://docs.google.com/spreadsheets/d/1Uw7-A9f9R21vMXxHZFNpYNeKFtG8_yji4HS352LGlSQ/edit?pli=1#gid=0"",""1_ACUM!A4:S""),13,FALSE))"),"")</f>
        <v/>
      </c>
      <c r="AE817" s="43" t="str">
        <f ca="1">IFERROR(__xludf.DUMMYFUNCTION("IFERROR(VLOOKUP(E840&amp;F840,IMPORTRANGE(""https://docs.google.com/spreadsheets/d/1Uw7-A9f9R21vMXxHZFNpYNeKFtG8_yji4HS352LGlSQ/edit?pli=1#gid=0"",""1_ACUM!A4:S""),14,FALSE))"),"")</f>
        <v/>
      </c>
      <c r="AF817" s="43" t="str">
        <f ca="1">IFERROR(__xludf.DUMMYFUNCTION("IFERROR(VLOOKUP(E840&amp;F840,IMPORTRANGE(""https://docs.google.com/spreadsheets/d/1Uw7-A9f9R21vMXxHZFNpYNeKFtG8_yji4HS352LGlSQ/edit?pli=1#gid=0"",""1_ACUM!A4:S""),15,FALSE))"),"")</f>
        <v/>
      </c>
      <c r="AG817" s="43" t="str">
        <f ca="1">IFERROR(__xludf.DUMMYFUNCTION("IFERROR(VLOOKUP(E840&amp;F840,IMPORTRANGE(""https://docs.google.com/spreadsheets/d/1Uw7-A9f9R21vMXxHZFNpYNeKFtG8_yji4HS352LGlSQ/edit?pli=1#gid=0"",""1_ACUM!A4:S""),16,FALSE))"),"")</f>
        <v/>
      </c>
      <c r="AH817" s="43" t="str">
        <f ca="1">IFERROR(__xludf.DUMMYFUNCTION("IFERROR(VLOOKUP(E840&amp;F840,IMPORTRANGE(""https://docs.google.com/spreadsheets/d/1Uw7-A9f9R21vMXxHZFNpYNeKFtG8_yji4HS352LGlSQ/edit?pli=1#gid=0"",""1_ACUM!A4:S""),17,FALSE))"),"")</f>
        <v/>
      </c>
      <c r="AI817" s="44" t="str">
        <f ca="1">IFERROR(__xludf.DUMMYFUNCTION("IFERROR(VLOOKUP(E840&amp;F840,IMPORTRANGE(""https://docs.google.com/spreadsheets/d/1Uw7-A9f9R21vMXxHZFNpYNeKFtG8_yji4HS352LGlSQ/edit?pli=1#gid=0"",""1_ACUM!A4:S""),18,FALSE))"),"")</f>
        <v/>
      </c>
      <c r="AJ817" s="44" t="str">
        <f ca="1">IFERROR(__xludf.DUMMYFUNCTION("IFERROR(VLOOKUP(E840&amp;F840,IMPORTRANGE(""https://docs.google.com/spreadsheets/d/1Uw7-A9f9R21vMXxHZFNpYNeKFtG8_yji4HS352LGlSQ/edit?pli=1#gid=0"",""1_ACUM!A4:S""),19,FALSE))"),"")</f>
        <v/>
      </c>
      <c r="AK817" s="98" t="str">
        <f ca="1">IFERROR(__xludf.DUMMYFUNCTION("IFERROR(VLOOKUP(F840,IMPORTRANGE(""https://docs.google.com/spreadsheets/d/1Kvs4KS76FHFqLFIZfrDMff4kP08nblUkihrxltoGBjg/edit#gid=934712705"",""ESENCIAL!A6:BG""),5,FALSE))"),"")</f>
        <v/>
      </c>
      <c r="AL817" s="98" t="str">
        <f t="shared" si="48"/>
        <v/>
      </c>
      <c r="AM817" s="99" t="str">
        <f t="shared" si="49"/>
        <v/>
      </c>
      <c r="AN817" s="100" t="str">
        <f ca="1">IFERROR(__xludf.DUMMYFUNCTION("IFERROR(VLOOKUP(F840,IMPORTRANGE(""https://docs.google.com/spreadsheets/d/1Kvs4KS76FHFqLFIZfrDMff4kP08nblUkihrxltoGBjg/edit#gid=934712705"",""ESENCIAL!A6:BG""),2,FALSE))"),"")</f>
        <v/>
      </c>
      <c r="AO817" s="19" t="str">
        <f t="shared" si="46"/>
        <v/>
      </c>
      <c r="AP817" s="100"/>
      <c r="AQ817" s="100"/>
    </row>
    <row r="818" spans="1:43" ht="15">
      <c r="A818" s="5"/>
      <c r="B818" s="5"/>
      <c r="G818" s="5" t="str">
        <f ca="1">IFERROR(__xludf.DUMMYFUNCTION("IFERROR(VLOOKUP(F841,IMPORTRANGE(""https://docs.google.com/spreadsheets/d/1Kvs4KS76FHFqLFIZfrDMff4kP08nblUkihrxltoGBjg/edit#gid=934712705"",""ESENCIAL!A6:BG""),3,FALSE))"),"")</f>
        <v/>
      </c>
      <c r="H818" s="5" t="str">
        <f ca="1">IFERROR(__xludf.DUMMYFUNCTION("IFERROR(VLOOKUP(F841,IMPORTRANGE(""https://docs.google.com/spreadsheets/d/1Kvs4KS76FHFqLFIZfrDMff4kP08nblUkihrxltoGBjg/edit#gid=934712705"",""ESENCIAL!A6:BG""),8,FALSE))"),"")</f>
        <v/>
      </c>
      <c r="L818" s="40"/>
      <c r="Z818" s="41" t="str">
        <f t="shared" si="47"/>
        <v/>
      </c>
      <c r="AA818" s="5" t="str">
        <f ca="1">IFERROR(__xludf.DUMMYFUNCTION("IFERROR(VLOOKUP(E841&amp;F841,IMPORTRANGE(""https://docs.google.com/spreadsheets/d/1Uw7-A9f9R21vMXxHZFNpYNeKFtG8_yji4HS352LGlSQ/edit?pli=1#gid=0"",""1_ACUM!A4:S""),11,FALSE))"),"")</f>
        <v/>
      </c>
      <c r="AB818" s="42" t="str">
        <f ca="1">IFERROR(__xludf.DUMMYFUNCTION("IFERROR(VLOOKUP(F841,IMPORTRANGE(""https://docs.google.com/spreadsheets/d/1Kvs4KS76FHFqLFIZfrDMff4kP08nblUkihrxltoGBjg/edit#gid=934712705"",""ESENCIAL!A6:BG""),15,FALSE))"),"")</f>
        <v/>
      </c>
      <c r="AC818" s="110" t="str">
        <f ca="1">IFERROR(__xludf.DUMMYFUNCTION("IFERROR(VLOOKUP(E841&amp;F841,IMPORTRANGE(""https://docs.google.com/spreadsheets/d/1Uw7-A9f9R21vMXxHZFNpYNeKFtG8_yji4HS352LGlSQ/edit?pli=1#gid=0"",""1_ACUM!A4:S""),13,FALSE))"),"")</f>
        <v/>
      </c>
      <c r="AD818" s="43" t="str">
        <f ca="1">IFERROR(__xludf.DUMMYFUNCTION("IFERROR(VLOOKUP(E841&amp;F841,IMPORTRANGE(""https://docs.google.com/spreadsheets/d/1Uw7-A9f9R21vMXxHZFNpYNeKFtG8_yji4HS352LGlSQ/edit?pli=1#gid=0"",""1_ACUM!A4:S""),13,FALSE))"),"")</f>
        <v/>
      </c>
      <c r="AE818" s="43" t="str">
        <f ca="1">IFERROR(__xludf.DUMMYFUNCTION("IFERROR(VLOOKUP(E841&amp;F841,IMPORTRANGE(""https://docs.google.com/spreadsheets/d/1Uw7-A9f9R21vMXxHZFNpYNeKFtG8_yji4HS352LGlSQ/edit?pli=1#gid=0"",""1_ACUM!A4:S""),14,FALSE))"),"")</f>
        <v/>
      </c>
      <c r="AF818" s="43" t="str">
        <f ca="1">IFERROR(__xludf.DUMMYFUNCTION("IFERROR(VLOOKUP(E841&amp;F841,IMPORTRANGE(""https://docs.google.com/spreadsheets/d/1Uw7-A9f9R21vMXxHZFNpYNeKFtG8_yji4HS352LGlSQ/edit?pli=1#gid=0"",""1_ACUM!A4:S""),15,FALSE))"),"")</f>
        <v/>
      </c>
      <c r="AG818" s="43" t="str">
        <f ca="1">IFERROR(__xludf.DUMMYFUNCTION("IFERROR(VLOOKUP(E841&amp;F841,IMPORTRANGE(""https://docs.google.com/spreadsheets/d/1Uw7-A9f9R21vMXxHZFNpYNeKFtG8_yji4HS352LGlSQ/edit?pli=1#gid=0"",""1_ACUM!A4:S""),16,FALSE))"),"")</f>
        <v/>
      </c>
      <c r="AH818" s="43" t="str">
        <f ca="1">IFERROR(__xludf.DUMMYFUNCTION("IFERROR(VLOOKUP(E841&amp;F841,IMPORTRANGE(""https://docs.google.com/spreadsheets/d/1Uw7-A9f9R21vMXxHZFNpYNeKFtG8_yji4HS352LGlSQ/edit?pli=1#gid=0"",""1_ACUM!A4:S""),17,FALSE))"),"")</f>
        <v/>
      </c>
      <c r="AI818" s="44" t="str">
        <f ca="1">IFERROR(__xludf.DUMMYFUNCTION("IFERROR(VLOOKUP(E841&amp;F841,IMPORTRANGE(""https://docs.google.com/spreadsheets/d/1Uw7-A9f9R21vMXxHZFNpYNeKFtG8_yji4HS352LGlSQ/edit?pli=1#gid=0"",""1_ACUM!A4:S""),18,FALSE))"),"")</f>
        <v/>
      </c>
      <c r="AJ818" s="44" t="str">
        <f ca="1">IFERROR(__xludf.DUMMYFUNCTION("IFERROR(VLOOKUP(E841&amp;F841,IMPORTRANGE(""https://docs.google.com/spreadsheets/d/1Uw7-A9f9R21vMXxHZFNpYNeKFtG8_yji4HS352LGlSQ/edit?pli=1#gid=0"",""1_ACUM!A4:S""),19,FALSE))"),"")</f>
        <v/>
      </c>
      <c r="AK818" s="98" t="str">
        <f ca="1">IFERROR(__xludf.DUMMYFUNCTION("IFERROR(VLOOKUP(F841,IMPORTRANGE(""https://docs.google.com/spreadsheets/d/1Kvs4KS76FHFqLFIZfrDMff4kP08nblUkihrxltoGBjg/edit#gid=934712705"",""ESENCIAL!A6:BG""),5,FALSE))"),"")</f>
        <v/>
      </c>
      <c r="AL818" s="98" t="str">
        <f t="shared" si="48"/>
        <v/>
      </c>
      <c r="AM818" s="99" t="str">
        <f t="shared" si="49"/>
        <v/>
      </c>
      <c r="AN818" s="100" t="str">
        <f ca="1">IFERROR(__xludf.DUMMYFUNCTION("IFERROR(VLOOKUP(F841,IMPORTRANGE(""https://docs.google.com/spreadsheets/d/1Kvs4KS76FHFqLFIZfrDMff4kP08nblUkihrxltoGBjg/edit#gid=934712705"",""ESENCIAL!A6:BG""),2,FALSE))"),"")</f>
        <v/>
      </c>
      <c r="AO818" s="19" t="str">
        <f t="shared" si="46"/>
        <v/>
      </c>
      <c r="AP818" s="100"/>
      <c r="AQ818" s="100"/>
    </row>
    <row r="819" spans="1:43" ht="15">
      <c r="A819" s="5"/>
      <c r="B819" s="5"/>
      <c r="G819" s="5" t="str">
        <f ca="1">IFERROR(__xludf.DUMMYFUNCTION("IFERROR(VLOOKUP(F842,IMPORTRANGE(""https://docs.google.com/spreadsheets/d/1Kvs4KS76FHFqLFIZfrDMff4kP08nblUkihrxltoGBjg/edit#gid=934712705"",""ESENCIAL!A6:BG""),3,FALSE))"),"")</f>
        <v/>
      </c>
      <c r="H819" s="5" t="str">
        <f ca="1">IFERROR(__xludf.DUMMYFUNCTION("IFERROR(VLOOKUP(F842,IMPORTRANGE(""https://docs.google.com/spreadsheets/d/1Kvs4KS76FHFqLFIZfrDMff4kP08nblUkihrxltoGBjg/edit#gid=934712705"",""ESENCIAL!A6:BG""),8,FALSE))"),"")</f>
        <v/>
      </c>
      <c r="L819" s="40"/>
      <c r="Z819" s="41" t="str">
        <f t="shared" si="47"/>
        <v/>
      </c>
      <c r="AA819" s="5" t="str">
        <f ca="1">IFERROR(__xludf.DUMMYFUNCTION("IFERROR(VLOOKUP(E842&amp;F842,IMPORTRANGE(""https://docs.google.com/spreadsheets/d/1Uw7-A9f9R21vMXxHZFNpYNeKFtG8_yji4HS352LGlSQ/edit?pli=1#gid=0"",""1_ACUM!A4:S""),11,FALSE))"),"")</f>
        <v/>
      </c>
      <c r="AB819" s="42" t="str">
        <f ca="1">IFERROR(__xludf.DUMMYFUNCTION("IFERROR(VLOOKUP(F842,IMPORTRANGE(""https://docs.google.com/spreadsheets/d/1Kvs4KS76FHFqLFIZfrDMff4kP08nblUkihrxltoGBjg/edit#gid=934712705"",""ESENCIAL!A6:BG""),15,FALSE))"),"")</f>
        <v/>
      </c>
      <c r="AC819" s="110" t="str">
        <f ca="1">IFERROR(__xludf.DUMMYFUNCTION("IFERROR(VLOOKUP(E842&amp;F842,IMPORTRANGE(""https://docs.google.com/spreadsheets/d/1Uw7-A9f9R21vMXxHZFNpYNeKFtG8_yji4HS352LGlSQ/edit?pli=1#gid=0"",""1_ACUM!A4:S""),13,FALSE))"),"")</f>
        <v/>
      </c>
      <c r="AD819" s="43" t="str">
        <f ca="1">IFERROR(__xludf.DUMMYFUNCTION("IFERROR(VLOOKUP(E842&amp;F842,IMPORTRANGE(""https://docs.google.com/spreadsheets/d/1Uw7-A9f9R21vMXxHZFNpYNeKFtG8_yji4HS352LGlSQ/edit?pli=1#gid=0"",""1_ACUM!A4:S""),13,FALSE))"),"")</f>
        <v/>
      </c>
      <c r="AE819" s="43" t="str">
        <f ca="1">IFERROR(__xludf.DUMMYFUNCTION("IFERROR(VLOOKUP(E842&amp;F842,IMPORTRANGE(""https://docs.google.com/spreadsheets/d/1Uw7-A9f9R21vMXxHZFNpYNeKFtG8_yji4HS352LGlSQ/edit?pli=1#gid=0"",""1_ACUM!A4:S""),14,FALSE))"),"")</f>
        <v/>
      </c>
      <c r="AF819" s="43" t="str">
        <f ca="1">IFERROR(__xludf.DUMMYFUNCTION("IFERROR(VLOOKUP(E842&amp;F842,IMPORTRANGE(""https://docs.google.com/spreadsheets/d/1Uw7-A9f9R21vMXxHZFNpYNeKFtG8_yji4HS352LGlSQ/edit?pli=1#gid=0"",""1_ACUM!A4:S""),15,FALSE))"),"")</f>
        <v/>
      </c>
      <c r="AG819" s="43" t="str">
        <f ca="1">IFERROR(__xludf.DUMMYFUNCTION("IFERROR(VLOOKUP(E842&amp;F842,IMPORTRANGE(""https://docs.google.com/spreadsheets/d/1Uw7-A9f9R21vMXxHZFNpYNeKFtG8_yji4HS352LGlSQ/edit?pli=1#gid=0"",""1_ACUM!A4:S""),16,FALSE))"),"")</f>
        <v/>
      </c>
      <c r="AH819" s="43" t="str">
        <f ca="1">IFERROR(__xludf.DUMMYFUNCTION("IFERROR(VLOOKUP(E842&amp;F842,IMPORTRANGE(""https://docs.google.com/spreadsheets/d/1Uw7-A9f9R21vMXxHZFNpYNeKFtG8_yji4HS352LGlSQ/edit?pli=1#gid=0"",""1_ACUM!A4:S""),17,FALSE))"),"")</f>
        <v/>
      </c>
      <c r="AI819" s="44" t="str">
        <f ca="1">IFERROR(__xludf.DUMMYFUNCTION("IFERROR(VLOOKUP(E842&amp;F842,IMPORTRANGE(""https://docs.google.com/spreadsheets/d/1Uw7-A9f9R21vMXxHZFNpYNeKFtG8_yji4HS352LGlSQ/edit?pli=1#gid=0"",""1_ACUM!A4:S""),18,FALSE))"),"")</f>
        <v/>
      </c>
      <c r="AJ819" s="44" t="str">
        <f ca="1">IFERROR(__xludf.DUMMYFUNCTION("IFERROR(VLOOKUP(E842&amp;F842,IMPORTRANGE(""https://docs.google.com/spreadsheets/d/1Uw7-A9f9R21vMXxHZFNpYNeKFtG8_yji4HS352LGlSQ/edit?pli=1#gid=0"",""1_ACUM!A4:S""),19,FALSE))"),"")</f>
        <v/>
      </c>
      <c r="AK819" s="98" t="str">
        <f ca="1">IFERROR(__xludf.DUMMYFUNCTION("IFERROR(VLOOKUP(F842,IMPORTRANGE(""https://docs.google.com/spreadsheets/d/1Kvs4KS76FHFqLFIZfrDMff4kP08nblUkihrxltoGBjg/edit#gid=934712705"",""ESENCIAL!A6:BG""),5,FALSE))"),"")</f>
        <v/>
      </c>
      <c r="AL819" s="98" t="str">
        <f t="shared" si="48"/>
        <v/>
      </c>
      <c r="AM819" s="99" t="str">
        <f t="shared" si="49"/>
        <v/>
      </c>
      <c r="AN819" s="100" t="str">
        <f ca="1">IFERROR(__xludf.DUMMYFUNCTION("IFERROR(VLOOKUP(F842,IMPORTRANGE(""https://docs.google.com/spreadsheets/d/1Kvs4KS76FHFqLFIZfrDMff4kP08nblUkihrxltoGBjg/edit#gid=934712705"",""ESENCIAL!A6:BG""),2,FALSE))"),"")</f>
        <v/>
      </c>
      <c r="AO819" s="19" t="str">
        <f t="shared" si="46"/>
        <v/>
      </c>
      <c r="AP819" s="100"/>
      <c r="AQ819" s="100"/>
    </row>
    <row r="820" spans="1:43" ht="15">
      <c r="A820" s="5"/>
      <c r="B820" s="5"/>
      <c r="G820" s="5" t="str">
        <f ca="1">IFERROR(__xludf.DUMMYFUNCTION("IFERROR(VLOOKUP(F843,IMPORTRANGE(""https://docs.google.com/spreadsheets/d/1Kvs4KS76FHFqLFIZfrDMff4kP08nblUkihrxltoGBjg/edit#gid=934712705"",""ESENCIAL!A6:BG""),3,FALSE))"),"")</f>
        <v/>
      </c>
      <c r="H820" s="5" t="str">
        <f ca="1">IFERROR(__xludf.DUMMYFUNCTION("IFERROR(VLOOKUP(F843,IMPORTRANGE(""https://docs.google.com/spreadsheets/d/1Kvs4KS76FHFqLFIZfrDMff4kP08nblUkihrxltoGBjg/edit#gid=934712705"",""ESENCIAL!A6:BG""),8,FALSE))"),"")</f>
        <v/>
      </c>
      <c r="L820" s="40"/>
      <c r="Z820" s="41" t="str">
        <f t="shared" si="47"/>
        <v/>
      </c>
      <c r="AA820" s="5" t="str">
        <f ca="1">IFERROR(__xludf.DUMMYFUNCTION("IFERROR(VLOOKUP(E843&amp;F843,IMPORTRANGE(""https://docs.google.com/spreadsheets/d/1Uw7-A9f9R21vMXxHZFNpYNeKFtG8_yji4HS352LGlSQ/edit?pli=1#gid=0"",""1_ACUM!A4:S""),11,FALSE))"),"")</f>
        <v/>
      </c>
      <c r="AB820" s="42" t="str">
        <f ca="1">IFERROR(__xludf.DUMMYFUNCTION("IFERROR(VLOOKUP(F843,IMPORTRANGE(""https://docs.google.com/spreadsheets/d/1Kvs4KS76FHFqLFIZfrDMff4kP08nblUkihrxltoGBjg/edit#gid=934712705"",""ESENCIAL!A6:BG""),15,FALSE))"),"")</f>
        <v/>
      </c>
      <c r="AC820" s="110" t="str">
        <f ca="1">IFERROR(__xludf.DUMMYFUNCTION("IFERROR(VLOOKUP(E843&amp;F843,IMPORTRANGE(""https://docs.google.com/spreadsheets/d/1Uw7-A9f9R21vMXxHZFNpYNeKFtG8_yji4HS352LGlSQ/edit?pli=1#gid=0"",""1_ACUM!A4:S""),13,FALSE))"),"")</f>
        <v/>
      </c>
      <c r="AD820" s="43" t="str">
        <f ca="1">IFERROR(__xludf.DUMMYFUNCTION("IFERROR(VLOOKUP(E843&amp;F843,IMPORTRANGE(""https://docs.google.com/spreadsheets/d/1Uw7-A9f9R21vMXxHZFNpYNeKFtG8_yji4HS352LGlSQ/edit?pli=1#gid=0"",""1_ACUM!A4:S""),13,FALSE))"),"")</f>
        <v/>
      </c>
      <c r="AE820" s="43" t="str">
        <f ca="1">IFERROR(__xludf.DUMMYFUNCTION("IFERROR(VLOOKUP(E843&amp;F843,IMPORTRANGE(""https://docs.google.com/spreadsheets/d/1Uw7-A9f9R21vMXxHZFNpYNeKFtG8_yji4HS352LGlSQ/edit?pli=1#gid=0"",""1_ACUM!A4:S""),14,FALSE))"),"")</f>
        <v/>
      </c>
      <c r="AF820" s="43" t="str">
        <f ca="1">IFERROR(__xludf.DUMMYFUNCTION("IFERROR(VLOOKUP(E843&amp;F843,IMPORTRANGE(""https://docs.google.com/spreadsheets/d/1Uw7-A9f9R21vMXxHZFNpYNeKFtG8_yji4HS352LGlSQ/edit?pli=1#gid=0"",""1_ACUM!A4:S""),15,FALSE))"),"")</f>
        <v/>
      </c>
      <c r="AG820" s="43" t="str">
        <f ca="1">IFERROR(__xludf.DUMMYFUNCTION("IFERROR(VLOOKUP(E843&amp;F843,IMPORTRANGE(""https://docs.google.com/spreadsheets/d/1Uw7-A9f9R21vMXxHZFNpYNeKFtG8_yji4HS352LGlSQ/edit?pli=1#gid=0"",""1_ACUM!A4:S""),16,FALSE))"),"")</f>
        <v/>
      </c>
      <c r="AH820" s="43" t="str">
        <f ca="1">IFERROR(__xludf.DUMMYFUNCTION("IFERROR(VLOOKUP(E843&amp;F843,IMPORTRANGE(""https://docs.google.com/spreadsheets/d/1Uw7-A9f9R21vMXxHZFNpYNeKFtG8_yji4HS352LGlSQ/edit?pli=1#gid=0"",""1_ACUM!A4:S""),17,FALSE))"),"")</f>
        <v/>
      </c>
      <c r="AI820" s="44" t="str">
        <f ca="1">IFERROR(__xludf.DUMMYFUNCTION("IFERROR(VLOOKUP(E843&amp;F843,IMPORTRANGE(""https://docs.google.com/spreadsheets/d/1Uw7-A9f9R21vMXxHZFNpYNeKFtG8_yji4HS352LGlSQ/edit?pli=1#gid=0"",""1_ACUM!A4:S""),18,FALSE))"),"")</f>
        <v/>
      </c>
      <c r="AJ820" s="44" t="str">
        <f ca="1">IFERROR(__xludf.DUMMYFUNCTION("IFERROR(VLOOKUP(E843&amp;F843,IMPORTRANGE(""https://docs.google.com/spreadsheets/d/1Uw7-A9f9R21vMXxHZFNpYNeKFtG8_yji4HS352LGlSQ/edit?pli=1#gid=0"",""1_ACUM!A4:S""),19,FALSE))"),"")</f>
        <v/>
      </c>
      <c r="AK820" s="98" t="str">
        <f ca="1">IFERROR(__xludf.DUMMYFUNCTION("IFERROR(VLOOKUP(F843,IMPORTRANGE(""https://docs.google.com/spreadsheets/d/1Kvs4KS76FHFqLFIZfrDMff4kP08nblUkihrxltoGBjg/edit#gid=934712705"",""ESENCIAL!A6:BG""),5,FALSE))"),"")</f>
        <v/>
      </c>
      <c r="AL820" s="98" t="str">
        <f t="shared" si="48"/>
        <v/>
      </c>
      <c r="AM820" s="99" t="str">
        <f t="shared" si="49"/>
        <v/>
      </c>
      <c r="AN820" s="100" t="str">
        <f ca="1">IFERROR(__xludf.DUMMYFUNCTION("IFERROR(VLOOKUP(F843,IMPORTRANGE(""https://docs.google.com/spreadsheets/d/1Kvs4KS76FHFqLFIZfrDMff4kP08nblUkihrxltoGBjg/edit#gid=934712705"",""ESENCIAL!A6:BG""),2,FALSE))"),"")</f>
        <v/>
      </c>
      <c r="AO820" s="19" t="str">
        <f t="shared" si="46"/>
        <v/>
      </c>
      <c r="AP820" s="100"/>
      <c r="AQ820" s="100"/>
    </row>
    <row r="821" spans="1:43" ht="15">
      <c r="A821" s="5"/>
      <c r="B821" s="5"/>
      <c r="G821" s="5" t="str">
        <f ca="1">IFERROR(__xludf.DUMMYFUNCTION("IFERROR(VLOOKUP(F844,IMPORTRANGE(""https://docs.google.com/spreadsheets/d/1Kvs4KS76FHFqLFIZfrDMff4kP08nblUkihrxltoGBjg/edit#gid=934712705"",""ESENCIAL!A6:BG""),3,FALSE))"),"")</f>
        <v/>
      </c>
      <c r="H821" s="5" t="str">
        <f ca="1">IFERROR(__xludf.DUMMYFUNCTION("IFERROR(VLOOKUP(F844,IMPORTRANGE(""https://docs.google.com/spreadsheets/d/1Kvs4KS76FHFqLFIZfrDMff4kP08nblUkihrxltoGBjg/edit#gid=934712705"",""ESENCIAL!A6:BG""),8,FALSE))"),"")</f>
        <v/>
      </c>
      <c r="L821" s="40"/>
      <c r="Z821" s="41" t="str">
        <f t="shared" si="47"/>
        <v/>
      </c>
      <c r="AA821" s="5" t="str">
        <f ca="1">IFERROR(__xludf.DUMMYFUNCTION("IFERROR(VLOOKUP(E844&amp;F844,IMPORTRANGE(""https://docs.google.com/spreadsheets/d/1Uw7-A9f9R21vMXxHZFNpYNeKFtG8_yji4HS352LGlSQ/edit?pli=1#gid=0"",""1_ACUM!A4:S""),11,FALSE))"),"")</f>
        <v/>
      </c>
      <c r="AB821" s="42" t="str">
        <f ca="1">IFERROR(__xludf.DUMMYFUNCTION("IFERROR(VLOOKUP(F844,IMPORTRANGE(""https://docs.google.com/spreadsheets/d/1Kvs4KS76FHFqLFIZfrDMff4kP08nblUkihrxltoGBjg/edit#gid=934712705"",""ESENCIAL!A6:BG""),15,FALSE))"),"")</f>
        <v/>
      </c>
      <c r="AC821" s="110" t="str">
        <f ca="1">IFERROR(__xludf.DUMMYFUNCTION("IFERROR(VLOOKUP(E844&amp;F844,IMPORTRANGE(""https://docs.google.com/spreadsheets/d/1Uw7-A9f9R21vMXxHZFNpYNeKFtG8_yji4HS352LGlSQ/edit?pli=1#gid=0"",""1_ACUM!A4:S""),13,FALSE))"),"")</f>
        <v/>
      </c>
      <c r="AD821" s="43" t="str">
        <f ca="1">IFERROR(__xludf.DUMMYFUNCTION("IFERROR(VLOOKUP(E844&amp;F844,IMPORTRANGE(""https://docs.google.com/spreadsheets/d/1Uw7-A9f9R21vMXxHZFNpYNeKFtG8_yji4HS352LGlSQ/edit?pli=1#gid=0"",""1_ACUM!A4:S""),13,FALSE))"),"")</f>
        <v/>
      </c>
      <c r="AE821" s="43" t="str">
        <f ca="1">IFERROR(__xludf.DUMMYFUNCTION("IFERROR(VLOOKUP(E844&amp;F844,IMPORTRANGE(""https://docs.google.com/spreadsheets/d/1Uw7-A9f9R21vMXxHZFNpYNeKFtG8_yji4HS352LGlSQ/edit?pli=1#gid=0"",""1_ACUM!A4:S""),14,FALSE))"),"")</f>
        <v/>
      </c>
      <c r="AF821" s="43" t="str">
        <f ca="1">IFERROR(__xludf.DUMMYFUNCTION("IFERROR(VLOOKUP(E844&amp;F844,IMPORTRANGE(""https://docs.google.com/spreadsheets/d/1Uw7-A9f9R21vMXxHZFNpYNeKFtG8_yji4HS352LGlSQ/edit?pli=1#gid=0"",""1_ACUM!A4:S""),15,FALSE))"),"")</f>
        <v/>
      </c>
      <c r="AG821" s="43" t="str">
        <f ca="1">IFERROR(__xludf.DUMMYFUNCTION("IFERROR(VLOOKUP(E844&amp;F844,IMPORTRANGE(""https://docs.google.com/spreadsheets/d/1Uw7-A9f9R21vMXxHZFNpYNeKFtG8_yji4HS352LGlSQ/edit?pli=1#gid=0"",""1_ACUM!A4:S""),16,FALSE))"),"")</f>
        <v/>
      </c>
      <c r="AH821" s="43" t="str">
        <f ca="1">IFERROR(__xludf.DUMMYFUNCTION("IFERROR(VLOOKUP(E844&amp;F844,IMPORTRANGE(""https://docs.google.com/spreadsheets/d/1Uw7-A9f9R21vMXxHZFNpYNeKFtG8_yji4HS352LGlSQ/edit?pli=1#gid=0"",""1_ACUM!A4:S""),17,FALSE))"),"")</f>
        <v/>
      </c>
      <c r="AI821" s="44" t="str">
        <f ca="1">IFERROR(__xludf.DUMMYFUNCTION("IFERROR(VLOOKUP(E844&amp;F844,IMPORTRANGE(""https://docs.google.com/spreadsheets/d/1Uw7-A9f9R21vMXxHZFNpYNeKFtG8_yji4HS352LGlSQ/edit?pli=1#gid=0"",""1_ACUM!A4:S""),18,FALSE))"),"")</f>
        <v/>
      </c>
      <c r="AJ821" s="44" t="str">
        <f ca="1">IFERROR(__xludf.DUMMYFUNCTION("IFERROR(VLOOKUP(E844&amp;F844,IMPORTRANGE(""https://docs.google.com/spreadsheets/d/1Uw7-A9f9R21vMXxHZFNpYNeKFtG8_yji4HS352LGlSQ/edit?pli=1#gid=0"",""1_ACUM!A4:S""),19,FALSE))"),"")</f>
        <v/>
      </c>
      <c r="AK821" s="98" t="str">
        <f ca="1">IFERROR(__xludf.DUMMYFUNCTION("IFERROR(VLOOKUP(F844,IMPORTRANGE(""https://docs.google.com/spreadsheets/d/1Kvs4KS76FHFqLFIZfrDMff4kP08nblUkihrxltoGBjg/edit#gid=934712705"",""ESENCIAL!A6:BG""),5,FALSE))"),"")</f>
        <v/>
      </c>
      <c r="AL821" s="98" t="str">
        <f t="shared" si="48"/>
        <v/>
      </c>
      <c r="AM821" s="99" t="str">
        <f t="shared" si="49"/>
        <v/>
      </c>
      <c r="AN821" s="100" t="str">
        <f ca="1">IFERROR(__xludf.DUMMYFUNCTION("IFERROR(VLOOKUP(F844,IMPORTRANGE(""https://docs.google.com/spreadsheets/d/1Kvs4KS76FHFqLFIZfrDMff4kP08nblUkihrxltoGBjg/edit#gid=934712705"",""ESENCIAL!A6:BG""),2,FALSE))"),"")</f>
        <v/>
      </c>
      <c r="AO821" s="19" t="str">
        <f t="shared" si="46"/>
        <v/>
      </c>
      <c r="AP821" s="100"/>
      <c r="AQ821" s="100"/>
    </row>
    <row r="822" spans="1:43" ht="15">
      <c r="A822" s="5"/>
      <c r="B822" s="5"/>
      <c r="G822" s="5" t="str">
        <f ca="1">IFERROR(__xludf.DUMMYFUNCTION("IFERROR(VLOOKUP(F845,IMPORTRANGE(""https://docs.google.com/spreadsheets/d/1Kvs4KS76FHFqLFIZfrDMff4kP08nblUkihrxltoGBjg/edit#gid=934712705"",""ESENCIAL!A6:BG""),3,FALSE))"),"")</f>
        <v/>
      </c>
      <c r="H822" s="5" t="str">
        <f ca="1">IFERROR(__xludf.DUMMYFUNCTION("IFERROR(VLOOKUP(F845,IMPORTRANGE(""https://docs.google.com/spreadsheets/d/1Kvs4KS76FHFqLFIZfrDMff4kP08nblUkihrxltoGBjg/edit#gid=934712705"",""ESENCIAL!A6:BG""),8,FALSE))"),"")</f>
        <v/>
      </c>
      <c r="L822" s="40"/>
      <c r="Z822" s="41" t="str">
        <f t="shared" si="47"/>
        <v/>
      </c>
      <c r="AA822" s="5" t="str">
        <f ca="1">IFERROR(__xludf.DUMMYFUNCTION("IFERROR(VLOOKUP(E845&amp;F845,IMPORTRANGE(""https://docs.google.com/spreadsheets/d/1Uw7-A9f9R21vMXxHZFNpYNeKFtG8_yji4HS352LGlSQ/edit?pli=1#gid=0"",""1_ACUM!A4:S""),11,FALSE))"),"")</f>
        <v/>
      </c>
      <c r="AB822" s="42" t="str">
        <f ca="1">IFERROR(__xludf.DUMMYFUNCTION("IFERROR(VLOOKUP(F845,IMPORTRANGE(""https://docs.google.com/spreadsheets/d/1Kvs4KS76FHFqLFIZfrDMff4kP08nblUkihrxltoGBjg/edit#gid=934712705"",""ESENCIAL!A6:BG""),15,FALSE))"),"")</f>
        <v/>
      </c>
      <c r="AC822" s="110" t="str">
        <f ca="1">IFERROR(__xludf.DUMMYFUNCTION("IFERROR(VLOOKUP(E845&amp;F845,IMPORTRANGE(""https://docs.google.com/spreadsheets/d/1Uw7-A9f9R21vMXxHZFNpYNeKFtG8_yji4HS352LGlSQ/edit?pli=1#gid=0"",""1_ACUM!A4:S""),13,FALSE))"),"")</f>
        <v/>
      </c>
      <c r="AD822" s="43" t="str">
        <f ca="1">IFERROR(__xludf.DUMMYFUNCTION("IFERROR(VLOOKUP(E845&amp;F845,IMPORTRANGE(""https://docs.google.com/spreadsheets/d/1Uw7-A9f9R21vMXxHZFNpYNeKFtG8_yji4HS352LGlSQ/edit?pli=1#gid=0"",""1_ACUM!A4:S""),13,FALSE))"),"")</f>
        <v/>
      </c>
      <c r="AE822" s="43" t="str">
        <f ca="1">IFERROR(__xludf.DUMMYFUNCTION("IFERROR(VLOOKUP(E845&amp;F845,IMPORTRANGE(""https://docs.google.com/spreadsheets/d/1Uw7-A9f9R21vMXxHZFNpYNeKFtG8_yji4HS352LGlSQ/edit?pli=1#gid=0"",""1_ACUM!A4:S""),14,FALSE))"),"")</f>
        <v/>
      </c>
      <c r="AF822" s="43" t="str">
        <f ca="1">IFERROR(__xludf.DUMMYFUNCTION("IFERROR(VLOOKUP(E845&amp;F845,IMPORTRANGE(""https://docs.google.com/spreadsheets/d/1Uw7-A9f9R21vMXxHZFNpYNeKFtG8_yji4HS352LGlSQ/edit?pli=1#gid=0"",""1_ACUM!A4:S""),15,FALSE))"),"")</f>
        <v/>
      </c>
      <c r="AG822" s="43" t="str">
        <f ca="1">IFERROR(__xludf.DUMMYFUNCTION("IFERROR(VLOOKUP(E845&amp;F845,IMPORTRANGE(""https://docs.google.com/spreadsheets/d/1Uw7-A9f9R21vMXxHZFNpYNeKFtG8_yji4HS352LGlSQ/edit?pli=1#gid=0"",""1_ACUM!A4:S""),16,FALSE))"),"")</f>
        <v/>
      </c>
      <c r="AH822" s="43" t="str">
        <f ca="1">IFERROR(__xludf.DUMMYFUNCTION("IFERROR(VLOOKUP(E845&amp;F845,IMPORTRANGE(""https://docs.google.com/spreadsheets/d/1Uw7-A9f9R21vMXxHZFNpYNeKFtG8_yji4HS352LGlSQ/edit?pli=1#gid=0"",""1_ACUM!A4:S""),17,FALSE))"),"")</f>
        <v/>
      </c>
      <c r="AI822" s="44" t="str">
        <f ca="1">IFERROR(__xludf.DUMMYFUNCTION("IFERROR(VLOOKUP(E845&amp;F845,IMPORTRANGE(""https://docs.google.com/spreadsheets/d/1Uw7-A9f9R21vMXxHZFNpYNeKFtG8_yji4HS352LGlSQ/edit?pli=1#gid=0"",""1_ACUM!A4:S""),18,FALSE))"),"")</f>
        <v/>
      </c>
      <c r="AJ822" s="44" t="str">
        <f ca="1">IFERROR(__xludf.DUMMYFUNCTION("IFERROR(VLOOKUP(E845&amp;F845,IMPORTRANGE(""https://docs.google.com/spreadsheets/d/1Uw7-A9f9R21vMXxHZFNpYNeKFtG8_yji4HS352LGlSQ/edit?pli=1#gid=0"",""1_ACUM!A4:S""),19,FALSE))"),"")</f>
        <v/>
      </c>
      <c r="AK822" s="98" t="str">
        <f ca="1">IFERROR(__xludf.DUMMYFUNCTION("IFERROR(VLOOKUP(F845,IMPORTRANGE(""https://docs.google.com/spreadsheets/d/1Kvs4KS76FHFqLFIZfrDMff4kP08nblUkihrxltoGBjg/edit#gid=934712705"",""ESENCIAL!A6:BG""),5,FALSE))"),"")</f>
        <v/>
      </c>
      <c r="AL822" s="98" t="str">
        <f t="shared" si="48"/>
        <v/>
      </c>
      <c r="AM822" s="99" t="str">
        <f t="shared" si="49"/>
        <v/>
      </c>
      <c r="AN822" s="100" t="str">
        <f ca="1">IFERROR(__xludf.DUMMYFUNCTION("IFERROR(VLOOKUP(F845,IMPORTRANGE(""https://docs.google.com/spreadsheets/d/1Kvs4KS76FHFqLFIZfrDMff4kP08nblUkihrxltoGBjg/edit#gid=934712705"",""ESENCIAL!A6:BG""),2,FALSE))"),"")</f>
        <v/>
      </c>
      <c r="AO822" s="19" t="str">
        <f t="shared" si="46"/>
        <v/>
      </c>
      <c r="AP822" s="100"/>
      <c r="AQ822" s="100"/>
    </row>
    <row r="823" spans="1:43" ht="15">
      <c r="A823" s="5"/>
      <c r="B823" s="5"/>
      <c r="G823" s="5" t="str">
        <f ca="1">IFERROR(__xludf.DUMMYFUNCTION("IFERROR(VLOOKUP(F846,IMPORTRANGE(""https://docs.google.com/spreadsheets/d/1Kvs4KS76FHFqLFIZfrDMff4kP08nblUkihrxltoGBjg/edit#gid=934712705"",""ESENCIAL!A6:BG""),3,FALSE))"),"")</f>
        <v/>
      </c>
      <c r="H823" s="5" t="str">
        <f ca="1">IFERROR(__xludf.DUMMYFUNCTION("IFERROR(VLOOKUP(F846,IMPORTRANGE(""https://docs.google.com/spreadsheets/d/1Kvs4KS76FHFqLFIZfrDMff4kP08nblUkihrxltoGBjg/edit#gid=934712705"",""ESENCIAL!A6:BG""),8,FALSE))"),"")</f>
        <v/>
      </c>
      <c r="L823" s="40"/>
      <c r="Z823" s="41" t="str">
        <f t="shared" si="47"/>
        <v/>
      </c>
      <c r="AA823" s="5" t="str">
        <f ca="1">IFERROR(__xludf.DUMMYFUNCTION("IFERROR(VLOOKUP(E846&amp;F846,IMPORTRANGE(""https://docs.google.com/spreadsheets/d/1Uw7-A9f9R21vMXxHZFNpYNeKFtG8_yji4HS352LGlSQ/edit?pli=1#gid=0"",""1_ACUM!A4:S""),11,FALSE))"),"")</f>
        <v/>
      </c>
      <c r="AB823" s="42" t="str">
        <f ca="1">IFERROR(__xludf.DUMMYFUNCTION("IFERROR(VLOOKUP(F846,IMPORTRANGE(""https://docs.google.com/spreadsheets/d/1Kvs4KS76FHFqLFIZfrDMff4kP08nblUkihrxltoGBjg/edit#gid=934712705"",""ESENCIAL!A6:BG""),15,FALSE))"),"")</f>
        <v/>
      </c>
      <c r="AC823" s="110" t="str">
        <f ca="1">IFERROR(__xludf.DUMMYFUNCTION("IFERROR(VLOOKUP(E846&amp;F846,IMPORTRANGE(""https://docs.google.com/spreadsheets/d/1Uw7-A9f9R21vMXxHZFNpYNeKFtG8_yji4HS352LGlSQ/edit?pli=1#gid=0"",""1_ACUM!A4:S""),13,FALSE))"),"")</f>
        <v/>
      </c>
      <c r="AD823" s="43" t="str">
        <f ca="1">IFERROR(__xludf.DUMMYFUNCTION("IFERROR(VLOOKUP(E846&amp;F846,IMPORTRANGE(""https://docs.google.com/spreadsheets/d/1Uw7-A9f9R21vMXxHZFNpYNeKFtG8_yji4HS352LGlSQ/edit?pli=1#gid=0"",""1_ACUM!A4:S""),13,FALSE))"),"")</f>
        <v/>
      </c>
      <c r="AE823" s="43" t="str">
        <f ca="1">IFERROR(__xludf.DUMMYFUNCTION("IFERROR(VLOOKUP(E846&amp;F846,IMPORTRANGE(""https://docs.google.com/spreadsheets/d/1Uw7-A9f9R21vMXxHZFNpYNeKFtG8_yji4HS352LGlSQ/edit?pli=1#gid=0"",""1_ACUM!A4:S""),14,FALSE))"),"")</f>
        <v/>
      </c>
      <c r="AF823" s="43" t="str">
        <f ca="1">IFERROR(__xludf.DUMMYFUNCTION("IFERROR(VLOOKUP(E846&amp;F846,IMPORTRANGE(""https://docs.google.com/spreadsheets/d/1Uw7-A9f9R21vMXxHZFNpYNeKFtG8_yji4HS352LGlSQ/edit?pli=1#gid=0"",""1_ACUM!A4:S""),15,FALSE))"),"")</f>
        <v/>
      </c>
      <c r="AG823" s="43" t="str">
        <f ca="1">IFERROR(__xludf.DUMMYFUNCTION("IFERROR(VLOOKUP(E846&amp;F846,IMPORTRANGE(""https://docs.google.com/spreadsheets/d/1Uw7-A9f9R21vMXxHZFNpYNeKFtG8_yji4HS352LGlSQ/edit?pli=1#gid=0"",""1_ACUM!A4:S""),16,FALSE))"),"")</f>
        <v/>
      </c>
      <c r="AH823" s="43" t="str">
        <f ca="1">IFERROR(__xludf.DUMMYFUNCTION("IFERROR(VLOOKUP(E846&amp;F846,IMPORTRANGE(""https://docs.google.com/spreadsheets/d/1Uw7-A9f9R21vMXxHZFNpYNeKFtG8_yji4HS352LGlSQ/edit?pli=1#gid=0"",""1_ACUM!A4:S""),17,FALSE))"),"")</f>
        <v/>
      </c>
      <c r="AI823" s="44" t="str">
        <f ca="1">IFERROR(__xludf.DUMMYFUNCTION("IFERROR(VLOOKUP(E846&amp;F846,IMPORTRANGE(""https://docs.google.com/spreadsheets/d/1Uw7-A9f9R21vMXxHZFNpYNeKFtG8_yji4HS352LGlSQ/edit?pli=1#gid=0"",""1_ACUM!A4:S""),18,FALSE))"),"")</f>
        <v/>
      </c>
      <c r="AJ823" s="44" t="str">
        <f ca="1">IFERROR(__xludf.DUMMYFUNCTION("IFERROR(VLOOKUP(E846&amp;F846,IMPORTRANGE(""https://docs.google.com/spreadsheets/d/1Uw7-A9f9R21vMXxHZFNpYNeKFtG8_yji4HS352LGlSQ/edit?pli=1#gid=0"",""1_ACUM!A4:S""),19,FALSE))"),"")</f>
        <v/>
      </c>
      <c r="AK823" s="98" t="str">
        <f ca="1">IFERROR(__xludf.DUMMYFUNCTION("IFERROR(VLOOKUP(F846,IMPORTRANGE(""https://docs.google.com/spreadsheets/d/1Kvs4KS76FHFqLFIZfrDMff4kP08nblUkihrxltoGBjg/edit#gid=934712705"",""ESENCIAL!A6:BG""),5,FALSE))"),"")</f>
        <v/>
      </c>
      <c r="AL823" s="98" t="str">
        <f t="shared" si="48"/>
        <v/>
      </c>
      <c r="AM823" s="99" t="str">
        <f t="shared" si="49"/>
        <v/>
      </c>
      <c r="AN823" s="100" t="str">
        <f ca="1">IFERROR(__xludf.DUMMYFUNCTION("IFERROR(VLOOKUP(F846,IMPORTRANGE(""https://docs.google.com/spreadsheets/d/1Kvs4KS76FHFqLFIZfrDMff4kP08nblUkihrxltoGBjg/edit#gid=934712705"",""ESENCIAL!A6:BG""),2,FALSE))"),"")</f>
        <v/>
      </c>
      <c r="AO823" s="19" t="str">
        <f t="shared" si="46"/>
        <v/>
      </c>
      <c r="AP823" s="100"/>
      <c r="AQ823" s="100"/>
    </row>
    <row r="824" spans="1:43" ht="15">
      <c r="A824" s="5"/>
      <c r="B824" s="5"/>
      <c r="G824" s="5" t="str">
        <f ca="1">IFERROR(__xludf.DUMMYFUNCTION("IFERROR(VLOOKUP(F847,IMPORTRANGE(""https://docs.google.com/spreadsheets/d/1Kvs4KS76FHFqLFIZfrDMff4kP08nblUkihrxltoGBjg/edit#gid=934712705"",""ESENCIAL!A6:BG""),3,FALSE))"),"")</f>
        <v/>
      </c>
      <c r="H824" s="5" t="str">
        <f ca="1">IFERROR(__xludf.DUMMYFUNCTION("IFERROR(VLOOKUP(F847,IMPORTRANGE(""https://docs.google.com/spreadsheets/d/1Kvs4KS76FHFqLFIZfrDMff4kP08nblUkihrxltoGBjg/edit#gid=934712705"",""ESENCIAL!A6:BG""),8,FALSE))"),"")</f>
        <v/>
      </c>
      <c r="L824" s="40"/>
      <c r="Z824" s="41" t="str">
        <f t="shared" si="47"/>
        <v/>
      </c>
      <c r="AA824" s="5" t="str">
        <f ca="1">IFERROR(__xludf.DUMMYFUNCTION("IFERROR(VLOOKUP(E847&amp;F847,IMPORTRANGE(""https://docs.google.com/spreadsheets/d/1Uw7-A9f9R21vMXxHZFNpYNeKFtG8_yji4HS352LGlSQ/edit?pli=1#gid=0"",""1_ACUM!A4:S""),11,FALSE))"),"")</f>
        <v/>
      </c>
      <c r="AB824" s="42" t="str">
        <f ca="1">IFERROR(__xludf.DUMMYFUNCTION("IFERROR(VLOOKUP(F847,IMPORTRANGE(""https://docs.google.com/spreadsheets/d/1Kvs4KS76FHFqLFIZfrDMff4kP08nblUkihrxltoGBjg/edit#gid=934712705"",""ESENCIAL!A6:BG""),15,FALSE))"),"")</f>
        <v/>
      </c>
      <c r="AC824" s="110" t="str">
        <f ca="1">IFERROR(__xludf.DUMMYFUNCTION("IFERROR(VLOOKUP(E847&amp;F847,IMPORTRANGE(""https://docs.google.com/spreadsheets/d/1Uw7-A9f9R21vMXxHZFNpYNeKFtG8_yji4HS352LGlSQ/edit?pli=1#gid=0"",""1_ACUM!A4:S""),13,FALSE))"),"")</f>
        <v/>
      </c>
      <c r="AD824" s="43" t="str">
        <f ca="1">IFERROR(__xludf.DUMMYFUNCTION("IFERROR(VLOOKUP(E847&amp;F847,IMPORTRANGE(""https://docs.google.com/spreadsheets/d/1Uw7-A9f9R21vMXxHZFNpYNeKFtG8_yji4HS352LGlSQ/edit?pli=1#gid=0"",""1_ACUM!A4:S""),13,FALSE))"),"")</f>
        <v/>
      </c>
      <c r="AE824" s="43" t="str">
        <f ca="1">IFERROR(__xludf.DUMMYFUNCTION("IFERROR(VLOOKUP(E847&amp;F847,IMPORTRANGE(""https://docs.google.com/spreadsheets/d/1Uw7-A9f9R21vMXxHZFNpYNeKFtG8_yji4HS352LGlSQ/edit?pli=1#gid=0"",""1_ACUM!A4:S""),14,FALSE))"),"")</f>
        <v/>
      </c>
      <c r="AF824" s="43" t="str">
        <f ca="1">IFERROR(__xludf.DUMMYFUNCTION("IFERROR(VLOOKUP(E847&amp;F847,IMPORTRANGE(""https://docs.google.com/spreadsheets/d/1Uw7-A9f9R21vMXxHZFNpYNeKFtG8_yji4HS352LGlSQ/edit?pli=1#gid=0"",""1_ACUM!A4:S""),15,FALSE))"),"")</f>
        <v/>
      </c>
      <c r="AG824" s="43" t="str">
        <f ca="1">IFERROR(__xludf.DUMMYFUNCTION("IFERROR(VLOOKUP(E847&amp;F847,IMPORTRANGE(""https://docs.google.com/spreadsheets/d/1Uw7-A9f9R21vMXxHZFNpYNeKFtG8_yji4HS352LGlSQ/edit?pli=1#gid=0"",""1_ACUM!A4:S""),16,FALSE))"),"")</f>
        <v/>
      </c>
      <c r="AH824" s="43" t="str">
        <f ca="1">IFERROR(__xludf.DUMMYFUNCTION("IFERROR(VLOOKUP(E847&amp;F847,IMPORTRANGE(""https://docs.google.com/spreadsheets/d/1Uw7-A9f9R21vMXxHZFNpYNeKFtG8_yji4HS352LGlSQ/edit?pli=1#gid=0"",""1_ACUM!A4:S""),17,FALSE))"),"")</f>
        <v/>
      </c>
      <c r="AI824" s="44" t="str">
        <f ca="1">IFERROR(__xludf.DUMMYFUNCTION("IFERROR(VLOOKUP(E847&amp;F847,IMPORTRANGE(""https://docs.google.com/spreadsheets/d/1Uw7-A9f9R21vMXxHZFNpYNeKFtG8_yji4HS352LGlSQ/edit?pli=1#gid=0"",""1_ACUM!A4:S""),18,FALSE))"),"")</f>
        <v/>
      </c>
      <c r="AJ824" s="44" t="str">
        <f ca="1">IFERROR(__xludf.DUMMYFUNCTION("IFERROR(VLOOKUP(E847&amp;F847,IMPORTRANGE(""https://docs.google.com/spreadsheets/d/1Uw7-A9f9R21vMXxHZFNpYNeKFtG8_yji4HS352LGlSQ/edit?pli=1#gid=0"",""1_ACUM!A4:S""),19,FALSE))"),"")</f>
        <v/>
      </c>
      <c r="AK824" s="98" t="str">
        <f ca="1">IFERROR(__xludf.DUMMYFUNCTION("IFERROR(VLOOKUP(F847,IMPORTRANGE(""https://docs.google.com/spreadsheets/d/1Kvs4KS76FHFqLFIZfrDMff4kP08nblUkihrxltoGBjg/edit#gid=934712705"",""ESENCIAL!A6:BG""),5,FALSE))"),"")</f>
        <v/>
      </c>
      <c r="AL824" s="98" t="str">
        <f t="shared" si="48"/>
        <v/>
      </c>
      <c r="AM824" s="99" t="str">
        <f t="shared" si="49"/>
        <v/>
      </c>
      <c r="AN824" s="100" t="str">
        <f ca="1">IFERROR(__xludf.DUMMYFUNCTION("IFERROR(VLOOKUP(F847,IMPORTRANGE(""https://docs.google.com/spreadsheets/d/1Kvs4KS76FHFqLFIZfrDMff4kP08nblUkihrxltoGBjg/edit#gid=934712705"",""ESENCIAL!A6:BG""),2,FALSE))"),"")</f>
        <v/>
      </c>
      <c r="AO824" s="19" t="str">
        <f t="shared" si="46"/>
        <v/>
      </c>
      <c r="AP824" s="100"/>
      <c r="AQ824" s="100"/>
    </row>
    <row r="825" spans="1:43" ht="15">
      <c r="A825" s="5"/>
      <c r="B825" s="5"/>
      <c r="G825" s="5" t="str">
        <f ca="1">IFERROR(__xludf.DUMMYFUNCTION("IFERROR(VLOOKUP(F848,IMPORTRANGE(""https://docs.google.com/spreadsheets/d/1Kvs4KS76FHFqLFIZfrDMff4kP08nblUkihrxltoGBjg/edit#gid=934712705"",""ESENCIAL!A6:BG""),3,FALSE))"),"")</f>
        <v/>
      </c>
      <c r="H825" s="5" t="str">
        <f ca="1">IFERROR(__xludf.DUMMYFUNCTION("IFERROR(VLOOKUP(F848,IMPORTRANGE(""https://docs.google.com/spreadsheets/d/1Kvs4KS76FHFqLFIZfrDMff4kP08nblUkihrxltoGBjg/edit#gid=934712705"",""ESENCIAL!A6:BG""),8,FALSE))"),"")</f>
        <v/>
      </c>
      <c r="L825" s="40"/>
      <c r="Z825" s="41" t="str">
        <f t="shared" si="47"/>
        <v/>
      </c>
      <c r="AA825" s="5" t="str">
        <f ca="1">IFERROR(__xludf.DUMMYFUNCTION("IFERROR(VLOOKUP(E848&amp;F848,IMPORTRANGE(""https://docs.google.com/spreadsheets/d/1Uw7-A9f9R21vMXxHZFNpYNeKFtG8_yji4HS352LGlSQ/edit?pli=1#gid=0"",""1_ACUM!A4:S""),11,FALSE))"),"")</f>
        <v/>
      </c>
      <c r="AB825" s="42" t="str">
        <f ca="1">IFERROR(__xludf.DUMMYFUNCTION("IFERROR(VLOOKUP(F848,IMPORTRANGE(""https://docs.google.com/spreadsheets/d/1Kvs4KS76FHFqLFIZfrDMff4kP08nblUkihrxltoGBjg/edit#gid=934712705"",""ESENCIAL!A6:BG""),15,FALSE))"),"")</f>
        <v/>
      </c>
      <c r="AC825" s="110" t="str">
        <f ca="1">IFERROR(__xludf.DUMMYFUNCTION("IFERROR(VLOOKUP(E848&amp;F848,IMPORTRANGE(""https://docs.google.com/spreadsheets/d/1Uw7-A9f9R21vMXxHZFNpYNeKFtG8_yji4HS352LGlSQ/edit?pli=1#gid=0"",""1_ACUM!A4:S""),13,FALSE))"),"")</f>
        <v/>
      </c>
      <c r="AD825" s="43" t="str">
        <f ca="1">IFERROR(__xludf.DUMMYFUNCTION("IFERROR(VLOOKUP(E848&amp;F848,IMPORTRANGE(""https://docs.google.com/spreadsheets/d/1Uw7-A9f9R21vMXxHZFNpYNeKFtG8_yji4HS352LGlSQ/edit?pli=1#gid=0"",""1_ACUM!A4:S""),13,FALSE))"),"")</f>
        <v/>
      </c>
      <c r="AE825" s="43" t="str">
        <f ca="1">IFERROR(__xludf.DUMMYFUNCTION("IFERROR(VLOOKUP(E848&amp;F848,IMPORTRANGE(""https://docs.google.com/spreadsheets/d/1Uw7-A9f9R21vMXxHZFNpYNeKFtG8_yji4HS352LGlSQ/edit?pli=1#gid=0"",""1_ACUM!A4:S""),14,FALSE))"),"")</f>
        <v/>
      </c>
      <c r="AF825" s="43" t="str">
        <f ca="1">IFERROR(__xludf.DUMMYFUNCTION("IFERROR(VLOOKUP(E848&amp;F848,IMPORTRANGE(""https://docs.google.com/spreadsheets/d/1Uw7-A9f9R21vMXxHZFNpYNeKFtG8_yji4HS352LGlSQ/edit?pli=1#gid=0"",""1_ACUM!A4:S""),15,FALSE))"),"")</f>
        <v/>
      </c>
      <c r="AG825" s="43" t="str">
        <f ca="1">IFERROR(__xludf.DUMMYFUNCTION("IFERROR(VLOOKUP(E848&amp;F848,IMPORTRANGE(""https://docs.google.com/spreadsheets/d/1Uw7-A9f9R21vMXxHZFNpYNeKFtG8_yji4HS352LGlSQ/edit?pli=1#gid=0"",""1_ACUM!A4:S""),16,FALSE))"),"")</f>
        <v/>
      </c>
      <c r="AH825" s="43" t="str">
        <f ca="1">IFERROR(__xludf.DUMMYFUNCTION("IFERROR(VLOOKUP(E848&amp;F848,IMPORTRANGE(""https://docs.google.com/spreadsheets/d/1Uw7-A9f9R21vMXxHZFNpYNeKFtG8_yji4HS352LGlSQ/edit?pli=1#gid=0"",""1_ACUM!A4:S""),17,FALSE))"),"")</f>
        <v/>
      </c>
      <c r="AI825" s="44" t="str">
        <f ca="1">IFERROR(__xludf.DUMMYFUNCTION("IFERROR(VLOOKUP(E848&amp;F848,IMPORTRANGE(""https://docs.google.com/spreadsheets/d/1Uw7-A9f9R21vMXxHZFNpYNeKFtG8_yji4HS352LGlSQ/edit?pli=1#gid=0"",""1_ACUM!A4:S""),18,FALSE))"),"")</f>
        <v/>
      </c>
      <c r="AJ825" s="44" t="str">
        <f ca="1">IFERROR(__xludf.DUMMYFUNCTION("IFERROR(VLOOKUP(E848&amp;F848,IMPORTRANGE(""https://docs.google.com/spreadsheets/d/1Uw7-A9f9R21vMXxHZFNpYNeKFtG8_yji4HS352LGlSQ/edit?pli=1#gid=0"",""1_ACUM!A4:S""),19,FALSE))"),"")</f>
        <v/>
      </c>
      <c r="AK825" s="98" t="str">
        <f ca="1">IFERROR(__xludf.DUMMYFUNCTION("IFERROR(VLOOKUP(F848,IMPORTRANGE(""https://docs.google.com/spreadsheets/d/1Kvs4KS76FHFqLFIZfrDMff4kP08nblUkihrxltoGBjg/edit#gid=934712705"",""ESENCIAL!A6:BG""),5,FALSE))"),"")</f>
        <v/>
      </c>
      <c r="AL825" s="98" t="str">
        <f t="shared" si="48"/>
        <v/>
      </c>
      <c r="AM825" s="99" t="str">
        <f t="shared" si="49"/>
        <v/>
      </c>
      <c r="AN825" s="100" t="str">
        <f ca="1">IFERROR(__xludf.DUMMYFUNCTION("IFERROR(VLOOKUP(F848,IMPORTRANGE(""https://docs.google.com/spreadsheets/d/1Kvs4KS76FHFqLFIZfrDMff4kP08nblUkihrxltoGBjg/edit#gid=934712705"",""ESENCIAL!A6:BG""),2,FALSE))"),"")</f>
        <v/>
      </c>
      <c r="AO825" s="19" t="str">
        <f t="shared" si="46"/>
        <v/>
      </c>
      <c r="AP825" s="100"/>
      <c r="AQ825" s="100"/>
    </row>
    <row r="826" spans="1:43" ht="15">
      <c r="A826" s="5"/>
      <c r="B826" s="5"/>
      <c r="G826" s="5" t="str">
        <f ca="1">IFERROR(__xludf.DUMMYFUNCTION("IFERROR(VLOOKUP(F849,IMPORTRANGE(""https://docs.google.com/spreadsheets/d/1Kvs4KS76FHFqLFIZfrDMff4kP08nblUkihrxltoGBjg/edit#gid=934712705"",""ESENCIAL!A6:BG""),3,FALSE))"),"")</f>
        <v/>
      </c>
      <c r="H826" s="5" t="str">
        <f ca="1">IFERROR(__xludf.DUMMYFUNCTION("IFERROR(VLOOKUP(F849,IMPORTRANGE(""https://docs.google.com/spreadsheets/d/1Kvs4KS76FHFqLFIZfrDMff4kP08nblUkihrxltoGBjg/edit#gid=934712705"",""ESENCIAL!A6:BG""),8,FALSE))"),"")</f>
        <v/>
      </c>
      <c r="L826" s="40"/>
      <c r="Z826" s="41" t="str">
        <f t="shared" si="47"/>
        <v/>
      </c>
      <c r="AA826" s="5" t="str">
        <f ca="1">IFERROR(__xludf.DUMMYFUNCTION("IFERROR(VLOOKUP(E849&amp;F849,IMPORTRANGE(""https://docs.google.com/spreadsheets/d/1Uw7-A9f9R21vMXxHZFNpYNeKFtG8_yji4HS352LGlSQ/edit?pli=1#gid=0"",""1_ACUM!A4:S""),11,FALSE))"),"")</f>
        <v/>
      </c>
      <c r="AB826" s="42" t="str">
        <f ca="1">IFERROR(__xludf.DUMMYFUNCTION("IFERROR(VLOOKUP(F849,IMPORTRANGE(""https://docs.google.com/spreadsheets/d/1Kvs4KS76FHFqLFIZfrDMff4kP08nblUkihrxltoGBjg/edit#gid=934712705"",""ESENCIAL!A6:BG""),15,FALSE))"),"")</f>
        <v/>
      </c>
      <c r="AC826" s="110" t="str">
        <f ca="1">IFERROR(__xludf.DUMMYFUNCTION("IFERROR(VLOOKUP(E849&amp;F849,IMPORTRANGE(""https://docs.google.com/spreadsheets/d/1Uw7-A9f9R21vMXxHZFNpYNeKFtG8_yji4HS352LGlSQ/edit?pli=1#gid=0"",""1_ACUM!A4:S""),13,FALSE))"),"")</f>
        <v/>
      </c>
      <c r="AD826" s="43" t="str">
        <f ca="1">IFERROR(__xludf.DUMMYFUNCTION("IFERROR(VLOOKUP(E849&amp;F849,IMPORTRANGE(""https://docs.google.com/spreadsheets/d/1Uw7-A9f9R21vMXxHZFNpYNeKFtG8_yji4HS352LGlSQ/edit?pli=1#gid=0"",""1_ACUM!A4:S""),13,FALSE))"),"")</f>
        <v/>
      </c>
      <c r="AE826" s="43" t="str">
        <f ca="1">IFERROR(__xludf.DUMMYFUNCTION("IFERROR(VLOOKUP(E849&amp;F849,IMPORTRANGE(""https://docs.google.com/spreadsheets/d/1Uw7-A9f9R21vMXxHZFNpYNeKFtG8_yji4HS352LGlSQ/edit?pli=1#gid=0"",""1_ACUM!A4:S""),14,FALSE))"),"")</f>
        <v/>
      </c>
      <c r="AF826" s="43" t="str">
        <f ca="1">IFERROR(__xludf.DUMMYFUNCTION("IFERROR(VLOOKUP(E849&amp;F849,IMPORTRANGE(""https://docs.google.com/spreadsheets/d/1Uw7-A9f9R21vMXxHZFNpYNeKFtG8_yji4HS352LGlSQ/edit?pli=1#gid=0"",""1_ACUM!A4:S""),15,FALSE))"),"")</f>
        <v/>
      </c>
      <c r="AG826" s="43" t="str">
        <f ca="1">IFERROR(__xludf.DUMMYFUNCTION("IFERROR(VLOOKUP(E849&amp;F849,IMPORTRANGE(""https://docs.google.com/spreadsheets/d/1Uw7-A9f9R21vMXxHZFNpYNeKFtG8_yji4HS352LGlSQ/edit?pli=1#gid=0"",""1_ACUM!A4:S""),16,FALSE))"),"")</f>
        <v/>
      </c>
      <c r="AH826" s="43" t="str">
        <f ca="1">IFERROR(__xludf.DUMMYFUNCTION("IFERROR(VLOOKUP(E849&amp;F849,IMPORTRANGE(""https://docs.google.com/spreadsheets/d/1Uw7-A9f9R21vMXxHZFNpYNeKFtG8_yji4HS352LGlSQ/edit?pli=1#gid=0"",""1_ACUM!A4:S""),17,FALSE))"),"")</f>
        <v/>
      </c>
      <c r="AI826" s="44" t="str">
        <f ca="1">IFERROR(__xludf.DUMMYFUNCTION("IFERROR(VLOOKUP(E849&amp;F849,IMPORTRANGE(""https://docs.google.com/spreadsheets/d/1Uw7-A9f9R21vMXxHZFNpYNeKFtG8_yji4HS352LGlSQ/edit?pli=1#gid=0"",""1_ACUM!A4:S""),18,FALSE))"),"")</f>
        <v/>
      </c>
      <c r="AJ826" s="44" t="str">
        <f ca="1">IFERROR(__xludf.DUMMYFUNCTION("IFERROR(VLOOKUP(E849&amp;F849,IMPORTRANGE(""https://docs.google.com/spreadsheets/d/1Uw7-A9f9R21vMXxHZFNpYNeKFtG8_yji4HS352LGlSQ/edit?pli=1#gid=0"",""1_ACUM!A4:S""),19,FALSE))"),"")</f>
        <v/>
      </c>
      <c r="AK826" s="98" t="str">
        <f ca="1">IFERROR(__xludf.DUMMYFUNCTION("IFERROR(VLOOKUP(F849,IMPORTRANGE(""https://docs.google.com/spreadsheets/d/1Kvs4KS76FHFqLFIZfrDMff4kP08nblUkihrxltoGBjg/edit#gid=934712705"",""ESENCIAL!A6:BG""),5,FALSE))"),"")</f>
        <v/>
      </c>
      <c r="AL826" s="98" t="str">
        <f t="shared" si="48"/>
        <v/>
      </c>
      <c r="AM826" s="99" t="str">
        <f t="shared" si="49"/>
        <v/>
      </c>
      <c r="AN826" s="100" t="str">
        <f ca="1">IFERROR(__xludf.DUMMYFUNCTION("IFERROR(VLOOKUP(F849,IMPORTRANGE(""https://docs.google.com/spreadsheets/d/1Kvs4KS76FHFqLFIZfrDMff4kP08nblUkihrxltoGBjg/edit#gid=934712705"",""ESENCIAL!A6:BG""),2,FALSE))"),"")</f>
        <v/>
      </c>
      <c r="AO826" s="19" t="str">
        <f t="shared" si="46"/>
        <v/>
      </c>
      <c r="AP826" s="100"/>
      <c r="AQ826" s="100"/>
    </row>
    <row r="827" spans="1:43" ht="15">
      <c r="A827" s="5"/>
      <c r="B827" s="5"/>
      <c r="G827" s="5" t="str">
        <f ca="1">IFERROR(__xludf.DUMMYFUNCTION("IFERROR(VLOOKUP(F850,IMPORTRANGE(""https://docs.google.com/spreadsheets/d/1Kvs4KS76FHFqLFIZfrDMff4kP08nblUkihrxltoGBjg/edit#gid=934712705"",""ESENCIAL!A6:BG""),3,FALSE))"),"")</f>
        <v/>
      </c>
      <c r="H827" s="5" t="str">
        <f ca="1">IFERROR(__xludf.DUMMYFUNCTION("IFERROR(VLOOKUP(F850,IMPORTRANGE(""https://docs.google.com/spreadsheets/d/1Kvs4KS76FHFqLFIZfrDMff4kP08nblUkihrxltoGBjg/edit#gid=934712705"",""ESENCIAL!A6:BG""),8,FALSE))"),"")</f>
        <v/>
      </c>
      <c r="L827" s="40"/>
      <c r="Z827" s="41" t="str">
        <f t="shared" si="47"/>
        <v/>
      </c>
      <c r="AA827" s="5" t="str">
        <f ca="1">IFERROR(__xludf.DUMMYFUNCTION("IFERROR(VLOOKUP(E850&amp;F850,IMPORTRANGE(""https://docs.google.com/spreadsheets/d/1Uw7-A9f9R21vMXxHZFNpYNeKFtG8_yji4HS352LGlSQ/edit?pli=1#gid=0"",""1_ACUM!A4:S""),11,FALSE))"),"")</f>
        <v/>
      </c>
      <c r="AB827" s="42" t="str">
        <f ca="1">IFERROR(__xludf.DUMMYFUNCTION("IFERROR(VLOOKUP(F850,IMPORTRANGE(""https://docs.google.com/spreadsheets/d/1Kvs4KS76FHFqLFIZfrDMff4kP08nblUkihrxltoGBjg/edit#gid=934712705"",""ESENCIAL!A6:BG""),15,FALSE))"),"")</f>
        <v/>
      </c>
      <c r="AC827" s="110" t="str">
        <f ca="1">IFERROR(__xludf.DUMMYFUNCTION("IFERROR(VLOOKUP(E850&amp;F850,IMPORTRANGE(""https://docs.google.com/spreadsheets/d/1Uw7-A9f9R21vMXxHZFNpYNeKFtG8_yji4HS352LGlSQ/edit?pli=1#gid=0"",""1_ACUM!A4:S""),13,FALSE))"),"")</f>
        <v/>
      </c>
      <c r="AD827" s="43" t="str">
        <f ca="1">IFERROR(__xludf.DUMMYFUNCTION("IFERROR(VLOOKUP(E850&amp;F850,IMPORTRANGE(""https://docs.google.com/spreadsheets/d/1Uw7-A9f9R21vMXxHZFNpYNeKFtG8_yji4HS352LGlSQ/edit?pli=1#gid=0"",""1_ACUM!A4:S""),13,FALSE))"),"")</f>
        <v/>
      </c>
      <c r="AE827" s="43" t="str">
        <f ca="1">IFERROR(__xludf.DUMMYFUNCTION("IFERROR(VLOOKUP(E850&amp;F850,IMPORTRANGE(""https://docs.google.com/spreadsheets/d/1Uw7-A9f9R21vMXxHZFNpYNeKFtG8_yji4HS352LGlSQ/edit?pli=1#gid=0"",""1_ACUM!A4:S""),14,FALSE))"),"")</f>
        <v/>
      </c>
      <c r="AF827" s="43" t="str">
        <f ca="1">IFERROR(__xludf.DUMMYFUNCTION("IFERROR(VLOOKUP(E850&amp;F850,IMPORTRANGE(""https://docs.google.com/spreadsheets/d/1Uw7-A9f9R21vMXxHZFNpYNeKFtG8_yji4HS352LGlSQ/edit?pli=1#gid=0"",""1_ACUM!A4:S""),15,FALSE))"),"")</f>
        <v/>
      </c>
      <c r="AG827" s="43" t="str">
        <f ca="1">IFERROR(__xludf.DUMMYFUNCTION("IFERROR(VLOOKUP(E850&amp;F850,IMPORTRANGE(""https://docs.google.com/spreadsheets/d/1Uw7-A9f9R21vMXxHZFNpYNeKFtG8_yji4HS352LGlSQ/edit?pli=1#gid=0"",""1_ACUM!A4:S""),16,FALSE))"),"")</f>
        <v/>
      </c>
      <c r="AH827" s="43" t="str">
        <f ca="1">IFERROR(__xludf.DUMMYFUNCTION("IFERROR(VLOOKUP(E850&amp;F850,IMPORTRANGE(""https://docs.google.com/spreadsheets/d/1Uw7-A9f9R21vMXxHZFNpYNeKFtG8_yji4HS352LGlSQ/edit?pli=1#gid=0"",""1_ACUM!A4:S""),17,FALSE))"),"")</f>
        <v/>
      </c>
      <c r="AI827" s="44" t="str">
        <f ca="1">IFERROR(__xludf.DUMMYFUNCTION("IFERROR(VLOOKUP(E850&amp;F850,IMPORTRANGE(""https://docs.google.com/spreadsheets/d/1Uw7-A9f9R21vMXxHZFNpYNeKFtG8_yji4HS352LGlSQ/edit?pli=1#gid=0"",""1_ACUM!A4:S""),18,FALSE))"),"")</f>
        <v/>
      </c>
      <c r="AJ827" s="44" t="str">
        <f ca="1">IFERROR(__xludf.DUMMYFUNCTION("IFERROR(VLOOKUP(E850&amp;F850,IMPORTRANGE(""https://docs.google.com/spreadsheets/d/1Uw7-A9f9R21vMXxHZFNpYNeKFtG8_yji4HS352LGlSQ/edit?pli=1#gid=0"",""1_ACUM!A4:S""),19,FALSE))"),"")</f>
        <v/>
      </c>
      <c r="AK827" s="98" t="str">
        <f ca="1">IFERROR(__xludf.DUMMYFUNCTION("IFERROR(VLOOKUP(F850,IMPORTRANGE(""https://docs.google.com/spreadsheets/d/1Kvs4KS76FHFqLFIZfrDMff4kP08nblUkihrxltoGBjg/edit#gid=934712705"",""ESENCIAL!A6:BG""),5,FALSE))"),"")</f>
        <v/>
      </c>
      <c r="AL827" s="98" t="str">
        <f t="shared" si="48"/>
        <v/>
      </c>
      <c r="AM827" s="99" t="str">
        <f t="shared" si="49"/>
        <v/>
      </c>
      <c r="AN827" s="100" t="str">
        <f ca="1">IFERROR(__xludf.DUMMYFUNCTION("IFERROR(VLOOKUP(F850,IMPORTRANGE(""https://docs.google.com/spreadsheets/d/1Kvs4KS76FHFqLFIZfrDMff4kP08nblUkihrxltoGBjg/edit#gid=934712705"",""ESENCIAL!A6:BG""),2,FALSE))"),"")</f>
        <v/>
      </c>
      <c r="AO827" s="19" t="str">
        <f t="shared" si="46"/>
        <v/>
      </c>
      <c r="AP827" s="100"/>
      <c r="AQ827" s="100"/>
    </row>
    <row r="828" spans="1:43" ht="15">
      <c r="A828" s="5"/>
      <c r="B828" s="5"/>
      <c r="G828" s="5" t="str">
        <f ca="1">IFERROR(__xludf.DUMMYFUNCTION("IFERROR(VLOOKUP(F851,IMPORTRANGE(""https://docs.google.com/spreadsheets/d/1Kvs4KS76FHFqLFIZfrDMff4kP08nblUkihrxltoGBjg/edit#gid=934712705"",""ESENCIAL!A6:BG""),3,FALSE))"),"")</f>
        <v/>
      </c>
      <c r="H828" s="5" t="str">
        <f ca="1">IFERROR(__xludf.DUMMYFUNCTION("IFERROR(VLOOKUP(F851,IMPORTRANGE(""https://docs.google.com/spreadsheets/d/1Kvs4KS76FHFqLFIZfrDMff4kP08nblUkihrxltoGBjg/edit#gid=934712705"",""ESENCIAL!A6:BG""),8,FALSE))"),"")</f>
        <v/>
      </c>
      <c r="L828" s="40"/>
      <c r="Z828" s="41" t="str">
        <f t="shared" si="47"/>
        <v/>
      </c>
      <c r="AA828" s="5" t="str">
        <f ca="1">IFERROR(__xludf.DUMMYFUNCTION("IFERROR(VLOOKUP(E851&amp;F851,IMPORTRANGE(""https://docs.google.com/spreadsheets/d/1Uw7-A9f9R21vMXxHZFNpYNeKFtG8_yji4HS352LGlSQ/edit?pli=1#gid=0"",""1_ACUM!A4:S""),11,FALSE))"),"")</f>
        <v/>
      </c>
      <c r="AB828" s="42" t="str">
        <f ca="1">IFERROR(__xludf.DUMMYFUNCTION("IFERROR(VLOOKUP(F851,IMPORTRANGE(""https://docs.google.com/spreadsheets/d/1Kvs4KS76FHFqLFIZfrDMff4kP08nblUkihrxltoGBjg/edit#gid=934712705"",""ESENCIAL!A6:BG""),15,FALSE))"),"")</f>
        <v/>
      </c>
      <c r="AC828" s="110" t="str">
        <f ca="1">IFERROR(__xludf.DUMMYFUNCTION("IFERROR(VLOOKUP(E851&amp;F851,IMPORTRANGE(""https://docs.google.com/spreadsheets/d/1Uw7-A9f9R21vMXxHZFNpYNeKFtG8_yji4HS352LGlSQ/edit?pli=1#gid=0"",""1_ACUM!A4:S""),13,FALSE))"),"")</f>
        <v/>
      </c>
      <c r="AD828" s="43" t="str">
        <f ca="1">IFERROR(__xludf.DUMMYFUNCTION("IFERROR(VLOOKUP(E851&amp;F851,IMPORTRANGE(""https://docs.google.com/spreadsheets/d/1Uw7-A9f9R21vMXxHZFNpYNeKFtG8_yji4HS352LGlSQ/edit?pli=1#gid=0"",""1_ACUM!A4:S""),13,FALSE))"),"")</f>
        <v/>
      </c>
      <c r="AE828" s="43" t="str">
        <f ca="1">IFERROR(__xludf.DUMMYFUNCTION("IFERROR(VLOOKUP(E851&amp;F851,IMPORTRANGE(""https://docs.google.com/spreadsheets/d/1Uw7-A9f9R21vMXxHZFNpYNeKFtG8_yji4HS352LGlSQ/edit?pli=1#gid=0"",""1_ACUM!A4:S""),14,FALSE))"),"")</f>
        <v/>
      </c>
      <c r="AF828" s="43" t="str">
        <f ca="1">IFERROR(__xludf.DUMMYFUNCTION("IFERROR(VLOOKUP(E851&amp;F851,IMPORTRANGE(""https://docs.google.com/spreadsheets/d/1Uw7-A9f9R21vMXxHZFNpYNeKFtG8_yji4HS352LGlSQ/edit?pli=1#gid=0"",""1_ACUM!A4:S""),15,FALSE))"),"")</f>
        <v/>
      </c>
      <c r="AG828" s="43" t="str">
        <f ca="1">IFERROR(__xludf.DUMMYFUNCTION("IFERROR(VLOOKUP(E851&amp;F851,IMPORTRANGE(""https://docs.google.com/spreadsheets/d/1Uw7-A9f9R21vMXxHZFNpYNeKFtG8_yji4HS352LGlSQ/edit?pli=1#gid=0"",""1_ACUM!A4:S""),16,FALSE))"),"")</f>
        <v/>
      </c>
      <c r="AH828" s="43" t="str">
        <f ca="1">IFERROR(__xludf.DUMMYFUNCTION("IFERROR(VLOOKUP(E851&amp;F851,IMPORTRANGE(""https://docs.google.com/spreadsheets/d/1Uw7-A9f9R21vMXxHZFNpYNeKFtG8_yji4HS352LGlSQ/edit?pli=1#gid=0"",""1_ACUM!A4:S""),17,FALSE))"),"")</f>
        <v/>
      </c>
      <c r="AI828" s="44" t="str">
        <f ca="1">IFERROR(__xludf.DUMMYFUNCTION("IFERROR(VLOOKUP(E851&amp;F851,IMPORTRANGE(""https://docs.google.com/spreadsheets/d/1Uw7-A9f9R21vMXxHZFNpYNeKFtG8_yji4HS352LGlSQ/edit?pli=1#gid=0"",""1_ACUM!A4:S""),18,FALSE))"),"")</f>
        <v/>
      </c>
      <c r="AJ828" s="44" t="str">
        <f ca="1">IFERROR(__xludf.DUMMYFUNCTION("IFERROR(VLOOKUP(E851&amp;F851,IMPORTRANGE(""https://docs.google.com/spreadsheets/d/1Uw7-A9f9R21vMXxHZFNpYNeKFtG8_yji4HS352LGlSQ/edit?pli=1#gid=0"",""1_ACUM!A4:S""),19,FALSE))"),"")</f>
        <v/>
      </c>
      <c r="AK828" s="98" t="str">
        <f ca="1">IFERROR(__xludf.DUMMYFUNCTION("IFERROR(VLOOKUP(F851,IMPORTRANGE(""https://docs.google.com/spreadsheets/d/1Kvs4KS76FHFqLFIZfrDMff4kP08nblUkihrxltoGBjg/edit#gid=934712705"",""ESENCIAL!A6:BG""),5,FALSE))"),"")</f>
        <v/>
      </c>
      <c r="AL828" s="98" t="str">
        <f t="shared" si="48"/>
        <v/>
      </c>
      <c r="AM828" s="99" t="str">
        <f t="shared" si="49"/>
        <v/>
      </c>
      <c r="AN828" s="100" t="str">
        <f ca="1">IFERROR(__xludf.DUMMYFUNCTION("IFERROR(VLOOKUP(F851,IMPORTRANGE(""https://docs.google.com/spreadsheets/d/1Kvs4KS76FHFqLFIZfrDMff4kP08nblUkihrxltoGBjg/edit#gid=934712705"",""ESENCIAL!A6:BG""),2,FALSE))"),"")</f>
        <v/>
      </c>
      <c r="AO828" s="19" t="str">
        <f t="shared" si="46"/>
        <v/>
      </c>
      <c r="AP828" s="100"/>
      <c r="AQ828" s="100"/>
    </row>
    <row r="829" spans="1:43" ht="15">
      <c r="A829" s="5"/>
      <c r="B829" s="5"/>
      <c r="G829" s="5" t="str">
        <f ca="1">IFERROR(__xludf.DUMMYFUNCTION("IFERROR(VLOOKUP(F852,IMPORTRANGE(""https://docs.google.com/spreadsheets/d/1Kvs4KS76FHFqLFIZfrDMff4kP08nblUkihrxltoGBjg/edit#gid=934712705"",""ESENCIAL!A6:BG""),3,FALSE))"),"")</f>
        <v/>
      </c>
      <c r="H829" s="5" t="str">
        <f ca="1">IFERROR(__xludf.DUMMYFUNCTION("IFERROR(VLOOKUP(F852,IMPORTRANGE(""https://docs.google.com/spreadsheets/d/1Kvs4KS76FHFqLFIZfrDMff4kP08nblUkihrxltoGBjg/edit#gid=934712705"",""ESENCIAL!A6:BG""),8,FALSE))"),"")</f>
        <v/>
      </c>
      <c r="L829" s="40"/>
      <c r="Z829" s="41" t="str">
        <f t="shared" si="47"/>
        <v/>
      </c>
      <c r="AA829" s="5" t="str">
        <f ca="1">IFERROR(__xludf.DUMMYFUNCTION("IFERROR(VLOOKUP(E852&amp;F852,IMPORTRANGE(""https://docs.google.com/spreadsheets/d/1Uw7-A9f9R21vMXxHZFNpYNeKFtG8_yji4HS352LGlSQ/edit?pli=1#gid=0"",""1_ACUM!A4:S""),11,FALSE))"),"")</f>
        <v/>
      </c>
      <c r="AB829" s="42" t="str">
        <f ca="1">IFERROR(__xludf.DUMMYFUNCTION("IFERROR(VLOOKUP(F852,IMPORTRANGE(""https://docs.google.com/spreadsheets/d/1Kvs4KS76FHFqLFIZfrDMff4kP08nblUkihrxltoGBjg/edit#gid=934712705"",""ESENCIAL!A6:BG""),15,FALSE))"),"")</f>
        <v/>
      </c>
      <c r="AC829" s="110" t="str">
        <f ca="1">IFERROR(__xludf.DUMMYFUNCTION("IFERROR(VLOOKUP(E852&amp;F852,IMPORTRANGE(""https://docs.google.com/spreadsheets/d/1Uw7-A9f9R21vMXxHZFNpYNeKFtG8_yji4HS352LGlSQ/edit?pli=1#gid=0"",""1_ACUM!A4:S""),13,FALSE))"),"")</f>
        <v/>
      </c>
      <c r="AD829" s="43" t="str">
        <f ca="1">IFERROR(__xludf.DUMMYFUNCTION("IFERROR(VLOOKUP(E852&amp;F852,IMPORTRANGE(""https://docs.google.com/spreadsheets/d/1Uw7-A9f9R21vMXxHZFNpYNeKFtG8_yji4HS352LGlSQ/edit?pli=1#gid=0"",""1_ACUM!A4:S""),13,FALSE))"),"")</f>
        <v/>
      </c>
      <c r="AE829" s="43" t="str">
        <f ca="1">IFERROR(__xludf.DUMMYFUNCTION("IFERROR(VLOOKUP(E852&amp;F852,IMPORTRANGE(""https://docs.google.com/spreadsheets/d/1Uw7-A9f9R21vMXxHZFNpYNeKFtG8_yji4HS352LGlSQ/edit?pli=1#gid=0"",""1_ACUM!A4:S""),14,FALSE))"),"")</f>
        <v/>
      </c>
      <c r="AF829" s="43" t="str">
        <f ca="1">IFERROR(__xludf.DUMMYFUNCTION("IFERROR(VLOOKUP(E852&amp;F852,IMPORTRANGE(""https://docs.google.com/spreadsheets/d/1Uw7-A9f9R21vMXxHZFNpYNeKFtG8_yji4HS352LGlSQ/edit?pli=1#gid=0"",""1_ACUM!A4:S""),15,FALSE))"),"")</f>
        <v/>
      </c>
      <c r="AG829" s="43" t="str">
        <f ca="1">IFERROR(__xludf.DUMMYFUNCTION("IFERROR(VLOOKUP(E852&amp;F852,IMPORTRANGE(""https://docs.google.com/spreadsheets/d/1Uw7-A9f9R21vMXxHZFNpYNeKFtG8_yji4HS352LGlSQ/edit?pli=1#gid=0"",""1_ACUM!A4:S""),16,FALSE))"),"")</f>
        <v/>
      </c>
      <c r="AH829" s="43" t="str">
        <f ca="1">IFERROR(__xludf.DUMMYFUNCTION("IFERROR(VLOOKUP(E852&amp;F852,IMPORTRANGE(""https://docs.google.com/spreadsheets/d/1Uw7-A9f9R21vMXxHZFNpYNeKFtG8_yji4HS352LGlSQ/edit?pli=1#gid=0"",""1_ACUM!A4:S""),17,FALSE))"),"")</f>
        <v/>
      </c>
      <c r="AI829" s="44" t="str">
        <f ca="1">IFERROR(__xludf.DUMMYFUNCTION("IFERROR(VLOOKUP(E852&amp;F852,IMPORTRANGE(""https://docs.google.com/spreadsheets/d/1Uw7-A9f9R21vMXxHZFNpYNeKFtG8_yji4HS352LGlSQ/edit?pli=1#gid=0"",""1_ACUM!A4:S""),18,FALSE))"),"")</f>
        <v/>
      </c>
      <c r="AJ829" s="44" t="str">
        <f ca="1">IFERROR(__xludf.DUMMYFUNCTION("IFERROR(VLOOKUP(E852&amp;F852,IMPORTRANGE(""https://docs.google.com/spreadsheets/d/1Uw7-A9f9R21vMXxHZFNpYNeKFtG8_yji4HS352LGlSQ/edit?pli=1#gid=0"",""1_ACUM!A4:S""),19,FALSE))"),"")</f>
        <v/>
      </c>
      <c r="AK829" s="98" t="str">
        <f ca="1">IFERROR(__xludf.DUMMYFUNCTION("IFERROR(VLOOKUP(F852,IMPORTRANGE(""https://docs.google.com/spreadsheets/d/1Kvs4KS76FHFqLFIZfrDMff4kP08nblUkihrxltoGBjg/edit#gid=934712705"",""ESENCIAL!A6:BG""),5,FALSE))"),"")</f>
        <v/>
      </c>
      <c r="AL829" s="98" t="str">
        <f t="shared" si="48"/>
        <v/>
      </c>
      <c r="AM829" s="99" t="str">
        <f t="shared" si="49"/>
        <v/>
      </c>
      <c r="AN829" s="100" t="str">
        <f ca="1">IFERROR(__xludf.DUMMYFUNCTION("IFERROR(VLOOKUP(F852,IMPORTRANGE(""https://docs.google.com/spreadsheets/d/1Kvs4KS76FHFqLFIZfrDMff4kP08nblUkihrxltoGBjg/edit#gid=934712705"",""ESENCIAL!A6:BG""),2,FALSE))"),"")</f>
        <v/>
      </c>
      <c r="AO829" s="19" t="str">
        <f t="shared" si="46"/>
        <v/>
      </c>
      <c r="AP829" s="100"/>
      <c r="AQ829" s="100"/>
    </row>
    <row r="830" spans="1:43" ht="15">
      <c r="A830" s="5"/>
      <c r="B830" s="5"/>
      <c r="G830" s="5" t="str">
        <f ca="1">IFERROR(__xludf.DUMMYFUNCTION("IFERROR(VLOOKUP(F853,IMPORTRANGE(""https://docs.google.com/spreadsheets/d/1Kvs4KS76FHFqLFIZfrDMff4kP08nblUkihrxltoGBjg/edit#gid=934712705"",""ESENCIAL!A6:BG""),3,FALSE))"),"")</f>
        <v/>
      </c>
      <c r="H830" s="5" t="str">
        <f ca="1">IFERROR(__xludf.DUMMYFUNCTION("IFERROR(VLOOKUP(F853,IMPORTRANGE(""https://docs.google.com/spreadsheets/d/1Kvs4KS76FHFqLFIZfrDMff4kP08nblUkihrxltoGBjg/edit#gid=934712705"",""ESENCIAL!A6:BG""),8,FALSE))"),"")</f>
        <v/>
      </c>
      <c r="L830" s="40"/>
      <c r="Z830" s="41" t="str">
        <f t="shared" si="47"/>
        <v/>
      </c>
      <c r="AA830" s="5" t="str">
        <f ca="1">IFERROR(__xludf.DUMMYFUNCTION("IFERROR(VLOOKUP(E853&amp;F853,IMPORTRANGE(""https://docs.google.com/spreadsheets/d/1Uw7-A9f9R21vMXxHZFNpYNeKFtG8_yji4HS352LGlSQ/edit?pli=1#gid=0"",""1_ACUM!A4:S""),11,FALSE))"),"")</f>
        <v/>
      </c>
      <c r="AB830" s="42" t="str">
        <f ca="1">IFERROR(__xludf.DUMMYFUNCTION("IFERROR(VLOOKUP(F853,IMPORTRANGE(""https://docs.google.com/spreadsheets/d/1Kvs4KS76FHFqLFIZfrDMff4kP08nblUkihrxltoGBjg/edit#gid=934712705"",""ESENCIAL!A6:BG""),15,FALSE))"),"")</f>
        <v/>
      </c>
      <c r="AC830" s="110" t="str">
        <f ca="1">IFERROR(__xludf.DUMMYFUNCTION("IFERROR(VLOOKUP(E853&amp;F853,IMPORTRANGE(""https://docs.google.com/spreadsheets/d/1Uw7-A9f9R21vMXxHZFNpYNeKFtG8_yji4HS352LGlSQ/edit?pli=1#gid=0"",""1_ACUM!A4:S""),13,FALSE))"),"")</f>
        <v/>
      </c>
      <c r="AD830" s="43" t="str">
        <f ca="1">IFERROR(__xludf.DUMMYFUNCTION("IFERROR(VLOOKUP(E853&amp;F853,IMPORTRANGE(""https://docs.google.com/spreadsheets/d/1Uw7-A9f9R21vMXxHZFNpYNeKFtG8_yji4HS352LGlSQ/edit?pli=1#gid=0"",""1_ACUM!A4:S""),13,FALSE))"),"")</f>
        <v/>
      </c>
      <c r="AE830" s="43" t="str">
        <f ca="1">IFERROR(__xludf.DUMMYFUNCTION("IFERROR(VLOOKUP(E853&amp;F853,IMPORTRANGE(""https://docs.google.com/spreadsheets/d/1Uw7-A9f9R21vMXxHZFNpYNeKFtG8_yji4HS352LGlSQ/edit?pli=1#gid=0"",""1_ACUM!A4:S""),14,FALSE))"),"")</f>
        <v/>
      </c>
      <c r="AF830" s="43" t="str">
        <f ca="1">IFERROR(__xludf.DUMMYFUNCTION("IFERROR(VLOOKUP(E853&amp;F853,IMPORTRANGE(""https://docs.google.com/spreadsheets/d/1Uw7-A9f9R21vMXxHZFNpYNeKFtG8_yji4HS352LGlSQ/edit?pli=1#gid=0"",""1_ACUM!A4:S""),15,FALSE))"),"")</f>
        <v/>
      </c>
      <c r="AG830" s="43" t="str">
        <f ca="1">IFERROR(__xludf.DUMMYFUNCTION("IFERROR(VLOOKUP(E853&amp;F853,IMPORTRANGE(""https://docs.google.com/spreadsheets/d/1Uw7-A9f9R21vMXxHZFNpYNeKFtG8_yji4HS352LGlSQ/edit?pli=1#gid=0"",""1_ACUM!A4:S""),16,FALSE))"),"")</f>
        <v/>
      </c>
      <c r="AH830" s="43" t="str">
        <f ca="1">IFERROR(__xludf.DUMMYFUNCTION("IFERROR(VLOOKUP(E853&amp;F853,IMPORTRANGE(""https://docs.google.com/spreadsheets/d/1Uw7-A9f9R21vMXxHZFNpYNeKFtG8_yji4HS352LGlSQ/edit?pli=1#gid=0"",""1_ACUM!A4:S""),17,FALSE))"),"")</f>
        <v/>
      </c>
      <c r="AI830" s="44" t="str">
        <f ca="1">IFERROR(__xludf.DUMMYFUNCTION("IFERROR(VLOOKUP(E853&amp;F853,IMPORTRANGE(""https://docs.google.com/spreadsheets/d/1Uw7-A9f9R21vMXxHZFNpYNeKFtG8_yji4HS352LGlSQ/edit?pli=1#gid=0"",""1_ACUM!A4:S""),18,FALSE))"),"")</f>
        <v/>
      </c>
      <c r="AJ830" s="44" t="str">
        <f ca="1">IFERROR(__xludf.DUMMYFUNCTION("IFERROR(VLOOKUP(E853&amp;F853,IMPORTRANGE(""https://docs.google.com/spreadsheets/d/1Uw7-A9f9R21vMXxHZFNpYNeKFtG8_yji4HS352LGlSQ/edit?pli=1#gid=0"",""1_ACUM!A4:S""),19,FALSE))"),"")</f>
        <v/>
      </c>
      <c r="AK830" s="98" t="str">
        <f ca="1">IFERROR(__xludf.DUMMYFUNCTION("IFERROR(VLOOKUP(F853,IMPORTRANGE(""https://docs.google.com/spreadsheets/d/1Kvs4KS76FHFqLFIZfrDMff4kP08nblUkihrxltoGBjg/edit#gid=934712705"",""ESENCIAL!A6:BG""),5,FALSE))"),"")</f>
        <v/>
      </c>
      <c r="AL830" s="98" t="str">
        <f t="shared" si="48"/>
        <v/>
      </c>
      <c r="AM830" s="99" t="str">
        <f t="shared" si="49"/>
        <v/>
      </c>
      <c r="AN830" s="100" t="str">
        <f ca="1">IFERROR(__xludf.DUMMYFUNCTION("IFERROR(VLOOKUP(F853,IMPORTRANGE(""https://docs.google.com/spreadsheets/d/1Kvs4KS76FHFqLFIZfrDMff4kP08nblUkihrxltoGBjg/edit#gid=934712705"",""ESENCIAL!A6:BG""),2,FALSE))"),"")</f>
        <v/>
      </c>
      <c r="AO830" s="19" t="str">
        <f t="shared" si="46"/>
        <v/>
      </c>
      <c r="AP830" s="100"/>
      <c r="AQ830" s="100"/>
    </row>
    <row r="831" spans="1:43" ht="15">
      <c r="A831" s="5"/>
      <c r="B831" s="5"/>
      <c r="G831" s="5" t="str">
        <f ca="1">IFERROR(__xludf.DUMMYFUNCTION("IFERROR(VLOOKUP(F854,IMPORTRANGE(""https://docs.google.com/spreadsheets/d/1Kvs4KS76FHFqLFIZfrDMff4kP08nblUkihrxltoGBjg/edit#gid=934712705"",""ESENCIAL!A6:BG""),3,FALSE))"),"")</f>
        <v/>
      </c>
      <c r="H831" s="5" t="str">
        <f ca="1">IFERROR(__xludf.DUMMYFUNCTION("IFERROR(VLOOKUP(F854,IMPORTRANGE(""https://docs.google.com/spreadsheets/d/1Kvs4KS76FHFqLFIZfrDMff4kP08nblUkihrxltoGBjg/edit#gid=934712705"",""ESENCIAL!A6:BG""),8,FALSE))"),"")</f>
        <v/>
      </c>
      <c r="L831" s="40"/>
      <c r="Z831" s="41" t="str">
        <f t="shared" si="47"/>
        <v/>
      </c>
      <c r="AA831" s="5" t="str">
        <f ca="1">IFERROR(__xludf.DUMMYFUNCTION("IFERROR(VLOOKUP(E854&amp;F854,IMPORTRANGE(""https://docs.google.com/spreadsheets/d/1Uw7-A9f9R21vMXxHZFNpYNeKFtG8_yji4HS352LGlSQ/edit?pli=1#gid=0"",""1_ACUM!A4:S""),11,FALSE))"),"")</f>
        <v/>
      </c>
      <c r="AB831" s="42" t="str">
        <f ca="1">IFERROR(__xludf.DUMMYFUNCTION("IFERROR(VLOOKUP(F854,IMPORTRANGE(""https://docs.google.com/spreadsheets/d/1Kvs4KS76FHFqLFIZfrDMff4kP08nblUkihrxltoGBjg/edit#gid=934712705"",""ESENCIAL!A6:BG""),15,FALSE))"),"")</f>
        <v/>
      </c>
      <c r="AC831" s="110" t="str">
        <f ca="1">IFERROR(__xludf.DUMMYFUNCTION("IFERROR(VLOOKUP(E854&amp;F854,IMPORTRANGE(""https://docs.google.com/spreadsheets/d/1Uw7-A9f9R21vMXxHZFNpYNeKFtG8_yji4HS352LGlSQ/edit?pli=1#gid=0"",""1_ACUM!A4:S""),13,FALSE))"),"")</f>
        <v/>
      </c>
      <c r="AD831" s="43" t="str">
        <f ca="1">IFERROR(__xludf.DUMMYFUNCTION("IFERROR(VLOOKUP(E854&amp;F854,IMPORTRANGE(""https://docs.google.com/spreadsheets/d/1Uw7-A9f9R21vMXxHZFNpYNeKFtG8_yji4HS352LGlSQ/edit?pli=1#gid=0"",""1_ACUM!A4:S""),13,FALSE))"),"")</f>
        <v/>
      </c>
      <c r="AE831" s="43" t="str">
        <f ca="1">IFERROR(__xludf.DUMMYFUNCTION("IFERROR(VLOOKUP(E854&amp;F854,IMPORTRANGE(""https://docs.google.com/spreadsheets/d/1Uw7-A9f9R21vMXxHZFNpYNeKFtG8_yji4HS352LGlSQ/edit?pli=1#gid=0"",""1_ACUM!A4:S""),14,FALSE))"),"")</f>
        <v/>
      </c>
      <c r="AF831" s="43" t="str">
        <f ca="1">IFERROR(__xludf.DUMMYFUNCTION("IFERROR(VLOOKUP(E854&amp;F854,IMPORTRANGE(""https://docs.google.com/spreadsheets/d/1Uw7-A9f9R21vMXxHZFNpYNeKFtG8_yji4HS352LGlSQ/edit?pli=1#gid=0"",""1_ACUM!A4:S""),15,FALSE))"),"")</f>
        <v/>
      </c>
      <c r="AG831" s="43" t="str">
        <f ca="1">IFERROR(__xludf.DUMMYFUNCTION("IFERROR(VLOOKUP(E854&amp;F854,IMPORTRANGE(""https://docs.google.com/spreadsheets/d/1Uw7-A9f9R21vMXxHZFNpYNeKFtG8_yji4HS352LGlSQ/edit?pli=1#gid=0"",""1_ACUM!A4:S""),16,FALSE))"),"")</f>
        <v/>
      </c>
      <c r="AH831" s="43" t="str">
        <f ca="1">IFERROR(__xludf.DUMMYFUNCTION("IFERROR(VLOOKUP(E854&amp;F854,IMPORTRANGE(""https://docs.google.com/spreadsheets/d/1Uw7-A9f9R21vMXxHZFNpYNeKFtG8_yji4HS352LGlSQ/edit?pli=1#gid=0"",""1_ACUM!A4:S""),17,FALSE))"),"")</f>
        <v/>
      </c>
      <c r="AI831" s="44" t="str">
        <f ca="1">IFERROR(__xludf.DUMMYFUNCTION("IFERROR(VLOOKUP(E854&amp;F854,IMPORTRANGE(""https://docs.google.com/spreadsheets/d/1Uw7-A9f9R21vMXxHZFNpYNeKFtG8_yji4HS352LGlSQ/edit?pli=1#gid=0"",""1_ACUM!A4:S""),18,FALSE))"),"")</f>
        <v/>
      </c>
      <c r="AJ831" s="44" t="str">
        <f ca="1">IFERROR(__xludf.DUMMYFUNCTION("IFERROR(VLOOKUP(E854&amp;F854,IMPORTRANGE(""https://docs.google.com/spreadsheets/d/1Uw7-A9f9R21vMXxHZFNpYNeKFtG8_yji4HS352LGlSQ/edit?pli=1#gid=0"",""1_ACUM!A4:S""),19,FALSE))"),"")</f>
        <v/>
      </c>
      <c r="AK831" s="98" t="str">
        <f ca="1">IFERROR(__xludf.DUMMYFUNCTION("IFERROR(VLOOKUP(F854,IMPORTRANGE(""https://docs.google.com/spreadsheets/d/1Kvs4KS76FHFqLFIZfrDMff4kP08nblUkihrxltoGBjg/edit#gid=934712705"",""ESENCIAL!A6:BG""),5,FALSE))"),"")</f>
        <v/>
      </c>
      <c r="AL831" s="98" t="str">
        <f t="shared" si="48"/>
        <v/>
      </c>
      <c r="AM831" s="99" t="str">
        <f t="shared" si="49"/>
        <v/>
      </c>
      <c r="AN831" s="100" t="str">
        <f ca="1">IFERROR(__xludf.DUMMYFUNCTION("IFERROR(VLOOKUP(F854,IMPORTRANGE(""https://docs.google.com/spreadsheets/d/1Kvs4KS76FHFqLFIZfrDMff4kP08nblUkihrxltoGBjg/edit#gid=934712705"",""ESENCIAL!A6:BG""),2,FALSE))"),"")</f>
        <v/>
      </c>
      <c r="AO831" s="19" t="str">
        <f t="shared" si="46"/>
        <v/>
      </c>
      <c r="AP831" s="100"/>
      <c r="AQ831" s="100"/>
    </row>
    <row r="832" spans="1:43" ht="15">
      <c r="A832" s="5"/>
      <c r="B832" s="5"/>
      <c r="G832" s="5" t="str">
        <f ca="1">IFERROR(__xludf.DUMMYFUNCTION("IFERROR(VLOOKUP(F855,IMPORTRANGE(""https://docs.google.com/spreadsheets/d/1Kvs4KS76FHFqLFIZfrDMff4kP08nblUkihrxltoGBjg/edit#gid=934712705"",""ESENCIAL!A6:BG""),3,FALSE))"),"")</f>
        <v/>
      </c>
      <c r="H832" s="5" t="str">
        <f ca="1">IFERROR(__xludf.DUMMYFUNCTION("IFERROR(VLOOKUP(F855,IMPORTRANGE(""https://docs.google.com/spreadsheets/d/1Kvs4KS76FHFqLFIZfrDMff4kP08nblUkihrxltoGBjg/edit#gid=934712705"",""ESENCIAL!A6:BG""),8,FALSE))"),"")</f>
        <v/>
      </c>
      <c r="L832" s="40"/>
      <c r="Z832" s="41" t="str">
        <f t="shared" si="47"/>
        <v/>
      </c>
      <c r="AA832" s="5" t="str">
        <f ca="1">IFERROR(__xludf.DUMMYFUNCTION("IFERROR(VLOOKUP(E855&amp;F855,IMPORTRANGE(""https://docs.google.com/spreadsheets/d/1Uw7-A9f9R21vMXxHZFNpYNeKFtG8_yji4HS352LGlSQ/edit?pli=1#gid=0"",""1_ACUM!A4:S""),11,FALSE))"),"")</f>
        <v/>
      </c>
      <c r="AB832" s="42" t="str">
        <f ca="1">IFERROR(__xludf.DUMMYFUNCTION("IFERROR(VLOOKUP(F855,IMPORTRANGE(""https://docs.google.com/spreadsheets/d/1Kvs4KS76FHFqLFIZfrDMff4kP08nblUkihrxltoGBjg/edit#gid=934712705"",""ESENCIAL!A6:BG""),15,FALSE))"),"")</f>
        <v/>
      </c>
      <c r="AC832" s="110" t="str">
        <f ca="1">IFERROR(__xludf.DUMMYFUNCTION("IFERROR(VLOOKUP(E855&amp;F855,IMPORTRANGE(""https://docs.google.com/spreadsheets/d/1Uw7-A9f9R21vMXxHZFNpYNeKFtG8_yji4HS352LGlSQ/edit?pli=1#gid=0"",""1_ACUM!A4:S""),13,FALSE))"),"")</f>
        <v/>
      </c>
      <c r="AD832" s="43" t="str">
        <f ca="1">IFERROR(__xludf.DUMMYFUNCTION("IFERROR(VLOOKUP(E855&amp;F855,IMPORTRANGE(""https://docs.google.com/spreadsheets/d/1Uw7-A9f9R21vMXxHZFNpYNeKFtG8_yji4HS352LGlSQ/edit?pli=1#gid=0"",""1_ACUM!A4:S""),13,FALSE))"),"")</f>
        <v/>
      </c>
      <c r="AE832" s="43" t="str">
        <f ca="1">IFERROR(__xludf.DUMMYFUNCTION("IFERROR(VLOOKUP(E855&amp;F855,IMPORTRANGE(""https://docs.google.com/spreadsheets/d/1Uw7-A9f9R21vMXxHZFNpYNeKFtG8_yji4HS352LGlSQ/edit?pli=1#gid=0"",""1_ACUM!A4:S""),14,FALSE))"),"")</f>
        <v/>
      </c>
      <c r="AF832" s="43" t="str">
        <f ca="1">IFERROR(__xludf.DUMMYFUNCTION("IFERROR(VLOOKUP(E855&amp;F855,IMPORTRANGE(""https://docs.google.com/spreadsheets/d/1Uw7-A9f9R21vMXxHZFNpYNeKFtG8_yji4HS352LGlSQ/edit?pli=1#gid=0"",""1_ACUM!A4:S""),15,FALSE))"),"")</f>
        <v/>
      </c>
      <c r="AG832" s="43" t="str">
        <f ca="1">IFERROR(__xludf.DUMMYFUNCTION("IFERROR(VLOOKUP(E855&amp;F855,IMPORTRANGE(""https://docs.google.com/spreadsheets/d/1Uw7-A9f9R21vMXxHZFNpYNeKFtG8_yji4HS352LGlSQ/edit?pli=1#gid=0"",""1_ACUM!A4:S""),16,FALSE))"),"")</f>
        <v/>
      </c>
      <c r="AH832" s="43" t="str">
        <f ca="1">IFERROR(__xludf.DUMMYFUNCTION("IFERROR(VLOOKUP(E855&amp;F855,IMPORTRANGE(""https://docs.google.com/spreadsheets/d/1Uw7-A9f9R21vMXxHZFNpYNeKFtG8_yji4HS352LGlSQ/edit?pli=1#gid=0"",""1_ACUM!A4:S""),17,FALSE))"),"")</f>
        <v/>
      </c>
      <c r="AI832" s="44" t="str">
        <f ca="1">IFERROR(__xludf.DUMMYFUNCTION("IFERROR(VLOOKUP(E855&amp;F855,IMPORTRANGE(""https://docs.google.com/spreadsheets/d/1Uw7-A9f9R21vMXxHZFNpYNeKFtG8_yji4HS352LGlSQ/edit?pli=1#gid=0"",""1_ACUM!A4:S""),18,FALSE))"),"")</f>
        <v/>
      </c>
      <c r="AJ832" s="44" t="str">
        <f ca="1">IFERROR(__xludf.DUMMYFUNCTION("IFERROR(VLOOKUP(E855&amp;F855,IMPORTRANGE(""https://docs.google.com/spreadsheets/d/1Uw7-A9f9R21vMXxHZFNpYNeKFtG8_yji4HS352LGlSQ/edit?pli=1#gid=0"",""1_ACUM!A4:S""),19,FALSE))"),"")</f>
        <v/>
      </c>
      <c r="AK832" s="98" t="str">
        <f ca="1">IFERROR(__xludf.DUMMYFUNCTION("IFERROR(VLOOKUP(F855,IMPORTRANGE(""https://docs.google.com/spreadsheets/d/1Kvs4KS76FHFqLFIZfrDMff4kP08nblUkihrxltoGBjg/edit#gid=934712705"",""ESENCIAL!A6:BG""),5,FALSE))"),"")</f>
        <v/>
      </c>
      <c r="AL832" s="98" t="str">
        <f t="shared" si="48"/>
        <v/>
      </c>
      <c r="AM832" s="99" t="str">
        <f t="shared" si="49"/>
        <v/>
      </c>
      <c r="AN832" s="100" t="str">
        <f ca="1">IFERROR(__xludf.DUMMYFUNCTION("IFERROR(VLOOKUP(F855,IMPORTRANGE(""https://docs.google.com/spreadsheets/d/1Kvs4KS76FHFqLFIZfrDMff4kP08nblUkihrxltoGBjg/edit#gid=934712705"",""ESENCIAL!A6:BG""),2,FALSE))"),"")</f>
        <v/>
      </c>
      <c r="AO832" s="19" t="str">
        <f t="shared" si="46"/>
        <v/>
      </c>
      <c r="AP832" s="100"/>
      <c r="AQ832" s="100"/>
    </row>
    <row r="833" spans="1:43" ht="15">
      <c r="A833" s="5"/>
      <c r="B833" s="5"/>
      <c r="G833" s="5" t="str">
        <f ca="1">IFERROR(__xludf.DUMMYFUNCTION("IFERROR(VLOOKUP(F856,IMPORTRANGE(""https://docs.google.com/spreadsheets/d/1Kvs4KS76FHFqLFIZfrDMff4kP08nblUkihrxltoGBjg/edit#gid=934712705"",""ESENCIAL!A6:BG""),3,FALSE))"),"")</f>
        <v/>
      </c>
      <c r="H833" s="5" t="str">
        <f ca="1">IFERROR(__xludf.DUMMYFUNCTION("IFERROR(VLOOKUP(F856,IMPORTRANGE(""https://docs.google.com/spreadsheets/d/1Kvs4KS76FHFqLFIZfrDMff4kP08nblUkihrxltoGBjg/edit#gid=934712705"",""ESENCIAL!A6:BG""),8,FALSE))"),"")</f>
        <v/>
      </c>
      <c r="L833" s="40"/>
      <c r="Z833" s="41" t="str">
        <f t="shared" si="47"/>
        <v/>
      </c>
      <c r="AA833" s="5" t="str">
        <f ca="1">IFERROR(__xludf.DUMMYFUNCTION("IFERROR(VLOOKUP(E856&amp;F856,IMPORTRANGE(""https://docs.google.com/spreadsheets/d/1Uw7-A9f9R21vMXxHZFNpYNeKFtG8_yji4HS352LGlSQ/edit?pli=1#gid=0"",""1_ACUM!A4:S""),11,FALSE))"),"")</f>
        <v/>
      </c>
      <c r="AB833" s="42" t="str">
        <f ca="1">IFERROR(__xludf.DUMMYFUNCTION("IFERROR(VLOOKUP(F856,IMPORTRANGE(""https://docs.google.com/spreadsheets/d/1Kvs4KS76FHFqLFIZfrDMff4kP08nblUkihrxltoGBjg/edit#gid=934712705"",""ESENCIAL!A6:BG""),15,FALSE))"),"")</f>
        <v/>
      </c>
      <c r="AC833" s="110" t="str">
        <f ca="1">IFERROR(__xludf.DUMMYFUNCTION("IFERROR(VLOOKUP(E856&amp;F856,IMPORTRANGE(""https://docs.google.com/spreadsheets/d/1Uw7-A9f9R21vMXxHZFNpYNeKFtG8_yji4HS352LGlSQ/edit?pli=1#gid=0"",""1_ACUM!A4:S""),13,FALSE))"),"")</f>
        <v/>
      </c>
      <c r="AD833" s="43" t="str">
        <f ca="1">IFERROR(__xludf.DUMMYFUNCTION("IFERROR(VLOOKUP(E856&amp;F856,IMPORTRANGE(""https://docs.google.com/spreadsheets/d/1Uw7-A9f9R21vMXxHZFNpYNeKFtG8_yji4HS352LGlSQ/edit?pli=1#gid=0"",""1_ACUM!A4:S""),13,FALSE))"),"")</f>
        <v/>
      </c>
      <c r="AE833" s="43" t="str">
        <f ca="1">IFERROR(__xludf.DUMMYFUNCTION("IFERROR(VLOOKUP(E856&amp;F856,IMPORTRANGE(""https://docs.google.com/spreadsheets/d/1Uw7-A9f9R21vMXxHZFNpYNeKFtG8_yji4HS352LGlSQ/edit?pli=1#gid=0"",""1_ACUM!A4:S""),14,FALSE))"),"")</f>
        <v/>
      </c>
      <c r="AF833" s="43" t="str">
        <f ca="1">IFERROR(__xludf.DUMMYFUNCTION("IFERROR(VLOOKUP(E856&amp;F856,IMPORTRANGE(""https://docs.google.com/spreadsheets/d/1Uw7-A9f9R21vMXxHZFNpYNeKFtG8_yji4HS352LGlSQ/edit?pli=1#gid=0"",""1_ACUM!A4:S""),15,FALSE))"),"")</f>
        <v/>
      </c>
      <c r="AG833" s="43" t="str">
        <f ca="1">IFERROR(__xludf.DUMMYFUNCTION("IFERROR(VLOOKUP(E856&amp;F856,IMPORTRANGE(""https://docs.google.com/spreadsheets/d/1Uw7-A9f9R21vMXxHZFNpYNeKFtG8_yji4HS352LGlSQ/edit?pli=1#gid=0"",""1_ACUM!A4:S""),16,FALSE))"),"")</f>
        <v/>
      </c>
      <c r="AH833" s="43" t="str">
        <f ca="1">IFERROR(__xludf.DUMMYFUNCTION("IFERROR(VLOOKUP(E856&amp;F856,IMPORTRANGE(""https://docs.google.com/spreadsheets/d/1Uw7-A9f9R21vMXxHZFNpYNeKFtG8_yji4HS352LGlSQ/edit?pli=1#gid=0"",""1_ACUM!A4:S""),17,FALSE))"),"")</f>
        <v/>
      </c>
      <c r="AI833" s="44" t="str">
        <f ca="1">IFERROR(__xludf.DUMMYFUNCTION("IFERROR(VLOOKUP(E856&amp;F856,IMPORTRANGE(""https://docs.google.com/spreadsheets/d/1Uw7-A9f9R21vMXxHZFNpYNeKFtG8_yji4HS352LGlSQ/edit?pli=1#gid=0"",""1_ACUM!A4:S""),18,FALSE))"),"")</f>
        <v/>
      </c>
      <c r="AJ833" s="44" t="str">
        <f ca="1">IFERROR(__xludf.DUMMYFUNCTION("IFERROR(VLOOKUP(E856&amp;F856,IMPORTRANGE(""https://docs.google.com/spreadsheets/d/1Uw7-A9f9R21vMXxHZFNpYNeKFtG8_yji4HS352LGlSQ/edit?pli=1#gid=0"",""1_ACUM!A4:S""),19,FALSE))"),"")</f>
        <v/>
      </c>
      <c r="AK833" s="98" t="str">
        <f ca="1">IFERROR(__xludf.DUMMYFUNCTION("IFERROR(VLOOKUP(F856,IMPORTRANGE(""https://docs.google.com/spreadsheets/d/1Kvs4KS76FHFqLFIZfrDMff4kP08nblUkihrxltoGBjg/edit#gid=934712705"",""ESENCIAL!A6:BG""),5,FALSE))"),"")</f>
        <v/>
      </c>
      <c r="AL833" s="98" t="str">
        <f t="shared" si="48"/>
        <v/>
      </c>
      <c r="AM833" s="99" t="str">
        <f t="shared" si="49"/>
        <v/>
      </c>
      <c r="AN833" s="100" t="str">
        <f ca="1">IFERROR(__xludf.DUMMYFUNCTION("IFERROR(VLOOKUP(F856,IMPORTRANGE(""https://docs.google.com/spreadsheets/d/1Kvs4KS76FHFqLFIZfrDMff4kP08nblUkihrxltoGBjg/edit#gid=934712705"",""ESENCIAL!A6:BG""),2,FALSE))"),"")</f>
        <v/>
      </c>
      <c r="AO833" s="19" t="str">
        <f t="shared" si="46"/>
        <v/>
      </c>
      <c r="AP833" s="100"/>
      <c r="AQ833" s="100"/>
    </row>
    <row r="834" spans="1:43" ht="15">
      <c r="A834" s="5"/>
      <c r="B834" s="5"/>
      <c r="G834" s="5" t="str">
        <f ca="1">IFERROR(__xludf.DUMMYFUNCTION("IFERROR(VLOOKUP(F857,IMPORTRANGE(""https://docs.google.com/spreadsheets/d/1Kvs4KS76FHFqLFIZfrDMff4kP08nblUkihrxltoGBjg/edit#gid=934712705"",""ESENCIAL!A6:BG""),3,FALSE))"),"")</f>
        <v/>
      </c>
      <c r="H834" s="5" t="str">
        <f ca="1">IFERROR(__xludf.DUMMYFUNCTION("IFERROR(VLOOKUP(F857,IMPORTRANGE(""https://docs.google.com/spreadsheets/d/1Kvs4KS76FHFqLFIZfrDMff4kP08nblUkihrxltoGBjg/edit#gid=934712705"",""ESENCIAL!A6:BG""),8,FALSE))"),"")</f>
        <v/>
      </c>
      <c r="L834" s="40"/>
      <c r="Z834" s="41" t="str">
        <f t="shared" ref="Z834:Z897" si="50">IF(E834&gt;0,IF(AND(AH834=1,AE834=1),"Procede_E_P","NO_CUMPLE"),"")</f>
        <v/>
      </c>
      <c r="AA834" s="5" t="str">
        <f ca="1">IFERROR(__xludf.DUMMYFUNCTION("IFERROR(VLOOKUP(E857&amp;F857,IMPORTRANGE(""https://docs.google.com/spreadsheets/d/1Uw7-A9f9R21vMXxHZFNpYNeKFtG8_yji4HS352LGlSQ/edit?pli=1#gid=0"",""1_ACUM!A4:S""),11,FALSE))"),"")</f>
        <v/>
      </c>
      <c r="AB834" s="42" t="str">
        <f ca="1">IFERROR(__xludf.DUMMYFUNCTION("IFERROR(VLOOKUP(F857,IMPORTRANGE(""https://docs.google.com/spreadsheets/d/1Kvs4KS76FHFqLFIZfrDMff4kP08nblUkihrxltoGBjg/edit#gid=934712705"",""ESENCIAL!A6:BG""),15,FALSE))"),"")</f>
        <v/>
      </c>
      <c r="AC834" s="110" t="str">
        <f ca="1">IFERROR(__xludf.DUMMYFUNCTION("IFERROR(VLOOKUP(E857&amp;F857,IMPORTRANGE(""https://docs.google.com/spreadsheets/d/1Uw7-A9f9R21vMXxHZFNpYNeKFtG8_yji4HS352LGlSQ/edit?pli=1#gid=0"",""1_ACUM!A4:S""),13,FALSE))"),"")</f>
        <v/>
      </c>
      <c r="AD834" s="43" t="str">
        <f ca="1">IFERROR(__xludf.DUMMYFUNCTION("IFERROR(VLOOKUP(E857&amp;F857,IMPORTRANGE(""https://docs.google.com/spreadsheets/d/1Uw7-A9f9R21vMXxHZFNpYNeKFtG8_yji4HS352LGlSQ/edit?pli=1#gid=0"",""1_ACUM!A4:S""),13,FALSE))"),"")</f>
        <v/>
      </c>
      <c r="AE834" s="43" t="str">
        <f ca="1">IFERROR(__xludf.DUMMYFUNCTION("IFERROR(VLOOKUP(E857&amp;F857,IMPORTRANGE(""https://docs.google.com/spreadsheets/d/1Uw7-A9f9R21vMXxHZFNpYNeKFtG8_yji4HS352LGlSQ/edit?pli=1#gid=0"",""1_ACUM!A4:S""),14,FALSE))"),"")</f>
        <v/>
      </c>
      <c r="AF834" s="43" t="str">
        <f ca="1">IFERROR(__xludf.DUMMYFUNCTION("IFERROR(VLOOKUP(E857&amp;F857,IMPORTRANGE(""https://docs.google.com/spreadsheets/d/1Uw7-A9f9R21vMXxHZFNpYNeKFtG8_yji4HS352LGlSQ/edit?pli=1#gid=0"",""1_ACUM!A4:S""),15,FALSE))"),"")</f>
        <v/>
      </c>
      <c r="AG834" s="43" t="str">
        <f ca="1">IFERROR(__xludf.DUMMYFUNCTION("IFERROR(VLOOKUP(E857&amp;F857,IMPORTRANGE(""https://docs.google.com/spreadsheets/d/1Uw7-A9f9R21vMXxHZFNpYNeKFtG8_yji4HS352LGlSQ/edit?pli=1#gid=0"",""1_ACUM!A4:S""),16,FALSE))"),"")</f>
        <v/>
      </c>
      <c r="AH834" s="43" t="str">
        <f ca="1">IFERROR(__xludf.DUMMYFUNCTION("IFERROR(VLOOKUP(E857&amp;F857,IMPORTRANGE(""https://docs.google.com/spreadsheets/d/1Uw7-A9f9R21vMXxHZFNpYNeKFtG8_yji4HS352LGlSQ/edit?pli=1#gid=0"",""1_ACUM!A4:S""),17,FALSE))"),"")</f>
        <v/>
      </c>
      <c r="AI834" s="44" t="str">
        <f ca="1">IFERROR(__xludf.DUMMYFUNCTION("IFERROR(VLOOKUP(E857&amp;F857,IMPORTRANGE(""https://docs.google.com/spreadsheets/d/1Uw7-A9f9R21vMXxHZFNpYNeKFtG8_yji4HS352LGlSQ/edit?pli=1#gid=0"",""1_ACUM!A4:S""),18,FALSE))"),"")</f>
        <v/>
      </c>
      <c r="AJ834" s="44" t="str">
        <f ca="1">IFERROR(__xludf.DUMMYFUNCTION("IFERROR(VLOOKUP(E857&amp;F857,IMPORTRANGE(""https://docs.google.com/spreadsheets/d/1Uw7-A9f9R21vMXxHZFNpYNeKFtG8_yji4HS352LGlSQ/edit?pli=1#gid=0"",""1_ACUM!A4:S""),19,FALSE))"),"")</f>
        <v/>
      </c>
      <c r="AK834" s="98" t="str">
        <f ca="1">IFERROR(__xludf.DUMMYFUNCTION("IFERROR(VLOOKUP(F857,IMPORTRANGE(""https://docs.google.com/spreadsheets/d/1Kvs4KS76FHFqLFIZfrDMff4kP08nblUkihrxltoGBjg/edit#gid=934712705"",""ESENCIAL!A6:BG""),5,FALSE))"),"")</f>
        <v/>
      </c>
      <c r="AL834" s="98" t="str">
        <f t="shared" ref="AL834:AL897" si="51">IF(F834&gt;0,EDATE(AK834,18),"")</f>
        <v/>
      </c>
      <c r="AM834" s="99" t="str">
        <f t="shared" ref="AM834:AM897" si="52">IF(F834&gt;0,IF(AL834&lt;$AM$1,"FINALIZAR FICHA","FICHA EN TIEMPO-18 MESES"),"")</f>
        <v/>
      </c>
      <c r="AN834" s="100" t="str">
        <f ca="1">IFERROR(__xludf.DUMMYFUNCTION("IFERROR(VLOOKUP(F857,IMPORTRANGE(""https://docs.google.com/spreadsheets/d/1Kvs4KS76FHFqLFIZfrDMff4kP08nblUkihrxltoGBjg/edit#gid=934712705"",""ESENCIAL!A6:BG""),2,FALSE))"),"")</f>
        <v/>
      </c>
      <c r="AO834" s="19" t="str">
        <f t="shared" si="46"/>
        <v/>
      </c>
      <c r="AP834" s="100"/>
      <c r="AQ834" s="100"/>
    </row>
    <row r="835" spans="1:43" ht="15">
      <c r="A835" s="5"/>
      <c r="B835" s="5"/>
      <c r="G835" s="5" t="str">
        <f ca="1">IFERROR(__xludf.DUMMYFUNCTION("IFERROR(VLOOKUP(F858,IMPORTRANGE(""https://docs.google.com/spreadsheets/d/1Kvs4KS76FHFqLFIZfrDMff4kP08nblUkihrxltoGBjg/edit#gid=934712705"",""ESENCIAL!A6:BG""),3,FALSE))"),"")</f>
        <v/>
      </c>
      <c r="H835" s="5" t="str">
        <f ca="1">IFERROR(__xludf.DUMMYFUNCTION("IFERROR(VLOOKUP(F858,IMPORTRANGE(""https://docs.google.com/spreadsheets/d/1Kvs4KS76FHFqLFIZfrDMff4kP08nblUkihrxltoGBjg/edit#gid=934712705"",""ESENCIAL!A6:BG""),8,FALSE))"),"")</f>
        <v/>
      </c>
      <c r="L835" s="40"/>
      <c r="Z835" s="41" t="str">
        <f t="shared" si="50"/>
        <v/>
      </c>
      <c r="AA835" s="5" t="str">
        <f ca="1">IFERROR(__xludf.DUMMYFUNCTION("IFERROR(VLOOKUP(E858&amp;F858,IMPORTRANGE(""https://docs.google.com/spreadsheets/d/1Uw7-A9f9R21vMXxHZFNpYNeKFtG8_yji4HS352LGlSQ/edit?pli=1#gid=0"",""1_ACUM!A4:S""),11,FALSE))"),"")</f>
        <v/>
      </c>
      <c r="AB835" s="42" t="str">
        <f ca="1">IFERROR(__xludf.DUMMYFUNCTION("IFERROR(VLOOKUP(F858,IMPORTRANGE(""https://docs.google.com/spreadsheets/d/1Kvs4KS76FHFqLFIZfrDMff4kP08nblUkihrxltoGBjg/edit#gid=934712705"",""ESENCIAL!A6:BG""),15,FALSE))"),"")</f>
        <v/>
      </c>
      <c r="AC835" s="110" t="str">
        <f ca="1">IFERROR(__xludf.DUMMYFUNCTION("IFERROR(VLOOKUP(E858&amp;F858,IMPORTRANGE(""https://docs.google.com/spreadsheets/d/1Uw7-A9f9R21vMXxHZFNpYNeKFtG8_yji4HS352LGlSQ/edit?pli=1#gid=0"",""1_ACUM!A4:S""),13,FALSE))"),"")</f>
        <v/>
      </c>
      <c r="AD835" s="43" t="str">
        <f ca="1">IFERROR(__xludf.DUMMYFUNCTION("IFERROR(VLOOKUP(E858&amp;F858,IMPORTRANGE(""https://docs.google.com/spreadsheets/d/1Uw7-A9f9R21vMXxHZFNpYNeKFtG8_yji4HS352LGlSQ/edit?pli=1#gid=0"",""1_ACUM!A4:S""),13,FALSE))"),"")</f>
        <v/>
      </c>
      <c r="AE835" s="43" t="str">
        <f ca="1">IFERROR(__xludf.DUMMYFUNCTION("IFERROR(VLOOKUP(E858&amp;F858,IMPORTRANGE(""https://docs.google.com/spreadsheets/d/1Uw7-A9f9R21vMXxHZFNpYNeKFtG8_yji4HS352LGlSQ/edit?pli=1#gid=0"",""1_ACUM!A4:S""),14,FALSE))"),"")</f>
        <v/>
      </c>
      <c r="AF835" s="43" t="str">
        <f ca="1">IFERROR(__xludf.DUMMYFUNCTION("IFERROR(VLOOKUP(E858&amp;F858,IMPORTRANGE(""https://docs.google.com/spreadsheets/d/1Uw7-A9f9R21vMXxHZFNpYNeKFtG8_yji4HS352LGlSQ/edit?pli=1#gid=0"",""1_ACUM!A4:S""),15,FALSE))"),"")</f>
        <v/>
      </c>
      <c r="AG835" s="43" t="str">
        <f ca="1">IFERROR(__xludf.DUMMYFUNCTION("IFERROR(VLOOKUP(E858&amp;F858,IMPORTRANGE(""https://docs.google.com/spreadsheets/d/1Uw7-A9f9R21vMXxHZFNpYNeKFtG8_yji4HS352LGlSQ/edit?pli=1#gid=0"",""1_ACUM!A4:S""),16,FALSE))"),"")</f>
        <v/>
      </c>
      <c r="AH835" s="43" t="str">
        <f ca="1">IFERROR(__xludf.DUMMYFUNCTION("IFERROR(VLOOKUP(E858&amp;F858,IMPORTRANGE(""https://docs.google.com/spreadsheets/d/1Uw7-A9f9R21vMXxHZFNpYNeKFtG8_yji4HS352LGlSQ/edit?pli=1#gid=0"",""1_ACUM!A4:S""),17,FALSE))"),"")</f>
        <v/>
      </c>
      <c r="AI835" s="44" t="str">
        <f ca="1">IFERROR(__xludf.DUMMYFUNCTION("IFERROR(VLOOKUP(E858&amp;F858,IMPORTRANGE(""https://docs.google.com/spreadsheets/d/1Uw7-A9f9R21vMXxHZFNpYNeKFtG8_yji4HS352LGlSQ/edit?pli=1#gid=0"",""1_ACUM!A4:S""),18,FALSE))"),"")</f>
        <v/>
      </c>
      <c r="AJ835" s="44" t="str">
        <f ca="1">IFERROR(__xludf.DUMMYFUNCTION("IFERROR(VLOOKUP(E858&amp;F858,IMPORTRANGE(""https://docs.google.com/spreadsheets/d/1Uw7-A9f9R21vMXxHZFNpYNeKFtG8_yji4HS352LGlSQ/edit?pli=1#gid=0"",""1_ACUM!A4:S""),19,FALSE))"),"")</f>
        <v/>
      </c>
      <c r="AK835" s="98" t="str">
        <f ca="1">IFERROR(__xludf.DUMMYFUNCTION("IFERROR(VLOOKUP(F858,IMPORTRANGE(""https://docs.google.com/spreadsheets/d/1Kvs4KS76FHFqLFIZfrDMff4kP08nblUkihrxltoGBjg/edit#gid=934712705"",""ESENCIAL!A6:BG""),5,FALSE))"),"")</f>
        <v/>
      </c>
      <c r="AL835" s="98" t="str">
        <f t="shared" si="51"/>
        <v/>
      </c>
      <c r="AM835" s="99" t="str">
        <f t="shared" si="52"/>
        <v/>
      </c>
      <c r="AN835" s="100" t="str">
        <f ca="1">IFERROR(__xludf.DUMMYFUNCTION("IFERROR(VLOOKUP(F858,IMPORTRANGE(""https://docs.google.com/spreadsheets/d/1Kvs4KS76FHFqLFIZfrDMff4kP08nblUkihrxltoGBjg/edit#gid=934712705"",""ESENCIAL!A6:BG""),2,FALSE))"),"")</f>
        <v/>
      </c>
      <c r="AO835" s="19" t="str">
        <f t="shared" si="46"/>
        <v/>
      </c>
      <c r="AP835" s="100"/>
      <c r="AQ835" s="100"/>
    </row>
    <row r="836" spans="1:43" ht="15">
      <c r="A836" s="5"/>
      <c r="B836" s="5"/>
      <c r="G836" s="5" t="str">
        <f ca="1">IFERROR(__xludf.DUMMYFUNCTION("IFERROR(VLOOKUP(F859,IMPORTRANGE(""https://docs.google.com/spreadsheets/d/1Kvs4KS76FHFqLFIZfrDMff4kP08nblUkihrxltoGBjg/edit#gid=934712705"",""ESENCIAL!A6:BG""),3,FALSE))"),"")</f>
        <v/>
      </c>
      <c r="H836" s="5" t="str">
        <f ca="1">IFERROR(__xludf.DUMMYFUNCTION("IFERROR(VLOOKUP(F859,IMPORTRANGE(""https://docs.google.com/spreadsheets/d/1Kvs4KS76FHFqLFIZfrDMff4kP08nblUkihrxltoGBjg/edit#gid=934712705"",""ESENCIAL!A6:BG""),8,FALSE))"),"")</f>
        <v/>
      </c>
      <c r="L836" s="40"/>
      <c r="Z836" s="41" t="str">
        <f t="shared" si="50"/>
        <v/>
      </c>
      <c r="AA836" s="5" t="str">
        <f ca="1">IFERROR(__xludf.DUMMYFUNCTION("IFERROR(VLOOKUP(E859&amp;F859,IMPORTRANGE(""https://docs.google.com/spreadsheets/d/1Uw7-A9f9R21vMXxHZFNpYNeKFtG8_yji4HS352LGlSQ/edit?pli=1#gid=0"",""1_ACUM!A4:S""),11,FALSE))"),"")</f>
        <v/>
      </c>
      <c r="AB836" s="42" t="str">
        <f ca="1">IFERROR(__xludf.DUMMYFUNCTION("IFERROR(VLOOKUP(F859,IMPORTRANGE(""https://docs.google.com/spreadsheets/d/1Kvs4KS76FHFqLFIZfrDMff4kP08nblUkihrxltoGBjg/edit#gid=934712705"",""ESENCIAL!A6:BG""),15,FALSE))"),"")</f>
        <v/>
      </c>
      <c r="AC836" s="110" t="str">
        <f ca="1">IFERROR(__xludf.DUMMYFUNCTION("IFERROR(VLOOKUP(E859&amp;F859,IMPORTRANGE(""https://docs.google.com/spreadsheets/d/1Uw7-A9f9R21vMXxHZFNpYNeKFtG8_yji4HS352LGlSQ/edit?pli=1#gid=0"",""1_ACUM!A4:S""),13,FALSE))"),"")</f>
        <v/>
      </c>
      <c r="AD836" s="43" t="str">
        <f ca="1">IFERROR(__xludf.DUMMYFUNCTION("IFERROR(VLOOKUP(E859&amp;F859,IMPORTRANGE(""https://docs.google.com/spreadsheets/d/1Uw7-A9f9R21vMXxHZFNpYNeKFtG8_yji4HS352LGlSQ/edit?pli=1#gid=0"",""1_ACUM!A4:S""),13,FALSE))"),"")</f>
        <v/>
      </c>
      <c r="AE836" s="43" t="str">
        <f ca="1">IFERROR(__xludf.DUMMYFUNCTION("IFERROR(VLOOKUP(E859&amp;F859,IMPORTRANGE(""https://docs.google.com/spreadsheets/d/1Uw7-A9f9R21vMXxHZFNpYNeKFtG8_yji4HS352LGlSQ/edit?pli=1#gid=0"",""1_ACUM!A4:S""),14,FALSE))"),"")</f>
        <v/>
      </c>
      <c r="AF836" s="43" t="str">
        <f ca="1">IFERROR(__xludf.DUMMYFUNCTION("IFERROR(VLOOKUP(E859&amp;F859,IMPORTRANGE(""https://docs.google.com/spreadsheets/d/1Uw7-A9f9R21vMXxHZFNpYNeKFtG8_yji4HS352LGlSQ/edit?pli=1#gid=0"",""1_ACUM!A4:S""),15,FALSE))"),"")</f>
        <v/>
      </c>
      <c r="AG836" s="43" t="str">
        <f ca="1">IFERROR(__xludf.DUMMYFUNCTION("IFERROR(VLOOKUP(E859&amp;F859,IMPORTRANGE(""https://docs.google.com/spreadsheets/d/1Uw7-A9f9R21vMXxHZFNpYNeKFtG8_yji4HS352LGlSQ/edit?pli=1#gid=0"",""1_ACUM!A4:S""),16,FALSE))"),"")</f>
        <v/>
      </c>
      <c r="AH836" s="43" t="str">
        <f ca="1">IFERROR(__xludf.DUMMYFUNCTION("IFERROR(VLOOKUP(E859&amp;F859,IMPORTRANGE(""https://docs.google.com/spreadsheets/d/1Uw7-A9f9R21vMXxHZFNpYNeKFtG8_yji4HS352LGlSQ/edit?pli=1#gid=0"",""1_ACUM!A4:S""),17,FALSE))"),"")</f>
        <v/>
      </c>
      <c r="AI836" s="44" t="str">
        <f ca="1">IFERROR(__xludf.DUMMYFUNCTION("IFERROR(VLOOKUP(E859&amp;F859,IMPORTRANGE(""https://docs.google.com/spreadsheets/d/1Uw7-A9f9R21vMXxHZFNpYNeKFtG8_yji4HS352LGlSQ/edit?pli=1#gid=0"",""1_ACUM!A4:S""),18,FALSE))"),"")</f>
        <v/>
      </c>
      <c r="AJ836" s="44" t="str">
        <f ca="1">IFERROR(__xludf.DUMMYFUNCTION("IFERROR(VLOOKUP(E859&amp;F859,IMPORTRANGE(""https://docs.google.com/spreadsheets/d/1Uw7-A9f9R21vMXxHZFNpYNeKFtG8_yji4HS352LGlSQ/edit?pli=1#gid=0"",""1_ACUM!A4:S""),19,FALSE))"),"")</f>
        <v/>
      </c>
      <c r="AK836" s="98" t="str">
        <f ca="1">IFERROR(__xludf.DUMMYFUNCTION("IFERROR(VLOOKUP(F859,IMPORTRANGE(""https://docs.google.com/spreadsheets/d/1Kvs4KS76FHFqLFIZfrDMff4kP08nblUkihrxltoGBjg/edit#gid=934712705"",""ESENCIAL!A6:BG""),5,FALSE))"),"")</f>
        <v/>
      </c>
      <c r="AL836" s="98" t="str">
        <f t="shared" si="51"/>
        <v/>
      </c>
      <c r="AM836" s="99" t="str">
        <f t="shared" si="52"/>
        <v/>
      </c>
      <c r="AN836" s="100" t="str">
        <f ca="1">IFERROR(__xludf.DUMMYFUNCTION("IFERROR(VLOOKUP(F859,IMPORTRANGE(""https://docs.google.com/spreadsheets/d/1Kvs4KS76FHFqLFIZfrDMff4kP08nblUkihrxltoGBjg/edit#gid=934712705"",""ESENCIAL!A6:BG""),2,FALSE))"),"")</f>
        <v/>
      </c>
      <c r="AO836" s="19" t="str">
        <f t="shared" si="46"/>
        <v/>
      </c>
      <c r="AP836" s="100"/>
      <c r="AQ836" s="100"/>
    </row>
    <row r="837" spans="1:43" ht="15">
      <c r="A837" s="5"/>
      <c r="B837" s="5"/>
      <c r="G837" s="5" t="str">
        <f ca="1">IFERROR(__xludf.DUMMYFUNCTION("IFERROR(VLOOKUP(F860,IMPORTRANGE(""https://docs.google.com/spreadsheets/d/1Kvs4KS76FHFqLFIZfrDMff4kP08nblUkihrxltoGBjg/edit#gid=934712705"",""ESENCIAL!A6:BG""),3,FALSE))"),"")</f>
        <v/>
      </c>
      <c r="H837" s="5" t="str">
        <f ca="1">IFERROR(__xludf.DUMMYFUNCTION("IFERROR(VLOOKUP(F860,IMPORTRANGE(""https://docs.google.com/spreadsheets/d/1Kvs4KS76FHFqLFIZfrDMff4kP08nblUkihrxltoGBjg/edit#gid=934712705"",""ESENCIAL!A6:BG""),8,FALSE))"),"")</f>
        <v/>
      </c>
      <c r="L837" s="40"/>
      <c r="Z837" s="41" t="str">
        <f t="shared" si="50"/>
        <v/>
      </c>
      <c r="AA837" s="5" t="str">
        <f ca="1">IFERROR(__xludf.DUMMYFUNCTION("IFERROR(VLOOKUP(E860&amp;F860,IMPORTRANGE(""https://docs.google.com/spreadsheets/d/1Uw7-A9f9R21vMXxHZFNpYNeKFtG8_yji4HS352LGlSQ/edit?pli=1#gid=0"",""1_ACUM!A4:S""),11,FALSE))"),"")</f>
        <v/>
      </c>
      <c r="AB837" s="42" t="str">
        <f ca="1">IFERROR(__xludf.DUMMYFUNCTION("IFERROR(VLOOKUP(F860,IMPORTRANGE(""https://docs.google.com/spreadsheets/d/1Kvs4KS76FHFqLFIZfrDMff4kP08nblUkihrxltoGBjg/edit#gid=934712705"",""ESENCIAL!A6:BG""),15,FALSE))"),"")</f>
        <v/>
      </c>
      <c r="AC837" s="110" t="str">
        <f ca="1">IFERROR(__xludf.DUMMYFUNCTION("IFERROR(VLOOKUP(E860&amp;F860,IMPORTRANGE(""https://docs.google.com/spreadsheets/d/1Uw7-A9f9R21vMXxHZFNpYNeKFtG8_yji4HS352LGlSQ/edit?pli=1#gid=0"",""1_ACUM!A4:S""),13,FALSE))"),"")</f>
        <v/>
      </c>
      <c r="AD837" s="43" t="str">
        <f ca="1">IFERROR(__xludf.DUMMYFUNCTION("IFERROR(VLOOKUP(E860&amp;F860,IMPORTRANGE(""https://docs.google.com/spreadsheets/d/1Uw7-A9f9R21vMXxHZFNpYNeKFtG8_yji4HS352LGlSQ/edit?pli=1#gid=0"",""1_ACUM!A4:S""),13,FALSE))"),"")</f>
        <v/>
      </c>
      <c r="AE837" s="43" t="str">
        <f ca="1">IFERROR(__xludf.DUMMYFUNCTION("IFERROR(VLOOKUP(E860&amp;F860,IMPORTRANGE(""https://docs.google.com/spreadsheets/d/1Uw7-A9f9R21vMXxHZFNpYNeKFtG8_yji4HS352LGlSQ/edit?pli=1#gid=0"",""1_ACUM!A4:S""),14,FALSE))"),"")</f>
        <v/>
      </c>
      <c r="AF837" s="43" t="str">
        <f ca="1">IFERROR(__xludf.DUMMYFUNCTION("IFERROR(VLOOKUP(E860&amp;F860,IMPORTRANGE(""https://docs.google.com/spreadsheets/d/1Uw7-A9f9R21vMXxHZFNpYNeKFtG8_yji4HS352LGlSQ/edit?pli=1#gid=0"",""1_ACUM!A4:S""),15,FALSE))"),"")</f>
        <v/>
      </c>
      <c r="AG837" s="43" t="str">
        <f ca="1">IFERROR(__xludf.DUMMYFUNCTION("IFERROR(VLOOKUP(E860&amp;F860,IMPORTRANGE(""https://docs.google.com/spreadsheets/d/1Uw7-A9f9R21vMXxHZFNpYNeKFtG8_yji4HS352LGlSQ/edit?pli=1#gid=0"",""1_ACUM!A4:S""),16,FALSE))"),"")</f>
        <v/>
      </c>
      <c r="AH837" s="43" t="str">
        <f ca="1">IFERROR(__xludf.DUMMYFUNCTION("IFERROR(VLOOKUP(E860&amp;F860,IMPORTRANGE(""https://docs.google.com/spreadsheets/d/1Uw7-A9f9R21vMXxHZFNpYNeKFtG8_yji4HS352LGlSQ/edit?pli=1#gid=0"",""1_ACUM!A4:S""),17,FALSE))"),"")</f>
        <v/>
      </c>
      <c r="AI837" s="44" t="str">
        <f ca="1">IFERROR(__xludf.DUMMYFUNCTION("IFERROR(VLOOKUP(E860&amp;F860,IMPORTRANGE(""https://docs.google.com/spreadsheets/d/1Uw7-A9f9R21vMXxHZFNpYNeKFtG8_yji4HS352LGlSQ/edit?pli=1#gid=0"",""1_ACUM!A4:S""),18,FALSE))"),"")</f>
        <v/>
      </c>
      <c r="AJ837" s="44" t="str">
        <f ca="1">IFERROR(__xludf.DUMMYFUNCTION("IFERROR(VLOOKUP(E860&amp;F860,IMPORTRANGE(""https://docs.google.com/spreadsheets/d/1Uw7-A9f9R21vMXxHZFNpYNeKFtG8_yji4HS352LGlSQ/edit?pli=1#gid=0"",""1_ACUM!A4:S""),19,FALSE))"),"")</f>
        <v/>
      </c>
      <c r="AK837" s="98" t="str">
        <f ca="1">IFERROR(__xludf.DUMMYFUNCTION("IFERROR(VLOOKUP(F860,IMPORTRANGE(""https://docs.google.com/spreadsheets/d/1Kvs4KS76FHFqLFIZfrDMff4kP08nblUkihrxltoGBjg/edit#gid=934712705"",""ESENCIAL!A6:BG""),5,FALSE))"),"")</f>
        <v/>
      </c>
      <c r="AL837" s="98" t="str">
        <f t="shared" si="51"/>
        <v/>
      </c>
      <c r="AM837" s="99" t="str">
        <f t="shared" si="52"/>
        <v/>
      </c>
      <c r="AN837" s="100" t="str">
        <f ca="1">IFERROR(__xludf.DUMMYFUNCTION("IFERROR(VLOOKUP(F860,IMPORTRANGE(""https://docs.google.com/spreadsheets/d/1Kvs4KS76FHFqLFIZfrDMff4kP08nblUkihrxltoGBjg/edit#gid=934712705"",""ESENCIAL!A6:BG""),2,FALSE))"),"")</f>
        <v/>
      </c>
      <c r="AO837" s="19" t="str">
        <f t="shared" si="46"/>
        <v/>
      </c>
      <c r="AP837" s="100"/>
      <c r="AQ837" s="100"/>
    </row>
    <row r="838" spans="1:43" ht="15">
      <c r="A838" s="5"/>
      <c r="B838" s="5"/>
      <c r="G838" s="5" t="str">
        <f ca="1">IFERROR(__xludf.DUMMYFUNCTION("IFERROR(VLOOKUP(F861,IMPORTRANGE(""https://docs.google.com/spreadsheets/d/1Kvs4KS76FHFqLFIZfrDMff4kP08nblUkihrxltoGBjg/edit#gid=934712705"",""ESENCIAL!A6:BG""),3,FALSE))"),"")</f>
        <v/>
      </c>
      <c r="H838" s="5" t="str">
        <f ca="1">IFERROR(__xludf.DUMMYFUNCTION("IFERROR(VLOOKUP(F861,IMPORTRANGE(""https://docs.google.com/spreadsheets/d/1Kvs4KS76FHFqLFIZfrDMff4kP08nblUkihrxltoGBjg/edit#gid=934712705"",""ESENCIAL!A6:BG""),8,FALSE))"),"")</f>
        <v/>
      </c>
      <c r="L838" s="40"/>
      <c r="Z838" s="41" t="str">
        <f t="shared" si="50"/>
        <v/>
      </c>
      <c r="AA838" s="5" t="str">
        <f ca="1">IFERROR(__xludf.DUMMYFUNCTION("IFERROR(VLOOKUP(E861&amp;F861,IMPORTRANGE(""https://docs.google.com/spreadsheets/d/1Uw7-A9f9R21vMXxHZFNpYNeKFtG8_yji4HS352LGlSQ/edit?pli=1#gid=0"",""1_ACUM!A4:S""),11,FALSE))"),"")</f>
        <v/>
      </c>
      <c r="AB838" s="42" t="str">
        <f ca="1">IFERROR(__xludf.DUMMYFUNCTION("IFERROR(VLOOKUP(F861,IMPORTRANGE(""https://docs.google.com/spreadsheets/d/1Kvs4KS76FHFqLFIZfrDMff4kP08nblUkihrxltoGBjg/edit#gid=934712705"",""ESENCIAL!A6:BG""),15,FALSE))"),"")</f>
        <v/>
      </c>
      <c r="AC838" s="110" t="str">
        <f ca="1">IFERROR(__xludf.DUMMYFUNCTION("IFERROR(VLOOKUP(E861&amp;F861,IMPORTRANGE(""https://docs.google.com/spreadsheets/d/1Uw7-A9f9R21vMXxHZFNpYNeKFtG8_yji4HS352LGlSQ/edit?pli=1#gid=0"",""1_ACUM!A4:S""),13,FALSE))"),"")</f>
        <v/>
      </c>
      <c r="AD838" s="43" t="str">
        <f ca="1">IFERROR(__xludf.DUMMYFUNCTION("IFERROR(VLOOKUP(E861&amp;F861,IMPORTRANGE(""https://docs.google.com/spreadsheets/d/1Uw7-A9f9R21vMXxHZFNpYNeKFtG8_yji4HS352LGlSQ/edit?pli=1#gid=0"",""1_ACUM!A4:S""),13,FALSE))"),"")</f>
        <v/>
      </c>
      <c r="AE838" s="43" t="str">
        <f ca="1">IFERROR(__xludf.DUMMYFUNCTION("IFERROR(VLOOKUP(E861&amp;F861,IMPORTRANGE(""https://docs.google.com/spreadsheets/d/1Uw7-A9f9R21vMXxHZFNpYNeKFtG8_yji4HS352LGlSQ/edit?pli=1#gid=0"",""1_ACUM!A4:S""),14,FALSE))"),"")</f>
        <v/>
      </c>
      <c r="AF838" s="43" t="str">
        <f ca="1">IFERROR(__xludf.DUMMYFUNCTION("IFERROR(VLOOKUP(E861&amp;F861,IMPORTRANGE(""https://docs.google.com/spreadsheets/d/1Uw7-A9f9R21vMXxHZFNpYNeKFtG8_yji4HS352LGlSQ/edit?pli=1#gid=0"",""1_ACUM!A4:S""),15,FALSE))"),"")</f>
        <v/>
      </c>
      <c r="AG838" s="43" t="str">
        <f ca="1">IFERROR(__xludf.DUMMYFUNCTION("IFERROR(VLOOKUP(E861&amp;F861,IMPORTRANGE(""https://docs.google.com/spreadsheets/d/1Uw7-A9f9R21vMXxHZFNpYNeKFtG8_yji4HS352LGlSQ/edit?pli=1#gid=0"",""1_ACUM!A4:S""),16,FALSE))"),"")</f>
        <v/>
      </c>
      <c r="AH838" s="43" t="str">
        <f ca="1">IFERROR(__xludf.DUMMYFUNCTION("IFERROR(VLOOKUP(E861&amp;F861,IMPORTRANGE(""https://docs.google.com/spreadsheets/d/1Uw7-A9f9R21vMXxHZFNpYNeKFtG8_yji4HS352LGlSQ/edit?pli=1#gid=0"",""1_ACUM!A4:S""),17,FALSE))"),"")</f>
        <v/>
      </c>
      <c r="AI838" s="44" t="str">
        <f ca="1">IFERROR(__xludf.DUMMYFUNCTION("IFERROR(VLOOKUP(E861&amp;F861,IMPORTRANGE(""https://docs.google.com/spreadsheets/d/1Uw7-A9f9R21vMXxHZFNpYNeKFtG8_yji4HS352LGlSQ/edit?pli=1#gid=0"",""1_ACUM!A4:S""),18,FALSE))"),"")</f>
        <v/>
      </c>
      <c r="AJ838" s="44" t="str">
        <f ca="1">IFERROR(__xludf.DUMMYFUNCTION("IFERROR(VLOOKUP(E861&amp;F861,IMPORTRANGE(""https://docs.google.com/spreadsheets/d/1Uw7-A9f9R21vMXxHZFNpYNeKFtG8_yji4HS352LGlSQ/edit?pli=1#gid=0"",""1_ACUM!A4:S""),19,FALSE))"),"")</f>
        <v/>
      </c>
      <c r="AK838" s="98" t="str">
        <f ca="1">IFERROR(__xludf.DUMMYFUNCTION("IFERROR(VLOOKUP(F861,IMPORTRANGE(""https://docs.google.com/spreadsheets/d/1Kvs4KS76FHFqLFIZfrDMff4kP08nblUkihrxltoGBjg/edit#gid=934712705"",""ESENCIAL!A6:BG""),5,FALSE))"),"")</f>
        <v/>
      </c>
      <c r="AL838" s="98" t="str">
        <f t="shared" si="51"/>
        <v/>
      </c>
      <c r="AM838" s="99" t="str">
        <f t="shared" si="52"/>
        <v/>
      </c>
      <c r="AN838" s="100" t="str">
        <f ca="1">IFERROR(__xludf.DUMMYFUNCTION("IFERROR(VLOOKUP(F861,IMPORTRANGE(""https://docs.google.com/spreadsheets/d/1Kvs4KS76FHFqLFIZfrDMff4kP08nblUkihrxltoGBjg/edit#gid=934712705"",""ESENCIAL!A6:BG""),2,FALSE))"),"")</f>
        <v/>
      </c>
      <c r="AO838" s="19" t="str">
        <f t="shared" si="46"/>
        <v/>
      </c>
      <c r="AP838" s="100"/>
      <c r="AQ838" s="100"/>
    </row>
    <row r="839" spans="1:43" ht="15">
      <c r="A839" s="5"/>
      <c r="B839" s="5"/>
      <c r="G839" s="5" t="str">
        <f ca="1">IFERROR(__xludf.DUMMYFUNCTION("IFERROR(VLOOKUP(F862,IMPORTRANGE(""https://docs.google.com/spreadsheets/d/1Kvs4KS76FHFqLFIZfrDMff4kP08nblUkihrxltoGBjg/edit#gid=934712705"",""ESENCIAL!A6:BG""),3,FALSE))"),"")</f>
        <v/>
      </c>
      <c r="H839" s="5" t="str">
        <f ca="1">IFERROR(__xludf.DUMMYFUNCTION("IFERROR(VLOOKUP(F862,IMPORTRANGE(""https://docs.google.com/spreadsheets/d/1Kvs4KS76FHFqLFIZfrDMff4kP08nblUkihrxltoGBjg/edit#gid=934712705"",""ESENCIAL!A6:BG""),8,FALSE))"),"")</f>
        <v/>
      </c>
      <c r="L839" s="40"/>
      <c r="Z839" s="41" t="str">
        <f t="shared" si="50"/>
        <v/>
      </c>
      <c r="AA839" s="5" t="str">
        <f ca="1">IFERROR(__xludf.DUMMYFUNCTION("IFERROR(VLOOKUP(E862&amp;F862,IMPORTRANGE(""https://docs.google.com/spreadsheets/d/1Uw7-A9f9R21vMXxHZFNpYNeKFtG8_yji4HS352LGlSQ/edit?pli=1#gid=0"",""1_ACUM!A4:S""),11,FALSE))"),"")</f>
        <v/>
      </c>
      <c r="AB839" s="42" t="str">
        <f ca="1">IFERROR(__xludf.DUMMYFUNCTION("IFERROR(VLOOKUP(F862,IMPORTRANGE(""https://docs.google.com/spreadsheets/d/1Kvs4KS76FHFqLFIZfrDMff4kP08nblUkihrxltoGBjg/edit#gid=934712705"",""ESENCIAL!A6:BG""),15,FALSE))"),"")</f>
        <v/>
      </c>
      <c r="AC839" s="110" t="str">
        <f ca="1">IFERROR(__xludf.DUMMYFUNCTION("IFERROR(VLOOKUP(E862&amp;F862,IMPORTRANGE(""https://docs.google.com/spreadsheets/d/1Uw7-A9f9R21vMXxHZFNpYNeKFtG8_yji4HS352LGlSQ/edit?pli=1#gid=0"",""1_ACUM!A4:S""),13,FALSE))"),"")</f>
        <v/>
      </c>
      <c r="AD839" s="43" t="str">
        <f ca="1">IFERROR(__xludf.DUMMYFUNCTION("IFERROR(VLOOKUP(E862&amp;F862,IMPORTRANGE(""https://docs.google.com/spreadsheets/d/1Uw7-A9f9R21vMXxHZFNpYNeKFtG8_yji4HS352LGlSQ/edit?pli=1#gid=0"",""1_ACUM!A4:S""),13,FALSE))"),"")</f>
        <v/>
      </c>
      <c r="AE839" s="43" t="str">
        <f ca="1">IFERROR(__xludf.DUMMYFUNCTION("IFERROR(VLOOKUP(E862&amp;F862,IMPORTRANGE(""https://docs.google.com/spreadsheets/d/1Uw7-A9f9R21vMXxHZFNpYNeKFtG8_yji4HS352LGlSQ/edit?pli=1#gid=0"",""1_ACUM!A4:S""),14,FALSE))"),"")</f>
        <v/>
      </c>
      <c r="AF839" s="43" t="str">
        <f ca="1">IFERROR(__xludf.DUMMYFUNCTION("IFERROR(VLOOKUP(E862&amp;F862,IMPORTRANGE(""https://docs.google.com/spreadsheets/d/1Uw7-A9f9R21vMXxHZFNpYNeKFtG8_yji4HS352LGlSQ/edit?pli=1#gid=0"",""1_ACUM!A4:S""),15,FALSE))"),"")</f>
        <v/>
      </c>
      <c r="AG839" s="43" t="str">
        <f ca="1">IFERROR(__xludf.DUMMYFUNCTION("IFERROR(VLOOKUP(E862&amp;F862,IMPORTRANGE(""https://docs.google.com/spreadsheets/d/1Uw7-A9f9R21vMXxHZFNpYNeKFtG8_yji4HS352LGlSQ/edit?pli=1#gid=0"",""1_ACUM!A4:S""),16,FALSE))"),"")</f>
        <v/>
      </c>
      <c r="AH839" s="43" t="str">
        <f ca="1">IFERROR(__xludf.DUMMYFUNCTION("IFERROR(VLOOKUP(E862&amp;F862,IMPORTRANGE(""https://docs.google.com/spreadsheets/d/1Uw7-A9f9R21vMXxHZFNpYNeKFtG8_yji4HS352LGlSQ/edit?pli=1#gid=0"",""1_ACUM!A4:S""),17,FALSE))"),"")</f>
        <v/>
      </c>
      <c r="AI839" s="44" t="str">
        <f ca="1">IFERROR(__xludf.DUMMYFUNCTION("IFERROR(VLOOKUP(E862&amp;F862,IMPORTRANGE(""https://docs.google.com/spreadsheets/d/1Uw7-A9f9R21vMXxHZFNpYNeKFtG8_yji4HS352LGlSQ/edit?pli=1#gid=0"",""1_ACUM!A4:S""),18,FALSE))"),"")</f>
        <v/>
      </c>
      <c r="AJ839" s="44" t="str">
        <f ca="1">IFERROR(__xludf.DUMMYFUNCTION("IFERROR(VLOOKUP(E862&amp;F862,IMPORTRANGE(""https://docs.google.com/spreadsheets/d/1Uw7-A9f9R21vMXxHZFNpYNeKFtG8_yji4HS352LGlSQ/edit?pli=1#gid=0"",""1_ACUM!A4:S""),19,FALSE))"),"")</f>
        <v/>
      </c>
      <c r="AK839" s="98" t="str">
        <f ca="1">IFERROR(__xludf.DUMMYFUNCTION("IFERROR(VLOOKUP(F862,IMPORTRANGE(""https://docs.google.com/spreadsheets/d/1Kvs4KS76FHFqLFIZfrDMff4kP08nblUkihrxltoGBjg/edit#gid=934712705"",""ESENCIAL!A6:BG""),5,FALSE))"),"")</f>
        <v/>
      </c>
      <c r="AL839" s="98" t="str">
        <f t="shared" si="51"/>
        <v/>
      </c>
      <c r="AM839" s="99" t="str">
        <f t="shared" si="52"/>
        <v/>
      </c>
      <c r="AN839" s="100" t="str">
        <f ca="1">IFERROR(__xludf.DUMMYFUNCTION("IFERROR(VLOOKUP(F862,IMPORTRANGE(""https://docs.google.com/spreadsheets/d/1Kvs4KS76FHFqLFIZfrDMff4kP08nblUkihrxltoGBjg/edit#gid=934712705"",""ESENCIAL!A6:BG""),2,FALSE))"),"")</f>
        <v/>
      </c>
      <c r="AO839" s="19" t="str">
        <f t="shared" si="46"/>
        <v/>
      </c>
      <c r="AP839" s="100"/>
      <c r="AQ839" s="100"/>
    </row>
    <row r="840" spans="1:43" ht="15">
      <c r="A840" s="5"/>
      <c r="B840" s="5"/>
      <c r="G840" s="5" t="str">
        <f ca="1">IFERROR(__xludf.DUMMYFUNCTION("IFERROR(VLOOKUP(F863,IMPORTRANGE(""https://docs.google.com/spreadsheets/d/1Kvs4KS76FHFqLFIZfrDMff4kP08nblUkihrxltoGBjg/edit#gid=934712705"",""ESENCIAL!A6:BG""),3,FALSE))"),"")</f>
        <v/>
      </c>
      <c r="H840" s="5" t="str">
        <f ca="1">IFERROR(__xludf.DUMMYFUNCTION("IFERROR(VLOOKUP(F863,IMPORTRANGE(""https://docs.google.com/spreadsheets/d/1Kvs4KS76FHFqLFIZfrDMff4kP08nblUkihrxltoGBjg/edit#gid=934712705"",""ESENCIAL!A6:BG""),8,FALSE))"),"")</f>
        <v/>
      </c>
      <c r="L840" s="40"/>
      <c r="Z840" s="41" t="str">
        <f t="shared" si="50"/>
        <v/>
      </c>
      <c r="AA840" s="5" t="str">
        <f ca="1">IFERROR(__xludf.DUMMYFUNCTION("IFERROR(VLOOKUP(E863&amp;F863,IMPORTRANGE(""https://docs.google.com/spreadsheets/d/1Uw7-A9f9R21vMXxHZFNpYNeKFtG8_yji4HS352LGlSQ/edit?pli=1#gid=0"",""1_ACUM!A4:S""),11,FALSE))"),"")</f>
        <v/>
      </c>
      <c r="AB840" s="42" t="str">
        <f ca="1">IFERROR(__xludf.DUMMYFUNCTION("IFERROR(VLOOKUP(F863,IMPORTRANGE(""https://docs.google.com/spreadsheets/d/1Kvs4KS76FHFqLFIZfrDMff4kP08nblUkihrxltoGBjg/edit#gid=934712705"",""ESENCIAL!A6:BG""),15,FALSE))"),"")</f>
        <v/>
      </c>
      <c r="AC840" s="110" t="str">
        <f ca="1">IFERROR(__xludf.DUMMYFUNCTION("IFERROR(VLOOKUP(E863&amp;F863,IMPORTRANGE(""https://docs.google.com/spreadsheets/d/1Uw7-A9f9R21vMXxHZFNpYNeKFtG8_yji4HS352LGlSQ/edit?pli=1#gid=0"",""1_ACUM!A4:S""),13,FALSE))"),"")</f>
        <v/>
      </c>
      <c r="AD840" s="43" t="str">
        <f ca="1">IFERROR(__xludf.DUMMYFUNCTION("IFERROR(VLOOKUP(E863&amp;F863,IMPORTRANGE(""https://docs.google.com/spreadsheets/d/1Uw7-A9f9R21vMXxHZFNpYNeKFtG8_yji4HS352LGlSQ/edit?pli=1#gid=0"",""1_ACUM!A4:S""),13,FALSE))"),"")</f>
        <v/>
      </c>
      <c r="AE840" s="43" t="str">
        <f ca="1">IFERROR(__xludf.DUMMYFUNCTION("IFERROR(VLOOKUP(E863&amp;F863,IMPORTRANGE(""https://docs.google.com/spreadsheets/d/1Uw7-A9f9R21vMXxHZFNpYNeKFtG8_yji4HS352LGlSQ/edit?pli=1#gid=0"",""1_ACUM!A4:S""),14,FALSE))"),"")</f>
        <v/>
      </c>
      <c r="AF840" s="43" t="str">
        <f ca="1">IFERROR(__xludf.DUMMYFUNCTION("IFERROR(VLOOKUP(E863&amp;F863,IMPORTRANGE(""https://docs.google.com/spreadsheets/d/1Uw7-A9f9R21vMXxHZFNpYNeKFtG8_yji4HS352LGlSQ/edit?pli=1#gid=0"",""1_ACUM!A4:S""),15,FALSE))"),"")</f>
        <v/>
      </c>
      <c r="AG840" s="43" t="str">
        <f ca="1">IFERROR(__xludf.DUMMYFUNCTION("IFERROR(VLOOKUP(E863&amp;F863,IMPORTRANGE(""https://docs.google.com/spreadsheets/d/1Uw7-A9f9R21vMXxHZFNpYNeKFtG8_yji4HS352LGlSQ/edit?pli=1#gid=0"",""1_ACUM!A4:S""),16,FALSE))"),"")</f>
        <v/>
      </c>
      <c r="AH840" s="43" t="str">
        <f ca="1">IFERROR(__xludf.DUMMYFUNCTION("IFERROR(VLOOKUP(E863&amp;F863,IMPORTRANGE(""https://docs.google.com/spreadsheets/d/1Uw7-A9f9R21vMXxHZFNpYNeKFtG8_yji4HS352LGlSQ/edit?pli=1#gid=0"",""1_ACUM!A4:S""),17,FALSE))"),"")</f>
        <v/>
      </c>
      <c r="AI840" s="44" t="str">
        <f ca="1">IFERROR(__xludf.DUMMYFUNCTION("IFERROR(VLOOKUP(E863&amp;F863,IMPORTRANGE(""https://docs.google.com/spreadsheets/d/1Uw7-A9f9R21vMXxHZFNpYNeKFtG8_yji4HS352LGlSQ/edit?pli=1#gid=0"",""1_ACUM!A4:S""),18,FALSE))"),"")</f>
        <v/>
      </c>
      <c r="AJ840" s="44" t="str">
        <f ca="1">IFERROR(__xludf.DUMMYFUNCTION("IFERROR(VLOOKUP(E863&amp;F863,IMPORTRANGE(""https://docs.google.com/spreadsheets/d/1Uw7-A9f9R21vMXxHZFNpYNeKFtG8_yji4HS352LGlSQ/edit?pli=1#gid=0"",""1_ACUM!A4:S""),19,FALSE))"),"")</f>
        <v/>
      </c>
      <c r="AK840" s="98" t="str">
        <f ca="1">IFERROR(__xludf.DUMMYFUNCTION("IFERROR(VLOOKUP(F863,IMPORTRANGE(""https://docs.google.com/spreadsheets/d/1Kvs4KS76FHFqLFIZfrDMff4kP08nblUkihrxltoGBjg/edit#gid=934712705"",""ESENCIAL!A6:BG""),5,FALSE))"),"")</f>
        <v/>
      </c>
      <c r="AL840" s="98" t="str">
        <f t="shared" si="51"/>
        <v/>
      </c>
      <c r="AM840" s="99" t="str">
        <f t="shared" si="52"/>
        <v/>
      </c>
      <c r="AN840" s="100" t="str">
        <f ca="1">IFERROR(__xludf.DUMMYFUNCTION("IFERROR(VLOOKUP(F863,IMPORTRANGE(""https://docs.google.com/spreadsheets/d/1Kvs4KS76FHFqLFIZfrDMff4kP08nblUkihrxltoGBjg/edit#gid=934712705"",""ESENCIAL!A6:BG""),2,FALSE))"),"")</f>
        <v/>
      </c>
      <c r="AO840" s="19" t="str">
        <f t="shared" si="46"/>
        <v/>
      </c>
      <c r="AP840" s="100"/>
      <c r="AQ840" s="100"/>
    </row>
    <row r="841" spans="1:43" ht="15">
      <c r="A841" s="5"/>
      <c r="B841" s="5"/>
      <c r="G841" s="5" t="str">
        <f ca="1">IFERROR(__xludf.DUMMYFUNCTION("IFERROR(VLOOKUP(F864,IMPORTRANGE(""https://docs.google.com/spreadsheets/d/1Kvs4KS76FHFqLFIZfrDMff4kP08nblUkihrxltoGBjg/edit#gid=934712705"",""ESENCIAL!A6:BG""),3,FALSE))"),"")</f>
        <v/>
      </c>
      <c r="H841" s="5" t="str">
        <f ca="1">IFERROR(__xludf.DUMMYFUNCTION("IFERROR(VLOOKUP(F864,IMPORTRANGE(""https://docs.google.com/spreadsheets/d/1Kvs4KS76FHFqLFIZfrDMff4kP08nblUkihrxltoGBjg/edit#gid=934712705"",""ESENCIAL!A6:BG""),8,FALSE))"),"")</f>
        <v/>
      </c>
      <c r="L841" s="40"/>
      <c r="Z841" s="41" t="str">
        <f t="shared" si="50"/>
        <v/>
      </c>
      <c r="AA841" s="5" t="str">
        <f ca="1">IFERROR(__xludf.DUMMYFUNCTION("IFERROR(VLOOKUP(E864&amp;F864,IMPORTRANGE(""https://docs.google.com/spreadsheets/d/1Uw7-A9f9R21vMXxHZFNpYNeKFtG8_yji4HS352LGlSQ/edit?pli=1#gid=0"",""1_ACUM!A4:S""),11,FALSE))"),"")</f>
        <v/>
      </c>
      <c r="AB841" s="42" t="str">
        <f ca="1">IFERROR(__xludf.DUMMYFUNCTION("IFERROR(VLOOKUP(F864,IMPORTRANGE(""https://docs.google.com/spreadsheets/d/1Kvs4KS76FHFqLFIZfrDMff4kP08nblUkihrxltoGBjg/edit#gid=934712705"",""ESENCIAL!A6:BG""),15,FALSE))"),"")</f>
        <v/>
      </c>
      <c r="AC841" s="110" t="str">
        <f ca="1">IFERROR(__xludf.DUMMYFUNCTION("IFERROR(VLOOKUP(E864&amp;F864,IMPORTRANGE(""https://docs.google.com/spreadsheets/d/1Uw7-A9f9R21vMXxHZFNpYNeKFtG8_yji4HS352LGlSQ/edit?pli=1#gid=0"",""1_ACUM!A4:S""),13,FALSE))"),"")</f>
        <v/>
      </c>
      <c r="AD841" s="43" t="str">
        <f ca="1">IFERROR(__xludf.DUMMYFUNCTION("IFERROR(VLOOKUP(E864&amp;F864,IMPORTRANGE(""https://docs.google.com/spreadsheets/d/1Uw7-A9f9R21vMXxHZFNpYNeKFtG8_yji4HS352LGlSQ/edit?pli=1#gid=0"",""1_ACUM!A4:S""),13,FALSE))"),"")</f>
        <v/>
      </c>
      <c r="AE841" s="43" t="str">
        <f ca="1">IFERROR(__xludf.DUMMYFUNCTION("IFERROR(VLOOKUP(E864&amp;F864,IMPORTRANGE(""https://docs.google.com/spreadsheets/d/1Uw7-A9f9R21vMXxHZFNpYNeKFtG8_yji4HS352LGlSQ/edit?pli=1#gid=0"",""1_ACUM!A4:S""),14,FALSE))"),"")</f>
        <v/>
      </c>
      <c r="AF841" s="43" t="str">
        <f ca="1">IFERROR(__xludf.DUMMYFUNCTION("IFERROR(VLOOKUP(E864&amp;F864,IMPORTRANGE(""https://docs.google.com/spreadsheets/d/1Uw7-A9f9R21vMXxHZFNpYNeKFtG8_yji4HS352LGlSQ/edit?pli=1#gid=0"",""1_ACUM!A4:S""),15,FALSE))"),"")</f>
        <v/>
      </c>
      <c r="AG841" s="43" t="str">
        <f ca="1">IFERROR(__xludf.DUMMYFUNCTION("IFERROR(VLOOKUP(E864&amp;F864,IMPORTRANGE(""https://docs.google.com/spreadsheets/d/1Uw7-A9f9R21vMXxHZFNpYNeKFtG8_yji4HS352LGlSQ/edit?pli=1#gid=0"",""1_ACUM!A4:S""),16,FALSE))"),"")</f>
        <v/>
      </c>
      <c r="AH841" s="43" t="str">
        <f ca="1">IFERROR(__xludf.DUMMYFUNCTION("IFERROR(VLOOKUP(E864&amp;F864,IMPORTRANGE(""https://docs.google.com/spreadsheets/d/1Uw7-A9f9R21vMXxHZFNpYNeKFtG8_yji4HS352LGlSQ/edit?pli=1#gid=0"",""1_ACUM!A4:S""),17,FALSE))"),"")</f>
        <v/>
      </c>
      <c r="AI841" s="44" t="str">
        <f ca="1">IFERROR(__xludf.DUMMYFUNCTION("IFERROR(VLOOKUP(E864&amp;F864,IMPORTRANGE(""https://docs.google.com/spreadsheets/d/1Uw7-A9f9R21vMXxHZFNpYNeKFtG8_yji4HS352LGlSQ/edit?pli=1#gid=0"",""1_ACUM!A4:S""),18,FALSE))"),"")</f>
        <v/>
      </c>
      <c r="AJ841" s="44" t="str">
        <f ca="1">IFERROR(__xludf.DUMMYFUNCTION("IFERROR(VLOOKUP(E864&amp;F864,IMPORTRANGE(""https://docs.google.com/spreadsheets/d/1Uw7-A9f9R21vMXxHZFNpYNeKFtG8_yji4HS352LGlSQ/edit?pli=1#gid=0"",""1_ACUM!A4:S""),19,FALSE))"),"")</f>
        <v/>
      </c>
      <c r="AK841" s="98" t="str">
        <f ca="1">IFERROR(__xludf.DUMMYFUNCTION("IFERROR(VLOOKUP(F864,IMPORTRANGE(""https://docs.google.com/spreadsheets/d/1Kvs4KS76FHFqLFIZfrDMff4kP08nblUkihrxltoGBjg/edit#gid=934712705"",""ESENCIAL!A6:BG""),5,FALSE))"),"")</f>
        <v/>
      </c>
      <c r="AL841" s="98" t="str">
        <f t="shared" si="51"/>
        <v/>
      </c>
      <c r="AM841" s="99" t="str">
        <f t="shared" si="52"/>
        <v/>
      </c>
      <c r="AN841" s="100" t="str">
        <f ca="1">IFERROR(__xludf.DUMMYFUNCTION("IFERROR(VLOOKUP(F864,IMPORTRANGE(""https://docs.google.com/spreadsheets/d/1Kvs4KS76FHFqLFIZfrDMff4kP08nblUkihrxltoGBjg/edit#gid=934712705"",""ESENCIAL!A6:BG""),2,FALSE))"),"")</f>
        <v/>
      </c>
      <c r="AO841" s="19" t="str">
        <f t="shared" si="46"/>
        <v/>
      </c>
      <c r="AP841" s="100"/>
      <c r="AQ841" s="100"/>
    </row>
    <row r="842" spans="1:43" ht="15">
      <c r="A842" s="5"/>
      <c r="B842" s="5"/>
      <c r="G842" s="5" t="str">
        <f ca="1">IFERROR(__xludf.DUMMYFUNCTION("IFERROR(VLOOKUP(F865,IMPORTRANGE(""https://docs.google.com/spreadsheets/d/1Kvs4KS76FHFqLFIZfrDMff4kP08nblUkihrxltoGBjg/edit#gid=934712705"",""ESENCIAL!A6:BG""),3,FALSE))"),"")</f>
        <v/>
      </c>
      <c r="H842" s="5" t="str">
        <f ca="1">IFERROR(__xludf.DUMMYFUNCTION("IFERROR(VLOOKUP(F865,IMPORTRANGE(""https://docs.google.com/spreadsheets/d/1Kvs4KS76FHFqLFIZfrDMff4kP08nblUkihrxltoGBjg/edit#gid=934712705"",""ESENCIAL!A6:BG""),8,FALSE))"),"")</f>
        <v/>
      </c>
      <c r="L842" s="40"/>
      <c r="Z842" s="41" t="str">
        <f t="shared" si="50"/>
        <v/>
      </c>
      <c r="AA842" s="5" t="str">
        <f ca="1">IFERROR(__xludf.DUMMYFUNCTION("IFERROR(VLOOKUP(E865&amp;F865,IMPORTRANGE(""https://docs.google.com/spreadsheets/d/1Uw7-A9f9R21vMXxHZFNpYNeKFtG8_yji4HS352LGlSQ/edit?pli=1#gid=0"",""1_ACUM!A4:S""),11,FALSE))"),"")</f>
        <v/>
      </c>
      <c r="AB842" s="42" t="str">
        <f ca="1">IFERROR(__xludf.DUMMYFUNCTION("IFERROR(VLOOKUP(F865,IMPORTRANGE(""https://docs.google.com/spreadsheets/d/1Kvs4KS76FHFqLFIZfrDMff4kP08nblUkihrxltoGBjg/edit#gid=934712705"",""ESENCIAL!A6:BG""),15,FALSE))"),"")</f>
        <v/>
      </c>
      <c r="AC842" s="110" t="str">
        <f ca="1">IFERROR(__xludf.DUMMYFUNCTION("IFERROR(VLOOKUP(E865&amp;F865,IMPORTRANGE(""https://docs.google.com/spreadsheets/d/1Uw7-A9f9R21vMXxHZFNpYNeKFtG8_yji4HS352LGlSQ/edit?pli=1#gid=0"",""1_ACUM!A4:S""),13,FALSE))"),"")</f>
        <v/>
      </c>
      <c r="AD842" s="43" t="str">
        <f ca="1">IFERROR(__xludf.DUMMYFUNCTION("IFERROR(VLOOKUP(E865&amp;F865,IMPORTRANGE(""https://docs.google.com/spreadsheets/d/1Uw7-A9f9R21vMXxHZFNpYNeKFtG8_yji4HS352LGlSQ/edit?pli=1#gid=0"",""1_ACUM!A4:S""),13,FALSE))"),"")</f>
        <v/>
      </c>
      <c r="AE842" s="43" t="str">
        <f ca="1">IFERROR(__xludf.DUMMYFUNCTION("IFERROR(VLOOKUP(E865&amp;F865,IMPORTRANGE(""https://docs.google.com/spreadsheets/d/1Uw7-A9f9R21vMXxHZFNpYNeKFtG8_yji4HS352LGlSQ/edit?pli=1#gid=0"",""1_ACUM!A4:S""),14,FALSE))"),"")</f>
        <v/>
      </c>
      <c r="AF842" s="43" t="str">
        <f ca="1">IFERROR(__xludf.DUMMYFUNCTION("IFERROR(VLOOKUP(E865&amp;F865,IMPORTRANGE(""https://docs.google.com/spreadsheets/d/1Uw7-A9f9R21vMXxHZFNpYNeKFtG8_yji4HS352LGlSQ/edit?pli=1#gid=0"",""1_ACUM!A4:S""),15,FALSE))"),"")</f>
        <v/>
      </c>
      <c r="AG842" s="43" t="str">
        <f ca="1">IFERROR(__xludf.DUMMYFUNCTION("IFERROR(VLOOKUP(E865&amp;F865,IMPORTRANGE(""https://docs.google.com/spreadsheets/d/1Uw7-A9f9R21vMXxHZFNpYNeKFtG8_yji4HS352LGlSQ/edit?pli=1#gid=0"",""1_ACUM!A4:S""),16,FALSE))"),"")</f>
        <v/>
      </c>
      <c r="AH842" s="43" t="str">
        <f ca="1">IFERROR(__xludf.DUMMYFUNCTION("IFERROR(VLOOKUP(E865&amp;F865,IMPORTRANGE(""https://docs.google.com/spreadsheets/d/1Uw7-A9f9R21vMXxHZFNpYNeKFtG8_yji4HS352LGlSQ/edit?pli=1#gid=0"",""1_ACUM!A4:S""),17,FALSE))"),"")</f>
        <v/>
      </c>
      <c r="AI842" s="44" t="str">
        <f ca="1">IFERROR(__xludf.DUMMYFUNCTION("IFERROR(VLOOKUP(E865&amp;F865,IMPORTRANGE(""https://docs.google.com/spreadsheets/d/1Uw7-A9f9R21vMXxHZFNpYNeKFtG8_yji4HS352LGlSQ/edit?pli=1#gid=0"",""1_ACUM!A4:S""),18,FALSE))"),"")</f>
        <v/>
      </c>
      <c r="AJ842" s="44" t="str">
        <f ca="1">IFERROR(__xludf.DUMMYFUNCTION("IFERROR(VLOOKUP(E865&amp;F865,IMPORTRANGE(""https://docs.google.com/spreadsheets/d/1Uw7-A9f9R21vMXxHZFNpYNeKFtG8_yji4HS352LGlSQ/edit?pli=1#gid=0"",""1_ACUM!A4:S""),19,FALSE))"),"")</f>
        <v/>
      </c>
      <c r="AK842" s="98" t="str">
        <f ca="1">IFERROR(__xludf.DUMMYFUNCTION("IFERROR(VLOOKUP(F865,IMPORTRANGE(""https://docs.google.com/spreadsheets/d/1Kvs4KS76FHFqLFIZfrDMff4kP08nblUkihrxltoGBjg/edit#gid=934712705"",""ESENCIAL!A6:BG""),5,FALSE))"),"")</f>
        <v/>
      </c>
      <c r="AL842" s="98" t="str">
        <f t="shared" si="51"/>
        <v/>
      </c>
      <c r="AM842" s="99" t="str">
        <f t="shared" si="52"/>
        <v/>
      </c>
      <c r="AN842" s="100" t="str">
        <f ca="1">IFERROR(__xludf.DUMMYFUNCTION("IFERROR(VLOOKUP(F865,IMPORTRANGE(""https://docs.google.com/spreadsheets/d/1Kvs4KS76FHFqLFIZfrDMff4kP08nblUkihrxltoGBjg/edit#gid=934712705"",""ESENCIAL!A6:BG""),2,FALSE))"),"")</f>
        <v/>
      </c>
      <c r="AO842" s="19" t="str">
        <f t="shared" si="46"/>
        <v/>
      </c>
      <c r="AP842" s="100"/>
      <c r="AQ842" s="100"/>
    </row>
    <row r="843" spans="1:43" ht="15">
      <c r="A843" s="5"/>
      <c r="B843" s="5"/>
      <c r="G843" s="5" t="str">
        <f ca="1">IFERROR(__xludf.DUMMYFUNCTION("IFERROR(VLOOKUP(F866,IMPORTRANGE(""https://docs.google.com/spreadsheets/d/1Kvs4KS76FHFqLFIZfrDMff4kP08nblUkihrxltoGBjg/edit#gid=934712705"",""ESENCIAL!A6:BG""),3,FALSE))"),"")</f>
        <v/>
      </c>
      <c r="H843" s="5" t="str">
        <f ca="1">IFERROR(__xludf.DUMMYFUNCTION("IFERROR(VLOOKUP(F866,IMPORTRANGE(""https://docs.google.com/spreadsheets/d/1Kvs4KS76FHFqLFIZfrDMff4kP08nblUkihrxltoGBjg/edit#gid=934712705"",""ESENCIAL!A6:BG""),8,FALSE))"),"")</f>
        <v/>
      </c>
      <c r="L843" s="40"/>
      <c r="Z843" s="41" t="str">
        <f t="shared" si="50"/>
        <v/>
      </c>
      <c r="AA843" s="5" t="str">
        <f ca="1">IFERROR(__xludf.DUMMYFUNCTION("IFERROR(VLOOKUP(E866&amp;F866,IMPORTRANGE(""https://docs.google.com/spreadsheets/d/1Uw7-A9f9R21vMXxHZFNpYNeKFtG8_yji4HS352LGlSQ/edit?pli=1#gid=0"",""1_ACUM!A4:S""),11,FALSE))"),"")</f>
        <v/>
      </c>
      <c r="AB843" s="42" t="str">
        <f ca="1">IFERROR(__xludf.DUMMYFUNCTION("IFERROR(VLOOKUP(F866,IMPORTRANGE(""https://docs.google.com/spreadsheets/d/1Kvs4KS76FHFqLFIZfrDMff4kP08nblUkihrxltoGBjg/edit#gid=934712705"",""ESENCIAL!A6:BG""),15,FALSE))"),"")</f>
        <v/>
      </c>
      <c r="AC843" s="110" t="str">
        <f ca="1">IFERROR(__xludf.DUMMYFUNCTION("IFERROR(VLOOKUP(E866&amp;F866,IMPORTRANGE(""https://docs.google.com/spreadsheets/d/1Uw7-A9f9R21vMXxHZFNpYNeKFtG8_yji4HS352LGlSQ/edit?pli=1#gid=0"",""1_ACUM!A4:S""),13,FALSE))"),"")</f>
        <v/>
      </c>
      <c r="AD843" s="43" t="str">
        <f ca="1">IFERROR(__xludf.DUMMYFUNCTION("IFERROR(VLOOKUP(E866&amp;F866,IMPORTRANGE(""https://docs.google.com/spreadsheets/d/1Uw7-A9f9R21vMXxHZFNpYNeKFtG8_yji4HS352LGlSQ/edit?pli=1#gid=0"",""1_ACUM!A4:S""),13,FALSE))"),"")</f>
        <v/>
      </c>
      <c r="AE843" s="43" t="str">
        <f ca="1">IFERROR(__xludf.DUMMYFUNCTION("IFERROR(VLOOKUP(E866&amp;F866,IMPORTRANGE(""https://docs.google.com/spreadsheets/d/1Uw7-A9f9R21vMXxHZFNpYNeKFtG8_yji4HS352LGlSQ/edit?pli=1#gid=0"",""1_ACUM!A4:S""),14,FALSE))"),"")</f>
        <v/>
      </c>
      <c r="AF843" s="43" t="str">
        <f ca="1">IFERROR(__xludf.DUMMYFUNCTION("IFERROR(VLOOKUP(E866&amp;F866,IMPORTRANGE(""https://docs.google.com/spreadsheets/d/1Uw7-A9f9R21vMXxHZFNpYNeKFtG8_yji4HS352LGlSQ/edit?pli=1#gid=0"",""1_ACUM!A4:S""),15,FALSE))"),"")</f>
        <v/>
      </c>
      <c r="AG843" s="43" t="str">
        <f ca="1">IFERROR(__xludf.DUMMYFUNCTION("IFERROR(VLOOKUP(E866&amp;F866,IMPORTRANGE(""https://docs.google.com/spreadsheets/d/1Uw7-A9f9R21vMXxHZFNpYNeKFtG8_yji4HS352LGlSQ/edit?pli=1#gid=0"",""1_ACUM!A4:S""),16,FALSE))"),"")</f>
        <v/>
      </c>
      <c r="AH843" s="43" t="str">
        <f ca="1">IFERROR(__xludf.DUMMYFUNCTION("IFERROR(VLOOKUP(E866&amp;F866,IMPORTRANGE(""https://docs.google.com/spreadsheets/d/1Uw7-A9f9R21vMXxHZFNpYNeKFtG8_yji4HS352LGlSQ/edit?pli=1#gid=0"",""1_ACUM!A4:S""),17,FALSE))"),"")</f>
        <v/>
      </c>
      <c r="AI843" s="44" t="str">
        <f ca="1">IFERROR(__xludf.DUMMYFUNCTION("IFERROR(VLOOKUP(E866&amp;F866,IMPORTRANGE(""https://docs.google.com/spreadsheets/d/1Uw7-A9f9R21vMXxHZFNpYNeKFtG8_yji4HS352LGlSQ/edit?pli=1#gid=0"",""1_ACUM!A4:S""),18,FALSE))"),"")</f>
        <v/>
      </c>
      <c r="AJ843" s="44" t="str">
        <f ca="1">IFERROR(__xludf.DUMMYFUNCTION("IFERROR(VLOOKUP(E866&amp;F866,IMPORTRANGE(""https://docs.google.com/spreadsheets/d/1Uw7-A9f9R21vMXxHZFNpYNeKFtG8_yji4HS352LGlSQ/edit?pli=1#gid=0"",""1_ACUM!A4:S""),19,FALSE))"),"")</f>
        <v/>
      </c>
      <c r="AK843" s="98" t="str">
        <f ca="1">IFERROR(__xludf.DUMMYFUNCTION("IFERROR(VLOOKUP(F866,IMPORTRANGE(""https://docs.google.com/spreadsheets/d/1Kvs4KS76FHFqLFIZfrDMff4kP08nblUkihrxltoGBjg/edit#gid=934712705"",""ESENCIAL!A6:BG""),5,FALSE))"),"")</f>
        <v/>
      </c>
      <c r="AL843" s="98" t="str">
        <f t="shared" si="51"/>
        <v/>
      </c>
      <c r="AM843" s="99" t="str">
        <f t="shared" si="52"/>
        <v/>
      </c>
      <c r="AN843" s="100" t="str">
        <f ca="1">IFERROR(__xludf.DUMMYFUNCTION("IFERROR(VLOOKUP(F866,IMPORTRANGE(""https://docs.google.com/spreadsheets/d/1Kvs4KS76FHFqLFIZfrDMff4kP08nblUkihrxltoGBjg/edit#gid=934712705"",""ESENCIAL!A6:BG""),2,FALSE))"),"")</f>
        <v/>
      </c>
      <c r="AO843" s="19" t="str">
        <f t="shared" si="46"/>
        <v/>
      </c>
      <c r="AP843" s="100"/>
      <c r="AQ843" s="100"/>
    </row>
    <row r="844" spans="1:43" ht="15">
      <c r="A844" s="5"/>
      <c r="B844" s="5"/>
      <c r="G844" s="5" t="str">
        <f ca="1">IFERROR(__xludf.DUMMYFUNCTION("IFERROR(VLOOKUP(F867,IMPORTRANGE(""https://docs.google.com/spreadsheets/d/1Kvs4KS76FHFqLFIZfrDMff4kP08nblUkihrxltoGBjg/edit#gid=934712705"",""ESENCIAL!A6:BG""),3,FALSE))"),"")</f>
        <v/>
      </c>
      <c r="H844" s="5" t="str">
        <f ca="1">IFERROR(__xludf.DUMMYFUNCTION("IFERROR(VLOOKUP(F867,IMPORTRANGE(""https://docs.google.com/spreadsheets/d/1Kvs4KS76FHFqLFIZfrDMff4kP08nblUkihrxltoGBjg/edit#gid=934712705"",""ESENCIAL!A6:BG""),8,FALSE))"),"")</f>
        <v/>
      </c>
      <c r="L844" s="40"/>
      <c r="Z844" s="41" t="str">
        <f t="shared" si="50"/>
        <v/>
      </c>
      <c r="AA844" s="5" t="str">
        <f ca="1">IFERROR(__xludf.DUMMYFUNCTION("IFERROR(VLOOKUP(E867&amp;F867,IMPORTRANGE(""https://docs.google.com/spreadsheets/d/1Uw7-A9f9R21vMXxHZFNpYNeKFtG8_yji4HS352LGlSQ/edit?pli=1#gid=0"",""1_ACUM!A4:S""),11,FALSE))"),"")</f>
        <v/>
      </c>
      <c r="AB844" s="42" t="str">
        <f ca="1">IFERROR(__xludf.DUMMYFUNCTION("IFERROR(VLOOKUP(F867,IMPORTRANGE(""https://docs.google.com/spreadsheets/d/1Kvs4KS76FHFqLFIZfrDMff4kP08nblUkihrxltoGBjg/edit#gid=934712705"",""ESENCIAL!A6:BG""),15,FALSE))"),"")</f>
        <v/>
      </c>
      <c r="AC844" s="110" t="str">
        <f ca="1">IFERROR(__xludf.DUMMYFUNCTION("IFERROR(VLOOKUP(E867&amp;F867,IMPORTRANGE(""https://docs.google.com/spreadsheets/d/1Uw7-A9f9R21vMXxHZFNpYNeKFtG8_yji4HS352LGlSQ/edit?pli=1#gid=0"",""1_ACUM!A4:S""),13,FALSE))"),"")</f>
        <v/>
      </c>
      <c r="AD844" s="43" t="str">
        <f ca="1">IFERROR(__xludf.DUMMYFUNCTION("IFERROR(VLOOKUP(E867&amp;F867,IMPORTRANGE(""https://docs.google.com/spreadsheets/d/1Uw7-A9f9R21vMXxHZFNpYNeKFtG8_yji4HS352LGlSQ/edit?pli=1#gid=0"",""1_ACUM!A4:S""),13,FALSE))"),"")</f>
        <v/>
      </c>
      <c r="AE844" s="43" t="str">
        <f ca="1">IFERROR(__xludf.DUMMYFUNCTION("IFERROR(VLOOKUP(E867&amp;F867,IMPORTRANGE(""https://docs.google.com/spreadsheets/d/1Uw7-A9f9R21vMXxHZFNpYNeKFtG8_yji4HS352LGlSQ/edit?pli=1#gid=0"",""1_ACUM!A4:S""),14,FALSE))"),"")</f>
        <v/>
      </c>
      <c r="AF844" s="43" t="str">
        <f ca="1">IFERROR(__xludf.DUMMYFUNCTION("IFERROR(VLOOKUP(E867&amp;F867,IMPORTRANGE(""https://docs.google.com/spreadsheets/d/1Uw7-A9f9R21vMXxHZFNpYNeKFtG8_yji4HS352LGlSQ/edit?pli=1#gid=0"",""1_ACUM!A4:S""),15,FALSE))"),"")</f>
        <v/>
      </c>
      <c r="AG844" s="43" t="str">
        <f ca="1">IFERROR(__xludf.DUMMYFUNCTION("IFERROR(VLOOKUP(E867&amp;F867,IMPORTRANGE(""https://docs.google.com/spreadsheets/d/1Uw7-A9f9R21vMXxHZFNpYNeKFtG8_yji4HS352LGlSQ/edit?pli=1#gid=0"",""1_ACUM!A4:S""),16,FALSE))"),"")</f>
        <v/>
      </c>
      <c r="AH844" s="43" t="str">
        <f ca="1">IFERROR(__xludf.DUMMYFUNCTION("IFERROR(VLOOKUP(E867&amp;F867,IMPORTRANGE(""https://docs.google.com/spreadsheets/d/1Uw7-A9f9R21vMXxHZFNpYNeKFtG8_yji4HS352LGlSQ/edit?pli=1#gid=0"",""1_ACUM!A4:S""),17,FALSE))"),"")</f>
        <v/>
      </c>
      <c r="AI844" s="44" t="str">
        <f ca="1">IFERROR(__xludf.DUMMYFUNCTION("IFERROR(VLOOKUP(E867&amp;F867,IMPORTRANGE(""https://docs.google.com/spreadsheets/d/1Uw7-A9f9R21vMXxHZFNpYNeKFtG8_yji4HS352LGlSQ/edit?pli=1#gid=0"",""1_ACUM!A4:S""),18,FALSE))"),"")</f>
        <v/>
      </c>
      <c r="AJ844" s="44" t="str">
        <f ca="1">IFERROR(__xludf.DUMMYFUNCTION("IFERROR(VLOOKUP(E867&amp;F867,IMPORTRANGE(""https://docs.google.com/spreadsheets/d/1Uw7-A9f9R21vMXxHZFNpYNeKFtG8_yji4HS352LGlSQ/edit?pli=1#gid=0"",""1_ACUM!A4:S""),19,FALSE))"),"")</f>
        <v/>
      </c>
      <c r="AK844" s="98" t="str">
        <f ca="1">IFERROR(__xludf.DUMMYFUNCTION("IFERROR(VLOOKUP(F867,IMPORTRANGE(""https://docs.google.com/spreadsheets/d/1Kvs4KS76FHFqLFIZfrDMff4kP08nblUkihrxltoGBjg/edit#gid=934712705"",""ESENCIAL!A6:BG""),5,FALSE))"),"")</f>
        <v/>
      </c>
      <c r="AL844" s="98" t="str">
        <f t="shared" si="51"/>
        <v/>
      </c>
      <c r="AM844" s="99" t="str">
        <f t="shared" si="52"/>
        <v/>
      </c>
      <c r="AN844" s="100" t="str">
        <f ca="1">IFERROR(__xludf.DUMMYFUNCTION("IFERROR(VLOOKUP(F867,IMPORTRANGE(""https://docs.google.com/spreadsheets/d/1Kvs4KS76FHFqLFIZfrDMff4kP08nblUkihrxltoGBjg/edit#gid=934712705"",""ESENCIAL!A6:BG""),2,FALSE))"),"")</f>
        <v/>
      </c>
      <c r="AO844" s="19" t="str">
        <f t="shared" si="46"/>
        <v/>
      </c>
      <c r="AP844" s="100"/>
      <c r="AQ844" s="100"/>
    </row>
    <row r="845" spans="1:43" ht="15">
      <c r="A845" s="5"/>
      <c r="B845" s="5"/>
      <c r="G845" s="5" t="str">
        <f ca="1">IFERROR(__xludf.DUMMYFUNCTION("IFERROR(VLOOKUP(F868,IMPORTRANGE(""https://docs.google.com/spreadsheets/d/1Kvs4KS76FHFqLFIZfrDMff4kP08nblUkihrxltoGBjg/edit#gid=934712705"",""ESENCIAL!A6:BG""),3,FALSE))"),"")</f>
        <v/>
      </c>
      <c r="H845" s="5" t="str">
        <f ca="1">IFERROR(__xludf.DUMMYFUNCTION("IFERROR(VLOOKUP(F868,IMPORTRANGE(""https://docs.google.com/spreadsheets/d/1Kvs4KS76FHFqLFIZfrDMff4kP08nblUkihrxltoGBjg/edit#gid=934712705"",""ESENCIAL!A6:BG""),8,FALSE))"),"")</f>
        <v/>
      </c>
      <c r="L845" s="40"/>
      <c r="Z845" s="41" t="str">
        <f t="shared" si="50"/>
        <v/>
      </c>
      <c r="AA845" s="5" t="str">
        <f ca="1">IFERROR(__xludf.DUMMYFUNCTION("IFERROR(VLOOKUP(E868&amp;F868,IMPORTRANGE(""https://docs.google.com/spreadsheets/d/1Uw7-A9f9R21vMXxHZFNpYNeKFtG8_yji4HS352LGlSQ/edit?pli=1#gid=0"",""1_ACUM!A4:S""),11,FALSE))"),"")</f>
        <v/>
      </c>
      <c r="AB845" s="42" t="str">
        <f ca="1">IFERROR(__xludf.DUMMYFUNCTION("IFERROR(VLOOKUP(F868,IMPORTRANGE(""https://docs.google.com/spreadsheets/d/1Kvs4KS76FHFqLFIZfrDMff4kP08nblUkihrxltoGBjg/edit#gid=934712705"",""ESENCIAL!A6:BG""),15,FALSE))"),"")</f>
        <v/>
      </c>
      <c r="AC845" s="110" t="str">
        <f ca="1">IFERROR(__xludf.DUMMYFUNCTION("IFERROR(VLOOKUP(E868&amp;F868,IMPORTRANGE(""https://docs.google.com/spreadsheets/d/1Uw7-A9f9R21vMXxHZFNpYNeKFtG8_yji4HS352LGlSQ/edit?pli=1#gid=0"",""1_ACUM!A4:S""),13,FALSE))"),"")</f>
        <v/>
      </c>
      <c r="AD845" s="43" t="str">
        <f ca="1">IFERROR(__xludf.DUMMYFUNCTION("IFERROR(VLOOKUP(E868&amp;F868,IMPORTRANGE(""https://docs.google.com/spreadsheets/d/1Uw7-A9f9R21vMXxHZFNpYNeKFtG8_yji4HS352LGlSQ/edit?pli=1#gid=0"",""1_ACUM!A4:S""),13,FALSE))"),"")</f>
        <v/>
      </c>
      <c r="AE845" s="43" t="str">
        <f ca="1">IFERROR(__xludf.DUMMYFUNCTION("IFERROR(VLOOKUP(E868&amp;F868,IMPORTRANGE(""https://docs.google.com/spreadsheets/d/1Uw7-A9f9R21vMXxHZFNpYNeKFtG8_yji4HS352LGlSQ/edit?pli=1#gid=0"",""1_ACUM!A4:S""),14,FALSE))"),"")</f>
        <v/>
      </c>
      <c r="AF845" s="43" t="str">
        <f ca="1">IFERROR(__xludf.DUMMYFUNCTION("IFERROR(VLOOKUP(E868&amp;F868,IMPORTRANGE(""https://docs.google.com/spreadsheets/d/1Uw7-A9f9R21vMXxHZFNpYNeKFtG8_yji4HS352LGlSQ/edit?pli=1#gid=0"",""1_ACUM!A4:S""),15,FALSE))"),"")</f>
        <v/>
      </c>
      <c r="AG845" s="43" t="str">
        <f ca="1">IFERROR(__xludf.DUMMYFUNCTION("IFERROR(VLOOKUP(E868&amp;F868,IMPORTRANGE(""https://docs.google.com/spreadsheets/d/1Uw7-A9f9R21vMXxHZFNpYNeKFtG8_yji4HS352LGlSQ/edit?pli=1#gid=0"",""1_ACUM!A4:S""),16,FALSE))"),"")</f>
        <v/>
      </c>
      <c r="AH845" s="43" t="str">
        <f ca="1">IFERROR(__xludf.DUMMYFUNCTION("IFERROR(VLOOKUP(E868&amp;F868,IMPORTRANGE(""https://docs.google.com/spreadsheets/d/1Uw7-A9f9R21vMXxHZFNpYNeKFtG8_yji4HS352LGlSQ/edit?pli=1#gid=0"",""1_ACUM!A4:S""),17,FALSE))"),"")</f>
        <v/>
      </c>
      <c r="AI845" s="44" t="str">
        <f ca="1">IFERROR(__xludf.DUMMYFUNCTION("IFERROR(VLOOKUP(E868&amp;F868,IMPORTRANGE(""https://docs.google.com/spreadsheets/d/1Uw7-A9f9R21vMXxHZFNpYNeKFtG8_yji4HS352LGlSQ/edit?pli=1#gid=0"",""1_ACUM!A4:S""),18,FALSE))"),"")</f>
        <v/>
      </c>
      <c r="AJ845" s="44" t="str">
        <f ca="1">IFERROR(__xludf.DUMMYFUNCTION("IFERROR(VLOOKUP(E868&amp;F868,IMPORTRANGE(""https://docs.google.com/spreadsheets/d/1Uw7-A9f9R21vMXxHZFNpYNeKFtG8_yji4HS352LGlSQ/edit?pli=1#gid=0"",""1_ACUM!A4:S""),19,FALSE))"),"")</f>
        <v/>
      </c>
      <c r="AK845" s="98" t="str">
        <f ca="1">IFERROR(__xludf.DUMMYFUNCTION("IFERROR(VLOOKUP(F868,IMPORTRANGE(""https://docs.google.com/spreadsheets/d/1Kvs4KS76FHFqLFIZfrDMff4kP08nblUkihrxltoGBjg/edit#gid=934712705"",""ESENCIAL!A6:BG""),5,FALSE))"),"")</f>
        <v/>
      </c>
      <c r="AL845" s="98" t="str">
        <f t="shared" si="51"/>
        <v/>
      </c>
      <c r="AM845" s="99" t="str">
        <f t="shared" si="52"/>
        <v/>
      </c>
      <c r="AN845" s="100" t="str">
        <f ca="1">IFERROR(__xludf.DUMMYFUNCTION("IFERROR(VLOOKUP(F868,IMPORTRANGE(""https://docs.google.com/spreadsheets/d/1Kvs4KS76FHFqLFIZfrDMff4kP08nblUkihrxltoGBjg/edit#gid=934712705"",""ESENCIAL!A6:BG""),2,FALSE))"),"")</f>
        <v/>
      </c>
      <c r="AO845" s="19" t="str">
        <f t="shared" si="46"/>
        <v/>
      </c>
      <c r="AP845" s="100"/>
      <c r="AQ845" s="100"/>
    </row>
    <row r="846" spans="1:43" ht="15">
      <c r="A846" s="5"/>
      <c r="B846" s="5"/>
      <c r="G846" s="5" t="str">
        <f ca="1">IFERROR(__xludf.DUMMYFUNCTION("IFERROR(VLOOKUP(F869,IMPORTRANGE(""https://docs.google.com/spreadsheets/d/1Kvs4KS76FHFqLFIZfrDMff4kP08nblUkihrxltoGBjg/edit#gid=934712705"",""ESENCIAL!A6:BG""),3,FALSE))"),"")</f>
        <v/>
      </c>
      <c r="H846" s="5" t="str">
        <f ca="1">IFERROR(__xludf.DUMMYFUNCTION("IFERROR(VLOOKUP(F869,IMPORTRANGE(""https://docs.google.com/spreadsheets/d/1Kvs4KS76FHFqLFIZfrDMff4kP08nblUkihrxltoGBjg/edit#gid=934712705"",""ESENCIAL!A6:BG""),8,FALSE))"),"")</f>
        <v/>
      </c>
      <c r="L846" s="40"/>
      <c r="Z846" s="41" t="str">
        <f t="shared" si="50"/>
        <v/>
      </c>
      <c r="AA846" s="5" t="str">
        <f ca="1">IFERROR(__xludf.DUMMYFUNCTION("IFERROR(VLOOKUP(E869&amp;F869,IMPORTRANGE(""https://docs.google.com/spreadsheets/d/1Uw7-A9f9R21vMXxHZFNpYNeKFtG8_yji4HS352LGlSQ/edit?pli=1#gid=0"",""1_ACUM!A4:S""),11,FALSE))"),"")</f>
        <v/>
      </c>
      <c r="AB846" s="42" t="str">
        <f ca="1">IFERROR(__xludf.DUMMYFUNCTION("IFERROR(VLOOKUP(F869,IMPORTRANGE(""https://docs.google.com/spreadsheets/d/1Kvs4KS76FHFqLFIZfrDMff4kP08nblUkihrxltoGBjg/edit#gid=934712705"",""ESENCIAL!A6:BG""),15,FALSE))"),"")</f>
        <v/>
      </c>
      <c r="AC846" s="110" t="str">
        <f ca="1">IFERROR(__xludf.DUMMYFUNCTION("IFERROR(VLOOKUP(E869&amp;F869,IMPORTRANGE(""https://docs.google.com/spreadsheets/d/1Uw7-A9f9R21vMXxHZFNpYNeKFtG8_yji4HS352LGlSQ/edit?pli=1#gid=0"",""1_ACUM!A4:S""),13,FALSE))"),"")</f>
        <v/>
      </c>
      <c r="AD846" s="43" t="str">
        <f ca="1">IFERROR(__xludf.DUMMYFUNCTION("IFERROR(VLOOKUP(E869&amp;F869,IMPORTRANGE(""https://docs.google.com/spreadsheets/d/1Uw7-A9f9R21vMXxHZFNpYNeKFtG8_yji4HS352LGlSQ/edit?pli=1#gid=0"",""1_ACUM!A4:S""),13,FALSE))"),"")</f>
        <v/>
      </c>
      <c r="AE846" s="43" t="str">
        <f ca="1">IFERROR(__xludf.DUMMYFUNCTION("IFERROR(VLOOKUP(E869&amp;F869,IMPORTRANGE(""https://docs.google.com/spreadsheets/d/1Uw7-A9f9R21vMXxHZFNpYNeKFtG8_yji4HS352LGlSQ/edit?pli=1#gid=0"",""1_ACUM!A4:S""),14,FALSE))"),"")</f>
        <v/>
      </c>
      <c r="AF846" s="43" t="str">
        <f ca="1">IFERROR(__xludf.DUMMYFUNCTION("IFERROR(VLOOKUP(E869&amp;F869,IMPORTRANGE(""https://docs.google.com/spreadsheets/d/1Uw7-A9f9R21vMXxHZFNpYNeKFtG8_yji4HS352LGlSQ/edit?pli=1#gid=0"",""1_ACUM!A4:S""),15,FALSE))"),"")</f>
        <v/>
      </c>
      <c r="AG846" s="43" t="str">
        <f ca="1">IFERROR(__xludf.DUMMYFUNCTION("IFERROR(VLOOKUP(E869&amp;F869,IMPORTRANGE(""https://docs.google.com/spreadsheets/d/1Uw7-A9f9R21vMXxHZFNpYNeKFtG8_yji4HS352LGlSQ/edit?pli=1#gid=0"",""1_ACUM!A4:S""),16,FALSE))"),"")</f>
        <v/>
      </c>
      <c r="AH846" s="43" t="str">
        <f ca="1">IFERROR(__xludf.DUMMYFUNCTION("IFERROR(VLOOKUP(E869&amp;F869,IMPORTRANGE(""https://docs.google.com/spreadsheets/d/1Uw7-A9f9R21vMXxHZFNpYNeKFtG8_yji4HS352LGlSQ/edit?pli=1#gid=0"",""1_ACUM!A4:S""),17,FALSE))"),"")</f>
        <v/>
      </c>
      <c r="AI846" s="44" t="str">
        <f ca="1">IFERROR(__xludf.DUMMYFUNCTION("IFERROR(VLOOKUP(E869&amp;F869,IMPORTRANGE(""https://docs.google.com/spreadsheets/d/1Uw7-A9f9R21vMXxHZFNpYNeKFtG8_yji4HS352LGlSQ/edit?pli=1#gid=0"",""1_ACUM!A4:S""),18,FALSE))"),"")</f>
        <v/>
      </c>
      <c r="AJ846" s="44" t="str">
        <f ca="1">IFERROR(__xludf.DUMMYFUNCTION("IFERROR(VLOOKUP(E869&amp;F869,IMPORTRANGE(""https://docs.google.com/spreadsheets/d/1Uw7-A9f9R21vMXxHZFNpYNeKFtG8_yji4HS352LGlSQ/edit?pli=1#gid=0"",""1_ACUM!A4:S""),19,FALSE))"),"")</f>
        <v/>
      </c>
      <c r="AK846" s="98" t="str">
        <f ca="1">IFERROR(__xludf.DUMMYFUNCTION("IFERROR(VLOOKUP(F869,IMPORTRANGE(""https://docs.google.com/spreadsheets/d/1Kvs4KS76FHFqLFIZfrDMff4kP08nblUkihrxltoGBjg/edit#gid=934712705"",""ESENCIAL!A6:BG""),5,FALSE))"),"")</f>
        <v/>
      </c>
      <c r="AL846" s="98" t="str">
        <f t="shared" si="51"/>
        <v/>
      </c>
      <c r="AM846" s="99" t="str">
        <f t="shared" si="52"/>
        <v/>
      </c>
      <c r="AN846" s="100" t="str">
        <f ca="1">IFERROR(__xludf.DUMMYFUNCTION("IFERROR(VLOOKUP(F869,IMPORTRANGE(""https://docs.google.com/spreadsheets/d/1Kvs4KS76FHFqLFIZfrDMff4kP08nblUkihrxltoGBjg/edit#gid=934712705"",""ESENCIAL!A6:BG""),2,FALSE))"),"")</f>
        <v/>
      </c>
      <c r="AO846" s="19" t="str">
        <f t="shared" si="46"/>
        <v/>
      </c>
      <c r="AP846" s="100"/>
      <c r="AQ846" s="100"/>
    </row>
    <row r="847" spans="1:43" ht="15">
      <c r="A847" s="5"/>
      <c r="B847" s="5"/>
      <c r="G847" s="5" t="str">
        <f ca="1">IFERROR(__xludf.DUMMYFUNCTION("IFERROR(VLOOKUP(F870,IMPORTRANGE(""https://docs.google.com/spreadsheets/d/1Kvs4KS76FHFqLFIZfrDMff4kP08nblUkihrxltoGBjg/edit#gid=934712705"",""ESENCIAL!A6:BG""),3,FALSE))"),"")</f>
        <v/>
      </c>
      <c r="H847" s="5" t="str">
        <f ca="1">IFERROR(__xludf.DUMMYFUNCTION("IFERROR(VLOOKUP(F870,IMPORTRANGE(""https://docs.google.com/spreadsheets/d/1Kvs4KS76FHFqLFIZfrDMff4kP08nblUkihrxltoGBjg/edit#gid=934712705"",""ESENCIAL!A6:BG""),8,FALSE))"),"")</f>
        <v/>
      </c>
      <c r="L847" s="40"/>
      <c r="Z847" s="41" t="str">
        <f t="shared" si="50"/>
        <v/>
      </c>
      <c r="AA847" s="5" t="str">
        <f ca="1">IFERROR(__xludf.DUMMYFUNCTION("IFERROR(VLOOKUP(E870&amp;F870,IMPORTRANGE(""https://docs.google.com/spreadsheets/d/1Uw7-A9f9R21vMXxHZFNpYNeKFtG8_yji4HS352LGlSQ/edit?pli=1#gid=0"",""1_ACUM!A4:S""),11,FALSE))"),"")</f>
        <v/>
      </c>
      <c r="AB847" s="42" t="str">
        <f ca="1">IFERROR(__xludf.DUMMYFUNCTION("IFERROR(VLOOKUP(F870,IMPORTRANGE(""https://docs.google.com/spreadsheets/d/1Kvs4KS76FHFqLFIZfrDMff4kP08nblUkihrxltoGBjg/edit#gid=934712705"",""ESENCIAL!A6:BG""),15,FALSE))"),"")</f>
        <v/>
      </c>
      <c r="AC847" s="110" t="str">
        <f ca="1">IFERROR(__xludf.DUMMYFUNCTION("IFERROR(VLOOKUP(E870&amp;F870,IMPORTRANGE(""https://docs.google.com/spreadsheets/d/1Uw7-A9f9R21vMXxHZFNpYNeKFtG8_yji4HS352LGlSQ/edit?pli=1#gid=0"",""1_ACUM!A4:S""),13,FALSE))"),"")</f>
        <v/>
      </c>
      <c r="AD847" s="43" t="str">
        <f ca="1">IFERROR(__xludf.DUMMYFUNCTION("IFERROR(VLOOKUP(E870&amp;F870,IMPORTRANGE(""https://docs.google.com/spreadsheets/d/1Uw7-A9f9R21vMXxHZFNpYNeKFtG8_yji4HS352LGlSQ/edit?pli=1#gid=0"",""1_ACUM!A4:S""),13,FALSE))"),"")</f>
        <v/>
      </c>
      <c r="AE847" s="43" t="str">
        <f ca="1">IFERROR(__xludf.DUMMYFUNCTION("IFERROR(VLOOKUP(E870&amp;F870,IMPORTRANGE(""https://docs.google.com/spreadsheets/d/1Uw7-A9f9R21vMXxHZFNpYNeKFtG8_yji4HS352LGlSQ/edit?pli=1#gid=0"",""1_ACUM!A4:S""),14,FALSE))"),"")</f>
        <v/>
      </c>
      <c r="AF847" s="43" t="str">
        <f ca="1">IFERROR(__xludf.DUMMYFUNCTION("IFERROR(VLOOKUP(E870&amp;F870,IMPORTRANGE(""https://docs.google.com/spreadsheets/d/1Uw7-A9f9R21vMXxHZFNpYNeKFtG8_yji4HS352LGlSQ/edit?pli=1#gid=0"",""1_ACUM!A4:S""),15,FALSE))"),"")</f>
        <v/>
      </c>
      <c r="AG847" s="43" t="str">
        <f ca="1">IFERROR(__xludf.DUMMYFUNCTION("IFERROR(VLOOKUP(E870&amp;F870,IMPORTRANGE(""https://docs.google.com/spreadsheets/d/1Uw7-A9f9R21vMXxHZFNpYNeKFtG8_yji4HS352LGlSQ/edit?pli=1#gid=0"",""1_ACUM!A4:S""),16,FALSE))"),"")</f>
        <v/>
      </c>
      <c r="AH847" s="43" t="str">
        <f ca="1">IFERROR(__xludf.DUMMYFUNCTION("IFERROR(VLOOKUP(E870&amp;F870,IMPORTRANGE(""https://docs.google.com/spreadsheets/d/1Uw7-A9f9R21vMXxHZFNpYNeKFtG8_yji4HS352LGlSQ/edit?pli=1#gid=0"",""1_ACUM!A4:S""),17,FALSE))"),"")</f>
        <v/>
      </c>
      <c r="AI847" s="44" t="str">
        <f ca="1">IFERROR(__xludf.DUMMYFUNCTION("IFERROR(VLOOKUP(E870&amp;F870,IMPORTRANGE(""https://docs.google.com/spreadsheets/d/1Uw7-A9f9R21vMXxHZFNpYNeKFtG8_yji4HS352LGlSQ/edit?pli=1#gid=0"",""1_ACUM!A4:S""),18,FALSE))"),"")</f>
        <v/>
      </c>
      <c r="AJ847" s="44" t="str">
        <f ca="1">IFERROR(__xludf.DUMMYFUNCTION("IFERROR(VLOOKUP(E870&amp;F870,IMPORTRANGE(""https://docs.google.com/spreadsheets/d/1Uw7-A9f9R21vMXxHZFNpYNeKFtG8_yji4HS352LGlSQ/edit?pli=1#gid=0"",""1_ACUM!A4:S""),19,FALSE))"),"")</f>
        <v/>
      </c>
      <c r="AK847" s="98" t="str">
        <f ca="1">IFERROR(__xludf.DUMMYFUNCTION("IFERROR(VLOOKUP(F870,IMPORTRANGE(""https://docs.google.com/spreadsheets/d/1Kvs4KS76FHFqLFIZfrDMff4kP08nblUkihrxltoGBjg/edit#gid=934712705"",""ESENCIAL!A6:BG""),5,FALSE))"),"")</f>
        <v/>
      </c>
      <c r="AL847" s="98" t="str">
        <f t="shared" si="51"/>
        <v/>
      </c>
      <c r="AM847" s="99" t="str">
        <f t="shared" si="52"/>
        <v/>
      </c>
      <c r="AN847" s="100" t="str">
        <f ca="1">IFERROR(__xludf.DUMMYFUNCTION("IFERROR(VLOOKUP(F870,IMPORTRANGE(""https://docs.google.com/spreadsheets/d/1Kvs4KS76FHFqLFIZfrDMff4kP08nblUkihrxltoGBjg/edit#gid=934712705"",""ESENCIAL!A6:BG""),2,FALSE))"),"")</f>
        <v/>
      </c>
      <c r="AO847" s="19" t="str">
        <f t="shared" si="46"/>
        <v/>
      </c>
      <c r="AP847" s="100"/>
      <c r="AQ847" s="100"/>
    </row>
    <row r="848" spans="1:43" ht="15">
      <c r="A848" s="5"/>
      <c r="B848" s="5"/>
      <c r="G848" s="5" t="str">
        <f ca="1">IFERROR(__xludf.DUMMYFUNCTION("IFERROR(VLOOKUP(F871,IMPORTRANGE(""https://docs.google.com/spreadsheets/d/1Kvs4KS76FHFqLFIZfrDMff4kP08nblUkihrxltoGBjg/edit#gid=934712705"",""ESENCIAL!A6:BG""),3,FALSE))"),"")</f>
        <v/>
      </c>
      <c r="H848" s="5" t="str">
        <f ca="1">IFERROR(__xludf.DUMMYFUNCTION("IFERROR(VLOOKUP(F871,IMPORTRANGE(""https://docs.google.com/spreadsheets/d/1Kvs4KS76FHFqLFIZfrDMff4kP08nblUkihrxltoGBjg/edit#gid=934712705"",""ESENCIAL!A6:BG""),8,FALSE))"),"")</f>
        <v/>
      </c>
      <c r="L848" s="40"/>
      <c r="Z848" s="41" t="str">
        <f t="shared" si="50"/>
        <v/>
      </c>
      <c r="AA848" s="5" t="str">
        <f ca="1">IFERROR(__xludf.DUMMYFUNCTION("IFERROR(VLOOKUP(E871&amp;F871,IMPORTRANGE(""https://docs.google.com/spreadsheets/d/1Uw7-A9f9R21vMXxHZFNpYNeKFtG8_yji4HS352LGlSQ/edit?pli=1#gid=0"",""1_ACUM!A4:S""),11,FALSE))"),"")</f>
        <v/>
      </c>
      <c r="AB848" s="42" t="str">
        <f ca="1">IFERROR(__xludf.DUMMYFUNCTION("IFERROR(VLOOKUP(F871,IMPORTRANGE(""https://docs.google.com/spreadsheets/d/1Kvs4KS76FHFqLFIZfrDMff4kP08nblUkihrxltoGBjg/edit#gid=934712705"",""ESENCIAL!A6:BG""),15,FALSE))"),"")</f>
        <v/>
      </c>
      <c r="AC848" s="110" t="str">
        <f ca="1">IFERROR(__xludf.DUMMYFUNCTION("IFERROR(VLOOKUP(E871&amp;F871,IMPORTRANGE(""https://docs.google.com/spreadsheets/d/1Uw7-A9f9R21vMXxHZFNpYNeKFtG8_yji4HS352LGlSQ/edit?pli=1#gid=0"",""1_ACUM!A4:S""),13,FALSE))"),"")</f>
        <v/>
      </c>
      <c r="AD848" s="43" t="str">
        <f ca="1">IFERROR(__xludf.DUMMYFUNCTION("IFERROR(VLOOKUP(E871&amp;F871,IMPORTRANGE(""https://docs.google.com/spreadsheets/d/1Uw7-A9f9R21vMXxHZFNpYNeKFtG8_yji4HS352LGlSQ/edit?pli=1#gid=0"",""1_ACUM!A4:S""),13,FALSE))"),"")</f>
        <v/>
      </c>
      <c r="AE848" s="43" t="str">
        <f ca="1">IFERROR(__xludf.DUMMYFUNCTION("IFERROR(VLOOKUP(E871&amp;F871,IMPORTRANGE(""https://docs.google.com/spreadsheets/d/1Uw7-A9f9R21vMXxHZFNpYNeKFtG8_yji4HS352LGlSQ/edit?pli=1#gid=0"",""1_ACUM!A4:S""),14,FALSE))"),"")</f>
        <v/>
      </c>
      <c r="AF848" s="43" t="str">
        <f ca="1">IFERROR(__xludf.DUMMYFUNCTION("IFERROR(VLOOKUP(E871&amp;F871,IMPORTRANGE(""https://docs.google.com/spreadsheets/d/1Uw7-A9f9R21vMXxHZFNpYNeKFtG8_yji4HS352LGlSQ/edit?pli=1#gid=0"",""1_ACUM!A4:S""),15,FALSE))"),"")</f>
        <v/>
      </c>
      <c r="AG848" s="43" t="str">
        <f ca="1">IFERROR(__xludf.DUMMYFUNCTION("IFERROR(VLOOKUP(E871&amp;F871,IMPORTRANGE(""https://docs.google.com/spreadsheets/d/1Uw7-A9f9R21vMXxHZFNpYNeKFtG8_yji4HS352LGlSQ/edit?pli=1#gid=0"",""1_ACUM!A4:S""),16,FALSE))"),"")</f>
        <v/>
      </c>
      <c r="AH848" s="43" t="str">
        <f ca="1">IFERROR(__xludf.DUMMYFUNCTION("IFERROR(VLOOKUP(E871&amp;F871,IMPORTRANGE(""https://docs.google.com/spreadsheets/d/1Uw7-A9f9R21vMXxHZFNpYNeKFtG8_yji4HS352LGlSQ/edit?pli=1#gid=0"",""1_ACUM!A4:S""),17,FALSE))"),"")</f>
        <v/>
      </c>
      <c r="AI848" s="44" t="str">
        <f ca="1">IFERROR(__xludf.DUMMYFUNCTION("IFERROR(VLOOKUP(E871&amp;F871,IMPORTRANGE(""https://docs.google.com/spreadsheets/d/1Uw7-A9f9R21vMXxHZFNpYNeKFtG8_yji4HS352LGlSQ/edit?pli=1#gid=0"",""1_ACUM!A4:S""),18,FALSE))"),"")</f>
        <v/>
      </c>
      <c r="AJ848" s="44" t="str">
        <f ca="1">IFERROR(__xludf.DUMMYFUNCTION("IFERROR(VLOOKUP(E871&amp;F871,IMPORTRANGE(""https://docs.google.com/spreadsheets/d/1Uw7-A9f9R21vMXxHZFNpYNeKFtG8_yji4HS352LGlSQ/edit?pli=1#gid=0"",""1_ACUM!A4:S""),19,FALSE))"),"")</f>
        <v/>
      </c>
      <c r="AK848" s="98" t="str">
        <f ca="1">IFERROR(__xludf.DUMMYFUNCTION("IFERROR(VLOOKUP(F871,IMPORTRANGE(""https://docs.google.com/spreadsheets/d/1Kvs4KS76FHFqLFIZfrDMff4kP08nblUkihrxltoGBjg/edit#gid=934712705"",""ESENCIAL!A6:BG""),5,FALSE))"),"")</f>
        <v/>
      </c>
      <c r="AL848" s="98" t="str">
        <f t="shared" si="51"/>
        <v/>
      </c>
      <c r="AM848" s="99" t="str">
        <f t="shared" si="52"/>
        <v/>
      </c>
      <c r="AN848" s="100" t="str">
        <f ca="1">IFERROR(__xludf.DUMMYFUNCTION("IFERROR(VLOOKUP(F871,IMPORTRANGE(""https://docs.google.com/spreadsheets/d/1Kvs4KS76FHFqLFIZfrDMff4kP08nblUkihrxltoGBjg/edit#gid=934712705"",""ESENCIAL!A6:BG""),2,FALSE))"),"")</f>
        <v/>
      </c>
      <c r="AO848" s="19" t="str">
        <f t="shared" si="46"/>
        <v/>
      </c>
      <c r="AP848" s="100"/>
      <c r="AQ848" s="100"/>
    </row>
    <row r="849" spans="1:43" ht="15">
      <c r="A849" s="5"/>
      <c r="B849" s="5"/>
      <c r="G849" s="5" t="str">
        <f ca="1">IFERROR(__xludf.DUMMYFUNCTION("IFERROR(VLOOKUP(F872,IMPORTRANGE(""https://docs.google.com/spreadsheets/d/1Kvs4KS76FHFqLFIZfrDMff4kP08nblUkihrxltoGBjg/edit#gid=934712705"",""ESENCIAL!A6:BG""),3,FALSE))"),"")</f>
        <v/>
      </c>
      <c r="H849" s="5" t="str">
        <f ca="1">IFERROR(__xludf.DUMMYFUNCTION("IFERROR(VLOOKUP(F872,IMPORTRANGE(""https://docs.google.com/spreadsheets/d/1Kvs4KS76FHFqLFIZfrDMff4kP08nblUkihrxltoGBjg/edit#gid=934712705"",""ESENCIAL!A6:BG""),8,FALSE))"),"")</f>
        <v/>
      </c>
      <c r="L849" s="40"/>
      <c r="Z849" s="41" t="str">
        <f t="shared" si="50"/>
        <v/>
      </c>
      <c r="AA849" s="5" t="str">
        <f ca="1">IFERROR(__xludf.DUMMYFUNCTION("IFERROR(VLOOKUP(E872&amp;F872,IMPORTRANGE(""https://docs.google.com/spreadsheets/d/1Uw7-A9f9R21vMXxHZFNpYNeKFtG8_yji4HS352LGlSQ/edit?pli=1#gid=0"",""1_ACUM!A4:S""),11,FALSE))"),"")</f>
        <v/>
      </c>
      <c r="AB849" s="42" t="str">
        <f ca="1">IFERROR(__xludf.DUMMYFUNCTION("IFERROR(VLOOKUP(F872,IMPORTRANGE(""https://docs.google.com/spreadsheets/d/1Kvs4KS76FHFqLFIZfrDMff4kP08nblUkihrxltoGBjg/edit#gid=934712705"",""ESENCIAL!A6:BG""),15,FALSE))"),"")</f>
        <v/>
      </c>
      <c r="AC849" s="110" t="str">
        <f ca="1">IFERROR(__xludf.DUMMYFUNCTION("IFERROR(VLOOKUP(E872&amp;F872,IMPORTRANGE(""https://docs.google.com/spreadsheets/d/1Uw7-A9f9R21vMXxHZFNpYNeKFtG8_yji4HS352LGlSQ/edit?pli=1#gid=0"",""1_ACUM!A4:S""),13,FALSE))"),"")</f>
        <v/>
      </c>
      <c r="AD849" s="43" t="str">
        <f ca="1">IFERROR(__xludf.DUMMYFUNCTION("IFERROR(VLOOKUP(E872&amp;F872,IMPORTRANGE(""https://docs.google.com/spreadsheets/d/1Uw7-A9f9R21vMXxHZFNpYNeKFtG8_yji4HS352LGlSQ/edit?pli=1#gid=0"",""1_ACUM!A4:S""),13,FALSE))"),"")</f>
        <v/>
      </c>
      <c r="AE849" s="43" t="str">
        <f ca="1">IFERROR(__xludf.DUMMYFUNCTION("IFERROR(VLOOKUP(E872&amp;F872,IMPORTRANGE(""https://docs.google.com/spreadsheets/d/1Uw7-A9f9R21vMXxHZFNpYNeKFtG8_yji4HS352LGlSQ/edit?pli=1#gid=0"",""1_ACUM!A4:S""),14,FALSE))"),"")</f>
        <v/>
      </c>
      <c r="AF849" s="43" t="str">
        <f ca="1">IFERROR(__xludf.DUMMYFUNCTION("IFERROR(VLOOKUP(E872&amp;F872,IMPORTRANGE(""https://docs.google.com/spreadsheets/d/1Uw7-A9f9R21vMXxHZFNpYNeKFtG8_yji4HS352LGlSQ/edit?pli=1#gid=0"",""1_ACUM!A4:S""),15,FALSE))"),"")</f>
        <v/>
      </c>
      <c r="AG849" s="43" t="str">
        <f ca="1">IFERROR(__xludf.DUMMYFUNCTION("IFERROR(VLOOKUP(E872&amp;F872,IMPORTRANGE(""https://docs.google.com/spreadsheets/d/1Uw7-A9f9R21vMXxHZFNpYNeKFtG8_yji4HS352LGlSQ/edit?pli=1#gid=0"",""1_ACUM!A4:S""),16,FALSE))"),"")</f>
        <v/>
      </c>
      <c r="AH849" s="43" t="str">
        <f ca="1">IFERROR(__xludf.DUMMYFUNCTION("IFERROR(VLOOKUP(E872&amp;F872,IMPORTRANGE(""https://docs.google.com/spreadsheets/d/1Uw7-A9f9R21vMXxHZFNpYNeKFtG8_yji4HS352LGlSQ/edit?pli=1#gid=0"",""1_ACUM!A4:S""),17,FALSE))"),"")</f>
        <v/>
      </c>
      <c r="AI849" s="44" t="str">
        <f ca="1">IFERROR(__xludf.DUMMYFUNCTION("IFERROR(VLOOKUP(E872&amp;F872,IMPORTRANGE(""https://docs.google.com/spreadsheets/d/1Uw7-A9f9R21vMXxHZFNpYNeKFtG8_yji4HS352LGlSQ/edit?pli=1#gid=0"",""1_ACUM!A4:S""),18,FALSE))"),"")</f>
        <v/>
      </c>
      <c r="AJ849" s="44" t="str">
        <f ca="1">IFERROR(__xludf.DUMMYFUNCTION("IFERROR(VLOOKUP(E872&amp;F872,IMPORTRANGE(""https://docs.google.com/spreadsheets/d/1Uw7-A9f9R21vMXxHZFNpYNeKFtG8_yji4HS352LGlSQ/edit?pli=1#gid=0"",""1_ACUM!A4:S""),19,FALSE))"),"")</f>
        <v/>
      </c>
      <c r="AK849" s="98" t="str">
        <f ca="1">IFERROR(__xludf.DUMMYFUNCTION("IFERROR(VLOOKUP(F872,IMPORTRANGE(""https://docs.google.com/spreadsheets/d/1Kvs4KS76FHFqLFIZfrDMff4kP08nblUkihrxltoGBjg/edit#gid=934712705"",""ESENCIAL!A6:BG""),5,FALSE))"),"")</f>
        <v/>
      </c>
      <c r="AL849" s="98" t="str">
        <f t="shared" si="51"/>
        <v/>
      </c>
      <c r="AM849" s="99" t="str">
        <f t="shared" si="52"/>
        <v/>
      </c>
      <c r="AN849" s="100" t="str">
        <f ca="1">IFERROR(__xludf.DUMMYFUNCTION("IFERROR(VLOOKUP(F872,IMPORTRANGE(""https://docs.google.com/spreadsheets/d/1Kvs4KS76FHFqLFIZfrDMff4kP08nblUkihrxltoGBjg/edit#gid=934712705"",""ESENCIAL!A6:BG""),2,FALSE))"),"")</f>
        <v/>
      </c>
      <c r="AO849" s="19" t="str">
        <f t="shared" si="46"/>
        <v/>
      </c>
      <c r="AP849" s="100"/>
      <c r="AQ849" s="100"/>
    </row>
    <row r="850" spans="1:43" ht="15">
      <c r="A850" s="5"/>
      <c r="B850" s="5"/>
      <c r="G850" s="5" t="str">
        <f ca="1">IFERROR(__xludf.DUMMYFUNCTION("IFERROR(VLOOKUP(F873,IMPORTRANGE(""https://docs.google.com/spreadsheets/d/1Kvs4KS76FHFqLFIZfrDMff4kP08nblUkihrxltoGBjg/edit#gid=934712705"",""ESENCIAL!A6:BG""),3,FALSE))"),"")</f>
        <v/>
      </c>
      <c r="H850" s="5" t="str">
        <f ca="1">IFERROR(__xludf.DUMMYFUNCTION("IFERROR(VLOOKUP(F873,IMPORTRANGE(""https://docs.google.com/spreadsheets/d/1Kvs4KS76FHFqLFIZfrDMff4kP08nblUkihrxltoGBjg/edit#gid=934712705"",""ESENCIAL!A6:BG""),8,FALSE))"),"")</f>
        <v/>
      </c>
      <c r="L850" s="40"/>
      <c r="Z850" s="41" t="str">
        <f t="shared" si="50"/>
        <v/>
      </c>
      <c r="AA850" s="5" t="str">
        <f ca="1">IFERROR(__xludf.DUMMYFUNCTION("IFERROR(VLOOKUP(E873&amp;F873,IMPORTRANGE(""https://docs.google.com/spreadsheets/d/1Uw7-A9f9R21vMXxHZFNpYNeKFtG8_yji4HS352LGlSQ/edit?pli=1#gid=0"",""1_ACUM!A4:S""),11,FALSE))"),"")</f>
        <v/>
      </c>
      <c r="AB850" s="42" t="str">
        <f ca="1">IFERROR(__xludf.DUMMYFUNCTION("IFERROR(VLOOKUP(F873,IMPORTRANGE(""https://docs.google.com/spreadsheets/d/1Kvs4KS76FHFqLFIZfrDMff4kP08nblUkihrxltoGBjg/edit#gid=934712705"",""ESENCIAL!A6:BG""),15,FALSE))"),"")</f>
        <v/>
      </c>
      <c r="AC850" s="110" t="str">
        <f ca="1">IFERROR(__xludf.DUMMYFUNCTION("IFERROR(VLOOKUP(E873&amp;F873,IMPORTRANGE(""https://docs.google.com/spreadsheets/d/1Uw7-A9f9R21vMXxHZFNpYNeKFtG8_yji4HS352LGlSQ/edit?pli=1#gid=0"",""1_ACUM!A4:S""),13,FALSE))"),"")</f>
        <v/>
      </c>
      <c r="AD850" s="43" t="str">
        <f ca="1">IFERROR(__xludf.DUMMYFUNCTION("IFERROR(VLOOKUP(E873&amp;F873,IMPORTRANGE(""https://docs.google.com/spreadsheets/d/1Uw7-A9f9R21vMXxHZFNpYNeKFtG8_yji4HS352LGlSQ/edit?pli=1#gid=0"",""1_ACUM!A4:S""),13,FALSE))"),"")</f>
        <v/>
      </c>
      <c r="AE850" s="43" t="str">
        <f ca="1">IFERROR(__xludf.DUMMYFUNCTION("IFERROR(VLOOKUP(E873&amp;F873,IMPORTRANGE(""https://docs.google.com/spreadsheets/d/1Uw7-A9f9R21vMXxHZFNpYNeKFtG8_yji4HS352LGlSQ/edit?pli=1#gid=0"",""1_ACUM!A4:S""),14,FALSE))"),"")</f>
        <v/>
      </c>
      <c r="AF850" s="43" t="str">
        <f ca="1">IFERROR(__xludf.DUMMYFUNCTION("IFERROR(VLOOKUP(E873&amp;F873,IMPORTRANGE(""https://docs.google.com/spreadsheets/d/1Uw7-A9f9R21vMXxHZFNpYNeKFtG8_yji4HS352LGlSQ/edit?pli=1#gid=0"",""1_ACUM!A4:S""),15,FALSE))"),"")</f>
        <v/>
      </c>
      <c r="AG850" s="43" t="str">
        <f ca="1">IFERROR(__xludf.DUMMYFUNCTION("IFERROR(VLOOKUP(E873&amp;F873,IMPORTRANGE(""https://docs.google.com/spreadsheets/d/1Uw7-A9f9R21vMXxHZFNpYNeKFtG8_yji4HS352LGlSQ/edit?pli=1#gid=0"",""1_ACUM!A4:S""),16,FALSE))"),"")</f>
        <v/>
      </c>
      <c r="AH850" s="43" t="str">
        <f ca="1">IFERROR(__xludf.DUMMYFUNCTION("IFERROR(VLOOKUP(E873&amp;F873,IMPORTRANGE(""https://docs.google.com/spreadsheets/d/1Uw7-A9f9R21vMXxHZFNpYNeKFtG8_yji4HS352LGlSQ/edit?pli=1#gid=0"",""1_ACUM!A4:S""),17,FALSE))"),"")</f>
        <v/>
      </c>
      <c r="AI850" s="44" t="str">
        <f ca="1">IFERROR(__xludf.DUMMYFUNCTION("IFERROR(VLOOKUP(E873&amp;F873,IMPORTRANGE(""https://docs.google.com/spreadsheets/d/1Uw7-A9f9R21vMXxHZFNpYNeKFtG8_yji4HS352LGlSQ/edit?pli=1#gid=0"",""1_ACUM!A4:S""),18,FALSE))"),"")</f>
        <v/>
      </c>
      <c r="AJ850" s="44" t="str">
        <f ca="1">IFERROR(__xludf.DUMMYFUNCTION("IFERROR(VLOOKUP(E873&amp;F873,IMPORTRANGE(""https://docs.google.com/spreadsheets/d/1Uw7-A9f9R21vMXxHZFNpYNeKFtG8_yji4HS352LGlSQ/edit?pli=1#gid=0"",""1_ACUM!A4:S""),19,FALSE))"),"")</f>
        <v/>
      </c>
      <c r="AK850" s="98" t="str">
        <f ca="1">IFERROR(__xludf.DUMMYFUNCTION("IFERROR(VLOOKUP(F873,IMPORTRANGE(""https://docs.google.com/spreadsheets/d/1Kvs4KS76FHFqLFIZfrDMff4kP08nblUkihrxltoGBjg/edit#gid=934712705"",""ESENCIAL!A6:BG""),5,FALSE))"),"")</f>
        <v/>
      </c>
      <c r="AL850" s="98" t="str">
        <f t="shared" si="51"/>
        <v/>
      </c>
      <c r="AM850" s="99" t="str">
        <f t="shared" si="52"/>
        <v/>
      </c>
      <c r="AN850" s="100" t="str">
        <f ca="1">IFERROR(__xludf.DUMMYFUNCTION("IFERROR(VLOOKUP(F873,IMPORTRANGE(""https://docs.google.com/spreadsheets/d/1Kvs4KS76FHFqLFIZfrDMff4kP08nblUkihrxltoGBjg/edit#gid=934712705"",""ESENCIAL!A6:BG""),2,FALSE))"),"")</f>
        <v/>
      </c>
      <c r="AO850" s="19" t="str">
        <f t="shared" si="46"/>
        <v/>
      </c>
      <c r="AP850" s="100"/>
      <c r="AQ850" s="100"/>
    </row>
    <row r="851" spans="1:43" ht="15">
      <c r="A851" s="5"/>
      <c r="B851" s="5"/>
      <c r="G851" s="5" t="str">
        <f ca="1">IFERROR(__xludf.DUMMYFUNCTION("IFERROR(VLOOKUP(F874,IMPORTRANGE(""https://docs.google.com/spreadsheets/d/1Kvs4KS76FHFqLFIZfrDMff4kP08nblUkihrxltoGBjg/edit#gid=934712705"",""ESENCIAL!A6:BG""),3,FALSE))"),"")</f>
        <v/>
      </c>
      <c r="H851" s="5" t="str">
        <f ca="1">IFERROR(__xludf.DUMMYFUNCTION("IFERROR(VLOOKUP(F874,IMPORTRANGE(""https://docs.google.com/spreadsheets/d/1Kvs4KS76FHFqLFIZfrDMff4kP08nblUkihrxltoGBjg/edit#gid=934712705"",""ESENCIAL!A6:BG""),8,FALSE))"),"")</f>
        <v/>
      </c>
      <c r="L851" s="40"/>
      <c r="Z851" s="41" t="str">
        <f t="shared" si="50"/>
        <v/>
      </c>
      <c r="AA851" s="5" t="str">
        <f ca="1">IFERROR(__xludf.DUMMYFUNCTION("IFERROR(VLOOKUP(E874&amp;F874,IMPORTRANGE(""https://docs.google.com/spreadsheets/d/1Uw7-A9f9R21vMXxHZFNpYNeKFtG8_yji4HS352LGlSQ/edit?pli=1#gid=0"",""1_ACUM!A4:S""),11,FALSE))"),"")</f>
        <v/>
      </c>
      <c r="AB851" s="42" t="str">
        <f ca="1">IFERROR(__xludf.DUMMYFUNCTION("IFERROR(VLOOKUP(F874,IMPORTRANGE(""https://docs.google.com/spreadsheets/d/1Kvs4KS76FHFqLFIZfrDMff4kP08nblUkihrxltoGBjg/edit#gid=934712705"",""ESENCIAL!A6:BG""),15,FALSE))"),"")</f>
        <v/>
      </c>
      <c r="AC851" s="110" t="str">
        <f ca="1">IFERROR(__xludf.DUMMYFUNCTION("IFERROR(VLOOKUP(E874&amp;F874,IMPORTRANGE(""https://docs.google.com/spreadsheets/d/1Uw7-A9f9R21vMXxHZFNpYNeKFtG8_yji4HS352LGlSQ/edit?pli=1#gid=0"",""1_ACUM!A4:S""),13,FALSE))"),"")</f>
        <v/>
      </c>
      <c r="AD851" s="43" t="str">
        <f ca="1">IFERROR(__xludf.DUMMYFUNCTION("IFERROR(VLOOKUP(E874&amp;F874,IMPORTRANGE(""https://docs.google.com/spreadsheets/d/1Uw7-A9f9R21vMXxHZFNpYNeKFtG8_yji4HS352LGlSQ/edit?pli=1#gid=0"",""1_ACUM!A4:S""),13,FALSE))"),"")</f>
        <v/>
      </c>
      <c r="AE851" s="43" t="str">
        <f ca="1">IFERROR(__xludf.DUMMYFUNCTION("IFERROR(VLOOKUP(E874&amp;F874,IMPORTRANGE(""https://docs.google.com/spreadsheets/d/1Uw7-A9f9R21vMXxHZFNpYNeKFtG8_yji4HS352LGlSQ/edit?pli=1#gid=0"",""1_ACUM!A4:S""),14,FALSE))"),"")</f>
        <v/>
      </c>
      <c r="AF851" s="43" t="str">
        <f ca="1">IFERROR(__xludf.DUMMYFUNCTION("IFERROR(VLOOKUP(E874&amp;F874,IMPORTRANGE(""https://docs.google.com/spreadsheets/d/1Uw7-A9f9R21vMXxHZFNpYNeKFtG8_yji4HS352LGlSQ/edit?pli=1#gid=0"",""1_ACUM!A4:S""),15,FALSE))"),"")</f>
        <v/>
      </c>
      <c r="AG851" s="43" t="str">
        <f ca="1">IFERROR(__xludf.DUMMYFUNCTION("IFERROR(VLOOKUP(E874&amp;F874,IMPORTRANGE(""https://docs.google.com/spreadsheets/d/1Uw7-A9f9R21vMXxHZFNpYNeKFtG8_yji4HS352LGlSQ/edit?pli=1#gid=0"",""1_ACUM!A4:S""),16,FALSE))"),"")</f>
        <v/>
      </c>
      <c r="AH851" s="43" t="str">
        <f ca="1">IFERROR(__xludf.DUMMYFUNCTION("IFERROR(VLOOKUP(E874&amp;F874,IMPORTRANGE(""https://docs.google.com/spreadsheets/d/1Uw7-A9f9R21vMXxHZFNpYNeKFtG8_yji4HS352LGlSQ/edit?pli=1#gid=0"",""1_ACUM!A4:S""),17,FALSE))"),"")</f>
        <v/>
      </c>
      <c r="AI851" s="44" t="str">
        <f ca="1">IFERROR(__xludf.DUMMYFUNCTION("IFERROR(VLOOKUP(E874&amp;F874,IMPORTRANGE(""https://docs.google.com/spreadsheets/d/1Uw7-A9f9R21vMXxHZFNpYNeKFtG8_yji4HS352LGlSQ/edit?pli=1#gid=0"",""1_ACUM!A4:S""),18,FALSE))"),"")</f>
        <v/>
      </c>
      <c r="AJ851" s="44" t="str">
        <f ca="1">IFERROR(__xludf.DUMMYFUNCTION("IFERROR(VLOOKUP(E874&amp;F874,IMPORTRANGE(""https://docs.google.com/spreadsheets/d/1Uw7-A9f9R21vMXxHZFNpYNeKFtG8_yji4HS352LGlSQ/edit?pli=1#gid=0"",""1_ACUM!A4:S""),19,FALSE))"),"")</f>
        <v/>
      </c>
      <c r="AK851" s="98" t="str">
        <f ca="1">IFERROR(__xludf.DUMMYFUNCTION("IFERROR(VLOOKUP(F874,IMPORTRANGE(""https://docs.google.com/spreadsheets/d/1Kvs4KS76FHFqLFIZfrDMff4kP08nblUkihrxltoGBjg/edit#gid=934712705"",""ESENCIAL!A6:BG""),5,FALSE))"),"")</f>
        <v/>
      </c>
      <c r="AL851" s="98" t="str">
        <f t="shared" si="51"/>
        <v/>
      </c>
      <c r="AM851" s="99" t="str">
        <f t="shared" si="52"/>
        <v/>
      </c>
      <c r="AN851" s="100" t="str">
        <f ca="1">IFERROR(__xludf.DUMMYFUNCTION("IFERROR(VLOOKUP(F874,IMPORTRANGE(""https://docs.google.com/spreadsheets/d/1Kvs4KS76FHFqLFIZfrDMff4kP08nblUkihrxltoGBjg/edit#gid=934712705"",""ESENCIAL!A6:BG""),2,FALSE))"),"")</f>
        <v/>
      </c>
      <c r="AO851" s="19" t="str">
        <f t="shared" si="46"/>
        <v/>
      </c>
      <c r="AP851" s="100"/>
      <c r="AQ851" s="100"/>
    </row>
    <row r="852" spans="1:43" ht="15">
      <c r="A852" s="5"/>
      <c r="B852" s="5"/>
      <c r="G852" s="5" t="str">
        <f ca="1">IFERROR(__xludf.DUMMYFUNCTION("IFERROR(VLOOKUP(F875,IMPORTRANGE(""https://docs.google.com/spreadsheets/d/1Kvs4KS76FHFqLFIZfrDMff4kP08nblUkihrxltoGBjg/edit#gid=934712705"",""ESENCIAL!A6:BG""),3,FALSE))"),"")</f>
        <v/>
      </c>
      <c r="H852" s="5" t="str">
        <f ca="1">IFERROR(__xludf.DUMMYFUNCTION("IFERROR(VLOOKUP(F875,IMPORTRANGE(""https://docs.google.com/spreadsheets/d/1Kvs4KS76FHFqLFIZfrDMff4kP08nblUkihrxltoGBjg/edit#gid=934712705"",""ESENCIAL!A6:BG""),8,FALSE))"),"")</f>
        <v/>
      </c>
      <c r="L852" s="40"/>
      <c r="Z852" s="41" t="str">
        <f t="shared" si="50"/>
        <v/>
      </c>
      <c r="AA852" s="5" t="str">
        <f ca="1">IFERROR(__xludf.DUMMYFUNCTION("IFERROR(VLOOKUP(E875&amp;F875,IMPORTRANGE(""https://docs.google.com/spreadsheets/d/1Uw7-A9f9R21vMXxHZFNpYNeKFtG8_yji4HS352LGlSQ/edit?pli=1#gid=0"",""1_ACUM!A4:S""),11,FALSE))"),"")</f>
        <v/>
      </c>
      <c r="AB852" s="42" t="str">
        <f ca="1">IFERROR(__xludf.DUMMYFUNCTION("IFERROR(VLOOKUP(F875,IMPORTRANGE(""https://docs.google.com/spreadsheets/d/1Kvs4KS76FHFqLFIZfrDMff4kP08nblUkihrxltoGBjg/edit#gid=934712705"",""ESENCIAL!A6:BG""),15,FALSE))"),"")</f>
        <v/>
      </c>
      <c r="AC852" s="110" t="str">
        <f ca="1">IFERROR(__xludf.DUMMYFUNCTION("IFERROR(VLOOKUP(E875&amp;F875,IMPORTRANGE(""https://docs.google.com/spreadsheets/d/1Uw7-A9f9R21vMXxHZFNpYNeKFtG8_yji4HS352LGlSQ/edit?pli=1#gid=0"",""1_ACUM!A4:S""),13,FALSE))"),"")</f>
        <v/>
      </c>
      <c r="AD852" s="43" t="str">
        <f ca="1">IFERROR(__xludf.DUMMYFUNCTION("IFERROR(VLOOKUP(E875&amp;F875,IMPORTRANGE(""https://docs.google.com/spreadsheets/d/1Uw7-A9f9R21vMXxHZFNpYNeKFtG8_yji4HS352LGlSQ/edit?pli=1#gid=0"",""1_ACUM!A4:S""),13,FALSE))"),"")</f>
        <v/>
      </c>
      <c r="AE852" s="43" t="str">
        <f ca="1">IFERROR(__xludf.DUMMYFUNCTION("IFERROR(VLOOKUP(E875&amp;F875,IMPORTRANGE(""https://docs.google.com/spreadsheets/d/1Uw7-A9f9R21vMXxHZFNpYNeKFtG8_yji4HS352LGlSQ/edit?pli=1#gid=0"",""1_ACUM!A4:S""),14,FALSE))"),"")</f>
        <v/>
      </c>
      <c r="AF852" s="43" t="str">
        <f ca="1">IFERROR(__xludf.DUMMYFUNCTION("IFERROR(VLOOKUP(E875&amp;F875,IMPORTRANGE(""https://docs.google.com/spreadsheets/d/1Uw7-A9f9R21vMXxHZFNpYNeKFtG8_yji4HS352LGlSQ/edit?pli=1#gid=0"",""1_ACUM!A4:S""),15,FALSE))"),"")</f>
        <v/>
      </c>
      <c r="AG852" s="43" t="str">
        <f ca="1">IFERROR(__xludf.DUMMYFUNCTION("IFERROR(VLOOKUP(E875&amp;F875,IMPORTRANGE(""https://docs.google.com/spreadsheets/d/1Uw7-A9f9R21vMXxHZFNpYNeKFtG8_yji4HS352LGlSQ/edit?pli=1#gid=0"",""1_ACUM!A4:S""),16,FALSE))"),"")</f>
        <v/>
      </c>
      <c r="AH852" s="43" t="str">
        <f ca="1">IFERROR(__xludf.DUMMYFUNCTION("IFERROR(VLOOKUP(E875&amp;F875,IMPORTRANGE(""https://docs.google.com/spreadsheets/d/1Uw7-A9f9R21vMXxHZFNpYNeKFtG8_yji4HS352LGlSQ/edit?pli=1#gid=0"",""1_ACUM!A4:S""),17,FALSE))"),"")</f>
        <v/>
      </c>
      <c r="AI852" s="44" t="str">
        <f ca="1">IFERROR(__xludf.DUMMYFUNCTION("IFERROR(VLOOKUP(E875&amp;F875,IMPORTRANGE(""https://docs.google.com/spreadsheets/d/1Uw7-A9f9R21vMXxHZFNpYNeKFtG8_yji4HS352LGlSQ/edit?pli=1#gid=0"",""1_ACUM!A4:S""),18,FALSE))"),"")</f>
        <v/>
      </c>
      <c r="AJ852" s="44" t="str">
        <f ca="1">IFERROR(__xludf.DUMMYFUNCTION("IFERROR(VLOOKUP(E875&amp;F875,IMPORTRANGE(""https://docs.google.com/spreadsheets/d/1Uw7-A9f9R21vMXxHZFNpYNeKFtG8_yji4HS352LGlSQ/edit?pli=1#gid=0"",""1_ACUM!A4:S""),19,FALSE))"),"")</f>
        <v/>
      </c>
      <c r="AK852" s="98" t="str">
        <f ca="1">IFERROR(__xludf.DUMMYFUNCTION("IFERROR(VLOOKUP(F875,IMPORTRANGE(""https://docs.google.com/spreadsheets/d/1Kvs4KS76FHFqLFIZfrDMff4kP08nblUkihrxltoGBjg/edit#gid=934712705"",""ESENCIAL!A6:BG""),5,FALSE))"),"")</f>
        <v/>
      </c>
      <c r="AL852" s="98" t="str">
        <f t="shared" si="51"/>
        <v/>
      </c>
      <c r="AM852" s="99" t="str">
        <f t="shared" si="52"/>
        <v/>
      </c>
      <c r="AN852" s="100" t="str">
        <f ca="1">IFERROR(__xludf.DUMMYFUNCTION("IFERROR(VLOOKUP(F875,IMPORTRANGE(""https://docs.google.com/spreadsheets/d/1Kvs4KS76FHFqLFIZfrDMff4kP08nblUkihrxltoGBjg/edit#gid=934712705"",""ESENCIAL!A6:BG""),2,FALSE))"),"")</f>
        <v/>
      </c>
      <c r="AO852" s="19" t="str">
        <f t="shared" si="46"/>
        <v/>
      </c>
      <c r="AP852" s="100"/>
      <c r="AQ852" s="100"/>
    </row>
    <row r="853" spans="1:43" ht="15">
      <c r="A853" s="5"/>
      <c r="B853" s="5"/>
      <c r="G853" s="5" t="str">
        <f ca="1">IFERROR(__xludf.DUMMYFUNCTION("IFERROR(VLOOKUP(F876,IMPORTRANGE(""https://docs.google.com/spreadsheets/d/1Kvs4KS76FHFqLFIZfrDMff4kP08nblUkihrxltoGBjg/edit#gid=934712705"",""ESENCIAL!A6:BG""),3,FALSE))"),"")</f>
        <v/>
      </c>
      <c r="H853" s="5" t="str">
        <f ca="1">IFERROR(__xludf.DUMMYFUNCTION("IFERROR(VLOOKUP(F876,IMPORTRANGE(""https://docs.google.com/spreadsheets/d/1Kvs4KS76FHFqLFIZfrDMff4kP08nblUkihrxltoGBjg/edit#gid=934712705"",""ESENCIAL!A6:BG""),8,FALSE))"),"")</f>
        <v/>
      </c>
      <c r="L853" s="40"/>
      <c r="Z853" s="41" t="str">
        <f t="shared" si="50"/>
        <v/>
      </c>
      <c r="AA853" s="5" t="str">
        <f ca="1">IFERROR(__xludf.DUMMYFUNCTION("IFERROR(VLOOKUP(E876&amp;F876,IMPORTRANGE(""https://docs.google.com/spreadsheets/d/1Uw7-A9f9R21vMXxHZFNpYNeKFtG8_yji4HS352LGlSQ/edit?pli=1#gid=0"",""1_ACUM!A4:S""),11,FALSE))"),"")</f>
        <v/>
      </c>
      <c r="AB853" s="42" t="str">
        <f ca="1">IFERROR(__xludf.DUMMYFUNCTION("IFERROR(VLOOKUP(F876,IMPORTRANGE(""https://docs.google.com/spreadsheets/d/1Kvs4KS76FHFqLFIZfrDMff4kP08nblUkihrxltoGBjg/edit#gid=934712705"",""ESENCIAL!A6:BG""),15,FALSE))"),"")</f>
        <v/>
      </c>
      <c r="AC853" s="110" t="str">
        <f ca="1">IFERROR(__xludf.DUMMYFUNCTION("IFERROR(VLOOKUP(E876&amp;F876,IMPORTRANGE(""https://docs.google.com/spreadsheets/d/1Uw7-A9f9R21vMXxHZFNpYNeKFtG8_yji4HS352LGlSQ/edit?pli=1#gid=0"",""1_ACUM!A4:S""),13,FALSE))"),"")</f>
        <v/>
      </c>
      <c r="AD853" s="43" t="str">
        <f ca="1">IFERROR(__xludf.DUMMYFUNCTION("IFERROR(VLOOKUP(E876&amp;F876,IMPORTRANGE(""https://docs.google.com/spreadsheets/d/1Uw7-A9f9R21vMXxHZFNpYNeKFtG8_yji4HS352LGlSQ/edit?pli=1#gid=0"",""1_ACUM!A4:S""),13,FALSE))"),"")</f>
        <v/>
      </c>
      <c r="AE853" s="43" t="str">
        <f ca="1">IFERROR(__xludf.DUMMYFUNCTION("IFERROR(VLOOKUP(E876&amp;F876,IMPORTRANGE(""https://docs.google.com/spreadsheets/d/1Uw7-A9f9R21vMXxHZFNpYNeKFtG8_yji4HS352LGlSQ/edit?pli=1#gid=0"",""1_ACUM!A4:S""),14,FALSE))"),"")</f>
        <v/>
      </c>
      <c r="AF853" s="43" t="str">
        <f ca="1">IFERROR(__xludf.DUMMYFUNCTION("IFERROR(VLOOKUP(E876&amp;F876,IMPORTRANGE(""https://docs.google.com/spreadsheets/d/1Uw7-A9f9R21vMXxHZFNpYNeKFtG8_yji4HS352LGlSQ/edit?pli=1#gid=0"",""1_ACUM!A4:S""),15,FALSE))"),"")</f>
        <v/>
      </c>
      <c r="AG853" s="43" t="str">
        <f ca="1">IFERROR(__xludf.DUMMYFUNCTION("IFERROR(VLOOKUP(E876&amp;F876,IMPORTRANGE(""https://docs.google.com/spreadsheets/d/1Uw7-A9f9R21vMXxHZFNpYNeKFtG8_yji4HS352LGlSQ/edit?pli=1#gid=0"",""1_ACUM!A4:S""),16,FALSE))"),"")</f>
        <v/>
      </c>
      <c r="AH853" s="43" t="str">
        <f ca="1">IFERROR(__xludf.DUMMYFUNCTION("IFERROR(VLOOKUP(E876&amp;F876,IMPORTRANGE(""https://docs.google.com/spreadsheets/d/1Uw7-A9f9R21vMXxHZFNpYNeKFtG8_yji4HS352LGlSQ/edit?pli=1#gid=0"",""1_ACUM!A4:S""),17,FALSE))"),"")</f>
        <v/>
      </c>
      <c r="AI853" s="44" t="str">
        <f ca="1">IFERROR(__xludf.DUMMYFUNCTION("IFERROR(VLOOKUP(E876&amp;F876,IMPORTRANGE(""https://docs.google.com/spreadsheets/d/1Uw7-A9f9R21vMXxHZFNpYNeKFtG8_yji4HS352LGlSQ/edit?pli=1#gid=0"",""1_ACUM!A4:S""),18,FALSE))"),"")</f>
        <v/>
      </c>
      <c r="AJ853" s="44" t="str">
        <f ca="1">IFERROR(__xludf.DUMMYFUNCTION("IFERROR(VLOOKUP(E876&amp;F876,IMPORTRANGE(""https://docs.google.com/spreadsheets/d/1Uw7-A9f9R21vMXxHZFNpYNeKFtG8_yji4HS352LGlSQ/edit?pli=1#gid=0"",""1_ACUM!A4:S""),19,FALSE))"),"")</f>
        <v/>
      </c>
      <c r="AK853" s="98" t="str">
        <f ca="1">IFERROR(__xludf.DUMMYFUNCTION("IFERROR(VLOOKUP(F876,IMPORTRANGE(""https://docs.google.com/spreadsheets/d/1Kvs4KS76FHFqLFIZfrDMff4kP08nblUkihrxltoGBjg/edit#gid=934712705"",""ESENCIAL!A6:BG""),5,FALSE))"),"")</f>
        <v/>
      </c>
      <c r="AL853" s="98" t="str">
        <f t="shared" si="51"/>
        <v/>
      </c>
      <c r="AM853" s="99" t="str">
        <f t="shared" si="52"/>
        <v/>
      </c>
      <c r="AN853" s="100" t="str">
        <f ca="1">IFERROR(__xludf.DUMMYFUNCTION("IFERROR(VLOOKUP(F876,IMPORTRANGE(""https://docs.google.com/spreadsheets/d/1Kvs4KS76FHFqLFIZfrDMff4kP08nblUkihrxltoGBjg/edit#gid=934712705"",""ESENCIAL!A6:BG""),2,FALSE))"),"")</f>
        <v/>
      </c>
      <c r="AO853" s="19" t="str">
        <f t="shared" si="46"/>
        <v/>
      </c>
      <c r="AP853" s="100"/>
      <c r="AQ853" s="100"/>
    </row>
    <row r="854" spans="1:43" ht="15">
      <c r="A854" s="5"/>
      <c r="B854" s="5"/>
      <c r="G854" s="5" t="str">
        <f ca="1">IFERROR(__xludf.DUMMYFUNCTION("IFERROR(VLOOKUP(F877,IMPORTRANGE(""https://docs.google.com/spreadsheets/d/1Kvs4KS76FHFqLFIZfrDMff4kP08nblUkihrxltoGBjg/edit#gid=934712705"",""ESENCIAL!A6:BG""),3,FALSE))"),"")</f>
        <v/>
      </c>
      <c r="H854" s="5" t="str">
        <f ca="1">IFERROR(__xludf.DUMMYFUNCTION("IFERROR(VLOOKUP(F877,IMPORTRANGE(""https://docs.google.com/spreadsheets/d/1Kvs4KS76FHFqLFIZfrDMff4kP08nblUkihrxltoGBjg/edit#gid=934712705"",""ESENCIAL!A6:BG""),8,FALSE))"),"")</f>
        <v/>
      </c>
      <c r="L854" s="40"/>
      <c r="Z854" s="41" t="str">
        <f t="shared" si="50"/>
        <v/>
      </c>
      <c r="AA854" s="5" t="str">
        <f ca="1">IFERROR(__xludf.DUMMYFUNCTION("IFERROR(VLOOKUP(E877&amp;F877,IMPORTRANGE(""https://docs.google.com/spreadsheets/d/1Uw7-A9f9R21vMXxHZFNpYNeKFtG8_yji4HS352LGlSQ/edit?pli=1#gid=0"",""1_ACUM!A4:S""),11,FALSE))"),"")</f>
        <v/>
      </c>
      <c r="AB854" s="42" t="str">
        <f ca="1">IFERROR(__xludf.DUMMYFUNCTION("IFERROR(VLOOKUP(F877,IMPORTRANGE(""https://docs.google.com/spreadsheets/d/1Kvs4KS76FHFqLFIZfrDMff4kP08nblUkihrxltoGBjg/edit#gid=934712705"",""ESENCIAL!A6:BG""),15,FALSE))"),"")</f>
        <v/>
      </c>
      <c r="AC854" s="110" t="str">
        <f ca="1">IFERROR(__xludf.DUMMYFUNCTION("IFERROR(VLOOKUP(E877&amp;F877,IMPORTRANGE(""https://docs.google.com/spreadsheets/d/1Uw7-A9f9R21vMXxHZFNpYNeKFtG8_yji4HS352LGlSQ/edit?pli=1#gid=0"",""1_ACUM!A4:S""),13,FALSE))"),"")</f>
        <v/>
      </c>
      <c r="AD854" s="43" t="str">
        <f ca="1">IFERROR(__xludf.DUMMYFUNCTION("IFERROR(VLOOKUP(E877&amp;F877,IMPORTRANGE(""https://docs.google.com/spreadsheets/d/1Uw7-A9f9R21vMXxHZFNpYNeKFtG8_yji4HS352LGlSQ/edit?pli=1#gid=0"",""1_ACUM!A4:S""),13,FALSE))"),"")</f>
        <v/>
      </c>
      <c r="AE854" s="43" t="str">
        <f ca="1">IFERROR(__xludf.DUMMYFUNCTION("IFERROR(VLOOKUP(E877&amp;F877,IMPORTRANGE(""https://docs.google.com/spreadsheets/d/1Uw7-A9f9R21vMXxHZFNpYNeKFtG8_yji4HS352LGlSQ/edit?pli=1#gid=0"",""1_ACUM!A4:S""),14,FALSE))"),"")</f>
        <v/>
      </c>
      <c r="AF854" s="43" t="str">
        <f ca="1">IFERROR(__xludf.DUMMYFUNCTION("IFERROR(VLOOKUP(E877&amp;F877,IMPORTRANGE(""https://docs.google.com/spreadsheets/d/1Uw7-A9f9R21vMXxHZFNpYNeKFtG8_yji4HS352LGlSQ/edit?pli=1#gid=0"",""1_ACUM!A4:S""),15,FALSE))"),"")</f>
        <v/>
      </c>
      <c r="AG854" s="43" t="str">
        <f ca="1">IFERROR(__xludf.DUMMYFUNCTION("IFERROR(VLOOKUP(E877&amp;F877,IMPORTRANGE(""https://docs.google.com/spreadsheets/d/1Uw7-A9f9R21vMXxHZFNpYNeKFtG8_yji4HS352LGlSQ/edit?pli=1#gid=0"",""1_ACUM!A4:S""),16,FALSE))"),"")</f>
        <v/>
      </c>
      <c r="AH854" s="43" t="str">
        <f ca="1">IFERROR(__xludf.DUMMYFUNCTION("IFERROR(VLOOKUP(E877&amp;F877,IMPORTRANGE(""https://docs.google.com/spreadsheets/d/1Uw7-A9f9R21vMXxHZFNpYNeKFtG8_yji4HS352LGlSQ/edit?pli=1#gid=0"",""1_ACUM!A4:S""),17,FALSE))"),"")</f>
        <v/>
      </c>
      <c r="AI854" s="44" t="str">
        <f ca="1">IFERROR(__xludf.DUMMYFUNCTION("IFERROR(VLOOKUP(E877&amp;F877,IMPORTRANGE(""https://docs.google.com/spreadsheets/d/1Uw7-A9f9R21vMXxHZFNpYNeKFtG8_yji4HS352LGlSQ/edit?pli=1#gid=0"",""1_ACUM!A4:S""),18,FALSE))"),"")</f>
        <v/>
      </c>
      <c r="AJ854" s="44" t="str">
        <f ca="1">IFERROR(__xludf.DUMMYFUNCTION("IFERROR(VLOOKUP(E877&amp;F877,IMPORTRANGE(""https://docs.google.com/spreadsheets/d/1Uw7-A9f9R21vMXxHZFNpYNeKFtG8_yji4HS352LGlSQ/edit?pli=1#gid=0"",""1_ACUM!A4:S""),19,FALSE))"),"")</f>
        <v/>
      </c>
      <c r="AK854" s="98" t="str">
        <f ca="1">IFERROR(__xludf.DUMMYFUNCTION("IFERROR(VLOOKUP(F877,IMPORTRANGE(""https://docs.google.com/spreadsheets/d/1Kvs4KS76FHFqLFIZfrDMff4kP08nblUkihrxltoGBjg/edit#gid=934712705"",""ESENCIAL!A6:BG""),5,FALSE))"),"")</f>
        <v/>
      </c>
      <c r="AL854" s="98" t="str">
        <f t="shared" si="51"/>
        <v/>
      </c>
      <c r="AM854" s="99" t="str">
        <f t="shared" si="52"/>
        <v/>
      </c>
      <c r="AN854" s="100" t="str">
        <f ca="1">IFERROR(__xludf.DUMMYFUNCTION("IFERROR(VLOOKUP(F877,IMPORTRANGE(""https://docs.google.com/spreadsheets/d/1Kvs4KS76FHFqLFIZfrDMff4kP08nblUkihrxltoGBjg/edit#gid=934712705"",""ESENCIAL!A6:BG""),2,FALSE))"),"")</f>
        <v/>
      </c>
      <c r="AO854" s="19" t="str">
        <f t="shared" si="46"/>
        <v/>
      </c>
      <c r="AP854" s="100"/>
      <c r="AQ854" s="100"/>
    </row>
    <row r="855" spans="1:43" ht="15">
      <c r="A855" s="5"/>
      <c r="B855" s="5"/>
      <c r="G855" s="5" t="str">
        <f ca="1">IFERROR(__xludf.DUMMYFUNCTION("IFERROR(VLOOKUP(F878,IMPORTRANGE(""https://docs.google.com/spreadsheets/d/1Kvs4KS76FHFqLFIZfrDMff4kP08nblUkihrxltoGBjg/edit#gid=934712705"",""ESENCIAL!A6:BG""),3,FALSE))"),"")</f>
        <v/>
      </c>
      <c r="H855" s="5" t="str">
        <f ca="1">IFERROR(__xludf.DUMMYFUNCTION("IFERROR(VLOOKUP(F878,IMPORTRANGE(""https://docs.google.com/spreadsheets/d/1Kvs4KS76FHFqLFIZfrDMff4kP08nblUkihrxltoGBjg/edit#gid=934712705"",""ESENCIAL!A6:BG""),8,FALSE))"),"")</f>
        <v/>
      </c>
      <c r="L855" s="40"/>
      <c r="Z855" s="41" t="str">
        <f t="shared" si="50"/>
        <v/>
      </c>
      <c r="AA855" s="5" t="str">
        <f ca="1">IFERROR(__xludf.DUMMYFUNCTION("IFERROR(VLOOKUP(E878&amp;F878,IMPORTRANGE(""https://docs.google.com/spreadsheets/d/1Uw7-A9f9R21vMXxHZFNpYNeKFtG8_yji4HS352LGlSQ/edit?pli=1#gid=0"",""1_ACUM!A4:S""),11,FALSE))"),"")</f>
        <v/>
      </c>
      <c r="AB855" s="42" t="str">
        <f ca="1">IFERROR(__xludf.DUMMYFUNCTION("IFERROR(VLOOKUP(F878,IMPORTRANGE(""https://docs.google.com/spreadsheets/d/1Kvs4KS76FHFqLFIZfrDMff4kP08nblUkihrxltoGBjg/edit#gid=934712705"",""ESENCIAL!A6:BG""),15,FALSE))"),"")</f>
        <v/>
      </c>
      <c r="AC855" s="110" t="str">
        <f ca="1">IFERROR(__xludf.DUMMYFUNCTION("IFERROR(VLOOKUP(E878&amp;F878,IMPORTRANGE(""https://docs.google.com/spreadsheets/d/1Uw7-A9f9R21vMXxHZFNpYNeKFtG8_yji4HS352LGlSQ/edit?pli=1#gid=0"",""1_ACUM!A4:S""),13,FALSE))"),"")</f>
        <v/>
      </c>
      <c r="AD855" s="43" t="str">
        <f ca="1">IFERROR(__xludf.DUMMYFUNCTION("IFERROR(VLOOKUP(E878&amp;F878,IMPORTRANGE(""https://docs.google.com/spreadsheets/d/1Uw7-A9f9R21vMXxHZFNpYNeKFtG8_yji4HS352LGlSQ/edit?pli=1#gid=0"",""1_ACUM!A4:S""),13,FALSE))"),"")</f>
        <v/>
      </c>
      <c r="AE855" s="43" t="str">
        <f ca="1">IFERROR(__xludf.DUMMYFUNCTION("IFERROR(VLOOKUP(E878&amp;F878,IMPORTRANGE(""https://docs.google.com/spreadsheets/d/1Uw7-A9f9R21vMXxHZFNpYNeKFtG8_yji4HS352LGlSQ/edit?pli=1#gid=0"",""1_ACUM!A4:S""),14,FALSE))"),"")</f>
        <v/>
      </c>
      <c r="AF855" s="43" t="str">
        <f ca="1">IFERROR(__xludf.DUMMYFUNCTION("IFERROR(VLOOKUP(E878&amp;F878,IMPORTRANGE(""https://docs.google.com/spreadsheets/d/1Uw7-A9f9R21vMXxHZFNpYNeKFtG8_yji4HS352LGlSQ/edit?pli=1#gid=0"",""1_ACUM!A4:S""),15,FALSE))"),"")</f>
        <v/>
      </c>
      <c r="AG855" s="43" t="str">
        <f ca="1">IFERROR(__xludf.DUMMYFUNCTION("IFERROR(VLOOKUP(E878&amp;F878,IMPORTRANGE(""https://docs.google.com/spreadsheets/d/1Uw7-A9f9R21vMXxHZFNpYNeKFtG8_yji4HS352LGlSQ/edit?pli=1#gid=0"",""1_ACUM!A4:S""),16,FALSE))"),"")</f>
        <v/>
      </c>
      <c r="AH855" s="43" t="str">
        <f ca="1">IFERROR(__xludf.DUMMYFUNCTION("IFERROR(VLOOKUP(E878&amp;F878,IMPORTRANGE(""https://docs.google.com/spreadsheets/d/1Uw7-A9f9R21vMXxHZFNpYNeKFtG8_yji4HS352LGlSQ/edit?pli=1#gid=0"",""1_ACUM!A4:S""),17,FALSE))"),"")</f>
        <v/>
      </c>
      <c r="AI855" s="44" t="str">
        <f ca="1">IFERROR(__xludf.DUMMYFUNCTION("IFERROR(VLOOKUP(E878&amp;F878,IMPORTRANGE(""https://docs.google.com/spreadsheets/d/1Uw7-A9f9R21vMXxHZFNpYNeKFtG8_yji4HS352LGlSQ/edit?pli=1#gid=0"",""1_ACUM!A4:S""),18,FALSE))"),"")</f>
        <v/>
      </c>
      <c r="AJ855" s="44" t="str">
        <f ca="1">IFERROR(__xludf.DUMMYFUNCTION("IFERROR(VLOOKUP(E878&amp;F878,IMPORTRANGE(""https://docs.google.com/spreadsheets/d/1Uw7-A9f9R21vMXxHZFNpYNeKFtG8_yji4HS352LGlSQ/edit?pli=1#gid=0"",""1_ACUM!A4:S""),19,FALSE))"),"")</f>
        <v/>
      </c>
      <c r="AK855" s="98" t="str">
        <f ca="1">IFERROR(__xludf.DUMMYFUNCTION("IFERROR(VLOOKUP(F878,IMPORTRANGE(""https://docs.google.com/spreadsheets/d/1Kvs4KS76FHFqLFIZfrDMff4kP08nblUkihrxltoGBjg/edit#gid=934712705"",""ESENCIAL!A6:BG""),5,FALSE))"),"")</f>
        <v/>
      </c>
      <c r="AL855" s="98" t="str">
        <f t="shared" si="51"/>
        <v/>
      </c>
      <c r="AM855" s="99" t="str">
        <f t="shared" si="52"/>
        <v/>
      </c>
      <c r="AN855" s="100" t="str">
        <f ca="1">IFERROR(__xludf.DUMMYFUNCTION("IFERROR(VLOOKUP(F878,IMPORTRANGE(""https://docs.google.com/spreadsheets/d/1Kvs4KS76FHFqLFIZfrDMff4kP08nblUkihrxltoGBjg/edit#gid=934712705"",""ESENCIAL!A6:BG""),2,FALSE))"),"")</f>
        <v/>
      </c>
      <c r="AO855" s="19" t="str">
        <f t="shared" si="46"/>
        <v/>
      </c>
      <c r="AP855" s="100"/>
      <c r="AQ855" s="100"/>
    </row>
    <row r="856" spans="1:43" ht="15">
      <c r="A856" s="5"/>
      <c r="B856" s="5"/>
      <c r="G856" s="5" t="str">
        <f ca="1">IFERROR(__xludf.DUMMYFUNCTION("IFERROR(VLOOKUP(F879,IMPORTRANGE(""https://docs.google.com/spreadsheets/d/1Kvs4KS76FHFqLFIZfrDMff4kP08nblUkihrxltoGBjg/edit#gid=934712705"",""ESENCIAL!A6:BG""),3,FALSE))"),"")</f>
        <v/>
      </c>
      <c r="H856" s="5" t="str">
        <f ca="1">IFERROR(__xludf.DUMMYFUNCTION("IFERROR(VLOOKUP(F879,IMPORTRANGE(""https://docs.google.com/spreadsheets/d/1Kvs4KS76FHFqLFIZfrDMff4kP08nblUkihrxltoGBjg/edit#gid=934712705"",""ESENCIAL!A6:BG""),8,FALSE))"),"")</f>
        <v/>
      </c>
      <c r="L856" s="40"/>
      <c r="Z856" s="41" t="str">
        <f t="shared" si="50"/>
        <v/>
      </c>
      <c r="AA856" s="5" t="str">
        <f ca="1">IFERROR(__xludf.DUMMYFUNCTION("IFERROR(VLOOKUP(E879&amp;F879,IMPORTRANGE(""https://docs.google.com/spreadsheets/d/1Uw7-A9f9R21vMXxHZFNpYNeKFtG8_yji4HS352LGlSQ/edit?pli=1#gid=0"",""1_ACUM!A4:S""),11,FALSE))"),"")</f>
        <v/>
      </c>
      <c r="AB856" s="42" t="str">
        <f ca="1">IFERROR(__xludf.DUMMYFUNCTION("IFERROR(VLOOKUP(F879,IMPORTRANGE(""https://docs.google.com/spreadsheets/d/1Kvs4KS76FHFqLFIZfrDMff4kP08nblUkihrxltoGBjg/edit#gid=934712705"",""ESENCIAL!A6:BG""),15,FALSE))"),"")</f>
        <v/>
      </c>
      <c r="AC856" s="110" t="str">
        <f ca="1">IFERROR(__xludf.DUMMYFUNCTION("IFERROR(VLOOKUP(E879&amp;F879,IMPORTRANGE(""https://docs.google.com/spreadsheets/d/1Uw7-A9f9R21vMXxHZFNpYNeKFtG8_yji4HS352LGlSQ/edit?pli=1#gid=0"",""1_ACUM!A4:S""),13,FALSE))"),"")</f>
        <v/>
      </c>
      <c r="AD856" s="43" t="str">
        <f ca="1">IFERROR(__xludf.DUMMYFUNCTION("IFERROR(VLOOKUP(E879&amp;F879,IMPORTRANGE(""https://docs.google.com/spreadsheets/d/1Uw7-A9f9R21vMXxHZFNpYNeKFtG8_yji4HS352LGlSQ/edit?pli=1#gid=0"",""1_ACUM!A4:S""),13,FALSE))"),"")</f>
        <v/>
      </c>
      <c r="AE856" s="43" t="str">
        <f ca="1">IFERROR(__xludf.DUMMYFUNCTION("IFERROR(VLOOKUP(E879&amp;F879,IMPORTRANGE(""https://docs.google.com/spreadsheets/d/1Uw7-A9f9R21vMXxHZFNpYNeKFtG8_yji4HS352LGlSQ/edit?pli=1#gid=0"",""1_ACUM!A4:S""),14,FALSE))"),"")</f>
        <v/>
      </c>
      <c r="AF856" s="43" t="str">
        <f ca="1">IFERROR(__xludf.DUMMYFUNCTION("IFERROR(VLOOKUP(E879&amp;F879,IMPORTRANGE(""https://docs.google.com/spreadsheets/d/1Uw7-A9f9R21vMXxHZFNpYNeKFtG8_yji4HS352LGlSQ/edit?pli=1#gid=0"",""1_ACUM!A4:S""),15,FALSE))"),"")</f>
        <v/>
      </c>
      <c r="AG856" s="43" t="str">
        <f ca="1">IFERROR(__xludf.DUMMYFUNCTION("IFERROR(VLOOKUP(E879&amp;F879,IMPORTRANGE(""https://docs.google.com/spreadsheets/d/1Uw7-A9f9R21vMXxHZFNpYNeKFtG8_yji4HS352LGlSQ/edit?pli=1#gid=0"",""1_ACUM!A4:S""),16,FALSE))"),"")</f>
        <v/>
      </c>
      <c r="AH856" s="43" t="str">
        <f ca="1">IFERROR(__xludf.DUMMYFUNCTION("IFERROR(VLOOKUP(E879&amp;F879,IMPORTRANGE(""https://docs.google.com/spreadsheets/d/1Uw7-A9f9R21vMXxHZFNpYNeKFtG8_yji4HS352LGlSQ/edit?pli=1#gid=0"",""1_ACUM!A4:S""),17,FALSE))"),"")</f>
        <v/>
      </c>
      <c r="AI856" s="44" t="str">
        <f ca="1">IFERROR(__xludf.DUMMYFUNCTION("IFERROR(VLOOKUP(E879&amp;F879,IMPORTRANGE(""https://docs.google.com/spreadsheets/d/1Uw7-A9f9R21vMXxHZFNpYNeKFtG8_yji4HS352LGlSQ/edit?pli=1#gid=0"",""1_ACUM!A4:S""),18,FALSE))"),"")</f>
        <v/>
      </c>
      <c r="AJ856" s="44" t="str">
        <f ca="1">IFERROR(__xludf.DUMMYFUNCTION("IFERROR(VLOOKUP(E879&amp;F879,IMPORTRANGE(""https://docs.google.com/spreadsheets/d/1Uw7-A9f9R21vMXxHZFNpYNeKFtG8_yji4HS352LGlSQ/edit?pli=1#gid=0"",""1_ACUM!A4:S""),19,FALSE))"),"")</f>
        <v/>
      </c>
      <c r="AK856" s="98" t="str">
        <f ca="1">IFERROR(__xludf.DUMMYFUNCTION("IFERROR(VLOOKUP(F879,IMPORTRANGE(""https://docs.google.com/spreadsheets/d/1Kvs4KS76FHFqLFIZfrDMff4kP08nblUkihrxltoGBjg/edit#gid=934712705"",""ESENCIAL!A6:BG""),5,FALSE))"),"")</f>
        <v/>
      </c>
      <c r="AL856" s="98" t="str">
        <f t="shared" si="51"/>
        <v/>
      </c>
      <c r="AM856" s="99" t="str">
        <f t="shared" si="52"/>
        <v/>
      </c>
      <c r="AN856" s="100" t="str">
        <f ca="1">IFERROR(__xludf.DUMMYFUNCTION("IFERROR(VLOOKUP(F879,IMPORTRANGE(""https://docs.google.com/spreadsheets/d/1Kvs4KS76FHFqLFIZfrDMff4kP08nblUkihrxltoGBjg/edit#gid=934712705"",""ESENCIAL!A6:BG""),2,FALSE))"),"")</f>
        <v/>
      </c>
      <c r="AO856" s="19" t="str">
        <f t="shared" si="46"/>
        <v/>
      </c>
      <c r="AP856" s="100"/>
      <c r="AQ856" s="100"/>
    </row>
    <row r="857" spans="1:43" ht="15">
      <c r="A857" s="5"/>
      <c r="B857" s="5"/>
      <c r="G857" s="5" t="str">
        <f ca="1">IFERROR(__xludf.DUMMYFUNCTION("IFERROR(VLOOKUP(F880,IMPORTRANGE(""https://docs.google.com/spreadsheets/d/1Kvs4KS76FHFqLFIZfrDMff4kP08nblUkihrxltoGBjg/edit#gid=934712705"",""ESENCIAL!A6:BG""),3,FALSE))"),"")</f>
        <v/>
      </c>
      <c r="H857" s="5" t="str">
        <f ca="1">IFERROR(__xludf.DUMMYFUNCTION("IFERROR(VLOOKUP(F880,IMPORTRANGE(""https://docs.google.com/spreadsheets/d/1Kvs4KS76FHFqLFIZfrDMff4kP08nblUkihrxltoGBjg/edit#gid=934712705"",""ESENCIAL!A6:BG""),8,FALSE))"),"")</f>
        <v/>
      </c>
      <c r="L857" s="40"/>
      <c r="Z857" s="41" t="str">
        <f t="shared" si="50"/>
        <v/>
      </c>
      <c r="AA857" s="5" t="str">
        <f ca="1">IFERROR(__xludf.DUMMYFUNCTION("IFERROR(VLOOKUP(E880&amp;F880,IMPORTRANGE(""https://docs.google.com/spreadsheets/d/1Uw7-A9f9R21vMXxHZFNpYNeKFtG8_yji4HS352LGlSQ/edit?pli=1#gid=0"",""1_ACUM!A4:S""),11,FALSE))"),"")</f>
        <v/>
      </c>
      <c r="AB857" s="42" t="str">
        <f ca="1">IFERROR(__xludf.DUMMYFUNCTION("IFERROR(VLOOKUP(F880,IMPORTRANGE(""https://docs.google.com/spreadsheets/d/1Kvs4KS76FHFqLFIZfrDMff4kP08nblUkihrxltoGBjg/edit#gid=934712705"",""ESENCIAL!A6:BG""),15,FALSE))"),"")</f>
        <v/>
      </c>
      <c r="AC857" s="110" t="str">
        <f ca="1">IFERROR(__xludf.DUMMYFUNCTION("IFERROR(VLOOKUP(E880&amp;F880,IMPORTRANGE(""https://docs.google.com/spreadsheets/d/1Uw7-A9f9R21vMXxHZFNpYNeKFtG8_yji4HS352LGlSQ/edit?pli=1#gid=0"",""1_ACUM!A4:S""),13,FALSE))"),"")</f>
        <v/>
      </c>
      <c r="AD857" s="43" t="str">
        <f ca="1">IFERROR(__xludf.DUMMYFUNCTION("IFERROR(VLOOKUP(E880&amp;F880,IMPORTRANGE(""https://docs.google.com/spreadsheets/d/1Uw7-A9f9R21vMXxHZFNpYNeKFtG8_yji4HS352LGlSQ/edit?pli=1#gid=0"",""1_ACUM!A4:S""),13,FALSE))"),"")</f>
        <v/>
      </c>
      <c r="AE857" s="43" t="str">
        <f ca="1">IFERROR(__xludf.DUMMYFUNCTION("IFERROR(VLOOKUP(E880&amp;F880,IMPORTRANGE(""https://docs.google.com/spreadsheets/d/1Uw7-A9f9R21vMXxHZFNpYNeKFtG8_yji4HS352LGlSQ/edit?pli=1#gid=0"",""1_ACUM!A4:S""),14,FALSE))"),"")</f>
        <v/>
      </c>
      <c r="AF857" s="43" t="str">
        <f ca="1">IFERROR(__xludf.DUMMYFUNCTION("IFERROR(VLOOKUP(E880&amp;F880,IMPORTRANGE(""https://docs.google.com/spreadsheets/d/1Uw7-A9f9R21vMXxHZFNpYNeKFtG8_yji4HS352LGlSQ/edit?pli=1#gid=0"",""1_ACUM!A4:S""),15,FALSE))"),"")</f>
        <v/>
      </c>
      <c r="AG857" s="43" t="str">
        <f ca="1">IFERROR(__xludf.DUMMYFUNCTION("IFERROR(VLOOKUP(E880&amp;F880,IMPORTRANGE(""https://docs.google.com/spreadsheets/d/1Uw7-A9f9R21vMXxHZFNpYNeKFtG8_yji4HS352LGlSQ/edit?pli=1#gid=0"",""1_ACUM!A4:S""),16,FALSE))"),"")</f>
        <v/>
      </c>
      <c r="AH857" s="43" t="str">
        <f ca="1">IFERROR(__xludf.DUMMYFUNCTION("IFERROR(VLOOKUP(E880&amp;F880,IMPORTRANGE(""https://docs.google.com/spreadsheets/d/1Uw7-A9f9R21vMXxHZFNpYNeKFtG8_yji4HS352LGlSQ/edit?pli=1#gid=0"",""1_ACUM!A4:S""),17,FALSE))"),"")</f>
        <v/>
      </c>
      <c r="AI857" s="44" t="str">
        <f ca="1">IFERROR(__xludf.DUMMYFUNCTION("IFERROR(VLOOKUP(E880&amp;F880,IMPORTRANGE(""https://docs.google.com/spreadsheets/d/1Uw7-A9f9R21vMXxHZFNpYNeKFtG8_yji4HS352LGlSQ/edit?pli=1#gid=0"",""1_ACUM!A4:S""),18,FALSE))"),"")</f>
        <v/>
      </c>
      <c r="AJ857" s="44" t="str">
        <f ca="1">IFERROR(__xludf.DUMMYFUNCTION("IFERROR(VLOOKUP(E880&amp;F880,IMPORTRANGE(""https://docs.google.com/spreadsheets/d/1Uw7-A9f9R21vMXxHZFNpYNeKFtG8_yji4HS352LGlSQ/edit?pli=1#gid=0"",""1_ACUM!A4:S""),19,FALSE))"),"")</f>
        <v/>
      </c>
      <c r="AK857" s="98" t="str">
        <f ca="1">IFERROR(__xludf.DUMMYFUNCTION("IFERROR(VLOOKUP(F880,IMPORTRANGE(""https://docs.google.com/spreadsheets/d/1Kvs4KS76FHFqLFIZfrDMff4kP08nblUkihrxltoGBjg/edit#gid=934712705"",""ESENCIAL!A6:BG""),5,FALSE))"),"")</f>
        <v/>
      </c>
      <c r="AL857" s="98" t="str">
        <f t="shared" si="51"/>
        <v/>
      </c>
      <c r="AM857" s="99" t="str">
        <f t="shared" si="52"/>
        <v/>
      </c>
      <c r="AN857" s="100" t="str">
        <f ca="1">IFERROR(__xludf.DUMMYFUNCTION("IFERROR(VLOOKUP(F880,IMPORTRANGE(""https://docs.google.com/spreadsheets/d/1Kvs4KS76FHFqLFIZfrDMff4kP08nblUkihrxltoGBjg/edit#gid=934712705"",""ESENCIAL!A6:BG""),2,FALSE))"),"")</f>
        <v/>
      </c>
      <c r="AO857" s="19" t="str">
        <f t="shared" si="46"/>
        <v/>
      </c>
      <c r="AP857" s="100"/>
      <c r="AQ857" s="100"/>
    </row>
    <row r="858" spans="1:43" ht="15">
      <c r="A858" s="5"/>
      <c r="B858" s="5"/>
      <c r="G858" s="5" t="str">
        <f ca="1">IFERROR(__xludf.DUMMYFUNCTION("IFERROR(VLOOKUP(F881,IMPORTRANGE(""https://docs.google.com/spreadsheets/d/1Kvs4KS76FHFqLFIZfrDMff4kP08nblUkihrxltoGBjg/edit#gid=934712705"",""ESENCIAL!A6:BG""),3,FALSE))"),"")</f>
        <v/>
      </c>
      <c r="H858" s="5" t="str">
        <f ca="1">IFERROR(__xludf.DUMMYFUNCTION("IFERROR(VLOOKUP(F881,IMPORTRANGE(""https://docs.google.com/spreadsheets/d/1Kvs4KS76FHFqLFIZfrDMff4kP08nblUkihrxltoGBjg/edit#gid=934712705"",""ESENCIAL!A6:BG""),8,FALSE))"),"")</f>
        <v/>
      </c>
      <c r="L858" s="40"/>
      <c r="Z858" s="41" t="str">
        <f t="shared" si="50"/>
        <v/>
      </c>
      <c r="AA858" s="5" t="str">
        <f ca="1">IFERROR(__xludf.DUMMYFUNCTION("IFERROR(VLOOKUP(E881&amp;F881,IMPORTRANGE(""https://docs.google.com/spreadsheets/d/1Uw7-A9f9R21vMXxHZFNpYNeKFtG8_yji4HS352LGlSQ/edit?pli=1#gid=0"",""1_ACUM!A4:S""),11,FALSE))"),"")</f>
        <v/>
      </c>
      <c r="AB858" s="42" t="str">
        <f ca="1">IFERROR(__xludf.DUMMYFUNCTION("IFERROR(VLOOKUP(F881,IMPORTRANGE(""https://docs.google.com/spreadsheets/d/1Kvs4KS76FHFqLFIZfrDMff4kP08nblUkihrxltoGBjg/edit#gid=934712705"",""ESENCIAL!A6:BG""),15,FALSE))"),"")</f>
        <v/>
      </c>
      <c r="AC858" s="110" t="str">
        <f ca="1">IFERROR(__xludf.DUMMYFUNCTION("IFERROR(VLOOKUP(E881&amp;F881,IMPORTRANGE(""https://docs.google.com/spreadsheets/d/1Uw7-A9f9R21vMXxHZFNpYNeKFtG8_yji4HS352LGlSQ/edit?pli=1#gid=0"",""1_ACUM!A4:S""),13,FALSE))"),"")</f>
        <v/>
      </c>
      <c r="AD858" s="43" t="str">
        <f ca="1">IFERROR(__xludf.DUMMYFUNCTION("IFERROR(VLOOKUP(E881&amp;F881,IMPORTRANGE(""https://docs.google.com/spreadsheets/d/1Uw7-A9f9R21vMXxHZFNpYNeKFtG8_yji4HS352LGlSQ/edit?pli=1#gid=0"",""1_ACUM!A4:S""),13,FALSE))"),"")</f>
        <v/>
      </c>
      <c r="AE858" s="43" t="str">
        <f ca="1">IFERROR(__xludf.DUMMYFUNCTION("IFERROR(VLOOKUP(E881&amp;F881,IMPORTRANGE(""https://docs.google.com/spreadsheets/d/1Uw7-A9f9R21vMXxHZFNpYNeKFtG8_yji4HS352LGlSQ/edit?pli=1#gid=0"",""1_ACUM!A4:S""),14,FALSE))"),"")</f>
        <v/>
      </c>
      <c r="AF858" s="43" t="str">
        <f ca="1">IFERROR(__xludf.DUMMYFUNCTION("IFERROR(VLOOKUP(E881&amp;F881,IMPORTRANGE(""https://docs.google.com/spreadsheets/d/1Uw7-A9f9R21vMXxHZFNpYNeKFtG8_yji4HS352LGlSQ/edit?pli=1#gid=0"",""1_ACUM!A4:S""),15,FALSE))"),"")</f>
        <v/>
      </c>
      <c r="AG858" s="43" t="str">
        <f ca="1">IFERROR(__xludf.DUMMYFUNCTION("IFERROR(VLOOKUP(E881&amp;F881,IMPORTRANGE(""https://docs.google.com/spreadsheets/d/1Uw7-A9f9R21vMXxHZFNpYNeKFtG8_yji4HS352LGlSQ/edit?pli=1#gid=0"",""1_ACUM!A4:S""),16,FALSE))"),"")</f>
        <v/>
      </c>
      <c r="AH858" s="43" t="str">
        <f ca="1">IFERROR(__xludf.DUMMYFUNCTION("IFERROR(VLOOKUP(E881&amp;F881,IMPORTRANGE(""https://docs.google.com/spreadsheets/d/1Uw7-A9f9R21vMXxHZFNpYNeKFtG8_yji4HS352LGlSQ/edit?pli=1#gid=0"",""1_ACUM!A4:S""),17,FALSE))"),"")</f>
        <v/>
      </c>
      <c r="AI858" s="44" t="str">
        <f ca="1">IFERROR(__xludf.DUMMYFUNCTION("IFERROR(VLOOKUP(E881&amp;F881,IMPORTRANGE(""https://docs.google.com/spreadsheets/d/1Uw7-A9f9R21vMXxHZFNpYNeKFtG8_yji4HS352LGlSQ/edit?pli=1#gid=0"",""1_ACUM!A4:S""),18,FALSE))"),"")</f>
        <v/>
      </c>
      <c r="AJ858" s="44" t="str">
        <f ca="1">IFERROR(__xludf.DUMMYFUNCTION("IFERROR(VLOOKUP(E881&amp;F881,IMPORTRANGE(""https://docs.google.com/spreadsheets/d/1Uw7-A9f9R21vMXxHZFNpYNeKFtG8_yji4HS352LGlSQ/edit?pli=1#gid=0"",""1_ACUM!A4:S""),19,FALSE))"),"")</f>
        <v/>
      </c>
      <c r="AK858" s="98" t="str">
        <f ca="1">IFERROR(__xludf.DUMMYFUNCTION("IFERROR(VLOOKUP(F881,IMPORTRANGE(""https://docs.google.com/spreadsheets/d/1Kvs4KS76FHFqLFIZfrDMff4kP08nblUkihrxltoGBjg/edit#gid=934712705"",""ESENCIAL!A6:BG""),5,FALSE))"),"")</f>
        <v/>
      </c>
      <c r="AL858" s="98" t="str">
        <f t="shared" si="51"/>
        <v/>
      </c>
      <c r="AM858" s="99" t="str">
        <f t="shared" si="52"/>
        <v/>
      </c>
      <c r="AN858" s="100" t="str">
        <f ca="1">IFERROR(__xludf.DUMMYFUNCTION("IFERROR(VLOOKUP(F881,IMPORTRANGE(""https://docs.google.com/spreadsheets/d/1Kvs4KS76FHFqLFIZfrDMff4kP08nblUkihrxltoGBjg/edit#gid=934712705"",""ESENCIAL!A6:BG""),2,FALSE))"),"")</f>
        <v/>
      </c>
      <c r="AO858" s="19" t="str">
        <f t="shared" si="46"/>
        <v/>
      </c>
      <c r="AP858" s="100"/>
      <c r="AQ858" s="100"/>
    </row>
    <row r="859" spans="1:43" ht="15">
      <c r="A859" s="5"/>
      <c r="B859" s="5"/>
      <c r="G859" s="5" t="str">
        <f ca="1">IFERROR(__xludf.DUMMYFUNCTION("IFERROR(VLOOKUP(F882,IMPORTRANGE(""https://docs.google.com/spreadsheets/d/1Kvs4KS76FHFqLFIZfrDMff4kP08nblUkihrxltoGBjg/edit#gid=934712705"",""ESENCIAL!A6:BG""),3,FALSE))"),"")</f>
        <v/>
      </c>
      <c r="H859" s="5" t="str">
        <f ca="1">IFERROR(__xludf.DUMMYFUNCTION("IFERROR(VLOOKUP(F882,IMPORTRANGE(""https://docs.google.com/spreadsheets/d/1Kvs4KS76FHFqLFIZfrDMff4kP08nblUkihrxltoGBjg/edit#gid=934712705"",""ESENCIAL!A6:BG""),8,FALSE))"),"")</f>
        <v/>
      </c>
      <c r="L859" s="40"/>
      <c r="Z859" s="41" t="str">
        <f t="shared" si="50"/>
        <v/>
      </c>
      <c r="AA859" s="5" t="str">
        <f ca="1">IFERROR(__xludf.DUMMYFUNCTION("IFERROR(VLOOKUP(E882&amp;F882,IMPORTRANGE(""https://docs.google.com/spreadsheets/d/1Uw7-A9f9R21vMXxHZFNpYNeKFtG8_yji4HS352LGlSQ/edit?pli=1#gid=0"",""1_ACUM!A4:S""),11,FALSE))"),"")</f>
        <v/>
      </c>
      <c r="AB859" s="42" t="str">
        <f ca="1">IFERROR(__xludf.DUMMYFUNCTION("IFERROR(VLOOKUP(F882,IMPORTRANGE(""https://docs.google.com/spreadsheets/d/1Kvs4KS76FHFqLFIZfrDMff4kP08nblUkihrxltoGBjg/edit#gid=934712705"",""ESENCIAL!A6:BG""),15,FALSE))"),"")</f>
        <v/>
      </c>
      <c r="AC859" s="110" t="str">
        <f ca="1">IFERROR(__xludf.DUMMYFUNCTION("IFERROR(VLOOKUP(E882&amp;F882,IMPORTRANGE(""https://docs.google.com/spreadsheets/d/1Uw7-A9f9R21vMXxHZFNpYNeKFtG8_yji4HS352LGlSQ/edit?pli=1#gid=0"",""1_ACUM!A4:S""),13,FALSE))"),"")</f>
        <v/>
      </c>
      <c r="AD859" s="43" t="str">
        <f ca="1">IFERROR(__xludf.DUMMYFUNCTION("IFERROR(VLOOKUP(E882&amp;F882,IMPORTRANGE(""https://docs.google.com/spreadsheets/d/1Uw7-A9f9R21vMXxHZFNpYNeKFtG8_yji4HS352LGlSQ/edit?pli=1#gid=0"",""1_ACUM!A4:S""),13,FALSE))"),"")</f>
        <v/>
      </c>
      <c r="AE859" s="43" t="str">
        <f ca="1">IFERROR(__xludf.DUMMYFUNCTION("IFERROR(VLOOKUP(E882&amp;F882,IMPORTRANGE(""https://docs.google.com/spreadsheets/d/1Uw7-A9f9R21vMXxHZFNpYNeKFtG8_yji4HS352LGlSQ/edit?pli=1#gid=0"",""1_ACUM!A4:S""),14,FALSE))"),"")</f>
        <v/>
      </c>
      <c r="AF859" s="43" t="str">
        <f ca="1">IFERROR(__xludf.DUMMYFUNCTION("IFERROR(VLOOKUP(E882&amp;F882,IMPORTRANGE(""https://docs.google.com/spreadsheets/d/1Uw7-A9f9R21vMXxHZFNpYNeKFtG8_yji4HS352LGlSQ/edit?pli=1#gid=0"",""1_ACUM!A4:S""),15,FALSE))"),"")</f>
        <v/>
      </c>
      <c r="AG859" s="43" t="str">
        <f ca="1">IFERROR(__xludf.DUMMYFUNCTION("IFERROR(VLOOKUP(E882&amp;F882,IMPORTRANGE(""https://docs.google.com/spreadsheets/d/1Uw7-A9f9R21vMXxHZFNpYNeKFtG8_yji4HS352LGlSQ/edit?pli=1#gid=0"",""1_ACUM!A4:S""),16,FALSE))"),"")</f>
        <v/>
      </c>
      <c r="AH859" s="43" t="str">
        <f ca="1">IFERROR(__xludf.DUMMYFUNCTION("IFERROR(VLOOKUP(E882&amp;F882,IMPORTRANGE(""https://docs.google.com/spreadsheets/d/1Uw7-A9f9R21vMXxHZFNpYNeKFtG8_yji4HS352LGlSQ/edit?pli=1#gid=0"",""1_ACUM!A4:S""),17,FALSE))"),"")</f>
        <v/>
      </c>
      <c r="AI859" s="44" t="str">
        <f ca="1">IFERROR(__xludf.DUMMYFUNCTION("IFERROR(VLOOKUP(E882&amp;F882,IMPORTRANGE(""https://docs.google.com/spreadsheets/d/1Uw7-A9f9R21vMXxHZFNpYNeKFtG8_yji4HS352LGlSQ/edit?pli=1#gid=0"",""1_ACUM!A4:S""),18,FALSE))"),"")</f>
        <v/>
      </c>
      <c r="AJ859" s="44" t="str">
        <f ca="1">IFERROR(__xludf.DUMMYFUNCTION("IFERROR(VLOOKUP(E882&amp;F882,IMPORTRANGE(""https://docs.google.com/spreadsheets/d/1Uw7-A9f9R21vMXxHZFNpYNeKFtG8_yji4HS352LGlSQ/edit?pli=1#gid=0"",""1_ACUM!A4:S""),19,FALSE))"),"")</f>
        <v/>
      </c>
      <c r="AK859" s="98" t="str">
        <f ca="1">IFERROR(__xludf.DUMMYFUNCTION("IFERROR(VLOOKUP(F882,IMPORTRANGE(""https://docs.google.com/spreadsheets/d/1Kvs4KS76FHFqLFIZfrDMff4kP08nblUkihrxltoGBjg/edit#gid=934712705"",""ESENCIAL!A6:BG""),5,FALSE))"),"")</f>
        <v/>
      </c>
      <c r="AL859" s="98" t="str">
        <f t="shared" si="51"/>
        <v/>
      </c>
      <c r="AM859" s="99" t="str">
        <f t="shared" si="52"/>
        <v/>
      </c>
      <c r="AN859" s="100" t="str">
        <f ca="1">IFERROR(__xludf.DUMMYFUNCTION("IFERROR(VLOOKUP(F882,IMPORTRANGE(""https://docs.google.com/spreadsheets/d/1Kvs4KS76FHFqLFIZfrDMff4kP08nblUkihrxltoGBjg/edit#gid=934712705"",""ESENCIAL!A6:BG""),2,FALSE))"),"")</f>
        <v/>
      </c>
      <c r="AO859" s="19" t="str">
        <f t="shared" si="46"/>
        <v/>
      </c>
      <c r="AP859" s="100"/>
      <c r="AQ859" s="100"/>
    </row>
    <row r="860" spans="1:43" ht="15">
      <c r="A860" s="5"/>
      <c r="B860" s="5"/>
      <c r="G860" s="5" t="str">
        <f ca="1">IFERROR(__xludf.DUMMYFUNCTION("IFERROR(VLOOKUP(F883,IMPORTRANGE(""https://docs.google.com/spreadsheets/d/1Kvs4KS76FHFqLFIZfrDMff4kP08nblUkihrxltoGBjg/edit#gid=934712705"",""ESENCIAL!A6:BG""),3,FALSE))"),"")</f>
        <v/>
      </c>
      <c r="H860" s="5" t="str">
        <f ca="1">IFERROR(__xludf.DUMMYFUNCTION("IFERROR(VLOOKUP(F883,IMPORTRANGE(""https://docs.google.com/spreadsheets/d/1Kvs4KS76FHFqLFIZfrDMff4kP08nblUkihrxltoGBjg/edit#gid=934712705"",""ESENCIAL!A6:BG""),8,FALSE))"),"")</f>
        <v/>
      </c>
      <c r="L860" s="40"/>
      <c r="Z860" s="41" t="str">
        <f t="shared" si="50"/>
        <v/>
      </c>
      <c r="AA860" s="5" t="str">
        <f ca="1">IFERROR(__xludf.DUMMYFUNCTION("IFERROR(VLOOKUP(E883&amp;F883,IMPORTRANGE(""https://docs.google.com/spreadsheets/d/1Uw7-A9f9R21vMXxHZFNpYNeKFtG8_yji4HS352LGlSQ/edit?pli=1#gid=0"",""1_ACUM!A4:S""),11,FALSE))"),"")</f>
        <v/>
      </c>
      <c r="AB860" s="42" t="str">
        <f ca="1">IFERROR(__xludf.DUMMYFUNCTION("IFERROR(VLOOKUP(F883,IMPORTRANGE(""https://docs.google.com/spreadsheets/d/1Kvs4KS76FHFqLFIZfrDMff4kP08nblUkihrxltoGBjg/edit#gid=934712705"",""ESENCIAL!A6:BG""),15,FALSE))"),"")</f>
        <v/>
      </c>
      <c r="AC860" s="110" t="str">
        <f ca="1">IFERROR(__xludf.DUMMYFUNCTION("IFERROR(VLOOKUP(E883&amp;F883,IMPORTRANGE(""https://docs.google.com/spreadsheets/d/1Uw7-A9f9R21vMXxHZFNpYNeKFtG8_yji4HS352LGlSQ/edit?pli=1#gid=0"",""1_ACUM!A4:S""),13,FALSE))"),"")</f>
        <v/>
      </c>
      <c r="AD860" s="43" t="str">
        <f ca="1">IFERROR(__xludf.DUMMYFUNCTION("IFERROR(VLOOKUP(E883&amp;F883,IMPORTRANGE(""https://docs.google.com/spreadsheets/d/1Uw7-A9f9R21vMXxHZFNpYNeKFtG8_yji4HS352LGlSQ/edit?pli=1#gid=0"",""1_ACUM!A4:S""),13,FALSE))"),"")</f>
        <v/>
      </c>
      <c r="AE860" s="43" t="str">
        <f ca="1">IFERROR(__xludf.DUMMYFUNCTION("IFERROR(VLOOKUP(E883&amp;F883,IMPORTRANGE(""https://docs.google.com/spreadsheets/d/1Uw7-A9f9R21vMXxHZFNpYNeKFtG8_yji4HS352LGlSQ/edit?pli=1#gid=0"",""1_ACUM!A4:S""),14,FALSE))"),"")</f>
        <v/>
      </c>
      <c r="AF860" s="43" t="str">
        <f ca="1">IFERROR(__xludf.DUMMYFUNCTION("IFERROR(VLOOKUP(E883&amp;F883,IMPORTRANGE(""https://docs.google.com/spreadsheets/d/1Uw7-A9f9R21vMXxHZFNpYNeKFtG8_yji4HS352LGlSQ/edit?pli=1#gid=0"",""1_ACUM!A4:S""),15,FALSE))"),"")</f>
        <v/>
      </c>
      <c r="AG860" s="43" t="str">
        <f ca="1">IFERROR(__xludf.DUMMYFUNCTION("IFERROR(VLOOKUP(E883&amp;F883,IMPORTRANGE(""https://docs.google.com/spreadsheets/d/1Uw7-A9f9R21vMXxHZFNpYNeKFtG8_yji4HS352LGlSQ/edit?pli=1#gid=0"",""1_ACUM!A4:S""),16,FALSE))"),"")</f>
        <v/>
      </c>
      <c r="AH860" s="43" t="str">
        <f ca="1">IFERROR(__xludf.DUMMYFUNCTION("IFERROR(VLOOKUP(E883&amp;F883,IMPORTRANGE(""https://docs.google.com/spreadsheets/d/1Uw7-A9f9R21vMXxHZFNpYNeKFtG8_yji4HS352LGlSQ/edit?pli=1#gid=0"",""1_ACUM!A4:S""),17,FALSE))"),"")</f>
        <v/>
      </c>
      <c r="AI860" s="44" t="str">
        <f ca="1">IFERROR(__xludf.DUMMYFUNCTION("IFERROR(VLOOKUP(E883&amp;F883,IMPORTRANGE(""https://docs.google.com/spreadsheets/d/1Uw7-A9f9R21vMXxHZFNpYNeKFtG8_yji4HS352LGlSQ/edit?pli=1#gid=0"",""1_ACUM!A4:S""),18,FALSE))"),"")</f>
        <v/>
      </c>
      <c r="AJ860" s="44" t="str">
        <f ca="1">IFERROR(__xludf.DUMMYFUNCTION("IFERROR(VLOOKUP(E883&amp;F883,IMPORTRANGE(""https://docs.google.com/spreadsheets/d/1Uw7-A9f9R21vMXxHZFNpYNeKFtG8_yji4HS352LGlSQ/edit?pli=1#gid=0"",""1_ACUM!A4:S""),19,FALSE))"),"")</f>
        <v/>
      </c>
      <c r="AK860" s="98" t="str">
        <f ca="1">IFERROR(__xludf.DUMMYFUNCTION("IFERROR(VLOOKUP(F883,IMPORTRANGE(""https://docs.google.com/spreadsheets/d/1Kvs4KS76FHFqLFIZfrDMff4kP08nblUkihrxltoGBjg/edit#gid=934712705"",""ESENCIAL!A6:BG""),5,FALSE))"),"")</f>
        <v/>
      </c>
      <c r="AL860" s="98" t="str">
        <f t="shared" si="51"/>
        <v/>
      </c>
      <c r="AM860" s="99" t="str">
        <f t="shared" si="52"/>
        <v/>
      </c>
      <c r="AN860" s="100" t="str">
        <f ca="1">IFERROR(__xludf.DUMMYFUNCTION("IFERROR(VLOOKUP(F883,IMPORTRANGE(""https://docs.google.com/spreadsheets/d/1Kvs4KS76FHFqLFIZfrDMff4kP08nblUkihrxltoGBjg/edit#gid=934712705"",""ESENCIAL!A6:BG""),2,FALSE))"),"")</f>
        <v/>
      </c>
      <c r="AO860" s="19" t="str">
        <f t="shared" si="46"/>
        <v/>
      </c>
      <c r="AP860" s="100"/>
      <c r="AQ860" s="100"/>
    </row>
    <row r="861" spans="1:43" ht="15">
      <c r="A861" s="5"/>
      <c r="B861" s="5"/>
      <c r="G861" s="5" t="str">
        <f ca="1">IFERROR(__xludf.DUMMYFUNCTION("IFERROR(VLOOKUP(F884,IMPORTRANGE(""https://docs.google.com/spreadsheets/d/1Kvs4KS76FHFqLFIZfrDMff4kP08nblUkihrxltoGBjg/edit#gid=934712705"",""ESENCIAL!A6:BG""),3,FALSE))"),"")</f>
        <v/>
      </c>
      <c r="H861" s="5" t="str">
        <f ca="1">IFERROR(__xludf.DUMMYFUNCTION("IFERROR(VLOOKUP(F884,IMPORTRANGE(""https://docs.google.com/spreadsheets/d/1Kvs4KS76FHFqLFIZfrDMff4kP08nblUkihrxltoGBjg/edit#gid=934712705"",""ESENCIAL!A6:BG""),8,FALSE))"),"")</f>
        <v/>
      </c>
      <c r="L861" s="40"/>
      <c r="Z861" s="41" t="str">
        <f t="shared" si="50"/>
        <v/>
      </c>
      <c r="AA861" s="5" t="str">
        <f ca="1">IFERROR(__xludf.DUMMYFUNCTION("IFERROR(VLOOKUP(E884&amp;F884,IMPORTRANGE(""https://docs.google.com/spreadsheets/d/1Uw7-A9f9R21vMXxHZFNpYNeKFtG8_yji4HS352LGlSQ/edit?pli=1#gid=0"",""1_ACUM!A4:S""),11,FALSE))"),"")</f>
        <v/>
      </c>
      <c r="AB861" s="42" t="str">
        <f ca="1">IFERROR(__xludf.DUMMYFUNCTION("IFERROR(VLOOKUP(F884,IMPORTRANGE(""https://docs.google.com/spreadsheets/d/1Kvs4KS76FHFqLFIZfrDMff4kP08nblUkihrxltoGBjg/edit#gid=934712705"",""ESENCIAL!A6:BG""),15,FALSE))"),"")</f>
        <v/>
      </c>
      <c r="AC861" s="110" t="str">
        <f ca="1">IFERROR(__xludf.DUMMYFUNCTION("IFERROR(VLOOKUP(E884&amp;F884,IMPORTRANGE(""https://docs.google.com/spreadsheets/d/1Uw7-A9f9R21vMXxHZFNpYNeKFtG8_yji4HS352LGlSQ/edit?pli=1#gid=0"",""1_ACUM!A4:S""),13,FALSE))"),"")</f>
        <v/>
      </c>
      <c r="AD861" s="43" t="str">
        <f ca="1">IFERROR(__xludf.DUMMYFUNCTION("IFERROR(VLOOKUP(E884&amp;F884,IMPORTRANGE(""https://docs.google.com/spreadsheets/d/1Uw7-A9f9R21vMXxHZFNpYNeKFtG8_yji4HS352LGlSQ/edit?pli=1#gid=0"",""1_ACUM!A4:S""),13,FALSE))"),"")</f>
        <v/>
      </c>
      <c r="AE861" s="43" t="str">
        <f ca="1">IFERROR(__xludf.DUMMYFUNCTION("IFERROR(VLOOKUP(E884&amp;F884,IMPORTRANGE(""https://docs.google.com/spreadsheets/d/1Uw7-A9f9R21vMXxHZFNpYNeKFtG8_yji4HS352LGlSQ/edit?pli=1#gid=0"",""1_ACUM!A4:S""),14,FALSE))"),"")</f>
        <v/>
      </c>
      <c r="AF861" s="43" t="str">
        <f ca="1">IFERROR(__xludf.DUMMYFUNCTION("IFERROR(VLOOKUP(E884&amp;F884,IMPORTRANGE(""https://docs.google.com/spreadsheets/d/1Uw7-A9f9R21vMXxHZFNpYNeKFtG8_yji4HS352LGlSQ/edit?pli=1#gid=0"",""1_ACUM!A4:S""),15,FALSE))"),"")</f>
        <v/>
      </c>
      <c r="AG861" s="43" t="str">
        <f ca="1">IFERROR(__xludf.DUMMYFUNCTION("IFERROR(VLOOKUP(E884&amp;F884,IMPORTRANGE(""https://docs.google.com/spreadsheets/d/1Uw7-A9f9R21vMXxHZFNpYNeKFtG8_yji4HS352LGlSQ/edit?pli=1#gid=0"",""1_ACUM!A4:S""),16,FALSE))"),"")</f>
        <v/>
      </c>
      <c r="AH861" s="43" t="str">
        <f ca="1">IFERROR(__xludf.DUMMYFUNCTION("IFERROR(VLOOKUP(E884&amp;F884,IMPORTRANGE(""https://docs.google.com/spreadsheets/d/1Uw7-A9f9R21vMXxHZFNpYNeKFtG8_yji4HS352LGlSQ/edit?pli=1#gid=0"",""1_ACUM!A4:S""),17,FALSE))"),"")</f>
        <v/>
      </c>
      <c r="AI861" s="44" t="str">
        <f ca="1">IFERROR(__xludf.DUMMYFUNCTION("IFERROR(VLOOKUP(E884&amp;F884,IMPORTRANGE(""https://docs.google.com/spreadsheets/d/1Uw7-A9f9R21vMXxHZFNpYNeKFtG8_yji4HS352LGlSQ/edit?pli=1#gid=0"",""1_ACUM!A4:S""),18,FALSE))"),"")</f>
        <v/>
      </c>
      <c r="AJ861" s="44" t="str">
        <f ca="1">IFERROR(__xludf.DUMMYFUNCTION("IFERROR(VLOOKUP(E884&amp;F884,IMPORTRANGE(""https://docs.google.com/spreadsheets/d/1Uw7-A9f9R21vMXxHZFNpYNeKFtG8_yji4HS352LGlSQ/edit?pli=1#gid=0"",""1_ACUM!A4:S""),19,FALSE))"),"")</f>
        <v/>
      </c>
      <c r="AK861" s="98" t="str">
        <f ca="1">IFERROR(__xludf.DUMMYFUNCTION("IFERROR(VLOOKUP(F884,IMPORTRANGE(""https://docs.google.com/spreadsheets/d/1Kvs4KS76FHFqLFIZfrDMff4kP08nblUkihrxltoGBjg/edit#gid=934712705"",""ESENCIAL!A6:BG""),5,FALSE))"),"")</f>
        <v/>
      </c>
      <c r="AL861" s="98" t="str">
        <f t="shared" si="51"/>
        <v/>
      </c>
      <c r="AM861" s="99" t="str">
        <f t="shared" si="52"/>
        <v/>
      </c>
      <c r="AN861" s="100" t="str">
        <f ca="1">IFERROR(__xludf.DUMMYFUNCTION("IFERROR(VLOOKUP(F884,IMPORTRANGE(""https://docs.google.com/spreadsheets/d/1Kvs4KS76FHFqLFIZfrDMff4kP08nblUkihrxltoGBjg/edit#gid=934712705"",""ESENCIAL!A6:BG""),2,FALSE))"),"")</f>
        <v/>
      </c>
      <c r="AO861" s="19" t="str">
        <f t="shared" si="46"/>
        <v/>
      </c>
      <c r="AP861" s="100"/>
      <c r="AQ861" s="100"/>
    </row>
    <row r="862" spans="1:43" ht="15">
      <c r="A862" s="5"/>
      <c r="B862" s="5"/>
      <c r="G862" s="5" t="str">
        <f ca="1">IFERROR(__xludf.DUMMYFUNCTION("IFERROR(VLOOKUP(F885,IMPORTRANGE(""https://docs.google.com/spreadsheets/d/1Kvs4KS76FHFqLFIZfrDMff4kP08nblUkihrxltoGBjg/edit#gid=934712705"",""ESENCIAL!A6:BG""),3,FALSE))"),"")</f>
        <v/>
      </c>
      <c r="H862" s="5" t="str">
        <f ca="1">IFERROR(__xludf.DUMMYFUNCTION("IFERROR(VLOOKUP(F885,IMPORTRANGE(""https://docs.google.com/spreadsheets/d/1Kvs4KS76FHFqLFIZfrDMff4kP08nblUkihrxltoGBjg/edit#gid=934712705"",""ESENCIAL!A6:BG""),8,FALSE))"),"")</f>
        <v/>
      </c>
      <c r="L862" s="40"/>
      <c r="Z862" s="41" t="str">
        <f t="shared" si="50"/>
        <v/>
      </c>
      <c r="AA862" s="5" t="str">
        <f ca="1">IFERROR(__xludf.DUMMYFUNCTION("IFERROR(VLOOKUP(E885&amp;F885,IMPORTRANGE(""https://docs.google.com/spreadsheets/d/1Uw7-A9f9R21vMXxHZFNpYNeKFtG8_yji4HS352LGlSQ/edit?pli=1#gid=0"",""1_ACUM!A4:S""),11,FALSE))"),"")</f>
        <v/>
      </c>
      <c r="AB862" s="42" t="str">
        <f ca="1">IFERROR(__xludf.DUMMYFUNCTION("IFERROR(VLOOKUP(F885,IMPORTRANGE(""https://docs.google.com/spreadsheets/d/1Kvs4KS76FHFqLFIZfrDMff4kP08nblUkihrxltoGBjg/edit#gid=934712705"",""ESENCIAL!A6:BG""),15,FALSE))"),"")</f>
        <v/>
      </c>
      <c r="AC862" s="110" t="str">
        <f ca="1">IFERROR(__xludf.DUMMYFUNCTION("IFERROR(VLOOKUP(E885&amp;F885,IMPORTRANGE(""https://docs.google.com/spreadsheets/d/1Uw7-A9f9R21vMXxHZFNpYNeKFtG8_yji4HS352LGlSQ/edit?pli=1#gid=0"",""1_ACUM!A4:S""),13,FALSE))"),"")</f>
        <v/>
      </c>
      <c r="AD862" s="43" t="str">
        <f ca="1">IFERROR(__xludf.DUMMYFUNCTION("IFERROR(VLOOKUP(E885&amp;F885,IMPORTRANGE(""https://docs.google.com/spreadsheets/d/1Uw7-A9f9R21vMXxHZFNpYNeKFtG8_yji4HS352LGlSQ/edit?pli=1#gid=0"",""1_ACUM!A4:S""),13,FALSE))"),"")</f>
        <v/>
      </c>
      <c r="AE862" s="43" t="str">
        <f ca="1">IFERROR(__xludf.DUMMYFUNCTION("IFERROR(VLOOKUP(E885&amp;F885,IMPORTRANGE(""https://docs.google.com/spreadsheets/d/1Uw7-A9f9R21vMXxHZFNpYNeKFtG8_yji4HS352LGlSQ/edit?pli=1#gid=0"",""1_ACUM!A4:S""),14,FALSE))"),"")</f>
        <v/>
      </c>
      <c r="AF862" s="43" t="str">
        <f ca="1">IFERROR(__xludf.DUMMYFUNCTION("IFERROR(VLOOKUP(E885&amp;F885,IMPORTRANGE(""https://docs.google.com/spreadsheets/d/1Uw7-A9f9R21vMXxHZFNpYNeKFtG8_yji4HS352LGlSQ/edit?pli=1#gid=0"",""1_ACUM!A4:S""),15,FALSE))"),"")</f>
        <v/>
      </c>
      <c r="AG862" s="43" t="str">
        <f ca="1">IFERROR(__xludf.DUMMYFUNCTION("IFERROR(VLOOKUP(E885&amp;F885,IMPORTRANGE(""https://docs.google.com/spreadsheets/d/1Uw7-A9f9R21vMXxHZFNpYNeKFtG8_yji4HS352LGlSQ/edit?pli=1#gid=0"",""1_ACUM!A4:S""),16,FALSE))"),"")</f>
        <v/>
      </c>
      <c r="AH862" s="43" t="str">
        <f ca="1">IFERROR(__xludf.DUMMYFUNCTION("IFERROR(VLOOKUP(E885&amp;F885,IMPORTRANGE(""https://docs.google.com/spreadsheets/d/1Uw7-A9f9R21vMXxHZFNpYNeKFtG8_yji4HS352LGlSQ/edit?pli=1#gid=0"",""1_ACUM!A4:S""),17,FALSE))"),"")</f>
        <v/>
      </c>
      <c r="AI862" s="44" t="str">
        <f ca="1">IFERROR(__xludf.DUMMYFUNCTION("IFERROR(VLOOKUP(E885&amp;F885,IMPORTRANGE(""https://docs.google.com/spreadsheets/d/1Uw7-A9f9R21vMXxHZFNpYNeKFtG8_yji4HS352LGlSQ/edit?pli=1#gid=0"",""1_ACUM!A4:S""),18,FALSE))"),"")</f>
        <v/>
      </c>
      <c r="AJ862" s="44" t="str">
        <f ca="1">IFERROR(__xludf.DUMMYFUNCTION("IFERROR(VLOOKUP(E885&amp;F885,IMPORTRANGE(""https://docs.google.com/spreadsheets/d/1Uw7-A9f9R21vMXxHZFNpYNeKFtG8_yji4HS352LGlSQ/edit?pli=1#gid=0"",""1_ACUM!A4:S""),19,FALSE))"),"")</f>
        <v/>
      </c>
      <c r="AK862" s="98" t="str">
        <f ca="1">IFERROR(__xludf.DUMMYFUNCTION("IFERROR(VLOOKUP(F885,IMPORTRANGE(""https://docs.google.com/spreadsheets/d/1Kvs4KS76FHFqLFIZfrDMff4kP08nblUkihrxltoGBjg/edit#gid=934712705"",""ESENCIAL!A6:BG""),5,FALSE))"),"")</f>
        <v/>
      </c>
      <c r="AL862" s="98" t="str">
        <f t="shared" si="51"/>
        <v/>
      </c>
      <c r="AM862" s="99" t="str">
        <f t="shared" si="52"/>
        <v/>
      </c>
      <c r="AN862" s="100" t="str">
        <f ca="1">IFERROR(__xludf.DUMMYFUNCTION("IFERROR(VLOOKUP(F885,IMPORTRANGE(""https://docs.google.com/spreadsheets/d/1Kvs4KS76FHFqLFIZfrDMff4kP08nblUkihrxltoGBjg/edit#gid=934712705"",""ESENCIAL!A6:BG""),2,FALSE))"),"")</f>
        <v/>
      </c>
      <c r="AO862" s="19" t="str">
        <f t="shared" si="46"/>
        <v/>
      </c>
      <c r="AP862" s="100"/>
      <c r="AQ862" s="100"/>
    </row>
    <row r="863" spans="1:43" ht="15">
      <c r="A863" s="5"/>
      <c r="B863" s="5"/>
      <c r="G863" s="5" t="str">
        <f ca="1">IFERROR(__xludf.DUMMYFUNCTION("IFERROR(VLOOKUP(F886,IMPORTRANGE(""https://docs.google.com/spreadsheets/d/1Kvs4KS76FHFqLFIZfrDMff4kP08nblUkihrxltoGBjg/edit#gid=934712705"",""ESENCIAL!A6:BG""),3,FALSE))"),"")</f>
        <v/>
      </c>
      <c r="H863" s="5" t="str">
        <f ca="1">IFERROR(__xludf.DUMMYFUNCTION("IFERROR(VLOOKUP(F886,IMPORTRANGE(""https://docs.google.com/spreadsheets/d/1Kvs4KS76FHFqLFIZfrDMff4kP08nblUkihrxltoGBjg/edit#gid=934712705"",""ESENCIAL!A6:BG""),8,FALSE))"),"")</f>
        <v/>
      </c>
      <c r="L863" s="40"/>
      <c r="Z863" s="41" t="str">
        <f t="shared" si="50"/>
        <v/>
      </c>
      <c r="AA863" s="5" t="str">
        <f ca="1">IFERROR(__xludf.DUMMYFUNCTION("IFERROR(VLOOKUP(E886&amp;F886,IMPORTRANGE(""https://docs.google.com/spreadsheets/d/1Uw7-A9f9R21vMXxHZFNpYNeKFtG8_yji4HS352LGlSQ/edit?pli=1#gid=0"",""1_ACUM!A4:S""),11,FALSE))"),"")</f>
        <v/>
      </c>
      <c r="AB863" s="42" t="str">
        <f ca="1">IFERROR(__xludf.DUMMYFUNCTION("IFERROR(VLOOKUP(F886,IMPORTRANGE(""https://docs.google.com/spreadsheets/d/1Kvs4KS76FHFqLFIZfrDMff4kP08nblUkihrxltoGBjg/edit#gid=934712705"",""ESENCIAL!A6:BG""),15,FALSE))"),"")</f>
        <v/>
      </c>
      <c r="AC863" s="110" t="str">
        <f ca="1">IFERROR(__xludf.DUMMYFUNCTION("IFERROR(VLOOKUP(E886&amp;F886,IMPORTRANGE(""https://docs.google.com/spreadsheets/d/1Uw7-A9f9R21vMXxHZFNpYNeKFtG8_yji4HS352LGlSQ/edit?pli=1#gid=0"",""1_ACUM!A4:S""),13,FALSE))"),"")</f>
        <v/>
      </c>
      <c r="AD863" s="43" t="str">
        <f ca="1">IFERROR(__xludf.DUMMYFUNCTION("IFERROR(VLOOKUP(E886&amp;F886,IMPORTRANGE(""https://docs.google.com/spreadsheets/d/1Uw7-A9f9R21vMXxHZFNpYNeKFtG8_yji4HS352LGlSQ/edit?pli=1#gid=0"",""1_ACUM!A4:S""),13,FALSE))"),"")</f>
        <v/>
      </c>
      <c r="AE863" s="43" t="str">
        <f ca="1">IFERROR(__xludf.DUMMYFUNCTION("IFERROR(VLOOKUP(E886&amp;F886,IMPORTRANGE(""https://docs.google.com/spreadsheets/d/1Uw7-A9f9R21vMXxHZFNpYNeKFtG8_yji4HS352LGlSQ/edit?pli=1#gid=0"",""1_ACUM!A4:S""),14,FALSE))"),"")</f>
        <v/>
      </c>
      <c r="AF863" s="43" t="str">
        <f ca="1">IFERROR(__xludf.DUMMYFUNCTION("IFERROR(VLOOKUP(E886&amp;F886,IMPORTRANGE(""https://docs.google.com/spreadsheets/d/1Uw7-A9f9R21vMXxHZFNpYNeKFtG8_yji4HS352LGlSQ/edit?pli=1#gid=0"",""1_ACUM!A4:S""),15,FALSE))"),"")</f>
        <v/>
      </c>
      <c r="AG863" s="43" t="str">
        <f ca="1">IFERROR(__xludf.DUMMYFUNCTION("IFERROR(VLOOKUP(E886&amp;F886,IMPORTRANGE(""https://docs.google.com/spreadsheets/d/1Uw7-A9f9R21vMXxHZFNpYNeKFtG8_yji4HS352LGlSQ/edit?pli=1#gid=0"",""1_ACUM!A4:S""),16,FALSE))"),"")</f>
        <v/>
      </c>
      <c r="AH863" s="43" t="str">
        <f ca="1">IFERROR(__xludf.DUMMYFUNCTION("IFERROR(VLOOKUP(E886&amp;F886,IMPORTRANGE(""https://docs.google.com/spreadsheets/d/1Uw7-A9f9R21vMXxHZFNpYNeKFtG8_yji4HS352LGlSQ/edit?pli=1#gid=0"",""1_ACUM!A4:S""),17,FALSE))"),"")</f>
        <v/>
      </c>
      <c r="AI863" s="44" t="str">
        <f ca="1">IFERROR(__xludf.DUMMYFUNCTION("IFERROR(VLOOKUP(E886&amp;F886,IMPORTRANGE(""https://docs.google.com/spreadsheets/d/1Uw7-A9f9R21vMXxHZFNpYNeKFtG8_yji4HS352LGlSQ/edit?pli=1#gid=0"",""1_ACUM!A4:S""),18,FALSE))"),"")</f>
        <v/>
      </c>
      <c r="AJ863" s="44" t="str">
        <f ca="1">IFERROR(__xludf.DUMMYFUNCTION("IFERROR(VLOOKUP(E886&amp;F886,IMPORTRANGE(""https://docs.google.com/spreadsheets/d/1Uw7-A9f9R21vMXxHZFNpYNeKFtG8_yji4HS352LGlSQ/edit?pli=1#gid=0"",""1_ACUM!A4:S""),19,FALSE))"),"")</f>
        <v/>
      </c>
      <c r="AK863" s="98" t="str">
        <f ca="1">IFERROR(__xludf.DUMMYFUNCTION("IFERROR(VLOOKUP(F886,IMPORTRANGE(""https://docs.google.com/spreadsheets/d/1Kvs4KS76FHFqLFIZfrDMff4kP08nblUkihrxltoGBjg/edit#gid=934712705"",""ESENCIAL!A6:BG""),5,FALSE))"),"")</f>
        <v/>
      </c>
      <c r="AL863" s="98" t="str">
        <f t="shared" si="51"/>
        <v/>
      </c>
      <c r="AM863" s="99" t="str">
        <f t="shared" si="52"/>
        <v/>
      </c>
      <c r="AN863" s="100" t="str">
        <f ca="1">IFERROR(__xludf.DUMMYFUNCTION("IFERROR(VLOOKUP(F886,IMPORTRANGE(""https://docs.google.com/spreadsheets/d/1Kvs4KS76FHFqLFIZfrDMff4kP08nblUkihrxltoGBjg/edit#gid=934712705"",""ESENCIAL!A6:BG""),2,FALSE))"),"")</f>
        <v/>
      </c>
      <c r="AO863" s="19" t="str">
        <f t="shared" si="46"/>
        <v/>
      </c>
      <c r="AP863" s="100"/>
      <c r="AQ863" s="100"/>
    </row>
    <row r="864" spans="1:43" ht="15">
      <c r="A864" s="5"/>
      <c r="B864" s="5"/>
      <c r="G864" s="5" t="str">
        <f ca="1">IFERROR(__xludf.DUMMYFUNCTION("IFERROR(VLOOKUP(F887,IMPORTRANGE(""https://docs.google.com/spreadsheets/d/1Kvs4KS76FHFqLFIZfrDMff4kP08nblUkihrxltoGBjg/edit#gid=934712705"",""ESENCIAL!A6:BG""),3,FALSE))"),"")</f>
        <v/>
      </c>
      <c r="H864" s="5" t="str">
        <f ca="1">IFERROR(__xludf.DUMMYFUNCTION("IFERROR(VLOOKUP(F887,IMPORTRANGE(""https://docs.google.com/spreadsheets/d/1Kvs4KS76FHFqLFIZfrDMff4kP08nblUkihrxltoGBjg/edit#gid=934712705"",""ESENCIAL!A6:BG""),8,FALSE))"),"")</f>
        <v/>
      </c>
      <c r="L864" s="40"/>
      <c r="Z864" s="41" t="str">
        <f t="shared" si="50"/>
        <v/>
      </c>
      <c r="AA864" s="5" t="str">
        <f ca="1">IFERROR(__xludf.DUMMYFUNCTION("IFERROR(VLOOKUP(E887&amp;F887,IMPORTRANGE(""https://docs.google.com/spreadsheets/d/1Uw7-A9f9R21vMXxHZFNpYNeKFtG8_yji4HS352LGlSQ/edit?pli=1#gid=0"",""1_ACUM!A4:S""),11,FALSE))"),"")</f>
        <v/>
      </c>
      <c r="AB864" s="42" t="str">
        <f ca="1">IFERROR(__xludf.DUMMYFUNCTION("IFERROR(VLOOKUP(F887,IMPORTRANGE(""https://docs.google.com/spreadsheets/d/1Kvs4KS76FHFqLFIZfrDMff4kP08nblUkihrxltoGBjg/edit#gid=934712705"",""ESENCIAL!A6:BG""),15,FALSE))"),"")</f>
        <v/>
      </c>
      <c r="AC864" s="110" t="str">
        <f ca="1">IFERROR(__xludf.DUMMYFUNCTION("IFERROR(VLOOKUP(E887&amp;F887,IMPORTRANGE(""https://docs.google.com/spreadsheets/d/1Uw7-A9f9R21vMXxHZFNpYNeKFtG8_yji4HS352LGlSQ/edit?pli=1#gid=0"",""1_ACUM!A4:S""),13,FALSE))"),"")</f>
        <v/>
      </c>
      <c r="AD864" s="43" t="str">
        <f ca="1">IFERROR(__xludf.DUMMYFUNCTION("IFERROR(VLOOKUP(E887&amp;F887,IMPORTRANGE(""https://docs.google.com/spreadsheets/d/1Uw7-A9f9R21vMXxHZFNpYNeKFtG8_yji4HS352LGlSQ/edit?pli=1#gid=0"",""1_ACUM!A4:S""),13,FALSE))"),"")</f>
        <v/>
      </c>
      <c r="AE864" s="43" t="str">
        <f ca="1">IFERROR(__xludf.DUMMYFUNCTION("IFERROR(VLOOKUP(E887&amp;F887,IMPORTRANGE(""https://docs.google.com/spreadsheets/d/1Uw7-A9f9R21vMXxHZFNpYNeKFtG8_yji4HS352LGlSQ/edit?pli=1#gid=0"",""1_ACUM!A4:S""),14,FALSE))"),"")</f>
        <v/>
      </c>
      <c r="AF864" s="43" t="str">
        <f ca="1">IFERROR(__xludf.DUMMYFUNCTION("IFERROR(VLOOKUP(E887&amp;F887,IMPORTRANGE(""https://docs.google.com/spreadsheets/d/1Uw7-A9f9R21vMXxHZFNpYNeKFtG8_yji4HS352LGlSQ/edit?pli=1#gid=0"",""1_ACUM!A4:S""),15,FALSE))"),"")</f>
        <v/>
      </c>
      <c r="AG864" s="43" t="str">
        <f ca="1">IFERROR(__xludf.DUMMYFUNCTION("IFERROR(VLOOKUP(E887&amp;F887,IMPORTRANGE(""https://docs.google.com/spreadsheets/d/1Uw7-A9f9R21vMXxHZFNpYNeKFtG8_yji4HS352LGlSQ/edit?pli=1#gid=0"",""1_ACUM!A4:S""),16,FALSE))"),"")</f>
        <v/>
      </c>
      <c r="AH864" s="43" t="str">
        <f ca="1">IFERROR(__xludf.DUMMYFUNCTION("IFERROR(VLOOKUP(E887&amp;F887,IMPORTRANGE(""https://docs.google.com/spreadsheets/d/1Uw7-A9f9R21vMXxHZFNpYNeKFtG8_yji4HS352LGlSQ/edit?pli=1#gid=0"",""1_ACUM!A4:S""),17,FALSE))"),"")</f>
        <v/>
      </c>
      <c r="AI864" s="44" t="str">
        <f ca="1">IFERROR(__xludf.DUMMYFUNCTION("IFERROR(VLOOKUP(E887&amp;F887,IMPORTRANGE(""https://docs.google.com/spreadsheets/d/1Uw7-A9f9R21vMXxHZFNpYNeKFtG8_yji4HS352LGlSQ/edit?pli=1#gid=0"",""1_ACUM!A4:S""),18,FALSE))"),"")</f>
        <v/>
      </c>
      <c r="AJ864" s="44" t="str">
        <f ca="1">IFERROR(__xludf.DUMMYFUNCTION("IFERROR(VLOOKUP(E887&amp;F887,IMPORTRANGE(""https://docs.google.com/spreadsheets/d/1Uw7-A9f9R21vMXxHZFNpYNeKFtG8_yji4HS352LGlSQ/edit?pli=1#gid=0"",""1_ACUM!A4:S""),19,FALSE))"),"")</f>
        <v/>
      </c>
      <c r="AK864" s="98" t="str">
        <f ca="1">IFERROR(__xludf.DUMMYFUNCTION("IFERROR(VLOOKUP(F887,IMPORTRANGE(""https://docs.google.com/spreadsheets/d/1Kvs4KS76FHFqLFIZfrDMff4kP08nblUkihrxltoGBjg/edit#gid=934712705"",""ESENCIAL!A6:BG""),5,FALSE))"),"")</f>
        <v/>
      </c>
      <c r="AL864" s="98" t="str">
        <f t="shared" si="51"/>
        <v/>
      </c>
      <c r="AM864" s="99" t="str">
        <f t="shared" si="52"/>
        <v/>
      </c>
      <c r="AN864" s="100" t="str">
        <f ca="1">IFERROR(__xludf.DUMMYFUNCTION("IFERROR(VLOOKUP(F887,IMPORTRANGE(""https://docs.google.com/spreadsheets/d/1Kvs4KS76FHFqLFIZfrDMff4kP08nblUkihrxltoGBjg/edit#gid=934712705"",""ESENCIAL!A6:BG""),2,FALSE))"),"")</f>
        <v/>
      </c>
      <c r="AO864" s="19" t="str">
        <f t="shared" si="46"/>
        <v/>
      </c>
      <c r="AP864" s="100"/>
      <c r="AQ864" s="100"/>
    </row>
    <row r="865" spans="1:43" ht="15">
      <c r="A865" s="5"/>
      <c r="B865" s="5"/>
      <c r="G865" s="5" t="str">
        <f ca="1">IFERROR(__xludf.DUMMYFUNCTION("IFERROR(VLOOKUP(F888,IMPORTRANGE(""https://docs.google.com/spreadsheets/d/1Kvs4KS76FHFqLFIZfrDMff4kP08nblUkihrxltoGBjg/edit#gid=934712705"",""ESENCIAL!A6:BG""),3,FALSE))"),"")</f>
        <v/>
      </c>
      <c r="H865" s="5" t="str">
        <f ca="1">IFERROR(__xludf.DUMMYFUNCTION("IFERROR(VLOOKUP(F888,IMPORTRANGE(""https://docs.google.com/spreadsheets/d/1Kvs4KS76FHFqLFIZfrDMff4kP08nblUkihrxltoGBjg/edit#gid=934712705"",""ESENCIAL!A6:BG""),8,FALSE))"),"")</f>
        <v/>
      </c>
      <c r="L865" s="40"/>
      <c r="Z865" s="41" t="str">
        <f t="shared" si="50"/>
        <v/>
      </c>
      <c r="AA865" s="5" t="str">
        <f ca="1">IFERROR(__xludf.DUMMYFUNCTION("IFERROR(VLOOKUP(E888&amp;F888,IMPORTRANGE(""https://docs.google.com/spreadsheets/d/1Uw7-A9f9R21vMXxHZFNpYNeKFtG8_yji4HS352LGlSQ/edit?pli=1#gid=0"",""1_ACUM!A4:S""),11,FALSE))"),"")</f>
        <v/>
      </c>
      <c r="AB865" s="42" t="str">
        <f ca="1">IFERROR(__xludf.DUMMYFUNCTION("IFERROR(VLOOKUP(F888,IMPORTRANGE(""https://docs.google.com/spreadsheets/d/1Kvs4KS76FHFqLFIZfrDMff4kP08nblUkihrxltoGBjg/edit#gid=934712705"",""ESENCIAL!A6:BG""),15,FALSE))"),"")</f>
        <v/>
      </c>
      <c r="AC865" s="110" t="str">
        <f ca="1">IFERROR(__xludf.DUMMYFUNCTION("IFERROR(VLOOKUP(E888&amp;F888,IMPORTRANGE(""https://docs.google.com/spreadsheets/d/1Uw7-A9f9R21vMXxHZFNpYNeKFtG8_yji4HS352LGlSQ/edit?pli=1#gid=0"",""1_ACUM!A4:S""),13,FALSE))"),"")</f>
        <v/>
      </c>
      <c r="AD865" s="43" t="str">
        <f ca="1">IFERROR(__xludf.DUMMYFUNCTION("IFERROR(VLOOKUP(E888&amp;F888,IMPORTRANGE(""https://docs.google.com/spreadsheets/d/1Uw7-A9f9R21vMXxHZFNpYNeKFtG8_yji4HS352LGlSQ/edit?pli=1#gid=0"",""1_ACUM!A4:S""),13,FALSE))"),"")</f>
        <v/>
      </c>
      <c r="AE865" s="43" t="str">
        <f ca="1">IFERROR(__xludf.DUMMYFUNCTION("IFERROR(VLOOKUP(E888&amp;F888,IMPORTRANGE(""https://docs.google.com/spreadsheets/d/1Uw7-A9f9R21vMXxHZFNpYNeKFtG8_yji4HS352LGlSQ/edit?pli=1#gid=0"",""1_ACUM!A4:S""),14,FALSE))"),"")</f>
        <v/>
      </c>
      <c r="AF865" s="43" t="str">
        <f ca="1">IFERROR(__xludf.DUMMYFUNCTION("IFERROR(VLOOKUP(E888&amp;F888,IMPORTRANGE(""https://docs.google.com/spreadsheets/d/1Uw7-A9f9R21vMXxHZFNpYNeKFtG8_yji4HS352LGlSQ/edit?pli=1#gid=0"",""1_ACUM!A4:S""),15,FALSE))"),"")</f>
        <v/>
      </c>
      <c r="AG865" s="43" t="str">
        <f ca="1">IFERROR(__xludf.DUMMYFUNCTION("IFERROR(VLOOKUP(E888&amp;F888,IMPORTRANGE(""https://docs.google.com/spreadsheets/d/1Uw7-A9f9R21vMXxHZFNpYNeKFtG8_yji4HS352LGlSQ/edit?pli=1#gid=0"",""1_ACUM!A4:S""),16,FALSE))"),"")</f>
        <v/>
      </c>
      <c r="AH865" s="43" t="str">
        <f ca="1">IFERROR(__xludf.DUMMYFUNCTION("IFERROR(VLOOKUP(E888&amp;F888,IMPORTRANGE(""https://docs.google.com/spreadsheets/d/1Uw7-A9f9R21vMXxHZFNpYNeKFtG8_yji4HS352LGlSQ/edit?pli=1#gid=0"",""1_ACUM!A4:S""),17,FALSE))"),"")</f>
        <v/>
      </c>
      <c r="AI865" s="44" t="str">
        <f ca="1">IFERROR(__xludf.DUMMYFUNCTION("IFERROR(VLOOKUP(E888&amp;F888,IMPORTRANGE(""https://docs.google.com/spreadsheets/d/1Uw7-A9f9R21vMXxHZFNpYNeKFtG8_yji4HS352LGlSQ/edit?pli=1#gid=0"",""1_ACUM!A4:S""),18,FALSE))"),"")</f>
        <v/>
      </c>
      <c r="AJ865" s="44" t="str">
        <f ca="1">IFERROR(__xludf.DUMMYFUNCTION("IFERROR(VLOOKUP(E888&amp;F888,IMPORTRANGE(""https://docs.google.com/spreadsheets/d/1Uw7-A9f9R21vMXxHZFNpYNeKFtG8_yji4HS352LGlSQ/edit?pli=1#gid=0"",""1_ACUM!A4:S""),19,FALSE))"),"")</f>
        <v/>
      </c>
      <c r="AK865" s="98" t="str">
        <f ca="1">IFERROR(__xludf.DUMMYFUNCTION("IFERROR(VLOOKUP(F888,IMPORTRANGE(""https://docs.google.com/spreadsheets/d/1Kvs4KS76FHFqLFIZfrDMff4kP08nblUkihrxltoGBjg/edit#gid=934712705"",""ESENCIAL!A6:BG""),5,FALSE))"),"")</f>
        <v/>
      </c>
      <c r="AL865" s="98" t="str">
        <f t="shared" si="51"/>
        <v/>
      </c>
      <c r="AM865" s="99" t="str">
        <f t="shared" si="52"/>
        <v/>
      </c>
      <c r="AN865" s="100" t="str">
        <f ca="1">IFERROR(__xludf.DUMMYFUNCTION("IFERROR(VLOOKUP(F888,IMPORTRANGE(""https://docs.google.com/spreadsheets/d/1Kvs4KS76FHFqLFIZfrDMff4kP08nblUkihrxltoGBjg/edit#gid=934712705"",""ESENCIAL!A6:BG""),2,FALSE))"),"")</f>
        <v/>
      </c>
      <c r="AO865" s="19" t="str">
        <f t="shared" si="46"/>
        <v/>
      </c>
      <c r="AP865" s="100"/>
      <c r="AQ865" s="100"/>
    </row>
    <row r="866" spans="1:43" ht="15">
      <c r="A866" s="5"/>
      <c r="B866" s="5"/>
      <c r="G866" s="5" t="str">
        <f ca="1">IFERROR(__xludf.DUMMYFUNCTION("IFERROR(VLOOKUP(F889,IMPORTRANGE(""https://docs.google.com/spreadsheets/d/1Kvs4KS76FHFqLFIZfrDMff4kP08nblUkihrxltoGBjg/edit#gid=934712705"",""ESENCIAL!A6:BG""),3,FALSE))"),"")</f>
        <v/>
      </c>
      <c r="H866" s="5" t="str">
        <f ca="1">IFERROR(__xludf.DUMMYFUNCTION("IFERROR(VLOOKUP(F889,IMPORTRANGE(""https://docs.google.com/spreadsheets/d/1Kvs4KS76FHFqLFIZfrDMff4kP08nblUkihrxltoGBjg/edit#gid=934712705"",""ESENCIAL!A6:BG""),8,FALSE))"),"")</f>
        <v/>
      </c>
      <c r="L866" s="40"/>
      <c r="Z866" s="41" t="str">
        <f t="shared" si="50"/>
        <v/>
      </c>
      <c r="AA866" s="5" t="str">
        <f ca="1">IFERROR(__xludf.DUMMYFUNCTION("IFERROR(VLOOKUP(E889&amp;F889,IMPORTRANGE(""https://docs.google.com/spreadsheets/d/1Uw7-A9f9R21vMXxHZFNpYNeKFtG8_yji4HS352LGlSQ/edit?pli=1#gid=0"",""1_ACUM!A4:S""),11,FALSE))"),"")</f>
        <v/>
      </c>
      <c r="AB866" s="42" t="str">
        <f ca="1">IFERROR(__xludf.DUMMYFUNCTION("IFERROR(VLOOKUP(F889,IMPORTRANGE(""https://docs.google.com/spreadsheets/d/1Kvs4KS76FHFqLFIZfrDMff4kP08nblUkihrxltoGBjg/edit#gid=934712705"",""ESENCIAL!A6:BG""),15,FALSE))"),"")</f>
        <v/>
      </c>
      <c r="AC866" s="110" t="str">
        <f ca="1">IFERROR(__xludf.DUMMYFUNCTION("IFERROR(VLOOKUP(E889&amp;F889,IMPORTRANGE(""https://docs.google.com/spreadsheets/d/1Uw7-A9f9R21vMXxHZFNpYNeKFtG8_yji4HS352LGlSQ/edit?pli=1#gid=0"",""1_ACUM!A4:S""),13,FALSE))"),"")</f>
        <v/>
      </c>
      <c r="AD866" s="43" t="str">
        <f ca="1">IFERROR(__xludf.DUMMYFUNCTION("IFERROR(VLOOKUP(E889&amp;F889,IMPORTRANGE(""https://docs.google.com/spreadsheets/d/1Uw7-A9f9R21vMXxHZFNpYNeKFtG8_yji4HS352LGlSQ/edit?pli=1#gid=0"",""1_ACUM!A4:S""),13,FALSE))"),"")</f>
        <v/>
      </c>
      <c r="AE866" s="43" t="str">
        <f ca="1">IFERROR(__xludf.DUMMYFUNCTION("IFERROR(VLOOKUP(E889&amp;F889,IMPORTRANGE(""https://docs.google.com/spreadsheets/d/1Uw7-A9f9R21vMXxHZFNpYNeKFtG8_yji4HS352LGlSQ/edit?pli=1#gid=0"",""1_ACUM!A4:S""),14,FALSE))"),"")</f>
        <v/>
      </c>
      <c r="AF866" s="43" t="str">
        <f ca="1">IFERROR(__xludf.DUMMYFUNCTION("IFERROR(VLOOKUP(E889&amp;F889,IMPORTRANGE(""https://docs.google.com/spreadsheets/d/1Uw7-A9f9R21vMXxHZFNpYNeKFtG8_yji4HS352LGlSQ/edit?pli=1#gid=0"",""1_ACUM!A4:S""),15,FALSE))"),"")</f>
        <v/>
      </c>
      <c r="AG866" s="43" t="str">
        <f ca="1">IFERROR(__xludf.DUMMYFUNCTION("IFERROR(VLOOKUP(E889&amp;F889,IMPORTRANGE(""https://docs.google.com/spreadsheets/d/1Uw7-A9f9R21vMXxHZFNpYNeKFtG8_yji4HS352LGlSQ/edit?pli=1#gid=0"",""1_ACUM!A4:S""),16,FALSE))"),"")</f>
        <v/>
      </c>
      <c r="AH866" s="43" t="str">
        <f ca="1">IFERROR(__xludf.DUMMYFUNCTION("IFERROR(VLOOKUP(E889&amp;F889,IMPORTRANGE(""https://docs.google.com/spreadsheets/d/1Uw7-A9f9R21vMXxHZFNpYNeKFtG8_yji4HS352LGlSQ/edit?pli=1#gid=0"",""1_ACUM!A4:S""),17,FALSE))"),"")</f>
        <v/>
      </c>
      <c r="AI866" s="44" t="str">
        <f ca="1">IFERROR(__xludf.DUMMYFUNCTION("IFERROR(VLOOKUP(E889&amp;F889,IMPORTRANGE(""https://docs.google.com/spreadsheets/d/1Uw7-A9f9R21vMXxHZFNpYNeKFtG8_yji4HS352LGlSQ/edit?pli=1#gid=0"",""1_ACUM!A4:S""),18,FALSE))"),"")</f>
        <v/>
      </c>
      <c r="AJ866" s="44" t="str">
        <f ca="1">IFERROR(__xludf.DUMMYFUNCTION("IFERROR(VLOOKUP(E889&amp;F889,IMPORTRANGE(""https://docs.google.com/spreadsheets/d/1Uw7-A9f9R21vMXxHZFNpYNeKFtG8_yji4HS352LGlSQ/edit?pli=1#gid=0"",""1_ACUM!A4:S""),19,FALSE))"),"")</f>
        <v/>
      </c>
      <c r="AK866" s="98" t="str">
        <f ca="1">IFERROR(__xludf.DUMMYFUNCTION("IFERROR(VLOOKUP(F889,IMPORTRANGE(""https://docs.google.com/spreadsheets/d/1Kvs4KS76FHFqLFIZfrDMff4kP08nblUkihrxltoGBjg/edit#gid=934712705"",""ESENCIAL!A6:BG""),5,FALSE))"),"")</f>
        <v/>
      </c>
      <c r="AL866" s="98" t="str">
        <f t="shared" si="51"/>
        <v/>
      </c>
      <c r="AM866" s="99" t="str">
        <f t="shared" si="52"/>
        <v/>
      </c>
      <c r="AN866" s="100" t="str">
        <f ca="1">IFERROR(__xludf.DUMMYFUNCTION("IFERROR(VLOOKUP(F889,IMPORTRANGE(""https://docs.google.com/spreadsheets/d/1Kvs4KS76FHFqLFIZfrDMff4kP08nblUkihrxltoGBjg/edit#gid=934712705"",""ESENCIAL!A6:BG""),2,FALSE))"),"")</f>
        <v/>
      </c>
      <c r="AO866" s="19" t="str">
        <f t="shared" si="46"/>
        <v/>
      </c>
      <c r="AP866" s="100"/>
      <c r="AQ866" s="100"/>
    </row>
    <row r="867" spans="1:43" ht="15">
      <c r="A867" s="5"/>
      <c r="B867" s="5"/>
      <c r="G867" s="5" t="str">
        <f ca="1">IFERROR(__xludf.DUMMYFUNCTION("IFERROR(VLOOKUP(F890,IMPORTRANGE(""https://docs.google.com/spreadsheets/d/1Kvs4KS76FHFqLFIZfrDMff4kP08nblUkihrxltoGBjg/edit#gid=934712705"",""ESENCIAL!A6:BG""),3,FALSE))"),"")</f>
        <v/>
      </c>
      <c r="H867" s="5" t="str">
        <f ca="1">IFERROR(__xludf.DUMMYFUNCTION("IFERROR(VLOOKUP(F890,IMPORTRANGE(""https://docs.google.com/spreadsheets/d/1Kvs4KS76FHFqLFIZfrDMff4kP08nblUkihrxltoGBjg/edit#gid=934712705"",""ESENCIAL!A6:BG""),8,FALSE))"),"")</f>
        <v/>
      </c>
      <c r="L867" s="40"/>
      <c r="Z867" s="41" t="str">
        <f t="shared" si="50"/>
        <v/>
      </c>
      <c r="AA867" s="5" t="str">
        <f ca="1">IFERROR(__xludf.DUMMYFUNCTION("IFERROR(VLOOKUP(E890&amp;F890,IMPORTRANGE(""https://docs.google.com/spreadsheets/d/1Uw7-A9f9R21vMXxHZFNpYNeKFtG8_yji4HS352LGlSQ/edit?pli=1#gid=0"",""1_ACUM!A4:S""),11,FALSE))"),"")</f>
        <v/>
      </c>
      <c r="AB867" s="42" t="str">
        <f ca="1">IFERROR(__xludf.DUMMYFUNCTION("IFERROR(VLOOKUP(F890,IMPORTRANGE(""https://docs.google.com/spreadsheets/d/1Kvs4KS76FHFqLFIZfrDMff4kP08nblUkihrxltoGBjg/edit#gid=934712705"",""ESENCIAL!A6:BG""),15,FALSE))"),"")</f>
        <v/>
      </c>
      <c r="AC867" s="110" t="str">
        <f ca="1">IFERROR(__xludf.DUMMYFUNCTION("IFERROR(VLOOKUP(E890&amp;F890,IMPORTRANGE(""https://docs.google.com/spreadsheets/d/1Uw7-A9f9R21vMXxHZFNpYNeKFtG8_yji4HS352LGlSQ/edit?pli=1#gid=0"",""1_ACUM!A4:S""),13,FALSE))"),"")</f>
        <v/>
      </c>
      <c r="AD867" s="43" t="str">
        <f ca="1">IFERROR(__xludf.DUMMYFUNCTION("IFERROR(VLOOKUP(E890&amp;F890,IMPORTRANGE(""https://docs.google.com/spreadsheets/d/1Uw7-A9f9R21vMXxHZFNpYNeKFtG8_yji4HS352LGlSQ/edit?pli=1#gid=0"",""1_ACUM!A4:S""),13,FALSE))"),"")</f>
        <v/>
      </c>
      <c r="AE867" s="43" t="str">
        <f ca="1">IFERROR(__xludf.DUMMYFUNCTION("IFERROR(VLOOKUP(E890&amp;F890,IMPORTRANGE(""https://docs.google.com/spreadsheets/d/1Uw7-A9f9R21vMXxHZFNpYNeKFtG8_yji4HS352LGlSQ/edit?pli=1#gid=0"",""1_ACUM!A4:S""),14,FALSE))"),"")</f>
        <v/>
      </c>
      <c r="AF867" s="43" t="str">
        <f ca="1">IFERROR(__xludf.DUMMYFUNCTION("IFERROR(VLOOKUP(E890&amp;F890,IMPORTRANGE(""https://docs.google.com/spreadsheets/d/1Uw7-A9f9R21vMXxHZFNpYNeKFtG8_yji4HS352LGlSQ/edit?pli=1#gid=0"",""1_ACUM!A4:S""),15,FALSE))"),"")</f>
        <v/>
      </c>
      <c r="AG867" s="43" t="str">
        <f ca="1">IFERROR(__xludf.DUMMYFUNCTION("IFERROR(VLOOKUP(E890&amp;F890,IMPORTRANGE(""https://docs.google.com/spreadsheets/d/1Uw7-A9f9R21vMXxHZFNpYNeKFtG8_yji4HS352LGlSQ/edit?pli=1#gid=0"",""1_ACUM!A4:S""),16,FALSE))"),"")</f>
        <v/>
      </c>
      <c r="AH867" s="43" t="str">
        <f ca="1">IFERROR(__xludf.DUMMYFUNCTION("IFERROR(VLOOKUP(E890&amp;F890,IMPORTRANGE(""https://docs.google.com/spreadsheets/d/1Uw7-A9f9R21vMXxHZFNpYNeKFtG8_yji4HS352LGlSQ/edit?pli=1#gid=0"",""1_ACUM!A4:S""),17,FALSE))"),"")</f>
        <v/>
      </c>
      <c r="AI867" s="44" t="str">
        <f ca="1">IFERROR(__xludf.DUMMYFUNCTION("IFERROR(VLOOKUP(E890&amp;F890,IMPORTRANGE(""https://docs.google.com/spreadsheets/d/1Uw7-A9f9R21vMXxHZFNpYNeKFtG8_yji4HS352LGlSQ/edit?pli=1#gid=0"",""1_ACUM!A4:S""),18,FALSE))"),"")</f>
        <v/>
      </c>
      <c r="AJ867" s="44" t="str">
        <f ca="1">IFERROR(__xludf.DUMMYFUNCTION("IFERROR(VLOOKUP(E890&amp;F890,IMPORTRANGE(""https://docs.google.com/spreadsheets/d/1Uw7-A9f9R21vMXxHZFNpYNeKFtG8_yji4HS352LGlSQ/edit?pli=1#gid=0"",""1_ACUM!A4:S""),19,FALSE))"),"")</f>
        <v/>
      </c>
      <c r="AK867" s="98" t="str">
        <f ca="1">IFERROR(__xludf.DUMMYFUNCTION("IFERROR(VLOOKUP(F890,IMPORTRANGE(""https://docs.google.com/spreadsheets/d/1Kvs4KS76FHFqLFIZfrDMff4kP08nblUkihrxltoGBjg/edit#gid=934712705"",""ESENCIAL!A6:BG""),5,FALSE))"),"")</f>
        <v/>
      </c>
      <c r="AL867" s="98" t="str">
        <f t="shared" si="51"/>
        <v/>
      </c>
      <c r="AM867" s="99" t="str">
        <f t="shared" si="52"/>
        <v/>
      </c>
      <c r="AN867" s="100" t="str">
        <f ca="1">IFERROR(__xludf.DUMMYFUNCTION("IFERROR(VLOOKUP(F890,IMPORTRANGE(""https://docs.google.com/spreadsheets/d/1Kvs4KS76FHFqLFIZfrDMff4kP08nblUkihrxltoGBjg/edit#gid=934712705"",""ESENCIAL!A6:BG""),2,FALSE))"),"")</f>
        <v/>
      </c>
      <c r="AO867" s="19" t="str">
        <f t="shared" si="46"/>
        <v/>
      </c>
      <c r="AP867" s="100"/>
      <c r="AQ867" s="100"/>
    </row>
    <row r="868" spans="1:43" ht="15">
      <c r="A868" s="5"/>
      <c r="B868" s="5"/>
      <c r="G868" s="5" t="str">
        <f ca="1">IFERROR(__xludf.DUMMYFUNCTION("IFERROR(VLOOKUP(F891,IMPORTRANGE(""https://docs.google.com/spreadsheets/d/1Kvs4KS76FHFqLFIZfrDMff4kP08nblUkihrxltoGBjg/edit#gid=934712705"",""ESENCIAL!A6:BG""),3,FALSE))"),"")</f>
        <v/>
      </c>
      <c r="H868" s="5" t="str">
        <f ca="1">IFERROR(__xludf.DUMMYFUNCTION("IFERROR(VLOOKUP(F891,IMPORTRANGE(""https://docs.google.com/spreadsheets/d/1Kvs4KS76FHFqLFIZfrDMff4kP08nblUkihrxltoGBjg/edit#gid=934712705"",""ESENCIAL!A6:BG""),8,FALSE))"),"")</f>
        <v/>
      </c>
      <c r="L868" s="40"/>
      <c r="Z868" s="41" t="str">
        <f t="shared" si="50"/>
        <v/>
      </c>
      <c r="AA868" s="5" t="str">
        <f ca="1">IFERROR(__xludf.DUMMYFUNCTION("IFERROR(VLOOKUP(E891&amp;F891,IMPORTRANGE(""https://docs.google.com/spreadsheets/d/1Uw7-A9f9R21vMXxHZFNpYNeKFtG8_yji4HS352LGlSQ/edit?pli=1#gid=0"",""1_ACUM!A4:S""),11,FALSE))"),"")</f>
        <v/>
      </c>
      <c r="AB868" s="42" t="str">
        <f ca="1">IFERROR(__xludf.DUMMYFUNCTION("IFERROR(VLOOKUP(F891,IMPORTRANGE(""https://docs.google.com/spreadsheets/d/1Kvs4KS76FHFqLFIZfrDMff4kP08nblUkihrxltoGBjg/edit#gid=934712705"",""ESENCIAL!A6:BG""),15,FALSE))"),"")</f>
        <v/>
      </c>
      <c r="AC868" s="110" t="str">
        <f ca="1">IFERROR(__xludf.DUMMYFUNCTION("IFERROR(VLOOKUP(E891&amp;F891,IMPORTRANGE(""https://docs.google.com/spreadsheets/d/1Uw7-A9f9R21vMXxHZFNpYNeKFtG8_yji4HS352LGlSQ/edit?pli=1#gid=0"",""1_ACUM!A4:S""),13,FALSE))"),"")</f>
        <v/>
      </c>
      <c r="AD868" s="43" t="str">
        <f ca="1">IFERROR(__xludf.DUMMYFUNCTION("IFERROR(VLOOKUP(E891&amp;F891,IMPORTRANGE(""https://docs.google.com/spreadsheets/d/1Uw7-A9f9R21vMXxHZFNpYNeKFtG8_yji4HS352LGlSQ/edit?pli=1#gid=0"",""1_ACUM!A4:S""),13,FALSE))"),"")</f>
        <v/>
      </c>
      <c r="AE868" s="43" t="str">
        <f ca="1">IFERROR(__xludf.DUMMYFUNCTION("IFERROR(VLOOKUP(E891&amp;F891,IMPORTRANGE(""https://docs.google.com/spreadsheets/d/1Uw7-A9f9R21vMXxHZFNpYNeKFtG8_yji4HS352LGlSQ/edit?pli=1#gid=0"",""1_ACUM!A4:S""),14,FALSE))"),"")</f>
        <v/>
      </c>
      <c r="AF868" s="43" t="str">
        <f ca="1">IFERROR(__xludf.DUMMYFUNCTION("IFERROR(VLOOKUP(E891&amp;F891,IMPORTRANGE(""https://docs.google.com/spreadsheets/d/1Uw7-A9f9R21vMXxHZFNpYNeKFtG8_yji4HS352LGlSQ/edit?pli=1#gid=0"",""1_ACUM!A4:S""),15,FALSE))"),"")</f>
        <v/>
      </c>
      <c r="AG868" s="43" t="str">
        <f ca="1">IFERROR(__xludf.DUMMYFUNCTION("IFERROR(VLOOKUP(E891&amp;F891,IMPORTRANGE(""https://docs.google.com/spreadsheets/d/1Uw7-A9f9R21vMXxHZFNpYNeKFtG8_yji4HS352LGlSQ/edit?pli=1#gid=0"",""1_ACUM!A4:S""),16,FALSE))"),"")</f>
        <v/>
      </c>
      <c r="AH868" s="43" t="str">
        <f ca="1">IFERROR(__xludf.DUMMYFUNCTION("IFERROR(VLOOKUP(E891&amp;F891,IMPORTRANGE(""https://docs.google.com/spreadsheets/d/1Uw7-A9f9R21vMXxHZFNpYNeKFtG8_yji4HS352LGlSQ/edit?pli=1#gid=0"",""1_ACUM!A4:S""),17,FALSE))"),"")</f>
        <v/>
      </c>
      <c r="AI868" s="44" t="str">
        <f ca="1">IFERROR(__xludf.DUMMYFUNCTION("IFERROR(VLOOKUP(E891&amp;F891,IMPORTRANGE(""https://docs.google.com/spreadsheets/d/1Uw7-A9f9R21vMXxHZFNpYNeKFtG8_yji4HS352LGlSQ/edit?pli=1#gid=0"",""1_ACUM!A4:S""),18,FALSE))"),"")</f>
        <v/>
      </c>
      <c r="AJ868" s="44" t="str">
        <f ca="1">IFERROR(__xludf.DUMMYFUNCTION("IFERROR(VLOOKUP(E891&amp;F891,IMPORTRANGE(""https://docs.google.com/spreadsheets/d/1Uw7-A9f9R21vMXxHZFNpYNeKFtG8_yji4HS352LGlSQ/edit?pli=1#gid=0"",""1_ACUM!A4:S""),19,FALSE))"),"")</f>
        <v/>
      </c>
      <c r="AK868" s="98" t="str">
        <f ca="1">IFERROR(__xludf.DUMMYFUNCTION("IFERROR(VLOOKUP(F891,IMPORTRANGE(""https://docs.google.com/spreadsheets/d/1Kvs4KS76FHFqLFIZfrDMff4kP08nblUkihrxltoGBjg/edit#gid=934712705"",""ESENCIAL!A6:BG""),5,FALSE))"),"")</f>
        <v/>
      </c>
      <c r="AL868" s="98" t="str">
        <f t="shared" si="51"/>
        <v/>
      </c>
      <c r="AM868" s="99" t="str">
        <f t="shared" si="52"/>
        <v/>
      </c>
      <c r="AN868" s="100" t="str">
        <f ca="1">IFERROR(__xludf.DUMMYFUNCTION("IFERROR(VLOOKUP(F891,IMPORTRANGE(""https://docs.google.com/spreadsheets/d/1Kvs4KS76FHFqLFIZfrDMff4kP08nblUkihrxltoGBjg/edit#gid=934712705"",""ESENCIAL!A6:BG""),2,FALSE))"),"")</f>
        <v/>
      </c>
      <c r="AO868" s="19" t="str">
        <f t="shared" si="46"/>
        <v/>
      </c>
      <c r="AP868" s="100"/>
      <c r="AQ868" s="100"/>
    </row>
    <row r="869" spans="1:43" ht="15">
      <c r="A869" s="5"/>
      <c r="B869" s="5"/>
      <c r="G869" s="5" t="str">
        <f ca="1">IFERROR(__xludf.DUMMYFUNCTION("IFERROR(VLOOKUP(F892,IMPORTRANGE(""https://docs.google.com/spreadsheets/d/1Kvs4KS76FHFqLFIZfrDMff4kP08nblUkihrxltoGBjg/edit#gid=934712705"",""ESENCIAL!A6:BG""),3,FALSE))"),"")</f>
        <v/>
      </c>
      <c r="H869" s="5" t="str">
        <f ca="1">IFERROR(__xludf.DUMMYFUNCTION("IFERROR(VLOOKUP(F892,IMPORTRANGE(""https://docs.google.com/spreadsheets/d/1Kvs4KS76FHFqLFIZfrDMff4kP08nblUkihrxltoGBjg/edit#gid=934712705"",""ESENCIAL!A6:BG""),8,FALSE))"),"")</f>
        <v/>
      </c>
      <c r="L869" s="40"/>
      <c r="Z869" s="41" t="str">
        <f t="shared" si="50"/>
        <v/>
      </c>
      <c r="AA869" s="5" t="str">
        <f ca="1">IFERROR(__xludf.DUMMYFUNCTION("IFERROR(VLOOKUP(E892&amp;F892,IMPORTRANGE(""https://docs.google.com/spreadsheets/d/1Uw7-A9f9R21vMXxHZFNpYNeKFtG8_yji4HS352LGlSQ/edit?pli=1#gid=0"",""1_ACUM!A4:S""),11,FALSE))"),"")</f>
        <v/>
      </c>
      <c r="AB869" s="42" t="str">
        <f ca="1">IFERROR(__xludf.DUMMYFUNCTION("IFERROR(VLOOKUP(F892,IMPORTRANGE(""https://docs.google.com/spreadsheets/d/1Kvs4KS76FHFqLFIZfrDMff4kP08nblUkihrxltoGBjg/edit#gid=934712705"",""ESENCIAL!A6:BG""),15,FALSE))"),"")</f>
        <v/>
      </c>
      <c r="AC869" s="110" t="str">
        <f ca="1">IFERROR(__xludf.DUMMYFUNCTION("IFERROR(VLOOKUP(E892&amp;F892,IMPORTRANGE(""https://docs.google.com/spreadsheets/d/1Uw7-A9f9R21vMXxHZFNpYNeKFtG8_yji4HS352LGlSQ/edit?pli=1#gid=0"",""1_ACUM!A4:S""),13,FALSE))"),"")</f>
        <v/>
      </c>
      <c r="AD869" s="43" t="str">
        <f ca="1">IFERROR(__xludf.DUMMYFUNCTION("IFERROR(VLOOKUP(E892&amp;F892,IMPORTRANGE(""https://docs.google.com/spreadsheets/d/1Uw7-A9f9R21vMXxHZFNpYNeKFtG8_yji4HS352LGlSQ/edit?pli=1#gid=0"",""1_ACUM!A4:S""),13,FALSE))"),"")</f>
        <v/>
      </c>
      <c r="AE869" s="43" t="str">
        <f ca="1">IFERROR(__xludf.DUMMYFUNCTION("IFERROR(VLOOKUP(E892&amp;F892,IMPORTRANGE(""https://docs.google.com/spreadsheets/d/1Uw7-A9f9R21vMXxHZFNpYNeKFtG8_yji4HS352LGlSQ/edit?pli=1#gid=0"",""1_ACUM!A4:S""),14,FALSE))"),"")</f>
        <v/>
      </c>
      <c r="AF869" s="43" t="str">
        <f ca="1">IFERROR(__xludf.DUMMYFUNCTION("IFERROR(VLOOKUP(E892&amp;F892,IMPORTRANGE(""https://docs.google.com/spreadsheets/d/1Uw7-A9f9R21vMXxHZFNpYNeKFtG8_yji4HS352LGlSQ/edit?pli=1#gid=0"",""1_ACUM!A4:S""),15,FALSE))"),"")</f>
        <v/>
      </c>
      <c r="AG869" s="43" t="str">
        <f ca="1">IFERROR(__xludf.DUMMYFUNCTION("IFERROR(VLOOKUP(E892&amp;F892,IMPORTRANGE(""https://docs.google.com/spreadsheets/d/1Uw7-A9f9R21vMXxHZFNpYNeKFtG8_yji4HS352LGlSQ/edit?pli=1#gid=0"",""1_ACUM!A4:S""),16,FALSE))"),"")</f>
        <v/>
      </c>
      <c r="AH869" s="43" t="str">
        <f ca="1">IFERROR(__xludf.DUMMYFUNCTION("IFERROR(VLOOKUP(E892&amp;F892,IMPORTRANGE(""https://docs.google.com/spreadsheets/d/1Uw7-A9f9R21vMXxHZFNpYNeKFtG8_yji4HS352LGlSQ/edit?pli=1#gid=0"",""1_ACUM!A4:S""),17,FALSE))"),"")</f>
        <v/>
      </c>
      <c r="AI869" s="44" t="str">
        <f ca="1">IFERROR(__xludf.DUMMYFUNCTION("IFERROR(VLOOKUP(E892&amp;F892,IMPORTRANGE(""https://docs.google.com/spreadsheets/d/1Uw7-A9f9R21vMXxHZFNpYNeKFtG8_yji4HS352LGlSQ/edit?pli=1#gid=0"",""1_ACUM!A4:S""),18,FALSE))"),"")</f>
        <v/>
      </c>
      <c r="AJ869" s="44" t="str">
        <f ca="1">IFERROR(__xludf.DUMMYFUNCTION("IFERROR(VLOOKUP(E892&amp;F892,IMPORTRANGE(""https://docs.google.com/spreadsheets/d/1Uw7-A9f9R21vMXxHZFNpYNeKFtG8_yji4HS352LGlSQ/edit?pli=1#gid=0"",""1_ACUM!A4:S""),19,FALSE))"),"")</f>
        <v/>
      </c>
      <c r="AK869" s="98" t="str">
        <f ca="1">IFERROR(__xludf.DUMMYFUNCTION("IFERROR(VLOOKUP(F892,IMPORTRANGE(""https://docs.google.com/spreadsheets/d/1Kvs4KS76FHFqLFIZfrDMff4kP08nblUkihrxltoGBjg/edit#gid=934712705"",""ESENCIAL!A6:BG""),5,FALSE))"),"")</f>
        <v/>
      </c>
      <c r="AL869" s="98" t="str">
        <f t="shared" si="51"/>
        <v/>
      </c>
      <c r="AM869" s="99" t="str">
        <f t="shared" si="52"/>
        <v/>
      </c>
      <c r="AN869" s="100" t="str">
        <f ca="1">IFERROR(__xludf.DUMMYFUNCTION("IFERROR(VLOOKUP(F892,IMPORTRANGE(""https://docs.google.com/spreadsheets/d/1Kvs4KS76FHFqLFIZfrDMff4kP08nblUkihrxltoGBjg/edit#gid=934712705"",""ESENCIAL!A6:BG""),2,FALSE))"),"")</f>
        <v/>
      </c>
      <c r="AO869" s="19" t="str">
        <f t="shared" si="46"/>
        <v/>
      </c>
      <c r="AP869" s="100"/>
      <c r="AQ869" s="100"/>
    </row>
    <row r="870" spans="1:43" ht="15">
      <c r="A870" s="5"/>
      <c r="B870" s="5"/>
      <c r="G870" s="5" t="str">
        <f ca="1">IFERROR(__xludf.DUMMYFUNCTION("IFERROR(VLOOKUP(F893,IMPORTRANGE(""https://docs.google.com/spreadsheets/d/1Kvs4KS76FHFqLFIZfrDMff4kP08nblUkihrxltoGBjg/edit#gid=934712705"",""ESENCIAL!A6:BG""),3,FALSE))"),"")</f>
        <v/>
      </c>
      <c r="H870" s="5" t="str">
        <f ca="1">IFERROR(__xludf.DUMMYFUNCTION("IFERROR(VLOOKUP(F893,IMPORTRANGE(""https://docs.google.com/spreadsheets/d/1Kvs4KS76FHFqLFIZfrDMff4kP08nblUkihrxltoGBjg/edit#gid=934712705"",""ESENCIAL!A6:BG""),8,FALSE))"),"")</f>
        <v/>
      </c>
      <c r="L870" s="40"/>
      <c r="Z870" s="41" t="str">
        <f t="shared" si="50"/>
        <v/>
      </c>
      <c r="AA870" s="5" t="str">
        <f ca="1">IFERROR(__xludf.DUMMYFUNCTION("IFERROR(VLOOKUP(E893&amp;F893,IMPORTRANGE(""https://docs.google.com/spreadsheets/d/1Uw7-A9f9R21vMXxHZFNpYNeKFtG8_yji4HS352LGlSQ/edit?pli=1#gid=0"",""1_ACUM!A4:S""),11,FALSE))"),"")</f>
        <v/>
      </c>
      <c r="AB870" s="42" t="str">
        <f ca="1">IFERROR(__xludf.DUMMYFUNCTION("IFERROR(VLOOKUP(F893,IMPORTRANGE(""https://docs.google.com/spreadsheets/d/1Kvs4KS76FHFqLFIZfrDMff4kP08nblUkihrxltoGBjg/edit#gid=934712705"",""ESENCIAL!A6:BG""),15,FALSE))"),"")</f>
        <v/>
      </c>
      <c r="AC870" s="110" t="str">
        <f ca="1">IFERROR(__xludf.DUMMYFUNCTION("IFERROR(VLOOKUP(E893&amp;F893,IMPORTRANGE(""https://docs.google.com/spreadsheets/d/1Uw7-A9f9R21vMXxHZFNpYNeKFtG8_yji4HS352LGlSQ/edit?pli=1#gid=0"",""1_ACUM!A4:S""),13,FALSE))"),"")</f>
        <v/>
      </c>
      <c r="AD870" s="43" t="str">
        <f ca="1">IFERROR(__xludf.DUMMYFUNCTION("IFERROR(VLOOKUP(E893&amp;F893,IMPORTRANGE(""https://docs.google.com/spreadsheets/d/1Uw7-A9f9R21vMXxHZFNpYNeKFtG8_yji4HS352LGlSQ/edit?pli=1#gid=0"",""1_ACUM!A4:S""),13,FALSE))"),"")</f>
        <v/>
      </c>
      <c r="AE870" s="43" t="str">
        <f ca="1">IFERROR(__xludf.DUMMYFUNCTION("IFERROR(VLOOKUP(E893&amp;F893,IMPORTRANGE(""https://docs.google.com/spreadsheets/d/1Uw7-A9f9R21vMXxHZFNpYNeKFtG8_yji4HS352LGlSQ/edit?pli=1#gid=0"",""1_ACUM!A4:S""),14,FALSE))"),"")</f>
        <v/>
      </c>
      <c r="AF870" s="43" t="str">
        <f ca="1">IFERROR(__xludf.DUMMYFUNCTION("IFERROR(VLOOKUP(E893&amp;F893,IMPORTRANGE(""https://docs.google.com/spreadsheets/d/1Uw7-A9f9R21vMXxHZFNpYNeKFtG8_yji4HS352LGlSQ/edit?pli=1#gid=0"",""1_ACUM!A4:S""),15,FALSE))"),"")</f>
        <v/>
      </c>
      <c r="AG870" s="43" t="str">
        <f ca="1">IFERROR(__xludf.DUMMYFUNCTION("IFERROR(VLOOKUP(E893&amp;F893,IMPORTRANGE(""https://docs.google.com/spreadsheets/d/1Uw7-A9f9R21vMXxHZFNpYNeKFtG8_yji4HS352LGlSQ/edit?pli=1#gid=0"",""1_ACUM!A4:S""),16,FALSE))"),"")</f>
        <v/>
      </c>
      <c r="AH870" s="43" t="str">
        <f ca="1">IFERROR(__xludf.DUMMYFUNCTION("IFERROR(VLOOKUP(E893&amp;F893,IMPORTRANGE(""https://docs.google.com/spreadsheets/d/1Uw7-A9f9R21vMXxHZFNpYNeKFtG8_yji4HS352LGlSQ/edit?pli=1#gid=0"",""1_ACUM!A4:S""),17,FALSE))"),"")</f>
        <v/>
      </c>
      <c r="AI870" s="44" t="str">
        <f ca="1">IFERROR(__xludf.DUMMYFUNCTION("IFERROR(VLOOKUP(E893&amp;F893,IMPORTRANGE(""https://docs.google.com/spreadsheets/d/1Uw7-A9f9R21vMXxHZFNpYNeKFtG8_yji4HS352LGlSQ/edit?pli=1#gid=0"",""1_ACUM!A4:S""),18,FALSE))"),"")</f>
        <v/>
      </c>
      <c r="AJ870" s="44" t="str">
        <f ca="1">IFERROR(__xludf.DUMMYFUNCTION("IFERROR(VLOOKUP(E893&amp;F893,IMPORTRANGE(""https://docs.google.com/spreadsheets/d/1Uw7-A9f9R21vMXxHZFNpYNeKFtG8_yji4HS352LGlSQ/edit?pli=1#gid=0"",""1_ACUM!A4:S""),19,FALSE))"),"")</f>
        <v/>
      </c>
      <c r="AK870" s="98" t="str">
        <f ca="1">IFERROR(__xludf.DUMMYFUNCTION("IFERROR(VLOOKUP(F893,IMPORTRANGE(""https://docs.google.com/spreadsheets/d/1Kvs4KS76FHFqLFIZfrDMff4kP08nblUkihrxltoGBjg/edit#gid=934712705"",""ESENCIAL!A6:BG""),5,FALSE))"),"")</f>
        <v/>
      </c>
      <c r="AL870" s="98" t="str">
        <f t="shared" si="51"/>
        <v/>
      </c>
      <c r="AM870" s="99" t="str">
        <f t="shared" si="52"/>
        <v/>
      </c>
      <c r="AN870" s="100" t="str">
        <f ca="1">IFERROR(__xludf.DUMMYFUNCTION("IFERROR(VLOOKUP(F893,IMPORTRANGE(""https://docs.google.com/spreadsheets/d/1Kvs4KS76FHFqLFIZfrDMff4kP08nblUkihrxltoGBjg/edit#gid=934712705"",""ESENCIAL!A6:BG""),2,FALSE))"),"")</f>
        <v/>
      </c>
      <c r="AO870" s="19" t="str">
        <f t="shared" si="46"/>
        <v/>
      </c>
      <c r="AP870" s="100"/>
      <c r="AQ870" s="100"/>
    </row>
    <row r="871" spans="1:43" ht="15">
      <c r="A871" s="5"/>
      <c r="B871" s="5"/>
      <c r="G871" s="5" t="str">
        <f ca="1">IFERROR(__xludf.DUMMYFUNCTION("IFERROR(VLOOKUP(F894,IMPORTRANGE(""https://docs.google.com/spreadsheets/d/1Kvs4KS76FHFqLFIZfrDMff4kP08nblUkihrxltoGBjg/edit#gid=934712705"",""ESENCIAL!A6:BG""),3,FALSE))"),"")</f>
        <v/>
      </c>
      <c r="H871" s="5" t="str">
        <f ca="1">IFERROR(__xludf.DUMMYFUNCTION("IFERROR(VLOOKUP(F894,IMPORTRANGE(""https://docs.google.com/spreadsheets/d/1Kvs4KS76FHFqLFIZfrDMff4kP08nblUkihrxltoGBjg/edit#gid=934712705"",""ESENCIAL!A6:BG""),8,FALSE))"),"")</f>
        <v/>
      </c>
      <c r="L871" s="40"/>
      <c r="Z871" s="41" t="str">
        <f t="shared" si="50"/>
        <v/>
      </c>
      <c r="AA871" s="5" t="str">
        <f ca="1">IFERROR(__xludf.DUMMYFUNCTION("IFERROR(VLOOKUP(E894&amp;F894,IMPORTRANGE(""https://docs.google.com/spreadsheets/d/1Uw7-A9f9R21vMXxHZFNpYNeKFtG8_yji4HS352LGlSQ/edit?pli=1#gid=0"",""1_ACUM!A4:S""),11,FALSE))"),"")</f>
        <v/>
      </c>
      <c r="AB871" s="42" t="str">
        <f ca="1">IFERROR(__xludf.DUMMYFUNCTION("IFERROR(VLOOKUP(F894,IMPORTRANGE(""https://docs.google.com/spreadsheets/d/1Kvs4KS76FHFqLFIZfrDMff4kP08nblUkihrxltoGBjg/edit#gid=934712705"",""ESENCIAL!A6:BG""),15,FALSE))"),"")</f>
        <v/>
      </c>
      <c r="AC871" s="110" t="str">
        <f ca="1">IFERROR(__xludf.DUMMYFUNCTION("IFERROR(VLOOKUP(E894&amp;F894,IMPORTRANGE(""https://docs.google.com/spreadsheets/d/1Uw7-A9f9R21vMXxHZFNpYNeKFtG8_yji4HS352LGlSQ/edit?pli=1#gid=0"",""1_ACUM!A4:S""),13,FALSE))"),"")</f>
        <v/>
      </c>
      <c r="AD871" s="43" t="str">
        <f ca="1">IFERROR(__xludf.DUMMYFUNCTION("IFERROR(VLOOKUP(E894&amp;F894,IMPORTRANGE(""https://docs.google.com/spreadsheets/d/1Uw7-A9f9R21vMXxHZFNpYNeKFtG8_yji4HS352LGlSQ/edit?pli=1#gid=0"",""1_ACUM!A4:S""),13,FALSE))"),"")</f>
        <v/>
      </c>
      <c r="AE871" s="43" t="str">
        <f ca="1">IFERROR(__xludf.DUMMYFUNCTION("IFERROR(VLOOKUP(E894&amp;F894,IMPORTRANGE(""https://docs.google.com/spreadsheets/d/1Uw7-A9f9R21vMXxHZFNpYNeKFtG8_yji4HS352LGlSQ/edit?pli=1#gid=0"",""1_ACUM!A4:S""),14,FALSE))"),"")</f>
        <v/>
      </c>
      <c r="AF871" s="43" t="str">
        <f ca="1">IFERROR(__xludf.DUMMYFUNCTION("IFERROR(VLOOKUP(E894&amp;F894,IMPORTRANGE(""https://docs.google.com/spreadsheets/d/1Uw7-A9f9R21vMXxHZFNpYNeKFtG8_yji4HS352LGlSQ/edit?pli=1#gid=0"",""1_ACUM!A4:S""),15,FALSE))"),"")</f>
        <v/>
      </c>
      <c r="AG871" s="43" t="str">
        <f ca="1">IFERROR(__xludf.DUMMYFUNCTION("IFERROR(VLOOKUP(E894&amp;F894,IMPORTRANGE(""https://docs.google.com/spreadsheets/d/1Uw7-A9f9R21vMXxHZFNpYNeKFtG8_yji4HS352LGlSQ/edit?pli=1#gid=0"",""1_ACUM!A4:S""),16,FALSE))"),"")</f>
        <v/>
      </c>
      <c r="AH871" s="43" t="str">
        <f ca="1">IFERROR(__xludf.DUMMYFUNCTION("IFERROR(VLOOKUP(E894&amp;F894,IMPORTRANGE(""https://docs.google.com/spreadsheets/d/1Uw7-A9f9R21vMXxHZFNpYNeKFtG8_yji4HS352LGlSQ/edit?pli=1#gid=0"",""1_ACUM!A4:S""),17,FALSE))"),"")</f>
        <v/>
      </c>
      <c r="AI871" s="44" t="str">
        <f ca="1">IFERROR(__xludf.DUMMYFUNCTION("IFERROR(VLOOKUP(E894&amp;F894,IMPORTRANGE(""https://docs.google.com/spreadsheets/d/1Uw7-A9f9R21vMXxHZFNpYNeKFtG8_yji4HS352LGlSQ/edit?pli=1#gid=0"",""1_ACUM!A4:S""),18,FALSE))"),"")</f>
        <v/>
      </c>
      <c r="AJ871" s="44" t="str">
        <f ca="1">IFERROR(__xludf.DUMMYFUNCTION("IFERROR(VLOOKUP(E894&amp;F894,IMPORTRANGE(""https://docs.google.com/spreadsheets/d/1Uw7-A9f9R21vMXxHZFNpYNeKFtG8_yji4HS352LGlSQ/edit?pli=1#gid=0"",""1_ACUM!A4:S""),19,FALSE))"),"")</f>
        <v/>
      </c>
      <c r="AK871" s="98" t="str">
        <f ca="1">IFERROR(__xludf.DUMMYFUNCTION("IFERROR(VLOOKUP(F894,IMPORTRANGE(""https://docs.google.com/spreadsheets/d/1Kvs4KS76FHFqLFIZfrDMff4kP08nblUkihrxltoGBjg/edit#gid=934712705"",""ESENCIAL!A6:BG""),5,FALSE))"),"")</f>
        <v/>
      </c>
      <c r="AL871" s="98" t="str">
        <f t="shared" si="51"/>
        <v/>
      </c>
      <c r="AM871" s="99" t="str">
        <f t="shared" si="52"/>
        <v/>
      </c>
      <c r="AN871" s="100" t="str">
        <f ca="1">IFERROR(__xludf.DUMMYFUNCTION("IFERROR(VLOOKUP(F894,IMPORTRANGE(""https://docs.google.com/spreadsheets/d/1Kvs4KS76FHFqLFIZfrDMff4kP08nblUkihrxltoGBjg/edit#gid=934712705"",""ESENCIAL!A6:BG""),2,FALSE))"),"")</f>
        <v/>
      </c>
      <c r="AO871" s="19" t="str">
        <f t="shared" si="46"/>
        <v/>
      </c>
      <c r="AP871" s="100"/>
      <c r="AQ871" s="100"/>
    </row>
    <row r="872" spans="1:43" ht="15">
      <c r="A872" s="5"/>
      <c r="B872" s="5"/>
      <c r="G872" s="5" t="str">
        <f ca="1">IFERROR(__xludf.DUMMYFUNCTION("IFERROR(VLOOKUP(F895,IMPORTRANGE(""https://docs.google.com/spreadsheets/d/1Kvs4KS76FHFqLFIZfrDMff4kP08nblUkihrxltoGBjg/edit#gid=934712705"",""ESENCIAL!A6:BG""),3,FALSE))"),"")</f>
        <v/>
      </c>
      <c r="H872" s="5" t="str">
        <f ca="1">IFERROR(__xludf.DUMMYFUNCTION("IFERROR(VLOOKUP(F895,IMPORTRANGE(""https://docs.google.com/spreadsheets/d/1Kvs4KS76FHFqLFIZfrDMff4kP08nblUkihrxltoGBjg/edit#gid=934712705"",""ESENCIAL!A6:BG""),8,FALSE))"),"")</f>
        <v/>
      </c>
      <c r="L872" s="40"/>
      <c r="Z872" s="41" t="str">
        <f t="shared" si="50"/>
        <v/>
      </c>
      <c r="AA872" s="5" t="str">
        <f ca="1">IFERROR(__xludf.DUMMYFUNCTION("IFERROR(VLOOKUP(E895&amp;F895,IMPORTRANGE(""https://docs.google.com/spreadsheets/d/1Uw7-A9f9R21vMXxHZFNpYNeKFtG8_yji4HS352LGlSQ/edit?pli=1#gid=0"",""1_ACUM!A4:S""),11,FALSE))"),"")</f>
        <v/>
      </c>
      <c r="AB872" s="42" t="str">
        <f ca="1">IFERROR(__xludf.DUMMYFUNCTION("IFERROR(VLOOKUP(F895,IMPORTRANGE(""https://docs.google.com/spreadsheets/d/1Kvs4KS76FHFqLFIZfrDMff4kP08nblUkihrxltoGBjg/edit#gid=934712705"",""ESENCIAL!A6:BG""),15,FALSE))"),"")</f>
        <v/>
      </c>
      <c r="AC872" s="110" t="str">
        <f ca="1">IFERROR(__xludf.DUMMYFUNCTION("IFERROR(VLOOKUP(E895&amp;F895,IMPORTRANGE(""https://docs.google.com/spreadsheets/d/1Uw7-A9f9R21vMXxHZFNpYNeKFtG8_yji4HS352LGlSQ/edit?pli=1#gid=0"",""1_ACUM!A4:S""),13,FALSE))"),"")</f>
        <v/>
      </c>
      <c r="AD872" s="43" t="str">
        <f ca="1">IFERROR(__xludf.DUMMYFUNCTION("IFERROR(VLOOKUP(E895&amp;F895,IMPORTRANGE(""https://docs.google.com/spreadsheets/d/1Uw7-A9f9R21vMXxHZFNpYNeKFtG8_yji4HS352LGlSQ/edit?pli=1#gid=0"",""1_ACUM!A4:S""),13,FALSE))"),"")</f>
        <v/>
      </c>
      <c r="AE872" s="43" t="str">
        <f ca="1">IFERROR(__xludf.DUMMYFUNCTION("IFERROR(VLOOKUP(E895&amp;F895,IMPORTRANGE(""https://docs.google.com/spreadsheets/d/1Uw7-A9f9R21vMXxHZFNpYNeKFtG8_yji4HS352LGlSQ/edit?pli=1#gid=0"",""1_ACUM!A4:S""),14,FALSE))"),"")</f>
        <v/>
      </c>
      <c r="AF872" s="43" t="str">
        <f ca="1">IFERROR(__xludf.DUMMYFUNCTION("IFERROR(VLOOKUP(E895&amp;F895,IMPORTRANGE(""https://docs.google.com/spreadsheets/d/1Uw7-A9f9R21vMXxHZFNpYNeKFtG8_yji4HS352LGlSQ/edit?pli=1#gid=0"",""1_ACUM!A4:S""),15,FALSE))"),"")</f>
        <v/>
      </c>
      <c r="AG872" s="43" t="str">
        <f ca="1">IFERROR(__xludf.DUMMYFUNCTION("IFERROR(VLOOKUP(E895&amp;F895,IMPORTRANGE(""https://docs.google.com/spreadsheets/d/1Uw7-A9f9R21vMXxHZFNpYNeKFtG8_yji4HS352LGlSQ/edit?pli=1#gid=0"",""1_ACUM!A4:S""),16,FALSE))"),"")</f>
        <v/>
      </c>
      <c r="AH872" s="43" t="str">
        <f ca="1">IFERROR(__xludf.DUMMYFUNCTION("IFERROR(VLOOKUP(E895&amp;F895,IMPORTRANGE(""https://docs.google.com/spreadsheets/d/1Uw7-A9f9R21vMXxHZFNpYNeKFtG8_yji4HS352LGlSQ/edit?pli=1#gid=0"",""1_ACUM!A4:S""),17,FALSE))"),"")</f>
        <v/>
      </c>
      <c r="AI872" s="44" t="str">
        <f ca="1">IFERROR(__xludf.DUMMYFUNCTION("IFERROR(VLOOKUP(E895&amp;F895,IMPORTRANGE(""https://docs.google.com/spreadsheets/d/1Uw7-A9f9R21vMXxHZFNpYNeKFtG8_yji4HS352LGlSQ/edit?pli=1#gid=0"",""1_ACUM!A4:S""),18,FALSE))"),"")</f>
        <v/>
      </c>
      <c r="AJ872" s="44" t="str">
        <f ca="1">IFERROR(__xludf.DUMMYFUNCTION("IFERROR(VLOOKUP(E895&amp;F895,IMPORTRANGE(""https://docs.google.com/spreadsheets/d/1Uw7-A9f9R21vMXxHZFNpYNeKFtG8_yji4HS352LGlSQ/edit?pli=1#gid=0"",""1_ACUM!A4:S""),19,FALSE))"),"")</f>
        <v/>
      </c>
      <c r="AK872" s="98" t="str">
        <f ca="1">IFERROR(__xludf.DUMMYFUNCTION("IFERROR(VLOOKUP(F895,IMPORTRANGE(""https://docs.google.com/spreadsheets/d/1Kvs4KS76FHFqLFIZfrDMff4kP08nblUkihrxltoGBjg/edit#gid=934712705"",""ESENCIAL!A6:BG""),5,FALSE))"),"")</f>
        <v/>
      </c>
      <c r="AL872" s="98" t="str">
        <f t="shared" si="51"/>
        <v/>
      </c>
      <c r="AM872" s="99" t="str">
        <f t="shared" si="52"/>
        <v/>
      </c>
      <c r="AN872" s="100" t="str">
        <f ca="1">IFERROR(__xludf.DUMMYFUNCTION("IFERROR(VLOOKUP(F895,IMPORTRANGE(""https://docs.google.com/spreadsheets/d/1Kvs4KS76FHFqLFIZfrDMff4kP08nblUkihrxltoGBjg/edit#gid=934712705"",""ESENCIAL!A6:BG""),2,FALSE))"),"")</f>
        <v/>
      </c>
      <c r="AO872" s="19" t="str">
        <f t="shared" si="46"/>
        <v/>
      </c>
      <c r="AP872" s="100"/>
      <c r="AQ872" s="100"/>
    </row>
    <row r="873" spans="1:43" ht="15">
      <c r="A873" s="5"/>
      <c r="B873" s="5"/>
      <c r="G873" s="5" t="str">
        <f ca="1">IFERROR(__xludf.DUMMYFUNCTION("IFERROR(VLOOKUP(F896,IMPORTRANGE(""https://docs.google.com/spreadsheets/d/1Kvs4KS76FHFqLFIZfrDMff4kP08nblUkihrxltoGBjg/edit#gid=934712705"",""ESENCIAL!A6:BG""),3,FALSE))"),"")</f>
        <v/>
      </c>
      <c r="H873" s="5" t="str">
        <f ca="1">IFERROR(__xludf.DUMMYFUNCTION("IFERROR(VLOOKUP(F896,IMPORTRANGE(""https://docs.google.com/spreadsheets/d/1Kvs4KS76FHFqLFIZfrDMff4kP08nblUkihrxltoGBjg/edit#gid=934712705"",""ESENCIAL!A6:BG""),8,FALSE))"),"")</f>
        <v/>
      </c>
      <c r="L873" s="40"/>
      <c r="Z873" s="41" t="str">
        <f t="shared" si="50"/>
        <v/>
      </c>
      <c r="AA873" s="5" t="str">
        <f ca="1">IFERROR(__xludf.DUMMYFUNCTION("IFERROR(VLOOKUP(E896&amp;F896,IMPORTRANGE(""https://docs.google.com/spreadsheets/d/1Uw7-A9f9R21vMXxHZFNpYNeKFtG8_yji4HS352LGlSQ/edit?pli=1#gid=0"",""1_ACUM!A4:S""),11,FALSE))"),"")</f>
        <v/>
      </c>
      <c r="AB873" s="42" t="str">
        <f ca="1">IFERROR(__xludf.DUMMYFUNCTION("IFERROR(VLOOKUP(F896,IMPORTRANGE(""https://docs.google.com/spreadsheets/d/1Kvs4KS76FHFqLFIZfrDMff4kP08nblUkihrxltoGBjg/edit#gid=934712705"",""ESENCIAL!A6:BG""),15,FALSE))"),"")</f>
        <v/>
      </c>
      <c r="AC873" s="110" t="str">
        <f ca="1">IFERROR(__xludf.DUMMYFUNCTION("IFERROR(VLOOKUP(E896&amp;F896,IMPORTRANGE(""https://docs.google.com/spreadsheets/d/1Uw7-A9f9R21vMXxHZFNpYNeKFtG8_yji4HS352LGlSQ/edit?pli=1#gid=0"",""1_ACUM!A4:S""),13,FALSE))"),"")</f>
        <v/>
      </c>
      <c r="AD873" s="43" t="str">
        <f ca="1">IFERROR(__xludf.DUMMYFUNCTION("IFERROR(VLOOKUP(E896&amp;F896,IMPORTRANGE(""https://docs.google.com/spreadsheets/d/1Uw7-A9f9R21vMXxHZFNpYNeKFtG8_yji4HS352LGlSQ/edit?pli=1#gid=0"",""1_ACUM!A4:S""),13,FALSE))"),"")</f>
        <v/>
      </c>
      <c r="AE873" s="43" t="str">
        <f ca="1">IFERROR(__xludf.DUMMYFUNCTION("IFERROR(VLOOKUP(E896&amp;F896,IMPORTRANGE(""https://docs.google.com/spreadsheets/d/1Uw7-A9f9R21vMXxHZFNpYNeKFtG8_yji4HS352LGlSQ/edit?pli=1#gid=0"",""1_ACUM!A4:S""),14,FALSE))"),"")</f>
        <v/>
      </c>
      <c r="AF873" s="43" t="str">
        <f ca="1">IFERROR(__xludf.DUMMYFUNCTION("IFERROR(VLOOKUP(E896&amp;F896,IMPORTRANGE(""https://docs.google.com/spreadsheets/d/1Uw7-A9f9R21vMXxHZFNpYNeKFtG8_yji4HS352LGlSQ/edit?pli=1#gid=0"",""1_ACUM!A4:S""),15,FALSE))"),"")</f>
        <v/>
      </c>
      <c r="AG873" s="43" t="str">
        <f ca="1">IFERROR(__xludf.DUMMYFUNCTION("IFERROR(VLOOKUP(E896&amp;F896,IMPORTRANGE(""https://docs.google.com/spreadsheets/d/1Uw7-A9f9R21vMXxHZFNpYNeKFtG8_yji4HS352LGlSQ/edit?pli=1#gid=0"",""1_ACUM!A4:S""),16,FALSE))"),"")</f>
        <v/>
      </c>
      <c r="AH873" s="43" t="str">
        <f ca="1">IFERROR(__xludf.DUMMYFUNCTION("IFERROR(VLOOKUP(E896&amp;F896,IMPORTRANGE(""https://docs.google.com/spreadsheets/d/1Uw7-A9f9R21vMXxHZFNpYNeKFtG8_yji4HS352LGlSQ/edit?pli=1#gid=0"",""1_ACUM!A4:S""),17,FALSE))"),"")</f>
        <v/>
      </c>
      <c r="AI873" s="44" t="str">
        <f ca="1">IFERROR(__xludf.DUMMYFUNCTION("IFERROR(VLOOKUP(E896&amp;F896,IMPORTRANGE(""https://docs.google.com/spreadsheets/d/1Uw7-A9f9R21vMXxHZFNpYNeKFtG8_yji4HS352LGlSQ/edit?pli=1#gid=0"",""1_ACUM!A4:S""),18,FALSE))"),"")</f>
        <v/>
      </c>
      <c r="AJ873" s="44" t="str">
        <f ca="1">IFERROR(__xludf.DUMMYFUNCTION("IFERROR(VLOOKUP(E896&amp;F896,IMPORTRANGE(""https://docs.google.com/spreadsheets/d/1Uw7-A9f9R21vMXxHZFNpYNeKFtG8_yji4HS352LGlSQ/edit?pli=1#gid=0"",""1_ACUM!A4:S""),19,FALSE))"),"")</f>
        <v/>
      </c>
      <c r="AK873" s="98" t="str">
        <f ca="1">IFERROR(__xludf.DUMMYFUNCTION("IFERROR(VLOOKUP(F896,IMPORTRANGE(""https://docs.google.com/spreadsheets/d/1Kvs4KS76FHFqLFIZfrDMff4kP08nblUkihrxltoGBjg/edit#gid=934712705"",""ESENCIAL!A6:BG""),5,FALSE))"),"")</f>
        <v/>
      </c>
      <c r="AL873" s="98" t="str">
        <f t="shared" si="51"/>
        <v/>
      </c>
      <c r="AM873" s="99" t="str">
        <f t="shared" si="52"/>
        <v/>
      </c>
      <c r="AN873" s="100" t="str">
        <f ca="1">IFERROR(__xludf.DUMMYFUNCTION("IFERROR(VLOOKUP(F896,IMPORTRANGE(""https://docs.google.com/spreadsheets/d/1Kvs4KS76FHFqLFIZfrDMff4kP08nblUkihrxltoGBjg/edit#gid=934712705"",""ESENCIAL!A6:BG""),2,FALSE))"),"")</f>
        <v/>
      </c>
      <c r="AO873" s="19" t="str">
        <f t="shared" si="46"/>
        <v/>
      </c>
      <c r="AP873" s="100"/>
      <c r="AQ873" s="100"/>
    </row>
    <row r="874" spans="1:43" ht="15">
      <c r="A874" s="5"/>
      <c r="B874" s="5"/>
      <c r="G874" s="5" t="str">
        <f ca="1">IFERROR(__xludf.DUMMYFUNCTION("IFERROR(VLOOKUP(F897,IMPORTRANGE(""https://docs.google.com/spreadsheets/d/1Kvs4KS76FHFqLFIZfrDMff4kP08nblUkihrxltoGBjg/edit#gid=934712705"",""ESENCIAL!A6:BG""),3,FALSE))"),"")</f>
        <v/>
      </c>
      <c r="H874" s="5" t="str">
        <f ca="1">IFERROR(__xludf.DUMMYFUNCTION("IFERROR(VLOOKUP(F897,IMPORTRANGE(""https://docs.google.com/spreadsheets/d/1Kvs4KS76FHFqLFIZfrDMff4kP08nblUkihrxltoGBjg/edit#gid=934712705"",""ESENCIAL!A6:BG""),8,FALSE))"),"")</f>
        <v/>
      </c>
      <c r="L874" s="40"/>
      <c r="Z874" s="41" t="str">
        <f t="shared" si="50"/>
        <v/>
      </c>
      <c r="AA874" s="5" t="str">
        <f ca="1">IFERROR(__xludf.DUMMYFUNCTION("IFERROR(VLOOKUP(E897&amp;F897,IMPORTRANGE(""https://docs.google.com/spreadsheets/d/1Uw7-A9f9R21vMXxHZFNpYNeKFtG8_yji4HS352LGlSQ/edit?pli=1#gid=0"",""1_ACUM!A4:S""),11,FALSE))"),"")</f>
        <v/>
      </c>
      <c r="AB874" s="42" t="str">
        <f ca="1">IFERROR(__xludf.DUMMYFUNCTION("IFERROR(VLOOKUP(F897,IMPORTRANGE(""https://docs.google.com/spreadsheets/d/1Kvs4KS76FHFqLFIZfrDMff4kP08nblUkihrxltoGBjg/edit#gid=934712705"",""ESENCIAL!A6:BG""),15,FALSE))"),"")</f>
        <v/>
      </c>
      <c r="AC874" s="110" t="str">
        <f ca="1">IFERROR(__xludf.DUMMYFUNCTION("IFERROR(VLOOKUP(E897&amp;F897,IMPORTRANGE(""https://docs.google.com/spreadsheets/d/1Uw7-A9f9R21vMXxHZFNpYNeKFtG8_yji4HS352LGlSQ/edit?pli=1#gid=0"",""1_ACUM!A4:S""),13,FALSE))"),"")</f>
        <v/>
      </c>
      <c r="AD874" s="43" t="str">
        <f ca="1">IFERROR(__xludf.DUMMYFUNCTION("IFERROR(VLOOKUP(E897&amp;F897,IMPORTRANGE(""https://docs.google.com/spreadsheets/d/1Uw7-A9f9R21vMXxHZFNpYNeKFtG8_yji4HS352LGlSQ/edit?pli=1#gid=0"",""1_ACUM!A4:S""),13,FALSE))"),"")</f>
        <v/>
      </c>
      <c r="AE874" s="43" t="str">
        <f ca="1">IFERROR(__xludf.DUMMYFUNCTION("IFERROR(VLOOKUP(E897&amp;F897,IMPORTRANGE(""https://docs.google.com/spreadsheets/d/1Uw7-A9f9R21vMXxHZFNpYNeKFtG8_yji4HS352LGlSQ/edit?pli=1#gid=0"",""1_ACUM!A4:S""),14,FALSE))"),"")</f>
        <v/>
      </c>
      <c r="AF874" s="43" t="str">
        <f ca="1">IFERROR(__xludf.DUMMYFUNCTION("IFERROR(VLOOKUP(E897&amp;F897,IMPORTRANGE(""https://docs.google.com/spreadsheets/d/1Uw7-A9f9R21vMXxHZFNpYNeKFtG8_yji4HS352LGlSQ/edit?pli=1#gid=0"",""1_ACUM!A4:S""),15,FALSE))"),"")</f>
        <v/>
      </c>
      <c r="AG874" s="43" t="str">
        <f ca="1">IFERROR(__xludf.DUMMYFUNCTION("IFERROR(VLOOKUP(E897&amp;F897,IMPORTRANGE(""https://docs.google.com/spreadsheets/d/1Uw7-A9f9R21vMXxHZFNpYNeKFtG8_yji4HS352LGlSQ/edit?pli=1#gid=0"",""1_ACUM!A4:S""),16,FALSE))"),"")</f>
        <v/>
      </c>
      <c r="AH874" s="43" t="str">
        <f ca="1">IFERROR(__xludf.DUMMYFUNCTION("IFERROR(VLOOKUP(E897&amp;F897,IMPORTRANGE(""https://docs.google.com/spreadsheets/d/1Uw7-A9f9R21vMXxHZFNpYNeKFtG8_yji4HS352LGlSQ/edit?pli=1#gid=0"",""1_ACUM!A4:S""),17,FALSE))"),"")</f>
        <v/>
      </c>
      <c r="AI874" s="44" t="str">
        <f ca="1">IFERROR(__xludf.DUMMYFUNCTION("IFERROR(VLOOKUP(E897&amp;F897,IMPORTRANGE(""https://docs.google.com/spreadsheets/d/1Uw7-A9f9R21vMXxHZFNpYNeKFtG8_yji4HS352LGlSQ/edit?pli=1#gid=0"",""1_ACUM!A4:S""),18,FALSE))"),"")</f>
        <v/>
      </c>
      <c r="AJ874" s="44" t="str">
        <f ca="1">IFERROR(__xludf.DUMMYFUNCTION("IFERROR(VLOOKUP(E897&amp;F897,IMPORTRANGE(""https://docs.google.com/spreadsheets/d/1Uw7-A9f9R21vMXxHZFNpYNeKFtG8_yji4HS352LGlSQ/edit?pli=1#gid=0"",""1_ACUM!A4:S""),19,FALSE))"),"")</f>
        <v/>
      </c>
      <c r="AK874" s="98" t="str">
        <f ca="1">IFERROR(__xludf.DUMMYFUNCTION("IFERROR(VLOOKUP(F897,IMPORTRANGE(""https://docs.google.com/spreadsheets/d/1Kvs4KS76FHFqLFIZfrDMff4kP08nblUkihrxltoGBjg/edit#gid=934712705"",""ESENCIAL!A6:BG""),5,FALSE))"),"")</f>
        <v/>
      </c>
      <c r="AL874" s="98" t="str">
        <f t="shared" si="51"/>
        <v/>
      </c>
      <c r="AM874" s="99" t="str">
        <f t="shared" si="52"/>
        <v/>
      </c>
      <c r="AN874" s="100" t="str">
        <f ca="1">IFERROR(__xludf.DUMMYFUNCTION("IFERROR(VLOOKUP(F897,IMPORTRANGE(""https://docs.google.com/spreadsheets/d/1Kvs4KS76FHFqLFIZfrDMff4kP08nblUkihrxltoGBjg/edit#gid=934712705"",""ESENCIAL!A6:BG""),2,FALSE))"),"")</f>
        <v/>
      </c>
      <c r="AO874" s="19" t="str">
        <f t="shared" si="46"/>
        <v/>
      </c>
      <c r="AP874" s="100"/>
      <c r="AQ874" s="100"/>
    </row>
    <row r="875" spans="1:43" ht="15">
      <c r="A875" s="5"/>
      <c r="B875" s="5"/>
      <c r="G875" s="5" t="str">
        <f ca="1">IFERROR(__xludf.DUMMYFUNCTION("IFERROR(VLOOKUP(F898,IMPORTRANGE(""https://docs.google.com/spreadsheets/d/1Kvs4KS76FHFqLFIZfrDMff4kP08nblUkihrxltoGBjg/edit#gid=934712705"",""ESENCIAL!A6:BG""),3,FALSE))"),"")</f>
        <v/>
      </c>
      <c r="H875" s="5" t="str">
        <f ca="1">IFERROR(__xludf.DUMMYFUNCTION("IFERROR(VLOOKUP(F898,IMPORTRANGE(""https://docs.google.com/spreadsheets/d/1Kvs4KS76FHFqLFIZfrDMff4kP08nblUkihrxltoGBjg/edit#gid=934712705"",""ESENCIAL!A6:BG""),8,FALSE))"),"")</f>
        <v/>
      </c>
      <c r="L875" s="40"/>
      <c r="Z875" s="41" t="str">
        <f t="shared" si="50"/>
        <v/>
      </c>
      <c r="AA875" s="5" t="str">
        <f ca="1">IFERROR(__xludf.DUMMYFUNCTION("IFERROR(VLOOKUP(E898&amp;F898,IMPORTRANGE(""https://docs.google.com/spreadsheets/d/1Uw7-A9f9R21vMXxHZFNpYNeKFtG8_yji4HS352LGlSQ/edit?pli=1#gid=0"",""1_ACUM!A4:S""),11,FALSE))"),"")</f>
        <v/>
      </c>
      <c r="AB875" s="42" t="str">
        <f ca="1">IFERROR(__xludf.DUMMYFUNCTION("IFERROR(VLOOKUP(F898,IMPORTRANGE(""https://docs.google.com/spreadsheets/d/1Kvs4KS76FHFqLFIZfrDMff4kP08nblUkihrxltoGBjg/edit#gid=934712705"",""ESENCIAL!A6:BG""),15,FALSE))"),"")</f>
        <v/>
      </c>
      <c r="AC875" s="110" t="str">
        <f ca="1">IFERROR(__xludf.DUMMYFUNCTION("IFERROR(VLOOKUP(E898&amp;F898,IMPORTRANGE(""https://docs.google.com/spreadsheets/d/1Uw7-A9f9R21vMXxHZFNpYNeKFtG8_yji4HS352LGlSQ/edit?pli=1#gid=0"",""1_ACUM!A4:S""),13,FALSE))"),"")</f>
        <v/>
      </c>
      <c r="AD875" s="43" t="str">
        <f ca="1">IFERROR(__xludf.DUMMYFUNCTION("IFERROR(VLOOKUP(E898&amp;F898,IMPORTRANGE(""https://docs.google.com/spreadsheets/d/1Uw7-A9f9R21vMXxHZFNpYNeKFtG8_yji4HS352LGlSQ/edit?pli=1#gid=0"",""1_ACUM!A4:S""),13,FALSE))"),"")</f>
        <v/>
      </c>
      <c r="AE875" s="43" t="str">
        <f ca="1">IFERROR(__xludf.DUMMYFUNCTION("IFERROR(VLOOKUP(E898&amp;F898,IMPORTRANGE(""https://docs.google.com/spreadsheets/d/1Uw7-A9f9R21vMXxHZFNpYNeKFtG8_yji4HS352LGlSQ/edit?pli=1#gid=0"",""1_ACUM!A4:S""),14,FALSE))"),"")</f>
        <v/>
      </c>
      <c r="AF875" s="43" t="str">
        <f ca="1">IFERROR(__xludf.DUMMYFUNCTION("IFERROR(VLOOKUP(E898&amp;F898,IMPORTRANGE(""https://docs.google.com/spreadsheets/d/1Uw7-A9f9R21vMXxHZFNpYNeKFtG8_yji4HS352LGlSQ/edit?pli=1#gid=0"",""1_ACUM!A4:S""),15,FALSE))"),"")</f>
        <v/>
      </c>
      <c r="AG875" s="43" t="str">
        <f ca="1">IFERROR(__xludf.DUMMYFUNCTION("IFERROR(VLOOKUP(E898&amp;F898,IMPORTRANGE(""https://docs.google.com/spreadsheets/d/1Uw7-A9f9R21vMXxHZFNpYNeKFtG8_yji4HS352LGlSQ/edit?pli=1#gid=0"",""1_ACUM!A4:S""),16,FALSE))"),"")</f>
        <v/>
      </c>
      <c r="AH875" s="43" t="str">
        <f ca="1">IFERROR(__xludf.DUMMYFUNCTION("IFERROR(VLOOKUP(E898&amp;F898,IMPORTRANGE(""https://docs.google.com/spreadsheets/d/1Uw7-A9f9R21vMXxHZFNpYNeKFtG8_yji4HS352LGlSQ/edit?pli=1#gid=0"",""1_ACUM!A4:S""),17,FALSE))"),"")</f>
        <v/>
      </c>
      <c r="AI875" s="44" t="str">
        <f ca="1">IFERROR(__xludf.DUMMYFUNCTION("IFERROR(VLOOKUP(E898&amp;F898,IMPORTRANGE(""https://docs.google.com/spreadsheets/d/1Uw7-A9f9R21vMXxHZFNpYNeKFtG8_yji4HS352LGlSQ/edit?pli=1#gid=0"",""1_ACUM!A4:S""),18,FALSE))"),"")</f>
        <v/>
      </c>
      <c r="AJ875" s="44" t="str">
        <f ca="1">IFERROR(__xludf.DUMMYFUNCTION("IFERROR(VLOOKUP(E898&amp;F898,IMPORTRANGE(""https://docs.google.com/spreadsheets/d/1Uw7-A9f9R21vMXxHZFNpYNeKFtG8_yji4HS352LGlSQ/edit?pli=1#gid=0"",""1_ACUM!A4:S""),19,FALSE))"),"")</f>
        <v/>
      </c>
      <c r="AK875" s="98" t="str">
        <f ca="1">IFERROR(__xludf.DUMMYFUNCTION("IFERROR(VLOOKUP(F898,IMPORTRANGE(""https://docs.google.com/spreadsheets/d/1Kvs4KS76FHFqLFIZfrDMff4kP08nblUkihrxltoGBjg/edit#gid=934712705"",""ESENCIAL!A6:BG""),5,FALSE))"),"")</f>
        <v/>
      </c>
      <c r="AL875" s="98" t="str">
        <f t="shared" si="51"/>
        <v/>
      </c>
      <c r="AM875" s="99" t="str">
        <f t="shared" si="52"/>
        <v/>
      </c>
      <c r="AN875" s="100" t="str">
        <f ca="1">IFERROR(__xludf.DUMMYFUNCTION("IFERROR(VLOOKUP(F898,IMPORTRANGE(""https://docs.google.com/spreadsheets/d/1Kvs4KS76FHFqLFIZfrDMff4kP08nblUkihrxltoGBjg/edit#gid=934712705"",""ESENCIAL!A6:BG""),2,FALSE))"),"")</f>
        <v/>
      </c>
      <c r="AO875" s="19" t="str">
        <f t="shared" si="46"/>
        <v/>
      </c>
      <c r="AP875" s="100"/>
      <c r="AQ875" s="100"/>
    </row>
    <row r="876" spans="1:43" ht="15">
      <c r="A876" s="5"/>
      <c r="B876" s="5"/>
      <c r="G876" s="5" t="str">
        <f ca="1">IFERROR(__xludf.DUMMYFUNCTION("IFERROR(VLOOKUP(F899,IMPORTRANGE(""https://docs.google.com/spreadsheets/d/1Kvs4KS76FHFqLFIZfrDMff4kP08nblUkihrxltoGBjg/edit#gid=934712705"",""ESENCIAL!A6:BG""),3,FALSE))"),"")</f>
        <v/>
      </c>
      <c r="H876" s="5" t="str">
        <f ca="1">IFERROR(__xludf.DUMMYFUNCTION("IFERROR(VLOOKUP(F899,IMPORTRANGE(""https://docs.google.com/spreadsheets/d/1Kvs4KS76FHFqLFIZfrDMff4kP08nblUkihrxltoGBjg/edit#gid=934712705"",""ESENCIAL!A6:BG""),8,FALSE))"),"")</f>
        <v/>
      </c>
      <c r="L876" s="40"/>
      <c r="Z876" s="41" t="str">
        <f t="shared" si="50"/>
        <v/>
      </c>
      <c r="AA876" s="5" t="str">
        <f ca="1">IFERROR(__xludf.DUMMYFUNCTION("IFERROR(VLOOKUP(E899&amp;F899,IMPORTRANGE(""https://docs.google.com/spreadsheets/d/1Uw7-A9f9R21vMXxHZFNpYNeKFtG8_yji4HS352LGlSQ/edit?pli=1#gid=0"",""1_ACUM!A4:S""),11,FALSE))"),"")</f>
        <v/>
      </c>
      <c r="AB876" s="42" t="str">
        <f ca="1">IFERROR(__xludf.DUMMYFUNCTION("IFERROR(VLOOKUP(F899,IMPORTRANGE(""https://docs.google.com/spreadsheets/d/1Kvs4KS76FHFqLFIZfrDMff4kP08nblUkihrxltoGBjg/edit#gid=934712705"",""ESENCIAL!A6:BG""),15,FALSE))"),"")</f>
        <v/>
      </c>
      <c r="AC876" s="110" t="str">
        <f ca="1">IFERROR(__xludf.DUMMYFUNCTION("IFERROR(VLOOKUP(E899&amp;F899,IMPORTRANGE(""https://docs.google.com/spreadsheets/d/1Uw7-A9f9R21vMXxHZFNpYNeKFtG8_yji4HS352LGlSQ/edit?pli=1#gid=0"",""1_ACUM!A4:S""),13,FALSE))"),"")</f>
        <v/>
      </c>
      <c r="AD876" s="43" t="str">
        <f ca="1">IFERROR(__xludf.DUMMYFUNCTION("IFERROR(VLOOKUP(E899&amp;F899,IMPORTRANGE(""https://docs.google.com/spreadsheets/d/1Uw7-A9f9R21vMXxHZFNpYNeKFtG8_yji4HS352LGlSQ/edit?pli=1#gid=0"",""1_ACUM!A4:S""),13,FALSE))"),"")</f>
        <v/>
      </c>
      <c r="AE876" s="43" t="str">
        <f ca="1">IFERROR(__xludf.DUMMYFUNCTION("IFERROR(VLOOKUP(E899&amp;F899,IMPORTRANGE(""https://docs.google.com/spreadsheets/d/1Uw7-A9f9R21vMXxHZFNpYNeKFtG8_yji4HS352LGlSQ/edit?pli=1#gid=0"",""1_ACUM!A4:S""),14,FALSE))"),"")</f>
        <v/>
      </c>
      <c r="AF876" s="43" t="str">
        <f ca="1">IFERROR(__xludf.DUMMYFUNCTION("IFERROR(VLOOKUP(E899&amp;F899,IMPORTRANGE(""https://docs.google.com/spreadsheets/d/1Uw7-A9f9R21vMXxHZFNpYNeKFtG8_yji4HS352LGlSQ/edit?pli=1#gid=0"",""1_ACUM!A4:S""),15,FALSE))"),"")</f>
        <v/>
      </c>
      <c r="AG876" s="43" t="str">
        <f ca="1">IFERROR(__xludf.DUMMYFUNCTION("IFERROR(VLOOKUP(E899&amp;F899,IMPORTRANGE(""https://docs.google.com/spreadsheets/d/1Uw7-A9f9R21vMXxHZFNpYNeKFtG8_yji4HS352LGlSQ/edit?pli=1#gid=0"",""1_ACUM!A4:S""),16,FALSE))"),"")</f>
        <v/>
      </c>
      <c r="AH876" s="43" t="str">
        <f ca="1">IFERROR(__xludf.DUMMYFUNCTION("IFERROR(VLOOKUP(E899&amp;F899,IMPORTRANGE(""https://docs.google.com/spreadsheets/d/1Uw7-A9f9R21vMXxHZFNpYNeKFtG8_yji4HS352LGlSQ/edit?pli=1#gid=0"",""1_ACUM!A4:S""),17,FALSE))"),"")</f>
        <v/>
      </c>
      <c r="AI876" s="44" t="str">
        <f ca="1">IFERROR(__xludf.DUMMYFUNCTION("IFERROR(VLOOKUP(E899&amp;F899,IMPORTRANGE(""https://docs.google.com/spreadsheets/d/1Uw7-A9f9R21vMXxHZFNpYNeKFtG8_yji4HS352LGlSQ/edit?pli=1#gid=0"",""1_ACUM!A4:S""),18,FALSE))"),"")</f>
        <v/>
      </c>
      <c r="AJ876" s="44" t="str">
        <f ca="1">IFERROR(__xludf.DUMMYFUNCTION("IFERROR(VLOOKUP(E899&amp;F899,IMPORTRANGE(""https://docs.google.com/spreadsheets/d/1Uw7-A9f9R21vMXxHZFNpYNeKFtG8_yji4HS352LGlSQ/edit?pli=1#gid=0"",""1_ACUM!A4:S""),19,FALSE))"),"")</f>
        <v/>
      </c>
      <c r="AK876" s="98" t="str">
        <f ca="1">IFERROR(__xludf.DUMMYFUNCTION("IFERROR(VLOOKUP(F899,IMPORTRANGE(""https://docs.google.com/spreadsheets/d/1Kvs4KS76FHFqLFIZfrDMff4kP08nblUkihrxltoGBjg/edit#gid=934712705"",""ESENCIAL!A6:BG""),5,FALSE))"),"")</f>
        <v/>
      </c>
      <c r="AL876" s="98" t="str">
        <f t="shared" si="51"/>
        <v/>
      </c>
      <c r="AM876" s="99" t="str">
        <f t="shared" si="52"/>
        <v/>
      </c>
      <c r="AN876" s="100" t="str">
        <f ca="1">IFERROR(__xludf.DUMMYFUNCTION("IFERROR(VLOOKUP(F899,IMPORTRANGE(""https://docs.google.com/spreadsheets/d/1Kvs4KS76FHFqLFIZfrDMff4kP08nblUkihrxltoGBjg/edit#gid=934712705"",""ESENCIAL!A6:BG""),2,FALSE))"),"")</f>
        <v/>
      </c>
      <c r="AO876" s="19" t="str">
        <f t="shared" si="46"/>
        <v/>
      </c>
      <c r="AP876" s="100"/>
      <c r="AQ876" s="100"/>
    </row>
    <row r="877" spans="1:43" ht="15">
      <c r="A877" s="5"/>
      <c r="B877" s="5"/>
      <c r="G877" s="5" t="str">
        <f ca="1">IFERROR(__xludf.DUMMYFUNCTION("IFERROR(VLOOKUP(F900,IMPORTRANGE(""https://docs.google.com/spreadsheets/d/1Kvs4KS76FHFqLFIZfrDMff4kP08nblUkihrxltoGBjg/edit#gid=934712705"",""ESENCIAL!A6:BG""),3,FALSE))"),"")</f>
        <v/>
      </c>
      <c r="H877" s="5" t="str">
        <f ca="1">IFERROR(__xludf.DUMMYFUNCTION("IFERROR(VLOOKUP(F900,IMPORTRANGE(""https://docs.google.com/spreadsheets/d/1Kvs4KS76FHFqLFIZfrDMff4kP08nblUkihrxltoGBjg/edit#gid=934712705"",""ESENCIAL!A6:BG""),8,FALSE))"),"")</f>
        <v/>
      </c>
      <c r="L877" s="40"/>
      <c r="Z877" s="41" t="str">
        <f t="shared" si="50"/>
        <v/>
      </c>
      <c r="AA877" s="5" t="str">
        <f ca="1">IFERROR(__xludf.DUMMYFUNCTION("IFERROR(VLOOKUP(E900&amp;F900,IMPORTRANGE(""https://docs.google.com/spreadsheets/d/1Uw7-A9f9R21vMXxHZFNpYNeKFtG8_yji4HS352LGlSQ/edit?pli=1#gid=0"",""1_ACUM!A4:S""),11,FALSE))"),"")</f>
        <v/>
      </c>
      <c r="AB877" s="42" t="str">
        <f ca="1">IFERROR(__xludf.DUMMYFUNCTION("IFERROR(VLOOKUP(F900,IMPORTRANGE(""https://docs.google.com/spreadsheets/d/1Kvs4KS76FHFqLFIZfrDMff4kP08nblUkihrxltoGBjg/edit#gid=934712705"",""ESENCIAL!A6:BG""),15,FALSE))"),"")</f>
        <v/>
      </c>
      <c r="AC877" s="110" t="str">
        <f ca="1">IFERROR(__xludf.DUMMYFUNCTION("IFERROR(VLOOKUP(E900&amp;F900,IMPORTRANGE(""https://docs.google.com/spreadsheets/d/1Uw7-A9f9R21vMXxHZFNpYNeKFtG8_yji4HS352LGlSQ/edit?pli=1#gid=0"",""1_ACUM!A4:S""),13,FALSE))"),"")</f>
        <v/>
      </c>
      <c r="AD877" s="43" t="str">
        <f ca="1">IFERROR(__xludf.DUMMYFUNCTION("IFERROR(VLOOKUP(E900&amp;F900,IMPORTRANGE(""https://docs.google.com/spreadsheets/d/1Uw7-A9f9R21vMXxHZFNpYNeKFtG8_yji4HS352LGlSQ/edit?pli=1#gid=0"",""1_ACUM!A4:S""),13,FALSE))"),"")</f>
        <v/>
      </c>
      <c r="AE877" s="43" t="str">
        <f ca="1">IFERROR(__xludf.DUMMYFUNCTION("IFERROR(VLOOKUP(E900&amp;F900,IMPORTRANGE(""https://docs.google.com/spreadsheets/d/1Uw7-A9f9R21vMXxHZFNpYNeKFtG8_yji4HS352LGlSQ/edit?pli=1#gid=0"",""1_ACUM!A4:S""),14,FALSE))"),"")</f>
        <v/>
      </c>
      <c r="AF877" s="43" t="str">
        <f ca="1">IFERROR(__xludf.DUMMYFUNCTION("IFERROR(VLOOKUP(E900&amp;F900,IMPORTRANGE(""https://docs.google.com/spreadsheets/d/1Uw7-A9f9R21vMXxHZFNpYNeKFtG8_yji4HS352LGlSQ/edit?pli=1#gid=0"",""1_ACUM!A4:S""),15,FALSE))"),"")</f>
        <v/>
      </c>
      <c r="AG877" s="43" t="str">
        <f ca="1">IFERROR(__xludf.DUMMYFUNCTION("IFERROR(VLOOKUP(E900&amp;F900,IMPORTRANGE(""https://docs.google.com/spreadsheets/d/1Uw7-A9f9R21vMXxHZFNpYNeKFtG8_yji4HS352LGlSQ/edit?pli=1#gid=0"",""1_ACUM!A4:S""),16,FALSE))"),"")</f>
        <v/>
      </c>
      <c r="AH877" s="43" t="str">
        <f ca="1">IFERROR(__xludf.DUMMYFUNCTION("IFERROR(VLOOKUP(E900&amp;F900,IMPORTRANGE(""https://docs.google.com/spreadsheets/d/1Uw7-A9f9R21vMXxHZFNpYNeKFtG8_yji4HS352LGlSQ/edit?pli=1#gid=0"",""1_ACUM!A4:S""),17,FALSE))"),"")</f>
        <v/>
      </c>
      <c r="AI877" s="44" t="str">
        <f ca="1">IFERROR(__xludf.DUMMYFUNCTION("IFERROR(VLOOKUP(E900&amp;F900,IMPORTRANGE(""https://docs.google.com/spreadsheets/d/1Uw7-A9f9R21vMXxHZFNpYNeKFtG8_yji4HS352LGlSQ/edit?pli=1#gid=0"",""1_ACUM!A4:S""),18,FALSE))"),"")</f>
        <v/>
      </c>
      <c r="AJ877" s="44" t="str">
        <f ca="1">IFERROR(__xludf.DUMMYFUNCTION("IFERROR(VLOOKUP(E900&amp;F900,IMPORTRANGE(""https://docs.google.com/spreadsheets/d/1Uw7-A9f9R21vMXxHZFNpYNeKFtG8_yji4HS352LGlSQ/edit?pli=1#gid=0"",""1_ACUM!A4:S""),19,FALSE))"),"")</f>
        <v/>
      </c>
      <c r="AK877" s="98" t="str">
        <f ca="1">IFERROR(__xludf.DUMMYFUNCTION("IFERROR(VLOOKUP(F900,IMPORTRANGE(""https://docs.google.com/spreadsheets/d/1Kvs4KS76FHFqLFIZfrDMff4kP08nblUkihrxltoGBjg/edit#gid=934712705"",""ESENCIAL!A6:BG""),5,FALSE))"),"")</f>
        <v/>
      </c>
      <c r="AL877" s="98" t="str">
        <f t="shared" si="51"/>
        <v/>
      </c>
      <c r="AM877" s="99" t="str">
        <f t="shared" si="52"/>
        <v/>
      </c>
      <c r="AN877" s="100" t="str">
        <f ca="1">IFERROR(__xludf.DUMMYFUNCTION("IFERROR(VLOOKUP(F900,IMPORTRANGE(""https://docs.google.com/spreadsheets/d/1Kvs4KS76FHFqLFIZfrDMff4kP08nblUkihrxltoGBjg/edit#gid=934712705"",""ESENCIAL!A6:BG""),2,FALSE))"),"")</f>
        <v/>
      </c>
      <c r="AO877" s="19" t="str">
        <f t="shared" si="46"/>
        <v/>
      </c>
      <c r="AP877" s="100"/>
      <c r="AQ877" s="100"/>
    </row>
    <row r="878" spans="1:43" ht="15">
      <c r="A878" s="5"/>
      <c r="B878" s="5"/>
      <c r="G878" s="5" t="str">
        <f ca="1">IFERROR(__xludf.DUMMYFUNCTION("IFERROR(VLOOKUP(F901,IMPORTRANGE(""https://docs.google.com/spreadsheets/d/1Kvs4KS76FHFqLFIZfrDMff4kP08nblUkihrxltoGBjg/edit#gid=934712705"",""ESENCIAL!A6:BG""),3,FALSE))"),"")</f>
        <v/>
      </c>
      <c r="H878" s="5" t="str">
        <f ca="1">IFERROR(__xludf.DUMMYFUNCTION("IFERROR(VLOOKUP(F901,IMPORTRANGE(""https://docs.google.com/spreadsheets/d/1Kvs4KS76FHFqLFIZfrDMff4kP08nblUkihrxltoGBjg/edit#gid=934712705"",""ESENCIAL!A6:BG""),8,FALSE))"),"")</f>
        <v/>
      </c>
      <c r="L878" s="40"/>
      <c r="Z878" s="41" t="str">
        <f t="shared" si="50"/>
        <v/>
      </c>
      <c r="AA878" s="5" t="str">
        <f ca="1">IFERROR(__xludf.DUMMYFUNCTION("IFERROR(VLOOKUP(E901&amp;F901,IMPORTRANGE(""https://docs.google.com/spreadsheets/d/1Uw7-A9f9R21vMXxHZFNpYNeKFtG8_yji4HS352LGlSQ/edit?pli=1#gid=0"",""1_ACUM!A4:S""),11,FALSE))"),"")</f>
        <v/>
      </c>
      <c r="AB878" s="42" t="str">
        <f ca="1">IFERROR(__xludf.DUMMYFUNCTION("IFERROR(VLOOKUP(F901,IMPORTRANGE(""https://docs.google.com/spreadsheets/d/1Kvs4KS76FHFqLFIZfrDMff4kP08nblUkihrxltoGBjg/edit#gid=934712705"",""ESENCIAL!A6:BG""),15,FALSE))"),"")</f>
        <v/>
      </c>
      <c r="AC878" s="110" t="str">
        <f ca="1">IFERROR(__xludf.DUMMYFUNCTION("IFERROR(VLOOKUP(E901&amp;F901,IMPORTRANGE(""https://docs.google.com/spreadsheets/d/1Uw7-A9f9R21vMXxHZFNpYNeKFtG8_yji4HS352LGlSQ/edit?pli=1#gid=0"",""1_ACUM!A4:S""),13,FALSE))"),"")</f>
        <v/>
      </c>
      <c r="AD878" s="43" t="str">
        <f ca="1">IFERROR(__xludf.DUMMYFUNCTION("IFERROR(VLOOKUP(E901&amp;F901,IMPORTRANGE(""https://docs.google.com/spreadsheets/d/1Uw7-A9f9R21vMXxHZFNpYNeKFtG8_yji4HS352LGlSQ/edit?pli=1#gid=0"",""1_ACUM!A4:S""),13,FALSE))"),"")</f>
        <v/>
      </c>
      <c r="AE878" s="43" t="str">
        <f ca="1">IFERROR(__xludf.DUMMYFUNCTION("IFERROR(VLOOKUP(E901&amp;F901,IMPORTRANGE(""https://docs.google.com/spreadsheets/d/1Uw7-A9f9R21vMXxHZFNpYNeKFtG8_yji4HS352LGlSQ/edit?pli=1#gid=0"",""1_ACUM!A4:S""),14,FALSE))"),"")</f>
        <v/>
      </c>
      <c r="AF878" s="43" t="str">
        <f ca="1">IFERROR(__xludf.DUMMYFUNCTION("IFERROR(VLOOKUP(E901&amp;F901,IMPORTRANGE(""https://docs.google.com/spreadsheets/d/1Uw7-A9f9R21vMXxHZFNpYNeKFtG8_yji4HS352LGlSQ/edit?pli=1#gid=0"",""1_ACUM!A4:S""),15,FALSE))"),"")</f>
        <v/>
      </c>
      <c r="AG878" s="43" t="str">
        <f ca="1">IFERROR(__xludf.DUMMYFUNCTION("IFERROR(VLOOKUP(E901&amp;F901,IMPORTRANGE(""https://docs.google.com/spreadsheets/d/1Uw7-A9f9R21vMXxHZFNpYNeKFtG8_yji4HS352LGlSQ/edit?pli=1#gid=0"",""1_ACUM!A4:S""),16,FALSE))"),"")</f>
        <v/>
      </c>
      <c r="AH878" s="43" t="str">
        <f ca="1">IFERROR(__xludf.DUMMYFUNCTION("IFERROR(VLOOKUP(E901&amp;F901,IMPORTRANGE(""https://docs.google.com/spreadsheets/d/1Uw7-A9f9R21vMXxHZFNpYNeKFtG8_yji4HS352LGlSQ/edit?pli=1#gid=0"",""1_ACUM!A4:S""),17,FALSE))"),"")</f>
        <v/>
      </c>
      <c r="AI878" s="44" t="str">
        <f ca="1">IFERROR(__xludf.DUMMYFUNCTION("IFERROR(VLOOKUP(E901&amp;F901,IMPORTRANGE(""https://docs.google.com/spreadsheets/d/1Uw7-A9f9R21vMXxHZFNpYNeKFtG8_yji4HS352LGlSQ/edit?pli=1#gid=0"",""1_ACUM!A4:S""),18,FALSE))"),"")</f>
        <v/>
      </c>
      <c r="AJ878" s="44" t="str">
        <f ca="1">IFERROR(__xludf.DUMMYFUNCTION("IFERROR(VLOOKUP(E901&amp;F901,IMPORTRANGE(""https://docs.google.com/spreadsheets/d/1Uw7-A9f9R21vMXxHZFNpYNeKFtG8_yji4HS352LGlSQ/edit?pli=1#gid=0"",""1_ACUM!A4:S""),19,FALSE))"),"")</f>
        <v/>
      </c>
      <c r="AK878" s="98" t="str">
        <f ca="1">IFERROR(__xludf.DUMMYFUNCTION("IFERROR(VLOOKUP(F901,IMPORTRANGE(""https://docs.google.com/spreadsheets/d/1Kvs4KS76FHFqLFIZfrDMff4kP08nblUkihrxltoGBjg/edit#gid=934712705"",""ESENCIAL!A6:BG""),5,FALSE))"),"")</f>
        <v/>
      </c>
      <c r="AL878" s="98" t="str">
        <f t="shared" si="51"/>
        <v/>
      </c>
      <c r="AM878" s="99" t="str">
        <f t="shared" si="52"/>
        <v/>
      </c>
      <c r="AN878" s="100" t="str">
        <f ca="1">IFERROR(__xludf.DUMMYFUNCTION("IFERROR(VLOOKUP(F901,IMPORTRANGE(""https://docs.google.com/spreadsheets/d/1Kvs4KS76FHFqLFIZfrDMff4kP08nblUkihrxltoGBjg/edit#gid=934712705"",""ESENCIAL!A6:BG""),2,FALSE))"),"")</f>
        <v/>
      </c>
      <c r="AO878" s="19" t="str">
        <f t="shared" si="46"/>
        <v/>
      </c>
      <c r="AP878" s="100"/>
      <c r="AQ878" s="100"/>
    </row>
    <row r="879" spans="1:43" ht="15">
      <c r="A879" s="5"/>
      <c r="B879" s="5"/>
      <c r="G879" s="5" t="str">
        <f ca="1">IFERROR(__xludf.DUMMYFUNCTION("IFERROR(VLOOKUP(F902,IMPORTRANGE(""https://docs.google.com/spreadsheets/d/1Kvs4KS76FHFqLFIZfrDMff4kP08nblUkihrxltoGBjg/edit#gid=934712705"",""ESENCIAL!A6:BG""),3,FALSE))"),"")</f>
        <v/>
      </c>
      <c r="H879" s="5" t="str">
        <f ca="1">IFERROR(__xludf.DUMMYFUNCTION("IFERROR(VLOOKUP(F902,IMPORTRANGE(""https://docs.google.com/spreadsheets/d/1Kvs4KS76FHFqLFIZfrDMff4kP08nblUkihrxltoGBjg/edit#gid=934712705"",""ESENCIAL!A6:BG""),8,FALSE))"),"")</f>
        <v/>
      </c>
      <c r="L879" s="40"/>
      <c r="Z879" s="41" t="str">
        <f t="shared" si="50"/>
        <v/>
      </c>
      <c r="AA879" s="5" t="str">
        <f ca="1">IFERROR(__xludf.DUMMYFUNCTION("IFERROR(VLOOKUP(E902&amp;F902,IMPORTRANGE(""https://docs.google.com/spreadsheets/d/1Uw7-A9f9R21vMXxHZFNpYNeKFtG8_yji4HS352LGlSQ/edit?pli=1#gid=0"",""1_ACUM!A4:S""),11,FALSE))"),"")</f>
        <v/>
      </c>
      <c r="AB879" s="42" t="str">
        <f ca="1">IFERROR(__xludf.DUMMYFUNCTION("IFERROR(VLOOKUP(F902,IMPORTRANGE(""https://docs.google.com/spreadsheets/d/1Kvs4KS76FHFqLFIZfrDMff4kP08nblUkihrxltoGBjg/edit#gid=934712705"",""ESENCIAL!A6:BG""),15,FALSE))"),"")</f>
        <v/>
      </c>
      <c r="AC879" s="110" t="str">
        <f ca="1">IFERROR(__xludf.DUMMYFUNCTION("IFERROR(VLOOKUP(E902&amp;F902,IMPORTRANGE(""https://docs.google.com/spreadsheets/d/1Uw7-A9f9R21vMXxHZFNpYNeKFtG8_yji4HS352LGlSQ/edit?pli=1#gid=0"",""1_ACUM!A4:S""),13,FALSE))"),"")</f>
        <v/>
      </c>
      <c r="AD879" s="43" t="str">
        <f ca="1">IFERROR(__xludf.DUMMYFUNCTION("IFERROR(VLOOKUP(E902&amp;F902,IMPORTRANGE(""https://docs.google.com/spreadsheets/d/1Uw7-A9f9R21vMXxHZFNpYNeKFtG8_yji4HS352LGlSQ/edit?pli=1#gid=0"",""1_ACUM!A4:S""),13,FALSE))"),"")</f>
        <v/>
      </c>
      <c r="AE879" s="43" t="str">
        <f ca="1">IFERROR(__xludf.DUMMYFUNCTION("IFERROR(VLOOKUP(E902&amp;F902,IMPORTRANGE(""https://docs.google.com/spreadsheets/d/1Uw7-A9f9R21vMXxHZFNpYNeKFtG8_yji4HS352LGlSQ/edit?pli=1#gid=0"",""1_ACUM!A4:S""),14,FALSE))"),"")</f>
        <v/>
      </c>
      <c r="AF879" s="43" t="str">
        <f ca="1">IFERROR(__xludf.DUMMYFUNCTION("IFERROR(VLOOKUP(E902&amp;F902,IMPORTRANGE(""https://docs.google.com/spreadsheets/d/1Uw7-A9f9R21vMXxHZFNpYNeKFtG8_yji4HS352LGlSQ/edit?pli=1#gid=0"",""1_ACUM!A4:S""),15,FALSE))"),"")</f>
        <v/>
      </c>
      <c r="AG879" s="43" t="str">
        <f ca="1">IFERROR(__xludf.DUMMYFUNCTION("IFERROR(VLOOKUP(E902&amp;F902,IMPORTRANGE(""https://docs.google.com/spreadsheets/d/1Uw7-A9f9R21vMXxHZFNpYNeKFtG8_yji4HS352LGlSQ/edit?pli=1#gid=0"",""1_ACUM!A4:S""),16,FALSE))"),"")</f>
        <v/>
      </c>
      <c r="AH879" s="43" t="str">
        <f ca="1">IFERROR(__xludf.DUMMYFUNCTION("IFERROR(VLOOKUP(E902&amp;F902,IMPORTRANGE(""https://docs.google.com/spreadsheets/d/1Uw7-A9f9R21vMXxHZFNpYNeKFtG8_yji4HS352LGlSQ/edit?pli=1#gid=0"",""1_ACUM!A4:S""),17,FALSE))"),"")</f>
        <v/>
      </c>
      <c r="AI879" s="44" t="str">
        <f ca="1">IFERROR(__xludf.DUMMYFUNCTION("IFERROR(VLOOKUP(E902&amp;F902,IMPORTRANGE(""https://docs.google.com/spreadsheets/d/1Uw7-A9f9R21vMXxHZFNpYNeKFtG8_yji4HS352LGlSQ/edit?pli=1#gid=0"",""1_ACUM!A4:S""),18,FALSE))"),"")</f>
        <v/>
      </c>
      <c r="AJ879" s="44" t="str">
        <f ca="1">IFERROR(__xludf.DUMMYFUNCTION("IFERROR(VLOOKUP(E902&amp;F902,IMPORTRANGE(""https://docs.google.com/spreadsheets/d/1Uw7-A9f9R21vMXxHZFNpYNeKFtG8_yji4HS352LGlSQ/edit?pli=1#gid=0"",""1_ACUM!A4:S""),19,FALSE))"),"")</f>
        <v/>
      </c>
      <c r="AK879" s="98" t="str">
        <f ca="1">IFERROR(__xludf.DUMMYFUNCTION("IFERROR(VLOOKUP(F902,IMPORTRANGE(""https://docs.google.com/spreadsheets/d/1Kvs4KS76FHFqLFIZfrDMff4kP08nblUkihrxltoGBjg/edit#gid=934712705"",""ESENCIAL!A6:BG""),5,FALSE))"),"")</f>
        <v/>
      </c>
      <c r="AL879" s="98" t="str">
        <f t="shared" si="51"/>
        <v/>
      </c>
      <c r="AM879" s="99" t="str">
        <f t="shared" si="52"/>
        <v/>
      </c>
      <c r="AN879" s="100" t="str">
        <f ca="1">IFERROR(__xludf.DUMMYFUNCTION("IFERROR(VLOOKUP(F902,IMPORTRANGE(""https://docs.google.com/spreadsheets/d/1Kvs4KS76FHFqLFIZfrDMff4kP08nblUkihrxltoGBjg/edit#gid=934712705"",""ESENCIAL!A6:BG""),2,FALSE))"),"")</f>
        <v/>
      </c>
      <c r="AO879" s="19" t="str">
        <f t="shared" si="46"/>
        <v/>
      </c>
      <c r="AP879" s="100"/>
      <c r="AQ879" s="100"/>
    </row>
    <row r="880" spans="1:43" ht="15">
      <c r="A880" s="5"/>
      <c r="B880" s="5"/>
      <c r="G880" s="5" t="str">
        <f ca="1">IFERROR(__xludf.DUMMYFUNCTION("IFERROR(VLOOKUP(F903,IMPORTRANGE(""https://docs.google.com/spreadsheets/d/1Kvs4KS76FHFqLFIZfrDMff4kP08nblUkihrxltoGBjg/edit#gid=934712705"",""ESENCIAL!A6:BG""),3,FALSE))"),"")</f>
        <v/>
      </c>
      <c r="H880" s="5" t="str">
        <f ca="1">IFERROR(__xludf.DUMMYFUNCTION("IFERROR(VLOOKUP(F903,IMPORTRANGE(""https://docs.google.com/spreadsheets/d/1Kvs4KS76FHFqLFIZfrDMff4kP08nblUkihrxltoGBjg/edit#gid=934712705"",""ESENCIAL!A6:BG""),8,FALSE))"),"")</f>
        <v/>
      </c>
      <c r="L880" s="40"/>
      <c r="Z880" s="41" t="str">
        <f t="shared" si="50"/>
        <v/>
      </c>
      <c r="AA880" s="5" t="str">
        <f ca="1">IFERROR(__xludf.DUMMYFUNCTION("IFERROR(VLOOKUP(E903&amp;F903,IMPORTRANGE(""https://docs.google.com/spreadsheets/d/1Uw7-A9f9R21vMXxHZFNpYNeKFtG8_yji4HS352LGlSQ/edit?pli=1#gid=0"",""1_ACUM!A4:S""),11,FALSE))"),"")</f>
        <v/>
      </c>
      <c r="AB880" s="42" t="str">
        <f ca="1">IFERROR(__xludf.DUMMYFUNCTION("IFERROR(VLOOKUP(F903,IMPORTRANGE(""https://docs.google.com/spreadsheets/d/1Kvs4KS76FHFqLFIZfrDMff4kP08nblUkihrxltoGBjg/edit#gid=934712705"",""ESENCIAL!A6:BG""),15,FALSE))"),"")</f>
        <v/>
      </c>
      <c r="AC880" s="110" t="str">
        <f ca="1">IFERROR(__xludf.DUMMYFUNCTION("IFERROR(VLOOKUP(E903&amp;F903,IMPORTRANGE(""https://docs.google.com/spreadsheets/d/1Uw7-A9f9R21vMXxHZFNpYNeKFtG8_yji4HS352LGlSQ/edit?pli=1#gid=0"",""1_ACUM!A4:S""),13,FALSE))"),"")</f>
        <v/>
      </c>
      <c r="AD880" s="43" t="str">
        <f ca="1">IFERROR(__xludf.DUMMYFUNCTION("IFERROR(VLOOKUP(E903&amp;F903,IMPORTRANGE(""https://docs.google.com/spreadsheets/d/1Uw7-A9f9R21vMXxHZFNpYNeKFtG8_yji4HS352LGlSQ/edit?pli=1#gid=0"",""1_ACUM!A4:S""),13,FALSE))"),"")</f>
        <v/>
      </c>
      <c r="AE880" s="43" t="str">
        <f ca="1">IFERROR(__xludf.DUMMYFUNCTION("IFERROR(VLOOKUP(E903&amp;F903,IMPORTRANGE(""https://docs.google.com/spreadsheets/d/1Uw7-A9f9R21vMXxHZFNpYNeKFtG8_yji4HS352LGlSQ/edit?pli=1#gid=0"",""1_ACUM!A4:S""),14,FALSE))"),"")</f>
        <v/>
      </c>
      <c r="AF880" s="43" t="str">
        <f ca="1">IFERROR(__xludf.DUMMYFUNCTION("IFERROR(VLOOKUP(E903&amp;F903,IMPORTRANGE(""https://docs.google.com/spreadsheets/d/1Uw7-A9f9R21vMXxHZFNpYNeKFtG8_yji4HS352LGlSQ/edit?pli=1#gid=0"",""1_ACUM!A4:S""),15,FALSE))"),"")</f>
        <v/>
      </c>
      <c r="AG880" s="43" t="str">
        <f ca="1">IFERROR(__xludf.DUMMYFUNCTION("IFERROR(VLOOKUP(E903&amp;F903,IMPORTRANGE(""https://docs.google.com/spreadsheets/d/1Uw7-A9f9R21vMXxHZFNpYNeKFtG8_yji4HS352LGlSQ/edit?pli=1#gid=0"",""1_ACUM!A4:S""),16,FALSE))"),"")</f>
        <v/>
      </c>
      <c r="AH880" s="43" t="str">
        <f ca="1">IFERROR(__xludf.DUMMYFUNCTION("IFERROR(VLOOKUP(E903&amp;F903,IMPORTRANGE(""https://docs.google.com/spreadsheets/d/1Uw7-A9f9R21vMXxHZFNpYNeKFtG8_yji4HS352LGlSQ/edit?pli=1#gid=0"",""1_ACUM!A4:S""),17,FALSE))"),"")</f>
        <v/>
      </c>
      <c r="AI880" s="44" t="str">
        <f ca="1">IFERROR(__xludf.DUMMYFUNCTION("IFERROR(VLOOKUP(E903&amp;F903,IMPORTRANGE(""https://docs.google.com/spreadsheets/d/1Uw7-A9f9R21vMXxHZFNpYNeKFtG8_yji4HS352LGlSQ/edit?pli=1#gid=0"",""1_ACUM!A4:S""),18,FALSE))"),"")</f>
        <v/>
      </c>
      <c r="AJ880" s="44" t="str">
        <f ca="1">IFERROR(__xludf.DUMMYFUNCTION("IFERROR(VLOOKUP(E903&amp;F903,IMPORTRANGE(""https://docs.google.com/spreadsheets/d/1Uw7-A9f9R21vMXxHZFNpYNeKFtG8_yji4HS352LGlSQ/edit?pli=1#gid=0"",""1_ACUM!A4:S""),19,FALSE))"),"")</f>
        <v/>
      </c>
      <c r="AK880" s="98" t="str">
        <f ca="1">IFERROR(__xludf.DUMMYFUNCTION("IFERROR(VLOOKUP(F903,IMPORTRANGE(""https://docs.google.com/spreadsheets/d/1Kvs4KS76FHFqLFIZfrDMff4kP08nblUkihrxltoGBjg/edit#gid=934712705"",""ESENCIAL!A6:BG""),5,FALSE))"),"")</f>
        <v/>
      </c>
      <c r="AL880" s="98" t="str">
        <f t="shared" si="51"/>
        <v/>
      </c>
      <c r="AM880" s="99" t="str">
        <f t="shared" si="52"/>
        <v/>
      </c>
      <c r="AN880" s="100" t="str">
        <f ca="1">IFERROR(__xludf.DUMMYFUNCTION("IFERROR(VLOOKUP(F903,IMPORTRANGE(""https://docs.google.com/spreadsheets/d/1Kvs4KS76FHFqLFIZfrDMff4kP08nblUkihrxltoGBjg/edit#gid=934712705"",""ESENCIAL!A6:BG""),2,FALSE))"),"")</f>
        <v/>
      </c>
      <c r="AO880" s="19" t="str">
        <f t="shared" si="46"/>
        <v/>
      </c>
      <c r="AP880" s="100"/>
      <c r="AQ880" s="100"/>
    </row>
    <row r="881" spans="1:43" ht="15">
      <c r="A881" s="5"/>
      <c r="B881" s="5"/>
      <c r="G881" s="5" t="str">
        <f ca="1">IFERROR(__xludf.DUMMYFUNCTION("IFERROR(VLOOKUP(F904,IMPORTRANGE(""https://docs.google.com/spreadsheets/d/1Kvs4KS76FHFqLFIZfrDMff4kP08nblUkihrxltoGBjg/edit#gid=934712705"",""ESENCIAL!A6:BG""),3,FALSE))"),"")</f>
        <v/>
      </c>
      <c r="H881" s="5" t="str">
        <f ca="1">IFERROR(__xludf.DUMMYFUNCTION("IFERROR(VLOOKUP(F904,IMPORTRANGE(""https://docs.google.com/spreadsheets/d/1Kvs4KS76FHFqLFIZfrDMff4kP08nblUkihrxltoGBjg/edit#gid=934712705"",""ESENCIAL!A6:BG""),8,FALSE))"),"")</f>
        <v/>
      </c>
      <c r="L881" s="40"/>
      <c r="Z881" s="41" t="str">
        <f t="shared" si="50"/>
        <v/>
      </c>
      <c r="AA881" s="5" t="str">
        <f ca="1">IFERROR(__xludf.DUMMYFUNCTION("IFERROR(VLOOKUP(E904&amp;F904,IMPORTRANGE(""https://docs.google.com/spreadsheets/d/1Uw7-A9f9R21vMXxHZFNpYNeKFtG8_yji4HS352LGlSQ/edit?pli=1#gid=0"",""1_ACUM!A4:S""),11,FALSE))"),"")</f>
        <v/>
      </c>
      <c r="AB881" s="42" t="str">
        <f ca="1">IFERROR(__xludf.DUMMYFUNCTION("IFERROR(VLOOKUP(F904,IMPORTRANGE(""https://docs.google.com/spreadsheets/d/1Kvs4KS76FHFqLFIZfrDMff4kP08nblUkihrxltoGBjg/edit#gid=934712705"",""ESENCIAL!A6:BG""),15,FALSE))"),"")</f>
        <v/>
      </c>
      <c r="AC881" s="110" t="str">
        <f ca="1">IFERROR(__xludf.DUMMYFUNCTION("IFERROR(VLOOKUP(E904&amp;F904,IMPORTRANGE(""https://docs.google.com/spreadsheets/d/1Uw7-A9f9R21vMXxHZFNpYNeKFtG8_yji4HS352LGlSQ/edit?pli=1#gid=0"",""1_ACUM!A4:S""),13,FALSE))"),"")</f>
        <v/>
      </c>
      <c r="AD881" s="43" t="str">
        <f ca="1">IFERROR(__xludf.DUMMYFUNCTION("IFERROR(VLOOKUP(E904&amp;F904,IMPORTRANGE(""https://docs.google.com/spreadsheets/d/1Uw7-A9f9R21vMXxHZFNpYNeKFtG8_yji4HS352LGlSQ/edit?pli=1#gid=0"",""1_ACUM!A4:S""),13,FALSE))"),"")</f>
        <v/>
      </c>
      <c r="AE881" s="43" t="str">
        <f ca="1">IFERROR(__xludf.DUMMYFUNCTION("IFERROR(VLOOKUP(E904&amp;F904,IMPORTRANGE(""https://docs.google.com/spreadsheets/d/1Uw7-A9f9R21vMXxHZFNpYNeKFtG8_yji4HS352LGlSQ/edit?pli=1#gid=0"",""1_ACUM!A4:S""),14,FALSE))"),"")</f>
        <v/>
      </c>
      <c r="AF881" s="43" t="str">
        <f ca="1">IFERROR(__xludf.DUMMYFUNCTION("IFERROR(VLOOKUP(E904&amp;F904,IMPORTRANGE(""https://docs.google.com/spreadsheets/d/1Uw7-A9f9R21vMXxHZFNpYNeKFtG8_yji4HS352LGlSQ/edit?pli=1#gid=0"",""1_ACUM!A4:S""),15,FALSE))"),"")</f>
        <v/>
      </c>
      <c r="AG881" s="43" t="str">
        <f ca="1">IFERROR(__xludf.DUMMYFUNCTION("IFERROR(VLOOKUP(E904&amp;F904,IMPORTRANGE(""https://docs.google.com/spreadsheets/d/1Uw7-A9f9R21vMXxHZFNpYNeKFtG8_yji4HS352LGlSQ/edit?pli=1#gid=0"",""1_ACUM!A4:S""),16,FALSE))"),"")</f>
        <v/>
      </c>
      <c r="AH881" s="43" t="str">
        <f ca="1">IFERROR(__xludf.DUMMYFUNCTION("IFERROR(VLOOKUP(E904&amp;F904,IMPORTRANGE(""https://docs.google.com/spreadsheets/d/1Uw7-A9f9R21vMXxHZFNpYNeKFtG8_yji4HS352LGlSQ/edit?pli=1#gid=0"",""1_ACUM!A4:S""),17,FALSE))"),"")</f>
        <v/>
      </c>
      <c r="AI881" s="44" t="str">
        <f ca="1">IFERROR(__xludf.DUMMYFUNCTION("IFERROR(VLOOKUP(E904&amp;F904,IMPORTRANGE(""https://docs.google.com/spreadsheets/d/1Uw7-A9f9R21vMXxHZFNpYNeKFtG8_yji4HS352LGlSQ/edit?pli=1#gid=0"",""1_ACUM!A4:S""),18,FALSE))"),"")</f>
        <v/>
      </c>
      <c r="AJ881" s="44" t="str">
        <f ca="1">IFERROR(__xludf.DUMMYFUNCTION("IFERROR(VLOOKUP(E904&amp;F904,IMPORTRANGE(""https://docs.google.com/spreadsheets/d/1Uw7-A9f9R21vMXxHZFNpYNeKFtG8_yji4HS352LGlSQ/edit?pli=1#gid=0"",""1_ACUM!A4:S""),19,FALSE))"),"")</f>
        <v/>
      </c>
      <c r="AK881" s="98" t="str">
        <f ca="1">IFERROR(__xludf.DUMMYFUNCTION("IFERROR(VLOOKUP(F904,IMPORTRANGE(""https://docs.google.com/spreadsheets/d/1Kvs4KS76FHFqLFIZfrDMff4kP08nblUkihrxltoGBjg/edit#gid=934712705"",""ESENCIAL!A6:BG""),5,FALSE))"),"")</f>
        <v/>
      </c>
      <c r="AL881" s="98" t="str">
        <f t="shared" si="51"/>
        <v/>
      </c>
      <c r="AM881" s="99" t="str">
        <f t="shared" si="52"/>
        <v/>
      </c>
      <c r="AN881" s="100" t="str">
        <f ca="1">IFERROR(__xludf.DUMMYFUNCTION("IFERROR(VLOOKUP(F904,IMPORTRANGE(""https://docs.google.com/spreadsheets/d/1Kvs4KS76FHFqLFIZfrDMff4kP08nblUkihrxltoGBjg/edit#gid=934712705"",""ESENCIAL!A6:BG""),2,FALSE))"),"")</f>
        <v/>
      </c>
      <c r="AO881" s="19" t="str">
        <f t="shared" si="46"/>
        <v/>
      </c>
      <c r="AP881" s="100"/>
      <c r="AQ881" s="100"/>
    </row>
    <row r="882" spans="1:43" ht="15">
      <c r="A882" s="5"/>
      <c r="B882" s="5"/>
      <c r="G882" s="5" t="str">
        <f ca="1">IFERROR(__xludf.DUMMYFUNCTION("IFERROR(VLOOKUP(F905,IMPORTRANGE(""https://docs.google.com/spreadsheets/d/1Kvs4KS76FHFqLFIZfrDMff4kP08nblUkihrxltoGBjg/edit#gid=934712705"",""ESENCIAL!A6:BG""),3,FALSE))"),"")</f>
        <v/>
      </c>
      <c r="H882" s="5" t="str">
        <f ca="1">IFERROR(__xludf.DUMMYFUNCTION("IFERROR(VLOOKUP(F905,IMPORTRANGE(""https://docs.google.com/spreadsheets/d/1Kvs4KS76FHFqLFIZfrDMff4kP08nblUkihrxltoGBjg/edit#gid=934712705"",""ESENCIAL!A6:BG""),8,FALSE))"),"")</f>
        <v/>
      </c>
      <c r="L882" s="40"/>
      <c r="Z882" s="41" t="str">
        <f t="shared" si="50"/>
        <v/>
      </c>
      <c r="AA882" s="5" t="str">
        <f ca="1">IFERROR(__xludf.DUMMYFUNCTION("IFERROR(VLOOKUP(E905&amp;F905,IMPORTRANGE(""https://docs.google.com/spreadsheets/d/1Uw7-A9f9R21vMXxHZFNpYNeKFtG8_yji4HS352LGlSQ/edit?pli=1#gid=0"",""1_ACUM!A4:S""),11,FALSE))"),"")</f>
        <v/>
      </c>
      <c r="AB882" s="42" t="str">
        <f ca="1">IFERROR(__xludf.DUMMYFUNCTION("IFERROR(VLOOKUP(F905,IMPORTRANGE(""https://docs.google.com/spreadsheets/d/1Kvs4KS76FHFqLFIZfrDMff4kP08nblUkihrxltoGBjg/edit#gid=934712705"",""ESENCIAL!A6:BG""),15,FALSE))"),"")</f>
        <v/>
      </c>
      <c r="AC882" s="110" t="str">
        <f ca="1">IFERROR(__xludf.DUMMYFUNCTION("IFERROR(VLOOKUP(E905&amp;F905,IMPORTRANGE(""https://docs.google.com/spreadsheets/d/1Uw7-A9f9R21vMXxHZFNpYNeKFtG8_yji4HS352LGlSQ/edit?pli=1#gid=0"",""1_ACUM!A4:S""),13,FALSE))"),"")</f>
        <v/>
      </c>
      <c r="AD882" s="43" t="str">
        <f ca="1">IFERROR(__xludf.DUMMYFUNCTION("IFERROR(VLOOKUP(E905&amp;F905,IMPORTRANGE(""https://docs.google.com/spreadsheets/d/1Uw7-A9f9R21vMXxHZFNpYNeKFtG8_yji4HS352LGlSQ/edit?pli=1#gid=0"",""1_ACUM!A4:S""),13,FALSE))"),"")</f>
        <v/>
      </c>
      <c r="AE882" s="43" t="str">
        <f ca="1">IFERROR(__xludf.DUMMYFUNCTION("IFERROR(VLOOKUP(E905&amp;F905,IMPORTRANGE(""https://docs.google.com/spreadsheets/d/1Uw7-A9f9R21vMXxHZFNpYNeKFtG8_yji4HS352LGlSQ/edit?pli=1#gid=0"",""1_ACUM!A4:S""),14,FALSE))"),"")</f>
        <v/>
      </c>
      <c r="AF882" s="43" t="str">
        <f ca="1">IFERROR(__xludf.DUMMYFUNCTION("IFERROR(VLOOKUP(E905&amp;F905,IMPORTRANGE(""https://docs.google.com/spreadsheets/d/1Uw7-A9f9R21vMXxHZFNpYNeKFtG8_yji4HS352LGlSQ/edit?pli=1#gid=0"",""1_ACUM!A4:S""),15,FALSE))"),"")</f>
        <v/>
      </c>
      <c r="AG882" s="43" t="str">
        <f ca="1">IFERROR(__xludf.DUMMYFUNCTION("IFERROR(VLOOKUP(E905&amp;F905,IMPORTRANGE(""https://docs.google.com/spreadsheets/d/1Uw7-A9f9R21vMXxHZFNpYNeKFtG8_yji4HS352LGlSQ/edit?pli=1#gid=0"",""1_ACUM!A4:S""),16,FALSE))"),"")</f>
        <v/>
      </c>
      <c r="AH882" s="43" t="str">
        <f ca="1">IFERROR(__xludf.DUMMYFUNCTION("IFERROR(VLOOKUP(E905&amp;F905,IMPORTRANGE(""https://docs.google.com/spreadsheets/d/1Uw7-A9f9R21vMXxHZFNpYNeKFtG8_yji4HS352LGlSQ/edit?pli=1#gid=0"",""1_ACUM!A4:S""),17,FALSE))"),"")</f>
        <v/>
      </c>
      <c r="AI882" s="44" t="str">
        <f ca="1">IFERROR(__xludf.DUMMYFUNCTION("IFERROR(VLOOKUP(E905&amp;F905,IMPORTRANGE(""https://docs.google.com/spreadsheets/d/1Uw7-A9f9R21vMXxHZFNpYNeKFtG8_yji4HS352LGlSQ/edit?pli=1#gid=0"",""1_ACUM!A4:S""),18,FALSE))"),"")</f>
        <v/>
      </c>
      <c r="AJ882" s="44" t="str">
        <f ca="1">IFERROR(__xludf.DUMMYFUNCTION("IFERROR(VLOOKUP(E905&amp;F905,IMPORTRANGE(""https://docs.google.com/spreadsheets/d/1Uw7-A9f9R21vMXxHZFNpYNeKFtG8_yji4HS352LGlSQ/edit?pli=1#gid=0"",""1_ACUM!A4:S""),19,FALSE))"),"")</f>
        <v/>
      </c>
      <c r="AK882" s="98" t="str">
        <f ca="1">IFERROR(__xludf.DUMMYFUNCTION("IFERROR(VLOOKUP(F905,IMPORTRANGE(""https://docs.google.com/spreadsheets/d/1Kvs4KS76FHFqLFIZfrDMff4kP08nblUkihrxltoGBjg/edit#gid=934712705"",""ESENCIAL!A6:BG""),5,FALSE))"),"")</f>
        <v/>
      </c>
      <c r="AL882" s="98" t="str">
        <f t="shared" si="51"/>
        <v/>
      </c>
      <c r="AM882" s="99" t="str">
        <f t="shared" si="52"/>
        <v/>
      </c>
      <c r="AN882" s="100" t="str">
        <f ca="1">IFERROR(__xludf.DUMMYFUNCTION("IFERROR(VLOOKUP(F905,IMPORTRANGE(""https://docs.google.com/spreadsheets/d/1Kvs4KS76FHFqLFIZfrDMff4kP08nblUkihrxltoGBjg/edit#gid=934712705"",""ESENCIAL!A6:BG""),2,FALSE))"),"")</f>
        <v/>
      </c>
      <c r="AO882" s="19" t="str">
        <f t="shared" si="46"/>
        <v/>
      </c>
      <c r="AP882" s="100"/>
      <c r="AQ882" s="100"/>
    </row>
    <row r="883" spans="1:43" ht="15">
      <c r="A883" s="5"/>
      <c r="B883" s="5"/>
      <c r="G883" s="5" t="str">
        <f ca="1">IFERROR(__xludf.DUMMYFUNCTION("IFERROR(VLOOKUP(F906,IMPORTRANGE(""https://docs.google.com/spreadsheets/d/1Kvs4KS76FHFqLFIZfrDMff4kP08nblUkihrxltoGBjg/edit#gid=934712705"",""ESENCIAL!A6:BG""),3,FALSE))"),"")</f>
        <v/>
      </c>
      <c r="H883" s="5" t="str">
        <f ca="1">IFERROR(__xludf.DUMMYFUNCTION("IFERROR(VLOOKUP(F906,IMPORTRANGE(""https://docs.google.com/spreadsheets/d/1Kvs4KS76FHFqLFIZfrDMff4kP08nblUkihrxltoGBjg/edit#gid=934712705"",""ESENCIAL!A6:BG""),8,FALSE))"),"")</f>
        <v/>
      </c>
      <c r="L883" s="40"/>
      <c r="Z883" s="41" t="str">
        <f t="shared" si="50"/>
        <v/>
      </c>
      <c r="AA883" s="5" t="str">
        <f ca="1">IFERROR(__xludf.DUMMYFUNCTION("IFERROR(VLOOKUP(E906&amp;F906,IMPORTRANGE(""https://docs.google.com/spreadsheets/d/1Uw7-A9f9R21vMXxHZFNpYNeKFtG8_yji4HS352LGlSQ/edit?pli=1#gid=0"",""1_ACUM!A4:S""),11,FALSE))"),"")</f>
        <v/>
      </c>
      <c r="AB883" s="42" t="str">
        <f ca="1">IFERROR(__xludf.DUMMYFUNCTION("IFERROR(VLOOKUP(F906,IMPORTRANGE(""https://docs.google.com/spreadsheets/d/1Kvs4KS76FHFqLFIZfrDMff4kP08nblUkihrxltoGBjg/edit#gid=934712705"",""ESENCIAL!A6:BG""),15,FALSE))"),"")</f>
        <v/>
      </c>
      <c r="AC883" s="110" t="str">
        <f ca="1">IFERROR(__xludf.DUMMYFUNCTION("IFERROR(VLOOKUP(E906&amp;F906,IMPORTRANGE(""https://docs.google.com/spreadsheets/d/1Uw7-A9f9R21vMXxHZFNpYNeKFtG8_yji4HS352LGlSQ/edit?pli=1#gid=0"",""1_ACUM!A4:S""),13,FALSE))"),"")</f>
        <v/>
      </c>
      <c r="AD883" s="43" t="str">
        <f ca="1">IFERROR(__xludf.DUMMYFUNCTION("IFERROR(VLOOKUP(E906&amp;F906,IMPORTRANGE(""https://docs.google.com/spreadsheets/d/1Uw7-A9f9R21vMXxHZFNpYNeKFtG8_yji4HS352LGlSQ/edit?pli=1#gid=0"",""1_ACUM!A4:S""),13,FALSE))"),"")</f>
        <v/>
      </c>
      <c r="AE883" s="43" t="str">
        <f ca="1">IFERROR(__xludf.DUMMYFUNCTION("IFERROR(VLOOKUP(E906&amp;F906,IMPORTRANGE(""https://docs.google.com/spreadsheets/d/1Uw7-A9f9R21vMXxHZFNpYNeKFtG8_yji4HS352LGlSQ/edit?pli=1#gid=0"",""1_ACUM!A4:S""),14,FALSE))"),"")</f>
        <v/>
      </c>
      <c r="AF883" s="43" t="str">
        <f ca="1">IFERROR(__xludf.DUMMYFUNCTION("IFERROR(VLOOKUP(E906&amp;F906,IMPORTRANGE(""https://docs.google.com/spreadsheets/d/1Uw7-A9f9R21vMXxHZFNpYNeKFtG8_yji4HS352LGlSQ/edit?pli=1#gid=0"",""1_ACUM!A4:S""),15,FALSE))"),"")</f>
        <v/>
      </c>
      <c r="AG883" s="43" t="str">
        <f ca="1">IFERROR(__xludf.DUMMYFUNCTION("IFERROR(VLOOKUP(E906&amp;F906,IMPORTRANGE(""https://docs.google.com/spreadsheets/d/1Uw7-A9f9R21vMXxHZFNpYNeKFtG8_yji4HS352LGlSQ/edit?pli=1#gid=0"",""1_ACUM!A4:S""),16,FALSE))"),"")</f>
        <v/>
      </c>
      <c r="AH883" s="43" t="str">
        <f ca="1">IFERROR(__xludf.DUMMYFUNCTION("IFERROR(VLOOKUP(E906&amp;F906,IMPORTRANGE(""https://docs.google.com/spreadsheets/d/1Uw7-A9f9R21vMXxHZFNpYNeKFtG8_yji4HS352LGlSQ/edit?pli=1#gid=0"",""1_ACUM!A4:S""),17,FALSE))"),"")</f>
        <v/>
      </c>
      <c r="AI883" s="44" t="str">
        <f ca="1">IFERROR(__xludf.DUMMYFUNCTION("IFERROR(VLOOKUP(E906&amp;F906,IMPORTRANGE(""https://docs.google.com/spreadsheets/d/1Uw7-A9f9R21vMXxHZFNpYNeKFtG8_yji4HS352LGlSQ/edit?pli=1#gid=0"",""1_ACUM!A4:S""),18,FALSE))"),"")</f>
        <v/>
      </c>
      <c r="AJ883" s="44" t="str">
        <f ca="1">IFERROR(__xludf.DUMMYFUNCTION("IFERROR(VLOOKUP(E906&amp;F906,IMPORTRANGE(""https://docs.google.com/spreadsheets/d/1Uw7-A9f9R21vMXxHZFNpYNeKFtG8_yji4HS352LGlSQ/edit?pli=1#gid=0"",""1_ACUM!A4:S""),19,FALSE))"),"")</f>
        <v/>
      </c>
      <c r="AK883" s="98" t="str">
        <f ca="1">IFERROR(__xludf.DUMMYFUNCTION("IFERROR(VLOOKUP(F906,IMPORTRANGE(""https://docs.google.com/spreadsheets/d/1Kvs4KS76FHFqLFIZfrDMff4kP08nblUkihrxltoGBjg/edit#gid=934712705"",""ESENCIAL!A6:BG""),5,FALSE))"),"")</f>
        <v/>
      </c>
      <c r="AL883" s="98" t="str">
        <f t="shared" si="51"/>
        <v/>
      </c>
      <c r="AM883" s="99" t="str">
        <f t="shared" si="52"/>
        <v/>
      </c>
      <c r="AN883" s="100" t="str">
        <f ca="1">IFERROR(__xludf.DUMMYFUNCTION("IFERROR(VLOOKUP(F906,IMPORTRANGE(""https://docs.google.com/spreadsheets/d/1Kvs4KS76FHFqLFIZfrDMff4kP08nblUkihrxltoGBjg/edit#gid=934712705"",""ESENCIAL!A6:BG""),2,FALSE))"),"")</f>
        <v/>
      </c>
      <c r="AO883" s="19" t="str">
        <f t="shared" si="46"/>
        <v/>
      </c>
      <c r="AP883" s="100"/>
      <c r="AQ883" s="100"/>
    </row>
    <row r="884" spans="1:43" ht="15">
      <c r="A884" s="5"/>
      <c r="B884" s="5"/>
      <c r="G884" s="5" t="str">
        <f ca="1">IFERROR(__xludf.DUMMYFUNCTION("IFERROR(VLOOKUP(F907,IMPORTRANGE(""https://docs.google.com/spreadsheets/d/1Kvs4KS76FHFqLFIZfrDMff4kP08nblUkihrxltoGBjg/edit#gid=934712705"",""ESENCIAL!A6:BG""),3,FALSE))"),"")</f>
        <v/>
      </c>
      <c r="H884" s="5" t="str">
        <f ca="1">IFERROR(__xludf.DUMMYFUNCTION("IFERROR(VLOOKUP(F907,IMPORTRANGE(""https://docs.google.com/spreadsheets/d/1Kvs4KS76FHFqLFIZfrDMff4kP08nblUkihrxltoGBjg/edit#gid=934712705"",""ESENCIAL!A6:BG""),8,FALSE))"),"")</f>
        <v/>
      </c>
      <c r="L884" s="40"/>
      <c r="Z884" s="41" t="str">
        <f t="shared" si="50"/>
        <v/>
      </c>
      <c r="AA884" s="5" t="str">
        <f ca="1">IFERROR(__xludf.DUMMYFUNCTION("IFERROR(VLOOKUP(E907&amp;F907,IMPORTRANGE(""https://docs.google.com/spreadsheets/d/1Uw7-A9f9R21vMXxHZFNpYNeKFtG8_yji4HS352LGlSQ/edit?pli=1#gid=0"",""1_ACUM!A4:S""),11,FALSE))"),"")</f>
        <v/>
      </c>
      <c r="AB884" s="42" t="str">
        <f ca="1">IFERROR(__xludf.DUMMYFUNCTION("IFERROR(VLOOKUP(F907,IMPORTRANGE(""https://docs.google.com/spreadsheets/d/1Kvs4KS76FHFqLFIZfrDMff4kP08nblUkihrxltoGBjg/edit#gid=934712705"",""ESENCIAL!A6:BG""),15,FALSE))"),"")</f>
        <v/>
      </c>
      <c r="AC884" s="110" t="str">
        <f ca="1">IFERROR(__xludf.DUMMYFUNCTION("IFERROR(VLOOKUP(E907&amp;F907,IMPORTRANGE(""https://docs.google.com/spreadsheets/d/1Uw7-A9f9R21vMXxHZFNpYNeKFtG8_yji4HS352LGlSQ/edit?pli=1#gid=0"",""1_ACUM!A4:S""),13,FALSE))"),"")</f>
        <v/>
      </c>
      <c r="AD884" s="43" t="str">
        <f ca="1">IFERROR(__xludf.DUMMYFUNCTION("IFERROR(VLOOKUP(E907&amp;F907,IMPORTRANGE(""https://docs.google.com/spreadsheets/d/1Uw7-A9f9R21vMXxHZFNpYNeKFtG8_yji4HS352LGlSQ/edit?pli=1#gid=0"",""1_ACUM!A4:S""),13,FALSE))"),"")</f>
        <v/>
      </c>
      <c r="AE884" s="43" t="str">
        <f ca="1">IFERROR(__xludf.DUMMYFUNCTION("IFERROR(VLOOKUP(E907&amp;F907,IMPORTRANGE(""https://docs.google.com/spreadsheets/d/1Uw7-A9f9R21vMXxHZFNpYNeKFtG8_yji4HS352LGlSQ/edit?pli=1#gid=0"",""1_ACUM!A4:S""),14,FALSE))"),"")</f>
        <v/>
      </c>
      <c r="AF884" s="43" t="str">
        <f ca="1">IFERROR(__xludf.DUMMYFUNCTION("IFERROR(VLOOKUP(E907&amp;F907,IMPORTRANGE(""https://docs.google.com/spreadsheets/d/1Uw7-A9f9R21vMXxHZFNpYNeKFtG8_yji4HS352LGlSQ/edit?pli=1#gid=0"",""1_ACUM!A4:S""),15,FALSE))"),"")</f>
        <v/>
      </c>
      <c r="AG884" s="43" t="str">
        <f ca="1">IFERROR(__xludf.DUMMYFUNCTION("IFERROR(VLOOKUP(E907&amp;F907,IMPORTRANGE(""https://docs.google.com/spreadsheets/d/1Uw7-A9f9R21vMXxHZFNpYNeKFtG8_yji4HS352LGlSQ/edit?pli=1#gid=0"",""1_ACUM!A4:S""),16,FALSE))"),"")</f>
        <v/>
      </c>
      <c r="AH884" s="43" t="str">
        <f ca="1">IFERROR(__xludf.DUMMYFUNCTION("IFERROR(VLOOKUP(E907&amp;F907,IMPORTRANGE(""https://docs.google.com/spreadsheets/d/1Uw7-A9f9R21vMXxHZFNpYNeKFtG8_yji4HS352LGlSQ/edit?pli=1#gid=0"",""1_ACUM!A4:S""),17,FALSE))"),"")</f>
        <v/>
      </c>
      <c r="AI884" s="44" t="str">
        <f ca="1">IFERROR(__xludf.DUMMYFUNCTION("IFERROR(VLOOKUP(E907&amp;F907,IMPORTRANGE(""https://docs.google.com/spreadsheets/d/1Uw7-A9f9R21vMXxHZFNpYNeKFtG8_yji4HS352LGlSQ/edit?pli=1#gid=0"",""1_ACUM!A4:S""),18,FALSE))"),"")</f>
        <v/>
      </c>
      <c r="AJ884" s="44" t="str">
        <f ca="1">IFERROR(__xludf.DUMMYFUNCTION("IFERROR(VLOOKUP(E907&amp;F907,IMPORTRANGE(""https://docs.google.com/spreadsheets/d/1Uw7-A9f9R21vMXxHZFNpYNeKFtG8_yji4HS352LGlSQ/edit?pli=1#gid=0"",""1_ACUM!A4:S""),19,FALSE))"),"")</f>
        <v/>
      </c>
      <c r="AK884" s="98" t="str">
        <f ca="1">IFERROR(__xludf.DUMMYFUNCTION("IFERROR(VLOOKUP(F907,IMPORTRANGE(""https://docs.google.com/spreadsheets/d/1Kvs4KS76FHFqLFIZfrDMff4kP08nblUkihrxltoGBjg/edit#gid=934712705"",""ESENCIAL!A6:BG""),5,FALSE))"),"")</f>
        <v/>
      </c>
      <c r="AL884" s="98" t="str">
        <f t="shared" si="51"/>
        <v/>
      </c>
      <c r="AM884" s="99" t="str">
        <f t="shared" si="52"/>
        <v/>
      </c>
      <c r="AN884" s="100" t="str">
        <f ca="1">IFERROR(__xludf.DUMMYFUNCTION("IFERROR(VLOOKUP(F907,IMPORTRANGE(""https://docs.google.com/spreadsheets/d/1Kvs4KS76FHFqLFIZfrDMff4kP08nblUkihrxltoGBjg/edit#gid=934712705"",""ESENCIAL!A6:BG""),2,FALSE))"),"")</f>
        <v/>
      </c>
      <c r="AO884" s="19" t="str">
        <f t="shared" si="46"/>
        <v/>
      </c>
      <c r="AP884" s="100"/>
      <c r="AQ884" s="100"/>
    </row>
    <row r="885" spans="1:43" ht="15">
      <c r="A885" s="5"/>
      <c r="B885" s="5"/>
      <c r="G885" s="5" t="str">
        <f ca="1">IFERROR(__xludf.DUMMYFUNCTION("IFERROR(VLOOKUP(F908,IMPORTRANGE(""https://docs.google.com/spreadsheets/d/1Kvs4KS76FHFqLFIZfrDMff4kP08nblUkihrxltoGBjg/edit#gid=934712705"",""ESENCIAL!A6:BG""),3,FALSE))"),"")</f>
        <v/>
      </c>
      <c r="H885" s="5" t="str">
        <f ca="1">IFERROR(__xludf.DUMMYFUNCTION("IFERROR(VLOOKUP(F908,IMPORTRANGE(""https://docs.google.com/spreadsheets/d/1Kvs4KS76FHFqLFIZfrDMff4kP08nblUkihrxltoGBjg/edit#gid=934712705"",""ESENCIAL!A6:BG""),8,FALSE))"),"")</f>
        <v/>
      </c>
      <c r="L885" s="40"/>
      <c r="Z885" s="41" t="str">
        <f t="shared" si="50"/>
        <v/>
      </c>
      <c r="AA885" s="5" t="str">
        <f ca="1">IFERROR(__xludf.DUMMYFUNCTION("IFERROR(VLOOKUP(E908&amp;F908,IMPORTRANGE(""https://docs.google.com/spreadsheets/d/1Uw7-A9f9R21vMXxHZFNpYNeKFtG8_yji4HS352LGlSQ/edit?pli=1#gid=0"",""1_ACUM!A4:S""),11,FALSE))"),"")</f>
        <v/>
      </c>
      <c r="AB885" s="42" t="str">
        <f ca="1">IFERROR(__xludf.DUMMYFUNCTION("IFERROR(VLOOKUP(F908,IMPORTRANGE(""https://docs.google.com/spreadsheets/d/1Kvs4KS76FHFqLFIZfrDMff4kP08nblUkihrxltoGBjg/edit#gid=934712705"",""ESENCIAL!A6:BG""),15,FALSE))"),"")</f>
        <v/>
      </c>
      <c r="AC885" s="110" t="str">
        <f ca="1">IFERROR(__xludf.DUMMYFUNCTION("IFERROR(VLOOKUP(E908&amp;F908,IMPORTRANGE(""https://docs.google.com/spreadsheets/d/1Uw7-A9f9R21vMXxHZFNpYNeKFtG8_yji4HS352LGlSQ/edit?pli=1#gid=0"",""1_ACUM!A4:S""),13,FALSE))"),"")</f>
        <v/>
      </c>
      <c r="AD885" s="43" t="str">
        <f ca="1">IFERROR(__xludf.DUMMYFUNCTION("IFERROR(VLOOKUP(E908&amp;F908,IMPORTRANGE(""https://docs.google.com/spreadsheets/d/1Uw7-A9f9R21vMXxHZFNpYNeKFtG8_yji4HS352LGlSQ/edit?pli=1#gid=0"",""1_ACUM!A4:S""),13,FALSE))"),"")</f>
        <v/>
      </c>
      <c r="AE885" s="43" t="str">
        <f ca="1">IFERROR(__xludf.DUMMYFUNCTION("IFERROR(VLOOKUP(E908&amp;F908,IMPORTRANGE(""https://docs.google.com/spreadsheets/d/1Uw7-A9f9R21vMXxHZFNpYNeKFtG8_yji4HS352LGlSQ/edit?pli=1#gid=0"",""1_ACUM!A4:S""),14,FALSE))"),"")</f>
        <v/>
      </c>
      <c r="AF885" s="43" t="str">
        <f ca="1">IFERROR(__xludf.DUMMYFUNCTION("IFERROR(VLOOKUP(E908&amp;F908,IMPORTRANGE(""https://docs.google.com/spreadsheets/d/1Uw7-A9f9R21vMXxHZFNpYNeKFtG8_yji4HS352LGlSQ/edit?pli=1#gid=0"",""1_ACUM!A4:S""),15,FALSE))"),"")</f>
        <v/>
      </c>
      <c r="AG885" s="43" t="str">
        <f ca="1">IFERROR(__xludf.DUMMYFUNCTION("IFERROR(VLOOKUP(E908&amp;F908,IMPORTRANGE(""https://docs.google.com/spreadsheets/d/1Uw7-A9f9R21vMXxHZFNpYNeKFtG8_yji4HS352LGlSQ/edit?pli=1#gid=0"",""1_ACUM!A4:S""),16,FALSE))"),"")</f>
        <v/>
      </c>
      <c r="AH885" s="43" t="str">
        <f ca="1">IFERROR(__xludf.DUMMYFUNCTION("IFERROR(VLOOKUP(E908&amp;F908,IMPORTRANGE(""https://docs.google.com/spreadsheets/d/1Uw7-A9f9R21vMXxHZFNpYNeKFtG8_yji4HS352LGlSQ/edit?pli=1#gid=0"",""1_ACUM!A4:S""),17,FALSE))"),"")</f>
        <v/>
      </c>
      <c r="AI885" s="44" t="str">
        <f ca="1">IFERROR(__xludf.DUMMYFUNCTION("IFERROR(VLOOKUP(E908&amp;F908,IMPORTRANGE(""https://docs.google.com/spreadsheets/d/1Uw7-A9f9R21vMXxHZFNpYNeKFtG8_yji4HS352LGlSQ/edit?pli=1#gid=0"",""1_ACUM!A4:S""),18,FALSE))"),"")</f>
        <v/>
      </c>
      <c r="AJ885" s="44" t="str">
        <f ca="1">IFERROR(__xludf.DUMMYFUNCTION("IFERROR(VLOOKUP(E908&amp;F908,IMPORTRANGE(""https://docs.google.com/spreadsheets/d/1Uw7-A9f9R21vMXxHZFNpYNeKFtG8_yji4HS352LGlSQ/edit?pli=1#gid=0"",""1_ACUM!A4:S""),19,FALSE))"),"")</f>
        <v/>
      </c>
      <c r="AK885" s="98" t="str">
        <f ca="1">IFERROR(__xludf.DUMMYFUNCTION("IFERROR(VLOOKUP(F908,IMPORTRANGE(""https://docs.google.com/spreadsheets/d/1Kvs4KS76FHFqLFIZfrDMff4kP08nblUkihrxltoGBjg/edit#gid=934712705"",""ESENCIAL!A6:BG""),5,FALSE))"),"")</f>
        <v/>
      </c>
      <c r="AL885" s="98" t="str">
        <f t="shared" si="51"/>
        <v/>
      </c>
      <c r="AM885" s="99" t="str">
        <f t="shared" si="52"/>
        <v/>
      </c>
      <c r="AN885" s="100" t="str">
        <f ca="1">IFERROR(__xludf.DUMMYFUNCTION("IFERROR(VLOOKUP(F908,IMPORTRANGE(""https://docs.google.com/spreadsheets/d/1Kvs4KS76FHFqLFIZfrDMff4kP08nblUkihrxltoGBjg/edit#gid=934712705"",""ESENCIAL!A6:BG""),2,FALSE))"),"")</f>
        <v/>
      </c>
      <c r="AO885" s="19" t="str">
        <f t="shared" si="46"/>
        <v/>
      </c>
      <c r="AP885" s="100"/>
      <c r="AQ885" s="100"/>
    </row>
    <row r="886" spans="1:43" ht="15">
      <c r="A886" s="5"/>
      <c r="B886" s="5"/>
      <c r="G886" s="5" t="str">
        <f ca="1">IFERROR(__xludf.DUMMYFUNCTION("IFERROR(VLOOKUP(F909,IMPORTRANGE(""https://docs.google.com/spreadsheets/d/1Kvs4KS76FHFqLFIZfrDMff4kP08nblUkihrxltoGBjg/edit#gid=934712705"",""ESENCIAL!A6:BG""),3,FALSE))"),"")</f>
        <v/>
      </c>
      <c r="H886" s="5" t="str">
        <f ca="1">IFERROR(__xludf.DUMMYFUNCTION("IFERROR(VLOOKUP(F909,IMPORTRANGE(""https://docs.google.com/spreadsheets/d/1Kvs4KS76FHFqLFIZfrDMff4kP08nblUkihrxltoGBjg/edit#gid=934712705"",""ESENCIAL!A6:BG""),8,FALSE))"),"")</f>
        <v/>
      </c>
      <c r="L886" s="40"/>
      <c r="Z886" s="41" t="str">
        <f t="shared" si="50"/>
        <v/>
      </c>
      <c r="AA886" s="5" t="str">
        <f ca="1">IFERROR(__xludf.DUMMYFUNCTION("IFERROR(VLOOKUP(E909&amp;F909,IMPORTRANGE(""https://docs.google.com/spreadsheets/d/1Uw7-A9f9R21vMXxHZFNpYNeKFtG8_yji4HS352LGlSQ/edit?pli=1#gid=0"",""1_ACUM!A4:S""),11,FALSE))"),"")</f>
        <v/>
      </c>
      <c r="AB886" s="42" t="str">
        <f ca="1">IFERROR(__xludf.DUMMYFUNCTION("IFERROR(VLOOKUP(F909,IMPORTRANGE(""https://docs.google.com/spreadsheets/d/1Kvs4KS76FHFqLFIZfrDMff4kP08nblUkihrxltoGBjg/edit#gid=934712705"",""ESENCIAL!A6:BG""),15,FALSE))"),"")</f>
        <v/>
      </c>
      <c r="AC886" s="110" t="str">
        <f ca="1">IFERROR(__xludf.DUMMYFUNCTION("IFERROR(VLOOKUP(E909&amp;F909,IMPORTRANGE(""https://docs.google.com/spreadsheets/d/1Uw7-A9f9R21vMXxHZFNpYNeKFtG8_yji4HS352LGlSQ/edit?pli=1#gid=0"",""1_ACUM!A4:S""),13,FALSE))"),"")</f>
        <v/>
      </c>
      <c r="AD886" s="43" t="str">
        <f ca="1">IFERROR(__xludf.DUMMYFUNCTION("IFERROR(VLOOKUP(E909&amp;F909,IMPORTRANGE(""https://docs.google.com/spreadsheets/d/1Uw7-A9f9R21vMXxHZFNpYNeKFtG8_yji4HS352LGlSQ/edit?pli=1#gid=0"",""1_ACUM!A4:S""),13,FALSE))"),"")</f>
        <v/>
      </c>
      <c r="AE886" s="43" t="str">
        <f ca="1">IFERROR(__xludf.DUMMYFUNCTION("IFERROR(VLOOKUP(E909&amp;F909,IMPORTRANGE(""https://docs.google.com/spreadsheets/d/1Uw7-A9f9R21vMXxHZFNpYNeKFtG8_yji4HS352LGlSQ/edit?pli=1#gid=0"",""1_ACUM!A4:S""),14,FALSE))"),"")</f>
        <v/>
      </c>
      <c r="AF886" s="43" t="str">
        <f ca="1">IFERROR(__xludf.DUMMYFUNCTION("IFERROR(VLOOKUP(E909&amp;F909,IMPORTRANGE(""https://docs.google.com/spreadsheets/d/1Uw7-A9f9R21vMXxHZFNpYNeKFtG8_yji4HS352LGlSQ/edit?pli=1#gid=0"",""1_ACUM!A4:S""),15,FALSE))"),"")</f>
        <v/>
      </c>
      <c r="AG886" s="43" t="str">
        <f ca="1">IFERROR(__xludf.DUMMYFUNCTION("IFERROR(VLOOKUP(E909&amp;F909,IMPORTRANGE(""https://docs.google.com/spreadsheets/d/1Uw7-A9f9R21vMXxHZFNpYNeKFtG8_yji4HS352LGlSQ/edit?pli=1#gid=0"",""1_ACUM!A4:S""),16,FALSE))"),"")</f>
        <v/>
      </c>
      <c r="AH886" s="43" t="str">
        <f ca="1">IFERROR(__xludf.DUMMYFUNCTION("IFERROR(VLOOKUP(E909&amp;F909,IMPORTRANGE(""https://docs.google.com/spreadsheets/d/1Uw7-A9f9R21vMXxHZFNpYNeKFtG8_yji4HS352LGlSQ/edit?pli=1#gid=0"",""1_ACUM!A4:S""),17,FALSE))"),"")</f>
        <v/>
      </c>
      <c r="AI886" s="44" t="str">
        <f ca="1">IFERROR(__xludf.DUMMYFUNCTION("IFERROR(VLOOKUP(E909&amp;F909,IMPORTRANGE(""https://docs.google.com/spreadsheets/d/1Uw7-A9f9R21vMXxHZFNpYNeKFtG8_yji4HS352LGlSQ/edit?pli=1#gid=0"",""1_ACUM!A4:S""),18,FALSE))"),"")</f>
        <v/>
      </c>
      <c r="AJ886" s="44" t="str">
        <f ca="1">IFERROR(__xludf.DUMMYFUNCTION("IFERROR(VLOOKUP(E909&amp;F909,IMPORTRANGE(""https://docs.google.com/spreadsheets/d/1Uw7-A9f9R21vMXxHZFNpYNeKFtG8_yji4HS352LGlSQ/edit?pli=1#gid=0"",""1_ACUM!A4:S""),19,FALSE))"),"")</f>
        <v/>
      </c>
      <c r="AK886" s="98" t="str">
        <f ca="1">IFERROR(__xludf.DUMMYFUNCTION("IFERROR(VLOOKUP(F909,IMPORTRANGE(""https://docs.google.com/spreadsheets/d/1Kvs4KS76FHFqLFIZfrDMff4kP08nblUkihrxltoGBjg/edit#gid=934712705"",""ESENCIAL!A6:BG""),5,FALSE))"),"")</f>
        <v/>
      </c>
      <c r="AL886" s="98" t="str">
        <f t="shared" si="51"/>
        <v/>
      </c>
      <c r="AM886" s="99" t="str">
        <f t="shared" si="52"/>
        <v/>
      </c>
      <c r="AN886" s="100" t="str">
        <f ca="1">IFERROR(__xludf.DUMMYFUNCTION("IFERROR(VLOOKUP(F909,IMPORTRANGE(""https://docs.google.com/spreadsheets/d/1Kvs4KS76FHFqLFIZfrDMff4kP08nblUkihrxltoGBjg/edit#gid=934712705"",""ESENCIAL!A6:BG""),2,FALSE))"),"")</f>
        <v/>
      </c>
      <c r="AO886" s="19" t="str">
        <f t="shared" si="46"/>
        <v/>
      </c>
      <c r="AP886" s="100"/>
      <c r="AQ886" s="100"/>
    </row>
    <row r="887" spans="1:43" ht="15">
      <c r="A887" s="5"/>
      <c r="B887" s="5"/>
      <c r="G887" s="5" t="str">
        <f ca="1">IFERROR(__xludf.DUMMYFUNCTION("IFERROR(VLOOKUP(F910,IMPORTRANGE(""https://docs.google.com/spreadsheets/d/1Kvs4KS76FHFqLFIZfrDMff4kP08nblUkihrxltoGBjg/edit#gid=934712705"",""ESENCIAL!A6:BG""),3,FALSE))"),"")</f>
        <v/>
      </c>
      <c r="H887" s="5" t="str">
        <f ca="1">IFERROR(__xludf.DUMMYFUNCTION("IFERROR(VLOOKUP(F910,IMPORTRANGE(""https://docs.google.com/spreadsheets/d/1Kvs4KS76FHFqLFIZfrDMff4kP08nblUkihrxltoGBjg/edit#gid=934712705"",""ESENCIAL!A6:BG""),8,FALSE))"),"")</f>
        <v/>
      </c>
      <c r="L887" s="40"/>
      <c r="Z887" s="41" t="str">
        <f t="shared" si="50"/>
        <v/>
      </c>
      <c r="AA887" s="5" t="str">
        <f ca="1">IFERROR(__xludf.DUMMYFUNCTION("IFERROR(VLOOKUP(E910&amp;F910,IMPORTRANGE(""https://docs.google.com/spreadsheets/d/1Uw7-A9f9R21vMXxHZFNpYNeKFtG8_yji4HS352LGlSQ/edit?pli=1#gid=0"",""1_ACUM!A4:S""),11,FALSE))"),"")</f>
        <v/>
      </c>
      <c r="AB887" s="42" t="str">
        <f ca="1">IFERROR(__xludf.DUMMYFUNCTION("IFERROR(VLOOKUP(F910,IMPORTRANGE(""https://docs.google.com/spreadsheets/d/1Kvs4KS76FHFqLFIZfrDMff4kP08nblUkihrxltoGBjg/edit#gid=934712705"",""ESENCIAL!A6:BG""),15,FALSE))"),"")</f>
        <v/>
      </c>
      <c r="AC887" s="110" t="str">
        <f ca="1">IFERROR(__xludf.DUMMYFUNCTION("IFERROR(VLOOKUP(E910&amp;F910,IMPORTRANGE(""https://docs.google.com/spreadsheets/d/1Uw7-A9f9R21vMXxHZFNpYNeKFtG8_yji4HS352LGlSQ/edit?pli=1#gid=0"",""1_ACUM!A4:S""),13,FALSE))"),"")</f>
        <v/>
      </c>
      <c r="AD887" s="43" t="str">
        <f ca="1">IFERROR(__xludf.DUMMYFUNCTION("IFERROR(VLOOKUP(E910&amp;F910,IMPORTRANGE(""https://docs.google.com/spreadsheets/d/1Uw7-A9f9R21vMXxHZFNpYNeKFtG8_yji4HS352LGlSQ/edit?pli=1#gid=0"",""1_ACUM!A4:S""),13,FALSE))"),"")</f>
        <v/>
      </c>
      <c r="AE887" s="43" t="str">
        <f ca="1">IFERROR(__xludf.DUMMYFUNCTION("IFERROR(VLOOKUP(E910&amp;F910,IMPORTRANGE(""https://docs.google.com/spreadsheets/d/1Uw7-A9f9R21vMXxHZFNpYNeKFtG8_yji4HS352LGlSQ/edit?pli=1#gid=0"",""1_ACUM!A4:S""),14,FALSE))"),"")</f>
        <v/>
      </c>
      <c r="AF887" s="43" t="str">
        <f ca="1">IFERROR(__xludf.DUMMYFUNCTION("IFERROR(VLOOKUP(E910&amp;F910,IMPORTRANGE(""https://docs.google.com/spreadsheets/d/1Uw7-A9f9R21vMXxHZFNpYNeKFtG8_yji4HS352LGlSQ/edit?pli=1#gid=0"",""1_ACUM!A4:S""),15,FALSE))"),"")</f>
        <v/>
      </c>
      <c r="AG887" s="43" t="str">
        <f ca="1">IFERROR(__xludf.DUMMYFUNCTION("IFERROR(VLOOKUP(E910&amp;F910,IMPORTRANGE(""https://docs.google.com/spreadsheets/d/1Uw7-A9f9R21vMXxHZFNpYNeKFtG8_yji4HS352LGlSQ/edit?pli=1#gid=0"",""1_ACUM!A4:S""),16,FALSE))"),"")</f>
        <v/>
      </c>
      <c r="AH887" s="43" t="str">
        <f ca="1">IFERROR(__xludf.DUMMYFUNCTION("IFERROR(VLOOKUP(E910&amp;F910,IMPORTRANGE(""https://docs.google.com/spreadsheets/d/1Uw7-A9f9R21vMXxHZFNpYNeKFtG8_yji4HS352LGlSQ/edit?pli=1#gid=0"",""1_ACUM!A4:S""),17,FALSE))"),"")</f>
        <v/>
      </c>
      <c r="AI887" s="44" t="str">
        <f ca="1">IFERROR(__xludf.DUMMYFUNCTION("IFERROR(VLOOKUP(E910&amp;F910,IMPORTRANGE(""https://docs.google.com/spreadsheets/d/1Uw7-A9f9R21vMXxHZFNpYNeKFtG8_yji4HS352LGlSQ/edit?pli=1#gid=0"",""1_ACUM!A4:S""),18,FALSE))"),"")</f>
        <v/>
      </c>
      <c r="AJ887" s="44" t="str">
        <f ca="1">IFERROR(__xludf.DUMMYFUNCTION("IFERROR(VLOOKUP(E910&amp;F910,IMPORTRANGE(""https://docs.google.com/spreadsheets/d/1Uw7-A9f9R21vMXxHZFNpYNeKFtG8_yji4HS352LGlSQ/edit?pli=1#gid=0"",""1_ACUM!A4:S""),19,FALSE))"),"")</f>
        <v/>
      </c>
      <c r="AK887" s="98" t="str">
        <f ca="1">IFERROR(__xludf.DUMMYFUNCTION("IFERROR(VLOOKUP(F910,IMPORTRANGE(""https://docs.google.com/spreadsheets/d/1Kvs4KS76FHFqLFIZfrDMff4kP08nblUkihrxltoGBjg/edit#gid=934712705"",""ESENCIAL!A6:BG""),5,FALSE))"),"")</f>
        <v/>
      </c>
      <c r="AL887" s="98" t="str">
        <f t="shared" si="51"/>
        <v/>
      </c>
      <c r="AM887" s="99" t="str">
        <f t="shared" si="52"/>
        <v/>
      </c>
      <c r="AN887" s="100" t="str">
        <f ca="1">IFERROR(__xludf.DUMMYFUNCTION("IFERROR(VLOOKUP(F910,IMPORTRANGE(""https://docs.google.com/spreadsheets/d/1Kvs4KS76FHFqLFIZfrDMff4kP08nblUkihrxltoGBjg/edit#gid=934712705"",""ESENCIAL!A6:BG""),2,FALSE))"),"")</f>
        <v/>
      </c>
      <c r="AO887" s="19" t="str">
        <f t="shared" si="46"/>
        <v/>
      </c>
      <c r="AP887" s="100"/>
      <c r="AQ887" s="100"/>
    </row>
    <row r="888" spans="1:43" ht="15">
      <c r="A888" s="5"/>
      <c r="B888" s="5"/>
      <c r="G888" s="5" t="str">
        <f ca="1">IFERROR(__xludf.DUMMYFUNCTION("IFERROR(VLOOKUP(F911,IMPORTRANGE(""https://docs.google.com/spreadsheets/d/1Kvs4KS76FHFqLFIZfrDMff4kP08nblUkihrxltoGBjg/edit#gid=934712705"",""ESENCIAL!A6:BG""),3,FALSE))"),"")</f>
        <v/>
      </c>
      <c r="H888" s="5" t="str">
        <f ca="1">IFERROR(__xludf.DUMMYFUNCTION("IFERROR(VLOOKUP(F911,IMPORTRANGE(""https://docs.google.com/spreadsheets/d/1Kvs4KS76FHFqLFIZfrDMff4kP08nblUkihrxltoGBjg/edit#gid=934712705"",""ESENCIAL!A6:BG""),8,FALSE))"),"")</f>
        <v/>
      </c>
      <c r="L888" s="40"/>
      <c r="Z888" s="41" t="str">
        <f t="shared" si="50"/>
        <v/>
      </c>
      <c r="AA888" s="5" t="str">
        <f ca="1">IFERROR(__xludf.DUMMYFUNCTION("IFERROR(VLOOKUP(E911&amp;F911,IMPORTRANGE(""https://docs.google.com/spreadsheets/d/1Uw7-A9f9R21vMXxHZFNpYNeKFtG8_yji4HS352LGlSQ/edit?pli=1#gid=0"",""1_ACUM!A4:S""),11,FALSE))"),"")</f>
        <v/>
      </c>
      <c r="AB888" s="42" t="str">
        <f ca="1">IFERROR(__xludf.DUMMYFUNCTION("IFERROR(VLOOKUP(F911,IMPORTRANGE(""https://docs.google.com/spreadsheets/d/1Kvs4KS76FHFqLFIZfrDMff4kP08nblUkihrxltoGBjg/edit#gid=934712705"",""ESENCIAL!A6:BG""),15,FALSE))"),"")</f>
        <v/>
      </c>
      <c r="AC888" s="110" t="str">
        <f ca="1">IFERROR(__xludf.DUMMYFUNCTION("IFERROR(VLOOKUP(E911&amp;F911,IMPORTRANGE(""https://docs.google.com/spreadsheets/d/1Uw7-A9f9R21vMXxHZFNpYNeKFtG8_yji4HS352LGlSQ/edit?pli=1#gid=0"",""1_ACUM!A4:S""),13,FALSE))"),"")</f>
        <v/>
      </c>
      <c r="AD888" s="43" t="str">
        <f ca="1">IFERROR(__xludf.DUMMYFUNCTION("IFERROR(VLOOKUP(E911&amp;F911,IMPORTRANGE(""https://docs.google.com/spreadsheets/d/1Uw7-A9f9R21vMXxHZFNpYNeKFtG8_yji4HS352LGlSQ/edit?pli=1#gid=0"",""1_ACUM!A4:S""),13,FALSE))"),"")</f>
        <v/>
      </c>
      <c r="AE888" s="43" t="str">
        <f ca="1">IFERROR(__xludf.DUMMYFUNCTION("IFERROR(VLOOKUP(E911&amp;F911,IMPORTRANGE(""https://docs.google.com/spreadsheets/d/1Uw7-A9f9R21vMXxHZFNpYNeKFtG8_yji4HS352LGlSQ/edit?pli=1#gid=0"",""1_ACUM!A4:S""),14,FALSE))"),"")</f>
        <v/>
      </c>
      <c r="AF888" s="43" t="str">
        <f ca="1">IFERROR(__xludf.DUMMYFUNCTION("IFERROR(VLOOKUP(E911&amp;F911,IMPORTRANGE(""https://docs.google.com/spreadsheets/d/1Uw7-A9f9R21vMXxHZFNpYNeKFtG8_yji4HS352LGlSQ/edit?pli=1#gid=0"",""1_ACUM!A4:S""),15,FALSE))"),"")</f>
        <v/>
      </c>
      <c r="AG888" s="43" t="str">
        <f ca="1">IFERROR(__xludf.DUMMYFUNCTION("IFERROR(VLOOKUP(E911&amp;F911,IMPORTRANGE(""https://docs.google.com/spreadsheets/d/1Uw7-A9f9R21vMXxHZFNpYNeKFtG8_yji4HS352LGlSQ/edit?pli=1#gid=0"",""1_ACUM!A4:S""),16,FALSE))"),"")</f>
        <v/>
      </c>
      <c r="AH888" s="43" t="str">
        <f ca="1">IFERROR(__xludf.DUMMYFUNCTION("IFERROR(VLOOKUP(E911&amp;F911,IMPORTRANGE(""https://docs.google.com/spreadsheets/d/1Uw7-A9f9R21vMXxHZFNpYNeKFtG8_yji4HS352LGlSQ/edit?pli=1#gid=0"",""1_ACUM!A4:S""),17,FALSE))"),"")</f>
        <v/>
      </c>
      <c r="AI888" s="44" t="str">
        <f ca="1">IFERROR(__xludf.DUMMYFUNCTION("IFERROR(VLOOKUP(E911&amp;F911,IMPORTRANGE(""https://docs.google.com/spreadsheets/d/1Uw7-A9f9R21vMXxHZFNpYNeKFtG8_yji4HS352LGlSQ/edit?pli=1#gid=0"",""1_ACUM!A4:S""),18,FALSE))"),"")</f>
        <v/>
      </c>
      <c r="AJ888" s="44" t="str">
        <f ca="1">IFERROR(__xludf.DUMMYFUNCTION("IFERROR(VLOOKUP(E911&amp;F911,IMPORTRANGE(""https://docs.google.com/spreadsheets/d/1Uw7-A9f9R21vMXxHZFNpYNeKFtG8_yji4HS352LGlSQ/edit?pli=1#gid=0"",""1_ACUM!A4:S""),19,FALSE))"),"")</f>
        <v/>
      </c>
      <c r="AK888" s="98" t="str">
        <f ca="1">IFERROR(__xludf.DUMMYFUNCTION("IFERROR(VLOOKUP(F911,IMPORTRANGE(""https://docs.google.com/spreadsheets/d/1Kvs4KS76FHFqLFIZfrDMff4kP08nblUkihrxltoGBjg/edit#gid=934712705"",""ESENCIAL!A6:BG""),5,FALSE))"),"")</f>
        <v/>
      </c>
      <c r="AL888" s="98" t="str">
        <f t="shared" si="51"/>
        <v/>
      </c>
      <c r="AM888" s="99" t="str">
        <f t="shared" si="52"/>
        <v/>
      </c>
      <c r="AN888" s="100" t="str">
        <f ca="1">IFERROR(__xludf.DUMMYFUNCTION("IFERROR(VLOOKUP(F911,IMPORTRANGE(""https://docs.google.com/spreadsheets/d/1Kvs4KS76FHFqLFIZfrDMff4kP08nblUkihrxltoGBjg/edit#gid=934712705"",""ESENCIAL!A6:BG""),2,FALSE))"),"")</f>
        <v/>
      </c>
      <c r="AO888" s="19" t="str">
        <f t="shared" si="46"/>
        <v/>
      </c>
      <c r="AP888" s="100"/>
      <c r="AQ888" s="100"/>
    </row>
    <row r="889" spans="1:43" ht="15">
      <c r="A889" s="5"/>
      <c r="B889" s="5"/>
      <c r="G889" s="5" t="str">
        <f ca="1">IFERROR(__xludf.DUMMYFUNCTION("IFERROR(VLOOKUP(F912,IMPORTRANGE(""https://docs.google.com/spreadsheets/d/1Kvs4KS76FHFqLFIZfrDMff4kP08nblUkihrxltoGBjg/edit#gid=934712705"",""ESENCIAL!A6:BG""),3,FALSE))"),"")</f>
        <v/>
      </c>
      <c r="H889" s="5" t="str">
        <f ca="1">IFERROR(__xludf.DUMMYFUNCTION("IFERROR(VLOOKUP(F912,IMPORTRANGE(""https://docs.google.com/spreadsheets/d/1Kvs4KS76FHFqLFIZfrDMff4kP08nblUkihrxltoGBjg/edit#gid=934712705"",""ESENCIAL!A6:BG""),8,FALSE))"),"")</f>
        <v/>
      </c>
      <c r="L889" s="40"/>
      <c r="Z889" s="41" t="str">
        <f t="shared" si="50"/>
        <v/>
      </c>
      <c r="AA889" s="5" t="str">
        <f ca="1">IFERROR(__xludf.DUMMYFUNCTION("IFERROR(VLOOKUP(E912&amp;F912,IMPORTRANGE(""https://docs.google.com/spreadsheets/d/1Uw7-A9f9R21vMXxHZFNpYNeKFtG8_yji4HS352LGlSQ/edit?pli=1#gid=0"",""1_ACUM!A4:S""),11,FALSE))"),"")</f>
        <v/>
      </c>
      <c r="AB889" s="42" t="str">
        <f ca="1">IFERROR(__xludf.DUMMYFUNCTION("IFERROR(VLOOKUP(F912,IMPORTRANGE(""https://docs.google.com/spreadsheets/d/1Kvs4KS76FHFqLFIZfrDMff4kP08nblUkihrxltoGBjg/edit#gid=934712705"",""ESENCIAL!A6:BG""),15,FALSE))"),"")</f>
        <v/>
      </c>
      <c r="AC889" s="110" t="str">
        <f ca="1">IFERROR(__xludf.DUMMYFUNCTION("IFERROR(VLOOKUP(E912&amp;F912,IMPORTRANGE(""https://docs.google.com/spreadsheets/d/1Uw7-A9f9R21vMXxHZFNpYNeKFtG8_yji4HS352LGlSQ/edit?pli=1#gid=0"",""1_ACUM!A4:S""),13,FALSE))"),"")</f>
        <v/>
      </c>
      <c r="AD889" s="43" t="str">
        <f ca="1">IFERROR(__xludf.DUMMYFUNCTION("IFERROR(VLOOKUP(E912&amp;F912,IMPORTRANGE(""https://docs.google.com/spreadsheets/d/1Uw7-A9f9R21vMXxHZFNpYNeKFtG8_yji4HS352LGlSQ/edit?pli=1#gid=0"",""1_ACUM!A4:S""),13,FALSE))"),"")</f>
        <v/>
      </c>
      <c r="AE889" s="43" t="str">
        <f ca="1">IFERROR(__xludf.DUMMYFUNCTION("IFERROR(VLOOKUP(E912&amp;F912,IMPORTRANGE(""https://docs.google.com/spreadsheets/d/1Uw7-A9f9R21vMXxHZFNpYNeKFtG8_yji4HS352LGlSQ/edit?pli=1#gid=0"",""1_ACUM!A4:S""),14,FALSE))"),"")</f>
        <v/>
      </c>
      <c r="AF889" s="43" t="str">
        <f ca="1">IFERROR(__xludf.DUMMYFUNCTION("IFERROR(VLOOKUP(E912&amp;F912,IMPORTRANGE(""https://docs.google.com/spreadsheets/d/1Uw7-A9f9R21vMXxHZFNpYNeKFtG8_yji4HS352LGlSQ/edit?pli=1#gid=0"",""1_ACUM!A4:S""),15,FALSE))"),"")</f>
        <v/>
      </c>
      <c r="AG889" s="43" t="str">
        <f ca="1">IFERROR(__xludf.DUMMYFUNCTION("IFERROR(VLOOKUP(E912&amp;F912,IMPORTRANGE(""https://docs.google.com/spreadsheets/d/1Uw7-A9f9R21vMXxHZFNpYNeKFtG8_yji4HS352LGlSQ/edit?pli=1#gid=0"",""1_ACUM!A4:S""),16,FALSE))"),"")</f>
        <v/>
      </c>
      <c r="AH889" s="43" t="str">
        <f ca="1">IFERROR(__xludf.DUMMYFUNCTION("IFERROR(VLOOKUP(E912&amp;F912,IMPORTRANGE(""https://docs.google.com/spreadsheets/d/1Uw7-A9f9R21vMXxHZFNpYNeKFtG8_yji4HS352LGlSQ/edit?pli=1#gid=0"",""1_ACUM!A4:S""),17,FALSE))"),"")</f>
        <v/>
      </c>
      <c r="AI889" s="44" t="str">
        <f ca="1">IFERROR(__xludf.DUMMYFUNCTION("IFERROR(VLOOKUP(E912&amp;F912,IMPORTRANGE(""https://docs.google.com/spreadsheets/d/1Uw7-A9f9R21vMXxHZFNpYNeKFtG8_yji4HS352LGlSQ/edit?pli=1#gid=0"",""1_ACUM!A4:S""),18,FALSE))"),"")</f>
        <v/>
      </c>
      <c r="AJ889" s="44" t="str">
        <f ca="1">IFERROR(__xludf.DUMMYFUNCTION("IFERROR(VLOOKUP(E912&amp;F912,IMPORTRANGE(""https://docs.google.com/spreadsheets/d/1Uw7-A9f9R21vMXxHZFNpYNeKFtG8_yji4HS352LGlSQ/edit?pli=1#gid=0"",""1_ACUM!A4:S""),19,FALSE))"),"")</f>
        <v/>
      </c>
      <c r="AK889" s="98" t="str">
        <f ca="1">IFERROR(__xludf.DUMMYFUNCTION("IFERROR(VLOOKUP(F912,IMPORTRANGE(""https://docs.google.com/spreadsheets/d/1Kvs4KS76FHFqLFIZfrDMff4kP08nblUkihrxltoGBjg/edit#gid=934712705"",""ESENCIAL!A6:BG""),5,FALSE))"),"")</f>
        <v/>
      </c>
      <c r="AL889" s="98" t="str">
        <f t="shared" si="51"/>
        <v/>
      </c>
      <c r="AM889" s="99" t="str">
        <f t="shared" si="52"/>
        <v/>
      </c>
      <c r="AN889" s="100" t="str">
        <f ca="1">IFERROR(__xludf.DUMMYFUNCTION("IFERROR(VLOOKUP(F912,IMPORTRANGE(""https://docs.google.com/spreadsheets/d/1Kvs4KS76FHFqLFIZfrDMff4kP08nblUkihrxltoGBjg/edit#gid=934712705"",""ESENCIAL!A6:BG""),2,FALSE))"),"")</f>
        <v/>
      </c>
      <c r="AO889" s="19" t="str">
        <f t="shared" si="46"/>
        <v/>
      </c>
      <c r="AP889" s="100"/>
      <c r="AQ889" s="100"/>
    </row>
    <row r="890" spans="1:43" ht="15">
      <c r="A890" s="5"/>
      <c r="B890" s="5"/>
      <c r="G890" s="5" t="str">
        <f ca="1">IFERROR(__xludf.DUMMYFUNCTION("IFERROR(VLOOKUP(F913,IMPORTRANGE(""https://docs.google.com/spreadsheets/d/1Kvs4KS76FHFqLFIZfrDMff4kP08nblUkihrxltoGBjg/edit#gid=934712705"",""ESENCIAL!A6:BG""),3,FALSE))"),"")</f>
        <v/>
      </c>
      <c r="H890" s="5" t="str">
        <f ca="1">IFERROR(__xludf.DUMMYFUNCTION("IFERROR(VLOOKUP(F913,IMPORTRANGE(""https://docs.google.com/spreadsheets/d/1Kvs4KS76FHFqLFIZfrDMff4kP08nblUkihrxltoGBjg/edit#gid=934712705"",""ESENCIAL!A6:BG""),8,FALSE))"),"")</f>
        <v/>
      </c>
      <c r="L890" s="40"/>
      <c r="Z890" s="41" t="str">
        <f t="shared" si="50"/>
        <v/>
      </c>
      <c r="AA890" s="5" t="str">
        <f ca="1">IFERROR(__xludf.DUMMYFUNCTION("IFERROR(VLOOKUP(E913&amp;F913,IMPORTRANGE(""https://docs.google.com/spreadsheets/d/1Uw7-A9f9R21vMXxHZFNpYNeKFtG8_yji4HS352LGlSQ/edit?pli=1#gid=0"",""1_ACUM!A4:S""),11,FALSE))"),"")</f>
        <v/>
      </c>
      <c r="AB890" s="42" t="str">
        <f ca="1">IFERROR(__xludf.DUMMYFUNCTION("IFERROR(VLOOKUP(F913,IMPORTRANGE(""https://docs.google.com/spreadsheets/d/1Kvs4KS76FHFqLFIZfrDMff4kP08nblUkihrxltoGBjg/edit#gid=934712705"",""ESENCIAL!A6:BG""),15,FALSE))"),"")</f>
        <v/>
      </c>
      <c r="AC890" s="110" t="str">
        <f ca="1">IFERROR(__xludf.DUMMYFUNCTION("IFERROR(VLOOKUP(E913&amp;F913,IMPORTRANGE(""https://docs.google.com/spreadsheets/d/1Uw7-A9f9R21vMXxHZFNpYNeKFtG8_yji4HS352LGlSQ/edit?pli=1#gid=0"",""1_ACUM!A4:S""),13,FALSE))"),"")</f>
        <v/>
      </c>
      <c r="AD890" s="43" t="str">
        <f ca="1">IFERROR(__xludf.DUMMYFUNCTION("IFERROR(VLOOKUP(E913&amp;F913,IMPORTRANGE(""https://docs.google.com/spreadsheets/d/1Uw7-A9f9R21vMXxHZFNpYNeKFtG8_yji4HS352LGlSQ/edit?pli=1#gid=0"",""1_ACUM!A4:S""),13,FALSE))"),"")</f>
        <v/>
      </c>
      <c r="AE890" s="43" t="str">
        <f ca="1">IFERROR(__xludf.DUMMYFUNCTION("IFERROR(VLOOKUP(E913&amp;F913,IMPORTRANGE(""https://docs.google.com/spreadsheets/d/1Uw7-A9f9R21vMXxHZFNpYNeKFtG8_yji4HS352LGlSQ/edit?pli=1#gid=0"",""1_ACUM!A4:S""),14,FALSE))"),"")</f>
        <v/>
      </c>
      <c r="AF890" s="43" t="str">
        <f ca="1">IFERROR(__xludf.DUMMYFUNCTION("IFERROR(VLOOKUP(E913&amp;F913,IMPORTRANGE(""https://docs.google.com/spreadsheets/d/1Uw7-A9f9R21vMXxHZFNpYNeKFtG8_yji4HS352LGlSQ/edit?pli=1#gid=0"",""1_ACUM!A4:S""),15,FALSE))"),"")</f>
        <v/>
      </c>
      <c r="AG890" s="43" t="str">
        <f ca="1">IFERROR(__xludf.DUMMYFUNCTION("IFERROR(VLOOKUP(E913&amp;F913,IMPORTRANGE(""https://docs.google.com/spreadsheets/d/1Uw7-A9f9R21vMXxHZFNpYNeKFtG8_yji4HS352LGlSQ/edit?pli=1#gid=0"",""1_ACUM!A4:S""),16,FALSE))"),"")</f>
        <v/>
      </c>
      <c r="AH890" s="43" t="str">
        <f ca="1">IFERROR(__xludf.DUMMYFUNCTION("IFERROR(VLOOKUP(E913&amp;F913,IMPORTRANGE(""https://docs.google.com/spreadsheets/d/1Uw7-A9f9R21vMXxHZFNpYNeKFtG8_yji4HS352LGlSQ/edit?pli=1#gid=0"",""1_ACUM!A4:S""),17,FALSE))"),"")</f>
        <v/>
      </c>
      <c r="AI890" s="44" t="str">
        <f ca="1">IFERROR(__xludf.DUMMYFUNCTION("IFERROR(VLOOKUP(E913&amp;F913,IMPORTRANGE(""https://docs.google.com/spreadsheets/d/1Uw7-A9f9R21vMXxHZFNpYNeKFtG8_yji4HS352LGlSQ/edit?pli=1#gid=0"",""1_ACUM!A4:S""),18,FALSE))"),"")</f>
        <v/>
      </c>
      <c r="AJ890" s="44" t="str">
        <f ca="1">IFERROR(__xludf.DUMMYFUNCTION("IFERROR(VLOOKUP(E913&amp;F913,IMPORTRANGE(""https://docs.google.com/spreadsheets/d/1Uw7-A9f9R21vMXxHZFNpYNeKFtG8_yji4HS352LGlSQ/edit?pli=1#gid=0"",""1_ACUM!A4:S""),19,FALSE))"),"")</f>
        <v/>
      </c>
      <c r="AK890" s="98" t="str">
        <f ca="1">IFERROR(__xludf.DUMMYFUNCTION("IFERROR(VLOOKUP(F913,IMPORTRANGE(""https://docs.google.com/spreadsheets/d/1Kvs4KS76FHFqLFIZfrDMff4kP08nblUkihrxltoGBjg/edit#gid=934712705"",""ESENCIAL!A6:BG""),5,FALSE))"),"")</f>
        <v/>
      </c>
      <c r="AL890" s="98" t="str">
        <f t="shared" si="51"/>
        <v/>
      </c>
      <c r="AM890" s="99" t="str">
        <f t="shared" si="52"/>
        <v/>
      </c>
      <c r="AN890" s="100" t="str">
        <f ca="1">IFERROR(__xludf.DUMMYFUNCTION("IFERROR(VLOOKUP(F913,IMPORTRANGE(""https://docs.google.com/spreadsheets/d/1Kvs4KS76FHFqLFIZfrDMff4kP08nblUkihrxltoGBjg/edit#gid=934712705"",""ESENCIAL!A6:BG""),2,FALSE))"),"")</f>
        <v/>
      </c>
      <c r="AO890" s="19" t="str">
        <f t="shared" si="46"/>
        <v/>
      </c>
      <c r="AP890" s="100"/>
      <c r="AQ890" s="100"/>
    </row>
    <row r="891" spans="1:43" ht="15">
      <c r="A891" s="5"/>
      <c r="B891" s="5"/>
      <c r="G891" s="5" t="str">
        <f ca="1">IFERROR(__xludf.DUMMYFUNCTION("IFERROR(VLOOKUP(F914,IMPORTRANGE(""https://docs.google.com/spreadsheets/d/1Kvs4KS76FHFqLFIZfrDMff4kP08nblUkihrxltoGBjg/edit#gid=934712705"",""ESENCIAL!A6:BG""),3,FALSE))"),"")</f>
        <v/>
      </c>
      <c r="H891" s="5" t="str">
        <f ca="1">IFERROR(__xludf.DUMMYFUNCTION("IFERROR(VLOOKUP(F914,IMPORTRANGE(""https://docs.google.com/spreadsheets/d/1Kvs4KS76FHFqLFIZfrDMff4kP08nblUkihrxltoGBjg/edit#gid=934712705"",""ESENCIAL!A6:BG""),8,FALSE))"),"")</f>
        <v/>
      </c>
      <c r="L891" s="40"/>
      <c r="Z891" s="41" t="str">
        <f t="shared" si="50"/>
        <v/>
      </c>
      <c r="AA891" s="5" t="str">
        <f ca="1">IFERROR(__xludf.DUMMYFUNCTION("IFERROR(VLOOKUP(E914&amp;F914,IMPORTRANGE(""https://docs.google.com/spreadsheets/d/1Uw7-A9f9R21vMXxHZFNpYNeKFtG8_yji4HS352LGlSQ/edit?pli=1#gid=0"",""1_ACUM!A4:S""),11,FALSE))"),"")</f>
        <v/>
      </c>
      <c r="AB891" s="42" t="str">
        <f ca="1">IFERROR(__xludf.DUMMYFUNCTION("IFERROR(VLOOKUP(F914,IMPORTRANGE(""https://docs.google.com/spreadsheets/d/1Kvs4KS76FHFqLFIZfrDMff4kP08nblUkihrxltoGBjg/edit#gid=934712705"",""ESENCIAL!A6:BG""),15,FALSE))"),"")</f>
        <v/>
      </c>
      <c r="AC891" s="110" t="str">
        <f ca="1">IFERROR(__xludf.DUMMYFUNCTION("IFERROR(VLOOKUP(E914&amp;F914,IMPORTRANGE(""https://docs.google.com/spreadsheets/d/1Uw7-A9f9R21vMXxHZFNpYNeKFtG8_yji4HS352LGlSQ/edit?pli=1#gid=0"",""1_ACUM!A4:S""),13,FALSE))"),"")</f>
        <v/>
      </c>
      <c r="AD891" s="43" t="str">
        <f ca="1">IFERROR(__xludf.DUMMYFUNCTION("IFERROR(VLOOKUP(E914&amp;F914,IMPORTRANGE(""https://docs.google.com/spreadsheets/d/1Uw7-A9f9R21vMXxHZFNpYNeKFtG8_yji4HS352LGlSQ/edit?pli=1#gid=0"",""1_ACUM!A4:S""),13,FALSE))"),"")</f>
        <v/>
      </c>
      <c r="AE891" s="43" t="str">
        <f ca="1">IFERROR(__xludf.DUMMYFUNCTION("IFERROR(VLOOKUP(E914&amp;F914,IMPORTRANGE(""https://docs.google.com/spreadsheets/d/1Uw7-A9f9R21vMXxHZFNpYNeKFtG8_yji4HS352LGlSQ/edit?pli=1#gid=0"",""1_ACUM!A4:S""),14,FALSE))"),"")</f>
        <v/>
      </c>
      <c r="AF891" s="43" t="str">
        <f ca="1">IFERROR(__xludf.DUMMYFUNCTION("IFERROR(VLOOKUP(E914&amp;F914,IMPORTRANGE(""https://docs.google.com/spreadsheets/d/1Uw7-A9f9R21vMXxHZFNpYNeKFtG8_yji4HS352LGlSQ/edit?pli=1#gid=0"",""1_ACUM!A4:S""),15,FALSE))"),"")</f>
        <v/>
      </c>
      <c r="AG891" s="43" t="str">
        <f ca="1">IFERROR(__xludf.DUMMYFUNCTION("IFERROR(VLOOKUP(E914&amp;F914,IMPORTRANGE(""https://docs.google.com/spreadsheets/d/1Uw7-A9f9R21vMXxHZFNpYNeKFtG8_yji4HS352LGlSQ/edit?pli=1#gid=0"",""1_ACUM!A4:S""),16,FALSE))"),"")</f>
        <v/>
      </c>
      <c r="AH891" s="43" t="str">
        <f ca="1">IFERROR(__xludf.DUMMYFUNCTION("IFERROR(VLOOKUP(E914&amp;F914,IMPORTRANGE(""https://docs.google.com/spreadsheets/d/1Uw7-A9f9R21vMXxHZFNpYNeKFtG8_yji4HS352LGlSQ/edit?pli=1#gid=0"",""1_ACUM!A4:S""),17,FALSE))"),"")</f>
        <v/>
      </c>
      <c r="AI891" s="44" t="str">
        <f ca="1">IFERROR(__xludf.DUMMYFUNCTION("IFERROR(VLOOKUP(E914&amp;F914,IMPORTRANGE(""https://docs.google.com/spreadsheets/d/1Uw7-A9f9R21vMXxHZFNpYNeKFtG8_yji4HS352LGlSQ/edit?pli=1#gid=0"",""1_ACUM!A4:S""),18,FALSE))"),"")</f>
        <v/>
      </c>
      <c r="AJ891" s="44" t="str">
        <f ca="1">IFERROR(__xludf.DUMMYFUNCTION("IFERROR(VLOOKUP(E914&amp;F914,IMPORTRANGE(""https://docs.google.com/spreadsheets/d/1Uw7-A9f9R21vMXxHZFNpYNeKFtG8_yji4HS352LGlSQ/edit?pli=1#gid=0"",""1_ACUM!A4:S""),19,FALSE))"),"")</f>
        <v/>
      </c>
      <c r="AK891" s="98" t="str">
        <f ca="1">IFERROR(__xludf.DUMMYFUNCTION("IFERROR(VLOOKUP(F914,IMPORTRANGE(""https://docs.google.com/spreadsheets/d/1Kvs4KS76FHFqLFIZfrDMff4kP08nblUkihrxltoGBjg/edit#gid=934712705"",""ESENCIAL!A6:BG""),5,FALSE))"),"")</f>
        <v/>
      </c>
      <c r="AL891" s="98" t="str">
        <f t="shared" si="51"/>
        <v/>
      </c>
      <c r="AM891" s="99" t="str">
        <f t="shared" si="52"/>
        <v/>
      </c>
      <c r="AN891" s="100" t="str">
        <f ca="1">IFERROR(__xludf.DUMMYFUNCTION("IFERROR(VLOOKUP(F914,IMPORTRANGE(""https://docs.google.com/spreadsheets/d/1Kvs4KS76FHFqLFIZfrDMff4kP08nblUkihrxltoGBjg/edit#gid=934712705"",""ESENCIAL!A6:BG""),2,FALSE))"),"")</f>
        <v/>
      </c>
      <c r="AO891" s="19" t="str">
        <f t="shared" si="46"/>
        <v/>
      </c>
      <c r="AP891" s="100"/>
      <c r="AQ891" s="100"/>
    </row>
    <row r="892" spans="1:43" ht="15">
      <c r="A892" s="5"/>
      <c r="B892" s="5"/>
      <c r="G892" s="5" t="str">
        <f ca="1">IFERROR(__xludf.DUMMYFUNCTION("IFERROR(VLOOKUP(F915,IMPORTRANGE(""https://docs.google.com/spreadsheets/d/1Kvs4KS76FHFqLFIZfrDMff4kP08nblUkihrxltoGBjg/edit#gid=934712705"",""ESENCIAL!A6:BG""),3,FALSE))"),"")</f>
        <v/>
      </c>
      <c r="H892" s="5" t="str">
        <f ca="1">IFERROR(__xludf.DUMMYFUNCTION("IFERROR(VLOOKUP(F915,IMPORTRANGE(""https://docs.google.com/spreadsheets/d/1Kvs4KS76FHFqLFIZfrDMff4kP08nblUkihrxltoGBjg/edit#gid=934712705"",""ESENCIAL!A6:BG""),8,FALSE))"),"")</f>
        <v/>
      </c>
      <c r="L892" s="40"/>
      <c r="Z892" s="41" t="str">
        <f t="shared" si="50"/>
        <v/>
      </c>
      <c r="AA892" s="5" t="str">
        <f ca="1">IFERROR(__xludf.DUMMYFUNCTION("IFERROR(VLOOKUP(E915&amp;F915,IMPORTRANGE(""https://docs.google.com/spreadsheets/d/1Uw7-A9f9R21vMXxHZFNpYNeKFtG8_yji4HS352LGlSQ/edit?pli=1#gid=0"",""1_ACUM!A4:S""),11,FALSE))"),"")</f>
        <v/>
      </c>
      <c r="AB892" s="42" t="str">
        <f ca="1">IFERROR(__xludf.DUMMYFUNCTION("IFERROR(VLOOKUP(F915,IMPORTRANGE(""https://docs.google.com/spreadsheets/d/1Kvs4KS76FHFqLFIZfrDMff4kP08nblUkihrxltoGBjg/edit#gid=934712705"",""ESENCIAL!A6:BG""),15,FALSE))"),"")</f>
        <v/>
      </c>
      <c r="AC892" s="110" t="str">
        <f ca="1">IFERROR(__xludf.DUMMYFUNCTION("IFERROR(VLOOKUP(E915&amp;F915,IMPORTRANGE(""https://docs.google.com/spreadsheets/d/1Uw7-A9f9R21vMXxHZFNpYNeKFtG8_yji4HS352LGlSQ/edit?pli=1#gid=0"",""1_ACUM!A4:S""),13,FALSE))"),"")</f>
        <v/>
      </c>
      <c r="AD892" s="43" t="str">
        <f ca="1">IFERROR(__xludf.DUMMYFUNCTION("IFERROR(VLOOKUP(E915&amp;F915,IMPORTRANGE(""https://docs.google.com/spreadsheets/d/1Uw7-A9f9R21vMXxHZFNpYNeKFtG8_yji4HS352LGlSQ/edit?pli=1#gid=0"",""1_ACUM!A4:S""),13,FALSE))"),"")</f>
        <v/>
      </c>
      <c r="AE892" s="43" t="str">
        <f ca="1">IFERROR(__xludf.DUMMYFUNCTION("IFERROR(VLOOKUP(E915&amp;F915,IMPORTRANGE(""https://docs.google.com/spreadsheets/d/1Uw7-A9f9R21vMXxHZFNpYNeKFtG8_yji4HS352LGlSQ/edit?pli=1#gid=0"",""1_ACUM!A4:S""),14,FALSE))"),"")</f>
        <v/>
      </c>
      <c r="AF892" s="43" t="str">
        <f ca="1">IFERROR(__xludf.DUMMYFUNCTION("IFERROR(VLOOKUP(E915&amp;F915,IMPORTRANGE(""https://docs.google.com/spreadsheets/d/1Uw7-A9f9R21vMXxHZFNpYNeKFtG8_yji4HS352LGlSQ/edit?pli=1#gid=0"",""1_ACUM!A4:S""),15,FALSE))"),"")</f>
        <v/>
      </c>
      <c r="AG892" s="43" t="str">
        <f ca="1">IFERROR(__xludf.DUMMYFUNCTION("IFERROR(VLOOKUP(E915&amp;F915,IMPORTRANGE(""https://docs.google.com/spreadsheets/d/1Uw7-A9f9R21vMXxHZFNpYNeKFtG8_yji4HS352LGlSQ/edit?pli=1#gid=0"",""1_ACUM!A4:S""),16,FALSE))"),"")</f>
        <v/>
      </c>
      <c r="AH892" s="43" t="str">
        <f ca="1">IFERROR(__xludf.DUMMYFUNCTION("IFERROR(VLOOKUP(E915&amp;F915,IMPORTRANGE(""https://docs.google.com/spreadsheets/d/1Uw7-A9f9R21vMXxHZFNpYNeKFtG8_yji4HS352LGlSQ/edit?pli=1#gid=0"",""1_ACUM!A4:S""),17,FALSE))"),"")</f>
        <v/>
      </c>
      <c r="AI892" s="44" t="str">
        <f ca="1">IFERROR(__xludf.DUMMYFUNCTION("IFERROR(VLOOKUP(E915&amp;F915,IMPORTRANGE(""https://docs.google.com/spreadsheets/d/1Uw7-A9f9R21vMXxHZFNpYNeKFtG8_yji4HS352LGlSQ/edit?pli=1#gid=0"",""1_ACUM!A4:S""),18,FALSE))"),"")</f>
        <v/>
      </c>
      <c r="AJ892" s="44" t="str">
        <f ca="1">IFERROR(__xludf.DUMMYFUNCTION("IFERROR(VLOOKUP(E915&amp;F915,IMPORTRANGE(""https://docs.google.com/spreadsheets/d/1Uw7-A9f9R21vMXxHZFNpYNeKFtG8_yji4HS352LGlSQ/edit?pli=1#gid=0"",""1_ACUM!A4:S""),19,FALSE))"),"")</f>
        <v/>
      </c>
      <c r="AK892" s="98" t="str">
        <f ca="1">IFERROR(__xludf.DUMMYFUNCTION("IFERROR(VLOOKUP(F915,IMPORTRANGE(""https://docs.google.com/spreadsheets/d/1Kvs4KS76FHFqLFIZfrDMff4kP08nblUkihrxltoGBjg/edit#gid=934712705"",""ESENCIAL!A6:BG""),5,FALSE))"),"")</f>
        <v/>
      </c>
      <c r="AL892" s="98" t="str">
        <f t="shared" si="51"/>
        <v/>
      </c>
      <c r="AM892" s="99" t="str">
        <f t="shared" si="52"/>
        <v/>
      </c>
      <c r="AN892" s="100" t="str">
        <f ca="1">IFERROR(__xludf.DUMMYFUNCTION("IFERROR(VLOOKUP(F915,IMPORTRANGE(""https://docs.google.com/spreadsheets/d/1Kvs4KS76FHFqLFIZfrDMff4kP08nblUkihrxltoGBjg/edit#gid=934712705"",""ESENCIAL!A6:BG""),2,FALSE))"),"")</f>
        <v/>
      </c>
      <c r="AO892" s="19" t="str">
        <f t="shared" si="46"/>
        <v/>
      </c>
      <c r="AP892" s="100"/>
      <c r="AQ892" s="100"/>
    </row>
    <row r="893" spans="1:43" ht="15">
      <c r="A893" s="5"/>
      <c r="B893" s="5"/>
      <c r="G893" s="5" t="str">
        <f ca="1">IFERROR(__xludf.DUMMYFUNCTION("IFERROR(VLOOKUP(F916,IMPORTRANGE(""https://docs.google.com/spreadsheets/d/1Kvs4KS76FHFqLFIZfrDMff4kP08nblUkihrxltoGBjg/edit#gid=934712705"",""ESENCIAL!A6:BG""),3,FALSE))"),"")</f>
        <v/>
      </c>
      <c r="H893" s="5" t="str">
        <f ca="1">IFERROR(__xludf.DUMMYFUNCTION("IFERROR(VLOOKUP(F916,IMPORTRANGE(""https://docs.google.com/spreadsheets/d/1Kvs4KS76FHFqLFIZfrDMff4kP08nblUkihrxltoGBjg/edit#gid=934712705"",""ESENCIAL!A6:BG""),8,FALSE))"),"")</f>
        <v/>
      </c>
      <c r="L893" s="40"/>
      <c r="Z893" s="41" t="str">
        <f t="shared" si="50"/>
        <v/>
      </c>
      <c r="AA893" s="5" t="str">
        <f ca="1">IFERROR(__xludf.DUMMYFUNCTION("IFERROR(VLOOKUP(E916&amp;F916,IMPORTRANGE(""https://docs.google.com/spreadsheets/d/1Uw7-A9f9R21vMXxHZFNpYNeKFtG8_yji4HS352LGlSQ/edit?pli=1#gid=0"",""1_ACUM!A4:S""),11,FALSE))"),"")</f>
        <v/>
      </c>
      <c r="AB893" s="42" t="str">
        <f ca="1">IFERROR(__xludf.DUMMYFUNCTION("IFERROR(VLOOKUP(F916,IMPORTRANGE(""https://docs.google.com/spreadsheets/d/1Kvs4KS76FHFqLFIZfrDMff4kP08nblUkihrxltoGBjg/edit#gid=934712705"",""ESENCIAL!A6:BG""),15,FALSE))"),"")</f>
        <v/>
      </c>
      <c r="AC893" s="110" t="str">
        <f ca="1">IFERROR(__xludf.DUMMYFUNCTION("IFERROR(VLOOKUP(E916&amp;F916,IMPORTRANGE(""https://docs.google.com/spreadsheets/d/1Uw7-A9f9R21vMXxHZFNpYNeKFtG8_yji4HS352LGlSQ/edit?pli=1#gid=0"",""1_ACUM!A4:S""),13,FALSE))"),"")</f>
        <v/>
      </c>
      <c r="AD893" s="43" t="str">
        <f ca="1">IFERROR(__xludf.DUMMYFUNCTION("IFERROR(VLOOKUP(E916&amp;F916,IMPORTRANGE(""https://docs.google.com/spreadsheets/d/1Uw7-A9f9R21vMXxHZFNpYNeKFtG8_yji4HS352LGlSQ/edit?pli=1#gid=0"",""1_ACUM!A4:S""),13,FALSE))"),"")</f>
        <v/>
      </c>
      <c r="AE893" s="43" t="str">
        <f ca="1">IFERROR(__xludf.DUMMYFUNCTION("IFERROR(VLOOKUP(E916&amp;F916,IMPORTRANGE(""https://docs.google.com/spreadsheets/d/1Uw7-A9f9R21vMXxHZFNpYNeKFtG8_yji4HS352LGlSQ/edit?pli=1#gid=0"",""1_ACUM!A4:S""),14,FALSE))"),"")</f>
        <v/>
      </c>
      <c r="AF893" s="43" t="str">
        <f ca="1">IFERROR(__xludf.DUMMYFUNCTION("IFERROR(VLOOKUP(E916&amp;F916,IMPORTRANGE(""https://docs.google.com/spreadsheets/d/1Uw7-A9f9R21vMXxHZFNpYNeKFtG8_yji4HS352LGlSQ/edit?pli=1#gid=0"",""1_ACUM!A4:S""),15,FALSE))"),"")</f>
        <v/>
      </c>
      <c r="AG893" s="43" t="str">
        <f ca="1">IFERROR(__xludf.DUMMYFUNCTION("IFERROR(VLOOKUP(E916&amp;F916,IMPORTRANGE(""https://docs.google.com/spreadsheets/d/1Uw7-A9f9R21vMXxHZFNpYNeKFtG8_yji4HS352LGlSQ/edit?pli=1#gid=0"",""1_ACUM!A4:S""),16,FALSE))"),"")</f>
        <v/>
      </c>
      <c r="AH893" s="43" t="str">
        <f ca="1">IFERROR(__xludf.DUMMYFUNCTION("IFERROR(VLOOKUP(E916&amp;F916,IMPORTRANGE(""https://docs.google.com/spreadsheets/d/1Uw7-A9f9R21vMXxHZFNpYNeKFtG8_yji4HS352LGlSQ/edit?pli=1#gid=0"",""1_ACUM!A4:S""),17,FALSE))"),"")</f>
        <v/>
      </c>
      <c r="AI893" s="44" t="str">
        <f ca="1">IFERROR(__xludf.DUMMYFUNCTION("IFERROR(VLOOKUP(E916&amp;F916,IMPORTRANGE(""https://docs.google.com/spreadsheets/d/1Uw7-A9f9R21vMXxHZFNpYNeKFtG8_yji4HS352LGlSQ/edit?pli=1#gid=0"",""1_ACUM!A4:S""),18,FALSE))"),"")</f>
        <v/>
      </c>
      <c r="AJ893" s="44" t="str">
        <f ca="1">IFERROR(__xludf.DUMMYFUNCTION("IFERROR(VLOOKUP(E916&amp;F916,IMPORTRANGE(""https://docs.google.com/spreadsheets/d/1Uw7-A9f9R21vMXxHZFNpYNeKFtG8_yji4HS352LGlSQ/edit?pli=1#gid=0"",""1_ACUM!A4:S""),19,FALSE))"),"")</f>
        <v/>
      </c>
      <c r="AK893" s="98" t="str">
        <f ca="1">IFERROR(__xludf.DUMMYFUNCTION("IFERROR(VLOOKUP(F916,IMPORTRANGE(""https://docs.google.com/spreadsheets/d/1Kvs4KS76FHFqLFIZfrDMff4kP08nblUkihrxltoGBjg/edit#gid=934712705"",""ESENCIAL!A6:BG""),5,FALSE))"),"")</f>
        <v/>
      </c>
      <c r="AL893" s="98" t="str">
        <f t="shared" si="51"/>
        <v/>
      </c>
      <c r="AM893" s="99" t="str">
        <f t="shared" si="52"/>
        <v/>
      </c>
      <c r="AN893" s="100" t="str">
        <f ca="1">IFERROR(__xludf.DUMMYFUNCTION("IFERROR(VLOOKUP(F916,IMPORTRANGE(""https://docs.google.com/spreadsheets/d/1Kvs4KS76FHFqLFIZfrDMff4kP08nblUkihrxltoGBjg/edit#gid=934712705"",""ESENCIAL!A6:BG""),2,FALSE))"),"")</f>
        <v/>
      </c>
      <c r="AO893" s="19" t="str">
        <f t="shared" si="46"/>
        <v/>
      </c>
      <c r="AP893" s="100"/>
      <c r="AQ893" s="100"/>
    </row>
    <row r="894" spans="1:43" ht="15">
      <c r="A894" s="5"/>
      <c r="B894" s="5"/>
      <c r="G894" s="5" t="str">
        <f ca="1">IFERROR(__xludf.DUMMYFUNCTION("IFERROR(VLOOKUP(F917,IMPORTRANGE(""https://docs.google.com/spreadsheets/d/1Kvs4KS76FHFqLFIZfrDMff4kP08nblUkihrxltoGBjg/edit#gid=934712705"",""ESENCIAL!A6:BG""),3,FALSE))"),"")</f>
        <v/>
      </c>
      <c r="H894" s="5" t="str">
        <f ca="1">IFERROR(__xludf.DUMMYFUNCTION("IFERROR(VLOOKUP(F917,IMPORTRANGE(""https://docs.google.com/spreadsheets/d/1Kvs4KS76FHFqLFIZfrDMff4kP08nblUkihrxltoGBjg/edit#gid=934712705"",""ESENCIAL!A6:BG""),8,FALSE))"),"")</f>
        <v/>
      </c>
      <c r="L894" s="40"/>
      <c r="Z894" s="41" t="str">
        <f t="shared" si="50"/>
        <v/>
      </c>
      <c r="AA894" s="5" t="str">
        <f ca="1">IFERROR(__xludf.DUMMYFUNCTION("IFERROR(VLOOKUP(E917&amp;F917,IMPORTRANGE(""https://docs.google.com/spreadsheets/d/1Uw7-A9f9R21vMXxHZFNpYNeKFtG8_yji4HS352LGlSQ/edit?pli=1#gid=0"",""1_ACUM!A4:S""),11,FALSE))"),"")</f>
        <v/>
      </c>
      <c r="AB894" s="42" t="str">
        <f ca="1">IFERROR(__xludf.DUMMYFUNCTION("IFERROR(VLOOKUP(F917,IMPORTRANGE(""https://docs.google.com/spreadsheets/d/1Kvs4KS76FHFqLFIZfrDMff4kP08nblUkihrxltoGBjg/edit#gid=934712705"",""ESENCIAL!A6:BG""),15,FALSE))"),"")</f>
        <v/>
      </c>
      <c r="AC894" s="110" t="str">
        <f ca="1">IFERROR(__xludf.DUMMYFUNCTION("IFERROR(VLOOKUP(E917&amp;F917,IMPORTRANGE(""https://docs.google.com/spreadsheets/d/1Uw7-A9f9R21vMXxHZFNpYNeKFtG8_yji4HS352LGlSQ/edit?pli=1#gid=0"",""1_ACUM!A4:S""),13,FALSE))"),"")</f>
        <v/>
      </c>
      <c r="AD894" s="43" t="str">
        <f ca="1">IFERROR(__xludf.DUMMYFUNCTION("IFERROR(VLOOKUP(E917&amp;F917,IMPORTRANGE(""https://docs.google.com/spreadsheets/d/1Uw7-A9f9R21vMXxHZFNpYNeKFtG8_yji4HS352LGlSQ/edit?pli=1#gid=0"",""1_ACUM!A4:S""),13,FALSE))"),"")</f>
        <v/>
      </c>
      <c r="AE894" s="43" t="str">
        <f ca="1">IFERROR(__xludf.DUMMYFUNCTION("IFERROR(VLOOKUP(E917&amp;F917,IMPORTRANGE(""https://docs.google.com/spreadsheets/d/1Uw7-A9f9R21vMXxHZFNpYNeKFtG8_yji4HS352LGlSQ/edit?pli=1#gid=0"",""1_ACUM!A4:S""),14,FALSE))"),"")</f>
        <v/>
      </c>
      <c r="AF894" s="43" t="str">
        <f ca="1">IFERROR(__xludf.DUMMYFUNCTION("IFERROR(VLOOKUP(E917&amp;F917,IMPORTRANGE(""https://docs.google.com/spreadsheets/d/1Uw7-A9f9R21vMXxHZFNpYNeKFtG8_yji4HS352LGlSQ/edit?pli=1#gid=0"",""1_ACUM!A4:S""),15,FALSE))"),"")</f>
        <v/>
      </c>
      <c r="AG894" s="43" t="str">
        <f ca="1">IFERROR(__xludf.DUMMYFUNCTION("IFERROR(VLOOKUP(E917&amp;F917,IMPORTRANGE(""https://docs.google.com/spreadsheets/d/1Uw7-A9f9R21vMXxHZFNpYNeKFtG8_yji4HS352LGlSQ/edit?pli=1#gid=0"",""1_ACUM!A4:S""),16,FALSE))"),"")</f>
        <v/>
      </c>
      <c r="AH894" s="43" t="str">
        <f ca="1">IFERROR(__xludf.DUMMYFUNCTION("IFERROR(VLOOKUP(E917&amp;F917,IMPORTRANGE(""https://docs.google.com/spreadsheets/d/1Uw7-A9f9R21vMXxHZFNpYNeKFtG8_yji4HS352LGlSQ/edit?pli=1#gid=0"",""1_ACUM!A4:S""),17,FALSE))"),"")</f>
        <v/>
      </c>
      <c r="AI894" s="44" t="str">
        <f ca="1">IFERROR(__xludf.DUMMYFUNCTION("IFERROR(VLOOKUP(E917&amp;F917,IMPORTRANGE(""https://docs.google.com/spreadsheets/d/1Uw7-A9f9R21vMXxHZFNpYNeKFtG8_yji4HS352LGlSQ/edit?pli=1#gid=0"",""1_ACUM!A4:S""),18,FALSE))"),"")</f>
        <v/>
      </c>
      <c r="AJ894" s="44" t="str">
        <f ca="1">IFERROR(__xludf.DUMMYFUNCTION("IFERROR(VLOOKUP(E917&amp;F917,IMPORTRANGE(""https://docs.google.com/spreadsheets/d/1Uw7-A9f9R21vMXxHZFNpYNeKFtG8_yji4HS352LGlSQ/edit?pli=1#gid=0"",""1_ACUM!A4:S""),19,FALSE))"),"")</f>
        <v/>
      </c>
      <c r="AK894" s="98" t="str">
        <f ca="1">IFERROR(__xludf.DUMMYFUNCTION("IFERROR(VLOOKUP(F917,IMPORTRANGE(""https://docs.google.com/spreadsheets/d/1Kvs4KS76FHFqLFIZfrDMff4kP08nblUkihrxltoGBjg/edit#gid=934712705"",""ESENCIAL!A6:BG""),5,FALSE))"),"")</f>
        <v/>
      </c>
      <c r="AL894" s="98" t="str">
        <f t="shared" si="51"/>
        <v/>
      </c>
      <c r="AM894" s="99" t="str">
        <f t="shared" si="52"/>
        <v/>
      </c>
      <c r="AN894" s="100" t="str">
        <f ca="1">IFERROR(__xludf.DUMMYFUNCTION("IFERROR(VLOOKUP(F917,IMPORTRANGE(""https://docs.google.com/spreadsheets/d/1Kvs4KS76FHFqLFIZfrDMff4kP08nblUkihrxltoGBjg/edit#gid=934712705"",""ESENCIAL!A6:BG""),2,FALSE))"),"")</f>
        <v/>
      </c>
      <c r="AO894" s="19" t="str">
        <f t="shared" si="46"/>
        <v/>
      </c>
      <c r="AP894" s="100"/>
      <c r="AQ894" s="100"/>
    </row>
    <row r="895" spans="1:43" ht="15">
      <c r="A895" s="5"/>
      <c r="B895" s="5"/>
      <c r="G895" s="5" t="str">
        <f ca="1">IFERROR(__xludf.DUMMYFUNCTION("IFERROR(VLOOKUP(F918,IMPORTRANGE(""https://docs.google.com/spreadsheets/d/1Kvs4KS76FHFqLFIZfrDMff4kP08nblUkihrxltoGBjg/edit#gid=934712705"",""ESENCIAL!A6:BG""),3,FALSE))"),"")</f>
        <v/>
      </c>
      <c r="H895" s="5" t="str">
        <f ca="1">IFERROR(__xludf.DUMMYFUNCTION("IFERROR(VLOOKUP(F918,IMPORTRANGE(""https://docs.google.com/spreadsheets/d/1Kvs4KS76FHFqLFIZfrDMff4kP08nblUkihrxltoGBjg/edit#gid=934712705"",""ESENCIAL!A6:BG""),8,FALSE))"),"")</f>
        <v/>
      </c>
      <c r="L895" s="40"/>
      <c r="Z895" s="41" t="str">
        <f t="shared" si="50"/>
        <v/>
      </c>
      <c r="AA895" s="5" t="str">
        <f ca="1">IFERROR(__xludf.DUMMYFUNCTION("IFERROR(VLOOKUP(E918&amp;F918,IMPORTRANGE(""https://docs.google.com/spreadsheets/d/1Uw7-A9f9R21vMXxHZFNpYNeKFtG8_yji4HS352LGlSQ/edit?pli=1#gid=0"",""1_ACUM!A4:S""),11,FALSE))"),"")</f>
        <v/>
      </c>
      <c r="AB895" s="42" t="str">
        <f ca="1">IFERROR(__xludf.DUMMYFUNCTION("IFERROR(VLOOKUP(F918,IMPORTRANGE(""https://docs.google.com/spreadsheets/d/1Kvs4KS76FHFqLFIZfrDMff4kP08nblUkihrxltoGBjg/edit#gid=934712705"",""ESENCIAL!A6:BG""),15,FALSE))"),"")</f>
        <v/>
      </c>
      <c r="AC895" s="110" t="str">
        <f ca="1">IFERROR(__xludf.DUMMYFUNCTION("IFERROR(VLOOKUP(E918&amp;F918,IMPORTRANGE(""https://docs.google.com/spreadsheets/d/1Uw7-A9f9R21vMXxHZFNpYNeKFtG8_yji4HS352LGlSQ/edit?pli=1#gid=0"",""1_ACUM!A4:S""),13,FALSE))"),"")</f>
        <v/>
      </c>
      <c r="AD895" s="43" t="str">
        <f ca="1">IFERROR(__xludf.DUMMYFUNCTION("IFERROR(VLOOKUP(E918&amp;F918,IMPORTRANGE(""https://docs.google.com/spreadsheets/d/1Uw7-A9f9R21vMXxHZFNpYNeKFtG8_yji4HS352LGlSQ/edit?pli=1#gid=0"",""1_ACUM!A4:S""),13,FALSE))"),"")</f>
        <v/>
      </c>
      <c r="AE895" s="43" t="str">
        <f ca="1">IFERROR(__xludf.DUMMYFUNCTION("IFERROR(VLOOKUP(E918&amp;F918,IMPORTRANGE(""https://docs.google.com/spreadsheets/d/1Uw7-A9f9R21vMXxHZFNpYNeKFtG8_yji4HS352LGlSQ/edit?pli=1#gid=0"",""1_ACUM!A4:S""),14,FALSE))"),"")</f>
        <v/>
      </c>
      <c r="AF895" s="43" t="str">
        <f ca="1">IFERROR(__xludf.DUMMYFUNCTION("IFERROR(VLOOKUP(E918&amp;F918,IMPORTRANGE(""https://docs.google.com/spreadsheets/d/1Uw7-A9f9R21vMXxHZFNpYNeKFtG8_yji4HS352LGlSQ/edit?pli=1#gid=0"",""1_ACUM!A4:S""),15,FALSE))"),"")</f>
        <v/>
      </c>
      <c r="AG895" s="43" t="str">
        <f ca="1">IFERROR(__xludf.DUMMYFUNCTION("IFERROR(VLOOKUP(E918&amp;F918,IMPORTRANGE(""https://docs.google.com/spreadsheets/d/1Uw7-A9f9R21vMXxHZFNpYNeKFtG8_yji4HS352LGlSQ/edit?pli=1#gid=0"",""1_ACUM!A4:S""),16,FALSE))"),"")</f>
        <v/>
      </c>
      <c r="AH895" s="43" t="str">
        <f ca="1">IFERROR(__xludf.DUMMYFUNCTION("IFERROR(VLOOKUP(E918&amp;F918,IMPORTRANGE(""https://docs.google.com/spreadsheets/d/1Uw7-A9f9R21vMXxHZFNpYNeKFtG8_yji4HS352LGlSQ/edit?pli=1#gid=0"",""1_ACUM!A4:S""),17,FALSE))"),"")</f>
        <v/>
      </c>
      <c r="AI895" s="44" t="str">
        <f ca="1">IFERROR(__xludf.DUMMYFUNCTION("IFERROR(VLOOKUP(E918&amp;F918,IMPORTRANGE(""https://docs.google.com/spreadsheets/d/1Uw7-A9f9R21vMXxHZFNpYNeKFtG8_yji4HS352LGlSQ/edit?pli=1#gid=0"",""1_ACUM!A4:S""),18,FALSE))"),"")</f>
        <v/>
      </c>
      <c r="AJ895" s="44" t="str">
        <f ca="1">IFERROR(__xludf.DUMMYFUNCTION("IFERROR(VLOOKUP(E918&amp;F918,IMPORTRANGE(""https://docs.google.com/spreadsheets/d/1Uw7-A9f9R21vMXxHZFNpYNeKFtG8_yji4HS352LGlSQ/edit?pli=1#gid=0"",""1_ACUM!A4:S""),19,FALSE))"),"")</f>
        <v/>
      </c>
      <c r="AK895" s="98" t="str">
        <f ca="1">IFERROR(__xludf.DUMMYFUNCTION("IFERROR(VLOOKUP(F918,IMPORTRANGE(""https://docs.google.com/spreadsheets/d/1Kvs4KS76FHFqLFIZfrDMff4kP08nblUkihrxltoGBjg/edit#gid=934712705"",""ESENCIAL!A6:BG""),5,FALSE))"),"")</f>
        <v/>
      </c>
      <c r="AL895" s="98" t="str">
        <f t="shared" si="51"/>
        <v/>
      </c>
      <c r="AM895" s="99" t="str">
        <f t="shared" si="52"/>
        <v/>
      </c>
      <c r="AN895" s="100" t="str">
        <f ca="1">IFERROR(__xludf.DUMMYFUNCTION("IFERROR(VLOOKUP(F918,IMPORTRANGE(""https://docs.google.com/spreadsheets/d/1Kvs4KS76FHFqLFIZfrDMff4kP08nblUkihrxltoGBjg/edit#gid=934712705"",""ESENCIAL!A6:BG""),2,FALSE))"),"")</f>
        <v/>
      </c>
      <c r="AO895" s="19" t="str">
        <f t="shared" si="46"/>
        <v/>
      </c>
      <c r="AP895" s="100"/>
      <c r="AQ895" s="100"/>
    </row>
    <row r="896" spans="1:43" ht="15">
      <c r="A896" s="5"/>
      <c r="B896" s="5"/>
      <c r="G896" s="5" t="str">
        <f ca="1">IFERROR(__xludf.DUMMYFUNCTION("IFERROR(VLOOKUP(F919,IMPORTRANGE(""https://docs.google.com/spreadsheets/d/1Kvs4KS76FHFqLFIZfrDMff4kP08nblUkihrxltoGBjg/edit#gid=934712705"",""ESENCIAL!A6:BG""),3,FALSE))"),"")</f>
        <v/>
      </c>
      <c r="H896" s="5" t="str">
        <f ca="1">IFERROR(__xludf.DUMMYFUNCTION("IFERROR(VLOOKUP(F919,IMPORTRANGE(""https://docs.google.com/spreadsheets/d/1Kvs4KS76FHFqLFIZfrDMff4kP08nblUkihrxltoGBjg/edit#gid=934712705"",""ESENCIAL!A6:BG""),8,FALSE))"),"")</f>
        <v/>
      </c>
      <c r="L896" s="40"/>
      <c r="Z896" s="41" t="str">
        <f t="shared" si="50"/>
        <v/>
      </c>
      <c r="AA896" s="5" t="str">
        <f ca="1">IFERROR(__xludf.DUMMYFUNCTION("IFERROR(VLOOKUP(E919&amp;F919,IMPORTRANGE(""https://docs.google.com/spreadsheets/d/1Uw7-A9f9R21vMXxHZFNpYNeKFtG8_yji4HS352LGlSQ/edit?pli=1#gid=0"",""1_ACUM!A4:S""),11,FALSE))"),"")</f>
        <v/>
      </c>
      <c r="AB896" s="42" t="str">
        <f ca="1">IFERROR(__xludf.DUMMYFUNCTION("IFERROR(VLOOKUP(F919,IMPORTRANGE(""https://docs.google.com/spreadsheets/d/1Kvs4KS76FHFqLFIZfrDMff4kP08nblUkihrxltoGBjg/edit#gid=934712705"",""ESENCIAL!A6:BG""),15,FALSE))"),"")</f>
        <v/>
      </c>
      <c r="AC896" s="110" t="str">
        <f ca="1">IFERROR(__xludf.DUMMYFUNCTION("IFERROR(VLOOKUP(E919&amp;F919,IMPORTRANGE(""https://docs.google.com/spreadsheets/d/1Uw7-A9f9R21vMXxHZFNpYNeKFtG8_yji4HS352LGlSQ/edit?pli=1#gid=0"",""1_ACUM!A4:S""),13,FALSE))"),"")</f>
        <v/>
      </c>
      <c r="AD896" s="43" t="str">
        <f ca="1">IFERROR(__xludf.DUMMYFUNCTION("IFERROR(VLOOKUP(E919&amp;F919,IMPORTRANGE(""https://docs.google.com/spreadsheets/d/1Uw7-A9f9R21vMXxHZFNpYNeKFtG8_yji4HS352LGlSQ/edit?pli=1#gid=0"",""1_ACUM!A4:S""),13,FALSE))"),"")</f>
        <v/>
      </c>
      <c r="AE896" s="43" t="str">
        <f ca="1">IFERROR(__xludf.DUMMYFUNCTION("IFERROR(VLOOKUP(E919&amp;F919,IMPORTRANGE(""https://docs.google.com/spreadsheets/d/1Uw7-A9f9R21vMXxHZFNpYNeKFtG8_yji4HS352LGlSQ/edit?pli=1#gid=0"",""1_ACUM!A4:S""),14,FALSE))"),"")</f>
        <v/>
      </c>
      <c r="AF896" s="43" t="str">
        <f ca="1">IFERROR(__xludf.DUMMYFUNCTION("IFERROR(VLOOKUP(E919&amp;F919,IMPORTRANGE(""https://docs.google.com/spreadsheets/d/1Uw7-A9f9R21vMXxHZFNpYNeKFtG8_yji4HS352LGlSQ/edit?pli=1#gid=0"",""1_ACUM!A4:S""),15,FALSE))"),"")</f>
        <v/>
      </c>
      <c r="AG896" s="43" t="str">
        <f ca="1">IFERROR(__xludf.DUMMYFUNCTION("IFERROR(VLOOKUP(E919&amp;F919,IMPORTRANGE(""https://docs.google.com/spreadsheets/d/1Uw7-A9f9R21vMXxHZFNpYNeKFtG8_yji4HS352LGlSQ/edit?pli=1#gid=0"",""1_ACUM!A4:S""),16,FALSE))"),"")</f>
        <v/>
      </c>
      <c r="AH896" s="43" t="str">
        <f ca="1">IFERROR(__xludf.DUMMYFUNCTION("IFERROR(VLOOKUP(E919&amp;F919,IMPORTRANGE(""https://docs.google.com/spreadsheets/d/1Uw7-A9f9R21vMXxHZFNpYNeKFtG8_yji4HS352LGlSQ/edit?pli=1#gid=0"",""1_ACUM!A4:S""),17,FALSE))"),"")</f>
        <v/>
      </c>
      <c r="AI896" s="44" t="str">
        <f ca="1">IFERROR(__xludf.DUMMYFUNCTION("IFERROR(VLOOKUP(E919&amp;F919,IMPORTRANGE(""https://docs.google.com/spreadsheets/d/1Uw7-A9f9R21vMXxHZFNpYNeKFtG8_yji4HS352LGlSQ/edit?pli=1#gid=0"",""1_ACUM!A4:S""),18,FALSE))"),"")</f>
        <v/>
      </c>
      <c r="AJ896" s="44" t="str">
        <f ca="1">IFERROR(__xludf.DUMMYFUNCTION("IFERROR(VLOOKUP(E919&amp;F919,IMPORTRANGE(""https://docs.google.com/spreadsheets/d/1Uw7-A9f9R21vMXxHZFNpYNeKFtG8_yji4HS352LGlSQ/edit?pli=1#gid=0"",""1_ACUM!A4:S""),19,FALSE))"),"")</f>
        <v/>
      </c>
      <c r="AK896" s="98" t="str">
        <f ca="1">IFERROR(__xludf.DUMMYFUNCTION("IFERROR(VLOOKUP(F919,IMPORTRANGE(""https://docs.google.com/spreadsheets/d/1Kvs4KS76FHFqLFIZfrDMff4kP08nblUkihrxltoGBjg/edit#gid=934712705"",""ESENCIAL!A6:BG""),5,FALSE))"),"")</f>
        <v/>
      </c>
      <c r="AL896" s="98" t="str">
        <f t="shared" si="51"/>
        <v/>
      </c>
      <c r="AM896" s="99" t="str">
        <f t="shared" si="52"/>
        <v/>
      </c>
      <c r="AN896" s="100" t="str">
        <f ca="1">IFERROR(__xludf.DUMMYFUNCTION("IFERROR(VLOOKUP(F919,IMPORTRANGE(""https://docs.google.com/spreadsheets/d/1Kvs4KS76FHFqLFIZfrDMff4kP08nblUkihrxltoGBjg/edit#gid=934712705"",""ESENCIAL!A6:BG""),2,FALSE))"),"")</f>
        <v/>
      </c>
      <c r="AO896" s="19" t="str">
        <f t="shared" si="46"/>
        <v/>
      </c>
      <c r="AP896" s="100"/>
      <c r="AQ896" s="100"/>
    </row>
    <row r="897" spans="1:43" ht="15">
      <c r="A897" s="5"/>
      <c r="B897" s="5"/>
      <c r="G897" s="5" t="str">
        <f ca="1">IFERROR(__xludf.DUMMYFUNCTION("IFERROR(VLOOKUP(F920,IMPORTRANGE(""https://docs.google.com/spreadsheets/d/1Kvs4KS76FHFqLFIZfrDMff4kP08nblUkihrxltoGBjg/edit#gid=934712705"",""ESENCIAL!A6:BG""),3,FALSE))"),"")</f>
        <v/>
      </c>
      <c r="H897" s="5" t="str">
        <f ca="1">IFERROR(__xludf.DUMMYFUNCTION("IFERROR(VLOOKUP(F920,IMPORTRANGE(""https://docs.google.com/spreadsheets/d/1Kvs4KS76FHFqLFIZfrDMff4kP08nblUkihrxltoGBjg/edit#gid=934712705"",""ESENCIAL!A6:BG""),8,FALSE))"),"")</f>
        <v/>
      </c>
      <c r="L897" s="40"/>
      <c r="Z897" s="41" t="str">
        <f t="shared" si="50"/>
        <v/>
      </c>
      <c r="AA897" s="5" t="str">
        <f ca="1">IFERROR(__xludf.DUMMYFUNCTION("IFERROR(VLOOKUP(E920&amp;F920,IMPORTRANGE(""https://docs.google.com/spreadsheets/d/1Uw7-A9f9R21vMXxHZFNpYNeKFtG8_yji4HS352LGlSQ/edit?pli=1#gid=0"",""1_ACUM!A4:S""),11,FALSE))"),"")</f>
        <v/>
      </c>
      <c r="AB897" s="42" t="str">
        <f ca="1">IFERROR(__xludf.DUMMYFUNCTION("IFERROR(VLOOKUP(F920,IMPORTRANGE(""https://docs.google.com/spreadsheets/d/1Kvs4KS76FHFqLFIZfrDMff4kP08nblUkihrxltoGBjg/edit#gid=934712705"",""ESENCIAL!A6:BG""),15,FALSE))"),"")</f>
        <v/>
      </c>
      <c r="AC897" s="110" t="str">
        <f ca="1">IFERROR(__xludf.DUMMYFUNCTION("IFERROR(VLOOKUP(E920&amp;F920,IMPORTRANGE(""https://docs.google.com/spreadsheets/d/1Uw7-A9f9R21vMXxHZFNpYNeKFtG8_yji4HS352LGlSQ/edit?pli=1#gid=0"",""1_ACUM!A4:S""),13,FALSE))"),"")</f>
        <v/>
      </c>
      <c r="AD897" s="43" t="str">
        <f ca="1">IFERROR(__xludf.DUMMYFUNCTION("IFERROR(VLOOKUP(E920&amp;F920,IMPORTRANGE(""https://docs.google.com/spreadsheets/d/1Uw7-A9f9R21vMXxHZFNpYNeKFtG8_yji4HS352LGlSQ/edit?pli=1#gid=0"",""1_ACUM!A4:S""),13,FALSE))"),"")</f>
        <v/>
      </c>
      <c r="AE897" s="43" t="str">
        <f ca="1">IFERROR(__xludf.DUMMYFUNCTION("IFERROR(VLOOKUP(E920&amp;F920,IMPORTRANGE(""https://docs.google.com/spreadsheets/d/1Uw7-A9f9R21vMXxHZFNpYNeKFtG8_yji4HS352LGlSQ/edit?pli=1#gid=0"",""1_ACUM!A4:S""),14,FALSE))"),"")</f>
        <v/>
      </c>
      <c r="AF897" s="43" t="str">
        <f ca="1">IFERROR(__xludf.DUMMYFUNCTION("IFERROR(VLOOKUP(E920&amp;F920,IMPORTRANGE(""https://docs.google.com/spreadsheets/d/1Uw7-A9f9R21vMXxHZFNpYNeKFtG8_yji4HS352LGlSQ/edit?pli=1#gid=0"",""1_ACUM!A4:S""),15,FALSE))"),"")</f>
        <v/>
      </c>
      <c r="AG897" s="43" t="str">
        <f ca="1">IFERROR(__xludf.DUMMYFUNCTION("IFERROR(VLOOKUP(E920&amp;F920,IMPORTRANGE(""https://docs.google.com/spreadsheets/d/1Uw7-A9f9R21vMXxHZFNpYNeKFtG8_yji4HS352LGlSQ/edit?pli=1#gid=0"",""1_ACUM!A4:S""),16,FALSE))"),"")</f>
        <v/>
      </c>
      <c r="AH897" s="43" t="str">
        <f ca="1">IFERROR(__xludf.DUMMYFUNCTION("IFERROR(VLOOKUP(E920&amp;F920,IMPORTRANGE(""https://docs.google.com/spreadsheets/d/1Uw7-A9f9R21vMXxHZFNpYNeKFtG8_yji4HS352LGlSQ/edit?pli=1#gid=0"",""1_ACUM!A4:S""),17,FALSE))"),"")</f>
        <v/>
      </c>
      <c r="AI897" s="44" t="str">
        <f ca="1">IFERROR(__xludf.DUMMYFUNCTION("IFERROR(VLOOKUP(E920&amp;F920,IMPORTRANGE(""https://docs.google.com/spreadsheets/d/1Uw7-A9f9R21vMXxHZFNpYNeKFtG8_yji4HS352LGlSQ/edit?pli=1#gid=0"",""1_ACUM!A4:S""),18,FALSE))"),"")</f>
        <v/>
      </c>
      <c r="AJ897" s="44" t="str">
        <f ca="1">IFERROR(__xludf.DUMMYFUNCTION("IFERROR(VLOOKUP(E920&amp;F920,IMPORTRANGE(""https://docs.google.com/spreadsheets/d/1Uw7-A9f9R21vMXxHZFNpYNeKFtG8_yji4HS352LGlSQ/edit?pli=1#gid=0"",""1_ACUM!A4:S""),19,FALSE))"),"")</f>
        <v/>
      </c>
      <c r="AK897" s="98" t="str">
        <f ca="1">IFERROR(__xludf.DUMMYFUNCTION("IFERROR(VLOOKUP(F920,IMPORTRANGE(""https://docs.google.com/spreadsheets/d/1Kvs4KS76FHFqLFIZfrDMff4kP08nblUkihrxltoGBjg/edit#gid=934712705"",""ESENCIAL!A6:BG""),5,FALSE))"),"")</f>
        <v/>
      </c>
      <c r="AL897" s="98" t="str">
        <f t="shared" si="51"/>
        <v/>
      </c>
      <c r="AM897" s="99" t="str">
        <f t="shared" si="52"/>
        <v/>
      </c>
      <c r="AN897" s="100" t="str">
        <f ca="1">IFERROR(__xludf.DUMMYFUNCTION("IFERROR(VLOOKUP(F920,IMPORTRANGE(""https://docs.google.com/spreadsheets/d/1Kvs4KS76FHFqLFIZfrDMff4kP08nblUkihrxltoGBjg/edit#gid=934712705"",""ESENCIAL!A6:BG""),2,FALSE))"),"")</f>
        <v/>
      </c>
      <c r="AO897" s="19" t="str">
        <f t="shared" si="46"/>
        <v/>
      </c>
      <c r="AP897" s="100"/>
      <c r="AQ897" s="100"/>
    </row>
    <row r="898" spans="1:43" ht="15">
      <c r="A898" s="5"/>
      <c r="B898" s="5"/>
      <c r="G898" s="5" t="str">
        <f ca="1">IFERROR(__xludf.DUMMYFUNCTION("IFERROR(VLOOKUP(F921,IMPORTRANGE(""https://docs.google.com/spreadsheets/d/1Kvs4KS76FHFqLFIZfrDMff4kP08nblUkihrxltoGBjg/edit#gid=934712705"",""ESENCIAL!A6:BG""),3,FALSE))"),"")</f>
        <v/>
      </c>
      <c r="H898" s="5" t="str">
        <f ca="1">IFERROR(__xludf.DUMMYFUNCTION("IFERROR(VLOOKUP(F921,IMPORTRANGE(""https://docs.google.com/spreadsheets/d/1Kvs4KS76FHFqLFIZfrDMff4kP08nblUkihrxltoGBjg/edit#gid=934712705"",""ESENCIAL!A6:BG""),8,FALSE))"),"")</f>
        <v/>
      </c>
      <c r="L898" s="40"/>
      <c r="Z898" s="41" t="str">
        <f t="shared" ref="Z898:Z941" si="53">IF(E898&gt;0,IF(AND(AH898=1,AE898=1),"Procede_E_P","NO_CUMPLE"),"")</f>
        <v/>
      </c>
      <c r="AA898" s="5" t="str">
        <f ca="1">IFERROR(__xludf.DUMMYFUNCTION("IFERROR(VLOOKUP(E921&amp;F921,IMPORTRANGE(""https://docs.google.com/spreadsheets/d/1Uw7-A9f9R21vMXxHZFNpYNeKFtG8_yji4HS352LGlSQ/edit?pli=1#gid=0"",""1_ACUM!A4:S""),11,FALSE))"),"")</f>
        <v/>
      </c>
      <c r="AB898" s="42" t="str">
        <f ca="1">IFERROR(__xludf.DUMMYFUNCTION("IFERROR(VLOOKUP(F921,IMPORTRANGE(""https://docs.google.com/spreadsheets/d/1Kvs4KS76FHFqLFIZfrDMff4kP08nblUkihrxltoGBjg/edit#gid=934712705"",""ESENCIAL!A6:BG""),15,FALSE))"),"")</f>
        <v/>
      </c>
      <c r="AC898" s="110" t="str">
        <f ca="1">IFERROR(__xludf.DUMMYFUNCTION("IFERROR(VLOOKUP(E921&amp;F921,IMPORTRANGE(""https://docs.google.com/spreadsheets/d/1Uw7-A9f9R21vMXxHZFNpYNeKFtG8_yji4HS352LGlSQ/edit?pli=1#gid=0"",""1_ACUM!A4:S""),13,FALSE))"),"")</f>
        <v/>
      </c>
      <c r="AD898" s="43" t="str">
        <f ca="1">IFERROR(__xludf.DUMMYFUNCTION("IFERROR(VLOOKUP(E921&amp;F921,IMPORTRANGE(""https://docs.google.com/spreadsheets/d/1Uw7-A9f9R21vMXxHZFNpYNeKFtG8_yji4HS352LGlSQ/edit?pli=1#gid=0"",""1_ACUM!A4:S""),13,FALSE))"),"")</f>
        <v/>
      </c>
      <c r="AE898" s="43" t="str">
        <f ca="1">IFERROR(__xludf.DUMMYFUNCTION("IFERROR(VLOOKUP(E921&amp;F921,IMPORTRANGE(""https://docs.google.com/spreadsheets/d/1Uw7-A9f9R21vMXxHZFNpYNeKFtG8_yji4HS352LGlSQ/edit?pli=1#gid=0"",""1_ACUM!A4:S""),14,FALSE))"),"")</f>
        <v/>
      </c>
      <c r="AF898" s="43" t="str">
        <f ca="1">IFERROR(__xludf.DUMMYFUNCTION("IFERROR(VLOOKUP(E921&amp;F921,IMPORTRANGE(""https://docs.google.com/spreadsheets/d/1Uw7-A9f9R21vMXxHZFNpYNeKFtG8_yji4HS352LGlSQ/edit?pli=1#gid=0"",""1_ACUM!A4:S""),15,FALSE))"),"")</f>
        <v/>
      </c>
      <c r="AG898" s="43" t="str">
        <f ca="1">IFERROR(__xludf.DUMMYFUNCTION("IFERROR(VLOOKUP(E921&amp;F921,IMPORTRANGE(""https://docs.google.com/spreadsheets/d/1Uw7-A9f9R21vMXxHZFNpYNeKFtG8_yji4HS352LGlSQ/edit?pli=1#gid=0"",""1_ACUM!A4:S""),16,FALSE))"),"")</f>
        <v/>
      </c>
      <c r="AH898" s="43" t="str">
        <f ca="1">IFERROR(__xludf.DUMMYFUNCTION("IFERROR(VLOOKUP(E921&amp;F921,IMPORTRANGE(""https://docs.google.com/spreadsheets/d/1Uw7-A9f9R21vMXxHZFNpYNeKFtG8_yji4HS352LGlSQ/edit?pli=1#gid=0"",""1_ACUM!A4:S""),17,FALSE))"),"")</f>
        <v/>
      </c>
      <c r="AI898" s="44" t="str">
        <f ca="1">IFERROR(__xludf.DUMMYFUNCTION("IFERROR(VLOOKUP(E921&amp;F921,IMPORTRANGE(""https://docs.google.com/spreadsheets/d/1Uw7-A9f9R21vMXxHZFNpYNeKFtG8_yji4HS352LGlSQ/edit?pli=1#gid=0"",""1_ACUM!A4:S""),18,FALSE))"),"")</f>
        <v/>
      </c>
      <c r="AJ898" s="44" t="str">
        <f ca="1">IFERROR(__xludf.DUMMYFUNCTION("IFERROR(VLOOKUP(E921&amp;F921,IMPORTRANGE(""https://docs.google.com/spreadsheets/d/1Uw7-A9f9R21vMXxHZFNpYNeKFtG8_yji4HS352LGlSQ/edit?pli=1#gid=0"",""1_ACUM!A4:S""),19,FALSE))"),"")</f>
        <v/>
      </c>
      <c r="AK898" s="98" t="str">
        <f ca="1">IFERROR(__xludf.DUMMYFUNCTION("IFERROR(VLOOKUP(F921,IMPORTRANGE(""https://docs.google.com/spreadsheets/d/1Kvs4KS76FHFqLFIZfrDMff4kP08nblUkihrxltoGBjg/edit#gid=934712705"",""ESENCIAL!A6:BG""),5,FALSE))"),"")</f>
        <v/>
      </c>
      <c r="AL898" s="98" t="str">
        <f t="shared" ref="AL898:AL941" si="54">IF(F898&gt;0,EDATE(AK898,18),"")</f>
        <v/>
      </c>
      <c r="AM898" s="99" t="str">
        <f t="shared" ref="AM898:AM941" si="55">IF(F898&gt;0,IF(AL898&lt;$AM$1,"FINALIZAR FICHA","FICHA EN TIEMPO-18 MESES"),"")</f>
        <v/>
      </c>
      <c r="AN898" s="100" t="str">
        <f ca="1">IFERROR(__xludf.DUMMYFUNCTION("IFERROR(VLOOKUP(F921,IMPORTRANGE(""https://docs.google.com/spreadsheets/d/1Kvs4KS76FHFqLFIZfrDMff4kP08nblUkihrxltoGBjg/edit#gid=934712705"",""ESENCIAL!A6:BG""),2,FALSE))"),"")</f>
        <v/>
      </c>
      <c r="AO898" s="19" t="str">
        <f t="shared" si="46"/>
        <v/>
      </c>
      <c r="AP898" s="100"/>
      <c r="AQ898" s="100"/>
    </row>
    <row r="899" spans="1:43" ht="15">
      <c r="A899" s="5"/>
      <c r="B899" s="5"/>
      <c r="G899" s="5" t="str">
        <f ca="1">IFERROR(__xludf.DUMMYFUNCTION("IFERROR(VLOOKUP(F922,IMPORTRANGE(""https://docs.google.com/spreadsheets/d/1Kvs4KS76FHFqLFIZfrDMff4kP08nblUkihrxltoGBjg/edit#gid=934712705"",""ESENCIAL!A6:BG""),3,FALSE))"),"")</f>
        <v/>
      </c>
      <c r="H899" s="5" t="str">
        <f ca="1">IFERROR(__xludf.DUMMYFUNCTION("IFERROR(VLOOKUP(F922,IMPORTRANGE(""https://docs.google.com/spreadsheets/d/1Kvs4KS76FHFqLFIZfrDMff4kP08nblUkihrxltoGBjg/edit#gid=934712705"",""ESENCIAL!A6:BG""),8,FALSE))"),"")</f>
        <v/>
      </c>
      <c r="L899" s="40"/>
      <c r="Z899" s="41" t="str">
        <f t="shared" si="53"/>
        <v/>
      </c>
      <c r="AA899" s="5" t="str">
        <f ca="1">IFERROR(__xludf.DUMMYFUNCTION("IFERROR(VLOOKUP(E922&amp;F922,IMPORTRANGE(""https://docs.google.com/spreadsheets/d/1Uw7-A9f9R21vMXxHZFNpYNeKFtG8_yji4HS352LGlSQ/edit?pli=1#gid=0"",""1_ACUM!A4:S""),11,FALSE))"),"")</f>
        <v/>
      </c>
      <c r="AB899" s="42" t="str">
        <f ca="1">IFERROR(__xludf.DUMMYFUNCTION("IFERROR(VLOOKUP(F922,IMPORTRANGE(""https://docs.google.com/spreadsheets/d/1Kvs4KS76FHFqLFIZfrDMff4kP08nblUkihrxltoGBjg/edit#gid=934712705"",""ESENCIAL!A6:BG""),15,FALSE))"),"")</f>
        <v/>
      </c>
      <c r="AC899" s="110" t="str">
        <f ca="1">IFERROR(__xludf.DUMMYFUNCTION("IFERROR(VLOOKUP(E922&amp;F922,IMPORTRANGE(""https://docs.google.com/spreadsheets/d/1Uw7-A9f9R21vMXxHZFNpYNeKFtG8_yji4HS352LGlSQ/edit?pli=1#gid=0"",""1_ACUM!A4:S""),13,FALSE))"),"")</f>
        <v/>
      </c>
      <c r="AD899" s="43" t="str">
        <f ca="1">IFERROR(__xludf.DUMMYFUNCTION("IFERROR(VLOOKUP(E922&amp;F922,IMPORTRANGE(""https://docs.google.com/spreadsheets/d/1Uw7-A9f9R21vMXxHZFNpYNeKFtG8_yji4HS352LGlSQ/edit?pli=1#gid=0"",""1_ACUM!A4:S""),13,FALSE))"),"")</f>
        <v/>
      </c>
      <c r="AE899" s="43" t="str">
        <f ca="1">IFERROR(__xludf.DUMMYFUNCTION("IFERROR(VLOOKUP(E922&amp;F922,IMPORTRANGE(""https://docs.google.com/spreadsheets/d/1Uw7-A9f9R21vMXxHZFNpYNeKFtG8_yji4HS352LGlSQ/edit?pli=1#gid=0"",""1_ACUM!A4:S""),14,FALSE))"),"")</f>
        <v/>
      </c>
      <c r="AF899" s="43" t="str">
        <f ca="1">IFERROR(__xludf.DUMMYFUNCTION("IFERROR(VLOOKUP(E922&amp;F922,IMPORTRANGE(""https://docs.google.com/spreadsheets/d/1Uw7-A9f9R21vMXxHZFNpYNeKFtG8_yji4HS352LGlSQ/edit?pli=1#gid=0"",""1_ACUM!A4:S""),15,FALSE))"),"")</f>
        <v/>
      </c>
      <c r="AG899" s="43" t="str">
        <f ca="1">IFERROR(__xludf.DUMMYFUNCTION("IFERROR(VLOOKUP(E922&amp;F922,IMPORTRANGE(""https://docs.google.com/spreadsheets/d/1Uw7-A9f9R21vMXxHZFNpYNeKFtG8_yji4HS352LGlSQ/edit?pli=1#gid=0"",""1_ACUM!A4:S""),16,FALSE))"),"")</f>
        <v/>
      </c>
      <c r="AH899" s="43" t="str">
        <f ca="1">IFERROR(__xludf.DUMMYFUNCTION("IFERROR(VLOOKUP(E922&amp;F922,IMPORTRANGE(""https://docs.google.com/spreadsheets/d/1Uw7-A9f9R21vMXxHZFNpYNeKFtG8_yji4HS352LGlSQ/edit?pli=1#gid=0"",""1_ACUM!A4:S""),17,FALSE))"),"")</f>
        <v/>
      </c>
      <c r="AI899" s="44" t="str">
        <f ca="1">IFERROR(__xludf.DUMMYFUNCTION("IFERROR(VLOOKUP(E922&amp;F922,IMPORTRANGE(""https://docs.google.com/spreadsheets/d/1Uw7-A9f9R21vMXxHZFNpYNeKFtG8_yji4HS352LGlSQ/edit?pli=1#gid=0"",""1_ACUM!A4:S""),18,FALSE))"),"")</f>
        <v/>
      </c>
      <c r="AJ899" s="44" t="str">
        <f ca="1">IFERROR(__xludf.DUMMYFUNCTION("IFERROR(VLOOKUP(E922&amp;F922,IMPORTRANGE(""https://docs.google.com/spreadsheets/d/1Uw7-A9f9R21vMXxHZFNpYNeKFtG8_yji4HS352LGlSQ/edit?pli=1#gid=0"",""1_ACUM!A4:S""),19,FALSE))"),"")</f>
        <v/>
      </c>
      <c r="AK899" s="98" t="str">
        <f ca="1">IFERROR(__xludf.DUMMYFUNCTION("IFERROR(VLOOKUP(F922,IMPORTRANGE(""https://docs.google.com/spreadsheets/d/1Kvs4KS76FHFqLFIZfrDMff4kP08nblUkihrxltoGBjg/edit#gid=934712705"",""ESENCIAL!A6:BG""),5,FALSE))"),"")</f>
        <v/>
      </c>
      <c r="AL899" s="98" t="str">
        <f t="shared" si="54"/>
        <v/>
      </c>
      <c r="AM899" s="99" t="str">
        <f t="shared" si="55"/>
        <v/>
      </c>
      <c r="AN899" s="100" t="str">
        <f ca="1">IFERROR(__xludf.DUMMYFUNCTION("IFERROR(VLOOKUP(F922,IMPORTRANGE(""https://docs.google.com/spreadsheets/d/1Kvs4KS76FHFqLFIZfrDMff4kP08nblUkihrxltoGBjg/edit#gid=934712705"",""ESENCIAL!A6:BG""),2,FALSE))"),"")</f>
        <v/>
      </c>
      <c r="AO899" s="19" t="str">
        <f t="shared" si="46"/>
        <v/>
      </c>
      <c r="AP899" s="100"/>
      <c r="AQ899" s="100"/>
    </row>
    <row r="900" spans="1:43" ht="15">
      <c r="A900" s="5"/>
      <c r="B900" s="5"/>
      <c r="G900" s="5" t="str">
        <f ca="1">IFERROR(__xludf.DUMMYFUNCTION("IFERROR(VLOOKUP(F923,IMPORTRANGE(""https://docs.google.com/spreadsheets/d/1Kvs4KS76FHFqLFIZfrDMff4kP08nblUkihrxltoGBjg/edit#gid=934712705"",""ESENCIAL!A6:BG""),3,FALSE))"),"")</f>
        <v/>
      </c>
      <c r="H900" s="5" t="str">
        <f ca="1">IFERROR(__xludf.DUMMYFUNCTION("IFERROR(VLOOKUP(F923,IMPORTRANGE(""https://docs.google.com/spreadsheets/d/1Kvs4KS76FHFqLFIZfrDMff4kP08nblUkihrxltoGBjg/edit#gid=934712705"",""ESENCIAL!A6:BG""),8,FALSE))"),"")</f>
        <v/>
      </c>
      <c r="L900" s="40"/>
      <c r="Z900" s="41" t="str">
        <f t="shared" si="53"/>
        <v/>
      </c>
      <c r="AA900" s="5" t="str">
        <f ca="1">IFERROR(__xludf.DUMMYFUNCTION("IFERROR(VLOOKUP(E923&amp;F923,IMPORTRANGE(""https://docs.google.com/spreadsheets/d/1Uw7-A9f9R21vMXxHZFNpYNeKFtG8_yji4HS352LGlSQ/edit?pli=1#gid=0"",""1_ACUM!A4:S""),11,FALSE))"),"")</f>
        <v/>
      </c>
      <c r="AB900" s="42" t="str">
        <f ca="1">IFERROR(__xludf.DUMMYFUNCTION("IFERROR(VLOOKUP(F923,IMPORTRANGE(""https://docs.google.com/spreadsheets/d/1Kvs4KS76FHFqLFIZfrDMff4kP08nblUkihrxltoGBjg/edit#gid=934712705"",""ESENCIAL!A6:BG""),15,FALSE))"),"")</f>
        <v/>
      </c>
      <c r="AC900" s="110" t="str">
        <f ca="1">IFERROR(__xludf.DUMMYFUNCTION("IFERROR(VLOOKUP(E923&amp;F923,IMPORTRANGE(""https://docs.google.com/spreadsheets/d/1Uw7-A9f9R21vMXxHZFNpYNeKFtG8_yji4HS352LGlSQ/edit?pli=1#gid=0"",""1_ACUM!A4:S""),13,FALSE))"),"")</f>
        <v/>
      </c>
      <c r="AD900" s="43" t="str">
        <f ca="1">IFERROR(__xludf.DUMMYFUNCTION("IFERROR(VLOOKUP(E923&amp;F923,IMPORTRANGE(""https://docs.google.com/spreadsheets/d/1Uw7-A9f9R21vMXxHZFNpYNeKFtG8_yji4HS352LGlSQ/edit?pli=1#gid=0"",""1_ACUM!A4:S""),13,FALSE))"),"")</f>
        <v/>
      </c>
      <c r="AE900" s="43" t="str">
        <f ca="1">IFERROR(__xludf.DUMMYFUNCTION("IFERROR(VLOOKUP(E923&amp;F923,IMPORTRANGE(""https://docs.google.com/spreadsheets/d/1Uw7-A9f9R21vMXxHZFNpYNeKFtG8_yji4HS352LGlSQ/edit?pli=1#gid=0"",""1_ACUM!A4:S""),14,FALSE))"),"")</f>
        <v/>
      </c>
      <c r="AF900" s="43" t="str">
        <f ca="1">IFERROR(__xludf.DUMMYFUNCTION("IFERROR(VLOOKUP(E923&amp;F923,IMPORTRANGE(""https://docs.google.com/spreadsheets/d/1Uw7-A9f9R21vMXxHZFNpYNeKFtG8_yji4HS352LGlSQ/edit?pli=1#gid=0"",""1_ACUM!A4:S""),15,FALSE))"),"")</f>
        <v/>
      </c>
      <c r="AG900" s="43" t="str">
        <f ca="1">IFERROR(__xludf.DUMMYFUNCTION("IFERROR(VLOOKUP(E923&amp;F923,IMPORTRANGE(""https://docs.google.com/spreadsheets/d/1Uw7-A9f9R21vMXxHZFNpYNeKFtG8_yji4HS352LGlSQ/edit?pli=1#gid=0"",""1_ACUM!A4:S""),16,FALSE))"),"")</f>
        <v/>
      </c>
      <c r="AH900" s="43" t="str">
        <f ca="1">IFERROR(__xludf.DUMMYFUNCTION("IFERROR(VLOOKUP(E923&amp;F923,IMPORTRANGE(""https://docs.google.com/spreadsheets/d/1Uw7-A9f9R21vMXxHZFNpYNeKFtG8_yji4HS352LGlSQ/edit?pli=1#gid=0"",""1_ACUM!A4:S""),17,FALSE))"),"")</f>
        <v/>
      </c>
      <c r="AI900" s="44" t="str">
        <f ca="1">IFERROR(__xludf.DUMMYFUNCTION("IFERROR(VLOOKUP(E923&amp;F923,IMPORTRANGE(""https://docs.google.com/spreadsheets/d/1Uw7-A9f9R21vMXxHZFNpYNeKFtG8_yji4HS352LGlSQ/edit?pli=1#gid=0"",""1_ACUM!A4:S""),18,FALSE))"),"")</f>
        <v/>
      </c>
      <c r="AJ900" s="44" t="str">
        <f ca="1">IFERROR(__xludf.DUMMYFUNCTION("IFERROR(VLOOKUP(E923&amp;F923,IMPORTRANGE(""https://docs.google.com/spreadsheets/d/1Uw7-A9f9R21vMXxHZFNpYNeKFtG8_yji4HS352LGlSQ/edit?pli=1#gid=0"",""1_ACUM!A4:S""),19,FALSE))"),"")</f>
        <v/>
      </c>
      <c r="AK900" s="98" t="str">
        <f ca="1">IFERROR(__xludf.DUMMYFUNCTION("IFERROR(VLOOKUP(F923,IMPORTRANGE(""https://docs.google.com/spreadsheets/d/1Kvs4KS76FHFqLFIZfrDMff4kP08nblUkihrxltoGBjg/edit#gid=934712705"",""ESENCIAL!A6:BG""),5,FALSE))"),"")</f>
        <v/>
      </c>
      <c r="AL900" s="98" t="str">
        <f t="shared" si="54"/>
        <v/>
      </c>
      <c r="AM900" s="99" t="str">
        <f t="shared" si="55"/>
        <v/>
      </c>
      <c r="AN900" s="100" t="str">
        <f ca="1">IFERROR(__xludf.DUMMYFUNCTION("IFERROR(VLOOKUP(F923,IMPORTRANGE(""https://docs.google.com/spreadsheets/d/1Kvs4KS76FHFqLFIZfrDMff4kP08nblUkihrxltoGBjg/edit#gid=934712705"",""ESENCIAL!A6:BG""),2,FALSE))"),"")</f>
        <v/>
      </c>
      <c r="AO900" s="19" t="str">
        <f t="shared" si="46"/>
        <v/>
      </c>
      <c r="AP900" s="100"/>
      <c r="AQ900" s="100"/>
    </row>
    <row r="901" spans="1:43" ht="15">
      <c r="A901" s="5"/>
      <c r="B901" s="5"/>
      <c r="G901" s="5" t="str">
        <f ca="1">IFERROR(__xludf.DUMMYFUNCTION("IFERROR(VLOOKUP(F924,IMPORTRANGE(""https://docs.google.com/spreadsheets/d/1Kvs4KS76FHFqLFIZfrDMff4kP08nblUkihrxltoGBjg/edit#gid=934712705"",""ESENCIAL!A6:BG""),3,FALSE))"),"")</f>
        <v/>
      </c>
      <c r="H901" s="5" t="str">
        <f ca="1">IFERROR(__xludf.DUMMYFUNCTION("IFERROR(VLOOKUP(F924,IMPORTRANGE(""https://docs.google.com/spreadsheets/d/1Kvs4KS76FHFqLFIZfrDMff4kP08nblUkihrxltoGBjg/edit#gid=934712705"",""ESENCIAL!A6:BG""),8,FALSE))"),"")</f>
        <v/>
      </c>
      <c r="L901" s="40"/>
      <c r="Z901" s="41" t="str">
        <f t="shared" si="53"/>
        <v/>
      </c>
      <c r="AA901" s="5" t="str">
        <f ca="1">IFERROR(__xludf.DUMMYFUNCTION("IFERROR(VLOOKUP(E924&amp;F924,IMPORTRANGE(""https://docs.google.com/spreadsheets/d/1Uw7-A9f9R21vMXxHZFNpYNeKFtG8_yji4HS352LGlSQ/edit?pli=1#gid=0"",""1_ACUM!A4:S""),11,FALSE))"),"")</f>
        <v/>
      </c>
      <c r="AB901" s="42" t="str">
        <f ca="1">IFERROR(__xludf.DUMMYFUNCTION("IFERROR(VLOOKUP(F924,IMPORTRANGE(""https://docs.google.com/spreadsheets/d/1Kvs4KS76FHFqLFIZfrDMff4kP08nblUkihrxltoGBjg/edit#gid=934712705"",""ESENCIAL!A6:BG""),15,FALSE))"),"")</f>
        <v/>
      </c>
      <c r="AC901" s="110" t="str">
        <f ca="1">IFERROR(__xludf.DUMMYFUNCTION("IFERROR(VLOOKUP(E924&amp;F924,IMPORTRANGE(""https://docs.google.com/spreadsheets/d/1Uw7-A9f9R21vMXxHZFNpYNeKFtG8_yji4HS352LGlSQ/edit?pli=1#gid=0"",""1_ACUM!A4:S""),13,FALSE))"),"")</f>
        <v/>
      </c>
      <c r="AD901" s="43" t="str">
        <f ca="1">IFERROR(__xludf.DUMMYFUNCTION("IFERROR(VLOOKUP(E924&amp;F924,IMPORTRANGE(""https://docs.google.com/spreadsheets/d/1Uw7-A9f9R21vMXxHZFNpYNeKFtG8_yji4HS352LGlSQ/edit?pli=1#gid=0"",""1_ACUM!A4:S""),13,FALSE))"),"")</f>
        <v/>
      </c>
      <c r="AE901" s="43" t="str">
        <f ca="1">IFERROR(__xludf.DUMMYFUNCTION("IFERROR(VLOOKUP(E924&amp;F924,IMPORTRANGE(""https://docs.google.com/spreadsheets/d/1Uw7-A9f9R21vMXxHZFNpYNeKFtG8_yji4HS352LGlSQ/edit?pli=1#gid=0"",""1_ACUM!A4:S""),14,FALSE))"),"")</f>
        <v/>
      </c>
      <c r="AF901" s="43" t="str">
        <f ca="1">IFERROR(__xludf.DUMMYFUNCTION("IFERROR(VLOOKUP(E924&amp;F924,IMPORTRANGE(""https://docs.google.com/spreadsheets/d/1Uw7-A9f9R21vMXxHZFNpYNeKFtG8_yji4HS352LGlSQ/edit?pli=1#gid=0"",""1_ACUM!A4:S""),15,FALSE))"),"")</f>
        <v/>
      </c>
      <c r="AG901" s="43" t="str">
        <f ca="1">IFERROR(__xludf.DUMMYFUNCTION("IFERROR(VLOOKUP(E924&amp;F924,IMPORTRANGE(""https://docs.google.com/spreadsheets/d/1Uw7-A9f9R21vMXxHZFNpYNeKFtG8_yji4HS352LGlSQ/edit?pli=1#gid=0"",""1_ACUM!A4:S""),16,FALSE))"),"")</f>
        <v/>
      </c>
      <c r="AH901" s="43" t="str">
        <f ca="1">IFERROR(__xludf.DUMMYFUNCTION("IFERROR(VLOOKUP(E924&amp;F924,IMPORTRANGE(""https://docs.google.com/spreadsheets/d/1Uw7-A9f9R21vMXxHZFNpYNeKFtG8_yji4HS352LGlSQ/edit?pli=1#gid=0"",""1_ACUM!A4:S""),17,FALSE))"),"")</f>
        <v/>
      </c>
      <c r="AI901" s="44" t="str">
        <f ca="1">IFERROR(__xludf.DUMMYFUNCTION("IFERROR(VLOOKUP(E924&amp;F924,IMPORTRANGE(""https://docs.google.com/spreadsheets/d/1Uw7-A9f9R21vMXxHZFNpYNeKFtG8_yji4HS352LGlSQ/edit?pli=1#gid=0"",""1_ACUM!A4:S""),18,FALSE))"),"")</f>
        <v/>
      </c>
      <c r="AJ901" s="44" t="str">
        <f ca="1">IFERROR(__xludf.DUMMYFUNCTION("IFERROR(VLOOKUP(E924&amp;F924,IMPORTRANGE(""https://docs.google.com/spreadsheets/d/1Uw7-A9f9R21vMXxHZFNpYNeKFtG8_yji4HS352LGlSQ/edit?pli=1#gid=0"",""1_ACUM!A4:S""),19,FALSE))"),"")</f>
        <v/>
      </c>
      <c r="AK901" s="98" t="str">
        <f ca="1">IFERROR(__xludf.DUMMYFUNCTION("IFERROR(VLOOKUP(F924,IMPORTRANGE(""https://docs.google.com/spreadsheets/d/1Kvs4KS76FHFqLFIZfrDMff4kP08nblUkihrxltoGBjg/edit#gid=934712705"",""ESENCIAL!A6:BG""),5,FALSE))"),"")</f>
        <v/>
      </c>
      <c r="AL901" s="98" t="str">
        <f t="shared" si="54"/>
        <v/>
      </c>
      <c r="AM901" s="99" t="str">
        <f t="shared" si="55"/>
        <v/>
      </c>
      <c r="AN901" s="100" t="str">
        <f ca="1">IFERROR(__xludf.DUMMYFUNCTION("IFERROR(VLOOKUP(F924,IMPORTRANGE(""https://docs.google.com/spreadsheets/d/1Kvs4KS76FHFqLFIZfrDMff4kP08nblUkihrxltoGBjg/edit#gid=934712705"",""ESENCIAL!A6:BG""),2,FALSE))"),"")</f>
        <v/>
      </c>
      <c r="AO901" s="19" t="str">
        <f t="shared" si="46"/>
        <v/>
      </c>
      <c r="AP901" s="100"/>
      <c r="AQ901" s="100"/>
    </row>
    <row r="902" spans="1:43" ht="15">
      <c r="A902" s="5"/>
      <c r="B902" s="5"/>
      <c r="G902" s="5" t="str">
        <f ca="1">IFERROR(__xludf.DUMMYFUNCTION("IFERROR(VLOOKUP(F925,IMPORTRANGE(""https://docs.google.com/spreadsheets/d/1Kvs4KS76FHFqLFIZfrDMff4kP08nblUkihrxltoGBjg/edit#gid=934712705"",""ESENCIAL!A6:BG""),3,FALSE))"),"")</f>
        <v/>
      </c>
      <c r="H902" s="5" t="str">
        <f ca="1">IFERROR(__xludf.DUMMYFUNCTION("IFERROR(VLOOKUP(F925,IMPORTRANGE(""https://docs.google.com/spreadsheets/d/1Kvs4KS76FHFqLFIZfrDMff4kP08nblUkihrxltoGBjg/edit#gid=934712705"",""ESENCIAL!A6:BG""),8,FALSE))"),"")</f>
        <v/>
      </c>
      <c r="L902" s="40"/>
      <c r="Z902" s="41" t="str">
        <f t="shared" si="53"/>
        <v/>
      </c>
      <c r="AA902" s="5" t="str">
        <f ca="1">IFERROR(__xludf.DUMMYFUNCTION("IFERROR(VLOOKUP(E925&amp;F925,IMPORTRANGE(""https://docs.google.com/spreadsheets/d/1Uw7-A9f9R21vMXxHZFNpYNeKFtG8_yji4HS352LGlSQ/edit?pli=1#gid=0"",""1_ACUM!A4:S""),11,FALSE))"),"")</f>
        <v/>
      </c>
      <c r="AB902" s="42" t="str">
        <f ca="1">IFERROR(__xludf.DUMMYFUNCTION("IFERROR(VLOOKUP(F925,IMPORTRANGE(""https://docs.google.com/spreadsheets/d/1Kvs4KS76FHFqLFIZfrDMff4kP08nblUkihrxltoGBjg/edit#gid=934712705"",""ESENCIAL!A6:BG""),15,FALSE))"),"")</f>
        <v/>
      </c>
      <c r="AC902" s="110" t="str">
        <f ca="1">IFERROR(__xludf.DUMMYFUNCTION("IFERROR(VLOOKUP(E925&amp;F925,IMPORTRANGE(""https://docs.google.com/spreadsheets/d/1Uw7-A9f9R21vMXxHZFNpYNeKFtG8_yji4HS352LGlSQ/edit?pli=1#gid=0"",""1_ACUM!A4:S""),13,FALSE))"),"")</f>
        <v/>
      </c>
      <c r="AD902" s="43" t="str">
        <f ca="1">IFERROR(__xludf.DUMMYFUNCTION("IFERROR(VLOOKUP(E925&amp;F925,IMPORTRANGE(""https://docs.google.com/spreadsheets/d/1Uw7-A9f9R21vMXxHZFNpYNeKFtG8_yji4HS352LGlSQ/edit?pli=1#gid=0"",""1_ACUM!A4:S""),13,FALSE))"),"")</f>
        <v/>
      </c>
      <c r="AE902" s="43" t="str">
        <f ca="1">IFERROR(__xludf.DUMMYFUNCTION("IFERROR(VLOOKUP(E925&amp;F925,IMPORTRANGE(""https://docs.google.com/spreadsheets/d/1Uw7-A9f9R21vMXxHZFNpYNeKFtG8_yji4HS352LGlSQ/edit?pli=1#gid=0"",""1_ACUM!A4:S""),14,FALSE))"),"")</f>
        <v/>
      </c>
      <c r="AF902" s="43" t="str">
        <f ca="1">IFERROR(__xludf.DUMMYFUNCTION("IFERROR(VLOOKUP(E925&amp;F925,IMPORTRANGE(""https://docs.google.com/spreadsheets/d/1Uw7-A9f9R21vMXxHZFNpYNeKFtG8_yji4HS352LGlSQ/edit?pli=1#gid=0"",""1_ACUM!A4:S""),15,FALSE))"),"")</f>
        <v/>
      </c>
      <c r="AG902" s="43" t="str">
        <f ca="1">IFERROR(__xludf.DUMMYFUNCTION("IFERROR(VLOOKUP(E925&amp;F925,IMPORTRANGE(""https://docs.google.com/spreadsheets/d/1Uw7-A9f9R21vMXxHZFNpYNeKFtG8_yji4HS352LGlSQ/edit?pli=1#gid=0"",""1_ACUM!A4:S""),16,FALSE))"),"")</f>
        <v/>
      </c>
      <c r="AH902" s="43" t="str">
        <f ca="1">IFERROR(__xludf.DUMMYFUNCTION("IFERROR(VLOOKUP(E925&amp;F925,IMPORTRANGE(""https://docs.google.com/spreadsheets/d/1Uw7-A9f9R21vMXxHZFNpYNeKFtG8_yji4HS352LGlSQ/edit?pli=1#gid=0"",""1_ACUM!A4:S""),17,FALSE))"),"")</f>
        <v/>
      </c>
      <c r="AI902" s="44" t="str">
        <f ca="1">IFERROR(__xludf.DUMMYFUNCTION("IFERROR(VLOOKUP(E925&amp;F925,IMPORTRANGE(""https://docs.google.com/spreadsheets/d/1Uw7-A9f9R21vMXxHZFNpYNeKFtG8_yji4HS352LGlSQ/edit?pli=1#gid=0"",""1_ACUM!A4:S""),18,FALSE))"),"")</f>
        <v/>
      </c>
      <c r="AJ902" s="44" t="str">
        <f ca="1">IFERROR(__xludf.DUMMYFUNCTION("IFERROR(VLOOKUP(E925&amp;F925,IMPORTRANGE(""https://docs.google.com/spreadsheets/d/1Uw7-A9f9R21vMXxHZFNpYNeKFtG8_yji4HS352LGlSQ/edit?pli=1#gid=0"",""1_ACUM!A4:S""),19,FALSE))"),"")</f>
        <v/>
      </c>
      <c r="AK902" s="98" t="str">
        <f ca="1">IFERROR(__xludf.DUMMYFUNCTION("IFERROR(VLOOKUP(F925,IMPORTRANGE(""https://docs.google.com/spreadsheets/d/1Kvs4KS76FHFqLFIZfrDMff4kP08nblUkihrxltoGBjg/edit#gid=934712705"",""ESENCIAL!A6:BG""),5,FALSE))"),"")</f>
        <v/>
      </c>
      <c r="AL902" s="98" t="str">
        <f t="shared" si="54"/>
        <v/>
      </c>
      <c r="AM902" s="99" t="str">
        <f t="shared" si="55"/>
        <v/>
      </c>
      <c r="AN902" s="100" t="str">
        <f ca="1">IFERROR(__xludf.DUMMYFUNCTION("IFERROR(VLOOKUP(F925,IMPORTRANGE(""https://docs.google.com/spreadsheets/d/1Kvs4KS76FHFqLFIZfrDMff4kP08nblUkihrxltoGBjg/edit#gid=934712705"",""ESENCIAL!A6:BG""),2,FALSE))"),"")</f>
        <v/>
      </c>
      <c r="AO902" s="19" t="str">
        <f t="shared" si="46"/>
        <v/>
      </c>
      <c r="AP902" s="100"/>
      <c r="AQ902" s="100"/>
    </row>
    <row r="903" spans="1:43" ht="15">
      <c r="A903" s="5"/>
      <c r="B903" s="5"/>
      <c r="G903" s="5" t="str">
        <f ca="1">IFERROR(__xludf.DUMMYFUNCTION("IFERROR(VLOOKUP(F926,IMPORTRANGE(""https://docs.google.com/spreadsheets/d/1Kvs4KS76FHFqLFIZfrDMff4kP08nblUkihrxltoGBjg/edit#gid=934712705"",""ESENCIAL!A6:BG""),3,FALSE))"),"")</f>
        <v/>
      </c>
      <c r="H903" s="5" t="str">
        <f ca="1">IFERROR(__xludf.DUMMYFUNCTION("IFERROR(VLOOKUP(F926,IMPORTRANGE(""https://docs.google.com/spreadsheets/d/1Kvs4KS76FHFqLFIZfrDMff4kP08nblUkihrxltoGBjg/edit#gid=934712705"",""ESENCIAL!A6:BG""),8,FALSE))"),"")</f>
        <v/>
      </c>
      <c r="L903" s="40"/>
      <c r="Z903" s="41" t="str">
        <f t="shared" si="53"/>
        <v/>
      </c>
      <c r="AA903" s="5" t="str">
        <f ca="1">IFERROR(__xludf.DUMMYFUNCTION("IFERROR(VLOOKUP(E926&amp;F926,IMPORTRANGE(""https://docs.google.com/spreadsheets/d/1Uw7-A9f9R21vMXxHZFNpYNeKFtG8_yji4HS352LGlSQ/edit?pli=1#gid=0"",""1_ACUM!A4:S""),11,FALSE))"),"")</f>
        <v/>
      </c>
      <c r="AB903" s="42" t="str">
        <f ca="1">IFERROR(__xludf.DUMMYFUNCTION("IFERROR(VLOOKUP(F926,IMPORTRANGE(""https://docs.google.com/spreadsheets/d/1Kvs4KS76FHFqLFIZfrDMff4kP08nblUkihrxltoGBjg/edit#gid=934712705"",""ESENCIAL!A6:BG""),15,FALSE))"),"")</f>
        <v/>
      </c>
      <c r="AC903" s="110" t="str">
        <f ca="1">IFERROR(__xludf.DUMMYFUNCTION("IFERROR(VLOOKUP(E926&amp;F926,IMPORTRANGE(""https://docs.google.com/spreadsheets/d/1Uw7-A9f9R21vMXxHZFNpYNeKFtG8_yji4HS352LGlSQ/edit?pli=1#gid=0"",""1_ACUM!A4:S""),13,FALSE))"),"")</f>
        <v/>
      </c>
      <c r="AD903" s="43" t="str">
        <f ca="1">IFERROR(__xludf.DUMMYFUNCTION("IFERROR(VLOOKUP(E926&amp;F926,IMPORTRANGE(""https://docs.google.com/spreadsheets/d/1Uw7-A9f9R21vMXxHZFNpYNeKFtG8_yji4HS352LGlSQ/edit?pli=1#gid=0"",""1_ACUM!A4:S""),13,FALSE))"),"")</f>
        <v/>
      </c>
      <c r="AE903" s="43" t="str">
        <f ca="1">IFERROR(__xludf.DUMMYFUNCTION("IFERROR(VLOOKUP(E926&amp;F926,IMPORTRANGE(""https://docs.google.com/spreadsheets/d/1Uw7-A9f9R21vMXxHZFNpYNeKFtG8_yji4HS352LGlSQ/edit?pli=1#gid=0"",""1_ACUM!A4:S""),14,FALSE))"),"")</f>
        <v/>
      </c>
      <c r="AF903" s="43" t="str">
        <f ca="1">IFERROR(__xludf.DUMMYFUNCTION("IFERROR(VLOOKUP(E926&amp;F926,IMPORTRANGE(""https://docs.google.com/spreadsheets/d/1Uw7-A9f9R21vMXxHZFNpYNeKFtG8_yji4HS352LGlSQ/edit?pli=1#gid=0"",""1_ACUM!A4:S""),15,FALSE))"),"")</f>
        <v/>
      </c>
      <c r="AG903" s="43" t="str">
        <f ca="1">IFERROR(__xludf.DUMMYFUNCTION("IFERROR(VLOOKUP(E926&amp;F926,IMPORTRANGE(""https://docs.google.com/spreadsheets/d/1Uw7-A9f9R21vMXxHZFNpYNeKFtG8_yji4HS352LGlSQ/edit?pli=1#gid=0"",""1_ACUM!A4:S""),16,FALSE))"),"")</f>
        <v/>
      </c>
      <c r="AH903" s="43" t="str">
        <f ca="1">IFERROR(__xludf.DUMMYFUNCTION("IFERROR(VLOOKUP(E926&amp;F926,IMPORTRANGE(""https://docs.google.com/spreadsheets/d/1Uw7-A9f9R21vMXxHZFNpYNeKFtG8_yji4HS352LGlSQ/edit?pli=1#gid=0"",""1_ACUM!A4:S""),17,FALSE))"),"")</f>
        <v/>
      </c>
      <c r="AI903" s="44" t="str">
        <f ca="1">IFERROR(__xludf.DUMMYFUNCTION("IFERROR(VLOOKUP(E926&amp;F926,IMPORTRANGE(""https://docs.google.com/spreadsheets/d/1Uw7-A9f9R21vMXxHZFNpYNeKFtG8_yji4HS352LGlSQ/edit?pli=1#gid=0"",""1_ACUM!A4:S""),18,FALSE))"),"")</f>
        <v/>
      </c>
      <c r="AJ903" s="44" t="str">
        <f ca="1">IFERROR(__xludf.DUMMYFUNCTION("IFERROR(VLOOKUP(E926&amp;F926,IMPORTRANGE(""https://docs.google.com/spreadsheets/d/1Uw7-A9f9R21vMXxHZFNpYNeKFtG8_yji4HS352LGlSQ/edit?pli=1#gid=0"",""1_ACUM!A4:S""),19,FALSE))"),"")</f>
        <v/>
      </c>
      <c r="AK903" s="98" t="str">
        <f ca="1">IFERROR(__xludf.DUMMYFUNCTION("IFERROR(VLOOKUP(F926,IMPORTRANGE(""https://docs.google.com/spreadsheets/d/1Kvs4KS76FHFqLFIZfrDMff4kP08nblUkihrxltoGBjg/edit#gid=934712705"",""ESENCIAL!A6:BG""),5,FALSE))"),"")</f>
        <v/>
      </c>
      <c r="AL903" s="98" t="str">
        <f t="shared" si="54"/>
        <v/>
      </c>
      <c r="AM903" s="99" t="str">
        <f t="shared" si="55"/>
        <v/>
      </c>
      <c r="AN903" s="100" t="str">
        <f ca="1">IFERROR(__xludf.DUMMYFUNCTION("IFERROR(VLOOKUP(F926,IMPORTRANGE(""https://docs.google.com/spreadsheets/d/1Kvs4KS76FHFqLFIZfrDMff4kP08nblUkihrxltoGBjg/edit#gid=934712705"",""ESENCIAL!A6:BG""),2,FALSE))"),"")</f>
        <v/>
      </c>
      <c r="AO903" s="19" t="str">
        <f t="shared" si="46"/>
        <v/>
      </c>
      <c r="AP903" s="100"/>
      <c r="AQ903" s="100"/>
    </row>
    <row r="904" spans="1:43" ht="15">
      <c r="A904" s="5"/>
      <c r="B904" s="5"/>
      <c r="G904" s="5" t="str">
        <f ca="1">IFERROR(__xludf.DUMMYFUNCTION("IFERROR(VLOOKUP(F927,IMPORTRANGE(""https://docs.google.com/spreadsheets/d/1Kvs4KS76FHFqLFIZfrDMff4kP08nblUkihrxltoGBjg/edit#gid=934712705"",""ESENCIAL!A6:BG""),3,FALSE))"),"")</f>
        <v/>
      </c>
      <c r="H904" s="5" t="str">
        <f ca="1">IFERROR(__xludf.DUMMYFUNCTION("IFERROR(VLOOKUP(F927,IMPORTRANGE(""https://docs.google.com/spreadsheets/d/1Kvs4KS76FHFqLFIZfrDMff4kP08nblUkihrxltoGBjg/edit#gid=934712705"",""ESENCIAL!A6:BG""),8,FALSE))"),"")</f>
        <v/>
      </c>
      <c r="L904" s="40"/>
      <c r="Z904" s="41" t="str">
        <f t="shared" si="53"/>
        <v/>
      </c>
      <c r="AA904" s="5" t="str">
        <f ca="1">IFERROR(__xludf.DUMMYFUNCTION("IFERROR(VLOOKUP(E927&amp;F927,IMPORTRANGE(""https://docs.google.com/spreadsheets/d/1Uw7-A9f9R21vMXxHZFNpYNeKFtG8_yji4HS352LGlSQ/edit?pli=1#gid=0"",""1_ACUM!A4:S""),11,FALSE))"),"")</f>
        <v/>
      </c>
      <c r="AB904" s="42" t="str">
        <f ca="1">IFERROR(__xludf.DUMMYFUNCTION("IFERROR(VLOOKUP(F927,IMPORTRANGE(""https://docs.google.com/spreadsheets/d/1Kvs4KS76FHFqLFIZfrDMff4kP08nblUkihrxltoGBjg/edit#gid=934712705"",""ESENCIAL!A6:BG""),15,FALSE))"),"")</f>
        <v/>
      </c>
      <c r="AC904" s="110" t="str">
        <f ca="1">IFERROR(__xludf.DUMMYFUNCTION("IFERROR(VLOOKUP(E927&amp;F927,IMPORTRANGE(""https://docs.google.com/spreadsheets/d/1Uw7-A9f9R21vMXxHZFNpYNeKFtG8_yji4HS352LGlSQ/edit?pli=1#gid=0"",""1_ACUM!A4:S""),13,FALSE))"),"")</f>
        <v/>
      </c>
      <c r="AD904" s="43" t="str">
        <f ca="1">IFERROR(__xludf.DUMMYFUNCTION("IFERROR(VLOOKUP(E927&amp;F927,IMPORTRANGE(""https://docs.google.com/spreadsheets/d/1Uw7-A9f9R21vMXxHZFNpYNeKFtG8_yji4HS352LGlSQ/edit?pli=1#gid=0"",""1_ACUM!A4:S""),13,FALSE))"),"")</f>
        <v/>
      </c>
      <c r="AE904" s="43" t="str">
        <f ca="1">IFERROR(__xludf.DUMMYFUNCTION("IFERROR(VLOOKUP(E927&amp;F927,IMPORTRANGE(""https://docs.google.com/spreadsheets/d/1Uw7-A9f9R21vMXxHZFNpYNeKFtG8_yji4HS352LGlSQ/edit?pli=1#gid=0"",""1_ACUM!A4:S""),14,FALSE))"),"")</f>
        <v/>
      </c>
      <c r="AF904" s="43" t="str">
        <f ca="1">IFERROR(__xludf.DUMMYFUNCTION("IFERROR(VLOOKUP(E927&amp;F927,IMPORTRANGE(""https://docs.google.com/spreadsheets/d/1Uw7-A9f9R21vMXxHZFNpYNeKFtG8_yji4HS352LGlSQ/edit?pli=1#gid=0"",""1_ACUM!A4:S""),15,FALSE))"),"")</f>
        <v/>
      </c>
      <c r="AG904" s="43" t="str">
        <f ca="1">IFERROR(__xludf.DUMMYFUNCTION("IFERROR(VLOOKUP(E927&amp;F927,IMPORTRANGE(""https://docs.google.com/spreadsheets/d/1Uw7-A9f9R21vMXxHZFNpYNeKFtG8_yji4HS352LGlSQ/edit?pli=1#gid=0"",""1_ACUM!A4:S""),16,FALSE))"),"")</f>
        <v/>
      </c>
      <c r="AH904" s="43" t="str">
        <f ca="1">IFERROR(__xludf.DUMMYFUNCTION("IFERROR(VLOOKUP(E927&amp;F927,IMPORTRANGE(""https://docs.google.com/spreadsheets/d/1Uw7-A9f9R21vMXxHZFNpYNeKFtG8_yji4HS352LGlSQ/edit?pli=1#gid=0"",""1_ACUM!A4:S""),17,FALSE))"),"")</f>
        <v/>
      </c>
      <c r="AI904" s="44" t="str">
        <f ca="1">IFERROR(__xludf.DUMMYFUNCTION("IFERROR(VLOOKUP(E927&amp;F927,IMPORTRANGE(""https://docs.google.com/spreadsheets/d/1Uw7-A9f9R21vMXxHZFNpYNeKFtG8_yji4HS352LGlSQ/edit?pli=1#gid=0"",""1_ACUM!A4:S""),18,FALSE))"),"")</f>
        <v/>
      </c>
      <c r="AJ904" s="44" t="str">
        <f ca="1">IFERROR(__xludf.DUMMYFUNCTION("IFERROR(VLOOKUP(E927&amp;F927,IMPORTRANGE(""https://docs.google.com/spreadsheets/d/1Uw7-A9f9R21vMXxHZFNpYNeKFtG8_yji4HS352LGlSQ/edit?pli=1#gid=0"",""1_ACUM!A4:S""),19,FALSE))"),"")</f>
        <v/>
      </c>
      <c r="AK904" s="98" t="str">
        <f ca="1">IFERROR(__xludf.DUMMYFUNCTION("IFERROR(VLOOKUP(F927,IMPORTRANGE(""https://docs.google.com/spreadsheets/d/1Kvs4KS76FHFqLFIZfrDMff4kP08nblUkihrxltoGBjg/edit#gid=934712705"",""ESENCIAL!A6:BG""),5,FALSE))"),"")</f>
        <v/>
      </c>
      <c r="AL904" s="98" t="str">
        <f t="shared" si="54"/>
        <v/>
      </c>
      <c r="AM904" s="99" t="str">
        <f t="shared" si="55"/>
        <v/>
      </c>
      <c r="AN904" s="100" t="str">
        <f ca="1">IFERROR(__xludf.DUMMYFUNCTION("IFERROR(VLOOKUP(F927,IMPORTRANGE(""https://docs.google.com/spreadsheets/d/1Kvs4KS76FHFqLFIZfrDMff4kP08nblUkihrxltoGBjg/edit#gid=934712705"",""ESENCIAL!A6:BG""),2,FALSE))"),"")</f>
        <v/>
      </c>
      <c r="AO904" s="19" t="str">
        <f t="shared" si="46"/>
        <v/>
      </c>
      <c r="AP904" s="100"/>
      <c r="AQ904" s="100"/>
    </row>
    <row r="905" spans="1:43" ht="15">
      <c r="A905" s="5"/>
      <c r="B905" s="5"/>
      <c r="G905" s="5" t="str">
        <f ca="1">IFERROR(__xludf.DUMMYFUNCTION("IFERROR(VLOOKUP(F928,IMPORTRANGE(""https://docs.google.com/spreadsheets/d/1Kvs4KS76FHFqLFIZfrDMff4kP08nblUkihrxltoGBjg/edit#gid=934712705"",""ESENCIAL!A6:BG""),3,FALSE))"),"")</f>
        <v/>
      </c>
      <c r="H905" s="5" t="str">
        <f ca="1">IFERROR(__xludf.DUMMYFUNCTION("IFERROR(VLOOKUP(F928,IMPORTRANGE(""https://docs.google.com/spreadsheets/d/1Kvs4KS76FHFqLFIZfrDMff4kP08nblUkihrxltoGBjg/edit#gid=934712705"",""ESENCIAL!A6:BG""),8,FALSE))"),"")</f>
        <v/>
      </c>
      <c r="L905" s="40"/>
      <c r="Z905" s="41" t="str">
        <f t="shared" si="53"/>
        <v/>
      </c>
      <c r="AA905" s="5" t="str">
        <f ca="1">IFERROR(__xludf.DUMMYFUNCTION("IFERROR(VLOOKUP(E928&amp;F928,IMPORTRANGE(""https://docs.google.com/spreadsheets/d/1Uw7-A9f9R21vMXxHZFNpYNeKFtG8_yji4HS352LGlSQ/edit?pli=1#gid=0"",""1_ACUM!A4:S""),11,FALSE))"),"")</f>
        <v/>
      </c>
      <c r="AB905" s="42" t="str">
        <f ca="1">IFERROR(__xludf.DUMMYFUNCTION("IFERROR(VLOOKUP(F928,IMPORTRANGE(""https://docs.google.com/spreadsheets/d/1Kvs4KS76FHFqLFIZfrDMff4kP08nblUkihrxltoGBjg/edit#gid=934712705"",""ESENCIAL!A6:BG""),15,FALSE))"),"")</f>
        <v/>
      </c>
      <c r="AC905" s="110" t="str">
        <f ca="1">IFERROR(__xludf.DUMMYFUNCTION("IFERROR(VLOOKUP(E928&amp;F928,IMPORTRANGE(""https://docs.google.com/spreadsheets/d/1Uw7-A9f9R21vMXxHZFNpYNeKFtG8_yji4HS352LGlSQ/edit?pli=1#gid=0"",""1_ACUM!A4:S""),13,FALSE))"),"")</f>
        <v/>
      </c>
      <c r="AD905" s="43" t="str">
        <f ca="1">IFERROR(__xludf.DUMMYFUNCTION("IFERROR(VLOOKUP(E928&amp;F928,IMPORTRANGE(""https://docs.google.com/spreadsheets/d/1Uw7-A9f9R21vMXxHZFNpYNeKFtG8_yji4HS352LGlSQ/edit?pli=1#gid=0"",""1_ACUM!A4:S""),13,FALSE))"),"")</f>
        <v/>
      </c>
      <c r="AE905" s="43" t="str">
        <f ca="1">IFERROR(__xludf.DUMMYFUNCTION("IFERROR(VLOOKUP(E928&amp;F928,IMPORTRANGE(""https://docs.google.com/spreadsheets/d/1Uw7-A9f9R21vMXxHZFNpYNeKFtG8_yji4HS352LGlSQ/edit?pli=1#gid=0"",""1_ACUM!A4:S""),14,FALSE))"),"")</f>
        <v/>
      </c>
      <c r="AF905" s="43" t="str">
        <f ca="1">IFERROR(__xludf.DUMMYFUNCTION("IFERROR(VLOOKUP(E928&amp;F928,IMPORTRANGE(""https://docs.google.com/spreadsheets/d/1Uw7-A9f9R21vMXxHZFNpYNeKFtG8_yji4HS352LGlSQ/edit?pli=1#gid=0"",""1_ACUM!A4:S""),15,FALSE))"),"")</f>
        <v/>
      </c>
      <c r="AG905" s="43" t="str">
        <f ca="1">IFERROR(__xludf.DUMMYFUNCTION("IFERROR(VLOOKUP(E928&amp;F928,IMPORTRANGE(""https://docs.google.com/spreadsheets/d/1Uw7-A9f9R21vMXxHZFNpYNeKFtG8_yji4HS352LGlSQ/edit?pli=1#gid=0"",""1_ACUM!A4:S""),16,FALSE))"),"")</f>
        <v/>
      </c>
      <c r="AH905" s="43" t="str">
        <f ca="1">IFERROR(__xludf.DUMMYFUNCTION("IFERROR(VLOOKUP(E928&amp;F928,IMPORTRANGE(""https://docs.google.com/spreadsheets/d/1Uw7-A9f9R21vMXxHZFNpYNeKFtG8_yji4HS352LGlSQ/edit?pli=1#gid=0"",""1_ACUM!A4:S""),17,FALSE))"),"")</f>
        <v/>
      </c>
      <c r="AI905" s="44" t="str">
        <f ca="1">IFERROR(__xludf.DUMMYFUNCTION("IFERROR(VLOOKUP(E928&amp;F928,IMPORTRANGE(""https://docs.google.com/spreadsheets/d/1Uw7-A9f9R21vMXxHZFNpYNeKFtG8_yji4HS352LGlSQ/edit?pli=1#gid=0"",""1_ACUM!A4:S""),18,FALSE))"),"")</f>
        <v/>
      </c>
      <c r="AJ905" s="44" t="str">
        <f ca="1">IFERROR(__xludf.DUMMYFUNCTION("IFERROR(VLOOKUP(E928&amp;F928,IMPORTRANGE(""https://docs.google.com/spreadsheets/d/1Uw7-A9f9R21vMXxHZFNpYNeKFtG8_yji4HS352LGlSQ/edit?pli=1#gid=0"",""1_ACUM!A4:S""),19,FALSE))"),"")</f>
        <v/>
      </c>
      <c r="AK905" s="98" t="str">
        <f ca="1">IFERROR(__xludf.DUMMYFUNCTION("IFERROR(VLOOKUP(F928,IMPORTRANGE(""https://docs.google.com/spreadsheets/d/1Kvs4KS76FHFqLFIZfrDMff4kP08nblUkihrxltoGBjg/edit#gid=934712705"",""ESENCIAL!A6:BG""),5,FALSE))"),"")</f>
        <v/>
      </c>
      <c r="AL905" s="98" t="str">
        <f t="shared" si="54"/>
        <v/>
      </c>
      <c r="AM905" s="99" t="str">
        <f t="shared" si="55"/>
        <v/>
      </c>
      <c r="AN905" s="100" t="str">
        <f ca="1">IFERROR(__xludf.DUMMYFUNCTION("IFERROR(VLOOKUP(F928,IMPORTRANGE(""https://docs.google.com/spreadsheets/d/1Kvs4KS76FHFqLFIZfrDMff4kP08nblUkihrxltoGBjg/edit#gid=934712705"",""ESENCIAL!A6:BG""),2,FALSE))"),"")</f>
        <v/>
      </c>
      <c r="AO905" s="19" t="str">
        <f t="shared" si="46"/>
        <v/>
      </c>
      <c r="AP905" s="100"/>
      <c r="AQ905" s="100"/>
    </row>
    <row r="906" spans="1:43" ht="15">
      <c r="A906" s="5"/>
      <c r="B906" s="5"/>
      <c r="G906" s="5" t="str">
        <f ca="1">IFERROR(__xludf.DUMMYFUNCTION("IFERROR(VLOOKUP(F929,IMPORTRANGE(""https://docs.google.com/spreadsheets/d/1Kvs4KS76FHFqLFIZfrDMff4kP08nblUkihrxltoGBjg/edit#gid=934712705"",""ESENCIAL!A6:BG""),3,FALSE))"),"")</f>
        <v/>
      </c>
      <c r="H906" s="5" t="str">
        <f ca="1">IFERROR(__xludf.DUMMYFUNCTION("IFERROR(VLOOKUP(F929,IMPORTRANGE(""https://docs.google.com/spreadsheets/d/1Kvs4KS76FHFqLFIZfrDMff4kP08nblUkihrxltoGBjg/edit#gid=934712705"",""ESENCIAL!A6:BG""),8,FALSE))"),"")</f>
        <v/>
      </c>
      <c r="L906" s="40"/>
      <c r="Z906" s="41" t="str">
        <f t="shared" si="53"/>
        <v/>
      </c>
      <c r="AA906" s="5" t="str">
        <f ca="1">IFERROR(__xludf.DUMMYFUNCTION("IFERROR(VLOOKUP(E929&amp;F929,IMPORTRANGE(""https://docs.google.com/spreadsheets/d/1Uw7-A9f9R21vMXxHZFNpYNeKFtG8_yji4HS352LGlSQ/edit?pli=1#gid=0"",""1_ACUM!A4:S""),11,FALSE))"),"")</f>
        <v/>
      </c>
      <c r="AB906" s="42" t="str">
        <f ca="1">IFERROR(__xludf.DUMMYFUNCTION("IFERROR(VLOOKUP(F929,IMPORTRANGE(""https://docs.google.com/spreadsheets/d/1Kvs4KS76FHFqLFIZfrDMff4kP08nblUkihrxltoGBjg/edit#gid=934712705"",""ESENCIAL!A6:BG""),15,FALSE))"),"")</f>
        <v/>
      </c>
      <c r="AC906" s="110" t="str">
        <f ca="1">IFERROR(__xludf.DUMMYFUNCTION("IFERROR(VLOOKUP(E929&amp;F929,IMPORTRANGE(""https://docs.google.com/spreadsheets/d/1Uw7-A9f9R21vMXxHZFNpYNeKFtG8_yji4HS352LGlSQ/edit?pli=1#gid=0"",""1_ACUM!A4:S""),13,FALSE))"),"")</f>
        <v/>
      </c>
      <c r="AD906" s="43" t="str">
        <f ca="1">IFERROR(__xludf.DUMMYFUNCTION("IFERROR(VLOOKUP(E929&amp;F929,IMPORTRANGE(""https://docs.google.com/spreadsheets/d/1Uw7-A9f9R21vMXxHZFNpYNeKFtG8_yji4HS352LGlSQ/edit?pli=1#gid=0"",""1_ACUM!A4:S""),13,FALSE))"),"")</f>
        <v/>
      </c>
      <c r="AE906" s="43" t="str">
        <f ca="1">IFERROR(__xludf.DUMMYFUNCTION("IFERROR(VLOOKUP(E929&amp;F929,IMPORTRANGE(""https://docs.google.com/spreadsheets/d/1Uw7-A9f9R21vMXxHZFNpYNeKFtG8_yji4HS352LGlSQ/edit?pli=1#gid=0"",""1_ACUM!A4:S""),14,FALSE))"),"")</f>
        <v/>
      </c>
      <c r="AF906" s="43" t="str">
        <f ca="1">IFERROR(__xludf.DUMMYFUNCTION("IFERROR(VLOOKUP(E929&amp;F929,IMPORTRANGE(""https://docs.google.com/spreadsheets/d/1Uw7-A9f9R21vMXxHZFNpYNeKFtG8_yji4HS352LGlSQ/edit?pli=1#gid=0"",""1_ACUM!A4:S""),15,FALSE))"),"")</f>
        <v/>
      </c>
      <c r="AG906" s="43" t="str">
        <f ca="1">IFERROR(__xludf.DUMMYFUNCTION("IFERROR(VLOOKUP(E929&amp;F929,IMPORTRANGE(""https://docs.google.com/spreadsheets/d/1Uw7-A9f9R21vMXxHZFNpYNeKFtG8_yji4HS352LGlSQ/edit?pli=1#gid=0"",""1_ACUM!A4:S""),16,FALSE))"),"")</f>
        <v/>
      </c>
      <c r="AH906" s="43" t="str">
        <f ca="1">IFERROR(__xludf.DUMMYFUNCTION("IFERROR(VLOOKUP(E929&amp;F929,IMPORTRANGE(""https://docs.google.com/spreadsheets/d/1Uw7-A9f9R21vMXxHZFNpYNeKFtG8_yji4HS352LGlSQ/edit?pli=1#gid=0"",""1_ACUM!A4:S""),17,FALSE))"),"")</f>
        <v/>
      </c>
      <c r="AI906" s="44" t="str">
        <f ca="1">IFERROR(__xludf.DUMMYFUNCTION("IFERROR(VLOOKUP(E929&amp;F929,IMPORTRANGE(""https://docs.google.com/spreadsheets/d/1Uw7-A9f9R21vMXxHZFNpYNeKFtG8_yji4HS352LGlSQ/edit?pli=1#gid=0"",""1_ACUM!A4:S""),18,FALSE))"),"")</f>
        <v/>
      </c>
      <c r="AJ906" s="44" t="str">
        <f ca="1">IFERROR(__xludf.DUMMYFUNCTION("IFERROR(VLOOKUP(E929&amp;F929,IMPORTRANGE(""https://docs.google.com/spreadsheets/d/1Uw7-A9f9R21vMXxHZFNpYNeKFtG8_yji4HS352LGlSQ/edit?pli=1#gid=0"",""1_ACUM!A4:S""),19,FALSE))"),"")</f>
        <v/>
      </c>
      <c r="AK906" s="98" t="str">
        <f ca="1">IFERROR(__xludf.DUMMYFUNCTION("IFERROR(VLOOKUP(F929,IMPORTRANGE(""https://docs.google.com/spreadsheets/d/1Kvs4KS76FHFqLFIZfrDMff4kP08nblUkihrxltoGBjg/edit#gid=934712705"",""ESENCIAL!A6:BG""),5,FALSE))"),"")</f>
        <v/>
      </c>
      <c r="AL906" s="98" t="str">
        <f t="shared" si="54"/>
        <v/>
      </c>
      <c r="AM906" s="99" t="str">
        <f t="shared" si="55"/>
        <v/>
      </c>
      <c r="AN906" s="100" t="str">
        <f ca="1">IFERROR(__xludf.DUMMYFUNCTION("IFERROR(VLOOKUP(F929,IMPORTRANGE(""https://docs.google.com/spreadsheets/d/1Kvs4KS76FHFqLFIZfrDMff4kP08nblUkihrxltoGBjg/edit#gid=934712705"",""ESENCIAL!A6:BG""),2,FALSE))"),"")</f>
        <v/>
      </c>
      <c r="AO906" s="19" t="str">
        <f t="shared" si="46"/>
        <v/>
      </c>
      <c r="AP906" s="100"/>
      <c r="AQ906" s="100"/>
    </row>
    <row r="907" spans="1:43" ht="15">
      <c r="A907" s="5"/>
      <c r="B907" s="5"/>
      <c r="G907" s="5" t="str">
        <f ca="1">IFERROR(__xludf.DUMMYFUNCTION("IFERROR(VLOOKUP(F930,IMPORTRANGE(""https://docs.google.com/spreadsheets/d/1Kvs4KS76FHFqLFIZfrDMff4kP08nblUkihrxltoGBjg/edit#gid=934712705"",""ESENCIAL!A6:BG""),3,FALSE))"),"")</f>
        <v/>
      </c>
      <c r="H907" s="5" t="str">
        <f ca="1">IFERROR(__xludf.DUMMYFUNCTION("IFERROR(VLOOKUP(F930,IMPORTRANGE(""https://docs.google.com/spreadsheets/d/1Kvs4KS76FHFqLFIZfrDMff4kP08nblUkihrxltoGBjg/edit#gid=934712705"",""ESENCIAL!A6:BG""),8,FALSE))"),"")</f>
        <v/>
      </c>
      <c r="L907" s="40"/>
      <c r="Z907" s="41" t="str">
        <f t="shared" si="53"/>
        <v/>
      </c>
      <c r="AA907" s="5" t="str">
        <f ca="1">IFERROR(__xludf.DUMMYFUNCTION("IFERROR(VLOOKUP(E930&amp;F930,IMPORTRANGE(""https://docs.google.com/spreadsheets/d/1Uw7-A9f9R21vMXxHZFNpYNeKFtG8_yji4HS352LGlSQ/edit?pli=1#gid=0"",""1_ACUM!A4:S""),11,FALSE))"),"")</f>
        <v/>
      </c>
      <c r="AB907" s="42" t="str">
        <f ca="1">IFERROR(__xludf.DUMMYFUNCTION("IFERROR(VLOOKUP(F930,IMPORTRANGE(""https://docs.google.com/spreadsheets/d/1Kvs4KS76FHFqLFIZfrDMff4kP08nblUkihrxltoGBjg/edit#gid=934712705"",""ESENCIAL!A6:BG""),15,FALSE))"),"")</f>
        <v/>
      </c>
      <c r="AC907" s="110" t="str">
        <f ca="1">IFERROR(__xludf.DUMMYFUNCTION("IFERROR(VLOOKUP(E930&amp;F930,IMPORTRANGE(""https://docs.google.com/spreadsheets/d/1Uw7-A9f9R21vMXxHZFNpYNeKFtG8_yji4HS352LGlSQ/edit?pli=1#gid=0"",""1_ACUM!A4:S""),13,FALSE))"),"")</f>
        <v/>
      </c>
      <c r="AD907" s="43" t="str">
        <f ca="1">IFERROR(__xludf.DUMMYFUNCTION("IFERROR(VLOOKUP(E930&amp;F930,IMPORTRANGE(""https://docs.google.com/spreadsheets/d/1Uw7-A9f9R21vMXxHZFNpYNeKFtG8_yji4HS352LGlSQ/edit?pli=1#gid=0"",""1_ACUM!A4:S""),13,FALSE))"),"")</f>
        <v/>
      </c>
      <c r="AE907" s="43" t="str">
        <f ca="1">IFERROR(__xludf.DUMMYFUNCTION("IFERROR(VLOOKUP(E930&amp;F930,IMPORTRANGE(""https://docs.google.com/spreadsheets/d/1Uw7-A9f9R21vMXxHZFNpYNeKFtG8_yji4HS352LGlSQ/edit?pli=1#gid=0"",""1_ACUM!A4:S""),14,FALSE))"),"")</f>
        <v/>
      </c>
      <c r="AF907" s="43" t="str">
        <f ca="1">IFERROR(__xludf.DUMMYFUNCTION("IFERROR(VLOOKUP(E930&amp;F930,IMPORTRANGE(""https://docs.google.com/spreadsheets/d/1Uw7-A9f9R21vMXxHZFNpYNeKFtG8_yji4HS352LGlSQ/edit?pli=1#gid=0"",""1_ACUM!A4:S""),15,FALSE))"),"")</f>
        <v/>
      </c>
      <c r="AG907" s="43" t="str">
        <f ca="1">IFERROR(__xludf.DUMMYFUNCTION("IFERROR(VLOOKUP(E930&amp;F930,IMPORTRANGE(""https://docs.google.com/spreadsheets/d/1Uw7-A9f9R21vMXxHZFNpYNeKFtG8_yji4HS352LGlSQ/edit?pli=1#gid=0"",""1_ACUM!A4:S""),16,FALSE))"),"")</f>
        <v/>
      </c>
      <c r="AH907" s="43" t="str">
        <f ca="1">IFERROR(__xludf.DUMMYFUNCTION("IFERROR(VLOOKUP(E930&amp;F930,IMPORTRANGE(""https://docs.google.com/spreadsheets/d/1Uw7-A9f9R21vMXxHZFNpYNeKFtG8_yji4HS352LGlSQ/edit?pli=1#gid=0"",""1_ACUM!A4:S""),17,FALSE))"),"")</f>
        <v/>
      </c>
      <c r="AI907" s="44" t="str">
        <f ca="1">IFERROR(__xludf.DUMMYFUNCTION("IFERROR(VLOOKUP(E930&amp;F930,IMPORTRANGE(""https://docs.google.com/spreadsheets/d/1Uw7-A9f9R21vMXxHZFNpYNeKFtG8_yji4HS352LGlSQ/edit?pli=1#gid=0"",""1_ACUM!A4:S""),18,FALSE))"),"")</f>
        <v/>
      </c>
      <c r="AJ907" s="44" t="str">
        <f ca="1">IFERROR(__xludf.DUMMYFUNCTION("IFERROR(VLOOKUP(E930&amp;F930,IMPORTRANGE(""https://docs.google.com/spreadsheets/d/1Uw7-A9f9R21vMXxHZFNpYNeKFtG8_yji4HS352LGlSQ/edit?pli=1#gid=0"",""1_ACUM!A4:S""),19,FALSE))"),"")</f>
        <v/>
      </c>
      <c r="AK907" s="98" t="str">
        <f ca="1">IFERROR(__xludf.DUMMYFUNCTION("IFERROR(VLOOKUP(F930,IMPORTRANGE(""https://docs.google.com/spreadsheets/d/1Kvs4KS76FHFqLFIZfrDMff4kP08nblUkihrxltoGBjg/edit#gid=934712705"",""ESENCIAL!A6:BG""),5,FALSE))"),"")</f>
        <v/>
      </c>
      <c r="AL907" s="98" t="str">
        <f t="shared" si="54"/>
        <v/>
      </c>
      <c r="AM907" s="99" t="str">
        <f t="shared" si="55"/>
        <v/>
      </c>
      <c r="AN907" s="100" t="str">
        <f ca="1">IFERROR(__xludf.DUMMYFUNCTION("IFERROR(VLOOKUP(F930,IMPORTRANGE(""https://docs.google.com/spreadsheets/d/1Kvs4KS76FHFqLFIZfrDMff4kP08nblUkihrxltoGBjg/edit#gid=934712705"",""ESENCIAL!A6:BG""),2,FALSE))"),"")</f>
        <v/>
      </c>
      <c r="AO907" s="19" t="str">
        <f t="shared" si="46"/>
        <v/>
      </c>
      <c r="AP907" s="100"/>
      <c r="AQ907" s="100"/>
    </row>
    <row r="908" spans="1:43" ht="15">
      <c r="A908" s="5"/>
      <c r="B908" s="5"/>
      <c r="G908" s="5" t="str">
        <f ca="1">IFERROR(__xludf.DUMMYFUNCTION("IFERROR(VLOOKUP(F931,IMPORTRANGE(""https://docs.google.com/spreadsheets/d/1Kvs4KS76FHFqLFIZfrDMff4kP08nblUkihrxltoGBjg/edit#gid=934712705"",""ESENCIAL!A6:BG""),3,FALSE))"),"")</f>
        <v/>
      </c>
      <c r="H908" s="5" t="str">
        <f ca="1">IFERROR(__xludf.DUMMYFUNCTION("IFERROR(VLOOKUP(F931,IMPORTRANGE(""https://docs.google.com/spreadsheets/d/1Kvs4KS76FHFqLFIZfrDMff4kP08nblUkihrxltoGBjg/edit#gid=934712705"",""ESENCIAL!A6:BG""),8,FALSE))"),"")</f>
        <v/>
      </c>
      <c r="L908" s="40"/>
      <c r="Z908" s="41" t="str">
        <f t="shared" si="53"/>
        <v/>
      </c>
      <c r="AA908" s="5" t="str">
        <f ca="1">IFERROR(__xludf.DUMMYFUNCTION("IFERROR(VLOOKUP(E931&amp;F931,IMPORTRANGE(""https://docs.google.com/spreadsheets/d/1Uw7-A9f9R21vMXxHZFNpYNeKFtG8_yji4HS352LGlSQ/edit?pli=1#gid=0"",""1_ACUM!A4:S""),11,FALSE))"),"")</f>
        <v/>
      </c>
      <c r="AB908" s="42" t="str">
        <f ca="1">IFERROR(__xludf.DUMMYFUNCTION("IFERROR(VLOOKUP(F931,IMPORTRANGE(""https://docs.google.com/spreadsheets/d/1Kvs4KS76FHFqLFIZfrDMff4kP08nblUkihrxltoGBjg/edit#gid=934712705"",""ESENCIAL!A6:BG""),15,FALSE))"),"")</f>
        <v/>
      </c>
      <c r="AC908" s="110" t="str">
        <f ca="1">IFERROR(__xludf.DUMMYFUNCTION("IFERROR(VLOOKUP(E931&amp;F931,IMPORTRANGE(""https://docs.google.com/spreadsheets/d/1Uw7-A9f9R21vMXxHZFNpYNeKFtG8_yji4HS352LGlSQ/edit?pli=1#gid=0"",""1_ACUM!A4:S""),13,FALSE))"),"")</f>
        <v/>
      </c>
      <c r="AD908" s="43" t="str">
        <f ca="1">IFERROR(__xludf.DUMMYFUNCTION("IFERROR(VLOOKUP(E931&amp;F931,IMPORTRANGE(""https://docs.google.com/spreadsheets/d/1Uw7-A9f9R21vMXxHZFNpYNeKFtG8_yji4HS352LGlSQ/edit?pli=1#gid=0"",""1_ACUM!A4:S""),13,FALSE))"),"")</f>
        <v/>
      </c>
      <c r="AE908" s="43" t="str">
        <f ca="1">IFERROR(__xludf.DUMMYFUNCTION("IFERROR(VLOOKUP(E931&amp;F931,IMPORTRANGE(""https://docs.google.com/spreadsheets/d/1Uw7-A9f9R21vMXxHZFNpYNeKFtG8_yji4HS352LGlSQ/edit?pli=1#gid=0"",""1_ACUM!A4:S""),14,FALSE))"),"")</f>
        <v/>
      </c>
      <c r="AF908" s="43" t="str">
        <f ca="1">IFERROR(__xludf.DUMMYFUNCTION("IFERROR(VLOOKUP(E931&amp;F931,IMPORTRANGE(""https://docs.google.com/spreadsheets/d/1Uw7-A9f9R21vMXxHZFNpYNeKFtG8_yji4HS352LGlSQ/edit?pli=1#gid=0"",""1_ACUM!A4:S""),15,FALSE))"),"")</f>
        <v/>
      </c>
      <c r="AG908" s="43" t="str">
        <f ca="1">IFERROR(__xludf.DUMMYFUNCTION("IFERROR(VLOOKUP(E931&amp;F931,IMPORTRANGE(""https://docs.google.com/spreadsheets/d/1Uw7-A9f9R21vMXxHZFNpYNeKFtG8_yji4HS352LGlSQ/edit?pli=1#gid=0"",""1_ACUM!A4:S""),16,FALSE))"),"")</f>
        <v/>
      </c>
      <c r="AH908" s="43" t="str">
        <f ca="1">IFERROR(__xludf.DUMMYFUNCTION("IFERROR(VLOOKUP(E931&amp;F931,IMPORTRANGE(""https://docs.google.com/spreadsheets/d/1Uw7-A9f9R21vMXxHZFNpYNeKFtG8_yji4HS352LGlSQ/edit?pli=1#gid=0"",""1_ACUM!A4:S""),17,FALSE))"),"")</f>
        <v/>
      </c>
      <c r="AI908" s="44" t="str">
        <f ca="1">IFERROR(__xludf.DUMMYFUNCTION("IFERROR(VLOOKUP(E931&amp;F931,IMPORTRANGE(""https://docs.google.com/spreadsheets/d/1Uw7-A9f9R21vMXxHZFNpYNeKFtG8_yji4HS352LGlSQ/edit?pli=1#gid=0"",""1_ACUM!A4:S""),18,FALSE))"),"")</f>
        <v/>
      </c>
      <c r="AJ908" s="44" t="str">
        <f ca="1">IFERROR(__xludf.DUMMYFUNCTION("IFERROR(VLOOKUP(E931&amp;F931,IMPORTRANGE(""https://docs.google.com/spreadsheets/d/1Uw7-A9f9R21vMXxHZFNpYNeKFtG8_yji4HS352LGlSQ/edit?pli=1#gid=0"",""1_ACUM!A4:S""),19,FALSE))"),"")</f>
        <v/>
      </c>
      <c r="AK908" s="98" t="str">
        <f ca="1">IFERROR(__xludf.DUMMYFUNCTION("IFERROR(VLOOKUP(F931,IMPORTRANGE(""https://docs.google.com/spreadsheets/d/1Kvs4KS76FHFqLFIZfrDMff4kP08nblUkihrxltoGBjg/edit#gid=934712705"",""ESENCIAL!A6:BG""),5,FALSE))"),"")</f>
        <v/>
      </c>
      <c r="AL908" s="98" t="str">
        <f t="shared" si="54"/>
        <v/>
      </c>
      <c r="AM908" s="99" t="str">
        <f t="shared" si="55"/>
        <v/>
      </c>
      <c r="AN908" s="100" t="str">
        <f ca="1">IFERROR(__xludf.DUMMYFUNCTION("IFERROR(VLOOKUP(F931,IMPORTRANGE(""https://docs.google.com/spreadsheets/d/1Kvs4KS76FHFqLFIZfrDMff4kP08nblUkihrxltoGBjg/edit#gid=934712705"",""ESENCIAL!A6:BG""),2,FALSE))"),"")</f>
        <v/>
      </c>
      <c r="AO908" s="19" t="str">
        <f t="shared" si="46"/>
        <v/>
      </c>
      <c r="AP908" s="100"/>
      <c r="AQ908" s="100"/>
    </row>
    <row r="909" spans="1:43" ht="15">
      <c r="A909" s="5"/>
      <c r="B909" s="5"/>
      <c r="G909" s="5" t="str">
        <f ca="1">IFERROR(__xludf.DUMMYFUNCTION("IFERROR(VLOOKUP(F932,IMPORTRANGE(""https://docs.google.com/spreadsheets/d/1Kvs4KS76FHFqLFIZfrDMff4kP08nblUkihrxltoGBjg/edit#gid=934712705"",""ESENCIAL!A6:BG""),3,FALSE))"),"")</f>
        <v/>
      </c>
      <c r="H909" s="5" t="str">
        <f ca="1">IFERROR(__xludf.DUMMYFUNCTION("IFERROR(VLOOKUP(F932,IMPORTRANGE(""https://docs.google.com/spreadsheets/d/1Kvs4KS76FHFqLFIZfrDMff4kP08nblUkihrxltoGBjg/edit#gid=934712705"",""ESENCIAL!A6:BG""),8,FALSE))"),"")</f>
        <v/>
      </c>
      <c r="L909" s="40"/>
      <c r="Z909" s="41" t="str">
        <f t="shared" si="53"/>
        <v/>
      </c>
      <c r="AA909" s="5" t="str">
        <f ca="1">IFERROR(__xludf.DUMMYFUNCTION("IFERROR(VLOOKUP(E932&amp;F932,IMPORTRANGE(""https://docs.google.com/spreadsheets/d/1Uw7-A9f9R21vMXxHZFNpYNeKFtG8_yji4HS352LGlSQ/edit?pli=1#gid=0"",""1_ACUM!A4:S""),11,FALSE))"),"")</f>
        <v/>
      </c>
      <c r="AB909" s="42" t="str">
        <f ca="1">IFERROR(__xludf.DUMMYFUNCTION("IFERROR(VLOOKUP(F932,IMPORTRANGE(""https://docs.google.com/spreadsheets/d/1Kvs4KS76FHFqLFIZfrDMff4kP08nblUkihrxltoGBjg/edit#gid=934712705"",""ESENCIAL!A6:BG""),15,FALSE))"),"")</f>
        <v/>
      </c>
      <c r="AC909" s="110" t="str">
        <f ca="1">IFERROR(__xludf.DUMMYFUNCTION("IFERROR(VLOOKUP(E932&amp;F932,IMPORTRANGE(""https://docs.google.com/spreadsheets/d/1Uw7-A9f9R21vMXxHZFNpYNeKFtG8_yji4HS352LGlSQ/edit?pli=1#gid=0"",""1_ACUM!A4:S""),13,FALSE))"),"")</f>
        <v/>
      </c>
      <c r="AD909" s="43" t="str">
        <f ca="1">IFERROR(__xludf.DUMMYFUNCTION("IFERROR(VLOOKUP(E932&amp;F932,IMPORTRANGE(""https://docs.google.com/spreadsheets/d/1Uw7-A9f9R21vMXxHZFNpYNeKFtG8_yji4HS352LGlSQ/edit?pli=1#gid=0"",""1_ACUM!A4:S""),13,FALSE))"),"")</f>
        <v/>
      </c>
      <c r="AE909" s="43" t="str">
        <f ca="1">IFERROR(__xludf.DUMMYFUNCTION("IFERROR(VLOOKUP(E932&amp;F932,IMPORTRANGE(""https://docs.google.com/spreadsheets/d/1Uw7-A9f9R21vMXxHZFNpYNeKFtG8_yji4HS352LGlSQ/edit?pli=1#gid=0"",""1_ACUM!A4:S""),14,FALSE))"),"")</f>
        <v/>
      </c>
      <c r="AF909" s="43" t="str">
        <f ca="1">IFERROR(__xludf.DUMMYFUNCTION("IFERROR(VLOOKUP(E932&amp;F932,IMPORTRANGE(""https://docs.google.com/spreadsheets/d/1Uw7-A9f9R21vMXxHZFNpYNeKFtG8_yji4HS352LGlSQ/edit?pli=1#gid=0"",""1_ACUM!A4:S""),15,FALSE))"),"")</f>
        <v/>
      </c>
      <c r="AG909" s="43" t="str">
        <f ca="1">IFERROR(__xludf.DUMMYFUNCTION("IFERROR(VLOOKUP(E932&amp;F932,IMPORTRANGE(""https://docs.google.com/spreadsheets/d/1Uw7-A9f9R21vMXxHZFNpYNeKFtG8_yji4HS352LGlSQ/edit?pli=1#gid=0"",""1_ACUM!A4:S""),16,FALSE))"),"")</f>
        <v/>
      </c>
      <c r="AH909" s="43" t="str">
        <f ca="1">IFERROR(__xludf.DUMMYFUNCTION("IFERROR(VLOOKUP(E932&amp;F932,IMPORTRANGE(""https://docs.google.com/spreadsheets/d/1Uw7-A9f9R21vMXxHZFNpYNeKFtG8_yji4HS352LGlSQ/edit?pli=1#gid=0"",""1_ACUM!A4:S""),17,FALSE))"),"")</f>
        <v/>
      </c>
      <c r="AI909" s="44" t="str">
        <f ca="1">IFERROR(__xludf.DUMMYFUNCTION("IFERROR(VLOOKUP(E932&amp;F932,IMPORTRANGE(""https://docs.google.com/spreadsheets/d/1Uw7-A9f9R21vMXxHZFNpYNeKFtG8_yji4HS352LGlSQ/edit?pli=1#gid=0"",""1_ACUM!A4:S""),18,FALSE))"),"")</f>
        <v/>
      </c>
      <c r="AJ909" s="44" t="str">
        <f ca="1">IFERROR(__xludf.DUMMYFUNCTION("IFERROR(VLOOKUP(E932&amp;F932,IMPORTRANGE(""https://docs.google.com/spreadsheets/d/1Uw7-A9f9R21vMXxHZFNpYNeKFtG8_yji4HS352LGlSQ/edit?pli=1#gid=0"",""1_ACUM!A4:S""),19,FALSE))"),"")</f>
        <v/>
      </c>
      <c r="AK909" s="98" t="str">
        <f ca="1">IFERROR(__xludf.DUMMYFUNCTION("IFERROR(VLOOKUP(F932,IMPORTRANGE(""https://docs.google.com/spreadsheets/d/1Kvs4KS76FHFqLFIZfrDMff4kP08nblUkihrxltoGBjg/edit#gid=934712705"",""ESENCIAL!A6:BG""),5,FALSE))"),"")</f>
        <v/>
      </c>
      <c r="AL909" s="98" t="str">
        <f t="shared" si="54"/>
        <v/>
      </c>
      <c r="AM909" s="99" t="str">
        <f t="shared" si="55"/>
        <v/>
      </c>
      <c r="AN909" s="100" t="str">
        <f ca="1">IFERROR(__xludf.DUMMYFUNCTION("IFERROR(VLOOKUP(F932,IMPORTRANGE(""https://docs.google.com/spreadsheets/d/1Kvs4KS76FHFqLFIZfrDMff4kP08nblUkihrxltoGBjg/edit#gid=934712705"",""ESENCIAL!A6:BG""),2,FALSE))"),"")</f>
        <v/>
      </c>
      <c r="AO909" s="19" t="str">
        <f t="shared" si="46"/>
        <v/>
      </c>
      <c r="AP909" s="100"/>
      <c r="AQ909" s="100"/>
    </row>
    <row r="910" spans="1:43" ht="15">
      <c r="A910" s="5"/>
      <c r="B910" s="5"/>
      <c r="G910" s="5" t="str">
        <f ca="1">IFERROR(__xludf.DUMMYFUNCTION("IFERROR(VLOOKUP(F933,IMPORTRANGE(""https://docs.google.com/spreadsheets/d/1Kvs4KS76FHFqLFIZfrDMff4kP08nblUkihrxltoGBjg/edit#gid=934712705"",""ESENCIAL!A6:BG""),3,FALSE))"),"")</f>
        <v/>
      </c>
      <c r="H910" s="5" t="str">
        <f ca="1">IFERROR(__xludf.DUMMYFUNCTION("IFERROR(VLOOKUP(F933,IMPORTRANGE(""https://docs.google.com/spreadsheets/d/1Kvs4KS76FHFqLFIZfrDMff4kP08nblUkihrxltoGBjg/edit#gid=934712705"",""ESENCIAL!A6:BG""),8,FALSE))"),"")</f>
        <v/>
      </c>
      <c r="L910" s="40"/>
      <c r="Z910" s="41" t="str">
        <f t="shared" si="53"/>
        <v/>
      </c>
      <c r="AA910" s="5" t="str">
        <f ca="1">IFERROR(__xludf.DUMMYFUNCTION("IFERROR(VLOOKUP(E933&amp;F933,IMPORTRANGE(""https://docs.google.com/spreadsheets/d/1Uw7-A9f9R21vMXxHZFNpYNeKFtG8_yji4HS352LGlSQ/edit?pli=1#gid=0"",""1_ACUM!A4:S""),11,FALSE))"),"")</f>
        <v/>
      </c>
      <c r="AB910" s="42" t="str">
        <f ca="1">IFERROR(__xludf.DUMMYFUNCTION("IFERROR(VLOOKUP(F933,IMPORTRANGE(""https://docs.google.com/spreadsheets/d/1Kvs4KS76FHFqLFIZfrDMff4kP08nblUkihrxltoGBjg/edit#gid=934712705"",""ESENCIAL!A6:BG""),15,FALSE))"),"")</f>
        <v/>
      </c>
      <c r="AC910" s="110" t="str">
        <f ca="1">IFERROR(__xludf.DUMMYFUNCTION("IFERROR(VLOOKUP(E933&amp;F933,IMPORTRANGE(""https://docs.google.com/spreadsheets/d/1Uw7-A9f9R21vMXxHZFNpYNeKFtG8_yji4HS352LGlSQ/edit?pli=1#gid=0"",""1_ACUM!A4:S""),13,FALSE))"),"")</f>
        <v/>
      </c>
      <c r="AD910" s="43" t="str">
        <f ca="1">IFERROR(__xludf.DUMMYFUNCTION("IFERROR(VLOOKUP(E933&amp;F933,IMPORTRANGE(""https://docs.google.com/spreadsheets/d/1Uw7-A9f9R21vMXxHZFNpYNeKFtG8_yji4HS352LGlSQ/edit?pli=1#gid=0"",""1_ACUM!A4:S""),13,FALSE))"),"")</f>
        <v/>
      </c>
      <c r="AE910" s="43" t="str">
        <f ca="1">IFERROR(__xludf.DUMMYFUNCTION("IFERROR(VLOOKUP(E933&amp;F933,IMPORTRANGE(""https://docs.google.com/spreadsheets/d/1Uw7-A9f9R21vMXxHZFNpYNeKFtG8_yji4HS352LGlSQ/edit?pli=1#gid=0"",""1_ACUM!A4:S""),14,FALSE))"),"")</f>
        <v/>
      </c>
      <c r="AF910" s="43" t="str">
        <f ca="1">IFERROR(__xludf.DUMMYFUNCTION("IFERROR(VLOOKUP(E933&amp;F933,IMPORTRANGE(""https://docs.google.com/spreadsheets/d/1Uw7-A9f9R21vMXxHZFNpYNeKFtG8_yji4HS352LGlSQ/edit?pli=1#gid=0"",""1_ACUM!A4:S""),15,FALSE))"),"")</f>
        <v/>
      </c>
      <c r="AG910" s="43" t="str">
        <f ca="1">IFERROR(__xludf.DUMMYFUNCTION("IFERROR(VLOOKUP(E933&amp;F933,IMPORTRANGE(""https://docs.google.com/spreadsheets/d/1Uw7-A9f9R21vMXxHZFNpYNeKFtG8_yji4HS352LGlSQ/edit?pli=1#gid=0"",""1_ACUM!A4:S""),16,FALSE))"),"")</f>
        <v/>
      </c>
      <c r="AH910" s="43" t="str">
        <f ca="1">IFERROR(__xludf.DUMMYFUNCTION("IFERROR(VLOOKUP(E933&amp;F933,IMPORTRANGE(""https://docs.google.com/spreadsheets/d/1Uw7-A9f9R21vMXxHZFNpYNeKFtG8_yji4HS352LGlSQ/edit?pli=1#gid=0"",""1_ACUM!A4:S""),17,FALSE))"),"")</f>
        <v/>
      </c>
      <c r="AI910" s="44" t="str">
        <f ca="1">IFERROR(__xludf.DUMMYFUNCTION("IFERROR(VLOOKUP(E933&amp;F933,IMPORTRANGE(""https://docs.google.com/spreadsheets/d/1Uw7-A9f9R21vMXxHZFNpYNeKFtG8_yji4HS352LGlSQ/edit?pli=1#gid=0"",""1_ACUM!A4:S""),18,FALSE))"),"")</f>
        <v/>
      </c>
      <c r="AJ910" s="44" t="str">
        <f ca="1">IFERROR(__xludf.DUMMYFUNCTION("IFERROR(VLOOKUP(E933&amp;F933,IMPORTRANGE(""https://docs.google.com/spreadsheets/d/1Uw7-A9f9R21vMXxHZFNpYNeKFtG8_yji4HS352LGlSQ/edit?pli=1#gid=0"",""1_ACUM!A4:S""),19,FALSE))"),"")</f>
        <v/>
      </c>
      <c r="AK910" s="98" t="str">
        <f ca="1">IFERROR(__xludf.DUMMYFUNCTION("IFERROR(VLOOKUP(F933,IMPORTRANGE(""https://docs.google.com/spreadsheets/d/1Kvs4KS76FHFqLFIZfrDMff4kP08nblUkihrxltoGBjg/edit#gid=934712705"",""ESENCIAL!A6:BG""),5,FALSE))"),"")</f>
        <v/>
      </c>
      <c r="AL910" s="98" t="str">
        <f t="shared" si="54"/>
        <v/>
      </c>
      <c r="AM910" s="99" t="str">
        <f t="shared" si="55"/>
        <v/>
      </c>
      <c r="AN910" s="100" t="str">
        <f ca="1">IFERROR(__xludf.DUMMYFUNCTION("IFERROR(VLOOKUP(F933,IMPORTRANGE(""https://docs.google.com/spreadsheets/d/1Kvs4KS76FHFqLFIZfrDMff4kP08nblUkihrxltoGBjg/edit#gid=934712705"",""ESENCIAL!A6:BG""),2,FALSE))"),"")</f>
        <v/>
      </c>
      <c r="AO910" s="19" t="str">
        <f t="shared" si="46"/>
        <v/>
      </c>
      <c r="AP910" s="100"/>
      <c r="AQ910" s="100"/>
    </row>
    <row r="911" spans="1:43" ht="15">
      <c r="A911" s="5"/>
      <c r="B911" s="5"/>
      <c r="G911" s="5" t="str">
        <f ca="1">IFERROR(__xludf.DUMMYFUNCTION("IFERROR(VLOOKUP(F934,IMPORTRANGE(""https://docs.google.com/spreadsheets/d/1Kvs4KS76FHFqLFIZfrDMff4kP08nblUkihrxltoGBjg/edit#gid=934712705"",""ESENCIAL!A6:BG""),3,FALSE))"),"")</f>
        <v/>
      </c>
      <c r="H911" s="5" t="str">
        <f ca="1">IFERROR(__xludf.DUMMYFUNCTION("IFERROR(VLOOKUP(F934,IMPORTRANGE(""https://docs.google.com/spreadsheets/d/1Kvs4KS76FHFqLFIZfrDMff4kP08nblUkihrxltoGBjg/edit#gid=934712705"",""ESENCIAL!A6:BG""),8,FALSE))"),"")</f>
        <v/>
      </c>
      <c r="L911" s="40"/>
      <c r="Z911" s="41" t="str">
        <f t="shared" si="53"/>
        <v/>
      </c>
      <c r="AA911" s="5" t="str">
        <f ca="1">IFERROR(__xludf.DUMMYFUNCTION("IFERROR(VLOOKUP(E934&amp;F934,IMPORTRANGE(""https://docs.google.com/spreadsheets/d/1Uw7-A9f9R21vMXxHZFNpYNeKFtG8_yji4HS352LGlSQ/edit?pli=1#gid=0"",""1_ACUM!A4:S""),11,FALSE))"),"")</f>
        <v/>
      </c>
      <c r="AB911" s="42" t="str">
        <f ca="1">IFERROR(__xludf.DUMMYFUNCTION("IFERROR(VLOOKUP(F934,IMPORTRANGE(""https://docs.google.com/spreadsheets/d/1Kvs4KS76FHFqLFIZfrDMff4kP08nblUkihrxltoGBjg/edit#gid=934712705"",""ESENCIAL!A6:BG""),15,FALSE))"),"")</f>
        <v/>
      </c>
      <c r="AC911" s="110" t="str">
        <f ca="1">IFERROR(__xludf.DUMMYFUNCTION("IFERROR(VLOOKUP(E934&amp;F934,IMPORTRANGE(""https://docs.google.com/spreadsheets/d/1Uw7-A9f9R21vMXxHZFNpYNeKFtG8_yji4HS352LGlSQ/edit?pli=1#gid=0"",""1_ACUM!A4:S""),13,FALSE))"),"")</f>
        <v/>
      </c>
      <c r="AD911" s="43" t="str">
        <f ca="1">IFERROR(__xludf.DUMMYFUNCTION("IFERROR(VLOOKUP(E934&amp;F934,IMPORTRANGE(""https://docs.google.com/spreadsheets/d/1Uw7-A9f9R21vMXxHZFNpYNeKFtG8_yji4HS352LGlSQ/edit?pli=1#gid=0"",""1_ACUM!A4:S""),13,FALSE))"),"")</f>
        <v/>
      </c>
      <c r="AE911" s="43" t="str">
        <f ca="1">IFERROR(__xludf.DUMMYFUNCTION("IFERROR(VLOOKUP(E934&amp;F934,IMPORTRANGE(""https://docs.google.com/spreadsheets/d/1Uw7-A9f9R21vMXxHZFNpYNeKFtG8_yji4HS352LGlSQ/edit?pli=1#gid=0"",""1_ACUM!A4:S""),14,FALSE))"),"")</f>
        <v/>
      </c>
      <c r="AF911" s="43" t="str">
        <f ca="1">IFERROR(__xludf.DUMMYFUNCTION("IFERROR(VLOOKUP(E934&amp;F934,IMPORTRANGE(""https://docs.google.com/spreadsheets/d/1Uw7-A9f9R21vMXxHZFNpYNeKFtG8_yji4HS352LGlSQ/edit?pli=1#gid=0"",""1_ACUM!A4:S""),15,FALSE))"),"")</f>
        <v/>
      </c>
      <c r="AG911" s="43" t="str">
        <f ca="1">IFERROR(__xludf.DUMMYFUNCTION("IFERROR(VLOOKUP(E934&amp;F934,IMPORTRANGE(""https://docs.google.com/spreadsheets/d/1Uw7-A9f9R21vMXxHZFNpYNeKFtG8_yji4HS352LGlSQ/edit?pli=1#gid=0"",""1_ACUM!A4:S""),16,FALSE))"),"")</f>
        <v/>
      </c>
      <c r="AH911" s="43" t="str">
        <f ca="1">IFERROR(__xludf.DUMMYFUNCTION("IFERROR(VLOOKUP(E934&amp;F934,IMPORTRANGE(""https://docs.google.com/spreadsheets/d/1Uw7-A9f9R21vMXxHZFNpYNeKFtG8_yji4HS352LGlSQ/edit?pli=1#gid=0"",""1_ACUM!A4:S""),17,FALSE))"),"")</f>
        <v/>
      </c>
      <c r="AI911" s="44" t="str">
        <f ca="1">IFERROR(__xludf.DUMMYFUNCTION("IFERROR(VLOOKUP(E934&amp;F934,IMPORTRANGE(""https://docs.google.com/spreadsheets/d/1Uw7-A9f9R21vMXxHZFNpYNeKFtG8_yji4HS352LGlSQ/edit?pli=1#gid=0"",""1_ACUM!A4:S""),18,FALSE))"),"")</f>
        <v/>
      </c>
      <c r="AJ911" s="44" t="str">
        <f ca="1">IFERROR(__xludf.DUMMYFUNCTION("IFERROR(VLOOKUP(E934&amp;F934,IMPORTRANGE(""https://docs.google.com/spreadsheets/d/1Uw7-A9f9R21vMXxHZFNpYNeKFtG8_yji4HS352LGlSQ/edit?pli=1#gid=0"",""1_ACUM!A4:S""),19,FALSE))"),"")</f>
        <v/>
      </c>
      <c r="AK911" s="98" t="str">
        <f ca="1">IFERROR(__xludf.DUMMYFUNCTION("IFERROR(VLOOKUP(F934,IMPORTRANGE(""https://docs.google.com/spreadsheets/d/1Kvs4KS76FHFqLFIZfrDMff4kP08nblUkihrxltoGBjg/edit#gid=934712705"",""ESENCIAL!A6:BG""),5,FALSE))"),"")</f>
        <v/>
      </c>
      <c r="AL911" s="98" t="str">
        <f t="shared" si="54"/>
        <v/>
      </c>
      <c r="AM911" s="99" t="str">
        <f t="shared" si="55"/>
        <v/>
      </c>
      <c r="AN911" s="100" t="str">
        <f ca="1">IFERROR(__xludf.DUMMYFUNCTION("IFERROR(VLOOKUP(F934,IMPORTRANGE(""https://docs.google.com/spreadsheets/d/1Kvs4KS76FHFqLFIZfrDMff4kP08nblUkihrxltoGBjg/edit#gid=934712705"",""ESENCIAL!A6:BG""),2,FALSE))"),"")</f>
        <v/>
      </c>
      <c r="AO911" s="19" t="str">
        <f t="shared" si="46"/>
        <v/>
      </c>
      <c r="AP911" s="100"/>
      <c r="AQ911" s="100"/>
    </row>
    <row r="912" spans="1:43" ht="15">
      <c r="A912" s="5"/>
      <c r="B912" s="5"/>
      <c r="G912" s="5" t="str">
        <f ca="1">IFERROR(__xludf.DUMMYFUNCTION("IFERROR(VLOOKUP(F935,IMPORTRANGE(""https://docs.google.com/spreadsheets/d/1Kvs4KS76FHFqLFIZfrDMff4kP08nblUkihrxltoGBjg/edit#gid=934712705"",""ESENCIAL!A6:BG""),3,FALSE))"),"")</f>
        <v/>
      </c>
      <c r="H912" s="5" t="str">
        <f ca="1">IFERROR(__xludf.DUMMYFUNCTION("IFERROR(VLOOKUP(F935,IMPORTRANGE(""https://docs.google.com/spreadsheets/d/1Kvs4KS76FHFqLFIZfrDMff4kP08nblUkihrxltoGBjg/edit#gid=934712705"",""ESENCIAL!A6:BG""),8,FALSE))"),"")</f>
        <v/>
      </c>
      <c r="L912" s="40"/>
      <c r="Z912" s="41" t="str">
        <f t="shared" si="53"/>
        <v/>
      </c>
      <c r="AA912" s="5" t="str">
        <f ca="1">IFERROR(__xludf.DUMMYFUNCTION("IFERROR(VLOOKUP(E935&amp;F935,IMPORTRANGE(""https://docs.google.com/spreadsheets/d/1Uw7-A9f9R21vMXxHZFNpYNeKFtG8_yji4HS352LGlSQ/edit?pli=1#gid=0"",""1_ACUM!A4:S""),11,FALSE))"),"")</f>
        <v/>
      </c>
      <c r="AB912" s="42" t="str">
        <f ca="1">IFERROR(__xludf.DUMMYFUNCTION("IFERROR(VLOOKUP(F935,IMPORTRANGE(""https://docs.google.com/spreadsheets/d/1Kvs4KS76FHFqLFIZfrDMff4kP08nblUkihrxltoGBjg/edit#gid=934712705"",""ESENCIAL!A6:BG""),15,FALSE))"),"")</f>
        <v/>
      </c>
      <c r="AC912" s="110" t="str">
        <f ca="1">IFERROR(__xludf.DUMMYFUNCTION("IFERROR(VLOOKUP(E935&amp;F935,IMPORTRANGE(""https://docs.google.com/spreadsheets/d/1Uw7-A9f9R21vMXxHZFNpYNeKFtG8_yji4HS352LGlSQ/edit?pli=1#gid=0"",""1_ACUM!A4:S""),13,FALSE))"),"")</f>
        <v/>
      </c>
      <c r="AD912" s="43" t="str">
        <f ca="1">IFERROR(__xludf.DUMMYFUNCTION("IFERROR(VLOOKUP(E935&amp;F935,IMPORTRANGE(""https://docs.google.com/spreadsheets/d/1Uw7-A9f9R21vMXxHZFNpYNeKFtG8_yji4HS352LGlSQ/edit?pli=1#gid=0"",""1_ACUM!A4:S""),13,FALSE))"),"")</f>
        <v/>
      </c>
      <c r="AE912" s="43" t="str">
        <f ca="1">IFERROR(__xludf.DUMMYFUNCTION("IFERROR(VLOOKUP(E935&amp;F935,IMPORTRANGE(""https://docs.google.com/spreadsheets/d/1Uw7-A9f9R21vMXxHZFNpYNeKFtG8_yji4HS352LGlSQ/edit?pli=1#gid=0"",""1_ACUM!A4:S""),14,FALSE))"),"")</f>
        <v/>
      </c>
      <c r="AF912" s="43" t="str">
        <f ca="1">IFERROR(__xludf.DUMMYFUNCTION("IFERROR(VLOOKUP(E935&amp;F935,IMPORTRANGE(""https://docs.google.com/spreadsheets/d/1Uw7-A9f9R21vMXxHZFNpYNeKFtG8_yji4HS352LGlSQ/edit?pli=1#gid=0"",""1_ACUM!A4:S""),15,FALSE))"),"")</f>
        <v/>
      </c>
      <c r="AG912" s="43" t="str">
        <f ca="1">IFERROR(__xludf.DUMMYFUNCTION("IFERROR(VLOOKUP(E935&amp;F935,IMPORTRANGE(""https://docs.google.com/spreadsheets/d/1Uw7-A9f9R21vMXxHZFNpYNeKFtG8_yji4HS352LGlSQ/edit?pli=1#gid=0"",""1_ACUM!A4:S""),16,FALSE))"),"")</f>
        <v/>
      </c>
      <c r="AH912" s="43" t="str">
        <f ca="1">IFERROR(__xludf.DUMMYFUNCTION("IFERROR(VLOOKUP(E935&amp;F935,IMPORTRANGE(""https://docs.google.com/spreadsheets/d/1Uw7-A9f9R21vMXxHZFNpYNeKFtG8_yji4HS352LGlSQ/edit?pli=1#gid=0"",""1_ACUM!A4:S""),17,FALSE))"),"")</f>
        <v/>
      </c>
      <c r="AI912" s="44" t="str">
        <f ca="1">IFERROR(__xludf.DUMMYFUNCTION("IFERROR(VLOOKUP(E935&amp;F935,IMPORTRANGE(""https://docs.google.com/spreadsheets/d/1Uw7-A9f9R21vMXxHZFNpYNeKFtG8_yji4HS352LGlSQ/edit?pli=1#gid=0"",""1_ACUM!A4:S""),18,FALSE))"),"")</f>
        <v/>
      </c>
      <c r="AJ912" s="44" t="str">
        <f ca="1">IFERROR(__xludf.DUMMYFUNCTION("IFERROR(VLOOKUP(E935&amp;F935,IMPORTRANGE(""https://docs.google.com/spreadsheets/d/1Uw7-A9f9R21vMXxHZFNpYNeKFtG8_yji4HS352LGlSQ/edit?pli=1#gid=0"",""1_ACUM!A4:S""),19,FALSE))"),"")</f>
        <v/>
      </c>
      <c r="AK912" s="98" t="str">
        <f ca="1">IFERROR(__xludf.DUMMYFUNCTION("IFERROR(VLOOKUP(F935,IMPORTRANGE(""https://docs.google.com/spreadsheets/d/1Kvs4KS76FHFqLFIZfrDMff4kP08nblUkihrxltoGBjg/edit#gid=934712705"",""ESENCIAL!A6:BG""),5,FALSE))"),"")</f>
        <v/>
      </c>
      <c r="AL912" s="98" t="str">
        <f t="shared" si="54"/>
        <v/>
      </c>
      <c r="AM912" s="99" t="str">
        <f t="shared" si="55"/>
        <v/>
      </c>
      <c r="AN912" s="100" t="str">
        <f ca="1">IFERROR(__xludf.DUMMYFUNCTION("IFERROR(VLOOKUP(F935,IMPORTRANGE(""https://docs.google.com/spreadsheets/d/1Kvs4KS76FHFqLFIZfrDMff4kP08nblUkihrxltoGBjg/edit#gid=934712705"",""ESENCIAL!A6:BG""),2,FALSE))"),"")</f>
        <v/>
      </c>
      <c r="AO912" s="19" t="str">
        <f t="shared" si="46"/>
        <v/>
      </c>
      <c r="AP912" s="100"/>
      <c r="AQ912" s="100"/>
    </row>
    <row r="913" spans="1:43" ht="15">
      <c r="A913" s="5"/>
      <c r="B913" s="5"/>
      <c r="G913" s="5" t="str">
        <f ca="1">IFERROR(__xludf.DUMMYFUNCTION("IFERROR(VLOOKUP(F936,IMPORTRANGE(""https://docs.google.com/spreadsheets/d/1Kvs4KS76FHFqLFIZfrDMff4kP08nblUkihrxltoGBjg/edit#gid=934712705"",""ESENCIAL!A6:BG""),3,FALSE))"),"")</f>
        <v/>
      </c>
      <c r="H913" s="5" t="str">
        <f ca="1">IFERROR(__xludf.DUMMYFUNCTION("IFERROR(VLOOKUP(F936,IMPORTRANGE(""https://docs.google.com/spreadsheets/d/1Kvs4KS76FHFqLFIZfrDMff4kP08nblUkihrxltoGBjg/edit#gid=934712705"",""ESENCIAL!A6:BG""),8,FALSE))"),"")</f>
        <v/>
      </c>
      <c r="L913" s="40"/>
      <c r="Z913" s="41" t="str">
        <f t="shared" si="53"/>
        <v/>
      </c>
      <c r="AA913" s="5" t="str">
        <f ca="1">IFERROR(__xludf.DUMMYFUNCTION("IFERROR(VLOOKUP(E936&amp;F936,IMPORTRANGE(""https://docs.google.com/spreadsheets/d/1Uw7-A9f9R21vMXxHZFNpYNeKFtG8_yji4HS352LGlSQ/edit?pli=1#gid=0"",""1_ACUM!A4:S""),11,FALSE))"),"")</f>
        <v/>
      </c>
      <c r="AB913" s="42" t="str">
        <f ca="1">IFERROR(__xludf.DUMMYFUNCTION("IFERROR(VLOOKUP(F936,IMPORTRANGE(""https://docs.google.com/spreadsheets/d/1Kvs4KS76FHFqLFIZfrDMff4kP08nblUkihrxltoGBjg/edit#gid=934712705"",""ESENCIAL!A6:BG""),15,FALSE))"),"")</f>
        <v/>
      </c>
      <c r="AC913" s="110" t="str">
        <f ca="1">IFERROR(__xludf.DUMMYFUNCTION("IFERROR(VLOOKUP(E936&amp;F936,IMPORTRANGE(""https://docs.google.com/spreadsheets/d/1Uw7-A9f9R21vMXxHZFNpYNeKFtG8_yji4HS352LGlSQ/edit?pli=1#gid=0"",""1_ACUM!A4:S""),13,FALSE))"),"")</f>
        <v/>
      </c>
      <c r="AD913" s="43" t="str">
        <f ca="1">IFERROR(__xludf.DUMMYFUNCTION("IFERROR(VLOOKUP(E936&amp;F936,IMPORTRANGE(""https://docs.google.com/spreadsheets/d/1Uw7-A9f9R21vMXxHZFNpYNeKFtG8_yji4HS352LGlSQ/edit?pli=1#gid=0"",""1_ACUM!A4:S""),13,FALSE))"),"")</f>
        <v/>
      </c>
      <c r="AE913" s="43" t="str">
        <f ca="1">IFERROR(__xludf.DUMMYFUNCTION("IFERROR(VLOOKUP(E936&amp;F936,IMPORTRANGE(""https://docs.google.com/spreadsheets/d/1Uw7-A9f9R21vMXxHZFNpYNeKFtG8_yji4HS352LGlSQ/edit?pli=1#gid=0"",""1_ACUM!A4:S""),14,FALSE))"),"")</f>
        <v/>
      </c>
      <c r="AF913" s="43" t="str">
        <f ca="1">IFERROR(__xludf.DUMMYFUNCTION("IFERROR(VLOOKUP(E936&amp;F936,IMPORTRANGE(""https://docs.google.com/spreadsheets/d/1Uw7-A9f9R21vMXxHZFNpYNeKFtG8_yji4HS352LGlSQ/edit?pli=1#gid=0"",""1_ACUM!A4:S""),15,FALSE))"),"")</f>
        <v/>
      </c>
      <c r="AG913" s="43" t="str">
        <f ca="1">IFERROR(__xludf.DUMMYFUNCTION("IFERROR(VLOOKUP(E936&amp;F936,IMPORTRANGE(""https://docs.google.com/spreadsheets/d/1Uw7-A9f9R21vMXxHZFNpYNeKFtG8_yji4HS352LGlSQ/edit?pli=1#gid=0"",""1_ACUM!A4:S""),16,FALSE))"),"")</f>
        <v/>
      </c>
      <c r="AH913" s="43" t="str">
        <f ca="1">IFERROR(__xludf.DUMMYFUNCTION("IFERROR(VLOOKUP(E936&amp;F936,IMPORTRANGE(""https://docs.google.com/spreadsheets/d/1Uw7-A9f9R21vMXxHZFNpYNeKFtG8_yji4HS352LGlSQ/edit?pli=1#gid=0"",""1_ACUM!A4:S""),17,FALSE))"),"")</f>
        <v/>
      </c>
      <c r="AI913" s="44" t="str">
        <f ca="1">IFERROR(__xludf.DUMMYFUNCTION("IFERROR(VLOOKUP(E936&amp;F936,IMPORTRANGE(""https://docs.google.com/spreadsheets/d/1Uw7-A9f9R21vMXxHZFNpYNeKFtG8_yji4HS352LGlSQ/edit?pli=1#gid=0"",""1_ACUM!A4:S""),18,FALSE))"),"")</f>
        <v/>
      </c>
      <c r="AJ913" s="44" t="str">
        <f ca="1">IFERROR(__xludf.DUMMYFUNCTION("IFERROR(VLOOKUP(E936&amp;F936,IMPORTRANGE(""https://docs.google.com/spreadsheets/d/1Uw7-A9f9R21vMXxHZFNpYNeKFtG8_yji4HS352LGlSQ/edit?pli=1#gid=0"",""1_ACUM!A4:S""),19,FALSE))"),"")</f>
        <v/>
      </c>
      <c r="AK913" s="98" t="str">
        <f ca="1">IFERROR(__xludf.DUMMYFUNCTION("IFERROR(VLOOKUP(F936,IMPORTRANGE(""https://docs.google.com/spreadsheets/d/1Kvs4KS76FHFqLFIZfrDMff4kP08nblUkihrxltoGBjg/edit#gid=934712705"",""ESENCIAL!A6:BG""),5,FALSE))"),"")</f>
        <v/>
      </c>
      <c r="AL913" s="98" t="str">
        <f t="shared" si="54"/>
        <v/>
      </c>
      <c r="AM913" s="99" t="str">
        <f t="shared" si="55"/>
        <v/>
      </c>
      <c r="AN913" s="100" t="str">
        <f ca="1">IFERROR(__xludf.DUMMYFUNCTION("IFERROR(VLOOKUP(F936,IMPORTRANGE(""https://docs.google.com/spreadsheets/d/1Kvs4KS76FHFqLFIZfrDMff4kP08nblUkihrxltoGBjg/edit#gid=934712705"",""ESENCIAL!A6:BG""),2,FALSE))"),"")</f>
        <v/>
      </c>
      <c r="AO913" s="19" t="str">
        <f t="shared" si="46"/>
        <v/>
      </c>
      <c r="AP913" s="100"/>
      <c r="AQ913" s="100"/>
    </row>
    <row r="914" spans="1:43" ht="15">
      <c r="A914" s="5"/>
      <c r="B914" s="5"/>
      <c r="G914" s="5" t="str">
        <f ca="1">IFERROR(__xludf.DUMMYFUNCTION("IFERROR(VLOOKUP(F937,IMPORTRANGE(""https://docs.google.com/spreadsheets/d/1Kvs4KS76FHFqLFIZfrDMff4kP08nblUkihrxltoGBjg/edit#gid=934712705"",""ESENCIAL!A6:BG""),3,FALSE))"),"")</f>
        <v/>
      </c>
      <c r="H914" s="5" t="str">
        <f ca="1">IFERROR(__xludf.DUMMYFUNCTION("IFERROR(VLOOKUP(F937,IMPORTRANGE(""https://docs.google.com/spreadsheets/d/1Kvs4KS76FHFqLFIZfrDMff4kP08nblUkihrxltoGBjg/edit#gid=934712705"",""ESENCIAL!A6:BG""),8,FALSE))"),"")</f>
        <v/>
      </c>
      <c r="L914" s="40"/>
      <c r="Z914" s="41" t="str">
        <f t="shared" si="53"/>
        <v/>
      </c>
      <c r="AA914" s="5" t="str">
        <f ca="1">IFERROR(__xludf.DUMMYFUNCTION("IFERROR(VLOOKUP(E937&amp;F937,IMPORTRANGE(""https://docs.google.com/spreadsheets/d/1Uw7-A9f9R21vMXxHZFNpYNeKFtG8_yji4HS352LGlSQ/edit?pli=1#gid=0"",""1_ACUM!A4:S""),11,FALSE))"),"")</f>
        <v/>
      </c>
      <c r="AB914" s="42" t="str">
        <f ca="1">IFERROR(__xludf.DUMMYFUNCTION("IFERROR(VLOOKUP(F937,IMPORTRANGE(""https://docs.google.com/spreadsheets/d/1Kvs4KS76FHFqLFIZfrDMff4kP08nblUkihrxltoGBjg/edit#gid=934712705"",""ESENCIAL!A6:BG""),15,FALSE))"),"")</f>
        <v/>
      </c>
      <c r="AC914" s="110" t="str">
        <f ca="1">IFERROR(__xludf.DUMMYFUNCTION("IFERROR(VLOOKUP(E937&amp;F937,IMPORTRANGE(""https://docs.google.com/spreadsheets/d/1Uw7-A9f9R21vMXxHZFNpYNeKFtG8_yji4HS352LGlSQ/edit?pli=1#gid=0"",""1_ACUM!A4:S""),13,FALSE))"),"")</f>
        <v/>
      </c>
      <c r="AD914" s="43" t="str">
        <f ca="1">IFERROR(__xludf.DUMMYFUNCTION("IFERROR(VLOOKUP(E937&amp;F937,IMPORTRANGE(""https://docs.google.com/spreadsheets/d/1Uw7-A9f9R21vMXxHZFNpYNeKFtG8_yji4HS352LGlSQ/edit?pli=1#gid=0"",""1_ACUM!A4:S""),13,FALSE))"),"")</f>
        <v/>
      </c>
      <c r="AE914" s="43" t="str">
        <f ca="1">IFERROR(__xludf.DUMMYFUNCTION("IFERROR(VLOOKUP(E937&amp;F937,IMPORTRANGE(""https://docs.google.com/spreadsheets/d/1Uw7-A9f9R21vMXxHZFNpYNeKFtG8_yji4HS352LGlSQ/edit?pli=1#gid=0"",""1_ACUM!A4:S""),14,FALSE))"),"")</f>
        <v/>
      </c>
      <c r="AF914" s="43" t="str">
        <f ca="1">IFERROR(__xludf.DUMMYFUNCTION("IFERROR(VLOOKUP(E937&amp;F937,IMPORTRANGE(""https://docs.google.com/spreadsheets/d/1Uw7-A9f9R21vMXxHZFNpYNeKFtG8_yji4HS352LGlSQ/edit?pli=1#gid=0"",""1_ACUM!A4:S""),15,FALSE))"),"")</f>
        <v/>
      </c>
      <c r="AG914" s="43" t="str">
        <f ca="1">IFERROR(__xludf.DUMMYFUNCTION("IFERROR(VLOOKUP(E937&amp;F937,IMPORTRANGE(""https://docs.google.com/spreadsheets/d/1Uw7-A9f9R21vMXxHZFNpYNeKFtG8_yji4HS352LGlSQ/edit?pli=1#gid=0"",""1_ACUM!A4:S""),16,FALSE))"),"")</f>
        <v/>
      </c>
      <c r="AH914" s="43" t="str">
        <f ca="1">IFERROR(__xludf.DUMMYFUNCTION("IFERROR(VLOOKUP(E937&amp;F937,IMPORTRANGE(""https://docs.google.com/spreadsheets/d/1Uw7-A9f9R21vMXxHZFNpYNeKFtG8_yji4HS352LGlSQ/edit?pli=1#gid=0"",""1_ACUM!A4:S""),17,FALSE))"),"")</f>
        <v/>
      </c>
      <c r="AI914" s="44" t="str">
        <f ca="1">IFERROR(__xludf.DUMMYFUNCTION("IFERROR(VLOOKUP(E937&amp;F937,IMPORTRANGE(""https://docs.google.com/spreadsheets/d/1Uw7-A9f9R21vMXxHZFNpYNeKFtG8_yji4HS352LGlSQ/edit?pli=1#gid=0"",""1_ACUM!A4:S""),18,FALSE))"),"")</f>
        <v/>
      </c>
      <c r="AJ914" s="44" t="str">
        <f ca="1">IFERROR(__xludf.DUMMYFUNCTION("IFERROR(VLOOKUP(E937&amp;F937,IMPORTRANGE(""https://docs.google.com/spreadsheets/d/1Uw7-A9f9R21vMXxHZFNpYNeKFtG8_yji4HS352LGlSQ/edit?pli=1#gid=0"",""1_ACUM!A4:S""),19,FALSE))"),"")</f>
        <v/>
      </c>
      <c r="AK914" s="98" t="str">
        <f ca="1">IFERROR(__xludf.DUMMYFUNCTION("IFERROR(VLOOKUP(F937,IMPORTRANGE(""https://docs.google.com/spreadsheets/d/1Kvs4KS76FHFqLFIZfrDMff4kP08nblUkihrxltoGBjg/edit#gid=934712705"",""ESENCIAL!A6:BG""),5,FALSE))"),"")</f>
        <v/>
      </c>
      <c r="AL914" s="98" t="str">
        <f t="shared" si="54"/>
        <v/>
      </c>
      <c r="AM914" s="99" t="str">
        <f t="shared" si="55"/>
        <v/>
      </c>
      <c r="AN914" s="100" t="str">
        <f ca="1">IFERROR(__xludf.DUMMYFUNCTION("IFERROR(VLOOKUP(F937,IMPORTRANGE(""https://docs.google.com/spreadsheets/d/1Kvs4KS76FHFqLFIZfrDMff4kP08nblUkihrxltoGBjg/edit#gid=934712705"",""ESENCIAL!A6:BG""),2,FALSE))"),"")</f>
        <v/>
      </c>
      <c r="AO914" s="19" t="str">
        <f t="shared" si="46"/>
        <v/>
      </c>
      <c r="AP914" s="100"/>
      <c r="AQ914" s="100"/>
    </row>
    <row r="915" spans="1:43" ht="15">
      <c r="A915" s="5"/>
      <c r="B915" s="5"/>
      <c r="G915" s="5" t="str">
        <f ca="1">IFERROR(__xludf.DUMMYFUNCTION("IFERROR(VLOOKUP(F938,IMPORTRANGE(""https://docs.google.com/spreadsheets/d/1Kvs4KS76FHFqLFIZfrDMff4kP08nblUkihrxltoGBjg/edit#gid=934712705"",""ESENCIAL!A6:BG""),3,FALSE))"),"")</f>
        <v/>
      </c>
      <c r="H915" s="5" t="str">
        <f ca="1">IFERROR(__xludf.DUMMYFUNCTION("IFERROR(VLOOKUP(F938,IMPORTRANGE(""https://docs.google.com/spreadsheets/d/1Kvs4KS76FHFqLFIZfrDMff4kP08nblUkihrxltoGBjg/edit#gid=934712705"",""ESENCIAL!A6:BG""),8,FALSE))"),"")</f>
        <v/>
      </c>
      <c r="L915" s="40"/>
      <c r="Z915" s="41" t="str">
        <f t="shared" si="53"/>
        <v/>
      </c>
      <c r="AA915" s="5" t="str">
        <f ca="1">IFERROR(__xludf.DUMMYFUNCTION("IFERROR(VLOOKUP(E938&amp;F938,IMPORTRANGE(""https://docs.google.com/spreadsheets/d/1Uw7-A9f9R21vMXxHZFNpYNeKFtG8_yji4HS352LGlSQ/edit?pli=1#gid=0"",""1_ACUM!A4:S""),11,FALSE))"),"")</f>
        <v/>
      </c>
      <c r="AB915" s="42" t="str">
        <f ca="1">IFERROR(__xludf.DUMMYFUNCTION("IFERROR(VLOOKUP(F938,IMPORTRANGE(""https://docs.google.com/spreadsheets/d/1Kvs4KS76FHFqLFIZfrDMff4kP08nblUkihrxltoGBjg/edit#gid=934712705"",""ESENCIAL!A6:BG""),15,FALSE))"),"")</f>
        <v/>
      </c>
      <c r="AC915" s="110" t="str">
        <f ca="1">IFERROR(__xludf.DUMMYFUNCTION("IFERROR(VLOOKUP(E938&amp;F938,IMPORTRANGE(""https://docs.google.com/spreadsheets/d/1Uw7-A9f9R21vMXxHZFNpYNeKFtG8_yji4HS352LGlSQ/edit?pli=1#gid=0"",""1_ACUM!A4:S""),13,FALSE))"),"")</f>
        <v/>
      </c>
      <c r="AD915" s="43" t="str">
        <f ca="1">IFERROR(__xludf.DUMMYFUNCTION("IFERROR(VLOOKUP(E938&amp;F938,IMPORTRANGE(""https://docs.google.com/spreadsheets/d/1Uw7-A9f9R21vMXxHZFNpYNeKFtG8_yji4HS352LGlSQ/edit?pli=1#gid=0"",""1_ACUM!A4:S""),13,FALSE))"),"")</f>
        <v/>
      </c>
      <c r="AE915" s="43" t="str">
        <f ca="1">IFERROR(__xludf.DUMMYFUNCTION("IFERROR(VLOOKUP(E938&amp;F938,IMPORTRANGE(""https://docs.google.com/spreadsheets/d/1Uw7-A9f9R21vMXxHZFNpYNeKFtG8_yji4HS352LGlSQ/edit?pli=1#gid=0"",""1_ACUM!A4:S""),14,FALSE))"),"")</f>
        <v/>
      </c>
      <c r="AF915" s="43" t="str">
        <f ca="1">IFERROR(__xludf.DUMMYFUNCTION("IFERROR(VLOOKUP(E938&amp;F938,IMPORTRANGE(""https://docs.google.com/spreadsheets/d/1Uw7-A9f9R21vMXxHZFNpYNeKFtG8_yji4HS352LGlSQ/edit?pli=1#gid=0"",""1_ACUM!A4:S""),15,FALSE))"),"")</f>
        <v/>
      </c>
      <c r="AG915" s="43" t="str">
        <f ca="1">IFERROR(__xludf.DUMMYFUNCTION("IFERROR(VLOOKUP(E938&amp;F938,IMPORTRANGE(""https://docs.google.com/spreadsheets/d/1Uw7-A9f9R21vMXxHZFNpYNeKFtG8_yji4HS352LGlSQ/edit?pli=1#gid=0"",""1_ACUM!A4:S""),16,FALSE))"),"")</f>
        <v/>
      </c>
      <c r="AH915" s="43" t="str">
        <f ca="1">IFERROR(__xludf.DUMMYFUNCTION("IFERROR(VLOOKUP(E938&amp;F938,IMPORTRANGE(""https://docs.google.com/spreadsheets/d/1Uw7-A9f9R21vMXxHZFNpYNeKFtG8_yji4HS352LGlSQ/edit?pli=1#gid=0"",""1_ACUM!A4:S""),17,FALSE))"),"")</f>
        <v/>
      </c>
      <c r="AI915" s="44" t="str">
        <f ca="1">IFERROR(__xludf.DUMMYFUNCTION("IFERROR(VLOOKUP(E938&amp;F938,IMPORTRANGE(""https://docs.google.com/spreadsheets/d/1Uw7-A9f9R21vMXxHZFNpYNeKFtG8_yji4HS352LGlSQ/edit?pli=1#gid=0"",""1_ACUM!A4:S""),18,FALSE))"),"")</f>
        <v/>
      </c>
      <c r="AJ915" s="44" t="str">
        <f ca="1">IFERROR(__xludf.DUMMYFUNCTION("IFERROR(VLOOKUP(E938&amp;F938,IMPORTRANGE(""https://docs.google.com/spreadsheets/d/1Uw7-A9f9R21vMXxHZFNpYNeKFtG8_yji4HS352LGlSQ/edit?pli=1#gid=0"",""1_ACUM!A4:S""),19,FALSE))"),"")</f>
        <v/>
      </c>
      <c r="AK915" s="98" t="str">
        <f ca="1">IFERROR(__xludf.DUMMYFUNCTION("IFERROR(VLOOKUP(F938,IMPORTRANGE(""https://docs.google.com/spreadsheets/d/1Kvs4KS76FHFqLFIZfrDMff4kP08nblUkihrxltoGBjg/edit#gid=934712705"",""ESENCIAL!A6:BG""),5,FALSE))"),"")</f>
        <v/>
      </c>
      <c r="AL915" s="98" t="str">
        <f t="shared" si="54"/>
        <v/>
      </c>
      <c r="AM915" s="99" t="str">
        <f t="shared" si="55"/>
        <v/>
      </c>
      <c r="AN915" s="100" t="str">
        <f ca="1">IFERROR(__xludf.DUMMYFUNCTION("IFERROR(VLOOKUP(F938,IMPORTRANGE(""https://docs.google.com/spreadsheets/d/1Kvs4KS76FHFqLFIZfrDMff4kP08nblUkihrxltoGBjg/edit#gid=934712705"",""ESENCIAL!A6:BG""),2,FALSE))"),"")</f>
        <v/>
      </c>
      <c r="AO915" s="19" t="str">
        <f t="shared" si="46"/>
        <v/>
      </c>
      <c r="AP915" s="100"/>
      <c r="AQ915" s="100"/>
    </row>
    <row r="916" spans="1:43" ht="15">
      <c r="A916" s="5"/>
      <c r="B916" s="5"/>
      <c r="G916" s="5" t="str">
        <f ca="1">IFERROR(__xludf.DUMMYFUNCTION("IFERROR(VLOOKUP(F939,IMPORTRANGE(""https://docs.google.com/spreadsheets/d/1Kvs4KS76FHFqLFIZfrDMff4kP08nblUkihrxltoGBjg/edit#gid=934712705"",""ESENCIAL!A6:BG""),3,FALSE))"),"")</f>
        <v/>
      </c>
      <c r="H916" s="5" t="str">
        <f ca="1">IFERROR(__xludf.DUMMYFUNCTION("IFERROR(VLOOKUP(F939,IMPORTRANGE(""https://docs.google.com/spreadsheets/d/1Kvs4KS76FHFqLFIZfrDMff4kP08nblUkihrxltoGBjg/edit#gid=934712705"",""ESENCIAL!A6:BG""),8,FALSE))"),"")</f>
        <v/>
      </c>
      <c r="L916" s="40"/>
      <c r="Z916" s="41" t="str">
        <f t="shared" si="53"/>
        <v/>
      </c>
      <c r="AA916" s="5" t="str">
        <f ca="1">IFERROR(__xludf.DUMMYFUNCTION("IFERROR(VLOOKUP(E939&amp;F939,IMPORTRANGE(""https://docs.google.com/spreadsheets/d/1Uw7-A9f9R21vMXxHZFNpYNeKFtG8_yji4HS352LGlSQ/edit?pli=1#gid=0"",""1_ACUM!A4:S""),11,FALSE))"),"")</f>
        <v/>
      </c>
      <c r="AB916" s="42" t="str">
        <f ca="1">IFERROR(__xludf.DUMMYFUNCTION("IFERROR(VLOOKUP(F939,IMPORTRANGE(""https://docs.google.com/spreadsheets/d/1Kvs4KS76FHFqLFIZfrDMff4kP08nblUkihrxltoGBjg/edit#gid=934712705"",""ESENCIAL!A6:BG""),15,FALSE))"),"")</f>
        <v/>
      </c>
      <c r="AC916" s="110" t="str">
        <f ca="1">IFERROR(__xludf.DUMMYFUNCTION("IFERROR(VLOOKUP(E939&amp;F939,IMPORTRANGE(""https://docs.google.com/spreadsheets/d/1Uw7-A9f9R21vMXxHZFNpYNeKFtG8_yji4HS352LGlSQ/edit?pli=1#gid=0"",""1_ACUM!A4:S""),13,FALSE))"),"")</f>
        <v/>
      </c>
      <c r="AD916" s="43" t="str">
        <f ca="1">IFERROR(__xludf.DUMMYFUNCTION("IFERROR(VLOOKUP(E939&amp;F939,IMPORTRANGE(""https://docs.google.com/spreadsheets/d/1Uw7-A9f9R21vMXxHZFNpYNeKFtG8_yji4HS352LGlSQ/edit?pli=1#gid=0"",""1_ACUM!A4:S""),13,FALSE))"),"")</f>
        <v/>
      </c>
      <c r="AE916" s="43" t="str">
        <f ca="1">IFERROR(__xludf.DUMMYFUNCTION("IFERROR(VLOOKUP(E939&amp;F939,IMPORTRANGE(""https://docs.google.com/spreadsheets/d/1Uw7-A9f9R21vMXxHZFNpYNeKFtG8_yji4HS352LGlSQ/edit?pli=1#gid=0"",""1_ACUM!A4:S""),14,FALSE))"),"")</f>
        <v/>
      </c>
      <c r="AF916" s="43" t="str">
        <f ca="1">IFERROR(__xludf.DUMMYFUNCTION("IFERROR(VLOOKUP(E939&amp;F939,IMPORTRANGE(""https://docs.google.com/spreadsheets/d/1Uw7-A9f9R21vMXxHZFNpYNeKFtG8_yji4HS352LGlSQ/edit?pli=1#gid=0"",""1_ACUM!A4:S""),15,FALSE))"),"")</f>
        <v/>
      </c>
      <c r="AG916" s="43" t="str">
        <f ca="1">IFERROR(__xludf.DUMMYFUNCTION("IFERROR(VLOOKUP(E939&amp;F939,IMPORTRANGE(""https://docs.google.com/spreadsheets/d/1Uw7-A9f9R21vMXxHZFNpYNeKFtG8_yji4HS352LGlSQ/edit?pli=1#gid=0"",""1_ACUM!A4:S""),16,FALSE))"),"")</f>
        <v/>
      </c>
      <c r="AH916" s="43" t="str">
        <f ca="1">IFERROR(__xludf.DUMMYFUNCTION("IFERROR(VLOOKUP(E939&amp;F939,IMPORTRANGE(""https://docs.google.com/spreadsheets/d/1Uw7-A9f9R21vMXxHZFNpYNeKFtG8_yji4HS352LGlSQ/edit?pli=1#gid=0"",""1_ACUM!A4:S""),17,FALSE))"),"")</f>
        <v/>
      </c>
      <c r="AI916" s="44" t="str">
        <f ca="1">IFERROR(__xludf.DUMMYFUNCTION("IFERROR(VLOOKUP(E939&amp;F939,IMPORTRANGE(""https://docs.google.com/spreadsheets/d/1Uw7-A9f9R21vMXxHZFNpYNeKFtG8_yji4HS352LGlSQ/edit?pli=1#gid=0"",""1_ACUM!A4:S""),18,FALSE))"),"")</f>
        <v/>
      </c>
      <c r="AJ916" s="44" t="str">
        <f ca="1">IFERROR(__xludf.DUMMYFUNCTION("IFERROR(VLOOKUP(E939&amp;F939,IMPORTRANGE(""https://docs.google.com/spreadsheets/d/1Uw7-A9f9R21vMXxHZFNpYNeKFtG8_yji4HS352LGlSQ/edit?pli=1#gid=0"",""1_ACUM!A4:S""),19,FALSE))"),"")</f>
        <v/>
      </c>
      <c r="AK916" s="98" t="str">
        <f ca="1">IFERROR(__xludf.DUMMYFUNCTION("IFERROR(VLOOKUP(F939,IMPORTRANGE(""https://docs.google.com/spreadsheets/d/1Kvs4KS76FHFqLFIZfrDMff4kP08nblUkihrxltoGBjg/edit#gid=934712705"",""ESENCIAL!A6:BG""),5,FALSE))"),"")</f>
        <v/>
      </c>
      <c r="AL916" s="98" t="str">
        <f t="shared" si="54"/>
        <v/>
      </c>
      <c r="AM916" s="99" t="str">
        <f t="shared" si="55"/>
        <v/>
      </c>
      <c r="AN916" s="100" t="str">
        <f ca="1">IFERROR(__xludf.DUMMYFUNCTION("IFERROR(VLOOKUP(F939,IMPORTRANGE(""https://docs.google.com/spreadsheets/d/1Kvs4KS76FHFqLFIZfrDMff4kP08nblUkihrxltoGBjg/edit#gid=934712705"",""ESENCIAL!A6:BG""),2,FALSE))"),"")</f>
        <v/>
      </c>
      <c r="AO916" s="19" t="str">
        <f t="shared" si="46"/>
        <v/>
      </c>
      <c r="AP916" s="100"/>
      <c r="AQ916" s="100"/>
    </row>
    <row r="917" spans="1:43" ht="15">
      <c r="A917" s="5"/>
      <c r="B917" s="5"/>
      <c r="G917" s="5" t="str">
        <f ca="1">IFERROR(__xludf.DUMMYFUNCTION("IFERROR(VLOOKUP(F940,IMPORTRANGE(""https://docs.google.com/spreadsheets/d/1Kvs4KS76FHFqLFIZfrDMff4kP08nblUkihrxltoGBjg/edit#gid=934712705"",""ESENCIAL!A6:BG""),3,FALSE))"),"")</f>
        <v/>
      </c>
      <c r="H917" s="5" t="str">
        <f ca="1">IFERROR(__xludf.DUMMYFUNCTION("IFERROR(VLOOKUP(F940,IMPORTRANGE(""https://docs.google.com/spreadsheets/d/1Kvs4KS76FHFqLFIZfrDMff4kP08nblUkihrxltoGBjg/edit#gid=934712705"",""ESENCIAL!A6:BG""),8,FALSE))"),"")</f>
        <v/>
      </c>
      <c r="L917" s="40"/>
      <c r="Z917" s="41" t="str">
        <f t="shared" si="53"/>
        <v/>
      </c>
      <c r="AA917" s="5" t="str">
        <f ca="1">IFERROR(__xludf.DUMMYFUNCTION("IFERROR(VLOOKUP(E940&amp;F940,IMPORTRANGE(""https://docs.google.com/spreadsheets/d/1Uw7-A9f9R21vMXxHZFNpYNeKFtG8_yji4HS352LGlSQ/edit?pli=1#gid=0"",""1_ACUM!A4:S""),11,FALSE))"),"")</f>
        <v/>
      </c>
      <c r="AB917" s="42" t="str">
        <f ca="1">IFERROR(__xludf.DUMMYFUNCTION("IFERROR(VLOOKUP(F940,IMPORTRANGE(""https://docs.google.com/spreadsheets/d/1Kvs4KS76FHFqLFIZfrDMff4kP08nblUkihrxltoGBjg/edit#gid=934712705"",""ESENCIAL!A6:BG""),15,FALSE))"),"")</f>
        <v/>
      </c>
      <c r="AC917" s="110" t="str">
        <f ca="1">IFERROR(__xludf.DUMMYFUNCTION("IFERROR(VLOOKUP(E940&amp;F940,IMPORTRANGE(""https://docs.google.com/spreadsheets/d/1Uw7-A9f9R21vMXxHZFNpYNeKFtG8_yji4HS352LGlSQ/edit?pli=1#gid=0"",""1_ACUM!A4:S""),13,FALSE))"),"")</f>
        <v/>
      </c>
      <c r="AD917" s="43" t="str">
        <f ca="1">IFERROR(__xludf.DUMMYFUNCTION("IFERROR(VLOOKUP(E940&amp;F940,IMPORTRANGE(""https://docs.google.com/spreadsheets/d/1Uw7-A9f9R21vMXxHZFNpYNeKFtG8_yji4HS352LGlSQ/edit?pli=1#gid=0"",""1_ACUM!A4:S""),13,FALSE))"),"")</f>
        <v/>
      </c>
      <c r="AE917" s="43" t="str">
        <f ca="1">IFERROR(__xludf.DUMMYFUNCTION("IFERROR(VLOOKUP(E940&amp;F940,IMPORTRANGE(""https://docs.google.com/spreadsheets/d/1Uw7-A9f9R21vMXxHZFNpYNeKFtG8_yji4HS352LGlSQ/edit?pli=1#gid=0"",""1_ACUM!A4:S""),14,FALSE))"),"")</f>
        <v/>
      </c>
      <c r="AF917" s="43" t="str">
        <f ca="1">IFERROR(__xludf.DUMMYFUNCTION("IFERROR(VLOOKUP(E940&amp;F940,IMPORTRANGE(""https://docs.google.com/spreadsheets/d/1Uw7-A9f9R21vMXxHZFNpYNeKFtG8_yji4HS352LGlSQ/edit?pli=1#gid=0"",""1_ACUM!A4:S""),15,FALSE))"),"")</f>
        <v/>
      </c>
      <c r="AG917" s="43" t="str">
        <f ca="1">IFERROR(__xludf.DUMMYFUNCTION("IFERROR(VLOOKUP(E940&amp;F940,IMPORTRANGE(""https://docs.google.com/spreadsheets/d/1Uw7-A9f9R21vMXxHZFNpYNeKFtG8_yji4HS352LGlSQ/edit?pli=1#gid=0"",""1_ACUM!A4:S""),16,FALSE))"),"")</f>
        <v/>
      </c>
      <c r="AH917" s="43" t="str">
        <f ca="1">IFERROR(__xludf.DUMMYFUNCTION("IFERROR(VLOOKUP(E940&amp;F940,IMPORTRANGE(""https://docs.google.com/spreadsheets/d/1Uw7-A9f9R21vMXxHZFNpYNeKFtG8_yji4HS352LGlSQ/edit?pli=1#gid=0"",""1_ACUM!A4:S""),17,FALSE))"),"")</f>
        <v/>
      </c>
      <c r="AI917" s="44" t="str">
        <f ca="1">IFERROR(__xludf.DUMMYFUNCTION("IFERROR(VLOOKUP(E940&amp;F940,IMPORTRANGE(""https://docs.google.com/spreadsheets/d/1Uw7-A9f9R21vMXxHZFNpYNeKFtG8_yji4HS352LGlSQ/edit?pli=1#gid=0"",""1_ACUM!A4:S""),18,FALSE))"),"")</f>
        <v/>
      </c>
      <c r="AJ917" s="44" t="str">
        <f ca="1">IFERROR(__xludf.DUMMYFUNCTION("IFERROR(VLOOKUP(E940&amp;F940,IMPORTRANGE(""https://docs.google.com/spreadsheets/d/1Uw7-A9f9R21vMXxHZFNpYNeKFtG8_yji4HS352LGlSQ/edit?pli=1#gid=0"",""1_ACUM!A4:S""),19,FALSE))"),"")</f>
        <v/>
      </c>
      <c r="AK917" s="98" t="str">
        <f ca="1">IFERROR(__xludf.DUMMYFUNCTION("IFERROR(VLOOKUP(F940,IMPORTRANGE(""https://docs.google.com/spreadsheets/d/1Kvs4KS76FHFqLFIZfrDMff4kP08nblUkihrxltoGBjg/edit#gid=934712705"",""ESENCIAL!A6:BG""),5,FALSE))"),"")</f>
        <v/>
      </c>
      <c r="AL917" s="98" t="str">
        <f t="shared" si="54"/>
        <v/>
      </c>
      <c r="AM917" s="99" t="str">
        <f t="shared" si="55"/>
        <v/>
      </c>
      <c r="AN917" s="100" t="str">
        <f ca="1">IFERROR(__xludf.DUMMYFUNCTION("IFERROR(VLOOKUP(F940,IMPORTRANGE(""https://docs.google.com/spreadsheets/d/1Kvs4KS76FHFqLFIZfrDMff4kP08nblUkihrxltoGBjg/edit#gid=934712705"",""ESENCIAL!A6:BG""),2,FALSE))"),"")</f>
        <v/>
      </c>
      <c r="AO917" s="19" t="str">
        <f t="shared" si="46"/>
        <v/>
      </c>
      <c r="AP917" s="100"/>
      <c r="AQ917" s="100"/>
    </row>
    <row r="918" spans="1:43" ht="15">
      <c r="A918" s="5"/>
      <c r="B918" s="5"/>
      <c r="G918" s="5" t="str">
        <f ca="1">IFERROR(__xludf.DUMMYFUNCTION("IFERROR(VLOOKUP(F941,IMPORTRANGE(""https://docs.google.com/spreadsheets/d/1Kvs4KS76FHFqLFIZfrDMff4kP08nblUkihrxltoGBjg/edit#gid=934712705"",""ESENCIAL!A6:BG""),3,FALSE))"),"")</f>
        <v/>
      </c>
      <c r="H918" s="5" t="str">
        <f ca="1">IFERROR(__xludf.DUMMYFUNCTION("IFERROR(VLOOKUP(F941,IMPORTRANGE(""https://docs.google.com/spreadsheets/d/1Kvs4KS76FHFqLFIZfrDMff4kP08nblUkihrxltoGBjg/edit#gid=934712705"",""ESENCIAL!A6:BG""),8,FALSE))"),"")</f>
        <v/>
      </c>
      <c r="L918" s="40"/>
      <c r="Z918" s="41" t="str">
        <f t="shared" si="53"/>
        <v/>
      </c>
      <c r="AA918" s="5" t="str">
        <f ca="1">IFERROR(__xludf.DUMMYFUNCTION("IFERROR(VLOOKUP(E941&amp;F941,IMPORTRANGE(""https://docs.google.com/spreadsheets/d/1Uw7-A9f9R21vMXxHZFNpYNeKFtG8_yji4HS352LGlSQ/edit?pli=1#gid=0"",""1_ACUM!A4:S""),11,FALSE))"),"")</f>
        <v/>
      </c>
      <c r="AB918" s="42" t="str">
        <f ca="1">IFERROR(__xludf.DUMMYFUNCTION("IFERROR(VLOOKUP(F941,IMPORTRANGE(""https://docs.google.com/spreadsheets/d/1Kvs4KS76FHFqLFIZfrDMff4kP08nblUkihrxltoGBjg/edit#gid=934712705"",""ESENCIAL!A6:BG""),15,FALSE))"),"")</f>
        <v/>
      </c>
      <c r="AC918" s="110" t="str">
        <f ca="1">IFERROR(__xludf.DUMMYFUNCTION("IFERROR(VLOOKUP(E941&amp;F941,IMPORTRANGE(""https://docs.google.com/spreadsheets/d/1Uw7-A9f9R21vMXxHZFNpYNeKFtG8_yji4HS352LGlSQ/edit?pli=1#gid=0"",""1_ACUM!A4:S""),13,FALSE))"),"")</f>
        <v/>
      </c>
      <c r="AD918" s="43" t="str">
        <f ca="1">IFERROR(__xludf.DUMMYFUNCTION("IFERROR(VLOOKUP(E941&amp;F941,IMPORTRANGE(""https://docs.google.com/spreadsheets/d/1Uw7-A9f9R21vMXxHZFNpYNeKFtG8_yji4HS352LGlSQ/edit?pli=1#gid=0"",""1_ACUM!A4:S""),13,FALSE))"),"")</f>
        <v/>
      </c>
      <c r="AE918" s="43" t="str">
        <f ca="1">IFERROR(__xludf.DUMMYFUNCTION("IFERROR(VLOOKUP(E941&amp;F941,IMPORTRANGE(""https://docs.google.com/spreadsheets/d/1Uw7-A9f9R21vMXxHZFNpYNeKFtG8_yji4HS352LGlSQ/edit?pli=1#gid=0"",""1_ACUM!A4:S""),14,FALSE))"),"")</f>
        <v/>
      </c>
      <c r="AF918" s="43" t="str">
        <f ca="1">IFERROR(__xludf.DUMMYFUNCTION("IFERROR(VLOOKUP(E941&amp;F941,IMPORTRANGE(""https://docs.google.com/spreadsheets/d/1Uw7-A9f9R21vMXxHZFNpYNeKFtG8_yji4HS352LGlSQ/edit?pli=1#gid=0"",""1_ACUM!A4:S""),15,FALSE))"),"")</f>
        <v/>
      </c>
      <c r="AG918" s="43" t="str">
        <f ca="1">IFERROR(__xludf.DUMMYFUNCTION("IFERROR(VLOOKUP(E941&amp;F941,IMPORTRANGE(""https://docs.google.com/spreadsheets/d/1Uw7-A9f9R21vMXxHZFNpYNeKFtG8_yji4HS352LGlSQ/edit?pli=1#gid=0"",""1_ACUM!A4:S""),16,FALSE))"),"")</f>
        <v/>
      </c>
      <c r="AH918" s="43" t="str">
        <f ca="1">IFERROR(__xludf.DUMMYFUNCTION("IFERROR(VLOOKUP(E941&amp;F941,IMPORTRANGE(""https://docs.google.com/spreadsheets/d/1Uw7-A9f9R21vMXxHZFNpYNeKFtG8_yji4HS352LGlSQ/edit?pli=1#gid=0"",""1_ACUM!A4:S""),17,FALSE))"),"")</f>
        <v/>
      </c>
      <c r="AI918" s="44" t="str">
        <f ca="1">IFERROR(__xludf.DUMMYFUNCTION("IFERROR(VLOOKUP(E941&amp;F941,IMPORTRANGE(""https://docs.google.com/spreadsheets/d/1Uw7-A9f9R21vMXxHZFNpYNeKFtG8_yji4HS352LGlSQ/edit?pli=1#gid=0"",""1_ACUM!A4:S""),18,FALSE))"),"")</f>
        <v/>
      </c>
      <c r="AJ918" s="44" t="str">
        <f ca="1">IFERROR(__xludf.DUMMYFUNCTION("IFERROR(VLOOKUP(E941&amp;F941,IMPORTRANGE(""https://docs.google.com/spreadsheets/d/1Uw7-A9f9R21vMXxHZFNpYNeKFtG8_yji4HS352LGlSQ/edit?pli=1#gid=0"",""1_ACUM!A4:S""),19,FALSE))"),"")</f>
        <v/>
      </c>
      <c r="AK918" s="98" t="str">
        <f ca="1">IFERROR(__xludf.DUMMYFUNCTION("IFERROR(VLOOKUP(F941,IMPORTRANGE(""https://docs.google.com/spreadsheets/d/1Kvs4KS76FHFqLFIZfrDMff4kP08nblUkihrxltoGBjg/edit#gid=934712705"",""ESENCIAL!A6:BG""),5,FALSE))"),"")</f>
        <v/>
      </c>
      <c r="AL918" s="98" t="str">
        <f t="shared" si="54"/>
        <v/>
      </c>
      <c r="AM918" s="99" t="str">
        <f t="shared" si="55"/>
        <v/>
      </c>
      <c r="AN918" s="100" t="str">
        <f ca="1">IFERROR(__xludf.DUMMYFUNCTION("IFERROR(VLOOKUP(F941,IMPORTRANGE(""https://docs.google.com/spreadsheets/d/1Kvs4KS76FHFqLFIZfrDMff4kP08nblUkihrxltoGBjg/edit#gid=934712705"",""ESENCIAL!A6:BG""),2,FALSE))"),"")</f>
        <v/>
      </c>
      <c r="AO918" s="19" t="str">
        <f t="shared" si="46"/>
        <v/>
      </c>
      <c r="AP918" s="100"/>
      <c r="AQ918" s="100"/>
    </row>
    <row r="919" spans="1:43" ht="15">
      <c r="A919" s="5"/>
      <c r="B919" s="5"/>
      <c r="G919" s="5" t="str">
        <f ca="1">IFERROR(__xludf.DUMMYFUNCTION("IFERROR(VLOOKUP(F942,IMPORTRANGE(""https://docs.google.com/spreadsheets/d/1Kvs4KS76FHFqLFIZfrDMff4kP08nblUkihrxltoGBjg/edit#gid=934712705"",""ESENCIAL!A6:BG""),3,FALSE))"),"")</f>
        <v/>
      </c>
      <c r="H919" s="5" t="str">
        <f ca="1">IFERROR(__xludf.DUMMYFUNCTION("IFERROR(VLOOKUP(F942,IMPORTRANGE(""https://docs.google.com/spreadsheets/d/1Kvs4KS76FHFqLFIZfrDMff4kP08nblUkihrxltoGBjg/edit#gid=934712705"",""ESENCIAL!A6:BG""),8,FALSE))"),"")</f>
        <v/>
      </c>
      <c r="L919" s="40"/>
      <c r="Z919" s="41" t="str">
        <f t="shared" si="53"/>
        <v/>
      </c>
      <c r="AA919" s="5" t="str">
        <f ca="1">IFERROR(__xludf.DUMMYFUNCTION("IFERROR(VLOOKUP(E942&amp;F942,IMPORTRANGE(""https://docs.google.com/spreadsheets/d/1Uw7-A9f9R21vMXxHZFNpYNeKFtG8_yji4HS352LGlSQ/edit?pli=1#gid=0"",""1_ACUM!A4:S""),11,FALSE))"),"")</f>
        <v/>
      </c>
      <c r="AB919" s="42" t="str">
        <f ca="1">IFERROR(__xludf.DUMMYFUNCTION("IFERROR(VLOOKUP(F942,IMPORTRANGE(""https://docs.google.com/spreadsheets/d/1Kvs4KS76FHFqLFIZfrDMff4kP08nblUkihrxltoGBjg/edit#gid=934712705"",""ESENCIAL!A6:BG""),15,FALSE))"),"")</f>
        <v/>
      </c>
      <c r="AC919" s="110" t="str">
        <f ca="1">IFERROR(__xludf.DUMMYFUNCTION("IFERROR(VLOOKUP(E942&amp;F942,IMPORTRANGE(""https://docs.google.com/spreadsheets/d/1Uw7-A9f9R21vMXxHZFNpYNeKFtG8_yji4HS352LGlSQ/edit?pli=1#gid=0"",""1_ACUM!A4:S""),13,FALSE))"),"")</f>
        <v/>
      </c>
      <c r="AD919" s="43" t="str">
        <f ca="1">IFERROR(__xludf.DUMMYFUNCTION("IFERROR(VLOOKUP(E942&amp;F942,IMPORTRANGE(""https://docs.google.com/spreadsheets/d/1Uw7-A9f9R21vMXxHZFNpYNeKFtG8_yji4HS352LGlSQ/edit?pli=1#gid=0"",""1_ACUM!A4:S""),13,FALSE))"),"")</f>
        <v/>
      </c>
      <c r="AE919" s="43" t="str">
        <f ca="1">IFERROR(__xludf.DUMMYFUNCTION("IFERROR(VLOOKUP(E942&amp;F942,IMPORTRANGE(""https://docs.google.com/spreadsheets/d/1Uw7-A9f9R21vMXxHZFNpYNeKFtG8_yji4HS352LGlSQ/edit?pli=1#gid=0"",""1_ACUM!A4:S""),14,FALSE))"),"")</f>
        <v/>
      </c>
      <c r="AF919" s="43" t="str">
        <f ca="1">IFERROR(__xludf.DUMMYFUNCTION("IFERROR(VLOOKUP(E942&amp;F942,IMPORTRANGE(""https://docs.google.com/spreadsheets/d/1Uw7-A9f9R21vMXxHZFNpYNeKFtG8_yji4HS352LGlSQ/edit?pli=1#gid=0"",""1_ACUM!A4:S""),15,FALSE))"),"")</f>
        <v/>
      </c>
      <c r="AG919" s="43" t="str">
        <f ca="1">IFERROR(__xludf.DUMMYFUNCTION("IFERROR(VLOOKUP(E942&amp;F942,IMPORTRANGE(""https://docs.google.com/spreadsheets/d/1Uw7-A9f9R21vMXxHZFNpYNeKFtG8_yji4HS352LGlSQ/edit?pli=1#gid=0"",""1_ACUM!A4:S""),16,FALSE))"),"")</f>
        <v/>
      </c>
      <c r="AH919" s="43" t="str">
        <f ca="1">IFERROR(__xludf.DUMMYFUNCTION("IFERROR(VLOOKUP(E942&amp;F942,IMPORTRANGE(""https://docs.google.com/spreadsheets/d/1Uw7-A9f9R21vMXxHZFNpYNeKFtG8_yji4HS352LGlSQ/edit?pli=1#gid=0"",""1_ACUM!A4:S""),17,FALSE))"),"")</f>
        <v/>
      </c>
      <c r="AI919" s="44" t="str">
        <f ca="1">IFERROR(__xludf.DUMMYFUNCTION("IFERROR(VLOOKUP(E942&amp;F942,IMPORTRANGE(""https://docs.google.com/spreadsheets/d/1Uw7-A9f9R21vMXxHZFNpYNeKFtG8_yji4HS352LGlSQ/edit?pli=1#gid=0"",""1_ACUM!A4:S""),18,FALSE))"),"")</f>
        <v/>
      </c>
      <c r="AJ919" s="44" t="str">
        <f ca="1">IFERROR(__xludf.DUMMYFUNCTION("IFERROR(VLOOKUP(E942&amp;F942,IMPORTRANGE(""https://docs.google.com/spreadsheets/d/1Uw7-A9f9R21vMXxHZFNpYNeKFtG8_yji4HS352LGlSQ/edit?pli=1#gid=0"",""1_ACUM!A4:S""),19,FALSE))"),"")</f>
        <v/>
      </c>
      <c r="AK919" s="98" t="str">
        <f ca="1">IFERROR(__xludf.DUMMYFUNCTION("IFERROR(VLOOKUP(F942,IMPORTRANGE(""https://docs.google.com/spreadsheets/d/1Kvs4KS76FHFqLFIZfrDMff4kP08nblUkihrxltoGBjg/edit#gid=934712705"",""ESENCIAL!A6:BG""),5,FALSE))"),"")</f>
        <v/>
      </c>
      <c r="AL919" s="98" t="str">
        <f t="shared" si="54"/>
        <v/>
      </c>
      <c r="AM919" s="99" t="str">
        <f t="shared" si="55"/>
        <v/>
      </c>
      <c r="AN919" s="100" t="str">
        <f ca="1">IFERROR(__xludf.DUMMYFUNCTION("IFERROR(VLOOKUP(F942,IMPORTRANGE(""https://docs.google.com/spreadsheets/d/1Kvs4KS76FHFqLFIZfrDMff4kP08nblUkihrxltoGBjg/edit#gid=934712705"",""ESENCIAL!A6:BG""),2,FALSE))"),"")</f>
        <v/>
      </c>
      <c r="AO919" s="19" t="str">
        <f t="shared" si="46"/>
        <v/>
      </c>
      <c r="AP919" s="100"/>
      <c r="AQ919" s="100"/>
    </row>
    <row r="920" spans="1:43" ht="15">
      <c r="A920" s="5"/>
      <c r="B920" s="5"/>
      <c r="G920" s="5" t="str">
        <f ca="1">IFERROR(__xludf.DUMMYFUNCTION("IFERROR(VLOOKUP(F943,IMPORTRANGE(""https://docs.google.com/spreadsheets/d/1Kvs4KS76FHFqLFIZfrDMff4kP08nblUkihrxltoGBjg/edit#gid=934712705"",""ESENCIAL!A6:BG""),3,FALSE))"),"")</f>
        <v/>
      </c>
      <c r="H920" s="5" t="str">
        <f ca="1">IFERROR(__xludf.DUMMYFUNCTION("IFERROR(VLOOKUP(F943,IMPORTRANGE(""https://docs.google.com/spreadsheets/d/1Kvs4KS76FHFqLFIZfrDMff4kP08nblUkihrxltoGBjg/edit#gid=934712705"",""ESENCIAL!A6:BG""),8,FALSE))"),"")</f>
        <v/>
      </c>
      <c r="L920" s="40"/>
      <c r="Z920" s="41" t="str">
        <f t="shared" si="53"/>
        <v/>
      </c>
      <c r="AA920" s="5" t="str">
        <f ca="1">IFERROR(__xludf.DUMMYFUNCTION("IFERROR(VLOOKUP(E943&amp;F943,IMPORTRANGE(""https://docs.google.com/spreadsheets/d/1Uw7-A9f9R21vMXxHZFNpYNeKFtG8_yji4HS352LGlSQ/edit?pli=1#gid=0"",""1_ACUM!A4:S""),11,FALSE))"),"")</f>
        <v/>
      </c>
      <c r="AB920" s="42" t="str">
        <f ca="1">IFERROR(__xludf.DUMMYFUNCTION("IFERROR(VLOOKUP(F943,IMPORTRANGE(""https://docs.google.com/spreadsheets/d/1Kvs4KS76FHFqLFIZfrDMff4kP08nblUkihrxltoGBjg/edit#gid=934712705"",""ESENCIAL!A6:BG""),15,FALSE))"),"")</f>
        <v/>
      </c>
      <c r="AC920" s="110" t="str">
        <f ca="1">IFERROR(__xludf.DUMMYFUNCTION("IFERROR(VLOOKUP(E943&amp;F943,IMPORTRANGE(""https://docs.google.com/spreadsheets/d/1Uw7-A9f9R21vMXxHZFNpYNeKFtG8_yji4HS352LGlSQ/edit?pli=1#gid=0"",""1_ACUM!A4:S""),13,FALSE))"),"")</f>
        <v/>
      </c>
      <c r="AD920" s="43" t="str">
        <f ca="1">IFERROR(__xludf.DUMMYFUNCTION("IFERROR(VLOOKUP(E943&amp;F943,IMPORTRANGE(""https://docs.google.com/spreadsheets/d/1Uw7-A9f9R21vMXxHZFNpYNeKFtG8_yji4HS352LGlSQ/edit?pli=1#gid=0"",""1_ACUM!A4:S""),13,FALSE))"),"")</f>
        <v/>
      </c>
      <c r="AE920" s="43" t="str">
        <f ca="1">IFERROR(__xludf.DUMMYFUNCTION("IFERROR(VLOOKUP(E943&amp;F943,IMPORTRANGE(""https://docs.google.com/spreadsheets/d/1Uw7-A9f9R21vMXxHZFNpYNeKFtG8_yji4HS352LGlSQ/edit?pli=1#gid=0"",""1_ACUM!A4:S""),14,FALSE))"),"")</f>
        <v/>
      </c>
      <c r="AF920" s="43" t="str">
        <f ca="1">IFERROR(__xludf.DUMMYFUNCTION("IFERROR(VLOOKUP(E943&amp;F943,IMPORTRANGE(""https://docs.google.com/spreadsheets/d/1Uw7-A9f9R21vMXxHZFNpYNeKFtG8_yji4HS352LGlSQ/edit?pli=1#gid=0"",""1_ACUM!A4:S""),15,FALSE))"),"")</f>
        <v/>
      </c>
      <c r="AG920" s="43" t="str">
        <f ca="1">IFERROR(__xludf.DUMMYFUNCTION("IFERROR(VLOOKUP(E943&amp;F943,IMPORTRANGE(""https://docs.google.com/spreadsheets/d/1Uw7-A9f9R21vMXxHZFNpYNeKFtG8_yji4HS352LGlSQ/edit?pli=1#gid=0"",""1_ACUM!A4:S""),16,FALSE))"),"")</f>
        <v/>
      </c>
      <c r="AH920" s="43" t="str">
        <f ca="1">IFERROR(__xludf.DUMMYFUNCTION("IFERROR(VLOOKUP(E943&amp;F943,IMPORTRANGE(""https://docs.google.com/spreadsheets/d/1Uw7-A9f9R21vMXxHZFNpYNeKFtG8_yji4HS352LGlSQ/edit?pli=1#gid=0"",""1_ACUM!A4:S""),17,FALSE))"),"")</f>
        <v/>
      </c>
      <c r="AI920" s="44" t="str">
        <f ca="1">IFERROR(__xludf.DUMMYFUNCTION("IFERROR(VLOOKUP(E943&amp;F943,IMPORTRANGE(""https://docs.google.com/spreadsheets/d/1Uw7-A9f9R21vMXxHZFNpYNeKFtG8_yji4HS352LGlSQ/edit?pli=1#gid=0"",""1_ACUM!A4:S""),18,FALSE))"),"")</f>
        <v/>
      </c>
      <c r="AJ920" s="44" t="str">
        <f ca="1">IFERROR(__xludf.DUMMYFUNCTION("IFERROR(VLOOKUP(E943&amp;F943,IMPORTRANGE(""https://docs.google.com/spreadsheets/d/1Uw7-A9f9R21vMXxHZFNpYNeKFtG8_yji4HS352LGlSQ/edit?pli=1#gid=0"",""1_ACUM!A4:S""),19,FALSE))"),"")</f>
        <v/>
      </c>
      <c r="AK920" s="98" t="str">
        <f ca="1">IFERROR(__xludf.DUMMYFUNCTION("IFERROR(VLOOKUP(F943,IMPORTRANGE(""https://docs.google.com/spreadsheets/d/1Kvs4KS76FHFqLFIZfrDMff4kP08nblUkihrxltoGBjg/edit#gid=934712705"",""ESENCIAL!A6:BG""),5,FALSE))"),"")</f>
        <v/>
      </c>
      <c r="AL920" s="98" t="str">
        <f t="shared" si="54"/>
        <v/>
      </c>
      <c r="AM920" s="99" t="str">
        <f t="shared" si="55"/>
        <v/>
      </c>
      <c r="AN920" s="100" t="str">
        <f ca="1">IFERROR(__xludf.DUMMYFUNCTION("IFERROR(VLOOKUP(F943,IMPORTRANGE(""https://docs.google.com/spreadsheets/d/1Kvs4KS76FHFqLFIZfrDMff4kP08nblUkihrxltoGBjg/edit#gid=934712705"",""ESENCIAL!A6:BG""),2,FALSE))"),"")</f>
        <v/>
      </c>
      <c r="AO920" s="19" t="str">
        <f t="shared" si="46"/>
        <v/>
      </c>
      <c r="AP920" s="100"/>
      <c r="AQ920" s="100"/>
    </row>
    <row r="921" spans="1:43" ht="15">
      <c r="A921" s="5"/>
      <c r="B921" s="5"/>
      <c r="G921" s="5" t="str">
        <f ca="1">IFERROR(__xludf.DUMMYFUNCTION("IFERROR(VLOOKUP(F944,IMPORTRANGE(""https://docs.google.com/spreadsheets/d/1Kvs4KS76FHFqLFIZfrDMff4kP08nblUkihrxltoGBjg/edit#gid=934712705"",""ESENCIAL!A6:BG""),3,FALSE))"),"")</f>
        <v/>
      </c>
      <c r="H921" s="5" t="str">
        <f ca="1">IFERROR(__xludf.DUMMYFUNCTION("IFERROR(VLOOKUP(F944,IMPORTRANGE(""https://docs.google.com/spreadsheets/d/1Kvs4KS76FHFqLFIZfrDMff4kP08nblUkihrxltoGBjg/edit#gid=934712705"",""ESENCIAL!A6:BG""),8,FALSE))"),"")</f>
        <v/>
      </c>
      <c r="L921" s="40"/>
      <c r="Z921" s="41" t="str">
        <f t="shared" si="53"/>
        <v/>
      </c>
      <c r="AA921" s="5" t="str">
        <f ca="1">IFERROR(__xludf.DUMMYFUNCTION("IFERROR(VLOOKUP(E944&amp;F944,IMPORTRANGE(""https://docs.google.com/spreadsheets/d/1Uw7-A9f9R21vMXxHZFNpYNeKFtG8_yji4HS352LGlSQ/edit?pli=1#gid=0"",""1_ACUM!A4:S""),11,FALSE))"),"")</f>
        <v/>
      </c>
      <c r="AB921" s="42" t="str">
        <f ca="1">IFERROR(__xludf.DUMMYFUNCTION("IFERROR(VLOOKUP(F944,IMPORTRANGE(""https://docs.google.com/spreadsheets/d/1Kvs4KS76FHFqLFIZfrDMff4kP08nblUkihrxltoGBjg/edit#gid=934712705"",""ESENCIAL!A6:BG""),15,FALSE))"),"")</f>
        <v/>
      </c>
      <c r="AC921" s="110" t="str">
        <f ca="1">IFERROR(__xludf.DUMMYFUNCTION("IFERROR(VLOOKUP(E944&amp;F944,IMPORTRANGE(""https://docs.google.com/spreadsheets/d/1Uw7-A9f9R21vMXxHZFNpYNeKFtG8_yji4HS352LGlSQ/edit?pli=1#gid=0"",""1_ACUM!A4:S""),13,FALSE))"),"")</f>
        <v/>
      </c>
      <c r="AD921" s="43" t="str">
        <f ca="1">IFERROR(__xludf.DUMMYFUNCTION("IFERROR(VLOOKUP(E944&amp;F944,IMPORTRANGE(""https://docs.google.com/spreadsheets/d/1Uw7-A9f9R21vMXxHZFNpYNeKFtG8_yji4HS352LGlSQ/edit?pli=1#gid=0"",""1_ACUM!A4:S""),13,FALSE))"),"")</f>
        <v/>
      </c>
      <c r="AE921" s="43" t="str">
        <f ca="1">IFERROR(__xludf.DUMMYFUNCTION("IFERROR(VLOOKUP(E944&amp;F944,IMPORTRANGE(""https://docs.google.com/spreadsheets/d/1Uw7-A9f9R21vMXxHZFNpYNeKFtG8_yji4HS352LGlSQ/edit?pli=1#gid=0"",""1_ACUM!A4:S""),14,FALSE))"),"")</f>
        <v/>
      </c>
      <c r="AF921" s="43" t="str">
        <f ca="1">IFERROR(__xludf.DUMMYFUNCTION("IFERROR(VLOOKUP(E944&amp;F944,IMPORTRANGE(""https://docs.google.com/spreadsheets/d/1Uw7-A9f9R21vMXxHZFNpYNeKFtG8_yji4HS352LGlSQ/edit?pli=1#gid=0"",""1_ACUM!A4:S""),15,FALSE))"),"")</f>
        <v/>
      </c>
      <c r="AG921" s="43" t="str">
        <f ca="1">IFERROR(__xludf.DUMMYFUNCTION("IFERROR(VLOOKUP(E944&amp;F944,IMPORTRANGE(""https://docs.google.com/spreadsheets/d/1Uw7-A9f9R21vMXxHZFNpYNeKFtG8_yji4HS352LGlSQ/edit?pli=1#gid=0"",""1_ACUM!A4:S""),16,FALSE))"),"")</f>
        <v/>
      </c>
      <c r="AH921" s="43" t="str">
        <f ca="1">IFERROR(__xludf.DUMMYFUNCTION("IFERROR(VLOOKUP(E944&amp;F944,IMPORTRANGE(""https://docs.google.com/spreadsheets/d/1Uw7-A9f9R21vMXxHZFNpYNeKFtG8_yji4HS352LGlSQ/edit?pli=1#gid=0"",""1_ACUM!A4:S""),17,FALSE))"),"")</f>
        <v/>
      </c>
      <c r="AI921" s="44" t="str">
        <f ca="1">IFERROR(__xludf.DUMMYFUNCTION("IFERROR(VLOOKUP(E944&amp;F944,IMPORTRANGE(""https://docs.google.com/spreadsheets/d/1Uw7-A9f9R21vMXxHZFNpYNeKFtG8_yji4HS352LGlSQ/edit?pli=1#gid=0"",""1_ACUM!A4:S""),18,FALSE))"),"")</f>
        <v/>
      </c>
      <c r="AJ921" s="44" t="str">
        <f ca="1">IFERROR(__xludf.DUMMYFUNCTION("IFERROR(VLOOKUP(E944&amp;F944,IMPORTRANGE(""https://docs.google.com/spreadsheets/d/1Uw7-A9f9R21vMXxHZFNpYNeKFtG8_yji4HS352LGlSQ/edit?pli=1#gid=0"",""1_ACUM!A4:S""),19,FALSE))"),"")</f>
        <v/>
      </c>
      <c r="AK921" s="98" t="str">
        <f ca="1">IFERROR(__xludf.DUMMYFUNCTION("IFERROR(VLOOKUP(F944,IMPORTRANGE(""https://docs.google.com/spreadsheets/d/1Kvs4KS76FHFqLFIZfrDMff4kP08nblUkihrxltoGBjg/edit#gid=934712705"",""ESENCIAL!A6:BG""),5,FALSE))"),"")</f>
        <v/>
      </c>
      <c r="AL921" s="98" t="str">
        <f t="shared" si="54"/>
        <v/>
      </c>
      <c r="AM921" s="99" t="str">
        <f t="shared" si="55"/>
        <v/>
      </c>
      <c r="AN921" s="100" t="str">
        <f ca="1">IFERROR(__xludf.DUMMYFUNCTION("IFERROR(VLOOKUP(F944,IMPORTRANGE(""https://docs.google.com/spreadsheets/d/1Kvs4KS76FHFqLFIZfrDMff4kP08nblUkihrxltoGBjg/edit#gid=934712705"",""ESENCIAL!A6:BG""),2,FALSE))"),"")</f>
        <v/>
      </c>
      <c r="AO921" s="19" t="str">
        <f t="shared" si="46"/>
        <v/>
      </c>
      <c r="AP921" s="100"/>
      <c r="AQ921" s="100"/>
    </row>
    <row r="922" spans="1:43" ht="15">
      <c r="A922" s="5"/>
      <c r="B922" s="5"/>
      <c r="G922" s="5" t="str">
        <f ca="1">IFERROR(__xludf.DUMMYFUNCTION("IFERROR(VLOOKUP(F945,IMPORTRANGE(""https://docs.google.com/spreadsheets/d/1Kvs4KS76FHFqLFIZfrDMff4kP08nblUkihrxltoGBjg/edit#gid=934712705"",""ESENCIAL!A6:BG""),3,FALSE))"),"")</f>
        <v/>
      </c>
      <c r="H922" s="5" t="str">
        <f ca="1">IFERROR(__xludf.DUMMYFUNCTION("IFERROR(VLOOKUP(F945,IMPORTRANGE(""https://docs.google.com/spreadsheets/d/1Kvs4KS76FHFqLFIZfrDMff4kP08nblUkihrxltoGBjg/edit#gid=934712705"",""ESENCIAL!A6:BG""),8,FALSE))"),"")</f>
        <v/>
      </c>
      <c r="L922" s="40"/>
      <c r="Z922" s="41" t="str">
        <f t="shared" si="53"/>
        <v/>
      </c>
      <c r="AA922" s="5" t="str">
        <f ca="1">IFERROR(__xludf.DUMMYFUNCTION("IFERROR(VLOOKUP(E945&amp;F945,IMPORTRANGE(""https://docs.google.com/spreadsheets/d/1Uw7-A9f9R21vMXxHZFNpYNeKFtG8_yji4HS352LGlSQ/edit?pli=1#gid=0"",""1_ACUM!A4:S""),11,FALSE))"),"")</f>
        <v/>
      </c>
      <c r="AB922" s="42" t="str">
        <f ca="1">IFERROR(__xludf.DUMMYFUNCTION("IFERROR(VLOOKUP(F945,IMPORTRANGE(""https://docs.google.com/spreadsheets/d/1Kvs4KS76FHFqLFIZfrDMff4kP08nblUkihrxltoGBjg/edit#gid=934712705"",""ESENCIAL!A6:BG""),15,FALSE))"),"")</f>
        <v/>
      </c>
      <c r="AC922" s="110" t="str">
        <f ca="1">IFERROR(__xludf.DUMMYFUNCTION("IFERROR(VLOOKUP(E945&amp;F945,IMPORTRANGE(""https://docs.google.com/spreadsheets/d/1Uw7-A9f9R21vMXxHZFNpYNeKFtG8_yji4HS352LGlSQ/edit?pli=1#gid=0"",""1_ACUM!A4:S""),13,FALSE))"),"")</f>
        <v/>
      </c>
      <c r="AD922" s="43" t="str">
        <f ca="1">IFERROR(__xludf.DUMMYFUNCTION("IFERROR(VLOOKUP(E945&amp;F945,IMPORTRANGE(""https://docs.google.com/spreadsheets/d/1Uw7-A9f9R21vMXxHZFNpYNeKFtG8_yji4HS352LGlSQ/edit?pli=1#gid=0"",""1_ACUM!A4:S""),13,FALSE))"),"")</f>
        <v/>
      </c>
      <c r="AE922" s="43" t="str">
        <f ca="1">IFERROR(__xludf.DUMMYFUNCTION("IFERROR(VLOOKUP(E945&amp;F945,IMPORTRANGE(""https://docs.google.com/spreadsheets/d/1Uw7-A9f9R21vMXxHZFNpYNeKFtG8_yji4HS352LGlSQ/edit?pli=1#gid=0"",""1_ACUM!A4:S""),14,FALSE))"),"")</f>
        <v/>
      </c>
      <c r="AF922" s="43" t="str">
        <f ca="1">IFERROR(__xludf.DUMMYFUNCTION("IFERROR(VLOOKUP(E945&amp;F945,IMPORTRANGE(""https://docs.google.com/spreadsheets/d/1Uw7-A9f9R21vMXxHZFNpYNeKFtG8_yji4HS352LGlSQ/edit?pli=1#gid=0"",""1_ACUM!A4:S""),15,FALSE))"),"")</f>
        <v/>
      </c>
      <c r="AG922" s="43" t="str">
        <f ca="1">IFERROR(__xludf.DUMMYFUNCTION("IFERROR(VLOOKUP(E945&amp;F945,IMPORTRANGE(""https://docs.google.com/spreadsheets/d/1Uw7-A9f9R21vMXxHZFNpYNeKFtG8_yji4HS352LGlSQ/edit?pli=1#gid=0"",""1_ACUM!A4:S""),16,FALSE))"),"")</f>
        <v/>
      </c>
      <c r="AH922" s="43" t="str">
        <f ca="1">IFERROR(__xludf.DUMMYFUNCTION("IFERROR(VLOOKUP(E945&amp;F945,IMPORTRANGE(""https://docs.google.com/spreadsheets/d/1Uw7-A9f9R21vMXxHZFNpYNeKFtG8_yji4HS352LGlSQ/edit?pli=1#gid=0"",""1_ACUM!A4:S""),17,FALSE))"),"")</f>
        <v/>
      </c>
      <c r="AI922" s="44" t="str">
        <f ca="1">IFERROR(__xludf.DUMMYFUNCTION("IFERROR(VLOOKUP(E945&amp;F945,IMPORTRANGE(""https://docs.google.com/spreadsheets/d/1Uw7-A9f9R21vMXxHZFNpYNeKFtG8_yji4HS352LGlSQ/edit?pli=1#gid=0"",""1_ACUM!A4:S""),18,FALSE))"),"")</f>
        <v/>
      </c>
      <c r="AJ922" s="44" t="str">
        <f ca="1">IFERROR(__xludf.DUMMYFUNCTION("IFERROR(VLOOKUP(E945&amp;F945,IMPORTRANGE(""https://docs.google.com/spreadsheets/d/1Uw7-A9f9R21vMXxHZFNpYNeKFtG8_yji4HS352LGlSQ/edit?pli=1#gid=0"",""1_ACUM!A4:S""),19,FALSE))"),"")</f>
        <v/>
      </c>
      <c r="AK922" s="98" t="str">
        <f ca="1">IFERROR(__xludf.DUMMYFUNCTION("IFERROR(VLOOKUP(F945,IMPORTRANGE(""https://docs.google.com/spreadsheets/d/1Kvs4KS76FHFqLFIZfrDMff4kP08nblUkihrxltoGBjg/edit#gid=934712705"",""ESENCIAL!A6:BG""),5,FALSE))"),"")</f>
        <v/>
      </c>
      <c r="AL922" s="98" t="str">
        <f t="shared" si="54"/>
        <v/>
      </c>
      <c r="AM922" s="99" t="str">
        <f t="shared" si="55"/>
        <v/>
      </c>
      <c r="AN922" s="100" t="str">
        <f ca="1">IFERROR(__xludf.DUMMYFUNCTION("IFERROR(VLOOKUP(F945,IMPORTRANGE(""https://docs.google.com/spreadsheets/d/1Kvs4KS76FHFqLFIZfrDMff4kP08nblUkihrxltoGBjg/edit#gid=934712705"",""ESENCIAL!A6:BG""),2,FALSE))"),"")</f>
        <v/>
      </c>
      <c r="AO922" s="19" t="str">
        <f t="shared" si="46"/>
        <v/>
      </c>
      <c r="AP922" s="100"/>
      <c r="AQ922" s="100"/>
    </row>
    <row r="923" spans="1:43" ht="15">
      <c r="A923" s="5"/>
      <c r="B923" s="5"/>
      <c r="G923" s="5" t="str">
        <f ca="1">IFERROR(__xludf.DUMMYFUNCTION("IFERROR(VLOOKUP(F946,IMPORTRANGE(""https://docs.google.com/spreadsheets/d/1Kvs4KS76FHFqLFIZfrDMff4kP08nblUkihrxltoGBjg/edit#gid=934712705"",""ESENCIAL!A6:BG""),3,FALSE))"),"")</f>
        <v/>
      </c>
      <c r="H923" s="5" t="str">
        <f ca="1">IFERROR(__xludf.DUMMYFUNCTION("IFERROR(VLOOKUP(F946,IMPORTRANGE(""https://docs.google.com/spreadsheets/d/1Kvs4KS76FHFqLFIZfrDMff4kP08nblUkihrxltoGBjg/edit#gid=934712705"",""ESENCIAL!A6:BG""),8,FALSE))"),"")</f>
        <v/>
      </c>
      <c r="L923" s="40"/>
      <c r="Z923" s="41" t="str">
        <f t="shared" si="53"/>
        <v/>
      </c>
      <c r="AA923" s="5" t="str">
        <f ca="1">IFERROR(__xludf.DUMMYFUNCTION("IFERROR(VLOOKUP(E946&amp;F946,IMPORTRANGE(""https://docs.google.com/spreadsheets/d/1Uw7-A9f9R21vMXxHZFNpYNeKFtG8_yji4HS352LGlSQ/edit?pli=1#gid=0"",""1_ACUM!A4:S""),11,FALSE))"),"")</f>
        <v/>
      </c>
      <c r="AB923" s="42" t="str">
        <f ca="1">IFERROR(__xludf.DUMMYFUNCTION("IFERROR(VLOOKUP(F946,IMPORTRANGE(""https://docs.google.com/spreadsheets/d/1Kvs4KS76FHFqLFIZfrDMff4kP08nblUkihrxltoGBjg/edit#gid=934712705"",""ESENCIAL!A6:BG""),15,FALSE))"),"")</f>
        <v/>
      </c>
      <c r="AC923" s="110" t="str">
        <f ca="1">IFERROR(__xludf.DUMMYFUNCTION("IFERROR(VLOOKUP(E946&amp;F946,IMPORTRANGE(""https://docs.google.com/spreadsheets/d/1Uw7-A9f9R21vMXxHZFNpYNeKFtG8_yji4HS352LGlSQ/edit?pli=1#gid=0"",""1_ACUM!A4:S""),13,FALSE))"),"")</f>
        <v/>
      </c>
      <c r="AD923" s="43" t="str">
        <f ca="1">IFERROR(__xludf.DUMMYFUNCTION("IFERROR(VLOOKUP(E946&amp;F946,IMPORTRANGE(""https://docs.google.com/spreadsheets/d/1Uw7-A9f9R21vMXxHZFNpYNeKFtG8_yji4HS352LGlSQ/edit?pli=1#gid=0"",""1_ACUM!A4:S""),13,FALSE))"),"")</f>
        <v/>
      </c>
      <c r="AE923" s="43" t="str">
        <f ca="1">IFERROR(__xludf.DUMMYFUNCTION("IFERROR(VLOOKUP(E946&amp;F946,IMPORTRANGE(""https://docs.google.com/spreadsheets/d/1Uw7-A9f9R21vMXxHZFNpYNeKFtG8_yji4HS352LGlSQ/edit?pli=1#gid=0"",""1_ACUM!A4:S""),14,FALSE))"),"")</f>
        <v/>
      </c>
      <c r="AF923" s="43" t="str">
        <f ca="1">IFERROR(__xludf.DUMMYFUNCTION("IFERROR(VLOOKUP(E946&amp;F946,IMPORTRANGE(""https://docs.google.com/spreadsheets/d/1Uw7-A9f9R21vMXxHZFNpYNeKFtG8_yji4HS352LGlSQ/edit?pli=1#gid=0"",""1_ACUM!A4:S""),15,FALSE))"),"")</f>
        <v/>
      </c>
      <c r="AG923" s="43" t="str">
        <f ca="1">IFERROR(__xludf.DUMMYFUNCTION("IFERROR(VLOOKUP(E946&amp;F946,IMPORTRANGE(""https://docs.google.com/spreadsheets/d/1Uw7-A9f9R21vMXxHZFNpYNeKFtG8_yji4HS352LGlSQ/edit?pli=1#gid=0"",""1_ACUM!A4:S""),16,FALSE))"),"")</f>
        <v/>
      </c>
      <c r="AH923" s="43" t="str">
        <f ca="1">IFERROR(__xludf.DUMMYFUNCTION("IFERROR(VLOOKUP(E946&amp;F946,IMPORTRANGE(""https://docs.google.com/spreadsheets/d/1Uw7-A9f9R21vMXxHZFNpYNeKFtG8_yji4HS352LGlSQ/edit?pli=1#gid=0"",""1_ACUM!A4:S""),17,FALSE))"),"")</f>
        <v/>
      </c>
      <c r="AI923" s="44" t="str">
        <f ca="1">IFERROR(__xludf.DUMMYFUNCTION("IFERROR(VLOOKUP(E946&amp;F946,IMPORTRANGE(""https://docs.google.com/spreadsheets/d/1Uw7-A9f9R21vMXxHZFNpYNeKFtG8_yji4HS352LGlSQ/edit?pli=1#gid=0"",""1_ACUM!A4:S""),18,FALSE))"),"")</f>
        <v/>
      </c>
      <c r="AJ923" s="44" t="str">
        <f ca="1">IFERROR(__xludf.DUMMYFUNCTION("IFERROR(VLOOKUP(E946&amp;F946,IMPORTRANGE(""https://docs.google.com/spreadsheets/d/1Uw7-A9f9R21vMXxHZFNpYNeKFtG8_yji4HS352LGlSQ/edit?pli=1#gid=0"",""1_ACUM!A4:S""),19,FALSE))"),"")</f>
        <v/>
      </c>
      <c r="AK923" s="98" t="str">
        <f ca="1">IFERROR(__xludf.DUMMYFUNCTION("IFERROR(VLOOKUP(F946,IMPORTRANGE(""https://docs.google.com/spreadsheets/d/1Kvs4KS76FHFqLFIZfrDMff4kP08nblUkihrxltoGBjg/edit#gid=934712705"",""ESENCIAL!A6:BG""),5,FALSE))"),"")</f>
        <v/>
      </c>
      <c r="AL923" s="98" t="str">
        <f t="shared" si="54"/>
        <v/>
      </c>
      <c r="AM923" s="99" t="str">
        <f t="shared" si="55"/>
        <v/>
      </c>
      <c r="AN923" s="100" t="str">
        <f ca="1">IFERROR(__xludf.DUMMYFUNCTION("IFERROR(VLOOKUP(F946,IMPORTRANGE(""https://docs.google.com/spreadsheets/d/1Kvs4KS76FHFqLFIZfrDMff4kP08nblUkihrxltoGBjg/edit#gid=934712705"",""ESENCIAL!A6:BG""),2,FALSE))"),"")</f>
        <v/>
      </c>
      <c r="AO923" s="19" t="str">
        <f t="shared" si="46"/>
        <v/>
      </c>
      <c r="AP923" s="100"/>
      <c r="AQ923" s="100"/>
    </row>
    <row r="924" spans="1:43" ht="15">
      <c r="A924" s="5"/>
      <c r="B924" s="5"/>
      <c r="G924" s="5" t="str">
        <f ca="1">IFERROR(__xludf.DUMMYFUNCTION("IFERROR(VLOOKUP(F947,IMPORTRANGE(""https://docs.google.com/spreadsheets/d/1Kvs4KS76FHFqLFIZfrDMff4kP08nblUkihrxltoGBjg/edit#gid=934712705"",""ESENCIAL!A6:BG""),3,FALSE))"),"")</f>
        <v/>
      </c>
      <c r="H924" s="5" t="str">
        <f ca="1">IFERROR(__xludf.DUMMYFUNCTION("IFERROR(VLOOKUP(F947,IMPORTRANGE(""https://docs.google.com/spreadsheets/d/1Kvs4KS76FHFqLFIZfrDMff4kP08nblUkihrxltoGBjg/edit#gid=934712705"",""ESENCIAL!A6:BG""),8,FALSE))"),"")</f>
        <v/>
      </c>
      <c r="L924" s="40"/>
      <c r="Z924" s="41" t="str">
        <f t="shared" si="53"/>
        <v/>
      </c>
      <c r="AA924" s="5" t="str">
        <f ca="1">IFERROR(__xludf.DUMMYFUNCTION("IFERROR(VLOOKUP(E947&amp;F947,IMPORTRANGE(""https://docs.google.com/spreadsheets/d/1Uw7-A9f9R21vMXxHZFNpYNeKFtG8_yji4HS352LGlSQ/edit?pli=1#gid=0"",""1_ACUM!A4:S""),11,FALSE))"),"")</f>
        <v/>
      </c>
      <c r="AB924" s="42" t="str">
        <f ca="1">IFERROR(__xludf.DUMMYFUNCTION("IFERROR(VLOOKUP(F947,IMPORTRANGE(""https://docs.google.com/spreadsheets/d/1Kvs4KS76FHFqLFIZfrDMff4kP08nblUkihrxltoGBjg/edit#gid=934712705"",""ESENCIAL!A6:BG""),15,FALSE))"),"")</f>
        <v/>
      </c>
      <c r="AC924" s="110" t="str">
        <f ca="1">IFERROR(__xludf.DUMMYFUNCTION("IFERROR(VLOOKUP(E947&amp;F947,IMPORTRANGE(""https://docs.google.com/spreadsheets/d/1Uw7-A9f9R21vMXxHZFNpYNeKFtG8_yji4HS352LGlSQ/edit?pli=1#gid=0"",""1_ACUM!A4:S""),13,FALSE))"),"")</f>
        <v/>
      </c>
      <c r="AD924" s="43" t="str">
        <f ca="1">IFERROR(__xludf.DUMMYFUNCTION("IFERROR(VLOOKUP(E947&amp;F947,IMPORTRANGE(""https://docs.google.com/spreadsheets/d/1Uw7-A9f9R21vMXxHZFNpYNeKFtG8_yji4HS352LGlSQ/edit?pli=1#gid=0"",""1_ACUM!A4:S""),13,FALSE))"),"")</f>
        <v/>
      </c>
      <c r="AE924" s="43" t="str">
        <f ca="1">IFERROR(__xludf.DUMMYFUNCTION("IFERROR(VLOOKUP(E947&amp;F947,IMPORTRANGE(""https://docs.google.com/spreadsheets/d/1Uw7-A9f9R21vMXxHZFNpYNeKFtG8_yji4HS352LGlSQ/edit?pli=1#gid=0"",""1_ACUM!A4:S""),14,FALSE))"),"")</f>
        <v/>
      </c>
      <c r="AF924" s="43" t="str">
        <f ca="1">IFERROR(__xludf.DUMMYFUNCTION("IFERROR(VLOOKUP(E947&amp;F947,IMPORTRANGE(""https://docs.google.com/spreadsheets/d/1Uw7-A9f9R21vMXxHZFNpYNeKFtG8_yji4HS352LGlSQ/edit?pli=1#gid=0"",""1_ACUM!A4:S""),15,FALSE))"),"")</f>
        <v/>
      </c>
      <c r="AG924" s="43" t="str">
        <f ca="1">IFERROR(__xludf.DUMMYFUNCTION("IFERROR(VLOOKUP(E947&amp;F947,IMPORTRANGE(""https://docs.google.com/spreadsheets/d/1Uw7-A9f9R21vMXxHZFNpYNeKFtG8_yji4HS352LGlSQ/edit?pli=1#gid=0"",""1_ACUM!A4:S""),16,FALSE))"),"")</f>
        <v/>
      </c>
      <c r="AH924" s="43" t="str">
        <f ca="1">IFERROR(__xludf.DUMMYFUNCTION("IFERROR(VLOOKUP(E947&amp;F947,IMPORTRANGE(""https://docs.google.com/spreadsheets/d/1Uw7-A9f9R21vMXxHZFNpYNeKFtG8_yji4HS352LGlSQ/edit?pli=1#gid=0"",""1_ACUM!A4:S""),17,FALSE))"),"")</f>
        <v/>
      </c>
      <c r="AI924" s="44" t="str">
        <f ca="1">IFERROR(__xludf.DUMMYFUNCTION("IFERROR(VLOOKUP(E947&amp;F947,IMPORTRANGE(""https://docs.google.com/spreadsheets/d/1Uw7-A9f9R21vMXxHZFNpYNeKFtG8_yji4HS352LGlSQ/edit?pli=1#gid=0"",""1_ACUM!A4:S""),18,FALSE))"),"")</f>
        <v/>
      </c>
      <c r="AJ924" s="44" t="str">
        <f ca="1">IFERROR(__xludf.DUMMYFUNCTION("IFERROR(VLOOKUP(E947&amp;F947,IMPORTRANGE(""https://docs.google.com/spreadsheets/d/1Uw7-A9f9R21vMXxHZFNpYNeKFtG8_yji4HS352LGlSQ/edit?pli=1#gid=0"",""1_ACUM!A4:S""),19,FALSE))"),"")</f>
        <v/>
      </c>
      <c r="AK924" s="98" t="str">
        <f ca="1">IFERROR(__xludf.DUMMYFUNCTION("IFERROR(VLOOKUP(F947,IMPORTRANGE(""https://docs.google.com/spreadsheets/d/1Kvs4KS76FHFqLFIZfrDMff4kP08nblUkihrxltoGBjg/edit#gid=934712705"",""ESENCIAL!A6:BG""),5,FALSE))"),"")</f>
        <v/>
      </c>
      <c r="AL924" s="98" t="str">
        <f t="shared" si="54"/>
        <v/>
      </c>
      <c r="AM924" s="99" t="str">
        <f t="shared" si="55"/>
        <v/>
      </c>
      <c r="AN924" s="100" t="str">
        <f ca="1">IFERROR(__xludf.DUMMYFUNCTION("IFERROR(VLOOKUP(F947,IMPORTRANGE(""https://docs.google.com/spreadsheets/d/1Kvs4KS76FHFqLFIZfrDMff4kP08nblUkihrxltoGBjg/edit#gid=934712705"",""ESENCIAL!A6:BG""),2,FALSE))"),"")</f>
        <v/>
      </c>
      <c r="AO924" s="19" t="str">
        <f t="shared" si="46"/>
        <v/>
      </c>
      <c r="AP924" s="100"/>
      <c r="AQ924" s="100"/>
    </row>
    <row r="925" spans="1:43" ht="15">
      <c r="A925" s="5"/>
      <c r="B925" s="5"/>
      <c r="G925" s="5" t="str">
        <f ca="1">IFERROR(__xludf.DUMMYFUNCTION("IFERROR(VLOOKUP(F948,IMPORTRANGE(""https://docs.google.com/spreadsheets/d/1Kvs4KS76FHFqLFIZfrDMff4kP08nblUkihrxltoGBjg/edit#gid=934712705"",""ESENCIAL!A6:BG""),3,FALSE))"),"")</f>
        <v/>
      </c>
      <c r="H925" s="5" t="str">
        <f ca="1">IFERROR(__xludf.DUMMYFUNCTION("IFERROR(VLOOKUP(F948,IMPORTRANGE(""https://docs.google.com/spreadsheets/d/1Kvs4KS76FHFqLFIZfrDMff4kP08nblUkihrxltoGBjg/edit#gid=934712705"",""ESENCIAL!A6:BG""),8,FALSE))"),"")</f>
        <v/>
      </c>
      <c r="L925" s="40"/>
      <c r="Z925" s="41" t="str">
        <f t="shared" si="53"/>
        <v/>
      </c>
      <c r="AA925" s="5" t="str">
        <f ca="1">IFERROR(__xludf.DUMMYFUNCTION("IFERROR(VLOOKUP(E948&amp;F948,IMPORTRANGE(""https://docs.google.com/spreadsheets/d/1Uw7-A9f9R21vMXxHZFNpYNeKFtG8_yji4HS352LGlSQ/edit?pli=1#gid=0"",""1_ACUM!A4:S""),11,FALSE))"),"")</f>
        <v/>
      </c>
      <c r="AB925" s="42" t="str">
        <f ca="1">IFERROR(__xludf.DUMMYFUNCTION("IFERROR(VLOOKUP(F948,IMPORTRANGE(""https://docs.google.com/spreadsheets/d/1Kvs4KS76FHFqLFIZfrDMff4kP08nblUkihrxltoGBjg/edit#gid=934712705"",""ESENCIAL!A6:BG""),15,FALSE))"),"")</f>
        <v/>
      </c>
      <c r="AC925" s="110" t="str">
        <f ca="1">IFERROR(__xludf.DUMMYFUNCTION("IFERROR(VLOOKUP(E948&amp;F948,IMPORTRANGE(""https://docs.google.com/spreadsheets/d/1Uw7-A9f9R21vMXxHZFNpYNeKFtG8_yji4HS352LGlSQ/edit?pli=1#gid=0"",""1_ACUM!A4:S""),13,FALSE))"),"")</f>
        <v/>
      </c>
      <c r="AD925" s="43" t="str">
        <f ca="1">IFERROR(__xludf.DUMMYFUNCTION("IFERROR(VLOOKUP(E948&amp;F948,IMPORTRANGE(""https://docs.google.com/spreadsheets/d/1Uw7-A9f9R21vMXxHZFNpYNeKFtG8_yji4HS352LGlSQ/edit?pli=1#gid=0"",""1_ACUM!A4:S""),13,FALSE))"),"")</f>
        <v/>
      </c>
      <c r="AE925" s="43" t="str">
        <f ca="1">IFERROR(__xludf.DUMMYFUNCTION("IFERROR(VLOOKUP(E948&amp;F948,IMPORTRANGE(""https://docs.google.com/spreadsheets/d/1Uw7-A9f9R21vMXxHZFNpYNeKFtG8_yji4HS352LGlSQ/edit?pli=1#gid=0"",""1_ACUM!A4:S""),14,FALSE))"),"")</f>
        <v/>
      </c>
      <c r="AF925" s="43" t="str">
        <f ca="1">IFERROR(__xludf.DUMMYFUNCTION("IFERROR(VLOOKUP(E948&amp;F948,IMPORTRANGE(""https://docs.google.com/spreadsheets/d/1Uw7-A9f9R21vMXxHZFNpYNeKFtG8_yji4HS352LGlSQ/edit?pli=1#gid=0"",""1_ACUM!A4:S""),15,FALSE))"),"")</f>
        <v/>
      </c>
      <c r="AG925" s="43" t="str">
        <f ca="1">IFERROR(__xludf.DUMMYFUNCTION("IFERROR(VLOOKUP(E948&amp;F948,IMPORTRANGE(""https://docs.google.com/spreadsheets/d/1Uw7-A9f9R21vMXxHZFNpYNeKFtG8_yji4HS352LGlSQ/edit?pli=1#gid=0"",""1_ACUM!A4:S""),16,FALSE))"),"")</f>
        <v/>
      </c>
      <c r="AH925" s="43" t="str">
        <f ca="1">IFERROR(__xludf.DUMMYFUNCTION("IFERROR(VLOOKUP(E948&amp;F948,IMPORTRANGE(""https://docs.google.com/spreadsheets/d/1Uw7-A9f9R21vMXxHZFNpYNeKFtG8_yji4HS352LGlSQ/edit?pli=1#gid=0"",""1_ACUM!A4:S""),17,FALSE))"),"")</f>
        <v/>
      </c>
      <c r="AI925" s="44" t="str">
        <f ca="1">IFERROR(__xludf.DUMMYFUNCTION("IFERROR(VLOOKUP(E948&amp;F948,IMPORTRANGE(""https://docs.google.com/spreadsheets/d/1Uw7-A9f9R21vMXxHZFNpYNeKFtG8_yji4HS352LGlSQ/edit?pli=1#gid=0"",""1_ACUM!A4:S""),18,FALSE))"),"")</f>
        <v/>
      </c>
      <c r="AJ925" s="44" t="str">
        <f ca="1">IFERROR(__xludf.DUMMYFUNCTION("IFERROR(VLOOKUP(E948&amp;F948,IMPORTRANGE(""https://docs.google.com/spreadsheets/d/1Uw7-A9f9R21vMXxHZFNpYNeKFtG8_yji4HS352LGlSQ/edit?pli=1#gid=0"",""1_ACUM!A4:S""),19,FALSE))"),"")</f>
        <v/>
      </c>
      <c r="AK925" s="98" t="str">
        <f ca="1">IFERROR(__xludf.DUMMYFUNCTION("IFERROR(VLOOKUP(F948,IMPORTRANGE(""https://docs.google.com/spreadsheets/d/1Kvs4KS76FHFqLFIZfrDMff4kP08nblUkihrxltoGBjg/edit#gid=934712705"",""ESENCIAL!A6:BG""),5,FALSE))"),"")</f>
        <v/>
      </c>
      <c r="AL925" s="98" t="str">
        <f t="shared" si="54"/>
        <v/>
      </c>
      <c r="AM925" s="99" t="str">
        <f t="shared" si="55"/>
        <v/>
      </c>
      <c r="AN925" s="100" t="str">
        <f ca="1">IFERROR(__xludf.DUMMYFUNCTION("IFERROR(VLOOKUP(F948,IMPORTRANGE(""https://docs.google.com/spreadsheets/d/1Kvs4KS76FHFqLFIZfrDMff4kP08nblUkihrxltoGBjg/edit#gid=934712705"",""ESENCIAL!A6:BG""),2,FALSE))"),"")</f>
        <v/>
      </c>
      <c r="AO925" s="19" t="str">
        <f t="shared" si="46"/>
        <v/>
      </c>
      <c r="AP925" s="100"/>
      <c r="AQ925" s="100"/>
    </row>
    <row r="926" spans="1:43" ht="15">
      <c r="A926" s="5"/>
      <c r="B926" s="5"/>
      <c r="G926" s="5" t="str">
        <f ca="1">IFERROR(__xludf.DUMMYFUNCTION("IFERROR(VLOOKUP(F949,IMPORTRANGE(""https://docs.google.com/spreadsheets/d/1Kvs4KS76FHFqLFIZfrDMff4kP08nblUkihrxltoGBjg/edit#gid=934712705"",""ESENCIAL!A6:BG""),3,FALSE))"),"")</f>
        <v/>
      </c>
      <c r="H926" s="5" t="str">
        <f ca="1">IFERROR(__xludf.DUMMYFUNCTION("IFERROR(VLOOKUP(F949,IMPORTRANGE(""https://docs.google.com/spreadsheets/d/1Kvs4KS76FHFqLFIZfrDMff4kP08nblUkihrxltoGBjg/edit#gid=934712705"",""ESENCIAL!A6:BG""),8,FALSE))"),"")</f>
        <v/>
      </c>
      <c r="L926" s="40"/>
      <c r="Z926" s="41" t="str">
        <f t="shared" si="53"/>
        <v/>
      </c>
      <c r="AA926" s="5" t="str">
        <f ca="1">IFERROR(__xludf.DUMMYFUNCTION("IFERROR(VLOOKUP(E949&amp;F949,IMPORTRANGE(""https://docs.google.com/spreadsheets/d/1Uw7-A9f9R21vMXxHZFNpYNeKFtG8_yji4HS352LGlSQ/edit?pli=1#gid=0"",""1_ACUM!A4:S""),11,FALSE))"),"")</f>
        <v/>
      </c>
      <c r="AB926" s="42" t="str">
        <f ca="1">IFERROR(__xludf.DUMMYFUNCTION("IFERROR(VLOOKUP(F949,IMPORTRANGE(""https://docs.google.com/spreadsheets/d/1Kvs4KS76FHFqLFIZfrDMff4kP08nblUkihrxltoGBjg/edit#gid=934712705"",""ESENCIAL!A6:BG""),15,FALSE))"),"")</f>
        <v/>
      </c>
      <c r="AC926" s="110" t="str">
        <f ca="1">IFERROR(__xludf.DUMMYFUNCTION("IFERROR(VLOOKUP(E949&amp;F949,IMPORTRANGE(""https://docs.google.com/spreadsheets/d/1Uw7-A9f9R21vMXxHZFNpYNeKFtG8_yji4HS352LGlSQ/edit?pli=1#gid=0"",""1_ACUM!A4:S""),13,FALSE))"),"")</f>
        <v/>
      </c>
      <c r="AD926" s="43" t="str">
        <f ca="1">IFERROR(__xludf.DUMMYFUNCTION("IFERROR(VLOOKUP(E949&amp;F949,IMPORTRANGE(""https://docs.google.com/spreadsheets/d/1Uw7-A9f9R21vMXxHZFNpYNeKFtG8_yji4HS352LGlSQ/edit?pli=1#gid=0"",""1_ACUM!A4:S""),13,FALSE))"),"")</f>
        <v/>
      </c>
      <c r="AE926" s="43" t="str">
        <f ca="1">IFERROR(__xludf.DUMMYFUNCTION("IFERROR(VLOOKUP(E949&amp;F949,IMPORTRANGE(""https://docs.google.com/spreadsheets/d/1Uw7-A9f9R21vMXxHZFNpYNeKFtG8_yji4HS352LGlSQ/edit?pli=1#gid=0"",""1_ACUM!A4:S""),14,FALSE))"),"")</f>
        <v/>
      </c>
      <c r="AF926" s="43" t="str">
        <f ca="1">IFERROR(__xludf.DUMMYFUNCTION("IFERROR(VLOOKUP(E949&amp;F949,IMPORTRANGE(""https://docs.google.com/spreadsheets/d/1Uw7-A9f9R21vMXxHZFNpYNeKFtG8_yji4HS352LGlSQ/edit?pli=1#gid=0"",""1_ACUM!A4:S""),15,FALSE))"),"")</f>
        <v/>
      </c>
      <c r="AG926" s="43" t="str">
        <f ca="1">IFERROR(__xludf.DUMMYFUNCTION("IFERROR(VLOOKUP(E949&amp;F949,IMPORTRANGE(""https://docs.google.com/spreadsheets/d/1Uw7-A9f9R21vMXxHZFNpYNeKFtG8_yji4HS352LGlSQ/edit?pli=1#gid=0"",""1_ACUM!A4:S""),16,FALSE))"),"")</f>
        <v/>
      </c>
      <c r="AH926" s="43" t="str">
        <f ca="1">IFERROR(__xludf.DUMMYFUNCTION("IFERROR(VLOOKUP(E949&amp;F949,IMPORTRANGE(""https://docs.google.com/spreadsheets/d/1Uw7-A9f9R21vMXxHZFNpYNeKFtG8_yji4HS352LGlSQ/edit?pli=1#gid=0"",""1_ACUM!A4:S""),17,FALSE))"),"")</f>
        <v/>
      </c>
      <c r="AI926" s="44" t="str">
        <f ca="1">IFERROR(__xludf.DUMMYFUNCTION("IFERROR(VLOOKUP(E949&amp;F949,IMPORTRANGE(""https://docs.google.com/spreadsheets/d/1Uw7-A9f9R21vMXxHZFNpYNeKFtG8_yji4HS352LGlSQ/edit?pli=1#gid=0"",""1_ACUM!A4:S""),18,FALSE))"),"")</f>
        <v/>
      </c>
      <c r="AJ926" s="44" t="str">
        <f ca="1">IFERROR(__xludf.DUMMYFUNCTION("IFERROR(VLOOKUP(E949&amp;F949,IMPORTRANGE(""https://docs.google.com/spreadsheets/d/1Uw7-A9f9R21vMXxHZFNpYNeKFtG8_yji4HS352LGlSQ/edit?pli=1#gid=0"",""1_ACUM!A4:S""),19,FALSE))"),"")</f>
        <v/>
      </c>
      <c r="AK926" s="98" t="str">
        <f ca="1">IFERROR(__xludf.DUMMYFUNCTION("IFERROR(VLOOKUP(F949,IMPORTRANGE(""https://docs.google.com/spreadsheets/d/1Kvs4KS76FHFqLFIZfrDMff4kP08nblUkihrxltoGBjg/edit#gid=934712705"",""ESENCIAL!A6:BG""),5,FALSE))"),"")</f>
        <v/>
      </c>
      <c r="AL926" s="98" t="str">
        <f t="shared" si="54"/>
        <v/>
      </c>
      <c r="AM926" s="99" t="str">
        <f t="shared" si="55"/>
        <v/>
      </c>
      <c r="AN926" s="100" t="str">
        <f ca="1">IFERROR(__xludf.DUMMYFUNCTION("IFERROR(VLOOKUP(F949,IMPORTRANGE(""https://docs.google.com/spreadsheets/d/1Kvs4KS76FHFqLFIZfrDMff4kP08nblUkihrxltoGBjg/edit#gid=934712705"",""ESENCIAL!A6:BG""),2,FALSE))"),"")</f>
        <v/>
      </c>
      <c r="AO926" s="19" t="str">
        <f t="shared" si="46"/>
        <v/>
      </c>
      <c r="AP926" s="100"/>
      <c r="AQ926" s="100"/>
    </row>
    <row r="927" spans="1:43" ht="15">
      <c r="A927" s="5"/>
      <c r="B927" s="5"/>
      <c r="G927" s="5" t="str">
        <f ca="1">IFERROR(__xludf.DUMMYFUNCTION("IFERROR(VLOOKUP(F950,IMPORTRANGE(""https://docs.google.com/spreadsheets/d/1Kvs4KS76FHFqLFIZfrDMff4kP08nblUkihrxltoGBjg/edit#gid=934712705"",""ESENCIAL!A6:BG""),3,FALSE))"),"")</f>
        <v/>
      </c>
      <c r="H927" s="5" t="str">
        <f ca="1">IFERROR(__xludf.DUMMYFUNCTION("IFERROR(VLOOKUP(F950,IMPORTRANGE(""https://docs.google.com/spreadsheets/d/1Kvs4KS76FHFqLFIZfrDMff4kP08nblUkihrxltoGBjg/edit#gid=934712705"",""ESENCIAL!A6:BG""),8,FALSE))"),"")</f>
        <v/>
      </c>
      <c r="L927" s="40"/>
      <c r="Z927" s="41" t="str">
        <f t="shared" si="53"/>
        <v/>
      </c>
      <c r="AA927" s="5" t="str">
        <f ca="1">IFERROR(__xludf.DUMMYFUNCTION("IFERROR(VLOOKUP(E950&amp;F950,IMPORTRANGE(""https://docs.google.com/spreadsheets/d/1Uw7-A9f9R21vMXxHZFNpYNeKFtG8_yji4HS352LGlSQ/edit?pli=1#gid=0"",""1_ACUM!A4:S""),11,FALSE))"),"")</f>
        <v/>
      </c>
      <c r="AB927" s="42" t="str">
        <f ca="1">IFERROR(__xludf.DUMMYFUNCTION("IFERROR(VLOOKUP(F950,IMPORTRANGE(""https://docs.google.com/spreadsheets/d/1Kvs4KS76FHFqLFIZfrDMff4kP08nblUkihrxltoGBjg/edit#gid=934712705"",""ESENCIAL!A6:BG""),15,FALSE))"),"")</f>
        <v/>
      </c>
      <c r="AC927" s="110" t="str">
        <f ca="1">IFERROR(__xludf.DUMMYFUNCTION("IFERROR(VLOOKUP(E950&amp;F950,IMPORTRANGE(""https://docs.google.com/spreadsheets/d/1Uw7-A9f9R21vMXxHZFNpYNeKFtG8_yji4HS352LGlSQ/edit?pli=1#gid=0"",""1_ACUM!A4:S""),13,FALSE))"),"")</f>
        <v/>
      </c>
      <c r="AD927" s="43" t="str">
        <f ca="1">IFERROR(__xludf.DUMMYFUNCTION("IFERROR(VLOOKUP(E950&amp;F950,IMPORTRANGE(""https://docs.google.com/spreadsheets/d/1Uw7-A9f9R21vMXxHZFNpYNeKFtG8_yji4HS352LGlSQ/edit?pli=1#gid=0"",""1_ACUM!A4:S""),13,FALSE))"),"")</f>
        <v/>
      </c>
      <c r="AE927" s="43" t="str">
        <f ca="1">IFERROR(__xludf.DUMMYFUNCTION("IFERROR(VLOOKUP(E950&amp;F950,IMPORTRANGE(""https://docs.google.com/spreadsheets/d/1Uw7-A9f9R21vMXxHZFNpYNeKFtG8_yji4HS352LGlSQ/edit?pli=1#gid=0"",""1_ACUM!A4:S""),14,FALSE))"),"")</f>
        <v/>
      </c>
      <c r="AF927" s="43" t="str">
        <f ca="1">IFERROR(__xludf.DUMMYFUNCTION("IFERROR(VLOOKUP(E950&amp;F950,IMPORTRANGE(""https://docs.google.com/spreadsheets/d/1Uw7-A9f9R21vMXxHZFNpYNeKFtG8_yji4HS352LGlSQ/edit?pli=1#gid=0"",""1_ACUM!A4:S""),15,FALSE))"),"")</f>
        <v/>
      </c>
      <c r="AG927" s="43" t="str">
        <f ca="1">IFERROR(__xludf.DUMMYFUNCTION("IFERROR(VLOOKUP(E950&amp;F950,IMPORTRANGE(""https://docs.google.com/spreadsheets/d/1Uw7-A9f9R21vMXxHZFNpYNeKFtG8_yji4HS352LGlSQ/edit?pli=1#gid=0"",""1_ACUM!A4:S""),16,FALSE))"),"")</f>
        <v/>
      </c>
      <c r="AH927" s="43" t="str">
        <f ca="1">IFERROR(__xludf.DUMMYFUNCTION("IFERROR(VLOOKUP(E950&amp;F950,IMPORTRANGE(""https://docs.google.com/spreadsheets/d/1Uw7-A9f9R21vMXxHZFNpYNeKFtG8_yji4HS352LGlSQ/edit?pli=1#gid=0"",""1_ACUM!A4:S""),17,FALSE))"),"")</f>
        <v/>
      </c>
      <c r="AI927" s="44" t="str">
        <f ca="1">IFERROR(__xludf.DUMMYFUNCTION("IFERROR(VLOOKUP(E950&amp;F950,IMPORTRANGE(""https://docs.google.com/spreadsheets/d/1Uw7-A9f9R21vMXxHZFNpYNeKFtG8_yji4HS352LGlSQ/edit?pli=1#gid=0"",""1_ACUM!A4:S""),18,FALSE))"),"")</f>
        <v/>
      </c>
      <c r="AJ927" s="44" t="str">
        <f ca="1">IFERROR(__xludf.DUMMYFUNCTION("IFERROR(VLOOKUP(E950&amp;F950,IMPORTRANGE(""https://docs.google.com/spreadsheets/d/1Uw7-A9f9R21vMXxHZFNpYNeKFtG8_yji4HS352LGlSQ/edit?pli=1#gid=0"",""1_ACUM!A4:S""),19,FALSE))"),"")</f>
        <v/>
      </c>
      <c r="AK927" s="98" t="str">
        <f ca="1">IFERROR(__xludf.DUMMYFUNCTION("IFERROR(VLOOKUP(F950,IMPORTRANGE(""https://docs.google.com/spreadsheets/d/1Kvs4KS76FHFqLFIZfrDMff4kP08nblUkihrxltoGBjg/edit#gid=934712705"",""ESENCIAL!A6:BG""),5,FALSE))"),"")</f>
        <v/>
      </c>
      <c r="AL927" s="98" t="str">
        <f t="shared" si="54"/>
        <v/>
      </c>
      <c r="AM927" s="99" t="str">
        <f t="shared" si="55"/>
        <v/>
      </c>
      <c r="AN927" s="100" t="str">
        <f ca="1">IFERROR(__xludf.DUMMYFUNCTION("IFERROR(VLOOKUP(F950,IMPORTRANGE(""https://docs.google.com/spreadsheets/d/1Kvs4KS76FHFqLFIZfrDMff4kP08nblUkihrxltoGBjg/edit#gid=934712705"",""ESENCIAL!A6:BG""),2,FALSE))"),"")</f>
        <v/>
      </c>
      <c r="AO927" s="19" t="str">
        <f t="shared" si="46"/>
        <v/>
      </c>
      <c r="AP927" s="100"/>
      <c r="AQ927" s="100"/>
    </row>
    <row r="928" spans="1:43" ht="15">
      <c r="A928" s="5"/>
      <c r="B928" s="5"/>
      <c r="G928" s="5" t="str">
        <f ca="1">IFERROR(__xludf.DUMMYFUNCTION("IFERROR(VLOOKUP(F951,IMPORTRANGE(""https://docs.google.com/spreadsheets/d/1Kvs4KS76FHFqLFIZfrDMff4kP08nblUkihrxltoGBjg/edit#gid=934712705"",""ESENCIAL!A6:BG""),3,FALSE))"),"")</f>
        <v/>
      </c>
      <c r="H928" s="5" t="str">
        <f ca="1">IFERROR(__xludf.DUMMYFUNCTION("IFERROR(VLOOKUP(F951,IMPORTRANGE(""https://docs.google.com/spreadsheets/d/1Kvs4KS76FHFqLFIZfrDMff4kP08nblUkihrxltoGBjg/edit#gid=934712705"",""ESENCIAL!A6:BG""),8,FALSE))"),"")</f>
        <v/>
      </c>
      <c r="L928" s="40"/>
      <c r="Z928" s="41" t="str">
        <f t="shared" si="53"/>
        <v/>
      </c>
      <c r="AA928" s="5" t="str">
        <f ca="1">IFERROR(__xludf.DUMMYFUNCTION("IFERROR(VLOOKUP(E951&amp;F951,IMPORTRANGE(""https://docs.google.com/spreadsheets/d/1Uw7-A9f9R21vMXxHZFNpYNeKFtG8_yji4HS352LGlSQ/edit?pli=1#gid=0"",""1_ACUM!A4:S""),11,FALSE))"),"")</f>
        <v/>
      </c>
      <c r="AB928" s="42" t="str">
        <f ca="1">IFERROR(__xludf.DUMMYFUNCTION("IFERROR(VLOOKUP(F951,IMPORTRANGE(""https://docs.google.com/spreadsheets/d/1Kvs4KS76FHFqLFIZfrDMff4kP08nblUkihrxltoGBjg/edit#gid=934712705"",""ESENCIAL!A6:BG""),15,FALSE))"),"")</f>
        <v/>
      </c>
      <c r="AC928" s="110" t="str">
        <f ca="1">IFERROR(__xludf.DUMMYFUNCTION("IFERROR(VLOOKUP(E951&amp;F951,IMPORTRANGE(""https://docs.google.com/spreadsheets/d/1Uw7-A9f9R21vMXxHZFNpYNeKFtG8_yji4HS352LGlSQ/edit?pli=1#gid=0"",""1_ACUM!A4:S""),13,FALSE))"),"")</f>
        <v/>
      </c>
      <c r="AD928" s="43" t="str">
        <f ca="1">IFERROR(__xludf.DUMMYFUNCTION("IFERROR(VLOOKUP(E951&amp;F951,IMPORTRANGE(""https://docs.google.com/spreadsheets/d/1Uw7-A9f9R21vMXxHZFNpYNeKFtG8_yji4HS352LGlSQ/edit?pli=1#gid=0"",""1_ACUM!A4:S""),13,FALSE))"),"")</f>
        <v/>
      </c>
      <c r="AE928" s="43" t="str">
        <f ca="1">IFERROR(__xludf.DUMMYFUNCTION("IFERROR(VLOOKUP(E951&amp;F951,IMPORTRANGE(""https://docs.google.com/spreadsheets/d/1Uw7-A9f9R21vMXxHZFNpYNeKFtG8_yji4HS352LGlSQ/edit?pli=1#gid=0"",""1_ACUM!A4:S""),14,FALSE))"),"")</f>
        <v/>
      </c>
      <c r="AF928" s="43" t="str">
        <f ca="1">IFERROR(__xludf.DUMMYFUNCTION("IFERROR(VLOOKUP(E951&amp;F951,IMPORTRANGE(""https://docs.google.com/spreadsheets/d/1Uw7-A9f9R21vMXxHZFNpYNeKFtG8_yji4HS352LGlSQ/edit?pli=1#gid=0"",""1_ACUM!A4:S""),15,FALSE))"),"")</f>
        <v/>
      </c>
      <c r="AG928" s="43" t="str">
        <f ca="1">IFERROR(__xludf.DUMMYFUNCTION("IFERROR(VLOOKUP(E951&amp;F951,IMPORTRANGE(""https://docs.google.com/spreadsheets/d/1Uw7-A9f9R21vMXxHZFNpYNeKFtG8_yji4HS352LGlSQ/edit?pli=1#gid=0"",""1_ACUM!A4:S""),16,FALSE))"),"")</f>
        <v/>
      </c>
      <c r="AH928" s="43" t="str">
        <f ca="1">IFERROR(__xludf.DUMMYFUNCTION("IFERROR(VLOOKUP(E951&amp;F951,IMPORTRANGE(""https://docs.google.com/spreadsheets/d/1Uw7-A9f9R21vMXxHZFNpYNeKFtG8_yji4HS352LGlSQ/edit?pli=1#gid=0"",""1_ACUM!A4:S""),17,FALSE))"),"")</f>
        <v/>
      </c>
      <c r="AI928" s="44" t="str">
        <f ca="1">IFERROR(__xludf.DUMMYFUNCTION("IFERROR(VLOOKUP(E951&amp;F951,IMPORTRANGE(""https://docs.google.com/spreadsheets/d/1Uw7-A9f9R21vMXxHZFNpYNeKFtG8_yji4HS352LGlSQ/edit?pli=1#gid=0"",""1_ACUM!A4:S""),18,FALSE))"),"")</f>
        <v/>
      </c>
      <c r="AJ928" s="44" t="str">
        <f ca="1">IFERROR(__xludf.DUMMYFUNCTION("IFERROR(VLOOKUP(E951&amp;F951,IMPORTRANGE(""https://docs.google.com/spreadsheets/d/1Uw7-A9f9R21vMXxHZFNpYNeKFtG8_yji4HS352LGlSQ/edit?pli=1#gid=0"",""1_ACUM!A4:S""),19,FALSE))"),"")</f>
        <v/>
      </c>
      <c r="AK928" s="98" t="str">
        <f ca="1">IFERROR(__xludf.DUMMYFUNCTION("IFERROR(VLOOKUP(F951,IMPORTRANGE(""https://docs.google.com/spreadsheets/d/1Kvs4KS76FHFqLFIZfrDMff4kP08nblUkihrxltoGBjg/edit#gid=934712705"",""ESENCIAL!A6:BG""),5,FALSE))"),"")</f>
        <v/>
      </c>
      <c r="AL928" s="98" t="str">
        <f t="shared" si="54"/>
        <v/>
      </c>
      <c r="AM928" s="99" t="str">
        <f t="shared" si="55"/>
        <v/>
      </c>
      <c r="AN928" s="100" t="str">
        <f ca="1">IFERROR(__xludf.DUMMYFUNCTION("IFERROR(VLOOKUP(F951,IMPORTRANGE(""https://docs.google.com/spreadsheets/d/1Kvs4KS76FHFqLFIZfrDMff4kP08nblUkihrxltoGBjg/edit#gid=934712705"",""ESENCIAL!A6:BG""),2,FALSE))"),"")</f>
        <v/>
      </c>
      <c r="AO928" s="19" t="str">
        <f t="shared" si="46"/>
        <v/>
      </c>
      <c r="AP928" s="100"/>
      <c r="AQ928" s="100"/>
    </row>
    <row r="929" spans="1:43" ht="15">
      <c r="A929" s="5"/>
      <c r="B929" s="5"/>
      <c r="G929" s="5" t="str">
        <f ca="1">IFERROR(__xludf.DUMMYFUNCTION("IFERROR(VLOOKUP(F952,IMPORTRANGE(""https://docs.google.com/spreadsheets/d/1Kvs4KS76FHFqLFIZfrDMff4kP08nblUkihrxltoGBjg/edit#gid=934712705"",""ESENCIAL!A6:BG""),3,FALSE))"),"")</f>
        <v/>
      </c>
      <c r="H929" s="5" t="str">
        <f ca="1">IFERROR(__xludf.DUMMYFUNCTION("IFERROR(VLOOKUP(F952,IMPORTRANGE(""https://docs.google.com/spreadsheets/d/1Kvs4KS76FHFqLFIZfrDMff4kP08nblUkihrxltoGBjg/edit#gid=934712705"",""ESENCIAL!A6:BG""),8,FALSE))"),"")</f>
        <v/>
      </c>
      <c r="L929" s="40"/>
      <c r="Z929" s="41" t="str">
        <f t="shared" si="53"/>
        <v/>
      </c>
      <c r="AA929" s="5" t="str">
        <f ca="1">IFERROR(__xludf.DUMMYFUNCTION("IFERROR(VLOOKUP(E952&amp;F952,IMPORTRANGE(""https://docs.google.com/spreadsheets/d/1Uw7-A9f9R21vMXxHZFNpYNeKFtG8_yji4HS352LGlSQ/edit?pli=1#gid=0"",""1_ACUM!A4:S""),11,FALSE))"),"")</f>
        <v/>
      </c>
      <c r="AB929" s="42" t="str">
        <f ca="1">IFERROR(__xludf.DUMMYFUNCTION("IFERROR(VLOOKUP(F952,IMPORTRANGE(""https://docs.google.com/spreadsheets/d/1Kvs4KS76FHFqLFIZfrDMff4kP08nblUkihrxltoGBjg/edit#gid=934712705"",""ESENCIAL!A6:BG""),15,FALSE))"),"")</f>
        <v/>
      </c>
      <c r="AC929" s="110" t="str">
        <f ca="1">IFERROR(__xludf.DUMMYFUNCTION("IFERROR(VLOOKUP(E952&amp;F952,IMPORTRANGE(""https://docs.google.com/spreadsheets/d/1Uw7-A9f9R21vMXxHZFNpYNeKFtG8_yji4HS352LGlSQ/edit?pli=1#gid=0"",""1_ACUM!A4:S""),13,FALSE))"),"")</f>
        <v/>
      </c>
      <c r="AD929" s="43" t="str">
        <f ca="1">IFERROR(__xludf.DUMMYFUNCTION("IFERROR(VLOOKUP(E952&amp;F952,IMPORTRANGE(""https://docs.google.com/spreadsheets/d/1Uw7-A9f9R21vMXxHZFNpYNeKFtG8_yji4HS352LGlSQ/edit?pli=1#gid=0"",""1_ACUM!A4:S""),13,FALSE))"),"")</f>
        <v/>
      </c>
      <c r="AE929" s="43" t="str">
        <f ca="1">IFERROR(__xludf.DUMMYFUNCTION("IFERROR(VLOOKUP(E952&amp;F952,IMPORTRANGE(""https://docs.google.com/spreadsheets/d/1Uw7-A9f9R21vMXxHZFNpYNeKFtG8_yji4HS352LGlSQ/edit?pli=1#gid=0"",""1_ACUM!A4:S""),14,FALSE))"),"")</f>
        <v/>
      </c>
      <c r="AF929" s="43" t="str">
        <f ca="1">IFERROR(__xludf.DUMMYFUNCTION("IFERROR(VLOOKUP(E952&amp;F952,IMPORTRANGE(""https://docs.google.com/spreadsheets/d/1Uw7-A9f9R21vMXxHZFNpYNeKFtG8_yji4HS352LGlSQ/edit?pli=1#gid=0"",""1_ACUM!A4:S""),15,FALSE))"),"")</f>
        <v/>
      </c>
      <c r="AG929" s="43" t="str">
        <f ca="1">IFERROR(__xludf.DUMMYFUNCTION("IFERROR(VLOOKUP(E952&amp;F952,IMPORTRANGE(""https://docs.google.com/spreadsheets/d/1Uw7-A9f9R21vMXxHZFNpYNeKFtG8_yji4HS352LGlSQ/edit?pli=1#gid=0"",""1_ACUM!A4:S""),16,FALSE))"),"")</f>
        <v/>
      </c>
      <c r="AH929" s="43" t="str">
        <f ca="1">IFERROR(__xludf.DUMMYFUNCTION("IFERROR(VLOOKUP(E952&amp;F952,IMPORTRANGE(""https://docs.google.com/spreadsheets/d/1Uw7-A9f9R21vMXxHZFNpYNeKFtG8_yji4HS352LGlSQ/edit?pli=1#gid=0"",""1_ACUM!A4:S""),17,FALSE))"),"")</f>
        <v/>
      </c>
      <c r="AI929" s="44" t="str">
        <f ca="1">IFERROR(__xludf.DUMMYFUNCTION("IFERROR(VLOOKUP(E952&amp;F952,IMPORTRANGE(""https://docs.google.com/spreadsheets/d/1Uw7-A9f9R21vMXxHZFNpYNeKFtG8_yji4HS352LGlSQ/edit?pli=1#gid=0"",""1_ACUM!A4:S""),18,FALSE))"),"")</f>
        <v/>
      </c>
      <c r="AJ929" s="44" t="str">
        <f ca="1">IFERROR(__xludf.DUMMYFUNCTION("IFERROR(VLOOKUP(E952&amp;F952,IMPORTRANGE(""https://docs.google.com/spreadsheets/d/1Uw7-A9f9R21vMXxHZFNpYNeKFtG8_yji4HS352LGlSQ/edit?pli=1#gid=0"",""1_ACUM!A4:S""),19,FALSE))"),"")</f>
        <v/>
      </c>
      <c r="AK929" s="98" t="str">
        <f ca="1">IFERROR(__xludf.DUMMYFUNCTION("IFERROR(VLOOKUP(F952,IMPORTRANGE(""https://docs.google.com/spreadsheets/d/1Kvs4KS76FHFqLFIZfrDMff4kP08nblUkihrxltoGBjg/edit#gid=934712705"",""ESENCIAL!A6:BG""),5,FALSE))"),"")</f>
        <v/>
      </c>
      <c r="AL929" s="98" t="str">
        <f t="shared" si="54"/>
        <v/>
      </c>
      <c r="AM929" s="99" t="str">
        <f t="shared" si="55"/>
        <v/>
      </c>
      <c r="AN929" s="100" t="str">
        <f ca="1">IFERROR(__xludf.DUMMYFUNCTION("IFERROR(VLOOKUP(F952,IMPORTRANGE(""https://docs.google.com/spreadsheets/d/1Kvs4KS76FHFqLFIZfrDMff4kP08nblUkihrxltoGBjg/edit#gid=934712705"",""ESENCIAL!A6:BG""),2,FALSE))"),"")</f>
        <v/>
      </c>
      <c r="AO929" s="19" t="str">
        <f t="shared" si="46"/>
        <v/>
      </c>
      <c r="AP929" s="100"/>
      <c r="AQ929" s="100"/>
    </row>
    <row r="930" spans="1:43" ht="15">
      <c r="A930" s="5"/>
      <c r="B930" s="5"/>
      <c r="G930" s="5" t="str">
        <f ca="1">IFERROR(__xludf.DUMMYFUNCTION("IFERROR(VLOOKUP(F953,IMPORTRANGE(""https://docs.google.com/spreadsheets/d/1Kvs4KS76FHFqLFIZfrDMff4kP08nblUkihrxltoGBjg/edit#gid=934712705"",""ESENCIAL!A6:BG""),3,FALSE))"),"")</f>
        <v/>
      </c>
      <c r="H930" s="5" t="str">
        <f ca="1">IFERROR(__xludf.DUMMYFUNCTION("IFERROR(VLOOKUP(F953,IMPORTRANGE(""https://docs.google.com/spreadsheets/d/1Kvs4KS76FHFqLFIZfrDMff4kP08nblUkihrxltoGBjg/edit#gid=934712705"",""ESENCIAL!A6:BG""),8,FALSE))"),"")</f>
        <v/>
      </c>
      <c r="L930" s="40"/>
      <c r="Z930" s="41" t="str">
        <f t="shared" si="53"/>
        <v/>
      </c>
      <c r="AA930" s="5" t="str">
        <f ca="1">IFERROR(__xludf.DUMMYFUNCTION("IFERROR(VLOOKUP(E953&amp;F953,IMPORTRANGE(""https://docs.google.com/spreadsheets/d/1Uw7-A9f9R21vMXxHZFNpYNeKFtG8_yji4HS352LGlSQ/edit?pli=1#gid=0"",""1_ACUM!A4:S""),11,FALSE))"),"")</f>
        <v/>
      </c>
      <c r="AB930" s="42" t="str">
        <f ca="1">IFERROR(__xludf.DUMMYFUNCTION("IFERROR(VLOOKUP(F953,IMPORTRANGE(""https://docs.google.com/spreadsheets/d/1Kvs4KS76FHFqLFIZfrDMff4kP08nblUkihrxltoGBjg/edit#gid=934712705"",""ESENCIAL!A6:BG""),15,FALSE))"),"")</f>
        <v/>
      </c>
      <c r="AC930" s="110" t="str">
        <f ca="1">IFERROR(__xludf.DUMMYFUNCTION("IFERROR(VLOOKUP(E953&amp;F953,IMPORTRANGE(""https://docs.google.com/spreadsheets/d/1Uw7-A9f9R21vMXxHZFNpYNeKFtG8_yji4HS352LGlSQ/edit?pli=1#gid=0"",""1_ACUM!A4:S""),13,FALSE))"),"")</f>
        <v/>
      </c>
      <c r="AD930" s="43" t="str">
        <f ca="1">IFERROR(__xludf.DUMMYFUNCTION("IFERROR(VLOOKUP(E953&amp;F953,IMPORTRANGE(""https://docs.google.com/spreadsheets/d/1Uw7-A9f9R21vMXxHZFNpYNeKFtG8_yji4HS352LGlSQ/edit?pli=1#gid=0"",""1_ACUM!A4:S""),13,FALSE))"),"")</f>
        <v/>
      </c>
      <c r="AE930" s="43" t="str">
        <f ca="1">IFERROR(__xludf.DUMMYFUNCTION("IFERROR(VLOOKUP(E953&amp;F953,IMPORTRANGE(""https://docs.google.com/spreadsheets/d/1Uw7-A9f9R21vMXxHZFNpYNeKFtG8_yji4HS352LGlSQ/edit?pli=1#gid=0"",""1_ACUM!A4:S""),14,FALSE))"),"")</f>
        <v/>
      </c>
      <c r="AF930" s="43" t="str">
        <f ca="1">IFERROR(__xludf.DUMMYFUNCTION("IFERROR(VLOOKUP(E953&amp;F953,IMPORTRANGE(""https://docs.google.com/spreadsheets/d/1Uw7-A9f9R21vMXxHZFNpYNeKFtG8_yji4HS352LGlSQ/edit?pli=1#gid=0"",""1_ACUM!A4:S""),15,FALSE))"),"")</f>
        <v/>
      </c>
      <c r="AG930" s="43" t="str">
        <f ca="1">IFERROR(__xludf.DUMMYFUNCTION("IFERROR(VLOOKUP(E953&amp;F953,IMPORTRANGE(""https://docs.google.com/spreadsheets/d/1Uw7-A9f9R21vMXxHZFNpYNeKFtG8_yji4HS352LGlSQ/edit?pli=1#gid=0"",""1_ACUM!A4:S""),16,FALSE))"),"")</f>
        <v/>
      </c>
      <c r="AH930" s="43" t="str">
        <f ca="1">IFERROR(__xludf.DUMMYFUNCTION("IFERROR(VLOOKUP(E953&amp;F953,IMPORTRANGE(""https://docs.google.com/spreadsheets/d/1Uw7-A9f9R21vMXxHZFNpYNeKFtG8_yji4HS352LGlSQ/edit?pli=1#gid=0"",""1_ACUM!A4:S""),17,FALSE))"),"")</f>
        <v/>
      </c>
      <c r="AI930" s="44" t="str">
        <f ca="1">IFERROR(__xludf.DUMMYFUNCTION("IFERROR(VLOOKUP(E953&amp;F953,IMPORTRANGE(""https://docs.google.com/spreadsheets/d/1Uw7-A9f9R21vMXxHZFNpYNeKFtG8_yji4HS352LGlSQ/edit?pli=1#gid=0"",""1_ACUM!A4:S""),18,FALSE))"),"")</f>
        <v/>
      </c>
      <c r="AJ930" s="44" t="str">
        <f ca="1">IFERROR(__xludf.DUMMYFUNCTION("IFERROR(VLOOKUP(E953&amp;F953,IMPORTRANGE(""https://docs.google.com/spreadsheets/d/1Uw7-A9f9R21vMXxHZFNpYNeKFtG8_yji4HS352LGlSQ/edit?pli=1#gid=0"",""1_ACUM!A4:S""),19,FALSE))"),"")</f>
        <v/>
      </c>
      <c r="AK930" s="98" t="str">
        <f ca="1">IFERROR(__xludf.DUMMYFUNCTION("IFERROR(VLOOKUP(F953,IMPORTRANGE(""https://docs.google.com/spreadsheets/d/1Kvs4KS76FHFqLFIZfrDMff4kP08nblUkihrxltoGBjg/edit#gid=934712705"",""ESENCIAL!A6:BG""),5,FALSE))"),"")</f>
        <v/>
      </c>
      <c r="AL930" s="98" t="str">
        <f t="shared" si="54"/>
        <v/>
      </c>
      <c r="AM930" s="99" t="str">
        <f t="shared" si="55"/>
        <v/>
      </c>
      <c r="AN930" s="100" t="str">
        <f ca="1">IFERROR(__xludf.DUMMYFUNCTION("IFERROR(VLOOKUP(F953,IMPORTRANGE(""https://docs.google.com/spreadsheets/d/1Kvs4KS76FHFqLFIZfrDMff4kP08nblUkihrxltoGBjg/edit#gid=934712705"",""ESENCIAL!A6:BG""),2,FALSE))"),"")</f>
        <v/>
      </c>
      <c r="AO930" s="19" t="str">
        <f t="shared" si="46"/>
        <v/>
      </c>
      <c r="AP930" s="100"/>
      <c r="AQ930" s="100"/>
    </row>
    <row r="931" spans="1:43" ht="15">
      <c r="A931" s="5"/>
      <c r="B931" s="5"/>
      <c r="G931" s="5" t="str">
        <f ca="1">IFERROR(__xludf.DUMMYFUNCTION("IFERROR(VLOOKUP(F954,IMPORTRANGE(""https://docs.google.com/spreadsheets/d/1Kvs4KS76FHFqLFIZfrDMff4kP08nblUkihrxltoGBjg/edit#gid=934712705"",""ESENCIAL!A6:BG""),3,FALSE))"),"")</f>
        <v/>
      </c>
      <c r="H931" s="5" t="str">
        <f ca="1">IFERROR(__xludf.DUMMYFUNCTION("IFERROR(VLOOKUP(F954,IMPORTRANGE(""https://docs.google.com/spreadsheets/d/1Kvs4KS76FHFqLFIZfrDMff4kP08nblUkihrxltoGBjg/edit#gid=934712705"",""ESENCIAL!A6:BG""),8,FALSE))"),"")</f>
        <v/>
      </c>
      <c r="L931" s="40"/>
      <c r="Z931" s="41" t="str">
        <f t="shared" si="53"/>
        <v/>
      </c>
      <c r="AA931" s="5" t="str">
        <f ca="1">IFERROR(__xludf.DUMMYFUNCTION("IFERROR(VLOOKUP(E954&amp;F954,IMPORTRANGE(""https://docs.google.com/spreadsheets/d/1Uw7-A9f9R21vMXxHZFNpYNeKFtG8_yji4HS352LGlSQ/edit?pli=1#gid=0"",""1_ACUM!A4:S""),11,FALSE))"),"")</f>
        <v/>
      </c>
      <c r="AB931" s="42" t="str">
        <f ca="1">IFERROR(__xludf.DUMMYFUNCTION("IFERROR(VLOOKUP(F954,IMPORTRANGE(""https://docs.google.com/spreadsheets/d/1Kvs4KS76FHFqLFIZfrDMff4kP08nblUkihrxltoGBjg/edit#gid=934712705"",""ESENCIAL!A6:BG""),15,FALSE))"),"")</f>
        <v/>
      </c>
      <c r="AC931" s="110" t="str">
        <f ca="1">IFERROR(__xludf.DUMMYFUNCTION("IFERROR(VLOOKUP(E954&amp;F954,IMPORTRANGE(""https://docs.google.com/spreadsheets/d/1Uw7-A9f9R21vMXxHZFNpYNeKFtG8_yji4HS352LGlSQ/edit?pli=1#gid=0"",""1_ACUM!A4:S""),13,FALSE))"),"")</f>
        <v/>
      </c>
      <c r="AD931" s="43" t="str">
        <f ca="1">IFERROR(__xludf.DUMMYFUNCTION("IFERROR(VLOOKUP(E954&amp;F954,IMPORTRANGE(""https://docs.google.com/spreadsheets/d/1Uw7-A9f9R21vMXxHZFNpYNeKFtG8_yji4HS352LGlSQ/edit?pli=1#gid=0"",""1_ACUM!A4:S""),13,FALSE))"),"")</f>
        <v/>
      </c>
      <c r="AE931" s="43" t="str">
        <f ca="1">IFERROR(__xludf.DUMMYFUNCTION("IFERROR(VLOOKUP(E954&amp;F954,IMPORTRANGE(""https://docs.google.com/spreadsheets/d/1Uw7-A9f9R21vMXxHZFNpYNeKFtG8_yji4HS352LGlSQ/edit?pli=1#gid=0"",""1_ACUM!A4:S""),14,FALSE))"),"")</f>
        <v/>
      </c>
      <c r="AF931" s="43" t="str">
        <f ca="1">IFERROR(__xludf.DUMMYFUNCTION("IFERROR(VLOOKUP(E954&amp;F954,IMPORTRANGE(""https://docs.google.com/spreadsheets/d/1Uw7-A9f9R21vMXxHZFNpYNeKFtG8_yji4HS352LGlSQ/edit?pli=1#gid=0"",""1_ACUM!A4:S""),15,FALSE))"),"")</f>
        <v/>
      </c>
      <c r="AG931" s="43" t="str">
        <f ca="1">IFERROR(__xludf.DUMMYFUNCTION("IFERROR(VLOOKUP(E954&amp;F954,IMPORTRANGE(""https://docs.google.com/spreadsheets/d/1Uw7-A9f9R21vMXxHZFNpYNeKFtG8_yji4HS352LGlSQ/edit?pli=1#gid=0"",""1_ACUM!A4:S""),16,FALSE))"),"")</f>
        <v/>
      </c>
      <c r="AH931" s="43" t="str">
        <f ca="1">IFERROR(__xludf.DUMMYFUNCTION("IFERROR(VLOOKUP(E954&amp;F954,IMPORTRANGE(""https://docs.google.com/spreadsheets/d/1Uw7-A9f9R21vMXxHZFNpYNeKFtG8_yji4HS352LGlSQ/edit?pli=1#gid=0"",""1_ACUM!A4:S""),17,FALSE))"),"")</f>
        <v/>
      </c>
      <c r="AI931" s="44" t="str">
        <f ca="1">IFERROR(__xludf.DUMMYFUNCTION("IFERROR(VLOOKUP(E954&amp;F954,IMPORTRANGE(""https://docs.google.com/spreadsheets/d/1Uw7-A9f9R21vMXxHZFNpYNeKFtG8_yji4HS352LGlSQ/edit?pli=1#gid=0"",""1_ACUM!A4:S""),18,FALSE))"),"")</f>
        <v/>
      </c>
      <c r="AJ931" s="44" t="str">
        <f ca="1">IFERROR(__xludf.DUMMYFUNCTION("IFERROR(VLOOKUP(E954&amp;F954,IMPORTRANGE(""https://docs.google.com/spreadsheets/d/1Uw7-A9f9R21vMXxHZFNpYNeKFtG8_yji4HS352LGlSQ/edit?pli=1#gid=0"",""1_ACUM!A4:S""),19,FALSE))"),"")</f>
        <v/>
      </c>
      <c r="AK931" s="98" t="str">
        <f ca="1">IFERROR(__xludf.DUMMYFUNCTION("IFERROR(VLOOKUP(F954,IMPORTRANGE(""https://docs.google.com/spreadsheets/d/1Kvs4KS76FHFqLFIZfrDMff4kP08nblUkihrxltoGBjg/edit#gid=934712705"",""ESENCIAL!A6:BG""),5,FALSE))"),"")</f>
        <v/>
      </c>
      <c r="AL931" s="98" t="str">
        <f t="shared" si="54"/>
        <v/>
      </c>
      <c r="AM931" s="99" t="str">
        <f t="shared" si="55"/>
        <v/>
      </c>
      <c r="AN931" s="100" t="str">
        <f ca="1">IFERROR(__xludf.DUMMYFUNCTION("IFERROR(VLOOKUP(F954,IMPORTRANGE(""https://docs.google.com/spreadsheets/d/1Kvs4KS76FHFqLFIZfrDMff4kP08nblUkihrxltoGBjg/edit#gid=934712705"",""ESENCIAL!A6:BG""),2,FALSE))"),"")</f>
        <v/>
      </c>
      <c r="AO931" s="19" t="str">
        <f t="shared" si="46"/>
        <v/>
      </c>
      <c r="AP931" s="100"/>
      <c r="AQ931" s="100"/>
    </row>
    <row r="932" spans="1:43" ht="15">
      <c r="A932" s="5"/>
      <c r="B932" s="5"/>
      <c r="G932" s="5" t="str">
        <f ca="1">IFERROR(__xludf.DUMMYFUNCTION("IFERROR(VLOOKUP(F955,IMPORTRANGE(""https://docs.google.com/spreadsheets/d/1Kvs4KS76FHFqLFIZfrDMff4kP08nblUkihrxltoGBjg/edit#gid=934712705"",""ESENCIAL!A6:BG""),3,FALSE))"),"")</f>
        <v/>
      </c>
      <c r="H932" s="5" t="str">
        <f ca="1">IFERROR(__xludf.DUMMYFUNCTION("IFERROR(VLOOKUP(F955,IMPORTRANGE(""https://docs.google.com/spreadsheets/d/1Kvs4KS76FHFqLFIZfrDMff4kP08nblUkihrxltoGBjg/edit#gid=934712705"",""ESENCIAL!A6:BG""),8,FALSE))"),"")</f>
        <v/>
      </c>
      <c r="L932" s="40"/>
      <c r="Z932" s="41" t="str">
        <f t="shared" si="53"/>
        <v/>
      </c>
      <c r="AA932" s="5" t="str">
        <f ca="1">IFERROR(__xludf.DUMMYFUNCTION("IFERROR(VLOOKUP(E955&amp;F955,IMPORTRANGE(""https://docs.google.com/spreadsheets/d/1Uw7-A9f9R21vMXxHZFNpYNeKFtG8_yji4HS352LGlSQ/edit?pli=1#gid=0"",""1_ACUM!A4:S""),11,FALSE))"),"")</f>
        <v/>
      </c>
      <c r="AB932" s="42" t="str">
        <f ca="1">IFERROR(__xludf.DUMMYFUNCTION("IFERROR(VLOOKUP(F955,IMPORTRANGE(""https://docs.google.com/spreadsheets/d/1Kvs4KS76FHFqLFIZfrDMff4kP08nblUkihrxltoGBjg/edit#gid=934712705"",""ESENCIAL!A6:BG""),15,FALSE))"),"")</f>
        <v/>
      </c>
      <c r="AC932" s="110" t="str">
        <f ca="1">IFERROR(__xludf.DUMMYFUNCTION("IFERROR(VLOOKUP(E955&amp;F955,IMPORTRANGE(""https://docs.google.com/spreadsheets/d/1Uw7-A9f9R21vMXxHZFNpYNeKFtG8_yji4HS352LGlSQ/edit?pli=1#gid=0"",""1_ACUM!A4:S""),13,FALSE))"),"")</f>
        <v/>
      </c>
      <c r="AD932" s="43" t="str">
        <f ca="1">IFERROR(__xludf.DUMMYFUNCTION("IFERROR(VLOOKUP(E955&amp;F955,IMPORTRANGE(""https://docs.google.com/spreadsheets/d/1Uw7-A9f9R21vMXxHZFNpYNeKFtG8_yji4HS352LGlSQ/edit?pli=1#gid=0"",""1_ACUM!A4:S""),13,FALSE))"),"")</f>
        <v/>
      </c>
      <c r="AE932" s="43" t="str">
        <f ca="1">IFERROR(__xludf.DUMMYFUNCTION("IFERROR(VLOOKUP(E955&amp;F955,IMPORTRANGE(""https://docs.google.com/spreadsheets/d/1Uw7-A9f9R21vMXxHZFNpYNeKFtG8_yji4HS352LGlSQ/edit?pli=1#gid=0"",""1_ACUM!A4:S""),14,FALSE))"),"")</f>
        <v/>
      </c>
      <c r="AF932" s="43" t="str">
        <f ca="1">IFERROR(__xludf.DUMMYFUNCTION("IFERROR(VLOOKUP(E955&amp;F955,IMPORTRANGE(""https://docs.google.com/spreadsheets/d/1Uw7-A9f9R21vMXxHZFNpYNeKFtG8_yji4HS352LGlSQ/edit?pli=1#gid=0"",""1_ACUM!A4:S""),15,FALSE))"),"")</f>
        <v/>
      </c>
      <c r="AG932" s="43" t="str">
        <f ca="1">IFERROR(__xludf.DUMMYFUNCTION("IFERROR(VLOOKUP(E955&amp;F955,IMPORTRANGE(""https://docs.google.com/spreadsheets/d/1Uw7-A9f9R21vMXxHZFNpYNeKFtG8_yji4HS352LGlSQ/edit?pli=1#gid=0"",""1_ACUM!A4:S""),16,FALSE))"),"")</f>
        <v/>
      </c>
      <c r="AH932" s="43" t="str">
        <f ca="1">IFERROR(__xludf.DUMMYFUNCTION("IFERROR(VLOOKUP(E955&amp;F955,IMPORTRANGE(""https://docs.google.com/spreadsheets/d/1Uw7-A9f9R21vMXxHZFNpYNeKFtG8_yji4HS352LGlSQ/edit?pli=1#gid=0"",""1_ACUM!A4:S""),17,FALSE))"),"")</f>
        <v/>
      </c>
      <c r="AI932" s="44" t="str">
        <f ca="1">IFERROR(__xludf.DUMMYFUNCTION("IFERROR(VLOOKUP(E955&amp;F955,IMPORTRANGE(""https://docs.google.com/spreadsheets/d/1Uw7-A9f9R21vMXxHZFNpYNeKFtG8_yji4HS352LGlSQ/edit?pli=1#gid=0"",""1_ACUM!A4:S""),18,FALSE))"),"")</f>
        <v/>
      </c>
      <c r="AJ932" s="44" t="str">
        <f ca="1">IFERROR(__xludf.DUMMYFUNCTION("IFERROR(VLOOKUP(E955&amp;F955,IMPORTRANGE(""https://docs.google.com/spreadsheets/d/1Uw7-A9f9R21vMXxHZFNpYNeKFtG8_yji4HS352LGlSQ/edit?pli=1#gid=0"",""1_ACUM!A4:S""),19,FALSE))"),"")</f>
        <v/>
      </c>
      <c r="AK932" s="98" t="str">
        <f ca="1">IFERROR(__xludf.DUMMYFUNCTION("IFERROR(VLOOKUP(F955,IMPORTRANGE(""https://docs.google.com/spreadsheets/d/1Kvs4KS76FHFqLFIZfrDMff4kP08nblUkihrxltoGBjg/edit#gid=934712705"",""ESENCIAL!A6:BG""),5,FALSE))"),"")</f>
        <v/>
      </c>
      <c r="AL932" s="98" t="str">
        <f t="shared" si="54"/>
        <v/>
      </c>
      <c r="AM932" s="99" t="str">
        <f t="shared" si="55"/>
        <v/>
      </c>
      <c r="AN932" s="100" t="str">
        <f ca="1">IFERROR(__xludf.DUMMYFUNCTION("IFERROR(VLOOKUP(F955,IMPORTRANGE(""https://docs.google.com/spreadsheets/d/1Kvs4KS76FHFqLFIZfrDMff4kP08nblUkihrxltoGBjg/edit#gid=934712705"",""ESENCIAL!A6:BG""),2,FALSE))"),"")</f>
        <v/>
      </c>
      <c r="AO932" s="19" t="str">
        <f t="shared" si="46"/>
        <v/>
      </c>
      <c r="AP932" s="100"/>
      <c r="AQ932" s="100"/>
    </row>
    <row r="933" spans="1:43" ht="15">
      <c r="A933" s="5"/>
      <c r="B933" s="5"/>
      <c r="G933" s="5" t="str">
        <f ca="1">IFERROR(__xludf.DUMMYFUNCTION("IFERROR(VLOOKUP(F956,IMPORTRANGE(""https://docs.google.com/spreadsheets/d/1Kvs4KS76FHFqLFIZfrDMff4kP08nblUkihrxltoGBjg/edit#gid=934712705"",""ESENCIAL!A6:BG""),3,FALSE))"),"")</f>
        <v/>
      </c>
      <c r="H933" s="5" t="str">
        <f ca="1">IFERROR(__xludf.DUMMYFUNCTION("IFERROR(VLOOKUP(F956,IMPORTRANGE(""https://docs.google.com/spreadsheets/d/1Kvs4KS76FHFqLFIZfrDMff4kP08nblUkihrxltoGBjg/edit#gid=934712705"",""ESENCIAL!A6:BG""),8,FALSE))"),"")</f>
        <v/>
      </c>
      <c r="L933" s="40"/>
      <c r="Z933" s="41" t="str">
        <f t="shared" si="53"/>
        <v/>
      </c>
      <c r="AA933" s="5" t="str">
        <f ca="1">IFERROR(__xludf.DUMMYFUNCTION("IFERROR(VLOOKUP(E956&amp;F956,IMPORTRANGE(""https://docs.google.com/spreadsheets/d/1Uw7-A9f9R21vMXxHZFNpYNeKFtG8_yji4HS352LGlSQ/edit?pli=1#gid=0"",""1_ACUM!A4:S""),11,FALSE))"),"")</f>
        <v/>
      </c>
      <c r="AB933" s="42" t="str">
        <f ca="1">IFERROR(__xludf.DUMMYFUNCTION("IFERROR(VLOOKUP(F956,IMPORTRANGE(""https://docs.google.com/spreadsheets/d/1Kvs4KS76FHFqLFIZfrDMff4kP08nblUkihrxltoGBjg/edit#gid=934712705"",""ESENCIAL!A6:BG""),15,FALSE))"),"")</f>
        <v/>
      </c>
      <c r="AC933" s="110" t="str">
        <f ca="1">IFERROR(__xludf.DUMMYFUNCTION("IFERROR(VLOOKUP(E956&amp;F956,IMPORTRANGE(""https://docs.google.com/spreadsheets/d/1Uw7-A9f9R21vMXxHZFNpYNeKFtG8_yji4HS352LGlSQ/edit?pli=1#gid=0"",""1_ACUM!A4:S""),13,FALSE))"),"")</f>
        <v/>
      </c>
      <c r="AD933" s="43" t="str">
        <f ca="1">IFERROR(__xludf.DUMMYFUNCTION("IFERROR(VLOOKUP(E956&amp;F956,IMPORTRANGE(""https://docs.google.com/spreadsheets/d/1Uw7-A9f9R21vMXxHZFNpYNeKFtG8_yji4HS352LGlSQ/edit?pli=1#gid=0"",""1_ACUM!A4:S""),13,FALSE))"),"")</f>
        <v/>
      </c>
      <c r="AE933" s="43" t="str">
        <f ca="1">IFERROR(__xludf.DUMMYFUNCTION("IFERROR(VLOOKUP(E956&amp;F956,IMPORTRANGE(""https://docs.google.com/spreadsheets/d/1Uw7-A9f9R21vMXxHZFNpYNeKFtG8_yji4HS352LGlSQ/edit?pli=1#gid=0"",""1_ACUM!A4:S""),14,FALSE))"),"")</f>
        <v/>
      </c>
      <c r="AF933" s="43" t="str">
        <f ca="1">IFERROR(__xludf.DUMMYFUNCTION("IFERROR(VLOOKUP(E956&amp;F956,IMPORTRANGE(""https://docs.google.com/spreadsheets/d/1Uw7-A9f9R21vMXxHZFNpYNeKFtG8_yji4HS352LGlSQ/edit?pli=1#gid=0"",""1_ACUM!A4:S""),15,FALSE))"),"")</f>
        <v/>
      </c>
      <c r="AG933" s="43" t="str">
        <f ca="1">IFERROR(__xludf.DUMMYFUNCTION("IFERROR(VLOOKUP(E956&amp;F956,IMPORTRANGE(""https://docs.google.com/spreadsheets/d/1Uw7-A9f9R21vMXxHZFNpYNeKFtG8_yji4HS352LGlSQ/edit?pli=1#gid=0"",""1_ACUM!A4:S""),16,FALSE))"),"")</f>
        <v/>
      </c>
      <c r="AH933" s="43" t="str">
        <f ca="1">IFERROR(__xludf.DUMMYFUNCTION("IFERROR(VLOOKUP(E956&amp;F956,IMPORTRANGE(""https://docs.google.com/spreadsheets/d/1Uw7-A9f9R21vMXxHZFNpYNeKFtG8_yji4HS352LGlSQ/edit?pli=1#gid=0"",""1_ACUM!A4:S""),17,FALSE))"),"")</f>
        <v/>
      </c>
      <c r="AI933" s="44" t="str">
        <f ca="1">IFERROR(__xludf.DUMMYFUNCTION("IFERROR(VLOOKUP(E956&amp;F956,IMPORTRANGE(""https://docs.google.com/spreadsheets/d/1Uw7-A9f9R21vMXxHZFNpYNeKFtG8_yji4HS352LGlSQ/edit?pli=1#gid=0"",""1_ACUM!A4:S""),18,FALSE))"),"")</f>
        <v/>
      </c>
      <c r="AJ933" s="44" t="str">
        <f ca="1">IFERROR(__xludf.DUMMYFUNCTION("IFERROR(VLOOKUP(E956&amp;F956,IMPORTRANGE(""https://docs.google.com/spreadsheets/d/1Uw7-A9f9R21vMXxHZFNpYNeKFtG8_yji4HS352LGlSQ/edit?pli=1#gid=0"",""1_ACUM!A4:S""),19,FALSE))"),"")</f>
        <v/>
      </c>
      <c r="AK933" s="98" t="str">
        <f ca="1">IFERROR(__xludf.DUMMYFUNCTION("IFERROR(VLOOKUP(F956,IMPORTRANGE(""https://docs.google.com/spreadsheets/d/1Kvs4KS76FHFqLFIZfrDMff4kP08nblUkihrxltoGBjg/edit#gid=934712705"",""ESENCIAL!A6:BG""),5,FALSE))"),"")</f>
        <v/>
      </c>
      <c r="AL933" s="98" t="str">
        <f t="shared" si="54"/>
        <v/>
      </c>
      <c r="AM933" s="99" t="str">
        <f t="shared" si="55"/>
        <v/>
      </c>
      <c r="AN933" s="100" t="str">
        <f ca="1">IFERROR(__xludf.DUMMYFUNCTION("IFERROR(VLOOKUP(F956,IMPORTRANGE(""https://docs.google.com/spreadsheets/d/1Kvs4KS76FHFqLFIZfrDMff4kP08nblUkihrxltoGBjg/edit#gid=934712705"",""ESENCIAL!A6:BG""),2,FALSE))"),"")</f>
        <v/>
      </c>
      <c r="AO933" s="19" t="str">
        <f t="shared" si="46"/>
        <v/>
      </c>
      <c r="AP933" s="100"/>
      <c r="AQ933" s="100"/>
    </row>
    <row r="934" spans="1:43" ht="15">
      <c r="A934" s="5"/>
      <c r="B934" s="5"/>
      <c r="G934" s="5" t="str">
        <f ca="1">IFERROR(__xludf.DUMMYFUNCTION("IFERROR(VLOOKUP(F957,IMPORTRANGE(""https://docs.google.com/spreadsheets/d/1Kvs4KS76FHFqLFIZfrDMff4kP08nblUkihrxltoGBjg/edit#gid=934712705"",""ESENCIAL!A6:BG""),3,FALSE))"),"")</f>
        <v/>
      </c>
      <c r="H934" s="5" t="str">
        <f ca="1">IFERROR(__xludf.DUMMYFUNCTION("IFERROR(VLOOKUP(F957,IMPORTRANGE(""https://docs.google.com/spreadsheets/d/1Kvs4KS76FHFqLFIZfrDMff4kP08nblUkihrxltoGBjg/edit#gid=934712705"",""ESENCIAL!A6:BG""),8,FALSE))"),"")</f>
        <v/>
      </c>
      <c r="L934" s="40"/>
      <c r="Z934" s="41" t="str">
        <f t="shared" si="53"/>
        <v/>
      </c>
      <c r="AA934" s="5" t="str">
        <f ca="1">IFERROR(__xludf.DUMMYFUNCTION("IFERROR(VLOOKUP(E957&amp;F957,IMPORTRANGE(""https://docs.google.com/spreadsheets/d/1Uw7-A9f9R21vMXxHZFNpYNeKFtG8_yji4HS352LGlSQ/edit?pli=1#gid=0"",""1_ACUM!A4:S""),11,FALSE))"),"")</f>
        <v/>
      </c>
      <c r="AB934" s="42" t="str">
        <f ca="1">IFERROR(__xludf.DUMMYFUNCTION("IFERROR(VLOOKUP(F957,IMPORTRANGE(""https://docs.google.com/spreadsheets/d/1Kvs4KS76FHFqLFIZfrDMff4kP08nblUkihrxltoGBjg/edit#gid=934712705"",""ESENCIAL!A6:BG""),15,FALSE))"),"")</f>
        <v/>
      </c>
      <c r="AC934" s="110" t="str">
        <f ca="1">IFERROR(__xludf.DUMMYFUNCTION("IFERROR(VLOOKUP(E957&amp;F957,IMPORTRANGE(""https://docs.google.com/spreadsheets/d/1Uw7-A9f9R21vMXxHZFNpYNeKFtG8_yji4HS352LGlSQ/edit?pli=1#gid=0"",""1_ACUM!A4:S""),13,FALSE))"),"")</f>
        <v/>
      </c>
      <c r="AD934" s="43" t="str">
        <f ca="1">IFERROR(__xludf.DUMMYFUNCTION("IFERROR(VLOOKUP(E957&amp;F957,IMPORTRANGE(""https://docs.google.com/spreadsheets/d/1Uw7-A9f9R21vMXxHZFNpYNeKFtG8_yji4HS352LGlSQ/edit?pli=1#gid=0"",""1_ACUM!A4:S""),13,FALSE))"),"")</f>
        <v/>
      </c>
      <c r="AE934" s="43" t="str">
        <f ca="1">IFERROR(__xludf.DUMMYFUNCTION("IFERROR(VLOOKUP(E957&amp;F957,IMPORTRANGE(""https://docs.google.com/spreadsheets/d/1Uw7-A9f9R21vMXxHZFNpYNeKFtG8_yji4HS352LGlSQ/edit?pli=1#gid=0"",""1_ACUM!A4:S""),14,FALSE))"),"")</f>
        <v/>
      </c>
      <c r="AF934" s="43" t="str">
        <f ca="1">IFERROR(__xludf.DUMMYFUNCTION("IFERROR(VLOOKUP(E957&amp;F957,IMPORTRANGE(""https://docs.google.com/spreadsheets/d/1Uw7-A9f9R21vMXxHZFNpYNeKFtG8_yji4HS352LGlSQ/edit?pli=1#gid=0"",""1_ACUM!A4:S""),15,FALSE))"),"")</f>
        <v/>
      </c>
      <c r="AG934" s="43" t="str">
        <f ca="1">IFERROR(__xludf.DUMMYFUNCTION("IFERROR(VLOOKUP(E957&amp;F957,IMPORTRANGE(""https://docs.google.com/spreadsheets/d/1Uw7-A9f9R21vMXxHZFNpYNeKFtG8_yji4HS352LGlSQ/edit?pli=1#gid=0"",""1_ACUM!A4:S""),16,FALSE))"),"")</f>
        <v/>
      </c>
      <c r="AH934" s="43" t="str">
        <f ca="1">IFERROR(__xludf.DUMMYFUNCTION("IFERROR(VLOOKUP(E957&amp;F957,IMPORTRANGE(""https://docs.google.com/spreadsheets/d/1Uw7-A9f9R21vMXxHZFNpYNeKFtG8_yji4HS352LGlSQ/edit?pli=1#gid=0"",""1_ACUM!A4:S""),17,FALSE))"),"")</f>
        <v/>
      </c>
      <c r="AI934" s="44" t="str">
        <f ca="1">IFERROR(__xludf.DUMMYFUNCTION("IFERROR(VLOOKUP(E957&amp;F957,IMPORTRANGE(""https://docs.google.com/spreadsheets/d/1Uw7-A9f9R21vMXxHZFNpYNeKFtG8_yji4HS352LGlSQ/edit?pli=1#gid=0"",""1_ACUM!A4:S""),18,FALSE))"),"")</f>
        <v/>
      </c>
      <c r="AJ934" s="44" t="str">
        <f ca="1">IFERROR(__xludf.DUMMYFUNCTION("IFERROR(VLOOKUP(E957&amp;F957,IMPORTRANGE(""https://docs.google.com/spreadsheets/d/1Uw7-A9f9R21vMXxHZFNpYNeKFtG8_yji4HS352LGlSQ/edit?pli=1#gid=0"",""1_ACUM!A4:S""),19,FALSE))"),"")</f>
        <v/>
      </c>
      <c r="AK934" s="98" t="str">
        <f ca="1">IFERROR(__xludf.DUMMYFUNCTION("IFERROR(VLOOKUP(F957,IMPORTRANGE(""https://docs.google.com/spreadsheets/d/1Kvs4KS76FHFqLFIZfrDMff4kP08nblUkihrxltoGBjg/edit#gid=934712705"",""ESENCIAL!A6:BG""),5,FALSE))"),"")</f>
        <v/>
      </c>
      <c r="AL934" s="98" t="str">
        <f t="shared" si="54"/>
        <v/>
      </c>
      <c r="AM934" s="99" t="str">
        <f t="shared" si="55"/>
        <v/>
      </c>
      <c r="AN934" s="100" t="str">
        <f ca="1">IFERROR(__xludf.DUMMYFUNCTION("IFERROR(VLOOKUP(F957,IMPORTRANGE(""https://docs.google.com/spreadsheets/d/1Kvs4KS76FHFqLFIZfrDMff4kP08nblUkihrxltoGBjg/edit#gid=934712705"",""ESENCIAL!A6:BG""),2,FALSE))"),"")</f>
        <v/>
      </c>
      <c r="AO934" s="19" t="str">
        <f t="shared" si="46"/>
        <v/>
      </c>
      <c r="AP934" s="100"/>
      <c r="AQ934" s="100"/>
    </row>
    <row r="935" spans="1:43" ht="15">
      <c r="A935" s="5"/>
      <c r="B935" s="5"/>
      <c r="G935" s="5" t="str">
        <f ca="1">IFERROR(__xludf.DUMMYFUNCTION("IFERROR(VLOOKUP(F958,IMPORTRANGE(""https://docs.google.com/spreadsheets/d/1Kvs4KS76FHFqLFIZfrDMff4kP08nblUkihrxltoGBjg/edit#gid=934712705"",""ESENCIAL!A6:BG""),3,FALSE))"),"")</f>
        <v/>
      </c>
      <c r="H935" s="5" t="str">
        <f ca="1">IFERROR(__xludf.DUMMYFUNCTION("IFERROR(VLOOKUP(F958,IMPORTRANGE(""https://docs.google.com/spreadsheets/d/1Kvs4KS76FHFqLFIZfrDMff4kP08nblUkihrxltoGBjg/edit#gid=934712705"",""ESENCIAL!A6:BG""),8,FALSE))"),"")</f>
        <v/>
      </c>
      <c r="L935" s="40"/>
      <c r="Z935" s="41" t="str">
        <f t="shared" si="53"/>
        <v/>
      </c>
      <c r="AA935" s="5" t="str">
        <f ca="1">IFERROR(__xludf.DUMMYFUNCTION("IFERROR(VLOOKUP(E958&amp;F958,IMPORTRANGE(""https://docs.google.com/spreadsheets/d/1Uw7-A9f9R21vMXxHZFNpYNeKFtG8_yji4HS352LGlSQ/edit?pli=1#gid=0"",""1_ACUM!A4:S""),11,FALSE))"),"")</f>
        <v/>
      </c>
      <c r="AB935" s="42" t="str">
        <f ca="1">IFERROR(__xludf.DUMMYFUNCTION("IFERROR(VLOOKUP(F958,IMPORTRANGE(""https://docs.google.com/spreadsheets/d/1Kvs4KS76FHFqLFIZfrDMff4kP08nblUkihrxltoGBjg/edit#gid=934712705"",""ESENCIAL!A6:BG""),15,FALSE))"),"")</f>
        <v/>
      </c>
      <c r="AC935" s="110" t="str">
        <f ca="1">IFERROR(__xludf.DUMMYFUNCTION("IFERROR(VLOOKUP(E958&amp;F958,IMPORTRANGE(""https://docs.google.com/spreadsheets/d/1Uw7-A9f9R21vMXxHZFNpYNeKFtG8_yji4HS352LGlSQ/edit?pli=1#gid=0"",""1_ACUM!A4:S""),13,FALSE))"),"")</f>
        <v/>
      </c>
      <c r="AD935" s="43" t="str">
        <f ca="1">IFERROR(__xludf.DUMMYFUNCTION("IFERROR(VLOOKUP(E958&amp;F958,IMPORTRANGE(""https://docs.google.com/spreadsheets/d/1Uw7-A9f9R21vMXxHZFNpYNeKFtG8_yji4HS352LGlSQ/edit?pli=1#gid=0"",""1_ACUM!A4:S""),13,FALSE))"),"")</f>
        <v/>
      </c>
      <c r="AE935" s="43" t="str">
        <f ca="1">IFERROR(__xludf.DUMMYFUNCTION("IFERROR(VLOOKUP(E958&amp;F958,IMPORTRANGE(""https://docs.google.com/spreadsheets/d/1Uw7-A9f9R21vMXxHZFNpYNeKFtG8_yji4HS352LGlSQ/edit?pli=1#gid=0"",""1_ACUM!A4:S""),14,FALSE))"),"")</f>
        <v/>
      </c>
      <c r="AF935" s="43" t="str">
        <f ca="1">IFERROR(__xludf.DUMMYFUNCTION("IFERROR(VLOOKUP(E958&amp;F958,IMPORTRANGE(""https://docs.google.com/spreadsheets/d/1Uw7-A9f9R21vMXxHZFNpYNeKFtG8_yji4HS352LGlSQ/edit?pli=1#gid=0"",""1_ACUM!A4:S""),15,FALSE))"),"")</f>
        <v/>
      </c>
      <c r="AG935" s="43" t="str">
        <f ca="1">IFERROR(__xludf.DUMMYFUNCTION("IFERROR(VLOOKUP(E958&amp;F958,IMPORTRANGE(""https://docs.google.com/spreadsheets/d/1Uw7-A9f9R21vMXxHZFNpYNeKFtG8_yji4HS352LGlSQ/edit?pli=1#gid=0"",""1_ACUM!A4:S""),16,FALSE))"),"")</f>
        <v/>
      </c>
      <c r="AH935" s="43" t="str">
        <f ca="1">IFERROR(__xludf.DUMMYFUNCTION("IFERROR(VLOOKUP(E958&amp;F958,IMPORTRANGE(""https://docs.google.com/spreadsheets/d/1Uw7-A9f9R21vMXxHZFNpYNeKFtG8_yji4HS352LGlSQ/edit?pli=1#gid=0"",""1_ACUM!A4:S""),17,FALSE))"),"")</f>
        <v/>
      </c>
      <c r="AI935" s="44" t="str">
        <f ca="1">IFERROR(__xludf.DUMMYFUNCTION("IFERROR(VLOOKUP(E958&amp;F958,IMPORTRANGE(""https://docs.google.com/spreadsheets/d/1Uw7-A9f9R21vMXxHZFNpYNeKFtG8_yji4HS352LGlSQ/edit?pli=1#gid=0"",""1_ACUM!A4:S""),18,FALSE))"),"")</f>
        <v/>
      </c>
      <c r="AJ935" s="44" t="str">
        <f ca="1">IFERROR(__xludf.DUMMYFUNCTION("IFERROR(VLOOKUP(E958&amp;F958,IMPORTRANGE(""https://docs.google.com/spreadsheets/d/1Uw7-A9f9R21vMXxHZFNpYNeKFtG8_yji4HS352LGlSQ/edit?pli=1#gid=0"",""1_ACUM!A4:S""),19,FALSE))"),"")</f>
        <v/>
      </c>
      <c r="AK935" s="98" t="str">
        <f ca="1">IFERROR(__xludf.DUMMYFUNCTION("IFERROR(VLOOKUP(F958,IMPORTRANGE(""https://docs.google.com/spreadsheets/d/1Kvs4KS76FHFqLFIZfrDMff4kP08nblUkihrxltoGBjg/edit#gid=934712705"",""ESENCIAL!A6:BG""),5,FALSE))"),"")</f>
        <v/>
      </c>
      <c r="AL935" s="98" t="str">
        <f t="shared" si="54"/>
        <v/>
      </c>
      <c r="AM935" s="99" t="str">
        <f t="shared" si="55"/>
        <v/>
      </c>
      <c r="AN935" s="100" t="str">
        <f ca="1">IFERROR(__xludf.DUMMYFUNCTION("IFERROR(VLOOKUP(F958,IMPORTRANGE(""https://docs.google.com/spreadsheets/d/1Kvs4KS76FHFqLFIZfrDMff4kP08nblUkihrxltoGBjg/edit#gid=934712705"",""ESENCIAL!A6:BG""),2,FALSE))"),"")</f>
        <v/>
      </c>
      <c r="AO935" s="19" t="str">
        <f t="shared" si="46"/>
        <v/>
      </c>
      <c r="AP935" s="100"/>
      <c r="AQ935" s="100"/>
    </row>
    <row r="936" spans="1:43" ht="15">
      <c r="A936" s="5"/>
      <c r="B936" s="5"/>
      <c r="G936" s="5" t="str">
        <f ca="1">IFERROR(__xludf.DUMMYFUNCTION("IFERROR(VLOOKUP(F959,IMPORTRANGE(""https://docs.google.com/spreadsheets/d/1Kvs4KS76FHFqLFIZfrDMff4kP08nblUkihrxltoGBjg/edit#gid=934712705"",""ESENCIAL!A6:BG""),3,FALSE))"),"")</f>
        <v/>
      </c>
      <c r="H936" s="5" t="str">
        <f ca="1">IFERROR(__xludf.DUMMYFUNCTION("IFERROR(VLOOKUP(F959,IMPORTRANGE(""https://docs.google.com/spreadsheets/d/1Kvs4KS76FHFqLFIZfrDMff4kP08nblUkihrxltoGBjg/edit#gid=934712705"",""ESENCIAL!A6:BG""),8,FALSE))"),"")</f>
        <v/>
      </c>
      <c r="L936" s="40"/>
      <c r="Z936" s="41" t="str">
        <f t="shared" si="53"/>
        <v/>
      </c>
      <c r="AA936" s="5" t="str">
        <f ca="1">IFERROR(__xludf.DUMMYFUNCTION("IFERROR(VLOOKUP(E959&amp;F959,IMPORTRANGE(""https://docs.google.com/spreadsheets/d/1Uw7-A9f9R21vMXxHZFNpYNeKFtG8_yji4HS352LGlSQ/edit?pli=1#gid=0"",""1_ACUM!A4:S""),11,FALSE))"),"")</f>
        <v/>
      </c>
      <c r="AB936" s="42" t="str">
        <f ca="1">IFERROR(__xludf.DUMMYFUNCTION("IFERROR(VLOOKUP(F959,IMPORTRANGE(""https://docs.google.com/spreadsheets/d/1Kvs4KS76FHFqLFIZfrDMff4kP08nblUkihrxltoGBjg/edit#gid=934712705"",""ESENCIAL!A6:BG""),15,FALSE))"),"")</f>
        <v/>
      </c>
      <c r="AC936" s="110" t="str">
        <f ca="1">IFERROR(__xludf.DUMMYFUNCTION("IFERROR(VLOOKUP(E959&amp;F959,IMPORTRANGE(""https://docs.google.com/spreadsheets/d/1Uw7-A9f9R21vMXxHZFNpYNeKFtG8_yji4HS352LGlSQ/edit?pli=1#gid=0"",""1_ACUM!A4:S""),13,FALSE))"),"")</f>
        <v/>
      </c>
      <c r="AD936" s="43" t="str">
        <f ca="1">IFERROR(__xludf.DUMMYFUNCTION("IFERROR(VLOOKUP(E959&amp;F959,IMPORTRANGE(""https://docs.google.com/spreadsheets/d/1Uw7-A9f9R21vMXxHZFNpYNeKFtG8_yji4HS352LGlSQ/edit?pli=1#gid=0"",""1_ACUM!A4:S""),13,FALSE))"),"")</f>
        <v/>
      </c>
      <c r="AE936" s="43" t="str">
        <f ca="1">IFERROR(__xludf.DUMMYFUNCTION("IFERROR(VLOOKUP(E959&amp;F959,IMPORTRANGE(""https://docs.google.com/spreadsheets/d/1Uw7-A9f9R21vMXxHZFNpYNeKFtG8_yji4HS352LGlSQ/edit?pli=1#gid=0"",""1_ACUM!A4:S""),14,FALSE))"),"")</f>
        <v/>
      </c>
      <c r="AF936" s="43" t="str">
        <f ca="1">IFERROR(__xludf.DUMMYFUNCTION("IFERROR(VLOOKUP(E959&amp;F959,IMPORTRANGE(""https://docs.google.com/spreadsheets/d/1Uw7-A9f9R21vMXxHZFNpYNeKFtG8_yji4HS352LGlSQ/edit?pli=1#gid=0"",""1_ACUM!A4:S""),15,FALSE))"),"")</f>
        <v/>
      </c>
      <c r="AG936" s="43" t="str">
        <f ca="1">IFERROR(__xludf.DUMMYFUNCTION("IFERROR(VLOOKUP(E959&amp;F959,IMPORTRANGE(""https://docs.google.com/spreadsheets/d/1Uw7-A9f9R21vMXxHZFNpYNeKFtG8_yji4HS352LGlSQ/edit?pli=1#gid=0"",""1_ACUM!A4:S""),16,FALSE))"),"")</f>
        <v/>
      </c>
      <c r="AH936" s="43" t="str">
        <f ca="1">IFERROR(__xludf.DUMMYFUNCTION("IFERROR(VLOOKUP(E959&amp;F959,IMPORTRANGE(""https://docs.google.com/spreadsheets/d/1Uw7-A9f9R21vMXxHZFNpYNeKFtG8_yji4HS352LGlSQ/edit?pli=1#gid=0"",""1_ACUM!A4:S""),17,FALSE))"),"")</f>
        <v/>
      </c>
      <c r="AI936" s="44" t="str">
        <f ca="1">IFERROR(__xludf.DUMMYFUNCTION("IFERROR(VLOOKUP(E959&amp;F959,IMPORTRANGE(""https://docs.google.com/spreadsheets/d/1Uw7-A9f9R21vMXxHZFNpYNeKFtG8_yji4HS352LGlSQ/edit?pli=1#gid=0"",""1_ACUM!A4:S""),18,FALSE))"),"")</f>
        <v/>
      </c>
      <c r="AJ936" s="44" t="str">
        <f ca="1">IFERROR(__xludf.DUMMYFUNCTION("IFERROR(VLOOKUP(E959&amp;F959,IMPORTRANGE(""https://docs.google.com/spreadsheets/d/1Uw7-A9f9R21vMXxHZFNpYNeKFtG8_yji4HS352LGlSQ/edit?pli=1#gid=0"",""1_ACUM!A4:S""),19,FALSE))"),"")</f>
        <v/>
      </c>
      <c r="AK936" s="98" t="str">
        <f ca="1">IFERROR(__xludf.DUMMYFUNCTION("IFERROR(VLOOKUP(F959,IMPORTRANGE(""https://docs.google.com/spreadsheets/d/1Kvs4KS76FHFqLFIZfrDMff4kP08nblUkihrxltoGBjg/edit#gid=934712705"",""ESENCIAL!A6:BG""),5,FALSE))"),"")</f>
        <v/>
      </c>
      <c r="AL936" s="98" t="str">
        <f t="shared" si="54"/>
        <v/>
      </c>
      <c r="AM936" s="99" t="str">
        <f t="shared" si="55"/>
        <v/>
      </c>
      <c r="AN936" s="100" t="str">
        <f ca="1">IFERROR(__xludf.DUMMYFUNCTION("IFERROR(VLOOKUP(F959,IMPORTRANGE(""https://docs.google.com/spreadsheets/d/1Kvs4KS76FHFqLFIZfrDMff4kP08nblUkihrxltoGBjg/edit#gid=934712705"",""ESENCIAL!A6:BG""),2,FALSE))"),"")</f>
        <v/>
      </c>
      <c r="AO936" s="19" t="str">
        <f t="shared" si="46"/>
        <v/>
      </c>
      <c r="AP936" s="100"/>
      <c r="AQ936" s="100"/>
    </row>
    <row r="937" spans="1:43" ht="15">
      <c r="A937" s="5"/>
      <c r="B937" s="5"/>
      <c r="G937" s="5" t="str">
        <f ca="1">IFERROR(__xludf.DUMMYFUNCTION("IFERROR(VLOOKUP(F960,IMPORTRANGE(""https://docs.google.com/spreadsheets/d/1Kvs4KS76FHFqLFIZfrDMff4kP08nblUkihrxltoGBjg/edit#gid=934712705"",""ESENCIAL!A6:BG""),3,FALSE))"),"")</f>
        <v/>
      </c>
      <c r="H937" s="5" t="str">
        <f ca="1">IFERROR(__xludf.DUMMYFUNCTION("IFERROR(VLOOKUP(F960,IMPORTRANGE(""https://docs.google.com/spreadsheets/d/1Kvs4KS76FHFqLFIZfrDMff4kP08nblUkihrxltoGBjg/edit#gid=934712705"",""ESENCIAL!A6:BG""),8,FALSE))"),"")</f>
        <v/>
      </c>
      <c r="L937" s="40"/>
      <c r="Z937" s="41" t="str">
        <f t="shared" si="53"/>
        <v/>
      </c>
      <c r="AA937" s="5" t="str">
        <f ca="1">IFERROR(__xludf.DUMMYFUNCTION("IFERROR(VLOOKUP(E960&amp;F960,IMPORTRANGE(""https://docs.google.com/spreadsheets/d/1Uw7-A9f9R21vMXxHZFNpYNeKFtG8_yji4HS352LGlSQ/edit?pli=1#gid=0"",""1_ACUM!A4:S""),11,FALSE))"),"")</f>
        <v/>
      </c>
      <c r="AB937" s="42" t="str">
        <f ca="1">IFERROR(__xludf.DUMMYFUNCTION("IFERROR(VLOOKUP(F960,IMPORTRANGE(""https://docs.google.com/spreadsheets/d/1Kvs4KS76FHFqLFIZfrDMff4kP08nblUkihrxltoGBjg/edit#gid=934712705"",""ESENCIAL!A6:BG""),15,FALSE))"),"")</f>
        <v/>
      </c>
      <c r="AC937" s="110" t="str">
        <f ca="1">IFERROR(__xludf.DUMMYFUNCTION("IFERROR(VLOOKUP(E960&amp;F960,IMPORTRANGE(""https://docs.google.com/spreadsheets/d/1Uw7-A9f9R21vMXxHZFNpYNeKFtG8_yji4HS352LGlSQ/edit?pli=1#gid=0"",""1_ACUM!A4:S""),13,FALSE))"),"")</f>
        <v/>
      </c>
      <c r="AD937" s="43" t="str">
        <f ca="1">IFERROR(__xludf.DUMMYFUNCTION("IFERROR(VLOOKUP(E960&amp;F960,IMPORTRANGE(""https://docs.google.com/spreadsheets/d/1Uw7-A9f9R21vMXxHZFNpYNeKFtG8_yji4HS352LGlSQ/edit?pli=1#gid=0"",""1_ACUM!A4:S""),13,FALSE))"),"")</f>
        <v/>
      </c>
      <c r="AE937" s="43" t="str">
        <f ca="1">IFERROR(__xludf.DUMMYFUNCTION("IFERROR(VLOOKUP(E960&amp;F960,IMPORTRANGE(""https://docs.google.com/spreadsheets/d/1Uw7-A9f9R21vMXxHZFNpYNeKFtG8_yji4HS352LGlSQ/edit?pli=1#gid=0"",""1_ACUM!A4:S""),14,FALSE))"),"")</f>
        <v/>
      </c>
      <c r="AF937" s="43" t="str">
        <f ca="1">IFERROR(__xludf.DUMMYFUNCTION("IFERROR(VLOOKUP(E960&amp;F960,IMPORTRANGE(""https://docs.google.com/spreadsheets/d/1Uw7-A9f9R21vMXxHZFNpYNeKFtG8_yji4HS352LGlSQ/edit?pli=1#gid=0"",""1_ACUM!A4:S""),15,FALSE))"),"")</f>
        <v/>
      </c>
      <c r="AG937" s="43" t="str">
        <f ca="1">IFERROR(__xludf.DUMMYFUNCTION("IFERROR(VLOOKUP(E960&amp;F960,IMPORTRANGE(""https://docs.google.com/spreadsheets/d/1Uw7-A9f9R21vMXxHZFNpYNeKFtG8_yji4HS352LGlSQ/edit?pli=1#gid=0"",""1_ACUM!A4:S""),16,FALSE))"),"")</f>
        <v/>
      </c>
      <c r="AH937" s="43" t="str">
        <f ca="1">IFERROR(__xludf.DUMMYFUNCTION("IFERROR(VLOOKUP(E960&amp;F960,IMPORTRANGE(""https://docs.google.com/spreadsheets/d/1Uw7-A9f9R21vMXxHZFNpYNeKFtG8_yji4HS352LGlSQ/edit?pli=1#gid=0"",""1_ACUM!A4:S""),17,FALSE))"),"")</f>
        <v/>
      </c>
      <c r="AI937" s="44" t="str">
        <f ca="1">IFERROR(__xludf.DUMMYFUNCTION("IFERROR(VLOOKUP(E960&amp;F960,IMPORTRANGE(""https://docs.google.com/spreadsheets/d/1Uw7-A9f9R21vMXxHZFNpYNeKFtG8_yji4HS352LGlSQ/edit?pli=1#gid=0"",""1_ACUM!A4:S""),18,FALSE))"),"")</f>
        <v/>
      </c>
      <c r="AJ937" s="44" t="str">
        <f ca="1">IFERROR(__xludf.DUMMYFUNCTION("IFERROR(VLOOKUP(E960&amp;F960,IMPORTRANGE(""https://docs.google.com/spreadsheets/d/1Uw7-A9f9R21vMXxHZFNpYNeKFtG8_yji4HS352LGlSQ/edit?pli=1#gid=0"",""1_ACUM!A4:S""),19,FALSE))"),"")</f>
        <v/>
      </c>
      <c r="AK937" s="98" t="str">
        <f ca="1">IFERROR(__xludf.DUMMYFUNCTION("IFERROR(VLOOKUP(F960,IMPORTRANGE(""https://docs.google.com/spreadsheets/d/1Kvs4KS76FHFqLFIZfrDMff4kP08nblUkihrxltoGBjg/edit#gid=934712705"",""ESENCIAL!A6:BG""),5,FALSE))"),"")</f>
        <v/>
      </c>
      <c r="AL937" s="98" t="str">
        <f t="shared" si="54"/>
        <v/>
      </c>
      <c r="AM937" s="99" t="str">
        <f t="shared" si="55"/>
        <v/>
      </c>
      <c r="AN937" s="100" t="str">
        <f ca="1">IFERROR(__xludf.DUMMYFUNCTION("IFERROR(VLOOKUP(F960,IMPORTRANGE(""https://docs.google.com/spreadsheets/d/1Kvs4KS76FHFqLFIZfrDMff4kP08nblUkihrxltoGBjg/edit#gid=934712705"",""ESENCIAL!A6:BG""),2,FALSE))"),"")</f>
        <v/>
      </c>
      <c r="AO937" s="19" t="str">
        <f t="shared" si="46"/>
        <v/>
      </c>
      <c r="AP937" s="100"/>
      <c r="AQ937" s="100"/>
    </row>
    <row r="938" spans="1:43" ht="15">
      <c r="A938" s="5"/>
      <c r="B938" s="5"/>
      <c r="G938" s="5" t="str">
        <f ca="1">IFERROR(__xludf.DUMMYFUNCTION("IFERROR(VLOOKUP(F961,IMPORTRANGE(""https://docs.google.com/spreadsheets/d/1Kvs4KS76FHFqLFIZfrDMff4kP08nblUkihrxltoGBjg/edit#gid=934712705"",""ESENCIAL!A6:BG""),3,FALSE))"),"")</f>
        <v/>
      </c>
      <c r="H938" s="5" t="str">
        <f ca="1">IFERROR(__xludf.DUMMYFUNCTION("IFERROR(VLOOKUP(F961,IMPORTRANGE(""https://docs.google.com/spreadsheets/d/1Kvs4KS76FHFqLFIZfrDMff4kP08nblUkihrxltoGBjg/edit#gid=934712705"",""ESENCIAL!A6:BG""),8,FALSE))"),"")</f>
        <v/>
      </c>
      <c r="L938" s="40"/>
      <c r="Z938" s="41" t="str">
        <f t="shared" si="53"/>
        <v/>
      </c>
      <c r="AA938" s="5" t="str">
        <f ca="1">IFERROR(__xludf.DUMMYFUNCTION("IFERROR(VLOOKUP(E961&amp;F961,IMPORTRANGE(""https://docs.google.com/spreadsheets/d/1Uw7-A9f9R21vMXxHZFNpYNeKFtG8_yji4HS352LGlSQ/edit?pli=1#gid=0"",""1_ACUM!A4:S""),11,FALSE))"),"")</f>
        <v/>
      </c>
      <c r="AB938" s="42" t="str">
        <f ca="1">IFERROR(__xludf.DUMMYFUNCTION("IFERROR(VLOOKUP(F961,IMPORTRANGE(""https://docs.google.com/spreadsheets/d/1Kvs4KS76FHFqLFIZfrDMff4kP08nblUkihrxltoGBjg/edit#gid=934712705"",""ESENCIAL!A6:BG""),15,FALSE))"),"")</f>
        <v/>
      </c>
      <c r="AC938" s="110" t="str">
        <f ca="1">IFERROR(__xludf.DUMMYFUNCTION("IFERROR(VLOOKUP(E961&amp;F961,IMPORTRANGE(""https://docs.google.com/spreadsheets/d/1Uw7-A9f9R21vMXxHZFNpYNeKFtG8_yji4HS352LGlSQ/edit?pli=1#gid=0"",""1_ACUM!A4:S""),13,FALSE))"),"")</f>
        <v/>
      </c>
      <c r="AD938" s="43" t="str">
        <f ca="1">IFERROR(__xludf.DUMMYFUNCTION("IFERROR(VLOOKUP(E961&amp;F961,IMPORTRANGE(""https://docs.google.com/spreadsheets/d/1Uw7-A9f9R21vMXxHZFNpYNeKFtG8_yji4HS352LGlSQ/edit?pli=1#gid=0"",""1_ACUM!A4:S""),13,FALSE))"),"")</f>
        <v/>
      </c>
      <c r="AE938" s="43" t="str">
        <f ca="1">IFERROR(__xludf.DUMMYFUNCTION("IFERROR(VLOOKUP(E961&amp;F961,IMPORTRANGE(""https://docs.google.com/spreadsheets/d/1Uw7-A9f9R21vMXxHZFNpYNeKFtG8_yji4HS352LGlSQ/edit?pli=1#gid=0"",""1_ACUM!A4:S""),14,FALSE))"),"")</f>
        <v/>
      </c>
      <c r="AF938" s="43" t="str">
        <f ca="1">IFERROR(__xludf.DUMMYFUNCTION("IFERROR(VLOOKUP(E961&amp;F961,IMPORTRANGE(""https://docs.google.com/spreadsheets/d/1Uw7-A9f9R21vMXxHZFNpYNeKFtG8_yji4HS352LGlSQ/edit?pli=1#gid=0"",""1_ACUM!A4:S""),15,FALSE))"),"")</f>
        <v/>
      </c>
      <c r="AG938" s="43" t="str">
        <f ca="1">IFERROR(__xludf.DUMMYFUNCTION("IFERROR(VLOOKUP(E961&amp;F961,IMPORTRANGE(""https://docs.google.com/spreadsheets/d/1Uw7-A9f9R21vMXxHZFNpYNeKFtG8_yji4HS352LGlSQ/edit?pli=1#gid=0"",""1_ACUM!A4:S""),16,FALSE))"),"")</f>
        <v/>
      </c>
      <c r="AH938" s="43" t="str">
        <f ca="1">IFERROR(__xludf.DUMMYFUNCTION("IFERROR(VLOOKUP(E961&amp;F961,IMPORTRANGE(""https://docs.google.com/spreadsheets/d/1Uw7-A9f9R21vMXxHZFNpYNeKFtG8_yji4HS352LGlSQ/edit?pli=1#gid=0"",""1_ACUM!A4:S""),17,FALSE))"),"")</f>
        <v/>
      </c>
      <c r="AI938" s="44" t="str">
        <f ca="1">IFERROR(__xludf.DUMMYFUNCTION("IFERROR(VLOOKUP(E961&amp;F961,IMPORTRANGE(""https://docs.google.com/spreadsheets/d/1Uw7-A9f9R21vMXxHZFNpYNeKFtG8_yji4HS352LGlSQ/edit?pli=1#gid=0"",""1_ACUM!A4:S""),18,FALSE))"),"")</f>
        <v/>
      </c>
      <c r="AJ938" s="44" t="str">
        <f ca="1">IFERROR(__xludf.DUMMYFUNCTION("IFERROR(VLOOKUP(E961&amp;F961,IMPORTRANGE(""https://docs.google.com/spreadsheets/d/1Uw7-A9f9R21vMXxHZFNpYNeKFtG8_yji4HS352LGlSQ/edit?pli=1#gid=0"",""1_ACUM!A4:S""),19,FALSE))"),"")</f>
        <v/>
      </c>
      <c r="AK938" s="98" t="str">
        <f ca="1">IFERROR(__xludf.DUMMYFUNCTION("IFERROR(VLOOKUP(F961,IMPORTRANGE(""https://docs.google.com/spreadsheets/d/1Kvs4KS76FHFqLFIZfrDMff4kP08nblUkihrxltoGBjg/edit#gid=934712705"",""ESENCIAL!A6:BG""),5,FALSE))"),"")</f>
        <v/>
      </c>
      <c r="AL938" s="98" t="str">
        <f t="shared" si="54"/>
        <v/>
      </c>
      <c r="AM938" s="99" t="str">
        <f t="shared" si="55"/>
        <v/>
      </c>
      <c r="AN938" s="100" t="str">
        <f ca="1">IFERROR(__xludf.DUMMYFUNCTION("IFERROR(VLOOKUP(F961,IMPORTRANGE(""https://docs.google.com/spreadsheets/d/1Kvs4KS76FHFqLFIZfrDMff4kP08nblUkihrxltoGBjg/edit#gid=934712705"",""ESENCIAL!A6:BG""),2,FALSE))"),"")</f>
        <v/>
      </c>
      <c r="AO938" s="19" t="str">
        <f t="shared" si="46"/>
        <v/>
      </c>
      <c r="AP938" s="100"/>
      <c r="AQ938" s="100"/>
    </row>
    <row r="939" spans="1:43" ht="15">
      <c r="A939" s="5"/>
      <c r="B939" s="5"/>
      <c r="G939" s="5" t="str">
        <f ca="1">IFERROR(__xludf.DUMMYFUNCTION("IFERROR(VLOOKUP(F962,IMPORTRANGE(""https://docs.google.com/spreadsheets/d/1Kvs4KS76FHFqLFIZfrDMff4kP08nblUkihrxltoGBjg/edit#gid=934712705"",""ESENCIAL!A6:BG""),3,FALSE))"),"")</f>
        <v/>
      </c>
      <c r="H939" s="5" t="str">
        <f ca="1">IFERROR(__xludf.DUMMYFUNCTION("IFERROR(VLOOKUP(F962,IMPORTRANGE(""https://docs.google.com/spreadsheets/d/1Kvs4KS76FHFqLFIZfrDMff4kP08nblUkihrxltoGBjg/edit#gid=934712705"",""ESENCIAL!A6:BG""),8,FALSE))"),"")</f>
        <v/>
      </c>
      <c r="L939" s="40"/>
      <c r="Z939" s="41" t="str">
        <f t="shared" si="53"/>
        <v/>
      </c>
      <c r="AA939" s="5" t="str">
        <f ca="1">IFERROR(__xludf.DUMMYFUNCTION("IFERROR(VLOOKUP(E962&amp;F962,IMPORTRANGE(""https://docs.google.com/spreadsheets/d/1Uw7-A9f9R21vMXxHZFNpYNeKFtG8_yji4HS352LGlSQ/edit?pli=1#gid=0"",""1_ACUM!A4:S""),11,FALSE))"),"")</f>
        <v/>
      </c>
      <c r="AB939" s="42" t="str">
        <f ca="1">IFERROR(__xludf.DUMMYFUNCTION("IFERROR(VLOOKUP(F962,IMPORTRANGE(""https://docs.google.com/spreadsheets/d/1Kvs4KS76FHFqLFIZfrDMff4kP08nblUkihrxltoGBjg/edit#gid=934712705"",""ESENCIAL!A6:BG""),15,FALSE))"),"")</f>
        <v/>
      </c>
      <c r="AC939" s="110" t="str">
        <f ca="1">IFERROR(__xludf.DUMMYFUNCTION("IFERROR(VLOOKUP(E962&amp;F962,IMPORTRANGE(""https://docs.google.com/spreadsheets/d/1Uw7-A9f9R21vMXxHZFNpYNeKFtG8_yji4HS352LGlSQ/edit?pli=1#gid=0"",""1_ACUM!A4:S""),13,FALSE))"),"")</f>
        <v/>
      </c>
      <c r="AD939" s="43" t="str">
        <f ca="1">IFERROR(__xludf.DUMMYFUNCTION("IFERROR(VLOOKUP(E962&amp;F962,IMPORTRANGE(""https://docs.google.com/spreadsheets/d/1Uw7-A9f9R21vMXxHZFNpYNeKFtG8_yji4HS352LGlSQ/edit?pli=1#gid=0"",""1_ACUM!A4:S""),13,FALSE))"),"")</f>
        <v/>
      </c>
      <c r="AE939" s="43" t="str">
        <f ca="1">IFERROR(__xludf.DUMMYFUNCTION("IFERROR(VLOOKUP(E962&amp;F962,IMPORTRANGE(""https://docs.google.com/spreadsheets/d/1Uw7-A9f9R21vMXxHZFNpYNeKFtG8_yji4HS352LGlSQ/edit?pli=1#gid=0"",""1_ACUM!A4:S""),14,FALSE))"),"")</f>
        <v/>
      </c>
      <c r="AF939" s="43" t="str">
        <f ca="1">IFERROR(__xludf.DUMMYFUNCTION("IFERROR(VLOOKUP(E962&amp;F962,IMPORTRANGE(""https://docs.google.com/spreadsheets/d/1Uw7-A9f9R21vMXxHZFNpYNeKFtG8_yji4HS352LGlSQ/edit?pli=1#gid=0"",""1_ACUM!A4:S""),15,FALSE))"),"")</f>
        <v/>
      </c>
      <c r="AG939" s="43" t="str">
        <f ca="1">IFERROR(__xludf.DUMMYFUNCTION("IFERROR(VLOOKUP(E962&amp;F962,IMPORTRANGE(""https://docs.google.com/spreadsheets/d/1Uw7-A9f9R21vMXxHZFNpYNeKFtG8_yji4HS352LGlSQ/edit?pli=1#gid=0"",""1_ACUM!A4:S""),16,FALSE))"),"")</f>
        <v/>
      </c>
      <c r="AH939" s="43" t="str">
        <f ca="1">IFERROR(__xludf.DUMMYFUNCTION("IFERROR(VLOOKUP(E962&amp;F962,IMPORTRANGE(""https://docs.google.com/spreadsheets/d/1Uw7-A9f9R21vMXxHZFNpYNeKFtG8_yji4HS352LGlSQ/edit?pli=1#gid=0"",""1_ACUM!A4:S""),17,FALSE))"),"")</f>
        <v/>
      </c>
      <c r="AI939" s="44" t="str">
        <f ca="1">IFERROR(__xludf.DUMMYFUNCTION("IFERROR(VLOOKUP(E962&amp;F962,IMPORTRANGE(""https://docs.google.com/spreadsheets/d/1Uw7-A9f9R21vMXxHZFNpYNeKFtG8_yji4HS352LGlSQ/edit?pli=1#gid=0"",""1_ACUM!A4:S""),18,FALSE))"),"")</f>
        <v/>
      </c>
      <c r="AJ939" s="44" t="str">
        <f ca="1">IFERROR(__xludf.DUMMYFUNCTION("IFERROR(VLOOKUP(E962&amp;F962,IMPORTRANGE(""https://docs.google.com/spreadsheets/d/1Uw7-A9f9R21vMXxHZFNpYNeKFtG8_yji4HS352LGlSQ/edit?pli=1#gid=0"",""1_ACUM!A4:S""),19,FALSE))"),"")</f>
        <v/>
      </c>
      <c r="AK939" s="98" t="str">
        <f ca="1">IFERROR(__xludf.DUMMYFUNCTION("IFERROR(VLOOKUP(F962,IMPORTRANGE(""https://docs.google.com/spreadsheets/d/1Kvs4KS76FHFqLFIZfrDMff4kP08nblUkihrxltoGBjg/edit#gid=934712705"",""ESENCIAL!A6:BG""),5,FALSE))"),"")</f>
        <v/>
      </c>
      <c r="AL939" s="98" t="str">
        <f t="shared" si="54"/>
        <v/>
      </c>
      <c r="AM939" s="99" t="str">
        <f t="shared" si="55"/>
        <v/>
      </c>
      <c r="AN939" s="100" t="str">
        <f ca="1">IFERROR(__xludf.DUMMYFUNCTION("IFERROR(VLOOKUP(F962,IMPORTRANGE(""https://docs.google.com/spreadsheets/d/1Kvs4KS76FHFqLFIZfrDMff4kP08nblUkihrxltoGBjg/edit#gid=934712705"",""ESENCIAL!A6:BG""),2,FALSE))"),"")</f>
        <v/>
      </c>
      <c r="AO939" s="19" t="str">
        <f t="shared" si="46"/>
        <v/>
      </c>
      <c r="AP939" s="100"/>
      <c r="AQ939" s="100"/>
    </row>
    <row r="940" spans="1:43" ht="15">
      <c r="A940" s="5"/>
      <c r="B940" s="5"/>
      <c r="G940" s="5" t="str">
        <f ca="1">IFERROR(__xludf.DUMMYFUNCTION("IFERROR(VLOOKUP(F963,IMPORTRANGE(""https://docs.google.com/spreadsheets/d/1Kvs4KS76FHFqLFIZfrDMff4kP08nblUkihrxltoGBjg/edit#gid=934712705"",""ESENCIAL!A6:BG""),3,FALSE))"),"")</f>
        <v/>
      </c>
      <c r="H940" s="5" t="str">
        <f ca="1">IFERROR(__xludf.DUMMYFUNCTION("IFERROR(VLOOKUP(F963,IMPORTRANGE(""https://docs.google.com/spreadsheets/d/1Kvs4KS76FHFqLFIZfrDMff4kP08nblUkihrxltoGBjg/edit#gid=934712705"",""ESENCIAL!A6:BG""),8,FALSE))"),"")</f>
        <v/>
      </c>
      <c r="L940" s="40"/>
      <c r="Z940" s="41" t="str">
        <f t="shared" si="53"/>
        <v/>
      </c>
      <c r="AA940" s="5" t="str">
        <f ca="1">IFERROR(__xludf.DUMMYFUNCTION("IFERROR(VLOOKUP(E963&amp;F963,IMPORTRANGE(""https://docs.google.com/spreadsheets/d/1Uw7-A9f9R21vMXxHZFNpYNeKFtG8_yji4HS352LGlSQ/edit?pli=1#gid=0"",""1_ACUM!A4:S""),11,FALSE))"),"")</f>
        <v/>
      </c>
      <c r="AB940" s="42" t="str">
        <f ca="1">IFERROR(__xludf.DUMMYFUNCTION("IFERROR(VLOOKUP(F963,IMPORTRANGE(""https://docs.google.com/spreadsheets/d/1Kvs4KS76FHFqLFIZfrDMff4kP08nblUkihrxltoGBjg/edit#gid=934712705"",""ESENCIAL!A6:BG""),15,FALSE))"),"")</f>
        <v/>
      </c>
      <c r="AC940" s="110" t="str">
        <f ca="1">IFERROR(__xludf.DUMMYFUNCTION("IFERROR(VLOOKUP(E963&amp;F963,IMPORTRANGE(""https://docs.google.com/spreadsheets/d/1Uw7-A9f9R21vMXxHZFNpYNeKFtG8_yji4HS352LGlSQ/edit?pli=1#gid=0"",""1_ACUM!A4:S""),13,FALSE))"),"")</f>
        <v/>
      </c>
      <c r="AD940" s="43" t="str">
        <f ca="1">IFERROR(__xludf.DUMMYFUNCTION("IFERROR(VLOOKUP(E963&amp;F963,IMPORTRANGE(""https://docs.google.com/spreadsheets/d/1Uw7-A9f9R21vMXxHZFNpYNeKFtG8_yji4HS352LGlSQ/edit?pli=1#gid=0"",""1_ACUM!A4:S""),13,FALSE))"),"")</f>
        <v/>
      </c>
      <c r="AE940" s="43" t="str">
        <f ca="1">IFERROR(__xludf.DUMMYFUNCTION("IFERROR(VLOOKUP(E963&amp;F963,IMPORTRANGE(""https://docs.google.com/spreadsheets/d/1Uw7-A9f9R21vMXxHZFNpYNeKFtG8_yji4HS352LGlSQ/edit?pli=1#gid=0"",""1_ACUM!A4:S""),14,FALSE))"),"")</f>
        <v/>
      </c>
      <c r="AF940" s="43" t="str">
        <f ca="1">IFERROR(__xludf.DUMMYFUNCTION("IFERROR(VLOOKUP(E963&amp;F963,IMPORTRANGE(""https://docs.google.com/spreadsheets/d/1Uw7-A9f9R21vMXxHZFNpYNeKFtG8_yji4HS352LGlSQ/edit?pli=1#gid=0"",""1_ACUM!A4:S""),15,FALSE))"),"")</f>
        <v/>
      </c>
      <c r="AG940" s="43" t="str">
        <f ca="1">IFERROR(__xludf.DUMMYFUNCTION("IFERROR(VLOOKUP(E963&amp;F963,IMPORTRANGE(""https://docs.google.com/spreadsheets/d/1Uw7-A9f9R21vMXxHZFNpYNeKFtG8_yji4HS352LGlSQ/edit?pli=1#gid=0"",""1_ACUM!A4:S""),16,FALSE))"),"")</f>
        <v/>
      </c>
      <c r="AH940" s="43" t="str">
        <f ca="1">IFERROR(__xludf.DUMMYFUNCTION("IFERROR(VLOOKUP(E963&amp;F963,IMPORTRANGE(""https://docs.google.com/spreadsheets/d/1Uw7-A9f9R21vMXxHZFNpYNeKFtG8_yji4HS352LGlSQ/edit?pli=1#gid=0"",""1_ACUM!A4:S""),17,FALSE))"),"")</f>
        <v/>
      </c>
      <c r="AI940" s="44" t="str">
        <f ca="1">IFERROR(__xludf.DUMMYFUNCTION("IFERROR(VLOOKUP(E963&amp;F963,IMPORTRANGE(""https://docs.google.com/spreadsheets/d/1Uw7-A9f9R21vMXxHZFNpYNeKFtG8_yji4HS352LGlSQ/edit?pli=1#gid=0"",""1_ACUM!A4:S""),18,FALSE))"),"")</f>
        <v/>
      </c>
      <c r="AJ940" s="44" t="str">
        <f ca="1">IFERROR(__xludf.DUMMYFUNCTION("IFERROR(VLOOKUP(E963&amp;F963,IMPORTRANGE(""https://docs.google.com/spreadsheets/d/1Uw7-A9f9R21vMXxHZFNpYNeKFtG8_yji4HS352LGlSQ/edit?pli=1#gid=0"",""1_ACUM!A4:S""),19,FALSE))"),"")</f>
        <v/>
      </c>
      <c r="AK940" s="98" t="str">
        <f ca="1">IFERROR(__xludf.DUMMYFUNCTION("IFERROR(VLOOKUP(F963,IMPORTRANGE(""https://docs.google.com/spreadsheets/d/1Kvs4KS76FHFqLFIZfrDMff4kP08nblUkihrxltoGBjg/edit#gid=934712705"",""ESENCIAL!A6:BG""),5,FALSE))"),"")</f>
        <v/>
      </c>
      <c r="AL940" s="98" t="str">
        <f t="shared" si="54"/>
        <v/>
      </c>
      <c r="AM940" s="99" t="str">
        <f t="shared" si="55"/>
        <v/>
      </c>
      <c r="AN940" s="100" t="str">
        <f ca="1">IFERROR(__xludf.DUMMYFUNCTION("IFERROR(VLOOKUP(F963,IMPORTRANGE(""https://docs.google.com/spreadsheets/d/1Kvs4KS76FHFqLFIZfrDMff4kP08nblUkihrxltoGBjg/edit#gid=934712705"",""ESENCIAL!A6:BG""),2,FALSE))"),"")</f>
        <v/>
      </c>
      <c r="AO940" s="19" t="str">
        <f t="shared" si="46"/>
        <v/>
      </c>
      <c r="AP940" s="100"/>
      <c r="AQ940" s="100"/>
    </row>
    <row r="941" spans="1:43" ht="15">
      <c r="A941" s="5"/>
      <c r="B941" s="5"/>
      <c r="G941" s="5" t="str">
        <f ca="1">IFERROR(__xludf.DUMMYFUNCTION("IFERROR(VLOOKUP(F964,IMPORTRANGE(""https://docs.google.com/spreadsheets/d/1Kvs4KS76FHFqLFIZfrDMff4kP08nblUkihrxltoGBjg/edit#gid=934712705"",""ESENCIAL!A6:BG""),3,FALSE))"),"")</f>
        <v/>
      </c>
      <c r="H941" s="5" t="str">
        <f ca="1">IFERROR(__xludf.DUMMYFUNCTION("IFERROR(VLOOKUP(F964,IMPORTRANGE(""https://docs.google.com/spreadsheets/d/1Kvs4KS76FHFqLFIZfrDMff4kP08nblUkihrxltoGBjg/edit#gid=934712705"",""ESENCIAL!A6:BG""),8,FALSE))"),"")</f>
        <v/>
      </c>
      <c r="L941" s="40"/>
      <c r="Z941" s="41" t="str">
        <f t="shared" si="53"/>
        <v/>
      </c>
      <c r="AA941" s="5" t="str">
        <f ca="1">IFERROR(__xludf.DUMMYFUNCTION("IFERROR(VLOOKUP(E964&amp;F964,IMPORTRANGE(""https://docs.google.com/spreadsheets/d/1Uw7-A9f9R21vMXxHZFNpYNeKFtG8_yji4HS352LGlSQ/edit?pli=1#gid=0"",""1_ACUM!A4:S""),11,FALSE))"),"")</f>
        <v/>
      </c>
      <c r="AB941" s="42" t="str">
        <f ca="1">IFERROR(__xludf.DUMMYFUNCTION("IFERROR(VLOOKUP(F964,IMPORTRANGE(""https://docs.google.com/spreadsheets/d/1Kvs4KS76FHFqLFIZfrDMff4kP08nblUkihrxltoGBjg/edit#gid=934712705"",""ESENCIAL!A6:BG""),15,FALSE))"),"")</f>
        <v/>
      </c>
      <c r="AC941" s="110" t="str">
        <f ca="1">IFERROR(__xludf.DUMMYFUNCTION("IFERROR(VLOOKUP(E964&amp;F964,IMPORTRANGE(""https://docs.google.com/spreadsheets/d/1Uw7-A9f9R21vMXxHZFNpYNeKFtG8_yji4HS352LGlSQ/edit?pli=1#gid=0"",""1_ACUM!A4:S""),13,FALSE))"),"")</f>
        <v/>
      </c>
      <c r="AD941" s="43" t="str">
        <f ca="1">IFERROR(__xludf.DUMMYFUNCTION("IFERROR(VLOOKUP(E964&amp;F964,IMPORTRANGE(""https://docs.google.com/spreadsheets/d/1Uw7-A9f9R21vMXxHZFNpYNeKFtG8_yji4HS352LGlSQ/edit?pli=1#gid=0"",""1_ACUM!A4:S""),13,FALSE))"),"")</f>
        <v/>
      </c>
      <c r="AE941" s="43" t="str">
        <f ca="1">IFERROR(__xludf.DUMMYFUNCTION("IFERROR(VLOOKUP(E964&amp;F964,IMPORTRANGE(""https://docs.google.com/spreadsheets/d/1Uw7-A9f9R21vMXxHZFNpYNeKFtG8_yji4HS352LGlSQ/edit?pli=1#gid=0"",""1_ACUM!A4:S""),14,FALSE))"),"")</f>
        <v/>
      </c>
      <c r="AF941" s="43" t="str">
        <f ca="1">IFERROR(__xludf.DUMMYFUNCTION("IFERROR(VLOOKUP(E964&amp;F964,IMPORTRANGE(""https://docs.google.com/spreadsheets/d/1Uw7-A9f9R21vMXxHZFNpYNeKFtG8_yji4HS352LGlSQ/edit?pli=1#gid=0"",""1_ACUM!A4:S""),15,FALSE))"),"")</f>
        <v/>
      </c>
      <c r="AG941" s="43" t="str">
        <f ca="1">IFERROR(__xludf.DUMMYFUNCTION("IFERROR(VLOOKUP(E964&amp;F964,IMPORTRANGE(""https://docs.google.com/spreadsheets/d/1Uw7-A9f9R21vMXxHZFNpYNeKFtG8_yji4HS352LGlSQ/edit?pli=1#gid=0"",""1_ACUM!A4:S""),16,FALSE))"),"")</f>
        <v/>
      </c>
      <c r="AH941" s="43" t="str">
        <f ca="1">IFERROR(__xludf.DUMMYFUNCTION("IFERROR(VLOOKUP(E964&amp;F964,IMPORTRANGE(""https://docs.google.com/spreadsheets/d/1Uw7-A9f9R21vMXxHZFNpYNeKFtG8_yji4HS352LGlSQ/edit?pli=1#gid=0"",""1_ACUM!A4:S""),17,FALSE))"),"")</f>
        <v/>
      </c>
      <c r="AI941" s="44" t="str">
        <f ca="1">IFERROR(__xludf.DUMMYFUNCTION("IFERROR(VLOOKUP(E964&amp;F964,IMPORTRANGE(""https://docs.google.com/spreadsheets/d/1Uw7-A9f9R21vMXxHZFNpYNeKFtG8_yji4HS352LGlSQ/edit?pli=1#gid=0"",""1_ACUM!A4:S""),18,FALSE))"),"")</f>
        <v/>
      </c>
      <c r="AJ941" s="44" t="str">
        <f ca="1">IFERROR(__xludf.DUMMYFUNCTION("IFERROR(VLOOKUP(E964&amp;F964,IMPORTRANGE(""https://docs.google.com/spreadsheets/d/1Uw7-A9f9R21vMXxHZFNpYNeKFtG8_yji4HS352LGlSQ/edit?pli=1#gid=0"",""1_ACUM!A4:S""),19,FALSE))"),"")</f>
        <v/>
      </c>
      <c r="AK941" s="98" t="str">
        <f ca="1">IFERROR(__xludf.DUMMYFUNCTION("IFERROR(VLOOKUP(F964,IMPORTRANGE(""https://docs.google.com/spreadsheets/d/1Kvs4KS76FHFqLFIZfrDMff4kP08nblUkihrxltoGBjg/edit#gid=934712705"",""ESENCIAL!A6:BG""),5,FALSE))"),"")</f>
        <v/>
      </c>
      <c r="AL941" s="98" t="str">
        <f t="shared" si="54"/>
        <v/>
      </c>
      <c r="AM941" s="99" t="str">
        <f t="shared" si="55"/>
        <v/>
      </c>
      <c r="AN941" s="100" t="str">
        <f ca="1">IFERROR(__xludf.DUMMYFUNCTION("IFERROR(VLOOKUP(F964,IMPORTRANGE(""https://docs.google.com/spreadsheets/d/1Kvs4KS76FHFqLFIZfrDMff4kP08nblUkihrxltoGBjg/edit#gid=934712705"",""ESENCIAL!A6:BG""),2,FALSE))"),"")</f>
        <v/>
      </c>
      <c r="AO941" s="19" t="str">
        <f t="shared" si="46"/>
        <v/>
      </c>
      <c r="AP941" s="100"/>
      <c r="AQ941" s="100"/>
    </row>
  </sheetData>
  <customSheetViews>
    <customSheetView guid="{EAC82E0D-75FA-41B7-8B62-97FB6A6849EA}" filter="1" showAutoFilter="1">
      <pageMargins left="0" right="0" top="0" bottom="0" header="0" footer="0"/>
      <autoFilter ref="A2:AL964" xr:uid="{A20697C8-BFE8-BA4C-AA64-9208BB81F348}"/>
    </customSheetView>
    <customSheetView guid="{F538DE6E-16F6-4729-8AE2-7E15099C785E}" filter="1" showAutoFilter="1">
      <pageMargins left="0" right="0" top="0" bottom="0" header="0" footer="0"/>
      <autoFilter ref="A2:AL964" xr:uid="{C53CC117-C058-8644-A0E2-CB1E767ABB39}">
        <filterColumn colId="3">
          <filters>
            <filter val="CC"/>
            <filter val="TI"/>
          </filters>
        </filterColumn>
        <filterColumn colId="11">
          <filters blank="1">
            <filter val="NO HA INICIADO ETAPA PRODUCTIVA"/>
          </filters>
        </filterColumn>
      </autoFilter>
    </customSheetView>
    <customSheetView guid="{1595741D-5B83-4B67-A5B8-38E51C4A1B31}" filter="1" showAutoFilter="1">
      <pageMargins left="0" right="0" top="0" bottom="0" header="0" footer="0"/>
      <autoFilter ref="A2:AL964" xr:uid="{086851AA-E61A-DF42-8A98-B630D9B6B691}">
        <filterColumn colId="11">
          <filters blank="1">
            <filter val="NO HA INICIADO ETAPA PRODUCTIVA"/>
          </filters>
        </filterColumn>
      </autoFilter>
    </customSheetView>
    <customSheetView guid="{58B89FF3-C647-47FD-9CC2-FAEF34225D14}" filter="1" showAutoFilter="1">
      <pageMargins left="0" right="0" top="0" bottom="0" header="0" footer="0"/>
      <autoFilter ref="A2:AL964" xr:uid="{781B4A12-A0FC-5648-A8A6-49C4541E5F1F}">
        <filterColumn colId="3">
          <filters blank="1">
            <filter val="CC"/>
          </filters>
        </filterColumn>
        <filterColumn colId="11">
          <filters blank="1">
            <filter val="NO HA INICIADO ETAPA PRODUCTIVA"/>
          </filters>
        </filterColumn>
      </autoFilter>
    </customSheetView>
    <customSheetView guid="{84E55A85-4999-488C-B8FB-CF76BA148A0B}" filter="1" showAutoFilter="1">
      <pageMargins left="0" right="0" top="0" bottom="0" header="0" footer="0"/>
      <autoFilter ref="A2:AL964" xr:uid="{2B205E48-AB91-FE45-830F-8B74299855F5}">
        <filterColumn colId="11">
          <filters blank="1">
            <filter val="CONTRATO DE APRENDIZAJE"/>
            <filter val="NO HA INICIADO ETAPA PRODUCTIVA"/>
          </filters>
        </filterColumn>
      </autoFilter>
    </customSheetView>
  </customSheetViews>
  <mergeCells count="3">
    <mergeCell ref="C1:L1"/>
    <mergeCell ref="M1:Q1"/>
    <mergeCell ref="R1:T1"/>
  </mergeCells>
  <conditionalFormatting sqref="L16 L20 L22:L24 L26 L28 L49:L941">
    <cfRule type="notContainsBlanks" dxfId="174" priority="1">
      <formula>LEN(TRIM(L16))&gt;0</formula>
    </cfRule>
  </conditionalFormatting>
  <dataValidations count="2">
    <dataValidation type="list" allowBlank="1" showInputMessage="1" showErrorMessage="1" prompt="Haz clic e introduce un valor de la lista de elementos" sqref="L604:L941 L16 L20 L22:L24 L26 L28" xr:uid="{00000000-0002-0000-0300-000000000000}">
      <formula1>"UNIDAD PRODUCTIVA,CONTRATO DE APRENDIZAJE,NO HA INICIADO ETAPA PRODUCTIVA,NO TIENE LEGALIZACIÓN,NO VA A RELIZAR ETAPA PRODUCTIVA,PASANTÍAS,PENDIENTE,PROYECTO PRODUCTIVO,PRODUCTIVO,RENUNCIO A CONTRATO DE APRENDIZAJE,RETIRO DE SU ETAPA PRODUCTIVA,RETIRO VOL"&amp;"UNTARIO,SI REALIZO PRACTICAS,TERMINADO,TERMINO CONTRATO DE APRENDIZAJE,TRABAJADOR(A) INDEPENDIENTE,VINCULACIÓN LABORAL"</formula1>
    </dataValidation>
    <dataValidation type="list" allowBlank="1" showInputMessage="1" showErrorMessage="1" sqref="L3:L15 L17:L18 L21 L25 L27 L29:L603" xr:uid="{8918C41C-0AC7-42DD-8388-BA530FCEEE29}">
      <formula1>"CONTRATO DE APRENDIZAJE,NO HA INICIADO ETAPA PRODUCTIVA,PASANTÍAS,PROYECTO PRODUCTIVO,RENUNCIO A CONTRATO DE APRENDIZAJE,TERMINADO,TERMINADO EL CONTRATO,VINCULACIÓN LABORAL"</formula1>
    </dataValidation>
  </dataValidations>
  <hyperlinks>
    <hyperlink ref="J40" r:id="rId1" xr:uid="{AF278F1A-BC77-4FF3-9646-2DB39A4136C8}"/>
    <hyperlink ref="Q40" r:id="rId2" xr:uid="{5006CD55-2779-4324-B587-3AE08CEECF8D}"/>
    <hyperlink ref="J63" r:id="rId3" xr:uid="{0C256100-3B35-4931-8388-530E1AF0DD26}"/>
  </hyperlinks>
  <pageMargins left="0" right="0" top="0" bottom="0" header="0" footer="0"/>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L1103"/>
  <sheetViews>
    <sheetView workbookViewId="0">
      <selection activeCell="D205" sqref="D205"/>
    </sheetView>
  </sheetViews>
  <sheetFormatPr baseColWidth="10" defaultColWidth="12.5" defaultRowHeight="15.75" customHeight="1"/>
  <cols>
    <col min="1" max="1" width="23.5" customWidth="1"/>
    <col min="2" max="2" width="12.5" customWidth="1"/>
    <col min="3" max="3" width="39.5" customWidth="1"/>
    <col min="4" max="4" width="7.6640625" customWidth="1"/>
    <col min="5" max="5" width="17.5" customWidth="1"/>
    <col min="7" max="7" width="14.33203125" customWidth="1"/>
    <col min="8" max="8" width="38.33203125" customWidth="1"/>
    <col min="9" max="9" width="21.83203125" customWidth="1"/>
    <col min="10" max="10" width="26.83203125" customWidth="1"/>
    <col min="11" max="11" width="27.33203125" customWidth="1"/>
    <col min="12" max="12" width="22.33203125" customWidth="1"/>
    <col min="13" max="13" width="24.6640625" customWidth="1"/>
    <col min="14" max="14" width="19.6640625" customWidth="1"/>
    <col min="15" max="15" width="18.83203125" customWidth="1"/>
    <col min="16" max="16" width="18.33203125" customWidth="1"/>
    <col min="17" max="17" width="30.33203125" customWidth="1"/>
    <col min="18" max="18" width="26.83203125" customWidth="1"/>
    <col min="19" max="19" width="24.5" style="223" customWidth="1"/>
    <col min="20" max="20" width="51.83203125" customWidth="1"/>
    <col min="21" max="21" width="25.33203125" hidden="1" customWidth="1"/>
    <col min="22" max="24" width="0" hidden="1" customWidth="1"/>
    <col min="25" max="25" width="20.33203125" hidden="1" customWidth="1"/>
    <col min="26" max="44" width="0" hidden="1" customWidth="1"/>
    <col min="45" max="45" width="33.1640625" customWidth="1"/>
    <col min="46" max="46" width="26.33203125" customWidth="1"/>
    <col min="47" max="47" width="16.6640625" customWidth="1"/>
    <col min="48" max="48" width="30.83203125" customWidth="1"/>
    <col min="49" max="49" width="16.5" customWidth="1"/>
    <col min="50" max="50" width="23" customWidth="1"/>
    <col min="51" max="51" width="39.33203125" customWidth="1"/>
    <col min="52" max="52" width="41.1640625" customWidth="1"/>
    <col min="53" max="53" width="34.5" customWidth="1"/>
    <col min="54" max="54" width="36.33203125" customWidth="1"/>
    <col min="55" max="55" width="35.5" customWidth="1"/>
    <col min="56" max="56" width="25.6640625" customWidth="1"/>
    <col min="57" max="57" width="22.33203125" customWidth="1"/>
    <col min="58" max="58" width="21.5" customWidth="1"/>
    <col min="59" max="59" width="22" customWidth="1"/>
    <col min="60" max="60" width="40.5" customWidth="1"/>
    <col min="61" max="61" width="21.1640625" customWidth="1"/>
  </cols>
  <sheetData>
    <row r="1" spans="1:64" ht="15">
      <c r="A1" s="45" t="s">
        <v>1115</v>
      </c>
      <c r="B1" s="46"/>
      <c r="C1" s="633" t="s">
        <v>0</v>
      </c>
      <c r="D1" s="623"/>
      <c r="E1" s="623"/>
      <c r="F1" s="623"/>
      <c r="G1" s="623"/>
      <c r="H1" s="623"/>
      <c r="I1" s="623"/>
      <c r="J1" s="623"/>
      <c r="K1" s="623"/>
      <c r="L1" s="621"/>
      <c r="M1" s="628" t="s">
        <v>1</v>
      </c>
      <c r="N1" s="623"/>
      <c r="O1" s="623"/>
      <c r="P1" s="623"/>
      <c r="Q1" s="621"/>
      <c r="R1" s="634" t="s">
        <v>2</v>
      </c>
      <c r="S1" s="635"/>
      <c r="T1" s="621"/>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6" t="s">
        <v>540</v>
      </c>
      <c r="BH1" s="7">
        <f ca="1">TODAY()</f>
        <v>45028</v>
      </c>
      <c r="BI1" s="5"/>
      <c r="BJ1" s="5"/>
      <c r="BK1" s="5"/>
      <c r="BL1" s="5"/>
    </row>
    <row r="2" spans="1:64" ht="61">
      <c r="A2" s="297" t="s">
        <v>1116</v>
      </c>
      <c r="B2" s="47" t="s">
        <v>4</v>
      </c>
      <c r="C2" s="47" t="s">
        <v>182</v>
      </c>
      <c r="D2" s="47" t="s">
        <v>6</v>
      </c>
      <c r="E2" s="47" t="s">
        <v>7</v>
      </c>
      <c r="F2" s="47" t="s">
        <v>8</v>
      </c>
      <c r="G2" s="9" t="s">
        <v>9</v>
      </c>
      <c r="H2" s="9" t="s">
        <v>10</v>
      </c>
      <c r="I2" s="47" t="s">
        <v>11</v>
      </c>
      <c r="J2" s="47" t="s">
        <v>12</v>
      </c>
      <c r="K2" s="47" t="s">
        <v>13</v>
      </c>
      <c r="L2" s="47" t="s">
        <v>14</v>
      </c>
      <c r="M2" s="48" t="s">
        <v>15</v>
      </c>
      <c r="N2" s="48" t="s">
        <v>16</v>
      </c>
      <c r="O2" s="48" t="s">
        <v>17</v>
      </c>
      <c r="P2" s="48" t="s">
        <v>18</v>
      </c>
      <c r="Q2" s="48" t="s">
        <v>19</v>
      </c>
      <c r="R2" s="49" t="s">
        <v>20</v>
      </c>
      <c r="S2" s="279" t="s">
        <v>21</v>
      </c>
      <c r="T2" s="9" t="s">
        <v>22</v>
      </c>
      <c r="U2" s="9" t="s">
        <v>183</v>
      </c>
      <c r="V2" s="9" t="s">
        <v>24</v>
      </c>
      <c r="W2" s="9" t="s">
        <v>184</v>
      </c>
      <c r="X2" s="9" t="s">
        <v>185</v>
      </c>
      <c r="Y2" s="9" t="s">
        <v>186</v>
      </c>
      <c r="Z2" s="9" t="s">
        <v>187</v>
      </c>
      <c r="AA2" s="9" t="s">
        <v>188</v>
      </c>
      <c r="AB2" s="9" t="s">
        <v>189</v>
      </c>
      <c r="AC2" s="9" t="s">
        <v>190</v>
      </c>
      <c r="AD2" s="9" t="s">
        <v>191</v>
      </c>
      <c r="AE2" s="9" t="s">
        <v>192</v>
      </c>
      <c r="AF2" s="10" t="s">
        <v>193</v>
      </c>
      <c r="AG2" s="9" t="s">
        <v>194</v>
      </c>
      <c r="AH2" s="10" t="s">
        <v>195</v>
      </c>
      <c r="AI2" s="9" t="s">
        <v>196</v>
      </c>
      <c r="AJ2" s="10" t="s">
        <v>197</v>
      </c>
      <c r="AK2" s="9" t="s">
        <v>198</v>
      </c>
      <c r="AL2" s="10" t="s">
        <v>199</v>
      </c>
      <c r="AM2" s="9" t="s">
        <v>200</v>
      </c>
      <c r="AN2" s="10" t="s">
        <v>201</v>
      </c>
      <c r="AO2" s="9" t="s">
        <v>202</v>
      </c>
      <c r="AP2" s="10" t="s">
        <v>203</v>
      </c>
      <c r="AQ2" s="253" t="s">
        <v>542</v>
      </c>
      <c r="AR2" s="254" t="s">
        <v>543</v>
      </c>
      <c r="AS2" s="253" t="s">
        <v>1117</v>
      </c>
      <c r="AT2" s="254" t="s">
        <v>1118</v>
      </c>
      <c r="AU2" s="12" t="s">
        <v>546</v>
      </c>
      <c r="AV2" s="12" t="s">
        <v>547</v>
      </c>
      <c r="AW2" s="12" t="s">
        <v>548</v>
      </c>
      <c r="AX2" s="12" t="s">
        <v>549</v>
      </c>
      <c r="AY2" s="12" t="s">
        <v>550</v>
      </c>
      <c r="AZ2" s="12" t="s">
        <v>551</v>
      </c>
      <c r="BA2" s="12" t="s">
        <v>552</v>
      </c>
      <c r="BB2" s="12" t="s">
        <v>553</v>
      </c>
      <c r="BC2" s="12" t="s">
        <v>554</v>
      </c>
      <c r="BD2" s="12" t="s">
        <v>204</v>
      </c>
      <c r="BE2" s="12" t="s">
        <v>205</v>
      </c>
      <c r="BF2" s="13" t="s">
        <v>206</v>
      </c>
      <c r="BG2" s="13" t="s">
        <v>207</v>
      </c>
      <c r="BH2" s="14" t="s">
        <v>208</v>
      </c>
      <c r="BI2" s="14" t="s">
        <v>209</v>
      </c>
      <c r="BJ2" s="15" t="s">
        <v>555</v>
      </c>
      <c r="BK2" s="294"/>
      <c r="BL2" s="14"/>
    </row>
    <row r="3" spans="1:64" ht="18" customHeight="1">
      <c r="A3" s="469" t="s">
        <v>1119</v>
      </c>
      <c r="B3" s="167" t="s">
        <v>25</v>
      </c>
      <c r="C3" s="168" t="s">
        <v>1120</v>
      </c>
      <c r="D3" s="200" t="s">
        <v>27</v>
      </c>
      <c r="E3" s="168">
        <v>1004266346</v>
      </c>
      <c r="F3" s="168">
        <v>1835249</v>
      </c>
      <c r="G3" s="166" t="str">
        <f ca="1">IFERROR(__xludf.DUMMYFUNCTION("IFERROR(VLOOKUP(F15,IMPORTRANGE(""https://docs.google.com/spreadsheets/d/1Kvs4KS76FHFqLFIZfrDMff4kP08nblUkihrxltoGBjg/edit#gid=934712705"",""ESENCIAL!A6:BG""),3,FALSE))"),"TÉCNICO")</f>
        <v>TÉCNICO</v>
      </c>
      <c r="H3" s="166" t="str">
        <f ca="1">IFERROR(__xludf.DUMMYFUNCTION("IFERROR(VLOOKUP(F15,IMPORTRANGE(""https://docs.google.com/spreadsheets/d/1Kvs4KS76FHFqLFIZfrDMff4kP08nblUkihrxltoGBjg/edit#gid=934712705"",""ESENCIAL!A6:BG""),8,FALSE))"),"PRODUCCIÓN DE CAFÉS ESPECIALES")</f>
        <v>PRODUCCIÓN DE CAFÉS ESPECIALES</v>
      </c>
      <c r="I3" s="168" t="s">
        <v>1121</v>
      </c>
      <c r="J3" s="168" t="s">
        <v>1122</v>
      </c>
      <c r="K3" s="168"/>
      <c r="L3" s="168" t="s">
        <v>37</v>
      </c>
      <c r="M3" s="168" t="s">
        <v>1123</v>
      </c>
      <c r="N3" s="168" t="s">
        <v>1124</v>
      </c>
      <c r="O3" s="168"/>
      <c r="P3" s="168" t="s">
        <v>106</v>
      </c>
      <c r="Q3" s="168"/>
      <c r="R3" s="193">
        <v>43878</v>
      </c>
      <c r="S3" s="280">
        <v>44060</v>
      </c>
      <c r="T3" s="168"/>
      <c r="U3" s="172"/>
      <c r="V3" s="172"/>
      <c r="W3" s="172"/>
      <c r="X3" s="172"/>
      <c r="Y3" s="172"/>
      <c r="Z3" s="172"/>
      <c r="AA3" s="172"/>
      <c r="AB3" s="172"/>
      <c r="AC3" s="172"/>
      <c r="AD3" s="172"/>
      <c r="AE3" s="172"/>
      <c r="AF3" s="172"/>
      <c r="AG3" s="172"/>
      <c r="AH3" s="172"/>
      <c r="AI3" s="172"/>
      <c r="AJ3" s="172"/>
      <c r="AK3" s="172"/>
      <c r="AL3" s="172"/>
      <c r="AM3" s="172"/>
      <c r="AN3" s="172"/>
      <c r="AO3" s="172"/>
      <c r="AP3" s="172"/>
      <c r="AQ3" s="172"/>
      <c r="AR3" s="172"/>
      <c r="AS3" s="172"/>
      <c r="AT3" s="172"/>
      <c r="AU3" s="173" t="str">
        <f t="shared" ref="AU3:AU37" ca="1" si="0">IF(E3&gt;0,IF(AND(BC3=1,AZ3=1),"Procede_E_P","NO_CUMPLE"),"")</f>
        <v>Procede_E_P</v>
      </c>
      <c r="AV3" s="166" t="str">
        <f ca="1">IFERROR(__xludf.DUMMYFUNCTION("IFERROR(VLOOKUP(E15&amp;F15,IMPORTRANGE(""https://docs.google.com/spreadsheets/d/1Uw7-A9f9R21vMXxHZFNpYNeKFtG8_yji4HS352LGlSQ/edit?pli=1#gid=0"",""1_ACUM!A4:S""),11,FALSE))"),"EN FORMACION")</f>
        <v>EN FORMACION</v>
      </c>
      <c r="AW3" s="174" t="str">
        <f ca="1">IFERROR(__xludf.DUMMYFUNCTION("IFERROR(VLOOKUP(F15,IMPORTRANGE(""https://docs.google.com/spreadsheets/d/1Kvs4KS76FHFqLFIZfrDMff4kP08nblUkihrxltoGBjg/edit#gid=934712705"",""ESENCIAL!A6:BG""),15,FALSE))"),"AGROPECUARIO")</f>
        <v>AGROPECUARIO</v>
      </c>
      <c r="AX3" s="175">
        <f ca="1">IFERROR(__xludf.DUMMYFUNCTION("IFERROR(VLOOKUP(E15&amp;F15,IMPORTRANGE(""https://docs.google.com/spreadsheets/d/1Uw7-A9f9R21vMXxHZFNpYNeKFtG8_yji4HS352LGlSQ/edit?pli=1#gid=0"",""1_ACUM!A4:S""),12,FALSE))"),44848)</f>
        <v>44848</v>
      </c>
      <c r="AY3" s="176">
        <f ca="1">IFERROR(__xludf.DUMMYFUNCTION("IFERROR(VLOOKUP(E15&amp;F15,IMPORTRANGE(""https://docs.google.com/spreadsheets/d/1Uw7-A9f9R21vMXxHZFNpYNeKFtG8_yji4HS352LGlSQ/edit?pli=1#gid=0"",""1_ACUM!A4:S""),13,FALSE))"),0)</f>
        <v>0</v>
      </c>
      <c r="AZ3" s="176">
        <f ca="1">IFERROR(__xludf.DUMMYFUNCTION("IFERROR(VLOOKUP(E15&amp;F15,IMPORTRANGE(""https://docs.google.com/spreadsheets/d/1Uw7-A9f9R21vMXxHZFNpYNeKFtG8_yji4HS352LGlSQ/edit?pli=1#gid=0"",""1_ACUM!A4:S""),14,FALSE))"),1)</f>
        <v>1</v>
      </c>
      <c r="BA3" s="176">
        <f ca="1">IFERROR(__xludf.DUMMYFUNCTION("IFERROR(VLOOKUP(E15&amp;F15,IMPORTRANGE(""https://docs.google.com/spreadsheets/d/1Uw7-A9f9R21vMXxHZFNpYNeKFtG8_yji4HS352LGlSQ/edit?pli=1#gid=0"",""1_ACUM!A4:S""),15,FALSE))"),0)</f>
        <v>0</v>
      </c>
      <c r="BB3" s="176">
        <f ca="1">IFERROR(__xludf.DUMMYFUNCTION("IFERROR(VLOOKUP(E15&amp;F15,IMPORTRANGE(""https://docs.google.com/spreadsheets/d/1Uw7-A9f9R21vMXxHZFNpYNeKFtG8_yji4HS352LGlSQ/edit?pli=1#gid=0"",""1_ACUM!A4:S""),16,FALSE))"),0)</f>
        <v>0</v>
      </c>
      <c r="BC3" s="176">
        <f ca="1">IFERROR(__xludf.DUMMYFUNCTION("IFERROR(VLOOKUP(E15&amp;F15,IMPORTRANGE(""https://docs.google.com/spreadsheets/d/1Uw7-A9f9R21vMXxHZFNpYNeKFtG8_yji4HS352LGlSQ/edit?pli=1#gid=0"",""1_ACUM!A4:S""),17,FALSE))"),1)</f>
        <v>1</v>
      </c>
      <c r="BD3" s="177">
        <f ca="1">IFERROR(__xludf.DUMMYFUNCTION("IFERROR(VLOOKUP(E15&amp;F15,IMPORTRANGE(""https://docs.google.com/spreadsheets/d/1Uw7-A9f9R21vMXxHZFNpYNeKFtG8_yji4HS352LGlSQ/edit?pli=1#gid=0"",""1_ACUM!A4:S""),18,FALSE))"),43577)</f>
        <v>43577</v>
      </c>
      <c r="BE3" s="177">
        <f ca="1">IFERROR(__xludf.DUMMYFUNCTION("IFERROR(VLOOKUP(E15&amp;F15,IMPORTRANGE(""https://docs.google.com/spreadsheets/d/1Uw7-A9f9R21vMXxHZFNpYNeKFtG8_yji4HS352LGlSQ/edit?pli=1#gid=0"",""1_ACUM!A4:S""),19,FALSE))"),43760)</f>
        <v>43760</v>
      </c>
      <c r="BF3" s="177">
        <f ca="1">IFERROR(__xludf.DUMMYFUNCTION("IFERROR(VLOOKUP(F15,IMPORTRANGE(""https://docs.google.com/spreadsheets/d/1Kvs4KS76FHFqLFIZfrDMff4kP08nblUkihrxltoGBjg/edit#gid=934712705"",""ESENCIAL!A6:BG""),5,FALSE))"),43943)</f>
        <v>43943</v>
      </c>
      <c r="BG3" s="177">
        <f t="shared" ref="BG3:BG37" ca="1" si="1">IF(F3&gt;0,EDATE(BF3,18),"")</f>
        <v>44491</v>
      </c>
      <c r="BH3" s="173" t="str">
        <f t="shared" ref="BH3:BH37" ca="1" si="2">IF(F3&gt;0,IF(BG3&lt;$BH$1,"FINALIZAR FICHA","FICHA EN TIEMPO-18 MESES"),"")</f>
        <v>FINALIZAR FICHA</v>
      </c>
      <c r="BI3" s="173" t="str">
        <f ca="1">IFERROR(__xludf.DUMMYFUNCTION("IFERROR(VLOOKUP(F15,IMPORTRANGE(""https://docs.google.com/spreadsheets/d/1Kvs4KS76FHFqLFIZfrDMff4kP08nblUkihrxltoGBjg/edit#gid=934712705"",""ESENCIAL!A6:BG""),18,FALSE))"),"Terminada por Fecha     ")</f>
        <v xml:space="preserve">Terminada por Fecha     </v>
      </c>
      <c r="BJ3" s="173" t="str">
        <f t="shared" ref="BJ3:BJ37" si="3">IF(F3&gt;0,"Yamboro","")</f>
        <v>Yamboro</v>
      </c>
      <c r="BK3" s="291"/>
      <c r="BL3" s="19"/>
    </row>
    <row r="4" spans="1:64" ht="18" customHeight="1">
      <c r="A4" s="467" t="s">
        <v>1125</v>
      </c>
      <c r="B4" s="167" t="s">
        <v>25</v>
      </c>
      <c r="C4" s="195" t="s">
        <v>1126</v>
      </c>
      <c r="D4" s="195" t="s">
        <v>27</v>
      </c>
      <c r="E4" s="195">
        <v>1007417741</v>
      </c>
      <c r="F4" s="188">
        <v>2327533</v>
      </c>
      <c r="G4" s="166" t="str">
        <f ca="1">IFERROR(__xludf.DUMMYFUNCTION("IFERROR(VLOOKUP(F39,IMPORTRANGE(""https://docs.google.com/spreadsheets/d/1Kvs4KS76FHFqLFIZfrDMff4kP08nblUkihrxltoGBjg/edit#gid=934712705"",""ESENCIAL!A6:BG""),3,FALSE))"),"TÉCNICO")</f>
        <v>TÉCNICO</v>
      </c>
      <c r="H4" s="166" t="str">
        <f ca="1">IFERROR(__xludf.DUMMYFUNCTION("IFERROR(VLOOKUP(F39,IMPORTRANGE(""https://docs.google.com/spreadsheets/d/1Kvs4KS76FHFqLFIZfrDMff4kP08nblUkihrxltoGBjg/edit#gid=934712705"",""ESENCIAL!A6:BG""),8,FALSE))"),"SERVICIOS DE BARISMO")</f>
        <v>SERVICIOS DE BARISMO</v>
      </c>
      <c r="I4" s="172">
        <v>3226592252</v>
      </c>
      <c r="J4" s="201" t="s">
        <v>1127</v>
      </c>
      <c r="K4" s="185" t="s">
        <v>421</v>
      </c>
      <c r="L4" s="192" t="s">
        <v>28</v>
      </c>
      <c r="M4" s="185" t="s">
        <v>1128</v>
      </c>
      <c r="N4" s="185" t="s">
        <v>1129</v>
      </c>
      <c r="O4" s="172">
        <v>3002105865</v>
      </c>
      <c r="P4" s="168" t="s">
        <v>577</v>
      </c>
      <c r="Q4" s="201" t="s">
        <v>230</v>
      </c>
      <c r="R4" s="186">
        <v>44685</v>
      </c>
      <c r="S4" s="222">
        <v>44868</v>
      </c>
      <c r="T4" s="185"/>
      <c r="U4" s="172" t="s">
        <v>819</v>
      </c>
      <c r="V4" s="185"/>
      <c r="W4" s="185"/>
      <c r="X4" s="185"/>
      <c r="Y4" s="194"/>
      <c r="Z4" s="185"/>
      <c r="AA4" s="185"/>
      <c r="AB4" s="185"/>
      <c r="AC4" s="185"/>
      <c r="AD4" s="185"/>
      <c r="AE4" s="185"/>
      <c r="AF4" s="185"/>
      <c r="AG4" s="185"/>
      <c r="AH4" s="185"/>
      <c r="AI4" s="185"/>
      <c r="AJ4" s="185"/>
      <c r="AK4" s="185"/>
      <c r="AL4" s="185"/>
      <c r="AM4" s="185"/>
      <c r="AN4" s="185"/>
      <c r="AO4" s="185"/>
      <c r="AP4" s="185"/>
      <c r="AQ4" s="185"/>
      <c r="AR4" s="185"/>
      <c r="AS4" s="185"/>
      <c r="AT4" s="185"/>
      <c r="AU4" s="173" t="str">
        <f t="shared" ca="1" si="0"/>
        <v>Procede_E_P</v>
      </c>
      <c r="AV4" s="166" t="str">
        <f ca="1">IFERROR(__xludf.DUMMYFUNCTION("IFERROR(VLOOKUP(E39&amp;F39,IMPORTRANGE(""https://docs.google.com/spreadsheets/d/1Uw7-A9f9R21vMXxHZFNpYNeKFtG8_yji4HS352LGlSQ/edit?pli=1#gid=0"",""1_ACUM!A4:S""),11,FALSE))"),"EN FORMACION")</f>
        <v>EN FORMACION</v>
      </c>
      <c r="AW4" s="174" t="str">
        <f ca="1">IFERROR(__xludf.DUMMYFUNCTION("IFERROR(VLOOKUP(F39,IMPORTRANGE(""https://docs.google.com/spreadsheets/d/1Kvs4KS76FHFqLFIZfrDMff4kP08nblUkihrxltoGBjg/edit#gid=934712705"",""ESENCIAL!A6:BG""),15,FALSE))"),"TURISMO")</f>
        <v>TURISMO</v>
      </c>
      <c r="AX4" s="175">
        <f ca="1">IFERROR(__xludf.DUMMYFUNCTION("IFERROR(VLOOKUP(E39&amp;F39,IMPORTRANGE(""https://docs.google.com/spreadsheets/d/1Uw7-A9f9R21vMXxHZFNpYNeKFtG8_yji4HS352LGlSQ/edit?pli=1#gid=0"",""1_ACUM!A4:S""),12,FALSE))"),44839)</f>
        <v>44839</v>
      </c>
      <c r="AY4" s="176">
        <f ca="1">IFERROR(__xludf.DUMMYFUNCTION("IFERROR(VLOOKUP(E39&amp;F39,IMPORTRANGE(""https://docs.google.com/spreadsheets/d/1Uw7-A9f9R21vMXxHZFNpYNeKFtG8_yji4HS352LGlSQ/edit?pli=1#gid=0"",""1_ACUM!A4:S""),13,FALSE))"),0)</f>
        <v>0</v>
      </c>
      <c r="AZ4" s="176">
        <f ca="1">IFERROR(__xludf.DUMMYFUNCTION("IFERROR(VLOOKUP(E39&amp;F39,IMPORTRANGE(""https://docs.google.com/spreadsheets/d/1Uw7-A9f9R21vMXxHZFNpYNeKFtG8_yji4HS352LGlSQ/edit?pli=1#gid=0"",""1_ACUM!A4:S""),14,FALSE))"),1)</f>
        <v>1</v>
      </c>
      <c r="BA4" s="176">
        <f ca="1">IFERROR(__xludf.DUMMYFUNCTION("IFERROR(VLOOKUP(E39&amp;F39,IMPORTRANGE(""https://docs.google.com/spreadsheets/d/1Uw7-A9f9R21vMXxHZFNpYNeKFtG8_yji4HS352LGlSQ/edit?pli=1#gid=0"",""1_ACUM!A4:S""),15,FALSE))"),0)</f>
        <v>0</v>
      </c>
      <c r="BB4" s="176">
        <f ca="1">IFERROR(__xludf.DUMMYFUNCTION("IFERROR(VLOOKUP(E39&amp;F39,IMPORTRANGE(""https://docs.google.com/spreadsheets/d/1Uw7-A9f9R21vMXxHZFNpYNeKFtG8_yji4HS352LGlSQ/edit?pli=1#gid=0"",""1_ACUM!A4:S""),16,FALSE))"),0)</f>
        <v>0</v>
      </c>
      <c r="BC4" s="176">
        <f ca="1">IFERROR(__xludf.DUMMYFUNCTION("IFERROR(VLOOKUP(E39&amp;F39,IMPORTRANGE(""https://docs.google.com/spreadsheets/d/1Uw7-A9f9R21vMXxHZFNpYNeKFtG8_yji4HS352LGlSQ/edit?pli=1#gid=0"",""1_ACUM!A4:S""),17,FALSE))"),1)</f>
        <v>1</v>
      </c>
      <c r="BD4" s="177">
        <f ca="1">IFERROR(__xludf.DUMMYFUNCTION("IFERROR(VLOOKUP(E39&amp;F39,IMPORTRANGE(""https://docs.google.com/spreadsheets/d/1Uw7-A9f9R21vMXxHZFNpYNeKFtG8_yji4HS352LGlSQ/edit?pli=1#gid=0"",""1_ACUM!A4:S""),18,FALSE))"),44328)</f>
        <v>44328</v>
      </c>
      <c r="BE4" s="177">
        <f ca="1">IFERROR(__xludf.DUMMYFUNCTION("IFERROR(VLOOKUP(E39&amp;F39,IMPORTRANGE(""https://docs.google.com/spreadsheets/d/1Uw7-A9f9R21vMXxHZFNpYNeKFtG8_yji4HS352LGlSQ/edit?pli=1#gid=0"",""1_ACUM!A4:S""),19,FALSE))"),44604)</f>
        <v>44604</v>
      </c>
      <c r="BF4" s="177">
        <f ca="1">IFERROR(__xludf.DUMMYFUNCTION("IFERROR(VLOOKUP(F39,IMPORTRANGE(""https://docs.google.com/spreadsheets/d/1Kvs4KS76FHFqLFIZfrDMff4kP08nblUkihrxltoGBjg/edit#gid=934712705"",""ESENCIAL!A6:BG""),5,FALSE))"),44785)</f>
        <v>44785</v>
      </c>
      <c r="BG4" s="177">
        <f t="shared" ca="1" si="1"/>
        <v>45334</v>
      </c>
      <c r="BH4" s="173" t="str">
        <f t="shared" ca="1" si="2"/>
        <v>FICHA EN TIEMPO-18 MESES</v>
      </c>
      <c r="BI4" s="173" t="str">
        <f ca="1">IFERROR(__xludf.DUMMYFUNCTION("IFERROR(VLOOKUP(F39,IMPORTRANGE(""https://docs.google.com/spreadsheets/d/1Kvs4KS76FHFqLFIZfrDMff4kP08nblUkihrxltoGBjg/edit#gid=934712705"",""ESENCIAL!A6:BG""),18,FALSE))"),"Terminada por fecha")</f>
        <v>Terminada por fecha</v>
      </c>
      <c r="BJ4" s="173" t="str">
        <f t="shared" si="3"/>
        <v>Yamboro</v>
      </c>
      <c r="BK4" s="291"/>
      <c r="BL4" s="19"/>
    </row>
    <row r="5" spans="1:64" ht="18" customHeight="1">
      <c r="A5" s="469" t="s">
        <v>1125</v>
      </c>
      <c r="B5" s="167" t="s">
        <v>25</v>
      </c>
      <c r="C5" s="195" t="s">
        <v>1130</v>
      </c>
      <c r="D5" s="195" t="s">
        <v>27</v>
      </c>
      <c r="E5" s="195">
        <v>1007600324</v>
      </c>
      <c r="F5" s="188">
        <v>2327533</v>
      </c>
      <c r="G5" s="166" t="str">
        <f ca="1">IFERROR(__xludf.DUMMYFUNCTION("IFERROR(VLOOKUP(F40,IMPORTRANGE(""https://docs.google.com/spreadsheets/d/1Kvs4KS76FHFqLFIZfrDMff4kP08nblUkihrxltoGBjg/edit#gid=934712705"",""ESENCIAL!A6:BG""),3,FALSE))"),"TÉCNICO")</f>
        <v>TÉCNICO</v>
      </c>
      <c r="H5" s="166" t="str">
        <f ca="1">IFERROR(__xludf.DUMMYFUNCTION("IFERROR(VLOOKUP(F40,IMPORTRANGE(""https://docs.google.com/spreadsheets/d/1Kvs4KS76FHFqLFIZfrDMff4kP08nblUkihrxltoGBjg/edit#gid=934712705"",""ESENCIAL!A6:BG""),8,FALSE))"),"SERVICIOS DE BARISMO")</f>
        <v>SERVICIOS DE BARISMO</v>
      </c>
      <c r="I5" s="185"/>
      <c r="J5" s="172"/>
      <c r="K5" s="185" t="s">
        <v>421</v>
      </c>
      <c r="L5" s="168" t="s">
        <v>37</v>
      </c>
      <c r="M5" s="185" t="s">
        <v>1131</v>
      </c>
      <c r="N5" s="185" t="s">
        <v>1132</v>
      </c>
      <c r="O5" s="172">
        <v>3203748668</v>
      </c>
      <c r="P5" s="185" t="s">
        <v>421</v>
      </c>
      <c r="Q5" s="172" t="s">
        <v>1133</v>
      </c>
      <c r="R5" s="186">
        <v>44805</v>
      </c>
      <c r="S5" s="222">
        <v>44988</v>
      </c>
      <c r="T5" s="185"/>
      <c r="U5" s="30" t="s">
        <v>1134</v>
      </c>
      <c r="V5" s="207" t="s">
        <v>587</v>
      </c>
      <c r="W5" s="30"/>
      <c r="X5" s="30"/>
      <c r="Y5" s="30"/>
      <c r="Z5" s="30"/>
      <c r="AA5" s="30"/>
      <c r="AB5" s="30"/>
      <c r="AC5" s="30"/>
      <c r="AD5" s="30"/>
      <c r="AE5" s="30"/>
      <c r="AF5" s="30"/>
      <c r="AG5" s="30"/>
      <c r="AH5" s="30"/>
      <c r="AI5" s="30"/>
      <c r="AJ5" s="30"/>
      <c r="AK5" s="30"/>
      <c r="AL5" s="30"/>
      <c r="AM5" s="30"/>
      <c r="AN5" s="30"/>
      <c r="AO5" s="30"/>
      <c r="AP5" s="30"/>
      <c r="AQ5" s="30"/>
      <c r="AR5" s="30"/>
      <c r="AS5" s="185"/>
      <c r="AT5" s="185"/>
      <c r="AU5" s="173" t="str">
        <f t="shared" ca="1" si="0"/>
        <v>NO_CUMPLE</v>
      </c>
      <c r="AV5" s="166" t="str">
        <f ca="1">IFERROR(__xludf.DUMMYFUNCTION("IFERROR(VLOOKUP(E40&amp;F40,IMPORTRANGE(""https://docs.google.com/spreadsheets/d/1Uw7-A9f9R21vMXxHZFNpYNeKFtG8_yji4HS352LGlSQ/edit?pli=1#gid=0"",""1_ACUM!A4:S""),11,FALSE))"),"EN FORMACION")</f>
        <v>EN FORMACION</v>
      </c>
      <c r="AW5" s="174" t="str">
        <f ca="1">IFERROR(__xludf.DUMMYFUNCTION("IFERROR(VLOOKUP(F40,IMPORTRANGE(""https://docs.google.com/spreadsheets/d/1Kvs4KS76FHFqLFIZfrDMff4kP08nblUkihrxltoGBjg/edit#gid=934712705"",""ESENCIAL!A6:BG""),15,FALSE))"),"TURISMO")</f>
        <v>TURISMO</v>
      </c>
      <c r="AX5" s="175">
        <f ca="1">IFERROR(__xludf.DUMMYFUNCTION("IFERROR(VLOOKUP(E40&amp;F40,IMPORTRANGE(""https://docs.google.com/spreadsheets/d/1Uw7-A9f9R21vMXxHZFNpYNeKFtG8_yji4HS352LGlSQ/edit?pli=1#gid=0"",""1_ACUM!A4:S""),12,FALSE))"),44839)</f>
        <v>44839</v>
      </c>
      <c r="AY5" s="176">
        <f ca="1">IFERROR(__xludf.DUMMYFUNCTION("IFERROR(VLOOKUP(E40&amp;F40,IMPORTRANGE(""https://docs.google.com/spreadsheets/d/1Uw7-A9f9R21vMXxHZFNpYNeKFtG8_yji4HS352LGlSQ/edit?pli=1#gid=0"",""1_ACUM!A4:S""),13,FALSE))"),0)</f>
        <v>0</v>
      </c>
      <c r="AZ5" s="176">
        <f ca="1">IFERROR(__xludf.DUMMYFUNCTION("IFERROR(VLOOKUP(E40&amp;F40,IMPORTRANGE(""https://docs.google.com/spreadsheets/d/1Uw7-A9f9R21vMXxHZFNpYNeKFtG8_yji4HS352LGlSQ/edit?pli=1#gid=0"",""1_ACUM!A4:S""),14,FALSE))"),1)</f>
        <v>1</v>
      </c>
      <c r="BA5" s="176">
        <f ca="1">IFERROR(__xludf.DUMMYFUNCTION("IFERROR(VLOOKUP(E40&amp;F40,IMPORTRANGE(""https://docs.google.com/spreadsheets/d/1Uw7-A9f9R21vMXxHZFNpYNeKFtG8_yji4HS352LGlSQ/edit?pli=1#gid=0"",""1_ACUM!A4:S""),15,FALSE))"),1)</f>
        <v>1</v>
      </c>
      <c r="BB5" s="176">
        <f ca="1">IFERROR(__xludf.DUMMYFUNCTION("IFERROR(VLOOKUP(E40&amp;F40,IMPORTRANGE(""https://docs.google.com/spreadsheets/d/1Uw7-A9f9R21vMXxHZFNpYNeKFtG8_yji4HS352LGlSQ/edit?pli=1#gid=0"",""1_ACUM!A4:S""),16,FALSE))"),0)</f>
        <v>0</v>
      </c>
      <c r="BC5" s="176">
        <f ca="1">IFERROR(__xludf.DUMMYFUNCTION("IFERROR(VLOOKUP(E40&amp;F40,IMPORTRANGE(""https://docs.google.com/spreadsheets/d/1Uw7-A9f9R21vMXxHZFNpYNeKFtG8_yji4HS352LGlSQ/edit?pli=1#gid=0"",""1_ACUM!A4:S""),17,FALSE))"),2)</f>
        <v>2</v>
      </c>
      <c r="BD5" s="177">
        <f ca="1">IFERROR(__xludf.DUMMYFUNCTION("IFERROR(VLOOKUP(E40&amp;F40,IMPORTRANGE(""https://docs.google.com/spreadsheets/d/1Uw7-A9f9R21vMXxHZFNpYNeKFtG8_yji4HS352LGlSQ/edit?pli=1#gid=0"",""1_ACUM!A4:S""),18,FALSE))"),44328)</f>
        <v>44328</v>
      </c>
      <c r="BE5" s="177">
        <f ca="1">IFERROR(__xludf.DUMMYFUNCTION("IFERROR(VLOOKUP(E40&amp;F40,IMPORTRANGE(""https://docs.google.com/spreadsheets/d/1Uw7-A9f9R21vMXxHZFNpYNeKFtG8_yji4HS352LGlSQ/edit?pli=1#gid=0"",""1_ACUM!A4:S""),19,FALSE))"),44604)</f>
        <v>44604</v>
      </c>
      <c r="BF5" s="177">
        <f ca="1">IFERROR(__xludf.DUMMYFUNCTION("IFERROR(VLOOKUP(F40,IMPORTRANGE(""https://docs.google.com/spreadsheets/d/1Kvs4KS76FHFqLFIZfrDMff4kP08nblUkihrxltoGBjg/edit#gid=934712705"",""ESENCIAL!A6:BG""),5,FALSE))"),44785)</f>
        <v>44785</v>
      </c>
      <c r="BG5" s="177">
        <f t="shared" ca="1" si="1"/>
        <v>45334</v>
      </c>
      <c r="BH5" s="173" t="str">
        <f t="shared" ca="1" si="2"/>
        <v>FICHA EN TIEMPO-18 MESES</v>
      </c>
      <c r="BI5" s="173" t="str">
        <f ca="1">IFERROR(__xludf.DUMMYFUNCTION("IFERROR(VLOOKUP(F40,IMPORTRANGE(""https://docs.google.com/spreadsheets/d/1Kvs4KS76FHFqLFIZfrDMff4kP08nblUkihrxltoGBjg/edit#gid=934712705"",""ESENCIAL!A6:BG""),18,FALSE))"),"Terminada por fecha")</f>
        <v>Terminada por fecha</v>
      </c>
      <c r="BJ5" s="173" t="str">
        <f t="shared" si="3"/>
        <v>Yamboro</v>
      </c>
      <c r="BK5" s="291"/>
      <c r="BL5" s="19"/>
    </row>
    <row r="6" spans="1:64" ht="18" customHeight="1">
      <c r="A6" s="467" t="s">
        <v>1125</v>
      </c>
      <c r="B6" s="167" t="s">
        <v>25</v>
      </c>
      <c r="C6" s="195" t="s">
        <v>1135</v>
      </c>
      <c r="D6" s="195" t="s">
        <v>27</v>
      </c>
      <c r="E6" s="195">
        <v>1016101010</v>
      </c>
      <c r="F6" s="188">
        <v>2327533</v>
      </c>
      <c r="G6" s="166" t="str">
        <f ca="1">IFERROR(__xludf.DUMMYFUNCTION("IFERROR(VLOOKUP(F43,IMPORTRANGE(""https://docs.google.com/spreadsheets/d/1Kvs4KS76FHFqLFIZfrDMff4kP08nblUkihrxltoGBjg/edit#gid=934712705"",""ESENCIAL!A6:BG""),3,FALSE))"),"TÉCNICO")</f>
        <v>TÉCNICO</v>
      </c>
      <c r="H6" s="166" t="str">
        <f ca="1">IFERROR(__xludf.DUMMYFUNCTION("IFERROR(VLOOKUP(F43,IMPORTRANGE(""https://docs.google.com/spreadsheets/d/1Kvs4KS76FHFqLFIZfrDMff4kP08nblUkihrxltoGBjg/edit#gid=934712705"",""ESENCIAL!A6:BG""),8,FALSE))"),"SERVICIOS DE BARISMO")</f>
        <v>SERVICIOS DE BARISMO</v>
      </c>
      <c r="I6" s="172">
        <v>3166240038</v>
      </c>
      <c r="J6" s="201" t="s">
        <v>1136</v>
      </c>
      <c r="K6" s="185" t="s">
        <v>421</v>
      </c>
      <c r="L6" s="185" t="s">
        <v>37</v>
      </c>
      <c r="M6" s="185" t="s">
        <v>1128</v>
      </c>
      <c r="N6" s="185" t="s">
        <v>1129</v>
      </c>
      <c r="O6" s="172">
        <v>3002105865</v>
      </c>
      <c r="P6" s="168" t="s">
        <v>577</v>
      </c>
      <c r="Q6" s="201" t="s">
        <v>230</v>
      </c>
      <c r="R6" s="186">
        <v>44620</v>
      </c>
      <c r="S6" s="222">
        <v>44801</v>
      </c>
      <c r="T6" s="185" t="s">
        <v>1137</v>
      </c>
      <c r="U6" s="185"/>
      <c r="V6" s="185"/>
      <c r="W6" s="185"/>
      <c r="X6" s="185"/>
      <c r="Y6" s="172"/>
      <c r="Z6" s="185"/>
      <c r="AA6" s="185"/>
      <c r="AB6" s="185"/>
      <c r="AC6" s="185"/>
      <c r="AD6" s="185"/>
      <c r="AE6" s="185"/>
      <c r="AF6" s="185"/>
      <c r="AG6" s="185"/>
      <c r="AH6" s="185"/>
      <c r="AI6" s="185"/>
      <c r="AJ6" s="185"/>
      <c r="AK6" s="185"/>
      <c r="AL6" s="185"/>
      <c r="AM6" s="185"/>
      <c r="AN6" s="185"/>
      <c r="AO6" s="185"/>
      <c r="AP6" s="185"/>
      <c r="AQ6" s="185"/>
      <c r="AR6" s="185"/>
      <c r="AS6" s="185"/>
      <c r="AT6" s="185"/>
      <c r="AU6" s="173" t="str">
        <f t="shared" ca="1" si="0"/>
        <v>NO_CUMPLE</v>
      </c>
      <c r="AV6" s="166" t="str">
        <f ca="1">IFERROR(__xludf.DUMMYFUNCTION("IFERROR(VLOOKUP(E43&amp;F43,IMPORTRANGE(""https://docs.google.com/spreadsheets/d/1Uw7-A9f9R21vMXxHZFNpYNeKFtG8_yji4HS352LGlSQ/edit?pli=1#gid=0"",""1_ACUM!A4:S""),11,FALSE))"),"EN FORMACION")</f>
        <v>EN FORMACION</v>
      </c>
      <c r="AW6" s="174" t="str">
        <f ca="1">IFERROR(__xludf.DUMMYFUNCTION("IFERROR(VLOOKUP(F43,IMPORTRANGE(""https://docs.google.com/spreadsheets/d/1Kvs4KS76FHFqLFIZfrDMff4kP08nblUkihrxltoGBjg/edit#gid=934712705"",""ESENCIAL!A6:BG""),15,FALSE))"),"TURISMO")</f>
        <v>TURISMO</v>
      </c>
      <c r="AX6" s="175">
        <f ca="1">IFERROR(__xludf.DUMMYFUNCTION("IFERROR(VLOOKUP(E43&amp;F43,IMPORTRANGE(""https://docs.google.com/spreadsheets/d/1Uw7-A9f9R21vMXxHZFNpYNeKFtG8_yji4HS352LGlSQ/edit?pli=1#gid=0"",""1_ACUM!A4:S""),12,FALSE))"),44839)</f>
        <v>44839</v>
      </c>
      <c r="AY6" s="176">
        <f ca="1">IFERROR(__xludf.DUMMYFUNCTION("IFERROR(VLOOKUP(E43&amp;F43,IMPORTRANGE(""https://docs.google.com/spreadsheets/d/1Uw7-A9f9R21vMXxHZFNpYNeKFtG8_yji4HS352LGlSQ/edit?pli=1#gid=0"",""1_ACUM!A4:S""),13,FALSE))"),0)</f>
        <v>0</v>
      </c>
      <c r="AZ6" s="176">
        <f ca="1">IFERROR(__xludf.DUMMYFUNCTION("IFERROR(VLOOKUP(E43&amp;F43,IMPORTRANGE(""https://docs.google.com/spreadsheets/d/1Uw7-A9f9R21vMXxHZFNpYNeKFtG8_yji4HS352LGlSQ/edit?pli=1#gid=0"",""1_ACUM!A4:S""),14,FALSE))"),1)</f>
        <v>1</v>
      </c>
      <c r="BA6" s="176">
        <f ca="1">IFERROR(__xludf.DUMMYFUNCTION("IFERROR(VLOOKUP(E43&amp;F43,IMPORTRANGE(""https://docs.google.com/spreadsheets/d/1Uw7-A9f9R21vMXxHZFNpYNeKFtG8_yji4HS352LGlSQ/edit?pli=1#gid=0"",""1_ACUM!A4:S""),15,FALSE))"),1)</f>
        <v>1</v>
      </c>
      <c r="BB6" s="176">
        <f ca="1">IFERROR(__xludf.DUMMYFUNCTION("IFERROR(VLOOKUP(E43&amp;F43,IMPORTRANGE(""https://docs.google.com/spreadsheets/d/1Uw7-A9f9R21vMXxHZFNpYNeKFtG8_yji4HS352LGlSQ/edit?pli=1#gid=0"",""1_ACUM!A4:S""),16,FALSE))"),0)</f>
        <v>0</v>
      </c>
      <c r="BC6" s="176">
        <f ca="1">IFERROR(__xludf.DUMMYFUNCTION("IFERROR(VLOOKUP(E43&amp;F43,IMPORTRANGE(""https://docs.google.com/spreadsheets/d/1Uw7-A9f9R21vMXxHZFNpYNeKFtG8_yji4HS352LGlSQ/edit?pli=1#gid=0"",""1_ACUM!A4:S""),17,FALSE))"),2)</f>
        <v>2</v>
      </c>
      <c r="BD6" s="177">
        <f ca="1">IFERROR(__xludf.DUMMYFUNCTION("IFERROR(VLOOKUP(E43&amp;F43,IMPORTRANGE(""https://docs.google.com/spreadsheets/d/1Uw7-A9f9R21vMXxHZFNpYNeKFtG8_yji4HS352LGlSQ/edit?pli=1#gid=0"",""1_ACUM!A4:S""),18,FALSE))"),44328)</f>
        <v>44328</v>
      </c>
      <c r="BE6" s="177">
        <f ca="1">IFERROR(__xludf.DUMMYFUNCTION("IFERROR(VLOOKUP(E43&amp;F43,IMPORTRANGE(""https://docs.google.com/spreadsheets/d/1Uw7-A9f9R21vMXxHZFNpYNeKFtG8_yji4HS352LGlSQ/edit?pli=1#gid=0"",""1_ACUM!A4:S""),19,FALSE))"),44604)</f>
        <v>44604</v>
      </c>
      <c r="BF6" s="177">
        <f ca="1">IFERROR(__xludf.DUMMYFUNCTION("IFERROR(VLOOKUP(F43,IMPORTRANGE(""https://docs.google.com/spreadsheets/d/1Kvs4KS76FHFqLFIZfrDMff4kP08nblUkihrxltoGBjg/edit#gid=934712705"",""ESENCIAL!A6:BG""),5,FALSE))"),44785)</f>
        <v>44785</v>
      </c>
      <c r="BG6" s="177">
        <f t="shared" ca="1" si="1"/>
        <v>45334</v>
      </c>
      <c r="BH6" s="173" t="str">
        <f t="shared" ca="1" si="2"/>
        <v>FICHA EN TIEMPO-18 MESES</v>
      </c>
      <c r="BI6" s="173" t="str">
        <f ca="1">IFERROR(__xludf.DUMMYFUNCTION("IFERROR(VLOOKUP(F43,IMPORTRANGE(""https://docs.google.com/spreadsheets/d/1Kvs4KS76FHFqLFIZfrDMff4kP08nblUkihrxltoGBjg/edit#gid=934712705"",""ESENCIAL!A6:BG""),18,FALSE))"),"Terminada por fecha")</f>
        <v>Terminada por fecha</v>
      </c>
      <c r="BJ6" s="173" t="str">
        <f t="shared" si="3"/>
        <v>Yamboro</v>
      </c>
      <c r="BK6" s="291"/>
      <c r="BL6" s="19"/>
    </row>
    <row r="7" spans="1:64" ht="18" customHeight="1">
      <c r="A7" s="469" t="s">
        <v>1138</v>
      </c>
      <c r="B7" s="167" t="s">
        <v>25</v>
      </c>
      <c r="C7" s="195" t="s">
        <v>1139</v>
      </c>
      <c r="D7" s="195" t="s">
        <v>27</v>
      </c>
      <c r="E7" s="195">
        <v>1083906779</v>
      </c>
      <c r="F7" s="188">
        <v>2327533</v>
      </c>
      <c r="G7" s="166" t="str">
        <f ca="1">IFERROR(__xludf.DUMMYFUNCTION("IFERROR(VLOOKUP(F49,IMPORTRANGE(""https://docs.google.com/spreadsheets/d/1Kvs4KS76FHFqLFIZfrDMff4kP08nblUkihrxltoGBjg/edit#gid=934712705"",""ESENCIAL!A6:BG""),3,FALSE))"),"TÉCNICO")</f>
        <v>TÉCNICO</v>
      </c>
      <c r="H7" s="166" t="str">
        <f ca="1">IFERROR(__xludf.DUMMYFUNCTION("IFERROR(VLOOKUP(F49,IMPORTRANGE(""https://docs.google.com/spreadsheets/d/1Kvs4KS76FHFqLFIZfrDMff4kP08nblUkihrxltoGBjg/edit#gid=934712705"",""ESENCIAL!A6:BG""),8,FALSE))"),"SERVICIOS DE BARISMO")</f>
        <v>SERVICIOS DE BARISMO</v>
      </c>
      <c r="I7" s="189">
        <v>3138389179</v>
      </c>
      <c r="J7" s="189" t="s">
        <v>1140</v>
      </c>
      <c r="K7" s="276" t="s">
        <v>1141</v>
      </c>
      <c r="L7" s="192" t="s">
        <v>28</v>
      </c>
      <c r="M7" s="189" t="s">
        <v>313</v>
      </c>
      <c r="N7" s="185" t="s">
        <v>1142</v>
      </c>
      <c r="O7" s="185">
        <v>7456767</v>
      </c>
      <c r="P7" s="185"/>
      <c r="Q7" s="185"/>
      <c r="R7" s="186">
        <v>44764</v>
      </c>
      <c r="S7" s="222">
        <v>44947</v>
      </c>
      <c r="T7" s="185"/>
      <c r="U7" s="30" t="s">
        <v>1143</v>
      </c>
      <c r="V7" s="207" t="s">
        <v>587</v>
      </c>
      <c r="W7" s="30"/>
      <c r="X7" s="30"/>
      <c r="Y7" s="74"/>
      <c r="Z7" s="30"/>
      <c r="AA7" s="30"/>
      <c r="AB7" s="30"/>
      <c r="AC7" s="30"/>
      <c r="AD7" s="30"/>
      <c r="AE7" s="30"/>
      <c r="AF7" s="30"/>
      <c r="AG7" s="30"/>
      <c r="AH7" s="30"/>
      <c r="AI7" s="30"/>
      <c r="AJ7" s="30"/>
      <c r="AK7" s="30"/>
      <c r="AL7" s="30"/>
      <c r="AM7" s="30"/>
      <c r="AN7" s="30"/>
      <c r="AO7" s="30"/>
      <c r="AP7" s="30"/>
      <c r="AQ7" s="30"/>
      <c r="AR7" s="30"/>
      <c r="AS7" s="185"/>
      <c r="AT7" s="185"/>
      <c r="AU7" s="173" t="str">
        <f t="shared" ca="1" si="0"/>
        <v>Procede_E_P</v>
      </c>
      <c r="AV7" s="166" t="str">
        <f ca="1">IFERROR(__xludf.DUMMYFUNCTION("IFERROR(VLOOKUP(E49&amp;F49,IMPORTRANGE(""https://docs.google.com/spreadsheets/d/1Uw7-A9f9R21vMXxHZFNpYNeKFtG8_yji4HS352LGlSQ/edit?pli=1#gid=0"",""1_ACUM!A4:S""),11,FALSE))"),"EN FORMACION")</f>
        <v>EN FORMACION</v>
      </c>
      <c r="AW7" s="174" t="str">
        <f ca="1">IFERROR(__xludf.DUMMYFUNCTION("IFERROR(VLOOKUP(F49,IMPORTRANGE(""https://docs.google.com/spreadsheets/d/1Kvs4KS76FHFqLFIZfrDMff4kP08nblUkihrxltoGBjg/edit#gid=934712705"",""ESENCIAL!A6:BG""),15,FALSE))"),"TURISMO")</f>
        <v>TURISMO</v>
      </c>
      <c r="AX7" s="175">
        <f ca="1">IFERROR(__xludf.DUMMYFUNCTION("IFERROR(VLOOKUP(E49&amp;F49,IMPORTRANGE(""https://docs.google.com/spreadsheets/d/1Uw7-A9f9R21vMXxHZFNpYNeKFtG8_yji4HS352LGlSQ/edit?pli=1#gid=0"",""1_ACUM!A4:S""),12,FALSE))"),44839)</f>
        <v>44839</v>
      </c>
      <c r="AY7" s="176">
        <f ca="1">IFERROR(__xludf.DUMMYFUNCTION("IFERROR(VLOOKUP(E49&amp;F49,IMPORTRANGE(""https://docs.google.com/spreadsheets/d/1Uw7-A9f9R21vMXxHZFNpYNeKFtG8_yji4HS352LGlSQ/edit?pli=1#gid=0"",""1_ACUM!A4:S""),13,FALSE))"),0)</f>
        <v>0</v>
      </c>
      <c r="AZ7" s="176">
        <f ca="1">IFERROR(__xludf.DUMMYFUNCTION("IFERROR(VLOOKUP(E49&amp;F49,IMPORTRANGE(""https://docs.google.com/spreadsheets/d/1Uw7-A9f9R21vMXxHZFNpYNeKFtG8_yji4HS352LGlSQ/edit?pli=1#gid=0"",""1_ACUM!A4:S""),14,FALSE))"),1)</f>
        <v>1</v>
      </c>
      <c r="BA7" s="176">
        <f ca="1">IFERROR(__xludf.DUMMYFUNCTION("IFERROR(VLOOKUP(E49&amp;F49,IMPORTRANGE(""https://docs.google.com/spreadsheets/d/1Uw7-A9f9R21vMXxHZFNpYNeKFtG8_yji4HS352LGlSQ/edit?pli=1#gid=0"",""1_ACUM!A4:S""),15,FALSE))"),0)</f>
        <v>0</v>
      </c>
      <c r="BB7" s="176">
        <f ca="1">IFERROR(__xludf.DUMMYFUNCTION("IFERROR(VLOOKUP(E49&amp;F49,IMPORTRANGE(""https://docs.google.com/spreadsheets/d/1Uw7-A9f9R21vMXxHZFNpYNeKFtG8_yji4HS352LGlSQ/edit?pli=1#gid=0"",""1_ACUM!A4:S""),16,FALSE))"),0)</f>
        <v>0</v>
      </c>
      <c r="BC7" s="176">
        <f ca="1">IFERROR(__xludf.DUMMYFUNCTION("IFERROR(VLOOKUP(E49&amp;F49,IMPORTRANGE(""https://docs.google.com/spreadsheets/d/1Uw7-A9f9R21vMXxHZFNpYNeKFtG8_yji4HS352LGlSQ/edit?pli=1#gid=0"",""1_ACUM!A4:S""),17,FALSE))"),1)</f>
        <v>1</v>
      </c>
      <c r="BD7" s="177">
        <f ca="1">IFERROR(__xludf.DUMMYFUNCTION("IFERROR(VLOOKUP(E49&amp;F49,IMPORTRANGE(""https://docs.google.com/spreadsheets/d/1Uw7-A9f9R21vMXxHZFNpYNeKFtG8_yji4HS352LGlSQ/edit?pli=1#gid=0"",""1_ACUM!A4:S""),18,FALSE))"),44328)</f>
        <v>44328</v>
      </c>
      <c r="BE7" s="177">
        <f ca="1">IFERROR(__xludf.DUMMYFUNCTION("IFERROR(VLOOKUP(E49&amp;F49,IMPORTRANGE(""https://docs.google.com/spreadsheets/d/1Uw7-A9f9R21vMXxHZFNpYNeKFtG8_yji4HS352LGlSQ/edit?pli=1#gid=0"",""1_ACUM!A4:S""),19,FALSE))"),44604)</f>
        <v>44604</v>
      </c>
      <c r="BF7" s="177">
        <f ca="1">IFERROR(__xludf.DUMMYFUNCTION("IFERROR(VLOOKUP(F49,IMPORTRANGE(""https://docs.google.com/spreadsheets/d/1Kvs4KS76FHFqLFIZfrDMff4kP08nblUkihrxltoGBjg/edit#gid=934712705"",""ESENCIAL!A6:BG""),5,FALSE))"),44785)</f>
        <v>44785</v>
      </c>
      <c r="BG7" s="177">
        <f t="shared" ca="1" si="1"/>
        <v>45334</v>
      </c>
      <c r="BH7" s="173" t="str">
        <f t="shared" ca="1" si="2"/>
        <v>FICHA EN TIEMPO-18 MESES</v>
      </c>
      <c r="BI7" s="173" t="str">
        <f ca="1">IFERROR(__xludf.DUMMYFUNCTION("IFERROR(VLOOKUP(F49,IMPORTRANGE(""https://docs.google.com/spreadsheets/d/1Kvs4KS76FHFqLFIZfrDMff4kP08nblUkihrxltoGBjg/edit#gid=934712705"",""ESENCIAL!A6:BG""),18,FALSE))"),"Terminada por fecha")</f>
        <v>Terminada por fecha</v>
      </c>
      <c r="BJ7" s="173" t="str">
        <f t="shared" si="3"/>
        <v>Yamboro</v>
      </c>
      <c r="BK7" s="291"/>
      <c r="BL7" s="19"/>
    </row>
    <row r="8" spans="1:64" ht="18" customHeight="1">
      <c r="A8" s="469" t="s">
        <v>1119</v>
      </c>
      <c r="B8" s="167" t="s">
        <v>25</v>
      </c>
      <c r="C8" s="197" t="s">
        <v>1144</v>
      </c>
      <c r="D8" s="195" t="s">
        <v>27</v>
      </c>
      <c r="E8" s="149">
        <v>1007695617</v>
      </c>
      <c r="F8" s="188">
        <v>2166550</v>
      </c>
      <c r="G8" s="166" t="str">
        <f ca="1">IFERROR(__xludf.DUMMYFUNCTION("IFERROR(VLOOKUP(F55,IMPORTRANGE(""https://docs.google.com/spreadsheets/d/1Kvs4KS76FHFqLFIZfrDMff4kP08nblUkihrxltoGBjg/edit#gid=934712705"",""ESENCIAL!A6:BG""),3,FALSE))"),"TECNÓLOGO")</f>
        <v>TECNÓLOGO</v>
      </c>
      <c r="H8" s="166" t="str">
        <f ca="1">IFERROR(__xludf.DUMMYFUNCTION("IFERROR(VLOOKUP(F55,IMPORTRANGE(""https://docs.google.com/spreadsheets/d/1Kvs4KS76FHFqLFIZfrDMff4kP08nblUkihrxltoGBjg/edit#gid=934712705"",""ESENCIAL!A6:BG""),8,FALSE))"),"PRODUCCIÓN AGROPECUARIA ECOLÓGICA")</f>
        <v>PRODUCCIÓN AGROPECUARIA ECOLÓGICA</v>
      </c>
      <c r="I8" s="197">
        <v>3227060601</v>
      </c>
      <c r="J8" s="185" t="s">
        <v>1145</v>
      </c>
      <c r="K8" s="185"/>
      <c r="L8" s="192" t="s">
        <v>28</v>
      </c>
      <c r="M8" s="185"/>
      <c r="N8" s="185" t="s">
        <v>84</v>
      </c>
      <c r="O8" s="185">
        <v>8367403</v>
      </c>
      <c r="P8" s="185" t="s">
        <v>84</v>
      </c>
      <c r="Q8" s="185"/>
      <c r="R8" s="186">
        <v>44658</v>
      </c>
      <c r="S8" s="222">
        <v>44873</v>
      </c>
      <c r="T8" s="154" t="s">
        <v>1146</v>
      </c>
      <c r="U8" s="154"/>
      <c r="V8" s="154"/>
      <c r="W8" s="154"/>
      <c r="X8" s="154"/>
      <c r="Y8" s="205"/>
      <c r="Z8" s="154"/>
      <c r="AA8" s="154"/>
      <c r="AB8" s="206" t="s">
        <v>1147</v>
      </c>
      <c r="AC8" s="207" t="s">
        <v>587</v>
      </c>
      <c r="AD8" s="154"/>
      <c r="AE8" s="154"/>
      <c r="AF8" s="154"/>
      <c r="AG8" s="154"/>
      <c r="AH8" s="185"/>
      <c r="AI8" s="185"/>
      <c r="AJ8" s="185"/>
      <c r="AK8" s="185"/>
      <c r="AL8" s="185"/>
      <c r="AM8" s="185"/>
      <c r="AN8" s="185" t="s">
        <v>444</v>
      </c>
      <c r="AO8" s="185"/>
      <c r="AP8" s="185"/>
      <c r="AQ8" s="185"/>
      <c r="AR8" s="185"/>
      <c r="AS8" s="185"/>
      <c r="AT8" s="185"/>
      <c r="AU8" s="173" t="str">
        <f t="shared" ca="1" si="0"/>
        <v>Procede_E_P</v>
      </c>
      <c r="AV8" s="166" t="str">
        <f ca="1">IFERROR(__xludf.DUMMYFUNCTION("IFERROR(VLOOKUP(E55&amp;F55,IMPORTRANGE(""https://docs.google.com/spreadsheets/d/1Uw7-A9f9R21vMXxHZFNpYNeKFtG8_yji4HS352LGlSQ/edit?pli=1#gid=0"",""1_ACUM!A4:S""),11,FALSE))"),"EN FORMACION")</f>
        <v>EN FORMACION</v>
      </c>
      <c r="AW8" s="174" t="str">
        <f ca="1">IFERROR(__xludf.DUMMYFUNCTION("IFERROR(VLOOKUP(F55,IMPORTRANGE(""https://docs.google.com/spreadsheets/d/1Kvs4KS76FHFqLFIZfrDMff4kP08nblUkihrxltoGBjg/edit#gid=934712705"",""ESENCIAL!A6:BG""),15,FALSE))"),"AGROPECUARIO")</f>
        <v>AGROPECUARIO</v>
      </c>
      <c r="AX8" s="175">
        <f ca="1">IFERROR(__xludf.DUMMYFUNCTION("IFERROR(VLOOKUP(E55&amp;F55,IMPORTRANGE(""https://docs.google.com/spreadsheets/d/1Uw7-A9f9R21vMXxHZFNpYNeKFtG8_yji4HS352LGlSQ/edit?pli=1#gid=0"",""1_ACUM!A4:S""),12,FALSE))"),44839)</f>
        <v>44839</v>
      </c>
      <c r="AY8" s="176">
        <f ca="1">IFERROR(__xludf.DUMMYFUNCTION("IFERROR(VLOOKUP(E55&amp;F55,IMPORTRANGE(""https://docs.google.com/spreadsheets/d/1Uw7-A9f9R21vMXxHZFNpYNeKFtG8_yji4HS352LGlSQ/edit?pli=1#gid=0"",""1_ACUM!A4:S""),13,FALSE))"),0)</f>
        <v>0</v>
      </c>
      <c r="AZ8" s="176">
        <f ca="1">IFERROR(__xludf.DUMMYFUNCTION("IFERROR(VLOOKUP(E55&amp;F55,IMPORTRANGE(""https://docs.google.com/spreadsheets/d/1Uw7-A9f9R21vMXxHZFNpYNeKFtG8_yji4HS352LGlSQ/edit?pli=1#gid=0"",""1_ACUM!A4:S""),14,FALSE))"),1)</f>
        <v>1</v>
      </c>
      <c r="BA8" s="176">
        <f ca="1">IFERROR(__xludf.DUMMYFUNCTION("IFERROR(VLOOKUP(E55&amp;F55,IMPORTRANGE(""https://docs.google.com/spreadsheets/d/1Uw7-A9f9R21vMXxHZFNpYNeKFtG8_yji4HS352LGlSQ/edit?pli=1#gid=0"",""1_ACUM!A4:S""),15,FALSE))"),0)</f>
        <v>0</v>
      </c>
      <c r="BB8" s="176">
        <f ca="1">IFERROR(__xludf.DUMMYFUNCTION("IFERROR(VLOOKUP(E55&amp;F55,IMPORTRANGE(""https://docs.google.com/spreadsheets/d/1Uw7-A9f9R21vMXxHZFNpYNeKFtG8_yji4HS352LGlSQ/edit?pli=1#gid=0"",""1_ACUM!A4:S""),16,FALSE))"),0)</f>
        <v>0</v>
      </c>
      <c r="BC8" s="176">
        <f ca="1">IFERROR(__xludf.DUMMYFUNCTION("IFERROR(VLOOKUP(E55&amp;F55,IMPORTRANGE(""https://docs.google.com/spreadsheets/d/1Uw7-A9f9R21vMXxHZFNpYNeKFtG8_yji4HS352LGlSQ/edit?pli=1#gid=0"",""1_ACUM!A4:S""),17,FALSE))"),1)</f>
        <v>1</v>
      </c>
      <c r="BD8" s="177">
        <f ca="1">IFERROR(__xludf.DUMMYFUNCTION("IFERROR(VLOOKUP(E55&amp;F55,IMPORTRANGE(""https://docs.google.com/spreadsheets/d/1Uw7-A9f9R21vMXxHZFNpYNeKFtG8_yji4HS352LGlSQ/edit?pli=1#gid=0"",""1_ACUM!A4:S""),18,FALSE))"),44075)</f>
        <v>44075</v>
      </c>
      <c r="BE8" s="177">
        <f ca="1">IFERROR(__xludf.DUMMYFUNCTION("IFERROR(VLOOKUP(E55&amp;F55,IMPORTRANGE(""https://docs.google.com/spreadsheets/d/1Uw7-A9f9R21vMXxHZFNpYNeKFtG8_yji4HS352LGlSQ/edit?pli=1#gid=0"",""1_ACUM!A4:S""),19,FALSE))"),44620)</f>
        <v>44620</v>
      </c>
      <c r="BF8" s="177">
        <f ca="1">IFERROR(__xludf.DUMMYFUNCTION("IFERROR(VLOOKUP(F55,IMPORTRANGE(""https://docs.google.com/spreadsheets/d/1Kvs4KS76FHFqLFIZfrDMff4kP08nblUkihrxltoGBjg/edit#gid=934712705"",""ESENCIAL!A6:BG""),5,FALSE))"),44804)</f>
        <v>44804</v>
      </c>
      <c r="BG8" s="177">
        <f t="shared" ca="1" si="1"/>
        <v>45351</v>
      </c>
      <c r="BH8" s="173" t="str">
        <f t="shared" ca="1" si="2"/>
        <v>FICHA EN TIEMPO-18 MESES</v>
      </c>
      <c r="BI8" s="173" t="str">
        <f ca="1">IFERROR(__xludf.DUMMYFUNCTION("IFERROR(VLOOKUP(F55,IMPORTRANGE(""https://docs.google.com/spreadsheets/d/1Kvs4KS76FHFqLFIZfrDMff4kP08nblUkihrxltoGBjg/edit#gid=934712705"",""ESENCIAL!A6:BG""),18,FALSE))"),"Terminada por fecha")</f>
        <v>Terminada por fecha</v>
      </c>
      <c r="BJ8" s="173" t="str">
        <f t="shared" si="3"/>
        <v>Yamboro</v>
      </c>
      <c r="BK8" s="291"/>
      <c r="BL8" s="19"/>
    </row>
    <row r="9" spans="1:64" ht="18" customHeight="1">
      <c r="A9" s="469" t="s">
        <v>1138</v>
      </c>
      <c r="B9" s="167" t="s">
        <v>25</v>
      </c>
      <c r="C9" s="197" t="s">
        <v>1148</v>
      </c>
      <c r="D9" s="195" t="s">
        <v>27</v>
      </c>
      <c r="E9" s="195">
        <v>1080935273</v>
      </c>
      <c r="F9" s="188">
        <v>2280135</v>
      </c>
      <c r="G9" s="166" t="str">
        <f ca="1">IFERROR(__xludf.DUMMYFUNCTION("IFERROR(VLOOKUP(F65,IMPORTRANGE(""https://docs.google.com/spreadsheets/d/1Kvs4KS76FHFqLFIZfrDMff4kP08nblUkihrxltoGBjg/edit#gid=934712705"",""ESENCIAL!A6:BG""),3,FALSE))"),"TÉCNICO")</f>
        <v>TÉCNICO</v>
      </c>
      <c r="H9" s="166" t="str">
        <f ca="1">IFERROR(__xludf.DUMMYFUNCTION("IFERROR(VLOOKUP(F65,IMPORTRANGE(""https://docs.google.com/spreadsheets/d/1Kvs4KS76FHFqLFIZfrDMff4kP08nblUkihrxltoGBjg/edit#gid=934712705"",""ESENCIAL!A6:BG""),8,FALSE))"),"SERVICIOS DE BARISMO")</f>
        <v>SERVICIOS DE BARISMO</v>
      </c>
      <c r="I9" s="195"/>
      <c r="J9" s="185"/>
      <c r="K9" s="185"/>
      <c r="L9" s="196" t="s">
        <v>37</v>
      </c>
      <c r="M9" s="185" t="s">
        <v>1149</v>
      </c>
      <c r="N9" s="185" t="s">
        <v>1150</v>
      </c>
      <c r="O9" s="185">
        <v>3187519391</v>
      </c>
      <c r="P9" s="185" t="s">
        <v>1151</v>
      </c>
      <c r="Q9" s="185" t="s">
        <v>1152</v>
      </c>
      <c r="R9" s="186">
        <v>44806</v>
      </c>
      <c r="S9" s="222">
        <v>44987</v>
      </c>
      <c r="T9" s="185"/>
      <c r="U9" s="185" t="s">
        <v>1153</v>
      </c>
      <c r="V9" s="270" t="s">
        <v>608</v>
      </c>
      <c r="W9" s="185"/>
      <c r="X9" s="185"/>
      <c r="Y9" s="185"/>
      <c r="Z9" s="185"/>
      <c r="AA9" s="185"/>
      <c r="AB9" s="185"/>
      <c r="AC9" s="185"/>
      <c r="AD9" s="185"/>
      <c r="AE9" s="185"/>
      <c r="AF9" s="185"/>
      <c r="AG9" s="185"/>
      <c r="AH9" s="185"/>
      <c r="AI9" s="185"/>
      <c r="AJ9" s="185"/>
      <c r="AK9" s="185"/>
      <c r="AL9" s="185"/>
      <c r="AM9" s="185"/>
      <c r="AN9" s="185"/>
      <c r="AO9" s="185"/>
      <c r="AP9" s="185"/>
      <c r="AQ9" s="185"/>
      <c r="AR9" s="185"/>
      <c r="AS9" s="185" t="s">
        <v>1154</v>
      </c>
      <c r="AT9" s="185"/>
      <c r="AU9" s="173" t="str">
        <f t="shared" ca="1" si="0"/>
        <v>Procede_E_P</v>
      </c>
      <c r="AV9" s="166" t="str">
        <f ca="1">IFERROR(__xludf.DUMMYFUNCTION("IFERROR(VLOOKUP(E65&amp;F65,IMPORTRANGE(""https://docs.google.com/spreadsheets/d/1Uw7-A9f9R21vMXxHZFNpYNeKFtG8_yji4HS352LGlSQ/edit?pli=1#gid=0"",""1_ACUM!A4:S""),11,FALSE))"),"EN FORMACION")</f>
        <v>EN FORMACION</v>
      </c>
      <c r="AW9" s="174" t="str">
        <f ca="1">IFERROR(__xludf.DUMMYFUNCTION("IFERROR(VLOOKUP(F65,IMPORTRANGE(""https://docs.google.com/spreadsheets/d/1Kvs4KS76FHFqLFIZfrDMff4kP08nblUkihrxltoGBjg/edit#gid=934712705"",""ESENCIAL!A6:BG""),15,FALSE))"),"TURISMO")</f>
        <v>TURISMO</v>
      </c>
      <c r="AX9" s="175">
        <f ca="1">IFERROR(__xludf.DUMMYFUNCTION("IFERROR(VLOOKUP(E65&amp;F65,IMPORTRANGE(""https://docs.google.com/spreadsheets/d/1Uw7-A9f9R21vMXxHZFNpYNeKFtG8_yji4HS352LGlSQ/edit?pli=1#gid=0"",""1_ACUM!A4:S""),12,FALSE))"),44839)</f>
        <v>44839</v>
      </c>
      <c r="AY9" s="176">
        <f ca="1">IFERROR(__xludf.DUMMYFUNCTION("IFERROR(VLOOKUP(E65&amp;F65,IMPORTRANGE(""https://docs.google.com/spreadsheets/d/1Uw7-A9f9R21vMXxHZFNpYNeKFtG8_yji4HS352LGlSQ/edit?pli=1#gid=0"",""1_ACUM!A4:S""),13,FALSE))"),0)</f>
        <v>0</v>
      </c>
      <c r="AZ9" s="176">
        <f ca="1">IFERROR(__xludf.DUMMYFUNCTION("IFERROR(VLOOKUP(E65&amp;F65,IMPORTRANGE(""https://docs.google.com/spreadsheets/d/1Uw7-A9f9R21vMXxHZFNpYNeKFtG8_yji4HS352LGlSQ/edit?pli=1#gid=0"",""1_ACUM!A4:S""),14,FALSE))"),1)</f>
        <v>1</v>
      </c>
      <c r="BA9" s="176">
        <f ca="1">IFERROR(__xludf.DUMMYFUNCTION("IFERROR(VLOOKUP(E65&amp;F65,IMPORTRANGE(""https://docs.google.com/spreadsheets/d/1Uw7-A9f9R21vMXxHZFNpYNeKFtG8_yji4HS352LGlSQ/edit?pli=1#gid=0"",""1_ACUM!A4:S""),15,FALSE))"),0)</f>
        <v>0</v>
      </c>
      <c r="BB9" s="176">
        <f ca="1">IFERROR(__xludf.DUMMYFUNCTION("IFERROR(VLOOKUP(E65&amp;F65,IMPORTRANGE(""https://docs.google.com/spreadsheets/d/1Uw7-A9f9R21vMXxHZFNpYNeKFtG8_yji4HS352LGlSQ/edit?pli=1#gid=0"",""1_ACUM!A4:S""),16,FALSE))"),0)</f>
        <v>0</v>
      </c>
      <c r="BC9" s="176">
        <f ca="1">IFERROR(__xludf.DUMMYFUNCTION("IFERROR(VLOOKUP(E65&amp;F65,IMPORTRANGE(""https://docs.google.com/spreadsheets/d/1Uw7-A9f9R21vMXxHZFNpYNeKFtG8_yji4HS352LGlSQ/edit?pli=1#gid=0"",""1_ACUM!A4:S""),17,FALSE))"),1)</f>
        <v>1</v>
      </c>
      <c r="BD9" s="177">
        <f ca="1">IFERROR(__xludf.DUMMYFUNCTION("IFERROR(VLOOKUP(E65&amp;F65,IMPORTRANGE(""https://docs.google.com/spreadsheets/d/1Uw7-A9f9R21vMXxHZFNpYNeKFtG8_yji4HS352LGlSQ/edit?pli=1#gid=0"",""1_ACUM!A4:S""),18,FALSE))"),44301)</f>
        <v>44301</v>
      </c>
      <c r="BE9" s="177">
        <f ca="1">IFERROR(__xludf.DUMMYFUNCTION("IFERROR(VLOOKUP(E65&amp;F65,IMPORTRANGE(""https://docs.google.com/spreadsheets/d/1Uw7-A9f9R21vMXxHZFNpYNeKFtG8_yji4HS352LGlSQ/edit?pli=1#gid=0"",""1_ACUM!A4:S""),19,FALSE))"),44575)</f>
        <v>44575</v>
      </c>
      <c r="BF9" s="177">
        <f ca="1">IFERROR(__xludf.DUMMYFUNCTION("IFERROR(VLOOKUP(F65,IMPORTRANGE(""https://docs.google.com/spreadsheets/d/1Kvs4KS76FHFqLFIZfrDMff4kP08nblUkihrxltoGBjg/edit#gid=934712705"",""ESENCIAL!A6:BG""),5,FALSE))"),44756)</f>
        <v>44756</v>
      </c>
      <c r="BG9" s="177">
        <f t="shared" ca="1" si="1"/>
        <v>45305</v>
      </c>
      <c r="BH9" s="173" t="str">
        <f t="shared" ca="1" si="2"/>
        <v>FICHA EN TIEMPO-18 MESES</v>
      </c>
      <c r="BI9" s="173" t="str">
        <f ca="1">IFERROR(__xludf.DUMMYFUNCTION("IFERROR(VLOOKUP(F65,IMPORTRANGE(""https://docs.google.com/spreadsheets/d/1Kvs4KS76FHFqLFIZfrDMff4kP08nblUkihrxltoGBjg/edit#gid=934712705"",""ESENCIAL!A6:BG""),18,FALSE))"),"Terminada por fecha")</f>
        <v>Terminada por fecha</v>
      </c>
      <c r="BJ9" s="173" t="str">
        <f t="shared" si="3"/>
        <v>Yamboro</v>
      </c>
      <c r="BK9" s="291"/>
      <c r="BL9" s="19"/>
    </row>
    <row r="10" spans="1:64" ht="18" customHeight="1">
      <c r="A10" s="469" t="s">
        <v>1138</v>
      </c>
      <c r="B10" s="167" t="s">
        <v>25</v>
      </c>
      <c r="C10" s="195" t="s">
        <v>1155</v>
      </c>
      <c r="D10" s="195" t="s">
        <v>27</v>
      </c>
      <c r="E10" s="195">
        <v>1083886145</v>
      </c>
      <c r="F10" s="188">
        <v>2280135</v>
      </c>
      <c r="G10" s="166" t="str">
        <f ca="1">IFERROR(__xludf.DUMMYFUNCTION("IFERROR(VLOOKUP(F70,IMPORTRANGE(""https://docs.google.com/spreadsheets/d/1Kvs4KS76FHFqLFIZfrDMff4kP08nblUkihrxltoGBjg/edit#gid=934712705"",""ESENCIAL!A6:BG""),3,FALSE))"),"TÉCNICO")</f>
        <v>TÉCNICO</v>
      </c>
      <c r="H10" s="166" t="str">
        <f ca="1">IFERROR(__xludf.DUMMYFUNCTION("IFERROR(VLOOKUP(F70,IMPORTRANGE(""https://docs.google.com/spreadsheets/d/1Kvs4KS76FHFqLFIZfrDMff4kP08nblUkihrxltoGBjg/edit#gid=934712705"",""ESENCIAL!A6:BG""),8,FALSE))"),"SERVICIOS DE BARISMO")</f>
        <v>SERVICIOS DE BARISMO</v>
      </c>
      <c r="I10" s="195"/>
      <c r="J10" s="185"/>
      <c r="K10" s="185"/>
      <c r="L10" s="277" t="s">
        <v>37</v>
      </c>
      <c r="M10" s="185" t="s">
        <v>1156</v>
      </c>
      <c r="N10" s="185" t="s">
        <v>84</v>
      </c>
      <c r="O10" s="185">
        <v>3132742040</v>
      </c>
      <c r="P10" s="185"/>
      <c r="Q10" s="185" t="s">
        <v>1157</v>
      </c>
      <c r="R10" s="186">
        <v>44805</v>
      </c>
      <c r="S10" s="353">
        <v>44985</v>
      </c>
      <c r="T10" s="278" t="s">
        <v>1158</v>
      </c>
      <c r="U10" s="30" t="s">
        <v>1159</v>
      </c>
      <c r="V10" s="207" t="s">
        <v>587</v>
      </c>
      <c r="W10" s="30"/>
      <c r="X10" s="30"/>
      <c r="Y10" s="30"/>
      <c r="Z10" s="30"/>
      <c r="AA10" s="30"/>
      <c r="AB10" s="61" t="s">
        <v>1160</v>
      </c>
      <c r="AC10" s="30" t="s">
        <v>1161</v>
      </c>
      <c r="AD10" s="30"/>
      <c r="AE10" s="30"/>
      <c r="AF10" s="30"/>
      <c r="AG10" s="30"/>
      <c r="AH10" s="30"/>
      <c r="AI10" s="30"/>
      <c r="AJ10" s="30"/>
      <c r="AK10" s="30"/>
      <c r="AL10" s="30"/>
      <c r="AM10" s="30"/>
      <c r="AN10" s="30"/>
      <c r="AO10" s="30"/>
      <c r="AP10" s="30"/>
      <c r="AQ10" s="30"/>
      <c r="AR10" s="30"/>
      <c r="AS10" s="185"/>
      <c r="AT10" s="185"/>
      <c r="AU10" s="173" t="str">
        <f t="shared" ca="1" si="0"/>
        <v>Procede_E_P</v>
      </c>
      <c r="AV10" s="166" t="str">
        <f ca="1">IFERROR(__xludf.DUMMYFUNCTION("IFERROR(VLOOKUP(E70&amp;F70,IMPORTRANGE(""https://docs.google.com/spreadsheets/d/1Uw7-A9f9R21vMXxHZFNpYNeKFtG8_yji4HS352LGlSQ/edit?pli=1#gid=0"",""1_ACUM!A4:S""),11,FALSE))"),"EN FORMACION")</f>
        <v>EN FORMACION</v>
      </c>
      <c r="AW10" s="174" t="str">
        <f ca="1">IFERROR(__xludf.DUMMYFUNCTION("IFERROR(VLOOKUP(F70,IMPORTRANGE(""https://docs.google.com/spreadsheets/d/1Kvs4KS76FHFqLFIZfrDMff4kP08nblUkihrxltoGBjg/edit#gid=934712705"",""ESENCIAL!A6:BG""),15,FALSE))"),"TURISMO")</f>
        <v>TURISMO</v>
      </c>
      <c r="AX10" s="175">
        <f ca="1">IFERROR(__xludf.DUMMYFUNCTION("IFERROR(VLOOKUP(E70&amp;F70,IMPORTRANGE(""https://docs.google.com/spreadsheets/d/1Uw7-A9f9R21vMXxHZFNpYNeKFtG8_yji4HS352LGlSQ/edit?pli=1#gid=0"",""1_ACUM!A4:S""),12,FALSE))"),44839)</f>
        <v>44839</v>
      </c>
      <c r="AY10" s="176">
        <f ca="1">IFERROR(__xludf.DUMMYFUNCTION("IFERROR(VLOOKUP(E70&amp;F70,IMPORTRANGE(""https://docs.google.com/spreadsheets/d/1Uw7-A9f9R21vMXxHZFNpYNeKFtG8_yji4HS352LGlSQ/edit?pli=1#gid=0"",""1_ACUM!A4:S""),13,FALSE))"),0)</f>
        <v>0</v>
      </c>
      <c r="AZ10" s="176">
        <f ca="1">IFERROR(__xludf.DUMMYFUNCTION("IFERROR(VLOOKUP(E70&amp;F70,IMPORTRANGE(""https://docs.google.com/spreadsheets/d/1Uw7-A9f9R21vMXxHZFNpYNeKFtG8_yji4HS352LGlSQ/edit?pli=1#gid=0"",""1_ACUM!A4:S""),14,FALSE))"),1)</f>
        <v>1</v>
      </c>
      <c r="BA10" s="176">
        <f ca="1">IFERROR(__xludf.DUMMYFUNCTION("IFERROR(VLOOKUP(E70&amp;F70,IMPORTRANGE(""https://docs.google.com/spreadsheets/d/1Uw7-A9f9R21vMXxHZFNpYNeKFtG8_yji4HS352LGlSQ/edit?pli=1#gid=0"",""1_ACUM!A4:S""),15,FALSE))"),0)</f>
        <v>0</v>
      </c>
      <c r="BB10" s="176">
        <f ca="1">IFERROR(__xludf.DUMMYFUNCTION("IFERROR(VLOOKUP(E70&amp;F70,IMPORTRANGE(""https://docs.google.com/spreadsheets/d/1Uw7-A9f9R21vMXxHZFNpYNeKFtG8_yji4HS352LGlSQ/edit?pli=1#gid=0"",""1_ACUM!A4:S""),16,FALSE))"),0)</f>
        <v>0</v>
      </c>
      <c r="BC10" s="176">
        <f ca="1">IFERROR(__xludf.DUMMYFUNCTION("IFERROR(VLOOKUP(E70&amp;F70,IMPORTRANGE(""https://docs.google.com/spreadsheets/d/1Uw7-A9f9R21vMXxHZFNpYNeKFtG8_yji4HS352LGlSQ/edit?pli=1#gid=0"",""1_ACUM!A4:S""),17,FALSE))"),1)</f>
        <v>1</v>
      </c>
      <c r="BD10" s="177">
        <f ca="1">IFERROR(__xludf.DUMMYFUNCTION("IFERROR(VLOOKUP(E70&amp;F70,IMPORTRANGE(""https://docs.google.com/spreadsheets/d/1Uw7-A9f9R21vMXxHZFNpYNeKFtG8_yji4HS352LGlSQ/edit?pli=1#gid=0"",""1_ACUM!A4:S""),18,FALSE))"),44301)</f>
        <v>44301</v>
      </c>
      <c r="BE10" s="177">
        <f ca="1">IFERROR(__xludf.DUMMYFUNCTION("IFERROR(VLOOKUP(E70&amp;F70,IMPORTRANGE(""https://docs.google.com/spreadsheets/d/1Uw7-A9f9R21vMXxHZFNpYNeKFtG8_yji4HS352LGlSQ/edit?pli=1#gid=0"",""1_ACUM!A4:S""),19,FALSE))"),44575)</f>
        <v>44575</v>
      </c>
      <c r="BF10" s="177">
        <f ca="1">IFERROR(__xludf.DUMMYFUNCTION("IFERROR(VLOOKUP(F70,IMPORTRANGE(""https://docs.google.com/spreadsheets/d/1Kvs4KS76FHFqLFIZfrDMff4kP08nblUkihrxltoGBjg/edit#gid=934712705"",""ESENCIAL!A6:BG""),5,FALSE))"),44756)</f>
        <v>44756</v>
      </c>
      <c r="BG10" s="177">
        <f t="shared" ca="1" si="1"/>
        <v>45305</v>
      </c>
      <c r="BH10" s="173" t="str">
        <f t="shared" ca="1" si="2"/>
        <v>FICHA EN TIEMPO-18 MESES</v>
      </c>
      <c r="BI10" s="173" t="str">
        <f ca="1">IFERROR(__xludf.DUMMYFUNCTION("IFERROR(VLOOKUP(F70,IMPORTRANGE(""https://docs.google.com/spreadsheets/d/1Kvs4KS76FHFqLFIZfrDMff4kP08nblUkihrxltoGBjg/edit#gid=934712705"",""ESENCIAL!A6:BG""),18,FALSE))"),"Terminada por fecha")</f>
        <v>Terminada por fecha</v>
      </c>
      <c r="BJ10" s="173" t="str">
        <f t="shared" si="3"/>
        <v>Yamboro</v>
      </c>
      <c r="BK10" s="291"/>
      <c r="BL10" s="19"/>
    </row>
    <row r="11" spans="1:64" ht="18" customHeight="1">
      <c r="A11" s="469" t="s">
        <v>1138</v>
      </c>
      <c r="B11" s="167" t="s">
        <v>25</v>
      </c>
      <c r="C11" s="195" t="s">
        <v>1162</v>
      </c>
      <c r="D11" s="195" t="s">
        <v>67</v>
      </c>
      <c r="E11" s="195">
        <v>1083984040</v>
      </c>
      <c r="F11" s="188">
        <v>2280135</v>
      </c>
      <c r="G11" s="166" t="str">
        <f ca="1">IFERROR(__xludf.DUMMYFUNCTION("IFERROR(VLOOKUP(F73,IMPORTRANGE(""https://docs.google.com/spreadsheets/d/1Kvs4KS76FHFqLFIZfrDMff4kP08nblUkihrxltoGBjg/edit#gid=934712705"",""ESENCIAL!A6:BG""),3,FALSE))"),"TÉCNICO")</f>
        <v>TÉCNICO</v>
      </c>
      <c r="H11" s="166" t="str">
        <f ca="1">IFERROR(__xludf.DUMMYFUNCTION("IFERROR(VLOOKUP(F73,IMPORTRANGE(""https://docs.google.com/spreadsheets/d/1Kvs4KS76FHFqLFIZfrDMff4kP08nblUkihrxltoGBjg/edit#gid=934712705"",""ESENCIAL!A6:BG""),8,FALSE))"),"SERVICIOS DE BARISMO")</f>
        <v>SERVICIOS DE BARISMO</v>
      </c>
      <c r="I11" s="195"/>
      <c r="J11" s="185"/>
      <c r="K11" s="185"/>
      <c r="L11" s="277" t="s">
        <v>37</v>
      </c>
      <c r="M11" s="185" t="s">
        <v>1163</v>
      </c>
      <c r="N11" s="185" t="s">
        <v>1164</v>
      </c>
      <c r="O11" s="185">
        <v>313825858</v>
      </c>
      <c r="P11" s="185"/>
      <c r="Q11" s="185" t="s">
        <v>1165</v>
      </c>
      <c r="R11" s="186">
        <v>44770</v>
      </c>
      <c r="S11" s="222">
        <v>44954</v>
      </c>
      <c r="T11" s="185"/>
      <c r="U11" s="30" t="s">
        <v>586</v>
      </c>
      <c r="V11" s="207" t="s">
        <v>587</v>
      </c>
      <c r="W11" s="30"/>
      <c r="X11" s="30"/>
      <c r="Y11" s="30"/>
      <c r="Z11" s="30"/>
      <c r="AA11" s="30"/>
      <c r="AB11" s="61" t="s">
        <v>1160</v>
      </c>
      <c r="AC11" s="30" t="s">
        <v>297</v>
      </c>
      <c r="AD11" s="30"/>
      <c r="AE11" s="30"/>
      <c r="AF11" s="30"/>
      <c r="AG11" s="30"/>
      <c r="AH11" s="30"/>
      <c r="AI11" s="30"/>
      <c r="AJ11" s="30"/>
      <c r="AK11" s="30"/>
      <c r="AL11" s="30"/>
      <c r="AM11" s="30"/>
      <c r="AN11" s="30"/>
      <c r="AO11" s="30"/>
      <c r="AP11" s="30"/>
      <c r="AQ11" s="30"/>
      <c r="AR11" s="30"/>
      <c r="AS11" s="185"/>
      <c r="AT11" s="185"/>
      <c r="AU11" s="173" t="str">
        <f t="shared" ca="1" si="0"/>
        <v>Procede_E_P</v>
      </c>
      <c r="AV11" s="166" t="str">
        <f ca="1">IFERROR(__xludf.DUMMYFUNCTION("IFERROR(VLOOKUP(E73&amp;F73,IMPORTRANGE(""https://docs.google.com/spreadsheets/d/1Uw7-A9f9R21vMXxHZFNpYNeKFtG8_yji4HS352LGlSQ/edit?pli=1#gid=0"",""1_ACUM!A4:S""),11,FALSE))"),"EN FORMACION")</f>
        <v>EN FORMACION</v>
      </c>
      <c r="AW11" s="174" t="str">
        <f ca="1">IFERROR(__xludf.DUMMYFUNCTION("IFERROR(VLOOKUP(F73,IMPORTRANGE(""https://docs.google.com/spreadsheets/d/1Kvs4KS76FHFqLFIZfrDMff4kP08nblUkihrxltoGBjg/edit#gid=934712705"",""ESENCIAL!A6:BG""),15,FALSE))"),"TURISMO")</f>
        <v>TURISMO</v>
      </c>
      <c r="AX11" s="175">
        <f ca="1">IFERROR(__xludf.DUMMYFUNCTION("IFERROR(VLOOKUP(E73&amp;F73,IMPORTRANGE(""https://docs.google.com/spreadsheets/d/1Uw7-A9f9R21vMXxHZFNpYNeKFtG8_yji4HS352LGlSQ/edit?pli=1#gid=0"",""1_ACUM!A4:S""),12,FALSE))"),44839)</f>
        <v>44839</v>
      </c>
      <c r="AY11" s="176">
        <f ca="1">IFERROR(__xludf.DUMMYFUNCTION("IFERROR(VLOOKUP(E73&amp;F73,IMPORTRANGE(""https://docs.google.com/spreadsheets/d/1Uw7-A9f9R21vMXxHZFNpYNeKFtG8_yji4HS352LGlSQ/edit?pli=1#gid=0"",""1_ACUM!A4:S""),13,FALSE))"),0)</f>
        <v>0</v>
      </c>
      <c r="AZ11" s="176">
        <f ca="1">IFERROR(__xludf.DUMMYFUNCTION("IFERROR(VLOOKUP(E73&amp;F73,IMPORTRANGE(""https://docs.google.com/spreadsheets/d/1Uw7-A9f9R21vMXxHZFNpYNeKFtG8_yji4HS352LGlSQ/edit?pli=1#gid=0"",""1_ACUM!A4:S""),14,FALSE))"),1)</f>
        <v>1</v>
      </c>
      <c r="BA11" s="176">
        <f ca="1">IFERROR(__xludf.DUMMYFUNCTION("IFERROR(VLOOKUP(E73&amp;F73,IMPORTRANGE(""https://docs.google.com/spreadsheets/d/1Uw7-A9f9R21vMXxHZFNpYNeKFtG8_yji4HS352LGlSQ/edit?pli=1#gid=0"",""1_ACUM!A4:S""),15,FALSE))"),0)</f>
        <v>0</v>
      </c>
      <c r="BB11" s="176">
        <f ca="1">IFERROR(__xludf.DUMMYFUNCTION("IFERROR(VLOOKUP(E73&amp;F73,IMPORTRANGE(""https://docs.google.com/spreadsheets/d/1Uw7-A9f9R21vMXxHZFNpYNeKFtG8_yji4HS352LGlSQ/edit?pli=1#gid=0"",""1_ACUM!A4:S""),16,FALSE))"),0)</f>
        <v>0</v>
      </c>
      <c r="BC11" s="176">
        <f ca="1">IFERROR(__xludf.DUMMYFUNCTION("IFERROR(VLOOKUP(E73&amp;F73,IMPORTRANGE(""https://docs.google.com/spreadsheets/d/1Uw7-A9f9R21vMXxHZFNpYNeKFtG8_yji4HS352LGlSQ/edit?pli=1#gid=0"",""1_ACUM!A4:S""),17,FALSE))"),1)</f>
        <v>1</v>
      </c>
      <c r="BD11" s="177">
        <f ca="1">IFERROR(__xludf.DUMMYFUNCTION("IFERROR(VLOOKUP(E73&amp;F73,IMPORTRANGE(""https://docs.google.com/spreadsheets/d/1Uw7-A9f9R21vMXxHZFNpYNeKFtG8_yji4HS352LGlSQ/edit?pli=1#gid=0"",""1_ACUM!A4:S""),18,FALSE))"),44301)</f>
        <v>44301</v>
      </c>
      <c r="BE11" s="177">
        <f ca="1">IFERROR(__xludf.DUMMYFUNCTION("IFERROR(VLOOKUP(E73&amp;F73,IMPORTRANGE(""https://docs.google.com/spreadsheets/d/1Uw7-A9f9R21vMXxHZFNpYNeKFtG8_yji4HS352LGlSQ/edit?pli=1#gid=0"",""1_ACUM!A4:S""),19,FALSE))"),44575)</f>
        <v>44575</v>
      </c>
      <c r="BF11" s="177">
        <f ca="1">IFERROR(__xludf.DUMMYFUNCTION("IFERROR(VLOOKUP(F73,IMPORTRANGE(""https://docs.google.com/spreadsheets/d/1Kvs4KS76FHFqLFIZfrDMff4kP08nblUkihrxltoGBjg/edit#gid=934712705"",""ESENCIAL!A6:BG""),5,FALSE))"),44756)</f>
        <v>44756</v>
      </c>
      <c r="BG11" s="177">
        <f t="shared" ca="1" si="1"/>
        <v>45305</v>
      </c>
      <c r="BH11" s="173" t="str">
        <f t="shared" ca="1" si="2"/>
        <v>FICHA EN TIEMPO-18 MESES</v>
      </c>
      <c r="BI11" s="173" t="str">
        <f ca="1">IFERROR(__xludf.DUMMYFUNCTION("IFERROR(VLOOKUP(F73,IMPORTRANGE(""https://docs.google.com/spreadsheets/d/1Kvs4KS76FHFqLFIZfrDMff4kP08nblUkihrxltoGBjg/edit#gid=934712705"",""ESENCIAL!A6:BG""),18,FALSE))"),"Terminada por fecha")</f>
        <v>Terminada por fecha</v>
      </c>
      <c r="BJ11" s="173" t="str">
        <f t="shared" si="3"/>
        <v>Yamboro</v>
      </c>
      <c r="BK11" s="291"/>
      <c r="BL11" s="19"/>
    </row>
    <row r="12" spans="1:64" ht="18" customHeight="1">
      <c r="A12" s="469" t="s">
        <v>1138</v>
      </c>
      <c r="B12" s="167" t="s">
        <v>25</v>
      </c>
      <c r="C12" s="195" t="s">
        <v>1166</v>
      </c>
      <c r="D12" s="195" t="s">
        <v>27</v>
      </c>
      <c r="E12" s="195">
        <v>36292217</v>
      </c>
      <c r="F12" s="188">
        <v>2280135</v>
      </c>
      <c r="G12" s="166" t="str">
        <f ca="1">IFERROR(__xludf.DUMMYFUNCTION("IFERROR(VLOOKUP(F75,IMPORTRANGE(""https://docs.google.com/spreadsheets/d/1Kvs4KS76FHFqLFIZfrDMff4kP08nblUkihrxltoGBjg/edit#gid=934712705"",""ESENCIAL!A6:BG""),3,FALSE))"),"TÉCNICO")</f>
        <v>TÉCNICO</v>
      </c>
      <c r="H12" s="166" t="str">
        <f ca="1">IFERROR(__xludf.DUMMYFUNCTION("IFERROR(VLOOKUP(F75,IMPORTRANGE(""https://docs.google.com/spreadsheets/d/1Kvs4KS76FHFqLFIZfrDMff4kP08nblUkihrxltoGBjg/edit#gid=934712705"",""ESENCIAL!A6:BG""),8,FALSE))"),"SERVICIOS DE BARISMO")</f>
        <v>SERVICIOS DE BARISMO</v>
      </c>
      <c r="I12" s="195"/>
      <c r="J12" s="185"/>
      <c r="K12" s="185"/>
      <c r="L12" s="277" t="s">
        <v>37</v>
      </c>
      <c r="M12" s="185" t="s">
        <v>1156</v>
      </c>
      <c r="N12" s="185" t="s">
        <v>84</v>
      </c>
      <c r="O12" s="185">
        <v>3132742040</v>
      </c>
      <c r="P12" s="185"/>
      <c r="Q12" s="185" t="s">
        <v>1157</v>
      </c>
      <c r="R12" s="186">
        <v>44805</v>
      </c>
      <c r="S12" s="222">
        <v>44985</v>
      </c>
      <c r="T12" s="278" t="s">
        <v>1158</v>
      </c>
      <c r="U12" s="30" t="s">
        <v>1159</v>
      </c>
      <c r="V12" s="207" t="s">
        <v>587</v>
      </c>
      <c r="W12" s="30"/>
      <c r="X12" s="30"/>
      <c r="Y12" s="30"/>
      <c r="Z12" s="30"/>
      <c r="AA12" s="30"/>
      <c r="AB12" s="61" t="s">
        <v>1160</v>
      </c>
      <c r="AC12" s="30" t="s">
        <v>1161</v>
      </c>
      <c r="AD12" s="30"/>
      <c r="AE12" s="30"/>
      <c r="AF12" s="30"/>
      <c r="AG12" s="30"/>
      <c r="AH12" s="30"/>
      <c r="AI12" s="30"/>
      <c r="AJ12" s="30"/>
      <c r="AK12" s="30"/>
      <c r="AL12" s="30"/>
      <c r="AM12" s="30"/>
      <c r="AN12" s="30"/>
      <c r="AO12" s="30"/>
      <c r="AP12" s="30"/>
      <c r="AQ12" s="30"/>
      <c r="AR12" s="30"/>
      <c r="AS12" s="185"/>
      <c r="AT12" s="185"/>
      <c r="AU12" s="173" t="str">
        <f t="shared" ca="1" si="0"/>
        <v>Procede_E_P</v>
      </c>
      <c r="AV12" s="166" t="str">
        <f ca="1">IFERROR(__xludf.DUMMYFUNCTION("IFERROR(VLOOKUP(E75&amp;F75,IMPORTRANGE(""https://docs.google.com/spreadsheets/d/1Uw7-A9f9R21vMXxHZFNpYNeKFtG8_yji4HS352LGlSQ/edit?pli=1#gid=0"",""1_ACUM!A4:S""),11,FALSE))"),"EN FORMACION")</f>
        <v>EN FORMACION</v>
      </c>
      <c r="AW12" s="174" t="str">
        <f ca="1">IFERROR(__xludf.DUMMYFUNCTION("IFERROR(VLOOKUP(F75,IMPORTRANGE(""https://docs.google.com/spreadsheets/d/1Kvs4KS76FHFqLFIZfrDMff4kP08nblUkihrxltoGBjg/edit#gid=934712705"",""ESENCIAL!A6:BG""),15,FALSE))"),"TURISMO")</f>
        <v>TURISMO</v>
      </c>
      <c r="AX12" s="175">
        <f ca="1">IFERROR(__xludf.DUMMYFUNCTION("IFERROR(VLOOKUP(E75&amp;F75,IMPORTRANGE(""https://docs.google.com/spreadsheets/d/1Uw7-A9f9R21vMXxHZFNpYNeKFtG8_yji4HS352LGlSQ/edit?pli=1#gid=0"",""1_ACUM!A4:S""),12,FALSE))"),44839)</f>
        <v>44839</v>
      </c>
      <c r="AY12" s="176">
        <f ca="1">IFERROR(__xludf.DUMMYFUNCTION("IFERROR(VLOOKUP(E75&amp;F75,IMPORTRANGE(""https://docs.google.com/spreadsheets/d/1Uw7-A9f9R21vMXxHZFNpYNeKFtG8_yji4HS352LGlSQ/edit?pli=1#gid=0"",""1_ACUM!A4:S""),13,FALSE))"),0)</f>
        <v>0</v>
      </c>
      <c r="AZ12" s="176">
        <f ca="1">IFERROR(__xludf.DUMMYFUNCTION("IFERROR(VLOOKUP(E75&amp;F75,IMPORTRANGE(""https://docs.google.com/spreadsheets/d/1Uw7-A9f9R21vMXxHZFNpYNeKFtG8_yji4HS352LGlSQ/edit?pli=1#gid=0"",""1_ACUM!A4:S""),14,FALSE))"),1)</f>
        <v>1</v>
      </c>
      <c r="BA12" s="176">
        <f ca="1">IFERROR(__xludf.DUMMYFUNCTION("IFERROR(VLOOKUP(E75&amp;F75,IMPORTRANGE(""https://docs.google.com/spreadsheets/d/1Uw7-A9f9R21vMXxHZFNpYNeKFtG8_yji4HS352LGlSQ/edit?pli=1#gid=0"",""1_ACUM!A4:S""),15,FALSE))"),0)</f>
        <v>0</v>
      </c>
      <c r="BB12" s="176">
        <f ca="1">IFERROR(__xludf.DUMMYFUNCTION("IFERROR(VLOOKUP(E75&amp;F75,IMPORTRANGE(""https://docs.google.com/spreadsheets/d/1Uw7-A9f9R21vMXxHZFNpYNeKFtG8_yji4HS352LGlSQ/edit?pli=1#gid=0"",""1_ACUM!A4:S""),16,FALSE))"),0)</f>
        <v>0</v>
      </c>
      <c r="BC12" s="176">
        <f ca="1">IFERROR(__xludf.DUMMYFUNCTION("IFERROR(VLOOKUP(E75&amp;F75,IMPORTRANGE(""https://docs.google.com/spreadsheets/d/1Uw7-A9f9R21vMXxHZFNpYNeKFtG8_yji4HS352LGlSQ/edit?pli=1#gid=0"",""1_ACUM!A4:S""),17,FALSE))"),1)</f>
        <v>1</v>
      </c>
      <c r="BD12" s="177">
        <f ca="1">IFERROR(__xludf.DUMMYFUNCTION("IFERROR(VLOOKUP(E75&amp;F75,IMPORTRANGE(""https://docs.google.com/spreadsheets/d/1Uw7-A9f9R21vMXxHZFNpYNeKFtG8_yji4HS352LGlSQ/edit?pli=1#gid=0"",""1_ACUM!A4:S""),18,FALSE))"),44301)</f>
        <v>44301</v>
      </c>
      <c r="BE12" s="177">
        <f ca="1">IFERROR(__xludf.DUMMYFUNCTION("IFERROR(VLOOKUP(E75&amp;F75,IMPORTRANGE(""https://docs.google.com/spreadsheets/d/1Uw7-A9f9R21vMXxHZFNpYNeKFtG8_yji4HS352LGlSQ/edit?pli=1#gid=0"",""1_ACUM!A4:S""),19,FALSE))"),44575)</f>
        <v>44575</v>
      </c>
      <c r="BF12" s="177">
        <f ca="1">IFERROR(__xludf.DUMMYFUNCTION("IFERROR(VLOOKUP(F75,IMPORTRANGE(""https://docs.google.com/spreadsheets/d/1Kvs4KS76FHFqLFIZfrDMff4kP08nblUkihrxltoGBjg/edit#gid=934712705"",""ESENCIAL!A6:BG""),5,FALSE))"),44756)</f>
        <v>44756</v>
      </c>
      <c r="BG12" s="177">
        <f t="shared" ca="1" si="1"/>
        <v>45305</v>
      </c>
      <c r="BH12" s="173" t="str">
        <f t="shared" ca="1" si="2"/>
        <v>FICHA EN TIEMPO-18 MESES</v>
      </c>
      <c r="BI12" s="173" t="str">
        <f ca="1">IFERROR(__xludf.DUMMYFUNCTION("IFERROR(VLOOKUP(F75,IMPORTRANGE(""https://docs.google.com/spreadsheets/d/1Kvs4KS76FHFqLFIZfrDMff4kP08nblUkihrxltoGBjg/edit#gid=934712705"",""ESENCIAL!A6:BG""),18,FALSE))"),"Terminada por fecha")</f>
        <v>Terminada por fecha</v>
      </c>
      <c r="BJ12" s="173" t="str">
        <f t="shared" si="3"/>
        <v>Yamboro</v>
      </c>
      <c r="BK12" s="291"/>
      <c r="BL12" s="19"/>
    </row>
    <row r="13" spans="1:64" ht="25.5" customHeight="1">
      <c r="A13" s="469" t="s">
        <v>1167</v>
      </c>
      <c r="B13" s="167" t="s">
        <v>25</v>
      </c>
      <c r="C13" s="197" t="s">
        <v>1168</v>
      </c>
      <c r="D13" s="195" t="s">
        <v>27</v>
      </c>
      <c r="E13" s="195">
        <v>1004083609</v>
      </c>
      <c r="F13" s="188">
        <v>2252427</v>
      </c>
      <c r="G13" s="166" t="str">
        <f ca="1">IFERROR(__xludf.DUMMYFUNCTION("IFERROR(VLOOKUP(F116,IMPORTRANGE(""https://docs.google.com/spreadsheets/d/1Kvs4KS76FHFqLFIZfrDMff4kP08nblUkihrxltoGBjg/edit#gid=934712705"",""ESENCIAL!A6:BG""),3,FALSE))"),"TECNÓLOGO")</f>
        <v>TECNÓLOGO</v>
      </c>
      <c r="H13" s="166" t="str">
        <f ca="1">IFERROR(__xludf.DUMMYFUNCTION("IFERROR(VLOOKUP(F116,IMPORTRANGE(""https://docs.google.com/spreadsheets/d/1Kvs4KS76FHFqLFIZfrDMff4kP08nblUkihrxltoGBjg/edit#gid=934712705"",""ESENCIAL!A6:BG""),8,FALSE))"),"PRODUCCIÓN AGROPECUARIA ECOLÓGICA")</f>
        <v>PRODUCCIÓN AGROPECUARIA ECOLÓGICA</v>
      </c>
      <c r="I13" s="185">
        <v>3219666826</v>
      </c>
      <c r="J13" s="185" t="s">
        <v>1169</v>
      </c>
      <c r="K13" s="185"/>
      <c r="L13" s="192" t="s">
        <v>28</v>
      </c>
      <c r="M13" s="276" t="s">
        <v>1170</v>
      </c>
      <c r="N13" s="185" t="s">
        <v>1171</v>
      </c>
      <c r="O13" s="185">
        <v>3118607211</v>
      </c>
      <c r="P13" s="185" t="s">
        <v>295</v>
      </c>
      <c r="Q13" s="185" t="s">
        <v>1172</v>
      </c>
      <c r="R13" s="186">
        <v>44758</v>
      </c>
      <c r="S13" s="222">
        <v>44942</v>
      </c>
      <c r="T13" s="357" t="s">
        <v>1173</v>
      </c>
      <c r="U13" s="30" t="s">
        <v>1174</v>
      </c>
      <c r="V13" s="115" t="s">
        <v>1175</v>
      </c>
      <c r="W13" s="30"/>
      <c r="X13" s="30"/>
      <c r="Y13" s="30"/>
      <c r="Z13" s="30"/>
      <c r="AA13" s="30"/>
      <c r="AB13" s="30"/>
      <c r="AC13" s="30"/>
      <c r="AD13" s="30"/>
      <c r="AE13" s="30"/>
      <c r="AF13" s="30"/>
      <c r="AG13" s="30"/>
      <c r="AH13" s="30"/>
      <c r="AI13" s="30"/>
      <c r="AJ13" s="30"/>
      <c r="AK13" s="30"/>
      <c r="AL13" s="30"/>
      <c r="AM13" s="30"/>
      <c r="AN13" s="30"/>
      <c r="AO13" s="30"/>
      <c r="AP13" s="30"/>
      <c r="AQ13" s="30"/>
      <c r="AR13" s="30"/>
      <c r="AS13" s="358" t="s">
        <v>1176</v>
      </c>
      <c r="AT13" s="185"/>
      <c r="AU13" s="173" t="str">
        <f t="shared" ca="1" si="0"/>
        <v>Procede_E_P</v>
      </c>
      <c r="AV13" s="166" t="str">
        <f ca="1">IFERROR(__xludf.DUMMYFUNCTION("IFERROR(VLOOKUP(E116&amp;F116,IMPORTRANGE(""https://docs.google.com/spreadsheets/d/1Uw7-A9f9R21vMXxHZFNpYNeKFtG8_yji4HS352LGlSQ/edit?pli=1#gid=0"",""1_ACUM!A4:S""),11,FALSE))"),"EN FORMACION")</f>
        <v>EN FORMACION</v>
      </c>
      <c r="AW13" s="174" t="str">
        <f ca="1">IFERROR(__xludf.DUMMYFUNCTION("IFERROR(VLOOKUP(F116,IMPORTRANGE(""https://docs.google.com/spreadsheets/d/1Kvs4KS76FHFqLFIZfrDMff4kP08nblUkihrxltoGBjg/edit#gid=934712705"",""ESENCIAL!A6:BG""),15,FALSE))"),"AGROPECUARIO")</f>
        <v>AGROPECUARIO</v>
      </c>
      <c r="AX13" s="175">
        <f ca="1">IFERROR(__xludf.DUMMYFUNCTION("IFERROR(VLOOKUP(E116&amp;F116,IMPORTRANGE(""https://docs.google.com/spreadsheets/d/1Uw7-A9f9R21vMXxHZFNpYNeKFtG8_yji4HS352LGlSQ/edit?pli=1#gid=0"",""1_ACUM!A4:S""),12,FALSE))"),44839)</f>
        <v>44839</v>
      </c>
      <c r="AY13" s="176">
        <f ca="1">IFERROR(__xludf.DUMMYFUNCTION("IFERROR(VLOOKUP(E116&amp;F116,IMPORTRANGE(""https://docs.google.com/spreadsheets/d/1Uw7-A9f9R21vMXxHZFNpYNeKFtG8_yji4HS352LGlSQ/edit?pli=1#gid=0"",""1_ACUM!A4:S""),13,FALSE))"),0)</f>
        <v>0</v>
      </c>
      <c r="AZ13" s="176">
        <f ca="1">IFERROR(__xludf.DUMMYFUNCTION("IFERROR(VLOOKUP(E116&amp;F116,IMPORTRANGE(""https://docs.google.com/spreadsheets/d/1Uw7-A9f9R21vMXxHZFNpYNeKFtG8_yji4HS352LGlSQ/edit?pli=1#gid=0"",""1_ACUM!A4:S""),14,FALSE))"),1)</f>
        <v>1</v>
      </c>
      <c r="BA13" s="176">
        <f ca="1">IFERROR(__xludf.DUMMYFUNCTION("IFERROR(VLOOKUP(E116&amp;F116,IMPORTRANGE(""https://docs.google.com/spreadsheets/d/1Uw7-A9f9R21vMXxHZFNpYNeKFtG8_yji4HS352LGlSQ/edit?pli=1#gid=0"",""1_ACUM!A4:S""),15,FALSE))"),0)</f>
        <v>0</v>
      </c>
      <c r="BB13" s="176">
        <f ca="1">IFERROR(__xludf.DUMMYFUNCTION("IFERROR(VLOOKUP(E116&amp;F116,IMPORTRANGE(""https://docs.google.com/spreadsheets/d/1Uw7-A9f9R21vMXxHZFNpYNeKFtG8_yji4HS352LGlSQ/edit?pli=1#gid=0"",""1_ACUM!A4:S""),16,FALSE))"),0)</f>
        <v>0</v>
      </c>
      <c r="BC13" s="176">
        <f ca="1">IFERROR(__xludf.DUMMYFUNCTION("IFERROR(VLOOKUP(E116&amp;F116,IMPORTRANGE(""https://docs.google.com/spreadsheets/d/1Uw7-A9f9R21vMXxHZFNpYNeKFtG8_yji4HS352LGlSQ/edit?pli=1#gid=0"",""1_ACUM!A4:S""),17,FALSE))"),1)</f>
        <v>1</v>
      </c>
      <c r="BD13" s="177">
        <f ca="1">IFERROR(__xludf.DUMMYFUNCTION("IFERROR(VLOOKUP(E116&amp;F116,IMPORTRANGE(""https://docs.google.com/spreadsheets/d/1Uw7-A9f9R21vMXxHZFNpYNeKFtG8_yji4HS352LGlSQ/edit?pli=1#gid=0"",""1_ACUM!A4:S""),18,FALSE))"),44183)</f>
        <v>44183</v>
      </c>
      <c r="BE13" s="177">
        <f ca="1">IFERROR(__xludf.DUMMYFUNCTION("IFERROR(VLOOKUP(E116&amp;F116,IMPORTRANGE(""https://docs.google.com/spreadsheets/d/1Uw7-A9f9R21vMXxHZFNpYNeKFtG8_yji4HS352LGlSQ/edit?pli=1#gid=0"",""1_ACUM!A4:S""),19,FALSE))"),44729)</f>
        <v>44729</v>
      </c>
      <c r="BF13" s="177">
        <f ca="1">IFERROR(__xludf.DUMMYFUNCTION("IFERROR(VLOOKUP(F116,IMPORTRANGE(""https://docs.google.com/spreadsheets/d/1Kvs4KS76FHFqLFIZfrDMff4kP08nblUkihrxltoGBjg/edit#gid=934712705"",""ESENCIAL!A6:BG""),5,FALSE))"),44912)</f>
        <v>44912</v>
      </c>
      <c r="BG13" s="177">
        <f t="shared" ca="1" si="1"/>
        <v>45460</v>
      </c>
      <c r="BH13" s="173" t="str">
        <f t="shared" ca="1" si="2"/>
        <v>FICHA EN TIEMPO-18 MESES</v>
      </c>
      <c r="BI13" s="173" t="str">
        <f ca="1">IFERROR(__xludf.DUMMYFUNCTION("IFERROR(VLOOKUP(F116,IMPORTRANGE(""https://docs.google.com/spreadsheets/d/1Kvs4KS76FHFqLFIZfrDMff4kP08nblUkihrxltoGBjg/edit#gid=934712705"",""ESENCIAL!A6:BG""),18,FALSE))"),"En ejecucion")</f>
        <v>En ejecucion</v>
      </c>
      <c r="BJ13" s="173" t="str">
        <f t="shared" si="3"/>
        <v>Yamboro</v>
      </c>
      <c r="BK13" s="291"/>
      <c r="BL13" s="19"/>
    </row>
    <row r="14" spans="1:64" s="180" customFormat="1" ht="18" customHeight="1">
      <c r="A14" s="469" t="s">
        <v>1167</v>
      </c>
      <c r="B14" s="167" t="s">
        <v>25</v>
      </c>
      <c r="C14" s="169" t="s">
        <v>1177</v>
      </c>
      <c r="D14" s="195" t="s">
        <v>27</v>
      </c>
      <c r="E14" s="197">
        <v>1004440717</v>
      </c>
      <c r="F14" s="188">
        <v>2252427</v>
      </c>
      <c r="G14" s="166" t="str">
        <f ca="1">IFERROR(__xludf.DUMMYFUNCTION("IFERROR(VLOOKUP(F119,IMPORTRANGE(""https://docs.google.com/spreadsheets/d/1Kvs4KS76FHFqLFIZfrDMff4kP08nblUkihrxltoGBjg/edit#gid=934712705"",""ESENCIAL!A6:BG""),3,FALSE))"),"TECNÓLOGO")</f>
        <v>TECNÓLOGO</v>
      </c>
      <c r="H14" s="166" t="str">
        <f ca="1">IFERROR(__xludf.DUMMYFUNCTION("IFERROR(VLOOKUP(F119,IMPORTRANGE(""https://docs.google.com/spreadsheets/d/1Kvs4KS76FHFqLFIZfrDMff4kP08nblUkihrxltoGBjg/edit#gid=934712705"",""ESENCIAL!A6:BG""),8,FALSE))"),"PRODUCCIÓN AGROPECUARIA ECOLÓGICA")</f>
        <v>PRODUCCIÓN AGROPECUARIA ECOLÓGICA</v>
      </c>
      <c r="I14" s="184">
        <v>3178888930</v>
      </c>
      <c r="J14" s="184" t="s">
        <v>1178</v>
      </c>
      <c r="K14" s="185" t="s">
        <v>73</v>
      </c>
      <c r="L14" s="183" t="s">
        <v>37</v>
      </c>
      <c r="M14" s="203" t="s">
        <v>1179</v>
      </c>
      <c r="N14" s="185" t="s">
        <v>73</v>
      </c>
      <c r="O14" s="185">
        <v>3217388487</v>
      </c>
      <c r="P14" s="185" t="s">
        <v>73</v>
      </c>
      <c r="Q14" s="185" t="s">
        <v>230</v>
      </c>
      <c r="R14" s="186">
        <v>44805</v>
      </c>
      <c r="S14" s="222">
        <v>44988</v>
      </c>
      <c r="T14" s="185" t="s">
        <v>1180</v>
      </c>
      <c r="U14" s="30" t="s">
        <v>1181</v>
      </c>
      <c r="V14" s="83" t="s">
        <v>1182</v>
      </c>
      <c r="W14" s="30"/>
      <c r="X14" s="30"/>
      <c r="Y14" s="74"/>
      <c r="Z14" s="30"/>
      <c r="AA14" s="30"/>
      <c r="AB14" s="30"/>
      <c r="AC14" s="30"/>
      <c r="AD14" s="30"/>
      <c r="AE14" s="30"/>
      <c r="AF14" s="30"/>
      <c r="AG14" s="30"/>
      <c r="AH14" s="30"/>
      <c r="AI14" s="30"/>
      <c r="AJ14" s="30"/>
      <c r="AK14" s="30"/>
      <c r="AL14" s="30"/>
      <c r="AM14" s="30"/>
      <c r="AN14" s="30"/>
      <c r="AO14" s="30"/>
      <c r="AP14" s="30"/>
      <c r="AQ14" s="30"/>
      <c r="AR14" s="30"/>
      <c r="AS14" s="185"/>
      <c r="AT14" s="185"/>
      <c r="AU14" s="173" t="str">
        <f t="shared" ca="1" si="0"/>
        <v>Procede_E_P</v>
      </c>
      <c r="AV14" s="166" t="str">
        <f ca="1">IFERROR(__xludf.DUMMYFUNCTION("IFERROR(VLOOKUP(E119&amp;F119,IMPORTRANGE(""https://docs.google.com/spreadsheets/d/1Uw7-A9f9R21vMXxHZFNpYNeKFtG8_yji4HS352LGlSQ/edit?pli=1#gid=0"",""1_ACUM!A4:S""),11,FALSE))"),"EN FORMACION")</f>
        <v>EN FORMACION</v>
      </c>
      <c r="AW14" s="174" t="str">
        <f ca="1">IFERROR(__xludf.DUMMYFUNCTION("IFERROR(VLOOKUP(F119,IMPORTRANGE(""https://docs.google.com/spreadsheets/d/1Kvs4KS76FHFqLFIZfrDMff4kP08nblUkihrxltoGBjg/edit#gid=934712705"",""ESENCIAL!A6:BG""),15,FALSE))"),"AGROPECUARIO")</f>
        <v>AGROPECUARIO</v>
      </c>
      <c r="AX14" s="175">
        <f ca="1">IFERROR(__xludf.DUMMYFUNCTION("IFERROR(VLOOKUP(E119&amp;F119,IMPORTRANGE(""https://docs.google.com/spreadsheets/d/1Uw7-A9f9R21vMXxHZFNpYNeKFtG8_yji4HS352LGlSQ/edit?pli=1#gid=0"",""1_ACUM!A4:S""),12,FALSE))"),44839)</f>
        <v>44839</v>
      </c>
      <c r="AY14" s="176">
        <f ca="1">IFERROR(__xludf.DUMMYFUNCTION("IFERROR(VLOOKUP(E119&amp;F119,IMPORTRANGE(""https://docs.google.com/spreadsheets/d/1Uw7-A9f9R21vMXxHZFNpYNeKFtG8_yji4HS352LGlSQ/edit?pli=1#gid=0"",""1_ACUM!A4:S""),13,FALSE))"),0)</f>
        <v>0</v>
      </c>
      <c r="AZ14" s="176">
        <f ca="1">IFERROR(__xludf.DUMMYFUNCTION("IFERROR(VLOOKUP(E119&amp;F119,IMPORTRANGE(""https://docs.google.com/spreadsheets/d/1Uw7-A9f9R21vMXxHZFNpYNeKFtG8_yji4HS352LGlSQ/edit?pli=1#gid=0"",""1_ACUM!A4:S""),14,FALSE))"),1)</f>
        <v>1</v>
      </c>
      <c r="BA14" s="176">
        <f ca="1">IFERROR(__xludf.DUMMYFUNCTION("IFERROR(VLOOKUP(E119&amp;F119,IMPORTRANGE(""https://docs.google.com/spreadsheets/d/1Uw7-A9f9R21vMXxHZFNpYNeKFtG8_yji4HS352LGlSQ/edit?pli=1#gid=0"",""1_ACUM!A4:S""),15,FALSE))"),0)</f>
        <v>0</v>
      </c>
      <c r="BB14" s="176">
        <f ca="1">IFERROR(__xludf.DUMMYFUNCTION("IFERROR(VLOOKUP(E119&amp;F119,IMPORTRANGE(""https://docs.google.com/spreadsheets/d/1Uw7-A9f9R21vMXxHZFNpYNeKFtG8_yji4HS352LGlSQ/edit?pli=1#gid=0"",""1_ACUM!A4:S""),16,FALSE))"),0)</f>
        <v>0</v>
      </c>
      <c r="BC14" s="176">
        <f ca="1">IFERROR(__xludf.DUMMYFUNCTION("IFERROR(VLOOKUP(E119&amp;F119,IMPORTRANGE(""https://docs.google.com/spreadsheets/d/1Uw7-A9f9R21vMXxHZFNpYNeKFtG8_yji4HS352LGlSQ/edit?pli=1#gid=0"",""1_ACUM!A4:S""),17,FALSE))"),1)</f>
        <v>1</v>
      </c>
      <c r="BD14" s="177">
        <f ca="1">IFERROR(__xludf.DUMMYFUNCTION("IFERROR(VLOOKUP(E119&amp;F119,IMPORTRANGE(""https://docs.google.com/spreadsheets/d/1Uw7-A9f9R21vMXxHZFNpYNeKFtG8_yji4HS352LGlSQ/edit?pli=1#gid=0"",""1_ACUM!A4:S""),18,FALSE))"),44183)</f>
        <v>44183</v>
      </c>
      <c r="BE14" s="177">
        <f ca="1">IFERROR(__xludf.DUMMYFUNCTION("IFERROR(VLOOKUP(E119&amp;F119,IMPORTRANGE(""https://docs.google.com/spreadsheets/d/1Uw7-A9f9R21vMXxHZFNpYNeKFtG8_yji4HS352LGlSQ/edit?pli=1#gid=0"",""1_ACUM!A4:S""),19,FALSE))"),44729)</f>
        <v>44729</v>
      </c>
      <c r="BF14" s="177">
        <f ca="1">IFERROR(__xludf.DUMMYFUNCTION("IFERROR(VLOOKUP(F119,IMPORTRANGE(""https://docs.google.com/spreadsheets/d/1Kvs4KS76FHFqLFIZfrDMff4kP08nblUkihrxltoGBjg/edit#gid=934712705"",""ESENCIAL!A6:BG""),5,FALSE))"),44912)</f>
        <v>44912</v>
      </c>
      <c r="BG14" s="177">
        <f t="shared" ca="1" si="1"/>
        <v>45460</v>
      </c>
      <c r="BH14" s="173" t="str">
        <f t="shared" ca="1" si="2"/>
        <v>FICHA EN TIEMPO-18 MESES</v>
      </c>
      <c r="BI14" s="173" t="str">
        <f ca="1">IFERROR(__xludf.DUMMYFUNCTION("IFERROR(VLOOKUP(F119,IMPORTRANGE(""https://docs.google.com/spreadsheets/d/1Kvs4KS76FHFqLFIZfrDMff4kP08nblUkihrxltoGBjg/edit#gid=934712705"",""ESENCIAL!A6:BG""),18,FALSE))"),"En ejecucion")</f>
        <v>En ejecucion</v>
      </c>
      <c r="BJ14" s="173" t="str">
        <f t="shared" si="3"/>
        <v>Yamboro</v>
      </c>
      <c r="BK14" s="295"/>
      <c r="BL14" s="173"/>
    </row>
    <row r="15" spans="1:64" ht="18" customHeight="1">
      <c r="A15" s="469" t="s">
        <v>1119</v>
      </c>
      <c r="B15" s="167" t="s">
        <v>25</v>
      </c>
      <c r="C15" s="169" t="s">
        <v>1183</v>
      </c>
      <c r="D15" s="195" t="s">
        <v>27</v>
      </c>
      <c r="E15" s="197">
        <v>1004440759</v>
      </c>
      <c r="F15" s="188">
        <v>2252427</v>
      </c>
      <c r="G15" s="166" t="str">
        <f ca="1">IFERROR(__xludf.DUMMYFUNCTION("IFERROR(VLOOKUP(F120,IMPORTRANGE(""https://docs.google.com/spreadsheets/d/1Kvs4KS76FHFqLFIZfrDMff4kP08nblUkihrxltoGBjg/edit#gid=934712705"",""ESENCIAL!A6:BG""),3,FALSE))"),"TECNÓLOGO")</f>
        <v>TECNÓLOGO</v>
      </c>
      <c r="H15" s="166" t="str">
        <f ca="1">IFERROR(__xludf.DUMMYFUNCTION("IFERROR(VLOOKUP(F120,IMPORTRANGE(""https://docs.google.com/spreadsheets/d/1Kvs4KS76FHFqLFIZfrDMff4kP08nblUkihrxltoGBjg/edit#gid=934712705"",""ESENCIAL!A6:BG""),8,FALSE))"),"PRODUCCIÓN AGROPECUARIA ECOLÓGICA")</f>
        <v>PRODUCCIÓN AGROPECUARIA ECOLÓGICA</v>
      </c>
      <c r="I15" s="185">
        <v>3187469348</v>
      </c>
      <c r="J15" s="185" t="s">
        <v>1184</v>
      </c>
      <c r="K15" s="185"/>
      <c r="L15" s="192" t="s">
        <v>28</v>
      </c>
      <c r="M15" s="185" t="s">
        <v>1185</v>
      </c>
      <c r="N15" s="185" t="s">
        <v>1186</v>
      </c>
      <c r="O15" s="185">
        <v>3102545120</v>
      </c>
      <c r="P15" s="185"/>
      <c r="Q15" s="185"/>
      <c r="R15" s="186">
        <v>44732</v>
      </c>
      <c r="S15" s="222">
        <v>44914</v>
      </c>
      <c r="T15" s="187" t="s">
        <v>1187</v>
      </c>
      <c r="U15" s="172" t="s">
        <v>1188</v>
      </c>
      <c r="V15" s="185" t="s">
        <v>1189</v>
      </c>
      <c r="W15" s="185"/>
      <c r="X15" s="185"/>
      <c r="Y15" s="194"/>
      <c r="Z15" s="185"/>
      <c r="AA15" s="185"/>
      <c r="AB15" s="185"/>
      <c r="AC15" s="185"/>
      <c r="AD15" s="185"/>
      <c r="AE15" s="185"/>
      <c r="AF15" s="185"/>
      <c r="AG15" s="185"/>
      <c r="AH15" s="185"/>
      <c r="AI15" s="185"/>
      <c r="AJ15" s="185"/>
      <c r="AK15" s="185"/>
      <c r="AL15" s="185"/>
      <c r="AM15" s="185"/>
      <c r="AN15" s="185"/>
      <c r="AO15" s="185"/>
      <c r="AP15" s="185"/>
      <c r="AQ15" s="185"/>
      <c r="AR15" s="185"/>
      <c r="AS15" s="185" t="s">
        <v>762</v>
      </c>
      <c r="AT15" s="185" t="s">
        <v>1190</v>
      </c>
      <c r="AU15" s="173" t="str">
        <f t="shared" ca="1" si="0"/>
        <v>Procede_E_P</v>
      </c>
      <c r="AV15" s="166" t="str">
        <f ca="1">IFERROR(__xludf.DUMMYFUNCTION("IFERROR(VLOOKUP(E120&amp;F120,IMPORTRANGE(""https://docs.google.com/spreadsheets/d/1Uw7-A9f9R21vMXxHZFNpYNeKFtG8_yji4HS352LGlSQ/edit?pli=1#gid=0"",""1_ACUM!A4:S""),11,FALSE))"),"EN FORMACION")</f>
        <v>EN FORMACION</v>
      </c>
      <c r="AW15" s="174" t="str">
        <f ca="1">IFERROR(__xludf.DUMMYFUNCTION("IFERROR(VLOOKUP(F120,IMPORTRANGE(""https://docs.google.com/spreadsheets/d/1Kvs4KS76FHFqLFIZfrDMff4kP08nblUkihrxltoGBjg/edit#gid=934712705"",""ESENCIAL!A6:BG""),15,FALSE))"),"AGROPECUARIO")</f>
        <v>AGROPECUARIO</v>
      </c>
      <c r="AX15" s="175">
        <f ca="1">IFERROR(__xludf.DUMMYFUNCTION("IFERROR(VLOOKUP(E120&amp;F120,IMPORTRANGE(""https://docs.google.com/spreadsheets/d/1Uw7-A9f9R21vMXxHZFNpYNeKFtG8_yji4HS352LGlSQ/edit?pli=1#gid=0"",""1_ACUM!A4:S""),12,FALSE))"),44839)</f>
        <v>44839</v>
      </c>
      <c r="AY15" s="176">
        <f ca="1">IFERROR(__xludf.DUMMYFUNCTION("IFERROR(VLOOKUP(E120&amp;F120,IMPORTRANGE(""https://docs.google.com/spreadsheets/d/1Uw7-A9f9R21vMXxHZFNpYNeKFtG8_yji4HS352LGlSQ/edit?pli=1#gid=0"",""1_ACUM!A4:S""),13,FALSE))"),0)</f>
        <v>0</v>
      </c>
      <c r="AZ15" s="176">
        <f ca="1">IFERROR(__xludf.DUMMYFUNCTION("IFERROR(VLOOKUP(E120&amp;F120,IMPORTRANGE(""https://docs.google.com/spreadsheets/d/1Uw7-A9f9R21vMXxHZFNpYNeKFtG8_yji4HS352LGlSQ/edit?pli=1#gid=0"",""1_ACUM!A4:S""),14,FALSE))"),1)</f>
        <v>1</v>
      </c>
      <c r="BA15" s="176">
        <f ca="1">IFERROR(__xludf.DUMMYFUNCTION("IFERROR(VLOOKUP(E120&amp;F120,IMPORTRANGE(""https://docs.google.com/spreadsheets/d/1Uw7-A9f9R21vMXxHZFNpYNeKFtG8_yji4HS352LGlSQ/edit?pli=1#gid=0"",""1_ACUM!A4:S""),15,FALSE))"),0)</f>
        <v>0</v>
      </c>
      <c r="BB15" s="176">
        <f ca="1">IFERROR(__xludf.DUMMYFUNCTION("IFERROR(VLOOKUP(E120&amp;F120,IMPORTRANGE(""https://docs.google.com/spreadsheets/d/1Uw7-A9f9R21vMXxHZFNpYNeKFtG8_yji4HS352LGlSQ/edit?pli=1#gid=0"",""1_ACUM!A4:S""),16,FALSE))"),0)</f>
        <v>0</v>
      </c>
      <c r="BC15" s="176">
        <f ca="1">IFERROR(__xludf.DUMMYFUNCTION("IFERROR(VLOOKUP(E120&amp;F120,IMPORTRANGE(""https://docs.google.com/spreadsheets/d/1Uw7-A9f9R21vMXxHZFNpYNeKFtG8_yji4HS352LGlSQ/edit?pli=1#gid=0"",""1_ACUM!A4:S""),17,FALSE))"),1)</f>
        <v>1</v>
      </c>
      <c r="BD15" s="177">
        <f ca="1">IFERROR(__xludf.DUMMYFUNCTION("IFERROR(VLOOKUP(E120&amp;F120,IMPORTRANGE(""https://docs.google.com/spreadsheets/d/1Uw7-A9f9R21vMXxHZFNpYNeKFtG8_yji4HS352LGlSQ/edit?pli=1#gid=0"",""1_ACUM!A4:S""),18,FALSE))"),44183)</f>
        <v>44183</v>
      </c>
      <c r="BE15" s="177">
        <f ca="1">IFERROR(__xludf.DUMMYFUNCTION("IFERROR(VLOOKUP(E120&amp;F120,IMPORTRANGE(""https://docs.google.com/spreadsheets/d/1Uw7-A9f9R21vMXxHZFNpYNeKFtG8_yji4HS352LGlSQ/edit?pli=1#gid=0"",""1_ACUM!A4:S""),19,FALSE))"),44729)</f>
        <v>44729</v>
      </c>
      <c r="BF15" s="177">
        <f ca="1">IFERROR(__xludf.DUMMYFUNCTION("IFERROR(VLOOKUP(F120,IMPORTRANGE(""https://docs.google.com/spreadsheets/d/1Kvs4KS76FHFqLFIZfrDMff4kP08nblUkihrxltoGBjg/edit#gid=934712705"",""ESENCIAL!A6:BG""),5,FALSE))"),44912)</f>
        <v>44912</v>
      </c>
      <c r="BG15" s="177">
        <f t="shared" ca="1" si="1"/>
        <v>45460</v>
      </c>
      <c r="BH15" s="173" t="str">
        <f t="shared" ca="1" si="2"/>
        <v>FICHA EN TIEMPO-18 MESES</v>
      </c>
      <c r="BI15" s="173" t="str">
        <f ca="1">IFERROR(__xludf.DUMMYFUNCTION("IFERROR(VLOOKUP(F120,IMPORTRANGE(""https://docs.google.com/spreadsheets/d/1Kvs4KS76FHFqLFIZfrDMff4kP08nblUkihrxltoGBjg/edit#gid=934712705"",""ESENCIAL!A6:BG""),18,FALSE))"),"En ejecucion")</f>
        <v>En ejecucion</v>
      </c>
      <c r="BJ15" s="173" t="str">
        <f t="shared" si="3"/>
        <v>Yamboro</v>
      </c>
      <c r="BK15" s="291"/>
      <c r="BL15" s="19"/>
    </row>
    <row r="16" spans="1:64" ht="18" customHeight="1">
      <c r="A16" s="469" t="s">
        <v>1119</v>
      </c>
      <c r="B16" s="167" t="s">
        <v>25</v>
      </c>
      <c r="C16" s="169" t="s">
        <v>1191</v>
      </c>
      <c r="D16" s="195" t="s">
        <v>27</v>
      </c>
      <c r="E16" s="197">
        <v>1004440841</v>
      </c>
      <c r="F16" s="188">
        <v>2252427</v>
      </c>
      <c r="G16" s="166" t="str">
        <f ca="1">IFERROR(__xludf.DUMMYFUNCTION("IFERROR(VLOOKUP(F121,IMPORTRANGE(""https://docs.google.com/spreadsheets/d/1Kvs4KS76FHFqLFIZfrDMff4kP08nblUkihrxltoGBjg/edit#gid=934712705"",""ESENCIAL!A6:BG""),3,FALSE))"),"TECNÓLOGO")</f>
        <v>TECNÓLOGO</v>
      </c>
      <c r="H16" s="166" t="str">
        <f ca="1">IFERROR(__xludf.DUMMYFUNCTION("IFERROR(VLOOKUP(F121,IMPORTRANGE(""https://docs.google.com/spreadsheets/d/1Kvs4KS76FHFqLFIZfrDMff4kP08nblUkihrxltoGBjg/edit#gid=934712705"",""ESENCIAL!A6:BG""),8,FALSE))"),"PRODUCCIÓN AGROPECUARIA ECOLÓGICA")</f>
        <v>PRODUCCIÓN AGROPECUARIA ECOLÓGICA</v>
      </c>
      <c r="I16" s="185"/>
      <c r="J16" s="185"/>
      <c r="K16" s="185"/>
      <c r="L16" s="183" t="s">
        <v>37</v>
      </c>
      <c r="M16" s="185" t="s">
        <v>1192</v>
      </c>
      <c r="N16" s="185" t="s">
        <v>1193</v>
      </c>
      <c r="O16" s="185">
        <v>3115578990</v>
      </c>
      <c r="P16" s="185" t="s">
        <v>1194</v>
      </c>
      <c r="Q16" s="185" t="s">
        <v>1195</v>
      </c>
      <c r="R16" s="186">
        <v>44810</v>
      </c>
      <c r="S16" s="222">
        <v>44626</v>
      </c>
      <c r="T16" s="185" t="s">
        <v>1196</v>
      </c>
      <c r="U16" s="172" t="s">
        <v>1188</v>
      </c>
      <c r="V16" s="185" t="s">
        <v>1189</v>
      </c>
      <c r="W16" s="185"/>
      <c r="X16" s="185"/>
      <c r="Y16" s="185"/>
      <c r="Z16" s="185"/>
      <c r="AA16" s="185"/>
      <c r="AB16" s="185"/>
      <c r="AC16" s="185"/>
      <c r="AD16" s="185"/>
      <c r="AE16" s="185"/>
      <c r="AF16" s="185"/>
      <c r="AG16" s="185"/>
      <c r="AH16" s="185"/>
      <c r="AI16" s="185"/>
      <c r="AJ16" s="185"/>
      <c r="AK16" s="185"/>
      <c r="AL16" s="185"/>
      <c r="AM16" s="185"/>
      <c r="AN16" s="185"/>
      <c r="AO16" s="185"/>
      <c r="AP16" s="185"/>
      <c r="AQ16" s="185"/>
      <c r="AR16" s="185"/>
      <c r="AS16" s="185" t="s">
        <v>762</v>
      </c>
      <c r="AT16" s="185" t="s">
        <v>1190</v>
      </c>
      <c r="AU16" s="173" t="str">
        <f t="shared" ca="1" si="0"/>
        <v>Procede_E_P</v>
      </c>
      <c r="AV16" s="166" t="str">
        <f ca="1">IFERROR(__xludf.DUMMYFUNCTION("IFERROR(VLOOKUP(E121&amp;F121,IMPORTRANGE(""https://docs.google.com/spreadsheets/d/1Uw7-A9f9R21vMXxHZFNpYNeKFtG8_yji4HS352LGlSQ/edit?pli=1#gid=0"",""1_ACUM!A4:S""),11,FALSE))"),"EN FORMACION")</f>
        <v>EN FORMACION</v>
      </c>
      <c r="AW16" s="174" t="str">
        <f ca="1">IFERROR(__xludf.DUMMYFUNCTION("IFERROR(VLOOKUP(F121,IMPORTRANGE(""https://docs.google.com/spreadsheets/d/1Kvs4KS76FHFqLFIZfrDMff4kP08nblUkihrxltoGBjg/edit#gid=934712705"",""ESENCIAL!A6:BG""),15,FALSE))"),"AGROPECUARIO")</f>
        <v>AGROPECUARIO</v>
      </c>
      <c r="AX16" s="175">
        <f ca="1">IFERROR(__xludf.DUMMYFUNCTION("IFERROR(VLOOKUP(E121&amp;F121,IMPORTRANGE(""https://docs.google.com/spreadsheets/d/1Uw7-A9f9R21vMXxHZFNpYNeKFtG8_yji4HS352LGlSQ/edit?pli=1#gid=0"",""1_ACUM!A4:S""),12,FALSE))"),44839)</f>
        <v>44839</v>
      </c>
      <c r="AY16" s="176">
        <f ca="1">IFERROR(__xludf.DUMMYFUNCTION("IFERROR(VLOOKUP(E121&amp;F121,IMPORTRANGE(""https://docs.google.com/spreadsheets/d/1Uw7-A9f9R21vMXxHZFNpYNeKFtG8_yji4HS352LGlSQ/edit?pli=1#gid=0"",""1_ACUM!A4:S""),13,FALSE))"),0)</f>
        <v>0</v>
      </c>
      <c r="AZ16" s="176">
        <f ca="1">IFERROR(__xludf.DUMMYFUNCTION("IFERROR(VLOOKUP(E121&amp;F121,IMPORTRANGE(""https://docs.google.com/spreadsheets/d/1Uw7-A9f9R21vMXxHZFNpYNeKFtG8_yji4HS352LGlSQ/edit?pli=1#gid=0"",""1_ACUM!A4:S""),14,FALSE))"),1)</f>
        <v>1</v>
      </c>
      <c r="BA16" s="176">
        <f ca="1">IFERROR(__xludf.DUMMYFUNCTION("IFERROR(VLOOKUP(E121&amp;F121,IMPORTRANGE(""https://docs.google.com/spreadsheets/d/1Uw7-A9f9R21vMXxHZFNpYNeKFtG8_yji4HS352LGlSQ/edit?pli=1#gid=0"",""1_ACUM!A4:S""),15,FALSE))"),0)</f>
        <v>0</v>
      </c>
      <c r="BB16" s="176">
        <f ca="1">IFERROR(__xludf.DUMMYFUNCTION("IFERROR(VLOOKUP(E121&amp;F121,IMPORTRANGE(""https://docs.google.com/spreadsheets/d/1Uw7-A9f9R21vMXxHZFNpYNeKFtG8_yji4HS352LGlSQ/edit?pli=1#gid=0"",""1_ACUM!A4:S""),16,FALSE))"),0)</f>
        <v>0</v>
      </c>
      <c r="BC16" s="176">
        <f ca="1">IFERROR(__xludf.DUMMYFUNCTION("IFERROR(VLOOKUP(E121&amp;F121,IMPORTRANGE(""https://docs.google.com/spreadsheets/d/1Uw7-A9f9R21vMXxHZFNpYNeKFtG8_yji4HS352LGlSQ/edit?pli=1#gid=0"",""1_ACUM!A4:S""),17,FALSE))"),1)</f>
        <v>1</v>
      </c>
      <c r="BD16" s="177">
        <f ca="1">IFERROR(__xludf.DUMMYFUNCTION("IFERROR(VLOOKUP(E121&amp;F121,IMPORTRANGE(""https://docs.google.com/spreadsheets/d/1Uw7-A9f9R21vMXxHZFNpYNeKFtG8_yji4HS352LGlSQ/edit?pli=1#gid=0"",""1_ACUM!A4:S""),18,FALSE))"),44183)</f>
        <v>44183</v>
      </c>
      <c r="BE16" s="177">
        <f ca="1">IFERROR(__xludf.DUMMYFUNCTION("IFERROR(VLOOKUP(E121&amp;F121,IMPORTRANGE(""https://docs.google.com/spreadsheets/d/1Uw7-A9f9R21vMXxHZFNpYNeKFtG8_yji4HS352LGlSQ/edit?pli=1#gid=0"",""1_ACUM!A4:S""),19,FALSE))"),44729)</f>
        <v>44729</v>
      </c>
      <c r="BF16" s="177">
        <f ca="1">IFERROR(__xludf.DUMMYFUNCTION("IFERROR(VLOOKUP(F121,IMPORTRANGE(""https://docs.google.com/spreadsheets/d/1Kvs4KS76FHFqLFIZfrDMff4kP08nblUkihrxltoGBjg/edit#gid=934712705"",""ESENCIAL!A6:BG""),5,FALSE))"),44912)</f>
        <v>44912</v>
      </c>
      <c r="BG16" s="177">
        <f t="shared" ca="1" si="1"/>
        <v>45460</v>
      </c>
      <c r="BH16" s="173" t="str">
        <f t="shared" ca="1" si="2"/>
        <v>FICHA EN TIEMPO-18 MESES</v>
      </c>
      <c r="BI16" s="173" t="str">
        <f ca="1">IFERROR(__xludf.DUMMYFUNCTION("IFERROR(VLOOKUP(F121,IMPORTRANGE(""https://docs.google.com/spreadsheets/d/1Kvs4KS76FHFqLFIZfrDMff4kP08nblUkihrxltoGBjg/edit#gid=934712705"",""ESENCIAL!A6:BG""),18,FALSE))"),"En ejecucion")</f>
        <v>En ejecucion</v>
      </c>
      <c r="BJ16" s="173" t="str">
        <f t="shared" si="3"/>
        <v>Yamboro</v>
      </c>
      <c r="BK16" s="291"/>
      <c r="BL16" s="19"/>
    </row>
    <row r="17" spans="1:64" ht="18" customHeight="1">
      <c r="A17" s="469" t="s">
        <v>1167</v>
      </c>
      <c r="B17" s="167" t="s">
        <v>25</v>
      </c>
      <c r="C17" s="169" t="s">
        <v>1197</v>
      </c>
      <c r="D17" s="195" t="s">
        <v>27</v>
      </c>
      <c r="E17" s="197">
        <v>1004442593</v>
      </c>
      <c r="F17" s="188">
        <v>2252427</v>
      </c>
      <c r="G17" s="166" t="str">
        <f ca="1">IFERROR(__xludf.DUMMYFUNCTION("IFERROR(VLOOKUP(F123,IMPORTRANGE(""https://docs.google.com/spreadsheets/d/1Kvs4KS76FHFqLFIZfrDMff4kP08nblUkihrxltoGBjg/edit#gid=934712705"",""ESENCIAL!A6:BG""),3,FALSE))"),"TECNÓLOGO")</f>
        <v>TECNÓLOGO</v>
      </c>
      <c r="H17" s="166" t="str">
        <f ca="1">IFERROR(__xludf.DUMMYFUNCTION("IFERROR(VLOOKUP(F123,IMPORTRANGE(""https://docs.google.com/spreadsheets/d/1Kvs4KS76FHFqLFIZfrDMff4kP08nblUkihrxltoGBjg/edit#gid=934712705"",""ESENCIAL!A6:BG""),8,FALSE))"),"PRODUCCIÓN AGROPECUARIA ECOLÓGICA")</f>
        <v>PRODUCCIÓN AGROPECUARIA ECOLÓGICA</v>
      </c>
      <c r="I17" s="185">
        <v>3176351676</v>
      </c>
      <c r="J17" s="185" t="s">
        <v>1198</v>
      </c>
      <c r="K17" s="185"/>
      <c r="L17" s="185" t="s">
        <v>37</v>
      </c>
      <c r="M17" s="185" t="s">
        <v>1199</v>
      </c>
      <c r="N17" s="185" t="s">
        <v>1200</v>
      </c>
      <c r="O17" s="185">
        <v>3107715448</v>
      </c>
      <c r="P17" s="185" t="s">
        <v>1194</v>
      </c>
      <c r="Q17" s="185" t="s">
        <v>1201</v>
      </c>
      <c r="R17" s="186">
        <v>44774</v>
      </c>
      <c r="S17" s="222">
        <v>44957</v>
      </c>
      <c r="T17" s="357" t="s">
        <v>1202</v>
      </c>
      <c r="U17" s="117" t="s">
        <v>1203</v>
      </c>
      <c r="V17" s="115" t="s">
        <v>1204</v>
      </c>
      <c r="W17" s="30"/>
      <c r="X17" s="30"/>
      <c r="Y17" s="28"/>
      <c r="Z17" s="30"/>
      <c r="AA17" s="30"/>
      <c r="AB17" s="30"/>
      <c r="AC17" s="30"/>
      <c r="AD17" s="30"/>
      <c r="AE17" s="30"/>
      <c r="AF17" s="30"/>
      <c r="AG17" s="30"/>
      <c r="AH17" s="30"/>
      <c r="AI17" s="30"/>
      <c r="AJ17" s="30"/>
      <c r="AK17" s="30"/>
      <c r="AL17" s="30"/>
      <c r="AM17" s="30"/>
      <c r="AN17" s="30"/>
      <c r="AO17" s="30"/>
      <c r="AP17" s="30"/>
      <c r="AQ17" s="30"/>
      <c r="AR17" s="30"/>
      <c r="AS17" s="185"/>
      <c r="AT17" s="185"/>
      <c r="AU17" s="173" t="str">
        <f t="shared" ca="1" si="0"/>
        <v>Procede_E_P</v>
      </c>
      <c r="AV17" s="166" t="str">
        <f ca="1">IFERROR(__xludf.DUMMYFUNCTION("IFERROR(VLOOKUP(E123&amp;F123,IMPORTRANGE(""https://docs.google.com/spreadsheets/d/1Uw7-A9f9R21vMXxHZFNpYNeKFtG8_yji4HS352LGlSQ/edit?pli=1#gid=0"",""1_ACUM!A4:S""),11,FALSE))"),"EN FORMACION")</f>
        <v>EN FORMACION</v>
      </c>
      <c r="AW17" s="174" t="str">
        <f ca="1">IFERROR(__xludf.DUMMYFUNCTION("IFERROR(VLOOKUP(F123,IMPORTRANGE(""https://docs.google.com/spreadsheets/d/1Kvs4KS76FHFqLFIZfrDMff4kP08nblUkihrxltoGBjg/edit#gid=934712705"",""ESENCIAL!A6:BG""),15,FALSE))"),"AGROPECUARIO")</f>
        <v>AGROPECUARIO</v>
      </c>
      <c r="AX17" s="175">
        <f ca="1">IFERROR(__xludf.DUMMYFUNCTION("IFERROR(VLOOKUP(E123&amp;F123,IMPORTRANGE(""https://docs.google.com/spreadsheets/d/1Uw7-A9f9R21vMXxHZFNpYNeKFtG8_yji4HS352LGlSQ/edit?pli=1#gid=0"",""1_ACUM!A4:S""),12,FALSE))"),44839)</f>
        <v>44839</v>
      </c>
      <c r="AY17" s="176">
        <f ca="1">IFERROR(__xludf.DUMMYFUNCTION("IFERROR(VLOOKUP(E123&amp;F123,IMPORTRANGE(""https://docs.google.com/spreadsheets/d/1Uw7-A9f9R21vMXxHZFNpYNeKFtG8_yji4HS352LGlSQ/edit?pli=1#gid=0"",""1_ACUM!A4:S""),13,FALSE))"),0)</f>
        <v>0</v>
      </c>
      <c r="AZ17" s="176">
        <f ca="1">IFERROR(__xludf.DUMMYFUNCTION("IFERROR(VLOOKUP(E123&amp;F123,IMPORTRANGE(""https://docs.google.com/spreadsheets/d/1Uw7-A9f9R21vMXxHZFNpYNeKFtG8_yji4HS352LGlSQ/edit?pli=1#gid=0"",""1_ACUM!A4:S""),14,FALSE))"),1)</f>
        <v>1</v>
      </c>
      <c r="BA17" s="176">
        <f ca="1">IFERROR(__xludf.DUMMYFUNCTION("IFERROR(VLOOKUP(E123&amp;F123,IMPORTRANGE(""https://docs.google.com/spreadsheets/d/1Uw7-A9f9R21vMXxHZFNpYNeKFtG8_yji4HS352LGlSQ/edit?pli=1#gid=0"",""1_ACUM!A4:S""),15,FALSE))"),0)</f>
        <v>0</v>
      </c>
      <c r="BB17" s="176">
        <f ca="1">IFERROR(__xludf.DUMMYFUNCTION("IFERROR(VLOOKUP(E123&amp;F123,IMPORTRANGE(""https://docs.google.com/spreadsheets/d/1Uw7-A9f9R21vMXxHZFNpYNeKFtG8_yji4HS352LGlSQ/edit?pli=1#gid=0"",""1_ACUM!A4:S""),16,FALSE))"),0)</f>
        <v>0</v>
      </c>
      <c r="BC17" s="176">
        <f ca="1">IFERROR(__xludf.DUMMYFUNCTION("IFERROR(VLOOKUP(E123&amp;F123,IMPORTRANGE(""https://docs.google.com/spreadsheets/d/1Uw7-A9f9R21vMXxHZFNpYNeKFtG8_yji4HS352LGlSQ/edit?pli=1#gid=0"",""1_ACUM!A4:S""),17,FALSE))"),1)</f>
        <v>1</v>
      </c>
      <c r="BD17" s="177">
        <f ca="1">IFERROR(__xludf.DUMMYFUNCTION("IFERROR(VLOOKUP(E123&amp;F123,IMPORTRANGE(""https://docs.google.com/spreadsheets/d/1Uw7-A9f9R21vMXxHZFNpYNeKFtG8_yji4HS352LGlSQ/edit?pli=1#gid=0"",""1_ACUM!A4:S""),18,FALSE))"),44183)</f>
        <v>44183</v>
      </c>
      <c r="BE17" s="177">
        <f ca="1">IFERROR(__xludf.DUMMYFUNCTION("IFERROR(VLOOKUP(E123&amp;F123,IMPORTRANGE(""https://docs.google.com/spreadsheets/d/1Uw7-A9f9R21vMXxHZFNpYNeKFtG8_yji4HS352LGlSQ/edit?pli=1#gid=0"",""1_ACUM!A4:S""),19,FALSE))"),44729)</f>
        <v>44729</v>
      </c>
      <c r="BF17" s="177">
        <f ca="1">IFERROR(__xludf.DUMMYFUNCTION("IFERROR(VLOOKUP(F123,IMPORTRANGE(""https://docs.google.com/spreadsheets/d/1Kvs4KS76FHFqLFIZfrDMff4kP08nblUkihrxltoGBjg/edit#gid=934712705"",""ESENCIAL!A6:BG""),5,FALSE))"),44912)</f>
        <v>44912</v>
      </c>
      <c r="BG17" s="177">
        <f t="shared" ca="1" si="1"/>
        <v>45460</v>
      </c>
      <c r="BH17" s="173" t="str">
        <f t="shared" ca="1" si="2"/>
        <v>FICHA EN TIEMPO-18 MESES</v>
      </c>
      <c r="BI17" s="173" t="str">
        <f ca="1">IFERROR(__xludf.DUMMYFUNCTION("IFERROR(VLOOKUP(F123,IMPORTRANGE(""https://docs.google.com/spreadsheets/d/1Kvs4KS76FHFqLFIZfrDMff4kP08nblUkihrxltoGBjg/edit#gid=934712705"",""ESENCIAL!A6:BG""),18,FALSE))"),"En ejecucion")</f>
        <v>En ejecucion</v>
      </c>
      <c r="BJ17" s="173" t="str">
        <f t="shared" si="3"/>
        <v>Yamboro</v>
      </c>
      <c r="BK17" s="291"/>
      <c r="BL17" s="19"/>
    </row>
    <row r="18" spans="1:64" ht="18" customHeight="1">
      <c r="A18" s="469" t="s">
        <v>1167</v>
      </c>
      <c r="B18" s="167" t="s">
        <v>25</v>
      </c>
      <c r="C18" s="169" t="s">
        <v>1205</v>
      </c>
      <c r="D18" s="195" t="s">
        <v>27</v>
      </c>
      <c r="E18" s="197">
        <v>1004443043</v>
      </c>
      <c r="F18" s="188">
        <v>2252427</v>
      </c>
      <c r="G18" s="166" t="str">
        <f ca="1">IFERROR(__xludf.DUMMYFUNCTION("IFERROR(VLOOKUP(F124,IMPORTRANGE(""https://docs.google.com/spreadsheets/d/1Kvs4KS76FHFqLFIZfrDMff4kP08nblUkihrxltoGBjg/edit#gid=934712705"",""ESENCIAL!A6:BG""),3,FALSE))"),"TECNÓLOGO")</f>
        <v>TECNÓLOGO</v>
      </c>
      <c r="H18" s="166" t="str">
        <f ca="1">IFERROR(__xludf.DUMMYFUNCTION("IFERROR(VLOOKUP(F124,IMPORTRANGE(""https://docs.google.com/spreadsheets/d/1Kvs4KS76FHFqLFIZfrDMff4kP08nblUkihrxltoGBjg/edit#gid=934712705"",""ESENCIAL!A6:BG""),8,FALSE))"),"PRODUCCIÓN AGROPECUARIA ECOLÓGICA")</f>
        <v>PRODUCCIÓN AGROPECUARIA ECOLÓGICA</v>
      </c>
      <c r="I18" s="185">
        <v>3202344209</v>
      </c>
      <c r="J18" s="185" t="s">
        <v>1206</v>
      </c>
      <c r="K18" s="185"/>
      <c r="L18" s="185" t="s">
        <v>37</v>
      </c>
      <c r="M18" s="185" t="s">
        <v>1207</v>
      </c>
      <c r="N18" s="185" t="s">
        <v>73</v>
      </c>
      <c r="O18" s="185">
        <v>3138164903</v>
      </c>
      <c r="P18" s="185" t="s">
        <v>84</v>
      </c>
      <c r="Q18" s="185" t="s">
        <v>1208</v>
      </c>
      <c r="R18" s="186">
        <v>44760</v>
      </c>
      <c r="S18" s="222">
        <v>44943</v>
      </c>
      <c r="T18" s="185"/>
      <c r="U18" s="117" t="s">
        <v>1188</v>
      </c>
      <c r="V18" s="30" t="s">
        <v>1189</v>
      </c>
      <c r="W18" s="30"/>
      <c r="X18" s="30"/>
      <c r="Y18" s="28"/>
      <c r="Z18" s="30"/>
      <c r="AA18" s="30"/>
      <c r="AB18" s="30"/>
      <c r="AC18" s="30"/>
      <c r="AD18" s="30"/>
      <c r="AE18" s="30"/>
      <c r="AF18" s="30"/>
      <c r="AG18" s="30"/>
      <c r="AH18" s="30"/>
      <c r="AI18" s="30"/>
      <c r="AJ18" s="30"/>
      <c r="AK18" s="30"/>
      <c r="AL18" s="30"/>
      <c r="AM18" s="30"/>
      <c r="AN18" s="30"/>
      <c r="AO18" s="30"/>
      <c r="AP18" s="30"/>
      <c r="AQ18" s="30"/>
      <c r="AR18" s="30"/>
      <c r="AS18" s="185"/>
      <c r="AT18" s="185"/>
      <c r="AU18" s="173" t="str">
        <f t="shared" ca="1" si="0"/>
        <v>Procede_E_P</v>
      </c>
      <c r="AV18" s="166" t="str">
        <f ca="1">IFERROR(__xludf.DUMMYFUNCTION("IFERROR(VLOOKUP(E124&amp;F124,IMPORTRANGE(""https://docs.google.com/spreadsheets/d/1Uw7-A9f9R21vMXxHZFNpYNeKFtG8_yji4HS352LGlSQ/edit?pli=1#gid=0"",""1_ACUM!A4:S""),11,FALSE))"),"EN FORMACION")</f>
        <v>EN FORMACION</v>
      </c>
      <c r="AW18" s="174" t="str">
        <f ca="1">IFERROR(__xludf.DUMMYFUNCTION("IFERROR(VLOOKUP(F124,IMPORTRANGE(""https://docs.google.com/spreadsheets/d/1Kvs4KS76FHFqLFIZfrDMff4kP08nblUkihrxltoGBjg/edit#gid=934712705"",""ESENCIAL!A6:BG""),15,FALSE))"),"AGROPECUARIO")</f>
        <v>AGROPECUARIO</v>
      </c>
      <c r="AX18" s="175">
        <f ca="1">IFERROR(__xludf.DUMMYFUNCTION("IFERROR(VLOOKUP(E124&amp;F124,IMPORTRANGE(""https://docs.google.com/spreadsheets/d/1Uw7-A9f9R21vMXxHZFNpYNeKFtG8_yji4HS352LGlSQ/edit?pli=1#gid=0"",""1_ACUM!A4:S""),12,FALSE))"),44839)</f>
        <v>44839</v>
      </c>
      <c r="AY18" s="176">
        <f ca="1">IFERROR(__xludf.DUMMYFUNCTION("IFERROR(VLOOKUP(E124&amp;F124,IMPORTRANGE(""https://docs.google.com/spreadsheets/d/1Uw7-A9f9R21vMXxHZFNpYNeKFtG8_yji4HS352LGlSQ/edit?pli=1#gid=0"",""1_ACUM!A4:S""),13,FALSE))"),0)</f>
        <v>0</v>
      </c>
      <c r="AZ18" s="176">
        <f ca="1">IFERROR(__xludf.DUMMYFUNCTION("IFERROR(VLOOKUP(E124&amp;F124,IMPORTRANGE(""https://docs.google.com/spreadsheets/d/1Uw7-A9f9R21vMXxHZFNpYNeKFtG8_yji4HS352LGlSQ/edit?pli=1#gid=0"",""1_ACUM!A4:S""),14,FALSE))"),1)</f>
        <v>1</v>
      </c>
      <c r="BA18" s="176">
        <f ca="1">IFERROR(__xludf.DUMMYFUNCTION("IFERROR(VLOOKUP(E124&amp;F124,IMPORTRANGE(""https://docs.google.com/spreadsheets/d/1Uw7-A9f9R21vMXxHZFNpYNeKFtG8_yji4HS352LGlSQ/edit?pli=1#gid=0"",""1_ACUM!A4:S""),15,FALSE))"),0)</f>
        <v>0</v>
      </c>
      <c r="BB18" s="176">
        <f ca="1">IFERROR(__xludf.DUMMYFUNCTION("IFERROR(VLOOKUP(E124&amp;F124,IMPORTRANGE(""https://docs.google.com/spreadsheets/d/1Uw7-A9f9R21vMXxHZFNpYNeKFtG8_yji4HS352LGlSQ/edit?pli=1#gid=0"",""1_ACUM!A4:S""),16,FALSE))"),0)</f>
        <v>0</v>
      </c>
      <c r="BC18" s="176">
        <f ca="1">IFERROR(__xludf.DUMMYFUNCTION("IFERROR(VLOOKUP(E124&amp;F124,IMPORTRANGE(""https://docs.google.com/spreadsheets/d/1Uw7-A9f9R21vMXxHZFNpYNeKFtG8_yji4HS352LGlSQ/edit?pli=1#gid=0"",""1_ACUM!A4:S""),17,FALSE))"),1)</f>
        <v>1</v>
      </c>
      <c r="BD18" s="177">
        <f ca="1">IFERROR(__xludf.DUMMYFUNCTION("IFERROR(VLOOKUP(E124&amp;F124,IMPORTRANGE(""https://docs.google.com/spreadsheets/d/1Uw7-A9f9R21vMXxHZFNpYNeKFtG8_yji4HS352LGlSQ/edit?pli=1#gid=0"",""1_ACUM!A4:S""),18,FALSE))"),44183)</f>
        <v>44183</v>
      </c>
      <c r="BE18" s="177">
        <f ca="1">IFERROR(__xludf.DUMMYFUNCTION("IFERROR(VLOOKUP(E124&amp;F124,IMPORTRANGE(""https://docs.google.com/spreadsheets/d/1Uw7-A9f9R21vMXxHZFNpYNeKFtG8_yji4HS352LGlSQ/edit?pli=1#gid=0"",""1_ACUM!A4:S""),19,FALSE))"),44729)</f>
        <v>44729</v>
      </c>
      <c r="BF18" s="177">
        <f ca="1">IFERROR(__xludf.DUMMYFUNCTION("IFERROR(VLOOKUP(F124,IMPORTRANGE(""https://docs.google.com/spreadsheets/d/1Kvs4KS76FHFqLFIZfrDMff4kP08nblUkihrxltoGBjg/edit#gid=934712705"",""ESENCIAL!A6:BG""),5,FALSE))"),44912)</f>
        <v>44912</v>
      </c>
      <c r="BG18" s="177">
        <f t="shared" ca="1" si="1"/>
        <v>45460</v>
      </c>
      <c r="BH18" s="173" t="str">
        <f t="shared" ca="1" si="2"/>
        <v>FICHA EN TIEMPO-18 MESES</v>
      </c>
      <c r="BI18" s="173" t="str">
        <f ca="1">IFERROR(__xludf.DUMMYFUNCTION("IFERROR(VLOOKUP(F124,IMPORTRANGE(""https://docs.google.com/spreadsheets/d/1Kvs4KS76FHFqLFIZfrDMff4kP08nblUkihrxltoGBjg/edit#gid=934712705"",""ESENCIAL!A6:BG""),18,FALSE))"),"En ejecucion")</f>
        <v>En ejecucion</v>
      </c>
      <c r="BJ18" s="173" t="str">
        <f t="shared" si="3"/>
        <v>Yamboro</v>
      </c>
      <c r="BK18" s="291"/>
      <c r="BL18" s="19"/>
    </row>
    <row r="19" spans="1:64" ht="18" customHeight="1">
      <c r="A19" s="469" t="s">
        <v>1119</v>
      </c>
      <c r="B19" s="167" t="s">
        <v>25</v>
      </c>
      <c r="C19" s="169" t="s">
        <v>1209</v>
      </c>
      <c r="D19" s="195" t="s">
        <v>27</v>
      </c>
      <c r="E19" s="197">
        <v>1007393034</v>
      </c>
      <c r="F19" s="188">
        <v>2252427</v>
      </c>
      <c r="G19" s="166" t="str">
        <f ca="1">IFERROR(__xludf.DUMMYFUNCTION("IFERROR(VLOOKUP(F128,IMPORTRANGE(""https://docs.google.com/spreadsheets/d/1Kvs4KS76FHFqLFIZfrDMff4kP08nblUkihrxltoGBjg/edit#gid=934712705"",""ESENCIAL!A6:BG""),3,FALSE))"),"TECNÓLOGO")</f>
        <v>TECNÓLOGO</v>
      </c>
      <c r="H19" s="166" t="str">
        <f ca="1">IFERROR(__xludf.DUMMYFUNCTION("IFERROR(VLOOKUP(F128,IMPORTRANGE(""https://docs.google.com/spreadsheets/d/1Kvs4KS76FHFqLFIZfrDMff4kP08nblUkihrxltoGBjg/edit#gid=934712705"",""ESENCIAL!A6:BG""),8,FALSE))"),"PRODUCCIÓN AGROPECUARIA ECOLÓGICA")</f>
        <v>PRODUCCIÓN AGROPECUARIA ECOLÓGICA</v>
      </c>
      <c r="I19" s="185">
        <v>3202813914</v>
      </c>
      <c r="J19" s="204" t="s">
        <v>1210</v>
      </c>
      <c r="K19" s="185" t="s">
        <v>1211</v>
      </c>
      <c r="L19" s="185" t="s">
        <v>37</v>
      </c>
      <c r="M19" s="185" t="s">
        <v>1212</v>
      </c>
      <c r="N19" s="185" t="s">
        <v>1213</v>
      </c>
      <c r="O19" s="185" t="s">
        <v>1214</v>
      </c>
      <c r="P19" s="185" t="s">
        <v>1211</v>
      </c>
      <c r="Q19" s="185"/>
      <c r="R19" s="186">
        <v>44743</v>
      </c>
      <c r="S19" s="222">
        <v>44926</v>
      </c>
      <c r="T19" s="185" t="s">
        <v>1215</v>
      </c>
      <c r="U19" s="172" t="s">
        <v>1216</v>
      </c>
      <c r="V19" s="202" t="s">
        <v>1204</v>
      </c>
      <c r="W19" s="185"/>
      <c r="X19" s="185"/>
      <c r="Y19" s="172"/>
      <c r="Z19" s="185"/>
      <c r="AA19" s="185"/>
      <c r="AB19" s="185"/>
      <c r="AC19" s="185"/>
      <c r="AD19" s="185"/>
      <c r="AE19" s="185"/>
      <c r="AF19" s="185"/>
      <c r="AG19" s="185"/>
      <c r="AH19" s="185"/>
      <c r="AI19" s="185"/>
      <c r="AJ19" s="185"/>
      <c r="AK19" s="185"/>
      <c r="AL19" s="185"/>
      <c r="AM19" s="185"/>
      <c r="AN19" s="185"/>
      <c r="AO19" s="185"/>
      <c r="AP19" s="185"/>
      <c r="AQ19" s="185"/>
      <c r="AR19" s="185"/>
      <c r="AS19" s="185"/>
      <c r="AT19" s="185"/>
      <c r="AU19" s="173" t="str">
        <f t="shared" ca="1" si="0"/>
        <v>Procede_E_P</v>
      </c>
      <c r="AV19" s="166" t="str">
        <f ca="1">IFERROR(__xludf.DUMMYFUNCTION("IFERROR(VLOOKUP(E128&amp;F128,IMPORTRANGE(""https://docs.google.com/spreadsheets/d/1Uw7-A9f9R21vMXxHZFNpYNeKFtG8_yji4HS352LGlSQ/edit?pli=1#gid=0"",""1_ACUM!A4:S""),11,FALSE))"),"EN FORMACION")</f>
        <v>EN FORMACION</v>
      </c>
      <c r="AW19" s="174" t="str">
        <f ca="1">IFERROR(__xludf.DUMMYFUNCTION("IFERROR(VLOOKUP(F128,IMPORTRANGE(""https://docs.google.com/spreadsheets/d/1Kvs4KS76FHFqLFIZfrDMff4kP08nblUkihrxltoGBjg/edit#gid=934712705"",""ESENCIAL!A6:BG""),15,FALSE))"),"AGROPECUARIO")</f>
        <v>AGROPECUARIO</v>
      </c>
      <c r="AX19" s="175">
        <f ca="1">IFERROR(__xludf.DUMMYFUNCTION("IFERROR(VLOOKUP(E128&amp;F128,IMPORTRANGE(""https://docs.google.com/spreadsheets/d/1Uw7-A9f9R21vMXxHZFNpYNeKFtG8_yji4HS352LGlSQ/edit?pli=1#gid=0"",""1_ACUM!A4:S""),12,FALSE))"),44839)</f>
        <v>44839</v>
      </c>
      <c r="AY19" s="176">
        <f ca="1">IFERROR(__xludf.DUMMYFUNCTION("IFERROR(VLOOKUP(E128&amp;F128,IMPORTRANGE(""https://docs.google.com/spreadsheets/d/1Uw7-A9f9R21vMXxHZFNpYNeKFtG8_yji4HS352LGlSQ/edit?pli=1#gid=0"",""1_ACUM!A4:S""),13,FALSE))"),0)</f>
        <v>0</v>
      </c>
      <c r="AZ19" s="176">
        <f ca="1">IFERROR(__xludf.DUMMYFUNCTION("IFERROR(VLOOKUP(E128&amp;F128,IMPORTRANGE(""https://docs.google.com/spreadsheets/d/1Uw7-A9f9R21vMXxHZFNpYNeKFtG8_yji4HS352LGlSQ/edit?pli=1#gid=0"",""1_ACUM!A4:S""),14,FALSE))"),1)</f>
        <v>1</v>
      </c>
      <c r="BA19" s="176">
        <f ca="1">IFERROR(__xludf.DUMMYFUNCTION("IFERROR(VLOOKUP(E128&amp;F128,IMPORTRANGE(""https://docs.google.com/spreadsheets/d/1Uw7-A9f9R21vMXxHZFNpYNeKFtG8_yji4HS352LGlSQ/edit?pli=1#gid=0"",""1_ACUM!A4:S""),15,FALSE))"),0)</f>
        <v>0</v>
      </c>
      <c r="BB19" s="176">
        <f ca="1">IFERROR(__xludf.DUMMYFUNCTION("IFERROR(VLOOKUP(E128&amp;F128,IMPORTRANGE(""https://docs.google.com/spreadsheets/d/1Uw7-A9f9R21vMXxHZFNpYNeKFtG8_yji4HS352LGlSQ/edit?pli=1#gid=0"",""1_ACUM!A4:S""),16,FALSE))"),0)</f>
        <v>0</v>
      </c>
      <c r="BC19" s="176">
        <f ca="1">IFERROR(__xludf.DUMMYFUNCTION("IFERROR(VLOOKUP(E128&amp;F128,IMPORTRANGE(""https://docs.google.com/spreadsheets/d/1Uw7-A9f9R21vMXxHZFNpYNeKFtG8_yji4HS352LGlSQ/edit?pli=1#gid=0"",""1_ACUM!A4:S""),17,FALSE))"),1)</f>
        <v>1</v>
      </c>
      <c r="BD19" s="177">
        <f ca="1">IFERROR(__xludf.DUMMYFUNCTION("IFERROR(VLOOKUP(E128&amp;F128,IMPORTRANGE(""https://docs.google.com/spreadsheets/d/1Uw7-A9f9R21vMXxHZFNpYNeKFtG8_yji4HS352LGlSQ/edit?pli=1#gid=0"",""1_ACUM!A4:S""),18,FALSE))"),44183)</f>
        <v>44183</v>
      </c>
      <c r="BE19" s="177">
        <f ca="1">IFERROR(__xludf.DUMMYFUNCTION("IFERROR(VLOOKUP(E128&amp;F128,IMPORTRANGE(""https://docs.google.com/spreadsheets/d/1Uw7-A9f9R21vMXxHZFNpYNeKFtG8_yji4HS352LGlSQ/edit?pli=1#gid=0"",""1_ACUM!A4:S""),19,FALSE))"),44729)</f>
        <v>44729</v>
      </c>
      <c r="BF19" s="177">
        <f ca="1">IFERROR(__xludf.DUMMYFUNCTION("IFERROR(VLOOKUP(F128,IMPORTRANGE(""https://docs.google.com/spreadsheets/d/1Kvs4KS76FHFqLFIZfrDMff4kP08nblUkihrxltoGBjg/edit#gid=934712705"",""ESENCIAL!A6:BG""),5,FALSE))"),44912)</f>
        <v>44912</v>
      </c>
      <c r="BG19" s="177">
        <f t="shared" ca="1" si="1"/>
        <v>45460</v>
      </c>
      <c r="BH19" s="173" t="str">
        <f t="shared" ca="1" si="2"/>
        <v>FICHA EN TIEMPO-18 MESES</v>
      </c>
      <c r="BI19" s="173" t="str">
        <f ca="1">IFERROR(__xludf.DUMMYFUNCTION("IFERROR(VLOOKUP(F128,IMPORTRANGE(""https://docs.google.com/spreadsheets/d/1Kvs4KS76FHFqLFIZfrDMff4kP08nblUkihrxltoGBjg/edit#gid=934712705"",""ESENCIAL!A6:BG""),18,FALSE))"),"En ejecucion")</f>
        <v>En ejecucion</v>
      </c>
      <c r="BJ19" s="173" t="str">
        <f t="shared" si="3"/>
        <v>Yamboro</v>
      </c>
      <c r="BK19" s="291"/>
      <c r="BL19" s="19"/>
    </row>
    <row r="20" spans="1:64" ht="18" customHeight="1">
      <c r="A20" s="469" t="s">
        <v>762</v>
      </c>
      <c r="B20" s="167" t="s">
        <v>25</v>
      </c>
      <c r="C20" s="169" t="s">
        <v>1217</v>
      </c>
      <c r="D20" s="195" t="s">
        <v>27</v>
      </c>
      <c r="E20" s="197">
        <v>1076500627</v>
      </c>
      <c r="F20" s="188">
        <v>2252427</v>
      </c>
      <c r="G20" s="166" t="str">
        <f ca="1">IFERROR(__xludf.DUMMYFUNCTION("IFERROR(VLOOKUP(F129,IMPORTRANGE(""https://docs.google.com/spreadsheets/d/1Kvs4KS76FHFqLFIZfrDMff4kP08nblUkihrxltoGBjg/edit#gid=934712705"",""ESENCIAL!A6:BG""),3,FALSE))"),"TECNÓLOGO")</f>
        <v>TECNÓLOGO</v>
      </c>
      <c r="H20" s="166" t="str">
        <f ca="1">IFERROR(__xludf.DUMMYFUNCTION("IFERROR(VLOOKUP(F129,IMPORTRANGE(""https://docs.google.com/spreadsheets/d/1Kvs4KS76FHFqLFIZfrDMff4kP08nblUkihrxltoGBjg/edit#gid=934712705"",""ESENCIAL!A6:BG""),8,FALSE))"),"PRODUCCIÓN AGROPECUARIA ECOLÓGICA")</f>
        <v>PRODUCCIÓN AGROPECUARIA ECOLÓGICA</v>
      </c>
      <c r="I20" s="184">
        <v>3209672162</v>
      </c>
      <c r="J20" s="189" t="s">
        <v>1218</v>
      </c>
      <c r="K20" s="185" t="s">
        <v>1219</v>
      </c>
      <c r="L20" s="192" t="s">
        <v>28</v>
      </c>
      <c r="M20" s="189" t="s">
        <v>1220</v>
      </c>
      <c r="N20" s="185"/>
      <c r="O20" s="185"/>
      <c r="P20" s="185"/>
      <c r="Q20" s="185"/>
      <c r="R20" s="186">
        <v>44763</v>
      </c>
      <c r="S20" s="222">
        <v>44946</v>
      </c>
      <c r="T20" s="185" t="s">
        <v>1221</v>
      </c>
      <c r="U20" s="117" t="s">
        <v>1188</v>
      </c>
      <c r="V20" s="30" t="s">
        <v>1189</v>
      </c>
      <c r="W20" s="30"/>
      <c r="X20" s="30"/>
      <c r="Y20" s="74"/>
      <c r="Z20" s="30"/>
      <c r="AA20" s="30"/>
      <c r="AB20" s="30"/>
      <c r="AC20" s="30"/>
      <c r="AD20" s="30"/>
      <c r="AE20" s="30"/>
      <c r="AF20" s="30"/>
      <c r="AG20" s="30"/>
      <c r="AH20" s="30"/>
      <c r="AI20" s="30"/>
      <c r="AJ20" s="30"/>
      <c r="AK20" s="30"/>
      <c r="AL20" s="30"/>
      <c r="AM20" s="30"/>
      <c r="AN20" s="30"/>
      <c r="AO20" s="30"/>
      <c r="AP20" s="30"/>
      <c r="AQ20" s="30"/>
      <c r="AR20" s="30"/>
      <c r="AS20" s="185" t="s">
        <v>1222</v>
      </c>
      <c r="AT20" s="185" t="s">
        <v>1190</v>
      </c>
      <c r="AU20" s="173" t="str">
        <f t="shared" ca="1" si="0"/>
        <v>Procede_E_P</v>
      </c>
      <c r="AV20" s="166" t="str">
        <f ca="1">IFERROR(__xludf.DUMMYFUNCTION("IFERROR(VLOOKUP(E129&amp;F129,IMPORTRANGE(""https://docs.google.com/spreadsheets/d/1Uw7-A9f9R21vMXxHZFNpYNeKFtG8_yji4HS352LGlSQ/edit?pli=1#gid=0"",""1_ACUM!A4:S""),11,FALSE))"),"EN FORMACION")</f>
        <v>EN FORMACION</v>
      </c>
      <c r="AW20" s="174" t="str">
        <f ca="1">IFERROR(__xludf.DUMMYFUNCTION("IFERROR(VLOOKUP(F129,IMPORTRANGE(""https://docs.google.com/spreadsheets/d/1Kvs4KS76FHFqLFIZfrDMff4kP08nblUkihrxltoGBjg/edit#gid=934712705"",""ESENCIAL!A6:BG""),15,FALSE))"),"AGROPECUARIO")</f>
        <v>AGROPECUARIO</v>
      </c>
      <c r="AX20" s="175">
        <f ca="1">IFERROR(__xludf.DUMMYFUNCTION("IFERROR(VLOOKUP(E129&amp;F129,IMPORTRANGE(""https://docs.google.com/spreadsheets/d/1Uw7-A9f9R21vMXxHZFNpYNeKFtG8_yji4HS352LGlSQ/edit?pli=1#gid=0"",""1_ACUM!A4:S""),12,FALSE))"),44839)</f>
        <v>44839</v>
      </c>
      <c r="AY20" s="176">
        <f ca="1">IFERROR(__xludf.DUMMYFUNCTION("IFERROR(VLOOKUP(E129&amp;F129,IMPORTRANGE(""https://docs.google.com/spreadsheets/d/1Uw7-A9f9R21vMXxHZFNpYNeKFtG8_yji4HS352LGlSQ/edit?pli=1#gid=0"",""1_ACUM!A4:S""),13,FALSE))"),0)</f>
        <v>0</v>
      </c>
      <c r="AZ20" s="176">
        <f ca="1">IFERROR(__xludf.DUMMYFUNCTION("IFERROR(VLOOKUP(E129&amp;F129,IMPORTRANGE(""https://docs.google.com/spreadsheets/d/1Uw7-A9f9R21vMXxHZFNpYNeKFtG8_yji4HS352LGlSQ/edit?pli=1#gid=0"",""1_ACUM!A4:S""),14,FALSE))"),1)</f>
        <v>1</v>
      </c>
      <c r="BA20" s="176">
        <f ca="1">IFERROR(__xludf.DUMMYFUNCTION("IFERROR(VLOOKUP(E129&amp;F129,IMPORTRANGE(""https://docs.google.com/spreadsheets/d/1Uw7-A9f9R21vMXxHZFNpYNeKFtG8_yji4HS352LGlSQ/edit?pli=1#gid=0"",""1_ACUM!A4:S""),15,FALSE))"),0)</f>
        <v>0</v>
      </c>
      <c r="BB20" s="176">
        <f ca="1">IFERROR(__xludf.DUMMYFUNCTION("IFERROR(VLOOKUP(E129&amp;F129,IMPORTRANGE(""https://docs.google.com/spreadsheets/d/1Uw7-A9f9R21vMXxHZFNpYNeKFtG8_yji4HS352LGlSQ/edit?pli=1#gid=0"",""1_ACUM!A4:S""),16,FALSE))"),0)</f>
        <v>0</v>
      </c>
      <c r="BC20" s="176">
        <f ca="1">IFERROR(__xludf.DUMMYFUNCTION("IFERROR(VLOOKUP(E129&amp;F129,IMPORTRANGE(""https://docs.google.com/spreadsheets/d/1Uw7-A9f9R21vMXxHZFNpYNeKFtG8_yji4HS352LGlSQ/edit?pli=1#gid=0"",""1_ACUM!A4:S""),17,FALSE))"),1)</f>
        <v>1</v>
      </c>
      <c r="BD20" s="177">
        <f ca="1">IFERROR(__xludf.DUMMYFUNCTION("IFERROR(VLOOKUP(E129&amp;F129,IMPORTRANGE(""https://docs.google.com/spreadsheets/d/1Uw7-A9f9R21vMXxHZFNpYNeKFtG8_yji4HS352LGlSQ/edit?pli=1#gid=0"",""1_ACUM!A4:S""),18,FALSE))"),44183)</f>
        <v>44183</v>
      </c>
      <c r="BE20" s="177">
        <f ca="1">IFERROR(__xludf.DUMMYFUNCTION("IFERROR(VLOOKUP(E129&amp;F129,IMPORTRANGE(""https://docs.google.com/spreadsheets/d/1Uw7-A9f9R21vMXxHZFNpYNeKFtG8_yji4HS352LGlSQ/edit?pli=1#gid=0"",""1_ACUM!A4:S""),19,FALSE))"),44729)</f>
        <v>44729</v>
      </c>
      <c r="BF20" s="177">
        <f ca="1">IFERROR(__xludf.DUMMYFUNCTION("IFERROR(VLOOKUP(F129,IMPORTRANGE(""https://docs.google.com/spreadsheets/d/1Kvs4KS76FHFqLFIZfrDMff4kP08nblUkihrxltoGBjg/edit#gid=934712705"",""ESENCIAL!A6:BG""),5,FALSE))"),44912)</f>
        <v>44912</v>
      </c>
      <c r="BG20" s="177">
        <f t="shared" ca="1" si="1"/>
        <v>45460</v>
      </c>
      <c r="BH20" s="173" t="str">
        <f t="shared" ca="1" si="2"/>
        <v>FICHA EN TIEMPO-18 MESES</v>
      </c>
      <c r="BI20" s="173" t="str">
        <f ca="1">IFERROR(__xludf.DUMMYFUNCTION("IFERROR(VLOOKUP(F129,IMPORTRANGE(""https://docs.google.com/spreadsheets/d/1Kvs4KS76FHFqLFIZfrDMff4kP08nblUkihrxltoGBjg/edit#gid=934712705"",""ESENCIAL!A6:BG""),18,FALSE))"),"En ejecucion")</f>
        <v>En ejecucion</v>
      </c>
      <c r="BJ20" s="173" t="str">
        <f t="shared" si="3"/>
        <v>Yamboro</v>
      </c>
      <c r="BK20" s="291"/>
      <c r="BL20" s="19"/>
    </row>
    <row r="21" spans="1:64" ht="18" customHeight="1">
      <c r="A21" s="293" t="s">
        <v>1223</v>
      </c>
      <c r="B21" s="167" t="s">
        <v>25</v>
      </c>
      <c r="C21" s="470" t="s">
        <v>1224</v>
      </c>
      <c r="D21" s="471" t="s">
        <v>27</v>
      </c>
      <c r="E21" s="466">
        <v>1084250251</v>
      </c>
      <c r="F21" s="346">
        <v>2252427</v>
      </c>
      <c r="G21" s="468" t="str">
        <f ca="1">IFERROR(__xludf.DUMMYFUNCTION("IFERROR(VLOOKUP(F134,IMPORTRANGE(""https://docs.google.com/spreadsheets/d/1Kvs4KS76FHFqLFIZfrDMff4kP08nblUkihrxltoGBjg/edit#gid=934712705"",""ESENCIAL!A6:BG""),3,FALSE))"),"TECNÓLOGO")</f>
        <v>TECNÓLOGO</v>
      </c>
      <c r="H21" s="468" t="str">
        <f ca="1">IFERROR(__xludf.DUMMYFUNCTION("IFERROR(VLOOKUP(F134,IMPORTRANGE(""https://docs.google.com/spreadsheets/d/1Kvs4KS76FHFqLFIZfrDMff4kP08nblUkihrxltoGBjg/edit#gid=934712705"",""ESENCIAL!A6:BG""),8,FALSE))"),"PRODUCCIÓN AGROPECUARIA ECOLÓGICA")</f>
        <v>PRODUCCIÓN AGROPECUARIA ECOLÓGICA</v>
      </c>
      <c r="I21" s="359">
        <v>3138070053</v>
      </c>
      <c r="J21" s="185" t="s">
        <v>1225</v>
      </c>
      <c r="K21" s="185" t="s">
        <v>1194</v>
      </c>
      <c r="L21" s="185" t="s">
        <v>37</v>
      </c>
      <c r="M21" s="185" t="s">
        <v>1226</v>
      </c>
      <c r="N21" s="185" t="s">
        <v>1194</v>
      </c>
      <c r="O21" s="185">
        <v>3132401744</v>
      </c>
      <c r="P21" s="185" t="s">
        <v>1194</v>
      </c>
      <c r="Q21" s="185" t="s">
        <v>1227</v>
      </c>
      <c r="R21" s="186">
        <v>44754</v>
      </c>
      <c r="S21" s="222">
        <v>44937</v>
      </c>
      <c r="T21" s="185" t="s">
        <v>1228</v>
      </c>
      <c r="U21" s="117" t="s">
        <v>1229</v>
      </c>
      <c r="V21" s="115" t="s">
        <v>1204</v>
      </c>
      <c r="W21" s="30"/>
      <c r="X21" s="30"/>
      <c r="Y21" s="28"/>
      <c r="Z21" s="30"/>
      <c r="AA21" s="30"/>
      <c r="AB21" s="30"/>
      <c r="AC21" s="30"/>
      <c r="AD21" s="30"/>
      <c r="AE21" s="30"/>
      <c r="AF21" s="30"/>
      <c r="AG21" s="30"/>
      <c r="AH21" s="30"/>
      <c r="AI21" s="30"/>
      <c r="AJ21" s="30"/>
      <c r="AK21" s="30"/>
      <c r="AL21" s="30"/>
      <c r="AM21" s="30"/>
      <c r="AN21" s="30"/>
      <c r="AO21" s="30"/>
      <c r="AP21" s="30"/>
      <c r="AQ21" s="30"/>
      <c r="AR21" s="30"/>
      <c r="AS21" s="185" t="s">
        <v>1230</v>
      </c>
      <c r="AT21" s="185" t="s">
        <v>1190</v>
      </c>
      <c r="AU21" s="173" t="str">
        <f t="shared" ca="1" si="0"/>
        <v>Procede_E_P</v>
      </c>
      <c r="AV21" s="166" t="str">
        <f ca="1">IFERROR(__xludf.DUMMYFUNCTION("IFERROR(VLOOKUP(E134&amp;F134,IMPORTRANGE(""https://docs.google.com/spreadsheets/d/1Uw7-A9f9R21vMXxHZFNpYNeKFtG8_yji4HS352LGlSQ/edit?pli=1#gid=0"",""1_ACUM!A4:S""),11,FALSE))"),"EN FORMACION")</f>
        <v>EN FORMACION</v>
      </c>
      <c r="AW21" s="174" t="str">
        <f ca="1">IFERROR(__xludf.DUMMYFUNCTION("IFERROR(VLOOKUP(F134,IMPORTRANGE(""https://docs.google.com/spreadsheets/d/1Kvs4KS76FHFqLFIZfrDMff4kP08nblUkihrxltoGBjg/edit#gid=934712705"",""ESENCIAL!A6:BG""),15,FALSE))"),"AGROPECUARIO")</f>
        <v>AGROPECUARIO</v>
      </c>
      <c r="AX21" s="175">
        <f ca="1">IFERROR(__xludf.DUMMYFUNCTION("IFERROR(VLOOKUP(E134&amp;F134,IMPORTRANGE(""https://docs.google.com/spreadsheets/d/1Uw7-A9f9R21vMXxHZFNpYNeKFtG8_yji4HS352LGlSQ/edit?pli=1#gid=0"",""1_ACUM!A4:S""),12,FALSE))"),44839)</f>
        <v>44839</v>
      </c>
      <c r="AY21" s="176">
        <f ca="1">IFERROR(__xludf.DUMMYFUNCTION("IFERROR(VLOOKUP(E134&amp;F134,IMPORTRANGE(""https://docs.google.com/spreadsheets/d/1Uw7-A9f9R21vMXxHZFNpYNeKFtG8_yji4HS352LGlSQ/edit?pli=1#gid=0"",""1_ACUM!A4:S""),13,FALSE))"),0)</f>
        <v>0</v>
      </c>
      <c r="AZ21" s="176">
        <f ca="1">IFERROR(__xludf.DUMMYFUNCTION("IFERROR(VLOOKUP(E134&amp;F134,IMPORTRANGE(""https://docs.google.com/spreadsheets/d/1Uw7-A9f9R21vMXxHZFNpYNeKFtG8_yji4HS352LGlSQ/edit?pli=1#gid=0"",""1_ACUM!A4:S""),14,FALSE))"),1)</f>
        <v>1</v>
      </c>
      <c r="BA21" s="176">
        <f ca="1">IFERROR(__xludf.DUMMYFUNCTION("IFERROR(VLOOKUP(E134&amp;F134,IMPORTRANGE(""https://docs.google.com/spreadsheets/d/1Uw7-A9f9R21vMXxHZFNpYNeKFtG8_yji4HS352LGlSQ/edit?pli=1#gid=0"",""1_ACUM!A4:S""),15,FALSE))"),0)</f>
        <v>0</v>
      </c>
      <c r="BB21" s="176">
        <f ca="1">IFERROR(__xludf.DUMMYFUNCTION("IFERROR(VLOOKUP(E134&amp;F134,IMPORTRANGE(""https://docs.google.com/spreadsheets/d/1Uw7-A9f9R21vMXxHZFNpYNeKFtG8_yji4HS352LGlSQ/edit?pli=1#gid=0"",""1_ACUM!A4:S""),16,FALSE))"),0)</f>
        <v>0</v>
      </c>
      <c r="BC21" s="176">
        <f ca="1">IFERROR(__xludf.DUMMYFUNCTION("IFERROR(VLOOKUP(E134&amp;F134,IMPORTRANGE(""https://docs.google.com/spreadsheets/d/1Uw7-A9f9R21vMXxHZFNpYNeKFtG8_yji4HS352LGlSQ/edit?pli=1#gid=0"",""1_ACUM!A4:S""),17,FALSE))"),1)</f>
        <v>1</v>
      </c>
      <c r="BD21" s="177">
        <f ca="1">IFERROR(__xludf.DUMMYFUNCTION("IFERROR(VLOOKUP(E134&amp;F134,IMPORTRANGE(""https://docs.google.com/spreadsheets/d/1Uw7-A9f9R21vMXxHZFNpYNeKFtG8_yji4HS352LGlSQ/edit?pli=1#gid=0"",""1_ACUM!A4:S""),18,FALSE))"),44183)</f>
        <v>44183</v>
      </c>
      <c r="BE21" s="177">
        <f ca="1">IFERROR(__xludf.DUMMYFUNCTION("IFERROR(VLOOKUP(E134&amp;F134,IMPORTRANGE(""https://docs.google.com/spreadsheets/d/1Uw7-A9f9R21vMXxHZFNpYNeKFtG8_yji4HS352LGlSQ/edit?pli=1#gid=0"",""1_ACUM!A4:S""),19,FALSE))"),44729)</f>
        <v>44729</v>
      </c>
      <c r="BF21" s="177">
        <f ca="1">IFERROR(__xludf.DUMMYFUNCTION("IFERROR(VLOOKUP(F134,IMPORTRANGE(""https://docs.google.com/spreadsheets/d/1Kvs4KS76FHFqLFIZfrDMff4kP08nblUkihrxltoGBjg/edit#gid=934712705"",""ESENCIAL!A6:BG""),5,FALSE))"),44912)</f>
        <v>44912</v>
      </c>
      <c r="BG21" s="177">
        <f t="shared" ca="1" si="1"/>
        <v>45460</v>
      </c>
      <c r="BH21" s="173" t="str">
        <f t="shared" ca="1" si="2"/>
        <v>FICHA EN TIEMPO-18 MESES</v>
      </c>
      <c r="BI21" s="173" t="str">
        <f ca="1">IFERROR(__xludf.DUMMYFUNCTION("IFERROR(VLOOKUP(F134,IMPORTRANGE(""https://docs.google.com/spreadsheets/d/1Kvs4KS76FHFqLFIZfrDMff4kP08nblUkihrxltoGBjg/edit#gid=934712705"",""ESENCIAL!A6:BG""),18,FALSE))"),"En ejecucion")</f>
        <v>En ejecucion</v>
      </c>
      <c r="BJ21" s="173" t="str">
        <f t="shared" si="3"/>
        <v>Yamboro</v>
      </c>
      <c r="BK21" s="291"/>
      <c r="BL21" s="19"/>
    </row>
    <row r="22" spans="1:64" ht="18" customHeight="1">
      <c r="A22" s="293" t="s">
        <v>1223</v>
      </c>
      <c r="B22" s="167" t="s">
        <v>25</v>
      </c>
      <c r="C22" s="470" t="s">
        <v>1231</v>
      </c>
      <c r="D22" s="471" t="s">
        <v>27</v>
      </c>
      <c r="E22" s="466">
        <v>1084250339</v>
      </c>
      <c r="F22" s="346">
        <v>2252427</v>
      </c>
      <c r="G22" s="468" t="str">
        <f ca="1">IFERROR(__xludf.DUMMYFUNCTION("IFERROR(VLOOKUP(F135,IMPORTRANGE(""https://docs.google.com/spreadsheets/d/1Kvs4KS76FHFqLFIZfrDMff4kP08nblUkihrxltoGBjg/edit#gid=934712705"",""ESENCIAL!A6:BG""),3,FALSE))"),"TECNÓLOGO")</f>
        <v>TECNÓLOGO</v>
      </c>
      <c r="H22" s="468" t="str">
        <f ca="1">IFERROR(__xludf.DUMMYFUNCTION("IFERROR(VLOOKUP(F135,IMPORTRANGE(""https://docs.google.com/spreadsheets/d/1Kvs4KS76FHFqLFIZfrDMff4kP08nblUkihrxltoGBjg/edit#gid=934712705"",""ESENCIAL!A6:BG""),8,FALSE))"),"PRODUCCIÓN AGROPECUARIA ECOLÓGICA")</f>
        <v>PRODUCCIÓN AGROPECUARIA ECOLÓGICA</v>
      </c>
      <c r="I22" s="359"/>
      <c r="J22" s="185"/>
      <c r="K22" s="185"/>
      <c r="L22" s="185" t="s">
        <v>37</v>
      </c>
      <c r="M22" s="185" t="s">
        <v>1232</v>
      </c>
      <c r="N22" s="183" t="s">
        <v>73</v>
      </c>
      <c r="O22" s="185">
        <v>3154660644</v>
      </c>
      <c r="P22" s="185" t="s">
        <v>84</v>
      </c>
      <c r="Q22" s="185" t="s">
        <v>1233</v>
      </c>
      <c r="R22" s="186">
        <v>44764</v>
      </c>
      <c r="S22" s="222">
        <v>44946</v>
      </c>
      <c r="T22" s="185" t="s">
        <v>1234</v>
      </c>
      <c r="U22" s="54" t="s">
        <v>1235</v>
      </c>
      <c r="V22" s="83" t="s">
        <v>1175</v>
      </c>
      <c r="W22" s="83"/>
      <c r="X22" s="54"/>
      <c r="Y22" s="28"/>
      <c r="Z22" s="54"/>
      <c r="AA22" s="54"/>
      <c r="AB22" s="54"/>
      <c r="AC22" s="54"/>
      <c r="AD22" s="54"/>
      <c r="AE22" s="54"/>
      <c r="AF22" s="54"/>
      <c r="AG22" s="54"/>
      <c r="AH22" s="54"/>
      <c r="AI22" s="54"/>
      <c r="AJ22" s="54"/>
      <c r="AK22" s="54"/>
      <c r="AL22" s="54"/>
      <c r="AM22" s="54"/>
      <c r="AN22" s="54"/>
      <c r="AO22" s="54"/>
      <c r="AP22" s="54"/>
      <c r="AQ22" s="54"/>
      <c r="AR22" s="54"/>
      <c r="AS22" s="185"/>
      <c r="AT22" s="185"/>
      <c r="AU22" s="173" t="str">
        <f t="shared" ca="1" si="0"/>
        <v>Procede_E_P</v>
      </c>
      <c r="AV22" s="166" t="str">
        <f ca="1">IFERROR(__xludf.DUMMYFUNCTION("IFERROR(VLOOKUP(E135&amp;F135,IMPORTRANGE(""https://docs.google.com/spreadsheets/d/1Uw7-A9f9R21vMXxHZFNpYNeKFtG8_yji4HS352LGlSQ/edit?pli=1#gid=0"",""1_ACUM!A4:S""),11,FALSE))"),"EN FORMACION")</f>
        <v>EN FORMACION</v>
      </c>
      <c r="AW22" s="174" t="str">
        <f ca="1">IFERROR(__xludf.DUMMYFUNCTION("IFERROR(VLOOKUP(F135,IMPORTRANGE(""https://docs.google.com/spreadsheets/d/1Kvs4KS76FHFqLFIZfrDMff4kP08nblUkihrxltoGBjg/edit#gid=934712705"",""ESENCIAL!A6:BG""),15,FALSE))"),"AGROPECUARIO")</f>
        <v>AGROPECUARIO</v>
      </c>
      <c r="AX22" s="175">
        <f ca="1">IFERROR(__xludf.DUMMYFUNCTION("IFERROR(VLOOKUP(E135&amp;F135,IMPORTRANGE(""https://docs.google.com/spreadsheets/d/1Uw7-A9f9R21vMXxHZFNpYNeKFtG8_yji4HS352LGlSQ/edit?pli=1#gid=0"",""1_ACUM!A4:S""),12,FALSE))"),44839)</f>
        <v>44839</v>
      </c>
      <c r="AY22" s="176">
        <f ca="1">IFERROR(__xludf.DUMMYFUNCTION("IFERROR(VLOOKUP(E135&amp;F135,IMPORTRANGE(""https://docs.google.com/spreadsheets/d/1Uw7-A9f9R21vMXxHZFNpYNeKFtG8_yji4HS352LGlSQ/edit?pli=1#gid=0"",""1_ACUM!A4:S""),13,FALSE))"),0)</f>
        <v>0</v>
      </c>
      <c r="AZ22" s="176">
        <f ca="1">IFERROR(__xludf.DUMMYFUNCTION("IFERROR(VLOOKUP(E135&amp;F135,IMPORTRANGE(""https://docs.google.com/spreadsheets/d/1Uw7-A9f9R21vMXxHZFNpYNeKFtG8_yji4HS352LGlSQ/edit?pli=1#gid=0"",""1_ACUM!A4:S""),14,FALSE))"),1)</f>
        <v>1</v>
      </c>
      <c r="BA22" s="176">
        <f ca="1">IFERROR(__xludf.DUMMYFUNCTION("IFERROR(VLOOKUP(E135&amp;F135,IMPORTRANGE(""https://docs.google.com/spreadsheets/d/1Uw7-A9f9R21vMXxHZFNpYNeKFtG8_yji4HS352LGlSQ/edit?pli=1#gid=0"",""1_ACUM!A4:S""),15,FALSE))"),0)</f>
        <v>0</v>
      </c>
      <c r="BB22" s="176">
        <f ca="1">IFERROR(__xludf.DUMMYFUNCTION("IFERROR(VLOOKUP(E135&amp;F135,IMPORTRANGE(""https://docs.google.com/spreadsheets/d/1Uw7-A9f9R21vMXxHZFNpYNeKFtG8_yji4HS352LGlSQ/edit?pli=1#gid=0"",""1_ACUM!A4:S""),16,FALSE))"),0)</f>
        <v>0</v>
      </c>
      <c r="BC22" s="176">
        <f ca="1">IFERROR(__xludf.DUMMYFUNCTION("IFERROR(VLOOKUP(E135&amp;F135,IMPORTRANGE(""https://docs.google.com/spreadsheets/d/1Uw7-A9f9R21vMXxHZFNpYNeKFtG8_yji4HS352LGlSQ/edit?pli=1#gid=0"",""1_ACUM!A4:S""),17,FALSE))"),1)</f>
        <v>1</v>
      </c>
      <c r="BD22" s="177">
        <f ca="1">IFERROR(__xludf.DUMMYFUNCTION("IFERROR(VLOOKUP(E135&amp;F135,IMPORTRANGE(""https://docs.google.com/spreadsheets/d/1Uw7-A9f9R21vMXxHZFNpYNeKFtG8_yji4HS352LGlSQ/edit?pli=1#gid=0"",""1_ACUM!A4:S""),18,FALSE))"),44183)</f>
        <v>44183</v>
      </c>
      <c r="BE22" s="177">
        <f ca="1">IFERROR(__xludf.DUMMYFUNCTION("IFERROR(VLOOKUP(E135&amp;F135,IMPORTRANGE(""https://docs.google.com/spreadsheets/d/1Uw7-A9f9R21vMXxHZFNpYNeKFtG8_yji4HS352LGlSQ/edit?pli=1#gid=0"",""1_ACUM!A4:S""),19,FALSE))"),44729)</f>
        <v>44729</v>
      </c>
      <c r="BF22" s="177">
        <f ca="1">IFERROR(__xludf.DUMMYFUNCTION("IFERROR(VLOOKUP(F135,IMPORTRANGE(""https://docs.google.com/spreadsheets/d/1Kvs4KS76FHFqLFIZfrDMff4kP08nblUkihrxltoGBjg/edit#gid=934712705"",""ESENCIAL!A6:BG""),5,FALSE))"),44912)</f>
        <v>44912</v>
      </c>
      <c r="BG22" s="177">
        <f t="shared" ca="1" si="1"/>
        <v>45460</v>
      </c>
      <c r="BH22" s="173" t="str">
        <f t="shared" ca="1" si="2"/>
        <v>FICHA EN TIEMPO-18 MESES</v>
      </c>
      <c r="BI22" s="173" t="str">
        <f ca="1">IFERROR(__xludf.DUMMYFUNCTION("IFERROR(VLOOKUP(F135,IMPORTRANGE(""https://docs.google.com/spreadsheets/d/1Kvs4KS76FHFqLFIZfrDMff4kP08nblUkihrxltoGBjg/edit#gid=934712705"",""ESENCIAL!A6:BG""),18,FALSE))"),"En ejecucion")</f>
        <v>En ejecucion</v>
      </c>
      <c r="BJ22" s="173" t="str">
        <f t="shared" si="3"/>
        <v>Yamboro</v>
      </c>
      <c r="BK22" s="291"/>
      <c r="BL22" s="19"/>
    </row>
    <row r="23" spans="1:64" ht="18" customHeight="1">
      <c r="A23" s="293" t="s">
        <v>1223</v>
      </c>
      <c r="B23" s="167" t="s">
        <v>25</v>
      </c>
      <c r="C23" s="470" t="s">
        <v>1236</v>
      </c>
      <c r="D23" s="471" t="s">
        <v>27</v>
      </c>
      <c r="E23" s="466">
        <v>1084250442</v>
      </c>
      <c r="F23" s="346">
        <v>2252427</v>
      </c>
      <c r="G23" s="468" t="str">
        <f ca="1">IFERROR(__xludf.DUMMYFUNCTION("IFERROR(VLOOKUP(F136,IMPORTRANGE(""https://docs.google.com/spreadsheets/d/1Kvs4KS76FHFqLFIZfrDMff4kP08nblUkihrxltoGBjg/edit#gid=934712705"",""ESENCIAL!A6:BG""),3,FALSE))"),"TECNÓLOGO")</f>
        <v>TECNÓLOGO</v>
      </c>
      <c r="H23" s="468" t="str">
        <f ca="1">IFERROR(__xludf.DUMMYFUNCTION("IFERROR(VLOOKUP(F136,IMPORTRANGE(""https://docs.google.com/spreadsheets/d/1Kvs4KS76FHFqLFIZfrDMff4kP08nblUkihrxltoGBjg/edit#gid=934712705"",""ESENCIAL!A6:BG""),8,FALSE))"),"PRODUCCIÓN AGROPECUARIA ECOLÓGICA")</f>
        <v>PRODUCCIÓN AGROPECUARIA ECOLÓGICA</v>
      </c>
      <c r="I23" s="359"/>
      <c r="J23" s="185"/>
      <c r="K23" s="185"/>
      <c r="L23" s="192" t="s">
        <v>28</v>
      </c>
      <c r="M23" s="185" t="s">
        <v>1237</v>
      </c>
      <c r="N23" s="185"/>
      <c r="O23" s="185"/>
      <c r="P23" s="185"/>
      <c r="Q23" s="185"/>
      <c r="R23" s="186">
        <v>44805</v>
      </c>
      <c r="S23" s="222">
        <v>44985</v>
      </c>
      <c r="T23" s="185" t="s">
        <v>1238</v>
      </c>
      <c r="U23" s="117" t="s">
        <v>1188</v>
      </c>
      <c r="V23" s="30" t="s">
        <v>1189</v>
      </c>
      <c r="W23" s="30"/>
      <c r="X23" s="30"/>
      <c r="Y23" s="30"/>
      <c r="Z23" s="30"/>
      <c r="AA23" s="30"/>
      <c r="AB23" s="30"/>
      <c r="AC23" s="30"/>
      <c r="AD23" s="30"/>
      <c r="AE23" s="30"/>
      <c r="AF23" s="30"/>
      <c r="AG23" s="30"/>
      <c r="AH23" s="30"/>
      <c r="AI23" s="30"/>
      <c r="AJ23" s="30"/>
      <c r="AK23" s="30"/>
      <c r="AL23" s="30"/>
      <c r="AM23" s="30"/>
      <c r="AN23" s="30"/>
      <c r="AO23" s="30"/>
      <c r="AP23" s="30"/>
      <c r="AQ23" s="30"/>
      <c r="AR23" s="30"/>
      <c r="AS23" s="185" t="s">
        <v>762</v>
      </c>
      <c r="AT23" s="185" t="s">
        <v>1239</v>
      </c>
      <c r="AU23" s="173" t="str">
        <f t="shared" ca="1" si="0"/>
        <v>Procede_E_P</v>
      </c>
      <c r="AV23" s="166" t="str">
        <f ca="1">IFERROR(__xludf.DUMMYFUNCTION("IFERROR(VLOOKUP(E136&amp;F136,IMPORTRANGE(""https://docs.google.com/spreadsheets/d/1Uw7-A9f9R21vMXxHZFNpYNeKFtG8_yji4HS352LGlSQ/edit?pli=1#gid=0"",""1_ACUM!A4:S""),11,FALSE))"),"EN FORMACION")</f>
        <v>EN FORMACION</v>
      </c>
      <c r="AW23" s="174" t="str">
        <f ca="1">IFERROR(__xludf.DUMMYFUNCTION("IFERROR(VLOOKUP(F136,IMPORTRANGE(""https://docs.google.com/spreadsheets/d/1Kvs4KS76FHFqLFIZfrDMff4kP08nblUkihrxltoGBjg/edit#gid=934712705"",""ESENCIAL!A6:BG""),15,FALSE))"),"AGROPECUARIO")</f>
        <v>AGROPECUARIO</v>
      </c>
      <c r="AX23" s="175">
        <f ca="1">IFERROR(__xludf.DUMMYFUNCTION("IFERROR(VLOOKUP(E136&amp;F136,IMPORTRANGE(""https://docs.google.com/spreadsheets/d/1Uw7-A9f9R21vMXxHZFNpYNeKFtG8_yji4HS352LGlSQ/edit?pli=1#gid=0"",""1_ACUM!A4:S""),12,FALSE))"),44839)</f>
        <v>44839</v>
      </c>
      <c r="AY23" s="176">
        <f ca="1">IFERROR(__xludf.DUMMYFUNCTION("IFERROR(VLOOKUP(E136&amp;F136,IMPORTRANGE(""https://docs.google.com/spreadsheets/d/1Uw7-A9f9R21vMXxHZFNpYNeKFtG8_yji4HS352LGlSQ/edit?pli=1#gid=0"",""1_ACUM!A4:S""),13,FALSE))"),0)</f>
        <v>0</v>
      </c>
      <c r="AZ23" s="176">
        <f ca="1">IFERROR(__xludf.DUMMYFUNCTION("IFERROR(VLOOKUP(E136&amp;F136,IMPORTRANGE(""https://docs.google.com/spreadsheets/d/1Uw7-A9f9R21vMXxHZFNpYNeKFtG8_yji4HS352LGlSQ/edit?pli=1#gid=0"",""1_ACUM!A4:S""),14,FALSE))"),1)</f>
        <v>1</v>
      </c>
      <c r="BA23" s="176">
        <f ca="1">IFERROR(__xludf.DUMMYFUNCTION("IFERROR(VLOOKUP(E136&amp;F136,IMPORTRANGE(""https://docs.google.com/spreadsheets/d/1Uw7-A9f9R21vMXxHZFNpYNeKFtG8_yji4HS352LGlSQ/edit?pli=1#gid=0"",""1_ACUM!A4:S""),15,FALSE))"),0)</f>
        <v>0</v>
      </c>
      <c r="BB23" s="176">
        <f ca="1">IFERROR(__xludf.DUMMYFUNCTION("IFERROR(VLOOKUP(E136&amp;F136,IMPORTRANGE(""https://docs.google.com/spreadsheets/d/1Uw7-A9f9R21vMXxHZFNpYNeKFtG8_yji4HS352LGlSQ/edit?pli=1#gid=0"",""1_ACUM!A4:S""),16,FALSE))"),0)</f>
        <v>0</v>
      </c>
      <c r="BC23" s="176">
        <f ca="1">IFERROR(__xludf.DUMMYFUNCTION("IFERROR(VLOOKUP(E136&amp;F136,IMPORTRANGE(""https://docs.google.com/spreadsheets/d/1Uw7-A9f9R21vMXxHZFNpYNeKFtG8_yji4HS352LGlSQ/edit?pli=1#gid=0"",""1_ACUM!A4:S""),17,FALSE))"),1)</f>
        <v>1</v>
      </c>
      <c r="BD23" s="177">
        <f ca="1">IFERROR(__xludf.DUMMYFUNCTION("IFERROR(VLOOKUP(E136&amp;F136,IMPORTRANGE(""https://docs.google.com/spreadsheets/d/1Uw7-A9f9R21vMXxHZFNpYNeKFtG8_yji4HS352LGlSQ/edit?pli=1#gid=0"",""1_ACUM!A4:S""),18,FALSE))"),44183)</f>
        <v>44183</v>
      </c>
      <c r="BE23" s="177">
        <f ca="1">IFERROR(__xludf.DUMMYFUNCTION("IFERROR(VLOOKUP(E136&amp;F136,IMPORTRANGE(""https://docs.google.com/spreadsheets/d/1Uw7-A9f9R21vMXxHZFNpYNeKFtG8_yji4HS352LGlSQ/edit?pli=1#gid=0"",""1_ACUM!A4:S""),19,FALSE))"),44729)</f>
        <v>44729</v>
      </c>
      <c r="BF23" s="177">
        <f ca="1">IFERROR(__xludf.DUMMYFUNCTION("IFERROR(VLOOKUP(F136,IMPORTRANGE(""https://docs.google.com/spreadsheets/d/1Kvs4KS76FHFqLFIZfrDMff4kP08nblUkihrxltoGBjg/edit#gid=934712705"",""ESENCIAL!A6:BG""),5,FALSE))"),44912)</f>
        <v>44912</v>
      </c>
      <c r="BG23" s="177">
        <f t="shared" ca="1" si="1"/>
        <v>45460</v>
      </c>
      <c r="BH23" s="173" t="str">
        <f t="shared" ca="1" si="2"/>
        <v>FICHA EN TIEMPO-18 MESES</v>
      </c>
      <c r="BI23" s="173" t="str">
        <f ca="1">IFERROR(__xludf.DUMMYFUNCTION("IFERROR(VLOOKUP(F136,IMPORTRANGE(""https://docs.google.com/spreadsheets/d/1Kvs4KS76FHFqLFIZfrDMff4kP08nblUkihrxltoGBjg/edit#gid=934712705"",""ESENCIAL!A6:BG""),18,FALSE))"),"En ejecucion")</f>
        <v>En ejecucion</v>
      </c>
      <c r="BJ23" s="173" t="str">
        <f t="shared" si="3"/>
        <v>Yamboro</v>
      </c>
      <c r="BK23" s="291"/>
      <c r="BL23" s="19"/>
    </row>
    <row r="24" spans="1:64" ht="18" customHeight="1">
      <c r="A24" s="293" t="s">
        <v>1223</v>
      </c>
      <c r="B24" s="167" t="s">
        <v>25</v>
      </c>
      <c r="C24" s="470" t="s">
        <v>1240</v>
      </c>
      <c r="D24" s="471" t="s">
        <v>27</v>
      </c>
      <c r="E24" s="471">
        <v>1004208884</v>
      </c>
      <c r="F24" s="346">
        <v>2236073</v>
      </c>
      <c r="G24" s="468" t="str">
        <f ca="1">IFERROR(__xludf.DUMMYFUNCTION("IFERROR(VLOOKUP(F141,IMPORTRANGE(""https://docs.google.com/spreadsheets/d/1Kvs4KS76FHFqLFIZfrDMff4kP08nblUkihrxltoGBjg/edit#gid=934712705"",""ESENCIAL!A6:BG""),3,FALSE))"),"TECNÓLOGO")</f>
        <v>TECNÓLOGO</v>
      </c>
      <c r="H24" s="468" t="str">
        <f ca="1">IFERROR(__xludf.DUMMYFUNCTION("IFERROR(VLOOKUP(F141,IMPORTRANGE(""https://docs.google.com/spreadsheets/d/1Kvs4KS76FHFqLFIZfrDMff4kP08nblUkihrxltoGBjg/edit#gid=934712705"",""ESENCIAL!A6:BG""),8,FALSE))"),"PRODUCCIÓN AGROPECUARIA ECOLÓGICA")</f>
        <v>PRODUCCIÓN AGROPECUARIA ECOLÓGICA</v>
      </c>
      <c r="I24" s="359">
        <v>3105679413</v>
      </c>
      <c r="J24" s="185"/>
      <c r="K24" s="185"/>
      <c r="L24" s="185" t="s">
        <v>37</v>
      </c>
      <c r="M24" s="185" t="s">
        <v>1241</v>
      </c>
      <c r="N24" s="185" t="s">
        <v>84</v>
      </c>
      <c r="O24" s="185"/>
      <c r="P24" s="185"/>
      <c r="Q24" s="185"/>
      <c r="R24" s="186">
        <v>44774</v>
      </c>
      <c r="S24" s="222">
        <v>44957</v>
      </c>
      <c r="T24" s="185"/>
      <c r="U24" s="28" t="s">
        <v>1188</v>
      </c>
      <c r="V24" s="54" t="s">
        <v>1242</v>
      </c>
      <c r="W24" s="54"/>
      <c r="X24" s="54"/>
      <c r="Y24" s="54"/>
      <c r="Z24" s="54"/>
      <c r="AA24" s="54"/>
      <c r="AB24" s="54"/>
      <c r="AC24" s="54"/>
      <c r="AD24" s="54"/>
      <c r="AE24" s="54"/>
      <c r="AF24" s="54"/>
      <c r="AG24" s="54"/>
      <c r="AH24" s="54"/>
      <c r="AI24" s="54"/>
      <c r="AJ24" s="54"/>
      <c r="AK24" s="54"/>
      <c r="AL24" s="54"/>
      <c r="AM24" s="54"/>
      <c r="AN24" s="54"/>
      <c r="AO24" s="54"/>
      <c r="AP24" s="54"/>
      <c r="AQ24" s="54"/>
      <c r="AR24" s="54"/>
      <c r="AS24" s="185"/>
      <c r="AT24" s="185"/>
      <c r="AU24" s="173" t="str">
        <f t="shared" ca="1" si="0"/>
        <v>Procede_E_P</v>
      </c>
      <c r="AV24" s="166" t="str">
        <f ca="1">IFERROR(__xludf.DUMMYFUNCTION("IFERROR(VLOOKUP(E141&amp;F141,IMPORTRANGE(""https://docs.google.com/spreadsheets/d/1Uw7-A9f9R21vMXxHZFNpYNeKFtG8_yji4HS352LGlSQ/edit?pli=1#gid=0"",""1_ACUM!A4:S""),11,FALSE))"),"EN FORMACION")</f>
        <v>EN FORMACION</v>
      </c>
      <c r="AW24" s="174" t="str">
        <f ca="1">IFERROR(__xludf.DUMMYFUNCTION("IFERROR(VLOOKUP(F141,IMPORTRANGE(""https://docs.google.com/spreadsheets/d/1Kvs4KS76FHFqLFIZfrDMff4kP08nblUkihrxltoGBjg/edit#gid=934712705"",""ESENCIAL!A6:BG""),15,FALSE))"),"AGROPECUARIO")</f>
        <v>AGROPECUARIO</v>
      </c>
      <c r="AX24" s="175">
        <f ca="1">IFERROR(__xludf.DUMMYFUNCTION("IFERROR(VLOOKUP(E141&amp;F141,IMPORTRANGE(""https://docs.google.com/spreadsheets/d/1Uw7-A9f9R21vMXxHZFNpYNeKFtG8_yji4HS352LGlSQ/edit?pli=1#gid=0"",""1_ACUM!A4:S""),12,FALSE))"),44839)</f>
        <v>44839</v>
      </c>
      <c r="AY24" s="176">
        <f ca="1">IFERROR(__xludf.DUMMYFUNCTION("IFERROR(VLOOKUP(E141&amp;F141,IMPORTRANGE(""https://docs.google.com/spreadsheets/d/1Uw7-A9f9R21vMXxHZFNpYNeKFtG8_yji4HS352LGlSQ/edit?pli=1#gid=0"",""1_ACUM!A4:S""),13,FALSE))"),0)</f>
        <v>0</v>
      </c>
      <c r="AZ24" s="176">
        <f ca="1">IFERROR(__xludf.DUMMYFUNCTION("IFERROR(VLOOKUP(E141&amp;F141,IMPORTRANGE(""https://docs.google.com/spreadsheets/d/1Uw7-A9f9R21vMXxHZFNpYNeKFtG8_yji4HS352LGlSQ/edit?pli=1#gid=0"",""1_ACUM!A4:S""),14,FALSE))"),1)</f>
        <v>1</v>
      </c>
      <c r="BA24" s="176">
        <f ca="1">IFERROR(__xludf.DUMMYFUNCTION("IFERROR(VLOOKUP(E141&amp;F141,IMPORTRANGE(""https://docs.google.com/spreadsheets/d/1Uw7-A9f9R21vMXxHZFNpYNeKFtG8_yji4HS352LGlSQ/edit?pli=1#gid=0"",""1_ACUM!A4:S""),15,FALSE))"),0)</f>
        <v>0</v>
      </c>
      <c r="BB24" s="176">
        <f ca="1">IFERROR(__xludf.DUMMYFUNCTION("IFERROR(VLOOKUP(E141&amp;F141,IMPORTRANGE(""https://docs.google.com/spreadsheets/d/1Uw7-A9f9R21vMXxHZFNpYNeKFtG8_yji4HS352LGlSQ/edit?pli=1#gid=0"",""1_ACUM!A4:S""),16,FALSE))"),0)</f>
        <v>0</v>
      </c>
      <c r="BC24" s="176">
        <f ca="1">IFERROR(__xludf.DUMMYFUNCTION("IFERROR(VLOOKUP(E141&amp;F141,IMPORTRANGE(""https://docs.google.com/spreadsheets/d/1Uw7-A9f9R21vMXxHZFNpYNeKFtG8_yji4HS352LGlSQ/edit?pli=1#gid=0"",""1_ACUM!A4:S""),17,FALSE))"),1)</f>
        <v>1</v>
      </c>
      <c r="BD24" s="177">
        <f ca="1">IFERROR(__xludf.DUMMYFUNCTION("IFERROR(VLOOKUP(E141&amp;F141,IMPORTRANGE(""https://docs.google.com/spreadsheets/d/1Uw7-A9f9R21vMXxHZFNpYNeKFtG8_yji4HS352LGlSQ/edit?pli=1#gid=0"",""1_ACUM!A4:S""),18,FALSE))"),44221)</f>
        <v>44221</v>
      </c>
      <c r="BE24" s="177">
        <f ca="1">IFERROR(__xludf.DUMMYFUNCTION("IFERROR(VLOOKUP(E141&amp;F141,IMPORTRANGE(""https://docs.google.com/spreadsheets/d/1Uw7-A9f9R21vMXxHZFNpYNeKFtG8_yji4HS352LGlSQ/edit?pli=1#gid=0"",""1_ACUM!A4:S""),19,FALSE))"),44766)</f>
        <v>44766</v>
      </c>
      <c r="BF24" s="177">
        <f ca="1">IFERROR(__xludf.DUMMYFUNCTION("IFERROR(VLOOKUP(F141,IMPORTRANGE(""https://docs.google.com/spreadsheets/d/1Kvs4KS76FHFqLFIZfrDMff4kP08nblUkihrxltoGBjg/edit#gid=934712705"",""ESENCIAL!A6:BG""),5,FALSE))"),44950)</f>
        <v>44950</v>
      </c>
      <c r="BG24" s="177">
        <f t="shared" ca="1" si="1"/>
        <v>45497</v>
      </c>
      <c r="BH24" s="173" t="str">
        <f t="shared" ca="1" si="2"/>
        <v>FICHA EN TIEMPO-18 MESES</v>
      </c>
      <c r="BI24" s="173" t="str">
        <f ca="1">IFERROR(__xludf.DUMMYFUNCTION("IFERROR(VLOOKUP(F141,IMPORTRANGE(""https://docs.google.com/spreadsheets/d/1Kvs4KS76FHFqLFIZfrDMff4kP08nblUkihrxltoGBjg/edit#gid=934712705"",""ESENCIAL!A6:BG""),18,FALSE))"),"En ejecucion")</f>
        <v>En ejecucion</v>
      </c>
      <c r="BJ24" s="173" t="str">
        <f t="shared" si="3"/>
        <v>Yamboro</v>
      </c>
      <c r="BK24" s="291"/>
      <c r="BL24" s="19"/>
    </row>
    <row r="25" spans="1:64" ht="18" customHeight="1">
      <c r="A25" s="293" t="s">
        <v>1223</v>
      </c>
      <c r="B25" s="167" t="s">
        <v>25</v>
      </c>
      <c r="C25" s="470" t="s">
        <v>1243</v>
      </c>
      <c r="D25" s="471" t="s">
        <v>27</v>
      </c>
      <c r="E25" s="471">
        <v>1004417302</v>
      </c>
      <c r="F25" s="346">
        <v>2236073</v>
      </c>
      <c r="G25" s="468" t="str">
        <f ca="1">IFERROR(__xludf.DUMMYFUNCTION("IFERROR(VLOOKUP(F142,IMPORTRANGE(""https://docs.google.com/spreadsheets/d/1Kvs4KS76FHFqLFIZfrDMff4kP08nblUkihrxltoGBjg/edit#gid=934712705"",""ESENCIAL!A6:BG""),3,FALSE))"),"TECNÓLOGO")</f>
        <v>TECNÓLOGO</v>
      </c>
      <c r="H25" s="468" t="str">
        <f ca="1">IFERROR(__xludf.DUMMYFUNCTION("IFERROR(VLOOKUP(F142,IMPORTRANGE(""https://docs.google.com/spreadsheets/d/1Kvs4KS76FHFqLFIZfrDMff4kP08nblUkihrxltoGBjg/edit#gid=934712705"",""ESENCIAL!A6:BG""),8,FALSE))"),"PRODUCCIÓN AGROPECUARIA ECOLÓGICA")</f>
        <v>PRODUCCIÓN AGROPECUARIA ECOLÓGICA</v>
      </c>
      <c r="I25" s="359"/>
      <c r="J25" s="185"/>
      <c r="K25" s="185"/>
      <c r="L25" s="185" t="s">
        <v>37</v>
      </c>
      <c r="M25" s="185" t="s">
        <v>1241</v>
      </c>
      <c r="N25" s="185" t="s">
        <v>84</v>
      </c>
      <c r="O25" s="185"/>
      <c r="P25" s="185"/>
      <c r="Q25" s="185"/>
      <c r="R25" s="186">
        <v>44774</v>
      </c>
      <c r="S25" s="222">
        <v>44957</v>
      </c>
      <c r="T25" s="357" t="s">
        <v>1244</v>
      </c>
      <c r="U25" s="117" t="s">
        <v>1245</v>
      </c>
      <c r="V25" s="54" t="s">
        <v>1246</v>
      </c>
      <c r="W25" s="30"/>
      <c r="X25" s="30"/>
      <c r="Y25" s="30"/>
      <c r="Z25" s="30"/>
      <c r="AA25" s="30"/>
      <c r="AB25" s="30"/>
      <c r="AC25" s="30"/>
      <c r="AD25" s="30"/>
      <c r="AE25" s="30"/>
      <c r="AF25" s="30"/>
      <c r="AG25" s="30"/>
      <c r="AH25" s="30"/>
      <c r="AI25" s="30"/>
      <c r="AJ25" s="30"/>
      <c r="AK25" s="30"/>
      <c r="AL25" s="30"/>
      <c r="AM25" s="30"/>
      <c r="AN25" s="30"/>
      <c r="AO25" s="30"/>
      <c r="AP25" s="30"/>
      <c r="AQ25" s="30"/>
      <c r="AR25" s="30"/>
      <c r="AS25" s="185"/>
      <c r="AT25" s="185"/>
      <c r="AU25" s="173" t="str">
        <f t="shared" ca="1" si="0"/>
        <v>Procede_E_P</v>
      </c>
      <c r="AV25" s="166" t="str">
        <f ca="1">IFERROR(__xludf.DUMMYFUNCTION("IFERROR(VLOOKUP(E142&amp;F142,IMPORTRANGE(""https://docs.google.com/spreadsheets/d/1Uw7-A9f9R21vMXxHZFNpYNeKFtG8_yji4HS352LGlSQ/edit?pli=1#gid=0"",""1_ACUM!A4:S""),11,FALSE))"),"EN FORMACION")</f>
        <v>EN FORMACION</v>
      </c>
      <c r="AW25" s="174" t="str">
        <f ca="1">IFERROR(__xludf.DUMMYFUNCTION("IFERROR(VLOOKUP(F142,IMPORTRANGE(""https://docs.google.com/spreadsheets/d/1Kvs4KS76FHFqLFIZfrDMff4kP08nblUkihrxltoGBjg/edit#gid=934712705"",""ESENCIAL!A6:BG""),15,FALSE))"),"AGROPECUARIO")</f>
        <v>AGROPECUARIO</v>
      </c>
      <c r="AX25" s="175">
        <f ca="1">IFERROR(__xludf.DUMMYFUNCTION("IFERROR(VLOOKUP(E142&amp;F142,IMPORTRANGE(""https://docs.google.com/spreadsheets/d/1Uw7-A9f9R21vMXxHZFNpYNeKFtG8_yji4HS352LGlSQ/edit?pli=1#gid=0"",""1_ACUM!A4:S""),12,FALSE))"),44839)</f>
        <v>44839</v>
      </c>
      <c r="AY25" s="176">
        <f ca="1">IFERROR(__xludf.DUMMYFUNCTION("IFERROR(VLOOKUP(E142&amp;F142,IMPORTRANGE(""https://docs.google.com/spreadsheets/d/1Uw7-A9f9R21vMXxHZFNpYNeKFtG8_yji4HS352LGlSQ/edit?pli=1#gid=0"",""1_ACUM!A4:S""),13,FALSE))"),0)</f>
        <v>0</v>
      </c>
      <c r="AZ25" s="176">
        <f ca="1">IFERROR(__xludf.DUMMYFUNCTION("IFERROR(VLOOKUP(E142&amp;F142,IMPORTRANGE(""https://docs.google.com/spreadsheets/d/1Uw7-A9f9R21vMXxHZFNpYNeKFtG8_yji4HS352LGlSQ/edit?pli=1#gid=0"",""1_ACUM!A4:S""),14,FALSE))"),1)</f>
        <v>1</v>
      </c>
      <c r="BA25" s="176">
        <f ca="1">IFERROR(__xludf.DUMMYFUNCTION("IFERROR(VLOOKUP(E142&amp;F142,IMPORTRANGE(""https://docs.google.com/spreadsheets/d/1Uw7-A9f9R21vMXxHZFNpYNeKFtG8_yji4HS352LGlSQ/edit?pli=1#gid=0"",""1_ACUM!A4:S""),15,FALSE))"),0)</f>
        <v>0</v>
      </c>
      <c r="BB25" s="176">
        <f ca="1">IFERROR(__xludf.DUMMYFUNCTION("IFERROR(VLOOKUP(E142&amp;F142,IMPORTRANGE(""https://docs.google.com/spreadsheets/d/1Uw7-A9f9R21vMXxHZFNpYNeKFtG8_yji4HS352LGlSQ/edit?pli=1#gid=0"",""1_ACUM!A4:S""),16,FALSE))"),0)</f>
        <v>0</v>
      </c>
      <c r="BC25" s="176">
        <f ca="1">IFERROR(__xludf.DUMMYFUNCTION("IFERROR(VLOOKUP(E142&amp;F142,IMPORTRANGE(""https://docs.google.com/spreadsheets/d/1Uw7-A9f9R21vMXxHZFNpYNeKFtG8_yji4HS352LGlSQ/edit?pli=1#gid=0"",""1_ACUM!A4:S""),17,FALSE))"),1)</f>
        <v>1</v>
      </c>
      <c r="BD25" s="177">
        <f ca="1">IFERROR(__xludf.DUMMYFUNCTION("IFERROR(VLOOKUP(E142&amp;F142,IMPORTRANGE(""https://docs.google.com/spreadsheets/d/1Uw7-A9f9R21vMXxHZFNpYNeKFtG8_yji4HS352LGlSQ/edit?pli=1#gid=0"",""1_ACUM!A4:S""),18,FALSE))"),44221)</f>
        <v>44221</v>
      </c>
      <c r="BE25" s="177">
        <f ca="1">IFERROR(__xludf.DUMMYFUNCTION("IFERROR(VLOOKUP(E142&amp;F142,IMPORTRANGE(""https://docs.google.com/spreadsheets/d/1Uw7-A9f9R21vMXxHZFNpYNeKFtG8_yji4HS352LGlSQ/edit?pli=1#gid=0"",""1_ACUM!A4:S""),19,FALSE))"),44766)</f>
        <v>44766</v>
      </c>
      <c r="BF25" s="177">
        <f ca="1">IFERROR(__xludf.DUMMYFUNCTION("IFERROR(VLOOKUP(F142,IMPORTRANGE(""https://docs.google.com/spreadsheets/d/1Kvs4KS76FHFqLFIZfrDMff4kP08nblUkihrxltoGBjg/edit#gid=934712705"",""ESENCIAL!A6:BG""),5,FALSE))"),44950)</f>
        <v>44950</v>
      </c>
      <c r="BG25" s="177">
        <f t="shared" ca="1" si="1"/>
        <v>45497</v>
      </c>
      <c r="BH25" s="173" t="str">
        <f t="shared" ca="1" si="2"/>
        <v>FICHA EN TIEMPO-18 MESES</v>
      </c>
      <c r="BI25" s="173" t="str">
        <f ca="1">IFERROR(__xludf.DUMMYFUNCTION("IFERROR(VLOOKUP(F142,IMPORTRANGE(""https://docs.google.com/spreadsheets/d/1Kvs4KS76FHFqLFIZfrDMff4kP08nblUkihrxltoGBjg/edit#gid=934712705"",""ESENCIAL!A6:BG""),18,FALSE))"),"En ejecucion")</f>
        <v>En ejecucion</v>
      </c>
      <c r="BJ25" s="173" t="str">
        <f t="shared" si="3"/>
        <v>Yamboro</v>
      </c>
      <c r="BK25" s="291"/>
      <c r="BL25" s="19"/>
    </row>
    <row r="26" spans="1:64" ht="18" customHeight="1">
      <c r="A26" s="293" t="s">
        <v>1223</v>
      </c>
      <c r="B26" s="167" t="s">
        <v>25</v>
      </c>
      <c r="C26" s="470" t="s">
        <v>1247</v>
      </c>
      <c r="D26" s="471" t="s">
        <v>27</v>
      </c>
      <c r="E26" s="471">
        <v>1007336062</v>
      </c>
      <c r="F26" s="346">
        <v>2236073</v>
      </c>
      <c r="G26" s="468" t="str">
        <f ca="1">IFERROR(__xludf.DUMMYFUNCTION("IFERROR(VLOOKUP(F143,IMPORTRANGE(""https://docs.google.com/spreadsheets/d/1Kvs4KS76FHFqLFIZfrDMff4kP08nblUkihrxltoGBjg/edit#gid=934712705"",""ESENCIAL!A6:BG""),3,FALSE))"),"TECNÓLOGO")</f>
        <v>TECNÓLOGO</v>
      </c>
      <c r="H26" s="468" t="str">
        <f ca="1">IFERROR(__xludf.DUMMYFUNCTION("IFERROR(VLOOKUP(F143,IMPORTRANGE(""https://docs.google.com/spreadsheets/d/1Kvs4KS76FHFqLFIZfrDMff4kP08nblUkihrxltoGBjg/edit#gid=934712705"",""ESENCIAL!A6:BG""),8,FALSE))"),"PRODUCCIÓN AGROPECUARIA ECOLÓGICA")</f>
        <v>PRODUCCIÓN AGROPECUARIA ECOLÓGICA</v>
      </c>
      <c r="I26" s="359"/>
      <c r="J26" s="185"/>
      <c r="K26" s="185"/>
      <c r="L26" s="192" t="s">
        <v>28</v>
      </c>
      <c r="M26" s="185" t="s">
        <v>1248</v>
      </c>
      <c r="N26" s="185" t="s">
        <v>1249</v>
      </c>
      <c r="O26" s="185">
        <v>2100888</v>
      </c>
      <c r="P26" s="185" t="s">
        <v>84</v>
      </c>
      <c r="Q26" s="185" t="s">
        <v>1250</v>
      </c>
      <c r="R26" s="186">
        <v>44774</v>
      </c>
      <c r="S26" s="222">
        <v>44957</v>
      </c>
      <c r="T26" s="356" t="s">
        <v>1251</v>
      </c>
      <c r="U26" s="30" t="s">
        <v>1252</v>
      </c>
      <c r="V26" s="30" t="s">
        <v>1253</v>
      </c>
      <c r="W26" s="30"/>
      <c r="X26" s="30"/>
      <c r="Y26" s="30"/>
      <c r="Z26" s="30"/>
      <c r="AA26" s="30"/>
      <c r="AB26" s="30"/>
      <c r="AC26" s="30"/>
      <c r="AD26" s="30"/>
      <c r="AE26" s="30"/>
      <c r="AF26" s="30"/>
      <c r="AG26" s="30"/>
      <c r="AH26" s="30"/>
      <c r="AI26" s="30"/>
      <c r="AJ26" s="30"/>
      <c r="AK26" s="30"/>
      <c r="AL26" s="30"/>
      <c r="AM26" s="30"/>
      <c r="AN26" s="30"/>
      <c r="AO26" s="30"/>
      <c r="AP26" s="30"/>
      <c r="AQ26" s="30"/>
      <c r="AR26" s="30"/>
      <c r="AS26" s="185" t="s">
        <v>1254</v>
      </c>
      <c r="AT26" s="185"/>
      <c r="AU26" s="173" t="str">
        <f t="shared" ca="1" si="0"/>
        <v>Procede_E_P</v>
      </c>
      <c r="AV26" s="166" t="str">
        <f ca="1">IFERROR(__xludf.DUMMYFUNCTION("IFERROR(VLOOKUP(E143&amp;F143,IMPORTRANGE(""https://docs.google.com/spreadsheets/d/1Uw7-A9f9R21vMXxHZFNpYNeKFtG8_yji4HS352LGlSQ/edit?pli=1#gid=0"",""1_ACUM!A4:S""),11,FALSE))"),"EN FORMACION")</f>
        <v>EN FORMACION</v>
      </c>
      <c r="AW26" s="174" t="str">
        <f ca="1">IFERROR(__xludf.DUMMYFUNCTION("IFERROR(VLOOKUP(F143,IMPORTRANGE(""https://docs.google.com/spreadsheets/d/1Kvs4KS76FHFqLFIZfrDMff4kP08nblUkihrxltoGBjg/edit#gid=934712705"",""ESENCIAL!A6:BG""),15,FALSE))"),"AGROPECUARIO")</f>
        <v>AGROPECUARIO</v>
      </c>
      <c r="AX26" s="175">
        <f ca="1">IFERROR(__xludf.DUMMYFUNCTION("IFERROR(VLOOKUP(E143&amp;F143,IMPORTRANGE(""https://docs.google.com/spreadsheets/d/1Uw7-A9f9R21vMXxHZFNpYNeKFtG8_yji4HS352LGlSQ/edit?pli=1#gid=0"",""1_ACUM!A4:S""),12,FALSE))"),44839)</f>
        <v>44839</v>
      </c>
      <c r="AY26" s="176">
        <f ca="1">IFERROR(__xludf.DUMMYFUNCTION("IFERROR(VLOOKUP(E143&amp;F143,IMPORTRANGE(""https://docs.google.com/spreadsheets/d/1Uw7-A9f9R21vMXxHZFNpYNeKFtG8_yji4HS352LGlSQ/edit?pli=1#gid=0"",""1_ACUM!A4:S""),13,FALSE))"),0)</f>
        <v>0</v>
      </c>
      <c r="AZ26" s="176">
        <f ca="1">IFERROR(__xludf.DUMMYFUNCTION("IFERROR(VLOOKUP(E143&amp;F143,IMPORTRANGE(""https://docs.google.com/spreadsheets/d/1Uw7-A9f9R21vMXxHZFNpYNeKFtG8_yji4HS352LGlSQ/edit?pli=1#gid=0"",""1_ACUM!A4:S""),14,FALSE))"),1)</f>
        <v>1</v>
      </c>
      <c r="BA26" s="176">
        <f ca="1">IFERROR(__xludf.DUMMYFUNCTION("IFERROR(VLOOKUP(E143&amp;F143,IMPORTRANGE(""https://docs.google.com/spreadsheets/d/1Uw7-A9f9R21vMXxHZFNpYNeKFtG8_yji4HS352LGlSQ/edit?pli=1#gid=0"",""1_ACUM!A4:S""),15,FALSE))"),0)</f>
        <v>0</v>
      </c>
      <c r="BB26" s="176">
        <f ca="1">IFERROR(__xludf.DUMMYFUNCTION("IFERROR(VLOOKUP(E143&amp;F143,IMPORTRANGE(""https://docs.google.com/spreadsheets/d/1Uw7-A9f9R21vMXxHZFNpYNeKFtG8_yji4HS352LGlSQ/edit?pli=1#gid=0"",""1_ACUM!A4:S""),16,FALSE))"),0)</f>
        <v>0</v>
      </c>
      <c r="BC26" s="176">
        <f ca="1">IFERROR(__xludf.DUMMYFUNCTION("IFERROR(VLOOKUP(E143&amp;F143,IMPORTRANGE(""https://docs.google.com/spreadsheets/d/1Uw7-A9f9R21vMXxHZFNpYNeKFtG8_yji4HS352LGlSQ/edit?pli=1#gid=0"",""1_ACUM!A4:S""),17,FALSE))"),1)</f>
        <v>1</v>
      </c>
      <c r="BD26" s="177">
        <f ca="1">IFERROR(__xludf.DUMMYFUNCTION("IFERROR(VLOOKUP(E143&amp;F143,IMPORTRANGE(""https://docs.google.com/spreadsheets/d/1Uw7-A9f9R21vMXxHZFNpYNeKFtG8_yji4HS352LGlSQ/edit?pli=1#gid=0"",""1_ACUM!A4:S""),18,FALSE))"),44221)</f>
        <v>44221</v>
      </c>
      <c r="BE26" s="177">
        <f ca="1">IFERROR(__xludf.DUMMYFUNCTION("IFERROR(VLOOKUP(E143&amp;F143,IMPORTRANGE(""https://docs.google.com/spreadsheets/d/1Uw7-A9f9R21vMXxHZFNpYNeKFtG8_yji4HS352LGlSQ/edit?pli=1#gid=0"",""1_ACUM!A4:S""),19,FALSE))"),44766)</f>
        <v>44766</v>
      </c>
      <c r="BF26" s="177">
        <f ca="1">IFERROR(__xludf.DUMMYFUNCTION("IFERROR(VLOOKUP(F143,IMPORTRANGE(""https://docs.google.com/spreadsheets/d/1Kvs4KS76FHFqLFIZfrDMff4kP08nblUkihrxltoGBjg/edit#gid=934712705"",""ESENCIAL!A6:BG""),5,FALSE))"),44950)</f>
        <v>44950</v>
      </c>
      <c r="BG26" s="177">
        <f t="shared" ca="1" si="1"/>
        <v>45497</v>
      </c>
      <c r="BH26" s="173" t="str">
        <f t="shared" ca="1" si="2"/>
        <v>FICHA EN TIEMPO-18 MESES</v>
      </c>
      <c r="BI26" s="173" t="str">
        <f ca="1">IFERROR(__xludf.DUMMYFUNCTION("IFERROR(VLOOKUP(F143,IMPORTRANGE(""https://docs.google.com/spreadsheets/d/1Kvs4KS76FHFqLFIZfrDMff4kP08nblUkihrxltoGBjg/edit#gid=934712705"",""ESENCIAL!A6:BG""),18,FALSE))"),"En ejecucion")</f>
        <v>En ejecucion</v>
      </c>
      <c r="BJ26" s="173" t="str">
        <f t="shared" si="3"/>
        <v>Yamboro</v>
      </c>
      <c r="BK26" s="291"/>
      <c r="BL26" s="19"/>
    </row>
    <row r="27" spans="1:64" ht="18" customHeight="1">
      <c r="A27" s="469" t="s">
        <v>1119</v>
      </c>
      <c r="B27" s="167" t="s">
        <v>25</v>
      </c>
      <c r="C27" s="169" t="s">
        <v>1255</v>
      </c>
      <c r="D27" s="195" t="s">
        <v>67</v>
      </c>
      <c r="E27" s="195">
        <v>1084330687</v>
      </c>
      <c r="F27" s="188">
        <v>2236073</v>
      </c>
      <c r="G27" s="166" t="str">
        <f ca="1">IFERROR(__xludf.DUMMYFUNCTION("IFERROR(VLOOKUP(F151,IMPORTRANGE(""https://docs.google.com/spreadsheets/d/1Kvs4KS76FHFqLFIZfrDMff4kP08nblUkihrxltoGBjg/edit#gid=934712705"",""ESENCIAL!A6:BG""),3,FALSE))"),"TECNÓLOGO")</f>
        <v>TECNÓLOGO</v>
      </c>
      <c r="H27" s="166" t="str">
        <f ca="1">IFERROR(__xludf.DUMMYFUNCTION("IFERROR(VLOOKUP(F151,IMPORTRANGE(""https://docs.google.com/spreadsheets/d/1Kvs4KS76FHFqLFIZfrDMff4kP08nblUkihrxltoGBjg/edit#gid=934712705"",""ESENCIAL!A6:BG""),8,FALSE))"),"PRODUCCIÓN AGROPECUARIA ECOLÓGICA")</f>
        <v>PRODUCCIÓN AGROPECUARIA ECOLÓGICA</v>
      </c>
      <c r="I27" s="185"/>
      <c r="J27" s="185"/>
      <c r="K27" s="185"/>
      <c r="L27" s="192" t="s">
        <v>28</v>
      </c>
      <c r="M27" s="185" t="s">
        <v>1256</v>
      </c>
      <c r="N27" s="185"/>
      <c r="O27" s="185"/>
      <c r="P27" s="185"/>
      <c r="Q27" s="185"/>
      <c r="R27" s="186">
        <v>44805</v>
      </c>
      <c r="S27" s="222">
        <v>44621</v>
      </c>
      <c r="T27" s="185"/>
      <c r="U27" s="185" t="s">
        <v>1257</v>
      </c>
      <c r="V27" s="185"/>
      <c r="W27" s="185"/>
      <c r="X27" s="185"/>
      <c r="Y27" s="185"/>
      <c r="Z27" s="185"/>
      <c r="AA27" s="185"/>
      <c r="AB27" s="185"/>
      <c r="AC27" s="185"/>
      <c r="AD27" s="185"/>
      <c r="AE27" s="185"/>
      <c r="AF27" s="185"/>
      <c r="AG27" s="185"/>
      <c r="AH27" s="185"/>
      <c r="AI27" s="185"/>
      <c r="AJ27" s="185"/>
      <c r="AK27" s="185"/>
      <c r="AL27" s="185"/>
      <c r="AM27" s="185"/>
      <c r="AN27" s="185"/>
      <c r="AO27" s="185"/>
      <c r="AP27" s="185"/>
      <c r="AQ27" s="185"/>
      <c r="AR27" s="185"/>
      <c r="AS27" s="185"/>
      <c r="AT27" s="185"/>
      <c r="AU27" s="173" t="str">
        <f t="shared" ca="1" si="0"/>
        <v>Procede_E_P</v>
      </c>
      <c r="AV27" s="166" t="str">
        <f ca="1">IFERROR(__xludf.DUMMYFUNCTION("IFERROR(VLOOKUP(E151&amp;F151,IMPORTRANGE(""https://docs.google.com/spreadsheets/d/1Uw7-A9f9R21vMXxHZFNpYNeKFtG8_yji4HS352LGlSQ/edit?pli=1#gid=0"",""1_ACUM!A4:S""),11,FALSE))"),"EN FORMACION")</f>
        <v>EN FORMACION</v>
      </c>
      <c r="AW27" s="174" t="str">
        <f ca="1">IFERROR(__xludf.DUMMYFUNCTION("IFERROR(VLOOKUP(F151,IMPORTRANGE(""https://docs.google.com/spreadsheets/d/1Kvs4KS76FHFqLFIZfrDMff4kP08nblUkihrxltoGBjg/edit#gid=934712705"",""ESENCIAL!A6:BG""),15,FALSE))"),"AGROPECUARIO")</f>
        <v>AGROPECUARIO</v>
      </c>
      <c r="AX27" s="175">
        <f ca="1">IFERROR(__xludf.DUMMYFUNCTION("IFERROR(VLOOKUP(E151&amp;F151,IMPORTRANGE(""https://docs.google.com/spreadsheets/d/1Uw7-A9f9R21vMXxHZFNpYNeKFtG8_yji4HS352LGlSQ/edit?pli=1#gid=0"",""1_ACUM!A4:S""),12,FALSE))"),44839)</f>
        <v>44839</v>
      </c>
      <c r="AY27" s="176">
        <f ca="1">IFERROR(__xludf.DUMMYFUNCTION("IFERROR(VLOOKUP(E151&amp;F151,IMPORTRANGE(""https://docs.google.com/spreadsheets/d/1Uw7-A9f9R21vMXxHZFNpYNeKFtG8_yji4HS352LGlSQ/edit?pli=1#gid=0"",""1_ACUM!A4:S""),13,FALSE))"),0)</f>
        <v>0</v>
      </c>
      <c r="AZ27" s="176">
        <f ca="1">IFERROR(__xludf.DUMMYFUNCTION("IFERROR(VLOOKUP(E151&amp;F151,IMPORTRANGE(""https://docs.google.com/spreadsheets/d/1Uw7-A9f9R21vMXxHZFNpYNeKFtG8_yji4HS352LGlSQ/edit?pli=1#gid=0"",""1_ACUM!A4:S""),14,FALSE))"),1)</f>
        <v>1</v>
      </c>
      <c r="BA27" s="176">
        <f ca="1">IFERROR(__xludf.DUMMYFUNCTION("IFERROR(VLOOKUP(E151&amp;F151,IMPORTRANGE(""https://docs.google.com/spreadsheets/d/1Uw7-A9f9R21vMXxHZFNpYNeKFtG8_yji4HS352LGlSQ/edit?pli=1#gid=0"",""1_ACUM!A4:S""),15,FALSE))"),0)</f>
        <v>0</v>
      </c>
      <c r="BB27" s="176">
        <f ca="1">IFERROR(__xludf.DUMMYFUNCTION("IFERROR(VLOOKUP(E151&amp;F151,IMPORTRANGE(""https://docs.google.com/spreadsheets/d/1Uw7-A9f9R21vMXxHZFNpYNeKFtG8_yji4HS352LGlSQ/edit?pli=1#gid=0"",""1_ACUM!A4:S""),16,FALSE))"),0)</f>
        <v>0</v>
      </c>
      <c r="BC27" s="176">
        <f ca="1">IFERROR(__xludf.DUMMYFUNCTION("IFERROR(VLOOKUP(E151&amp;F151,IMPORTRANGE(""https://docs.google.com/spreadsheets/d/1Uw7-A9f9R21vMXxHZFNpYNeKFtG8_yji4HS352LGlSQ/edit?pli=1#gid=0"",""1_ACUM!A4:S""),17,FALSE))"),1)</f>
        <v>1</v>
      </c>
      <c r="BD27" s="177">
        <f ca="1">IFERROR(__xludf.DUMMYFUNCTION("IFERROR(VLOOKUP(E151&amp;F151,IMPORTRANGE(""https://docs.google.com/spreadsheets/d/1Uw7-A9f9R21vMXxHZFNpYNeKFtG8_yji4HS352LGlSQ/edit?pli=1#gid=0"",""1_ACUM!A4:S""),18,FALSE))"),44221)</f>
        <v>44221</v>
      </c>
      <c r="BE27" s="177">
        <f ca="1">IFERROR(__xludf.DUMMYFUNCTION("IFERROR(VLOOKUP(E151&amp;F151,IMPORTRANGE(""https://docs.google.com/spreadsheets/d/1Uw7-A9f9R21vMXxHZFNpYNeKFtG8_yji4HS352LGlSQ/edit?pli=1#gid=0"",""1_ACUM!A4:S""),19,FALSE))"),44766)</f>
        <v>44766</v>
      </c>
      <c r="BF27" s="177">
        <f ca="1">IFERROR(__xludf.DUMMYFUNCTION("IFERROR(VLOOKUP(F151,IMPORTRANGE(""https://docs.google.com/spreadsheets/d/1Kvs4KS76FHFqLFIZfrDMff4kP08nblUkihrxltoGBjg/edit#gid=934712705"",""ESENCIAL!A6:BG""),5,FALSE))"),44950)</f>
        <v>44950</v>
      </c>
      <c r="BG27" s="177">
        <f t="shared" ca="1" si="1"/>
        <v>45497</v>
      </c>
      <c r="BH27" s="173" t="str">
        <f t="shared" ca="1" si="2"/>
        <v>FICHA EN TIEMPO-18 MESES</v>
      </c>
      <c r="BI27" s="173" t="str">
        <f ca="1">IFERROR(__xludf.DUMMYFUNCTION("IFERROR(VLOOKUP(F151,IMPORTRANGE(""https://docs.google.com/spreadsheets/d/1Kvs4KS76FHFqLFIZfrDMff4kP08nblUkihrxltoGBjg/edit#gid=934712705"",""ESENCIAL!A6:BG""),18,FALSE))"),"En ejecucion")</f>
        <v>En ejecucion</v>
      </c>
      <c r="BJ27" s="173" t="str">
        <f t="shared" si="3"/>
        <v>Yamboro</v>
      </c>
      <c r="BK27" s="291"/>
      <c r="BL27" s="19"/>
    </row>
    <row r="28" spans="1:64" ht="18" customHeight="1">
      <c r="A28" s="293" t="s">
        <v>1223</v>
      </c>
      <c r="B28" s="167" t="s">
        <v>25</v>
      </c>
      <c r="C28" s="470" t="s">
        <v>1258</v>
      </c>
      <c r="D28" s="471" t="s">
        <v>67</v>
      </c>
      <c r="E28" s="471">
        <v>1084896223</v>
      </c>
      <c r="F28" s="346">
        <v>2236073</v>
      </c>
      <c r="G28" s="468" t="str">
        <f ca="1">IFERROR(__xludf.DUMMYFUNCTION("IFERROR(VLOOKUP(F153,IMPORTRANGE(""https://docs.google.com/spreadsheets/d/1Kvs4KS76FHFqLFIZfrDMff4kP08nblUkihrxltoGBjg/edit#gid=934712705"",""ESENCIAL!A6:BG""),3,FALSE))"),"TECNÓLOGO")</f>
        <v>TECNÓLOGO</v>
      </c>
      <c r="H28" s="468" t="str">
        <f ca="1">IFERROR(__xludf.DUMMYFUNCTION("IFERROR(VLOOKUP(F153,IMPORTRANGE(""https://docs.google.com/spreadsheets/d/1Kvs4KS76FHFqLFIZfrDMff4kP08nblUkihrxltoGBjg/edit#gid=934712705"",""ESENCIAL!A6:BG""),8,FALSE))"),"PRODUCCIÓN AGROPECUARIA ECOLÓGICA")</f>
        <v>PRODUCCIÓN AGROPECUARIA ECOLÓGICA</v>
      </c>
      <c r="I28" s="472">
        <v>3166845803</v>
      </c>
      <c r="J28" s="201" t="s">
        <v>1259</v>
      </c>
      <c r="K28" s="185"/>
      <c r="L28" s="185" t="s">
        <v>37</v>
      </c>
      <c r="M28" s="185" t="s">
        <v>1241</v>
      </c>
      <c r="N28" s="185" t="s">
        <v>84</v>
      </c>
      <c r="O28" s="201">
        <v>3217388487</v>
      </c>
      <c r="P28" s="201"/>
      <c r="Q28" s="201" t="s">
        <v>230</v>
      </c>
      <c r="R28" s="186">
        <v>44767</v>
      </c>
      <c r="S28" s="222">
        <v>44951</v>
      </c>
      <c r="T28" s="185"/>
      <c r="U28" s="30" t="s">
        <v>1257</v>
      </c>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185"/>
      <c r="AT28" s="185"/>
      <c r="AU28" s="173" t="str">
        <f t="shared" ca="1" si="0"/>
        <v>Procede_E_P</v>
      </c>
      <c r="AV28" s="166" t="str">
        <f ca="1">IFERROR(__xludf.DUMMYFUNCTION("IFERROR(VLOOKUP(E153&amp;F153,IMPORTRANGE(""https://docs.google.com/spreadsheets/d/1Uw7-A9f9R21vMXxHZFNpYNeKFtG8_yji4HS352LGlSQ/edit?pli=1#gid=0"",""1_ACUM!A4:S""),11,FALSE))"),"EN FORMACION")</f>
        <v>EN FORMACION</v>
      </c>
      <c r="AW28" s="174" t="str">
        <f ca="1">IFERROR(__xludf.DUMMYFUNCTION("IFERROR(VLOOKUP(F153,IMPORTRANGE(""https://docs.google.com/spreadsheets/d/1Kvs4KS76FHFqLFIZfrDMff4kP08nblUkihrxltoGBjg/edit#gid=934712705"",""ESENCIAL!A6:BG""),15,FALSE))"),"AGROPECUARIO")</f>
        <v>AGROPECUARIO</v>
      </c>
      <c r="AX28" s="175">
        <f ca="1">IFERROR(__xludf.DUMMYFUNCTION("IFERROR(VLOOKUP(E153&amp;F153,IMPORTRANGE(""https://docs.google.com/spreadsheets/d/1Uw7-A9f9R21vMXxHZFNpYNeKFtG8_yji4HS352LGlSQ/edit?pli=1#gid=0"",""1_ACUM!A4:S""),12,FALSE))"),44839)</f>
        <v>44839</v>
      </c>
      <c r="AY28" s="176">
        <f ca="1">IFERROR(__xludf.DUMMYFUNCTION("IFERROR(VLOOKUP(E153&amp;F153,IMPORTRANGE(""https://docs.google.com/spreadsheets/d/1Uw7-A9f9R21vMXxHZFNpYNeKFtG8_yji4HS352LGlSQ/edit?pli=1#gid=0"",""1_ACUM!A4:S""),13,FALSE))"),0)</f>
        <v>0</v>
      </c>
      <c r="AZ28" s="176">
        <f ca="1">IFERROR(__xludf.DUMMYFUNCTION("IFERROR(VLOOKUP(E153&amp;F153,IMPORTRANGE(""https://docs.google.com/spreadsheets/d/1Uw7-A9f9R21vMXxHZFNpYNeKFtG8_yji4HS352LGlSQ/edit?pli=1#gid=0"",""1_ACUM!A4:S""),14,FALSE))"),1)</f>
        <v>1</v>
      </c>
      <c r="BA28" s="176">
        <f ca="1">IFERROR(__xludf.DUMMYFUNCTION("IFERROR(VLOOKUP(E153&amp;F153,IMPORTRANGE(""https://docs.google.com/spreadsheets/d/1Uw7-A9f9R21vMXxHZFNpYNeKFtG8_yji4HS352LGlSQ/edit?pli=1#gid=0"",""1_ACUM!A4:S""),15,FALSE))"),0)</f>
        <v>0</v>
      </c>
      <c r="BB28" s="176">
        <f ca="1">IFERROR(__xludf.DUMMYFUNCTION("IFERROR(VLOOKUP(E153&amp;F153,IMPORTRANGE(""https://docs.google.com/spreadsheets/d/1Uw7-A9f9R21vMXxHZFNpYNeKFtG8_yji4HS352LGlSQ/edit?pli=1#gid=0"",""1_ACUM!A4:S""),16,FALSE))"),0)</f>
        <v>0</v>
      </c>
      <c r="BC28" s="176">
        <f ca="1">IFERROR(__xludf.DUMMYFUNCTION("IFERROR(VLOOKUP(E153&amp;F153,IMPORTRANGE(""https://docs.google.com/spreadsheets/d/1Uw7-A9f9R21vMXxHZFNpYNeKFtG8_yji4HS352LGlSQ/edit?pli=1#gid=0"",""1_ACUM!A4:S""),17,FALSE))"),1)</f>
        <v>1</v>
      </c>
      <c r="BD28" s="177">
        <f ca="1">IFERROR(__xludf.DUMMYFUNCTION("IFERROR(VLOOKUP(E153&amp;F153,IMPORTRANGE(""https://docs.google.com/spreadsheets/d/1Uw7-A9f9R21vMXxHZFNpYNeKFtG8_yji4HS352LGlSQ/edit?pli=1#gid=0"",""1_ACUM!A4:S""),18,FALSE))"),44221)</f>
        <v>44221</v>
      </c>
      <c r="BE28" s="177">
        <f ca="1">IFERROR(__xludf.DUMMYFUNCTION("IFERROR(VLOOKUP(E153&amp;F153,IMPORTRANGE(""https://docs.google.com/spreadsheets/d/1Uw7-A9f9R21vMXxHZFNpYNeKFtG8_yji4HS352LGlSQ/edit?pli=1#gid=0"",""1_ACUM!A4:S""),19,FALSE))"),44766)</f>
        <v>44766</v>
      </c>
      <c r="BF28" s="177">
        <f ca="1">IFERROR(__xludf.DUMMYFUNCTION("IFERROR(VLOOKUP(F153,IMPORTRANGE(""https://docs.google.com/spreadsheets/d/1Kvs4KS76FHFqLFIZfrDMff4kP08nblUkihrxltoGBjg/edit#gid=934712705"",""ESENCIAL!A6:BG""),5,FALSE))"),44950)</f>
        <v>44950</v>
      </c>
      <c r="BG28" s="177">
        <f t="shared" ca="1" si="1"/>
        <v>45497</v>
      </c>
      <c r="BH28" s="173" t="str">
        <f t="shared" ca="1" si="2"/>
        <v>FICHA EN TIEMPO-18 MESES</v>
      </c>
      <c r="BI28" s="173" t="str">
        <f ca="1">IFERROR(__xludf.DUMMYFUNCTION("IFERROR(VLOOKUP(F153,IMPORTRANGE(""https://docs.google.com/spreadsheets/d/1Kvs4KS76FHFqLFIZfrDMff4kP08nblUkihrxltoGBjg/edit#gid=934712705"",""ESENCIAL!A6:BG""),18,FALSE))"),"En ejecucion")</f>
        <v>En ejecucion</v>
      </c>
      <c r="BJ28" s="173" t="str">
        <f t="shared" si="3"/>
        <v>Yamboro</v>
      </c>
      <c r="BK28" s="291"/>
      <c r="BL28" s="19"/>
    </row>
    <row r="29" spans="1:64" ht="18" hidden="1" customHeight="1">
      <c r="A29" s="290"/>
      <c r="B29" s="145" t="s">
        <v>25</v>
      </c>
      <c r="C29" s="52" t="s">
        <v>1260</v>
      </c>
      <c r="D29" s="25" t="s">
        <v>27</v>
      </c>
      <c r="E29" s="53">
        <v>1004209672</v>
      </c>
      <c r="F29" s="25">
        <v>1832952</v>
      </c>
      <c r="G29" s="11" t="str">
        <f ca="1">IFERROR(__xludf.DUMMYFUNCTION("IFERROR(VLOOKUP(F4,IMPORTRANGE(""https://docs.google.com/spreadsheets/d/1Kvs4KS76FHFqLFIZfrDMff4kP08nblUkihrxltoGBjg/edit#gid=934712705"",""ESENCIAL!A6:BG""),3,FALSE))"),"TECNÓLOGO")</f>
        <v>TECNÓLOGO</v>
      </c>
      <c r="H29" s="11" t="str">
        <f ca="1">IFERROR(__xludf.DUMMYFUNCTION("IFERROR(VLOOKUP(F4,IMPORTRANGE(""https://docs.google.com/spreadsheets/d/1Kvs4KS76FHFqLFIZfrDMff4kP08nblUkihrxltoGBjg/edit#gid=934712705"",""ESENCIAL!A6:BG""),8,FALSE))"),"PRODUCCIÓN AGROPECUARIA ECOLÓGICA")</f>
        <v>PRODUCCIÓN AGROPECUARIA ECOLÓGICA</v>
      </c>
      <c r="I29" s="56"/>
      <c r="J29" s="56"/>
      <c r="K29" s="56"/>
      <c r="L29" s="285" t="s">
        <v>44</v>
      </c>
      <c r="M29" s="29"/>
      <c r="N29" s="29"/>
      <c r="O29" s="29"/>
      <c r="P29" s="29"/>
      <c r="Q29" s="29"/>
      <c r="R29" s="33"/>
      <c r="S29" s="33"/>
      <c r="T29" s="29"/>
      <c r="U29" s="29"/>
      <c r="V29" s="54"/>
      <c r="W29" s="1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19" t="str">
        <f t="shared" ca="1" si="0"/>
        <v>Procede_E_P</v>
      </c>
      <c r="AV29" s="11" t="str">
        <f ca="1">IFERROR(__xludf.DUMMYFUNCTION("IFERROR(VLOOKUP(E4&amp;F4,IMPORTRANGE(""https://docs.google.com/spreadsheets/d/1Uw7-A9f9R21vMXxHZFNpYNeKFtG8_yji4HS352LGlSQ/edit?pli=1#gid=0"",""1_ACUM!A4:S""),11,FALSE))"),"EN FORMACION")</f>
        <v>EN FORMACION</v>
      </c>
      <c r="AW29" s="20" t="str">
        <f ca="1">IFERROR(__xludf.DUMMYFUNCTION("IFERROR(VLOOKUP(F4,IMPORTRANGE(""https://docs.google.com/spreadsheets/d/1Kvs4KS76FHFqLFIZfrDMff4kP08nblUkihrxltoGBjg/edit#gid=934712705"",""ESENCIAL!A6:BG""),15,FALSE))"),"AGROPECUARIO")</f>
        <v>AGROPECUARIO</v>
      </c>
      <c r="AX29" s="21">
        <f ca="1">IFERROR(__xludf.DUMMYFUNCTION("IFERROR(VLOOKUP(E4&amp;F4,IMPORTRANGE(""https://docs.google.com/spreadsheets/d/1Uw7-A9f9R21vMXxHZFNpYNeKFtG8_yji4HS352LGlSQ/edit?pli=1#gid=0"",""1_ACUM!A4:S""),12,FALSE))"),44848)</f>
        <v>44848</v>
      </c>
      <c r="AY29" s="22">
        <f ca="1">IFERROR(__xludf.DUMMYFUNCTION("IFERROR(VLOOKUP(E4&amp;F4,IMPORTRANGE(""https://docs.google.com/spreadsheets/d/1Uw7-A9f9R21vMXxHZFNpYNeKFtG8_yji4HS352LGlSQ/edit?pli=1#gid=0"",""1_ACUM!A4:S""),13,FALSE))"),0)</f>
        <v>0</v>
      </c>
      <c r="AZ29" s="22">
        <f ca="1">IFERROR(__xludf.DUMMYFUNCTION("IFERROR(VLOOKUP(E4&amp;F4,IMPORTRANGE(""https://docs.google.com/spreadsheets/d/1Uw7-A9f9R21vMXxHZFNpYNeKFtG8_yji4HS352LGlSQ/edit?pli=1#gid=0"",""1_ACUM!A4:S""),14,FALSE))"),1)</f>
        <v>1</v>
      </c>
      <c r="BA29" s="22">
        <f ca="1">IFERROR(__xludf.DUMMYFUNCTION("IFERROR(VLOOKUP(E4&amp;F4,IMPORTRANGE(""https://docs.google.com/spreadsheets/d/1Uw7-A9f9R21vMXxHZFNpYNeKFtG8_yji4HS352LGlSQ/edit?pli=1#gid=0"",""1_ACUM!A4:S""),15,FALSE))"),0)</f>
        <v>0</v>
      </c>
      <c r="BB29" s="22">
        <f ca="1">IFERROR(__xludf.DUMMYFUNCTION("IFERROR(VLOOKUP(E4&amp;F4,IMPORTRANGE(""https://docs.google.com/spreadsheets/d/1Uw7-A9f9R21vMXxHZFNpYNeKFtG8_yji4HS352LGlSQ/edit?pli=1#gid=0"",""1_ACUM!A4:S""),16,FALSE))"),0)</f>
        <v>0</v>
      </c>
      <c r="BC29" s="22">
        <f ca="1">IFERROR(__xludf.DUMMYFUNCTION("IFERROR(VLOOKUP(E4&amp;F4,IMPORTRANGE(""https://docs.google.com/spreadsheets/d/1Uw7-A9f9R21vMXxHZFNpYNeKFtG8_yji4HS352LGlSQ/edit?pli=1#gid=0"",""1_ACUM!A4:S""),17,FALSE))"),1)</f>
        <v>1</v>
      </c>
      <c r="BD29" s="23">
        <f ca="1">IFERROR(__xludf.DUMMYFUNCTION("IFERROR(VLOOKUP(E4&amp;F4,IMPORTRANGE(""https://docs.google.com/spreadsheets/d/1Uw7-A9f9R21vMXxHZFNpYNeKFtG8_yji4HS352LGlSQ/edit?pli=1#gid=0"",""1_ACUM!A4:S""),18,FALSE))"),43577)</f>
        <v>43577</v>
      </c>
      <c r="BE29" s="23">
        <f ca="1">IFERROR(__xludf.DUMMYFUNCTION("IFERROR(VLOOKUP(E4&amp;F4,IMPORTRANGE(""https://docs.google.com/spreadsheets/d/1Uw7-A9f9R21vMXxHZFNpYNeKFtG8_yji4HS352LGlSQ/edit?pli=1#gid=0"",""1_ACUM!A4:S""),19,FALSE))"),44168)</f>
        <v>44168</v>
      </c>
      <c r="BF29" s="23">
        <f ca="1">IFERROR(__xludf.DUMMYFUNCTION("IFERROR(VLOOKUP(F4,IMPORTRANGE(""https://docs.google.com/spreadsheets/d/1Kvs4KS76FHFqLFIZfrDMff4kP08nblUkihrxltoGBjg/edit#gid=934712705"",""ESENCIAL!A6:BG""),5,FALSE))"),44350)</f>
        <v>44350</v>
      </c>
      <c r="BG29" s="23">
        <f t="shared" ca="1" si="1"/>
        <v>44898</v>
      </c>
      <c r="BH29" s="19" t="str">
        <f t="shared" ca="1" si="2"/>
        <v>FINALIZAR FICHA</v>
      </c>
      <c r="BI29" s="19" t="str">
        <f ca="1">IFERROR(__xludf.DUMMYFUNCTION("IFERROR(VLOOKUP(F4,IMPORTRANGE(""https://docs.google.com/spreadsheets/d/1Kvs4KS76FHFqLFIZfrDMff4kP08nblUkihrxltoGBjg/edit#gid=934712705"",""ESENCIAL!A6:BG""),18,FALSE))"),"Terminada por fecha")</f>
        <v>Terminada por fecha</v>
      </c>
      <c r="BJ29" s="19" t="str">
        <f t="shared" si="3"/>
        <v>Yamboro</v>
      </c>
      <c r="BK29" s="291"/>
      <c r="BL29" s="19"/>
    </row>
    <row r="30" spans="1:64" ht="24" hidden="1">
      <c r="A30" s="290"/>
      <c r="B30" s="145" t="s">
        <v>25</v>
      </c>
      <c r="C30" s="52" t="s">
        <v>1261</v>
      </c>
      <c r="D30" s="25" t="s">
        <v>27</v>
      </c>
      <c r="E30" s="53">
        <v>1081702847</v>
      </c>
      <c r="F30" s="25">
        <v>1832952</v>
      </c>
      <c r="G30" s="11" t="str">
        <f ca="1">IFERROR(__xludf.DUMMYFUNCTION("IFERROR(VLOOKUP(F5,IMPORTRANGE(""https://docs.google.com/spreadsheets/d/1Kvs4KS76FHFqLFIZfrDMff4kP08nblUkihrxltoGBjg/edit#gid=934712705"",""ESENCIAL!A6:BG""),3,FALSE))"),"TECNÓLOGO")</f>
        <v>TECNÓLOGO</v>
      </c>
      <c r="H30" s="11" t="str">
        <f ca="1">IFERROR(__xludf.DUMMYFUNCTION("IFERROR(VLOOKUP(F5,IMPORTRANGE(""https://docs.google.com/spreadsheets/d/1Kvs4KS76FHFqLFIZfrDMff4kP08nblUkihrxltoGBjg/edit#gid=934712705"",""ESENCIAL!A6:BG""),8,FALSE))"),"PRODUCCIÓN AGROPECUARIA ECOLÓGICA")</f>
        <v>PRODUCCIÓN AGROPECUARIA ECOLÓGICA</v>
      </c>
      <c r="I30" s="56"/>
      <c r="J30" s="56"/>
      <c r="K30" s="56"/>
      <c r="L30" s="285" t="s">
        <v>44</v>
      </c>
      <c r="M30" s="29"/>
      <c r="N30" s="29"/>
      <c r="O30" s="29"/>
      <c r="P30" s="29"/>
      <c r="Q30" s="29"/>
      <c r="R30" s="33"/>
      <c r="S30" s="33"/>
      <c r="T30" s="29"/>
      <c r="U30" s="29"/>
      <c r="V30" s="54"/>
      <c r="W30" s="1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19" t="str">
        <f t="shared" ca="1" si="0"/>
        <v>NO_CUMPLE</v>
      </c>
      <c r="AV30" s="11" t="str">
        <f ca="1">IFERROR(__xludf.DUMMYFUNCTION("IFERROR(VLOOKUP(E5&amp;F5,IMPORTRANGE(""https://docs.google.com/spreadsheets/d/1Uw7-A9f9R21vMXxHZFNpYNeKFtG8_yji4HS352LGlSQ/edit?pli=1#gid=0"",""1_ACUM!A4:S""),11,FALSE))"),"EN FORMACION")</f>
        <v>EN FORMACION</v>
      </c>
      <c r="AW30" s="20" t="str">
        <f ca="1">IFERROR(__xludf.DUMMYFUNCTION("IFERROR(VLOOKUP(F5,IMPORTRANGE(""https://docs.google.com/spreadsheets/d/1Kvs4KS76FHFqLFIZfrDMff4kP08nblUkihrxltoGBjg/edit#gid=934712705"",""ESENCIAL!A6:BG""),15,FALSE))"),"AGROPECUARIO")</f>
        <v>AGROPECUARIO</v>
      </c>
      <c r="AX30" s="21">
        <f ca="1">IFERROR(__xludf.DUMMYFUNCTION("IFERROR(VLOOKUP(E5&amp;F5,IMPORTRANGE(""https://docs.google.com/spreadsheets/d/1Uw7-A9f9R21vMXxHZFNpYNeKFtG8_yji4HS352LGlSQ/edit?pli=1#gid=0"",""1_ACUM!A4:S""),12,FALSE))"),44848)</f>
        <v>44848</v>
      </c>
      <c r="AY30" s="22">
        <f ca="1">IFERROR(__xludf.DUMMYFUNCTION("IFERROR(VLOOKUP(E5&amp;F5,IMPORTRANGE(""https://docs.google.com/spreadsheets/d/1Uw7-A9f9R21vMXxHZFNpYNeKFtG8_yji4HS352LGlSQ/edit?pli=1#gid=0"",""1_ACUM!A4:S""),13,FALSE))"),0)</f>
        <v>0</v>
      </c>
      <c r="AZ30" s="22">
        <f ca="1">IFERROR(__xludf.DUMMYFUNCTION("IFERROR(VLOOKUP(E5&amp;F5,IMPORTRANGE(""https://docs.google.com/spreadsheets/d/1Uw7-A9f9R21vMXxHZFNpYNeKFtG8_yji4HS352LGlSQ/edit?pli=1#gid=0"",""1_ACUM!A4:S""),14,FALSE))"),1)</f>
        <v>1</v>
      </c>
      <c r="BA30" s="22">
        <f ca="1">IFERROR(__xludf.DUMMYFUNCTION("IFERROR(VLOOKUP(E5&amp;F5,IMPORTRANGE(""https://docs.google.com/spreadsheets/d/1Uw7-A9f9R21vMXxHZFNpYNeKFtG8_yji4HS352LGlSQ/edit?pli=1#gid=0"",""1_ACUM!A4:S""),15,FALSE))"),15)</f>
        <v>15</v>
      </c>
      <c r="BB30" s="22">
        <f ca="1">IFERROR(__xludf.DUMMYFUNCTION("IFERROR(VLOOKUP(E5&amp;F5,IMPORTRANGE(""https://docs.google.com/spreadsheets/d/1Uw7-A9f9R21vMXxHZFNpYNeKFtG8_yji4HS352LGlSQ/edit?pli=1#gid=0"",""1_ACUM!A4:S""),16,FALSE))"),3)</f>
        <v>3</v>
      </c>
      <c r="BC30" s="22">
        <f ca="1">IFERROR(__xludf.DUMMYFUNCTION("IFERROR(VLOOKUP(E5&amp;F5,IMPORTRANGE(""https://docs.google.com/spreadsheets/d/1Uw7-A9f9R21vMXxHZFNpYNeKFtG8_yji4HS352LGlSQ/edit?pli=1#gid=0"",""1_ACUM!A4:S""),17,FALSE))"),19)</f>
        <v>19</v>
      </c>
      <c r="BD30" s="23">
        <f ca="1">IFERROR(__xludf.DUMMYFUNCTION("IFERROR(VLOOKUP(E5&amp;F5,IMPORTRANGE(""https://docs.google.com/spreadsheets/d/1Uw7-A9f9R21vMXxHZFNpYNeKFtG8_yji4HS352LGlSQ/edit?pli=1#gid=0"",""1_ACUM!A4:S""),18,FALSE))"),43577)</f>
        <v>43577</v>
      </c>
      <c r="BE30" s="23">
        <f ca="1">IFERROR(__xludf.DUMMYFUNCTION("IFERROR(VLOOKUP(E5&amp;F5,IMPORTRANGE(""https://docs.google.com/spreadsheets/d/1Uw7-A9f9R21vMXxHZFNpYNeKFtG8_yji4HS352LGlSQ/edit?pli=1#gid=0"",""1_ACUM!A4:S""),19,FALSE))"),44168)</f>
        <v>44168</v>
      </c>
      <c r="BF30" s="23">
        <f ca="1">IFERROR(__xludf.DUMMYFUNCTION("IFERROR(VLOOKUP(F5,IMPORTRANGE(""https://docs.google.com/spreadsheets/d/1Kvs4KS76FHFqLFIZfrDMff4kP08nblUkihrxltoGBjg/edit#gid=934712705"",""ESENCIAL!A6:BG""),5,FALSE))"),44350)</f>
        <v>44350</v>
      </c>
      <c r="BG30" s="23">
        <f t="shared" ca="1" si="1"/>
        <v>44898</v>
      </c>
      <c r="BH30" s="19" t="str">
        <f t="shared" ca="1" si="2"/>
        <v>FINALIZAR FICHA</v>
      </c>
      <c r="BI30" s="19" t="str">
        <f ca="1">IFERROR(__xludf.DUMMYFUNCTION("IFERROR(VLOOKUP(F5,IMPORTRANGE(""https://docs.google.com/spreadsheets/d/1Kvs4KS76FHFqLFIZfrDMff4kP08nblUkihrxltoGBjg/edit#gid=934712705"",""ESENCIAL!A6:BG""),18,FALSE))"),"Terminada por fecha")</f>
        <v>Terminada por fecha</v>
      </c>
      <c r="BJ30" s="19" t="str">
        <f t="shared" si="3"/>
        <v>Yamboro</v>
      </c>
      <c r="BK30" s="291"/>
      <c r="BL30" s="19"/>
    </row>
    <row r="31" spans="1:64" s="180" customFormat="1" ht="24" hidden="1">
      <c r="A31" s="290"/>
      <c r="B31" s="145" t="s">
        <v>25</v>
      </c>
      <c r="C31" s="52" t="s">
        <v>1262</v>
      </c>
      <c r="D31" s="25" t="s">
        <v>27</v>
      </c>
      <c r="E31" s="52">
        <v>1082780220</v>
      </c>
      <c r="F31" s="25">
        <v>1832952</v>
      </c>
      <c r="G31" s="11" t="str">
        <f ca="1">IFERROR(__xludf.DUMMYFUNCTION("IFERROR(VLOOKUP(F6,IMPORTRANGE(""https://docs.google.com/spreadsheets/d/1Kvs4KS76FHFqLFIZfrDMff4kP08nblUkihrxltoGBjg/edit#gid=934712705"",""ESENCIAL!A6:BG""),3,FALSE))"),"TECNÓLOGO")</f>
        <v>TECNÓLOGO</v>
      </c>
      <c r="H31" s="11" t="str">
        <f ca="1">IFERROR(__xludf.DUMMYFUNCTION("IFERROR(VLOOKUP(F6,IMPORTRANGE(""https://docs.google.com/spreadsheets/d/1Kvs4KS76FHFqLFIZfrDMff4kP08nblUkihrxltoGBjg/edit#gid=934712705"",""ESENCIAL!A6:BG""),8,FALSE))"),"PRODUCCIÓN AGROPECUARIA ECOLÓGICA")</f>
        <v>PRODUCCIÓN AGROPECUARIA ECOLÓGICA</v>
      </c>
      <c r="I31" s="56"/>
      <c r="J31" s="56"/>
      <c r="K31" s="56"/>
      <c r="L31" s="285" t="s">
        <v>44</v>
      </c>
      <c r="M31" s="29"/>
      <c r="N31" s="29"/>
      <c r="O31" s="29"/>
      <c r="P31" s="29"/>
      <c r="Q31" s="29"/>
      <c r="R31" s="33"/>
      <c r="S31" s="33"/>
      <c r="T31" s="29"/>
      <c r="U31" s="29"/>
      <c r="V31" s="54"/>
      <c r="W31" s="1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19" t="str">
        <f t="shared" ca="1" si="0"/>
        <v>NO_CUMPLE</v>
      </c>
      <c r="AV31" s="11" t="str">
        <f ca="1">IFERROR(__xludf.DUMMYFUNCTION("IFERROR(VLOOKUP(E6&amp;F6,IMPORTRANGE(""https://docs.google.com/spreadsheets/d/1Uw7-A9f9R21vMXxHZFNpYNeKFtG8_yji4HS352LGlSQ/edit?pli=1#gid=0"",""1_ACUM!A4:S""),11,FALSE))"),"EN FORMACION")</f>
        <v>EN FORMACION</v>
      </c>
      <c r="AW31" s="20" t="str">
        <f ca="1">IFERROR(__xludf.DUMMYFUNCTION("IFERROR(VLOOKUP(F6,IMPORTRANGE(""https://docs.google.com/spreadsheets/d/1Kvs4KS76FHFqLFIZfrDMff4kP08nblUkihrxltoGBjg/edit#gid=934712705"",""ESENCIAL!A6:BG""),15,FALSE))"),"AGROPECUARIO")</f>
        <v>AGROPECUARIO</v>
      </c>
      <c r="AX31" s="21">
        <f ca="1">IFERROR(__xludf.DUMMYFUNCTION("IFERROR(VLOOKUP(E6&amp;F6,IMPORTRANGE(""https://docs.google.com/spreadsheets/d/1Uw7-A9f9R21vMXxHZFNpYNeKFtG8_yji4HS352LGlSQ/edit?pli=1#gid=0"",""1_ACUM!A4:S""),12,FALSE))"),44848)</f>
        <v>44848</v>
      </c>
      <c r="AY31" s="22">
        <f ca="1">IFERROR(__xludf.DUMMYFUNCTION("IFERROR(VLOOKUP(E6&amp;F6,IMPORTRANGE(""https://docs.google.com/spreadsheets/d/1Uw7-A9f9R21vMXxHZFNpYNeKFtG8_yji4HS352LGlSQ/edit?pli=1#gid=0"",""1_ACUM!A4:S""),13,FALSE))"),0)</f>
        <v>0</v>
      </c>
      <c r="AZ31" s="22">
        <f ca="1">IFERROR(__xludf.DUMMYFUNCTION("IFERROR(VLOOKUP(E6&amp;F6,IMPORTRANGE(""https://docs.google.com/spreadsheets/d/1Uw7-A9f9R21vMXxHZFNpYNeKFtG8_yji4HS352LGlSQ/edit?pli=1#gid=0"",""1_ACUM!A4:S""),14,FALSE))"),1)</f>
        <v>1</v>
      </c>
      <c r="BA31" s="22">
        <f ca="1">IFERROR(__xludf.DUMMYFUNCTION("IFERROR(VLOOKUP(E6&amp;F6,IMPORTRANGE(""https://docs.google.com/spreadsheets/d/1Uw7-A9f9R21vMXxHZFNpYNeKFtG8_yji4HS352LGlSQ/edit?pli=1#gid=0"",""1_ACUM!A4:S""),15,FALSE))"),15)</f>
        <v>15</v>
      </c>
      <c r="BB31" s="22">
        <f ca="1">IFERROR(__xludf.DUMMYFUNCTION("IFERROR(VLOOKUP(E6&amp;F6,IMPORTRANGE(""https://docs.google.com/spreadsheets/d/1Uw7-A9f9R21vMXxHZFNpYNeKFtG8_yji4HS352LGlSQ/edit?pli=1#gid=0"",""1_ACUM!A4:S""),16,FALSE))"),25)</f>
        <v>25</v>
      </c>
      <c r="BC31" s="22">
        <f ca="1">IFERROR(__xludf.DUMMYFUNCTION("IFERROR(VLOOKUP(E6&amp;F6,IMPORTRANGE(""https://docs.google.com/spreadsheets/d/1Uw7-A9f9R21vMXxHZFNpYNeKFtG8_yji4HS352LGlSQ/edit?pli=1#gid=0"",""1_ACUM!A4:S""),17,FALSE))"),41)</f>
        <v>41</v>
      </c>
      <c r="BD31" s="23">
        <f ca="1">IFERROR(__xludf.DUMMYFUNCTION("IFERROR(VLOOKUP(E6&amp;F6,IMPORTRANGE(""https://docs.google.com/spreadsheets/d/1Uw7-A9f9R21vMXxHZFNpYNeKFtG8_yji4HS352LGlSQ/edit?pli=1#gid=0"",""1_ACUM!A4:S""),18,FALSE))"),43577)</f>
        <v>43577</v>
      </c>
      <c r="BE31" s="23">
        <f ca="1">IFERROR(__xludf.DUMMYFUNCTION("IFERROR(VLOOKUP(E6&amp;F6,IMPORTRANGE(""https://docs.google.com/spreadsheets/d/1Uw7-A9f9R21vMXxHZFNpYNeKFtG8_yji4HS352LGlSQ/edit?pli=1#gid=0"",""1_ACUM!A4:S""),19,FALSE))"),44168)</f>
        <v>44168</v>
      </c>
      <c r="BF31" s="23">
        <f ca="1">IFERROR(__xludf.DUMMYFUNCTION("IFERROR(VLOOKUP(F6,IMPORTRANGE(""https://docs.google.com/spreadsheets/d/1Kvs4KS76FHFqLFIZfrDMff4kP08nblUkihrxltoGBjg/edit#gid=934712705"",""ESENCIAL!A6:BG""),5,FALSE))"),44350)</f>
        <v>44350</v>
      </c>
      <c r="BG31" s="23">
        <f t="shared" ca="1" si="1"/>
        <v>44898</v>
      </c>
      <c r="BH31" s="19" t="str">
        <f t="shared" ca="1" si="2"/>
        <v>FINALIZAR FICHA</v>
      </c>
      <c r="BI31" s="19" t="str">
        <f ca="1">IFERROR(__xludf.DUMMYFUNCTION("IFERROR(VLOOKUP(F6,IMPORTRANGE(""https://docs.google.com/spreadsheets/d/1Kvs4KS76FHFqLFIZfrDMff4kP08nblUkihrxltoGBjg/edit#gid=934712705"",""ESENCIAL!A6:BG""),18,FALSE))"),"Terminada por fecha")</f>
        <v>Terminada por fecha</v>
      </c>
      <c r="BJ31" s="19" t="str">
        <f t="shared" si="3"/>
        <v>Yamboro</v>
      </c>
      <c r="BK31" s="295"/>
      <c r="BL31" s="173"/>
    </row>
    <row r="32" spans="1:64" s="180" customFormat="1" ht="19.5" hidden="1" customHeight="1">
      <c r="A32" s="290"/>
      <c r="B32" s="147" t="s">
        <v>1263</v>
      </c>
      <c r="C32" s="56" t="s">
        <v>1264</v>
      </c>
      <c r="D32" s="57" t="s">
        <v>27</v>
      </c>
      <c r="E32" s="57">
        <v>1004493218</v>
      </c>
      <c r="F32" s="25">
        <v>1832952</v>
      </c>
      <c r="G32" s="11" t="str">
        <f ca="1">IFERROR(__xludf.DUMMYFUNCTION("IFERROR(VLOOKUP(F7,IMPORTRANGE(""https://docs.google.com/spreadsheets/d/1Kvs4KS76FHFqLFIZfrDMff4kP08nblUkihrxltoGBjg/edit#gid=934712705"",""ESENCIAL!A6:BG""),3,FALSE))"),"TECNÓLOGO")</f>
        <v>TECNÓLOGO</v>
      </c>
      <c r="H32" s="11" t="str">
        <f ca="1">IFERROR(__xludf.DUMMYFUNCTION("IFERROR(VLOOKUP(F7,IMPORTRANGE(""https://docs.google.com/spreadsheets/d/1Kvs4KS76FHFqLFIZfrDMff4kP08nblUkihrxltoGBjg/edit#gid=934712705"",""ESENCIAL!A6:BG""),8,FALSE))"),"PRODUCCIÓN AGROPECUARIA ECOLÓGICA")</f>
        <v>PRODUCCIÓN AGROPECUARIA ECOLÓGICA</v>
      </c>
      <c r="I32" s="56"/>
      <c r="J32" s="56"/>
      <c r="K32" s="56"/>
      <c r="L32" s="285" t="s">
        <v>44</v>
      </c>
      <c r="M32" s="29"/>
      <c r="N32" s="29"/>
      <c r="O32" s="29"/>
      <c r="P32" s="29"/>
      <c r="Q32" s="29"/>
      <c r="R32" s="33"/>
      <c r="S32" s="33"/>
      <c r="T32" s="29"/>
      <c r="U32" s="29"/>
      <c r="V32" s="54"/>
      <c r="W32" s="1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19" t="str">
        <f t="shared" ca="1" si="0"/>
        <v>NO_CUMPLE</v>
      </c>
      <c r="AV32" s="11" t="str">
        <f ca="1">IFERROR(__xludf.DUMMYFUNCTION("IFERROR(VLOOKUP(E7&amp;F7,IMPORTRANGE(""https://docs.google.com/spreadsheets/d/1Uw7-A9f9R21vMXxHZFNpYNeKFtG8_yji4HS352LGlSQ/edit?pli=1#gid=0"",""1_ACUM!A4:S""),11,FALSE))"),"APLAZADO")</f>
        <v>APLAZADO</v>
      </c>
      <c r="AW32" s="20" t="str">
        <f ca="1">IFERROR(__xludf.DUMMYFUNCTION("IFERROR(VLOOKUP(F7,IMPORTRANGE(""https://docs.google.com/spreadsheets/d/1Kvs4KS76FHFqLFIZfrDMff4kP08nblUkihrxltoGBjg/edit#gid=934712705"",""ESENCIAL!A6:BG""),15,FALSE))"),"AGROPECUARIO")</f>
        <v>AGROPECUARIO</v>
      </c>
      <c r="AX32" s="21">
        <f ca="1">IFERROR(__xludf.DUMMYFUNCTION("IFERROR(VLOOKUP(E7&amp;F7,IMPORTRANGE(""https://docs.google.com/spreadsheets/d/1Uw7-A9f9R21vMXxHZFNpYNeKFtG8_yji4HS352LGlSQ/edit?pli=1#gid=0"",""1_ACUM!A4:S""),12,FALSE))"),44848)</f>
        <v>44848</v>
      </c>
      <c r="AY32" s="22">
        <f ca="1">IFERROR(__xludf.DUMMYFUNCTION("IFERROR(VLOOKUP(E7&amp;F7,IMPORTRANGE(""https://docs.google.com/spreadsheets/d/1Uw7-A9f9R21vMXxHZFNpYNeKFtG8_yji4HS352LGlSQ/edit?pli=1#gid=0"",""1_ACUM!A4:S""),13,FALSE))"),0)</f>
        <v>0</v>
      </c>
      <c r="AZ32" s="22">
        <f ca="1">IFERROR(__xludf.DUMMYFUNCTION("IFERROR(VLOOKUP(E7&amp;F7,IMPORTRANGE(""https://docs.google.com/spreadsheets/d/1Uw7-A9f9R21vMXxHZFNpYNeKFtG8_yji4HS352LGlSQ/edit?pli=1#gid=0"",""1_ACUM!A4:S""),14,FALSE))"),1)</f>
        <v>1</v>
      </c>
      <c r="BA32" s="22">
        <f ca="1">IFERROR(__xludf.DUMMYFUNCTION("IFERROR(VLOOKUP(E7&amp;F7,IMPORTRANGE(""https://docs.google.com/spreadsheets/d/1Uw7-A9f9R21vMXxHZFNpYNeKFtG8_yji4HS352LGlSQ/edit?pli=1#gid=0"",""1_ACUM!A4:S""),15,FALSE))"),15)</f>
        <v>15</v>
      </c>
      <c r="BB32" s="22">
        <f ca="1">IFERROR(__xludf.DUMMYFUNCTION("IFERROR(VLOOKUP(E7&amp;F7,IMPORTRANGE(""https://docs.google.com/spreadsheets/d/1Uw7-A9f9R21vMXxHZFNpYNeKFtG8_yji4HS352LGlSQ/edit?pli=1#gid=0"",""1_ACUM!A4:S""),16,FALSE))"),20)</f>
        <v>20</v>
      </c>
      <c r="BC32" s="22">
        <f ca="1">IFERROR(__xludf.DUMMYFUNCTION("IFERROR(VLOOKUP(E7&amp;F7,IMPORTRANGE(""https://docs.google.com/spreadsheets/d/1Uw7-A9f9R21vMXxHZFNpYNeKFtG8_yji4HS352LGlSQ/edit?pli=1#gid=0"",""1_ACUM!A4:S""),17,FALSE))"),36)</f>
        <v>36</v>
      </c>
      <c r="BD32" s="23">
        <f ca="1">IFERROR(__xludf.DUMMYFUNCTION("IFERROR(VLOOKUP(E7&amp;F7,IMPORTRANGE(""https://docs.google.com/spreadsheets/d/1Uw7-A9f9R21vMXxHZFNpYNeKFtG8_yji4HS352LGlSQ/edit?pli=1#gid=0"",""1_ACUM!A4:S""),18,FALSE))"),43577)</f>
        <v>43577</v>
      </c>
      <c r="BE32" s="23">
        <f ca="1">IFERROR(__xludf.DUMMYFUNCTION("IFERROR(VLOOKUP(E7&amp;F7,IMPORTRANGE(""https://docs.google.com/spreadsheets/d/1Uw7-A9f9R21vMXxHZFNpYNeKFtG8_yji4HS352LGlSQ/edit?pli=1#gid=0"",""1_ACUM!A4:S""),19,FALSE))"),44168)</f>
        <v>44168</v>
      </c>
      <c r="BF32" s="23">
        <f ca="1">IFERROR(__xludf.DUMMYFUNCTION("IFERROR(VLOOKUP(F7,IMPORTRANGE(""https://docs.google.com/spreadsheets/d/1Kvs4KS76FHFqLFIZfrDMff4kP08nblUkihrxltoGBjg/edit#gid=934712705"",""ESENCIAL!A6:BG""),5,FALSE))"),44350)</f>
        <v>44350</v>
      </c>
      <c r="BG32" s="23">
        <f t="shared" ca="1" si="1"/>
        <v>44898</v>
      </c>
      <c r="BH32" s="19" t="str">
        <f t="shared" ca="1" si="2"/>
        <v>FINALIZAR FICHA</v>
      </c>
      <c r="BI32" s="19" t="str">
        <f ca="1">IFERROR(__xludf.DUMMYFUNCTION("IFERROR(VLOOKUP(F7,IMPORTRANGE(""https://docs.google.com/spreadsheets/d/1Kvs4KS76FHFqLFIZfrDMff4kP08nblUkihrxltoGBjg/edit#gid=934712705"",""ESENCIAL!A6:BG""),18,FALSE))"),"Terminada por fecha")</f>
        <v>Terminada por fecha</v>
      </c>
      <c r="BJ32" s="19" t="str">
        <f t="shared" si="3"/>
        <v>Yamboro</v>
      </c>
      <c r="BK32" s="295"/>
      <c r="BL32" s="173"/>
    </row>
    <row r="33" spans="1:64" ht="19.5" hidden="1" customHeight="1">
      <c r="A33" s="290"/>
      <c r="B33" s="147" t="s">
        <v>1263</v>
      </c>
      <c r="C33" s="56" t="s">
        <v>1265</v>
      </c>
      <c r="D33" s="57" t="s">
        <v>27</v>
      </c>
      <c r="E33" s="57">
        <v>1007194761</v>
      </c>
      <c r="F33" s="25">
        <v>1832952</v>
      </c>
      <c r="G33" s="11" t="str">
        <f ca="1">IFERROR(__xludf.DUMMYFUNCTION("IFERROR(VLOOKUP(F8,IMPORTRANGE(""https://docs.google.com/spreadsheets/d/1Kvs4KS76FHFqLFIZfrDMff4kP08nblUkihrxltoGBjg/edit#gid=934712705"",""ESENCIAL!A6:BG""),3,FALSE))"),"TECNÓLOGO")</f>
        <v>TECNÓLOGO</v>
      </c>
      <c r="H33" s="11" t="str">
        <f ca="1">IFERROR(__xludf.DUMMYFUNCTION("IFERROR(VLOOKUP(F8,IMPORTRANGE(""https://docs.google.com/spreadsheets/d/1Kvs4KS76FHFqLFIZfrDMff4kP08nblUkihrxltoGBjg/edit#gid=934712705"",""ESENCIAL!A6:BG""),8,FALSE))"),"PRODUCCIÓN AGROPECUARIA ECOLÓGICA")</f>
        <v>PRODUCCIÓN AGROPECUARIA ECOLÓGICA</v>
      </c>
      <c r="I33" s="56"/>
      <c r="J33" s="56"/>
      <c r="K33" s="56"/>
      <c r="L33" s="285" t="s">
        <v>44</v>
      </c>
      <c r="M33" s="29"/>
      <c r="N33" s="29"/>
      <c r="O33" s="29"/>
      <c r="P33" s="29"/>
      <c r="Q33" s="29"/>
      <c r="R33" s="33"/>
      <c r="S33" s="33"/>
      <c r="T33" s="29"/>
      <c r="U33" s="29"/>
      <c r="V33" s="54"/>
      <c r="W33" s="1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19" t="str">
        <f t="shared" ca="1" si="0"/>
        <v>NO_CUMPLE</v>
      </c>
      <c r="AV33" s="11" t="str">
        <f ca="1">IFERROR(__xludf.DUMMYFUNCTION("IFERROR(VLOOKUP(E8&amp;F8,IMPORTRANGE(""https://docs.google.com/spreadsheets/d/1Uw7-A9f9R21vMXxHZFNpYNeKFtG8_yji4HS352LGlSQ/edit?pli=1#gid=0"",""1_ACUM!A4:S""),11,FALSE))"),"APLAZADO")</f>
        <v>APLAZADO</v>
      </c>
      <c r="AW33" s="20" t="str">
        <f ca="1">IFERROR(__xludf.DUMMYFUNCTION("IFERROR(VLOOKUP(F8,IMPORTRANGE(""https://docs.google.com/spreadsheets/d/1Kvs4KS76FHFqLFIZfrDMff4kP08nblUkihrxltoGBjg/edit#gid=934712705"",""ESENCIAL!A6:BG""),15,FALSE))"),"AGROPECUARIO")</f>
        <v>AGROPECUARIO</v>
      </c>
      <c r="AX33" s="21">
        <f ca="1">IFERROR(__xludf.DUMMYFUNCTION("IFERROR(VLOOKUP(E8&amp;F8,IMPORTRANGE(""https://docs.google.com/spreadsheets/d/1Uw7-A9f9R21vMXxHZFNpYNeKFtG8_yji4HS352LGlSQ/edit?pli=1#gid=0"",""1_ACUM!A4:S""),12,FALSE))"),44848)</f>
        <v>44848</v>
      </c>
      <c r="AY33" s="22">
        <f ca="1">IFERROR(__xludf.DUMMYFUNCTION("IFERROR(VLOOKUP(E8&amp;F8,IMPORTRANGE(""https://docs.google.com/spreadsheets/d/1Uw7-A9f9R21vMXxHZFNpYNeKFtG8_yji4HS352LGlSQ/edit?pli=1#gid=0"",""1_ACUM!A4:S""),13,FALSE))"),0)</f>
        <v>0</v>
      </c>
      <c r="AZ33" s="22">
        <f ca="1">IFERROR(__xludf.DUMMYFUNCTION("IFERROR(VLOOKUP(E8&amp;F8,IMPORTRANGE(""https://docs.google.com/spreadsheets/d/1Uw7-A9f9R21vMXxHZFNpYNeKFtG8_yji4HS352LGlSQ/edit?pli=1#gid=0"",""1_ACUM!A4:S""),14,FALSE))"),1)</f>
        <v>1</v>
      </c>
      <c r="BA33" s="22">
        <f ca="1">IFERROR(__xludf.DUMMYFUNCTION("IFERROR(VLOOKUP(E8&amp;F8,IMPORTRANGE(""https://docs.google.com/spreadsheets/d/1Uw7-A9f9R21vMXxHZFNpYNeKFtG8_yji4HS352LGlSQ/edit?pli=1#gid=0"",""1_ACUM!A4:S""),15,FALSE))"),15)</f>
        <v>15</v>
      </c>
      <c r="BB33" s="22">
        <f ca="1">IFERROR(__xludf.DUMMYFUNCTION("IFERROR(VLOOKUP(E8&amp;F8,IMPORTRANGE(""https://docs.google.com/spreadsheets/d/1Uw7-A9f9R21vMXxHZFNpYNeKFtG8_yji4HS352LGlSQ/edit?pli=1#gid=0"",""1_ACUM!A4:S""),16,FALSE))"),16)</f>
        <v>16</v>
      </c>
      <c r="BC33" s="22">
        <f ca="1">IFERROR(__xludf.DUMMYFUNCTION("IFERROR(VLOOKUP(E8&amp;F8,IMPORTRANGE(""https://docs.google.com/spreadsheets/d/1Uw7-A9f9R21vMXxHZFNpYNeKFtG8_yji4HS352LGlSQ/edit?pli=1#gid=0"",""1_ACUM!A4:S""),17,FALSE))"),32)</f>
        <v>32</v>
      </c>
      <c r="BD33" s="23">
        <f ca="1">IFERROR(__xludf.DUMMYFUNCTION("IFERROR(VLOOKUP(E8&amp;F8,IMPORTRANGE(""https://docs.google.com/spreadsheets/d/1Uw7-A9f9R21vMXxHZFNpYNeKFtG8_yji4HS352LGlSQ/edit?pli=1#gid=0"",""1_ACUM!A4:S""),18,FALSE))"),43577)</f>
        <v>43577</v>
      </c>
      <c r="BE33" s="23">
        <f ca="1">IFERROR(__xludf.DUMMYFUNCTION("IFERROR(VLOOKUP(E8&amp;F8,IMPORTRANGE(""https://docs.google.com/spreadsheets/d/1Uw7-A9f9R21vMXxHZFNpYNeKFtG8_yji4HS352LGlSQ/edit?pli=1#gid=0"",""1_ACUM!A4:S""),19,FALSE))"),44168)</f>
        <v>44168</v>
      </c>
      <c r="BF33" s="23">
        <f ca="1">IFERROR(__xludf.DUMMYFUNCTION("IFERROR(VLOOKUP(F8,IMPORTRANGE(""https://docs.google.com/spreadsheets/d/1Kvs4KS76FHFqLFIZfrDMff4kP08nblUkihrxltoGBjg/edit#gid=934712705"",""ESENCIAL!A6:BG""),5,FALSE))"),44350)</f>
        <v>44350</v>
      </c>
      <c r="BG33" s="23">
        <f t="shared" ca="1" si="1"/>
        <v>44898</v>
      </c>
      <c r="BH33" s="19" t="str">
        <f t="shared" ca="1" si="2"/>
        <v>FINALIZAR FICHA</v>
      </c>
      <c r="BI33" s="19" t="str">
        <f ca="1">IFERROR(__xludf.DUMMYFUNCTION("IFERROR(VLOOKUP(F8,IMPORTRANGE(""https://docs.google.com/spreadsheets/d/1Kvs4KS76FHFqLFIZfrDMff4kP08nblUkihrxltoGBjg/edit#gid=934712705"",""ESENCIAL!A6:BG""),18,FALSE))"),"Terminada por fecha")</f>
        <v>Terminada por fecha</v>
      </c>
      <c r="BJ33" s="19" t="str">
        <f t="shared" si="3"/>
        <v>Yamboro</v>
      </c>
      <c r="BK33" s="291"/>
      <c r="BL33" s="19"/>
    </row>
    <row r="34" spans="1:64" ht="17.25" hidden="1" customHeight="1">
      <c r="A34" s="290"/>
      <c r="B34" s="147" t="s">
        <v>1263</v>
      </c>
      <c r="C34" s="56" t="s">
        <v>1266</v>
      </c>
      <c r="D34" s="57" t="s">
        <v>67</v>
      </c>
      <c r="E34" s="57">
        <v>1007520875</v>
      </c>
      <c r="F34" s="25">
        <v>1832952</v>
      </c>
      <c r="G34" s="11" t="str">
        <f ca="1">IFERROR(__xludf.DUMMYFUNCTION("IFERROR(VLOOKUP(F9,IMPORTRANGE(""https://docs.google.com/spreadsheets/d/1Kvs4KS76FHFqLFIZfrDMff4kP08nblUkihrxltoGBjg/edit#gid=934712705"",""ESENCIAL!A6:BG""),3,FALSE))"),"TECNÓLOGO")</f>
        <v>TECNÓLOGO</v>
      </c>
      <c r="H34" s="11" t="str">
        <f ca="1">IFERROR(__xludf.DUMMYFUNCTION("IFERROR(VLOOKUP(F9,IMPORTRANGE(""https://docs.google.com/spreadsheets/d/1Kvs4KS76FHFqLFIZfrDMff4kP08nblUkihrxltoGBjg/edit#gid=934712705"",""ESENCIAL!A6:BG""),8,FALSE))"),"PRODUCCIÓN AGROPECUARIA ECOLÓGICA")</f>
        <v>PRODUCCIÓN AGROPECUARIA ECOLÓGICA</v>
      </c>
      <c r="I34" s="56"/>
      <c r="J34" s="56"/>
      <c r="K34" s="56" t="s">
        <v>1267</v>
      </c>
      <c r="L34" s="285" t="s">
        <v>44</v>
      </c>
      <c r="M34" s="29"/>
      <c r="N34" s="29"/>
      <c r="O34" s="29"/>
      <c r="P34" s="29"/>
      <c r="Q34" s="29"/>
      <c r="R34" s="33"/>
      <c r="S34" s="33"/>
      <c r="T34" s="29"/>
      <c r="U34" s="29"/>
      <c r="V34" s="54"/>
      <c r="W34" s="1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19" t="str">
        <f t="shared" ca="1" si="0"/>
        <v>NO_CUMPLE</v>
      </c>
      <c r="AV34" s="11" t="str">
        <f ca="1">IFERROR(__xludf.DUMMYFUNCTION("IFERROR(VLOOKUP(E9&amp;F9,IMPORTRANGE(""https://docs.google.com/spreadsheets/d/1Uw7-A9f9R21vMXxHZFNpYNeKFtG8_yji4HS352LGlSQ/edit?pli=1#gid=0"",""1_ACUM!A4:S""),11,FALSE))"),"APLAZADO")</f>
        <v>APLAZADO</v>
      </c>
      <c r="AW34" s="20" t="str">
        <f ca="1">IFERROR(__xludf.DUMMYFUNCTION("IFERROR(VLOOKUP(F9,IMPORTRANGE(""https://docs.google.com/spreadsheets/d/1Kvs4KS76FHFqLFIZfrDMff4kP08nblUkihrxltoGBjg/edit#gid=934712705"",""ESENCIAL!A6:BG""),15,FALSE))"),"AGROPECUARIO")</f>
        <v>AGROPECUARIO</v>
      </c>
      <c r="AX34" s="21">
        <f ca="1">IFERROR(__xludf.DUMMYFUNCTION("IFERROR(VLOOKUP(E9&amp;F9,IMPORTRANGE(""https://docs.google.com/spreadsheets/d/1Uw7-A9f9R21vMXxHZFNpYNeKFtG8_yji4HS352LGlSQ/edit?pli=1#gid=0"",""1_ACUM!A4:S""),12,FALSE))"),44848)</f>
        <v>44848</v>
      </c>
      <c r="AY34" s="22">
        <f ca="1">IFERROR(__xludf.DUMMYFUNCTION("IFERROR(VLOOKUP(E9&amp;F9,IMPORTRANGE(""https://docs.google.com/spreadsheets/d/1Uw7-A9f9R21vMXxHZFNpYNeKFtG8_yji4HS352LGlSQ/edit?pli=1#gid=0"",""1_ACUM!A4:S""),13,FALSE))"),0)</f>
        <v>0</v>
      </c>
      <c r="AZ34" s="22">
        <f ca="1">IFERROR(__xludf.DUMMYFUNCTION("IFERROR(VLOOKUP(E9&amp;F9,IMPORTRANGE(""https://docs.google.com/spreadsheets/d/1Uw7-A9f9R21vMXxHZFNpYNeKFtG8_yji4HS352LGlSQ/edit?pli=1#gid=0"",""1_ACUM!A4:S""),14,FALSE))"),1)</f>
        <v>1</v>
      </c>
      <c r="BA34" s="22">
        <f ca="1">IFERROR(__xludf.DUMMYFUNCTION("IFERROR(VLOOKUP(E9&amp;F9,IMPORTRANGE(""https://docs.google.com/spreadsheets/d/1Uw7-A9f9R21vMXxHZFNpYNeKFtG8_yji4HS352LGlSQ/edit?pli=1#gid=0"",""1_ACUM!A4:S""),15,FALSE))"),15)</f>
        <v>15</v>
      </c>
      <c r="BB34" s="22">
        <f ca="1">IFERROR(__xludf.DUMMYFUNCTION("IFERROR(VLOOKUP(E9&amp;F9,IMPORTRANGE(""https://docs.google.com/spreadsheets/d/1Uw7-A9f9R21vMXxHZFNpYNeKFtG8_yji4HS352LGlSQ/edit?pli=1#gid=0"",""1_ACUM!A4:S""),16,FALSE))"),20)</f>
        <v>20</v>
      </c>
      <c r="BC34" s="22">
        <f ca="1">IFERROR(__xludf.DUMMYFUNCTION("IFERROR(VLOOKUP(E9&amp;F9,IMPORTRANGE(""https://docs.google.com/spreadsheets/d/1Uw7-A9f9R21vMXxHZFNpYNeKFtG8_yji4HS352LGlSQ/edit?pli=1#gid=0"",""1_ACUM!A4:S""),17,FALSE))"),36)</f>
        <v>36</v>
      </c>
      <c r="BD34" s="23">
        <f ca="1">IFERROR(__xludf.DUMMYFUNCTION("IFERROR(VLOOKUP(E9&amp;F9,IMPORTRANGE(""https://docs.google.com/spreadsheets/d/1Uw7-A9f9R21vMXxHZFNpYNeKFtG8_yji4HS352LGlSQ/edit?pli=1#gid=0"",""1_ACUM!A4:S""),18,FALSE))"),43577)</f>
        <v>43577</v>
      </c>
      <c r="BE34" s="23">
        <f ca="1">IFERROR(__xludf.DUMMYFUNCTION("IFERROR(VLOOKUP(E9&amp;F9,IMPORTRANGE(""https://docs.google.com/spreadsheets/d/1Uw7-A9f9R21vMXxHZFNpYNeKFtG8_yji4HS352LGlSQ/edit?pli=1#gid=0"",""1_ACUM!A4:S""),19,FALSE))"),44168)</f>
        <v>44168</v>
      </c>
      <c r="BF34" s="23">
        <f ca="1">IFERROR(__xludf.DUMMYFUNCTION("IFERROR(VLOOKUP(F9,IMPORTRANGE(""https://docs.google.com/spreadsheets/d/1Kvs4KS76FHFqLFIZfrDMff4kP08nblUkihrxltoGBjg/edit#gid=934712705"",""ESENCIAL!A6:BG""),5,FALSE))"),44350)</f>
        <v>44350</v>
      </c>
      <c r="BG34" s="23">
        <f t="shared" ca="1" si="1"/>
        <v>44898</v>
      </c>
      <c r="BH34" s="19" t="str">
        <f t="shared" ca="1" si="2"/>
        <v>FINALIZAR FICHA</v>
      </c>
      <c r="BI34" s="19" t="str">
        <f ca="1">IFERROR(__xludf.DUMMYFUNCTION("IFERROR(VLOOKUP(F9,IMPORTRANGE(""https://docs.google.com/spreadsheets/d/1Kvs4KS76FHFqLFIZfrDMff4kP08nblUkihrxltoGBjg/edit#gid=934712705"",""ESENCIAL!A6:BG""),18,FALSE))"),"Terminada por fecha")</f>
        <v>Terminada por fecha</v>
      </c>
      <c r="BJ34" s="19" t="str">
        <f t="shared" si="3"/>
        <v>Yamboro</v>
      </c>
      <c r="BK34" s="291"/>
      <c r="BL34" s="19"/>
    </row>
    <row r="35" spans="1:64" s="180" customFormat="1" ht="17.25" hidden="1" customHeight="1">
      <c r="A35" s="290"/>
      <c r="B35" s="147" t="s">
        <v>1263</v>
      </c>
      <c r="C35" s="56" t="s">
        <v>1268</v>
      </c>
      <c r="D35" s="57" t="s">
        <v>27</v>
      </c>
      <c r="E35" s="57">
        <v>1081702474</v>
      </c>
      <c r="F35" s="25">
        <v>1832952</v>
      </c>
      <c r="G35" s="11" t="str">
        <f ca="1">IFERROR(__xludf.DUMMYFUNCTION("IFERROR(VLOOKUP(F10,IMPORTRANGE(""https://docs.google.com/spreadsheets/d/1Kvs4KS76FHFqLFIZfrDMff4kP08nblUkihrxltoGBjg/edit#gid=934712705"",""ESENCIAL!A6:BG""),3,FALSE))"),"TECNÓLOGO")</f>
        <v>TECNÓLOGO</v>
      </c>
      <c r="H35" s="11" t="str">
        <f ca="1">IFERROR(__xludf.DUMMYFUNCTION("IFERROR(VLOOKUP(F10,IMPORTRANGE(""https://docs.google.com/spreadsheets/d/1Kvs4KS76FHFqLFIZfrDMff4kP08nblUkihrxltoGBjg/edit#gid=934712705"",""ESENCIAL!A6:BG""),8,FALSE))"),"PRODUCCIÓN AGROPECUARIA ECOLÓGICA")</f>
        <v>PRODUCCIÓN AGROPECUARIA ECOLÓGICA</v>
      </c>
      <c r="I35" s="56"/>
      <c r="J35" s="56"/>
      <c r="K35" s="56"/>
      <c r="L35" s="285" t="s">
        <v>44</v>
      </c>
      <c r="M35" s="29"/>
      <c r="N35" s="29"/>
      <c r="O35" s="29"/>
      <c r="P35" s="29"/>
      <c r="Q35" s="29"/>
      <c r="R35" s="33"/>
      <c r="S35" s="33"/>
      <c r="T35" s="29"/>
      <c r="U35" s="29"/>
      <c r="V35" s="54"/>
      <c r="W35" s="1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19" t="str">
        <f t="shared" ca="1" si="0"/>
        <v>NO_CUMPLE</v>
      </c>
      <c r="AV35" s="11" t="str">
        <f ca="1">IFERROR(__xludf.DUMMYFUNCTION("IFERROR(VLOOKUP(E10&amp;F10,IMPORTRANGE(""https://docs.google.com/spreadsheets/d/1Uw7-A9f9R21vMXxHZFNpYNeKFtG8_yji4HS352LGlSQ/edit?pli=1#gid=0"",""1_ACUM!A4:S""),11,FALSE))"),"APLAZADO")</f>
        <v>APLAZADO</v>
      </c>
      <c r="AW35" s="20" t="str">
        <f ca="1">IFERROR(__xludf.DUMMYFUNCTION("IFERROR(VLOOKUP(F10,IMPORTRANGE(""https://docs.google.com/spreadsheets/d/1Kvs4KS76FHFqLFIZfrDMff4kP08nblUkihrxltoGBjg/edit#gid=934712705"",""ESENCIAL!A6:BG""),15,FALSE))"),"AGROPECUARIO")</f>
        <v>AGROPECUARIO</v>
      </c>
      <c r="AX35" s="21">
        <f ca="1">IFERROR(__xludf.DUMMYFUNCTION("IFERROR(VLOOKUP(E10&amp;F10,IMPORTRANGE(""https://docs.google.com/spreadsheets/d/1Uw7-A9f9R21vMXxHZFNpYNeKFtG8_yji4HS352LGlSQ/edit?pli=1#gid=0"",""1_ACUM!A4:S""),12,FALSE))"),44848)</f>
        <v>44848</v>
      </c>
      <c r="AY35" s="22">
        <f ca="1">IFERROR(__xludf.DUMMYFUNCTION("IFERROR(VLOOKUP(E10&amp;F10,IMPORTRANGE(""https://docs.google.com/spreadsheets/d/1Uw7-A9f9R21vMXxHZFNpYNeKFtG8_yji4HS352LGlSQ/edit?pli=1#gid=0"",""1_ACUM!A4:S""),13,FALSE))"),0)</f>
        <v>0</v>
      </c>
      <c r="AZ35" s="22">
        <f ca="1">IFERROR(__xludf.DUMMYFUNCTION("IFERROR(VLOOKUP(E10&amp;F10,IMPORTRANGE(""https://docs.google.com/spreadsheets/d/1Uw7-A9f9R21vMXxHZFNpYNeKFtG8_yji4HS352LGlSQ/edit?pli=1#gid=0"",""1_ACUM!A4:S""),14,FALSE))"),1)</f>
        <v>1</v>
      </c>
      <c r="BA35" s="22">
        <f ca="1">IFERROR(__xludf.DUMMYFUNCTION("IFERROR(VLOOKUP(E10&amp;F10,IMPORTRANGE(""https://docs.google.com/spreadsheets/d/1Uw7-A9f9R21vMXxHZFNpYNeKFtG8_yji4HS352LGlSQ/edit?pli=1#gid=0"",""1_ACUM!A4:S""),15,FALSE))"),15)</f>
        <v>15</v>
      </c>
      <c r="BB35" s="22">
        <f ca="1">IFERROR(__xludf.DUMMYFUNCTION("IFERROR(VLOOKUP(E10&amp;F10,IMPORTRANGE(""https://docs.google.com/spreadsheets/d/1Uw7-A9f9R21vMXxHZFNpYNeKFtG8_yji4HS352LGlSQ/edit?pli=1#gid=0"",""1_ACUM!A4:S""),16,FALSE))"),19)</f>
        <v>19</v>
      </c>
      <c r="BC35" s="22">
        <f ca="1">IFERROR(__xludf.DUMMYFUNCTION("IFERROR(VLOOKUP(E10&amp;F10,IMPORTRANGE(""https://docs.google.com/spreadsheets/d/1Uw7-A9f9R21vMXxHZFNpYNeKFtG8_yji4HS352LGlSQ/edit?pli=1#gid=0"",""1_ACUM!A4:S""),17,FALSE))"),35)</f>
        <v>35</v>
      </c>
      <c r="BD35" s="23">
        <f ca="1">IFERROR(__xludf.DUMMYFUNCTION("IFERROR(VLOOKUP(E10&amp;F10,IMPORTRANGE(""https://docs.google.com/spreadsheets/d/1Uw7-A9f9R21vMXxHZFNpYNeKFtG8_yji4HS352LGlSQ/edit?pli=1#gid=0"",""1_ACUM!A4:S""),18,FALSE))"),43577)</f>
        <v>43577</v>
      </c>
      <c r="BE35" s="23">
        <f ca="1">IFERROR(__xludf.DUMMYFUNCTION("IFERROR(VLOOKUP(E10&amp;F10,IMPORTRANGE(""https://docs.google.com/spreadsheets/d/1Uw7-A9f9R21vMXxHZFNpYNeKFtG8_yji4HS352LGlSQ/edit?pli=1#gid=0"",""1_ACUM!A4:S""),19,FALSE))"),44168)</f>
        <v>44168</v>
      </c>
      <c r="BF35" s="23">
        <f ca="1">IFERROR(__xludf.DUMMYFUNCTION("IFERROR(VLOOKUP(F10,IMPORTRANGE(""https://docs.google.com/spreadsheets/d/1Kvs4KS76FHFqLFIZfrDMff4kP08nblUkihrxltoGBjg/edit#gid=934712705"",""ESENCIAL!A6:BG""),5,FALSE))"),44350)</f>
        <v>44350</v>
      </c>
      <c r="BG35" s="23">
        <f t="shared" ca="1" si="1"/>
        <v>44898</v>
      </c>
      <c r="BH35" s="19" t="str">
        <f t="shared" ca="1" si="2"/>
        <v>FINALIZAR FICHA</v>
      </c>
      <c r="BI35" s="19" t="str">
        <f ca="1">IFERROR(__xludf.DUMMYFUNCTION("IFERROR(VLOOKUP(F10,IMPORTRANGE(""https://docs.google.com/spreadsheets/d/1Kvs4KS76FHFqLFIZfrDMff4kP08nblUkihrxltoGBjg/edit#gid=934712705"",""ESENCIAL!A6:BG""),18,FALSE))"),"Terminada por fecha")</f>
        <v>Terminada por fecha</v>
      </c>
      <c r="BJ35" s="19" t="str">
        <f t="shared" si="3"/>
        <v>Yamboro</v>
      </c>
      <c r="BK35" s="295"/>
      <c r="BL35" s="173"/>
    </row>
    <row r="36" spans="1:64" ht="15.75" customHeight="1">
      <c r="A36" s="467" t="s">
        <v>1125</v>
      </c>
      <c r="B36" s="145" t="s">
        <v>25</v>
      </c>
      <c r="C36" s="25" t="s">
        <v>1269</v>
      </c>
      <c r="D36" s="25" t="s">
        <v>27</v>
      </c>
      <c r="E36" s="25">
        <v>1083921061</v>
      </c>
      <c r="F36" s="25">
        <v>1802847</v>
      </c>
      <c r="G36" s="11" t="str">
        <f ca="1">IFERROR(__xludf.DUMMYFUNCTION("IFERROR(VLOOKUP(F11,IMPORTRANGE(""https://docs.google.com/spreadsheets/d/1Kvs4KS76FHFqLFIZfrDMff4kP08nblUkihrxltoGBjg/edit#gid=934712705"",""ESENCIAL!A6:BG""),3,FALSE))"),"TÉCNICO")</f>
        <v>TÉCNICO</v>
      </c>
      <c r="H36" s="11" t="str">
        <f ca="1">IFERROR(__xludf.DUMMYFUNCTION("IFERROR(VLOOKUP(F11,IMPORTRANGE(""https://docs.google.com/spreadsheets/d/1Kvs4KS76FHFqLFIZfrDMff4kP08nblUkihrxltoGBjg/edit#gid=934712705"",""ESENCIAL!A6:BG""),8,FALSE))"),"SERVICIOS DE BARISMO")</f>
        <v>SERVICIOS DE BARISMO</v>
      </c>
      <c r="I36" s="25">
        <v>3125650419</v>
      </c>
      <c r="J36" s="25"/>
      <c r="K36" s="25"/>
      <c r="L36" s="25" t="s">
        <v>161</v>
      </c>
      <c r="M36" s="25" t="s">
        <v>1270</v>
      </c>
      <c r="N36" s="25" t="s">
        <v>590</v>
      </c>
      <c r="O36" s="25"/>
      <c r="P36" s="25" t="s">
        <v>1271</v>
      </c>
      <c r="Q36" s="25"/>
      <c r="R36" s="51" t="s">
        <v>1272</v>
      </c>
      <c r="S36" s="352" t="s">
        <v>1273</v>
      </c>
      <c r="T36" s="25"/>
      <c r="U36" s="28"/>
      <c r="V36" s="28"/>
      <c r="W36" s="28"/>
      <c r="X36" s="28"/>
      <c r="Y36" s="30"/>
      <c r="Z36" s="28"/>
      <c r="AA36" s="28"/>
      <c r="AB36" s="28"/>
      <c r="AC36" s="28"/>
      <c r="AD36" s="28"/>
      <c r="AE36" s="28"/>
      <c r="AF36" s="28"/>
      <c r="AG36" s="28"/>
      <c r="AH36" s="28"/>
      <c r="AI36" s="28"/>
      <c r="AJ36" s="28"/>
      <c r="AK36" s="28"/>
      <c r="AL36" s="28"/>
      <c r="AM36" s="28"/>
      <c r="AN36" s="28"/>
      <c r="AO36" s="28"/>
      <c r="AP36" s="28"/>
      <c r="AQ36" s="28"/>
      <c r="AR36" s="28"/>
      <c r="AS36" s="28"/>
      <c r="AT36" s="28"/>
      <c r="AU36" s="19" t="str">
        <f t="shared" ca="1" si="0"/>
        <v>Procede_E_P</v>
      </c>
      <c r="AV36" s="11" t="str">
        <f ca="1">IFERROR(__xludf.DUMMYFUNCTION("IFERROR(VLOOKUP(E11&amp;F11,IMPORTRANGE(""https://docs.google.com/spreadsheets/d/1Uw7-A9f9R21vMXxHZFNpYNeKFtG8_yji4HS352LGlSQ/edit?pli=1#gid=0"",""1_ACUM!A4:S""),11,FALSE))"),"EN FORMACION")</f>
        <v>EN FORMACION</v>
      </c>
      <c r="AW36" s="20" t="str">
        <f ca="1">IFERROR(__xludf.DUMMYFUNCTION("IFERROR(VLOOKUP(F11,IMPORTRANGE(""https://docs.google.com/spreadsheets/d/1Kvs4KS76FHFqLFIZfrDMff4kP08nblUkihrxltoGBjg/edit#gid=934712705"",""ESENCIAL!A6:BG""),15,FALSE))"),"TURISMO")</f>
        <v>TURISMO</v>
      </c>
      <c r="AX36" s="21">
        <f ca="1">IFERROR(__xludf.DUMMYFUNCTION("IFERROR(VLOOKUP(E11&amp;F11,IMPORTRANGE(""https://docs.google.com/spreadsheets/d/1Uw7-A9f9R21vMXxHZFNpYNeKFtG8_yji4HS352LGlSQ/edit?pli=1#gid=0"",""1_ACUM!A4:S""),12,FALSE))"),44848)</f>
        <v>44848</v>
      </c>
      <c r="AY36" s="22">
        <f ca="1">IFERROR(__xludf.DUMMYFUNCTION("IFERROR(VLOOKUP(E11&amp;F11,IMPORTRANGE(""https://docs.google.com/spreadsheets/d/1Uw7-A9f9R21vMXxHZFNpYNeKFtG8_yji4HS352LGlSQ/edit?pli=1#gid=0"",""1_ACUM!A4:S""),13,FALSE))"),0)</f>
        <v>0</v>
      </c>
      <c r="AZ36" s="22">
        <f ca="1">IFERROR(__xludf.DUMMYFUNCTION("IFERROR(VLOOKUP(E11&amp;F11,IMPORTRANGE(""https://docs.google.com/spreadsheets/d/1Uw7-A9f9R21vMXxHZFNpYNeKFtG8_yji4HS352LGlSQ/edit?pli=1#gid=0"",""1_ACUM!A4:S""),14,FALSE))"),1)</f>
        <v>1</v>
      </c>
      <c r="BA36" s="22">
        <f ca="1">IFERROR(__xludf.DUMMYFUNCTION("IFERROR(VLOOKUP(E11&amp;F11,IMPORTRANGE(""https://docs.google.com/spreadsheets/d/1Uw7-A9f9R21vMXxHZFNpYNeKFtG8_yji4HS352LGlSQ/edit?pli=1#gid=0"",""1_ACUM!A4:S""),15,FALSE))"),0)</f>
        <v>0</v>
      </c>
      <c r="BB36" s="22">
        <f ca="1">IFERROR(__xludf.DUMMYFUNCTION("IFERROR(VLOOKUP(E11&amp;F11,IMPORTRANGE(""https://docs.google.com/spreadsheets/d/1Uw7-A9f9R21vMXxHZFNpYNeKFtG8_yji4HS352LGlSQ/edit?pli=1#gid=0"",""1_ACUM!A4:S""),16,FALSE))"),0)</f>
        <v>0</v>
      </c>
      <c r="BC36" s="22">
        <f ca="1">IFERROR(__xludf.DUMMYFUNCTION("IFERROR(VLOOKUP(E11&amp;F11,IMPORTRANGE(""https://docs.google.com/spreadsheets/d/1Uw7-A9f9R21vMXxHZFNpYNeKFtG8_yji4HS352LGlSQ/edit?pli=1#gid=0"",""1_ACUM!A4:S""),17,FALSE))"),1)</f>
        <v>1</v>
      </c>
      <c r="BD36" s="23">
        <f ca="1">IFERROR(__xludf.DUMMYFUNCTION("IFERROR(VLOOKUP(E11&amp;F11,IMPORTRANGE(""https://docs.google.com/spreadsheets/d/1Uw7-A9f9R21vMXxHZFNpYNeKFtG8_yji4HS352LGlSQ/edit?pli=1#gid=0"",""1_ACUM!A4:S""),18,FALSE))"),43493)</f>
        <v>43493</v>
      </c>
      <c r="BE36" s="23">
        <f ca="1">IFERROR(__xludf.DUMMYFUNCTION("IFERROR(VLOOKUP(E11&amp;F11,IMPORTRANGE(""https://docs.google.com/spreadsheets/d/1Uw7-A9f9R21vMXxHZFNpYNeKFtG8_yji4HS352LGlSQ/edit?pli=1#gid=0"",""1_ACUM!A4:S""),19,FALSE))"),43766)</f>
        <v>43766</v>
      </c>
      <c r="BF36" s="23">
        <f ca="1">IFERROR(__xludf.DUMMYFUNCTION("IFERROR(VLOOKUP(F11,IMPORTRANGE(""https://docs.google.com/spreadsheets/d/1Kvs4KS76FHFqLFIZfrDMff4kP08nblUkihrxltoGBjg/edit#gid=934712705"",""ESENCIAL!A6:BG""),5,FALSE))"),43949)</f>
        <v>43949</v>
      </c>
      <c r="BG36" s="23">
        <f t="shared" ca="1" si="1"/>
        <v>44497</v>
      </c>
      <c r="BH36" s="19" t="str">
        <f t="shared" ca="1" si="2"/>
        <v>FINALIZAR FICHA</v>
      </c>
      <c r="BI36" s="19" t="str">
        <f ca="1">IFERROR(__xludf.DUMMYFUNCTION("IFERROR(VLOOKUP(F11,IMPORTRANGE(""https://docs.google.com/spreadsheets/d/1Kvs4KS76FHFqLFIZfrDMff4kP08nblUkihrxltoGBjg/edit#gid=934712705"",""ESENCIAL!A6:BG""),18,FALSE))"),"Terminada por Fecha     ")</f>
        <v xml:space="preserve">Terminada por Fecha     </v>
      </c>
      <c r="BJ36" s="19" t="str">
        <f t="shared" si="3"/>
        <v>Yamboro</v>
      </c>
      <c r="BK36" s="291"/>
      <c r="BL36" s="19"/>
    </row>
    <row r="37" spans="1:64" ht="16.5" hidden="1" customHeight="1">
      <c r="A37" s="290"/>
      <c r="B37" s="145" t="s">
        <v>25</v>
      </c>
      <c r="C37" s="56" t="s">
        <v>1274</v>
      </c>
      <c r="D37" s="25" t="s">
        <v>27</v>
      </c>
      <c r="E37" s="57">
        <v>1004253160</v>
      </c>
      <c r="F37" s="25">
        <v>1802847</v>
      </c>
      <c r="G37" s="11" t="str">
        <f ca="1">IFERROR(__xludf.DUMMYFUNCTION("IFERROR(VLOOKUP(F12,IMPORTRANGE(""https://docs.google.com/spreadsheets/d/1Kvs4KS76FHFqLFIZfrDMff4kP08nblUkihrxltoGBjg/edit#gid=934712705"",""ESENCIAL!A6:BG""),3,FALSE))"),"TÉCNICO")</f>
        <v>TÉCNICO</v>
      </c>
      <c r="H37" s="11" t="str">
        <f ca="1">IFERROR(__xludf.DUMMYFUNCTION("IFERROR(VLOOKUP(F12,IMPORTRANGE(""https://docs.google.com/spreadsheets/d/1Kvs4KS76FHFqLFIZfrDMff4kP08nblUkihrxltoGBjg/edit#gid=934712705"",""ESENCIAL!A6:BG""),8,FALSE))"),"SERVICIOS DE BARISMO")</f>
        <v>SERVICIOS DE BARISMO</v>
      </c>
      <c r="I37" s="25"/>
      <c r="J37" s="25"/>
      <c r="K37" s="25"/>
      <c r="L37" s="285" t="s">
        <v>44</v>
      </c>
      <c r="M37" s="25"/>
      <c r="N37" s="25"/>
      <c r="O37" s="25"/>
      <c r="P37" s="25"/>
      <c r="Q37" s="25"/>
      <c r="R37" s="27"/>
      <c r="S37" s="27"/>
      <c r="T37" s="25"/>
      <c r="U37" s="28"/>
      <c r="V37" s="28"/>
      <c r="W37" s="28"/>
      <c r="X37" s="28"/>
      <c r="Y37" s="30"/>
      <c r="Z37" s="28"/>
      <c r="AA37" s="28"/>
      <c r="AB37" s="28"/>
      <c r="AC37" s="28"/>
      <c r="AD37" s="28"/>
      <c r="AE37" s="28"/>
      <c r="AF37" s="28"/>
      <c r="AG37" s="28"/>
      <c r="AH37" s="28"/>
      <c r="AI37" s="28"/>
      <c r="AJ37" s="28"/>
      <c r="AK37" s="28"/>
      <c r="AL37" s="28"/>
      <c r="AM37" s="28"/>
      <c r="AN37" s="28"/>
      <c r="AO37" s="28"/>
      <c r="AP37" s="28"/>
      <c r="AQ37" s="28"/>
      <c r="AR37" s="28"/>
      <c r="AS37" s="28"/>
      <c r="AT37" s="28"/>
      <c r="AU37" s="19" t="str">
        <f t="shared" ca="1" si="0"/>
        <v>NO_CUMPLE</v>
      </c>
      <c r="AV37" s="11" t="str">
        <f ca="1">IFERROR(__xludf.DUMMYFUNCTION("IFERROR(VLOOKUP(E12&amp;F12,IMPORTRANGE(""https://docs.google.com/spreadsheets/d/1Uw7-A9f9R21vMXxHZFNpYNeKFtG8_yji4HS352LGlSQ/edit?pli=1#gid=0"",""1_ACUM!A4:S""),11,FALSE))"),"EN FORMACION")</f>
        <v>EN FORMACION</v>
      </c>
      <c r="AW37" s="20" t="str">
        <f ca="1">IFERROR(__xludf.DUMMYFUNCTION("IFERROR(VLOOKUP(F12,IMPORTRANGE(""https://docs.google.com/spreadsheets/d/1Kvs4KS76FHFqLFIZfrDMff4kP08nblUkihrxltoGBjg/edit#gid=934712705"",""ESENCIAL!A6:BG""),15,FALSE))"),"TURISMO")</f>
        <v>TURISMO</v>
      </c>
      <c r="AX37" s="21">
        <f ca="1">IFERROR(__xludf.DUMMYFUNCTION("IFERROR(VLOOKUP(E12&amp;F12,IMPORTRANGE(""https://docs.google.com/spreadsheets/d/1Uw7-A9f9R21vMXxHZFNpYNeKFtG8_yji4HS352LGlSQ/edit?pli=1#gid=0"",""1_ACUM!A4:S""),12,FALSE))"),44848)</f>
        <v>44848</v>
      </c>
      <c r="AY37" s="22">
        <f ca="1">IFERROR(__xludf.DUMMYFUNCTION("IFERROR(VLOOKUP(E12&amp;F12,IMPORTRANGE(""https://docs.google.com/spreadsheets/d/1Uw7-A9f9R21vMXxHZFNpYNeKFtG8_yji4HS352LGlSQ/edit?pli=1#gid=0"",""1_ACUM!A4:S""),13,FALSE))"),0)</f>
        <v>0</v>
      </c>
      <c r="AZ37" s="22">
        <f ca="1">IFERROR(__xludf.DUMMYFUNCTION("IFERROR(VLOOKUP(E12&amp;F12,IMPORTRANGE(""https://docs.google.com/spreadsheets/d/1Uw7-A9f9R21vMXxHZFNpYNeKFtG8_yji4HS352LGlSQ/edit?pli=1#gid=0"",""1_ACUM!A4:S""),14,FALSE))"),1)</f>
        <v>1</v>
      </c>
      <c r="BA37" s="22">
        <f ca="1">IFERROR(__xludf.DUMMYFUNCTION("IFERROR(VLOOKUP(E12&amp;F12,IMPORTRANGE(""https://docs.google.com/spreadsheets/d/1Uw7-A9f9R21vMXxHZFNpYNeKFtG8_yji4HS352LGlSQ/edit?pli=1#gid=0"",""1_ACUM!A4:S""),15,FALSE))"),1)</f>
        <v>1</v>
      </c>
      <c r="BB37" s="22">
        <f ca="1">IFERROR(__xludf.DUMMYFUNCTION("IFERROR(VLOOKUP(E12&amp;F12,IMPORTRANGE(""https://docs.google.com/spreadsheets/d/1Uw7-A9f9R21vMXxHZFNpYNeKFtG8_yji4HS352LGlSQ/edit?pli=1#gid=0"",""1_ACUM!A4:S""),16,FALSE))"),0)</f>
        <v>0</v>
      </c>
      <c r="BC37" s="22">
        <f ca="1">IFERROR(__xludf.DUMMYFUNCTION("IFERROR(VLOOKUP(E12&amp;F12,IMPORTRANGE(""https://docs.google.com/spreadsheets/d/1Uw7-A9f9R21vMXxHZFNpYNeKFtG8_yji4HS352LGlSQ/edit?pli=1#gid=0"",""1_ACUM!A4:S""),17,FALSE))"),2)</f>
        <v>2</v>
      </c>
      <c r="BD37" s="23">
        <f ca="1">IFERROR(__xludf.DUMMYFUNCTION("IFERROR(VLOOKUP(E12&amp;F12,IMPORTRANGE(""https://docs.google.com/spreadsheets/d/1Uw7-A9f9R21vMXxHZFNpYNeKFtG8_yji4HS352LGlSQ/edit?pli=1#gid=0"",""1_ACUM!A4:S""),18,FALSE))"),43493)</f>
        <v>43493</v>
      </c>
      <c r="BE37" s="23">
        <f ca="1">IFERROR(__xludf.DUMMYFUNCTION("IFERROR(VLOOKUP(E12&amp;F12,IMPORTRANGE(""https://docs.google.com/spreadsheets/d/1Uw7-A9f9R21vMXxHZFNpYNeKFtG8_yji4HS352LGlSQ/edit?pli=1#gid=0"",""1_ACUM!A4:S""),19,FALSE))"),43766)</f>
        <v>43766</v>
      </c>
      <c r="BF37" s="23">
        <f ca="1">IFERROR(__xludf.DUMMYFUNCTION("IFERROR(VLOOKUP(F12,IMPORTRANGE(""https://docs.google.com/spreadsheets/d/1Kvs4KS76FHFqLFIZfrDMff4kP08nblUkihrxltoGBjg/edit#gid=934712705"",""ESENCIAL!A6:BG""),5,FALSE))"),43949)</f>
        <v>43949</v>
      </c>
      <c r="BG37" s="23">
        <f t="shared" ca="1" si="1"/>
        <v>44497</v>
      </c>
      <c r="BH37" s="19" t="str">
        <f t="shared" ca="1" si="2"/>
        <v>FINALIZAR FICHA</v>
      </c>
      <c r="BI37" s="19" t="str">
        <f ca="1">IFERROR(__xludf.DUMMYFUNCTION("IFERROR(VLOOKUP(F12,IMPORTRANGE(""https://docs.google.com/spreadsheets/d/1Kvs4KS76FHFqLFIZfrDMff4kP08nblUkihrxltoGBjg/edit#gid=934712705"",""ESENCIAL!A6:BG""),18,FALSE))"),"Terminada por Fecha     ")</f>
        <v xml:space="preserve">Terminada por Fecha     </v>
      </c>
      <c r="BJ37" s="19" t="str">
        <f t="shared" si="3"/>
        <v>Yamboro</v>
      </c>
      <c r="BK37" s="291"/>
      <c r="BL37" s="19"/>
    </row>
    <row r="38" spans="1:64" ht="19.5" hidden="1" customHeight="1">
      <c r="A38" s="290"/>
      <c r="B38" s="145" t="s">
        <v>25</v>
      </c>
      <c r="C38" s="56" t="s">
        <v>1275</v>
      </c>
      <c r="D38" s="25" t="s">
        <v>67</v>
      </c>
      <c r="E38" s="57">
        <v>1004300652</v>
      </c>
      <c r="F38" s="25">
        <v>1802847</v>
      </c>
      <c r="G38" s="11" t="str">
        <f ca="1">IFERROR(__xludf.DUMMYFUNCTION("IFERROR(VLOOKUP(F12,IMPORTRANGE(""https://docs.google.com/spreadsheets/d/1Kvs4KS76FHFqLFIZfrDMff4kP08nblUkihrxltoGBjg/edit#gid=934712705"",""ESENCIAL!A6:BG""),3,FALSE))"),"TÉCNICO")</f>
        <v>TÉCNICO</v>
      </c>
      <c r="H38" s="11" t="str">
        <f ca="1">IFERROR(__xludf.DUMMYFUNCTION("IFERROR(VLOOKUP(F12,IMPORTRANGE(""https://docs.google.com/spreadsheets/d/1Kvs4KS76FHFqLFIZfrDMff4kP08nblUkihrxltoGBjg/edit#gid=934712705"",""ESENCIAL!A6:BG""),8,FALSE))"),"SERVICIOS DE BARISMO")</f>
        <v>SERVICIOS DE BARISMO</v>
      </c>
      <c r="I38" s="25"/>
      <c r="J38" s="25"/>
      <c r="K38" s="25"/>
      <c r="L38" s="285" t="s">
        <v>44</v>
      </c>
      <c r="M38" s="25"/>
      <c r="N38" s="25"/>
      <c r="O38" s="25"/>
      <c r="P38" s="25"/>
      <c r="Q38" s="25"/>
      <c r="R38" s="27"/>
      <c r="S38" s="27"/>
      <c r="T38" s="25"/>
      <c r="U38" s="28"/>
      <c r="V38" s="28"/>
      <c r="W38" s="28"/>
      <c r="X38" s="28"/>
      <c r="Y38" s="30"/>
      <c r="Z38" s="28"/>
      <c r="AA38" s="28"/>
      <c r="AB38" s="28"/>
      <c r="AC38" s="28"/>
      <c r="AD38" s="28"/>
      <c r="AE38" s="28"/>
      <c r="AF38" s="28"/>
      <c r="AG38" s="28"/>
      <c r="AH38" s="28"/>
      <c r="AI38" s="28"/>
      <c r="AJ38" s="28"/>
      <c r="AK38" s="28"/>
      <c r="AL38" s="28"/>
      <c r="AM38" s="28"/>
      <c r="AN38" s="28"/>
      <c r="AO38" s="28"/>
      <c r="AP38" s="28"/>
      <c r="AQ38" s="28"/>
      <c r="AR38" s="28"/>
      <c r="AS38" s="28"/>
      <c r="AT38" s="28"/>
      <c r="AU38" s="19"/>
      <c r="AV38" s="11"/>
      <c r="AW38" s="20"/>
      <c r="AX38" s="21"/>
      <c r="AY38" s="22"/>
      <c r="AZ38" s="22"/>
      <c r="BA38" s="22"/>
      <c r="BB38" s="22"/>
      <c r="BC38" s="22"/>
      <c r="BD38" s="23"/>
      <c r="BE38" s="23"/>
      <c r="BF38" s="23"/>
      <c r="BG38" s="23"/>
      <c r="BH38" s="19"/>
      <c r="BI38" s="19"/>
      <c r="BJ38" s="19"/>
      <c r="BK38" s="291"/>
      <c r="BL38" s="19"/>
    </row>
    <row r="39" spans="1:64" ht="19.5" hidden="1" customHeight="1">
      <c r="A39" s="290"/>
      <c r="B39" s="145" t="s">
        <v>25</v>
      </c>
      <c r="C39" s="56" t="s">
        <v>1276</v>
      </c>
      <c r="D39" s="25" t="s">
        <v>27</v>
      </c>
      <c r="E39" s="57">
        <v>1007575878</v>
      </c>
      <c r="F39" s="25">
        <v>1802847</v>
      </c>
      <c r="G39" s="11" t="str">
        <f ca="1">IFERROR(__xludf.DUMMYFUNCTION("IFERROR(VLOOKUP(F13,IMPORTRANGE(""https://docs.google.com/spreadsheets/d/1Kvs4KS76FHFqLFIZfrDMff4kP08nblUkihrxltoGBjg/edit#gid=934712705"",""ESENCIAL!A6:BG""),3,FALSE))"),"TÉCNICO")</f>
        <v>TÉCNICO</v>
      </c>
      <c r="H39" s="11" t="str">
        <f ca="1">IFERROR(__xludf.DUMMYFUNCTION("IFERROR(VLOOKUP(F13,IMPORTRANGE(""https://docs.google.com/spreadsheets/d/1Kvs4KS76FHFqLFIZfrDMff4kP08nblUkihrxltoGBjg/edit#gid=934712705"",""ESENCIAL!A6:BG""),8,FALSE))"),"SERVICIOS DE BARISMO")</f>
        <v>SERVICIOS DE BARISMO</v>
      </c>
      <c r="I39" s="25"/>
      <c r="J39" s="25"/>
      <c r="K39" s="25"/>
      <c r="L39" s="285" t="s">
        <v>44</v>
      </c>
      <c r="M39" s="25"/>
      <c r="N39" s="25"/>
      <c r="O39" s="25"/>
      <c r="P39" s="25"/>
      <c r="Q39" s="25"/>
      <c r="R39" s="27"/>
      <c r="S39" s="27"/>
      <c r="T39" s="25"/>
      <c r="U39" s="28"/>
      <c r="V39" s="28"/>
      <c r="W39" s="28"/>
      <c r="X39" s="28"/>
      <c r="Y39" s="30"/>
      <c r="Z39" s="28"/>
      <c r="AA39" s="28"/>
      <c r="AB39" s="28"/>
      <c r="AC39" s="28"/>
      <c r="AD39" s="28"/>
      <c r="AE39" s="28"/>
      <c r="AF39" s="28"/>
      <c r="AG39" s="28"/>
      <c r="AH39" s="28"/>
      <c r="AI39" s="28"/>
      <c r="AJ39" s="28"/>
      <c r="AK39" s="28"/>
      <c r="AL39" s="28"/>
      <c r="AM39" s="28"/>
      <c r="AN39" s="28"/>
      <c r="AO39" s="28"/>
      <c r="AP39" s="28"/>
      <c r="AQ39" s="28"/>
      <c r="AR39" s="28"/>
      <c r="AS39" s="28"/>
      <c r="AT39" s="28"/>
      <c r="AU39" s="19" t="str">
        <f t="shared" ref="AU39:AU51" ca="1" si="4">IF(E39&gt;0,IF(AND(BC39=1,AZ39=1),"Procede_E_P","NO_CUMPLE"),"")</f>
        <v>NO_CUMPLE</v>
      </c>
      <c r="AV39" s="11" t="str">
        <f ca="1">IFERROR(__xludf.DUMMYFUNCTION("IFERROR(VLOOKUP(E13&amp;F13,IMPORTRANGE(""https://docs.google.com/spreadsheets/d/1Uw7-A9f9R21vMXxHZFNpYNeKFtG8_yji4HS352LGlSQ/edit?pli=1#gid=0"",""1_ACUM!A4:S""),11,FALSE))"),"EN FORMACION")</f>
        <v>EN FORMACION</v>
      </c>
      <c r="AW39" s="20" t="str">
        <f ca="1">IFERROR(__xludf.DUMMYFUNCTION("IFERROR(VLOOKUP(F13,IMPORTRANGE(""https://docs.google.com/spreadsheets/d/1Kvs4KS76FHFqLFIZfrDMff4kP08nblUkihrxltoGBjg/edit#gid=934712705"",""ESENCIAL!A6:BG""),15,FALSE))"),"TURISMO")</f>
        <v>TURISMO</v>
      </c>
      <c r="AX39" s="21">
        <f ca="1">IFERROR(__xludf.DUMMYFUNCTION("IFERROR(VLOOKUP(E13&amp;F13,IMPORTRANGE(""https://docs.google.com/spreadsheets/d/1Uw7-A9f9R21vMXxHZFNpYNeKFtG8_yji4HS352LGlSQ/edit?pli=1#gid=0"",""1_ACUM!A4:S""),12,FALSE))"),44848)</f>
        <v>44848</v>
      </c>
      <c r="AY39" s="22">
        <f ca="1">IFERROR(__xludf.DUMMYFUNCTION("IFERROR(VLOOKUP(E13&amp;F13,IMPORTRANGE(""https://docs.google.com/spreadsheets/d/1Uw7-A9f9R21vMXxHZFNpYNeKFtG8_yji4HS352LGlSQ/edit?pli=1#gid=0"",""1_ACUM!A4:S""),13,FALSE))"),0)</f>
        <v>0</v>
      </c>
      <c r="AZ39" s="22">
        <f ca="1">IFERROR(__xludf.DUMMYFUNCTION("IFERROR(VLOOKUP(E13&amp;F13,IMPORTRANGE(""https://docs.google.com/spreadsheets/d/1Uw7-A9f9R21vMXxHZFNpYNeKFtG8_yji4HS352LGlSQ/edit?pli=1#gid=0"",""1_ACUM!A4:S""),14,FALSE))"),1)</f>
        <v>1</v>
      </c>
      <c r="BA39" s="22">
        <f ca="1">IFERROR(__xludf.DUMMYFUNCTION("IFERROR(VLOOKUP(E13&amp;F13,IMPORTRANGE(""https://docs.google.com/spreadsheets/d/1Uw7-A9f9R21vMXxHZFNpYNeKFtG8_yji4HS352LGlSQ/edit?pli=1#gid=0"",""1_ACUM!A4:S""),15,FALSE))"),1)</f>
        <v>1</v>
      </c>
      <c r="BB39" s="22">
        <f ca="1">IFERROR(__xludf.DUMMYFUNCTION("IFERROR(VLOOKUP(E13&amp;F13,IMPORTRANGE(""https://docs.google.com/spreadsheets/d/1Uw7-A9f9R21vMXxHZFNpYNeKFtG8_yji4HS352LGlSQ/edit?pli=1#gid=0"",""1_ACUM!A4:S""),16,FALSE))"),0)</f>
        <v>0</v>
      </c>
      <c r="BC39" s="22">
        <f ca="1">IFERROR(__xludf.DUMMYFUNCTION("IFERROR(VLOOKUP(E13&amp;F13,IMPORTRANGE(""https://docs.google.com/spreadsheets/d/1Uw7-A9f9R21vMXxHZFNpYNeKFtG8_yji4HS352LGlSQ/edit?pli=1#gid=0"",""1_ACUM!A4:S""),17,FALSE))"),2)</f>
        <v>2</v>
      </c>
      <c r="BD39" s="23">
        <f ca="1">IFERROR(__xludf.DUMMYFUNCTION("IFERROR(VLOOKUP(E13&amp;F13,IMPORTRANGE(""https://docs.google.com/spreadsheets/d/1Uw7-A9f9R21vMXxHZFNpYNeKFtG8_yji4HS352LGlSQ/edit?pli=1#gid=0"",""1_ACUM!A4:S""),18,FALSE))"),43493)</f>
        <v>43493</v>
      </c>
      <c r="BE39" s="23">
        <f ca="1">IFERROR(__xludf.DUMMYFUNCTION("IFERROR(VLOOKUP(E13&amp;F13,IMPORTRANGE(""https://docs.google.com/spreadsheets/d/1Uw7-A9f9R21vMXxHZFNpYNeKFtG8_yji4HS352LGlSQ/edit?pli=1#gid=0"",""1_ACUM!A4:S""),19,FALSE))"),43766)</f>
        <v>43766</v>
      </c>
      <c r="BF39" s="23">
        <f ca="1">IFERROR(__xludf.DUMMYFUNCTION("IFERROR(VLOOKUP(F13,IMPORTRANGE(""https://docs.google.com/spreadsheets/d/1Kvs4KS76FHFqLFIZfrDMff4kP08nblUkihrxltoGBjg/edit#gid=934712705"",""ESENCIAL!A6:BG""),5,FALSE))"),43949)</f>
        <v>43949</v>
      </c>
      <c r="BG39" s="23">
        <f t="shared" ref="BG39:BG51" ca="1" si="5">IF(F39&gt;0,EDATE(BF39,18),"")</f>
        <v>44497</v>
      </c>
      <c r="BH39" s="19" t="str">
        <f t="shared" ref="BH39:BH51" ca="1" si="6">IF(F39&gt;0,IF(BG39&lt;$BH$1,"FINALIZAR FICHA","FICHA EN TIEMPO-18 MESES"),"")</f>
        <v>FINALIZAR FICHA</v>
      </c>
      <c r="BI39" s="19" t="str">
        <f ca="1">IFERROR(__xludf.DUMMYFUNCTION("IFERROR(VLOOKUP(F13,IMPORTRANGE(""https://docs.google.com/spreadsheets/d/1Kvs4KS76FHFqLFIZfrDMff4kP08nblUkihrxltoGBjg/edit#gid=934712705"",""ESENCIAL!A6:BG""),18,FALSE))"),"Terminada por Fecha     ")</f>
        <v xml:space="preserve">Terminada por Fecha     </v>
      </c>
      <c r="BJ39" s="19" t="str">
        <f t="shared" ref="BJ39:BJ51" si="7">IF(F39&gt;0,"Yamboro","")</f>
        <v>Yamboro</v>
      </c>
      <c r="BK39" s="291"/>
      <c r="BL39" s="19"/>
    </row>
    <row r="40" spans="1:64" s="180" customFormat="1" ht="16.5" hidden="1" customHeight="1">
      <c r="A40" s="290"/>
      <c r="B40" s="145" t="s">
        <v>25</v>
      </c>
      <c r="C40" s="56" t="s">
        <v>1277</v>
      </c>
      <c r="D40" s="25" t="s">
        <v>27</v>
      </c>
      <c r="E40" s="57">
        <v>26428939</v>
      </c>
      <c r="F40" s="25">
        <v>1802847</v>
      </c>
      <c r="G40" s="11" t="str">
        <f ca="1">IFERROR(__xludf.DUMMYFUNCTION("IFERROR(VLOOKUP(F14,IMPORTRANGE(""https://docs.google.com/spreadsheets/d/1Kvs4KS76FHFqLFIZfrDMff4kP08nblUkihrxltoGBjg/edit#gid=934712705"",""ESENCIAL!A6:BG""),3,FALSE))"),"TÉCNICO")</f>
        <v>TÉCNICO</v>
      </c>
      <c r="H40" s="11" t="str">
        <f ca="1">IFERROR(__xludf.DUMMYFUNCTION("IFERROR(VLOOKUP(F14,IMPORTRANGE(""https://docs.google.com/spreadsheets/d/1Kvs4KS76FHFqLFIZfrDMff4kP08nblUkihrxltoGBjg/edit#gid=934712705"",""ESENCIAL!A6:BG""),8,FALSE))"),"SERVICIOS DE BARISMO")</f>
        <v>SERVICIOS DE BARISMO</v>
      </c>
      <c r="I40" s="25"/>
      <c r="J40" s="25"/>
      <c r="K40" s="25"/>
      <c r="L40" s="285" t="s">
        <v>44</v>
      </c>
      <c r="M40" s="25"/>
      <c r="N40" s="25"/>
      <c r="O40" s="25"/>
      <c r="P40" s="25"/>
      <c r="Q40" s="25"/>
      <c r="R40" s="27"/>
      <c r="S40" s="27"/>
      <c r="T40" s="25"/>
      <c r="U40" s="28"/>
      <c r="V40" s="28"/>
      <c r="W40" s="28"/>
      <c r="X40" s="28"/>
      <c r="Y40" s="30"/>
      <c r="Z40" s="28"/>
      <c r="AA40" s="28"/>
      <c r="AB40" s="28"/>
      <c r="AC40" s="28"/>
      <c r="AD40" s="28"/>
      <c r="AE40" s="28"/>
      <c r="AF40" s="28"/>
      <c r="AG40" s="28"/>
      <c r="AH40" s="28"/>
      <c r="AI40" s="28"/>
      <c r="AJ40" s="28"/>
      <c r="AK40" s="28"/>
      <c r="AL40" s="28"/>
      <c r="AM40" s="28"/>
      <c r="AN40" s="28"/>
      <c r="AO40" s="28"/>
      <c r="AP40" s="28"/>
      <c r="AQ40" s="28"/>
      <c r="AR40" s="28"/>
      <c r="AS40" s="28"/>
      <c r="AT40" s="28"/>
      <c r="AU40" s="19" t="str">
        <f t="shared" ca="1" si="4"/>
        <v>Procede_E_P</v>
      </c>
      <c r="AV40" s="11" t="str">
        <f ca="1">IFERROR(__xludf.DUMMYFUNCTION("IFERROR(VLOOKUP(E14&amp;F14,IMPORTRANGE(""https://docs.google.com/spreadsheets/d/1Uw7-A9f9R21vMXxHZFNpYNeKFtG8_yji4HS352LGlSQ/edit?pli=1#gid=0"",""1_ACUM!A4:S""),11,FALSE))"),"EN FORMACION")</f>
        <v>EN FORMACION</v>
      </c>
      <c r="AW40" s="20" t="str">
        <f ca="1">IFERROR(__xludf.DUMMYFUNCTION("IFERROR(VLOOKUP(F14,IMPORTRANGE(""https://docs.google.com/spreadsheets/d/1Kvs4KS76FHFqLFIZfrDMff4kP08nblUkihrxltoGBjg/edit#gid=934712705"",""ESENCIAL!A6:BG""),15,FALSE))"),"TURISMO")</f>
        <v>TURISMO</v>
      </c>
      <c r="AX40" s="21">
        <f ca="1">IFERROR(__xludf.DUMMYFUNCTION("IFERROR(VLOOKUP(E14&amp;F14,IMPORTRANGE(""https://docs.google.com/spreadsheets/d/1Uw7-A9f9R21vMXxHZFNpYNeKFtG8_yji4HS352LGlSQ/edit?pli=1#gid=0"",""1_ACUM!A4:S""),12,FALSE))"),44848)</f>
        <v>44848</v>
      </c>
      <c r="AY40" s="22">
        <f ca="1">IFERROR(__xludf.DUMMYFUNCTION("IFERROR(VLOOKUP(E14&amp;F14,IMPORTRANGE(""https://docs.google.com/spreadsheets/d/1Uw7-A9f9R21vMXxHZFNpYNeKFtG8_yji4HS352LGlSQ/edit?pli=1#gid=0"",""1_ACUM!A4:S""),13,FALSE))"),0)</f>
        <v>0</v>
      </c>
      <c r="AZ40" s="22">
        <f ca="1">IFERROR(__xludf.DUMMYFUNCTION("IFERROR(VLOOKUP(E14&amp;F14,IMPORTRANGE(""https://docs.google.com/spreadsheets/d/1Uw7-A9f9R21vMXxHZFNpYNeKFtG8_yji4HS352LGlSQ/edit?pli=1#gid=0"",""1_ACUM!A4:S""),14,FALSE))"),1)</f>
        <v>1</v>
      </c>
      <c r="BA40" s="22">
        <f ca="1">IFERROR(__xludf.DUMMYFUNCTION("IFERROR(VLOOKUP(E14&amp;F14,IMPORTRANGE(""https://docs.google.com/spreadsheets/d/1Uw7-A9f9R21vMXxHZFNpYNeKFtG8_yji4HS352LGlSQ/edit?pli=1#gid=0"",""1_ACUM!A4:S""),15,FALSE))"),0)</f>
        <v>0</v>
      </c>
      <c r="BB40" s="22">
        <f ca="1">IFERROR(__xludf.DUMMYFUNCTION("IFERROR(VLOOKUP(E14&amp;F14,IMPORTRANGE(""https://docs.google.com/spreadsheets/d/1Uw7-A9f9R21vMXxHZFNpYNeKFtG8_yji4HS352LGlSQ/edit?pli=1#gid=0"",""1_ACUM!A4:S""),16,FALSE))"),0)</f>
        <v>0</v>
      </c>
      <c r="BC40" s="22">
        <f ca="1">IFERROR(__xludf.DUMMYFUNCTION("IFERROR(VLOOKUP(E14&amp;F14,IMPORTRANGE(""https://docs.google.com/spreadsheets/d/1Uw7-A9f9R21vMXxHZFNpYNeKFtG8_yji4HS352LGlSQ/edit?pli=1#gid=0"",""1_ACUM!A4:S""),17,FALSE))"),1)</f>
        <v>1</v>
      </c>
      <c r="BD40" s="23">
        <f ca="1">IFERROR(__xludf.DUMMYFUNCTION("IFERROR(VLOOKUP(E14&amp;F14,IMPORTRANGE(""https://docs.google.com/spreadsheets/d/1Uw7-A9f9R21vMXxHZFNpYNeKFtG8_yji4HS352LGlSQ/edit?pli=1#gid=0"",""1_ACUM!A4:S""),18,FALSE))"),43493)</f>
        <v>43493</v>
      </c>
      <c r="BE40" s="23">
        <f ca="1">IFERROR(__xludf.DUMMYFUNCTION("IFERROR(VLOOKUP(E14&amp;F14,IMPORTRANGE(""https://docs.google.com/spreadsheets/d/1Uw7-A9f9R21vMXxHZFNpYNeKFtG8_yji4HS352LGlSQ/edit?pli=1#gid=0"",""1_ACUM!A4:S""),19,FALSE))"),43766)</f>
        <v>43766</v>
      </c>
      <c r="BF40" s="23">
        <f ca="1">IFERROR(__xludf.DUMMYFUNCTION("IFERROR(VLOOKUP(F14,IMPORTRANGE(""https://docs.google.com/spreadsheets/d/1Kvs4KS76FHFqLFIZfrDMff4kP08nblUkihrxltoGBjg/edit#gid=934712705"",""ESENCIAL!A6:BG""),5,FALSE))"),43949)</f>
        <v>43949</v>
      </c>
      <c r="BG40" s="23">
        <f t="shared" ca="1" si="5"/>
        <v>44497</v>
      </c>
      <c r="BH40" s="19" t="str">
        <f t="shared" ca="1" si="6"/>
        <v>FINALIZAR FICHA</v>
      </c>
      <c r="BI40" s="19" t="str">
        <f ca="1">IFERROR(__xludf.DUMMYFUNCTION("IFERROR(VLOOKUP(F14,IMPORTRANGE(""https://docs.google.com/spreadsheets/d/1Kvs4KS76FHFqLFIZfrDMff4kP08nblUkihrxltoGBjg/edit#gid=934712705"",""ESENCIAL!A6:BG""),18,FALSE))"),"Terminada por Fecha     ")</f>
        <v xml:space="preserve">Terminada por Fecha     </v>
      </c>
      <c r="BJ40" s="19" t="str">
        <f t="shared" si="7"/>
        <v>Yamboro</v>
      </c>
      <c r="BK40" s="295"/>
      <c r="BL40" s="173"/>
    </row>
    <row r="41" spans="1:64" ht="15.75" hidden="1" customHeight="1">
      <c r="A41" s="290"/>
      <c r="B41" s="145" t="s">
        <v>25</v>
      </c>
      <c r="C41" s="56" t="s">
        <v>1278</v>
      </c>
      <c r="D41" s="57" t="s">
        <v>27</v>
      </c>
      <c r="E41" s="57">
        <v>1004446245</v>
      </c>
      <c r="F41" s="25">
        <v>1835249</v>
      </c>
      <c r="G41" s="11" t="str">
        <f ca="1">IFERROR(__xludf.DUMMYFUNCTION("IFERROR(VLOOKUP(F16,IMPORTRANGE(""https://docs.google.com/spreadsheets/d/1Kvs4KS76FHFqLFIZfrDMff4kP08nblUkihrxltoGBjg/edit#gid=934712705"",""ESENCIAL!A6:BG""),3,FALSE))"),"TÉCNICO")</f>
        <v>TÉCNICO</v>
      </c>
      <c r="H41" s="11" t="str">
        <f ca="1">IFERROR(__xludf.DUMMYFUNCTION("IFERROR(VLOOKUP(F16,IMPORTRANGE(""https://docs.google.com/spreadsheets/d/1Kvs4KS76FHFqLFIZfrDMff4kP08nblUkihrxltoGBjg/edit#gid=934712705"",""ESENCIAL!A6:BG""),8,FALSE))"),"PRODUCCIÓN DE CAFÉS ESPECIALES")</f>
        <v>PRODUCCIÓN DE CAFÉS ESPECIALES</v>
      </c>
      <c r="I41" s="25"/>
      <c r="J41" s="25"/>
      <c r="K41" s="25"/>
      <c r="L41" s="285" t="s">
        <v>44</v>
      </c>
      <c r="M41" s="25"/>
      <c r="N41" s="25"/>
      <c r="O41" s="25"/>
      <c r="P41" s="25"/>
      <c r="Q41" s="25"/>
      <c r="R41" s="27"/>
      <c r="S41" s="27"/>
      <c r="T41" s="25"/>
      <c r="U41" s="28"/>
      <c r="V41" s="28"/>
      <c r="W41" s="28"/>
      <c r="X41" s="28"/>
      <c r="Y41" s="30"/>
      <c r="Z41" s="28"/>
      <c r="AA41" s="28"/>
      <c r="AB41" s="28"/>
      <c r="AC41" s="28"/>
      <c r="AD41" s="28"/>
      <c r="AE41" s="28"/>
      <c r="AF41" s="28"/>
      <c r="AG41" s="28"/>
      <c r="AH41" s="28"/>
      <c r="AI41" s="28"/>
      <c r="AJ41" s="28"/>
      <c r="AK41" s="28"/>
      <c r="AL41" s="28"/>
      <c r="AM41" s="28"/>
      <c r="AN41" s="28"/>
      <c r="AO41" s="28"/>
      <c r="AP41" s="28"/>
      <c r="AQ41" s="28"/>
      <c r="AR41" s="28"/>
      <c r="AS41" s="28"/>
      <c r="AT41" s="28"/>
      <c r="AU41" s="19" t="str">
        <f t="shared" ca="1" si="4"/>
        <v>Procede_E_P</v>
      </c>
      <c r="AV41" s="11" t="str">
        <f ca="1">IFERROR(__xludf.DUMMYFUNCTION("IFERROR(VLOOKUP(E16&amp;F16,IMPORTRANGE(""https://docs.google.com/spreadsheets/d/1Uw7-A9f9R21vMXxHZFNpYNeKFtG8_yji4HS352LGlSQ/edit?pli=1#gid=0"",""1_ACUM!A4:S""),11,FALSE))"),"EN FORMACION")</f>
        <v>EN FORMACION</v>
      </c>
      <c r="AW41" s="20" t="str">
        <f ca="1">IFERROR(__xludf.DUMMYFUNCTION("IFERROR(VLOOKUP(F16,IMPORTRANGE(""https://docs.google.com/spreadsheets/d/1Kvs4KS76FHFqLFIZfrDMff4kP08nblUkihrxltoGBjg/edit#gid=934712705"",""ESENCIAL!A6:BG""),15,FALSE))"),"AGROPECUARIO")</f>
        <v>AGROPECUARIO</v>
      </c>
      <c r="AX41" s="21">
        <f ca="1">IFERROR(__xludf.DUMMYFUNCTION("IFERROR(VLOOKUP(E16&amp;F16,IMPORTRANGE(""https://docs.google.com/spreadsheets/d/1Uw7-A9f9R21vMXxHZFNpYNeKFtG8_yji4HS352LGlSQ/edit?pli=1#gid=0"",""1_ACUM!A4:S""),12,FALSE))"),44848)</f>
        <v>44848</v>
      </c>
      <c r="AY41" s="22">
        <f ca="1">IFERROR(__xludf.DUMMYFUNCTION("IFERROR(VLOOKUP(E16&amp;F16,IMPORTRANGE(""https://docs.google.com/spreadsheets/d/1Uw7-A9f9R21vMXxHZFNpYNeKFtG8_yji4HS352LGlSQ/edit?pli=1#gid=0"",""1_ACUM!A4:S""),13,FALSE))"),0)</f>
        <v>0</v>
      </c>
      <c r="AZ41" s="22">
        <f ca="1">IFERROR(__xludf.DUMMYFUNCTION("IFERROR(VLOOKUP(E16&amp;F16,IMPORTRANGE(""https://docs.google.com/spreadsheets/d/1Uw7-A9f9R21vMXxHZFNpYNeKFtG8_yji4HS352LGlSQ/edit?pli=1#gid=0"",""1_ACUM!A4:S""),14,FALSE))"),1)</f>
        <v>1</v>
      </c>
      <c r="BA41" s="22">
        <f ca="1">IFERROR(__xludf.DUMMYFUNCTION("IFERROR(VLOOKUP(E16&amp;F16,IMPORTRANGE(""https://docs.google.com/spreadsheets/d/1Uw7-A9f9R21vMXxHZFNpYNeKFtG8_yji4HS352LGlSQ/edit?pli=1#gid=0"",""1_ACUM!A4:S""),15,FALSE))"),0)</f>
        <v>0</v>
      </c>
      <c r="BB41" s="22">
        <f ca="1">IFERROR(__xludf.DUMMYFUNCTION("IFERROR(VLOOKUP(E16&amp;F16,IMPORTRANGE(""https://docs.google.com/spreadsheets/d/1Uw7-A9f9R21vMXxHZFNpYNeKFtG8_yji4HS352LGlSQ/edit?pli=1#gid=0"",""1_ACUM!A4:S""),16,FALSE))"),0)</f>
        <v>0</v>
      </c>
      <c r="BC41" s="22">
        <f ca="1">IFERROR(__xludf.DUMMYFUNCTION("IFERROR(VLOOKUP(E16&amp;F16,IMPORTRANGE(""https://docs.google.com/spreadsheets/d/1Uw7-A9f9R21vMXxHZFNpYNeKFtG8_yji4HS352LGlSQ/edit?pli=1#gid=0"",""1_ACUM!A4:S""),17,FALSE))"),1)</f>
        <v>1</v>
      </c>
      <c r="BD41" s="23">
        <f ca="1">IFERROR(__xludf.DUMMYFUNCTION("IFERROR(VLOOKUP(E16&amp;F16,IMPORTRANGE(""https://docs.google.com/spreadsheets/d/1Uw7-A9f9R21vMXxHZFNpYNeKFtG8_yji4HS352LGlSQ/edit?pli=1#gid=0"",""1_ACUM!A4:S""),18,FALSE))"),43577)</f>
        <v>43577</v>
      </c>
      <c r="BE41" s="23">
        <f ca="1">IFERROR(__xludf.DUMMYFUNCTION("IFERROR(VLOOKUP(E16&amp;F16,IMPORTRANGE(""https://docs.google.com/spreadsheets/d/1Uw7-A9f9R21vMXxHZFNpYNeKFtG8_yji4HS352LGlSQ/edit?pli=1#gid=0"",""1_ACUM!A4:S""),19,FALSE))"),43760)</f>
        <v>43760</v>
      </c>
      <c r="BF41" s="23">
        <f ca="1">IFERROR(__xludf.DUMMYFUNCTION("IFERROR(VLOOKUP(F16,IMPORTRANGE(""https://docs.google.com/spreadsheets/d/1Kvs4KS76FHFqLFIZfrDMff4kP08nblUkihrxltoGBjg/edit#gid=934712705"",""ESENCIAL!A6:BG""),5,FALSE))"),43943)</f>
        <v>43943</v>
      </c>
      <c r="BG41" s="23">
        <f t="shared" ca="1" si="5"/>
        <v>44491</v>
      </c>
      <c r="BH41" s="19" t="str">
        <f t="shared" ca="1" si="6"/>
        <v>FINALIZAR FICHA</v>
      </c>
      <c r="BI41" s="19" t="str">
        <f ca="1">IFERROR(__xludf.DUMMYFUNCTION("IFERROR(VLOOKUP(F16,IMPORTRANGE(""https://docs.google.com/spreadsheets/d/1Kvs4KS76FHFqLFIZfrDMff4kP08nblUkihrxltoGBjg/edit#gid=934712705"",""ESENCIAL!A6:BG""),18,FALSE))"),"Terminada por Fecha     ")</f>
        <v xml:space="preserve">Terminada por Fecha     </v>
      </c>
      <c r="BJ41" s="19" t="str">
        <f t="shared" si="7"/>
        <v>Yamboro</v>
      </c>
      <c r="BK41" s="291"/>
      <c r="BL41" s="19"/>
    </row>
    <row r="42" spans="1:64" ht="24" hidden="1">
      <c r="A42" s="290"/>
      <c r="B42" s="145" t="s">
        <v>25</v>
      </c>
      <c r="C42" s="56" t="s">
        <v>1279</v>
      </c>
      <c r="D42" s="57" t="s">
        <v>27</v>
      </c>
      <c r="E42" s="57">
        <v>1007411816</v>
      </c>
      <c r="F42" s="25">
        <v>1835249</v>
      </c>
      <c r="G42" s="11" t="str">
        <f ca="1">IFERROR(__xludf.DUMMYFUNCTION("IFERROR(VLOOKUP(F17,IMPORTRANGE(""https://docs.google.com/spreadsheets/d/1Kvs4KS76FHFqLFIZfrDMff4kP08nblUkihrxltoGBjg/edit#gid=934712705"",""ESENCIAL!A6:BG""),3,FALSE))"),"TÉCNICO")</f>
        <v>TÉCNICO</v>
      </c>
      <c r="H42" s="11" t="str">
        <f ca="1">IFERROR(__xludf.DUMMYFUNCTION("IFERROR(VLOOKUP(F17,IMPORTRANGE(""https://docs.google.com/spreadsheets/d/1Kvs4KS76FHFqLFIZfrDMff4kP08nblUkihrxltoGBjg/edit#gid=934712705"",""ESENCIAL!A6:BG""),8,FALSE))"),"PRODUCCIÓN DE CAFÉS ESPECIALES")</f>
        <v>PRODUCCIÓN DE CAFÉS ESPECIALES</v>
      </c>
      <c r="I42" s="25"/>
      <c r="J42" s="25"/>
      <c r="K42" s="25"/>
      <c r="L42" s="285" t="s">
        <v>44</v>
      </c>
      <c r="M42" s="25"/>
      <c r="N42" s="25"/>
      <c r="O42" s="25"/>
      <c r="P42" s="25"/>
      <c r="Q42" s="25"/>
      <c r="R42" s="27"/>
      <c r="S42" s="27"/>
      <c r="T42" s="25"/>
      <c r="U42" s="28"/>
      <c r="V42" s="28"/>
      <c r="W42" s="28"/>
      <c r="X42" s="28"/>
      <c r="Y42" s="30"/>
      <c r="Z42" s="28"/>
      <c r="AA42" s="28"/>
      <c r="AB42" s="28"/>
      <c r="AC42" s="28"/>
      <c r="AD42" s="28"/>
      <c r="AE42" s="28"/>
      <c r="AF42" s="28"/>
      <c r="AG42" s="28"/>
      <c r="AH42" s="28"/>
      <c r="AI42" s="28"/>
      <c r="AJ42" s="28"/>
      <c r="AK42" s="28"/>
      <c r="AL42" s="28"/>
      <c r="AM42" s="28"/>
      <c r="AN42" s="28"/>
      <c r="AO42" s="28"/>
      <c r="AP42" s="28"/>
      <c r="AQ42" s="28"/>
      <c r="AR42" s="28"/>
      <c r="AS42" s="28"/>
      <c r="AT42" s="28"/>
      <c r="AU42" s="19" t="str">
        <f t="shared" ca="1" si="4"/>
        <v>NO_CUMPLE</v>
      </c>
      <c r="AV42" s="11" t="str">
        <f ca="1">IFERROR(__xludf.DUMMYFUNCTION("IFERROR(VLOOKUP(E17&amp;F17,IMPORTRANGE(""https://docs.google.com/spreadsheets/d/1Uw7-A9f9R21vMXxHZFNpYNeKFtG8_yji4HS352LGlSQ/edit?pli=1#gid=0"",""1_ACUM!A4:S""),11,FALSE))"),"EN FORMACION")</f>
        <v>EN FORMACION</v>
      </c>
      <c r="AW42" s="20" t="str">
        <f ca="1">IFERROR(__xludf.DUMMYFUNCTION("IFERROR(VLOOKUP(F17,IMPORTRANGE(""https://docs.google.com/spreadsheets/d/1Kvs4KS76FHFqLFIZfrDMff4kP08nblUkihrxltoGBjg/edit#gid=934712705"",""ESENCIAL!A6:BG""),15,FALSE))"),"AGROPECUARIO")</f>
        <v>AGROPECUARIO</v>
      </c>
      <c r="AX42" s="21">
        <f ca="1">IFERROR(__xludf.DUMMYFUNCTION("IFERROR(VLOOKUP(E17&amp;F17,IMPORTRANGE(""https://docs.google.com/spreadsheets/d/1Uw7-A9f9R21vMXxHZFNpYNeKFtG8_yji4HS352LGlSQ/edit?pli=1#gid=0"",""1_ACUM!A4:S""),12,FALSE))"),44848)</f>
        <v>44848</v>
      </c>
      <c r="AY42" s="22">
        <f ca="1">IFERROR(__xludf.DUMMYFUNCTION("IFERROR(VLOOKUP(E17&amp;F17,IMPORTRANGE(""https://docs.google.com/spreadsheets/d/1Uw7-A9f9R21vMXxHZFNpYNeKFtG8_yji4HS352LGlSQ/edit?pli=1#gid=0"",""1_ACUM!A4:S""),13,FALSE))"),1)</f>
        <v>1</v>
      </c>
      <c r="AZ42" s="22">
        <f ca="1">IFERROR(__xludf.DUMMYFUNCTION("IFERROR(VLOOKUP(E17&amp;F17,IMPORTRANGE(""https://docs.google.com/spreadsheets/d/1Uw7-A9f9R21vMXxHZFNpYNeKFtG8_yji4HS352LGlSQ/edit?pli=1#gid=0"",""1_ACUM!A4:S""),14,FALSE))"),1)</f>
        <v>1</v>
      </c>
      <c r="BA42" s="22">
        <f ca="1">IFERROR(__xludf.DUMMYFUNCTION("IFERROR(VLOOKUP(E17&amp;F17,IMPORTRANGE(""https://docs.google.com/spreadsheets/d/1Uw7-A9f9R21vMXxHZFNpYNeKFtG8_yji4HS352LGlSQ/edit?pli=1#gid=0"",""1_ACUM!A4:S""),15,FALSE))"),2)</f>
        <v>2</v>
      </c>
      <c r="BB42" s="22">
        <f ca="1">IFERROR(__xludf.DUMMYFUNCTION("IFERROR(VLOOKUP(E17&amp;F17,IMPORTRANGE(""https://docs.google.com/spreadsheets/d/1Uw7-A9f9R21vMXxHZFNpYNeKFtG8_yji4HS352LGlSQ/edit?pli=1#gid=0"",""1_ACUM!A4:S""),16,FALSE))"),0)</f>
        <v>0</v>
      </c>
      <c r="BC42" s="22">
        <f ca="1">IFERROR(__xludf.DUMMYFUNCTION("IFERROR(VLOOKUP(E17&amp;F17,IMPORTRANGE(""https://docs.google.com/spreadsheets/d/1Uw7-A9f9R21vMXxHZFNpYNeKFtG8_yji4HS352LGlSQ/edit?pli=1#gid=0"",""1_ACUM!A4:S""),17,FALSE))"),4)</f>
        <v>4</v>
      </c>
      <c r="BD42" s="23">
        <f ca="1">IFERROR(__xludf.DUMMYFUNCTION("IFERROR(VLOOKUP(E17&amp;F17,IMPORTRANGE(""https://docs.google.com/spreadsheets/d/1Uw7-A9f9R21vMXxHZFNpYNeKFtG8_yji4HS352LGlSQ/edit?pli=1#gid=0"",""1_ACUM!A4:S""),18,FALSE))"),43577)</f>
        <v>43577</v>
      </c>
      <c r="BE42" s="23">
        <f ca="1">IFERROR(__xludf.DUMMYFUNCTION("IFERROR(VLOOKUP(E17&amp;F17,IMPORTRANGE(""https://docs.google.com/spreadsheets/d/1Uw7-A9f9R21vMXxHZFNpYNeKFtG8_yji4HS352LGlSQ/edit?pli=1#gid=0"",""1_ACUM!A4:S""),19,FALSE))"),43760)</f>
        <v>43760</v>
      </c>
      <c r="BF42" s="23">
        <f ca="1">IFERROR(__xludf.DUMMYFUNCTION("IFERROR(VLOOKUP(F17,IMPORTRANGE(""https://docs.google.com/spreadsheets/d/1Kvs4KS76FHFqLFIZfrDMff4kP08nblUkihrxltoGBjg/edit#gid=934712705"",""ESENCIAL!A6:BG""),5,FALSE))"),43943)</f>
        <v>43943</v>
      </c>
      <c r="BG42" s="23">
        <f t="shared" ca="1" si="5"/>
        <v>44491</v>
      </c>
      <c r="BH42" s="19" t="str">
        <f t="shared" ca="1" si="6"/>
        <v>FINALIZAR FICHA</v>
      </c>
      <c r="BI42" s="19" t="str">
        <f ca="1">IFERROR(__xludf.DUMMYFUNCTION("IFERROR(VLOOKUP(F17,IMPORTRANGE(""https://docs.google.com/spreadsheets/d/1Kvs4KS76FHFqLFIZfrDMff4kP08nblUkihrxltoGBjg/edit#gid=934712705"",""ESENCIAL!A6:BG""),18,FALSE))"),"Terminada por Fecha     ")</f>
        <v xml:space="preserve">Terminada por Fecha     </v>
      </c>
      <c r="BJ42" s="19" t="str">
        <f t="shared" si="7"/>
        <v>Yamboro</v>
      </c>
      <c r="BK42" s="291"/>
      <c r="BL42" s="19"/>
    </row>
    <row r="43" spans="1:64" ht="16.5" hidden="1" customHeight="1">
      <c r="A43" s="290"/>
      <c r="B43" s="145" t="s">
        <v>25</v>
      </c>
      <c r="C43" s="56" t="s">
        <v>1280</v>
      </c>
      <c r="D43" s="57" t="s">
        <v>27</v>
      </c>
      <c r="E43" s="57">
        <v>1051589619</v>
      </c>
      <c r="F43" s="25">
        <v>1835249</v>
      </c>
      <c r="G43" s="11" t="str">
        <f ca="1">IFERROR(__xludf.DUMMYFUNCTION("IFERROR(VLOOKUP(F18,IMPORTRANGE(""https://docs.google.com/spreadsheets/d/1Kvs4KS76FHFqLFIZfrDMff4kP08nblUkihrxltoGBjg/edit#gid=934712705"",""ESENCIAL!A6:BG""),3,FALSE))"),"TÉCNICO")</f>
        <v>TÉCNICO</v>
      </c>
      <c r="H43" s="11" t="str">
        <f ca="1">IFERROR(__xludf.DUMMYFUNCTION("IFERROR(VLOOKUP(F18,IMPORTRANGE(""https://docs.google.com/spreadsheets/d/1Kvs4KS76FHFqLFIZfrDMff4kP08nblUkihrxltoGBjg/edit#gid=934712705"",""ESENCIAL!A6:BG""),8,FALSE))"),"PRODUCCIÓN DE CAFÉS ESPECIALES")</f>
        <v>PRODUCCIÓN DE CAFÉS ESPECIALES</v>
      </c>
      <c r="I43" s="25"/>
      <c r="J43" s="25"/>
      <c r="K43" s="25"/>
      <c r="L43" s="285" t="s">
        <v>44</v>
      </c>
      <c r="M43" s="25"/>
      <c r="N43" s="25"/>
      <c r="O43" s="25"/>
      <c r="P43" s="25"/>
      <c r="Q43" s="25"/>
      <c r="R43" s="27"/>
      <c r="S43" s="27"/>
      <c r="T43" s="25"/>
      <c r="U43" s="28"/>
      <c r="V43" s="28"/>
      <c r="W43" s="28"/>
      <c r="X43" s="28"/>
      <c r="Y43" s="30"/>
      <c r="Z43" s="28"/>
      <c r="AA43" s="28"/>
      <c r="AB43" s="28"/>
      <c r="AC43" s="28"/>
      <c r="AD43" s="28"/>
      <c r="AE43" s="28"/>
      <c r="AF43" s="28"/>
      <c r="AG43" s="28"/>
      <c r="AH43" s="28"/>
      <c r="AI43" s="28"/>
      <c r="AJ43" s="28"/>
      <c r="AK43" s="28"/>
      <c r="AL43" s="28"/>
      <c r="AM43" s="28"/>
      <c r="AN43" s="28"/>
      <c r="AO43" s="28"/>
      <c r="AP43" s="28"/>
      <c r="AQ43" s="28"/>
      <c r="AR43" s="28"/>
      <c r="AS43" s="28"/>
      <c r="AT43" s="28"/>
      <c r="AU43" s="19" t="str">
        <f t="shared" ca="1" si="4"/>
        <v>Procede_E_P</v>
      </c>
      <c r="AV43" s="11" t="str">
        <f ca="1">IFERROR(__xludf.DUMMYFUNCTION("IFERROR(VLOOKUP(E18&amp;F18,IMPORTRANGE(""https://docs.google.com/spreadsheets/d/1Uw7-A9f9R21vMXxHZFNpYNeKFtG8_yji4HS352LGlSQ/edit?pli=1#gid=0"",""1_ACUM!A4:S""),11,FALSE))"),"EN FORMACION")</f>
        <v>EN FORMACION</v>
      </c>
      <c r="AW43" s="20" t="str">
        <f ca="1">IFERROR(__xludf.DUMMYFUNCTION("IFERROR(VLOOKUP(F18,IMPORTRANGE(""https://docs.google.com/spreadsheets/d/1Kvs4KS76FHFqLFIZfrDMff4kP08nblUkihrxltoGBjg/edit#gid=934712705"",""ESENCIAL!A6:BG""),15,FALSE))"),"AGROPECUARIO")</f>
        <v>AGROPECUARIO</v>
      </c>
      <c r="AX43" s="21">
        <f ca="1">IFERROR(__xludf.DUMMYFUNCTION("IFERROR(VLOOKUP(E18&amp;F18,IMPORTRANGE(""https://docs.google.com/spreadsheets/d/1Uw7-A9f9R21vMXxHZFNpYNeKFtG8_yji4HS352LGlSQ/edit?pli=1#gid=0"",""1_ACUM!A4:S""),12,FALSE))"),44848)</f>
        <v>44848</v>
      </c>
      <c r="AY43" s="22">
        <f ca="1">IFERROR(__xludf.DUMMYFUNCTION("IFERROR(VLOOKUP(E18&amp;F18,IMPORTRANGE(""https://docs.google.com/spreadsheets/d/1Uw7-A9f9R21vMXxHZFNpYNeKFtG8_yji4HS352LGlSQ/edit?pli=1#gid=0"",""1_ACUM!A4:S""),13,FALSE))"),0)</f>
        <v>0</v>
      </c>
      <c r="AZ43" s="22">
        <f ca="1">IFERROR(__xludf.DUMMYFUNCTION("IFERROR(VLOOKUP(E18&amp;F18,IMPORTRANGE(""https://docs.google.com/spreadsheets/d/1Uw7-A9f9R21vMXxHZFNpYNeKFtG8_yji4HS352LGlSQ/edit?pli=1#gid=0"",""1_ACUM!A4:S""),14,FALSE))"),1)</f>
        <v>1</v>
      </c>
      <c r="BA43" s="22">
        <f ca="1">IFERROR(__xludf.DUMMYFUNCTION("IFERROR(VLOOKUP(E18&amp;F18,IMPORTRANGE(""https://docs.google.com/spreadsheets/d/1Uw7-A9f9R21vMXxHZFNpYNeKFtG8_yji4HS352LGlSQ/edit?pli=1#gid=0"",""1_ACUM!A4:S""),15,FALSE))"),0)</f>
        <v>0</v>
      </c>
      <c r="BB43" s="22">
        <f ca="1">IFERROR(__xludf.DUMMYFUNCTION("IFERROR(VLOOKUP(E18&amp;F18,IMPORTRANGE(""https://docs.google.com/spreadsheets/d/1Uw7-A9f9R21vMXxHZFNpYNeKFtG8_yji4HS352LGlSQ/edit?pli=1#gid=0"",""1_ACUM!A4:S""),16,FALSE))"),0)</f>
        <v>0</v>
      </c>
      <c r="BC43" s="22">
        <f ca="1">IFERROR(__xludf.DUMMYFUNCTION("IFERROR(VLOOKUP(E18&amp;F18,IMPORTRANGE(""https://docs.google.com/spreadsheets/d/1Uw7-A9f9R21vMXxHZFNpYNeKFtG8_yji4HS352LGlSQ/edit?pli=1#gid=0"",""1_ACUM!A4:S""),17,FALSE))"),1)</f>
        <v>1</v>
      </c>
      <c r="BD43" s="23">
        <f ca="1">IFERROR(__xludf.DUMMYFUNCTION("IFERROR(VLOOKUP(E18&amp;F18,IMPORTRANGE(""https://docs.google.com/spreadsheets/d/1Uw7-A9f9R21vMXxHZFNpYNeKFtG8_yji4HS352LGlSQ/edit?pli=1#gid=0"",""1_ACUM!A4:S""),18,FALSE))"),43577)</f>
        <v>43577</v>
      </c>
      <c r="BE43" s="23">
        <f ca="1">IFERROR(__xludf.DUMMYFUNCTION("IFERROR(VLOOKUP(E18&amp;F18,IMPORTRANGE(""https://docs.google.com/spreadsheets/d/1Uw7-A9f9R21vMXxHZFNpYNeKFtG8_yji4HS352LGlSQ/edit?pli=1#gid=0"",""1_ACUM!A4:S""),19,FALSE))"),43760)</f>
        <v>43760</v>
      </c>
      <c r="BF43" s="23">
        <f ca="1">IFERROR(__xludf.DUMMYFUNCTION("IFERROR(VLOOKUP(F18,IMPORTRANGE(""https://docs.google.com/spreadsheets/d/1Kvs4KS76FHFqLFIZfrDMff4kP08nblUkihrxltoGBjg/edit#gid=934712705"",""ESENCIAL!A6:BG""),5,FALSE))"),43943)</f>
        <v>43943</v>
      </c>
      <c r="BG43" s="23">
        <f t="shared" ca="1" si="5"/>
        <v>44491</v>
      </c>
      <c r="BH43" s="19" t="str">
        <f t="shared" ca="1" si="6"/>
        <v>FINALIZAR FICHA</v>
      </c>
      <c r="BI43" s="19" t="str">
        <f ca="1">IFERROR(__xludf.DUMMYFUNCTION("IFERROR(VLOOKUP(F18,IMPORTRANGE(""https://docs.google.com/spreadsheets/d/1Kvs4KS76FHFqLFIZfrDMff4kP08nblUkihrxltoGBjg/edit#gid=934712705"",""ESENCIAL!A6:BG""),18,FALSE))"),"Terminada por Fecha     ")</f>
        <v xml:space="preserve">Terminada por Fecha     </v>
      </c>
      <c r="BJ43" s="19" t="str">
        <f t="shared" si="7"/>
        <v>Yamboro</v>
      </c>
      <c r="BK43" s="291"/>
      <c r="BL43" s="19"/>
    </row>
    <row r="44" spans="1:64" ht="18.75" hidden="1" customHeight="1">
      <c r="A44" s="290"/>
      <c r="B44" s="145" t="s">
        <v>25</v>
      </c>
      <c r="C44" s="56" t="s">
        <v>1281</v>
      </c>
      <c r="D44" s="57" t="s">
        <v>27</v>
      </c>
      <c r="E44" s="56">
        <v>1079534017</v>
      </c>
      <c r="F44" s="25">
        <v>1835249</v>
      </c>
      <c r="G44" s="11" t="str">
        <f ca="1">IFERROR(__xludf.DUMMYFUNCTION("IFERROR(VLOOKUP(F19,IMPORTRANGE(""https://docs.google.com/spreadsheets/d/1Kvs4KS76FHFqLFIZfrDMff4kP08nblUkihrxltoGBjg/edit#gid=934712705"",""ESENCIAL!A6:BG""),3,FALSE))"),"TÉCNICO")</f>
        <v>TÉCNICO</v>
      </c>
      <c r="H44" s="11" t="str">
        <f ca="1">IFERROR(__xludf.DUMMYFUNCTION("IFERROR(VLOOKUP(F19,IMPORTRANGE(""https://docs.google.com/spreadsheets/d/1Kvs4KS76FHFqLFIZfrDMff4kP08nblUkihrxltoGBjg/edit#gid=934712705"",""ESENCIAL!A6:BG""),8,FALSE))"),"PRODUCCIÓN DE CAFÉS ESPECIALES")</f>
        <v>PRODUCCIÓN DE CAFÉS ESPECIALES</v>
      </c>
      <c r="I44" s="25"/>
      <c r="J44" s="25"/>
      <c r="K44" s="25"/>
      <c r="L44" s="285" t="s">
        <v>44</v>
      </c>
      <c r="M44" s="25"/>
      <c r="N44" s="25"/>
      <c r="O44" s="25"/>
      <c r="P44" s="25"/>
      <c r="Q44" s="25"/>
      <c r="R44" s="27"/>
      <c r="S44" s="27"/>
      <c r="T44" s="25"/>
      <c r="U44" s="28"/>
      <c r="V44" s="28"/>
      <c r="W44" s="28"/>
      <c r="X44" s="28"/>
      <c r="Y44" s="30"/>
      <c r="Z44" s="28"/>
      <c r="AA44" s="28"/>
      <c r="AB44" s="28"/>
      <c r="AC44" s="28"/>
      <c r="AD44" s="28"/>
      <c r="AE44" s="28"/>
      <c r="AF44" s="28"/>
      <c r="AG44" s="28"/>
      <c r="AH44" s="28"/>
      <c r="AI44" s="28"/>
      <c r="AJ44" s="28"/>
      <c r="AK44" s="28"/>
      <c r="AL44" s="28"/>
      <c r="AM44" s="28"/>
      <c r="AN44" s="28"/>
      <c r="AO44" s="28"/>
      <c r="AP44" s="28"/>
      <c r="AQ44" s="28"/>
      <c r="AR44" s="28"/>
      <c r="AS44" s="28"/>
      <c r="AT44" s="28"/>
      <c r="AU44" s="19" t="str">
        <f t="shared" ca="1" si="4"/>
        <v>NO_CUMPLE</v>
      </c>
      <c r="AV44" s="11" t="str">
        <f ca="1">IFERROR(__xludf.DUMMYFUNCTION("IFERROR(VLOOKUP(E19&amp;F19,IMPORTRANGE(""https://docs.google.com/spreadsheets/d/1Uw7-A9f9R21vMXxHZFNpYNeKFtG8_yji4HS352LGlSQ/edit?pli=1#gid=0"",""1_ACUM!A4:S""),11,FALSE))"),"EN FORMACION")</f>
        <v>EN FORMACION</v>
      </c>
      <c r="AW44" s="20" t="str">
        <f ca="1">IFERROR(__xludf.DUMMYFUNCTION("IFERROR(VLOOKUP(F19,IMPORTRANGE(""https://docs.google.com/spreadsheets/d/1Kvs4KS76FHFqLFIZfrDMff4kP08nblUkihrxltoGBjg/edit#gid=934712705"",""ESENCIAL!A6:BG""),15,FALSE))"),"AGROPECUARIO")</f>
        <v>AGROPECUARIO</v>
      </c>
      <c r="AX44" s="21">
        <f ca="1">IFERROR(__xludf.DUMMYFUNCTION("IFERROR(VLOOKUP(E19&amp;F19,IMPORTRANGE(""https://docs.google.com/spreadsheets/d/1Uw7-A9f9R21vMXxHZFNpYNeKFtG8_yji4HS352LGlSQ/edit?pli=1#gid=0"",""1_ACUM!A4:S""),12,FALSE))"),44848)</f>
        <v>44848</v>
      </c>
      <c r="AY44" s="22">
        <f ca="1">IFERROR(__xludf.DUMMYFUNCTION("IFERROR(VLOOKUP(E19&amp;F19,IMPORTRANGE(""https://docs.google.com/spreadsheets/d/1Uw7-A9f9R21vMXxHZFNpYNeKFtG8_yji4HS352LGlSQ/edit?pli=1#gid=0"",""1_ACUM!A4:S""),13,FALSE))"),2)</f>
        <v>2</v>
      </c>
      <c r="AZ44" s="22">
        <f ca="1">IFERROR(__xludf.DUMMYFUNCTION("IFERROR(VLOOKUP(E19&amp;F19,IMPORTRANGE(""https://docs.google.com/spreadsheets/d/1Uw7-A9f9R21vMXxHZFNpYNeKFtG8_yji4HS352LGlSQ/edit?pli=1#gid=0"",""1_ACUM!A4:S""),14,FALSE))"),1)</f>
        <v>1</v>
      </c>
      <c r="BA44" s="22">
        <f ca="1">IFERROR(__xludf.DUMMYFUNCTION("IFERROR(VLOOKUP(E19&amp;F19,IMPORTRANGE(""https://docs.google.com/spreadsheets/d/1Uw7-A9f9R21vMXxHZFNpYNeKFtG8_yji4HS352LGlSQ/edit?pli=1#gid=0"",""1_ACUM!A4:S""),15,FALSE))"),2)</f>
        <v>2</v>
      </c>
      <c r="BB44" s="22">
        <f ca="1">IFERROR(__xludf.DUMMYFUNCTION("IFERROR(VLOOKUP(E19&amp;F19,IMPORTRANGE(""https://docs.google.com/spreadsheets/d/1Uw7-A9f9R21vMXxHZFNpYNeKFtG8_yji4HS352LGlSQ/edit?pli=1#gid=0"",""1_ACUM!A4:S""),16,FALSE))"),0)</f>
        <v>0</v>
      </c>
      <c r="BC44" s="22">
        <f ca="1">IFERROR(__xludf.DUMMYFUNCTION("IFERROR(VLOOKUP(E19&amp;F19,IMPORTRANGE(""https://docs.google.com/spreadsheets/d/1Uw7-A9f9R21vMXxHZFNpYNeKFtG8_yji4HS352LGlSQ/edit?pli=1#gid=0"",""1_ACUM!A4:S""),17,FALSE))"),5)</f>
        <v>5</v>
      </c>
      <c r="BD44" s="23">
        <f ca="1">IFERROR(__xludf.DUMMYFUNCTION("IFERROR(VLOOKUP(E19&amp;F19,IMPORTRANGE(""https://docs.google.com/spreadsheets/d/1Uw7-A9f9R21vMXxHZFNpYNeKFtG8_yji4HS352LGlSQ/edit?pli=1#gid=0"",""1_ACUM!A4:S""),18,FALSE))"),43577)</f>
        <v>43577</v>
      </c>
      <c r="BE44" s="23">
        <f ca="1">IFERROR(__xludf.DUMMYFUNCTION("IFERROR(VLOOKUP(E19&amp;F19,IMPORTRANGE(""https://docs.google.com/spreadsheets/d/1Uw7-A9f9R21vMXxHZFNpYNeKFtG8_yji4HS352LGlSQ/edit?pli=1#gid=0"",""1_ACUM!A4:S""),19,FALSE))"),43760)</f>
        <v>43760</v>
      </c>
      <c r="BF44" s="23">
        <f ca="1">IFERROR(__xludf.DUMMYFUNCTION("IFERROR(VLOOKUP(F19,IMPORTRANGE(""https://docs.google.com/spreadsheets/d/1Kvs4KS76FHFqLFIZfrDMff4kP08nblUkihrxltoGBjg/edit#gid=934712705"",""ESENCIAL!A6:BG""),5,FALSE))"),43943)</f>
        <v>43943</v>
      </c>
      <c r="BG44" s="23">
        <f t="shared" ca="1" si="5"/>
        <v>44491</v>
      </c>
      <c r="BH44" s="19" t="str">
        <f t="shared" ca="1" si="6"/>
        <v>FINALIZAR FICHA</v>
      </c>
      <c r="BI44" s="19" t="str">
        <f ca="1">IFERROR(__xludf.DUMMYFUNCTION("IFERROR(VLOOKUP(F19,IMPORTRANGE(""https://docs.google.com/spreadsheets/d/1Kvs4KS76FHFqLFIZfrDMff4kP08nblUkihrxltoGBjg/edit#gid=934712705"",""ESENCIAL!A6:BG""),18,FALSE))"),"Terminada por Fecha     ")</f>
        <v xml:space="preserve">Terminada por Fecha     </v>
      </c>
      <c r="BJ44" s="19" t="str">
        <f t="shared" si="7"/>
        <v>Yamboro</v>
      </c>
      <c r="BK44" s="291"/>
      <c r="BL44" s="19"/>
    </row>
    <row r="45" spans="1:64" ht="15" hidden="1" customHeight="1">
      <c r="A45" s="290"/>
      <c r="B45" s="145" t="s">
        <v>25</v>
      </c>
      <c r="C45" s="56" t="s">
        <v>1282</v>
      </c>
      <c r="D45" s="57" t="s">
        <v>27</v>
      </c>
      <c r="E45" s="57">
        <v>1083918706</v>
      </c>
      <c r="F45" s="25">
        <v>1835249</v>
      </c>
      <c r="G45" s="11" t="str">
        <f ca="1">IFERROR(__xludf.DUMMYFUNCTION("IFERROR(VLOOKUP(F20,IMPORTRANGE(""https://docs.google.com/spreadsheets/d/1Kvs4KS76FHFqLFIZfrDMff4kP08nblUkihrxltoGBjg/edit#gid=934712705"",""ESENCIAL!A6:BG""),3,FALSE))"),"TÉCNICO")</f>
        <v>TÉCNICO</v>
      </c>
      <c r="H45" s="11" t="str">
        <f ca="1">IFERROR(__xludf.DUMMYFUNCTION("IFERROR(VLOOKUP(F20,IMPORTRANGE(""https://docs.google.com/spreadsheets/d/1Kvs4KS76FHFqLFIZfrDMff4kP08nblUkihrxltoGBjg/edit#gid=934712705"",""ESENCIAL!A6:BG""),8,FALSE))"),"PRODUCCIÓN DE CAFÉS ESPECIALES")</f>
        <v>PRODUCCIÓN DE CAFÉS ESPECIALES</v>
      </c>
      <c r="I45" s="25"/>
      <c r="J45" s="25"/>
      <c r="K45" s="25"/>
      <c r="L45" s="285" t="s">
        <v>44</v>
      </c>
      <c r="M45" s="25"/>
      <c r="N45" s="25"/>
      <c r="O45" s="25"/>
      <c r="P45" s="25"/>
      <c r="Q45" s="25"/>
      <c r="R45" s="27"/>
      <c r="S45" s="27"/>
      <c r="T45" s="25"/>
      <c r="U45" s="28"/>
      <c r="V45" s="28"/>
      <c r="W45" s="28"/>
      <c r="X45" s="28"/>
      <c r="Y45" s="30"/>
      <c r="Z45" s="28"/>
      <c r="AA45" s="28"/>
      <c r="AB45" s="28"/>
      <c r="AC45" s="28"/>
      <c r="AD45" s="28"/>
      <c r="AE45" s="28"/>
      <c r="AF45" s="28"/>
      <c r="AG45" s="28"/>
      <c r="AH45" s="28"/>
      <c r="AI45" s="28"/>
      <c r="AJ45" s="28"/>
      <c r="AK45" s="28"/>
      <c r="AL45" s="28"/>
      <c r="AM45" s="28"/>
      <c r="AN45" s="28"/>
      <c r="AO45" s="28"/>
      <c r="AP45" s="28"/>
      <c r="AQ45" s="28"/>
      <c r="AR45" s="28"/>
      <c r="AS45" s="28"/>
      <c r="AT45" s="28"/>
      <c r="AU45" s="19" t="str">
        <f t="shared" ca="1" si="4"/>
        <v>Procede_E_P</v>
      </c>
      <c r="AV45" s="11" t="str">
        <f ca="1">IFERROR(__xludf.DUMMYFUNCTION("IFERROR(VLOOKUP(E20&amp;F20,IMPORTRANGE(""https://docs.google.com/spreadsheets/d/1Uw7-A9f9R21vMXxHZFNpYNeKFtG8_yji4HS352LGlSQ/edit?pli=1#gid=0"",""1_ACUM!A4:S""),11,FALSE))"),"EN FORMACION")</f>
        <v>EN FORMACION</v>
      </c>
      <c r="AW45" s="20" t="str">
        <f ca="1">IFERROR(__xludf.DUMMYFUNCTION("IFERROR(VLOOKUP(F20,IMPORTRANGE(""https://docs.google.com/spreadsheets/d/1Kvs4KS76FHFqLFIZfrDMff4kP08nblUkihrxltoGBjg/edit#gid=934712705"",""ESENCIAL!A6:BG""),15,FALSE))"),"AGROPECUARIO")</f>
        <v>AGROPECUARIO</v>
      </c>
      <c r="AX45" s="21">
        <f ca="1">IFERROR(__xludf.DUMMYFUNCTION("IFERROR(VLOOKUP(E20&amp;F20,IMPORTRANGE(""https://docs.google.com/spreadsheets/d/1Uw7-A9f9R21vMXxHZFNpYNeKFtG8_yji4HS352LGlSQ/edit?pli=1#gid=0"",""1_ACUM!A4:S""),12,FALSE))"),44848)</f>
        <v>44848</v>
      </c>
      <c r="AY45" s="22">
        <f ca="1">IFERROR(__xludf.DUMMYFUNCTION("IFERROR(VLOOKUP(E20&amp;F20,IMPORTRANGE(""https://docs.google.com/spreadsheets/d/1Uw7-A9f9R21vMXxHZFNpYNeKFtG8_yji4HS352LGlSQ/edit?pli=1#gid=0"",""1_ACUM!A4:S""),13,FALSE))"),0)</f>
        <v>0</v>
      </c>
      <c r="AZ45" s="22">
        <f ca="1">IFERROR(__xludf.DUMMYFUNCTION("IFERROR(VLOOKUP(E20&amp;F20,IMPORTRANGE(""https://docs.google.com/spreadsheets/d/1Uw7-A9f9R21vMXxHZFNpYNeKFtG8_yji4HS352LGlSQ/edit?pli=1#gid=0"",""1_ACUM!A4:S""),14,FALSE))"),1)</f>
        <v>1</v>
      </c>
      <c r="BA45" s="22">
        <f ca="1">IFERROR(__xludf.DUMMYFUNCTION("IFERROR(VLOOKUP(E20&amp;F20,IMPORTRANGE(""https://docs.google.com/spreadsheets/d/1Uw7-A9f9R21vMXxHZFNpYNeKFtG8_yji4HS352LGlSQ/edit?pli=1#gid=0"",""1_ACUM!A4:S""),15,FALSE))"),0)</f>
        <v>0</v>
      </c>
      <c r="BB45" s="22">
        <f ca="1">IFERROR(__xludf.DUMMYFUNCTION("IFERROR(VLOOKUP(E20&amp;F20,IMPORTRANGE(""https://docs.google.com/spreadsheets/d/1Uw7-A9f9R21vMXxHZFNpYNeKFtG8_yji4HS352LGlSQ/edit?pli=1#gid=0"",""1_ACUM!A4:S""),16,FALSE))"),0)</f>
        <v>0</v>
      </c>
      <c r="BC45" s="22">
        <f ca="1">IFERROR(__xludf.DUMMYFUNCTION("IFERROR(VLOOKUP(E20&amp;F20,IMPORTRANGE(""https://docs.google.com/spreadsheets/d/1Uw7-A9f9R21vMXxHZFNpYNeKFtG8_yji4HS352LGlSQ/edit?pli=1#gid=0"",""1_ACUM!A4:S""),17,FALSE))"),1)</f>
        <v>1</v>
      </c>
      <c r="BD45" s="23">
        <f ca="1">IFERROR(__xludf.DUMMYFUNCTION("IFERROR(VLOOKUP(E20&amp;F20,IMPORTRANGE(""https://docs.google.com/spreadsheets/d/1Uw7-A9f9R21vMXxHZFNpYNeKFtG8_yji4HS352LGlSQ/edit?pli=1#gid=0"",""1_ACUM!A4:S""),18,FALSE))"),43577)</f>
        <v>43577</v>
      </c>
      <c r="BE45" s="23">
        <f ca="1">IFERROR(__xludf.DUMMYFUNCTION("IFERROR(VLOOKUP(E20&amp;F20,IMPORTRANGE(""https://docs.google.com/spreadsheets/d/1Uw7-A9f9R21vMXxHZFNpYNeKFtG8_yji4HS352LGlSQ/edit?pli=1#gid=0"",""1_ACUM!A4:S""),19,FALSE))"),43760)</f>
        <v>43760</v>
      </c>
      <c r="BF45" s="23">
        <f ca="1">IFERROR(__xludf.DUMMYFUNCTION("IFERROR(VLOOKUP(F20,IMPORTRANGE(""https://docs.google.com/spreadsheets/d/1Kvs4KS76FHFqLFIZfrDMff4kP08nblUkihrxltoGBjg/edit#gid=934712705"",""ESENCIAL!A6:BG""),5,FALSE))"),43943)</f>
        <v>43943</v>
      </c>
      <c r="BG45" s="23">
        <f t="shared" ca="1" si="5"/>
        <v>44491</v>
      </c>
      <c r="BH45" s="19" t="str">
        <f t="shared" ca="1" si="6"/>
        <v>FINALIZAR FICHA</v>
      </c>
      <c r="BI45" s="19" t="str">
        <f ca="1">IFERROR(__xludf.DUMMYFUNCTION("IFERROR(VLOOKUP(F20,IMPORTRANGE(""https://docs.google.com/spreadsheets/d/1Kvs4KS76FHFqLFIZfrDMff4kP08nblUkihrxltoGBjg/edit#gid=934712705"",""ESENCIAL!A6:BG""),18,FALSE))"),"Terminada por Fecha     ")</f>
        <v xml:space="preserve">Terminada por Fecha     </v>
      </c>
      <c r="BJ45" s="19" t="str">
        <f t="shared" si="7"/>
        <v>Yamboro</v>
      </c>
      <c r="BK45" s="291"/>
      <c r="BL45" s="19"/>
    </row>
    <row r="46" spans="1:64" s="180" customFormat="1" ht="17.25" hidden="1" customHeight="1">
      <c r="A46" s="290"/>
      <c r="B46" s="145" t="s">
        <v>25</v>
      </c>
      <c r="C46" s="25" t="s">
        <v>1283</v>
      </c>
      <c r="D46" s="25" t="s">
        <v>67</v>
      </c>
      <c r="E46" s="25">
        <v>1004302169</v>
      </c>
      <c r="F46" s="25">
        <v>1880729</v>
      </c>
      <c r="G46" s="11" t="str">
        <f ca="1">IFERROR(__xludf.DUMMYFUNCTION("IFERROR(VLOOKUP(F21,IMPORTRANGE(""https://docs.google.com/spreadsheets/d/1Kvs4KS76FHFqLFIZfrDMff4kP08nblUkihrxltoGBjg/edit#gid=934712705"",""ESENCIAL!A6:BG""),3,FALSE))"),"TÉCNICO")</f>
        <v>TÉCNICO</v>
      </c>
      <c r="H46" s="11" t="str">
        <f ca="1">IFERROR(__xludf.DUMMYFUNCTION("IFERROR(VLOOKUP(F21,IMPORTRANGE(""https://docs.google.com/spreadsheets/d/1Kvs4KS76FHFqLFIZfrDMff4kP08nblUkihrxltoGBjg/edit#gid=934712705"",""ESENCIAL!A6:BG""),8,FALSE))"),"SERVICIOS DE BARISMO")</f>
        <v>SERVICIOS DE BARISMO</v>
      </c>
      <c r="I46" s="25">
        <v>3208513665</v>
      </c>
      <c r="J46" s="25" t="s">
        <v>1284</v>
      </c>
      <c r="K46" s="25" t="s">
        <v>84</v>
      </c>
      <c r="L46" s="285" t="s">
        <v>44</v>
      </c>
      <c r="M46" s="25"/>
      <c r="N46" s="25"/>
      <c r="O46" s="25"/>
      <c r="P46" s="25"/>
      <c r="Q46" s="25"/>
      <c r="R46" s="27"/>
      <c r="S46" s="27"/>
      <c r="T46" s="25"/>
      <c r="U46" s="28"/>
      <c r="V46" s="28"/>
      <c r="W46" s="28"/>
      <c r="X46" s="28"/>
      <c r="Y46" s="30"/>
      <c r="Z46" s="28"/>
      <c r="AA46" s="28"/>
      <c r="AB46" s="28"/>
      <c r="AC46" s="28"/>
      <c r="AD46" s="28"/>
      <c r="AE46" s="28"/>
      <c r="AF46" s="28"/>
      <c r="AG46" s="28"/>
      <c r="AH46" s="28"/>
      <c r="AI46" s="28"/>
      <c r="AJ46" s="28"/>
      <c r="AK46" s="28"/>
      <c r="AL46" s="28"/>
      <c r="AM46" s="28"/>
      <c r="AN46" s="28"/>
      <c r="AO46" s="28"/>
      <c r="AP46" s="28"/>
      <c r="AQ46" s="28"/>
      <c r="AR46" s="28"/>
      <c r="AS46" s="28"/>
      <c r="AT46" s="28"/>
      <c r="AU46" s="19" t="str">
        <f t="shared" ca="1" si="4"/>
        <v>NO_CUMPLE</v>
      </c>
      <c r="AV46" s="11" t="str">
        <f ca="1">IFERROR(__xludf.DUMMYFUNCTION("IFERROR(VLOOKUP(E21&amp;F21,IMPORTRANGE(""https://docs.google.com/spreadsheets/d/1Uw7-A9f9R21vMXxHZFNpYNeKFtG8_yji4HS352LGlSQ/edit?pli=1#gid=0"",""1_ACUM!A4:S""),11,FALSE))"),"EN FORMACION")</f>
        <v>EN FORMACION</v>
      </c>
      <c r="AW46" s="20" t="str">
        <f ca="1">IFERROR(__xludf.DUMMYFUNCTION("IFERROR(VLOOKUP(F21,IMPORTRANGE(""https://docs.google.com/spreadsheets/d/1Kvs4KS76FHFqLFIZfrDMff4kP08nblUkihrxltoGBjg/edit#gid=934712705"",""ESENCIAL!A6:BG""),15,FALSE))"),"TURISMO")</f>
        <v>TURISMO</v>
      </c>
      <c r="AX46" s="21">
        <f ca="1">IFERROR(__xludf.DUMMYFUNCTION("IFERROR(VLOOKUP(E21&amp;F21,IMPORTRANGE(""https://docs.google.com/spreadsheets/d/1Uw7-A9f9R21vMXxHZFNpYNeKFtG8_yji4HS352LGlSQ/edit?pli=1#gid=0"",""1_ACUM!A4:S""),12,FALSE))"),44848)</f>
        <v>44848</v>
      </c>
      <c r="AY46" s="22">
        <f ca="1">IFERROR(__xludf.DUMMYFUNCTION("IFERROR(VLOOKUP(E21&amp;F21,IMPORTRANGE(""https://docs.google.com/spreadsheets/d/1Uw7-A9f9R21vMXxHZFNpYNeKFtG8_yji4HS352LGlSQ/edit?pli=1#gid=0"",""1_ACUM!A4:S""),13,FALSE))"),0)</f>
        <v>0</v>
      </c>
      <c r="AZ46" s="22">
        <f ca="1">IFERROR(__xludf.DUMMYFUNCTION("IFERROR(VLOOKUP(E21&amp;F21,IMPORTRANGE(""https://docs.google.com/spreadsheets/d/1Uw7-A9f9R21vMXxHZFNpYNeKFtG8_yji4HS352LGlSQ/edit?pli=1#gid=0"",""1_ACUM!A4:S""),14,FALSE))"),1)</f>
        <v>1</v>
      </c>
      <c r="BA46" s="22">
        <f ca="1">IFERROR(__xludf.DUMMYFUNCTION("IFERROR(VLOOKUP(E21&amp;F21,IMPORTRANGE(""https://docs.google.com/spreadsheets/d/1Uw7-A9f9R21vMXxHZFNpYNeKFtG8_yji4HS352LGlSQ/edit?pli=1#gid=0"",""1_ACUM!A4:S""),15,FALSE))"),6)</f>
        <v>6</v>
      </c>
      <c r="BB46" s="22">
        <f ca="1">IFERROR(__xludf.DUMMYFUNCTION("IFERROR(VLOOKUP(E21&amp;F21,IMPORTRANGE(""https://docs.google.com/spreadsheets/d/1Uw7-A9f9R21vMXxHZFNpYNeKFtG8_yji4HS352LGlSQ/edit?pli=1#gid=0"",""1_ACUM!A4:S""),16,FALSE))"),0)</f>
        <v>0</v>
      </c>
      <c r="BC46" s="22">
        <f ca="1">IFERROR(__xludf.DUMMYFUNCTION("IFERROR(VLOOKUP(E21&amp;F21,IMPORTRANGE(""https://docs.google.com/spreadsheets/d/1Uw7-A9f9R21vMXxHZFNpYNeKFtG8_yji4HS352LGlSQ/edit?pli=1#gid=0"",""1_ACUM!A4:S""),17,FALSE))"),7)</f>
        <v>7</v>
      </c>
      <c r="BD46" s="23">
        <f ca="1">IFERROR(__xludf.DUMMYFUNCTION("IFERROR(VLOOKUP(E21&amp;F21,IMPORTRANGE(""https://docs.google.com/spreadsheets/d/1Uw7-A9f9R21vMXxHZFNpYNeKFtG8_yji4HS352LGlSQ/edit?pli=1#gid=0"",""1_ACUM!A4:S""),18,FALSE))"),43577)</f>
        <v>43577</v>
      </c>
      <c r="BE46" s="23">
        <f ca="1">IFERROR(__xludf.DUMMYFUNCTION("IFERROR(VLOOKUP(E21&amp;F21,IMPORTRANGE(""https://docs.google.com/spreadsheets/d/1Uw7-A9f9R21vMXxHZFNpYNeKFtG8_yji4HS352LGlSQ/edit?pli=1#gid=0"",""1_ACUM!A4:S""),19,FALSE))"),43852)</f>
        <v>43852</v>
      </c>
      <c r="BF46" s="23">
        <f ca="1">IFERROR(__xludf.DUMMYFUNCTION("IFERROR(VLOOKUP(F21,IMPORTRANGE(""https://docs.google.com/spreadsheets/d/1Kvs4KS76FHFqLFIZfrDMff4kP08nblUkihrxltoGBjg/edit#gid=934712705"",""ESENCIAL!A6:BG""),5,FALSE))"),44034)</f>
        <v>44034</v>
      </c>
      <c r="BG46" s="23">
        <f t="shared" ca="1" si="5"/>
        <v>44583</v>
      </c>
      <c r="BH46" s="19" t="str">
        <f t="shared" ca="1" si="6"/>
        <v>FINALIZAR FICHA</v>
      </c>
      <c r="BI46" s="19" t="str">
        <f ca="1">IFERROR(__xludf.DUMMYFUNCTION("IFERROR(VLOOKUP(F21,IMPORTRANGE(""https://docs.google.com/spreadsheets/d/1Kvs4KS76FHFqLFIZfrDMff4kP08nblUkihrxltoGBjg/edit#gid=934712705"",""ESENCIAL!A6:BG""),18,FALSE))"),"Terminada por Fecha     ")</f>
        <v xml:space="preserve">Terminada por Fecha     </v>
      </c>
      <c r="BJ46" s="19" t="str">
        <f t="shared" si="7"/>
        <v>Yamboro</v>
      </c>
      <c r="BK46" s="295"/>
      <c r="BL46" s="173"/>
    </row>
    <row r="47" spans="1:64" ht="17.25" hidden="1" customHeight="1">
      <c r="A47" s="290"/>
      <c r="B47" s="145" t="s">
        <v>25</v>
      </c>
      <c r="C47" s="25" t="s">
        <v>1285</v>
      </c>
      <c r="D47" s="25" t="s">
        <v>27</v>
      </c>
      <c r="E47" s="25">
        <v>1007194026</v>
      </c>
      <c r="F47" s="25">
        <v>1880729</v>
      </c>
      <c r="G47" s="11" t="str">
        <f ca="1">IFERROR(__xludf.DUMMYFUNCTION("IFERROR(VLOOKUP(F22,IMPORTRANGE(""https://docs.google.com/spreadsheets/d/1Kvs4KS76FHFqLFIZfrDMff4kP08nblUkihrxltoGBjg/edit#gid=934712705"",""ESENCIAL!A6:BG""),3,FALSE))"),"TÉCNICO")</f>
        <v>TÉCNICO</v>
      </c>
      <c r="H47" s="11" t="str">
        <f ca="1">IFERROR(__xludf.DUMMYFUNCTION("IFERROR(VLOOKUP(F22,IMPORTRANGE(""https://docs.google.com/spreadsheets/d/1Kvs4KS76FHFqLFIZfrDMff4kP08nblUkihrxltoGBjg/edit#gid=934712705"",""ESENCIAL!A6:BG""),8,FALSE))"),"SERVICIOS DE BARISMO")</f>
        <v>SERVICIOS DE BARISMO</v>
      </c>
      <c r="I47" s="25">
        <v>3214623021</v>
      </c>
      <c r="J47" s="25" t="s">
        <v>1286</v>
      </c>
      <c r="K47" s="25" t="s">
        <v>84</v>
      </c>
      <c r="L47" s="285" t="s">
        <v>44</v>
      </c>
      <c r="M47" s="25"/>
      <c r="N47" s="25"/>
      <c r="O47" s="25"/>
      <c r="P47" s="25"/>
      <c r="Q47" s="25"/>
      <c r="R47" s="27"/>
      <c r="S47" s="27"/>
      <c r="T47" s="25"/>
      <c r="U47" s="28"/>
      <c r="V47" s="28"/>
      <c r="W47" s="28"/>
      <c r="X47" s="28"/>
      <c r="Y47" s="30"/>
      <c r="Z47" s="28"/>
      <c r="AA47" s="28"/>
      <c r="AB47" s="28"/>
      <c r="AC47" s="28"/>
      <c r="AD47" s="28"/>
      <c r="AE47" s="28"/>
      <c r="AF47" s="28"/>
      <c r="AG47" s="28"/>
      <c r="AH47" s="28"/>
      <c r="AI47" s="28"/>
      <c r="AJ47" s="28"/>
      <c r="AK47" s="28"/>
      <c r="AL47" s="28"/>
      <c r="AM47" s="28"/>
      <c r="AN47" s="28"/>
      <c r="AO47" s="28"/>
      <c r="AP47" s="28"/>
      <c r="AQ47" s="28"/>
      <c r="AR47" s="28"/>
      <c r="AS47" s="28"/>
      <c r="AT47" s="28"/>
      <c r="AU47" s="19" t="str">
        <f t="shared" ca="1" si="4"/>
        <v>Procede_E_P</v>
      </c>
      <c r="AV47" s="11" t="str">
        <f ca="1">IFERROR(__xludf.DUMMYFUNCTION("IFERROR(VLOOKUP(E22&amp;F22,IMPORTRANGE(""https://docs.google.com/spreadsheets/d/1Uw7-A9f9R21vMXxHZFNpYNeKFtG8_yji4HS352LGlSQ/edit?pli=1#gid=0"",""1_ACUM!A4:S""),11,FALSE))"),"EN FORMACION")</f>
        <v>EN FORMACION</v>
      </c>
      <c r="AW47" s="20" t="str">
        <f ca="1">IFERROR(__xludf.DUMMYFUNCTION("IFERROR(VLOOKUP(F22,IMPORTRANGE(""https://docs.google.com/spreadsheets/d/1Kvs4KS76FHFqLFIZfrDMff4kP08nblUkihrxltoGBjg/edit#gid=934712705"",""ESENCIAL!A6:BG""),15,FALSE))"),"TURISMO")</f>
        <v>TURISMO</v>
      </c>
      <c r="AX47" s="21">
        <f ca="1">IFERROR(__xludf.DUMMYFUNCTION("IFERROR(VLOOKUP(E22&amp;F22,IMPORTRANGE(""https://docs.google.com/spreadsheets/d/1Uw7-A9f9R21vMXxHZFNpYNeKFtG8_yji4HS352LGlSQ/edit?pli=1#gid=0"",""1_ACUM!A4:S""),12,FALSE))"),44848)</f>
        <v>44848</v>
      </c>
      <c r="AY47" s="22">
        <f ca="1">IFERROR(__xludf.DUMMYFUNCTION("IFERROR(VLOOKUP(E22&amp;F22,IMPORTRANGE(""https://docs.google.com/spreadsheets/d/1Uw7-A9f9R21vMXxHZFNpYNeKFtG8_yji4HS352LGlSQ/edit?pli=1#gid=0"",""1_ACUM!A4:S""),13,FALSE))"),0)</f>
        <v>0</v>
      </c>
      <c r="AZ47" s="22">
        <f ca="1">IFERROR(__xludf.DUMMYFUNCTION("IFERROR(VLOOKUP(E22&amp;F22,IMPORTRANGE(""https://docs.google.com/spreadsheets/d/1Uw7-A9f9R21vMXxHZFNpYNeKFtG8_yji4HS352LGlSQ/edit?pli=1#gid=0"",""1_ACUM!A4:S""),14,FALSE))"),1)</f>
        <v>1</v>
      </c>
      <c r="BA47" s="22">
        <f ca="1">IFERROR(__xludf.DUMMYFUNCTION("IFERROR(VLOOKUP(E22&amp;F22,IMPORTRANGE(""https://docs.google.com/spreadsheets/d/1Uw7-A9f9R21vMXxHZFNpYNeKFtG8_yji4HS352LGlSQ/edit?pli=1#gid=0"",""1_ACUM!A4:S""),15,FALSE))"),0)</f>
        <v>0</v>
      </c>
      <c r="BB47" s="22">
        <f ca="1">IFERROR(__xludf.DUMMYFUNCTION("IFERROR(VLOOKUP(E22&amp;F22,IMPORTRANGE(""https://docs.google.com/spreadsheets/d/1Uw7-A9f9R21vMXxHZFNpYNeKFtG8_yji4HS352LGlSQ/edit?pli=1#gid=0"",""1_ACUM!A4:S""),16,FALSE))"),0)</f>
        <v>0</v>
      </c>
      <c r="BC47" s="22">
        <f ca="1">IFERROR(__xludf.DUMMYFUNCTION("IFERROR(VLOOKUP(E22&amp;F22,IMPORTRANGE(""https://docs.google.com/spreadsheets/d/1Uw7-A9f9R21vMXxHZFNpYNeKFtG8_yji4HS352LGlSQ/edit?pli=1#gid=0"",""1_ACUM!A4:S""),17,FALSE))"),1)</f>
        <v>1</v>
      </c>
      <c r="BD47" s="23">
        <f ca="1">IFERROR(__xludf.DUMMYFUNCTION("IFERROR(VLOOKUP(E22&amp;F22,IMPORTRANGE(""https://docs.google.com/spreadsheets/d/1Uw7-A9f9R21vMXxHZFNpYNeKFtG8_yji4HS352LGlSQ/edit?pli=1#gid=0"",""1_ACUM!A4:S""),18,FALSE))"),43577)</f>
        <v>43577</v>
      </c>
      <c r="BE47" s="23">
        <f ca="1">IFERROR(__xludf.DUMMYFUNCTION("IFERROR(VLOOKUP(E22&amp;F22,IMPORTRANGE(""https://docs.google.com/spreadsheets/d/1Uw7-A9f9R21vMXxHZFNpYNeKFtG8_yji4HS352LGlSQ/edit?pli=1#gid=0"",""1_ACUM!A4:S""),19,FALSE))"),43852)</f>
        <v>43852</v>
      </c>
      <c r="BF47" s="23">
        <f ca="1">IFERROR(__xludf.DUMMYFUNCTION("IFERROR(VLOOKUP(F22,IMPORTRANGE(""https://docs.google.com/spreadsheets/d/1Kvs4KS76FHFqLFIZfrDMff4kP08nblUkihrxltoGBjg/edit#gid=934712705"",""ESENCIAL!A6:BG""),5,FALSE))"),44034)</f>
        <v>44034</v>
      </c>
      <c r="BG47" s="23">
        <f t="shared" ca="1" si="5"/>
        <v>44583</v>
      </c>
      <c r="BH47" s="19" t="str">
        <f t="shared" ca="1" si="6"/>
        <v>FINALIZAR FICHA</v>
      </c>
      <c r="BI47" s="19" t="str">
        <f ca="1">IFERROR(__xludf.DUMMYFUNCTION("IFERROR(VLOOKUP(F22,IMPORTRANGE(""https://docs.google.com/spreadsheets/d/1Kvs4KS76FHFqLFIZfrDMff4kP08nblUkihrxltoGBjg/edit#gid=934712705"",""ESENCIAL!A6:BG""),18,FALSE))"),"Terminada por Fecha     ")</f>
        <v xml:space="preserve">Terminada por Fecha     </v>
      </c>
      <c r="BJ47" s="19" t="str">
        <f t="shared" si="7"/>
        <v>Yamboro</v>
      </c>
      <c r="BK47" s="291"/>
      <c r="BL47" s="19"/>
    </row>
    <row r="48" spans="1:64" ht="18" hidden="1" customHeight="1">
      <c r="A48" s="290"/>
      <c r="B48" s="145" t="s">
        <v>25</v>
      </c>
      <c r="C48" s="25" t="s">
        <v>1287</v>
      </c>
      <c r="D48" s="25" t="s">
        <v>67</v>
      </c>
      <c r="E48" s="25">
        <v>1007337132</v>
      </c>
      <c r="F48" s="25">
        <v>1880729</v>
      </c>
      <c r="G48" s="11" t="str">
        <f ca="1">IFERROR(__xludf.DUMMYFUNCTION("IFERROR(VLOOKUP(F23,IMPORTRANGE(""https://docs.google.com/spreadsheets/d/1Kvs4KS76FHFqLFIZfrDMff4kP08nblUkihrxltoGBjg/edit#gid=934712705"",""ESENCIAL!A6:BG""),3,FALSE))"),"TÉCNICO")</f>
        <v>TÉCNICO</v>
      </c>
      <c r="H48" s="11" t="str">
        <f ca="1">IFERROR(__xludf.DUMMYFUNCTION("IFERROR(VLOOKUP(F23,IMPORTRANGE(""https://docs.google.com/spreadsheets/d/1Kvs4KS76FHFqLFIZfrDMff4kP08nblUkihrxltoGBjg/edit#gid=934712705"",""ESENCIAL!A6:BG""),8,FALSE))"),"SERVICIOS DE BARISMO")</f>
        <v>SERVICIOS DE BARISMO</v>
      </c>
      <c r="I48" s="25"/>
      <c r="J48" s="25" t="s">
        <v>1288</v>
      </c>
      <c r="K48" s="25"/>
      <c r="L48" s="285" t="s">
        <v>44</v>
      </c>
      <c r="M48" s="25"/>
      <c r="N48" s="25"/>
      <c r="O48" s="25"/>
      <c r="P48" s="25"/>
      <c r="Q48" s="25"/>
      <c r="R48" s="27"/>
      <c r="S48" s="27"/>
      <c r="T48" s="25"/>
      <c r="U48" s="28"/>
      <c r="V48" s="28"/>
      <c r="W48" s="28"/>
      <c r="X48" s="28"/>
      <c r="Y48" s="30"/>
      <c r="Z48" s="28"/>
      <c r="AA48" s="28"/>
      <c r="AB48" s="28"/>
      <c r="AC48" s="28"/>
      <c r="AD48" s="28"/>
      <c r="AE48" s="28"/>
      <c r="AF48" s="28"/>
      <c r="AG48" s="28"/>
      <c r="AH48" s="28"/>
      <c r="AI48" s="28"/>
      <c r="AJ48" s="28"/>
      <c r="AK48" s="28"/>
      <c r="AL48" s="28"/>
      <c r="AM48" s="28"/>
      <c r="AN48" s="28"/>
      <c r="AO48" s="28"/>
      <c r="AP48" s="28"/>
      <c r="AQ48" s="28"/>
      <c r="AR48" s="28"/>
      <c r="AS48" s="28"/>
      <c r="AT48" s="28"/>
      <c r="AU48" s="19" t="str">
        <f t="shared" ca="1" si="4"/>
        <v>NO_CUMPLE</v>
      </c>
      <c r="AV48" s="11" t="str">
        <f ca="1">IFERROR(__xludf.DUMMYFUNCTION("IFERROR(VLOOKUP(E23&amp;F23,IMPORTRANGE(""https://docs.google.com/spreadsheets/d/1Uw7-A9f9R21vMXxHZFNpYNeKFtG8_yji4HS352LGlSQ/edit?pli=1#gid=0"",""1_ACUM!A4:S""),11,FALSE))"),"EN FORMACION")</f>
        <v>EN FORMACION</v>
      </c>
      <c r="AW48" s="20" t="str">
        <f ca="1">IFERROR(__xludf.DUMMYFUNCTION("IFERROR(VLOOKUP(F23,IMPORTRANGE(""https://docs.google.com/spreadsheets/d/1Kvs4KS76FHFqLFIZfrDMff4kP08nblUkihrxltoGBjg/edit#gid=934712705"",""ESENCIAL!A6:BG""),15,FALSE))"),"TURISMO")</f>
        <v>TURISMO</v>
      </c>
      <c r="AX48" s="21">
        <f ca="1">IFERROR(__xludf.DUMMYFUNCTION("IFERROR(VLOOKUP(E23&amp;F23,IMPORTRANGE(""https://docs.google.com/spreadsheets/d/1Uw7-A9f9R21vMXxHZFNpYNeKFtG8_yji4HS352LGlSQ/edit?pli=1#gid=0"",""1_ACUM!A4:S""),12,FALSE))"),44848)</f>
        <v>44848</v>
      </c>
      <c r="AY48" s="22">
        <f ca="1">IFERROR(__xludf.DUMMYFUNCTION("IFERROR(VLOOKUP(E23&amp;F23,IMPORTRANGE(""https://docs.google.com/spreadsheets/d/1Uw7-A9f9R21vMXxHZFNpYNeKFtG8_yji4HS352LGlSQ/edit?pli=1#gid=0"",""1_ACUM!A4:S""),13,FALSE))"),4)</f>
        <v>4</v>
      </c>
      <c r="AZ48" s="22">
        <f ca="1">IFERROR(__xludf.DUMMYFUNCTION("IFERROR(VLOOKUP(E23&amp;F23,IMPORTRANGE(""https://docs.google.com/spreadsheets/d/1Uw7-A9f9R21vMXxHZFNpYNeKFtG8_yji4HS352LGlSQ/edit?pli=1#gid=0"",""1_ACUM!A4:S""),14,FALSE))"),1)</f>
        <v>1</v>
      </c>
      <c r="BA48" s="22">
        <f ca="1">IFERROR(__xludf.DUMMYFUNCTION("IFERROR(VLOOKUP(E23&amp;F23,IMPORTRANGE(""https://docs.google.com/spreadsheets/d/1Uw7-A9f9R21vMXxHZFNpYNeKFtG8_yji4HS352LGlSQ/edit?pli=1#gid=0"",""1_ACUM!A4:S""),15,FALSE))"),6)</f>
        <v>6</v>
      </c>
      <c r="BB48" s="22">
        <f ca="1">IFERROR(__xludf.DUMMYFUNCTION("IFERROR(VLOOKUP(E23&amp;F23,IMPORTRANGE(""https://docs.google.com/spreadsheets/d/1Uw7-A9f9R21vMXxHZFNpYNeKFtG8_yji4HS352LGlSQ/edit?pli=1#gid=0"",""1_ACUM!A4:S""),16,FALSE))"),1)</f>
        <v>1</v>
      </c>
      <c r="BC48" s="22">
        <f ca="1">IFERROR(__xludf.DUMMYFUNCTION("IFERROR(VLOOKUP(E23&amp;F23,IMPORTRANGE(""https://docs.google.com/spreadsheets/d/1Uw7-A9f9R21vMXxHZFNpYNeKFtG8_yji4HS352LGlSQ/edit?pli=1#gid=0"",""1_ACUM!A4:S""),17,FALSE))"),12)</f>
        <v>12</v>
      </c>
      <c r="BD48" s="23">
        <f ca="1">IFERROR(__xludf.DUMMYFUNCTION("IFERROR(VLOOKUP(E23&amp;F23,IMPORTRANGE(""https://docs.google.com/spreadsheets/d/1Uw7-A9f9R21vMXxHZFNpYNeKFtG8_yji4HS352LGlSQ/edit?pli=1#gid=0"",""1_ACUM!A4:S""),18,FALSE))"),43577)</f>
        <v>43577</v>
      </c>
      <c r="BE48" s="23">
        <f ca="1">IFERROR(__xludf.DUMMYFUNCTION("IFERROR(VLOOKUP(E23&amp;F23,IMPORTRANGE(""https://docs.google.com/spreadsheets/d/1Uw7-A9f9R21vMXxHZFNpYNeKFtG8_yji4HS352LGlSQ/edit?pli=1#gid=0"",""1_ACUM!A4:S""),19,FALSE))"),43852)</f>
        <v>43852</v>
      </c>
      <c r="BF48" s="23">
        <f ca="1">IFERROR(__xludf.DUMMYFUNCTION("IFERROR(VLOOKUP(F23,IMPORTRANGE(""https://docs.google.com/spreadsheets/d/1Kvs4KS76FHFqLFIZfrDMff4kP08nblUkihrxltoGBjg/edit#gid=934712705"",""ESENCIAL!A6:BG""),5,FALSE))"),44034)</f>
        <v>44034</v>
      </c>
      <c r="BG48" s="23">
        <f t="shared" ca="1" si="5"/>
        <v>44583</v>
      </c>
      <c r="BH48" s="19" t="str">
        <f t="shared" ca="1" si="6"/>
        <v>FINALIZAR FICHA</v>
      </c>
      <c r="BI48" s="19" t="str">
        <f ca="1">IFERROR(__xludf.DUMMYFUNCTION("IFERROR(VLOOKUP(F23,IMPORTRANGE(""https://docs.google.com/spreadsheets/d/1Kvs4KS76FHFqLFIZfrDMff4kP08nblUkihrxltoGBjg/edit#gid=934712705"",""ESENCIAL!A6:BG""),18,FALSE))"),"Terminada por Fecha     ")</f>
        <v xml:space="preserve">Terminada por Fecha     </v>
      </c>
      <c r="BJ48" s="19" t="str">
        <f t="shared" si="7"/>
        <v>Yamboro</v>
      </c>
      <c r="BK48" s="291"/>
      <c r="BL48" s="19"/>
    </row>
    <row r="49" spans="1:64" ht="18" hidden="1" customHeight="1">
      <c r="A49" s="290"/>
      <c r="B49" s="145" t="s">
        <v>25</v>
      </c>
      <c r="C49" s="25" t="s">
        <v>1289</v>
      </c>
      <c r="D49" s="25" t="s">
        <v>67</v>
      </c>
      <c r="E49" s="25">
        <v>1007462697</v>
      </c>
      <c r="F49" s="25">
        <v>1880729</v>
      </c>
      <c r="G49" s="11" t="str">
        <f ca="1">IFERROR(__xludf.DUMMYFUNCTION("IFERROR(VLOOKUP(F24,IMPORTRANGE(""https://docs.google.com/spreadsheets/d/1Kvs4KS76FHFqLFIZfrDMff4kP08nblUkihrxltoGBjg/edit#gid=934712705"",""ESENCIAL!A6:BG""),3,FALSE))"),"TÉCNICO")</f>
        <v>TÉCNICO</v>
      </c>
      <c r="H49" s="11" t="str">
        <f ca="1">IFERROR(__xludf.DUMMYFUNCTION("IFERROR(VLOOKUP(F24,IMPORTRANGE(""https://docs.google.com/spreadsheets/d/1Kvs4KS76FHFqLFIZfrDMff4kP08nblUkihrxltoGBjg/edit#gid=934712705"",""ESENCIAL!A6:BG""),8,FALSE))"),"SERVICIOS DE BARISMO")</f>
        <v>SERVICIOS DE BARISMO</v>
      </c>
      <c r="I49" s="25">
        <v>3203993522</v>
      </c>
      <c r="J49" s="25" t="s">
        <v>1290</v>
      </c>
      <c r="K49" s="25" t="s">
        <v>84</v>
      </c>
      <c r="L49" s="285" t="s">
        <v>44</v>
      </c>
      <c r="M49" s="25"/>
      <c r="N49" s="25"/>
      <c r="O49" s="25"/>
      <c r="P49" s="25"/>
      <c r="Q49" s="25"/>
      <c r="R49" s="27"/>
      <c r="S49" s="27"/>
      <c r="T49" s="25"/>
      <c r="U49" s="28"/>
      <c r="V49" s="28"/>
      <c r="W49" s="28"/>
      <c r="X49" s="28"/>
      <c r="Y49" s="30"/>
      <c r="Z49" s="28"/>
      <c r="AA49" s="28"/>
      <c r="AB49" s="28"/>
      <c r="AC49" s="28"/>
      <c r="AD49" s="28"/>
      <c r="AE49" s="28"/>
      <c r="AF49" s="28"/>
      <c r="AG49" s="28"/>
      <c r="AH49" s="28"/>
      <c r="AI49" s="28"/>
      <c r="AJ49" s="28"/>
      <c r="AK49" s="28"/>
      <c r="AL49" s="28"/>
      <c r="AM49" s="28"/>
      <c r="AN49" s="28"/>
      <c r="AO49" s="28"/>
      <c r="AP49" s="28"/>
      <c r="AQ49" s="28"/>
      <c r="AR49" s="28"/>
      <c r="AS49" s="28"/>
      <c r="AT49" s="28"/>
      <c r="AU49" s="19" t="str">
        <f t="shared" ca="1" si="4"/>
        <v>NO_CUMPLE</v>
      </c>
      <c r="AV49" s="11" t="str">
        <f ca="1">IFERROR(__xludf.DUMMYFUNCTION("IFERROR(VLOOKUP(E24&amp;F24,IMPORTRANGE(""https://docs.google.com/spreadsheets/d/1Uw7-A9f9R21vMXxHZFNpYNeKFtG8_yji4HS352LGlSQ/edit?pli=1#gid=0"",""1_ACUM!A4:S""),11,FALSE))"),"EN FORMACION")</f>
        <v>EN FORMACION</v>
      </c>
      <c r="AW49" s="20" t="str">
        <f ca="1">IFERROR(__xludf.DUMMYFUNCTION("IFERROR(VLOOKUP(F24,IMPORTRANGE(""https://docs.google.com/spreadsheets/d/1Kvs4KS76FHFqLFIZfrDMff4kP08nblUkihrxltoGBjg/edit#gid=934712705"",""ESENCIAL!A6:BG""),15,FALSE))"),"TURISMO")</f>
        <v>TURISMO</v>
      </c>
      <c r="AX49" s="21">
        <f ca="1">IFERROR(__xludf.DUMMYFUNCTION("IFERROR(VLOOKUP(E24&amp;F24,IMPORTRANGE(""https://docs.google.com/spreadsheets/d/1Uw7-A9f9R21vMXxHZFNpYNeKFtG8_yji4HS352LGlSQ/edit?pli=1#gid=0"",""1_ACUM!A4:S""),12,FALSE))"),44848)</f>
        <v>44848</v>
      </c>
      <c r="AY49" s="22">
        <f ca="1">IFERROR(__xludf.DUMMYFUNCTION("IFERROR(VLOOKUP(E24&amp;F24,IMPORTRANGE(""https://docs.google.com/spreadsheets/d/1Uw7-A9f9R21vMXxHZFNpYNeKFtG8_yji4HS352LGlSQ/edit?pli=1#gid=0"",""1_ACUM!A4:S""),13,FALSE))"),0)</f>
        <v>0</v>
      </c>
      <c r="AZ49" s="22">
        <f ca="1">IFERROR(__xludf.DUMMYFUNCTION("IFERROR(VLOOKUP(E24&amp;F24,IMPORTRANGE(""https://docs.google.com/spreadsheets/d/1Uw7-A9f9R21vMXxHZFNpYNeKFtG8_yji4HS352LGlSQ/edit?pli=1#gid=0"",""1_ACUM!A4:S""),14,FALSE))"),1)</f>
        <v>1</v>
      </c>
      <c r="BA49" s="22">
        <f ca="1">IFERROR(__xludf.DUMMYFUNCTION("IFERROR(VLOOKUP(E24&amp;F24,IMPORTRANGE(""https://docs.google.com/spreadsheets/d/1Uw7-A9f9R21vMXxHZFNpYNeKFtG8_yji4HS352LGlSQ/edit?pli=1#gid=0"",""1_ACUM!A4:S""),15,FALSE))"),6)</f>
        <v>6</v>
      </c>
      <c r="BB49" s="22">
        <f ca="1">IFERROR(__xludf.DUMMYFUNCTION("IFERROR(VLOOKUP(E24&amp;F24,IMPORTRANGE(""https://docs.google.com/spreadsheets/d/1Uw7-A9f9R21vMXxHZFNpYNeKFtG8_yji4HS352LGlSQ/edit?pli=1#gid=0"",""1_ACUM!A4:S""),16,FALSE))"),1)</f>
        <v>1</v>
      </c>
      <c r="BC49" s="22">
        <f ca="1">IFERROR(__xludf.DUMMYFUNCTION("IFERROR(VLOOKUP(E24&amp;F24,IMPORTRANGE(""https://docs.google.com/spreadsheets/d/1Uw7-A9f9R21vMXxHZFNpYNeKFtG8_yji4HS352LGlSQ/edit?pli=1#gid=0"",""1_ACUM!A4:S""),17,FALSE))"),8)</f>
        <v>8</v>
      </c>
      <c r="BD49" s="23">
        <f ca="1">IFERROR(__xludf.DUMMYFUNCTION("IFERROR(VLOOKUP(E24&amp;F24,IMPORTRANGE(""https://docs.google.com/spreadsheets/d/1Uw7-A9f9R21vMXxHZFNpYNeKFtG8_yji4HS352LGlSQ/edit?pli=1#gid=0"",""1_ACUM!A4:S""),18,FALSE))"),43577)</f>
        <v>43577</v>
      </c>
      <c r="BE49" s="23">
        <f ca="1">IFERROR(__xludf.DUMMYFUNCTION("IFERROR(VLOOKUP(E24&amp;F24,IMPORTRANGE(""https://docs.google.com/spreadsheets/d/1Uw7-A9f9R21vMXxHZFNpYNeKFtG8_yji4HS352LGlSQ/edit?pli=1#gid=0"",""1_ACUM!A4:S""),19,FALSE))"),43852)</f>
        <v>43852</v>
      </c>
      <c r="BF49" s="23">
        <f ca="1">IFERROR(__xludf.DUMMYFUNCTION("IFERROR(VLOOKUP(F24,IMPORTRANGE(""https://docs.google.com/spreadsheets/d/1Kvs4KS76FHFqLFIZfrDMff4kP08nblUkihrxltoGBjg/edit#gid=934712705"",""ESENCIAL!A6:BG""),5,FALSE))"),44034)</f>
        <v>44034</v>
      </c>
      <c r="BG49" s="23">
        <f t="shared" ca="1" si="5"/>
        <v>44583</v>
      </c>
      <c r="BH49" s="19" t="str">
        <f t="shared" ca="1" si="6"/>
        <v>FINALIZAR FICHA</v>
      </c>
      <c r="BI49" s="19" t="str">
        <f ca="1">IFERROR(__xludf.DUMMYFUNCTION("IFERROR(VLOOKUP(F24,IMPORTRANGE(""https://docs.google.com/spreadsheets/d/1Kvs4KS76FHFqLFIZfrDMff4kP08nblUkihrxltoGBjg/edit#gid=934712705"",""ESENCIAL!A6:BG""),18,FALSE))"),"Terminada por Fecha     ")</f>
        <v xml:space="preserve">Terminada por Fecha     </v>
      </c>
      <c r="BJ49" s="19" t="str">
        <f t="shared" si="7"/>
        <v>Yamboro</v>
      </c>
      <c r="BK49" s="291"/>
      <c r="BL49" s="19"/>
    </row>
    <row r="50" spans="1:64" ht="17.25" hidden="1" customHeight="1">
      <c r="A50" s="290"/>
      <c r="B50" s="145" t="s">
        <v>25</v>
      </c>
      <c r="C50" s="25" t="s">
        <v>1291</v>
      </c>
      <c r="D50" s="25" t="s">
        <v>27</v>
      </c>
      <c r="E50" s="25">
        <v>1083880300</v>
      </c>
      <c r="F50" s="25">
        <v>1880729</v>
      </c>
      <c r="G50" s="11" t="str">
        <f ca="1">IFERROR(__xludf.DUMMYFUNCTION("IFERROR(VLOOKUP(F25,IMPORTRANGE(""https://docs.google.com/spreadsheets/d/1Kvs4KS76FHFqLFIZfrDMff4kP08nblUkihrxltoGBjg/edit#gid=934712705"",""ESENCIAL!A6:BG""),3,FALSE))"),"TÉCNICO")</f>
        <v>TÉCNICO</v>
      </c>
      <c r="H50" s="11" t="str">
        <f ca="1">IFERROR(__xludf.DUMMYFUNCTION("IFERROR(VLOOKUP(F25,IMPORTRANGE(""https://docs.google.com/spreadsheets/d/1Kvs4KS76FHFqLFIZfrDMff4kP08nblUkihrxltoGBjg/edit#gid=934712705"",""ESENCIAL!A6:BG""),8,FALSE))"),"SERVICIOS DE BARISMO")</f>
        <v>SERVICIOS DE BARISMO</v>
      </c>
      <c r="I50" s="25"/>
      <c r="J50" s="25"/>
      <c r="K50" s="25"/>
      <c r="L50" s="285" t="s">
        <v>44</v>
      </c>
      <c r="M50" s="25"/>
      <c r="N50" s="25"/>
      <c r="O50" s="25"/>
      <c r="P50" s="25"/>
      <c r="Q50" s="25"/>
      <c r="R50" s="27"/>
      <c r="S50" s="27"/>
      <c r="T50" s="25"/>
      <c r="U50" s="28"/>
      <c r="V50" s="28"/>
      <c r="W50" s="28"/>
      <c r="X50" s="28"/>
      <c r="Y50" s="30"/>
      <c r="Z50" s="28"/>
      <c r="AA50" s="28"/>
      <c r="AB50" s="28"/>
      <c r="AC50" s="28"/>
      <c r="AD50" s="28"/>
      <c r="AE50" s="28"/>
      <c r="AF50" s="28"/>
      <c r="AG50" s="28"/>
      <c r="AH50" s="28"/>
      <c r="AI50" s="28"/>
      <c r="AJ50" s="28"/>
      <c r="AK50" s="28"/>
      <c r="AL50" s="28"/>
      <c r="AM50" s="28"/>
      <c r="AN50" s="28"/>
      <c r="AO50" s="28"/>
      <c r="AP50" s="28"/>
      <c r="AQ50" s="28"/>
      <c r="AR50" s="28"/>
      <c r="AS50" s="28"/>
      <c r="AT50" s="28"/>
      <c r="AU50" s="19" t="str">
        <f t="shared" ca="1" si="4"/>
        <v>NO_CUMPLE</v>
      </c>
      <c r="AV50" s="11" t="str">
        <f ca="1">IFERROR(__xludf.DUMMYFUNCTION("IFERROR(VLOOKUP(E25&amp;F25,IMPORTRANGE(""https://docs.google.com/spreadsheets/d/1Uw7-A9f9R21vMXxHZFNpYNeKFtG8_yji4HS352LGlSQ/edit?pli=1#gid=0"",""1_ACUM!A4:S""),11,FALSE))"),"EN FORMACION")</f>
        <v>EN FORMACION</v>
      </c>
      <c r="AW50" s="20" t="str">
        <f ca="1">IFERROR(__xludf.DUMMYFUNCTION("IFERROR(VLOOKUP(F25,IMPORTRANGE(""https://docs.google.com/spreadsheets/d/1Kvs4KS76FHFqLFIZfrDMff4kP08nblUkihrxltoGBjg/edit#gid=934712705"",""ESENCIAL!A6:BG""),15,FALSE))"),"TURISMO")</f>
        <v>TURISMO</v>
      </c>
      <c r="AX50" s="21">
        <f ca="1">IFERROR(__xludf.DUMMYFUNCTION("IFERROR(VLOOKUP(E25&amp;F25,IMPORTRANGE(""https://docs.google.com/spreadsheets/d/1Uw7-A9f9R21vMXxHZFNpYNeKFtG8_yji4HS352LGlSQ/edit?pli=1#gid=0"",""1_ACUM!A4:S""),12,FALSE))"),44848)</f>
        <v>44848</v>
      </c>
      <c r="AY50" s="22">
        <f ca="1">IFERROR(__xludf.DUMMYFUNCTION("IFERROR(VLOOKUP(E25&amp;F25,IMPORTRANGE(""https://docs.google.com/spreadsheets/d/1Uw7-A9f9R21vMXxHZFNpYNeKFtG8_yji4HS352LGlSQ/edit?pli=1#gid=0"",""1_ACUM!A4:S""),13,FALSE))"),19)</f>
        <v>19</v>
      </c>
      <c r="AZ50" s="22">
        <f ca="1">IFERROR(__xludf.DUMMYFUNCTION("IFERROR(VLOOKUP(E25&amp;F25,IMPORTRANGE(""https://docs.google.com/spreadsheets/d/1Uw7-A9f9R21vMXxHZFNpYNeKFtG8_yji4HS352LGlSQ/edit?pli=1#gid=0"",""1_ACUM!A4:S""),14,FALSE))"),1)</f>
        <v>1</v>
      </c>
      <c r="BA50" s="22">
        <f ca="1">IFERROR(__xludf.DUMMYFUNCTION("IFERROR(VLOOKUP(E25&amp;F25,IMPORTRANGE(""https://docs.google.com/spreadsheets/d/1Uw7-A9f9R21vMXxHZFNpYNeKFtG8_yji4HS352LGlSQ/edit?pli=1#gid=0"",""1_ACUM!A4:S""),15,FALSE))"),6)</f>
        <v>6</v>
      </c>
      <c r="BB50" s="22">
        <f ca="1">IFERROR(__xludf.DUMMYFUNCTION("IFERROR(VLOOKUP(E25&amp;F25,IMPORTRANGE(""https://docs.google.com/spreadsheets/d/1Uw7-A9f9R21vMXxHZFNpYNeKFtG8_yji4HS352LGlSQ/edit?pli=1#gid=0"",""1_ACUM!A4:S""),16,FALSE))"),7)</f>
        <v>7</v>
      </c>
      <c r="BC50" s="22">
        <f ca="1">IFERROR(__xludf.DUMMYFUNCTION("IFERROR(VLOOKUP(E25&amp;F25,IMPORTRANGE(""https://docs.google.com/spreadsheets/d/1Uw7-A9f9R21vMXxHZFNpYNeKFtG8_yji4HS352LGlSQ/edit?pli=1#gid=0"",""1_ACUM!A4:S""),17,FALSE))"),33)</f>
        <v>33</v>
      </c>
      <c r="BD50" s="23">
        <f ca="1">IFERROR(__xludf.DUMMYFUNCTION("IFERROR(VLOOKUP(E25&amp;F25,IMPORTRANGE(""https://docs.google.com/spreadsheets/d/1Uw7-A9f9R21vMXxHZFNpYNeKFtG8_yji4HS352LGlSQ/edit?pli=1#gid=0"",""1_ACUM!A4:S""),18,FALSE))"),43577)</f>
        <v>43577</v>
      </c>
      <c r="BE50" s="23">
        <f ca="1">IFERROR(__xludf.DUMMYFUNCTION("IFERROR(VLOOKUP(E25&amp;F25,IMPORTRANGE(""https://docs.google.com/spreadsheets/d/1Uw7-A9f9R21vMXxHZFNpYNeKFtG8_yji4HS352LGlSQ/edit?pli=1#gid=0"",""1_ACUM!A4:S""),19,FALSE))"),43852)</f>
        <v>43852</v>
      </c>
      <c r="BF50" s="23">
        <f ca="1">IFERROR(__xludf.DUMMYFUNCTION("IFERROR(VLOOKUP(F25,IMPORTRANGE(""https://docs.google.com/spreadsheets/d/1Kvs4KS76FHFqLFIZfrDMff4kP08nblUkihrxltoGBjg/edit#gid=934712705"",""ESENCIAL!A6:BG""),5,FALSE))"),44034)</f>
        <v>44034</v>
      </c>
      <c r="BG50" s="23">
        <f t="shared" ca="1" si="5"/>
        <v>44583</v>
      </c>
      <c r="BH50" s="19" t="str">
        <f t="shared" ca="1" si="6"/>
        <v>FINALIZAR FICHA</v>
      </c>
      <c r="BI50" s="19" t="str">
        <f ca="1">IFERROR(__xludf.DUMMYFUNCTION("IFERROR(VLOOKUP(F25,IMPORTRANGE(""https://docs.google.com/spreadsheets/d/1Kvs4KS76FHFqLFIZfrDMff4kP08nblUkihrxltoGBjg/edit#gid=934712705"",""ESENCIAL!A6:BG""),18,FALSE))"),"Terminada por Fecha     ")</f>
        <v xml:space="preserve">Terminada por Fecha     </v>
      </c>
      <c r="BJ50" s="19" t="str">
        <f t="shared" si="7"/>
        <v>Yamboro</v>
      </c>
      <c r="BK50" s="291"/>
      <c r="BL50" s="19"/>
    </row>
    <row r="51" spans="1:64" ht="18" hidden="1" customHeight="1">
      <c r="A51" s="290"/>
      <c r="B51" s="145" t="s">
        <v>25</v>
      </c>
      <c r="C51" s="25" t="s">
        <v>1292</v>
      </c>
      <c r="D51" s="25" t="s">
        <v>27</v>
      </c>
      <c r="E51" s="25">
        <v>1083907371</v>
      </c>
      <c r="F51" s="25">
        <v>1880729</v>
      </c>
      <c r="G51" s="11" t="str">
        <f ca="1">IFERROR(__xludf.DUMMYFUNCTION("IFERROR(VLOOKUP(F26,IMPORTRANGE(""https://docs.google.com/spreadsheets/d/1Kvs4KS76FHFqLFIZfrDMff4kP08nblUkihrxltoGBjg/edit#gid=934712705"",""ESENCIAL!A6:BG""),3,FALSE))"),"TÉCNICO")</f>
        <v>TÉCNICO</v>
      </c>
      <c r="H51" s="11" t="str">
        <f ca="1">IFERROR(__xludf.DUMMYFUNCTION("IFERROR(VLOOKUP(F26,IMPORTRANGE(""https://docs.google.com/spreadsheets/d/1Kvs4KS76FHFqLFIZfrDMff4kP08nblUkihrxltoGBjg/edit#gid=934712705"",""ESENCIAL!A6:BG""),8,FALSE))"),"SERVICIOS DE BARISMO")</f>
        <v>SERVICIOS DE BARISMO</v>
      </c>
      <c r="I51" s="25">
        <v>3118598845</v>
      </c>
      <c r="J51" s="25" t="s">
        <v>1293</v>
      </c>
      <c r="K51" s="25"/>
      <c r="L51" s="285" t="s">
        <v>44</v>
      </c>
      <c r="M51" s="25"/>
      <c r="N51" s="25"/>
      <c r="O51" s="25"/>
      <c r="P51" s="25"/>
      <c r="Q51" s="25"/>
      <c r="R51" s="27"/>
      <c r="S51" s="27"/>
      <c r="T51" s="25"/>
      <c r="U51" s="28"/>
      <c r="V51" s="28"/>
      <c r="W51" s="28"/>
      <c r="X51" s="28"/>
      <c r="Y51" s="30"/>
      <c r="Z51" s="28"/>
      <c r="AA51" s="28"/>
      <c r="AB51" s="28"/>
      <c r="AC51" s="28"/>
      <c r="AD51" s="28"/>
      <c r="AE51" s="28"/>
      <c r="AF51" s="28"/>
      <c r="AG51" s="28"/>
      <c r="AH51" s="28"/>
      <c r="AI51" s="28"/>
      <c r="AJ51" s="28"/>
      <c r="AK51" s="28"/>
      <c r="AL51" s="28"/>
      <c r="AM51" s="28"/>
      <c r="AN51" s="28"/>
      <c r="AO51" s="28"/>
      <c r="AP51" s="28"/>
      <c r="AQ51" s="28"/>
      <c r="AR51" s="28"/>
      <c r="AS51" s="28"/>
      <c r="AT51" s="28"/>
      <c r="AU51" s="19" t="str">
        <f t="shared" ca="1" si="4"/>
        <v>Procede_E_P</v>
      </c>
      <c r="AV51" s="11" t="str">
        <f ca="1">IFERROR(__xludf.DUMMYFUNCTION("IFERROR(VLOOKUP(E26&amp;F26,IMPORTRANGE(""https://docs.google.com/spreadsheets/d/1Uw7-A9f9R21vMXxHZFNpYNeKFtG8_yji4HS352LGlSQ/edit?pli=1#gid=0"",""1_ACUM!A4:S""),11,FALSE))"),"EN FORMACION")</f>
        <v>EN FORMACION</v>
      </c>
      <c r="AW51" s="20" t="str">
        <f ca="1">IFERROR(__xludf.DUMMYFUNCTION("IFERROR(VLOOKUP(F26,IMPORTRANGE(""https://docs.google.com/spreadsheets/d/1Kvs4KS76FHFqLFIZfrDMff4kP08nblUkihrxltoGBjg/edit#gid=934712705"",""ESENCIAL!A6:BG""),15,FALSE))"),"TURISMO")</f>
        <v>TURISMO</v>
      </c>
      <c r="AX51" s="21">
        <f ca="1">IFERROR(__xludf.DUMMYFUNCTION("IFERROR(VLOOKUP(E26&amp;F26,IMPORTRANGE(""https://docs.google.com/spreadsheets/d/1Uw7-A9f9R21vMXxHZFNpYNeKFtG8_yji4HS352LGlSQ/edit?pli=1#gid=0"",""1_ACUM!A4:S""),12,FALSE))"),44848)</f>
        <v>44848</v>
      </c>
      <c r="AY51" s="22">
        <f ca="1">IFERROR(__xludf.DUMMYFUNCTION("IFERROR(VLOOKUP(E26&amp;F26,IMPORTRANGE(""https://docs.google.com/spreadsheets/d/1Uw7-A9f9R21vMXxHZFNpYNeKFtG8_yji4HS352LGlSQ/edit?pli=1#gid=0"",""1_ACUM!A4:S""),13,FALSE))"),0)</f>
        <v>0</v>
      </c>
      <c r="AZ51" s="22">
        <f ca="1">IFERROR(__xludf.DUMMYFUNCTION("IFERROR(VLOOKUP(E26&amp;F26,IMPORTRANGE(""https://docs.google.com/spreadsheets/d/1Uw7-A9f9R21vMXxHZFNpYNeKFtG8_yji4HS352LGlSQ/edit?pli=1#gid=0"",""1_ACUM!A4:S""),14,FALSE))"),1)</f>
        <v>1</v>
      </c>
      <c r="BA51" s="22">
        <f ca="1">IFERROR(__xludf.DUMMYFUNCTION("IFERROR(VLOOKUP(E26&amp;F26,IMPORTRANGE(""https://docs.google.com/spreadsheets/d/1Uw7-A9f9R21vMXxHZFNpYNeKFtG8_yji4HS352LGlSQ/edit?pli=1#gid=0"",""1_ACUM!A4:S""),15,FALSE))"),0)</f>
        <v>0</v>
      </c>
      <c r="BB51" s="22">
        <f ca="1">IFERROR(__xludf.DUMMYFUNCTION("IFERROR(VLOOKUP(E26&amp;F26,IMPORTRANGE(""https://docs.google.com/spreadsheets/d/1Uw7-A9f9R21vMXxHZFNpYNeKFtG8_yji4HS352LGlSQ/edit?pli=1#gid=0"",""1_ACUM!A4:S""),16,FALSE))"),0)</f>
        <v>0</v>
      </c>
      <c r="BC51" s="22">
        <f ca="1">IFERROR(__xludf.DUMMYFUNCTION("IFERROR(VLOOKUP(E26&amp;F26,IMPORTRANGE(""https://docs.google.com/spreadsheets/d/1Uw7-A9f9R21vMXxHZFNpYNeKFtG8_yji4HS352LGlSQ/edit?pli=1#gid=0"",""1_ACUM!A4:S""),17,FALSE))"),1)</f>
        <v>1</v>
      </c>
      <c r="BD51" s="23">
        <f ca="1">IFERROR(__xludf.DUMMYFUNCTION("IFERROR(VLOOKUP(E26&amp;F26,IMPORTRANGE(""https://docs.google.com/spreadsheets/d/1Uw7-A9f9R21vMXxHZFNpYNeKFtG8_yji4HS352LGlSQ/edit?pli=1#gid=0"",""1_ACUM!A4:S""),18,FALSE))"),43577)</f>
        <v>43577</v>
      </c>
      <c r="BE51" s="23">
        <f ca="1">IFERROR(__xludf.DUMMYFUNCTION("IFERROR(VLOOKUP(E26&amp;F26,IMPORTRANGE(""https://docs.google.com/spreadsheets/d/1Uw7-A9f9R21vMXxHZFNpYNeKFtG8_yji4HS352LGlSQ/edit?pli=1#gid=0"",""1_ACUM!A4:S""),19,FALSE))"),43852)</f>
        <v>43852</v>
      </c>
      <c r="BF51" s="23">
        <f ca="1">IFERROR(__xludf.DUMMYFUNCTION("IFERROR(VLOOKUP(F26,IMPORTRANGE(""https://docs.google.com/spreadsheets/d/1Kvs4KS76FHFqLFIZfrDMff4kP08nblUkihrxltoGBjg/edit#gid=934712705"",""ESENCIAL!A6:BG""),5,FALSE))"),44034)</f>
        <v>44034</v>
      </c>
      <c r="BG51" s="23">
        <f t="shared" ca="1" si="5"/>
        <v>44583</v>
      </c>
      <c r="BH51" s="19" t="str">
        <f t="shared" ca="1" si="6"/>
        <v>FINALIZAR FICHA</v>
      </c>
      <c r="BI51" s="19" t="str">
        <f ca="1">IFERROR(__xludf.DUMMYFUNCTION("IFERROR(VLOOKUP(F26,IMPORTRANGE(""https://docs.google.com/spreadsheets/d/1Kvs4KS76FHFqLFIZfrDMff4kP08nblUkihrxltoGBjg/edit#gid=934712705"",""ESENCIAL!A6:BG""),18,FALSE))"),"Terminada por Fecha     ")</f>
        <v xml:space="preserve">Terminada por Fecha     </v>
      </c>
      <c r="BJ51" s="19" t="str">
        <f t="shared" si="7"/>
        <v>Yamboro</v>
      </c>
      <c r="BK51" s="291"/>
      <c r="BL51" s="19"/>
    </row>
    <row r="52" spans="1:64" ht="17.25" hidden="1" customHeight="1">
      <c r="A52" s="290"/>
      <c r="B52" s="145" t="s">
        <v>25</v>
      </c>
      <c r="C52" s="25" t="s">
        <v>1294</v>
      </c>
      <c r="D52" s="25" t="s">
        <v>27</v>
      </c>
      <c r="E52" s="25">
        <v>1083907498</v>
      </c>
      <c r="F52" s="25">
        <v>1880729</v>
      </c>
      <c r="G52" s="11" t="str">
        <f ca="1">IFERROR(__xludf.DUMMYFUNCTION("IFERROR(VLOOKUP(F26,IMPORTRANGE(""https://docs.google.com/spreadsheets/d/1Kvs4KS76FHFqLFIZfrDMff4kP08nblUkihrxltoGBjg/edit#gid=934712705"",""ESENCIAL!A6:BG""),3,FALSE))"),"TÉCNICO")</f>
        <v>TÉCNICO</v>
      </c>
      <c r="H52" s="11" t="str">
        <f ca="1">IFERROR(__xludf.DUMMYFUNCTION("IFERROR(VLOOKUP(F26,IMPORTRANGE(""https://docs.google.com/spreadsheets/d/1Kvs4KS76FHFqLFIZfrDMff4kP08nblUkihrxltoGBjg/edit#gid=934712705"",""ESENCIAL!A6:BG""),8,FALSE))"),"SERVICIOS DE BARISMO")</f>
        <v>SERVICIOS DE BARISMO</v>
      </c>
      <c r="I52" s="25"/>
      <c r="J52" s="25"/>
      <c r="K52" s="25"/>
      <c r="L52" s="285" t="s">
        <v>44</v>
      </c>
      <c r="M52" s="25"/>
      <c r="N52" s="25"/>
      <c r="O52" s="25"/>
      <c r="P52" s="25"/>
      <c r="Q52" s="25"/>
      <c r="R52" s="27"/>
      <c r="S52" s="27"/>
      <c r="T52" s="25"/>
      <c r="U52" s="28"/>
      <c r="V52" s="28"/>
      <c r="W52" s="28"/>
      <c r="X52" s="28"/>
      <c r="Y52" s="30"/>
      <c r="Z52" s="28"/>
      <c r="AA52" s="28"/>
      <c r="AB52" s="28"/>
      <c r="AC52" s="28"/>
      <c r="AD52" s="28"/>
      <c r="AE52" s="28"/>
      <c r="AF52" s="28"/>
      <c r="AG52" s="28"/>
      <c r="AH52" s="28"/>
      <c r="AI52" s="28"/>
      <c r="AJ52" s="28"/>
      <c r="AK52" s="28"/>
      <c r="AL52" s="28"/>
      <c r="AM52" s="28"/>
      <c r="AN52" s="28"/>
      <c r="AO52" s="28"/>
      <c r="AP52" s="28"/>
      <c r="AQ52" s="28"/>
      <c r="AR52" s="28"/>
      <c r="AS52" s="28"/>
      <c r="AT52" s="28"/>
      <c r="AU52" s="19"/>
      <c r="AV52" s="11"/>
      <c r="AW52" s="20"/>
      <c r="AX52" s="21"/>
      <c r="AY52" s="22"/>
      <c r="AZ52" s="22"/>
      <c r="BA52" s="22"/>
      <c r="BB52" s="22"/>
      <c r="BC52" s="22"/>
      <c r="BD52" s="23"/>
      <c r="BE52" s="23"/>
      <c r="BF52" s="23"/>
      <c r="BG52" s="23"/>
      <c r="BH52" s="19"/>
      <c r="BI52" s="19"/>
      <c r="BJ52" s="19"/>
      <c r="BK52" s="291"/>
      <c r="BL52" s="19"/>
    </row>
    <row r="53" spans="1:64" ht="17.25" hidden="1" customHeight="1">
      <c r="A53" s="290"/>
      <c r="B53" s="145" t="s">
        <v>25</v>
      </c>
      <c r="C53" s="25" t="s">
        <v>1295</v>
      </c>
      <c r="D53" s="25" t="s">
        <v>27</v>
      </c>
      <c r="E53" s="25">
        <v>1083921980</v>
      </c>
      <c r="F53" s="25">
        <v>1880729</v>
      </c>
      <c r="G53" s="11" t="str">
        <f ca="1">IFERROR(__xludf.DUMMYFUNCTION("IFERROR(VLOOKUP(F27,IMPORTRANGE(""https://docs.google.com/spreadsheets/d/1Kvs4KS76FHFqLFIZfrDMff4kP08nblUkihrxltoGBjg/edit#gid=934712705"",""ESENCIAL!A6:BG""),3,FALSE))"),"TÉCNICO")</f>
        <v>TÉCNICO</v>
      </c>
      <c r="H53" s="11" t="str">
        <f ca="1">IFERROR(__xludf.DUMMYFUNCTION("IFERROR(VLOOKUP(F27,IMPORTRANGE(""https://docs.google.com/spreadsheets/d/1Kvs4KS76FHFqLFIZfrDMff4kP08nblUkihrxltoGBjg/edit#gid=934712705"",""ESENCIAL!A6:BG""),8,FALSE))"),"SERVICIOS DE BARISMO")</f>
        <v>SERVICIOS DE BARISMO</v>
      </c>
      <c r="I53" s="25"/>
      <c r="J53" s="25" t="s">
        <v>1296</v>
      </c>
      <c r="K53" s="25"/>
      <c r="L53" s="285" t="s">
        <v>44</v>
      </c>
      <c r="M53" s="25"/>
      <c r="N53" s="25"/>
      <c r="O53" s="25"/>
      <c r="P53" s="25"/>
      <c r="Q53" s="25"/>
      <c r="R53" s="27"/>
      <c r="S53" s="27"/>
      <c r="T53" s="25"/>
      <c r="U53" s="28"/>
      <c r="V53" s="28"/>
      <c r="W53" s="28"/>
      <c r="X53" s="28"/>
      <c r="Y53" s="30"/>
      <c r="Z53" s="28"/>
      <c r="AA53" s="28"/>
      <c r="AB53" s="28"/>
      <c r="AC53" s="28"/>
      <c r="AD53" s="28"/>
      <c r="AE53" s="28"/>
      <c r="AF53" s="28"/>
      <c r="AG53" s="28"/>
      <c r="AH53" s="28"/>
      <c r="AI53" s="28"/>
      <c r="AJ53" s="28"/>
      <c r="AK53" s="28"/>
      <c r="AL53" s="28"/>
      <c r="AM53" s="28"/>
      <c r="AN53" s="28"/>
      <c r="AO53" s="28"/>
      <c r="AP53" s="28"/>
      <c r="AQ53" s="28"/>
      <c r="AR53" s="28"/>
      <c r="AS53" s="28"/>
      <c r="AT53" s="28"/>
      <c r="AU53" s="19" t="str">
        <f t="shared" ref="AU53:AU84" ca="1" si="8">IF(E53&gt;0,IF(AND(BC53=1,AZ53=1),"Procede_E_P","NO_CUMPLE"),"")</f>
        <v>NO_CUMPLE</v>
      </c>
      <c r="AV53" s="11" t="str">
        <f ca="1">IFERROR(__xludf.DUMMYFUNCTION("IFERROR(VLOOKUP(E27&amp;F27,IMPORTRANGE(""https://docs.google.com/spreadsheets/d/1Uw7-A9f9R21vMXxHZFNpYNeKFtG8_yji4HS352LGlSQ/edit?pli=1#gid=0"",""1_ACUM!A4:S""),11,FALSE))"),"EN FORMACION")</f>
        <v>EN FORMACION</v>
      </c>
      <c r="AW53" s="20" t="str">
        <f ca="1">IFERROR(__xludf.DUMMYFUNCTION("IFERROR(VLOOKUP(F27,IMPORTRANGE(""https://docs.google.com/spreadsheets/d/1Kvs4KS76FHFqLFIZfrDMff4kP08nblUkihrxltoGBjg/edit#gid=934712705"",""ESENCIAL!A6:BG""),15,FALSE))"),"TURISMO")</f>
        <v>TURISMO</v>
      </c>
      <c r="AX53" s="21">
        <f ca="1">IFERROR(__xludf.DUMMYFUNCTION("IFERROR(VLOOKUP(E27&amp;F27,IMPORTRANGE(""https://docs.google.com/spreadsheets/d/1Uw7-A9f9R21vMXxHZFNpYNeKFtG8_yji4HS352LGlSQ/edit?pli=1#gid=0"",""1_ACUM!A4:S""),12,FALSE))"),44848)</f>
        <v>44848</v>
      </c>
      <c r="AY53" s="22">
        <f ca="1">IFERROR(__xludf.DUMMYFUNCTION("IFERROR(VLOOKUP(E27&amp;F27,IMPORTRANGE(""https://docs.google.com/spreadsheets/d/1Uw7-A9f9R21vMXxHZFNpYNeKFtG8_yji4HS352LGlSQ/edit?pli=1#gid=0"",""1_ACUM!A4:S""),13,FALSE))"),0)</f>
        <v>0</v>
      </c>
      <c r="AZ53" s="22">
        <f ca="1">IFERROR(__xludf.DUMMYFUNCTION("IFERROR(VLOOKUP(E27&amp;F27,IMPORTRANGE(""https://docs.google.com/spreadsheets/d/1Uw7-A9f9R21vMXxHZFNpYNeKFtG8_yji4HS352LGlSQ/edit?pli=1#gid=0"",""1_ACUM!A4:S""),14,FALSE))"),1)</f>
        <v>1</v>
      </c>
      <c r="BA53" s="22">
        <f ca="1">IFERROR(__xludf.DUMMYFUNCTION("IFERROR(VLOOKUP(E27&amp;F27,IMPORTRANGE(""https://docs.google.com/spreadsheets/d/1Uw7-A9f9R21vMXxHZFNpYNeKFtG8_yji4HS352LGlSQ/edit?pli=1#gid=0"",""1_ACUM!A4:S""),15,FALSE))"),6)</f>
        <v>6</v>
      </c>
      <c r="BB53" s="22">
        <f ca="1">IFERROR(__xludf.DUMMYFUNCTION("IFERROR(VLOOKUP(E27&amp;F27,IMPORTRANGE(""https://docs.google.com/spreadsheets/d/1Uw7-A9f9R21vMXxHZFNpYNeKFtG8_yji4HS352LGlSQ/edit?pli=1#gid=0"",""1_ACUM!A4:S""),16,FALSE))"),1)</f>
        <v>1</v>
      </c>
      <c r="BC53" s="22">
        <f ca="1">IFERROR(__xludf.DUMMYFUNCTION("IFERROR(VLOOKUP(E27&amp;F27,IMPORTRANGE(""https://docs.google.com/spreadsheets/d/1Uw7-A9f9R21vMXxHZFNpYNeKFtG8_yji4HS352LGlSQ/edit?pli=1#gid=0"",""1_ACUM!A4:S""),17,FALSE))"),8)</f>
        <v>8</v>
      </c>
      <c r="BD53" s="23">
        <f ca="1">IFERROR(__xludf.DUMMYFUNCTION("IFERROR(VLOOKUP(E27&amp;F27,IMPORTRANGE(""https://docs.google.com/spreadsheets/d/1Uw7-A9f9R21vMXxHZFNpYNeKFtG8_yji4HS352LGlSQ/edit?pli=1#gid=0"",""1_ACUM!A4:S""),18,FALSE))"),43577)</f>
        <v>43577</v>
      </c>
      <c r="BE53" s="23">
        <f ca="1">IFERROR(__xludf.DUMMYFUNCTION("IFERROR(VLOOKUP(E27&amp;F27,IMPORTRANGE(""https://docs.google.com/spreadsheets/d/1Uw7-A9f9R21vMXxHZFNpYNeKFtG8_yji4HS352LGlSQ/edit?pli=1#gid=0"",""1_ACUM!A4:S""),19,FALSE))"),43852)</f>
        <v>43852</v>
      </c>
      <c r="BF53" s="23">
        <f ca="1">IFERROR(__xludf.DUMMYFUNCTION("IFERROR(VLOOKUP(F27,IMPORTRANGE(""https://docs.google.com/spreadsheets/d/1Kvs4KS76FHFqLFIZfrDMff4kP08nblUkihrxltoGBjg/edit#gid=934712705"",""ESENCIAL!A6:BG""),5,FALSE))"),44034)</f>
        <v>44034</v>
      </c>
      <c r="BG53" s="23">
        <f t="shared" ref="BG53:BG84" ca="1" si="9">IF(F53&gt;0,EDATE(BF53,18),"")</f>
        <v>44583</v>
      </c>
      <c r="BH53" s="19" t="str">
        <f t="shared" ref="BH53:BH84" ca="1" si="10">IF(F53&gt;0,IF(BG53&lt;$BH$1,"FINALIZAR FICHA","FICHA EN TIEMPO-18 MESES"),"")</f>
        <v>FINALIZAR FICHA</v>
      </c>
      <c r="BI53" s="19" t="str">
        <f ca="1">IFERROR(__xludf.DUMMYFUNCTION("IFERROR(VLOOKUP(F27,IMPORTRANGE(""https://docs.google.com/spreadsheets/d/1Kvs4KS76FHFqLFIZfrDMff4kP08nblUkihrxltoGBjg/edit#gid=934712705"",""ESENCIAL!A6:BG""),18,FALSE))"),"Terminada por Fecha     ")</f>
        <v xml:space="preserve">Terminada por Fecha     </v>
      </c>
      <c r="BJ53" s="19" t="str">
        <f t="shared" ref="BJ53:BJ84" si="11">IF(F53&gt;0,"Yamboro","")</f>
        <v>Yamboro</v>
      </c>
      <c r="BK53" s="291"/>
      <c r="BL53" s="19"/>
    </row>
    <row r="54" spans="1:64" ht="18" hidden="1" customHeight="1">
      <c r="A54" s="290"/>
      <c r="B54" s="145" t="s">
        <v>25</v>
      </c>
      <c r="C54" s="25" t="s">
        <v>1297</v>
      </c>
      <c r="D54" s="25" t="s">
        <v>27</v>
      </c>
      <c r="E54" s="25">
        <v>1004492812</v>
      </c>
      <c r="F54" s="25">
        <v>2056447</v>
      </c>
      <c r="G54" s="11" t="str">
        <f ca="1">IFERROR(__xludf.DUMMYFUNCTION("IFERROR(VLOOKUP(F33,IMPORTRANGE(""https://docs.google.com/spreadsheets/d/1Kvs4KS76FHFqLFIZfrDMff4kP08nblUkihrxltoGBjg/edit#gid=934712705"",""ESENCIAL!A6:BG""),3,FALSE))"),"TECNÓLOGO")</f>
        <v>TECNÓLOGO</v>
      </c>
      <c r="H54" s="11" t="str">
        <f ca="1">IFERROR(__xludf.DUMMYFUNCTION("IFERROR(VLOOKUP(F33,IMPORTRANGE(""https://docs.google.com/spreadsheets/d/1Kvs4KS76FHFqLFIZfrDMff4kP08nblUkihrxltoGBjg/edit#gid=934712705"",""ESENCIAL!A6:BG""),8,FALSE))"),"PRODUCCIÓN AGROPECUARIA ECOLÓGICA")</f>
        <v>PRODUCCIÓN AGROPECUARIA ECOLÓGICA</v>
      </c>
      <c r="I54" s="25">
        <v>3212600265</v>
      </c>
      <c r="J54" s="25" t="s">
        <v>1298</v>
      </c>
      <c r="K54" s="25" t="s">
        <v>1299</v>
      </c>
      <c r="L54" s="285" t="s">
        <v>44</v>
      </c>
      <c r="M54" s="25"/>
      <c r="N54" s="25"/>
      <c r="O54" s="25"/>
      <c r="P54" s="25"/>
      <c r="Q54" s="25"/>
      <c r="R54" s="27"/>
      <c r="S54" s="27"/>
      <c r="T54" s="31"/>
      <c r="U54" s="28"/>
      <c r="V54" s="28"/>
      <c r="W54" s="28"/>
      <c r="X54" s="28"/>
      <c r="Y54" s="30"/>
      <c r="Z54" s="28"/>
      <c r="AA54" s="28"/>
      <c r="AB54" s="28"/>
      <c r="AC54" s="28"/>
      <c r="AD54" s="28"/>
      <c r="AE54" s="28"/>
      <c r="AF54" s="28"/>
      <c r="AG54" s="28"/>
      <c r="AH54" s="28"/>
      <c r="AI54" s="28"/>
      <c r="AJ54" s="28"/>
      <c r="AK54" s="28"/>
      <c r="AL54" s="28"/>
      <c r="AM54" s="28"/>
      <c r="AN54" s="28"/>
      <c r="AO54" s="28"/>
      <c r="AP54" s="28"/>
      <c r="AQ54" s="28"/>
      <c r="AR54" s="28"/>
      <c r="AS54" s="28"/>
      <c r="AT54" s="28"/>
      <c r="AU54" s="19" t="str">
        <f t="shared" ca="1" si="8"/>
        <v>Procede_E_P</v>
      </c>
      <c r="AV54" s="11" t="str">
        <f ca="1">IFERROR(__xludf.DUMMYFUNCTION("IFERROR(VLOOKUP(E33&amp;F33,IMPORTRANGE(""https://docs.google.com/spreadsheets/d/1Uw7-A9f9R21vMXxHZFNpYNeKFtG8_yji4HS352LGlSQ/edit?pli=1#gid=0"",""1_ACUM!A4:S""),11,FALSE))"),"EN FORMACION")</f>
        <v>EN FORMACION</v>
      </c>
      <c r="AW54" s="20" t="str">
        <f ca="1">IFERROR(__xludf.DUMMYFUNCTION("IFERROR(VLOOKUP(F33,IMPORTRANGE(""https://docs.google.com/spreadsheets/d/1Kvs4KS76FHFqLFIZfrDMff4kP08nblUkihrxltoGBjg/edit#gid=934712705"",""ESENCIAL!A6:BG""),15,FALSE))"),"AGROPECUARIO")</f>
        <v>AGROPECUARIO</v>
      </c>
      <c r="AX54" s="21">
        <f ca="1">IFERROR(__xludf.DUMMYFUNCTION("IFERROR(VLOOKUP(E33&amp;F33,IMPORTRANGE(""https://docs.google.com/spreadsheets/d/1Uw7-A9f9R21vMXxHZFNpYNeKFtG8_yji4HS352LGlSQ/edit?pli=1#gid=0"",""1_ACUM!A4:S""),12,FALSE))"),44848)</f>
        <v>44848</v>
      </c>
      <c r="AY54" s="22">
        <f ca="1">IFERROR(__xludf.DUMMYFUNCTION("IFERROR(VLOOKUP(E33&amp;F33,IMPORTRANGE(""https://docs.google.com/spreadsheets/d/1Uw7-A9f9R21vMXxHZFNpYNeKFtG8_yji4HS352LGlSQ/edit?pli=1#gid=0"",""1_ACUM!A4:S""),13,FALSE))"),0)</f>
        <v>0</v>
      </c>
      <c r="AZ54" s="22">
        <f ca="1">IFERROR(__xludf.DUMMYFUNCTION("IFERROR(VLOOKUP(E33&amp;F33,IMPORTRANGE(""https://docs.google.com/spreadsheets/d/1Uw7-A9f9R21vMXxHZFNpYNeKFtG8_yji4HS352LGlSQ/edit?pli=1#gid=0"",""1_ACUM!A4:S""),14,FALSE))"),1)</f>
        <v>1</v>
      </c>
      <c r="BA54" s="22">
        <f ca="1">IFERROR(__xludf.DUMMYFUNCTION("IFERROR(VLOOKUP(E33&amp;F33,IMPORTRANGE(""https://docs.google.com/spreadsheets/d/1Uw7-A9f9R21vMXxHZFNpYNeKFtG8_yji4HS352LGlSQ/edit?pli=1#gid=0"",""1_ACUM!A4:S""),15,FALSE))"),0)</f>
        <v>0</v>
      </c>
      <c r="BB54" s="22">
        <f ca="1">IFERROR(__xludf.DUMMYFUNCTION("IFERROR(VLOOKUP(E33&amp;F33,IMPORTRANGE(""https://docs.google.com/spreadsheets/d/1Uw7-A9f9R21vMXxHZFNpYNeKFtG8_yji4HS352LGlSQ/edit?pli=1#gid=0"",""1_ACUM!A4:S""),16,FALSE))"),0)</f>
        <v>0</v>
      </c>
      <c r="BC54" s="22">
        <f ca="1">IFERROR(__xludf.DUMMYFUNCTION("IFERROR(VLOOKUP(E33&amp;F33,IMPORTRANGE(""https://docs.google.com/spreadsheets/d/1Uw7-A9f9R21vMXxHZFNpYNeKFtG8_yji4HS352LGlSQ/edit?pli=1#gid=0"",""1_ACUM!A4:S""),17,FALSE))"),1)</f>
        <v>1</v>
      </c>
      <c r="BD54" s="23">
        <f ca="1">IFERROR(__xludf.DUMMYFUNCTION("IFERROR(VLOOKUP(E33&amp;F33,IMPORTRANGE(""https://docs.google.com/spreadsheets/d/1Uw7-A9f9R21vMXxHZFNpYNeKFtG8_yji4HS352LGlSQ/edit?pli=1#gid=0"",""1_ACUM!A4:S""),18,FALSE))"),43815)</f>
        <v>43815</v>
      </c>
      <c r="BE54" s="23">
        <f ca="1">IFERROR(__xludf.DUMMYFUNCTION("IFERROR(VLOOKUP(E33&amp;F33,IMPORTRANGE(""https://docs.google.com/spreadsheets/d/1Uw7-A9f9R21vMXxHZFNpYNeKFtG8_yji4HS352LGlSQ/edit?pli=1#gid=0"",""1_ACUM!A4:S""),19,FALSE))"),44363)</f>
        <v>44363</v>
      </c>
      <c r="BF54" s="23">
        <f ca="1">IFERROR(__xludf.DUMMYFUNCTION("IFERROR(VLOOKUP(F33,IMPORTRANGE(""https://docs.google.com/spreadsheets/d/1Kvs4KS76FHFqLFIZfrDMff4kP08nblUkihrxltoGBjg/edit#gid=934712705"",""ESENCIAL!A6:BG""),5,FALSE))"),44546)</f>
        <v>44546</v>
      </c>
      <c r="BG54" s="23">
        <f t="shared" ca="1" si="9"/>
        <v>45093</v>
      </c>
      <c r="BH54" s="19" t="str">
        <f t="shared" ca="1" si="10"/>
        <v>FICHA EN TIEMPO-18 MESES</v>
      </c>
      <c r="BI54" s="19" t="str">
        <f ca="1">IFERROR(__xludf.DUMMYFUNCTION("IFERROR(VLOOKUP(F33,IMPORTRANGE(""https://docs.google.com/spreadsheets/d/1Kvs4KS76FHFqLFIZfrDMff4kP08nblUkihrxltoGBjg/edit#gid=934712705"",""ESENCIAL!A6:BG""),18,FALSE))"),"Terminada por fecha")</f>
        <v>Terminada por fecha</v>
      </c>
      <c r="BJ54" s="19" t="str">
        <f t="shared" si="11"/>
        <v>Yamboro</v>
      </c>
      <c r="BK54" s="291"/>
      <c r="BL54" s="19"/>
    </row>
    <row r="55" spans="1:64" ht="17.25" hidden="1" customHeight="1">
      <c r="A55" s="290"/>
      <c r="B55" s="145" t="s">
        <v>25</v>
      </c>
      <c r="C55" s="25" t="s">
        <v>1300</v>
      </c>
      <c r="D55" s="25" t="s">
        <v>27</v>
      </c>
      <c r="E55" s="25">
        <v>1003965474</v>
      </c>
      <c r="F55" s="25">
        <v>2327533</v>
      </c>
      <c r="G55" s="11" t="str">
        <f ca="1">IFERROR(__xludf.DUMMYFUNCTION("IFERROR(VLOOKUP(F35,IMPORTRANGE(""https://docs.google.com/spreadsheets/d/1Kvs4KS76FHFqLFIZfrDMff4kP08nblUkihrxltoGBjg/edit#gid=934712705"",""ESENCIAL!A6:BG""),3,FALSE))"),"TÉCNICO")</f>
        <v>TÉCNICO</v>
      </c>
      <c r="H55" s="11" t="str">
        <f ca="1">IFERROR(__xludf.DUMMYFUNCTION("IFERROR(VLOOKUP(F35,IMPORTRANGE(""https://docs.google.com/spreadsheets/d/1Kvs4KS76FHFqLFIZfrDMff4kP08nblUkihrxltoGBjg/edit#gid=934712705"",""ESENCIAL!A6:BG""),8,FALSE))"),"SERVICIOS DE BARISMO")</f>
        <v>SERVICIOS DE BARISMO</v>
      </c>
      <c r="I55" s="25"/>
      <c r="J55" s="25"/>
      <c r="K55" s="25"/>
      <c r="L55" s="285" t="s">
        <v>44</v>
      </c>
      <c r="M55" s="25"/>
      <c r="N55" s="25"/>
      <c r="O55" s="25"/>
      <c r="P55" s="25"/>
      <c r="Q55" s="25"/>
      <c r="R55" s="27"/>
      <c r="S55" s="27"/>
      <c r="T55" s="25"/>
      <c r="U55" s="28"/>
      <c r="V55" s="28"/>
      <c r="W55" s="28"/>
      <c r="X55" s="28"/>
      <c r="Y55" s="30"/>
      <c r="Z55" s="28"/>
      <c r="AA55" s="28"/>
      <c r="AB55" s="28"/>
      <c r="AC55" s="28"/>
      <c r="AD55" s="28"/>
      <c r="AE55" s="28"/>
      <c r="AF55" s="28"/>
      <c r="AG55" s="28"/>
      <c r="AH55" s="28"/>
      <c r="AI55" s="28"/>
      <c r="AJ55" s="28"/>
      <c r="AK55" s="28"/>
      <c r="AL55" s="28"/>
      <c r="AM55" s="28"/>
      <c r="AN55" s="28"/>
      <c r="AO55" s="28"/>
      <c r="AP55" s="28"/>
      <c r="AQ55" s="28"/>
      <c r="AR55" s="28"/>
      <c r="AS55" s="28"/>
      <c r="AT55" s="28"/>
      <c r="AU55" s="19" t="str">
        <f t="shared" ca="1" si="8"/>
        <v>NO_CUMPLE</v>
      </c>
      <c r="AV55" s="11" t="str">
        <f ca="1">IFERROR(__xludf.DUMMYFUNCTION("IFERROR(VLOOKUP(E35&amp;F35,IMPORTRANGE(""https://docs.google.com/spreadsheets/d/1Uw7-A9f9R21vMXxHZFNpYNeKFtG8_yji4HS352LGlSQ/edit?pli=1#gid=0"",""1_ACUM!A4:S""),11,FALSE))"),"EN FORMACION")</f>
        <v>EN FORMACION</v>
      </c>
      <c r="AW55" s="20" t="str">
        <f ca="1">IFERROR(__xludf.DUMMYFUNCTION("IFERROR(VLOOKUP(F35,IMPORTRANGE(""https://docs.google.com/spreadsheets/d/1Kvs4KS76FHFqLFIZfrDMff4kP08nblUkihrxltoGBjg/edit#gid=934712705"",""ESENCIAL!A6:BG""),15,FALSE))"),"TURISMO")</f>
        <v>TURISMO</v>
      </c>
      <c r="AX55" s="21">
        <f ca="1">IFERROR(__xludf.DUMMYFUNCTION("IFERROR(VLOOKUP(E35&amp;F35,IMPORTRANGE(""https://docs.google.com/spreadsheets/d/1Uw7-A9f9R21vMXxHZFNpYNeKFtG8_yji4HS352LGlSQ/edit?pli=1#gid=0"",""1_ACUM!A4:S""),12,FALSE))"),44839)</f>
        <v>44839</v>
      </c>
      <c r="AY55" s="22">
        <f ca="1">IFERROR(__xludf.DUMMYFUNCTION("IFERROR(VLOOKUP(E35&amp;F35,IMPORTRANGE(""https://docs.google.com/spreadsheets/d/1Uw7-A9f9R21vMXxHZFNpYNeKFtG8_yji4HS352LGlSQ/edit?pli=1#gid=0"",""1_ACUM!A4:S""),13,FALSE))"),8)</f>
        <v>8</v>
      </c>
      <c r="AZ55" s="22">
        <f ca="1">IFERROR(__xludf.DUMMYFUNCTION("IFERROR(VLOOKUP(E35&amp;F35,IMPORTRANGE(""https://docs.google.com/spreadsheets/d/1Uw7-A9f9R21vMXxHZFNpYNeKFtG8_yji4HS352LGlSQ/edit?pli=1#gid=0"",""1_ACUM!A4:S""),14,FALSE))"),1)</f>
        <v>1</v>
      </c>
      <c r="BA55" s="22">
        <f ca="1">IFERROR(__xludf.DUMMYFUNCTION("IFERROR(VLOOKUP(E35&amp;F35,IMPORTRANGE(""https://docs.google.com/spreadsheets/d/1Uw7-A9f9R21vMXxHZFNpYNeKFtG8_yji4HS352LGlSQ/edit?pli=1#gid=0"",""1_ACUM!A4:S""),15,FALSE))"),0)</f>
        <v>0</v>
      </c>
      <c r="BB55" s="22">
        <f ca="1">IFERROR(__xludf.DUMMYFUNCTION("IFERROR(VLOOKUP(E35&amp;F35,IMPORTRANGE(""https://docs.google.com/spreadsheets/d/1Uw7-A9f9R21vMXxHZFNpYNeKFtG8_yji4HS352LGlSQ/edit?pli=1#gid=0"",""1_ACUM!A4:S""),16,FALSE))"),0)</f>
        <v>0</v>
      </c>
      <c r="BC55" s="22">
        <f ca="1">IFERROR(__xludf.DUMMYFUNCTION("IFERROR(VLOOKUP(E35&amp;F35,IMPORTRANGE(""https://docs.google.com/spreadsheets/d/1Uw7-A9f9R21vMXxHZFNpYNeKFtG8_yji4HS352LGlSQ/edit?pli=1#gid=0"",""1_ACUM!A4:S""),17,FALSE))"),9)</f>
        <v>9</v>
      </c>
      <c r="BD55" s="23">
        <f ca="1">IFERROR(__xludf.DUMMYFUNCTION("IFERROR(VLOOKUP(E35&amp;F35,IMPORTRANGE(""https://docs.google.com/spreadsheets/d/1Uw7-A9f9R21vMXxHZFNpYNeKFtG8_yji4HS352LGlSQ/edit?pli=1#gid=0"",""1_ACUM!A4:S""),18,FALSE))"),44328)</f>
        <v>44328</v>
      </c>
      <c r="BE55" s="23">
        <f ca="1">IFERROR(__xludf.DUMMYFUNCTION("IFERROR(VLOOKUP(E35&amp;F35,IMPORTRANGE(""https://docs.google.com/spreadsheets/d/1Uw7-A9f9R21vMXxHZFNpYNeKFtG8_yji4HS352LGlSQ/edit?pli=1#gid=0"",""1_ACUM!A4:S""),19,FALSE))"),44604)</f>
        <v>44604</v>
      </c>
      <c r="BF55" s="23">
        <f ca="1">IFERROR(__xludf.DUMMYFUNCTION("IFERROR(VLOOKUP(F35,IMPORTRANGE(""https://docs.google.com/spreadsheets/d/1Kvs4KS76FHFqLFIZfrDMff4kP08nblUkihrxltoGBjg/edit#gid=934712705"",""ESENCIAL!A6:BG""),5,FALSE))"),44785)</f>
        <v>44785</v>
      </c>
      <c r="BG55" s="23">
        <f t="shared" ca="1" si="9"/>
        <v>45334</v>
      </c>
      <c r="BH55" s="19" t="str">
        <f t="shared" ca="1" si="10"/>
        <v>FICHA EN TIEMPO-18 MESES</v>
      </c>
      <c r="BI55" s="19" t="str">
        <f ca="1">IFERROR(__xludf.DUMMYFUNCTION("IFERROR(VLOOKUP(F35,IMPORTRANGE(""https://docs.google.com/spreadsheets/d/1Kvs4KS76FHFqLFIZfrDMff4kP08nblUkihrxltoGBjg/edit#gid=934712705"",""ESENCIAL!A6:BG""),18,FALSE))"),"Terminada por fecha")</f>
        <v>Terminada por fecha</v>
      </c>
      <c r="BJ55" s="19" t="str">
        <f t="shared" si="11"/>
        <v>Yamboro</v>
      </c>
      <c r="BK55" s="291"/>
      <c r="BL55" s="19"/>
    </row>
    <row r="56" spans="1:64" s="180" customFormat="1" ht="18" hidden="1" customHeight="1">
      <c r="A56" s="290"/>
      <c r="B56" s="145" t="s">
        <v>25</v>
      </c>
      <c r="C56" s="25" t="s">
        <v>1301</v>
      </c>
      <c r="D56" s="25" t="s">
        <v>27</v>
      </c>
      <c r="E56" s="25">
        <v>1004493097</v>
      </c>
      <c r="F56" s="25">
        <v>2327533</v>
      </c>
      <c r="G56" s="11" t="str">
        <f ca="1">IFERROR(__xludf.DUMMYFUNCTION("IFERROR(VLOOKUP(F37,IMPORTRANGE(""https://docs.google.com/spreadsheets/d/1Kvs4KS76FHFqLFIZfrDMff4kP08nblUkihrxltoGBjg/edit#gid=934712705"",""ESENCIAL!A6:BG""),3,FALSE))"),"TÉCNICO")</f>
        <v>TÉCNICO</v>
      </c>
      <c r="H56" s="11" t="str">
        <f ca="1">IFERROR(__xludf.DUMMYFUNCTION("IFERROR(VLOOKUP(F37,IMPORTRANGE(""https://docs.google.com/spreadsheets/d/1Kvs4KS76FHFqLFIZfrDMff4kP08nblUkihrxltoGBjg/edit#gid=934712705"",""ESENCIAL!A6:BG""),8,FALSE))"),"SERVICIOS DE BARISMO")</f>
        <v>SERVICIOS DE BARISMO</v>
      </c>
      <c r="I56" s="25"/>
      <c r="J56" s="25"/>
      <c r="K56" s="25"/>
      <c r="L56" s="285" t="s">
        <v>44</v>
      </c>
      <c r="M56" s="25"/>
      <c r="N56" s="25"/>
      <c r="O56" s="25"/>
      <c r="P56" s="25"/>
      <c r="Q56" s="25"/>
      <c r="R56" s="27"/>
      <c r="S56" s="27"/>
      <c r="T56" s="25"/>
      <c r="U56" s="28"/>
      <c r="V56" s="28"/>
      <c r="W56" s="28"/>
      <c r="X56" s="28"/>
      <c r="Y56" s="30"/>
      <c r="Z56" s="28"/>
      <c r="AA56" s="28"/>
      <c r="AB56" s="28"/>
      <c r="AC56" s="28"/>
      <c r="AD56" s="28"/>
      <c r="AE56" s="28"/>
      <c r="AF56" s="28"/>
      <c r="AG56" s="28"/>
      <c r="AH56" s="28"/>
      <c r="AI56" s="28"/>
      <c r="AJ56" s="28"/>
      <c r="AK56" s="28"/>
      <c r="AL56" s="28"/>
      <c r="AM56" s="28"/>
      <c r="AN56" s="28"/>
      <c r="AO56" s="28"/>
      <c r="AP56" s="28"/>
      <c r="AQ56" s="28"/>
      <c r="AR56" s="28"/>
      <c r="AS56" s="28"/>
      <c r="AT56" s="28"/>
      <c r="AU56" s="19" t="str">
        <f t="shared" ca="1" si="8"/>
        <v>Procede_E_P</v>
      </c>
      <c r="AV56" s="11" t="str">
        <f ca="1">IFERROR(__xludf.DUMMYFUNCTION("IFERROR(VLOOKUP(E37&amp;F37,IMPORTRANGE(""https://docs.google.com/spreadsheets/d/1Uw7-A9f9R21vMXxHZFNpYNeKFtG8_yji4HS352LGlSQ/edit?pli=1#gid=0"",""1_ACUM!A4:S""),11,FALSE))"),"EN FORMACION")</f>
        <v>EN FORMACION</v>
      </c>
      <c r="AW56" s="20" t="str">
        <f ca="1">IFERROR(__xludf.DUMMYFUNCTION("IFERROR(VLOOKUP(F37,IMPORTRANGE(""https://docs.google.com/spreadsheets/d/1Kvs4KS76FHFqLFIZfrDMff4kP08nblUkihrxltoGBjg/edit#gid=934712705"",""ESENCIAL!A6:BG""),15,FALSE))"),"TURISMO")</f>
        <v>TURISMO</v>
      </c>
      <c r="AX56" s="21">
        <f ca="1">IFERROR(__xludf.DUMMYFUNCTION("IFERROR(VLOOKUP(E37&amp;F37,IMPORTRANGE(""https://docs.google.com/spreadsheets/d/1Uw7-A9f9R21vMXxHZFNpYNeKFtG8_yji4HS352LGlSQ/edit?pli=1#gid=0"",""1_ACUM!A4:S""),12,FALSE))"),44839)</f>
        <v>44839</v>
      </c>
      <c r="AY56" s="22">
        <f ca="1">IFERROR(__xludf.DUMMYFUNCTION("IFERROR(VLOOKUP(E37&amp;F37,IMPORTRANGE(""https://docs.google.com/spreadsheets/d/1Uw7-A9f9R21vMXxHZFNpYNeKFtG8_yji4HS352LGlSQ/edit?pli=1#gid=0"",""1_ACUM!A4:S""),13,FALSE))"),0)</f>
        <v>0</v>
      </c>
      <c r="AZ56" s="22">
        <f ca="1">IFERROR(__xludf.DUMMYFUNCTION("IFERROR(VLOOKUP(E37&amp;F37,IMPORTRANGE(""https://docs.google.com/spreadsheets/d/1Uw7-A9f9R21vMXxHZFNpYNeKFtG8_yji4HS352LGlSQ/edit?pli=1#gid=0"",""1_ACUM!A4:S""),14,FALSE))"),1)</f>
        <v>1</v>
      </c>
      <c r="BA56" s="22">
        <f ca="1">IFERROR(__xludf.DUMMYFUNCTION("IFERROR(VLOOKUP(E37&amp;F37,IMPORTRANGE(""https://docs.google.com/spreadsheets/d/1Uw7-A9f9R21vMXxHZFNpYNeKFtG8_yji4HS352LGlSQ/edit?pli=1#gid=0"",""1_ACUM!A4:S""),15,FALSE))"),0)</f>
        <v>0</v>
      </c>
      <c r="BB56" s="22">
        <f ca="1">IFERROR(__xludf.DUMMYFUNCTION("IFERROR(VLOOKUP(E37&amp;F37,IMPORTRANGE(""https://docs.google.com/spreadsheets/d/1Uw7-A9f9R21vMXxHZFNpYNeKFtG8_yji4HS352LGlSQ/edit?pli=1#gid=0"",""1_ACUM!A4:S""),16,FALSE))"),0)</f>
        <v>0</v>
      </c>
      <c r="BC56" s="22">
        <f ca="1">IFERROR(__xludf.DUMMYFUNCTION("IFERROR(VLOOKUP(E37&amp;F37,IMPORTRANGE(""https://docs.google.com/spreadsheets/d/1Uw7-A9f9R21vMXxHZFNpYNeKFtG8_yji4HS352LGlSQ/edit?pli=1#gid=0"",""1_ACUM!A4:S""),17,FALSE))"),1)</f>
        <v>1</v>
      </c>
      <c r="BD56" s="23">
        <f ca="1">IFERROR(__xludf.DUMMYFUNCTION("IFERROR(VLOOKUP(E37&amp;F37,IMPORTRANGE(""https://docs.google.com/spreadsheets/d/1Uw7-A9f9R21vMXxHZFNpYNeKFtG8_yji4HS352LGlSQ/edit?pli=1#gid=0"",""1_ACUM!A4:S""),18,FALSE))"),44328)</f>
        <v>44328</v>
      </c>
      <c r="BE56" s="23">
        <f ca="1">IFERROR(__xludf.DUMMYFUNCTION("IFERROR(VLOOKUP(E37&amp;F37,IMPORTRANGE(""https://docs.google.com/spreadsheets/d/1Uw7-A9f9R21vMXxHZFNpYNeKFtG8_yji4HS352LGlSQ/edit?pli=1#gid=0"",""1_ACUM!A4:S""),19,FALSE))"),44604)</f>
        <v>44604</v>
      </c>
      <c r="BF56" s="23">
        <f ca="1">IFERROR(__xludf.DUMMYFUNCTION("IFERROR(VLOOKUP(F37,IMPORTRANGE(""https://docs.google.com/spreadsheets/d/1Kvs4KS76FHFqLFIZfrDMff4kP08nblUkihrxltoGBjg/edit#gid=934712705"",""ESENCIAL!A6:BG""),5,FALSE))"),44785)</f>
        <v>44785</v>
      </c>
      <c r="BG56" s="23">
        <f t="shared" ca="1" si="9"/>
        <v>45334</v>
      </c>
      <c r="BH56" s="19" t="str">
        <f t="shared" ca="1" si="10"/>
        <v>FICHA EN TIEMPO-18 MESES</v>
      </c>
      <c r="BI56" s="19" t="str">
        <f ca="1">IFERROR(__xludf.DUMMYFUNCTION("IFERROR(VLOOKUP(F37,IMPORTRANGE(""https://docs.google.com/spreadsheets/d/1Kvs4KS76FHFqLFIZfrDMff4kP08nblUkihrxltoGBjg/edit#gid=934712705"",""ESENCIAL!A6:BG""),18,FALSE))"),"Terminada por fecha")</f>
        <v>Terminada por fecha</v>
      </c>
      <c r="BJ56" s="19" t="str">
        <f t="shared" si="11"/>
        <v>Yamboro</v>
      </c>
      <c r="BK56" s="295"/>
      <c r="BL56" s="173"/>
    </row>
    <row r="57" spans="1:64" ht="18" hidden="1" customHeight="1">
      <c r="A57" s="290"/>
      <c r="B57" s="145" t="s">
        <v>25</v>
      </c>
      <c r="C57" s="57" t="s">
        <v>1302</v>
      </c>
      <c r="D57" s="57" t="s">
        <v>27</v>
      </c>
      <c r="E57" s="57">
        <v>1006514553</v>
      </c>
      <c r="F57" s="114">
        <v>2327533</v>
      </c>
      <c r="G57" s="11" t="str">
        <f ca="1">IFERROR(__xludf.DUMMYFUNCTION("IFERROR(VLOOKUP(F38,IMPORTRANGE(""https://docs.google.com/spreadsheets/d/1Kvs4KS76FHFqLFIZfrDMff4kP08nblUkihrxltoGBjg/edit#gid=934712705"",""ESENCIAL!A6:BG""),3,FALSE))"),"TÉCNICO")</f>
        <v>TÉCNICO</v>
      </c>
      <c r="H57" s="11" t="str">
        <f ca="1">IFERROR(__xludf.DUMMYFUNCTION("IFERROR(VLOOKUP(F38,IMPORTRANGE(""https://docs.google.com/spreadsheets/d/1Kvs4KS76FHFqLFIZfrDMff4kP08nblUkihrxltoGBjg/edit#gid=934712705"",""ESENCIAL!A6:BG""),8,FALSE))"),"SERVICIOS DE BARISMO")</f>
        <v>SERVICIOS DE BARISMO</v>
      </c>
      <c r="I57" s="30"/>
      <c r="J57" s="30"/>
      <c r="K57" s="30"/>
      <c r="L57" s="285" t="s">
        <v>44</v>
      </c>
      <c r="M57" s="30"/>
      <c r="N57" s="30"/>
      <c r="O57" s="30"/>
      <c r="P57" s="30"/>
      <c r="Q57" s="30"/>
      <c r="R57" s="54"/>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19" t="str">
        <f t="shared" ca="1" si="8"/>
        <v>NO_CUMPLE</v>
      </c>
      <c r="AV57" s="11" t="str">
        <f ca="1">IFERROR(__xludf.DUMMYFUNCTION("IFERROR(VLOOKUP(E38&amp;F38,IMPORTRANGE(""https://docs.google.com/spreadsheets/d/1Uw7-A9f9R21vMXxHZFNpYNeKFtG8_yji4HS352LGlSQ/edit?pli=1#gid=0"",""1_ACUM!A4:S""),11,FALSE))"),"EN FORMACION")</f>
        <v>EN FORMACION</v>
      </c>
      <c r="AW57" s="20" t="str">
        <f ca="1">IFERROR(__xludf.DUMMYFUNCTION("IFERROR(VLOOKUP(F38,IMPORTRANGE(""https://docs.google.com/spreadsheets/d/1Kvs4KS76FHFqLFIZfrDMff4kP08nblUkihrxltoGBjg/edit#gid=934712705"",""ESENCIAL!A6:BG""),15,FALSE))"),"TURISMO")</f>
        <v>TURISMO</v>
      </c>
      <c r="AX57" s="21">
        <f ca="1">IFERROR(__xludf.DUMMYFUNCTION("IFERROR(VLOOKUP(E38&amp;F38,IMPORTRANGE(""https://docs.google.com/spreadsheets/d/1Uw7-A9f9R21vMXxHZFNpYNeKFtG8_yji4HS352LGlSQ/edit?pli=1#gid=0"",""1_ACUM!A4:S""),12,FALSE))"),44839)</f>
        <v>44839</v>
      </c>
      <c r="AY57" s="22">
        <f ca="1">IFERROR(__xludf.DUMMYFUNCTION("IFERROR(VLOOKUP(E38&amp;F38,IMPORTRANGE(""https://docs.google.com/spreadsheets/d/1Uw7-A9f9R21vMXxHZFNpYNeKFtG8_yji4HS352LGlSQ/edit?pli=1#gid=0"",""1_ACUM!A4:S""),13,FALSE))"),28)</f>
        <v>28</v>
      </c>
      <c r="AZ57" s="22">
        <f ca="1">IFERROR(__xludf.DUMMYFUNCTION("IFERROR(VLOOKUP(E38&amp;F38,IMPORTRANGE(""https://docs.google.com/spreadsheets/d/1Uw7-A9f9R21vMXxHZFNpYNeKFtG8_yji4HS352LGlSQ/edit?pli=1#gid=0"",""1_ACUM!A4:S""),14,FALSE))"),1)</f>
        <v>1</v>
      </c>
      <c r="BA57" s="22">
        <f ca="1">IFERROR(__xludf.DUMMYFUNCTION("IFERROR(VLOOKUP(E38&amp;F38,IMPORTRANGE(""https://docs.google.com/spreadsheets/d/1Uw7-A9f9R21vMXxHZFNpYNeKFtG8_yji4HS352LGlSQ/edit?pli=1#gid=0"",""1_ACUM!A4:S""),15,FALSE))"),6)</f>
        <v>6</v>
      </c>
      <c r="BB57" s="22">
        <f ca="1">IFERROR(__xludf.DUMMYFUNCTION("IFERROR(VLOOKUP(E38&amp;F38,IMPORTRANGE(""https://docs.google.com/spreadsheets/d/1Uw7-A9f9R21vMXxHZFNpYNeKFtG8_yji4HS352LGlSQ/edit?pli=1#gid=0"",""1_ACUM!A4:S""),16,FALSE))"),11)</f>
        <v>11</v>
      </c>
      <c r="BC57" s="22">
        <f ca="1">IFERROR(__xludf.DUMMYFUNCTION("IFERROR(VLOOKUP(E38&amp;F38,IMPORTRANGE(""https://docs.google.com/spreadsheets/d/1Uw7-A9f9R21vMXxHZFNpYNeKFtG8_yji4HS352LGlSQ/edit?pli=1#gid=0"",""1_ACUM!A4:S""),17,FALSE))"),46)</f>
        <v>46</v>
      </c>
      <c r="BD57" s="23">
        <f ca="1">IFERROR(__xludf.DUMMYFUNCTION("IFERROR(VLOOKUP(E38&amp;F38,IMPORTRANGE(""https://docs.google.com/spreadsheets/d/1Uw7-A9f9R21vMXxHZFNpYNeKFtG8_yji4HS352LGlSQ/edit?pli=1#gid=0"",""1_ACUM!A4:S""),18,FALSE))"),44328)</f>
        <v>44328</v>
      </c>
      <c r="BE57" s="23">
        <f ca="1">IFERROR(__xludf.DUMMYFUNCTION("IFERROR(VLOOKUP(E38&amp;F38,IMPORTRANGE(""https://docs.google.com/spreadsheets/d/1Uw7-A9f9R21vMXxHZFNpYNeKFtG8_yji4HS352LGlSQ/edit?pli=1#gid=0"",""1_ACUM!A4:S""),19,FALSE))"),44604)</f>
        <v>44604</v>
      </c>
      <c r="BF57" s="23">
        <f ca="1">IFERROR(__xludf.DUMMYFUNCTION("IFERROR(VLOOKUP(F38,IMPORTRANGE(""https://docs.google.com/spreadsheets/d/1Kvs4KS76FHFqLFIZfrDMff4kP08nblUkihrxltoGBjg/edit#gid=934712705"",""ESENCIAL!A6:BG""),5,FALSE))"),44785)</f>
        <v>44785</v>
      </c>
      <c r="BG57" s="23">
        <f t="shared" ca="1" si="9"/>
        <v>45334</v>
      </c>
      <c r="BH57" s="19" t="str">
        <f t="shared" ca="1" si="10"/>
        <v>FICHA EN TIEMPO-18 MESES</v>
      </c>
      <c r="BI57" s="19" t="str">
        <f ca="1">IFERROR(__xludf.DUMMYFUNCTION("IFERROR(VLOOKUP(F38,IMPORTRANGE(""https://docs.google.com/spreadsheets/d/1Kvs4KS76FHFqLFIZfrDMff4kP08nblUkihrxltoGBjg/edit#gid=934712705"",""ESENCIAL!A6:BG""),18,FALSE))"),"Terminada por fecha")</f>
        <v>Terminada por fecha</v>
      </c>
      <c r="BJ57" s="19" t="str">
        <f t="shared" si="11"/>
        <v>Yamboro</v>
      </c>
      <c r="BK57" s="291"/>
      <c r="BL57" s="19"/>
    </row>
    <row r="58" spans="1:64" ht="18" hidden="1" customHeight="1">
      <c r="A58" s="290"/>
      <c r="B58" s="145" t="s">
        <v>25</v>
      </c>
      <c r="C58" s="57" t="s">
        <v>1303</v>
      </c>
      <c r="D58" s="57" t="s">
        <v>27</v>
      </c>
      <c r="E58" s="57">
        <v>1007897806</v>
      </c>
      <c r="F58" s="114">
        <v>2327533</v>
      </c>
      <c r="G58" s="11" t="str">
        <f ca="1">IFERROR(__xludf.DUMMYFUNCTION("IFERROR(VLOOKUP(F41,IMPORTRANGE(""https://docs.google.com/spreadsheets/d/1Kvs4KS76FHFqLFIZfrDMff4kP08nblUkihrxltoGBjg/edit#gid=934712705"",""ESENCIAL!A6:BG""),3,FALSE))"),"TÉCNICO")</f>
        <v>TÉCNICO</v>
      </c>
      <c r="H58" s="11" t="str">
        <f ca="1">IFERROR(__xludf.DUMMYFUNCTION("IFERROR(VLOOKUP(F41,IMPORTRANGE(""https://docs.google.com/spreadsheets/d/1Kvs4KS76FHFqLFIZfrDMff4kP08nblUkihrxltoGBjg/edit#gid=934712705"",""ESENCIAL!A6:BG""),8,FALSE))"),"SERVICIOS DE BARISMO")</f>
        <v>SERVICIOS DE BARISMO</v>
      </c>
      <c r="I58" s="30"/>
      <c r="J58" s="30"/>
      <c r="K58" s="30"/>
      <c r="L58" s="285" t="s">
        <v>44</v>
      </c>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19" t="str">
        <f t="shared" ca="1" si="8"/>
        <v>Procede_E_P</v>
      </c>
      <c r="AV58" s="11" t="str">
        <f ca="1">IFERROR(__xludf.DUMMYFUNCTION("IFERROR(VLOOKUP(E41&amp;F41,IMPORTRANGE(""https://docs.google.com/spreadsheets/d/1Uw7-A9f9R21vMXxHZFNpYNeKFtG8_yji4HS352LGlSQ/edit?pli=1#gid=0"",""1_ACUM!A4:S""),11,FALSE))"),"EN FORMACION")</f>
        <v>EN FORMACION</v>
      </c>
      <c r="AW58" s="20" t="str">
        <f ca="1">IFERROR(__xludf.DUMMYFUNCTION("IFERROR(VLOOKUP(F41,IMPORTRANGE(""https://docs.google.com/spreadsheets/d/1Kvs4KS76FHFqLFIZfrDMff4kP08nblUkihrxltoGBjg/edit#gid=934712705"",""ESENCIAL!A6:BG""),15,FALSE))"),"TURISMO")</f>
        <v>TURISMO</v>
      </c>
      <c r="AX58" s="21">
        <f ca="1">IFERROR(__xludf.DUMMYFUNCTION("IFERROR(VLOOKUP(E41&amp;F41,IMPORTRANGE(""https://docs.google.com/spreadsheets/d/1Uw7-A9f9R21vMXxHZFNpYNeKFtG8_yji4HS352LGlSQ/edit?pli=1#gid=0"",""1_ACUM!A4:S""),12,FALSE))"),44839)</f>
        <v>44839</v>
      </c>
      <c r="AY58" s="22">
        <f ca="1">IFERROR(__xludf.DUMMYFUNCTION("IFERROR(VLOOKUP(E41&amp;F41,IMPORTRANGE(""https://docs.google.com/spreadsheets/d/1Uw7-A9f9R21vMXxHZFNpYNeKFtG8_yji4HS352LGlSQ/edit?pli=1#gid=0"",""1_ACUM!A4:S""),13,FALSE))"),0)</f>
        <v>0</v>
      </c>
      <c r="AZ58" s="22">
        <f ca="1">IFERROR(__xludf.DUMMYFUNCTION("IFERROR(VLOOKUP(E41&amp;F41,IMPORTRANGE(""https://docs.google.com/spreadsheets/d/1Uw7-A9f9R21vMXxHZFNpYNeKFtG8_yji4HS352LGlSQ/edit?pli=1#gid=0"",""1_ACUM!A4:S""),14,FALSE))"),1)</f>
        <v>1</v>
      </c>
      <c r="BA58" s="22">
        <f ca="1">IFERROR(__xludf.DUMMYFUNCTION("IFERROR(VLOOKUP(E41&amp;F41,IMPORTRANGE(""https://docs.google.com/spreadsheets/d/1Uw7-A9f9R21vMXxHZFNpYNeKFtG8_yji4HS352LGlSQ/edit?pli=1#gid=0"",""1_ACUM!A4:S""),15,FALSE))"),0)</f>
        <v>0</v>
      </c>
      <c r="BB58" s="22">
        <f ca="1">IFERROR(__xludf.DUMMYFUNCTION("IFERROR(VLOOKUP(E41&amp;F41,IMPORTRANGE(""https://docs.google.com/spreadsheets/d/1Uw7-A9f9R21vMXxHZFNpYNeKFtG8_yji4HS352LGlSQ/edit?pli=1#gid=0"",""1_ACUM!A4:S""),16,FALSE))"),0)</f>
        <v>0</v>
      </c>
      <c r="BC58" s="22">
        <f ca="1">IFERROR(__xludf.DUMMYFUNCTION("IFERROR(VLOOKUP(E41&amp;F41,IMPORTRANGE(""https://docs.google.com/spreadsheets/d/1Uw7-A9f9R21vMXxHZFNpYNeKFtG8_yji4HS352LGlSQ/edit?pli=1#gid=0"",""1_ACUM!A4:S""),17,FALSE))"),1)</f>
        <v>1</v>
      </c>
      <c r="BD58" s="23">
        <f ca="1">IFERROR(__xludf.DUMMYFUNCTION("IFERROR(VLOOKUP(E41&amp;F41,IMPORTRANGE(""https://docs.google.com/spreadsheets/d/1Uw7-A9f9R21vMXxHZFNpYNeKFtG8_yji4HS352LGlSQ/edit?pli=1#gid=0"",""1_ACUM!A4:S""),18,FALSE))"),44328)</f>
        <v>44328</v>
      </c>
      <c r="BE58" s="23">
        <f ca="1">IFERROR(__xludf.DUMMYFUNCTION("IFERROR(VLOOKUP(E41&amp;F41,IMPORTRANGE(""https://docs.google.com/spreadsheets/d/1Uw7-A9f9R21vMXxHZFNpYNeKFtG8_yji4HS352LGlSQ/edit?pli=1#gid=0"",""1_ACUM!A4:S""),19,FALSE))"),44604)</f>
        <v>44604</v>
      </c>
      <c r="BF58" s="23">
        <f ca="1">IFERROR(__xludf.DUMMYFUNCTION("IFERROR(VLOOKUP(F41,IMPORTRANGE(""https://docs.google.com/spreadsheets/d/1Kvs4KS76FHFqLFIZfrDMff4kP08nblUkihrxltoGBjg/edit#gid=934712705"",""ESENCIAL!A6:BG""),5,FALSE))"),44785)</f>
        <v>44785</v>
      </c>
      <c r="BG58" s="23">
        <f t="shared" ca="1" si="9"/>
        <v>45334</v>
      </c>
      <c r="BH58" s="19" t="str">
        <f t="shared" ca="1" si="10"/>
        <v>FICHA EN TIEMPO-18 MESES</v>
      </c>
      <c r="BI58" s="19" t="str">
        <f ca="1">IFERROR(__xludf.DUMMYFUNCTION("IFERROR(VLOOKUP(F41,IMPORTRANGE(""https://docs.google.com/spreadsheets/d/1Kvs4KS76FHFqLFIZfrDMff4kP08nblUkihrxltoGBjg/edit#gid=934712705"",""ESENCIAL!A6:BG""),18,FALSE))"),"Terminada por fecha")</f>
        <v>Terminada por fecha</v>
      </c>
      <c r="BJ58" s="19" t="str">
        <f t="shared" si="11"/>
        <v>Yamboro</v>
      </c>
      <c r="BK58" s="291"/>
      <c r="BL58" s="19"/>
    </row>
    <row r="59" spans="1:64" ht="18" customHeight="1">
      <c r="A59" s="469" t="s">
        <v>1138</v>
      </c>
      <c r="B59" s="145" t="s">
        <v>25</v>
      </c>
      <c r="C59" s="57" t="s">
        <v>1304</v>
      </c>
      <c r="D59" s="57" t="s">
        <v>27</v>
      </c>
      <c r="E59" s="57">
        <v>1010004324</v>
      </c>
      <c r="F59" s="114">
        <v>2327533</v>
      </c>
      <c r="G59" s="11" t="str">
        <f ca="1">IFERROR(__xludf.DUMMYFUNCTION("IFERROR(VLOOKUP(F42,IMPORTRANGE(""https://docs.google.com/spreadsheets/d/1Kvs4KS76FHFqLFIZfrDMff4kP08nblUkihrxltoGBjg/edit#gid=934712705"",""ESENCIAL!A6:BG""),3,FALSE))"),"TÉCNICO")</f>
        <v>TÉCNICO</v>
      </c>
      <c r="H59" s="11" t="str">
        <f ca="1">IFERROR(__xludf.DUMMYFUNCTION("IFERROR(VLOOKUP(F42,IMPORTRANGE(""https://docs.google.com/spreadsheets/d/1Kvs4KS76FHFqLFIZfrDMff4kP08nblUkihrxltoGBjg/edit#gid=934712705"",""ESENCIAL!A6:BG""),8,FALSE))"),"SERVICIOS DE BARISMO")</f>
        <v>SERVICIOS DE BARISMO</v>
      </c>
      <c r="I59" s="30"/>
      <c r="J59" s="30"/>
      <c r="K59" s="30"/>
      <c r="L59" s="30" t="s">
        <v>37</v>
      </c>
      <c r="M59" s="30" t="s">
        <v>1305</v>
      </c>
      <c r="N59" s="30" t="s">
        <v>1306</v>
      </c>
      <c r="O59" s="30">
        <v>3173822164</v>
      </c>
      <c r="P59" s="30" t="s">
        <v>577</v>
      </c>
      <c r="Q59" s="30" t="s">
        <v>1307</v>
      </c>
      <c r="R59" s="88">
        <v>44801</v>
      </c>
      <c r="S59" s="181">
        <v>45012</v>
      </c>
      <c r="T59" s="30"/>
      <c r="U59" s="30" t="s">
        <v>1308</v>
      </c>
      <c r="V59" s="30" t="s">
        <v>608</v>
      </c>
      <c r="W59" s="30"/>
      <c r="X59" s="30"/>
      <c r="Y59" s="30"/>
      <c r="Z59" s="30"/>
      <c r="AA59" s="30"/>
      <c r="AB59" s="61" t="s">
        <v>1309</v>
      </c>
      <c r="AC59" s="207" t="s">
        <v>587</v>
      </c>
      <c r="AD59" s="30"/>
      <c r="AE59" s="30"/>
      <c r="AF59" s="30"/>
      <c r="AG59" s="30"/>
      <c r="AH59" s="30"/>
      <c r="AI59" s="30"/>
      <c r="AJ59" s="30"/>
      <c r="AK59" s="30"/>
      <c r="AL59" s="30"/>
      <c r="AM59" s="30"/>
      <c r="AN59" s="30"/>
      <c r="AO59" s="30"/>
      <c r="AP59" s="30"/>
      <c r="AQ59" s="30"/>
      <c r="AR59" s="30"/>
      <c r="AS59" s="30"/>
      <c r="AT59" s="30"/>
      <c r="AU59" s="19" t="str">
        <f t="shared" ca="1" si="8"/>
        <v>Procede_E_P</v>
      </c>
      <c r="AV59" s="11" t="str">
        <f ca="1">IFERROR(__xludf.DUMMYFUNCTION("IFERROR(VLOOKUP(E42&amp;F42,IMPORTRANGE(""https://docs.google.com/spreadsheets/d/1Uw7-A9f9R21vMXxHZFNpYNeKFtG8_yji4HS352LGlSQ/edit?pli=1#gid=0"",""1_ACUM!A4:S""),11,FALSE))"),"EN FORMACION")</f>
        <v>EN FORMACION</v>
      </c>
      <c r="AW59" s="20" t="str">
        <f ca="1">IFERROR(__xludf.DUMMYFUNCTION("IFERROR(VLOOKUP(F42,IMPORTRANGE(""https://docs.google.com/spreadsheets/d/1Kvs4KS76FHFqLFIZfrDMff4kP08nblUkihrxltoGBjg/edit#gid=934712705"",""ESENCIAL!A6:BG""),15,FALSE))"),"TURISMO")</f>
        <v>TURISMO</v>
      </c>
      <c r="AX59" s="21">
        <f ca="1">IFERROR(__xludf.DUMMYFUNCTION("IFERROR(VLOOKUP(E42&amp;F42,IMPORTRANGE(""https://docs.google.com/spreadsheets/d/1Uw7-A9f9R21vMXxHZFNpYNeKFtG8_yji4HS352LGlSQ/edit?pli=1#gid=0"",""1_ACUM!A4:S""),12,FALSE))"),44839)</f>
        <v>44839</v>
      </c>
      <c r="AY59" s="22">
        <f ca="1">IFERROR(__xludf.DUMMYFUNCTION("IFERROR(VLOOKUP(E42&amp;F42,IMPORTRANGE(""https://docs.google.com/spreadsheets/d/1Uw7-A9f9R21vMXxHZFNpYNeKFtG8_yji4HS352LGlSQ/edit?pli=1#gid=0"",""1_ACUM!A4:S""),13,FALSE))"),0)</f>
        <v>0</v>
      </c>
      <c r="AZ59" s="22">
        <f ca="1">IFERROR(__xludf.DUMMYFUNCTION("IFERROR(VLOOKUP(E42&amp;F42,IMPORTRANGE(""https://docs.google.com/spreadsheets/d/1Uw7-A9f9R21vMXxHZFNpYNeKFtG8_yji4HS352LGlSQ/edit?pli=1#gid=0"",""1_ACUM!A4:S""),14,FALSE))"),1)</f>
        <v>1</v>
      </c>
      <c r="BA59" s="22">
        <f ca="1">IFERROR(__xludf.DUMMYFUNCTION("IFERROR(VLOOKUP(E42&amp;F42,IMPORTRANGE(""https://docs.google.com/spreadsheets/d/1Uw7-A9f9R21vMXxHZFNpYNeKFtG8_yji4HS352LGlSQ/edit?pli=1#gid=0"",""1_ACUM!A4:S""),15,FALSE))"),0)</f>
        <v>0</v>
      </c>
      <c r="BB59" s="22">
        <f ca="1">IFERROR(__xludf.DUMMYFUNCTION("IFERROR(VLOOKUP(E42&amp;F42,IMPORTRANGE(""https://docs.google.com/spreadsheets/d/1Uw7-A9f9R21vMXxHZFNpYNeKFtG8_yji4HS352LGlSQ/edit?pli=1#gid=0"",""1_ACUM!A4:S""),16,FALSE))"),0)</f>
        <v>0</v>
      </c>
      <c r="BC59" s="22">
        <f ca="1">IFERROR(__xludf.DUMMYFUNCTION("IFERROR(VLOOKUP(E42&amp;F42,IMPORTRANGE(""https://docs.google.com/spreadsheets/d/1Uw7-A9f9R21vMXxHZFNpYNeKFtG8_yji4HS352LGlSQ/edit?pli=1#gid=0"",""1_ACUM!A4:S""),17,FALSE))"),1)</f>
        <v>1</v>
      </c>
      <c r="BD59" s="23">
        <f ca="1">IFERROR(__xludf.DUMMYFUNCTION("IFERROR(VLOOKUP(E42&amp;F42,IMPORTRANGE(""https://docs.google.com/spreadsheets/d/1Uw7-A9f9R21vMXxHZFNpYNeKFtG8_yji4HS352LGlSQ/edit?pli=1#gid=0"",""1_ACUM!A4:S""),18,FALSE))"),44328)</f>
        <v>44328</v>
      </c>
      <c r="BE59" s="23">
        <f ca="1">IFERROR(__xludf.DUMMYFUNCTION("IFERROR(VLOOKUP(E42&amp;F42,IMPORTRANGE(""https://docs.google.com/spreadsheets/d/1Uw7-A9f9R21vMXxHZFNpYNeKFtG8_yji4HS352LGlSQ/edit?pli=1#gid=0"",""1_ACUM!A4:S""),19,FALSE))"),44604)</f>
        <v>44604</v>
      </c>
      <c r="BF59" s="23">
        <f ca="1">IFERROR(__xludf.DUMMYFUNCTION("IFERROR(VLOOKUP(F42,IMPORTRANGE(""https://docs.google.com/spreadsheets/d/1Kvs4KS76FHFqLFIZfrDMff4kP08nblUkihrxltoGBjg/edit#gid=934712705"",""ESENCIAL!A6:BG""),5,FALSE))"),44785)</f>
        <v>44785</v>
      </c>
      <c r="BG59" s="23">
        <f t="shared" ca="1" si="9"/>
        <v>45334</v>
      </c>
      <c r="BH59" s="19" t="str">
        <f t="shared" ca="1" si="10"/>
        <v>FICHA EN TIEMPO-18 MESES</v>
      </c>
      <c r="BI59" s="19" t="str">
        <f ca="1">IFERROR(__xludf.DUMMYFUNCTION("IFERROR(VLOOKUP(F42,IMPORTRANGE(""https://docs.google.com/spreadsheets/d/1Kvs4KS76FHFqLFIZfrDMff4kP08nblUkihrxltoGBjg/edit#gid=934712705"",""ESENCIAL!A6:BG""),18,FALSE))"),"Terminada por fecha")</f>
        <v>Terminada por fecha</v>
      </c>
      <c r="BJ59" s="19" t="str">
        <f t="shared" si="11"/>
        <v>Yamboro</v>
      </c>
      <c r="BK59" s="291"/>
      <c r="BL59" s="19"/>
    </row>
    <row r="60" spans="1:64" ht="18" customHeight="1">
      <c r="A60" s="290" t="s">
        <v>1310</v>
      </c>
      <c r="B60" s="145" t="s">
        <v>25</v>
      </c>
      <c r="C60" s="57" t="s">
        <v>1311</v>
      </c>
      <c r="D60" s="57" t="s">
        <v>27</v>
      </c>
      <c r="E60" s="57">
        <v>1018459480</v>
      </c>
      <c r="F60" s="114">
        <v>2327533</v>
      </c>
      <c r="G60" s="11" t="str">
        <f ca="1">IFERROR(__xludf.DUMMYFUNCTION("IFERROR(VLOOKUP(F44,IMPORTRANGE(""https://docs.google.com/spreadsheets/d/1Kvs4KS76FHFqLFIZfrDMff4kP08nblUkihrxltoGBjg/edit#gid=934712705"",""ESENCIAL!A6:BG""),3,FALSE))"),"TÉCNICO")</f>
        <v>TÉCNICO</v>
      </c>
      <c r="H60" s="11" t="str">
        <f ca="1">IFERROR(__xludf.DUMMYFUNCTION("IFERROR(VLOOKUP(F44,IMPORTRANGE(""https://docs.google.com/spreadsheets/d/1Kvs4KS76FHFqLFIZfrDMff4kP08nblUkihrxltoGBjg/edit#gid=934712705"",""ESENCIAL!A6:BG""),8,FALSE))"),"SERVICIOS DE BARISMO")</f>
        <v>SERVICIOS DE BARISMO</v>
      </c>
      <c r="I60" s="58"/>
      <c r="J60" s="58"/>
      <c r="K60" s="30"/>
      <c r="L60" s="30" t="s">
        <v>37</v>
      </c>
      <c r="M60" s="224" t="s">
        <v>1312</v>
      </c>
      <c r="N60" s="30" t="s">
        <v>1313</v>
      </c>
      <c r="O60" s="30">
        <v>3173822164</v>
      </c>
      <c r="P60" s="30" t="s">
        <v>577</v>
      </c>
      <c r="Q60" s="30" t="s">
        <v>1307</v>
      </c>
      <c r="R60" s="30" t="s">
        <v>714</v>
      </c>
      <c r="S60" s="181" t="s">
        <v>1314</v>
      </c>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19" t="str">
        <f t="shared" ca="1" si="8"/>
        <v>Procede_E_P</v>
      </c>
      <c r="AV60" s="11" t="str">
        <f ca="1">IFERROR(__xludf.DUMMYFUNCTION("IFERROR(VLOOKUP(E44&amp;F44,IMPORTRANGE(""https://docs.google.com/spreadsheets/d/1Uw7-A9f9R21vMXxHZFNpYNeKFtG8_yji4HS352LGlSQ/edit?pli=1#gid=0"",""1_ACUM!A4:S""),11,FALSE))"),"EN FORMACION")</f>
        <v>EN FORMACION</v>
      </c>
      <c r="AW60" s="20" t="str">
        <f ca="1">IFERROR(__xludf.DUMMYFUNCTION("IFERROR(VLOOKUP(F44,IMPORTRANGE(""https://docs.google.com/spreadsheets/d/1Kvs4KS76FHFqLFIZfrDMff4kP08nblUkihrxltoGBjg/edit#gid=934712705"",""ESENCIAL!A6:BG""),15,FALSE))"),"TURISMO")</f>
        <v>TURISMO</v>
      </c>
      <c r="AX60" s="21">
        <f ca="1">IFERROR(__xludf.DUMMYFUNCTION("IFERROR(VLOOKUP(E44&amp;F44,IMPORTRANGE(""https://docs.google.com/spreadsheets/d/1Uw7-A9f9R21vMXxHZFNpYNeKFtG8_yji4HS352LGlSQ/edit?pli=1#gid=0"",""1_ACUM!A4:S""),12,FALSE))"),44839)</f>
        <v>44839</v>
      </c>
      <c r="AY60" s="22">
        <f ca="1">IFERROR(__xludf.DUMMYFUNCTION("IFERROR(VLOOKUP(E44&amp;F44,IMPORTRANGE(""https://docs.google.com/spreadsheets/d/1Uw7-A9f9R21vMXxHZFNpYNeKFtG8_yji4HS352LGlSQ/edit?pli=1#gid=0"",""1_ACUM!A4:S""),13,FALSE))"),0)</f>
        <v>0</v>
      </c>
      <c r="AZ60" s="22">
        <f ca="1">IFERROR(__xludf.DUMMYFUNCTION("IFERROR(VLOOKUP(E44&amp;F44,IMPORTRANGE(""https://docs.google.com/spreadsheets/d/1Uw7-A9f9R21vMXxHZFNpYNeKFtG8_yji4HS352LGlSQ/edit?pli=1#gid=0"",""1_ACUM!A4:S""),14,FALSE))"),1)</f>
        <v>1</v>
      </c>
      <c r="BA60" s="22">
        <f ca="1">IFERROR(__xludf.DUMMYFUNCTION("IFERROR(VLOOKUP(E44&amp;F44,IMPORTRANGE(""https://docs.google.com/spreadsheets/d/1Uw7-A9f9R21vMXxHZFNpYNeKFtG8_yji4HS352LGlSQ/edit?pli=1#gid=0"",""1_ACUM!A4:S""),15,FALSE))"),0)</f>
        <v>0</v>
      </c>
      <c r="BB60" s="22">
        <f ca="1">IFERROR(__xludf.DUMMYFUNCTION("IFERROR(VLOOKUP(E44&amp;F44,IMPORTRANGE(""https://docs.google.com/spreadsheets/d/1Uw7-A9f9R21vMXxHZFNpYNeKFtG8_yji4HS352LGlSQ/edit?pli=1#gid=0"",""1_ACUM!A4:S""),16,FALSE))"),0)</f>
        <v>0</v>
      </c>
      <c r="BC60" s="22">
        <f ca="1">IFERROR(__xludf.DUMMYFUNCTION("IFERROR(VLOOKUP(E44&amp;F44,IMPORTRANGE(""https://docs.google.com/spreadsheets/d/1Uw7-A9f9R21vMXxHZFNpYNeKFtG8_yji4HS352LGlSQ/edit?pli=1#gid=0"",""1_ACUM!A4:S""),17,FALSE))"),1)</f>
        <v>1</v>
      </c>
      <c r="BD60" s="23">
        <f ca="1">IFERROR(__xludf.DUMMYFUNCTION("IFERROR(VLOOKUP(E44&amp;F44,IMPORTRANGE(""https://docs.google.com/spreadsheets/d/1Uw7-A9f9R21vMXxHZFNpYNeKFtG8_yji4HS352LGlSQ/edit?pli=1#gid=0"",""1_ACUM!A4:S""),18,FALSE))"),44328)</f>
        <v>44328</v>
      </c>
      <c r="BE60" s="23">
        <f ca="1">IFERROR(__xludf.DUMMYFUNCTION("IFERROR(VLOOKUP(E44&amp;F44,IMPORTRANGE(""https://docs.google.com/spreadsheets/d/1Uw7-A9f9R21vMXxHZFNpYNeKFtG8_yji4HS352LGlSQ/edit?pli=1#gid=0"",""1_ACUM!A4:S""),19,FALSE))"),44604)</f>
        <v>44604</v>
      </c>
      <c r="BF60" s="23">
        <f ca="1">IFERROR(__xludf.DUMMYFUNCTION("IFERROR(VLOOKUP(F44,IMPORTRANGE(""https://docs.google.com/spreadsheets/d/1Kvs4KS76FHFqLFIZfrDMff4kP08nblUkihrxltoGBjg/edit#gid=934712705"",""ESENCIAL!A6:BG""),5,FALSE))"),44785)</f>
        <v>44785</v>
      </c>
      <c r="BG60" s="23">
        <f t="shared" ca="1" si="9"/>
        <v>45334</v>
      </c>
      <c r="BH60" s="19" t="str">
        <f t="shared" ca="1" si="10"/>
        <v>FICHA EN TIEMPO-18 MESES</v>
      </c>
      <c r="BI60" s="19" t="str">
        <f ca="1">IFERROR(__xludf.DUMMYFUNCTION("IFERROR(VLOOKUP(F44,IMPORTRANGE(""https://docs.google.com/spreadsheets/d/1Kvs4KS76FHFqLFIZfrDMff4kP08nblUkihrxltoGBjg/edit#gid=934712705"",""ESENCIAL!A6:BG""),18,FALSE))"),"Terminada por fecha")</f>
        <v>Terminada por fecha</v>
      </c>
      <c r="BJ60" s="19" t="str">
        <f t="shared" si="11"/>
        <v>Yamboro</v>
      </c>
      <c r="BK60" s="291"/>
      <c r="BL60" s="19"/>
    </row>
    <row r="61" spans="1:64" s="180" customFormat="1" ht="18" hidden="1" customHeight="1">
      <c r="A61" s="290"/>
      <c r="B61" s="145" t="s">
        <v>25</v>
      </c>
      <c r="C61" s="57" t="s">
        <v>1315</v>
      </c>
      <c r="D61" s="25" t="s">
        <v>67</v>
      </c>
      <c r="E61" s="57">
        <v>1079534642</v>
      </c>
      <c r="F61" s="114">
        <v>2327533</v>
      </c>
      <c r="G61" s="11" t="str">
        <f ca="1">IFERROR(__xludf.DUMMYFUNCTION("IFERROR(VLOOKUP(F45,IMPORTRANGE(""https://docs.google.com/spreadsheets/d/1Kvs4KS76FHFqLFIZfrDMff4kP08nblUkihrxltoGBjg/edit#gid=934712705"",""ESENCIAL!A6:BG""),3,FALSE))"),"TÉCNICO")</f>
        <v>TÉCNICO</v>
      </c>
      <c r="H61" s="11" t="str">
        <f ca="1">IFERROR(__xludf.DUMMYFUNCTION("IFERROR(VLOOKUP(F45,IMPORTRANGE(""https://docs.google.com/spreadsheets/d/1Kvs4KS76FHFqLFIZfrDMff4kP08nblUkihrxltoGBjg/edit#gid=934712705"",""ESENCIAL!A6:BG""),8,FALSE))"),"SERVICIOS DE BARISMO")</f>
        <v>SERVICIOS DE BARISMO</v>
      </c>
      <c r="I61" s="30"/>
      <c r="J61" s="30"/>
      <c r="K61" s="30"/>
      <c r="L61" s="285" t="s">
        <v>44</v>
      </c>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19" t="str">
        <f t="shared" ca="1" si="8"/>
        <v>NO_CUMPLE</v>
      </c>
      <c r="AV61" s="11" t="str">
        <f ca="1">IFERROR(__xludf.DUMMYFUNCTION("IFERROR(VLOOKUP(E45&amp;F45,IMPORTRANGE(""https://docs.google.com/spreadsheets/d/1Uw7-A9f9R21vMXxHZFNpYNeKFtG8_yji4HS352LGlSQ/edit?pli=1#gid=0"",""1_ACUM!A4:S""),11,FALSE))"),"EN FORMACION")</f>
        <v>EN FORMACION</v>
      </c>
      <c r="AW61" s="20" t="str">
        <f ca="1">IFERROR(__xludf.DUMMYFUNCTION("IFERROR(VLOOKUP(F45,IMPORTRANGE(""https://docs.google.com/spreadsheets/d/1Kvs4KS76FHFqLFIZfrDMff4kP08nblUkihrxltoGBjg/edit#gid=934712705"",""ESENCIAL!A6:BG""),15,FALSE))"),"TURISMO")</f>
        <v>TURISMO</v>
      </c>
      <c r="AX61" s="21">
        <f ca="1">IFERROR(__xludf.DUMMYFUNCTION("IFERROR(VLOOKUP(E45&amp;F45,IMPORTRANGE(""https://docs.google.com/spreadsheets/d/1Uw7-A9f9R21vMXxHZFNpYNeKFtG8_yji4HS352LGlSQ/edit?pli=1#gid=0"",""1_ACUM!A4:S""),12,FALSE))"),44839)</f>
        <v>44839</v>
      </c>
      <c r="AY61" s="22">
        <f ca="1">IFERROR(__xludf.DUMMYFUNCTION("IFERROR(VLOOKUP(E45&amp;F45,IMPORTRANGE(""https://docs.google.com/spreadsheets/d/1Uw7-A9f9R21vMXxHZFNpYNeKFtG8_yji4HS352LGlSQ/edit?pli=1#gid=0"",""1_ACUM!A4:S""),13,FALSE))"),28)</f>
        <v>28</v>
      </c>
      <c r="AZ61" s="22">
        <f ca="1">IFERROR(__xludf.DUMMYFUNCTION("IFERROR(VLOOKUP(E45&amp;F45,IMPORTRANGE(""https://docs.google.com/spreadsheets/d/1Uw7-A9f9R21vMXxHZFNpYNeKFtG8_yji4HS352LGlSQ/edit?pli=1#gid=0"",""1_ACUM!A4:S""),14,FALSE))"),1)</f>
        <v>1</v>
      </c>
      <c r="BA61" s="22">
        <f ca="1">IFERROR(__xludf.DUMMYFUNCTION("IFERROR(VLOOKUP(E45&amp;F45,IMPORTRANGE(""https://docs.google.com/spreadsheets/d/1Uw7-A9f9R21vMXxHZFNpYNeKFtG8_yji4HS352LGlSQ/edit?pli=1#gid=0"",""1_ACUM!A4:S""),15,FALSE))"),6)</f>
        <v>6</v>
      </c>
      <c r="BB61" s="22">
        <f ca="1">IFERROR(__xludf.DUMMYFUNCTION("IFERROR(VLOOKUP(E45&amp;F45,IMPORTRANGE(""https://docs.google.com/spreadsheets/d/1Uw7-A9f9R21vMXxHZFNpYNeKFtG8_yji4HS352LGlSQ/edit?pli=1#gid=0"",""1_ACUM!A4:S""),16,FALSE))"),10)</f>
        <v>10</v>
      </c>
      <c r="BC61" s="22">
        <f ca="1">IFERROR(__xludf.DUMMYFUNCTION("IFERROR(VLOOKUP(E45&amp;F45,IMPORTRANGE(""https://docs.google.com/spreadsheets/d/1Uw7-A9f9R21vMXxHZFNpYNeKFtG8_yji4HS352LGlSQ/edit?pli=1#gid=0"",""1_ACUM!A4:S""),17,FALSE))"),45)</f>
        <v>45</v>
      </c>
      <c r="BD61" s="23">
        <f ca="1">IFERROR(__xludf.DUMMYFUNCTION("IFERROR(VLOOKUP(E45&amp;F45,IMPORTRANGE(""https://docs.google.com/spreadsheets/d/1Uw7-A9f9R21vMXxHZFNpYNeKFtG8_yji4HS352LGlSQ/edit?pli=1#gid=0"",""1_ACUM!A4:S""),18,FALSE))"),44328)</f>
        <v>44328</v>
      </c>
      <c r="BE61" s="23">
        <f ca="1">IFERROR(__xludf.DUMMYFUNCTION("IFERROR(VLOOKUP(E45&amp;F45,IMPORTRANGE(""https://docs.google.com/spreadsheets/d/1Uw7-A9f9R21vMXxHZFNpYNeKFtG8_yji4HS352LGlSQ/edit?pli=1#gid=0"",""1_ACUM!A4:S""),19,FALSE))"),44604)</f>
        <v>44604</v>
      </c>
      <c r="BF61" s="23">
        <f ca="1">IFERROR(__xludf.DUMMYFUNCTION("IFERROR(VLOOKUP(F45,IMPORTRANGE(""https://docs.google.com/spreadsheets/d/1Kvs4KS76FHFqLFIZfrDMff4kP08nblUkihrxltoGBjg/edit#gid=934712705"",""ESENCIAL!A6:BG""),5,FALSE))"),44785)</f>
        <v>44785</v>
      </c>
      <c r="BG61" s="23">
        <f t="shared" ca="1" si="9"/>
        <v>45334</v>
      </c>
      <c r="BH61" s="19" t="str">
        <f t="shared" ca="1" si="10"/>
        <v>FICHA EN TIEMPO-18 MESES</v>
      </c>
      <c r="BI61" s="19" t="str">
        <f ca="1">IFERROR(__xludf.DUMMYFUNCTION("IFERROR(VLOOKUP(F45,IMPORTRANGE(""https://docs.google.com/spreadsheets/d/1Kvs4KS76FHFqLFIZfrDMff4kP08nblUkihrxltoGBjg/edit#gid=934712705"",""ESENCIAL!A6:BG""),18,FALSE))"),"Terminada por fecha")</f>
        <v>Terminada por fecha</v>
      </c>
      <c r="BJ61" s="19" t="str">
        <f t="shared" si="11"/>
        <v>Yamboro</v>
      </c>
      <c r="BK61" s="295"/>
      <c r="BL61" s="173"/>
    </row>
    <row r="62" spans="1:64" ht="18" hidden="1" customHeight="1">
      <c r="A62" s="290"/>
      <c r="B62" s="145" t="s">
        <v>25</v>
      </c>
      <c r="C62" s="57" t="s">
        <v>1316</v>
      </c>
      <c r="D62" s="25" t="s">
        <v>67</v>
      </c>
      <c r="E62" s="57">
        <v>1083864219</v>
      </c>
      <c r="F62" s="114">
        <v>2327533</v>
      </c>
      <c r="G62" s="11" t="str">
        <f ca="1">IFERROR(__xludf.DUMMYFUNCTION("IFERROR(VLOOKUP(F47,IMPORTRANGE(""https://docs.google.com/spreadsheets/d/1Kvs4KS76FHFqLFIZfrDMff4kP08nblUkihrxltoGBjg/edit#gid=934712705"",""ESENCIAL!A6:BG""),3,FALSE))"),"TÉCNICO")</f>
        <v>TÉCNICO</v>
      </c>
      <c r="H62" s="11" t="str">
        <f ca="1">IFERROR(__xludf.DUMMYFUNCTION("IFERROR(VLOOKUP(F47,IMPORTRANGE(""https://docs.google.com/spreadsheets/d/1Kvs4KS76FHFqLFIZfrDMff4kP08nblUkihrxltoGBjg/edit#gid=934712705"",""ESENCIAL!A6:BG""),8,FALSE))"),"SERVICIOS DE BARISMO")</f>
        <v>SERVICIOS DE BARISMO</v>
      </c>
      <c r="I62" s="30"/>
      <c r="J62" s="30"/>
      <c r="K62" s="30"/>
      <c r="L62" s="285" t="s">
        <v>44</v>
      </c>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19" t="str">
        <f t="shared" ca="1" si="8"/>
        <v>NO_CUMPLE</v>
      </c>
      <c r="AV62" s="11" t="str">
        <f ca="1">IFERROR(__xludf.DUMMYFUNCTION("IFERROR(VLOOKUP(E47&amp;F47,IMPORTRANGE(""https://docs.google.com/spreadsheets/d/1Uw7-A9f9R21vMXxHZFNpYNeKFtG8_yji4HS352LGlSQ/edit?pli=1#gid=0"",""1_ACUM!A4:S""),11,FALSE))"),"EN FORMACION")</f>
        <v>EN FORMACION</v>
      </c>
      <c r="AW62" s="20" t="str">
        <f ca="1">IFERROR(__xludf.DUMMYFUNCTION("IFERROR(VLOOKUP(F47,IMPORTRANGE(""https://docs.google.com/spreadsheets/d/1Kvs4KS76FHFqLFIZfrDMff4kP08nblUkihrxltoGBjg/edit#gid=934712705"",""ESENCIAL!A6:BG""),15,FALSE))"),"TURISMO")</f>
        <v>TURISMO</v>
      </c>
      <c r="AX62" s="21">
        <f ca="1">IFERROR(__xludf.DUMMYFUNCTION("IFERROR(VLOOKUP(E47&amp;F47,IMPORTRANGE(""https://docs.google.com/spreadsheets/d/1Uw7-A9f9R21vMXxHZFNpYNeKFtG8_yji4HS352LGlSQ/edit?pli=1#gid=0"",""1_ACUM!A4:S""),12,FALSE))"),44839)</f>
        <v>44839</v>
      </c>
      <c r="AY62" s="22">
        <f ca="1">IFERROR(__xludf.DUMMYFUNCTION("IFERROR(VLOOKUP(E47&amp;F47,IMPORTRANGE(""https://docs.google.com/spreadsheets/d/1Uw7-A9f9R21vMXxHZFNpYNeKFtG8_yji4HS352LGlSQ/edit?pli=1#gid=0"",""1_ACUM!A4:S""),13,FALSE))"),0)</f>
        <v>0</v>
      </c>
      <c r="AZ62" s="22">
        <f ca="1">IFERROR(__xludf.DUMMYFUNCTION("IFERROR(VLOOKUP(E47&amp;F47,IMPORTRANGE(""https://docs.google.com/spreadsheets/d/1Uw7-A9f9R21vMXxHZFNpYNeKFtG8_yji4HS352LGlSQ/edit?pli=1#gid=0"",""1_ACUM!A4:S""),14,FALSE))"),1)</f>
        <v>1</v>
      </c>
      <c r="BA62" s="22">
        <f ca="1">IFERROR(__xludf.DUMMYFUNCTION("IFERROR(VLOOKUP(E47&amp;F47,IMPORTRANGE(""https://docs.google.com/spreadsheets/d/1Uw7-A9f9R21vMXxHZFNpYNeKFtG8_yji4HS352LGlSQ/edit?pli=1#gid=0"",""1_ACUM!A4:S""),15,FALSE))"),6)</f>
        <v>6</v>
      </c>
      <c r="BB62" s="22">
        <f ca="1">IFERROR(__xludf.DUMMYFUNCTION("IFERROR(VLOOKUP(E47&amp;F47,IMPORTRANGE(""https://docs.google.com/spreadsheets/d/1Uw7-A9f9R21vMXxHZFNpYNeKFtG8_yji4HS352LGlSQ/edit?pli=1#gid=0"",""1_ACUM!A4:S""),16,FALSE))"),0)</f>
        <v>0</v>
      </c>
      <c r="BC62" s="22">
        <f ca="1">IFERROR(__xludf.DUMMYFUNCTION("IFERROR(VLOOKUP(E47&amp;F47,IMPORTRANGE(""https://docs.google.com/spreadsheets/d/1Uw7-A9f9R21vMXxHZFNpYNeKFtG8_yji4HS352LGlSQ/edit?pli=1#gid=0"",""1_ACUM!A4:S""),17,FALSE))"),7)</f>
        <v>7</v>
      </c>
      <c r="BD62" s="23">
        <f ca="1">IFERROR(__xludf.DUMMYFUNCTION("IFERROR(VLOOKUP(E47&amp;F47,IMPORTRANGE(""https://docs.google.com/spreadsheets/d/1Uw7-A9f9R21vMXxHZFNpYNeKFtG8_yji4HS352LGlSQ/edit?pli=1#gid=0"",""1_ACUM!A4:S""),18,FALSE))"),44328)</f>
        <v>44328</v>
      </c>
      <c r="BE62" s="23">
        <f ca="1">IFERROR(__xludf.DUMMYFUNCTION("IFERROR(VLOOKUP(E47&amp;F47,IMPORTRANGE(""https://docs.google.com/spreadsheets/d/1Uw7-A9f9R21vMXxHZFNpYNeKFtG8_yji4HS352LGlSQ/edit?pli=1#gid=0"",""1_ACUM!A4:S""),19,FALSE))"),44604)</f>
        <v>44604</v>
      </c>
      <c r="BF62" s="23">
        <f ca="1">IFERROR(__xludf.DUMMYFUNCTION("IFERROR(VLOOKUP(F47,IMPORTRANGE(""https://docs.google.com/spreadsheets/d/1Kvs4KS76FHFqLFIZfrDMff4kP08nblUkihrxltoGBjg/edit#gid=934712705"",""ESENCIAL!A6:BG""),5,FALSE))"),44785)</f>
        <v>44785</v>
      </c>
      <c r="BG62" s="23">
        <f t="shared" ca="1" si="9"/>
        <v>45334</v>
      </c>
      <c r="BH62" s="19" t="str">
        <f t="shared" ca="1" si="10"/>
        <v>FICHA EN TIEMPO-18 MESES</v>
      </c>
      <c r="BI62" s="19" t="str">
        <f ca="1">IFERROR(__xludf.DUMMYFUNCTION("IFERROR(VLOOKUP(F47,IMPORTRANGE(""https://docs.google.com/spreadsheets/d/1Kvs4KS76FHFqLFIZfrDMff4kP08nblUkihrxltoGBjg/edit#gid=934712705"",""ESENCIAL!A6:BG""),18,FALSE))"),"Terminada por fecha")</f>
        <v>Terminada por fecha</v>
      </c>
      <c r="BJ62" s="19" t="str">
        <f t="shared" si="11"/>
        <v>Yamboro</v>
      </c>
      <c r="BK62" s="291"/>
      <c r="BL62" s="19"/>
    </row>
    <row r="63" spans="1:64" ht="18" hidden="1" customHeight="1">
      <c r="A63" s="290"/>
      <c r="B63" s="145" t="s">
        <v>25</v>
      </c>
      <c r="C63" s="57" t="s">
        <v>1317</v>
      </c>
      <c r="D63" s="25" t="s">
        <v>67</v>
      </c>
      <c r="E63" s="57">
        <v>1083868726</v>
      </c>
      <c r="F63" s="114">
        <v>2327533</v>
      </c>
      <c r="G63" s="11" t="str">
        <f ca="1">IFERROR(__xludf.DUMMYFUNCTION("IFERROR(VLOOKUP(F48,IMPORTRANGE(""https://docs.google.com/spreadsheets/d/1Kvs4KS76FHFqLFIZfrDMff4kP08nblUkihrxltoGBjg/edit#gid=934712705"",""ESENCIAL!A6:BG""),3,FALSE))"),"TÉCNICO")</f>
        <v>TÉCNICO</v>
      </c>
      <c r="H63" s="11" t="str">
        <f ca="1">IFERROR(__xludf.DUMMYFUNCTION("IFERROR(VLOOKUP(F48,IMPORTRANGE(""https://docs.google.com/spreadsheets/d/1Kvs4KS76FHFqLFIZfrDMff4kP08nblUkihrxltoGBjg/edit#gid=934712705"",""ESENCIAL!A6:BG""),8,FALSE))"),"SERVICIOS DE BARISMO")</f>
        <v>SERVICIOS DE BARISMO</v>
      </c>
      <c r="I63" s="30"/>
      <c r="J63" s="30"/>
      <c r="K63" s="30"/>
      <c r="L63" s="285" t="s">
        <v>44</v>
      </c>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19" t="str">
        <f t="shared" ca="1" si="8"/>
        <v>Procede_E_P</v>
      </c>
      <c r="AV63" s="11" t="str">
        <f ca="1">IFERROR(__xludf.DUMMYFUNCTION("IFERROR(VLOOKUP(E48&amp;F48,IMPORTRANGE(""https://docs.google.com/spreadsheets/d/1Uw7-A9f9R21vMXxHZFNpYNeKFtG8_yji4HS352LGlSQ/edit?pli=1#gid=0"",""1_ACUM!A4:S""),11,FALSE))"),"EN FORMACION")</f>
        <v>EN FORMACION</v>
      </c>
      <c r="AW63" s="20" t="str">
        <f ca="1">IFERROR(__xludf.DUMMYFUNCTION("IFERROR(VLOOKUP(F48,IMPORTRANGE(""https://docs.google.com/spreadsheets/d/1Kvs4KS76FHFqLFIZfrDMff4kP08nblUkihrxltoGBjg/edit#gid=934712705"",""ESENCIAL!A6:BG""),15,FALSE))"),"TURISMO")</f>
        <v>TURISMO</v>
      </c>
      <c r="AX63" s="21">
        <f ca="1">IFERROR(__xludf.DUMMYFUNCTION("IFERROR(VLOOKUP(E48&amp;F48,IMPORTRANGE(""https://docs.google.com/spreadsheets/d/1Uw7-A9f9R21vMXxHZFNpYNeKFtG8_yji4HS352LGlSQ/edit?pli=1#gid=0"",""1_ACUM!A4:S""),12,FALSE))"),44839)</f>
        <v>44839</v>
      </c>
      <c r="AY63" s="22">
        <f ca="1">IFERROR(__xludf.DUMMYFUNCTION("IFERROR(VLOOKUP(E48&amp;F48,IMPORTRANGE(""https://docs.google.com/spreadsheets/d/1Uw7-A9f9R21vMXxHZFNpYNeKFtG8_yji4HS352LGlSQ/edit?pli=1#gid=0"",""1_ACUM!A4:S""),13,FALSE))"),0)</f>
        <v>0</v>
      </c>
      <c r="AZ63" s="22">
        <f ca="1">IFERROR(__xludf.DUMMYFUNCTION("IFERROR(VLOOKUP(E48&amp;F48,IMPORTRANGE(""https://docs.google.com/spreadsheets/d/1Uw7-A9f9R21vMXxHZFNpYNeKFtG8_yji4HS352LGlSQ/edit?pli=1#gid=0"",""1_ACUM!A4:S""),14,FALSE))"),1)</f>
        <v>1</v>
      </c>
      <c r="BA63" s="22">
        <f ca="1">IFERROR(__xludf.DUMMYFUNCTION("IFERROR(VLOOKUP(E48&amp;F48,IMPORTRANGE(""https://docs.google.com/spreadsheets/d/1Uw7-A9f9R21vMXxHZFNpYNeKFtG8_yji4HS352LGlSQ/edit?pli=1#gid=0"",""1_ACUM!A4:S""),15,FALSE))"),0)</f>
        <v>0</v>
      </c>
      <c r="BB63" s="22">
        <f ca="1">IFERROR(__xludf.DUMMYFUNCTION("IFERROR(VLOOKUP(E48&amp;F48,IMPORTRANGE(""https://docs.google.com/spreadsheets/d/1Uw7-A9f9R21vMXxHZFNpYNeKFtG8_yji4HS352LGlSQ/edit?pli=1#gid=0"",""1_ACUM!A4:S""),16,FALSE))"),0)</f>
        <v>0</v>
      </c>
      <c r="BC63" s="22">
        <f ca="1">IFERROR(__xludf.DUMMYFUNCTION("IFERROR(VLOOKUP(E48&amp;F48,IMPORTRANGE(""https://docs.google.com/spreadsheets/d/1Uw7-A9f9R21vMXxHZFNpYNeKFtG8_yji4HS352LGlSQ/edit?pli=1#gid=0"",""1_ACUM!A4:S""),17,FALSE))"),1)</f>
        <v>1</v>
      </c>
      <c r="BD63" s="23">
        <f ca="1">IFERROR(__xludf.DUMMYFUNCTION("IFERROR(VLOOKUP(E48&amp;F48,IMPORTRANGE(""https://docs.google.com/spreadsheets/d/1Uw7-A9f9R21vMXxHZFNpYNeKFtG8_yji4HS352LGlSQ/edit?pli=1#gid=0"",""1_ACUM!A4:S""),18,FALSE))"),44328)</f>
        <v>44328</v>
      </c>
      <c r="BE63" s="23">
        <f ca="1">IFERROR(__xludf.DUMMYFUNCTION("IFERROR(VLOOKUP(E48&amp;F48,IMPORTRANGE(""https://docs.google.com/spreadsheets/d/1Uw7-A9f9R21vMXxHZFNpYNeKFtG8_yji4HS352LGlSQ/edit?pli=1#gid=0"",""1_ACUM!A4:S""),19,FALSE))"),44604)</f>
        <v>44604</v>
      </c>
      <c r="BF63" s="23">
        <f ca="1">IFERROR(__xludf.DUMMYFUNCTION("IFERROR(VLOOKUP(F48,IMPORTRANGE(""https://docs.google.com/spreadsheets/d/1Kvs4KS76FHFqLFIZfrDMff4kP08nblUkihrxltoGBjg/edit#gid=934712705"",""ESENCIAL!A6:BG""),5,FALSE))"),44785)</f>
        <v>44785</v>
      </c>
      <c r="BG63" s="23">
        <f t="shared" ca="1" si="9"/>
        <v>45334</v>
      </c>
      <c r="BH63" s="19" t="str">
        <f t="shared" ca="1" si="10"/>
        <v>FICHA EN TIEMPO-18 MESES</v>
      </c>
      <c r="BI63" s="19" t="str">
        <f ca="1">IFERROR(__xludf.DUMMYFUNCTION("IFERROR(VLOOKUP(F48,IMPORTRANGE(""https://docs.google.com/spreadsheets/d/1Kvs4KS76FHFqLFIZfrDMff4kP08nblUkihrxltoGBjg/edit#gid=934712705"",""ESENCIAL!A6:BG""),18,FALSE))"),"Terminada por fecha")</f>
        <v>Terminada por fecha</v>
      </c>
      <c r="BJ63" s="19" t="str">
        <f t="shared" si="11"/>
        <v>Yamboro</v>
      </c>
      <c r="BK63" s="291"/>
      <c r="BL63" s="19"/>
    </row>
    <row r="64" spans="1:64" s="180" customFormat="1" ht="18" hidden="1" customHeight="1">
      <c r="A64" s="290"/>
      <c r="B64" s="145" t="s">
        <v>25</v>
      </c>
      <c r="C64" s="56" t="s">
        <v>1318</v>
      </c>
      <c r="D64" s="57" t="s">
        <v>27</v>
      </c>
      <c r="E64" s="57">
        <v>1083910649</v>
      </c>
      <c r="F64" s="114">
        <v>2327533</v>
      </c>
      <c r="G64" s="11" t="str">
        <f ca="1">IFERROR(__xludf.DUMMYFUNCTION("IFERROR(VLOOKUP(F50,IMPORTRANGE(""https://docs.google.com/spreadsheets/d/1Kvs4KS76FHFqLFIZfrDMff4kP08nblUkihrxltoGBjg/edit#gid=934712705"",""ESENCIAL!A6:BG""),3,FALSE))"),"TÉCNICO")</f>
        <v>TÉCNICO</v>
      </c>
      <c r="H64" s="11" t="str">
        <f ca="1">IFERROR(__xludf.DUMMYFUNCTION("IFERROR(VLOOKUP(F50,IMPORTRANGE(""https://docs.google.com/spreadsheets/d/1Kvs4KS76FHFqLFIZfrDMff4kP08nblUkihrxltoGBjg/edit#gid=934712705"",""ESENCIAL!A6:BG""),8,FALSE))"),"SERVICIOS DE BARISMO")</f>
        <v>SERVICIOS DE BARISMO</v>
      </c>
      <c r="I64" s="59"/>
      <c r="J64" s="59"/>
      <c r="K64" s="59"/>
      <c r="L64" s="285" t="s">
        <v>44</v>
      </c>
      <c r="M64" s="54"/>
      <c r="N64" s="54"/>
      <c r="O64" s="54"/>
      <c r="P64" s="54"/>
      <c r="Q64" s="54"/>
      <c r="R64" s="90"/>
      <c r="S64" s="90"/>
      <c r="T64" s="54"/>
      <c r="U64" s="54"/>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19" t="str">
        <f t="shared" ca="1" si="8"/>
        <v>NO_CUMPLE</v>
      </c>
      <c r="AV64" s="11" t="str">
        <f ca="1">IFERROR(__xludf.DUMMYFUNCTION("IFERROR(VLOOKUP(E50&amp;F50,IMPORTRANGE(""https://docs.google.com/spreadsheets/d/1Uw7-A9f9R21vMXxHZFNpYNeKFtG8_yji4HS352LGlSQ/edit?pli=1#gid=0"",""1_ACUM!A4:S""),11,FALSE))"),"EN FORMACION")</f>
        <v>EN FORMACION</v>
      </c>
      <c r="AW64" s="20" t="str">
        <f ca="1">IFERROR(__xludf.DUMMYFUNCTION("IFERROR(VLOOKUP(F50,IMPORTRANGE(""https://docs.google.com/spreadsheets/d/1Kvs4KS76FHFqLFIZfrDMff4kP08nblUkihrxltoGBjg/edit#gid=934712705"",""ESENCIAL!A6:BG""),15,FALSE))"),"TURISMO")</f>
        <v>TURISMO</v>
      </c>
      <c r="AX64" s="21">
        <f ca="1">IFERROR(__xludf.DUMMYFUNCTION("IFERROR(VLOOKUP(E50&amp;F50,IMPORTRANGE(""https://docs.google.com/spreadsheets/d/1Uw7-A9f9R21vMXxHZFNpYNeKFtG8_yji4HS352LGlSQ/edit?pli=1#gid=0"",""1_ACUM!A4:S""),12,FALSE))"),44839)</f>
        <v>44839</v>
      </c>
      <c r="AY64" s="22">
        <f ca="1">IFERROR(__xludf.DUMMYFUNCTION("IFERROR(VLOOKUP(E50&amp;F50,IMPORTRANGE(""https://docs.google.com/spreadsheets/d/1Uw7-A9f9R21vMXxHZFNpYNeKFtG8_yji4HS352LGlSQ/edit?pli=1#gid=0"",""1_ACUM!A4:S""),13,FALSE))"),24)</f>
        <v>24</v>
      </c>
      <c r="AZ64" s="22">
        <f ca="1">IFERROR(__xludf.DUMMYFUNCTION("IFERROR(VLOOKUP(E50&amp;F50,IMPORTRANGE(""https://docs.google.com/spreadsheets/d/1Uw7-A9f9R21vMXxHZFNpYNeKFtG8_yji4HS352LGlSQ/edit?pli=1#gid=0"",""1_ACUM!A4:S""),14,FALSE))"),1)</f>
        <v>1</v>
      </c>
      <c r="BA64" s="22">
        <f ca="1">IFERROR(__xludf.DUMMYFUNCTION("IFERROR(VLOOKUP(E50&amp;F50,IMPORTRANGE(""https://docs.google.com/spreadsheets/d/1Uw7-A9f9R21vMXxHZFNpYNeKFtG8_yji4HS352LGlSQ/edit?pli=1#gid=0"",""1_ACUM!A4:S""),15,FALSE))"),6)</f>
        <v>6</v>
      </c>
      <c r="BB64" s="22">
        <f ca="1">IFERROR(__xludf.DUMMYFUNCTION("IFERROR(VLOOKUP(E50&amp;F50,IMPORTRANGE(""https://docs.google.com/spreadsheets/d/1Uw7-A9f9R21vMXxHZFNpYNeKFtG8_yji4HS352LGlSQ/edit?pli=1#gid=0"",""1_ACUM!A4:S""),16,FALSE))"),11)</f>
        <v>11</v>
      </c>
      <c r="BC64" s="22">
        <f ca="1">IFERROR(__xludf.DUMMYFUNCTION("IFERROR(VLOOKUP(E50&amp;F50,IMPORTRANGE(""https://docs.google.com/spreadsheets/d/1Uw7-A9f9R21vMXxHZFNpYNeKFtG8_yji4HS352LGlSQ/edit?pli=1#gid=0"",""1_ACUM!A4:S""),17,FALSE))"),42)</f>
        <v>42</v>
      </c>
      <c r="BD64" s="23">
        <f ca="1">IFERROR(__xludf.DUMMYFUNCTION("IFERROR(VLOOKUP(E50&amp;F50,IMPORTRANGE(""https://docs.google.com/spreadsheets/d/1Uw7-A9f9R21vMXxHZFNpYNeKFtG8_yji4HS352LGlSQ/edit?pli=1#gid=0"",""1_ACUM!A4:S""),18,FALSE))"),44328)</f>
        <v>44328</v>
      </c>
      <c r="BE64" s="23">
        <f ca="1">IFERROR(__xludf.DUMMYFUNCTION("IFERROR(VLOOKUP(E50&amp;F50,IMPORTRANGE(""https://docs.google.com/spreadsheets/d/1Uw7-A9f9R21vMXxHZFNpYNeKFtG8_yji4HS352LGlSQ/edit?pli=1#gid=0"",""1_ACUM!A4:S""),19,FALSE))"),44604)</f>
        <v>44604</v>
      </c>
      <c r="BF64" s="23">
        <f ca="1">IFERROR(__xludf.DUMMYFUNCTION("IFERROR(VLOOKUP(F50,IMPORTRANGE(""https://docs.google.com/spreadsheets/d/1Kvs4KS76FHFqLFIZfrDMff4kP08nblUkihrxltoGBjg/edit#gid=934712705"",""ESENCIAL!A6:BG""),5,FALSE))"),44785)</f>
        <v>44785</v>
      </c>
      <c r="BG64" s="23">
        <f t="shared" ca="1" si="9"/>
        <v>45334</v>
      </c>
      <c r="BH64" s="19" t="str">
        <f t="shared" ca="1" si="10"/>
        <v>FICHA EN TIEMPO-18 MESES</v>
      </c>
      <c r="BI64" s="19" t="str">
        <f ca="1">IFERROR(__xludf.DUMMYFUNCTION("IFERROR(VLOOKUP(F50,IMPORTRANGE(""https://docs.google.com/spreadsheets/d/1Kvs4KS76FHFqLFIZfrDMff4kP08nblUkihrxltoGBjg/edit#gid=934712705"",""ESENCIAL!A6:BG""),18,FALSE))"),"Terminada por fecha")</f>
        <v>Terminada por fecha</v>
      </c>
      <c r="BJ64" s="19" t="str">
        <f t="shared" si="11"/>
        <v>Yamboro</v>
      </c>
      <c r="BK64" s="295"/>
      <c r="BL64" s="173"/>
    </row>
    <row r="65" spans="1:64" ht="18" hidden="1" customHeight="1">
      <c r="A65" s="290"/>
      <c r="B65" s="145" t="s">
        <v>25</v>
      </c>
      <c r="C65" s="57" t="s">
        <v>1319</v>
      </c>
      <c r="D65" s="57" t="s">
        <v>27</v>
      </c>
      <c r="E65" s="57">
        <v>1083923386</v>
      </c>
      <c r="F65" s="114">
        <v>2327533</v>
      </c>
      <c r="G65" s="11" t="str">
        <f ca="1">IFERROR(__xludf.DUMMYFUNCTION("IFERROR(VLOOKUP(F51,IMPORTRANGE(""https://docs.google.com/spreadsheets/d/1Kvs4KS76FHFqLFIZfrDMff4kP08nblUkihrxltoGBjg/edit#gid=934712705"",""ESENCIAL!A6:BG""),3,FALSE))"),"TÉCNICO")</f>
        <v>TÉCNICO</v>
      </c>
      <c r="H65" s="11" t="str">
        <f ca="1">IFERROR(__xludf.DUMMYFUNCTION("IFERROR(VLOOKUP(F51,IMPORTRANGE(""https://docs.google.com/spreadsheets/d/1Kvs4KS76FHFqLFIZfrDMff4kP08nblUkihrxltoGBjg/edit#gid=934712705"",""ESENCIAL!A6:BG""),8,FALSE))"),"SERVICIOS DE BARISMO")</f>
        <v>SERVICIOS DE BARISMO</v>
      </c>
      <c r="I65" s="30"/>
      <c r="J65" s="30"/>
      <c r="K65" s="30"/>
      <c r="L65" s="285" t="s">
        <v>44</v>
      </c>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19" t="str">
        <f t="shared" ca="1" si="8"/>
        <v>Procede_E_P</v>
      </c>
      <c r="AV65" s="11" t="str">
        <f ca="1">IFERROR(__xludf.DUMMYFUNCTION("IFERROR(VLOOKUP(E51&amp;F51,IMPORTRANGE(""https://docs.google.com/spreadsheets/d/1Uw7-A9f9R21vMXxHZFNpYNeKFtG8_yji4HS352LGlSQ/edit?pli=1#gid=0"",""1_ACUM!A4:S""),11,FALSE))"),"EN FORMACION")</f>
        <v>EN FORMACION</v>
      </c>
      <c r="AW65" s="20" t="str">
        <f ca="1">IFERROR(__xludf.DUMMYFUNCTION("IFERROR(VLOOKUP(F51,IMPORTRANGE(""https://docs.google.com/spreadsheets/d/1Kvs4KS76FHFqLFIZfrDMff4kP08nblUkihrxltoGBjg/edit#gid=934712705"",""ESENCIAL!A6:BG""),15,FALSE))"),"TURISMO")</f>
        <v>TURISMO</v>
      </c>
      <c r="AX65" s="21">
        <f ca="1">IFERROR(__xludf.DUMMYFUNCTION("IFERROR(VLOOKUP(E51&amp;F51,IMPORTRANGE(""https://docs.google.com/spreadsheets/d/1Uw7-A9f9R21vMXxHZFNpYNeKFtG8_yji4HS352LGlSQ/edit?pli=1#gid=0"",""1_ACUM!A4:S""),12,FALSE))"),44839)</f>
        <v>44839</v>
      </c>
      <c r="AY65" s="22">
        <f ca="1">IFERROR(__xludf.DUMMYFUNCTION("IFERROR(VLOOKUP(E51&amp;F51,IMPORTRANGE(""https://docs.google.com/spreadsheets/d/1Uw7-A9f9R21vMXxHZFNpYNeKFtG8_yji4HS352LGlSQ/edit?pli=1#gid=0"",""1_ACUM!A4:S""),13,FALSE))"),0)</f>
        <v>0</v>
      </c>
      <c r="AZ65" s="22">
        <f ca="1">IFERROR(__xludf.DUMMYFUNCTION("IFERROR(VLOOKUP(E51&amp;F51,IMPORTRANGE(""https://docs.google.com/spreadsheets/d/1Uw7-A9f9R21vMXxHZFNpYNeKFtG8_yji4HS352LGlSQ/edit?pli=1#gid=0"",""1_ACUM!A4:S""),14,FALSE))"),1)</f>
        <v>1</v>
      </c>
      <c r="BA65" s="22">
        <f ca="1">IFERROR(__xludf.DUMMYFUNCTION("IFERROR(VLOOKUP(E51&amp;F51,IMPORTRANGE(""https://docs.google.com/spreadsheets/d/1Uw7-A9f9R21vMXxHZFNpYNeKFtG8_yji4HS352LGlSQ/edit?pli=1#gid=0"",""1_ACUM!A4:S""),15,FALSE))"),0)</f>
        <v>0</v>
      </c>
      <c r="BB65" s="22">
        <f ca="1">IFERROR(__xludf.DUMMYFUNCTION("IFERROR(VLOOKUP(E51&amp;F51,IMPORTRANGE(""https://docs.google.com/spreadsheets/d/1Uw7-A9f9R21vMXxHZFNpYNeKFtG8_yji4HS352LGlSQ/edit?pli=1#gid=0"",""1_ACUM!A4:S""),16,FALSE))"),0)</f>
        <v>0</v>
      </c>
      <c r="BC65" s="22">
        <f ca="1">IFERROR(__xludf.DUMMYFUNCTION("IFERROR(VLOOKUP(E51&amp;F51,IMPORTRANGE(""https://docs.google.com/spreadsheets/d/1Uw7-A9f9R21vMXxHZFNpYNeKFtG8_yji4HS352LGlSQ/edit?pli=1#gid=0"",""1_ACUM!A4:S""),17,FALSE))"),1)</f>
        <v>1</v>
      </c>
      <c r="BD65" s="23">
        <f ca="1">IFERROR(__xludf.DUMMYFUNCTION("IFERROR(VLOOKUP(E51&amp;F51,IMPORTRANGE(""https://docs.google.com/spreadsheets/d/1Uw7-A9f9R21vMXxHZFNpYNeKFtG8_yji4HS352LGlSQ/edit?pli=1#gid=0"",""1_ACUM!A4:S""),18,FALSE))"),44328)</f>
        <v>44328</v>
      </c>
      <c r="BE65" s="23">
        <f ca="1">IFERROR(__xludf.DUMMYFUNCTION("IFERROR(VLOOKUP(E51&amp;F51,IMPORTRANGE(""https://docs.google.com/spreadsheets/d/1Uw7-A9f9R21vMXxHZFNpYNeKFtG8_yji4HS352LGlSQ/edit?pli=1#gid=0"",""1_ACUM!A4:S""),19,FALSE))"),44604)</f>
        <v>44604</v>
      </c>
      <c r="BF65" s="23">
        <f ca="1">IFERROR(__xludf.DUMMYFUNCTION("IFERROR(VLOOKUP(F51,IMPORTRANGE(""https://docs.google.com/spreadsheets/d/1Kvs4KS76FHFqLFIZfrDMff4kP08nblUkihrxltoGBjg/edit#gid=934712705"",""ESENCIAL!A6:BG""),5,FALSE))"),44785)</f>
        <v>44785</v>
      </c>
      <c r="BG65" s="23">
        <f t="shared" ca="1" si="9"/>
        <v>45334</v>
      </c>
      <c r="BH65" s="19" t="str">
        <f t="shared" ca="1" si="10"/>
        <v>FICHA EN TIEMPO-18 MESES</v>
      </c>
      <c r="BI65" s="19" t="str">
        <f ca="1">IFERROR(__xludf.DUMMYFUNCTION("IFERROR(VLOOKUP(F51,IMPORTRANGE(""https://docs.google.com/spreadsheets/d/1Kvs4KS76FHFqLFIZfrDMff4kP08nblUkihrxltoGBjg/edit#gid=934712705"",""ESENCIAL!A6:BG""),18,FALSE))"),"Terminada por fecha")</f>
        <v>Terminada por fecha</v>
      </c>
      <c r="BJ65" s="19" t="str">
        <f t="shared" si="11"/>
        <v>Yamboro</v>
      </c>
      <c r="BK65" s="291"/>
      <c r="BL65" s="19"/>
    </row>
    <row r="66" spans="1:64" s="180" customFormat="1" ht="18" hidden="1" customHeight="1">
      <c r="A66" s="290"/>
      <c r="B66" s="145" t="s">
        <v>25</v>
      </c>
      <c r="C66" s="57" t="s">
        <v>1320</v>
      </c>
      <c r="D66" s="57" t="s">
        <v>27</v>
      </c>
      <c r="E66" s="57">
        <v>1083924198</v>
      </c>
      <c r="F66" s="114">
        <v>2327533</v>
      </c>
      <c r="G66" s="11" t="str">
        <f ca="1">IFERROR(__xludf.DUMMYFUNCTION("IFERROR(VLOOKUP(F52,IMPORTRANGE(""https://docs.google.com/spreadsheets/d/1Kvs4KS76FHFqLFIZfrDMff4kP08nblUkihrxltoGBjg/edit#gid=934712705"",""ESENCIAL!A6:BG""),3,FALSE))"),"TÉCNICO")</f>
        <v>TÉCNICO</v>
      </c>
      <c r="H66" s="11" t="str">
        <f ca="1">IFERROR(__xludf.DUMMYFUNCTION("IFERROR(VLOOKUP(F52,IMPORTRANGE(""https://docs.google.com/spreadsheets/d/1Kvs4KS76FHFqLFIZfrDMff4kP08nblUkihrxltoGBjg/edit#gid=934712705"",""ESENCIAL!A6:BG""),8,FALSE))"),"SERVICIOS DE BARISMO")</f>
        <v>SERVICIOS DE BARISMO</v>
      </c>
      <c r="I66" s="30"/>
      <c r="J66" s="30"/>
      <c r="K66" s="30"/>
      <c r="L66" s="285" t="s">
        <v>44</v>
      </c>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19" t="str">
        <f t="shared" ca="1" si="8"/>
        <v>Procede_E_P</v>
      </c>
      <c r="AV66" s="11" t="str">
        <f ca="1">IFERROR(__xludf.DUMMYFUNCTION("IFERROR(VLOOKUP(E52&amp;F52,IMPORTRANGE(""https://docs.google.com/spreadsheets/d/1Uw7-A9f9R21vMXxHZFNpYNeKFtG8_yji4HS352LGlSQ/edit?pli=1#gid=0"",""1_ACUM!A4:S""),11,FALSE))"),"EN FORMACION")</f>
        <v>EN FORMACION</v>
      </c>
      <c r="AW66" s="20" t="str">
        <f ca="1">IFERROR(__xludf.DUMMYFUNCTION("IFERROR(VLOOKUP(F52,IMPORTRANGE(""https://docs.google.com/spreadsheets/d/1Kvs4KS76FHFqLFIZfrDMff4kP08nblUkihrxltoGBjg/edit#gid=934712705"",""ESENCIAL!A6:BG""),15,FALSE))"),"TURISMO")</f>
        <v>TURISMO</v>
      </c>
      <c r="AX66" s="21">
        <f ca="1">IFERROR(__xludf.DUMMYFUNCTION("IFERROR(VLOOKUP(E52&amp;F52,IMPORTRANGE(""https://docs.google.com/spreadsheets/d/1Uw7-A9f9R21vMXxHZFNpYNeKFtG8_yji4HS352LGlSQ/edit?pli=1#gid=0"",""1_ACUM!A4:S""),12,FALSE))"),44839)</f>
        <v>44839</v>
      </c>
      <c r="AY66" s="22">
        <f ca="1">IFERROR(__xludf.DUMMYFUNCTION("IFERROR(VLOOKUP(E52&amp;F52,IMPORTRANGE(""https://docs.google.com/spreadsheets/d/1Uw7-A9f9R21vMXxHZFNpYNeKFtG8_yji4HS352LGlSQ/edit?pli=1#gid=0"",""1_ACUM!A4:S""),13,FALSE))"),0)</f>
        <v>0</v>
      </c>
      <c r="AZ66" s="22">
        <f ca="1">IFERROR(__xludf.DUMMYFUNCTION("IFERROR(VLOOKUP(E52&amp;F52,IMPORTRANGE(""https://docs.google.com/spreadsheets/d/1Uw7-A9f9R21vMXxHZFNpYNeKFtG8_yji4HS352LGlSQ/edit?pli=1#gid=0"",""1_ACUM!A4:S""),14,FALSE))"),1)</f>
        <v>1</v>
      </c>
      <c r="BA66" s="22">
        <f ca="1">IFERROR(__xludf.DUMMYFUNCTION("IFERROR(VLOOKUP(E52&amp;F52,IMPORTRANGE(""https://docs.google.com/spreadsheets/d/1Uw7-A9f9R21vMXxHZFNpYNeKFtG8_yji4HS352LGlSQ/edit?pli=1#gid=0"",""1_ACUM!A4:S""),15,FALSE))"),0)</f>
        <v>0</v>
      </c>
      <c r="BB66" s="22">
        <f ca="1">IFERROR(__xludf.DUMMYFUNCTION("IFERROR(VLOOKUP(E52&amp;F52,IMPORTRANGE(""https://docs.google.com/spreadsheets/d/1Uw7-A9f9R21vMXxHZFNpYNeKFtG8_yji4HS352LGlSQ/edit?pli=1#gid=0"",""1_ACUM!A4:S""),16,FALSE))"),0)</f>
        <v>0</v>
      </c>
      <c r="BC66" s="22">
        <f ca="1">IFERROR(__xludf.DUMMYFUNCTION("IFERROR(VLOOKUP(E52&amp;F52,IMPORTRANGE(""https://docs.google.com/spreadsheets/d/1Uw7-A9f9R21vMXxHZFNpYNeKFtG8_yji4HS352LGlSQ/edit?pli=1#gid=0"",""1_ACUM!A4:S""),17,FALSE))"),1)</f>
        <v>1</v>
      </c>
      <c r="BD66" s="23">
        <f ca="1">IFERROR(__xludf.DUMMYFUNCTION("IFERROR(VLOOKUP(E52&amp;F52,IMPORTRANGE(""https://docs.google.com/spreadsheets/d/1Uw7-A9f9R21vMXxHZFNpYNeKFtG8_yji4HS352LGlSQ/edit?pli=1#gid=0"",""1_ACUM!A4:S""),18,FALSE))"),44328)</f>
        <v>44328</v>
      </c>
      <c r="BE66" s="23">
        <f ca="1">IFERROR(__xludf.DUMMYFUNCTION("IFERROR(VLOOKUP(E52&amp;F52,IMPORTRANGE(""https://docs.google.com/spreadsheets/d/1Uw7-A9f9R21vMXxHZFNpYNeKFtG8_yji4HS352LGlSQ/edit?pli=1#gid=0"",""1_ACUM!A4:S""),19,FALSE))"),44604)</f>
        <v>44604</v>
      </c>
      <c r="BF66" s="23">
        <f ca="1">IFERROR(__xludf.DUMMYFUNCTION("IFERROR(VLOOKUP(F52,IMPORTRANGE(""https://docs.google.com/spreadsheets/d/1Kvs4KS76FHFqLFIZfrDMff4kP08nblUkihrxltoGBjg/edit#gid=934712705"",""ESENCIAL!A6:BG""),5,FALSE))"),44785)</f>
        <v>44785</v>
      </c>
      <c r="BG66" s="23">
        <f t="shared" ca="1" si="9"/>
        <v>45334</v>
      </c>
      <c r="BH66" s="19" t="str">
        <f t="shared" ca="1" si="10"/>
        <v>FICHA EN TIEMPO-18 MESES</v>
      </c>
      <c r="BI66" s="19" t="str">
        <f ca="1">IFERROR(__xludf.DUMMYFUNCTION("IFERROR(VLOOKUP(F52,IMPORTRANGE(""https://docs.google.com/spreadsheets/d/1Kvs4KS76FHFqLFIZfrDMff4kP08nblUkihrxltoGBjg/edit#gid=934712705"",""ESENCIAL!A6:BG""),18,FALSE))"),"Terminada por fecha")</f>
        <v>Terminada por fecha</v>
      </c>
      <c r="BJ66" s="19" t="str">
        <f t="shared" si="11"/>
        <v>Yamboro</v>
      </c>
      <c r="BK66" s="295"/>
      <c r="BL66" s="173"/>
    </row>
    <row r="67" spans="1:64" ht="18" hidden="1" customHeight="1">
      <c r="A67" s="290"/>
      <c r="B67" s="145" t="s">
        <v>25</v>
      </c>
      <c r="C67" s="57" t="s">
        <v>1321</v>
      </c>
      <c r="D67" s="57" t="s">
        <v>27</v>
      </c>
      <c r="E67" s="57">
        <v>1140866132</v>
      </c>
      <c r="F67" s="114">
        <v>2327533</v>
      </c>
      <c r="G67" s="11" t="str">
        <f ca="1">IFERROR(__xludf.DUMMYFUNCTION("IFERROR(VLOOKUP(F53,IMPORTRANGE(""https://docs.google.com/spreadsheets/d/1Kvs4KS76FHFqLFIZfrDMff4kP08nblUkihrxltoGBjg/edit#gid=934712705"",""ESENCIAL!A6:BG""),3,FALSE))"),"TÉCNICO")</f>
        <v>TÉCNICO</v>
      </c>
      <c r="H67" s="11" t="str">
        <f ca="1">IFERROR(__xludf.DUMMYFUNCTION("IFERROR(VLOOKUP(F53,IMPORTRANGE(""https://docs.google.com/spreadsheets/d/1Kvs4KS76FHFqLFIZfrDMff4kP08nblUkihrxltoGBjg/edit#gid=934712705"",""ESENCIAL!A6:BG""),8,FALSE))"),"SERVICIOS DE BARISMO")</f>
        <v>SERVICIOS DE BARISMO</v>
      </c>
      <c r="I67" s="30"/>
      <c r="J67" s="30"/>
      <c r="K67" s="30"/>
      <c r="L67" s="285" t="s">
        <v>44</v>
      </c>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19" t="str">
        <f t="shared" ca="1" si="8"/>
        <v>Procede_E_P</v>
      </c>
      <c r="AV67" s="11" t="str">
        <f ca="1">IFERROR(__xludf.DUMMYFUNCTION("IFERROR(VLOOKUP(E53&amp;F53,IMPORTRANGE(""https://docs.google.com/spreadsheets/d/1Uw7-A9f9R21vMXxHZFNpYNeKFtG8_yji4HS352LGlSQ/edit?pli=1#gid=0"",""1_ACUM!A4:S""),11,FALSE))"),"EN FORMACION")</f>
        <v>EN FORMACION</v>
      </c>
      <c r="AW67" s="20" t="str">
        <f ca="1">IFERROR(__xludf.DUMMYFUNCTION("IFERROR(VLOOKUP(F53,IMPORTRANGE(""https://docs.google.com/spreadsheets/d/1Kvs4KS76FHFqLFIZfrDMff4kP08nblUkihrxltoGBjg/edit#gid=934712705"",""ESENCIAL!A6:BG""),15,FALSE))"),"TURISMO")</f>
        <v>TURISMO</v>
      </c>
      <c r="AX67" s="21">
        <f ca="1">IFERROR(__xludf.DUMMYFUNCTION("IFERROR(VLOOKUP(E53&amp;F53,IMPORTRANGE(""https://docs.google.com/spreadsheets/d/1Uw7-A9f9R21vMXxHZFNpYNeKFtG8_yji4HS352LGlSQ/edit?pli=1#gid=0"",""1_ACUM!A4:S""),12,FALSE))"),44839)</f>
        <v>44839</v>
      </c>
      <c r="AY67" s="22">
        <f ca="1">IFERROR(__xludf.DUMMYFUNCTION("IFERROR(VLOOKUP(E53&amp;F53,IMPORTRANGE(""https://docs.google.com/spreadsheets/d/1Uw7-A9f9R21vMXxHZFNpYNeKFtG8_yji4HS352LGlSQ/edit?pli=1#gid=0"",""1_ACUM!A4:S""),13,FALSE))"),0)</f>
        <v>0</v>
      </c>
      <c r="AZ67" s="22">
        <f ca="1">IFERROR(__xludf.DUMMYFUNCTION("IFERROR(VLOOKUP(E53&amp;F53,IMPORTRANGE(""https://docs.google.com/spreadsheets/d/1Uw7-A9f9R21vMXxHZFNpYNeKFtG8_yji4HS352LGlSQ/edit?pli=1#gid=0"",""1_ACUM!A4:S""),14,FALSE))"),1)</f>
        <v>1</v>
      </c>
      <c r="BA67" s="22">
        <f ca="1">IFERROR(__xludf.DUMMYFUNCTION("IFERROR(VLOOKUP(E53&amp;F53,IMPORTRANGE(""https://docs.google.com/spreadsheets/d/1Uw7-A9f9R21vMXxHZFNpYNeKFtG8_yji4HS352LGlSQ/edit?pli=1#gid=0"",""1_ACUM!A4:S""),15,FALSE))"),0)</f>
        <v>0</v>
      </c>
      <c r="BB67" s="22">
        <f ca="1">IFERROR(__xludf.DUMMYFUNCTION("IFERROR(VLOOKUP(E53&amp;F53,IMPORTRANGE(""https://docs.google.com/spreadsheets/d/1Uw7-A9f9R21vMXxHZFNpYNeKFtG8_yji4HS352LGlSQ/edit?pli=1#gid=0"",""1_ACUM!A4:S""),16,FALSE))"),0)</f>
        <v>0</v>
      </c>
      <c r="BC67" s="22">
        <f ca="1">IFERROR(__xludf.DUMMYFUNCTION("IFERROR(VLOOKUP(E53&amp;F53,IMPORTRANGE(""https://docs.google.com/spreadsheets/d/1Uw7-A9f9R21vMXxHZFNpYNeKFtG8_yji4HS352LGlSQ/edit?pli=1#gid=0"",""1_ACUM!A4:S""),17,FALSE))"),1)</f>
        <v>1</v>
      </c>
      <c r="BD67" s="23">
        <f ca="1">IFERROR(__xludf.DUMMYFUNCTION("IFERROR(VLOOKUP(E53&amp;F53,IMPORTRANGE(""https://docs.google.com/spreadsheets/d/1Uw7-A9f9R21vMXxHZFNpYNeKFtG8_yji4HS352LGlSQ/edit?pli=1#gid=0"",""1_ACUM!A4:S""),18,FALSE))"),44328)</f>
        <v>44328</v>
      </c>
      <c r="BE67" s="23">
        <f ca="1">IFERROR(__xludf.DUMMYFUNCTION("IFERROR(VLOOKUP(E53&amp;F53,IMPORTRANGE(""https://docs.google.com/spreadsheets/d/1Uw7-A9f9R21vMXxHZFNpYNeKFtG8_yji4HS352LGlSQ/edit?pli=1#gid=0"",""1_ACUM!A4:S""),19,FALSE))"),44604)</f>
        <v>44604</v>
      </c>
      <c r="BF67" s="23">
        <f ca="1">IFERROR(__xludf.DUMMYFUNCTION("IFERROR(VLOOKUP(F53,IMPORTRANGE(""https://docs.google.com/spreadsheets/d/1Kvs4KS76FHFqLFIZfrDMff4kP08nblUkihrxltoGBjg/edit#gid=934712705"",""ESENCIAL!A6:BG""),5,FALSE))"),44785)</f>
        <v>44785</v>
      </c>
      <c r="BG67" s="23">
        <f t="shared" ca="1" si="9"/>
        <v>45334</v>
      </c>
      <c r="BH67" s="19" t="str">
        <f t="shared" ca="1" si="10"/>
        <v>FICHA EN TIEMPO-18 MESES</v>
      </c>
      <c r="BI67" s="19" t="str">
        <f ca="1">IFERROR(__xludf.DUMMYFUNCTION("IFERROR(VLOOKUP(F53,IMPORTRANGE(""https://docs.google.com/spreadsheets/d/1Kvs4KS76FHFqLFIZfrDMff4kP08nblUkihrxltoGBjg/edit#gid=934712705"",""ESENCIAL!A6:BG""),18,FALSE))"),"Terminada por fecha")</f>
        <v>Terminada por fecha</v>
      </c>
      <c r="BJ67" s="19" t="str">
        <f t="shared" si="11"/>
        <v>Yamboro</v>
      </c>
      <c r="BK67" s="291"/>
      <c r="BL67" s="19"/>
    </row>
    <row r="68" spans="1:64" ht="18" hidden="1" customHeight="1">
      <c r="A68" s="290"/>
      <c r="B68" s="145" t="s">
        <v>25</v>
      </c>
      <c r="C68" s="57" t="s">
        <v>1322</v>
      </c>
      <c r="D68" s="57" t="s">
        <v>27</v>
      </c>
      <c r="E68" s="57">
        <v>79628351</v>
      </c>
      <c r="F68" s="114">
        <v>2327533</v>
      </c>
      <c r="G68" s="11" t="str">
        <f ca="1">IFERROR(__xludf.DUMMYFUNCTION("IFERROR(VLOOKUP(F54,IMPORTRANGE(""https://docs.google.com/spreadsheets/d/1Kvs4KS76FHFqLFIZfrDMff4kP08nblUkihrxltoGBjg/edit#gid=934712705"",""ESENCIAL!A6:BG""),3,FALSE))"),"TÉCNICO")</f>
        <v>TÉCNICO</v>
      </c>
      <c r="H68" s="11" t="str">
        <f ca="1">IFERROR(__xludf.DUMMYFUNCTION("IFERROR(VLOOKUP(F54,IMPORTRANGE(""https://docs.google.com/spreadsheets/d/1Kvs4KS76FHFqLFIZfrDMff4kP08nblUkihrxltoGBjg/edit#gid=934712705"",""ESENCIAL!A6:BG""),8,FALSE))"),"SERVICIOS DE BARISMO")</f>
        <v>SERVICIOS DE BARISMO</v>
      </c>
      <c r="I68" s="30"/>
      <c r="J68" s="30"/>
      <c r="K68" s="30"/>
      <c r="L68" s="285" t="s">
        <v>44</v>
      </c>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19" t="str">
        <f t="shared" ca="1" si="8"/>
        <v>NO_CUMPLE</v>
      </c>
      <c r="AV68" s="11" t="str">
        <f ca="1">IFERROR(__xludf.DUMMYFUNCTION("IFERROR(VLOOKUP(E54&amp;F54,IMPORTRANGE(""https://docs.google.com/spreadsheets/d/1Uw7-A9f9R21vMXxHZFNpYNeKFtG8_yji4HS352LGlSQ/edit?pli=1#gid=0"",""1_ACUM!A4:S""),11,FALSE))"),"EN FORMACION")</f>
        <v>EN FORMACION</v>
      </c>
      <c r="AW68" s="20" t="str">
        <f ca="1">IFERROR(__xludf.DUMMYFUNCTION("IFERROR(VLOOKUP(F54,IMPORTRANGE(""https://docs.google.com/spreadsheets/d/1Kvs4KS76FHFqLFIZfrDMff4kP08nblUkihrxltoGBjg/edit#gid=934712705"",""ESENCIAL!A6:BG""),15,FALSE))"),"TURISMO")</f>
        <v>TURISMO</v>
      </c>
      <c r="AX68" s="21">
        <f ca="1">IFERROR(__xludf.DUMMYFUNCTION("IFERROR(VLOOKUP(E54&amp;F54,IMPORTRANGE(""https://docs.google.com/spreadsheets/d/1Uw7-A9f9R21vMXxHZFNpYNeKFtG8_yji4HS352LGlSQ/edit?pli=1#gid=0"",""1_ACUM!A4:S""),12,FALSE))"),44839)</f>
        <v>44839</v>
      </c>
      <c r="AY68" s="22">
        <f ca="1">IFERROR(__xludf.DUMMYFUNCTION("IFERROR(VLOOKUP(E54&amp;F54,IMPORTRANGE(""https://docs.google.com/spreadsheets/d/1Uw7-A9f9R21vMXxHZFNpYNeKFtG8_yji4HS352LGlSQ/edit?pli=1#gid=0"",""1_ACUM!A4:S""),13,FALSE))"),28)</f>
        <v>28</v>
      </c>
      <c r="AZ68" s="22">
        <f ca="1">IFERROR(__xludf.DUMMYFUNCTION("IFERROR(VLOOKUP(E54&amp;F54,IMPORTRANGE(""https://docs.google.com/spreadsheets/d/1Uw7-A9f9R21vMXxHZFNpYNeKFtG8_yji4HS352LGlSQ/edit?pli=1#gid=0"",""1_ACUM!A4:S""),14,FALSE))"),1)</f>
        <v>1</v>
      </c>
      <c r="BA68" s="22">
        <f ca="1">IFERROR(__xludf.DUMMYFUNCTION("IFERROR(VLOOKUP(E54&amp;F54,IMPORTRANGE(""https://docs.google.com/spreadsheets/d/1Uw7-A9f9R21vMXxHZFNpYNeKFtG8_yji4HS352LGlSQ/edit?pli=1#gid=0"",""1_ACUM!A4:S""),15,FALSE))"),6)</f>
        <v>6</v>
      </c>
      <c r="BB68" s="22">
        <f ca="1">IFERROR(__xludf.DUMMYFUNCTION("IFERROR(VLOOKUP(E54&amp;F54,IMPORTRANGE(""https://docs.google.com/spreadsheets/d/1Uw7-A9f9R21vMXxHZFNpYNeKFtG8_yji4HS352LGlSQ/edit?pli=1#gid=0"",""1_ACUM!A4:S""),16,FALSE))"),11)</f>
        <v>11</v>
      </c>
      <c r="BC68" s="22">
        <f ca="1">IFERROR(__xludf.DUMMYFUNCTION("IFERROR(VLOOKUP(E54&amp;F54,IMPORTRANGE(""https://docs.google.com/spreadsheets/d/1Uw7-A9f9R21vMXxHZFNpYNeKFtG8_yji4HS352LGlSQ/edit?pli=1#gid=0"",""1_ACUM!A4:S""),17,FALSE))"),46)</f>
        <v>46</v>
      </c>
      <c r="BD68" s="23">
        <f ca="1">IFERROR(__xludf.DUMMYFUNCTION("IFERROR(VLOOKUP(E54&amp;F54,IMPORTRANGE(""https://docs.google.com/spreadsheets/d/1Uw7-A9f9R21vMXxHZFNpYNeKFtG8_yji4HS352LGlSQ/edit?pli=1#gid=0"",""1_ACUM!A4:S""),18,FALSE))"),44328)</f>
        <v>44328</v>
      </c>
      <c r="BE68" s="23">
        <f ca="1">IFERROR(__xludf.DUMMYFUNCTION("IFERROR(VLOOKUP(E54&amp;F54,IMPORTRANGE(""https://docs.google.com/spreadsheets/d/1Uw7-A9f9R21vMXxHZFNpYNeKFtG8_yji4HS352LGlSQ/edit?pli=1#gid=0"",""1_ACUM!A4:S""),19,FALSE))"),44604)</f>
        <v>44604</v>
      </c>
      <c r="BF68" s="23">
        <f ca="1">IFERROR(__xludf.DUMMYFUNCTION("IFERROR(VLOOKUP(F54,IMPORTRANGE(""https://docs.google.com/spreadsheets/d/1Kvs4KS76FHFqLFIZfrDMff4kP08nblUkihrxltoGBjg/edit#gid=934712705"",""ESENCIAL!A6:BG""),5,FALSE))"),44785)</f>
        <v>44785</v>
      </c>
      <c r="BG68" s="23">
        <f t="shared" ca="1" si="9"/>
        <v>45334</v>
      </c>
      <c r="BH68" s="19" t="str">
        <f t="shared" ca="1" si="10"/>
        <v>FICHA EN TIEMPO-18 MESES</v>
      </c>
      <c r="BI68" s="19" t="str">
        <f ca="1">IFERROR(__xludf.DUMMYFUNCTION("IFERROR(VLOOKUP(F54,IMPORTRANGE(""https://docs.google.com/spreadsheets/d/1Kvs4KS76FHFqLFIZfrDMff4kP08nblUkihrxltoGBjg/edit#gid=934712705"",""ESENCIAL!A6:BG""),18,FALSE))"),"Terminada por fecha")</f>
        <v>Terminada por fecha</v>
      </c>
      <c r="BJ68" s="19" t="str">
        <f t="shared" si="11"/>
        <v>Yamboro</v>
      </c>
      <c r="BK68" s="291"/>
      <c r="BL68" s="19"/>
    </row>
    <row r="69" spans="1:64" ht="18" hidden="1" customHeight="1">
      <c r="A69" s="290"/>
      <c r="B69" s="145" t="s">
        <v>25</v>
      </c>
      <c r="C69" s="57" t="s">
        <v>1323</v>
      </c>
      <c r="D69" s="57" t="s">
        <v>27</v>
      </c>
      <c r="E69" s="57">
        <v>1000854974</v>
      </c>
      <c r="F69" s="114">
        <v>2280135</v>
      </c>
      <c r="G69" s="11" t="str">
        <f ca="1">IFERROR(__xludf.DUMMYFUNCTION("IFERROR(VLOOKUP(F56,IMPORTRANGE(""https://docs.google.com/spreadsheets/d/1Kvs4KS76FHFqLFIZfrDMff4kP08nblUkihrxltoGBjg/edit#gid=934712705"",""ESENCIAL!A6:BG""),3,FALSE))"),"TÉCNICO")</f>
        <v>TÉCNICO</v>
      </c>
      <c r="H69" s="11" t="str">
        <f ca="1">IFERROR(__xludf.DUMMYFUNCTION("IFERROR(VLOOKUP(F56,IMPORTRANGE(""https://docs.google.com/spreadsheets/d/1Kvs4KS76FHFqLFIZfrDMff4kP08nblUkihrxltoGBjg/edit#gid=934712705"",""ESENCIAL!A6:BG""),8,FALSE))"),"SERVICIOS DE BARISMO")</f>
        <v>SERVICIOS DE BARISMO</v>
      </c>
      <c r="I69" s="57"/>
      <c r="J69" s="30"/>
      <c r="K69" s="30"/>
      <c r="L69" s="285" t="s">
        <v>44</v>
      </c>
      <c r="M69" s="30"/>
      <c r="N69" s="30"/>
      <c r="O69" s="30"/>
      <c r="P69" s="30"/>
      <c r="Q69" s="30"/>
      <c r="R69" s="88"/>
      <c r="S69" s="88"/>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19" t="str">
        <f t="shared" ca="1" si="8"/>
        <v>NO_CUMPLE</v>
      </c>
      <c r="AV69" s="11" t="str">
        <f ca="1">IFERROR(__xludf.DUMMYFUNCTION("IFERROR(VLOOKUP(E56&amp;F56,IMPORTRANGE(""https://docs.google.com/spreadsheets/d/1Uw7-A9f9R21vMXxHZFNpYNeKFtG8_yji4HS352LGlSQ/edit?pli=1#gid=0"",""1_ACUM!A4:S""),11,FALSE))"),"EN FORMACION")</f>
        <v>EN FORMACION</v>
      </c>
      <c r="AW69" s="20" t="str">
        <f ca="1">IFERROR(__xludf.DUMMYFUNCTION("IFERROR(VLOOKUP(F56,IMPORTRANGE(""https://docs.google.com/spreadsheets/d/1Kvs4KS76FHFqLFIZfrDMff4kP08nblUkihrxltoGBjg/edit#gid=934712705"",""ESENCIAL!A6:BG""),15,FALSE))"),"TURISMO")</f>
        <v>TURISMO</v>
      </c>
      <c r="AX69" s="21">
        <f ca="1">IFERROR(__xludf.DUMMYFUNCTION("IFERROR(VLOOKUP(E56&amp;F56,IMPORTRANGE(""https://docs.google.com/spreadsheets/d/1Uw7-A9f9R21vMXxHZFNpYNeKFtG8_yji4HS352LGlSQ/edit?pli=1#gid=0"",""1_ACUM!A4:S""),12,FALSE))"),44839)</f>
        <v>44839</v>
      </c>
      <c r="AY69" s="22">
        <f ca="1">IFERROR(__xludf.DUMMYFUNCTION("IFERROR(VLOOKUP(E56&amp;F56,IMPORTRANGE(""https://docs.google.com/spreadsheets/d/1Uw7-A9f9R21vMXxHZFNpYNeKFtG8_yji4HS352LGlSQ/edit?pli=1#gid=0"",""1_ACUM!A4:S""),13,FALSE))"),21)</f>
        <v>21</v>
      </c>
      <c r="AZ69" s="22">
        <f ca="1">IFERROR(__xludf.DUMMYFUNCTION("IFERROR(VLOOKUP(E56&amp;F56,IMPORTRANGE(""https://docs.google.com/spreadsheets/d/1Uw7-A9f9R21vMXxHZFNpYNeKFtG8_yji4HS352LGlSQ/edit?pli=1#gid=0"",""1_ACUM!A4:S""),14,FALSE))"),1)</f>
        <v>1</v>
      </c>
      <c r="BA69" s="22">
        <f ca="1">IFERROR(__xludf.DUMMYFUNCTION("IFERROR(VLOOKUP(E56&amp;F56,IMPORTRANGE(""https://docs.google.com/spreadsheets/d/1Uw7-A9f9R21vMXxHZFNpYNeKFtG8_yji4HS352LGlSQ/edit?pli=1#gid=0"",""1_ACUM!A4:S""),15,FALSE))"),6)</f>
        <v>6</v>
      </c>
      <c r="BB69" s="22">
        <f ca="1">IFERROR(__xludf.DUMMYFUNCTION("IFERROR(VLOOKUP(E56&amp;F56,IMPORTRANGE(""https://docs.google.com/spreadsheets/d/1Uw7-A9f9R21vMXxHZFNpYNeKFtG8_yji4HS352LGlSQ/edit?pli=1#gid=0"",""1_ACUM!A4:S""),16,FALSE))"),11)</f>
        <v>11</v>
      </c>
      <c r="BC69" s="22">
        <f ca="1">IFERROR(__xludf.DUMMYFUNCTION("IFERROR(VLOOKUP(E56&amp;F56,IMPORTRANGE(""https://docs.google.com/spreadsheets/d/1Uw7-A9f9R21vMXxHZFNpYNeKFtG8_yji4HS352LGlSQ/edit?pli=1#gid=0"",""1_ACUM!A4:S""),17,FALSE))"),39)</f>
        <v>39</v>
      </c>
      <c r="BD69" s="23">
        <f ca="1">IFERROR(__xludf.DUMMYFUNCTION("IFERROR(VLOOKUP(E56&amp;F56,IMPORTRANGE(""https://docs.google.com/spreadsheets/d/1Uw7-A9f9R21vMXxHZFNpYNeKFtG8_yji4HS352LGlSQ/edit?pli=1#gid=0"",""1_ACUM!A4:S""),18,FALSE))"),44301)</f>
        <v>44301</v>
      </c>
      <c r="BE69" s="23">
        <f ca="1">IFERROR(__xludf.DUMMYFUNCTION("IFERROR(VLOOKUP(E56&amp;F56,IMPORTRANGE(""https://docs.google.com/spreadsheets/d/1Uw7-A9f9R21vMXxHZFNpYNeKFtG8_yji4HS352LGlSQ/edit?pli=1#gid=0"",""1_ACUM!A4:S""),19,FALSE))"),44575)</f>
        <v>44575</v>
      </c>
      <c r="BF69" s="23">
        <f ca="1">IFERROR(__xludf.DUMMYFUNCTION("IFERROR(VLOOKUP(F56,IMPORTRANGE(""https://docs.google.com/spreadsheets/d/1Kvs4KS76FHFqLFIZfrDMff4kP08nblUkihrxltoGBjg/edit#gid=934712705"",""ESENCIAL!A6:BG""),5,FALSE))"),44756)</f>
        <v>44756</v>
      </c>
      <c r="BG69" s="23">
        <f t="shared" ca="1" si="9"/>
        <v>45305</v>
      </c>
      <c r="BH69" s="19" t="str">
        <f t="shared" ca="1" si="10"/>
        <v>FICHA EN TIEMPO-18 MESES</v>
      </c>
      <c r="BI69" s="19" t="str">
        <f ca="1">IFERROR(__xludf.DUMMYFUNCTION("IFERROR(VLOOKUP(F56,IMPORTRANGE(""https://docs.google.com/spreadsheets/d/1Kvs4KS76FHFqLFIZfrDMff4kP08nblUkihrxltoGBjg/edit#gid=934712705"",""ESENCIAL!A6:BG""),18,FALSE))"),"Terminada por fecha")</f>
        <v>Terminada por fecha</v>
      </c>
      <c r="BJ69" s="19" t="str">
        <f t="shared" si="11"/>
        <v>Yamboro</v>
      </c>
      <c r="BK69" s="291"/>
      <c r="BL69" s="19"/>
    </row>
    <row r="70" spans="1:64" ht="18" hidden="1" customHeight="1">
      <c r="A70" s="290"/>
      <c r="B70" s="145" t="s">
        <v>25</v>
      </c>
      <c r="C70" s="57" t="s">
        <v>1324</v>
      </c>
      <c r="D70" s="25" t="s">
        <v>67</v>
      </c>
      <c r="E70" s="57">
        <v>1004208781</v>
      </c>
      <c r="F70" s="114">
        <v>2280135</v>
      </c>
      <c r="G70" s="11" t="str">
        <f ca="1">IFERROR(__xludf.DUMMYFUNCTION("IFERROR(VLOOKUP(F57,IMPORTRANGE(""https://docs.google.com/spreadsheets/d/1Kvs4KS76FHFqLFIZfrDMff4kP08nblUkihrxltoGBjg/edit#gid=934712705"",""ESENCIAL!A6:BG""),3,FALSE))"),"TÉCNICO")</f>
        <v>TÉCNICO</v>
      </c>
      <c r="H70" s="11" t="str">
        <f ca="1">IFERROR(__xludf.DUMMYFUNCTION("IFERROR(VLOOKUP(F57,IMPORTRANGE(""https://docs.google.com/spreadsheets/d/1Kvs4KS76FHFqLFIZfrDMff4kP08nblUkihrxltoGBjg/edit#gid=934712705"",""ESENCIAL!A6:BG""),8,FALSE))"),"SERVICIOS DE BARISMO")</f>
        <v>SERVICIOS DE BARISMO</v>
      </c>
      <c r="I70" s="57"/>
      <c r="J70" s="30"/>
      <c r="K70" s="30"/>
      <c r="L70" s="285" t="s">
        <v>44</v>
      </c>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19" t="str">
        <f t="shared" ca="1" si="8"/>
        <v>NO_CUMPLE</v>
      </c>
      <c r="AV70" s="11" t="str">
        <f ca="1">IFERROR(__xludf.DUMMYFUNCTION("IFERROR(VLOOKUP(E57&amp;F57,IMPORTRANGE(""https://docs.google.com/spreadsheets/d/1Uw7-A9f9R21vMXxHZFNpYNeKFtG8_yji4HS352LGlSQ/edit?pli=1#gid=0"",""1_ACUM!A4:S""),11,FALSE))"),"EN FORMACION")</f>
        <v>EN FORMACION</v>
      </c>
      <c r="AW70" s="20" t="str">
        <f ca="1">IFERROR(__xludf.DUMMYFUNCTION("IFERROR(VLOOKUP(F57,IMPORTRANGE(""https://docs.google.com/spreadsheets/d/1Kvs4KS76FHFqLFIZfrDMff4kP08nblUkihrxltoGBjg/edit#gid=934712705"",""ESENCIAL!A6:BG""),15,FALSE))"),"TURISMO")</f>
        <v>TURISMO</v>
      </c>
      <c r="AX70" s="21">
        <f ca="1">IFERROR(__xludf.DUMMYFUNCTION("IFERROR(VLOOKUP(E57&amp;F57,IMPORTRANGE(""https://docs.google.com/spreadsheets/d/1Uw7-A9f9R21vMXxHZFNpYNeKFtG8_yji4HS352LGlSQ/edit?pli=1#gid=0"",""1_ACUM!A4:S""),12,FALSE))"),44839)</f>
        <v>44839</v>
      </c>
      <c r="AY70" s="22">
        <f ca="1">IFERROR(__xludf.DUMMYFUNCTION("IFERROR(VLOOKUP(E57&amp;F57,IMPORTRANGE(""https://docs.google.com/spreadsheets/d/1Uw7-A9f9R21vMXxHZFNpYNeKFtG8_yji4HS352LGlSQ/edit?pli=1#gid=0"",""1_ACUM!A4:S""),13,FALSE))"),21)</f>
        <v>21</v>
      </c>
      <c r="AZ70" s="22">
        <f ca="1">IFERROR(__xludf.DUMMYFUNCTION("IFERROR(VLOOKUP(E57&amp;F57,IMPORTRANGE(""https://docs.google.com/spreadsheets/d/1Uw7-A9f9R21vMXxHZFNpYNeKFtG8_yji4HS352LGlSQ/edit?pli=1#gid=0"",""1_ACUM!A4:S""),14,FALSE))"),1)</f>
        <v>1</v>
      </c>
      <c r="BA70" s="22">
        <f ca="1">IFERROR(__xludf.DUMMYFUNCTION("IFERROR(VLOOKUP(E57&amp;F57,IMPORTRANGE(""https://docs.google.com/spreadsheets/d/1Uw7-A9f9R21vMXxHZFNpYNeKFtG8_yji4HS352LGlSQ/edit?pli=1#gid=0"",""1_ACUM!A4:S""),15,FALSE))"),6)</f>
        <v>6</v>
      </c>
      <c r="BB70" s="22">
        <f ca="1">IFERROR(__xludf.DUMMYFUNCTION("IFERROR(VLOOKUP(E57&amp;F57,IMPORTRANGE(""https://docs.google.com/spreadsheets/d/1Uw7-A9f9R21vMXxHZFNpYNeKFtG8_yji4HS352LGlSQ/edit?pli=1#gid=0"",""1_ACUM!A4:S""),16,FALSE))"),11)</f>
        <v>11</v>
      </c>
      <c r="BC70" s="22">
        <f ca="1">IFERROR(__xludf.DUMMYFUNCTION("IFERROR(VLOOKUP(E57&amp;F57,IMPORTRANGE(""https://docs.google.com/spreadsheets/d/1Uw7-A9f9R21vMXxHZFNpYNeKFtG8_yji4HS352LGlSQ/edit?pli=1#gid=0"",""1_ACUM!A4:S""),17,FALSE))"),39)</f>
        <v>39</v>
      </c>
      <c r="BD70" s="23">
        <f ca="1">IFERROR(__xludf.DUMMYFUNCTION("IFERROR(VLOOKUP(E57&amp;F57,IMPORTRANGE(""https://docs.google.com/spreadsheets/d/1Uw7-A9f9R21vMXxHZFNpYNeKFtG8_yji4HS352LGlSQ/edit?pli=1#gid=0"",""1_ACUM!A4:S""),18,FALSE))"),44301)</f>
        <v>44301</v>
      </c>
      <c r="BE70" s="23">
        <f ca="1">IFERROR(__xludf.DUMMYFUNCTION("IFERROR(VLOOKUP(E57&amp;F57,IMPORTRANGE(""https://docs.google.com/spreadsheets/d/1Uw7-A9f9R21vMXxHZFNpYNeKFtG8_yji4HS352LGlSQ/edit?pli=1#gid=0"",""1_ACUM!A4:S""),19,FALSE))"),44575)</f>
        <v>44575</v>
      </c>
      <c r="BF70" s="23">
        <f ca="1">IFERROR(__xludf.DUMMYFUNCTION("IFERROR(VLOOKUP(F57,IMPORTRANGE(""https://docs.google.com/spreadsheets/d/1Kvs4KS76FHFqLFIZfrDMff4kP08nblUkihrxltoGBjg/edit#gid=934712705"",""ESENCIAL!A6:BG""),5,FALSE))"),44756)</f>
        <v>44756</v>
      </c>
      <c r="BG70" s="23">
        <f t="shared" ca="1" si="9"/>
        <v>45305</v>
      </c>
      <c r="BH70" s="19" t="str">
        <f t="shared" ca="1" si="10"/>
        <v>FICHA EN TIEMPO-18 MESES</v>
      </c>
      <c r="BI70" s="19" t="str">
        <f ca="1">IFERROR(__xludf.DUMMYFUNCTION("IFERROR(VLOOKUP(F57,IMPORTRANGE(""https://docs.google.com/spreadsheets/d/1Kvs4KS76FHFqLFIZfrDMff4kP08nblUkihrxltoGBjg/edit#gid=934712705"",""ESENCIAL!A6:BG""),18,FALSE))"),"Terminada por fecha")</f>
        <v>Terminada por fecha</v>
      </c>
      <c r="BJ70" s="19" t="str">
        <f t="shared" si="11"/>
        <v>Yamboro</v>
      </c>
      <c r="BK70" s="291"/>
      <c r="BL70" s="19"/>
    </row>
    <row r="71" spans="1:64" ht="18" hidden="1" customHeight="1">
      <c r="A71" s="290"/>
      <c r="B71" s="145" t="s">
        <v>25</v>
      </c>
      <c r="C71" s="57" t="s">
        <v>1325</v>
      </c>
      <c r="D71" s="57" t="s">
        <v>27</v>
      </c>
      <c r="E71" s="53">
        <v>1004209710</v>
      </c>
      <c r="F71" s="114">
        <v>2280135</v>
      </c>
      <c r="G71" s="11" t="str">
        <f ca="1">IFERROR(__xludf.DUMMYFUNCTION("IFERROR(VLOOKUP(F58,IMPORTRANGE(""https://docs.google.com/spreadsheets/d/1Kvs4KS76FHFqLFIZfrDMff4kP08nblUkihrxltoGBjg/edit#gid=934712705"",""ESENCIAL!A6:BG""),3,FALSE))"),"TÉCNICO")</f>
        <v>TÉCNICO</v>
      </c>
      <c r="H71" s="11" t="str">
        <f ca="1">IFERROR(__xludf.DUMMYFUNCTION("IFERROR(VLOOKUP(F58,IMPORTRANGE(""https://docs.google.com/spreadsheets/d/1Kvs4KS76FHFqLFIZfrDMff4kP08nblUkihrxltoGBjg/edit#gid=934712705"",""ESENCIAL!A6:BG""),8,FALSE))"),"SERVICIOS DE BARISMO")</f>
        <v>SERVICIOS DE BARISMO</v>
      </c>
      <c r="I71" s="57"/>
      <c r="J71" s="30"/>
      <c r="K71" s="30"/>
      <c r="L71" s="285" t="s">
        <v>44</v>
      </c>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19" t="str">
        <f t="shared" ca="1" si="8"/>
        <v>NO_CUMPLE</v>
      </c>
      <c r="AV71" s="11" t="str">
        <f ca="1">IFERROR(__xludf.DUMMYFUNCTION("IFERROR(VLOOKUP(E58&amp;F58,IMPORTRANGE(""https://docs.google.com/spreadsheets/d/1Uw7-A9f9R21vMXxHZFNpYNeKFtG8_yji4HS352LGlSQ/edit?pli=1#gid=0"",""1_ACUM!A4:S""),11,FALSE))"),"EN FORMACION")</f>
        <v>EN FORMACION</v>
      </c>
      <c r="AW71" s="20" t="str">
        <f ca="1">IFERROR(__xludf.DUMMYFUNCTION("IFERROR(VLOOKUP(F58,IMPORTRANGE(""https://docs.google.com/spreadsheets/d/1Kvs4KS76FHFqLFIZfrDMff4kP08nblUkihrxltoGBjg/edit#gid=934712705"",""ESENCIAL!A6:BG""),15,FALSE))"),"TURISMO")</f>
        <v>TURISMO</v>
      </c>
      <c r="AX71" s="21">
        <f ca="1">IFERROR(__xludf.DUMMYFUNCTION("IFERROR(VLOOKUP(E58&amp;F58,IMPORTRANGE(""https://docs.google.com/spreadsheets/d/1Uw7-A9f9R21vMXxHZFNpYNeKFtG8_yji4HS352LGlSQ/edit?pli=1#gid=0"",""1_ACUM!A4:S""),12,FALSE))"),44839)</f>
        <v>44839</v>
      </c>
      <c r="AY71" s="22">
        <f ca="1">IFERROR(__xludf.DUMMYFUNCTION("IFERROR(VLOOKUP(E58&amp;F58,IMPORTRANGE(""https://docs.google.com/spreadsheets/d/1Uw7-A9f9R21vMXxHZFNpYNeKFtG8_yji4HS352LGlSQ/edit?pli=1#gid=0"",""1_ACUM!A4:S""),13,FALSE))"),21)</f>
        <v>21</v>
      </c>
      <c r="AZ71" s="22">
        <f ca="1">IFERROR(__xludf.DUMMYFUNCTION("IFERROR(VLOOKUP(E58&amp;F58,IMPORTRANGE(""https://docs.google.com/spreadsheets/d/1Uw7-A9f9R21vMXxHZFNpYNeKFtG8_yji4HS352LGlSQ/edit?pli=1#gid=0"",""1_ACUM!A4:S""),14,FALSE))"),1)</f>
        <v>1</v>
      </c>
      <c r="BA71" s="22">
        <f ca="1">IFERROR(__xludf.DUMMYFUNCTION("IFERROR(VLOOKUP(E58&amp;F58,IMPORTRANGE(""https://docs.google.com/spreadsheets/d/1Uw7-A9f9R21vMXxHZFNpYNeKFtG8_yji4HS352LGlSQ/edit?pli=1#gid=0"",""1_ACUM!A4:S""),15,FALSE))"),6)</f>
        <v>6</v>
      </c>
      <c r="BB71" s="22">
        <f ca="1">IFERROR(__xludf.DUMMYFUNCTION("IFERROR(VLOOKUP(E58&amp;F58,IMPORTRANGE(""https://docs.google.com/spreadsheets/d/1Uw7-A9f9R21vMXxHZFNpYNeKFtG8_yji4HS352LGlSQ/edit?pli=1#gid=0"",""1_ACUM!A4:S""),16,FALSE))"),9)</f>
        <v>9</v>
      </c>
      <c r="BC71" s="22">
        <f ca="1">IFERROR(__xludf.DUMMYFUNCTION("IFERROR(VLOOKUP(E58&amp;F58,IMPORTRANGE(""https://docs.google.com/spreadsheets/d/1Uw7-A9f9R21vMXxHZFNpYNeKFtG8_yji4HS352LGlSQ/edit?pli=1#gid=0"",""1_ACUM!A4:S""),17,FALSE))"),37)</f>
        <v>37</v>
      </c>
      <c r="BD71" s="23">
        <f ca="1">IFERROR(__xludf.DUMMYFUNCTION("IFERROR(VLOOKUP(E58&amp;F58,IMPORTRANGE(""https://docs.google.com/spreadsheets/d/1Uw7-A9f9R21vMXxHZFNpYNeKFtG8_yji4HS352LGlSQ/edit?pli=1#gid=0"",""1_ACUM!A4:S""),18,FALSE))"),44301)</f>
        <v>44301</v>
      </c>
      <c r="BE71" s="23">
        <f ca="1">IFERROR(__xludf.DUMMYFUNCTION("IFERROR(VLOOKUP(E58&amp;F58,IMPORTRANGE(""https://docs.google.com/spreadsheets/d/1Uw7-A9f9R21vMXxHZFNpYNeKFtG8_yji4HS352LGlSQ/edit?pli=1#gid=0"",""1_ACUM!A4:S""),19,FALSE))"),44575)</f>
        <v>44575</v>
      </c>
      <c r="BF71" s="23">
        <f ca="1">IFERROR(__xludf.DUMMYFUNCTION("IFERROR(VLOOKUP(F58,IMPORTRANGE(""https://docs.google.com/spreadsheets/d/1Kvs4KS76FHFqLFIZfrDMff4kP08nblUkihrxltoGBjg/edit#gid=934712705"",""ESENCIAL!A6:BG""),5,FALSE))"),44756)</f>
        <v>44756</v>
      </c>
      <c r="BG71" s="23">
        <f t="shared" ca="1" si="9"/>
        <v>45305</v>
      </c>
      <c r="BH71" s="19" t="str">
        <f t="shared" ca="1" si="10"/>
        <v>FICHA EN TIEMPO-18 MESES</v>
      </c>
      <c r="BI71" s="19" t="str">
        <f ca="1">IFERROR(__xludf.DUMMYFUNCTION("IFERROR(VLOOKUP(F58,IMPORTRANGE(""https://docs.google.com/spreadsheets/d/1Kvs4KS76FHFqLFIZfrDMff4kP08nblUkihrxltoGBjg/edit#gid=934712705"",""ESENCIAL!A6:BG""),18,FALSE))"),"Terminada por fecha")</f>
        <v>Terminada por fecha</v>
      </c>
      <c r="BJ71" s="19" t="str">
        <f t="shared" si="11"/>
        <v>Yamboro</v>
      </c>
      <c r="BK71" s="291"/>
      <c r="BL71" s="19"/>
    </row>
    <row r="72" spans="1:64" ht="18" hidden="1" customHeight="1">
      <c r="A72" s="290"/>
      <c r="B72" s="145" t="s">
        <v>25</v>
      </c>
      <c r="C72" s="57" t="s">
        <v>1326</v>
      </c>
      <c r="D72" s="25" t="s">
        <v>67</v>
      </c>
      <c r="E72" s="57">
        <v>1004446580</v>
      </c>
      <c r="F72" s="114">
        <v>2280135</v>
      </c>
      <c r="G72" s="11" t="str">
        <f ca="1">IFERROR(__xludf.DUMMYFUNCTION("IFERROR(VLOOKUP(F59,IMPORTRANGE(""https://docs.google.com/spreadsheets/d/1Kvs4KS76FHFqLFIZfrDMff4kP08nblUkihrxltoGBjg/edit#gid=934712705"",""ESENCIAL!A6:BG""),3,FALSE))"),"TÉCNICO")</f>
        <v>TÉCNICO</v>
      </c>
      <c r="H72" s="11" t="str">
        <f ca="1">IFERROR(__xludf.DUMMYFUNCTION("IFERROR(VLOOKUP(F59,IMPORTRANGE(""https://docs.google.com/spreadsheets/d/1Kvs4KS76FHFqLFIZfrDMff4kP08nblUkihrxltoGBjg/edit#gid=934712705"",""ESENCIAL!A6:BG""),8,FALSE))"),"SERVICIOS DE BARISMO")</f>
        <v>SERVICIOS DE BARISMO</v>
      </c>
      <c r="I72" s="57"/>
      <c r="J72" s="30"/>
      <c r="K72" s="30"/>
      <c r="L72" s="285" t="s">
        <v>44</v>
      </c>
      <c r="M72" s="30"/>
      <c r="N72" s="30"/>
      <c r="O72" s="30"/>
      <c r="P72" s="30"/>
      <c r="Q72" s="30"/>
      <c r="R72" s="88"/>
      <c r="S72" s="88"/>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19" t="str">
        <f t="shared" ca="1" si="8"/>
        <v>NO_CUMPLE</v>
      </c>
      <c r="AV72" s="11" t="str">
        <f ca="1">IFERROR(__xludf.DUMMYFUNCTION("IFERROR(VLOOKUP(E59&amp;F59,IMPORTRANGE(""https://docs.google.com/spreadsheets/d/1Uw7-A9f9R21vMXxHZFNpYNeKFtG8_yji4HS352LGlSQ/edit?pli=1#gid=0"",""1_ACUM!A4:S""),11,FALSE))"),"EN FORMACION")</f>
        <v>EN FORMACION</v>
      </c>
      <c r="AW72" s="20" t="str">
        <f ca="1">IFERROR(__xludf.DUMMYFUNCTION("IFERROR(VLOOKUP(F59,IMPORTRANGE(""https://docs.google.com/spreadsheets/d/1Kvs4KS76FHFqLFIZfrDMff4kP08nblUkihrxltoGBjg/edit#gid=934712705"",""ESENCIAL!A6:BG""),15,FALSE))"),"TURISMO")</f>
        <v>TURISMO</v>
      </c>
      <c r="AX72" s="21">
        <f ca="1">IFERROR(__xludf.DUMMYFUNCTION("IFERROR(VLOOKUP(E59&amp;F59,IMPORTRANGE(""https://docs.google.com/spreadsheets/d/1Uw7-A9f9R21vMXxHZFNpYNeKFtG8_yji4HS352LGlSQ/edit?pli=1#gid=0"",""1_ACUM!A4:S""),12,FALSE))"),44839)</f>
        <v>44839</v>
      </c>
      <c r="AY72" s="22">
        <f ca="1">IFERROR(__xludf.DUMMYFUNCTION("IFERROR(VLOOKUP(E59&amp;F59,IMPORTRANGE(""https://docs.google.com/spreadsheets/d/1Uw7-A9f9R21vMXxHZFNpYNeKFtG8_yji4HS352LGlSQ/edit?pli=1#gid=0"",""1_ACUM!A4:S""),13,FALSE))"),8)</f>
        <v>8</v>
      </c>
      <c r="AZ72" s="22">
        <f ca="1">IFERROR(__xludf.DUMMYFUNCTION("IFERROR(VLOOKUP(E59&amp;F59,IMPORTRANGE(""https://docs.google.com/spreadsheets/d/1Uw7-A9f9R21vMXxHZFNpYNeKFtG8_yji4HS352LGlSQ/edit?pli=1#gid=0"",""1_ACUM!A4:S""),14,FALSE))"),1)</f>
        <v>1</v>
      </c>
      <c r="BA72" s="22">
        <f ca="1">IFERROR(__xludf.DUMMYFUNCTION("IFERROR(VLOOKUP(E59&amp;F59,IMPORTRANGE(""https://docs.google.com/spreadsheets/d/1Uw7-A9f9R21vMXxHZFNpYNeKFtG8_yji4HS352LGlSQ/edit?pli=1#gid=0"",""1_ACUM!A4:S""),15,FALSE))"),0)</f>
        <v>0</v>
      </c>
      <c r="BB72" s="22">
        <f ca="1">IFERROR(__xludf.DUMMYFUNCTION("IFERROR(VLOOKUP(E59&amp;F59,IMPORTRANGE(""https://docs.google.com/spreadsheets/d/1Uw7-A9f9R21vMXxHZFNpYNeKFtG8_yji4HS352LGlSQ/edit?pli=1#gid=0"",""1_ACUM!A4:S""),16,FALSE))"),0)</f>
        <v>0</v>
      </c>
      <c r="BC72" s="22">
        <f ca="1">IFERROR(__xludf.DUMMYFUNCTION("IFERROR(VLOOKUP(E59&amp;F59,IMPORTRANGE(""https://docs.google.com/spreadsheets/d/1Uw7-A9f9R21vMXxHZFNpYNeKFtG8_yji4HS352LGlSQ/edit?pli=1#gid=0"",""1_ACUM!A4:S""),17,FALSE))"),9)</f>
        <v>9</v>
      </c>
      <c r="BD72" s="23">
        <f ca="1">IFERROR(__xludf.DUMMYFUNCTION("IFERROR(VLOOKUP(E59&amp;F59,IMPORTRANGE(""https://docs.google.com/spreadsheets/d/1Uw7-A9f9R21vMXxHZFNpYNeKFtG8_yji4HS352LGlSQ/edit?pli=1#gid=0"",""1_ACUM!A4:S""),18,FALSE))"),44301)</f>
        <v>44301</v>
      </c>
      <c r="BE72" s="23">
        <f ca="1">IFERROR(__xludf.DUMMYFUNCTION("IFERROR(VLOOKUP(E59&amp;F59,IMPORTRANGE(""https://docs.google.com/spreadsheets/d/1Uw7-A9f9R21vMXxHZFNpYNeKFtG8_yji4HS352LGlSQ/edit?pli=1#gid=0"",""1_ACUM!A4:S""),19,FALSE))"),44575)</f>
        <v>44575</v>
      </c>
      <c r="BF72" s="23">
        <f ca="1">IFERROR(__xludf.DUMMYFUNCTION("IFERROR(VLOOKUP(F59,IMPORTRANGE(""https://docs.google.com/spreadsheets/d/1Kvs4KS76FHFqLFIZfrDMff4kP08nblUkihrxltoGBjg/edit#gid=934712705"",""ESENCIAL!A6:BG""),5,FALSE))"),44756)</f>
        <v>44756</v>
      </c>
      <c r="BG72" s="23">
        <f t="shared" ca="1" si="9"/>
        <v>45305</v>
      </c>
      <c r="BH72" s="19" t="str">
        <f t="shared" ca="1" si="10"/>
        <v>FICHA EN TIEMPO-18 MESES</v>
      </c>
      <c r="BI72" s="19" t="str">
        <f ca="1">IFERROR(__xludf.DUMMYFUNCTION("IFERROR(VLOOKUP(F59,IMPORTRANGE(""https://docs.google.com/spreadsheets/d/1Kvs4KS76FHFqLFIZfrDMff4kP08nblUkihrxltoGBjg/edit#gid=934712705"",""ESENCIAL!A6:BG""),18,FALSE))"),"Terminada por fecha")</f>
        <v>Terminada por fecha</v>
      </c>
      <c r="BJ72" s="19" t="str">
        <f t="shared" si="11"/>
        <v>Yamboro</v>
      </c>
      <c r="BK72" s="291"/>
      <c r="BL72" s="19"/>
    </row>
    <row r="73" spans="1:64" ht="18" hidden="1" customHeight="1">
      <c r="A73" s="290"/>
      <c r="B73" s="145" t="s">
        <v>25</v>
      </c>
      <c r="C73" s="57" t="s">
        <v>1327</v>
      </c>
      <c r="D73" s="57" t="s">
        <v>27</v>
      </c>
      <c r="E73" s="57">
        <v>1007361377</v>
      </c>
      <c r="F73" s="114">
        <v>2280135</v>
      </c>
      <c r="G73" s="11" t="str">
        <f ca="1">IFERROR(__xludf.DUMMYFUNCTION("IFERROR(VLOOKUP(F60,IMPORTRANGE(""https://docs.google.com/spreadsheets/d/1Kvs4KS76FHFqLFIZfrDMff4kP08nblUkihrxltoGBjg/edit#gid=934712705"",""ESENCIAL!A6:BG""),3,FALSE))"),"TÉCNICO")</f>
        <v>TÉCNICO</v>
      </c>
      <c r="H73" s="11" t="str">
        <f ca="1">IFERROR(__xludf.DUMMYFUNCTION("IFERROR(VLOOKUP(F60,IMPORTRANGE(""https://docs.google.com/spreadsheets/d/1Kvs4KS76FHFqLFIZfrDMff4kP08nblUkihrxltoGBjg/edit#gid=934712705"",""ESENCIAL!A6:BG""),8,FALSE))"),"SERVICIOS DE BARISMO")</f>
        <v>SERVICIOS DE BARISMO</v>
      </c>
      <c r="I73" s="57"/>
      <c r="J73" s="30"/>
      <c r="K73" s="30"/>
      <c r="L73" s="285" t="s">
        <v>44</v>
      </c>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19" t="str">
        <f t="shared" ca="1" si="8"/>
        <v>NO_CUMPLE</v>
      </c>
      <c r="AV73" s="11" t="str">
        <f ca="1">IFERROR(__xludf.DUMMYFUNCTION("IFERROR(VLOOKUP(E60&amp;F60,IMPORTRANGE(""https://docs.google.com/spreadsheets/d/1Uw7-A9f9R21vMXxHZFNpYNeKFtG8_yji4HS352LGlSQ/edit?pli=1#gid=0"",""1_ACUM!A4:S""),11,FALSE))"),"EN FORMACION")</f>
        <v>EN FORMACION</v>
      </c>
      <c r="AW73" s="20" t="str">
        <f ca="1">IFERROR(__xludf.DUMMYFUNCTION("IFERROR(VLOOKUP(F60,IMPORTRANGE(""https://docs.google.com/spreadsheets/d/1Kvs4KS76FHFqLFIZfrDMff4kP08nblUkihrxltoGBjg/edit#gid=934712705"",""ESENCIAL!A6:BG""),15,FALSE))"),"TURISMO")</f>
        <v>TURISMO</v>
      </c>
      <c r="AX73" s="21">
        <f ca="1">IFERROR(__xludf.DUMMYFUNCTION("IFERROR(VLOOKUP(E60&amp;F60,IMPORTRANGE(""https://docs.google.com/spreadsheets/d/1Uw7-A9f9R21vMXxHZFNpYNeKFtG8_yji4HS352LGlSQ/edit?pli=1#gid=0"",""1_ACUM!A4:S""),12,FALSE))"),44839)</f>
        <v>44839</v>
      </c>
      <c r="AY73" s="22">
        <f ca="1">IFERROR(__xludf.DUMMYFUNCTION("IFERROR(VLOOKUP(E60&amp;F60,IMPORTRANGE(""https://docs.google.com/spreadsheets/d/1Uw7-A9f9R21vMXxHZFNpYNeKFtG8_yji4HS352LGlSQ/edit?pli=1#gid=0"",""1_ACUM!A4:S""),13,FALSE))"),21)</f>
        <v>21</v>
      </c>
      <c r="AZ73" s="22">
        <f ca="1">IFERROR(__xludf.DUMMYFUNCTION("IFERROR(VLOOKUP(E60&amp;F60,IMPORTRANGE(""https://docs.google.com/spreadsheets/d/1Uw7-A9f9R21vMXxHZFNpYNeKFtG8_yji4HS352LGlSQ/edit?pli=1#gid=0"",""1_ACUM!A4:S""),14,FALSE))"),1)</f>
        <v>1</v>
      </c>
      <c r="BA73" s="22">
        <f ca="1">IFERROR(__xludf.DUMMYFUNCTION("IFERROR(VLOOKUP(E60&amp;F60,IMPORTRANGE(""https://docs.google.com/spreadsheets/d/1Uw7-A9f9R21vMXxHZFNpYNeKFtG8_yji4HS352LGlSQ/edit?pli=1#gid=0"",""1_ACUM!A4:S""),15,FALSE))"),6)</f>
        <v>6</v>
      </c>
      <c r="BB73" s="22">
        <f ca="1">IFERROR(__xludf.DUMMYFUNCTION("IFERROR(VLOOKUP(E60&amp;F60,IMPORTRANGE(""https://docs.google.com/spreadsheets/d/1Uw7-A9f9R21vMXxHZFNpYNeKFtG8_yji4HS352LGlSQ/edit?pli=1#gid=0"",""1_ACUM!A4:S""),16,FALSE))"),11)</f>
        <v>11</v>
      </c>
      <c r="BC73" s="22">
        <f ca="1">IFERROR(__xludf.DUMMYFUNCTION("IFERROR(VLOOKUP(E60&amp;F60,IMPORTRANGE(""https://docs.google.com/spreadsheets/d/1Uw7-A9f9R21vMXxHZFNpYNeKFtG8_yji4HS352LGlSQ/edit?pli=1#gid=0"",""1_ACUM!A4:S""),17,FALSE))"),39)</f>
        <v>39</v>
      </c>
      <c r="BD73" s="23">
        <f ca="1">IFERROR(__xludf.DUMMYFUNCTION("IFERROR(VLOOKUP(E60&amp;F60,IMPORTRANGE(""https://docs.google.com/spreadsheets/d/1Uw7-A9f9R21vMXxHZFNpYNeKFtG8_yji4HS352LGlSQ/edit?pli=1#gid=0"",""1_ACUM!A4:S""),18,FALSE))"),44301)</f>
        <v>44301</v>
      </c>
      <c r="BE73" s="23">
        <f ca="1">IFERROR(__xludf.DUMMYFUNCTION("IFERROR(VLOOKUP(E60&amp;F60,IMPORTRANGE(""https://docs.google.com/spreadsheets/d/1Uw7-A9f9R21vMXxHZFNpYNeKFtG8_yji4HS352LGlSQ/edit?pli=1#gid=0"",""1_ACUM!A4:S""),19,FALSE))"),44575)</f>
        <v>44575</v>
      </c>
      <c r="BF73" s="23">
        <f ca="1">IFERROR(__xludf.DUMMYFUNCTION("IFERROR(VLOOKUP(F60,IMPORTRANGE(""https://docs.google.com/spreadsheets/d/1Kvs4KS76FHFqLFIZfrDMff4kP08nblUkihrxltoGBjg/edit#gid=934712705"",""ESENCIAL!A6:BG""),5,FALSE))"),44756)</f>
        <v>44756</v>
      </c>
      <c r="BG73" s="23">
        <f t="shared" ca="1" si="9"/>
        <v>45305</v>
      </c>
      <c r="BH73" s="19" t="str">
        <f t="shared" ca="1" si="10"/>
        <v>FICHA EN TIEMPO-18 MESES</v>
      </c>
      <c r="BI73" s="19" t="str">
        <f ca="1">IFERROR(__xludf.DUMMYFUNCTION("IFERROR(VLOOKUP(F60,IMPORTRANGE(""https://docs.google.com/spreadsheets/d/1Kvs4KS76FHFqLFIZfrDMff4kP08nblUkihrxltoGBjg/edit#gid=934712705"",""ESENCIAL!A6:BG""),18,FALSE))"),"Terminada por fecha")</f>
        <v>Terminada por fecha</v>
      </c>
      <c r="BJ73" s="19" t="str">
        <f t="shared" si="11"/>
        <v>Yamboro</v>
      </c>
      <c r="BK73" s="291"/>
      <c r="BL73" s="19"/>
    </row>
    <row r="74" spans="1:64" ht="18" hidden="1" customHeight="1">
      <c r="A74" s="290"/>
      <c r="B74" s="145" t="s">
        <v>25</v>
      </c>
      <c r="C74" s="57" t="s">
        <v>1328</v>
      </c>
      <c r="D74" s="57" t="s">
        <v>27</v>
      </c>
      <c r="E74" s="57">
        <v>1007586812</v>
      </c>
      <c r="F74" s="114">
        <v>2280135</v>
      </c>
      <c r="G74" s="11" t="str">
        <f ca="1">IFERROR(__xludf.DUMMYFUNCTION("IFERROR(VLOOKUP(F61,IMPORTRANGE(""https://docs.google.com/spreadsheets/d/1Kvs4KS76FHFqLFIZfrDMff4kP08nblUkihrxltoGBjg/edit#gid=934712705"",""ESENCIAL!A6:BG""),3,FALSE))"),"TÉCNICO")</f>
        <v>TÉCNICO</v>
      </c>
      <c r="H74" s="11" t="str">
        <f ca="1">IFERROR(__xludf.DUMMYFUNCTION("IFERROR(VLOOKUP(F61,IMPORTRANGE(""https://docs.google.com/spreadsheets/d/1Kvs4KS76FHFqLFIZfrDMff4kP08nblUkihrxltoGBjg/edit#gid=934712705"",""ESENCIAL!A6:BG""),8,FALSE))"),"SERVICIOS DE BARISMO")</f>
        <v>SERVICIOS DE BARISMO</v>
      </c>
      <c r="I74" s="57"/>
      <c r="J74" s="30"/>
      <c r="K74" s="30"/>
      <c r="L74" s="285" t="s">
        <v>44</v>
      </c>
      <c r="M74" s="30"/>
      <c r="N74" s="30"/>
      <c r="O74" s="30"/>
      <c r="P74" s="30"/>
      <c r="Q74" s="30"/>
      <c r="R74" s="88"/>
      <c r="S74" s="88"/>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19" t="str">
        <f t="shared" ca="1" si="8"/>
        <v>NO_CUMPLE</v>
      </c>
      <c r="AV74" s="11" t="str">
        <f ca="1">IFERROR(__xludf.DUMMYFUNCTION("IFERROR(VLOOKUP(E61&amp;F61,IMPORTRANGE(""https://docs.google.com/spreadsheets/d/1Uw7-A9f9R21vMXxHZFNpYNeKFtG8_yji4HS352LGlSQ/edit?pli=1#gid=0"",""1_ACUM!A4:S""),11,FALSE))"),"EN FORMACION")</f>
        <v>EN FORMACION</v>
      </c>
      <c r="AW74" s="20" t="str">
        <f ca="1">IFERROR(__xludf.DUMMYFUNCTION("IFERROR(VLOOKUP(F61,IMPORTRANGE(""https://docs.google.com/spreadsheets/d/1Kvs4KS76FHFqLFIZfrDMff4kP08nblUkihrxltoGBjg/edit#gid=934712705"",""ESENCIAL!A6:BG""),15,FALSE))"),"TURISMO")</f>
        <v>TURISMO</v>
      </c>
      <c r="AX74" s="21">
        <f ca="1">IFERROR(__xludf.DUMMYFUNCTION("IFERROR(VLOOKUP(E61&amp;F61,IMPORTRANGE(""https://docs.google.com/spreadsheets/d/1Uw7-A9f9R21vMXxHZFNpYNeKFtG8_yji4HS352LGlSQ/edit?pli=1#gid=0"",""1_ACUM!A4:S""),12,FALSE))"),44839)</f>
        <v>44839</v>
      </c>
      <c r="AY74" s="22">
        <f ca="1">IFERROR(__xludf.DUMMYFUNCTION("IFERROR(VLOOKUP(E61&amp;F61,IMPORTRANGE(""https://docs.google.com/spreadsheets/d/1Uw7-A9f9R21vMXxHZFNpYNeKFtG8_yji4HS352LGlSQ/edit?pli=1#gid=0"",""1_ACUM!A4:S""),13,FALSE))"),21)</f>
        <v>21</v>
      </c>
      <c r="AZ74" s="22">
        <f ca="1">IFERROR(__xludf.DUMMYFUNCTION("IFERROR(VLOOKUP(E61&amp;F61,IMPORTRANGE(""https://docs.google.com/spreadsheets/d/1Uw7-A9f9R21vMXxHZFNpYNeKFtG8_yji4HS352LGlSQ/edit?pli=1#gid=0"",""1_ACUM!A4:S""),14,FALSE))"),1)</f>
        <v>1</v>
      </c>
      <c r="BA74" s="22">
        <f ca="1">IFERROR(__xludf.DUMMYFUNCTION("IFERROR(VLOOKUP(E61&amp;F61,IMPORTRANGE(""https://docs.google.com/spreadsheets/d/1Uw7-A9f9R21vMXxHZFNpYNeKFtG8_yji4HS352LGlSQ/edit?pli=1#gid=0"",""1_ACUM!A4:S""),15,FALSE))"),6)</f>
        <v>6</v>
      </c>
      <c r="BB74" s="22">
        <f ca="1">IFERROR(__xludf.DUMMYFUNCTION("IFERROR(VLOOKUP(E61&amp;F61,IMPORTRANGE(""https://docs.google.com/spreadsheets/d/1Uw7-A9f9R21vMXxHZFNpYNeKFtG8_yji4HS352LGlSQ/edit?pli=1#gid=0"",""1_ACUM!A4:S""),16,FALSE))"),11)</f>
        <v>11</v>
      </c>
      <c r="BC74" s="22">
        <f ca="1">IFERROR(__xludf.DUMMYFUNCTION("IFERROR(VLOOKUP(E61&amp;F61,IMPORTRANGE(""https://docs.google.com/spreadsheets/d/1Uw7-A9f9R21vMXxHZFNpYNeKFtG8_yji4HS352LGlSQ/edit?pli=1#gid=0"",""1_ACUM!A4:S""),17,FALSE))"),39)</f>
        <v>39</v>
      </c>
      <c r="BD74" s="23">
        <f ca="1">IFERROR(__xludf.DUMMYFUNCTION("IFERROR(VLOOKUP(E61&amp;F61,IMPORTRANGE(""https://docs.google.com/spreadsheets/d/1Uw7-A9f9R21vMXxHZFNpYNeKFtG8_yji4HS352LGlSQ/edit?pli=1#gid=0"",""1_ACUM!A4:S""),18,FALSE))"),44301)</f>
        <v>44301</v>
      </c>
      <c r="BE74" s="23">
        <f ca="1">IFERROR(__xludf.DUMMYFUNCTION("IFERROR(VLOOKUP(E61&amp;F61,IMPORTRANGE(""https://docs.google.com/spreadsheets/d/1Uw7-A9f9R21vMXxHZFNpYNeKFtG8_yji4HS352LGlSQ/edit?pli=1#gid=0"",""1_ACUM!A4:S""),19,FALSE))"),44575)</f>
        <v>44575</v>
      </c>
      <c r="BF74" s="23">
        <f ca="1">IFERROR(__xludf.DUMMYFUNCTION("IFERROR(VLOOKUP(F61,IMPORTRANGE(""https://docs.google.com/spreadsheets/d/1Kvs4KS76FHFqLFIZfrDMff4kP08nblUkihrxltoGBjg/edit#gid=934712705"",""ESENCIAL!A6:BG""),5,FALSE))"),44756)</f>
        <v>44756</v>
      </c>
      <c r="BG74" s="23">
        <f t="shared" ca="1" si="9"/>
        <v>45305</v>
      </c>
      <c r="BH74" s="19" t="str">
        <f t="shared" ca="1" si="10"/>
        <v>FICHA EN TIEMPO-18 MESES</v>
      </c>
      <c r="BI74" s="19" t="str">
        <f ca="1">IFERROR(__xludf.DUMMYFUNCTION("IFERROR(VLOOKUP(F61,IMPORTRANGE(""https://docs.google.com/spreadsheets/d/1Kvs4KS76FHFqLFIZfrDMff4kP08nblUkihrxltoGBjg/edit#gid=934712705"",""ESENCIAL!A6:BG""),18,FALSE))"),"Terminada por fecha")</f>
        <v>Terminada por fecha</v>
      </c>
      <c r="BJ74" s="19" t="str">
        <f t="shared" si="11"/>
        <v>Yamboro</v>
      </c>
      <c r="BK74" s="291"/>
      <c r="BL74" s="19"/>
    </row>
    <row r="75" spans="1:64" ht="18" hidden="1" customHeight="1">
      <c r="A75" s="290"/>
      <c r="B75" s="145" t="s">
        <v>25</v>
      </c>
      <c r="C75" s="57" t="s">
        <v>1329</v>
      </c>
      <c r="D75" s="57" t="s">
        <v>27</v>
      </c>
      <c r="E75" s="57">
        <v>1014200197</v>
      </c>
      <c r="F75" s="114">
        <v>2280135</v>
      </c>
      <c r="G75" s="11" t="str">
        <f ca="1">IFERROR(__xludf.DUMMYFUNCTION("IFERROR(VLOOKUP(F62,IMPORTRANGE(""https://docs.google.com/spreadsheets/d/1Kvs4KS76FHFqLFIZfrDMff4kP08nblUkihrxltoGBjg/edit#gid=934712705"",""ESENCIAL!A6:BG""),3,FALSE))"),"TÉCNICO")</f>
        <v>TÉCNICO</v>
      </c>
      <c r="H75" s="11" t="str">
        <f ca="1">IFERROR(__xludf.DUMMYFUNCTION("IFERROR(VLOOKUP(F62,IMPORTRANGE(""https://docs.google.com/spreadsheets/d/1Kvs4KS76FHFqLFIZfrDMff4kP08nblUkihrxltoGBjg/edit#gid=934712705"",""ESENCIAL!A6:BG""),8,FALSE))"),"SERVICIOS DE BARISMO")</f>
        <v>SERVICIOS DE BARISMO</v>
      </c>
      <c r="I75" s="57"/>
      <c r="J75" s="30"/>
      <c r="K75" s="30"/>
      <c r="L75" s="285" t="s">
        <v>44</v>
      </c>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19" t="str">
        <f t="shared" ca="1" si="8"/>
        <v>Procede_E_P</v>
      </c>
      <c r="AV75" s="11" t="str">
        <f ca="1">IFERROR(__xludf.DUMMYFUNCTION("IFERROR(VLOOKUP(E62&amp;F62,IMPORTRANGE(""https://docs.google.com/spreadsheets/d/1Uw7-A9f9R21vMXxHZFNpYNeKFtG8_yji4HS352LGlSQ/edit?pli=1#gid=0"",""1_ACUM!A4:S""),11,FALSE))"),"EN FORMACION")</f>
        <v>EN FORMACION</v>
      </c>
      <c r="AW75" s="20" t="str">
        <f ca="1">IFERROR(__xludf.DUMMYFUNCTION("IFERROR(VLOOKUP(F62,IMPORTRANGE(""https://docs.google.com/spreadsheets/d/1Kvs4KS76FHFqLFIZfrDMff4kP08nblUkihrxltoGBjg/edit#gid=934712705"",""ESENCIAL!A6:BG""),15,FALSE))"),"TURISMO")</f>
        <v>TURISMO</v>
      </c>
      <c r="AX75" s="21">
        <f ca="1">IFERROR(__xludf.DUMMYFUNCTION("IFERROR(VLOOKUP(E62&amp;F62,IMPORTRANGE(""https://docs.google.com/spreadsheets/d/1Uw7-A9f9R21vMXxHZFNpYNeKFtG8_yji4HS352LGlSQ/edit?pli=1#gid=0"",""1_ACUM!A4:S""),12,FALSE))"),44839)</f>
        <v>44839</v>
      </c>
      <c r="AY75" s="22">
        <f ca="1">IFERROR(__xludf.DUMMYFUNCTION("IFERROR(VLOOKUP(E62&amp;F62,IMPORTRANGE(""https://docs.google.com/spreadsheets/d/1Uw7-A9f9R21vMXxHZFNpYNeKFtG8_yji4HS352LGlSQ/edit?pli=1#gid=0"",""1_ACUM!A4:S""),13,FALSE))"),0)</f>
        <v>0</v>
      </c>
      <c r="AZ75" s="22">
        <f ca="1">IFERROR(__xludf.DUMMYFUNCTION("IFERROR(VLOOKUP(E62&amp;F62,IMPORTRANGE(""https://docs.google.com/spreadsheets/d/1Uw7-A9f9R21vMXxHZFNpYNeKFtG8_yji4HS352LGlSQ/edit?pli=1#gid=0"",""1_ACUM!A4:S""),14,FALSE))"),1)</f>
        <v>1</v>
      </c>
      <c r="BA75" s="22">
        <f ca="1">IFERROR(__xludf.DUMMYFUNCTION("IFERROR(VLOOKUP(E62&amp;F62,IMPORTRANGE(""https://docs.google.com/spreadsheets/d/1Uw7-A9f9R21vMXxHZFNpYNeKFtG8_yji4HS352LGlSQ/edit?pli=1#gid=0"",""1_ACUM!A4:S""),15,FALSE))"),0)</f>
        <v>0</v>
      </c>
      <c r="BB75" s="22">
        <f ca="1">IFERROR(__xludf.DUMMYFUNCTION("IFERROR(VLOOKUP(E62&amp;F62,IMPORTRANGE(""https://docs.google.com/spreadsheets/d/1Uw7-A9f9R21vMXxHZFNpYNeKFtG8_yji4HS352LGlSQ/edit?pli=1#gid=0"",""1_ACUM!A4:S""),16,FALSE))"),0)</f>
        <v>0</v>
      </c>
      <c r="BC75" s="22">
        <f ca="1">IFERROR(__xludf.DUMMYFUNCTION("IFERROR(VLOOKUP(E62&amp;F62,IMPORTRANGE(""https://docs.google.com/spreadsheets/d/1Uw7-A9f9R21vMXxHZFNpYNeKFtG8_yji4HS352LGlSQ/edit?pli=1#gid=0"",""1_ACUM!A4:S""),17,FALSE))"),1)</f>
        <v>1</v>
      </c>
      <c r="BD75" s="23">
        <f ca="1">IFERROR(__xludf.DUMMYFUNCTION("IFERROR(VLOOKUP(E62&amp;F62,IMPORTRANGE(""https://docs.google.com/spreadsheets/d/1Uw7-A9f9R21vMXxHZFNpYNeKFtG8_yji4HS352LGlSQ/edit?pli=1#gid=0"",""1_ACUM!A4:S""),18,FALSE))"),44301)</f>
        <v>44301</v>
      </c>
      <c r="BE75" s="23">
        <f ca="1">IFERROR(__xludf.DUMMYFUNCTION("IFERROR(VLOOKUP(E62&amp;F62,IMPORTRANGE(""https://docs.google.com/spreadsheets/d/1Uw7-A9f9R21vMXxHZFNpYNeKFtG8_yji4HS352LGlSQ/edit?pli=1#gid=0"",""1_ACUM!A4:S""),19,FALSE))"),44575)</f>
        <v>44575</v>
      </c>
      <c r="BF75" s="23">
        <f ca="1">IFERROR(__xludf.DUMMYFUNCTION("IFERROR(VLOOKUP(F62,IMPORTRANGE(""https://docs.google.com/spreadsheets/d/1Kvs4KS76FHFqLFIZfrDMff4kP08nblUkihrxltoGBjg/edit#gid=934712705"",""ESENCIAL!A6:BG""),5,FALSE))"),44756)</f>
        <v>44756</v>
      </c>
      <c r="BG75" s="23">
        <f t="shared" ca="1" si="9"/>
        <v>45305</v>
      </c>
      <c r="BH75" s="19" t="str">
        <f t="shared" ca="1" si="10"/>
        <v>FICHA EN TIEMPO-18 MESES</v>
      </c>
      <c r="BI75" s="19" t="str">
        <f ca="1">IFERROR(__xludf.DUMMYFUNCTION("IFERROR(VLOOKUP(F62,IMPORTRANGE(""https://docs.google.com/spreadsheets/d/1Kvs4KS76FHFqLFIZfrDMff4kP08nblUkihrxltoGBjg/edit#gid=934712705"",""ESENCIAL!A6:BG""),18,FALSE))"),"Terminada por fecha")</f>
        <v>Terminada por fecha</v>
      </c>
      <c r="BJ75" s="19" t="str">
        <f t="shared" si="11"/>
        <v>Yamboro</v>
      </c>
      <c r="BK75" s="291"/>
      <c r="BL75" s="19"/>
    </row>
    <row r="76" spans="1:64" ht="18" customHeight="1">
      <c r="A76" s="290" t="s">
        <v>1310</v>
      </c>
      <c r="B76" s="145" t="s">
        <v>25</v>
      </c>
      <c r="C76" s="57" t="s">
        <v>1330</v>
      </c>
      <c r="D76" s="57" t="s">
        <v>27</v>
      </c>
      <c r="E76" s="57">
        <v>1063075853</v>
      </c>
      <c r="F76" s="114">
        <v>2280135</v>
      </c>
      <c r="G76" s="11" t="str">
        <f ca="1">IFERROR(__xludf.DUMMYFUNCTION("IFERROR(VLOOKUP(F63,IMPORTRANGE(""https://docs.google.com/spreadsheets/d/1Kvs4KS76FHFqLFIZfrDMff4kP08nblUkihrxltoGBjg/edit#gid=934712705"",""ESENCIAL!A6:BG""),3,FALSE))"),"TÉCNICO")</f>
        <v>TÉCNICO</v>
      </c>
      <c r="H76" s="11" t="str">
        <f ca="1">IFERROR(__xludf.DUMMYFUNCTION("IFERROR(VLOOKUP(F63,IMPORTRANGE(""https://docs.google.com/spreadsheets/d/1Kvs4KS76FHFqLFIZfrDMff4kP08nblUkihrxltoGBjg/edit#gid=934712705"",""ESENCIAL!A6:BG""),8,FALSE))"),"SERVICIOS DE BARISMO")</f>
        <v>SERVICIOS DE BARISMO</v>
      </c>
      <c r="I76" s="57"/>
      <c r="J76" s="30"/>
      <c r="K76" s="30"/>
      <c r="L76" s="70" t="s">
        <v>37</v>
      </c>
      <c r="M76" s="30" t="s">
        <v>1331</v>
      </c>
      <c r="N76" s="30" t="s">
        <v>84</v>
      </c>
      <c r="O76" s="30">
        <v>3173822164</v>
      </c>
      <c r="P76" s="30"/>
      <c r="Q76" s="30" t="s">
        <v>1307</v>
      </c>
      <c r="R76" s="88">
        <v>44859</v>
      </c>
      <c r="S76" s="181">
        <v>45010</v>
      </c>
      <c r="T76" s="225" t="s">
        <v>1332</v>
      </c>
      <c r="U76" s="30" t="s">
        <v>1333</v>
      </c>
      <c r="V76" s="207" t="s">
        <v>608</v>
      </c>
      <c r="W76" s="30"/>
      <c r="X76" s="30"/>
      <c r="Y76" s="30"/>
      <c r="Z76" s="30"/>
      <c r="AA76" s="30"/>
      <c r="AB76" s="61" t="s">
        <v>1334</v>
      </c>
      <c r="AC76" s="207" t="s">
        <v>587</v>
      </c>
      <c r="AD76" s="30"/>
      <c r="AE76" s="30"/>
      <c r="AF76" s="30"/>
      <c r="AG76" s="30"/>
      <c r="AH76" s="30"/>
      <c r="AI76" s="30"/>
      <c r="AJ76" s="30"/>
      <c r="AK76" s="30"/>
      <c r="AL76" s="30"/>
      <c r="AM76" s="30"/>
      <c r="AN76" s="30"/>
      <c r="AO76" s="30"/>
      <c r="AP76" s="30"/>
      <c r="AQ76" s="30"/>
      <c r="AR76" s="30"/>
      <c r="AS76" s="30" t="s">
        <v>1335</v>
      </c>
      <c r="AT76" s="30"/>
      <c r="AU76" s="19" t="str">
        <f t="shared" ca="1" si="8"/>
        <v>Procede_E_P</v>
      </c>
      <c r="AV76" s="11" t="str">
        <f ca="1">IFERROR(__xludf.DUMMYFUNCTION("IFERROR(VLOOKUP(E63&amp;F63,IMPORTRANGE(""https://docs.google.com/spreadsheets/d/1Uw7-A9f9R21vMXxHZFNpYNeKFtG8_yji4HS352LGlSQ/edit?pli=1#gid=0"",""1_ACUM!A4:S""),11,FALSE))"),"EN FORMACION")</f>
        <v>EN FORMACION</v>
      </c>
      <c r="AW76" s="20" t="str">
        <f ca="1">IFERROR(__xludf.DUMMYFUNCTION("IFERROR(VLOOKUP(F63,IMPORTRANGE(""https://docs.google.com/spreadsheets/d/1Kvs4KS76FHFqLFIZfrDMff4kP08nblUkihrxltoGBjg/edit#gid=934712705"",""ESENCIAL!A6:BG""),15,FALSE))"),"TURISMO")</f>
        <v>TURISMO</v>
      </c>
      <c r="AX76" s="21">
        <f ca="1">IFERROR(__xludf.DUMMYFUNCTION("IFERROR(VLOOKUP(E63&amp;F63,IMPORTRANGE(""https://docs.google.com/spreadsheets/d/1Uw7-A9f9R21vMXxHZFNpYNeKFtG8_yji4HS352LGlSQ/edit?pli=1#gid=0"",""1_ACUM!A4:S""),12,FALSE))"),44839)</f>
        <v>44839</v>
      </c>
      <c r="AY76" s="22">
        <f ca="1">IFERROR(__xludf.DUMMYFUNCTION("IFERROR(VLOOKUP(E63&amp;F63,IMPORTRANGE(""https://docs.google.com/spreadsheets/d/1Uw7-A9f9R21vMXxHZFNpYNeKFtG8_yji4HS352LGlSQ/edit?pli=1#gid=0"",""1_ACUM!A4:S""),13,FALSE))"),0)</f>
        <v>0</v>
      </c>
      <c r="AZ76" s="22">
        <f ca="1">IFERROR(__xludf.DUMMYFUNCTION("IFERROR(VLOOKUP(E63&amp;F63,IMPORTRANGE(""https://docs.google.com/spreadsheets/d/1Uw7-A9f9R21vMXxHZFNpYNeKFtG8_yji4HS352LGlSQ/edit?pli=1#gid=0"",""1_ACUM!A4:S""),14,FALSE))"),1)</f>
        <v>1</v>
      </c>
      <c r="BA76" s="22">
        <f ca="1">IFERROR(__xludf.DUMMYFUNCTION("IFERROR(VLOOKUP(E63&amp;F63,IMPORTRANGE(""https://docs.google.com/spreadsheets/d/1Uw7-A9f9R21vMXxHZFNpYNeKFtG8_yji4HS352LGlSQ/edit?pli=1#gid=0"",""1_ACUM!A4:S""),15,FALSE))"),0)</f>
        <v>0</v>
      </c>
      <c r="BB76" s="22">
        <f ca="1">IFERROR(__xludf.DUMMYFUNCTION("IFERROR(VLOOKUP(E63&amp;F63,IMPORTRANGE(""https://docs.google.com/spreadsheets/d/1Uw7-A9f9R21vMXxHZFNpYNeKFtG8_yji4HS352LGlSQ/edit?pli=1#gid=0"",""1_ACUM!A4:S""),16,FALSE))"),0)</f>
        <v>0</v>
      </c>
      <c r="BC76" s="22">
        <f ca="1">IFERROR(__xludf.DUMMYFUNCTION("IFERROR(VLOOKUP(E63&amp;F63,IMPORTRANGE(""https://docs.google.com/spreadsheets/d/1Uw7-A9f9R21vMXxHZFNpYNeKFtG8_yji4HS352LGlSQ/edit?pli=1#gid=0"",""1_ACUM!A4:S""),17,FALSE))"),1)</f>
        <v>1</v>
      </c>
      <c r="BD76" s="23">
        <f ca="1">IFERROR(__xludf.DUMMYFUNCTION("IFERROR(VLOOKUP(E63&amp;F63,IMPORTRANGE(""https://docs.google.com/spreadsheets/d/1Uw7-A9f9R21vMXxHZFNpYNeKFtG8_yji4HS352LGlSQ/edit?pli=1#gid=0"",""1_ACUM!A4:S""),18,FALSE))"),44301)</f>
        <v>44301</v>
      </c>
      <c r="BE76" s="23">
        <f ca="1">IFERROR(__xludf.DUMMYFUNCTION("IFERROR(VLOOKUP(E63&amp;F63,IMPORTRANGE(""https://docs.google.com/spreadsheets/d/1Uw7-A9f9R21vMXxHZFNpYNeKFtG8_yji4HS352LGlSQ/edit?pli=1#gid=0"",""1_ACUM!A4:S""),19,FALSE))"),44575)</f>
        <v>44575</v>
      </c>
      <c r="BF76" s="23">
        <f ca="1">IFERROR(__xludf.DUMMYFUNCTION("IFERROR(VLOOKUP(F63,IMPORTRANGE(""https://docs.google.com/spreadsheets/d/1Kvs4KS76FHFqLFIZfrDMff4kP08nblUkihrxltoGBjg/edit#gid=934712705"",""ESENCIAL!A6:BG""),5,FALSE))"),44756)</f>
        <v>44756</v>
      </c>
      <c r="BG76" s="23">
        <f t="shared" ca="1" si="9"/>
        <v>45305</v>
      </c>
      <c r="BH76" s="19" t="str">
        <f t="shared" ca="1" si="10"/>
        <v>FICHA EN TIEMPO-18 MESES</v>
      </c>
      <c r="BI76" s="19" t="str">
        <f ca="1">IFERROR(__xludf.DUMMYFUNCTION("IFERROR(VLOOKUP(F63,IMPORTRANGE(""https://docs.google.com/spreadsheets/d/1Kvs4KS76FHFqLFIZfrDMff4kP08nblUkihrxltoGBjg/edit#gid=934712705"",""ESENCIAL!A6:BG""),18,FALSE))"),"Terminada por fecha")</f>
        <v>Terminada por fecha</v>
      </c>
      <c r="BJ76" s="19" t="str">
        <f t="shared" si="11"/>
        <v>Yamboro</v>
      </c>
      <c r="BK76" s="291"/>
      <c r="BL76" s="19"/>
    </row>
    <row r="77" spans="1:64" ht="18" hidden="1" customHeight="1">
      <c r="A77" s="290"/>
      <c r="B77" s="145" t="s">
        <v>25</v>
      </c>
      <c r="C77" s="57" t="s">
        <v>1336</v>
      </c>
      <c r="D77" s="57" t="s">
        <v>27</v>
      </c>
      <c r="E77" s="57">
        <v>1078751066</v>
      </c>
      <c r="F77" s="114">
        <v>2280135</v>
      </c>
      <c r="G77" s="11" t="str">
        <f ca="1">IFERROR(__xludf.DUMMYFUNCTION("IFERROR(VLOOKUP(F64,IMPORTRANGE(""https://docs.google.com/spreadsheets/d/1Kvs4KS76FHFqLFIZfrDMff4kP08nblUkihrxltoGBjg/edit#gid=934712705"",""ESENCIAL!A6:BG""),3,FALSE))"),"TÉCNICO")</f>
        <v>TÉCNICO</v>
      </c>
      <c r="H77" s="11" t="str">
        <f ca="1">IFERROR(__xludf.DUMMYFUNCTION("IFERROR(VLOOKUP(F64,IMPORTRANGE(""https://docs.google.com/spreadsheets/d/1Kvs4KS76FHFqLFIZfrDMff4kP08nblUkihrxltoGBjg/edit#gid=934712705"",""ESENCIAL!A6:BG""),8,FALSE))"),"SERVICIOS DE BARISMO")</f>
        <v>SERVICIOS DE BARISMO</v>
      </c>
      <c r="I77" s="57"/>
      <c r="J77" s="30"/>
      <c r="K77" s="30"/>
      <c r="L77" s="285" t="s">
        <v>44</v>
      </c>
      <c r="M77" s="30"/>
      <c r="N77" s="30"/>
      <c r="O77" s="30"/>
      <c r="P77" s="30"/>
      <c r="Q77" s="30"/>
      <c r="R77" s="88"/>
      <c r="S77" s="88"/>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19" t="str">
        <f t="shared" ca="1" si="8"/>
        <v>Procede_E_P</v>
      </c>
      <c r="AV77" s="11" t="str">
        <f ca="1">IFERROR(__xludf.DUMMYFUNCTION("IFERROR(VLOOKUP(E64&amp;F64,IMPORTRANGE(""https://docs.google.com/spreadsheets/d/1Uw7-A9f9R21vMXxHZFNpYNeKFtG8_yji4HS352LGlSQ/edit?pli=1#gid=0"",""1_ACUM!A4:S""),11,FALSE))"),"EN FORMACION")</f>
        <v>EN FORMACION</v>
      </c>
      <c r="AW77" s="20" t="str">
        <f ca="1">IFERROR(__xludf.DUMMYFUNCTION("IFERROR(VLOOKUP(F64,IMPORTRANGE(""https://docs.google.com/spreadsheets/d/1Kvs4KS76FHFqLFIZfrDMff4kP08nblUkihrxltoGBjg/edit#gid=934712705"",""ESENCIAL!A6:BG""),15,FALSE))"),"TURISMO")</f>
        <v>TURISMO</v>
      </c>
      <c r="AX77" s="21">
        <f ca="1">IFERROR(__xludf.DUMMYFUNCTION("IFERROR(VLOOKUP(E64&amp;F64,IMPORTRANGE(""https://docs.google.com/spreadsheets/d/1Uw7-A9f9R21vMXxHZFNpYNeKFtG8_yji4HS352LGlSQ/edit?pli=1#gid=0"",""1_ACUM!A4:S""),12,FALSE))"),44839)</f>
        <v>44839</v>
      </c>
      <c r="AY77" s="22">
        <f ca="1">IFERROR(__xludf.DUMMYFUNCTION("IFERROR(VLOOKUP(E64&amp;F64,IMPORTRANGE(""https://docs.google.com/spreadsheets/d/1Uw7-A9f9R21vMXxHZFNpYNeKFtG8_yji4HS352LGlSQ/edit?pli=1#gid=0"",""1_ACUM!A4:S""),13,FALSE))"),0)</f>
        <v>0</v>
      </c>
      <c r="AZ77" s="22">
        <f ca="1">IFERROR(__xludf.DUMMYFUNCTION("IFERROR(VLOOKUP(E64&amp;F64,IMPORTRANGE(""https://docs.google.com/spreadsheets/d/1Uw7-A9f9R21vMXxHZFNpYNeKFtG8_yji4HS352LGlSQ/edit?pli=1#gid=0"",""1_ACUM!A4:S""),14,FALSE))"),1)</f>
        <v>1</v>
      </c>
      <c r="BA77" s="22">
        <f ca="1">IFERROR(__xludf.DUMMYFUNCTION("IFERROR(VLOOKUP(E64&amp;F64,IMPORTRANGE(""https://docs.google.com/spreadsheets/d/1Uw7-A9f9R21vMXxHZFNpYNeKFtG8_yji4HS352LGlSQ/edit?pli=1#gid=0"",""1_ACUM!A4:S""),15,FALSE))"),0)</f>
        <v>0</v>
      </c>
      <c r="BB77" s="22">
        <f ca="1">IFERROR(__xludf.DUMMYFUNCTION("IFERROR(VLOOKUP(E64&amp;F64,IMPORTRANGE(""https://docs.google.com/spreadsheets/d/1Uw7-A9f9R21vMXxHZFNpYNeKFtG8_yji4HS352LGlSQ/edit?pli=1#gid=0"",""1_ACUM!A4:S""),16,FALSE))"),0)</f>
        <v>0</v>
      </c>
      <c r="BC77" s="22">
        <f ca="1">IFERROR(__xludf.DUMMYFUNCTION("IFERROR(VLOOKUP(E64&amp;F64,IMPORTRANGE(""https://docs.google.com/spreadsheets/d/1Uw7-A9f9R21vMXxHZFNpYNeKFtG8_yji4HS352LGlSQ/edit?pli=1#gid=0"",""1_ACUM!A4:S""),17,FALSE))"),1)</f>
        <v>1</v>
      </c>
      <c r="BD77" s="23">
        <f ca="1">IFERROR(__xludf.DUMMYFUNCTION("IFERROR(VLOOKUP(E64&amp;F64,IMPORTRANGE(""https://docs.google.com/spreadsheets/d/1Uw7-A9f9R21vMXxHZFNpYNeKFtG8_yji4HS352LGlSQ/edit?pli=1#gid=0"",""1_ACUM!A4:S""),18,FALSE))"),44301)</f>
        <v>44301</v>
      </c>
      <c r="BE77" s="23">
        <f ca="1">IFERROR(__xludf.DUMMYFUNCTION("IFERROR(VLOOKUP(E64&amp;F64,IMPORTRANGE(""https://docs.google.com/spreadsheets/d/1Uw7-A9f9R21vMXxHZFNpYNeKFtG8_yji4HS352LGlSQ/edit?pli=1#gid=0"",""1_ACUM!A4:S""),19,FALSE))"),44575)</f>
        <v>44575</v>
      </c>
      <c r="BF77" s="23">
        <f ca="1">IFERROR(__xludf.DUMMYFUNCTION("IFERROR(VLOOKUP(F64,IMPORTRANGE(""https://docs.google.com/spreadsheets/d/1Kvs4KS76FHFqLFIZfrDMff4kP08nblUkihrxltoGBjg/edit#gid=934712705"",""ESENCIAL!A6:BG""),5,FALSE))"),44756)</f>
        <v>44756</v>
      </c>
      <c r="BG77" s="23">
        <f t="shared" ca="1" si="9"/>
        <v>45305</v>
      </c>
      <c r="BH77" s="19" t="str">
        <f t="shared" ca="1" si="10"/>
        <v>FICHA EN TIEMPO-18 MESES</v>
      </c>
      <c r="BI77" s="19" t="str">
        <f ca="1">IFERROR(__xludf.DUMMYFUNCTION("IFERROR(VLOOKUP(F64,IMPORTRANGE(""https://docs.google.com/spreadsheets/d/1Kvs4KS76FHFqLFIZfrDMff4kP08nblUkihrxltoGBjg/edit#gid=934712705"",""ESENCIAL!A6:BG""),18,FALSE))"),"Terminada por fecha")</f>
        <v>Terminada por fecha</v>
      </c>
      <c r="BJ77" s="19" t="str">
        <f t="shared" si="11"/>
        <v>Yamboro</v>
      </c>
      <c r="BK77" s="291"/>
      <c r="BL77" s="19"/>
    </row>
    <row r="78" spans="1:64" ht="18" hidden="1" customHeight="1">
      <c r="A78" s="290"/>
      <c r="B78" s="145" t="s">
        <v>25</v>
      </c>
      <c r="C78" s="57" t="s">
        <v>1337</v>
      </c>
      <c r="D78" s="57" t="s">
        <v>27</v>
      </c>
      <c r="E78" s="57">
        <v>1083864461</v>
      </c>
      <c r="F78" s="114">
        <v>2280135</v>
      </c>
      <c r="G78" s="11" t="str">
        <f ca="1">IFERROR(__xludf.DUMMYFUNCTION("IFERROR(VLOOKUP(F66,IMPORTRANGE(""https://docs.google.com/spreadsheets/d/1Kvs4KS76FHFqLFIZfrDMff4kP08nblUkihrxltoGBjg/edit#gid=934712705"",""ESENCIAL!A6:BG""),3,FALSE))"),"TÉCNICO")</f>
        <v>TÉCNICO</v>
      </c>
      <c r="H78" s="11" t="str">
        <f ca="1">IFERROR(__xludf.DUMMYFUNCTION("IFERROR(VLOOKUP(F66,IMPORTRANGE(""https://docs.google.com/spreadsheets/d/1Kvs4KS76FHFqLFIZfrDMff4kP08nblUkihrxltoGBjg/edit#gid=934712705"",""ESENCIAL!A6:BG""),8,FALSE))"),"SERVICIOS DE BARISMO")</f>
        <v>SERVICIOS DE BARISMO</v>
      </c>
      <c r="I78" s="57"/>
      <c r="J78" s="30"/>
      <c r="K78" s="30"/>
      <c r="L78" s="285" t="s">
        <v>44</v>
      </c>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19" t="str">
        <f t="shared" ca="1" si="8"/>
        <v>Procede_E_P</v>
      </c>
      <c r="AV78" s="11" t="str">
        <f ca="1">IFERROR(__xludf.DUMMYFUNCTION("IFERROR(VLOOKUP(E66&amp;F66,IMPORTRANGE(""https://docs.google.com/spreadsheets/d/1Uw7-A9f9R21vMXxHZFNpYNeKFtG8_yji4HS352LGlSQ/edit?pli=1#gid=0"",""1_ACUM!A4:S""),11,FALSE))"),"EN FORMACION")</f>
        <v>EN FORMACION</v>
      </c>
      <c r="AW78" s="20" t="str">
        <f ca="1">IFERROR(__xludf.DUMMYFUNCTION("IFERROR(VLOOKUP(F66,IMPORTRANGE(""https://docs.google.com/spreadsheets/d/1Kvs4KS76FHFqLFIZfrDMff4kP08nblUkihrxltoGBjg/edit#gid=934712705"",""ESENCIAL!A6:BG""),15,FALSE))"),"TURISMO")</f>
        <v>TURISMO</v>
      </c>
      <c r="AX78" s="21">
        <f ca="1">IFERROR(__xludf.DUMMYFUNCTION("IFERROR(VLOOKUP(E66&amp;F66,IMPORTRANGE(""https://docs.google.com/spreadsheets/d/1Uw7-A9f9R21vMXxHZFNpYNeKFtG8_yji4HS352LGlSQ/edit?pli=1#gid=0"",""1_ACUM!A4:S""),12,FALSE))"),44839)</f>
        <v>44839</v>
      </c>
      <c r="AY78" s="22">
        <f ca="1">IFERROR(__xludf.DUMMYFUNCTION("IFERROR(VLOOKUP(E66&amp;F66,IMPORTRANGE(""https://docs.google.com/spreadsheets/d/1Uw7-A9f9R21vMXxHZFNpYNeKFtG8_yji4HS352LGlSQ/edit?pli=1#gid=0"",""1_ACUM!A4:S""),13,FALSE))"),0)</f>
        <v>0</v>
      </c>
      <c r="AZ78" s="22">
        <f ca="1">IFERROR(__xludf.DUMMYFUNCTION("IFERROR(VLOOKUP(E66&amp;F66,IMPORTRANGE(""https://docs.google.com/spreadsheets/d/1Uw7-A9f9R21vMXxHZFNpYNeKFtG8_yji4HS352LGlSQ/edit?pli=1#gid=0"",""1_ACUM!A4:S""),14,FALSE))"),1)</f>
        <v>1</v>
      </c>
      <c r="BA78" s="22">
        <f ca="1">IFERROR(__xludf.DUMMYFUNCTION("IFERROR(VLOOKUP(E66&amp;F66,IMPORTRANGE(""https://docs.google.com/spreadsheets/d/1Uw7-A9f9R21vMXxHZFNpYNeKFtG8_yji4HS352LGlSQ/edit?pli=1#gid=0"",""1_ACUM!A4:S""),15,FALSE))"),0)</f>
        <v>0</v>
      </c>
      <c r="BB78" s="22">
        <f ca="1">IFERROR(__xludf.DUMMYFUNCTION("IFERROR(VLOOKUP(E66&amp;F66,IMPORTRANGE(""https://docs.google.com/spreadsheets/d/1Uw7-A9f9R21vMXxHZFNpYNeKFtG8_yji4HS352LGlSQ/edit?pli=1#gid=0"",""1_ACUM!A4:S""),16,FALSE))"),0)</f>
        <v>0</v>
      </c>
      <c r="BC78" s="22">
        <f ca="1">IFERROR(__xludf.DUMMYFUNCTION("IFERROR(VLOOKUP(E66&amp;F66,IMPORTRANGE(""https://docs.google.com/spreadsheets/d/1Uw7-A9f9R21vMXxHZFNpYNeKFtG8_yji4HS352LGlSQ/edit?pli=1#gid=0"",""1_ACUM!A4:S""),17,FALSE))"),1)</f>
        <v>1</v>
      </c>
      <c r="BD78" s="23">
        <f ca="1">IFERROR(__xludf.DUMMYFUNCTION("IFERROR(VLOOKUP(E66&amp;F66,IMPORTRANGE(""https://docs.google.com/spreadsheets/d/1Uw7-A9f9R21vMXxHZFNpYNeKFtG8_yji4HS352LGlSQ/edit?pli=1#gid=0"",""1_ACUM!A4:S""),18,FALSE))"),44301)</f>
        <v>44301</v>
      </c>
      <c r="BE78" s="23">
        <f ca="1">IFERROR(__xludf.DUMMYFUNCTION("IFERROR(VLOOKUP(E66&amp;F66,IMPORTRANGE(""https://docs.google.com/spreadsheets/d/1Uw7-A9f9R21vMXxHZFNpYNeKFtG8_yji4HS352LGlSQ/edit?pli=1#gid=0"",""1_ACUM!A4:S""),19,FALSE))"),44575)</f>
        <v>44575</v>
      </c>
      <c r="BF78" s="23">
        <f ca="1">IFERROR(__xludf.DUMMYFUNCTION("IFERROR(VLOOKUP(F66,IMPORTRANGE(""https://docs.google.com/spreadsheets/d/1Kvs4KS76FHFqLFIZfrDMff4kP08nblUkihrxltoGBjg/edit#gid=934712705"",""ESENCIAL!A6:BG""),5,FALSE))"),44756)</f>
        <v>44756</v>
      </c>
      <c r="BG78" s="23">
        <f t="shared" ca="1" si="9"/>
        <v>45305</v>
      </c>
      <c r="BH78" s="19" t="str">
        <f t="shared" ca="1" si="10"/>
        <v>FICHA EN TIEMPO-18 MESES</v>
      </c>
      <c r="BI78" s="19" t="str">
        <f ca="1">IFERROR(__xludf.DUMMYFUNCTION("IFERROR(VLOOKUP(F66,IMPORTRANGE(""https://docs.google.com/spreadsheets/d/1Kvs4KS76FHFqLFIZfrDMff4kP08nblUkihrxltoGBjg/edit#gid=934712705"",""ESENCIAL!A6:BG""),18,FALSE))"),"Terminada por fecha")</f>
        <v>Terminada por fecha</v>
      </c>
      <c r="BJ78" s="19" t="str">
        <f t="shared" si="11"/>
        <v>Yamboro</v>
      </c>
      <c r="BK78" s="291"/>
      <c r="BL78" s="19"/>
    </row>
    <row r="79" spans="1:64" ht="18" hidden="1" customHeight="1">
      <c r="A79" s="290"/>
      <c r="B79" s="145" t="s">
        <v>25</v>
      </c>
      <c r="C79" s="57" t="s">
        <v>1338</v>
      </c>
      <c r="D79" s="57" t="s">
        <v>27</v>
      </c>
      <c r="E79" s="57">
        <v>1083866288</v>
      </c>
      <c r="F79" s="114">
        <v>2280135</v>
      </c>
      <c r="G79" s="11" t="str">
        <f ca="1">IFERROR(__xludf.DUMMYFUNCTION("IFERROR(VLOOKUP(F67,IMPORTRANGE(""https://docs.google.com/spreadsheets/d/1Kvs4KS76FHFqLFIZfrDMff4kP08nblUkihrxltoGBjg/edit#gid=934712705"",""ESENCIAL!A6:BG""),3,FALSE))"),"TÉCNICO")</f>
        <v>TÉCNICO</v>
      </c>
      <c r="H79" s="11" t="str">
        <f ca="1">IFERROR(__xludf.DUMMYFUNCTION("IFERROR(VLOOKUP(F67,IMPORTRANGE(""https://docs.google.com/spreadsheets/d/1Kvs4KS76FHFqLFIZfrDMff4kP08nblUkihrxltoGBjg/edit#gid=934712705"",""ESENCIAL!A6:BG""),8,FALSE))"),"SERVICIOS DE BARISMO")</f>
        <v>SERVICIOS DE BARISMO</v>
      </c>
      <c r="I79" s="57"/>
      <c r="J79" s="30"/>
      <c r="K79" s="30"/>
      <c r="L79" s="285" t="s">
        <v>44</v>
      </c>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19" t="str">
        <f t="shared" ca="1" si="8"/>
        <v>Procede_E_P</v>
      </c>
      <c r="AV79" s="11" t="str">
        <f ca="1">IFERROR(__xludf.DUMMYFUNCTION("IFERROR(VLOOKUP(E67&amp;F67,IMPORTRANGE(""https://docs.google.com/spreadsheets/d/1Uw7-A9f9R21vMXxHZFNpYNeKFtG8_yji4HS352LGlSQ/edit?pli=1#gid=0"",""1_ACUM!A4:S""),11,FALSE))"),"EN FORMACION")</f>
        <v>EN FORMACION</v>
      </c>
      <c r="AW79" s="20" t="str">
        <f ca="1">IFERROR(__xludf.DUMMYFUNCTION("IFERROR(VLOOKUP(F67,IMPORTRANGE(""https://docs.google.com/spreadsheets/d/1Kvs4KS76FHFqLFIZfrDMff4kP08nblUkihrxltoGBjg/edit#gid=934712705"",""ESENCIAL!A6:BG""),15,FALSE))"),"TURISMO")</f>
        <v>TURISMO</v>
      </c>
      <c r="AX79" s="21">
        <f ca="1">IFERROR(__xludf.DUMMYFUNCTION("IFERROR(VLOOKUP(E67&amp;F67,IMPORTRANGE(""https://docs.google.com/spreadsheets/d/1Uw7-A9f9R21vMXxHZFNpYNeKFtG8_yji4HS352LGlSQ/edit?pli=1#gid=0"",""1_ACUM!A4:S""),12,FALSE))"),44839)</f>
        <v>44839</v>
      </c>
      <c r="AY79" s="22">
        <f ca="1">IFERROR(__xludf.DUMMYFUNCTION("IFERROR(VLOOKUP(E67&amp;F67,IMPORTRANGE(""https://docs.google.com/spreadsheets/d/1Uw7-A9f9R21vMXxHZFNpYNeKFtG8_yji4HS352LGlSQ/edit?pli=1#gid=0"",""1_ACUM!A4:S""),13,FALSE))"),0)</f>
        <v>0</v>
      </c>
      <c r="AZ79" s="22">
        <f ca="1">IFERROR(__xludf.DUMMYFUNCTION("IFERROR(VLOOKUP(E67&amp;F67,IMPORTRANGE(""https://docs.google.com/spreadsheets/d/1Uw7-A9f9R21vMXxHZFNpYNeKFtG8_yji4HS352LGlSQ/edit?pli=1#gid=0"",""1_ACUM!A4:S""),14,FALSE))"),1)</f>
        <v>1</v>
      </c>
      <c r="BA79" s="22">
        <f ca="1">IFERROR(__xludf.DUMMYFUNCTION("IFERROR(VLOOKUP(E67&amp;F67,IMPORTRANGE(""https://docs.google.com/spreadsheets/d/1Uw7-A9f9R21vMXxHZFNpYNeKFtG8_yji4HS352LGlSQ/edit?pli=1#gid=0"",""1_ACUM!A4:S""),15,FALSE))"),0)</f>
        <v>0</v>
      </c>
      <c r="BB79" s="22">
        <f ca="1">IFERROR(__xludf.DUMMYFUNCTION("IFERROR(VLOOKUP(E67&amp;F67,IMPORTRANGE(""https://docs.google.com/spreadsheets/d/1Uw7-A9f9R21vMXxHZFNpYNeKFtG8_yji4HS352LGlSQ/edit?pli=1#gid=0"",""1_ACUM!A4:S""),16,FALSE))"),0)</f>
        <v>0</v>
      </c>
      <c r="BC79" s="22">
        <f ca="1">IFERROR(__xludf.DUMMYFUNCTION("IFERROR(VLOOKUP(E67&amp;F67,IMPORTRANGE(""https://docs.google.com/spreadsheets/d/1Uw7-A9f9R21vMXxHZFNpYNeKFtG8_yji4HS352LGlSQ/edit?pli=1#gid=0"",""1_ACUM!A4:S""),17,FALSE))"),1)</f>
        <v>1</v>
      </c>
      <c r="BD79" s="23">
        <f ca="1">IFERROR(__xludf.DUMMYFUNCTION("IFERROR(VLOOKUP(E67&amp;F67,IMPORTRANGE(""https://docs.google.com/spreadsheets/d/1Uw7-A9f9R21vMXxHZFNpYNeKFtG8_yji4HS352LGlSQ/edit?pli=1#gid=0"",""1_ACUM!A4:S""),18,FALSE))"),44301)</f>
        <v>44301</v>
      </c>
      <c r="BE79" s="23">
        <f ca="1">IFERROR(__xludf.DUMMYFUNCTION("IFERROR(VLOOKUP(E67&amp;F67,IMPORTRANGE(""https://docs.google.com/spreadsheets/d/1Uw7-A9f9R21vMXxHZFNpYNeKFtG8_yji4HS352LGlSQ/edit?pli=1#gid=0"",""1_ACUM!A4:S""),19,FALSE))"),44575)</f>
        <v>44575</v>
      </c>
      <c r="BF79" s="23">
        <f ca="1">IFERROR(__xludf.DUMMYFUNCTION("IFERROR(VLOOKUP(F67,IMPORTRANGE(""https://docs.google.com/spreadsheets/d/1Kvs4KS76FHFqLFIZfrDMff4kP08nblUkihrxltoGBjg/edit#gid=934712705"",""ESENCIAL!A6:BG""),5,FALSE))"),44756)</f>
        <v>44756</v>
      </c>
      <c r="BG79" s="23">
        <f t="shared" ca="1" si="9"/>
        <v>45305</v>
      </c>
      <c r="BH79" s="19" t="str">
        <f t="shared" ca="1" si="10"/>
        <v>FICHA EN TIEMPO-18 MESES</v>
      </c>
      <c r="BI79" s="19" t="str">
        <f ca="1">IFERROR(__xludf.DUMMYFUNCTION("IFERROR(VLOOKUP(F67,IMPORTRANGE(""https://docs.google.com/spreadsheets/d/1Kvs4KS76FHFqLFIZfrDMff4kP08nblUkihrxltoGBjg/edit#gid=934712705"",""ESENCIAL!A6:BG""),18,FALSE))"),"Terminada por fecha")</f>
        <v>Terminada por fecha</v>
      </c>
      <c r="BJ79" s="19" t="str">
        <f t="shared" si="11"/>
        <v>Yamboro</v>
      </c>
      <c r="BK79" s="291"/>
      <c r="BL79" s="19"/>
    </row>
    <row r="80" spans="1:64" ht="18" hidden="1" customHeight="1">
      <c r="A80" s="290"/>
      <c r="B80" s="145" t="s">
        <v>25</v>
      </c>
      <c r="C80" s="57" t="s">
        <v>1339</v>
      </c>
      <c r="D80" s="57" t="s">
        <v>27</v>
      </c>
      <c r="E80" s="57">
        <v>1083876504</v>
      </c>
      <c r="F80" s="114">
        <v>2280135</v>
      </c>
      <c r="G80" s="11" t="str">
        <f ca="1">IFERROR(__xludf.DUMMYFUNCTION("IFERROR(VLOOKUP(F68,IMPORTRANGE(""https://docs.google.com/spreadsheets/d/1Kvs4KS76FHFqLFIZfrDMff4kP08nblUkihrxltoGBjg/edit#gid=934712705"",""ESENCIAL!A6:BG""),3,FALSE))"),"TÉCNICO")</f>
        <v>TÉCNICO</v>
      </c>
      <c r="H80" s="11" t="str">
        <f ca="1">IFERROR(__xludf.DUMMYFUNCTION("IFERROR(VLOOKUP(F68,IMPORTRANGE(""https://docs.google.com/spreadsheets/d/1Kvs4KS76FHFqLFIZfrDMff4kP08nblUkihrxltoGBjg/edit#gid=934712705"",""ESENCIAL!A6:BG""),8,FALSE))"),"SERVICIOS DE BARISMO")</f>
        <v>SERVICIOS DE BARISMO</v>
      </c>
      <c r="I80" s="57"/>
      <c r="J80" s="30"/>
      <c r="K80" s="30"/>
      <c r="L80" s="285" t="s">
        <v>44</v>
      </c>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19" t="str">
        <f t="shared" ca="1" si="8"/>
        <v>NO_CUMPLE</v>
      </c>
      <c r="AV80" s="11" t="str">
        <f ca="1">IFERROR(__xludf.DUMMYFUNCTION("IFERROR(VLOOKUP(E68&amp;F68,IMPORTRANGE(""https://docs.google.com/spreadsheets/d/1Uw7-A9f9R21vMXxHZFNpYNeKFtG8_yji4HS352LGlSQ/edit?pli=1#gid=0"",""1_ACUM!A4:S""),11,FALSE))"),"EN FORMACION")</f>
        <v>EN FORMACION</v>
      </c>
      <c r="AW80" s="20" t="str">
        <f ca="1">IFERROR(__xludf.DUMMYFUNCTION("IFERROR(VLOOKUP(F68,IMPORTRANGE(""https://docs.google.com/spreadsheets/d/1Kvs4KS76FHFqLFIZfrDMff4kP08nblUkihrxltoGBjg/edit#gid=934712705"",""ESENCIAL!A6:BG""),15,FALSE))"),"TURISMO")</f>
        <v>TURISMO</v>
      </c>
      <c r="AX80" s="21">
        <f ca="1">IFERROR(__xludf.DUMMYFUNCTION("IFERROR(VLOOKUP(E68&amp;F68,IMPORTRANGE(""https://docs.google.com/spreadsheets/d/1Uw7-A9f9R21vMXxHZFNpYNeKFtG8_yji4HS352LGlSQ/edit?pli=1#gid=0"",""1_ACUM!A4:S""),12,FALSE))"),44839)</f>
        <v>44839</v>
      </c>
      <c r="AY80" s="22">
        <f ca="1">IFERROR(__xludf.DUMMYFUNCTION("IFERROR(VLOOKUP(E68&amp;F68,IMPORTRANGE(""https://docs.google.com/spreadsheets/d/1Uw7-A9f9R21vMXxHZFNpYNeKFtG8_yji4HS352LGlSQ/edit?pli=1#gid=0"",""1_ACUM!A4:S""),13,FALSE))"),21)</f>
        <v>21</v>
      </c>
      <c r="AZ80" s="22">
        <f ca="1">IFERROR(__xludf.DUMMYFUNCTION("IFERROR(VLOOKUP(E68&amp;F68,IMPORTRANGE(""https://docs.google.com/spreadsheets/d/1Uw7-A9f9R21vMXxHZFNpYNeKFtG8_yji4HS352LGlSQ/edit?pli=1#gid=0"",""1_ACUM!A4:S""),14,FALSE))"),1)</f>
        <v>1</v>
      </c>
      <c r="BA80" s="22">
        <f ca="1">IFERROR(__xludf.DUMMYFUNCTION("IFERROR(VLOOKUP(E68&amp;F68,IMPORTRANGE(""https://docs.google.com/spreadsheets/d/1Uw7-A9f9R21vMXxHZFNpYNeKFtG8_yji4HS352LGlSQ/edit?pli=1#gid=0"",""1_ACUM!A4:S""),15,FALSE))"),6)</f>
        <v>6</v>
      </c>
      <c r="BB80" s="22">
        <f ca="1">IFERROR(__xludf.DUMMYFUNCTION("IFERROR(VLOOKUP(E68&amp;F68,IMPORTRANGE(""https://docs.google.com/spreadsheets/d/1Uw7-A9f9R21vMXxHZFNpYNeKFtG8_yji4HS352LGlSQ/edit?pli=1#gid=0"",""1_ACUM!A4:S""),16,FALSE))"),11)</f>
        <v>11</v>
      </c>
      <c r="BC80" s="22">
        <f ca="1">IFERROR(__xludf.DUMMYFUNCTION("IFERROR(VLOOKUP(E68&amp;F68,IMPORTRANGE(""https://docs.google.com/spreadsheets/d/1Uw7-A9f9R21vMXxHZFNpYNeKFtG8_yji4HS352LGlSQ/edit?pli=1#gid=0"",""1_ACUM!A4:S""),17,FALSE))"),39)</f>
        <v>39</v>
      </c>
      <c r="BD80" s="23">
        <f ca="1">IFERROR(__xludf.DUMMYFUNCTION("IFERROR(VLOOKUP(E68&amp;F68,IMPORTRANGE(""https://docs.google.com/spreadsheets/d/1Uw7-A9f9R21vMXxHZFNpYNeKFtG8_yji4HS352LGlSQ/edit?pli=1#gid=0"",""1_ACUM!A4:S""),18,FALSE))"),44301)</f>
        <v>44301</v>
      </c>
      <c r="BE80" s="23">
        <f ca="1">IFERROR(__xludf.DUMMYFUNCTION("IFERROR(VLOOKUP(E68&amp;F68,IMPORTRANGE(""https://docs.google.com/spreadsheets/d/1Uw7-A9f9R21vMXxHZFNpYNeKFtG8_yji4HS352LGlSQ/edit?pli=1#gid=0"",""1_ACUM!A4:S""),19,FALSE))"),44575)</f>
        <v>44575</v>
      </c>
      <c r="BF80" s="23">
        <f ca="1">IFERROR(__xludf.DUMMYFUNCTION("IFERROR(VLOOKUP(F68,IMPORTRANGE(""https://docs.google.com/spreadsheets/d/1Kvs4KS76FHFqLFIZfrDMff4kP08nblUkihrxltoGBjg/edit#gid=934712705"",""ESENCIAL!A6:BG""),5,FALSE))"),44756)</f>
        <v>44756</v>
      </c>
      <c r="BG80" s="23">
        <f t="shared" ca="1" si="9"/>
        <v>45305</v>
      </c>
      <c r="BH80" s="19" t="str">
        <f t="shared" ca="1" si="10"/>
        <v>FICHA EN TIEMPO-18 MESES</v>
      </c>
      <c r="BI80" s="19" t="str">
        <f ca="1">IFERROR(__xludf.DUMMYFUNCTION("IFERROR(VLOOKUP(F68,IMPORTRANGE(""https://docs.google.com/spreadsheets/d/1Kvs4KS76FHFqLFIZfrDMff4kP08nblUkihrxltoGBjg/edit#gid=934712705"",""ESENCIAL!A6:BG""),18,FALSE))"),"Terminada por fecha")</f>
        <v>Terminada por fecha</v>
      </c>
      <c r="BJ80" s="19" t="str">
        <f t="shared" si="11"/>
        <v>Yamboro</v>
      </c>
      <c r="BK80" s="291"/>
      <c r="BL80" s="19"/>
    </row>
    <row r="81" spans="1:64" ht="18" hidden="1" customHeight="1">
      <c r="A81" s="290"/>
      <c r="B81" s="145" t="s">
        <v>25</v>
      </c>
      <c r="C81" s="57" t="s">
        <v>1340</v>
      </c>
      <c r="D81" s="57" t="s">
        <v>27</v>
      </c>
      <c r="E81" s="57">
        <v>1083878479</v>
      </c>
      <c r="F81" s="114">
        <v>2280135</v>
      </c>
      <c r="G81" s="11" t="str">
        <f ca="1">IFERROR(__xludf.DUMMYFUNCTION("IFERROR(VLOOKUP(F69,IMPORTRANGE(""https://docs.google.com/spreadsheets/d/1Kvs4KS76FHFqLFIZfrDMff4kP08nblUkihrxltoGBjg/edit#gid=934712705"",""ESENCIAL!A6:BG""),3,FALSE))"),"TÉCNICO")</f>
        <v>TÉCNICO</v>
      </c>
      <c r="H81" s="11" t="str">
        <f ca="1">IFERROR(__xludf.DUMMYFUNCTION("IFERROR(VLOOKUP(F69,IMPORTRANGE(""https://docs.google.com/spreadsheets/d/1Kvs4KS76FHFqLFIZfrDMff4kP08nblUkihrxltoGBjg/edit#gid=934712705"",""ESENCIAL!A6:BG""),8,FALSE))"),"SERVICIOS DE BARISMO")</f>
        <v>SERVICIOS DE BARISMO</v>
      </c>
      <c r="I81" s="57"/>
      <c r="J81" s="30"/>
      <c r="K81" s="30"/>
      <c r="L81" s="285" t="s">
        <v>44</v>
      </c>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19" t="str">
        <f t="shared" ca="1" si="8"/>
        <v>Procede_E_P</v>
      </c>
      <c r="AV81" s="11" t="str">
        <f ca="1">IFERROR(__xludf.DUMMYFUNCTION("IFERROR(VLOOKUP(E69&amp;F69,IMPORTRANGE(""https://docs.google.com/spreadsheets/d/1Uw7-A9f9R21vMXxHZFNpYNeKFtG8_yji4HS352LGlSQ/edit?pli=1#gid=0"",""1_ACUM!A4:S""),11,FALSE))"),"EN FORMACION")</f>
        <v>EN FORMACION</v>
      </c>
      <c r="AW81" s="20" t="str">
        <f ca="1">IFERROR(__xludf.DUMMYFUNCTION("IFERROR(VLOOKUP(F69,IMPORTRANGE(""https://docs.google.com/spreadsheets/d/1Kvs4KS76FHFqLFIZfrDMff4kP08nblUkihrxltoGBjg/edit#gid=934712705"",""ESENCIAL!A6:BG""),15,FALSE))"),"TURISMO")</f>
        <v>TURISMO</v>
      </c>
      <c r="AX81" s="21">
        <f ca="1">IFERROR(__xludf.DUMMYFUNCTION("IFERROR(VLOOKUP(E69&amp;F69,IMPORTRANGE(""https://docs.google.com/spreadsheets/d/1Uw7-A9f9R21vMXxHZFNpYNeKFtG8_yji4HS352LGlSQ/edit?pli=1#gid=0"",""1_ACUM!A4:S""),12,FALSE))"),44839)</f>
        <v>44839</v>
      </c>
      <c r="AY81" s="22">
        <f ca="1">IFERROR(__xludf.DUMMYFUNCTION("IFERROR(VLOOKUP(E69&amp;F69,IMPORTRANGE(""https://docs.google.com/spreadsheets/d/1Uw7-A9f9R21vMXxHZFNpYNeKFtG8_yji4HS352LGlSQ/edit?pli=1#gid=0"",""1_ACUM!A4:S""),13,FALSE))"),0)</f>
        <v>0</v>
      </c>
      <c r="AZ81" s="22">
        <f ca="1">IFERROR(__xludf.DUMMYFUNCTION("IFERROR(VLOOKUP(E69&amp;F69,IMPORTRANGE(""https://docs.google.com/spreadsheets/d/1Uw7-A9f9R21vMXxHZFNpYNeKFtG8_yji4HS352LGlSQ/edit?pli=1#gid=0"",""1_ACUM!A4:S""),14,FALSE))"),1)</f>
        <v>1</v>
      </c>
      <c r="BA81" s="22">
        <f ca="1">IFERROR(__xludf.DUMMYFUNCTION("IFERROR(VLOOKUP(E69&amp;F69,IMPORTRANGE(""https://docs.google.com/spreadsheets/d/1Uw7-A9f9R21vMXxHZFNpYNeKFtG8_yji4HS352LGlSQ/edit?pli=1#gid=0"",""1_ACUM!A4:S""),15,FALSE))"),0)</f>
        <v>0</v>
      </c>
      <c r="BB81" s="22">
        <f ca="1">IFERROR(__xludf.DUMMYFUNCTION("IFERROR(VLOOKUP(E69&amp;F69,IMPORTRANGE(""https://docs.google.com/spreadsheets/d/1Uw7-A9f9R21vMXxHZFNpYNeKFtG8_yji4HS352LGlSQ/edit?pli=1#gid=0"",""1_ACUM!A4:S""),16,FALSE))"),0)</f>
        <v>0</v>
      </c>
      <c r="BC81" s="22">
        <f ca="1">IFERROR(__xludf.DUMMYFUNCTION("IFERROR(VLOOKUP(E69&amp;F69,IMPORTRANGE(""https://docs.google.com/spreadsheets/d/1Uw7-A9f9R21vMXxHZFNpYNeKFtG8_yji4HS352LGlSQ/edit?pli=1#gid=0"",""1_ACUM!A4:S""),17,FALSE))"),1)</f>
        <v>1</v>
      </c>
      <c r="BD81" s="23">
        <f ca="1">IFERROR(__xludf.DUMMYFUNCTION("IFERROR(VLOOKUP(E69&amp;F69,IMPORTRANGE(""https://docs.google.com/spreadsheets/d/1Uw7-A9f9R21vMXxHZFNpYNeKFtG8_yji4HS352LGlSQ/edit?pli=1#gid=0"",""1_ACUM!A4:S""),18,FALSE))"),44301)</f>
        <v>44301</v>
      </c>
      <c r="BE81" s="23">
        <f ca="1">IFERROR(__xludf.DUMMYFUNCTION("IFERROR(VLOOKUP(E69&amp;F69,IMPORTRANGE(""https://docs.google.com/spreadsheets/d/1Uw7-A9f9R21vMXxHZFNpYNeKFtG8_yji4HS352LGlSQ/edit?pli=1#gid=0"",""1_ACUM!A4:S""),19,FALSE))"),44575)</f>
        <v>44575</v>
      </c>
      <c r="BF81" s="23">
        <f ca="1">IFERROR(__xludf.DUMMYFUNCTION("IFERROR(VLOOKUP(F69,IMPORTRANGE(""https://docs.google.com/spreadsheets/d/1Kvs4KS76FHFqLFIZfrDMff4kP08nblUkihrxltoGBjg/edit#gid=934712705"",""ESENCIAL!A6:BG""),5,FALSE))"),44756)</f>
        <v>44756</v>
      </c>
      <c r="BG81" s="23">
        <f t="shared" ca="1" si="9"/>
        <v>45305</v>
      </c>
      <c r="BH81" s="19" t="str">
        <f t="shared" ca="1" si="10"/>
        <v>FICHA EN TIEMPO-18 MESES</v>
      </c>
      <c r="BI81" s="19" t="str">
        <f ca="1">IFERROR(__xludf.DUMMYFUNCTION("IFERROR(VLOOKUP(F69,IMPORTRANGE(""https://docs.google.com/spreadsheets/d/1Kvs4KS76FHFqLFIZfrDMff4kP08nblUkihrxltoGBjg/edit#gid=934712705"",""ESENCIAL!A6:BG""),18,FALSE))"),"Terminada por fecha")</f>
        <v>Terminada por fecha</v>
      </c>
      <c r="BJ81" s="19" t="str">
        <f t="shared" si="11"/>
        <v>Yamboro</v>
      </c>
      <c r="BK81" s="291"/>
      <c r="BL81" s="19"/>
    </row>
    <row r="82" spans="1:64" ht="18" hidden="1" customHeight="1">
      <c r="A82" s="290"/>
      <c r="B82" s="145" t="s">
        <v>25</v>
      </c>
      <c r="C82" s="57" t="s">
        <v>1341</v>
      </c>
      <c r="D82" s="57" t="s">
        <v>27</v>
      </c>
      <c r="E82" s="57">
        <v>1083926410</v>
      </c>
      <c r="F82" s="114">
        <v>2280135</v>
      </c>
      <c r="G82" s="11" t="str">
        <f ca="1">IFERROR(__xludf.DUMMYFUNCTION("IFERROR(VLOOKUP(F71,IMPORTRANGE(""https://docs.google.com/spreadsheets/d/1Kvs4KS76FHFqLFIZfrDMff4kP08nblUkihrxltoGBjg/edit#gid=934712705"",""ESENCIAL!A6:BG""),3,FALSE))"),"TÉCNICO")</f>
        <v>TÉCNICO</v>
      </c>
      <c r="H82" s="11" t="str">
        <f ca="1">IFERROR(__xludf.DUMMYFUNCTION("IFERROR(VLOOKUP(F71,IMPORTRANGE(""https://docs.google.com/spreadsheets/d/1Kvs4KS76FHFqLFIZfrDMff4kP08nblUkihrxltoGBjg/edit#gid=934712705"",""ESENCIAL!A6:BG""),8,FALSE))"),"SERVICIOS DE BARISMO")</f>
        <v>SERVICIOS DE BARISMO</v>
      </c>
      <c r="I82" s="57"/>
      <c r="J82" s="30"/>
      <c r="K82" s="30"/>
      <c r="L82" s="285" t="s">
        <v>44</v>
      </c>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19" t="str">
        <f t="shared" ca="1" si="8"/>
        <v>Procede_E_P</v>
      </c>
      <c r="AV82" s="11" t="str">
        <f ca="1">IFERROR(__xludf.DUMMYFUNCTION("IFERROR(VLOOKUP(E71&amp;F71,IMPORTRANGE(""https://docs.google.com/spreadsheets/d/1Uw7-A9f9R21vMXxHZFNpYNeKFtG8_yji4HS352LGlSQ/edit?pli=1#gid=0"",""1_ACUM!A4:S""),11,FALSE))"),"EN FORMACION")</f>
        <v>EN FORMACION</v>
      </c>
      <c r="AW82" s="20" t="str">
        <f ca="1">IFERROR(__xludf.DUMMYFUNCTION("IFERROR(VLOOKUP(F71,IMPORTRANGE(""https://docs.google.com/spreadsheets/d/1Kvs4KS76FHFqLFIZfrDMff4kP08nblUkihrxltoGBjg/edit#gid=934712705"",""ESENCIAL!A6:BG""),15,FALSE))"),"TURISMO")</f>
        <v>TURISMO</v>
      </c>
      <c r="AX82" s="21">
        <f ca="1">IFERROR(__xludf.DUMMYFUNCTION("IFERROR(VLOOKUP(E71&amp;F71,IMPORTRANGE(""https://docs.google.com/spreadsheets/d/1Uw7-A9f9R21vMXxHZFNpYNeKFtG8_yji4HS352LGlSQ/edit?pli=1#gid=0"",""1_ACUM!A4:S""),12,FALSE))"),44839)</f>
        <v>44839</v>
      </c>
      <c r="AY82" s="22">
        <f ca="1">IFERROR(__xludf.DUMMYFUNCTION("IFERROR(VLOOKUP(E71&amp;F71,IMPORTRANGE(""https://docs.google.com/spreadsheets/d/1Uw7-A9f9R21vMXxHZFNpYNeKFtG8_yji4HS352LGlSQ/edit?pli=1#gid=0"",""1_ACUM!A4:S""),13,FALSE))"),0)</f>
        <v>0</v>
      </c>
      <c r="AZ82" s="22">
        <f ca="1">IFERROR(__xludf.DUMMYFUNCTION("IFERROR(VLOOKUP(E71&amp;F71,IMPORTRANGE(""https://docs.google.com/spreadsheets/d/1Uw7-A9f9R21vMXxHZFNpYNeKFtG8_yji4HS352LGlSQ/edit?pli=1#gid=0"",""1_ACUM!A4:S""),14,FALSE))"),1)</f>
        <v>1</v>
      </c>
      <c r="BA82" s="22">
        <f ca="1">IFERROR(__xludf.DUMMYFUNCTION("IFERROR(VLOOKUP(E71&amp;F71,IMPORTRANGE(""https://docs.google.com/spreadsheets/d/1Uw7-A9f9R21vMXxHZFNpYNeKFtG8_yji4HS352LGlSQ/edit?pli=1#gid=0"",""1_ACUM!A4:S""),15,FALSE))"),0)</f>
        <v>0</v>
      </c>
      <c r="BB82" s="22">
        <f ca="1">IFERROR(__xludf.DUMMYFUNCTION("IFERROR(VLOOKUP(E71&amp;F71,IMPORTRANGE(""https://docs.google.com/spreadsheets/d/1Uw7-A9f9R21vMXxHZFNpYNeKFtG8_yji4HS352LGlSQ/edit?pli=1#gid=0"",""1_ACUM!A4:S""),16,FALSE))"),0)</f>
        <v>0</v>
      </c>
      <c r="BC82" s="22">
        <f ca="1">IFERROR(__xludf.DUMMYFUNCTION("IFERROR(VLOOKUP(E71&amp;F71,IMPORTRANGE(""https://docs.google.com/spreadsheets/d/1Uw7-A9f9R21vMXxHZFNpYNeKFtG8_yji4HS352LGlSQ/edit?pli=1#gid=0"",""1_ACUM!A4:S""),17,FALSE))"),1)</f>
        <v>1</v>
      </c>
      <c r="BD82" s="23">
        <f ca="1">IFERROR(__xludf.DUMMYFUNCTION("IFERROR(VLOOKUP(E71&amp;F71,IMPORTRANGE(""https://docs.google.com/spreadsheets/d/1Uw7-A9f9R21vMXxHZFNpYNeKFtG8_yji4HS352LGlSQ/edit?pli=1#gid=0"",""1_ACUM!A4:S""),18,FALSE))"),44301)</f>
        <v>44301</v>
      </c>
      <c r="BE82" s="23">
        <f ca="1">IFERROR(__xludf.DUMMYFUNCTION("IFERROR(VLOOKUP(E71&amp;F71,IMPORTRANGE(""https://docs.google.com/spreadsheets/d/1Uw7-A9f9R21vMXxHZFNpYNeKFtG8_yji4HS352LGlSQ/edit?pli=1#gid=0"",""1_ACUM!A4:S""),19,FALSE))"),44575)</f>
        <v>44575</v>
      </c>
      <c r="BF82" s="23">
        <f ca="1">IFERROR(__xludf.DUMMYFUNCTION("IFERROR(VLOOKUP(F71,IMPORTRANGE(""https://docs.google.com/spreadsheets/d/1Kvs4KS76FHFqLFIZfrDMff4kP08nblUkihrxltoGBjg/edit#gid=934712705"",""ESENCIAL!A6:BG""),5,FALSE))"),44756)</f>
        <v>44756</v>
      </c>
      <c r="BG82" s="23">
        <f t="shared" ca="1" si="9"/>
        <v>45305</v>
      </c>
      <c r="BH82" s="19" t="str">
        <f t="shared" ca="1" si="10"/>
        <v>FICHA EN TIEMPO-18 MESES</v>
      </c>
      <c r="BI82" s="19" t="str">
        <f ca="1">IFERROR(__xludf.DUMMYFUNCTION("IFERROR(VLOOKUP(F71,IMPORTRANGE(""https://docs.google.com/spreadsheets/d/1Kvs4KS76FHFqLFIZfrDMff4kP08nblUkihrxltoGBjg/edit#gid=934712705"",""ESENCIAL!A6:BG""),18,FALSE))"),"Terminada por fecha")</f>
        <v>Terminada por fecha</v>
      </c>
      <c r="BJ82" s="19" t="str">
        <f t="shared" si="11"/>
        <v>Yamboro</v>
      </c>
      <c r="BK82" s="291"/>
      <c r="BL82" s="19"/>
    </row>
    <row r="83" spans="1:64" ht="18" hidden="1" customHeight="1">
      <c r="A83" s="290"/>
      <c r="B83" s="145" t="s">
        <v>25</v>
      </c>
      <c r="C83" s="57" t="s">
        <v>1342</v>
      </c>
      <c r="D83" s="57" t="s">
        <v>27</v>
      </c>
      <c r="E83" s="57">
        <v>1083930238</v>
      </c>
      <c r="F83" s="114">
        <v>2280135</v>
      </c>
      <c r="G83" s="11" t="str">
        <f ca="1">IFERROR(__xludf.DUMMYFUNCTION("IFERROR(VLOOKUP(F72,IMPORTRANGE(""https://docs.google.com/spreadsheets/d/1Kvs4KS76FHFqLFIZfrDMff4kP08nblUkihrxltoGBjg/edit#gid=934712705"",""ESENCIAL!A6:BG""),3,FALSE))"),"TÉCNICO")</f>
        <v>TÉCNICO</v>
      </c>
      <c r="H83" s="11" t="str">
        <f ca="1">IFERROR(__xludf.DUMMYFUNCTION("IFERROR(VLOOKUP(F72,IMPORTRANGE(""https://docs.google.com/spreadsheets/d/1Kvs4KS76FHFqLFIZfrDMff4kP08nblUkihrxltoGBjg/edit#gid=934712705"",""ESENCIAL!A6:BG""),8,FALSE))"),"SERVICIOS DE BARISMO")</f>
        <v>SERVICIOS DE BARISMO</v>
      </c>
      <c r="I83" s="57"/>
      <c r="J83" s="30"/>
      <c r="K83" s="30"/>
      <c r="L83" s="285" t="s">
        <v>44</v>
      </c>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19" t="str">
        <f t="shared" ca="1" si="8"/>
        <v>Procede_E_P</v>
      </c>
      <c r="AV83" s="11" t="str">
        <f ca="1">IFERROR(__xludf.DUMMYFUNCTION("IFERROR(VLOOKUP(E72&amp;F72,IMPORTRANGE(""https://docs.google.com/spreadsheets/d/1Uw7-A9f9R21vMXxHZFNpYNeKFtG8_yji4HS352LGlSQ/edit?pli=1#gid=0"",""1_ACUM!A4:S""),11,FALSE))"),"EN FORMACION")</f>
        <v>EN FORMACION</v>
      </c>
      <c r="AW83" s="20" t="str">
        <f ca="1">IFERROR(__xludf.DUMMYFUNCTION("IFERROR(VLOOKUP(F72,IMPORTRANGE(""https://docs.google.com/spreadsheets/d/1Kvs4KS76FHFqLFIZfrDMff4kP08nblUkihrxltoGBjg/edit#gid=934712705"",""ESENCIAL!A6:BG""),15,FALSE))"),"TURISMO")</f>
        <v>TURISMO</v>
      </c>
      <c r="AX83" s="21">
        <f ca="1">IFERROR(__xludf.DUMMYFUNCTION("IFERROR(VLOOKUP(E72&amp;F72,IMPORTRANGE(""https://docs.google.com/spreadsheets/d/1Uw7-A9f9R21vMXxHZFNpYNeKFtG8_yji4HS352LGlSQ/edit?pli=1#gid=0"",""1_ACUM!A4:S""),12,FALSE))"),44839)</f>
        <v>44839</v>
      </c>
      <c r="AY83" s="22">
        <f ca="1">IFERROR(__xludf.DUMMYFUNCTION("IFERROR(VLOOKUP(E72&amp;F72,IMPORTRANGE(""https://docs.google.com/spreadsheets/d/1Uw7-A9f9R21vMXxHZFNpYNeKFtG8_yji4HS352LGlSQ/edit?pli=1#gid=0"",""1_ACUM!A4:S""),13,FALSE))"),0)</f>
        <v>0</v>
      </c>
      <c r="AZ83" s="22">
        <f ca="1">IFERROR(__xludf.DUMMYFUNCTION("IFERROR(VLOOKUP(E72&amp;F72,IMPORTRANGE(""https://docs.google.com/spreadsheets/d/1Uw7-A9f9R21vMXxHZFNpYNeKFtG8_yji4HS352LGlSQ/edit?pli=1#gid=0"",""1_ACUM!A4:S""),14,FALSE))"),1)</f>
        <v>1</v>
      </c>
      <c r="BA83" s="22">
        <f ca="1">IFERROR(__xludf.DUMMYFUNCTION("IFERROR(VLOOKUP(E72&amp;F72,IMPORTRANGE(""https://docs.google.com/spreadsheets/d/1Uw7-A9f9R21vMXxHZFNpYNeKFtG8_yji4HS352LGlSQ/edit?pli=1#gid=0"",""1_ACUM!A4:S""),15,FALSE))"),0)</f>
        <v>0</v>
      </c>
      <c r="BB83" s="22">
        <f ca="1">IFERROR(__xludf.DUMMYFUNCTION("IFERROR(VLOOKUP(E72&amp;F72,IMPORTRANGE(""https://docs.google.com/spreadsheets/d/1Uw7-A9f9R21vMXxHZFNpYNeKFtG8_yji4HS352LGlSQ/edit?pli=1#gid=0"",""1_ACUM!A4:S""),16,FALSE))"),0)</f>
        <v>0</v>
      </c>
      <c r="BC83" s="22">
        <f ca="1">IFERROR(__xludf.DUMMYFUNCTION("IFERROR(VLOOKUP(E72&amp;F72,IMPORTRANGE(""https://docs.google.com/spreadsheets/d/1Uw7-A9f9R21vMXxHZFNpYNeKFtG8_yji4HS352LGlSQ/edit?pli=1#gid=0"",""1_ACUM!A4:S""),17,FALSE))"),1)</f>
        <v>1</v>
      </c>
      <c r="BD83" s="23">
        <f ca="1">IFERROR(__xludf.DUMMYFUNCTION("IFERROR(VLOOKUP(E72&amp;F72,IMPORTRANGE(""https://docs.google.com/spreadsheets/d/1Uw7-A9f9R21vMXxHZFNpYNeKFtG8_yji4HS352LGlSQ/edit?pli=1#gid=0"",""1_ACUM!A4:S""),18,FALSE))"),44301)</f>
        <v>44301</v>
      </c>
      <c r="BE83" s="23">
        <f ca="1">IFERROR(__xludf.DUMMYFUNCTION("IFERROR(VLOOKUP(E72&amp;F72,IMPORTRANGE(""https://docs.google.com/spreadsheets/d/1Uw7-A9f9R21vMXxHZFNpYNeKFtG8_yji4HS352LGlSQ/edit?pli=1#gid=0"",""1_ACUM!A4:S""),19,FALSE))"),44575)</f>
        <v>44575</v>
      </c>
      <c r="BF83" s="23">
        <f ca="1">IFERROR(__xludf.DUMMYFUNCTION("IFERROR(VLOOKUP(F72,IMPORTRANGE(""https://docs.google.com/spreadsheets/d/1Kvs4KS76FHFqLFIZfrDMff4kP08nblUkihrxltoGBjg/edit#gid=934712705"",""ESENCIAL!A6:BG""),5,FALSE))"),44756)</f>
        <v>44756</v>
      </c>
      <c r="BG83" s="23">
        <f t="shared" ca="1" si="9"/>
        <v>45305</v>
      </c>
      <c r="BH83" s="19" t="str">
        <f t="shared" ca="1" si="10"/>
        <v>FICHA EN TIEMPO-18 MESES</v>
      </c>
      <c r="BI83" s="19" t="str">
        <f ca="1">IFERROR(__xludf.DUMMYFUNCTION("IFERROR(VLOOKUP(F72,IMPORTRANGE(""https://docs.google.com/spreadsheets/d/1Kvs4KS76FHFqLFIZfrDMff4kP08nblUkihrxltoGBjg/edit#gid=934712705"",""ESENCIAL!A6:BG""),18,FALSE))"),"Terminada por fecha")</f>
        <v>Terminada por fecha</v>
      </c>
      <c r="BJ83" s="19" t="str">
        <f t="shared" si="11"/>
        <v>Yamboro</v>
      </c>
      <c r="BK83" s="291"/>
      <c r="BL83" s="19"/>
    </row>
    <row r="84" spans="1:64" ht="18" hidden="1" customHeight="1">
      <c r="A84" s="290"/>
      <c r="B84" s="145" t="s">
        <v>25</v>
      </c>
      <c r="C84" s="57" t="s">
        <v>1343</v>
      </c>
      <c r="D84" s="57" t="s">
        <v>27</v>
      </c>
      <c r="E84" s="57">
        <v>36292204</v>
      </c>
      <c r="F84" s="114">
        <v>2280135</v>
      </c>
      <c r="G84" s="11" t="str">
        <f ca="1">IFERROR(__xludf.DUMMYFUNCTION("IFERROR(VLOOKUP(F74,IMPORTRANGE(""https://docs.google.com/spreadsheets/d/1Kvs4KS76FHFqLFIZfrDMff4kP08nblUkihrxltoGBjg/edit#gid=934712705"",""ESENCIAL!A6:BG""),3,FALSE))"),"TÉCNICO")</f>
        <v>TÉCNICO</v>
      </c>
      <c r="H84" s="11" t="str">
        <f ca="1">IFERROR(__xludf.DUMMYFUNCTION("IFERROR(VLOOKUP(F74,IMPORTRANGE(""https://docs.google.com/spreadsheets/d/1Kvs4KS76FHFqLFIZfrDMff4kP08nblUkihrxltoGBjg/edit#gid=934712705"",""ESENCIAL!A6:BG""),8,FALSE))"),"SERVICIOS DE BARISMO")</f>
        <v>SERVICIOS DE BARISMO</v>
      </c>
      <c r="I84" s="57"/>
      <c r="J84" s="30"/>
      <c r="K84" s="30"/>
      <c r="L84" s="285" t="s">
        <v>44</v>
      </c>
      <c r="M84" s="30"/>
      <c r="N84" s="30"/>
      <c r="O84" s="30"/>
      <c r="P84" s="30"/>
      <c r="Q84" s="30"/>
      <c r="R84" s="88"/>
      <c r="S84" s="88"/>
      <c r="T84" s="30"/>
      <c r="U84" s="30"/>
      <c r="V84" s="30"/>
      <c r="W84" s="30"/>
      <c r="X84" s="30"/>
      <c r="Y84" s="30"/>
      <c r="Z84" s="30"/>
      <c r="AA84" s="30"/>
      <c r="AB84" s="61"/>
      <c r="AC84" s="30"/>
      <c r="AD84" s="30"/>
      <c r="AE84" s="30"/>
      <c r="AF84" s="30"/>
      <c r="AG84" s="30"/>
      <c r="AH84" s="30"/>
      <c r="AI84" s="30"/>
      <c r="AJ84" s="30"/>
      <c r="AK84" s="30"/>
      <c r="AL84" s="30"/>
      <c r="AM84" s="30"/>
      <c r="AN84" s="30"/>
      <c r="AO84" s="30"/>
      <c r="AP84" s="30"/>
      <c r="AQ84" s="30"/>
      <c r="AR84" s="30"/>
      <c r="AS84" s="30"/>
      <c r="AT84" s="30"/>
      <c r="AU84" s="19" t="str">
        <f t="shared" ca="1" si="8"/>
        <v>NO_CUMPLE</v>
      </c>
      <c r="AV84" s="11" t="str">
        <f ca="1">IFERROR(__xludf.DUMMYFUNCTION("IFERROR(VLOOKUP(E74&amp;F74,IMPORTRANGE(""https://docs.google.com/spreadsheets/d/1Uw7-A9f9R21vMXxHZFNpYNeKFtG8_yji4HS352LGlSQ/edit?pli=1#gid=0"",""1_ACUM!A4:S""),11,FALSE))"),"EN FORMACION")</f>
        <v>EN FORMACION</v>
      </c>
      <c r="AW84" s="20" t="str">
        <f ca="1">IFERROR(__xludf.DUMMYFUNCTION("IFERROR(VLOOKUP(F74,IMPORTRANGE(""https://docs.google.com/spreadsheets/d/1Kvs4KS76FHFqLFIZfrDMff4kP08nblUkihrxltoGBjg/edit#gid=934712705"",""ESENCIAL!A6:BG""),15,FALSE))"),"TURISMO")</f>
        <v>TURISMO</v>
      </c>
      <c r="AX84" s="21">
        <f ca="1">IFERROR(__xludf.DUMMYFUNCTION("IFERROR(VLOOKUP(E74&amp;F74,IMPORTRANGE(""https://docs.google.com/spreadsheets/d/1Uw7-A9f9R21vMXxHZFNpYNeKFtG8_yji4HS352LGlSQ/edit?pli=1#gid=0"",""1_ACUM!A4:S""),12,FALSE))"),44839)</f>
        <v>44839</v>
      </c>
      <c r="AY84" s="22">
        <f ca="1">IFERROR(__xludf.DUMMYFUNCTION("IFERROR(VLOOKUP(E74&amp;F74,IMPORTRANGE(""https://docs.google.com/spreadsheets/d/1Uw7-A9f9R21vMXxHZFNpYNeKFtG8_yji4HS352LGlSQ/edit?pli=1#gid=0"",""1_ACUM!A4:S""),13,FALSE))"),29)</f>
        <v>29</v>
      </c>
      <c r="AZ84" s="22">
        <f ca="1">IFERROR(__xludf.DUMMYFUNCTION("IFERROR(VLOOKUP(E74&amp;F74,IMPORTRANGE(""https://docs.google.com/spreadsheets/d/1Uw7-A9f9R21vMXxHZFNpYNeKFtG8_yji4HS352LGlSQ/edit?pli=1#gid=0"",""1_ACUM!A4:S""),14,FALSE))"),1)</f>
        <v>1</v>
      </c>
      <c r="BA84" s="22">
        <f ca="1">IFERROR(__xludf.DUMMYFUNCTION("IFERROR(VLOOKUP(E74&amp;F74,IMPORTRANGE(""https://docs.google.com/spreadsheets/d/1Uw7-A9f9R21vMXxHZFNpYNeKFtG8_yji4HS352LGlSQ/edit?pli=1#gid=0"",""1_ACUM!A4:S""),15,FALSE))"),6)</f>
        <v>6</v>
      </c>
      <c r="BB84" s="22">
        <f ca="1">IFERROR(__xludf.DUMMYFUNCTION("IFERROR(VLOOKUP(E74&amp;F74,IMPORTRANGE(""https://docs.google.com/spreadsheets/d/1Uw7-A9f9R21vMXxHZFNpYNeKFtG8_yji4HS352LGlSQ/edit?pli=1#gid=0"",""1_ACUM!A4:S""),16,FALSE))"),11)</f>
        <v>11</v>
      </c>
      <c r="BC84" s="22">
        <f ca="1">IFERROR(__xludf.DUMMYFUNCTION("IFERROR(VLOOKUP(E74&amp;F74,IMPORTRANGE(""https://docs.google.com/spreadsheets/d/1Uw7-A9f9R21vMXxHZFNpYNeKFtG8_yji4HS352LGlSQ/edit?pli=1#gid=0"",""1_ACUM!A4:S""),17,FALSE))"),47)</f>
        <v>47</v>
      </c>
      <c r="BD84" s="23">
        <f ca="1">IFERROR(__xludf.DUMMYFUNCTION("IFERROR(VLOOKUP(E74&amp;F74,IMPORTRANGE(""https://docs.google.com/spreadsheets/d/1Uw7-A9f9R21vMXxHZFNpYNeKFtG8_yji4HS352LGlSQ/edit?pli=1#gid=0"",""1_ACUM!A4:S""),18,FALSE))"),44301)</f>
        <v>44301</v>
      </c>
      <c r="BE84" s="23">
        <f ca="1">IFERROR(__xludf.DUMMYFUNCTION("IFERROR(VLOOKUP(E74&amp;F74,IMPORTRANGE(""https://docs.google.com/spreadsheets/d/1Uw7-A9f9R21vMXxHZFNpYNeKFtG8_yji4HS352LGlSQ/edit?pli=1#gid=0"",""1_ACUM!A4:S""),19,FALSE))"),44575)</f>
        <v>44575</v>
      </c>
      <c r="BF84" s="23">
        <f ca="1">IFERROR(__xludf.DUMMYFUNCTION("IFERROR(VLOOKUP(F74,IMPORTRANGE(""https://docs.google.com/spreadsheets/d/1Kvs4KS76FHFqLFIZfrDMff4kP08nblUkihrxltoGBjg/edit#gid=934712705"",""ESENCIAL!A6:BG""),5,FALSE))"),44756)</f>
        <v>44756</v>
      </c>
      <c r="BG84" s="23">
        <f t="shared" ca="1" si="9"/>
        <v>45305</v>
      </c>
      <c r="BH84" s="19" t="str">
        <f t="shared" ca="1" si="10"/>
        <v>FICHA EN TIEMPO-18 MESES</v>
      </c>
      <c r="BI84" s="19" t="str">
        <f ca="1">IFERROR(__xludf.DUMMYFUNCTION("IFERROR(VLOOKUP(F74,IMPORTRANGE(""https://docs.google.com/spreadsheets/d/1Kvs4KS76FHFqLFIZfrDMff4kP08nblUkihrxltoGBjg/edit#gid=934712705"",""ESENCIAL!A6:BG""),18,FALSE))"),"Terminada por fecha")</f>
        <v>Terminada por fecha</v>
      </c>
      <c r="BJ84" s="19" t="str">
        <f t="shared" si="11"/>
        <v>Yamboro</v>
      </c>
      <c r="BK84" s="291"/>
      <c r="BL84" s="19"/>
    </row>
    <row r="85" spans="1:64" ht="18" hidden="1" customHeight="1">
      <c r="A85" s="290"/>
      <c r="B85" s="145" t="s">
        <v>25</v>
      </c>
      <c r="C85" s="56" t="s">
        <v>1344</v>
      </c>
      <c r="D85" s="57" t="s">
        <v>27</v>
      </c>
      <c r="E85" s="57">
        <v>76330290</v>
      </c>
      <c r="F85" s="114">
        <v>2280135</v>
      </c>
      <c r="G85" s="11" t="str">
        <f ca="1">IFERROR(__xludf.DUMMYFUNCTION("IFERROR(VLOOKUP(F76,IMPORTRANGE(""https://docs.google.com/spreadsheets/d/1Kvs4KS76FHFqLFIZfrDMff4kP08nblUkihrxltoGBjg/edit#gid=934712705"",""ESENCIAL!A6:BG""),3,FALSE))"),"TÉCNICO")</f>
        <v>TÉCNICO</v>
      </c>
      <c r="H85" s="11" t="str">
        <f ca="1">IFERROR(__xludf.DUMMYFUNCTION("IFERROR(VLOOKUP(F76,IMPORTRANGE(""https://docs.google.com/spreadsheets/d/1Kvs4KS76FHFqLFIZfrDMff4kP08nblUkihrxltoGBjg/edit#gid=934712705"",""ESENCIAL!A6:BG""),8,FALSE))"),"SERVICIOS DE BARISMO")</f>
        <v>SERVICIOS DE BARISMO</v>
      </c>
      <c r="I85" s="57"/>
      <c r="J85" s="30"/>
      <c r="K85" s="30"/>
      <c r="L85" s="285" t="s">
        <v>44</v>
      </c>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19" t="str">
        <f t="shared" ref="AU85:AU116" ca="1" si="12">IF(E85&gt;0,IF(AND(BC85=1,AZ85=1),"Procede_E_P","NO_CUMPLE"),"")</f>
        <v>NO_CUMPLE</v>
      </c>
      <c r="AV85" s="11" t="str">
        <f ca="1">IFERROR(__xludf.DUMMYFUNCTION("IFERROR(VLOOKUP(E76&amp;F76,IMPORTRANGE(""https://docs.google.com/spreadsheets/d/1Uw7-A9f9R21vMXxHZFNpYNeKFtG8_yji4HS352LGlSQ/edit?pli=1#gid=0"",""1_ACUM!A4:S""),11,FALSE))"),"EN FORMACION")</f>
        <v>EN FORMACION</v>
      </c>
      <c r="AW85" s="20" t="str">
        <f ca="1">IFERROR(__xludf.DUMMYFUNCTION("IFERROR(VLOOKUP(F76,IMPORTRANGE(""https://docs.google.com/spreadsheets/d/1Kvs4KS76FHFqLFIZfrDMff4kP08nblUkihrxltoGBjg/edit#gid=934712705"",""ESENCIAL!A6:BG""),15,FALSE))"),"TURISMO")</f>
        <v>TURISMO</v>
      </c>
      <c r="AX85" s="21">
        <f ca="1">IFERROR(__xludf.DUMMYFUNCTION("IFERROR(VLOOKUP(E76&amp;F76,IMPORTRANGE(""https://docs.google.com/spreadsheets/d/1Uw7-A9f9R21vMXxHZFNpYNeKFtG8_yji4HS352LGlSQ/edit?pli=1#gid=0"",""1_ACUM!A4:S""),12,FALSE))"),44839)</f>
        <v>44839</v>
      </c>
      <c r="AY85" s="22">
        <f ca="1">IFERROR(__xludf.DUMMYFUNCTION("IFERROR(VLOOKUP(E76&amp;F76,IMPORTRANGE(""https://docs.google.com/spreadsheets/d/1Uw7-A9f9R21vMXxHZFNpYNeKFtG8_yji4HS352LGlSQ/edit?pli=1#gid=0"",""1_ACUM!A4:S""),13,FALSE))"),18)</f>
        <v>18</v>
      </c>
      <c r="AZ85" s="22">
        <f ca="1">IFERROR(__xludf.DUMMYFUNCTION("IFERROR(VLOOKUP(E76&amp;F76,IMPORTRANGE(""https://docs.google.com/spreadsheets/d/1Uw7-A9f9R21vMXxHZFNpYNeKFtG8_yji4HS352LGlSQ/edit?pli=1#gid=0"",""1_ACUM!A4:S""),14,FALSE))"),1)</f>
        <v>1</v>
      </c>
      <c r="BA85" s="22">
        <f ca="1">IFERROR(__xludf.DUMMYFUNCTION("IFERROR(VLOOKUP(E76&amp;F76,IMPORTRANGE(""https://docs.google.com/spreadsheets/d/1Uw7-A9f9R21vMXxHZFNpYNeKFtG8_yji4HS352LGlSQ/edit?pli=1#gid=0"",""1_ACUM!A4:S""),15,FALSE))"),1)</f>
        <v>1</v>
      </c>
      <c r="BB85" s="22">
        <f ca="1">IFERROR(__xludf.DUMMYFUNCTION("IFERROR(VLOOKUP(E76&amp;F76,IMPORTRANGE(""https://docs.google.com/spreadsheets/d/1Uw7-A9f9R21vMXxHZFNpYNeKFtG8_yji4HS352LGlSQ/edit?pli=1#gid=0"",""1_ACUM!A4:S""),16,FALSE))"),10)</f>
        <v>10</v>
      </c>
      <c r="BC85" s="22">
        <f ca="1">IFERROR(__xludf.DUMMYFUNCTION("IFERROR(VLOOKUP(E76&amp;F76,IMPORTRANGE(""https://docs.google.com/spreadsheets/d/1Uw7-A9f9R21vMXxHZFNpYNeKFtG8_yji4HS352LGlSQ/edit?pli=1#gid=0"",""1_ACUM!A4:S""),17,FALSE))"),30)</f>
        <v>30</v>
      </c>
      <c r="BD85" s="23">
        <f ca="1">IFERROR(__xludf.DUMMYFUNCTION("IFERROR(VLOOKUP(E76&amp;F76,IMPORTRANGE(""https://docs.google.com/spreadsheets/d/1Uw7-A9f9R21vMXxHZFNpYNeKFtG8_yji4HS352LGlSQ/edit?pli=1#gid=0"",""1_ACUM!A4:S""),18,FALSE))"),44301)</f>
        <v>44301</v>
      </c>
      <c r="BE85" s="23">
        <f ca="1">IFERROR(__xludf.DUMMYFUNCTION("IFERROR(VLOOKUP(E76&amp;F76,IMPORTRANGE(""https://docs.google.com/spreadsheets/d/1Uw7-A9f9R21vMXxHZFNpYNeKFtG8_yji4HS352LGlSQ/edit?pli=1#gid=0"",""1_ACUM!A4:S""),19,FALSE))"),44575)</f>
        <v>44575</v>
      </c>
      <c r="BF85" s="23">
        <f ca="1">IFERROR(__xludf.DUMMYFUNCTION("IFERROR(VLOOKUP(F76,IMPORTRANGE(""https://docs.google.com/spreadsheets/d/1Kvs4KS76FHFqLFIZfrDMff4kP08nblUkihrxltoGBjg/edit#gid=934712705"",""ESENCIAL!A6:BG""),5,FALSE))"),44756)</f>
        <v>44756</v>
      </c>
      <c r="BG85" s="23">
        <f t="shared" ref="BG85:BG116" ca="1" si="13">IF(F85&gt;0,EDATE(BF85,18),"")</f>
        <v>45305</v>
      </c>
      <c r="BH85" s="19" t="str">
        <f t="shared" ref="BH85:BH116" ca="1" si="14">IF(F85&gt;0,IF(BG85&lt;$BH$1,"FINALIZAR FICHA","FICHA EN TIEMPO-18 MESES"),"")</f>
        <v>FICHA EN TIEMPO-18 MESES</v>
      </c>
      <c r="BI85" s="19" t="str">
        <f ca="1">IFERROR(__xludf.DUMMYFUNCTION("IFERROR(VLOOKUP(F76,IMPORTRANGE(""https://docs.google.com/spreadsheets/d/1Kvs4KS76FHFqLFIZfrDMff4kP08nblUkihrxltoGBjg/edit#gid=934712705"",""ESENCIAL!A6:BG""),18,FALSE))"),"Terminada por fecha")</f>
        <v>Terminada por fecha</v>
      </c>
      <c r="BJ85" s="19" t="str">
        <f t="shared" ref="BJ85:BJ116" si="15">IF(F85&gt;0,"Yamboro","")</f>
        <v>Yamboro</v>
      </c>
      <c r="BK85" s="291"/>
      <c r="BL85" s="19"/>
    </row>
    <row r="86" spans="1:64" ht="18" hidden="1" customHeight="1">
      <c r="A86" s="290"/>
      <c r="B86" s="145" t="s">
        <v>25</v>
      </c>
      <c r="C86" s="57" t="s">
        <v>1345</v>
      </c>
      <c r="D86" s="57" t="s">
        <v>27</v>
      </c>
      <c r="E86" s="57">
        <v>1004419202</v>
      </c>
      <c r="F86" s="114">
        <v>2356780</v>
      </c>
      <c r="G86" s="11" t="str">
        <f ca="1">IFERROR(__xludf.DUMMYFUNCTION("IFERROR(VLOOKUP(F77,IMPORTRANGE(""https://docs.google.com/spreadsheets/d/1Kvs4KS76FHFqLFIZfrDMff4kP08nblUkihrxltoGBjg/edit#gid=934712705"",""ESENCIAL!A6:BG""),3,FALSE))"),"TÉCNICO")</f>
        <v>TÉCNICO</v>
      </c>
      <c r="H86" s="11" t="str">
        <f ca="1">IFERROR(__xludf.DUMMYFUNCTION("IFERROR(VLOOKUP(F77,IMPORTRANGE(""https://docs.google.com/spreadsheets/d/1Kvs4KS76FHFqLFIZfrDMff4kP08nblUkihrxltoGBjg/edit#gid=934712705"",""ESENCIAL!A6:BG""),8,FALSE))"),"PRODUCCION DE CAFE")</f>
        <v>PRODUCCION DE CAFE</v>
      </c>
      <c r="I86" s="57"/>
      <c r="J86" s="30"/>
      <c r="K86" s="30"/>
      <c r="L86" s="285" t="s">
        <v>44</v>
      </c>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19" t="str">
        <f t="shared" ca="1" si="12"/>
        <v>NO_CUMPLE</v>
      </c>
      <c r="AV86" s="11" t="str">
        <f ca="1">IFERROR(__xludf.DUMMYFUNCTION("IFERROR(VLOOKUP(E77&amp;F77,IMPORTRANGE(""https://docs.google.com/spreadsheets/d/1Uw7-A9f9R21vMXxHZFNpYNeKFtG8_yji4HS352LGlSQ/edit?pli=1#gid=0"",""1_ACUM!A4:S""),11,FALSE))"),"EN FORMACION")</f>
        <v>EN FORMACION</v>
      </c>
      <c r="AW86" s="20" t="str">
        <f ca="1">IFERROR(__xludf.DUMMYFUNCTION("IFERROR(VLOOKUP(F77,IMPORTRANGE(""https://docs.google.com/spreadsheets/d/1Kvs4KS76FHFqLFIZfrDMff4kP08nblUkihrxltoGBjg/edit#gid=934712705"",""ESENCIAL!A6:BG""),15,FALSE))"),"AGROPECUARIO")</f>
        <v>AGROPECUARIO</v>
      </c>
      <c r="AX86" s="21">
        <f ca="1">IFERROR(__xludf.DUMMYFUNCTION("IFERROR(VLOOKUP(E77&amp;F77,IMPORTRANGE(""https://docs.google.com/spreadsheets/d/1Uw7-A9f9R21vMXxHZFNpYNeKFtG8_yji4HS352LGlSQ/edit?pli=1#gid=0"",""1_ACUM!A4:S""),12,FALSE))"),44839)</f>
        <v>44839</v>
      </c>
      <c r="AY86" s="22">
        <f ca="1">IFERROR(__xludf.DUMMYFUNCTION("IFERROR(VLOOKUP(E77&amp;F77,IMPORTRANGE(""https://docs.google.com/spreadsheets/d/1Uw7-A9f9R21vMXxHZFNpYNeKFtG8_yji4HS352LGlSQ/edit?pli=1#gid=0"",""1_ACUM!A4:S""),13,FALSE))"),14)</f>
        <v>14</v>
      </c>
      <c r="AZ86" s="22">
        <f ca="1">IFERROR(__xludf.DUMMYFUNCTION("IFERROR(VLOOKUP(E77&amp;F77,IMPORTRANGE(""https://docs.google.com/spreadsheets/d/1Uw7-A9f9R21vMXxHZFNpYNeKFtG8_yji4HS352LGlSQ/edit?pli=1#gid=0"",""1_ACUM!A4:S""),14,FALSE))"),1)</f>
        <v>1</v>
      </c>
      <c r="BA86" s="22">
        <f ca="1">IFERROR(__xludf.DUMMYFUNCTION("IFERROR(VLOOKUP(E77&amp;F77,IMPORTRANGE(""https://docs.google.com/spreadsheets/d/1Uw7-A9f9R21vMXxHZFNpYNeKFtG8_yji4HS352LGlSQ/edit?pli=1#gid=0"",""1_ACUM!A4:S""),15,FALSE))"),7)</f>
        <v>7</v>
      </c>
      <c r="BB86" s="22">
        <f ca="1">IFERROR(__xludf.DUMMYFUNCTION("IFERROR(VLOOKUP(E77&amp;F77,IMPORTRANGE(""https://docs.google.com/spreadsheets/d/1Uw7-A9f9R21vMXxHZFNpYNeKFtG8_yji4HS352LGlSQ/edit?pli=1#gid=0"",""1_ACUM!A4:S""),16,FALSE))"),44)</f>
        <v>44</v>
      </c>
      <c r="BC86" s="22">
        <f ca="1">IFERROR(__xludf.DUMMYFUNCTION("IFERROR(VLOOKUP(E77&amp;F77,IMPORTRANGE(""https://docs.google.com/spreadsheets/d/1Uw7-A9f9R21vMXxHZFNpYNeKFtG8_yji4HS352LGlSQ/edit?pli=1#gid=0"",""1_ACUM!A4:S""),17,FALSE))"),66)</f>
        <v>66</v>
      </c>
      <c r="BD86" s="23">
        <f ca="1">IFERROR(__xludf.DUMMYFUNCTION("IFERROR(VLOOKUP(E77&amp;F77,IMPORTRANGE(""https://docs.google.com/spreadsheets/d/1Uw7-A9f9R21vMXxHZFNpYNeKFtG8_yji4HS352LGlSQ/edit?pli=1#gid=0"",""1_ACUM!A4:S""),18,FALSE))"),44348)</f>
        <v>44348</v>
      </c>
      <c r="BE86" s="23">
        <f ca="1">IFERROR(__xludf.DUMMYFUNCTION("IFERROR(VLOOKUP(E77&amp;F77,IMPORTRANGE(""https://docs.google.com/spreadsheets/d/1Uw7-A9f9R21vMXxHZFNpYNeKFtG8_yji4HS352LGlSQ/edit?pli=1#gid=0"",""1_ACUM!A4:S""),19,FALSE))"),44620)</f>
        <v>44620</v>
      </c>
      <c r="BF86" s="23">
        <f ca="1">IFERROR(__xludf.DUMMYFUNCTION("IFERROR(VLOOKUP(F77,IMPORTRANGE(""https://docs.google.com/spreadsheets/d/1Kvs4KS76FHFqLFIZfrDMff4kP08nblUkihrxltoGBjg/edit#gid=934712705"",""ESENCIAL!A6:BG""),5,FALSE))"),44804)</f>
        <v>44804</v>
      </c>
      <c r="BG86" s="23">
        <f t="shared" ca="1" si="13"/>
        <v>45351</v>
      </c>
      <c r="BH86" s="19" t="str">
        <f t="shared" ca="1" si="14"/>
        <v>FICHA EN TIEMPO-18 MESES</v>
      </c>
      <c r="BI86" s="19" t="str">
        <f ca="1">IFERROR(__xludf.DUMMYFUNCTION("IFERROR(VLOOKUP(F77,IMPORTRANGE(""https://docs.google.com/spreadsheets/d/1Kvs4KS76FHFqLFIZfrDMff4kP08nblUkihrxltoGBjg/edit#gid=934712705"",""ESENCIAL!A6:BG""),18,FALSE))"),"Terminada por fecha")</f>
        <v>Terminada por fecha</v>
      </c>
      <c r="BJ86" s="19" t="str">
        <f t="shared" si="15"/>
        <v>Yamboro</v>
      </c>
      <c r="BK86" s="291"/>
      <c r="BL86" s="19"/>
    </row>
    <row r="87" spans="1:64" ht="18" hidden="1" customHeight="1">
      <c r="A87" s="290"/>
      <c r="B87" s="145" t="s">
        <v>25</v>
      </c>
      <c r="C87" s="57" t="s">
        <v>1346</v>
      </c>
      <c r="D87" s="57" t="s">
        <v>27</v>
      </c>
      <c r="E87" s="57">
        <v>1007179398</v>
      </c>
      <c r="F87" s="114">
        <v>2356780</v>
      </c>
      <c r="G87" s="11" t="str">
        <f ca="1">IFERROR(__xludf.DUMMYFUNCTION("IFERROR(VLOOKUP(F78,IMPORTRANGE(""https://docs.google.com/spreadsheets/d/1Kvs4KS76FHFqLFIZfrDMff4kP08nblUkihrxltoGBjg/edit#gid=934712705"",""ESENCIAL!A6:BG""),3,FALSE))"),"TÉCNICO")</f>
        <v>TÉCNICO</v>
      </c>
      <c r="H87" s="11" t="str">
        <f ca="1">IFERROR(__xludf.DUMMYFUNCTION("IFERROR(VLOOKUP(F78,IMPORTRANGE(""https://docs.google.com/spreadsheets/d/1Kvs4KS76FHFqLFIZfrDMff4kP08nblUkihrxltoGBjg/edit#gid=934712705"",""ESENCIAL!A6:BG""),8,FALSE))"),"PRODUCCION DE CAFE")</f>
        <v>PRODUCCION DE CAFE</v>
      </c>
      <c r="I87" s="57"/>
      <c r="J87" s="30"/>
      <c r="K87" s="30"/>
      <c r="L87" s="285" t="s">
        <v>44</v>
      </c>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19" t="str">
        <f t="shared" ca="1" si="12"/>
        <v>NO_CUMPLE</v>
      </c>
      <c r="AV87" s="11" t="str">
        <f ca="1">IFERROR(__xludf.DUMMYFUNCTION("IFERROR(VLOOKUP(E78&amp;F78,IMPORTRANGE(""https://docs.google.com/spreadsheets/d/1Uw7-A9f9R21vMXxHZFNpYNeKFtG8_yji4HS352LGlSQ/edit?pli=1#gid=0"",""1_ACUM!A4:S""),11,FALSE))"),"EN FORMACION")</f>
        <v>EN FORMACION</v>
      </c>
      <c r="AW87" s="20" t="str">
        <f ca="1">IFERROR(__xludf.DUMMYFUNCTION("IFERROR(VLOOKUP(F78,IMPORTRANGE(""https://docs.google.com/spreadsheets/d/1Kvs4KS76FHFqLFIZfrDMff4kP08nblUkihrxltoGBjg/edit#gid=934712705"",""ESENCIAL!A6:BG""),15,FALSE))"),"AGROPECUARIO")</f>
        <v>AGROPECUARIO</v>
      </c>
      <c r="AX87" s="21">
        <f ca="1">IFERROR(__xludf.DUMMYFUNCTION("IFERROR(VLOOKUP(E78&amp;F78,IMPORTRANGE(""https://docs.google.com/spreadsheets/d/1Uw7-A9f9R21vMXxHZFNpYNeKFtG8_yji4HS352LGlSQ/edit?pli=1#gid=0"",""1_ACUM!A4:S""),12,FALSE))"),44839)</f>
        <v>44839</v>
      </c>
      <c r="AY87" s="22">
        <f ca="1">IFERROR(__xludf.DUMMYFUNCTION("IFERROR(VLOOKUP(E78&amp;F78,IMPORTRANGE(""https://docs.google.com/spreadsheets/d/1Uw7-A9f9R21vMXxHZFNpYNeKFtG8_yji4HS352LGlSQ/edit?pli=1#gid=0"",""1_ACUM!A4:S""),13,FALSE))"),14)</f>
        <v>14</v>
      </c>
      <c r="AZ87" s="22">
        <f ca="1">IFERROR(__xludf.DUMMYFUNCTION("IFERROR(VLOOKUP(E78&amp;F78,IMPORTRANGE(""https://docs.google.com/spreadsheets/d/1Uw7-A9f9R21vMXxHZFNpYNeKFtG8_yji4HS352LGlSQ/edit?pli=1#gid=0"",""1_ACUM!A4:S""),14,FALSE))"),1)</f>
        <v>1</v>
      </c>
      <c r="BA87" s="22">
        <f ca="1">IFERROR(__xludf.DUMMYFUNCTION("IFERROR(VLOOKUP(E78&amp;F78,IMPORTRANGE(""https://docs.google.com/spreadsheets/d/1Uw7-A9f9R21vMXxHZFNpYNeKFtG8_yji4HS352LGlSQ/edit?pli=1#gid=0"",""1_ACUM!A4:S""),15,FALSE))"),7)</f>
        <v>7</v>
      </c>
      <c r="BB87" s="22">
        <f ca="1">IFERROR(__xludf.DUMMYFUNCTION("IFERROR(VLOOKUP(E78&amp;F78,IMPORTRANGE(""https://docs.google.com/spreadsheets/d/1Uw7-A9f9R21vMXxHZFNpYNeKFtG8_yji4HS352LGlSQ/edit?pli=1#gid=0"",""1_ACUM!A4:S""),16,FALSE))"),44)</f>
        <v>44</v>
      </c>
      <c r="BC87" s="22">
        <f ca="1">IFERROR(__xludf.DUMMYFUNCTION("IFERROR(VLOOKUP(E78&amp;F78,IMPORTRANGE(""https://docs.google.com/spreadsheets/d/1Uw7-A9f9R21vMXxHZFNpYNeKFtG8_yji4HS352LGlSQ/edit?pli=1#gid=0"",""1_ACUM!A4:S""),17,FALSE))"),66)</f>
        <v>66</v>
      </c>
      <c r="BD87" s="23">
        <f ca="1">IFERROR(__xludf.DUMMYFUNCTION("IFERROR(VLOOKUP(E78&amp;F78,IMPORTRANGE(""https://docs.google.com/spreadsheets/d/1Uw7-A9f9R21vMXxHZFNpYNeKFtG8_yji4HS352LGlSQ/edit?pli=1#gid=0"",""1_ACUM!A4:S""),18,FALSE))"),44348)</f>
        <v>44348</v>
      </c>
      <c r="BE87" s="23">
        <f ca="1">IFERROR(__xludf.DUMMYFUNCTION("IFERROR(VLOOKUP(E78&amp;F78,IMPORTRANGE(""https://docs.google.com/spreadsheets/d/1Uw7-A9f9R21vMXxHZFNpYNeKFtG8_yji4HS352LGlSQ/edit?pli=1#gid=0"",""1_ACUM!A4:S""),19,FALSE))"),44620)</f>
        <v>44620</v>
      </c>
      <c r="BF87" s="23">
        <f ca="1">IFERROR(__xludf.DUMMYFUNCTION("IFERROR(VLOOKUP(F78,IMPORTRANGE(""https://docs.google.com/spreadsheets/d/1Kvs4KS76FHFqLFIZfrDMff4kP08nblUkihrxltoGBjg/edit#gid=934712705"",""ESENCIAL!A6:BG""),5,FALSE))"),44804)</f>
        <v>44804</v>
      </c>
      <c r="BG87" s="23">
        <f t="shared" ca="1" si="13"/>
        <v>45351</v>
      </c>
      <c r="BH87" s="19" t="str">
        <f t="shared" ca="1" si="14"/>
        <v>FICHA EN TIEMPO-18 MESES</v>
      </c>
      <c r="BI87" s="19" t="str">
        <f ca="1">IFERROR(__xludf.DUMMYFUNCTION("IFERROR(VLOOKUP(F78,IMPORTRANGE(""https://docs.google.com/spreadsheets/d/1Kvs4KS76FHFqLFIZfrDMff4kP08nblUkihrxltoGBjg/edit#gid=934712705"",""ESENCIAL!A6:BG""),18,FALSE))"),"Terminada por fecha")</f>
        <v>Terminada por fecha</v>
      </c>
      <c r="BJ87" s="19" t="str">
        <f t="shared" si="15"/>
        <v>Yamboro</v>
      </c>
      <c r="BK87" s="291"/>
      <c r="BL87" s="19"/>
    </row>
    <row r="88" spans="1:64" ht="18" hidden="1" customHeight="1">
      <c r="A88" s="290"/>
      <c r="B88" s="145" t="s">
        <v>25</v>
      </c>
      <c r="C88" s="57" t="s">
        <v>1347</v>
      </c>
      <c r="D88" s="57" t="s">
        <v>27</v>
      </c>
      <c r="E88" s="57">
        <v>1007328027</v>
      </c>
      <c r="F88" s="114">
        <v>2356780</v>
      </c>
      <c r="G88" s="11" t="str">
        <f ca="1">IFERROR(__xludf.DUMMYFUNCTION("IFERROR(VLOOKUP(F79,IMPORTRANGE(""https://docs.google.com/spreadsheets/d/1Kvs4KS76FHFqLFIZfrDMff4kP08nblUkihrxltoGBjg/edit#gid=934712705"",""ESENCIAL!A6:BG""),3,FALSE))"),"TÉCNICO")</f>
        <v>TÉCNICO</v>
      </c>
      <c r="H88" s="11" t="str">
        <f ca="1">IFERROR(__xludf.DUMMYFUNCTION("IFERROR(VLOOKUP(F79,IMPORTRANGE(""https://docs.google.com/spreadsheets/d/1Kvs4KS76FHFqLFIZfrDMff4kP08nblUkihrxltoGBjg/edit#gid=934712705"",""ESENCIAL!A6:BG""),8,FALSE))"),"PRODUCCION DE CAFE")</f>
        <v>PRODUCCION DE CAFE</v>
      </c>
      <c r="I88" s="57"/>
      <c r="J88" s="30"/>
      <c r="K88" s="30"/>
      <c r="L88" s="285" t="s">
        <v>44</v>
      </c>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19" t="str">
        <f t="shared" ca="1" si="12"/>
        <v>Procede_E_P</v>
      </c>
      <c r="AV88" s="11" t="str">
        <f ca="1">IFERROR(__xludf.DUMMYFUNCTION("IFERROR(VLOOKUP(E79&amp;F79,IMPORTRANGE(""https://docs.google.com/spreadsheets/d/1Uw7-A9f9R21vMXxHZFNpYNeKFtG8_yji4HS352LGlSQ/edit?pli=1#gid=0"",""1_ACUM!A4:S""),11,FALSE))"),"EN FORMACION")</f>
        <v>EN FORMACION</v>
      </c>
      <c r="AW88" s="20" t="str">
        <f ca="1">IFERROR(__xludf.DUMMYFUNCTION("IFERROR(VLOOKUP(F79,IMPORTRANGE(""https://docs.google.com/spreadsheets/d/1Kvs4KS76FHFqLFIZfrDMff4kP08nblUkihrxltoGBjg/edit#gid=934712705"",""ESENCIAL!A6:BG""),15,FALSE))"),"AGROPECUARIO")</f>
        <v>AGROPECUARIO</v>
      </c>
      <c r="AX88" s="21">
        <f ca="1">IFERROR(__xludf.DUMMYFUNCTION("IFERROR(VLOOKUP(E79&amp;F79,IMPORTRANGE(""https://docs.google.com/spreadsheets/d/1Uw7-A9f9R21vMXxHZFNpYNeKFtG8_yji4HS352LGlSQ/edit?pli=1#gid=0"",""1_ACUM!A4:S""),12,FALSE))"),44839)</f>
        <v>44839</v>
      </c>
      <c r="AY88" s="22">
        <f ca="1">IFERROR(__xludf.DUMMYFUNCTION("IFERROR(VLOOKUP(E79&amp;F79,IMPORTRANGE(""https://docs.google.com/spreadsheets/d/1Uw7-A9f9R21vMXxHZFNpYNeKFtG8_yji4HS352LGlSQ/edit?pli=1#gid=0"",""1_ACUM!A4:S""),13,FALSE))"),0)</f>
        <v>0</v>
      </c>
      <c r="AZ88" s="22">
        <f ca="1">IFERROR(__xludf.DUMMYFUNCTION("IFERROR(VLOOKUP(E79&amp;F79,IMPORTRANGE(""https://docs.google.com/spreadsheets/d/1Uw7-A9f9R21vMXxHZFNpYNeKFtG8_yji4HS352LGlSQ/edit?pli=1#gid=0"",""1_ACUM!A4:S""),14,FALSE))"),1)</f>
        <v>1</v>
      </c>
      <c r="BA88" s="22">
        <f ca="1">IFERROR(__xludf.DUMMYFUNCTION("IFERROR(VLOOKUP(E79&amp;F79,IMPORTRANGE(""https://docs.google.com/spreadsheets/d/1Uw7-A9f9R21vMXxHZFNpYNeKFtG8_yji4HS352LGlSQ/edit?pli=1#gid=0"",""1_ACUM!A4:S""),15,FALSE))"),0)</f>
        <v>0</v>
      </c>
      <c r="BB88" s="22">
        <f ca="1">IFERROR(__xludf.DUMMYFUNCTION("IFERROR(VLOOKUP(E79&amp;F79,IMPORTRANGE(""https://docs.google.com/spreadsheets/d/1Uw7-A9f9R21vMXxHZFNpYNeKFtG8_yji4HS352LGlSQ/edit?pli=1#gid=0"",""1_ACUM!A4:S""),16,FALSE))"),0)</f>
        <v>0</v>
      </c>
      <c r="BC88" s="22">
        <f ca="1">IFERROR(__xludf.DUMMYFUNCTION("IFERROR(VLOOKUP(E79&amp;F79,IMPORTRANGE(""https://docs.google.com/spreadsheets/d/1Uw7-A9f9R21vMXxHZFNpYNeKFtG8_yji4HS352LGlSQ/edit?pli=1#gid=0"",""1_ACUM!A4:S""),17,FALSE))"),1)</f>
        <v>1</v>
      </c>
      <c r="BD88" s="23">
        <f ca="1">IFERROR(__xludf.DUMMYFUNCTION("IFERROR(VLOOKUP(E79&amp;F79,IMPORTRANGE(""https://docs.google.com/spreadsheets/d/1Uw7-A9f9R21vMXxHZFNpYNeKFtG8_yji4HS352LGlSQ/edit?pli=1#gid=0"",""1_ACUM!A4:S""),18,FALSE))"),44348)</f>
        <v>44348</v>
      </c>
      <c r="BE88" s="23">
        <f ca="1">IFERROR(__xludf.DUMMYFUNCTION("IFERROR(VLOOKUP(E79&amp;F79,IMPORTRANGE(""https://docs.google.com/spreadsheets/d/1Uw7-A9f9R21vMXxHZFNpYNeKFtG8_yji4HS352LGlSQ/edit?pli=1#gid=0"",""1_ACUM!A4:S""),19,FALSE))"),44620)</f>
        <v>44620</v>
      </c>
      <c r="BF88" s="23">
        <f ca="1">IFERROR(__xludf.DUMMYFUNCTION("IFERROR(VLOOKUP(F79,IMPORTRANGE(""https://docs.google.com/spreadsheets/d/1Kvs4KS76FHFqLFIZfrDMff4kP08nblUkihrxltoGBjg/edit#gid=934712705"",""ESENCIAL!A6:BG""),5,FALSE))"),44804)</f>
        <v>44804</v>
      </c>
      <c r="BG88" s="23">
        <f t="shared" ca="1" si="13"/>
        <v>45351</v>
      </c>
      <c r="BH88" s="19" t="str">
        <f t="shared" ca="1" si="14"/>
        <v>FICHA EN TIEMPO-18 MESES</v>
      </c>
      <c r="BI88" s="19" t="str">
        <f ca="1">IFERROR(__xludf.DUMMYFUNCTION("IFERROR(VLOOKUP(F79,IMPORTRANGE(""https://docs.google.com/spreadsheets/d/1Kvs4KS76FHFqLFIZfrDMff4kP08nblUkihrxltoGBjg/edit#gid=934712705"",""ESENCIAL!A6:BG""),18,FALSE))"),"Terminada por fecha")</f>
        <v>Terminada por fecha</v>
      </c>
      <c r="BJ88" s="19" t="str">
        <f t="shared" si="15"/>
        <v>Yamboro</v>
      </c>
      <c r="BK88" s="291"/>
      <c r="BL88" s="19"/>
    </row>
    <row r="89" spans="1:64" ht="18" hidden="1" customHeight="1">
      <c r="A89" s="290"/>
      <c r="B89" s="145" t="s">
        <v>25</v>
      </c>
      <c r="C89" s="57" t="s">
        <v>1348</v>
      </c>
      <c r="D89" s="57" t="s">
        <v>27</v>
      </c>
      <c r="E89" s="57">
        <v>1007582856</v>
      </c>
      <c r="F89" s="114">
        <v>2356780</v>
      </c>
      <c r="G89" s="11" t="str">
        <f ca="1">IFERROR(__xludf.DUMMYFUNCTION("IFERROR(VLOOKUP(F80,IMPORTRANGE(""https://docs.google.com/spreadsheets/d/1Kvs4KS76FHFqLFIZfrDMff4kP08nblUkihrxltoGBjg/edit#gid=934712705"",""ESENCIAL!A6:BG""),3,FALSE))"),"TÉCNICO")</f>
        <v>TÉCNICO</v>
      </c>
      <c r="H89" s="11" t="str">
        <f ca="1">IFERROR(__xludf.DUMMYFUNCTION("IFERROR(VLOOKUP(F80,IMPORTRANGE(""https://docs.google.com/spreadsheets/d/1Kvs4KS76FHFqLFIZfrDMff4kP08nblUkihrxltoGBjg/edit#gid=934712705"",""ESENCIAL!A6:BG""),8,FALSE))"),"PRODUCCION DE CAFE")</f>
        <v>PRODUCCION DE CAFE</v>
      </c>
      <c r="I89" s="57"/>
      <c r="J89" s="30"/>
      <c r="K89" s="30"/>
      <c r="L89" s="285" t="s">
        <v>44</v>
      </c>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19" t="str">
        <f t="shared" ca="1" si="12"/>
        <v>NO_CUMPLE</v>
      </c>
      <c r="AV89" s="11" t="str">
        <f ca="1">IFERROR(__xludf.DUMMYFUNCTION("IFERROR(VLOOKUP(E80&amp;F80,IMPORTRANGE(""https://docs.google.com/spreadsheets/d/1Uw7-A9f9R21vMXxHZFNpYNeKFtG8_yji4HS352LGlSQ/edit?pli=1#gid=0"",""1_ACUM!A4:S""),11,FALSE))"),"EN FORMACION")</f>
        <v>EN FORMACION</v>
      </c>
      <c r="AW89" s="20" t="str">
        <f ca="1">IFERROR(__xludf.DUMMYFUNCTION("IFERROR(VLOOKUP(F80,IMPORTRANGE(""https://docs.google.com/spreadsheets/d/1Kvs4KS76FHFqLFIZfrDMff4kP08nblUkihrxltoGBjg/edit#gid=934712705"",""ESENCIAL!A6:BG""),15,FALSE))"),"AGROPECUARIO")</f>
        <v>AGROPECUARIO</v>
      </c>
      <c r="AX89" s="21">
        <f ca="1">IFERROR(__xludf.DUMMYFUNCTION("IFERROR(VLOOKUP(E80&amp;F80,IMPORTRANGE(""https://docs.google.com/spreadsheets/d/1Uw7-A9f9R21vMXxHZFNpYNeKFtG8_yji4HS352LGlSQ/edit?pli=1#gid=0"",""1_ACUM!A4:S""),12,FALSE))"),44839)</f>
        <v>44839</v>
      </c>
      <c r="AY89" s="22">
        <f ca="1">IFERROR(__xludf.DUMMYFUNCTION("IFERROR(VLOOKUP(E80&amp;F80,IMPORTRANGE(""https://docs.google.com/spreadsheets/d/1Uw7-A9f9R21vMXxHZFNpYNeKFtG8_yji4HS352LGlSQ/edit?pli=1#gid=0"",""1_ACUM!A4:S""),13,FALSE))"),14)</f>
        <v>14</v>
      </c>
      <c r="AZ89" s="22">
        <f ca="1">IFERROR(__xludf.DUMMYFUNCTION("IFERROR(VLOOKUP(E80&amp;F80,IMPORTRANGE(""https://docs.google.com/spreadsheets/d/1Uw7-A9f9R21vMXxHZFNpYNeKFtG8_yji4HS352LGlSQ/edit?pli=1#gid=0"",""1_ACUM!A4:S""),14,FALSE))"),1)</f>
        <v>1</v>
      </c>
      <c r="BA89" s="22">
        <f ca="1">IFERROR(__xludf.DUMMYFUNCTION("IFERROR(VLOOKUP(E80&amp;F80,IMPORTRANGE(""https://docs.google.com/spreadsheets/d/1Uw7-A9f9R21vMXxHZFNpYNeKFtG8_yji4HS352LGlSQ/edit?pli=1#gid=0"",""1_ACUM!A4:S""),15,FALSE))"),7)</f>
        <v>7</v>
      </c>
      <c r="BB89" s="22">
        <f ca="1">IFERROR(__xludf.DUMMYFUNCTION("IFERROR(VLOOKUP(E80&amp;F80,IMPORTRANGE(""https://docs.google.com/spreadsheets/d/1Uw7-A9f9R21vMXxHZFNpYNeKFtG8_yji4HS352LGlSQ/edit?pli=1#gid=0"",""1_ACUM!A4:S""),16,FALSE))"),44)</f>
        <v>44</v>
      </c>
      <c r="BC89" s="22">
        <f ca="1">IFERROR(__xludf.DUMMYFUNCTION("IFERROR(VLOOKUP(E80&amp;F80,IMPORTRANGE(""https://docs.google.com/spreadsheets/d/1Uw7-A9f9R21vMXxHZFNpYNeKFtG8_yji4HS352LGlSQ/edit?pli=1#gid=0"",""1_ACUM!A4:S""),17,FALSE))"),66)</f>
        <v>66</v>
      </c>
      <c r="BD89" s="23">
        <f ca="1">IFERROR(__xludf.DUMMYFUNCTION("IFERROR(VLOOKUP(E80&amp;F80,IMPORTRANGE(""https://docs.google.com/spreadsheets/d/1Uw7-A9f9R21vMXxHZFNpYNeKFtG8_yji4HS352LGlSQ/edit?pli=1#gid=0"",""1_ACUM!A4:S""),18,FALSE))"),44348)</f>
        <v>44348</v>
      </c>
      <c r="BE89" s="23">
        <f ca="1">IFERROR(__xludf.DUMMYFUNCTION("IFERROR(VLOOKUP(E80&amp;F80,IMPORTRANGE(""https://docs.google.com/spreadsheets/d/1Uw7-A9f9R21vMXxHZFNpYNeKFtG8_yji4HS352LGlSQ/edit?pli=1#gid=0"",""1_ACUM!A4:S""),19,FALSE))"),44620)</f>
        <v>44620</v>
      </c>
      <c r="BF89" s="23">
        <f ca="1">IFERROR(__xludf.DUMMYFUNCTION("IFERROR(VLOOKUP(F80,IMPORTRANGE(""https://docs.google.com/spreadsheets/d/1Kvs4KS76FHFqLFIZfrDMff4kP08nblUkihrxltoGBjg/edit#gid=934712705"",""ESENCIAL!A6:BG""),5,FALSE))"),44804)</f>
        <v>44804</v>
      </c>
      <c r="BG89" s="23">
        <f t="shared" ca="1" si="13"/>
        <v>45351</v>
      </c>
      <c r="BH89" s="19" t="str">
        <f t="shared" ca="1" si="14"/>
        <v>FICHA EN TIEMPO-18 MESES</v>
      </c>
      <c r="BI89" s="19" t="str">
        <f ca="1">IFERROR(__xludf.DUMMYFUNCTION("IFERROR(VLOOKUP(F80,IMPORTRANGE(""https://docs.google.com/spreadsheets/d/1Kvs4KS76FHFqLFIZfrDMff4kP08nblUkihrxltoGBjg/edit#gid=934712705"",""ESENCIAL!A6:BG""),18,FALSE))"),"Terminada por fecha")</f>
        <v>Terminada por fecha</v>
      </c>
      <c r="BJ89" s="19" t="str">
        <f t="shared" si="15"/>
        <v>Yamboro</v>
      </c>
      <c r="BK89" s="291"/>
      <c r="BL89" s="19"/>
    </row>
    <row r="90" spans="1:64" ht="18" hidden="1" customHeight="1">
      <c r="A90" s="290"/>
      <c r="B90" s="145" t="s">
        <v>25</v>
      </c>
      <c r="C90" s="57" t="s">
        <v>1349</v>
      </c>
      <c r="D90" s="25" t="s">
        <v>67</v>
      </c>
      <c r="E90" s="57">
        <v>1061684272</v>
      </c>
      <c r="F90" s="114">
        <v>2356780</v>
      </c>
      <c r="G90" s="11" t="str">
        <f ca="1">IFERROR(__xludf.DUMMYFUNCTION("IFERROR(VLOOKUP(F81,IMPORTRANGE(""https://docs.google.com/spreadsheets/d/1Kvs4KS76FHFqLFIZfrDMff4kP08nblUkihrxltoGBjg/edit#gid=934712705"",""ESENCIAL!A6:BG""),3,FALSE))"),"TÉCNICO")</f>
        <v>TÉCNICO</v>
      </c>
      <c r="H90" s="11" t="str">
        <f ca="1">IFERROR(__xludf.DUMMYFUNCTION("IFERROR(VLOOKUP(F81,IMPORTRANGE(""https://docs.google.com/spreadsheets/d/1Kvs4KS76FHFqLFIZfrDMff4kP08nblUkihrxltoGBjg/edit#gid=934712705"",""ESENCIAL!A6:BG""),8,FALSE))"),"PRODUCCION DE CAFE")</f>
        <v>PRODUCCION DE CAFE</v>
      </c>
      <c r="I90" s="57"/>
      <c r="J90" s="30"/>
      <c r="K90" s="30"/>
      <c r="L90" s="285" t="s">
        <v>44</v>
      </c>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19" t="str">
        <f t="shared" ca="1" si="12"/>
        <v>NO_CUMPLE</v>
      </c>
      <c r="AV90" s="11" t="str">
        <f ca="1">IFERROR(__xludf.DUMMYFUNCTION("IFERROR(VLOOKUP(E81&amp;F81,IMPORTRANGE(""https://docs.google.com/spreadsheets/d/1Uw7-A9f9R21vMXxHZFNpYNeKFtG8_yji4HS352LGlSQ/edit?pli=1#gid=0"",""1_ACUM!A4:S""),11,FALSE))"),"EN FORMACION")</f>
        <v>EN FORMACION</v>
      </c>
      <c r="AW90" s="20" t="str">
        <f ca="1">IFERROR(__xludf.DUMMYFUNCTION("IFERROR(VLOOKUP(F81,IMPORTRANGE(""https://docs.google.com/spreadsheets/d/1Kvs4KS76FHFqLFIZfrDMff4kP08nblUkihrxltoGBjg/edit#gid=934712705"",""ESENCIAL!A6:BG""),15,FALSE))"),"AGROPECUARIO")</f>
        <v>AGROPECUARIO</v>
      </c>
      <c r="AX90" s="21">
        <f ca="1">IFERROR(__xludf.DUMMYFUNCTION("IFERROR(VLOOKUP(E81&amp;F81,IMPORTRANGE(""https://docs.google.com/spreadsheets/d/1Uw7-A9f9R21vMXxHZFNpYNeKFtG8_yji4HS352LGlSQ/edit?pli=1#gid=0"",""1_ACUM!A4:S""),12,FALSE))"),44839)</f>
        <v>44839</v>
      </c>
      <c r="AY90" s="22">
        <f ca="1">IFERROR(__xludf.DUMMYFUNCTION("IFERROR(VLOOKUP(E81&amp;F81,IMPORTRANGE(""https://docs.google.com/spreadsheets/d/1Uw7-A9f9R21vMXxHZFNpYNeKFtG8_yji4HS352LGlSQ/edit?pli=1#gid=0"",""1_ACUM!A4:S""),13,FALSE))"),14)</f>
        <v>14</v>
      </c>
      <c r="AZ90" s="22">
        <f ca="1">IFERROR(__xludf.DUMMYFUNCTION("IFERROR(VLOOKUP(E81&amp;F81,IMPORTRANGE(""https://docs.google.com/spreadsheets/d/1Uw7-A9f9R21vMXxHZFNpYNeKFtG8_yji4HS352LGlSQ/edit?pli=1#gid=0"",""1_ACUM!A4:S""),14,FALSE))"),1)</f>
        <v>1</v>
      </c>
      <c r="BA90" s="22">
        <f ca="1">IFERROR(__xludf.DUMMYFUNCTION("IFERROR(VLOOKUP(E81&amp;F81,IMPORTRANGE(""https://docs.google.com/spreadsheets/d/1Uw7-A9f9R21vMXxHZFNpYNeKFtG8_yji4HS352LGlSQ/edit?pli=1#gid=0"",""1_ACUM!A4:S""),15,FALSE))"),7)</f>
        <v>7</v>
      </c>
      <c r="BB90" s="22">
        <f ca="1">IFERROR(__xludf.DUMMYFUNCTION("IFERROR(VLOOKUP(E81&amp;F81,IMPORTRANGE(""https://docs.google.com/spreadsheets/d/1Uw7-A9f9R21vMXxHZFNpYNeKFtG8_yji4HS352LGlSQ/edit?pli=1#gid=0"",""1_ACUM!A4:S""),16,FALSE))"),44)</f>
        <v>44</v>
      </c>
      <c r="BC90" s="22">
        <f ca="1">IFERROR(__xludf.DUMMYFUNCTION("IFERROR(VLOOKUP(E81&amp;F81,IMPORTRANGE(""https://docs.google.com/spreadsheets/d/1Uw7-A9f9R21vMXxHZFNpYNeKFtG8_yji4HS352LGlSQ/edit?pli=1#gid=0"",""1_ACUM!A4:S""),17,FALSE))"),66)</f>
        <v>66</v>
      </c>
      <c r="BD90" s="23">
        <f ca="1">IFERROR(__xludf.DUMMYFUNCTION("IFERROR(VLOOKUP(E81&amp;F81,IMPORTRANGE(""https://docs.google.com/spreadsheets/d/1Uw7-A9f9R21vMXxHZFNpYNeKFtG8_yji4HS352LGlSQ/edit?pli=1#gid=0"",""1_ACUM!A4:S""),18,FALSE))"),44348)</f>
        <v>44348</v>
      </c>
      <c r="BE90" s="23">
        <f ca="1">IFERROR(__xludf.DUMMYFUNCTION("IFERROR(VLOOKUP(E81&amp;F81,IMPORTRANGE(""https://docs.google.com/spreadsheets/d/1Uw7-A9f9R21vMXxHZFNpYNeKFtG8_yji4HS352LGlSQ/edit?pli=1#gid=0"",""1_ACUM!A4:S""),19,FALSE))"),44620)</f>
        <v>44620</v>
      </c>
      <c r="BF90" s="23">
        <f ca="1">IFERROR(__xludf.DUMMYFUNCTION("IFERROR(VLOOKUP(F81,IMPORTRANGE(""https://docs.google.com/spreadsheets/d/1Kvs4KS76FHFqLFIZfrDMff4kP08nblUkihrxltoGBjg/edit#gid=934712705"",""ESENCIAL!A6:BG""),5,FALSE))"),44804)</f>
        <v>44804</v>
      </c>
      <c r="BG90" s="23">
        <f t="shared" ca="1" si="13"/>
        <v>45351</v>
      </c>
      <c r="BH90" s="19" t="str">
        <f t="shared" ca="1" si="14"/>
        <v>FICHA EN TIEMPO-18 MESES</v>
      </c>
      <c r="BI90" s="19" t="str">
        <f ca="1">IFERROR(__xludf.DUMMYFUNCTION("IFERROR(VLOOKUP(F81,IMPORTRANGE(""https://docs.google.com/spreadsheets/d/1Kvs4KS76FHFqLFIZfrDMff4kP08nblUkihrxltoGBjg/edit#gid=934712705"",""ESENCIAL!A6:BG""),18,FALSE))"),"Terminada por fecha")</f>
        <v>Terminada por fecha</v>
      </c>
      <c r="BJ90" s="19" t="str">
        <f t="shared" si="15"/>
        <v>Yamboro</v>
      </c>
      <c r="BK90" s="291"/>
      <c r="BL90" s="19"/>
    </row>
    <row r="91" spans="1:64" ht="18" hidden="1" customHeight="1">
      <c r="A91" s="290"/>
      <c r="B91" s="145" t="s">
        <v>25</v>
      </c>
      <c r="C91" s="56" t="s">
        <v>1350</v>
      </c>
      <c r="D91" s="57" t="s">
        <v>27</v>
      </c>
      <c r="E91" s="57">
        <v>1082772459</v>
      </c>
      <c r="F91" s="114">
        <v>2356780</v>
      </c>
      <c r="G91" s="11" t="str">
        <f ca="1">IFERROR(__xludf.DUMMYFUNCTION("IFERROR(VLOOKUP(F82,IMPORTRANGE(""https://docs.google.com/spreadsheets/d/1Kvs4KS76FHFqLFIZfrDMff4kP08nblUkihrxltoGBjg/edit#gid=934712705"",""ESENCIAL!A6:BG""),3,FALSE))"),"TÉCNICO")</f>
        <v>TÉCNICO</v>
      </c>
      <c r="H91" s="11" t="str">
        <f ca="1">IFERROR(__xludf.DUMMYFUNCTION("IFERROR(VLOOKUP(F82,IMPORTRANGE(""https://docs.google.com/spreadsheets/d/1Kvs4KS76FHFqLFIZfrDMff4kP08nblUkihrxltoGBjg/edit#gid=934712705"",""ESENCIAL!A6:BG""),8,FALSE))"),"PRODUCCION DE CAFE")</f>
        <v>PRODUCCION DE CAFE</v>
      </c>
      <c r="I91" s="57"/>
      <c r="J91" s="30"/>
      <c r="K91" s="30"/>
      <c r="L91" s="285" t="s">
        <v>44</v>
      </c>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19" t="str">
        <f t="shared" ca="1" si="12"/>
        <v>Procede_E_P</v>
      </c>
      <c r="AV91" s="11" t="str">
        <f ca="1">IFERROR(__xludf.DUMMYFUNCTION("IFERROR(VLOOKUP(E82&amp;F82,IMPORTRANGE(""https://docs.google.com/spreadsheets/d/1Uw7-A9f9R21vMXxHZFNpYNeKFtG8_yji4HS352LGlSQ/edit?pli=1#gid=0"",""1_ACUM!A4:S""),11,FALSE))"),"EN FORMACION")</f>
        <v>EN FORMACION</v>
      </c>
      <c r="AW91" s="20" t="str">
        <f ca="1">IFERROR(__xludf.DUMMYFUNCTION("IFERROR(VLOOKUP(F82,IMPORTRANGE(""https://docs.google.com/spreadsheets/d/1Kvs4KS76FHFqLFIZfrDMff4kP08nblUkihrxltoGBjg/edit#gid=934712705"",""ESENCIAL!A6:BG""),15,FALSE))"),"AGROPECUARIO")</f>
        <v>AGROPECUARIO</v>
      </c>
      <c r="AX91" s="21">
        <f ca="1">IFERROR(__xludf.DUMMYFUNCTION("IFERROR(VLOOKUP(E82&amp;F82,IMPORTRANGE(""https://docs.google.com/spreadsheets/d/1Uw7-A9f9R21vMXxHZFNpYNeKFtG8_yji4HS352LGlSQ/edit?pli=1#gid=0"",""1_ACUM!A4:S""),12,FALSE))"),44839)</f>
        <v>44839</v>
      </c>
      <c r="AY91" s="22">
        <f ca="1">IFERROR(__xludf.DUMMYFUNCTION("IFERROR(VLOOKUP(E82&amp;F82,IMPORTRANGE(""https://docs.google.com/spreadsheets/d/1Uw7-A9f9R21vMXxHZFNpYNeKFtG8_yji4HS352LGlSQ/edit?pli=1#gid=0"",""1_ACUM!A4:S""),13,FALSE))"),0)</f>
        <v>0</v>
      </c>
      <c r="AZ91" s="22">
        <f ca="1">IFERROR(__xludf.DUMMYFUNCTION("IFERROR(VLOOKUP(E82&amp;F82,IMPORTRANGE(""https://docs.google.com/spreadsheets/d/1Uw7-A9f9R21vMXxHZFNpYNeKFtG8_yji4HS352LGlSQ/edit?pli=1#gid=0"",""1_ACUM!A4:S""),14,FALSE))"),1)</f>
        <v>1</v>
      </c>
      <c r="BA91" s="22">
        <f ca="1">IFERROR(__xludf.DUMMYFUNCTION("IFERROR(VLOOKUP(E82&amp;F82,IMPORTRANGE(""https://docs.google.com/spreadsheets/d/1Uw7-A9f9R21vMXxHZFNpYNeKFtG8_yji4HS352LGlSQ/edit?pli=1#gid=0"",""1_ACUM!A4:S""),15,FALSE))"),0)</f>
        <v>0</v>
      </c>
      <c r="BB91" s="22">
        <f ca="1">IFERROR(__xludf.DUMMYFUNCTION("IFERROR(VLOOKUP(E82&amp;F82,IMPORTRANGE(""https://docs.google.com/spreadsheets/d/1Uw7-A9f9R21vMXxHZFNpYNeKFtG8_yji4HS352LGlSQ/edit?pli=1#gid=0"",""1_ACUM!A4:S""),16,FALSE))"),0)</f>
        <v>0</v>
      </c>
      <c r="BC91" s="22">
        <f ca="1">IFERROR(__xludf.DUMMYFUNCTION("IFERROR(VLOOKUP(E82&amp;F82,IMPORTRANGE(""https://docs.google.com/spreadsheets/d/1Uw7-A9f9R21vMXxHZFNpYNeKFtG8_yji4HS352LGlSQ/edit?pli=1#gid=0"",""1_ACUM!A4:S""),17,FALSE))"),1)</f>
        <v>1</v>
      </c>
      <c r="BD91" s="23">
        <f ca="1">IFERROR(__xludf.DUMMYFUNCTION("IFERROR(VLOOKUP(E82&amp;F82,IMPORTRANGE(""https://docs.google.com/spreadsheets/d/1Uw7-A9f9R21vMXxHZFNpYNeKFtG8_yji4HS352LGlSQ/edit?pli=1#gid=0"",""1_ACUM!A4:S""),18,FALSE))"),44348)</f>
        <v>44348</v>
      </c>
      <c r="BE91" s="23">
        <f ca="1">IFERROR(__xludf.DUMMYFUNCTION("IFERROR(VLOOKUP(E82&amp;F82,IMPORTRANGE(""https://docs.google.com/spreadsheets/d/1Uw7-A9f9R21vMXxHZFNpYNeKFtG8_yji4HS352LGlSQ/edit?pli=1#gid=0"",""1_ACUM!A4:S""),19,FALSE))"),44620)</f>
        <v>44620</v>
      </c>
      <c r="BF91" s="23">
        <f ca="1">IFERROR(__xludf.DUMMYFUNCTION("IFERROR(VLOOKUP(F82,IMPORTRANGE(""https://docs.google.com/spreadsheets/d/1Kvs4KS76FHFqLFIZfrDMff4kP08nblUkihrxltoGBjg/edit#gid=934712705"",""ESENCIAL!A6:BG""),5,FALSE))"),44804)</f>
        <v>44804</v>
      </c>
      <c r="BG91" s="23">
        <f t="shared" ca="1" si="13"/>
        <v>45351</v>
      </c>
      <c r="BH91" s="19" t="str">
        <f t="shared" ca="1" si="14"/>
        <v>FICHA EN TIEMPO-18 MESES</v>
      </c>
      <c r="BI91" s="19" t="str">
        <f ca="1">IFERROR(__xludf.DUMMYFUNCTION("IFERROR(VLOOKUP(F82,IMPORTRANGE(""https://docs.google.com/spreadsheets/d/1Kvs4KS76FHFqLFIZfrDMff4kP08nblUkihrxltoGBjg/edit#gid=934712705"",""ESENCIAL!A6:BG""),18,FALSE))"),"Terminada por fecha")</f>
        <v>Terminada por fecha</v>
      </c>
      <c r="BJ91" s="19" t="str">
        <f t="shared" si="15"/>
        <v>Yamboro</v>
      </c>
      <c r="BK91" s="291"/>
      <c r="BL91" s="19"/>
    </row>
    <row r="92" spans="1:64" ht="18" hidden="1" customHeight="1">
      <c r="A92" s="290"/>
      <c r="B92" s="145" t="s">
        <v>25</v>
      </c>
      <c r="C92" s="57" t="s">
        <v>1351</v>
      </c>
      <c r="D92" s="57" t="s">
        <v>27</v>
      </c>
      <c r="E92" s="57">
        <v>1082773167</v>
      </c>
      <c r="F92" s="114">
        <v>2356780</v>
      </c>
      <c r="G92" s="11" t="str">
        <f ca="1">IFERROR(__xludf.DUMMYFUNCTION("IFERROR(VLOOKUP(F83,IMPORTRANGE(""https://docs.google.com/spreadsheets/d/1Kvs4KS76FHFqLFIZfrDMff4kP08nblUkihrxltoGBjg/edit#gid=934712705"",""ESENCIAL!A6:BG""),3,FALSE))"),"TÉCNICO")</f>
        <v>TÉCNICO</v>
      </c>
      <c r="H92" s="11" t="str">
        <f ca="1">IFERROR(__xludf.DUMMYFUNCTION("IFERROR(VLOOKUP(F83,IMPORTRANGE(""https://docs.google.com/spreadsheets/d/1Kvs4KS76FHFqLFIZfrDMff4kP08nblUkihrxltoGBjg/edit#gid=934712705"",""ESENCIAL!A6:BG""),8,FALSE))"),"PRODUCCION DE CAFE")</f>
        <v>PRODUCCION DE CAFE</v>
      </c>
      <c r="I92" s="57"/>
      <c r="J92" s="30"/>
      <c r="K92" s="30"/>
      <c r="L92" s="285" t="s">
        <v>44</v>
      </c>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19" t="str">
        <f t="shared" ca="1" si="12"/>
        <v>NO_CUMPLE</v>
      </c>
      <c r="AV92" s="11" t="str">
        <f ca="1">IFERROR(__xludf.DUMMYFUNCTION("IFERROR(VLOOKUP(E83&amp;F83,IMPORTRANGE(""https://docs.google.com/spreadsheets/d/1Uw7-A9f9R21vMXxHZFNpYNeKFtG8_yji4HS352LGlSQ/edit?pli=1#gid=0"",""1_ACUM!A4:S""),11,FALSE))"),"EN FORMACION")</f>
        <v>EN FORMACION</v>
      </c>
      <c r="AW92" s="20" t="str">
        <f ca="1">IFERROR(__xludf.DUMMYFUNCTION("IFERROR(VLOOKUP(F83,IMPORTRANGE(""https://docs.google.com/spreadsheets/d/1Kvs4KS76FHFqLFIZfrDMff4kP08nblUkihrxltoGBjg/edit#gid=934712705"",""ESENCIAL!A6:BG""),15,FALSE))"),"AGROPECUARIO")</f>
        <v>AGROPECUARIO</v>
      </c>
      <c r="AX92" s="21">
        <f ca="1">IFERROR(__xludf.DUMMYFUNCTION("IFERROR(VLOOKUP(E83&amp;F83,IMPORTRANGE(""https://docs.google.com/spreadsheets/d/1Uw7-A9f9R21vMXxHZFNpYNeKFtG8_yji4HS352LGlSQ/edit?pli=1#gid=0"",""1_ACUM!A4:S""),12,FALSE))"),44839)</f>
        <v>44839</v>
      </c>
      <c r="AY92" s="22">
        <f ca="1">IFERROR(__xludf.DUMMYFUNCTION("IFERROR(VLOOKUP(E83&amp;F83,IMPORTRANGE(""https://docs.google.com/spreadsheets/d/1Uw7-A9f9R21vMXxHZFNpYNeKFtG8_yji4HS352LGlSQ/edit?pli=1#gid=0"",""1_ACUM!A4:S""),13,FALSE))"),14)</f>
        <v>14</v>
      </c>
      <c r="AZ92" s="22">
        <f ca="1">IFERROR(__xludf.DUMMYFUNCTION("IFERROR(VLOOKUP(E83&amp;F83,IMPORTRANGE(""https://docs.google.com/spreadsheets/d/1Uw7-A9f9R21vMXxHZFNpYNeKFtG8_yji4HS352LGlSQ/edit?pli=1#gid=0"",""1_ACUM!A4:S""),14,FALSE))"),1)</f>
        <v>1</v>
      </c>
      <c r="BA92" s="22">
        <f ca="1">IFERROR(__xludf.DUMMYFUNCTION("IFERROR(VLOOKUP(E83&amp;F83,IMPORTRANGE(""https://docs.google.com/spreadsheets/d/1Uw7-A9f9R21vMXxHZFNpYNeKFtG8_yji4HS352LGlSQ/edit?pli=1#gid=0"",""1_ACUM!A4:S""),15,FALSE))"),7)</f>
        <v>7</v>
      </c>
      <c r="BB92" s="22">
        <f ca="1">IFERROR(__xludf.DUMMYFUNCTION("IFERROR(VLOOKUP(E83&amp;F83,IMPORTRANGE(""https://docs.google.com/spreadsheets/d/1Uw7-A9f9R21vMXxHZFNpYNeKFtG8_yji4HS352LGlSQ/edit?pli=1#gid=0"",""1_ACUM!A4:S""),16,FALSE))"),44)</f>
        <v>44</v>
      </c>
      <c r="BC92" s="22">
        <f ca="1">IFERROR(__xludf.DUMMYFUNCTION("IFERROR(VLOOKUP(E83&amp;F83,IMPORTRANGE(""https://docs.google.com/spreadsheets/d/1Uw7-A9f9R21vMXxHZFNpYNeKFtG8_yji4HS352LGlSQ/edit?pli=1#gid=0"",""1_ACUM!A4:S""),17,FALSE))"),66)</f>
        <v>66</v>
      </c>
      <c r="BD92" s="23">
        <f ca="1">IFERROR(__xludf.DUMMYFUNCTION("IFERROR(VLOOKUP(E83&amp;F83,IMPORTRANGE(""https://docs.google.com/spreadsheets/d/1Uw7-A9f9R21vMXxHZFNpYNeKFtG8_yji4HS352LGlSQ/edit?pli=1#gid=0"",""1_ACUM!A4:S""),18,FALSE))"),44348)</f>
        <v>44348</v>
      </c>
      <c r="BE92" s="23">
        <f ca="1">IFERROR(__xludf.DUMMYFUNCTION("IFERROR(VLOOKUP(E83&amp;F83,IMPORTRANGE(""https://docs.google.com/spreadsheets/d/1Uw7-A9f9R21vMXxHZFNpYNeKFtG8_yji4HS352LGlSQ/edit?pli=1#gid=0"",""1_ACUM!A4:S""),19,FALSE))"),44620)</f>
        <v>44620</v>
      </c>
      <c r="BF92" s="23">
        <f ca="1">IFERROR(__xludf.DUMMYFUNCTION("IFERROR(VLOOKUP(F83,IMPORTRANGE(""https://docs.google.com/spreadsheets/d/1Kvs4KS76FHFqLFIZfrDMff4kP08nblUkihrxltoGBjg/edit#gid=934712705"",""ESENCIAL!A6:BG""),5,FALSE))"),44804)</f>
        <v>44804</v>
      </c>
      <c r="BG92" s="23">
        <f t="shared" ca="1" si="13"/>
        <v>45351</v>
      </c>
      <c r="BH92" s="19" t="str">
        <f t="shared" ca="1" si="14"/>
        <v>FICHA EN TIEMPO-18 MESES</v>
      </c>
      <c r="BI92" s="19" t="str">
        <f ca="1">IFERROR(__xludf.DUMMYFUNCTION("IFERROR(VLOOKUP(F83,IMPORTRANGE(""https://docs.google.com/spreadsheets/d/1Kvs4KS76FHFqLFIZfrDMff4kP08nblUkihrxltoGBjg/edit#gid=934712705"",""ESENCIAL!A6:BG""),18,FALSE))"),"Terminada por fecha")</f>
        <v>Terminada por fecha</v>
      </c>
      <c r="BJ92" s="19" t="str">
        <f t="shared" si="15"/>
        <v>Yamboro</v>
      </c>
      <c r="BK92" s="291"/>
      <c r="BL92" s="19"/>
    </row>
    <row r="93" spans="1:64" ht="18" hidden="1" customHeight="1">
      <c r="A93" s="290"/>
      <c r="B93" s="145" t="s">
        <v>25</v>
      </c>
      <c r="C93" s="57" t="s">
        <v>1352</v>
      </c>
      <c r="D93" s="57" t="s">
        <v>27</v>
      </c>
      <c r="E93" s="57">
        <v>1082773922</v>
      </c>
      <c r="F93" s="114">
        <v>2356780</v>
      </c>
      <c r="G93" s="11" t="str">
        <f ca="1">IFERROR(__xludf.DUMMYFUNCTION("IFERROR(VLOOKUP(F84,IMPORTRANGE(""https://docs.google.com/spreadsheets/d/1Kvs4KS76FHFqLFIZfrDMff4kP08nblUkihrxltoGBjg/edit#gid=934712705"",""ESENCIAL!A6:BG""),3,FALSE))"),"TÉCNICO")</f>
        <v>TÉCNICO</v>
      </c>
      <c r="H93" s="11" t="str">
        <f ca="1">IFERROR(__xludf.DUMMYFUNCTION("IFERROR(VLOOKUP(F84,IMPORTRANGE(""https://docs.google.com/spreadsheets/d/1Kvs4KS76FHFqLFIZfrDMff4kP08nblUkihrxltoGBjg/edit#gid=934712705"",""ESENCIAL!A6:BG""),8,FALSE))"),"PRODUCCION DE CAFE")</f>
        <v>PRODUCCION DE CAFE</v>
      </c>
      <c r="I93" s="57"/>
      <c r="J93" s="30"/>
      <c r="K93" s="30"/>
      <c r="L93" s="285" t="s">
        <v>44</v>
      </c>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19" t="str">
        <f t="shared" ca="1" si="12"/>
        <v>NO_CUMPLE</v>
      </c>
      <c r="AV93" s="11" t="str">
        <f ca="1">IFERROR(__xludf.DUMMYFUNCTION("IFERROR(VLOOKUP(E84&amp;F84,IMPORTRANGE(""https://docs.google.com/spreadsheets/d/1Uw7-A9f9R21vMXxHZFNpYNeKFtG8_yji4HS352LGlSQ/edit?pli=1#gid=0"",""1_ACUM!A4:S""),11,FALSE))"),"EN FORMACION")</f>
        <v>EN FORMACION</v>
      </c>
      <c r="AW93" s="20" t="str">
        <f ca="1">IFERROR(__xludf.DUMMYFUNCTION("IFERROR(VLOOKUP(F84,IMPORTRANGE(""https://docs.google.com/spreadsheets/d/1Kvs4KS76FHFqLFIZfrDMff4kP08nblUkihrxltoGBjg/edit#gid=934712705"",""ESENCIAL!A6:BG""),15,FALSE))"),"AGROPECUARIO")</f>
        <v>AGROPECUARIO</v>
      </c>
      <c r="AX93" s="21">
        <f ca="1">IFERROR(__xludf.DUMMYFUNCTION("IFERROR(VLOOKUP(E84&amp;F84,IMPORTRANGE(""https://docs.google.com/spreadsheets/d/1Uw7-A9f9R21vMXxHZFNpYNeKFtG8_yji4HS352LGlSQ/edit?pli=1#gid=0"",""1_ACUM!A4:S""),12,FALSE))"),44839)</f>
        <v>44839</v>
      </c>
      <c r="AY93" s="22">
        <f ca="1">IFERROR(__xludf.DUMMYFUNCTION("IFERROR(VLOOKUP(E84&amp;F84,IMPORTRANGE(""https://docs.google.com/spreadsheets/d/1Uw7-A9f9R21vMXxHZFNpYNeKFtG8_yji4HS352LGlSQ/edit?pli=1#gid=0"",""1_ACUM!A4:S""),13,FALSE))"),14)</f>
        <v>14</v>
      </c>
      <c r="AZ93" s="22">
        <f ca="1">IFERROR(__xludf.DUMMYFUNCTION("IFERROR(VLOOKUP(E84&amp;F84,IMPORTRANGE(""https://docs.google.com/spreadsheets/d/1Uw7-A9f9R21vMXxHZFNpYNeKFtG8_yji4HS352LGlSQ/edit?pli=1#gid=0"",""1_ACUM!A4:S""),14,FALSE))"),1)</f>
        <v>1</v>
      </c>
      <c r="BA93" s="22">
        <f ca="1">IFERROR(__xludf.DUMMYFUNCTION("IFERROR(VLOOKUP(E84&amp;F84,IMPORTRANGE(""https://docs.google.com/spreadsheets/d/1Uw7-A9f9R21vMXxHZFNpYNeKFtG8_yji4HS352LGlSQ/edit?pli=1#gid=0"",""1_ACUM!A4:S""),15,FALSE))"),7)</f>
        <v>7</v>
      </c>
      <c r="BB93" s="22">
        <f ca="1">IFERROR(__xludf.DUMMYFUNCTION("IFERROR(VLOOKUP(E84&amp;F84,IMPORTRANGE(""https://docs.google.com/spreadsheets/d/1Uw7-A9f9R21vMXxHZFNpYNeKFtG8_yji4HS352LGlSQ/edit?pli=1#gid=0"",""1_ACUM!A4:S""),16,FALSE))"),44)</f>
        <v>44</v>
      </c>
      <c r="BC93" s="22">
        <f ca="1">IFERROR(__xludf.DUMMYFUNCTION("IFERROR(VLOOKUP(E84&amp;F84,IMPORTRANGE(""https://docs.google.com/spreadsheets/d/1Uw7-A9f9R21vMXxHZFNpYNeKFtG8_yji4HS352LGlSQ/edit?pli=1#gid=0"",""1_ACUM!A4:S""),17,FALSE))"),66)</f>
        <v>66</v>
      </c>
      <c r="BD93" s="23">
        <f ca="1">IFERROR(__xludf.DUMMYFUNCTION("IFERROR(VLOOKUP(E84&amp;F84,IMPORTRANGE(""https://docs.google.com/spreadsheets/d/1Uw7-A9f9R21vMXxHZFNpYNeKFtG8_yji4HS352LGlSQ/edit?pli=1#gid=0"",""1_ACUM!A4:S""),18,FALSE))"),44348)</f>
        <v>44348</v>
      </c>
      <c r="BE93" s="23">
        <f ca="1">IFERROR(__xludf.DUMMYFUNCTION("IFERROR(VLOOKUP(E84&amp;F84,IMPORTRANGE(""https://docs.google.com/spreadsheets/d/1Uw7-A9f9R21vMXxHZFNpYNeKFtG8_yji4HS352LGlSQ/edit?pli=1#gid=0"",""1_ACUM!A4:S""),19,FALSE))"),44620)</f>
        <v>44620</v>
      </c>
      <c r="BF93" s="23">
        <f ca="1">IFERROR(__xludf.DUMMYFUNCTION("IFERROR(VLOOKUP(F84,IMPORTRANGE(""https://docs.google.com/spreadsheets/d/1Kvs4KS76FHFqLFIZfrDMff4kP08nblUkihrxltoGBjg/edit#gid=934712705"",""ESENCIAL!A6:BG""),5,FALSE))"),44804)</f>
        <v>44804</v>
      </c>
      <c r="BG93" s="23">
        <f t="shared" ca="1" si="13"/>
        <v>45351</v>
      </c>
      <c r="BH93" s="19" t="str">
        <f t="shared" ca="1" si="14"/>
        <v>FICHA EN TIEMPO-18 MESES</v>
      </c>
      <c r="BI93" s="19" t="str">
        <f ca="1">IFERROR(__xludf.DUMMYFUNCTION("IFERROR(VLOOKUP(F84,IMPORTRANGE(""https://docs.google.com/spreadsheets/d/1Kvs4KS76FHFqLFIZfrDMff4kP08nblUkihrxltoGBjg/edit#gid=934712705"",""ESENCIAL!A6:BG""),18,FALSE))"),"Terminada por fecha")</f>
        <v>Terminada por fecha</v>
      </c>
      <c r="BJ93" s="19" t="str">
        <f t="shared" si="15"/>
        <v>Yamboro</v>
      </c>
      <c r="BK93" s="291"/>
      <c r="BL93" s="19"/>
    </row>
    <row r="94" spans="1:64" ht="18" hidden="1" customHeight="1">
      <c r="A94" s="290"/>
      <c r="B94" s="145" t="s">
        <v>25</v>
      </c>
      <c r="C94" s="57" t="s">
        <v>1353</v>
      </c>
      <c r="D94" s="57" t="s">
        <v>27</v>
      </c>
      <c r="E94" s="57">
        <v>1082774633</v>
      </c>
      <c r="F94" s="114">
        <v>2356780</v>
      </c>
      <c r="G94" s="11" t="str">
        <f ca="1">IFERROR(__xludf.DUMMYFUNCTION("IFERROR(VLOOKUP(F85,IMPORTRANGE(""https://docs.google.com/spreadsheets/d/1Kvs4KS76FHFqLFIZfrDMff4kP08nblUkihrxltoGBjg/edit#gid=934712705"",""ESENCIAL!A6:BG""),3,FALSE))"),"TÉCNICO")</f>
        <v>TÉCNICO</v>
      </c>
      <c r="H94" s="11" t="str">
        <f ca="1">IFERROR(__xludf.DUMMYFUNCTION("IFERROR(VLOOKUP(F85,IMPORTRANGE(""https://docs.google.com/spreadsheets/d/1Kvs4KS76FHFqLFIZfrDMff4kP08nblUkihrxltoGBjg/edit#gid=934712705"",""ESENCIAL!A6:BG""),8,FALSE))"),"PRODUCCION DE CAFE")</f>
        <v>PRODUCCION DE CAFE</v>
      </c>
      <c r="I94" s="53"/>
      <c r="J94" s="30"/>
      <c r="K94" s="30"/>
      <c r="L94" s="285" t="s">
        <v>44</v>
      </c>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19" t="str">
        <f t="shared" ca="1" si="12"/>
        <v>Procede_E_P</v>
      </c>
      <c r="AV94" s="11" t="str">
        <f ca="1">IFERROR(__xludf.DUMMYFUNCTION("IFERROR(VLOOKUP(E85&amp;F85,IMPORTRANGE(""https://docs.google.com/spreadsheets/d/1Uw7-A9f9R21vMXxHZFNpYNeKFtG8_yji4HS352LGlSQ/edit?pli=1#gid=0"",""1_ACUM!A4:S""),11,FALSE))"),"EN FORMACION")</f>
        <v>EN FORMACION</v>
      </c>
      <c r="AW94" s="20" t="str">
        <f ca="1">IFERROR(__xludf.DUMMYFUNCTION("IFERROR(VLOOKUP(F85,IMPORTRANGE(""https://docs.google.com/spreadsheets/d/1Kvs4KS76FHFqLFIZfrDMff4kP08nblUkihrxltoGBjg/edit#gid=934712705"",""ESENCIAL!A6:BG""),15,FALSE))"),"AGROPECUARIO")</f>
        <v>AGROPECUARIO</v>
      </c>
      <c r="AX94" s="21">
        <f ca="1">IFERROR(__xludf.DUMMYFUNCTION("IFERROR(VLOOKUP(E85&amp;F85,IMPORTRANGE(""https://docs.google.com/spreadsheets/d/1Uw7-A9f9R21vMXxHZFNpYNeKFtG8_yji4HS352LGlSQ/edit?pli=1#gid=0"",""1_ACUM!A4:S""),12,FALSE))"),44839)</f>
        <v>44839</v>
      </c>
      <c r="AY94" s="22">
        <f ca="1">IFERROR(__xludf.DUMMYFUNCTION("IFERROR(VLOOKUP(E85&amp;F85,IMPORTRANGE(""https://docs.google.com/spreadsheets/d/1Uw7-A9f9R21vMXxHZFNpYNeKFtG8_yji4HS352LGlSQ/edit?pli=1#gid=0"",""1_ACUM!A4:S""),13,FALSE))"),0)</f>
        <v>0</v>
      </c>
      <c r="AZ94" s="22">
        <f ca="1">IFERROR(__xludf.DUMMYFUNCTION("IFERROR(VLOOKUP(E85&amp;F85,IMPORTRANGE(""https://docs.google.com/spreadsheets/d/1Uw7-A9f9R21vMXxHZFNpYNeKFtG8_yji4HS352LGlSQ/edit?pli=1#gid=0"",""1_ACUM!A4:S""),14,FALSE))"),1)</f>
        <v>1</v>
      </c>
      <c r="BA94" s="22">
        <f ca="1">IFERROR(__xludf.DUMMYFUNCTION("IFERROR(VLOOKUP(E85&amp;F85,IMPORTRANGE(""https://docs.google.com/spreadsheets/d/1Uw7-A9f9R21vMXxHZFNpYNeKFtG8_yji4HS352LGlSQ/edit?pli=1#gid=0"",""1_ACUM!A4:S""),15,FALSE))"),0)</f>
        <v>0</v>
      </c>
      <c r="BB94" s="22">
        <f ca="1">IFERROR(__xludf.DUMMYFUNCTION("IFERROR(VLOOKUP(E85&amp;F85,IMPORTRANGE(""https://docs.google.com/spreadsheets/d/1Uw7-A9f9R21vMXxHZFNpYNeKFtG8_yji4HS352LGlSQ/edit?pli=1#gid=0"",""1_ACUM!A4:S""),16,FALSE))"),0)</f>
        <v>0</v>
      </c>
      <c r="BC94" s="22">
        <f ca="1">IFERROR(__xludf.DUMMYFUNCTION("IFERROR(VLOOKUP(E85&amp;F85,IMPORTRANGE(""https://docs.google.com/spreadsheets/d/1Uw7-A9f9R21vMXxHZFNpYNeKFtG8_yji4HS352LGlSQ/edit?pli=1#gid=0"",""1_ACUM!A4:S""),17,FALSE))"),1)</f>
        <v>1</v>
      </c>
      <c r="BD94" s="23">
        <f ca="1">IFERROR(__xludf.DUMMYFUNCTION("IFERROR(VLOOKUP(E85&amp;F85,IMPORTRANGE(""https://docs.google.com/spreadsheets/d/1Uw7-A9f9R21vMXxHZFNpYNeKFtG8_yji4HS352LGlSQ/edit?pli=1#gid=0"",""1_ACUM!A4:S""),18,FALSE))"),44348)</f>
        <v>44348</v>
      </c>
      <c r="BE94" s="23">
        <f ca="1">IFERROR(__xludf.DUMMYFUNCTION("IFERROR(VLOOKUP(E85&amp;F85,IMPORTRANGE(""https://docs.google.com/spreadsheets/d/1Uw7-A9f9R21vMXxHZFNpYNeKFtG8_yji4HS352LGlSQ/edit?pli=1#gid=0"",""1_ACUM!A4:S""),19,FALSE))"),44620)</f>
        <v>44620</v>
      </c>
      <c r="BF94" s="23">
        <f ca="1">IFERROR(__xludf.DUMMYFUNCTION("IFERROR(VLOOKUP(F85,IMPORTRANGE(""https://docs.google.com/spreadsheets/d/1Kvs4KS76FHFqLFIZfrDMff4kP08nblUkihrxltoGBjg/edit#gid=934712705"",""ESENCIAL!A6:BG""),5,FALSE))"),44804)</f>
        <v>44804</v>
      </c>
      <c r="BG94" s="23">
        <f t="shared" ca="1" si="13"/>
        <v>45351</v>
      </c>
      <c r="BH94" s="19" t="str">
        <f t="shared" ca="1" si="14"/>
        <v>FICHA EN TIEMPO-18 MESES</v>
      </c>
      <c r="BI94" s="19" t="str">
        <f ca="1">IFERROR(__xludf.DUMMYFUNCTION("IFERROR(VLOOKUP(F85,IMPORTRANGE(""https://docs.google.com/spreadsheets/d/1Kvs4KS76FHFqLFIZfrDMff4kP08nblUkihrxltoGBjg/edit#gid=934712705"",""ESENCIAL!A6:BG""),18,FALSE))"),"Terminada por fecha")</f>
        <v>Terminada por fecha</v>
      </c>
      <c r="BJ94" s="19" t="str">
        <f t="shared" si="15"/>
        <v>Yamboro</v>
      </c>
      <c r="BK94" s="291"/>
      <c r="BL94" s="19"/>
    </row>
    <row r="95" spans="1:64" ht="18" hidden="1" customHeight="1">
      <c r="A95" s="290"/>
      <c r="B95" s="145" t="s">
        <v>25</v>
      </c>
      <c r="C95" s="57" t="s">
        <v>1354</v>
      </c>
      <c r="D95" s="57" t="s">
        <v>27</v>
      </c>
      <c r="E95" s="57">
        <v>1082774697</v>
      </c>
      <c r="F95" s="114">
        <v>2356780</v>
      </c>
      <c r="G95" s="11" t="str">
        <f ca="1">IFERROR(__xludf.DUMMYFUNCTION("IFERROR(VLOOKUP(F86,IMPORTRANGE(""https://docs.google.com/spreadsheets/d/1Kvs4KS76FHFqLFIZfrDMff4kP08nblUkihrxltoGBjg/edit#gid=934712705"",""ESENCIAL!A6:BG""),3,FALSE))"),"TÉCNICO")</f>
        <v>TÉCNICO</v>
      </c>
      <c r="H95" s="11" t="str">
        <f ca="1">IFERROR(__xludf.DUMMYFUNCTION("IFERROR(VLOOKUP(F86,IMPORTRANGE(""https://docs.google.com/spreadsheets/d/1Kvs4KS76FHFqLFIZfrDMff4kP08nblUkihrxltoGBjg/edit#gid=934712705"",""ESENCIAL!A6:BG""),8,FALSE))"),"PRODUCCION DE CAFE")</f>
        <v>PRODUCCION DE CAFE</v>
      </c>
      <c r="I95" s="53"/>
      <c r="J95" s="30"/>
      <c r="K95" s="30"/>
      <c r="L95" s="285" t="s">
        <v>44</v>
      </c>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19" t="str">
        <f t="shared" ca="1" si="12"/>
        <v>NO_CUMPLE</v>
      </c>
      <c r="AV95" s="11" t="str">
        <f ca="1">IFERROR(__xludf.DUMMYFUNCTION("IFERROR(VLOOKUP(E86&amp;F86,IMPORTRANGE(""https://docs.google.com/spreadsheets/d/1Uw7-A9f9R21vMXxHZFNpYNeKFtG8_yji4HS352LGlSQ/edit?pli=1#gid=0"",""1_ACUM!A4:S""),11,FALSE))"),"EN FORMACION")</f>
        <v>EN FORMACION</v>
      </c>
      <c r="AW95" s="20" t="str">
        <f ca="1">IFERROR(__xludf.DUMMYFUNCTION("IFERROR(VLOOKUP(F86,IMPORTRANGE(""https://docs.google.com/spreadsheets/d/1Kvs4KS76FHFqLFIZfrDMff4kP08nblUkihrxltoGBjg/edit#gid=934712705"",""ESENCIAL!A6:BG""),15,FALSE))"),"AGROPECUARIO")</f>
        <v>AGROPECUARIO</v>
      </c>
      <c r="AX95" s="21">
        <f ca="1">IFERROR(__xludf.DUMMYFUNCTION("IFERROR(VLOOKUP(E86&amp;F86,IMPORTRANGE(""https://docs.google.com/spreadsheets/d/1Uw7-A9f9R21vMXxHZFNpYNeKFtG8_yji4HS352LGlSQ/edit?pli=1#gid=0"",""1_ACUM!A4:S""),12,FALSE))"),44839)</f>
        <v>44839</v>
      </c>
      <c r="AY95" s="22">
        <f ca="1">IFERROR(__xludf.DUMMYFUNCTION("IFERROR(VLOOKUP(E86&amp;F86,IMPORTRANGE(""https://docs.google.com/spreadsheets/d/1Uw7-A9f9R21vMXxHZFNpYNeKFtG8_yji4HS352LGlSQ/edit?pli=1#gid=0"",""1_ACUM!A4:S""),13,FALSE))"),14)</f>
        <v>14</v>
      </c>
      <c r="AZ95" s="22">
        <f ca="1">IFERROR(__xludf.DUMMYFUNCTION("IFERROR(VLOOKUP(E86&amp;F86,IMPORTRANGE(""https://docs.google.com/spreadsheets/d/1Uw7-A9f9R21vMXxHZFNpYNeKFtG8_yji4HS352LGlSQ/edit?pli=1#gid=0"",""1_ACUM!A4:S""),14,FALSE))"),1)</f>
        <v>1</v>
      </c>
      <c r="BA95" s="22">
        <f ca="1">IFERROR(__xludf.DUMMYFUNCTION("IFERROR(VLOOKUP(E86&amp;F86,IMPORTRANGE(""https://docs.google.com/spreadsheets/d/1Uw7-A9f9R21vMXxHZFNpYNeKFtG8_yji4HS352LGlSQ/edit?pli=1#gid=0"",""1_ACUM!A4:S""),15,FALSE))"),7)</f>
        <v>7</v>
      </c>
      <c r="BB95" s="22">
        <f ca="1">IFERROR(__xludf.DUMMYFUNCTION("IFERROR(VLOOKUP(E86&amp;F86,IMPORTRANGE(""https://docs.google.com/spreadsheets/d/1Uw7-A9f9R21vMXxHZFNpYNeKFtG8_yji4HS352LGlSQ/edit?pli=1#gid=0"",""1_ACUM!A4:S""),16,FALSE))"),44)</f>
        <v>44</v>
      </c>
      <c r="BC95" s="22">
        <f ca="1">IFERROR(__xludf.DUMMYFUNCTION("IFERROR(VLOOKUP(E86&amp;F86,IMPORTRANGE(""https://docs.google.com/spreadsheets/d/1Uw7-A9f9R21vMXxHZFNpYNeKFtG8_yji4HS352LGlSQ/edit?pli=1#gid=0"",""1_ACUM!A4:S""),17,FALSE))"),66)</f>
        <v>66</v>
      </c>
      <c r="BD95" s="23">
        <f ca="1">IFERROR(__xludf.DUMMYFUNCTION("IFERROR(VLOOKUP(E86&amp;F86,IMPORTRANGE(""https://docs.google.com/spreadsheets/d/1Uw7-A9f9R21vMXxHZFNpYNeKFtG8_yji4HS352LGlSQ/edit?pli=1#gid=0"",""1_ACUM!A4:S""),18,FALSE))"),44348)</f>
        <v>44348</v>
      </c>
      <c r="BE95" s="23">
        <f ca="1">IFERROR(__xludf.DUMMYFUNCTION("IFERROR(VLOOKUP(E86&amp;F86,IMPORTRANGE(""https://docs.google.com/spreadsheets/d/1Uw7-A9f9R21vMXxHZFNpYNeKFtG8_yji4HS352LGlSQ/edit?pli=1#gid=0"",""1_ACUM!A4:S""),19,FALSE))"),44620)</f>
        <v>44620</v>
      </c>
      <c r="BF95" s="23">
        <f ca="1">IFERROR(__xludf.DUMMYFUNCTION("IFERROR(VLOOKUP(F86,IMPORTRANGE(""https://docs.google.com/spreadsheets/d/1Kvs4KS76FHFqLFIZfrDMff4kP08nblUkihrxltoGBjg/edit#gid=934712705"",""ESENCIAL!A6:BG""),5,FALSE))"),44804)</f>
        <v>44804</v>
      </c>
      <c r="BG95" s="23">
        <f t="shared" ca="1" si="13"/>
        <v>45351</v>
      </c>
      <c r="BH95" s="19" t="str">
        <f t="shared" ca="1" si="14"/>
        <v>FICHA EN TIEMPO-18 MESES</v>
      </c>
      <c r="BI95" s="19" t="str">
        <f ca="1">IFERROR(__xludf.DUMMYFUNCTION("IFERROR(VLOOKUP(F86,IMPORTRANGE(""https://docs.google.com/spreadsheets/d/1Kvs4KS76FHFqLFIZfrDMff4kP08nblUkihrxltoGBjg/edit#gid=934712705"",""ESENCIAL!A6:BG""),18,FALSE))"),"Terminada por fecha")</f>
        <v>Terminada por fecha</v>
      </c>
      <c r="BJ95" s="19" t="str">
        <f t="shared" si="15"/>
        <v>Yamboro</v>
      </c>
      <c r="BK95" s="291"/>
      <c r="BL95" s="19"/>
    </row>
    <row r="96" spans="1:64" ht="18" hidden="1" customHeight="1">
      <c r="A96" s="290"/>
      <c r="B96" s="145" t="s">
        <v>25</v>
      </c>
      <c r="C96" s="57" t="s">
        <v>1355</v>
      </c>
      <c r="D96" s="57" t="s">
        <v>27</v>
      </c>
      <c r="E96" s="57">
        <v>1082775019</v>
      </c>
      <c r="F96" s="114">
        <v>2356780</v>
      </c>
      <c r="G96" s="11" t="str">
        <f ca="1">IFERROR(__xludf.DUMMYFUNCTION("IFERROR(VLOOKUP(F87,IMPORTRANGE(""https://docs.google.com/spreadsheets/d/1Kvs4KS76FHFqLFIZfrDMff4kP08nblUkihrxltoGBjg/edit#gid=934712705"",""ESENCIAL!A6:BG""),3,FALSE))"),"TÉCNICO")</f>
        <v>TÉCNICO</v>
      </c>
      <c r="H96" s="11" t="str">
        <f ca="1">IFERROR(__xludf.DUMMYFUNCTION("IFERROR(VLOOKUP(F87,IMPORTRANGE(""https://docs.google.com/spreadsheets/d/1Kvs4KS76FHFqLFIZfrDMff4kP08nblUkihrxltoGBjg/edit#gid=934712705"",""ESENCIAL!A6:BG""),8,FALSE))"),"PRODUCCION DE CAFE")</f>
        <v>PRODUCCION DE CAFE</v>
      </c>
      <c r="I96" s="53"/>
      <c r="J96" s="30"/>
      <c r="K96" s="30"/>
      <c r="L96" s="285" t="s">
        <v>44</v>
      </c>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19" t="str">
        <f t="shared" ca="1" si="12"/>
        <v>NO_CUMPLE</v>
      </c>
      <c r="AV96" s="11" t="str">
        <f ca="1">IFERROR(__xludf.DUMMYFUNCTION("IFERROR(VLOOKUP(E87&amp;F87,IMPORTRANGE(""https://docs.google.com/spreadsheets/d/1Uw7-A9f9R21vMXxHZFNpYNeKFtG8_yji4HS352LGlSQ/edit?pli=1#gid=0"",""1_ACUM!A4:S""),11,FALSE))"),"EN FORMACION")</f>
        <v>EN FORMACION</v>
      </c>
      <c r="AW96" s="20" t="str">
        <f ca="1">IFERROR(__xludf.DUMMYFUNCTION("IFERROR(VLOOKUP(F87,IMPORTRANGE(""https://docs.google.com/spreadsheets/d/1Kvs4KS76FHFqLFIZfrDMff4kP08nblUkihrxltoGBjg/edit#gid=934712705"",""ESENCIAL!A6:BG""),15,FALSE))"),"AGROPECUARIO")</f>
        <v>AGROPECUARIO</v>
      </c>
      <c r="AX96" s="21">
        <f ca="1">IFERROR(__xludf.DUMMYFUNCTION("IFERROR(VLOOKUP(E87&amp;F87,IMPORTRANGE(""https://docs.google.com/spreadsheets/d/1Uw7-A9f9R21vMXxHZFNpYNeKFtG8_yji4HS352LGlSQ/edit?pli=1#gid=0"",""1_ACUM!A4:S""),12,FALSE))"),44839)</f>
        <v>44839</v>
      </c>
      <c r="AY96" s="22">
        <f ca="1">IFERROR(__xludf.DUMMYFUNCTION("IFERROR(VLOOKUP(E87&amp;F87,IMPORTRANGE(""https://docs.google.com/spreadsheets/d/1Uw7-A9f9R21vMXxHZFNpYNeKFtG8_yji4HS352LGlSQ/edit?pli=1#gid=0"",""1_ACUM!A4:S""),13,FALSE))"),14)</f>
        <v>14</v>
      </c>
      <c r="AZ96" s="22">
        <f ca="1">IFERROR(__xludf.DUMMYFUNCTION("IFERROR(VLOOKUP(E87&amp;F87,IMPORTRANGE(""https://docs.google.com/spreadsheets/d/1Uw7-A9f9R21vMXxHZFNpYNeKFtG8_yji4HS352LGlSQ/edit?pli=1#gid=0"",""1_ACUM!A4:S""),14,FALSE))"),1)</f>
        <v>1</v>
      </c>
      <c r="BA96" s="22">
        <f ca="1">IFERROR(__xludf.DUMMYFUNCTION("IFERROR(VLOOKUP(E87&amp;F87,IMPORTRANGE(""https://docs.google.com/spreadsheets/d/1Uw7-A9f9R21vMXxHZFNpYNeKFtG8_yji4HS352LGlSQ/edit?pli=1#gid=0"",""1_ACUM!A4:S""),15,FALSE))"),7)</f>
        <v>7</v>
      </c>
      <c r="BB96" s="22">
        <f ca="1">IFERROR(__xludf.DUMMYFUNCTION("IFERROR(VLOOKUP(E87&amp;F87,IMPORTRANGE(""https://docs.google.com/spreadsheets/d/1Uw7-A9f9R21vMXxHZFNpYNeKFtG8_yji4HS352LGlSQ/edit?pli=1#gid=0"",""1_ACUM!A4:S""),16,FALSE))"),44)</f>
        <v>44</v>
      </c>
      <c r="BC96" s="22">
        <f ca="1">IFERROR(__xludf.DUMMYFUNCTION("IFERROR(VLOOKUP(E87&amp;F87,IMPORTRANGE(""https://docs.google.com/spreadsheets/d/1Uw7-A9f9R21vMXxHZFNpYNeKFtG8_yji4HS352LGlSQ/edit?pli=1#gid=0"",""1_ACUM!A4:S""),17,FALSE))"),66)</f>
        <v>66</v>
      </c>
      <c r="BD96" s="23">
        <f ca="1">IFERROR(__xludf.DUMMYFUNCTION("IFERROR(VLOOKUP(E87&amp;F87,IMPORTRANGE(""https://docs.google.com/spreadsheets/d/1Uw7-A9f9R21vMXxHZFNpYNeKFtG8_yji4HS352LGlSQ/edit?pli=1#gid=0"",""1_ACUM!A4:S""),18,FALSE))"),44348)</f>
        <v>44348</v>
      </c>
      <c r="BE96" s="23">
        <f ca="1">IFERROR(__xludf.DUMMYFUNCTION("IFERROR(VLOOKUP(E87&amp;F87,IMPORTRANGE(""https://docs.google.com/spreadsheets/d/1Uw7-A9f9R21vMXxHZFNpYNeKFtG8_yji4HS352LGlSQ/edit?pli=1#gid=0"",""1_ACUM!A4:S""),19,FALSE))"),44620)</f>
        <v>44620</v>
      </c>
      <c r="BF96" s="23">
        <f ca="1">IFERROR(__xludf.DUMMYFUNCTION("IFERROR(VLOOKUP(F87,IMPORTRANGE(""https://docs.google.com/spreadsheets/d/1Kvs4KS76FHFqLFIZfrDMff4kP08nblUkihrxltoGBjg/edit#gid=934712705"",""ESENCIAL!A6:BG""),5,FALSE))"),44804)</f>
        <v>44804</v>
      </c>
      <c r="BG96" s="23">
        <f t="shared" ca="1" si="13"/>
        <v>45351</v>
      </c>
      <c r="BH96" s="19" t="str">
        <f t="shared" ca="1" si="14"/>
        <v>FICHA EN TIEMPO-18 MESES</v>
      </c>
      <c r="BI96" s="19" t="str">
        <f ca="1">IFERROR(__xludf.DUMMYFUNCTION("IFERROR(VLOOKUP(F87,IMPORTRANGE(""https://docs.google.com/spreadsheets/d/1Kvs4KS76FHFqLFIZfrDMff4kP08nblUkihrxltoGBjg/edit#gid=934712705"",""ESENCIAL!A6:BG""),18,FALSE))"),"Terminada por fecha")</f>
        <v>Terminada por fecha</v>
      </c>
      <c r="BJ96" s="19" t="str">
        <f t="shared" si="15"/>
        <v>Yamboro</v>
      </c>
      <c r="BK96" s="291"/>
      <c r="BL96" s="19"/>
    </row>
    <row r="97" spans="1:64" ht="18" hidden="1" customHeight="1">
      <c r="A97" s="290"/>
      <c r="B97" s="145" t="s">
        <v>25</v>
      </c>
      <c r="C97" s="56" t="s">
        <v>1356</v>
      </c>
      <c r="D97" s="57" t="s">
        <v>27</v>
      </c>
      <c r="E97" s="57">
        <v>1082775727</v>
      </c>
      <c r="F97" s="114">
        <v>2356780</v>
      </c>
      <c r="G97" s="11" t="str">
        <f ca="1">IFERROR(__xludf.DUMMYFUNCTION("IFERROR(VLOOKUP(F88,IMPORTRANGE(""https://docs.google.com/spreadsheets/d/1Kvs4KS76FHFqLFIZfrDMff4kP08nblUkihrxltoGBjg/edit#gid=934712705"",""ESENCIAL!A6:BG""),3,FALSE))"),"TÉCNICO")</f>
        <v>TÉCNICO</v>
      </c>
      <c r="H97" s="11" t="str">
        <f ca="1">IFERROR(__xludf.DUMMYFUNCTION("IFERROR(VLOOKUP(F88,IMPORTRANGE(""https://docs.google.com/spreadsheets/d/1Kvs4KS76FHFqLFIZfrDMff4kP08nblUkihrxltoGBjg/edit#gid=934712705"",""ESENCIAL!A6:BG""),8,FALSE))"),"PRODUCCION DE CAFE")</f>
        <v>PRODUCCION DE CAFE</v>
      </c>
      <c r="I97" s="53"/>
      <c r="J97" s="30"/>
      <c r="K97" s="30"/>
      <c r="L97" s="285" t="s">
        <v>44</v>
      </c>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19" t="str">
        <f t="shared" ca="1" si="12"/>
        <v>Procede_E_P</v>
      </c>
      <c r="AV97" s="11" t="str">
        <f ca="1">IFERROR(__xludf.DUMMYFUNCTION("IFERROR(VLOOKUP(E88&amp;F88,IMPORTRANGE(""https://docs.google.com/spreadsheets/d/1Uw7-A9f9R21vMXxHZFNpYNeKFtG8_yji4HS352LGlSQ/edit?pli=1#gid=0"",""1_ACUM!A4:S""),11,FALSE))"),"EN FORMACION")</f>
        <v>EN FORMACION</v>
      </c>
      <c r="AW97" s="20" t="str">
        <f ca="1">IFERROR(__xludf.DUMMYFUNCTION("IFERROR(VLOOKUP(F88,IMPORTRANGE(""https://docs.google.com/spreadsheets/d/1Kvs4KS76FHFqLFIZfrDMff4kP08nblUkihrxltoGBjg/edit#gid=934712705"",""ESENCIAL!A6:BG""),15,FALSE))"),"AGROPECUARIO")</f>
        <v>AGROPECUARIO</v>
      </c>
      <c r="AX97" s="21">
        <f ca="1">IFERROR(__xludf.DUMMYFUNCTION("IFERROR(VLOOKUP(E88&amp;F88,IMPORTRANGE(""https://docs.google.com/spreadsheets/d/1Uw7-A9f9R21vMXxHZFNpYNeKFtG8_yji4HS352LGlSQ/edit?pli=1#gid=0"",""1_ACUM!A4:S""),12,FALSE))"),44839)</f>
        <v>44839</v>
      </c>
      <c r="AY97" s="22">
        <f ca="1">IFERROR(__xludf.DUMMYFUNCTION("IFERROR(VLOOKUP(E88&amp;F88,IMPORTRANGE(""https://docs.google.com/spreadsheets/d/1Uw7-A9f9R21vMXxHZFNpYNeKFtG8_yji4HS352LGlSQ/edit?pli=1#gid=0"",""1_ACUM!A4:S""),13,FALSE))"),0)</f>
        <v>0</v>
      </c>
      <c r="AZ97" s="22">
        <f ca="1">IFERROR(__xludf.DUMMYFUNCTION("IFERROR(VLOOKUP(E88&amp;F88,IMPORTRANGE(""https://docs.google.com/spreadsheets/d/1Uw7-A9f9R21vMXxHZFNpYNeKFtG8_yji4HS352LGlSQ/edit?pli=1#gid=0"",""1_ACUM!A4:S""),14,FALSE))"),1)</f>
        <v>1</v>
      </c>
      <c r="BA97" s="22">
        <f ca="1">IFERROR(__xludf.DUMMYFUNCTION("IFERROR(VLOOKUP(E88&amp;F88,IMPORTRANGE(""https://docs.google.com/spreadsheets/d/1Uw7-A9f9R21vMXxHZFNpYNeKFtG8_yji4HS352LGlSQ/edit?pli=1#gid=0"",""1_ACUM!A4:S""),15,FALSE))"),0)</f>
        <v>0</v>
      </c>
      <c r="BB97" s="22">
        <f ca="1">IFERROR(__xludf.DUMMYFUNCTION("IFERROR(VLOOKUP(E88&amp;F88,IMPORTRANGE(""https://docs.google.com/spreadsheets/d/1Uw7-A9f9R21vMXxHZFNpYNeKFtG8_yji4HS352LGlSQ/edit?pli=1#gid=0"",""1_ACUM!A4:S""),16,FALSE))"),0)</f>
        <v>0</v>
      </c>
      <c r="BC97" s="22">
        <f ca="1">IFERROR(__xludf.DUMMYFUNCTION("IFERROR(VLOOKUP(E88&amp;F88,IMPORTRANGE(""https://docs.google.com/spreadsheets/d/1Uw7-A9f9R21vMXxHZFNpYNeKFtG8_yji4HS352LGlSQ/edit?pli=1#gid=0"",""1_ACUM!A4:S""),17,FALSE))"),1)</f>
        <v>1</v>
      </c>
      <c r="BD97" s="23">
        <f ca="1">IFERROR(__xludf.DUMMYFUNCTION("IFERROR(VLOOKUP(E88&amp;F88,IMPORTRANGE(""https://docs.google.com/spreadsheets/d/1Uw7-A9f9R21vMXxHZFNpYNeKFtG8_yji4HS352LGlSQ/edit?pli=1#gid=0"",""1_ACUM!A4:S""),18,FALSE))"),44348)</f>
        <v>44348</v>
      </c>
      <c r="BE97" s="23">
        <f ca="1">IFERROR(__xludf.DUMMYFUNCTION("IFERROR(VLOOKUP(E88&amp;F88,IMPORTRANGE(""https://docs.google.com/spreadsheets/d/1Uw7-A9f9R21vMXxHZFNpYNeKFtG8_yji4HS352LGlSQ/edit?pli=1#gid=0"",""1_ACUM!A4:S""),19,FALSE))"),44620)</f>
        <v>44620</v>
      </c>
      <c r="BF97" s="23">
        <f ca="1">IFERROR(__xludf.DUMMYFUNCTION("IFERROR(VLOOKUP(F88,IMPORTRANGE(""https://docs.google.com/spreadsheets/d/1Kvs4KS76FHFqLFIZfrDMff4kP08nblUkihrxltoGBjg/edit#gid=934712705"",""ESENCIAL!A6:BG""),5,FALSE))"),44804)</f>
        <v>44804</v>
      </c>
      <c r="BG97" s="23">
        <f t="shared" ca="1" si="13"/>
        <v>45351</v>
      </c>
      <c r="BH97" s="19" t="str">
        <f t="shared" ca="1" si="14"/>
        <v>FICHA EN TIEMPO-18 MESES</v>
      </c>
      <c r="BI97" s="19" t="str">
        <f ca="1">IFERROR(__xludf.DUMMYFUNCTION("IFERROR(VLOOKUP(F88,IMPORTRANGE(""https://docs.google.com/spreadsheets/d/1Kvs4KS76FHFqLFIZfrDMff4kP08nblUkihrxltoGBjg/edit#gid=934712705"",""ESENCIAL!A6:BG""),18,FALSE))"),"Terminada por fecha")</f>
        <v>Terminada por fecha</v>
      </c>
      <c r="BJ97" s="19" t="str">
        <f t="shared" si="15"/>
        <v>Yamboro</v>
      </c>
      <c r="BK97" s="291"/>
      <c r="BL97" s="19"/>
    </row>
    <row r="98" spans="1:64" ht="18" hidden="1" customHeight="1">
      <c r="A98" s="290"/>
      <c r="B98" s="145" t="s">
        <v>25</v>
      </c>
      <c r="C98" s="56" t="s">
        <v>1357</v>
      </c>
      <c r="D98" s="57" t="s">
        <v>27</v>
      </c>
      <c r="E98" s="57">
        <v>1082776940</v>
      </c>
      <c r="F98" s="114">
        <v>2356780</v>
      </c>
      <c r="G98" s="11" t="str">
        <f ca="1">IFERROR(__xludf.DUMMYFUNCTION("IFERROR(VLOOKUP(F89,IMPORTRANGE(""https://docs.google.com/spreadsheets/d/1Kvs4KS76FHFqLFIZfrDMff4kP08nblUkihrxltoGBjg/edit#gid=934712705"",""ESENCIAL!A6:BG""),3,FALSE))"),"TÉCNICO")</f>
        <v>TÉCNICO</v>
      </c>
      <c r="H98" s="11" t="str">
        <f ca="1">IFERROR(__xludf.DUMMYFUNCTION("IFERROR(VLOOKUP(F89,IMPORTRANGE(""https://docs.google.com/spreadsheets/d/1Kvs4KS76FHFqLFIZfrDMff4kP08nblUkihrxltoGBjg/edit#gid=934712705"",""ESENCIAL!A6:BG""),8,FALSE))"),"PRODUCCION DE CAFE")</f>
        <v>PRODUCCION DE CAFE</v>
      </c>
      <c r="I98" s="53"/>
      <c r="J98" s="30"/>
      <c r="K98" s="30"/>
      <c r="L98" s="285" t="s">
        <v>44</v>
      </c>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19" t="str">
        <f t="shared" ca="1" si="12"/>
        <v>Procede_E_P</v>
      </c>
      <c r="AV98" s="11" t="str">
        <f ca="1">IFERROR(__xludf.DUMMYFUNCTION("IFERROR(VLOOKUP(E89&amp;F89,IMPORTRANGE(""https://docs.google.com/spreadsheets/d/1Uw7-A9f9R21vMXxHZFNpYNeKFtG8_yji4HS352LGlSQ/edit?pli=1#gid=0"",""1_ACUM!A4:S""),11,FALSE))"),"EN FORMACION")</f>
        <v>EN FORMACION</v>
      </c>
      <c r="AW98" s="20" t="str">
        <f ca="1">IFERROR(__xludf.DUMMYFUNCTION("IFERROR(VLOOKUP(F89,IMPORTRANGE(""https://docs.google.com/spreadsheets/d/1Kvs4KS76FHFqLFIZfrDMff4kP08nblUkihrxltoGBjg/edit#gid=934712705"",""ESENCIAL!A6:BG""),15,FALSE))"),"AGROPECUARIO")</f>
        <v>AGROPECUARIO</v>
      </c>
      <c r="AX98" s="21">
        <f ca="1">IFERROR(__xludf.DUMMYFUNCTION("IFERROR(VLOOKUP(E89&amp;F89,IMPORTRANGE(""https://docs.google.com/spreadsheets/d/1Uw7-A9f9R21vMXxHZFNpYNeKFtG8_yji4HS352LGlSQ/edit?pli=1#gid=0"",""1_ACUM!A4:S""),12,FALSE))"),44839)</f>
        <v>44839</v>
      </c>
      <c r="AY98" s="22">
        <f ca="1">IFERROR(__xludf.DUMMYFUNCTION("IFERROR(VLOOKUP(E89&amp;F89,IMPORTRANGE(""https://docs.google.com/spreadsheets/d/1Uw7-A9f9R21vMXxHZFNpYNeKFtG8_yji4HS352LGlSQ/edit?pli=1#gid=0"",""1_ACUM!A4:S""),13,FALSE))"),0)</f>
        <v>0</v>
      </c>
      <c r="AZ98" s="22">
        <f ca="1">IFERROR(__xludf.DUMMYFUNCTION("IFERROR(VLOOKUP(E89&amp;F89,IMPORTRANGE(""https://docs.google.com/spreadsheets/d/1Uw7-A9f9R21vMXxHZFNpYNeKFtG8_yji4HS352LGlSQ/edit?pli=1#gid=0"",""1_ACUM!A4:S""),14,FALSE))"),1)</f>
        <v>1</v>
      </c>
      <c r="BA98" s="22">
        <f ca="1">IFERROR(__xludf.DUMMYFUNCTION("IFERROR(VLOOKUP(E89&amp;F89,IMPORTRANGE(""https://docs.google.com/spreadsheets/d/1Uw7-A9f9R21vMXxHZFNpYNeKFtG8_yji4HS352LGlSQ/edit?pli=1#gid=0"",""1_ACUM!A4:S""),15,FALSE))"),0)</f>
        <v>0</v>
      </c>
      <c r="BB98" s="22">
        <f ca="1">IFERROR(__xludf.DUMMYFUNCTION("IFERROR(VLOOKUP(E89&amp;F89,IMPORTRANGE(""https://docs.google.com/spreadsheets/d/1Uw7-A9f9R21vMXxHZFNpYNeKFtG8_yji4HS352LGlSQ/edit?pli=1#gid=0"",""1_ACUM!A4:S""),16,FALSE))"),0)</f>
        <v>0</v>
      </c>
      <c r="BC98" s="22">
        <f ca="1">IFERROR(__xludf.DUMMYFUNCTION("IFERROR(VLOOKUP(E89&amp;F89,IMPORTRANGE(""https://docs.google.com/spreadsheets/d/1Uw7-A9f9R21vMXxHZFNpYNeKFtG8_yji4HS352LGlSQ/edit?pli=1#gid=0"",""1_ACUM!A4:S""),17,FALSE))"),1)</f>
        <v>1</v>
      </c>
      <c r="BD98" s="23">
        <f ca="1">IFERROR(__xludf.DUMMYFUNCTION("IFERROR(VLOOKUP(E89&amp;F89,IMPORTRANGE(""https://docs.google.com/spreadsheets/d/1Uw7-A9f9R21vMXxHZFNpYNeKFtG8_yji4HS352LGlSQ/edit?pli=1#gid=0"",""1_ACUM!A4:S""),18,FALSE))"),44348)</f>
        <v>44348</v>
      </c>
      <c r="BE98" s="23">
        <f ca="1">IFERROR(__xludf.DUMMYFUNCTION("IFERROR(VLOOKUP(E89&amp;F89,IMPORTRANGE(""https://docs.google.com/spreadsheets/d/1Uw7-A9f9R21vMXxHZFNpYNeKFtG8_yji4HS352LGlSQ/edit?pli=1#gid=0"",""1_ACUM!A4:S""),19,FALSE))"),44620)</f>
        <v>44620</v>
      </c>
      <c r="BF98" s="23">
        <f ca="1">IFERROR(__xludf.DUMMYFUNCTION("IFERROR(VLOOKUP(F89,IMPORTRANGE(""https://docs.google.com/spreadsheets/d/1Kvs4KS76FHFqLFIZfrDMff4kP08nblUkihrxltoGBjg/edit#gid=934712705"",""ESENCIAL!A6:BG""),5,FALSE))"),44804)</f>
        <v>44804</v>
      </c>
      <c r="BG98" s="23">
        <f t="shared" ca="1" si="13"/>
        <v>45351</v>
      </c>
      <c r="BH98" s="19" t="str">
        <f t="shared" ca="1" si="14"/>
        <v>FICHA EN TIEMPO-18 MESES</v>
      </c>
      <c r="BI98" s="19" t="str">
        <f ca="1">IFERROR(__xludf.DUMMYFUNCTION("IFERROR(VLOOKUP(F89,IMPORTRANGE(""https://docs.google.com/spreadsheets/d/1Kvs4KS76FHFqLFIZfrDMff4kP08nblUkihrxltoGBjg/edit#gid=934712705"",""ESENCIAL!A6:BG""),18,FALSE))"),"Terminada por fecha")</f>
        <v>Terminada por fecha</v>
      </c>
      <c r="BJ98" s="19" t="str">
        <f t="shared" si="15"/>
        <v>Yamboro</v>
      </c>
      <c r="BK98" s="291"/>
      <c r="BL98" s="19"/>
    </row>
    <row r="99" spans="1:64" ht="18" hidden="1" customHeight="1">
      <c r="A99" s="290"/>
      <c r="B99" s="145" t="s">
        <v>25</v>
      </c>
      <c r="C99" s="56" t="s">
        <v>1358</v>
      </c>
      <c r="D99" s="57" t="s">
        <v>27</v>
      </c>
      <c r="E99" s="57">
        <v>1082777710</v>
      </c>
      <c r="F99" s="114">
        <v>2356780</v>
      </c>
      <c r="G99" s="11" t="str">
        <f ca="1">IFERROR(__xludf.DUMMYFUNCTION("IFERROR(VLOOKUP(F90,IMPORTRANGE(""https://docs.google.com/spreadsheets/d/1Kvs4KS76FHFqLFIZfrDMff4kP08nblUkihrxltoGBjg/edit#gid=934712705"",""ESENCIAL!A6:BG""),3,FALSE))"),"TÉCNICO")</f>
        <v>TÉCNICO</v>
      </c>
      <c r="H99" s="11" t="str">
        <f ca="1">IFERROR(__xludf.DUMMYFUNCTION("IFERROR(VLOOKUP(F90,IMPORTRANGE(""https://docs.google.com/spreadsheets/d/1Kvs4KS76FHFqLFIZfrDMff4kP08nblUkihrxltoGBjg/edit#gid=934712705"",""ESENCIAL!A6:BG""),8,FALSE))"),"PRODUCCION DE CAFE")</f>
        <v>PRODUCCION DE CAFE</v>
      </c>
      <c r="I99" s="53"/>
      <c r="J99" s="30"/>
      <c r="K99" s="30"/>
      <c r="L99" s="285" t="s">
        <v>44</v>
      </c>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19" t="str">
        <f t="shared" ca="1" si="12"/>
        <v>Procede_E_P</v>
      </c>
      <c r="AV99" s="11" t="str">
        <f ca="1">IFERROR(__xludf.DUMMYFUNCTION("IFERROR(VLOOKUP(E90&amp;F90,IMPORTRANGE(""https://docs.google.com/spreadsheets/d/1Uw7-A9f9R21vMXxHZFNpYNeKFtG8_yji4HS352LGlSQ/edit?pli=1#gid=0"",""1_ACUM!A4:S""),11,FALSE))"),"EN FORMACION")</f>
        <v>EN FORMACION</v>
      </c>
      <c r="AW99" s="20" t="str">
        <f ca="1">IFERROR(__xludf.DUMMYFUNCTION("IFERROR(VLOOKUP(F90,IMPORTRANGE(""https://docs.google.com/spreadsheets/d/1Kvs4KS76FHFqLFIZfrDMff4kP08nblUkihrxltoGBjg/edit#gid=934712705"",""ESENCIAL!A6:BG""),15,FALSE))"),"AGROPECUARIO")</f>
        <v>AGROPECUARIO</v>
      </c>
      <c r="AX99" s="21">
        <f ca="1">IFERROR(__xludf.DUMMYFUNCTION("IFERROR(VLOOKUP(E90&amp;F90,IMPORTRANGE(""https://docs.google.com/spreadsheets/d/1Uw7-A9f9R21vMXxHZFNpYNeKFtG8_yji4HS352LGlSQ/edit?pli=1#gid=0"",""1_ACUM!A4:S""),12,FALSE))"),44839)</f>
        <v>44839</v>
      </c>
      <c r="AY99" s="22">
        <f ca="1">IFERROR(__xludf.DUMMYFUNCTION("IFERROR(VLOOKUP(E90&amp;F90,IMPORTRANGE(""https://docs.google.com/spreadsheets/d/1Uw7-A9f9R21vMXxHZFNpYNeKFtG8_yji4HS352LGlSQ/edit?pli=1#gid=0"",""1_ACUM!A4:S""),13,FALSE))"),0)</f>
        <v>0</v>
      </c>
      <c r="AZ99" s="22">
        <f ca="1">IFERROR(__xludf.DUMMYFUNCTION("IFERROR(VLOOKUP(E90&amp;F90,IMPORTRANGE(""https://docs.google.com/spreadsheets/d/1Uw7-A9f9R21vMXxHZFNpYNeKFtG8_yji4HS352LGlSQ/edit?pli=1#gid=0"",""1_ACUM!A4:S""),14,FALSE))"),1)</f>
        <v>1</v>
      </c>
      <c r="BA99" s="22">
        <f ca="1">IFERROR(__xludf.DUMMYFUNCTION("IFERROR(VLOOKUP(E90&amp;F90,IMPORTRANGE(""https://docs.google.com/spreadsheets/d/1Uw7-A9f9R21vMXxHZFNpYNeKFtG8_yji4HS352LGlSQ/edit?pli=1#gid=0"",""1_ACUM!A4:S""),15,FALSE))"),0)</f>
        <v>0</v>
      </c>
      <c r="BB99" s="22">
        <f ca="1">IFERROR(__xludf.DUMMYFUNCTION("IFERROR(VLOOKUP(E90&amp;F90,IMPORTRANGE(""https://docs.google.com/spreadsheets/d/1Uw7-A9f9R21vMXxHZFNpYNeKFtG8_yji4HS352LGlSQ/edit?pli=1#gid=0"",""1_ACUM!A4:S""),16,FALSE))"),0)</f>
        <v>0</v>
      </c>
      <c r="BC99" s="22">
        <f ca="1">IFERROR(__xludf.DUMMYFUNCTION("IFERROR(VLOOKUP(E90&amp;F90,IMPORTRANGE(""https://docs.google.com/spreadsheets/d/1Uw7-A9f9R21vMXxHZFNpYNeKFtG8_yji4HS352LGlSQ/edit?pli=1#gid=0"",""1_ACUM!A4:S""),17,FALSE))"),1)</f>
        <v>1</v>
      </c>
      <c r="BD99" s="23">
        <f ca="1">IFERROR(__xludf.DUMMYFUNCTION("IFERROR(VLOOKUP(E90&amp;F90,IMPORTRANGE(""https://docs.google.com/spreadsheets/d/1Uw7-A9f9R21vMXxHZFNpYNeKFtG8_yji4HS352LGlSQ/edit?pli=1#gid=0"",""1_ACUM!A4:S""),18,FALSE))"),44348)</f>
        <v>44348</v>
      </c>
      <c r="BE99" s="23">
        <f ca="1">IFERROR(__xludf.DUMMYFUNCTION("IFERROR(VLOOKUP(E90&amp;F90,IMPORTRANGE(""https://docs.google.com/spreadsheets/d/1Uw7-A9f9R21vMXxHZFNpYNeKFtG8_yji4HS352LGlSQ/edit?pli=1#gid=0"",""1_ACUM!A4:S""),19,FALSE))"),44620)</f>
        <v>44620</v>
      </c>
      <c r="BF99" s="23">
        <f ca="1">IFERROR(__xludf.DUMMYFUNCTION("IFERROR(VLOOKUP(F90,IMPORTRANGE(""https://docs.google.com/spreadsheets/d/1Kvs4KS76FHFqLFIZfrDMff4kP08nblUkihrxltoGBjg/edit#gid=934712705"",""ESENCIAL!A6:BG""),5,FALSE))"),44804)</f>
        <v>44804</v>
      </c>
      <c r="BG99" s="23">
        <f t="shared" ca="1" si="13"/>
        <v>45351</v>
      </c>
      <c r="BH99" s="19" t="str">
        <f t="shared" ca="1" si="14"/>
        <v>FICHA EN TIEMPO-18 MESES</v>
      </c>
      <c r="BI99" s="19" t="str">
        <f ca="1">IFERROR(__xludf.DUMMYFUNCTION("IFERROR(VLOOKUP(F90,IMPORTRANGE(""https://docs.google.com/spreadsheets/d/1Kvs4KS76FHFqLFIZfrDMff4kP08nblUkihrxltoGBjg/edit#gid=934712705"",""ESENCIAL!A6:BG""),18,FALSE))"),"Terminada por fecha")</f>
        <v>Terminada por fecha</v>
      </c>
      <c r="BJ99" s="19" t="str">
        <f t="shared" si="15"/>
        <v>Yamboro</v>
      </c>
      <c r="BK99" s="291"/>
      <c r="BL99" s="19"/>
    </row>
    <row r="100" spans="1:64" ht="18" hidden="1" customHeight="1">
      <c r="A100" s="290"/>
      <c r="B100" s="145" t="s">
        <v>25</v>
      </c>
      <c r="C100" s="56" t="s">
        <v>1359</v>
      </c>
      <c r="D100" s="57" t="s">
        <v>27</v>
      </c>
      <c r="E100" s="57">
        <v>1082777846</v>
      </c>
      <c r="F100" s="114">
        <v>2356780</v>
      </c>
      <c r="G100" s="11" t="str">
        <f ca="1">IFERROR(__xludf.DUMMYFUNCTION("IFERROR(VLOOKUP(F91,IMPORTRANGE(""https://docs.google.com/spreadsheets/d/1Kvs4KS76FHFqLFIZfrDMff4kP08nblUkihrxltoGBjg/edit#gid=934712705"",""ESENCIAL!A6:BG""),3,FALSE))"),"TÉCNICO")</f>
        <v>TÉCNICO</v>
      </c>
      <c r="H100" s="11" t="str">
        <f ca="1">IFERROR(__xludf.DUMMYFUNCTION("IFERROR(VLOOKUP(F91,IMPORTRANGE(""https://docs.google.com/spreadsheets/d/1Kvs4KS76FHFqLFIZfrDMff4kP08nblUkihrxltoGBjg/edit#gid=934712705"",""ESENCIAL!A6:BG""),8,FALSE))"),"PRODUCCION DE CAFE")</f>
        <v>PRODUCCION DE CAFE</v>
      </c>
      <c r="I100" s="53"/>
      <c r="J100" s="30"/>
      <c r="K100" s="30"/>
      <c r="L100" s="285" t="s">
        <v>44</v>
      </c>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19" t="str">
        <f t="shared" ca="1" si="12"/>
        <v>Procede_E_P</v>
      </c>
      <c r="AV100" s="11" t="str">
        <f ca="1">IFERROR(__xludf.DUMMYFUNCTION("IFERROR(VLOOKUP(E91&amp;F91,IMPORTRANGE(""https://docs.google.com/spreadsheets/d/1Uw7-A9f9R21vMXxHZFNpYNeKFtG8_yji4HS352LGlSQ/edit?pli=1#gid=0"",""1_ACUM!A4:S""),11,FALSE))"),"EN FORMACION")</f>
        <v>EN FORMACION</v>
      </c>
      <c r="AW100" s="20" t="str">
        <f ca="1">IFERROR(__xludf.DUMMYFUNCTION("IFERROR(VLOOKUP(F91,IMPORTRANGE(""https://docs.google.com/spreadsheets/d/1Kvs4KS76FHFqLFIZfrDMff4kP08nblUkihrxltoGBjg/edit#gid=934712705"",""ESENCIAL!A6:BG""),15,FALSE))"),"AGROPECUARIO")</f>
        <v>AGROPECUARIO</v>
      </c>
      <c r="AX100" s="21">
        <f ca="1">IFERROR(__xludf.DUMMYFUNCTION("IFERROR(VLOOKUP(E91&amp;F91,IMPORTRANGE(""https://docs.google.com/spreadsheets/d/1Uw7-A9f9R21vMXxHZFNpYNeKFtG8_yji4HS352LGlSQ/edit?pli=1#gid=0"",""1_ACUM!A4:S""),12,FALSE))"),44839)</f>
        <v>44839</v>
      </c>
      <c r="AY100" s="22">
        <f ca="1">IFERROR(__xludf.DUMMYFUNCTION("IFERROR(VLOOKUP(E91&amp;F91,IMPORTRANGE(""https://docs.google.com/spreadsheets/d/1Uw7-A9f9R21vMXxHZFNpYNeKFtG8_yji4HS352LGlSQ/edit?pli=1#gid=0"",""1_ACUM!A4:S""),13,FALSE))"),0)</f>
        <v>0</v>
      </c>
      <c r="AZ100" s="22">
        <f ca="1">IFERROR(__xludf.DUMMYFUNCTION("IFERROR(VLOOKUP(E91&amp;F91,IMPORTRANGE(""https://docs.google.com/spreadsheets/d/1Uw7-A9f9R21vMXxHZFNpYNeKFtG8_yji4HS352LGlSQ/edit?pli=1#gid=0"",""1_ACUM!A4:S""),14,FALSE))"),1)</f>
        <v>1</v>
      </c>
      <c r="BA100" s="22">
        <f ca="1">IFERROR(__xludf.DUMMYFUNCTION("IFERROR(VLOOKUP(E91&amp;F91,IMPORTRANGE(""https://docs.google.com/spreadsheets/d/1Uw7-A9f9R21vMXxHZFNpYNeKFtG8_yji4HS352LGlSQ/edit?pli=1#gid=0"",""1_ACUM!A4:S""),15,FALSE))"),0)</f>
        <v>0</v>
      </c>
      <c r="BB100" s="22">
        <f ca="1">IFERROR(__xludf.DUMMYFUNCTION("IFERROR(VLOOKUP(E91&amp;F91,IMPORTRANGE(""https://docs.google.com/spreadsheets/d/1Uw7-A9f9R21vMXxHZFNpYNeKFtG8_yji4HS352LGlSQ/edit?pli=1#gid=0"",""1_ACUM!A4:S""),16,FALSE))"),0)</f>
        <v>0</v>
      </c>
      <c r="BC100" s="22">
        <f ca="1">IFERROR(__xludf.DUMMYFUNCTION("IFERROR(VLOOKUP(E91&amp;F91,IMPORTRANGE(""https://docs.google.com/spreadsheets/d/1Uw7-A9f9R21vMXxHZFNpYNeKFtG8_yji4HS352LGlSQ/edit?pli=1#gid=0"",""1_ACUM!A4:S""),17,FALSE))"),1)</f>
        <v>1</v>
      </c>
      <c r="BD100" s="23">
        <f ca="1">IFERROR(__xludf.DUMMYFUNCTION("IFERROR(VLOOKUP(E91&amp;F91,IMPORTRANGE(""https://docs.google.com/spreadsheets/d/1Uw7-A9f9R21vMXxHZFNpYNeKFtG8_yji4HS352LGlSQ/edit?pli=1#gid=0"",""1_ACUM!A4:S""),18,FALSE))"),44348)</f>
        <v>44348</v>
      </c>
      <c r="BE100" s="23">
        <f ca="1">IFERROR(__xludf.DUMMYFUNCTION("IFERROR(VLOOKUP(E91&amp;F91,IMPORTRANGE(""https://docs.google.com/spreadsheets/d/1Uw7-A9f9R21vMXxHZFNpYNeKFtG8_yji4HS352LGlSQ/edit?pli=1#gid=0"",""1_ACUM!A4:S""),19,FALSE))"),44620)</f>
        <v>44620</v>
      </c>
      <c r="BF100" s="23">
        <f ca="1">IFERROR(__xludf.DUMMYFUNCTION("IFERROR(VLOOKUP(F91,IMPORTRANGE(""https://docs.google.com/spreadsheets/d/1Kvs4KS76FHFqLFIZfrDMff4kP08nblUkihrxltoGBjg/edit#gid=934712705"",""ESENCIAL!A6:BG""),5,FALSE))"),44804)</f>
        <v>44804</v>
      </c>
      <c r="BG100" s="23">
        <f t="shared" ca="1" si="13"/>
        <v>45351</v>
      </c>
      <c r="BH100" s="19" t="str">
        <f t="shared" ca="1" si="14"/>
        <v>FICHA EN TIEMPO-18 MESES</v>
      </c>
      <c r="BI100" s="19" t="str">
        <f ca="1">IFERROR(__xludf.DUMMYFUNCTION("IFERROR(VLOOKUP(F91,IMPORTRANGE(""https://docs.google.com/spreadsheets/d/1Kvs4KS76FHFqLFIZfrDMff4kP08nblUkihrxltoGBjg/edit#gid=934712705"",""ESENCIAL!A6:BG""),18,FALSE))"),"Terminada por fecha")</f>
        <v>Terminada por fecha</v>
      </c>
      <c r="BJ100" s="19" t="str">
        <f t="shared" si="15"/>
        <v>Yamboro</v>
      </c>
      <c r="BK100" s="291"/>
      <c r="BL100" s="19"/>
    </row>
    <row r="101" spans="1:64" ht="18" hidden="1" customHeight="1">
      <c r="A101" s="290"/>
      <c r="B101" s="145" t="s">
        <v>25</v>
      </c>
      <c r="C101" s="57" t="s">
        <v>1360</v>
      </c>
      <c r="D101" s="57" t="s">
        <v>27</v>
      </c>
      <c r="E101" s="57">
        <v>1082779027</v>
      </c>
      <c r="F101" s="114">
        <v>2356780</v>
      </c>
      <c r="G101" s="11" t="str">
        <f ca="1">IFERROR(__xludf.DUMMYFUNCTION("IFERROR(VLOOKUP(F92,IMPORTRANGE(""https://docs.google.com/spreadsheets/d/1Kvs4KS76FHFqLFIZfrDMff4kP08nblUkihrxltoGBjg/edit#gid=934712705"",""ESENCIAL!A6:BG""),3,FALSE))"),"TÉCNICO")</f>
        <v>TÉCNICO</v>
      </c>
      <c r="H101" s="11" t="str">
        <f ca="1">IFERROR(__xludf.DUMMYFUNCTION("IFERROR(VLOOKUP(F92,IMPORTRANGE(""https://docs.google.com/spreadsheets/d/1Kvs4KS76FHFqLFIZfrDMff4kP08nblUkihrxltoGBjg/edit#gid=934712705"",""ESENCIAL!A6:BG""),8,FALSE))"),"PRODUCCION DE CAFE")</f>
        <v>PRODUCCION DE CAFE</v>
      </c>
      <c r="I101" s="53"/>
      <c r="J101" s="30"/>
      <c r="K101" s="30"/>
      <c r="L101" s="285" t="s">
        <v>44</v>
      </c>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19" t="str">
        <f t="shared" ca="1" si="12"/>
        <v>NO_CUMPLE</v>
      </c>
      <c r="AV101" s="11" t="str">
        <f ca="1">IFERROR(__xludf.DUMMYFUNCTION("IFERROR(VLOOKUP(E92&amp;F92,IMPORTRANGE(""https://docs.google.com/spreadsheets/d/1Uw7-A9f9R21vMXxHZFNpYNeKFtG8_yji4HS352LGlSQ/edit?pli=1#gid=0"",""1_ACUM!A4:S""),11,FALSE))"),"EN FORMACION")</f>
        <v>EN FORMACION</v>
      </c>
      <c r="AW101" s="20" t="str">
        <f ca="1">IFERROR(__xludf.DUMMYFUNCTION("IFERROR(VLOOKUP(F92,IMPORTRANGE(""https://docs.google.com/spreadsheets/d/1Kvs4KS76FHFqLFIZfrDMff4kP08nblUkihrxltoGBjg/edit#gid=934712705"",""ESENCIAL!A6:BG""),15,FALSE))"),"AGROPECUARIO")</f>
        <v>AGROPECUARIO</v>
      </c>
      <c r="AX101" s="21">
        <f ca="1">IFERROR(__xludf.DUMMYFUNCTION("IFERROR(VLOOKUP(E92&amp;F92,IMPORTRANGE(""https://docs.google.com/spreadsheets/d/1Uw7-A9f9R21vMXxHZFNpYNeKFtG8_yji4HS352LGlSQ/edit?pli=1#gid=0"",""1_ACUM!A4:S""),12,FALSE))"),44839)</f>
        <v>44839</v>
      </c>
      <c r="AY101" s="22">
        <f ca="1">IFERROR(__xludf.DUMMYFUNCTION("IFERROR(VLOOKUP(E92&amp;F92,IMPORTRANGE(""https://docs.google.com/spreadsheets/d/1Uw7-A9f9R21vMXxHZFNpYNeKFtG8_yji4HS352LGlSQ/edit?pli=1#gid=0"",""1_ACUM!A4:S""),13,FALSE))"),9)</f>
        <v>9</v>
      </c>
      <c r="AZ101" s="22">
        <f ca="1">IFERROR(__xludf.DUMMYFUNCTION("IFERROR(VLOOKUP(E92&amp;F92,IMPORTRANGE(""https://docs.google.com/spreadsheets/d/1Uw7-A9f9R21vMXxHZFNpYNeKFtG8_yji4HS352LGlSQ/edit?pli=1#gid=0"",""1_ACUM!A4:S""),14,FALSE))"),1)</f>
        <v>1</v>
      </c>
      <c r="BA101" s="22">
        <f ca="1">IFERROR(__xludf.DUMMYFUNCTION("IFERROR(VLOOKUP(E92&amp;F92,IMPORTRANGE(""https://docs.google.com/spreadsheets/d/1Uw7-A9f9R21vMXxHZFNpYNeKFtG8_yji4HS352LGlSQ/edit?pli=1#gid=0"",""1_ACUM!A4:S""),15,FALSE))"),7)</f>
        <v>7</v>
      </c>
      <c r="BB101" s="22">
        <f ca="1">IFERROR(__xludf.DUMMYFUNCTION("IFERROR(VLOOKUP(E92&amp;F92,IMPORTRANGE(""https://docs.google.com/spreadsheets/d/1Uw7-A9f9R21vMXxHZFNpYNeKFtG8_yji4HS352LGlSQ/edit?pli=1#gid=0"",""1_ACUM!A4:S""),16,FALSE))"),19)</f>
        <v>19</v>
      </c>
      <c r="BC101" s="22">
        <f ca="1">IFERROR(__xludf.DUMMYFUNCTION("IFERROR(VLOOKUP(E92&amp;F92,IMPORTRANGE(""https://docs.google.com/spreadsheets/d/1Uw7-A9f9R21vMXxHZFNpYNeKFtG8_yji4HS352LGlSQ/edit?pli=1#gid=0"",""1_ACUM!A4:S""),17,FALSE))"),36)</f>
        <v>36</v>
      </c>
      <c r="BD101" s="23">
        <f ca="1">IFERROR(__xludf.DUMMYFUNCTION("IFERROR(VLOOKUP(E92&amp;F92,IMPORTRANGE(""https://docs.google.com/spreadsheets/d/1Uw7-A9f9R21vMXxHZFNpYNeKFtG8_yji4HS352LGlSQ/edit?pli=1#gid=0"",""1_ACUM!A4:S""),18,FALSE))"),44348)</f>
        <v>44348</v>
      </c>
      <c r="BE101" s="23">
        <f ca="1">IFERROR(__xludf.DUMMYFUNCTION("IFERROR(VLOOKUP(E92&amp;F92,IMPORTRANGE(""https://docs.google.com/spreadsheets/d/1Uw7-A9f9R21vMXxHZFNpYNeKFtG8_yji4HS352LGlSQ/edit?pli=1#gid=0"",""1_ACUM!A4:S""),19,FALSE))"),44620)</f>
        <v>44620</v>
      </c>
      <c r="BF101" s="23">
        <f ca="1">IFERROR(__xludf.DUMMYFUNCTION("IFERROR(VLOOKUP(F92,IMPORTRANGE(""https://docs.google.com/spreadsheets/d/1Kvs4KS76FHFqLFIZfrDMff4kP08nblUkihrxltoGBjg/edit#gid=934712705"",""ESENCIAL!A6:BG""),5,FALSE))"),44804)</f>
        <v>44804</v>
      </c>
      <c r="BG101" s="23">
        <f t="shared" ca="1" si="13"/>
        <v>45351</v>
      </c>
      <c r="BH101" s="19" t="str">
        <f t="shared" ca="1" si="14"/>
        <v>FICHA EN TIEMPO-18 MESES</v>
      </c>
      <c r="BI101" s="19" t="str">
        <f ca="1">IFERROR(__xludf.DUMMYFUNCTION("IFERROR(VLOOKUP(F92,IMPORTRANGE(""https://docs.google.com/spreadsheets/d/1Kvs4KS76FHFqLFIZfrDMff4kP08nblUkihrxltoGBjg/edit#gid=934712705"",""ESENCIAL!A6:BG""),18,FALSE))"),"Terminada por fecha")</f>
        <v>Terminada por fecha</v>
      </c>
      <c r="BJ101" s="19" t="str">
        <f t="shared" si="15"/>
        <v>Yamboro</v>
      </c>
      <c r="BK101" s="291"/>
      <c r="BL101" s="19"/>
    </row>
    <row r="102" spans="1:64" ht="18" hidden="1" customHeight="1">
      <c r="A102" s="290"/>
      <c r="B102" s="145" t="s">
        <v>25</v>
      </c>
      <c r="C102" s="57" t="s">
        <v>1361</v>
      </c>
      <c r="D102" s="57" t="s">
        <v>27</v>
      </c>
      <c r="E102" s="57">
        <v>1082779083</v>
      </c>
      <c r="F102" s="114">
        <v>2356780</v>
      </c>
      <c r="G102" s="11" t="str">
        <f ca="1">IFERROR(__xludf.DUMMYFUNCTION("IFERROR(VLOOKUP(F93,IMPORTRANGE(""https://docs.google.com/spreadsheets/d/1Kvs4KS76FHFqLFIZfrDMff4kP08nblUkihrxltoGBjg/edit#gid=934712705"",""ESENCIAL!A6:BG""),3,FALSE))"),"TÉCNICO")</f>
        <v>TÉCNICO</v>
      </c>
      <c r="H102" s="11" t="str">
        <f ca="1">IFERROR(__xludf.DUMMYFUNCTION("IFERROR(VLOOKUP(F93,IMPORTRANGE(""https://docs.google.com/spreadsheets/d/1Kvs4KS76FHFqLFIZfrDMff4kP08nblUkihrxltoGBjg/edit#gid=934712705"",""ESENCIAL!A6:BG""),8,FALSE))"),"PRODUCCION DE CAFE")</f>
        <v>PRODUCCION DE CAFE</v>
      </c>
      <c r="I102" s="53"/>
      <c r="J102" s="30"/>
      <c r="K102" s="30"/>
      <c r="L102" s="285" t="s">
        <v>44</v>
      </c>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19" t="str">
        <f t="shared" ca="1" si="12"/>
        <v>NO_CUMPLE</v>
      </c>
      <c r="AV102" s="11" t="str">
        <f ca="1">IFERROR(__xludf.DUMMYFUNCTION("IFERROR(VLOOKUP(E93&amp;F93,IMPORTRANGE(""https://docs.google.com/spreadsheets/d/1Uw7-A9f9R21vMXxHZFNpYNeKFtG8_yji4HS352LGlSQ/edit?pli=1#gid=0"",""1_ACUM!A4:S""),11,FALSE))"),"EN FORMACION")</f>
        <v>EN FORMACION</v>
      </c>
      <c r="AW102" s="20" t="str">
        <f ca="1">IFERROR(__xludf.DUMMYFUNCTION("IFERROR(VLOOKUP(F93,IMPORTRANGE(""https://docs.google.com/spreadsheets/d/1Kvs4KS76FHFqLFIZfrDMff4kP08nblUkihrxltoGBjg/edit#gid=934712705"",""ESENCIAL!A6:BG""),15,FALSE))"),"AGROPECUARIO")</f>
        <v>AGROPECUARIO</v>
      </c>
      <c r="AX102" s="21">
        <f ca="1">IFERROR(__xludf.DUMMYFUNCTION("IFERROR(VLOOKUP(E93&amp;F93,IMPORTRANGE(""https://docs.google.com/spreadsheets/d/1Uw7-A9f9R21vMXxHZFNpYNeKFtG8_yji4HS352LGlSQ/edit?pli=1#gid=0"",""1_ACUM!A4:S""),12,FALSE))"),44839)</f>
        <v>44839</v>
      </c>
      <c r="AY102" s="22">
        <f ca="1">IFERROR(__xludf.DUMMYFUNCTION("IFERROR(VLOOKUP(E93&amp;F93,IMPORTRANGE(""https://docs.google.com/spreadsheets/d/1Uw7-A9f9R21vMXxHZFNpYNeKFtG8_yji4HS352LGlSQ/edit?pli=1#gid=0"",""1_ACUM!A4:S""),13,FALSE))"),14)</f>
        <v>14</v>
      </c>
      <c r="AZ102" s="22">
        <f ca="1">IFERROR(__xludf.DUMMYFUNCTION("IFERROR(VLOOKUP(E93&amp;F93,IMPORTRANGE(""https://docs.google.com/spreadsheets/d/1Uw7-A9f9R21vMXxHZFNpYNeKFtG8_yji4HS352LGlSQ/edit?pli=1#gid=0"",""1_ACUM!A4:S""),14,FALSE))"),1)</f>
        <v>1</v>
      </c>
      <c r="BA102" s="22">
        <f ca="1">IFERROR(__xludf.DUMMYFUNCTION("IFERROR(VLOOKUP(E93&amp;F93,IMPORTRANGE(""https://docs.google.com/spreadsheets/d/1Uw7-A9f9R21vMXxHZFNpYNeKFtG8_yji4HS352LGlSQ/edit?pli=1#gid=0"",""1_ACUM!A4:S""),15,FALSE))"),7)</f>
        <v>7</v>
      </c>
      <c r="BB102" s="22">
        <f ca="1">IFERROR(__xludf.DUMMYFUNCTION("IFERROR(VLOOKUP(E93&amp;F93,IMPORTRANGE(""https://docs.google.com/spreadsheets/d/1Uw7-A9f9R21vMXxHZFNpYNeKFtG8_yji4HS352LGlSQ/edit?pli=1#gid=0"",""1_ACUM!A4:S""),16,FALSE))"),44)</f>
        <v>44</v>
      </c>
      <c r="BC102" s="22">
        <f ca="1">IFERROR(__xludf.DUMMYFUNCTION("IFERROR(VLOOKUP(E93&amp;F93,IMPORTRANGE(""https://docs.google.com/spreadsheets/d/1Uw7-A9f9R21vMXxHZFNpYNeKFtG8_yji4HS352LGlSQ/edit?pli=1#gid=0"",""1_ACUM!A4:S""),17,FALSE))"),66)</f>
        <v>66</v>
      </c>
      <c r="BD102" s="23">
        <f ca="1">IFERROR(__xludf.DUMMYFUNCTION("IFERROR(VLOOKUP(E93&amp;F93,IMPORTRANGE(""https://docs.google.com/spreadsheets/d/1Uw7-A9f9R21vMXxHZFNpYNeKFtG8_yji4HS352LGlSQ/edit?pli=1#gid=0"",""1_ACUM!A4:S""),18,FALSE))"),44348)</f>
        <v>44348</v>
      </c>
      <c r="BE102" s="23">
        <f ca="1">IFERROR(__xludf.DUMMYFUNCTION("IFERROR(VLOOKUP(E93&amp;F93,IMPORTRANGE(""https://docs.google.com/spreadsheets/d/1Uw7-A9f9R21vMXxHZFNpYNeKFtG8_yji4HS352LGlSQ/edit?pli=1#gid=0"",""1_ACUM!A4:S""),19,FALSE))"),44620)</f>
        <v>44620</v>
      </c>
      <c r="BF102" s="23">
        <f ca="1">IFERROR(__xludf.DUMMYFUNCTION("IFERROR(VLOOKUP(F93,IMPORTRANGE(""https://docs.google.com/spreadsheets/d/1Kvs4KS76FHFqLFIZfrDMff4kP08nblUkihrxltoGBjg/edit#gid=934712705"",""ESENCIAL!A6:BG""),5,FALSE))"),44804)</f>
        <v>44804</v>
      </c>
      <c r="BG102" s="23">
        <f t="shared" ca="1" si="13"/>
        <v>45351</v>
      </c>
      <c r="BH102" s="19" t="str">
        <f t="shared" ca="1" si="14"/>
        <v>FICHA EN TIEMPO-18 MESES</v>
      </c>
      <c r="BI102" s="19" t="str">
        <f ca="1">IFERROR(__xludf.DUMMYFUNCTION("IFERROR(VLOOKUP(F93,IMPORTRANGE(""https://docs.google.com/spreadsheets/d/1Kvs4KS76FHFqLFIZfrDMff4kP08nblUkihrxltoGBjg/edit#gid=934712705"",""ESENCIAL!A6:BG""),18,FALSE))"),"Terminada por fecha")</f>
        <v>Terminada por fecha</v>
      </c>
      <c r="BJ102" s="19" t="str">
        <f t="shared" si="15"/>
        <v>Yamboro</v>
      </c>
      <c r="BK102" s="291"/>
      <c r="BL102" s="19"/>
    </row>
    <row r="103" spans="1:64" ht="18" hidden="1" customHeight="1">
      <c r="A103" s="290"/>
      <c r="B103" s="145" t="s">
        <v>25</v>
      </c>
      <c r="C103" s="57" t="s">
        <v>1362</v>
      </c>
      <c r="D103" s="57" t="s">
        <v>27</v>
      </c>
      <c r="E103" s="57">
        <v>1082779217</v>
      </c>
      <c r="F103" s="114">
        <v>2356780</v>
      </c>
      <c r="G103" s="11" t="str">
        <f ca="1">IFERROR(__xludf.DUMMYFUNCTION("IFERROR(VLOOKUP(F94,IMPORTRANGE(""https://docs.google.com/spreadsheets/d/1Kvs4KS76FHFqLFIZfrDMff4kP08nblUkihrxltoGBjg/edit#gid=934712705"",""ESENCIAL!A6:BG""),3,FALSE))"),"TÉCNICO")</f>
        <v>TÉCNICO</v>
      </c>
      <c r="H103" s="11" t="str">
        <f ca="1">IFERROR(__xludf.DUMMYFUNCTION("IFERROR(VLOOKUP(F94,IMPORTRANGE(""https://docs.google.com/spreadsheets/d/1Kvs4KS76FHFqLFIZfrDMff4kP08nblUkihrxltoGBjg/edit#gid=934712705"",""ESENCIAL!A6:BG""),8,FALSE))"),"PRODUCCION DE CAFE")</f>
        <v>PRODUCCION DE CAFE</v>
      </c>
      <c r="I103" s="53"/>
      <c r="J103" s="30"/>
      <c r="K103" s="30"/>
      <c r="L103" s="285" t="s">
        <v>44</v>
      </c>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19" t="str">
        <f t="shared" ca="1" si="12"/>
        <v>NO_CUMPLE</v>
      </c>
      <c r="AV103" s="11" t="str">
        <f ca="1">IFERROR(__xludf.DUMMYFUNCTION("IFERROR(VLOOKUP(E94&amp;F94,IMPORTRANGE(""https://docs.google.com/spreadsheets/d/1Uw7-A9f9R21vMXxHZFNpYNeKFtG8_yji4HS352LGlSQ/edit?pli=1#gid=0"",""1_ACUM!A4:S""),11,FALSE))"),"EN FORMACION")</f>
        <v>EN FORMACION</v>
      </c>
      <c r="AW103" s="20" t="str">
        <f ca="1">IFERROR(__xludf.DUMMYFUNCTION("IFERROR(VLOOKUP(F94,IMPORTRANGE(""https://docs.google.com/spreadsheets/d/1Kvs4KS76FHFqLFIZfrDMff4kP08nblUkihrxltoGBjg/edit#gid=934712705"",""ESENCIAL!A6:BG""),15,FALSE))"),"AGROPECUARIO")</f>
        <v>AGROPECUARIO</v>
      </c>
      <c r="AX103" s="21">
        <f ca="1">IFERROR(__xludf.DUMMYFUNCTION("IFERROR(VLOOKUP(E94&amp;F94,IMPORTRANGE(""https://docs.google.com/spreadsheets/d/1Uw7-A9f9R21vMXxHZFNpYNeKFtG8_yji4HS352LGlSQ/edit?pli=1#gid=0"",""1_ACUM!A4:S""),12,FALSE))"),44839)</f>
        <v>44839</v>
      </c>
      <c r="AY103" s="22">
        <f ca="1">IFERROR(__xludf.DUMMYFUNCTION("IFERROR(VLOOKUP(E94&amp;F94,IMPORTRANGE(""https://docs.google.com/spreadsheets/d/1Uw7-A9f9R21vMXxHZFNpYNeKFtG8_yji4HS352LGlSQ/edit?pli=1#gid=0"",""1_ACUM!A4:S""),13,FALSE))"),14)</f>
        <v>14</v>
      </c>
      <c r="AZ103" s="22">
        <f ca="1">IFERROR(__xludf.DUMMYFUNCTION("IFERROR(VLOOKUP(E94&amp;F94,IMPORTRANGE(""https://docs.google.com/spreadsheets/d/1Uw7-A9f9R21vMXxHZFNpYNeKFtG8_yji4HS352LGlSQ/edit?pli=1#gid=0"",""1_ACUM!A4:S""),14,FALSE))"),1)</f>
        <v>1</v>
      </c>
      <c r="BA103" s="22">
        <f ca="1">IFERROR(__xludf.DUMMYFUNCTION("IFERROR(VLOOKUP(E94&amp;F94,IMPORTRANGE(""https://docs.google.com/spreadsheets/d/1Uw7-A9f9R21vMXxHZFNpYNeKFtG8_yji4HS352LGlSQ/edit?pli=1#gid=0"",""1_ACUM!A4:S""),15,FALSE))"),7)</f>
        <v>7</v>
      </c>
      <c r="BB103" s="22">
        <f ca="1">IFERROR(__xludf.DUMMYFUNCTION("IFERROR(VLOOKUP(E94&amp;F94,IMPORTRANGE(""https://docs.google.com/spreadsheets/d/1Uw7-A9f9R21vMXxHZFNpYNeKFtG8_yji4HS352LGlSQ/edit?pli=1#gid=0"",""1_ACUM!A4:S""),16,FALSE))"),44)</f>
        <v>44</v>
      </c>
      <c r="BC103" s="22">
        <f ca="1">IFERROR(__xludf.DUMMYFUNCTION("IFERROR(VLOOKUP(E94&amp;F94,IMPORTRANGE(""https://docs.google.com/spreadsheets/d/1Uw7-A9f9R21vMXxHZFNpYNeKFtG8_yji4HS352LGlSQ/edit?pli=1#gid=0"",""1_ACUM!A4:S""),17,FALSE))"),66)</f>
        <v>66</v>
      </c>
      <c r="BD103" s="23">
        <f ca="1">IFERROR(__xludf.DUMMYFUNCTION("IFERROR(VLOOKUP(E94&amp;F94,IMPORTRANGE(""https://docs.google.com/spreadsheets/d/1Uw7-A9f9R21vMXxHZFNpYNeKFtG8_yji4HS352LGlSQ/edit?pli=1#gid=0"",""1_ACUM!A4:S""),18,FALSE))"),44348)</f>
        <v>44348</v>
      </c>
      <c r="BE103" s="23">
        <f ca="1">IFERROR(__xludf.DUMMYFUNCTION("IFERROR(VLOOKUP(E94&amp;F94,IMPORTRANGE(""https://docs.google.com/spreadsheets/d/1Uw7-A9f9R21vMXxHZFNpYNeKFtG8_yji4HS352LGlSQ/edit?pli=1#gid=0"",""1_ACUM!A4:S""),19,FALSE))"),44620)</f>
        <v>44620</v>
      </c>
      <c r="BF103" s="23">
        <f ca="1">IFERROR(__xludf.DUMMYFUNCTION("IFERROR(VLOOKUP(F94,IMPORTRANGE(""https://docs.google.com/spreadsheets/d/1Kvs4KS76FHFqLFIZfrDMff4kP08nblUkihrxltoGBjg/edit#gid=934712705"",""ESENCIAL!A6:BG""),5,FALSE))"),44804)</f>
        <v>44804</v>
      </c>
      <c r="BG103" s="23">
        <f t="shared" ca="1" si="13"/>
        <v>45351</v>
      </c>
      <c r="BH103" s="19" t="str">
        <f t="shared" ca="1" si="14"/>
        <v>FICHA EN TIEMPO-18 MESES</v>
      </c>
      <c r="BI103" s="19" t="str">
        <f ca="1">IFERROR(__xludf.DUMMYFUNCTION("IFERROR(VLOOKUP(F94,IMPORTRANGE(""https://docs.google.com/spreadsheets/d/1Kvs4KS76FHFqLFIZfrDMff4kP08nblUkihrxltoGBjg/edit#gid=934712705"",""ESENCIAL!A6:BG""),18,FALSE))"),"Terminada por fecha")</f>
        <v>Terminada por fecha</v>
      </c>
      <c r="BJ103" s="19" t="str">
        <f t="shared" si="15"/>
        <v>Yamboro</v>
      </c>
      <c r="BK103" s="291"/>
      <c r="BL103" s="19"/>
    </row>
    <row r="104" spans="1:64" s="180" customFormat="1" ht="18" hidden="1" customHeight="1">
      <c r="A104" s="290"/>
      <c r="B104" s="145" t="s">
        <v>25</v>
      </c>
      <c r="C104" s="57" t="s">
        <v>1363</v>
      </c>
      <c r="D104" s="57" t="s">
        <v>27</v>
      </c>
      <c r="E104" s="57">
        <v>1082779542</v>
      </c>
      <c r="F104" s="114">
        <v>2356780</v>
      </c>
      <c r="G104" s="11" t="str">
        <f ca="1">IFERROR(__xludf.DUMMYFUNCTION("IFERROR(VLOOKUP(F95,IMPORTRANGE(""https://docs.google.com/spreadsheets/d/1Kvs4KS76FHFqLFIZfrDMff4kP08nblUkihrxltoGBjg/edit#gid=934712705"",""ESENCIAL!A6:BG""),3,FALSE))"),"TÉCNICO")</f>
        <v>TÉCNICO</v>
      </c>
      <c r="H104" s="11" t="str">
        <f ca="1">IFERROR(__xludf.DUMMYFUNCTION("IFERROR(VLOOKUP(F95,IMPORTRANGE(""https://docs.google.com/spreadsheets/d/1Kvs4KS76FHFqLFIZfrDMff4kP08nblUkihrxltoGBjg/edit#gid=934712705"",""ESENCIAL!A6:BG""),8,FALSE))"),"PRODUCCION DE CAFE")</f>
        <v>PRODUCCION DE CAFE</v>
      </c>
      <c r="I104" s="53"/>
      <c r="J104" s="30"/>
      <c r="K104" s="30"/>
      <c r="L104" s="285" t="s">
        <v>44</v>
      </c>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19" t="str">
        <f t="shared" ca="1" si="12"/>
        <v>NO_CUMPLE</v>
      </c>
      <c r="AV104" s="11" t="str">
        <f ca="1">IFERROR(__xludf.DUMMYFUNCTION("IFERROR(VLOOKUP(E95&amp;F95,IMPORTRANGE(""https://docs.google.com/spreadsheets/d/1Uw7-A9f9R21vMXxHZFNpYNeKFtG8_yji4HS352LGlSQ/edit?pli=1#gid=0"",""1_ACUM!A4:S""),11,FALSE))"),"EN FORMACION")</f>
        <v>EN FORMACION</v>
      </c>
      <c r="AW104" s="20" t="str">
        <f ca="1">IFERROR(__xludf.DUMMYFUNCTION("IFERROR(VLOOKUP(F95,IMPORTRANGE(""https://docs.google.com/spreadsheets/d/1Kvs4KS76FHFqLFIZfrDMff4kP08nblUkihrxltoGBjg/edit#gid=934712705"",""ESENCIAL!A6:BG""),15,FALSE))"),"AGROPECUARIO")</f>
        <v>AGROPECUARIO</v>
      </c>
      <c r="AX104" s="21">
        <f ca="1">IFERROR(__xludf.DUMMYFUNCTION("IFERROR(VLOOKUP(E95&amp;F95,IMPORTRANGE(""https://docs.google.com/spreadsheets/d/1Uw7-A9f9R21vMXxHZFNpYNeKFtG8_yji4HS352LGlSQ/edit?pli=1#gid=0"",""1_ACUM!A4:S""),12,FALSE))"),44839)</f>
        <v>44839</v>
      </c>
      <c r="AY104" s="22">
        <f ca="1">IFERROR(__xludf.DUMMYFUNCTION("IFERROR(VLOOKUP(E95&amp;F95,IMPORTRANGE(""https://docs.google.com/spreadsheets/d/1Uw7-A9f9R21vMXxHZFNpYNeKFtG8_yji4HS352LGlSQ/edit?pli=1#gid=0"",""1_ACUM!A4:S""),13,FALSE))"),1)</f>
        <v>1</v>
      </c>
      <c r="AZ104" s="22">
        <f ca="1">IFERROR(__xludf.DUMMYFUNCTION("IFERROR(VLOOKUP(E95&amp;F95,IMPORTRANGE(""https://docs.google.com/spreadsheets/d/1Uw7-A9f9R21vMXxHZFNpYNeKFtG8_yji4HS352LGlSQ/edit?pli=1#gid=0"",""1_ACUM!A4:S""),14,FALSE))"),1)</f>
        <v>1</v>
      </c>
      <c r="BA104" s="22">
        <f ca="1">IFERROR(__xludf.DUMMYFUNCTION("IFERROR(VLOOKUP(E95&amp;F95,IMPORTRANGE(""https://docs.google.com/spreadsheets/d/1Uw7-A9f9R21vMXxHZFNpYNeKFtG8_yji4HS352LGlSQ/edit?pli=1#gid=0"",""1_ACUM!A4:S""),15,FALSE))"),0)</f>
        <v>0</v>
      </c>
      <c r="BB104" s="22">
        <f ca="1">IFERROR(__xludf.DUMMYFUNCTION("IFERROR(VLOOKUP(E95&amp;F95,IMPORTRANGE(""https://docs.google.com/spreadsheets/d/1Uw7-A9f9R21vMXxHZFNpYNeKFtG8_yji4HS352LGlSQ/edit?pli=1#gid=0"",""1_ACUM!A4:S""),16,FALSE))"),0)</f>
        <v>0</v>
      </c>
      <c r="BC104" s="22">
        <f ca="1">IFERROR(__xludf.DUMMYFUNCTION("IFERROR(VLOOKUP(E95&amp;F95,IMPORTRANGE(""https://docs.google.com/spreadsheets/d/1Uw7-A9f9R21vMXxHZFNpYNeKFtG8_yji4HS352LGlSQ/edit?pli=1#gid=0"",""1_ACUM!A4:S""),17,FALSE))"),2)</f>
        <v>2</v>
      </c>
      <c r="BD104" s="23">
        <f ca="1">IFERROR(__xludf.DUMMYFUNCTION("IFERROR(VLOOKUP(E95&amp;F95,IMPORTRANGE(""https://docs.google.com/spreadsheets/d/1Uw7-A9f9R21vMXxHZFNpYNeKFtG8_yji4HS352LGlSQ/edit?pli=1#gid=0"",""1_ACUM!A4:S""),18,FALSE))"),44348)</f>
        <v>44348</v>
      </c>
      <c r="BE104" s="23">
        <f ca="1">IFERROR(__xludf.DUMMYFUNCTION("IFERROR(VLOOKUP(E95&amp;F95,IMPORTRANGE(""https://docs.google.com/spreadsheets/d/1Uw7-A9f9R21vMXxHZFNpYNeKFtG8_yji4HS352LGlSQ/edit?pli=1#gid=0"",""1_ACUM!A4:S""),19,FALSE))"),44620)</f>
        <v>44620</v>
      </c>
      <c r="BF104" s="23">
        <f ca="1">IFERROR(__xludf.DUMMYFUNCTION("IFERROR(VLOOKUP(F95,IMPORTRANGE(""https://docs.google.com/spreadsheets/d/1Kvs4KS76FHFqLFIZfrDMff4kP08nblUkihrxltoGBjg/edit#gid=934712705"",""ESENCIAL!A6:BG""),5,FALSE))"),44804)</f>
        <v>44804</v>
      </c>
      <c r="BG104" s="23">
        <f t="shared" ca="1" si="13"/>
        <v>45351</v>
      </c>
      <c r="BH104" s="19" t="str">
        <f t="shared" ca="1" si="14"/>
        <v>FICHA EN TIEMPO-18 MESES</v>
      </c>
      <c r="BI104" s="19" t="str">
        <f ca="1">IFERROR(__xludf.DUMMYFUNCTION("IFERROR(VLOOKUP(F95,IMPORTRANGE(""https://docs.google.com/spreadsheets/d/1Kvs4KS76FHFqLFIZfrDMff4kP08nblUkihrxltoGBjg/edit#gid=934712705"",""ESENCIAL!A6:BG""),18,FALSE))"),"Terminada por fecha")</f>
        <v>Terminada por fecha</v>
      </c>
      <c r="BJ104" s="19" t="str">
        <f t="shared" si="15"/>
        <v>Yamboro</v>
      </c>
      <c r="BK104" s="295"/>
      <c r="BL104" s="173"/>
    </row>
    <row r="105" spans="1:64" s="180" customFormat="1" ht="18" hidden="1" customHeight="1">
      <c r="A105" s="290"/>
      <c r="B105" s="145" t="s">
        <v>25</v>
      </c>
      <c r="C105" s="57" t="s">
        <v>1364</v>
      </c>
      <c r="D105" s="57" t="s">
        <v>27</v>
      </c>
      <c r="E105" s="57">
        <v>1082779671</v>
      </c>
      <c r="F105" s="114">
        <v>2356780</v>
      </c>
      <c r="G105" s="11" t="str">
        <f ca="1">IFERROR(__xludf.DUMMYFUNCTION("IFERROR(VLOOKUP(F96,IMPORTRANGE(""https://docs.google.com/spreadsheets/d/1Kvs4KS76FHFqLFIZfrDMff4kP08nblUkihrxltoGBjg/edit#gid=934712705"",""ESENCIAL!A6:BG""),3,FALSE))"),"TÉCNICO")</f>
        <v>TÉCNICO</v>
      </c>
      <c r="H105" s="11" t="str">
        <f ca="1">IFERROR(__xludf.DUMMYFUNCTION("IFERROR(VLOOKUP(F96,IMPORTRANGE(""https://docs.google.com/spreadsheets/d/1Kvs4KS76FHFqLFIZfrDMff4kP08nblUkihrxltoGBjg/edit#gid=934712705"",""ESENCIAL!A6:BG""),8,FALSE))"),"PRODUCCION DE CAFE")</f>
        <v>PRODUCCION DE CAFE</v>
      </c>
      <c r="I105" s="53"/>
      <c r="J105" s="30"/>
      <c r="K105" s="30"/>
      <c r="L105" s="285" t="s">
        <v>44</v>
      </c>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19" t="str">
        <f t="shared" ca="1" si="12"/>
        <v>NO_CUMPLE</v>
      </c>
      <c r="AV105" s="11" t="str">
        <f ca="1">IFERROR(__xludf.DUMMYFUNCTION("IFERROR(VLOOKUP(E96&amp;F96,IMPORTRANGE(""https://docs.google.com/spreadsheets/d/1Uw7-A9f9R21vMXxHZFNpYNeKFtG8_yji4HS352LGlSQ/edit?pli=1#gid=0"",""1_ACUM!A4:S""),11,FALSE))"),"EN FORMACION")</f>
        <v>EN FORMACION</v>
      </c>
      <c r="AW105" s="20" t="str">
        <f ca="1">IFERROR(__xludf.DUMMYFUNCTION("IFERROR(VLOOKUP(F96,IMPORTRANGE(""https://docs.google.com/spreadsheets/d/1Kvs4KS76FHFqLFIZfrDMff4kP08nblUkihrxltoGBjg/edit#gid=934712705"",""ESENCIAL!A6:BG""),15,FALSE))"),"AGROPECUARIO")</f>
        <v>AGROPECUARIO</v>
      </c>
      <c r="AX105" s="21">
        <f ca="1">IFERROR(__xludf.DUMMYFUNCTION("IFERROR(VLOOKUP(E96&amp;F96,IMPORTRANGE(""https://docs.google.com/spreadsheets/d/1Uw7-A9f9R21vMXxHZFNpYNeKFtG8_yji4HS352LGlSQ/edit?pli=1#gid=0"",""1_ACUM!A4:S""),12,FALSE))"),44839)</f>
        <v>44839</v>
      </c>
      <c r="AY105" s="22">
        <f ca="1">IFERROR(__xludf.DUMMYFUNCTION("IFERROR(VLOOKUP(E96&amp;F96,IMPORTRANGE(""https://docs.google.com/spreadsheets/d/1Uw7-A9f9R21vMXxHZFNpYNeKFtG8_yji4HS352LGlSQ/edit?pli=1#gid=0"",""1_ACUM!A4:S""),13,FALSE))"),13)</f>
        <v>13</v>
      </c>
      <c r="AZ105" s="22">
        <f ca="1">IFERROR(__xludf.DUMMYFUNCTION("IFERROR(VLOOKUP(E96&amp;F96,IMPORTRANGE(""https://docs.google.com/spreadsheets/d/1Uw7-A9f9R21vMXxHZFNpYNeKFtG8_yji4HS352LGlSQ/edit?pli=1#gid=0"",""1_ACUM!A4:S""),14,FALSE))"),1)</f>
        <v>1</v>
      </c>
      <c r="BA105" s="22">
        <f ca="1">IFERROR(__xludf.DUMMYFUNCTION("IFERROR(VLOOKUP(E96&amp;F96,IMPORTRANGE(""https://docs.google.com/spreadsheets/d/1Uw7-A9f9R21vMXxHZFNpYNeKFtG8_yji4HS352LGlSQ/edit?pli=1#gid=0"",""1_ACUM!A4:S""),15,FALSE))"),7)</f>
        <v>7</v>
      </c>
      <c r="BB105" s="22">
        <f ca="1">IFERROR(__xludf.DUMMYFUNCTION("IFERROR(VLOOKUP(E96&amp;F96,IMPORTRANGE(""https://docs.google.com/spreadsheets/d/1Uw7-A9f9R21vMXxHZFNpYNeKFtG8_yji4HS352LGlSQ/edit?pli=1#gid=0"",""1_ACUM!A4:S""),16,FALSE))"),29)</f>
        <v>29</v>
      </c>
      <c r="BC105" s="22">
        <f ca="1">IFERROR(__xludf.DUMMYFUNCTION("IFERROR(VLOOKUP(E96&amp;F96,IMPORTRANGE(""https://docs.google.com/spreadsheets/d/1Uw7-A9f9R21vMXxHZFNpYNeKFtG8_yji4HS352LGlSQ/edit?pli=1#gid=0"",""1_ACUM!A4:S""),17,FALSE))"),50)</f>
        <v>50</v>
      </c>
      <c r="BD105" s="23">
        <f ca="1">IFERROR(__xludf.DUMMYFUNCTION("IFERROR(VLOOKUP(E96&amp;F96,IMPORTRANGE(""https://docs.google.com/spreadsheets/d/1Uw7-A9f9R21vMXxHZFNpYNeKFtG8_yji4HS352LGlSQ/edit?pli=1#gid=0"",""1_ACUM!A4:S""),18,FALSE))"),44348)</f>
        <v>44348</v>
      </c>
      <c r="BE105" s="23">
        <f ca="1">IFERROR(__xludf.DUMMYFUNCTION("IFERROR(VLOOKUP(E96&amp;F96,IMPORTRANGE(""https://docs.google.com/spreadsheets/d/1Uw7-A9f9R21vMXxHZFNpYNeKFtG8_yji4HS352LGlSQ/edit?pli=1#gid=0"",""1_ACUM!A4:S""),19,FALSE))"),44620)</f>
        <v>44620</v>
      </c>
      <c r="BF105" s="23">
        <f ca="1">IFERROR(__xludf.DUMMYFUNCTION("IFERROR(VLOOKUP(F96,IMPORTRANGE(""https://docs.google.com/spreadsheets/d/1Kvs4KS76FHFqLFIZfrDMff4kP08nblUkihrxltoGBjg/edit#gid=934712705"",""ESENCIAL!A6:BG""),5,FALSE))"),44804)</f>
        <v>44804</v>
      </c>
      <c r="BG105" s="23">
        <f t="shared" ca="1" si="13"/>
        <v>45351</v>
      </c>
      <c r="BH105" s="19" t="str">
        <f t="shared" ca="1" si="14"/>
        <v>FICHA EN TIEMPO-18 MESES</v>
      </c>
      <c r="BI105" s="19" t="str">
        <f ca="1">IFERROR(__xludf.DUMMYFUNCTION("IFERROR(VLOOKUP(F96,IMPORTRANGE(""https://docs.google.com/spreadsheets/d/1Kvs4KS76FHFqLFIZfrDMff4kP08nblUkihrxltoGBjg/edit#gid=934712705"",""ESENCIAL!A6:BG""),18,FALSE))"),"Terminada por fecha")</f>
        <v>Terminada por fecha</v>
      </c>
      <c r="BJ105" s="19" t="str">
        <f t="shared" si="15"/>
        <v>Yamboro</v>
      </c>
      <c r="BK105" s="295"/>
      <c r="BL105" s="173"/>
    </row>
    <row r="106" spans="1:64" s="180" customFormat="1" ht="18" hidden="1" customHeight="1">
      <c r="A106" s="290"/>
      <c r="B106" s="145" t="s">
        <v>25</v>
      </c>
      <c r="C106" s="57" t="s">
        <v>1365</v>
      </c>
      <c r="D106" s="57" t="s">
        <v>27</v>
      </c>
      <c r="E106" s="57">
        <v>1082780119</v>
      </c>
      <c r="F106" s="114">
        <v>2356780</v>
      </c>
      <c r="G106" s="11" t="str">
        <f ca="1">IFERROR(__xludf.DUMMYFUNCTION("IFERROR(VLOOKUP(F97,IMPORTRANGE(""https://docs.google.com/spreadsheets/d/1Kvs4KS76FHFqLFIZfrDMff4kP08nblUkihrxltoGBjg/edit#gid=934712705"",""ESENCIAL!A6:BG""),3,FALSE))"),"TÉCNICO")</f>
        <v>TÉCNICO</v>
      </c>
      <c r="H106" s="11" t="str">
        <f ca="1">IFERROR(__xludf.DUMMYFUNCTION("IFERROR(VLOOKUP(F97,IMPORTRANGE(""https://docs.google.com/spreadsheets/d/1Kvs4KS76FHFqLFIZfrDMff4kP08nblUkihrxltoGBjg/edit#gid=934712705"",""ESENCIAL!A6:BG""),8,FALSE))"),"PRODUCCION DE CAFE")</f>
        <v>PRODUCCION DE CAFE</v>
      </c>
      <c r="I106" s="53"/>
      <c r="J106" s="30"/>
      <c r="K106" s="30"/>
      <c r="L106" s="285" t="s">
        <v>44</v>
      </c>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19" t="str">
        <f t="shared" ca="1" si="12"/>
        <v>Procede_E_P</v>
      </c>
      <c r="AV106" s="11" t="str">
        <f ca="1">IFERROR(__xludf.DUMMYFUNCTION("IFERROR(VLOOKUP(E97&amp;F97,IMPORTRANGE(""https://docs.google.com/spreadsheets/d/1Uw7-A9f9R21vMXxHZFNpYNeKFtG8_yji4HS352LGlSQ/edit?pli=1#gid=0"",""1_ACUM!A4:S""),11,FALSE))"),"EN FORMACION")</f>
        <v>EN FORMACION</v>
      </c>
      <c r="AW106" s="20" t="str">
        <f ca="1">IFERROR(__xludf.DUMMYFUNCTION("IFERROR(VLOOKUP(F97,IMPORTRANGE(""https://docs.google.com/spreadsheets/d/1Kvs4KS76FHFqLFIZfrDMff4kP08nblUkihrxltoGBjg/edit#gid=934712705"",""ESENCIAL!A6:BG""),15,FALSE))"),"AGROPECUARIO")</f>
        <v>AGROPECUARIO</v>
      </c>
      <c r="AX106" s="21">
        <f ca="1">IFERROR(__xludf.DUMMYFUNCTION("IFERROR(VLOOKUP(E97&amp;F97,IMPORTRANGE(""https://docs.google.com/spreadsheets/d/1Uw7-A9f9R21vMXxHZFNpYNeKFtG8_yji4HS352LGlSQ/edit?pli=1#gid=0"",""1_ACUM!A4:S""),12,FALSE))"),44839)</f>
        <v>44839</v>
      </c>
      <c r="AY106" s="22">
        <f ca="1">IFERROR(__xludf.DUMMYFUNCTION("IFERROR(VLOOKUP(E97&amp;F97,IMPORTRANGE(""https://docs.google.com/spreadsheets/d/1Uw7-A9f9R21vMXxHZFNpYNeKFtG8_yji4HS352LGlSQ/edit?pli=1#gid=0"",""1_ACUM!A4:S""),13,FALSE))"),0)</f>
        <v>0</v>
      </c>
      <c r="AZ106" s="22">
        <f ca="1">IFERROR(__xludf.DUMMYFUNCTION("IFERROR(VLOOKUP(E97&amp;F97,IMPORTRANGE(""https://docs.google.com/spreadsheets/d/1Uw7-A9f9R21vMXxHZFNpYNeKFtG8_yji4HS352LGlSQ/edit?pli=1#gid=0"",""1_ACUM!A4:S""),14,FALSE))"),1)</f>
        <v>1</v>
      </c>
      <c r="BA106" s="22">
        <f ca="1">IFERROR(__xludf.DUMMYFUNCTION("IFERROR(VLOOKUP(E97&amp;F97,IMPORTRANGE(""https://docs.google.com/spreadsheets/d/1Uw7-A9f9R21vMXxHZFNpYNeKFtG8_yji4HS352LGlSQ/edit?pli=1#gid=0"",""1_ACUM!A4:S""),15,FALSE))"),0)</f>
        <v>0</v>
      </c>
      <c r="BB106" s="22">
        <f ca="1">IFERROR(__xludf.DUMMYFUNCTION("IFERROR(VLOOKUP(E97&amp;F97,IMPORTRANGE(""https://docs.google.com/spreadsheets/d/1Uw7-A9f9R21vMXxHZFNpYNeKFtG8_yji4HS352LGlSQ/edit?pli=1#gid=0"",""1_ACUM!A4:S""),16,FALSE))"),0)</f>
        <v>0</v>
      </c>
      <c r="BC106" s="22">
        <f ca="1">IFERROR(__xludf.DUMMYFUNCTION("IFERROR(VLOOKUP(E97&amp;F97,IMPORTRANGE(""https://docs.google.com/spreadsheets/d/1Uw7-A9f9R21vMXxHZFNpYNeKFtG8_yji4HS352LGlSQ/edit?pli=1#gid=0"",""1_ACUM!A4:S""),17,FALSE))"),1)</f>
        <v>1</v>
      </c>
      <c r="BD106" s="23">
        <f ca="1">IFERROR(__xludf.DUMMYFUNCTION("IFERROR(VLOOKUP(E97&amp;F97,IMPORTRANGE(""https://docs.google.com/spreadsheets/d/1Uw7-A9f9R21vMXxHZFNpYNeKFtG8_yji4HS352LGlSQ/edit?pli=1#gid=0"",""1_ACUM!A4:S""),18,FALSE))"),44348)</f>
        <v>44348</v>
      </c>
      <c r="BE106" s="23">
        <f ca="1">IFERROR(__xludf.DUMMYFUNCTION("IFERROR(VLOOKUP(E97&amp;F97,IMPORTRANGE(""https://docs.google.com/spreadsheets/d/1Uw7-A9f9R21vMXxHZFNpYNeKFtG8_yji4HS352LGlSQ/edit?pli=1#gid=0"",""1_ACUM!A4:S""),19,FALSE))"),44620)</f>
        <v>44620</v>
      </c>
      <c r="BF106" s="23">
        <f ca="1">IFERROR(__xludf.DUMMYFUNCTION("IFERROR(VLOOKUP(F97,IMPORTRANGE(""https://docs.google.com/spreadsheets/d/1Kvs4KS76FHFqLFIZfrDMff4kP08nblUkihrxltoGBjg/edit#gid=934712705"",""ESENCIAL!A6:BG""),5,FALSE))"),44804)</f>
        <v>44804</v>
      </c>
      <c r="BG106" s="23">
        <f t="shared" ca="1" si="13"/>
        <v>45351</v>
      </c>
      <c r="BH106" s="19" t="str">
        <f t="shared" ca="1" si="14"/>
        <v>FICHA EN TIEMPO-18 MESES</v>
      </c>
      <c r="BI106" s="19" t="str">
        <f ca="1">IFERROR(__xludf.DUMMYFUNCTION("IFERROR(VLOOKUP(F97,IMPORTRANGE(""https://docs.google.com/spreadsheets/d/1Kvs4KS76FHFqLFIZfrDMff4kP08nblUkihrxltoGBjg/edit#gid=934712705"",""ESENCIAL!A6:BG""),18,FALSE))"),"Terminada por fecha")</f>
        <v>Terminada por fecha</v>
      </c>
      <c r="BJ106" s="19" t="str">
        <f t="shared" si="15"/>
        <v>Yamboro</v>
      </c>
      <c r="BK106" s="295"/>
      <c r="BL106" s="173"/>
    </row>
    <row r="107" spans="1:64" s="180" customFormat="1" ht="18" hidden="1" customHeight="1">
      <c r="A107" s="290"/>
      <c r="B107" s="145" t="s">
        <v>25</v>
      </c>
      <c r="C107" s="56" t="s">
        <v>1366</v>
      </c>
      <c r="D107" s="57" t="s">
        <v>27</v>
      </c>
      <c r="E107" s="57">
        <v>1082781643</v>
      </c>
      <c r="F107" s="114">
        <v>2356780</v>
      </c>
      <c r="G107" s="11" t="str">
        <f ca="1">IFERROR(__xludf.DUMMYFUNCTION("IFERROR(VLOOKUP(F98,IMPORTRANGE(""https://docs.google.com/spreadsheets/d/1Kvs4KS76FHFqLFIZfrDMff4kP08nblUkihrxltoGBjg/edit#gid=934712705"",""ESENCIAL!A6:BG""),3,FALSE))"),"TÉCNICO")</f>
        <v>TÉCNICO</v>
      </c>
      <c r="H107" s="11" t="str">
        <f ca="1">IFERROR(__xludf.DUMMYFUNCTION("IFERROR(VLOOKUP(F98,IMPORTRANGE(""https://docs.google.com/spreadsheets/d/1Kvs4KS76FHFqLFIZfrDMff4kP08nblUkihrxltoGBjg/edit#gid=934712705"",""ESENCIAL!A6:BG""),8,FALSE))"),"PRODUCCION DE CAFE")</f>
        <v>PRODUCCION DE CAFE</v>
      </c>
      <c r="I107" s="53"/>
      <c r="J107" s="30"/>
      <c r="K107" s="30"/>
      <c r="L107" s="285" t="s">
        <v>44</v>
      </c>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19" t="str">
        <f t="shared" ca="1" si="12"/>
        <v>Procede_E_P</v>
      </c>
      <c r="AV107" s="11" t="str">
        <f ca="1">IFERROR(__xludf.DUMMYFUNCTION("IFERROR(VLOOKUP(E98&amp;F98,IMPORTRANGE(""https://docs.google.com/spreadsheets/d/1Uw7-A9f9R21vMXxHZFNpYNeKFtG8_yji4HS352LGlSQ/edit?pli=1#gid=0"",""1_ACUM!A4:S""),11,FALSE))"),"EN FORMACION")</f>
        <v>EN FORMACION</v>
      </c>
      <c r="AW107" s="20" t="str">
        <f ca="1">IFERROR(__xludf.DUMMYFUNCTION("IFERROR(VLOOKUP(F98,IMPORTRANGE(""https://docs.google.com/spreadsheets/d/1Kvs4KS76FHFqLFIZfrDMff4kP08nblUkihrxltoGBjg/edit#gid=934712705"",""ESENCIAL!A6:BG""),15,FALSE))"),"AGROPECUARIO")</f>
        <v>AGROPECUARIO</v>
      </c>
      <c r="AX107" s="21">
        <f ca="1">IFERROR(__xludf.DUMMYFUNCTION("IFERROR(VLOOKUP(E98&amp;F98,IMPORTRANGE(""https://docs.google.com/spreadsheets/d/1Uw7-A9f9R21vMXxHZFNpYNeKFtG8_yji4HS352LGlSQ/edit?pli=1#gid=0"",""1_ACUM!A4:S""),12,FALSE))"),44839)</f>
        <v>44839</v>
      </c>
      <c r="AY107" s="22">
        <f ca="1">IFERROR(__xludf.DUMMYFUNCTION("IFERROR(VLOOKUP(E98&amp;F98,IMPORTRANGE(""https://docs.google.com/spreadsheets/d/1Uw7-A9f9R21vMXxHZFNpYNeKFtG8_yji4HS352LGlSQ/edit?pli=1#gid=0"",""1_ACUM!A4:S""),13,FALSE))"),0)</f>
        <v>0</v>
      </c>
      <c r="AZ107" s="22">
        <f ca="1">IFERROR(__xludf.DUMMYFUNCTION("IFERROR(VLOOKUP(E98&amp;F98,IMPORTRANGE(""https://docs.google.com/spreadsheets/d/1Uw7-A9f9R21vMXxHZFNpYNeKFtG8_yji4HS352LGlSQ/edit?pli=1#gid=0"",""1_ACUM!A4:S""),14,FALSE))"),1)</f>
        <v>1</v>
      </c>
      <c r="BA107" s="22">
        <f ca="1">IFERROR(__xludf.DUMMYFUNCTION("IFERROR(VLOOKUP(E98&amp;F98,IMPORTRANGE(""https://docs.google.com/spreadsheets/d/1Uw7-A9f9R21vMXxHZFNpYNeKFtG8_yji4HS352LGlSQ/edit?pli=1#gid=0"",""1_ACUM!A4:S""),15,FALSE))"),0)</f>
        <v>0</v>
      </c>
      <c r="BB107" s="22">
        <f ca="1">IFERROR(__xludf.DUMMYFUNCTION("IFERROR(VLOOKUP(E98&amp;F98,IMPORTRANGE(""https://docs.google.com/spreadsheets/d/1Uw7-A9f9R21vMXxHZFNpYNeKFtG8_yji4HS352LGlSQ/edit?pli=1#gid=0"",""1_ACUM!A4:S""),16,FALSE))"),0)</f>
        <v>0</v>
      </c>
      <c r="BC107" s="22">
        <f ca="1">IFERROR(__xludf.DUMMYFUNCTION("IFERROR(VLOOKUP(E98&amp;F98,IMPORTRANGE(""https://docs.google.com/spreadsheets/d/1Uw7-A9f9R21vMXxHZFNpYNeKFtG8_yji4HS352LGlSQ/edit?pli=1#gid=0"",""1_ACUM!A4:S""),17,FALSE))"),1)</f>
        <v>1</v>
      </c>
      <c r="BD107" s="23">
        <f ca="1">IFERROR(__xludf.DUMMYFUNCTION("IFERROR(VLOOKUP(E98&amp;F98,IMPORTRANGE(""https://docs.google.com/spreadsheets/d/1Uw7-A9f9R21vMXxHZFNpYNeKFtG8_yji4HS352LGlSQ/edit?pli=1#gid=0"",""1_ACUM!A4:S""),18,FALSE))"),44348)</f>
        <v>44348</v>
      </c>
      <c r="BE107" s="23">
        <f ca="1">IFERROR(__xludf.DUMMYFUNCTION("IFERROR(VLOOKUP(E98&amp;F98,IMPORTRANGE(""https://docs.google.com/spreadsheets/d/1Uw7-A9f9R21vMXxHZFNpYNeKFtG8_yji4HS352LGlSQ/edit?pli=1#gid=0"",""1_ACUM!A4:S""),19,FALSE))"),44620)</f>
        <v>44620</v>
      </c>
      <c r="BF107" s="23">
        <f ca="1">IFERROR(__xludf.DUMMYFUNCTION("IFERROR(VLOOKUP(F98,IMPORTRANGE(""https://docs.google.com/spreadsheets/d/1Kvs4KS76FHFqLFIZfrDMff4kP08nblUkihrxltoGBjg/edit#gid=934712705"",""ESENCIAL!A6:BG""),5,FALSE))"),44804)</f>
        <v>44804</v>
      </c>
      <c r="BG107" s="23">
        <f t="shared" ca="1" si="13"/>
        <v>45351</v>
      </c>
      <c r="BH107" s="19" t="str">
        <f t="shared" ca="1" si="14"/>
        <v>FICHA EN TIEMPO-18 MESES</v>
      </c>
      <c r="BI107" s="19" t="str">
        <f ca="1">IFERROR(__xludf.DUMMYFUNCTION("IFERROR(VLOOKUP(F98,IMPORTRANGE(""https://docs.google.com/spreadsheets/d/1Kvs4KS76FHFqLFIZfrDMff4kP08nblUkihrxltoGBjg/edit#gid=934712705"",""ESENCIAL!A6:BG""),18,FALSE))"),"Terminada por fecha")</f>
        <v>Terminada por fecha</v>
      </c>
      <c r="BJ107" s="19" t="str">
        <f t="shared" si="15"/>
        <v>Yamboro</v>
      </c>
      <c r="BK107" s="295"/>
      <c r="BL107" s="173"/>
    </row>
    <row r="108" spans="1:64" s="180" customFormat="1" ht="18" hidden="1" customHeight="1">
      <c r="A108" s="290"/>
      <c r="B108" s="145" t="s">
        <v>25</v>
      </c>
      <c r="C108" s="57" t="s">
        <v>1367</v>
      </c>
      <c r="D108" s="57" t="s">
        <v>27</v>
      </c>
      <c r="E108" s="56">
        <v>1083874816</v>
      </c>
      <c r="F108" s="114">
        <v>2356780</v>
      </c>
      <c r="G108" s="11" t="str">
        <f ca="1">IFERROR(__xludf.DUMMYFUNCTION("IFERROR(VLOOKUP(F99,IMPORTRANGE(""https://docs.google.com/spreadsheets/d/1Kvs4KS76FHFqLFIZfrDMff4kP08nblUkihrxltoGBjg/edit#gid=934712705"",""ESENCIAL!A6:BG""),3,FALSE))"),"TÉCNICO")</f>
        <v>TÉCNICO</v>
      </c>
      <c r="H108" s="11" t="str">
        <f ca="1">IFERROR(__xludf.DUMMYFUNCTION("IFERROR(VLOOKUP(F99,IMPORTRANGE(""https://docs.google.com/spreadsheets/d/1Kvs4KS76FHFqLFIZfrDMff4kP08nblUkihrxltoGBjg/edit#gid=934712705"",""ESENCIAL!A6:BG""),8,FALSE))"),"PRODUCCION DE CAFE")</f>
        <v>PRODUCCION DE CAFE</v>
      </c>
      <c r="I108" s="53"/>
      <c r="J108" s="30"/>
      <c r="K108" s="30"/>
      <c r="L108" s="285" t="s">
        <v>44</v>
      </c>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19" t="str">
        <f t="shared" ca="1" si="12"/>
        <v>Procede_E_P</v>
      </c>
      <c r="AV108" s="11" t="str">
        <f ca="1">IFERROR(__xludf.DUMMYFUNCTION("IFERROR(VLOOKUP(E99&amp;F99,IMPORTRANGE(""https://docs.google.com/spreadsheets/d/1Uw7-A9f9R21vMXxHZFNpYNeKFtG8_yji4HS352LGlSQ/edit?pli=1#gid=0"",""1_ACUM!A4:S""),11,FALSE))"),"EN FORMACION")</f>
        <v>EN FORMACION</v>
      </c>
      <c r="AW108" s="20" t="str">
        <f ca="1">IFERROR(__xludf.DUMMYFUNCTION("IFERROR(VLOOKUP(F99,IMPORTRANGE(""https://docs.google.com/spreadsheets/d/1Kvs4KS76FHFqLFIZfrDMff4kP08nblUkihrxltoGBjg/edit#gid=934712705"",""ESENCIAL!A6:BG""),15,FALSE))"),"AGROPECUARIO")</f>
        <v>AGROPECUARIO</v>
      </c>
      <c r="AX108" s="21">
        <f ca="1">IFERROR(__xludf.DUMMYFUNCTION("IFERROR(VLOOKUP(E99&amp;F99,IMPORTRANGE(""https://docs.google.com/spreadsheets/d/1Uw7-A9f9R21vMXxHZFNpYNeKFtG8_yji4HS352LGlSQ/edit?pli=1#gid=0"",""1_ACUM!A4:S""),12,FALSE))"),44839)</f>
        <v>44839</v>
      </c>
      <c r="AY108" s="22">
        <f ca="1">IFERROR(__xludf.DUMMYFUNCTION("IFERROR(VLOOKUP(E99&amp;F99,IMPORTRANGE(""https://docs.google.com/spreadsheets/d/1Uw7-A9f9R21vMXxHZFNpYNeKFtG8_yji4HS352LGlSQ/edit?pli=1#gid=0"",""1_ACUM!A4:S""),13,FALSE))"),0)</f>
        <v>0</v>
      </c>
      <c r="AZ108" s="22">
        <f ca="1">IFERROR(__xludf.DUMMYFUNCTION("IFERROR(VLOOKUP(E99&amp;F99,IMPORTRANGE(""https://docs.google.com/spreadsheets/d/1Uw7-A9f9R21vMXxHZFNpYNeKFtG8_yji4HS352LGlSQ/edit?pli=1#gid=0"",""1_ACUM!A4:S""),14,FALSE))"),1)</f>
        <v>1</v>
      </c>
      <c r="BA108" s="22">
        <f ca="1">IFERROR(__xludf.DUMMYFUNCTION("IFERROR(VLOOKUP(E99&amp;F99,IMPORTRANGE(""https://docs.google.com/spreadsheets/d/1Uw7-A9f9R21vMXxHZFNpYNeKFtG8_yji4HS352LGlSQ/edit?pli=1#gid=0"",""1_ACUM!A4:S""),15,FALSE))"),0)</f>
        <v>0</v>
      </c>
      <c r="BB108" s="22">
        <f ca="1">IFERROR(__xludf.DUMMYFUNCTION("IFERROR(VLOOKUP(E99&amp;F99,IMPORTRANGE(""https://docs.google.com/spreadsheets/d/1Uw7-A9f9R21vMXxHZFNpYNeKFtG8_yji4HS352LGlSQ/edit?pli=1#gid=0"",""1_ACUM!A4:S""),16,FALSE))"),0)</f>
        <v>0</v>
      </c>
      <c r="BC108" s="22">
        <f ca="1">IFERROR(__xludf.DUMMYFUNCTION("IFERROR(VLOOKUP(E99&amp;F99,IMPORTRANGE(""https://docs.google.com/spreadsheets/d/1Uw7-A9f9R21vMXxHZFNpYNeKFtG8_yji4HS352LGlSQ/edit?pli=1#gid=0"",""1_ACUM!A4:S""),17,FALSE))"),1)</f>
        <v>1</v>
      </c>
      <c r="BD108" s="23">
        <f ca="1">IFERROR(__xludf.DUMMYFUNCTION("IFERROR(VLOOKUP(E99&amp;F99,IMPORTRANGE(""https://docs.google.com/spreadsheets/d/1Uw7-A9f9R21vMXxHZFNpYNeKFtG8_yji4HS352LGlSQ/edit?pli=1#gid=0"",""1_ACUM!A4:S""),18,FALSE))"),44348)</f>
        <v>44348</v>
      </c>
      <c r="BE108" s="23">
        <f ca="1">IFERROR(__xludf.DUMMYFUNCTION("IFERROR(VLOOKUP(E99&amp;F99,IMPORTRANGE(""https://docs.google.com/spreadsheets/d/1Uw7-A9f9R21vMXxHZFNpYNeKFtG8_yji4HS352LGlSQ/edit?pli=1#gid=0"",""1_ACUM!A4:S""),19,FALSE))"),44620)</f>
        <v>44620</v>
      </c>
      <c r="BF108" s="23">
        <f ca="1">IFERROR(__xludf.DUMMYFUNCTION("IFERROR(VLOOKUP(F99,IMPORTRANGE(""https://docs.google.com/spreadsheets/d/1Kvs4KS76FHFqLFIZfrDMff4kP08nblUkihrxltoGBjg/edit#gid=934712705"",""ESENCIAL!A6:BG""),5,FALSE))"),44804)</f>
        <v>44804</v>
      </c>
      <c r="BG108" s="23">
        <f t="shared" ca="1" si="13"/>
        <v>45351</v>
      </c>
      <c r="BH108" s="19" t="str">
        <f t="shared" ca="1" si="14"/>
        <v>FICHA EN TIEMPO-18 MESES</v>
      </c>
      <c r="BI108" s="19" t="str">
        <f ca="1">IFERROR(__xludf.DUMMYFUNCTION("IFERROR(VLOOKUP(F99,IMPORTRANGE(""https://docs.google.com/spreadsheets/d/1Kvs4KS76FHFqLFIZfrDMff4kP08nblUkihrxltoGBjg/edit#gid=934712705"",""ESENCIAL!A6:BG""),18,FALSE))"),"Terminada por fecha")</f>
        <v>Terminada por fecha</v>
      </c>
      <c r="BJ108" s="19" t="str">
        <f t="shared" si="15"/>
        <v>Yamboro</v>
      </c>
      <c r="BK108" s="295"/>
      <c r="BL108" s="173"/>
    </row>
    <row r="109" spans="1:64" ht="18" hidden="1" customHeight="1">
      <c r="A109" s="290"/>
      <c r="B109" s="145" t="s">
        <v>25</v>
      </c>
      <c r="C109" s="57" t="s">
        <v>1368</v>
      </c>
      <c r="D109" s="57" t="s">
        <v>27</v>
      </c>
      <c r="E109" s="57">
        <v>1083900208</v>
      </c>
      <c r="F109" s="114">
        <v>2356780</v>
      </c>
      <c r="G109" s="11" t="str">
        <f ca="1">IFERROR(__xludf.DUMMYFUNCTION("IFERROR(VLOOKUP(F100,IMPORTRANGE(""https://docs.google.com/spreadsheets/d/1Kvs4KS76FHFqLFIZfrDMff4kP08nblUkihrxltoGBjg/edit#gid=934712705"",""ESENCIAL!A6:BG""),3,FALSE))"),"TÉCNICO")</f>
        <v>TÉCNICO</v>
      </c>
      <c r="H109" s="11" t="str">
        <f ca="1">IFERROR(__xludf.DUMMYFUNCTION("IFERROR(VLOOKUP(F100,IMPORTRANGE(""https://docs.google.com/spreadsheets/d/1Kvs4KS76FHFqLFIZfrDMff4kP08nblUkihrxltoGBjg/edit#gid=934712705"",""ESENCIAL!A6:BG""),8,FALSE))"),"PRODUCCION DE CAFE")</f>
        <v>PRODUCCION DE CAFE</v>
      </c>
      <c r="I109" s="53"/>
      <c r="J109" s="30"/>
      <c r="K109" s="30"/>
      <c r="L109" s="285" t="s">
        <v>44</v>
      </c>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19" t="str">
        <f t="shared" ca="1" si="12"/>
        <v>NO_CUMPLE</v>
      </c>
      <c r="AV109" s="11" t="str">
        <f ca="1">IFERROR(__xludf.DUMMYFUNCTION("IFERROR(VLOOKUP(E100&amp;F100,IMPORTRANGE(""https://docs.google.com/spreadsheets/d/1Uw7-A9f9R21vMXxHZFNpYNeKFtG8_yji4HS352LGlSQ/edit?pli=1#gid=0"",""1_ACUM!A4:S""),11,FALSE))"),"EN FORMACION")</f>
        <v>EN FORMACION</v>
      </c>
      <c r="AW109" s="20" t="str">
        <f ca="1">IFERROR(__xludf.DUMMYFUNCTION("IFERROR(VLOOKUP(F100,IMPORTRANGE(""https://docs.google.com/spreadsheets/d/1Kvs4KS76FHFqLFIZfrDMff4kP08nblUkihrxltoGBjg/edit#gid=934712705"",""ESENCIAL!A6:BG""),15,FALSE))"),"AGROPECUARIO")</f>
        <v>AGROPECUARIO</v>
      </c>
      <c r="AX109" s="21">
        <f ca="1">IFERROR(__xludf.DUMMYFUNCTION("IFERROR(VLOOKUP(E100&amp;F100,IMPORTRANGE(""https://docs.google.com/spreadsheets/d/1Uw7-A9f9R21vMXxHZFNpYNeKFtG8_yji4HS352LGlSQ/edit?pli=1#gid=0"",""1_ACUM!A4:S""),12,FALSE))"),44839)</f>
        <v>44839</v>
      </c>
      <c r="AY109" s="22">
        <f ca="1">IFERROR(__xludf.DUMMYFUNCTION("IFERROR(VLOOKUP(E100&amp;F100,IMPORTRANGE(""https://docs.google.com/spreadsheets/d/1Uw7-A9f9R21vMXxHZFNpYNeKFtG8_yji4HS352LGlSQ/edit?pli=1#gid=0"",""1_ACUM!A4:S""),13,FALSE))"),14)</f>
        <v>14</v>
      </c>
      <c r="AZ109" s="22">
        <f ca="1">IFERROR(__xludf.DUMMYFUNCTION("IFERROR(VLOOKUP(E100&amp;F100,IMPORTRANGE(""https://docs.google.com/spreadsheets/d/1Uw7-A9f9R21vMXxHZFNpYNeKFtG8_yji4HS352LGlSQ/edit?pli=1#gid=0"",""1_ACUM!A4:S""),14,FALSE))"),1)</f>
        <v>1</v>
      </c>
      <c r="BA109" s="22">
        <f ca="1">IFERROR(__xludf.DUMMYFUNCTION("IFERROR(VLOOKUP(E100&amp;F100,IMPORTRANGE(""https://docs.google.com/spreadsheets/d/1Uw7-A9f9R21vMXxHZFNpYNeKFtG8_yji4HS352LGlSQ/edit?pli=1#gid=0"",""1_ACUM!A4:S""),15,FALSE))"),7)</f>
        <v>7</v>
      </c>
      <c r="BB109" s="22">
        <f ca="1">IFERROR(__xludf.DUMMYFUNCTION("IFERROR(VLOOKUP(E100&amp;F100,IMPORTRANGE(""https://docs.google.com/spreadsheets/d/1Uw7-A9f9R21vMXxHZFNpYNeKFtG8_yji4HS352LGlSQ/edit?pli=1#gid=0"",""1_ACUM!A4:S""),16,FALSE))"),44)</f>
        <v>44</v>
      </c>
      <c r="BC109" s="22">
        <f ca="1">IFERROR(__xludf.DUMMYFUNCTION("IFERROR(VLOOKUP(E100&amp;F100,IMPORTRANGE(""https://docs.google.com/spreadsheets/d/1Uw7-A9f9R21vMXxHZFNpYNeKFtG8_yji4HS352LGlSQ/edit?pli=1#gid=0"",""1_ACUM!A4:S""),17,FALSE))"),66)</f>
        <v>66</v>
      </c>
      <c r="BD109" s="23">
        <f ca="1">IFERROR(__xludf.DUMMYFUNCTION("IFERROR(VLOOKUP(E100&amp;F100,IMPORTRANGE(""https://docs.google.com/spreadsheets/d/1Uw7-A9f9R21vMXxHZFNpYNeKFtG8_yji4HS352LGlSQ/edit?pli=1#gid=0"",""1_ACUM!A4:S""),18,FALSE))"),44348)</f>
        <v>44348</v>
      </c>
      <c r="BE109" s="23">
        <f ca="1">IFERROR(__xludf.DUMMYFUNCTION("IFERROR(VLOOKUP(E100&amp;F100,IMPORTRANGE(""https://docs.google.com/spreadsheets/d/1Uw7-A9f9R21vMXxHZFNpYNeKFtG8_yji4HS352LGlSQ/edit?pli=1#gid=0"",""1_ACUM!A4:S""),19,FALSE))"),44620)</f>
        <v>44620</v>
      </c>
      <c r="BF109" s="23">
        <f ca="1">IFERROR(__xludf.DUMMYFUNCTION("IFERROR(VLOOKUP(F100,IMPORTRANGE(""https://docs.google.com/spreadsheets/d/1Kvs4KS76FHFqLFIZfrDMff4kP08nblUkihrxltoGBjg/edit#gid=934712705"",""ESENCIAL!A6:BG""),5,FALSE))"),44804)</f>
        <v>44804</v>
      </c>
      <c r="BG109" s="23">
        <f t="shared" ca="1" si="13"/>
        <v>45351</v>
      </c>
      <c r="BH109" s="19" t="str">
        <f t="shared" ca="1" si="14"/>
        <v>FICHA EN TIEMPO-18 MESES</v>
      </c>
      <c r="BI109" s="19" t="str">
        <f ca="1">IFERROR(__xludf.DUMMYFUNCTION("IFERROR(VLOOKUP(F100,IMPORTRANGE(""https://docs.google.com/spreadsheets/d/1Kvs4KS76FHFqLFIZfrDMff4kP08nblUkihrxltoGBjg/edit#gid=934712705"",""ESENCIAL!A6:BG""),18,FALSE))"),"Terminada por fecha")</f>
        <v>Terminada por fecha</v>
      </c>
      <c r="BJ109" s="19" t="str">
        <f t="shared" si="15"/>
        <v>Yamboro</v>
      </c>
      <c r="BK109" s="291"/>
      <c r="BL109" s="19"/>
    </row>
    <row r="110" spans="1:64" s="180" customFormat="1" ht="18" hidden="1" customHeight="1">
      <c r="A110" s="290"/>
      <c r="B110" s="145" t="s">
        <v>25</v>
      </c>
      <c r="C110" s="57" t="s">
        <v>1369</v>
      </c>
      <c r="D110" s="57" t="s">
        <v>27</v>
      </c>
      <c r="E110" s="57">
        <v>1083917325</v>
      </c>
      <c r="F110" s="114">
        <v>2356780</v>
      </c>
      <c r="G110" s="11" t="str">
        <f ca="1">IFERROR(__xludf.DUMMYFUNCTION("IFERROR(VLOOKUP(F101,IMPORTRANGE(""https://docs.google.com/spreadsheets/d/1Kvs4KS76FHFqLFIZfrDMff4kP08nblUkihrxltoGBjg/edit#gid=934712705"",""ESENCIAL!A6:BG""),3,FALSE))"),"TÉCNICO")</f>
        <v>TÉCNICO</v>
      </c>
      <c r="H110" s="11" t="str">
        <f ca="1">IFERROR(__xludf.DUMMYFUNCTION("IFERROR(VLOOKUP(F101,IMPORTRANGE(""https://docs.google.com/spreadsheets/d/1Kvs4KS76FHFqLFIZfrDMff4kP08nblUkihrxltoGBjg/edit#gid=934712705"",""ESENCIAL!A6:BG""),8,FALSE))"),"PRODUCCION DE CAFE")</f>
        <v>PRODUCCION DE CAFE</v>
      </c>
      <c r="I110" s="53"/>
      <c r="J110" s="30"/>
      <c r="K110" s="30"/>
      <c r="L110" s="285" t="s">
        <v>44</v>
      </c>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19" t="str">
        <f t="shared" ca="1" si="12"/>
        <v>NO_CUMPLE</v>
      </c>
      <c r="AV110" s="11" t="str">
        <f ca="1">IFERROR(__xludf.DUMMYFUNCTION("IFERROR(VLOOKUP(E101&amp;F101,IMPORTRANGE(""https://docs.google.com/spreadsheets/d/1Uw7-A9f9R21vMXxHZFNpYNeKFtG8_yji4HS352LGlSQ/edit?pli=1#gid=0"",""1_ACUM!A4:S""),11,FALSE))"),"EN FORMACION")</f>
        <v>EN FORMACION</v>
      </c>
      <c r="AW110" s="20" t="str">
        <f ca="1">IFERROR(__xludf.DUMMYFUNCTION("IFERROR(VLOOKUP(F101,IMPORTRANGE(""https://docs.google.com/spreadsheets/d/1Kvs4KS76FHFqLFIZfrDMff4kP08nblUkihrxltoGBjg/edit#gid=934712705"",""ESENCIAL!A6:BG""),15,FALSE))"),"AGROPECUARIO")</f>
        <v>AGROPECUARIO</v>
      </c>
      <c r="AX110" s="21">
        <f ca="1">IFERROR(__xludf.DUMMYFUNCTION("IFERROR(VLOOKUP(E101&amp;F101,IMPORTRANGE(""https://docs.google.com/spreadsheets/d/1Uw7-A9f9R21vMXxHZFNpYNeKFtG8_yji4HS352LGlSQ/edit?pli=1#gid=0"",""1_ACUM!A4:S""),12,FALSE))"),44839)</f>
        <v>44839</v>
      </c>
      <c r="AY110" s="22">
        <f ca="1">IFERROR(__xludf.DUMMYFUNCTION("IFERROR(VLOOKUP(E101&amp;F101,IMPORTRANGE(""https://docs.google.com/spreadsheets/d/1Uw7-A9f9R21vMXxHZFNpYNeKFtG8_yji4HS352LGlSQ/edit?pli=1#gid=0"",""1_ACUM!A4:S""),13,FALSE))"),8)</f>
        <v>8</v>
      </c>
      <c r="AZ110" s="22">
        <f ca="1">IFERROR(__xludf.DUMMYFUNCTION("IFERROR(VLOOKUP(E101&amp;F101,IMPORTRANGE(""https://docs.google.com/spreadsheets/d/1Uw7-A9f9R21vMXxHZFNpYNeKFtG8_yji4HS352LGlSQ/edit?pli=1#gid=0"",""1_ACUM!A4:S""),14,FALSE))"),1)</f>
        <v>1</v>
      </c>
      <c r="BA110" s="22">
        <f ca="1">IFERROR(__xludf.DUMMYFUNCTION("IFERROR(VLOOKUP(E101&amp;F101,IMPORTRANGE(""https://docs.google.com/spreadsheets/d/1Uw7-A9f9R21vMXxHZFNpYNeKFtG8_yji4HS352LGlSQ/edit?pli=1#gid=0"",""1_ACUM!A4:S""),15,FALSE))"),7)</f>
        <v>7</v>
      </c>
      <c r="BB110" s="22">
        <f ca="1">IFERROR(__xludf.DUMMYFUNCTION("IFERROR(VLOOKUP(E101&amp;F101,IMPORTRANGE(""https://docs.google.com/spreadsheets/d/1Uw7-A9f9R21vMXxHZFNpYNeKFtG8_yji4HS352LGlSQ/edit?pli=1#gid=0"",""1_ACUM!A4:S""),16,FALSE))"),19)</f>
        <v>19</v>
      </c>
      <c r="BC110" s="22">
        <f ca="1">IFERROR(__xludf.DUMMYFUNCTION("IFERROR(VLOOKUP(E101&amp;F101,IMPORTRANGE(""https://docs.google.com/spreadsheets/d/1Uw7-A9f9R21vMXxHZFNpYNeKFtG8_yji4HS352LGlSQ/edit?pli=1#gid=0"",""1_ACUM!A4:S""),17,FALSE))"),35)</f>
        <v>35</v>
      </c>
      <c r="BD110" s="23">
        <f ca="1">IFERROR(__xludf.DUMMYFUNCTION("IFERROR(VLOOKUP(E101&amp;F101,IMPORTRANGE(""https://docs.google.com/spreadsheets/d/1Uw7-A9f9R21vMXxHZFNpYNeKFtG8_yji4HS352LGlSQ/edit?pli=1#gid=0"",""1_ACUM!A4:S""),18,FALSE))"),44348)</f>
        <v>44348</v>
      </c>
      <c r="BE110" s="23">
        <f ca="1">IFERROR(__xludf.DUMMYFUNCTION("IFERROR(VLOOKUP(E101&amp;F101,IMPORTRANGE(""https://docs.google.com/spreadsheets/d/1Uw7-A9f9R21vMXxHZFNpYNeKFtG8_yji4HS352LGlSQ/edit?pli=1#gid=0"",""1_ACUM!A4:S""),19,FALSE))"),44620)</f>
        <v>44620</v>
      </c>
      <c r="BF110" s="23">
        <f ca="1">IFERROR(__xludf.DUMMYFUNCTION("IFERROR(VLOOKUP(F101,IMPORTRANGE(""https://docs.google.com/spreadsheets/d/1Kvs4KS76FHFqLFIZfrDMff4kP08nblUkihrxltoGBjg/edit#gid=934712705"",""ESENCIAL!A6:BG""),5,FALSE))"),44804)</f>
        <v>44804</v>
      </c>
      <c r="BG110" s="23">
        <f t="shared" ca="1" si="13"/>
        <v>45351</v>
      </c>
      <c r="BH110" s="19" t="str">
        <f t="shared" ca="1" si="14"/>
        <v>FICHA EN TIEMPO-18 MESES</v>
      </c>
      <c r="BI110" s="19" t="str">
        <f ca="1">IFERROR(__xludf.DUMMYFUNCTION("IFERROR(VLOOKUP(F101,IMPORTRANGE(""https://docs.google.com/spreadsheets/d/1Kvs4KS76FHFqLFIZfrDMff4kP08nblUkihrxltoGBjg/edit#gid=934712705"",""ESENCIAL!A6:BG""),18,FALSE))"),"Terminada por fecha")</f>
        <v>Terminada por fecha</v>
      </c>
      <c r="BJ110" s="19" t="str">
        <f t="shared" si="15"/>
        <v>Yamboro</v>
      </c>
      <c r="BK110" s="295"/>
      <c r="BL110" s="173"/>
    </row>
    <row r="111" spans="1:64" s="180" customFormat="1" ht="18" hidden="1" customHeight="1">
      <c r="A111" s="290"/>
      <c r="B111" s="145" t="s">
        <v>25</v>
      </c>
      <c r="C111" s="57" t="s">
        <v>1370</v>
      </c>
      <c r="D111" s="57" t="s">
        <v>27</v>
      </c>
      <c r="E111" s="57">
        <v>1084257450</v>
      </c>
      <c r="F111" s="114">
        <v>2356780</v>
      </c>
      <c r="G111" s="11" t="str">
        <f ca="1">IFERROR(__xludf.DUMMYFUNCTION("IFERROR(VLOOKUP(F102,IMPORTRANGE(""https://docs.google.com/spreadsheets/d/1Kvs4KS76FHFqLFIZfrDMff4kP08nblUkihrxltoGBjg/edit#gid=934712705"",""ESENCIAL!A6:BG""),3,FALSE))"),"TÉCNICO")</f>
        <v>TÉCNICO</v>
      </c>
      <c r="H111" s="11" t="str">
        <f ca="1">IFERROR(__xludf.DUMMYFUNCTION("IFERROR(VLOOKUP(F102,IMPORTRANGE(""https://docs.google.com/spreadsheets/d/1Kvs4KS76FHFqLFIZfrDMff4kP08nblUkihrxltoGBjg/edit#gid=934712705"",""ESENCIAL!A6:BG""),8,FALSE))"),"PRODUCCION DE CAFE")</f>
        <v>PRODUCCION DE CAFE</v>
      </c>
      <c r="I111" s="53"/>
      <c r="J111" s="30"/>
      <c r="K111" s="30"/>
      <c r="L111" s="285" t="s">
        <v>44</v>
      </c>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19" t="str">
        <f t="shared" ca="1" si="12"/>
        <v>NO_CUMPLE</v>
      </c>
      <c r="AV111" s="11" t="str">
        <f ca="1">IFERROR(__xludf.DUMMYFUNCTION("IFERROR(VLOOKUP(E102&amp;F102,IMPORTRANGE(""https://docs.google.com/spreadsheets/d/1Uw7-A9f9R21vMXxHZFNpYNeKFtG8_yji4HS352LGlSQ/edit?pli=1#gid=0"",""1_ACUM!A4:S""),11,FALSE))"),"EN FORMACION")</f>
        <v>EN FORMACION</v>
      </c>
      <c r="AW111" s="20" t="str">
        <f ca="1">IFERROR(__xludf.DUMMYFUNCTION("IFERROR(VLOOKUP(F102,IMPORTRANGE(""https://docs.google.com/spreadsheets/d/1Kvs4KS76FHFqLFIZfrDMff4kP08nblUkihrxltoGBjg/edit#gid=934712705"",""ESENCIAL!A6:BG""),15,FALSE))"),"AGROPECUARIO")</f>
        <v>AGROPECUARIO</v>
      </c>
      <c r="AX111" s="21">
        <f ca="1">IFERROR(__xludf.DUMMYFUNCTION("IFERROR(VLOOKUP(E102&amp;F102,IMPORTRANGE(""https://docs.google.com/spreadsheets/d/1Uw7-A9f9R21vMXxHZFNpYNeKFtG8_yji4HS352LGlSQ/edit?pli=1#gid=0"",""1_ACUM!A4:S""),12,FALSE))"),44839)</f>
        <v>44839</v>
      </c>
      <c r="AY111" s="22">
        <f ca="1">IFERROR(__xludf.DUMMYFUNCTION("IFERROR(VLOOKUP(E102&amp;F102,IMPORTRANGE(""https://docs.google.com/spreadsheets/d/1Uw7-A9f9R21vMXxHZFNpYNeKFtG8_yji4HS352LGlSQ/edit?pli=1#gid=0"",""1_ACUM!A4:S""),13,FALSE))"),1)</f>
        <v>1</v>
      </c>
      <c r="AZ111" s="22">
        <f ca="1">IFERROR(__xludf.DUMMYFUNCTION("IFERROR(VLOOKUP(E102&amp;F102,IMPORTRANGE(""https://docs.google.com/spreadsheets/d/1Uw7-A9f9R21vMXxHZFNpYNeKFtG8_yji4HS352LGlSQ/edit?pli=1#gid=0"",""1_ACUM!A4:S""),14,FALSE))"),1)</f>
        <v>1</v>
      </c>
      <c r="BA111" s="22">
        <f ca="1">IFERROR(__xludf.DUMMYFUNCTION("IFERROR(VLOOKUP(E102&amp;F102,IMPORTRANGE(""https://docs.google.com/spreadsheets/d/1Uw7-A9f9R21vMXxHZFNpYNeKFtG8_yji4HS352LGlSQ/edit?pli=1#gid=0"",""1_ACUM!A4:S""),15,FALSE))"),0)</f>
        <v>0</v>
      </c>
      <c r="BB111" s="22">
        <f ca="1">IFERROR(__xludf.DUMMYFUNCTION("IFERROR(VLOOKUP(E102&amp;F102,IMPORTRANGE(""https://docs.google.com/spreadsheets/d/1Uw7-A9f9R21vMXxHZFNpYNeKFtG8_yji4HS352LGlSQ/edit?pli=1#gid=0"",""1_ACUM!A4:S""),16,FALSE))"),0)</f>
        <v>0</v>
      </c>
      <c r="BC111" s="22">
        <f ca="1">IFERROR(__xludf.DUMMYFUNCTION("IFERROR(VLOOKUP(E102&amp;F102,IMPORTRANGE(""https://docs.google.com/spreadsheets/d/1Uw7-A9f9R21vMXxHZFNpYNeKFtG8_yji4HS352LGlSQ/edit?pli=1#gid=0"",""1_ACUM!A4:S""),17,FALSE))"),2)</f>
        <v>2</v>
      </c>
      <c r="BD111" s="23">
        <f ca="1">IFERROR(__xludf.DUMMYFUNCTION("IFERROR(VLOOKUP(E102&amp;F102,IMPORTRANGE(""https://docs.google.com/spreadsheets/d/1Uw7-A9f9R21vMXxHZFNpYNeKFtG8_yji4HS352LGlSQ/edit?pli=1#gid=0"",""1_ACUM!A4:S""),18,FALSE))"),44348)</f>
        <v>44348</v>
      </c>
      <c r="BE111" s="23">
        <f ca="1">IFERROR(__xludf.DUMMYFUNCTION("IFERROR(VLOOKUP(E102&amp;F102,IMPORTRANGE(""https://docs.google.com/spreadsheets/d/1Uw7-A9f9R21vMXxHZFNpYNeKFtG8_yji4HS352LGlSQ/edit?pli=1#gid=0"",""1_ACUM!A4:S""),19,FALSE))"),44620)</f>
        <v>44620</v>
      </c>
      <c r="BF111" s="23">
        <f ca="1">IFERROR(__xludf.DUMMYFUNCTION("IFERROR(VLOOKUP(F102,IMPORTRANGE(""https://docs.google.com/spreadsheets/d/1Kvs4KS76FHFqLFIZfrDMff4kP08nblUkihrxltoGBjg/edit#gid=934712705"",""ESENCIAL!A6:BG""),5,FALSE))"),44804)</f>
        <v>44804</v>
      </c>
      <c r="BG111" s="23">
        <f t="shared" ca="1" si="13"/>
        <v>45351</v>
      </c>
      <c r="BH111" s="19" t="str">
        <f t="shared" ca="1" si="14"/>
        <v>FICHA EN TIEMPO-18 MESES</v>
      </c>
      <c r="BI111" s="19" t="str">
        <f ca="1">IFERROR(__xludf.DUMMYFUNCTION("IFERROR(VLOOKUP(F102,IMPORTRANGE(""https://docs.google.com/spreadsheets/d/1Kvs4KS76FHFqLFIZfrDMff4kP08nblUkihrxltoGBjg/edit#gid=934712705"",""ESENCIAL!A6:BG""),18,FALSE))"),"Terminada por fecha")</f>
        <v>Terminada por fecha</v>
      </c>
      <c r="BJ111" s="19" t="str">
        <f t="shared" si="15"/>
        <v>Yamboro</v>
      </c>
      <c r="BK111" s="295"/>
      <c r="BL111" s="173"/>
    </row>
    <row r="112" spans="1:64" ht="18" hidden="1" customHeight="1">
      <c r="A112" s="290"/>
      <c r="B112" s="145" t="s">
        <v>25</v>
      </c>
      <c r="C112" s="57" t="s">
        <v>1371</v>
      </c>
      <c r="D112" s="57" t="s">
        <v>27</v>
      </c>
      <c r="E112" s="57">
        <v>1119213220</v>
      </c>
      <c r="F112" s="114">
        <v>2356780</v>
      </c>
      <c r="G112" s="11" t="str">
        <f ca="1">IFERROR(__xludf.DUMMYFUNCTION("IFERROR(VLOOKUP(F103,IMPORTRANGE(""https://docs.google.com/spreadsheets/d/1Kvs4KS76FHFqLFIZfrDMff4kP08nblUkihrxltoGBjg/edit#gid=934712705"",""ESENCIAL!A6:BG""),3,FALSE))"),"TÉCNICO")</f>
        <v>TÉCNICO</v>
      </c>
      <c r="H112" s="11" t="str">
        <f ca="1">IFERROR(__xludf.DUMMYFUNCTION("IFERROR(VLOOKUP(F103,IMPORTRANGE(""https://docs.google.com/spreadsheets/d/1Kvs4KS76FHFqLFIZfrDMff4kP08nblUkihrxltoGBjg/edit#gid=934712705"",""ESENCIAL!A6:BG""),8,FALSE))"),"PRODUCCION DE CAFE")</f>
        <v>PRODUCCION DE CAFE</v>
      </c>
      <c r="I112" s="53"/>
      <c r="J112" s="30"/>
      <c r="K112" s="30"/>
      <c r="L112" s="285" t="s">
        <v>44</v>
      </c>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19" t="str">
        <f t="shared" ca="1" si="12"/>
        <v>Procede_E_P</v>
      </c>
      <c r="AV112" s="11" t="str">
        <f ca="1">IFERROR(__xludf.DUMMYFUNCTION("IFERROR(VLOOKUP(E103&amp;F103,IMPORTRANGE(""https://docs.google.com/spreadsheets/d/1Uw7-A9f9R21vMXxHZFNpYNeKFtG8_yji4HS352LGlSQ/edit?pli=1#gid=0"",""1_ACUM!A4:S""),11,FALSE))"),"EN FORMACION")</f>
        <v>EN FORMACION</v>
      </c>
      <c r="AW112" s="20" t="str">
        <f ca="1">IFERROR(__xludf.DUMMYFUNCTION("IFERROR(VLOOKUP(F103,IMPORTRANGE(""https://docs.google.com/spreadsheets/d/1Kvs4KS76FHFqLFIZfrDMff4kP08nblUkihrxltoGBjg/edit#gid=934712705"",""ESENCIAL!A6:BG""),15,FALSE))"),"AGROPECUARIO")</f>
        <v>AGROPECUARIO</v>
      </c>
      <c r="AX112" s="21">
        <f ca="1">IFERROR(__xludf.DUMMYFUNCTION("IFERROR(VLOOKUP(E103&amp;F103,IMPORTRANGE(""https://docs.google.com/spreadsheets/d/1Uw7-A9f9R21vMXxHZFNpYNeKFtG8_yji4HS352LGlSQ/edit?pli=1#gid=0"",""1_ACUM!A4:S""),12,FALSE))"),44839)</f>
        <v>44839</v>
      </c>
      <c r="AY112" s="22">
        <f ca="1">IFERROR(__xludf.DUMMYFUNCTION("IFERROR(VLOOKUP(E103&amp;F103,IMPORTRANGE(""https://docs.google.com/spreadsheets/d/1Uw7-A9f9R21vMXxHZFNpYNeKFtG8_yji4HS352LGlSQ/edit?pli=1#gid=0"",""1_ACUM!A4:S""),13,FALSE))"),0)</f>
        <v>0</v>
      </c>
      <c r="AZ112" s="22">
        <f ca="1">IFERROR(__xludf.DUMMYFUNCTION("IFERROR(VLOOKUP(E103&amp;F103,IMPORTRANGE(""https://docs.google.com/spreadsheets/d/1Uw7-A9f9R21vMXxHZFNpYNeKFtG8_yji4HS352LGlSQ/edit?pli=1#gid=0"",""1_ACUM!A4:S""),14,FALSE))"),1)</f>
        <v>1</v>
      </c>
      <c r="BA112" s="22">
        <f ca="1">IFERROR(__xludf.DUMMYFUNCTION("IFERROR(VLOOKUP(E103&amp;F103,IMPORTRANGE(""https://docs.google.com/spreadsheets/d/1Uw7-A9f9R21vMXxHZFNpYNeKFtG8_yji4HS352LGlSQ/edit?pli=1#gid=0"",""1_ACUM!A4:S""),15,FALSE))"),0)</f>
        <v>0</v>
      </c>
      <c r="BB112" s="22">
        <f ca="1">IFERROR(__xludf.DUMMYFUNCTION("IFERROR(VLOOKUP(E103&amp;F103,IMPORTRANGE(""https://docs.google.com/spreadsheets/d/1Uw7-A9f9R21vMXxHZFNpYNeKFtG8_yji4HS352LGlSQ/edit?pli=1#gid=0"",""1_ACUM!A4:S""),16,FALSE))"),0)</f>
        <v>0</v>
      </c>
      <c r="BC112" s="22">
        <f ca="1">IFERROR(__xludf.DUMMYFUNCTION("IFERROR(VLOOKUP(E103&amp;F103,IMPORTRANGE(""https://docs.google.com/spreadsheets/d/1Uw7-A9f9R21vMXxHZFNpYNeKFtG8_yji4HS352LGlSQ/edit?pli=1#gid=0"",""1_ACUM!A4:S""),17,FALSE))"),1)</f>
        <v>1</v>
      </c>
      <c r="BD112" s="23">
        <f ca="1">IFERROR(__xludf.DUMMYFUNCTION("IFERROR(VLOOKUP(E103&amp;F103,IMPORTRANGE(""https://docs.google.com/spreadsheets/d/1Uw7-A9f9R21vMXxHZFNpYNeKFtG8_yji4HS352LGlSQ/edit?pli=1#gid=0"",""1_ACUM!A4:S""),18,FALSE))"),44348)</f>
        <v>44348</v>
      </c>
      <c r="BE112" s="23">
        <f ca="1">IFERROR(__xludf.DUMMYFUNCTION("IFERROR(VLOOKUP(E103&amp;F103,IMPORTRANGE(""https://docs.google.com/spreadsheets/d/1Uw7-A9f9R21vMXxHZFNpYNeKFtG8_yji4HS352LGlSQ/edit?pli=1#gid=0"",""1_ACUM!A4:S""),19,FALSE))"),44620)</f>
        <v>44620</v>
      </c>
      <c r="BF112" s="23">
        <f ca="1">IFERROR(__xludf.DUMMYFUNCTION("IFERROR(VLOOKUP(F103,IMPORTRANGE(""https://docs.google.com/spreadsheets/d/1Kvs4KS76FHFqLFIZfrDMff4kP08nblUkihrxltoGBjg/edit#gid=934712705"",""ESENCIAL!A6:BG""),5,FALSE))"),44804)</f>
        <v>44804</v>
      </c>
      <c r="BG112" s="23">
        <f t="shared" ca="1" si="13"/>
        <v>45351</v>
      </c>
      <c r="BH112" s="19" t="str">
        <f t="shared" ca="1" si="14"/>
        <v>FICHA EN TIEMPO-18 MESES</v>
      </c>
      <c r="BI112" s="19" t="str">
        <f ca="1">IFERROR(__xludf.DUMMYFUNCTION("IFERROR(VLOOKUP(F103,IMPORTRANGE(""https://docs.google.com/spreadsheets/d/1Kvs4KS76FHFqLFIZfrDMff4kP08nblUkihrxltoGBjg/edit#gid=934712705"",""ESENCIAL!A6:BG""),18,FALSE))"),"Terminada por fecha")</f>
        <v>Terminada por fecha</v>
      </c>
      <c r="BJ112" s="19" t="str">
        <f t="shared" si="15"/>
        <v>Yamboro</v>
      </c>
      <c r="BK112" s="291"/>
      <c r="BL112" s="19"/>
    </row>
    <row r="113" spans="1:64" ht="18" hidden="1" customHeight="1">
      <c r="A113" s="290"/>
      <c r="B113" s="145" t="s">
        <v>25</v>
      </c>
      <c r="C113" s="57" t="s">
        <v>1372</v>
      </c>
      <c r="D113" s="57" t="s">
        <v>27</v>
      </c>
      <c r="E113" s="57">
        <v>1128437875</v>
      </c>
      <c r="F113" s="114">
        <v>2356780</v>
      </c>
      <c r="G113" s="11" t="str">
        <f ca="1">IFERROR(__xludf.DUMMYFUNCTION("IFERROR(VLOOKUP(F104,IMPORTRANGE(""https://docs.google.com/spreadsheets/d/1Kvs4KS76FHFqLFIZfrDMff4kP08nblUkihrxltoGBjg/edit#gid=934712705"",""ESENCIAL!A6:BG""),3,FALSE))"),"TÉCNICO")</f>
        <v>TÉCNICO</v>
      </c>
      <c r="H113" s="11" t="str">
        <f ca="1">IFERROR(__xludf.DUMMYFUNCTION("IFERROR(VLOOKUP(F104,IMPORTRANGE(""https://docs.google.com/spreadsheets/d/1Kvs4KS76FHFqLFIZfrDMff4kP08nblUkihrxltoGBjg/edit#gid=934712705"",""ESENCIAL!A6:BG""),8,FALSE))"),"PRODUCCION DE CAFE")</f>
        <v>PRODUCCION DE CAFE</v>
      </c>
      <c r="I113" s="53"/>
      <c r="J113" s="30"/>
      <c r="K113" s="30"/>
      <c r="L113" s="285" t="s">
        <v>44</v>
      </c>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19" t="str">
        <f t="shared" ca="1" si="12"/>
        <v>Procede_E_P</v>
      </c>
      <c r="AV113" s="11" t="str">
        <f ca="1">IFERROR(__xludf.DUMMYFUNCTION("IFERROR(VLOOKUP(E104&amp;F104,IMPORTRANGE(""https://docs.google.com/spreadsheets/d/1Uw7-A9f9R21vMXxHZFNpYNeKFtG8_yji4HS352LGlSQ/edit?pli=1#gid=0"",""1_ACUM!A4:S""),11,FALSE))"),"EN FORMACION")</f>
        <v>EN FORMACION</v>
      </c>
      <c r="AW113" s="20" t="str">
        <f ca="1">IFERROR(__xludf.DUMMYFUNCTION("IFERROR(VLOOKUP(F104,IMPORTRANGE(""https://docs.google.com/spreadsheets/d/1Kvs4KS76FHFqLFIZfrDMff4kP08nblUkihrxltoGBjg/edit#gid=934712705"",""ESENCIAL!A6:BG""),15,FALSE))"),"AGROPECUARIO")</f>
        <v>AGROPECUARIO</v>
      </c>
      <c r="AX113" s="21">
        <f ca="1">IFERROR(__xludf.DUMMYFUNCTION("IFERROR(VLOOKUP(E104&amp;F104,IMPORTRANGE(""https://docs.google.com/spreadsheets/d/1Uw7-A9f9R21vMXxHZFNpYNeKFtG8_yji4HS352LGlSQ/edit?pli=1#gid=0"",""1_ACUM!A4:S""),12,FALSE))"),44839)</f>
        <v>44839</v>
      </c>
      <c r="AY113" s="22">
        <f ca="1">IFERROR(__xludf.DUMMYFUNCTION("IFERROR(VLOOKUP(E104&amp;F104,IMPORTRANGE(""https://docs.google.com/spreadsheets/d/1Uw7-A9f9R21vMXxHZFNpYNeKFtG8_yji4HS352LGlSQ/edit?pli=1#gid=0"",""1_ACUM!A4:S""),13,FALSE))"),0)</f>
        <v>0</v>
      </c>
      <c r="AZ113" s="22">
        <f ca="1">IFERROR(__xludf.DUMMYFUNCTION("IFERROR(VLOOKUP(E104&amp;F104,IMPORTRANGE(""https://docs.google.com/spreadsheets/d/1Uw7-A9f9R21vMXxHZFNpYNeKFtG8_yji4HS352LGlSQ/edit?pli=1#gid=0"",""1_ACUM!A4:S""),14,FALSE))"),1)</f>
        <v>1</v>
      </c>
      <c r="BA113" s="22">
        <f ca="1">IFERROR(__xludf.DUMMYFUNCTION("IFERROR(VLOOKUP(E104&amp;F104,IMPORTRANGE(""https://docs.google.com/spreadsheets/d/1Uw7-A9f9R21vMXxHZFNpYNeKFtG8_yji4HS352LGlSQ/edit?pli=1#gid=0"",""1_ACUM!A4:S""),15,FALSE))"),0)</f>
        <v>0</v>
      </c>
      <c r="BB113" s="22">
        <f ca="1">IFERROR(__xludf.DUMMYFUNCTION("IFERROR(VLOOKUP(E104&amp;F104,IMPORTRANGE(""https://docs.google.com/spreadsheets/d/1Uw7-A9f9R21vMXxHZFNpYNeKFtG8_yji4HS352LGlSQ/edit?pli=1#gid=0"",""1_ACUM!A4:S""),16,FALSE))"),0)</f>
        <v>0</v>
      </c>
      <c r="BC113" s="22">
        <f ca="1">IFERROR(__xludf.DUMMYFUNCTION("IFERROR(VLOOKUP(E104&amp;F104,IMPORTRANGE(""https://docs.google.com/spreadsheets/d/1Uw7-A9f9R21vMXxHZFNpYNeKFtG8_yji4HS352LGlSQ/edit?pli=1#gid=0"",""1_ACUM!A4:S""),17,FALSE))"),1)</f>
        <v>1</v>
      </c>
      <c r="BD113" s="23">
        <f ca="1">IFERROR(__xludf.DUMMYFUNCTION("IFERROR(VLOOKUP(E104&amp;F104,IMPORTRANGE(""https://docs.google.com/spreadsheets/d/1Uw7-A9f9R21vMXxHZFNpYNeKFtG8_yji4HS352LGlSQ/edit?pli=1#gid=0"",""1_ACUM!A4:S""),18,FALSE))"),44348)</f>
        <v>44348</v>
      </c>
      <c r="BE113" s="23">
        <f ca="1">IFERROR(__xludf.DUMMYFUNCTION("IFERROR(VLOOKUP(E104&amp;F104,IMPORTRANGE(""https://docs.google.com/spreadsheets/d/1Uw7-A9f9R21vMXxHZFNpYNeKFtG8_yji4HS352LGlSQ/edit?pli=1#gid=0"",""1_ACUM!A4:S""),19,FALSE))"),44620)</f>
        <v>44620</v>
      </c>
      <c r="BF113" s="23">
        <f ca="1">IFERROR(__xludf.DUMMYFUNCTION("IFERROR(VLOOKUP(F104,IMPORTRANGE(""https://docs.google.com/spreadsheets/d/1Kvs4KS76FHFqLFIZfrDMff4kP08nblUkihrxltoGBjg/edit#gid=934712705"",""ESENCIAL!A6:BG""),5,FALSE))"),44804)</f>
        <v>44804</v>
      </c>
      <c r="BG113" s="23">
        <f t="shared" ca="1" si="13"/>
        <v>45351</v>
      </c>
      <c r="BH113" s="19" t="str">
        <f t="shared" ca="1" si="14"/>
        <v>FICHA EN TIEMPO-18 MESES</v>
      </c>
      <c r="BI113" s="19" t="str">
        <f ca="1">IFERROR(__xludf.DUMMYFUNCTION("IFERROR(VLOOKUP(F104,IMPORTRANGE(""https://docs.google.com/spreadsheets/d/1Kvs4KS76FHFqLFIZfrDMff4kP08nblUkihrxltoGBjg/edit#gid=934712705"",""ESENCIAL!A6:BG""),18,FALSE))"),"Terminada por fecha")</f>
        <v>Terminada por fecha</v>
      </c>
      <c r="BJ113" s="19" t="str">
        <f t="shared" si="15"/>
        <v>Yamboro</v>
      </c>
      <c r="BK113" s="291"/>
      <c r="BL113" s="19"/>
    </row>
    <row r="114" spans="1:64" s="180" customFormat="1" ht="18" hidden="1" customHeight="1">
      <c r="A114" s="290"/>
      <c r="B114" s="145" t="s">
        <v>25</v>
      </c>
      <c r="C114" s="57" t="s">
        <v>1373</v>
      </c>
      <c r="D114" s="57" t="s">
        <v>27</v>
      </c>
      <c r="E114" s="57">
        <v>1149196255</v>
      </c>
      <c r="F114" s="114">
        <v>2356780</v>
      </c>
      <c r="G114" s="11" t="str">
        <f ca="1">IFERROR(__xludf.DUMMYFUNCTION("IFERROR(VLOOKUP(F105,IMPORTRANGE(""https://docs.google.com/spreadsheets/d/1Kvs4KS76FHFqLFIZfrDMff4kP08nblUkihrxltoGBjg/edit#gid=934712705"",""ESENCIAL!A6:BG""),3,FALSE))"),"TÉCNICO")</f>
        <v>TÉCNICO</v>
      </c>
      <c r="H114" s="11" t="str">
        <f ca="1">IFERROR(__xludf.DUMMYFUNCTION("IFERROR(VLOOKUP(F105,IMPORTRANGE(""https://docs.google.com/spreadsheets/d/1Kvs4KS76FHFqLFIZfrDMff4kP08nblUkihrxltoGBjg/edit#gid=934712705"",""ESENCIAL!A6:BG""),8,FALSE))"),"PRODUCCION DE CAFE")</f>
        <v>PRODUCCION DE CAFE</v>
      </c>
      <c r="I114" s="53"/>
      <c r="J114" s="30"/>
      <c r="K114" s="30"/>
      <c r="L114" s="285" t="s">
        <v>44</v>
      </c>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19" t="str">
        <f t="shared" ca="1" si="12"/>
        <v>Procede_E_P</v>
      </c>
      <c r="AV114" s="11" t="str">
        <f ca="1">IFERROR(__xludf.DUMMYFUNCTION("IFERROR(VLOOKUP(E105&amp;F105,IMPORTRANGE(""https://docs.google.com/spreadsheets/d/1Uw7-A9f9R21vMXxHZFNpYNeKFtG8_yji4HS352LGlSQ/edit?pli=1#gid=0"",""1_ACUM!A4:S""),11,FALSE))"),"EN FORMACION")</f>
        <v>EN FORMACION</v>
      </c>
      <c r="AW114" s="20" t="str">
        <f ca="1">IFERROR(__xludf.DUMMYFUNCTION("IFERROR(VLOOKUP(F105,IMPORTRANGE(""https://docs.google.com/spreadsheets/d/1Kvs4KS76FHFqLFIZfrDMff4kP08nblUkihrxltoGBjg/edit#gid=934712705"",""ESENCIAL!A6:BG""),15,FALSE))"),"AGROPECUARIO")</f>
        <v>AGROPECUARIO</v>
      </c>
      <c r="AX114" s="21">
        <f ca="1">IFERROR(__xludf.DUMMYFUNCTION("IFERROR(VLOOKUP(E105&amp;F105,IMPORTRANGE(""https://docs.google.com/spreadsheets/d/1Uw7-A9f9R21vMXxHZFNpYNeKFtG8_yji4HS352LGlSQ/edit?pli=1#gid=0"",""1_ACUM!A4:S""),12,FALSE))"),44839)</f>
        <v>44839</v>
      </c>
      <c r="AY114" s="22">
        <f ca="1">IFERROR(__xludf.DUMMYFUNCTION("IFERROR(VLOOKUP(E105&amp;F105,IMPORTRANGE(""https://docs.google.com/spreadsheets/d/1Uw7-A9f9R21vMXxHZFNpYNeKFtG8_yji4HS352LGlSQ/edit?pli=1#gid=0"",""1_ACUM!A4:S""),13,FALSE))"),0)</f>
        <v>0</v>
      </c>
      <c r="AZ114" s="22">
        <f ca="1">IFERROR(__xludf.DUMMYFUNCTION("IFERROR(VLOOKUP(E105&amp;F105,IMPORTRANGE(""https://docs.google.com/spreadsheets/d/1Uw7-A9f9R21vMXxHZFNpYNeKFtG8_yji4HS352LGlSQ/edit?pli=1#gid=0"",""1_ACUM!A4:S""),14,FALSE))"),1)</f>
        <v>1</v>
      </c>
      <c r="BA114" s="22">
        <f ca="1">IFERROR(__xludf.DUMMYFUNCTION("IFERROR(VLOOKUP(E105&amp;F105,IMPORTRANGE(""https://docs.google.com/spreadsheets/d/1Uw7-A9f9R21vMXxHZFNpYNeKFtG8_yji4HS352LGlSQ/edit?pli=1#gid=0"",""1_ACUM!A4:S""),15,FALSE))"),0)</f>
        <v>0</v>
      </c>
      <c r="BB114" s="22">
        <f ca="1">IFERROR(__xludf.DUMMYFUNCTION("IFERROR(VLOOKUP(E105&amp;F105,IMPORTRANGE(""https://docs.google.com/spreadsheets/d/1Uw7-A9f9R21vMXxHZFNpYNeKFtG8_yji4HS352LGlSQ/edit?pli=1#gid=0"",""1_ACUM!A4:S""),16,FALSE))"),0)</f>
        <v>0</v>
      </c>
      <c r="BC114" s="22">
        <f ca="1">IFERROR(__xludf.DUMMYFUNCTION("IFERROR(VLOOKUP(E105&amp;F105,IMPORTRANGE(""https://docs.google.com/spreadsheets/d/1Uw7-A9f9R21vMXxHZFNpYNeKFtG8_yji4HS352LGlSQ/edit?pli=1#gid=0"",""1_ACUM!A4:S""),17,FALSE))"),1)</f>
        <v>1</v>
      </c>
      <c r="BD114" s="23">
        <f ca="1">IFERROR(__xludf.DUMMYFUNCTION("IFERROR(VLOOKUP(E105&amp;F105,IMPORTRANGE(""https://docs.google.com/spreadsheets/d/1Uw7-A9f9R21vMXxHZFNpYNeKFtG8_yji4HS352LGlSQ/edit?pli=1#gid=0"",""1_ACUM!A4:S""),18,FALSE))"),44348)</f>
        <v>44348</v>
      </c>
      <c r="BE114" s="23">
        <f ca="1">IFERROR(__xludf.DUMMYFUNCTION("IFERROR(VLOOKUP(E105&amp;F105,IMPORTRANGE(""https://docs.google.com/spreadsheets/d/1Uw7-A9f9R21vMXxHZFNpYNeKFtG8_yji4HS352LGlSQ/edit?pli=1#gid=0"",""1_ACUM!A4:S""),19,FALSE))"),44620)</f>
        <v>44620</v>
      </c>
      <c r="BF114" s="23">
        <f ca="1">IFERROR(__xludf.DUMMYFUNCTION("IFERROR(VLOOKUP(F105,IMPORTRANGE(""https://docs.google.com/spreadsheets/d/1Kvs4KS76FHFqLFIZfrDMff4kP08nblUkihrxltoGBjg/edit#gid=934712705"",""ESENCIAL!A6:BG""),5,FALSE))"),44804)</f>
        <v>44804</v>
      </c>
      <c r="BG114" s="23">
        <f t="shared" ca="1" si="13"/>
        <v>45351</v>
      </c>
      <c r="BH114" s="19" t="str">
        <f t="shared" ca="1" si="14"/>
        <v>FICHA EN TIEMPO-18 MESES</v>
      </c>
      <c r="BI114" s="19" t="str">
        <f ca="1">IFERROR(__xludf.DUMMYFUNCTION("IFERROR(VLOOKUP(F105,IMPORTRANGE(""https://docs.google.com/spreadsheets/d/1Kvs4KS76FHFqLFIZfrDMff4kP08nblUkihrxltoGBjg/edit#gid=934712705"",""ESENCIAL!A6:BG""),18,FALSE))"),"Terminada por fecha")</f>
        <v>Terminada por fecha</v>
      </c>
      <c r="BJ114" s="19" t="str">
        <f t="shared" si="15"/>
        <v>Yamboro</v>
      </c>
      <c r="BK114" s="295"/>
      <c r="BL114" s="173"/>
    </row>
    <row r="115" spans="1:64" s="180" customFormat="1" ht="18" hidden="1" customHeight="1">
      <c r="A115" s="290"/>
      <c r="B115" s="145" t="s">
        <v>25</v>
      </c>
      <c r="C115" s="57" t="s">
        <v>1374</v>
      </c>
      <c r="D115" s="57" t="s">
        <v>27</v>
      </c>
      <c r="E115" s="57">
        <v>1149196258</v>
      </c>
      <c r="F115" s="114">
        <v>2356780</v>
      </c>
      <c r="G115" s="11" t="str">
        <f ca="1">IFERROR(__xludf.DUMMYFUNCTION("IFERROR(VLOOKUP(F106,IMPORTRANGE(""https://docs.google.com/spreadsheets/d/1Kvs4KS76FHFqLFIZfrDMff4kP08nblUkihrxltoGBjg/edit#gid=934712705"",""ESENCIAL!A6:BG""),3,FALSE))"),"TÉCNICO")</f>
        <v>TÉCNICO</v>
      </c>
      <c r="H115" s="11" t="str">
        <f ca="1">IFERROR(__xludf.DUMMYFUNCTION("IFERROR(VLOOKUP(F106,IMPORTRANGE(""https://docs.google.com/spreadsheets/d/1Kvs4KS76FHFqLFIZfrDMff4kP08nblUkihrxltoGBjg/edit#gid=934712705"",""ESENCIAL!A6:BG""),8,FALSE))"),"PRODUCCION DE CAFE")</f>
        <v>PRODUCCION DE CAFE</v>
      </c>
      <c r="I115" s="53"/>
      <c r="J115" s="30"/>
      <c r="K115" s="30"/>
      <c r="L115" s="285" t="s">
        <v>44</v>
      </c>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19" t="str">
        <f t="shared" ca="1" si="12"/>
        <v>Procede_E_P</v>
      </c>
      <c r="AV115" s="11" t="str">
        <f ca="1">IFERROR(__xludf.DUMMYFUNCTION("IFERROR(VLOOKUP(E106&amp;F106,IMPORTRANGE(""https://docs.google.com/spreadsheets/d/1Uw7-A9f9R21vMXxHZFNpYNeKFtG8_yji4HS352LGlSQ/edit?pli=1#gid=0"",""1_ACUM!A4:S""),11,FALSE))"),"EN FORMACION")</f>
        <v>EN FORMACION</v>
      </c>
      <c r="AW115" s="20" t="str">
        <f ca="1">IFERROR(__xludf.DUMMYFUNCTION("IFERROR(VLOOKUP(F106,IMPORTRANGE(""https://docs.google.com/spreadsheets/d/1Kvs4KS76FHFqLFIZfrDMff4kP08nblUkihrxltoGBjg/edit#gid=934712705"",""ESENCIAL!A6:BG""),15,FALSE))"),"AGROPECUARIO")</f>
        <v>AGROPECUARIO</v>
      </c>
      <c r="AX115" s="21">
        <f ca="1">IFERROR(__xludf.DUMMYFUNCTION("IFERROR(VLOOKUP(E106&amp;F106,IMPORTRANGE(""https://docs.google.com/spreadsheets/d/1Uw7-A9f9R21vMXxHZFNpYNeKFtG8_yji4HS352LGlSQ/edit?pli=1#gid=0"",""1_ACUM!A4:S""),12,FALSE))"),44839)</f>
        <v>44839</v>
      </c>
      <c r="AY115" s="22">
        <f ca="1">IFERROR(__xludf.DUMMYFUNCTION("IFERROR(VLOOKUP(E106&amp;F106,IMPORTRANGE(""https://docs.google.com/spreadsheets/d/1Uw7-A9f9R21vMXxHZFNpYNeKFtG8_yji4HS352LGlSQ/edit?pli=1#gid=0"",""1_ACUM!A4:S""),13,FALSE))"),0)</f>
        <v>0</v>
      </c>
      <c r="AZ115" s="22">
        <f ca="1">IFERROR(__xludf.DUMMYFUNCTION("IFERROR(VLOOKUP(E106&amp;F106,IMPORTRANGE(""https://docs.google.com/spreadsheets/d/1Uw7-A9f9R21vMXxHZFNpYNeKFtG8_yji4HS352LGlSQ/edit?pli=1#gid=0"",""1_ACUM!A4:S""),14,FALSE))"),1)</f>
        <v>1</v>
      </c>
      <c r="BA115" s="22">
        <f ca="1">IFERROR(__xludf.DUMMYFUNCTION("IFERROR(VLOOKUP(E106&amp;F106,IMPORTRANGE(""https://docs.google.com/spreadsheets/d/1Uw7-A9f9R21vMXxHZFNpYNeKFtG8_yji4HS352LGlSQ/edit?pli=1#gid=0"",""1_ACUM!A4:S""),15,FALSE))"),0)</f>
        <v>0</v>
      </c>
      <c r="BB115" s="22">
        <f ca="1">IFERROR(__xludf.DUMMYFUNCTION("IFERROR(VLOOKUP(E106&amp;F106,IMPORTRANGE(""https://docs.google.com/spreadsheets/d/1Uw7-A9f9R21vMXxHZFNpYNeKFtG8_yji4HS352LGlSQ/edit?pli=1#gid=0"",""1_ACUM!A4:S""),16,FALSE))"),0)</f>
        <v>0</v>
      </c>
      <c r="BC115" s="22">
        <f ca="1">IFERROR(__xludf.DUMMYFUNCTION("IFERROR(VLOOKUP(E106&amp;F106,IMPORTRANGE(""https://docs.google.com/spreadsheets/d/1Uw7-A9f9R21vMXxHZFNpYNeKFtG8_yji4HS352LGlSQ/edit?pli=1#gid=0"",""1_ACUM!A4:S""),17,FALSE))"),1)</f>
        <v>1</v>
      </c>
      <c r="BD115" s="23">
        <f ca="1">IFERROR(__xludf.DUMMYFUNCTION("IFERROR(VLOOKUP(E106&amp;F106,IMPORTRANGE(""https://docs.google.com/spreadsheets/d/1Uw7-A9f9R21vMXxHZFNpYNeKFtG8_yji4HS352LGlSQ/edit?pli=1#gid=0"",""1_ACUM!A4:S""),18,FALSE))"),44348)</f>
        <v>44348</v>
      </c>
      <c r="BE115" s="23">
        <f ca="1">IFERROR(__xludf.DUMMYFUNCTION("IFERROR(VLOOKUP(E106&amp;F106,IMPORTRANGE(""https://docs.google.com/spreadsheets/d/1Uw7-A9f9R21vMXxHZFNpYNeKFtG8_yji4HS352LGlSQ/edit?pli=1#gid=0"",""1_ACUM!A4:S""),19,FALSE))"),44620)</f>
        <v>44620</v>
      </c>
      <c r="BF115" s="23">
        <f ca="1">IFERROR(__xludf.DUMMYFUNCTION("IFERROR(VLOOKUP(F106,IMPORTRANGE(""https://docs.google.com/spreadsheets/d/1Kvs4KS76FHFqLFIZfrDMff4kP08nblUkihrxltoGBjg/edit#gid=934712705"",""ESENCIAL!A6:BG""),5,FALSE))"),44804)</f>
        <v>44804</v>
      </c>
      <c r="BG115" s="23">
        <f t="shared" ca="1" si="13"/>
        <v>45351</v>
      </c>
      <c r="BH115" s="19" t="str">
        <f t="shared" ca="1" si="14"/>
        <v>FICHA EN TIEMPO-18 MESES</v>
      </c>
      <c r="BI115" s="19" t="str">
        <f ca="1">IFERROR(__xludf.DUMMYFUNCTION("IFERROR(VLOOKUP(F106,IMPORTRANGE(""https://docs.google.com/spreadsheets/d/1Kvs4KS76FHFqLFIZfrDMff4kP08nblUkihrxltoGBjg/edit#gid=934712705"",""ESENCIAL!A6:BG""),18,FALSE))"),"Terminada por fecha")</f>
        <v>Terminada por fecha</v>
      </c>
      <c r="BJ115" s="19" t="str">
        <f t="shared" si="15"/>
        <v>Yamboro</v>
      </c>
      <c r="BK115" s="295"/>
      <c r="BL115" s="173"/>
    </row>
    <row r="116" spans="1:64" s="180" customFormat="1" ht="18" hidden="1" customHeight="1">
      <c r="A116" s="290"/>
      <c r="B116" s="145" t="s">
        <v>25</v>
      </c>
      <c r="C116" s="57" t="s">
        <v>1375</v>
      </c>
      <c r="D116" s="57" t="s">
        <v>27</v>
      </c>
      <c r="E116" s="56">
        <v>1149196403</v>
      </c>
      <c r="F116" s="114">
        <v>2356780</v>
      </c>
      <c r="G116" s="11" t="str">
        <f ca="1">IFERROR(__xludf.DUMMYFUNCTION("IFERROR(VLOOKUP(F107,IMPORTRANGE(""https://docs.google.com/spreadsheets/d/1Kvs4KS76FHFqLFIZfrDMff4kP08nblUkihrxltoGBjg/edit#gid=934712705"",""ESENCIAL!A6:BG""),3,FALSE))"),"TÉCNICO")</f>
        <v>TÉCNICO</v>
      </c>
      <c r="H116" s="11" t="str">
        <f ca="1">IFERROR(__xludf.DUMMYFUNCTION("IFERROR(VLOOKUP(F107,IMPORTRANGE(""https://docs.google.com/spreadsheets/d/1Kvs4KS76FHFqLFIZfrDMff4kP08nblUkihrxltoGBjg/edit#gid=934712705"",""ESENCIAL!A6:BG""),8,FALSE))"),"PRODUCCION DE CAFE")</f>
        <v>PRODUCCION DE CAFE</v>
      </c>
      <c r="I116" s="53"/>
      <c r="J116" s="30"/>
      <c r="K116" s="30"/>
      <c r="L116" s="285" t="s">
        <v>44</v>
      </c>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19" t="str">
        <f t="shared" ca="1" si="12"/>
        <v>NO_CUMPLE</v>
      </c>
      <c r="AV116" s="11" t="str">
        <f ca="1">IFERROR(__xludf.DUMMYFUNCTION("IFERROR(VLOOKUP(E107&amp;F107,IMPORTRANGE(""https://docs.google.com/spreadsheets/d/1Uw7-A9f9R21vMXxHZFNpYNeKFtG8_yji4HS352LGlSQ/edit?pli=1#gid=0"",""1_ACUM!A4:S""),11,FALSE))"),"EN FORMACION")</f>
        <v>EN FORMACION</v>
      </c>
      <c r="AW116" s="20" t="str">
        <f ca="1">IFERROR(__xludf.DUMMYFUNCTION("IFERROR(VLOOKUP(F107,IMPORTRANGE(""https://docs.google.com/spreadsheets/d/1Kvs4KS76FHFqLFIZfrDMff4kP08nblUkihrxltoGBjg/edit#gid=934712705"",""ESENCIAL!A6:BG""),15,FALSE))"),"AGROPECUARIO")</f>
        <v>AGROPECUARIO</v>
      </c>
      <c r="AX116" s="21">
        <f ca="1">IFERROR(__xludf.DUMMYFUNCTION("IFERROR(VLOOKUP(E107&amp;F107,IMPORTRANGE(""https://docs.google.com/spreadsheets/d/1Uw7-A9f9R21vMXxHZFNpYNeKFtG8_yji4HS352LGlSQ/edit?pli=1#gid=0"",""1_ACUM!A4:S""),12,FALSE))"),44839)</f>
        <v>44839</v>
      </c>
      <c r="AY116" s="22">
        <f ca="1">IFERROR(__xludf.DUMMYFUNCTION("IFERROR(VLOOKUP(E107&amp;F107,IMPORTRANGE(""https://docs.google.com/spreadsheets/d/1Uw7-A9f9R21vMXxHZFNpYNeKFtG8_yji4HS352LGlSQ/edit?pli=1#gid=0"",""1_ACUM!A4:S""),13,FALSE))"),9)</f>
        <v>9</v>
      </c>
      <c r="AZ116" s="22">
        <f ca="1">IFERROR(__xludf.DUMMYFUNCTION("IFERROR(VLOOKUP(E107&amp;F107,IMPORTRANGE(""https://docs.google.com/spreadsheets/d/1Uw7-A9f9R21vMXxHZFNpYNeKFtG8_yji4HS352LGlSQ/edit?pli=1#gid=0"",""1_ACUM!A4:S""),14,FALSE))"),1)</f>
        <v>1</v>
      </c>
      <c r="BA116" s="22">
        <f ca="1">IFERROR(__xludf.DUMMYFUNCTION("IFERROR(VLOOKUP(E107&amp;F107,IMPORTRANGE(""https://docs.google.com/spreadsheets/d/1Uw7-A9f9R21vMXxHZFNpYNeKFtG8_yji4HS352LGlSQ/edit?pli=1#gid=0"",""1_ACUM!A4:S""),15,FALSE))"),7)</f>
        <v>7</v>
      </c>
      <c r="BB116" s="22">
        <f ca="1">IFERROR(__xludf.DUMMYFUNCTION("IFERROR(VLOOKUP(E107&amp;F107,IMPORTRANGE(""https://docs.google.com/spreadsheets/d/1Uw7-A9f9R21vMXxHZFNpYNeKFtG8_yji4HS352LGlSQ/edit?pli=1#gid=0"",""1_ACUM!A4:S""),16,FALSE))"),19)</f>
        <v>19</v>
      </c>
      <c r="BC116" s="22">
        <f ca="1">IFERROR(__xludf.DUMMYFUNCTION("IFERROR(VLOOKUP(E107&amp;F107,IMPORTRANGE(""https://docs.google.com/spreadsheets/d/1Uw7-A9f9R21vMXxHZFNpYNeKFtG8_yji4HS352LGlSQ/edit?pli=1#gid=0"",""1_ACUM!A4:S""),17,FALSE))"),36)</f>
        <v>36</v>
      </c>
      <c r="BD116" s="23">
        <f ca="1">IFERROR(__xludf.DUMMYFUNCTION("IFERROR(VLOOKUP(E107&amp;F107,IMPORTRANGE(""https://docs.google.com/spreadsheets/d/1Uw7-A9f9R21vMXxHZFNpYNeKFtG8_yji4HS352LGlSQ/edit?pli=1#gid=0"",""1_ACUM!A4:S""),18,FALSE))"),44348)</f>
        <v>44348</v>
      </c>
      <c r="BE116" s="23">
        <f ca="1">IFERROR(__xludf.DUMMYFUNCTION("IFERROR(VLOOKUP(E107&amp;F107,IMPORTRANGE(""https://docs.google.com/spreadsheets/d/1Uw7-A9f9R21vMXxHZFNpYNeKFtG8_yji4HS352LGlSQ/edit?pli=1#gid=0"",""1_ACUM!A4:S""),19,FALSE))"),44620)</f>
        <v>44620</v>
      </c>
      <c r="BF116" s="23">
        <f ca="1">IFERROR(__xludf.DUMMYFUNCTION("IFERROR(VLOOKUP(F107,IMPORTRANGE(""https://docs.google.com/spreadsheets/d/1Kvs4KS76FHFqLFIZfrDMff4kP08nblUkihrxltoGBjg/edit#gid=934712705"",""ESENCIAL!A6:BG""),5,FALSE))"),44804)</f>
        <v>44804</v>
      </c>
      <c r="BG116" s="23">
        <f t="shared" ca="1" si="13"/>
        <v>45351</v>
      </c>
      <c r="BH116" s="19" t="str">
        <f t="shared" ca="1" si="14"/>
        <v>FICHA EN TIEMPO-18 MESES</v>
      </c>
      <c r="BI116" s="19" t="str">
        <f ca="1">IFERROR(__xludf.DUMMYFUNCTION("IFERROR(VLOOKUP(F107,IMPORTRANGE(""https://docs.google.com/spreadsheets/d/1Kvs4KS76FHFqLFIZfrDMff4kP08nblUkihrxltoGBjg/edit#gid=934712705"",""ESENCIAL!A6:BG""),18,FALSE))"),"Terminada por fecha")</f>
        <v>Terminada por fecha</v>
      </c>
      <c r="BJ116" s="19" t="str">
        <f t="shared" si="15"/>
        <v>Yamboro</v>
      </c>
      <c r="BK116" s="295"/>
      <c r="BL116" s="173"/>
    </row>
    <row r="117" spans="1:64" s="180" customFormat="1" ht="18" hidden="1" customHeight="1">
      <c r="A117" s="290"/>
      <c r="B117" s="145" t="s">
        <v>25</v>
      </c>
      <c r="C117" s="57" t="s">
        <v>1376</v>
      </c>
      <c r="D117" s="57" t="s">
        <v>27</v>
      </c>
      <c r="E117" s="57">
        <v>12143121</v>
      </c>
      <c r="F117" s="114">
        <v>2356780</v>
      </c>
      <c r="G117" s="11" t="str">
        <f ca="1">IFERROR(__xludf.DUMMYFUNCTION("IFERROR(VLOOKUP(F108,IMPORTRANGE(""https://docs.google.com/spreadsheets/d/1Kvs4KS76FHFqLFIZfrDMff4kP08nblUkihrxltoGBjg/edit#gid=934712705"",""ESENCIAL!A6:BG""),3,FALSE))"),"TÉCNICO")</f>
        <v>TÉCNICO</v>
      </c>
      <c r="H117" s="11" t="str">
        <f ca="1">IFERROR(__xludf.DUMMYFUNCTION("IFERROR(VLOOKUP(F108,IMPORTRANGE(""https://docs.google.com/spreadsheets/d/1Kvs4KS76FHFqLFIZfrDMff4kP08nblUkihrxltoGBjg/edit#gid=934712705"",""ESENCIAL!A6:BG""),8,FALSE))"),"PRODUCCION DE CAFE")</f>
        <v>PRODUCCION DE CAFE</v>
      </c>
      <c r="I117" s="53"/>
      <c r="J117" s="30"/>
      <c r="K117" s="30"/>
      <c r="L117" s="285" t="s">
        <v>44</v>
      </c>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19" t="str">
        <f t="shared" ref="AU117:AU148" ca="1" si="16">IF(E117&gt;0,IF(AND(BC117=1,AZ117=1),"Procede_E_P","NO_CUMPLE"),"")</f>
        <v>Procede_E_P</v>
      </c>
      <c r="AV117" s="11" t="str">
        <f ca="1">IFERROR(__xludf.DUMMYFUNCTION("IFERROR(VLOOKUP(E108&amp;F108,IMPORTRANGE(""https://docs.google.com/spreadsheets/d/1Uw7-A9f9R21vMXxHZFNpYNeKFtG8_yji4HS352LGlSQ/edit?pli=1#gid=0"",""1_ACUM!A4:S""),11,FALSE))"),"EN FORMACION")</f>
        <v>EN FORMACION</v>
      </c>
      <c r="AW117" s="20" t="str">
        <f ca="1">IFERROR(__xludf.DUMMYFUNCTION("IFERROR(VLOOKUP(F108,IMPORTRANGE(""https://docs.google.com/spreadsheets/d/1Kvs4KS76FHFqLFIZfrDMff4kP08nblUkihrxltoGBjg/edit#gid=934712705"",""ESENCIAL!A6:BG""),15,FALSE))"),"AGROPECUARIO")</f>
        <v>AGROPECUARIO</v>
      </c>
      <c r="AX117" s="21">
        <f ca="1">IFERROR(__xludf.DUMMYFUNCTION("IFERROR(VLOOKUP(E108&amp;F108,IMPORTRANGE(""https://docs.google.com/spreadsheets/d/1Uw7-A9f9R21vMXxHZFNpYNeKFtG8_yji4HS352LGlSQ/edit?pli=1#gid=0"",""1_ACUM!A4:S""),12,FALSE))"),44839)</f>
        <v>44839</v>
      </c>
      <c r="AY117" s="22">
        <f ca="1">IFERROR(__xludf.DUMMYFUNCTION("IFERROR(VLOOKUP(E108&amp;F108,IMPORTRANGE(""https://docs.google.com/spreadsheets/d/1Uw7-A9f9R21vMXxHZFNpYNeKFtG8_yji4HS352LGlSQ/edit?pli=1#gid=0"",""1_ACUM!A4:S""),13,FALSE))"),0)</f>
        <v>0</v>
      </c>
      <c r="AZ117" s="22">
        <f ca="1">IFERROR(__xludf.DUMMYFUNCTION("IFERROR(VLOOKUP(E108&amp;F108,IMPORTRANGE(""https://docs.google.com/spreadsheets/d/1Uw7-A9f9R21vMXxHZFNpYNeKFtG8_yji4HS352LGlSQ/edit?pli=1#gid=0"",""1_ACUM!A4:S""),14,FALSE))"),1)</f>
        <v>1</v>
      </c>
      <c r="BA117" s="22">
        <f ca="1">IFERROR(__xludf.DUMMYFUNCTION("IFERROR(VLOOKUP(E108&amp;F108,IMPORTRANGE(""https://docs.google.com/spreadsheets/d/1Uw7-A9f9R21vMXxHZFNpYNeKFtG8_yji4HS352LGlSQ/edit?pli=1#gid=0"",""1_ACUM!A4:S""),15,FALSE))"),0)</f>
        <v>0</v>
      </c>
      <c r="BB117" s="22">
        <f ca="1">IFERROR(__xludf.DUMMYFUNCTION("IFERROR(VLOOKUP(E108&amp;F108,IMPORTRANGE(""https://docs.google.com/spreadsheets/d/1Uw7-A9f9R21vMXxHZFNpYNeKFtG8_yji4HS352LGlSQ/edit?pli=1#gid=0"",""1_ACUM!A4:S""),16,FALSE))"),0)</f>
        <v>0</v>
      </c>
      <c r="BC117" s="22">
        <f ca="1">IFERROR(__xludf.DUMMYFUNCTION("IFERROR(VLOOKUP(E108&amp;F108,IMPORTRANGE(""https://docs.google.com/spreadsheets/d/1Uw7-A9f9R21vMXxHZFNpYNeKFtG8_yji4HS352LGlSQ/edit?pli=1#gid=0"",""1_ACUM!A4:S""),17,FALSE))"),1)</f>
        <v>1</v>
      </c>
      <c r="BD117" s="23">
        <f ca="1">IFERROR(__xludf.DUMMYFUNCTION("IFERROR(VLOOKUP(E108&amp;F108,IMPORTRANGE(""https://docs.google.com/spreadsheets/d/1Uw7-A9f9R21vMXxHZFNpYNeKFtG8_yji4HS352LGlSQ/edit?pli=1#gid=0"",""1_ACUM!A4:S""),18,FALSE))"),44348)</f>
        <v>44348</v>
      </c>
      <c r="BE117" s="23">
        <f ca="1">IFERROR(__xludf.DUMMYFUNCTION("IFERROR(VLOOKUP(E108&amp;F108,IMPORTRANGE(""https://docs.google.com/spreadsheets/d/1Uw7-A9f9R21vMXxHZFNpYNeKFtG8_yji4HS352LGlSQ/edit?pli=1#gid=0"",""1_ACUM!A4:S""),19,FALSE))"),44620)</f>
        <v>44620</v>
      </c>
      <c r="BF117" s="23">
        <f ca="1">IFERROR(__xludf.DUMMYFUNCTION("IFERROR(VLOOKUP(F108,IMPORTRANGE(""https://docs.google.com/spreadsheets/d/1Kvs4KS76FHFqLFIZfrDMff4kP08nblUkihrxltoGBjg/edit#gid=934712705"",""ESENCIAL!A6:BG""),5,FALSE))"),44804)</f>
        <v>44804</v>
      </c>
      <c r="BG117" s="23">
        <f t="shared" ref="BG117:BG148" ca="1" si="17">IF(F117&gt;0,EDATE(BF117,18),"")</f>
        <v>45351</v>
      </c>
      <c r="BH117" s="19" t="str">
        <f t="shared" ref="BH117:BH148" ca="1" si="18">IF(F117&gt;0,IF(BG117&lt;$BH$1,"FINALIZAR FICHA","FICHA EN TIEMPO-18 MESES"),"")</f>
        <v>FICHA EN TIEMPO-18 MESES</v>
      </c>
      <c r="BI117" s="19" t="str">
        <f ca="1">IFERROR(__xludf.DUMMYFUNCTION("IFERROR(VLOOKUP(F108,IMPORTRANGE(""https://docs.google.com/spreadsheets/d/1Kvs4KS76FHFqLFIZfrDMff4kP08nblUkihrxltoGBjg/edit#gid=934712705"",""ESENCIAL!A6:BG""),18,FALSE))"),"Terminada por fecha")</f>
        <v>Terminada por fecha</v>
      </c>
      <c r="BJ117" s="19" t="str">
        <f t="shared" ref="BJ117:BJ148" si="19">IF(F117&gt;0,"Yamboro","")</f>
        <v>Yamboro</v>
      </c>
      <c r="BK117" s="295"/>
      <c r="BL117" s="173"/>
    </row>
    <row r="118" spans="1:64" s="180" customFormat="1" ht="18" hidden="1" customHeight="1">
      <c r="A118" s="290"/>
      <c r="B118" s="145" t="s">
        <v>25</v>
      </c>
      <c r="C118" s="57" t="s">
        <v>1377</v>
      </c>
      <c r="D118" s="57" t="s">
        <v>27</v>
      </c>
      <c r="E118" s="57">
        <v>12143577</v>
      </c>
      <c r="F118" s="114">
        <v>2356780</v>
      </c>
      <c r="G118" s="11" t="str">
        <f ca="1">IFERROR(__xludf.DUMMYFUNCTION("IFERROR(VLOOKUP(F109,IMPORTRANGE(""https://docs.google.com/spreadsheets/d/1Kvs4KS76FHFqLFIZfrDMff4kP08nblUkihrxltoGBjg/edit#gid=934712705"",""ESENCIAL!A6:BG""),3,FALSE))"),"TÉCNICO")</f>
        <v>TÉCNICO</v>
      </c>
      <c r="H118" s="11" t="str">
        <f ca="1">IFERROR(__xludf.DUMMYFUNCTION("IFERROR(VLOOKUP(F109,IMPORTRANGE(""https://docs.google.com/spreadsheets/d/1Kvs4KS76FHFqLFIZfrDMff4kP08nblUkihrxltoGBjg/edit#gid=934712705"",""ESENCIAL!A6:BG""),8,FALSE))"),"PRODUCCION DE CAFE")</f>
        <v>PRODUCCION DE CAFE</v>
      </c>
      <c r="I118" s="53"/>
      <c r="J118" s="30"/>
      <c r="K118" s="30"/>
      <c r="L118" s="285" t="s">
        <v>44</v>
      </c>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19" t="str">
        <f t="shared" ca="1" si="16"/>
        <v>Procede_E_P</v>
      </c>
      <c r="AV118" s="11" t="str">
        <f ca="1">IFERROR(__xludf.DUMMYFUNCTION("IFERROR(VLOOKUP(E109&amp;F109,IMPORTRANGE(""https://docs.google.com/spreadsheets/d/1Uw7-A9f9R21vMXxHZFNpYNeKFtG8_yji4HS352LGlSQ/edit?pli=1#gid=0"",""1_ACUM!A4:S""),11,FALSE))"),"EN FORMACION")</f>
        <v>EN FORMACION</v>
      </c>
      <c r="AW118" s="20" t="str">
        <f ca="1">IFERROR(__xludf.DUMMYFUNCTION("IFERROR(VLOOKUP(F109,IMPORTRANGE(""https://docs.google.com/spreadsheets/d/1Kvs4KS76FHFqLFIZfrDMff4kP08nblUkihrxltoGBjg/edit#gid=934712705"",""ESENCIAL!A6:BG""),15,FALSE))"),"AGROPECUARIO")</f>
        <v>AGROPECUARIO</v>
      </c>
      <c r="AX118" s="21">
        <f ca="1">IFERROR(__xludf.DUMMYFUNCTION("IFERROR(VLOOKUP(E109&amp;F109,IMPORTRANGE(""https://docs.google.com/spreadsheets/d/1Uw7-A9f9R21vMXxHZFNpYNeKFtG8_yji4HS352LGlSQ/edit?pli=1#gid=0"",""1_ACUM!A4:S""),12,FALSE))"),44839)</f>
        <v>44839</v>
      </c>
      <c r="AY118" s="22">
        <f ca="1">IFERROR(__xludf.DUMMYFUNCTION("IFERROR(VLOOKUP(E109&amp;F109,IMPORTRANGE(""https://docs.google.com/spreadsheets/d/1Uw7-A9f9R21vMXxHZFNpYNeKFtG8_yji4HS352LGlSQ/edit?pli=1#gid=0"",""1_ACUM!A4:S""),13,FALSE))"),0)</f>
        <v>0</v>
      </c>
      <c r="AZ118" s="22">
        <f ca="1">IFERROR(__xludf.DUMMYFUNCTION("IFERROR(VLOOKUP(E109&amp;F109,IMPORTRANGE(""https://docs.google.com/spreadsheets/d/1Uw7-A9f9R21vMXxHZFNpYNeKFtG8_yji4HS352LGlSQ/edit?pli=1#gid=0"",""1_ACUM!A4:S""),14,FALSE))"),1)</f>
        <v>1</v>
      </c>
      <c r="BA118" s="22">
        <f ca="1">IFERROR(__xludf.DUMMYFUNCTION("IFERROR(VLOOKUP(E109&amp;F109,IMPORTRANGE(""https://docs.google.com/spreadsheets/d/1Uw7-A9f9R21vMXxHZFNpYNeKFtG8_yji4HS352LGlSQ/edit?pli=1#gid=0"",""1_ACUM!A4:S""),15,FALSE))"),0)</f>
        <v>0</v>
      </c>
      <c r="BB118" s="22">
        <f ca="1">IFERROR(__xludf.DUMMYFUNCTION("IFERROR(VLOOKUP(E109&amp;F109,IMPORTRANGE(""https://docs.google.com/spreadsheets/d/1Uw7-A9f9R21vMXxHZFNpYNeKFtG8_yji4HS352LGlSQ/edit?pli=1#gid=0"",""1_ACUM!A4:S""),16,FALSE))"),0)</f>
        <v>0</v>
      </c>
      <c r="BC118" s="22">
        <f ca="1">IFERROR(__xludf.DUMMYFUNCTION("IFERROR(VLOOKUP(E109&amp;F109,IMPORTRANGE(""https://docs.google.com/spreadsheets/d/1Uw7-A9f9R21vMXxHZFNpYNeKFtG8_yji4HS352LGlSQ/edit?pli=1#gid=0"",""1_ACUM!A4:S""),17,FALSE))"),1)</f>
        <v>1</v>
      </c>
      <c r="BD118" s="23">
        <f ca="1">IFERROR(__xludf.DUMMYFUNCTION("IFERROR(VLOOKUP(E109&amp;F109,IMPORTRANGE(""https://docs.google.com/spreadsheets/d/1Uw7-A9f9R21vMXxHZFNpYNeKFtG8_yji4HS352LGlSQ/edit?pli=1#gid=0"",""1_ACUM!A4:S""),18,FALSE))"),44348)</f>
        <v>44348</v>
      </c>
      <c r="BE118" s="23">
        <f ca="1">IFERROR(__xludf.DUMMYFUNCTION("IFERROR(VLOOKUP(E109&amp;F109,IMPORTRANGE(""https://docs.google.com/spreadsheets/d/1Uw7-A9f9R21vMXxHZFNpYNeKFtG8_yji4HS352LGlSQ/edit?pli=1#gid=0"",""1_ACUM!A4:S""),19,FALSE))"),44620)</f>
        <v>44620</v>
      </c>
      <c r="BF118" s="23">
        <f ca="1">IFERROR(__xludf.DUMMYFUNCTION("IFERROR(VLOOKUP(F109,IMPORTRANGE(""https://docs.google.com/spreadsheets/d/1Kvs4KS76FHFqLFIZfrDMff4kP08nblUkihrxltoGBjg/edit#gid=934712705"",""ESENCIAL!A6:BG""),5,FALSE))"),44804)</f>
        <v>44804</v>
      </c>
      <c r="BG118" s="23">
        <f t="shared" ca="1" si="17"/>
        <v>45351</v>
      </c>
      <c r="BH118" s="19" t="str">
        <f t="shared" ca="1" si="18"/>
        <v>FICHA EN TIEMPO-18 MESES</v>
      </c>
      <c r="BI118" s="19" t="str">
        <f ca="1">IFERROR(__xludf.DUMMYFUNCTION("IFERROR(VLOOKUP(F109,IMPORTRANGE(""https://docs.google.com/spreadsheets/d/1Kvs4KS76FHFqLFIZfrDMff4kP08nblUkihrxltoGBjg/edit#gid=934712705"",""ESENCIAL!A6:BG""),18,FALSE))"),"Terminada por fecha")</f>
        <v>Terminada por fecha</v>
      </c>
      <c r="BJ118" s="19" t="str">
        <f t="shared" si="19"/>
        <v>Yamboro</v>
      </c>
      <c r="BK118" s="295"/>
      <c r="BL118" s="173"/>
    </row>
    <row r="119" spans="1:64" s="180" customFormat="1" ht="18" hidden="1" customHeight="1">
      <c r="A119" s="290"/>
      <c r="B119" s="145" t="s">
        <v>25</v>
      </c>
      <c r="C119" s="57" t="s">
        <v>1378</v>
      </c>
      <c r="D119" s="57" t="s">
        <v>27</v>
      </c>
      <c r="E119" s="57">
        <v>12144417</v>
      </c>
      <c r="F119" s="114">
        <v>2356780</v>
      </c>
      <c r="G119" s="11" t="str">
        <f ca="1">IFERROR(__xludf.DUMMYFUNCTION("IFERROR(VLOOKUP(F110,IMPORTRANGE(""https://docs.google.com/spreadsheets/d/1Kvs4KS76FHFqLFIZfrDMff4kP08nblUkihrxltoGBjg/edit#gid=934712705"",""ESENCIAL!A6:BG""),3,FALSE))"),"TÉCNICO")</f>
        <v>TÉCNICO</v>
      </c>
      <c r="H119" s="11" t="str">
        <f ca="1">IFERROR(__xludf.DUMMYFUNCTION("IFERROR(VLOOKUP(F110,IMPORTRANGE(""https://docs.google.com/spreadsheets/d/1Kvs4KS76FHFqLFIZfrDMff4kP08nblUkihrxltoGBjg/edit#gid=934712705"",""ESENCIAL!A6:BG""),8,FALSE))"),"PRODUCCION DE CAFE")</f>
        <v>PRODUCCION DE CAFE</v>
      </c>
      <c r="I119" s="53"/>
      <c r="J119" s="30"/>
      <c r="K119" s="30"/>
      <c r="L119" s="285" t="s">
        <v>44</v>
      </c>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19" t="str">
        <f t="shared" ca="1" si="16"/>
        <v>Procede_E_P</v>
      </c>
      <c r="AV119" s="11" t="str">
        <f ca="1">IFERROR(__xludf.DUMMYFUNCTION("IFERROR(VLOOKUP(E110&amp;F110,IMPORTRANGE(""https://docs.google.com/spreadsheets/d/1Uw7-A9f9R21vMXxHZFNpYNeKFtG8_yji4HS352LGlSQ/edit?pli=1#gid=0"",""1_ACUM!A4:S""),11,FALSE))"),"EN FORMACION")</f>
        <v>EN FORMACION</v>
      </c>
      <c r="AW119" s="20" t="str">
        <f ca="1">IFERROR(__xludf.DUMMYFUNCTION("IFERROR(VLOOKUP(F110,IMPORTRANGE(""https://docs.google.com/spreadsheets/d/1Kvs4KS76FHFqLFIZfrDMff4kP08nblUkihrxltoGBjg/edit#gid=934712705"",""ESENCIAL!A6:BG""),15,FALSE))"),"AGROPECUARIO")</f>
        <v>AGROPECUARIO</v>
      </c>
      <c r="AX119" s="21">
        <f ca="1">IFERROR(__xludf.DUMMYFUNCTION("IFERROR(VLOOKUP(E110&amp;F110,IMPORTRANGE(""https://docs.google.com/spreadsheets/d/1Uw7-A9f9R21vMXxHZFNpYNeKFtG8_yji4HS352LGlSQ/edit?pli=1#gid=0"",""1_ACUM!A4:S""),12,FALSE))"),44839)</f>
        <v>44839</v>
      </c>
      <c r="AY119" s="22">
        <f ca="1">IFERROR(__xludf.DUMMYFUNCTION("IFERROR(VLOOKUP(E110&amp;F110,IMPORTRANGE(""https://docs.google.com/spreadsheets/d/1Uw7-A9f9R21vMXxHZFNpYNeKFtG8_yji4HS352LGlSQ/edit?pli=1#gid=0"",""1_ACUM!A4:S""),13,FALSE))"),0)</f>
        <v>0</v>
      </c>
      <c r="AZ119" s="22">
        <f ca="1">IFERROR(__xludf.DUMMYFUNCTION("IFERROR(VLOOKUP(E110&amp;F110,IMPORTRANGE(""https://docs.google.com/spreadsheets/d/1Uw7-A9f9R21vMXxHZFNpYNeKFtG8_yji4HS352LGlSQ/edit?pli=1#gid=0"",""1_ACUM!A4:S""),14,FALSE))"),1)</f>
        <v>1</v>
      </c>
      <c r="BA119" s="22">
        <f ca="1">IFERROR(__xludf.DUMMYFUNCTION("IFERROR(VLOOKUP(E110&amp;F110,IMPORTRANGE(""https://docs.google.com/spreadsheets/d/1Uw7-A9f9R21vMXxHZFNpYNeKFtG8_yji4HS352LGlSQ/edit?pli=1#gid=0"",""1_ACUM!A4:S""),15,FALSE))"),0)</f>
        <v>0</v>
      </c>
      <c r="BB119" s="22">
        <f ca="1">IFERROR(__xludf.DUMMYFUNCTION("IFERROR(VLOOKUP(E110&amp;F110,IMPORTRANGE(""https://docs.google.com/spreadsheets/d/1Uw7-A9f9R21vMXxHZFNpYNeKFtG8_yji4HS352LGlSQ/edit?pli=1#gid=0"",""1_ACUM!A4:S""),16,FALSE))"),0)</f>
        <v>0</v>
      </c>
      <c r="BC119" s="22">
        <f ca="1">IFERROR(__xludf.DUMMYFUNCTION("IFERROR(VLOOKUP(E110&amp;F110,IMPORTRANGE(""https://docs.google.com/spreadsheets/d/1Uw7-A9f9R21vMXxHZFNpYNeKFtG8_yji4HS352LGlSQ/edit?pli=1#gid=0"",""1_ACUM!A4:S""),17,FALSE))"),1)</f>
        <v>1</v>
      </c>
      <c r="BD119" s="23">
        <f ca="1">IFERROR(__xludf.DUMMYFUNCTION("IFERROR(VLOOKUP(E110&amp;F110,IMPORTRANGE(""https://docs.google.com/spreadsheets/d/1Uw7-A9f9R21vMXxHZFNpYNeKFtG8_yji4HS352LGlSQ/edit?pli=1#gid=0"",""1_ACUM!A4:S""),18,FALSE))"),44348)</f>
        <v>44348</v>
      </c>
      <c r="BE119" s="23">
        <f ca="1">IFERROR(__xludf.DUMMYFUNCTION("IFERROR(VLOOKUP(E110&amp;F110,IMPORTRANGE(""https://docs.google.com/spreadsheets/d/1Uw7-A9f9R21vMXxHZFNpYNeKFtG8_yji4HS352LGlSQ/edit?pli=1#gid=0"",""1_ACUM!A4:S""),19,FALSE))"),44620)</f>
        <v>44620</v>
      </c>
      <c r="BF119" s="23">
        <f ca="1">IFERROR(__xludf.DUMMYFUNCTION("IFERROR(VLOOKUP(F110,IMPORTRANGE(""https://docs.google.com/spreadsheets/d/1Kvs4KS76FHFqLFIZfrDMff4kP08nblUkihrxltoGBjg/edit#gid=934712705"",""ESENCIAL!A6:BG""),5,FALSE))"),44804)</f>
        <v>44804</v>
      </c>
      <c r="BG119" s="23">
        <f t="shared" ca="1" si="17"/>
        <v>45351</v>
      </c>
      <c r="BH119" s="19" t="str">
        <f t="shared" ca="1" si="18"/>
        <v>FICHA EN TIEMPO-18 MESES</v>
      </c>
      <c r="BI119" s="19" t="str">
        <f ca="1">IFERROR(__xludf.DUMMYFUNCTION("IFERROR(VLOOKUP(F110,IMPORTRANGE(""https://docs.google.com/spreadsheets/d/1Kvs4KS76FHFqLFIZfrDMff4kP08nblUkihrxltoGBjg/edit#gid=934712705"",""ESENCIAL!A6:BG""),18,FALSE))"),"Terminada por fecha")</f>
        <v>Terminada por fecha</v>
      </c>
      <c r="BJ119" s="19" t="str">
        <f t="shared" si="19"/>
        <v>Yamboro</v>
      </c>
      <c r="BK119" s="295"/>
      <c r="BL119" s="173"/>
    </row>
    <row r="120" spans="1:64" ht="18" hidden="1" customHeight="1">
      <c r="A120" s="290"/>
      <c r="B120" s="145" t="s">
        <v>25</v>
      </c>
      <c r="C120" s="57" t="s">
        <v>1379</v>
      </c>
      <c r="D120" s="57" t="s">
        <v>27</v>
      </c>
      <c r="E120" s="57">
        <v>12231601</v>
      </c>
      <c r="F120" s="114">
        <v>2356780</v>
      </c>
      <c r="G120" s="11" t="str">
        <f ca="1">IFERROR(__xludf.DUMMYFUNCTION("IFERROR(VLOOKUP(F111,IMPORTRANGE(""https://docs.google.com/spreadsheets/d/1Kvs4KS76FHFqLFIZfrDMff4kP08nblUkihrxltoGBjg/edit#gid=934712705"",""ESENCIAL!A6:BG""),3,FALSE))"),"TÉCNICO")</f>
        <v>TÉCNICO</v>
      </c>
      <c r="H120" s="11" t="str">
        <f ca="1">IFERROR(__xludf.DUMMYFUNCTION("IFERROR(VLOOKUP(F111,IMPORTRANGE(""https://docs.google.com/spreadsheets/d/1Kvs4KS76FHFqLFIZfrDMff4kP08nblUkihrxltoGBjg/edit#gid=934712705"",""ESENCIAL!A6:BG""),8,FALSE))"),"PRODUCCION DE CAFE")</f>
        <v>PRODUCCION DE CAFE</v>
      </c>
      <c r="I120" s="57"/>
      <c r="J120" s="30"/>
      <c r="K120" s="30"/>
      <c r="L120" s="285" t="s">
        <v>44</v>
      </c>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19" t="str">
        <f t="shared" ca="1" si="16"/>
        <v>Procede_E_P</v>
      </c>
      <c r="AV120" s="11" t="str">
        <f ca="1">IFERROR(__xludf.DUMMYFUNCTION("IFERROR(VLOOKUP(E111&amp;F111,IMPORTRANGE(""https://docs.google.com/spreadsheets/d/1Uw7-A9f9R21vMXxHZFNpYNeKFtG8_yji4HS352LGlSQ/edit?pli=1#gid=0"",""1_ACUM!A4:S""),11,FALSE))"),"EN FORMACION")</f>
        <v>EN FORMACION</v>
      </c>
      <c r="AW120" s="20" t="str">
        <f ca="1">IFERROR(__xludf.DUMMYFUNCTION("IFERROR(VLOOKUP(F111,IMPORTRANGE(""https://docs.google.com/spreadsheets/d/1Kvs4KS76FHFqLFIZfrDMff4kP08nblUkihrxltoGBjg/edit#gid=934712705"",""ESENCIAL!A6:BG""),15,FALSE))"),"AGROPECUARIO")</f>
        <v>AGROPECUARIO</v>
      </c>
      <c r="AX120" s="21">
        <f ca="1">IFERROR(__xludf.DUMMYFUNCTION("IFERROR(VLOOKUP(E111&amp;F111,IMPORTRANGE(""https://docs.google.com/spreadsheets/d/1Uw7-A9f9R21vMXxHZFNpYNeKFtG8_yji4HS352LGlSQ/edit?pli=1#gid=0"",""1_ACUM!A4:S""),12,FALSE))"),44839)</f>
        <v>44839</v>
      </c>
      <c r="AY120" s="22">
        <f ca="1">IFERROR(__xludf.DUMMYFUNCTION("IFERROR(VLOOKUP(E111&amp;F111,IMPORTRANGE(""https://docs.google.com/spreadsheets/d/1Uw7-A9f9R21vMXxHZFNpYNeKFtG8_yji4HS352LGlSQ/edit?pli=1#gid=0"",""1_ACUM!A4:S""),13,FALSE))"),0)</f>
        <v>0</v>
      </c>
      <c r="AZ120" s="22">
        <f ca="1">IFERROR(__xludf.DUMMYFUNCTION("IFERROR(VLOOKUP(E111&amp;F111,IMPORTRANGE(""https://docs.google.com/spreadsheets/d/1Uw7-A9f9R21vMXxHZFNpYNeKFtG8_yji4HS352LGlSQ/edit?pli=1#gid=0"",""1_ACUM!A4:S""),14,FALSE))"),1)</f>
        <v>1</v>
      </c>
      <c r="BA120" s="22">
        <f ca="1">IFERROR(__xludf.DUMMYFUNCTION("IFERROR(VLOOKUP(E111&amp;F111,IMPORTRANGE(""https://docs.google.com/spreadsheets/d/1Uw7-A9f9R21vMXxHZFNpYNeKFtG8_yji4HS352LGlSQ/edit?pli=1#gid=0"",""1_ACUM!A4:S""),15,FALSE))"),0)</f>
        <v>0</v>
      </c>
      <c r="BB120" s="22">
        <f ca="1">IFERROR(__xludf.DUMMYFUNCTION("IFERROR(VLOOKUP(E111&amp;F111,IMPORTRANGE(""https://docs.google.com/spreadsheets/d/1Uw7-A9f9R21vMXxHZFNpYNeKFtG8_yji4HS352LGlSQ/edit?pli=1#gid=0"",""1_ACUM!A4:S""),16,FALSE))"),0)</f>
        <v>0</v>
      </c>
      <c r="BC120" s="22">
        <f ca="1">IFERROR(__xludf.DUMMYFUNCTION("IFERROR(VLOOKUP(E111&amp;F111,IMPORTRANGE(""https://docs.google.com/spreadsheets/d/1Uw7-A9f9R21vMXxHZFNpYNeKFtG8_yji4HS352LGlSQ/edit?pli=1#gid=0"",""1_ACUM!A4:S""),17,FALSE))"),1)</f>
        <v>1</v>
      </c>
      <c r="BD120" s="23">
        <f ca="1">IFERROR(__xludf.DUMMYFUNCTION("IFERROR(VLOOKUP(E111&amp;F111,IMPORTRANGE(""https://docs.google.com/spreadsheets/d/1Uw7-A9f9R21vMXxHZFNpYNeKFtG8_yji4HS352LGlSQ/edit?pli=1#gid=0"",""1_ACUM!A4:S""),18,FALSE))"),44348)</f>
        <v>44348</v>
      </c>
      <c r="BE120" s="23">
        <f ca="1">IFERROR(__xludf.DUMMYFUNCTION("IFERROR(VLOOKUP(E111&amp;F111,IMPORTRANGE(""https://docs.google.com/spreadsheets/d/1Uw7-A9f9R21vMXxHZFNpYNeKFtG8_yji4HS352LGlSQ/edit?pli=1#gid=0"",""1_ACUM!A4:S""),19,FALSE))"),44620)</f>
        <v>44620</v>
      </c>
      <c r="BF120" s="23">
        <f ca="1">IFERROR(__xludf.DUMMYFUNCTION("IFERROR(VLOOKUP(F111,IMPORTRANGE(""https://docs.google.com/spreadsheets/d/1Kvs4KS76FHFqLFIZfrDMff4kP08nblUkihrxltoGBjg/edit#gid=934712705"",""ESENCIAL!A6:BG""),5,FALSE))"),44804)</f>
        <v>44804</v>
      </c>
      <c r="BG120" s="23">
        <f t="shared" ca="1" si="17"/>
        <v>45351</v>
      </c>
      <c r="BH120" s="19" t="str">
        <f t="shared" ca="1" si="18"/>
        <v>FICHA EN TIEMPO-18 MESES</v>
      </c>
      <c r="BI120" s="19" t="str">
        <f ca="1">IFERROR(__xludf.DUMMYFUNCTION("IFERROR(VLOOKUP(F111,IMPORTRANGE(""https://docs.google.com/spreadsheets/d/1Kvs4KS76FHFqLFIZfrDMff4kP08nblUkihrxltoGBjg/edit#gid=934712705"",""ESENCIAL!A6:BG""),18,FALSE))"),"Terminada por fecha")</f>
        <v>Terminada por fecha</v>
      </c>
      <c r="BJ120" s="19" t="str">
        <f t="shared" si="19"/>
        <v>Yamboro</v>
      </c>
      <c r="BK120" s="291"/>
      <c r="BL120" s="19"/>
    </row>
    <row r="121" spans="1:64" ht="18" hidden="1" customHeight="1">
      <c r="A121" s="290"/>
      <c r="B121" s="145" t="s">
        <v>25</v>
      </c>
      <c r="C121" s="57" t="s">
        <v>1380</v>
      </c>
      <c r="D121" s="57" t="s">
        <v>27</v>
      </c>
      <c r="E121" s="57">
        <v>12241466</v>
      </c>
      <c r="F121" s="114">
        <v>2356780</v>
      </c>
      <c r="G121" s="11" t="str">
        <f ca="1">IFERROR(__xludf.DUMMYFUNCTION("IFERROR(VLOOKUP(F112,IMPORTRANGE(""https://docs.google.com/spreadsheets/d/1Kvs4KS76FHFqLFIZfrDMff4kP08nblUkihrxltoGBjg/edit#gid=934712705"",""ESENCIAL!A6:BG""),3,FALSE))"),"TÉCNICO")</f>
        <v>TÉCNICO</v>
      </c>
      <c r="H121" s="11" t="str">
        <f ca="1">IFERROR(__xludf.DUMMYFUNCTION("IFERROR(VLOOKUP(F112,IMPORTRANGE(""https://docs.google.com/spreadsheets/d/1Kvs4KS76FHFqLFIZfrDMff4kP08nblUkihrxltoGBjg/edit#gid=934712705"",""ESENCIAL!A6:BG""),8,FALSE))"),"PRODUCCION DE CAFE")</f>
        <v>PRODUCCION DE CAFE</v>
      </c>
      <c r="I121" s="59"/>
      <c r="J121" s="59"/>
      <c r="K121" s="30"/>
      <c r="L121" s="285" t="s">
        <v>44</v>
      </c>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19" t="str">
        <f t="shared" ca="1" si="16"/>
        <v>Procede_E_P</v>
      </c>
      <c r="AV121" s="11" t="str">
        <f ca="1">IFERROR(__xludf.DUMMYFUNCTION("IFERROR(VLOOKUP(E112&amp;F112,IMPORTRANGE(""https://docs.google.com/spreadsheets/d/1Uw7-A9f9R21vMXxHZFNpYNeKFtG8_yji4HS352LGlSQ/edit?pli=1#gid=0"",""1_ACUM!A4:S""),11,FALSE))"),"EN FORMACION")</f>
        <v>EN FORMACION</v>
      </c>
      <c r="AW121" s="20" t="str">
        <f ca="1">IFERROR(__xludf.DUMMYFUNCTION("IFERROR(VLOOKUP(F112,IMPORTRANGE(""https://docs.google.com/spreadsheets/d/1Kvs4KS76FHFqLFIZfrDMff4kP08nblUkihrxltoGBjg/edit#gid=934712705"",""ESENCIAL!A6:BG""),15,FALSE))"),"AGROPECUARIO")</f>
        <v>AGROPECUARIO</v>
      </c>
      <c r="AX121" s="21">
        <f ca="1">IFERROR(__xludf.DUMMYFUNCTION("IFERROR(VLOOKUP(E112&amp;F112,IMPORTRANGE(""https://docs.google.com/spreadsheets/d/1Uw7-A9f9R21vMXxHZFNpYNeKFtG8_yji4HS352LGlSQ/edit?pli=1#gid=0"",""1_ACUM!A4:S""),12,FALSE))"),44839)</f>
        <v>44839</v>
      </c>
      <c r="AY121" s="22">
        <f ca="1">IFERROR(__xludf.DUMMYFUNCTION("IFERROR(VLOOKUP(E112&amp;F112,IMPORTRANGE(""https://docs.google.com/spreadsheets/d/1Uw7-A9f9R21vMXxHZFNpYNeKFtG8_yji4HS352LGlSQ/edit?pli=1#gid=0"",""1_ACUM!A4:S""),13,FALSE))"),0)</f>
        <v>0</v>
      </c>
      <c r="AZ121" s="22">
        <f ca="1">IFERROR(__xludf.DUMMYFUNCTION("IFERROR(VLOOKUP(E112&amp;F112,IMPORTRANGE(""https://docs.google.com/spreadsheets/d/1Uw7-A9f9R21vMXxHZFNpYNeKFtG8_yji4HS352LGlSQ/edit?pli=1#gid=0"",""1_ACUM!A4:S""),14,FALSE))"),1)</f>
        <v>1</v>
      </c>
      <c r="BA121" s="22">
        <f ca="1">IFERROR(__xludf.DUMMYFUNCTION("IFERROR(VLOOKUP(E112&amp;F112,IMPORTRANGE(""https://docs.google.com/spreadsheets/d/1Uw7-A9f9R21vMXxHZFNpYNeKFtG8_yji4HS352LGlSQ/edit?pli=1#gid=0"",""1_ACUM!A4:S""),15,FALSE))"),0)</f>
        <v>0</v>
      </c>
      <c r="BB121" s="22">
        <f ca="1">IFERROR(__xludf.DUMMYFUNCTION("IFERROR(VLOOKUP(E112&amp;F112,IMPORTRANGE(""https://docs.google.com/spreadsheets/d/1Uw7-A9f9R21vMXxHZFNpYNeKFtG8_yji4HS352LGlSQ/edit?pli=1#gid=0"",""1_ACUM!A4:S""),16,FALSE))"),0)</f>
        <v>0</v>
      </c>
      <c r="BC121" s="22">
        <f ca="1">IFERROR(__xludf.DUMMYFUNCTION("IFERROR(VLOOKUP(E112&amp;F112,IMPORTRANGE(""https://docs.google.com/spreadsheets/d/1Uw7-A9f9R21vMXxHZFNpYNeKFtG8_yji4HS352LGlSQ/edit?pli=1#gid=0"",""1_ACUM!A4:S""),17,FALSE))"),1)</f>
        <v>1</v>
      </c>
      <c r="BD121" s="23">
        <f ca="1">IFERROR(__xludf.DUMMYFUNCTION("IFERROR(VLOOKUP(E112&amp;F112,IMPORTRANGE(""https://docs.google.com/spreadsheets/d/1Uw7-A9f9R21vMXxHZFNpYNeKFtG8_yji4HS352LGlSQ/edit?pli=1#gid=0"",""1_ACUM!A4:S""),18,FALSE))"),44348)</f>
        <v>44348</v>
      </c>
      <c r="BE121" s="23">
        <f ca="1">IFERROR(__xludf.DUMMYFUNCTION("IFERROR(VLOOKUP(E112&amp;F112,IMPORTRANGE(""https://docs.google.com/spreadsheets/d/1Uw7-A9f9R21vMXxHZFNpYNeKFtG8_yji4HS352LGlSQ/edit?pli=1#gid=0"",""1_ACUM!A4:S""),19,FALSE))"),44620)</f>
        <v>44620</v>
      </c>
      <c r="BF121" s="23">
        <f ca="1">IFERROR(__xludf.DUMMYFUNCTION("IFERROR(VLOOKUP(F112,IMPORTRANGE(""https://docs.google.com/spreadsheets/d/1Kvs4KS76FHFqLFIZfrDMff4kP08nblUkihrxltoGBjg/edit#gid=934712705"",""ESENCIAL!A6:BG""),5,FALSE))"),44804)</f>
        <v>44804</v>
      </c>
      <c r="BG121" s="23">
        <f t="shared" ca="1" si="17"/>
        <v>45351</v>
      </c>
      <c r="BH121" s="19" t="str">
        <f t="shared" ca="1" si="18"/>
        <v>FICHA EN TIEMPO-18 MESES</v>
      </c>
      <c r="BI121" s="19" t="str">
        <f ca="1">IFERROR(__xludf.DUMMYFUNCTION("IFERROR(VLOOKUP(F112,IMPORTRANGE(""https://docs.google.com/spreadsheets/d/1Kvs4KS76FHFqLFIZfrDMff4kP08nblUkihrxltoGBjg/edit#gid=934712705"",""ESENCIAL!A6:BG""),18,FALSE))"),"Terminada por fecha")</f>
        <v>Terminada por fecha</v>
      </c>
      <c r="BJ121" s="19" t="str">
        <f t="shared" si="19"/>
        <v>Yamboro</v>
      </c>
      <c r="BK121" s="291"/>
      <c r="BL121" s="19"/>
    </row>
    <row r="122" spans="1:64" ht="24">
      <c r="A122" s="469" t="s">
        <v>1119</v>
      </c>
      <c r="B122" s="145" t="s">
        <v>25</v>
      </c>
      <c r="C122" s="71" t="s">
        <v>1381</v>
      </c>
      <c r="D122" s="57" t="s">
        <v>27</v>
      </c>
      <c r="E122" s="56">
        <v>1004440920</v>
      </c>
      <c r="F122" s="116">
        <v>2252427</v>
      </c>
      <c r="G122" s="11" t="str">
        <f ca="1">IFERROR(__xludf.DUMMYFUNCTION("IFERROR(VLOOKUP(F122,IMPORTRANGE(""https://docs.google.com/spreadsheets/d/1Kvs4KS76FHFqLFIZfrDMff4kP08nblUkihrxltoGBjg/edit#gid=934712705"",""ESENCIAL!A6:BG""),3,FALSE))"),"TECNÓLOGO")</f>
        <v>TECNÓLOGO</v>
      </c>
      <c r="H122" s="11" t="str">
        <f ca="1">IFERROR(__xludf.DUMMYFUNCTION("IFERROR(VLOOKUP(F122,IMPORTRANGE(""https://docs.google.com/spreadsheets/d/1Kvs4KS76FHFqLFIZfrDMff4kP08nblUkihrxltoGBjg/edit#gid=934712705"",""ESENCIAL!A6:BG""),8,FALSE))"),"PRODUCCIÓN AGROPECUARIA ECOLÓGICA")</f>
        <v>PRODUCCIÓN AGROPECUARIA ECOLÓGICA</v>
      </c>
      <c r="I122" s="30"/>
      <c r="J122" s="30"/>
      <c r="K122" s="30"/>
      <c r="L122" s="85" t="s">
        <v>37</v>
      </c>
      <c r="M122" s="30" t="s">
        <v>1382</v>
      </c>
      <c r="N122" s="30" t="s">
        <v>1383</v>
      </c>
      <c r="O122" s="30">
        <v>3147264837</v>
      </c>
      <c r="P122" s="30" t="s">
        <v>1384</v>
      </c>
      <c r="Q122" s="30" t="s">
        <v>1385</v>
      </c>
      <c r="R122" s="88">
        <v>44866</v>
      </c>
      <c r="S122" s="181">
        <v>44566</v>
      </c>
      <c r="T122" s="30"/>
      <c r="U122" s="117" t="s">
        <v>1188</v>
      </c>
      <c r="V122" s="30" t="s">
        <v>1189</v>
      </c>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t="s">
        <v>1386</v>
      </c>
      <c r="AT122" s="30"/>
      <c r="AU122" s="19" t="str">
        <f t="shared" ca="1" si="16"/>
        <v>Procede_E_P</v>
      </c>
      <c r="AV122" s="11" t="str">
        <f ca="1">IFERROR(__xludf.DUMMYFUNCTION("IFERROR(VLOOKUP(E122&amp;F122,IMPORTRANGE(""https://docs.google.com/spreadsheets/d/1Uw7-A9f9R21vMXxHZFNpYNeKFtG8_yji4HS352LGlSQ/edit?pli=1#gid=0"",""1_ACUM!A4:S""),11,FALSE))"),"EN FORMACION")</f>
        <v>EN FORMACION</v>
      </c>
      <c r="AW122" s="20" t="str">
        <f ca="1">IFERROR(__xludf.DUMMYFUNCTION("IFERROR(VLOOKUP(F122,IMPORTRANGE(""https://docs.google.com/spreadsheets/d/1Kvs4KS76FHFqLFIZfrDMff4kP08nblUkihrxltoGBjg/edit#gid=934712705"",""ESENCIAL!A6:BG""),15,FALSE))"),"AGROPECUARIO")</f>
        <v>AGROPECUARIO</v>
      </c>
      <c r="AX122" s="21">
        <f ca="1">IFERROR(__xludf.DUMMYFUNCTION("IFERROR(VLOOKUP(E122&amp;F122,IMPORTRANGE(""https://docs.google.com/spreadsheets/d/1Uw7-A9f9R21vMXxHZFNpYNeKFtG8_yji4HS352LGlSQ/edit?pli=1#gid=0"",""1_ACUM!A4:S""),12,FALSE))"),44839)</f>
        <v>44839</v>
      </c>
      <c r="AY122" s="22">
        <f ca="1">IFERROR(__xludf.DUMMYFUNCTION("IFERROR(VLOOKUP(E122&amp;F122,IMPORTRANGE(""https://docs.google.com/spreadsheets/d/1Uw7-A9f9R21vMXxHZFNpYNeKFtG8_yji4HS352LGlSQ/edit?pli=1#gid=0"",""1_ACUM!A4:S""),13,FALSE))"),0)</f>
        <v>0</v>
      </c>
      <c r="AZ122" s="22">
        <f ca="1">IFERROR(__xludf.DUMMYFUNCTION("IFERROR(VLOOKUP(E122&amp;F122,IMPORTRANGE(""https://docs.google.com/spreadsheets/d/1Uw7-A9f9R21vMXxHZFNpYNeKFtG8_yji4HS352LGlSQ/edit?pli=1#gid=0"",""1_ACUM!A4:S""),14,FALSE))"),1)</f>
        <v>1</v>
      </c>
      <c r="BA122" s="22">
        <f ca="1">IFERROR(__xludf.DUMMYFUNCTION("IFERROR(VLOOKUP(E122&amp;F122,IMPORTRANGE(""https://docs.google.com/spreadsheets/d/1Uw7-A9f9R21vMXxHZFNpYNeKFtG8_yji4HS352LGlSQ/edit?pli=1#gid=0"",""1_ACUM!A4:S""),15,FALSE))"),0)</f>
        <v>0</v>
      </c>
      <c r="BB122" s="22">
        <f ca="1">IFERROR(__xludf.DUMMYFUNCTION("IFERROR(VLOOKUP(E122&amp;F122,IMPORTRANGE(""https://docs.google.com/spreadsheets/d/1Uw7-A9f9R21vMXxHZFNpYNeKFtG8_yji4HS352LGlSQ/edit?pli=1#gid=0"",""1_ACUM!A4:S""),16,FALSE))"),0)</f>
        <v>0</v>
      </c>
      <c r="BC122" s="22">
        <f ca="1">IFERROR(__xludf.DUMMYFUNCTION("IFERROR(VLOOKUP(E122&amp;F122,IMPORTRANGE(""https://docs.google.com/spreadsheets/d/1Uw7-A9f9R21vMXxHZFNpYNeKFtG8_yji4HS352LGlSQ/edit?pli=1#gid=0"",""1_ACUM!A4:S""),17,FALSE))"),1)</f>
        <v>1</v>
      </c>
      <c r="BD122" s="23">
        <f ca="1">IFERROR(__xludf.DUMMYFUNCTION("IFERROR(VLOOKUP(E122&amp;F122,IMPORTRANGE(""https://docs.google.com/spreadsheets/d/1Uw7-A9f9R21vMXxHZFNpYNeKFtG8_yji4HS352LGlSQ/edit?pli=1#gid=0"",""1_ACUM!A4:S""),18,FALSE))"),44183)</f>
        <v>44183</v>
      </c>
      <c r="BE122" s="23">
        <f ca="1">IFERROR(__xludf.DUMMYFUNCTION("IFERROR(VLOOKUP(E122&amp;F122,IMPORTRANGE(""https://docs.google.com/spreadsheets/d/1Uw7-A9f9R21vMXxHZFNpYNeKFtG8_yji4HS352LGlSQ/edit?pli=1#gid=0"",""1_ACUM!A4:S""),19,FALSE))"),44729)</f>
        <v>44729</v>
      </c>
      <c r="BF122" s="23">
        <f ca="1">IFERROR(__xludf.DUMMYFUNCTION("IFERROR(VLOOKUP(F122,IMPORTRANGE(""https://docs.google.com/spreadsheets/d/1Kvs4KS76FHFqLFIZfrDMff4kP08nblUkihrxltoGBjg/edit#gid=934712705"",""ESENCIAL!A6:BG""),5,FALSE))"),44912)</f>
        <v>44912</v>
      </c>
      <c r="BG122" s="23">
        <f t="shared" ca="1" si="17"/>
        <v>45460</v>
      </c>
      <c r="BH122" s="19" t="str">
        <f t="shared" ca="1" si="18"/>
        <v>FICHA EN TIEMPO-18 MESES</v>
      </c>
      <c r="BI122" s="19" t="str">
        <f ca="1">IFERROR(__xludf.DUMMYFUNCTION("IFERROR(VLOOKUP(F122,IMPORTRANGE(""https://docs.google.com/spreadsheets/d/1Kvs4KS76FHFqLFIZfrDMff4kP08nblUkihrxltoGBjg/edit#gid=934712705"",""ESENCIAL!A6:BG""),18,FALSE))"),"En ejecucion")</f>
        <v>En ejecucion</v>
      </c>
      <c r="BJ122" s="19" t="str">
        <f t="shared" si="19"/>
        <v>Yamboro</v>
      </c>
      <c r="BK122" s="291"/>
      <c r="BL122" s="19"/>
    </row>
    <row r="123" spans="1:64" ht="24">
      <c r="A123" s="290" t="s">
        <v>1310</v>
      </c>
      <c r="B123" s="145" t="s">
        <v>25</v>
      </c>
      <c r="C123" s="71" t="s">
        <v>1387</v>
      </c>
      <c r="D123" s="57" t="s">
        <v>27</v>
      </c>
      <c r="E123" s="56">
        <v>1004446787</v>
      </c>
      <c r="F123" s="116">
        <v>2252427</v>
      </c>
      <c r="G123" s="11" t="str">
        <f ca="1">IFERROR(__xludf.DUMMYFUNCTION("IFERROR(VLOOKUP(F125,IMPORTRANGE(""https://docs.google.com/spreadsheets/d/1Kvs4KS76FHFqLFIZfrDMff4kP08nblUkihrxltoGBjg/edit#gid=934712705"",""ESENCIAL!A6:BG""),3,FALSE))"),"TECNÓLOGO")</f>
        <v>TECNÓLOGO</v>
      </c>
      <c r="H123" s="11" t="str">
        <f ca="1">IFERROR(__xludf.DUMMYFUNCTION("IFERROR(VLOOKUP(F125,IMPORTRANGE(""https://docs.google.com/spreadsheets/d/1Kvs4KS76FHFqLFIZfrDMff4kP08nblUkihrxltoGBjg/edit#gid=934712705"",""ESENCIAL!A6:BG""),8,FALSE))"),"PRODUCCIÓN AGROPECUARIA ECOLÓGICA")</f>
        <v>PRODUCCIÓN AGROPECUARIA ECOLÓGICA</v>
      </c>
      <c r="I123" s="30"/>
      <c r="J123" s="30"/>
      <c r="K123" s="30"/>
      <c r="L123" s="30" t="s">
        <v>37</v>
      </c>
      <c r="M123" s="30"/>
      <c r="N123" s="30"/>
      <c r="O123" s="30"/>
      <c r="P123" s="30"/>
      <c r="Q123" s="30"/>
      <c r="R123" s="88"/>
      <c r="S123" s="181"/>
      <c r="T123" s="30" t="s">
        <v>1388</v>
      </c>
      <c r="U123" s="117" t="s">
        <v>1389</v>
      </c>
      <c r="V123" s="115" t="s">
        <v>1390</v>
      </c>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19" t="str">
        <f t="shared" ca="1" si="16"/>
        <v>Procede_E_P</v>
      </c>
      <c r="AV123" s="11" t="str">
        <f ca="1">IFERROR(__xludf.DUMMYFUNCTION("IFERROR(VLOOKUP(E125&amp;F125,IMPORTRANGE(""https://docs.google.com/spreadsheets/d/1Uw7-A9f9R21vMXxHZFNpYNeKFtG8_yji4HS352LGlSQ/edit?pli=1#gid=0"",""1_ACUM!A4:S""),11,FALSE))"),"EN FORMACION")</f>
        <v>EN FORMACION</v>
      </c>
      <c r="AW123" s="20" t="str">
        <f ca="1">IFERROR(__xludf.DUMMYFUNCTION("IFERROR(VLOOKUP(F125,IMPORTRANGE(""https://docs.google.com/spreadsheets/d/1Kvs4KS76FHFqLFIZfrDMff4kP08nblUkihrxltoGBjg/edit#gid=934712705"",""ESENCIAL!A6:BG""),15,FALSE))"),"AGROPECUARIO")</f>
        <v>AGROPECUARIO</v>
      </c>
      <c r="AX123" s="21">
        <f ca="1">IFERROR(__xludf.DUMMYFUNCTION("IFERROR(VLOOKUP(E125&amp;F125,IMPORTRANGE(""https://docs.google.com/spreadsheets/d/1Uw7-A9f9R21vMXxHZFNpYNeKFtG8_yji4HS352LGlSQ/edit?pli=1#gid=0"",""1_ACUM!A4:S""),12,FALSE))"),44839)</f>
        <v>44839</v>
      </c>
      <c r="AY123" s="22">
        <f ca="1">IFERROR(__xludf.DUMMYFUNCTION("IFERROR(VLOOKUP(E125&amp;F125,IMPORTRANGE(""https://docs.google.com/spreadsheets/d/1Uw7-A9f9R21vMXxHZFNpYNeKFtG8_yji4HS352LGlSQ/edit?pli=1#gid=0"",""1_ACUM!A4:S""),13,FALSE))"),0)</f>
        <v>0</v>
      </c>
      <c r="AZ123" s="22">
        <f ca="1">IFERROR(__xludf.DUMMYFUNCTION("IFERROR(VLOOKUP(E125&amp;F125,IMPORTRANGE(""https://docs.google.com/spreadsheets/d/1Uw7-A9f9R21vMXxHZFNpYNeKFtG8_yji4HS352LGlSQ/edit?pli=1#gid=0"",""1_ACUM!A4:S""),14,FALSE))"),1)</f>
        <v>1</v>
      </c>
      <c r="BA123" s="22">
        <f ca="1">IFERROR(__xludf.DUMMYFUNCTION("IFERROR(VLOOKUP(E125&amp;F125,IMPORTRANGE(""https://docs.google.com/spreadsheets/d/1Uw7-A9f9R21vMXxHZFNpYNeKFtG8_yji4HS352LGlSQ/edit?pli=1#gid=0"",""1_ACUM!A4:S""),15,FALSE))"),0)</f>
        <v>0</v>
      </c>
      <c r="BB123" s="22">
        <f ca="1">IFERROR(__xludf.DUMMYFUNCTION("IFERROR(VLOOKUP(E125&amp;F125,IMPORTRANGE(""https://docs.google.com/spreadsheets/d/1Uw7-A9f9R21vMXxHZFNpYNeKFtG8_yji4HS352LGlSQ/edit?pli=1#gid=0"",""1_ACUM!A4:S""),16,FALSE))"),0)</f>
        <v>0</v>
      </c>
      <c r="BC123" s="22">
        <f ca="1">IFERROR(__xludf.DUMMYFUNCTION("IFERROR(VLOOKUP(E125&amp;F125,IMPORTRANGE(""https://docs.google.com/spreadsheets/d/1Uw7-A9f9R21vMXxHZFNpYNeKFtG8_yji4HS352LGlSQ/edit?pli=1#gid=0"",""1_ACUM!A4:S""),17,FALSE))"),1)</f>
        <v>1</v>
      </c>
      <c r="BD123" s="23">
        <f ca="1">IFERROR(__xludf.DUMMYFUNCTION("IFERROR(VLOOKUP(E125&amp;F125,IMPORTRANGE(""https://docs.google.com/spreadsheets/d/1Uw7-A9f9R21vMXxHZFNpYNeKFtG8_yji4HS352LGlSQ/edit?pli=1#gid=0"",""1_ACUM!A4:S""),18,FALSE))"),44183)</f>
        <v>44183</v>
      </c>
      <c r="BE123" s="23">
        <f ca="1">IFERROR(__xludf.DUMMYFUNCTION("IFERROR(VLOOKUP(E125&amp;F125,IMPORTRANGE(""https://docs.google.com/spreadsheets/d/1Uw7-A9f9R21vMXxHZFNpYNeKFtG8_yji4HS352LGlSQ/edit?pli=1#gid=0"",""1_ACUM!A4:S""),19,FALSE))"),44729)</f>
        <v>44729</v>
      </c>
      <c r="BF123" s="23">
        <f ca="1">IFERROR(__xludf.DUMMYFUNCTION("IFERROR(VLOOKUP(F125,IMPORTRANGE(""https://docs.google.com/spreadsheets/d/1Kvs4KS76FHFqLFIZfrDMff4kP08nblUkihrxltoGBjg/edit#gid=934712705"",""ESENCIAL!A6:BG""),5,FALSE))"),44912)</f>
        <v>44912</v>
      </c>
      <c r="BG123" s="23">
        <f t="shared" ca="1" si="17"/>
        <v>45460</v>
      </c>
      <c r="BH123" s="19" t="str">
        <f t="shared" ca="1" si="18"/>
        <v>FICHA EN TIEMPO-18 MESES</v>
      </c>
      <c r="BI123" s="19" t="str">
        <f ca="1">IFERROR(__xludf.DUMMYFUNCTION("IFERROR(VLOOKUP(F125,IMPORTRANGE(""https://docs.google.com/spreadsheets/d/1Kvs4KS76FHFqLFIZfrDMff4kP08nblUkihrxltoGBjg/edit#gid=934712705"",""ESENCIAL!A6:BG""),18,FALSE))"),"En ejecucion")</f>
        <v>En ejecucion</v>
      </c>
      <c r="BJ123" s="19" t="str">
        <f t="shared" si="19"/>
        <v>Yamboro</v>
      </c>
      <c r="BK123" s="291"/>
      <c r="BL123" s="19"/>
    </row>
    <row r="124" spans="1:64" s="180" customFormat="1" ht="24" hidden="1">
      <c r="A124" s="290"/>
      <c r="B124" s="145" t="s">
        <v>25</v>
      </c>
      <c r="C124" s="71" t="s">
        <v>1391</v>
      </c>
      <c r="D124" s="57" t="s">
        <v>27</v>
      </c>
      <c r="E124" s="56">
        <v>1006908224</v>
      </c>
      <c r="F124" s="116">
        <v>2252427</v>
      </c>
      <c r="G124" s="11" t="str">
        <f ca="1">IFERROR(__xludf.DUMMYFUNCTION("IFERROR(VLOOKUP(F127,IMPORTRANGE(""https://docs.google.com/spreadsheets/d/1Kvs4KS76FHFqLFIZfrDMff4kP08nblUkihrxltoGBjg/edit#gid=934712705"",""ESENCIAL!A6:BG""),3,FALSE))"),"TECNÓLOGO")</f>
        <v>TECNÓLOGO</v>
      </c>
      <c r="H124" s="11" t="str">
        <f ca="1">IFERROR(__xludf.DUMMYFUNCTION("IFERROR(VLOOKUP(F127,IMPORTRANGE(""https://docs.google.com/spreadsheets/d/1Kvs4KS76FHFqLFIZfrDMff4kP08nblUkihrxltoGBjg/edit#gid=934712705"",""ESENCIAL!A6:BG""),8,FALSE))"),"PRODUCCIÓN AGROPECUARIA ECOLÓGICA")</f>
        <v>PRODUCCIÓN AGROPECUARIA ECOLÓGICA</v>
      </c>
      <c r="I124" s="30"/>
      <c r="J124" s="30"/>
      <c r="K124" s="30"/>
      <c r="L124" s="285" t="s">
        <v>44</v>
      </c>
      <c r="M124" s="30"/>
      <c r="N124" s="30"/>
      <c r="O124" s="30"/>
      <c r="P124" s="30"/>
      <c r="Q124" s="30"/>
      <c r="R124" s="88"/>
      <c r="S124" s="88"/>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19" t="str">
        <f t="shared" ca="1" si="16"/>
        <v>NO_CUMPLE</v>
      </c>
      <c r="AV124" s="11" t="str">
        <f ca="1">IFERROR(__xludf.DUMMYFUNCTION("IFERROR(VLOOKUP(E127&amp;F127,IMPORTRANGE(""https://docs.google.com/spreadsheets/d/1Uw7-A9f9R21vMXxHZFNpYNeKFtG8_yji4HS352LGlSQ/edit?pli=1#gid=0"",""1_ACUM!A4:S""),11,FALSE))"),"EN FORMACION")</f>
        <v>EN FORMACION</v>
      </c>
      <c r="AW124" s="20" t="str">
        <f ca="1">IFERROR(__xludf.DUMMYFUNCTION("IFERROR(VLOOKUP(F127,IMPORTRANGE(""https://docs.google.com/spreadsheets/d/1Kvs4KS76FHFqLFIZfrDMff4kP08nblUkihrxltoGBjg/edit#gid=934712705"",""ESENCIAL!A6:BG""),15,FALSE))"),"AGROPECUARIO")</f>
        <v>AGROPECUARIO</v>
      </c>
      <c r="AX124" s="21">
        <f ca="1">IFERROR(__xludf.DUMMYFUNCTION("IFERROR(VLOOKUP(E127&amp;F127,IMPORTRANGE(""https://docs.google.com/spreadsheets/d/1Uw7-A9f9R21vMXxHZFNpYNeKFtG8_yji4HS352LGlSQ/edit?pli=1#gid=0"",""1_ACUM!A4:S""),12,FALSE))"),44839)</f>
        <v>44839</v>
      </c>
      <c r="AY124" s="22">
        <f ca="1">IFERROR(__xludf.DUMMYFUNCTION("IFERROR(VLOOKUP(E127&amp;F127,IMPORTRANGE(""https://docs.google.com/spreadsheets/d/1Uw7-A9f9R21vMXxHZFNpYNeKFtG8_yji4HS352LGlSQ/edit?pli=1#gid=0"",""1_ACUM!A4:S""),13,FALSE))"),3)</f>
        <v>3</v>
      </c>
      <c r="AZ124" s="22">
        <f ca="1">IFERROR(__xludf.DUMMYFUNCTION("IFERROR(VLOOKUP(E127&amp;F127,IMPORTRANGE(""https://docs.google.com/spreadsheets/d/1Uw7-A9f9R21vMXxHZFNpYNeKFtG8_yji4HS352LGlSQ/edit?pli=1#gid=0"",""1_ACUM!A4:S""),14,FALSE))"),1)</f>
        <v>1</v>
      </c>
      <c r="BA124" s="22">
        <f ca="1">IFERROR(__xludf.DUMMYFUNCTION("IFERROR(VLOOKUP(E127&amp;F127,IMPORTRANGE(""https://docs.google.com/spreadsheets/d/1Uw7-A9f9R21vMXxHZFNpYNeKFtG8_yji4HS352LGlSQ/edit?pli=1#gid=0"",""1_ACUM!A4:S""),15,FALSE))"),3)</f>
        <v>3</v>
      </c>
      <c r="BB124" s="22">
        <f ca="1">IFERROR(__xludf.DUMMYFUNCTION("IFERROR(VLOOKUP(E127&amp;F127,IMPORTRANGE(""https://docs.google.com/spreadsheets/d/1Uw7-A9f9R21vMXxHZFNpYNeKFtG8_yji4HS352LGlSQ/edit?pli=1#gid=0"",""1_ACUM!A4:S""),16,FALSE))"),21)</f>
        <v>21</v>
      </c>
      <c r="BC124" s="22">
        <f ca="1">IFERROR(__xludf.DUMMYFUNCTION("IFERROR(VLOOKUP(E127&amp;F127,IMPORTRANGE(""https://docs.google.com/spreadsheets/d/1Uw7-A9f9R21vMXxHZFNpYNeKFtG8_yji4HS352LGlSQ/edit?pli=1#gid=0"",""1_ACUM!A4:S""),17,FALSE))"),28)</f>
        <v>28</v>
      </c>
      <c r="BD124" s="23">
        <f ca="1">IFERROR(__xludf.DUMMYFUNCTION("IFERROR(VLOOKUP(E127&amp;F127,IMPORTRANGE(""https://docs.google.com/spreadsheets/d/1Uw7-A9f9R21vMXxHZFNpYNeKFtG8_yji4HS352LGlSQ/edit?pli=1#gid=0"",""1_ACUM!A4:S""),18,FALSE))"),44183)</f>
        <v>44183</v>
      </c>
      <c r="BE124" s="23">
        <f ca="1">IFERROR(__xludf.DUMMYFUNCTION("IFERROR(VLOOKUP(E127&amp;F127,IMPORTRANGE(""https://docs.google.com/spreadsheets/d/1Uw7-A9f9R21vMXxHZFNpYNeKFtG8_yji4HS352LGlSQ/edit?pli=1#gid=0"",""1_ACUM!A4:S""),19,FALSE))"),44729)</f>
        <v>44729</v>
      </c>
      <c r="BF124" s="23">
        <f ca="1">IFERROR(__xludf.DUMMYFUNCTION("IFERROR(VLOOKUP(F127,IMPORTRANGE(""https://docs.google.com/spreadsheets/d/1Kvs4KS76FHFqLFIZfrDMff4kP08nblUkihrxltoGBjg/edit#gid=934712705"",""ESENCIAL!A6:BG""),5,FALSE))"),44912)</f>
        <v>44912</v>
      </c>
      <c r="BG124" s="23">
        <f t="shared" ca="1" si="17"/>
        <v>45460</v>
      </c>
      <c r="BH124" s="19" t="str">
        <f t="shared" ca="1" si="18"/>
        <v>FICHA EN TIEMPO-18 MESES</v>
      </c>
      <c r="BI124" s="19" t="str">
        <f ca="1">IFERROR(__xludf.DUMMYFUNCTION("IFERROR(VLOOKUP(F127,IMPORTRANGE(""https://docs.google.com/spreadsheets/d/1Kvs4KS76FHFqLFIZfrDMff4kP08nblUkihrxltoGBjg/edit#gid=934712705"",""ESENCIAL!A6:BG""),18,FALSE))"),"En ejecucion")</f>
        <v>En ejecucion</v>
      </c>
      <c r="BJ124" s="19" t="str">
        <f t="shared" si="19"/>
        <v>Yamboro</v>
      </c>
      <c r="BK124" s="295"/>
      <c r="BL124" s="173"/>
    </row>
    <row r="125" spans="1:64" s="180" customFormat="1" ht="24" hidden="1">
      <c r="A125" s="290"/>
      <c r="B125" s="145" t="s">
        <v>25</v>
      </c>
      <c r="C125" s="71" t="s">
        <v>1392</v>
      </c>
      <c r="D125" s="25" t="s">
        <v>67</v>
      </c>
      <c r="E125" s="56">
        <v>1084250948</v>
      </c>
      <c r="F125" s="116">
        <v>2252427</v>
      </c>
      <c r="G125" s="11" t="str">
        <f ca="1">IFERROR(__xludf.DUMMYFUNCTION("IFERROR(VLOOKUP(F137,IMPORTRANGE(""https://docs.google.com/spreadsheets/d/1Kvs4KS76FHFqLFIZfrDMff4kP08nblUkihrxltoGBjg/edit#gid=934712705"",""ESENCIAL!A6:BG""),3,FALSE))"),"TECNÓLOGO")</f>
        <v>TECNÓLOGO</v>
      </c>
      <c r="H125" s="11" t="str">
        <f ca="1">IFERROR(__xludf.DUMMYFUNCTION("IFERROR(VLOOKUP(F137,IMPORTRANGE(""https://docs.google.com/spreadsheets/d/1Kvs4KS76FHFqLFIZfrDMff4kP08nblUkihrxltoGBjg/edit#gid=934712705"",""ESENCIAL!A6:BG""),8,FALSE))"),"PRODUCCIÓN AGROPECUARIA ECOLÓGICA")</f>
        <v>PRODUCCIÓN AGROPECUARIA ECOLÓGICA</v>
      </c>
      <c r="I125" s="30"/>
      <c r="J125" s="30"/>
      <c r="K125" s="30"/>
      <c r="L125" s="285" t="s">
        <v>44</v>
      </c>
      <c r="M125" s="30"/>
      <c r="N125" s="30"/>
      <c r="O125" s="30"/>
      <c r="P125" s="30"/>
      <c r="Q125" s="30"/>
      <c r="R125" s="30"/>
      <c r="S125" s="30"/>
      <c r="T125" s="30"/>
      <c r="U125" s="30" t="s">
        <v>1393</v>
      </c>
      <c r="V125" s="30" t="s">
        <v>1189</v>
      </c>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19" t="str">
        <f t="shared" ca="1" si="16"/>
        <v>Procede_E_P</v>
      </c>
      <c r="AV125" s="11" t="str">
        <f ca="1">IFERROR(__xludf.DUMMYFUNCTION("IFERROR(VLOOKUP(E137&amp;F137,IMPORTRANGE(""https://docs.google.com/spreadsheets/d/1Uw7-A9f9R21vMXxHZFNpYNeKFtG8_yji4HS352LGlSQ/edit?pli=1#gid=0"",""1_ACUM!A4:S""),11,FALSE))"),"EN FORMACION")</f>
        <v>EN FORMACION</v>
      </c>
      <c r="AW125" s="20" t="str">
        <f ca="1">IFERROR(__xludf.DUMMYFUNCTION("IFERROR(VLOOKUP(F137,IMPORTRANGE(""https://docs.google.com/spreadsheets/d/1Kvs4KS76FHFqLFIZfrDMff4kP08nblUkihrxltoGBjg/edit#gid=934712705"",""ESENCIAL!A6:BG""),15,FALSE))"),"AGROPECUARIO")</f>
        <v>AGROPECUARIO</v>
      </c>
      <c r="AX125" s="21">
        <f ca="1">IFERROR(__xludf.DUMMYFUNCTION("IFERROR(VLOOKUP(E137&amp;F137,IMPORTRANGE(""https://docs.google.com/spreadsheets/d/1Uw7-A9f9R21vMXxHZFNpYNeKFtG8_yji4HS352LGlSQ/edit?pli=1#gid=0"",""1_ACUM!A4:S""),12,FALSE))"),44839)</f>
        <v>44839</v>
      </c>
      <c r="AY125" s="22">
        <f ca="1">IFERROR(__xludf.DUMMYFUNCTION("IFERROR(VLOOKUP(E137&amp;F137,IMPORTRANGE(""https://docs.google.com/spreadsheets/d/1Uw7-A9f9R21vMXxHZFNpYNeKFtG8_yji4HS352LGlSQ/edit?pli=1#gid=0"",""1_ACUM!A4:S""),13,FALSE))"),0)</f>
        <v>0</v>
      </c>
      <c r="AZ125" s="22">
        <f ca="1">IFERROR(__xludf.DUMMYFUNCTION("IFERROR(VLOOKUP(E137&amp;F137,IMPORTRANGE(""https://docs.google.com/spreadsheets/d/1Uw7-A9f9R21vMXxHZFNpYNeKFtG8_yji4HS352LGlSQ/edit?pli=1#gid=0"",""1_ACUM!A4:S""),14,FALSE))"),1)</f>
        <v>1</v>
      </c>
      <c r="BA125" s="22">
        <f ca="1">IFERROR(__xludf.DUMMYFUNCTION("IFERROR(VLOOKUP(E137&amp;F137,IMPORTRANGE(""https://docs.google.com/spreadsheets/d/1Uw7-A9f9R21vMXxHZFNpYNeKFtG8_yji4HS352LGlSQ/edit?pli=1#gid=0"",""1_ACUM!A4:S""),15,FALSE))"),0)</f>
        <v>0</v>
      </c>
      <c r="BB125" s="22">
        <f ca="1">IFERROR(__xludf.DUMMYFUNCTION("IFERROR(VLOOKUP(E137&amp;F137,IMPORTRANGE(""https://docs.google.com/spreadsheets/d/1Uw7-A9f9R21vMXxHZFNpYNeKFtG8_yji4HS352LGlSQ/edit?pli=1#gid=0"",""1_ACUM!A4:S""),16,FALSE))"),0)</f>
        <v>0</v>
      </c>
      <c r="BC125" s="22">
        <f ca="1">IFERROR(__xludf.DUMMYFUNCTION("IFERROR(VLOOKUP(E137&amp;F137,IMPORTRANGE(""https://docs.google.com/spreadsheets/d/1Uw7-A9f9R21vMXxHZFNpYNeKFtG8_yji4HS352LGlSQ/edit?pli=1#gid=0"",""1_ACUM!A4:S""),17,FALSE))"),1)</f>
        <v>1</v>
      </c>
      <c r="BD125" s="23">
        <f ca="1">IFERROR(__xludf.DUMMYFUNCTION("IFERROR(VLOOKUP(E137&amp;F137,IMPORTRANGE(""https://docs.google.com/spreadsheets/d/1Uw7-A9f9R21vMXxHZFNpYNeKFtG8_yji4HS352LGlSQ/edit?pli=1#gid=0"",""1_ACUM!A4:S""),18,FALSE))"),44183)</f>
        <v>44183</v>
      </c>
      <c r="BE125" s="23">
        <f ca="1">IFERROR(__xludf.DUMMYFUNCTION("IFERROR(VLOOKUP(E137&amp;F137,IMPORTRANGE(""https://docs.google.com/spreadsheets/d/1Uw7-A9f9R21vMXxHZFNpYNeKFtG8_yji4HS352LGlSQ/edit?pli=1#gid=0"",""1_ACUM!A4:S""),19,FALSE))"),44729)</f>
        <v>44729</v>
      </c>
      <c r="BF125" s="23">
        <f ca="1">IFERROR(__xludf.DUMMYFUNCTION("IFERROR(VLOOKUP(F137,IMPORTRANGE(""https://docs.google.com/spreadsheets/d/1Kvs4KS76FHFqLFIZfrDMff4kP08nblUkihrxltoGBjg/edit#gid=934712705"",""ESENCIAL!A6:BG""),5,FALSE))"),44912)</f>
        <v>44912</v>
      </c>
      <c r="BG125" s="23">
        <f t="shared" ca="1" si="17"/>
        <v>45460</v>
      </c>
      <c r="BH125" s="19" t="str">
        <f t="shared" ca="1" si="18"/>
        <v>FICHA EN TIEMPO-18 MESES</v>
      </c>
      <c r="BI125" s="19" t="str">
        <f ca="1">IFERROR(__xludf.DUMMYFUNCTION("IFERROR(VLOOKUP(F137,IMPORTRANGE(""https://docs.google.com/spreadsheets/d/1Kvs4KS76FHFqLFIZfrDMff4kP08nblUkihrxltoGBjg/edit#gid=934712705"",""ESENCIAL!A6:BG""),18,FALSE))"),"En ejecucion")</f>
        <v>En ejecucion</v>
      </c>
      <c r="BJ125" s="19" t="str">
        <f t="shared" si="19"/>
        <v>Yamboro</v>
      </c>
      <c r="BK125" s="295"/>
      <c r="BL125" s="173"/>
    </row>
    <row r="126" spans="1:64" s="180" customFormat="1" ht="24">
      <c r="A126" s="293" t="s">
        <v>1223</v>
      </c>
      <c r="B126" s="145" t="s">
        <v>25</v>
      </c>
      <c r="C126" s="470" t="s">
        <v>1394</v>
      </c>
      <c r="D126" s="471" t="s">
        <v>27</v>
      </c>
      <c r="E126" s="466">
        <v>1117484465</v>
      </c>
      <c r="F126" s="346">
        <v>2252427</v>
      </c>
      <c r="G126" s="468" t="str">
        <f ca="1">IFERROR(__xludf.DUMMYFUNCTION("IFERROR(VLOOKUP(F138,IMPORTRANGE(""https://docs.google.com/spreadsheets/d/1Kvs4KS76FHFqLFIZfrDMff4kP08nblUkihrxltoGBjg/edit#gid=934712705"",""ESENCIAL!A6:BG""),3,FALSE))"),"TECNÓLOGO")</f>
        <v>TECNÓLOGO</v>
      </c>
      <c r="H126" s="468" t="str">
        <f ca="1">IFERROR(__xludf.DUMMYFUNCTION("IFERROR(VLOOKUP(F138,IMPORTRANGE(""https://docs.google.com/spreadsheets/d/1Kvs4KS76FHFqLFIZfrDMff4kP08nblUkihrxltoGBjg/edit#gid=934712705"",""ESENCIAL!A6:BG""),8,FALSE))"),"PRODUCCIÓN AGROPECUARIA ECOLÓGICA")</f>
        <v>PRODUCCIÓN AGROPECUARIA ECOLÓGICA</v>
      </c>
      <c r="I126" s="359"/>
      <c r="J126" s="30"/>
      <c r="K126" s="30"/>
      <c r="L126" s="113" t="s">
        <v>28</v>
      </c>
      <c r="M126" s="30" t="s">
        <v>1395</v>
      </c>
      <c r="N126" s="30" t="s">
        <v>1396</v>
      </c>
      <c r="O126" s="30">
        <v>8697245</v>
      </c>
      <c r="P126" s="30" t="s">
        <v>1397</v>
      </c>
      <c r="Q126" s="30" t="s">
        <v>1398</v>
      </c>
      <c r="R126" s="88">
        <v>44777</v>
      </c>
      <c r="S126" s="465">
        <v>44961</v>
      </c>
      <c r="T126" s="30"/>
      <c r="U126" s="117" t="s">
        <v>1188</v>
      </c>
      <c r="V126" s="30" t="s">
        <v>1189</v>
      </c>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19" t="str">
        <f t="shared" ca="1" si="16"/>
        <v>Procede_E_P</v>
      </c>
      <c r="AV126" s="11" t="str">
        <f ca="1">IFERROR(__xludf.DUMMYFUNCTION("IFERROR(VLOOKUP(E138&amp;F138,IMPORTRANGE(""https://docs.google.com/spreadsheets/d/1Uw7-A9f9R21vMXxHZFNpYNeKFtG8_yji4HS352LGlSQ/edit?pli=1#gid=0"",""1_ACUM!A4:S""),11,FALSE))"),"EN FORMACION")</f>
        <v>EN FORMACION</v>
      </c>
      <c r="AW126" s="20" t="str">
        <f ca="1">IFERROR(__xludf.DUMMYFUNCTION("IFERROR(VLOOKUP(F138,IMPORTRANGE(""https://docs.google.com/spreadsheets/d/1Kvs4KS76FHFqLFIZfrDMff4kP08nblUkihrxltoGBjg/edit#gid=934712705"",""ESENCIAL!A6:BG""),15,FALSE))"),"AGROPECUARIO")</f>
        <v>AGROPECUARIO</v>
      </c>
      <c r="AX126" s="21">
        <f ca="1">IFERROR(__xludf.DUMMYFUNCTION("IFERROR(VLOOKUP(E138&amp;F138,IMPORTRANGE(""https://docs.google.com/spreadsheets/d/1Uw7-A9f9R21vMXxHZFNpYNeKFtG8_yji4HS352LGlSQ/edit?pli=1#gid=0"",""1_ACUM!A4:S""),12,FALSE))"),44839)</f>
        <v>44839</v>
      </c>
      <c r="AY126" s="22">
        <f ca="1">IFERROR(__xludf.DUMMYFUNCTION("IFERROR(VLOOKUP(E138&amp;F138,IMPORTRANGE(""https://docs.google.com/spreadsheets/d/1Uw7-A9f9R21vMXxHZFNpYNeKFtG8_yji4HS352LGlSQ/edit?pli=1#gid=0"",""1_ACUM!A4:S""),13,FALSE))"),0)</f>
        <v>0</v>
      </c>
      <c r="AZ126" s="22">
        <f ca="1">IFERROR(__xludf.DUMMYFUNCTION("IFERROR(VLOOKUP(E138&amp;F138,IMPORTRANGE(""https://docs.google.com/spreadsheets/d/1Uw7-A9f9R21vMXxHZFNpYNeKFtG8_yji4HS352LGlSQ/edit?pli=1#gid=0"",""1_ACUM!A4:S""),14,FALSE))"),1)</f>
        <v>1</v>
      </c>
      <c r="BA126" s="22">
        <f ca="1">IFERROR(__xludf.DUMMYFUNCTION("IFERROR(VLOOKUP(E138&amp;F138,IMPORTRANGE(""https://docs.google.com/spreadsheets/d/1Uw7-A9f9R21vMXxHZFNpYNeKFtG8_yji4HS352LGlSQ/edit?pli=1#gid=0"",""1_ACUM!A4:S""),15,FALSE))"),0)</f>
        <v>0</v>
      </c>
      <c r="BB126" s="22">
        <f ca="1">IFERROR(__xludf.DUMMYFUNCTION("IFERROR(VLOOKUP(E138&amp;F138,IMPORTRANGE(""https://docs.google.com/spreadsheets/d/1Uw7-A9f9R21vMXxHZFNpYNeKFtG8_yji4HS352LGlSQ/edit?pli=1#gid=0"",""1_ACUM!A4:S""),16,FALSE))"),0)</f>
        <v>0</v>
      </c>
      <c r="BC126" s="22">
        <f ca="1">IFERROR(__xludf.DUMMYFUNCTION("IFERROR(VLOOKUP(E138&amp;F138,IMPORTRANGE(""https://docs.google.com/spreadsheets/d/1Uw7-A9f9R21vMXxHZFNpYNeKFtG8_yji4HS352LGlSQ/edit?pli=1#gid=0"",""1_ACUM!A4:S""),17,FALSE))"),1)</f>
        <v>1</v>
      </c>
      <c r="BD126" s="23">
        <f ca="1">IFERROR(__xludf.DUMMYFUNCTION("IFERROR(VLOOKUP(E138&amp;F138,IMPORTRANGE(""https://docs.google.com/spreadsheets/d/1Uw7-A9f9R21vMXxHZFNpYNeKFtG8_yji4HS352LGlSQ/edit?pli=1#gid=0"",""1_ACUM!A4:S""),18,FALSE))"),44183)</f>
        <v>44183</v>
      </c>
      <c r="BE126" s="23">
        <f ca="1">IFERROR(__xludf.DUMMYFUNCTION("IFERROR(VLOOKUP(E138&amp;F138,IMPORTRANGE(""https://docs.google.com/spreadsheets/d/1Uw7-A9f9R21vMXxHZFNpYNeKFtG8_yji4HS352LGlSQ/edit?pli=1#gid=0"",""1_ACUM!A4:S""),19,FALSE))"),44729)</f>
        <v>44729</v>
      </c>
      <c r="BF126" s="23">
        <f ca="1">IFERROR(__xludf.DUMMYFUNCTION("IFERROR(VLOOKUP(F138,IMPORTRANGE(""https://docs.google.com/spreadsheets/d/1Kvs4KS76FHFqLFIZfrDMff4kP08nblUkihrxltoGBjg/edit#gid=934712705"",""ESENCIAL!A6:BG""),5,FALSE))"),44912)</f>
        <v>44912</v>
      </c>
      <c r="BG126" s="23">
        <f t="shared" ca="1" si="17"/>
        <v>45460</v>
      </c>
      <c r="BH126" s="19" t="str">
        <f t="shared" ca="1" si="18"/>
        <v>FICHA EN TIEMPO-18 MESES</v>
      </c>
      <c r="BI126" s="19" t="str">
        <f ca="1">IFERROR(__xludf.DUMMYFUNCTION("IFERROR(VLOOKUP(F138,IMPORTRANGE(""https://docs.google.com/spreadsheets/d/1Kvs4KS76FHFqLFIZfrDMff4kP08nblUkihrxltoGBjg/edit#gid=934712705"",""ESENCIAL!A6:BG""),18,FALSE))"),"En ejecucion")</f>
        <v>En ejecucion</v>
      </c>
      <c r="BJ126" s="19" t="str">
        <f t="shared" si="19"/>
        <v>Yamboro</v>
      </c>
      <c r="BK126" s="295"/>
      <c r="BL126" s="173"/>
    </row>
    <row r="127" spans="1:64" ht="15" hidden="1" customHeight="1">
      <c r="A127" s="290"/>
      <c r="B127" s="145" t="s">
        <v>25</v>
      </c>
      <c r="C127" s="71" t="s">
        <v>1399</v>
      </c>
      <c r="D127" s="57" t="s">
        <v>27</v>
      </c>
      <c r="E127" s="57">
        <v>1004159597</v>
      </c>
      <c r="F127" s="116">
        <v>2236073</v>
      </c>
      <c r="G127" s="11" t="str">
        <f ca="1">IFERROR(__xludf.DUMMYFUNCTION("IFERROR(VLOOKUP(F139,IMPORTRANGE(""https://docs.google.com/spreadsheets/d/1Kvs4KS76FHFqLFIZfrDMff4kP08nblUkihrxltoGBjg/edit#gid=934712705"",""ESENCIAL!A6:BG""),3,FALSE))"),"TECNÓLOGO")</f>
        <v>TECNÓLOGO</v>
      </c>
      <c r="H127" s="11" t="str">
        <f ca="1">IFERROR(__xludf.DUMMYFUNCTION("IFERROR(VLOOKUP(F139,IMPORTRANGE(""https://docs.google.com/spreadsheets/d/1Kvs4KS76FHFqLFIZfrDMff4kP08nblUkihrxltoGBjg/edit#gid=934712705"",""ESENCIAL!A6:BG""),8,FALSE))"),"PRODUCCIÓN AGROPECUARIA ECOLÓGICA")</f>
        <v>PRODUCCIÓN AGROPECUARIA ECOLÓGICA</v>
      </c>
      <c r="I127" s="30"/>
      <c r="J127" s="30"/>
      <c r="K127" s="30"/>
      <c r="L127" s="285" t="s">
        <v>44</v>
      </c>
      <c r="M127" s="30"/>
      <c r="N127" s="30"/>
      <c r="O127" s="30"/>
      <c r="P127" s="30"/>
      <c r="Q127" s="30"/>
      <c r="R127" s="30"/>
      <c r="S127" s="30"/>
      <c r="T127" s="30"/>
      <c r="U127" s="30" t="s">
        <v>1400</v>
      </c>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19" t="str">
        <f t="shared" ca="1" si="16"/>
        <v>Procede_E_P</v>
      </c>
      <c r="AV127" s="11" t="str">
        <f ca="1">IFERROR(__xludf.DUMMYFUNCTION("IFERROR(VLOOKUP(E139&amp;F139,IMPORTRANGE(""https://docs.google.com/spreadsheets/d/1Uw7-A9f9R21vMXxHZFNpYNeKFtG8_yji4HS352LGlSQ/edit?pli=1#gid=0"",""1_ACUM!A4:S""),11,FALSE))"),"EN FORMACION")</f>
        <v>EN FORMACION</v>
      </c>
      <c r="AW127" s="20" t="str">
        <f ca="1">IFERROR(__xludf.DUMMYFUNCTION("IFERROR(VLOOKUP(F139,IMPORTRANGE(""https://docs.google.com/spreadsheets/d/1Kvs4KS76FHFqLFIZfrDMff4kP08nblUkihrxltoGBjg/edit#gid=934712705"",""ESENCIAL!A6:BG""),15,FALSE))"),"AGROPECUARIO")</f>
        <v>AGROPECUARIO</v>
      </c>
      <c r="AX127" s="21">
        <f ca="1">IFERROR(__xludf.DUMMYFUNCTION("IFERROR(VLOOKUP(E139&amp;F139,IMPORTRANGE(""https://docs.google.com/spreadsheets/d/1Uw7-A9f9R21vMXxHZFNpYNeKFtG8_yji4HS352LGlSQ/edit?pli=1#gid=0"",""1_ACUM!A4:S""),12,FALSE))"),44839)</f>
        <v>44839</v>
      </c>
      <c r="AY127" s="22">
        <f ca="1">IFERROR(__xludf.DUMMYFUNCTION("IFERROR(VLOOKUP(E139&amp;F139,IMPORTRANGE(""https://docs.google.com/spreadsheets/d/1Uw7-A9f9R21vMXxHZFNpYNeKFtG8_yji4HS352LGlSQ/edit?pli=1#gid=0"",""1_ACUM!A4:S""),13,FALSE))"),0)</f>
        <v>0</v>
      </c>
      <c r="AZ127" s="22">
        <f ca="1">IFERROR(__xludf.DUMMYFUNCTION("IFERROR(VLOOKUP(E139&amp;F139,IMPORTRANGE(""https://docs.google.com/spreadsheets/d/1Uw7-A9f9R21vMXxHZFNpYNeKFtG8_yji4HS352LGlSQ/edit?pli=1#gid=0"",""1_ACUM!A4:S""),14,FALSE))"),1)</f>
        <v>1</v>
      </c>
      <c r="BA127" s="22">
        <f ca="1">IFERROR(__xludf.DUMMYFUNCTION("IFERROR(VLOOKUP(E139&amp;F139,IMPORTRANGE(""https://docs.google.com/spreadsheets/d/1Uw7-A9f9R21vMXxHZFNpYNeKFtG8_yji4HS352LGlSQ/edit?pli=1#gid=0"",""1_ACUM!A4:S""),15,FALSE))"),0)</f>
        <v>0</v>
      </c>
      <c r="BB127" s="22">
        <f ca="1">IFERROR(__xludf.DUMMYFUNCTION("IFERROR(VLOOKUP(E139&amp;F139,IMPORTRANGE(""https://docs.google.com/spreadsheets/d/1Uw7-A9f9R21vMXxHZFNpYNeKFtG8_yji4HS352LGlSQ/edit?pli=1#gid=0"",""1_ACUM!A4:S""),16,FALSE))"),0)</f>
        <v>0</v>
      </c>
      <c r="BC127" s="22">
        <f ca="1">IFERROR(__xludf.DUMMYFUNCTION("IFERROR(VLOOKUP(E139&amp;F139,IMPORTRANGE(""https://docs.google.com/spreadsheets/d/1Uw7-A9f9R21vMXxHZFNpYNeKFtG8_yji4HS352LGlSQ/edit?pli=1#gid=0"",""1_ACUM!A4:S""),17,FALSE))"),1)</f>
        <v>1</v>
      </c>
      <c r="BD127" s="23">
        <f ca="1">IFERROR(__xludf.DUMMYFUNCTION("IFERROR(VLOOKUP(E139&amp;F139,IMPORTRANGE(""https://docs.google.com/spreadsheets/d/1Uw7-A9f9R21vMXxHZFNpYNeKFtG8_yji4HS352LGlSQ/edit?pli=1#gid=0"",""1_ACUM!A4:S""),18,FALSE))"),44221)</f>
        <v>44221</v>
      </c>
      <c r="BE127" s="23">
        <f ca="1">IFERROR(__xludf.DUMMYFUNCTION("IFERROR(VLOOKUP(E139&amp;F139,IMPORTRANGE(""https://docs.google.com/spreadsheets/d/1Uw7-A9f9R21vMXxHZFNpYNeKFtG8_yji4HS352LGlSQ/edit?pli=1#gid=0"",""1_ACUM!A4:S""),19,FALSE))"),44766)</f>
        <v>44766</v>
      </c>
      <c r="BF127" s="23">
        <f ca="1">IFERROR(__xludf.DUMMYFUNCTION("IFERROR(VLOOKUP(F139,IMPORTRANGE(""https://docs.google.com/spreadsheets/d/1Kvs4KS76FHFqLFIZfrDMff4kP08nblUkihrxltoGBjg/edit#gid=934712705"",""ESENCIAL!A6:BG""),5,FALSE))"),44950)</f>
        <v>44950</v>
      </c>
      <c r="BG127" s="23">
        <f t="shared" ca="1" si="17"/>
        <v>45497</v>
      </c>
      <c r="BH127" s="19" t="str">
        <f t="shared" ca="1" si="18"/>
        <v>FICHA EN TIEMPO-18 MESES</v>
      </c>
      <c r="BI127" s="19" t="str">
        <f ca="1">IFERROR(__xludf.DUMMYFUNCTION("IFERROR(VLOOKUP(F139,IMPORTRANGE(""https://docs.google.com/spreadsheets/d/1Kvs4KS76FHFqLFIZfrDMff4kP08nblUkihrxltoGBjg/edit#gid=934712705"",""ESENCIAL!A6:BG""),18,FALSE))"),"En ejecucion")</f>
        <v>En ejecucion</v>
      </c>
      <c r="BJ127" s="19" t="str">
        <f t="shared" si="19"/>
        <v>Yamboro</v>
      </c>
      <c r="BK127" s="291"/>
      <c r="BL127" s="19"/>
    </row>
    <row r="128" spans="1:64" ht="24" hidden="1">
      <c r="A128" s="290"/>
      <c r="B128" s="147" t="s">
        <v>1263</v>
      </c>
      <c r="C128" s="56" t="s">
        <v>1401</v>
      </c>
      <c r="D128" s="57" t="s">
        <v>27</v>
      </c>
      <c r="E128" s="57">
        <v>1004492936</v>
      </c>
      <c r="F128" s="116">
        <v>2236073</v>
      </c>
      <c r="G128" s="11" t="str">
        <f ca="1">IFERROR(__xludf.DUMMYFUNCTION("IFERROR(VLOOKUP(F140,IMPORTRANGE(""https://docs.google.com/spreadsheets/d/1Kvs4KS76FHFqLFIZfrDMff4kP08nblUkihrxltoGBjg/edit#gid=934712705"",""ESENCIAL!A6:BG""),3,FALSE))"),"TECNÓLOGO")</f>
        <v>TECNÓLOGO</v>
      </c>
      <c r="H128" s="11" t="str">
        <f ca="1">IFERROR(__xludf.DUMMYFUNCTION("IFERROR(VLOOKUP(F140,IMPORTRANGE(""https://docs.google.com/spreadsheets/d/1Kvs4KS76FHFqLFIZfrDMff4kP08nblUkihrxltoGBjg/edit#gid=934712705"",""ESENCIAL!A6:BG""),8,FALSE))"),"PRODUCCIÓN AGROPECUARIA ECOLÓGICA")</f>
        <v>PRODUCCIÓN AGROPECUARIA ECOLÓGICA</v>
      </c>
      <c r="I128" s="30"/>
      <c r="J128" s="30"/>
      <c r="K128" s="30"/>
      <c r="L128" s="285" t="s">
        <v>44</v>
      </c>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19" t="str">
        <f t="shared" ca="1" si="16"/>
        <v>NO_CUMPLE</v>
      </c>
      <c r="AV128" s="11" t="str">
        <f ca="1">IFERROR(__xludf.DUMMYFUNCTION("IFERROR(VLOOKUP(E140&amp;F140,IMPORTRANGE(""https://docs.google.com/spreadsheets/d/1Uw7-A9f9R21vMXxHZFNpYNeKFtG8_yji4HS352LGlSQ/edit?pli=1#gid=0"",""1_ACUM!A4:S""),11,FALSE))"),"APLAZADO")</f>
        <v>APLAZADO</v>
      </c>
      <c r="AW128" s="20" t="str">
        <f ca="1">IFERROR(__xludf.DUMMYFUNCTION("IFERROR(VLOOKUP(F140,IMPORTRANGE(""https://docs.google.com/spreadsheets/d/1Kvs4KS76FHFqLFIZfrDMff4kP08nblUkihrxltoGBjg/edit#gid=934712705"",""ESENCIAL!A6:BG""),15,FALSE))"),"AGROPECUARIO")</f>
        <v>AGROPECUARIO</v>
      </c>
      <c r="AX128" s="21">
        <f ca="1">IFERROR(__xludf.DUMMYFUNCTION("IFERROR(VLOOKUP(E140&amp;F140,IMPORTRANGE(""https://docs.google.com/spreadsheets/d/1Uw7-A9f9R21vMXxHZFNpYNeKFtG8_yji4HS352LGlSQ/edit?pli=1#gid=0"",""1_ACUM!A4:S""),12,FALSE))"),44839)</f>
        <v>44839</v>
      </c>
      <c r="AY128" s="22">
        <f ca="1">IFERROR(__xludf.DUMMYFUNCTION("IFERROR(VLOOKUP(E140&amp;F140,IMPORTRANGE(""https://docs.google.com/spreadsheets/d/1Uw7-A9f9R21vMXxHZFNpYNeKFtG8_yji4HS352LGlSQ/edit?pli=1#gid=0"",""1_ACUM!A4:S""),13,FALSE))"),8)</f>
        <v>8</v>
      </c>
      <c r="AZ128" s="22">
        <f ca="1">IFERROR(__xludf.DUMMYFUNCTION("IFERROR(VLOOKUP(E140&amp;F140,IMPORTRANGE(""https://docs.google.com/spreadsheets/d/1Uw7-A9f9R21vMXxHZFNpYNeKFtG8_yji4HS352LGlSQ/edit?pli=1#gid=0"",""1_ACUM!A4:S""),14,FALSE))"),1)</f>
        <v>1</v>
      </c>
      <c r="BA128" s="22">
        <f ca="1">IFERROR(__xludf.DUMMYFUNCTION("IFERROR(VLOOKUP(E140&amp;F140,IMPORTRANGE(""https://docs.google.com/spreadsheets/d/1Uw7-A9f9R21vMXxHZFNpYNeKFtG8_yji4HS352LGlSQ/edit?pli=1#gid=0"",""1_ACUM!A4:S""),15,FALSE))"),15)</f>
        <v>15</v>
      </c>
      <c r="BB128" s="22">
        <f ca="1">IFERROR(__xludf.DUMMYFUNCTION("IFERROR(VLOOKUP(E140&amp;F140,IMPORTRANGE(""https://docs.google.com/spreadsheets/d/1Uw7-A9f9R21vMXxHZFNpYNeKFtG8_yji4HS352LGlSQ/edit?pli=1#gid=0"",""1_ACUM!A4:S""),16,FALSE))"),47)</f>
        <v>47</v>
      </c>
      <c r="BC128" s="22">
        <f ca="1">IFERROR(__xludf.DUMMYFUNCTION("IFERROR(VLOOKUP(E140&amp;F140,IMPORTRANGE(""https://docs.google.com/spreadsheets/d/1Uw7-A9f9R21vMXxHZFNpYNeKFtG8_yji4HS352LGlSQ/edit?pli=1#gid=0"",""1_ACUM!A4:S""),17,FALSE))"),71)</f>
        <v>71</v>
      </c>
      <c r="BD128" s="23">
        <f ca="1">IFERROR(__xludf.DUMMYFUNCTION("IFERROR(VLOOKUP(E140&amp;F140,IMPORTRANGE(""https://docs.google.com/spreadsheets/d/1Uw7-A9f9R21vMXxHZFNpYNeKFtG8_yji4HS352LGlSQ/edit?pli=1#gid=0"",""1_ACUM!A4:S""),18,FALSE))"),44221)</f>
        <v>44221</v>
      </c>
      <c r="BE128" s="23">
        <f ca="1">IFERROR(__xludf.DUMMYFUNCTION("IFERROR(VLOOKUP(E140&amp;F140,IMPORTRANGE(""https://docs.google.com/spreadsheets/d/1Uw7-A9f9R21vMXxHZFNpYNeKFtG8_yji4HS352LGlSQ/edit?pli=1#gid=0"",""1_ACUM!A4:S""),19,FALSE))"),44766)</f>
        <v>44766</v>
      </c>
      <c r="BF128" s="23">
        <f ca="1">IFERROR(__xludf.DUMMYFUNCTION("IFERROR(VLOOKUP(F140,IMPORTRANGE(""https://docs.google.com/spreadsheets/d/1Kvs4KS76FHFqLFIZfrDMff4kP08nblUkihrxltoGBjg/edit#gid=934712705"",""ESENCIAL!A6:BG""),5,FALSE))"),44950)</f>
        <v>44950</v>
      </c>
      <c r="BG128" s="23">
        <f t="shared" ca="1" si="17"/>
        <v>45497</v>
      </c>
      <c r="BH128" s="19" t="str">
        <f t="shared" ca="1" si="18"/>
        <v>FICHA EN TIEMPO-18 MESES</v>
      </c>
      <c r="BI128" s="19" t="str">
        <f ca="1">IFERROR(__xludf.DUMMYFUNCTION("IFERROR(VLOOKUP(F140,IMPORTRANGE(""https://docs.google.com/spreadsheets/d/1Kvs4KS76FHFqLFIZfrDMff4kP08nblUkihrxltoGBjg/edit#gid=934712705"",""ESENCIAL!A6:BG""),18,FALSE))"),"En ejecucion")</f>
        <v>En ejecucion</v>
      </c>
      <c r="BJ128" s="19" t="str">
        <f t="shared" si="19"/>
        <v>Yamboro</v>
      </c>
      <c r="BK128" s="291"/>
      <c r="BL128" s="19"/>
    </row>
    <row r="129" spans="1:64" ht="24">
      <c r="A129" s="293" t="s">
        <v>1223</v>
      </c>
      <c r="B129" s="145" t="s">
        <v>25</v>
      </c>
      <c r="C129" s="470" t="s">
        <v>1402</v>
      </c>
      <c r="D129" s="471" t="s">
        <v>27</v>
      </c>
      <c r="E129" s="471">
        <v>1007563064</v>
      </c>
      <c r="F129" s="346">
        <v>2236073</v>
      </c>
      <c r="G129" s="468" t="str">
        <f ca="1">IFERROR(__xludf.DUMMYFUNCTION("IFERROR(VLOOKUP(F144,IMPORTRANGE(""https://docs.google.com/spreadsheets/d/1Kvs4KS76FHFqLFIZfrDMff4kP08nblUkihrxltoGBjg/edit#gid=934712705"",""ESENCIAL!A6:BG""),3,FALSE))"),"TECNÓLOGO")</f>
        <v>TECNÓLOGO</v>
      </c>
      <c r="H129" s="468" t="str">
        <f ca="1">IFERROR(__xludf.DUMMYFUNCTION("IFERROR(VLOOKUP(F144,IMPORTRANGE(""https://docs.google.com/spreadsheets/d/1Kvs4KS76FHFqLFIZfrDMff4kP08nblUkihrxltoGBjg/edit#gid=934712705"",""ESENCIAL!A6:BG""),8,FALSE))"),"PRODUCCIÓN AGROPECUARIA ECOLÓGICA")</f>
        <v>PRODUCCIÓN AGROPECUARIA ECOLÓGICA</v>
      </c>
      <c r="I129" s="359">
        <v>3204419565</v>
      </c>
      <c r="J129" s="30" t="s">
        <v>1403</v>
      </c>
      <c r="K129" s="30"/>
      <c r="L129" s="113" t="s">
        <v>28</v>
      </c>
      <c r="M129" s="30" t="s">
        <v>1404</v>
      </c>
      <c r="N129" s="30" t="s">
        <v>1405</v>
      </c>
      <c r="O129" s="30">
        <v>3124822041</v>
      </c>
      <c r="P129" s="30"/>
      <c r="Q129" s="30"/>
      <c r="R129" s="88">
        <v>44749</v>
      </c>
      <c r="S129" s="465">
        <v>44950</v>
      </c>
      <c r="T129" s="336" t="s">
        <v>1406</v>
      </c>
      <c r="U129" s="30" t="s">
        <v>1252</v>
      </c>
      <c r="V129" s="54" t="s">
        <v>1407</v>
      </c>
      <c r="W129" s="30"/>
      <c r="X129" s="30"/>
      <c r="Y129" s="74"/>
      <c r="Z129" s="30"/>
      <c r="AA129" s="30"/>
      <c r="AB129" s="30"/>
      <c r="AC129" s="30"/>
      <c r="AD129" s="30"/>
      <c r="AE129" s="30"/>
      <c r="AF129" s="30"/>
      <c r="AG129" s="30"/>
      <c r="AH129" s="30"/>
      <c r="AI129" s="30"/>
      <c r="AJ129" s="30"/>
      <c r="AK129" s="30"/>
      <c r="AL129" s="30"/>
      <c r="AM129" s="30"/>
      <c r="AN129" s="30"/>
      <c r="AO129" s="30"/>
      <c r="AP129" s="30"/>
      <c r="AQ129" s="30"/>
      <c r="AR129" s="30"/>
      <c r="AS129" s="30"/>
      <c r="AT129" s="30" t="s">
        <v>1408</v>
      </c>
      <c r="AU129" s="19" t="str">
        <f t="shared" ca="1" si="16"/>
        <v>Procede_E_P</v>
      </c>
      <c r="AV129" s="11" t="str">
        <f ca="1">IFERROR(__xludf.DUMMYFUNCTION("IFERROR(VLOOKUP(E144&amp;F144,IMPORTRANGE(""https://docs.google.com/spreadsheets/d/1Uw7-A9f9R21vMXxHZFNpYNeKFtG8_yji4HS352LGlSQ/edit?pli=1#gid=0"",""1_ACUM!A4:S""),11,FALSE))"),"EN FORMACION")</f>
        <v>EN FORMACION</v>
      </c>
      <c r="AW129" s="20" t="str">
        <f ca="1">IFERROR(__xludf.DUMMYFUNCTION("IFERROR(VLOOKUP(F144,IMPORTRANGE(""https://docs.google.com/spreadsheets/d/1Kvs4KS76FHFqLFIZfrDMff4kP08nblUkihrxltoGBjg/edit#gid=934712705"",""ESENCIAL!A6:BG""),15,FALSE))"),"AGROPECUARIO")</f>
        <v>AGROPECUARIO</v>
      </c>
      <c r="AX129" s="21">
        <f ca="1">IFERROR(__xludf.DUMMYFUNCTION("IFERROR(VLOOKUP(E144&amp;F144,IMPORTRANGE(""https://docs.google.com/spreadsheets/d/1Uw7-A9f9R21vMXxHZFNpYNeKFtG8_yji4HS352LGlSQ/edit?pli=1#gid=0"",""1_ACUM!A4:S""),12,FALSE))"),44839)</f>
        <v>44839</v>
      </c>
      <c r="AY129" s="22">
        <f ca="1">IFERROR(__xludf.DUMMYFUNCTION("IFERROR(VLOOKUP(E144&amp;F144,IMPORTRANGE(""https://docs.google.com/spreadsheets/d/1Uw7-A9f9R21vMXxHZFNpYNeKFtG8_yji4HS352LGlSQ/edit?pli=1#gid=0"",""1_ACUM!A4:S""),13,FALSE))"),0)</f>
        <v>0</v>
      </c>
      <c r="AZ129" s="22">
        <f ca="1">IFERROR(__xludf.DUMMYFUNCTION("IFERROR(VLOOKUP(E144&amp;F144,IMPORTRANGE(""https://docs.google.com/spreadsheets/d/1Uw7-A9f9R21vMXxHZFNpYNeKFtG8_yji4HS352LGlSQ/edit?pli=1#gid=0"",""1_ACUM!A4:S""),14,FALSE))"),1)</f>
        <v>1</v>
      </c>
      <c r="BA129" s="22">
        <f ca="1">IFERROR(__xludf.DUMMYFUNCTION("IFERROR(VLOOKUP(E144&amp;F144,IMPORTRANGE(""https://docs.google.com/spreadsheets/d/1Uw7-A9f9R21vMXxHZFNpYNeKFtG8_yji4HS352LGlSQ/edit?pli=1#gid=0"",""1_ACUM!A4:S""),15,FALSE))"),0)</f>
        <v>0</v>
      </c>
      <c r="BB129" s="22">
        <f ca="1">IFERROR(__xludf.DUMMYFUNCTION("IFERROR(VLOOKUP(E144&amp;F144,IMPORTRANGE(""https://docs.google.com/spreadsheets/d/1Uw7-A9f9R21vMXxHZFNpYNeKFtG8_yji4HS352LGlSQ/edit?pli=1#gid=0"",""1_ACUM!A4:S""),16,FALSE))"),0)</f>
        <v>0</v>
      </c>
      <c r="BC129" s="22">
        <f ca="1">IFERROR(__xludf.DUMMYFUNCTION("IFERROR(VLOOKUP(E144&amp;F144,IMPORTRANGE(""https://docs.google.com/spreadsheets/d/1Uw7-A9f9R21vMXxHZFNpYNeKFtG8_yji4HS352LGlSQ/edit?pli=1#gid=0"",""1_ACUM!A4:S""),17,FALSE))"),1)</f>
        <v>1</v>
      </c>
      <c r="BD129" s="23">
        <f ca="1">IFERROR(__xludf.DUMMYFUNCTION("IFERROR(VLOOKUP(E144&amp;F144,IMPORTRANGE(""https://docs.google.com/spreadsheets/d/1Uw7-A9f9R21vMXxHZFNpYNeKFtG8_yji4HS352LGlSQ/edit?pli=1#gid=0"",""1_ACUM!A4:S""),18,FALSE))"),44221)</f>
        <v>44221</v>
      </c>
      <c r="BE129" s="23">
        <f ca="1">IFERROR(__xludf.DUMMYFUNCTION("IFERROR(VLOOKUP(E144&amp;F144,IMPORTRANGE(""https://docs.google.com/spreadsheets/d/1Uw7-A9f9R21vMXxHZFNpYNeKFtG8_yji4HS352LGlSQ/edit?pli=1#gid=0"",""1_ACUM!A4:S""),19,FALSE))"),44766)</f>
        <v>44766</v>
      </c>
      <c r="BF129" s="23">
        <f ca="1">IFERROR(__xludf.DUMMYFUNCTION("IFERROR(VLOOKUP(F144,IMPORTRANGE(""https://docs.google.com/spreadsheets/d/1Kvs4KS76FHFqLFIZfrDMff4kP08nblUkihrxltoGBjg/edit#gid=934712705"",""ESENCIAL!A6:BG""),5,FALSE))"),44950)</f>
        <v>44950</v>
      </c>
      <c r="BG129" s="23">
        <f t="shared" ca="1" si="17"/>
        <v>45497</v>
      </c>
      <c r="BH129" s="19" t="str">
        <f t="shared" ca="1" si="18"/>
        <v>FICHA EN TIEMPO-18 MESES</v>
      </c>
      <c r="BI129" s="19" t="str">
        <f ca="1">IFERROR(__xludf.DUMMYFUNCTION("IFERROR(VLOOKUP(F144,IMPORTRANGE(""https://docs.google.com/spreadsheets/d/1Kvs4KS76FHFqLFIZfrDMff4kP08nblUkihrxltoGBjg/edit#gid=934712705"",""ESENCIAL!A6:BG""),18,FALSE))"),"En ejecucion")</f>
        <v>En ejecucion</v>
      </c>
      <c r="BJ129" s="19" t="str">
        <f t="shared" si="19"/>
        <v>Yamboro</v>
      </c>
      <c r="BK129" s="291"/>
      <c r="BL129" s="19"/>
    </row>
    <row r="130" spans="1:64" ht="24">
      <c r="A130" s="293" t="s">
        <v>1223</v>
      </c>
      <c r="B130" s="145" t="s">
        <v>25</v>
      </c>
      <c r="C130" s="470" t="s">
        <v>1409</v>
      </c>
      <c r="D130" s="471" t="s">
        <v>27</v>
      </c>
      <c r="E130" s="471">
        <v>1007587259</v>
      </c>
      <c r="F130" s="346">
        <v>2236073</v>
      </c>
      <c r="G130" s="468" t="str">
        <f ca="1">IFERROR(__xludf.DUMMYFUNCTION("IFERROR(VLOOKUP(F145,IMPORTRANGE(""https://docs.google.com/spreadsheets/d/1Kvs4KS76FHFqLFIZfrDMff4kP08nblUkihrxltoGBjg/edit#gid=934712705"",""ESENCIAL!A6:BG""),3,FALSE))"),"TECNÓLOGO")</f>
        <v>TECNÓLOGO</v>
      </c>
      <c r="H130" s="468" t="str">
        <f ca="1">IFERROR(__xludf.DUMMYFUNCTION("IFERROR(VLOOKUP(F145,IMPORTRANGE(""https://docs.google.com/spreadsheets/d/1Kvs4KS76FHFqLFIZfrDMff4kP08nblUkihrxltoGBjg/edit#gid=934712705"",""ESENCIAL!A6:BG""),8,FALSE))"),"PRODUCCIÓN AGROPECUARIA ECOLÓGICA")</f>
        <v>PRODUCCIÓN AGROPECUARIA ECOLÓGICA</v>
      </c>
      <c r="I130" s="359">
        <v>3133011543</v>
      </c>
      <c r="J130" s="30" t="s">
        <v>1410</v>
      </c>
      <c r="K130" s="30"/>
      <c r="L130" s="30" t="s">
        <v>37</v>
      </c>
      <c r="M130" s="54" t="s">
        <v>1241</v>
      </c>
      <c r="N130" s="30"/>
      <c r="O130" s="142">
        <v>3217388487</v>
      </c>
      <c r="P130" s="30"/>
      <c r="Q130" s="142" t="s">
        <v>230</v>
      </c>
      <c r="R130" s="88">
        <v>44774</v>
      </c>
      <c r="S130" s="465">
        <v>44958</v>
      </c>
      <c r="T130" s="30" t="s">
        <v>1411</v>
      </c>
      <c r="U130" s="28" t="s">
        <v>1412</v>
      </c>
      <c r="V130" s="54" t="s">
        <v>1246</v>
      </c>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19" t="str">
        <f t="shared" ca="1" si="16"/>
        <v>Procede_E_P</v>
      </c>
      <c r="AV130" s="11" t="str">
        <f ca="1">IFERROR(__xludf.DUMMYFUNCTION("IFERROR(VLOOKUP(E145&amp;F145,IMPORTRANGE(""https://docs.google.com/spreadsheets/d/1Uw7-A9f9R21vMXxHZFNpYNeKFtG8_yji4HS352LGlSQ/edit?pli=1#gid=0"",""1_ACUM!A4:S""),11,FALSE))"),"EN FORMACION")</f>
        <v>EN FORMACION</v>
      </c>
      <c r="AW130" s="20" t="str">
        <f ca="1">IFERROR(__xludf.DUMMYFUNCTION("IFERROR(VLOOKUP(F145,IMPORTRANGE(""https://docs.google.com/spreadsheets/d/1Kvs4KS76FHFqLFIZfrDMff4kP08nblUkihrxltoGBjg/edit#gid=934712705"",""ESENCIAL!A6:BG""),15,FALSE))"),"AGROPECUARIO")</f>
        <v>AGROPECUARIO</v>
      </c>
      <c r="AX130" s="21">
        <f ca="1">IFERROR(__xludf.DUMMYFUNCTION("IFERROR(VLOOKUP(E145&amp;F145,IMPORTRANGE(""https://docs.google.com/spreadsheets/d/1Uw7-A9f9R21vMXxHZFNpYNeKFtG8_yji4HS352LGlSQ/edit?pli=1#gid=0"",""1_ACUM!A4:S""),12,FALSE))"),44839)</f>
        <v>44839</v>
      </c>
      <c r="AY130" s="22">
        <f ca="1">IFERROR(__xludf.DUMMYFUNCTION("IFERROR(VLOOKUP(E145&amp;F145,IMPORTRANGE(""https://docs.google.com/spreadsheets/d/1Uw7-A9f9R21vMXxHZFNpYNeKFtG8_yji4HS352LGlSQ/edit?pli=1#gid=0"",""1_ACUM!A4:S""),13,FALSE))"),0)</f>
        <v>0</v>
      </c>
      <c r="AZ130" s="22">
        <f ca="1">IFERROR(__xludf.DUMMYFUNCTION("IFERROR(VLOOKUP(E145&amp;F145,IMPORTRANGE(""https://docs.google.com/spreadsheets/d/1Uw7-A9f9R21vMXxHZFNpYNeKFtG8_yji4HS352LGlSQ/edit?pli=1#gid=0"",""1_ACUM!A4:S""),14,FALSE))"),1)</f>
        <v>1</v>
      </c>
      <c r="BA130" s="22">
        <f ca="1">IFERROR(__xludf.DUMMYFUNCTION("IFERROR(VLOOKUP(E145&amp;F145,IMPORTRANGE(""https://docs.google.com/spreadsheets/d/1Uw7-A9f9R21vMXxHZFNpYNeKFtG8_yji4HS352LGlSQ/edit?pli=1#gid=0"",""1_ACUM!A4:S""),15,FALSE))"),0)</f>
        <v>0</v>
      </c>
      <c r="BB130" s="22">
        <f ca="1">IFERROR(__xludf.DUMMYFUNCTION("IFERROR(VLOOKUP(E145&amp;F145,IMPORTRANGE(""https://docs.google.com/spreadsheets/d/1Uw7-A9f9R21vMXxHZFNpYNeKFtG8_yji4HS352LGlSQ/edit?pli=1#gid=0"",""1_ACUM!A4:S""),16,FALSE))"),0)</f>
        <v>0</v>
      </c>
      <c r="BC130" s="22">
        <f ca="1">IFERROR(__xludf.DUMMYFUNCTION("IFERROR(VLOOKUP(E145&amp;F145,IMPORTRANGE(""https://docs.google.com/spreadsheets/d/1Uw7-A9f9R21vMXxHZFNpYNeKFtG8_yji4HS352LGlSQ/edit?pli=1#gid=0"",""1_ACUM!A4:S""),17,FALSE))"),1)</f>
        <v>1</v>
      </c>
      <c r="BD130" s="23">
        <f ca="1">IFERROR(__xludf.DUMMYFUNCTION("IFERROR(VLOOKUP(E145&amp;F145,IMPORTRANGE(""https://docs.google.com/spreadsheets/d/1Uw7-A9f9R21vMXxHZFNpYNeKFtG8_yji4HS352LGlSQ/edit?pli=1#gid=0"",""1_ACUM!A4:S""),18,FALSE))"),44221)</f>
        <v>44221</v>
      </c>
      <c r="BE130" s="23">
        <f ca="1">IFERROR(__xludf.DUMMYFUNCTION("IFERROR(VLOOKUP(E145&amp;F145,IMPORTRANGE(""https://docs.google.com/spreadsheets/d/1Uw7-A9f9R21vMXxHZFNpYNeKFtG8_yji4HS352LGlSQ/edit?pli=1#gid=0"",""1_ACUM!A4:S""),19,FALSE))"),44766)</f>
        <v>44766</v>
      </c>
      <c r="BF130" s="23">
        <f ca="1">IFERROR(__xludf.DUMMYFUNCTION("IFERROR(VLOOKUP(F145,IMPORTRANGE(""https://docs.google.com/spreadsheets/d/1Kvs4KS76FHFqLFIZfrDMff4kP08nblUkihrxltoGBjg/edit#gid=934712705"",""ESENCIAL!A6:BG""),5,FALSE))"),44950)</f>
        <v>44950</v>
      </c>
      <c r="BG130" s="23">
        <f t="shared" ca="1" si="17"/>
        <v>45497</v>
      </c>
      <c r="BH130" s="19" t="str">
        <f t="shared" ca="1" si="18"/>
        <v>FICHA EN TIEMPO-18 MESES</v>
      </c>
      <c r="BI130" s="19" t="str">
        <f ca="1">IFERROR(__xludf.DUMMYFUNCTION("IFERROR(VLOOKUP(F145,IMPORTRANGE(""https://docs.google.com/spreadsheets/d/1Kvs4KS76FHFqLFIZfrDMff4kP08nblUkihrxltoGBjg/edit#gid=934712705"",""ESENCIAL!A6:BG""),18,FALSE))"),"En ejecucion")</f>
        <v>En ejecucion</v>
      </c>
      <c r="BJ130" s="19" t="str">
        <f t="shared" si="19"/>
        <v>Yamboro</v>
      </c>
      <c r="BK130" s="291"/>
      <c r="BL130" s="19"/>
    </row>
    <row r="131" spans="1:64" ht="24">
      <c r="A131" s="293" t="s">
        <v>1223</v>
      </c>
      <c r="B131" s="145" t="s">
        <v>25</v>
      </c>
      <c r="C131" s="470" t="s">
        <v>1413</v>
      </c>
      <c r="D131" s="471" t="s">
        <v>27</v>
      </c>
      <c r="E131" s="471">
        <v>1007600715</v>
      </c>
      <c r="F131" s="346">
        <v>2236073</v>
      </c>
      <c r="G131" s="468" t="str">
        <f ca="1">IFERROR(__xludf.DUMMYFUNCTION("IFERROR(VLOOKUP(F146,IMPORTRANGE(""https://docs.google.com/spreadsheets/d/1Kvs4KS76FHFqLFIZfrDMff4kP08nblUkihrxltoGBjg/edit#gid=934712705"",""ESENCIAL!A6:BG""),3,FALSE))"),"TECNÓLOGO")</f>
        <v>TECNÓLOGO</v>
      </c>
      <c r="H131" s="468" t="str">
        <f ca="1">IFERROR(__xludf.DUMMYFUNCTION("IFERROR(VLOOKUP(F146,IMPORTRANGE(""https://docs.google.com/spreadsheets/d/1Kvs4KS76FHFqLFIZfrDMff4kP08nblUkihrxltoGBjg/edit#gid=934712705"",""ESENCIAL!A6:BG""),8,FALSE))"),"PRODUCCIÓN AGROPECUARIA ECOLÓGICA")</f>
        <v>PRODUCCIÓN AGROPECUARIA ECOLÓGICA</v>
      </c>
      <c r="I131" s="359">
        <v>3212962534</v>
      </c>
      <c r="J131" s="30" t="s">
        <v>1414</v>
      </c>
      <c r="K131" s="30"/>
      <c r="L131" s="30" t="s">
        <v>37</v>
      </c>
      <c r="M131" s="54" t="s">
        <v>1241</v>
      </c>
      <c r="N131" s="54" t="s">
        <v>84</v>
      </c>
      <c r="O131" s="142">
        <v>3217388487</v>
      </c>
      <c r="P131" s="30"/>
      <c r="Q131" s="142" t="s">
        <v>230</v>
      </c>
      <c r="R131" s="88">
        <v>44774</v>
      </c>
      <c r="S131" s="465">
        <v>44958</v>
      </c>
      <c r="T131" s="30" t="s">
        <v>1411</v>
      </c>
      <c r="U131" s="28" t="s">
        <v>1412</v>
      </c>
      <c r="V131" s="54" t="s">
        <v>1246</v>
      </c>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19" t="str">
        <f t="shared" ca="1" si="16"/>
        <v>Procede_E_P</v>
      </c>
      <c r="AV131" s="11" t="str">
        <f ca="1">IFERROR(__xludf.DUMMYFUNCTION("IFERROR(VLOOKUP(E146&amp;F146,IMPORTRANGE(""https://docs.google.com/spreadsheets/d/1Uw7-A9f9R21vMXxHZFNpYNeKFtG8_yji4HS352LGlSQ/edit?pli=1#gid=0"",""1_ACUM!A4:S""),11,FALSE))"),"EN FORMACION")</f>
        <v>EN FORMACION</v>
      </c>
      <c r="AW131" s="20" t="str">
        <f ca="1">IFERROR(__xludf.DUMMYFUNCTION("IFERROR(VLOOKUP(F146,IMPORTRANGE(""https://docs.google.com/spreadsheets/d/1Kvs4KS76FHFqLFIZfrDMff4kP08nblUkihrxltoGBjg/edit#gid=934712705"",""ESENCIAL!A6:BG""),15,FALSE))"),"AGROPECUARIO")</f>
        <v>AGROPECUARIO</v>
      </c>
      <c r="AX131" s="21">
        <f ca="1">IFERROR(__xludf.DUMMYFUNCTION("IFERROR(VLOOKUP(E146&amp;F146,IMPORTRANGE(""https://docs.google.com/spreadsheets/d/1Uw7-A9f9R21vMXxHZFNpYNeKFtG8_yji4HS352LGlSQ/edit?pli=1#gid=0"",""1_ACUM!A4:S""),12,FALSE))"),44839)</f>
        <v>44839</v>
      </c>
      <c r="AY131" s="22">
        <f ca="1">IFERROR(__xludf.DUMMYFUNCTION("IFERROR(VLOOKUP(E146&amp;F146,IMPORTRANGE(""https://docs.google.com/spreadsheets/d/1Uw7-A9f9R21vMXxHZFNpYNeKFtG8_yji4HS352LGlSQ/edit?pli=1#gid=0"",""1_ACUM!A4:S""),13,FALSE))"),0)</f>
        <v>0</v>
      </c>
      <c r="AZ131" s="22">
        <f ca="1">IFERROR(__xludf.DUMMYFUNCTION("IFERROR(VLOOKUP(E146&amp;F146,IMPORTRANGE(""https://docs.google.com/spreadsheets/d/1Uw7-A9f9R21vMXxHZFNpYNeKFtG8_yji4HS352LGlSQ/edit?pli=1#gid=0"",""1_ACUM!A4:S""),14,FALSE))"),1)</f>
        <v>1</v>
      </c>
      <c r="BA131" s="22">
        <f ca="1">IFERROR(__xludf.DUMMYFUNCTION("IFERROR(VLOOKUP(E146&amp;F146,IMPORTRANGE(""https://docs.google.com/spreadsheets/d/1Uw7-A9f9R21vMXxHZFNpYNeKFtG8_yji4HS352LGlSQ/edit?pli=1#gid=0"",""1_ACUM!A4:S""),15,FALSE))"),0)</f>
        <v>0</v>
      </c>
      <c r="BB131" s="22">
        <f ca="1">IFERROR(__xludf.DUMMYFUNCTION("IFERROR(VLOOKUP(E146&amp;F146,IMPORTRANGE(""https://docs.google.com/spreadsheets/d/1Uw7-A9f9R21vMXxHZFNpYNeKFtG8_yji4HS352LGlSQ/edit?pli=1#gid=0"",""1_ACUM!A4:S""),16,FALSE))"),0)</f>
        <v>0</v>
      </c>
      <c r="BC131" s="22">
        <f ca="1">IFERROR(__xludf.DUMMYFUNCTION("IFERROR(VLOOKUP(E146&amp;F146,IMPORTRANGE(""https://docs.google.com/spreadsheets/d/1Uw7-A9f9R21vMXxHZFNpYNeKFtG8_yji4HS352LGlSQ/edit?pli=1#gid=0"",""1_ACUM!A4:S""),17,FALSE))"),1)</f>
        <v>1</v>
      </c>
      <c r="BD131" s="23">
        <f ca="1">IFERROR(__xludf.DUMMYFUNCTION("IFERROR(VLOOKUP(E146&amp;F146,IMPORTRANGE(""https://docs.google.com/spreadsheets/d/1Uw7-A9f9R21vMXxHZFNpYNeKFtG8_yji4HS352LGlSQ/edit?pli=1#gid=0"",""1_ACUM!A4:S""),18,FALSE))"),44221)</f>
        <v>44221</v>
      </c>
      <c r="BE131" s="23">
        <f ca="1">IFERROR(__xludf.DUMMYFUNCTION("IFERROR(VLOOKUP(E146&amp;F146,IMPORTRANGE(""https://docs.google.com/spreadsheets/d/1Uw7-A9f9R21vMXxHZFNpYNeKFtG8_yji4HS352LGlSQ/edit?pli=1#gid=0"",""1_ACUM!A4:S""),19,FALSE))"),44766)</f>
        <v>44766</v>
      </c>
      <c r="BF131" s="23">
        <f ca="1">IFERROR(__xludf.DUMMYFUNCTION("IFERROR(VLOOKUP(F146,IMPORTRANGE(""https://docs.google.com/spreadsheets/d/1Kvs4KS76FHFqLFIZfrDMff4kP08nblUkihrxltoGBjg/edit#gid=934712705"",""ESENCIAL!A6:BG""),5,FALSE))"),44950)</f>
        <v>44950</v>
      </c>
      <c r="BG131" s="23">
        <f t="shared" ca="1" si="17"/>
        <v>45497</v>
      </c>
      <c r="BH131" s="19" t="str">
        <f t="shared" ca="1" si="18"/>
        <v>FICHA EN TIEMPO-18 MESES</v>
      </c>
      <c r="BI131" s="19" t="str">
        <f ca="1">IFERROR(__xludf.DUMMYFUNCTION("IFERROR(VLOOKUP(F146,IMPORTRANGE(""https://docs.google.com/spreadsheets/d/1Kvs4KS76FHFqLFIZfrDMff4kP08nblUkihrxltoGBjg/edit#gid=934712705"",""ESENCIAL!A6:BG""),18,FALSE))"),"En ejecucion")</f>
        <v>En ejecucion</v>
      </c>
      <c r="BJ131" s="19" t="str">
        <f t="shared" si="19"/>
        <v>Yamboro</v>
      </c>
      <c r="BK131" s="291"/>
      <c r="BL131" s="19"/>
    </row>
    <row r="132" spans="1:64" ht="24" hidden="1">
      <c r="A132" s="290"/>
      <c r="B132" s="145" t="s">
        <v>25</v>
      </c>
      <c r="C132" s="18" t="s">
        <v>1415</v>
      </c>
      <c r="D132" s="57" t="s">
        <v>27</v>
      </c>
      <c r="E132" s="57">
        <v>1023932537</v>
      </c>
      <c r="F132" s="114">
        <v>2236073</v>
      </c>
      <c r="G132" s="11" t="str">
        <f ca="1">IFERROR(__xludf.DUMMYFUNCTION("IFERROR(VLOOKUP(F147,IMPORTRANGE(""https://docs.google.com/spreadsheets/d/1Kvs4KS76FHFqLFIZfrDMff4kP08nblUkihrxltoGBjg/edit#gid=934712705"",""ESENCIAL!A6:BG""),3,FALSE))"),"TECNÓLOGO")</f>
        <v>TECNÓLOGO</v>
      </c>
      <c r="H132" s="11" t="str">
        <f ca="1">IFERROR(__xludf.DUMMYFUNCTION("IFERROR(VLOOKUP(F147,IMPORTRANGE(""https://docs.google.com/spreadsheets/d/1Kvs4KS76FHFqLFIZfrDMff4kP08nblUkihrxltoGBjg/edit#gid=934712705"",""ESENCIAL!A6:BG""),8,FALSE))"),"PRODUCCIÓN AGROPECUARIA ECOLÓGICA")</f>
        <v>PRODUCCIÓN AGROPECUARIA ECOLÓGICA</v>
      </c>
      <c r="I132" s="30"/>
      <c r="J132" s="30"/>
      <c r="K132" s="30"/>
      <c r="L132" s="285" t="s">
        <v>44</v>
      </c>
      <c r="M132" s="30"/>
      <c r="N132" s="30"/>
      <c r="O132" s="30"/>
      <c r="P132" s="30"/>
      <c r="Q132" s="30"/>
      <c r="R132" s="30"/>
      <c r="S132" s="30"/>
      <c r="T132" s="30"/>
      <c r="U132" s="28" t="s">
        <v>1416</v>
      </c>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19" t="str">
        <f t="shared" ca="1" si="16"/>
        <v>Procede_E_P</v>
      </c>
      <c r="AV132" s="11" t="str">
        <f ca="1">IFERROR(__xludf.DUMMYFUNCTION("IFERROR(VLOOKUP(E147&amp;F147,IMPORTRANGE(""https://docs.google.com/spreadsheets/d/1Uw7-A9f9R21vMXxHZFNpYNeKFtG8_yji4HS352LGlSQ/edit?pli=1#gid=0"",""1_ACUM!A4:S""),11,FALSE))"),"EN FORMACION")</f>
        <v>EN FORMACION</v>
      </c>
      <c r="AW132" s="20" t="str">
        <f ca="1">IFERROR(__xludf.DUMMYFUNCTION("IFERROR(VLOOKUP(F147,IMPORTRANGE(""https://docs.google.com/spreadsheets/d/1Kvs4KS76FHFqLFIZfrDMff4kP08nblUkihrxltoGBjg/edit#gid=934712705"",""ESENCIAL!A6:BG""),15,FALSE))"),"AGROPECUARIO")</f>
        <v>AGROPECUARIO</v>
      </c>
      <c r="AX132" s="21">
        <f ca="1">IFERROR(__xludf.DUMMYFUNCTION("IFERROR(VLOOKUP(E147&amp;F147,IMPORTRANGE(""https://docs.google.com/spreadsheets/d/1Uw7-A9f9R21vMXxHZFNpYNeKFtG8_yji4HS352LGlSQ/edit?pli=1#gid=0"",""1_ACUM!A4:S""),12,FALSE))"),44839)</f>
        <v>44839</v>
      </c>
      <c r="AY132" s="22">
        <f ca="1">IFERROR(__xludf.DUMMYFUNCTION("IFERROR(VLOOKUP(E147&amp;F147,IMPORTRANGE(""https://docs.google.com/spreadsheets/d/1Uw7-A9f9R21vMXxHZFNpYNeKFtG8_yji4HS352LGlSQ/edit?pli=1#gid=0"",""1_ACUM!A4:S""),13,FALSE))"),0)</f>
        <v>0</v>
      </c>
      <c r="AZ132" s="22">
        <f ca="1">IFERROR(__xludf.DUMMYFUNCTION("IFERROR(VLOOKUP(E147&amp;F147,IMPORTRANGE(""https://docs.google.com/spreadsheets/d/1Uw7-A9f9R21vMXxHZFNpYNeKFtG8_yji4HS352LGlSQ/edit?pli=1#gid=0"",""1_ACUM!A4:S""),14,FALSE))"),1)</f>
        <v>1</v>
      </c>
      <c r="BA132" s="22">
        <f ca="1">IFERROR(__xludf.DUMMYFUNCTION("IFERROR(VLOOKUP(E147&amp;F147,IMPORTRANGE(""https://docs.google.com/spreadsheets/d/1Uw7-A9f9R21vMXxHZFNpYNeKFtG8_yji4HS352LGlSQ/edit?pli=1#gid=0"",""1_ACUM!A4:S""),15,FALSE))"),0)</f>
        <v>0</v>
      </c>
      <c r="BB132" s="22">
        <f ca="1">IFERROR(__xludf.DUMMYFUNCTION("IFERROR(VLOOKUP(E147&amp;F147,IMPORTRANGE(""https://docs.google.com/spreadsheets/d/1Uw7-A9f9R21vMXxHZFNpYNeKFtG8_yji4HS352LGlSQ/edit?pli=1#gid=0"",""1_ACUM!A4:S""),16,FALSE))"),0)</f>
        <v>0</v>
      </c>
      <c r="BC132" s="22">
        <f ca="1">IFERROR(__xludf.DUMMYFUNCTION("IFERROR(VLOOKUP(E147&amp;F147,IMPORTRANGE(""https://docs.google.com/spreadsheets/d/1Uw7-A9f9R21vMXxHZFNpYNeKFtG8_yji4HS352LGlSQ/edit?pli=1#gid=0"",""1_ACUM!A4:S""),17,FALSE))"),1)</f>
        <v>1</v>
      </c>
      <c r="BD132" s="23">
        <f ca="1">IFERROR(__xludf.DUMMYFUNCTION("IFERROR(VLOOKUP(E147&amp;F147,IMPORTRANGE(""https://docs.google.com/spreadsheets/d/1Uw7-A9f9R21vMXxHZFNpYNeKFtG8_yji4HS352LGlSQ/edit?pli=1#gid=0"",""1_ACUM!A4:S""),18,FALSE))"),44221)</f>
        <v>44221</v>
      </c>
      <c r="BE132" s="23">
        <f ca="1">IFERROR(__xludf.DUMMYFUNCTION("IFERROR(VLOOKUP(E147&amp;F147,IMPORTRANGE(""https://docs.google.com/spreadsheets/d/1Uw7-A9f9R21vMXxHZFNpYNeKFtG8_yji4HS352LGlSQ/edit?pli=1#gid=0"",""1_ACUM!A4:S""),19,FALSE))"),44766)</f>
        <v>44766</v>
      </c>
      <c r="BF132" s="23">
        <f ca="1">IFERROR(__xludf.DUMMYFUNCTION("IFERROR(VLOOKUP(F147,IMPORTRANGE(""https://docs.google.com/spreadsheets/d/1Kvs4KS76FHFqLFIZfrDMff4kP08nblUkihrxltoGBjg/edit#gid=934712705"",""ESENCIAL!A6:BG""),5,FALSE))"),44950)</f>
        <v>44950</v>
      </c>
      <c r="BG132" s="23">
        <f t="shared" ca="1" si="17"/>
        <v>45497</v>
      </c>
      <c r="BH132" s="19" t="str">
        <f t="shared" ca="1" si="18"/>
        <v>FICHA EN TIEMPO-18 MESES</v>
      </c>
      <c r="BI132" s="19" t="str">
        <f ca="1">IFERROR(__xludf.DUMMYFUNCTION("IFERROR(VLOOKUP(F147,IMPORTRANGE(""https://docs.google.com/spreadsheets/d/1Kvs4KS76FHFqLFIZfrDMff4kP08nblUkihrxltoGBjg/edit#gid=934712705"",""ESENCIAL!A6:BG""),18,FALSE))"),"En ejecucion")</f>
        <v>En ejecucion</v>
      </c>
      <c r="BJ132" s="19" t="str">
        <f t="shared" si="19"/>
        <v>Yamboro</v>
      </c>
      <c r="BK132" s="291"/>
      <c r="BL132" s="19"/>
    </row>
    <row r="133" spans="1:64" ht="24">
      <c r="A133" s="293" t="s">
        <v>1223</v>
      </c>
      <c r="B133" s="145" t="s">
        <v>25</v>
      </c>
      <c r="C133" s="470" t="s">
        <v>1417</v>
      </c>
      <c r="D133" s="471" t="s">
        <v>27</v>
      </c>
      <c r="E133" s="471">
        <v>1083864639</v>
      </c>
      <c r="F133" s="346">
        <v>2236073</v>
      </c>
      <c r="G133" s="468" t="str">
        <f ca="1">IFERROR(__xludf.DUMMYFUNCTION("IFERROR(VLOOKUP(F148,IMPORTRANGE(""https://docs.google.com/spreadsheets/d/1Kvs4KS76FHFqLFIZfrDMff4kP08nblUkihrxltoGBjg/edit#gid=934712705"",""ESENCIAL!A6:BG""),3,FALSE))"),"TECNÓLOGO")</f>
        <v>TECNÓLOGO</v>
      </c>
      <c r="H133" s="468" t="str">
        <f ca="1">IFERROR(__xludf.DUMMYFUNCTION("IFERROR(VLOOKUP(F148,IMPORTRANGE(""https://docs.google.com/spreadsheets/d/1Kvs4KS76FHFqLFIZfrDMff4kP08nblUkihrxltoGBjg/edit#gid=934712705"",""ESENCIAL!A6:BG""),8,FALSE))"),"PRODUCCIÓN AGROPECUARIA ECOLÓGICA")</f>
        <v>PRODUCCIÓN AGROPECUARIA ECOLÓGICA</v>
      </c>
      <c r="I133" s="359">
        <v>3204512855</v>
      </c>
      <c r="J133" s="30" t="s">
        <v>1418</v>
      </c>
      <c r="K133" s="30" t="s">
        <v>84</v>
      </c>
      <c r="L133" s="30" t="s">
        <v>28</v>
      </c>
      <c r="M133" s="30" t="s">
        <v>1419</v>
      </c>
      <c r="N133" s="30" t="s">
        <v>1420</v>
      </c>
      <c r="O133" s="30">
        <v>3223059003</v>
      </c>
      <c r="P133" s="30" t="s">
        <v>81</v>
      </c>
      <c r="Q133" s="182" t="s">
        <v>1421</v>
      </c>
      <c r="R133" s="181">
        <v>44573</v>
      </c>
      <c r="S133" s="181" t="s">
        <v>1422</v>
      </c>
      <c r="T133" s="30"/>
      <c r="U133" s="30" t="s">
        <v>1257</v>
      </c>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19" t="str">
        <f t="shared" ca="1" si="16"/>
        <v>Procede_E_P</v>
      </c>
      <c r="AV133" s="11" t="str">
        <f ca="1">IFERROR(__xludf.DUMMYFUNCTION("IFERROR(VLOOKUP(E148&amp;F148,IMPORTRANGE(""https://docs.google.com/spreadsheets/d/1Uw7-A9f9R21vMXxHZFNpYNeKFtG8_yji4HS352LGlSQ/edit?pli=1#gid=0"",""1_ACUM!A4:S""),11,FALSE))"),"EN FORMACION")</f>
        <v>EN FORMACION</v>
      </c>
      <c r="AW133" s="20" t="str">
        <f ca="1">IFERROR(__xludf.DUMMYFUNCTION("IFERROR(VLOOKUP(F148,IMPORTRANGE(""https://docs.google.com/spreadsheets/d/1Kvs4KS76FHFqLFIZfrDMff4kP08nblUkihrxltoGBjg/edit#gid=934712705"",""ESENCIAL!A6:BG""),15,FALSE))"),"AGROPECUARIO")</f>
        <v>AGROPECUARIO</v>
      </c>
      <c r="AX133" s="21">
        <f ca="1">IFERROR(__xludf.DUMMYFUNCTION("IFERROR(VLOOKUP(E148&amp;F148,IMPORTRANGE(""https://docs.google.com/spreadsheets/d/1Uw7-A9f9R21vMXxHZFNpYNeKFtG8_yji4HS352LGlSQ/edit?pli=1#gid=0"",""1_ACUM!A4:S""),12,FALSE))"),44839)</f>
        <v>44839</v>
      </c>
      <c r="AY133" s="22">
        <f ca="1">IFERROR(__xludf.DUMMYFUNCTION("IFERROR(VLOOKUP(E148&amp;F148,IMPORTRANGE(""https://docs.google.com/spreadsheets/d/1Uw7-A9f9R21vMXxHZFNpYNeKFtG8_yji4HS352LGlSQ/edit?pli=1#gid=0"",""1_ACUM!A4:S""),13,FALSE))"),0)</f>
        <v>0</v>
      </c>
      <c r="AZ133" s="22">
        <f ca="1">IFERROR(__xludf.DUMMYFUNCTION("IFERROR(VLOOKUP(E148&amp;F148,IMPORTRANGE(""https://docs.google.com/spreadsheets/d/1Uw7-A9f9R21vMXxHZFNpYNeKFtG8_yji4HS352LGlSQ/edit?pli=1#gid=0"",""1_ACUM!A4:S""),14,FALSE))"),1)</f>
        <v>1</v>
      </c>
      <c r="BA133" s="22">
        <f ca="1">IFERROR(__xludf.DUMMYFUNCTION("IFERROR(VLOOKUP(E148&amp;F148,IMPORTRANGE(""https://docs.google.com/spreadsheets/d/1Uw7-A9f9R21vMXxHZFNpYNeKFtG8_yji4HS352LGlSQ/edit?pli=1#gid=0"",""1_ACUM!A4:S""),15,FALSE))"),0)</f>
        <v>0</v>
      </c>
      <c r="BB133" s="22">
        <f ca="1">IFERROR(__xludf.DUMMYFUNCTION("IFERROR(VLOOKUP(E148&amp;F148,IMPORTRANGE(""https://docs.google.com/spreadsheets/d/1Uw7-A9f9R21vMXxHZFNpYNeKFtG8_yji4HS352LGlSQ/edit?pli=1#gid=0"",""1_ACUM!A4:S""),16,FALSE))"),0)</f>
        <v>0</v>
      </c>
      <c r="BC133" s="22">
        <f ca="1">IFERROR(__xludf.DUMMYFUNCTION("IFERROR(VLOOKUP(E148&amp;F148,IMPORTRANGE(""https://docs.google.com/spreadsheets/d/1Uw7-A9f9R21vMXxHZFNpYNeKFtG8_yji4HS352LGlSQ/edit?pli=1#gid=0"",""1_ACUM!A4:S""),17,FALSE))"),1)</f>
        <v>1</v>
      </c>
      <c r="BD133" s="23">
        <f ca="1">IFERROR(__xludf.DUMMYFUNCTION("IFERROR(VLOOKUP(E148&amp;F148,IMPORTRANGE(""https://docs.google.com/spreadsheets/d/1Uw7-A9f9R21vMXxHZFNpYNeKFtG8_yji4HS352LGlSQ/edit?pli=1#gid=0"",""1_ACUM!A4:S""),18,FALSE))"),44221)</f>
        <v>44221</v>
      </c>
      <c r="BE133" s="23">
        <f ca="1">IFERROR(__xludf.DUMMYFUNCTION("IFERROR(VLOOKUP(E148&amp;F148,IMPORTRANGE(""https://docs.google.com/spreadsheets/d/1Uw7-A9f9R21vMXxHZFNpYNeKFtG8_yji4HS352LGlSQ/edit?pli=1#gid=0"",""1_ACUM!A4:S""),19,FALSE))"),44766)</f>
        <v>44766</v>
      </c>
      <c r="BF133" s="23">
        <f ca="1">IFERROR(__xludf.DUMMYFUNCTION("IFERROR(VLOOKUP(F148,IMPORTRANGE(""https://docs.google.com/spreadsheets/d/1Kvs4KS76FHFqLFIZfrDMff4kP08nblUkihrxltoGBjg/edit#gid=934712705"",""ESENCIAL!A6:BG""),5,FALSE))"),44950)</f>
        <v>44950</v>
      </c>
      <c r="BG133" s="23">
        <f t="shared" ca="1" si="17"/>
        <v>45497</v>
      </c>
      <c r="BH133" s="19" t="str">
        <f t="shared" ca="1" si="18"/>
        <v>FICHA EN TIEMPO-18 MESES</v>
      </c>
      <c r="BI133" s="19" t="str">
        <f ca="1">IFERROR(__xludf.DUMMYFUNCTION("IFERROR(VLOOKUP(F148,IMPORTRANGE(""https://docs.google.com/spreadsheets/d/1Kvs4KS76FHFqLFIZfrDMff4kP08nblUkihrxltoGBjg/edit#gid=934712705"",""ESENCIAL!A6:BG""),18,FALSE))"),"En ejecucion")</f>
        <v>En ejecucion</v>
      </c>
      <c r="BJ133" s="19" t="str">
        <f t="shared" si="19"/>
        <v>Yamboro</v>
      </c>
      <c r="BK133" s="291"/>
      <c r="BL133" s="19"/>
    </row>
    <row r="134" spans="1:64" s="180" customFormat="1" ht="24">
      <c r="A134" s="486" t="s">
        <v>1423</v>
      </c>
      <c r="B134" s="145" t="s">
        <v>25</v>
      </c>
      <c r="C134" s="487" t="s">
        <v>1424</v>
      </c>
      <c r="D134" s="474" t="s">
        <v>27</v>
      </c>
      <c r="E134" s="474">
        <v>1083866053</v>
      </c>
      <c r="F134" s="475">
        <v>2236073</v>
      </c>
      <c r="G134" s="476" t="str">
        <f ca="1">IFERROR(__xludf.DUMMYFUNCTION("IFERROR(VLOOKUP(F149,IMPORTRANGE(""https://docs.google.com/spreadsheets/d/1Kvs4KS76FHFqLFIZfrDMff4kP08nblUkihrxltoGBjg/edit#gid=934712705"",""ESENCIAL!A6:BG""),3,FALSE))"),"TECNÓLOGO")</f>
        <v>TECNÓLOGO</v>
      </c>
      <c r="H134" s="476" t="str">
        <f ca="1">IFERROR(__xludf.DUMMYFUNCTION("IFERROR(VLOOKUP(F149,IMPORTRANGE(""https://docs.google.com/spreadsheets/d/1Kvs4KS76FHFqLFIZfrDMff4kP08nblUkihrxltoGBjg/edit#gid=934712705"",""ESENCIAL!A6:BG""),8,FALSE))"),"PRODUCCIÓN AGROPECUARIA ECOLÓGICA")</f>
        <v>PRODUCCIÓN AGROPECUARIA ECOLÓGICA</v>
      </c>
      <c r="I134" s="477">
        <v>3167768585</v>
      </c>
      <c r="J134" s="477" t="s">
        <v>1425</v>
      </c>
      <c r="K134" s="477"/>
      <c r="L134" s="477" t="s">
        <v>37</v>
      </c>
      <c r="M134" s="477" t="s">
        <v>1241</v>
      </c>
      <c r="N134" s="477" t="s">
        <v>73</v>
      </c>
      <c r="O134" s="478">
        <v>3217388487</v>
      </c>
      <c r="P134" s="477"/>
      <c r="Q134" s="478" t="s">
        <v>230</v>
      </c>
      <c r="R134" s="479">
        <v>44774</v>
      </c>
      <c r="S134" s="480">
        <v>44958</v>
      </c>
      <c r="T134" s="30" t="s">
        <v>1411</v>
      </c>
      <c r="U134" s="28" t="s">
        <v>1426</v>
      </c>
      <c r="V134" s="54" t="s">
        <v>1246</v>
      </c>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19" t="str">
        <f t="shared" ca="1" si="16"/>
        <v>Procede_E_P</v>
      </c>
      <c r="AV134" s="11" t="str">
        <f ca="1">IFERROR(__xludf.DUMMYFUNCTION("IFERROR(VLOOKUP(E149&amp;F149,IMPORTRANGE(""https://docs.google.com/spreadsheets/d/1Uw7-A9f9R21vMXxHZFNpYNeKFtG8_yji4HS352LGlSQ/edit?pli=1#gid=0"",""1_ACUM!A4:S""),11,FALSE))"),"EN FORMACION")</f>
        <v>EN FORMACION</v>
      </c>
      <c r="AW134" s="20" t="str">
        <f ca="1">IFERROR(__xludf.DUMMYFUNCTION("IFERROR(VLOOKUP(F149,IMPORTRANGE(""https://docs.google.com/spreadsheets/d/1Kvs4KS76FHFqLFIZfrDMff4kP08nblUkihrxltoGBjg/edit#gid=934712705"",""ESENCIAL!A6:BG""),15,FALSE))"),"AGROPECUARIO")</f>
        <v>AGROPECUARIO</v>
      </c>
      <c r="AX134" s="21">
        <f ca="1">IFERROR(__xludf.DUMMYFUNCTION("IFERROR(VLOOKUP(E149&amp;F149,IMPORTRANGE(""https://docs.google.com/spreadsheets/d/1Uw7-A9f9R21vMXxHZFNpYNeKFtG8_yji4HS352LGlSQ/edit?pli=1#gid=0"",""1_ACUM!A4:S""),12,FALSE))"),44839)</f>
        <v>44839</v>
      </c>
      <c r="AY134" s="22">
        <f ca="1">IFERROR(__xludf.DUMMYFUNCTION("IFERROR(VLOOKUP(E149&amp;F149,IMPORTRANGE(""https://docs.google.com/spreadsheets/d/1Uw7-A9f9R21vMXxHZFNpYNeKFtG8_yji4HS352LGlSQ/edit?pli=1#gid=0"",""1_ACUM!A4:S""),13,FALSE))"),0)</f>
        <v>0</v>
      </c>
      <c r="AZ134" s="22">
        <f ca="1">IFERROR(__xludf.DUMMYFUNCTION("IFERROR(VLOOKUP(E149&amp;F149,IMPORTRANGE(""https://docs.google.com/spreadsheets/d/1Uw7-A9f9R21vMXxHZFNpYNeKFtG8_yji4HS352LGlSQ/edit?pli=1#gid=0"",""1_ACUM!A4:S""),14,FALSE))"),1)</f>
        <v>1</v>
      </c>
      <c r="BA134" s="22">
        <f ca="1">IFERROR(__xludf.DUMMYFUNCTION("IFERROR(VLOOKUP(E149&amp;F149,IMPORTRANGE(""https://docs.google.com/spreadsheets/d/1Uw7-A9f9R21vMXxHZFNpYNeKFtG8_yji4HS352LGlSQ/edit?pli=1#gid=0"",""1_ACUM!A4:S""),15,FALSE))"),0)</f>
        <v>0</v>
      </c>
      <c r="BB134" s="22">
        <f ca="1">IFERROR(__xludf.DUMMYFUNCTION("IFERROR(VLOOKUP(E149&amp;F149,IMPORTRANGE(""https://docs.google.com/spreadsheets/d/1Uw7-A9f9R21vMXxHZFNpYNeKFtG8_yji4HS352LGlSQ/edit?pli=1#gid=0"",""1_ACUM!A4:S""),16,FALSE))"),0)</f>
        <v>0</v>
      </c>
      <c r="BC134" s="22">
        <f ca="1">IFERROR(__xludf.DUMMYFUNCTION("IFERROR(VLOOKUP(E149&amp;F149,IMPORTRANGE(""https://docs.google.com/spreadsheets/d/1Uw7-A9f9R21vMXxHZFNpYNeKFtG8_yji4HS352LGlSQ/edit?pli=1#gid=0"",""1_ACUM!A4:S""),17,FALSE))"),1)</f>
        <v>1</v>
      </c>
      <c r="BD134" s="23">
        <f ca="1">IFERROR(__xludf.DUMMYFUNCTION("IFERROR(VLOOKUP(E149&amp;F149,IMPORTRANGE(""https://docs.google.com/spreadsheets/d/1Uw7-A9f9R21vMXxHZFNpYNeKFtG8_yji4HS352LGlSQ/edit?pli=1#gid=0"",""1_ACUM!A4:S""),18,FALSE))"),44221)</f>
        <v>44221</v>
      </c>
      <c r="BE134" s="23">
        <f ca="1">IFERROR(__xludf.DUMMYFUNCTION("IFERROR(VLOOKUP(E149&amp;F149,IMPORTRANGE(""https://docs.google.com/spreadsheets/d/1Uw7-A9f9R21vMXxHZFNpYNeKFtG8_yji4HS352LGlSQ/edit?pli=1#gid=0"",""1_ACUM!A4:S""),19,FALSE))"),44766)</f>
        <v>44766</v>
      </c>
      <c r="BF134" s="23">
        <f ca="1">IFERROR(__xludf.DUMMYFUNCTION("IFERROR(VLOOKUP(F149,IMPORTRANGE(""https://docs.google.com/spreadsheets/d/1Kvs4KS76FHFqLFIZfrDMff4kP08nblUkihrxltoGBjg/edit#gid=934712705"",""ESENCIAL!A6:BG""),5,FALSE))"),44950)</f>
        <v>44950</v>
      </c>
      <c r="BG134" s="23">
        <f t="shared" ca="1" si="17"/>
        <v>45497</v>
      </c>
      <c r="BH134" s="19" t="str">
        <f t="shared" ca="1" si="18"/>
        <v>FICHA EN TIEMPO-18 MESES</v>
      </c>
      <c r="BI134" s="19" t="str">
        <f ca="1">IFERROR(__xludf.DUMMYFUNCTION("IFERROR(VLOOKUP(F149,IMPORTRANGE(""https://docs.google.com/spreadsheets/d/1Kvs4KS76FHFqLFIZfrDMff4kP08nblUkihrxltoGBjg/edit#gid=934712705"",""ESENCIAL!A6:BG""),18,FALSE))"),"En ejecucion")</f>
        <v>En ejecucion</v>
      </c>
      <c r="BJ134" s="19" t="str">
        <f t="shared" si="19"/>
        <v>Yamboro</v>
      </c>
      <c r="BK134" s="295"/>
      <c r="BL134" s="173"/>
    </row>
    <row r="135" spans="1:64" ht="24">
      <c r="A135" s="486" t="s">
        <v>1423</v>
      </c>
      <c r="B135" s="145" t="s">
        <v>25</v>
      </c>
      <c r="C135" s="487" t="s">
        <v>1427</v>
      </c>
      <c r="D135" s="474" t="s">
        <v>27</v>
      </c>
      <c r="E135" s="474">
        <v>1083924883</v>
      </c>
      <c r="F135" s="475">
        <v>2236073</v>
      </c>
      <c r="G135" s="476" t="str">
        <f ca="1">IFERROR(__xludf.DUMMYFUNCTION("IFERROR(VLOOKUP(F150,IMPORTRANGE(""https://docs.google.com/spreadsheets/d/1Kvs4KS76FHFqLFIZfrDMff4kP08nblUkihrxltoGBjg/edit#gid=934712705"",""ESENCIAL!A6:BG""),3,FALSE))"),"TECNÓLOGO")</f>
        <v>TECNÓLOGO</v>
      </c>
      <c r="H135" s="476" t="str">
        <f ca="1">IFERROR(__xludf.DUMMYFUNCTION("IFERROR(VLOOKUP(F150,IMPORTRANGE(""https://docs.google.com/spreadsheets/d/1Kvs4KS76FHFqLFIZfrDMff4kP08nblUkihrxltoGBjg/edit#gid=934712705"",""ESENCIAL!A6:BG""),8,FALSE))"),"PRODUCCIÓN AGROPECUARIA ECOLÓGICA")</f>
        <v>PRODUCCIÓN AGROPECUARIA ECOLÓGICA</v>
      </c>
      <c r="I135" s="477">
        <v>313489717</v>
      </c>
      <c r="J135" s="477" t="s">
        <v>1428</v>
      </c>
      <c r="K135" s="477"/>
      <c r="L135" s="481" t="s">
        <v>28</v>
      </c>
      <c r="M135" s="477" t="s">
        <v>1429</v>
      </c>
      <c r="N135" s="477" t="s">
        <v>1430</v>
      </c>
      <c r="O135" s="477">
        <v>3205573830</v>
      </c>
      <c r="P135" s="477"/>
      <c r="Q135" s="477"/>
      <c r="R135" s="479">
        <v>44755</v>
      </c>
      <c r="S135" s="480">
        <v>44938</v>
      </c>
      <c r="T135" s="30"/>
      <c r="U135" s="28" t="s">
        <v>1431</v>
      </c>
      <c r="V135" s="30" t="s">
        <v>1432</v>
      </c>
      <c r="W135" s="30"/>
      <c r="X135" s="30"/>
      <c r="Y135" s="74"/>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19" t="str">
        <f t="shared" ca="1" si="16"/>
        <v>Procede_E_P</v>
      </c>
      <c r="AV135" s="11" t="str">
        <f ca="1">IFERROR(__xludf.DUMMYFUNCTION("IFERROR(VLOOKUP(E150&amp;F150,IMPORTRANGE(""https://docs.google.com/spreadsheets/d/1Uw7-A9f9R21vMXxHZFNpYNeKFtG8_yji4HS352LGlSQ/edit?pli=1#gid=0"",""1_ACUM!A4:S""),11,FALSE))"),"EN FORMACION")</f>
        <v>EN FORMACION</v>
      </c>
      <c r="AW135" s="20" t="str">
        <f ca="1">IFERROR(__xludf.DUMMYFUNCTION("IFERROR(VLOOKUP(F150,IMPORTRANGE(""https://docs.google.com/spreadsheets/d/1Kvs4KS76FHFqLFIZfrDMff4kP08nblUkihrxltoGBjg/edit#gid=934712705"",""ESENCIAL!A6:BG""),15,FALSE))"),"AGROPECUARIO")</f>
        <v>AGROPECUARIO</v>
      </c>
      <c r="AX135" s="21">
        <f ca="1">IFERROR(__xludf.DUMMYFUNCTION("IFERROR(VLOOKUP(E150&amp;F150,IMPORTRANGE(""https://docs.google.com/spreadsheets/d/1Uw7-A9f9R21vMXxHZFNpYNeKFtG8_yji4HS352LGlSQ/edit?pli=1#gid=0"",""1_ACUM!A4:S""),12,FALSE))"),44839)</f>
        <v>44839</v>
      </c>
      <c r="AY135" s="22">
        <f ca="1">IFERROR(__xludf.DUMMYFUNCTION("IFERROR(VLOOKUP(E150&amp;F150,IMPORTRANGE(""https://docs.google.com/spreadsheets/d/1Uw7-A9f9R21vMXxHZFNpYNeKFtG8_yji4HS352LGlSQ/edit?pli=1#gid=0"",""1_ACUM!A4:S""),13,FALSE))"),0)</f>
        <v>0</v>
      </c>
      <c r="AZ135" s="22">
        <f ca="1">IFERROR(__xludf.DUMMYFUNCTION("IFERROR(VLOOKUP(E150&amp;F150,IMPORTRANGE(""https://docs.google.com/spreadsheets/d/1Uw7-A9f9R21vMXxHZFNpYNeKFtG8_yji4HS352LGlSQ/edit?pli=1#gid=0"",""1_ACUM!A4:S""),14,FALSE))"),1)</f>
        <v>1</v>
      </c>
      <c r="BA135" s="22">
        <f ca="1">IFERROR(__xludf.DUMMYFUNCTION("IFERROR(VLOOKUP(E150&amp;F150,IMPORTRANGE(""https://docs.google.com/spreadsheets/d/1Uw7-A9f9R21vMXxHZFNpYNeKFtG8_yji4HS352LGlSQ/edit?pli=1#gid=0"",""1_ACUM!A4:S""),15,FALSE))"),0)</f>
        <v>0</v>
      </c>
      <c r="BB135" s="22">
        <f ca="1">IFERROR(__xludf.DUMMYFUNCTION("IFERROR(VLOOKUP(E150&amp;F150,IMPORTRANGE(""https://docs.google.com/spreadsheets/d/1Uw7-A9f9R21vMXxHZFNpYNeKFtG8_yji4HS352LGlSQ/edit?pli=1#gid=0"",""1_ACUM!A4:S""),16,FALSE))"),0)</f>
        <v>0</v>
      </c>
      <c r="BC135" s="22">
        <f ca="1">IFERROR(__xludf.DUMMYFUNCTION("IFERROR(VLOOKUP(E150&amp;F150,IMPORTRANGE(""https://docs.google.com/spreadsheets/d/1Uw7-A9f9R21vMXxHZFNpYNeKFtG8_yji4HS352LGlSQ/edit?pli=1#gid=0"",""1_ACUM!A4:S""),17,FALSE))"),1)</f>
        <v>1</v>
      </c>
      <c r="BD135" s="23">
        <f ca="1">IFERROR(__xludf.DUMMYFUNCTION("IFERROR(VLOOKUP(E150&amp;F150,IMPORTRANGE(""https://docs.google.com/spreadsheets/d/1Uw7-A9f9R21vMXxHZFNpYNeKFtG8_yji4HS352LGlSQ/edit?pli=1#gid=0"",""1_ACUM!A4:S""),18,FALSE))"),44221)</f>
        <v>44221</v>
      </c>
      <c r="BE135" s="23">
        <f ca="1">IFERROR(__xludf.DUMMYFUNCTION("IFERROR(VLOOKUP(E150&amp;F150,IMPORTRANGE(""https://docs.google.com/spreadsheets/d/1Uw7-A9f9R21vMXxHZFNpYNeKFtG8_yji4HS352LGlSQ/edit?pli=1#gid=0"",""1_ACUM!A4:S""),19,FALSE))"),44766)</f>
        <v>44766</v>
      </c>
      <c r="BF135" s="23">
        <f ca="1">IFERROR(__xludf.DUMMYFUNCTION("IFERROR(VLOOKUP(F150,IMPORTRANGE(""https://docs.google.com/spreadsheets/d/1Kvs4KS76FHFqLFIZfrDMff4kP08nblUkihrxltoGBjg/edit#gid=934712705"",""ESENCIAL!A6:BG""),5,FALSE))"),44950)</f>
        <v>44950</v>
      </c>
      <c r="BG135" s="23">
        <f t="shared" ca="1" si="17"/>
        <v>45497</v>
      </c>
      <c r="BH135" s="19" t="str">
        <f t="shared" ca="1" si="18"/>
        <v>FICHA EN TIEMPO-18 MESES</v>
      </c>
      <c r="BI135" s="19" t="str">
        <f ca="1">IFERROR(__xludf.DUMMYFUNCTION("IFERROR(VLOOKUP(F150,IMPORTRANGE(""https://docs.google.com/spreadsheets/d/1Kvs4KS76FHFqLFIZfrDMff4kP08nblUkihrxltoGBjg/edit#gid=934712705"",""ESENCIAL!A6:BG""),18,FALSE))"),"En ejecucion")</f>
        <v>En ejecucion</v>
      </c>
      <c r="BJ135" s="19" t="str">
        <f t="shared" si="19"/>
        <v>Yamboro</v>
      </c>
      <c r="BK135" s="291"/>
      <c r="BL135" s="19"/>
    </row>
    <row r="136" spans="1:64" s="180" customFormat="1" ht="24" hidden="1">
      <c r="A136" s="290"/>
      <c r="B136" s="145" t="s">
        <v>25</v>
      </c>
      <c r="C136" s="71" t="s">
        <v>1433</v>
      </c>
      <c r="D136" s="25" t="s">
        <v>67</v>
      </c>
      <c r="E136" s="57">
        <v>1084896112</v>
      </c>
      <c r="F136" s="114">
        <v>2236073</v>
      </c>
      <c r="G136" s="11" t="str">
        <f ca="1">IFERROR(__xludf.DUMMYFUNCTION("IFERROR(VLOOKUP(F152,IMPORTRANGE(""https://docs.google.com/spreadsheets/d/1Kvs4KS76FHFqLFIZfrDMff4kP08nblUkihrxltoGBjg/edit#gid=934712705"",""ESENCIAL!A6:BG""),3,FALSE))"),"TECNÓLOGO")</f>
        <v>TECNÓLOGO</v>
      </c>
      <c r="H136" s="11" t="str">
        <f ca="1">IFERROR(__xludf.DUMMYFUNCTION("IFERROR(VLOOKUP(F152,IMPORTRANGE(""https://docs.google.com/spreadsheets/d/1Kvs4KS76FHFqLFIZfrDMff4kP08nblUkihrxltoGBjg/edit#gid=934712705"",""ESENCIAL!A6:BG""),8,FALSE))"),"PRODUCCIÓN AGROPECUARIA ECOLÓGICA")</f>
        <v>PRODUCCIÓN AGROPECUARIA ECOLÓGICA</v>
      </c>
      <c r="I136" s="30"/>
      <c r="J136" s="30"/>
      <c r="K136" s="30"/>
      <c r="L136" s="285" t="s">
        <v>44</v>
      </c>
      <c r="M136" s="30"/>
      <c r="N136" s="30"/>
      <c r="O136" s="30"/>
      <c r="P136" s="30"/>
      <c r="Q136" s="30"/>
      <c r="R136" s="30"/>
      <c r="S136" s="30"/>
      <c r="T136" s="30"/>
      <c r="U136" s="30" t="s">
        <v>1257</v>
      </c>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19" t="str">
        <f t="shared" ca="1" si="16"/>
        <v>Procede_E_P</v>
      </c>
      <c r="AV136" s="11" t="str">
        <f ca="1">IFERROR(__xludf.DUMMYFUNCTION("IFERROR(VLOOKUP(E152&amp;F152,IMPORTRANGE(""https://docs.google.com/spreadsheets/d/1Uw7-A9f9R21vMXxHZFNpYNeKFtG8_yji4HS352LGlSQ/edit?pli=1#gid=0"",""1_ACUM!A4:S""),11,FALSE))"),"EN FORMACION")</f>
        <v>EN FORMACION</v>
      </c>
      <c r="AW136" s="20" t="str">
        <f ca="1">IFERROR(__xludf.DUMMYFUNCTION("IFERROR(VLOOKUP(F152,IMPORTRANGE(""https://docs.google.com/spreadsheets/d/1Kvs4KS76FHFqLFIZfrDMff4kP08nblUkihrxltoGBjg/edit#gid=934712705"",""ESENCIAL!A6:BG""),15,FALSE))"),"AGROPECUARIO")</f>
        <v>AGROPECUARIO</v>
      </c>
      <c r="AX136" s="21">
        <f ca="1">IFERROR(__xludf.DUMMYFUNCTION("IFERROR(VLOOKUP(E152&amp;F152,IMPORTRANGE(""https://docs.google.com/spreadsheets/d/1Uw7-A9f9R21vMXxHZFNpYNeKFtG8_yji4HS352LGlSQ/edit?pli=1#gid=0"",""1_ACUM!A4:S""),12,FALSE))"),44839)</f>
        <v>44839</v>
      </c>
      <c r="AY136" s="22">
        <f ca="1">IFERROR(__xludf.DUMMYFUNCTION("IFERROR(VLOOKUP(E152&amp;F152,IMPORTRANGE(""https://docs.google.com/spreadsheets/d/1Uw7-A9f9R21vMXxHZFNpYNeKFtG8_yji4HS352LGlSQ/edit?pli=1#gid=0"",""1_ACUM!A4:S""),13,FALSE))"),0)</f>
        <v>0</v>
      </c>
      <c r="AZ136" s="22">
        <f ca="1">IFERROR(__xludf.DUMMYFUNCTION("IFERROR(VLOOKUP(E152&amp;F152,IMPORTRANGE(""https://docs.google.com/spreadsheets/d/1Uw7-A9f9R21vMXxHZFNpYNeKFtG8_yji4HS352LGlSQ/edit?pli=1#gid=0"",""1_ACUM!A4:S""),14,FALSE))"),1)</f>
        <v>1</v>
      </c>
      <c r="BA136" s="22">
        <f ca="1">IFERROR(__xludf.DUMMYFUNCTION("IFERROR(VLOOKUP(E152&amp;F152,IMPORTRANGE(""https://docs.google.com/spreadsheets/d/1Uw7-A9f9R21vMXxHZFNpYNeKFtG8_yji4HS352LGlSQ/edit?pli=1#gid=0"",""1_ACUM!A4:S""),15,FALSE))"),0)</f>
        <v>0</v>
      </c>
      <c r="BB136" s="22">
        <f ca="1">IFERROR(__xludf.DUMMYFUNCTION("IFERROR(VLOOKUP(E152&amp;F152,IMPORTRANGE(""https://docs.google.com/spreadsheets/d/1Uw7-A9f9R21vMXxHZFNpYNeKFtG8_yji4HS352LGlSQ/edit?pli=1#gid=0"",""1_ACUM!A4:S""),16,FALSE))"),0)</f>
        <v>0</v>
      </c>
      <c r="BC136" s="22">
        <f ca="1">IFERROR(__xludf.DUMMYFUNCTION("IFERROR(VLOOKUP(E152&amp;F152,IMPORTRANGE(""https://docs.google.com/spreadsheets/d/1Uw7-A9f9R21vMXxHZFNpYNeKFtG8_yji4HS352LGlSQ/edit?pli=1#gid=0"",""1_ACUM!A4:S""),17,FALSE))"),1)</f>
        <v>1</v>
      </c>
      <c r="BD136" s="23">
        <f ca="1">IFERROR(__xludf.DUMMYFUNCTION("IFERROR(VLOOKUP(E152&amp;F152,IMPORTRANGE(""https://docs.google.com/spreadsheets/d/1Uw7-A9f9R21vMXxHZFNpYNeKFtG8_yji4HS352LGlSQ/edit?pli=1#gid=0"",""1_ACUM!A4:S""),18,FALSE))"),44221)</f>
        <v>44221</v>
      </c>
      <c r="BE136" s="23">
        <f ca="1">IFERROR(__xludf.DUMMYFUNCTION("IFERROR(VLOOKUP(E152&amp;F152,IMPORTRANGE(""https://docs.google.com/spreadsheets/d/1Uw7-A9f9R21vMXxHZFNpYNeKFtG8_yji4HS352LGlSQ/edit?pli=1#gid=0"",""1_ACUM!A4:S""),19,FALSE))"),44766)</f>
        <v>44766</v>
      </c>
      <c r="BF136" s="23">
        <f ca="1">IFERROR(__xludf.DUMMYFUNCTION("IFERROR(VLOOKUP(F152,IMPORTRANGE(""https://docs.google.com/spreadsheets/d/1Kvs4KS76FHFqLFIZfrDMff4kP08nblUkihrxltoGBjg/edit#gid=934712705"",""ESENCIAL!A6:BG""),5,FALSE))"),44950)</f>
        <v>44950</v>
      </c>
      <c r="BG136" s="23">
        <f t="shared" ca="1" si="17"/>
        <v>45497</v>
      </c>
      <c r="BH136" s="19" t="str">
        <f t="shared" ca="1" si="18"/>
        <v>FICHA EN TIEMPO-18 MESES</v>
      </c>
      <c r="BI136" s="19" t="str">
        <f ca="1">IFERROR(__xludf.DUMMYFUNCTION("IFERROR(VLOOKUP(F152,IMPORTRANGE(""https://docs.google.com/spreadsheets/d/1Kvs4KS76FHFqLFIZfrDMff4kP08nblUkihrxltoGBjg/edit#gid=934712705"",""ESENCIAL!A6:BG""),18,FALSE))"),"En ejecucion")</f>
        <v>En ejecucion</v>
      </c>
      <c r="BJ136" s="19" t="str">
        <f t="shared" si="19"/>
        <v>Yamboro</v>
      </c>
      <c r="BK136" s="295"/>
      <c r="BL136" s="173"/>
    </row>
    <row r="137" spans="1:64" ht="24">
      <c r="A137" s="486" t="s">
        <v>1423</v>
      </c>
      <c r="B137" s="145" t="s">
        <v>25</v>
      </c>
      <c r="C137" s="487" t="s">
        <v>1434</v>
      </c>
      <c r="D137" s="474" t="s">
        <v>27</v>
      </c>
      <c r="E137" s="474">
        <v>1004155543</v>
      </c>
      <c r="F137" s="475">
        <v>2280193</v>
      </c>
      <c r="G137" s="476" t="str">
        <f ca="1">IFERROR(__xludf.DUMMYFUNCTION("IFERROR(VLOOKUP(F154,IMPORTRANGE(""https://docs.google.com/spreadsheets/d/1Kvs4KS76FHFqLFIZfrDMff4kP08nblUkihrxltoGBjg/edit#gid=934712705"",""ESENCIAL!A6:BG""),3,FALSE))"),"TECNÓLOGO")</f>
        <v>TECNÓLOGO</v>
      </c>
      <c r="H137" s="476" t="str">
        <f ca="1">IFERROR(__xludf.DUMMYFUNCTION("IFERROR(VLOOKUP(F154,IMPORTRANGE(""https://docs.google.com/spreadsheets/d/1Kvs4KS76FHFqLFIZfrDMff4kP08nblUkihrxltoGBjg/edit#gid=934712705"",""ESENCIAL!A6:BG""),8,FALSE))"),"PRODUCCIÓN AGROPECUARIA ECOLÓGICA")</f>
        <v>PRODUCCIÓN AGROPECUARIA ECOLÓGICA</v>
      </c>
      <c r="I137" s="478">
        <v>3214072809</v>
      </c>
      <c r="J137" s="478" t="s">
        <v>1435</v>
      </c>
      <c r="K137" s="477" t="s">
        <v>84</v>
      </c>
      <c r="L137" s="481" t="s">
        <v>28</v>
      </c>
      <c r="M137" s="477" t="s">
        <v>1436</v>
      </c>
      <c r="N137" s="477" t="s">
        <v>1437</v>
      </c>
      <c r="O137" s="477">
        <v>3204283456</v>
      </c>
      <c r="P137" s="478" t="s">
        <v>81</v>
      </c>
      <c r="Q137" s="478" t="s">
        <v>1438</v>
      </c>
      <c r="R137" s="479">
        <v>44850</v>
      </c>
      <c r="S137" s="480">
        <v>45030</v>
      </c>
      <c r="T137" s="95"/>
      <c r="U137" s="97" t="s">
        <v>444</v>
      </c>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19" t="str">
        <f t="shared" ca="1" si="16"/>
        <v>NO_CUMPLE</v>
      </c>
      <c r="AV137" s="11" t="str">
        <f ca="1">IFERROR(__xludf.DUMMYFUNCTION("IFERROR(VLOOKUP(E154&amp;F154,IMPORTRANGE(""https://docs.google.com/spreadsheets/d/1Uw7-A9f9R21vMXxHZFNpYNeKFtG8_yji4HS352LGlSQ/edit?pli=1#gid=0"",""1_ACUM!A4:S""),11,FALSE))"),"EN FORMACION")</f>
        <v>EN FORMACION</v>
      </c>
      <c r="AW137" s="20" t="str">
        <f ca="1">IFERROR(__xludf.DUMMYFUNCTION("IFERROR(VLOOKUP(F154,IMPORTRANGE(""https://docs.google.com/spreadsheets/d/1Kvs4KS76FHFqLFIZfrDMff4kP08nblUkihrxltoGBjg/edit#gid=934712705"",""ESENCIAL!A6:BG""),15,FALSE))"),"AGROPECUARIO")</f>
        <v>AGROPECUARIO</v>
      </c>
      <c r="AX137" s="21">
        <f ca="1">IFERROR(__xludf.DUMMYFUNCTION("IFERROR(VLOOKUP(E154&amp;F154,IMPORTRANGE(""https://docs.google.com/spreadsheets/d/1Uw7-A9f9R21vMXxHZFNpYNeKFtG8_yji4HS352LGlSQ/edit?pli=1#gid=0"",""1_ACUM!A4:S""),12,FALSE))"),44839)</f>
        <v>44839</v>
      </c>
      <c r="AY137" s="22">
        <f ca="1">IFERROR(__xludf.DUMMYFUNCTION("IFERROR(VLOOKUP(E154&amp;F154,IMPORTRANGE(""https://docs.google.com/spreadsheets/d/1Uw7-A9f9R21vMXxHZFNpYNeKFtG8_yji4HS352LGlSQ/edit?pli=1#gid=0"",""1_ACUM!A4:S""),13,FALSE))"),1)</f>
        <v>1</v>
      </c>
      <c r="AZ137" s="22">
        <f ca="1">IFERROR(__xludf.DUMMYFUNCTION("IFERROR(VLOOKUP(E154&amp;F154,IMPORTRANGE(""https://docs.google.com/spreadsheets/d/1Uw7-A9f9R21vMXxHZFNpYNeKFtG8_yji4HS352LGlSQ/edit?pli=1#gid=0"",""1_ACUM!A4:S""),14,FALSE))"),1)</f>
        <v>1</v>
      </c>
      <c r="BA137" s="22">
        <f ca="1">IFERROR(__xludf.DUMMYFUNCTION("IFERROR(VLOOKUP(E154&amp;F154,IMPORTRANGE(""https://docs.google.com/spreadsheets/d/1Uw7-A9f9R21vMXxHZFNpYNeKFtG8_yji4HS352LGlSQ/edit?pli=1#gid=0"",""1_ACUM!A4:S""),15,FALSE))"),0)</f>
        <v>0</v>
      </c>
      <c r="BB137" s="22">
        <f ca="1">IFERROR(__xludf.DUMMYFUNCTION("IFERROR(VLOOKUP(E154&amp;F154,IMPORTRANGE(""https://docs.google.com/spreadsheets/d/1Uw7-A9f9R21vMXxHZFNpYNeKFtG8_yji4HS352LGlSQ/edit?pli=1#gid=0"",""1_ACUM!A4:S""),16,FALSE))"),7)</f>
        <v>7</v>
      </c>
      <c r="BC137" s="22">
        <f ca="1">IFERROR(__xludf.DUMMYFUNCTION("IFERROR(VLOOKUP(E154&amp;F154,IMPORTRANGE(""https://docs.google.com/spreadsheets/d/1Uw7-A9f9R21vMXxHZFNpYNeKFtG8_yji4HS352LGlSQ/edit?pli=1#gid=0"",""1_ACUM!A4:S""),17,FALSE))"),9)</f>
        <v>9</v>
      </c>
      <c r="BD137" s="23">
        <f ca="1">IFERROR(__xludf.DUMMYFUNCTION("IFERROR(VLOOKUP(E154&amp;F154,IMPORTRANGE(""https://docs.google.com/spreadsheets/d/1Uw7-A9f9R21vMXxHZFNpYNeKFtG8_yji4HS352LGlSQ/edit?pli=1#gid=0"",""1_ACUM!A4:S""),18,FALSE))"),44301)</f>
        <v>44301</v>
      </c>
      <c r="BE137" s="23">
        <f ca="1">IFERROR(__xludf.DUMMYFUNCTION("IFERROR(VLOOKUP(E154&amp;F154,IMPORTRANGE(""https://docs.google.com/spreadsheets/d/1Uw7-A9f9R21vMXxHZFNpYNeKFtG8_yji4HS352LGlSQ/edit?pli=1#gid=0"",""1_ACUM!A4:S""),19,FALSE))"),44848)</f>
        <v>44848</v>
      </c>
      <c r="BF137" s="23">
        <f ca="1">IFERROR(__xludf.DUMMYFUNCTION("IFERROR(VLOOKUP(F154,IMPORTRANGE(""https://docs.google.com/spreadsheets/d/1Kvs4KS76FHFqLFIZfrDMff4kP08nblUkihrxltoGBjg/edit#gid=934712705"",""ESENCIAL!A6:BG""),5,FALSE))"),45030)</f>
        <v>45030</v>
      </c>
      <c r="BG137" s="23">
        <f t="shared" ca="1" si="17"/>
        <v>45579</v>
      </c>
      <c r="BH137" s="19" t="str">
        <f t="shared" ca="1" si="18"/>
        <v>FICHA EN TIEMPO-18 MESES</v>
      </c>
      <c r="BI137" s="19" t="str">
        <f ca="1">IFERROR(__xludf.DUMMYFUNCTION("IFERROR(VLOOKUP(F154,IMPORTRANGE(""https://docs.google.com/spreadsheets/d/1Kvs4KS76FHFqLFIZfrDMff4kP08nblUkihrxltoGBjg/edit#gid=934712705"",""ESENCIAL!A6:BG""),18,FALSE))"),"En ejecucion")</f>
        <v>En ejecucion</v>
      </c>
      <c r="BJ137" s="19" t="str">
        <f t="shared" si="19"/>
        <v>Yamboro</v>
      </c>
      <c r="BK137" s="291"/>
      <c r="BL137" s="19"/>
    </row>
    <row r="138" spans="1:64" ht="25">
      <c r="A138" s="486" t="s">
        <v>1423</v>
      </c>
      <c r="B138" s="145" t="s">
        <v>25</v>
      </c>
      <c r="C138" s="487" t="s">
        <v>1439</v>
      </c>
      <c r="D138" s="474" t="s">
        <v>27</v>
      </c>
      <c r="E138" s="474">
        <v>1004266866</v>
      </c>
      <c r="F138" s="475">
        <v>2280193</v>
      </c>
      <c r="G138" s="476" t="str">
        <f ca="1">IFERROR(__xludf.DUMMYFUNCTION("IFERROR(VLOOKUP(F155,IMPORTRANGE(""https://docs.google.com/spreadsheets/d/1Kvs4KS76FHFqLFIZfrDMff4kP08nblUkihrxltoGBjg/edit#gid=934712705"",""ESENCIAL!A6:BG""),3,FALSE))"),"TECNÓLOGO")</f>
        <v>TECNÓLOGO</v>
      </c>
      <c r="H138" s="476" t="str">
        <f ca="1">IFERROR(__xludf.DUMMYFUNCTION("IFERROR(VLOOKUP(F155,IMPORTRANGE(""https://docs.google.com/spreadsheets/d/1Kvs4KS76FHFqLFIZfrDMff4kP08nblUkihrxltoGBjg/edit#gid=934712705"",""ESENCIAL!A6:BG""),8,FALSE))"),"PRODUCCIÓN AGROPECUARIA ECOLÓGICA")</f>
        <v>PRODUCCIÓN AGROPECUARIA ECOLÓGICA</v>
      </c>
      <c r="I138" s="478" t="s">
        <v>1440</v>
      </c>
      <c r="J138" s="478" t="s">
        <v>1441</v>
      </c>
      <c r="K138" s="477"/>
      <c r="L138" s="481" t="s">
        <v>28</v>
      </c>
      <c r="M138" s="477" t="s">
        <v>1442</v>
      </c>
      <c r="N138" s="477" t="s">
        <v>1443</v>
      </c>
      <c r="O138" s="478" t="s">
        <v>1444</v>
      </c>
      <c r="P138" s="478" t="s">
        <v>81</v>
      </c>
      <c r="Q138" s="478" t="s">
        <v>1445</v>
      </c>
      <c r="R138" s="479">
        <v>44850</v>
      </c>
      <c r="S138" s="480">
        <v>45030</v>
      </c>
      <c r="T138" s="89" t="s">
        <v>86</v>
      </c>
      <c r="U138" s="154" t="s">
        <v>1446</v>
      </c>
      <c r="V138" s="209" t="s">
        <v>1447</v>
      </c>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19" t="str">
        <f t="shared" ca="1" si="16"/>
        <v>NO_CUMPLE</v>
      </c>
      <c r="AV138" s="11" t="str">
        <f ca="1">IFERROR(__xludf.DUMMYFUNCTION("IFERROR(VLOOKUP(E155&amp;F155,IMPORTRANGE(""https://docs.google.com/spreadsheets/d/1Uw7-A9f9R21vMXxHZFNpYNeKFtG8_yji4HS352LGlSQ/edit?pli=1#gid=0"",""1_ACUM!A4:S""),11,FALSE))"),"EN FORMACION")</f>
        <v>EN FORMACION</v>
      </c>
      <c r="AW138" s="20" t="str">
        <f ca="1">IFERROR(__xludf.DUMMYFUNCTION("IFERROR(VLOOKUP(F155,IMPORTRANGE(""https://docs.google.com/spreadsheets/d/1Kvs4KS76FHFqLFIZfrDMff4kP08nblUkihrxltoGBjg/edit#gid=934712705"",""ESENCIAL!A6:BG""),15,FALSE))"),"AGROPECUARIO")</f>
        <v>AGROPECUARIO</v>
      </c>
      <c r="AX138" s="21">
        <f ca="1">IFERROR(__xludf.DUMMYFUNCTION("IFERROR(VLOOKUP(E155&amp;F155,IMPORTRANGE(""https://docs.google.com/spreadsheets/d/1Uw7-A9f9R21vMXxHZFNpYNeKFtG8_yji4HS352LGlSQ/edit?pli=1#gid=0"",""1_ACUM!A4:S""),12,FALSE))"),44839)</f>
        <v>44839</v>
      </c>
      <c r="AY138" s="22">
        <f ca="1">IFERROR(__xludf.DUMMYFUNCTION("IFERROR(VLOOKUP(E155&amp;F155,IMPORTRANGE(""https://docs.google.com/spreadsheets/d/1Uw7-A9f9R21vMXxHZFNpYNeKFtG8_yji4HS352LGlSQ/edit?pli=1#gid=0"",""1_ACUM!A4:S""),13,FALSE))"),1)</f>
        <v>1</v>
      </c>
      <c r="AZ138" s="22">
        <f ca="1">IFERROR(__xludf.DUMMYFUNCTION("IFERROR(VLOOKUP(E155&amp;F155,IMPORTRANGE(""https://docs.google.com/spreadsheets/d/1Uw7-A9f9R21vMXxHZFNpYNeKFtG8_yji4HS352LGlSQ/edit?pli=1#gid=0"",""1_ACUM!A4:S""),14,FALSE))"),1)</f>
        <v>1</v>
      </c>
      <c r="BA138" s="22">
        <f ca="1">IFERROR(__xludf.DUMMYFUNCTION("IFERROR(VLOOKUP(E155&amp;F155,IMPORTRANGE(""https://docs.google.com/spreadsheets/d/1Uw7-A9f9R21vMXxHZFNpYNeKFtG8_yji4HS352LGlSQ/edit?pli=1#gid=0"",""1_ACUM!A4:S""),15,FALSE))"),0)</f>
        <v>0</v>
      </c>
      <c r="BB138" s="22">
        <f ca="1">IFERROR(__xludf.DUMMYFUNCTION("IFERROR(VLOOKUP(E155&amp;F155,IMPORTRANGE(""https://docs.google.com/spreadsheets/d/1Uw7-A9f9R21vMXxHZFNpYNeKFtG8_yji4HS352LGlSQ/edit?pli=1#gid=0"",""1_ACUM!A4:S""),16,FALSE))"),7)</f>
        <v>7</v>
      </c>
      <c r="BC138" s="22">
        <f ca="1">IFERROR(__xludf.DUMMYFUNCTION("IFERROR(VLOOKUP(E155&amp;F155,IMPORTRANGE(""https://docs.google.com/spreadsheets/d/1Uw7-A9f9R21vMXxHZFNpYNeKFtG8_yji4HS352LGlSQ/edit?pli=1#gid=0"",""1_ACUM!A4:S""),17,FALSE))"),9)</f>
        <v>9</v>
      </c>
      <c r="BD138" s="23">
        <f ca="1">IFERROR(__xludf.DUMMYFUNCTION("IFERROR(VLOOKUP(E155&amp;F155,IMPORTRANGE(""https://docs.google.com/spreadsheets/d/1Uw7-A9f9R21vMXxHZFNpYNeKFtG8_yji4HS352LGlSQ/edit?pli=1#gid=0"",""1_ACUM!A4:S""),18,FALSE))"),44301)</f>
        <v>44301</v>
      </c>
      <c r="BE138" s="23">
        <f ca="1">IFERROR(__xludf.DUMMYFUNCTION("IFERROR(VLOOKUP(E155&amp;F155,IMPORTRANGE(""https://docs.google.com/spreadsheets/d/1Uw7-A9f9R21vMXxHZFNpYNeKFtG8_yji4HS352LGlSQ/edit?pli=1#gid=0"",""1_ACUM!A4:S""),19,FALSE))"),44848)</f>
        <v>44848</v>
      </c>
      <c r="BF138" s="23">
        <f ca="1">IFERROR(__xludf.DUMMYFUNCTION("IFERROR(VLOOKUP(F155,IMPORTRANGE(""https://docs.google.com/spreadsheets/d/1Kvs4KS76FHFqLFIZfrDMff4kP08nblUkihrxltoGBjg/edit#gid=934712705"",""ESENCIAL!A6:BG""),5,FALSE))"),45030)</f>
        <v>45030</v>
      </c>
      <c r="BG138" s="23">
        <f t="shared" ca="1" si="17"/>
        <v>45579</v>
      </c>
      <c r="BH138" s="19" t="str">
        <f t="shared" ca="1" si="18"/>
        <v>FICHA EN TIEMPO-18 MESES</v>
      </c>
      <c r="BI138" s="19" t="str">
        <f ca="1">IFERROR(__xludf.DUMMYFUNCTION("IFERROR(VLOOKUP(F155,IMPORTRANGE(""https://docs.google.com/spreadsheets/d/1Kvs4KS76FHFqLFIZfrDMff4kP08nblUkihrxltoGBjg/edit#gid=934712705"",""ESENCIAL!A6:BG""),18,FALSE))"),"En ejecucion")</f>
        <v>En ejecucion</v>
      </c>
      <c r="BJ138" s="19" t="str">
        <f t="shared" si="19"/>
        <v>Yamboro</v>
      </c>
      <c r="BK138" s="291"/>
      <c r="BL138" s="19"/>
    </row>
    <row r="139" spans="1:64" ht="24">
      <c r="A139" s="486" t="s">
        <v>1423</v>
      </c>
      <c r="B139" s="145" t="s">
        <v>25</v>
      </c>
      <c r="C139" s="487" t="s">
        <v>1448</v>
      </c>
      <c r="D139" s="57" t="s">
        <v>27</v>
      </c>
      <c r="E139" s="57">
        <v>1004269111</v>
      </c>
      <c r="F139" s="114">
        <v>2280193</v>
      </c>
      <c r="G139" s="11" t="str">
        <f ca="1">IFERROR(__xludf.DUMMYFUNCTION("IFERROR(VLOOKUP(F156,IMPORTRANGE(""https://docs.google.com/spreadsheets/d/1Kvs4KS76FHFqLFIZfrDMff4kP08nblUkihrxltoGBjg/edit#gid=934712705"",""ESENCIAL!A6:BG""),3,FALSE))"),"TECNÓLOGO")</f>
        <v>TECNÓLOGO</v>
      </c>
      <c r="H139" s="11" t="str">
        <f ca="1">IFERROR(__xludf.DUMMYFUNCTION("IFERROR(VLOOKUP(F156,IMPORTRANGE(""https://docs.google.com/spreadsheets/d/1Kvs4KS76FHFqLFIZfrDMff4kP08nblUkihrxltoGBjg/edit#gid=934712705"",""ESENCIAL!A6:BG""),8,FALSE))"),"PRODUCCIÓN AGROPECUARIA ECOLÓGICA")</f>
        <v>PRODUCCIÓN AGROPECUARIA ECOLÓGICA</v>
      </c>
      <c r="I139" s="142"/>
      <c r="J139" s="142"/>
      <c r="K139" s="30"/>
      <c r="L139" s="54" t="s">
        <v>1449</v>
      </c>
      <c r="M139" s="54" t="s">
        <v>1450</v>
      </c>
      <c r="N139" s="54" t="s">
        <v>1451</v>
      </c>
      <c r="O139" s="142" t="s">
        <v>1452</v>
      </c>
      <c r="P139" s="142"/>
      <c r="Q139" s="182" t="s">
        <v>1453</v>
      </c>
      <c r="R139" s="88" t="s">
        <v>1454</v>
      </c>
      <c r="S139" s="181" t="s">
        <v>1455</v>
      </c>
      <c r="T139" s="95"/>
      <c r="U139" s="97" t="s">
        <v>1456</v>
      </c>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19" t="str">
        <f t="shared" ca="1" si="16"/>
        <v>NO_CUMPLE</v>
      </c>
      <c r="AV139" s="11" t="str">
        <f ca="1">IFERROR(__xludf.DUMMYFUNCTION("IFERROR(VLOOKUP(E156&amp;F156,IMPORTRANGE(""https://docs.google.com/spreadsheets/d/1Uw7-A9f9R21vMXxHZFNpYNeKFtG8_yji4HS352LGlSQ/edit?pli=1#gid=0"",""1_ACUM!A4:S""),11,FALSE))"),"EN FORMACION")</f>
        <v>EN FORMACION</v>
      </c>
      <c r="AW139" s="20" t="str">
        <f ca="1">IFERROR(__xludf.DUMMYFUNCTION("IFERROR(VLOOKUP(F156,IMPORTRANGE(""https://docs.google.com/spreadsheets/d/1Kvs4KS76FHFqLFIZfrDMff4kP08nblUkihrxltoGBjg/edit#gid=934712705"",""ESENCIAL!A6:BG""),15,FALSE))"),"AGROPECUARIO")</f>
        <v>AGROPECUARIO</v>
      </c>
      <c r="AX139" s="21">
        <f ca="1">IFERROR(__xludf.DUMMYFUNCTION("IFERROR(VLOOKUP(E156&amp;F156,IMPORTRANGE(""https://docs.google.com/spreadsheets/d/1Uw7-A9f9R21vMXxHZFNpYNeKFtG8_yji4HS352LGlSQ/edit?pli=1#gid=0"",""1_ACUM!A4:S""),12,FALSE))"),44839)</f>
        <v>44839</v>
      </c>
      <c r="AY139" s="22">
        <f ca="1">IFERROR(__xludf.DUMMYFUNCTION("IFERROR(VLOOKUP(E156&amp;F156,IMPORTRANGE(""https://docs.google.com/spreadsheets/d/1Uw7-A9f9R21vMXxHZFNpYNeKFtG8_yji4HS352LGlSQ/edit?pli=1#gid=0"",""1_ACUM!A4:S""),13,FALSE))"),1)</f>
        <v>1</v>
      </c>
      <c r="AZ139" s="22">
        <f ca="1">IFERROR(__xludf.DUMMYFUNCTION("IFERROR(VLOOKUP(E156&amp;F156,IMPORTRANGE(""https://docs.google.com/spreadsheets/d/1Uw7-A9f9R21vMXxHZFNpYNeKFtG8_yji4HS352LGlSQ/edit?pli=1#gid=0"",""1_ACUM!A4:S""),14,FALSE))"),1)</f>
        <v>1</v>
      </c>
      <c r="BA139" s="22">
        <f ca="1">IFERROR(__xludf.DUMMYFUNCTION("IFERROR(VLOOKUP(E156&amp;F156,IMPORTRANGE(""https://docs.google.com/spreadsheets/d/1Uw7-A9f9R21vMXxHZFNpYNeKFtG8_yji4HS352LGlSQ/edit?pli=1#gid=0"",""1_ACUM!A4:S""),15,FALSE))"),0)</f>
        <v>0</v>
      </c>
      <c r="BB139" s="22">
        <f ca="1">IFERROR(__xludf.DUMMYFUNCTION("IFERROR(VLOOKUP(E156&amp;F156,IMPORTRANGE(""https://docs.google.com/spreadsheets/d/1Uw7-A9f9R21vMXxHZFNpYNeKFtG8_yji4HS352LGlSQ/edit?pli=1#gid=0"",""1_ACUM!A4:S""),16,FALSE))"),7)</f>
        <v>7</v>
      </c>
      <c r="BC139" s="22">
        <f ca="1">IFERROR(__xludf.DUMMYFUNCTION("IFERROR(VLOOKUP(E156&amp;F156,IMPORTRANGE(""https://docs.google.com/spreadsheets/d/1Uw7-A9f9R21vMXxHZFNpYNeKFtG8_yji4HS352LGlSQ/edit?pli=1#gid=0"",""1_ACUM!A4:S""),17,FALSE))"),9)</f>
        <v>9</v>
      </c>
      <c r="BD139" s="23">
        <f ca="1">IFERROR(__xludf.DUMMYFUNCTION("IFERROR(VLOOKUP(E156&amp;F156,IMPORTRANGE(""https://docs.google.com/spreadsheets/d/1Uw7-A9f9R21vMXxHZFNpYNeKFtG8_yji4HS352LGlSQ/edit?pli=1#gid=0"",""1_ACUM!A4:S""),18,FALSE))"),44301)</f>
        <v>44301</v>
      </c>
      <c r="BE139" s="23">
        <f ca="1">IFERROR(__xludf.DUMMYFUNCTION("IFERROR(VLOOKUP(E156&amp;F156,IMPORTRANGE(""https://docs.google.com/spreadsheets/d/1Uw7-A9f9R21vMXxHZFNpYNeKFtG8_yji4HS352LGlSQ/edit?pli=1#gid=0"",""1_ACUM!A4:S""),19,FALSE))"),44848)</f>
        <v>44848</v>
      </c>
      <c r="BF139" s="23">
        <f ca="1">IFERROR(__xludf.DUMMYFUNCTION("IFERROR(VLOOKUP(F156,IMPORTRANGE(""https://docs.google.com/spreadsheets/d/1Kvs4KS76FHFqLFIZfrDMff4kP08nblUkihrxltoGBjg/edit#gid=934712705"",""ESENCIAL!A6:BG""),5,FALSE))"),45030)</f>
        <v>45030</v>
      </c>
      <c r="BG139" s="23">
        <f t="shared" ca="1" si="17"/>
        <v>45579</v>
      </c>
      <c r="BH139" s="19" t="str">
        <f t="shared" ca="1" si="18"/>
        <v>FICHA EN TIEMPO-18 MESES</v>
      </c>
      <c r="BI139" s="19" t="str">
        <f ca="1">IFERROR(__xludf.DUMMYFUNCTION("IFERROR(VLOOKUP(F156,IMPORTRANGE(""https://docs.google.com/spreadsheets/d/1Kvs4KS76FHFqLFIZfrDMff4kP08nblUkihrxltoGBjg/edit#gid=934712705"",""ESENCIAL!A6:BG""),18,FALSE))"),"En ejecucion")</f>
        <v>En ejecucion</v>
      </c>
      <c r="BJ139" s="19" t="str">
        <f t="shared" si="19"/>
        <v>Yamboro</v>
      </c>
      <c r="BK139" s="291"/>
      <c r="BL139" s="19"/>
    </row>
    <row r="140" spans="1:64" ht="25">
      <c r="A140" s="486" t="s">
        <v>1423</v>
      </c>
      <c r="B140" s="145" t="s">
        <v>25</v>
      </c>
      <c r="C140" s="487" t="s">
        <v>1457</v>
      </c>
      <c r="D140" s="474" t="s">
        <v>27</v>
      </c>
      <c r="E140" s="474">
        <v>1004419101</v>
      </c>
      <c r="F140" s="475">
        <v>2280193</v>
      </c>
      <c r="G140" s="476" t="str">
        <f ca="1">IFERROR(__xludf.DUMMYFUNCTION("IFERROR(VLOOKUP(F157,IMPORTRANGE(""https://docs.google.com/spreadsheets/d/1Kvs4KS76FHFqLFIZfrDMff4kP08nblUkihrxltoGBjg/edit#gid=934712705"",""ESENCIAL!A6:BG""),3,FALSE))"),"TECNÓLOGO")</f>
        <v>TECNÓLOGO</v>
      </c>
      <c r="H140" s="476" t="str">
        <f ca="1">IFERROR(__xludf.DUMMYFUNCTION("IFERROR(VLOOKUP(F157,IMPORTRANGE(""https://docs.google.com/spreadsheets/d/1Kvs4KS76FHFqLFIZfrDMff4kP08nblUkihrxltoGBjg/edit#gid=934712705"",""ESENCIAL!A6:BG""),8,FALSE))"),"PRODUCCIÓN AGROPECUARIA ECOLÓGICA")</f>
        <v>PRODUCCIÓN AGROPECUARIA ECOLÓGICA</v>
      </c>
      <c r="I140" s="478">
        <v>3143158883</v>
      </c>
      <c r="J140" s="478" t="s">
        <v>1458</v>
      </c>
      <c r="K140" s="477" t="s">
        <v>84</v>
      </c>
      <c r="L140" s="481" t="s">
        <v>28</v>
      </c>
      <c r="M140" s="477" t="s">
        <v>1459</v>
      </c>
      <c r="N140" s="477" t="s">
        <v>1460</v>
      </c>
      <c r="O140" s="478">
        <v>3173650676</v>
      </c>
      <c r="P140" s="478" t="s">
        <v>81</v>
      </c>
      <c r="Q140" s="478" t="s">
        <v>1461</v>
      </c>
      <c r="R140" s="479">
        <v>44866</v>
      </c>
      <c r="S140" s="480">
        <v>45046</v>
      </c>
      <c r="T140" s="89" t="s">
        <v>1462</v>
      </c>
      <c r="U140" s="154" t="s">
        <v>1463</v>
      </c>
      <c r="V140" s="209" t="s">
        <v>1447</v>
      </c>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19" t="str">
        <f t="shared" ca="1" si="16"/>
        <v>NO_CUMPLE</v>
      </c>
      <c r="AV140" s="11" t="str">
        <f ca="1">IFERROR(__xludf.DUMMYFUNCTION("IFERROR(VLOOKUP(E157&amp;F157,IMPORTRANGE(""https://docs.google.com/spreadsheets/d/1Uw7-A9f9R21vMXxHZFNpYNeKFtG8_yji4HS352LGlSQ/edit?pli=1#gid=0"",""1_ACUM!A4:S""),11,FALSE))"),"EN FORMACION")</f>
        <v>EN FORMACION</v>
      </c>
      <c r="AW140" s="20" t="str">
        <f ca="1">IFERROR(__xludf.DUMMYFUNCTION("IFERROR(VLOOKUP(F157,IMPORTRANGE(""https://docs.google.com/spreadsheets/d/1Kvs4KS76FHFqLFIZfrDMff4kP08nblUkihrxltoGBjg/edit#gid=934712705"",""ESENCIAL!A6:BG""),15,FALSE))"),"AGROPECUARIO")</f>
        <v>AGROPECUARIO</v>
      </c>
      <c r="AX140" s="21">
        <f ca="1">IFERROR(__xludf.DUMMYFUNCTION("IFERROR(VLOOKUP(E157&amp;F157,IMPORTRANGE(""https://docs.google.com/spreadsheets/d/1Uw7-A9f9R21vMXxHZFNpYNeKFtG8_yji4HS352LGlSQ/edit?pli=1#gid=0"",""1_ACUM!A4:S""),12,FALSE))"),44839)</f>
        <v>44839</v>
      </c>
      <c r="AY140" s="22">
        <f ca="1">IFERROR(__xludf.DUMMYFUNCTION("IFERROR(VLOOKUP(E157&amp;F157,IMPORTRANGE(""https://docs.google.com/spreadsheets/d/1Uw7-A9f9R21vMXxHZFNpYNeKFtG8_yji4HS352LGlSQ/edit?pli=1#gid=0"",""1_ACUM!A4:S""),13,FALSE))"),1)</f>
        <v>1</v>
      </c>
      <c r="AZ140" s="22">
        <f ca="1">IFERROR(__xludf.DUMMYFUNCTION("IFERROR(VLOOKUP(E157&amp;F157,IMPORTRANGE(""https://docs.google.com/spreadsheets/d/1Uw7-A9f9R21vMXxHZFNpYNeKFtG8_yji4HS352LGlSQ/edit?pli=1#gid=0"",""1_ACUM!A4:S""),14,FALSE))"),1)</f>
        <v>1</v>
      </c>
      <c r="BA140" s="22">
        <f ca="1">IFERROR(__xludf.DUMMYFUNCTION("IFERROR(VLOOKUP(E157&amp;F157,IMPORTRANGE(""https://docs.google.com/spreadsheets/d/1Uw7-A9f9R21vMXxHZFNpYNeKFtG8_yji4HS352LGlSQ/edit?pli=1#gid=0"",""1_ACUM!A4:S""),15,FALSE))"),0)</f>
        <v>0</v>
      </c>
      <c r="BB140" s="22">
        <f ca="1">IFERROR(__xludf.DUMMYFUNCTION("IFERROR(VLOOKUP(E157&amp;F157,IMPORTRANGE(""https://docs.google.com/spreadsheets/d/1Uw7-A9f9R21vMXxHZFNpYNeKFtG8_yji4HS352LGlSQ/edit?pli=1#gid=0"",""1_ACUM!A4:S""),16,FALSE))"),7)</f>
        <v>7</v>
      </c>
      <c r="BC140" s="22">
        <f ca="1">IFERROR(__xludf.DUMMYFUNCTION("IFERROR(VLOOKUP(E157&amp;F157,IMPORTRANGE(""https://docs.google.com/spreadsheets/d/1Uw7-A9f9R21vMXxHZFNpYNeKFtG8_yji4HS352LGlSQ/edit?pli=1#gid=0"",""1_ACUM!A4:S""),17,FALSE))"),9)</f>
        <v>9</v>
      </c>
      <c r="BD140" s="23">
        <f ca="1">IFERROR(__xludf.DUMMYFUNCTION("IFERROR(VLOOKUP(E157&amp;F157,IMPORTRANGE(""https://docs.google.com/spreadsheets/d/1Uw7-A9f9R21vMXxHZFNpYNeKFtG8_yji4HS352LGlSQ/edit?pli=1#gid=0"",""1_ACUM!A4:S""),18,FALSE))"),44301)</f>
        <v>44301</v>
      </c>
      <c r="BE140" s="23">
        <f ca="1">IFERROR(__xludf.DUMMYFUNCTION("IFERROR(VLOOKUP(E157&amp;F157,IMPORTRANGE(""https://docs.google.com/spreadsheets/d/1Uw7-A9f9R21vMXxHZFNpYNeKFtG8_yji4HS352LGlSQ/edit?pli=1#gid=0"",""1_ACUM!A4:S""),19,FALSE))"),44848)</f>
        <v>44848</v>
      </c>
      <c r="BF140" s="23">
        <f ca="1">IFERROR(__xludf.DUMMYFUNCTION("IFERROR(VLOOKUP(F157,IMPORTRANGE(""https://docs.google.com/spreadsheets/d/1Kvs4KS76FHFqLFIZfrDMff4kP08nblUkihrxltoGBjg/edit#gid=934712705"",""ESENCIAL!A6:BG""),5,FALSE))"),45030)</f>
        <v>45030</v>
      </c>
      <c r="BG140" s="23">
        <f t="shared" ca="1" si="17"/>
        <v>45579</v>
      </c>
      <c r="BH140" s="19" t="str">
        <f t="shared" ca="1" si="18"/>
        <v>FICHA EN TIEMPO-18 MESES</v>
      </c>
      <c r="BI140" s="19" t="str">
        <f ca="1">IFERROR(__xludf.DUMMYFUNCTION("IFERROR(VLOOKUP(F157,IMPORTRANGE(""https://docs.google.com/spreadsheets/d/1Kvs4KS76FHFqLFIZfrDMff4kP08nblUkihrxltoGBjg/edit#gid=934712705"",""ESENCIAL!A6:BG""),18,FALSE))"),"En ejecucion")</f>
        <v>En ejecucion</v>
      </c>
      <c r="BJ140" s="19" t="str">
        <f t="shared" si="19"/>
        <v>Yamboro</v>
      </c>
      <c r="BK140" s="291"/>
      <c r="BL140" s="19"/>
    </row>
    <row r="141" spans="1:64" ht="25">
      <c r="A141" s="486" t="s">
        <v>1423</v>
      </c>
      <c r="B141" s="145" t="s">
        <v>25</v>
      </c>
      <c r="C141" s="487" t="s">
        <v>1464</v>
      </c>
      <c r="D141" s="474" t="s">
        <v>27</v>
      </c>
      <c r="E141" s="474">
        <v>1004440089</v>
      </c>
      <c r="F141" s="475">
        <v>2280193</v>
      </c>
      <c r="G141" s="476" t="str">
        <f ca="1">IFERROR(__xludf.DUMMYFUNCTION("IFERROR(VLOOKUP(F158,IMPORTRANGE(""https://docs.google.com/spreadsheets/d/1Kvs4KS76FHFqLFIZfrDMff4kP08nblUkihrxltoGBjg/edit#gid=934712705"",""ESENCIAL!A6:BG""),3,FALSE))"),"TECNÓLOGO")</f>
        <v>TECNÓLOGO</v>
      </c>
      <c r="H141" s="476" t="str">
        <f ca="1">IFERROR(__xludf.DUMMYFUNCTION("IFERROR(VLOOKUP(F158,IMPORTRANGE(""https://docs.google.com/spreadsheets/d/1Kvs4KS76FHFqLFIZfrDMff4kP08nblUkihrxltoGBjg/edit#gid=934712705"",""ESENCIAL!A6:BG""),8,FALSE))"),"PRODUCCIÓN AGROPECUARIA ECOLÓGICA")</f>
        <v>PRODUCCIÓN AGROPECUARIA ECOLÓGICA</v>
      </c>
      <c r="I141" s="478">
        <v>3112766786</v>
      </c>
      <c r="J141" s="478" t="s">
        <v>1465</v>
      </c>
      <c r="K141" s="477" t="s">
        <v>84</v>
      </c>
      <c r="L141" s="481" t="s">
        <v>28</v>
      </c>
      <c r="M141" s="477" t="s">
        <v>1429</v>
      </c>
      <c r="N141" s="477" t="s">
        <v>1466</v>
      </c>
      <c r="O141" s="478">
        <v>3205573830</v>
      </c>
      <c r="P141" s="478" t="s">
        <v>84</v>
      </c>
      <c r="Q141" s="478" t="s">
        <v>1467</v>
      </c>
      <c r="R141" s="479">
        <v>44850</v>
      </c>
      <c r="S141" s="480">
        <v>45028</v>
      </c>
      <c r="T141" s="89" t="s">
        <v>86</v>
      </c>
      <c r="U141" s="154" t="s">
        <v>1446</v>
      </c>
      <c r="V141" s="209" t="s">
        <v>1447</v>
      </c>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19" t="str">
        <f t="shared" ca="1" si="16"/>
        <v>NO_CUMPLE</v>
      </c>
      <c r="AV141" s="11" t="str">
        <f ca="1">IFERROR(__xludf.DUMMYFUNCTION("IFERROR(VLOOKUP(E158&amp;F158,IMPORTRANGE(""https://docs.google.com/spreadsheets/d/1Uw7-A9f9R21vMXxHZFNpYNeKFtG8_yji4HS352LGlSQ/edit?pli=1#gid=0"",""1_ACUM!A4:S""),11,FALSE))"),"EN FORMACION")</f>
        <v>EN FORMACION</v>
      </c>
      <c r="AW141" s="20" t="str">
        <f ca="1">IFERROR(__xludf.DUMMYFUNCTION("IFERROR(VLOOKUP(F158,IMPORTRANGE(""https://docs.google.com/spreadsheets/d/1Kvs4KS76FHFqLFIZfrDMff4kP08nblUkihrxltoGBjg/edit#gid=934712705"",""ESENCIAL!A6:BG""),15,FALSE))"),"AGROPECUARIO")</f>
        <v>AGROPECUARIO</v>
      </c>
      <c r="AX141" s="21">
        <f ca="1">IFERROR(__xludf.DUMMYFUNCTION("IFERROR(VLOOKUP(E158&amp;F158,IMPORTRANGE(""https://docs.google.com/spreadsheets/d/1Uw7-A9f9R21vMXxHZFNpYNeKFtG8_yji4HS352LGlSQ/edit?pli=1#gid=0"",""1_ACUM!A4:S""),12,FALSE))"),44839)</f>
        <v>44839</v>
      </c>
      <c r="AY141" s="22">
        <f ca="1">IFERROR(__xludf.DUMMYFUNCTION("IFERROR(VLOOKUP(E158&amp;F158,IMPORTRANGE(""https://docs.google.com/spreadsheets/d/1Uw7-A9f9R21vMXxHZFNpYNeKFtG8_yji4HS352LGlSQ/edit?pli=1#gid=0"",""1_ACUM!A4:S""),13,FALSE))"),1)</f>
        <v>1</v>
      </c>
      <c r="AZ141" s="22">
        <f ca="1">IFERROR(__xludf.DUMMYFUNCTION("IFERROR(VLOOKUP(E158&amp;F158,IMPORTRANGE(""https://docs.google.com/spreadsheets/d/1Uw7-A9f9R21vMXxHZFNpYNeKFtG8_yji4HS352LGlSQ/edit?pli=1#gid=0"",""1_ACUM!A4:S""),14,FALSE))"),1)</f>
        <v>1</v>
      </c>
      <c r="BA141" s="22">
        <f ca="1">IFERROR(__xludf.DUMMYFUNCTION("IFERROR(VLOOKUP(E158&amp;F158,IMPORTRANGE(""https://docs.google.com/spreadsheets/d/1Uw7-A9f9R21vMXxHZFNpYNeKFtG8_yji4HS352LGlSQ/edit?pli=1#gid=0"",""1_ACUM!A4:S""),15,FALSE))"),0)</f>
        <v>0</v>
      </c>
      <c r="BB141" s="22">
        <f ca="1">IFERROR(__xludf.DUMMYFUNCTION("IFERROR(VLOOKUP(E158&amp;F158,IMPORTRANGE(""https://docs.google.com/spreadsheets/d/1Uw7-A9f9R21vMXxHZFNpYNeKFtG8_yji4HS352LGlSQ/edit?pli=1#gid=0"",""1_ACUM!A4:S""),16,FALSE))"),7)</f>
        <v>7</v>
      </c>
      <c r="BC141" s="22">
        <f ca="1">IFERROR(__xludf.DUMMYFUNCTION("IFERROR(VLOOKUP(E158&amp;F158,IMPORTRANGE(""https://docs.google.com/spreadsheets/d/1Uw7-A9f9R21vMXxHZFNpYNeKFtG8_yji4HS352LGlSQ/edit?pli=1#gid=0"",""1_ACUM!A4:S""),17,FALSE))"),9)</f>
        <v>9</v>
      </c>
      <c r="BD141" s="23">
        <f ca="1">IFERROR(__xludf.DUMMYFUNCTION("IFERROR(VLOOKUP(E158&amp;F158,IMPORTRANGE(""https://docs.google.com/spreadsheets/d/1Uw7-A9f9R21vMXxHZFNpYNeKFtG8_yji4HS352LGlSQ/edit?pli=1#gid=0"",""1_ACUM!A4:S""),18,FALSE))"),44301)</f>
        <v>44301</v>
      </c>
      <c r="BE141" s="23">
        <f ca="1">IFERROR(__xludf.DUMMYFUNCTION("IFERROR(VLOOKUP(E158&amp;F158,IMPORTRANGE(""https://docs.google.com/spreadsheets/d/1Uw7-A9f9R21vMXxHZFNpYNeKFtG8_yji4HS352LGlSQ/edit?pli=1#gid=0"",""1_ACUM!A4:S""),19,FALSE))"),44848)</f>
        <v>44848</v>
      </c>
      <c r="BF141" s="23">
        <f ca="1">IFERROR(__xludf.DUMMYFUNCTION("IFERROR(VLOOKUP(F158,IMPORTRANGE(""https://docs.google.com/spreadsheets/d/1Kvs4KS76FHFqLFIZfrDMff4kP08nblUkihrxltoGBjg/edit#gid=934712705"",""ESENCIAL!A6:BG""),5,FALSE))"),45030)</f>
        <v>45030</v>
      </c>
      <c r="BG141" s="23">
        <f t="shared" ca="1" si="17"/>
        <v>45579</v>
      </c>
      <c r="BH141" s="19" t="str">
        <f t="shared" ca="1" si="18"/>
        <v>FICHA EN TIEMPO-18 MESES</v>
      </c>
      <c r="BI141" s="19" t="str">
        <f ca="1">IFERROR(__xludf.DUMMYFUNCTION("IFERROR(VLOOKUP(F158,IMPORTRANGE(""https://docs.google.com/spreadsheets/d/1Kvs4KS76FHFqLFIZfrDMff4kP08nblUkihrxltoGBjg/edit#gid=934712705"",""ESENCIAL!A6:BG""),18,FALSE))"),"En ejecucion")</f>
        <v>En ejecucion</v>
      </c>
      <c r="BJ141" s="19" t="str">
        <f t="shared" si="19"/>
        <v>Yamboro</v>
      </c>
      <c r="BK141" s="291"/>
      <c r="BL141" s="19"/>
    </row>
    <row r="142" spans="1:64" ht="24" hidden="1">
      <c r="A142" s="290"/>
      <c r="B142" s="145" t="s">
        <v>25</v>
      </c>
      <c r="C142" s="71" t="s">
        <v>1468</v>
      </c>
      <c r="D142" s="57" t="s">
        <v>27</v>
      </c>
      <c r="E142" s="118">
        <v>1004442867</v>
      </c>
      <c r="F142" s="114">
        <v>2280193</v>
      </c>
      <c r="G142" s="11" t="str">
        <f ca="1">IFERROR(__xludf.DUMMYFUNCTION("IFERROR(VLOOKUP(F159,IMPORTRANGE(""https://docs.google.com/spreadsheets/d/1Kvs4KS76FHFqLFIZfrDMff4kP08nblUkihrxltoGBjg/edit#gid=934712705"",""ESENCIAL!A6:BG""),3,FALSE))"),"TECNÓLOGO")</f>
        <v>TECNÓLOGO</v>
      </c>
      <c r="H142" s="11" t="str">
        <f ca="1">IFERROR(__xludf.DUMMYFUNCTION("IFERROR(VLOOKUP(F159,IMPORTRANGE(""https://docs.google.com/spreadsheets/d/1Kvs4KS76FHFqLFIZfrDMff4kP08nblUkihrxltoGBjg/edit#gid=934712705"",""ESENCIAL!A6:BG""),8,FALSE))"),"PRODUCCIÓN AGROPECUARIA ECOLÓGICA")</f>
        <v>PRODUCCIÓN AGROPECUARIA ECOLÓGICA</v>
      </c>
      <c r="I142" s="142"/>
      <c r="J142" s="142"/>
      <c r="K142" s="30"/>
      <c r="L142" s="285" t="s">
        <v>44</v>
      </c>
      <c r="M142" s="54"/>
      <c r="N142" s="54"/>
      <c r="O142" s="142"/>
      <c r="P142" s="142"/>
      <c r="Q142" s="142"/>
      <c r="R142" s="88"/>
      <c r="S142" s="88"/>
      <c r="T142" s="95"/>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19" t="str">
        <f t="shared" ca="1" si="16"/>
        <v>NO_CUMPLE</v>
      </c>
      <c r="AV142" s="11" t="str">
        <f ca="1">IFERROR(__xludf.DUMMYFUNCTION("IFERROR(VLOOKUP(E159&amp;F159,IMPORTRANGE(""https://docs.google.com/spreadsheets/d/1Uw7-A9f9R21vMXxHZFNpYNeKFtG8_yji4HS352LGlSQ/edit?pli=1#gid=0"",""1_ACUM!A4:S""),11,FALSE))"),"EN FORMACION")</f>
        <v>EN FORMACION</v>
      </c>
      <c r="AW142" s="20" t="str">
        <f ca="1">IFERROR(__xludf.DUMMYFUNCTION("IFERROR(VLOOKUP(F159,IMPORTRANGE(""https://docs.google.com/spreadsheets/d/1Kvs4KS76FHFqLFIZfrDMff4kP08nblUkihrxltoGBjg/edit#gid=934712705"",""ESENCIAL!A6:BG""),15,FALSE))"),"AGROPECUARIO")</f>
        <v>AGROPECUARIO</v>
      </c>
      <c r="AX142" s="21">
        <f ca="1">IFERROR(__xludf.DUMMYFUNCTION("IFERROR(VLOOKUP(E159&amp;F159,IMPORTRANGE(""https://docs.google.com/spreadsheets/d/1Uw7-A9f9R21vMXxHZFNpYNeKFtG8_yji4HS352LGlSQ/edit?pli=1#gid=0"",""1_ACUM!A4:S""),12,FALSE))"),44839)</f>
        <v>44839</v>
      </c>
      <c r="AY142" s="22">
        <f ca="1">IFERROR(__xludf.DUMMYFUNCTION("IFERROR(VLOOKUP(E159&amp;F159,IMPORTRANGE(""https://docs.google.com/spreadsheets/d/1Uw7-A9f9R21vMXxHZFNpYNeKFtG8_yji4HS352LGlSQ/edit?pli=1#gid=0"",""1_ACUM!A4:S""),13,FALSE))"),1)</f>
        <v>1</v>
      </c>
      <c r="AZ142" s="22">
        <f ca="1">IFERROR(__xludf.DUMMYFUNCTION("IFERROR(VLOOKUP(E159&amp;F159,IMPORTRANGE(""https://docs.google.com/spreadsheets/d/1Uw7-A9f9R21vMXxHZFNpYNeKFtG8_yji4HS352LGlSQ/edit?pli=1#gid=0"",""1_ACUM!A4:S""),14,FALSE))"),1)</f>
        <v>1</v>
      </c>
      <c r="BA142" s="22">
        <f ca="1">IFERROR(__xludf.DUMMYFUNCTION("IFERROR(VLOOKUP(E159&amp;F159,IMPORTRANGE(""https://docs.google.com/spreadsheets/d/1Uw7-A9f9R21vMXxHZFNpYNeKFtG8_yji4HS352LGlSQ/edit?pli=1#gid=0"",""1_ACUM!A4:S""),15,FALSE))"),0)</f>
        <v>0</v>
      </c>
      <c r="BB142" s="22">
        <f ca="1">IFERROR(__xludf.DUMMYFUNCTION("IFERROR(VLOOKUP(E159&amp;F159,IMPORTRANGE(""https://docs.google.com/spreadsheets/d/1Uw7-A9f9R21vMXxHZFNpYNeKFtG8_yji4HS352LGlSQ/edit?pli=1#gid=0"",""1_ACUM!A4:S""),16,FALSE))"),7)</f>
        <v>7</v>
      </c>
      <c r="BC142" s="22">
        <f ca="1">IFERROR(__xludf.DUMMYFUNCTION("IFERROR(VLOOKUP(E159&amp;F159,IMPORTRANGE(""https://docs.google.com/spreadsheets/d/1Uw7-A9f9R21vMXxHZFNpYNeKFtG8_yji4HS352LGlSQ/edit?pli=1#gid=0"",""1_ACUM!A4:S""),17,FALSE))"),9)</f>
        <v>9</v>
      </c>
      <c r="BD142" s="23">
        <f ca="1">IFERROR(__xludf.DUMMYFUNCTION("IFERROR(VLOOKUP(E159&amp;F159,IMPORTRANGE(""https://docs.google.com/spreadsheets/d/1Uw7-A9f9R21vMXxHZFNpYNeKFtG8_yji4HS352LGlSQ/edit?pli=1#gid=0"",""1_ACUM!A4:S""),18,FALSE))"),44301)</f>
        <v>44301</v>
      </c>
      <c r="BE142" s="23">
        <f ca="1">IFERROR(__xludf.DUMMYFUNCTION("IFERROR(VLOOKUP(E159&amp;F159,IMPORTRANGE(""https://docs.google.com/spreadsheets/d/1Uw7-A9f9R21vMXxHZFNpYNeKFtG8_yji4HS352LGlSQ/edit?pli=1#gid=0"",""1_ACUM!A4:S""),19,FALSE))"),44848)</f>
        <v>44848</v>
      </c>
      <c r="BF142" s="23">
        <f ca="1">IFERROR(__xludf.DUMMYFUNCTION("IFERROR(VLOOKUP(F159,IMPORTRANGE(""https://docs.google.com/spreadsheets/d/1Kvs4KS76FHFqLFIZfrDMff4kP08nblUkihrxltoGBjg/edit#gid=934712705"",""ESENCIAL!A6:BG""),5,FALSE))"),45030)</f>
        <v>45030</v>
      </c>
      <c r="BG142" s="23">
        <f t="shared" ca="1" si="17"/>
        <v>45579</v>
      </c>
      <c r="BH142" s="19" t="str">
        <f t="shared" ca="1" si="18"/>
        <v>FICHA EN TIEMPO-18 MESES</v>
      </c>
      <c r="BI142" s="19" t="str">
        <f ca="1">IFERROR(__xludf.DUMMYFUNCTION("IFERROR(VLOOKUP(F159,IMPORTRANGE(""https://docs.google.com/spreadsheets/d/1Kvs4KS76FHFqLFIZfrDMff4kP08nblUkihrxltoGBjg/edit#gid=934712705"",""ESENCIAL!A6:BG""),18,FALSE))"),"En ejecucion")</f>
        <v>En ejecucion</v>
      </c>
      <c r="BJ142" s="19" t="str">
        <f t="shared" si="19"/>
        <v>Yamboro</v>
      </c>
      <c r="BK142" s="291"/>
      <c r="BL142" s="19"/>
    </row>
    <row r="143" spans="1:64" ht="25">
      <c r="A143" s="486" t="s">
        <v>1423</v>
      </c>
      <c r="B143" s="145" t="s">
        <v>25</v>
      </c>
      <c r="C143" s="487" t="s">
        <v>1469</v>
      </c>
      <c r="D143" s="474" t="s">
        <v>27</v>
      </c>
      <c r="E143" s="474">
        <v>1006484745</v>
      </c>
      <c r="F143" s="475">
        <v>2280193</v>
      </c>
      <c r="G143" s="476" t="str">
        <f ca="1">IFERROR(__xludf.DUMMYFUNCTION("IFERROR(VLOOKUP(F160,IMPORTRANGE(""https://docs.google.com/spreadsheets/d/1Kvs4KS76FHFqLFIZfrDMff4kP08nblUkihrxltoGBjg/edit#gid=934712705"",""ESENCIAL!A6:BG""),3,FALSE))"),"TECNÓLOGO")</f>
        <v>TECNÓLOGO</v>
      </c>
      <c r="H143" s="476" t="str">
        <f ca="1">IFERROR(__xludf.DUMMYFUNCTION("IFERROR(VLOOKUP(F160,IMPORTRANGE(""https://docs.google.com/spreadsheets/d/1Kvs4KS76FHFqLFIZfrDMff4kP08nblUkihrxltoGBjg/edit#gid=934712705"",""ESENCIAL!A6:BG""),8,FALSE))"),"PRODUCCIÓN AGROPECUARIA ECOLÓGICA")</f>
        <v>PRODUCCIÓN AGROPECUARIA ECOLÓGICA</v>
      </c>
      <c r="I143" s="478" t="s">
        <v>1470</v>
      </c>
      <c r="J143" s="478" t="s">
        <v>1471</v>
      </c>
      <c r="K143" s="477" t="s">
        <v>1472</v>
      </c>
      <c r="L143" s="481" t="s">
        <v>28</v>
      </c>
      <c r="M143" s="477" t="s">
        <v>1473</v>
      </c>
      <c r="N143" s="477" t="s">
        <v>1474</v>
      </c>
      <c r="O143" s="478">
        <v>8697245</v>
      </c>
      <c r="P143" s="478" t="s">
        <v>1475</v>
      </c>
      <c r="Q143" s="478" t="s">
        <v>1476</v>
      </c>
      <c r="R143" s="479">
        <v>44853</v>
      </c>
      <c r="S143" s="480">
        <v>45035</v>
      </c>
      <c r="T143" s="89" t="s">
        <v>86</v>
      </c>
      <c r="U143" s="154" t="s">
        <v>1446</v>
      </c>
      <c r="V143" s="209" t="s">
        <v>1447</v>
      </c>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19" t="str">
        <f t="shared" ca="1" si="16"/>
        <v>NO_CUMPLE</v>
      </c>
      <c r="AV143" s="11" t="str">
        <f ca="1">IFERROR(__xludf.DUMMYFUNCTION("IFERROR(VLOOKUP(E160&amp;F160,IMPORTRANGE(""https://docs.google.com/spreadsheets/d/1Uw7-A9f9R21vMXxHZFNpYNeKFtG8_yji4HS352LGlSQ/edit?pli=1#gid=0"",""1_ACUM!A4:S""),11,FALSE))"),"EN FORMACION")</f>
        <v>EN FORMACION</v>
      </c>
      <c r="AW143" s="20" t="str">
        <f ca="1">IFERROR(__xludf.DUMMYFUNCTION("IFERROR(VLOOKUP(F160,IMPORTRANGE(""https://docs.google.com/spreadsheets/d/1Kvs4KS76FHFqLFIZfrDMff4kP08nblUkihrxltoGBjg/edit#gid=934712705"",""ESENCIAL!A6:BG""),15,FALSE))"),"AGROPECUARIO")</f>
        <v>AGROPECUARIO</v>
      </c>
      <c r="AX143" s="21">
        <f ca="1">IFERROR(__xludf.DUMMYFUNCTION("IFERROR(VLOOKUP(E160&amp;F160,IMPORTRANGE(""https://docs.google.com/spreadsheets/d/1Uw7-A9f9R21vMXxHZFNpYNeKFtG8_yji4HS352LGlSQ/edit?pli=1#gid=0"",""1_ACUM!A4:S""),12,FALSE))"),44839)</f>
        <v>44839</v>
      </c>
      <c r="AY143" s="22">
        <f ca="1">IFERROR(__xludf.DUMMYFUNCTION("IFERROR(VLOOKUP(E160&amp;F160,IMPORTRANGE(""https://docs.google.com/spreadsheets/d/1Uw7-A9f9R21vMXxHZFNpYNeKFtG8_yji4HS352LGlSQ/edit?pli=1#gid=0"",""1_ACUM!A4:S""),13,FALSE))"),1)</f>
        <v>1</v>
      </c>
      <c r="AZ143" s="22">
        <f ca="1">IFERROR(__xludf.DUMMYFUNCTION("IFERROR(VLOOKUP(E160&amp;F160,IMPORTRANGE(""https://docs.google.com/spreadsheets/d/1Uw7-A9f9R21vMXxHZFNpYNeKFtG8_yji4HS352LGlSQ/edit?pli=1#gid=0"",""1_ACUM!A4:S""),14,FALSE))"),1)</f>
        <v>1</v>
      </c>
      <c r="BA143" s="22">
        <f ca="1">IFERROR(__xludf.DUMMYFUNCTION("IFERROR(VLOOKUP(E160&amp;F160,IMPORTRANGE(""https://docs.google.com/spreadsheets/d/1Uw7-A9f9R21vMXxHZFNpYNeKFtG8_yji4HS352LGlSQ/edit?pli=1#gid=0"",""1_ACUM!A4:S""),15,FALSE))"),0)</f>
        <v>0</v>
      </c>
      <c r="BB143" s="22">
        <f ca="1">IFERROR(__xludf.DUMMYFUNCTION("IFERROR(VLOOKUP(E160&amp;F160,IMPORTRANGE(""https://docs.google.com/spreadsheets/d/1Uw7-A9f9R21vMXxHZFNpYNeKFtG8_yji4HS352LGlSQ/edit?pli=1#gid=0"",""1_ACUM!A4:S""),16,FALSE))"),7)</f>
        <v>7</v>
      </c>
      <c r="BC143" s="22">
        <f ca="1">IFERROR(__xludf.DUMMYFUNCTION("IFERROR(VLOOKUP(E160&amp;F160,IMPORTRANGE(""https://docs.google.com/spreadsheets/d/1Uw7-A9f9R21vMXxHZFNpYNeKFtG8_yji4HS352LGlSQ/edit?pli=1#gid=0"",""1_ACUM!A4:S""),17,FALSE))"),9)</f>
        <v>9</v>
      </c>
      <c r="BD143" s="23">
        <f ca="1">IFERROR(__xludf.DUMMYFUNCTION("IFERROR(VLOOKUP(E160&amp;F160,IMPORTRANGE(""https://docs.google.com/spreadsheets/d/1Uw7-A9f9R21vMXxHZFNpYNeKFtG8_yji4HS352LGlSQ/edit?pli=1#gid=0"",""1_ACUM!A4:S""),18,FALSE))"),44301)</f>
        <v>44301</v>
      </c>
      <c r="BE143" s="23">
        <f ca="1">IFERROR(__xludf.DUMMYFUNCTION("IFERROR(VLOOKUP(E160&amp;F160,IMPORTRANGE(""https://docs.google.com/spreadsheets/d/1Uw7-A9f9R21vMXxHZFNpYNeKFtG8_yji4HS352LGlSQ/edit?pli=1#gid=0"",""1_ACUM!A4:S""),19,FALSE))"),44848)</f>
        <v>44848</v>
      </c>
      <c r="BF143" s="23">
        <f ca="1">IFERROR(__xludf.DUMMYFUNCTION("IFERROR(VLOOKUP(F160,IMPORTRANGE(""https://docs.google.com/spreadsheets/d/1Kvs4KS76FHFqLFIZfrDMff4kP08nblUkihrxltoGBjg/edit#gid=934712705"",""ESENCIAL!A6:BG""),5,FALSE))"),45030)</f>
        <v>45030</v>
      </c>
      <c r="BG143" s="23">
        <f t="shared" ca="1" si="17"/>
        <v>45579</v>
      </c>
      <c r="BH143" s="19" t="str">
        <f t="shared" ca="1" si="18"/>
        <v>FICHA EN TIEMPO-18 MESES</v>
      </c>
      <c r="BI143" s="19" t="str">
        <f ca="1">IFERROR(__xludf.DUMMYFUNCTION("IFERROR(VLOOKUP(F160,IMPORTRANGE(""https://docs.google.com/spreadsheets/d/1Kvs4KS76FHFqLFIZfrDMff4kP08nblUkihrxltoGBjg/edit#gid=934712705"",""ESENCIAL!A6:BG""),18,FALSE))"),"En ejecucion")</f>
        <v>En ejecucion</v>
      </c>
      <c r="BJ143" s="19" t="str">
        <f t="shared" si="19"/>
        <v>Yamboro</v>
      </c>
      <c r="BK143" s="291"/>
      <c r="BL143" s="19"/>
    </row>
    <row r="144" spans="1:64" ht="24">
      <c r="A144" s="486" t="s">
        <v>1423</v>
      </c>
      <c r="B144" s="145" t="s">
        <v>25</v>
      </c>
      <c r="C144" s="487" t="s">
        <v>1477</v>
      </c>
      <c r="D144" s="474" t="s">
        <v>27</v>
      </c>
      <c r="E144" s="483">
        <v>1007163257</v>
      </c>
      <c r="F144" s="475">
        <v>2280193</v>
      </c>
      <c r="G144" s="476" t="str">
        <f ca="1">IFERROR(__xludf.DUMMYFUNCTION("IFERROR(VLOOKUP(F161,IMPORTRANGE(""https://docs.google.com/spreadsheets/d/1Kvs4KS76FHFqLFIZfrDMff4kP08nblUkihrxltoGBjg/edit#gid=934712705"",""ESENCIAL!A6:BG""),3,FALSE))"),"TECNÓLOGO")</f>
        <v>TECNÓLOGO</v>
      </c>
      <c r="H144" s="476" t="str">
        <f ca="1">IFERROR(__xludf.DUMMYFUNCTION("IFERROR(VLOOKUP(F161,IMPORTRANGE(""https://docs.google.com/spreadsheets/d/1Kvs4KS76FHFqLFIZfrDMff4kP08nblUkihrxltoGBjg/edit#gid=934712705"",""ESENCIAL!A6:BG""),8,FALSE))"),"PRODUCCIÓN AGROPECUARIA ECOLÓGICA")</f>
        <v>PRODUCCIÓN AGROPECUARIA ECOLÓGICA</v>
      </c>
      <c r="I144" s="478"/>
      <c r="J144" s="478"/>
      <c r="K144" s="477"/>
      <c r="L144" s="477" t="s">
        <v>37</v>
      </c>
      <c r="M144" s="477" t="s">
        <v>1478</v>
      </c>
      <c r="N144" s="477" t="s">
        <v>1479</v>
      </c>
      <c r="O144" s="478">
        <v>3208540538</v>
      </c>
      <c r="P144" s="478" t="s">
        <v>1480</v>
      </c>
      <c r="Q144" s="478" t="s">
        <v>1481</v>
      </c>
      <c r="R144" s="479">
        <v>44883</v>
      </c>
      <c r="S144" s="480">
        <v>45063</v>
      </c>
      <c r="T144" s="95"/>
      <c r="U144" s="30" t="s">
        <v>1456</v>
      </c>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19" t="str">
        <f t="shared" ca="1" si="16"/>
        <v>NO_CUMPLE</v>
      </c>
      <c r="AV144" s="11" t="str">
        <f ca="1">IFERROR(__xludf.DUMMYFUNCTION("IFERROR(VLOOKUP(E161&amp;F161,IMPORTRANGE(""https://docs.google.com/spreadsheets/d/1Uw7-A9f9R21vMXxHZFNpYNeKFtG8_yji4HS352LGlSQ/edit?pli=1#gid=0"",""1_ACUM!A4:S""),11,FALSE))"),"EN FORMACION")</f>
        <v>EN FORMACION</v>
      </c>
      <c r="AW144" s="20" t="str">
        <f ca="1">IFERROR(__xludf.DUMMYFUNCTION("IFERROR(VLOOKUP(F161,IMPORTRANGE(""https://docs.google.com/spreadsheets/d/1Kvs4KS76FHFqLFIZfrDMff4kP08nblUkihrxltoGBjg/edit#gid=934712705"",""ESENCIAL!A6:BG""),15,FALSE))"),"AGROPECUARIO")</f>
        <v>AGROPECUARIO</v>
      </c>
      <c r="AX144" s="21">
        <f ca="1">IFERROR(__xludf.DUMMYFUNCTION("IFERROR(VLOOKUP(E161&amp;F161,IMPORTRANGE(""https://docs.google.com/spreadsheets/d/1Uw7-A9f9R21vMXxHZFNpYNeKFtG8_yji4HS352LGlSQ/edit?pli=1#gid=0"",""1_ACUM!A4:S""),12,FALSE))"),44839)</f>
        <v>44839</v>
      </c>
      <c r="AY144" s="22">
        <f ca="1">IFERROR(__xludf.DUMMYFUNCTION("IFERROR(VLOOKUP(E161&amp;F161,IMPORTRANGE(""https://docs.google.com/spreadsheets/d/1Uw7-A9f9R21vMXxHZFNpYNeKFtG8_yji4HS352LGlSQ/edit?pli=1#gid=0"",""1_ACUM!A4:S""),13,FALSE))"),1)</f>
        <v>1</v>
      </c>
      <c r="AZ144" s="22">
        <f ca="1">IFERROR(__xludf.DUMMYFUNCTION("IFERROR(VLOOKUP(E161&amp;F161,IMPORTRANGE(""https://docs.google.com/spreadsheets/d/1Uw7-A9f9R21vMXxHZFNpYNeKFtG8_yji4HS352LGlSQ/edit?pli=1#gid=0"",""1_ACUM!A4:S""),14,FALSE))"),1)</f>
        <v>1</v>
      </c>
      <c r="BA144" s="22">
        <f ca="1">IFERROR(__xludf.DUMMYFUNCTION("IFERROR(VLOOKUP(E161&amp;F161,IMPORTRANGE(""https://docs.google.com/spreadsheets/d/1Uw7-A9f9R21vMXxHZFNpYNeKFtG8_yji4HS352LGlSQ/edit?pli=1#gid=0"",""1_ACUM!A4:S""),15,FALSE))"),0)</f>
        <v>0</v>
      </c>
      <c r="BB144" s="22">
        <f ca="1">IFERROR(__xludf.DUMMYFUNCTION("IFERROR(VLOOKUP(E161&amp;F161,IMPORTRANGE(""https://docs.google.com/spreadsheets/d/1Uw7-A9f9R21vMXxHZFNpYNeKFtG8_yji4HS352LGlSQ/edit?pli=1#gid=0"",""1_ACUM!A4:S""),16,FALSE))"),7)</f>
        <v>7</v>
      </c>
      <c r="BC144" s="22">
        <f ca="1">IFERROR(__xludf.DUMMYFUNCTION("IFERROR(VLOOKUP(E161&amp;F161,IMPORTRANGE(""https://docs.google.com/spreadsheets/d/1Uw7-A9f9R21vMXxHZFNpYNeKFtG8_yji4HS352LGlSQ/edit?pli=1#gid=0"",""1_ACUM!A4:S""),17,FALSE))"),9)</f>
        <v>9</v>
      </c>
      <c r="BD144" s="23">
        <f ca="1">IFERROR(__xludf.DUMMYFUNCTION("IFERROR(VLOOKUP(E161&amp;F161,IMPORTRANGE(""https://docs.google.com/spreadsheets/d/1Uw7-A9f9R21vMXxHZFNpYNeKFtG8_yji4HS352LGlSQ/edit?pli=1#gid=0"",""1_ACUM!A4:S""),18,FALSE))"),44301)</f>
        <v>44301</v>
      </c>
      <c r="BE144" s="23">
        <f ca="1">IFERROR(__xludf.DUMMYFUNCTION("IFERROR(VLOOKUP(E161&amp;F161,IMPORTRANGE(""https://docs.google.com/spreadsheets/d/1Uw7-A9f9R21vMXxHZFNpYNeKFtG8_yji4HS352LGlSQ/edit?pli=1#gid=0"",""1_ACUM!A4:S""),19,FALSE))"),44848)</f>
        <v>44848</v>
      </c>
      <c r="BF144" s="23">
        <f ca="1">IFERROR(__xludf.DUMMYFUNCTION("IFERROR(VLOOKUP(F161,IMPORTRANGE(""https://docs.google.com/spreadsheets/d/1Kvs4KS76FHFqLFIZfrDMff4kP08nblUkihrxltoGBjg/edit#gid=934712705"",""ESENCIAL!A6:BG""),5,FALSE))"),45030)</f>
        <v>45030</v>
      </c>
      <c r="BG144" s="23">
        <f t="shared" ca="1" si="17"/>
        <v>45579</v>
      </c>
      <c r="BH144" s="19" t="str">
        <f t="shared" ca="1" si="18"/>
        <v>FICHA EN TIEMPO-18 MESES</v>
      </c>
      <c r="BI144" s="19" t="str">
        <f ca="1">IFERROR(__xludf.DUMMYFUNCTION("IFERROR(VLOOKUP(F161,IMPORTRANGE(""https://docs.google.com/spreadsheets/d/1Kvs4KS76FHFqLFIZfrDMff4kP08nblUkihrxltoGBjg/edit#gid=934712705"",""ESENCIAL!A6:BG""),18,FALSE))"),"En ejecucion")</f>
        <v>En ejecucion</v>
      </c>
      <c r="BJ144" s="19" t="str">
        <f t="shared" si="19"/>
        <v>Yamboro</v>
      </c>
      <c r="BK144" s="291"/>
      <c r="BL144" s="19"/>
    </row>
    <row r="145" spans="1:64" ht="24">
      <c r="A145" s="486" t="s">
        <v>1423</v>
      </c>
      <c r="B145" s="145" t="s">
        <v>25</v>
      </c>
      <c r="C145" s="487" t="s">
        <v>1482</v>
      </c>
      <c r="D145" s="474" t="s">
        <v>27</v>
      </c>
      <c r="E145" s="474">
        <v>1007248979</v>
      </c>
      <c r="F145" s="475">
        <v>2280193</v>
      </c>
      <c r="G145" s="476" t="str">
        <f ca="1">IFERROR(__xludf.DUMMYFUNCTION("IFERROR(VLOOKUP(F162,IMPORTRANGE(""https://docs.google.com/spreadsheets/d/1Kvs4KS76FHFqLFIZfrDMff4kP08nblUkihrxltoGBjg/edit#gid=934712705"",""ESENCIAL!A6:BG""),3,FALSE))"),"TECNÓLOGO")</f>
        <v>TECNÓLOGO</v>
      </c>
      <c r="H145" s="476" t="str">
        <f ca="1">IFERROR(__xludf.DUMMYFUNCTION("IFERROR(VLOOKUP(F162,IMPORTRANGE(""https://docs.google.com/spreadsheets/d/1Kvs4KS76FHFqLFIZfrDMff4kP08nblUkihrxltoGBjg/edit#gid=934712705"",""ESENCIAL!A6:BG""),8,FALSE))"),"PRODUCCIÓN AGROPECUARIA ECOLÓGICA")</f>
        <v>PRODUCCIÓN AGROPECUARIA ECOLÓGICA</v>
      </c>
      <c r="I145" s="478">
        <v>3144180967</v>
      </c>
      <c r="J145" s="484" t="s">
        <v>1483</v>
      </c>
      <c r="K145" s="477" t="s">
        <v>84</v>
      </c>
      <c r="L145" s="481" t="s">
        <v>28</v>
      </c>
      <c r="M145" s="477" t="s">
        <v>1484</v>
      </c>
      <c r="N145" s="477" t="s">
        <v>1485</v>
      </c>
      <c r="O145" s="478">
        <v>3134782736</v>
      </c>
      <c r="P145" s="478" t="s">
        <v>96</v>
      </c>
      <c r="Q145" s="484" t="s">
        <v>1486</v>
      </c>
      <c r="R145" s="479" t="s">
        <v>1487</v>
      </c>
      <c r="S145" s="480" t="s">
        <v>1455</v>
      </c>
      <c r="T145" s="95"/>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19" t="str">
        <f t="shared" ca="1" si="16"/>
        <v>NO_CUMPLE</v>
      </c>
      <c r="AV145" s="11" t="str">
        <f ca="1">IFERROR(__xludf.DUMMYFUNCTION("IFERROR(VLOOKUP(E162&amp;F162,IMPORTRANGE(""https://docs.google.com/spreadsheets/d/1Uw7-A9f9R21vMXxHZFNpYNeKFtG8_yji4HS352LGlSQ/edit?pli=1#gid=0"",""1_ACUM!A4:S""),11,FALSE))"),"EN FORMACION")</f>
        <v>EN FORMACION</v>
      </c>
      <c r="AW145" s="20" t="str">
        <f ca="1">IFERROR(__xludf.DUMMYFUNCTION("IFERROR(VLOOKUP(F162,IMPORTRANGE(""https://docs.google.com/spreadsheets/d/1Kvs4KS76FHFqLFIZfrDMff4kP08nblUkihrxltoGBjg/edit#gid=934712705"",""ESENCIAL!A6:BG""),15,FALSE))"),"AGROPECUARIO")</f>
        <v>AGROPECUARIO</v>
      </c>
      <c r="AX145" s="21">
        <f ca="1">IFERROR(__xludf.DUMMYFUNCTION("IFERROR(VLOOKUP(E162&amp;F162,IMPORTRANGE(""https://docs.google.com/spreadsheets/d/1Uw7-A9f9R21vMXxHZFNpYNeKFtG8_yji4HS352LGlSQ/edit?pli=1#gid=0"",""1_ACUM!A4:S""),12,FALSE))"),44839)</f>
        <v>44839</v>
      </c>
      <c r="AY145" s="22">
        <f ca="1">IFERROR(__xludf.DUMMYFUNCTION("IFERROR(VLOOKUP(E162&amp;F162,IMPORTRANGE(""https://docs.google.com/spreadsheets/d/1Uw7-A9f9R21vMXxHZFNpYNeKFtG8_yji4HS352LGlSQ/edit?pli=1#gid=0"",""1_ACUM!A4:S""),13,FALSE))"),1)</f>
        <v>1</v>
      </c>
      <c r="AZ145" s="22">
        <f ca="1">IFERROR(__xludf.DUMMYFUNCTION("IFERROR(VLOOKUP(E162&amp;F162,IMPORTRANGE(""https://docs.google.com/spreadsheets/d/1Uw7-A9f9R21vMXxHZFNpYNeKFtG8_yji4HS352LGlSQ/edit?pli=1#gid=0"",""1_ACUM!A4:S""),14,FALSE))"),1)</f>
        <v>1</v>
      </c>
      <c r="BA145" s="22">
        <f ca="1">IFERROR(__xludf.DUMMYFUNCTION("IFERROR(VLOOKUP(E162&amp;F162,IMPORTRANGE(""https://docs.google.com/spreadsheets/d/1Uw7-A9f9R21vMXxHZFNpYNeKFtG8_yji4HS352LGlSQ/edit?pli=1#gid=0"",""1_ACUM!A4:S""),15,FALSE))"),0)</f>
        <v>0</v>
      </c>
      <c r="BB145" s="22">
        <f ca="1">IFERROR(__xludf.DUMMYFUNCTION("IFERROR(VLOOKUP(E162&amp;F162,IMPORTRANGE(""https://docs.google.com/spreadsheets/d/1Uw7-A9f9R21vMXxHZFNpYNeKFtG8_yji4HS352LGlSQ/edit?pli=1#gid=0"",""1_ACUM!A4:S""),16,FALSE))"),7)</f>
        <v>7</v>
      </c>
      <c r="BC145" s="22">
        <f ca="1">IFERROR(__xludf.DUMMYFUNCTION("IFERROR(VLOOKUP(E162&amp;F162,IMPORTRANGE(""https://docs.google.com/spreadsheets/d/1Uw7-A9f9R21vMXxHZFNpYNeKFtG8_yji4HS352LGlSQ/edit?pli=1#gid=0"",""1_ACUM!A4:S""),17,FALSE))"),9)</f>
        <v>9</v>
      </c>
      <c r="BD145" s="23">
        <f ca="1">IFERROR(__xludf.DUMMYFUNCTION("IFERROR(VLOOKUP(E162&amp;F162,IMPORTRANGE(""https://docs.google.com/spreadsheets/d/1Uw7-A9f9R21vMXxHZFNpYNeKFtG8_yji4HS352LGlSQ/edit?pli=1#gid=0"",""1_ACUM!A4:S""),18,FALSE))"),44301)</f>
        <v>44301</v>
      </c>
      <c r="BE145" s="23">
        <f ca="1">IFERROR(__xludf.DUMMYFUNCTION("IFERROR(VLOOKUP(E162&amp;F162,IMPORTRANGE(""https://docs.google.com/spreadsheets/d/1Uw7-A9f9R21vMXxHZFNpYNeKFtG8_yji4HS352LGlSQ/edit?pli=1#gid=0"",""1_ACUM!A4:S""),19,FALSE))"),44848)</f>
        <v>44848</v>
      </c>
      <c r="BF145" s="23">
        <f ca="1">IFERROR(__xludf.DUMMYFUNCTION("IFERROR(VLOOKUP(F162,IMPORTRANGE(""https://docs.google.com/spreadsheets/d/1Kvs4KS76FHFqLFIZfrDMff4kP08nblUkihrxltoGBjg/edit#gid=934712705"",""ESENCIAL!A6:BG""),5,FALSE))"),45030)</f>
        <v>45030</v>
      </c>
      <c r="BG145" s="23">
        <f t="shared" ca="1" si="17"/>
        <v>45579</v>
      </c>
      <c r="BH145" s="19" t="str">
        <f t="shared" ca="1" si="18"/>
        <v>FICHA EN TIEMPO-18 MESES</v>
      </c>
      <c r="BI145" s="19" t="str">
        <f ca="1">IFERROR(__xludf.DUMMYFUNCTION("IFERROR(VLOOKUP(F162,IMPORTRANGE(""https://docs.google.com/spreadsheets/d/1Kvs4KS76FHFqLFIZfrDMff4kP08nblUkihrxltoGBjg/edit#gid=934712705"",""ESENCIAL!A6:BG""),18,FALSE))"),"En ejecucion")</f>
        <v>En ejecucion</v>
      </c>
      <c r="BJ145" s="19" t="str">
        <f t="shared" si="19"/>
        <v>Yamboro</v>
      </c>
      <c r="BK145" s="291"/>
      <c r="BL145" s="19"/>
    </row>
    <row r="146" spans="1:64" s="245" customFormat="1" ht="25">
      <c r="A146" s="486" t="s">
        <v>1423</v>
      </c>
      <c r="B146" s="227" t="s">
        <v>25</v>
      </c>
      <c r="C146" s="487" t="s">
        <v>1488</v>
      </c>
      <c r="D146" s="149" t="s">
        <v>27</v>
      </c>
      <c r="E146" s="149">
        <v>1007502778</v>
      </c>
      <c r="F146" s="360">
        <v>2280193</v>
      </c>
      <c r="G146" s="146" t="str">
        <f ca="1">IFERROR(__xludf.DUMMYFUNCTION("IFERROR(VLOOKUP(F163,IMPORTRANGE(""https://docs.google.com/spreadsheets/d/1Kvs4KS76FHFqLFIZfrDMff4kP08nblUkihrxltoGBjg/edit#gid=934712705"",""ESENCIAL!A6:BG""),3,FALSE))"),"TECNÓLOGO")</f>
        <v>TECNÓLOGO</v>
      </c>
      <c r="H146" s="146" t="str">
        <f ca="1">IFERROR(__xludf.DUMMYFUNCTION("IFERROR(VLOOKUP(F163,IMPORTRANGE(""https://docs.google.com/spreadsheets/d/1Kvs4KS76FHFqLFIZfrDMff4kP08nblUkihrxltoGBjg/edit#gid=934712705"",""ESENCIAL!A6:BG""),8,FALSE))"),"PRODUCCIÓN AGROPECUARIA ECOLÓGICA")</f>
        <v>PRODUCCIÓN AGROPECUARIA ECOLÓGICA</v>
      </c>
      <c r="I146" s="361">
        <v>3209803517</v>
      </c>
      <c r="J146" s="165" t="s">
        <v>1489</v>
      </c>
      <c r="K146" s="154" t="s">
        <v>84</v>
      </c>
      <c r="L146" s="485" t="s">
        <v>28</v>
      </c>
      <c r="M146" s="154" t="s">
        <v>1473</v>
      </c>
      <c r="N146" s="154" t="s">
        <v>1490</v>
      </c>
      <c r="O146" s="361">
        <v>8697245</v>
      </c>
      <c r="P146" s="361" t="s">
        <v>1475</v>
      </c>
      <c r="Q146" s="165" t="s">
        <v>1476</v>
      </c>
      <c r="R146" s="156">
        <v>44573</v>
      </c>
      <c r="S146" s="221">
        <v>44932</v>
      </c>
      <c r="T146" s="275" t="s">
        <v>1491</v>
      </c>
      <c r="U146" s="154" t="s">
        <v>1492</v>
      </c>
      <c r="V146" s="209" t="s">
        <v>1493</v>
      </c>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234"/>
      <c r="AT146" s="234"/>
      <c r="AU146" s="240" t="str">
        <f t="shared" ca="1" si="16"/>
        <v>NO_CUMPLE</v>
      </c>
      <c r="AV146" s="226" t="str">
        <f ca="1">IFERROR(__xludf.DUMMYFUNCTION("IFERROR(VLOOKUP(E163&amp;F163,IMPORTRANGE(""https://docs.google.com/spreadsheets/d/1Uw7-A9f9R21vMXxHZFNpYNeKFtG8_yji4HS352LGlSQ/edit?pli=1#gid=0"",""1_ACUM!A4:S""),11,FALSE))"),"EN FORMACION")</f>
        <v>EN FORMACION</v>
      </c>
      <c r="AW146" s="241" t="str">
        <f ca="1">IFERROR(__xludf.DUMMYFUNCTION("IFERROR(VLOOKUP(F163,IMPORTRANGE(""https://docs.google.com/spreadsheets/d/1Kvs4KS76FHFqLFIZfrDMff4kP08nblUkihrxltoGBjg/edit#gid=934712705"",""ESENCIAL!A6:BG""),15,FALSE))"),"AGROPECUARIO")</f>
        <v>AGROPECUARIO</v>
      </c>
      <c r="AX146" s="242">
        <f ca="1">IFERROR(__xludf.DUMMYFUNCTION("IFERROR(VLOOKUP(E163&amp;F163,IMPORTRANGE(""https://docs.google.com/spreadsheets/d/1Uw7-A9f9R21vMXxHZFNpYNeKFtG8_yji4HS352LGlSQ/edit?pli=1#gid=0"",""1_ACUM!A4:S""),12,FALSE))"),44839)</f>
        <v>44839</v>
      </c>
      <c r="AY146" s="243">
        <f ca="1">IFERROR(__xludf.DUMMYFUNCTION("IFERROR(VLOOKUP(E163&amp;F163,IMPORTRANGE(""https://docs.google.com/spreadsheets/d/1Uw7-A9f9R21vMXxHZFNpYNeKFtG8_yji4HS352LGlSQ/edit?pli=1#gid=0"",""1_ACUM!A4:S""),13,FALSE))"),1)</f>
        <v>1</v>
      </c>
      <c r="AZ146" s="243">
        <f ca="1">IFERROR(__xludf.DUMMYFUNCTION("IFERROR(VLOOKUP(E163&amp;F163,IMPORTRANGE(""https://docs.google.com/spreadsheets/d/1Uw7-A9f9R21vMXxHZFNpYNeKFtG8_yji4HS352LGlSQ/edit?pli=1#gid=0"",""1_ACUM!A4:S""),14,FALSE))"),1)</f>
        <v>1</v>
      </c>
      <c r="BA146" s="243">
        <f ca="1">IFERROR(__xludf.DUMMYFUNCTION("IFERROR(VLOOKUP(E163&amp;F163,IMPORTRANGE(""https://docs.google.com/spreadsheets/d/1Uw7-A9f9R21vMXxHZFNpYNeKFtG8_yji4HS352LGlSQ/edit?pli=1#gid=0"",""1_ACUM!A4:S""),15,FALSE))"),0)</f>
        <v>0</v>
      </c>
      <c r="BB146" s="243">
        <f ca="1">IFERROR(__xludf.DUMMYFUNCTION("IFERROR(VLOOKUP(E163&amp;F163,IMPORTRANGE(""https://docs.google.com/spreadsheets/d/1Uw7-A9f9R21vMXxHZFNpYNeKFtG8_yji4HS352LGlSQ/edit?pli=1#gid=0"",""1_ACUM!A4:S""),16,FALSE))"),9)</f>
        <v>9</v>
      </c>
      <c r="BC146" s="243">
        <f ca="1">IFERROR(__xludf.DUMMYFUNCTION("IFERROR(VLOOKUP(E163&amp;F163,IMPORTRANGE(""https://docs.google.com/spreadsheets/d/1Uw7-A9f9R21vMXxHZFNpYNeKFtG8_yji4HS352LGlSQ/edit?pli=1#gid=0"",""1_ACUM!A4:S""),17,FALSE))"),11)</f>
        <v>11</v>
      </c>
      <c r="BD146" s="244">
        <f ca="1">IFERROR(__xludf.DUMMYFUNCTION("IFERROR(VLOOKUP(E163&amp;F163,IMPORTRANGE(""https://docs.google.com/spreadsheets/d/1Uw7-A9f9R21vMXxHZFNpYNeKFtG8_yji4HS352LGlSQ/edit?pli=1#gid=0"",""1_ACUM!A4:S""),18,FALSE))"),44301)</f>
        <v>44301</v>
      </c>
      <c r="BE146" s="244">
        <f ca="1">IFERROR(__xludf.DUMMYFUNCTION("IFERROR(VLOOKUP(E163&amp;F163,IMPORTRANGE(""https://docs.google.com/spreadsheets/d/1Uw7-A9f9R21vMXxHZFNpYNeKFtG8_yji4HS352LGlSQ/edit?pli=1#gid=0"",""1_ACUM!A4:S""),19,FALSE))"),44848)</f>
        <v>44848</v>
      </c>
      <c r="BF146" s="244">
        <f ca="1">IFERROR(__xludf.DUMMYFUNCTION("IFERROR(VLOOKUP(F163,IMPORTRANGE(""https://docs.google.com/spreadsheets/d/1Kvs4KS76FHFqLFIZfrDMff4kP08nblUkihrxltoGBjg/edit#gid=934712705"",""ESENCIAL!A6:BG""),5,FALSE))"),45030)</f>
        <v>45030</v>
      </c>
      <c r="BG146" s="244">
        <f t="shared" ca="1" si="17"/>
        <v>45579</v>
      </c>
      <c r="BH146" s="240" t="str">
        <f t="shared" ca="1" si="18"/>
        <v>FICHA EN TIEMPO-18 MESES</v>
      </c>
      <c r="BI146" s="240" t="str">
        <f ca="1">IFERROR(__xludf.DUMMYFUNCTION("IFERROR(VLOOKUP(F163,IMPORTRANGE(""https://docs.google.com/spreadsheets/d/1Kvs4KS76FHFqLFIZfrDMff4kP08nblUkihrxltoGBjg/edit#gid=934712705"",""ESENCIAL!A6:BG""),18,FALSE))"),"En ejecucion")</f>
        <v>En ejecucion</v>
      </c>
      <c r="BJ146" s="240" t="str">
        <f t="shared" si="19"/>
        <v>Yamboro</v>
      </c>
      <c r="BK146" s="302"/>
      <c r="BL146" s="240"/>
    </row>
    <row r="147" spans="1:64" ht="24">
      <c r="A147" s="486" t="s">
        <v>1423</v>
      </c>
      <c r="B147" s="145" t="s">
        <v>25</v>
      </c>
      <c r="C147" s="487" t="s">
        <v>1494</v>
      </c>
      <c r="D147" s="474" t="s">
        <v>27</v>
      </c>
      <c r="E147" s="474">
        <v>1007587139</v>
      </c>
      <c r="F147" s="475">
        <v>2280193</v>
      </c>
      <c r="G147" s="476" t="str">
        <f ca="1">IFERROR(__xludf.DUMMYFUNCTION("IFERROR(VLOOKUP(F164,IMPORTRANGE(""https://docs.google.com/spreadsheets/d/1Kvs4KS76FHFqLFIZfrDMff4kP08nblUkihrxltoGBjg/edit#gid=934712705"",""ESENCIAL!A6:BG""),3,FALSE))"),"TECNÓLOGO")</f>
        <v>TECNÓLOGO</v>
      </c>
      <c r="H147" s="476" t="str">
        <f ca="1">IFERROR(__xludf.DUMMYFUNCTION("IFERROR(VLOOKUP(F164,IMPORTRANGE(""https://docs.google.com/spreadsheets/d/1Kvs4KS76FHFqLFIZfrDMff4kP08nblUkihrxltoGBjg/edit#gid=934712705"",""ESENCIAL!A6:BG""),8,FALSE))"),"PRODUCCIÓN AGROPECUARIA ECOLÓGICA")</f>
        <v>PRODUCCIÓN AGROPECUARIA ECOLÓGICA</v>
      </c>
      <c r="I147" s="478"/>
      <c r="J147" s="478"/>
      <c r="K147" s="477"/>
      <c r="L147" s="481" t="s">
        <v>28</v>
      </c>
      <c r="M147" s="477" t="s">
        <v>1429</v>
      </c>
      <c r="N147" s="477" t="s">
        <v>1466</v>
      </c>
      <c r="O147" s="478">
        <v>3205573830</v>
      </c>
      <c r="P147" s="478" t="s">
        <v>84</v>
      </c>
      <c r="Q147" s="478" t="s">
        <v>1467</v>
      </c>
      <c r="R147" s="479">
        <v>44850</v>
      </c>
      <c r="S147" s="480">
        <v>45028</v>
      </c>
      <c r="T147" s="95"/>
      <c r="U147" s="97" t="s">
        <v>444</v>
      </c>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19" t="str">
        <f t="shared" ca="1" si="16"/>
        <v>NO_CUMPLE</v>
      </c>
      <c r="AV147" s="11" t="str">
        <f ca="1">IFERROR(__xludf.DUMMYFUNCTION("IFERROR(VLOOKUP(E164&amp;F164,IMPORTRANGE(""https://docs.google.com/spreadsheets/d/1Uw7-A9f9R21vMXxHZFNpYNeKFtG8_yji4HS352LGlSQ/edit?pli=1#gid=0"",""1_ACUM!A4:S""),11,FALSE))"),"EN FORMACION")</f>
        <v>EN FORMACION</v>
      </c>
      <c r="AW147" s="20" t="str">
        <f ca="1">IFERROR(__xludf.DUMMYFUNCTION("IFERROR(VLOOKUP(F164,IMPORTRANGE(""https://docs.google.com/spreadsheets/d/1Kvs4KS76FHFqLFIZfrDMff4kP08nblUkihrxltoGBjg/edit#gid=934712705"",""ESENCIAL!A6:BG""),15,FALSE))"),"AGROPECUARIO")</f>
        <v>AGROPECUARIO</v>
      </c>
      <c r="AX147" s="21">
        <f ca="1">IFERROR(__xludf.DUMMYFUNCTION("IFERROR(VLOOKUP(E164&amp;F164,IMPORTRANGE(""https://docs.google.com/spreadsheets/d/1Uw7-A9f9R21vMXxHZFNpYNeKFtG8_yji4HS352LGlSQ/edit?pli=1#gid=0"",""1_ACUM!A4:S""),12,FALSE))"),44839)</f>
        <v>44839</v>
      </c>
      <c r="AY147" s="22">
        <f ca="1">IFERROR(__xludf.DUMMYFUNCTION("IFERROR(VLOOKUP(E164&amp;F164,IMPORTRANGE(""https://docs.google.com/spreadsheets/d/1Uw7-A9f9R21vMXxHZFNpYNeKFtG8_yji4HS352LGlSQ/edit?pli=1#gid=0"",""1_ACUM!A4:S""),13,FALSE))"),1)</f>
        <v>1</v>
      </c>
      <c r="AZ147" s="22">
        <f ca="1">IFERROR(__xludf.DUMMYFUNCTION("IFERROR(VLOOKUP(E164&amp;F164,IMPORTRANGE(""https://docs.google.com/spreadsheets/d/1Uw7-A9f9R21vMXxHZFNpYNeKFtG8_yji4HS352LGlSQ/edit?pli=1#gid=0"",""1_ACUM!A4:S""),14,FALSE))"),1)</f>
        <v>1</v>
      </c>
      <c r="BA147" s="22">
        <f ca="1">IFERROR(__xludf.DUMMYFUNCTION("IFERROR(VLOOKUP(E164&amp;F164,IMPORTRANGE(""https://docs.google.com/spreadsheets/d/1Uw7-A9f9R21vMXxHZFNpYNeKFtG8_yji4HS352LGlSQ/edit?pli=1#gid=0"",""1_ACUM!A4:S""),15,FALSE))"),0)</f>
        <v>0</v>
      </c>
      <c r="BB147" s="22">
        <f ca="1">IFERROR(__xludf.DUMMYFUNCTION("IFERROR(VLOOKUP(E164&amp;F164,IMPORTRANGE(""https://docs.google.com/spreadsheets/d/1Uw7-A9f9R21vMXxHZFNpYNeKFtG8_yji4HS352LGlSQ/edit?pli=1#gid=0"",""1_ACUM!A4:S""),16,FALSE))"),7)</f>
        <v>7</v>
      </c>
      <c r="BC147" s="22">
        <f ca="1">IFERROR(__xludf.DUMMYFUNCTION("IFERROR(VLOOKUP(E164&amp;F164,IMPORTRANGE(""https://docs.google.com/spreadsheets/d/1Uw7-A9f9R21vMXxHZFNpYNeKFtG8_yji4HS352LGlSQ/edit?pli=1#gid=0"",""1_ACUM!A4:S""),17,FALSE))"),9)</f>
        <v>9</v>
      </c>
      <c r="BD147" s="23">
        <f ca="1">IFERROR(__xludf.DUMMYFUNCTION("IFERROR(VLOOKUP(E164&amp;F164,IMPORTRANGE(""https://docs.google.com/spreadsheets/d/1Uw7-A9f9R21vMXxHZFNpYNeKFtG8_yji4HS352LGlSQ/edit?pli=1#gid=0"",""1_ACUM!A4:S""),18,FALSE))"),44301)</f>
        <v>44301</v>
      </c>
      <c r="BE147" s="23">
        <f ca="1">IFERROR(__xludf.DUMMYFUNCTION("IFERROR(VLOOKUP(E164&amp;F164,IMPORTRANGE(""https://docs.google.com/spreadsheets/d/1Uw7-A9f9R21vMXxHZFNpYNeKFtG8_yji4HS352LGlSQ/edit?pli=1#gid=0"",""1_ACUM!A4:S""),19,FALSE))"),44848)</f>
        <v>44848</v>
      </c>
      <c r="BF147" s="23">
        <f ca="1">IFERROR(__xludf.DUMMYFUNCTION("IFERROR(VLOOKUP(F164,IMPORTRANGE(""https://docs.google.com/spreadsheets/d/1Kvs4KS76FHFqLFIZfrDMff4kP08nblUkihrxltoGBjg/edit#gid=934712705"",""ESENCIAL!A6:BG""),5,FALSE))"),45030)</f>
        <v>45030</v>
      </c>
      <c r="BG147" s="23">
        <f t="shared" ca="1" si="17"/>
        <v>45579</v>
      </c>
      <c r="BH147" s="19" t="str">
        <f t="shared" ca="1" si="18"/>
        <v>FICHA EN TIEMPO-18 MESES</v>
      </c>
      <c r="BI147" s="19" t="str">
        <f ca="1">IFERROR(__xludf.DUMMYFUNCTION("IFERROR(VLOOKUP(F164,IMPORTRANGE(""https://docs.google.com/spreadsheets/d/1Kvs4KS76FHFqLFIZfrDMff4kP08nblUkihrxltoGBjg/edit#gid=934712705"",""ESENCIAL!A6:BG""),18,FALSE))"),"En ejecucion")</f>
        <v>En ejecucion</v>
      </c>
      <c r="BJ147" s="19" t="str">
        <f t="shared" si="19"/>
        <v>Yamboro</v>
      </c>
      <c r="BK147" s="291"/>
      <c r="BL147" s="19"/>
    </row>
    <row r="148" spans="1:64" ht="25">
      <c r="A148" s="482" t="s">
        <v>1495</v>
      </c>
      <c r="B148" s="145" t="s">
        <v>25</v>
      </c>
      <c r="C148" s="71" t="s">
        <v>1496</v>
      </c>
      <c r="D148" s="57" t="s">
        <v>27</v>
      </c>
      <c r="E148" s="56">
        <v>1007659333</v>
      </c>
      <c r="F148" s="114">
        <v>2280193</v>
      </c>
      <c r="G148" s="11" t="str">
        <f ca="1">IFERROR(__xludf.DUMMYFUNCTION("IFERROR(VLOOKUP(F165,IMPORTRANGE(""https://docs.google.com/spreadsheets/d/1Kvs4KS76FHFqLFIZfrDMff4kP08nblUkihrxltoGBjg/edit#gid=934712705"",""ESENCIAL!A6:BG""),3,FALSE))"),"TECNÓLOGO")</f>
        <v>TECNÓLOGO</v>
      </c>
      <c r="H148" s="11" t="str">
        <f ca="1">IFERROR(__xludf.DUMMYFUNCTION("IFERROR(VLOOKUP(F165,IMPORTRANGE(""https://docs.google.com/spreadsheets/d/1Kvs4KS76FHFqLFIZfrDMff4kP08nblUkihrxltoGBjg/edit#gid=934712705"",""ESENCIAL!A6:BG""),8,FALSE))"),"PRODUCCIÓN AGROPECUARIA ECOLÓGICA")</f>
        <v>PRODUCCIÓN AGROPECUARIA ECOLÓGICA</v>
      </c>
      <c r="I148" s="142">
        <v>3224177945</v>
      </c>
      <c r="J148" s="142" t="s">
        <v>1497</v>
      </c>
      <c r="K148" s="30" t="s">
        <v>84</v>
      </c>
      <c r="L148" s="62" t="s">
        <v>28</v>
      </c>
      <c r="M148" s="54" t="s">
        <v>1498</v>
      </c>
      <c r="N148" s="54" t="s">
        <v>1499</v>
      </c>
      <c r="O148" s="142">
        <v>3134782736</v>
      </c>
      <c r="P148" s="142" t="s">
        <v>96</v>
      </c>
      <c r="Q148" s="142" t="s">
        <v>1486</v>
      </c>
      <c r="R148" s="88">
        <v>44850</v>
      </c>
      <c r="S148" s="181">
        <v>45053</v>
      </c>
      <c r="T148" s="89" t="s">
        <v>1462</v>
      </c>
      <c r="U148" s="154" t="s">
        <v>1463</v>
      </c>
      <c r="V148" s="209" t="s">
        <v>1447</v>
      </c>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19" t="str">
        <f t="shared" ca="1" si="16"/>
        <v>NO_CUMPLE</v>
      </c>
      <c r="AV148" s="11" t="str">
        <f ca="1">IFERROR(__xludf.DUMMYFUNCTION("IFERROR(VLOOKUP(E165&amp;F165,IMPORTRANGE(""https://docs.google.com/spreadsheets/d/1Uw7-A9f9R21vMXxHZFNpYNeKFtG8_yji4HS352LGlSQ/edit?pli=1#gid=0"",""1_ACUM!A4:S""),11,FALSE))"),"EN FORMACION")</f>
        <v>EN FORMACION</v>
      </c>
      <c r="AW148" s="20" t="str">
        <f ca="1">IFERROR(__xludf.DUMMYFUNCTION("IFERROR(VLOOKUP(F165,IMPORTRANGE(""https://docs.google.com/spreadsheets/d/1Kvs4KS76FHFqLFIZfrDMff4kP08nblUkihrxltoGBjg/edit#gid=934712705"",""ESENCIAL!A6:BG""),15,FALSE))"),"AGROPECUARIO")</f>
        <v>AGROPECUARIO</v>
      </c>
      <c r="AX148" s="21">
        <f ca="1">IFERROR(__xludf.DUMMYFUNCTION("IFERROR(VLOOKUP(E165&amp;F165,IMPORTRANGE(""https://docs.google.com/spreadsheets/d/1Uw7-A9f9R21vMXxHZFNpYNeKFtG8_yji4HS352LGlSQ/edit?pli=1#gid=0"",""1_ACUM!A4:S""),12,FALSE))"),44839)</f>
        <v>44839</v>
      </c>
      <c r="AY148" s="22">
        <f ca="1">IFERROR(__xludf.DUMMYFUNCTION("IFERROR(VLOOKUP(E165&amp;F165,IMPORTRANGE(""https://docs.google.com/spreadsheets/d/1Uw7-A9f9R21vMXxHZFNpYNeKFtG8_yji4HS352LGlSQ/edit?pli=1#gid=0"",""1_ACUM!A4:S""),13,FALSE))"),1)</f>
        <v>1</v>
      </c>
      <c r="AZ148" s="22">
        <f ca="1">IFERROR(__xludf.DUMMYFUNCTION("IFERROR(VLOOKUP(E165&amp;F165,IMPORTRANGE(""https://docs.google.com/spreadsheets/d/1Uw7-A9f9R21vMXxHZFNpYNeKFtG8_yji4HS352LGlSQ/edit?pli=1#gid=0"",""1_ACUM!A4:S""),14,FALSE))"),1)</f>
        <v>1</v>
      </c>
      <c r="BA148" s="22">
        <f ca="1">IFERROR(__xludf.DUMMYFUNCTION("IFERROR(VLOOKUP(E165&amp;F165,IMPORTRANGE(""https://docs.google.com/spreadsheets/d/1Uw7-A9f9R21vMXxHZFNpYNeKFtG8_yji4HS352LGlSQ/edit?pli=1#gid=0"",""1_ACUM!A4:S""),15,FALSE))"),0)</f>
        <v>0</v>
      </c>
      <c r="BB148" s="22">
        <f ca="1">IFERROR(__xludf.DUMMYFUNCTION("IFERROR(VLOOKUP(E165&amp;F165,IMPORTRANGE(""https://docs.google.com/spreadsheets/d/1Uw7-A9f9R21vMXxHZFNpYNeKFtG8_yji4HS352LGlSQ/edit?pli=1#gid=0"",""1_ACUM!A4:S""),16,FALSE))"),7)</f>
        <v>7</v>
      </c>
      <c r="BC148" s="22">
        <f ca="1">IFERROR(__xludf.DUMMYFUNCTION("IFERROR(VLOOKUP(E165&amp;F165,IMPORTRANGE(""https://docs.google.com/spreadsheets/d/1Uw7-A9f9R21vMXxHZFNpYNeKFtG8_yji4HS352LGlSQ/edit?pli=1#gid=0"",""1_ACUM!A4:S""),17,FALSE))"),9)</f>
        <v>9</v>
      </c>
      <c r="BD148" s="23">
        <f ca="1">IFERROR(__xludf.DUMMYFUNCTION("IFERROR(VLOOKUP(E165&amp;F165,IMPORTRANGE(""https://docs.google.com/spreadsheets/d/1Uw7-A9f9R21vMXxHZFNpYNeKFtG8_yji4HS352LGlSQ/edit?pli=1#gid=0"",""1_ACUM!A4:S""),18,FALSE))"),44301)</f>
        <v>44301</v>
      </c>
      <c r="BE148" s="23">
        <f ca="1">IFERROR(__xludf.DUMMYFUNCTION("IFERROR(VLOOKUP(E165&amp;F165,IMPORTRANGE(""https://docs.google.com/spreadsheets/d/1Uw7-A9f9R21vMXxHZFNpYNeKFtG8_yji4HS352LGlSQ/edit?pli=1#gid=0"",""1_ACUM!A4:S""),19,FALSE))"),44848)</f>
        <v>44848</v>
      </c>
      <c r="BF148" s="23">
        <f ca="1">IFERROR(__xludf.DUMMYFUNCTION("IFERROR(VLOOKUP(F165,IMPORTRANGE(""https://docs.google.com/spreadsheets/d/1Kvs4KS76FHFqLFIZfrDMff4kP08nblUkihrxltoGBjg/edit#gid=934712705"",""ESENCIAL!A6:BG""),5,FALSE))"),45030)</f>
        <v>45030</v>
      </c>
      <c r="BG148" s="23">
        <f t="shared" ca="1" si="17"/>
        <v>45579</v>
      </c>
      <c r="BH148" s="19" t="str">
        <f t="shared" ca="1" si="18"/>
        <v>FICHA EN TIEMPO-18 MESES</v>
      </c>
      <c r="BI148" s="19" t="str">
        <f ca="1">IFERROR(__xludf.DUMMYFUNCTION("IFERROR(VLOOKUP(F165,IMPORTRANGE(""https://docs.google.com/spreadsheets/d/1Kvs4KS76FHFqLFIZfrDMff4kP08nblUkihrxltoGBjg/edit#gid=934712705"",""ESENCIAL!A6:BG""),18,FALSE))"),"En ejecucion")</f>
        <v>En ejecucion</v>
      </c>
      <c r="BJ148" s="19" t="str">
        <f t="shared" si="19"/>
        <v>Yamboro</v>
      </c>
      <c r="BK148" s="291"/>
      <c r="BL148" s="19"/>
    </row>
    <row r="149" spans="1:64" ht="24">
      <c r="A149" s="482" t="s">
        <v>1495</v>
      </c>
      <c r="B149" s="145" t="s">
        <v>25</v>
      </c>
      <c r="C149" s="71" t="s">
        <v>1500</v>
      </c>
      <c r="D149" s="57" t="s">
        <v>27</v>
      </c>
      <c r="E149" s="57">
        <v>1081728132</v>
      </c>
      <c r="F149" s="114">
        <v>2280193</v>
      </c>
      <c r="G149" s="11" t="str">
        <f ca="1">IFERROR(__xludf.DUMMYFUNCTION("IFERROR(VLOOKUP(F166,IMPORTRANGE(""https://docs.google.com/spreadsheets/d/1Kvs4KS76FHFqLFIZfrDMff4kP08nblUkihrxltoGBjg/edit#gid=934712705"",""ESENCIAL!A6:BG""),3,FALSE))"),"TECNÓLOGO")</f>
        <v>TECNÓLOGO</v>
      </c>
      <c r="H149" s="11" t="str">
        <f ca="1">IFERROR(__xludf.DUMMYFUNCTION("IFERROR(VLOOKUP(F166,IMPORTRANGE(""https://docs.google.com/spreadsheets/d/1Kvs4KS76FHFqLFIZfrDMff4kP08nblUkihrxltoGBjg/edit#gid=934712705"",""ESENCIAL!A6:BG""),8,FALSE))"),"PRODUCCIÓN AGROPECUARIA ECOLÓGICA")</f>
        <v>PRODUCCIÓN AGROPECUARIA ECOLÓGICA</v>
      </c>
      <c r="I149" s="142"/>
      <c r="J149" s="142"/>
      <c r="K149" s="30"/>
      <c r="L149" s="113" t="s">
        <v>28</v>
      </c>
      <c r="M149" s="54" t="s">
        <v>697</v>
      </c>
      <c r="N149" s="54" t="s">
        <v>698</v>
      </c>
      <c r="O149" s="142">
        <v>3144594623</v>
      </c>
      <c r="P149" s="142" t="s">
        <v>81</v>
      </c>
      <c r="Q149" s="182" t="s">
        <v>1501</v>
      </c>
      <c r="R149" s="88">
        <v>44784</v>
      </c>
      <c r="S149" s="181">
        <v>45112</v>
      </c>
      <c r="T149" s="95"/>
      <c r="U149" s="30" t="s">
        <v>444</v>
      </c>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19" t="str">
        <f t="shared" ref="AU149:AU180" ca="1" si="20">IF(E149&gt;0,IF(AND(BC149=1,AZ149=1),"Procede_E_P","NO_CUMPLE"),"")</f>
        <v>NO_CUMPLE</v>
      </c>
      <c r="AV149" s="11" t="str">
        <f ca="1">IFERROR(__xludf.DUMMYFUNCTION("IFERROR(VLOOKUP(E166&amp;F166,IMPORTRANGE(""https://docs.google.com/spreadsheets/d/1Uw7-A9f9R21vMXxHZFNpYNeKFtG8_yji4HS352LGlSQ/edit?pli=1#gid=0"",""1_ACUM!A4:S""),11,FALSE))"),"EN FORMACION")</f>
        <v>EN FORMACION</v>
      </c>
      <c r="AW149" s="20" t="str">
        <f ca="1">IFERROR(__xludf.DUMMYFUNCTION("IFERROR(VLOOKUP(F166,IMPORTRANGE(""https://docs.google.com/spreadsheets/d/1Kvs4KS76FHFqLFIZfrDMff4kP08nblUkihrxltoGBjg/edit#gid=934712705"",""ESENCIAL!A6:BG""),15,FALSE))"),"AGROPECUARIO")</f>
        <v>AGROPECUARIO</v>
      </c>
      <c r="AX149" s="21">
        <f ca="1">IFERROR(__xludf.DUMMYFUNCTION("IFERROR(VLOOKUP(E166&amp;F166,IMPORTRANGE(""https://docs.google.com/spreadsheets/d/1Uw7-A9f9R21vMXxHZFNpYNeKFtG8_yji4HS352LGlSQ/edit?pli=1#gid=0"",""1_ACUM!A4:S""),12,FALSE))"),44839)</f>
        <v>44839</v>
      </c>
      <c r="AY149" s="22">
        <f ca="1">IFERROR(__xludf.DUMMYFUNCTION("IFERROR(VLOOKUP(E166&amp;F166,IMPORTRANGE(""https://docs.google.com/spreadsheets/d/1Uw7-A9f9R21vMXxHZFNpYNeKFtG8_yji4HS352LGlSQ/edit?pli=1#gid=0"",""1_ACUM!A4:S""),13,FALSE))"),1)</f>
        <v>1</v>
      </c>
      <c r="AZ149" s="22">
        <f ca="1">IFERROR(__xludf.DUMMYFUNCTION("IFERROR(VLOOKUP(E166&amp;F166,IMPORTRANGE(""https://docs.google.com/spreadsheets/d/1Uw7-A9f9R21vMXxHZFNpYNeKFtG8_yji4HS352LGlSQ/edit?pli=1#gid=0"",""1_ACUM!A4:S""),14,FALSE))"),1)</f>
        <v>1</v>
      </c>
      <c r="BA149" s="22">
        <f ca="1">IFERROR(__xludf.DUMMYFUNCTION("IFERROR(VLOOKUP(E166&amp;F166,IMPORTRANGE(""https://docs.google.com/spreadsheets/d/1Uw7-A9f9R21vMXxHZFNpYNeKFtG8_yji4HS352LGlSQ/edit?pli=1#gid=0"",""1_ACUM!A4:S""),15,FALSE))"),0)</f>
        <v>0</v>
      </c>
      <c r="BB149" s="22">
        <f ca="1">IFERROR(__xludf.DUMMYFUNCTION("IFERROR(VLOOKUP(E166&amp;F166,IMPORTRANGE(""https://docs.google.com/spreadsheets/d/1Uw7-A9f9R21vMXxHZFNpYNeKFtG8_yji4HS352LGlSQ/edit?pli=1#gid=0"",""1_ACUM!A4:S""),16,FALSE))"),8)</f>
        <v>8</v>
      </c>
      <c r="BC149" s="22">
        <f ca="1">IFERROR(__xludf.DUMMYFUNCTION("IFERROR(VLOOKUP(E166&amp;F166,IMPORTRANGE(""https://docs.google.com/spreadsheets/d/1Uw7-A9f9R21vMXxHZFNpYNeKFtG8_yji4HS352LGlSQ/edit?pli=1#gid=0"",""1_ACUM!A4:S""),17,FALSE))"),10)</f>
        <v>10</v>
      </c>
      <c r="BD149" s="23">
        <f ca="1">IFERROR(__xludf.DUMMYFUNCTION("IFERROR(VLOOKUP(E166&amp;F166,IMPORTRANGE(""https://docs.google.com/spreadsheets/d/1Uw7-A9f9R21vMXxHZFNpYNeKFtG8_yji4HS352LGlSQ/edit?pli=1#gid=0"",""1_ACUM!A4:S""),18,FALSE))"),44301)</f>
        <v>44301</v>
      </c>
      <c r="BE149" s="23">
        <f ca="1">IFERROR(__xludf.DUMMYFUNCTION("IFERROR(VLOOKUP(E166&amp;F166,IMPORTRANGE(""https://docs.google.com/spreadsheets/d/1Uw7-A9f9R21vMXxHZFNpYNeKFtG8_yji4HS352LGlSQ/edit?pli=1#gid=0"",""1_ACUM!A4:S""),19,FALSE))"),44848)</f>
        <v>44848</v>
      </c>
      <c r="BF149" s="23">
        <f ca="1">IFERROR(__xludf.DUMMYFUNCTION("IFERROR(VLOOKUP(F166,IMPORTRANGE(""https://docs.google.com/spreadsheets/d/1Kvs4KS76FHFqLFIZfrDMff4kP08nblUkihrxltoGBjg/edit#gid=934712705"",""ESENCIAL!A6:BG""),5,FALSE))"),45030)</f>
        <v>45030</v>
      </c>
      <c r="BG149" s="23">
        <f t="shared" ref="BG149:BG180" ca="1" si="21">IF(F149&gt;0,EDATE(BF149,18),"")</f>
        <v>45579</v>
      </c>
      <c r="BH149" s="19" t="str">
        <f t="shared" ref="BH149:BH180" ca="1" si="22">IF(F149&gt;0,IF(BG149&lt;$BH$1,"FINALIZAR FICHA","FICHA EN TIEMPO-18 MESES"),"")</f>
        <v>FICHA EN TIEMPO-18 MESES</v>
      </c>
      <c r="BI149" s="19" t="str">
        <f ca="1">IFERROR(__xludf.DUMMYFUNCTION("IFERROR(VLOOKUP(F166,IMPORTRANGE(""https://docs.google.com/spreadsheets/d/1Kvs4KS76FHFqLFIZfrDMff4kP08nblUkihrxltoGBjg/edit#gid=934712705"",""ESENCIAL!A6:BG""),18,FALSE))"),"En ejecucion")</f>
        <v>En ejecucion</v>
      </c>
      <c r="BJ149" s="19" t="str">
        <f t="shared" ref="BJ149:BJ180" si="23">IF(F149&gt;0,"Yamboro","")</f>
        <v>Yamboro</v>
      </c>
      <c r="BK149" s="291"/>
      <c r="BL149" s="19"/>
    </row>
    <row r="150" spans="1:64" ht="24">
      <c r="A150" s="482" t="s">
        <v>1495</v>
      </c>
      <c r="B150" s="145" t="s">
        <v>25</v>
      </c>
      <c r="C150" s="473" t="s">
        <v>1502</v>
      </c>
      <c r="D150" s="474" t="s">
        <v>27</v>
      </c>
      <c r="E150" s="474">
        <v>1082124321</v>
      </c>
      <c r="F150" s="475">
        <v>2280193</v>
      </c>
      <c r="G150" s="476" t="str">
        <f ca="1">IFERROR(__xludf.DUMMYFUNCTION("IFERROR(VLOOKUP(F167,IMPORTRANGE(""https://docs.google.com/spreadsheets/d/1Kvs4KS76FHFqLFIZfrDMff4kP08nblUkihrxltoGBjg/edit#gid=934712705"",""ESENCIAL!A6:BG""),3,FALSE))"),"TECNÓLOGO")</f>
        <v>TECNÓLOGO</v>
      </c>
      <c r="H150" s="476" t="str">
        <f ca="1">IFERROR(__xludf.DUMMYFUNCTION("IFERROR(VLOOKUP(F167,IMPORTRANGE(""https://docs.google.com/spreadsheets/d/1Kvs4KS76FHFqLFIZfrDMff4kP08nblUkihrxltoGBjg/edit#gid=934712705"",""ESENCIAL!A6:BG""),8,FALSE))"),"PRODUCCIÓN AGROPECUARIA ECOLÓGICA")</f>
        <v>PRODUCCIÓN AGROPECUARIA ECOLÓGICA</v>
      </c>
      <c r="I150" s="478"/>
      <c r="J150" s="478"/>
      <c r="K150" s="477"/>
      <c r="L150" s="481" t="s">
        <v>28</v>
      </c>
      <c r="M150" s="477" t="s">
        <v>1429</v>
      </c>
      <c r="N150" s="477" t="s">
        <v>1466</v>
      </c>
      <c r="O150" s="478">
        <v>3205573830</v>
      </c>
      <c r="P150" s="478" t="s">
        <v>84</v>
      </c>
      <c r="Q150" s="478" t="s">
        <v>1467</v>
      </c>
      <c r="R150" s="479">
        <v>44850</v>
      </c>
      <c r="S150" s="480">
        <v>45028</v>
      </c>
      <c r="T150" s="95"/>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19" t="str">
        <f t="shared" ca="1" si="20"/>
        <v>NO_CUMPLE</v>
      </c>
      <c r="AV150" s="11" t="str">
        <f ca="1">IFERROR(__xludf.DUMMYFUNCTION("IFERROR(VLOOKUP(E167&amp;F167,IMPORTRANGE(""https://docs.google.com/spreadsheets/d/1Uw7-A9f9R21vMXxHZFNpYNeKFtG8_yji4HS352LGlSQ/edit?pli=1#gid=0"",""1_ACUM!A4:S""),11,FALSE))"),"EN FORMACION")</f>
        <v>EN FORMACION</v>
      </c>
      <c r="AW150" s="20" t="str">
        <f ca="1">IFERROR(__xludf.DUMMYFUNCTION("IFERROR(VLOOKUP(F167,IMPORTRANGE(""https://docs.google.com/spreadsheets/d/1Kvs4KS76FHFqLFIZfrDMff4kP08nblUkihrxltoGBjg/edit#gid=934712705"",""ESENCIAL!A6:BG""),15,FALSE))"),"AGROPECUARIO")</f>
        <v>AGROPECUARIO</v>
      </c>
      <c r="AX150" s="21">
        <f ca="1">IFERROR(__xludf.DUMMYFUNCTION("IFERROR(VLOOKUP(E167&amp;F167,IMPORTRANGE(""https://docs.google.com/spreadsheets/d/1Uw7-A9f9R21vMXxHZFNpYNeKFtG8_yji4HS352LGlSQ/edit?pli=1#gid=0"",""1_ACUM!A4:S""),12,FALSE))"),44839)</f>
        <v>44839</v>
      </c>
      <c r="AY150" s="22">
        <f ca="1">IFERROR(__xludf.DUMMYFUNCTION("IFERROR(VLOOKUP(E167&amp;F167,IMPORTRANGE(""https://docs.google.com/spreadsheets/d/1Uw7-A9f9R21vMXxHZFNpYNeKFtG8_yji4HS352LGlSQ/edit?pli=1#gid=0"",""1_ACUM!A4:S""),13,FALSE))"),1)</f>
        <v>1</v>
      </c>
      <c r="AZ150" s="22">
        <f ca="1">IFERROR(__xludf.DUMMYFUNCTION("IFERROR(VLOOKUP(E167&amp;F167,IMPORTRANGE(""https://docs.google.com/spreadsheets/d/1Uw7-A9f9R21vMXxHZFNpYNeKFtG8_yji4HS352LGlSQ/edit?pli=1#gid=0"",""1_ACUM!A4:S""),14,FALSE))"),1)</f>
        <v>1</v>
      </c>
      <c r="BA150" s="22">
        <f ca="1">IFERROR(__xludf.DUMMYFUNCTION("IFERROR(VLOOKUP(E167&amp;F167,IMPORTRANGE(""https://docs.google.com/spreadsheets/d/1Uw7-A9f9R21vMXxHZFNpYNeKFtG8_yji4HS352LGlSQ/edit?pli=1#gid=0"",""1_ACUM!A4:S""),15,FALSE))"),0)</f>
        <v>0</v>
      </c>
      <c r="BB150" s="22">
        <f ca="1">IFERROR(__xludf.DUMMYFUNCTION("IFERROR(VLOOKUP(E167&amp;F167,IMPORTRANGE(""https://docs.google.com/spreadsheets/d/1Uw7-A9f9R21vMXxHZFNpYNeKFtG8_yji4HS352LGlSQ/edit?pli=1#gid=0"",""1_ACUM!A4:S""),16,FALSE))"),7)</f>
        <v>7</v>
      </c>
      <c r="BC150" s="22">
        <f ca="1">IFERROR(__xludf.DUMMYFUNCTION("IFERROR(VLOOKUP(E167&amp;F167,IMPORTRANGE(""https://docs.google.com/spreadsheets/d/1Uw7-A9f9R21vMXxHZFNpYNeKFtG8_yji4HS352LGlSQ/edit?pli=1#gid=0"",""1_ACUM!A4:S""),17,FALSE))"),9)</f>
        <v>9</v>
      </c>
      <c r="BD150" s="23">
        <f ca="1">IFERROR(__xludf.DUMMYFUNCTION("IFERROR(VLOOKUP(E167&amp;F167,IMPORTRANGE(""https://docs.google.com/spreadsheets/d/1Uw7-A9f9R21vMXxHZFNpYNeKFtG8_yji4HS352LGlSQ/edit?pli=1#gid=0"",""1_ACUM!A4:S""),18,FALSE))"),44301)</f>
        <v>44301</v>
      </c>
      <c r="BE150" s="23">
        <f ca="1">IFERROR(__xludf.DUMMYFUNCTION("IFERROR(VLOOKUP(E167&amp;F167,IMPORTRANGE(""https://docs.google.com/spreadsheets/d/1Uw7-A9f9R21vMXxHZFNpYNeKFtG8_yji4HS352LGlSQ/edit?pli=1#gid=0"",""1_ACUM!A4:S""),19,FALSE))"),44848)</f>
        <v>44848</v>
      </c>
      <c r="BF150" s="23">
        <f ca="1">IFERROR(__xludf.DUMMYFUNCTION("IFERROR(VLOOKUP(F167,IMPORTRANGE(""https://docs.google.com/spreadsheets/d/1Kvs4KS76FHFqLFIZfrDMff4kP08nblUkihrxltoGBjg/edit#gid=934712705"",""ESENCIAL!A6:BG""),5,FALSE))"),45030)</f>
        <v>45030</v>
      </c>
      <c r="BG150" s="23">
        <f t="shared" ca="1" si="21"/>
        <v>45579</v>
      </c>
      <c r="BH150" s="19" t="str">
        <f t="shared" ca="1" si="22"/>
        <v>FICHA EN TIEMPO-18 MESES</v>
      </c>
      <c r="BI150" s="19" t="str">
        <f ca="1">IFERROR(__xludf.DUMMYFUNCTION("IFERROR(VLOOKUP(F167,IMPORTRANGE(""https://docs.google.com/spreadsheets/d/1Kvs4KS76FHFqLFIZfrDMff4kP08nblUkihrxltoGBjg/edit#gid=934712705"",""ESENCIAL!A6:BG""),18,FALSE))"),"En ejecucion")</f>
        <v>En ejecucion</v>
      </c>
      <c r="BJ150" s="19" t="str">
        <f t="shared" si="23"/>
        <v>Yamboro</v>
      </c>
      <c r="BK150" s="291"/>
      <c r="BL150" s="19"/>
    </row>
    <row r="151" spans="1:64" ht="24">
      <c r="A151" s="482" t="s">
        <v>1495</v>
      </c>
      <c r="B151" s="145" t="s">
        <v>25</v>
      </c>
      <c r="C151" s="473" t="s">
        <v>1503</v>
      </c>
      <c r="D151" s="474" t="s">
        <v>27</v>
      </c>
      <c r="E151" s="474">
        <v>1083864129</v>
      </c>
      <c r="F151" s="475">
        <v>2280193</v>
      </c>
      <c r="G151" s="476" t="str">
        <f ca="1">IFERROR(__xludf.DUMMYFUNCTION("IFERROR(VLOOKUP(F168,IMPORTRANGE(""https://docs.google.com/spreadsheets/d/1Kvs4KS76FHFqLFIZfrDMff4kP08nblUkihrxltoGBjg/edit#gid=934712705"",""ESENCIAL!A6:BG""),3,FALSE))"),"TECNÓLOGO")</f>
        <v>TECNÓLOGO</v>
      </c>
      <c r="H151" s="476" t="str">
        <f ca="1">IFERROR(__xludf.DUMMYFUNCTION("IFERROR(VLOOKUP(F168,IMPORTRANGE(""https://docs.google.com/spreadsheets/d/1Kvs4KS76FHFqLFIZfrDMff4kP08nblUkihrxltoGBjg/edit#gid=934712705"",""ESENCIAL!A6:BG""),8,FALSE))"),"PRODUCCIÓN AGROPECUARIA ECOLÓGICA")</f>
        <v>PRODUCCIÓN AGROPECUARIA ECOLÓGICA</v>
      </c>
      <c r="I151" s="478"/>
      <c r="J151" s="478"/>
      <c r="K151" s="477"/>
      <c r="L151" s="481" t="s">
        <v>28</v>
      </c>
      <c r="M151" s="477" t="s">
        <v>1504</v>
      </c>
      <c r="N151" s="477" t="s">
        <v>1505</v>
      </c>
      <c r="O151" s="478">
        <v>3205573830</v>
      </c>
      <c r="P151" s="478" t="s">
        <v>84</v>
      </c>
      <c r="Q151" s="478" t="s">
        <v>1506</v>
      </c>
      <c r="R151" s="479">
        <v>44850</v>
      </c>
      <c r="S151" s="480">
        <v>45029</v>
      </c>
      <c r="T151" s="95"/>
      <c r="U151" s="97" t="s">
        <v>1456</v>
      </c>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19" t="str">
        <f t="shared" ca="1" si="20"/>
        <v>NO_CUMPLE</v>
      </c>
      <c r="AV151" s="11" t="str">
        <f ca="1">IFERROR(__xludf.DUMMYFUNCTION("IFERROR(VLOOKUP(E168&amp;F168,IMPORTRANGE(""https://docs.google.com/spreadsheets/d/1Uw7-A9f9R21vMXxHZFNpYNeKFtG8_yji4HS352LGlSQ/edit?pli=1#gid=0"",""1_ACUM!A4:S""),11,FALSE))"),"EN FORMACION")</f>
        <v>EN FORMACION</v>
      </c>
      <c r="AW151" s="20" t="str">
        <f ca="1">IFERROR(__xludf.DUMMYFUNCTION("IFERROR(VLOOKUP(F168,IMPORTRANGE(""https://docs.google.com/spreadsheets/d/1Kvs4KS76FHFqLFIZfrDMff4kP08nblUkihrxltoGBjg/edit#gid=934712705"",""ESENCIAL!A6:BG""),15,FALSE))"),"AGROPECUARIO")</f>
        <v>AGROPECUARIO</v>
      </c>
      <c r="AX151" s="21">
        <f ca="1">IFERROR(__xludf.DUMMYFUNCTION("IFERROR(VLOOKUP(E168&amp;F168,IMPORTRANGE(""https://docs.google.com/spreadsheets/d/1Uw7-A9f9R21vMXxHZFNpYNeKFtG8_yji4HS352LGlSQ/edit?pli=1#gid=0"",""1_ACUM!A4:S""),12,FALSE))"),44839)</f>
        <v>44839</v>
      </c>
      <c r="AY151" s="22">
        <f ca="1">IFERROR(__xludf.DUMMYFUNCTION("IFERROR(VLOOKUP(E168&amp;F168,IMPORTRANGE(""https://docs.google.com/spreadsheets/d/1Uw7-A9f9R21vMXxHZFNpYNeKFtG8_yji4HS352LGlSQ/edit?pli=1#gid=0"",""1_ACUM!A4:S""),13,FALSE))"),1)</f>
        <v>1</v>
      </c>
      <c r="AZ151" s="22">
        <f ca="1">IFERROR(__xludf.DUMMYFUNCTION("IFERROR(VLOOKUP(E168&amp;F168,IMPORTRANGE(""https://docs.google.com/spreadsheets/d/1Uw7-A9f9R21vMXxHZFNpYNeKFtG8_yji4HS352LGlSQ/edit?pli=1#gid=0"",""1_ACUM!A4:S""),14,FALSE))"),1)</f>
        <v>1</v>
      </c>
      <c r="BA151" s="22">
        <f ca="1">IFERROR(__xludf.DUMMYFUNCTION("IFERROR(VLOOKUP(E168&amp;F168,IMPORTRANGE(""https://docs.google.com/spreadsheets/d/1Uw7-A9f9R21vMXxHZFNpYNeKFtG8_yji4HS352LGlSQ/edit?pli=1#gid=0"",""1_ACUM!A4:S""),15,FALSE))"),0)</f>
        <v>0</v>
      </c>
      <c r="BB151" s="22">
        <f ca="1">IFERROR(__xludf.DUMMYFUNCTION("IFERROR(VLOOKUP(E168&amp;F168,IMPORTRANGE(""https://docs.google.com/spreadsheets/d/1Uw7-A9f9R21vMXxHZFNpYNeKFtG8_yji4HS352LGlSQ/edit?pli=1#gid=0"",""1_ACUM!A4:S""),16,FALSE))"),8)</f>
        <v>8</v>
      </c>
      <c r="BC151" s="22">
        <f ca="1">IFERROR(__xludf.DUMMYFUNCTION("IFERROR(VLOOKUP(E168&amp;F168,IMPORTRANGE(""https://docs.google.com/spreadsheets/d/1Uw7-A9f9R21vMXxHZFNpYNeKFtG8_yji4HS352LGlSQ/edit?pli=1#gid=0"",""1_ACUM!A4:S""),17,FALSE))"),10)</f>
        <v>10</v>
      </c>
      <c r="BD151" s="23">
        <f ca="1">IFERROR(__xludf.DUMMYFUNCTION("IFERROR(VLOOKUP(E168&amp;F168,IMPORTRANGE(""https://docs.google.com/spreadsheets/d/1Uw7-A9f9R21vMXxHZFNpYNeKFtG8_yji4HS352LGlSQ/edit?pli=1#gid=0"",""1_ACUM!A4:S""),18,FALSE))"),44301)</f>
        <v>44301</v>
      </c>
      <c r="BE151" s="23">
        <f ca="1">IFERROR(__xludf.DUMMYFUNCTION("IFERROR(VLOOKUP(E168&amp;F168,IMPORTRANGE(""https://docs.google.com/spreadsheets/d/1Uw7-A9f9R21vMXxHZFNpYNeKFtG8_yji4HS352LGlSQ/edit?pli=1#gid=0"",""1_ACUM!A4:S""),19,FALSE))"),44848)</f>
        <v>44848</v>
      </c>
      <c r="BF151" s="23">
        <f ca="1">IFERROR(__xludf.DUMMYFUNCTION("IFERROR(VLOOKUP(F168,IMPORTRANGE(""https://docs.google.com/spreadsheets/d/1Kvs4KS76FHFqLFIZfrDMff4kP08nblUkihrxltoGBjg/edit#gid=934712705"",""ESENCIAL!A6:BG""),5,FALSE))"),45030)</f>
        <v>45030</v>
      </c>
      <c r="BG151" s="23">
        <f t="shared" ca="1" si="21"/>
        <v>45579</v>
      </c>
      <c r="BH151" s="19" t="str">
        <f t="shared" ca="1" si="22"/>
        <v>FICHA EN TIEMPO-18 MESES</v>
      </c>
      <c r="BI151" s="19" t="str">
        <f ca="1">IFERROR(__xludf.DUMMYFUNCTION("IFERROR(VLOOKUP(F168,IMPORTRANGE(""https://docs.google.com/spreadsheets/d/1Kvs4KS76FHFqLFIZfrDMff4kP08nblUkihrxltoGBjg/edit#gid=934712705"",""ESENCIAL!A6:BG""),18,FALSE))"),"En ejecucion")</f>
        <v>En ejecucion</v>
      </c>
      <c r="BJ151" s="19" t="str">
        <f t="shared" si="23"/>
        <v>Yamboro</v>
      </c>
      <c r="BK151" s="291"/>
      <c r="BL151" s="19"/>
    </row>
    <row r="152" spans="1:64" ht="24">
      <c r="A152" s="482" t="s">
        <v>1495</v>
      </c>
      <c r="B152" s="145" t="s">
        <v>25</v>
      </c>
      <c r="C152" s="71" t="s">
        <v>1507</v>
      </c>
      <c r="D152" s="57" t="s">
        <v>27</v>
      </c>
      <c r="E152" s="57">
        <v>1083883612</v>
      </c>
      <c r="F152" s="114">
        <v>2280193</v>
      </c>
      <c r="G152" s="11" t="str">
        <f ca="1">IFERROR(__xludf.DUMMYFUNCTION("IFERROR(VLOOKUP(F169,IMPORTRANGE(""https://docs.google.com/spreadsheets/d/1Kvs4KS76FHFqLFIZfrDMff4kP08nblUkihrxltoGBjg/edit#gid=934712705"",""ESENCIAL!A6:BG""),3,FALSE))"),"TECNÓLOGO")</f>
        <v>TECNÓLOGO</v>
      </c>
      <c r="H152" s="11" t="str">
        <f ca="1">IFERROR(__xludf.DUMMYFUNCTION("IFERROR(VLOOKUP(F169,IMPORTRANGE(""https://docs.google.com/spreadsheets/d/1Kvs4KS76FHFqLFIZfrDMff4kP08nblUkihrxltoGBjg/edit#gid=934712705"",""ESENCIAL!A6:BG""),8,FALSE))"),"PRODUCCIÓN AGROPECUARIA ECOLÓGICA")</f>
        <v>PRODUCCIÓN AGROPECUARIA ECOLÓGICA</v>
      </c>
      <c r="I152" s="142">
        <v>3229170383</v>
      </c>
      <c r="J152" s="182" t="s">
        <v>1508</v>
      </c>
      <c r="K152" s="30" t="s">
        <v>84</v>
      </c>
      <c r="L152" s="54" t="s">
        <v>28</v>
      </c>
      <c r="M152" s="54" t="s">
        <v>1498</v>
      </c>
      <c r="N152" s="142" t="s">
        <v>1485</v>
      </c>
      <c r="O152" s="142">
        <v>3134782736</v>
      </c>
      <c r="P152" s="142" t="s">
        <v>96</v>
      </c>
      <c r="Q152" s="142" t="s">
        <v>1509</v>
      </c>
      <c r="R152" s="88">
        <v>45200</v>
      </c>
      <c r="S152" s="181">
        <v>45176</v>
      </c>
      <c r="T152" s="95"/>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19" t="str">
        <f t="shared" ca="1" si="20"/>
        <v>NO_CUMPLE</v>
      </c>
      <c r="AV152" s="11" t="str">
        <f ca="1">IFERROR(__xludf.DUMMYFUNCTION("IFERROR(VLOOKUP(E169&amp;F169,IMPORTRANGE(""https://docs.google.com/spreadsheets/d/1Uw7-A9f9R21vMXxHZFNpYNeKFtG8_yji4HS352LGlSQ/edit?pli=1#gid=0"",""1_ACUM!A4:S""),11,FALSE))"),"EN FORMACION")</f>
        <v>EN FORMACION</v>
      </c>
      <c r="AW152" s="20" t="str">
        <f ca="1">IFERROR(__xludf.DUMMYFUNCTION("IFERROR(VLOOKUP(F169,IMPORTRANGE(""https://docs.google.com/spreadsheets/d/1Kvs4KS76FHFqLFIZfrDMff4kP08nblUkihrxltoGBjg/edit#gid=934712705"",""ESENCIAL!A6:BG""),15,FALSE))"),"AGROPECUARIO")</f>
        <v>AGROPECUARIO</v>
      </c>
      <c r="AX152" s="21">
        <f ca="1">IFERROR(__xludf.DUMMYFUNCTION("IFERROR(VLOOKUP(E169&amp;F169,IMPORTRANGE(""https://docs.google.com/spreadsheets/d/1Uw7-A9f9R21vMXxHZFNpYNeKFtG8_yji4HS352LGlSQ/edit?pli=1#gid=0"",""1_ACUM!A4:S""),12,FALSE))"),44839)</f>
        <v>44839</v>
      </c>
      <c r="AY152" s="22">
        <f ca="1">IFERROR(__xludf.DUMMYFUNCTION("IFERROR(VLOOKUP(E169&amp;F169,IMPORTRANGE(""https://docs.google.com/spreadsheets/d/1Uw7-A9f9R21vMXxHZFNpYNeKFtG8_yji4HS352LGlSQ/edit?pli=1#gid=0"",""1_ACUM!A4:S""),13,FALSE))"),1)</f>
        <v>1</v>
      </c>
      <c r="AZ152" s="22">
        <f ca="1">IFERROR(__xludf.DUMMYFUNCTION("IFERROR(VLOOKUP(E169&amp;F169,IMPORTRANGE(""https://docs.google.com/spreadsheets/d/1Uw7-A9f9R21vMXxHZFNpYNeKFtG8_yji4HS352LGlSQ/edit?pli=1#gid=0"",""1_ACUM!A4:S""),14,FALSE))"),1)</f>
        <v>1</v>
      </c>
      <c r="BA152" s="22">
        <f ca="1">IFERROR(__xludf.DUMMYFUNCTION("IFERROR(VLOOKUP(E169&amp;F169,IMPORTRANGE(""https://docs.google.com/spreadsheets/d/1Uw7-A9f9R21vMXxHZFNpYNeKFtG8_yji4HS352LGlSQ/edit?pli=1#gid=0"",""1_ACUM!A4:S""),15,FALSE))"),0)</f>
        <v>0</v>
      </c>
      <c r="BB152" s="22">
        <f ca="1">IFERROR(__xludf.DUMMYFUNCTION("IFERROR(VLOOKUP(E169&amp;F169,IMPORTRANGE(""https://docs.google.com/spreadsheets/d/1Uw7-A9f9R21vMXxHZFNpYNeKFtG8_yji4HS352LGlSQ/edit?pli=1#gid=0"",""1_ACUM!A4:S""),16,FALSE))"),7)</f>
        <v>7</v>
      </c>
      <c r="BC152" s="22">
        <f ca="1">IFERROR(__xludf.DUMMYFUNCTION("IFERROR(VLOOKUP(E169&amp;F169,IMPORTRANGE(""https://docs.google.com/spreadsheets/d/1Uw7-A9f9R21vMXxHZFNpYNeKFtG8_yji4HS352LGlSQ/edit?pli=1#gid=0"",""1_ACUM!A4:S""),17,FALSE))"),9)</f>
        <v>9</v>
      </c>
      <c r="BD152" s="23">
        <f ca="1">IFERROR(__xludf.DUMMYFUNCTION("IFERROR(VLOOKUP(E169&amp;F169,IMPORTRANGE(""https://docs.google.com/spreadsheets/d/1Uw7-A9f9R21vMXxHZFNpYNeKFtG8_yji4HS352LGlSQ/edit?pli=1#gid=0"",""1_ACUM!A4:S""),18,FALSE))"),44301)</f>
        <v>44301</v>
      </c>
      <c r="BE152" s="23">
        <f ca="1">IFERROR(__xludf.DUMMYFUNCTION("IFERROR(VLOOKUP(E169&amp;F169,IMPORTRANGE(""https://docs.google.com/spreadsheets/d/1Uw7-A9f9R21vMXxHZFNpYNeKFtG8_yji4HS352LGlSQ/edit?pli=1#gid=0"",""1_ACUM!A4:S""),19,FALSE))"),44848)</f>
        <v>44848</v>
      </c>
      <c r="BF152" s="23">
        <f ca="1">IFERROR(__xludf.DUMMYFUNCTION("IFERROR(VLOOKUP(F169,IMPORTRANGE(""https://docs.google.com/spreadsheets/d/1Kvs4KS76FHFqLFIZfrDMff4kP08nblUkihrxltoGBjg/edit#gid=934712705"",""ESENCIAL!A6:BG""),5,FALSE))"),45030)</f>
        <v>45030</v>
      </c>
      <c r="BG152" s="23">
        <f t="shared" ca="1" si="21"/>
        <v>45579</v>
      </c>
      <c r="BH152" s="19" t="str">
        <f t="shared" ca="1" si="22"/>
        <v>FICHA EN TIEMPO-18 MESES</v>
      </c>
      <c r="BI152" s="19" t="str">
        <f ca="1">IFERROR(__xludf.DUMMYFUNCTION("IFERROR(VLOOKUP(F169,IMPORTRANGE(""https://docs.google.com/spreadsheets/d/1Kvs4KS76FHFqLFIZfrDMff4kP08nblUkihrxltoGBjg/edit#gid=934712705"",""ESENCIAL!A6:BG""),18,FALSE))"),"En ejecucion")</f>
        <v>En ejecucion</v>
      </c>
      <c r="BJ152" s="19" t="str">
        <f t="shared" si="23"/>
        <v>Yamboro</v>
      </c>
      <c r="BK152" s="291"/>
      <c r="BL152" s="19"/>
    </row>
    <row r="153" spans="1:64" ht="24" hidden="1">
      <c r="A153" s="290"/>
      <c r="B153" s="145" t="s">
        <v>25</v>
      </c>
      <c r="C153" s="71" t="s">
        <v>1510</v>
      </c>
      <c r="D153" s="57" t="s">
        <v>27</v>
      </c>
      <c r="E153" s="57">
        <v>1083889514</v>
      </c>
      <c r="F153" s="114">
        <v>2280193</v>
      </c>
      <c r="G153" s="11" t="str">
        <f ca="1">IFERROR(__xludf.DUMMYFUNCTION("IFERROR(VLOOKUP(F170,IMPORTRANGE(""https://docs.google.com/spreadsheets/d/1Kvs4KS76FHFqLFIZfrDMff4kP08nblUkihrxltoGBjg/edit#gid=934712705"",""ESENCIAL!A6:BG""),3,FALSE))"),"TECNÓLOGO")</f>
        <v>TECNÓLOGO</v>
      </c>
      <c r="H153" s="11" t="str">
        <f ca="1">IFERROR(__xludf.DUMMYFUNCTION("IFERROR(VLOOKUP(F170,IMPORTRANGE(""https://docs.google.com/spreadsheets/d/1Kvs4KS76FHFqLFIZfrDMff4kP08nblUkihrxltoGBjg/edit#gid=934712705"",""ESENCIAL!A6:BG""),8,FALSE))"),"PRODUCCIÓN AGROPECUARIA ECOLÓGICA")</f>
        <v>PRODUCCIÓN AGROPECUARIA ECOLÓGICA</v>
      </c>
      <c r="I153" s="142"/>
      <c r="J153" s="142"/>
      <c r="K153" s="30"/>
      <c r="L153" s="285" t="s">
        <v>44</v>
      </c>
      <c r="M153" s="54"/>
      <c r="N153" s="54"/>
      <c r="O153" s="142"/>
      <c r="P153" s="142"/>
      <c r="Q153" s="142"/>
      <c r="R153" s="88"/>
      <c r="S153" s="88"/>
      <c r="T153" s="95"/>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19" t="str">
        <f t="shared" ca="1" si="20"/>
        <v>NO_CUMPLE</v>
      </c>
      <c r="AV153" s="11" t="str">
        <f ca="1">IFERROR(__xludf.DUMMYFUNCTION("IFERROR(VLOOKUP(E170&amp;F170,IMPORTRANGE(""https://docs.google.com/spreadsheets/d/1Uw7-A9f9R21vMXxHZFNpYNeKFtG8_yji4HS352LGlSQ/edit?pli=1#gid=0"",""1_ACUM!A4:S""),11,FALSE))"),"EN FORMACION")</f>
        <v>EN FORMACION</v>
      </c>
      <c r="AW153" s="20" t="str">
        <f ca="1">IFERROR(__xludf.DUMMYFUNCTION("IFERROR(VLOOKUP(F170,IMPORTRANGE(""https://docs.google.com/spreadsheets/d/1Kvs4KS76FHFqLFIZfrDMff4kP08nblUkihrxltoGBjg/edit#gid=934712705"",""ESENCIAL!A6:BG""),15,FALSE))"),"AGROPECUARIO")</f>
        <v>AGROPECUARIO</v>
      </c>
      <c r="AX153" s="21">
        <f ca="1">IFERROR(__xludf.DUMMYFUNCTION("IFERROR(VLOOKUP(E170&amp;F170,IMPORTRANGE(""https://docs.google.com/spreadsheets/d/1Uw7-A9f9R21vMXxHZFNpYNeKFtG8_yji4HS352LGlSQ/edit?pli=1#gid=0"",""1_ACUM!A4:S""),12,FALSE))"),44839)</f>
        <v>44839</v>
      </c>
      <c r="AY153" s="22">
        <f ca="1">IFERROR(__xludf.DUMMYFUNCTION("IFERROR(VLOOKUP(E170&amp;F170,IMPORTRANGE(""https://docs.google.com/spreadsheets/d/1Uw7-A9f9R21vMXxHZFNpYNeKFtG8_yji4HS352LGlSQ/edit?pli=1#gid=0"",""1_ACUM!A4:S""),13,FALSE))"),1)</f>
        <v>1</v>
      </c>
      <c r="AZ153" s="22">
        <f ca="1">IFERROR(__xludf.DUMMYFUNCTION("IFERROR(VLOOKUP(E170&amp;F170,IMPORTRANGE(""https://docs.google.com/spreadsheets/d/1Uw7-A9f9R21vMXxHZFNpYNeKFtG8_yji4HS352LGlSQ/edit?pli=1#gid=0"",""1_ACUM!A4:S""),14,FALSE))"),1)</f>
        <v>1</v>
      </c>
      <c r="BA153" s="22">
        <f ca="1">IFERROR(__xludf.DUMMYFUNCTION("IFERROR(VLOOKUP(E170&amp;F170,IMPORTRANGE(""https://docs.google.com/spreadsheets/d/1Uw7-A9f9R21vMXxHZFNpYNeKFtG8_yji4HS352LGlSQ/edit?pli=1#gid=0"",""1_ACUM!A4:S""),15,FALSE))"),0)</f>
        <v>0</v>
      </c>
      <c r="BB153" s="22">
        <f ca="1">IFERROR(__xludf.DUMMYFUNCTION("IFERROR(VLOOKUP(E170&amp;F170,IMPORTRANGE(""https://docs.google.com/spreadsheets/d/1Uw7-A9f9R21vMXxHZFNpYNeKFtG8_yji4HS352LGlSQ/edit?pli=1#gid=0"",""1_ACUM!A4:S""),16,FALSE))"),7)</f>
        <v>7</v>
      </c>
      <c r="BC153" s="22">
        <f ca="1">IFERROR(__xludf.DUMMYFUNCTION("IFERROR(VLOOKUP(E170&amp;F170,IMPORTRANGE(""https://docs.google.com/spreadsheets/d/1Uw7-A9f9R21vMXxHZFNpYNeKFtG8_yji4HS352LGlSQ/edit?pli=1#gid=0"",""1_ACUM!A4:S""),17,FALSE))"),9)</f>
        <v>9</v>
      </c>
      <c r="BD153" s="23">
        <f ca="1">IFERROR(__xludf.DUMMYFUNCTION("IFERROR(VLOOKUP(E170&amp;F170,IMPORTRANGE(""https://docs.google.com/spreadsheets/d/1Uw7-A9f9R21vMXxHZFNpYNeKFtG8_yji4HS352LGlSQ/edit?pli=1#gid=0"",""1_ACUM!A4:S""),18,FALSE))"),44301)</f>
        <v>44301</v>
      </c>
      <c r="BE153" s="23">
        <f ca="1">IFERROR(__xludf.DUMMYFUNCTION("IFERROR(VLOOKUP(E170&amp;F170,IMPORTRANGE(""https://docs.google.com/spreadsheets/d/1Uw7-A9f9R21vMXxHZFNpYNeKFtG8_yji4HS352LGlSQ/edit?pli=1#gid=0"",""1_ACUM!A4:S""),19,FALSE))"),44848)</f>
        <v>44848</v>
      </c>
      <c r="BF153" s="23">
        <f ca="1">IFERROR(__xludf.DUMMYFUNCTION("IFERROR(VLOOKUP(F170,IMPORTRANGE(""https://docs.google.com/spreadsheets/d/1Kvs4KS76FHFqLFIZfrDMff4kP08nblUkihrxltoGBjg/edit#gid=934712705"",""ESENCIAL!A6:BG""),5,FALSE))"),45030)</f>
        <v>45030</v>
      </c>
      <c r="BG153" s="23">
        <f t="shared" ca="1" si="21"/>
        <v>45579</v>
      </c>
      <c r="BH153" s="19" t="str">
        <f t="shared" ca="1" si="22"/>
        <v>FICHA EN TIEMPO-18 MESES</v>
      </c>
      <c r="BI153" s="19" t="str">
        <f ca="1">IFERROR(__xludf.DUMMYFUNCTION("IFERROR(VLOOKUP(F170,IMPORTRANGE(""https://docs.google.com/spreadsheets/d/1Kvs4KS76FHFqLFIZfrDMff4kP08nblUkihrxltoGBjg/edit#gid=934712705"",""ESENCIAL!A6:BG""),18,FALSE))"),"En ejecucion")</f>
        <v>En ejecucion</v>
      </c>
      <c r="BJ153" s="19" t="str">
        <f t="shared" si="23"/>
        <v>Yamboro</v>
      </c>
      <c r="BK153" s="291"/>
      <c r="BL153" s="19"/>
    </row>
    <row r="154" spans="1:64" ht="24">
      <c r="A154" s="482" t="s">
        <v>1495</v>
      </c>
      <c r="B154" s="145" t="s">
        <v>25</v>
      </c>
      <c r="C154" s="71" t="s">
        <v>1511</v>
      </c>
      <c r="D154" s="57" t="s">
        <v>27</v>
      </c>
      <c r="E154" s="57">
        <v>1083928882</v>
      </c>
      <c r="F154" s="114">
        <v>2280193</v>
      </c>
      <c r="G154" s="11" t="str">
        <f ca="1">IFERROR(__xludf.DUMMYFUNCTION("IFERROR(VLOOKUP(F171,IMPORTRANGE(""https://docs.google.com/spreadsheets/d/1Kvs4KS76FHFqLFIZfrDMff4kP08nblUkihrxltoGBjg/edit#gid=934712705"",""ESENCIAL!A6:BG""),3,FALSE))"),"TECNÓLOGO")</f>
        <v>TECNÓLOGO</v>
      </c>
      <c r="H154" s="11" t="str">
        <f ca="1">IFERROR(__xludf.DUMMYFUNCTION("IFERROR(VLOOKUP(F171,IMPORTRANGE(""https://docs.google.com/spreadsheets/d/1Kvs4KS76FHFqLFIZfrDMff4kP08nblUkihrxltoGBjg/edit#gid=934712705"",""ESENCIAL!A6:BG""),8,FALSE))"),"PRODUCCIÓN AGROPECUARIA ECOLÓGICA")</f>
        <v>PRODUCCIÓN AGROPECUARIA ECOLÓGICA</v>
      </c>
      <c r="I154" s="142">
        <v>3167936208</v>
      </c>
      <c r="J154" s="142" t="s">
        <v>84</v>
      </c>
      <c r="K154" s="142" t="s">
        <v>1512</v>
      </c>
      <c r="L154" s="113" t="s">
        <v>28</v>
      </c>
      <c r="M154" s="54" t="s">
        <v>1513</v>
      </c>
      <c r="N154" s="54" t="s">
        <v>1514</v>
      </c>
      <c r="O154" s="142">
        <v>31033209477</v>
      </c>
      <c r="P154" s="142" t="s">
        <v>81</v>
      </c>
      <c r="Q154" s="142" t="s">
        <v>1515</v>
      </c>
      <c r="R154" s="88">
        <v>44873</v>
      </c>
      <c r="S154" s="181">
        <v>45053</v>
      </c>
      <c r="T154" s="95"/>
      <c r="U154" s="97" t="s">
        <v>1456</v>
      </c>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19" t="str">
        <f t="shared" ca="1" si="20"/>
        <v>NO_CUMPLE</v>
      </c>
      <c r="AV154" s="11" t="str">
        <f ca="1">IFERROR(__xludf.DUMMYFUNCTION("IFERROR(VLOOKUP(E171&amp;F171,IMPORTRANGE(""https://docs.google.com/spreadsheets/d/1Uw7-A9f9R21vMXxHZFNpYNeKFtG8_yji4HS352LGlSQ/edit?pli=1#gid=0"",""1_ACUM!A4:S""),11,FALSE))"),"EN FORMACION")</f>
        <v>EN FORMACION</v>
      </c>
      <c r="AW154" s="20" t="str">
        <f ca="1">IFERROR(__xludf.DUMMYFUNCTION("IFERROR(VLOOKUP(F171,IMPORTRANGE(""https://docs.google.com/spreadsheets/d/1Kvs4KS76FHFqLFIZfrDMff4kP08nblUkihrxltoGBjg/edit#gid=934712705"",""ESENCIAL!A6:BG""),15,FALSE))"),"AGROPECUARIO")</f>
        <v>AGROPECUARIO</v>
      </c>
      <c r="AX154" s="21">
        <f ca="1">IFERROR(__xludf.DUMMYFUNCTION("IFERROR(VLOOKUP(E171&amp;F171,IMPORTRANGE(""https://docs.google.com/spreadsheets/d/1Uw7-A9f9R21vMXxHZFNpYNeKFtG8_yji4HS352LGlSQ/edit?pli=1#gid=0"",""1_ACUM!A4:S""),12,FALSE))"),44839)</f>
        <v>44839</v>
      </c>
      <c r="AY154" s="22">
        <f ca="1">IFERROR(__xludf.DUMMYFUNCTION("IFERROR(VLOOKUP(E171&amp;F171,IMPORTRANGE(""https://docs.google.com/spreadsheets/d/1Uw7-A9f9R21vMXxHZFNpYNeKFtG8_yji4HS352LGlSQ/edit?pli=1#gid=0"",""1_ACUM!A4:S""),13,FALSE))"),1)</f>
        <v>1</v>
      </c>
      <c r="AZ154" s="22">
        <f ca="1">IFERROR(__xludf.DUMMYFUNCTION("IFERROR(VLOOKUP(E171&amp;F171,IMPORTRANGE(""https://docs.google.com/spreadsheets/d/1Uw7-A9f9R21vMXxHZFNpYNeKFtG8_yji4HS352LGlSQ/edit?pli=1#gid=0"",""1_ACUM!A4:S""),14,FALSE))"),1)</f>
        <v>1</v>
      </c>
      <c r="BA154" s="22">
        <f ca="1">IFERROR(__xludf.DUMMYFUNCTION("IFERROR(VLOOKUP(E171&amp;F171,IMPORTRANGE(""https://docs.google.com/spreadsheets/d/1Uw7-A9f9R21vMXxHZFNpYNeKFtG8_yji4HS352LGlSQ/edit?pli=1#gid=0"",""1_ACUM!A4:S""),15,FALSE))"),0)</f>
        <v>0</v>
      </c>
      <c r="BB154" s="22">
        <f ca="1">IFERROR(__xludf.DUMMYFUNCTION("IFERROR(VLOOKUP(E171&amp;F171,IMPORTRANGE(""https://docs.google.com/spreadsheets/d/1Uw7-A9f9R21vMXxHZFNpYNeKFtG8_yji4HS352LGlSQ/edit?pli=1#gid=0"",""1_ACUM!A4:S""),16,FALSE))"),7)</f>
        <v>7</v>
      </c>
      <c r="BC154" s="22">
        <f ca="1">IFERROR(__xludf.DUMMYFUNCTION("IFERROR(VLOOKUP(E171&amp;F171,IMPORTRANGE(""https://docs.google.com/spreadsheets/d/1Uw7-A9f9R21vMXxHZFNpYNeKFtG8_yji4HS352LGlSQ/edit?pli=1#gid=0"",""1_ACUM!A4:S""),17,FALSE))"),9)</f>
        <v>9</v>
      </c>
      <c r="BD154" s="23">
        <f ca="1">IFERROR(__xludf.DUMMYFUNCTION("IFERROR(VLOOKUP(E171&amp;F171,IMPORTRANGE(""https://docs.google.com/spreadsheets/d/1Uw7-A9f9R21vMXxHZFNpYNeKFtG8_yji4HS352LGlSQ/edit?pli=1#gid=0"",""1_ACUM!A4:S""),18,FALSE))"),44301)</f>
        <v>44301</v>
      </c>
      <c r="BE154" s="23">
        <f ca="1">IFERROR(__xludf.DUMMYFUNCTION("IFERROR(VLOOKUP(E171&amp;F171,IMPORTRANGE(""https://docs.google.com/spreadsheets/d/1Uw7-A9f9R21vMXxHZFNpYNeKFtG8_yji4HS352LGlSQ/edit?pli=1#gid=0"",""1_ACUM!A4:S""),19,FALSE))"),44848)</f>
        <v>44848</v>
      </c>
      <c r="BF154" s="23">
        <f ca="1">IFERROR(__xludf.DUMMYFUNCTION("IFERROR(VLOOKUP(F171,IMPORTRANGE(""https://docs.google.com/spreadsheets/d/1Kvs4KS76FHFqLFIZfrDMff4kP08nblUkihrxltoGBjg/edit#gid=934712705"",""ESENCIAL!A6:BG""),5,FALSE))"),45030)</f>
        <v>45030</v>
      </c>
      <c r="BG154" s="23">
        <f t="shared" ca="1" si="21"/>
        <v>45579</v>
      </c>
      <c r="BH154" s="19" t="str">
        <f t="shared" ca="1" si="22"/>
        <v>FICHA EN TIEMPO-18 MESES</v>
      </c>
      <c r="BI154" s="19" t="str">
        <f ca="1">IFERROR(__xludf.DUMMYFUNCTION("IFERROR(VLOOKUP(F171,IMPORTRANGE(""https://docs.google.com/spreadsheets/d/1Kvs4KS76FHFqLFIZfrDMff4kP08nblUkihrxltoGBjg/edit#gid=934712705"",""ESENCIAL!A6:BG""),18,FALSE))"),"En ejecucion")</f>
        <v>En ejecucion</v>
      </c>
      <c r="BJ154" s="19" t="str">
        <f t="shared" si="23"/>
        <v>Yamboro</v>
      </c>
      <c r="BK154" s="291"/>
      <c r="BL154" s="19"/>
    </row>
    <row r="155" spans="1:64" ht="24" hidden="1">
      <c r="A155" s="290"/>
      <c r="B155" s="145" t="s">
        <v>25</v>
      </c>
      <c r="C155" s="71" t="s">
        <v>1516</v>
      </c>
      <c r="D155" s="57" t="s">
        <v>27</v>
      </c>
      <c r="E155" s="57">
        <v>1004034024</v>
      </c>
      <c r="F155" s="114">
        <v>2590833</v>
      </c>
      <c r="G155" s="11" t="s">
        <v>508</v>
      </c>
      <c r="H155" s="11" t="s">
        <v>1517</v>
      </c>
      <c r="I155" s="142"/>
      <c r="J155" s="142"/>
      <c r="K155" s="30"/>
      <c r="L155" s="285" t="s">
        <v>44</v>
      </c>
      <c r="M155" s="54"/>
      <c r="N155" s="54"/>
      <c r="O155" s="142"/>
      <c r="P155" s="142"/>
      <c r="Q155" s="142"/>
      <c r="R155" s="88"/>
      <c r="S155" s="88"/>
      <c r="T155" s="65"/>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19" t="str">
        <f t="shared" ca="1" si="20"/>
        <v>NO_CUMPLE</v>
      </c>
      <c r="AV155" s="11" t="str">
        <f ca="1">IFERROR(__xludf.DUMMYFUNCTION("IFERROR(VLOOKUP(E172&amp;F172,IMPORTRANGE(""https://docs.google.com/spreadsheets/d/1Uw7-A9f9R21vMXxHZFNpYNeKFtG8_yji4HS352LGlSQ/edit?pli=1#gid=0"",""1_ACUM!A4:S""),11,FALSE))"),"")</f>
        <v/>
      </c>
      <c r="AW155" s="20" t="str">
        <f ca="1">IFERROR(__xludf.DUMMYFUNCTION("IFERROR(VLOOKUP(F172,IMPORTRANGE(""https://docs.google.com/spreadsheets/d/1Kvs4KS76FHFqLFIZfrDMff4kP08nblUkihrxltoGBjg/edit#gid=934712705"",""ESENCIAL!A6:BG""),15,FALSE))"),"")</f>
        <v/>
      </c>
      <c r="AX155" s="21" t="str">
        <f ca="1">IFERROR(__xludf.DUMMYFUNCTION("IFERROR(VLOOKUP(E172&amp;F172,IMPORTRANGE(""https://docs.google.com/spreadsheets/d/1Uw7-A9f9R21vMXxHZFNpYNeKFtG8_yji4HS352LGlSQ/edit?pli=1#gid=0"",""1_ACUM!A4:S""),12,FALSE))"),"")</f>
        <v/>
      </c>
      <c r="AY155" s="22" t="str">
        <f ca="1">IFERROR(__xludf.DUMMYFUNCTION("IFERROR(VLOOKUP(E172&amp;F172,IMPORTRANGE(""https://docs.google.com/spreadsheets/d/1Uw7-A9f9R21vMXxHZFNpYNeKFtG8_yji4HS352LGlSQ/edit?pli=1#gid=0"",""1_ACUM!A4:S""),13,FALSE))"),"")</f>
        <v/>
      </c>
      <c r="AZ155" s="22" t="str">
        <f ca="1">IFERROR(__xludf.DUMMYFUNCTION("IFERROR(VLOOKUP(E172&amp;F172,IMPORTRANGE(""https://docs.google.com/spreadsheets/d/1Uw7-A9f9R21vMXxHZFNpYNeKFtG8_yji4HS352LGlSQ/edit?pli=1#gid=0"",""1_ACUM!A4:S""),14,FALSE))"),"")</f>
        <v/>
      </c>
      <c r="BA155" s="22" t="str">
        <f ca="1">IFERROR(__xludf.DUMMYFUNCTION("IFERROR(VLOOKUP(E172&amp;F172,IMPORTRANGE(""https://docs.google.com/spreadsheets/d/1Uw7-A9f9R21vMXxHZFNpYNeKFtG8_yji4HS352LGlSQ/edit?pli=1#gid=0"",""1_ACUM!A4:S""),15,FALSE))"),"")</f>
        <v/>
      </c>
      <c r="BB155" s="22" t="str">
        <f ca="1">IFERROR(__xludf.DUMMYFUNCTION("IFERROR(VLOOKUP(E172&amp;F172,IMPORTRANGE(""https://docs.google.com/spreadsheets/d/1Uw7-A9f9R21vMXxHZFNpYNeKFtG8_yji4HS352LGlSQ/edit?pli=1#gid=0"",""1_ACUM!A4:S""),16,FALSE))"),"")</f>
        <v/>
      </c>
      <c r="BC155" s="22" t="str">
        <f ca="1">IFERROR(__xludf.DUMMYFUNCTION("IFERROR(VLOOKUP(E172&amp;F172,IMPORTRANGE(""https://docs.google.com/spreadsheets/d/1Uw7-A9f9R21vMXxHZFNpYNeKFtG8_yji4HS352LGlSQ/edit?pli=1#gid=0"",""1_ACUM!A4:S""),17,FALSE))"),"")</f>
        <v/>
      </c>
      <c r="BD155" s="23" t="str">
        <f ca="1">IFERROR(__xludf.DUMMYFUNCTION("IFERROR(VLOOKUP(E172&amp;F172,IMPORTRANGE(""https://docs.google.com/spreadsheets/d/1Uw7-A9f9R21vMXxHZFNpYNeKFtG8_yji4HS352LGlSQ/edit?pli=1#gid=0"",""1_ACUM!A4:S""),18,FALSE))"),"")</f>
        <v/>
      </c>
      <c r="BE155" s="23" t="str">
        <f ca="1">IFERROR(__xludf.DUMMYFUNCTION("IFERROR(VLOOKUP(E172&amp;F172,IMPORTRANGE(""https://docs.google.com/spreadsheets/d/1Uw7-A9f9R21vMXxHZFNpYNeKFtG8_yji4HS352LGlSQ/edit?pli=1#gid=0"",""1_ACUM!A4:S""),19,FALSE))"),"")</f>
        <v/>
      </c>
      <c r="BF155" s="23" t="str">
        <f ca="1">IFERROR(__xludf.DUMMYFUNCTION("IFERROR(VLOOKUP(F172,IMPORTRANGE(""https://docs.google.com/spreadsheets/d/1Kvs4KS76FHFqLFIZfrDMff4kP08nblUkihrxltoGBjg/edit#gid=934712705"",""ESENCIAL!A6:BG""),5,FALSE))"),"")</f>
        <v/>
      </c>
      <c r="BG155" s="23" t="e">
        <f t="shared" ca="1" si="21"/>
        <v>#VALUE!</v>
      </c>
      <c r="BH155" s="19" t="e">
        <f t="shared" ca="1" si="22"/>
        <v>#VALUE!</v>
      </c>
      <c r="BI155" s="19" t="str">
        <f ca="1">IFERROR(__xludf.DUMMYFUNCTION("IFERROR(VLOOKUP(F172,IMPORTRANGE(""https://docs.google.com/spreadsheets/d/1Kvs4KS76FHFqLFIZfrDMff4kP08nblUkihrxltoGBjg/edit#gid=934712705"",""ESENCIAL!A6:BG""),18,FALSE))"),"")</f>
        <v/>
      </c>
      <c r="BJ155" s="19" t="str">
        <f t="shared" si="23"/>
        <v>Yamboro</v>
      </c>
      <c r="BK155" s="291"/>
      <c r="BL155" s="19"/>
    </row>
    <row r="156" spans="1:64" ht="24">
      <c r="A156" s="290" t="s">
        <v>1518</v>
      </c>
      <c r="B156" s="145" t="s">
        <v>25</v>
      </c>
      <c r="C156" s="71" t="s">
        <v>1519</v>
      </c>
      <c r="D156" s="57" t="s">
        <v>27</v>
      </c>
      <c r="E156" s="57">
        <v>1004269827</v>
      </c>
      <c r="F156" s="114">
        <v>2590833</v>
      </c>
      <c r="G156" s="11" t="s">
        <v>508</v>
      </c>
      <c r="H156" s="11" t="s">
        <v>1517</v>
      </c>
      <c r="I156" s="142">
        <v>3228450205</v>
      </c>
      <c r="J156" s="182" t="s">
        <v>1520</v>
      </c>
      <c r="K156" s="30" t="s">
        <v>719</v>
      </c>
      <c r="L156" s="54" t="s">
        <v>28</v>
      </c>
      <c r="M156" s="54" t="s">
        <v>121</v>
      </c>
      <c r="N156" s="142" t="s">
        <v>122</v>
      </c>
      <c r="O156" s="142">
        <v>5461500</v>
      </c>
      <c r="P156" s="142" t="s">
        <v>96</v>
      </c>
      <c r="Q156" s="182" t="s">
        <v>123</v>
      </c>
      <c r="R156" s="88" t="s">
        <v>1521</v>
      </c>
      <c r="S156" s="181" t="s">
        <v>1080</v>
      </c>
      <c r="T156" s="65"/>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19" t="str">
        <f t="shared" ca="1" si="20"/>
        <v>NO_CUMPLE</v>
      </c>
      <c r="AV156" s="11" t="str">
        <f ca="1">IFERROR(__xludf.DUMMYFUNCTION("IFERROR(VLOOKUP(E173&amp;F173,IMPORTRANGE(""https://docs.google.com/spreadsheets/d/1Uw7-A9f9R21vMXxHZFNpYNeKFtG8_yji4HS352LGlSQ/edit?pli=1#gid=0"",""1_ACUM!A4:S""),11,FALSE))"),"")</f>
        <v/>
      </c>
      <c r="AW156" s="20" t="str">
        <f ca="1">IFERROR(__xludf.DUMMYFUNCTION("IFERROR(VLOOKUP(F173,IMPORTRANGE(""https://docs.google.com/spreadsheets/d/1Kvs4KS76FHFqLFIZfrDMff4kP08nblUkihrxltoGBjg/edit#gid=934712705"",""ESENCIAL!A6:BG""),15,FALSE))"),"")</f>
        <v/>
      </c>
      <c r="AX156" s="21" t="str">
        <f ca="1">IFERROR(__xludf.DUMMYFUNCTION("IFERROR(VLOOKUP(E173&amp;F173,IMPORTRANGE(""https://docs.google.com/spreadsheets/d/1Uw7-A9f9R21vMXxHZFNpYNeKFtG8_yji4HS352LGlSQ/edit?pli=1#gid=0"",""1_ACUM!A4:S""),12,FALSE))"),"")</f>
        <v/>
      </c>
      <c r="AY156" s="22" t="str">
        <f ca="1">IFERROR(__xludf.DUMMYFUNCTION("IFERROR(VLOOKUP(E173&amp;F173,IMPORTRANGE(""https://docs.google.com/spreadsheets/d/1Uw7-A9f9R21vMXxHZFNpYNeKFtG8_yji4HS352LGlSQ/edit?pli=1#gid=0"",""1_ACUM!A4:S""),13,FALSE))"),"")</f>
        <v/>
      </c>
      <c r="AZ156" s="22" t="str">
        <f ca="1">IFERROR(__xludf.DUMMYFUNCTION("IFERROR(VLOOKUP(E173&amp;F173,IMPORTRANGE(""https://docs.google.com/spreadsheets/d/1Uw7-A9f9R21vMXxHZFNpYNeKFtG8_yji4HS352LGlSQ/edit?pli=1#gid=0"",""1_ACUM!A4:S""),14,FALSE))"),"")</f>
        <v/>
      </c>
      <c r="BA156" s="22" t="str">
        <f ca="1">IFERROR(__xludf.DUMMYFUNCTION("IFERROR(VLOOKUP(E173&amp;F173,IMPORTRANGE(""https://docs.google.com/spreadsheets/d/1Uw7-A9f9R21vMXxHZFNpYNeKFtG8_yji4HS352LGlSQ/edit?pli=1#gid=0"",""1_ACUM!A4:S""),15,FALSE))"),"")</f>
        <v/>
      </c>
      <c r="BB156" s="22" t="str">
        <f ca="1">IFERROR(__xludf.DUMMYFUNCTION("IFERROR(VLOOKUP(E173&amp;F173,IMPORTRANGE(""https://docs.google.com/spreadsheets/d/1Uw7-A9f9R21vMXxHZFNpYNeKFtG8_yji4HS352LGlSQ/edit?pli=1#gid=0"",""1_ACUM!A4:S""),16,FALSE))"),"")</f>
        <v/>
      </c>
      <c r="BC156" s="22" t="str">
        <f ca="1">IFERROR(__xludf.DUMMYFUNCTION("IFERROR(VLOOKUP(E173&amp;F173,IMPORTRANGE(""https://docs.google.com/spreadsheets/d/1Uw7-A9f9R21vMXxHZFNpYNeKFtG8_yji4HS352LGlSQ/edit?pli=1#gid=0"",""1_ACUM!A4:S""),17,FALSE))"),"")</f>
        <v/>
      </c>
      <c r="BD156" s="23" t="str">
        <f ca="1">IFERROR(__xludf.DUMMYFUNCTION("IFERROR(VLOOKUP(E173&amp;F173,IMPORTRANGE(""https://docs.google.com/spreadsheets/d/1Uw7-A9f9R21vMXxHZFNpYNeKFtG8_yji4HS352LGlSQ/edit?pli=1#gid=0"",""1_ACUM!A4:S""),18,FALSE))"),"")</f>
        <v/>
      </c>
      <c r="BE156" s="23" t="str">
        <f ca="1">IFERROR(__xludf.DUMMYFUNCTION("IFERROR(VLOOKUP(E173&amp;F173,IMPORTRANGE(""https://docs.google.com/spreadsheets/d/1Uw7-A9f9R21vMXxHZFNpYNeKFtG8_yji4HS352LGlSQ/edit?pli=1#gid=0"",""1_ACUM!A4:S""),19,FALSE))"),"")</f>
        <v/>
      </c>
      <c r="BF156" s="23" t="str">
        <f ca="1">IFERROR(__xludf.DUMMYFUNCTION("IFERROR(VLOOKUP(F173,IMPORTRANGE(""https://docs.google.com/spreadsheets/d/1Kvs4KS76FHFqLFIZfrDMff4kP08nblUkihrxltoGBjg/edit#gid=934712705"",""ESENCIAL!A6:BG""),5,FALSE))"),"")</f>
        <v/>
      </c>
      <c r="BG156" s="23" t="e">
        <f t="shared" ca="1" si="21"/>
        <v>#VALUE!</v>
      </c>
      <c r="BH156" s="19" t="e">
        <f t="shared" ca="1" si="22"/>
        <v>#VALUE!</v>
      </c>
      <c r="BI156" s="19" t="str">
        <f ca="1">IFERROR(__xludf.DUMMYFUNCTION("IFERROR(VLOOKUP(F173,IMPORTRANGE(""https://docs.google.com/spreadsheets/d/1Kvs4KS76FHFqLFIZfrDMff4kP08nblUkihrxltoGBjg/edit#gid=934712705"",""ESENCIAL!A6:BG""),18,FALSE))"),"")</f>
        <v/>
      </c>
      <c r="BJ156" s="19" t="str">
        <f t="shared" si="23"/>
        <v>Yamboro</v>
      </c>
      <c r="BK156" s="291"/>
      <c r="BL156" s="19"/>
    </row>
    <row r="157" spans="1:64" ht="24" hidden="1">
      <c r="A157" s="290"/>
      <c r="B157" s="145" t="s">
        <v>25</v>
      </c>
      <c r="C157" s="71" t="s">
        <v>1522</v>
      </c>
      <c r="D157" s="57" t="s">
        <v>27</v>
      </c>
      <c r="E157" s="57">
        <v>1004446790</v>
      </c>
      <c r="F157" s="114">
        <v>2590833</v>
      </c>
      <c r="G157" s="11" t="s">
        <v>508</v>
      </c>
      <c r="H157" s="11" t="s">
        <v>1517</v>
      </c>
      <c r="I157" s="142"/>
      <c r="J157" s="142"/>
      <c r="K157" s="30"/>
      <c r="L157" s="285" t="s">
        <v>44</v>
      </c>
      <c r="M157" s="54"/>
      <c r="N157" s="54"/>
      <c r="O157" s="142"/>
      <c r="P157" s="142"/>
      <c r="Q157" s="142"/>
      <c r="R157" s="88"/>
      <c r="S157" s="88"/>
      <c r="T157" s="65"/>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19" t="str">
        <f t="shared" ca="1" si="20"/>
        <v>NO_CUMPLE</v>
      </c>
      <c r="AV157" s="11" t="str">
        <f ca="1">IFERROR(__xludf.DUMMYFUNCTION("IFERROR(VLOOKUP(E174&amp;F174,IMPORTRANGE(""https://docs.google.com/spreadsheets/d/1Uw7-A9f9R21vMXxHZFNpYNeKFtG8_yji4HS352LGlSQ/edit?pli=1#gid=0"",""1_ACUM!A4:S""),11,FALSE))"),"")</f>
        <v/>
      </c>
      <c r="AW157" s="20" t="str">
        <f ca="1">IFERROR(__xludf.DUMMYFUNCTION("IFERROR(VLOOKUP(F174,IMPORTRANGE(""https://docs.google.com/spreadsheets/d/1Kvs4KS76FHFqLFIZfrDMff4kP08nblUkihrxltoGBjg/edit#gid=934712705"",""ESENCIAL!A6:BG""),15,FALSE))"),"")</f>
        <v/>
      </c>
      <c r="AX157" s="21" t="str">
        <f ca="1">IFERROR(__xludf.DUMMYFUNCTION("IFERROR(VLOOKUP(E174&amp;F174,IMPORTRANGE(""https://docs.google.com/spreadsheets/d/1Uw7-A9f9R21vMXxHZFNpYNeKFtG8_yji4HS352LGlSQ/edit?pli=1#gid=0"",""1_ACUM!A4:S""),12,FALSE))"),"")</f>
        <v/>
      </c>
      <c r="AY157" s="22" t="str">
        <f ca="1">IFERROR(__xludf.DUMMYFUNCTION("IFERROR(VLOOKUP(E174&amp;F174,IMPORTRANGE(""https://docs.google.com/spreadsheets/d/1Uw7-A9f9R21vMXxHZFNpYNeKFtG8_yji4HS352LGlSQ/edit?pli=1#gid=0"",""1_ACUM!A4:S""),13,FALSE))"),"")</f>
        <v/>
      </c>
      <c r="AZ157" s="22" t="str">
        <f ca="1">IFERROR(__xludf.DUMMYFUNCTION("IFERROR(VLOOKUP(E174&amp;F174,IMPORTRANGE(""https://docs.google.com/spreadsheets/d/1Uw7-A9f9R21vMXxHZFNpYNeKFtG8_yji4HS352LGlSQ/edit?pli=1#gid=0"",""1_ACUM!A4:S""),14,FALSE))"),"")</f>
        <v/>
      </c>
      <c r="BA157" s="22" t="str">
        <f ca="1">IFERROR(__xludf.DUMMYFUNCTION("IFERROR(VLOOKUP(E174&amp;F174,IMPORTRANGE(""https://docs.google.com/spreadsheets/d/1Uw7-A9f9R21vMXxHZFNpYNeKFtG8_yji4HS352LGlSQ/edit?pli=1#gid=0"",""1_ACUM!A4:S""),15,FALSE))"),"")</f>
        <v/>
      </c>
      <c r="BB157" s="22" t="str">
        <f ca="1">IFERROR(__xludf.DUMMYFUNCTION("IFERROR(VLOOKUP(E174&amp;F174,IMPORTRANGE(""https://docs.google.com/spreadsheets/d/1Uw7-A9f9R21vMXxHZFNpYNeKFtG8_yji4HS352LGlSQ/edit?pli=1#gid=0"",""1_ACUM!A4:S""),16,FALSE))"),"")</f>
        <v/>
      </c>
      <c r="BC157" s="22" t="str">
        <f ca="1">IFERROR(__xludf.DUMMYFUNCTION("IFERROR(VLOOKUP(E174&amp;F174,IMPORTRANGE(""https://docs.google.com/spreadsheets/d/1Uw7-A9f9R21vMXxHZFNpYNeKFtG8_yji4HS352LGlSQ/edit?pli=1#gid=0"",""1_ACUM!A4:S""),17,FALSE))"),"")</f>
        <v/>
      </c>
      <c r="BD157" s="23" t="str">
        <f ca="1">IFERROR(__xludf.DUMMYFUNCTION("IFERROR(VLOOKUP(E174&amp;F174,IMPORTRANGE(""https://docs.google.com/spreadsheets/d/1Uw7-A9f9R21vMXxHZFNpYNeKFtG8_yji4HS352LGlSQ/edit?pli=1#gid=0"",""1_ACUM!A4:S""),18,FALSE))"),"")</f>
        <v/>
      </c>
      <c r="BE157" s="23" t="str">
        <f ca="1">IFERROR(__xludf.DUMMYFUNCTION("IFERROR(VLOOKUP(E174&amp;F174,IMPORTRANGE(""https://docs.google.com/spreadsheets/d/1Uw7-A9f9R21vMXxHZFNpYNeKFtG8_yji4HS352LGlSQ/edit?pli=1#gid=0"",""1_ACUM!A4:S""),19,FALSE))"),"")</f>
        <v/>
      </c>
      <c r="BF157" s="23" t="str">
        <f ca="1">IFERROR(__xludf.DUMMYFUNCTION("IFERROR(VLOOKUP(F174,IMPORTRANGE(""https://docs.google.com/spreadsheets/d/1Kvs4KS76FHFqLFIZfrDMff4kP08nblUkihrxltoGBjg/edit#gid=934712705"",""ESENCIAL!A6:BG""),5,FALSE))"),"")</f>
        <v/>
      </c>
      <c r="BG157" s="23" t="e">
        <f t="shared" ca="1" si="21"/>
        <v>#VALUE!</v>
      </c>
      <c r="BH157" s="19" t="e">
        <f t="shared" ca="1" si="22"/>
        <v>#VALUE!</v>
      </c>
      <c r="BI157" s="19" t="str">
        <f ca="1">IFERROR(__xludf.DUMMYFUNCTION("IFERROR(VLOOKUP(F174,IMPORTRANGE(""https://docs.google.com/spreadsheets/d/1Kvs4KS76FHFqLFIZfrDMff4kP08nblUkihrxltoGBjg/edit#gid=934712705"",""ESENCIAL!A6:BG""),18,FALSE))"),"")</f>
        <v/>
      </c>
      <c r="BJ157" s="19" t="str">
        <f t="shared" si="23"/>
        <v>Yamboro</v>
      </c>
      <c r="BK157" s="291"/>
      <c r="BL157" s="19"/>
    </row>
    <row r="158" spans="1:64" ht="24" hidden="1">
      <c r="A158" s="290"/>
      <c r="B158" s="145" t="s">
        <v>25</v>
      </c>
      <c r="C158" s="71" t="s">
        <v>1523</v>
      </c>
      <c r="D158" s="57" t="s">
        <v>27</v>
      </c>
      <c r="E158" s="57">
        <v>1007336101</v>
      </c>
      <c r="F158" s="346">
        <v>2590833</v>
      </c>
      <c r="G158" s="11" t="s">
        <v>508</v>
      </c>
      <c r="H158" s="11" t="s">
        <v>1517</v>
      </c>
      <c r="I158" s="142"/>
      <c r="J158" s="142"/>
      <c r="K158" s="30"/>
      <c r="L158" s="285" t="s">
        <v>44</v>
      </c>
      <c r="M158" s="54"/>
      <c r="N158" s="54"/>
      <c r="O158" s="142"/>
      <c r="P158" s="142"/>
      <c r="Q158" s="142"/>
      <c r="R158" s="88"/>
      <c r="S158" s="88"/>
      <c r="T158" s="65"/>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19" t="str">
        <f t="shared" ca="1" si="20"/>
        <v>NO_CUMPLE</v>
      </c>
      <c r="AV158" s="11" t="str">
        <f ca="1">IFERROR(__xludf.DUMMYFUNCTION("IFERROR(VLOOKUP(E175&amp;F175,IMPORTRANGE(""https://docs.google.com/spreadsheets/d/1Uw7-A9f9R21vMXxHZFNpYNeKFtG8_yji4HS352LGlSQ/edit?pli=1#gid=0"",""1_ACUM!A4:S""),11,FALSE))"),"")</f>
        <v/>
      </c>
      <c r="AW158" s="20" t="str">
        <f ca="1">IFERROR(__xludf.DUMMYFUNCTION("IFERROR(VLOOKUP(F175,IMPORTRANGE(""https://docs.google.com/spreadsheets/d/1Kvs4KS76FHFqLFIZfrDMff4kP08nblUkihrxltoGBjg/edit#gid=934712705"",""ESENCIAL!A6:BG""),15,FALSE))"),"")</f>
        <v/>
      </c>
      <c r="AX158" s="21" t="str">
        <f ca="1">IFERROR(__xludf.DUMMYFUNCTION("IFERROR(VLOOKUP(E175&amp;F175,IMPORTRANGE(""https://docs.google.com/spreadsheets/d/1Uw7-A9f9R21vMXxHZFNpYNeKFtG8_yji4HS352LGlSQ/edit?pli=1#gid=0"",""1_ACUM!A4:S""),12,FALSE))"),"")</f>
        <v/>
      </c>
      <c r="AY158" s="22" t="str">
        <f ca="1">IFERROR(__xludf.DUMMYFUNCTION("IFERROR(VLOOKUP(E175&amp;F175,IMPORTRANGE(""https://docs.google.com/spreadsheets/d/1Uw7-A9f9R21vMXxHZFNpYNeKFtG8_yji4HS352LGlSQ/edit?pli=1#gid=0"",""1_ACUM!A4:S""),13,FALSE))"),"")</f>
        <v/>
      </c>
      <c r="AZ158" s="22" t="str">
        <f ca="1">IFERROR(__xludf.DUMMYFUNCTION("IFERROR(VLOOKUP(E175&amp;F175,IMPORTRANGE(""https://docs.google.com/spreadsheets/d/1Uw7-A9f9R21vMXxHZFNpYNeKFtG8_yji4HS352LGlSQ/edit?pli=1#gid=0"",""1_ACUM!A4:S""),14,FALSE))"),"")</f>
        <v/>
      </c>
      <c r="BA158" s="22" t="str">
        <f ca="1">IFERROR(__xludf.DUMMYFUNCTION("IFERROR(VLOOKUP(E175&amp;F175,IMPORTRANGE(""https://docs.google.com/spreadsheets/d/1Uw7-A9f9R21vMXxHZFNpYNeKFtG8_yji4HS352LGlSQ/edit?pli=1#gid=0"",""1_ACUM!A4:S""),15,FALSE))"),"")</f>
        <v/>
      </c>
      <c r="BB158" s="22" t="str">
        <f ca="1">IFERROR(__xludf.DUMMYFUNCTION("IFERROR(VLOOKUP(E175&amp;F175,IMPORTRANGE(""https://docs.google.com/spreadsheets/d/1Uw7-A9f9R21vMXxHZFNpYNeKFtG8_yji4HS352LGlSQ/edit?pli=1#gid=0"",""1_ACUM!A4:S""),16,FALSE))"),"")</f>
        <v/>
      </c>
      <c r="BC158" s="22" t="str">
        <f ca="1">IFERROR(__xludf.DUMMYFUNCTION("IFERROR(VLOOKUP(E175&amp;F175,IMPORTRANGE(""https://docs.google.com/spreadsheets/d/1Uw7-A9f9R21vMXxHZFNpYNeKFtG8_yji4HS352LGlSQ/edit?pli=1#gid=0"",""1_ACUM!A4:S""),17,FALSE))"),"")</f>
        <v/>
      </c>
      <c r="BD158" s="23" t="str">
        <f ca="1">IFERROR(__xludf.DUMMYFUNCTION("IFERROR(VLOOKUP(E175&amp;F175,IMPORTRANGE(""https://docs.google.com/spreadsheets/d/1Uw7-A9f9R21vMXxHZFNpYNeKFtG8_yji4HS352LGlSQ/edit?pli=1#gid=0"",""1_ACUM!A4:S""),18,FALSE))"),"")</f>
        <v/>
      </c>
      <c r="BE158" s="23" t="str">
        <f ca="1">IFERROR(__xludf.DUMMYFUNCTION("IFERROR(VLOOKUP(E175&amp;F175,IMPORTRANGE(""https://docs.google.com/spreadsheets/d/1Uw7-A9f9R21vMXxHZFNpYNeKFtG8_yji4HS352LGlSQ/edit?pli=1#gid=0"",""1_ACUM!A4:S""),19,FALSE))"),"")</f>
        <v/>
      </c>
      <c r="BF158" s="23" t="str">
        <f ca="1">IFERROR(__xludf.DUMMYFUNCTION("IFERROR(VLOOKUP(F175,IMPORTRANGE(""https://docs.google.com/spreadsheets/d/1Kvs4KS76FHFqLFIZfrDMff4kP08nblUkihrxltoGBjg/edit#gid=934712705"",""ESENCIAL!A6:BG""),5,FALSE))"),"")</f>
        <v/>
      </c>
      <c r="BG158" s="23" t="e">
        <f t="shared" ca="1" si="21"/>
        <v>#VALUE!</v>
      </c>
      <c r="BH158" s="19" t="e">
        <f t="shared" ca="1" si="22"/>
        <v>#VALUE!</v>
      </c>
      <c r="BI158" s="19" t="str">
        <f ca="1">IFERROR(__xludf.DUMMYFUNCTION("IFERROR(VLOOKUP(F175,IMPORTRANGE(""https://docs.google.com/spreadsheets/d/1Kvs4KS76FHFqLFIZfrDMff4kP08nblUkihrxltoGBjg/edit#gid=934712705"",""ESENCIAL!A6:BG""),18,FALSE))"),"")</f>
        <v/>
      </c>
      <c r="BJ158" s="19" t="str">
        <f t="shared" si="23"/>
        <v>Yamboro</v>
      </c>
      <c r="BK158" s="291"/>
      <c r="BL158" s="19"/>
    </row>
    <row r="159" spans="1:64" ht="24">
      <c r="A159" s="290" t="s">
        <v>1518</v>
      </c>
      <c r="B159" s="145" t="s">
        <v>25</v>
      </c>
      <c r="C159" s="71" t="s">
        <v>1524</v>
      </c>
      <c r="D159" s="57" t="s">
        <v>27</v>
      </c>
      <c r="E159" s="57">
        <v>1007385366</v>
      </c>
      <c r="F159" s="114">
        <v>2590833</v>
      </c>
      <c r="G159" s="11" t="s">
        <v>508</v>
      </c>
      <c r="H159" s="11" t="s">
        <v>1517</v>
      </c>
      <c r="I159" s="142">
        <v>3227658846</v>
      </c>
      <c r="J159" s="182" t="s">
        <v>1525</v>
      </c>
      <c r="K159" s="30" t="s">
        <v>719</v>
      </c>
      <c r="L159" s="54" t="s">
        <v>28</v>
      </c>
      <c r="M159" s="54" t="s">
        <v>121</v>
      </c>
      <c r="N159" s="54" t="s">
        <v>122</v>
      </c>
      <c r="O159" s="142">
        <v>5461500</v>
      </c>
      <c r="P159" s="142" t="s">
        <v>96</v>
      </c>
      <c r="Q159" s="142" t="s">
        <v>123</v>
      </c>
      <c r="R159" s="88" t="s">
        <v>1521</v>
      </c>
      <c r="S159" s="181" t="s">
        <v>1080</v>
      </c>
      <c r="T159" s="65"/>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19" t="str">
        <f t="shared" ca="1" si="20"/>
        <v>NO_CUMPLE</v>
      </c>
      <c r="AV159" s="11" t="str">
        <f ca="1">IFERROR(__xludf.DUMMYFUNCTION("IFERROR(VLOOKUP(E176&amp;F176,IMPORTRANGE(""https://docs.google.com/spreadsheets/d/1Uw7-A9f9R21vMXxHZFNpYNeKFtG8_yji4HS352LGlSQ/edit?pli=1#gid=0"",""1_ACUM!A4:S""),11,FALSE))"),"")</f>
        <v/>
      </c>
      <c r="AW159" s="20" t="str">
        <f ca="1">IFERROR(__xludf.DUMMYFUNCTION("IFERROR(VLOOKUP(F176,IMPORTRANGE(""https://docs.google.com/spreadsheets/d/1Kvs4KS76FHFqLFIZfrDMff4kP08nblUkihrxltoGBjg/edit#gid=934712705"",""ESENCIAL!A6:BG""),15,FALSE))"),"")</f>
        <v/>
      </c>
      <c r="AX159" s="21" t="str">
        <f ca="1">IFERROR(__xludf.DUMMYFUNCTION("IFERROR(VLOOKUP(E176&amp;F176,IMPORTRANGE(""https://docs.google.com/spreadsheets/d/1Uw7-A9f9R21vMXxHZFNpYNeKFtG8_yji4HS352LGlSQ/edit?pli=1#gid=0"",""1_ACUM!A4:S""),12,FALSE))"),"")</f>
        <v/>
      </c>
      <c r="AY159" s="22" t="str">
        <f ca="1">IFERROR(__xludf.DUMMYFUNCTION("IFERROR(VLOOKUP(E176&amp;F176,IMPORTRANGE(""https://docs.google.com/spreadsheets/d/1Uw7-A9f9R21vMXxHZFNpYNeKFtG8_yji4HS352LGlSQ/edit?pli=1#gid=0"",""1_ACUM!A4:S""),13,FALSE))"),"")</f>
        <v/>
      </c>
      <c r="AZ159" s="22" t="str">
        <f ca="1">IFERROR(__xludf.DUMMYFUNCTION("IFERROR(VLOOKUP(E176&amp;F176,IMPORTRANGE(""https://docs.google.com/spreadsheets/d/1Uw7-A9f9R21vMXxHZFNpYNeKFtG8_yji4HS352LGlSQ/edit?pli=1#gid=0"",""1_ACUM!A4:S""),14,FALSE))"),"")</f>
        <v/>
      </c>
      <c r="BA159" s="22" t="str">
        <f ca="1">IFERROR(__xludf.DUMMYFUNCTION("IFERROR(VLOOKUP(E176&amp;F176,IMPORTRANGE(""https://docs.google.com/spreadsheets/d/1Uw7-A9f9R21vMXxHZFNpYNeKFtG8_yji4HS352LGlSQ/edit?pli=1#gid=0"",""1_ACUM!A4:S""),15,FALSE))"),"")</f>
        <v/>
      </c>
      <c r="BB159" s="22" t="str">
        <f ca="1">IFERROR(__xludf.DUMMYFUNCTION("IFERROR(VLOOKUP(E176&amp;F176,IMPORTRANGE(""https://docs.google.com/spreadsheets/d/1Uw7-A9f9R21vMXxHZFNpYNeKFtG8_yji4HS352LGlSQ/edit?pli=1#gid=0"",""1_ACUM!A4:S""),16,FALSE))"),"")</f>
        <v/>
      </c>
      <c r="BC159" s="22" t="str">
        <f ca="1">IFERROR(__xludf.DUMMYFUNCTION("IFERROR(VLOOKUP(E176&amp;F176,IMPORTRANGE(""https://docs.google.com/spreadsheets/d/1Uw7-A9f9R21vMXxHZFNpYNeKFtG8_yji4HS352LGlSQ/edit?pli=1#gid=0"",""1_ACUM!A4:S""),17,FALSE))"),"")</f>
        <v/>
      </c>
      <c r="BD159" s="23" t="str">
        <f ca="1">IFERROR(__xludf.DUMMYFUNCTION("IFERROR(VLOOKUP(E176&amp;F176,IMPORTRANGE(""https://docs.google.com/spreadsheets/d/1Uw7-A9f9R21vMXxHZFNpYNeKFtG8_yji4HS352LGlSQ/edit?pli=1#gid=0"",""1_ACUM!A4:S""),18,FALSE))"),"")</f>
        <v/>
      </c>
      <c r="BE159" s="23" t="str">
        <f ca="1">IFERROR(__xludf.DUMMYFUNCTION("IFERROR(VLOOKUP(E176&amp;F176,IMPORTRANGE(""https://docs.google.com/spreadsheets/d/1Uw7-A9f9R21vMXxHZFNpYNeKFtG8_yji4HS352LGlSQ/edit?pli=1#gid=0"",""1_ACUM!A4:S""),19,FALSE))"),"")</f>
        <v/>
      </c>
      <c r="BF159" s="23" t="str">
        <f ca="1">IFERROR(__xludf.DUMMYFUNCTION("IFERROR(VLOOKUP(F176,IMPORTRANGE(""https://docs.google.com/spreadsheets/d/1Kvs4KS76FHFqLFIZfrDMff4kP08nblUkihrxltoGBjg/edit#gid=934712705"",""ESENCIAL!A6:BG""),5,FALSE))"),"")</f>
        <v/>
      </c>
      <c r="BG159" s="23" t="e">
        <f t="shared" ca="1" si="21"/>
        <v>#VALUE!</v>
      </c>
      <c r="BH159" s="19" t="e">
        <f t="shared" ca="1" si="22"/>
        <v>#VALUE!</v>
      </c>
      <c r="BI159" s="19" t="str">
        <f ca="1">IFERROR(__xludf.DUMMYFUNCTION("IFERROR(VLOOKUP(F176,IMPORTRANGE(""https://docs.google.com/spreadsheets/d/1Kvs4KS76FHFqLFIZfrDMff4kP08nblUkihrxltoGBjg/edit#gid=934712705"",""ESENCIAL!A6:BG""),18,FALSE))"),"")</f>
        <v/>
      </c>
      <c r="BJ159" s="19" t="str">
        <f t="shared" si="23"/>
        <v>Yamboro</v>
      </c>
      <c r="BK159" s="291"/>
      <c r="BL159" s="19"/>
    </row>
    <row r="160" spans="1:64" s="245" customFormat="1" ht="24">
      <c r="A160" s="290" t="s">
        <v>1518</v>
      </c>
      <c r="B160" s="227" t="s">
        <v>25</v>
      </c>
      <c r="C160" s="248" t="s">
        <v>1526</v>
      </c>
      <c r="D160" s="229" t="s">
        <v>27</v>
      </c>
      <c r="E160" s="229">
        <v>1007411886</v>
      </c>
      <c r="F160" s="249">
        <v>2590833</v>
      </c>
      <c r="G160" s="226" t="s">
        <v>508</v>
      </c>
      <c r="H160" s="226" t="s">
        <v>1517</v>
      </c>
      <c r="I160" s="250">
        <v>3162239227</v>
      </c>
      <c r="J160" s="236" t="s">
        <v>1527</v>
      </c>
      <c r="K160" s="234" t="s">
        <v>84</v>
      </c>
      <c r="L160" s="234" t="s">
        <v>28</v>
      </c>
      <c r="M160" s="234" t="s">
        <v>1528</v>
      </c>
      <c r="N160" s="234" t="s">
        <v>1529</v>
      </c>
      <c r="O160" s="250" t="s">
        <v>1530</v>
      </c>
      <c r="P160" s="250" t="s">
        <v>102</v>
      </c>
      <c r="Q160" s="236" t="s">
        <v>1531</v>
      </c>
      <c r="R160" s="247" t="s">
        <v>1532</v>
      </c>
      <c r="S160" s="237" t="s">
        <v>1533</v>
      </c>
      <c r="T160" s="251"/>
      <c r="U160" s="30"/>
      <c r="V160" s="30"/>
      <c r="W160" s="30"/>
      <c r="X160" s="30"/>
      <c r="Y160" s="30"/>
      <c r="Z160" s="30"/>
      <c r="AA160" s="30"/>
      <c r="AB160" s="30"/>
      <c r="AC160" s="30"/>
      <c r="AD160" s="30"/>
      <c r="AE160" s="30"/>
      <c r="AF160" s="30"/>
      <c r="AG160" s="30"/>
      <c r="AH160" s="30"/>
      <c r="AI160" s="30"/>
      <c r="AJ160" s="30"/>
      <c r="AK160" s="30"/>
      <c r="AL160" s="30"/>
      <c r="AM160" s="30"/>
      <c r="AN160" s="30"/>
      <c r="AO160" s="30"/>
      <c r="AP160" s="234"/>
      <c r="AQ160" s="234"/>
      <c r="AR160" s="234"/>
      <c r="AS160" s="234"/>
      <c r="AT160" s="234"/>
      <c r="AU160" s="240" t="str">
        <f t="shared" ca="1" si="20"/>
        <v>NO_CUMPLE</v>
      </c>
      <c r="AV160" s="226" t="str">
        <f ca="1">IFERROR(__xludf.DUMMYFUNCTION("IFERROR(VLOOKUP(E177&amp;F177,IMPORTRANGE(""https://docs.google.com/spreadsheets/d/1Uw7-A9f9R21vMXxHZFNpYNeKFtG8_yji4HS352LGlSQ/edit?pli=1#gid=0"",""1_ACUM!A4:S""),11,FALSE))"),"")</f>
        <v/>
      </c>
      <c r="AW160" s="241" t="str">
        <f ca="1">IFERROR(__xludf.DUMMYFUNCTION("IFERROR(VLOOKUP(F177,IMPORTRANGE(""https://docs.google.com/spreadsheets/d/1Kvs4KS76FHFqLFIZfrDMff4kP08nblUkihrxltoGBjg/edit#gid=934712705"",""ESENCIAL!A6:BG""),15,FALSE))"),"")</f>
        <v/>
      </c>
      <c r="AX160" s="242" t="str">
        <f ca="1">IFERROR(__xludf.DUMMYFUNCTION("IFERROR(VLOOKUP(E177&amp;F177,IMPORTRANGE(""https://docs.google.com/spreadsheets/d/1Uw7-A9f9R21vMXxHZFNpYNeKFtG8_yji4HS352LGlSQ/edit?pli=1#gid=0"",""1_ACUM!A4:S""),12,FALSE))"),"")</f>
        <v/>
      </c>
      <c r="AY160" s="243" t="str">
        <f ca="1">IFERROR(__xludf.DUMMYFUNCTION("IFERROR(VLOOKUP(E177&amp;F177,IMPORTRANGE(""https://docs.google.com/spreadsheets/d/1Uw7-A9f9R21vMXxHZFNpYNeKFtG8_yji4HS352LGlSQ/edit?pli=1#gid=0"",""1_ACUM!A4:S""),13,FALSE))"),"")</f>
        <v/>
      </c>
      <c r="AZ160" s="243" t="str">
        <f ca="1">IFERROR(__xludf.DUMMYFUNCTION("IFERROR(VLOOKUP(E177&amp;F177,IMPORTRANGE(""https://docs.google.com/spreadsheets/d/1Uw7-A9f9R21vMXxHZFNpYNeKFtG8_yji4HS352LGlSQ/edit?pli=1#gid=0"",""1_ACUM!A4:S""),14,FALSE))"),"")</f>
        <v/>
      </c>
      <c r="BA160" s="243" t="str">
        <f ca="1">IFERROR(__xludf.DUMMYFUNCTION("IFERROR(VLOOKUP(E177&amp;F177,IMPORTRANGE(""https://docs.google.com/spreadsheets/d/1Uw7-A9f9R21vMXxHZFNpYNeKFtG8_yji4HS352LGlSQ/edit?pli=1#gid=0"",""1_ACUM!A4:S""),15,FALSE))"),"")</f>
        <v/>
      </c>
      <c r="BB160" s="243" t="str">
        <f ca="1">IFERROR(__xludf.DUMMYFUNCTION("IFERROR(VLOOKUP(E177&amp;F177,IMPORTRANGE(""https://docs.google.com/spreadsheets/d/1Uw7-A9f9R21vMXxHZFNpYNeKFtG8_yji4HS352LGlSQ/edit?pli=1#gid=0"",""1_ACUM!A4:S""),16,FALSE))"),"")</f>
        <v/>
      </c>
      <c r="BC160" s="243" t="str">
        <f ca="1">IFERROR(__xludf.DUMMYFUNCTION("IFERROR(VLOOKUP(E177&amp;F177,IMPORTRANGE(""https://docs.google.com/spreadsheets/d/1Uw7-A9f9R21vMXxHZFNpYNeKFtG8_yji4HS352LGlSQ/edit?pli=1#gid=0"",""1_ACUM!A4:S""),17,FALSE))"),"")</f>
        <v/>
      </c>
      <c r="BD160" s="244" t="str">
        <f ca="1">IFERROR(__xludf.DUMMYFUNCTION("IFERROR(VLOOKUP(E177&amp;F177,IMPORTRANGE(""https://docs.google.com/spreadsheets/d/1Uw7-A9f9R21vMXxHZFNpYNeKFtG8_yji4HS352LGlSQ/edit?pli=1#gid=0"",""1_ACUM!A4:S""),18,FALSE))"),"")</f>
        <v/>
      </c>
      <c r="BE160" s="244" t="str">
        <f ca="1">IFERROR(__xludf.DUMMYFUNCTION("IFERROR(VLOOKUP(E177&amp;F177,IMPORTRANGE(""https://docs.google.com/spreadsheets/d/1Uw7-A9f9R21vMXxHZFNpYNeKFtG8_yji4HS352LGlSQ/edit?pli=1#gid=0"",""1_ACUM!A4:S""),19,FALSE))"),"")</f>
        <v/>
      </c>
      <c r="BF160" s="244" t="str">
        <f ca="1">IFERROR(__xludf.DUMMYFUNCTION("IFERROR(VLOOKUP(F177,IMPORTRANGE(""https://docs.google.com/spreadsheets/d/1Kvs4KS76FHFqLFIZfrDMff4kP08nblUkihrxltoGBjg/edit#gid=934712705"",""ESENCIAL!A6:BG""),5,FALSE))"),"")</f>
        <v/>
      </c>
      <c r="BG160" s="244" t="e">
        <f t="shared" ca="1" si="21"/>
        <v>#VALUE!</v>
      </c>
      <c r="BH160" s="240" t="e">
        <f t="shared" ca="1" si="22"/>
        <v>#VALUE!</v>
      </c>
      <c r="BI160" s="240" t="str">
        <f ca="1">IFERROR(__xludf.DUMMYFUNCTION("IFERROR(VLOOKUP(F177,IMPORTRANGE(""https://docs.google.com/spreadsheets/d/1Kvs4KS76FHFqLFIZfrDMff4kP08nblUkihrxltoGBjg/edit#gid=934712705"",""ESENCIAL!A6:BG""),18,FALSE))"),"")</f>
        <v/>
      </c>
      <c r="BJ160" s="240" t="str">
        <f t="shared" si="23"/>
        <v>Yamboro</v>
      </c>
      <c r="BK160" s="302"/>
      <c r="BL160" s="240"/>
    </row>
    <row r="161" spans="1:64" ht="48">
      <c r="A161" s="290" t="s">
        <v>1518</v>
      </c>
      <c r="B161" s="145" t="s">
        <v>25</v>
      </c>
      <c r="C161" s="71" t="s">
        <v>1534</v>
      </c>
      <c r="D161" s="57" t="s">
        <v>27</v>
      </c>
      <c r="E161" s="57">
        <v>1007475197</v>
      </c>
      <c r="F161" s="399">
        <v>2590833</v>
      </c>
      <c r="G161" s="400" t="s">
        <v>508</v>
      </c>
      <c r="H161" s="400" t="s">
        <v>1517</v>
      </c>
      <c r="I161" s="397" t="s">
        <v>1535</v>
      </c>
      <c r="J161" s="398" t="s">
        <v>1536</v>
      </c>
      <c r="K161" s="399" t="s">
        <v>421</v>
      </c>
      <c r="L161" s="402" t="s">
        <v>28</v>
      </c>
      <c r="M161" s="401" t="s">
        <v>1537</v>
      </c>
      <c r="N161" s="54"/>
      <c r="O161" s="142"/>
      <c r="P161" s="142"/>
      <c r="Q161" s="142"/>
      <c r="R161" s="403">
        <v>44988</v>
      </c>
      <c r="S161" s="403" t="s">
        <v>1538</v>
      </c>
      <c r="T161" s="65"/>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99" t="s">
        <v>1539</v>
      </c>
      <c r="AT161" s="30"/>
      <c r="AU161" s="19" t="str">
        <f t="shared" ca="1" si="20"/>
        <v>NO_CUMPLE</v>
      </c>
      <c r="AV161" s="11" t="str">
        <f ca="1">IFERROR(__xludf.DUMMYFUNCTION("IFERROR(VLOOKUP(E178&amp;F178,IMPORTRANGE(""https://docs.google.com/spreadsheets/d/1Uw7-A9f9R21vMXxHZFNpYNeKFtG8_yji4HS352LGlSQ/edit?pli=1#gid=0"",""1_ACUM!A4:S""),11,FALSE))"),"")</f>
        <v/>
      </c>
      <c r="AW161" s="20" t="str">
        <f ca="1">IFERROR(__xludf.DUMMYFUNCTION("IFERROR(VLOOKUP(F178,IMPORTRANGE(""https://docs.google.com/spreadsheets/d/1Kvs4KS76FHFqLFIZfrDMff4kP08nblUkihrxltoGBjg/edit#gid=934712705"",""ESENCIAL!A6:BG""),15,FALSE))"),"")</f>
        <v/>
      </c>
      <c r="AX161" s="21" t="str">
        <f ca="1">IFERROR(__xludf.DUMMYFUNCTION("IFERROR(VLOOKUP(E178&amp;F178,IMPORTRANGE(""https://docs.google.com/spreadsheets/d/1Uw7-A9f9R21vMXxHZFNpYNeKFtG8_yji4HS352LGlSQ/edit?pli=1#gid=0"",""1_ACUM!A4:S""),12,FALSE))"),"")</f>
        <v/>
      </c>
      <c r="AY161" s="22" t="str">
        <f ca="1">IFERROR(__xludf.DUMMYFUNCTION("IFERROR(VLOOKUP(E178&amp;F178,IMPORTRANGE(""https://docs.google.com/spreadsheets/d/1Uw7-A9f9R21vMXxHZFNpYNeKFtG8_yji4HS352LGlSQ/edit?pli=1#gid=0"",""1_ACUM!A4:S""),13,FALSE))"),"")</f>
        <v/>
      </c>
      <c r="AZ161" s="22" t="str">
        <f ca="1">IFERROR(__xludf.DUMMYFUNCTION("IFERROR(VLOOKUP(E178&amp;F178,IMPORTRANGE(""https://docs.google.com/spreadsheets/d/1Uw7-A9f9R21vMXxHZFNpYNeKFtG8_yji4HS352LGlSQ/edit?pli=1#gid=0"",""1_ACUM!A4:S""),14,FALSE))"),"")</f>
        <v/>
      </c>
      <c r="BA161" s="22" t="str">
        <f ca="1">IFERROR(__xludf.DUMMYFUNCTION("IFERROR(VLOOKUP(E178&amp;F178,IMPORTRANGE(""https://docs.google.com/spreadsheets/d/1Uw7-A9f9R21vMXxHZFNpYNeKFtG8_yji4HS352LGlSQ/edit?pli=1#gid=0"",""1_ACUM!A4:S""),15,FALSE))"),"")</f>
        <v/>
      </c>
      <c r="BB161" s="22" t="str">
        <f ca="1">IFERROR(__xludf.DUMMYFUNCTION("IFERROR(VLOOKUP(E178&amp;F178,IMPORTRANGE(""https://docs.google.com/spreadsheets/d/1Uw7-A9f9R21vMXxHZFNpYNeKFtG8_yji4HS352LGlSQ/edit?pli=1#gid=0"",""1_ACUM!A4:S""),16,FALSE))"),"")</f>
        <v/>
      </c>
      <c r="BC161" s="22" t="str">
        <f ca="1">IFERROR(__xludf.DUMMYFUNCTION("IFERROR(VLOOKUP(E178&amp;F178,IMPORTRANGE(""https://docs.google.com/spreadsheets/d/1Uw7-A9f9R21vMXxHZFNpYNeKFtG8_yji4HS352LGlSQ/edit?pli=1#gid=0"",""1_ACUM!A4:S""),17,FALSE))"),"")</f>
        <v/>
      </c>
      <c r="BD161" s="23" t="str">
        <f ca="1">IFERROR(__xludf.DUMMYFUNCTION("IFERROR(VLOOKUP(E178&amp;F178,IMPORTRANGE(""https://docs.google.com/spreadsheets/d/1Uw7-A9f9R21vMXxHZFNpYNeKFtG8_yji4HS352LGlSQ/edit?pli=1#gid=0"",""1_ACUM!A4:S""),18,FALSE))"),"")</f>
        <v/>
      </c>
      <c r="BE161" s="23" t="str">
        <f ca="1">IFERROR(__xludf.DUMMYFUNCTION("IFERROR(VLOOKUP(E178&amp;F178,IMPORTRANGE(""https://docs.google.com/spreadsheets/d/1Uw7-A9f9R21vMXxHZFNpYNeKFtG8_yji4HS352LGlSQ/edit?pli=1#gid=0"",""1_ACUM!A4:S""),19,FALSE))"),"")</f>
        <v/>
      </c>
      <c r="BF161" s="23" t="str">
        <f ca="1">IFERROR(__xludf.DUMMYFUNCTION("IFERROR(VLOOKUP(F178,IMPORTRANGE(""https://docs.google.com/spreadsheets/d/1Kvs4KS76FHFqLFIZfrDMff4kP08nblUkihrxltoGBjg/edit#gid=934712705"",""ESENCIAL!A6:BG""),5,FALSE))"),"")</f>
        <v/>
      </c>
      <c r="BG161" s="23" t="e">
        <f t="shared" ca="1" si="21"/>
        <v>#VALUE!</v>
      </c>
      <c r="BH161" s="19" t="e">
        <f t="shared" ca="1" si="22"/>
        <v>#VALUE!</v>
      </c>
      <c r="BI161" s="19" t="str">
        <f ca="1">IFERROR(__xludf.DUMMYFUNCTION("IFERROR(VLOOKUP(F178,IMPORTRANGE(""https://docs.google.com/spreadsheets/d/1Kvs4KS76FHFqLFIZfrDMff4kP08nblUkihrxltoGBjg/edit#gid=934712705"",""ESENCIAL!A6:BG""),18,FALSE))"),"")</f>
        <v/>
      </c>
      <c r="BJ161" s="19" t="str">
        <f t="shared" si="23"/>
        <v>Yamboro</v>
      </c>
      <c r="BK161" s="291"/>
      <c r="BL161" s="19"/>
    </row>
    <row r="162" spans="1:64" ht="24">
      <c r="A162" s="290" t="s">
        <v>1518</v>
      </c>
      <c r="B162" s="145" t="s">
        <v>25</v>
      </c>
      <c r="C162" s="71" t="s">
        <v>1540</v>
      </c>
      <c r="D162" s="57" t="s">
        <v>27</v>
      </c>
      <c r="E162" s="57">
        <v>1007563159</v>
      </c>
      <c r="F162" s="114">
        <v>2590833</v>
      </c>
      <c r="G162" s="11" t="s">
        <v>508</v>
      </c>
      <c r="H162" s="11" t="s">
        <v>1517</v>
      </c>
      <c r="I162" s="142">
        <v>3144626897</v>
      </c>
      <c r="J162" s="182" t="s">
        <v>1541</v>
      </c>
      <c r="K162" s="30" t="s">
        <v>84</v>
      </c>
      <c r="L162" s="54" t="s">
        <v>28</v>
      </c>
      <c r="M162" s="54" t="s">
        <v>121</v>
      </c>
      <c r="N162" s="54" t="s">
        <v>122</v>
      </c>
      <c r="O162" s="142">
        <v>5461500</v>
      </c>
      <c r="P162" s="142" t="s">
        <v>96</v>
      </c>
      <c r="Q162" s="142" t="s">
        <v>123</v>
      </c>
      <c r="R162" s="88" t="s">
        <v>1521</v>
      </c>
      <c r="S162" s="181" t="s">
        <v>1080</v>
      </c>
      <c r="T162" s="65"/>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19" t="str">
        <f t="shared" ca="1" si="20"/>
        <v>NO_CUMPLE</v>
      </c>
      <c r="AV162" s="11" t="str">
        <f ca="1">IFERROR(__xludf.DUMMYFUNCTION("IFERROR(VLOOKUP(E179&amp;F179,IMPORTRANGE(""https://docs.google.com/spreadsheets/d/1Uw7-A9f9R21vMXxHZFNpYNeKFtG8_yji4HS352LGlSQ/edit?pli=1#gid=0"",""1_ACUM!A4:S""),11,FALSE))"),"")</f>
        <v/>
      </c>
      <c r="AW162" s="20" t="str">
        <f ca="1">IFERROR(__xludf.DUMMYFUNCTION("IFERROR(VLOOKUP(F179,IMPORTRANGE(""https://docs.google.com/spreadsheets/d/1Kvs4KS76FHFqLFIZfrDMff4kP08nblUkihrxltoGBjg/edit#gid=934712705"",""ESENCIAL!A6:BG""),15,FALSE))"),"")</f>
        <v/>
      </c>
      <c r="AX162" s="21" t="str">
        <f ca="1">IFERROR(__xludf.DUMMYFUNCTION("IFERROR(VLOOKUP(E179&amp;F179,IMPORTRANGE(""https://docs.google.com/spreadsheets/d/1Uw7-A9f9R21vMXxHZFNpYNeKFtG8_yji4HS352LGlSQ/edit?pli=1#gid=0"",""1_ACUM!A4:S""),12,FALSE))"),"")</f>
        <v/>
      </c>
      <c r="AY162" s="22" t="str">
        <f ca="1">IFERROR(__xludf.DUMMYFUNCTION("IFERROR(VLOOKUP(E179&amp;F179,IMPORTRANGE(""https://docs.google.com/spreadsheets/d/1Uw7-A9f9R21vMXxHZFNpYNeKFtG8_yji4HS352LGlSQ/edit?pli=1#gid=0"",""1_ACUM!A4:S""),13,FALSE))"),"")</f>
        <v/>
      </c>
      <c r="AZ162" s="22" t="str">
        <f ca="1">IFERROR(__xludf.DUMMYFUNCTION("IFERROR(VLOOKUP(E179&amp;F179,IMPORTRANGE(""https://docs.google.com/spreadsheets/d/1Uw7-A9f9R21vMXxHZFNpYNeKFtG8_yji4HS352LGlSQ/edit?pli=1#gid=0"",""1_ACUM!A4:S""),14,FALSE))"),"")</f>
        <v/>
      </c>
      <c r="BA162" s="22" t="str">
        <f ca="1">IFERROR(__xludf.DUMMYFUNCTION("IFERROR(VLOOKUP(E179&amp;F179,IMPORTRANGE(""https://docs.google.com/spreadsheets/d/1Uw7-A9f9R21vMXxHZFNpYNeKFtG8_yji4HS352LGlSQ/edit?pli=1#gid=0"",""1_ACUM!A4:S""),15,FALSE))"),"")</f>
        <v/>
      </c>
      <c r="BB162" s="22" t="str">
        <f ca="1">IFERROR(__xludf.DUMMYFUNCTION("IFERROR(VLOOKUP(E179&amp;F179,IMPORTRANGE(""https://docs.google.com/spreadsheets/d/1Uw7-A9f9R21vMXxHZFNpYNeKFtG8_yji4HS352LGlSQ/edit?pli=1#gid=0"",""1_ACUM!A4:S""),16,FALSE))"),"")</f>
        <v/>
      </c>
      <c r="BC162" s="22" t="str">
        <f ca="1">IFERROR(__xludf.DUMMYFUNCTION("IFERROR(VLOOKUP(E179&amp;F179,IMPORTRANGE(""https://docs.google.com/spreadsheets/d/1Uw7-A9f9R21vMXxHZFNpYNeKFtG8_yji4HS352LGlSQ/edit?pli=1#gid=0"",""1_ACUM!A4:S""),17,FALSE))"),"")</f>
        <v/>
      </c>
      <c r="BD162" s="23" t="str">
        <f ca="1">IFERROR(__xludf.DUMMYFUNCTION("IFERROR(VLOOKUP(E179&amp;F179,IMPORTRANGE(""https://docs.google.com/spreadsheets/d/1Uw7-A9f9R21vMXxHZFNpYNeKFtG8_yji4HS352LGlSQ/edit?pli=1#gid=0"",""1_ACUM!A4:S""),18,FALSE))"),"")</f>
        <v/>
      </c>
      <c r="BE162" s="23" t="str">
        <f ca="1">IFERROR(__xludf.DUMMYFUNCTION("IFERROR(VLOOKUP(E179&amp;F179,IMPORTRANGE(""https://docs.google.com/spreadsheets/d/1Uw7-A9f9R21vMXxHZFNpYNeKFtG8_yji4HS352LGlSQ/edit?pli=1#gid=0"",""1_ACUM!A4:S""),19,FALSE))"),"")</f>
        <v/>
      </c>
      <c r="BF162" s="23" t="str">
        <f ca="1">IFERROR(__xludf.DUMMYFUNCTION("IFERROR(VLOOKUP(F179,IMPORTRANGE(""https://docs.google.com/spreadsheets/d/1Kvs4KS76FHFqLFIZfrDMff4kP08nblUkihrxltoGBjg/edit#gid=934712705"",""ESENCIAL!A6:BG""),5,FALSE))"),"")</f>
        <v/>
      </c>
      <c r="BG162" s="23" t="e">
        <f t="shared" ca="1" si="21"/>
        <v>#VALUE!</v>
      </c>
      <c r="BH162" s="19" t="e">
        <f t="shared" ca="1" si="22"/>
        <v>#VALUE!</v>
      </c>
      <c r="BI162" s="19" t="str">
        <f ca="1">IFERROR(__xludf.DUMMYFUNCTION("IFERROR(VLOOKUP(F179,IMPORTRANGE(""https://docs.google.com/spreadsheets/d/1Kvs4KS76FHFqLFIZfrDMff4kP08nblUkihrxltoGBjg/edit#gid=934712705"",""ESENCIAL!A6:BG""),18,FALSE))"),"")</f>
        <v/>
      </c>
      <c r="BJ162" s="19" t="str">
        <f t="shared" si="23"/>
        <v>Yamboro</v>
      </c>
      <c r="BK162" s="291"/>
      <c r="BL162" s="19"/>
    </row>
    <row r="163" spans="1:64" s="245" customFormat="1" ht="24">
      <c r="A163" s="290" t="s">
        <v>1518</v>
      </c>
      <c r="B163" s="227" t="s">
        <v>25</v>
      </c>
      <c r="C163" s="248" t="s">
        <v>1542</v>
      </c>
      <c r="D163" s="229" t="s">
        <v>27</v>
      </c>
      <c r="E163" s="229">
        <v>1031800353</v>
      </c>
      <c r="F163" s="249">
        <v>2590833</v>
      </c>
      <c r="G163" s="226" t="s">
        <v>508</v>
      </c>
      <c r="H163" s="226" t="s">
        <v>1517</v>
      </c>
      <c r="I163" s="250">
        <v>3183705367</v>
      </c>
      <c r="J163" s="236" t="s">
        <v>1543</v>
      </c>
      <c r="K163" s="234" t="s">
        <v>84</v>
      </c>
      <c r="L163" s="234" t="s">
        <v>28</v>
      </c>
      <c r="M163" s="234" t="s">
        <v>1544</v>
      </c>
      <c r="N163" s="234" t="s">
        <v>1545</v>
      </c>
      <c r="O163" s="250" t="s">
        <v>1546</v>
      </c>
      <c r="P163" s="250" t="s">
        <v>96</v>
      </c>
      <c r="Q163" s="236" t="s">
        <v>1547</v>
      </c>
      <c r="R163" s="247" t="s">
        <v>1548</v>
      </c>
      <c r="S163" s="237" t="s">
        <v>1549</v>
      </c>
      <c r="T163" s="251"/>
      <c r="U163" s="30"/>
      <c r="V163" s="30"/>
      <c r="W163" s="30"/>
      <c r="X163" s="30"/>
      <c r="Y163" s="30"/>
      <c r="Z163" s="30"/>
      <c r="AA163" s="30"/>
      <c r="AB163" s="30"/>
      <c r="AC163" s="30"/>
      <c r="AD163" s="30"/>
      <c r="AE163" s="30"/>
      <c r="AF163" s="30"/>
      <c r="AG163" s="30"/>
      <c r="AH163" s="30"/>
      <c r="AI163" s="30"/>
      <c r="AJ163" s="30"/>
      <c r="AK163" s="30"/>
      <c r="AL163" s="30"/>
      <c r="AM163" s="30"/>
      <c r="AN163" s="30"/>
      <c r="AO163" s="30"/>
      <c r="AP163" s="234"/>
      <c r="AQ163" s="234"/>
      <c r="AR163" s="234"/>
      <c r="AS163" s="234"/>
      <c r="AT163" s="234"/>
      <c r="AU163" s="240" t="str">
        <f t="shared" ca="1" si="20"/>
        <v>NO_CUMPLE</v>
      </c>
      <c r="AV163" s="226" t="str">
        <f ca="1">IFERROR(__xludf.DUMMYFUNCTION("IFERROR(VLOOKUP(E180&amp;F180,IMPORTRANGE(""https://docs.google.com/spreadsheets/d/1Uw7-A9f9R21vMXxHZFNpYNeKFtG8_yji4HS352LGlSQ/edit?pli=1#gid=0"",""1_ACUM!A4:S""),11,FALSE))"),"")</f>
        <v/>
      </c>
      <c r="AW163" s="241" t="str">
        <f ca="1">IFERROR(__xludf.DUMMYFUNCTION("IFERROR(VLOOKUP(F180,IMPORTRANGE(""https://docs.google.com/spreadsheets/d/1Kvs4KS76FHFqLFIZfrDMff4kP08nblUkihrxltoGBjg/edit#gid=934712705"",""ESENCIAL!A6:BG""),15,FALSE))"),"")</f>
        <v/>
      </c>
      <c r="AX163" s="242" t="str">
        <f ca="1">IFERROR(__xludf.DUMMYFUNCTION("IFERROR(VLOOKUP(E180&amp;F180,IMPORTRANGE(""https://docs.google.com/spreadsheets/d/1Uw7-A9f9R21vMXxHZFNpYNeKFtG8_yji4HS352LGlSQ/edit?pli=1#gid=0"",""1_ACUM!A4:S""),12,FALSE))"),"")</f>
        <v/>
      </c>
      <c r="AY163" s="243" t="str">
        <f ca="1">IFERROR(__xludf.DUMMYFUNCTION("IFERROR(VLOOKUP(E180&amp;F180,IMPORTRANGE(""https://docs.google.com/spreadsheets/d/1Uw7-A9f9R21vMXxHZFNpYNeKFtG8_yji4HS352LGlSQ/edit?pli=1#gid=0"",""1_ACUM!A4:S""),13,FALSE))"),"")</f>
        <v/>
      </c>
      <c r="AZ163" s="243" t="str">
        <f ca="1">IFERROR(__xludf.DUMMYFUNCTION("IFERROR(VLOOKUP(E180&amp;F180,IMPORTRANGE(""https://docs.google.com/spreadsheets/d/1Uw7-A9f9R21vMXxHZFNpYNeKFtG8_yji4HS352LGlSQ/edit?pli=1#gid=0"",""1_ACUM!A4:S""),14,FALSE))"),"")</f>
        <v/>
      </c>
      <c r="BA163" s="243" t="str">
        <f ca="1">IFERROR(__xludf.DUMMYFUNCTION("IFERROR(VLOOKUP(E180&amp;F180,IMPORTRANGE(""https://docs.google.com/spreadsheets/d/1Uw7-A9f9R21vMXxHZFNpYNeKFtG8_yji4HS352LGlSQ/edit?pli=1#gid=0"",""1_ACUM!A4:S""),15,FALSE))"),"")</f>
        <v/>
      </c>
      <c r="BB163" s="243" t="str">
        <f ca="1">IFERROR(__xludf.DUMMYFUNCTION("IFERROR(VLOOKUP(E180&amp;F180,IMPORTRANGE(""https://docs.google.com/spreadsheets/d/1Uw7-A9f9R21vMXxHZFNpYNeKFtG8_yji4HS352LGlSQ/edit?pli=1#gid=0"",""1_ACUM!A4:S""),16,FALSE))"),"")</f>
        <v/>
      </c>
      <c r="BC163" s="243" t="str">
        <f ca="1">IFERROR(__xludf.DUMMYFUNCTION("IFERROR(VLOOKUP(E180&amp;F180,IMPORTRANGE(""https://docs.google.com/spreadsheets/d/1Uw7-A9f9R21vMXxHZFNpYNeKFtG8_yji4HS352LGlSQ/edit?pli=1#gid=0"",""1_ACUM!A4:S""),17,FALSE))"),"")</f>
        <v/>
      </c>
      <c r="BD163" s="244" t="str">
        <f ca="1">IFERROR(__xludf.DUMMYFUNCTION("IFERROR(VLOOKUP(E180&amp;F180,IMPORTRANGE(""https://docs.google.com/spreadsheets/d/1Uw7-A9f9R21vMXxHZFNpYNeKFtG8_yji4HS352LGlSQ/edit?pli=1#gid=0"",""1_ACUM!A4:S""),18,FALSE))"),"")</f>
        <v/>
      </c>
      <c r="BE163" s="244" t="str">
        <f ca="1">IFERROR(__xludf.DUMMYFUNCTION("IFERROR(VLOOKUP(E180&amp;F180,IMPORTRANGE(""https://docs.google.com/spreadsheets/d/1Uw7-A9f9R21vMXxHZFNpYNeKFtG8_yji4HS352LGlSQ/edit?pli=1#gid=0"",""1_ACUM!A4:S""),19,FALSE))"),"")</f>
        <v/>
      </c>
      <c r="BF163" s="244" t="str">
        <f ca="1">IFERROR(__xludf.DUMMYFUNCTION("IFERROR(VLOOKUP(F180,IMPORTRANGE(""https://docs.google.com/spreadsheets/d/1Kvs4KS76FHFqLFIZfrDMff4kP08nblUkihrxltoGBjg/edit#gid=934712705"",""ESENCIAL!A6:BG""),5,FALSE))"),"")</f>
        <v/>
      </c>
      <c r="BG163" s="244" t="e">
        <f t="shared" ca="1" si="21"/>
        <v>#VALUE!</v>
      </c>
      <c r="BH163" s="240" t="e">
        <f t="shared" ca="1" si="22"/>
        <v>#VALUE!</v>
      </c>
      <c r="BI163" s="240" t="str">
        <f ca="1">IFERROR(__xludf.DUMMYFUNCTION("IFERROR(VLOOKUP(F180,IMPORTRANGE(""https://docs.google.com/spreadsheets/d/1Kvs4KS76FHFqLFIZfrDMff4kP08nblUkihrxltoGBjg/edit#gid=934712705"",""ESENCIAL!A6:BG""),18,FALSE))"),"")</f>
        <v/>
      </c>
      <c r="BJ163" s="240" t="str">
        <f t="shared" si="23"/>
        <v>Yamboro</v>
      </c>
      <c r="BK163" s="302"/>
      <c r="BL163" s="240"/>
    </row>
    <row r="164" spans="1:64" ht="24">
      <c r="A164" s="290" t="s">
        <v>1138</v>
      </c>
      <c r="B164" s="145" t="s">
        <v>25</v>
      </c>
      <c r="C164" s="71" t="s">
        <v>1550</v>
      </c>
      <c r="D164" s="57" t="s">
        <v>27</v>
      </c>
      <c r="E164" s="57">
        <v>1078746613</v>
      </c>
      <c r="F164" s="114">
        <v>2590833</v>
      </c>
      <c r="G164" s="11" t="s">
        <v>508</v>
      </c>
      <c r="H164" s="11" t="s">
        <v>1517</v>
      </c>
      <c r="I164" s="142">
        <v>3175301246</v>
      </c>
      <c r="J164" s="182" t="s">
        <v>1551</v>
      </c>
      <c r="K164" s="30" t="s">
        <v>937</v>
      </c>
      <c r="L164" s="54" t="s">
        <v>28</v>
      </c>
      <c r="M164" s="54" t="s">
        <v>1552</v>
      </c>
      <c r="N164" s="54" t="s">
        <v>1553</v>
      </c>
      <c r="O164" s="142">
        <v>3213423919</v>
      </c>
      <c r="P164" s="142" t="s">
        <v>1554</v>
      </c>
      <c r="Q164" s="182" t="s">
        <v>1555</v>
      </c>
      <c r="R164" s="88" t="s">
        <v>117</v>
      </c>
      <c r="S164" s="181" t="s">
        <v>1080</v>
      </c>
      <c r="T164" s="65"/>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19" t="str">
        <f t="shared" ca="1" si="20"/>
        <v>NO_CUMPLE</v>
      </c>
      <c r="AV164" s="11" t="str">
        <f ca="1">IFERROR(__xludf.DUMMYFUNCTION("IFERROR(VLOOKUP(E181&amp;F181,IMPORTRANGE(""https://docs.google.com/spreadsheets/d/1Uw7-A9f9R21vMXxHZFNpYNeKFtG8_yji4HS352LGlSQ/edit?pli=1#gid=0"",""1_ACUM!A4:S""),11,FALSE))"),"")</f>
        <v/>
      </c>
      <c r="AW164" s="20" t="str">
        <f ca="1">IFERROR(__xludf.DUMMYFUNCTION("IFERROR(VLOOKUP(F181,IMPORTRANGE(""https://docs.google.com/spreadsheets/d/1Kvs4KS76FHFqLFIZfrDMff4kP08nblUkihrxltoGBjg/edit#gid=934712705"",""ESENCIAL!A6:BG""),15,FALSE))"),"")</f>
        <v/>
      </c>
      <c r="AX164" s="21" t="str">
        <f ca="1">IFERROR(__xludf.DUMMYFUNCTION("IFERROR(VLOOKUP(E181&amp;F181,IMPORTRANGE(""https://docs.google.com/spreadsheets/d/1Uw7-A9f9R21vMXxHZFNpYNeKFtG8_yji4HS352LGlSQ/edit?pli=1#gid=0"",""1_ACUM!A4:S""),12,FALSE))"),"")</f>
        <v/>
      </c>
      <c r="AY164" s="22" t="str">
        <f ca="1">IFERROR(__xludf.DUMMYFUNCTION("IFERROR(VLOOKUP(E181&amp;F181,IMPORTRANGE(""https://docs.google.com/spreadsheets/d/1Uw7-A9f9R21vMXxHZFNpYNeKFtG8_yji4HS352LGlSQ/edit?pli=1#gid=0"",""1_ACUM!A4:S""),13,FALSE))"),"")</f>
        <v/>
      </c>
      <c r="AZ164" s="22" t="str">
        <f ca="1">IFERROR(__xludf.DUMMYFUNCTION("IFERROR(VLOOKUP(E181&amp;F181,IMPORTRANGE(""https://docs.google.com/spreadsheets/d/1Uw7-A9f9R21vMXxHZFNpYNeKFtG8_yji4HS352LGlSQ/edit?pli=1#gid=0"",""1_ACUM!A4:S""),14,FALSE))"),"")</f>
        <v/>
      </c>
      <c r="BA164" s="22" t="str">
        <f ca="1">IFERROR(__xludf.DUMMYFUNCTION("IFERROR(VLOOKUP(E181&amp;F181,IMPORTRANGE(""https://docs.google.com/spreadsheets/d/1Uw7-A9f9R21vMXxHZFNpYNeKFtG8_yji4HS352LGlSQ/edit?pli=1#gid=0"",""1_ACUM!A4:S""),15,FALSE))"),"")</f>
        <v/>
      </c>
      <c r="BB164" s="22" t="str">
        <f ca="1">IFERROR(__xludf.DUMMYFUNCTION("IFERROR(VLOOKUP(E181&amp;F181,IMPORTRANGE(""https://docs.google.com/spreadsheets/d/1Uw7-A9f9R21vMXxHZFNpYNeKFtG8_yji4HS352LGlSQ/edit?pli=1#gid=0"",""1_ACUM!A4:S""),16,FALSE))"),"")</f>
        <v/>
      </c>
      <c r="BC164" s="22" t="str">
        <f ca="1">IFERROR(__xludf.DUMMYFUNCTION("IFERROR(VLOOKUP(E181&amp;F181,IMPORTRANGE(""https://docs.google.com/spreadsheets/d/1Uw7-A9f9R21vMXxHZFNpYNeKFtG8_yji4HS352LGlSQ/edit?pli=1#gid=0"",""1_ACUM!A4:S""),17,FALSE))"),"")</f>
        <v/>
      </c>
      <c r="BD164" s="23" t="str">
        <f ca="1">IFERROR(__xludf.DUMMYFUNCTION("IFERROR(VLOOKUP(E181&amp;F181,IMPORTRANGE(""https://docs.google.com/spreadsheets/d/1Uw7-A9f9R21vMXxHZFNpYNeKFtG8_yji4HS352LGlSQ/edit?pli=1#gid=0"",""1_ACUM!A4:S""),18,FALSE))"),"")</f>
        <v/>
      </c>
      <c r="BE164" s="23" t="str">
        <f ca="1">IFERROR(__xludf.DUMMYFUNCTION("IFERROR(VLOOKUP(E181&amp;F181,IMPORTRANGE(""https://docs.google.com/spreadsheets/d/1Uw7-A9f9R21vMXxHZFNpYNeKFtG8_yji4HS352LGlSQ/edit?pli=1#gid=0"",""1_ACUM!A4:S""),19,FALSE))"),"")</f>
        <v/>
      </c>
      <c r="BF164" s="23" t="str">
        <f ca="1">IFERROR(__xludf.DUMMYFUNCTION("IFERROR(VLOOKUP(F181,IMPORTRANGE(""https://docs.google.com/spreadsheets/d/1Kvs4KS76FHFqLFIZfrDMff4kP08nblUkihrxltoGBjg/edit#gid=934712705"",""ESENCIAL!A6:BG""),5,FALSE))"),"")</f>
        <v/>
      </c>
      <c r="BG164" s="23" t="e">
        <f t="shared" ca="1" si="21"/>
        <v>#VALUE!</v>
      </c>
      <c r="BH164" s="19" t="e">
        <f t="shared" ca="1" si="22"/>
        <v>#VALUE!</v>
      </c>
      <c r="BI164" s="19" t="str">
        <f ca="1">IFERROR(__xludf.DUMMYFUNCTION("IFERROR(VLOOKUP(F181,IMPORTRANGE(""https://docs.google.com/spreadsheets/d/1Kvs4KS76FHFqLFIZfrDMff4kP08nblUkihrxltoGBjg/edit#gid=934712705"",""ESENCIAL!A6:BG""),18,FALSE))"),"")</f>
        <v/>
      </c>
      <c r="BJ164" s="19" t="str">
        <f t="shared" si="23"/>
        <v>Yamboro</v>
      </c>
      <c r="BK164" s="291"/>
      <c r="BL164" s="19"/>
    </row>
    <row r="165" spans="1:64" ht="24" hidden="1">
      <c r="A165" s="290"/>
      <c r="B165" s="145" t="s">
        <v>25</v>
      </c>
      <c r="C165" s="71" t="s">
        <v>1556</v>
      </c>
      <c r="D165" s="57" t="s">
        <v>27</v>
      </c>
      <c r="E165" s="57">
        <v>1080360188</v>
      </c>
      <c r="F165" s="114">
        <v>2590833</v>
      </c>
      <c r="G165" s="11" t="s">
        <v>508</v>
      </c>
      <c r="H165" s="11" t="s">
        <v>1517</v>
      </c>
      <c r="I165" s="142"/>
      <c r="J165" s="142"/>
      <c r="K165" s="30"/>
      <c r="L165" s="285" t="s">
        <v>44</v>
      </c>
      <c r="M165" s="54"/>
      <c r="N165" s="54"/>
      <c r="O165" s="142"/>
      <c r="P165" s="142"/>
      <c r="Q165" s="142"/>
      <c r="R165" s="88"/>
      <c r="S165" s="88"/>
      <c r="T165" s="65"/>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19" t="str">
        <f t="shared" ca="1" si="20"/>
        <v>NO_CUMPLE</v>
      </c>
      <c r="AV165" s="11" t="str">
        <f ca="1">IFERROR(__xludf.DUMMYFUNCTION("IFERROR(VLOOKUP(E182&amp;F182,IMPORTRANGE(""https://docs.google.com/spreadsheets/d/1Uw7-A9f9R21vMXxHZFNpYNeKFtG8_yji4HS352LGlSQ/edit?pli=1#gid=0"",""1_ACUM!A4:S""),11,FALSE))"),"")</f>
        <v/>
      </c>
      <c r="AW165" s="20" t="str">
        <f ca="1">IFERROR(__xludf.DUMMYFUNCTION("IFERROR(VLOOKUP(F182,IMPORTRANGE(""https://docs.google.com/spreadsheets/d/1Kvs4KS76FHFqLFIZfrDMff4kP08nblUkihrxltoGBjg/edit#gid=934712705"",""ESENCIAL!A6:BG""),15,FALSE))"),"")</f>
        <v/>
      </c>
      <c r="AX165" s="21" t="str">
        <f ca="1">IFERROR(__xludf.DUMMYFUNCTION("IFERROR(VLOOKUP(E182&amp;F182,IMPORTRANGE(""https://docs.google.com/spreadsheets/d/1Uw7-A9f9R21vMXxHZFNpYNeKFtG8_yji4HS352LGlSQ/edit?pli=1#gid=0"",""1_ACUM!A4:S""),12,FALSE))"),"")</f>
        <v/>
      </c>
      <c r="AY165" s="22" t="str">
        <f ca="1">IFERROR(__xludf.DUMMYFUNCTION("IFERROR(VLOOKUP(E182&amp;F182,IMPORTRANGE(""https://docs.google.com/spreadsheets/d/1Uw7-A9f9R21vMXxHZFNpYNeKFtG8_yji4HS352LGlSQ/edit?pli=1#gid=0"",""1_ACUM!A4:S""),13,FALSE))"),"")</f>
        <v/>
      </c>
      <c r="AZ165" s="22" t="str">
        <f ca="1">IFERROR(__xludf.DUMMYFUNCTION("IFERROR(VLOOKUP(E182&amp;F182,IMPORTRANGE(""https://docs.google.com/spreadsheets/d/1Uw7-A9f9R21vMXxHZFNpYNeKFtG8_yji4HS352LGlSQ/edit?pli=1#gid=0"",""1_ACUM!A4:S""),14,FALSE))"),"")</f>
        <v/>
      </c>
      <c r="BA165" s="22" t="str">
        <f ca="1">IFERROR(__xludf.DUMMYFUNCTION("IFERROR(VLOOKUP(E182&amp;F182,IMPORTRANGE(""https://docs.google.com/spreadsheets/d/1Uw7-A9f9R21vMXxHZFNpYNeKFtG8_yji4HS352LGlSQ/edit?pli=1#gid=0"",""1_ACUM!A4:S""),15,FALSE))"),"")</f>
        <v/>
      </c>
      <c r="BB165" s="22" t="str">
        <f ca="1">IFERROR(__xludf.DUMMYFUNCTION("IFERROR(VLOOKUP(E182&amp;F182,IMPORTRANGE(""https://docs.google.com/spreadsheets/d/1Uw7-A9f9R21vMXxHZFNpYNeKFtG8_yji4HS352LGlSQ/edit?pli=1#gid=0"",""1_ACUM!A4:S""),16,FALSE))"),"")</f>
        <v/>
      </c>
      <c r="BC165" s="22" t="str">
        <f ca="1">IFERROR(__xludf.DUMMYFUNCTION("IFERROR(VLOOKUP(E182&amp;F182,IMPORTRANGE(""https://docs.google.com/spreadsheets/d/1Uw7-A9f9R21vMXxHZFNpYNeKFtG8_yji4HS352LGlSQ/edit?pli=1#gid=0"",""1_ACUM!A4:S""),17,FALSE))"),"")</f>
        <v/>
      </c>
      <c r="BD165" s="23" t="str">
        <f ca="1">IFERROR(__xludf.DUMMYFUNCTION("IFERROR(VLOOKUP(E182&amp;F182,IMPORTRANGE(""https://docs.google.com/spreadsheets/d/1Uw7-A9f9R21vMXxHZFNpYNeKFtG8_yji4HS352LGlSQ/edit?pli=1#gid=0"",""1_ACUM!A4:S""),18,FALSE))"),"")</f>
        <v/>
      </c>
      <c r="BE165" s="23" t="str">
        <f ca="1">IFERROR(__xludf.DUMMYFUNCTION("IFERROR(VLOOKUP(E182&amp;F182,IMPORTRANGE(""https://docs.google.com/spreadsheets/d/1Uw7-A9f9R21vMXxHZFNpYNeKFtG8_yji4HS352LGlSQ/edit?pli=1#gid=0"",""1_ACUM!A4:S""),19,FALSE))"),"")</f>
        <v/>
      </c>
      <c r="BF165" s="23" t="str">
        <f ca="1">IFERROR(__xludf.DUMMYFUNCTION("IFERROR(VLOOKUP(F182,IMPORTRANGE(""https://docs.google.com/spreadsheets/d/1Kvs4KS76FHFqLFIZfrDMff4kP08nblUkihrxltoGBjg/edit#gid=934712705"",""ESENCIAL!A6:BG""),5,FALSE))"),"")</f>
        <v/>
      </c>
      <c r="BG165" s="23" t="e">
        <f t="shared" ca="1" si="21"/>
        <v>#VALUE!</v>
      </c>
      <c r="BH165" s="19" t="e">
        <f t="shared" ca="1" si="22"/>
        <v>#VALUE!</v>
      </c>
      <c r="BI165" s="19" t="str">
        <f ca="1">IFERROR(__xludf.DUMMYFUNCTION("IFERROR(VLOOKUP(F182,IMPORTRANGE(""https://docs.google.com/spreadsheets/d/1Kvs4KS76FHFqLFIZfrDMff4kP08nblUkihrxltoGBjg/edit#gid=934712705"",""ESENCIAL!A6:BG""),18,FALSE))"),"")</f>
        <v/>
      </c>
      <c r="BJ165" s="19" t="str">
        <f t="shared" si="23"/>
        <v>Yamboro</v>
      </c>
      <c r="BK165" s="291"/>
      <c r="BL165" s="19"/>
    </row>
    <row r="166" spans="1:64" ht="24">
      <c r="A166" s="290" t="s">
        <v>1138</v>
      </c>
      <c r="B166" s="348" t="s">
        <v>25</v>
      </c>
      <c r="C166" s="211" t="s">
        <v>1557</v>
      </c>
      <c r="D166" s="195" t="s">
        <v>27</v>
      </c>
      <c r="E166" s="195">
        <v>1083883724</v>
      </c>
      <c r="F166" s="363">
        <v>2590833</v>
      </c>
      <c r="G166" s="172" t="s">
        <v>508</v>
      </c>
      <c r="H166" s="172" t="s">
        <v>1517</v>
      </c>
      <c r="I166" s="201">
        <v>3183840143</v>
      </c>
      <c r="J166" s="364" t="s">
        <v>1558</v>
      </c>
      <c r="K166" s="349" t="s">
        <v>84</v>
      </c>
      <c r="L166" s="210" t="s">
        <v>37</v>
      </c>
      <c r="M166" s="349" t="s">
        <v>1559</v>
      </c>
      <c r="N166" s="349"/>
      <c r="O166" s="201">
        <v>3133946296</v>
      </c>
      <c r="P166" s="201" t="s">
        <v>84</v>
      </c>
      <c r="Q166" s="364" t="s">
        <v>1560</v>
      </c>
      <c r="R166" s="365" t="s">
        <v>922</v>
      </c>
      <c r="S166" s="365" t="s">
        <v>730</v>
      </c>
      <c r="T166" s="20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49" t="s">
        <v>1561</v>
      </c>
      <c r="AT166" s="154"/>
      <c r="AU166" s="159" t="str">
        <f t="shared" ca="1" si="20"/>
        <v>NO_CUMPLE</v>
      </c>
      <c r="AV166" s="146" t="str">
        <f ca="1">IFERROR(__xludf.DUMMYFUNCTION("IFERROR(VLOOKUP(E183&amp;F183,IMPORTRANGE(""https://docs.google.com/spreadsheets/d/1Uw7-A9f9R21vMXxHZFNpYNeKFtG8_yji4HS352LGlSQ/edit?pli=1#gid=0"",""1_ACUM!A4:S""),11,FALSE))"),"")</f>
        <v/>
      </c>
      <c r="AW166" s="160" t="str">
        <f ca="1">IFERROR(__xludf.DUMMYFUNCTION("IFERROR(VLOOKUP(F183,IMPORTRANGE(""https://docs.google.com/spreadsheets/d/1Kvs4KS76FHFqLFIZfrDMff4kP08nblUkihrxltoGBjg/edit#gid=934712705"",""ESENCIAL!A6:BG""),15,FALSE))"),"")</f>
        <v/>
      </c>
      <c r="AX166" s="161" t="str">
        <f ca="1">IFERROR(__xludf.DUMMYFUNCTION("IFERROR(VLOOKUP(E183&amp;F183,IMPORTRANGE(""https://docs.google.com/spreadsheets/d/1Uw7-A9f9R21vMXxHZFNpYNeKFtG8_yji4HS352LGlSQ/edit?pli=1#gid=0"",""1_ACUM!A4:S""),12,FALSE))"),"")</f>
        <v/>
      </c>
      <c r="AY166" s="162" t="str">
        <f ca="1">IFERROR(__xludf.DUMMYFUNCTION("IFERROR(VLOOKUP(E183&amp;F183,IMPORTRANGE(""https://docs.google.com/spreadsheets/d/1Uw7-A9f9R21vMXxHZFNpYNeKFtG8_yji4HS352LGlSQ/edit?pli=1#gid=0"",""1_ACUM!A4:S""),13,FALSE))"),"")</f>
        <v/>
      </c>
      <c r="AZ166" s="162" t="str">
        <f ca="1">IFERROR(__xludf.DUMMYFUNCTION("IFERROR(VLOOKUP(E183&amp;F183,IMPORTRANGE(""https://docs.google.com/spreadsheets/d/1Uw7-A9f9R21vMXxHZFNpYNeKFtG8_yji4HS352LGlSQ/edit?pli=1#gid=0"",""1_ACUM!A4:S""),14,FALSE))"),"")</f>
        <v/>
      </c>
      <c r="BA166" s="162" t="str">
        <f ca="1">IFERROR(__xludf.DUMMYFUNCTION("IFERROR(VLOOKUP(E183&amp;F183,IMPORTRANGE(""https://docs.google.com/spreadsheets/d/1Uw7-A9f9R21vMXxHZFNpYNeKFtG8_yji4HS352LGlSQ/edit?pli=1#gid=0"",""1_ACUM!A4:S""),15,FALSE))"),"")</f>
        <v/>
      </c>
      <c r="BB166" s="162" t="str">
        <f ca="1">IFERROR(__xludf.DUMMYFUNCTION("IFERROR(VLOOKUP(E183&amp;F183,IMPORTRANGE(""https://docs.google.com/spreadsheets/d/1Uw7-A9f9R21vMXxHZFNpYNeKFtG8_yji4HS352LGlSQ/edit?pli=1#gid=0"",""1_ACUM!A4:S""),16,FALSE))"),"")</f>
        <v/>
      </c>
      <c r="BC166" s="162" t="str">
        <f ca="1">IFERROR(__xludf.DUMMYFUNCTION("IFERROR(VLOOKUP(E183&amp;F183,IMPORTRANGE(""https://docs.google.com/spreadsheets/d/1Uw7-A9f9R21vMXxHZFNpYNeKFtG8_yji4HS352LGlSQ/edit?pli=1#gid=0"",""1_ACUM!A4:S""),17,FALSE))"),"")</f>
        <v/>
      </c>
      <c r="BD166" s="163" t="str">
        <f ca="1">IFERROR(__xludf.DUMMYFUNCTION("IFERROR(VLOOKUP(E183&amp;F183,IMPORTRANGE(""https://docs.google.com/spreadsheets/d/1Uw7-A9f9R21vMXxHZFNpYNeKFtG8_yji4HS352LGlSQ/edit?pli=1#gid=0"",""1_ACUM!A4:S""),18,FALSE))"),"")</f>
        <v/>
      </c>
      <c r="BE166" s="163" t="str">
        <f ca="1">IFERROR(__xludf.DUMMYFUNCTION("IFERROR(VLOOKUP(E183&amp;F183,IMPORTRANGE(""https://docs.google.com/spreadsheets/d/1Uw7-A9f9R21vMXxHZFNpYNeKFtG8_yji4HS352LGlSQ/edit?pli=1#gid=0"",""1_ACUM!A4:S""),19,FALSE))"),"")</f>
        <v/>
      </c>
      <c r="BF166" s="163" t="str">
        <f ca="1">IFERROR(__xludf.DUMMYFUNCTION("IFERROR(VLOOKUP(F183,IMPORTRANGE(""https://docs.google.com/spreadsheets/d/1Kvs4KS76FHFqLFIZfrDMff4kP08nblUkihrxltoGBjg/edit#gid=934712705"",""ESENCIAL!A6:BG""),5,FALSE))"),"")</f>
        <v/>
      </c>
      <c r="BG166" s="23" t="e">
        <f t="shared" ca="1" si="21"/>
        <v>#VALUE!</v>
      </c>
      <c r="BH166" s="19" t="e">
        <f t="shared" ca="1" si="22"/>
        <v>#VALUE!</v>
      </c>
      <c r="BI166" s="19" t="str">
        <f ca="1">IFERROR(__xludf.DUMMYFUNCTION("IFERROR(VLOOKUP(F183,IMPORTRANGE(""https://docs.google.com/spreadsheets/d/1Kvs4KS76FHFqLFIZfrDMff4kP08nblUkihrxltoGBjg/edit#gid=934712705"",""ESENCIAL!A6:BG""),18,FALSE))"),"")</f>
        <v/>
      </c>
      <c r="BJ166" s="19" t="str">
        <f t="shared" si="23"/>
        <v>Yamboro</v>
      </c>
      <c r="BK166" s="291"/>
      <c r="BL166" s="19"/>
    </row>
    <row r="167" spans="1:64" ht="24" hidden="1">
      <c r="A167" s="290"/>
      <c r="B167" s="145" t="s">
        <v>25</v>
      </c>
      <c r="C167" s="206" t="s">
        <v>1562</v>
      </c>
      <c r="D167" s="149" t="s">
        <v>27</v>
      </c>
      <c r="E167" s="149">
        <v>1083923031</v>
      </c>
      <c r="F167" s="360">
        <v>2590833</v>
      </c>
      <c r="G167" s="146" t="s">
        <v>508</v>
      </c>
      <c r="H167" s="146" t="s">
        <v>1517</v>
      </c>
      <c r="I167" s="361"/>
      <c r="J167" s="361"/>
      <c r="K167" s="154"/>
      <c r="L167" s="362" t="s">
        <v>44</v>
      </c>
      <c r="M167" s="154"/>
      <c r="N167" s="154"/>
      <c r="O167" s="361"/>
      <c r="P167" s="361"/>
      <c r="Q167" s="361"/>
      <c r="R167" s="156"/>
      <c r="S167" s="156"/>
      <c r="T167" s="283"/>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154"/>
      <c r="AT167" s="154"/>
      <c r="AU167" s="159" t="str">
        <f t="shared" ca="1" si="20"/>
        <v>NO_CUMPLE</v>
      </c>
      <c r="AV167" s="146" t="str">
        <f ca="1">IFERROR(__xludf.DUMMYFUNCTION("IFERROR(VLOOKUP(E184&amp;F184,IMPORTRANGE(""https://docs.google.com/spreadsheets/d/1Uw7-A9f9R21vMXxHZFNpYNeKFtG8_yji4HS352LGlSQ/edit?pli=1#gid=0"",""1_ACUM!A4:S""),11,FALSE))"),"")</f>
        <v/>
      </c>
      <c r="AW167" s="160" t="str">
        <f ca="1">IFERROR(__xludf.DUMMYFUNCTION("IFERROR(VLOOKUP(F184,IMPORTRANGE(""https://docs.google.com/spreadsheets/d/1Kvs4KS76FHFqLFIZfrDMff4kP08nblUkihrxltoGBjg/edit#gid=934712705"",""ESENCIAL!A6:BG""),15,FALSE))"),"")</f>
        <v/>
      </c>
      <c r="AX167" s="161" t="str">
        <f ca="1">IFERROR(__xludf.DUMMYFUNCTION("IFERROR(VLOOKUP(E184&amp;F184,IMPORTRANGE(""https://docs.google.com/spreadsheets/d/1Uw7-A9f9R21vMXxHZFNpYNeKFtG8_yji4HS352LGlSQ/edit?pli=1#gid=0"",""1_ACUM!A4:S""),12,FALSE))"),"")</f>
        <v/>
      </c>
      <c r="AY167" s="162" t="str">
        <f ca="1">IFERROR(__xludf.DUMMYFUNCTION("IFERROR(VLOOKUP(E184&amp;F184,IMPORTRANGE(""https://docs.google.com/spreadsheets/d/1Uw7-A9f9R21vMXxHZFNpYNeKFtG8_yji4HS352LGlSQ/edit?pli=1#gid=0"",""1_ACUM!A4:S""),13,FALSE))"),"")</f>
        <v/>
      </c>
      <c r="AZ167" s="162" t="str">
        <f ca="1">IFERROR(__xludf.DUMMYFUNCTION("IFERROR(VLOOKUP(E184&amp;F184,IMPORTRANGE(""https://docs.google.com/spreadsheets/d/1Uw7-A9f9R21vMXxHZFNpYNeKFtG8_yji4HS352LGlSQ/edit?pli=1#gid=0"",""1_ACUM!A4:S""),14,FALSE))"),"")</f>
        <v/>
      </c>
      <c r="BA167" s="162" t="str">
        <f ca="1">IFERROR(__xludf.DUMMYFUNCTION("IFERROR(VLOOKUP(E184&amp;F184,IMPORTRANGE(""https://docs.google.com/spreadsheets/d/1Uw7-A9f9R21vMXxHZFNpYNeKFtG8_yji4HS352LGlSQ/edit?pli=1#gid=0"",""1_ACUM!A4:S""),15,FALSE))"),"")</f>
        <v/>
      </c>
      <c r="BB167" s="162" t="str">
        <f ca="1">IFERROR(__xludf.DUMMYFUNCTION("IFERROR(VLOOKUP(E184&amp;F184,IMPORTRANGE(""https://docs.google.com/spreadsheets/d/1Uw7-A9f9R21vMXxHZFNpYNeKFtG8_yji4HS352LGlSQ/edit?pli=1#gid=0"",""1_ACUM!A4:S""),16,FALSE))"),"")</f>
        <v/>
      </c>
      <c r="BC167" s="162" t="str">
        <f ca="1">IFERROR(__xludf.DUMMYFUNCTION("IFERROR(VLOOKUP(E184&amp;F184,IMPORTRANGE(""https://docs.google.com/spreadsheets/d/1Uw7-A9f9R21vMXxHZFNpYNeKFtG8_yji4HS352LGlSQ/edit?pli=1#gid=0"",""1_ACUM!A4:S""),17,FALSE))"),"")</f>
        <v/>
      </c>
      <c r="BD167" s="163" t="str">
        <f ca="1">IFERROR(__xludf.DUMMYFUNCTION("IFERROR(VLOOKUP(E184&amp;F184,IMPORTRANGE(""https://docs.google.com/spreadsheets/d/1Uw7-A9f9R21vMXxHZFNpYNeKFtG8_yji4HS352LGlSQ/edit?pli=1#gid=0"",""1_ACUM!A4:S""),18,FALSE))"),"")</f>
        <v/>
      </c>
      <c r="BE167" s="163" t="str">
        <f ca="1">IFERROR(__xludf.DUMMYFUNCTION("IFERROR(VLOOKUP(E184&amp;F184,IMPORTRANGE(""https://docs.google.com/spreadsheets/d/1Uw7-A9f9R21vMXxHZFNpYNeKFtG8_yji4HS352LGlSQ/edit?pli=1#gid=0"",""1_ACUM!A4:S""),19,FALSE))"),"")</f>
        <v/>
      </c>
      <c r="BF167" s="163" t="str">
        <f ca="1">IFERROR(__xludf.DUMMYFUNCTION("IFERROR(VLOOKUP(F184,IMPORTRANGE(""https://docs.google.com/spreadsheets/d/1Kvs4KS76FHFqLFIZfrDMff4kP08nblUkihrxltoGBjg/edit#gid=934712705"",""ESENCIAL!A6:BG""),5,FALSE))"),"")</f>
        <v/>
      </c>
      <c r="BG167" s="23" t="e">
        <f t="shared" ca="1" si="21"/>
        <v>#VALUE!</v>
      </c>
      <c r="BH167" s="19" t="e">
        <f t="shared" ca="1" si="22"/>
        <v>#VALUE!</v>
      </c>
      <c r="BI167" s="19" t="str">
        <f ca="1">IFERROR(__xludf.DUMMYFUNCTION("IFERROR(VLOOKUP(F184,IMPORTRANGE(""https://docs.google.com/spreadsheets/d/1Kvs4KS76FHFqLFIZfrDMff4kP08nblUkihrxltoGBjg/edit#gid=934712705"",""ESENCIAL!A6:BG""),18,FALSE))"),"")</f>
        <v/>
      </c>
      <c r="BJ167" s="19" t="str">
        <f t="shared" si="23"/>
        <v>Yamboro</v>
      </c>
      <c r="BK167" s="291"/>
      <c r="BL167" s="19"/>
    </row>
    <row r="168" spans="1:64" ht="24">
      <c r="A168" s="290" t="s">
        <v>1138</v>
      </c>
      <c r="B168" s="145" t="s">
        <v>25</v>
      </c>
      <c r="C168" s="71" t="s">
        <v>1563</v>
      </c>
      <c r="D168" s="57" t="s">
        <v>27</v>
      </c>
      <c r="E168" s="57">
        <v>1083924692</v>
      </c>
      <c r="F168" s="114">
        <v>2590833</v>
      </c>
      <c r="G168" s="11" t="s">
        <v>508</v>
      </c>
      <c r="H168" s="11" t="s">
        <v>1517</v>
      </c>
      <c r="I168" s="142">
        <v>571345667</v>
      </c>
      <c r="J168" s="182" t="s">
        <v>1564</v>
      </c>
      <c r="K168" s="30" t="s">
        <v>84</v>
      </c>
      <c r="L168" s="54" t="s">
        <v>28</v>
      </c>
      <c r="M168" s="54" t="s">
        <v>121</v>
      </c>
      <c r="N168" s="54" t="s">
        <v>122</v>
      </c>
      <c r="O168" s="142">
        <v>5461500</v>
      </c>
      <c r="P168" s="142" t="s">
        <v>96</v>
      </c>
      <c r="Q168" s="142" t="s">
        <v>123</v>
      </c>
      <c r="R168" s="88" t="s">
        <v>1521</v>
      </c>
      <c r="S168" s="181" t="s">
        <v>1080</v>
      </c>
      <c r="T168" s="65"/>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19" t="str">
        <f t="shared" ca="1" si="20"/>
        <v>NO_CUMPLE</v>
      </c>
      <c r="AV168" s="11" t="str">
        <f ca="1">IFERROR(__xludf.DUMMYFUNCTION("IFERROR(VLOOKUP(E185&amp;F185,IMPORTRANGE(""https://docs.google.com/spreadsheets/d/1Uw7-A9f9R21vMXxHZFNpYNeKFtG8_yji4HS352LGlSQ/edit?pli=1#gid=0"",""1_ACUM!A4:S""),11,FALSE))"),"")</f>
        <v/>
      </c>
      <c r="AW168" s="20" t="str">
        <f ca="1">IFERROR(__xludf.DUMMYFUNCTION("IFERROR(VLOOKUP(F185,IMPORTRANGE(""https://docs.google.com/spreadsheets/d/1Kvs4KS76FHFqLFIZfrDMff4kP08nblUkihrxltoGBjg/edit#gid=934712705"",""ESENCIAL!A6:BG""),15,FALSE))"),"")</f>
        <v/>
      </c>
      <c r="AX168" s="21" t="str">
        <f ca="1">IFERROR(__xludf.DUMMYFUNCTION("IFERROR(VLOOKUP(E185&amp;F185,IMPORTRANGE(""https://docs.google.com/spreadsheets/d/1Uw7-A9f9R21vMXxHZFNpYNeKFtG8_yji4HS352LGlSQ/edit?pli=1#gid=0"",""1_ACUM!A4:S""),12,FALSE))"),"")</f>
        <v/>
      </c>
      <c r="AY168" s="22" t="str">
        <f ca="1">IFERROR(__xludf.DUMMYFUNCTION("IFERROR(VLOOKUP(E185&amp;F185,IMPORTRANGE(""https://docs.google.com/spreadsheets/d/1Uw7-A9f9R21vMXxHZFNpYNeKFtG8_yji4HS352LGlSQ/edit?pli=1#gid=0"",""1_ACUM!A4:S""),13,FALSE))"),"")</f>
        <v/>
      </c>
      <c r="AZ168" s="22" t="str">
        <f ca="1">IFERROR(__xludf.DUMMYFUNCTION("IFERROR(VLOOKUP(E185&amp;F185,IMPORTRANGE(""https://docs.google.com/spreadsheets/d/1Uw7-A9f9R21vMXxHZFNpYNeKFtG8_yji4HS352LGlSQ/edit?pli=1#gid=0"",""1_ACUM!A4:S""),14,FALSE))"),"")</f>
        <v/>
      </c>
      <c r="BA168" s="22" t="str">
        <f ca="1">IFERROR(__xludf.DUMMYFUNCTION("IFERROR(VLOOKUP(E185&amp;F185,IMPORTRANGE(""https://docs.google.com/spreadsheets/d/1Uw7-A9f9R21vMXxHZFNpYNeKFtG8_yji4HS352LGlSQ/edit?pli=1#gid=0"",""1_ACUM!A4:S""),15,FALSE))"),"")</f>
        <v/>
      </c>
      <c r="BB168" s="22" t="str">
        <f ca="1">IFERROR(__xludf.DUMMYFUNCTION("IFERROR(VLOOKUP(E185&amp;F185,IMPORTRANGE(""https://docs.google.com/spreadsheets/d/1Uw7-A9f9R21vMXxHZFNpYNeKFtG8_yji4HS352LGlSQ/edit?pli=1#gid=0"",""1_ACUM!A4:S""),16,FALSE))"),"")</f>
        <v/>
      </c>
      <c r="BC168" s="22" t="str">
        <f ca="1">IFERROR(__xludf.DUMMYFUNCTION("IFERROR(VLOOKUP(E185&amp;F185,IMPORTRANGE(""https://docs.google.com/spreadsheets/d/1Uw7-A9f9R21vMXxHZFNpYNeKFtG8_yji4HS352LGlSQ/edit?pli=1#gid=0"",""1_ACUM!A4:S""),17,FALSE))"),"")</f>
        <v/>
      </c>
      <c r="BD168" s="23" t="str">
        <f ca="1">IFERROR(__xludf.DUMMYFUNCTION("IFERROR(VLOOKUP(E185&amp;F185,IMPORTRANGE(""https://docs.google.com/spreadsheets/d/1Uw7-A9f9R21vMXxHZFNpYNeKFtG8_yji4HS352LGlSQ/edit?pli=1#gid=0"",""1_ACUM!A4:S""),18,FALSE))"),"")</f>
        <v/>
      </c>
      <c r="BE168" s="23" t="str">
        <f ca="1">IFERROR(__xludf.DUMMYFUNCTION("IFERROR(VLOOKUP(E185&amp;F185,IMPORTRANGE(""https://docs.google.com/spreadsheets/d/1Uw7-A9f9R21vMXxHZFNpYNeKFtG8_yji4HS352LGlSQ/edit?pli=1#gid=0"",""1_ACUM!A4:S""),19,FALSE))"),"")</f>
        <v/>
      </c>
      <c r="BF168" s="23" t="str">
        <f ca="1">IFERROR(__xludf.DUMMYFUNCTION("IFERROR(VLOOKUP(F185,IMPORTRANGE(""https://docs.google.com/spreadsheets/d/1Kvs4KS76FHFqLFIZfrDMff4kP08nblUkihrxltoGBjg/edit#gid=934712705"",""ESENCIAL!A6:BG""),5,FALSE))"),"")</f>
        <v/>
      </c>
      <c r="BG168" s="23" t="e">
        <f t="shared" ca="1" si="21"/>
        <v>#VALUE!</v>
      </c>
      <c r="BH168" s="19" t="e">
        <f t="shared" ca="1" si="22"/>
        <v>#VALUE!</v>
      </c>
      <c r="BI168" s="19" t="str">
        <f ca="1">IFERROR(__xludf.DUMMYFUNCTION("IFERROR(VLOOKUP(F185,IMPORTRANGE(""https://docs.google.com/spreadsheets/d/1Kvs4KS76FHFqLFIZfrDMff4kP08nblUkihrxltoGBjg/edit#gid=934712705"",""ESENCIAL!A6:BG""),18,FALSE))"),"")</f>
        <v/>
      </c>
      <c r="BJ168" s="19" t="str">
        <f t="shared" si="23"/>
        <v>Yamboro</v>
      </c>
      <c r="BK168" s="291"/>
      <c r="BL168" s="19"/>
    </row>
    <row r="169" spans="1:64" s="255" customFormat="1" ht="24">
      <c r="A169" s="290" t="s">
        <v>1138</v>
      </c>
      <c r="B169" s="256" t="s">
        <v>25</v>
      </c>
      <c r="C169" s="265" t="s">
        <v>1565</v>
      </c>
      <c r="D169" s="257" t="s">
        <v>27</v>
      </c>
      <c r="E169" s="257">
        <v>1083927234</v>
      </c>
      <c r="F169" s="266">
        <v>2590833</v>
      </c>
      <c r="G169" s="258" t="s">
        <v>508</v>
      </c>
      <c r="H169" s="258" t="s">
        <v>1517</v>
      </c>
      <c r="I169" s="267">
        <v>3104134256</v>
      </c>
      <c r="J169" s="267"/>
      <c r="K169" s="259"/>
      <c r="L169" s="259" t="s">
        <v>1566</v>
      </c>
      <c r="M169" s="259" t="s">
        <v>1567</v>
      </c>
      <c r="N169" s="259"/>
      <c r="O169" s="267">
        <v>3104131256</v>
      </c>
      <c r="P169" s="267"/>
      <c r="Q169" s="272" t="s">
        <v>1568</v>
      </c>
      <c r="R169" s="268" t="s">
        <v>922</v>
      </c>
      <c r="S169" s="268" t="s">
        <v>1569</v>
      </c>
      <c r="T169" s="269"/>
      <c r="U169" s="259"/>
      <c r="V169" s="259"/>
      <c r="W169" s="259"/>
      <c r="X169" s="259"/>
      <c r="Y169" s="259"/>
      <c r="Z169" s="259"/>
      <c r="AA169" s="259"/>
      <c r="AB169" s="259"/>
      <c r="AC169" s="259"/>
      <c r="AD169" s="259"/>
      <c r="AE169" s="259"/>
      <c r="AF169" s="259"/>
      <c r="AG169" s="259"/>
      <c r="AH169" s="259"/>
      <c r="AI169" s="259"/>
      <c r="AJ169" s="259"/>
      <c r="AK169" s="259"/>
      <c r="AL169" s="259"/>
      <c r="AM169" s="259"/>
      <c r="AN169" s="259"/>
      <c r="AO169" s="259"/>
      <c r="AP169" s="259"/>
      <c r="AQ169" s="259"/>
      <c r="AR169" s="259"/>
      <c r="AS169" s="259"/>
      <c r="AT169" s="259"/>
      <c r="AU169" s="260" t="str">
        <f t="shared" ca="1" si="20"/>
        <v>NO_CUMPLE</v>
      </c>
      <c r="AV169" s="258" t="str">
        <f ca="1">IFERROR(__xludf.DUMMYFUNCTION("IFERROR(VLOOKUP(E186&amp;F186,IMPORTRANGE(""https://docs.google.com/spreadsheets/d/1Uw7-A9f9R21vMXxHZFNpYNeKFtG8_yji4HS352LGlSQ/edit?pli=1#gid=0"",""1_ACUM!A4:S""),11,FALSE))"),"")</f>
        <v/>
      </c>
      <c r="AW169" s="261" t="str">
        <f ca="1">IFERROR(__xludf.DUMMYFUNCTION("IFERROR(VLOOKUP(F186,IMPORTRANGE(""https://docs.google.com/spreadsheets/d/1Kvs4KS76FHFqLFIZfrDMff4kP08nblUkihrxltoGBjg/edit#gid=934712705"",""ESENCIAL!A6:BG""),15,FALSE))"),"")</f>
        <v/>
      </c>
      <c r="AX169" s="262" t="str">
        <f ca="1">IFERROR(__xludf.DUMMYFUNCTION("IFERROR(VLOOKUP(E186&amp;F186,IMPORTRANGE(""https://docs.google.com/spreadsheets/d/1Uw7-A9f9R21vMXxHZFNpYNeKFtG8_yji4HS352LGlSQ/edit?pli=1#gid=0"",""1_ACUM!A4:S""),12,FALSE))"),"")</f>
        <v/>
      </c>
      <c r="AY169" s="263" t="str">
        <f ca="1">IFERROR(__xludf.DUMMYFUNCTION("IFERROR(VLOOKUP(E186&amp;F186,IMPORTRANGE(""https://docs.google.com/spreadsheets/d/1Uw7-A9f9R21vMXxHZFNpYNeKFtG8_yji4HS352LGlSQ/edit?pli=1#gid=0"",""1_ACUM!A4:S""),13,FALSE))"),"")</f>
        <v/>
      </c>
      <c r="AZ169" s="263" t="str">
        <f ca="1">IFERROR(__xludf.DUMMYFUNCTION("IFERROR(VLOOKUP(E186&amp;F186,IMPORTRANGE(""https://docs.google.com/spreadsheets/d/1Uw7-A9f9R21vMXxHZFNpYNeKFtG8_yji4HS352LGlSQ/edit?pli=1#gid=0"",""1_ACUM!A4:S""),14,FALSE))"),"")</f>
        <v/>
      </c>
      <c r="BA169" s="263" t="str">
        <f ca="1">IFERROR(__xludf.DUMMYFUNCTION("IFERROR(VLOOKUP(E186&amp;F186,IMPORTRANGE(""https://docs.google.com/spreadsheets/d/1Uw7-A9f9R21vMXxHZFNpYNeKFtG8_yji4HS352LGlSQ/edit?pli=1#gid=0"",""1_ACUM!A4:S""),15,FALSE))"),"")</f>
        <v/>
      </c>
      <c r="BB169" s="263" t="str">
        <f ca="1">IFERROR(__xludf.DUMMYFUNCTION("IFERROR(VLOOKUP(E186&amp;F186,IMPORTRANGE(""https://docs.google.com/spreadsheets/d/1Uw7-A9f9R21vMXxHZFNpYNeKFtG8_yji4HS352LGlSQ/edit?pli=1#gid=0"",""1_ACUM!A4:S""),16,FALSE))"),"")</f>
        <v/>
      </c>
      <c r="BC169" s="263" t="str">
        <f ca="1">IFERROR(__xludf.DUMMYFUNCTION("IFERROR(VLOOKUP(E186&amp;F186,IMPORTRANGE(""https://docs.google.com/spreadsheets/d/1Uw7-A9f9R21vMXxHZFNpYNeKFtG8_yji4HS352LGlSQ/edit?pli=1#gid=0"",""1_ACUM!A4:S""),17,FALSE))"),"")</f>
        <v/>
      </c>
      <c r="BD169" s="264" t="str">
        <f ca="1">IFERROR(__xludf.DUMMYFUNCTION("IFERROR(VLOOKUP(E186&amp;F186,IMPORTRANGE(""https://docs.google.com/spreadsheets/d/1Uw7-A9f9R21vMXxHZFNpYNeKFtG8_yji4HS352LGlSQ/edit?pli=1#gid=0"",""1_ACUM!A4:S""),18,FALSE))"),"")</f>
        <v/>
      </c>
      <c r="BE169" s="264" t="str">
        <f ca="1">IFERROR(__xludf.DUMMYFUNCTION("IFERROR(VLOOKUP(E186&amp;F186,IMPORTRANGE(""https://docs.google.com/spreadsheets/d/1Uw7-A9f9R21vMXxHZFNpYNeKFtG8_yji4HS352LGlSQ/edit?pli=1#gid=0"",""1_ACUM!A4:S""),19,FALSE))"),"")</f>
        <v/>
      </c>
      <c r="BF169" s="264" t="str">
        <f ca="1">IFERROR(__xludf.DUMMYFUNCTION("IFERROR(VLOOKUP(F186,IMPORTRANGE(""https://docs.google.com/spreadsheets/d/1Kvs4KS76FHFqLFIZfrDMff4kP08nblUkihrxltoGBjg/edit#gid=934712705"",""ESENCIAL!A6:BG""),5,FALSE))"),"")</f>
        <v/>
      </c>
      <c r="BG169" s="264" t="e">
        <f t="shared" ca="1" si="21"/>
        <v>#VALUE!</v>
      </c>
      <c r="BH169" s="260" t="e">
        <f t="shared" ca="1" si="22"/>
        <v>#VALUE!</v>
      </c>
      <c r="BI169" s="260" t="str">
        <f ca="1">IFERROR(__xludf.DUMMYFUNCTION("IFERROR(VLOOKUP(F186,IMPORTRANGE(""https://docs.google.com/spreadsheets/d/1Kvs4KS76FHFqLFIZfrDMff4kP08nblUkihrxltoGBjg/edit#gid=934712705"",""ESENCIAL!A6:BG""),18,FALSE))"),"")</f>
        <v/>
      </c>
      <c r="BJ169" s="260" t="str">
        <f t="shared" si="23"/>
        <v>Yamboro</v>
      </c>
      <c r="BK169" s="320"/>
      <c r="BL169" s="260"/>
    </row>
    <row r="170" spans="1:64" ht="24" hidden="1">
      <c r="A170" s="290"/>
      <c r="B170" s="145" t="s">
        <v>25</v>
      </c>
      <c r="C170" s="71" t="s">
        <v>1570</v>
      </c>
      <c r="D170" s="57" t="s">
        <v>67</v>
      </c>
      <c r="E170" s="57">
        <v>1084251421</v>
      </c>
      <c r="F170" s="114">
        <v>2590833</v>
      </c>
      <c r="G170" s="11" t="s">
        <v>508</v>
      </c>
      <c r="H170" s="11" t="s">
        <v>1517</v>
      </c>
      <c r="I170" s="142"/>
      <c r="J170" s="142"/>
      <c r="K170" s="30"/>
      <c r="L170" s="285" t="s">
        <v>44</v>
      </c>
      <c r="M170" s="54"/>
      <c r="N170" s="54"/>
      <c r="O170" s="142"/>
      <c r="P170" s="142"/>
      <c r="Q170" s="142"/>
      <c r="R170" s="88"/>
      <c r="S170" s="88"/>
      <c r="T170" s="65"/>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19" t="str">
        <f t="shared" ca="1" si="20"/>
        <v>NO_CUMPLE</v>
      </c>
      <c r="AV170" s="11" t="str">
        <f ca="1">IFERROR(__xludf.DUMMYFUNCTION("IFERROR(VLOOKUP(E187&amp;F187,IMPORTRANGE(""https://docs.google.com/spreadsheets/d/1Uw7-A9f9R21vMXxHZFNpYNeKFtG8_yji4HS352LGlSQ/edit?pli=1#gid=0"",""1_ACUM!A4:S""),11,FALSE))"),"")</f>
        <v/>
      </c>
      <c r="AW170" s="20" t="str">
        <f ca="1">IFERROR(__xludf.DUMMYFUNCTION("IFERROR(VLOOKUP(F187,IMPORTRANGE(""https://docs.google.com/spreadsheets/d/1Kvs4KS76FHFqLFIZfrDMff4kP08nblUkihrxltoGBjg/edit#gid=934712705"",""ESENCIAL!A6:BG""),15,FALSE))"),"")</f>
        <v/>
      </c>
      <c r="AX170" s="21" t="str">
        <f ca="1">IFERROR(__xludf.DUMMYFUNCTION("IFERROR(VLOOKUP(E187&amp;F187,IMPORTRANGE(""https://docs.google.com/spreadsheets/d/1Uw7-A9f9R21vMXxHZFNpYNeKFtG8_yji4HS352LGlSQ/edit?pli=1#gid=0"",""1_ACUM!A4:S""),12,FALSE))"),"")</f>
        <v/>
      </c>
      <c r="AY170" s="22" t="str">
        <f ca="1">IFERROR(__xludf.DUMMYFUNCTION("IFERROR(VLOOKUP(E187&amp;F187,IMPORTRANGE(""https://docs.google.com/spreadsheets/d/1Uw7-A9f9R21vMXxHZFNpYNeKFtG8_yji4HS352LGlSQ/edit?pli=1#gid=0"",""1_ACUM!A4:S""),13,FALSE))"),"")</f>
        <v/>
      </c>
      <c r="AZ170" s="22" t="str">
        <f ca="1">IFERROR(__xludf.DUMMYFUNCTION("IFERROR(VLOOKUP(E187&amp;F187,IMPORTRANGE(""https://docs.google.com/spreadsheets/d/1Uw7-A9f9R21vMXxHZFNpYNeKFtG8_yji4HS352LGlSQ/edit?pli=1#gid=0"",""1_ACUM!A4:S""),14,FALSE))"),"")</f>
        <v/>
      </c>
      <c r="BA170" s="22" t="str">
        <f ca="1">IFERROR(__xludf.DUMMYFUNCTION("IFERROR(VLOOKUP(E187&amp;F187,IMPORTRANGE(""https://docs.google.com/spreadsheets/d/1Uw7-A9f9R21vMXxHZFNpYNeKFtG8_yji4HS352LGlSQ/edit?pli=1#gid=0"",""1_ACUM!A4:S""),15,FALSE))"),"")</f>
        <v/>
      </c>
      <c r="BB170" s="22" t="str">
        <f ca="1">IFERROR(__xludf.DUMMYFUNCTION("IFERROR(VLOOKUP(E187&amp;F187,IMPORTRANGE(""https://docs.google.com/spreadsheets/d/1Uw7-A9f9R21vMXxHZFNpYNeKFtG8_yji4HS352LGlSQ/edit?pli=1#gid=0"",""1_ACUM!A4:S""),16,FALSE))"),"")</f>
        <v/>
      </c>
      <c r="BC170" s="22" t="str">
        <f ca="1">IFERROR(__xludf.DUMMYFUNCTION("IFERROR(VLOOKUP(E187&amp;F187,IMPORTRANGE(""https://docs.google.com/spreadsheets/d/1Uw7-A9f9R21vMXxHZFNpYNeKFtG8_yji4HS352LGlSQ/edit?pli=1#gid=0"",""1_ACUM!A4:S""),17,FALSE))"),"")</f>
        <v/>
      </c>
      <c r="BD170" s="23" t="str">
        <f ca="1">IFERROR(__xludf.DUMMYFUNCTION("IFERROR(VLOOKUP(E187&amp;F187,IMPORTRANGE(""https://docs.google.com/spreadsheets/d/1Uw7-A9f9R21vMXxHZFNpYNeKFtG8_yji4HS352LGlSQ/edit?pli=1#gid=0"",""1_ACUM!A4:S""),18,FALSE))"),"")</f>
        <v/>
      </c>
      <c r="BE170" s="23" t="str">
        <f ca="1">IFERROR(__xludf.DUMMYFUNCTION("IFERROR(VLOOKUP(E187&amp;F187,IMPORTRANGE(""https://docs.google.com/spreadsheets/d/1Uw7-A9f9R21vMXxHZFNpYNeKFtG8_yji4HS352LGlSQ/edit?pli=1#gid=0"",""1_ACUM!A4:S""),19,FALSE))"),"")</f>
        <v/>
      </c>
      <c r="BF170" s="23" t="str">
        <f ca="1">IFERROR(__xludf.DUMMYFUNCTION("IFERROR(VLOOKUP(F187,IMPORTRANGE(""https://docs.google.com/spreadsheets/d/1Kvs4KS76FHFqLFIZfrDMff4kP08nblUkihrxltoGBjg/edit#gid=934712705"",""ESENCIAL!A6:BG""),5,FALSE))"),"")</f>
        <v/>
      </c>
      <c r="BG170" s="23" t="e">
        <f t="shared" ca="1" si="21"/>
        <v>#VALUE!</v>
      </c>
      <c r="BH170" s="19" t="e">
        <f t="shared" ca="1" si="22"/>
        <v>#VALUE!</v>
      </c>
      <c r="BI170" s="19" t="str">
        <f ca="1">IFERROR(__xludf.DUMMYFUNCTION("IFERROR(VLOOKUP(F187,IMPORTRANGE(""https://docs.google.com/spreadsheets/d/1Kvs4KS76FHFqLFIZfrDMff4kP08nblUkihrxltoGBjg/edit#gid=934712705"",""ESENCIAL!A6:BG""),18,FALSE))"),"")</f>
        <v/>
      </c>
      <c r="BJ170" s="19" t="str">
        <f t="shared" si="23"/>
        <v>Yamboro</v>
      </c>
      <c r="BK170" s="291"/>
      <c r="BL170" s="19"/>
    </row>
    <row r="171" spans="1:64" ht="24">
      <c r="A171" s="290" t="s">
        <v>1571</v>
      </c>
      <c r="B171" s="145" t="s">
        <v>25</v>
      </c>
      <c r="C171" s="71" t="s">
        <v>1572</v>
      </c>
      <c r="D171" s="57" t="s">
        <v>27</v>
      </c>
      <c r="E171" s="57">
        <v>1007475197</v>
      </c>
      <c r="F171" s="114">
        <v>2590833</v>
      </c>
      <c r="G171" s="11" t="s">
        <v>508</v>
      </c>
      <c r="H171" s="11" t="s">
        <v>1517</v>
      </c>
      <c r="I171" s="142">
        <v>3172613549</v>
      </c>
      <c r="J171" s="182" t="s">
        <v>1536</v>
      </c>
      <c r="K171" s="30" t="s">
        <v>1573</v>
      </c>
      <c r="L171" s="285" t="s">
        <v>28</v>
      </c>
      <c r="M171" s="54" t="s">
        <v>1574</v>
      </c>
      <c r="N171" s="54"/>
      <c r="O171" s="142"/>
      <c r="P171" s="142"/>
      <c r="Q171" s="142"/>
      <c r="R171" s="88">
        <v>44988</v>
      </c>
      <c r="S171" s="88" t="s">
        <v>1575</v>
      </c>
      <c r="T171" s="65"/>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t="s">
        <v>1571</v>
      </c>
      <c r="AT171" s="30"/>
      <c r="AU171" s="19" t="str">
        <f t="shared" ca="1" si="20"/>
        <v>NO_CUMPLE</v>
      </c>
      <c r="AV171" s="11" t="str">
        <f ca="1">IFERROR(__xludf.DUMMYFUNCTION("IFERROR(VLOOKUP(E188&amp;F188,IMPORTRANGE(""https://docs.google.com/spreadsheets/d/1Uw7-A9f9R21vMXxHZFNpYNeKFtG8_yji4HS352LGlSQ/edit?pli=1#gid=0"",""1_ACUM!A4:S""),11,FALSE))"),"")</f>
        <v/>
      </c>
      <c r="AW171" s="20" t="str">
        <f ca="1">IFERROR(__xludf.DUMMYFUNCTION("IFERROR(VLOOKUP(F188,IMPORTRANGE(""https://docs.google.com/spreadsheets/d/1Kvs4KS76FHFqLFIZfrDMff4kP08nblUkihrxltoGBjg/edit#gid=934712705"",""ESENCIAL!A6:BG""),15,FALSE))"),"")</f>
        <v/>
      </c>
      <c r="AX171" s="21" t="str">
        <f ca="1">IFERROR(__xludf.DUMMYFUNCTION("IFERROR(VLOOKUP(E188&amp;F188,IMPORTRANGE(""https://docs.google.com/spreadsheets/d/1Uw7-A9f9R21vMXxHZFNpYNeKFtG8_yji4HS352LGlSQ/edit?pli=1#gid=0"",""1_ACUM!A4:S""),12,FALSE))"),"")</f>
        <v/>
      </c>
      <c r="AY171" s="22" t="str">
        <f ca="1">IFERROR(__xludf.DUMMYFUNCTION("IFERROR(VLOOKUP(E188&amp;F188,IMPORTRANGE(""https://docs.google.com/spreadsheets/d/1Uw7-A9f9R21vMXxHZFNpYNeKFtG8_yji4HS352LGlSQ/edit?pli=1#gid=0"",""1_ACUM!A4:S""),13,FALSE))"),"")</f>
        <v/>
      </c>
      <c r="AZ171" s="22" t="str">
        <f ca="1">IFERROR(__xludf.DUMMYFUNCTION("IFERROR(VLOOKUP(E188&amp;F188,IMPORTRANGE(""https://docs.google.com/spreadsheets/d/1Uw7-A9f9R21vMXxHZFNpYNeKFtG8_yji4HS352LGlSQ/edit?pli=1#gid=0"",""1_ACUM!A4:S""),14,FALSE))"),"")</f>
        <v/>
      </c>
      <c r="BA171" s="22" t="str">
        <f ca="1">IFERROR(__xludf.DUMMYFUNCTION("IFERROR(VLOOKUP(E188&amp;F188,IMPORTRANGE(""https://docs.google.com/spreadsheets/d/1Uw7-A9f9R21vMXxHZFNpYNeKFtG8_yji4HS352LGlSQ/edit?pli=1#gid=0"",""1_ACUM!A4:S""),15,FALSE))"),"")</f>
        <v/>
      </c>
      <c r="BB171" s="22" t="str">
        <f ca="1">IFERROR(__xludf.DUMMYFUNCTION("IFERROR(VLOOKUP(E188&amp;F188,IMPORTRANGE(""https://docs.google.com/spreadsheets/d/1Uw7-A9f9R21vMXxHZFNpYNeKFtG8_yji4HS352LGlSQ/edit?pli=1#gid=0"",""1_ACUM!A4:S""),16,FALSE))"),"")</f>
        <v/>
      </c>
      <c r="BC171" s="22" t="str">
        <f ca="1">IFERROR(__xludf.DUMMYFUNCTION("IFERROR(VLOOKUP(E188&amp;F188,IMPORTRANGE(""https://docs.google.com/spreadsheets/d/1Uw7-A9f9R21vMXxHZFNpYNeKFtG8_yji4HS352LGlSQ/edit?pli=1#gid=0"",""1_ACUM!A4:S""),17,FALSE))"),"")</f>
        <v/>
      </c>
      <c r="BD171" s="23" t="str">
        <f ca="1">IFERROR(__xludf.DUMMYFUNCTION("IFERROR(VLOOKUP(E188&amp;F188,IMPORTRANGE(""https://docs.google.com/spreadsheets/d/1Uw7-A9f9R21vMXxHZFNpYNeKFtG8_yji4HS352LGlSQ/edit?pli=1#gid=0"",""1_ACUM!A4:S""),18,FALSE))"),"")</f>
        <v/>
      </c>
      <c r="BE171" s="23" t="str">
        <f ca="1">IFERROR(__xludf.DUMMYFUNCTION("IFERROR(VLOOKUP(E188&amp;F188,IMPORTRANGE(""https://docs.google.com/spreadsheets/d/1Uw7-A9f9R21vMXxHZFNpYNeKFtG8_yji4HS352LGlSQ/edit?pli=1#gid=0"",""1_ACUM!A4:S""),19,FALSE))"),"")</f>
        <v/>
      </c>
      <c r="BF171" s="23" t="str">
        <f ca="1">IFERROR(__xludf.DUMMYFUNCTION("IFERROR(VLOOKUP(F188,IMPORTRANGE(""https://docs.google.com/spreadsheets/d/1Kvs4KS76FHFqLFIZfrDMff4kP08nblUkihrxltoGBjg/edit#gid=934712705"",""ESENCIAL!A6:BG""),5,FALSE))"),"")</f>
        <v/>
      </c>
      <c r="BG171" s="23" t="e">
        <f t="shared" ca="1" si="21"/>
        <v>#VALUE!</v>
      </c>
      <c r="BH171" s="19" t="e">
        <f t="shared" ca="1" si="22"/>
        <v>#VALUE!</v>
      </c>
      <c r="BI171" s="19" t="str">
        <f ca="1">IFERROR(__xludf.DUMMYFUNCTION("IFERROR(VLOOKUP(F188,IMPORTRANGE(""https://docs.google.com/spreadsheets/d/1Kvs4KS76FHFqLFIZfrDMff4kP08nblUkihrxltoGBjg/edit#gid=934712705"",""ESENCIAL!A6:BG""),18,FALSE))"),"")</f>
        <v/>
      </c>
      <c r="BJ171" s="19" t="str">
        <f t="shared" si="23"/>
        <v>Yamboro</v>
      </c>
      <c r="BK171" s="291"/>
      <c r="BL171" s="19"/>
    </row>
    <row r="172" spans="1:64" ht="24">
      <c r="A172" s="290" t="s">
        <v>1138</v>
      </c>
      <c r="B172" s="145" t="s">
        <v>25</v>
      </c>
      <c r="C172" s="71" t="s">
        <v>1576</v>
      </c>
      <c r="D172" s="57" t="s">
        <v>27</v>
      </c>
      <c r="E172" s="57">
        <v>1121843364</v>
      </c>
      <c r="F172" s="114">
        <v>2590833</v>
      </c>
      <c r="G172" s="11" t="s">
        <v>508</v>
      </c>
      <c r="H172" s="11" t="s">
        <v>1517</v>
      </c>
      <c r="I172" s="142">
        <v>3103247938</v>
      </c>
      <c r="J172" s="142" t="s">
        <v>1577</v>
      </c>
      <c r="K172" s="30" t="s">
        <v>84</v>
      </c>
      <c r="L172" s="54" t="s">
        <v>28</v>
      </c>
      <c r="M172" s="54" t="s">
        <v>1578</v>
      </c>
      <c r="N172" s="54" t="s">
        <v>1579</v>
      </c>
      <c r="O172" s="142" t="s">
        <v>1580</v>
      </c>
      <c r="P172" s="142" t="s">
        <v>102</v>
      </c>
      <c r="Q172" s="182" t="s">
        <v>1581</v>
      </c>
      <c r="R172" s="88" t="s">
        <v>1521</v>
      </c>
      <c r="S172" s="181" t="s">
        <v>1080</v>
      </c>
      <c r="T172" s="65"/>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19" t="str">
        <f t="shared" ca="1" si="20"/>
        <v>NO_CUMPLE</v>
      </c>
      <c r="AV172" s="11" t="str">
        <f ca="1">IFERROR(__xludf.DUMMYFUNCTION("IFERROR(VLOOKUP(E189&amp;F189,IMPORTRANGE(""https://docs.google.com/spreadsheets/d/1Uw7-A9f9R21vMXxHZFNpYNeKFtG8_yji4HS352LGlSQ/edit?pli=1#gid=0"",""1_ACUM!A4:S""),11,FALSE))"),"")</f>
        <v/>
      </c>
      <c r="AW172" s="20" t="str">
        <f ca="1">IFERROR(__xludf.DUMMYFUNCTION("IFERROR(VLOOKUP(F189,IMPORTRANGE(""https://docs.google.com/spreadsheets/d/1Kvs4KS76FHFqLFIZfrDMff4kP08nblUkihrxltoGBjg/edit#gid=934712705"",""ESENCIAL!A6:BG""),15,FALSE))"),"")</f>
        <v/>
      </c>
      <c r="AX172" s="21" t="str">
        <f ca="1">IFERROR(__xludf.DUMMYFUNCTION("IFERROR(VLOOKUP(E189&amp;F189,IMPORTRANGE(""https://docs.google.com/spreadsheets/d/1Uw7-A9f9R21vMXxHZFNpYNeKFtG8_yji4HS352LGlSQ/edit?pli=1#gid=0"",""1_ACUM!A4:S""),12,FALSE))"),"")</f>
        <v/>
      </c>
      <c r="AY172" s="22" t="str">
        <f ca="1">IFERROR(__xludf.DUMMYFUNCTION("IFERROR(VLOOKUP(E189&amp;F189,IMPORTRANGE(""https://docs.google.com/spreadsheets/d/1Uw7-A9f9R21vMXxHZFNpYNeKFtG8_yji4HS352LGlSQ/edit?pli=1#gid=0"",""1_ACUM!A4:S""),13,FALSE))"),"")</f>
        <v/>
      </c>
      <c r="AZ172" s="22" t="str">
        <f ca="1">IFERROR(__xludf.DUMMYFUNCTION("IFERROR(VLOOKUP(E189&amp;F189,IMPORTRANGE(""https://docs.google.com/spreadsheets/d/1Uw7-A9f9R21vMXxHZFNpYNeKFtG8_yji4HS352LGlSQ/edit?pli=1#gid=0"",""1_ACUM!A4:S""),14,FALSE))"),"")</f>
        <v/>
      </c>
      <c r="BA172" s="22" t="str">
        <f ca="1">IFERROR(__xludf.DUMMYFUNCTION("IFERROR(VLOOKUP(E189&amp;F189,IMPORTRANGE(""https://docs.google.com/spreadsheets/d/1Uw7-A9f9R21vMXxHZFNpYNeKFtG8_yji4HS352LGlSQ/edit?pli=1#gid=0"",""1_ACUM!A4:S""),15,FALSE))"),"")</f>
        <v/>
      </c>
      <c r="BB172" s="22" t="str">
        <f ca="1">IFERROR(__xludf.DUMMYFUNCTION("IFERROR(VLOOKUP(E189&amp;F189,IMPORTRANGE(""https://docs.google.com/spreadsheets/d/1Uw7-A9f9R21vMXxHZFNpYNeKFtG8_yji4HS352LGlSQ/edit?pli=1#gid=0"",""1_ACUM!A4:S""),16,FALSE))"),"")</f>
        <v/>
      </c>
      <c r="BC172" s="22" t="str">
        <f ca="1">IFERROR(__xludf.DUMMYFUNCTION("IFERROR(VLOOKUP(E189&amp;F189,IMPORTRANGE(""https://docs.google.com/spreadsheets/d/1Uw7-A9f9R21vMXxHZFNpYNeKFtG8_yji4HS352LGlSQ/edit?pli=1#gid=0"",""1_ACUM!A4:S""),17,FALSE))"),"")</f>
        <v/>
      </c>
      <c r="BD172" s="23" t="str">
        <f ca="1">IFERROR(__xludf.DUMMYFUNCTION("IFERROR(VLOOKUP(E189&amp;F189,IMPORTRANGE(""https://docs.google.com/spreadsheets/d/1Uw7-A9f9R21vMXxHZFNpYNeKFtG8_yji4HS352LGlSQ/edit?pli=1#gid=0"",""1_ACUM!A4:S""),18,FALSE))"),"")</f>
        <v/>
      </c>
      <c r="BE172" s="23" t="str">
        <f ca="1">IFERROR(__xludf.DUMMYFUNCTION("IFERROR(VLOOKUP(E189&amp;F189,IMPORTRANGE(""https://docs.google.com/spreadsheets/d/1Uw7-A9f9R21vMXxHZFNpYNeKFtG8_yji4HS352LGlSQ/edit?pli=1#gid=0"",""1_ACUM!A4:S""),19,FALSE))"),"")</f>
        <v/>
      </c>
      <c r="BF172" s="23" t="str">
        <f ca="1">IFERROR(__xludf.DUMMYFUNCTION("IFERROR(VLOOKUP(F189,IMPORTRANGE(""https://docs.google.com/spreadsheets/d/1Kvs4KS76FHFqLFIZfrDMff4kP08nblUkihrxltoGBjg/edit#gid=934712705"",""ESENCIAL!A6:BG""),5,FALSE))"),"")</f>
        <v/>
      </c>
      <c r="BG172" s="23" t="e">
        <f t="shared" ca="1" si="21"/>
        <v>#VALUE!</v>
      </c>
      <c r="BH172" s="19" t="e">
        <f t="shared" ca="1" si="22"/>
        <v>#VALUE!</v>
      </c>
      <c r="BI172" s="19" t="str">
        <f ca="1">IFERROR(__xludf.DUMMYFUNCTION("IFERROR(VLOOKUP(F189,IMPORTRANGE(""https://docs.google.com/spreadsheets/d/1Kvs4KS76FHFqLFIZfrDMff4kP08nblUkihrxltoGBjg/edit#gid=934712705"",""ESENCIAL!A6:BG""),18,FALSE))"),"")</f>
        <v/>
      </c>
      <c r="BJ172" s="19" t="str">
        <f t="shared" si="23"/>
        <v>Yamboro</v>
      </c>
      <c r="BK172" s="291"/>
      <c r="BL172" s="19"/>
    </row>
    <row r="173" spans="1:64" s="255" customFormat="1" ht="24">
      <c r="A173" s="290" t="s">
        <v>1138</v>
      </c>
      <c r="B173" s="256" t="s">
        <v>25</v>
      </c>
      <c r="C173" s="265" t="s">
        <v>1582</v>
      </c>
      <c r="D173" s="257" t="s">
        <v>27</v>
      </c>
      <c r="E173" s="257">
        <v>1123314274</v>
      </c>
      <c r="F173" s="266">
        <v>2590833</v>
      </c>
      <c r="G173" s="258" t="s">
        <v>508</v>
      </c>
      <c r="H173" s="258" t="s">
        <v>1517</v>
      </c>
      <c r="I173" s="267"/>
      <c r="J173" s="272" t="s">
        <v>1583</v>
      </c>
      <c r="K173" s="259"/>
      <c r="L173" s="259" t="s">
        <v>1566</v>
      </c>
      <c r="M173" s="259" t="s">
        <v>1584</v>
      </c>
      <c r="N173" s="259"/>
      <c r="O173" s="267"/>
      <c r="P173" s="267" t="s">
        <v>1585</v>
      </c>
      <c r="Q173" s="267"/>
      <c r="R173" s="268">
        <v>44928</v>
      </c>
      <c r="S173" s="271" t="s">
        <v>158</v>
      </c>
      <c r="T173" s="269"/>
      <c r="U173" s="259"/>
      <c r="V173" s="259"/>
      <c r="W173" s="259"/>
      <c r="X173" s="259"/>
      <c r="Y173" s="259"/>
      <c r="Z173" s="259"/>
      <c r="AA173" s="259"/>
      <c r="AB173" s="259"/>
      <c r="AC173" s="259"/>
      <c r="AD173" s="259"/>
      <c r="AE173" s="259"/>
      <c r="AF173" s="259"/>
      <c r="AG173" s="259"/>
      <c r="AH173" s="259"/>
      <c r="AI173" s="259"/>
      <c r="AJ173" s="259"/>
      <c r="AK173" s="259"/>
      <c r="AL173" s="259"/>
      <c r="AM173" s="259"/>
      <c r="AN173" s="259"/>
      <c r="AO173" s="259"/>
      <c r="AP173" s="259"/>
      <c r="AQ173" s="259"/>
      <c r="AR173" s="259"/>
      <c r="AS173" s="259"/>
      <c r="AT173" s="259"/>
      <c r="AU173" s="260" t="str">
        <f t="shared" ca="1" si="20"/>
        <v>NO_CUMPLE</v>
      </c>
      <c r="AV173" s="258" t="str">
        <f ca="1">IFERROR(__xludf.DUMMYFUNCTION("IFERROR(VLOOKUP(E190&amp;F190,IMPORTRANGE(""https://docs.google.com/spreadsheets/d/1Uw7-A9f9R21vMXxHZFNpYNeKFtG8_yji4HS352LGlSQ/edit?pli=1#gid=0"",""1_ACUM!A4:S""),11,FALSE))"),"")</f>
        <v/>
      </c>
      <c r="AW173" s="261" t="str">
        <f ca="1">IFERROR(__xludf.DUMMYFUNCTION("IFERROR(VLOOKUP(F190,IMPORTRANGE(""https://docs.google.com/spreadsheets/d/1Kvs4KS76FHFqLFIZfrDMff4kP08nblUkihrxltoGBjg/edit#gid=934712705"",""ESENCIAL!A6:BG""),15,FALSE))"),"")</f>
        <v/>
      </c>
      <c r="AX173" s="262" t="str">
        <f ca="1">IFERROR(__xludf.DUMMYFUNCTION("IFERROR(VLOOKUP(E190&amp;F190,IMPORTRANGE(""https://docs.google.com/spreadsheets/d/1Uw7-A9f9R21vMXxHZFNpYNeKFtG8_yji4HS352LGlSQ/edit?pli=1#gid=0"",""1_ACUM!A4:S""),12,FALSE))"),"")</f>
        <v/>
      </c>
      <c r="AY173" s="263" t="str">
        <f ca="1">IFERROR(__xludf.DUMMYFUNCTION("IFERROR(VLOOKUP(E190&amp;F190,IMPORTRANGE(""https://docs.google.com/spreadsheets/d/1Uw7-A9f9R21vMXxHZFNpYNeKFtG8_yji4HS352LGlSQ/edit?pli=1#gid=0"",""1_ACUM!A4:S""),13,FALSE))"),"")</f>
        <v/>
      </c>
      <c r="AZ173" s="263" t="str">
        <f ca="1">IFERROR(__xludf.DUMMYFUNCTION("IFERROR(VLOOKUP(E190&amp;F190,IMPORTRANGE(""https://docs.google.com/spreadsheets/d/1Uw7-A9f9R21vMXxHZFNpYNeKFtG8_yji4HS352LGlSQ/edit?pli=1#gid=0"",""1_ACUM!A4:S""),14,FALSE))"),"")</f>
        <v/>
      </c>
      <c r="BA173" s="263" t="str">
        <f ca="1">IFERROR(__xludf.DUMMYFUNCTION("IFERROR(VLOOKUP(E190&amp;F190,IMPORTRANGE(""https://docs.google.com/spreadsheets/d/1Uw7-A9f9R21vMXxHZFNpYNeKFtG8_yji4HS352LGlSQ/edit?pli=1#gid=0"",""1_ACUM!A4:S""),15,FALSE))"),"")</f>
        <v/>
      </c>
      <c r="BB173" s="263" t="str">
        <f ca="1">IFERROR(__xludf.DUMMYFUNCTION("IFERROR(VLOOKUP(E190&amp;F190,IMPORTRANGE(""https://docs.google.com/spreadsheets/d/1Uw7-A9f9R21vMXxHZFNpYNeKFtG8_yji4HS352LGlSQ/edit?pli=1#gid=0"",""1_ACUM!A4:S""),16,FALSE))"),"")</f>
        <v/>
      </c>
      <c r="BC173" s="263" t="str">
        <f ca="1">IFERROR(__xludf.DUMMYFUNCTION("IFERROR(VLOOKUP(E190&amp;F190,IMPORTRANGE(""https://docs.google.com/spreadsheets/d/1Uw7-A9f9R21vMXxHZFNpYNeKFtG8_yji4HS352LGlSQ/edit?pli=1#gid=0"",""1_ACUM!A4:S""),17,FALSE))"),"")</f>
        <v/>
      </c>
      <c r="BD173" s="264" t="str">
        <f ca="1">IFERROR(__xludf.DUMMYFUNCTION("IFERROR(VLOOKUP(E190&amp;F190,IMPORTRANGE(""https://docs.google.com/spreadsheets/d/1Uw7-A9f9R21vMXxHZFNpYNeKFtG8_yji4HS352LGlSQ/edit?pli=1#gid=0"",""1_ACUM!A4:S""),18,FALSE))"),"")</f>
        <v/>
      </c>
      <c r="BE173" s="264" t="str">
        <f ca="1">IFERROR(__xludf.DUMMYFUNCTION("IFERROR(VLOOKUP(E190&amp;F190,IMPORTRANGE(""https://docs.google.com/spreadsheets/d/1Uw7-A9f9R21vMXxHZFNpYNeKFtG8_yji4HS352LGlSQ/edit?pli=1#gid=0"",""1_ACUM!A4:S""),19,FALSE))"),"")</f>
        <v/>
      </c>
      <c r="BF173" s="264" t="str">
        <f ca="1">IFERROR(__xludf.DUMMYFUNCTION("IFERROR(VLOOKUP(F190,IMPORTRANGE(""https://docs.google.com/spreadsheets/d/1Kvs4KS76FHFqLFIZfrDMff4kP08nblUkihrxltoGBjg/edit#gid=934712705"",""ESENCIAL!A6:BG""),5,FALSE))"),"")</f>
        <v/>
      </c>
      <c r="BG173" s="264" t="e">
        <f t="shared" ca="1" si="21"/>
        <v>#VALUE!</v>
      </c>
      <c r="BH173" s="260" t="e">
        <f t="shared" ca="1" si="22"/>
        <v>#VALUE!</v>
      </c>
      <c r="BI173" s="260" t="str">
        <f ca="1">IFERROR(__xludf.DUMMYFUNCTION("IFERROR(VLOOKUP(F190,IMPORTRANGE(""https://docs.google.com/spreadsheets/d/1Kvs4KS76FHFqLFIZfrDMff4kP08nblUkihrxltoGBjg/edit#gid=934712705"",""ESENCIAL!A6:BG""),18,FALSE))"),"")</f>
        <v/>
      </c>
      <c r="BJ173" s="260" t="str">
        <f t="shared" si="23"/>
        <v>Yamboro</v>
      </c>
      <c r="BK173" s="320"/>
      <c r="BL173" s="260"/>
    </row>
    <row r="174" spans="1:64" ht="24" hidden="1">
      <c r="A174" s="290"/>
      <c r="B174" s="145" t="s">
        <v>25</v>
      </c>
      <c r="C174" s="71" t="s">
        <v>1586</v>
      </c>
      <c r="D174" s="57" t="s">
        <v>27</v>
      </c>
      <c r="E174" s="57">
        <v>36295383</v>
      </c>
      <c r="F174" s="114">
        <v>2590833</v>
      </c>
      <c r="G174" s="11" t="s">
        <v>508</v>
      </c>
      <c r="H174" s="11" t="s">
        <v>1517</v>
      </c>
      <c r="I174" s="142"/>
      <c r="J174" s="142"/>
      <c r="K174" s="30"/>
      <c r="L174" s="285" t="s">
        <v>44</v>
      </c>
      <c r="M174" s="54"/>
      <c r="N174" s="54"/>
      <c r="O174" s="142"/>
      <c r="P174" s="142"/>
      <c r="Q174" s="142"/>
      <c r="R174" s="88"/>
      <c r="S174" s="88"/>
      <c r="T174" s="65"/>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19" t="str">
        <f t="shared" ca="1" si="20"/>
        <v>NO_CUMPLE</v>
      </c>
      <c r="AV174" s="11" t="str">
        <f ca="1">IFERROR(__xludf.DUMMYFUNCTION("IFERROR(VLOOKUP(E191&amp;F191,IMPORTRANGE(""https://docs.google.com/spreadsheets/d/1Uw7-A9f9R21vMXxHZFNpYNeKFtG8_yji4HS352LGlSQ/edit?pli=1#gid=0"",""1_ACUM!A4:S""),11,FALSE))"),"")</f>
        <v/>
      </c>
      <c r="AW174" s="20" t="str">
        <f ca="1">IFERROR(__xludf.DUMMYFUNCTION("IFERROR(VLOOKUP(F191,IMPORTRANGE(""https://docs.google.com/spreadsheets/d/1Kvs4KS76FHFqLFIZfrDMff4kP08nblUkihrxltoGBjg/edit#gid=934712705"",""ESENCIAL!A6:BG""),15,FALSE))"),"")</f>
        <v/>
      </c>
      <c r="AX174" s="21" t="str">
        <f ca="1">IFERROR(__xludf.DUMMYFUNCTION("IFERROR(VLOOKUP(E191&amp;F191,IMPORTRANGE(""https://docs.google.com/spreadsheets/d/1Uw7-A9f9R21vMXxHZFNpYNeKFtG8_yji4HS352LGlSQ/edit?pli=1#gid=0"",""1_ACUM!A4:S""),12,FALSE))"),"")</f>
        <v/>
      </c>
      <c r="AY174" s="22" t="str">
        <f ca="1">IFERROR(__xludf.DUMMYFUNCTION("IFERROR(VLOOKUP(E191&amp;F191,IMPORTRANGE(""https://docs.google.com/spreadsheets/d/1Uw7-A9f9R21vMXxHZFNpYNeKFtG8_yji4HS352LGlSQ/edit?pli=1#gid=0"",""1_ACUM!A4:S""),13,FALSE))"),"")</f>
        <v/>
      </c>
      <c r="AZ174" s="22" t="str">
        <f ca="1">IFERROR(__xludf.DUMMYFUNCTION("IFERROR(VLOOKUP(E191&amp;F191,IMPORTRANGE(""https://docs.google.com/spreadsheets/d/1Uw7-A9f9R21vMXxHZFNpYNeKFtG8_yji4HS352LGlSQ/edit?pli=1#gid=0"",""1_ACUM!A4:S""),14,FALSE))"),"")</f>
        <v/>
      </c>
      <c r="BA174" s="22" t="str">
        <f ca="1">IFERROR(__xludf.DUMMYFUNCTION("IFERROR(VLOOKUP(E191&amp;F191,IMPORTRANGE(""https://docs.google.com/spreadsheets/d/1Uw7-A9f9R21vMXxHZFNpYNeKFtG8_yji4HS352LGlSQ/edit?pli=1#gid=0"",""1_ACUM!A4:S""),15,FALSE))"),"")</f>
        <v/>
      </c>
      <c r="BB174" s="22" t="str">
        <f ca="1">IFERROR(__xludf.DUMMYFUNCTION("IFERROR(VLOOKUP(E191&amp;F191,IMPORTRANGE(""https://docs.google.com/spreadsheets/d/1Uw7-A9f9R21vMXxHZFNpYNeKFtG8_yji4HS352LGlSQ/edit?pli=1#gid=0"",""1_ACUM!A4:S""),16,FALSE))"),"")</f>
        <v/>
      </c>
      <c r="BC174" s="22" t="str">
        <f ca="1">IFERROR(__xludf.DUMMYFUNCTION("IFERROR(VLOOKUP(E191&amp;F191,IMPORTRANGE(""https://docs.google.com/spreadsheets/d/1Uw7-A9f9R21vMXxHZFNpYNeKFtG8_yji4HS352LGlSQ/edit?pli=1#gid=0"",""1_ACUM!A4:S""),17,FALSE))"),"")</f>
        <v/>
      </c>
      <c r="BD174" s="23" t="str">
        <f ca="1">IFERROR(__xludf.DUMMYFUNCTION("IFERROR(VLOOKUP(E191&amp;F191,IMPORTRANGE(""https://docs.google.com/spreadsheets/d/1Uw7-A9f9R21vMXxHZFNpYNeKFtG8_yji4HS352LGlSQ/edit?pli=1#gid=0"",""1_ACUM!A4:S""),18,FALSE))"),"")</f>
        <v/>
      </c>
      <c r="BE174" s="23" t="str">
        <f ca="1">IFERROR(__xludf.DUMMYFUNCTION("IFERROR(VLOOKUP(E191&amp;F191,IMPORTRANGE(""https://docs.google.com/spreadsheets/d/1Uw7-A9f9R21vMXxHZFNpYNeKFtG8_yji4HS352LGlSQ/edit?pli=1#gid=0"",""1_ACUM!A4:S""),19,FALSE))"),"")</f>
        <v/>
      </c>
      <c r="BF174" s="23" t="str">
        <f ca="1">IFERROR(__xludf.DUMMYFUNCTION("IFERROR(VLOOKUP(F191,IMPORTRANGE(""https://docs.google.com/spreadsheets/d/1Kvs4KS76FHFqLFIZfrDMff4kP08nblUkihrxltoGBjg/edit#gid=934712705"",""ESENCIAL!A6:BG""),5,FALSE))"),"")</f>
        <v/>
      </c>
      <c r="BG174" s="23" t="e">
        <f t="shared" ca="1" si="21"/>
        <v>#VALUE!</v>
      </c>
      <c r="BH174" s="19" t="e">
        <f t="shared" ca="1" si="22"/>
        <v>#VALUE!</v>
      </c>
      <c r="BI174" s="19" t="str">
        <f ca="1">IFERROR(__xludf.DUMMYFUNCTION("IFERROR(VLOOKUP(F191,IMPORTRANGE(""https://docs.google.com/spreadsheets/d/1Kvs4KS76FHFqLFIZfrDMff4kP08nblUkihrxltoGBjg/edit#gid=934712705"",""ESENCIAL!A6:BG""),18,FALSE))"),"")</f>
        <v/>
      </c>
      <c r="BJ174" s="19" t="str">
        <f t="shared" si="23"/>
        <v>Yamboro</v>
      </c>
      <c r="BK174" s="291"/>
      <c r="BL174" s="19"/>
    </row>
    <row r="175" spans="1:64" ht="24" hidden="1">
      <c r="A175" s="290"/>
      <c r="B175" s="145" t="s">
        <v>25</v>
      </c>
      <c r="C175" s="71" t="s">
        <v>1587</v>
      </c>
      <c r="D175" s="57" t="s">
        <v>27</v>
      </c>
      <c r="E175" s="57">
        <v>52901295</v>
      </c>
      <c r="F175" s="114">
        <v>2590833</v>
      </c>
      <c r="G175" s="11" t="s">
        <v>508</v>
      </c>
      <c r="H175" s="11" t="s">
        <v>1517</v>
      </c>
      <c r="I175" s="142"/>
      <c r="J175" s="142"/>
      <c r="K175" s="30"/>
      <c r="L175" s="285" t="s">
        <v>44</v>
      </c>
      <c r="M175" s="54"/>
      <c r="N175" s="54"/>
      <c r="O175" s="142"/>
      <c r="P175" s="142"/>
      <c r="Q175" s="142"/>
      <c r="R175" s="88"/>
      <c r="S175" s="88"/>
      <c r="T175" s="65"/>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19" t="str">
        <f t="shared" ca="1" si="20"/>
        <v>NO_CUMPLE</v>
      </c>
      <c r="AV175" s="11" t="str">
        <f ca="1">IFERROR(__xludf.DUMMYFUNCTION("IFERROR(VLOOKUP(E192&amp;F192,IMPORTRANGE(""https://docs.google.com/spreadsheets/d/1Uw7-A9f9R21vMXxHZFNpYNeKFtG8_yji4HS352LGlSQ/edit?pli=1#gid=0"",""1_ACUM!A4:S""),11,FALSE))"),"")</f>
        <v/>
      </c>
      <c r="AW175" s="20" t="str">
        <f ca="1">IFERROR(__xludf.DUMMYFUNCTION("IFERROR(VLOOKUP(F192,IMPORTRANGE(""https://docs.google.com/spreadsheets/d/1Kvs4KS76FHFqLFIZfrDMff4kP08nblUkihrxltoGBjg/edit#gid=934712705"",""ESENCIAL!A6:BG""),15,FALSE))"),"")</f>
        <v/>
      </c>
      <c r="AX175" s="21" t="str">
        <f ca="1">IFERROR(__xludf.DUMMYFUNCTION("IFERROR(VLOOKUP(E192&amp;F192,IMPORTRANGE(""https://docs.google.com/spreadsheets/d/1Uw7-A9f9R21vMXxHZFNpYNeKFtG8_yji4HS352LGlSQ/edit?pli=1#gid=0"",""1_ACUM!A4:S""),12,FALSE))"),"")</f>
        <v/>
      </c>
      <c r="AY175" s="22" t="str">
        <f ca="1">IFERROR(__xludf.DUMMYFUNCTION("IFERROR(VLOOKUP(E192&amp;F192,IMPORTRANGE(""https://docs.google.com/spreadsheets/d/1Uw7-A9f9R21vMXxHZFNpYNeKFtG8_yji4HS352LGlSQ/edit?pli=1#gid=0"",""1_ACUM!A4:S""),13,FALSE))"),"")</f>
        <v/>
      </c>
      <c r="AZ175" s="22" t="str">
        <f ca="1">IFERROR(__xludf.DUMMYFUNCTION("IFERROR(VLOOKUP(E192&amp;F192,IMPORTRANGE(""https://docs.google.com/spreadsheets/d/1Uw7-A9f9R21vMXxHZFNpYNeKFtG8_yji4HS352LGlSQ/edit?pli=1#gid=0"",""1_ACUM!A4:S""),14,FALSE))"),"")</f>
        <v/>
      </c>
      <c r="BA175" s="22" t="str">
        <f ca="1">IFERROR(__xludf.DUMMYFUNCTION("IFERROR(VLOOKUP(E192&amp;F192,IMPORTRANGE(""https://docs.google.com/spreadsheets/d/1Uw7-A9f9R21vMXxHZFNpYNeKFtG8_yji4HS352LGlSQ/edit?pli=1#gid=0"",""1_ACUM!A4:S""),15,FALSE))"),"")</f>
        <v/>
      </c>
      <c r="BB175" s="22" t="str">
        <f ca="1">IFERROR(__xludf.DUMMYFUNCTION("IFERROR(VLOOKUP(E192&amp;F192,IMPORTRANGE(""https://docs.google.com/spreadsheets/d/1Uw7-A9f9R21vMXxHZFNpYNeKFtG8_yji4HS352LGlSQ/edit?pli=1#gid=0"",""1_ACUM!A4:S""),16,FALSE))"),"")</f>
        <v/>
      </c>
      <c r="BC175" s="22" t="str">
        <f ca="1">IFERROR(__xludf.DUMMYFUNCTION("IFERROR(VLOOKUP(E192&amp;F192,IMPORTRANGE(""https://docs.google.com/spreadsheets/d/1Uw7-A9f9R21vMXxHZFNpYNeKFtG8_yji4HS352LGlSQ/edit?pli=1#gid=0"",""1_ACUM!A4:S""),17,FALSE))"),"")</f>
        <v/>
      </c>
      <c r="BD175" s="23" t="str">
        <f ca="1">IFERROR(__xludf.DUMMYFUNCTION("IFERROR(VLOOKUP(E192&amp;F192,IMPORTRANGE(""https://docs.google.com/spreadsheets/d/1Uw7-A9f9R21vMXxHZFNpYNeKFtG8_yji4HS352LGlSQ/edit?pli=1#gid=0"",""1_ACUM!A4:S""),18,FALSE))"),"")</f>
        <v/>
      </c>
      <c r="BE175" s="23" t="str">
        <f ca="1">IFERROR(__xludf.DUMMYFUNCTION("IFERROR(VLOOKUP(E192&amp;F192,IMPORTRANGE(""https://docs.google.com/spreadsheets/d/1Uw7-A9f9R21vMXxHZFNpYNeKFtG8_yji4HS352LGlSQ/edit?pli=1#gid=0"",""1_ACUM!A4:S""),19,FALSE))"),"")</f>
        <v/>
      </c>
      <c r="BF175" s="23" t="str">
        <f ca="1">IFERROR(__xludf.DUMMYFUNCTION("IFERROR(VLOOKUP(F192,IMPORTRANGE(""https://docs.google.com/spreadsheets/d/1Kvs4KS76FHFqLFIZfrDMff4kP08nblUkihrxltoGBjg/edit#gid=934712705"",""ESENCIAL!A6:BG""),5,FALSE))"),"")</f>
        <v/>
      </c>
      <c r="BG175" s="23" t="e">
        <f t="shared" ca="1" si="21"/>
        <v>#VALUE!</v>
      </c>
      <c r="BH175" s="19" t="e">
        <f t="shared" ca="1" si="22"/>
        <v>#VALUE!</v>
      </c>
      <c r="BI175" s="19" t="str">
        <f ca="1">IFERROR(__xludf.DUMMYFUNCTION("IFERROR(VLOOKUP(F192,IMPORTRANGE(""https://docs.google.com/spreadsheets/d/1Kvs4KS76FHFqLFIZfrDMff4kP08nblUkihrxltoGBjg/edit#gid=934712705"",""ESENCIAL!A6:BG""),18,FALSE))"),"")</f>
        <v/>
      </c>
      <c r="BJ175" s="19" t="str">
        <f t="shared" si="23"/>
        <v>Yamboro</v>
      </c>
      <c r="BK175" s="291"/>
      <c r="BL175" s="19"/>
    </row>
    <row r="176" spans="1:64" ht="24" hidden="1">
      <c r="A176" s="290"/>
      <c r="B176" s="145" t="s">
        <v>25</v>
      </c>
      <c r="C176" s="71" t="s">
        <v>1588</v>
      </c>
      <c r="D176" s="57" t="s">
        <v>27</v>
      </c>
      <c r="E176" s="57">
        <v>1000859581</v>
      </c>
      <c r="F176" s="114">
        <v>2500012</v>
      </c>
      <c r="G176" s="11" t="str">
        <f ca="1">IFERROR(__xludf.DUMMYFUNCTION("IFERROR(VLOOKUP(F70,IMPORTRANGE(""https://docs.google.com/spreadsheets/d/1Kvs4KS76FHFqLFIZfrDMff4kP08nblUkihrxltoGBjg/edit#gid=934712705"",""ESENCIAL!A6:BG""),3,FALSE))"),"TÉCNICO")</f>
        <v>TÉCNICO</v>
      </c>
      <c r="H176" s="11" t="str">
        <f ca="1">IFERROR(__xludf.DUMMYFUNCTION("IFERROR(VLOOKUP(F70,IMPORTRANGE(""https://docs.google.com/spreadsheets/d/1Kvs4KS76FHFqLFIZfrDMff4kP08nblUkihrxltoGBjg/edit#gid=934712705"",""ESENCIAL!A6:BG""),8,FALSE))"),"SERVICIOS DE BARISMO")</f>
        <v>SERVICIOS DE BARISMO</v>
      </c>
      <c r="I176" s="142"/>
      <c r="J176" s="142"/>
      <c r="K176" s="30"/>
      <c r="L176" s="285" t="s">
        <v>44</v>
      </c>
      <c r="M176" s="54"/>
      <c r="N176" s="54"/>
      <c r="O176" s="142"/>
      <c r="P176" s="142"/>
      <c r="Q176" s="142"/>
      <c r="R176" s="88"/>
      <c r="S176" s="88"/>
      <c r="T176" s="65" t="s">
        <v>1589</v>
      </c>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19" t="str">
        <f t="shared" ca="1" si="20"/>
        <v>NO_CUMPLE</v>
      </c>
      <c r="AV176" s="11" t="str">
        <f ca="1">IFERROR(__xludf.DUMMYFUNCTION("IFERROR(VLOOKUP(E193&amp;F193,IMPORTRANGE(""https://docs.google.com/spreadsheets/d/1Uw7-A9f9R21vMXxHZFNpYNeKFtG8_yji4HS352LGlSQ/edit?pli=1#gid=0"",""1_ACUM!A4:S""),11,FALSE))"),"")</f>
        <v/>
      </c>
      <c r="AW176" s="20" t="str">
        <f ca="1">IFERROR(__xludf.DUMMYFUNCTION("IFERROR(VLOOKUP(F193,IMPORTRANGE(""https://docs.google.com/spreadsheets/d/1Kvs4KS76FHFqLFIZfrDMff4kP08nblUkihrxltoGBjg/edit#gid=934712705"",""ESENCIAL!A6:BG""),15,FALSE))"),"")</f>
        <v/>
      </c>
      <c r="AX176" s="21" t="str">
        <f ca="1">IFERROR(__xludf.DUMMYFUNCTION("IFERROR(VLOOKUP(E193&amp;F193,IMPORTRANGE(""https://docs.google.com/spreadsheets/d/1Uw7-A9f9R21vMXxHZFNpYNeKFtG8_yji4HS352LGlSQ/edit?pli=1#gid=0"",""1_ACUM!A4:S""),12,FALSE))"),"")</f>
        <v/>
      </c>
      <c r="AY176" s="22" t="str">
        <f ca="1">IFERROR(__xludf.DUMMYFUNCTION("IFERROR(VLOOKUP(E193&amp;F193,IMPORTRANGE(""https://docs.google.com/spreadsheets/d/1Uw7-A9f9R21vMXxHZFNpYNeKFtG8_yji4HS352LGlSQ/edit?pli=1#gid=0"",""1_ACUM!A4:S""),13,FALSE))"),"")</f>
        <v/>
      </c>
      <c r="AZ176" s="22" t="str">
        <f ca="1">IFERROR(__xludf.DUMMYFUNCTION("IFERROR(VLOOKUP(E193&amp;F193,IMPORTRANGE(""https://docs.google.com/spreadsheets/d/1Uw7-A9f9R21vMXxHZFNpYNeKFtG8_yji4HS352LGlSQ/edit?pli=1#gid=0"",""1_ACUM!A4:S""),14,FALSE))"),"")</f>
        <v/>
      </c>
      <c r="BA176" s="22" t="str">
        <f ca="1">IFERROR(__xludf.DUMMYFUNCTION("IFERROR(VLOOKUP(E193&amp;F193,IMPORTRANGE(""https://docs.google.com/spreadsheets/d/1Uw7-A9f9R21vMXxHZFNpYNeKFtG8_yji4HS352LGlSQ/edit?pli=1#gid=0"",""1_ACUM!A4:S""),15,FALSE))"),"")</f>
        <v/>
      </c>
      <c r="BB176" s="22" t="str">
        <f ca="1">IFERROR(__xludf.DUMMYFUNCTION("IFERROR(VLOOKUP(E193&amp;F193,IMPORTRANGE(""https://docs.google.com/spreadsheets/d/1Uw7-A9f9R21vMXxHZFNpYNeKFtG8_yji4HS352LGlSQ/edit?pli=1#gid=0"",""1_ACUM!A4:S""),16,FALSE))"),"")</f>
        <v/>
      </c>
      <c r="BC176" s="22" t="str">
        <f ca="1">IFERROR(__xludf.DUMMYFUNCTION("IFERROR(VLOOKUP(E193&amp;F193,IMPORTRANGE(""https://docs.google.com/spreadsheets/d/1Uw7-A9f9R21vMXxHZFNpYNeKFtG8_yji4HS352LGlSQ/edit?pli=1#gid=0"",""1_ACUM!A4:S""),17,FALSE))"),"")</f>
        <v/>
      </c>
      <c r="BD176" s="23" t="str">
        <f ca="1">IFERROR(__xludf.DUMMYFUNCTION("IFERROR(VLOOKUP(E193&amp;F193,IMPORTRANGE(""https://docs.google.com/spreadsheets/d/1Uw7-A9f9R21vMXxHZFNpYNeKFtG8_yji4HS352LGlSQ/edit?pli=1#gid=0"",""1_ACUM!A4:S""),18,FALSE))"),"")</f>
        <v/>
      </c>
      <c r="BE176" s="23" t="str">
        <f ca="1">IFERROR(__xludf.DUMMYFUNCTION("IFERROR(VLOOKUP(E193&amp;F193,IMPORTRANGE(""https://docs.google.com/spreadsheets/d/1Uw7-A9f9R21vMXxHZFNpYNeKFtG8_yji4HS352LGlSQ/edit?pli=1#gid=0"",""1_ACUM!A4:S""),19,FALSE))"),"")</f>
        <v/>
      </c>
      <c r="BF176" s="23" t="str">
        <f ca="1">IFERROR(__xludf.DUMMYFUNCTION("IFERROR(VLOOKUP(F193,IMPORTRANGE(""https://docs.google.com/spreadsheets/d/1Kvs4KS76FHFqLFIZfrDMff4kP08nblUkihrxltoGBjg/edit#gid=934712705"",""ESENCIAL!A6:BG""),5,FALSE))"),"")</f>
        <v/>
      </c>
      <c r="BG176" s="23" t="e">
        <f t="shared" ca="1" si="21"/>
        <v>#VALUE!</v>
      </c>
      <c r="BH176" s="19" t="e">
        <f t="shared" ca="1" si="22"/>
        <v>#VALUE!</v>
      </c>
      <c r="BI176" s="19" t="str">
        <f ca="1">IFERROR(__xludf.DUMMYFUNCTION("IFERROR(VLOOKUP(F193,IMPORTRANGE(""https://docs.google.com/spreadsheets/d/1Kvs4KS76FHFqLFIZfrDMff4kP08nblUkihrxltoGBjg/edit#gid=934712705"",""ESENCIAL!A6:BG""),18,FALSE))"),"")</f>
        <v/>
      </c>
      <c r="BJ176" s="19" t="str">
        <f t="shared" si="23"/>
        <v>Yamboro</v>
      </c>
      <c r="BK176" s="291"/>
      <c r="BL176" s="19"/>
    </row>
    <row r="177" spans="1:64" ht="24" hidden="1">
      <c r="A177" s="290"/>
      <c r="B177" s="145" t="s">
        <v>25</v>
      </c>
      <c r="C177" s="71" t="s">
        <v>1590</v>
      </c>
      <c r="D177" s="57" t="s">
        <v>27</v>
      </c>
      <c r="E177" s="57">
        <v>1004446208</v>
      </c>
      <c r="F177" s="114">
        <v>2500012</v>
      </c>
      <c r="G177" s="11" t="str">
        <f ca="1">IFERROR(__xludf.DUMMYFUNCTION("IFERROR(VLOOKUP(F70,IMPORTRANGE(""https://docs.google.com/spreadsheets/d/1Kvs4KS76FHFqLFIZfrDMff4kP08nblUkihrxltoGBjg/edit#gid=934712705"",""ESENCIAL!A6:BG""),3,FALSE))"),"TÉCNICO")</f>
        <v>TÉCNICO</v>
      </c>
      <c r="H177" s="11" t="str">
        <f ca="1">IFERROR(__xludf.DUMMYFUNCTION("IFERROR(VLOOKUP(F70,IMPORTRANGE(""https://docs.google.com/spreadsheets/d/1Kvs4KS76FHFqLFIZfrDMff4kP08nblUkihrxltoGBjg/edit#gid=934712705"",""ESENCIAL!A6:BG""),8,FALSE))"),"SERVICIOS DE BARISMO")</f>
        <v>SERVICIOS DE BARISMO</v>
      </c>
      <c r="I177" s="142"/>
      <c r="J177" s="142"/>
      <c r="K177" s="30"/>
      <c r="L177" s="285" t="s">
        <v>44</v>
      </c>
      <c r="M177" s="54"/>
      <c r="N177" s="54"/>
      <c r="O177" s="142"/>
      <c r="P177" s="142"/>
      <c r="Q177" s="142"/>
      <c r="R177" s="88"/>
      <c r="S177" s="88"/>
      <c r="T177" s="65"/>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19" t="str">
        <f t="shared" ca="1" si="20"/>
        <v>NO_CUMPLE</v>
      </c>
      <c r="AV177" s="11" t="str">
        <f ca="1">IFERROR(__xludf.DUMMYFUNCTION("IFERROR(VLOOKUP(E194&amp;F194,IMPORTRANGE(""https://docs.google.com/spreadsheets/d/1Uw7-A9f9R21vMXxHZFNpYNeKFtG8_yji4HS352LGlSQ/edit?pli=1#gid=0"",""1_ACUM!A4:S""),11,FALSE))"),"")</f>
        <v/>
      </c>
      <c r="AW177" s="20" t="str">
        <f ca="1">IFERROR(__xludf.DUMMYFUNCTION("IFERROR(VLOOKUP(F194,IMPORTRANGE(""https://docs.google.com/spreadsheets/d/1Kvs4KS76FHFqLFIZfrDMff4kP08nblUkihrxltoGBjg/edit#gid=934712705"",""ESENCIAL!A6:BG""),15,FALSE))"),"")</f>
        <v/>
      </c>
      <c r="AX177" s="21" t="str">
        <f ca="1">IFERROR(__xludf.DUMMYFUNCTION("IFERROR(VLOOKUP(E194&amp;F194,IMPORTRANGE(""https://docs.google.com/spreadsheets/d/1Uw7-A9f9R21vMXxHZFNpYNeKFtG8_yji4HS352LGlSQ/edit?pli=1#gid=0"",""1_ACUM!A4:S""),12,FALSE))"),"")</f>
        <v/>
      </c>
      <c r="AY177" s="22" t="str">
        <f ca="1">IFERROR(__xludf.DUMMYFUNCTION("IFERROR(VLOOKUP(E194&amp;F194,IMPORTRANGE(""https://docs.google.com/spreadsheets/d/1Uw7-A9f9R21vMXxHZFNpYNeKFtG8_yji4HS352LGlSQ/edit?pli=1#gid=0"",""1_ACUM!A4:S""),13,FALSE))"),"")</f>
        <v/>
      </c>
      <c r="AZ177" s="22" t="str">
        <f ca="1">IFERROR(__xludf.DUMMYFUNCTION("IFERROR(VLOOKUP(E194&amp;F194,IMPORTRANGE(""https://docs.google.com/spreadsheets/d/1Uw7-A9f9R21vMXxHZFNpYNeKFtG8_yji4HS352LGlSQ/edit?pli=1#gid=0"",""1_ACUM!A4:S""),14,FALSE))"),"")</f>
        <v/>
      </c>
      <c r="BA177" s="22" t="str">
        <f ca="1">IFERROR(__xludf.DUMMYFUNCTION("IFERROR(VLOOKUP(E194&amp;F194,IMPORTRANGE(""https://docs.google.com/spreadsheets/d/1Uw7-A9f9R21vMXxHZFNpYNeKFtG8_yji4HS352LGlSQ/edit?pli=1#gid=0"",""1_ACUM!A4:S""),15,FALSE))"),"")</f>
        <v/>
      </c>
      <c r="BB177" s="22" t="str">
        <f ca="1">IFERROR(__xludf.DUMMYFUNCTION("IFERROR(VLOOKUP(E194&amp;F194,IMPORTRANGE(""https://docs.google.com/spreadsheets/d/1Uw7-A9f9R21vMXxHZFNpYNeKFtG8_yji4HS352LGlSQ/edit?pli=1#gid=0"",""1_ACUM!A4:S""),16,FALSE))"),"")</f>
        <v/>
      </c>
      <c r="BC177" s="22" t="str">
        <f ca="1">IFERROR(__xludf.DUMMYFUNCTION("IFERROR(VLOOKUP(E194&amp;F194,IMPORTRANGE(""https://docs.google.com/spreadsheets/d/1Uw7-A9f9R21vMXxHZFNpYNeKFtG8_yji4HS352LGlSQ/edit?pli=1#gid=0"",""1_ACUM!A4:S""),17,FALSE))"),"")</f>
        <v/>
      </c>
      <c r="BD177" s="23" t="str">
        <f ca="1">IFERROR(__xludf.DUMMYFUNCTION("IFERROR(VLOOKUP(E194&amp;F194,IMPORTRANGE(""https://docs.google.com/spreadsheets/d/1Uw7-A9f9R21vMXxHZFNpYNeKFtG8_yji4HS352LGlSQ/edit?pli=1#gid=0"",""1_ACUM!A4:S""),18,FALSE))"),"")</f>
        <v/>
      </c>
      <c r="BE177" s="23" t="str">
        <f ca="1">IFERROR(__xludf.DUMMYFUNCTION("IFERROR(VLOOKUP(E194&amp;F194,IMPORTRANGE(""https://docs.google.com/spreadsheets/d/1Uw7-A9f9R21vMXxHZFNpYNeKFtG8_yji4HS352LGlSQ/edit?pli=1#gid=0"",""1_ACUM!A4:S""),19,FALSE))"),"")</f>
        <v/>
      </c>
      <c r="BF177" s="23" t="str">
        <f ca="1">IFERROR(__xludf.DUMMYFUNCTION("IFERROR(VLOOKUP(F194,IMPORTRANGE(""https://docs.google.com/spreadsheets/d/1Kvs4KS76FHFqLFIZfrDMff4kP08nblUkihrxltoGBjg/edit#gid=934712705"",""ESENCIAL!A6:BG""),5,FALSE))"),"")</f>
        <v/>
      </c>
      <c r="BG177" s="23" t="e">
        <f t="shared" ca="1" si="21"/>
        <v>#VALUE!</v>
      </c>
      <c r="BH177" s="19" t="e">
        <f t="shared" ca="1" si="22"/>
        <v>#VALUE!</v>
      </c>
      <c r="BI177" s="19" t="str">
        <f ca="1">IFERROR(__xludf.DUMMYFUNCTION("IFERROR(VLOOKUP(F194,IMPORTRANGE(""https://docs.google.com/spreadsheets/d/1Kvs4KS76FHFqLFIZfrDMff4kP08nblUkihrxltoGBjg/edit#gid=934712705"",""ESENCIAL!A6:BG""),18,FALSE))"),"")</f>
        <v/>
      </c>
      <c r="BJ177" s="19" t="str">
        <f t="shared" si="23"/>
        <v>Yamboro</v>
      </c>
      <c r="BK177" s="291"/>
      <c r="BL177" s="19"/>
    </row>
    <row r="178" spans="1:64" ht="24">
      <c r="A178" s="290" t="s">
        <v>1310</v>
      </c>
      <c r="B178" s="145" t="s">
        <v>25</v>
      </c>
      <c r="C178" s="71" t="s">
        <v>1591</v>
      </c>
      <c r="D178" s="57" t="s">
        <v>27</v>
      </c>
      <c r="E178" s="57">
        <v>1004446590</v>
      </c>
      <c r="F178" s="114">
        <v>2500012</v>
      </c>
      <c r="G178" s="11" t="str">
        <f ca="1">IFERROR(__xludf.DUMMYFUNCTION("IFERROR(VLOOKUP(F70,IMPORTRANGE(""https://docs.google.com/spreadsheets/d/1Kvs4KS76FHFqLFIZfrDMff4kP08nblUkihrxltoGBjg/edit#gid=934712705"",""ESENCIAL!A6:BG""),3,FALSE))"),"TÉCNICO")</f>
        <v>TÉCNICO</v>
      </c>
      <c r="H178" s="11" t="str">
        <f ca="1">IFERROR(__xludf.DUMMYFUNCTION("IFERROR(VLOOKUP(F70,IMPORTRANGE(""https://docs.google.com/spreadsheets/d/1Kvs4KS76FHFqLFIZfrDMff4kP08nblUkihrxltoGBjg/edit#gid=934712705"",""ESENCIAL!A6:BG""),8,FALSE))"),"SERVICIOS DE BARISMO")</f>
        <v>SERVICIOS DE BARISMO</v>
      </c>
      <c r="I178">
        <v>3232897434</v>
      </c>
      <c r="J178" s="182" t="s">
        <v>1592</v>
      </c>
      <c r="K178" s="30" t="s">
        <v>84</v>
      </c>
      <c r="L178" s="54" t="s">
        <v>28</v>
      </c>
      <c r="M178" s="54" t="s">
        <v>121</v>
      </c>
      <c r="N178" s="54" t="s">
        <v>122</v>
      </c>
      <c r="O178" s="142">
        <v>5461500</v>
      </c>
      <c r="P178" s="142" t="s">
        <v>96</v>
      </c>
      <c r="Q178" s="142" t="s">
        <v>123</v>
      </c>
      <c r="R178" s="88" t="s">
        <v>1521</v>
      </c>
      <c r="S178" s="181" t="s">
        <v>1080</v>
      </c>
      <c r="T178" s="65" t="s">
        <v>1593</v>
      </c>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19" t="str">
        <f t="shared" ca="1" si="20"/>
        <v>NO_CUMPLE</v>
      </c>
      <c r="AV178" s="11" t="str">
        <f ca="1">IFERROR(__xludf.DUMMYFUNCTION("IFERROR(VLOOKUP(E195&amp;F195,IMPORTRANGE(""https://docs.google.com/spreadsheets/d/1Uw7-A9f9R21vMXxHZFNpYNeKFtG8_yji4HS352LGlSQ/edit?pli=1#gid=0"",""1_ACUM!A4:S""),11,FALSE))"),"")</f>
        <v/>
      </c>
      <c r="AW178" s="20" t="str">
        <f ca="1">IFERROR(__xludf.DUMMYFUNCTION("IFERROR(VLOOKUP(F195,IMPORTRANGE(""https://docs.google.com/spreadsheets/d/1Kvs4KS76FHFqLFIZfrDMff4kP08nblUkihrxltoGBjg/edit#gid=934712705"",""ESENCIAL!A6:BG""),15,FALSE))"),"")</f>
        <v/>
      </c>
      <c r="AX178" s="21" t="str">
        <f ca="1">IFERROR(__xludf.DUMMYFUNCTION("IFERROR(VLOOKUP(E195&amp;F195,IMPORTRANGE(""https://docs.google.com/spreadsheets/d/1Uw7-A9f9R21vMXxHZFNpYNeKFtG8_yji4HS352LGlSQ/edit?pli=1#gid=0"",""1_ACUM!A4:S""),12,FALSE))"),"")</f>
        <v/>
      </c>
      <c r="AY178" s="22" t="str">
        <f ca="1">IFERROR(__xludf.DUMMYFUNCTION("IFERROR(VLOOKUP(E195&amp;F195,IMPORTRANGE(""https://docs.google.com/spreadsheets/d/1Uw7-A9f9R21vMXxHZFNpYNeKFtG8_yji4HS352LGlSQ/edit?pli=1#gid=0"",""1_ACUM!A4:S""),13,FALSE))"),"")</f>
        <v/>
      </c>
      <c r="AZ178" s="22" t="str">
        <f ca="1">IFERROR(__xludf.DUMMYFUNCTION("IFERROR(VLOOKUP(E195&amp;F195,IMPORTRANGE(""https://docs.google.com/spreadsheets/d/1Uw7-A9f9R21vMXxHZFNpYNeKFtG8_yji4HS352LGlSQ/edit?pli=1#gid=0"",""1_ACUM!A4:S""),14,FALSE))"),"")</f>
        <v/>
      </c>
      <c r="BA178" s="22" t="str">
        <f ca="1">IFERROR(__xludf.DUMMYFUNCTION("IFERROR(VLOOKUP(E195&amp;F195,IMPORTRANGE(""https://docs.google.com/spreadsheets/d/1Uw7-A9f9R21vMXxHZFNpYNeKFtG8_yji4HS352LGlSQ/edit?pli=1#gid=0"",""1_ACUM!A4:S""),15,FALSE))"),"")</f>
        <v/>
      </c>
      <c r="BB178" s="22" t="str">
        <f ca="1">IFERROR(__xludf.DUMMYFUNCTION("IFERROR(VLOOKUP(E195&amp;F195,IMPORTRANGE(""https://docs.google.com/spreadsheets/d/1Uw7-A9f9R21vMXxHZFNpYNeKFtG8_yji4HS352LGlSQ/edit?pli=1#gid=0"",""1_ACUM!A4:S""),16,FALSE))"),"")</f>
        <v/>
      </c>
      <c r="BC178" s="22" t="str">
        <f ca="1">IFERROR(__xludf.DUMMYFUNCTION("IFERROR(VLOOKUP(E195&amp;F195,IMPORTRANGE(""https://docs.google.com/spreadsheets/d/1Uw7-A9f9R21vMXxHZFNpYNeKFtG8_yji4HS352LGlSQ/edit?pli=1#gid=0"",""1_ACUM!A4:S""),17,FALSE))"),"")</f>
        <v/>
      </c>
      <c r="BD178" s="23" t="str">
        <f ca="1">IFERROR(__xludf.DUMMYFUNCTION("IFERROR(VLOOKUP(E195&amp;F195,IMPORTRANGE(""https://docs.google.com/spreadsheets/d/1Uw7-A9f9R21vMXxHZFNpYNeKFtG8_yji4HS352LGlSQ/edit?pli=1#gid=0"",""1_ACUM!A4:S""),18,FALSE))"),"")</f>
        <v/>
      </c>
      <c r="BE178" s="23" t="str">
        <f ca="1">IFERROR(__xludf.DUMMYFUNCTION("IFERROR(VLOOKUP(E195&amp;F195,IMPORTRANGE(""https://docs.google.com/spreadsheets/d/1Uw7-A9f9R21vMXxHZFNpYNeKFtG8_yji4HS352LGlSQ/edit?pli=1#gid=0"",""1_ACUM!A4:S""),19,FALSE))"),"")</f>
        <v/>
      </c>
      <c r="BF178" s="23" t="str">
        <f ca="1">IFERROR(__xludf.DUMMYFUNCTION("IFERROR(VLOOKUP(F195,IMPORTRANGE(""https://docs.google.com/spreadsheets/d/1Kvs4KS76FHFqLFIZfrDMff4kP08nblUkihrxltoGBjg/edit#gid=934712705"",""ESENCIAL!A6:BG""),5,FALSE))"),"")</f>
        <v/>
      </c>
      <c r="BG178" s="23" t="e">
        <f t="shared" ca="1" si="21"/>
        <v>#VALUE!</v>
      </c>
      <c r="BH178" s="19" t="e">
        <f t="shared" ca="1" si="22"/>
        <v>#VALUE!</v>
      </c>
      <c r="BI178" s="19" t="str">
        <f ca="1">IFERROR(__xludf.DUMMYFUNCTION("IFERROR(VLOOKUP(F195,IMPORTRANGE(""https://docs.google.com/spreadsheets/d/1Kvs4KS76FHFqLFIZfrDMff4kP08nblUkihrxltoGBjg/edit#gid=934712705"",""ESENCIAL!A6:BG""),18,FALSE))"),"")</f>
        <v/>
      </c>
      <c r="BJ178" s="19" t="str">
        <f t="shared" si="23"/>
        <v>Yamboro</v>
      </c>
      <c r="BK178" s="291"/>
      <c r="BL178" s="19"/>
    </row>
    <row r="179" spans="1:64" s="245" customFormat="1" ht="24">
      <c r="A179" s="290" t="s">
        <v>1310</v>
      </c>
      <c r="B179" s="227" t="s">
        <v>25</v>
      </c>
      <c r="C179" s="248" t="s">
        <v>1594</v>
      </c>
      <c r="D179" s="229" t="s">
        <v>27</v>
      </c>
      <c r="E179" s="229">
        <v>1006526359</v>
      </c>
      <c r="F179" s="249">
        <v>2500012</v>
      </c>
      <c r="G179" s="226" t="str">
        <f ca="1">IFERROR(__xludf.DUMMYFUNCTION("IFERROR(VLOOKUP(F70,IMPORTRANGE(""https://docs.google.com/spreadsheets/d/1Kvs4KS76FHFqLFIZfrDMff4kP08nblUkihrxltoGBjg/edit#gid=934712705"",""ESENCIAL!A6:BG""),3,FALSE))"),"TÉCNICO")</f>
        <v>TÉCNICO</v>
      </c>
      <c r="H179" s="226" t="str">
        <f ca="1">IFERROR(__xludf.DUMMYFUNCTION("IFERROR(VLOOKUP(F70,IMPORTRANGE(""https://docs.google.com/spreadsheets/d/1Kvs4KS76FHFqLFIZfrDMff4kP08nblUkihrxltoGBjg/edit#gid=934712705"",""ESENCIAL!A6:BG""),8,FALSE))"),"SERVICIOS DE BARISMO")</f>
        <v>SERVICIOS DE BARISMO</v>
      </c>
      <c r="I179" s="250" t="s">
        <v>1595</v>
      </c>
      <c r="J179" s="236" t="s">
        <v>1596</v>
      </c>
      <c r="K179" s="234" t="s">
        <v>937</v>
      </c>
      <c r="L179" s="234" t="s">
        <v>28</v>
      </c>
      <c r="M179" s="234" t="s">
        <v>313</v>
      </c>
      <c r="N179" s="234"/>
      <c r="O179" s="250">
        <v>7456767</v>
      </c>
      <c r="P179" s="250" t="s">
        <v>96</v>
      </c>
      <c r="Q179" s="236" t="s">
        <v>1597</v>
      </c>
      <c r="R179" s="247" t="s">
        <v>1598</v>
      </c>
      <c r="S179" s="237" t="s">
        <v>1599</v>
      </c>
      <c r="T179" s="251"/>
      <c r="U179" s="30"/>
      <c r="V179" s="30"/>
      <c r="W179" s="30"/>
      <c r="X179" s="30"/>
      <c r="Y179" s="30"/>
      <c r="Z179" s="30"/>
      <c r="AA179" s="30"/>
      <c r="AB179" s="30"/>
      <c r="AC179" s="30"/>
      <c r="AD179" s="30"/>
      <c r="AE179" s="30"/>
      <c r="AF179" s="30"/>
      <c r="AG179" s="30"/>
      <c r="AH179" s="30"/>
      <c r="AI179" s="30"/>
      <c r="AJ179" s="30"/>
      <c r="AK179" s="30"/>
      <c r="AL179" s="30"/>
      <c r="AM179" s="30"/>
      <c r="AN179" s="30"/>
      <c r="AO179" s="30"/>
      <c r="AP179" s="234"/>
      <c r="AQ179" s="234"/>
      <c r="AR179" s="234"/>
      <c r="AS179" s="234"/>
      <c r="AT179" s="234"/>
      <c r="AU179" s="240" t="str">
        <f t="shared" ca="1" si="20"/>
        <v>NO_CUMPLE</v>
      </c>
      <c r="AV179" s="226" t="str">
        <f ca="1">IFERROR(__xludf.DUMMYFUNCTION("IFERROR(VLOOKUP(E196&amp;F196,IMPORTRANGE(""https://docs.google.com/spreadsheets/d/1Uw7-A9f9R21vMXxHZFNpYNeKFtG8_yji4HS352LGlSQ/edit?pli=1#gid=0"",""1_ACUM!A4:S""),11,FALSE))"),"")</f>
        <v/>
      </c>
      <c r="AW179" s="241" t="str">
        <f ca="1">IFERROR(__xludf.DUMMYFUNCTION("IFERROR(VLOOKUP(F196,IMPORTRANGE(""https://docs.google.com/spreadsheets/d/1Kvs4KS76FHFqLFIZfrDMff4kP08nblUkihrxltoGBjg/edit#gid=934712705"",""ESENCIAL!A6:BG""),15,FALSE))"),"")</f>
        <v/>
      </c>
      <c r="AX179" s="242" t="str">
        <f ca="1">IFERROR(__xludf.DUMMYFUNCTION("IFERROR(VLOOKUP(E196&amp;F196,IMPORTRANGE(""https://docs.google.com/spreadsheets/d/1Uw7-A9f9R21vMXxHZFNpYNeKFtG8_yji4HS352LGlSQ/edit?pli=1#gid=0"",""1_ACUM!A4:S""),12,FALSE))"),"")</f>
        <v/>
      </c>
      <c r="AY179" s="243" t="str">
        <f ca="1">IFERROR(__xludf.DUMMYFUNCTION("IFERROR(VLOOKUP(E196&amp;F196,IMPORTRANGE(""https://docs.google.com/spreadsheets/d/1Uw7-A9f9R21vMXxHZFNpYNeKFtG8_yji4HS352LGlSQ/edit?pli=1#gid=0"",""1_ACUM!A4:S""),13,FALSE))"),"")</f>
        <v/>
      </c>
      <c r="AZ179" s="243" t="str">
        <f ca="1">IFERROR(__xludf.DUMMYFUNCTION("IFERROR(VLOOKUP(E196&amp;F196,IMPORTRANGE(""https://docs.google.com/spreadsheets/d/1Uw7-A9f9R21vMXxHZFNpYNeKFtG8_yji4HS352LGlSQ/edit?pli=1#gid=0"",""1_ACUM!A4:S""),14,FALSE))"),"")</f>
        <v/>
      </c>
      <c r="BA179" s="243" t="str">
        <f ca="1">IFERROR(__xludf.DUMMYFUNCTION("IFERROR(VLOOKUP(E196&amp;F196,IMPORTRANGE(""https://docs.google.com/spreadsheets/d/1Uw7-A9f9R21vMXxHZFNpYNeKFtG8_yji4HS352LGlSQ/edit?pli=1#gid=0"",""1_ACUM!A4:S""),15,FALSE))"),"")</f>
        <v/>
      </c>
      <c r="BB179" s="243" t="str">
        <f ca="1">IFERROR(__xludf.DUMMYFUNCTION("IFERROR(VLOOKUP(E196&amp;F196,IMPORTRANGE(""https://docs.google.com/spreadsheets/d/1Uw7-A9f9R21vMXxHZFNpYNeKFtG8_yji4HS352LGlSQ/edit?pli=1#gid=0"",""1_ACUM!A4:S""),16,FALSE))"),"")</f>
        <v/>
      </c>
      <c r="BC179" s="243" t="str">
        <f ca="1">IFERROR(__xludf.DUMMYFUNCTION("IFERROR(VLOOKUP(E196&amp;F196,IMPORTRANGE(""https://docs.google.com/spreadsheets/d/1Uw7-A9f9R21vMXxHZFNpYNeKFtG8_yji4HS352LGlSQ/edit?pli=1#gid=0"",""1_ACUM!A4:S""),17,FALSE))"),"")</f>
        <v/>
      </c>
      <c r="BD179" s="244" t="str">
        <f ca="1">IFERROR(__xludf.DUMMYFUNCTION("IFERROR(VLOOKUP(E196&amp;F196,IMPORTRANGE(""https://docs.google.com/spreadsheets/d/1Uw7-A9f9R21vMXxHZFNpYNeKFtG8_yji4HS352LGlSQ/edit?pli=1#gid=0"",""1_ACUM!A4:S""),18,FALSE))"),"")</f>
        <v/>
      </c>
      <c r="BE179" s="244" t="str">
        <f ca="1">IFERROR(__xludf.DUMMYFUNCTION("IFERROR(VLOOKUP(E196&amp;F196,IMPORTRANGE(""https://docs.google.com/spreadsheets/d/1Uw7-A9f9R21vMXxHZFNpYNeKFtG8_yji4HS352LGlSQ/edit?pli=1#gid=0"",""1_ACUM!A4:S""),19,FALSE))"),"")</f>
        <v/>
      </c>
      <c r="BF179" s="244" t="str">
        <f ca="1">IFERROR(__xludf.DUMMYFUNCTION("IFERROR(VLOOKUP(F196,IMPORTRANGE(""https://docs.google.com/spreadsheets/d/1Kvs4KS76FHFqLFIZfrDMff4kP08nblUkihrxltoGBjg/edit#gid=934712705"",""ESENCIAL!A6:BG""),5,FALSE))"),"")</f>
        <v/>
      </c>
      <c r="BG179" s="244" t="e">
        <f t="shared" ca="1" si="21"/>
        <v>#VALUE!</v>
      </c>
      <c r="BH179" s="240" t="e">
        <f t="shared" ca="1" si="22"/>
        <v>#VALUE!</v>
      </c>
      <c r="BI179" s="240" t="str">
        <f ca="1">IFERROR(__xludf.DUMMYFUNCTION("IFERROR(VLOOKUP(F196,IMPORTRANGE(""https://docs.google.com/spreadsheets/d/1Kvs4KS76FHFqLFIZfrDMff4kP08nblUkihrxltoGBjg/edit#gid=934712705"",""ESENCIAL!A6:BG""),18,FALSE))"),"")</f>
        <v/>
      </c>
      <c r="BJ179" s="240" t="str">
        <f t="shared" si="23"/>
        <v>Yamboro</v>
      </c>
      <c r="BK179" s="302"/>
      <c r="BL179" s="240"/>
    </row>
    <row r="180" spans="1:64" ht="24" hidden="1">
      <c r="A180" s="290"/>
      <c r="B180" s="145" t="s">
        <v>25</v>
      </c>
      <c r="C180" s="71" t="s">
        <v>1600</v>
      </c>
      <c r="D180" s="57" t="s">
        <v>27</v>
      </c>
      <c r="E180" s="57">
        <v>1007163412</v>
      </c>
      <c r="F180" s="114">
        <v>2500012</v>
      </c>
      <c r="G180" s="11" t="str">
        <f ca="1">IFERROR(__xludf.DUMMYFUNCTION("IFERROR(VLOOKUP(F70,IMPORTRANGE(""https://docs.google.com/spreadsheets/d/1Kvs4KS76FHFqLFIZfrDMff4kP08nblUkihrxltoGBjg/edit#gid=934712705"",""ESENCIAL!A6:BG""),3,FALSE))"),"TÉCNICO")</f>
        <v>TÉCNICO</v>
      </c>
      <c r="H180" s="11" t="str">
        <f ca="1">IFERROR(__xludf.DUMMYFUNCTION("IFERROR(VLOOKUP(F70,IMPORTRANGE(""https://docs.google.com/spreadsheets/d/1Kvs4KS76FHFqLFIZfrDMff4kP08nblUkihrxltoGBjg/edit#gid=934712705"",""ESENCIAL!A6:BG""),8,FALSE))"),"SERVICIOS DE BARISMO")</f>
        <v>SERVICIOS DE BARISMO</v>
      </c>
      <c r="I180" s="142"/>
      <c r="J180" s="142"/>
      <c r="K180" s="30"/>
      <c r="L180" s="285" t="s">
        <v>44</v>
      </c>
      <c r="M180" s="54"/>
      <c r="N180" s="54"/>
      <c r="O180" s="142"/>
      <c r="P180" s="142"/>
      <c r="Q180" s="142"/>
      <c r="R180" s="88"/>
      <c r="S180" s="88"/>
      <c r="T180" s="65"/>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19" t="str">
        <f t="shared" ca="1" si="20"/>
        <v>NO_CUMPLE</v>
      </c>
      <c r="AV180" s="11" t="str">
        <f ca="1">IFERROR(__xludf.DUMMYFUNCTION("IFERROR(VLOOKUP(E197&amp;F197,IMPORTRANGE(""https://docs.google.com/spreadsheets/d/1Uw7-A9f9R21vMXxHZFNpYNeKFtG8_yji4HS352LGlSQ/edit?pli=1#gid=0"",""1_ACUM!A4:S""),11,FALSE))"),"")</f>
        <v/>
      </c>
      <c r="AW180" s="20" t="str">
        <f ca="1">IFERROR(__xludf.DUMMYFUNCTION("IFERROR(VLOOKUP(F197,IMPORTRANGE(""https://docs.google.com/spreadsheets/d/1Kvs4KS76FHFqLFIZfrDMff4kP08nblUkihrxltoGBjg/edit#gid=934712705"",""ESENCIAL!A6:BG""),15,FALSE))"),"")</f>
        <v/>
      </c>
      <c r="AX180" s="21" t="str">
        <f ca="1">IFERROR(__xludf.DUMMYFUNCTION("IFERROR(VLOOKUP(E197&amp;F197,IMPORTRANGE(""https://docs.google.com/spreadsheets/d/1Uw7-A9f9R21vMXxHZFNpYNeKFtG8_yji4HS352LGlSQ/edit?pli=1#gid=0"",""1_ACUM!A4:S""),12,FALSE))"),"")</f>
        <v/>
      </c>
      <c r="AY180" s="22" t="str">
        <f ca="1">IFERROR(__xludf.DUMMYFUNCTION("IFERROR(VLOOKUP(E197&amp;F197,IMPORTRANGE(""https://docs.google.com/spreadsheets/d/1Uw7-A9f9R21vMXxHZFNpYNeKFtG8_yji4HS352LGlSQ/edit?pli=1#gid=0"",""1_ACUM!A4:S""),13,FALSE))"),"")</f>
        <v/>
      </c>
      <c r="AZ180" s="22" t="str">
        <f ca="1">IFERROR(__xludf.DUMMYFUNCTION("IFERROR(VLOOKUP(E197&amp;F197,IMPORTRANGE(""https://docs.google.com/spreadsheets/d/1Uw7-A9f9R21vMXxHZFNpYNeKFtG8_yji4HS352LGlSQ/edit?pli=1#gid=0"",""1_ACUM!A4:S""),14,FALSE))"),"")</f>
        <v/>
      </c>
      <c r="BA180" s="22" t="str">
        <f ca="1">IFERROR(__xludf.DUMMYFUNCTION("IFERROR(VLOOKUP(E197&amp;F197,IMPORTRANGE(""https://docs.google.com/spreadsheets/d/1Uw7-A9f9R21vMXxHZFNpYNeKFtG8_yji4HS352LGlSQ/edit?pli=1#gid=0"",""1_ACUM!A4:S""),15,FALSE))"),"")</f>
        <v/>
      </c>
      <c r="BB180" s="22" t="str">
        <f ca="1">IFERROR(__xludf.DUMMYFUNCTION("IFERROR(VLOOKUP(E197&amp;F197,IMPORTRANGE(""https://docs.google.com/spreadsheets/d/1Uw7-A9f9R21vMXxHZFNpYNeKFtG8_yji4HS352LGlSQ/edit?pli=1#gid=0"",""1_ACUM!A4:S""),16,FALSE))"),"")</f>
        <v/>
      </c>
      <c r="BC180" s="22" t="str">
        <f ca="1">IFERROR(__xludf.DUMMYFUNCTION("IFERROR(VLOOKUP(E197&amp;F197,IMPORTRANGE(""https://docs.google.com/spreadsheets/d/1Uw7-A9f9R21vMXxHZFNpYNeKFtG8_yji4HS352LGlSQ/edit?pli=1#gid=0"",""1_ACUM!A4:S""),17,FALSE))"),"")</f>
        <v/>
      </c>
      <c r="BD180" s="23" t="str">
        <f ca="1">IFERROR(__xludf.DUMMYFUNCTION("IFERROR(VLOOKUP(E197&amp;F197,IMPORTRANGE(""https://docs.google.com/spreadsheets/d/1Uw7-A9f9R21vMXxHZFNpYNeKFtG8_yji4HS352LGlSQ/edit?pli=1#gid=0"",""1_ACUM!A4:S""),18,FALSE))"),"")</f>
        <v/>
      </c>
      <c r="BE180" s="23" t="str">
        <f ca="1">IFERROR(__xludf.DUMMYFUNCTION("IFERROR(VLOOKUP(E197&amp;F197,IMPORTRANGE(""https://docs.google.com/spreadsheets/d/1Uw7-A9f9R21vMXxHZFNpYNeKFtG8_yji4HS352LGlSQ/edit?pli=1#gid=0"",""1_ACUM!A4:S""),19,FALSE))"),"")</f>
        <v/>
      </c>
      <c r="BF180" s="23" t="str">
        <f ca="1">IFERROR(__xludf.DUMMYFUNCTION("IFERROR(VLOOKUP(F197,IMPORTRANGE(""https://docs.google.com/spreadsheets/d/1Kvs4KS76FHFqLFIZfrDMff4kP08nblUkihrxltoGBjg/edit#gid=934712705"",""ESENCIAL!A6:BG""),5,FALSE))"),"")</f>
        <v/>
      </c>
      <c r="BG180" s="23" t="e">
        <f t="shared" ca="1" si="21"/>
        <v>#VALUE!</v>
      </c>
      <c r="BH180" s="19" t="e">
        <f t="shared" ca="1" si="22"/>
        <v>#VALUE!</v>
      </c>
      <c r="BI180" s="19" t="str">
        <f ca="1">IFERROR(__xludf.DUMMYFUNCTION("IFERROR(VLOOKUP(F197,IMPORTRANGE(""https://docs.google.com/spreadsheets/d/1Kvs4KS76FHFqLFIZfrDMff4kP08nblUkihrxltoGBjg/edit#gid=934712705"",""ESENCIAL!A6:BG""),18,FALSE))"),"")</f>
        <v/>
      </c>
      <c r="BJ180" s="19" t="str">
        <f t="shared" si="23"/>
        <v>Yamboro</v>
      </c>
      <c r="BK180" s="291"/>
      <c r="BL180" s="19"/>
    </row>
    <row r="181" spans="1:64" ht="24" hidden="1">
      <c r="A181" s="290"/>
      <c r="B181" s="145" t="s">
        <v>25</v>
      </c>
      <c r="C181" s="71" t="s">
        <v>1601</v>
      </c>
      <c r="D181" s="57" t="s">
        <v>27</v>
      </c>
      <c r="E181" s="57">
        <v>1007163760</v>
      </c>
      <c r="F181" s="114">
        <v>2500012</v>
      </c>
      <c r="G181" s="11" t="str">
        <f ca="1">IFERROR(__xludf.DUMMYFUNCTION("IFERROR(VLOOKUP(F70,IMPORTRANGE(""https://docs.google.com/spreadsheets/d/1Kvs4KS76FHFqLFIZfrDMff4kP08nblUkihrxltoGBjg/edit#gid=934712705"",""ESENCIAL!A6:BG""),3,FALSE))"),"TÉCNICO")</f>
        <v>TÉCNICO</v>
      </c>
      <c r="H181" s="11" t="str">
        <f ca="1">IFERROR(__xludf.DUMMYFUNCTION("IFERROR(VLOOKUP(F70,IMPORTRANGE(""https://docs.google.com/spreadsheets/d/1Kvs4KS76FHFqLFIZfrDMff4kP08nblUkihrxltoGBjg/edit#gid=934712705"",""ESENCIAL!A6:BG""),8,FALSE))"),"SERVICIOS DE BARISMO")</f>
        <v>SERVICIOS DE BARISMO</v>
      </c>
      <c r="I181" s="142"/>
      <c r="J181" s="142"/>
      <c r="K181" s="30"/>
      <c r="L181" s="285" t="s">
        <v>44</v>
      </c>
      <c r="M181" s="54"/>
      <c r="N181" s="54"/>
      <c r="O181" s="142"/>
      <c r="P181" s="142"/>
      <c r="Q181" s="142"/>
      <c r="R181" s="88"/>
      <c r="S181" s="88"/>
      <c r="T181" s="65" t="s">
        <v>1602</v>
      </c>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19" t="str">
        <f t="shared" ref="AU181:AU204" ca="1" si="24">IF(E181&gt;0,IF(AND(BC181=1,AZ181=1),"Procede_E_P","NO_CUMPLE"),"")</f>
        <v>NO_CUMPLE</v>
      </c>
      <c r="AV181" s="11" t="str">
        <f ca="1">IFERROR(__xludf.DUMMYFUNCTION("IFERROR(VLOOKUP(E198&amp;F198,IMPORTRANGE(""https://docs.google.com/spreadsheets/d/1Uw7-A9f9R21vMXxHZFNpYNeKFtG8_yji4HS352LGlSQ/edit?pli=1#gid=0"",""1_ACUM!A4:S""),11,FALSE))"),"")</f>
        <v/>
      </c>
      <c r="AW181" s="20" t="str">
        <f ca="1">IFERROR(__xludf.DUMMYFUNCTION("IFERROR(VLOOKUP(F198,IMPORTRANGE(""https://docs.google.com/spreadsheets/d/1Kvs4KS76FHFqLFIZfrDMff4kP08nblUkihrxltoGBjg/edit#gid=934712705"",""ESENCIAL!A6:BG""),15,FALSE))"),"")</f>
        <v/>
      </c>
      <c r="AX181" s="21" t="str">
        <f ca="1">IFERROR(__xludf.DUMMYFUNCTION("IFERROR(VLOOKUP(E198&amp;F198,IMPORTRANGE(""https://docs.google.com/spreadsheets/d/1Uw7-A9f9R21vMXxHZFNpYNeKFtG8_yji4HS352LGlSQ/edit?pli=1#gid=0"",""1_ACUM!A4:S""),12,FALSE))"),"")</f>
        <v/>
      </c>
      <c r="AY181" s="22" t="str">
        <f ca="1">IFERROR(__xludf.DUMMYFUNCTION("IFERROR(VLOOKUP(E198&amp;F198,IMPORTRANGE(""https://docs.google.com/spreadsheets/d/1Uw7-A9f9R21vMXxHZFNpYNeKFtG8_yji4HS352LGlSQ/edit?pli=1#gid=0"",""1_ACUM!A4:S""),13,FALSE))"),"")</f>
        <v/>
      </c>
      <c r="AZ181" s="22" t="str">
        <f ca="1">IFERROR(__xludf.DUMMYFUNCTION("IFERROR(VLOOKUP(E198&amp;F198,IMPORTRANGE(""https://docs.google.com/spreadsheets/d/1Uw7-A9f9R21vMXxHZFNpYNeKFtG8_yji4HS352LGlSQ/edit?pli=1#gid=0"",""1_ACUM!A4:S""),14,FALSE))"),"")</f>
        <v/>
      </c>
      <c r="BA181" s="22" t="str">
        <f ca="1">IFERROR(__xludf.DUMMYFUNCTION("IFERROR(VLOOKUP(E198&amp;F198,IMPORTRANGE(""https://docs.google.com/spreadsheets/d/1Uw7-A9f9R21vMXxHZFNpYNeKFtG8_yji4HS352LGlSQ/edit?pli=1#gid=0"",""1_ACUM!A4:S""),15,FALSE))"),"")</f>
        <v/>
      </c>
      <c r="BB181" s="22" t="str">
        <f ca="1">IFERROR(__xludf.DUMMYFUNCTION("IFERROR(VLOOKUP(E198&amp;F198,IMPORTRANGE(""https://docs.google.com/spreadsheets/d/1Uw7-A9f9R21vMXxHZFNpYNeKFtG8_yji4HS352LGlSQ/edit?pli=1#gid=0"",""1_ACUM!A4:S""),16,FALSE))"),"")</f>
        <v/>
      </c>
      <c r="BC181" s="22" t="str">
        <f ca="1">IFERROR(__xludf.DUMMYFUNCTION("IFERROR(VLOOKUP(E198&amp;F198,IMPORTRANGE(""https://docs.google.com/spreadsheets/d/1Uw7-A9f9R21vMXxHZFNpYNeKFtG8_yji4HS352LGlSQ/edit?pli=1#gid=0"",""1_ACUM!A4:S""),17,FALSE))"),"")</f>
        <v/>
      </c>
      <c r="BD181" s="23" t="str">
        <f ca="1">IFERROR(__xludf.DUMMYFUNCTION("IFERROR(VLOOKUP(E198&amp;F198,IMPORTRANGE(""https://docs.google.com/spreadsheets/d/1Uw7-A9f9R21vMXxHZFNpYNeKFtG8_yji4HS352LGlSQ/edit?pli=1#gid=0"",""1_ACUM!A4:S""),18,FALSE))"),"")</f>
        <v/>
      </c>
      <c r="BE181" s="23" t="str">
        <f ca="1">IFERROR(__xludf.DUMMYFUNCTION("IFERROR(VLOOKUP(E198&amp;F198,IMPORTRANGE(""https://docs.google.com/spreadsheets/d/1Uw7-A9f9R21vMXxHZFNpYNeKFtG8_yji4HS352LGlSQ/edit?pli=1#gid=0"",""1_ACUM!A4:S""),19,FALSE))"),"")</f>
        <v/>
      </c>
      <c r="BF181" s="23" t="str">
        <f ca="1">IFERROR(__xludf.DUMMYFUNCTION("IFERROR(VLOOKUP(F198,IMPORTRANGE(""https://docs.google.com/spreadsheets/d/1Kvs4KS76FHFqLFIZfrDMff4kP08nblUkihrxltoGBjg/edit#gid=934712705"",""ESENCIAL!A6:BG""),5,FALSE))"),"")</f>
        <v/>
      </c>
      <c r="BG181" s="23" t="e">
        <f t="shared" ref="BG181:BG212" ca="1" si="25">IF(F181&gt;0,EDATE(BF181,18),"")</f>
        <v>#VALUE!</v>
      </c>
      <c r="BH181" s="19" t="e">
        <f t="shared" ref="BH181:BH212" ca="1" si="26">IF(F181&gt;0,IF(BG181&lt;$BH$1,"FINALIZAR FICHA","FICHA EN TIEMPO-18 MESES"),"")</f>
        <v>#VALUE!</v>
      </c>
      <c r="BI181" s="19" t="str">
        <f ca="1">IFERROR(__xludf.DUMMYFUNCTION("IFERROR(VLOOKUP(F198,IMPORTRANGE(""https://docs.google.com/spreadsheets/d/1Kvs4KS76FHFqLFIZfrDMff4kP08nblUkihrxltoGBjg/edit#gid=934712705"",""ESENCIAL!A6:BG""),18,FALSE))"),"")</f>
        <v/>
      </c>
      <c r="BJ181" s="19" t="str">
        <f t="shared" ref="BJ181:BJ204" si="27">IF(F181&gt;0,"Yamboro","")</f>
        <v>Yamboro</v>
      </c>
      <c r="BK181" s="291"/>
      <c r="BL181" s="19"/>
    </row>
    <row r="182" spans="1:64" s="245" customFormat="1" ht="24">
      <c r="A182" s="290" t="s">
        <v>1310</v>
      </c>
      <c r="B182" s="227" t="s">
        <v>25</v>
      </c>
      <c r="C182" s="248" t="s">
        <v>1603</v>
      </c>
      <c r="D182" s="229" t="s">
        <v>27</v>
      </c>
      <c r="E182" s="229">
        <v>1007308067</v>
      </c>
      <c r="F182" s="249">
        <v>2500012</v>
      </c>
      <c r="G182" s="226" t="str">
        <f ca="1">IFERROR(__xludf.DUMMYFUNCTION("IFERROR(VLOOKUP(F70,IMPORTRANGE(""https://docs.google.com/spreadsheets/d/1Kvs4KS76FHFqLFIZfrDMff4kP08nblUkihrxltoGBjg/edit#gid=934712705"",""ESENCIAL!A6:BG""),3,FALSE))"),"TÉCNICO")</f>
        <v>TÉCNICO</v>
      </c>
      <c r="H182" s="226" t="str">
        <f ca="1">IFERROR(__xludf.DUMMYFUNCTION("IFERROR(VLOOKUP(F70,IMPORTRANGE(""https://docs.google.com/spreadsheets/d/1Kvs4KS76FHFqLFIZfrDMff4kP08nblUkihrxltoGBjg/edit#gid=934712705"",""ESENCIAL!A6:BG""),8,FALSE))"),"SERVICIOS DE BARISMO")</f>
        <v>SERVICIOS DE BARISMO</v>
      </c>
      <c r="I182" s="250">
        <v>3132765054</v>
      </c>
      <c r="J182" s="250" t="s">
        <v>1604</v>
      </c>
      <c r="K182" s="234" t="s">
        <v>93</v>
      </c>
      <c r="L182" s="234" t="s">
        <v>28</v>
      </c>
      <c r="M182" s="234" t="s">
        <v>1605</v>
      </c>
      <c r="N182" s="234" t="s">
        <v>1606</v>
      </c>
      <c r="O182" s="250">
        <v>3212022500</v>
      </c>
      <c r="P182" s="250" t="s">
        <v>96</v>
      </c>
      <c r="Q182" s="236" t="s">
        <v>1607</v>
      </c>
      <c r="R182" s="247" t="s">
        <v>1608</v>
      </c>
      <c r="S182" s="252" t="s">
        <v>1609</v>
      </c>
      <c r="T182" s="251" t="s">
        <v>1610</v>
      </c>
      <c r="U182" s="30"/>
      <c r="V182" s="30"/>
      <c r="W182" s="30"/>
      <c r="X182" s="30"/>
      <c r="Y182" s="30"/>
      <c r="Z182" s="30"/>
      <c r="AA182" s="30"/>
      <c r="AB182" s="30"/>
      <c r="AC182" s="30"/>
      <c r="AD182" s="30"/>
      <c r="AE182" s="30"/>
      <c r="AF182" s="30"/>
      <c r="AG182" s="30"/>
      <c r="AH182" s="30"/>
      <c r="AI182" s="30"/>
      <c r="AJ182" s="30"/>
      <c r="AK182" s="30"/>
      <c r="AL182" s="30"/>
      <c r="AM182" s="30"/>
      <c r="AN182" s="30"/>
      <c r="AO182" s="30"/>
      <c r="AP182" s="234"/>
      <c r="AQ182" s="234"/>
      <c r="AR182" s="234"/>
      <c r="AS182" s="234"/>
      <c r="AT182" s="234"/>
      <c r="AU182" s="240" t="str">
        <f t="shared" ca="1" si="24"/>
        <v>NO_CUMPLE</v>
      </c>
      <c r="AV182" s="226" t="str">
        <f ca="1">IFERROR(__xludf.DUMMYFUNCTION("IFERROR(VLOOKUP(E199&amp;F199,IMPORTRANGE(""https://docs.google.com/spreadsheets/d/1Uw7-A9f9R21vMXxHZFNpYNeKFtG8_yji4HS352LGlSQ/edit?pli=1#gid=0"",""1_ACUM!A4:S""),11,FALSE))"),"")</f>
        <v/>
      </c>
      <c r="AW182" s="241" t="str">
        <f ca="1">IFERROR(__xludf.DUMMYFUNCTION("IFERROR(VLOOKUP(F199,IMPORTRANGE(""https://docs.google.com/spreadsheets/d/1Kvs4KS76FHFqLFIZfrDMff4kP08nblUkihrxltoGBjg/edit#gid=934712705"",""ESENCIAL!A6:BG""),15,FALSE))"),"")</f>
        <v/>
      </c>
      <c r="AX182" s="242" t="str">
        <f ca="1">IFERROR(__xludf.DUMMYFUNCTION("IFERROR(VLOOKUP(E199&amp;F199,IMPORTRANGE(""https://docs.google.com/spreadsheets/d/1Uw7-A9f9R21vMXxHZFNpYNeKFtG8_yji4HS352LGlSQ/edit?pli=1#gid=0"",""1_ACUM!A4:S""),12,FALSE))"),"")</f>
        <v/>
      </c>
      <c r="AY182" s="243" t="str">
        <f ca="1">IFERROR(__xludf.DUMMYFUNCTION("IFERROR(VLOOKUP(E199&amp;F199,IMPORTRANGE(""https://docs.google.com/spreadsheets/d/1Uw7-A9f9R21vMXxHZFNpYNeKFtG8_yji4HS352LGlSQ/edit?pli=1#gid=0"",""1_ACUM!A4:S""),13,FALSE))"),"")</f>
        <v/>
      </c>
      <c r="AZ182" s="243" t="str">
        <f ca="1">IFERROR(__xludf.DUMMYFUNCTION("IFERROR(VLOOKUP(E199&amp;F199,IMPORTRANGE(""https://docs.google.com/spreadsheets/d/1Uw7-A9f9R21vMXxHZFNpYNeKFtG8_yji4HS352LGlSQ/edit?pli=1#gid=0"",""1_ACUM!A4:S""),14,FALSE))"),"")</f>
        <v/>
      </c>
      <c r="BA182" s="243" t="str">
        <f ca="1">IFERROR(__xludf.DUMMYFUNCTION("IFERROR(VLOOKUP(E199&amp;F199,IMPORTRANGE(""https://docs.google.com/spreadsheets/d/1Uw7-A9f9R21vMXxHZFNpYNeKFtG8_yji4HS352LGlSQ/edit?pli=1#gid=0"",""1_ACUM!A4:S""),15,FALSE))"),"")</f>
        <v/>
      </c>
      <c r="BB182" s="243" t="str">
        <f ca="1">IFERROR(__xludf.DUMMYFUNCTION("IFERROR(VLOOKUP(E199&amp;F199,IMPORTRANGE(""https://docs.google.com/spreadsheets/d/1Uw7-A9f9R21vMXxHZFNpYNeKFtG8_yji4HS352LGlSQ/edit?pli=1#gid=0"",""1_ACUM!A4:S""),16,FALSE))"),"")</f>
        <v/>
      </c>
      <c r="BC182" s="243" t="str">
        <f ca="1">IFERROR(__xludf.DUMMYFUNCTION("IFERROR(VLOOKUP(E199&amp;F199,IMPORTRANGE(""https://docs.google.com/spreadsheets/d/1Uw7-A9f9R21vMXxHZFNpYNeKFtG8_yji4HS352LGlSQ/edit?pli=1#gid=0"",""1_ACUM!A4:S""),17,FALSE))"),"")</f>
        <v/>
      </c>
      <c r="BD182" s="244" t="str">
        <f ca="1">IFERROR(__xludf.DUMMYFUNCTION("IFERROR(VLOOKUP(E199&amp;F199,IMPORTRANGE(""https://docs.google.com/spreadsheets/d/1Uw7-A9f9R21vMXxHZFNpYNeKFtG8_yji4HS352LGlSQ/edit?pli=1#gid=0"",""1_ACUM!A4:S""),18,FALSE))"),"")</f>
        <v/>
      </c>
      <c r="BE182" s="244" t="str">
        <f ca="1">IFERROR(__xludf.DUMMYFUNCTION("IFERROR(VLOOKUP(E199&amp;F199,IMPORTRANGE(""https://docs.google.com/spreadsheets/d/1Uw7-A9f9R21vMXxHZFNpYNeKFtG8_yji4HS352LGlSQ/edit?pli=1#gid=0"",""1_ACUM!A4:S""),19,FALSE))"),"")</f>
        <v/>
      </c>
      <c r="BF182" s="244" t="str">
        <f ca="1">IFERROR(__xludf.DUMMYFUNCTION("IFERROR(VLOOKUP(F199,IMPORTRANGE(""https://docs.google.com/spreadsheets/d/1Kvs4KS76FHFqLFIZfrDMff4kP08nblUkihrxltoGBjg/edit#gid=934712705"",""ESENCIAL!A6:BG""),5,FALSE))"),"")</f>
        <v/>
      </c>
      <c r="BG182" s="244" t="e">
        <f t="shared" ca="1" si="25"/>
        <v>#VALUE!</v>
      </c>
      <c r="BH182" s="240" t="e">
        <f t="shared" ca="1" si="26"/>
        <v>#VALUE!</v>
      </c>
      <c r="BI182" s="240" t="str">
        <f ca="1">IFERROR(__xludf.DUMMYFUNCTION("IFERROR(VLOOKUP(F199,IMPORTRANGE(""https://docs.google.com/spreadsheets/d/1Kvs4KS76FHFqLFIZfrDMff4kP08nblUkihrxltoGBjg/edit#gid=934712705"",""ESENCIAL!A6:BG""),18,FALSE))"),"")</f>
        <v/>
      </c>
      <c r="BJ182" s="240" t="str">
        <f t="shared" si="27"/>
        <v>Yamboro</v>
      </c>
      <c r="BK182" s="302"/>
      <c r="BL182" s="240"/>
    </row>
    <row r="183" spans="1:64" ht="24">
      <c r="A183" s="290" t="s">
        <v>1310</v>
      </c>
      <c r="B183" s="145" t="s">
        <v>25</v>
      </c>
      <c r="C183" s="71" t="s">
        <v>1611</v>
      </c>
      <c r="D183" s="57" t="s">
        <v>27</v>
      </c>
      <c r="E183" s="57">
        <v>1007328021</v>
      </c>
      <c r="F183" s="114">
        <v>2500012</v>
      </c>
      <c r="G183" s="11" t="str">
        <f ca="1">IFERROR(__xludf.DUMMYFUNCTION("IFERROR(VLOOKUP(F70,IMPORTRANGE(""https://docs.google.com/spreadsheets/d/1Kvs4KS76FHFqLFIZfrDMff4kP08nblUkihrxltoGBjg/edit#gid=934712705"",""ESENCIAL!A6:BG""),3,FALSE))"),"TÉCNICO")</f>
        <v>TÉCNICO</v>
      </c>
      <c r="H183" s="11" t="str">
        <f ca="1">IFERROR(__xludf.DUMMYFUNCTION("IFERROR(VLOOKUP(F70,IMPORTRANGE(""https://docs.google.com/spreadsheets/d/1Kvs4KS76FHFqLFIZfrDMff4kP08nblUkihrxltoGBjg/edit#gid=934712705"",""ESENCIAL!A6:BG""),8,FALSE))"),"SERVICIOS DE BARISMO")</f>
        <v>SERVICIOS DE BARISMO</v>
      </c>
      <c r="I183" s="142"/>
      <c r="J183" s="142"/>
      <c r="K183" s="30"/>
      <c r="L183" s="54" t="s">
        <v>1566</v>
      </c>
      <c r="M183" s="54" t="s">
        <v>1612</v>
      </c>
      <c r="N183" s="54" t="s">
        <v>1613</v>
      </c>
      <c r="O183" s="142">
        <v>3134997628</v>
      </c>
      <c r="P183" s="142" t="s">
        <v>84</v>
      </c>
      <c r="Q183" s="182" t="s">
        <v>1614</v>
      </c>
      <c r="R183" s="88" t="s">
        <v>117</v>
      </c>
      <c r="S183" s="181" t="s">
        <v>118</v>
      </c>
      <c r="T183" s="65"/>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19" t="str">
        <f t="shared" ca="1" si="24"/>
        <v>NO_CUMPLE</v>
      </c>
      <c r="AV183" s="11" t="str">
        <f ca="1">IFERROR(__xludf.DUMMYFUNCTION("IFERROR(VLOOKUP(E200&amp;F200,IMPORTRANGE(""https://docs.google.com/spreadsheets/d/1Uw7-A9f9R21vMXxHZFNpYNeKFtG8_yji4HS352LGlSQ/edit?pli=1#gid=0"",""1_ACUM!A4:S""),11,FALSE))"),"")</f>
        <v/>
      </c>
      <c r="AW183" s="20" t="str">
        <f ca="1">IFERROR(__xludf.DUMMYFUNCTION("IFERROR(VLOOKUP(F200,IMPORTRANGE(""https://docs.google.com/spreadsheets/d/1Kvs4KS76FHFqLFIZfrDMff4kP08nblUkihrxltoGBjg/edit#gid=934712705"",""ESENCIAL!A6:BG""),15,FALSE))"),"")</f>
        <v/>
      </c>
      <c r="AX183" s="21" t="str">
        <f ca="1">IFERROR(__xludf.DUMMYFUNCTION("IFERROR(VLOOKUP(E200&amp;F200,IMPORTRANGE(""https://docs.google.com/spreadsheets/d/1Uw7-A9f9R21vMXxHZFNpYNeKFtG8_yji4HS352LGlSQ/edit?pli=1#gid=0"",""1_ACUM!A4:S""),12,FALSE))"),"")</f>
        <v/>
      </c>
      <c r="AY183" s="22" t="str">
        <f ca="1">IFERROR(__xludf.DUMMYFUNCTION("IFERROR(VLOOKUP(E200&amp;F200,IMPORTRANGE(""https://docs.google.com/spreadsheets/d/1Uw7-A9f9R21vMXxHZFNpYNeKFtG8_yji4HS352LGlSQ/edit?pli=1#gid=0"",""1_ACUM!A4:S""),13,FALSE))"),"")</f>
        <v/>
      </c>
      <c r="AZ183" s="22" t="str">
        <f ca="1">IFERROR(__xludf.DUMMYFUNCTION("IFERROR(VLOOKUP(E200&amp;F200,IMPORTRANGE(""https://docs.google.com/spreadsheets/d/1Uw7-A9f9R21vMXxHZFNpYNeKFtG8_yji4HS352LGlSQ/edit?pli=1#gid=0"",""1_ACUM!A4:S""),14,FALSE))"),"")</f>
        <v/>
      </c>
      <c r="BA183" s="22" t="str">
        <f ca="1">IFERROR(__xludf.DUMMYFUNCTION("IFERROR(VLOOKUP(E200&amp;F200,IMPORTRANGE(""https://docs.google.com/spreadsheets/d/1Uw7-A9f9R21vMXxHZFNpYNeKFtG8_yji4HS352LGlSQ/edit?pli=1#gid=0"",""1_ACUM!A4:S""),15,FALSE))"),"")</f>
        <v/>
      </c>
      <c r="BB183" s="22" t="str">
        <f ca="1">IFERROR(__xludf.DUMMYFUNCTION("IFERROR(VLOOKUP(E200&amp;F200,IMPORTRANGE(""https://docs.google.com/spreadsheets/d/1Uw7-A9f9R21vMXxHZFNpYNeKFtG8_yji4HS352LGlSQ/edit?pli=1#gid=0"",""1_ACUM!A4:S""),16,FALSE))"),"")</f>
        <v/>
      </c>
      <c r="BC183" s="22" t="str">
        <f ca="1">IFERROR(__xludf.DUMMYFUNCTION("IFERROR(VLOOKUP(E200&amp;F200,IMPORTRANGE(""https://docs.google.com/spreadsheets/d/1Uw7-A9f9R21vMXxHZFNpYNeKFtG8_yji4HS352LGlSQ/edit?pli=1#gid=0"",""1_ACUM!A4:S""),17,FALSE))"),"")</f>
        <v/>
      </c>
      <c r="BD183" s="23" t="str">
        <f ca="1">IFERROR(__xludf.DUMMYFUNCTION("IFERROR(VLOOKUP(E200&amp;F200,IMPORTRANGE(""https://docs.google.com/spreadsheets/d/1Uw7-A9f9R21vMXxHZFNpYNeKFtG8_yji4HS352LGlSQ/edit?pli=1#gid=0"",""1_ACUM!A4:S""),18,FALSE))"),"")</f>
        <v/>
      </c>
      <c r="BE183" s="23" t="str">
        <f ca="1">IFERROR(__xludf.DUMMYFUNCTION("IFERROR(VLOOKUP(E200&amp;F200,IMPORTRANGE(""https://docs.google.com/spreadsheets/d/1Uw7-A9f9R21vMXxHZFNpYNeKFtG8_yji4HS352LGlSQ/edit?pli=1#gid=0"",""1_ACUM!A4:S""),19,FALSE))"),"")</f>
        <v/>
      </c>
      <c r="BF183" s="23" t="str">
        <f ca="1">IFERROR(__xludf.DUMMYFUNCTION("IFERROR(VLOOKUP(F200,IMPORTRANGE(""https://docs.google.com/spreadsheets/d/1Kvs4KS76FHFqLFIZfrDMff4kP08nblUkihrxltoGBjg/edit#gid=934712705"",""ESENCIAL!A6:BG""),5,FALSE))"),"")</f>
        <v/>
      </c>
      <c r="BG183" s="23" t="e">
        <f t="shared" ca="1" si="25"/>
        <v>#VALUE!</v>
      </c>
      <c r="BH183" s="19" t="e">
        <f t="shared" ca="1" si="26"/>
        <v>#VALUE!</v>
      </c>
      <c r="BI183" s="19" t="str">
        <f ca="1">IFERROR(__xludf.DUMMYFUNCTION("IFERROR(VLOOKUP(F200,IMPORTRANGE(""https://docs.google.com/spreadsheets/d/1Kvs4KS76FHFqLFIZfrDMff4kP08nblUkihrxltoGBjg/edit#gid=934712705"",""ESENCIAL!A6:BG""),18,FALSE))"),"")</f>
        <v/>
      </c>
      <c r="BJ183" s="19" t="str">
        <f t="shared" si="27"/>
        <v>Yamboro</v>
      </c>
      <c r="BK183" s="291"/>
      <c r="BL183" s="19"/>
    </row>
    <row r="184" spans="1:64" ht="24" hidden="1">
      <c r="A184" s="290"/>
      <c r="B184" s="145" t="s">
        <v>25</v>
      </c>
      <c r="C184" s="71" t="s">
        <v>1615</v>
      </c>
      <c r="D184" s="57" t="s">
        <v>27</v>
      </c>
      <c r="E184" s="57">
        <v>1007521262</v>
      </c>
      <c r="F184" s="114">
        <v>2500012</v>
      </c>
      <c r="G184" s="11" t="str">
        <f ca="1">IFERROR(__xludf.DUMMYFUNCTION("IFERROR(VLOOKUP(F70,IMPORTRANGE(""https://docs.google.com/spreadsheets/d/1Kvs4KS76FHFqLFIZfrDMff4kP08nblUkihrxltoGBjg/edit#gid=934712705"",""ESENCIAL!A6:BG""),3,FALSE))"),"TÉCNICO")</f>
        <v>TÉCNICO</v>
      </c>
      <c r="H184" s="11" t="str">
        <f ca="1">IFERROR(__xludf.DUMMYFUNCTION("IFERROR(VLOOKUP(F70,IMPORTRANGE(""https://docs.google.com/spreadsheets/d/1Kvs4KS76FHFqLFIZfrDMff4kP08nblUkihrxltoGBjg/edit#gid=934712705"",""ESENCIAL!A6:BG""),8,FALSE))"),"SERVICIOS DE BARISMO")</f>
        <v>SERVICIOS DE BARISMO</v>
      </c>
      <c r="I184" s="142"/>
      <c r="J184" s="142"/>
      <c r="K184" s="30"/>
      <c r="L184" s="285" t="s">
        <v>44</v>
      </c>
      <c r="M184" s="54"/>
      <c r="N184" s="54"/>
      <c r="O184" s="142"/>
      <c r="P184" s="142"/>
      <c r="Q184" s="142"/>
      <c r="R184" s="88"/>
      <c r="S184" s="88"/>
      <c r="T184" s="65" t="s">
        <v>1602</v>
      </c>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19" t="str">
        <f t="shared" ca="1" si="24"/>
        <v>NO_CUMPLE</v>
      </c>
      <c r="AV184" s="11" t="str">
        <f ca="1">IFERROR(__xludf.DUMMYFUNCTION("IFERROR(VLOOKUP(E201&amp;F201,IMPORTRANGE(""https://docs.google.com/spreadsheets/d/1Uw7-A9f9R21vMXxHZFNpYNeKFtG8_yji4HS352LGlSQ/edit?pli=1#gid=0"",""1_ACUM!A4:S""),11,FALSE))"),"")</f>
        <v/>
      </c>
      <c r="AW184" s="20" t="str">
        <f ca="1">IFERROR(__xludf.DUMMYFUNCTION("IFERROR(VLOOKUP(F201,IMPORTRANGE(""https://docs.google.com/spreadsheets/d/1Kvs4KS76FHFqLFIZfrDMff4kP08nblUkihrxltoGBjg/edit#gid=934712705"",""ESENCIAL!A6:BG""),15,FALSE))"),"")</f>
        <v/>
      </c>
      <c r="AX184" s="21" t="str">
        <f ca="1">IFERROR(__xludf.DUMMYFUNCTION("IFERROR(VLOOKUP(E201&amp;F201,IMPORTRANGE(""https://docs.google.com/spreadsheets/d/1Uw7-A9f9R21vMXxHZFNpYNeKFtG8_yji4HS352LGlSQ/edit?pli=1#gid=0"",""1_ACUM!A4:S""),12,FALSE))"),"")</f>
        <v/>
      </c>
      <c r="AY184" s="22" t="str">
        <f ca="1">IFERROR(__xludf.DUMMYFUNCTION("IFERROR(VLOOKUP(E201&amp;F201,IMPORTRANGE(""https://docs.google.com/spreadsheets/d/1Uw7-A9f9R21vMXxHZFNpYNeKFtG8_yji4HS352LGlSQ/edit?pli=1#gid=0"",""1_ACUM!A4:S""),13,FALSE))"),"")</f>
        <v/>
      </c>
      <c r="AZ184" s="22" t="str">
        <f ca="1">IFERROR(__xludf.DUMMYFUNCTION("IFERROR(VLOOKUP(E201&amp;F201,IMPORTRANGE(""https://docs.google.com/spreadsheets/d/1Uw7-A9f9R21vMXxHZFNpYNeKFtG8_yji4HS352LGlSQ/edit?pli=1#gid=0"",""1_ACUM!A4:S""),14,FALSE))"),"")</f>
        <v/>
      </c>
      <c r="BA184" s="22" t="str">
        <f ca="1">IFERROR(__xludf.DUMMYFUNCTION("IFERROR(VLOOKUP(E201&amp;F201,IMPORTRANGE(""https://docs.google.com/spreadsheets/d/1Uw7-A9f9R21vMXxHZFNpYNeKFtG8_yji4HS352LGlSQ/edit?pli=1#gid=0"",""1_ACUM!A4:S""),15,FALSE))"),"")</f>
        <v/>
      </c>
      <c r="BB184" s="22" t="str">
        <f ca="1">IFERROR(__xludf.DUMMYFUNCTION("IFERROR(VLOOKUP(E201&amp;F201,IMPORTRANGE(""https://docs.google.com/spreadsheets/d/1Uw7-A9f9R21vMXxHZFNpYNeKFtG8_yji4HS352LGlSQ/edit?pli=1#gid=0"",""1_ACUM!A4:S""),16,FALSE))"),"")</f>
        <v/>
      </c>
      <c r="BC184" s="22" t="str">
        <f ca="1">IFERROR(__xludf.DUMMYFUNCTION("IFERROR(VLOOKUP(E201&amp;F201,IMPORTRANGE(""https://docs.google.com/spreadsheets/d/1Uw7-A9f9R21vMXxHZFNpYNeKFtG8_yji4HS352LGlSQ/edit?pli=1#gid=0"",""1_ACUM!A4:S""),17,FALSE))"),"")</f>
        <v/>
      </c>
      <c r="BD184" s="23" t="str">
        <f ca="1">IFERROR(__xludf.DUMMYFUNCTION("IFERROR(VLOOKUP(E201&amp;F201,IMPORTRANGE(""https://docs.google.com/spreadsheets/d/1Uw7-A9f9R21vMXxHZFNpYNeKFtG8_yji4HS352LGlSQ/edit?pli=1#gid=0"",""1_ACUM!A4:S""),18,FALSE))"),"")</f>
        <v/>
      </c>
      <c r="BE184" s="23" t="str">
        <f ca="1">IFERROR(__xludf.DUMMYFUNCTION("IFERROR(VLOOKUP(E201&amp;F201,IMPORTRANGE(""https://docs.google.com/spreadsheets/d/1Uw7-A9f9R21vMXxHZFNpYNeKFtG8_yji4HS352LGlSQ/edit?pli=1#gid=0"",""1_ACUM!A4:S""),19,FALSE))"),"")</f>
        <v/>
      </c>
      <c r="BF184" s="23" t="str">
        <f ca="1">IFERROR(__xludf.DUMMYFUNCTION("IFERROR(VLOOKUP(F201,IMPORTRANGE(""https://docs.google.com/spreadsheets/d/1Kvs4KS76FHFqLFIZfrDMff4kP08nblUkihrxltoGBjg/edit#gid=934712705"",""ESENCIAL!A6:BG""),5,FALSE))"),"")</f>
        <v/>
      </c>
      <c r="BG184" s="23" t="e">
        <f t="shared" ca="1" si="25"/>
        <v>#VALUE!</v>
      </c>
      <c r="BH184" s="19" t="e">
        <f t="shared" ca="1" si="26"/>
        <v>#VALUE!</v>
      </c>
      <c r="BI184" s="19" t="str">
        <f ca="1">IFERROR(__xludf.DUMMYFUNCTION("IFERROR(VLOOKUP(F201,IMPORTRANGE(""https://docs.google.com/spreadsheets/d/1Kvs4KS76FHFqLFIZfrDMff4kP08nblUkihrxltoGBjg/edit#gid=934712705"",""ESENCIAL!A6:BG""),18,FALSE))"),"")</f>
        <v/>
      </c>
      <c r="BJ184" s="19" t="str">
        <f t="shared" si="27"/>
        <v>Yamboro</v>
      </c>
      <c r="BK184" s="291"/>
      <c r="BL184" s="19"/>
    </row>
    <row r="185" spans="1:64" ht="24" hidden="1">
      <c r="A185" s="290"/>
      <c r="B185" s="145" t="s">
        <v>25</v>
      </c>
      <c r="C185" s="71" t="s">
        <v>1616</v>
      </c>
      <c r="D185" s="57" t="s">
        <v>27</v>
      </c>
      <c r="E185" s="57">
        <v>1007745330</v>
      </c>
      <c r="F185" s="114">
        <v>2500012</v>
      </c>
      <c r="G185" s="11" t="str">
        <f ca="1">IFERROR(__xludf.DUMMYFUNCTION("IFERROR(VLOOKUP(F70,IMPORTRANGE(""https://docs.google.com/spreadsheets/d/1Kvs4KS76FHFqLFIZfrDMff4kP08nblUkihrxltoGBjg/edit#gid=934712705"",""ESENCIAL!A6:BG""),3,FALSE))"),"TÉCNICO")</f>
        <v>TÉCNICO</v>
      </c>
      <c r="H185" s="11" t="str">
        <f ca="1">IFERROR(__xludf.DUMMYFUNCTION("IFERROR(VLOOKUP(F70,IMPORTRANGE(""https://docs.google.com/spreadsheets/d/1Kvs4KS76FHFqLFIZfrDMff4kP08nblUkihrxltoGBjg/edit#gid=934712705"",""ESENCIAL!A6:BG""),8,FALSE))"),"SERVICIOS DE BARISMO")</f>
        <v>SERVICIOS DE BARISMO</v>
      </c>
      <c r="I185" s="142"/>
      <c r="J185" s="142"/>
      <c r="K185" s="30"/>
      <c r="L185" s="285" t="s">
        <v>44</v>
      </c>
      <c r="M185" s="54"/>
      <c r="N185" s="54"/>
      <c r="O185" s="142"/>
      <c r="P185" s="142"/>
      <c r="Q185" s="142"/>
      <c r="R185" s="88"/>
      <c r="S185" s="88"/>
      <c r="T185" s="65" t="s">
        <v>1617</v>
      </c>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19" t="str">
        <f t="shared" ca="1" si="24"/>
        <v>NO_CUMPLE</v>
      </c>
      <c r="AV185" s="11" t="str">
        <f ca="1">IFERROR(__xludf.DUMMYFUNCTION("IFERROR(VLOOKUP(E202&amp;F202,IMPORTRANGE(""https://docs.google.com/spreadsheets/d/1Uw7-A9f9R21vMXxHZFNpYNeKFtG8_yji4HS352LGlSQ/edit?pli=1#gid=0"",""1_ACUM!A4:S""),11,FALSE))"),"")</f>
        <v/>
      </c>
      <c r="AW185" s="20" t="str">
        <f ca="1">IFERROR(__xludf.DUMMYFUNCTION("IFERROR(VLOOKUP(F202,IMPORTRANGE(""https://docs.google.com/spreadsheets/d/1Kvs4KS76FHFqLFIZfrDMff4kP08nblUkihrxltoGBjg/edit#gid=934712705"",""ESENCIAL!A6:BG""),15,FALSE))"),"")</f>
        <v/>
      </c>
      <c r="AX185" s="21" t="str">
        <f ca="1">IFERROR(__xludf.DUMMYFUNCTION("IFERROR(VLOOKUP(E202&amp;F202,IMPORTRANGE(""https://docs.google.com/spreadsheets/d/1Uw7-A9f9R21vMXxHZFNpYNeKFtG8_yji4HS352LGlSQ/edit?pli=1#gid=0"",""1_ACUM!A4:S""),12,FALSE))"),"")</f>
        <v/>
      </c>
      <c r="AY185" s="22" t="str">
        <f ca="1">IFERROR(__xludf.DUMMYFUNCTION("IFERROR(VLOOKUP(E202&amp;F202,IMPORTRANGE(""https://docs.google.com/spreadsheets/d/1Uw7-A9f9R21vMXxHZFNpYNeKFtG8_yji4HS352LGlSQ/edit?pli=1#gid=0"",""1_ACUM!A4:S""),13,FALSE))"),"")</f>
        <v/>
      </c>
      <c r="AZ185" s="22" t="str">
        <f ca="1">IFERROR(__xludf.DUMMYFUNCTION("IFERROR(VLOOKUP(E202&amp;F202,IMPORTRANGE(""https://docs.google.com/spreadsheets/d/1Uw7-A9f9R21vMXxHZFNpYNeKFtG8_yji4HS352LGlSQ/edit?pli=1#gid=0"",""1_ACUM!A4:S""),14,FALSE))"),"")</f>
        <v/>
      </c>
      <c r="BA185" s="22" t="str">
        <f ca="1">IFERROR(__xludf.DUMMYFUNCTION("IFERROR(VLOOKUP(E202&amp;F202,IMPORTRANGE(""https://docs.google.com/spreadsheets/d/1Uw7-A9f9R21vMXxHZFNpYNeKFtG8_yji4HS352LGlSQ/edit?pli=1#gid=0"",""1_ACUM!A4:S""),15,FALSE))"),"")</f>
        <v/>
      </c>
      <c r="BB185" s="22" t="str">
        <f ca="1">IFERROR(__xludf.DUMMYFUNCTION("IFERROR(VLOOKUP(E202&amp;F202,IMPORTRANGE(""https://docs.google.com/spreadsheets/d/1Uw7-A9f9R21vMXxHZFNpYNeKFtG8_yji4HS352LGlSQ/edit?pli=1#gid=0"",""1_ACUM!A4:S""),16,FALSE))"),"")</f>
        <v/>
      </c>
      <c r="BC185" s="22" t="str">
        <f ca="1">IFERROR(__xludf.DUMMYFUNCTION("IFERROR(VLOOKUP(E202&amp;F202,IMPORTRANGE(""https://docs.google.com/spreadsheets/d/1Uw7-A9f9R21vMXxHZFNpYNeKFtG8_yji4HS352LGlSQ/edit?pli=1#gid=0"",""1_ACUM!A4:S""),17,FALSE))"),"")</f>
        <v/>
      </c>
      <c r="BD185" s="23" t="str">
        <f ca="1">IFERROR(__xludf.DUMMYFUNCTION("IFERROR(VLOOKUP(E202&amp;F202,IMPORTRANGE(""https://docs.google.com/spreadsheets/d/1Uw7-A9f9R21vMXxHZFNpYNeKFtG8_yji4HS352LGlSQ/edit?pli=1#gid=0"",""1_ACUM!A4:S""),18,FALSE))"),"")</f>
        <v/>
      </c>
      <c r="BE185" s="23" t="str">
        <f ca="1">IFERROR(__xludf.DUMMYFUNCTION("IFERROR(VLOOKUP(E202&amp;F202,IMPORTRANGE(""https://docs.google.com/spreadsheets/d/1Uw7-A9f9R21vMXxHZFNpYNeKFtG8_yji4HS352LGlSQ/edit?pli=1#gid=0"",""1_ACUM!A4:S""),19,FALSE))"),"")</f>
        <v/>
      </c>
      <c r="BF185" s="23" t="str">
        <f ca="1">IFERROR(__xludf.DUMMYFUNCTION("IFERROR(VLOOKUP(F202,IMPORTRANGE(""https://docs.google.com/spreadsheets/d/1Kvs4KS76FHFqLFIZfrDMff4kP08nblUkihrxltoGBjg/edit#gid=934712705"",""ESENCIAL!A6:BG""),5,FALSE))"),"")</f>
        <v/>
      </c>
      <c r="BG185" s="23" t="e">
        <f t="shared" ca="1" si="25"/>
        <v>#VALUE!</v>
      </c>
      <c r="BH185" s="19" t="e">
        <f t="shared" ca="1" si="26"/>
        <v>#VALUE!</v>
      </c>
      <c r="BI185" s="19" t="str">
        <f ca="1">IFERROR(__xludf.DUMMYFUNCTION("IFERROR(VLOOKUP(F202,IMPORTRANGE(""https://docs.google.com/spreadsheets/d/1Kvs4KS76FHFqLFIZfrDMff4kP08nblUkihrxltoGBjg/edit#gid=934712705"",""ESENCIAL!A6:BG""),18,FALSE))"),"")</f>
        <v/>
      </c>
      <c r="BJ185" s="19" t="str">
        <f t="shared" si="27"/>
        <v>Yamboro</v>
      </c>
      <c r="BK185" s="291"/>
      <c r="BL185" s="19"/>
    </row>
    <row r="186" spans="1:64" ht="24" hidden="1">
      <c r="A186" s="290"/>
      <c r="B186" s="145" t="s">
        <v>25</v>
      </c>
      <c r="C186" s="71" t="s">
        <v>1618</v>
      </c>
      <c r="D186" s="57" t="s">
        <v>27</v>
      </c>
      <c r="E186" s="57">
        <v>1007745334</v>
      </c>
      <c r="F186" s="114">
        <v>2500012</v>
      </c>
      <c r="G186" s="11" t="str">
        <f ca="1">IFERROR(__xludf.DUMMYFUNCTION("IFERROR(VLOOKUP(F70,IMPORTRANGE(""https://docs.google.com/spreadsheets/d/1Kvs4KS76FHFqLFIZfrDMff4kP08nblUkihrxltoGBjg/edit#gid=934712705"",""ESENCIAL!A6:BG""),3,FALSE))"),"TÉCNICO")</f>
        <v>TÉCNICO</v>
      </c>
      <c r="H186" s="11" t="str">
        <f ca="1">IFERROR(__xludf.DUMMYFUNCTION("IFERROR(VLOOKUP(F70,IMPORTRANGE(""https://docs.google.com/spreadsheets/d/1Kvs4KS76FHFqLFIZfrDMff4kP08nblUkihrxltoGBjg/edit#gid=934712705"",""ESENCIAL!A6:BG""),8,FALSE))"),"SERVICIOS DE BARISMO")</f>
        <v>SERVICIOS DE BARISMO</v>
      </c>
      <c r="I186" s="142"/>
      <c r="J186" s="142"/>
      <c r="K186" s="30"/>
      <c r="L186" s="285" t="s">
        <v>44</v>
      </c>
      <c r="M186" s="54"/>
      <c r="N186" s="54"/>
      <c r="O186" s="142"/>
      <c r="P186" s="142"/>
      <c r="Q186" s="142"/>
      <c r="R186" s="88"/>
      <c r="S186" s="88"/>
      <c r="T186" s="65"/>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19" t="str">
        <f t="shared" ca="1" si="24"/>
        <v>NO_CUMPLE</v>
      </c>
      <c r="AV186" s="11" t="str">
        <f ca="1">IFERROR(__xludf.DUMMYFUNCTION("IFERROR(VLOOKUP(E203&amp;F203,IMPORTRANGE(""https://docs.google.com/spreadsheets/d/1Uw7-A9f9R21vMXxHZFNpYNeKFtG8_yji4HS352LGlSQ/edit?pli=1#gid=0"",""1_ACUM!A4:S""),11,FALSE))"),"")</f>
        <v/>
      </c>
      <c r="AW186" s="20" t="str">
        <f ca="1">IFERROR(__xludf.DUMMYFUNCTION("IFERROR(VLOOKUP(F203,IMPORTRANGE(""https://docs.google.com/spreadsheets/d/1Kvs4KS76FHFqLFIZfrDMff4kP08nblUkihrxltoGBjg/edit#gid=934712705"",""ESENCIAL!A6:BG""),15,FALSE))"),"")</f>
        <v/>
      </c>
      <c r="AX186" s="21" t="str">
        <f ca="1">IFERROR(__xludf.DUMMYFUNCTION("IFERROR(VLOOKUP(E203&amp;F203,IMPORTRANGE(""https://docs.google.com/spreadsheets/d/1Uw7-A9f9R21vMXxHZFNpYNeKFtG8_yji4HS352LGlSQ/edit?pli=1#gid=0"",""1_ACUM!A4:S""),12,FALSE))"),"")</f>
        <v/>
      </c>
      <c r="AY186" s="22" t="str">
        <f ca="1">IFERROR(__xludf.DUMMYFUNCTION("IFERROR(VLOOKUP(E203&amp;F203,IMPORTRANGE(""https://docs.google.com/spreadsheets/d/1Uw7-A9f9R21vMXxHZFNpYNeKFtG8_yji4HS352LGlSQ/edit?pli=1#gid=0"",""1_ACUM!A4:S""),13,FALSE))"),"")</f>
        <v/>
      </c>
      <c r="AZ186" s="22" t="str">
        <f ca="1">IFERROR(__xludf.DUMMYFUNCTION("IFERROR(VLOOKUP(E203&amp;F203,IMPORTRANGE(""https://docs.google.com/spreadsheets/d/1Uw7-A9f9R21vMXxHZFNpYNeKFtG8_yji4HS352LGlSQ/edit?pli=1#gid=0"",""1_ACUM!A4:S""),14,FALSE))"),"")</f>
        <v/>
      </c>
      <c r="BA186" s="22" t="str">
        <f ca="1">IFERROR(__xludf.DUMMYFUNCTION("IFERROR(VLOOKUP(E203&amp;F203,IMPORTRANGE(""https://docs.google.com/spreadsheets/d/1Uw7-A9f9R21vMXxHZFNpYNeKFtG8_yji4HS352LGlSQ/edit?pli=1#gid=0"",""1_ACUM!A4:S""),15,FALSE))"),"")</f>
        <v/>
      </c>
      <c r="BB186" s="22" t="str">
        <f ca="1">IFERROR(__xludf.DUMMYFUNCTION("IFERROR(VLOOKUP(E203&amp;F203,IMPORTRANGE(""https://docs.google.com/spreadsheets/d/1Uw7-A9f9R21vMXxHZFNpYNeKFtG8_yji4HS352LGlSQ/edit?pli=1#gid=0"",""1_ACUM!A4:S""),16,FALSE))"),"")</f>
        <v/>
      </c>
      <c r="BC186" s="22" t="str">
        <f ca="1">IFERROR(__xludf.DUMMYFUNCTION("IFERROR(VLOOKUP(E203&amp;F203,IMPORTRANGE(""https://docs.google.com/spreadsheets/d/1Uw7-A9f9R21vMXxHZFNpYNeKFtG8_yji4HS352LGlSQ/edit?pli=1#gid=0"",""1_ACUM!A4:S""),17,FALSE))"),"")</f>
        <v/>
      </c>
      <c r="BD186" s="23" t="str">
        <f ca="1">IFERROR(__xludf.DUMMYFUNCTION("IFERROR(VLOOKUP(E203&amp;F203,IMPORTRANGE(""https://docs.google.com/spreadsheets/d/1Uw7-A9f9R21vMXxHZFNpYNeKFtG8_yji4HS352LGlSQ/edit?pli=1#gid=0"",""1_ACUM!A4:S""),18,FALSE))"),"")</f>
        <v/>
      </c>
      <c r="BE186" s="23" t="str">
        <f ca="1">IFERROR(__xludf.DUMMYFUNCTION("IFERROR(VLOOKUP(E203&amp;F203,IMPORTRANGE(""https://docs.google.com/spreadsheets/d/1Uw7-A9f9R21vMXxHZFNpYNeKFtG8_yji4HS352LGlSQ/edit?pli=1#gid=0"",""1_ACUM!A4:S""),19,FALSE))"),"")</f>
        <v/>
      </c>
      <c r="BF186" s="23" t="str">
        <f ca="1">IFERROR(__xludf.DUMMYFUNCTION("IFERROR(VLOOKUP(F203,IMPORTRANGE(""https://docs.google.com/spreadsheets/d/1Kvs4KS76FHFqLFIZfrDMff4kP08nblUkihrxltoGBjg/edit#gid=934712705"",""ESENCIAL!A6:BG""),5,FALSE))"),"")</f>
        <v/>
      </c>
      <c r="BG186" s="23" t="e">
        <f t="shared" ca="1" si="25"/>
        <v>#VALUE!</v>
      </c>
      <c r="BH186" s="19" t="e">
        <f t="shared" ca="1" si="26"/>
        <v>#VALUE!</v>
      </c>
      <c r="BI186" s="19" t="str">
        <f ca="1">IFERROR(__xludf.DUMMYFUNCTION("IFERROR(VLOOKUP(F203,IMPORTRANGE(""https://docs.google.com/spreadsheets/d/1Kvs4KS76FHFqLFIZfrDMff4kP08nblUkihrxltoGBjg/edit#gid=934712705"",""ESENCIAL!A6:BG""),18,FALSE))"),"")</f>
        <v/>
      </c>
      <c r="BJ186" s="19" t="str">
        <f t="shared" si="27"/>
        <v>Yamboro</v>
      </c>
      <c r="BK186" s="291"/>
      <c r="BL186" s="19"/>
    </row>
    <row r="187" spans="1:64" ht="24" hidden="1">
      <c r="A187" s="290"/>
      <c r="B187" s="145" t="s">
        <v>25</v>
      </c>
      <c r="C187" s="71" t="s">
        <v>1619</v>
      </c>
      <c r="D187" s="57" t="s">
        <v>27</v>
      </c>
      <c r="E187" s="57">
        <v>1007897838</v>
      </c>
      <c r="F187" s="114">
        <v>2500012</v>
      </c>
      <c r="G187" s="11" t="str">
        <f ca="1">IFERROR(__xludf.DUMMYFUNCTION("IFERROR(VLOOKUP(F70,IMPORTRANGE(""https://docs.google.com/spreadsheets/d/1Kvs4KS76FHFqLFIZfrDMff4kP08nblUkihrxltoGBjg/edit#gid=934712705"",""ESENCIAL!A6:BG""),3,FALSE))"),"TÉCNICO")</f>
        <v>TÉCNICO</v>
      </c>
      <c r="H187" s="11" t="str">
        <f ca="1">IFERROR(__xludf.DUMMYFUNCTION("IFERROR(VLOOKUP(F70,IMPORTRANGE(""https://docs.google.com/spreadsheets/d/1Kvs4KS76FHFqLFIZfrDMff4kP08nblUkihrxltoGBjg/edit#gid=934712705"",""ESENCIAL!A6:BG""),8,FALSE))"),"SERVICIOS DE BARISMO")</f>
        <v>SERVICIOS DE BARISMO</v>
      </c>
      <c r="I187" s="142"/>
      <c r="J187" s="142"/>
      <c r="K187" s="30"/>
      <c r="L187" s="285" t="s">
        <v>44</v>
      </c>
      <c r="M187" s="54"/>
      <c r="N187" s="54"/>
      <c r="O187" s="142"/>
      <c r="P187" s="142"/>
      <c r="Q187" s="142"/>
      <c r="R187" s="88"/>
      <c r="S187" s="88"/>
      <c r="T187" s="65" t="s">
        <v>1593</v>
      </c>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19" t="str">
        <f t="shared" ca="1" si="24"/>
        <v>NO_CUMPLE</v>
      </c>
      <c r="AV187" s="11" t="str">
        <f ca="1">IFERROR(__xludf.DUMMYFUNCTION("IFERROR(VLOOKUP(E204&amp;F204,IMPORTRANGE(""https://docs.google.com/spreadsheets/d/1Uw7-A9f9R21vMXxHZFNpYNeKFtG8_yji4HS352LGlSQ/edit?pli=1#gid=0"",""1_ACUM!A4:S""),11,FALSE))"),"")</f>
        <v/>
      </c>
      <c r="AW187" s="20" t="str">
        <f ca="1">IFERROR(__xludf.DUMMYFUNCTION("IFERROR(VLOOKUP(F204,IMPORTRANGE(""https://docs.google.com/spreadsheets/d/1Kvs4KS76FHFqLFIZfrDMff4kP08nblUkihrxltoGBjg/edit#gid=934712705"",""ESENCIAL!A6:BG""),15,FALSE))"),"")</f>
        <v/>
      </c>
      <c r="AX187" s="21" t="str">
        <f ca="1">IFERROR(__xludf.DUMMYFUNCTION("IFERROR(VLOOKUP(E204&amp;F204,IMPORTRANGE(""https://docs.google.com/spreadsheets/d/1Uw7-A9f9R21vMXxHZFNpYNeKFtG8_yji4HS352LGlSQ/edit?pli=1#gid=0"",""1_ACUM!A4:S""),12,FALSE))"),"")</f>
        <v/>
      </c>
      <c r="AY187" s="22" t="str">
        <f ca="1">IFERROR(__xludf.DUMMYFUNCTION("IFERROR(VLOOKUP(E204&amp;F204,IMPORTRANGE(""https://docs.google.com/spreadsheets/d/1Uw7-A9f9R21vMXxHZFNpYNeKFtG8_yji4HS352LGlSQ/edit?pli=1#gid=0"",""1_ACUM!A4:S""),13,FALSE))"),"")</f>
        <v/>
      </c>
      <c r="AZ187" s="22" t="str">
        <f ca="1">IFERROR(__xludf.DUMMYFUNCTION("IFERROR(VLOOKUP(E204&amp;F204,IMPORTRANGE(""https://docs.google.com/spreadsheets/d/1Uw7-A9f9R21vMXxHZFNpYNeKFtG8_yji4HS352LGlSQ/edit?pli=1#gid=0"",""1_ACUM!A4:S""),14,FALSE))"),"")</f>
        <v/>
      </c>
      <c r="BA187" s="22" t="str">
        <f ca="1">IFERROR(__xludf.DUMMYFUNCTION("IFERROR(VLOOKUP(E204&amp;F204,IMPORTRANGE(""https://docs.google.com/spreadsheets/d/1Uw7-A9f9R21vMXxHZFNpYNeKFtG8_yji4HS352LGlSQ/edit?pli=1#gid=0"",""1_ACUM!A4:S""),15,FALSE))"),"")</f>
        <v/>
      </c>
      <c r="BB187" s="22" t="str">
        <f ca="1">IFERROR(__xludf.DUMMYFUNCTION("IFERROR(VLOOKUP(E204&amp;F204,IMPORTRANGE(""https://docs.google.com/spreadsheets/d/1Uw7-A9f9R21vMXxHZFNpYNeKFtG8_yji4HS352LGlSQ/edit?pli=1#gid=0"",""1_ACUM!A4:S""),16,FALSE))"),"")</f>
        <v/>
      </c>
      <c r="BC187" s="22" t="str">
        <f ca="1">IFERROR(__xludf.DUMMYFUNCTION("IFERROR(VLOOKUP(E204&amp;F204,IMPORTRANGE(""https://docs.google.com/spreadsheets/d/1Uw7-A9f9R21vMXxHZFNpYNeKFtG8_yji4HS352LGlSQ/edit?pli=1#gid=0"",""1_ACUM!A4:S""),17,FALSE))"),"")</f>
        <v/>
      </c>
      <c r="BD187" s="23" t="str">
        <f ca="1">IFERROR(__xludf.DUMMYFUNCTION("IFERROR(VLOOKUP(E204&amp;F204,IMPORTRANGE(""https://docs.google.com/spreadsheets/d/1Uw7-A9f9R21vMXxHZFNpYNeKFtG8_yji4HS352LGlSQ/edit?pli=1#gid=0"",""1_ACUM!A4:S""),18,FALSE))"),"")</f>
        <v/>
      </c>
      <c r="BE187" s="23" t="str">
        <f ca="1">IFERROR(__xludf.DUMMYFUNCTION("IFERROR(VLOOKUP(E204&amp;F204,IMPORTRANGE(""https://docs.google.com/spreadsheets/d/1Uw7-A9f9R21vMXxHZFNpYNeKFtG8_yji4HS352LGlSQ/edit?pli=1#gid=0"",""1_ACUM!A4:S""),19,FALSE))"),"")</f>
        <v/>
      </c>
      <c r="BF187" s="23" t="str">
        <f ca="1">IFERROR(__xludf.DUMMYFUNCTION("IFERROR(VLOOKUP(F204,IMPORTRANGE(""https://docs.google.com/spreadsheets/d/1Kvs4KS76FHFqLFIZfrDMff4kP08nblUkihrxltoGBjg/edit#gid=934712705"",""ESENCIAL!A6:BG""),5,FALSE))"),"")</f>
        <v/>
      </c>
      <c r="BG187" s="23" t="e">
        <f t="shared" ca="1" si="25"/>
        <v>#VALUE!</v>
      </c>
      <c r="BH187" s="19" t="e">
        <f t="shared" ca="1" si="26"/>
        <v>#VALUE!</v>
      </c>
      <c r="BI187" s="19" t="str">
        <f ca="1">IFERROR(__xludf.DUMMYFUNCTION("IFERROR(VLOOKUP(F204,IMPORTRANGE(""https://docs.google.com/spreadsheets/d/1Kvs4KS76FHFqLFIZfrDMff4kP08nblUkihrxltoGBjg/edit#gid=934712705"",""ESENCIAL!A6:BG""),18,FALSE))"),"")</f>
        <v/>
      </c>
      <c r="BJ187" s="19" t="str">
        <f t="shared" si="27"/>
        <v>Yamboro</v>
      </c>
      <c r="BK187" s="291"/>
      <c r="BL187" s="19"/>
    </row>
    <row r="188" spans="1:64" ht="24" hidden="1">
      <c r="A188" s="290"/>
      <c r="B188" s="145" t="s">
        <v>25</v>
      </c>
      <c r="C188" s="71" t="s">
        <v>1620</v>
      </c>
      <c r="D188" s="57" t="s">
        <v>67</v>
      </c>
      <c r="E188" s="57">
        <v>1077843011</v>
      </c>
      <c r="F188" s="114">
        <v>2500012</v>
      </c>
      <c r="G188" s="11" t="str">
        <f ca="1">IFERROR(__xludf.DUMMYFUNCTION("IFERROR(VLOOKUP(F70,IMPORTRANGE(""https://docs.google.com/spreadsheets/d/1Kvs4KS76FHFqLFIZfrDMff4kP08nblUkihrxltoGBjg/edit#gid=934712705"",""ESENCIAL!A6:BG""),3,FALSE))"),"TÉCNICO")</f>
        <v>TÉCNICO</v>
      </c>
      <c r="H188" s="11" t="str">
        <f ca="1">IFERROR(__xludf.DUMMYFUNCTION("IFERROR(VLOOKUP(F70,IMPORTRANGE(""https://docs.google.com/spreadsheets/d/1Kvs4KS76FHFqLFIZfrDMff4kP08nblUkihrxltoGBjg/edit#gid=934712705"",""ESENCIAL!A6:BG""),8,FALSE))"),"SERVICIOS DE BARISMO")</f>
        <v>SERVICIOS DE BARISMO</v>
      </c>
      <c r="I188" s="142"/>
      <c r="J188" s="142"/>
      <c r="K188" s="30"/>
      <c r="L188" s="285" t="s">
        <v>44</v>
      </c>
      <c r="M188" s="54"/>
      <c r="N188" s="54"/>
      <c r="O188" s="142"/>
      <c r="P188" s="142"/>
      <c r="Q188" s="142"/>
      <c r="R188" s="88"/>
      <c r="S188" s="88"/>
      <c r="T188" s="65" t="s">
        <v>1621</v>
      </c>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19" t="str">
        <f t="shared" ca="1" si="24"/>
        <v>NO_CUMPLE</v>
      </c>
      <c r="AV188" s="11" t="str">
        <f ca="1">IFERROR(__xludf.DUMMYFUNCTION("IFERROR(VLOOKUP(E205&amp;F205,IMPORTRANGE(""https://docs.google.com/spreadsheets/d/1Uw7-A9f9R21vMXxHZFNpYNeKFtG8_yji4HS352LGlSQ/edit?pli=1#gid=0"",""1_ACUM!A4:S""),11,FALSE))"),"")</f>
        <v/>
      </c>
      <c r="AW188" s="20" t="str">
        <f ca="1">IFERROR(__xludf.DUMMYFUNCTION("IFERROR(VLOOKUP(F205,IMPORTRANGE(""https://docs.google.com/spreadsheets/d/1Kvs4KS76FHFqLFIZfrDMff4kP08nblUkihrxltoGBjg/edit#gid=934712705"",""ESENCIAL!A6:BG""),15,FALSE))"),"")</f>
        <v/>
      </c>
      <c r="AX188" s="21" t="str">
        <f ca="1">IFERROR(__xludf.DUMMYFUNCTION("IFERROR(VLOOKUP(E205&amp;F205,IMPORTRANGE(""https://docs.google.com/spreadsheets/d/1Uw7-A9f9R21vMXxHZFNpYNeKFtG8_yji4HS352LGlSQ/edit?pli=1#gid=0"",""1_ACUM!A4:S""),12,FALSE))"),"")</f>
        <v/>
      </c>
      <c r="AY188" s="22" t="str">
        <f ca="1">IFERROR(__xludf.DUMMYFUNCTION("IFERROR(VLOOKUP(E205&amp;F205,IMPORTRANGE(""https://docs.google.com/spreadsheets/d/1Uw7-A9f9R21vMXxHZFNpYNeKFtG8_yji4HS352LGlSQ/edit?pli=1#gid=0"",""1_ACUM!A4:S""),13,FALSE))"),"")</f>
        <v/>
      </c>
      <c r="AZ188" s="22" t="str">
        <f ca="1">IFERROR(__xludf.DUMMYFUNCTION("IFERROR(VLOOKUP(E205&amp;F205,IMPORTRANGE(""https://docs.google.com/spreadsheets/d/1Uw7-A9f9R21vMXxHZFNpYNeKFtG8_yji4HS352LGlSQ/edit?pli=1#gid=0"",""1_ACUM!A4:S""),14,FALSE))"),"")</f>
        <v/>
      </c>
      <c r="BA188" s="22" t="str">
        <f ca="1">IFERROR(__xludf.DUMMYFUNCTION("IFERROR(VLOOKUP(E205&amp;F205,IMPORTRANGE(""https://docs.google.com/spreadsheets/d/1Uw7-A9f9R21vMXxHZFNpYNeKFtG8_yji4HS352LGlSQ/edit?pli=1#gid=0"",""1_ACUM!A4:S""),15,FALSE))"),"")</f>
        <v/>
      </c>
      <c r="BB188" s="22" t="str">
        <f ca="1">IFERROR(__xludf.DUMMYFUNCTION("IFERROR(VLOOKUP(E205&amp;F205,IMPORTRANGE(""https://docs.google.com/spreadsheets/d/1Uw7-A9f9R21vMXxHZFNpYNeKFtG8_yji4HS352LGlSQ/edit?pli=1#gid=0"",""1_ACUM!A4:S""),16,FALSE))"),"")</f>
        <v/>
      </c>
      <c r="BC188" s="22" t="str">
        <f ca="1">IFERROR(__xludf.DUMMYFUNCTION("IFERROR(VLOOKUP(E205&amp;F205,IMPORTRANGE(""https://docs.google.com/spreadsheets/d/1Uw7-A9f9R21vMXxHZFNpYNeKFtG8_yji4HS352LGlSQ/edit?pli=1#gid=0"",""1_ACUM!A4:S""),17,FALSE))"),"")</f>
        <v/>
      </c>
      <c r="BD188" s="23" t="str">
        <f ca="1">IFERROR(__xludf.DUMMYFUNCTION("IFERROR(VLOOKUP(E205&amp;F205,IMPORTRANGE(""https://docs.google.com/spreadsheets/d/1Uw7-A9f9R21vMXxHZFNpYNeKFtG8_yji4HS352LGlSQ/edit?pli=1#gid=0"",""1_ACUM!A4:S""),18,FALSE))"),"")</f>
        <v/>
      </c>
      <c r="BE188" s="23" t="str">
        <f ca="1">IFERROR(__xludf.DUMMYFUNCTION("IFERROR(VLOOKUP(E205&amp;F205,IMPORTRANGE(""https://docs.google.com/spreadsheets/d/1Uw7-A9f9R21vMXxHZFNpYNeKFtG8_yji4HS352LGlSQ/edit?pli=1#gid=0"",""1_ACUM!A4:S""),19,FALSE))"),"")</f>
        <v/>
      </c>
      <c r="BF188" s="23" t="str">
        <f ca="1">IFERROR(__xludf.DUMMYFUNCTION("IFERROR(VLOOKUP(F205,IMPORTRANGE(""https://docs.google.com/spreadsheets/d/1Kvs4KS76FHFqLFIZfrDMff4kP08nblUkihrxltoGBjg/edit#gid=934712705"",""ESENCIAL!A6:BG""),5,FALSE))"),"")</f>
        <v/>
      </c>
      <c r="BG188" s="23" t="e">
        <f t="shared" ca="1" si="25"/>
        <v>#VALUE!</v>
      </c>
      <c r="BH188" s="19" t="e">
        <f t="shared" ca="1" si="26"/>
        <v>#VALUE!</v>
      </c>
      <c r="BI188" s="19" t="str">
        <f ca="1">IFERROR(__xludf.DUMMYFUNCTION("IFERROR(VLOOKUP(F205,IMPORTRANGE(""https://docs.google.com/spreadsheets/d/1Kvs4KS76FHFqLFIZfrDMff4kP08nblUkihrxltoGBjg/edit#gid=934712705"",""ESENCIAL!A6:BG""),18,FALSE))"),"")</f>
        <v/>
      </c>
      <c r="BJ188" s="19" t="str">
        <f t="shared" si="27"/>
        <v>Yamboro</v>
      </c>
      <c r="BK188" s="291"/>
      <c r="BL188" s="19"/>
    </row>
    <row r="189" spans="1:64" s="245" customFormat="1" ht="24">
      <c r="A189" s="290" t="s">
        <v>1310</v>
      </c>
      <c r="B189" s="227" t="s">
        <v>25</v>
      </c>
      <c r="C189" s="248" t="s">
        <v>1622</v>
      </c>
      <c r="D189" s="229" t="s">
        <v>27</v>
      </c>
      <c r="E189" s="229">
        <v>1078746103</v>
      </c>
      <c r="F189" s="249">
        <v>2500012</v>
      </c>
      <c r="G189" s="226" t="str">
        <f ca="1">IFERROR(__xludf.DUMMYFUNCTION("IFERROR(VLOOKUP(F70,IMPORTRANGE(""https://docs.google.com/spreadsheets/d/1Kvs4KS76FHFqLFIZfrDMff4kP08nblUkihrxltoGBjg/edit#gid=934712705"",""ESENCIAL!A6:BG""),3,FALSE))"),"TÉCNICO")</f>
        <v>TÉCNICO</v>
      </c>
      <c r="H189" s="226" t="str">
        <f ca="1">IFERROR(__xludf.DUMMYFUNCTION("IFERROR(VLOOKUP(F70,IMPORTRANGE(""https://docs.google.com/spreadsheets/d/1Kvs4KS76FHFqLFIZfrDMff4kP08nblUkihrxltoGBjg/edit#gid=934712705"",""ESENCIAL!A6:BG""),8,FALSE))"),"SERVICIOS DE BARISMO")</f>
        <v>SERVICIOS DE BARISMO</v>
      </c>
      <c r="I189" s="250"/>
      <c r="J189" s="250"/>
      <c r="K189" s="234"/>
      <c r="L189" s="234" t="s">
        <v>1566</v>
      </c>
      <c r="M189" s="234" t="s">
        <v>1612</v>
      </c>
      <c r="N189" s="234" t="s">
        <v>1613</v>
      </c>
      <c r="O189" s="250">
        <v>3134997628</v>
      </c>
      <c r="P189" s="250" t="s">
        <v>1480</v>
      </c>
      <c r="Q189" s="236" t="s">
        <v>1614</v>
      </c>
      <c r="R189" s="247">
        <v>44928</v>
      </c>
      <c r="S189" s="237" t="s">
        <v>158</v>
      </c>
      <c r="T189" s="251"/>
      <c r="U189" s="234"/>
      <c r="V189" s="234"/>
      <c r="W189" s="234"/>
      <c r="X189" s="234"/>
      <c r="Y189" s="234"/>
      <c r="Z189" s="234"/>
      <c r="AA189" s="234"/>
      <c r="AB189" s="234"/>
      <c r="AC189" s="234"/>
      <c r="AD189" s="234"/>
      <c r="AE189" s="234"/>
      <c r="AF189" s="234"/>
      <c r="AG189" s="234"/>
      <c r="AH189" s="234"/>
      <c r="AI189" s="234"/>
      <c r="AJ189" s="234"/>
      <c r="AK189" s="234"/>
      <c r="AL189" s="234"/>
      <c r="AM189" s="234"/>
      <c r="AN189" s="234"/>
      <c r="AO189" s="234"/>
      <c r="AP189" s="234"/>
      <c r="AQ189" s="234"/>
      <c r="AR189" s="234"/>
      <c r="AS189" s="234"/>
      <c r="AT189" s="234"/>
      <c r="AU189" s="240" t="str">
        <f t="shared" ca="1" si="24"/>
        <v>NO_CUMPLE</v>
      </c>
      <c r="AV189" s="226" t="str">
        <f ca="1">IFERROR(__xludf.DUMMYFUNCTION("IFERROR(VLOOKUP(E206&amp;F206,IMPORTRANGE(""https://docs.google.com/spreadsheets/d/1Uw7-A9f9R21vMXxHZFNpYNeKFtG8_yji4HS352LGlSQ/edit?pli=1#gid=0"",""1_ACUM!A4:S""),11,FALSE))"),"")</f>
        <v/>
      </c>
      <c r="AW189" s="241" t="str">
        <f ca="1">IFERROR(__xludf.DUMMYFUNCTION("IFERROR(VLOOKUP(F206,IMPORTRANGE(""https://docs.google.com/spreadsheets/d/1Kvs4KS76FHFqLFIZfrDMff4kP08nblUkihrxltoGBjg/edit#gid=934712705"",""ESENCIAL!A6:BG""),15,FALSE))"),"")</f>
        <v/>
      </c>
      <c r="AX189" s="242" t="str">
        <f ca="1">IFERROR(__xludf.DUMMYFUNCTION("IFERROR(VLOOKUP(E206&amp;F206,IMPORTRANGE(""https://docs.google.com/spreadsheets/d/1Uw7-A9f9R21vMXxHZFNpYNeKFtG8_yji4HS352LGlSQ/edit?pli=1#gid=0"",""1_ACUM!A4:S""),12,FALSE))"),"")</f>
        <v/>
      </c>
      <c r="AY189" s="243" t="str">
        <f ca="1">IFERROR(__xludf.DUMMYFUNCTION("IFERROR(VLOOKUP(E206&amp;F206,IMPORTRANGE(""https://docs.google.com/spreadsheets/d/1Uw7-A9f9R21vMXxHZFNpYNeKFtG8_yji4HS352LGlSQ/edit?pli=1#gid=0"",""1_ACUM!A4:S""),13,FALSE))"),"")</f>
        <v/>
      </c>
      <c r="AZ189" s="243" t="str">
        <f ca="1">IFERROR(__xludf.DUMMYFUNCTION("IFERROR(VLOOKUP(E206&amp;F206,IMPORTRANGE(""https://docs.google.com/spreadsheets/d/1Uw7-A9f9R21vMXxHZFNpYNeKFtG8_yji4HS352LGlSQ/edit?pli=1#gid=0"",""1_ACUM!A4:S""),14,FALSE))"),"")</f>
        <v/>
      </c>
      <c r="BA189" s="243" t="str">
        <f ca="1">IFERROR(__xludf.DUMMYFUNCTION("IFERROR(VLOOKUP(E206&amp;F206,IMPORTRANGE(""https://docs.google.com/spreadsheets/d/1Uw7-A9f9R21vMXxHZFNpYNeKFtG8_yji4HS352LGlSQ/edit?pli=1#gid=0"",""1_ACUM!A4:S""),15,FALSE))"),"")</f>
        <v/>
      </c>
      <c r="BB189" s="243" t="str">
        <f ca="1">IFERROR(__xludf.DUMMYFUNCTION("IFERROR(VLOOKUP(E206&amp;F206,IMPORTRANGE(""https://docs.google.com/spreadsheets/d/1Uw7-A9f9R21vMXxHZFNpYNeKFtG8_yji4HS352LGlSQ/edit?pli=1#gid=0"",""1_ACUM!A4:S""),16,FALSE))"),"")</f>
        <v/>
      </c>
      <c r="BC189" s="243" t="str">
        <f ca="1">IFERROR(__xludf.DUMMYFUNCTION("IFERROR(VLOOKUP(E206&amp;F206,IMPORTRANGE(""https://docs.google.com/spreadsheets/d/1Uw7-A9f9R21vMXxHZFNpYNeKFtG8_yji4HS352LGlSQ/edit?pli=1#gid=0"",""1_ACUM!A4:S""),17,FALSE))"),"")</f>
        <v/>
      </c>
      <c r="BD189" s="244" t="str">
        <f ca="1">IFERROR(__xludf.DUMMYFUNCTION("IFERROR(VLOOKUP(E206&amp;F206,IMPORTRANGE(""https://docs.google.com/spreadsheets/d/1Uw7-A9f9R21vMXxHZFNpYNeKFtG8_yji4HS352LGlSQ/edit?pli=1#gid=0"",""1_ACUM!A4:S""),18,FALSE))"),"")</f>
        <v/>
      </c>
      <c r="BE189" s="244" t="str">
        <f ca="1">IFERROR(__xludf.DUMMYFUNCTION("IFERROR(VLOOKUP(E206&amp;F206,IMPORTRANGE(""https://docs.google.com/spreadsheets/d/1Uw7-A9f9R21vMXxHZFNpYNeKFtG8_yji4HS352LGlSQ/edit?pli=1#gid=0"",""1_ACUM!A4:S""),19,FALSE))"),"")</f>
        <v/>
      </c>
      <c r="BF189" s="244" t="str">
        <f ca="1">IFERROR(__xludf.DUMMYFUNCTION("IFERROR(VLOOKUP(F206,IMPORTRANGE(""https://docs.google.com/spreadsheets/d/1Kvs4KS76FHFqLFIZfrDMff4kP08nblUkihrxltoGBjg/edit#gid=934712705"",""ESENCIAL!A6:BG""),5,FALSE))"),"")</f>
        <v/>
      </c>
      <c r="BG189" s="244" t="e">
        <f t="shared" ca="1" si="25"/>
        <v>#VALUE!</v>
      </c>
      <c r="BH189" s="240" t="e">
        <f t="shared" ca="1" si="26"/>
        <v>#VALUE!</v>
      </c>
      <c r="BI189" s="240" t="str">
        <f ca="1">IFERROR(__xludf.DUMMYFUNCTION("IFERROR(VLOOKUP(F206,IMPORTRANGE(""https://docs.google.com/spreadsheets/d/1Kvs4KS76FHFqLFIZfrDMff4kP08nblUkihrxltoGBjg/edit#gid=934712705"",""ESENCIAL!A6:BG""),18,FALSE))"),"")</f>
        <v/>
      </c>
      <c r="BJ189" s="240" t="str">
        <f t="shared" si="27"/>
        <v>Yamboro</v>
      </c>
      <c r="BK189" s="302"/>
      <c r="BL189" s="240"/>
    </row>
    <row r="190" spans="1:64" ht="24" hidden="1">
      <c r="A190" s="290"/>
      <c r="B190" s="145" t="s">
        <v>25</v>
      </c>
      <c r="C190" s="71" t="s">
        <v>1623</v>
      </c>
      <c r="D190" s="57" t="s">
        <v>27</v>
      </c>
      <c r="E190" s="57">
        <v>1078746269</v>
      </c>
      <c r="F190" s="114">
        <v>2500012</v>
      </c>
      <c r="G190" s="11" t="str">
        <f ca="1">IFERROR(__xludf.DUMMYFUNCTION("IFERROR(VLOOKUP(F70,IMPORTRANGE(""https://docs.google.com/spreadsheets/d/1Kvs4KS76FHFqLFIZfrDMff4kP08nblUkihrxltoGBjg/edit#gid=934712705"",""ESENCIAL!A6:BG""),3,FALSE))"),"TÉCNICO")</f>
        <v>TÉCNICO</v>
      </c>
      <c r="H190" s="11" t="str">
        <f ca="1">IFERROR(__xludf.DUMMYFUNCTION("IFERROR(VLOOKUP(F70,IMPORTRANGE(""https://docs.google.com/spreadsheets/d/1Kvs4KS76FHFqLFIZfrDMff4kP08nblUkihrxltoGBjg/edit#gid=934712705"",""ESENCIAL!A6:BG""),8,FALSE))"),"SERVICIOS DE BARISMO")</f>
        <v>SERVICIOS DE BARISMO</v>
      </c>
      <c r="I190" s="142"/>
      <c r="J190" s="142"/>
      <c r="K190" s="30"/>
      <c r="L190" s="285" t="s">
        <v>44</v>
      </c>
      <c r="M190" s="54"/>
      <c r="N190" s="54"/>
      <c r="O190" s="142"/>
      <c r="P190" s="142"/>
      <c r="Q190" s="142"/>
      <c r="R190" s="88"/>
      <c r="S190" s="88"/>
      <c r="T190" s="65" t="s">
        <v>1602</v>
      </c>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19" t="str">
        <f t="shared" ca="1" si="24"/>
        <v>NO_CUMPLE</v>
      </c>
      <c r="AV190" s="11" t="str">
        <f ca="1">IFERROR(__xludf.DUMMYFUNCTION("IFERROR(VLOOKUP(E207&amp;F207,IMPORTRANGE(""https://docs.google.com/spreadsheets/d/1Uw7-A9f9R21vMXxHZFNpYNeKFtG8_yji4HS352LGlSQ/edit?pli=1#gid=0"",""1_ACUM!A4:S""),11,FALSE))"),"")</f>
        <v/>
      </c>
      <c r="AW190" s="20" t="str">
        <f ca="1">IFERROR(__xludf.DUMMYFUNCTION("IFERROR(VLOOKUP(F207,IMPORTRANGE(""https://docs.google.com/spreadsheets/d/1Kvs4KS76FHFqLFIZfrDMff4kP08nblUkihrxltoGBjg/edit#gid=934712705"",""ESENCIAL!A6:BG""),15,FALSE))"),"")</f>
        <v/>
      </c>
      <c r="AX190" s="21" t="str">
        <f ca="1">IFERROR(__xludf.DUMMYFUNCTION("IFERROR(VLOOKUP(E207&amp;F207,IMPORTRANGE(""https://docs.google.com/spreadsheets/d/1Uw7-A9f9R21vMXxHZFNpYNeKFtG8_yji4HS352LGlSQ/edit?pli=1#gid=0"",""1_ACUM!A4:S""),12,FALSE))"),"")</f>
        <v/>
      </c>
      <c r="AY190" s="22" t="str">
        <f ca="1">IFERROR(__xludf.DUMMYFUNCTION("IFERROR(VLOOKUP(E207&amp;F207,IMPORTRANGE(""https://docs.google.com/spreadsheets/d/1Uw7-A9f9R21vMXxHZFNpYNeKFtG8_yji4HS352LGlSQ/edit?pli=1#gid=0"",""1_ACUM!A4:S""),13,FALSE))"),"")</f>
        <v/>
      </c>
      <c r="AZ190" s="22" t="str">
        <f ca="1">IFERROR(__xludf.DUMMYFUNCTION("IFERROR(VLOOKUP(E207&amp;F207,IMPORTRANGE(""https://docs.google.com/spreadsheets/d/1Uw7-A9f9R21vMXxHZFNpYNeKFtG8_yji4HS352LGlSQ/edit?pli=1#gid=0"",""1_ACUM!A4:S""),14,FALSE))"),"")</f>
        <v/>
      </c>
      <c r="BA190" s="22" t="str">
        <f ca="1">IFERROR(__xludf.DUMMYFUNCTION("IFERROR(VLOOKUP(E207&amp;F207,IMPORTRANGE(""https://docs.google.com/spreadsheets/d/1Uw7-A9f9R21vMXxHZFNpYNeKFtG8_yji4HS352LGlSQ/edit?pli=1#gid=0"",""1_ACUM!A4:S""),15,FALSE))"),"")</f>
        <v/>
      </c>
      <c r="BB190" s="22" t="str">
        <f ca="1">IFERROR(__xludf.DUMMYFUNCTION("IFERROR(VLOOKUP(E207&amp;F207,IMPORTRANGE(""https://docs.google.com/spreadsheets/d/1Uw7-A9f9R21vMXxHZFNpYNeKFtG8_yji4HS352LGlSQ/edit?pli=1#gid=0"",""1_ACUM!A4:S""),16,FALSE))"),"")</f>
        <v/>
      </c>
      <c r="BC190" s="22" t="str">
        <f ca="1">IFERROR(__xludf.DUMMYFUNCTION("IFERROR(VLOOKUP(E207&amp;F207,IMPORTRANGE(""https://docs.google.com/spreadsheets/d/1Uw7-A9f9R21vMXxHZFNpYNeKFtG8_yji4HS352LGlSQ/edit?pli=1#gid=0"",""1_ACUM!A4:S""),17,FALSE))"),"")</f>
        <v/>
      </c>
      <c r="BD190" s="23" t="str">
        <f ca="1">IFERROR(__xludf.DUMMYFUNCTION("IFERROR(VLOOKUP(E207&amp;F207,IMPORTRANGE(""https://docs.google.com/spreadsheets/d/1Uw7-A9f9R21vMXxHZFNpYNeKFtG8_yji4HS352LGlSQ/edit?pli=1#gid=0"",""1_ACUM!A4:S""),18,FALSE))"),"")</f>
        <v/>
      </c>
      <c r="BE190" s="23" t="str">
        <f ca="1">IFERROR(__xludf.DUMMYFUNCTION("IFERROR(VLOOKUP(E207&amp;F207,IMPORTRANGE(""https://docs.google.com/spreadsheets/d/1Uw7-A9f9R21vMXxHZFNpYNeKFtG8_yji4HS352LGlSQ/edit?pli=1#gid=0"",""1_ACUM!A4:S""),19,FALSE))"),"")</f>
        <v/>
      </c>
      <c r="BF190" s="23" t="str">
        <f ca="1">IFERROR(__xludf.DUMMYFUNCTION("IFERROR(VLOOKUP(F207,IMPORTRANGE(""https://docs.google.com/spreadsheets/d/1Kvs4KS76FHFqLFIZfrDMff4kP08nblUkihrxltoGBjg/edit#gid=934712705"",""ESENCIAL!A6:BG""),5,FALSE))"),"")</f>
        <v/>
      </c>
      <c r="BG190" s="23" t="e">
        <f t="shared" ca="1" si="25"/>
        <v>#VALUE!</v>
      </c>
      <c r="BH190" s="19" t="e">
        <f t="shared" ca="1" si="26"/>
        <v>#VALUE!</v>
      </c>
      <c r="BI190" s="19" t="str">
        <f ca="1">IFERROR(__xludf.DUMMYFUNCTION("IFERROR(VLOOKUP(F207,IMPORTRANGE(""https://docs.google.com/spreadsheets/d/1Kvs4KS76FHFqLFIZfrDMff4kP08nblUkihrxltoGBjg/edit#gid=934712705"",""ESENCIAL!A6:BG""),18,FALSE))"),"")</f>
        <v/>
      </c>
      <c r="BJ190" s="19" t="str">
        <f t="shared" si="27"/>
        <v>Yamboro</v>
      </c>
      <c r="BK190" s="291"/>
      <c r="BL190" s="19"/>
    </row>
    <row r="191" spans="1:64" ht="24" hidden="1">
      <c r="A191" s="290"/>
      <c r="B191" s="145" t="s">
        <v>25</v>
      </c>
      <c r="C191" s="71" t="s">
        <v>1624</v>
      </c>
      <c r="D191" s="57" t="s">
        <v>67</v>
      </c>
      <c r="E191" s="57">
        <v>1083866184</v>
      </c>
      <c r="F191" s="114">
        <v>2500012</v>
      </c>
      <c r="G191" s="11" t="str">
        <f ca="1">IFERROR(__xludf.DUMMYFUNCTION("IFERROR(VLOOKUP(F70,IMPORTRANGE(""https://docs.google.com/spreadsheets/d/1Kvs4KS76FHFqLFIZfrDMff4kP08nblUkihrxltoGBjg/edit#gid=934712705"",""ESENCIAL!A6:BG""),3,FALSE))"),"TÉCNICO")</f>
        <v>TÉCNICO</v>
      </c>
      <c r="H191" s="11" t="str">
        <f ca="1">IFERROR(__xludf.DUMMYFUNCTION("IFERROR(VLOOKUP(F70,IMPORTRANGE(""https://docs.google.com/spreadsheets/d/1Kvs4KS76FHFqLFIZfrDMff4kP08nblUkihrxltoGBjg/edit#gid=934712705"",""ESENCIAL!A6:BG""),8,FALSE))"),"SERVICIOS DE BARISMO")</f>
        <v>SERVICIOS DE BARISMO</v>
      </c>
      <c r="I191" s="142"/>
      <c r="J191" s="142"/>
      <c r="K191" s="30"/>
      <c r="L191" s="285" t="s">
        <v>44</v>
      </c>
      <c r="M191" s="54"/>
      <c r="N191" s="54"/>
      <c r="O191" s="142"/>
      <c r="P191" s="142"/>
      <c r="Q191" s="142"/>
      <c r="R191" s="88"/>
      <c r="S191" s="88"/>
      <c r="T191" s="65" t="s">
        <v>1625</v>
      </c>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19" t="str">
        <f t="shared" ca="1" si="24"/>
        <v>NO_CUMPLE</v>
      </c>
      <c r="AV191" s="11" t="str">
        <f ca="1">IFERROR(__xludf.DUMMYFUNCTION("IFERROR(VLOOKUP(E208&amp;F208,IMPORTRANGE(""https://docs.google.com/spreadsheets/d/1Uw7-A9f9R21vMXxHZFNpYNeKFtG8_yji4HS352LGlSQ/edit?pli=1#gid=0"",""1_ACUM!A4:S""),11,FALSE))"),"")</f>
        <v/>
      </c>
      <c r="AW191" s="20" t="str">
        <f ca="1">IFERROR(__xludf.DUMMYFUNCTION("IFERROR(VLOOKUP(F208,IMPORTRANGE(""https://docs.google.com/spreadsheets/d/1Kvs4KS76FHFqLFIZfrDMff4kP08nblUkihrxltoGBjg/edit#gid=934712705"",""ESENCIAL!A6:BG""),15,FALSE))"),"")</f>
        <v/>
      </c>
      <c r="AX191" s="21" t="str">
        <f ca="1">IFERROR(__xludf.DUMMYFUNCTION("IFERROR(VLOOKUP(E208&amp;F208,IMPORTRANGE(""https://docs.google.com/spreadsheets/d/1Uw7-A9f9R21vMXxHZFNpYNeKFtG8_yji4HS352LGlSQ/edit?pli=1#gid=0"",""1_ACUM!A4:S""),12,FALSE))"),"")</f>
        <v/>
      </c>
      <c r="AY191" s="22" t="str">
        <f ca="1">IFERROR(__xludf.DUMMYFUNCTION("IFERROR(VLOOKUP(E208&amp;F208,IMPORTRANGE(""https://docs.google.com/spreadsheets/d/1Uw7-A9f9R21vMXxHZFNpYNeKFtG8_yji4HS352LGlSQ/edit?pli=1#gid=0"",""1_ACUM!A4:S""),13,FALSE))"),"")</f>
        <v/>
      </c>
      <c r="AZ191" s="22" t="str">
        <f ca="1">IFERROR(__xludf.DUMMYFUNCTION("IFERROR(VLOOKUP(E208&amp;F208,IMPORTRANGE(""https://docs.google.com/spreadsheets/d/1Uw7-A9f9R21vMXxHZFNpYNeKFtG8_yji4HS352LGlSQ/edit?pli=1#gid=0"",""1_ACUM!A4:S""),14,FALSE))"),"")</f>
        <v/>
      </c>
      <c r="BA191" s="22" t="str">
        <f ca="1">IFERROR(__xludf.DUMMYFUNCTION("IFERROR(VLOOKUP(E208&amp;F208,IMPORTRANGE(""https://docs.google.com/spreadsheets/d/1Uw7-A9f9R21vMXxHZFNpYNeKFtG8_yji4HS352LGlSQ/edit?pli=1#gid=0"",""1_ACUM!A4:S""),15,FALSE))"),"")</f>
        <v/>
      </c>
      <c r="BB191" s="22" t="str">
        <f ca="1">IFERROR(__xludf.DUMMYFUNCTION("IFERROR(VLOOKUP(E208&amp;F208,IMPORTRANGE(""https://docs.google.com/spreadsheets/d/1Uw7-A9f9R21vMXxHZFNpYNeKFtG8_yji4HS352LGlSQ/edit?pli=1#gid=0"",""1_ACUM!A4:S""),16,FALSE))"),"")</f>
        <v/>
      </c>
      <c r="BC191" s="22" t="str">
        <f ca="1">IFERROR(__xludf.DUMMYFUNCTION("IFERROR(VLOOKUP(E208&amp;F208,IMPORTRANGE(""https://docs.google.com/spreadsheets/d/1Uw7-A9f9R21vMXxHZFNpYNeKFtG8_yji4HS352LGlSQ/edit?pli=1#gid=0"",""1_ACUM!A4:S""),17,FALSE))"),"")</f>
        <v/>
      </c>
      <c r="BD191" s="23" t="str">
        <f ca="1">IFERROR(__xludf.DUMMYFUNCTION("IFERROR(VLOOKUP(E208&amp;F208,IMPORTRANGE(""https://docs.google.com/spreadsheets/d/1Uw7-A9f9R21vMXxHZFNpYNeKFtG8_yji4HS352LGlSQ/edit?pli=1#gid=0"",""1_ACUM!A4:S""),18,FALSE))"),"")</f>
        <v/>
      </c>
      <c r="BE191" s="23" t="str">
        <f ca="1">IFERROR(__xludf.DUMMYFUNCTION("IFERROR(VLOOKUP(E208&amp;F208,IMPORTRANGE(""https://docs.google.com/spreadsheets/d/1Uw7-A9f9R21vMXxHZFNpYNeKFtG8_yji4HS352LGlSQ/edit?pli=1#gid=0"",""1_ACUM!A4:S""),19,FALSE))"),"")</f>
        <v/>
      </c>
      <c r="BF191" s="23" t="str">
        <f ca="1">IFERROR(__xludf.DUMMYFUNCTION("IFERROR(VLOOKUP(F208,IMPORTRANGE(""https://docs.google.com/spreadsheets/d/1Kvs4KS76FHFqLFIZfrDMff4kP08nblUkihrxltoGBjg/edit#gid=934712705"",""ESENCIAL!A6:BG""),5,FALSE))"),"")</f>
        <v/>
      </c>
      <c r="BG191" s="23" t="e">
        <f t="shared" ca="1" si="25"/>
        <v>#VALUE!</v>
      </c>
      <c r="BH191" s="19" t="e">
        <f t="shared" ca="1" si="26"/>
        <v>#VALUE!</v>
      </c>
      <c r="BI191" s="19" t="str">
        <f ca="1">IFERROR(__xludf.DUMMYFUNCTION("IFERROR(VLOOKUP(F208,IMPORTRANGE(""https://docs.google.com/spreadsheets/d/1Kvs4KS76FHFqLFIZfrDMff4kP08nblUkihrxltoGBjg/edit#gid=934712705"",""ESENCIAL!A6:BG""),18,FALSE))"),"")</f>
        <v/>
      </c>
      <c r="BJ191" s="19" t="str">
        <f t="shared" si="27"/>
        <v>Yamboro</v>
      </c>
      <c r="BK191" s="291"/>
      <c r="BL191" s="19"/>
    </row>
    <row r="192" spans="1:64" ht="24" hidden="1">
      <c r="A192" s="290"/>
      <c r="B192" s="145" t="s">
        <v>25</v>
      </c>
      <c r="C192" s="71" t="s">
        <v>1626</v>
      </c>
      <c r="D192" s="57" t="s">
        <v>27</v>
      </c>
      <c r="E192" s="57">
        <v>1083866609</v>
      </c>
      <c r="F192" s="114">
        <v>2500012</v>
      </c>
      <c r="G192" s="11" t="str">
        <f ca="1">IFERROR(__xludf.DUMMYFUNCTION("IFERROR(VLOOKUP(F70,IMPORTRANGE(""https://docs.google.com/spreadsheets/d/1Kvs4KS76FHFqLFIZfrDMff4kP08nblUkihrxltoGBjg/edit#gid=934712705"",""ESENCIAL!A6:BG""),3,FALSE))"),"TÉCNICO")</f>
        <v>TÉCNICO</v>
      </c>
      <c r="H192" s="11" t="str">
        <f ca="1">IFERROR(__xludf.DUMMYFUNCTION("IFERROR(VLOOKUP(F70,IMPORTRANGE(""https://docs.google.com/spreadsheets/d/1Kvs4KS76FHFqLFIZfrDMff4kP08nblUkihrxltoGBjg/edit#gid=934712705"",""ESENCIAL!A6:BG""),8,FALSE))"),"SERVICIOS DE BARISMO")</f>
        <v>SERVICIOS DE BARISMO</v>
      </c>
      <c r="I192" s="142"/>
      <c r="J192" s="142"/>
      <c r="K192" s="30"/>
      <c r="L192" s="285" t="s">
        <v>44</v>
      </c>
      <c r="M192" s="54"/>
      <c r="N192" s="54"/>
      <c r="O192" s="142"/>
      <c r="P192" s="142"/>
      <c r="Q192" s="142"/>
      <c r="R192" s="88"/>
      <c r="S192" s="88"/>
      <c r="T192" s="65"/>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19" t="str">
        <f t="shared" ca="1" si="24"/>
        <v>NO_CUMPLE</v>
      </c>
      <c r="AV192" s="11" t="str">
        <f ca="1">IFERROR(__xludf.DUMMYFUNCTION("IFERROR(VLOOKUP(E209&amp;F209,IMPORTRANGE(""https://docs.google.com/spreadsheets/d/1Uw7-A9f9R21vMXxHZFNpYNeKFtG8_yji4HS352LGlSQ/edit?pli=1#gid=0"",""1_ACUM!A4:S""),11,FALSE))"),"")</f>
        <v/>
      </c>
      <c r="AW192" s="20" t="str">
        <f ca="1">IFERROR(__xludf.DUMMYFUNCTION("IFERROR(VLOOKUP(F209,IMPORTRANGE(""https://docs.google.com/spreadsheets/d/1Kvs4KS76FHFqLFIZfrDMff4kP08nblUkihrxltoGBjg/edit#gid=934712705"",""ESENCIAL!A6:BG""),15,FALSE))"),"")</f>
        <v/>
      </c>
      <c r="AX192" s="21" t="str">
        <f ca="1">IFERROR(__xludf.DUMMYFUNCTION("IFERROR(VLOOKUP(E209&amp;F209,IMPORTRANGE(""https://docs.google.com/spreadsheets/d/1Uw7-A9f9R21vMXxHZFNpYNeKFtG8_yji4HS352LGlSQ/edit?pli=1#gid=0"",""1_ACUM!A4:S""),12,FALSE))"),"")</f>
        <v/>
      </c>
      <c r="AY192" s="22" t="str">
        <f ca="1">IFERROR(__xludf.DUMMYFUNCTION("IFERROR(VLOOKUP(E209&amp;F209,IMPORTRANGE(""https://docs.google.com/spreadsheets/d/1Uw7-A9f9R21vMXxHZFNpYNeKFtG8_yji4HS352LGlSQ/edit?pli=1#gid=0"",""1_ACUM!A4:S""),13,FALSE))"),"")</f>
        <v/>
      </c>
      <c r="AZ192" s="22" t="str">
        <f ca="1">IFERROR(__xludf.DUMMYFUNCTION("IFERROR(VLOOKUP(E209&amp;F209,IMPORTRANGE(""https://docs.google.com/spreadsheets/d/1Uw7-A9f9R21vMXxHZFNpYNeKFtG8_yji4HS352LGlSQ/edit?pli=1#gid=0"",""1_ACUM!A4:S""),14,FALSE))"),"")</f>
        <v/>
      </c>
      <c r="BA192" s="22" t="str">
        <f ca="1">IFERROR(__xludf.DUMMYFUNCTION("IFERROR(VLOOKUP(E209&amp;F209,IMPORTRANGE(""https://docs.google.com/spreadsheets/d/1Uw7-A9f9R21vMXxHZFNpYNeKFtG8_yji4HS352LGlSQ/edit?pli=1#gid=0"",""1_ACUM!A4:S""),15,FALSE))"),"")</f>
        <v/>
      </c>
      <c r="BB192" s="22" t="str">
        <f ca="1">IFERROR(__xludf.DUMMYFUNCTION("IFERROR(VLOOKUP(E209&amp;F209,IMPORTRANGE(""https://docs.google.com/spreadsheets/d/1Uw7-A9f9R21vMXxHZFNpYNeKFtG8_yji4HS352LGlSQ/edit?pli=1#gid=0"",""1_ACUM!A4:S""),16,FALSE))"),"")</f>
        <v/>
      </c>
      <c r="BC192" s="22" t="str">
        <f ca="1">IFERROR(__xludf.DUMMYFUNCTION("IFERROR(VLOOKUP(E209&amp;F209,IMPORTRANGE(""https://docs.google.com/spreadsheets/d/1Uw7-A9f9R21vMXxHZFNpYNeKFtG8_yji4HS352LGlSQ/edit?pli=1#gid=0"",""1_ACUM!A4:S""),17,FALSE))"),"")</f>
        <v/>
      </c>
      <c r="BD192" s="23" t="str">
        <f ca="1">IFERROR(__xludf.DUMMYFUNCTION("IFERROR(VLOOKUP(E209&amp;F209,IMPORTRANGE(""https://docs.google.com/spreadsheets/d/1Uw7-A9f9R21vMXxHZFNpYNeKFtG8_yji4HS352LGlSQ/edit?pli=1#gid=0"",""1_ACUM!A4:S""),18,FALSE))"),"")</f>
        <v/>
      </c>
      <c r="BE192" s="23" t="str">
        <f ca="1">IFERROR(__xludf.DUMMYFUNCTION("IFERROR(VLOOKUP(E209&amp;F209,IMPORTRANGE(""https://docs.google.com/spreadsheets/d/1Uw7-A9f9R21vMXxHZFNpYNeKFtG8_yji4HS352LGlSQ/edit?pli=1#gid=0"",""1_ACUM!A4:S""),19,FALSE))"),"")</f>
        <v/>
      </c>
      <c r="BF192" s="23" t="str">
        <f ca="1">IFERROR(__xludf.DUMMYFUNCTION("IFERROR(VLOOKUP(F209,IMPORTRANGE(""https://docs.google.com/spreadsheets/d/1Kvs4KS76FHFqLFIZfrDMff4kP08nblUkihrxltoGBjg/edit#gid=934712705"",""ESENCIAL!A6:BG""),5,FALSE))"),"")</f>
        <v/>
      </c>
      <c r="BG192" s="23" t="e">
        <f t="shared" ca="1" si="25"/>
        <v>#VALUE!</v>
      </c>
      <c r="BH192" s="19" t="e">
        <f t="shared" ca="1" si="26"/>
        <v>#VALUE!</v>
      </c>
      <c r="BI192" s="19" t="str">
        <f ca="1">IFERROR(__xludf.DUMMYFUNCTION("IFERROR(VLOOKUP(F209,IMPORTRANGE(""https://docs.google.com/spreadsheets/d/1Kvs4KS76FHFqLFIZfrDMff4kP08nblUkihrxltoGBjg/edit#gid=934712705"",""ESENCIAL!A6:BG""),18,FALSE))"),"")</f>
        <v/>
      </c>
      <c r="BJ192" s="19" t="str">
        <f t="shared" si="27"/>
        <v>Yamboro</v>
      </c>
      <c r="BK192" s="291"/>
      <c r="BL192" s="19"/>
    </row>
    <row r="193" spans="1:64" ht="24" hidden="1">
      <c r="A193" s="290"/>
      <c r="B193" s="145" t="s">
        <v>25</v>
      </c>
      <c r="C193" s="71" t="s">
        <v>1627</v>
      </c>
      <c r="D193" s="57" t="s">
        <v>67</v>
      </c>
      <c r="E193" s="57">
        <v>1083867708</v>
      </c>
      <c r="F193" s="114">
        <v>2500012</v>
      </c>
      <c r="G193" s="11" t="str">
        <f ca="1">IFERROR(__xludf.DUMMYFUNCTION("IFERROR(VLOOKUP(F70,IMPORTRANGE(""https://docs.google.com/spreadsheets/d/1Kvs4KS76FHFqLFIZfrDMff4kP08nblUkihrxltoGBjg/edit#gid=934712705"",""ESENCIAL!A6:BG""),3,FALSE))"),"TÉCNICO")</f>
        <v>TÉCNICO</v>
      </c>
      <c r="H193" s="11" t="str">
        <f ca="1">IFERROR(__xludf.DUMMYFUNCTION("IFERROR(VLOOKUP(F70,IMPORTRANGE(""https://docs.google.com/spreadsheets/d/1Kvs4KS76FHFqLFIZfrDMff4kP08nblUkihrxltoGBjg/edit#gid=934712705"",""ESENCIAL!A6:BG""),8,FALSE))"),"SERVICIOS DE BARISMO")</f>
        <v>SERVICIOS DE BARISMO</v>
      </c>
      <c r="I193" s="142"/>
      <c r="J193" s="142"/>
      <c r="K193" s="30"/>
      <c r="L193" s="285" t="s">
        <v>44</v>
      </c>
      <c r="M193" s="54"/>
      <c r="N193" s="54"/>
      <c r="O193" s="142"/>
      <c r="P193" s="142"/>
      <c r="Q193" s="142"/>
      <c r="R193" s="88"/>
      <c r="S193" s="88"/>
      <c r="T193" s="65" t="s">
        <v>1628</v>
      </c>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19" t="str">
        <f t="shared" ca="1" si="24"/>
        <v>NO_CUMPLE</v>
      </c>
      <c r="AV193" s="11" t="str">
        <f ca="1">IFERROR(__xludf.DUMMYFUNCTION("IFERROR(VLOOKUP(E210&amp;F210,IMPORTRANGE(""https://docs.google.com/spreadsheets/d/1Uw7-A9f9R21vMXxHZFNpYNeKFtG8_yji4HS352LGlSQ/edit?pli=1#gid=0"",""1_ACUM!A4:S""),11,FALSE))"),"")</f>
        <v/>
      </c>
      <c r="AW193" s="20" t="str">
        <f ca="1">IFERROR(__xludf.DUMMYFUNCTION("IFERROR(VLOOKUP(F210,IMPORTRANGE(""https://docs.google.com/spreadsheets/d/1Kvs4KS76FHFqLFIZfrDMff4kP08nblUkihrxltoGBjg/edit#gid=934712705"",""ESENCIAL!A6:BG""),15,FALSE))"),"")</f>
        <v/>
      </c>
      <c r="AX193" s="21" t="str">
        <f ca="1">IFERROR(__xludf.DUMMYFUNCTION("IFERROR(VLOOKUP(E210&amp;F210,IMPORTRANGE(""https://docs.google.com/spreadsheets/d/1Uw7-A9f9R21vMXxHZFNpYNeKFtG8_yji4HS352LGlSQ/edit?pli=1#gid=0"",""1_ACUM!A4:S""),12,FALSE))"),"")</f>
        <v/>
      </c>
      <c r="AY193" s="22" t="str">
        <f ca="1">IFERROR(__xludf.DUMMYFUNCTION("IFERROR(VLOOKUP(E210&amp;F210,IMPORTRANGE(""https://docs.google.com/spreadsheets/d/1Uw7-A9f9R21vMXxHZFNpYNeKFtG8_yji4HS352LGlSQ/edit?pli=1#gid=0"",""1_ACUM!A4:S""),13,FALSE))"),"")</f>
        <v/>
      </c>
      <c r="AZ193" s="22" t="str">
        <f ca="1">IFERROR(__xludf.DUMMYFUNCTION("IFERROR(VLOOKUP(E210&amp;F210,IMPORTRANGE(""https://docs.google.com/spreadsheets/d/1Uw7-A9f9R21vMXxHZFNpYNeKFtG8_yji4HS352LGlSQ/edit?pli=1#gid=0"",""1_ACUM!A4:S""),14,FALSE))"),"")</f>
        <v/>
      </c>
      <c r="BA193" s="22" t="str">
        <f ca="1">IFERROR(__xludf.DUMMYFUNCTION("IFERROR(VLOOKUP(E210&amp;F210,IMPORTRANGE(""https://docs.google.com/spreadsheets/d/1Uw7-A9f9R21vMXxHZFNpYNeKFtG8_yji4HS352LGlSQ/edit?pli=1#gid=0"",""1_ACUM!A4:S""),15,FALSE))"),"")</f>
        <v/>
      </c>
      <c r="BB193" s="22" t="str">
        <f ca="1">IFERROR(__xludf.DUMMYFUNCTION("IFERROR(VLOOKUP(E210&amp;F210,IMPORTRANGE(""https://docs.google.com/spreadsheets/d/1Uw7-A9f9R21vMXxHZFNpYNeKFtG8_yji4HS352LGlSQ/edit?pli=1#gid=0"",""1_ACUM!A4:S""),16,FALSE))"),"")</f>
        <v/>
      </c>
      <c r="BC193" s="22" t="str">
        <f ca="1">IFERROR(__xludf.DUMMYFUNCTION("IFERROR(VLOOKUP(E210&amp;F210,IMPORTRANGE(""https://docs.google.com/spreadsheets/d/1Uw7-A9f9R21vMXxHZFNpYNeKFtG8_yji4HS352LGlSQ/edit?pli=1#gid=0"",""1_ACUM!A4:S""),17,FALSE))"),"")</f>
        <v/>
      </c>
      <c r="BD193" s="23" t="str">
        <f ca="1">IFERROR(__xludf.DUMMYFUNCTION("IFERROR(VLOOKUP(E210&amp;F210,IMPORTRANGE(""https://docs.google.com/spreadsheets/d/1Uw7-A9f9R21vMXxHZFNpYNeKFtG8_yji4HS352LGlSQ/edit?pli=1#gid=0"",""1_ACUM!A4:S""),18,FALSE))"),"")</f>
        <v/>
      </c>
      <c r="BE193" s="23" t="str">
        <f ca="1">IFERROR(__xludf.DUMMYFUNCTION("IFERROR(VLOOKUP(E210&amp;F210,IMPORTRANGE(""https://docs.google.com/spreadsheets/d/1Uw7-A9f9R21vMXxHZFNpYNeKFtG8_yji4HS352LGlSQ/edit?pli=1#gid=0"",""1_ACUM!A4:S""),19,FALSE))"),"")</f>
        <v/>
      </c>
      <c r="BF193" s="23" t="str">
        <f ca="1">IFERROR(__xludf.DUMMYFUNCTION("IFERROR(VLOOKUP(F210,IMPORTRANGE(""https://docs.google.com/spreadsheets/d/1Kvs4KS76FHFqLFIZfrDMff4kP08nblUkihrxltoGBjg/edit#gid=934712705"",""ESENCIAL!A6:BG""),5,FALSE))"),"")</f>
        <v/>
      </c>
      <c r="BG193" s="23" t="e">
        <f t="shared" ca="1" si="25"/>
        <v>#VALUE!</v>
      </c>
      <c r="BH193" s="19" t="e">
        <f t="shared" ca="1" si="26"/>
        <v>#VALUE!</v>
      </c>
      <c r="BI193" s="19" t="str">
        <f ca="1">IFERROR(__xludf.DUMMYFUNCTION("IFERROR(VLOOKUP(F210,IMPORTRANGE(""https://docs.google.com/spreadsheets/d/1Kvs4KS76FHFqLFIZfrDMff4kP08nblUkihrxltoGBjg/edit#gid=934712705"",""ESENCIAL!A6:BG""),18,FALSE))"),"")</f>
        <v/>
      </c>
      <c r="BJ193" s="19" t="str">
        <f t="shared" si="27"/>
        <v>Yamboro</v>
      </c>
      <c r="BK193" s="291"/>
      <c r="BL193" s="19"/>
    </row>
    <row r="194" spans="1:64" ht="24" hidden="1">
      <c r="A194" s="290"/>
      <c r="B194" s="145" t="s">
        <v>25</v>
      </c>
      <c r="C194" s="71" t="s">
        <v>1629</v>
      </c>
      <c r="D194" s="57" t="s">
        <v>67</v>
      </c>
      <c r="E194" s="57">
        <v>1083869167</v>
      </c>
      <c r="F194" s="114">
        <v>2500012</v>
      </c>
      <c r="G194" s="11" t="str">
        <f ca="1">IFERROR(__xludf.DUMMYFUNCTION("IFERROR(VLOOKUP(F70,IMPORTRANGE(""https://docs.google.com/spreadsheets/d/1Kvs4KS76FHFqLFIZfrDMff4kP08nblUkihrxltoGBjg/edit#gid=934712705"",""ESENCIAL!A6:BG""),3,FALSE))"),"TÉCNICO")</f>
        <v>TÉCNICO</v>
      </c>
      <c r="H194" s="11" t="str">
        <f ca="1">IFERROR(__xludf.DUMMYFUNCTION("IFERROR(VLOOKUP(F70,IMPORTRANGE(""https://docs.google.com/spreadsheets/d/1Kvs4KS76FHFqLFIZfrDMff4kP08nblUkihrxltoGBjg/edit#gid=934712705"",""ESENCIAL!A6:BG""),8,FALSE))"),"SERVICIOS DE BARISMO")</f>
        <v>SERVICIOS DE BARISMO</v>
      </c>
      <c r="I194" s="142"/>
      <c r="J194" s="142"/>
      <c r="K194" s="30"/>
      <c r="L194" s="285" t="s">
        <v>44</v>
      </c>
      <c r="M194" s="54"/>
      <c r="N194" s="54"/>
      <c r="O194" s="142"/>
      <c r="P194" s="142"/>
      <c r="Q194" s="142"/>
      <c r="R194" s="88"/>
      <c r="S194" s="88"/>
      <c r="T194" s="65" t="s">
        <v>1610</v>
      </c>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19" t="str">
        <f t="shared" ca="1" si="24"/>
        <v>NO_CUMPLE</v>
      </c>
      <c r="AV194" s="11" t="str">
        <f ca="1">IFERROR(__xludf.DUMMYFUNCTION("IFERROR(VLOOKUP(E211&amp;F211,IMPORTRANGE(""https://docs.google.com/spreadsheets/d/1Uw7-A9f9R21vMXxHZFNpYNeKFtG8_yji4HS352LGlSQ/edit?pli=1#gid=0"",""1_ACUM!A4:S""),11,FALSE))"),"")</f>
        <v/>
      </c>
      <c r="AW194" s="20" t="str">
        <f ca="1">IFERROR(__xludf.DUMMYFUNCTION("IFERROR(VLOOKUP(F211,IMPORTRANGE(""https://docs.google.com/spreadsheets/d/1Kvs4KS76FHFqLFIZfrDMff4kP08nblUkihrxltoGBjg/edit#gid=934712705"",""ESENCIAL!A6:BG""),15,FALSE))"),"")</f>
        <v/>
      </c>
      <c r="AX194" s="21" t="str">
        <f ca="1">IFERROR(__xludf.DUMMYFUNCTION("IFERROR(VLOOKUP(E211&amp;F211,IMPORTRANGE(""https://docs.google.com/spreadsheets/d/1Uw7-A9f9R21vMXxHZFNpYNeKFtG8_yji4HS352LGlSQ/edit?pli=1#gid=0"",""1_ACUM!A4:S""),12,FALSE))"),"")</f>
        <v/>
      </c>
      <c r="AY194" s="22" t="str">
        <f ca="1">IFERROR(__xludf.DUMMYFUNCTION("IFERROR(VLOOKUP(E211&amp;F211,IMPORTRANGE(""https://docs.google.com/spreadsheets/d/1Uw7-A9f9R21vMXxHZFNpYNeKFtG8_yji4HS352LGlSQ/edit?pli=1#gid=0"",""1_ACUM!A4:S""),13,FALSE))"),"")</f>
        <v/>
      </c>
      <c r="AZ194" s="22" t="str">
        <f ca="1">IFERROR(__xludf.DUMMYFUNCTION("IFERROR(VLOOKUP(E211&amp;F211,IMPORTRANGE(""https://docs.google.com/spreadsheets/d/1Uw7-A9f9R21vMXxHZFNpYNeKFtG8_yji4HS352LGlSQ/edit?pli=1#gid=0"",""1_ACUM!A4:S""),14,FALSE))"),"")</f>
        <v/>
      </c>
      <c r="BA194" s="22" t="str">
        <f ca="1">IFERROR(__xludf.DUMMYFUNCTION("IFERROR(VLOOKUP(E211&amp;F211,IMPORTRANGE(""https://docs.google.com/spreadsheets/d/1Uw7-A9f9R21vMXxHZFNpYNeKFtG8_yji4HS352LGlSQ/edit?pli=1#gid=0"",""1_ACUM!A4:S""),15,FALSE))"),"")</f>
        <v/>
      </c>
      <c r="BB194" s="22" t="str">
        <f ca="1">IFERROR(__xludf.DUMMYFUNCTION("IFERROR(VLOOKUP(E211&amp;F211,IMPORTRANGE(""https://docs.google.com/spreadsheets/d/1Uw7-A9f9R21vMXxHZFNpYNeKFtG8_yji4HS352LGlSQ/edit?pli=1#gid=0"",""1_ACUM!A4:S""),16,FALSE))"),"")</f>
        <v/>
      </c>
      <c r="BC194" s="22" t="str">
        <f ca="1">IFERROR(__xludf.DUMMYFUNCTION("IFERROR(VLOOKUP(E211&amp;F211,IMPORTRANGE(""https://docs.google.com/spreadsheets/d/1Uw7-A9f9R21vMXxHZFNpYNeKFtG8_yji4HS352LGlSQ/edit?pli=1#gid=0"",""1_ACUM!A4:S""),17,FALSE))"),"")</f>
        <v/>
      </c>
      <c r="BD194" s="23" t="str">
        <f ca="1">IFERROR(__xludf.DUMMYFUNCTION("IFERROR(VLOOKUP(E211&amp;F211,IMPORTRANGE(""https://docs.google.com/spreadsheets/d/1Uw7-A9f9R21vMXxHZFNpYNeKFtG8_yji4HS352LGlSQ/edit?pli=1#gid=0"",""1_ACUM!A4:S""),18,FALSE))"),"")</f>
        <v/>
      </c>
      <c r="BE194" s="23" t="str">
        <f ca="1">IFERROR(__xludf.DUMMYFUNCTION("IFERROR(VLOOKUP(E211&amp;F211,IMPORTRANGE(""https://docs.google.com/spreadsheets/d/1Uw7-A9f9R21vMXxHZFNpYNeKFtG8_yji4HS352LGlSQ/edit?pli=1#gid=0"",""1_ACUM!A4:S""),19,FALSE))"),"")</f>
        <v/>
      </c>
      <c r="BF194" s="23" t="str">
        <f ca="1">IFERROR(__xludf.DUMMYFUNCTION("IFERROR(VLOOKUP(F211,IMPORTRANGE(""https://docs.google.com/spreadsheets/d/1Kvs4KS76FHFqLFIZfrDMff4kP08nblUkihrxltoGBjg/edit#gid=934712705"",""ESENCIAL!A6:BG""),5,FALSE))"),"")</f>
        <v/>
      </c>
      <c r="BG194" s="23" t="e">
        <f t="shared" ca="1" si="25"/>
        <v>#VALUE!</v>
      </c>
      <c r="BH194" s="19" t="e">
        <f t="shared" ca="1" si="26"/>
        <v>#VALUE!</v>
      </c>
      <c r="BI194" s="19" t="str">
        <f ca="1">IFERROR(__xludf.DUMMYFUNCTION("IFERROR(VLOOKUP(F211,IMPORTRANGE(""https://docs.google.com/spreadsheets/d/1Kvs4KS76FHFqLFIZfrDMff4kP08nblUkihrxltoGBjg/edit#gid=934712705"",""ESENCIAL!A6:BG""),18,FALSE))"),"")</f>
        <v/>
      </c>
      <c r="BJ194" s="19" t="str">
        <f t="shared" si="27"/>
        <v>Yamboro</v>
      </c>
      <c r="BK194" s="291"/>
      <c r="BL194" s="19"/>
    </row>
    <row r="195" spans="1:64" ht="24" hidden="1">
      <c r="A195" s="290"/>
      <c r="B195" s="145" t="s">
        <v>25</v>
      </c>
      <c r="C195" s="71" t="s">
        <v>1630</v>
      </c>
      <c r="D195" s="57" t="s">
        <v>67</v>
      </c>
      <c r="E195" s="57">
        <v>1083869222</v>
      </c>
      <c r="F195" s="114">
        <v>2500012</v>
      </c>
      <c r="G195" s="11" t="str">
        <f ca="1">IFERROR(__xludf.DUMMYFUNCTION("IFERROR(VLOOKUP(F70,IMPORTRANGE(""https://docs.google.com/spreadsheets/d/1Kvs4KS76FHFqLFIZfrDMff4kP08nblUkihrxltoGBjg/edit#gid=934712705"",""ESENCIAL!A6:BG""),3,FALSE))"),"TÉCNICO")</f>
        <v>TÉCNICO</v>
      </c>
      <c r="H195" s="11" t="str">
        <f ca="1">IFERROR(__xludf.DUMMYFUNCTION("IFERROR(VLOOKUP(F70,IMPORTRANGE(""https://docs.google.com/spreadsheets/d/1Kvs4KS76FHFqLFIZfrDMff4kP08nblUkihrxltoGBjg/edit#gid=934712705"",""ESENCIAL!A6:BG""),8,FALSE))"),"SERVICIOS DE BARISMO")</f>
        <v>SERVICIOS DE BARISMO</v>
      </c>
      <c r="I195" s="142"/>
      <c r="J195" s="142"/>
      <c r="K195" s="30"/>
      <c r="L195" s="285" t="s">
        <v>44</v>
      </c>
      <c r="M195" s="54"/>
      <c r="N195" s="54"/>
      <c r="O195" s="142"/>
      <c r="P195" s="142"/>
      <c r="Q195" s="142"/>
      <c r="R195" s="88"/>
      <c r="S195" s="88"/>
      <c r="T195" s="65"/>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19" t="str">
        <f t="shared" ca="1" si="24"/>
        <v>NO_CUMPLE</v>
      </c>
      <c r="AV195" s="11" t="str">
        <f ca="1">IFERROR(__xludf.DUMMYFUNCTION("IFERROR(VLOOKUP(E212&amp;F212,IMPORTRANGE(""https://docs.google.com/spreadsheets/d/1Uw7-A9f9R21vMXxHZFNpYNeKFtG8_yji4HS352LGlSQ/edit?pli=1#gid=0"",""1_ACUM!A4:S""),11,FALSE))"),"")</f>
        <v/>
      </c>
      <c r="AW195" s="20" t="str">
        <f ca="1">IFERROR(__xludf.DUMMYFUNCTION("IFERROR(VLOOKUP(F212,IMPORTRANGE(""https://docs.google.com/spreadsheets/d/1Kvs4KS76FHFqLFIZfrDMff4kP08nblUkihrxltoGBjg/edit#gid=934712705"",""ESENCIAL!A6:BG""),15,FALSE))"),"")</f>
        <v/>
      </c>
      <c r="AX195" s="21" t="str">
        <f ca="1">IFERROR(__xludf.DUMMYFUNCTION("IFERROR(VLOOKUP(E212&amp;F212,IMPORTRANGE(""https://docs.google.com/spreadsheets/d/1Uw7-A9f9R21vMXxHZFNpYNeKFtG8_yji4HS352LGlSQ/edit?pli=1#gid=0"",""1_ACUM!A4:S""),12,FALSE))"),"")</f>
        <v/>
      </c>
      <c r="AY195" s="22" t="str">
        <f ca="1">IFERROR(__xludf.DUMMYFUNCTION("IFERROR(VLOOKUP(E212&amp;F212,IMPORTRANGE(""https://docs.google.com/spreadsheets/d/1Uw7-A9f9R21vMXxHZFNpYNeKFtG8_yji4HS352LGlSQ/edit?pli=1#gid=0"",""1_ACUM!A4:S""),13,FALSE))"),"")</f>
        <v/>
      </c>
      <c r="AZ195" s="22" t="str">
        <f ca="1">IFERROR(__xludf.DUMMYFUNCTION("IFERROR(VLOOKUP(E212&amp;F212,IMPORTRANGE(""https://docs.google.com/spreadsheets/d/1Uw7-A9f9R21vMXxHZFNpYNeKFtG8_yji4HS352LGlSQ/edit?pli=1#gid=0"",""1_ACUM!A4:S""),14,FALSE))"),"")</f>
        <v/>
      </c>
      <c r="BA195" s="22" t="str">
        <f ca="1">IFERROR(__xludf.DUMMYFUNCTION("IFERROR(VLOOKUP(E212&amp;F212,IMPORTRANGE(""https://docs.google.com/spreadsheets/d/1Uw7-A9f9R21vMXxHZFNpYNeKFtG8_yji4HS352LGlSQ/edit?pli=1#gid=0"",""1_ACUM!A4:S""),15,FALSE))"),"")</f>
        <v/>
      </c>
      <c r="BB195" s="22" t="str">
        <f ca="1">IFERROR(__xludf.DUMMYFUNCTION("IFERROR(VLOOKUP(E212&amp;F212,IMPORTRANGE(""https://docs.google.com/spreadsheets/d/1Uw7-A9f9R21vMXxHZFNpYNeKFtG8_yji4HS352LGlSQ/edit?pli=1#gid=0"",""1_ACUM!A4:S""),16,FALSE))"),"")</f>
        <v/>
      </c>
      <c r="BC195" s="22" t="str">
        <f ca="1">IFERROR(__xludf.DUMMYFUNCTION("IFERROR(VLOOKUP(E212&amp;F212,IMPORTRANGE(""https://docs.google.com/spreadsheets/d/1Uw7-A9f9R21vMXxHZFNpYNeKFtG8_yji4HS352LGlSQ/edit?pli=1#gid=0"",""1_ACUM!A4:S""),17,FALSE))"),"")</f>
        <v/>
      </c>
      <c r="BD195" s="23" t="str">
        <f ca="1">IFERROR(__xludf.DUMMYFUNCTION("IFERROR(VLOOKUP(E212&amp;F212,IMPORTRANGE(""https://docs.google.com/spreadsheets/d/1Uw7-A9f9R21vMXxHZFNpYNeKFtG8_yji4HS352LGlSQ/edit?pli=1#gid=0"",""1_ACUM!A4:S""),18,FALSE))"),"")</f>
        <v/>
      </c>
      <c r="BE195" s="23" t="str">
        <f ca="1">IFERROR(__xludf.DUMMYFUNCTION("IFERROR(VLOOKUP(E212&amp;F212,IMPORTRANGE(""https://docs.google.com/spreadsheets/d/1Uw7-A9f9R21vMXxHZFNpYNeKFtG8_yji4HS352LGlSQ/edit?pli=1#gid=0"",""1_ACUM!A4:S""),19,FALSE))"),"")</f>
        <v/>
      </c>
      <c r="BF195" s="23" t="str">
        <f ca="1">IFERROR(__xludf.DUMMYFUNCTION("IFERROR(VLOOKUP(F212,IMPORTRANGE(""https://docs.google.com/spreadsheets/d/1Kvs4KS76FHFqLFIZfrDMff4kP08nblUkihrxltoGBjg/edit#gid=934712705"",""ESENCIAL!A6:BG""),5,FALSE))"),"")</f>
        <v/>
      </c>
      <c r="BG195" s="23" t="e">
        <f t="shared" ca="1" si="25"/>
        <v>#VALUE!</v>
      </c>
      <c r="BH195" s="19" t="e">
        <f t="shared" ca="1" si="26"/>
        <v>#VALUE!</v>
      </c>
      <c r="BI195" s="19" t="str">
        <f ca="1">IFERROR(__xludf.DUMMYFUNCTION("IFERROR(VLOOKUP(F212,IMPORTRANGE(""https://docs.google.com/spreadsheets/d/1Kvs4KS76FHFqLFIZfrDMff4kP08nblUkihrxltoGBjg/edit#gid=934712705"",""ESENCIAL!A6:BG""),18,FALSE))"),"")</f>
        <v/>
      </c>
      <c r="BJ195" s="19" t="str">
        <f t="shared" si="27"/>
        <v>Yamboro</v>
      </c>
      <c r="BK195" s="291"/>
      <c r="BL195" s="19"/>
    </row>
    <row r="196" spans="1:64" ht="24" hidden="1">
      <c r="A196" s="290"/>
      <c r="B196" s="145" t="s">
        <v>25</v>
      </c>
      <c r="C196" s="71" t="s">
        <v>1631</v>
      </c>
      <c r="D196" s="57" t="s">
        <v>67</v>
      </c>
      <c r="E196" s="57">
        <v>1083870026</v>
      </c>
      <c r="F196" s="114">
        <v>2500012</v>
      </c>
      <c r="G196" s="11" t="str">
        <f ca="1">IFERROR(__xludf.DUMMYFUNCTION("IFERROR(VLOOKUP(F70,IMPORTRANGE(""https://docs.google.com/spreadsheets/d/1Kvs4KS76FHFqLFIZfrDMff4kP08nblUkihrxltoGBjg/edit#gid=934712705"",""ESENCIAL!A6:BG""),3,FALSE))"),"TÉCNICO")</f>
        <v>TÉCNICO</v>
      </c>
      <c r="H196" s="11" t="str">
        <f ca="1">IFERROR(__xludf.DUMMYFUNCTION("IFERROR(VLOOKUP(F70,IMPORTRANGE(""https://docs.google.com/spreadsheets/d/1Kvs4KS76FHFqLFIZfrDMff4kP08nblUkihrxltoGBjg/edit#gid=934712705"",""ESENCIAL!A6:BG""),8,FALSE))"),"SERVICIOS DE BARISMO")</f>
        <v>SERVICIOS DE BARISMO</v>
      </c>
      <c r="I196" s="142"/>
      <c r="J196" s="142"/>
      <c r="K196" s="30"/>
      <c r="L196" s="285" t="s">
        <v>44</v>
      </c>
      <c r="M196" s="54"/>
      <c r="N196" s="54"/>
      <c r="O196" s="142"/>
      <c r="P196" s="142"/>
      <c r="Q196" s="142"/>
      <c r="R196" s="88"/>
      <c r="S196" s="88"/>
      <c r="T196" s="65" t="s">
        <v>1632</v>
      </c>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19" t="str">
        <f t="shared" ca="1" si="24"/>
        <v>NO_CUMPLE</v>
      </c>
      <c r="AV196" s="11" t="str">
        <f ca="1">IFERROR(__xludf.DUMMYFUNCTION("IFERROR(VLOOKUP(E213&amp;F213,IMPORTRANGE(""https://docs.google.com/spreadsheets/d/1Uw7-A9f9R21vMXxHZFNpYNeKFtG8_yji4HS352LGlSQ/edit?pli=1#gid=0"",""1_ACUM!A4:S""),11,FALSE))"),"")</f>
        <v/>
      </c>
      <c r="AW196" s="20" t="str">
        <f ca="1">IFERROR(__xludf.DUMMYFUNCTION("IFERROR(VLOOKUP(F213,IMPORTRANGE(""https://docs.google.com/spreadsheets/d/1Kvs4KS76FHFqLFIZfrDMff4kP08nblUkihrxltoGBjg/edit#gid=934712705"",""ESENCIAL!A6:BG""),15,FALSE))"),"")</f>
        <v/>
      </c>
      <c r="AX196" s="21" t="str">
        <f ca="1">IFERROR(__xludf.DUMMYFUNCTION("IFERROR(VLOOKUP(E213&amp;F213,IMPORTRANGE(""https://docs.google.com/spreadsheets/d/1Uw7-A9f9R21vMXxHZFNpYNeKFtG8_yji4HS352LGlSQ/edit?pli=1#gid=0"",""1_ACUM!A4:S""),12,FALSE))"),"")</f>
        <v/>
      </c>
      <c r="AY196" s="22" t="str">
        <f ca="1">IFERROR(__xludf.DUMMYFUNCTION("IFERROR(VLOOKUP(E213&amp;F213,IMPORTRANGE(""https://docs.google.com/spreadsheets/d/1Uw7-A9f9R21vMXxHZFNpYNeKFtG8_yji4HS352LGlSQ/edit?pli=1#gid=0"",""1_ACUM!A4:S""),13,FALSE))"),"")</f>
        <v/>
      </c>
      <c r="AZ196" s="22" t="str">
        <f ca="1">IFERROR(__xludf.DUMMYFUNCTION("IFERROR(VLOOKUP(E213&amp;F213,IMPORTRANGE(""https://docs.google.com/spreadsheets/d/1Uw7-A9f9R21vMXxHZFNpYNeKFtG8_yji4HS352LGlSQ/edit?pli=1#gid=0"",""1_ACUM!A4:S""),14,FALSE))"),"")</f>
        <v/>
      </c>
      <c r="BA196" s="22" t="str">
        <f ca="1">IFERROR(__xludf.DUMMYFUNCTION("IFERROR(VLOOKUP(E213&amp;F213,IMPORTRANGE(""https://docs.google.com/spreadsheets/d/1Uw7-A9f9R21vMXxHZFNpYNeKFtG8_yji4HS352LGlSQ/edit?pli=1#gid=0"",""1_ACUM!A4:S""),15,FALSE))"),"")</f>
        <v/>
      </c>
      <c r="BB196" s="22" t="str">
        <f ca="1">IFERROR(__xludf.DUMMYFUNCTION("IFERROR(VLOOKUP(E213&amp;F213,IMPORTRANGE(""https://docs.google.com/spreadsheets/d/1Uw7-A9f9R21vMXxHZFNpYNeKFtG8_yji4HS352LGlSQ/edit?pli=1#gid=0"",""1_ACUM!A4:S""),16,FALSE))"),"")</f>
        <v/>
      </c>
      <c r="BC196" s="22" t="str">
        <f ca="1">IFERROR(__xludf.DUMMYFUNCTION("IFERROR(VLOOKUP(E213&amp;F213,IMPORTRANGE(""https://docs.google.com/spreadsheets/d/1Uw7-A9f9R21vMXxHZFNpYNeKFtG8_yji4HS352LGlSQ/edit?pli=1#gid=0"",""1_ACUM!A4:S""),17,FALSE))"),"")</f>
        <v/>
      </c>
      <c r="BD196" s="23" t="str">
        <f ca="1">IFERROR(__xludf.DUMMYFUNCTION("IFERROR(VLOOKUP(E213&amp;F213,IMPORTRANGE(""https://docs.google.com/spreadsheets/d/1Uw7-A9f9R21vMXxHZFNpYNeKFtG8_yji4HS352LGlSQ/edit?pli=1#gid=0"",""1_ACUM!A4:S""),18,FALSE))"),"")</f>
        <v/>
      </c>
      <c r="BE196" s="23" t="str">
        <f ca="1">IFERROR(__xludf.DUMMYFUNCTION("IFERROR(VLOOKUP(E213&amp;F213,IMPORTRANGE(""https://docs.google.com/spreadsheets/d/1Uw7-A9f9R21vMXxHZFNpYNeKFtG8_yji4HS352LGlSQ/edit?pli=1#gid=0"",""1_ACUM!A4:S""),19,FALSE))"),"")</f>
        <v/>
      </c>
      <c r="BF196" s="23" t="str">
        <f ca="1">IFERROR(__xludf.DUMMYFUNCTION("IFERROR(VLOOKUP(F213,IMPORTRANGE(""https://docs.google.com/spreadsheets/d/1Kvs4KS76FHFqLFIZfrDMff4kP08nblUkihrxltoGBjg/edit#gid=934712705"",""ESENCIAL!A6:BG""),5,FALSE))"),"")</f>
        <v/>
      </c>
      <c r="BG196" s="23" t="e">
        <f t="shared" ca="1" si="25"/>
        <v>#VALUE!</v>
      </c>
      <c r="BH196" s="19" t="e">
        <f t="shared" ca="1" si="26"/>
        <v>#VALUE!</v>
      </c>
      <c r="BI196" s="19" t="str">
        <f ca="1">IFERROR(__xludf.DUMMYFUNCTION("IFERROR(VLOOKUP(F213,IMPORTRANGE(""https://docs.google.com/spreadsheets/d/1Kvs4KS76FHFqLFIZfrDMff4kP08nblUkihrxltoGBjg/edit#gid=934712705"",""ESENCIAL!A6:BG""),18,FALSE))"),"")</f>
        <v/>
      </c>
      <c r="BJ196" s="19" t="str">
        <f t="shared" si="27"/>
        <v>Yamboro</v>
      </c>
      <c r="BK196" s="291"/>
      <c r="BL196" s="19"/>
    </row>
    <row r="197" spans="1:64" ht="24">
      <c r="A197" s="290" t="s">
        <v>1310</v>
      </c>
      <c r="B197" s="145" t="s">
        <v>25</v>
      </c>
      <c r="C197" s="71" t="s">
        <v>1633</v>
      </c>
      <c r="D197" s="57" t="s">
        <v>67</v>
      </c>
      <c r="E197" s="57">
        <v>1083871179</v>
      </c>
      <c r="F197" s="114">
        <v>2500012</v>
      </c>
      <c r="G197" s="11" t="str">
        <f ca="1">IFERROR(__xludf.DUMMYFUNCTION("IFERROR(VLOOKUP(F70,IMPORTRANGE(""https://docs.google.com/spreadsheets/d/1Kvs4KS76FHFqLFIZfrDMff4kP08nblUkihrxltoGBjg/edit#gid=934712705"",""ESENCIAL!A6:BG""),3,FALSE))"),"TÉCNICO")</f>
        <v>TÉCNICO</v>
      </c>
      <c r="H197" s="11" t="str">
        <f ca="1">IFERROR(__xludf.DUMMYFUNCTION("IFERROR(VLOOKUP(F70,IMPORTRANGE(""https://docs.google.com/spreadsheets/d/1Kvs4KS76FHFqLFIZfrDMff4kP08nblUkihrxltoGBjg/edit#gid=934712705"",""ESENCIAL!A6:BG""),8,FALSE))"),"SERVICIOS DE BARISMO")</f>
        <v>SERVICIOS DE BARISMO</v>
      </c>
      <c r="I197" s="142"/>
      <c r="J197" s="142"/>
      <c r="K197" s="30"/>
      <c r="L197" s="54" t="s">
        <v>1566</v>
      </c>
      <c r="M197" s="54" t="s">
        <v>1612</v>
      </c>
      <c r="N197" s="54" t="s">
        <v>1613</v>
      </c>
      <c r="O197" s="142">
        <v>3134997628</v>
      </c>
      <c r="P197" s="142" t="s">
        <v>84</v>
      </c>
      <c r="Q197" s="182" t="s">
        <v>1614</v>
      </c>
      <c r="R197" s="88" t="s">
        <v>117</v>
      </c>
      <c r="S197" s="181" t="s">
        <v>118</v>
      </c>
      <c r="T197" s="65"/>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19" t="str">
        <f t="shared" ca="1" si="24"/>
        <v>NO_CUMPLE</v>
      </c>
      <c r="AV197" s="11" t="str">
        <f ca="1">IFERROR(__xludf.DUMMYFUNCTION("IFERROR(VLOOKUP(E214&amp;F214,IMPORTRANGE(""https://docs.google.com/spreadsheets/d/1Uw7-A9f9R21vMXxHZFNpYNeKFtG8_yji4HS352LGlSQ/edit?pli=1#gid=0"",""1_ACUM!A4:S""),11,FALSE))"),"")</f>
        <v/>
      </c>
      <c r="AW197" s="20" t="str">
        <f ca="1">IFERROR(__xludf.DUMMYFUNCTION("IFERROR(VLOOKUP(F214,IMPORTRANGE(""https://docs.google.com/spreadsheets/d/1Kvs4KS76FHFqLFIZfrDMff4kP08nblUkihrxltoGBjg/edit#gid=934712705"",""ESENCIAL!A6:BG""),15,FALSE))"),"")</f>
        <v/>
      </c>
      <c r="AX197" s="21" t="str">
        <f ca="1">IFERROR(__xludf.DUMMYFUNCTION("IFERROR(VLOOKUP(E214&amp;F214,IMPORTRANGE(""https://docs.google.com/spreadsheets/d/1Uw7-A9f9R21vMXxHZFNpYNeKFtG8_yji4HS352LGlSQ/edit?pli=1#gid=0"",""1_ACUM!A4:S""),12,FALSE))"),"")</f>
        <v/>
      </c>
      <c r="AY197" s="22" t="str">
        <f ca="1">IFERROR(__xludf.DUMMYFUNCTION("IFERROR(VLOOKUP(E214&amp;F214,IMPORTRANGE(""https://docs.google.com/spreadsheets/d/1Uw7-A9f9R21vMXxHZFNpYNeKFtG8_yji4HS352LGlSQ/edit?pli=1#gid=0"",""1_ACUM!A4:S""),13,FALSE))"),"")</f>
        <v/>
      </c>
      <c r="AZ197" s="22" t="str">
        <f ca="1">IFERROR(__xludf.DUMMYFUNCTION("IFERROR(VLOOKUP(E214&amp;F214,IMPORTRANGE(""https://docs.google.com/spreadsheets/d/1Uw7-A9f9R21vMXxHZFNpYNeKFtG8_yji4HS352LGlSQ/edit?pli=1#gid=0"",""1_ACUM!A4:S""),14,FALSE))"),"")</f>
        <v/>
      </c>
      <c r="BA197" s="22" t="str">
        <f ca="1">IFERROR(__xludf.DUMMYFUNCTION("IFERROR(VLOOKUP(E214&amp;F214,IMPORTRANGE(""https://docs.google.com/spreadsheets/d/1Uw7-A9f9R21vMXxHZFNpYNeKFtG8_yji4HS352LGlSQ/edit?pli=1#gid=0"",""1_ACUM!A4:S""),15,FALSE))"),"")</f>
        <v/>
      </c>
      <c r="BB197" s="22" t="str">
        <f ca="1">IFERROR(__xludf.DUMMYFUNCTION("IFERROR(VLOOKUP(E214&amp;F214,IMPORTRANGE(""https://docs.google.com/spreadsheets/d/1Uw7-A9f9R21vMXxHZFNpYNeKFtG8_yji4HS352LGlSQ/edit?pli=1#gid=0"",""1_ACUM!A4:S""),16,FALSE))"),"")</f>
        <v/>
      </c>
      <c r="BC197" s="22" t="str">
        <f ca="1">IFERROR(__xludf.DUMMYFUNCTION("IFERROR(VLOOKUP(E214&amp;F214,IMPORTRANGE(""https://docs.google.com/spreadsheets/d/1Uw7-A9f9R21vMXxHZFNpYNeKFtG8_yji4HS352LGlSQ/edit?pli=1#gid=0"",""1_ACUM!A4:S""),17,FALSE))"),"")</f>
        <v/>
      </c>
      <c r="BD197" s="23" t="str">
        <f ca="1">IFERROR(__xludf.DUMMYFUNCTION("IFERROR(VLOOKUP(E214&amp;F214,IMPORTRANGE(""https://docs.google.com/spreadsheets/d/1Uw7-A9f9R21vMXxHZFNpYNeKFtG8_yji4HS352LGlSQ/edit?pli=1#gid=0"",""1_ACUM!A4:S""),18,FALSE))"),"")</f>
        <v/>
      </c>
      <c r="BE197" s="23" t="str">
        <f ca="1">IFERROR(__xludf.DUMMYFUNCTION("IFERROR(VLOOKUP(E214&amp;F214,IMPORTRANGE(""https://docs.google.com/spreadsheets/d/1Uw7-A9f9R21vMXxHZFNpYNeKFtG8_yji4HS352LGlSQ/edit?pli=1#gid=0"",""1_ACUM!A4:S""),19,FALSE))"),"")</f>
        <v/>
      </c>
      <c r="BF197" s="23" t="str">
        <f ca="1">IFERROR(__xludf.DUMMYFUNCTION("IFERROR(VLOOKUP(F214,IMPORTRANGE(""https://docs.google.com/spreadsheets/d/1Kvs4KS76FHFqLFIZfrDMff4kP08nblUkihrxltoGBjg/edit#gid=934712705"",""ESENCIAL!A6:BG""),5,FALSE))"),"")</f>
        <v/>
      </c>
      <c r="BG197" s="23" t="e">
        <f t="shared" ca="1" si="25"/>
        <v>#VALUE!</v>
      </c>
      <c r="BH197" s="19" t="e">
        <f t="shared" ca="1" si="26"/>
        <v>#VALUE!</v>
      </c>
      <c r="BI197" s="19" t="str">
        <f ca="1">IFERROR(__xludf.DUMMYFUNCTION("IFERROR(VLOOKUP(F214,IMPORTRANGE(""https://docs.google.com/spreadsheets/d/1Kvs4KS76FHFqLFIZfrDMff4kP08nblUkihrxltoGBjg/edit#gid=934712705"",""ESENCIAL!A6:BG""),18,FALSE))"),"")</f>
        <v/>
      </c>
      <c r="BJ197" s="19" t="str">
        <f t="shared" si="27"/>
        <v>Yamboro</v>
      </c>
      <c r="BK197" s="291"/>
      <c r="BL197" s="19"/>
    </row>
    <row r="198" spans="1:64" ht="24" hidden="1">
      <c r="A198" s="290"/>
      <c r="B198" s="145" t="s">
        <v>25</v>
      </c>
      <c r="C198" s="71" t="s">
        <v>1634</v>
      </c>
      <c r="D198" s="57" t="s">
        <v>27</v>
      </c>
      <c r="E198" s="57">
        <v>1083898530</v>
      </c>
      <c r="F198" s="114">
        <v>2500012</v>
      </c>
      <c r="G198" s="11" t="str">
        <f ca="1">IFERROR(__xludf.DUMMYFUNCTION("IFERROR(VLOOKUP(F70,IMPORTRANGE(""https://docs.google.com/spreadsheets/d/1Kvs4KS76FHFqLFIZfrDMff4kP08nblUkihrxltoGBjg/edit#gid=934712705"",""ESENCIAL!A6:BG""),3,FALSE))"),"TÉCNICO")</f>
        <v>TÉCNICO</v>
      </c>
      <c r="H198" s="11" t="str">
        <f ca="1">IFERROR(__xludf.DUMMYFUNCTION("IFERROR(VLOOKUP(F70,IMPORTRANGE(""https://docs.google.com/spreadsheets/d/1Kvs4KS76FHFqLFIZfrDMff4kP08nblUkihrxltoGBjg/edit#gid=934712705"",""ESENCIAL!A6:BG""),8,FALSE))"),"SERVICIOS DE BARISMO")</f>
        <v>SERVICIOS DE BARISMO</v>
      </c>
      <c r="I198" s="142"/>
      <c r="J198" s="142"/>
      <c r="K198" s="30"/>
      <c r="L198" s="285" t="s">
        <v>44</v>
      </c>
      <c r="M198" s="54"/>
      <c r="N198" s="54"/>
      <c r="O198" s="142"/>
      <c r="P198" s="142"/>
      <c r="Q198" s="142"/>
      <c r="R198" s="88"/>
      <c r="S198" s="88"/>
      <c r="T198" s="65"/>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19" t="str">
        <f t="shared" ca="1" si="24"/>
        <v>NO_CUMPLE</v>
      </c>
      <c r="AV198" s="11" t="str">
        <f ca="1">IFERROR(__xludf.DUMMYFUNCTION("IFERROR(VLOOKUP(E215&amp;F215,IMPORTRANGE(""https://docs.google.com/spreadsheets/d/1Uw7-A9f9R21vMXxHZFNpYNeKFtG8_yji4HS352LGlSQ/edit?pli=1#gid=0"",""1_ACUM!A4:S""),11,FALSE))"),"")</f>
        <v/>
      </c>
      <c r="AW198" s="20" t="str">
        <f ca="1">IFERROR(__xludf.DUMMYFUNCTION("IFERROR(VLOOKUP(F215,IMPORTRANGE(""https://docs.google.com/spreadsheets/d/1Kvs4KS76FHFqLFIZfrDMff4kP08nblUkihrxltoGBjg/edit#gid=934712705"",""ESENCIAL!A6:BG""),15,FALSE))"),"")</f>
        <v/>
      </c>
      <c r="AX198" s="21" t="str">
        <f ca="1">IFERROR(__xludf.DUMMYFUNCTION("IFERROR(VLOOKUP(E215&amp;F215,IMPORTRANGE(""https://docs.google.com/spreadsheets/d/1Uw7-A9f9R21vMXxHZFNpYNeKFtG8_yji4HS352LGlSQ/edit?pli=1#gid=0"",""1_ACUM!A4:S""),12,FALSE))"),"")</f>
        <v/>
      </c>
      <c r="AY198" s="22" t="str">
        <f ca="1">IFERROR(__xludf.DUMMYFUNCTION("IFERROR(VLOOKUP(E215&amp;F215,IMPORTRANGE(""https://docs.google.com/spreadsheets/d/1Uw7-A9f9R21vMXxHZFNpYNeKFtG8_yji4HS352LGlSQ/edit?pli=1#gid=0"",""1_ACUM!A4:S""),13,FALSE))"),"")</f>
        <v/>
      </c>
      <c r="AZ198" s="22" t="str">
        <f ca="1">IFERROR(__xludf.DUMMYFUNCTION("IFERROR(VLOOKUP(E215&amp;F215,IMPORTRANGE(""https://docs.google.com/spreadsheets/d/1Uw7-A9f9R21vMXxHZFNpYNeKFtG8_yji4HS352LGlSQ/edit?pli=1#gid=0"",""1_ACUM!A4:S""),14,FALSE))"),"")</f>
        <v/>
      </c>
      <c r="BA198" s="22" t="str">
        <f ca="1">IFERROR(__xludf.DUMMYFUNCTION("IFERROR(VLOOKUP(E215&amp;F215,IMPORTRANGE(""https://docs.google.com/spreadsheets/d/1Uw7-A9f9R21vMXxHZFNpYNeKFtG8_yji4HS352LGlSQ/edit?pli=1#gid=0"",""1_ACUM!A4:S""),15,FALSE))"),"")</f>
        <v/>
      </c>
      <c r="BB198" s="22" t="str">
        <f ca="1">IFERROR(__xludf.DUMMYFUNCTION("IFERROR(VLOOKUP(E215&amp;F215,IMPORTRANGE(""https://docs.google.com/spreadsheets/d/1Uw7-A9f9R21vMXxHZFNpYNeKFtG8_yji4HS352LGlSQ/edit?pli=1#gid=0"",""1_ACUM!A4:S""),16,FALSE))"),"")</f>
        <v/>
      </c>
      <c r="BC198" s="22" t="str">
        <f ca="1">IFERROR(__xludf.DUMMYFUNCTION("IFERROR(VLOOKUP(E215&amp;F215,IMPORTRANGE(""https://docs.google.com/spreadsheets/d/1Uw7-A9f9R21vMXxHZFNpYNeKFtG8_yji4HS352LGlSQ/edit?pli=1#gid=0"",""1_ACUM!A4:S""),17,FALSE))"),"")</f>
        <v/>
      </c>
      <c r="BD198" s="23" t="str">
        <f ca="1">IFERROR(__xludf.DUMMYFUNCTION("IFERROR(VLOOKUP(E215&amp;F215,IMPORTRANGE(""https://docs.google.com/spreadsheets/d/1Uw7-A9f9R21vMXxHZFNpYNeKFtG8_yji4HS352LGlSQ/edit?pli=1#gid=0"",""1_ACUM!A4:S""),18,FALSE))"),"")</f>
        <v/>
      </c>
      <c r="BE198" s="23" t="str">
        <f ca="1">IFERROR(__xludf.DUMMYFUNCTION("IFERROR(VLOOKUP(E215&amp;F215,IMPORTRANGE(""https://docs.google.com/spreadsheets/d/1Uw7-A9f9R21vMXxHZFNpYNeKFtG8_yji4HS352LGlSQ/edit?pli=1#gid=0"",""1_ACUM!A4:S""),19,FALSE))"),"")</f>
        <v/>
      </c>
      <c r="BF198" s="23" t="str">
        <f ca="1">IFERROR(__xludf.DUMMYFUNCTION("IFERROR(VLOOKUP(F215,IMPORTRANGE(""https://docs.google.com/spreadsheets/d/1Kvs4KS76FHFqLFIZfrDMff4kP08nblUkihrxltoGBjg/edit#gid=934712705"",""ESENCIAL!A6:BG""),5,FALSE))"),"")</f>
        <v/>
      </c>
      <c r="BG198" s="23" t="e">
        <f t="shared" ca="1" si="25"/>
        <v>#VALUE!</v>
      </c>
      <c r="BH198" s="19" t="e">
        <f t="shared" ca="1" si="26"/>
        <v>#VALUE!</v>
      </c>
      <c r="BI198" s="19" t="str">
        <f ca="1">IFERROR(__xludf.DUMMYFUNCTION("IFERROR(VLOOKUP(F215,IMPORTRANGE(""https://docs.google.com/spreadsheets/d/1Kvs4KS76FHFqLFIZfrDMff4kP08nblUkihrxltoGBjg/edit#gid=934712705"",""ESENCIAL!A6:BG""),18,FALSE))"),"")</f>
        <v/>
      </c>
      <c r="BJ198" s="19" t="str">
        <f t="shared" si="27"/>
        <v>Yamboro</v>
      </c>
      <c r="BK198" s="291"/>
      <c r="BL198" s="19"/>
    </row>
    <row r="199" spans="1:64" ht="24" hidden="1">
      <c r="A199" s="290"/>
      <c r="B199" s="145" t="s">
        <v>25</v>
      </c>
      <c r="C199" s="71" t="s">
        <v>1635</v>
      </c>
      <c r="D199" s="57" t="s">
        <v>27</v>
      </c>
      <c r="E199" s="57">
        <v>1083915217</v>
      </c>
      <c r="F199" s="114">
        <v>2500012</v>
      </c>
      <c r="G199" s="11" t="str">
        <f ca="1">IFERROR(__xludf.DUMMYFUNCTION("IFERROR(VLOOKUP(F70,IMPORTRANGE(""https://docs.google.com/spreadsheets/d/1Kvs4KS76FHFqLFIZfrDMff4kP08nblUkihrxltoGBjg/edit#gid=934712705"",""ESENCIAL!A6:BG""),3,FALSE))"),"TÉCNICO")</f>
        <v>TÉCNICO</v>
      </c>
      <c r="H199" s="11" t="str">
        <f ca="1">IFERROR(__xludf.DUMMYFUNCTION("IFERROR(VLOOKUP(F70,IMPORTRANGE(""https://docs.google.com/spreadsheets/d/1Kvs4KS76FHFqLFIZfrDMff4kP08nblUkihrxltoGBjg/edit#gid=934712705"",""ESENCIAL!A6:BG""),8,FALSE))"),"SERVICIOS DE BARISMO")</f>
        <v>SERVICIOS DE BARISMO</v>
      </c>
      <c r="I199" s="142"/>
      <c r="J199" s="142"/>
      <c r="K199" s="30"/>
      <c r="L199" s="285" t="s">
        <v>44</v>
      </c>
      <c r="M199" s="54"/>
      <c r="N199" s="54"/>
      <c r="O199" s="142"/>
      <c r="P199" s="142"/>
      <c r="Q199" s="142"/>
      <c r="R199" s="88"/>
      <c r="S199" s="88"/>
      <c r="T199" s="65"/>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19" t="str">
        <f t="shared" ca="1" si="24"/>
        <v>NO_CUMPLE</v>
      </c>
      <c r="AV199" s="11" t="str">
        <f ca="1">IFERROR(__xludf.DUMMYFUNCTION("IFERROR(VLOOKUP(E216&amp;F216,IMPORTRANGE(""https://docs.google.com/spreadsheets/d/1Uw7-A9f9R21vMXxHZFNpYNeKFtG8_yji4HS352LGlSQ/edit?pli=1#gid=0"",""1_ACUM!A4:S""),11,FALSE))"),"")</f>
        <v/>
      </c>
      <c r="AW199" s="20" t="str">
        <f ca="1">IFERROR(__xludf.DUMMYFUNCTION("IFERROR(VLOOKUP(F216,IMPORTRANGE(""https://docs.google.com/spreadsheets/d/1Kvs4KS76FHFqLFIZfrDMff4kP08nblUkihrxltoGBjg/edit#gid=934712705"",""ESENCIAL!A6:BG""),15,FALSE))"),"")</f>
        <v/>
      </c>
      <c r="AX199" s="21" t="str">
        <f ca="1">IFERROR(__xludf.DUMMYFUNCTION("IFERROR(VLOOKUP(E216&amp;F216,IMPORTRANGE(""https://docs.google.com/spreadsheets/d/1Uw7-A9f9R21vMXxHZFNpYNeKFtG8_yji4HS352LGlSQ/edit?pli=1#gid=0"",""1_ACUM!A4:S""),12,FALSE))"),"")</f>
        <v/>
      </c>
      <c r="AY199" s="22" t="str">
        <f ca="1">IFERROR(__xludf.DUMMYFUNCTION("IFERROR(VLOOKUP(E216&amp;F216,IMPORTRANGE(""https://docs.google.com/spreadsheets/d/1Uw7-A9f9R21vMXxHZFNpYNeKFtG8_yji4HS352LGlSQ/edit?pli=1#gid=0"",""1_ACUM!A4:S""),13,FALSE))"),"")</f>
        <v/>
      </c>
      <c r="AZ199" s="22" t="str">
        <f ca="1">IFERROR(__xludf.DUMMYFUNCTION("IFERROR(VLOOKUP(E216&amp;F216,IMPORTRANGE(""https://docs.google.com/spreadsheets/d/1Uw7-A9f9R21vMXxHZFNpYNeKFtG8_yji4HS352LGlSQ/edit?pli=1#gid=0"",""1_ACUM!A4:S""),14,FALSE))"),"")</f>
        <v/>
      </c>
      <c r="BA199" s="22" t="str">
        <f ca="1">IFERROR(__xludf.DUMMYFUNCTION("IFERROR(VLOOKUP(E216&amp;F216,IMPORTRANGE(""https://docs.google.com/spreadsheets/d/1Uw7-A9f9R21vMXxHZFNpYNeKFtG8_yji4HS352LGlSQ/edit?pli=1#gid=0"",""1_ACUM!A4:S""),15,FALSE))"),"")</f>
        <v/>
      </c>
      <c r="BB199" s="22" t="str">
        <f ca="1">IFERROR(__xludf.DUMMYFUNCTION("IFERROR(VLOOKUP(E216&amp;F216,IMPORTRANGE(""https://docs.google.com/spreadsheets/d/1Uw7-A9f9R21vMXxHZFNpYNeKFtG8_yji4HS352LGlSQ/edit?pli=1#gid=0"",""1_ACUM!A4:S""),16,FALSE))"),"")</f>
        <v/>
      </c>
      <c r="BC199" s="22" t="str">
        <f ca="1">IFERROR(__xludf.DUMMYFUNCTION("IFERROR(VLOOKUP(E216&amp;F216,IMPORTRANGE(""https://docs.google.com/spreadsheets/d/1Uw7-A9f9R21vMXxHZFNpYNeKFtG8_yji4HS352LGlSQ/edit?pli=1#gid=0"",""1_ACUM!A4:S""),17,FALSE))"),"")</f>
        <v/>
      </c>
      <c r="BD199" s="23" t="str">
        <f ca="1">IFERROR(__xludf.DUMMYFUNCTION("IFERROR(VLOOKUP(E216&amp;F216,IMPORTRANGE(""https://docs.google.com/spreadsheets/d/1Uw7-A9f9R21vMXxHZFNpYNeKFtG8_yji4HS352LGlSQ/edit?pli=1#gid=0"",""1_ACUM!A4:S""),18,FALSE))"),"")</f>
        <v/>
      </c>
      <c r="BE199" s="23" t="str">
        <f ca="1">IFERROR(__xludf.DUMMYFUNCTION("IFERROR(VLOOKUP(E216&amp;F216,IMPORTRANGE(""https://docs.google.com/spreadsheets/d/1Uw7-A9f9R21vMXxHZFNpYNeKFtG8_yji4HS352LGlSQ/edit?pli=1#gid=0"",""1_ACUM!A4:S""),19,FALSE))"),"")</f>
        <v/>
      </c>
      <c r="BF199" s="23" t="str">
        <f ca="1">IFERROR(__xludf.DUMMYFUNCTION("IFERROR(VLOOKUP(F216,IMPORTRANGE(""https://docs.google.com/spreadsheets/d/1Kvs4KS76FHFqLFIZfrDMff4kP08nblUkihrxltoGBjg/edit#gid=934712705"",""ESENCIAL!A6:BG""),5,FALSE))"),"")</f>
        <v/>
      </c>
      <c r="BG199" s="23" t="e">
        <f t="shared" ca="1" si="25"/>
        <v>#VALUE!</v>
      </c>
      <c r="BH199" s="19" t="e">
        <f t="shared" ca="1" si="26"/>
        <v>#VALUE!</v>
      </c>
      <c r="BI199" s="19" t="str">
        <f ca="1">IFERROR(__xludf.DUMMYFUNCTION("IFERROR(VLOOKUP(F216,IMPORTRANGE(""https://docs.google.com/spreadsheets/d/1Kvs4KS76FHFqLFIZfrDMff4kP08nblUkihrxltoGBjg/edit#gid=934712705"",""ESENCIAL!A6:BG""),18,FALSE))"),"")</f>
        <v/>
      </c>
      <c r="BJ199" s="19" t="str">
        <f t="shared" si="27"/>
        <v>Yamboro</v>
      </c>
      <c r="BK199" s="291"/>
      <c r="BL199" s="19"/>
    </row>
    <row r="200" spans="1:64" ht="24" hidden="1">
      <c r="A200" s="290"/>
      <c r="B200" s="145" t="s">
        <v>25</v>
      </c>
      <c r="C200" s="71" t="s">
        <v>1636</v>
      </c>
      <c r="D200" s="57" t="s">
        <v>27</v>
      </c>
      <c r="E200" s="57">
        <v>1083922181</v>
      </c>
      <c r="F200" s="114">
        <v>2500012</v>
      </c>
      <c r="G200" s="11" t="str">
        <f ca="1">IFERROR(__xludf.DUMMYFUNCTION("IFERROR(VLOOKUP(F70,IMPORTRANGE(""https://docs.google.com/spreadsheets/d/1Kvs4KS76FHFqLFIZfrDMff4kP08nblUkihrxltoGBjg/edit#gid=934712705"",""ESENCIAL!A6:BG""),3,FALSE))"),"TÉCNICO")</f>
        <v>TÉCNICO</v>
      </c>
      <c r="H200" s="11" t="str">
        <f ca="1">IFERROR(__xludf.DUMMYFUNCTION("IFERROR(VLOOKUP(F70,IMPORTRANGE(""https://docs.google.com/spreadsheets/d/1Kvs4KS76FHFqLFIZfrDMff4kP08nblUkihrxltoGBjg/edit#gid=934712705"",""ESENCIAL!A6:BG""),8,FALSE))"),"SERVICIOS DE BARISMO")</f>
        <v>SERVICIOS DE BARISMO</v>
      </c>
      <c r="I200" s="142"/>
      <c r="J200" s="142"/>
      <c r="K200" s="30"/>
      <c r="L200" s="285" t="s">
        <v>44</v>
      </c>
      <c r="M200" s="54"/>
      <c r="N200" s="54"/>
      <c r="O200" s="142"/>
      <c r="P200" s="142"/>
      <c r="Q200" s="142"/>
      <c r="R200" s="88"/>
      <c r="S200" s="88"/>
      <c r="T200" s="65" t="s">
        <v>1637</v>
      </c>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19" t="str">
        <f t="shared" ca="1" si="24"/>
        <v>NO_CUMPLE</v>
      </c>
      <c r="AV200" s="11" t="str">
        <f ca="1">IFERROR(__xludf.DUMMYFUNCTION("IFERROR(VLOOKUP(E217&amp;F217,IMPORTRANGE(""https://docs.google.com/spreadsheets/d/1Uw7-A9f9R21vMXxHZFNpYNeKFtG8_yji4HS352LGlSQ/edit?pli=1#gid=0"",""1_ACUM!A4:S""),11,FALSE))"),"")</f>
        <v/>
      </c>
      <c r="AW200" s="20" t="str">
        <f ca="1">IFERROR(__xludf.DUMMYFUNCTION("IFERROR(VLOOKUP(F217,IMPORTRANGE(""https://docs.google.com/spreadsheets/d/1Kvs4KS76FHFqLFIZfrDMff4kP08nblUkihrxltoGBjg/edit#gid=934712705"",""ESENCIAL!A6:BG""),15,FALSE))"),"")</f>
        <v/>
      </c>
      <c r="AX200" s="21" t="str">
        <f ca="1">IFERROR(__xludf.DUMMYFUNCTION("IFERROR(VLOOKUP(E217&amp;F217,IMPORTRANGE(""https://docs.google.com/spreadsheets/d/1Uw7-A9f9R21vMXxHZFNpYNeKFtG8_yji4HS352LGlSQ/edit?pli=1#gid=0"",""1_ACUM!A4:S""),12,FALSE))"),"")</f>
        <v/>
      </c>
      <c r="AY200" s="22" t="str">
        <f ca="1">IFERROR(__xludf.DUMMYFUNCTION("IFERROR(VLOOKUP(E217&amp;F217,IMPORTRANGE(""https://docs.google.com/spreadsheets/d/1Uw7-A9f9R21vMXxHZFNpYNeKFtG8_yji4HS352LGlSQ/edit?pli=1#gid=0"",""1_ACUM!A4:S""),13,FALSE))"),"")</f>
        <v/>
      </c>
      <c r="AZ200" s="22" t="str">
        <f ca="1">IFERROR(__xludf.DUMMYFUNCTION("IFERROR(VLOOKUP(E217&amp;F217,IMPORTRANGE(""https://docs.google.com/spreadsheets/d/1Uw7-A9f9R21vMXxHZFNpYNeKFtG8_yji4HS352LGlSQ/edit?pli=1#gid=0"",""1_ACUM!A4:S""),14,FALSE))"),"")</f>
        <v/>
      </c>
      <c r="BA200" s="22" t="str">
        <f ca="1">IFERROR(__xludf.DUMMYFUNCTION("IFERROR(VLOOKUP(E217&amp;F217,IMPORTRANGE(""https://docs.google.com/spreadsheets/d/1Uw7-A9f9R21vMXxHZFNpYNeKFtG8_yji4HS352LGlSQ/edit?pli=1#gid=0"",""1_ACUM!A4:S""),15,FALSE))"),"")</f>
        <v/>
      </c>
      <c r="BB200" s="22" t="str">
        <f ca="1">IFERROR(__xludf.DUMMYFUNCTION("IFERROR(VLOOKUP(E217&amp;F217,IMPORTRANGE(""https://docs.google.com/spreadsheets/d/1Uw7-A9f9R21vMXxHZFNpYNeKFtG8_yji4HS352LGlSQ/edit?pli=1#gid=0"",""1_ACUM!A4:S""),16,FALSE))"),"")</f>
        <v/>
      </c>
      <c r="BC200" s="22" t="str">
        <f ca="1">IFERROR(__xludf.DUMMYFUNCTION("IFERROR(VLOOKUP(E217&amp;F217,IMPORTRANGE(""https://docs.google.com/spreadsheets/d/1Uw7-A9f9R21vMXxHZFNpYNeKFtG8_yji4HS352LGlSQ/edit?pli=1#gid=0"",""1_ACUM!A4:S""),17,FALSE))"),"")</f>
        <v/>
      </c>
      <c r="BD200" s="23" t="str">
        <f ca="1">IFERROR(__xludf.DUMMYFUNCTION("IFERROR(VLOOKUP(E217&amp;F217,IMPORTRANGE(""https://docs.google.com/spreadsheets/d/1Uw7-A9f9R21vMXxHZFNpYNeKFtG8_yji4HS352LGlSQ/edit?pli=1#gid=0"",""1_ACUM!A4:S""),18,FALSE))"),"")</f>
        <v/>
      </c>
      <c r="BE200" s="23" t="str">
        <f ca="1">IFERROR(__xludf.DUMMYFUNCTION("IFERROR(VLOOKUP(E217&amp;F217,IMPORTRANGE(""https://docs.google.com/spreadsheets/d/1Uw7-A9f9R21vMXxHZFNpYNeKFtG8_yji4HS352LGlSQ/edit?pli=1#gid=0"",""1_ACUM!A4:S""),19,FALSE))"),"")</f>
        <v/>
      </c>
      <c r="BF200" s="23" t="str">
        <f ca="1">IFERROR(__xludf.DUMMYFUNCTION("IFERROR(VLOOKUP(F217,IMPORTRANGE(""https://docs.google.com/spreadsheets/d/1Kvs4KS76FHFqLFIZfrDMff4kP08nblUkihrxltoGBjg/edit#gid=934712705"",""ESENCIAL!A6:BG""),5,FALSE))"),"")</f>
        <v/>
      </c>
      <c r="BG200" s="23" t="e">
        <f t="shared" ca="1" si="25"/>
        <v>#VALUE!</v>
      </c>
      <c r="BH200" s="19" t="e">
        <f t="shared" ca="1" si="26"/>
        <v>#VALUE!</v>
      </c>
      <c r="BI200" s="19" t="str">
        <f ca="1">IFERROR(__xludf.DUMMYFUNCTION("IFERROR(VLOOKUP(F217,IMPORTRANGE(""https://docs.google.com/spreadsheets/d/1Kvs4KS76FHFqLFIZfrDMff4kP08nblUkihrxltoGBjg/edit#gid=934712705"",""ESENCIAL!A6:BG""),18,FALSE))"),"")</f>
        <v/>
      </c>
      <c r="BJ200" s="19" t="str">
        <f t="shared" si="27"/>
        <v>Yamboro</v>
      </c>
      <c r="BK200" s="291"/>
      <c r="BL200" s="19"/>
    </row>
    <row r="201" spans="1:64" ht="24" hidden="1">
      <c r="A201" s="290"/>
      <c r="B201" s="145" t="s">
        <v>25</v>
      </c>
      <c r="C201" s="71" t="s">
        <v>1638</v>
      </c>
      <c r="D201" s="57" t="s">
        <v>67</v>
      </c>
      <c r="E201" s="57">
        <v>1095484680</v>
      </c>
      <c r="F201" s="114">
        <v>2500012</v>
      </c>
      <c r="G201" s="11" t="str">
        <f ca="1">IFERROR(__xludf.DUMMYFUNCTION("IFERROR(VLOOKUP(F70,IMPORTRANGE(""https://docs.google.com/spreadsheets/d/1Kvs4KS76FHFqLFIZfrDMff4kP08nblUkihrxltoGBjg/edit#gid=934712705"",""ESENCIAL!A6:BG""),3,FALSE))"),"TÉCNICO")</f>
        <v>TÉCNICO</v>
      </c>
      <c r="H201" s="11" t="str">
        <f ca="1">IFERROR(__xludf.DUMMYFUNCTION("IFERROR(VLOOKUP(F70,IMPORTRANGE(""https://docs.google.com/spreadsheets/d/1Kvs4KS76FHFqLFIZfrDMff4kP08nblUkihrxltoGBjg/edit#gid=934712705"",""ESENCIAL!A6:BG""),8,FALSE))"),"SERVICIOS DE BARISMO")</f>
        <v>SERVICIOS DE BARISMO</v>
      </c>
      <c r="I201" s="142"/>
      <c r="J201" s="142"/>
      <c r="K201" s="30"/>
      <c r="L201" s="285" t="s">
        <v>44</v>
      </c>
      <c r="M201" s="54"/>
      <c r="N201" s="54"/>
      <c r="O201" s="142"/>
      <c r="P201" s="142"/>
      <c r="Q201" s="142"/>
      <c r="R201" s="88"/>
      <c r="S201" s="88"/>
      <c r="T201" s="65" t="s">
        <v>1639</v>
      </c>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19" t="str">
        <f t="shared" ca="1" si="24"/>
        <v>NO_CUMPLE</v>
      </c>
      <c r="AV201" s="11" t="str">
        <f ca="1">IFERROR(__xludf.DUMMYFUNCTION("IFERROR(VLOOKUP(E218&amp;F218,IMPORTRANGE(""https://docs.google.com/spreadsheets/d/1Uw7-A9f9R21vMXxHZFNpYNeKFtG8_yji4HS352LGlSQ/edit?pli=1#gid=0"",""1_ACUM!A4:S""),11,FALSE))"),"")</f>
        <v/>
      </c>
      <c r="AW201" s="20" t="str">
        <f ca="1">IFERROR(__xludf.DUMMYFUNCTION("IFERROR(VLOOKUP(F218,IMPORTRANGE(""https://docs.google.com/spreadsheets/d/1Kvs4KS76FHFqLFIZfrDMff4kP08nblUkihrxltoGBjg/edit#gid=934712705"",""ESENCIAL!A6:BG""),15,FALSE))"),"")</f>
        <v/>
      </c>
      <c r="AX201" s="21" t="str">
        <f ca="1">IFERROR(__xludf.DUMMYFUNCTION("IFERROR(VLOOKUP(E218&amp;F218,IMPORTRANGE(""https://docs.google.com/spreadsheets/d/1Uw7-A9f9R21vMXxHZFNpYNeKFtG8_yji4HS352LGlSQ/edit?pli=1#gid=0"",""1_ACUM!A4:S""),12,FALSE))"),"")</f>
        <v/>
      </c>
      <c r="AY201" s="22" t="str">
        <f ca="1">IFERROR(__xludf.DUMMYFUNCTION("IFERROR(VLOOKUP(E218&amp;F218,IMPORTRANGE(""https://docs.google.com/spreadsheets/d/1Uw7-A9f9R21vMXxHZFNpYNeKFtG8_yji4HS352LGlSQ/edit?pli=1#gid=0"",""1_ACUM!A4:S""),13,FALSE))"),"")</f>
        <v/>
      </c>
      <c r="AZ201" s="22" t="str">
        <f ca="1">IFERROR(__xludf.DUMMYFUNCTION("IFERROR(VLOOKUP(E218&amp;F218,IMPORTRANGE(""https://docs.google.com/spreadsheets/d/1Uw7-A9f9R21vMXxHZFNpYNeKFtG8_yji4HS352LGlSQ/edit?pli=1#gid=0"",""1_ACUM!A4:S""),14,FALSE))"),"")</f>
        <v/>
      </c>
      <c r="BA201" s="22" t="str">
        <f ca="1">IFERROR(__xludf.DUMMYFUNCTION("IFERROR(VLOOKUP(E218&amp;F218,IMPORTRANGE(""https://docs.google.com/spreadsheets/d/1Uw7-A9f9R21vMXxHZFNpYNeKFtG8_yji4HS352LGlSQ/edit?pli=1#gid=0"",""1_ACUM!A4:S""),15,FALSE))"),"")</f>
        <v/>
      </c>
      <c r="BB201" s="22" t="str">
        <f ca="1">IFERROR(__xludf.DUMMYFUNCTION("IFERROR(VLOOKUP(E218&amp;F218,IMPORTRANGE(""https://docs.google.com/spreadsheets/d/1Uw7-A9f9R21vMXxHZFNpYNeKFtG8_yji4HS352LGlSQ/edit?pli=1#gid=0"",""1_ACUM!A4:S""),16,FALSE))"),"")</f>
        <v/>
      </c>
      <c r="BC201" s="22" t="str">
        <f ca="1">IFERROR(__xludf.DUMMYFUNCTION("IFERROR(VLOOKUP(E218&amp;F218,IMPORTRANGE(""https://docs.google.com/spreadsheets/d/1Uw7-A9f9R21vMXxHZFNpYNeKFtG8_yji4HS352LGlSQ/edit?pli=1#gid=0"",""1_ACUM!A4:S""),17,FALSE))"),"")</f>
        <v/>
      </c>
      <c r="BD201" s="23" t="str">
        <f ca="1">IFERROR(__xludf.DUMMYFUNCTION("IFERROR(VLOOKUP(E218&amp;F218,IMPORTRANGE(""https://docs.google.com/spreadsheets/d/1Uw7-A9f9R21vMXxHZFNpYNeKFtG8_yji4HS352LGlSQ/edit?pli=1#gid=0"",""1_ACUM!A4:S""),18,FALSE))"),"")</f>
        <v/>
      </c>
      <c r="BE201" s="23" t="str">
        <f ca="1">IFERROR(__xludf.DUMMYFUNCTION("IFERROR(VLOOKUP(E218&amp;F218,IMPORTRANGE(""https://docs.google.com/spreadsheets/d/1Uw7-A9f9R21vMXxHZFNpYNeKFtG8_yji4HS352LGlSQ/edit?pli=1#gid=0"",""1_ACUM!A4:S""),19,FALSE))"),"")</f>
        <v/>
      </c>
      <c r="BF201" s="23" t="str">
        <f ca="1">IFERROR(__xludf.DUMMYFUNCTION("IFERROR(VLOOKUP(F218,IMPORTRANGE(""https://docs.google.com/spreadsheets/d/1Kvs4KS76FHFqLFIZfrDMff4kP08nblUkihrxltoGBjg/edit#gid=934712705"",""ESENCIAL!A6:BG""),5,FALSE))"),"")</f>
        <v/>
      </c>
      <c r="BG201" s="23" t="e">
        <f t="shared" ca="1" si="25"/>
        <v>#VALUE!</v>
      </c>
      <c r="BH201" s="19" t="e">
        <f t="shared" ca="1" si="26"/>
        <v>#VALUE!</v>
      </c>
      <c r="BI201" s="19" t="str">
        <f ca="1">IFERROR(__xludf.DUMMYFUNCTION("IFERROR(VLOOKUP(F218,IMPORTRANGE(""https://docs.google.com/spreadsheets/d/1Kvs4KS76FHFqLFIZfrDMff4kP08nblUkihrxltoGBjg/edit#gid=934712705"",""ESENCIAL!A6:BG""),18,FALSE))"),"")</f>
        <v/>
      </c>
      <c r="BJ201" s="19" t="str">
        <f t="shared" si="27"/>
        <v>Yamboro</v>
      </c>
      <c r="BK201" s="291"/>
      <c r="BL201" s="19"/>
    </row>
    <row r="202" spans="1:64" ht="24">
      <c r="A202" s="290" t="s">
        <v>1310</v>
      </c>
      <c r="B202" s="145" t="s">
        <v>25</v>
      </c>
      <c r="C202" s="71" t="s">
        <v>1640</v>
      </c>
      <c r="D202" s="57" t="s">
        <v>27</v>
      </c>
      <c r="E202" s="57">
        <v>1124850116</v>
      </c>
      <c r="F202" s="114">
        <v>2500012</v>
      </c>
      <c r="G202" s="11" t="str">
        <f ca="1">IFERROR(__xludf.DUMMYFUNCTION("IFERROR(VLOOKUP(F70,IMPORTRANGE(""https://docs.google.com/spreadsheets/d/1Kvs4KS76FHFqLFIZfrDMff4kP08nblUkihrxltoGBjg/edit#gid=934712705"",""ESENCIAL!A6:BG""),3,FALSE))"),"TÉCNICO")</f>
        <v>TÉCNICO</v>
      </c>
      <c r="H202" s="11" t="str">
        <f ca="1">IFERROR(__xludf.DUMMYFUNCTION("IFERROR(VLOOKUP(F70,IMPORTRANGE(""https://docs.google.com/spreadsheets/d/1Kvs4KS76FHFqLFIZfrDMff4kP08nblUkihrxltoGBjg/edit#gid=934712705"",""ESENCIAL!A6:BG""),8,FALSE))"),"SERVICIOS DE BARISMO")</f>
        <v>SERVICIOS DE BARISMO</v>
      </c>
      <c r="I202" s="142">
        <v>3208883282</v>
      </c>
      <c r="J202" s="182" t="s">
        <v>1641</v>
      </c>
      <c r="K202" s="30" t="s">
        <v>1642</v>
      </c>
      <c r="L202" s="285" t="s">
        <v>37</v>
      </c>
      <c r="M202" s="54" t="s">
        <v>1643</v>
      </c>
      <c r="N202" s="30" t="s">
        <v>1642</v>
      </c>
      <c r="O202" s="142"/>
      <c r="P202" s="30" t="s">
        <v>1642</v>
      </c>
      <c r="Q202" s="182" t="s">
        <v>1644</v>
      </c>
      <c r="R202" s="88">
        <v>44929</v>
      </c>
      <c r="S202" s="88" t="s">
        <v>1645</v>
      </c>
      <c r="T202" s="65"/>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19" t="str">
        <f t="shared" ca="1" si="24"/>
        <v>NO_CUMPLE</v>
      </c>
      <c r="AV202" s="11" t="str">
        <f ca="1">IFERROR(__xludf.DUMMYFUNCTION("IFERROR(VLOOKUP(E219&amp;F219,IMPORTRANGE(""https://docs.google.com/spreadsheets/d/1Uw7-A9f9R21vMXxHZFNpYNeKFtG8_yji4HS352LGlSQ/edit?pli=1#gid=0"",""1_ACUM!A4:S""),11,FALSE))"),"")</f>
        <v/>
      </c>
      <c r="AW202" s="20" t="str">
        <f ca="1">IFERROR(__xludf.DUMMYFUNCTION("IFERROR(VLOOKUP(F219,IMPORTRANGE(""https://docs.google.com/spreadsheets/d/1Kvs4KS76FHFqLFIZfrDMff4kP08nblUkihrxltoGBjg/edit#gid=934712705"",""ESENCIAL!A6:BG""),15,FALSE))"),"")</f>
        <v/>
      </c>
      <c r="AX202" s="21" t="str">
        <f ca="1">IFERROR(__xludf.DUMMYFUNCTION("IFERROR(VLOOKUP(E219&amp;F219,IMPORTRANGE(""https://docs.google.com/spreadsheets/d/1Uw7-A9f9R21vMXxHZFNpYNeKFtG8_yji4HS352LGlSQ/edit?pli=1#gid=0"",""1_ACUM!A4:S""),12,FALSE))"),"")</f>
        <v/>
      </c>
      <c r="AY202" s="22" t="str">
        <f ca="1">IFERROR(__xludf.DUMMYFUNCTION("IFERROR(VLOOKUP(E219&amp;F219,IMPORTRANGE(""https://docs.google.com/spreadsheets/d/1Uw7-A9f9R21vMXxHZFNpYNeKFtG8_yji4HS352LGlSQ/edit?pli=1#gid=0"",""1_ACUM!A4:S""),13,FALSE))"),"")</f>
        <v/>
      </c>
      <c r="AZ202" s="22" t="str">
        <f ca="1">IFERROR(__xludf.DUMMYFUNCTION("IFERROR(VLOOKUP(E219&amp;F219,IMPORTRANGE(""https://docs.google.com/spreadsheets/d/1Uw7-A9f9R21vMXxHZFNpYNeKFtG8_yji4HS352LGlSQ/edit?pli=1#gid=0"",""1_ACUM!A4:S""),14,FALSE))"),"")</f>
        <v/>
      </c>
      <c r="BA202" s="22" t="str">
        <f ca="1">IFERROR(__xludf.DUMMYFUNCTION("IFERROR(VLOOKUP(E219&amp;F219,IMPORTRANGE(""https://docs.google.com/spreadsheets/d/1Uw7-A9f9R21vMXxHZFNpYNeKFtG8_yji4HS352LGlSQ/edit?pli=1#gid=0"",""1_ACUM!A4:S""),15,FALSE))"),"")</f>
        <v/>
      </c>
      <c r="BB202" s="22" t="str">
        <f ca="1">IFERROR(__xludf.DUMMYFUNCTION("IFERROR(VLOOKUP(E219&amp;F219,IMPORTRANGE(""https://docs.google.com/spreadsheets/d/1Uw7-A9f9R21vMXxHZFNpYNeKFtG8_yji4HS352LGlSQ/edit?pli=1#gid=0"",""1_ACUM!A4:S""),16,FALSE))"),"")</f>
        <v/>
      </c>
      <c r="BC202" s="22" t="str">
        <f ca="1">IFERROR(__xludf.DUMMYFUNCTION("IFERROR(VLOOKUP(E219&amp;F219,IMPORTRANGE(""https://docs.google.com/spreadsheets/d/1Uw7-A9f9R21vMXxHZFNpYNeKFtG8_yji4HS352LGlSQ/edit?pli=1#gid=0"",""1_ACUM!A4:S""),17,FALSE))"),"")</f>
        <v/>
      </c>
      <c r="BD202" s="23" t="str">
        <f ca="1">IFERROR(__xludf.DUMMYFUNCTION("IFERROR(VLOOKUP(E219&amp;F219,IMPORTRANGE(""https://docs.google.com/spreadsheets/d/1Uw7-A9f9R21vMXxHZFNpYNeKFtG8_yji4HS352LGlSQ/edit?pli=1#gid=0"",""1_ACUM!A4:S""),18,FALSE))"),"")</f>
        <v/>
      </c>
      <c r="BE202" s="23" t="str">
        <f ca="1">IFERROR(__xludf.DUMMYFUNCTION("IFERROR(VLOOKUP(E219&amp;F219,IMPORTRANGE(""https://docs.google.com/spreadsheets/d/1Uw7-A9f9R21vMXxHZFNpYNeKFtG8_yji4HS352LGlSQ/edit?pli=1#gid=0"",""1_ACUM!A4:S""),19,FALSE))"),"")</f>
        <v/>
      </c>
      <c r="BF202" s="23" t="str">
        <f ca="1">IFERROR(__xludf.DUMMYFUNCTION("IFERROR(VLOOKUP(F219,IMPORTRANGE(""https://docs.google.com/spreadsheets/d/1Kvs4KS76FHFqLFIZfrDMff4kP08nblUkihrxltoGBjg/edit#gid=934712705"",""ESENCIAL!A6:BG""),5,FALSE))"),"")</f>
        <v/>
      </c>
      <c r="BG202" s="23" t="e">
        <f t="shared" ca="1" si="25"/>
        <v>#VALUE!</v>
      </c>
      <c r="BH202" s="19" t="e">
        <f t="shared" ca="1" si="26"/>
        <v>#VALUE!</v>
      </c>
      <c r="BI202" s="19" t="str">
        <f ca="1">IFERROR(__xludf.DUMMYFUNCTION("IFERROR(VLOOKUP(F219,IMPORTRANGE(""https://docs.google.com/spreadsheets/d/1Kvs4KS76FHFqLFIZfrDMff4kP08nblUkihrxltoGBjg/edit#gid=934712705"",""ESENCIAL!A6:BG""),18,FALSE))"),"")</f>
        <v/>
      </c>
      <c r="BJ202" s="19" t="str">
        <f t="shared" si="27"/>
        <v>Yamboro</v>
      </c>
      <c r="BK202" s="291"/>
      <c r="BL202" s="19"/>
    </row>
    <row r="203" spans="1:64" ht="24" hidden="1">
      <c r="A203" s="290"/>
      <c r="B203" s="145" t="s">
        <v>25</v>
      </c>
      <c r="C203" s="71" t="s">
        <v>1646</v>
      </c>
      <c r="D203" s="57" t="s">
        <v>27</v>
      </c>
      <c r="E203" s="57">
        <v>12144652</v>
      </c>
      <c r="F203" s="114">
        <v>2500012</v>
      </c>
      <c r="G203" s="11" t="str">
        <f ca="1">IFERROR(__xludf.DUMMYFUNCTION("IFERROR(VLOOKUP(F70,IMPORTRANGE(""https://docs.google.com/spreadsheets/d/1Kvs4KS76FHFqLFIZfrDMff4kP08nblUkihrxltoGBjg/edit#gid=934712705"",""ESENCIAL!A6:BG""),3,FALSE))"),"TÉCNICO")</f>
        <v>TÉCNICO</v>
      </c>
      <c r="H203" s="11" t="str">
        <f ca="1">IFERROR(__xludf.DUMMYFUNCTION("IFERROR(VLOOKUP(F70,IMPORTRANGE(""https://docs.google.com/spreadsheets/d/1Kvs4KS76FHFqLFIZfrDMff4kP08nblUkihrxltoGBjg/edit#gid=934712705"",""ESENCIAL!A6:BG""),8,FALSE))"),"SERVICIOS DE BARISMO")</f>
        <v>SERVICIOS DE BARISMO</v>
      </c>
      <c r="I203" s="142"/>
      <c r="J203" s="142"/>
      <c r="K203" s="30"/>
      <c r="L203" s="285" t="s">
        <v>44</v>
      </c>
      <c r="M203" s="54"/>
      <c r="N203" s="54"/>
      <c r="O203" s="142"/>
      <c r="P203" s="142"/>
      <c r="Q203" s="142"/>
      <c r="R203" s="88"/>
      <c r="S203" s="88"/>
      <c r="T203" s="65" t="s">
        <v>1602</v>
      </c>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19" t="str">
        <f t="shared" ca="1" si="24"/>
        <v>NO_CUMPLE</v>
      </c>
      <c r="AV203" s="11" t="str">
        <f ca="1">IFERROR(__xludf.DUMMYFUNCTION("IFERROR(VLOOKUP(E220&amp;F220,IMPORTRANGE(""https://docs.google.com/spreadsheets/d/1Uw7-A9f9R21vMXxHZFNpYNeKFtG8_yji4HS352LGlSQ/edit?pli=1#gid=0"",""1_ACUM!A4:S""),11,FALSE))"),"")</f>
        <v/>
      </c>
      <c r="AW203" s="20" t="str">
        <f ca="1">IFERROR(__xludf.DUMMYFUNCTION("IFERROR(VLOOKUP(F220,IMPORTRANGE(""https://docs.google.com/spreadsheets/d/1Kvs4KS76FHFqLFIZfrDMff4kP08nblUkihrxltoGBjg/edit#gid=934712705"",""ESENCIAL!A6:BG""),15,FALSE))"),"")</f>
        <v/>
      </c>
      <c r="AX203" s="21" t="str">
        <f ca="1">IFERROR(__xludf.DUMMYFUNCTION("IFERROR(VLOOKUP(E220&amp;F220,IMPORTRANGE(""https://docs.google.com/spreadsheets/d/1Uw7-A9f9R21vMXxHZFNpYNeKFtG8_yji4HS352LGlSQ/edit?pli=1#gid=0"",""1_ACUM!A4:S""),12,FALSE))"),"")</f>
        <v/>
      </c>
      <c r="AY203" s="22" t="str">
        <f ca="1">IFERROR(__xludf.DUMMYFUNCTION("IFERROR(VLOOKUP(E220&amp;F220,IMPORTRANGE(""https://docs.google.com/spreadsheets/d/1Uw7-A9f9R21vMXxHZFNpYNeKFtG8_yji4HS352LGlSQ/edit?pli=1#gid=0"",""1_ACUM!A4:S""),13,FALSE))"),"")</f>
        <v/>
      </c>
      <c r="AZ203" s="22" t="str">
        <f ca="1">IFERROR(__xludf.DUMMYFUNCTION("IFERROR(VLOOKUP(E220&amp;F220,IMPORTRANGE(""https://docs.google.com/spreadsheets/d/1Uw7-A9f9R21vMXxHZFNpYNeKFtG8_yji4HS352LGlSQ/edit?pli=1#gid=0"",""1_ACUM!A4:S""),14,FALSE))"),"")</f>
        <v/>
      </c>
      <c r="BA203" s="22" t="str">
        <f ca="1">IFERROR(__xludf.DUMMYFUNCTION("IFERROR(VLOOKUP(E220&amp;F220,IMPORTRANGE(""https://docs.google.com/spreadsheets/d/1Uw7-A9f9R21vMXxHZFNpYNeKFtG8_yji4HS352LGlSQ/edit?pli=1#gid=0"",""1_ACUM!A4:S""),15,FALSE))"),"")</f>
        <v/>
      </c>
      <c r="BB203" s="22" t="str">
        <f ca="1">IFERROR(__xludf.DUMMYFUNCTION("IFERROR(VLOOKUP(E220&amp;F220,IMPORTRANGE(""https://docs.google.com/spreadsheets/d/1Uw7-A9f9R21vMXxHZFNpYNeKFtG8_yji4HS352LGlSQ/edit?pli=1#gid=0"",""1_ACUM!A4:S""),16,FALSE))"),"")</f>
        <v/>
      </c>
      <c r="BC203" s="22" t="str">
        <f ca="1">IFERROR(__xludf.DUMMYFUNCTION("IFERROR(VLOOKUP(E220&amp;F220,IMPORTRANGE(""https://docs.google.com/spreadsheets/d/1Uw7-A9f9R21vMXxHZFNpYNeKFtG8_yji4HS352LGlSQ/edit?pli=1#gid=0"",""1_ACUM!A4:S""),17,FALSE))"),"")</f>
        <v/>
      </c>
      <c r="BD203" s="23" t="str">
        <f ca="1">IFERROR(__xludf.DUMMYFUNCTION("IFERROR(VLOOKUP(E220&amp;F220,IMPORTRANGE(""https://docs.google.com/spreadsheets/d/1Uw7-A9f9R21vMXxHZFNpYNeKFtG8_yji4HS352LGlSQ/edit?pli=1#gid=0"",""1_ACUM!A4:S""),18,FALSE))"),"")</f>
        <v/>
      </c>
      <c r="BE203" s="23" t="str">
        <f ca="1">IFERROR(__xludf.DUMMYFUNCTION("IFERROR(VLOOKUP(E220&amp;F220,IMPORTRANGE(""https://docs.google.com/spreadsheets/d/1Uw7-A9f9R21vMXxHZFNpYNeKFtG8_yji4HS352LGlSQ/edit?pli=1#gid=0"",""1_ACUM!A4:S""),19,FALSE))"),"")</f>
        <v/>
      </c>
      <c r="BF203" s="23" t="str">
        <f ca="1">IFERROR(__xludf.DUMMYFUNCTION("IFERROR(VLOOKUP(F220,IMPORTRANGE(""https://docs.google.com/spreadsheets/d/1Kvs4KS76FHFqLFIZfrDMff4kP08nblUkihrxltoGBjg/edit#gid=934712705"",""ESENCIAL!A6:BG""),5,FALSE))"),"")</f>
        <v/>
      </c>
      <c r="BG203" s="23" t="e">
        <f t="shared" ca="1" si="25"/>
        <v>#VALUE!</v>
      </c>
      <c r="BH203" s="19" t="e">
        <f t="shared" ca="1" si="26"/>
        <v>#VALUE!</v>
      </c>
      <c r="BI203" s="19" t="str">
        <f ca="1">IFERROR(__xludf.DUMMYFUNCTION("IFERROR(VLOOKUP(F220,IMPORTRANGE(""https://docs.google.com/spreadsheets/d/1Kvs4KS76FHFqLFIZfrDMff4kP08nblUkihrxltoGBjg/edit#gid=934712705"",""ESENCIAL!A6:BG""),18,FALSE))"),"")</f>
        <v/>
      </c>
      <c r="BJ203" s="19" t="str">
        <f t="shared" si="27"/>
        <v>Yamboro</v>
      </c>
      <c r="BK203" s="291"/>
      <c r="BL203" s="19"/>
    </row>
    <row r="204" spans="1:64" ht="24" hidden="1">
      <c r="A204" s="304"/>
      <c r="B204" s="298" t="s">
        <v>25</v>
      </c>
      <c r="C204" s="321" t="s">
        <v>1647</v>
      </c>
      <c r="D204" s="322" t="s">
        <v>27</v>
      </c>
      <c r="E204" s="322">
        <v>83043177</v>
      </c>
      <c r="F204" s="323">
        <v>2500012</v>
      </c>
      <c r="G204" s="306" t="str">
        <f ca="1">IFERROR(__xludf.DUMMYFUNCTION("IFERROR(VLOOKUP(F70,IMPORTRANGE(""https://docs.google.com/spreadsheets/d/1Kvs4KS76FHFqLFIZfrDMff4kP08nblUkihrxltoGBjg/edit#gid=934712705"",""ESENCIAL!A6:BG""),3,FALSE))"),"TÉCNICO")</f>
        <v>TÉCNICO</v>
      </c>
      <c r="H204" s="306" t="str">
        <f ca="1">IFERROR(__xludf.DUMMYFUNCTION("IFERROR(VLOOKUP(F70,IMPORTRANGE(""https://docs.google.com/spreadsheets/d/1Kvs4KS76FHFqLFIZfrDMff4kP08nblUkihrxltoGBjg/edit#gid=934712705"",""ESENCIAL!A6:BG""),8,FALSE))"),"SERVICIOS DE BARISMO")</f>
        <v>SERVICIOS DE BARISMO</v>
      </c>
      <c r="I204" s="324"/>
      <c r="J204" s="324"/>
      <c r="K204" s="325"/>
      <c r="L204" s="286" t="s">
        <v>44</v>
      </c>
      <c r="M204" s="326"/>
      <c r="N204" s="326"/>
      <c r="O204" s="324"/>
      <c r="P204" s="324"/>
      <c r="Q204" s="324"/>
      <c r="R204" s="327"/>
      <c r="S204" s="327"/>
      <c r="T204" s="310"/>
      <c r="U204" s="325"/>
      <c r="V204" s="325"/>
      <c r="W204" s="325"/>
      <c r="X204" s="325"/>
      <c r="Y204" s="325"/>
      <c r="Z204" s="325"/>
      <c r="AA204" s="325"/>
      <c r="AB204" s="325"/>
      <c r="AC204" s="325"/>
      <c r="AD204" s="325"/>
      <c r="AE204" s="325"/>
      <c r="AF204" s="325"/>
      <c r="AG204" s="325"/>
      <c r="AH204" s="325"/>
      <c r="AI204" s="325"/>
      <c r="AJ204" s="325"/>
      <c r="AK204" s="325"/>
      <c r="AL204" s="325"/>
      <c r="AM204" s="325"/>
      <c r="AN204" s="325"/>
      <c r="AO204" s="325"/>
      <c r="AP204" s="325"/>
      <c r="AQ204" s="325"/>
      <c r="AR204" s="325"/>
      <c r="AS204" s="325"/>
      <c r="AT204" s="325"/>
      <c r="AU204" s="312" t="str">
        <f t="shared" ca="1" si="24"/>
        <v>NO_CUMPLE</v>
      </c>
      <c r="AV204" s="306" t="str">
        <f ca="1">IFERROR(__xludf.DUMMYFUNCTION("IFERROR(VLOOKUP(E221&amp;F221,IMPORTRANGE(""https://docs.google.com/spreadsheets/d/1Uw7-A9f9R21vMXxHZFNpYNeKFtG8_yji4HS352LGlSQ/edit?pli=1#gid=0"",""1_ACUM!A4:S""),11,FALSE))"),"")</f>
        <v/>
      </c>
      <c r="AW204" s="313" t="str">
        <f ca="1">IFERROR(__xludf.DUMMYFUNCTION("IFERROR(VLOOKUP(F221,IMPORTRANGE(""https://docs.google.com/spreadsheets/d/1Kvs4KS76FHFqLFIZfrDMff4kP08nblUkihrxltoGBjg/edit#gid=934712705"",""ESENCIAL!A6:BG""),15,FALSE))"),"")</f>
        <v/>
      </c>
      <c r="AX204" s="314" t="str">
        <f ca="1">IFERROR(__xludf.DUMMYFUNCTION("IFERROR(VLOOKUP(E221&amp;F221,IMPORTRANGE(""https://docs.google.com/spreadsheets/d/1Uw7-A9f9R21vMXxHZFNpYNeKFtG8_yji4HS352LGlSQ/edit?pli=1#gid=0"",""1_ACUM!A4:S""),12,FALSE))"),"")</f>
        <v/>
      </c>
      <c r="AY204" s="315" t="str">
        <f ca="1">IFERROR(__xludf.DUMMYFUNCTION("IFERROR(VLOOKUP(E221&amp;F221,IMPORTRANGE(""https://docs.google.com/spreadsheets/d/1Uw7-A9f9R21vMXxHZFNpYNeKFtG8_yji4HS352LGlSQ/edit?pli=1#gid=0"",""1_ACUM!A4:S""),13,FALSE))"),"")</f>
        <v/>
      </c>
      <c r="AZ204" s="315" t="str">
        <f ca="1">IFERROR(__xludf.DUMMYFUNCTION("IFERROR(VLOOKUP(E221&amp;F221,IMPORTRANGE(""https://docs.google.com/spreadsheets/d/1Uw7-A9f9R21vMXxHZFNpYNeKFtG8_yji4HS352LGlSQ/edit?pli=1#gid=0"",""1_ACUM!A4:S""),14,FALSE))"),"")</f>
        <v/>
      </c>
      <c r="BA204" s="315" t="str">
        <f ca="1">IFERROR(__xludf.DUMMYFUNCTION("IFERROR(VLOOKUP(E221&amp;F221,IMPORTRANGE(""https://docs.google.com/spreadsheets/d/1Uw7-A9f9R21vMXxHZFNpYNeKFtG8_yji4HS352LGlSQ/edit?pli=1#gid=0"",""1_ACUM!A4:S""),15,FALSE))"),"")</f>
        <v/>
      </c>
      <c r="BB204" s="315" t="str">
        <f ca="1">IFERROR(__xludf.DUMMYFUNCTION("IFERROR(VLOOKUP(E221&amp;F221,IMPORTRANGE(""https://docs.google.com/spreadsheets/d/1Uw7-A9f9R21vMXxHZFNpYNeKFtG8_yji4HS352LGlSQ/edit?pli=1#gid=0"",""1_ACUM!A4:S""),16,FALSE))"),"")</f>
        <v/>
      </c>
      <c r="BC204" s="315" t="str">
        <f ca="1">IFERROR(__xludf.DUMMYFUNCTION("IFERROR(VLOOKUP(E221&amp;F221,IMPORTRANGE(""https://docs.google.com/spreadsheets/d/1Uw7-A9f9R21vMXxHZFNpYNeKFtG8_yji4HS352LGlSQ/edit?pli=1#gid=0"",""1_ACUM!A4:S""),17,FALSE))"),"")</f>
        <v/>
      </c>
      <c r="BD204" s="316" t="str">
        <f ca="1">IFERROR(__xludf.DUMMYFUNCTION("IFERROR(VLOOKUP(E221&amp;F221,IMPORTRANGE(""https://docs.google.com/spreadsheets/d/1Uw7-A9f9R21vMXxHZFNpYNeKFtG8_yji4HS352LGlSQ/edit?pli=1#gid=0"",""1_ACUM!A4:S""),18,FALSE))"),"")</f>
        <v/>
      </c>
      <c r="BE204" s="316" t="str">
        <f ca="1">IFERROR(__xludf.DUMMYFUNCTION("IFERROR(VLOOKUP(E221&amp;F221,IMPORTRANGE(""https://docs.google.com/spreadsheets/d/1Uw7-A9f9R21vMXxHZFNpYNeKFtG8_yji4HS352LGlSQ/edit?pli=1#gid=0"",""1_ACUM!A4:S""),19,FALSE))"),"")</f>
        <v/>
      </c>
      <c r="BF204" s="316" t="str">
        <f ca="1">IFERROR(__xludf.DUMMYFUNCTION("IFERROR(VLOOKUP(F221,IMPORTRANGE(""https://docs.google.com/spreadsheets/d/1Kvs4KS76FHFqLFIZfrDMff4kP08nblUkihrxltoGBjg/edit#gid=934712705"",""ESENCIAL!A6:BG""),5,FALSE))"),"")</f>
        <v/>
      </c>
      <c r="BG204" s="316" t="e">
        <f t="shared" ca="1" si="25"/>
        <v>#VALUE!</v>
      </c>
      <c r="BH204" s="312" t="e">
        <f t="shared" ca="1" si="26"/>
        <v>#VALUE!</v>
      </c>
      <c r="BI204" s="312" t="str">
        <f ca="1">IFERROR(__xludf.DUMMYFUNCTION("IFERROR(VLOOKUP(F221,IMPORTRANGE(""https://docs.google.com/spreadsheets/d/1Kvs4KS76FHFqLFIZfrDMff4kP08nblUkihrxltoGBjg/edit#gid=934712705"",""ESENCIAL!A6:BG""),18,FALSE))"),"")</f>
        <v/>
      </c>
      <c r="BJ204" s="312" t="str">
        <f t="shared" si="27"/>
        <v>Yamboro</v>
      </c>
      <c r="BK204" s="291"/>
      <c r="BL204" s="19"/>
    </row>
    <row r="205" spans="1:64" ht="15">
      <c r="A205" s="4"/>
      <c r="B205" s="4"/>
      <c r="G205" s="5"/>
      <c r="H205" s="5"/>
      <c r="L205" s="287"/>
      <c r="S205"/>
      <c r="AU205" s="41" t="str">
        <f t="shared" ref="AU205:AU217" si="28">IF(E205&gt;0,IF(AND(BC205=1,AZ205=1),"Procede_E_P","NO_CUMPLE"),"")</f>
        <v/>
      </c>
      <c r="AV205" s="5" t="str">
        <f ca="1">IFERROR(__xludf.DUMMYFUNCTION("IFERROR(VLOOKUP(E222&amp;F222,IMPORTRANGE(""https://docs.google.com/spreadsheets/d/1Uw7-A9f9R21vMXxHZFNpYNeKFtG8_yji4HS352LGlSQ/edit?pli=1#gid=0"",""1_ACUM!A4:S""),11,FALSE))"),"")</f>
        <v/>
      </c>
      <c r="AW205" s="42" t="str">
        <f ca="1">IFERROR(__xludf.DUMMYFUNCTION("IFERROR(VLOOKUP(F222,IMPORTRANGE(""https://docs.google.com/spreadsheets/d/1Kvs4KS76FHFqLFIZfrDMff4kP08nblUkihrxltoGBjg/edit#gid=934712705"",""ESENCIAL!A6:BG""),15,FALSE))"),"")</f>
        <v/>
      </c>
      <c r="AX205" s="21" t="str">
        <f ca="1">IFERROR(__xludf.DUMMYFUNCTION("IFERROR(VLOOKUP(E222&amp;F222,IMPORTRANGE(""https://docs.google.com/spreadsheets/d/1Uw7-A9f9R21vMXxHZFNpYNeKFtG8_yji4HS352LGlSQ/edit?pli=1#gid=0"",""1_ACUM!A4:S""),12,FALSE))"),"")</f>
        <v/>
      </c>
      <c r="AY205" s="43" t="str">
        <f ca="1">IFERROR(__xludf.DUMMYFUNCTION("IFERROR(VLOOKUP(E222&amp;F222,IMPORTRANGE(""https://docs.google.com/spreadsheets/d/1Uw7-A9f9R21vMXxHZFNpYNeKFtG8_yji4HS352LGlSQ/edit?pli=1#gid=0"",""1_ACUM!A4:S""),13,FALSE))"),"")</f>
        <v/>
      </c>
      <c r="AZ205" s="43" t="str">
        <f ca="1">IFERROR(__xludf.DUMMYFUNCTION("IFERROR(VLOOKUP(E222&amp;F222,IMPORTRANGE(""https://docs.google.com/spreadsheets/d/1Uw7-A9f9R21vMXxHZFNpYNeKFtG8_yji4HS352LGlSQ/edit?pli=1#gid=0"",""1_ACUM!A4:S""),14,FALSE))"),"")</f>
        <v/>
      </c>
      <c r="BA205" s="43" t="str">
        <f ca="1">IFERROR(__xludf.DUMMYFUNCTION("IFERROR(VLOOKUP(E222&amp;F222,IMPORTRANGE(""https://docs.google.com/spreadsheets/d/1Uw7-A9f9R21vMXxHZFNpYNeKFtG8_yji4HS352LGlSQ/edit?pli=1#gid=0"",""1_ACUM!A4:S""),15,FALSE))"),"")</f>
        <v/>
      </c>
      <c r="BB205" s="43" t="str">
        <f ca="1">IFERROR(__xludf.DUMMYFUNCTION("IFERROR(VLOOKUP(E222&amp;F222,IMPORTRANGE(""https://docs.google.com/spreadsheets/d/1Uw7-A9f9R21vMXxHZFNpYNeKFtG8_yji4HS352LGlSQ/edit?pli=1#gid=0"",""1_ACUM!A4:S""),16,FALSE))"),"")</f>
        <v/>
      </c>
      <c r="BC205" s="43" t="str">
        <f ca="1">IFERROR(__xludf.DUMMYFUNCTION("IFERROR(VLOOKUP(E222&amp;F222,IMPORTRANGE(""https://docs.google.com/spreadsheets/d/1Uw7-A9f9R21vMXxHZFNpYNeKFtG8_yji4HS352LGlSQ/edit?pli=1#gid=0"",""1_ACUM!A4:S""),17,FALSE))"),"")</f>
        <v/>
      </c>
      <c r="BD205" s="44" t="str">
        <f ca="1">IFERROR(__xludf.DUMMYFUNCTION("IFERROR(VLOOKUP(E222&amp;F222,IMPORTRANGE(""https://docs.google.com/spreadsheets/d/1Uw7-A9f9R21vMXxHZFNpYNeKFtG8_yji4HS352LGlSQ/edit?pli=1#gid=0"",""1_ACUM!A4:S""),18,FALSE))"),"")</f>
        <v/>
      </c>
      <c r="BE205" s="44" t="str">
        <f ca="1">IFERROR(__xludf.DUMMYFUNCTION("IFERROR(VLOOKUP(E222&amp;F222,IMPORTRANGE(""https://docs.google.com/spreadsheets/d/1Uw7-A9f9R21vMXxHZFNpYNeKFtG8_yji4HS352LGlSQ/edit?pli=1#gid=0"",""1_ACUM!A4:S""),19,FALSE))"),"")</f>
        <v/>
      </c>
      <c r="BF205" s="44" t="str">
        <f ca="1">IFERROR(__xludf.DUMMYFUNCTION("IFERROR(VLOOKUP(F222,IMPORTRANGE(""https://docs.google.com/spreadsheets/d/1Kvs4KS76FHFqLFIZfrDMff4kP08nblUkihrxltoGBjg/edit#gid=934712705"",""ESENCIAL!A6:BG""),5,FALSE))"),"")</f>
        <v/>
      </c>
      <c r="BG205" s="44" t="str">
        <f t="shared" ref="BG205:BG217" si="29">IF(F205&gt;0,EDATE(BF205,18),"")</f>
        <v/>
      </c>
      <c r="BH205" s="41" t="str">
        <f t="shared" ref="BH205:BH217" si="30">IF(F205&gt;0,IF(BG205&lt;$BH$1,"FINALIZAR FICHA","FICHA EN TIEMPO-18 MESES"),"")</f>
        <v/>
      </c>
      <c r="BI205" s="41" t="str">
        <f ca="1">IFERROR(__xludf.DUMMYFUNCTION("IFERROR(VLOOKUP(F222,IMPORTRANGE(""https://docs.google.com/spreadsheets/d/1Kvs4KS76FHFqLFIZfrDMff4kP08nblUkihrxltoGBjg/edit#gid=934712705"",""ESENCIAL!A6:BG""),18,FALSE))"),"")</f>
        <v/>
      </c>
      <c r="BJ205" s="19" t="str">
        <f t="shared" ref="BJ205:BJ217" si="31">IF(F205&gt;0,"Yamboro","")</f>
        <v/>
      </c>
      <c r="BK205" s="41"/>
      <c r="BL205" s="41"/>
    </row>
    <row r="206" spans="1:64" ht="15">
      <c r="A206" s="4"/>
      <c r="B206" s="4"/>
      <c r="G206" s="5" t="str">
        <f ca="1">IFERROR(__xludf.DUMMYFUNCTION("IFERROR(VLOOKUP(F223,IMPORTRANGE(""https://docs.google.com/spreadsheets/d/1Kvs4KS76FHFqLFIZfrDMff4kP08nblUkihrxltoGBjg/edit#gid=934712705"",""ESENCIAL!A6:BG""),3,FALSE))"),"")</f>
        <v/>
      </c>
      <c r="H206" s="5" t="str">
        <f ca="1">IFERROR(__xludf.DUMMYFUNCTION("IFERROR(VLOOKUP(F223,IMPORTRANGE(""https://docs.google.com/spreadsheets/d/1Kvs4KS76FHFqLFIZfrDMff4kP08nblUkihrxltoGBjg/edit#gid=934712705"",""ESENCIAL!A6:BG""),8,FALSE))"),"")</f>
        <v/>
      </c>
      <c r="L206" s="287"/>
      <c r="S206"/>
      <c r="AU206" s="41" t="str">
        <f t="shared" si="28"/>
        <v/>
      </c>
      <c r="AV206" s="5" t="str">
        <f ca="1">IFERROR(__xludf.DUMMYFUNCTION("IFERROR(VLOOKUP(E223&amp;F223,IMPORTRANGE(""https://docs.google.com/spreadsheets/d/1Uw7-A9f9R21vMXxHZFNpYNeKFtG8_yji4HS352LGlSQ/edit?pli=1#gid=0"",""1_ACUM!A4:S""),11,FALSE))"),"")</f>
        <v/>
      </c>
      <c r="AW206" s="42" t="str">
        <f ca="1">IFERROR(__xludf.DUMMYFUNCTION("IFERROR(VLOOKUP(F223,IMPORTRANGE(""https://docs.google.com/spreadsheets/d/1Kvs4KS76FHFqLFIZfrDMff4kP08nblUkihrxltoGBjg/edit#gid=934712705"",""ESENCIAL!A6:BG""),15,FALSE))"),"")</f>
        <v/>
      </c>
      <c r="AX206" s="21" t="str">
        <f ca="1">IFERROR(__xludf.DUMMYFUNCTION("IFERROR(VLOOKUP(E223&amp;F223,IMPORTRANGE(""https://docs.google.com/spreadsheets/d/1Uw7-A9f9R21vMXxHZFNpYNeKFtG8_yji4HS352LGlSQ/edit?pli=1#gid=0"",""1_ACUM!A4:S""),12,FALSE))"),"")</f>
        <v/>
      </c>
      <c r="AY206" s="43" t="str">
        <f ca="1">IFERROR(__xludf.DUMMYFUNCTION("IFERROR(VLOOKUP(E223&amp;F223,IMPORTRANGE(""https://docs.google.com/spreadsheets/d/1Uw7-A9f9R21vMXxHZFNpYNeKFtG8_yji4HS352LGlSQ/edit?pli=1#gid=0"",""1_ACUM!A4:S""),13,FALSE))"),"")</f>
        <v/>
      </c>
      <c r="AZ206" s="43" t="str">
        <f ca="1">IFERROR(__xludf.DUMMYFUNCTION("IFERROR(VLOOKUP(E223&amp;F223,IMPORTRANGE(""https://docs.google.com/spreadsheets/d/1Uw7-A9f9R21vMXxHZFNpYNeKFtG8_yji4HS352LGlSQ/edit?pli=1#gid=0"",""1_ACUM!A4:S""),14,FALSE))"),"")</f>
        <v/>
      </c>
      <c r="BA206" s="43" t="str">
        <f ca="1">IFERROR(__xludf.DUMMYFUNCTION("IFERROR(VLOOKUP(E223&amp;F223,IMPORTRANGE(""https://docs.google.com/spreadsheets/d/1Uw7-A9f9R21vMXxHZFNpYNeKFtG8_yji4HS352LGlSQ/edit?pli=1#gid=0"",""1_ACUM!A4:S""),15,FALSE))"),"")</f>
        <v/>
      </c>
      <c r="BB206" s="43" t="str">
        <f ca="1">IFERROR(__xludf.DUMMYFUNCTION("IFERROR(VLOOKUP(E223&amp;F223,IMPORTRANGE(""https://docs.google.com/spreadsheets/d/1Uw7-A9f9R21vMXxHZFNpYNeKFtG8_yji4HS352LGlSQ/edit?pli=1#gid=0"",""1_ACUM!A4:S""),16,FALSE))"),"")</f>
        <v/>
      </c>
      <c r="BC206" s="43" t="str">
        <f ca="1">IFERROR(__xludf.DUMMYFUNCTION("IFERROR(VLOOKUP(E223&amp;F223,IMPORTRANGE(""https://docs.google.com/spreadsheets/d/1Uw7-A9f9R21vMXxHZFNpYNeKFtG8_yji4HS352LGlSQ/edit?pli=1#gid=0"",""1_ACUM!A4:S""),17,FALSE))"),"")</f>
        <v/>
      </c>
      <c r="BD206" s="44" t="str">
        <f ca="1">IFERROR(__xludf.DUMMYFUNCTION("IFERROR(VLOOKUP(E223&amp;F223,IMPORTRANGE(""https://docs.google.com/spreadsheets/d/1Uw7-A9f9R21vMXxHZFNpYNeKFtG8_yji4HS352LGlSQ/edit?pli=1#gid=0"",""1_ACUM!A4:S""),18,FALSE))"),"")</f>
        <v/>
      </c>
      <c r="BE206" s="44" t="str">
        <f ca="1">IFERROR(__xludf.DUMMYFUNCTION("IFERROR(VLOOKUP(E223&amp;F223,IMPORTRANGE(""https://docs.google.com/spreadsheets/d/1Uw7-A9f9R21vMXxHZFNpYNeKFtG8_yji4HS352LGlSQ/edit?pli=1#gid=0"",""1_ACUM!A4:S""),19,FALSE))"),"")</f>
        <v/>
      </c>
      <c r="BF206" s="44" t="str">
        <f ca="1">IFERROR(__xludf.DUMMYFUNCTION("IFERROR(VLOOKUP(F223,IMPORTRANGE(""https://docs.google.com/spreadsheets/d/1Kvs4KS76FHFqLFIZfrDMff4kP08nblUkihrxltoGBjg/edit#gid=934712705"",""ESENCIAL!A6:BG""),5,FALSE))"),"")</f>
        <v/>
      </c>
      <c r="BG206" s="44" t="str">
        <f t="shared" si="29"/>
        <v/>
      </c>
      <c r="BH206" s="41" t="str">
        <f t="shared" si="30"/>
        <v/>
      </c>
      <c r="BI206" s="41" t="str">
        <f ca="1">IFERROR(__xludf.DUMMYFUNCTION("IFERROR(VLOOKUP(F223,IMPORTRANGE(""https://docs.google.com/spreadsheets/d/1Kvs4KS76FHFqLFIZfrDMff4kP08nblUkihrxltoGBjg/edit#gid=934712705"",""ESENCIAL!A6:BG""),18,FALSE))"),"")</f>
        <v/>
      </c>
      <c r="BJ206" s="19" t="str">
        <f t="shared" si="31"/>
        <v/>
      </c>
      <c r="BK206" s="41"/>
      <c r="BL206" s="41"/>
    </row>
    <row r="207" spans="1:64" ht="15">
      <c r="A207" s="4"/>
      <c r="B207" s="4"/>
      <c r="G207" s="5" t="str">
        <f ca="1">IFERROR(__xludf.DUMMYFUNCTION("IFERROR(VLOOKUP(F224,IMPORTRANGE(""https://docs.google.com/spreadsheets/d/1Kvs4KS76FHFqLFIZfrDMff4kP08nblUkihrxltoGBjg/edit#gid=934712705"",""ESENCIAL!A6:BG""),3,FALSE))"),"")</f>
        <v/>
      </c>
      <c r="H207" s="5" t="str">
        <f ca="1">IFERROR(__xludf.DUMMYFUNCTION("IFERROR(VLOOKUP(F224,IMPORTRANGE(""https://docs.google.com/spreadsheets/d/1Kvs4KS76FHFqLFIZfrDMff4kP08nblUkihrxltoGBjg/edit#gid=934712705"",""ESENCIAL!A6:BG""),8,FALSE))"),"")</f>
        <v/>
      </c>
      <c r="L207" s="287"/>
      <c r="S207"/>
      <c r="AU207" s="41" t="str">
        <f t="shared" si="28"/>
        <v/>
      </c>
      <c r="AV207" s="5" t="str">
        <f ca="1">IFERROR(__xludf.DUMMYFUNCTION("IFERROR(VLOOKUP(E224&amp;F224,IMPORTRANGE(""https://docs.google.com/spreadsheets/d/1Uw7-A9f9R21vMXxHZFNpYNeKFtG8_yji4HS352LGlSQ/edit?pli=1#gid=0"",""1_ACUM!A4:S""),11,FALSE))"),"")</f>
        <v/>
      </c>
      <c r="AW207" s="42" t="str">
        <f ca="1">IFERROR(__xludf.DUMMYFUNCTION("IFERROR(VLOOKUP(F224,IMPORTRANGE(""https://docs.google.com/spreadsheets/d/1Kvs4KS76FHFqLFIZfrDMff4kP08nblUkihrxltoGBjg/edit#gid=934712705"",""ESENCIAL!A6:BG""),15,FALSE))"),"")</f>
        <v/>
      </c>
      <c r="AX207" s="21" t="str">
        <f ca="1">IFERROR(__xludf.DUMMYFUNCTION("IFERROR(VLOOKUP(E224&amp;F224,IMPORTRANGE(""https://docs.google.com/spreadsheets/d/1Uw7-A9f9R21vMXxHZFNpYNeKFtG8_yji4HS352LGlSQ/edit?pli=1#gid=0"",""1_ACUM!A4:S""),12,FALSE))"),"")</f>
        <v/>
      </c>
      <c r="AY207" s="43" t="str">
        <f ca="1">IFERROR(__xludf.DUMMYFUNCTION("IFERROR(VLOOKUP(E224&amp;F224,IMPORTRANGE(""https://docs.google.com/spreadsheets/d/1Uw7-A9f9R21vMXxHZFNpYNeKFtG8_yji4HS352LGlSQ/edit?pli=1#gid=0"",""1_ACUM!A4:S""),13,FALSE))"),"")</f>
        <v/>
      </c>
      <c r="AZ207" s="43" t="str">
        <f ca="1">IFERROR(__xludf.DUMMYFUNCTION("IFERROR(VLOOKUP(E224&amp;F224,IMPORTRANGE(""https://docs.google.com/spreadsheets/d/1Uw7-A9f9R21vMXxHZFNpYNeKFtG8_yji4HS352LGlSQ/edit?pli=1#gid=0"",""1_ACUM!A4:S""),14,FALSE))"),"")</f>
        <v/>
      </c>
      <c r="BA207" s="43" t="str">
        <f ca="1">IFERROR(__xludf.DUMMYFUNCTION("IFERROR(VLOOKUP(E224&amp;F224,IMPORTRANGE(""https://docs.google.com/spreadsheets/d/1Uw7-A9f9R21vMXxHZFNpYNeKFtG8_yji4HS352LGlSQ/edit?pli=1#gid=0"",""1_ACUM!A4:S""),15,FALSE))"),"")</f>
        <v/>
      </c>
      <c r="BB207" s="43" t="str">
        <f ca="1">IFERROR(__xludf.DUMMYFUNCTION("IFERROR(VLOOKUP(E224&amp;F224,IMPORTRANGE(""https://docs.google.com/spreadsheets/d/1Uw7-A9f9R21vMXxHZFNpYNeKFtG8_yji4HS352LGlSQ/edit?pli=1#gid=0"",""1_ACUM!A4:S""),16,FALSE))"),"")</f>
        <v/>
      </c>
      <c r="BC207" s="43" t="str">
        <f ca="1">IFERROR(__xludf.DUMMYFUNCTION("IFERROR(VLOOKUP(E224&amp;F224,IMPORTRANGE(""https://docs.google.com/spreadsheets/d/1Uw7-A9f9R21vMXxHZFNpYNeKFtG8_yji4HS352LGlSQ/edit?pli=1#gid=0"",""1_ACUM!A4:S""),17,FALSE))"),"")</f>
        <v/>
      </c>
      <c r="BD207" s="44" t="str">
        <f ca="1">IFERROR(__xludf.DUMMYFUNCTION("IFERROR(VLOOKUP(E224&amp;F224,IMPORTRANGE(""https://docs.google.com/spreadsheets/d/1Uw7-A9f9R21vMXxHZFNpYNeKFtG8_yji4HS352LGlSQ/edit?pli=1#gid=0"",""1_ACUM!A4:S""),18,FALSE))"),"")</f>
        <v/>
      </c>
      <c r="BE207" s="44" t="str">
        <f ca="1">IFERROR(__xludf.DUMMYFUNCTION("IFERROR(VLOOKUP(E224&amp;F224,IMPORTRANGE(""https://docs.google.com/spreadsheets/d/1Uw7-A9f9R21vMXxHZFNpYNeKFtG8_yji4HS352LGlSQ/edit?pli=1#gid=0"",""1_ACUM!A4:S""),19,FALSE))"),"")</f>
        <v/>
      </c>
      <c r="BF207" s="44" t="str">
        <f ca="1">IFERROR(__xludf.DUMMYFUNCTION("IFERROR(VLOOKUP(F224,IMPORTRANGE(""https://docs.google.com/spreadsheets/d/1Kvs4KS76FHFqLFIZfrDMff4kP08nblUkihrxltoGBjg/edit#gid=934712705"",""ESENCIAL!A6:BG""),5,FALSE))"),"")</f>
        <v/>
      </c>
      <c r="BG207" s="44" t="str">
        <f t="shared" si="29"/>
        <v/>
      </c>
      <c r="BH207" s="41" t="str">
        <f t="shared" si="30"/>
        <v/>
      </c>
      <c r="BI207" s="41" t="str">
        <f ca="1">IFERROR(__xludf.DUMMYFUNCTION("IFERROR(VLOOKUP(F224,IMPORTRANGE(""https://docs.google.com/spreadsheets/d/1Kvs4KS76FHFqLFIZfrDMff4kP08nblUkihrxltoGBjg/edit#gid=934712705"",""ESENCIAL!A6:BG""),18,FALSE))"),"")</f>
        <v/>
      </c>
      <c r="BJ207" s="19" t="str">
        <f t="shared" si="31"/>
        <v/>
      </c>
      <c r="BK207" s="41"/>
      <c r="BL207" s="41"/>
    </row>
    <row r="208" spans="1:64" ht="15">
      <c r="A208" s="4"/>
      <c r="B208" s="4"/>
      <c r="G208" s="5" t="str">
        <f ca="1">IFERROR(__xludf.DUMMYFUNCTION("IFERROR(VLOOKUP(F225,IMPORTRANGE(""https://docs.google.com/spreadsheets/d/1Kvs4KS76FHFqLFIZfrDMff4kP08nblUkihrxltoGBjg/edit#gid=934712705"",""ESENCIAL!A6:BG""),3,FALSE))"),"")</f>
        <v/>
      </c>
      <c r="H208" s="5" t="str">
        <f ca="1">IFERROR(__xludf.DUMMYFUNCTION("IFERROR(VLOOKUP(F225,IMPORTRANGE(""https://docs.google.com/spreadsheets/d/1Kvs4KS76FHFqLFIZfrDMff4kP08nblUkihrxltoGBjg/edit#gid=934712705"",""ESENCIAL!A6:BG""),8,FALSE))"),"")</f>
        <v/>
      </c>
      <c r="L208" s="287"/>
      <c r="S208"/>
      <c r="AU208" s="41" t="str">
        <f t="shared" si="28"/>
        <v/>
      </c>
      <c r="AV208" s="5" t="str">
        <f ca="1">IFERROR(__xludf.DUMMYFUNCTION("IFERROR(VLOOKUP(E225&amp;F225,IMPORTRANGE(""https://docs.google.com/spreadsheets/d/1Uw7-A9f9R21vMXxHZFNpYNeKFtG8_yji4HS352LGlSQ/edit?pli=1#gid=0"",""1_ACUM!A4:S""),11,FALSE))"),"")</f>
        <v/>
      </c>
      <c r="AW208" s="42" t="str">
        <f ca="1">IFERROR(__xludf.DUMMYFUNCTION("IFERROR(VLOOKUP(F225,IMPORTRANGE(""https://docs.google.com/spreadsheets/d/1Kvs4KS76FHFqLFIZfrDMff4kP08nblUkihrxltoGBjg/edit#gid=934712705"",""ESENCIAL!A6:BG""),15,FALSE))"),"")</f>
        <v/>
      </c>
      <c r="AX208" s="21" t="str">
        <f ca="1">IFERROR(__xludf.DUMMYFUNCTION("IFERROR(VLOOKUP(E225&amp;F225,IMPORTRANGE(""https://docs.google.com/spreadsheets/d/1Uw7-A9f9R21vMXxHZFNpYNeKFtG8_yji4HS352LGlSQ/edit?pli=1#gid=0"",""1_ACUM!A4:S""),12,FALSE))"),"")</f>
        <v/>
      </c>
      <c r="AY208" s="43" t="str">
        <f ca="1">IFERROR(__xludf.DUMMYFUNCTION("IFERROR(VLOOKUP(E225&amp;F225,IMPORTRANGE(""https://docs.google.com/spreadsheets/d/1Uw7-A9f9R21vMXxHZFNpYNeKFtG8_yji4HS352LGlSQ/edit?pli=1#gid=0"",""1_ACUM!A4:S""),13,FALSE))"),"")</f>
        <v/>
      </c>
      <c r="AZ208" s="43" t="str">
        <f ca="1">IFERROR(__xludf.DUMMYFUNCTION("IFERROR(VLOOKUP(E225&amp;F225,IMPORTRANGE(""https://docs.google.com/spreadsheets/d/1Uw7-A9f9R21vMXxHZFNpYNeKFtG8_yji4HS352LGlSQ/edit?pli=1#gid=0"",""1_ACUM!A4:S""),14,FALSE))"),"")</f>
        <v/>
      </c>
      <c r="BA208" s="43" t="str">
        <f ca="1">IFERROR(__xludf.DUMMYFUNCTION("IFERROR(VLOOKUP(E225&amp;F225,IMPORTRANGE(""https://docs.google.com/spreadsheets/d/1Uw7-A9f9R21vMXxHZFNpYNeKFtG8_yji4HS352LGlSQ/edit?pli=1#gid=0"",""1_ACUM!A4:S""),15,FALSE))"),"")</f>
        <v/>
      </c>
      <c r="BB208" s="43" t="str">
        <f ca="1">IFERROR(__xludf.DUMMYFUNCTION("IFERROR(VLOOKUP(E225&amp;F225,IMPORTRANGE(""https://docs.google.com/spreadsheets/d/1Uw7-A9f9R21vMXxHZFNpYNeKFtG8_yji4HS352LGlSQ/edit?pli=1#gid=0"",""1_ACUM!A4:S""),16,FALSE))"),"")</f>
        <v/>
      </c>
      <c r="BC208" s="43" t="str">
        <f ca="1">IFERROR(__xludf.DUMMYFUNCTION("IFERROR(VLOOKUP(E225&amp;F225,IMPORTRANGE(""https://docs.google.com/spreadsheets/d/1Uw7-A9f9R21vMXxHZFNpYNeKFtG8_yji4HS352LGlSQ/edit?pli=1#gid=0"",""1_ACUM!A4:S""),17,FALSE))"),"")</f>
        <v/>
      </c>
      <c r="BD208" s="44" t="str">
        <f ca="1">IFERROR(__xludf.DUMMYFUNCTION("IFERROR(VLOOKUP(E225&amp;F225,IMPORTRANGE(""https://docs.google.com/spreadsheets/d/1Uw7-A9f9R21vMXxHZFNpYNeKFtG8_yji4HS352LGlSQ/edit?pli=1#gid=0"",""1_ACUM!A4:S""),18,FALSE))"),"")</f>
        <v/>
      </c>
      <c r="BE208" s="44" t="str">
        <f ca="1">IFERROR(__xludf.DUMMYFUNCTION("IFERROR(VLOOKUP(E225&amp;F225,IMPORTRANGE(""https://docs.google.com/spreadsheets/d/1Uw7-A9f9R21vMXxHZFNpYNeKFtG8_yji4HS352LGlSQ/edit?pli=1#gid=0"",""1_ACUM!A4:S""),19,FALSE))"),"")</f>
        <v/>
      </c>
      <c r="BF208" s="44" t="str">
        <f ca="1">IFERROR(__xludf.DUMMYFUNCTION("IFERROR(VLOOKUP(F225,IMPORTRANGE(""https://docs.google.com/spreadsheets/d/1Kvs4KS76FHFqLFIZfrDMff4kP08nblUkihrxltoGBjg/edit#gid=934712705"",""ESENCIAL!A6:BG""),5,FALSE))"),"")</f>
        <v/>
      </c>
      <c r="BG208" s="44" t="str">
        <f t="shared" si="29"/>
        <v/>
      </c>
      <c r="BH208" s="41" t="str">
        <f t="shared" si="30"/>
        <v/>
      </c>
      <c r="BI208" s="41" t="str">
        <f ca="1">IFERROR(__xludf.DUMMYFUNCTION("IFERROR(VLOOKUP(F225,IMPORTRANGE(""https://docs.google.com/spreadsheets/d/1Kvs4KS76FHFqLFIZfrDMff4kP08nblUkihrxltoGBjg/edit#gid=934712705"",""ESENCIAL!A6:BG""),18,FALSE))"),"")</f>
        <v/>
      </c>
      <c r="BJ208" s="19" t="str">
        <f t="shared" si="31"/>
        <v/>
      </c>
      <c r="BK208" s="41"/>
      <c r="BL208" s="41"/>
    </row>
    <row r="209" spans="1:64" ht="15">
      <c r="A209" s="4"/>
      <c r="B209" s="4"/>
      <c r="G209" s="5" t="str">
        <f ca="1">IFERROR(__xludf.DUMMYFUNCTION("IFERROR(VLOOKUP(F226,IMPORTRANGE(""https://docs.google.com/spreadsheets/d/1Kvs4KS76FHFqLFIZfrDMff4kP08nblUkihrxltoGBjg/edit#gid=934712705"",""ESENCIAL!A6:BG""),3,FALSE))"),"")</f>
        <v/>
      </c>
      <c r="H209" s="5" t="str">
        <f ca="1">IFERROR(__xludf.DUMMYFUNCTION("IFERROR(VLOOKUP(F226,IMPORTRANGE(""https://docs.google.com/spreadsheets/d/1Kvs4KS76FHFqLFIZfrDMff4kP08nblUkihrxltoGBjg/edit#gid=934712705"",""ESENCIAL!A6:BG""),8,FALSE))"),"")</f>
        <v/>
      </c>
      <c r="L209" s="287"/>
      <c r="S209"/>
      <c r="AU209" s="41" t="str">
        <f t="shared" si="28"/>
        <v/>
      </c>
      <c r="AV209" s="5" t="str">
        <f ca="1">IFERROR(__xludf.DUMMYFUNCTION("IFERROR(VLOOKUP(E226&amp;F226,IMPORTRANGE(""https://docs.google.com/spreadsheets/d/1Uw7-A9f9R21vMXxHZFNpYNeKFtG8_yji4HS352LGlSQ/edit?pli=1#gid=0"",""1_ACUM!A4:S""),11,FALSE))"),"")</f>
        <v/>
      </c>
      <c r="AW209" s="42" t="str">
        <f ca="1">IFERROR(__xludf.DUMMYFUNCTION("IFERROR(VLOOKUP(F226,IMPORTRANGE(""https://docs.google.com/spreadsheets/d/1Kvs4KS76FHFqLFIZfrDMff4kP08nblUkihrxltoGBjg/edit#gid=934712705"",""ESENCIAL!A6:BG""),15,FALSE))"),"")</f>
        <v/>
      </c>
      <c r="AX209" s="21" t="str">
        <f ca="1">IFERROR(__xludf.DUMMYFUNCTION("IFERROR(VLOOKUP(E226&amp;F226,IMPORTRANGE(""https://docs.google.com/spreadsheets/d/1Uw7-A9f9R21vMXxHZFNpYNeKFtG8_yji4HS352LGlSQ/edit?pli=1#gid=0"",""1_ACUM!A4:S""),12,FALSE))"),"")</f>
        <v/>
      </c>
      <c r="AY209" s="43" t="str">
        <f ca="1">IFERROR(__xludf.DUMMYFUNCTION("IFERROR(VLOOKUP(E226&amp;F226,IMPORTRANGE(""https://docs.google.com/spreadsheets/d/1Uw7-A9f9R21vMXxHZFNpYNeKFtG8_yji4HS352LGlSQ/edit?pli=1#gid=0"",""1_ACUM!A4:S""),13,FALSE))"),"")</f>
        <v/>
      </c>
      <c r="AZ209" s="43" t="str">
        <f ca="1">IFERROR(__xludf.DUMMYFUNCTION("IFERROR(VLOOKUP(E226&amp;F226,IMPORTRANGE(""https://docs.google.com/spreadsheets/d/1Uw7-A9f9R21vMXxHZFNpYNeKFtG8_yji4HS352LGlSQ/edit?pli=1#gid=0"",""1_ACUM!A4:S""),14,FALSE))"),"")</f>
        <v/>
      </c>
      <c r="BA209" s="43" t="str">
        <f ca="1">IFERROR(__xludf.DUMMYFUNCTION("IFERROR(VLOOKUP(E226&amp;F226,IMPORTRANGE(""https://docs.google.com/spreadsheets/d/1Uw7-A9f9R21vMXxHZFNpYNeKFtG8_yji4HS352LGlSQ/edit?pli=1#gid=0"",""1_ACUM!A4:S""),15,FALSE))"),"")</f>
        <v/>
      </c>
      <c r="BB209" s="43" t="str">
        <f ca="1">IFERROR(__xludf.DUMMYFUNCTION("IFERROR(VLOOKUP(E226&amp;F226,IMPORTRANGE(""https://docs.google.com/spreadsheets/d/1Uw7-A9f9R21vMXxHZFNpYNeKFtG8_yji4HS352LGlSQ/edit?pli=1#gid=0"",""1_ACUM!A4:S""),16,FALSE))"),"")</f>
        <v/>
      </c>
      <c r="BC209" s="43" t="str">
        <f ca="1">IFERROR(__xludf.DUMMYFUNCTION("IFERROR(VLOOKUP(E226&amp;F226,IMPORTRANGE(""https://docs.google.com/spreadsheets/d/1Uw7-A9f9R21vMXxHZFNpYNeKFtG8_yji4HS352LGlSQ/edit?pli=1#gid=0"",""1_ACUM!A4:S""),17,FALSE))"),"")</f>
        <v/>
      </c>
      <c r="BD209" s="44" t="str">
        <f ca="1">IFERROR(__xludf.DUMMYFUNCTION("IFERROR(VLOOKUP(E226&amp;F226,IMPORTRANGE(""https://docs.google.com/spreadsheets/d/1Uw7-A9f9R21vMXxHZFNpYNeKFtG8_yji4HS352LGlSQ/edit?pli=1#gid=0"",""1_ACUM!A4:S""),18,FALSE))"),"")</f>
        <v/>
      </c>
      <c r="BE209" s="44" t="str">
        <f ca="1">IFERROR(__xludf.DUMMYFUNCTION("IFERROR(VLOOKUP(E226&amp;F226,IMPORTRANGE(""https://docs.google.com/spreadsheets/d/1Uw7-A9f9R21vMXxHZFNpYNeKFtG8_yji4HS352LGlSQ/edit?pli=1#gid=0"",""1_ACUM!A4:S""),19,FALSE))"),"")</f>
        <v/>
      </c>
      <c r="BF209" s="44" t="str">
        <f ca="1">IFERROR(__xludf.DUMMYFUNCTION("IFERROR(VLOOKUP(F226,IMPORTRANGE(""https://docs.google.com/spreadsheets/d/1Kvs4KS76FHFqLFIZfrDMff4kP08nblUkihrxltoGBjg/edit#gid=934712705"",""ESENCIAL!A6:BG""),5,FALSE))"),"")</f>
        <v/>
      </c>
      <c r="BG209" s="44" t="str">
        <f t="shared" si="29"/>
        <v/>
      </c>
      <c r="BH209" s="41" t="str">
        <f t="shared" si="30"/>
        <v/>
      </c>
      <c r="BI209" s="41" t="str">
        <f ca="1">IFERROR(__xludf.DUMMYFUNCTION("IFERROR(VLOOKUP(F226,IMPORTRANGE(""https://docs.google.com/spreadsheets/d/1Kvs4KS76FHFqLFIZfrDMff4kP08nblUkihrxltoGBjg/edit#gid=934712705"",""ESENCIAL!A6:BG""),18,FALSE))"),"")</f>
        <v/>
      </c>
      <c r="BJ209" s="19" t="str">
        <f t="shared" si="31"/>
        <v/>
      </c>
      <c r="BK209" s="41"/>
      <c r="BL209" s="41"/>
    </row>
    <row r="210" spans="1:64" ht="15">
      <c r="A210" s="4"/>
      <c r="B210" s="4"/>
      <c r="G210" s="5" t="str">
        <f ca="1">IFERROR(__xludf.DUMMYFUNCTION("IFERROR(VLOOKUP(F227,IMPORTRANGE(""https://docs.google.com/spreadsheets/d/1Kvs4KS76FHFqLFIZfrDMff4kP08nblUkihrxltoGBjg/edit#gid=934712705"",""ESENCIAL!A6:BG""),3,FALSE))"),"")</f>
        <v/>
      </c>
      <c r="H210" s="5" t="str">
        <f ca="1">IFERROR(__xludf.DUMMYFUNCTION("IFERROR(VLOOKUP(F227,IMPORTRANGE(""https://docs.google.com/spreadsheets/d/1Kvs4KS76FHFqLFIZfrDMff4kP08nblUkihrxltoGBjg/edit#gid=934712705"",""ESENCIAL!A6:BG""),8,FALSE))"),"")</f>
        <v/>
      </c>
      <c r="L210" s="287"/>
      <c r="S210"/>
      <c r="AU210" s="41" t="str">
        <f t="shared" si="28"/>
        <v/>
      </c>
      <c r="AV210" s="5" t="str">
        <f ca="1">IFERROR(__xludf.DUMMYFUNCTION("IFERROR(VLOOKUP(E227&amp;F227,IMPORTRANGE(""https://docs.google.com/spreadsheets/d/1Uw7-A9f9R21vMXxHZFNpYNeKFtG8_yji4HS352LGlSQ/edit?pli=1#gid=0"",""1_ACUM!A4:S""),11,FALSE))"),"")</f>
        <v/>
      </c>
      <c r="AW210" s="42" t="str">
        <f ca="1">IFERROR(__xludf.DUMMYFUNCTION("IFERROR(VLOOKUP(F227,IMPORTRANGE(""https://docs.google.com/spreadsheets/d/1Kvs4KS76FHFqLFIZfrDMff4kP08nblUkihrxltoGBjg/edit#gid=934712705"",""ESENCIAL!A6:BG""),15,FALSE))"),"")</f>
        <v/>
      </c>
      <c r="AX210" s="21" t="str">
        <f ca="1">IFERROR(__xludf.DUMMYFUNCTION("IFERROR(VLOOKUP(E227&amp;F227,IMPORTRANGE(""https://docs.google.com/spreadsheets/d/1Uw7-A9f9R21vMXxHZFNpYNeKFtG8_yji4HS352LGlSQ/edit?pli=1#gid=0"",""1_ACUM!A4:S""),12,FALSE))"),"")</f>
        <v/>
      </c>
      <c r="AY210" s="43" t="str">
        <f ca="1">IFERROR(__xludf.DUMMYFUNCTION("IFERROR(VLOOKUP(E227&amp;F227,IMPORTRANGE(""https://docs.google.com/spreadsheets/d/1Uw7-A9f9R21vMXxHZFNpYNeKFtG8_yji4HS352LGlSQ/edit?pli=1#gid=0"",""1_ACUM!A4:S""),13,FALSE))"),"")</f>
        <v/>
      </c>
      <c r="AZ210" s="43" t="str">
        <f ca="1">IFERROR(__xludf.DUMMYFUNCTION("IFERROR(VLOOKUP(E227&amp;F227,IMPORTRANGE(""https://docs.google.com/spreadsheets/d/1Uw7-A9f9R21vMXxHZFNpYNeKFtG8_yji4HS352LGlSQ/edit?pli=1#gid=0"",""1_ACUM!A4:S""),14,FALSE))"),"")</f>
        <v/>
      </c>
      <c r="BA210" s="43" t="str">
        <f ca="1">IFERROR(__xludf.DUMMYFUNCTION("IFERROR(VLOOKUP(E227&amp;F227,IMPORTRANGE(""https://docs.google.com/spreadsheets/d/1Uw7-A9f9R21vMXxHZFNpYNeKFtG8_yji4HS352LGlSQ/edit?pli=1#gid=0"",""1_ACUM!A4:S""),15,FALSE))"),"")</f>
        <v/>
      </c>
      <c r="BB210" s="43" t="str">
        <f ca="1">IFERROR(__xludf.DUMMYFUNCTION("IFERROR(VLOOKUP(E227&amp;F227,IMPORTRANGE(""https://docs.google.com/spreadsheets/d/1Uw7-A9f9R21vMXxHZFNpYNeKFtG8_yji4HS352LGlSQ/edit?pli=1#gid=0"",""1_ACUM!A4:S""),16,FALSE))"),"")</f>
        <v/>
      </c>
      <c r="BC210" s="43" t="str">
        <f ca="1">IFERROR(__xludf.DUMMYFUNCTION("IFERROR(VLOOKUP(E227&amp;F227,IMPORTRANGE(""https://docs.google.com/spreadsheets/d/1Uw7-A9f9R21vMXxHZFNpYNeKFtG8_yji4HS352LGlSQ/edit?pli=1#gid=0"",""1_ACUM!A4:S""),17,FALSE))"),"")</f>
        <v/>
      </c>
      <c r="BD210" s="44" t="str">
        <f ca="1">IFERROR(__xludf.DUMMYFUNCTION("IFERROR(VLOOKUP(E227&amp;F227,IMPORTRANGE(""https://docs.google.com/spreadsheets/d/1Uw7-A9f9R21vMXxHZFNpYNeKFtG8_yji4HS352LGlSQ/edit?pli=1#gid=0"",""1_ACUM!A4:S""),18,FALSE))"),"")</f>
        <v/>
      </c>
      <c r="BE210" s="44" t="str">
        <f ca="1">IFERROR(__xludf.DUMMYFUNCTION("IFERROR(VLOOKUP(E227&amp;F227,IMPORTRANGE(""https://docs.google.com/spreadsheets/d/1Uw7-A9f9R21vMXxHZFNpYNeKFtG8_yji4HS352LGlSQ/edit?pli=1#gid=0"",""1_ACUM!A4:S""),19,FALSE))"),"")</f>
        <v/>
      </c>
      <c r="BF210" s="44" t="str">
        <f ca="1">IFERROR(__xludf.DUMMYFUNCTION("IFERROR(VLOOKUP(F227,IMPORTRANGE(""https://docs.google.com/spreadsheets/d/1Kvs4KS76FHFqLFIZfrDMff4kP08nblUkihrxltoGBjg/edit#gid=934712705"",""ESENCIAL!A6:BG""),5,FALSE))"),"")</f>
        <v/>
      </c>
      <c r="BG210" s="44" t="str">
        <f t="shared" si="29"/>
        <v/>
      </c>
      <c r="BH210" s="41" t="str">
        <f t="shared" si="30"/>
        <v/>
      </c>
      <c r="BI210" s="41" t="str">
        <f ca="1">IFERROR(__xludf.DUMMYFUNCTION("IFERROR(VLOOKUP(F227,IMPORTRANGE(""https://docs.google.com/spreadsheets/d/1Kvs4KS76FHFqLFIZfrDMff4kP08nblUkihrxltoGBjg/edit#gid=934712705"",""ESENCIAL!A6:BG""),18,FALSE))"),"")</f>
        <v/>
      </c>
      <c r="BJ210" s="19" t="str">
        <f t="shared" si="31"/>
        <v/>
      </c>
      <c r="BK210" s="41"/>
      <c r="BL210" s="41"/>
    </row>
    <row r="211" spans="1:64" ht="15">
      <c r="A211" s="4"/>
      <c r="B211" s="4"/>
      <c r="G211" s="5" t="str">
        <f ca="1">IFERROR(__xludf.DUMMYFUNCTION("IFERROR(VLOOKUP(F228,IMPORTRANGE(""https://docs.google.com/spreadsheets/d/1Kvs4KS76FHFqLFIZfrDMff4kP08nblUkihrxltoGBjg/edit#gid=934712705"",""ESENCIAL!A6:BG""),3,FALSE))"),"")</f>
        <v/>
      </c>
      <c r="H211" s="5" t="str">
        <f ca="1">IFERROR(__xludf.DUMMYFUNCTION("IFERROR(VLOOKUP(F228,IMPORTRANGE(""https://docs.google.com/spreadsheets/d/1Kvs4KS76FHFqLFIZfrDMff4kP08nblUkihrxltoGBjg/edit#gid=934712705"",""ESENCIAL!A6:BG""),8,FALSE))"),"")</f>
        <v/>
      </c>
      <c r="L211" s="287"/>
      <c r="S211"/>
      <c r="AU211" s="41" t="str">
        <f t="shared" si="28"/>
        <v/>
      </c>
      <c r="AV211" s="5" t="str">
        <f ca="1">IFERROR(__xludf.DUMMYFUNCTION("IFERROR(VLOOKUP(E228&amp;F228,IMPORTRANGE(""https://docs.google.com/spreadsheets/d/1Uw7-A9f9R21vMXxHZFNpYNeKFtG8_yji4HS352LGlSQ/edit?pli=1#gid=0"",""1_ACUM!A4:S""),11,FALSE))"),"")</f>
        <v/>
      </c>
      <c r="AW211" s="42" t="str">
        <f ca="1">IFERROR(__xludf.DUMMYFUNCTION("IFERROR(VLOOKUP(F228,IMPORTRANGE(""https://docs.google.com/spreadsheets/d/1Kvs4KS76FHFqLFIZfrDMff4kP08nblUkihrxltoGBjg/edit#gid=934712705"",""ESENCIAL!A6:BG""),15,FALSE))"),"")</f>
        <v/>
      </c>
      <c r="AX211" s="21" t="str">
        <f ca="1">IFERROR(__xludf.DUMMYFUNCTION("IFERROR(VLOOKUP(E228&amp;F228,IMPORTRANGE(""https://docs.google.com/spreadsheets/d/1Uw7-A9f9R21vMXxHZFNpYNeKFtG8_yji4HS352LGlSQ/edit?pli=1#gid=0"",""1_ACUM!A4:S""),12,FALSE))"),"")</f>
        <v/>
      </c>
      <c r="AY211" s="43" t="str">
        <f ca="1">IFERROR(__xludf.DUMMYFUNCTION("IFERROR(VLOOKUP(E228&amp;F228,IMPORTRANGE(""https://docs.google.com/spreadsheets/d/1Uw7-A9f9R21vMXxHZFNpYNeKFtG8_yji4HS352LGlSQ/edit?pli=1#gid=0"",""1_ACUM!A4:S""),13,FALSE))"),"")</f>
        <v/>
      </c>
      <c r="AZ211" s="43" t="str">
        <f ca="1">IFERROR(__xludf.DUMMYFUNCTION("IFERROR(VLOOKUP(E228&amp;F228,IMPORTRANGE(""https://docs.google.com/spreadsheets/d/1Uw7-A9f9R21vMXxHZFNpYNeKFtG8_yji4HS352LGlSQ/edit?pli=1#gid=0"",""1_ACUM!A4:S""),14,FALSE))"),"")</f>
        <v/>
      </c>
      <c r="BA211" s="43" t="str">
        <f ca="1">IFERROR(__xludf.DUMMYFUNCTION("IFERROR(VLOOKUP(E228&amp;F228,IMPORTRANGE(""https://docs.google.com/spreadsheets/d/1Uw7-A9f9R21vMXxHZFNpYNeKFtG8_yji4HS352LGlSQ/edit?pli=1#gid=0"",""1_ACUM!A4:S""),15,FALSE))"),"")</f>
        <v/>
      </c>
      <c r="BB211" s="43" t="str">
        <f ca="1">IFERROR(__xludf.DUMMYFUNCTION("IFERROR(VLOOKUP(E228&amp;F228,IMPORTRANGE(""https://docs.google.com/spreadsheets/d/1Uw7-A9f9R21vMXxHZFNpYNeKFtG8_yji4HS352LGlSQ/edit?pli=1#gid=0"",""1_ACUM!A4:S""),16,FALSE))"),"")</f>
        <v/>
      </c>
      <c r="BC211" s="43" t="str">
        <f ca="1">IFERROR(__xludf.DUMMYFUNCTION("IFERROR(VLOOKUP(E228&amp;F228,IMPORTRANGE(""https://docs.google.com/spreadsheets/d/1Uw7-A9f9R21vMXxHZFNpYNeKFtG8_yji4HS352LGlSQ/edit?pli=1#gid=0"",""1_ACUM!A4:S""),17,FALSE))"),"")</f>
        <v/>
      </c>
      <c r="BD211" s="44" t="str">
        <f ca="1">IFERROR(__xludf.DUMMYFUNCTION("IFERROR(VLOOKUP(E228&amp;F228,IMPORTRANGE(""https://docs.google.com/spreadsheets/d/1Uw7-A9f9R21vMXxHZFNpYNeKFtG8_yji4HS352LGlSQ/edit?pli=1#gid=0"",""1_ACUM!A4:S""),18,FALSE))"),"")</f>
        <v/>
      </c>
      <c r="BE211" s="44" t="str">
        <f ca="1">IFERROR(__xludf.DUMMYFUNCTION("IFERROR(VLOOKUP(E228&amp;F228,IMPORTRANGE(""https://docs.google.com/spreadsheets/d/1Uw7-A9f9R21vMXxHZFNpYNeKFtG8_yji4HS352LGlSQ/edit?pli=1#gid=0"",""1_ACUM!A4:S""),19,FALSE))"),"")</f>
        <v/>
      </c>
      <c r="BF211" s="44" t="str">
        <f ca="1">IFERROR(__xludf.DUMMYFUNCTION("IFERROR(VLOOKUP(F228,IMPORTRANGE(""https://docs.google.com/spreadsheets/d/1Kvs4KS76FHFqLFIZfrDMff4kP08nblUkihrxltoGBjg/edit#gid=934712705"",""ESENCIAL!A6:BG""),5,FALSE))"),"")</f>
        <v/>
      </c>
      <c r="BG211" s="44" t="str">
        <f t="shared" si="29"/>
        <v/>
      </c>
      <c r="BH211" s="41" t="str">
        <f t="shared" si="30"/>
        <v/>
      </c>
      <c r="BI211" s="41" t="str">
        <f ca="1">IFERROR(__xludf.DUMMYFUNCTION("IFERROR(VLOOKUP(F228,IMPORTRANGE(""https://docs.google.com/spreadsheets/d/1Kvs4KS76FHFqLFIZfrDMff4kP08nblUkihrxltoGBjg/edit#gid=934712705"",""ESENCIAL!A6:BG""),18,FALSE))"),"")</f>
        <v/>
      </c>
      <c r="BJ211" s="19" t="str">
        <f t="shared" si="31"/>
        <v/>
      </c>
      <c r="BK211" s="41"/>
      <c r="BL211" s="41"/>
    </row>
    <row r="212" spans="1:64" ht="15">
      <c r="A212" s="4"/>
      <c r="B212" s="4"/>
      <c r="G212" s="5" t="str">
        <f ca="1">IFERROR(__xludf.DUMMYFUNCTION("IFERROR(VLOOKUP(F229,IMPORTRANGE(""https://docs.google.com/spreadsheets/d/1Kvs4KS76FHFqLFIZfrDMff4kP08nblUkihrxltoGBjg/edit#gid=934712705"",""ESENCIAL!A6:BG""),3,FALSE))"),"")</f>
        <v/>
      </c>
      <c r="H212" s="5" t="str">
        <f ca="1">IFERROR(__xludf.DUMMYFUNCTION("IFERROR(VLOOKUP(F229,IMPORTRANGE(""https://docs.google.com/spreadsheets/d/1Kvs4KS76FHFqLFIZfrDMff4kP08nblUkihrxltoGBjg/edit#gid=934712705"",""ESENCIAL!A6:BG""),8,FALSE))"),"")</f>
        <v/>
      </c>
      <c r="L212" s="287"/>
      <c r="S212"/>
      <c r="AU212" s="41" t="str">
        <f t="shared" si="28"/>
        <v/>
      </c>
      <c r="AV212" s="5" t="str">
        <f ca="1">IFERROR(__xludf.DUMMYFUNCTION("IFERROR(VLOOKUP(E229&amp;F229,IMPORTRANGE(""https://docs.google.com/spreadsheets/d/1Uw7-A9f9R21vMXxHZFNpYNeKFtG8_yji4HS352LGlSQ/edit?pli=1#gid=0"",""1_ACUM!A4:S""),11,FALSE))"),"")</f>
        <v/>
      </c>
      <c r="AW212" s="42" t="str">
        <f ca="1">IFERROR(__xludf.DUMMYFUNCTION("IFERROR(VLOOKUP(F229,IMPORTRANGE(""https://docs.google.com/spreadsheets/d/1Kvs4KS76FHFqLFIZfrDMff4kP08nblUkihrxltoGBjg/edit#gid=934712705"",""ESENCIAL!A6:BG""),15,FALSE))"),"")</f>
        <v/>
      </c>
      <c r="AX212" s="21" t="str">
        <f ca="1">IFERROR(__xludf.DUMMYFUNCTION("IFERROR(VLOOKUP(E229&amp;F229,IMPORTRANGE(""https://docs.google.com/spreadsheets/d/1Uw7-A9f9R21vMXxHZFNpYNeKFtG8_yji4HS352LGlSQ/edit?pli=1#gid=0"",""1_ACUM!A4:S""),12,FALSE))"),"")</f>
        <v/>
      </c>
      <c r="AY212" s="43" t="str">
        <f ca="1">IFERROR(__xludf.DUMMYFUNCTION("IFERROR(VLOOKUP(E229&amp;F229,IMPORTRANGE(""https://docs.google.com/spreadsheets/d/1Uw7-A9f9R21vMXxHZFNpYNeKFtG8_yji4HS352LGlSQ/edit?pli=1#gid=0"",""1_ACUM!A4:S""),13,FALSE))"),"")</f>
        <v/>
      </c>
      <c r="AZ212" s="43" t="str">
        <f ca="1">IFERROR(__xludf.DUMMYFUNCTION("IFERROR(VLOOKUP(E229&amp;F229,IMPORTRANGE(""https://docs.google.com/spreadsheets/d/1Uw7-A9f9R21vMXxHZFNpYNeKFtG8_yji4HS352LGlSQ/edit?pli=1#gid=0"",""1_ACUM!A4:S""),14,FALSE))"),"")</f>
        <v/>
      </c>
      <c r="BA212" s="43" t="str">
        <f ca="1">IFERROR(__xludf.DUMMYFUNCTION("IFERROR(VLOOKUP(E229&amp;F229,IMPORTRANGE(""https://docs.google.com/spreadsheets/d/1Uw7-A9f9R21vMXxHZFNpYNeKFtG8_yji4HS352LGlSQ/edit?pli=1#gid=0"",""1_ACUM!A4:S""),15,FALSE))"),"")</f>
        <v/>
      </c>
      <c r="BB212" s="43" t="str">
        <f ca="1">IFERROR(__xludf.DUMMYFUNCTION("IFERROR(VLOOKUP(E229&amp;F229,IMPORTRANGE(""https://docs.google.com/spreadsheets/d/1Uw7-A9f9R21vMXxHZFNpYNeKFtG8_yji4HS352LGlSQ/edit?pli=1#gid=0"",""1_ACUM!A4:S""),16,FALSE))"),"")</f>
        <v/>
      </c>
      <c r="BC212" s="43" t="str">
        <f ca="1">IFERROR(__xludf.DUMMYFUNCTION("IFERROR(VLOOKUP(E229&amp;F229,IMPORTRANGE(""https://docs.google.com/spreadsheets/d/1Uw7-A9f9R21vMXxHZFNpYNeKFtG8_yji4HS352LGlSQ/edit?pli=1#gid=0"",""1_ACUM!A4:S""),17,FALSE))"),"")</f>
        <v/>
      </c>
      <c r="BD212" s="44" t="str">
        <f ca="1">IFERROR(__xludf.DUMMYFUNCTION("IFERROR(VLOOKUP(E229&amp;F229,IMPORTRANGE(""https://docs.google.com/spreadsheets/d/1Uw7-A9f9R21vMXxHZFNpYNeKFtG8_yji4HS352LGlSQ/edit?pli=1#gid=0"",""1_ACUM!A4:S""),18,FALSE))"),"")</f>
        <v/>
      </c>
      <c r="BE212" s="44" t="str">
        <f ca="1">IFERROR(__xludf.DUMMYFUNCTION("IFERROR(VLOOKUP(E229&amp;F229,IMPORTRANGE(""https://docs.google.com/spreadsheets/d/1Uw7-A9f9R21vMXxHZFNpYNeKFtG8_yji4HS352LGlSQ/edit?pli=1#gid=0"",""1_ACUM!A4:S""),19,FALSE))"),"")</f>
        <v/>
      </c>
      <c r="BF212" s="44" t="str">
        <f ca="1">IFERROR(__xludf.DUMMYFUNCTION("IFERROR(VLOOKUP(F229,IMPORTRANGE(""https://docs.google.com/spreadsheets/d/1Kvs4KS76FHFqLFIZfrDMff4kP08nblUkihrxltoGBjg/edit#gid=934712705"",""ESENCIAL!A6:BG""),5,FALSE))"),"")</f>
        <v/>
      </c>
      <c r="BG212" s="44" t="str">
        <f t="shared" si="29"/>
        <v/>
      </c>
      <c r="BH212" s="41" t="str">
        <f t="shared" si="30"/>
        <v/>
      </c>
      <c r="BI212" s="41" t="str">
        <f ca="1">IFERROR(__xludf.DUMMYFUNCTION("IFERROR(VLOOKUP(F229,IMPORTRANGE(""https://docs.google.com/spreadsheets/d/1Kvs4KS76FHFqLFIZfrDMff4kP08nblUkihrxltoGBjg/edit#gid=934712705"",""ESENCIAL!A6:BG""),18,FALSE))"),"")</f>
        <v/>
      </c>
      <c r="BJ212" s="19" t="str">
        <f t="shared" si="31"/>
        <v/>
      </c>
      <c r="BK212" s="41"/>
      <c r="BL212" s="41"/>
    </row>
    <row r="213" spans="1:64" ht="15">
      <c r="A213" s="4"/>
      <c r="B213" s="4"/>
      <c r="G213" s="5" t="str">
        <f ca="1">IFERROR(__xludf.DUMMYFUNCTION("IFERROR(VLOOKUP(F230,IMPORTRANGE(""https://docs.google.com/spreadsheets/d/1Kvs4KS76FHFqLFIZfrDMff4kP08nblUkihrxltoGBjg/edit#gid=934712705"",""ESENCIAL!A6:BG""),3,FALSE))"),"")</f>
        <v/>
      </c>
      <c r="H213" s="5" t="str">
        <f ca="1">IFERROR(__xludf.DUMMYFUNCTION("IFERROR(VLOOKUP(F230,IMPORTRANGE(""https://docs.google.com/spreadsheets/d/1Kvs4KS76FHFqLFIZfrDMff4kP08nblUkihrxltoGBjg/edit#gid=934712705"",""ESENCIAL!A6:BG""),8,FALSE))"),"")</f>
        <v/>
      </c>
      <c r="L213" s="287"/>
      <c r="S213"/>
      <c r="AU213" s="41" t="str">
        <f t="shared" si="28"/>
        <v/>
      </c>
      <c r="AV213" s="5" t="str">
        <f ca="1">IFERROR(__xludf.DUMMYFUNCTION("IFERROR(VLOOKUP(E230&amp;F230,IMPORTRANGE(""https://docs.google.com/spreadsheets/d/1Uw7-A9f9R21vMXxHZFNpYNeKFtG8_yji4HS352LGlSQ/edit?pli=1#gid=0"",""1_ACUM!A4:S""),11,FALSE))"),"")</f>
        <v/>
      </c>
      <c r="AW213" s="42" t="str">
        <f ca="1">IFERROR(__xludf.DUMMYFUNCTION("IFERROR(VLOOKUP(F230,IMPORTRANGE(""https://docs.google.com/spreadsheets/d/1Kvs4KS76FHFqLFIZfrDMff4kP08nblUkihrxltoGBjg/edit#gid=934712705"",""ESENCIAL!A6:BG""),15,FALSE))"),"")</f>
        <v/>
      </c>
      <c r="AX213" s="21" t="str">
        <f ca="1">IFERROR(__xludf.DUMMYFUNCTION("IFERROR(VLOOKUP(E230&amp;F230,IMPORTRANGE(""https://docs.google.com/spreadsheets/d/1Uw7-A9f9R21vMXxHZFNpYNeKFtG8_yji4HS352LGlSQ/edit?pli=1#gid=0"",""1_ACUM!A4:S""),12,FALSE))"),"")</f>
        <v/>
      </c>
      <c r="AY213" s="43" t="str">
        <f ca="1">IFERROR(__xludf.DUMMYFUNCTION("IFERROR(VLOOKUP(E230&amp;F230,IMPORTRANGE(""https://docs.google.com/spreadsheets/d/1Uw7-A9f9R21vMXxHZFNpYNeKFtG8_yji4HS352LGlSQ/edit?pli=1#gid=0"",""1_ACUM!A4:S""),13,FALSE))"),"")</f>
        <v/>
      </c>
      <c r="AZ213" s="43" t="str">
        <f ca="1">IFERROR(__xludf.DUMMYFUNCTION("IFERROR(VLOOKUP(E230&amp;F230,IMPORTRANGE(""https://docs.google.com/spreadsheets/d/1Uw7-A9f9R21vMXxHZFNpYNeKFtG8_yji4HS352LGlSQ/edit?pli=1#gid=0"",""1_ACUM!A4:S""),14,FALSE))"),"")</f>
        <v/>
      </c>
      <c r="BA213" s="43" t="str">
        <f ca="1">IFERROR(__xludf.DUMMYFUNCTION("IFERROR(VLOOKUP(E230&amp;F230,IMPORTRANGE(""https://docs.google.com/spreadsheets/d/1Uw7-A9f9R21vMXxHZFNpYNeKFtG8_yji4HS352LGlSQ/edit?pli=1#gid=0"",""1_ACUM!A4:S""),15,FALSE))"),"")</f>
        <v/>
      </c>
      <c r="BB213" s="43" t="str">
        <f ca="1">IFERROR(__xludf.DUMMYFUNCTION("IFERROR(VLOOKUP(E230&amp;F230,IMPORTRANGE(""https://docs.google.com/spreadsheets/d/1Uw7-A9f9R21vMXxHZFNpYNeKFtG8_yji4HS352LGlSQ/edit?pli=1#gid=0"",""1_ACUM!A4:S""),16,FALSE))"),"")</f>
        <v/>
      </c>
      <c r="BC213" s="43" t="str">
        <f ca="1">IFERROR(__xludf.DUMMYFUNCTION("IFERROR(VLOOKUP(E230&amp;F230,IMPORTRANGE(""https://docs.google.com/spreadsheets/d/1Uw7-A9f9R21vMXxHZFNpYNeKFtG8_yji4HS352LGlSQ/edit?pli=1#gid=0"",""1_ACUM!A4:S""),17,FALSE))"),"")</f>
        <v/>
      </c>
      <c r="BD213" s="44" t="str">
        <f ca="1">IFERROR(__xludf.DUMMYFUNCTION("IFERROR(VLOOKUP(E230&amp;F230,IMPORTRANGE(""https://docs.google.com/spreadsheets/d/1Uw7-A9f9R21vMXxHZFNpYNeKFtG8_yji4HS352LGlSQ/edit?pli=1#gid=0"",""1_ACUM!A4:S""),18,FALSE))"),"")</f>
        <v/>
      </c>
      <c r="BE213" s="44" t="str">
        <f ca="1">IFERROR(__xludf.DUMMYFUNCTION("IFERROR(VLOOKUP(E230&amp;F230,IMPORTRANGE(""https://docs.google.com/spreadsheets/d/1Uw7-A9f9R21vMXxHZFNpYNeKFtG8_yji4HS352LGlSQ/edit?pli=1#gid=0"",""1_ACUM!A4:S""),19,FALSE))"),"")</f>
        <v/>
      </c>
      <c r="BF213" s="44" t="str">
        <f ca="1">IFERROR(__xludf.DUMMYFUNCTION("IFERROR(VLOOKUP(F230,IMPORTRANGE(""https://docs.google.com/spreadsheets/d/1Kvs4KS76FHFqLFIZfrDMff4kP08nblUkihrxltoGBjg/edit#gid=934712705"",""ESENCIAL!A6:BG""),5,FALSE))"),"")</f>
        <v/>
      </c>
      <c r="BG213" s="44" t="str">
        <f t="shared" si="29"/>
        <v/>
      </c>
      <c r="BH213" s="41" t="str">
        <f t="shared" si="30"/>
        <v/>
      </c>
      <c r="BI213" s="41" t="str">
        <f ca="1">IFERROR(__xludf.DUMMYFUNCTION("IFERROR(VLOOKUP(F230,IMPORTRANGE(""https://docs.google.com/spreadsheets/d/1Kvs4KS76FHFqLFIZfrDMff4kP08nblUkihrxltoGBjg/edit#gid=934712705"",""ESENCIAL!A6:BG""),18,FALSE))"),"")</f>
        <v/>
      </c>
      <c r="BJ213" s="19" t="str">
        <f t="shared" si="31"/>
        <v/>
      </c>
      <c r="BK213" s="41"/>
      <c r="BL213" s="41"/>
    </row>
    <row r="214" spans="1:64" ht="15">
      <c r="A214" s="4"/>
      <c r="B214" s="4"/>
      <c r="G214" s="5" t="str">
        <f ca="1">IFERROR(__xludf.DUMMYFUNCTION("IFERROR(VLOOKUP(F231,IMPORTRANGE(""https://docs.google.com/spreadsheets/d/1Kvs4KS76FHFqLFIZfrDMff4kP08nblUkihrxltoGBjg/edit#gid=934712705"",""ESENCIAL!A6:BG""),3,FALSE))"),"")</f>
        <v/>
      </c>
      <c r="H214" s="5" t="str">
        <f ca="1">IFERROR(__xludf.DUMMYFUNCTION("IFERROR(VLOOKUP(F231,IMPORTRANGE(""https://docs.google.com/spreadsheets/d/1Kvs4KS76FHFqLFIZfrDMff4kP08nblUkihrxltoGBjg/edit#gid=934712705"",""ESENCIAL!A6:BG""),8,FALSE))"),"")</f>
        <v/>
      </c>
      <c r="L214" s="287"/>
      <c r="S214"/>
      <c r="AU214" s="41" t="str">
        <f t="shared" si="28"/>
        <v/>
      </c>
      <c r="AV214" s="5" t="str">
        <f ca="1">IFERROR(__xludf.DUMMYFUNCTION("IFERROR(VLOOKUP(E231&amp;F231,IMPORTRANGE(""https://docs.google.com/spreadsheets/d/1Uw7-A9f9R21vMXxHZFNpYNeKFtG8_yji4HS352LGlSQ/edit?pli=1#gid=0"",""1_ACUM!A4:S""),11,FALSE))"),"")</f>
        <v/>
      </c>
      <c r="AW214" s="42" t="str">
        <f ca="1">IFERROR(__xludf.DUMMYFUNCTION("IFERROR(VLOOKUP(F231,IMPORTRANGE(""https://docs.google.com/spreadsheets/d/1Kvs4KS76FHFqLFIZfrDMff4kP08nblUkihrxltoGBjg/edit#gid=934712705"",""ESENCIAL!A6:BG""),15,FALSE))"),"")</f>
        <v/>
      </c>
      <c r="AX214" s="21" t="str">
        <f ca="1">IFERROR(__xludf.DUMMYFUNCTION("IFERROR(VLOOKUP(E231&amp;F231,IMPORTRANGE(""https://docs.google.com/spreadsheets/d/1Uw7-A9f9R21vMXxHZFNpYNeKFtG8_yji4HS352LGlSQ/edit?pli=1#gid=0"",""1_ACUM!A4:S""),12,FALSE))"),"")</f>
        <v/>
      </c>
      <c r="AY214" s="43" t="str">
        <f ca="1">IFERROR(__xludf.DUMMYFUNCTION("IFERROR(VLOOKUP(E231&amp;F231,IMPORTRANGE(""https://docs.google.com/spreadsheets/d/1Uw7-A9f9R21vMXxHZFNpYNeKFtG8_yji4HS352LGlSQ/edit?pli=1#gid=0"",""1_ACUM!A4:S""),13,FALSE))"),"")</f>
        <v/>
      </c>
      <c r="AZ214" s="43" t="str">
        <f ca="1">IFERROR(__xludf.DUMMYFUNCTION("IFERROR(VLOOKUP(E231&amp;F231,IMPORTRANGE(""https://docs.google.com/spreadsheets/d/1Uw7-A9f9R21vMXxHZFNpYNeKFtG8_yji4HS352LGlSQ/edit?pli=1#gid=0"",""1_ACUM!A4:S""),14,FALSE))"),"")</f>
        <v/>
      </c>
      <c r="BA214" s="43" t="str">
        <f ca="1">IFERROR(__xludf.DUMMYFUNCTION("IFERROR(VLOOKUP(E231&amp;F231,IMPORTRANGE(""https://docs.google.com/spreadsheets/d/1Uw7-A9f9R21vMXxHZFNpYNeKFtG8_yji4HS352LGlSQ/edit?pli=1#gid=0"",""1_ACUM!A4:S""),15,FALSE))"),"")</f>
        <v/>
      </c>
      <c r="BB214" s="43" t="str">
        <f ca="1">IFERROR(__xludf.DUMMYFUNCTION("IFERROR(VLOOKUP(E231&amp;F231,IMPORTRANGE(""https://docs.google.com/spreadsheets/d/1Uw7-A9f9R21vMXxHZFNpYNeKFtG8_yji4HS352LGlSQ/edit?pli=1#gid=0"",""1_ACUM!A4:S""),16,FALSE))"),"")</f>
        <v/>
      </c>
      <c r="BC214" s="43" t="str">
        <f ca="1">IFERROR(__xludf.DUMMYFUNCTION("IFERROR(VLOOKUP(E231&amp;F231,IMPORTRANGE(""https://docs.google.com/spreadsheets/d/1Uw7-A9f9R21vMXxHZFNpYNeKFtG8_yji4HS352LGlSQ/edit?pli=1#gid=0"",""1_ACUM!A4:S""),17,FALSE))"),"")</f>
        <v/>
      </c>
      <c r="BD214" s="44" t="str">
        <f ca="1">IFERROR(__xludf.DUMMYFUNCTION("IFERROR(VLOOKUP(E231&amp;F231,IMPORTRANGE(""https://docs.google.com/spreadsheets/d/1Uw7-A9f9R21vMXxHZFNpYNeKFtG8_yji4HS352LGlSQ/edit?pli=1#gid=0"",""1_ACUM!A4:S""),18,FALSE))"),"")</f>
        <v/>
      </c>
      <c r="BE214" s="44" t="str">
        <f ca="1">IFERROR(__xludf.DUMMYFUNCTION("IFERROR(VLOOKUP(E231&amp;F231,IMPORTRANGE(""https://docs.google.com/spreadsheets/d/1Uw7-A9f9R21vMXxHZFNpYNeKFtG8_yji4HS352LGlSQ/edit?pli=1#gid=0"",""1_ACUM!A4:S""),19,FALSE))"),"")</f>
        <v/>
      </c>
      <c r="BF214" s="44" t="str">
        <f ca="1">IFERROR(__xludf.DUMMYFUNCTION("IFERROR(VLOOKUP(F231,IMPORTRANGE(""https://docs.google.com/spreadsheets/d/1Kvs4KS76FHFqLFIZfrDMff4kP08nblUkihrxltoGBjg/edit#gid=934712705"",""ESENCIAL!A6:BG""),5,FALSE))"),"")</f>
        <v/>
      </c>
      <c r="BG214" s="44" t="str">
        <f t="shared" si="29"/>
        <v/>
      </c>
      <c r="BH214" s="41" t="str">
        <f t="shared" si="30"/>
        <v/>
      </c>
      <c r="BI214" s="41" t="str">
        <f ca="1">IFERROR(__xludf.DUMMYFUNCTION("IFERROR(VLOOKUP(F231,IMPORTRANGE(""https://docs.google.com/spreadsheets/d/1Kvs4KS76FHFqLFIZfrDMff4kP08nblUkihrxltoGBjg/edit#gid=934712705"",""ESENCIAL!A6:BG""),18,FALSE))"),"")</f>
        <v/>
      </c>
      <c r="BJ214" s="19" t="str">
        <f t="shared" si="31"/>
        <v/>
      </c>
      <c r="BK214" s="41"/>
      <c r="BL214" s="41"/>
    </row>
    <row r="215" spans="1:64" ht="15">
      <c r="A215" s="4"/>
      <c r="B215" s="4"/>
      <c r="G215" s="5" t="str">
        <f ca="1">IFERROR(__xludf.DUMMYFUNCTION("IFERROR(VLOOKUP(F232,IMPORTRANGE(""https://docs.google.com/spreadsheets/d/1Kvs4KS76FHFqLFIZfrDMff4kP08nblUkihrxltoGBjg/edit#gid=934712705"",""ESENCIAL!A6:BG""),3,FALSE))"),"")</f>
        <v/>
      </c>
      <c r="H215" s="5" t="str">
        <f ca="1">IFERROR(__xludf.DUMMYFUNCTION("IFERROR(VLOOKUP(F232,IMPORTRANGE(""https://docs.google.com/spreadsheets/d/1Kvs4KS76FHFqLFIZfrDMff4kP08nblUkihrxltoGBjg/edit#gid=934712705"",""ESENCIAL!A6:BG""),8,FALSE))"),"")</f>
        <v/>
      </c>
      <c r="L215" s="287"/>
      <c r="S215"/>
      <c r="AU215" s="41" t="str">
        <f t="shared" si="28"/>
        <v/>
      </c>
      <c r="AV215" s="5" t="str">
        <f ca="1">IFERROR(__xludf.DUMMYFUNCTION("IFERROR(VLOOKUP(E232&amp;F232,IMPORTRANGE(""https://docs.google.com/spreadsheets/d/1Uw7-A9f9R21vMXxHZFNpYNeKFtG8_yji4HS352LGlSQ/edit?pli=1#gid=0"",""1_ACUM!A4:S""),11,FALSE))"),"")</f>
        <v/>
      </c>
      <c r="AW215" s="42" t="str">
        <f ca="1">IFERROR(__xludf.DUMMYFUNCTION("IFERROR(VLOOKUP(F232,IMPORTRANGE(""https://docs.google.com/spreadsheets/d/1Kvs4KS76FHFqLFIZfrDMff4kP08nblUkihrxltoGBjg/edit#gid=934712705"",""ESENCIAL!A6:BG""),15,FALSE))"),"")</f>
        <v/>
      </c>
      <c r="AX215" s="21" t="str">
        <f ca="1">IFERROR(__xludf.DUMMYFUNCTION("IFERROR(VLOOKUP(E232&amp;F232,IMPORTRANGE(""https://docs.google.com/spreadsheets/d/1Uw7-A9f9R21vMXxHZFNpYNeKFtG8_yji4HS352LGlSQ/edit?pli=1#gid=0"",""1_ACUM!A4:S""),12,FALSE))"),"")</f>
        <v/>
      </c>
      <c r="AY215" s="43" t="str">
        <f ca="1">IFERROR(__xludf.DUMMYFUNCTION("IFERROR(VLOOKUP(E232&amp;F232,IMPORTRANGE(""https://docs.google.com/spreadsheets/d/1Uw7-A9f9R21vMXxHZFNpYNeKFtG8_yji4HS352LGlSQ/edit?pli=1#gid=0"",""1_ACUM!A4:S""),13,FALSE))"),"")</f>
        <v/>
      </c>
      <c r="AZ215" s="43" t="str">
        <f ca="1">IFERROR(__xludf.DUMMYFUNCTION("IFERROR(VLOOKUP(E232&amp;F232,IMPORTRANGE(""https://docs.google.com/spreadsheets/d/1Uw7-A9f9R21vMXxHZFNpYNeKFtG8_yji4HS352LGlSQ/edit?pli=1#gid=0"",""1_ACUM!A4:S""),14,FALSE))"),"")</f>
        <v/>
      </c>
      <c r="BA215" s="43" t="str">
        <f ca="1">IFERROR(__xludf.DUMMYFUNCTION("IFERROR(VLOOKUP(E232&amp;F232,IMPORTRANGE(""https://docs.google.com/spreadsheets/d/1Uw7-A9f9R21vMXxHZFNpYNeKFtG8_yji4HS352LGlSQ/edit?pli=1#gid=0"",""1_ACUM!A4:S""),15,FALSE))"),"")</f>
        <v/>
      </c>
      <c r="BB215" s="43" t="str">
        <f ca="1">IFERROR(__xludf.DUMMYFUNCTION("IFERROR(VLOOKUP(E232&amp;F232,IMPORTRANGE(""https://docs.google.com/spreadsheets/d/1Uw7-A9f9R21vMXxHZFNpYNeKFtG8_yji4HS352LGlSQ/edit?pli=1#gid=0"",""1_ACUM!A4:S""),16,FALSE))"),"")</f>
        <v/>
      </c>
      <c r="BC215" s="43" t="str">
        <f ca="1">IFERROR(__xludf.DUMMYFUNCTION("IFERROR(VLOOKUP(E232&amp;F232,IMPORTRANGE(""https://docs.google.com/spreadsheets/d/1Uw7-A9f9R21vMXxHZFNpYNeKFtG8_yji4HS352LGlSQ/edit?pli=1#gid=0"",""1_ACUM!A4:S""),17,FALSE))"),"")</f>
        <v/>
      </c>
      <c r="BD215" s="44" t="str">
        <f ca="1">IFERROR(__xludf.DUMMYFUNCTION("IFERROR(VLOOKUP(E232&amp;F232,IMPORTRANGE(""https://docs.google.com/spreadsheets/d/1Uw7-A9f9R21vMXxHZFNpYNeKFtG8_yji4HS352LGlSQ/edit?pli=1#gid=0"",""1_ACUM!A4:S""),18,FALSE))"),"")</f>
        <v/>
      </c>
      <c r="BE215" s="44" t="str">
        <f ca="1">IFERROR(__xludf.DUMMYFUNCTION("IFERROR(VLOOKUP(E232&amp;F232,IMPORTRANGE(""https://docs.google.com/spreadsheets/d/1Uw7-A9f9R21vMXxHZFNpYNeKFtG8_yji4HS352LGlSQ/edit?pli=1#gid=0"",""1_ACUM!A4:S""),19,FALSE))"),"")</f>
        <v/>
      </c>
      <c r="BF215" s="44" t="str">
        <f ca="1">IFERROR(__xludf.DUMMYFUNCTION("IFERROR(VLOOKUP(F232,IMPORTRANGE(""https://docs.google.com/spreadsheets/d/1Kvs4KS76FHFqLFIZfrDMff4kP08nblUkihrxltoGBjg/edit#gid=934712705"",""ESENCIAL!A6:BG""),5,FALSE))"),"")</f>
        <v/>
      </c>
      <c r="BG215" s="44" t="str">
        <f t="shared" si="29"/>
        <v/>
      </c>
      <c r="BH215" s="41" t="str">
        <f t="shared" si="30"/>
        <v/>
      </c>
      <c r="BI215" s="41" t="str">
        <f ca="1">IFERROR(__xludf.DUMMYFUNCTION("IFERROR(VLOOKUP(F232,IMPORTRANGE(""https://docs.google.com/spreadsheets/d/1Kvs4KS76FHFqLFIZfrDMff4kP08nblUkihrxltoGBjg/edit#gid=934712705"",""ESENCIAL!A6:BG""),18,FALSE))"),"")</f>
        <v/>
      </c>
      <c r="BJ215" s="19" t="str">
        <f t="shared" si="31"/>
        <v/>
      </c>
      <c r="BK215" s="41"/>
      <c r="BL215" s="41"/>
    </row>
    <row r="216" spans="1:64" ht="15">
      <c r="A216" s="4"/>
      <c r="B216" s="4"/>
      <c r="G216" s="5" t="str">
        <f ca="1">IFERROR(__xludf.DUMMYFUNCTION("IFERROR(VLOOKUP(F233,IMPORTRANGE(""https://docs.google.com/spreadsheets/d/1Kvs4KS76FHFqLFIZfrDMff4kP08nblUkihrxltoGBjg/edit#gid=934712705"",""ESENCIAL!A6:BG""),3,FALSE))"),"")</f>
        <v/>
      </c>
      <c r="H216" s="5" t="str">
        <f ca="1">IFERROR(__xludf.DUMMYFUNCTION("IFERROR(VLOOKUP(F233,IMPORTRANGE(""https://docs.google.com/spreadsheets/d/1Kvs4KS76FHFqLFIZfrDMff4kP08nblUkihrxltoGBjg/edit#gid=934712705"",""ESENCIAL!A6:BG""),8,FALSE))"),"")</f>
        <v/>
      </c>
      <c r="L216" s="287"/>
      <c r="S216"/>
      <c r="AU216" s="41" t="str">
        <f t="shared" si="28"/>
        <v/>
      </c>
      <c r="AV216" s="5" t="str">
        <f ca="1">IFERROR(__xludf.DUMMYFUNCTION("IFERROR(VLOOKUP(E233&amp;F233,IMPORTRANGE(""https://docs.google.com/spreadsheets/d/1Uw7-A9f9R21vMXxHZFNpYNeKFtG8_yji4HS352LGlSQ/edit?pli=1#gid=0"",""1_ACUM!A4:S""),11,FALSE))"),"")</f>
        <v/>
      </c>
      <c r="AW216" s="42" t="str">
        <f ca="1">IFERROR(__xludf.DUMMYFUNCTION("IFERROR(VLOOKUP(F233,IMPORTRANGE(""https://docs.google.com/spreadsheets/d/1Kvs4KS76FHFqLFIZfrDMff4kP08nblUkihrxltoGBjg/edit#gid=934712705"",""ESENCIAL!A6:BG""),15,FALSE))"),"")</f>
        <v/>
      </c>
      <c r="AX216" s="21" t="str">
        <f ca="1">IFERROR(__xludf.DUMMYFUNCTION("IFERROR(VLOOKUP(E233&amp;F233,IMPORTRANGE(""https://docs.google.com/spreadsheets/d/1Uw7-A9f9R21vMXxHZFNpYNeKFtG8_yji4HS352LGlSQ/edit?pli=1#gid=0"",""1_ACUM!A4:S""),12,FALSE))"),"")</f>
        <v/>
      </c>
      <c r="AY216" s="43" t="str">
        <f ca="1">IFERROR(__xludf.DUMMYFUNCTION("IFERROR(VLOOKUP(E233&amp;F233,IMPORTRANGE(""https://docs.google.com/spreadsheets/d/1Uw7-A9f9R21vMXxHZFNpYNeKFtG8_yji4HS352LGlSQ/edit?pli=1#gid=0"",""1_ACUM!A4:S""),13,FALSE))"),"")</f>
        <v/>
      </c>
      <c r="AZ216" s="43" t="str">
        <f ca="1">IFERROR(__xludf.DUMMYFUNCTION("IFERROR(VLOOKUP(E233&amp;F233,IMPORTRANGE(""https://docs.google.com/spreadsheets/d/1Uw7-A9f9R21vMXxHZFNpYNeKFtG8_yji4HS352LGlSQ/edit?pli=1#gid=0"",""1_ACUM!A4:S""),14,FALSE))"),"")</f>
        <v/>
      </c>
      <c r="BA216" s="43" t="str">
        <f ca="1">IFERROR(__xludf.DUMMYFUNCTION("IFERROR(VLOOKUP(E233&amp;F233,IMPORTRANGE(""https://docs.google.com/spreadsheets/d/1Uw7-A9f9R21vMXxHZFNpYNeKFtG8_yji4HS352LGlSQ/edit?pli=1#gid=0"",""1_ACUM!A4:S""),15,FALSE))"),"")</f>
        <v/>
      </c>
      <c r="BB216" s="43" t="str">
        <f ca="1">IFERROR(__xludf.DUMMYFUNCTION("IFERROR(VLOOKUP(E233&amp;F233,IMPORTRANGE(""https://docs.google.com/spreadsheets/d/1Uw7-A9f9R21vMXxHZFNpYNeKFtG8_yji4HS352LGlSQ/edit?pli=1#gid=0"",""1_ACUM!A4:S""),16,FALSE))"),"")</f>
        <v/>
      </c>
      <c r="BC216" s="43" t="str">
        <f ca="1">IFERROR(__xludf.DUMMYFUNCTION("IFERROR(VLOOKUP(E233&amp;F233,IMPORTRANGE(""https://docs.google.com/spreadsheets/d/1Uw7-A9f9R21vMXxHZFNpYNeKFtG8_yji4HS352LGlSQ/edit?pli=1#gid=0"",""1_ACUM!A4:S""),17,FALSE))"),"")</f>
        <v/>
      </c>
      <c r="BD216" s="44" t="str">
        <f ca="1">IFERROR(__xludf.DUMMYFUNCTION("IFERROR(VLOOKUP(E233&amp;F233,IMPORTRANGE(""https://docs.google.com/spreadsheets/d/1Uw7-A9f9R21vMXxHZFNpYNeKFtG8_yji4HS352LGlSQ/edit?pli=1#gid=0"",""1_ACUM!A4:S""),18,FALSE))"),"")</f>
        <v/>
      </c>
      <c r="BE216" s="44" t="str">
        <f ca="1">IFERROR(__xludf.DUMMYFUNCTION("IFERROR(VLOOKUP(E233&amp;F233,IMPORTRANGE(""https://docs.google.com/spreadsheets/d/1Uw7-A9f9R21vMXxHZFNpYNeKFtG8_yji4HS352LGlSQ/edit?pli=1#gid=0"",""1_ACUM!A4:S""),19,FALSE))"),"")</f>
        <v/>
      </c>
      <c r="BF216" s="44" t="str">
        <f ca="1">IFERROR(__xludf.DUMMYFUNCTION("IFERROR(VLOOKUP(F233,IMPORTRANGE(""https://docs.google.com/spreadsheets/d/1Kvs4KS76FHFqLFIZfrDMff4kP08nblUkihrxltoGBjg/edit#gid=934712705"",""ESENCIAL!A6:BG""),5,FALSE))"),"")</f>
        <v/>
      </c>
      <c r="BG216" s="44" t="str">
        <f t="shared" si="29"/>
        <v/>
      </c>
      <c r="BH216" s="41" t="str">
        <f t="shared" si="30"/>
        <v/>
      </c>
      <c r="BI216" s="41" t="str">
        <f ca="1">IFERROR(__xludf.DUMMYFUNCTION("IFERROR(VLOOKUP(F233,IMPORTRANGE(""https://docs.google.com/spreadsheets/d/1Kvs4KS76FHFqLFIZfrDMff4kP08nblUkihrxltoGBjg/edit#gid=934712705"",""ESENCIAL!A6:BG""),18,FALSE))"),"")</f>
        <v/>
      </c>
      <c r="BJ216" s="19" t="str">
        <f t="shared" si="31"/>
        <v/>
      </c>
      <c r="BK216" s="41"/>
      <c r="BL216" s="41"/>
    </row>
    <row r="217" spans="1:64" ht="15">
      <c r="A217" s="4"/>
      <c r="B217" s="4"/>
      <c r="G217" s="5" t="str">
        <f ca="1">IFERROR(__xludf.DUMMYFUNCTION("IFERROR(VLOOKUP(F234,IMPORTRANGE(""https://docs.google.com/spreadsheets/d/1Kvs4KS76FHFqLFIZfrDMff4kP08nblUkihrxltoGBjg/edit#gid=934712705"",""ESENCIAL!A6:BG""),3,FALSE))"),"")</f>
        <v/>
      </c>
      <c r="H217" s="5" t="str">
        <f ca="1">IFERROR(__xludf.DUMMYFUNCTION("IFERROR(VLOOKUP(F234,IMPORTRANGE(""https://docs.google.com/spreadsheets/d/1Kvs4KS76FHFqLFIZfrDMff4kP08nblUkihrxltoGBjg/edit#gid=934712705"",""ESENCIAL!A6:BG""),8,FALSE))"),"")</f>
        <v/>
      </c>
      <c r="L217" s="287"/>
      <c r="S217"/>
      <c r="AU217" s="41" t="str">
        <f t="shared" si="28"/>
        <v/>
      </c>
      <c r="AV217" s="5" t="str">
        <f ca="1">IFERROR(__xludf.DUMMYFUNCTION("IFERROR(VLOOKUP(E234&amp;F234,IMPORTRANGE(""https://docs.google.com/spreadsheets/d/1Uw7-A9f9R21vMXxHZFNpYNeKFtG8_yji4HS352LGlSQ/edit?pli=1#gid=0"",""1_ACUM!A4:S""),11,FALSE))"),"")</f>
        <v/>
      </c>
      <c r="AW217" s="42" t="str">
        <f ca="1">IFERROR(__xludf.DUMMYFUNCTION("IFERROR(VLOOKUP(F234,IMPORTRANGE(""https://docs.google.com/spreadsheets/d/1Kvs4KS76FHFqLFIZfrDMff4kP08nblUkihrxltoGBjg/edit#gid=934712705"",""ESENCIAL!A6:BG""),15,FALSE))"),"")</f>
        <v/>
      </c>
      <c r="AX217" s="21" t="str">
        <f ca="1">IFERROR(__xludf.DUMMYFUNCTION("IFERROR(VLOOKUP(E234&amp;F234,IMPORTRANGE(""https://docs.google.com/spreadsheets/d/1Uw7-A9f9R21vMXxHZFNpYNeKFtG8_yji4HS352LGlSQ/edit?pli=1#gid=0"",""1_ACUM!A4:S""),12,FALSE))"),"")</f>
        <v/>
      </c>
      <c r="AY217" s="43" t="str">
        <f ca="1">IFERROR(__xludf.DUMMYFUNCTION("IFERROR(VLOOKUP(E234&amp;F234,IMPORTRANGE(""https://docs.google.com/spreadsheets/d/1Uw7-A9f9R21vMXxHZFNpYNeKFtG8_yji4HS352LGlSQ/edit?pli=1#gid=0"",""1_ACUM!A4:S""),13,FALSE))"),"")</f>
        <v/>
      </c>
      <c r="AZ217" s="43" t="str">
        <f ca="1">IFERROR(__xludf.DUMMYFUNCTION("IFERROR(VLOOKUP(E234&amp;F234,IMPORTRANGE(""https://docs.google.com/spreadsheets/d/1Uw7-A9f9R21vMXxHZFNpYNeKFtG8_yji4HS352LGlSQ/edit?pli=1#gid=0"",""1_ACUM!A4:S""),14,FALSE))"),"")</f>
        <v/>
      </c>
      <c r="BA217" s="43" t="str">
        <f ca="1">IFERROR(__xludf.DUMMYFUNCTION("IFERROR(VLOOKUP(E234&amp;F234,IMPORTRANGE(""https://docs.google.com/spreadsheets/d/1Uw7-A9f9R21vMXxHZFNpYNeKFtG8_yji4HS352LGlSQ/edit?pli=1#gid=0"",""1_ACUM!A4:S""),15,FALSE))"),"")</f>
        <v/>
      </c>
      <c r="BB217" s="43" t="str">
        <f ca="1">IFERROR(__xludf.DUMMYFUNCTION("IFERROR(VLOOKUP(E234&amp;F234,IMPORTRANGE(""https://docs.google.com/spreadsheets/d/1Uw7-A9f9R21vMXxHZFNpYNeKFtG8_yji4HS352LGlSQ/edit?pli=1#gid=0"",""1_ACUM!A4:S""),16,FALSE))"),"")</f>
        <v/>
      </c>
      <c r="BC217" s="43" t="str">
        <f ca="1">IFERROR(__xludf.DUMMYFUNCTION("IFERROR(VLOOKUP(E234&amp;F234,IMPORTRANGE(""https://docs.google.com/spreadsheets/d/1Uw7-A9f9R21vMXxHZFNpYNeKFtG8_yji4HS352LGlSQ/edit?pli=1#gid=0"",""1_ACUM!A4:S""),17,FALSE))"),"")</f>
        <v/>
      </c>
      <c r="BD217" s="44" t="str">
        <f ca="1">IFERROR(__xludf.DUMMYFUNCTION("IFERROR(VLOOKUP(E234&amp;F234,IMPORTRANGE(""https://docs.google.com/spreadsheets/d/1Uw7-A9f9R21vMXxHZFNpYNeKFtG8_yji4HS352LGlSQ/edit?pli=1#gid=0"",""1_ACUM!A4:S""),18,FALSE))"),"")</f>
        <v/>
      </c>
      <c r="BE217" s="44" t="str">
        <f ca="1">IFERROR(__xludf.DUMMYFUNCTION("IFERROR(VLOOKUP(E234&amp;F234,IMPORTRANGE(""https://docs.google.com/spreadsheets/d/1Uw7-A9f9R21vMXxHZFNpYNeKFtG8_yji4HS352LGlSQ/edit?pli=1#gid=0"",""1_ACUM!A4:S""),19,FALSE))"),"")</f>
        <v/>
      </c>
      <c r="BF217" s="44" t="str">
        <f ca="1">IFERROR(__xludf.DUMMYFUNCTION("IFERROR(VLOOKUP(F234,IMPORTRANGE(""https://docs.google.com/spreadsheets/d/1Kvs4KS76FHFqLFIZfrDMff4kP08nblUkihrxltoGBjg/edit#gid=934712705"",""ESENCIAL!A6:BG""),5,FALSE))"),"")</f>
        <v/>
      </c>
      <c r="BG217" s="44" t="str">
        <f t="shared" si="29"/>
        <v/>
      </c>
      <c r="BH217" s="41" t="str">
        <f t="shared" si="30"/>
        <v/>
      </c>
      <c r="BI217" s="41" t="str">
        <f ca="1">IFERROR(__xludf.DUMMYFUNCTION("IFERROR(VLOOKUP(F234,IMPORTRANGE(""https://docs.google.com/spreadsheets/d/1Kvs4KS76FHFqLFIZfrDMff4kP08nblUkihrxltoGBjg/edit#gid=934712705"",""ESENCIAL!A6:BG""),18,FALSE))"),"")</f>
        <v/>
      </c>
      <c r="BJ217" s="19" t="str">
        <f t="shared" si="31"/>
        <v/>
      </c>
      <c r="BK217" s="41"/>
      <c r="BL217" s="41"/>
    </row>
    <row r="218" spans="1:64" ht="15">
      <c r="A218" s="4"/>
      <c r="B218" s="4"/>
      <c r="G218" s="5" t="str">
        <f ca="1">IFERROR(__xludf.DUMMYFUNCTION("IFERROR(VLOOKUP(F235,IMPORTRANGE(""https://docs.google.com/spreadsheets/d/1Kvs4KS76FHFqLFIZfrDMff4kP08nblUkihrxltoGBjg/edit#gid=934712705"",""ESENCIAL!A6:BG""),3,FALSE))"),"")</f>
        <v/>
      </c>
      <c r="H218" s="5" t="str">
        <f ca="1">IFERROR(__xludf.DUMMYFUNCTION("IFERROR(VLOOKUP(F235,IMPORTRANGE(""https://docs.google.com/spreadsheets/d/1Kvs4KS76FHFqLFIZfrDMff4kP08nblUkihrxltoGBjg/edit#gid=934712705"",""ESENCIAL!A6:BG""),8,FALSE))"),"")</f>
        <v/>
      </c>
      <c r="L218" s="287"/>
      <c r="S218"/>
      <c r="AU218" s="41" t="str">
        <f t="shared" ref="AU218:AU240" si="32">IF(E218&gt;0,IF(AND(BC218=1,AZ218=1),"Procede_E_P","NO_CUMPLE"),"")</f>
        <v/>
      </c>
      <c r="AV218" s="5" t="str">
        <f ca="1">IFERROR(__xludf.DUMMYFUNCTION("IFERROR(VLOOKUP(E235&amp;F235,IMPORTRANGE(""https://docs.google.com/spreadsheets/d/1Uw7-A9f9R21vMXxHZFNpYNeKFtG8_yji4HS352LGlSQ/edit?pli=1#gid=0"",""1_ACUM!A4:S""),11,FALSE))"),"")</f>
        <v/>
      </c>
      <c r="AW218" s="42" t="str">
        <f ca="1">IFERROR(__xludf.DUMMYFUNCTION("IFERROR(VLOOKUP(F235,IMPORTRANGE(""https://docs.google.com/spreadsheets/d/1Kvs4KS76FHFqLFIZfrDMff4kP08nblUkihrxltoGBjg/edit#gid=934712705"",""ESENCIAL!A6:BG""),15,FALSE))"),"")</f>
        <v/>
      </c>
      <c r="AX218" s="21" t="str">
        <f ca="1">IFERROR(__xludf.DUMMYFUNCTION("IFERROR(VLOOKUP(E235&amp;F235,IMPORTRANGE(""https://docs.google.com/spreadsheets/d/1Uw7-A9f9R21vMXxHZFNpYNeKFtG8_yji4HS352LGlSQ/edit?pli=1#gid=0"",""1_ACUM!A4:S""),12,FALSE))"),"")</f>
        <v/>
      </c>
      <c r="AY218" s="43" t="str">
        <f ca="1">IFERROR(__xludf.DUMMYFUNCTION("IFERROR(VLOOKUP(E235&amp;F235,IMPORTRANGE(""https://docs.google.com/spreadsheets/d/1Uw7-A9f9R21vMXxHZFNpYNeKFtG8_yji4HS352LGlSQ/edit?pli=1#gid=0"",""1_ACUM!A4:S""),13,FALSE))"),"")</f>
        <v/>
      </c>
      <c r="AZ218" s="43" t="str">
        <f ca="1">IFERROR(__xludf.DUMMYFUNCTION("IFERROR(VLOOKUP(E235&amp;F235,IMPORTRANGE(""https://docs.google.com/spreadsheets/d/1Uw7-A9f9R21vMXxHZFNpYNeKFtG8_yji4HS352LGlSQ/edit?pli=1#gid=0"",""1_ACUM!A4:S""),14,FALSE))"),"")</f>
        <v/>
      </c>
      <c r="BA218" s="43" t="str">
        <f ca="1">IFERROR(__xludf.DUMMYFUNCTION("IFERROR(VLOOKUP(E235&amp;F235,IMPORTRANGE(""https://docs.google.com/spreadsheets/d/1Uw7-A9f9R21vMXxHZFNpYNeKFtG8_yji4HS352LGlSQ/edit?pli=1#gid=0"",""1_ACUM!A4:S""),15,FALSE))"),"")</f>
        <v/>
      </c>
      <c r="BB218" s="43" t="str">
        <f ca="1">IFERROR(__xludf.DUMMYFUNCTION("IFERROR(VLOOKUP(E235&amp;F235,IMPORTRANGE(""https://docs.google.com/spreadsheets/d/1Uw7-A9f9R21vMXxHZFNpYNeKFtG8_yji4HS352LGlSQ/edit?pli=1#gid=0"",""1_ACUM!A4:S""),16,FALSE))"),"")</f>
        <v/>
      </c>
      <c r="BC218" s="43" t="str">
        <f ca="1">IFERROR(__xludf.DUMMYFUNCTION("IFERROR(VLOOKUP(E235&amp;F235,IMPORTRANGE(""https://docs.google.com/spreadsheets/d/1Uw7-A9f9R21vMXxHZFNpYNeKFtG8_yji4HS352LGlSQ/edit?pli=1#gid=0"",""1_ACUM!A4:S""),17,FALSE))"),"")</f>
        <v/>
      </c>
      <c r="BD218" s="44" t="str">
        <f ca="1">IFERROR(__xludf.DUMMYFUNCTION("IFERROR(VLOOKUP(E235&amp;F235,IMPORTRANGE(""https://docs.google.com/spreadsheets/d/1Uw7-A9f9R21vMXxHZFNpYNeKFtG8_yji4HS352LGlSQ/edit?pli=1#gid=0"",""1_ACUM!A4:S""),18,FALSE))"),"")</f>
        <v/>
      </c>
      <c r="BE218" s="44" t="str">
        <f ca="1">IFERROR(__xludf.DUMMYFUNCTION("IFERROR(VLOOKUP(E235&amp;F235,IMPORTRANGE(""https://docs.google.com/spreadsheets/d/1Uw7-A9f9R21vMXxHZFNpYNeKFtG8_yji4HS352LGlSQ/edit?pli=1#gid=0"",""1_ACUM!A4:S""),19,FALSE))"),"")</f>
        <v/>
      </c>
      <c r="BF218" s="44" t="str">
        <f ca="1">IFERROR(__xludf.DUMMYFUNCTION("IFERROR(VLOOKUP(F235,IMPORTRANGE(""https://docs.google.com/spreadsheets/d/1Kvs4KS76FHFqLFIZfrDMff4kP08nblUkihrxltoGBjg/edit#gid=934712705"",""ESENCIAL!A6:BG""),5,FALSE))"),"")</f>
        <v/>
      </c>
      <c r="BG218" s="44" t="str">
        <f t="shared" ref="BG218:BG240" si="33">IF(F218&gt;0,EDATE(BF218,18),"")</f>
        <v/>
      </c>
      <c r="BH218" s="41" t="str">
        <f t="shared" ref="BH218:BH240" si="34">IF(F218&gt;0,IF(BG218&lt;$BH$1,"FINALIZAR FICHA","FICHA EN TIEMPO-18 MESES"),"")</f>
        <v/>
      </c>
      <c r="BI218" s="41" t="str">
        <f ca="1">IFERROR(__xludf.DUMMYFUNCTION("IFERROR(VLOOKUP(F235,IMPORTRANGE(""https://docs.google.com/spreadsheets/d/1Kvs4KS76FHFqLFIZfrDMff4kP08nblUkihrxltoGBjg/edit#gid=934712705"",""ESENCIAL!A6:BG""),18,FALSE))"),"")</f>
        <v/>
      </c>
      <c r="BJ218" s="19" t="str">
        <f t="shared" ref="BJ218:BJ240" si="35">IF(F218&gt;0,"Yamboro","")</f>
        <v/>
      </c>
      <c r="BK218" s="41"/>
      <c r="BL218" s="41"/>
    </row>
    <row r="219" spans="1:64" ht="15">
      <c r="A219" s="4"/>
      <c r="B219" s="4"/>
      <c r="G219" s="5" t="str">
        <f ca="1">IFERROR(__xludf.DUMMYFUNCTION("IFERROR(VLOOKUP(F236,IMPORTRANGE(""https://docs.google.com/spreadsheets/d/1Kvs4KS76FHFqLFIZfrDMff4kP08nblUkihrxltoGBjg/edit#gid=934712705"",""ESENCIAL!A6:BG""),3,FALSE))"),"")</f>
        <v/>
      </c>
      <c r="H219" s="5" t="str">
        <f ca="1">IFERROR(__xludf.DUMMYFUNCTION("IFERROR(VLOOKUP(F236,IMPORTRANGE(""https://docs.google.com/spreadsheets/d/1Kvs4KS76FHFqLFIZfrDMff4kP08nblUkihrxltoGBjg/edit#gid=934712705"",""ESENCIAL!A6:BG""),8,FALSE))"),"")</f>
        <v/>
      </c>
      <c r="L219" s="287"/>
      <c r="S219"/>
      <c r="AU219" s="41" t="str">
        <f t="shared" si="32"/>
        <v/>
      </c>
      <c r="AV219" s="5" t="str">
        <f ca="1">IFERROR(__xludf.DUMMYFUNCTION("IFERROR(VLOOKUP(E236&amp;F236,IMPORTRANGE(""https://docs.google.com/spreadsheets/d/1Uw7-A9f9R21vMXxHZFNpYNeKFtG8_yji4HS352LGlSQ/edit?pli=1#gid=0"",""1_ACUM!A4:S""),11,FALSE))"),"")</f>
        <v/>
      </c>
      <c r="AW219" s="42" t="str">
        <f ca="1">IFERROR(__xludf.DUMMYFUNCTION("IFERROR(VLOOKUP(F236,IMPORTRANGE(""https://docs.google.com/spreadsheets/d/1Kvs4KS76FHFqLFIZfrDMff4kP08nblUkihrxltoGBjg/edit#gid=934712705"",""ESENCIAL!A6:BG""),15,FALSE))"),"")</f>
        <v/>
      </c>
      <c r="AX219" s="21" t="str">
        <f ca="1">IFERROR(__xludf.DUMMYFUNCTION("IFERROR(VLOOKUP(E236&amp;F236,IMPORTRANGE(""https://docs.google.com/spreadsheets/d/1Uw7-A9f9R21vMXxHZFNpYNeKFtG8_yji4HS352LGlSQ/edit?pli=1#gid=0"",""1_ACUM!A4:S""),12,FALSE))"),"")</f>
        <v/>
      </c>
      <c r="AY219" s="43" t="str">
        <f ca="1">IFERROR(__xludf.DUMMYFUNCTION("IFERROR(VLOOKUP(E236&amp;F236,IMPORTRANGE(""https://docs.google.com/spreadsheets/d/1Uw7-A9f9R21vMXxHZFNpYNeKFtG8_yji4HS352LGlSQ/edit?pli=1#gid=0"",""1_ACUM!A4:S""),13,FALSE))"),"")</f>
        <v/>
      </c>
      <c r="AZ219" s="43" t="str">
        <f ca="1">IFERROR(__xludf.DUMMYFUNCTION("IFERROR(VLOOKUP(E236&amp;F236,IMPORTRANGE(""https://docs.google.com/spreadsheets/d/1Uw7-A9f9R21vMXxHZFNpYNeKFtG8_yji4HS352LGlSQ/edit?pli=1#gid=0"",""1_ACUM!A4:S""),14,FALSE))"),"")</f>
        <v/>
      </c>
      <c r="BA219" s="43" t="str">
        <f ca="1">IFERROR(__xludf.DUMMYFUNCTION("IFERROR(VLOOKUP(E236&amp;F236,IMPORTRANGE(""https://docs.google.com/spreadsheets/d/1Uw7-A9f9R21vMXxHZFNpYNeKFtG8_yji4HS352LGlSQ/edit?pli=1#gid=0"",""1_ACUM!A4:S""),15,FALSE))"),"")</f>
        <v/>
      </c>
      <c r="BB219" s="43" t="str">
        <f ca="1">IFERROR(__xludf.DUMMYFUNCTION("IFERROR(VLOOKUP(E236&amp;F236,IMPORTRANGE(""https://docs.google.com/spreadsheets/d/1Uw7-A9f9R21vMXxHZFNpYNeKFtG8_yji4HS352LGlSQ/edit?pli=1#gid=0"",""1_ACUM!A4:S""),16,FALSE))"),"")</f>
        <v/>
      </c>
      <c r="BC219" s="43" t="str">
        <f ca="1">IFERROR(__xludf.DUMMYFUNCTION("IFERROR(VLOOKUP(E236&amp;F236,IMPORTRANGE(""https://docs.google.com/spreadsheets/d/1Uw7-A9f9R21vMXxHZFNpYNeKFtG8_yji4HS352LGlSQ/edit?pli=1#gid=0"",""1_ACUM!A4:S""),17,FALSE))"),"")</f>
        <v/>
      </c>
      <c r="BD219" s="44" t="str">
        <f ca="1">IFERROR(__xludf.DUMMYFUNCTION("IFERROR(VLOOKUP(E236&amp;F236,IMPORTRANGE(""https://docs.google.com/spreadsheets/d/1Uw7-A9f9R21vMXxHZFNpYNeKFtG8_yji4HS352LGlSQ/edit?pli=1#gid=0"",""1_ACUM!A4:S""),18,FALSE))"),"")</f>
        <v/>
      </c>
      <c r="BE219" s="44" t="str">
        <f ca="1">IFERROR(__xludf.DUMMYFUNCTION("IFERROR(VLOOKUP(E236&amp;F236,IMPORTRANGE(""https://docs.google.com/spreadsheets/d/1Uw7-A9f9R21vMXxHZFNpYNeKFtG8_yji4HS352LGlSQ/edit?pli=1#gid=0"",""1_ACUM!A4:S""),19,FALSE))"),"")</f>
        <v/>
      </c>
      <c r="BF219" s="44" t="str">
        <f ca="1">IFERROR(__xludf.DUMMYFUNCTION("IFERROR(VLOOKUP(F236,IMPORTRANGE(""https://docs.google.com/spreadsheets/d/1Kvs4KS76FHFqLFIZfrDMff4kP08nblUkihrxltoGBjg/edit#gid=934712705"",""ESENCIAL!A6:BG""),5,FALSE))"),"")</f>
        <v/>
      </c>
      <c r="BG219" s="44" t="str">
        <f t="shared" si="33"/>
        <v/>
      </c>
      <c r="BH219" s="41" t="str">
        <f t="shared" si="34"/>
        <v/>
      </c>
      <c r="BI219" s="41" t="str">
        <f ca="1">IFERROR(__xludf.DUMMYFUNCTION("IFERROR(VLOOKUP(F236,IMPORTRANGE(""https://docs.google.com/spreadsheets/d/1Kvs4KS76FHFqLFIZfrDMff4kP08nblUkihrxltoGBjg/edit#gid=934712705"",""ESENCIAL!A6:BG""),18,FALSE))"),"")</f>
        <v/>
      </c>
      <c r="BJ219" s="19" t="str">
        <f t="shared" si="35"/>
        <v/>
      </c>
      <c r="BK219" s="41"/>
      <c r="BL219" s="41"/>
    </row>
    <row r="220" spans="1:64" ht="15">
      <c r="A220" s="4"/>
      <c r="B220" s="4"/>
      <c r="G220" s="5" t="str">
        <f ca="1">IFERROR(__xludf.DUMMYFUNCTION("IFERROR(VLOOKUP(F237,IMPORTRANGE(""https://docs.google.com/spreadsheets/d/1Kvs4KS76FHFqLFIZfrDMff4kP08nblUkihrxltoGBjg/edit#gid=934712705"",""ESENCIAL!A6:BG""),3,FALSE))"),"")</f>
        <v/>
      </c>
      <c r="H220" s="5" t="str">
        <f ca="1">IFERROR(__xludf.DUMMYFUNCTION("IFERROR(VLOOKUP(F237,IMPORTRANGE(""https://docs.google.com/spreadsheets/d/1Kvs4KS76FHFqLFIZfrDMff4kP08nblUkihrxltoGBjg/edit#gid=934712705"",""ESENCIAL!A6:BG""),8,FALSE))"),"")</f>
        <v/>
      </c>
      <c r="L220" s="287"/>
      <c r="S220"/>
      <c r="AU220" s="41" t="str">
        <f t="shared" si="32"/>
        <v/>
      </c>
      <c r="AV220" s="5" t="str">
        <f ca="1">IFERROR(__xludf.DUMMYFUNCTION("IFERROR(VLOOKUP(E237&amp;F237,IMPORTRANGE(""https://docs.google.com/spreadsheets/d/1Uw7-A9f9R21vMXxHZFNpYNeKFtG8_yji4HS352LGlSQ/edit?pli=1#gid=0"",""1_ACUM!A4:S""),11,FALSE))"),"")</f>
        <v/>
      </c>
      <c r="AW220" s="42" t="str">
        <f ca="1">IFERROR(__xludf.DUMMYFUNCTION("IFERROR(VLOOKUP(F237,IMPORTRANGE(""https://docs.google.com/spreadsheets/d/1Kvs4KS76FHFqLFIZfrDMff4kP08nblUkihrxltoGBjg/edit#gid=934712705"",""ESENCIAL!A6:BG""),15,FALSE))"),"")</f>
        <v/>
      </c>
      <c r="AX220" s="21" t="str">
        <f ca="1">IFERROR(__xludf.DUMMYFUNCTION("IFERROR(VLOOKUP(E237&amp;F237,IMPORTRANGE(""https://docs.google.com/spreadsheets/d/1Uw7-A9f9R21vMXxHZFNpYNeKFtG8_yji4HS352LGlSQ/edit?pli=1#gid=0"",""1_ACUM!A4:S""),12,FALSE))"),"")</f>
        <v/>
      </c>
      <c r="AY220" s="43" t="str">
        <f ca="1">IFERROR(__xludf.DUMMYFUNCTION("IFERROR(VLOOKUP(E237&amp;F237,IMPORTRANGE(""https://docs.google.com/spreadsheets/d/1Uw7-A9f9R21vMXxHZFNpYNeKFtG8_yji4HS352LGlSQ/edit?pli=1#gid=0"",""1_ACUM!A4:S""),13,FALSE))"),"")</f>
        <v/>
      </c>
      <c r="AZ220" s="43" t="str">
        <f ca="1">IFERROR(__xludf.DUMMYFUNCTION("IFERROR(VLOOKUP(E237&amp;F237,IMPORTRANGE(""https://docs.google.com/spreadsheets/d/1Uw7-A9f9R21vMXxHZFNpYNeKFtG8_yji4HS352LGlSQ/edit?pli=1#gid=0"",""1_ACUM!A4:S""),14,FALSE))"),"")</f>
        <v/>
      </c>
      <c r="BA220" s="43" t="str">
        <f ca="1">IFERROR(__xludf.DUMMYFUNCTION("IFERROR(VLOOKUP(E237&amp;F237,IMPORTRANGE(""https://docs.google.com/spreadsheets/d/1Uw7-A9f9R21vMXxHZFNpYNeKFtG8_yji4HS352LGlSQ/edit?pli=1#gid=0"",""1_ACUM!A4:S""),15,FALSE))"),"")</f>
        <v/>
      </c>
      <c r="BB220" s="43" t="str">
        <f ca="1">IFERROR(__xludf.DUMMYFUNCTION("IFERROR(VLOOKUP(E237&amp;F237,IMPORTRANGE(""https://docs.google.com/spreadsheets/d/1Uw7-A9f9R21vMXxHZFNpYNeKFtG8_yji4HS352LGlSQ/edit?pli=1#gid=0"",""1_ACUM!A4:S""),16,FALSE))"),"")</f>
        <v/>
      </c>
      <c r="BC220" s="43" t="str">
        <f ca="1">IFERROR(__xludf.DUMMYFUNCTION("IFERROR(VLOOKUP(E237&amp;F237,IMPORTRANGE(""https://docs.google.com/spreadsheets/d/1Uw7-A9f9R21vMXxHZFNpYNeKFtG8_yji4HS352LGlSQ/edit?pli=1#gid=0"",""1_ACUM!A4:S""),17,FALSE))"),"")</f>
        <v/>
      </c>
      <c r="BD220" s="44" t="str">
        <f ca="1">IFERROR(__xludf.DUMMYFUNCTION("IFERROR(VLOOKUP(E237&amp;F237,IMPORTRANGE(""https://docs.google.com/spreadsheets/d/1Uw7-A9f9R21vMXxHZFNpYNeKFtG8_yji4HS352LGlSQ/edit?pli=1#gid=0"",""1_ACUM!A4:S""),18,FALSE))"),"")</f>
        <v/>
      </c>
      <c r="BE220" s="44" t="str">
        <f ca="1">IFERROR(__xludf.DUMMYFUNCTION("IFERROR(VLOOKUP(E237&amp;F237,IMPORTRANGE(""https://docs.google.com/spreadsheets/d/1Uw7-A9f9R21vMXxHZFNpYNeKFtG8_yji4HS352LGlSQ/edit?pli=1#gid=0"",""1_ACUM!A4:S""),19,FALSE))"),"")</f>
        <v/>
      </c>
      <c r="BF220" s="44" t="str">
        <f ca="1">IFERROR(__xludf.DUMMYFUNCTION("IFERROR(VLOOKUP(F237,IMPORTRANGE(""https://docs.google.com/spreadsheets/d/1Kvs4KS76FHFqLFIZfrDMff4kP08nblUkihrxltoGBjg/edit#gid=934712705"",""ESENCIAL!A6:BG""),5,FALSE))"),"")</f>
        <v/>
      </c>
      <c r="BG220" s="44" t="str">
        <f t="shared" si="33"/>
        <v/>
      </c>
      <c r="BH220" s="41" t="str">
        <f t="shared" si="34"/>
        <v/>
      </c>
      <c r="BI220" s="41" t="str">
        <f ca="1">IFERROR(__xludf.DUMMYFUNCTION("IFERROR(VLOOKUP(F237,IMPORTRANGE(""https://docs.google.com/spreadsheets/d/1Kvs4KS76FHFqLFIZfrDMff4kP08nblUkihrxltoGBjg/edit#gid=934712705"",""ESENCIAL!A6:BG""),18,FALSE))"),"")</f>
        <v/>
      </c>
      <c r="BJ220" s="19" t="str">
        <f t="shared" si="35"/>
        <v/>
      </c>
      <c r="BK220" s="41"/>
      <c r="BL220" s="41"/>
    </row>
    <row r="221" spans="1:64" ht="15">
      <c r="A221" s="4"/>
      <c r="B221" s="4"/>
      <c r="G221" s="5" t="str">
        <f ca="1">IFERROR(__xludf.DUMMYFUNCTION("IFERROR(VLOOKUP(F238,IMPORTRANGE(""https://docs.google.com/spreadsheets/d/1Kvs4KS76FHFqLFIZfrDMff4kP08nblUkihrxltoGBjg/edit#gid=934712705"",""ESENCIAL!A6:BG""),3,FALSE))"),"")</f>
        <v/>
      </c>
      <c r="H221" s="5" t="str">
        <f ca="1">IFERROR(__xludf.DUMMYFUNCTION("IFERROR(VLOOKUP(F238,IMPORTRANGE(""https://docs.google.com/spreadsheets/d/1Kvs4KS76FHFqLFIZfrDMff4kP08nblUkihrxltoGBjg/edit#gid=934712705"",""ESENCIAL!A6:BG""),8,FALSE))"),"")</f>
        <v/>
      </c>
      <c r="L221" s="287"/>
      <c r="S221"/>
      <c r="AU221" s="41" t="str">
        <f t="shared" si="32"/>
        <v/>
      </c>
      <c r="AV221" s="5" t="str">
        <f ca="1">IFERROR(__xludf.DUMMYFUNCTION("IFERROR(VLOOKUP(E238&amp;F238,IMPORTRANGE(""https://docs.google.com/spreadsheets/d/1Uw7-A9f9R21vMXxHZFNpYNeKFtG8_yji4HS352LGlSQ/edit?pli=1#gid=0"",""1_ACUM!A4:S""),11,FALSE))"),"")</f>
        <v/>
      </c>
      <c r="AW221" s="42" t="str">
        <f ca="1">IFERROR(__xludf.DUMMYFUNCTION("IFERROR(VLOOKUP(F238,IMPORTRANGE(""https://docs.google.com/spreadsheets/d/1Kvs4KS76FHFqLFIZfrDMff4kP08nblUkihrxltoGBjg/edit#gid=934712705"",""ESENCIAL!A6:BG""),15,FALSE))"),"")</f>
        <v/>
      </c>
      <c r="AX221" s="21" t="str">
        <f ca="1">IFERROR(__xludf.DUMMYFUNCTION("IFERROR(VLOOKUP(E238&amp;F238,IMPORTRANGE(""https://docs.google.com/spreadsheets/d/1Uw7-A9f9R21vMXxHZFNpYNeKFtG8_yji4HS352LGlSQ/edit?pli=1#gid=0"",""1_ACUM!A4:S""),12,FALSE))"),"")</f>
        <v/>
      </c>
      <c r="AY221" s="43" t="str">
        <f ca="1">IFERROR(__xludf.DUMMYFUNCTION("IFERROR(VLOOKUP(E238&amp;F238,IMPORTRANGE(""https://docs.google.com/spreadsheets/d/1Uw7-A9f9R21vMXxHZFNpYNeKFtG8_yji4HS352LGlSQ/edit?pli=1#gid=0"",""1_ACUM!A4:S""),13,FALSE))"),"")</f>
        <v/>
      </c>
      <c r="AZ221" s="43" t="str">
        <f ca="1">IFERROR(__xludf.DUMMYFUNCTION("IFERROR(VLOOKUP(E238&amp;F238,IMPORTRANGE(""https://docs.google.com/spreadsheets/d/1Uw7-A9f9R21vMXxHZFNpYNeKFtG8_yji4HS352LGlSQ/edit?pli=1#gid=0"",""1_ACUM!A4:S""),14,FALSE))"),"")</f>
        <v/>
      </c>
      <c r="BA221" s="43" t="str">
        <f ca="1">IFERROR(__xludf.DUMMYFUNCTION("IFERROR(VLOOKUP(E238&amp;F238,IMPORTRANGE(""https://docs.google.com/spreadsheets/d/1Uw7-A9f9R21vMXxHZFNpYNeKFtG8_yji4HS352LGlSQ/edit?pli=1#gid=0"",""1_ACUM!A4:S""),15,FALSE))"),"")</f>
        <v/>
      </c>
      <c r="BB221" s="43" t="str">
        <f ca="1">IFERROR(__xludf.DUMMYFUNCTION("IFERROR(VLOOKUP(E238&amp;F238,IMPORTRANGE(""https://docs.google.com/spreadsheets/d/1Uw7-A9f9R21vMXxHZFNpYNeKFtG8_yji4HS352LGlSQ/edit?pli=1#gid=0"",""1_ACUM!A4:S""),16,FALSE))"),"")</f>
        <v/>
      </c>
      <c r="BC221" s="43" t="str">
        <f ca="1">IFERROR(__xludf.DUMMYFUNCTION("IFERROR(VLOOKUP(E238&amp;F238,IMPORTRANGE(""https://docs.google.com/spreadsheets/d/1Uw7-A9f9R21vMXxHZFNpYNeKFtG8_yji4HS352LGlSQ/edit?pli=1#gid=0"",""1_ACUM!A4:S""),17,FALSE))"),"")</f>
        <v/>
      </c>
      <c r="BD221" s="44" t="str">
        <f ca="1">IFERROR(__xludf.DUMMYFUNCTION("IFERROR(VLOOKUP(E238&amp;F238,IMPORTRANGE(""https://docs.google.com/spreadsheets/d/1Uw7-A9f9R21vMXxHZFNpYNeKFtG8_yji4HS352LGlSQ/edit?pli=1#gid=0"",""1_ACUM!A4:S""),18,FALSE))"),"")</f>
        <v/>
      </c>
      <c r="BE221" s="44" t="str">
        <f ca="1">IFERROR(__xludf.DUMMYFUNCTION("IFERROR(VLOOKUP(E238&amp;F238,IMPORTRANGE(""https://docs.google.com/spreadsheets/d/1Uw7-A9f9R21vMXxHZFNpYNeKFtG8_yji4HS352LGlSQ/edit?pli=1#gid=0"",""1_ACUM!A4:S""),19,FALSE))"),"")</f>
        <v/>
      </c>
      <c r="BF221" s="44" t="str">
        <f ca="1">IFERROR(__xludf.DUMMYFUNCTION("IFERROR(VLOOKUP(F238,IMPORTRANGE(""https://docs.google.com/spreadsheets/d/1Kvs4KS76FHFqLFIZfrDMff4kP08nblUkihrxltoGBjg/edit#gid=934712705"",""ESENCIAL!A6:BG""),5,FALSE))"),"")</f>
        <v/>
      </c>
      <c r="BG221" s="44" t="str">
        <f t="shared" si="33"/>
        <v/>
      </c>
      <c r="BH221" s="41" t="str">
        <f t="shared" si="34"/>
        <v/>
      </c>
      <c r="BI221" s="41" t="str">
        <f ca="1">IFERROR(__xludf.DUMMYFUNCTION("IFERROR(VLOOKUP(F238,IMPORTRANGE(""https://docs.google.com/spreadsheets/d/1Kvs4KS76FHFqLFIZfrDMff4kP08nblUkihrxltoGBjg/edit#gid=934712705"",""ESENCIAL!A6:BG""),18,FALSE))"),"")</f>
        <v/>
      </c>
      <c r="BJ221" s="19" t="str">
        <f t="shared" si="35"/>
        <v/>
      </c>
      <c r="BK221" s="41"/>
      <c r="BL221" s="41"/>
    </row>
    <row r="222" spans="1:64" ht="15">
      <c r="A222" s="4"/>
      <c r="B222" s="4"/>
      <c r="G222" s="5" t="str">
        <f ca="1">IFERROR(__xludf.DUMMYFUNCTION("IFERROR(VLOOKUP(F239,IMPORTRANGE(""https://docs.google.com/spreadsheets/d/1Kvs4KS76FHFqLFIZfrDMff4kP08nblUkihrxltoGBjg/edit#gid=934712705"",""ESENCIAL!A6:BG""),3,FALSE))"),"")</f>
        <v/>
      </c>
      <c r="H222" s="5" t="str">
        <f ca="1">IFERROR(__xludf.DUMMYFUNCTION("IFERROR(VLOOKUP(F239,IMPORTRANGE(""https://docs.google.com/spreadsheets/d/1Kvs4KS76FHFqLFIZfrDMff4kP08nblUkihrxltoGBjg/edit#gid=934712705"",""ESENCIAL!A6:BG""),8,FALSE))"),"")</f>
        <v/>
      </c>
      <c r="L222" s="287"/>
      <c r="S222"/>
      <c r="AU222" s="41" t="str">
        <f t="shared" si="32"/>
        <v/>
      </c>
      <c r="AV222" s="5" t="str">
        <f ca="1">IFERROR(__xludf.DUMMYFUNCTION("IFERROR(VLOOKUP(E239&amp;F239,IMPORTRANGE(""https://docs.google.com/spreadsheets/d/1Uw7-A9f9R21vMXxHZFNpYNeKFtG8_yji4HS352LGlSQ/edit?pli=1#gid=0"",""1_ACUM!A4:S""),11,FALSE))"),"")</f>
        <v/>
      </c>
      <c r="AW222" s="42" t="str">
        <f ca="1">IFERROR(__xludf.DUMMYFUNCTION("IFERROR(VLOOKUP(F239,IMPORTRANGE(""https://docs.google.com/spreadsheets/d/1Kvs4KS76FHFqLFIZfrDMff4kP08nblUkihrxltoGBjg/edit#gid=934712705"",""ESENCIAL!A6:BG""),15,FALSE))"),"")</f>
        <v/>
      </c>
      <c r="AX222" s="21" t="str">
        <f ca="1">IFERROR(__xludf.DUMMYFUNCTION("IFERROR(VLOOKUP(E239&amp;F239,IMPORTRANGE(""https://docs.google.com/spreadsheets/d/1Uw7-A9f9R21vMXxHZFNpYNeKFtG8_yji4HS352LGlSQ/edit?pli=1#gid=0"",""1_ACUM!A4:S""),12,FALSE))"),"")</f>
        <v/>
      </c>
      <c r="AY222" s="43" t="str">
        <f ca="1">IFERROR(__xludf.DUMMYFUNCTION("IFERROR(VLOOKUP(E239&amp;F239,IMPORTRANGE(""https://docs.google.com/spreadsheets/d/1Uw7-A9f9R21vMXxHZFNpYNeKFtG8_yji4HS352LGlSQ/edit?pli=1#gid=0"",""1_ACUM!A4:S""),13,FALSE))"),"")</f>
        <v/>
      </c>
      <c r="AZ222" s="43" t="str">
        <f ca="1">IFERROR(__xludf.DUMMYFUNCTION("IFERROR(VLOOKUP(E239&amp;F239,IMPORTRANGE(""https://docs.google.com/spreadsheets/d/1Uw7-A9f9R21vMXxHZFNpYNeKFtG8_yji4HS352LGlSQ/edit?pli=1#gid=0"",""1_ACUM!A4:S""),14,FALSE))"),"")</f>
        <v/>
      </c>
      <c r="BA222" s="43" t="str">
        <f ca="1">IFERROR(__xludf.DUMMYFUNCTION("IFERROR(VLOOKUP(E239&amp;F239,IMPORTRANGE(""https://docs.google.com/spreadsheets/d/1Uw7-A9f9R21vMXxHZFNpYNeKFtG8_yji4HS352LGlSQ/edit?pli=1#gid=0"",""1_ACUM!A4:S""),15,FALSE))"),"")</f>
        <v/>
      </c>
      <c r="BB222" s="43" t="str">
        <f ca="1">IFERROR(__xludf.DUMMYFUNCTION("IFERROR(VLOOKUP(E239&amp;F239,IMPORTRANGE(""https://docs.google.com/spreadsheets/d/1Uw7-A9f9R21vMXxHZFNpYNeKFtG8_yji4HS352LGlSQ/edit?pli=1#gid=0"",""1_ACUM!A4:S""),16,FALSE))"),"")</f>
        <v/>
      </c>
      <c r="BC222" s="43" t="str">
        <f ca="1">IFERROR(__xludf.DUMMYFUNCTION("IFERROR(VLOOKUP(E239&amp;F239,IMPORTRANGE(""https://docs.google.com/spreadsheets/d/1Uw7-A9f9R21vMXxHZFNpYNeKFtG8_yji4HS352LGlSQ/edit?pli=1#gid=0"",""1_ACUM!A4:S""),17,FALSE))"),"")</f>
        <v/>
      </c>
      <c r="BD222" s="44" t="str">
        <f ca="1">IFERROR(__xludf.DUMMYFUNCTION("IFERROR(VLOOKUP(E239&amp;F239,IMPORTRANGE(""https://docs.google.com/spreadsheets/d/1Uw7-A9f9R21vMXxHZFNpYNeKFtG8_yji4HS352LGlSQ/edit?pli=1#gid=0"",""1_ACUM!A4:S""),18,FALSE))"),"")</f>
        <v/>
      </c>
      <c r="BE222" s="44" t="str">
        <f ca="1">IFERROR(__xludf.DUMMYFUNCTION("IFERROR(VLOOKUP(E239&amp;F239,IMPORTRANGE(""https://docs.google.com/spreadsheets/d/1Uw7-A9f9R21vMXxHZFNpYNeKFtG8_yji4HS352LGlSQ/edit?pli=1#gid=0"",""1_ACUM!A4:S""),19,FALSE))"),"")</f>
        <v/>
      </c>
      <c r="BF222" s="44" t="str">
        <f ca="1">IFERROR(__xludf.DUMMYFUNCTION("IFERROR(VLOOKUP(F239,IMPORTRANGE(""https://docs.google.com/spreadsheets/d/1Kvs4KS76FHFqLFIZfrDMff4kP08nblUkihrxltoGBjg/edit#gid=934712705"",""ESENCIAL!A6:BG""),5,FALSE))"),"")</f>
        <v/>
      </c>
      <c r="BG222" s="44" t="str">
        <f t="shared" si="33"/>
        <v/>
      </c>
      <c r="BH222" s="41" t="str">
        <f t="shared" si="34"/>
        <v/>
      </c>
      <c r="BI222" s="41" t="str">
        <f ca="1">IFERROR(__xludf.DUMMYFUNCTION("IFERROR(VLOOKUP(F239,IMPORTRANGE(""https://docs.google.com/spreadsheets/d/1Kvs4KS76FHFqLFIZfrDMff4kP08nblUkihrxltoGBjg/edit#gid=934712705"",""ESENCIAL!A6:BG""),18,FALSE))"),"")</f>
        <v/>
      </c>
      <c r="BJ222" s="19" t="str">
        <f t="shared" si="35"/>
        <v/>
      </c>
      <c r="BK222" s="41"/>
      <c r="BL222" s="41"/>
    </row>
    <row r="223" spans="1:64" ht="15">
      <c r="A223" s="4"/>
      <c r="B223" s="4"/>
      <c r="G223" s="5" t="str">
        <f ca="1">IFERROR(__xludf.DUMMYFUNCTION("IFERROR(VLOOKUP(F240,IMPORTRANGE(""https://docs.google.com/spreadsheets/d/1Kvs4KS76FHFqLFIZfrDMff4kP08nblUkihrxltoGBjg/edit#gid=934712705"",""ESENCIAL!A6:BG""),3,FALSE))"),"")</f>
        <v/>
      </c>
      <c r="H223" s="5" t="str">
        <f ca="1">IFERROR(__xludf.DUMMYFUNCTION("IFERROR(VLOOKUP(F240,IMPORTRANGE(""https://docs.google.com/spreadsheets/d/1Kvs4KS76FHFqLFIZfrDMff4kP08nblUkihrxltoGBjg/edit#gid=934712705"",""ESENCIAL!A6:BG""),8,FALSE))"),"")</f>
        <v/>
      </c>
      <c r="L223" s="287"/>
      <c r="S223"/>
      <c r="AU223" s="41" t="str">
        <f t="shared" si="32"/>
        <v/>
      </c>
      <c r="AV223" s="5" t="str">
        <f ca="1">IFERROR(__xludf.DUMMYFUNCTION("IFERROR(VLOOKUP(E240&amp;F240,IMPORTRANGE(""https://docs.google.com/spreadsheets/d/1Uw7-A9f9R21vMXxHZFNpYNeKFtG8_yji4HS352LGlSQ/edit?pli=1#gid=0"",""1_ACUM!A4:S""),11,FALSE))"),"")</f>
        <v/>
      </c>
      <c r="AW223" s="42" t="str">
        <f ca="1">IFERROR(__xludf.DUMMYFUNCTION("IFERROR(VLOOKUP(F240,IMPORTRANGE(""https://docs.google.com/spreadsheets/d/1Kvs4KS76FHFqLFIZfrDMff4kP08nblUkihrxltoGBjg/edit#gid=934712705"",""ESENCIAL!A6:BG""),15,FALSE))"),"")</f>
        <v/>
      </c>
      <c r="AX223" s="21" t="str">
        <f ca="1">IFERROR(__xludf.DUMMYFUNCTION("IFERROR(VLOOKUP(E240&amp;F240,IMPORTRANGE(""https://docs.google.com/spreadsheets/d/1Uw7-A9f9R21vMXxHZFNpYNeKFtG8_yji4HS352LGlSQ/edit?pli=1#gid=0"",""1_ACUM!A4:S""),12,FALSE))"),"")</f>
        <v/>
      </c>
      <c r="AY223" s="43" t="str">
        <f ca="1">IFERROR(__xludf.DUMMYFUNCTION("IFERROR(VLOOKUP(E240&amp;F240,IMPORTRANGE(""https://docs.google.com/spreadsheets/d/1Uw7-A9f9R21vMXxHZFNpYNeKFtG8_yji4HS352LGlSQ/edit?pli=1#gid=0"",""1_ACUM!A4:S""),13,FALSE))"),"")</f>
        <v/>
      </c>
      <c r="AZ223" s="43" t="str">
        <f ca="1">IFERROR(__xludf.DUMMYFUNCTION("IFERROR(VLOOKUP(E240&amp;F240,IMPORTRANGE(""https://docs.google.com/spreadsheets/d/1Uw7-A9f9R21vMXxHZFNpYNeKFtG8_yji4HS352LGlSQ/edit?pli=1#gid=0"",""1_ACUM!A4:S""),14,FALSE))"),"")</f>
        <v/>
      </c>
      <c r="BA223" s="43" t="str">
        <f ca="1">IFERROR(__xludf.DUMMYFUNCTION("IFERROR(VLOOKUP(E240&amp;F240,IMPORTRANGE(""https://docs.google.com/spreadsheets/d/1Uw7-A9f9R21vMXxHZFNpYNeKFtG8_yji4HS352LGlSQ/edit?pli=1#gid=0"",""1_ACUM!A4:S""),15,FALSE))"),"")</f>
        <v/>
      </c>
      <c r="BB223" s="43" t="str">
        <f ca="1">IFERROR(__xludf.DUMMYFUNCTION("IFERROR(VLOOKUP(E240&amp;F240,IMPORTRANGE(""https://docs.google.com/spreadsheets/d/1Uw7-A9f9R21vMXxHZFNpYNeKFtG8_yji4HS352LGlSQ/edit?pli=1#gid=0"",""1_ACUM!A4:S""),16,FALSE))"),"")</f>
        <v/>
      </c>
      <c r="BC223" s="43" t="str">
        <f ca="1">IFERROR(__xludf.DUMMYFUNCTION("IFERROR(VLOOKUP(E240&amp;F240,IMPORTRANGE(""https://docs.google.com/spreadsheets/d/1Uw7-A9f9R21vMXxHZFNpYNeKFtG8_yji4HS352LGlSQ/edit?pli=1#gid=0"",""1_ACUM!A4:S""),17,FALSE))"),"")</f>
        <v/>
      </c>
      <c r="BD223" s="44" t="str">
        <f ca="1">IFERROR(__xludf.DUMMYFUNCTION("IFERROR(VLOOKUP(E240&amp;F240,IMPORTRANGE(""https://docs.google.com/spreadsheets/d/1Uw7-A9f9R21vMXxHZFNpYNeKFtG8_yji4HS352LGlSQ/edit?pli=1#gid=0"",""1_ACUM!A4:S""),18,FALSE))"),"")</f>
        <v/>
      </c>
      <c r="BE223" s="44" t="str">
        <f ca="1">IFERROR(__xludf.DUMMYFUNCTION("IFERROR(VLOOKUP(E240&amp;F240,IMPORTRANGE(""https://docs.google.com/spreadsheets/d/1Uw7-A9f9R21vMXxHZFNpYNeKFtG8_yji4HS352LGlSQ/edit?pli=1#gid=0"",""1_ACUM!A4:S""),19,FALSE))"),"")</f>
        <v/>
      </c>
      <c r="BF223" s="44" t="str">
        <f ca="1">IFERROR(__xludf.DUMMYFUNCTION("IFERROR(VLOOKUP(F240,IMPORTRANGE(""https://docs.google.com/spreadsheets/d/1Kvs4KS76FHFqLFIZfrDMff4kP08nblUkihrxltoGBjg/edit#gid=934712705"",""ESENCIAL!A6:BG""),5,FALSE))"),"")</f>
        <v/>
      </c>
      <c r="BG223" s="44" t="str">
        <f t="shared" si="33"/>
        <v/>
      </c>
      <c r="BH223" s="41" t="str">
        <f t="shared" si="34"/>
        <v/>
      </c>
      <c r="BI223" s="41" t="str">
        <f ca="1">IFERROR(__xludf.DUMMYFUNCTION("IFERROR(VLOOKUP(F240,IMPORTRANGE(""https://docs.google.com/spreadsheets/d/1Kvs4KS76FHFqLFIZfrDMff4kP08nblUkihrxltoGBjg/edit#gid=934712705"",""ESENCIAL!A6:BG""),18,FALSE))"),"")</f>
        <v/>
      </c>
      <c r="BJ223" s="19" t="str">
        <f t="shared" si="35"/>
        <v/>
      </c>
      <c r="BK223" s="41"/>
      <c r="BL223" s="41"/>
    </row>
    <row r="224" spans="1:64" ht="15">
      <c r="A224" s="4"/>
      <c r="B224" s="4"/>
      <c r="G224" s="5" t="str">
        <f ca="1">IFERROR(__xludf.DUMMYFUNCTION("IFERROR(VLOOKUP(F241,IMPORTRANGE(""https://docs.google.com/spreadsheets/d/1Kvs4KS76FHFqLFIZfrDMff4kP08nblUkihrxltoGBjg/edit#gid=934712705"",""ESENCIAL!A6:BG""),3,FALSE))"),"")</f>
        <v/>
      </c>
      <c r="H224" s="5" t="str">
        <f ca="1">IFERROR(__xludf.DUMMYFUNCTION("IFERROR(VLOOKUP(F241,IMPORTRANGE(""https://docs.google.com/spreadsheets/d/1Kvs4KS76FHFqLFIZfrDMff4kP08nblUkihrxltoGBjg/edit#gid=934712705"",""ESENCIAL!A6:BG""),8,FALSE))"),"")</f>
        <v/>
      </c>
      <c r="L224" s="287"/>
      <c r="S224"/>
      <c r="AU224" s="41" t="str">
        <f t="shared" si="32"/>
        <v/>
      </c>
      <c r="AV224" s="5" t="str">
        <f ca="1">IFERROR(__xludf.DUMMYFUNCTION("IFERROR(VLOOKUP(E241&amp;F241,IMPORTRANGE(""https://docs.google.com/spreadsheets/d/1Uw7-A9f9R21vMXxHZFNpYNeKFtG8_yji4HS352LGlSQ/edit?pli=1#gid=0"",""1_ACUM!A4:S""),11,FALSE))"),"")</f>
        <v/>
      </c>
      <c r="AW224" s="42" t="str">
        <f ca="1">IFERROR(__xludf.DUMMYFUNCTION("IFERROR(VLOOKUP(F241,IMPORTRANGE(""https://docs.google.com/spreadsheets/d/1Kvs4KS76FHFqLFIZfrDMff4kP08nblUkihrxltoGBjg/edit#gid=934712705"",""ESENCIAL!A6:BG""),15,FALSE))"),"")</f>
        <v/>
      </c>
      <c r="AX224" s="21" t="str">
        <f ca="1">IFERROR(__xludf.DUMMYFUNCTION("IFERROR(VLOOKUP(E241&amp;F241,IMPORTRANGE(""https://docs.google.com/spreadsheets/d/1Uw7-A9f9R21vMXxHZFNpYNeKFtG8_yji4HS352LGlSQ/edit?pli=1#gid=0"",""1_ACUM!A4:S""),12,FALSE))"),"")</f>
        <v/>
      </c>
      <c r="AY224" s="43" t="str">
        <f ca="1">IFERROR(__xludf.DUMMYFUNCTION("IFERROR(VLOOKUP(E241&amp;F241,IMPORTRANGE(""https://docs.google.com/spreadsheets/d/1Uw7-A9f9R21vMXxHZFNpYNeKFtG8_yji4HS352LGlSQ/edit?pli=1#gid=0"",""1_ACUM!A4:S""),13,FALSE))"),"")</f>
        <v/>
      </c>
      <c r="AZ224" s="43" t="str">
        <f ca="1">IFERROR(__xludf.DUMMYFUNCTION("IFERROR(VLOOKUP(E241&amp;F241,IMPORTRANGE(""https://docs.google.com/spreadsheets/d/1Uw7-A9f9R21vMXxHZFNpYNeKFtG8_yji4HS352LGlSQ/edit?pli=1#gid=0"",""1_ACUM!A4:S""),14,FALSE))"),"")</f>
        <v/>
      </c>
      <c r="BA224" s="43" t="str">
        <f ca="1">IFERROR(__xludf.DUMMYFUNCTION("IFERROR(VLOOKUP(E241&amp;F241,IMPORTRANGE(""https://docs.google.com/spreadsheets/d/1Uw7-A9f9R21vMXxHZFNpYNeKFtG8_yji4HS352LGlSQ/edit?pli=1#gid=0"",""1_ACUM!A4:S""),15,FALSE))"),"")</f>
        <v/>
      </c>
      <c r="BB224" s="43" t="str">
        <f ca="1">IFERROR(__xludf.DUMMYFUNCTION("IFERROR(VLOOKUP(E241&amp;F241,IMPORTRANGE(""https://docs.google.com/spreadsheets/d/1Uw7-A9f9R21vMXxHZFNpYNeKFtG8_yji4HS352LGlSQ/edit?pli=1#gid=0"",""1_ACUM!A4:S""),16,FALSE))"),"")</f>
        <v/>
      </c>
      <c r="BC224" s="43" t="str">
        <f ca="1">IFERROR(__xludf.DUMMYFUNCTION("IFERROR(VLOOKUP(E241&amp;F241,IMPORTRANGE(""https://docs.google.com/spreadsheets/d/1Uw7-A9f9R21vMXxHZFNpYNeKFtG8_yji4HS352LGlSQ/edit?pli=1#gid=0"",""1_ACUM!A4:S""),17,FALSE))"),"")</f>
        <v/>
      </c>
      <c r="BD224" s="44" t="str">
        <f ca="1">IFERROR(__xludf.DUMMYFUNCTION("IFERROR(VLOOKUP(E241&amp;F241,IMPORTRANGE(""https://docs.google.com/spreadsheets/d/1Uw7-A9f9R21vMXxHZFNpYNeKFtG8_yji4HS352LGlSQ/edit?pli=1#gid=0"",""1_ACUM!A4:S""),18,FALSE))"),"")</f>
        <v/>
      </c>
      <c r="BE224" s="44" t="str">
        <f ca="1">IFERROR(__xludf.DUMMYFUNCTION("IFERROR(VLOOKUP(E241&amp;F241,IMPORTRANGE(""https://docs.google.com/spreadsheets/d/1Uw7-A9f9R21vMXxHZFNpYNeKFtG8_yji4HS352LGlSQ/edit?pli=1#gid=0"",""1_ACUM!A4:S""),19,FALSE))"),"")</f>
        <v/>
      </c>
      <c r="BF224" s="44" t="str">
        <f ca="1">IFERROR(__xludf.DUMMYFUNCTION("IFERROR(VLOOKUP(F241,IMPORTRANGE(""https://docs.google.com/spreadsheets/d/1Kvs4KS76FHFqLFIZfrDMff4kP08nblUkihrxltoGBjg/edit#gid=934712705"",""ESENCIAL!A6:BG""),5,FALSE))"),"")</f>
        <v/>
      </c>
      <c r="BG224" s="44" t="str">
        <f t="shared" si="33"/>
        <v/>
      </c>
      <c r="BH224" s="41" t="str">
        <f t="shared" si="34"/>
        <v/>
      </c>
      <c r="BI224" s="41" t="str">
        <f ca="1">IFERROR(__xludf.DUMMYFUNCTION("IFERROR(VLOOKUP(F241,IMPORTRANGE(""https://docs.google.com/spreadsheets/d/1Kvs4KS76FHFqLFIZfrDMff4kP08nblUkihrxltoGBjg/edit#gid=934712705"",""ESENCIAL!A6:BG""),18,FALSE))"),"")</f>
        <v/>
      </c>
      <c r="BJ224" s="19" t="str">
        <f t="shared" si="35"/>
        <v/>
      </c>
      <c r="BK224" s="41"/>
      <c r="BL224" s="41"/>
    </row>
    <row r="225" spans="1:64" ht="15">
      <c r="A225" s="4"/>
      <c r="B225" s="4"/>
      <c r="G225" s="5" t="str">
        <f ca="1">IFERROR(__xludf.DUMMYFUNCTION("IFERROR(VLOOKUP(F242,IMPORTRANGE(""https://docs.google.com/spreadsheets/d/1Kvs4KS76FHFqLFIZfrDMff4kP08nblUkihrxltoGBjg/edit#gid=934712705"",""ESENCIAL!A6:BG""),3,FALSE))"),"")</f>
        <v/>
      </c>
      <c r="H225" s="5" t="str">
        <f ca="1">IFERROR(__xludf.DUMMYFUNCTION("IFERROR(VLOOKUP(F242,IMPORTRANGE(""https://docs.google.com/spreadsheets/d/1Kvs4KS76FHFqLFIZfrDMff4kP08nblUkihrxltoGBjg/edit#gid=934712705"",""ESENCIAL!A6:BG""),8,FALSE))"),"")</f>
        <v/>
      </c>
      <c r="L225" s="287"/>
      <c r="S225"/>
      <c r="AU225" s="41" t="str">
        <f t="shared" si="32"/>
        <v/>
      </c>
      <c r="AV225" s="5" t="str">
        <f ca="1">IFERROR(__xludf.DUMMYFUNCTION("IFERROR(VLOOKUP(E242&amp;F242,IMPORTRANGE(""https://docs.google.com/spreadsheets/d/1Uw7-A9f9R21vMXxHZFNpYNeKFtG8_yji4HS352LGlSQ/edit?pli=1#gid=0"",""1_ACUM!A4:S""),11,FALSE))"),"")</f>
        <v/>
      </c>
      <c r="AW225" s="42" t="str">
        <f ca="1">IFERROR(__xludf.DUMMYFUNCTION("IFERROR(VLOOKUP(F242,IMPORTRANGE(""https://docs.google.com/spreadsheets/d/1Kvs4KS76FHFqLFIZfrDMff4kP08nblUkihrxltoGBjg/edit#gid=934712705"",""ESENCIAL!A6:BG""),15,FALSE))"),"")</f>
        <v/>
      </c>
      <c r="AX225" s="21" t="str">
        <f ca="1">IFERROR(__xludf.DUMMYFUNCTION("IFERROR(VLOOKUP(E242&amp;F242,IMPORTRANGE(""https://docs.google.com/spreadsheets/d/1Uw7-A9f9R21vMXxHZFNpYNeKFtG8_yji4HS352LGlSQ/edit?pli=1#gid=0"",""1_ACUM!A4:S""),12,FALSE))"),"")</f>
        <v/>
      </c>
      <c r="AY225" s="43" t="str">
        <f ca="1">IFERROR(__xludf.DUMMYFUNCTION("IFERROR(VLOOKUP(E242&amp;F242,IMPORTRANGE(""https://docs.google.com/spreadsheets/d/1Uw7-A9f9R21vMXxHZFNpYNeKFtG8_yji4HS352LGlSQ/edit?pli=1#gid=0"",""1_ACUM!A4:S""),13,FALSE))"),"")</f>
        <v/>
      </c>
      <c r="AZ225" s="43" t="str">
        <f ca="1">IFERROR(__xludf.DUMMYFUNCTION("IFERROR(VLOOKUP(E242&amp;F242,IMPORTRANGE(""https://docs.google.com/spreadsheets/d/1Uw7-A9f9R21vMXxHZFNpYNeKFtG8_yji4HS352LGlSQ/edit?pli=1#gid=0"",""1_ACUM!A4:S""),14,FALSE))"),"")</f>
        <v/>
      </c>
      <c r="BA225" s="43" t="str">
        <f ca="1">IFERROR(__xludf.DUMMYFUNCTION("IFERROR(VLOOKUP(E242&amp;F242,IMPORTRANGE(""https://docs.google.com/spreadsheets/d/1Uw7-A9f9R21vMXxHZFNpYNeKFtG8_yji4HS352LGlSQ/edit?pli=1#gid=0"",""1_ACUM!A4:S""),15,FALSE))"),"")</f>
        <v/>
      </c>
      <c r="BB225" s="43" t="str">
        <f ca="1">IFERROR(__xludf.DUMMYFUNCTION("IFERROR(VLOOKUP(E242&amp;F242,IMPORTRANGE(""https://docs.google.com/spreadsheets/d/1Uw7-A9f9R21vMXxHZFNpYNeKFtG8_yji4HS352LGlSQ/edit?pli=1#gid=0"",""1_ACUM!A4:S""),16,FALSE))"),"")</f>
        <v/>
      </c>
      <c r="BC225" s="43" t="str">
        <f ca="1">IFERROR(__xludf.DUMMYFUNCTION("IFERROR(VLOOKUP(E242&amp;F242,IMPORTRANGE(""https://docs.google.com/spreadsheets/d/1Uw7-A9f9R21vMXxHZFNpYNeKFtG8_yji4HS352LGlSQ/edit?pli=1#gid=0"",""1_ACUM!A4:S""),17,FALSE))"),"")</f>
        <v/>
      </c>
      <c r="BD225" s="44" t="str">
        <f ca="1">IFERROR(__xludf.DUMMYFUNCTION("IFERROR(VLOOKUP(E242&amp;F242,IMPORTRANGE(""https://docs.google.com/spreadsheets/d/1Uw7-A9f9R21vMXxHZFNpYNeKFtG8_yji4HS352LGlSQ/edit?pli=1#gid=0"",""1_ACUM!A4:S""),18,FALSE))"),"")</f>
        <v/>
      </c>
      <c r="BE225" s="44" t="str">
        <f ca="1">IFERROR(__xludf.DUMMYFUNCTION("IFERROR(VLOOKUP(E242&amp;F242,IMPORTRANGE(""https://docs.google.com/spreadsheets/d/1Uw7-A9f9R21vMXxHZFNpYNeKFtG8_yji4HS352LGlSQ/edit?pli=1#gid=0"",""1_ACUM!A4:S""),19,FALSE))"),"")</f>
        <v/>
      </c>
      <c r="BF225" s="44" t="str">
        <f ca="1">IFERROR(__xludf.DUMMYFUNCTION("IFERROR(VLOOKUP(F242,IMPORTRANGE(""https://docs.google.com/spreadsheets/d/1Kvs4KS76FHFqLFIZfrDMff4kP08nblUkihrxltoGBjg/edit#gid=934712705"",""ESENCIAL!A6:BG""),5,FALSE))"),"")</f>
        <v/>
      </c>
      <c r="BG225" s="44" t="str">
        <f t="shared" si="33"/>
        <v/>
      </c>
      <c r="BH225" s="41" t="str">
        <f t="shared" si="34"/>
        <v/>
      </c>
      <c r="BI225" s="41" t="str">
        <f ca="1">IFERROR(__xludf.DUMMYFUNCTION("IFERROR(VLOOKUP(F242,IMPORTRANGE(""https://docs.google.com/spreadsheets/d/1Kvs4KS76FHFqLFIZfrDMff4kP08nblUkihrxltoGBjg/edit#gid=934712705"",""ESENCIAL!A6:BG""),18,FALSE))"),"")</f>
        <v/>
      </c>
      <c r="BJ225" s="19" t="str">
        <f t="shared" si="35"/>
        <v/>
      </c>
      <c r="BK225" s="41"/>
      <c r="BL225" s="41"/>
    </row>
    <row r="226" spans="1:64" ht="15">
      <c r="A226" s="4"/>
      <c r="B226" s="4"/>
      <c r="G226" s="5" t="str">
        <f ca="1">IFERROR(__xludf.DUMMYFUNCTION("IFERROR(VLOOKUP(F243,IMPORTRANGE(""https://docs.google.com/spreadsheets/d/1Kvs4KS76FHFqLFIZfrDMff4kP08nblUkihrxltoGBjg/edit#gid=934712705"",""ESENCIAL!A6:BG""),3,FALSE))"),"")</f>
        <v/>
      </c>
      <c r="H226" s="5" t="str">
        <f ca="1">IFERROR(__xludf.DUMMYFUNCTION("IFERROR(VLOOKUP(F243,IMPORTRANGE(""https://docs.google.com/spreadsheets/d/1Kvs4KS76FHFqLFIZfrDMff4kP08nblUkihrxltoGBjg/edit#gid=934712705"",""ESENCIAL!A6:BG""),8,FALSE))"),"")</f>
        <v/>
      </c>
      <c r="L226" s="287"/>
      <c r="S226"/>
      <c r="AU226" s="41" t="str">
        <f t="shared" si="32"/>
        <v/>
      </c>
      <c r="AV226" s="5" t="str">
        <f ca="1">IFERROR(__xludf.DUMMYFUNCTION("IFERROR(VLOOKUP(E243&amp;F243,IMPORTRANGE(""https://docs.google.com/spreadsheets/d/1Uw7-A9f9R21vMXxHZFNpYNeKFtG8_yji4HS352LGlSQ/edit?pli=1#gid=0"",""1_ACUM!A4:S""),11,FALSE))"),"")</f>
        <v/>
      </c>
      <c r="AW226" s="42" t="str">
        <f ca="1">IFERROR(__xludf.DUMMYFUNCTION("IFERROR(VLOOKUP(F243,IMPORTRANGE(""https://docs.google.com/spreadsheets/d/1Kvs4KS76FHFqLFIZfrDMff4kP08nblUkihrxltoGBjg/edit#gid=934712705"",""ESENCIAL!A6:BG""),15,FALSE))"),"")</f>
        <v/>
      </c>
      <c r="AX226" s="21" t="str">
        <f ca="1">IFERROR(__xludf.DUMMYFUNCTION("IFERROR(VLOOKUP(E243&amp;F243,IMPORTRANGE(""https://docs.google.com/spreadsheets/d/1Uw7-A9f9R21vMXxHZFNpYNeKFtG8_yji4HS352LGlSQ/edit?pli=1#gid=0"",""1_ACUM!A4:S""),12,FALSE))"),"")</f>
        <v/>
      </c>
      <c r="AY226" s="43" t="str">
        <f ca="1">IFERROR(__xludf.DUMMYFUNCTION("IFERROR(VLOOKUP(E243&amp;F243,IMPORTRANGE(""https://docs.google.com/spreadsheets/d/1Uw7-A9f9R21vMXxHZFNpYNeKFtG8_yji4HS352LGlSQ/edit?pli=1#gid=0"",""1_ACUM!A4:S""),13,FALSE))"),"")</f>
        <v/>
      </c>
      <c r="AZ226" s="43" t="str">
        <f ca="1">IFERROR(__xludf.DUMMYFUNCTION("IFERROR(VLOOKUP(E243&amp;F243,IMPORTRANGE(""https://docs.google.com/spreadsheets/d/1Uw7-A9f9R21vMXxHZFNpYNeKFtG8_yji4HS352LGlSQ/edit?pli=1#gid=0"",""1_ACUM!A4:S""),14,FALSE))"),"")</f>
        <v/>
      </c>
      <c r="BA226" s="43" t="str">
        <f ca="1">IFERROR(__xludf.DUMMYFUNCTION("IFERROR(VLOOKUP(E243&amp;F243,IMPORTRANGE(""https://docs.google.com/spreadsheets/d/1Uw7-A9f9R21vMXxHZFNpYNeKFtG8_yji4HS352LGlSQ/edit?pli=1#gid=0"",""1_ACUM!A4:S""),15,FALSE))"),"")</f>
        <v/>
      </c>
      <c r="BB226" s="43" t="str">
        <f ca="1">IFERROR(__xludf.DUMMYFUNCTION("IFERROR(VLOOKUP(E243&amp;F243,IMPORTRANGE(""https://docs.google.com/spreadsheets/d/1Uw7-A9f9R21vMXxHZFNpYNeKFtG8_yji4HS352LGlSQ/edit?pli=1#gid=0"",""1_ACUM!A4:S""),16,FALSE))"),"")</f>
        <v/>
      </c>
      <c r="BC226" s="43" t="str">
        <f ca="1">IFERROR(__xludf.DUMMYFUNCTION("IFERROR(VLOOKUP(E243&amp;F243,IMPORTRANGE(""https://docs.google.com/spreadsheets/d/1Uw7-A9f9R21vMXxHZFNpYNeKFtG8_yji4HS352LGlSQ/edit?pli=1#gid=0"",""1_ACUM!A4:S""),17,FALSE))"),"")</f>
        <v/>
      </c>
      <c r="BD226" s="44" t="str">
        <f ca="1">IFERROR(__xludf.DUMMYFUNCTION("IFERROR(VLOOKUP(E243&amp;F243,IMPORTRANGE(""https://docs.google.com/spreadsheets/d/1Uw7-A9f9R21vMXxHZFNpYNeKFtG8_yji4HS352LGlSQ/edit?pli=1#gid=0"",""1_ACUM!A4:S""),18,FALSE))"),"")</f>
        <v/>
      </c>
      <c r="BE226" s="44" t="str">
        <f ca="1">IFERROR(__xludf.DUMMYFUNCTION("IFERROR(VLOOKUP(E243&amp;F243,IMPORTRANGE(""https://docs.google.com/spreadsheets/d/1Uw7-A9f9R21vMXxHZFNpYNeKFtG8_yji4HS352LGlSQ/edit?pli=1#gid=0"",""1_ACUM!A4:S""),19,FALSE))"),"")</f>
        <v/>
      </c>
      <c r="BF226" s="44" t="str">
        <f ca="1">IFERROR(__xludf.DUMMYFUNCTION("IFERROR(VLOOKUP(F243,IMPORTRANGE(""https://docs.google.com/spreadsheets/d/1Kvs4KS76FHFqLFIZfrDMff4kP08nblUkihrxltoGBjg/edit#gid=934712705"",""ESENCIAL!A6:BG""),5,FALSE))"),"")</f>
        <v/>
      </c>
      <c r="BG226" s="44" t="str">
        <f t="shared" si="33"/>
        <v/>
      </c>
      <c r="BH226" s="41" t="str">
        <f t="shared" si="34"/>
        <v/>
      </c>
      <c r="BI226" s="41" t="str">
        <f ca="1">IFERROR(__xludf.DUMMYFUNCTION("IFERROR(VLOOKUP(F243,IMPORTRANGE(""https://docs.google.com/spreadsheets/d/1Kvs4KS76FHFqLFIZfrDMff4kP08nblUkihrxltoGBjg/edit#gid=934712705"",""ESENCIAL!A6:BG""),18,FALSE))"),"")</f>
        <v/>
      </c>
      <c r="BJ226" s="19" t="str">
        <f t="shared" si="35"/>
        <v/>
      </c>
      <c r="BK226" s="41"/>
      <c r="BL226" s="41"/>
    </row>
    <row r="227" spans="1:64" ht="15">
      <c r="A227" s="4"/>
      <c r="B227" s="4"/>
      <c r="G227" s="5" t="str">
        <f ca="1">IFERROR(__xludf.DUMMYFUNCTION("IFERROR(VLOOKUP(F244,IMPORTRANGE(""https://docs.google.com/spreadsheets/d/1Kvs4KS76FHFqLFIZfrDMff4kP08nblUkihrxltoGBjg/edit#gid=934712705"",""ESENCIAL!A6:BG""),3,FALSE))"),"")</f>
        <v/>
      </c>
      <c r="H227" s="5" t="str">
        <f ca="1">IFERROR(__xludf.DUMMYFUNCTION("IFERROR(VLOOKUP(F244,IMPORTRANGE(""https://docs.google.com/spreadsheets/d/1Kvs4KS76FHFqLFIZfrDMff4kP08nblUkihrxltoGBjg/edit#gid=934712705"",""ESENCIAL!A6:BG""),8,FALSE))"),"")</f>
        <v/>
      </c>
      <c r="L227" s="287"/>
      <c r="S227"/>
      <c r="AU227" s="41" t="str">
        <f t="shared" si="32"/>
        <v/>
      </c>
      <c r="AV227" s="5" t="str">
        <f ca="1">IFERROR(__xludf.DUMMYFUNCTION("IFERROR(VLOOKUP(E244&amp;F244,IMPORTRANGE(""https://docs.google.com/spreadsheets/d/1Uw7-A9f9R21vMXxHZFNpYNeKFtG8_yji4HS352LGlSQ/edit?pli=1#gid=0"",""1_ACUM!A4:S""),11,FALSE))"),"")</f>
        <v/>
      </c>
      <c r="AW227" s="42" t="str">
        <f ca="1">IFERROR(__xludf.DUMMYFUNCTION("IFERROR(VLOOKUP(F244,IMPORTRANGE(""https://docs.google.com/spreadsheets/d/1Kvs4KS76FHFqLFIZfrDMff4kP08nblUkihrxltoGBjg/edit#gid=934712705"",""ESENCIAL!A6:BG""),15,FALSE))"),"")</f>
        <v/>
      </c>
      <c r="AX227" s="21" t="str">
        <f ca="1">IFERROR(__xludf.DUMMYFUNCTION("IFERROR(VLOOKUP(E244&amp;F244,IMPORTRANGE(""https://docs.google.com/spreadsheets/d/1Uw7-A9f9R21vMXxHZFNpYNeKFtG8_yji4HS352LGlSQ/edit?pli=1#gid=0"",""1_ACUM!A4:S""),12,FALSE))"),"")</f>
        <v/>
      </c>
      <c r="AY227" s="43" t="str">
        <f ca="1">IFERROR(__xludf.DUMMYFUNCTION("IFERROR(VLOOKUP(E244&amp;F244,IMPORTRANGE(""https://docs.google.com/spreadsheets/d/1Uw7-A9f9R21vMXxHZFNpYNeKFtG8_yji4HS352LGlSQ/edit?pli=1#gid=0"",""1_ACUM!A4:S""),13,FALSE))"),"")</f>
        <v/>
      </c>
      <c r="AZ227" s="43" t="str">
        <f ca="1">IFERROR(__xludf.DUMMYFUNCTION("IFERROR(VLOOKUP(E244&amp;F244,IMPORTRANGE(""https://docs.google.com/spreadsheets/d/1Uw7-A9f9R21vMXxHZFNpYNeKFtG8_yji4HS352LGlSQ/edit?pli=1#gid=0"",""1_ACUM!A4:S""),14,FALSE))"),"")</f>
        <v/>
      </c>
      <c r="BA227" s="43" t="str">
        <f ca="1">IFERROR(__xludf.DUMMYFUNCTION("IFERROR(VLOOKUP(E244&amp;F244,IMPORTRANGE(""https://docs.google.com/spreadsheets/d/1Uw7-A9f9R21vMXxHZFNpYNeKFtG8_yji4HS352LGlSQ/edit?pli=1#gid=0"",""1_ACUM!A4:S""),15,FALSE))"),"")</f>
        <v/>
      </c>
      <c r="BB227" s="43" t="str">
        <f ca="1">IFERROR(__xludf.DUMMYFUNCTION("IFERROR(VLOOKUP(E244&amp;F244,IMPORTRANGE(""https://docs.google.com/spreadsheets/d/1Uw7-A9f9R21vMXxHZFNpYNeKFtG8_yji4HS352LGlSQ/edit?pli=1#gid=0"",""1_ACUM!A4:S""),16,FALSE))"),"")</f>
        <v/>
      </c>
      <c r="BC227" s="43" t="str">
        <f ca="1">IFERROR(__xludf.DUMMYFUNCTION("IFERROR(VLOOKUP(E244&amp;F244,IMPORTRANGE(""https://docs.google.com/spreadsheets/d/1Uw7-A9f9R21vMXxHZFNpYNeKFtG8_yji4HS352LGlSQ/edit?pli=1#gid=0"",""1_ACUM!A4:S""),17,FALSE))"),"")</f>
        <v/>
      </c>
      <c r="BD227" s="44" t="str">
        <f ca="1">IFERROR(__xludf.DUMMYFUNCTION("IFERROR(VLOOKUP(E244&amp;F244,IMPORTRANGE(""https://docs.google.com/spreadsheets/d/1Uw7-A9f9R21vMXxHZFNpYNeKFtG8_yji4HS352LGlSQ/edit?pli=1#gid=0"",""1_ACUM!A4:S""),18,FALSE))"),"")</f>
        <v/>
      </c>
      <c r="BE227" s="44" t="str">
        <f ca="1">IFERROR(__xludf.DUMMYFUNCTION("IFERROR(VLOOKUP(E244&amp;F244,IMPORTRANGE(""https://docs.google.com/spreadsheets/d/1Uw7-A9f9R21vMXxHZFNpYNeKFtG8_yji4HS352LGlSQ/edit?pli=1#gid=0"",""1_ACUM!A4:S""),19,FALSE))"),"")</f>
        <v/>
      </c>
      <c r="BF227" s="44" t="str">
        <f ca="1">IFERROR(__xludf.DUMMYFUNCTION("IFERROR(VLOOKUP(F244,IMPORTRANGE(""https://docs.google.com/spreadsheets/d/1Kvs4KS76FHFqLFIZfrDMff4kP08nblUkihrxltoGBjg/edit#gid=934712705"",""ESENCIAL!A6:BG""),5,FALSE))"),"")</f>
        <v/>
      </c>
      <c r="BG227" s="44" t="str">
        <f t="shared" si="33"/>
        <v/>
      </c>
      <c r="BH227" s="41" t="str">
        <f t="shared" si="34"/>
        <v/>
      </c>
      <c r="BI227" s="41" t="str">
        <f ca="1">IFERROR(__xludf.DUMMYFUNCTION("IFERROR(VLOOKUP(F244,IMPORTRANGE(""https://docs.google.com/spreadsheets/d/1Kvs4KS76FHFqLFIZfrDMff4kP08nblUkihrxltoGBjg/edit#gid=934712705"",""ESENCIAL!A6:BG""),18,FALSE))"),"")</f>
        <v/>
      </c>
      <c r="BJ227" s="19" t="str">
        <f t="shared" si="35"/>
        <v/>
      </c>
      <c r="BK227" s="41"/>
      <c r="BL227" s="41"/>
    </row>
    <row r="228" spans="1:64" ht="15">
      <c r="A228" s="4"/>
      <c r="B228" s="4"/>
      <c r="G228" s="5" t="str">
        <f ca="1">IFERROR(__xludf.DUMMYFUNCTION("IFERROR(VLOOKUP(F245,IMPORTRANGE(""https://docs.google.com/spreadsheets/d/1Kvs4KS76FHFqLFIZfrDMff4kP08nblUkihrxltoGBjg/edit#gid=934712705"",""ESENCIAL!A6:BG""),3,FALSE))"),"")</f>
        <v/>
      </c>
      <c r="H228" s="5" t="str">
        <f ca="1">IFERROR(__xludf.DUMMYFUNCTION("IFERROR(VLOOKUP(F245,IMPORTRANGE(""https://docs.google.com/spreadsheets/d/1Kvs4KS76FHFqLFIZfrDMff4kP08nblUkihrxltoGBjg/edit#gid=934712705"",""ESENCIAL!A6:BG""),8,FALSE))"),"")</f>
        <v/>
      </c>
      <c r="L228" s="287"/>
      <c r="S228"/>
      <c r="AU228" s="41" t="str">
        <f t="shared" si="32"/>
        <v/>
      </c>
      <c r="AV228" s="5" t="str">
        <f ca="1">IFERROR(__xludf.DUMMYFUNCTION("IFERROR(VLOOKUP(E245&amp;F245,IMPORTRANGE(""https://docs.google.com/spreadsheets/d/1Uw7-A9f9R21vMXxHZFNpYNeKFtG8_yji4HS352LGlSQ/edit?pli=1#gid=0"",""1_ACUM!A4:S""),11,FALSE))"),"")</f>
        <v/>
      </c>
      <c r="AW228" s="42" t="str">
        <f ca="1">IFERROR(__xludf.DUMMYFUNCTION("IFERROR(VLOOKUP(F245,IMPORTRANGE(""https://docs.google.com/spreadsheets/d/1Kvs4KS76FHFqLFIZfrDMff4kP08nblUkihrxltoGBjg/edit#gid=934712705"",""ESENCIAL!A6:BG""),15,FALSE))"),"")</f>
        <v/>
      </c>
      <c r="AX228" s="21" t="str">
        <f ca="1">IFERROR(__xludf.DUMMYFUNCTION("IFERROR(VLOOKUP(E245&amp;F245,IMPORTRANGE(""https://docs.google.com/spreadsheets/d/1Uw7-A9f9R21vMXxHZFNpYNeKFtG8_yji4HS352LGlSQ/edit?pli=1#gid=0"",""1_ACUM!A4:S""),12,FALSE))"),"")</f>
        <v/>
      </c>
      <c r="AY228" s="43" t="str">
        <f ca="1">IFERROR(__xludf.DUMMYFUNCTION("IFERROR(VLOOKUP(E245&amp;F245,IMPORTRANGE(""https://docs.google.com/spreadsheets/d/1Uw7-A9f9R21vMXxHZFNpYNeKFtG8_yji4HS352LGlSQ/edit?pli=1#gid=0"",""1_ACUM!A4:S""),13,FALSE))"),"")</f>
        <v/>
      </c>
      <c r="AZ228" s="43" t="str">
        <f ca="1">IFERROR(__xludf.DUMMYFUNCTION("IFERROR(VLOOKUP(E245&amp;F245,IMPORTRANGE(""https://docs.google.com/spreadsheets/d/1Uw7-A9f9R21vMXxHZFNpYNeKFtG8_yji4HS352LGlSQ/edit?pli=1#gid=0"",""1_ACUM!A4:S""),14,FALSE))"),"")</f>
        <v/>
      </c>
      <c r="BA228" s="43" t="str">
        <f ca="1">IFERROR(__xludf.DUMMYFUNCTION("IFERROR(VLOOKUP(E245&amp;F245,IMPORTRANGE(""https://docs.google.com/spreadsheets/d/1Uw7-A9f9R21vMXxHZFNpYNeKFtG8_yji4HS352LGlSQ/edit?pli=1#gid=0"",""1_ACUM!A4:S""),15,FALSE))"),"")</f>
        <v/>
      </c>
      <c r="BB228" s="43" t="str">
        <f ca="1">IFERROR(__xludf.DUMMYFUNCTION("IFERROR(VLOOKUP(E245&amp;F245,IMPORTRANGE(""https://docs.google.com/spreadsheets/d/1Uw7-A9f9R21vMXxHZFNpYNeKFtG8_yji4HS352LGlSQ/edit?pli=1#gid=0"",""1_ACUM!A4:S""),16,FALSE))"),"")</f>
        <v/>
      </c>
      <c r="BC228" s="43" t="str">
        <f ca="1">IFERROR(__xludf.DUMMYFUNCTION("IFERROR(VLOOKUP(E245&amp;F245,IMPORTRANGE(""https://docs.google.com/spreadsheets/d/1Uw7-A9f9R21vMXxHZFNpYNeKFtG8_yji4HS352LGlSQ/edit?pli=1#gid=0"",""1_ACUM!A4:S""),17,FALSE))"),"")</f>
        <v/>
      </c>
      <c r="BD228" s="44" t="str">
        <f ca="1">IFERROR(__xludf.DUMMYFUNCTION("IFERROR(VLOOKUP(E245&amp;F245,IMPORTRANGE(""https://docs.google.com/spreadsheets/d/1Uw7-A9f9R21vMXxHZFNpYNeKFtG8_yji4HS352LGlSQ/edit?pli=1#gid=0"",""1_ACUM!A4:S""),18,FALSE))"),"")</f>
        <v/>
      </c>
      <c r="BE228" s="44" t="str">
        <f ca="1">IFERROR(__xludf.DUMMYFUNCTION("IFERROR(VLOOKUP(E245&amp;F245,IMPORTRANGE(""https://docs.google.com/spreadsheets/d/1Uw7-A9f9R21vMXxHZFNpYNeKFtG8_yji4HS352LGlSQ/edit?pli=1#gid=0"",""1_ACUM!A4:S""),19,FALSE))"),"")</f>
        <v/>
      </c>
      <c r="BF228" s="44" t="str">
        <f ca="1">IFERROR(__xludf.DUMMYFUNCTION("IFERROR(VLOOKUP(F245,IMPORTRANGE(""https://docs.google.com/spreadsheets/d/1Kvs4KS76FHFqLFIZfrDMff4kP08nblUkihrxltoGBjg/edit#gid=934712705"",""ESENCIAL!A6:BG""),5,FALSE))"),"")</f>
        <v/>
      </c>
      <c r="BG228" s="44" t="str">
        <f t="shared" si="33"/>
        <v/>
      </c>
      <c r="BH228" s="41" t="str">
        <f t="shared" si="34"/>
        <v/>
      </c>
      <c r="BI228" s="41" t="str">
        <f ca="1">IFERROR(__xludf.DUMMYFUNCTION("IFERROR(VLOOKUP(F245,IMPORTRANGE(""https://docs.google.com/spreadsheets/d/1Kvs4KS76FHFqLFIZfrDMff4kP08nblUkihrxltoGBjg/edit#gid=934712705"",""ESENCIAL!A6:BG""),18,FALSE))"),"")</f>
        <v/>
      </c>
      <c r="BJ228" s="19" t="str">
        <f t="shared" si="35"/>
        <v/>
      </c>
      <c r="BK228" s="41"/>
      <c r="BL228" s="41"/>
    </row>
    <row r="229" spans="1:64" ht="15">
      <c r="A229" s="4"/>
      <c r="B229" s="4"/>
      <c r="G229" s="5" t="str">
        <f ca="1">IFERROR(__xludf.DUMMYFUNCTION("IFERROR(VLOOKUP(F246,IMPORTRANGE(""https://docs.google.com/spreadsheets/d/1Kvs4KS76FHFqLFIZfrDMff4kP08nblUkihrxltoGBjg/edit#gid=934712705"",""ESENCIAL!A6:BG""),3,FALSE))"),"")</f>
        <v/>
      </c>
      <c r="H229" s="5" t="str">
        <f ca="1">IFERROR(__xludf.DUMMYFUNCTION("IFERROR(VLOOKUP(F246,IMPORTRANGE(""https://docs.google.com/spreadsheets/d/1Kvs4KS76FHFqLFIZfrDMff4kP08nblUkihrxltoGBjg/edit#gid=934712705"",""ESENCIAL!A6:BG""),8,FALSE))"),"")</f>
        <v/>
      </c>
      <c r="L229" s="287"/>
      <c r="S229"/>
      <c r="AU229" s="41" t="str">
        <f t="shared" si="32"/>
        <v/>
      </c>
      <c r="AV229" s="5" t="str">
        <f ca="1">IFERROR(__xludf.DUMMYFUNCTION("IFERROR(VLOOKUP(E246&amp;F246,IMPORTRANGE(""https://docs.google.com/spreadsheets/d/1Uw7-A9f9R21vMXxHZFNpYNeKFtG8_yji4HS352LGlSQ/edit?pli=1#gid=0"",""1_ACUM!A4:S""),11,FALSE))"),"")</f>
        <v/>
      </c>
      <c r="AW229" s="42" t="str">
        <f ca="1">IFERROR(__xludf.DUMMYFUNCTION("IFERROR(VLOOKUP(F246,IMPORTRANGE(""https://docs.google.com/spreadsheets/d/1Kvs4KS76FHFqLFIZfrDMff4kP08nblUkihrxltoGBjg/edit#gid=934712705"",""ESENCIAL!A6:BG""),15,FALSE))"),"")</f>
        <v/>
      </c>
      <c r="AX229" s="21" t="str">
        <f ca="1">IFERROR(__xludf.DUMMYFUNCTION("IFERROR(VLOOKUP(E246&amp;F246,IMPORTRANGE(""https://docs.google.com/spreadsheets/d/1Uw7-A9f9R21vMXxHZFNpYNeKFtG8_yji4HS352LGlSQ/edit?pli=1#gid=0"",""1_ACUM!A4:S""),12,FALSE))"),"")</f>
        <v/>
      </c>
      <c r="AY229" s="43" t="str">
        <f ca="1">IFERROR(__xludf.DUMMYFUNCTION("IFERROR(VLOOKUP(E246&amp;F246,IMPORTRANGE(""https://docs.google.com/spreadsheets/d/1Uw7-A9f9R21vMXxHZFNpYNeKFtG8_yji4HS352LGlSQ/edit?pli=1#gid=0"",""1_ACUM!A4:S""),13,FALSE))"),"")</f>
        <v/>
      </c>
      <c r="AZ229" s="43" t="str">
        <f ca="1">IFERROR(__xludf.DUMMYFUNCTION("IFERROR(VLOOKUP(E246&amp;F246,IMPORTRANGE(""https://docs.google.com/spreadsheets/d/1Uw7-A9f9R21vMXxHZFNpYNeKFtG8_yji4HS352LGlSQ/edit?pli=1#gid=0"",""1_ACUM!A4:S""),14,FALSE))"),"")</f>
        <v/>
      </c>
      <c r="BA229" s="43" t="str">
        <f ca="1">IFERROR(__xludf.DUMMYFUNCTION("IFERROR(VLOOKUP(E246&amp;F246,IMPORTRANGE(""https://docs.google.com/spreadsheets/d/1Uw7-A9f9R21vMXxHZFNpYNeKFtG8_yji4HS352LGlSQ/edit?pli=1#gid=0"",""1_ACUM!A4:S""),15,FALSE))"),"")</f>
        <v/>
      </c>
      <c r="BB229" s="43" t="str">
        <f ca="1">IFERROR(__xludf.DUMMYFUNCTION("IFERROR(VLOOKUP(E246&amp;F246,IMPORTRANGE(""https://docs.google.com/spreadsheets/d/1Uw7-A9f9R21vMXxHZFNpYNeKFtG8_yji4HS352LGlSQ/edit?pli=1#gid=0"",""1_ACUM!A4:S""),16,FALSE))"),"")</f>
        <v/>
      </c>
      <c r="BC229" s="43" t="str">
        <f ca="1">IFERROR(__xludf.DUMMYFUNCTION("IFERROR(VLOOKUP(E246&amp;F246,IMPORTRANGE(""https://docs.google.com/spreadsheets/d/1Uw7-A9f9R21vMXxHZFNpYNeKFtG8_yji4HS352LGlSQ/edit?pli=1#gid=0"",""1_ACUM!A4:S""),17,FALSE))"),"")</f>
        <v/>
      </c>
      <c r="BD229" s="44" t="str">
        <f ca="1">IFERROR(__xludf.DUMMYFUNCTION("IFERROR(VLOOKUP(E246&amp;F246,IMPORTRANGE(""https://docs.google.com/spreadsheets/d/1Uw7-A9f9R21vMXxHZFNpYNeKFtG8_yji4HS352LGlSQ/edit?pli=1#gid=0"",""1_ACUM!A4:S""),18,FALSE))"),"")</f>
        <v/>
      </c>
      <c r="BE229" s="44" t="str">
        <f ca="1">IFERROR(__xludf.DUMMYFUNCTION("IFERROR(VLOOKUP(E246&amp;F246,IMPORTRANGE(""https://docs.google.com/spreadsheets/d/1Uw7-A9f9R21vMXxHZFNpYNeKFtG8_yji4HS352LGlSQ/edit?pli=1#gid=0"",""1_ACUM!A4:S""),19,FALSE))"),"")</f>
        <v/>
      </c>
      <c r="BF229" s="44" t="str">
        <f ca="1">IFERROR(__xludf.DUMMYFUNCTION("IFERROR(VLOOKUP(F246,IMPORTRANGE(""https://docs.google.com/spreadsheets/d/1Kvs4KS76FHFqLFIZfrDMff4kP08nblUkihrxltoGBjg/edit#gid=934712705"",""ESENCIAL!A6:BG""),5,FALSE))"),"")</f>
        <v/>
      </c>
      <c r="BG229" s="44" t="str">
        <f t="shared" si="33"/>
        <v/>
      </c>
      <c r="BH229" s="41" t="str">
        <f t="shared" si="34"/>
        <v/>
      </c>
      <c r="BI229" s="41" t="str">
        <f ca="1">IFERROR(__xludf.DUMMYFUNCTION("IFERROR(VLOOKUP(F246,IMPORTRANGE(""https://docs.google.com/spreadsheets/d/1Kvs4KS76FHFqLFIZfrDMff4kP08nblUkihrxltoGBjg/edit#gid=934712705"",""ESENCIAL!A6:BG""),18,FALSE))"),"")</f>
        <v/>
      </c>
      <c r="BJ229" s="19" t="str">
        <f t="shared" si="35"/>
        <v/>
      </c>
      <c r="BK229" s="41"/>
      <c r="BL229" s="41"/>
    </row>
    <row r="230" spans="1:64" ht="15">
      <c r="A230" s="4"/>
      <c r="B230" s="4"/>
      <c r="G230" s="5" t="str">
        <f ca="1">IFERROR(__xludf.DUMMYFUNCTION("IFERROR(VLOOKUP(F247,IMPORTRANGE(""https://docs.google.com/spreadsheets/d/1Kvs4KS76FHFqLFIZfrDMff4kP08nblUkihrxltoGBjg/edit#gid=934712705"",""ESENCIAL!A6:BG""),3,FALSE))"),"")</f>
        <v/>
      </c>
      <c r="H230" s="5" t="str">
        <f ca="1">IFERROR(__xludf.DUMMYFUNCTION("IFERROR(VLOOKUP(F247,IMPORTRANGE(""https://docs.google.com/spreadsheets/d/1Kvs4KS76FHFqLFIZfrDMff4kP08nblUkihrxltoGBjg/edit#gid=934712705"",""ESENCIAL!A6:BG""),8,FALSE))"),"")</f>
        <v/>
      </c>
      <c r="L230" s="287"/>
      <c r="S230"/>
      <c r="AU230" s="41" t="str">
        <f t="shared" si="32"/>
        <v/>
      </c>
      <c r="AV230" s="5" t="str">
        <f ca="1">IFERROR(__xludf.DUMMYFUNCTION("IFERROR(VLOOKUP(E247&amp;F247,IMPORTRANGE(""https://docs.google.com/spreadsheets/d/1Uw7-A9f9R21vMXxHZFNpYNeKFtG8_yji4HS352LGlSQ/edit?pli=1#gid=0"",""1_ACUM!A4:S""),11,FALSE))"),"")</f>
        <v/>
      </c>
      <c r="AW230" s="42" t="str">
        <f ca="1">IFERROR(__xludf.DUMMYFUNCTION("IFERROR(VLOOKUP(F247,IMPORTRANGE(""https://docs.google.com/spreadsheets/d/1Kvs4KS76FHFqLFIZfrDMff4kP08nblUkihrxltoGBjg/edit#gid=934712705"",""ESENCIAL!A6:BG""),15,FALSE))"),"")</f>
        <v/>
      </c>
      <c r="AX230" s="21" t="str">
        <f ca="1">IFERROR(__xludf.DUMMYFUNCTION("IFERROR(VLOOKUP(E247&amp;F247,IMPORTRANGE(""https://docs.google.com/spreadsheets/d/1Uw7-A9f9R21vMXxHZFNpYNeKFtG8_yji4HS352LGlSQ/edit?pli=1#gid=0"",""1_ACUM!A4:S""),12,FALSE))"),"")</f>
        <v/>
      </c>
      <c r="AY230" s="43" t="str">
        <f ca="1">IFERROR(__xludf.DUMMYFUNCTION("IFERROR(VLOOKUP(E247&amp;F247,IMPORTRANGE(""https://docs.google.com/spreadsheets/d/1Uw7-A9f9R21vMXxHZFNpYNeKFtG8_yji4HS352LGlSQ/edit?pli=1#gid=0"",""1_ACUM!A4:S""),13,FALSE))"),"")</f>
        <v/>
      </c>
      <c r="AZ230" s="43" t="str">
        <f ca="1">IFERROR(__xludf.DUMMYFUNCTION("IFERROR(VLOOKUP(E247&amp;F247,IMPORTRANGE(""https://docs.google.com/spreadsheets/d/1Uw7-A9f9R21vMXxHZFNpYNeKFtG8_yji4HS352LGlSQ/edit?pli=1#gid=0"",""1_ACUM!A4:S""),14,FALSE))"),"")</f>
        <v/>
      </c>
      <c r="BA230" s="43" t="str">
        <f ca="1">IFERROR(__xludf.DUMMYFUNCTION("IFERROR(VLOOKUP(E247&amp;F247,IMPORTRANGE(""https://docs.google.com/spreadsheets/d/1Uw7-A9f9R21vMXxHZFNpYNeKFtG8_yji4HS352LGlSQ/edit?pli=1#gid=0"",""1_ACUM!A4:S""),15,FALSE))"),"")</f>
        <v/>
      </c>
      <c r="BB230" s="43" t="str">
        <f ca="1">IFERROR(__xludf.DUMMYFUNCTION("IFERROR(VLOOKUP(E247&amp;F247,IMPORTRANGE(""https://docs.google.com/spreadsheets/d/1Uw7-A9f9R21vMXxHZFNpYNeKFtG8_yji4HS352LGlSQ/edit?pli=1#gid=0"",""1_ACUM!A4:S""),16,FALSE))"),"")</f>
        <v/>
      </c>
      <c r="BC230" s="43" t="str">
        <f ca="1">IFERROR(__xludf.DUMMYFUNCTION("IFERROR(VLOOKUP(E247&amp;F247,IMPORTRANGE(""https://docs.google.com/spreadsheets/d/1Uw7-A9f9R21vMXxHZFNpYNeKFtG8_yji4HS352LGlSQ/edit?pli=1#gid=0"",""1_ACUM!A4:S""),17,FALSE))"),"")</f>
        <v/>
      </c>
      <c r="BD230" s="44" t="str">
        <f ca="1">IFERROR(__xludf.DUMMYFUNCTION("IFERROR(VLOOKUP(E247&amp;F247,IMPORTRANGE(""https://docs.google.com/spreadsheets/d/1Uw7-A9f9R21vMXxHZFNpYNeKFtG8_yji4HS352LGlSQ/edit?pli=1#gid=0"",""1_ACUM!A4:S""),18,FALSE))"),"")</f>
        <v/>
      </c>
      <c r="BE230" s="44" t="str">
        <f ca="1">IFERROR(__xludf.DUMMYFUNCTION("IFERROR(VLOOKUP(E247&amp;F247,IMPORTRANGE(""https://docs.google.com/spreadsheets/d/1Uw7-A9f9R21vMXxHZFNpYNeKFtG8_yji4HS352LGlSQ/edit?pli=1#gid=0"",""1_ACUM!A4:S""),19,FALSE))"),"")</f>
        <v/>
      </c>
      <c r="BF230" s="44" t="str">
        <f ca="1">IFERROR(__xludf.DUMMYFUNCTION("IFERROR(VLOOKUP(F247,IMPORTRANGE(""https://docs.google.com/spreadsheets/d/1Kvs4KS76FHFqLFIZfrDMff4kP08nblUkihrxltoGBjg/edit#gid=934712705"",""ESENCIAL!A6:BG""),5,FALSE))"),"")</f>
        <v/>
      </c>
      <c r="BG230" s="44" t="str">
        <f t="shared" si="33"/>
        <v/>
      </c>
      <c r="BH230" s="41" t="str">
        <f t="shared" si="34"/>
        <v/>
      </c>
      <c r="BI230" s="41" t="str">
        <f ca="1">IFERROR(__xludf.DUMMYFUNCTION("IFERROR(VLOOKUP(F247,IMPORTRANGE(""https://docs.google.com/spreadsheets/d/1Kvs4KS76FHFqLFIZfrDMff4kP08nblUkihrxltoGBjg/edit#gid=934712705"",""ESENCIAL!A6:BG""),18,FALSE))"),"")</f>
        <v/>
      </c>
      <c r="BJ230" s="19" t="str">
        <f t="shared" si="35"/>
        <v/>
      </c>
      <c r="BK230" s="41"/>
      <c r="BL230" s="41"/>
    </row>
    <row r="231" spans="1:64" ht="15">
      <c r="A231" s="4"/>
      <c r="B231" s="4"/>
      <c r="G231" s="5" t="str">
        <f ca="1">IFERROR(__xludf.DUMMYFUNCTION("IFERROR(VLOOKUP(F248,IMPORTRANGE(""https://docs.google.com/spreadsheets/d/1Kvs4KS76FHFqLFIZfrDMff4kP08nblUkihrxltoGBjg/edit#gid=934712705"",""ESENCIAL!A6:BG""),3,FALSE))"),"")</f>
        <v/>
      </c>
      <c r="H231" s="5" t="str">
        <f ca="1">IFERROR(__xludf.DUMMYFUNCTION("IFERROR(VLOOKUP(F248,IMPORTRANGE(""https://docs.google.com/spreadsheets/d/1Kvs4KS76FHFqLFIZfrDMff4kP08nblUkihrxltoGBjg/edit#gid=934712705"",""ESENCIAL!A6:BG""),8,FALSE))"),"")</f>
        <v/>
      </c>
      <c r="L231" s="287"/>
      <c r="S231"/>
      <c r="AU231" s="41" t="str">
        <f t="shared" si="32"/>
        <v/>
      </c>
      <c r="AV231" s="5" t="str">
        <f ca="1">IFERROR(__xludf.DUMMYFUNCTION("IFERROR(VLOOKUP(E248&amp;F248,IMPORTRANGE(""https://docs.google.com/spreadsheets/d/1Uw7-A9f9R21vMXxHZFNpYNeKFtG8_yji4HS352LGlSQ/edit?pli=1#gid=0"",""1_ACUM!A4:S""),11,FALSE))"),"")</f>
        <v/>
      </c>
      <c r="AW231" s="42" t="str">
        <f ca="1">IFERROR(__xludf.DUMMYFUNCTION("IFERROR(VLOOKUP(F248,IMPORTRANGE(""https://docs.google.com/spreadsheets/d/1Kvs4KS76FHFqLFIZfrDMff4kP08nblUkihrxltoGBjg/edit#gid=934712705"",""ESENCIAL!A6:BG""),15,FALSE))"),"")</f>
        <v/>
      </c>
      <c r="AX231" s="21" t="str">
        <f ca="1">IFERROR(__xludf.DUMMYFUNCTION("IFERROR(VLOOKUP(E248&amp;F248,IMPORTRANGE(""https://docs.google.com/spreadsheets/d/1Uw7-A9f9R21vMXxHZFNpYNeKFtG8_yji4HS352LGlSQ/edit?pli=1#gid=0"",""1_ACUM!A4:S""),12,FALSE))"),"")</f>
        <v/>
      </c>
      <c r="AY231" s="43" t="str">
        <f ca="1">IFERROR(__xludf.DUMMYFUNCTION("IFERROR(VLOOKUP(E248&amp;F248,IMPORTRANGE(""https://docs.google.com/spreadsheets/d/1Uw7-A9f9R21vMXxHZFNpYNeKFtG8_yji4HS352LGlSQ/edit?pli=1#gid=0"",""1_ACUM!A4:S""),13,FALSE))"),"")</f>
        <v/>
      </c>
      <c r="AZ231" s="43" t="str">
        <f ca="1">IFERROR(__xludf.DUMMYFUNCTION("IFERROR(VLOOKUP(E248&amp;F248,IMPORTRANGE(""https://docs.google.com/spreadsheets/d/1Uw7-A9f9R21vMXxHZFNpYNeKFtG8_yji4HS352LGlSQ/edit?pli=1#gid=0"",""1_ACUM!A4:S""),14,FALSE))"),"")</f>
        <v/>
      </c>
      <c r="BA231" s="43" t="str">
        <f ca="1">IFERROR(__xludf.DUMMYFUNCTION("IFERROR(VLOOKUP(E248&amp;F248,IMPORTRANGE(""https://docs.google.com/spreadsheets/d/1Uw7-A9f9R21vMXxHZFNpYNeKFtG8_yji4HS352LGlSQ/edit?pli=1#gid=0"",""1_ACUM!A4:S""),15,FALSE))"),"")</f>
        <v/>
      </c>
      <c r="BB231" s="43" t="str">
        <f ca="1">IFERROR(__xludf.DUMMYFUNCTION("IFERROR(VLOOKUP(E248&amp;F248,IMPORTRANGE(""https://docs.google.com/spreadsheets/d/1Uw7-A9f9R21vMXxHZFNpYNeKFtG8_yji4HS352LGlSQ/edit?pli=1#gid=0"",""1_ACUM!A4:S""),16,FALSE))"),"")</f>
        <v/>
      </c>
      <c r="BC231" s="43" t="str">
        <f ca="1">IFERROR(__xludf.DUMMYFUNCTION("IFERROR(VLOOKUP(E248&amp;F248,IMPORTRANGE(""https://docs.google.com/spreadsheets/d/1Uw7-A9f9R21vMXxHZFNpYNeKFtG8_yji4HS352LGlSQ/edit?pli=1#gid=0"",""1_ACUM!A4:S""),17,FALSE))"),"")</f>
        <v/>
      </c>
      <c r="BD231" s="44" t="str">
        <f ca="1">IFERROR(__xludf.DUMMYFUNCTION("IFERROR(VLOOKUP(E248&amp;F248,IMPORTRANGE(""https://docs.google.com/spreadsheets/d/1Uw7-A9f9R21vMXxHZFNpYNeKFtG8_yji4HS352LGlSQ/edit?pli=1#gid=0"",""1_ACUM!A4:S""),18,FALSE))"),"")</f>
        <v/>
      </c>
      <c r="BE231" s="44" t="str">
        <f ca="1">IFERROR(__xludf.DUMMYFUNCTION("IFERROR(VLOOKUP(E248&amp;F248,IMPORTRANGE(""https://docs.google.com/spreadsheets/d/1Uw7-A9f9R21vMXxHZFNpYNeKFtG8_yji4HS352LGlSQ/edit?pli=1#gid=0"",""1_ACUM!A4:S""),19,FALSE))"),"")</f>
        <v/>
      </c>
      <c r="BF231" s="44" t="str">
        <f ca="1">IFERROR(__xludf.DUMMYFUNCTION("IFERROR(VLOOKUP(F248,IMPORTRANGE(""https://docs.google.com/spreadsheets/d/1Kvs4KS76FHFqLFIZfrDMff4kP08nblUkihrxltoGBjg/edit#gid=934712705"",""ESENCIAL!A6:BG""),5,FALSE))"),"")</f>
        <v/>
      </c>
      <c r="BG231" s="44" t="str">
        <f t="shared" si="33"/>
        <v/>
      </c>
      <c r="BH231" s="41" t="str">
        <f t="shared" si="34"/>
        <v/>
      </c>
      <c r="BI231" s="41" t="str">
        <f ca="1">IFERROR(__xludf.DUMMYFUNCTION("IFERROR(VLOOKUP(F248,IMPORTRANGE(""https://docs.google.com/spreadsheets/d/1Kvs4KS76FHFqLFIZfrDMff4kP08nblUkihrxltoGBjg/edit#gid=934712705"",""ESENCIAL!A6:BG""),18,FALSE))"),"")</f>
        <v/>
      </c>
      <c r="BJ231" s="19" t="str">
        <f t="shared" si="35"/>
        <v/>
      </c>
      <c r="BK231" s="41"/>
      <c r="BL231" s="41"/>
    </row>
    <row r="232" spans="1:64" ht="15">
      <c r="A232" s="4"/>
      <c r="B232" s="4"/>
      <c r="G232" s="5" t="str">
        <f ca="1">IFERROR(__xludf.DUMMYFUNCTION("IFERROR(VLOOKUP(F249,IMPORTRANGE(""https://docs.google.com/spreadsheets/d/1Kvs4KS76FHFqLFIZfrDMff4kP08nblUkihrxltoGBjg/edit#gid=934712705"",""ESENCIAL!A6:BG""),3,FALSE))"),"")</f>
        <v/>
      </c>
      <c r="H232" s="5" t="str">
        <f ca="1">IFERROR(__xludf.DUMMYFUNCTION("IFERROR(VLOOKUP(F249,IMPORTRANGE(""https://docs.google.com/spreadsheets/d/1Kvs4KS76FHFqLFIZfrDMff4kP08nblUkihrxltoGBjg/edit#gid=934712705"",""ESENCIAL!A6:BG""),8,FALSE))"),"")</f>
        <v/>
      </c>
      <c r="L232" s="287"/>
      <c r="S232"/>
      <c r="AU232" s="41" t="str">
        <f t="shared" si="32"/>
        <v/>
      </c>
      <c r="AV232" s="5" t="str">
        <f ca="1">IFERROR(__xludf.DUMMYFUNCTION("IFERROR(VLOOKUP(E249&amp;F249,IMPORTRANGE(""https://docs.google.com/spreadsheets/d/1Uw7-A9f9R21vMXxHZFNpYNeKFtG8_yji4HS352LGlSQ/edit?pli=1#gid=0"",""1_ACUM!A4:S""),11,FALSE))"),"")</f>
        <v/>
      </c>
      <c r="AW232" s="42" t="str">
        <f ca="1">IFERROR(__xludf.DUMMYFUNCTION("IFERROR(VLOOKUP(F249,IMPORTRANGE(""https://docs.google.com/spreadsheets/d/1Kvs4KS76FHFqLFIZfrDMff4kP08nblUkihrxltoGBjg/edit#gid=934712705"",""ESENCIAL!A6:BG""),15,FALSE))"),"")</f>
        <v/>
      </c>
      <c r="AX232" s="21" t="str">
        <f ca="1">IFERROR(__xludf.DUMMYFUNCTION("IFERROR(VLOOKUP(E249&amp;F249,IMPORTRANGE(""https://docs.google.com/spreadsheets/d/1Uw7-A9f9R21vMXxHZFNpYNeKFtG8_yji4HS352LGlSQ/edit?pli=1#gid=0"",""1_ACUM!A4:S""),12,FALSE))"),"")</f>
        <v/>
      </c>
      <c r="AY232" s="43" t="str">
        <f ca="1">IFERROR(__xludf.DUMMYFUNCTION("IFERROR(VLOOKUP(E249&amp;F249,IMPORTRANGE(""https://docs.google.com/spreadsheets/d/1Uw7-A9f9R21vMXxHZFNpYNeKFtG8_yji4HS352LGlSQ/edit?pli=1#gid=0"",""1_ACUM!A4:S""),13,FALSE))"),"")</f>
        <v/>
      </c>
      <c r="AZ232" s="43" t="str">
        <f ca="1">IFERROR(__xludf.DUMMYFUNCTION("IFERROR(VLOOKUP(E249&amp;F249,IMPORTRANGE(""https://docs.google.com/spreadsheets/d/1Uw7-A9f9R21vMXxHZFNpYNeKFtG8_yji4HS352LGlSQ/edit?pli=1#gid=0"",""1_ACUM!A4:S""),14,FALSE))"),"")</f>
        <v/>
      </c>
      <c r="BA232" s="43" t="str">
        <f ca="1">IFERROR(__xludf.DUMMYFUNCTION("IFERROR(VLOOKUP(E249&amp;F249,IMPORTRANGE(""https://docs.google.com/spreadsheets/d/1Uw7-A9f9R21vMXxHZFNpYNeKFtG8_yji4HS352LGlSQ/edit?pli=1#gid=0"",""1_ACUM!A4:S""),15,FALSE))"),"")</f>
        <v/>
      </c>
      <c r="BB232" s="43" t="str">
        <f ca="1">IFERROR(__xludf.DUMMYFUNCTION("IFERROR(VLOOKUP(E249&amp;F249,IMPORTRANGE(""https://docs.google.com/spreadsheets/d/1Uw7-A9f9R21vMXxHZFNpYNeKFtG8_yji4HS352LGlSQ/edit?pli=1#gid=0"",""1_ACUM!A4:S""),16,FALSE))"),"")</f>
        <v/>
      </c>
      <c r="BC232" s="43" t="str">
        <f ca="1">IFERROR(__xludf.DUMMYFUNCTION("IFERROR(VLOOKUP(E249&amp;F249,IMPORTRANGE(""https://docs.google.com/spreadsheets/d/1Uw7-A9f9R21vMXxHZFNpYNeKFtG8_yji4HS352LGlSQ/edit?pli=1#gid=0"",""1_ACUM!A4:S""),17,FALSE))"),"")</f>
        <v/>
      </c>
      <c r="BD232" s="44" t="str">
        <f ca="1">IFERROR(__xludf.DUMMYFUNCTION("IFERROR(VLOOKUP(E249&amp;F249,IMPORTRANGE(""https://docs.google.com/spreadsheets/d/1Uw7-A9f9R21vMXxHZFNpYNeKFtG8_yji4HS352LGlSQ/edit?pli=1#gid=0"",""1_ACUM!A4:S""),18,FALSE))"),"")</f>
        <v/>
      </c>
      <c r="BE232" s="44" t="str">
        <f ca="1">IFERROR(__xludf.DUMMYFUNCTION("IFERROR(VLOOKUP(E249&amp;F249,IMPORTRANGE(""https://docs.google.com/spreadsheets/d/1Uw7-A9f9R21vMXxHZFNpYNeKFtG8_yji4HS352LGlSQ/edit?pli=1#gid=0"",""1_ACUM!A4:S""),19,FALSE))"),"")</f>
        <v/>
      </c>
      <c r="BF232" s="44" t="str">
        <f ca="1">IFERROR(__xludf.DUMMYFUNCTION("IFERROR(VLOOKUP(F249,IMPORTRANGE(""https://docs.google.com/spreadsheets/d/1Kvs4KS76FHFqLFIZfrDMff4kP08nblUkihrxltoGBjg/edit#gid=934712705"",""ESENCIAL!A6:BG""),5,FALSE))"),"")</f>
        <v/>
      </c>
      <c r="BG232" s="44" t="str">
        <f t="shared" si="33"/>
        <v/>
      </c>
      <c r="BH232" s="41" t="str">
        <f t="shared" si="34"/>
        <v/>
      </c>
      <c r="BI232" s="41" t="str">
        <f ca="1">IFERROR(__xludf.DUMMYFUNCTION("IFERROR(VLOOKUP(F249,IMPORTRANGE(""https://docs.google.com/spreadsheets/d/1Kvs4KS76FHFqLFIZfrDMff4kP08nblUkihrxltoGBjg/edit#gid=934712705"",""ESENCIAL!A6:BG""),18,FALSE))"),"")</f>
        <v/>
      </c>
      <c r="BJ232" s="19" t="str">
        <f t="shared" si="35"/>
        <v/>
      </c>
      <c r="BK232" s="41"/>
      <c r="BL232" s="41"/>
    </row>
    <row r="233" spans="1:64" ht="15">
      <c r="A233" s="4"/>
      <c r="B233" s="4"/>
      <c r="G233" s="5" t="str">
        <f ca="1">IFERROR(__xludf.DUMMYFUNCTION("IFERROR(VLOOKUP(F250,IMPORTRANGE(""https://docs.google.com/spreadsheets/d/1Kvs4KS76FHFqLFIZfrDMff4kP08nblUkihrxltoGBjg/edit#gid=934712705"",""ESENCIAL!A6:BG""),3,FALSE))"),"")</f>
        <v/>
      </c>
      <c r="H233" s="5" t="str">
        <f ca="1">IFERROR(__xludf.DUMMYFUNCTION("IFERROR(VLOOKUP(F250,IMPORTRANGE(""https://docs.google.com/spreadsheets/d/1Kvs4KS76FHFqLFIZfrDMff4kP08nblUkihrxltoGBjg/edit#gid=934712705"",""ESENCIAL!A6:BG""),8,FALSE))"),"")</f>
        <v/>
      </c>
      <c r="L233" s="287"/>
      <c r="S233"/>
      <c r="AU233" s="41" t="str">
        <f t="shared" si="32"/>
        <v/>
      </c>
      <c r="AV233" s="5" t="str">
        <f ca="1">IFERROR(__xludf.DUMMYFUNCTION("IFERROR(VLOOKUP(E250&amp;F250,IMPORTRANGE(""https://docs.google.com/spreadsheets/d/1Uw7-A9f9R21vMXxHZFNpYNeKFtG8_yji4HS352LGlSQ/edit?pli=1#gid=0"",""1_ACUM!A4:S""),11,FALSE))"),"")</f>
        <v/>
      </c>
      <c r="AW233" s="42" t="str">
        <f ca="1">IFERROR(__xludf.DUMMYFUNCTION("IFERROR(VLOOKUP(F250,IMPORTRANGE(""https://docs.google.com/spreadsheets/d/1Kvs4KS76FHFqLFIZfrDMff4kP08nblUkihrxltoGBjg/edit#gid=934712705"",""ESENCIAL!A6:BG""),15,FALSE))"),"")</f>
        <v/>
      </c>
      <c r="AX233" s="21" t="str">
        <f ca="1">IFERROR(__xludf.DUMMYFUNCTION("IFERROR(VLOOKUP(E250&amp;F250,IMPORTRANGE(""https://docs.google.com/spreadsheets/d/1Uw7-A9f9R21vMXxHZFNpYNeKFtG8_yji4HS352LGlSQ/edit?pli=1#gid=0"",""1_ACUM!A4:S""),12,FALSE))"),"")</f>
        <v/>
      </c>
      <c r="AY233" s="43" t="str">
        <f ca="1">IFERROR(__xludf.DUMMYFUNCTION("IFERROR(VLOOKUP(E250&amp;F250,IMPORTRANGE(""https://docs.google.com/spreadsheets/d/1Uw7-A9f9R21vMXxHZFNpYNeKFtG8_yji4HS352LGlSQ/edit?pli=1#gid=0"",""1_ACUM!A4:S""),13,FALSE))"),"")</f>
        <v/>
      </c>
      <c r="AZ233" s="43" t="str">
        <f ca="1">IFERROR(__xludf.DUMMYFUNCTION("IFERROR(VLOOKUP(E250&amp;F250,IMPORTRANGE(""https://docs.google.com/spreadsheets/d/1Uw7-A9f9R21vMXxHZFNpYNeKFtG8_yji4HS352LGlSQ/edit?pli=1#gid=0"",""1_ACUM!A4:S""),14,FALSE))"),"")</f>
        <v/>
      </c>
      <c r="BA233" s="43" t="str">
        <f ca="1">IFERROR(__xludf.DUMMYFUNCTION("IFERROR(VLOOKUP(E250&amp;F250,IMPORTRANGE(""https://docs.google.com/spreadsheets/d/1Uw7-A9f9R21vMXxHZFNpYNeKFtG8_yji4HS352LGlSQ/edit?pli=1#gid=0"",""1_ACUM!A4:S""),15,FALSE))"),"")</f>
        <v/>
      </c>
      <c r="BB233" s="43" t="str">
        <f ca="1">IFERROR(__xludf.DUMMYFUNCTION("IFERROR(VLOOKUP(E250&amp;F250,IMPORTRANGE(""https://docs.google.com/spreadsheets/d/1Uw7-A9f9R21vMXxHZFNpYNeKFtG8_yji4HS352LGlSQ/edit?pli=1#gid=0"",""1_ACUM!A4:S""),16,FALSE))"),"")</f>
        <v/>
      </c>
      <c r="BC233" s="43" t="str">
        <f ca="1">IFERROR(__xludf.DUMMYFUNCTION("IFERROR(VLOOKUP(E250&amp;F250,IMPORTRANGE(""https://docs.google.com/spreadsheets/d/1Uw7-A9f9R21vMXxHZFNpYNeKFtG8_yji4HS352LGlSQ/edit?pli=1#gid=0"",""1_ACUM!A4:S""),17,FALSE))"),"")</f>
        <v/>
      </c>
      <c r="BD233" s="44" t="str">
        <f ca="1">IFERROR(__xludf.DUMMYFUNCTION("IFERROR(VLOOKUP(E250&amp;F250,IMPORTRANGE(""https://docs.google.com/spreadsheets/d/1Uw7-A9f9R21vMXxHZFNpYNeKFtG8_yji4HS352LGlSQ/edit?pli=1#gid=0"",""1_ACUM!A4:S""),18,FALSE))"),"")</f>
        <v/>
      </c>
      <c r="BE233" s="44" t="str">
        <f ca="1">IFERROR(__xludf.DUMMYFUNCTION("IFERROR(VLOOKUP(E250&amp;F250,IMPORTRANGE(""https://docs.google.com/spreadsheets/d/1Uw7-A9f9R21vMXxHZFNpYNeKFtG8_yji4HS352LGlSQ/edit?pli=1#gid=0"",""1_ACUM!A4:S""),19,FALSE))"),"")</f>
        <v/>
      </c>
      <c r="BF233" s="44" t="str">
        <f ca="1">IFERROR(__xludf.DUMMYFUNCTION("IFERROR(VLOOKUP(F250,IMPORTRANGE(""https://docs.google.com/spreadsheets/d/1Kvs4KS76FHFqLFIZfrDMff4kP08nblUkihrxltoGBjg/edit#gid=934712705"",""ESENCIAL!A6:BG""),5,FALSE))"),"")</f>
        <v/>
      </c>
      <c r="BG233" s="44" t="str">
        <f t="shared" si="33"/>
        <v/>
      </c>
      <c r="BH233" s="41" t="str">
        <f t="shared" si="34"/>
        <v/>
      </c>
      <c r="BI233" s="41" t="str">
        <f ca="1">IFERROR(__xludf.DUMMYFUNCTION("IFERROR(VLOOKUP(F250,IMPORTRANGE(""https://docs.google.com/spreadsheets/d/1Kvs4KS76FHFqLFIZfrDMff4kP08nblUkihrxltoGBjg/edit#gid=934712705"",""ESENCIAL!A6:BG""),18,FALSE))"),"")</f>
        <v/>
      </c>
      <c r="BJ233" s="19" t="str">
        <f t="shared" si="35"/>
        <v/>
      </c>
      <c r="BK233" s="41"/>
      <c r="BL233" s="41"/>
    </row>
    <row r="234" spans="1:64" ht="15">
      <c r="A234" s="4"/>
      <c r="B234" s="4"/>
      <c r="G234" s="5" t="str">
        <f ca="1">IFERROR(__xludf.DUMMYFUNCTION("IFERROR(VLOOKUP(F251,IMPORTRANGE(""https://docs.google.com/spreadsheets/d/1Kvs4KS76FHFqLFIZfrDMff4kP08nblUkihrxltoGBjg/edit#gid=934712705"",""ESENCIAL!A6:BG""),3,FALSE))"),"")</f>
        <v/>
      </c>
      <c r="H234" s="5" t="str">
        <f ca="1">IFERROR(__xludf.DUMMYFUNCTION("IFERROR(VLOOKUP(F251,IMPORTRANGE(""https://docs.google.com/spreadsheets/d/1Kvs4KS76FHFqLFIZfrDMff4kP08nblUkihrxltoGBjg/edit#gid=934712705"",""ESENCIAL!A6:BG""),8,FALSE))"),"")</f>
        <v/>
      </c>
      <c r="L234" s="287"/>
      <c r="S234"/>
      <c r="AU234" s="41" t="str">
        <f t="shared" si="32"/>
        <v/>
      </c>
      <c r="AV234" s="5" t="str">
        <f ca="1">IFERROR(__xludf.DUMMYFUNCTION("IFERROR(VLOOKUP(E251&amp;F251,IMPORTRANGE(""https://docs.google.com/spreadsheets/d/1Uw7-A9f9R21vMXxHZFNpYNeKFtG8_yji4HS352LGlSQ/edit?pli=1#gid=0"",""1_ACUM!A4:S""),11,FALSE))"),"")</f>
        <v/>
      </c>
      <c r="AW234" s="42" t="str">
        <f ca="1">IFERROR(__xludf.DUMMYFUNCTION("IFERROR(VLOOKUP(F251,IMPORTRANGE(""https://docs.google.com/spreadsheets/d/1Kvs4KS76FHFqLFIZfrDMff4kP08nblUkihrxltoGBjg/edit#gid=934712705"",""ESENCIAL!A6:BG""),15,FALSE))"),"")</f>
        <v/>
      </c>
      <c r="AX234" s="21" t="str">
        <f ca="1">IFERROR(__xludf.DUMMYFUNCTION("IFERROR(VLOOKUP(E251&amp;F251,IMPORTRANGE(""https://docs.google.com/spreadsheets/d/1Uw7-A9f9R21vMXxHZFNpYNeKFtG8_yji4HS352LGlSQ/edit?pli=1#gid=0"",""1_ACUM!A4:S""),12,FALSE))"),"")</f>
        <v/>
      </c>
      <c r="AY234" s="43" t="str">
        <f ca="1">IFERROR(__xludf.DUMMYFUNCTION("IFERROR(VLOOKUP(E251&amp;F251,IMPORTRANGE(""https://docs.google.com/spreadsheets/d/1Uw7-A9f9R21vMXxHZFNpYNeKFtG8_yji4HS352LGlSQ/edit?pli=1#gid=0"",""1_ACUM!A4:S""),13,FALSE))"),"")</f>
        <v/>
      </c>
      <c r="AZ234" s="43" t="str">
        <f ca="1">IFERROR(__xludf.DUMMYFUNCTION("IFERROR(VLOOKUP(E251&amp;F251,IMPORTRANGE(""https://docs.google.com/spreadsheets/d/1Uw7-A9f9R21vMXxHZFNpYNeKFtG8_yji4HS352LGlSQ/edit?pli=1#gid=0"",""1_ACUM!A4:S""),14,FALSE))"),"")</f>
        <v/>
      </c>
      <c r="BA234" s="43" t="str">
        <f ca="1">IFERROR(__xludf.DUMMYFUNCTION("IFERROR(VLOOKUP(E251&amp;F251,IMPORTRANGE(""https://docs.google.com/spreadsheets/d/1Uw7-A9f9R21vMXxHZFNpYNeKFtG8_yji4HS352LGlSQ/edit?pli=1#gid=0"",""1_ACUM!A4:S""),15,FALSE))"),"")</f>
        <v/>
      </c>
      <c r="BB234" s="43" t="str">
        <f ca="1">IFERROR(__xludf.DUMMYFUNCTION("IFERROR(VLOOKUP(E251&amp;F251,IMPORTRANGE(""https://docs.google.com/spreadsheets/d/1Uw7-A9f9R21vMXxHZFNpYNeKFtG8_yji4HS352LGlSQ/edit?pli=1#gid=0"",""1_ACUM!A4:S""),16,FALSE))"),"")</f>
        <v/>
      </c>
      <c r="BC234" s="43" t="str">
        <f ca="1">IFERROR(__xludf.DUMMYFUNCTION("IFERROR(VLOOKUP(E251&amp;F251,IMPORTRANGE(""https://docs.google.com/spreadsheets/d/1Uw7-A9f9R21vMXxHZFNpYNeKFtG8_yji4HS352LGlSQ/edit?pli=1#gid=0"",""1_ACUM!A4:S""),17,FALSE))"),"")</f>
        <v/>
      </c>
      <c r="BD234" s="44" t="str">
        <f ca="1">IFERROR(__xludf.DUMMYFUNCTION("IFERROR(VLOOKUP(E251&amp;F251,IMPORTRANGE(""https://docs.google.com/spreadsheets/d/1Uw7-A9f9R21vMXxHZFNpYNeKFtG8_yji4HS352LGlSQ/edit?pli=1#gid=0"",""1_ACUM!A4:S""),18,FALSE))"),"")</f>
        <v/>
      </c>
      <c r="BE234" s="44" t="str">
        <f ca="1">IFERROR(__xludf.DUMMYFUNCTION("IFERROR(VLOOKUP(E251&amp;F251,IMPORTRANGE(""https://docs.google.com/spreadsheets/d/1Uw7-A9f9R21vMXxHZFNpYNeKFtG8_yji4HS352LGlSQ/edit?pli=1#gid=0"",""1_ACUM!A4:S""),19,FALSE))"),"")</f>
        <v/>
      </c>
      <c r="BF234" s="44" t="str">
        <f ca="1">IFERROR(__xludf.DUMMYFUNCTION("IFERROR(VLOOKUP(F251,IMPORTRANGE(""https://docs.google.com/spreadsheets/d/1Kvs4KS76FHFqLFIZfrDMff4kP08nblUkihrxltoGBjg/edit#gid=934712705"",""ESENCIAL!A6:BG""),5,FALSE))"),"")</f>
        <v/>
      </c>
      <c r="BG234" s="44" t="str">
        <f t="shared" si="33"/>
        <v/>
      </c>
      <c r="BH234" s="41" t="str">
        <f t="shared" si="34"/>
        <v/>
      </c>
      <c r="BI234" s="41" t="str">
        <f ca="1">IFERROR(__xludf.DUMMYFUNCTION("IFERROR(VLOOKUP(F251,IMPORTRANGE(""https://docs.google.com/spreadsheets/d/1Kvs4KS76FHFqLFIZfrDMff4kP08nblUkihrxltoGBjg/edit#gid=934712705"",""ESENCIAL!A6:BG""),18,FALSE))"),"")</f>
        <v/>
      </c>
      <c r="BJ234" s="19" t="str">
        <f t="shared" si="35"/>
        <v/>
      </c>
      <c r="BK234" s="41"/>
      <c r="BL234" s="41"/>
    </row>
    <row r="235" spans="1:64" ht="15">
      <c r="A235" s="4"/>
      <c r="B235" s="4"/>
      <c r="G235" s="5" t="str">
        <f ca="1">IFERROR(__xludf.DUMMYFUNCTION("IFERROR(VLOOKUP(F252,IMPORTRANGE(""https://docs.google.com/spreadsheets/d/1Kvs4KS76FHFqLFIZfrDMff4kP08nblUkihrxltoGBjg/edit#gid=934712705"",""ESENCIAL!A6:BG""),3,FALSE))"),"")</f>
        <v/>
      </c>
      <c r="H235" s="5" t="str">
        <f ca="1">IFERROR(__xludf.DUMMYFUNCTION("IFERROR(VLOOKUP(F252,IMPORTRANGE(""https://docs.google.com/spreadsheets/d/1Kvs4KS76FHFqLFIZfrDMff4kP08nblUkihrxltoGBjg/edit#gid=934712705"",""ESENCIAL!A6:BG""),8,FALSE))"),"")</f>
        <v/>
      </c>
      <c r="L235" s="287"/>
      <c r="S235"/>
      <c r="AU235" s="41" t="str">
        <f t="shared" si="32"/>
        <v/>
      </c>
      <c r="AV235" s="5" t="str">
        <f ca="1">IFERROR(__xludf.DUMMYFUNCTION("IFERROR(VLOOKUP(E252&amp;F252,IMPORTRANGE(""https://docs.google.com/spreadsheets/d/1Uw7-A9f9R21vMXxHZFNpYNeKFtG8_yji4HS352LGlSQ/edit?pli=1#gid=0"",""1_ACUM!A4:S""),11,FALSE))"),"")</f>
        <v/>
      </c>
      <c r="AW235" s="42" t="str">
        <f ca="1">IFERROR(__xludf.DUMMYFUNCTION("IFERROR(VLOOKUP(F252,IMPORTRANGE(""https://docs.google.com/spreadsheets/d/1Kvs4KS76FHFqLFIZfrDMff4kP08nblUkihrxltoGBjg/edit#gid=934712705"",""ESENCIAL!A6:BG""),15,FALSE))"),"")</f>
        <v/>
      </c>
      <c r="AX235" s="21" t="str">
        <f ca="1">IFERROR(__xludf.DUMMYFUNCTION("IFERROR(VLOOKUP(E252&amp;F252,IMPORTRANGE(""https://docs.google.com/spreadsheets/d/1Uw7-A9f9R21vMXxHZFNpYNeKFtG8_yji4HS352LGlSQ/edit?pli=1#gid=0"",""1_ACUM!A4:S""),12,FALSE))"),"")</f>
        <v/>
      </c>
      <c r="AY235" s="43" t="str">
        <f ca="1">IFERROR(__xludf.DUMMYFUNCTION("IFERROR(VLOOKUP(E252&amp;F252,IMPORTRANGE(""https://docs.google.com/spreadsheets/d/1Uw7-A9f9R21vMXxHZFNpYNeKFtG8_yji4HS352LGlSQ/edit?pli=1#gid=0"",""1_ACUM!A4:S""),13,FALSE))"),"")</f>
        <v/>
      </c>
      <c r="AZ235" s="43" t="str">
        <f ca="1">IFERROR(__xludf.DUMMYFUNCTION("IFERROR(VLOOKUP(E252&amp;F252,IMPORTRANGE(""https://docs.google.com/spreadsheets/d/1Uw7-A9f9R21vMXxHZFNpYNeKFtG8_yji4HS352LGlSQ/edit?pli=1#gid=0"",""1_ACUM!A4:S""),14,FALSE))"),"")</f>
        <v/>
      </c>
      <c r="BA235" s="43" t="str">
        <f ca="1">IFERROR(__xludf.DUMMYFUNCTION("IFERROR(VLOOKUP(E252&amp;F252,IMPORTRANGE(""https://docs.google.com/spreadsheets/d/1Uw7-A9f9R21vMXxHZFNpYNeKFtG8_yji4HS352LGlSQ/edit?pli=1#gid=0"",""1_ACUM!A4:S""),15,FALSE))"),"")</f>
        <v/>
      </c>
      <c r="BB235" s="43" t="str">
        <f ca="1">IFERROR(__xludf.DUMMYFUNCTION("IFERROR(VLOOKUP(E252&amp;F252,IMPORTRANGE(""https://docs.google.com/spreadsheets/d/1Uw7-A9f9R21vMXxHZFNpYNeKFtG8_yji4HS352LGlSQ/edit?pli=1#gid=0"",""1_ACUM!A4:S""),16,FALSE))"),"")</f>
        <v/>
      </c>
      <c r="BC235" s="43" t="str">
        <f ca="1">IFERROR(__xludf.DUMMYFUNCTION("IFERROR(VLOOKUP(E252&amp;F252,IMPORTRANGE(""https://docs.google.com/spreadsheets/d/1Uw7-A9f9R21vMXxHZFNpYNeKFtG8_yji4HS352LGlSQ/edit?pli=1#gid=0"",""1_ACUM!A4:S""),17,FALSE))"),"")</f>
        <v/>
      </c>
      <c r="BD235" s="44" t="str">
        <f ca="1">IFERROR(__xludf.DUMMYFUNCTION("IFERROR(VLOOKUP(E252&amp;F252,IMPORTRANGE(""https://docs.google.com/spreadsheets/d/1Uw7-A9f9R21vMXxHZFNpYNeKFtG8_yji4HS352LGlSQ/edit?pli=1#gid=0"",""1_ACUM!A4:S""),18,FALSE))"),"")</f>
        <v/>
      </c>
      <c r="BE235" s="44" t="str">
        <f ca="1">IFERROR(__xludf.DUMMYFUNCTION("IFERROR(VLOOKUP(E252&amp;F252,IMPORTRANGE(""https://docs.google.com/spreadsheets/d/1Uw7-A9f9R21vMXxHZFNpYNeKFtG8_yji4HS352LGlSQ/edit?pli=1#gid=0"",""1_ACUM!A4:S""),19,FALSE))"),"")</f>
        <v/>
      </c>
      <c r="BF235" s="44" t="str">
        <f ca="1">IFERROR(__xludf.DUMMYFUNCTION("IFERROR(VLOOKUP(F252,IMPORTRANGE(""https://docs.google.com/spreadsheets/d/1Kvs4KS76FHFqLFIZfrDMff4kP08nblUkihrxltoGBjg/edit#gid=934712705"",""ESENCIAL!A6:BG""),5,FALSE))"),"")</f>
        <v/>
      </c>
      <c r="BG235" s="44" t="str">
        <f t="shared" si="33"/>
        <v/>
      </c>
      <c r="BH235" s="41" t="str">
        <f t="shared" si="34"/>
        <v/>
      </c>
      <c r="BI235" s="41" t="str">
        <f ca="1">IFERROR(__xludf.DUMMYFUNCTION("IFERROR(VLOOKUP(F252,IMPORTRANGE(""https://docs.google.com/spreadsheets/d/1Kvs4KS76FHFqLFIZfrDMff4kP08nblUkihrxltoGBjg/edit#gid=934712705"",""ESENCIAL!A6:BG""),18,FALSE))"),"")</f>
        <v/>
      </c>
      <c r="BJ235" s="19" t="str">
        <f t="shared" si="35"/>
        <v/>
      </c>
      <c r="BK235" s="41"/>
      <c r="BL235" s="41"/>
    </row>
    <row r="236" spans="1:64" ht="15">
      <c r="A236" s="4"/>
      <c r="B236" s="4"/>
      <c r="G236" s="5" t="str">
        <f ca="1">IFERROR(__xludf.DUMMYFUNCTION("IFERROR(VLOOKUP(F253,IMPORTRANGE(""https://docs.google.com/spreadsheets/d/1Kvs4KS76FHFqLFIZfrDMff4kP08nblUkihrxltoGBjg/edit#gid=934712705"",""ESENCIAL!A6:BG""),3,FALSE))"),"")</f>
        <v/>
      </c>
      <c r="H236" s="5" t="str">
        <f ca="1">IFERROR(__xludf.DUMMYFUNCTION("IFERROR(VLOOKUP(F253,IMPORTRANGE(""https://docs.google.com/spreadsheets/d/1Kvs4KS76FHFqLFIZfrDMff4kP08nblUkihrxltoGBjg/edit#gid=934712705"",""ESENCIAL!A6:BG""),8,FALSE))"),"")</f>
        <v/>
      </c>
      <c r="L236" s="287"/>
      <c r="S236"/>
      <c r="AU236" s="41" t="str">
        <f t="shared" si="32"/>
        <v/>
      </c>
      <c r="AV236" s="5" t="str">
        <f ca="1">IFERROR(__xludf.DUMMYFUNCTION("IFERROR(VLOOKUP(E253&amp;F253,IMPORTRANGE(""https://docs.google.com/spreadsheets/d/1Uw7-A9f9R21vMXxHZFNpYNeKFtG8_yji4HS352LGlSQ/edit?pli=1#gid=0"",""1_ACUM!A4:S""),11,FALSE))"),"")</f>
        <v/>
      </c>
      <c r="AW236" s="42" t="str">
        <f ca="1">IFERROR(__xludf.DUMMYFUNCTION("IFERROR(VLOOKUP(F253,IMPORTRANGE(""https://docs.google.com/spreadsheets/d/1Kvs4KS76FHFqLFIZfrDMff4kP08nblUkihrxltoGBjg/edit#gid=934712705"",""ESENCIAL!A6:BG""),15,FALSE))"),"")</f>
        <v/>
      </c>
      <c r="AX236" s="21" t="str">
        <f ca="1">IFERROR(__xludf.DUMMYFUNCTION("IFERROR(VLOOKUP(E253&amp;F253,IMPORTRANGE(""https://docs.google.com/spreadsheets/d/1Uw7-A9f9R21vMXxHZFNpYNeKFtG8_yji4HS352LGlSQ/edit?pli=1#gid=0"",""1_ACUM!A4:S""),12,FALSE))"),"")</f>
        <v/>
      </c>
      <c r="AY236" s="43" t="str">
        <f ca="1">IFERROR(__xludf.DUMMYFUNCTION("IFERROR(VLOOKUP(E253&amp;F253,IMPORTRANGE(""https://docs.google.com/spreadsheets/d/1Uw7-A9f9R21vMXxHZFNpYNeKFtG8_yji4HS352LGlSQ/edit?pli=1#gid=0"",""1_ACUM!A4:S""),13,FALSE))"),"")</f>
        <v/>
      </c>
      <c r="AZ236" s="43" t="str">
        <f ca="1">IFERROR(__xludf.DUMMYFUNCTION("IFERROR(VLOOKUP(E253&amp;F253,IMPORTRANGE(""https://docs.google.com/spreadsheets/d/1Uw7-A9f9R21vMXxHZFNpYNeKFtG8_yji4HS352LGlSQ/edit?pli=1#gid=0"",""1_ACUM!A4:S""),14,FALSE))"),"")</f>
        <v/>
      </c>
      <c r="BA236" s="43" t="str">
        <f ca="1">IFERROR(__xludf.DUMMYFUNCTION("IFERROR(VLOOKUP(E253&amp;F253,IMPORTRANGE(""https://docs.google.com/spreadsheets/d/1Uw7-A9f9R21vMXxHZFNpYNeKFtG8_yji4HS352LGlSQ/edit?pli=1#gid=0"",""1_ACUM!A4:S""),15,FALSE))"),"")</f>
        <v/>
      </c>
      <c r="BB236" s="43" t="str">
        <f ca="1">IFERROR(__xludf.DUMMYFUNCTION("IFERROR(VLOOKUP(E253&amp;F253,IMPORTRANGE(""https://docs.google.com/spreadsheets/d/1Uw7-A9f9R21vMXxHZFNpYNeKFtG8_yji4HS352LGlSQ/edit?pli=1#gid=0"",""1_ACUM!A4:S""),16,FALSE))"),"")</f>
        <v/>
      </c>
      <c r="BC236" s="43" t="str">
        <f ca="1">IFERROR(__xludf.DUMMYFUNCTION("IFERROR(VLOOKUP(E253&amp;F253,IMPORTRANGE(""https://docs.google.com/spreadsheets/d/1Uw7-A9f9R21vMXxHZFNpYNeKFtG8_yji4HS352LGlSQ/edit?pli=1#gid=0"",""1_ACUM!A4:S""),17,FALSE))"),"")</f>
        <v/>
      </c>
      <c r="BD236" s="44" t="str">
        <f ca="1">IFERROR(__xludf.DUMMYFUNCTION("IFERROR(VLOOKUP(E253&amp;F253,IMPORTRANGE(""https://docs.google.com/spreadsheets/d/1Uw7-A9f9R21vMXxHZFNpYNeKFtG8_yji4HS352LGlSQ/edit?pli=1#gid=0"",""1_ACUM!A4:S""),18,FALSE))"),"")</f>
        <v/>
      </c>
      <c r="BE236" s="44" t="str">
        <f ca="1">IFERROR(__xludf.DUMMYFUNCTION("IFERROR(VLOOKUP(E253&amp;F253,IMPORTRANGE(""https://docs.google.com/spreadsheets/d/1Uw7-A9f9R21vMXxHZFNpYNeKFtG8_yji4HS352LGlSQ/edit?pli=1#gid=0"",""1_ACUM!A4:S""),19,FALSE))"),"")</f>
        <v/>
      </c>
      <c r="BF236" s="44" t="str">
        <f ca="1">IFERROR(__xludf.DUMMYFUNCTION("IFERROR(VLOOKUP(F253,IMPORTRANGE(""https://docs.google.com/spreadsheets/d/1Kvs4KS76FHFqLFIZfrDMff4kP08nblUkihrxltoGBjg/edit#gid=934712705"",""ESENCIAL!A6:BG""),5,FALSE))"),"")</f>
        <v/>
      </c>
      <c r="BG236" s="44" t="str">
        <f t="shared" si="33"/>
        <v/>
      </c>
      <c r="BH236" s="41" t="str">
        <f t="shared" si="34"/>
        <v/>
      </c>
      <c r="BI236" s="41" t="str">
        <f ca="1">IFERROR(__xludf.DUMMYFUNCTION("IFERROR(VLOOKUP(F253,IMPORTRANGE(""https://docs.google.com/spreadsheets/d/1Kvs4KS76FHFqLFIZfrDMff4kP08nblUkihrxltoGBjg/edit#gid=934712705"",""ESENCIAL!A6:BG""),18,FALSE))"),"")</f>
        <v/>
      </c>
      <c r="BJ236" s="19" t="str">
        <f t="shared" si="35"/>
        <v/>
      </c>
      <c r="BK236" s="41"/>
      <c r="BL236" s="41"/>
    </row>
    <row r="237" spans="1:64" ht="15">
      <c r="A237" s="4"/>
      <c r="B237" s="4"/>
      <c r="G237" s="5" t="str">
        <f ca="1">IFERROR(__xludf.DUMMYFUNCTION("IFERROR(VLOOKUP(F254,IMPORTRANGE(""https://docs.google.com/spreadsheets/d/1Kvs4KS76FHFqLFIZfrDMff4kP08nblUkihrxltoGBjg/edit#gid=934712705"",""ESENCIAL!A6:BG""),3,FALSE))"),"")</f>
        <v/>
      </c>
      <c r="H237" s="5" t="str">
        <f ca="1">IFERROR(__xludf.DUMMYFUNCTION("IFERROR(VLOOKUP(F254,IMPORTRANGE(""https://docs.google.com/spreadsheets/d/1Kvs4KS76FHFqLFIZfrDMff4kP08nblUkihrxltoGBjg/edit#gid=934712705"",""ESENCIAL!A6:BG""),8,FALSE))"),"")</f>
        <v/>
      </c>
      <c r="L237" s="287"/>
      <c r="S237"/>
      <c r="AU237" s="41" t="str">
        <f t="shared" si="32"/>
        <v/>
      </c>
      <c r="AV237" s="5" t="str">
        <f ca="1">IFERROR(__xludf.DUMMYFUNCTION("IFERROR(VLOOKUP(E254&amp;F254,IMPORTRANGE(""https://docs.google.com/spreadsheets/d/1Uw7-A9f9R21vMXxHZFNpYNeKFtG8_yji4HS352LGlSQ/edit?pli=1#gid=0"",""1_ACUM!A4:S""),11,FALSE))"),"")</f>
        <v/>
      </c>
      <c r="AW237" s="42" t="str">
        <f ca="1">IFERROR(__xludf.DUMMYFUNCTION("IFERROR(VLOOKUP(F254,IMPORTRANGE(""https://docs.google.com/spreadsheets/d/1Kvs4KS76FHFqLFIZfrDMff4kP08nblUkihrxltoGBjg/edit#gid=934712705"",""ESENCIAL!A6:BG""),15,FALSE))"),"")</f>
        <v/>
      </c>
      <c r="AX237" s="21" t="str">
        <f ca="1">IFERROR(__xludf.DUMMYFUNCTION("IFERROR(VLOOKUP(E254&amp;F254,IMPORTRANGE(""https://docs.google.com/spreadsheets/d/1Uw7-A9f9R21vMXxHZFNpYNeKFtG8_yji4HS352LGlSQ/edit?pli=1#gid=0"",""1_ACUM!A4:S""),12,FALSE))"),"")</f>
        <v/>
      </c>
      <c r="AY237" s="43" t="str">
        <f ca="1">IFERROR(__xludf.DUMMYFUNCTION("IFERROR(VLOOKUP(E254&amp;F254,IMPORTRANGE(""https://docs.google.com/spreadsheets/d/1Uw7-A9f9R21vMXxHZFNpYNeKFtG8_yji4HS352LGlSQ/edit?pli=1#gid=0"",""1_ACUM!A4:S""),13,FALSE))"),"")</f>
        <v/>
      </c>
      <c r="AZ237" s="43" t="str">
        <f ca="1">IFERROR(__xludf.DUMMYFUNCTION("IFERROR(VLOOKUP(E254&amp;F254,IMPORTRANGE(""https://docs.google.com/spreadsheets/d/1Uw7-A9f9R21vMXxHZFNpYNeKFtG8_yji4HS352LGlSQ/edit?pli=1#gid=0"",""1_ACUM!A4:S""),14,FALSE))"),"")</f>
        <v/>
      </c>
      <c r="BA237" s="43" t="str">
        <f ca="1">IFERROR(__xludf.DUMMYFUNCTION("IFERROR(VLOOKUP(E254&amp;F254,IMPORTRANGE(""https://docs.google.com/spreadsheets/d/1Uw7-A9f9R21vMXxHZFNpYNeKFtG8_yji4HS352LGlSQ/edit?pli=1#gid=0"",""1_ACUM!A4:S""),15,FALSE))"),"")</f>
        <v/>
      </c>
      <c r="BB237" s="43" t="str">
        <f ca="1">IFERROR(__xludf.DUMMYFUNCTION("IFERROR(VLOOKUP(E254&amp;F254,IMPORTRANGE(""https://docs.google.com/spreadsheets/d/1Uw7-A9f9R21vMXxHZFNpYNeKFtG8_yji4HS352LGlSQ/edit?pli=1#gid=0"",""1_ACUM!A4:S""),16,FALSE))"),"")</f>
        <v/>
      </c>
      <c r="BC237" s="43" t="str">
        <f ca="1">IFERROR(__xludf.DUMMYFUNCTION("IFERROR(VLOOKUP(E254&amp;F254,IMPORTRANGE(""https://docs.google.com/spreadsheets/d/1Uw7-A9f9R21vMXxHZFNpYNeKFtG8_yji4HS352LGlSQ/edit?pli=1#gid=0"",""1_ACUM!A4:S""),17,FALSE))"),"")</f>
        <v/>
      </c>
      <c r="BD237" s="44" t="str">
        <f ca="1">IFERROR(__xludf.DUMMYFUNCTION("IFERROR(VLOOKUP(E254&amp;F254,IMPORTRANGE(""https://docs.google.com/spreadsheets/d/1Uw7-A9f9R21vMXxHZFNpYNeKFtG8_yji4HS352LGlSQ/edit?pli=1#gid=0"",""1_ACUM!A4:S""),18,FALSE))"),"")</f>
        <v/>
      </c>
      <c r="BE237" s="44" t="str">
        <f ca="1">IFERROR(__xludf.DUMMYFUNCTION("IFERROR(VLOOKUP(E254&amp;F254,IMPORTRANGE(""https://docs.google.com/spreadsheets/d/1Uw7-A9f9R21vMXxHZFNpYNeKFtG8_yji4HS352LGlSQ/edit?pli=1#gid=0"",""1_ACUM!A4:S""),19,FALSE))"),"")</f>
        <v/>
      </c>
      <c r="BF237" s="44" t="str">
        <f ca="1">IFERROR(__xludf.DUMMYFUNCTION("IFERROR(VLOOKUP(F254,IMPORTRANGE(""https://docs.google.com/spreadsheets/d/1Kvs4KS76FHFqLFIZfrDMff4kP08nblUkihrxltoGBjg/edit#gid=934712705"",""ESENCIAL!A6:BG""),5,FALSE))"),"")</f>
        <v/>
      </c>
      <c r="BG237" s="44" t="str">
        <f t="shared" si="33"/>
        <v/>
      </c>
      <c r="BH237" s="41" t="str">
        <f t="shared" si="34"/>
        <v/>
      </c>
      <c r="BI237" s="41" t="str">
        <f ca="1">IFERROR(__xludf.DUMMYFUNCTION("IFERROR(VLOOKUP(F254,IMPORTRANGE(""https://docs.google.com/spreadsheets/d/1Kvs4KS76FHFqLFIZfrDMff4kP08nblUkihrxltoGBjg/edit#gid=934712705"",""ESENCIAL!A6:BG""),18,FALSE))"),"")</f>
        <v/>
      </c>
      <c r="BJ237" s="19" t="str">
        <f t="shared" si="35"/>
        <v/>
      </c>
      <c r="BK237" s="41"/>
      <c r="BL237" s="41"/>
    </row>
    <row r="238" spans="1:64" ht="15">
      <c r="A238" s="4"/>
      <c r="B238" s="4"/>
      <c r="G238" s="5" t="str">
        <f ca="1">IFERROR(__xludf.DUMMYFUNCTION("IFERROR(VLOOKUP(F255,IMPORTRANGE(""https://docs.google.com/spreadsheets/d/1Kvs4KS76FHFqLFIZfrDMff4kP08nblUkihrxltoGBjg/edit#gid=934712705"",""ESENCIAL!A6:BG""),3,FALSE))"),"")</f>
        <v/>
      </c>
      <c r="H238" s="5" t="str">
        <f ca="1">IFERROR(__xludf.DUMMYFUNCTION("IFERROR(VLOOKUP(F255,IMPORTRANGE(""https://docs.google.com/spreadsheets/d/1Kvs4KS76FHFqLFIZfrDMff4kP08nblUkihrxltoGBjg/edit#gid=934712705"",""ESENCIAL!A6:BG""),8,FALSE))"),"")</f>
        <v/>
      </c>
      <c r="L238" s="287"/>
      <c r="S238"/>
      <c r="AU238" s="41" t="str">
        <f t="shared" si="32"/>
        <v/>
      </c>
      <c r="AV238" s="5" t="str">
        <f ca="1">IFERROR(__xludf.DUMMYFUNCTION("IFERROR(VLOOKUP(E255&amp;F255,IMPORTRANGE(""https://docs.google.com/spreadsheets/d/1Uw7-A9f9R21vMXxHZFNpYNeKFtG8_yji4HS352LGlSQ/edit?pli=1#gid=0"",""1_ACUM!A4:S""),11,FALSE))"),"")</f>
        <v/>
      </c>
      <c r="AW238" s="42" t="str">
        <f ca="1">IFERROR(__xludf.DUMMYFUNCTION("IFERROR(VLOOKUP(F255,IMPORTRANGE(""https://docs.google.com/spreadsheets/d/1Kvs4KS76FHFqLFIZfrDMff4kP08nblUkihrxltoGBjg/edit#gid=934712705"",""ESENCIAL!A6:BG""),15,FALSE))"),"")</f>
        <v/>
      </c>
      <c r="AX238" s="21" t="str">
        <f ca="1">IFERROR(__xludf.DUMMYFUNCTION("IFERROR(VLOOKUP(E255&amp;F255,IMPORTRANGE(""https://docs.google.com/spreadsheets/d/1Uw7-A9f9R21vMXxHZFNpYNeKFtG8_yji4HS352LGlSQ/edit?pli=1#gid=0"",""1_ACUM!A4:S""),12,FALSE))"),"")</f>
        <v/>
      </c>
      <c r="AY238" s="43" t="str">
        <f ca="1">IFERROR(__xludf.DUMMYFUNCTION("IFERROR(VLOOKUP(E255&amp;F255,IMPORTRANGE(""https://docs.google.com/spreadsheets/d/1Uw7-A9f9R21vMXxHZFNpYNeKFtG8_yji4HS352LGlSQ/edit?pli=1#gid=0"",""1_ACUM!A4:S""),13,FALSE))"),"")</f>
        <v/>
      </c>
      <c r="AZ238" s="43" t="str">
        <f ca="1">IFERROR(__xludf.DUMMYFUNCTION("IFERROR(VLOOKUP(E255&amp;F255,IMPORTRANGE(""https://docs.google.com/spreadsheets/d/1Uw7-A9f9R21vMXxHZFNpYNeKFtG8_yji4HS352LGlSQ/edit?pli=1#gid=0"",""1_ACUM!A4:S""),14,FALSE))"),"")</f>
        <v/>
      </c>
      <c r="BA238" s="43" t="str">
        <f ca="1">IFERROR(__xludf.DUMMYFUNCTION("IFERROR(VLOOKUP(E255&amp;F255,IMPORTRANGE(""https://docs.google.com/spreadsheets/d/1Uw7-A9f9R21vMXxHZFNpYNeKFtG8_yji4HS352LGlSQ/edit?pli=1#gid=0"",""1_ACUM!A4:S""),15,FALSE))"),"")</f>
        <v/>
      </c>
      <c r="BB238" s="43" t="str">
        <f ca="1">IFERROR(__xludf.DUMMYFUNCTION("IFERROR(VLOOKUP(E255&amp;F255,IMPORTRANGE(""https://docs.google.com/spreadsheets/d/1Uw7-A9f9R21vMXxHZFNpYNeKFtG8_yji4HS352LGlSQ/edit?pli=1#gid=0"",""1_ACUM!A4:S""),16,FALSE))"),"")</f>
        <v/>
      </c>
      <c r="BC238" s="43" t="str">
        <f ca="1">IFERROR(__xludf.DUMMYFUNCTION("IFERROR(VLOOKUP(E255&amp;F255,IMPORTRANGE(""https://docs.google.com/spreadsheets/d/1Uw7-A9f9R21vMXxHZFNpYNeKFtG8_yji4HS352LGlSQ/edit?pli=1#gid=0"",""1_ACUM!A4:S""),17,FALSE))"),"")</f>
        <v/>
      </c>
      <c r="BD238" s="44" t="str">
        <f ca="1">IFERROR(__xludf.DUMMYFUNCTION("IFERROR(VLOOKUP(E255&amp;F255,IMPORTRANGE(""https://docs.google.com/spreadsheets/d/1Uw7-A9f9R21vMXxHZFNpYNeKFtG8_yji4HS352LGlSQ/edit?pli=1#gid=0"",""1_ACUM!A4:S""),18,FALSE))"),"")</f>
        <v/>
      </c>
      <c r="BE238" s="44" t="str">
        <f ca="1">IFERROR(__xludf.DUMMYFUNCTION("IFERROR(VLOOKUP(E255&amp;F255,IMPORTRANGE(""https://docs.google.com/spreadsheets/d/1Uw7-A9f9R21vMXxHZFNpYNeKFtG8_yji4HS352LGlSQ/edit?pli=1#gid=0"",""1_ACUM!A4:S""),19,FALSE))"),"")</f>
        <v/>
      </c>
      <c r="BF238" s="44" t="str">
        <f ca="1">IFERROR(__xludf.DUMMYFUNCTION("IFERROR(VLOOKUP(F255,IMPORTRANGE(""https://docs.google.com/spreadsheets/d/1Kvs4KS76FHFqLFIZfrDMff4kP08nblUkihrxltoGBjg/edit#gid=934712705"",""ESENCIAL!A6:BG""),5,FALSE))"),"")</f>
        <v/>
      </c>
      <c r="BG238" s="44" t="str">
        <f t="shared" si="33"/>
        <v/>
      </c>
      <c r="BH238" s="41" t="str">
        <f t="shared" si="34"/>
        <v/>
      </c>
      <c r="BI238" s="41" t="str">
        <f ca="1">IFERROR(__xludf.DUMMYFUNCTION("IFERROR(VLOOKUP(F255,IMPORTRANGE(""https://docs.google.com/spreadsheets/d/1Kvs4KS76FHFqLFIZfrDMff4kP08nblUkihrxltoGBjg/edit#gid=934712705"",""ESENCIAL!A6:BG""),18,FALSE))"),"")</f>
        <v/>
      </c>
      <c r="BJ238" s="19" t="str">
        <f t="shared" si="35"/>
        <v/>
      </c>
      <c r="BK238" s="41"/>
      <c r="BL238" s="41"/>
    </row>
    <row r="239" spans="1:64" ht="15">
      <c r="A239" s="4"/>
      <c r="B239" s="4"/>
      <c r="G239" s="5" t="str">
        <f ca="1">IFERROR(__xludf.DUMMYFUNCTION("IFERROR(VLOOKUP(F256,IMPORTRANGE(""https://docs.google.com/spreadsheets/d/1Kvs4KS76FHFqLFIZfrDMff4kP08nblUkihrxltoGBjg/edit#gid=934712705"",""ESENCIAL!A6:BG""),3,FALSE))"),"")</f>
        <v/>
      </c>
      <c r="H239" s="5" t="str">
        <f ca="1">IFERROR(__xludf.DUMMYFUNCTION("IFERROR(VLOOKUP(F256,IMPORTRANGE(""https://docs.google.com/spreadsheets/d/1Kvs4KS76FHFqLFIZfrDMff4kP08nblUkihrxltoGBjg/edit#gid=934712705"",""ESENCIAL!A6:BG""),8,FALSE))"),"")</f>
        <v/>
      </c>
      <c r="L239" s="287"/>
      <c r="S239"/>
      <c r="AU239" s="41" t="str">
        <f t="shared" si="32"/>
        <v/>
      </c>
      <c r="AV239" s="5" t="str">
        <f ca="1">IFERROR(__xludf.DUMMYFUNCTION("IFERROR(VLOOKUP(E256&amp;F256,IMPORTRANGE(""https://docs.google.com/spreadsheets/d/1Uw7-A9f9R21vMXxHZFNpYNeKFtG8_yji4HS352LGlSQ/edit?pli=1#gid=0"",""1_ACUM!A4:S""),11,FALSE))"),"")</f>
        <v/>
      </c>
      <c r="AW239" s="42" t="str">
        <f ca="1">IFERROR(__xludf.DUMMYFUNCTION("IFERROR(VLOOKUP(F256,IMPORTRANGE(""https://docs.google.com/spreadsheets/d/1Kvs4KS76FHFqLFIZfrDMff4kP08nblUkihrxltoGBjg/edit#gid=934712705"",""ESENCIAL!A6:BG""),15,FALSE))"),"")</f>
        <v/>
      </c>
      <c r="AX239" s="21" t="str">
        <f ca="1">IFERROR(__xludf.DUMMYFUNCTION("IFERROR(VLOOKUP(E256&amp;F256,IMPORTRANGE(""https://docs.google.com/spreadsheets/d/1Uw7-A9f9R21vMXxHZFNpYNeKFtG8_yji4HS352LGlSQ/edit?pli=1#gid=0"",""1_ACUM!A4:S""),12,FALSE))"),"")</f>
        <v/>
      </c>
      <c r="AY239" s="43" t="str">
        <f ca="1">IFERROR(__xludf.DUMMYFUNCTION("IFERROR(VLOOKUP(E256&amp;F256,IMPORTRANGE(""https://docs.google.com/spreadsheets/d/1Uw7-A9f9R21vMXxHZFNpYNeKFtG8_yji4HS352LGlSQ/edit?pli=1#gid=0"",""1_ACUM!A4:S""),13,FALSE))"),"")</f>
        <v/>
      </c>
      <c r="AZ239" s="43" t="str">
        <f ca="1">IFERROR(__xludf.DUMMYFUNCTION("IFERROR(VLOOKUP(E256&amp;F256,IMPORTRANGE(""https://docs.google.com/spreadsheets/d/1Uw7-A9f9R21vMXxHZFNpYNeKFtG8_yji4HS352LGlSQ/edit?pli=1#gid=0"",""1_ACUM!A4:S""),14,FALSE))"),"")</f>
        <v/>
      </c>
      <c r="BA239" s="43" t="str">
        <f ca="1">IFERROR(__xludf.DUMMYFUNCTION("IFERROR(VLOOKUP(E256&amp;F256,IMPORTRANGE(""https://docs.google.com/spreadsheets/d/1Uw7-A9f9R21vMXxHZFNpYNeKFtG8_yji4HS352LGlSQ/edit?pli=1#gid=0"",""1_ACUM!A4:S""),15,FALSE))"),"")</f>
        <v/>
      </c>
      <c r="BB239" s="43" t="str">
        <f ca="1">IFERROR(__xludf.DUMMYFUNCTION("IFERROR(VLOOKUP(E256&amp;F256,IMPORTRANGE(""https://docs.google.com/spreadsheets/d/1Uw7-A9f9R21vMXxHZFNpYNeKFtG8_yji4HS352LGlSQ/edit?pli=1#gid=0"",""1_ACUM!A4:S""),16,FALSE))"),"")</f>
        <v/>
      </c>
      <c r="BC239" s="43" t="str">
        <f ca="1">IFERROR(__xludf.DUMMYFUNCTION("IFERROR(VLOOKUP(E256&amp;F256,IMPORTRANGE(""https://docs.google.com/spreadsheets/d/1Uw7-A9f9R21vMXxHZFNpYNeKFtG8_yji4HS352LGlSQ/edit?pli=1#gid=0"",""1_ACUM!A4:S""),17,FALSE))"),"")</f>
        <v/>
      </c>
      <c r="BD239" s="44" t="str">
        <f ca="1">IFERROR(__xludf.DUMMYFUNCTION("IFERROR(VLOOKUP(E256&amp;F256,IMPORTRANGE(""https://docs.google.com/spreadsheets/d/1Uw7-A9f9R21vMXxHZFNpYNeKFtG8_yji4HS352LGlSQ/edit?pli=1#gid=0"",""1_ACUM!A4:S""),18,FALSE))"),"")</f>
        <v/>
      </c>
      <c r="BE239" s="44" t="str">
        <f ca="1">IFERROR(__xludf.DUMMYFUNCTION("IFERROR(VLOOKUP(E256&amp;F256,IMPORTRANGE(""https://docs.google.com/spreadsheets/d/1Uw7-A9f9R21vMXxHZFNpYNeKFtG8_yji4HS352LGlSQ/edit?pli=1#gid=0"",""1_ACUM!A4:S""),19,FALSE))"),"")</f>
        <v/>
      </c>
      <c r="BF239" s="44" t="str">
        <f ca="1">IFERROR(__xludf.DUMMYFUNCTION("IFERROR(VLOOKUP(F256,IMPORTRANGE(""https://docs.google.com/spreadsheets/d/1Kvs4KS76FHFqLFIZfrDMff4kP08nblUkihrxltoGBjg/edit#gid=934712705"",""ESENCIAL!A6:BG""),5,FALSE))"),"")</f>
        <v/>
      </c>
      <c r="BG239" s="44" t="str">
        <f t="shared" si="33"/>
        <v/>
      </c>
      <c r="BH239" s="41" t="str">
        <f t="shared" si="34"/>
        <v/>
      </c>
      <c r="BI239" s="41" t="str">
        <f ca="1">IFERROR(__xludf.DUMMYFUNCTION("IFERROR(VLOOKUP(F256,IMPORTRANGE(""https://docs.google.com/spreadsheets/d/1Kvs4KS76FHFqLFIZfrDMff4kP08nblUkihrxltoGBjg/edit#gid=934712705"",""ESENCIAL!A6:BG""),18,FALSE))"),"")</f>
        <v/>
      </c>
      <c r="BJ239" s="19" t="str">
        <f t="shared" si="35"/>
        <v/>
      </c>
      <c r="BK239" s="41"/>
      <c r="BL239" s="41"/>
    </row>
    <row r="240" spans="1:64" ht="15">
      <c r="A240" s="4"/>
      <c r="B240" s="4"/>
      <c r="G240" s="5" t="str">
        <f ca="1">IFERROR(__xludf.DUMMYFUNCTION("IFERROR(VLOOKUP(F257,IMPORTRANGE(""https://docs.google.com/spreadsheets/d/1Kvs4KS76FHFqLFIZfrDMff4kP08nblUkihrxltoGBjg/edit#gid=934712705"",""ESENCIAL!A6:BG""),3,FALSE))"),"")</f>
        <v/>
      </c>
      <c r="H240" s="5" t="str">
        <f ca="1">IFERROR(__xludf.DUMMYFUNCTION("IFERROR(VLOOKUP(F257,IMPORTRANGE(""https://docs.google.com/spreadsheets/d/1Kvs4KS76FHFqLFIZfrDMff4kP08nblUkihrxltoGBjg/edit#gid=934712705"",""ESENCIAL!A6:BG""),8,FALSE))"),"")</f>
        <v/>
      </c>
      <c r="L240" s="287"/>
      <c r="S240"/>
      <c r="AU240" s="41" t="str">
        <f t="shared" si="32"/>
        <v/>
      </c>
      <c r="AV240" s="5" t="str">
        <f ca="1">IFERROR(__xludf.DUMMYFUNCTION("IFERROR(VLOOKUP(E257&amp;F257,IMPORTRANGE(""https://docs.google.com/spreadsheets/d/1Uw7-A9f9R21vMXxHZFNpYNeKFtG8_yji4HS352LGlSQ/edit?pli=1#gid=0"",""1_ACUM!A4:S""),11,FALSE))"),"")</f>
        <v/>
      </c>
      <c r="AW240" s="42" t="str">
        <f ca="1">IFERROR(__xludf.DUMMYFUNCTION("IFERROR(VLOOKUP(F257,IMPORTRANGE(""https://docs.google.com/spreadsheets/d/1Kvs4KS76FHFqLFIZfrDMff4kP08nblUkihrxltoGBjg/edit#gid=934712705"",""ESENCIAL!A6:BG""),15,FALSE))"),"")</f>
        <v/>
      </c>
      <c r="AX240" s="21" t="str">
        <f ca="1">IFERROR(__xludf.DUMMYFUNCTION("IFERROR(VLOOKUP(E257&amp;F257,IMPORTRANGE(""https://docs.google.com/spreadsheets/d/1Uw7-A9f9R21vMXxHZFNpYNeKFtG8_yji4HS352LGlSQ/edit?pli=1#gid=0"",""1_ACUM!A4:S""),12,FALSE))"),"")</f>
        <v/>
      </c>
      <c r="AY240" s="43" t="str">
        <f ca="1">IFERROR(__xludf.DUMMYFUNCTION("IFERROR(VLOOKUP(E257&amp;F257,IMPORTRANGE(""https://docs.google.com/spreadsheets/d/1Uw7-A9f9R21vMXxHZFNpYNeKFtG8_yji4HS352LGlSQ/edit?pli=1#gid=0"",""1_ACUM!A4:S""),13,FALSE))"),"")</f>
        <v/>
      </c>
      <c r="AZ240" s="43" t="str">
        <f ca="1">IFERROR(__xludf.DUMMYFUNCTION("IFERROR(VLOOKUP(E257&amp;F257,IMPORTRANGE(""https://docs.google.com/spreadsheets/d/1Uw7-A9f9R21vMXxHZFNpYNeKFtG8_yji4HS352LGlSQ/edit?pli=1#gid=0"",""1_ACUM!A4:S""),14,FALSE))"),"")</f>
        <v/>
      </c>
      <c r="BA240" s="43" t="str">
        <f ca="1">IFERROR(__xludf.DUMMYFUNCTION("IFERROR(VLOOKUP(E257&amp;F257,IMPORTRANGE(""https://docs.google.com/spreadsheets/d/1Uw7-A9f9R21vMXxHZFNpYNeKFtG8_yji4HS352LGlSQ/edit?pli=1#gid=0"",""1_ACUM!A4:S""),15,FALSE))"),"")</f>
        <v/>
      </c>
      <c r="BB240" s="43" t="str">
        <f ca="1">IFERROR(__xludf.DUMMYFUNCTION("IFERROR(VLOOKUP(E257&amp;F257,IMPORTRANGE(""https://docs.google.com/spreadsheets/d/1Uw7-A9f9R21vMXxHZFNpYNeKFtG8_yji4HS352LGlSQ/edit?pli=1#gid=0"",""1_ACUM!A4:S""),16,FALSE))"),"")</f>
        <v/>
      </c>
      <c r="BC240" s="43" t="str">
        <f ca="1">IFERROR(__xludf.DUMMYFUNCTION("IFERROR(VLOOKUP(E257&amp;F257,IMPORTRANGE(""https://docs.google.com/spreadsheets/d/1Uw7-A9f9R21vMXxHZFNpYNeKFtG8_yji4HS352LGlSQ/edit?pli=1#gid=0"",""1_ACUM!A4:S""),17,FALSE))"),"")</f>
        <v/>
      </c>
      <c r="BD240" s="44" t="str">
        <f ca="1">IFERROR(__xludf.DUMMYFUNCTION("IFERROR(VLOOKUP(E257&amp;F257,IMPORTRANGE(""https://docs.google.com/spreadsheets/d/1Uw7-A9f9R21vMXxHZFNpYNeKFtG8_yji4HS352LGlSQ/edit?pli=1#gid=0"",""1_ACUM!A4:S""),18,FALSE))"),"")</f>
        <v/>
      </c>
      <c r="BE240" s="44" t="str">
        <f ca="1">IFERROR(__xludf.DUMMYFUNCTION("IFERROR(VLOOKUP(E257&amp;F257,IMPORTRANGE(""https://docs.google.com/spreadsheets/d/1Uw7-A9f9R21vMXxHZFNpYNeKFtG8_yji4HS352LGlSQ/edit?pli=1#gid=0"",""1_ACUM!A4:S""),19,FALSE))"),"")</f>
        <v/>
      </c>
      <c r="BF240" s="44" t="str">
        <f ca="1">IFERROR(__xludf.DUMMYFUNCTION("IFERROR(VLOOKUP(F257,IMPORTRANGE(""https://docs.google.com/spreadsheets/d/1Kvs4KS76FHFqLFIZfrDMff4kP08nblUkihrxltoGBjg/edit#gid=934712705"",""ESENCIAL!A6:BG""),5,FALSE))"),"")</f>
        <v/>
      </c>
      <c r="BG240" s="44" t="str">
        <f t="shared" si="33"/>
        <v/>
      </c>
      <c r="BH240" s="41" t="str">
        <f t="shared" si="34"/>
        <v/>
      </c>
      <c r="BI240" s="41" t="str">
        <f ca="1">IFERROR(__xludf.DUMMYFUNCTION("IFERROR(VLOOKUP(F257,IMPORTRANGE(""https://docs.google.com/spreadsheets/d/1Kvs4KS76FHFqLFIZfrDMff4kP08nblUkihrxltoGBjg/edit#gid=934712705"",""ESENCIAL!A6:BG""),18,FALSE))"),"")</f>
        <v/>
      </c>
      <c r="BJ240" s="19" t="str">
        <f t="shared" si="35"/>
        <v/>
      </c>
      <c r="BK240" s="41"/>
      <c r="BL240" s="41"/>
    </row>
    <row r="241" spans="1:64" ht="15">
      <c r="A241" s="4"/>
      <c r="B241" s="4"/>
      <c r="G241" s="5" t="str">
        <f ca="1">IFERROR(__xludf.DUMMYFUNCTION("IFERROR(VLOOKUP(F258,IMPORTRANGE(""https://docs.google.com/spreadsheets/d/1Kvs4KS76FHFqLFIZfrDMff4kP08nblUkihrxltoGBjg/edit#gid=934712705"",""ESENCIAL!A6:BG""),3,FALSE))"),"")</f>
        <v/>
      </c>
      <c r="H241" s="5" t="str">
        <f ca="1">IFERROR(__xludf.DUMMYFUNCTION("IFERROR(VLOOKUP(F258,IMPORTRANGE(""https://docs.google.com/spreadsheets/d/1Kvs4KS76FHFqLFIZfrDMff4kP08nblUkihrxltoGBjg/edit#gid=934712705"",""ESENCIAL!A6:BG""),8,FALSE))"),"")</f>
        <v/>
      </c>
      <c r="L241" s="287"/>
      <c r="S241"/>
      <c r="AU241" s="41" t="str">
        <f t="shared" ref="AU241:AU495" si="36">IF(E241&gt;0,IF(AND(BC241=1,AZ241=1),"Procede_E_P","NO_CUMPLE"),"")</f>
        <v/>
      </c>
      <c r="AV241" s="5" t="str">
        <f ca="1">IFERROR(__xludf.DUMMYFUNCTION("IFERROR(VLOOKUP(E258&amp;F258,IMPORTRANGE(""https://docs.google.com/spreadsheets/d/1Uw7-A9f9R21vMXxHZFNpYNeKFtG8_yji4HS352LGlSQ/edit?pli=1#gid=0"",""1_ACUM!A4:S""),11,FALSE))"),"")</f>
        <v/>
      </c>
      <c r="AW241" s="42" t="str">
        <f ca="1">IFERROR(__xludf.DUMMYFUNCTION("IFERROR(VLOOKUP(F258,IMPORTRANGE(""https://docs.google.com/spreadsheets/d/1Kvs4KS76FHFqLFIZfrDMff4kP08nblUkihrxltoGBjg/edit#gid=934712705"",""ESENCIAL!A6:BG""),15,FALSE))"),"")</f>
        <v/>
      </c>
      <c r="AX241" s="21" t="str">
        <f ca="1">IFERROR(__xludf.DUMMYFUNCTION("IFERROR(VLOOKUP(E258&amp;F258,IMPORTRANGE(""https://docs.google.com/spreadsheets/d/1Uw7-A9f9R21vMXxHZFNpYNeKFtG8_yji4HS352LGlSQ/edit?pli=1#gid=0"",""1_ACUM!A4:S""),12,FALSE))"),"")</f>
        <v/>
      </c>
      <c r="AY241" s="43" t="str">
        <f ca="1">IFERROR(__xludf.DUMMYFUNCTION("IFERROR(VLOOKUP(E258&amp;F258,IMPORTRANGE(""https://docs.google.com/spreadsheets/d/1Uw7-A9f9R21vMXxHZFNpYNeKFtG8_yji4HS352LGlSQ/edit?pli=1#gid=0"",""1_ACUM!A4:S""),13,FALSE))"),"")</f>
        <v/>
      </c>
      <c r="AZ241" s="43" t="str">
        <f ca="1">IFERROR(__xludf.DUMMYFUNCTION("IFERROR(VLOOKUP(E258&amp;F258,IMPORTRANGE(""https://docs.google.com/spreadsheets/d/1Uw7-A9f9R21vMXxHZFNpYNeKFtG8_yji4HS352LGlSQ/edit?pli=1#gid=0"",""1_ACUM!A4:S""),14,FALSE))"),"")</f>
        <v/>
      </c>
      <c r="BA241" s="43" t="str">
        <f ca="1">IFERROR(__xludf.DUMMYFUNCTION("IFERROR(VLOOKUP(E258&amp;F258,IMPORTRANGE(""https://docs.google.com/spreadsheets/d/1Uw7-A9f9R21vMXxHZFNpYNeKFtG8_yji4HS352LGlSQ/edit?pli=1#gid=0"",""1_ACUM!A4:S""),15,FALSE))"),"")</f>
        <v/>
      </c>
      <c r="BB241" s="43" t="str">
        <f ca="1">IFERROR(__xludf.DUMMYFUNCTION("IFERROR(VLOOKUP(E258&amp;F258,IMPORTRANGE(""https://docs.google.com/spreadsheets/d/1Uw7-A9f9R21vMXxHZFNpYNeKFtG8_yji4HS352LGlSQ/edit?pli=1#gid=0"",""1_ACUM!A4:S""),16,FALSE))"),"")</f>
        <v/>
      </c>
      <c r="BC241" s="43" t="str">
        <f ca="1">IFERROR(__xludf.DUMMYFUNCTION("IFERROR(VLOOKUP(E258&amp;F258,IMPORTRANGE(""https://docs.google.com/spreadsheets/d/1Uw7-A9f9R21vMXxHZFNpYNeKFtG8_yji4HS352LGlSQ/edit?pli=1#gid=0"",""1_ACUM!A4:S""),17,FALSE))"),"")</f>
        <v/>
      </c>
      <c r="BD241" s="44" t="str">
        <f ca="1">IFERROR(__xludf.DUMMYFUNCTION("IFERROR(VLOOKUP(E258&amp;F258,IMPORTRANGE(""https://docs.google.com/spreadsheets/d/1Uw7-A9f9R21vMXxHZFNpYNeKFtG8_yji4HS352LGlSQ/edit?pli=1#gid=0"",""1_ACUM!A4:S""),18,FALSE))"),"")</f>
        <v/>
      </c>
      <c r="BE241" s="44" t="str">
        <f ca="1">IFERROR(__xludf.DUMMYFUNCTION("IFERROR(VLOOKUP(E258&amp;F258,IMPORTRANGE(""https://docs.google.com/spreadsheets/d/1Uw7-A9f9R21vMXxHZFNpYNeKFtG8_yji4HS352LGlSQ/edit?pli=1#gid=0"",""1_ACUM!A4:S""),19,FALSE))"),"")</f>
        <v/>
      </c>
      <c r="BF241" s="44" t="str">
        <f ca="1">IFERROR(__xludf.DUMMYFUNCTION("IFERROR(VLOOKUP(F258,IMPORTRANGE(""https://docs.google.com/spreadsheets/d/1Kvs4KS76FHFqLFIZfrDMff4kP08nblUkihrxltoGBjg/edit#gid=934712705"",""ESENCIAL!A6:BG""),5,FALSE))"),"")</f>
        <v/>
      </c>
      <c r="BG241" s="44" t="str">
        <f t="shared" ref="BG241:BG495" si="37">IF(F241&gt;0,EDATE(BF241,18),"")</f>
        <v/>
      </c>
      <c r="BH241" s="41" t="str">
        <f t="shared" ref="BH241:BH495" si="38">IF(F241&gt;0,IF(BG241&lt;$BH$1,"FINALIZAR FICHA","FICHA EN TIEMPO-18 MESES"),"")</f>
        <v/>
      </c>
      <c r="BI241" s="41" t="str">
        <f ca="1">IFERROR(__xludf.DUMMYFUNCTION("IFERROR(VLOOKUP(F258,IMPORTRANGE(""https://docs.google.com/spreadsheets/d/1Kvs4KS76FHFqLFIZfrDMff4kP08nblUkihrxltoGBjg/edit#gid=934712705"",""ESENCIAL!A6:BG""),18,FALSE))"),"")</f>
        <v/>
      </c>
      <c r="BJ241" s="19" t="str">
        <f t="shared" ref="BJ241:BJ495" si="39">IF(F241&gt;0,"Yamboro","")</f>
        <v/>
      </c>
      <c r="BK241" s="41"/>
      <c r="BL241" s="41"/>
    </row>
    <row r="242" spans="1:64" ht="15">
      <c r="A242" s="4"/>
      <c r="B242" s="4"/>
      <c r="G242" s="5" t="str">
        <f ca="1">IFERROR(__xludf.DUMMYFUNCTION("IFERROR(VLOOKUP(F259,IMPORTRANGE(""https://docs.google.com/spreadsheets/d/1Kvs4KS76FHFqLFIZfrDMff4kP08nblUkihrxltoGBjg/edit#gid=934712705"",""ESENCIAL!A6:BG""),3,FALSE))"),"")</f>
        <v/>
      </c>
      <c r="H242" s="5" t="str">
        <f ca="1">IFERROR(__xludf.DUMMYFUNCTION("IFERROR(VLOOKUP(F259,IMPORTRANGE(""https://docs.google.com/spreadsheets/d/1Kvs4KS76FHFqLFIZfrDMff4kP08nblUkihrxltoGBjg/edit#gid=934712705"",""ESENCIAL!A6:BG""),8,FALSE))"),"")</f>
        <v/>
      </c>
      <c r="L242" s="287"/>
      <c r="S242"/>
      <c r="AU242" s="41" t="str">
        <f t="shared" si="36"/>
        <v/>
      </c>
      <c r="AV242" s="5" t="str">
        <f ca="1">IFERROR(__xludf.DUMMYFUNCTION("IFERROR(VLOOKUP(E259&amp;F259,IMPORTRANGE(""https://docs.google.com/spreadsheets/d/1Uw7-A9f9R21vMXxHZFNpYNeKFtG8_yji4HS352LGlSQ/edit?pli=1#gid=0"",""1_ACUM!A4:S""),11,FALSE))"),"")</f>
        <v/>
      </c>
      <c r="AW242" s="42" t="str">
        <f ca="1">IFERROR(__xludf.DUMMYFUNCTION("IFERROR(VLOOKUP(F259,IMPORTRANGE(""https://docs.google.com/spreadsheets/d/1Kvs4KS76FHFqLFIZfrDMff4kP08nblUkihrxltoGBjg/edit#gid=934712705"",""ESENCIAL!A6:BG""),15,FALSE))"),"")</f>
        <v/>
      </c>
      <c r="AX242" s="21" t="str">
        <f ca="1">IFERROR(__xludf.DUMMYFUNCTION("IFERROR(VLOOKUP(E259&amp;F259,IMPORTRANGE(""https://docs.google.com/spreadsheets/d/1Uw7-A9f9R21vMXxHZFNpYNeKFtG8_yji4HS352LGlSQ/edit?pli=1#gid=0"",""1_ACUM!A4:S""),12,FALSE))"),"")</f>
        <v/>
      </c>
      <c r="AY242" s="43" t="str">
        <f ca="1">IFERROR(__xludf.DUMMYFUNCTION("IFERROR(VLOOKUP(E259&amp;F259,IMPORTRANGE(""https://docs.google.com/spreadsheets/d/1Uw7-A9f9R21vMXxHZFNpYNeKFtG8_yji4HS352LGlSQ/edit?pli=1#gid=0"",""1_ACUM!A4:S""),13,FALSE))"),"")</f>
        <v/>
      </c>
      <c r="AZ242" s="43" t="str">
        <f ca="1">IFERROR(__xludf.DUMMYFUNCTION("IFERROR(VLOOKUP(E259&amp;F259,IMPORTRANGE(""https://docs.google.com/spreadsheets/d/1Uw7-A9f9R21vMXxHZFNpYNeKFtG8_yji4HS352LGlSQ/edit?pli=1#gid=0"",""1_ACUM!A4:S""),14,FALSE))"),"")</f>
        <v/>
      </c>
      <c r="BA242" s="43" t="str">
        <f ca="1">IFERROR(__xludf.DUMMYFUNCTION("IFERROR(VLOOKUP(E259&amp;F259,IMPORTRANGE(""https://docs.google.com/spreadsheets/d/1Uw7-A9f9R21vMXxHZFNpYNeKFtG8_yji4HS352LGlSQ/edit?pli=1#gid=0"",""1_ACUM!A4:S""),15,FALSE))"),"")</f>
        <v/>
      </c>
      <c r="BB242" s="43" t="str">
        <f ca="1">IFERROR(__xludf.DUMMYFUNCTION("IFERROR(VLOOKUP(E259&amp;F259,IMPORTRANGE(""https://docs.google.com/spreadsheets/d/1Uw7-A9f9R21vMXxHZFNpYNeKFtG8_yji4HS352LGlSQ/edit?pli=1#gid=0"",""1_ACUM!A4:S""),16,FALSE))"),"")</f>
        <v/>
      </c>
      <c r="BC242" s="43" t="str">
        <f ca="1">IFERROR(__xludf.DUMMYFUNCTION("IFERROR(VLOOKUP(E259&amp;F259,IMPORTRANGE(""https://docs.google.com/spreadsheets/d/1Uw7-A9f9R21vMXxHZFNpYNeKFtG8_yji4HS352LGlSQ/edit?pli=1#gid=0"",""1_ACUM!A4:S""),17,FALSE))"),"")</f>
        <v/>
      </c>
      <c r="BD242" s="44" t="str">
        <f ca="1">IFERROR(__xludf.DUMMYFUNCTION("IFERROR(VLOOKUP(E259&amp;F259,IMPORTRANGE(""https://docs.google.com/spreadsheets/d/1Uw7-A9f9R21vMXxHZFNpYNeKFtG8_yji4HS352LGlSQ/edit?pli=1#gid=0"",""1_ACUM!A4:S""),18,FALSE))"),"")</f>
        <v/>
      </c>
      <c r="BE242" s="44" t="str">
        <f ca="1">IFERROR(__xludf.DUMMYFUNCTION("IFERROR(VLOOKUP(E259&amp;F259,IMPORTRANGE(""https://docs.google.com/spreadsheets/d/1Uw7-A9f9R21vMXxHZFNpYNeKFtG8_yji4HS352LGlSQ/edit?pli=1#gid=0"",""1_ACUM!A4:S""),19,FALSE))"),"")</f>
        <v/>
      </c>
      <c r="BF242" s="44" t="str">
        <f ca="1">IFERROR(__xludf.DUMMYFUNCTION("IFERROR(VLOOKUP(F259,IMPORTRANGE(""https://docs.google.com/spreadsheets/d/1Kvs4KS76FHFqLFIZfrDMff4kP08nblUkihrxltoGBjg/edit#gid=934712705"",""ESENCIAL!A6:BG""),5,FALSE))"),"")</f>
        <v/>
      </c>
      <c r="BG242" s="44" t="str">
        <f t="shared" si="37"/>
        <v/>
      </c>
      <c r="BH242" s="41" t="str">
        <f t="shared" si="38"/>
        <v/>
      </c>
      <c r="BI242" s="41" t="str">
        <f ca="1">IFERROR(__xludf.DUMMYFUNCTION("IFERROR(VLOOKUP(F259,IMPORTRANGE(""https://docs.google.com/spreadsheets/d/1Kvs4KS76FHFqLFIZfrDMff4kP08nblUkihrxltoGBjg/edit#gid=934712705"",""ESENCIAL!A6:BG""),18,FALSE))"),"")</f>
        <v/>
      </c>
      <c r="BJ242" s="19" t="str">
        <f t="shared" si="39"/>
        <v/>
      </c>
      <c r="BK242" s="41"/>
      <c r="BL242" s="41"/>
    </row>
    <row r="243" spans="1:64" ht="15">
      <c r="A243" s="4"/>
      <c r="B243" s="4"/>
      <c r="G243" s="5" t="str">
        <f ca="1">IFERROR(__xludf.DUMMYFUNCTION("IFERROR(VLOOKUP(F260,IMPORTRANGE(""https://docs.google.com/spreadsheets/d/1Kvs4KS76FHFqLFIZfrDMff4kP08nblUkihrxltoGBjg/edit#gid=934712705"",""ESENCIAL!A6:BG""),3,FALSE))"),"")</f>
        <v/>
      </c>
      <c r="H243" s="5" t="str">
        <f ca="1">IFERROR(__xludf.DUMMYFUNCTION("IFERROR(VLOOKUP(F260,IMPORTRANGE(""https://docs.google.com/spreadsheets/d/1Kvs4KS76FHFqLFIZfrDMff4kP08nblUkihrxltoGBjg/edit#gid=934712705"",""ESENCIAL!A6:BG""),8,FALSE))"),"")</f>
        <v/>
      </c>
      <c r="L243" s="287"/>
      <c r="S243"/>
      <c r="AU243" s="41" t="str">
        <f t="shared" si="36"/>
        <v/>
      </c>
      <c r="AV243" s="5" t="str">
        <f ca="1">IFERROR(__xludf.DUMMYFUNCTION("IFERROR(VLOOKUP(E260&amp;F260,IMPORTRANGE(""https://docs.google.com/spreadsheets/d/1Uw7-A9f9R21vMXxHZFNpYNeKFtG8_yji4HS352LGlSQ/edit?pli=1#gid=0"",""1_ACUM!A4:S""),11,FALSE))"),"")</f>
        <v/>
      </c>
      <c r="AW243" s="42" t="str">
        <f ca="1">IFERROR(__xludf.DUMMYFUNCTION("IFERROR(VLOOKUP(F260,IMPORTRANGE(""https://docs.google.com/spreadsheets/d/1Kvs4KS76FHFqLFIZfrDMff4kP08nblUkihrxltoGBjg/edit#gid=934712705"",""ESENCIAL!A6:BG""),15,FALSE))"),"")</f>
        <v/>
      </c>
      <c r="AX243" s="21" t="str">
        <f ca="1">IFERROR(__xludf.DUMMYFUNCTION("IFERROR(VLOOKUP(E260&amp;F260,IMPORTRANGE(""https://docs.google.com/spreadsheets/d/1Uw7-A9f9R21vMXxHZFNpYNeKFtG8_yji4HS352LGlSQ/edit?pli=1#gid=0"",""1_ACUM!A4:S""),12,FALSE))"),"")</f>
        <v/>
      </c>
      <c r="AY243" s="43" t="str">
        <f ca="1">IFERROR(__xludf.DUMMYFUNCTION("IFERROR(VLOOKUP(E260&amp;F260,IMPORTRANGE(""https://docs.google.com/spreadsheets/d/1Uw7-A9f9R21vMXxHZFNpYNeKFtG8_yji4HS352LGlSQ/edit?pli=1#gid=0"",""1_ACUM!A4:S""),13,FALSE))"),"")</f>
        <v/>
      </c>
      <c r="AZ243" s="43" t="str">
        <f ca="1">IFERROR(__xludf.DUMMYFUNCTION("IFERROR(VLOOKUP(E260&amp;F260,IMPORTRANGE(""https://docs.google.com/spreadsheets/d/1Uw7-A9f9R21vMXxHZFNpYNeKFtG8_yji4HS352LGlSQ/edit?pli=1#gid=0"",""1_ACUM!A4:S""),14,FALSE))"),"")</f>
        <v/>
      </c>
      <c r="BA243" s="43" t="str">
        <f ca="1">IFERROR(__xludf.DUMMYFUNCTION("IFERROR(VLOOKUP(E260&amp;F260,IMPORTRANGE(""https://docs.google.com/spreadsheets/d/1Uw7-A9f9R21vMXxHZFNpYNeKFtG8_yji4HS352LGlSQ/edit?pli=1#gid=0"",""1_ACUM!A4:S""),15,FALSE))"),"")</f>
        <v/>
      </c>
      <c r="BB243" s="43" t="str">
        <f ca="1">IFERROR(__xludf.DUMMYFUNCTION("IFERROR(VLOOKUP(E260&amp;F260,IMPORTRANGE(""https://docs.google.com/spreadsheets/d/1Uw7-A9f9R21vMXxHZFNpYNeKFtG8_yji4HS352LGlSQ/edit?pli=1#gid=0"",""1_ACUM!A4:S""),16,FALSE))"),"")</f>
        <v/>
      </c>
      <c r="BC243" s="43" t="str">
        <f ca="1">IFERROR(__xludf.DUMMYFUNCTION("IFERROR(VLOOKUP(E260&amp;F260,IMPORTRANGE(""https://docs.google.com/spreadsheets/d/1Uw7-A9f9R21vMXxHZFNpYNeKFtG8_yji4HS352LGlSQ/edit?pli=1#gid=0"",""1_ACUM!A4:S""),17,FALSE))"),"")</f>
        <v/>
      </c>
      <c r="BD243" s="44" t="str">
        <f ca="1">IFERROR(__xludf.DUMMYFUNCTION("IFERROR(VLOOKUP(E260&amp;F260,IMPORTRANGE(""https://docs.google.com/spreadsheets/d/1Uw7-A9f9R21vMXxHZFNpYNeKFtG8_yji4HS352LGlSQ/edit?pli=1#gid=0"",""1_ACUM!A4:S""),18,FALSE))"),"")</f>
        <v/>
      </c>
      <c r="BE243" s="44" t="str">
        <f ca="1">IFERROR(__xludf.DUMMYFUNCTION("IFERROR(VLOOKUP(E260&amp;F260,IMPORTRANGE(""https://docs.google.com/spreadsheets/d/1Uw7-A9f9R21vMXxHZFNpYNeKFtG8_yji4HS352LGlSQ/edit?pli=1#gid=0"",""1_ACUM!A4:S""),19,FALSE))"),"")</f>
        <v/>
      </c>
      <c r="BF243" s="44" t="str">
        <f ca="1">IFERROR(__xludf.DUMMYFUNCTION("IFERROR(VLOOKUP(F260,IMPORTRANGE(""https://docs.google.com/spreadsheets/d/1Kvs4KS76FHFqLFIZfrDMff4kP08nblUkihrxltoGBjg/edit#gid=934712705"",""ESENCIAL!A6:BG""),5,FALSE))"),"")</f>
        <v/>
      </c>
      <c r="BG243" s="44" t="str">
        <f t="shared" si="37"/>
        <v/>
      </c>
      <c r="BH243" s="41" t="str">
        <f t="shared" si="38"/>
        <v/>
      </c>
      <c r="BI243" s="41" t="str">
        <f ca="1">IFERROR(__xludf.DUMMYFUNCTION("IFERROR(VLOOKUP(F260,IMPORTRANGE(""https://docs.google.com/spreadsheets/d/1Kvs4KS76FHFqLFIZfrDMff4kP08nblUkihrxltoGBjg/edit#gid=934712705"",""ESENCIAL!A6:BG""),18,FALSE))"),"")</f>
        <v/>
      </c>
      <c r="BJ243" s="19" t="str">
        <f t="shared" si="39"/>
        <v/>
      </c>
      <c r="BK243" s="41"/>
      <c r="BL243" s="41"/>
    </row>
    <row r="244" spans="1:64" ht="15">
      <c r="A244" s="4"/>
      <c r="B244" s="4"/>
      <c r="G244" s="5" t="str">
        <f ca="1">IFERROR(__xludf.DUMMYFUNCTION("IFERROR(VLOOKUP(F261,IMPORTRANGE(""https://docs.google.com/spreadsheets/d/1Kvs4KS76FHFqLFIZfrDMff4kP08nblUkihrxltoGBjg/edit#gid=934712705"",""ESENCIAL!A6:BG""),3,FALSE))"),"")</f>
        <v/>
      </c>
      <c r="H244" s="5" t="str">
        <f ca="1">IFERROR(__xludf.DUMMYFUNCTION("IFERROR(VLOOKUP(F261,IMPORTRANGE(""https://docs.google.com/spreadsheets/d/1Kvs4KS76FHFqLFIZfrDMff4kP08nblUkihrxltoGBjg/edit#gid=934712705"",""ESENCIAL!A6:BG""),8,FALSE))"),"")</f>
        <v/>
      </c>
      <c r="L244" s="287"/>
      <c r="S244"/>
      <c r="AU244" s="41" t="str">
        <f t="shared" si="36"/>
        <v/>
      </c>
      <c r="AV244" s="5" t="str">
        <f ca="1">IFERROR(__xludf.DUMMYFUNCTION("IFERROR(VLOOKUP(E261&amp;F261,IMPORTRANGE(""https://docs.google.com/spreadsheets/d/1Uw7-A9f9R21vMXxHZFNpYNeKFtG8_yji4HS352LGlSQ/edit?pli=1#gid=0"",""1_ACUM!A4:S""),11,FALSE))"),"")</f>
        <v/>
      </c>
      <c r="AW244" s="42" t="str">
        <f ca="1">IFERROR(__xludf.DUMMYFUNCTION("IFERROR(VLOOKUP(F261,IMPORTRANGE(""https://docs.google.com/spreadsheets/d/1Kvs4KS76FHFqLFIZfrDMff4kP08nblUkihrxltoGBjg/edit#gid=934712705"",""ESENCIAL!A6:BG""),15,FALSE))"),"")</f>
        <v/>
      </c>
      <c r="AX244" s="21" t="str">
        <f ca="1">IFERROR(__xludf.DUMMYFUNCTION("IFERROR(VLOOKUP(E261&amp;F261,IMPORTRANGE(""https://docs.google.com/spreadsheets/d/1Uw7-A9f9R21vMXxHZFNpYNeKFtG8_yji4HS352LGlSQ/edit?pli=1#gid=0"",""1_ACUM!A4:S""),12,FALSE))"),"")</f>
        <v/>
      </c>
      <c r="AY244" s="43" t="str">
        <f ca="1">IFERROR(__xludf.DUMMYFUNCTION("IFERROR(VLOOKUP(E261&amp;F261,IMPORTRANGE(""https://docs.google.com/spreadsheets/d/1Uw7-A9f9R21vMXxHZFNpYNeKFtG8_yji4HS352LGlSQ/edit?pli=1#gid=0"",""1_ACUM!A4:S""),13,FALSE))"),"")</f>
        <v/>
      </c>
      <c r="AZ244" s="43" t="str">
        <f ca="1">IFERROR(__xludf.DUMMYFUNCTION("IFERROR(VLOOKUP(E261&amp;F261,IMPORTRANGE(""https://docs.google.com/spreadsheets/d/1Uw7-A9f9R21vMXxHZFNpYNeKFtG8_yji4HS352LGlSQ/edit?pli=1#gid=0"",""1_ACUM!A4:S""),14,FALSE))"),"")</f>
        <v/>
      </c>
      <c r="BA244" s="43" t="str">
        <f ca="1">IFERROR(__xludf.DUMMYFUNCTION("IFERROR(VLOOKUP(E261&amp;F261,IMPORTRANGE(""https://docs.google.com/spreadsheets/d/1Uw7-A9f9R21vMXxHZFNpYNeKFtG8_yji4HS352LGlSQ/edit?pli=1#gid=0"",""1_ACUM!A4:S""),15,FALSE))"),"")</f>
        <v/>
      </c>
      <c r="BB244" s="43" t="str">
        <f ca="1">IFERROR(__xludf.DUMMYFUNCTION("IFERROR(VLOOKUP(E261&amp;F261,IMPORTRANGE(""https://docs.google.com/spreadsheets/d/1Uw7-A9f9R21vMXxHZFNpYNeKFtG8_yji4HS352LGlSQ/edit?pli=1#gid=0"",""1_ACUM!A4:S""),16,FALSE))"),"")</f>
        <v/>
      </c>
      <c r="BC244" s="43" t="str">
        <f ca="1">IFERROR(__xludf.DUMMYFUNCTION("IFERROR(VLOOKUP(E261&amp;F261,IMPORTRANGE(""https://docs.google.com/spreadsheets/d/1Uw7-A9f9R21vMXxHZFNpYNeKFtG8_yji4HS352LGlSQ/edit?pli=1#gid=0"",""1_ACUM!A4:S""),17,FALSE))"),"")</f>
        <v/>
      </c>
      <c r="BD244" s="44" t="str">
        <f ca="1">IFERROR(__xludf.DUMMYFUNCTION("IFERROR(VLOOKUP(E261&amp;F261,IMPORTRANGE(""https://docs.google.com/spreadsheets/d/1Uw7-A9f9R21vMXxHZFNpYNeKFtG8_yji4HS352LGlSQ/edit?pli=1#gid=0"",""1_ACUM!A4:S""),18,FALSE))"),"")</f>
        <v/>
      </c>
      <c r="BE244" s="44" t="str">
        <f ca="1">IFERROR(__xludf.DUMMYFUNCTION("IFERROR(VLOOKUP(E261&amp;F261,IMPORTRANGE(""https://docs.google.com/spreadsheets/d/1Uw7-A9f9R21vMXxHZFNpYNeKFtG8_yji4HS352LGlSQ/edit?pli=1#gid=0"",""1_ACUM!A4:S""),19,FALSE))"),"")</f>
        <v/>
      </c>
      <c r="BF244" s="44" t="str">
        <f ca="1">IFERROR(__xludf.DUMMYFUNCTION("IFERROR(VLOOKUP(F261,IMPORTRANGE(""https://docs.google.com/spreadsheets/d/1Kvs4KS76FHFqLFIZfrDMff4kP08nblUkihrxltoGBjg/edit#gid=934712705"",""ESENCIAL!A6:BG""),5,FALSE))"),"")</f>
        <v/>
      </c>
      <c r="BG244" s="44" t="str">
        <f t="shared" si="37"/>
        <v/>
      </c>
      <c r="BH244" s="41" t="str">
        <f t="shared" si="38"/>
        <v/>
      </c>
      <c r="BI244" s="41" t="str">
        <f ca="1">IFERROR(__xludf.DUMMYFUNCTION("IFERROR(VLOOKUP(F261,IMPORTRANGE(""https://docs.google.com/spreadsheets/d/1Kvs4KS76FHFqLFIZfrDMff4kP08nblUkihrxltoGBjg/edit#gid=934712705"",""ESENCIAL!A6:BG""),18,FALSE))"),"")</f>
        <v/>
      </c>
      <c r="BJ244" s="19" t="str">
        <f t="shared" si="39"/>
        <v/>
      </c>
      <c r="BK244" s="41"/>
      <c r="BL244" s="41"/>
    </row>
    <row r="245" spans="1:64" ht="15">
      <c r="A245" s="4"/>
      <c r="B245" s="4"/>
      <c r="G245" s="5" t="str">
        <f ca="1">IFERROR(__xludf.DUMMYFUNCTION("IFERROR(VLOOKUP(F262,IMPORTRANGE(""https://docs.google.com/spreadsheets/d/1Kvs4KS76FHFqLFIZfrDMff4kP08nblUkihrxltoGBjg/edit#gid=934712705"",""ESENCIAL!A6:BG""),3,FALSE))"),"")</f>
        <v/>
      </c>
      <c r="H245" s="5" t="str">
        <f ca="1">IFERROR(__xludf.DUMMYFUNCTION("IFERROR(VLOOKUP(F262,IMPORTRANGE(""https://docs.google.com/spreadsheets/d/1Kvs4KS76FHFqLFIZfrDMff4kP08nblUkihrxltoGBjg/edit#gid=934712705"",""ESENCIAL!A6:BG""),8,FALSE))"),"")</f>
        <v/>
      </c>
      <c r="L245" s="287"/>
      <c r="S245"/>
      <c r="AU245" s="41" t="str">
        <f t="shared" si="36"/>
        <v/>
      </c>
      <c r="AV245" s="5" t="str">
        <f ca="1">IFERROR(__xludf.DUMMYFUNCTION("IFERROR(VLOOKUP(E262&amp;F262,IMPORTRANGE(""https://docs.google.com/spreadsheets/d/1Uw7-A9f9R21vMXxHZFNpYNeKFtG8_yji4HS352LGlSQ/edit?pli=1#gid=0"",""1_ACUM!A4:S""),11,FALSE))"),"")</f>
        <v/>
      </c>
      <c r="AW245" s="42" t="str">
        <f ca="1">IFERROR(__xludf.DUMMYFUNCTION("IFERROR(VLOOKUP(F262,IMPORTRANGE(""https://docs.google.com/spreadsheets/d/1Kvs4KS76FHFqLFIZfrDMff4kP08nblUkihrxltoGBjg/edit#gid=934712705"",""ESENCIAL!A6:BG""),15,FALSE))"),"")</f>
        <v/>
      </c>
      <c r="AX245" s="21" t="str">
        <f ca="1">IFERROR(__xludf.DUMMYFUNCTION("IFERROR(VLOOKUP(E262&amp;F262,IMPORTRANGE(""https://docs.google.com/spreadsheets/d/1Uw7-A9f9R21vMXxHZFNpYNeKFtG8_yji4HS352LGlSQ/edit?pli=1#gid=0"",""1_ACUM!A4:S""),12,FALSE))"),"")</f>
        <v/>
      </c>
      <c r="AY245" s="43" t="str">
        <f ca="1">IFERROR(__xludf.DUMMYFUNCTION("IFERROR(VLOOKUP(E262&amp;F262,IMPORTRANGE(""https://docs.google.com/spreadsheets/d/1Uw7-A9f9R21vMXxHZFNpYNeKFtG8_yji4HS352LGlSQ/edit?pli=1#gid=0"",""1_ACUM!A4:S""),13,FALSE))"),"")</f>
        <v/>
      </c>
      <c r="AZ245" s="43" t="str">
        <f ca="1">IFERROR(__xludf.DUMMYFUNCTION("IFERROR(VLOOKUP(E262&amp;F262,IMPORTRANGE(""https://docs.google.com/spreadsheets/d/1Uw7-A9f9R21vMXxHZFNpYNeKFtG8_yji4HS352LGlSQ/edit?pli=1#gid=0"",""1_ACUM!A4:S""),14,FALSE))"),"")</f>
        <v/>
      </c>
      <c r="BA245" s="43" t="str">
        <f ca="1">IFERROR(__xludf.DUMMYFUNCTION("IFERROR(VLOOKUP(E262&amp;F262,IMPORTRANGE(""https://docs.google.com/spreadsheets/d/1Uw7-A9f9R21vMXxHZFNpYNeKFtG8_yji4HS352LGlSQ/edit?pli=1#gid=0"",""1_ACUM!A4:S""),15,FALSE))"),"")</f>
        <v/>
      </c>
      <c r="BB245" s="43" t="str">
        <f ca="1">IFERROR(__xludf.DUMMYFUNCTION("IFERROR(VLOOKUP(E262&amp;F262,IMPORTRANGE(""https://docs.google.com/spreadsheets/d/1Uw7-A9f9R21vMXxHZFNpYNeKFtG8_yji4HS352LGlSQ/edit?pli=1#gid=0"",""1_ACUM!A4:S""),16,FALSE))"),"")</f>
        <v/>
      </c>
      <c r="BC245" s="43" t="str">
        <f ca="1">IFERROR(__xludf.DUMMYFUNCTION("IFERROR(VLOOKUP(E262&amp;F262,IMPORTRANGE(""https://docs.google.com/spreadsheets/d/1Uw7-A9f9R21vMXxHZFNpYNeKFtG8_yji4HS352LGlSQ/edit?pli=1#gid=0"",""1_ACUM!A4:S""),17,FALSE))"),"")</f>
        <v/>
      </c>
      <c r="BD245" s="44" t="str">
        <f ca="1">IFERROR(__xludf.DUMMYFUNCTION("IFERROR(VLOOKUP(E262&amp;F262,IMPORTRANGE(""https://docs.google.com/spreadsheets/d/1Uw7-A9f9R21vMXxHZFNpYNeKFtG8_yji4HS352LGlSQ/edit?pli=1#gid=0"",""1_ACUM!A4:S""),18,FALSE))"),"")</f>
        <v/>
      </c>
      <c r="BE245" s="44" t="str">
        <f ca="1">IFERROR(__xludf.DUMMYFUNCTION("IFERROR(VLOOKUP(E262&amp;F262,IMPORTRANGE(""https://docs.google.com/spreadsheets/d/1Uw7-A9f9R21vMXxHZFNpYNeKFtG8_yji4HS352LGlSQ/edit?pli=1#gid=0"",""1_ACUM!A4:S""),19,FALSE))"),"")</f>
        <v/>
      </c>
      <c r="BF245" s="44" t="str">
        <f ca="1">IFERROR(__xludf.DUMMYFUNCTION("IFERROR(VLOOKUP(F262,IMPORTRANGE(""https://docs.google.com/spreadsheets/d/1Kvs4KS76FHFqLFIZfrDMff4kP08nblUkihrxltoGBjg/edit#gid=934712705"",""ESENCIAL!A6:BG""),5,FALSE))"),"")</f>
        <v/>
      </c>
      <c r="BG245" s="44" t="str">
        <f t="shared" si="37"/>
        <v/>
      </c>
      <c r="BH245" s="41" t="str">
        <f t="shared" si="38"/>
        <v/>
      </c>
      <c r="BI245" s="41" t="str">
        <f ca="1">IFERROR(__xludf.DUMMYFUNCTION("IFERROR(VLOOKUP(F262,IMPORTRANGE(""https://docs.google.com/spreadsheets/d/1Kvs4KS76FHFqLFIZfrDMff4kP08nblUkihrxltoGBjg/edit#gid=934712705"",""ESENCIAL!A6:BG""),18,FALSE))"),"")</f>
        <v/>
      </c>
      <c r="BJ245" s="19" t="str">
        <f t="shared" si="39"/>
        <v/>
      </c>
      <c r="BK245" s="41"/>
      <c r="BL245" s="41"/>
    </row>
    <row r="246" spans="1:64" ht="15">
      <c r="A246" s="4"/>
      <c r="B246" s="4"/>
      <c r="G246" s="5" t="str">
        <f ca="1">IFERROR(__xludf.DUMMYFUNCTION("IFERROR(VLOOKUP(F263,IMPORTRANGE(""https://docs.google.com/spreadsheets/d/1Kvs4KS76FHFqLFIZfrDMff4kP08nblUkihrxltoGBjg/edit#gid=934712705"",""ESENCIAL!A6:BG""),3,FALSE))"),"")</f>
        <v/>
      </c>
      <c r="H246" s="5" t="str">
        <f ca="1">IFERROR(__xludf.DUMMYFUNCTION("IFERROR(VLOOKUP(F263,IMPORTRANGE(""https://docs.google.com/spreadsheets/d/1Kvs4KS76FHFqLFIZfrDMff4kP08nblUkihrxltoGBjg/edit#gid=934712705"",""ESENCIAL!A6:BG""),8,FALSE))"),"")</f>
        <v/>
      </c>
      <c r="L246" s="287"/>
      <c r="S246"/>
      <c r="AU246" s="41" t="str">
        <f t="shared" si="36"/>
        <v/>
      </c>
      <c r="AV246" s="5" t="str">
        <f ca="1">IFERROR(__xludf.DUMMYFUNCTION("IFERROR(VLOOKUP(E263&amp;F263,IMPORTRANGE(""https://docs.google.com/spreadsheets/d/1Uw7-A9f9R21vMXxHZFNpYNeKFtG8_yji4HS352LGlSQ/edit?pli=1#gid=0"",""1_ACUM!A4:S""),11,FALSE))"),"")</f>
        <v/>
      </c>
      <c r="AW246" s="42" t="str">
        <f ca="1">IFERROR(__xludf.DUMMYFUNCTION("IFERROR(VLOOKUP(F263,IMPORTRANGE(""https://docs.google.com/spreadsheets/d/1Kvs4KS76FHFqLFIZfrDMff4kP08nblUkihrxltoGBjg/edit#gid=934712705"",""ESENCIAL!A6:BG""),15,FALSE))"),"")</f>
        <v/>
      </c>
      <c r="AX246" s="21" t="str">
        <f ca="1">IFERROR(__xludf.DUMMYFUNCTION("IFERROR(VLOOKUP(E263&amp;F263,IMPORTRANGE(""https://docs.google.com/spreadsheets/d/1Uw7-A9f9R21vMXxHZFNpYNeKFtG8_yji4HS352LGlSQ/edit?pli=1#gid=0"",""1_ACUM!A4:S""),12,FALSE))"),"")</f>
        <v/>
      </c>
      <c r="AY246" s="43" t="str">
        <f ca="1">IFERROR(__xludf.DUMMYFUNCTION("IFERROR(VLOOKUP(E263&amp;F263,IMPORTRANGE(""https://docs.google.com/spreadsheets/d/1Uw7-A9f9R21vMXxHZFNpYNeKFtG8_yji4HS352LGlSQ/edit?pli=1#gid=0"",""1_ACUM!A4:S""),13,FALSE))"),"")</f>
        <v/>
      </c>
      <c r="AZ246" s="43" t="str">
        <f ca="1">IFERROR(__xludf.DUMMYFUNCTION("IFERROR(VLOOKUP(E263&amp;F263,IMPORTRANGE(""https://docs.google.com/spreadsheets/d/1Uw7-A9f9R21vMXxHZFNpYNeKFtG8_yji4HS352LGlSQ/edit?pli=1#gid=0"",""1_ACUM!A4:S""),14,FALSE))"),"")</f>
        <v/>
      </c>
      <c r="BA246" s="43" t="str">
        <f ca="1">IFERROR(__xludf.DUMMYFUNCTION("IFERROR(VLOOKUP(E263&amp;F263,IMPORTRANGE(""https://docs.google.com/spreadsheets/d/1Uw7-A9f9R21vMXxHZFNpYNeKFtG8_yji4HS352LGlSQ/edit?pli=1#gid=0"",""1_ACUM!A4:S""),15,FALSE))"),"")</f>
        <v/>
      </c>
      <c r="BB246" s="43" t="str">
        <f ca="1">IFERROR(__xludf.DUMMYFUNCTION("IFERROR(VLOOKUP(E263&amp;F263,IMPORTRANGE(""https://docs.google.com/spreadsheets/d/1Uw7-A9f9R21vMXxHZFNpYNeKFtG8_yji4HS352LGlSQ/edit?pli=1#gid=0"",""1_ACUM!A4:S""),16,FALSE))"),"")</f>
        <v/>
      </c>
      <c r="BC246" s="43" t="str">
        <f ca="1">IFERROR(__xludf.DUMMYFUNCTION("IFERROR(VLOOKUP(E263&amp;F263,IMPORTRANGE(""https://docs.google.com/spreadsheets/d/1Uw7-A9f9R21vMXxHZFNpYNeKFtG8_yji4HS352LGlSQ/edit?pli=1#gid=0"",""1_ACUM!A4:S""),17,FALSE))"),"")</f>
        <v/>
      </c>
      <c r="BD246" s="44" t="str">
        <f ca="1">IFERROR(__xludf.DUMMYFUNCTION("IFERROR(VLOOKUP(E263&amp;F263,IMPORTRANGE(""https://docs.google.com/spreadsheets/d/1Uw7-A9f9R21vMXxHZFNpYNeKFtG8_yji4HS352LGlSQ/edit?pli=1#gid=0"",""1_ACUM!A4:S""),18,FALSE))"),"")</f>
        <v/>
      </c>
      <c r="BE246" s="44" t="str">
        <f ca="1">IFERROR(__xludf.DUMMYFUNCTION("IFERROR(VLOOKUP(E263&amp;F263,IMPORTRANGE(""https://docs.google.com/spreadsheets/d/1Uw7-A9f9R21vMXxHZFNpYNeKFtG8_yji4HS352LGlSQ/edit?pli=1#gid=0"",""1_ACUM!A4:S""),19,FALSE))"),"")</f>
        <v/>
      </c>
      <c r="BF246" s="44" t="str">
        <f ca="1">IFERROR(__xludf.DUMMYFUNCTION("IFERROR(VLOOKUP(F263,IMPORTRANGE(""https://docs.google.com/spreadsheets/d/1Kvs4KS76FHFqLFIZfrDMff4kP08nblUkihrxltoGBjg/edit#gid=934712705"",""ESENCIAL!A6:BG""),5,FALSE))"),"")</f>
        <v/>
      </c>
      <c r="BG246" s="44" t="str">
        <f t="shared" si="37"/>
        <v/>
      </c>
      <c r="BH246" s="41" t="str">
        <f t="shared" si="38"/>
        <v/>
      </c>
      <c r="BI246" s="41" t="str">
        <f ca="1">IFERROR(__xludf.DUMMYFUNCTION("IFERROR(VLOOKUP(F263,IMPORTRANGE(""https://docs.google.com/spreadsheets/d/1Kvs4KS76FHFqLFIZfrDMff4kP08nblUkihrxltoGBjg/edit#gid=934712705"",""ESENCIAL!A6:BG""),18,FALSE))"),"")</f>
        <v/>
      </c>
      <c r="BJ246" s="19" t="str">
        <f t="shared" si="39"/>
        <v/>
      </c>
      <c r="BK246" s="41"/>
      <c r="BL246" s="41"/>
    </row>
    <row r="247" spans="1:64" ht="15">
      <c r="A247" s="4"/>
      <c r="B247" s="4"/>
      <c r="G247" s="5" t="str">
        <f ca="1">IFERROR(__xludf.DUMMYFUNCTION("IFERROR(VLOOKUP(F264,IMPORTRANGE(""https://docs.google.com/spreadsheets/d/1Kvs4KS76FHFqLFIZfrDMff4kP08nblUkihrxltoGBjg/edit#gid=934712705"",""ESENCIAL!A6:BG""),3,FALSE))"),"")</f>
        <v/>
      </c>
      <c r="H247" s="5" t="str">
        <f ca="1">IFERROR(__xludf.DUMMYFUNCTION("IFERROR(VLOOKUP(F264,IMPORTRANGE(""https://docs.google.com/spreadsheets/d/1Kvs4KS76FHFqLFIZfrDMff4kP08nblUkihrxltoGBjg/edit#gid=934712705"",""ESENCIAL!A6:BG""),8,FALSE))"),"")</f>
        <v/>
      </c>
      <c r="L247" s="287"/>
      <c r="S247"/>
      <c r="AU247" s="41" t="str">
        <f t="shared" si="36"/>
        <v/>
      </c>
      <c r="AV247" s="5" t="str">
        <f ca="1">IFERROR(__xludf.DUMMYFUNCTION("IFERROR(VLOOKUP(E264&amp;F264,IMPORTRANGE(""https://docs.google.com/spreadsheets/d/1Uw7-A9f9R21vMXxHZFNpYNeKFtG8_yji4HS352LGlSQ/edit?pli=1#gid=0"",""1_ACUM!A4:S""),11,FALSE))"),"")</f>
        <v/>
      </c>
      <c r="AW247" s="42" t="str">
        <f ca="1">IFERROR(__xludf.DUMMYFUNCTION("IFERROR(VLOOKUP(F264,IMPORTRANGE(""https://docs.google.com/spreadsheets/d/1Kvs4KS76FHFqLFIZfrDMff4kP08nblUkihrxltoGBjg/edit#gid=934712705"",""ESENCIAL!A6:BG""),15,FALSE))"),"")</f>
        <v/>
      </c>
      <c r="AX247" s="21" t="str">
        <f ca="1">IFERROR(__xludf.DUMMYFUNCTION("IFERROR(VLOOKUP(E264&amp;F264,IMPORTRANGE(""https://docs.google.com/spreadsheets/d/1Uw7-A9f9R21vMXxHZFNpYNeKFtG8_yji4HS352LGlSQ/edit?pli=1#gid=0"",""1_ACUM!A4:S""),12,FALSE))"),"")</f>
        <v/>
      </c>
      <c r="AY247" s="43" t="str">
        <f ca="1">IFERROR(__xludf.DUMMYFUNCTION("IFERROR(VLOOKUP(E264&amp;F264,IMPORTRANGE(""https://docs.google.com/spreadsheets/d/1Uw7-A9f9R21vMXxHZFNpYNeKFtG8_yji4HS352LGlSQ/edit?pli=1#gid=0"",""1_ACUM!A4:S""),13,FALSE))"),"")</f>
        <v/>
      </c>
      <c r="AZ247" s="43" t="str">
        <f ca="1">IFERROR(__xludf.DUMMYFUNCTION("IFERROR(VLOOKUP(E264&amp;F264,IMPORTRANGE(""https://docs.google.com/spreadsheets/d/1Uw7-A9f9R21vMXxHZFNpYNeKFtG8_yji4HS352LGlSQ/edit?pli=1#gid=0"",""1_ACUM!A4:S""),14,FALSE))"),"")</f>
        <v/>
      </c>
      <c r="BA247" s="43" t="str">
        <f ca="1">IFERROR(__xludf.DUMMYFUNCTION("IFERROR(VLOOKUP(E264&amp;F264,IMPORTRANGE(""https://docs.google.com/spreadsheets/d/1Uw7-A9f9R21vMXxHZFNpYNeKFtG8_yji4HS352LGlSQ/edit?pli=1#gid=0"",""1_ACUM!A4:S""),15,FALSE))"),"")</f>
        <v/>
      </c>
      <c r="BB247" s="43" t="str">
        <f ca="1">IFERROR(__xludf.DUMMYFUNCTION("IFERROR(VLOOKUP(E264&amp;F264,IMPORTRANGE(""https://docs.google.com/spreadsheets/d/1Uw7-A9f9R21vMXxHZFNpYNeKFtG8_yji4HS352LGlSQ/edit?pli=1#gid=0"",""1_ACUM!A4:S""),16,FALSE))"),"")</f>
        <v/>
      </c>
      <c r="BC247" s="43" t="str">
        <f ca="1">IFERROR(__xludf.DUMMYFUNCTION("IFERROR(VLOOKUP(E264&amp;F264,IMPORTRANGE(""https://docs.google.com/spreadsheets/d/1Uw7-A9f9R21vMXxHZFNpYNeKFtG8_yji4HS352LGlSQ/edit?pli=1#gid=0"",""1_ACUM!A4:S""),17,FALSE))"),"")</f>
        <v/>
      </c>
      <c r="BD247" s="44" t="str">
        <f ca="1">IFERROR(__xludf.DUMMYFUNCTION("IFERROR(VLOOKUP(E264&amp;F264,IMPORTRANGE(""https://docs.google.com/spreadsheets/d/1Uw7-A9f9R21vMXxHZFNpYNeKFtG8_yji4HS352LGlSQ/edit?pli=1#gid=0"",""1_ACUM!A4:S""),18,FALSE))"),"")</f>
        <v/>
      </c>
      <c r="BE247" s="44" t="str">
        <f ca="1">IFERROR(__xludf.DUMMYFUNCTION("IFERROR(VLOOKUP(E264&amp;F264,IMPORTRANGE(""https://docs.google.com/spreadsheets/d/1Uw7-A9f9R21vMXxHZFNpYNeKFtG8_yji4HS352LGlSQ/edit?pli=1#gid=0"",""1_ACUM!A4:S""),19,FALSE))"),"")</f>
        <v/>
      </c>
      <c r="BF247" s="44" t="str">
        <f ca="1">IFERROR(__xludf.DUMMYFUNCTION("IFERROR(VLOOKUP(F264,IMPORTRANGE(""https://docs.google.com/spreadsheets/d/1Kvs4KS76FHFqLFIZfrDMff4kP08nblUkihrxltoGBjg/edit#gid=934712705"",""ESENCIAL!A6:BG""),5,FALSE))"),"")</f>
        <v/>
      </c>
      <c r="BG247" s="44" t="str">
        <f t="shared" si="37"/>
        <v/>
      </c>
      <c r="BH247" s="41" t="str">
        <f t="shared" si="38"/>
        <v/>
      </c>
      <c r="BI247" s="41" t="str">
        <f ca="1">IFERROR(__xludf.DUMMYFUNCTION("IFERROR(VLOOKUP(F264,IMPORTRANGE(""https://docs.google.com/spreadsheets/d/1Kvs4KS76FHFqLFIZfrDMff4kP08nblUkihrxltoGBjg/edit#gid=934712705"",""ESENCIAL!A6:BG""),18,FALSE))"),"")</f>
        <v/>
      </c>
      <c r="BJ247" s="19" t="str">
        <f t="shared" si="39"/>
        <v/>
      </c>
      <c r="BK247" s="41"/>
      <c r="BL247" s="41"/>
    </row>
    <row r="248" spans="1:64" ht="15">
      <c r="A248" s="4"/>
      <c r="B248" s="4"/>
      <c r="G248" s="5" t="str">
        <f ca="1">IFERROR(__xludf.DUMMYFUNCTION("IFERROR(VLOOKUP(F265,IMPORTRANGE(""https://docs.google.com/spreadsheets/d/1Kvs4KS76FHFqLFIZfrDMff4kP08nblUkihrxltoGBjg/edit#gid=934712705"",""ESENCIAL!A6:BG""),3,FALSE))"),"")</f>
        <v/>
      </c>
      <c r="H248" s="5" t="str">
        <f ca="1">IFERROR(__xludf.DUMMYFUNCTION("IFERROR(VLOOKUP(F265,IMPORTRANGE(""https://docs.google.com/spreadsheets/d/1Kvs4KS76FHFqLFIZfrDMff4kP08nblUkihrxltoGBjg/edit#gid=934712705"",""ESENCIAL!A6:BG""),8,FALSE))"),"")</f>
        <v/>
      </c>
      <c r="L248" s="287"/>
      <c r="S248"/>
      <c r="AU248" s="41" t="str">
        <f t="shared" si="36"/>
        <v/>
      </c>
      <c r="AV248" s="5" t="str">
        <f ca="1">IFERROR(__xludf.DUMMYFUNCTION("IFERROR(VLOOKUP(E265&amp;F265,IMPORTRANGE(""https://docs.google.com/spreadsheets/d/1Uw7-A9f9R21vMXxHZFNpYNeKFtG8_yji4HS352LGlSQ/edit?pli=1#gid=0"",""1_ACUM!A4:S""),11,FALSE))"),"")</f>
        <v/>
      </c>
      <c r="AW248" s="42" t="str">
        <f ca="1">IFERROR(__xludf.DUMMYFUNCTION("IFERROR(VLOOKUP(F265,IMPORTRANGE(""https://docs.google.com/spreadsheets/d/1Kvs4KS76FHFqLFIZfrDMff4kP08nblUkihrxltoGBjg/edit#gid=934712705"",""ESENCIAL!A6:BG""),15,FALSE))"),"")</f>
        <v/>
      </c>
      <c r="AX248" s="21" t="str">
        <f ca="1">IFERROR(__xludf.DUMMYFUNCTION("IFERROR(VLOOKUP(E265&amp;F265,IMPORTRANGE(""https://docs.google.com/spreadsheets/d/1Uw7-A9f9R21vMXxHZFNpYNeKFtG8_yji4HS352LGlSQ/edit?pli=1#gid=0"",""1_ACUM!A4:S""),12,FALSE))"),"")</f>
        <v/>
      </c>
      <c r="AY248" s="43" t="str">
        <f ca="1">IFERROR(__xludf.DUMMYFUNCTION("IFERROR(VLOOKUP(E265&amp;F265,IMPORTRANGE(""https://docs.google.com/spreadsheets/d/1Uw7-A9f9R21vMXxHZFNpYNeKFtG8_yji4HS352LGlSQ/edit?pli=1#gid=0"",""1_ACUM!A4:S""),13,FALSE))"),"")</f>
        <v/>
      </c>
      <c r="AZ248" s="43" t="str">
        <f ca="1">IFERROR(__xludf.DUMMYFUNCTION("IFERROR(VLOOKUP(E265&amp;F265,IMPORTRANGE(""https://docs.google.com/spreadsheets/d/1Uw7-A9f9R21vMXxHZFNpYNeKFtG8_yji4HS352LGlSQ/edit?pli=1#gid=0"",""1_ACUM!A4:S""),14,FALSE))"),"")</f>
        <v/>
      </c>
      <c r="BA248" s="43" t="str">
        <f ca="1">IFERROR(__xludf.DUMMYFUNCTION("IFERROR(VLOOKUP(E265&amp;F265,IMPORTRANGE(""https://docs.google.com/spreadsheets/d/1Uw7-A9f9R21vMXxHZFNpYNeKFtG8_yji4HS352LGlSQ/edit?pli=1#gid=0"",""1_ACUM!A4:S""),15,FALSE))"),"")</f>
        <v/>
      </c>
      <c r="BB248" s="43" t="str">
        <f ca="1">IFERROR(__xludf.DUMMYFUNCTION("IFERROR(VLOOKUP(E265&amp;F265,IMPORTRANGE(""https://docs.google.com/spreadsheets/d/1Uw7-A9f9R21vMXxHZFNpYNeKFtG8_yji4HS352LGlSQ/edit?pli=1#gid=0"",""1_ACUM!A4:S""),16,FALSE))"),"")</f>
        <v/>
      </c>
      <c r="BC248" s="43" t="str">
        <f ca="1">IFERROR(__xludf.DUMMYFUNCTION("IFERROR(VLOOKUP(E265&amp;F265,IMPORTRANGE(""https://docs.google.com/spreadsheets/d/1Uw7-A9f9R21vMXxHZFNpYNeKFtG8_yji4HS352LGlSQ/edit?pli=1#gid=0"",""1_ACUM!A4:S""),17,FALSE))"),"")</f>
        <v/>
      </c>
      <c r="BD248" s="44" t="str">
        <f ca="1">IFERROR(__xludf.DUMMYFUNCTION("IFERROR(VLOOKUP(E265&amp;F265,IMPORTRANGE(""https://docs.google.com/spreadsheets/d/1Uw7-A9f9R21vMXxHZFNpYNeKFtG8_yji4HS352LGlSQ/edit?pli=1#gid=0"",""1_ACUM!A4:S""),18,FALSE))"),"")</f>
        <v/>
      </c>
      <c r="BE248" s="44" t="str">
        <f ca="1">IFERROR(__xludf.DUMMYFUNCTION("IFERROR(VLOOKUP(E265&amp;F265,IMPORTRANGE(""https://docs.google.com/spreadsheets/d/1Uw7-A9f9R21vMXxHZFNpYNeKFtG8_yji4HS352LGlSQ/edit?pli=1#gid=0"",""1_ACUM!A4:S""),19,FALSE))"),"")</f>
        <v/>
      </c>
      <c r="BF248" s="44" t="str">
        <f ca="1">IFERROR(__xludf.DUMMYFUNCTION("IFERROR(VLOOKUP(F265,IMPORTRANGE(""https://docs.google.com/spreadsheets/d/1Kvs4KS76FHFqLFIZfrDMff4kP08nblUkihrxltoGBjg/edit#gid=934712705"",""ESENCIAL!A6:BG""),5,FALSE))"),"")</f>
        <v/>
      </c>
      <c r="BG248" s="44" t="str">
        <f t="shared" si="37"/>
        <v/>
      </c>
      <c r="BH248" s="41" t="str">
        <f t="shared" si="38"/>
        <v/>
      </c>
      <c r="BI248" s="41" t="str">
        <f ca="1">IFERROR(__xludf.DUMMYFUNCTION("IFERROR(VLOOKUP(F265,IMPORTRANGE(""https://docs.google.com/spreadsheets/d/1Kvs4KS76FHFqLFIZfrDMff4kP08nblUkihrxltoGBjg/edit#gid=934712705"",""ESENCIAL!A6:BG""),18,FALSE))"),"")</f>
        <v/>
      </c>
      <c r="BJ248" s="19" t="str">
        <f t="shared" si="39"/>
        <v/>
      </c>
      <c r="BK248" s="41"/>
      <c r="BL248" s="41"/>
    </row>
    <row r="249" spans="1:64" ht="15">
      <c r="A249" s="4"/>
      <c r="B249" s="4"/>
      <c r="G249" s="5" t="str">
        <f ca="1">IFERROR(__xludf.DUMMYFUNCTION("IFERROR(VLOOKUP(F266,IMPORTRANGE(""https://docs.google.com/spreadsheets/d/1Kvs4KS76FHFqLFIZfrDMff4kP08nblUkihrxltoGBjg/edit#gid=934712705"",""ESENCIAL!A6:BG""),3,FALSE))"),"")</f>
        <v/>
      </c>
      <c r="H249" s="5" t="str">
        <f ca="1">IFERROR(__xludf.DUMMYFUNCTION("IFERROR(VLOOKUP(F266,IMPORTRANGE(""https://docs.google.com/spreadsheets/d/1Kvs4KS76FHFqLFIZfrDMff4kP08nblUkihrxltoGBjg/edit#gid=934712705"",""ESENCIAL!A6:BG""),8,FALSE))"),"")</f>
        <v/>
      </c>
      <c r="L249" s="287"/>
      <c r="S249"/>
      <c r="AU249" s="41" t="str">
        <f t="shared" si="36"/>
        <v/>
      </c>
      <c r="AV249" s="5" t="str">
        <f ca="1">IFERROR(__xludf.DUMMYFUNCTION("IFERROR(VLOOKUP(E266&amp;F266,IMPORTRANGE(""https://docs.google.com/spreadsheets/d/1Uw7-A9f9R21vMXxHZFNpYNeKFtG8_yji4HS352LGlSQ/edit?pli=1#gid=0"",""1_ACUM!A4:S""),11,FALSE))"),"")</f>
        <v/>
      </c>
      <c r="AW249" s="42" t="str">
        <f ca="1">IFERROR(__xludf.DUMMYFUNCTION("IFERROR(VLOOKUP(F266,IMPORTRANGE(""https://docs.google.com/spreadsheets/d/1Kvs4KS76FHFqLFIZfrDMff4kP08nblUkihrxltoGBjg/edit#gid=934712705"",""ESENCIAL!A6:BG""),15,FALSE))"),"")</f>
        <v/>
      </c>
      <c r="AX249" s="21" t="str">
        <f ca="1">IFERROR(__xludf.DUMMYFUNCTION("IFERROR(VLOOKUP(E266&amp;F266,IMPORTRANGE(""https://docs.google.com/spreadsheets/d/1Uw7-A9f9R21vMXxHZFNpYNeKFtG8_yji4HS352LGlSQ/edit?pli=1#gid=0"",""1_ACUM!A4:S""),12,FALSE))"),"")</f>
        <v/>
      </c>
      <c r="AY249" s="43" t="str">
        <f ca="1">IFERROR(__xludf.DUMMYFUNCTION("IFERROR(VLOOKUP(E266&amp;F266,IMPORTRANGE(""https://docs.google.com/spreadsheets/d/1Uw7-A9f9R21vMXxHZFNpYNeKFtG8_yji4HS352LGlSQ/edit?pli=1#gid=0"",""1_ACUM!A4:S""),13,FALSE))"),"")</f>
        <v/>
      </c>
      <c r="AZ249" s="43" t="str">
        <f ca="1">IFERROR(__xludf.DUMMYFUNCTION("IFERROR(VLOOKUP(E266&amp;F266,IMPORTRANGE(""https://docs.google.com/spreadsheets/d/1Uw7-A9f9R21vMXxHZFNpYNeKFtG8_yji4HS352LGlSQ/edit?pli=1#gid=0"",""1_ACUM!A4:S""),14,FALSE))"),"")</f>
        <v/>
      </c>
      <c r="BA249" s="43" t="str">
        <f ca="1">IFERROR(__xludf.DUMMYFUNCTION("IFERROR(VLOOKUP(E266&amp;F266,IMPORTRANGE(""https://docs.google.com/spreadsheets/d/1Uw7-A9f9R21vMXxHZFNpYNeKFtG8_yji4HS352LGlSQ/edit?pli=1#gid=0"",""1_ACUM!A4:S""),15,FALSE))"),"")</f>
        <v/>
      </c>
      <c r="BB249" s="43" t="str">
        <f ca="1">IFERROR(__xludf.DUMMYFUNCTION("IFERROR(VLOOKUP(E266&amp;F266,IMPORTRANGE(""https://docs.google.com/spreadsheets/d/1Uw7-A9f9R21vMXxHZFNpYNeKFtG8_yji4HS352LGlSQ/edit?pli=1#gid=0"",""1_ACUM!A4:S""),16,FALSE))"),"")</f>
        <v/>
      </c>
      <c r="BC249" s="43" t="str">
        <f ca="1">IFERROR(__xludf.DUMMYFUNCTION("IFERROR(VLOOKUP(E266&amp;F266,IMPORTRANGE(""https://docs.google.com/spreadsheets/d/1Uw7-A9f9R21vMXxHZFNpYNeKFtG8_yji4HS352LGlSQ/edit?pli=1#gid=0"",""1_ACUM!A4:S""),17,FALSE))"),"")</f>
        <v/>
      </c>
      <c r="BD249" s="44" t="str">
        <f ca="1">IFERROR(__xludf.DUMMYFUNCTION("IFERROR(VLOOKUP(E266&amp;F266,IMPORTRANGE(""https://docs.google.com/spreadsheets/d/1Uw7-A9f9R21vMXxHZFNpYNeKFtG8_yji4HS352LGlSQ/edit?pli=1#gid=0"",""1_ACUM!A4:S""),18,FALSE))"),"")</f>
        <v/>
      </c>
      <c r="BE249" s="44" t="str">
        <f ca="1">IFERROR(__xludf.DUMMYFUNCTION("IFERROR(VLOOKUP(E266&amp;F266,IMPORTRANGE(""https://docs.google.com/spreadsheets/d/1Uw7-A9f9R21vMXxHZFNpYNeKFtG8_yji4HS352LGlSQ/edit?pli=1#gid=0"",""1_ACUM!A4:S""),19,FALSE))"),"")</f>
        <v/>
      </c>
      <c r="BF249" s="44" t="str">
        <f ca="1">IFERROR(__xludf.DUMMYFUNCTION("IFERROR(VLOOKUP(F266,IMPORTRANGE(""https://docs.google.com/spreadsheets/d/1Kvs4KS76FHFqLFIZfrDMff4kP08nblUkihrxltoGBjg/edit#gid=934712705"",""ESENCIAL!A6:BG""),5,FALSE))"),"")</f>
        <v/>
      </c>
      <c r="BG249" s="44" t="str">
        <f t="shared" si="37"/>
        <v/>
      </c>
      <c r="BH249" s="41" t="str">
        <f t="shared" si="38"/>
        <v/>
      </c>
      <c r="BI249" s="41" t="str">
        <f ca="1">IFERROR(__xludf.DUMMYFUNCTION("IFERROR(VLOOKUP(F266,IMPORTRANGE(""https://docs.google.com/spreadsheets/d/1Kvs4KS76FHFqLFIZfrDMff4kP08nblUkihrxltoGBjg/edit#gid=934712705"",""ESENCIAL!A6:BG""),18,FALSE))"),"")</f>
        <v/>
      </c>
      <c r="BJ249" s="19" t="str">
        <f t="shared" si="39"/>
        <v/>
      </c>
      <c r="BK249" s="41"/>
      <c r="BL249" s="41"/>
    </row>
    <row r="250" spans="1:64" ht="15">
      <c r="A250" s="4"/>
      <c r="B250" s="4"/>
      <c r="G250" s="5" t="str">
        <f ca="1">IFERROR(__xludf.DUMMYFUNCTION("IFERROR(VLOOKUP(F267,IMPORTRANGE(""https://docs.google.com/spreadsheets/d/1Kvs4KS76FHFqLFIZfrDMff4kP08nblUkihrxltoGBjg/edit#gid=934712705"",""ESENCIAL!A6:BG""),3,FALSE))"),"")</f>
        <v/>
      </c>
      <c r="H250" s="5" t="str">
        <f ca="1">IFERROR(__xludf.DUMMYFUNCTION("IFERROR(VLOOKUP(F267,IMPORTRANGE(""https://docs.google.com/spreadsheets/d/1Kvs4KS76FHFqLFIZfrDMff4kP08nblUkihrxltoGBjg/edit#gid=934712705"",""ESENCIAL!A6:BG""),8,FALSE))"),"")</f>
        <v/>
      </c>
      <c r="L250" s="287"/>
      <c r="S250"/>
      <c r="AU250" s="41" t="str">
        <f t="shared" si="36"/>
        <v/>
      </c>
      <c r="AV250" s="5" t="str">
        <f ca="1">IFERROR(__xludf.DUMMYFUNCTION("IFERROR(VLOOKUP(E267&amp;F267,IMPORTRANGE(""https://docs.google.com/spreadsheets/d/1Uw7-A9f9R21vMXxHZFNpYNeKFtG8_yji4HS352LGlSQ/edit?pli=1#gid=0"",""1_ACUM!A4:S""),11,FALSE))"),"")</f>
        <v/>
      </c>
      <c r="AW250" s="42" t="str">
        <f ca="1">IFERROR(__xludf.DUMMYFUNCTION("IFERROR(VLOOKUP(F267,IMPORTRANGE(""https://docs.google.com/spreadsheets/d/1Kvs4KS76FHFqLFIZfrDMff4kP08nblUkihrxltoGBjg/edit#gid=934712705"",""ESENCIAL!A6:BG""),15,FALSE))"),"")</f>
        <v/>
      </c>
      <c r="AX250" s="21" t="str">
        <f ca="1">IFERROR(__xludf.DUMMYFUNCTION("IFERROR(VLOOKUP(E267&amp;F267,IMPORTRANGE(""https://docs.google.com/spreadsheets/d/1Uw7-A9f9R21vMXxHZFNpYNeKFtG8_yji4HS352LGlSQ/edit?pli=1#gid=0"",""1_ACUM!A4:S""),12,FALSE))"),"")</f>
        <v/>
      </c>
      <c r="AY250" s="43" t="str">
        <f ca="1">IFERROR(__xludf.DUMMYFUNCTION("IFERROR(VLOOKUP(E267&amp;F267,IMPORTRANGE(""https://docs.google.com/spreadsheets/d/1Uw7-A9f9R21vMXxHZFNpYNeKFtG8_yji4HS352LGlSQ/edit?pli=1#gid=0"",""1_ACUM!A4:S""),13,FALSE))"),"")</f>
        <v/>
      </c>
      <c r="AZ250" s="43" t="str">
        <f ca="1">IFERROR(__xludf.DUMMYFUNCTION("IFERROR(VLOOKUP(E267&amp;F267,IMPORTRANGE(""https://docs.google.com/spreadsheets/d/1Uw7-A9f9R21vMXxHZFNpYNeKFtG8_yji4HS352LGlSQ/edit?pli=1#gid=0"",""1_ACUM!A4:S""),14,FALSE))"),"")</f>
        <v/>
      </c>
      <c r="BA250" s="43" t="str">
        <f ca="1">IFERROR(__xludf.DUMMYFUNCTION("IFERROR(VLOOKUP(E267&amp;F267,IMPORTRANGE(""https://docs.google.com/spreadsheets/d/1Uw7-A9f9R21vMXxHZFNpYNeKFtG8_yji4HS352LGlSQ/edit?pli=1#gid=0"",""1_ACUM!A4:S""),15,FALSE))"),"")</f>
        <v/>
      </c>
      <c r="BB250" s="43" t="str">
        <f ca="1">IFERROR(__xludf.DUMMYFUNCTION("IFERROR(VLOOKUP(E267&amp;F267,IMPORTRANGE(""https://docs.google.com/spreadsheets/d/1Uw7-A9f9R21vMXxHZFNpYNeKFtG8_yji4HS352LGlSQ/edit?pli=1#gid=0"",""1_ACUM!A4:S""),16,FALSE))"),"")</f>
        <v/>
      </c>
      <c r="BC250" s="43" t="str">
        <f ca="1">IFERROR(__xludf.DUMMYFUNCTION("IFERROR(VLOOKUP(E267&amp;F267,IMPORTRANGE(""https://docs.google.com/spreadsheets/d/1Uw7-A9f9R21vMXxHZFNpYNeKFtG8_yji4HS352LGlSQ/edit?pli=1#gid=0"",""1_ACUM!A4:S""),17,FALSE))"),"")</f>
        <v/>
      </c>
      <c r="BD250" s="44" t="str">
        <f ca="1">IFERROR(__xludf.DUMMYFUNCTION("IFERROR(VLOOKUP(E267&amp;F267,IMPORTRANGE(""https://docs.google.com/spreadsheets/d/1Uw7-A9f9R21vMXxHZFNpYNeKFtG8_yji4HS352LGlSQ/edit?pli=1#gid=0"",""1_ACUM!A4:S""),18,FALSE))"),"")</f>
        <v/>
      </c>
      <c r="BE250" s="44" t="str">
        <f ca="1">IFERROR(__xludf.DUMMYFUNCTION("IFERROR(VLOOKUP(E267&amp;F267,IMPORTRANGE(""https://docs.google.com/spreadsheets/d/1Uw7-A9f9R21vMXxHZFNpYNeKFtG8_yji4HS352LGlSQ/edit?pli=1#gid=0"",""1_ACUM!A4:S""),19,FALSE))"),"")</f>
        <v/>
      </c>
      <c r="BF250" s="44" t="str">
        <f ca="1">IFERROR(__xludf.DUMMYFUNCTION("IFERROR(VLOOKUP(F267,IMPORTRANGE(""https://docs.google.com/spreadsheets/d/1Kvs4KS76FHFqLFIZfrDMff4kP08nblUkihrxltoGBjg/edit#gid=934712705"",""ESENCIAL!A6:BG""),5,FALSE))"),"")</f>
        <v/>
      </c>
      <c r="BG250" s="44" t="str">
        <f t="shared" si="37"/>
        <v/>
      </c>
      <c r="BH250" s="41" t="str">
        <f t="shared" si="38"/>
        <v/>
      </c>
      <c r="BI250" s="41" t="str">
        <f ca="1">IFERROR(__xludf.DUMMYFUNCTION("IFERROR(VLOOKUP(F267,IMPORTRANGE(""https://docs.google.com/spreadsheets/d/1Kvs4KS76FHFqLFIZfrDMff4kP08nblUkihrxltoGBjg/edit#gid=934712705"",""ESENCIAL!A6:BG""),18,FALSE))"),"")</f>
        <v/>
      </c>
      <c r="BJ250" s="19" t="str">
        <f t="shared" si="39"/>
        <v/>
      </c>
      <c r="BK250" s="41"/>
      <c r="BL250" s="41"/>
    </row>
    <row r="251" spans="1:64" ht="15">
      <c r="A251" s="4"/>
      <c r="B251" s="4"/>
      <c r="G251" s="5" t="str">
        <f ca="1">IFERROR(__xludf.DUMMYFUNCTION("IFERROR(VLOOKUP(F268,IMPORTRANGE(""https://docs.google.com/spreadsheets/d/1Kvs4KS76FHFqLFIZfrDMff4kP08nblUkihrxltoGBjg/edit#gid=934712705"",""ESENCIAL!A6:BG""),3,FALSE))"),"")</f>
        <v/>
      </c>
      <c r="H251" s="5" t="str">
        <f ca="1">IFERROR(__xludf.DUMMYFUNCTION("IFERROR(VLOOKUP(F268,IMPORTRANGE(""https://docs.google.com/spreadsheets/d/1Kvs4KS76FHFqLFIZfrDMff4kP08nblUkihrxltoGBjg/edit#gid=934712705"",""ESENCIAL!A6:BG""),8,FALSE))"),"")</f>
        <v/>
      </c>
      <c r="L251" s="287"/>
      <c r="S251"/>
      <c r="AU251" s="41" t="str">
        <f t="shared" si="36"/>
        <v/>
      </c>
      <c r="AV251" s="5" t="str">
        <f ca="1">IFERROR(__xludf.DUMMYFUNCTION("IFERROR(VLOOKUP(E268&amp;F268,IMPORTRANGE(""https://docs.google.com/spreadsheets/d/1Uw7-A9f9R21vMXxHZFNpYNeKFtG8_yji4HS352LGlSQ/edit?pli=1#gid=0"",""1_ACUM!A4:S""),11,FALSE))"),"")</f>
        <v/>
      </c>
      <c r="AW251" s="42" t="str">
        <f ca="1">IFERROR(__xludf.DUMMYFUNCTION("IFERROR(VLOOKUP(F268,IMPORTRANGE(""https://docs.google.com/spreadsheets/d/1Kvs4KS76FHFqLFIZfrDMff4kP08nblUkihrxltoGBjg/edit#gid=934712705"",""ESENCIAL!A6:BG""),15,FALSE))"),"")</f>
        <v/>
      </c>
      <c r="AX251" s="21" t="str">
        <f ca="1">IFERROR(__xludf.DUMMYFUNCTION("IFERROR(VLOOKUP(E268&amp;F268,IMPORTRANGE(""https://docs.google.com/spreadsheets/d/1Uw7-A9f9R21vMXxHZFNpYNeKFtG8_yji4HS352LGlSQ/edit?pli=1#gid=0"",""1_ACUM!A4:S""),12,FALSE))"),"")</f>
        <v/>
      </c>
      <c r="AY251" s="43" t="str">
        <f ca="1">IFERROR(__xludf.DUMMYFUNCTION("IFERROR(VLOOKUP(E268&amp;F268,IMPORTRANGE(""https://docs.google.com/spreadsheets/d/1Uw7-A9f9R21vMXxHZFNpYNeKFtG8_yji4HS352LGlSQ/edit?pli=1#gid=0"",""1_ACUM!A4:S""),13,FALSE))"),"")</f>
        <v/>
      </c>
      <c r="AZ251" s="43" t="str">
        <f ca="1">IFERROR(__xludf.DUMMYFUNCTION("IFERROR(VLOOKUP(E268&amp;F268,IMPORTRANGE(""https://docs.google.com/spreadsheets/d/1Uw7-A9f9R21vMXxHZFNpYNeKFtG8_yji4HS352LGlSQ/edit?pli=1#gid=0"",""1_ACUM!A4:S""),14,FALSE))"),"")</f>
        <v/>
      </c>
      <c r="BA251" s="43" t="str">
        <f ca="1">IFERROR(__xludf.DUMMYFUNCTION("IFERROR(VLOOKUP(E268&amp;F268,IMPORTRANGE(""https://docs.google.com/spreadsheets/d/1Uw7-A9f9R21vMXxHZFNpYNeKFtG8_yji4HS352LGlSQ/edit?pli=1#gid=0"",""1_ACUM!A4:S""),15,FALSE))"),"")</f>
        <v/>
      </c>
      <c r="BB251" s="43" t="str">
        <f ca="1">IFERROR(__xludf.DUMMYFUNCTION("IFERROR(VLOOKUP(E268&amp;F268,IMPORTRANGE(""https://docs.google.com/spreadsheets/d/1Uw7-A9f9R21vMXxHZFNpYNeKFtG8_yji4HS352LGlSQ/edit?pli=1#gid=0"",""1_ACUM!A4:S""),16,FALSE))"),"")</f>
        <v/>
      </c>
      <c r="BC251" s="43" t="str">
        <f ca="1">IFERROR(__xludf.DUMMYFUNCTION("IFERROR(VLOOKUP(E268&amp;F268,IMPORTRANGE(""https://docs.google.com/spreadsheets/d/1Uw7-A9f9R21vMXxHZFNpYNeKFtG8_yji4HS352LGlSQ/edit?pli=1#gid=0"",""1_ACUM!A4:S""),17,FALSE))"),"")</f>
        <v/>
      </c>
      <c r="BD251" s="44" t="str">
        <f ca="1">IFERROR(__xludf.DUMMYFUNCTION("IFERROR(VLOOKUP(E268&amp;F268,IMPORTRANGE(""https://docs.google.com/spreadsheets/d/1Uw7-A9f9R21vMXxHZFNpYNeKFtG8_yji4HS352LGlSQ/edit?pli=1#gid=0"",""1_ACUM!A4:S""),18,FALSE))"),"")</f>
        <v/>
      </c>
      <c r="BE251" s="44" t="str">
        <f ca="1">IFERROR(__xludf.DUMMYFUNCTION("IFERROR(VLOOKUP(E268&amp;F268,IMPORTRANGE(""https://docs.google.com/spreadsheets/d/1Uw7-A9f9R21vMXxHZFNpYNeKFtG8_yji4HS352LGlSQ/edit?pli=1#gid=0"",""1_ACUM!A4:S""),19,FALSE))"),"")</f>
        <v/>
      </c>
      <c r="BF251" s="44" t="str">
        <f ca="1">IFERROR(__xludf.DUMMYFUNCTION("IFERROR(VLOOKUP(F268,IMPORTRANGE(""https://docs.google.com/spreadsheets/d/1Kvs4KS76FHFqLFIZfrDMff4kP08nblUkihrxltoGBjg/edit#gid=934712705"",""ESENCIAL!A6:BG""),5,FALSE))"),"")</f>
        <v/>
      </c>
      <c r="BG251" s="44" t="str">
        <f t="shared" si="37"/>
        <v/>
      </c>
      <c r="BH251" s="41" t="str">
        <f t="shared" si="38"/>
        <v/>
      </c>
      <c r="BI251" s="41" t="str">
        <f ca="1">IFERROR(__xludf.DUMMYFUNCTION("IFERROR(VLOOKUP(F268,IMPORTRANGE(""https://docs.google.com/spreadsheets/d/1Kvs4KS76FHFqLFIZfrDMff4kP08nblUkihrxltoGBjg/edit#gid=934712705"",""ESENCIAL!A6:BG""),18,FALSE))"),"")</f>
        <v/>
      </c>
      <c r="BJ251" s="19" t="str">
        <f t="shared" si="39"/>
        <v/>
      </c>
      <c r="BK251" s="41"/>
      <c r="BL251" s="41"/>
    </row>
    <row r="252" spans="1:64" ht="15">
      <c r="A252" s="4"/>
      <c r="B252" s="4"/>
      <c r="G252" s="5" t="str">
        <f ca="1">IFERROR(__xludf.DUMMYFUNCTION("IFERROR(VLOOKUP(F269,IMPORTRANGE(""https://docs.google.com/spreadsheets/d/1Kvs4KS76FHFqLFIZfrDMff4kP08nblUkihrxltoGBjg/edit#gid=934712705"",""ESENCIAL!A6:BG""),3,FALSE))"),"")</f>
        <v/>
      </c>
      <c r="H252" s="5" t="str">
        <f ca="1">IFERROR(__xludf.DUMMYFUNCTION("IFERROR(VLOOKUP(F269,IMPORTRANGE(""https://docs.google.com/spreadsheets/d/1Kvs4KS76FHFqLFIZfrDMff4kP08nblUkihrxltoGBjg/edit#gid=934712705"",""ESENCIAL!A6:BG""),8,FALSE))"),"")</f>
        <v/>
      </c>
      <c r="L252" s="287"/>
      <c r="S252"/>
      <c r="AU252" s="41" t="str">
        <f t="shared" si="36"/>
        <v/>
      </c>
      <c r="AV252" s="5" t="str">
        <f ca="1">IFERROR(__xludf.DUMMYFUNCTION("IFERROR(VLOOKUP(E269&amp;F269,IMPORTRANGE(""https://docs.google.com/spreadsheets/d/1Uw7-A9f9R21vMXxHZFNpYNeKFtG8_yji4HS352LGlSQ/edit?pli=1#gid=0"",""1_ACUM!A4:S""),11,FALSE))"),"")</f>
        <v/>
      </c>
      <c r="AW252" s="42" t="str">
        <f ca="1">IFERROR(__xludf.DUMMYFUNCTION("IFERROR(VLOOKUP(F269,IMPORTRANGE(""https://docs.google.com/spreadsheets/d/1Kvs4KS76FHFqLFIZfrDMff4kP08nblUkihrxltoGBjg/edit#gid=934712705"",""ESENCIAL!A6:BG""),15,FALSE))"),"")</f>
        <v/>
      </c>
      <c r="AX252" s="21" t="str">
        <f ca="1">IFERROR(__xludf.DUMMYFUNCTION("IFERROR(VLOOKUP(E269&amp;F269,IMPORTRANGE(""https://docs.google.com/spreadsheets/d/1Uw7-A9f9R21vMXxHZFNpYNeKFtG8_yji4HS352LGlSQ/edit?pli=1#gid=0"",""1_ACUM!A4:S""),12,FALSE))"),"")</f>
        <v/>
      </c>
      <c r="AY252" s="43" t="str">
        <f ca="1">IFERROR(__xludf.DUMMYFUNCTION("IFERROR(VLOOKUP(E269&amp;F269,IMPORTRANGE(""https://docs.google.com/spreadsheets/d/1Uw7-A9f9R21vMXxHZFNpYNeKFtG8_yji4HS352LGlSQ/edit?pli=1#gid=0"",""1_ACUM!A4:S""),13,FALSE))"),"")</f>
        <v/>
      </c>
      <c r="AZ252" s="43" t="str">
        <f ca="1">IFERROR(__xludf.DUMMYFUNCTION("IFERROR(VLOOKUP(E269&amp;F269,IMPORTRANGE(""https://docs.google.com/spreadsheets/d/1Uw7-A9f9R21vMXxHZFNpYNeKFtG8_yji4HS352LGlSQ/edit?pli=1#gid=0"",""1_ACUM!A4:S""),14,FALSE))"),"")</f>
        <v/>
      </c>
      <c r="BA252" s="43" t="str">
        <f ca="1">IFERROR(__xludf.DUMMYFUNCTION("IFERROR(VLOOKUP(E269&amp;F269,IMPORTRANGE(""https://docs.google.com/spreadsheets/d/1Uw7-A9f9R21vMXxHZFNpYNeKFtG8_yji4HS352LGlSQ/edit?pli=1#gid=0"",""1_ACUM!A4:S""),15,FALSE))"),"")</f>
        <v/>
      </c>
      <c r="BB252" s="43" t="str">
        <f ca="1">IFERROR(__xludf.DUMMYFUNCTION("IFERROR(VLOOKUP(E269&amp;F269,IMPORTRANGE(""https://docs.google.com/spreadsheets/d/1Uw7-A9f9R21vMXxHZFNpYNeKFtG8_yji4HS352LGlSQ/edit?pli=1#gid=0"",""1_ACUM!A4:S""),16,FALSE))"),"")</f>
        <v/>
      </c>
      <c r="BC252" s="43" t="str">
        <f ca="1">IFERROR(__xludf.DUMMYFUNCTION("IFERROR(VLOOKUP(E269&amp;F269,IMPORTRANGE(""https://docs.google.com/spreadsheets/d/1Uw7-A9f9R21vMXxHZFNpYNeKFtG8_yji4HS352LGlSQ/edit?pli=1#gid=0"",""1_ACUM!A4:S""),17,FALSE))"),"")</f>
        <v/>
      </c>
      <c r="BD252" s="44" t="str">
        <f ca="1">IFERROR(__xludf.DUMMYFUNCTION("IFERROR(VLOOKUP(E269&amp;F269,IMPORTRANGE(""https://docs.google.com/spreadsheets/d/1Uw7-A9f9R21vMXxHZFNpYNeKFtG8_yji4HS352LGlSQ/edit?pli=1#gid=0"",""1_ACUM!A4:S""),18,FALSE))"),"")</f>
        <v/>
      </c>
      <c r="BE252" s="44" t="str">
        <f ca="1">IFERROR(__xludf.DUMMYFUNCTION("IFERROR(VLOOKUP(E269&amp;F269,IMPORTRANGE(""https://docs.google.com/spreadsheets/d/1Uw7-A9f9R21vMXxHZFNpYNeKFtG8_yji4HS352LGlSQ/edit?pli=1#gid=0"",""1_ACUM!A4:S""),19,FALSE))"),"")</f>
        <v/>
      </c>
      <c r="BF252" s="44" t="str">
        <f ca="1">IFERROR(__xludf.DUMMYFUNCTION("IFERROR(VLOOKUP(F269,IMPORTRANGE(""https://docs.google.com/spreadsheets/d/1Kvs4KS76FHFqLFIZfrDMff4kP08nblUkihrxltoGBjg/edit#gid=934712705"",""ESENCIAL!A6:BG""),5,FALSE))"),"")</f>
        <v/>
      </c>
      <c r="BG252" s="44" t="str">
        <f t="shared" si="37"/>
        <v/>
      </c>
      <c r="BH252" s="41" t="str">
        <f t="shared" si="38"/>
        <v/>
      </c>
      <c r="BI252" s="41" t="str">
        <f ca="1">IFERROR(__xludf.DUMMYFUNCTION("IFERROR(VLOOKUP(F269,IMPORTRANGE(""https://docs.google.com/spreadsheets/d/1Kvs4KS76FHFqLFIZfrDMff4kP08nblUkihrxltoGBjg/edit#gid=934712705"",""ESENCIAL!A6:BG""),18,FALSE))"),"")</f>
        <v/>
      </c>
      <c r="BJ252" s="19" t="str">
        <f t="shared" si="39"/>
        <v/>
      </c>
      <c r="BK252" s="41"/>
      <c r="BL252" s="41"/>
    </row>
    <row r="253" spans="1:64" ht="15">
      <c r="A253" s="4"/>
      <c r="B253" s="4"/>
      <c r="G253" s="5" t="str">
        <f ca="1">IFERROR(__xludf.DUMMYFUNCTION("IFERROR(VLOOKUP(F270,IMPORTRANGE(""https://docs.google.com/spreadsheets/d/1Kvs4KS76FHFqLFIZfrDMff4kP08nblUkihrxltoGBjg/edit#gid=934712705"",""ESENCIAL!A6:BG""),3,FALSE))"),"")</f>
        <v/>
      </c>
      <c r="H253" s="5" t="str">
        <f ca="1">IFERROR(__xludf.DUMMYFUNCTION("IFERROR(VLOOKUP(F270,IMPORTRANGE(""https://docs.google.com/spreadsheets/d/1Kvs4KS76FHFqLFIZfrDMff4kP08nblUkihrxltoGBjg/edit#gid=934712705"",""ESENCIAL!A6:BG""),8,FALSE))"),"")</f>
        <v/>
      </c>
      <c r="L253" s="287"/>
      <c r="S253"/>
      <c r="AU253" s="41" t="str">
        <f t="shared" si="36"/>
        <v/>
      </c>
      <c r="AV253" s="5" t="str">
        <f ca="1">IFERROR(__xludf.DUMMYFUNCTION("IFERROR(VLOOKUP(E270&amp;F270,IMPORTRANGE(""https://docs.google.com/spreadsheets/d/1Uw7-A9f9R21vMXxHZFNpYNeKFtG8_yji4HS352LGlSQ/edit?pli=1#gid=0"",""1_ACUM!A4:S""),11,FALSE))"),"")</f>
        <v/>
      </c>
      <c r="AW253" s="42" t="str">
        <f ca="1">IFERROR(__xludf.DUMMYFUNCTION("IFERROR(VLOOKUP(F270,IMPORTRANGE(""https://docs.google.com/spreadsheets/d/1Kvs4KS76FHFqLFIZfrDMff4kP08nblUkihrxltoGBjg/edit#gid=934712705"",""ESENCIAL!A6:BG""),15,FALSE))"),"")</f>
        <v/>
      </c>
      <c r="AX253" s="21" t="str">
        <f ca="1">IFERROR(__xludf.DUMMYFUNCTION("IFERROR(VLOOKUP(E270&amp;F270,IMPORTRANGE(""https://docs.google.com/spreadsheets/d/1Uw7-A9f9R21vMXxHZFNpYNeKFtG8_yji4HS352LGlSQ/edit?pli=1#gid=0"",""1_ACUM!A4:S""),12,FALSE))"),"")</f>
        <v/>
      </c>
      <c r="AY253" s="43" t="str">
        <f ca="1">IFERROR(__xludf.DUMMYFUNCTION("IFERROR(VLOOKUP(E270&amp;F270,IMPORTRANGE(""https://docs.google.com/spreadsheets/d/1Uw7-A9f9R21vMXxHZFNpYNeKFtG8_yji4HS352LGlSQ/edit?pli=1#gid=0"",""1_ACUM!A4:S""),13,FALSE))"),"")</f>
        <v/>
      </c>
      <c r="AZ253" s="43" t="str">
        <f ca="1">IFERROR(__xludf.DUMMYFUNCTION("IFERROR(VLOOKUP(E270&amp;F270,IMPORTRANGE(""https://docs.google.com/spreadsheets/d/1Uw7-A9f9R21vMXxHZFNpYNeKFtG8_yji4HS352LGlSQ/edit?pli=1#gid=0"",""1_ACUM!A4:S""),14,FALSE))"),"")</f>
        <v/>
      </c>
      <c r="BA253" s="43" t="str">
        <f ca="1">IFERROR(__xludf.DUMMYFUNCTION("IFERROR(VLOOKUP(E270&amp;F270,IMPORTRANGE(""https://docs.google.com/spreadsheets/d/1Uw7-A9f9R21vMXxHZFNpYNeKFtG8_yji4HS352LGlSQ/edit?pli=1#gid=0"",""1_ACUM!A4:S""),15,FALSE))"),"")</f>
        <v/>
      </c>
      <c r="BB253" s="43" t="str">
        <f ca="1">IFERROR(__xludf.DUMMYFUNCTION("IFERROR(VLOOKUP(E270&amp;F270,IMPORTRANGE(""https://docs.google.com/spreadsheets/d/1Uw7-A9f9R21vMXxHZFNpYNeKFtG8_yji4HS352LGlSQ/edit?pli=1#gid=0"",""1_ACUM!A4:S""),16,FALSE))"),"")</f>
        <v/>
      </c>
      <c r="BC253" s="43" t="str">
        <f ca="1">IFERROR(__xludf.DUMMYFUNCTION("IFERROR(VLOOKUP(E270&amp;F270,IMPORTRANGE(""https://docs.google.com/spreadsheets/d/1Uw7-A9f9R21vMXxHZFNpYNeKFtG8_yji4HS352LGlSQ/edit?pli=1#gid=0"",""1_ACUM!A4:S""),17,FALSE))"),"")</f>
        <v/>
      </c>
      <c r="BD253" s="44" t="str">
        <f ca="1">IFERROR(__xludf.DUMMYFUNCTION("IFERROR(VLOOKUP(E270&amp;F270,IMPORTRANGE(""https://docs.google.com/spreadsheets/d/1Uw7-A9f9R21vMXxHZFNpYNeKFtG8_yji4HS352LGlSQ/edit?pli=1#gid=0"",""1_ACUM!A4:S""),18,FALSE))"),"")</f>
        <v/>
      </c>
      <c r="BE253" s="44" t="str">
        <f ca="1">IFERROR(__xludf.DUMMYFUNCTION("IFERROR(VLOOKUP(E270&amp;F270,IMPORTRANGE(""https://docs.google.com/spreadsheets/d/1Uw7-A9f9R21vMXxHZFNpYNeKFtG8_yji4HS352LGlSQ/edit?pli=1#gid=0"",""1_ACUM!A4:S""),19,FALSE))"),"")</f>
        <v/>
      </c>
      <c r="BF253" s="44" t="str">
        <f ca="1">IFERROR(__xludf.DUMMYFUNCTION("IFERROR(VLOOKUP(F270,IMPORTRANGE(""https://docs.google.com/spreadsheets/d/1Kvs4KS76FHFqLFIZfrDMff4kP08nblUkihrxltoGBjg/edit#gid=934712705"",""ESENCIAL!A6:BG""),5,FALSE))"),"")</f>
        <v/>
      </c>
      <c r="BG253" s="44" t="str">
        <f t="shared" si="37"/>
        <v/>
      </c>
      <c r="BH253" s="41" t="str">
        <f t="shared" si="38"/>
        <v/>
      </c>
      <c r="BI253" s="41" t="str">
        <f ca="1">IFERROR(__xludf.DUMMYFUNCTION("IFERROR(VLOOKUP(F270,IMPORTRANGE(""https://docs.google.com/spreadsheets/d/1Kvs4KS76FHFqLFIZfrDMff4kP08nblUkihrxltoGBjg/edit#gid=934712705"",""ESENCIAL!A6:BG""),18,FALSE))"),"")</f>
        <v/>
      </c>
      <c r="BJ253" s="19" t="str">
        <f t="shared" si="39"/>
        <v/>
      </c>
      <c r="BK253" s="41"/>
      <c r="BL253" s="41"/>
    </row>
    <row r="254" spans="1:64" ht="15">
      <c r="A254" s="4"/>
      <c r="B254" s="4"/>
      <c r="G254" s="5" t="str">
        <f ca="1">IFERROR(__xludf.DUMMYFUNCTION("IFERROR(VLOOKUP(F271,IMPORTRANGE(""https://docs.google.com/spreadsheets/d/1Kvs4KS76FHFqLFIZfrDMff4kP08nblUkihrxltoGBjg/edit#gid=934712705"",""ESENCIAL!A6:BG""),3,FALSE))"),"")</f>
        <v/>
      </c>
      <c r="H254" s="5" t="str">
        <f ca="1">IFERROR(__xludf.DUMMYFUNCTION("IFERROR(VLOOKUP(F271,IMPORTRANGE(""https://docs.google.com/spreadsheets/d/1Kvs4KS76FHFqLFIZfrDMff4kP08nblUkihrxltoGBjg/edit#gid=934712705"",""ESENCIAL!A6:BG""),8,FALSE))"),"")</f>
        <v/>
      </c>
      <c r="L254" s="287"/>
      <c r="S254"/>
      <c r="AU254" s="41" t="str">
        <f t="shared" si="36"/>
        <v/>
      </c>
      <c r="AV254" s="5" t="str">
        <f ca="1">IFERROR(__xludf.DUMMYFUNCTION("IFERROR(VLOOKUP(E271&amp;F271,IMPORTRANGE(""https://docs.google.com/spreadsheets/d/1Uw7-A9f9R21vMXxHZFNpYNeKFtG8_yji4HS352LGlSQ/edit?pli=1#gid=0"",""1_ACUM!A4:S""),11,FALSE))"),"")</f>
        <v/>
      </c>
      <c r="AW254" s="42" t="str">
        <f ca="1">IFERROR(__xludf.DUMMYFUNCTION("IFERROR(VLOOKUP(F271,IMPORTRANGE(""https://docs.google.com/spreadsheets/d/1Kvs4KS76FHFqLFIZfrDMff4kP08nblUkihrxltoGBjg/edit#gid=934712705"",""ESENCIAL!A6:BG""),15,FALSE))"),"")</f>
        <v/>
      </c>
      <c r="AX254" s="21" t="str">
        <f ca="1">IFERROR(__xludf.DUMMYFUNCTION("IFERROR(VLOOKUP(E271&amp;F271,IMPORTRANGE(""https://docs.google.com/spreadsheets/d/1Uw7-A9f9R21vMXxHZFNpYNeKFtG8_yji4HS352LGlSQ/edit?pli=1#gid=0"",""1_ACUM!A4:S""),12,FALSE))"),"")</f>
        <v/>
      </c>
      <c r="AY254" s="43" t="str">
        <f ca="1">IFERROR(__xludf.DUMMYFUNCTION("IFERROR(VLOOKUP(E271&amp;F271,IMPORTRANGE(""https://docs.google.com/spreadsheets/d/1Uw7-A9f9R21vMXxHZFNpYNeKFtG8_yji4HS352LGlSQ/edit?pli=1#gid=0"",""1_ACUM!A4:S""),13,FALSE))"),"")</f>
        <v/>
      </c>
      <c r="AZ254" s="43" t="str">
        <f ca="1">IFERROR(__xludf.DUMMYFUNCTION("IFERROR(VLOOKUP(E271&amp;F271,IMPORTRANGE(""https://docs.google.com/spreadsheets/d/1Uw7-A9f9R21vMXxHZFNpYNeKFtG8_yji4HS352LGlSQ/edit?pli=1#gid=0"",""1_ACUM!A4:S""),14,FALSE))"),"")</f>
        <v/>
      </c>
      <c r="BA254" s="43" t="str">
        <f ca="1">IFERROR(__xludf.DUMMYFUNCTION("IFERROR(VLOOKUP(E271&amp;F271,IMPORTRANGE(""https://docs.google.com/spreadsheets/d/1Uw7-A9f9R21vMXxHZFNpYNeKFtG8_yji4HS352LGlSQ/edit?pli=1#gid=0"",""1_ACUM!A4:S""),15,FALSE))"),"")</f>
        <v/>
      </c>
      <c r="BB254" s="43" t="str">
        <f ca="1">IFERROR(__xludf.DUMMYFUNCTION("IFERROR(VLOOKUP(E271&amp;F271,IMPORTRANGE(""https://docs.google.com/spreadsheets/d/1Uw7-A9f9R21vMXxHZFNpYNeKFtG8_yji4HS352LGlSQ/edit?pli=1#gid=0"",""1_ACUM!A4:S""),16,FALSE))"),"")</f>
        <v/>
      </c>
      <c r="BC254" s="43" t="str">
        <f ca="1">IFERROR(__xludf.DUMMYFUNCTION("IFERROR(VLOOKUP(E271&amp;F271,IMPORTRANGE(""https://docs.google.com/spreadsheets/d/1Uw7-A9f9R21vMXxHZFNpYNeKFtG8_yji4HS352LGlSQ/edit?pli=1#gid=0"",""1_ACUM!A4:S""),17,FALSE))"),"")</f>
        <v/>
      </c>
      <c r="BD254" s="44" t="str">
        <f ca="1">IFERROR(__xludf.DUMMYFUNCTION("IFERROR(VLOOKUP(E271&amp;F271,IMPORTRANGE(""https://docs.google.com/spreadsheets/d/1Uw7-A9f9R21vMXxHZFNpYNeKFtG8_yji4HS352LGlSQ/edit?pli=1#gid=0"",""1_ACUM!A4:S""),18,FALSE))"),"")</f>
        <v/>
      </c>
      <c r="BE254" s="44" t="str">
        <f ca="1">IFERROR(__xludf.DUMMYFUNCTION("IFERROR(VLOOKUP(E271&amp;F271,IMPORTRANGE(""https://docs.google.com/spreadsheets/d/1Uw7-A9f9R21vMXxHZFNpYNeKFtG8_yji4HS352LGlSQ/edit?pli=1#gid=0"",""1_ACUM!A4:S""),19,FALSE))"),"")</f>
        <v/>
      </c>
      <c r="BF254" s="44" t="str">
        <f ca="1">IFERROR(__xludf.DUMMYFUNCTION("IFERROR(VLOOKUP(F271,IMPORTRANGE(""https://docs.google.com/spreadsheets/d/1Kvs4KS76FHFqLFIZfrDMff4kP08nblUkihrxltoGBjg/edit#gid=934712705"",""ESENCIAL!A6:BG""),5,FALSE))"),"")</f>
        <v/>
      </c>
      <c r="BG254" s="44" t="str">
        <f t="shared" si="37"/>
        <v/>
      </c>
      <c r="BH254" s="41" t="str">
        <f t="shared" si="38"/>
        <v/>
      </c>
      <c r="BI254" s="41" t="str">
        <f ca="1">IFERROR(__xludf.DUMMYFUNCTION("IFERROR(VLOOKUP(F271,IMPORTRANGE(""https://docs.google.com/spreadsheets/d/1Kvs4KS76FHFqLFIZfrDMff4kP08nblUkihrxltoGBjg/edit#gid=934712705"",""ESENCIAL!A6:BG""),18,FALSE))"),"")</f>
        <v/>
      </c>
      <c r="BJ254" s="19" t="str">
        <f t="shared" si="39"/>
        <v/>
      </c>
      <c r="BK254" s="41"/>
      <c r="BL254" s="41"/>
    </row>
    <row r="255" spans="1:64" ht="15">
      <c r="A255" s="4"/>
      <c r="B255" s="4"/>
      <c r="G255" s="5" t="str">
        <f ca="1">IFERROR(__xludf.DUMMYFUNCTION("IFERROR(VLOOKUP(F272,IMPORTRANGE(""https://docs.google.com/spreadsheets/d/1Kvs4KS76FHFqLFIZfrDMff4kP08nblUkihrxltoGBjg/edit#gid=934712705"",""ESENCIAL!A6:BG""),3,FALSE))"),"")</f>
        <v/>
      </c>
      <c r="H255" s="5" t="str">
        <f ca="1">IFERROR(__xludf.DUMMYFUNCTION("IFERROR(VLOOKUP(F272,IMPORTRANGE(""https://docs.google.com/spreadsheets/d/1Kvs4KS76FHFqLFIZfrDMff4kP08nblUkihrxltoGBjg/edit#gid=934712705"",""ESENCIAL!A6:BG""),8,FALSE))"),"")</f>
        <v/>
      </c>
      <c r="L255" s="287"/>
      <c r="S255"/>
      <c r="AU255" s="41" t="str">
        <f t="shared" si="36"/>
        <v/>
      </c>
      <c r="AV255" s="5" t="str">
        <f ca="1">IFERROR(__xludf.DUMMYFUNCTION("IFERROR(VLOOKUP(E272&amp;F272,IMPORTRANGE(""https://docs.google.com/spreadsheets/d/1Uw7-A9f9R21vMXxHZFNpYNeKFtG8_yji4HS352LGlSQ/edit?pli=1#gid=0"",""1_ACUM!A4:S""),11,FALSE))"),"")</f>
        <v/>
      </c>
      <c r="AW255" s="42" t="str">
        <f ca="1">IFERROR(__xludf.DUMMYFUNCTION("IFERROR(VLOOKUP(F272,IMPORTRANGE(""https://docs.google.com/spreadsheets/d/1Kvs4KS76FHFqLFIZfrDMff4kP08nblUkihrxltoGBjg/edit#gid=934712705"",""ESENCIAL!A6:BG""),15,FALSE))"),"")</f>
        <v/>
      </c>
      <c r="AX255" s="21" t="str">
        <f ca="1">IFERROR(__xludf.DUMMYFUNCTION("IFERROR(VLOOKUP(E272&amp;F272,IMPORTRANGE(""https://docs.google.com/spreadsheets/d/1Uw7-A9f9R21vMXxHZFNpYNeKFtG8_yji4HS352LGlSQ/edit?pli=1#gid=0"",""1_ACUM!A4:S""),12,FALSE))"),"")</f>
        <v/>
      </c>
      <c r="AY255" s="43" t="str">
        <f ca="1">IFERROR(__xludf.DUMMYFUNCTION("IFERROR(VLOOKUP(E272&amp;F272,IMPORTRANGE(""https://docs.google.com/spreadsheets/d/1Uw7-A9f9R21vMXxHZFNpYNeKFtG8_yji4HS352LGlSQ/edit?pli=1#gid=0"",""1_ACUM!A4:S""),13,FALSE))"),"")</f>
        <v/>
      </c>
      <c r="AZ255" s="43" t="str">
        <f ca="1">IFERROR(__xludf.DUMMYFUNCTION("IFERROR(VLOOKUP(E272&amp;F272,IMPORTRANGE(""https://docs.google.com/spreadsheets/d/1Uw7-A9f9R21vMXxHZFNpYNeKFtG8_yji4HS352LGlSQ/edit?pli=1#gid=0"",""1_ACUM!A4:S""),14,FALSE))"),"")</f>
        <v/>
      </c>
      <c r="BA255" s="43" t="str">
        <f ca="1">IFERROR(__xludf.DUMMYFUNCTION("IFERROR(VLOOKUP(E272&amp;F272,IMPORTRANGE(""https://docs.google.com/spreadsheets/d/1Uw7-A9f9R21vMXxHZFNpYNeKFtG8_yji4HS352LGlSQ/edit?pli=1#gid=0"",""1_ACUM!A4:S""),15,FALSE))"),"")</f>
        <v/>
      </c>
      <c r="BB255" s="43" t="str">
        <f ca="1">IFERROR(__xludf.DUMMYFUNCTION("IFERROR(VLOOKUP(E272&amp;F272,IMPORTRANGE(""https://docs.google.com/spreadsheets/d/1Uw7-A9f9R21vMXxHZFNpYNeKFtG8_yji4HS352LGlSQ/edit?pli=1#gid=0"",""1_ACUM!A4:S""),16,FALSE))"),"")</f>
        <v/>
      </c>
      <c r="BC255" s="43" t="str">
        <f ca="1">IFERROR(__xludf.DUMMYFUNCTION("IFERROR(VLOOKUP(E272&amp;F272,IMPORTRANGE(""https://docs.google.com/spreadsheets/d/1Uw7-A9f9R21vMXxHZFNpYNeKFtG8_yji4HS352LGlSQ/edit?pli=1#gid=0"",""1_ACUM!A4:S""),17,FALSE))"),"")</f>
        <v/>
      </c>
      <c r="BD255" s="44" t="str">
        <f ca="1">IFERROR(__xludf.DUMMYFUNCTION("IFERROR(VLOOKUP(E272&amp;F272,IMPORTRANGE(""https://docs.google.com/spreadsheets/d/1Uw7-A9f9R21vMXxHZFNpYNeKFtG8_yji4HS352LGlSQ/edit?pli=1#gid=0"",""1_ACUM!A4:S""),18,FALSE))"),"")</f>
        <v/>
      </c>
      <c r="BE255" s="44" t="str">
        <f ca="1">IFERROR(__xludf.DUMMYFUNCTION("IFERROR(VLOOKUP(E272&amp;F272,IMPORTRANGE(""https://docs.google.com/spreadsheets/d/1Uw7-A9f9R21vMXxHZFNpYNeKFtG8_yji4HS352LGlSQ/edit?pli=1#gid=0"",""1_ACUM!A4:S""),19,FALSE))"),"")</f>
        <v/>
      </c>
      <c r="BF255" s="44" t="str">
        <f ca="1">IFERROR(__xludf.DUMMYFUNCTION("IFERROR(VLOOKUP(F272,IMPORTRANGE(""https://docs.google.com/spreadsheets/d/1Kvs4KS76FHFqLFIZfrDMff4kP08nblUkihrxltoGBjg/edit#gid=934712705"",""ESENCIAL!A6:BG""),5,FALSE))"),"")</f>
        <v/>
      </c>
      <c r="BG255" s="44" t="str">
        <f t="shared" si="37"/>
        <v/>
      </c>
      <c r="BH255" s="41" t="str">
        <f t="shared" si="38"/>
        <v/>
      </c>
      <c r="BI255" s="41" t="str">
        <f ca="1">IFERROR(__xludf.DUMMYFUNCTION("IFERROR(VLOOKUP(F272,IMPORTRANGE(""https://docs.google.com/spreadsheets/d/1Kvs4KS76FHFqLFIZfrDMff4kP08nblUkihrxltoGBjg/edit#gid=934712705"",""ESENCIAL!A6:BG""),18,FALSE))"),"")</f>
        <v/>
      </c>
      <c r="BJ255" s="19" t="str">
        <f t="shared" si="39"/>
        <v/>
      </c>
      <c r="BK255" s="41"/>
      <c r="BL255" s="41"/>
    </row>
    <row r="256" spans="1:64" ht="15">
      <c r="A256" s="4"/>
      <c r="B256" s="4"/>
      <c r="G256" s="5" t="str">
        <f ca="1">IFERROR(__xludf.DUMMYFUNCTION("IFERROR(VLOOKUP(F273,IMPORTRANGE(""https://docs.google.com/spreadsheets/d/1Kvs4KS76FHFqLFIZfrDMff4kP08nblUkihrxltoGBjg/edit#gid=934712705"",""ESENCIAL!A6:BG""),3,FALSE))"),"")</f>
        <v/>
      </c>
      <c r="H256" s="5" t="str">
        <f ca="1">IFERROR(__xludf.DUMMYFUNCTION("IFERROR(VLOOKUP(F273,IMPORTRANGE(""https://docs.google.com/spreadsheets/d/1Kvs4KS76FHFqLFIZfrDMff4kP08nblUkihrxltoGBjg/edit#gid=934712705"",""ESENCIAL!A6:BG""),8,FALSE))"),"")</f>
        <v/>
      </c>
      <c r="L256" s="287"/>
      <c r="S256"/>
      <c r="AU256" s="41" t="str">
        <f t="shared" si="36"/>
        <v/>
      </c>
      <c r="AV256" s="5" t="str">
        <f ca="1">IFERROR(__xludf.DUMMYFUNCTION("IFERROR(VLOOKUP(E273&amp;F273,IMPORTRANGE(""https://docs.google.com/spreadsheets/d/1Uw7-A9f9R21vMXxHZFNpYNeKFtG8_yji4HS352LGlSQ/edit?pli=1#gid=0"",""1_ACUM!A4:S""),11,FALSE))"),"")</f>
        <v/>
      </c>
      <c r="AW256" s="42" t="str">
        <f ca="1">IFERROR(__xludf.DUMMYFUNCTION("IFERROR(VLOOKUP(F273,IMPORTRANGE(""https://docs.google.com/spreadsheets/d/1Kvs4KS76FHFqLFIZfrDMff4kP08nblUkihrxltoGBjg/edit#gid=934712705"",""ESENCIAL!A6:BG""),15,FALSE))"),"")</f>
        <v/>
      </c>
      <c r="AX256" s="21" t="str">
        <f ca="1">IFERROR(__xludf.DUMMYFUNCTION("IFERROR(VLOOKUP(E273&amp;F273,IMPORTRANGE(""https://docs.google.com/spreadsheets/d/1Uw7-A9f9R21vMXxHZFNpYNeKFtG8_yji4HS352LGlSQ/edit?pli=1#gid=0"",""1_ACUM!A4:S""),12,FALSE))"),"")</f>
        <v/>
      </c>
      <c r="AY256" s="43" t="str">
        <f ca="1">IFERROR(__xludf.DUMMYFUNCTION("IFERROR(VLOOKUP(E273&amp;F273,IMPORTRANGE(""https://docs.google.com/spreadsheets/d/1Uw7-A9f9R21vMXxHZFNpYNeKFtG8_yji4HS352LGlSQ/edit?pli=1#gid=0"",""1_ACUM!A4:S""),13,FALSE))"),"")</f>
        <v/>
      </c>
      <c r="AZ256" s="43" t="str">
        <f ca="1">IFERROR(__xludf.DUMMYFUNCTION("IFERROR(VLOOKUP(E273&amp;F273,IMPORTRANGE(""https://docs.google.com/spreadsheets/d/1Uw7-A9f9R21vMXxHZFNpYNeKFtG8_yji4HS352LGlSQ/edit?pli=1#gid=0"",""1_ACUM!A4:S""),14,FALSE))"),"")</f>
        <v/>
      </c>
      <c r="BA256" s="43" t="str">
        <f ca="1">IFERROR(__xludf.DUMMYFUNCTION("IFERROR(VLOOKUP(E273&amp;F273,IMPORTRANGE(""https://docs.google.com/spreadsheets/d/1Uw7-A9f9R21vMXxHZFNpYNeKFtG8_yji4HS352LGlSQ/edit?pli=1#gid=0"",""1_ACUM!A4:S""),15,FALSE))"),"")</f>
        <v/>
      </c>
      <c r="BB256" s="43" t="str">
        <f ca="1">IFERROR(__xludf.DUMMYFUNCTION("IFERROR(VLOOKUP(E273&amp;F273,IMPORTRANGE(""https://docs.google.com/spreadsheets/d/1Uw7-A9f9R21vMXxHZFNpYNeKFtG8_yji4HS352LGlSQ/edit?pli=1#gid=0"",""1_ACUM!A4:S""),16,FALSE))"),"")</f>
        <v/>
      </c>
      <c r="BC256" s="43" t="str">
        <f ca="1">IFERROR(__xludf.DUMMYFUNCTION("IFERROR(VLOOKUP(E273&amp;F273,IMPORTRANGE(""https://docs.google.com/spreadsheets/d/1Uw7-A9f9R21vMXxHZFNpYNeKFtG8_yji4HS352LGlSQ/edit?pli=1#gid=0"",""1_ACUM!A4:S""),17,FALSE))"),"")</f>
        <v/>
      </c>
      <c r="BD256" s="44" t="str">
        <f ca="1">IFERROR(__xludf.DUMMYFUNCTION("IFERROR(VLOOKUP(E273&amp;F273,IMPORTRANGE(""https://docs.google.com/spreadsheets/d/1Uw7-A9f9R21vMXxHZFNpYNeKFtG8_yji4HS352LGlSQ/edit?pli=1#gid=0"",""1_ACUM!A4:S""),18,FALSE))"),"")</f>
        <v/>
      </c>
      <c r="BE256" s="44" t="str">
        <f ca="1">IFERROR(__xludf.DUMMYFUNCTION("IFERROR(VLOOKUP(E273&amp;F273,IMPORTRANGE(""https://docs.google.com/spreadsheets/d/1Uw7-A9f9R21vMXxHZFNpYNeKFtG8_yji4HS352LGlSQ/edit?pli=1#gid=0"",""1_ACUM!A4:S""),19,FALSE))"),"")</f>
        <v/>
      </c>
      <c r="BF256" s="44" t="str">
        <f ca="1">IFERROR(__xludf.DUMMYFUNCTION("IFERROR(VLOOKUP(F273,IMPORTRANGE(""https://docs.google.com/spreadsheets/d/1Kvs4KS76FHFqLFIZfrDMff4kP08nblUkihrxltoGBjg/edit#gid=934712705"",""ESENCIAL!A6:BG""),5,FALSE))"),"")</f>
        <v/>
      </c>
      <c r="BG256" s="44" t="str">
        <f t="shared" si="37"/>
        <v/>
      </c>
      <c r="BH256" s="41" t="str">
        <f t="shared" si="38"/>
        <v/>
      </c>
      <c r="BI256" s="41" t="str">
        <f ca="1">IFERROR(__xludf.DUMMYFUNCTION("IFERROR(VLOOKUP(F273,IMPORTRANGE(""https://docs.google.com/spreadsheets/d/1Kvs4KS76FHFqLFIZfrDMff4kP08nblUkihrxltoGBjg/edit#gid=934712705"",""ESENCIAL!A6:BG""),18,FALSE))"),"")</f>
        <v/>
      </c>
      <c r="BJ256" s="19" t="str">
        <f t="shared" si="39"/>
        <v/>
      </c>
      <c r="BK256" s="41"/>
      <c r="BL256" s="41"/>
    </row>
    <row r="257" spans="1:64" ht="15">
      <c r="A257" s="4"/>
      <c r="B257" s="4"/>
      <c r="G257" s="5" t="str">
        <f ca="1">IFERROR(__xludf.DUMMYFUNCTION("IFERROR(VLOOKUP(F274,IMPORTRANGE(""https://docs.google.com/spreadsheets/d/1Kvs4KS76FHFqLFIZfrDMff4kP08nblUkihrxltoGBjg/edit#gid=934712705"",""ESENCIAL!A6:BG""),3,FALSE))"),"")</f>
        <v/>
      </c>
      <c r="H257" s="5" t="str">
        <f ca="1">IFERROR(__xludf.DUMMYFUNCTION("IFERROR(VLOOKUP(F274,IMPORTRANGE(""https://docs.google.com/spreadsheets/d/1Kvs4KS76FHFqLFIZfrDMff4kP08nblUkihrxltoGBjg/edit#gid=934712705"",""ESENCIAL!A6:BG""),8,FALSE))"),"")</f>
        <v/>
      </c>
      <c r="L257" s="287"/>
      <c r="S257"/>
      <c r="AU257" s="41" t="str">
        <f t="shared" si="36"/>
        <v/>
      </c>
      <c r="AV257" s="5" t="str">
        <f ca="1">IFERROR(__xludf.DUMMYFUNCTION("IFERROR(VLOOKUP(E274&amp;F274,IMPORTRANGE(""https://docs.google.com/spreadsheets/d/1Uw7-A9f9R21vMXxHZFNpYNeKFtG8_yji4HS352LGlSQ/edit?pli=1#gid=0"",""1_ACUM!A4:S""),11,FALSE))"),"")</f>
        <v/>
      </c>
      <c r="AW257" s="42" t="str">
        <f ca="1">IFERROR(__xludf.DUMMYFUNCTION("IFERROR(VLOOKUP(F274,IMPORTRANGE(""https://docs.google.com/spreadsheets/d/1Kvs4KS76FHFqLFIZfrDMff4kP08nblUkihrxltoGBjg/edit#gid=934712705"",""ESENCIAL!A6:BG""),15,FALSE))"),"")</f>
        <v/>
      </c>
      <c r="AX257" s="21" t="str">
        <f ca="1">IFERROR(__xludf.DUMMYFUNCTION("IFERROR(VLOOKUP(E274&amp;F274,IMPORTRANGE(""https://docs.google.com/spreadsheets/d/1Uw7-A9f9R21vMXxHZFNpYNeKFtG8_yji4HS352LGlSQ/edit?pli=1#gid=0"",""1_ACUM!A4:S""),12,FALSE))"),"")</f>
        <v/>
      </c>
      <c r="AY257" s="43" t="str">
        <f ca="1">IFERROR(__xludf.DUMMYFUNCTION("IFERROR(VLOOKUP(E274&amp;F274,IMPORTRANGE(""https://docs.google.com/spreadsheets/d/1Uw7-A9f9R21vMXxHZFNpYNeKFtG8_yji4HS352LGlSQ/edit?pli=1#gid=0"",""1_ACUM!A4:S""),13,FALSE))"),"")</f>
        <v/>
      </c>
      <c r="AZ257" s="43" t="str">
        <f ca="1">IFERROR(__xludf.DUMMYFUNCTION("IFERROR(VLOOKUP(E274&amp;F274,IMPORTRANGE(""https://docs.google.com/spreadsheets/d/1Uw7-A9f9R21vMXxHZFNpYNeKFtG8_yji4HS352LGlSQ/edit?pli=1#gid=0"",""1_ACUM!A4:S""),14,FALSE))"),"")</f>
        <v/>
      </c>
      <c r="BA257" s="43" t="str">
        <f ca="1">IFERROR(__xludf.DUMMYFUNCTION("IFERROR(VLOOKUP(E274&amp;F274,IMPORTRANGE(""https://docs.google.com/spreadsheets/d/1Uw7-A9f9R21vMXxHZFNpYNeKFtG8_yji4HS352LGlSQ/edit?pli=1#gid=0"",""1_ACUM!A4:S""),15,FALSE))"),"")</f>
        <v/>
      </c>
      <c r="BB257" s="43" t="str">
        <f ca="1">IFERROR(__xludf.DUMMYFUNCTION("IFERROR(VLOOKUP(E274&amp;F274,IMPORTRANGE(""https://docs.google.com/spreadsheets/d/1Uw7-A9f9R21vMXxHZFNpYNeKFtG8_yji4HS352LGlSQ/edit?pli=1#gid=0"",""1_ACUM!A4:S""),16,FALSE))"),"")</f>
        <v/>
      </c>
      <c r="BC257" s="43" t="str">
        <f ca="1">IFERROR(__xludf.DUMMYFUNCTION("IFERROR(VLOOKUP(E274&amp;F274,IMPORTRANGE(""https://docs.google.com/spreadsheets/d/1Uw7-A9f9R21vMXxHZFNpYNeKFtG8_yji4HS352LGlSQ/edit?pli=1#gid=0"",""1_ACUM!A4:S""),17,FALSE))"),"")</f>
        <v/>
      </c>
      <c r="BD257" s="44" t="str">
        <f ca="1">IFERROR(__xludf.DUMMYFUNCTION("IFERROR(VLOOKUP(E274&amp;F274,IMPORTRANGE(""https://docs.google.com/spreadsheets/d/1Uw7-A9f9R21vMXxHZFNpYNeKFtG8_yji4HS352LGlSQ/edit?pli=1#gid=0"",""1_ACUM!A4:S""),18,FALSE))"),"")</f>
        <v/>
      </c>
      <c r="BE257" s="44" t="str">
        <f ca="1">IFERROR(__xludf.DUMMYFUNCTION("IFERROR(VLOOKUP(E274&amp;F274,IMPORTRANGE(""https://docs.google.com/spreadsheets/d/1Uw7-A9f9R21vMXxHZFNpYNeKFtG8_yji4HS352LGlSQ/edit?pli=1#gid=0"",""1_ACUM!A4:S""),19,FALSE))"),"")</f>
        <v/>
      </c>
      <c r="BF257" s="44" t="str">
        <f ca="1">IFERROR(__xludf.DUMMYFUNCTION("IFERROR(VLOOKUP(F274,IMPORTRANGE(""https://docs.google.com/spreadsheets/d/1Kvs4KS76FHFqLFIZfrDMff4kP08nblUkihrxltoGBjg/edit#gid=934712705"",""ESENCIAL!A6:BG""),5,FALSE))"),"")</f>
        <v/>
      </c>
      <c r="BG257" s="44" t="str">
        <f t="shared" si="37"/>
        <v/>
      </c>
      <c r="BH257" s="41" t="str">
        <f t="shared" si="38"/>
        <v/>
      </c>
      <c r="BI257" s="41" t="str">
        <f ca="1">IFERROR(__xludf.DUMMYFUNCTION("IFERROR(VLOOKUP(F274,IMPORTRANGE(""https://docs.google.com/spreadsheets/d/1Kvs4KS76FHFqLFIZfrDMff4kP08nblUkihrxltoGBjg/edit#gid=934712705"",""ESENCIAL!A6:BG""),18,FALSE))"),"")</f>
        <v/>
      </c>
      <c r="BJ257" s="19" t="str">
        <f t="shared" si="39"/>
        <v/>
      </c>
      <c r="BK257" s="41"/>
      <c r="BL257" s="41"/>
    </row>
    <row r="258" spans="1:64" ht="15">
      <c r="A258" s="4"/>
      <c r="B258" s="4"/>
      <c r="G258" s="5" t="str">
        <f ca="1">IFERROR(__xludf.DUMMYFUNCTION("IFERROR(VLOOKUP(F275,IMPORTRANGE(""https://docs.google.com/spreadsheets/d/1Kvs4KS76FHFqLFIZfrDMff4kP08nblUkihrxltoGBjg/edit#gid=934712705"",""ESENCIAL!A6:BG""),3,FALSE))"),"")</f>
        <v/>
      </c>
      <c r="H258" s="5" t="str">
        <f ca="1">IFERROR(__xludf.DUMMYFUNCTION("IFERROR(VLOOKUP(F275,IMPORTRANGE(""https://docs.google.com/spreadsheets/d/1Kvs4KS76FHFqLFIZfrDMff4kP08nblUkihrxltoGBjg/edit#gid=934712705"",""ESENCIAL!A6:BG""),8,FALSE))"),"")</f>
        <v/>
      </c>
      <c r="L258" s="287"/>
      <c r="S258"/>
      <c r="AU258" s="41" t="str">
        <f t="shared" si="36"/>
        <v/>
      </c>
      <c r="AV258" s="5" t="str">
        <f ca="1">IFERROR(__xludf.DUMMYFUNCTION("IFERROR(VLOOKUP(E275&amp;F275,IMPORTRANGE(""https://docs.google.com/spreadsheets/d/1Uw7-A9f9R21vMXxHZFNpYNeKFtG8_yji4HS352LGlSQ/edit?pli=1#gid=0"",""1_ACUM!A4:S""),11,FALSE))"),"")</f>
        <v/>
      </c>
      <c r="AW258" s="42" t="str">
        <f ca="1">IFERROR(__xludf.DUMMYFUNCTION("IFERROR(VLOOKUP(F275,IMPORTRANGE(""https://docs.google.com/spreadsheets/d/1Kvs4KS76FHFqLFIZfrDMff4kP08nblUkihrxltoGBjg/edit#gid=934712705"",""ESENCIAL!A6:BG""),15,FALSE))"),"")</f>
        <v/>
      </c>
      <c r="AX258" s="21" t="str">
        <f ca="1">IFERROR(__xludf.DUMMYFUNCTION("IFERROR(VLOOKUP(E275&amp;F275,IMPORTRANGE(""https://docs.google.com/spreadsheets/d/1Uw7-A9f9R21vMXxHZFNpYNeKFtG8_yji4HS352LGlSQ/edit?pli=1#gid=0"",""1_ACUM!A4:S""),12,FALSE))"),"")</f>
        <v/>
      </c>
      <c r="AY258" s="43" t="str">
        <f ca="1">IFERROR(__xludf.DUMMYFUNCTION("IFERROR(VLOOKUP(E275&amp;F275,IMPORTRANGE(""https://docs.google.com/spreadsheets/d/1Uw7-A9f9R21vMXxHZFNpYNeKFtG8_yji4HS352LGlSQ/edit?pli=1#gid=0"",""1_ACUM!A4:S""),13,FALSE))"),"")</f>
        <v/>
      </c>
      <c r="AZ258" s="43" t="str">
        <f ca="1">IFERROR(__xludf.DUMMYFUNCTION("IFERROR(VLOOKUP(E275&amp;F275,IMPORTRANGE(""https://docs.google.com/spreadsheets/d/1Uw7-A9f9R21vMXxHZFNpYNeKFtG8_yji4HS352LGlSQ/edit?pli=1#gid=0"",""1_ACUM!A4:S""),14,FALSE))"),"")</f>
        <v/>
      </c>
      <c r="BA258" s="43" t="str">
        <f ca="1">IFERROR(__xludf.DUMMYFUNCTION("IFERROR(VLOOKUP(E275&amp;F275,IMPORTRANGE(""https://docs.google.com/spreadsheets/d/1Uw7-A9f9R21vMXxHZFNpYNeKFtG8_yji4HS352LGlSQ/edit?pli=1#gid=0"",""1_ACUM!A4:S""),15,FALSE))"),"")</f>
        <v/>
      </c>
      <c r="BB258" s="43" t="str">
        <f ca="1">IFERROR(__xludf.DUMMYFUNCTION("IFERROR(VLOOKUP(E275&amp;F275,IMPORTRANGE(""https://docs.google.com/spreadsheets/d/1Uw7-A9f9R21vMXxHZFNpYNeKFtG8_yji4HS352LGlSQ/edit?pli=1#gid=0"",""1_ACUM!A4:S""),16,FALSE))"),"")</f>
        <v/>
      </c>
      <c r="BC258" s="43" t="str">
        <f ca="1">IFERROR(__xludf.DUMMYFUNCTION("IFERROR(VLOOKUP(E275&amp;F275,IMPORTRANGE(""https://docs.google.com/spreadsheets/d/1Uw7-A9f9R21vMXxHZFNpYNeKFtG8_yji4HS352LGlSQ/edit?pli=1#gid=0"",""1_ACUM!A4:S""),17,FALSE))"),"")</f>
        <v/>
      </c>
      <c r="BD258" s="44" t="str">
        <f ca="1">IFERROR(__xludf.DUMMYFUNCTION("IFERROR(VLOOKUP(E275&amp;F275,IMPORTRANGE(""https://docs.google.com/spreadsheets/d/1Uw7-A9f9R21vMXxHZFNpYNeKFtG8_yji4HS352LGlSQ/edit?pli=1#gid=0"",""1_ACUM!A4:S""),18,FALSE))"),"")</f>
        <v/>
      </c>
      <c r="BE258" s="44" t="str">
        <f ca="1">IFERROR(__xludf.DUMMYFUNCTION("IFERROR(VLOOKUP(E275&amp;F275,IMPORTRANGE(""https://docs.google.com/spreadsheets/d/1Uw7-A9f9R21vMXxHZFNpYNeKFtG8_yji4HS352LGlSQ/edit?pli=1#gid=0"",""1_ACUM!A4:S""),19,FALSE))"),"")</f>
        <v/>
      </c>
      <c r="BF258" s="44" t="str">
        <f ca="1">IFERROR(__xludf.DUMMYFUNCTION("IFERROR(VLOOKUP(F275,IMPORTRANGE(""https://docs.google.com/spreadsheets/d/1Kvs4KS76FHFqLFIZfrDMff4kP08nblUkihrxltoGBjg/edit#gid=934712705"",""ESENCIAL!A6:BG""),5,FALSE))"),"")</f>
        <v/>
      </c>
      <c r="BG258" s="44" t="str">
        <f t="shared" si="37"/>
        <v/>
      </c>
      <c r="BH258" s="41" t="str">
        <f t="shared" si="38"/>
        <v/>
      </c>
      <c r="BI258" s="41" t="str">
        <f ca="1">IFERROR(__xludf.DUMMYFUNCTION("IFERROR(VLOOKUP(F275,IMPORTRANGE(""https://docs.google.com/spreadsheets/d/1Kvs4KS76FHFqLFIZfrDMff4kP08nblUkihrxltoGBjg/edit#gid=934712705"",""ESENCIAL!A6:BG""),18,FALSE))"),"")</f>
        <v/>
      </c>
      <c r="BJ258" s="19" t="str">
        <f t="shared" si="39"/>
        <v/>
      </c>
      <c r="BK258" s="41"/>
      <c r="BL258" s="41"/>
    </row>
    <row r="259" spans="1:64" ht="15">
      <c r="A259" s="4"/>
      <c r="B259" s="4"/>
      <c r="G259" s="5" t="str">
        <f ca="1">IFERROR(__xludf.DUMMYFUNCTION("IFERROR(VLOOKUP(F276,IMPORTRANGE(""https://docs.google.com/spreadsheets/d/1Kvs4KS76FHFqLFIZfrDMff4kP08nblUkihrxltoGBjg/edit#gid=934712705"",""ESENCIAL!A6:BG""),3,FALSE))"),"")</f>
        <v/>
      </c>
      <c r="H259" s="5" t="str">
        <f ca="1">IFERROR(__xludf.DUMMYFUNCTION("IFERROR(VLOOKUP(F276,IMPORTRANGE(""https://docs.google.com/spreadsheets/d/1Kvs4KS76FHFqLFIZfrDMff4kP08nblUkihrxltoGBjg/edit#gid=934712705"",""ESENCIAL!A6:BG""),8,FALSE))"),"")</f>
        <v/>
      </c>
      <c r="L259" s="287"/>
      <c r="S259"/>
      <c r="AU259" s="41" t="str">
        <f t="shared" si="36"/>
        <v/>
      </c>
      <c r="AV259" s="5" t="str">
        <f ca="1">IFERROR(__xludf.DUMMYFUNCTION("IFERROR(VLOOKUP(E276&amp;F276,IMPORTRANGE(""https://docs.google.com/spreadsheets/d/1Uw7-A9f9R21vMXxHZFNpYNeKFtG8_yji4HS352LGlSQ/edit?pli=1#gid=0"",""1_ACUM!A4:S""),11,FALSE))"),"")</f>
        <v/>
      </c>
      <c r="AW259" s="42" t="str">
        <f ca="1">IFERROR(__xludf.DUMMYFUNCTION("IFERROR(VLOOKUP(F276,IMPORTRANGE(""https://docs.google.com/spreadsheets/d/1Kvs4KS76FHFqLFIZfrDMff4kP08nblUkihrxltoGBjg/edit#gid=934712705"",""ESENCIAL!A6:BG""),15,FALSE))"),"")</f>
        <v/>
      </c>
      <c r="AX259" s="21" t="str">
        <f ca="1">IFERROR(__xludf.DUMMYFUNCTION("IFERROR(VLOOKUP(E276&amp;F276,IMPORTRANGE(""https://docs.google.com/spreadsheets/d/1Uw7-A9f9R21vMXxHZFNpYNeKFtG8_yji4HS352LGlSQ/edit?pli=1#gid=0"",""1_ACUM!A4:S""),12,FALSE))"),"")</f>
        <v/>
      </c>
      <c r="AY259" s="43" t="str">
        <f ca="1">IFERROR(__xludf.DUMMYFUNCTION("IFERROR(VLOOKUP(E276&amp;F276,IMPORTRANGE(""https://docs.google.com/spreadsheets/d/1Uw7-A9f9R21vMXxHZFNpYNeKFtG8_yji4HS352LGlSQ/edit?pli=1#gid=0"",""1_ACUM!A4:S""),13,FALSE))"),"")</f>
        <v/>
      </c>
      <c r="AZ259" s="43" t="str">
        <f ca="1">IFERROR(__xludf.DUMMYFUNCTION("IFERROR(VLOOKUP(E276&amp;F276,IMPORTRANGE(""https://docs.google.com/spreadsheets/d/1Uw7-A9f9R21vMXxHZFNpYNeKFtG8_yji4HS352LGlSQ/edit?pli=1#gid=0"",""1_ACUM!A4:S""),14,FALSE))"),"")</f>
        <v/>
      </c>
      <c r="BA259" s="43" t="str">
        <f ca="1">IFERROR(__xludf.DUMMYFUNCTION("IFERROR(VLOOKUP(E276&amp;F276,IMPORTRANGE(""https://docs.google.com/spreadsheets/d/1Uw7-A9f9R21vMXxHZFNpYNeKFtG8_yji4HS352LGlSQ/edit?pli=1#gid=0"",""1_ACUM!A4:S""),15,FALSE))"),"")</f>
        <v/>
      </c>
      <c r="BB259" s="43" t="str">
        <f ca="1">IFERROR(__xludf.DUMMYFUNCTION("IFERROR(VLOOKUP(E276&amp;F276,IMPORTRANGE(""https://docs.google.com/spreadsheets/d/1Uw7-A9f9R21vMXxHZFNpYNeKFtG8_yji4HS352LGlSQ/edit?pli=1#gid=0"",""1_ACUM!A4:S""),16,FALSE))"),"")</f>
        <v/>
      </c>
      <c r="BC259" s="43" t="str">
        <f ca="1">IFERROR(__xludf.DUMMYFUNCTION("IFERROR(VLOOKUP(E276&amp;F276,IMPORTRANGE(""https://docs.google.com/spreadsheets/d/1Uw7-A9f9R21vMXxHZFNpYNeKFtG8_yji4HS352LGlSQ/edit?pli=1#gid=0"",""1_ACUM!A4:S""),17,FALSE))"),"")</f>
        <v/>
      </c>
      <c r="BD259" s="44" t="str">
        <f ca="1">IFERROR(__xludf.DUMMYFUNCTION("IFERROR(VLOOKUP(E276&amp;F276,IMPORTRANGE(""https://docs.google.com/spreadsheets/d/1Uw7-A9f9R21vMXxHZFNpYNeKFtG8_yji4HS352LGlSQ/edit?pli=1#gid=0"",""1_ACUM!A4:S""),18,FALSE))"),"")</f>
        <v/>
      </c>
      <c r="BE259" s="44" t="str">
        <f ca="1">IFERROR(__xludf.DUMMYFUNCTION("IFERROR(VLOOKUP(E276&amp;F276,IMPORTRANGE(""https://docs.google.com/spreadsheets/d/1Uw7-A9f9R21vMXxHZFNpYNeKFtG8_yji4HS352LGlSQ/edit?pli=1#gid=0"",""1_ACUM!A4:S""),19,FALSE))"),"")</f>
        <v/>
      </c>
      <c r="BF259" s="44" t="str">
        <f ca="1">IFERROR(__xludf.DUMMYFUNCTION("IFERROR(VLOOKUP(F276,IMPORTRANGE(""https://docs.google.com/spreadsheets/d/1Kvs4KS76FHFqLFIZfrDMff4kP08nblUkihrxltoGBjg/edit#gid=934712705"",""ESENCIAL!A6:BG""),5,FALSE))"),"")</f>
        <v/>
      </c>
      <c r="BG259" s="44" t="str">
        <f t="shared" si="37"/>
        <v/>
      </c>
      <c r="BH259" s="41" t="str">
        <f t="shared" si="38"/>
        <v/>
      </c>
      <c r="BI259" s="41" t="str">
        <f ca="1">IFERROR(__xludf.DUMMYFUNCTION("IFERROR(VLOOKUP(F276,IMPORTRANGE(""https://docs.google.com/spreadsheets/d/1Kvs4KS76FHFqLFIZfrDMff4kP08nblUkihrxltoGBjg/edit#gid=934712705"",""ESENCIAL!A6:BG""),18,FALSE))"),"")</f>
        <v/>
      </c>
      <c r="BJ259" s="19" t="str">
        <f t="shared" si="39"/>
        <v/>
      </c>
      <c r="BK259" s="41"/>
      <c r="BL259" s="41"/>
    </row>
    <row r="260" spans="1:64" ht="15">
      <c r="A260" s="4"/>
      <c r="B260" s="4"/>
      <c r="G260" s="5" t="str">
        <f ca="1">IFERROR(__xludf.DUMMYFUNCTION("IFERROR(VLOOKUP(F277,IMPORTRANGE(""https://docs.google.com/spreadsheets/d/1Kvs4KS76FHFqLFIZfrDMff4kP08nblUkihrxltoGBjg/edit#gid=934712705"",""ESENCIAL!A6:BG""),3,FALSE))"),"")</f>
        <v/>
      </c>
      <c r="H260" s="5" t="str">
        <f ca="1">IFERROR(__xludf.DUMMYFUNCTION("IFERROR(VLOOKUP(F277,IMPORTRANGE(""https://docs.google.com/spreadsheets/d/1Kvs4KS76FHFqLFIZfrDMff4kP08nblUkihrxltoGBjg/edit#gid=934712705"",""ESENCIAL!A6:BG""),8,FALSE))"),"")</f>
        <v/>
      </c>
      <c r="L260" s="287"/>
      <c r="S260"/>
      <c r="AU260" s="41" t="str">
        <f t="shared" si="36"/>
        <v/>
      </c>
      <c r="AV260" s="5" t="str">
        <f ca="1">IFERROR(__xludf.DUMMYFUNCTION("IFERROR(VLOOKUP(E277&amp;F277,IMPORTRANGE(""https://docs.google.com/spreadsheets/d/1Uw7-A9f9R21vMXxHZFNpYNeKFtG8_yji4HS352LGlSQ/edit?pli=1#gid=0"",""1_ACUM!A4:S""),11,FALSE))"),"")</f>
        <v/>
      </c>
      <c r="AW260" s="42" t="str">
        <f ca="1">IFERROR(__xludf.DUMMYFUNCTION("IFERROR(VLOOKUP(F277,IMPORTRANGE(""https://docs.google.com/spreadsheets/d/1Kvs4KS76FHFqLFIZfrDMff4kP08nblUkihrxltoGBjg/edit#gid=934712705"",""ESENCIAL!A6:BG""),15,FALSE))"),"")</f>
        <v/>
      </c>
      <c r="AX260" s="21" t="str">
        <f ca="1">IFERROR(__xludf.DUMMYFUNCTION("IFERROR(VLOOKUP(E277&amp;F277,IMPORTRANGE(""https://docs.google.com/spreadsheets/d/1Uw7-A9f9R21vMXxHZFNpYNeKFtG8_yji4HS352LGlSQ/edit?pli=1#gid=0"",""1_ACUM!A4:S""),12,FALSE))"),"")</f>
        <v/>
      </c>
      <c r="AY260" s="43" t="str">
        <f ca="1">IFERROR(__xludf.DUMMYFUNCTION("IFERROR(VLOOKUP(E277&amp;F277,IMPORTRANGE(""https://docs.google.com/spreadsheets/d/1Uw7-A9f9R21vMXxHZFNpYNeKFtG8_yji4HS352LGlSQ/edit?pli=1#gid=0"",""1_ACUM!A4:S""),13,FALSE))"),"")</f>
        <v/>
      </c>
      <c r="AZ260" s="43" t="str">
        <f ca="1">IFERROR(__xludf.DUMMYFUNCTION("IFERROR(VLOOKUP(E277&amp;F277,IMPORTRANGE(""https://docs.google.com/spreadsheets/d/1Uw7-A9f9R21vMXxHZFNpYNeKFtG8_yji4HS352LGlSQ/edit?pli=1#gid=0"",""1_ACUM!A4:S""),14,FALSE))"),"")</f>
        <v/>
      </c>
      <c r="BA260" s="43" t="str">
        <f ca="1">IFERROR(__xludf.DUMMYFUNCTION("IFERROR(VLOOKUP(E277&amp;F277,IMPORTRANGE(""https://docs.google.com/spreadsheets/d/1Uw7-A9f9R21vMXxHZFNpYNeKFtG8_yji4HS352LGlSQ/edit?pli=1#gid=0"",""1_ACUM!A4:S""),15,FALSE))"),"")</f>
        <v/>
      </c>
      <c r="BB260" s="43" t="str">
        <f ca="1">IFERROR(__xludf.DUMMYFUNCTION("IFERROR(VLOOKUP(E277&amp;F277,IMPORTRANGE(""https://docs.google.com/spreadsheets/d/1Uw7-A9f9R21vMXxHZFNpYNeKFtG8_yji4HS352LGlSQ/edit?pli=1#gid=0"",""1_ACUM!A4:S""),16,FALSE))"),"")</f>
        <v/>
      </c>
      <c r="BC260" s="43" t="str">
        <f ca="1">IFERROR(__xludf.DUMMYFUNCTION("IFERROR(VLOOKUP(E277&amp;F277,IMPORTRANGE(""https://docs.google.com/spreadsheets/d/1Uw7-A9f9R21vMXxHZFNpYNeKFtG8_yji4HS352LGlSQ/edit?pli=1#gid=0"",""1_ACUM!A4:S""),17,FALSE))"),"")</f>
        <v/>
      </c>
      <c r="BD260" s="44" t="str">
        <f ca="1">IFERROR(__xludf.DUMMYFUNCTION("IFERROR(VLOOKUP(E277&amp;F277,IMPORTRANGE(""https://docs.google.com/spreadsheets/d/1Uw7-A9f9R21vMXxHZFNpYNeKFtG8_yji4HS352LGlSQ/edit?pli=1#gid=0"",""1_ACUM!A4:S""),18,FALSE))"),"")</f>
        <v/>
      </c>
      <c r="BE260" s="44" t="str">
        <f ca="1">IFERROR(__xludf.DUMMYFUNCTION("IFERROR(VLOOKUP(E277&amp;F277,IMPORTRANGE(""https://docs.google.com/spreadsheets/d/1Uw7-A9f9R21vMXxHZFNpYNeKFtG8_yji4HS352LGlSQ/edit?pli=1#gid=0"",""1_ACUM!A4:S""),19,FALSE))"),"")</f>
        <v/>
      </c>
      <c r="BF260" s="44" t="str">
        <f ca="1">IFERROR(__xludf.DUMMYFUNCTION("IFERROR(VLOOKUP(F277,IMPORTRANGE(""https://docs.google.com/spreadsheets/d/1Kvs4KS76FHFqLFIZfrDMff4kP08nblUkihrxltoGBjg/edit#gid=934712705"",""ESENCIAL!A6:BG""),5,FALSE))"),"")</f>
        <v/>
      </c>
      <c r="BG260" s="44" t="str">
        <f t="shared" si="37"/>
        <v/>
      </c>
      <c r="BH260" s="41" t="str">
        <f t="shared" si="38"/>
        <v/>
      </c>
      <c r="BI260" s="41" t="str">
        <f ca="1">IFERROR(__xludf.DUMMYFUNCTION("IFERROR(VLOOKUP(F277,IMPORTRANGE(""https://docs.google.com/spreadsheets/d/1Kvs4KS76FHFqLFIZfrDMff4kP08nblUkihrxltoGBjg/edit#gid=934712705"",""ESENCIAL!A6:BG""),18,FALSE))"),"")</f>
        <v/>
      </c>
      <c r="BJ260" s="19" t="str">
        <f t="shared" si="39"/>
        <v/>
      </c>
      <c r="BK260" s="41"/>
      <c r="BL260" s="41"/>
    </row>
    <row r="261" spans="1:64" ht="15">
      <c r="A261" s="4"/>
      <c r="B261" s="4"/>
      <c r="G261" s="5" t="str">
        <f ca="1">IFERROR(__xludf.DUMMYFUNCTION("IFERROR(VLOOKUP(F278,IMPORTRANGE(""https://docs.google.com/spreadsheets/d/1Kvs4KS76FHFqLFIZfrDMff4kP08nblUkihrxltoGBjg/edit#gid=934712705"",""ESENCIAL!A6:BG""),3,FALSE))"),"")</f>
        <v/>
      </c>
      <c r="H261" s="5" t="str">
        <f ca="1">IFERROR(__xludf.DUMMYFUNCTION("IFERROR(VLOOKUP(F278,IMPORTRANGE(""https://docs.google.com/spreadsheets/d/1Kvs4KS76FHFqLFIZfrDMff4kP08nblUkihrxltoGBjg/edit#gid=934712705"",""ESENCIAL!A6:BG""),8,FALSE))"),"")</f>
        <v/>
      </c>
      <c r="L261" s="287"/>
      <c r="S261"/>
      <c r="AU261" s="41" t="str">
        <f t="shared" si="36"/>
        <v/>
      </c>
      <c r="AV261" s="5" t="str">
        <f ca="1">IFERROR(__xludf.DUMMYFUNCTION("IFERROR(VLOOKUP(E278&amp;F278,IMPORTRANGE(""https://docs.google.com/spreadsheets/d/1Uw7-A9f9R21vMXxHZFNpYNeKFtG8_yji4HS352LGlSQ/edit?pli=1#gid=0"",""1_ACUM!A4:S""),11,FALSE))"),"")</f>
        <v/>
      </c>
      <c r="AW261" s="42" t="str">
        <f ca="1">IFERROR(__xludf.DUMMYFUNCTION("IFERROR(VLOOKUP(F278,IMPORTRANGE(""https://docs.google.com/spreadsheets/d/1Kvs4KS76FHFqLFIZfrDMff4kP08nblUkihrxltoGBjg/edit#gid=934712705"",""ESENCIAL!A6:BG""),15,FALSE))"),"")</f>
        <v/>
      </c>
      <c r="AX261" s="21" t="str">
        <f ca="1">IFERROR(__xludf.DUMMYFUNCTION("IFERROR(VLOOKUP(E278&amp;F278,IMPORTRANGE(""https://docs.google.com/spreadsheets/d/1Uw7-A9f9R21vMXxHZFNpYNeKFtG8_yji4HS352LGlSQ/edit?pli=1#gid=0"",""1_ACUM!A4:S""),12,FALSE))"),"")</f>
        <v/>
      </c>
      <c r="AY261" s="43" t="str">
        <f ca="1">IFERROR(__xludf.DUMMYFUNCTION("IFERROR(VLOOKUP(E278&amp;F278,IMPORTRANGE(""https://docs.google.com/spreadsheets/d/1Uw7-A9f9R21vMXxHZFNpYNeKFtG8_yji4HS352LGlSQ/edit?pli=1#gid=0"",""1_ACUM!A4:S""),13,FALSE))"),"")</f>
        <v/>
      </c>
      <c r="AZ261" s="43" t="str">
        <f ca="1">IFERROR(__xludf.DUMMYFUNCTION("IFERROR(VLOOKUP(E278&amp;F278,IMPORTRANGE(""https://docs.google.com/spreadsheets/d/1Uw7-A9f9R21vMXxHZFNpYNeKFtG8_yji4HS352LGlSQ/edit?pli=1#gid=0"",""1_ACUM!A4:S""),14,FALSE))"),"")</f>
        <v/>
      </c>
      <c r="BA261" s="43" t="str">
        <f ca="1">IFERROR(__xludf.DUMMYFUNCTION("IFERROR(VLOOKUP(E278&amp;F278,IMPORTRANGE(""https://docs.google.com/spreadsheets/d/1Uw7-A9f9R21vMXxHZFNpYNeKFtG8_yji4HS352LGlSQ/edit?pli=1#gid=0"",""1_ACUM!A4:S""),15,FALSE))"),"")</f>
        <v/>
      </c>
      <c r="BB261" s="43" t="str">
        <f ca="1">IFERROR(__xludf.DUMMYFUNCTION("IFERROR(VLOOKUP(E278&amp;F278,IMPORTRANGE(""https://docs.google.com/spreadsheets/d/1Uw7-A9f9R21vMXxHZFNpYNeKFtG8_yji4HS352LGlSQ/edit?pli=1#gid=0"",""1_ACUM!A4:S""),16,FALSE))"),"")</f>
        <v/>
      </c>
      <c r="BC261" s="43" t="str">
        <f ca="1">IFERROR(__xludf.DUMMYFUNCTION("IFERROR(VLOOKUP(E278&amp;F278,IMPORTRANGE(""https://docs.google.com/spreadsheets/d/1Uw7-A9f9R21vMXxHZFNpYNeKFtG8_yji4HS352LGlSQ/edit?pli=1#gid=0"",""1_ACUM!A4:S""),17,FALSE))"),"")</f>
        <v/>
      </c>
      <c r="BD261" s="44" t="str">
        <f ca="1">IFERROR(__xludf.DUMMYFUNCTION("IFERROR(VLOOKUP(E278&amp;F278,IMPORTRANGE(""https://docs.google.com/spreadsheets/d/1Uw7-A9f9R21vMXxHZFNpYNeKFtG8_yji4HS352LGlSQ/edit?pli=1#gid=0"",""1_ACUM!A4:S""),18,FALSE))"),"")</f>
        <v/>
      </c>
      <c r="BE261" s="44" t="str">
        <f ca="1">IFERROR(__xludf.DUMMYFUNCTION("IFERROR(VLOOKUP(E278&amp;F278,IMPORTRANGE(""https://docs.google.com/spreadsheets/d/1Uw7-A9f9R21vMXxHZFNpYNeKFtG8_yji4HS352LGlSQ/edit?pli=1#gid=0"",""1_ACUM!A4:S""),19,FALSE))"),"")</f>
        <v/>
      </c>
      <c r="BF261" s="44" t="str">
        <f ca="1">IFERROR(__xludf.DUMMYFUNCTION("IFERROR(VLOOKUP(F278,IMPORTRANGE(""https://docs.google.com/spreadsheets/d/1Kvs4KS76FHFqLFIZfrDMff4kP08nblUkihrxltoGBjg/edit#gid=934712705"",""ESENCIAL!A6:BG""),5,FALSE))"),"")</f>
        <v/>
      </c>
      <c r="BG261" s="44" t="str">
        <f t="shared" si="37"/>
        <v/>
      </c>
      <c r="BH261" s="41" t="str">
        <f t="shared" si="38"/>
        <v/>
      </c>
      <c r="BI261" s="41" t="str">
        <f ca="1">IFERROR(__xludf.DUMMYFUNCTION("IFERROR(VLOOKUP(F278,IMPORTRANGE(""https://docs.google.com/spreadsheets/d/1Kvs4KS76FHFqLFIZfrDMff4kP08nblUkihrxltoGBjg/edit#gid=934712705"",""ESENCIAL!A6:BG""),18,FALSE))"),"")</f>
        <v/>
      </c>
      <c r="BJ261" s="19" t="str">
        <f t="shared" si="39"/>
        <v/>
      </c>
      <c r="BK261" s="41"/>
      <c r="BL261" s="41"/>
    </row>
    <row r="262" spans="1:64" ht="15">
      <c r="A262" s="4"/>
      <c r="B262" s="4"/>
      <c r="G262" s="5" t="str">
        <f ca="1">IFERROR(__xludf.DUMMYFUNCTION("IFERROR(VLOOKUP(F279,IMPORTRANGE(""https://docs.google.com/spreadsheets/d/1Kvs4KS76FHFqLFIZfrDMff4kP08nblUkihrxltoGBjg/edit#gid=934712705"",""ESENCIAL!A6:BG""),3,FALSE))"),"")</f>
        <v/>
      </c>
      <c r="H262" s="5" t="str">
        <f ca="1">IFERROR(__xludf.DUMMYFUNCTION("IFERROR(VLOOKUP(F279,IMPORTRANGE(""https://docs.google.com/spreadsheets/d/1Kvs4KS76FHFqLFIZfrDMff4kP08nblUkihrxltoGBjg/edit#gid=934712705"",""ESENCIAL!A6:BG""),8,FALSE))"),"")</f>
        <v/>
      </c>
      <c r="L262" s="287"/>
      <c r="S262"/>
      <c r="AU262" s="41" t="str">
        <f t="shared" si="36"/>
        <v/>
      </c>
      <c r="AV262" s="5" t="str">
        <f ca="1">IFERROR(__xludf.DUMMYFUNCTION("IFERROR(VLOOKUP(E279&amp;F279,IMPORTRANGE(""https://docs.google.com/spreadsheets/d/1Uw7-A9f9R21vMXxHZFNpYNeKFtG8_yji4HS352LGlSQ/edit?pli=1#gid=0"",""1_ACUM!A4:S""),11,FALSE))"),"")</f>
        <v/>
      </c>
      <c r="AW262" s="42" t="str">
        <f ca="1">IFERROR(__xludf.DUMMYFUNCTION("IFERROR(VLOOKUP(F279,IMPORTRANGE(""https://docs.google.com/spreadsheets/d/1Kvs4KS76FHFqLFIZfrDMff4kP08nblUkihrxltoGBjg/edit#gid=934712705"",""ESENCIAL!A6:BG""),15,FALSE))"),"")</f>
        <v/>
      </c>
      <c r="AX262" s="21" t="str">
        <f ca="1">IFERROR(__xludf.DUMMYFUNCTION("IFERROR(VLOOKUP(E279&amp;F279,IMPORTRANGE(""https://docs.google.com/spreadsheets/d/1Uw7-A9f9R21vMXxHZFNpYNeKFtG8_yji4HS352LGlSQ/edit?pli=1#gid=0"",""1_ACUM!A4:S""),12,FALSE))"),"")</f>
        <v/>
      </c>
      <c r="AY262" s="43" t="str">
        <f ca="1">IFERROR(__xludf.DUMMYFUNCTION("IFERROR(VLOOKUP(E279&amp;F279,IMPORTRANGE(""https://docs.google.com/spreadsheets/d/1Uw7-A9f9R21vMXxHZFNpYNeKFtG8_yji4HS352LGlSQ/edit?pli=1#gid=0"",""1_ACUM!A4:S""),13,FALSE))"),"")</f>
        <v/>
      </c>
      <c r="AZ262" s="43" t="str">
        <f ca="1">IFERROR(__xludf.DUMMYFUNCTION("IFERROR(VLOOKUP(E279&amp;F279,IMPORTRANGE(""https://docs.google.com/spreadsheets/d/1Uw7-A9f9R21vMXxHZFNpYNeKFtG8_yji4HS352LGlSQ/edit?pli=1#gid=0"",""1_ACUM!A4:S""),14,FALSE))"),"")</f>
        <v/>
      </c>
      <c r="BA262" s="43" t="str">
        <f ca="1">IFERROR(__xludf.DUMMYFUNCTION("IFERROR(VLOOKUP(E279&amp;F279,IMPORTRANGE(""https://docs.google.com/spreadsheets/d/1Uw7-A9f9R21vMXxHZFNpYNeKFtG8_yji4HS352LGlSQ/edit?pli=1#gid=0"",""1_ACUM!A4:S""),15,FALSE))"),"")</f>
        <v/>
      </c>
      <c r="BB262" s="43" t="str">
        <f ca="1">IFERROR(__xludf.DUMMYFUNCTION("IFERROR(VLOOKUP(E279&amp;F279,IMPORTRANGE(""https://docs.google.com/spreadsheets/d/1Uw7-A9f9R21vMXxHZFNpYNeKFtG8_yji4HS352LGlSQ/edit?pli=1#gid=0"",""1_ACUM!A4:S""),16,FALSE))"),"")</f>
        <v/>
      </c>
      <c r="BC262" s="43" t="str">
        <f ca="1">IFERROR(__xludf.DUMMYFUNCTION("IFERROR(VLOOKUP(E279&amp;F279,IMPORTRANGE(""https://docs.google.com/spreadsheets/d/1Uw7-A9f9R21vMXxHZFNpYNeKFtG8_yji4HS352LGlSQ/edit?pli=1#gid=0"",""1_ACUM!A4:S""),17,FALSE))"),"")</f>
        <v/>
      </c>
      <c r="BD262" s="44" t="str">
        <f ca="1">IFERROR(__xludf.DUMMYFUNCTION("IFERROR(VLOOKUP(E279&amp;F279,IMPORTRANGE(""https://docs.google.com/spreadsheets/d/1Uw7-A9f9R21vMXxHZFNpYNeKFtG8_yji4HS352LGlSQ/edit?pli=1#gid=0"",""1_ACUM!A4:S""),18,FALSE))"),"")</f>
        <v/>
      </c>
      <c r="BE262" s="44" t="str">
        <f ca="1">IFERROR(__xludf.DUMMYFUNCTION("IFERROR(VLOOKUP(E279&amp;F279,IMPORTRANGE(""https://docs.google.com/spreadsheets/d/1Uw7-A9f9R21vMXxHZFNpYNeKFtG8_yji4HS352LGlSQ/edit?pli=1#gid=0"",""1_ACUM!A4:S""),19,FALSE))"),"")</f>
        <v/>
      </c>
      <c r="BF262" s="44" t="str">
        <f ca="1">IFERROR(__xludf.DUMMYFUNCTION("IFERROR(VLOOKUP(F279,IMPORTRANGE(""https://docs.google.com/spreadsheets/d/1Kvs4KS76FHFqLFIZfrDMff4kP08nblUkihrxltoGBjg/edit#gid=934712705"",""ESENCIAL!A6:BG""),5,FALSE))"),"")</f>
        <v/>
      </c>
      <c r="BG262" s="44" t="str">
        <f t="shared" si="37"/>
        <v/>
      </c>
      <c r="BH262" s="41" t="str">
        <f t="shared" si="38"/>
        <v/>
      </c>
      <c r="BI262" s="41" t="str">
        <f ca="1">IFERROR(__xludf.DUMMYFUNCTION("IFERROR(VLOOKUP(F279,IMPORTRANGE(""https://docs.google.com/spreadsheets/d/1Kvs4KS76FHFqLFIZfrDMff4kP08nblUkihrxltoGBjg/edit#gid=934712705"",""ESENCIAL!A6:BG""),18,FALSE))"),"")</f>
        <v/>
      </c>
      <c r="BJ262" s="19" t="str">
        <f t="shared" si="39"/>
        <v/>
      </c>
      <c r="BK262" s="41"/>
      <c r="BL262" s="41"/>
    </row>
    <row r="263" spans="1:64" ht="15">
      <c r="A263" s="4"/>
      <c r="B263" s="4"/>
      <c r="G263" s="5" t="str">
        <f ca="1">IFERROR(__xludf.DUMMYFUNCTION("IFERROR(VLOOKUP(F280,IMPORTRANGE(""https://docs.google.com/spreadsheets/d/1Kvs4KS76FHFqLFIZfrDMff4kP08nblUkihrxltoGBjg/edit#gid=934712705"",""ESENCIAL!A6:BG""),3,FALSE))"),"")</f>
        <v/>
      </c>
      <c r="H263" s="5" t="str">
        <f ca="1">IFERROR(__xludf.DUMMYFUNCTION("IFERROR(VLOOKUP(F280,IMPORTRANGE(""https://docs.google.com/spreadsheets/d/1Kvs4KS76FHFqLFIZfrDMff4kP08nblUkihrxltoGBjg/edit#gid=934712705"",""ESENCIAL!A6:BG""),8,FALSE))"),"")</f>
        <v/>
      </c>
      <c r="L263" s="287"/>
      <c r="S263"/>
      <c r="AU263" s="41" t="str">
        <f t="shared" si="36"/>
        <v/>
      </c>
      <c r="AV263" s="5" t="str">
        <f ca="1">IFERROR(__xludf.DUMMYFUNCTION("IFERROR(VLOOKUP(E280&amp;F280,IMPORTRANGE(""https://docs.google.com/spreadsheets/d/1Uw7-A9f9R21vMXxHZFNpYNeKFtG8_yji4HS352LGlSQ/edit?pli=1#gid=0"",""1_ACUM!A4:S""),11,FALSE))"),"")</f>
        <v/>
      </c>
      <c r="AW263" s="42" t="str">
        <f ca="1">IFERROR(__xludf.DUMMYFUNCTION("IFERROR(VLOOKUP(F280,IMPORTRANGE(""https://docs.google.com/spreadsheets/d/1Kvs4KS76FHFqLFIZfrDMff4kP08nblUkihrxltoGBjg/edit#gid=934712705"",""ESENCIAL!A6:BG""),15,FALSE))"),"")</f>
        <v/>
      </c>
      <c r="AX263" s="21" t="str">
        <f ca="1">IFERROR(__xludf.DUMMYFUNCTION("IFERROR(VLOOKUP(E280&amp;F280,IMPORTRANGE(""https://docs.google.com/spreadsheets/d/1Uw7-A9f9R21vMXxHZFNpYNeKFtG8_yji4HS352LGlSQ/edit?pli=1#gid=0"",""1_ACUM!A4:S""),12,FALSE))"),"")</f>
        <v/>
      </c>
      <c r="AY263" s="43" t="str">
        <f ca="1">IFERROR(__xludf.DUMMYFUNCTION("IFERROR(VLOOKUP(E280&amp;F280,IMPORTRANGE(""https://docs.google.com/spreadsheets/d/1Uw7-A9f9R21vMXxHZFNpYNeKFtG8_yji4HS352LGlSQ/edit?pli=1#gid=0"",""1_ACUM!A4:S""),13,FALSE))"),"")</f>
        <v/>
      </c>
      <c r="AZ263" s="43" t="str">
        <f ca="1">IFERROR(__xludf.DUMMYFUNCTION("IFERROR(VLOOKUP(E280&amp;F280,IMPORTRANGE(""https://docs.google.com/spreadsheets/d/1Uw7-A9f9R21vMXxHZFNpYNeKFtG8_yji4HS352LGlSQ/edit?pli=1#gid=0"",""1_ACUM!A4:S""),14,FALSE))"),"")</f>
        <v/>
      </c>
      <c r="BA263" s="43" t="str">
        <f ca="1">IFERROR(__xludf.DUMMYFUNCTION("IFERROR(VLOOKUP(E280&amp;F280,IMPORTRANGE(""https://docs.google.com/spreadsheets/d/1Uw7-A9f9R21vMXxHZFNpYNeKFtG8_yji4HS352LGlSQ/edit?pli=1#gid=0"",""1_ACUM!A4:S""),15,FALSE))"),"")</f>
        <v/>
      </c>
      <c r="BB263" s="43" t="str">
        <f ca="1">IFERROR(__xludf.DUMMYFUNCTION("IFERROR(VLOOKUP(E280&amp;F280,IMPORTRANGE(""https://docs.google.com/spreadsheets/d/1Uw7-A9f9R21vMXxHZFNpYNeKFtG8_yji4HS352LGlSQ/edit?pli=1#gid=0"",""1_ACUM!A4:S""),16,FALSE))"),"")</f>
        <v/>
      </c>
      <c r="BC263" s="43" t="str">
        <f ca="1">IFERROR(__xludf.DUMMYFUNCTION("IFERROR(VLOOKUP(E280&amp;F280,IMPORTRANGE(""https://docs.google.com/spreadsheets/d/1Uw7-A9f9R21vMXxHZFNpYNeKFtG8_yji4HS352LGlSQ/edit?pli=1#gid=0"",""1_ACUM!A4:S""),17,FALSE))"),"")</f>
        <v/>
      </c>
      <c r="BD263" s="44" t="str">
        <f ca="1">IFERROR(__xludf.DUMMYFUNCTION("IFERROR(VLOOKUP(E280&amp;F280,IMPORTRANGE(""https://docs.google.com/spreadsheets/d/1Uw7-A9f9R21vMXxHZFNpYNeKFtG8_yji4HS352LGlSQ/edit?pli=1#gid=0"",""1_ACUM!A4:S""),18,FALSE))"),"")</f>
        <v/>
      </c>
      <c r="BE263" s="44" t="str">
        <f ca="1">IFERROR(__xludf.DUMMYFUNCTION("IFERROR(VLOOKUP(E280&amp;F280,IMPORTRANGE(""https://docs.google.com/spreadsheets/d/1Uw7-A9f9R21vMXxHZFNpYNeKFtG8_yji4HS352LGlSQ/edit?pli=1#gid=0"",""1_ACUM!A4:S""),19,FALSE))"),"")</f>
        <v/>
      </c>
      <c r="BF263" s="44" t="str">
        <f ca="1">IFERROR(__xludf.DUMMYFUNCTION("IFERROR(VLOOKUP(F280,IMPORTRANGE(""https://docs.google.com/spreadsheets/d/1Kvs4KS76FHFqLFIZfrDMff4kP08nblUkihrxltoGBjg/edit#gid=934712705"",""ESENCIAL!A6:BG""),5,FALSE))"),"")</f>
        <v/>
      </c>
      <c r="BG263" s="44" t="str">
        <f t="shared" si="37"/>
        <v/>
      </c>
      <c r="BH263" s="41" t="str">
        <f t="shared" si="38"/>
        <v/>
      </c>
      <c r="BI263" s="41" t="str">
        <f ca="1">IFERROR(__xludf.DUMMYFUNCTION("IFERROR(VLOOKUP(F280,IMPORTRANGE(""https://docs.google.com/spreadsheets/d/1Kvs4KS76FHFqLFIZfrDMff4kP08nblUkihrxltoGBjg/edit#gid=934712705"",""ESENCIAL!A6:BG""),18,FALSE))"),"")</f>
        <v/>
      </c>
      <c r="BJ263" s="19" t="str">
        <f t="shared" si="39"/>
        <v/>
      </c>
      <c r="BK263" s="41"/>
      <c r="BL263" s="41"/>
    </row>
    <row r="264" spans="1:64" ht="15">
      <c r="A264" s="4"/>
      <c r="B264" s="4"/>
      <c r="G264" s="5" t="str">
        <f ca="1">IFERROR(__xludf.DUMMYFUNCTION("IFERROR(VLOOKUP(F281,IMPORTRANGE(""https://docs.google.com/spreadsheets/d/1Kvs4KS76FHFqLFIZfrDMff4kP08nblUkihrxltoGBjg/edit#gid=934712705"",""ESENCIAL!A6:BG""),3,FALSE))"),"")</f>
        <v/>
      </c>
      <c r="H264" s="5" t="str">
        <f ca="1">IFERROR(__xludf.DUMMYFUNCTION("IFERROR(VLOOKUP(F281,IMPORTRANGE(""https://docs.google.com/spreadsheets/d/1Kvs4KS76FHFqLFIZfrDMff4kP08nblUkihrxltoGBjg/edit#gid=934712705"",""ESENCIAL!A6:BG""),8,FALSE))"),"")</f>
        <v/>
      </c>
      <c r="L264" s="287"/>
      <c r="S264"/>
      <c r="AU264" s="41" t="str">
        <f t="shared" si="36"/>
        <v/>
      </c>
      <c r="AV264" s="5" t="str">
        <f ca="1">IFERROR(__xludf.DUMMYFUNCTION("IFERROR(VLOOKUP(E281&amp;F281,IMPORTRANGE(""https://docs.google.com/spreadsheets/d/1Uw7-A9f9R21vMXxHZFNpYNeKFtG8_yji4HS352LGlSQ/edit?pli=1#gid=0"",""1_ACUM!A4:S""),11,FALSE))"),"")</f>
        <v/>
      </c>
      <c r="AW264" s="42" t="str">
        <f ca="1">IFERROR(__xludf.DUMMYFUNCTION("IFERROR(VLOOKUP(F281,IMPORTRANGE(""https://docs.google.com/spreadsheets/d/1Kvs4KS76FHFqLFIZfrDMff4kP08nblUkihrxltoGBjg/edit#gid=934712705"",""ESENCIAL!A6:BG""),15,FALSE))"),"")</f>
        <v/>
      </c>
      <c r="AX264" s="21" t="str">
        <f ca="1">IFERROR(__xludf.DUMMYFUNCTION("IFERROR(VLOOKUP(E281&amp;F281,IMPORTRANGE(""https://docs.google.com/spreadsheets/d/1Uw7-A9f9R21vMXxHZFNpYNeKFtG8_yji4HS352LGlSQ/edit?pli=1#gid=0"",""1_ACUM!A4:S""),12,FALSE))"),"")</f>
        <v/>
      </c>
      <c r="AY264" s="43" t="str">
        <f ca="1">IFERROR(__xludf.DUMMYFUNCTION("IFERROR(VLOOKUP(E281&amp;F281,IMPORTRANGE(""https://docs.google.com/spreadsheets/d/1Uw7-A9f9R21vMXxHZFNpYNeKFtG8_yji4HS352LGlSQ/edit?pli=1#gid=0"",""1_ACUM!A4:S""),13,FALSE))"),"")</f>
        <v/>
      </c>
      <c r="AZ264" s="43" t="str">
        <f ca="1">IFERROR(__xludf.DUMMYFUNCTION("IFERROR(VLOOKUP(E281&amp;F281,IMPORTRANGE(""https://docs.google.com/spreadsheets/d/1Uw7-A9f9R21vMXxHZFNpYNeKFtG8_yji4HS352LGlSQ/edit?pli=1#gid=0"",""1_ACUM!A4:S""),14,FALSE))"),"")</f>
        <v/>
      </c>
      <c r="BA264" s="43" t="str">
        <f ca="1">IFERROR(__xludf.DUMMYFUNCTION("IFERROR(VLOOKUP(E281&amp;F281,IMPORTRANGE(""https://docs.google.com/spreadsheets/d/1Uw7-A9f9R21vMXxHZFNpYNeKFtG8_yji4HS352LGlSQ/edit?pli=1#gid=0"",""1_ACUM!A4:S""),15,FALSE))"),"")</f>
        <v/>
      </c>
      <c r="BB264" s="43" t="str">
        <f ca="1">IFERROR(__xludf.DUMMYFUNCTION("IFERROR(VLOOKUP(E281&amp;F281,IMPORTRANGE(""https://docs.google.com/spreadsheets/d/1Uw7-A9f9R21vMXxHZFNpYNeKFtG8_yji4HS352LGlSQ/edit?pli=1#gid=0"",""1_ACUM!A4:S""),16,FALSE))"),"")</f>
        <v/>
      </c>
      <c r="BC264" s="43" t="str">
        <f ca="1">IFERROR(__xludf.DUMMYFUNCTION("IFERROR(VLOOKUP(E281&amp;F281,IMPORTRANGE(""https://docs.google.com/spreadsheets/d/1Uw7-A9f9R21vMXxHZFNpYNeKFtG8_yji4HS352LGlSQ/edit?pli=1#gid=0"",""1_ACUM!A4:S""),17,FALSE))"),"")</f>
        <v/>
      </c>
      <c r="BD264" s="44" t="str">
        <f ca="1">IFERROR(__xludf.DUMMYFUNCTION("IFERROR(VLOOKUP(E281&amp;F281,IMPORTRANGE(""https://docs.google.com/spreadsheets/d/1Uw7-A9f9R21vMXxHZFNpYNeKFtG8_yji4HS352LGlSQ/edit?pli=1#gid=0"",""1_ACUM!A4:S""),18,FALSE))"),"")</f>
        <v/>
      </c>
      <c r="BE264" s="44" t="str">
        <f ca="1">IFERROR(__xludf.DUMMYFUNCTION("IFERROR(VLOOKUP(E281&amp;F281,IMPORTRANGE(""https://docs.google.com/spreadsheets/d/1Uw7-A9f9R21vMXxHZFNpYNeKFtG8_yji4HS352LGlSQ/edit?pli=1#gid=0"",""1_ACUM!A4:S""),19,FALSE))"),"")</f>
        <v/>
      </c>
      <c r="BF264" s="44" t="str">
        <f ca="1">IFERROR(__xludf.DUMMYFUNCTION("IFERROR(VLOOKUP(F281,IMPORTRANGE(""https://docs.google.com/spreadsheets/d/1Kvs4KS76FHFqLFIZfrDMff4kP08nblUkihrxltoGBjg/edit#gid=934712705"",""ESENCIAL!A6:BG""),5,FALSE))"),"")</f>
        <v/>
      </c>
      <c r="BG264" s="44" t="str">
        <f t="shared" si="37"/>
        <v/>
      </c>
      <c r="BH264" s="41" t="str">
        <f t="shared" si="38"/>
        <v/>
      </c>
      <c r="BI264" s="41" t="str">
        <f ca="1">IFERROR(__xludf.DUMMYFUNCTION("IFERROR(VLOOKUP(F281,IMPORTRANGE(""https://docs.google.com/spreadsheets/d/1Kvs4KS76FHFqLFIZfrDMff4kP08nblUkihrxltoGBjg/edit#gid=934712705"",""ESENCIAL!A6:BG""),18,FALSE))"),"")</f>
        <v/>
      </c>
      <c r="BJ264" s="19" t="str">
        <f t="shared" si="39"/>
        <v/>
      </c>
      <c r="BK264" s="41"/>
      <c r="BL264" s="41"/>
    </row>
    <row r="265" spans="1:64" ht="15">
      <c r="A265" s="4"/>
      <c r="B265" s="4"/>
      <c r="G265" s="5" t="str">
        <f ca="1">IFERROR(__xludf.DUMMYFUNCTION("IFERROR(VLOOKUP(F282,IMPORTRANGE(""https://docs.google.com/spreadsheets/d/1Kvs4KS76FHFqLFIZfrDMff4kP08nblUkihrxltoGBjg/edit#gid=934712705"",""ESENCIAL!A6:BG""),3,FALSE))"),"")</f>
        <v/>
      </c>
      <c r="H265" s="5" t="str">
        <f ca="1">IFERROR(__xludf.DUMMYFUNCTION("IFERROR(VLOOKUP(F282,IMPORTRANGE(""https://docs.google.com/spreadsheets/d/1Kvs4KS76FHFqLFIZfrDMff4kP08nblUkihrxltoGBjg/edit#gid=934712705"",""ESENCIAL!A6:BG""),8,FALSE))"),"")</f>
        <v/>
      </c>
      <c r="L265" s="287"/>
      <c r="S265"/>
      <c r="AU265" s="41" t="str">
        <f t="shared" si="36"/>
        <v/>
      </c>
      <c r="AV265" s="5" t="str">
        <f ca="1">IFERROR(__xludf.DUMMYFUNCTION("IFERROR(VLOOKUP(E282&amp;F282,IMPORTRANGE(""https://docs.google.com/spreadsheets/d/1Uw7-A9f9R21vMXxHZFNpYNeKFtG8_yji4HS352LGlSQ/edit?pli=1#gid=0"",""1_ACUM!A4:S""),11,FALSE))"),"")</f>
        <v/>
      </c>
      <c r="AW265" s="42" t="str">
        <f ca="1">IFERROR(__xludf.DUMMYFUNCTION("IFERROR(VLOOKUP(F282,IMPORTRANGE(""https://docs.google.com/spreadsheets/d/1Kvs4KS76FHFqLFIZfrDMff4kP08nblUkihrxltoGBjg/edit#gid=934712705"",""ESENCIAL!A6:BG""),15,FALSE))"),"")</f>
        <v/>
      </c>
      <c r="AX265" s="21" t="str">
        <f ca="1">IFERROR(__xludf.DUMMYFUNCTION("IFERROR(VLOOKUP(E282&amp;F282,IMPORTRANGE(""https://docs.google.com/spreadsheets/d/1Uw7-A9f9R21vMXxHZFNpYNeKFtG8_yji4HS352LGlSQ/edit?pli=1#gid=0"",""1_ACUM!A4:S""),12,FALSE))"),"")</f>
        <v/>
      </c>
      <c r="AY265" s="43" t="str">
        <f ca="1">IFERROR(__xludf.DUMMYFUNCTION("IFERROR(VLOOKUP(E282&amp;F282,IMPORTRANGE(""https://docs.google.com/spreadsheets/d/1Uw7-A9f9R21vMXxHZFNpYNeKFtG8_yji4HS352LGlSQ/edit?pli=1#gid=0"",""1_ACUM!A4:S""),13,FALSE))"),"")</f>
        <v/>
      </c>
      <c r="AZ265" s="43" t="str">
        <f ca="1">IFERROR(__xludf.DUMMYFUNCTION("IFERROR(VLOOKUP(E282&amp;F282,IMPORTRANGE(""https://docs.google.com/spreadsheets/d/1Uw7-A9f9R21vMXxHZFNpYNeKFtG8_yji4HS352LGlSQ/edit?pli=1#gid=0"",""1_ACUM!A4:S""),14,FALSE))"),"")</f>
        <v/>
      </c>
      <c r="BA265" s="43" t="str">
        <f ca="1">IFERROR(__xludf.DUMMYFUNCTION("IFERROR(VLOOKUP(E282&amp;F282,IMPORTRANGE(""https://docs.google.com/spreadsheets/d/1Uw7-A9f9R21vMXxHZFNpYNeKFtG8_yji4HS352LGlSQ/edit?pli=1#gid=0"",""1_ACUM!A4:S""),15,FALSE))"),"")</f>
        <v/>
      </c>
      <c r="BB265" s="43" t="str">
        <f ca="1">IFERROR(__xludf.DUMMYFUNCTION("IFERROR(VLOOKUP(E282&amp;F282,IMPORTRANGE(""https://docs.google.com/spreadsheets/d/1Uw7-A9f9R21vMXxHZFNpYNeKFtG8_yji4HS352LGlSQ/edit?pli=1#gid=0"",""1_ACUM!A4:S""),16,FALSE))"),"")</f>
        <v/>
      </c>
      <c r="BC265" s="43" t="str">
        <f ca="1">IFERROR(__xludf.DUMMYFUNCTION("IFERROR(VLOOKUP(E282&amp;F282,IMPORTRANGE(""https://docs.google.com/spreadsheets/d/1Uw7-A9f9R21vMXxHZFNpYNeKFtG8_yji4HS352LGlSQ/edit?pli=1#gid=0"",""1_ACUM!A4:S""),17,FALSE))"),"")</f>
        <v/>
      </c>
      <c r="BD265" s="44" t="str">
        <f ca="1">IFERROR(__xludf.DUMMYFUNCTION("IFERROR(VLOOKUP(E282&amp;F282,IMPORTRANGE(""https://docs.google.com/spreadsheets/d/1Uw7-A9f9R21vMXxHZFNpYNeKFtG8_yji4HS352LGlSQ/edit?pli=1#gid=0"",""1_ACUM!A4:S""),18,FALSE))"),"")</f>
        <v/>
      </c>
      <c r="BE265" s="44" t="str">
        <f ca="1">IFERROR(__xludf.DUMMYFUNCTION("IFERROR(VLOOKUP(E282&amp;F282,IMPORTRANGE(""https://docs.google.com/spreadsheets/d/1Uw7-A9f9R21vMXxHZFNpYNeKFtG8_yji4HS352LGlSQ/edit?pli=1#gid=0"",""1_ACUM!A4:S""),19,FALSE))"),"")</f>
        <v/>
      </c>
      <c r="BF265" s="44" t="str">
        <f ca="1">IFERROR(__xludf.DUMMYFUNCTION("IFERROR(VLOOKUP(F282,IMPORTRANGE(""https://docs.google.com/spreadsheets/d/1Kvs4KS76FHFqLFIZfrDMff4kP08nblUkihrxltoGBjg/edit#gid=934712705"",""ESENCIAL!A6:BG""),5,FALSE))"),"")</f>
        <v/>
      </c>
      <c r="BG265" s="44" t="str">
        <f t="shared" si="37"/>
        <v/>
      </c>
      <c r="BH265" s="41" t="str">
        <f t="shared" si="38"/>
        <v/>
      </c>
      <c r="BI265" s="41" t="str">
        <f ca="1">IFERROR(__xludf.DUMMYFUNCTION("IFERROR(VLOOKUP(F282,IMPORTRANGE(""https://docs.google.com/spreadsheets/d/1Kvs4KS76FHFqLFIZfrDMff4kP08nblUkihrxltoGBjg/edit#gid=934712705"",""ESENCIAL!A6:BG""),18,FALSE))"),"")</f>
        <v/>
      </c>
      <c r="BJ265" s="19" t="str">
        <f t="shared" si="39"/>
        <v/>
      </c>
      <c r="BK265" s="41"/>
      <c r="BL265" s="41"/>
    </row>
    <row r="266" spans="1:64" ht="15">
      <c r="A266" s="4"/>
      <c r="B266" s="4"/>
      <c r="G266" s="5" t="str">
        <f ca="1">IFERROR(__xludf.DUMMYFUNCTION("IFERROR(VLOOKUP(F283,IMPORTRANGE(""https://docs.google.com/spreadsheets/d/1Kvs4KS76FHFqLFIZfrDMff4kP08nblUkihrxltoGBjg/edit#gid=934712705"",""ESENCIAL!A6:BG""),3,FALSE))"),"")</f>
        <v/>
      </c>
      <c r="H266" s="5" t="str">
        <f ca="1">IFERROR(__xludf.DUMMYFUNCTION("IFERROR(VLOOKUP(F283,IMPORTRANGE(""https://docs.google.com/spreadsheets/d/1Kvs4KS76FHFqLFIZfrDMff4kP08nblUkihrxltoGBjg/edit#gid=934712705"",""ESENCIAL!A6:BG""),8,FALSE))"),"")</f>
        <v/>
      </c>
      <c r="L266" s="287"/>
      <c r="S266"/>
      <c r="AU266" s="41" t="str">
        <f t="shared" si="36"/>
        <v/>
      </c>
      <c r="AV266" s="5" t="str">
        <f ca="1">IFERROR(__xludf.DUMMYFUNCTION("IFERROR(VLOOKUP(E283&amp;F283,IMPORTRANGE(""https://docs.google.com/spreadsheets/d/1Uw7-A9f9R21vMXxHZFNpYNeKFtG8_yji4HS352LGlSQ/edit?pli=1#gid=0"",""1_ACUM!A4:S""),11,FALSE))"),"")</f>
        <v/>
      </c>
      <c r="AW266" s="42" t="str">
        <f ca="1">IFERROR(__xludf.DUMMYFUNCTION("IFERROR(VLOOKUP(F283,IMPORTRANGE(""https://docs.google.com/spreadsheets/d/1Kvs4KS76FHFqLFIZfrDMff4kP08nblUkihrxltoGBjg/edit#gid=934712705"",""ESENCIAL!A6:BG""),15,FALSE))"),"")</f>
        <v/>
      </c>
      <c r="AX266" s="21" t="str">
        <f ca="1">IFERROR(__xludf.DUMMYFUNCTION("IFERROR(VLOOKUP(E283&amp;F283,IMPORTRANGE(""https://docs.google.com/spreadsheets/d/1Uw7-A9f9R21vMXxHZFNpYNeKFtG8_yji4HS352LGlSQ/edit?pli=1#gid=0"",""1_ACUM!A4:S""),12,FALSE))"),"")</f>
        <v/>
      </c>
      <c r="AY266" s="43" t="str">
        <f ca="1">IFERROR(__xludf.DUMMYFUNCTION("IFERROR(VLOOKUP(E283&amp;F283,IMPORTRANGE(""https://docs.google.com/spreadsheets/d/1Uw7-A9f9R21vMXxHZFNpYNeKFtG8_yji4HS352LGlSQ/edit?pli=1#gid=0"",""1_ACUM!A4:S""),13,FALSE))"),"")</f>
        <v/>
      </c>
      <c r="AZ266" s="43" t="str">
        <f ca="1">IFERROR(__xludf.DUMMYFUNCTION("IFERROR(VLOOKUP(E283&amp;F283,IMPORTRANGE(""https://docs.google.com/spreadsheets/d/1Uw7-A9f9R21vMXxHZFNpYNeKFtG8_yji4HS352LGlSQ/edit?pli=1#gid=0"",""1_ACUM!A4:S""),14,FALSE))"),"")</f>
        <v/>
      </c>
      <c r="BA266" s="43" t="str">
        <f ca="1">IFERROR(__xludf.DUMMYFUNCTION("IFERROR(VLOOKUP(E283&amp;F283,IMPORTRANGE(""https://docs.google.com/spreadsheets/d/1Uw7-A9f9R21vMXxHZFNpYNeKFtG8_yji4HS352LGlSQ/edit?pli=1#gid=0"",""1_ACUM!A4:S""),15,FALSE))"),"")</f>
        <v/>
      </c>
      <c r="BB266" s="43" t="str">
        <f ca="1">IFERROR(__xludf.DUMMYFUNCTION("IFERROR(VLOOKUP(E283&amp;F283,IMPORTRANGE(""https://docs.google.com/spreadsheets/d/1Uw7-A9f9R21vMXxHZFNpYNeKFtG8_yji4HS352LGlSQ/edit?pli=1#gid=0"",""1_ACUM!A4:S""),16,FALSE))"),"")</f>
        <v/>
      </c>
      <c r="BC266" s="43" t="str">
        <f ca="1">IFERROR(__xludf.DUMMYFUNCTION("IFERROR(VLOOKUP(E283&amp;F283,IMPORTRANGE(""https://docs.google.com/spreadsheets/d/1Uw7-A9f9R21vMXxHZFNpYNeKFtG8_yji4HS352LGlSQ/edit?pli=1#gid=0"",""1_ACUM!A4:S""),17,FALSE))"),"")</f>
        <v/>
      </c>
      <c r="BD266" s="44" t="str">
        <f ca="1">IFERROR(__xludf.DUMMYFUNCTION("IFERROR(VLOOKUP(E283&amp;F283,IMPORTRANGE(""https://docs.google.com/spreadsheets/d/1Uw7-A9f9R21vMXxHZFNpYNeKFtG8_yji4HS352LGlSQ/edit?pli=1#gid=0"",""1_ACUM!A4:S""),18,FALSE))"),"")</f>
        <v/>
      </c>
      <c r="BE266" s="44" t="str">
        <f ca="1">IFERROR(__xludf.DUMMYFUNCTION("IFERROR(VLOOKUP(E283&amp;F283,IMPORTRANGE(""https://docs.google.com/spreadsheets/d/1Uw7-A9f9R21vMXxHZFNpYNeKFtG8_yji4HS352LGlSQ/edit?pli=1#gid=0"",""1_ACUM!A4:S""),19,FALSE))"),"")</f>
        <v/>
      </c>
      <c r="BF266" s="44" t="str">
        <f ca="1">IFERROR(__xludf.DUMMYFUNCTION("IFERROR(VLOOKUP(F283,IMPORTRANGE(""https://docs.google.com/spreadsheets/d/1Kvs4KS76FHFqLFIZfrDMff4kP08nblUkihrxltoGBjg/edit#gid=934712705"",""ESENCIAL!A6:BG""),5,FALSE))"),"")</f>
        <v/>
      </c>
      <c r="BG266" s="44" t="str">
        <f t="shared" si="37"/>
        <v/>
      </c>
      <c r="BH266" s="41" t="str">
        <f t="shared" si="38"/>
        <v/>
      </c>
      <c r="BI266" s="41" t="str">
        <f ca="1">IFERROR(__xludf.DUMMYFUNCTION("IFERROR(VLOOKUP(F283,IMPORTRANGE(""https://docs.google.com/spreadsheets/d/1Kvs4KS76FHFqLFIZfrDMff4kP08nblUkihrxltoGBjg/edit#gid=934712705"",""ESENCIAL!A6:BG""),18,FALSE))"),"")</f>
        <v/>
      </c>
      <c r="BJ266" s="19" t="str">
        <f t="shared" si="39"/>
        <v/>
      </c>
      <c r="BK266" s="41"/>
      <c r="BL266" s="41"/>
    </row>
    <row r="267" spans="1:64" ht="15">
      <c r="A267" s="4"/>
      <c r="B267" s="4"/>
      <c r="G267" s="5" t="str">
        <f ca="1">IFERROR(__xludf.DUMMYFUNCTION("IFERROR(VLOOKUP(F284,IMPORTRANGE(""https://docs.google.com/spreadsheets/d/1Kvs4KS76FHFqLFIZfrDMff4kP08nblUkihrxltoGBjg/edit#gid=934712705"",""ESENCIAL!A6:BG""),3,FALSE))"),"")</f>
        <v/>
      </c>
      <c r="H267" s="5" t="str">
        <f ca="1">IFERROR(__xludf.DUMMYFUNCTION("IFERROR(VLOOKUP(F284,IMPORTRANGE(""https://docs.google.com/spreadsheets/d/1Kvs4KS76FHFqLFIZfrDMff4kP08nblUkihrxltoGBjg/edit#gid=934712705"",""ESENCIAL!A6:BG""),8,FALSE))"),"")</f>
        <v/>
      </c>
      <c r="L267" s="287"/>
      <c r="S267"/>
      <c r="AU267" s="41" t="str">
        <f t="shared" si="36"/>
        <v/>
      </c>
      <c r="AV267" s="5" t="str">
        <f ca="1">IFERROR(__xludf.DUMMYFUNCTION("IFERROR(VLOOKUP(E284&amp;F284,IMPORTRANGE(""https://docs.google.com/spreadsheets/d/1Uw7-A9f9R21vMXxHZFNpYNeKFtG8_yji4HS352LGlSQ/edit?pli=1#gid=0"",""1_ACUM!A4:S""),11,FALSE))"),"")</f>
        <v/>
      </c>
      <c r="AW267" s="42" t="str">
        <f ca="1">IFERROR(__xludf.DUMMYFUNCTION("IFERROR(VLOOKUP(F284,IMPORTRANGE(""https://docs.google.com/spreadsheets/d/1Kvs4KS76FHFqLFIZfrDMff4kP08nblUkihrxltoGBjg/edit#gid=934712705"",""ESENCIAL!A6:BG""),15,FALSE))"),"")</f>
        <v/>
      </c>
      <c r="AX267" s="21" t="str">
        <f ca="1">IFERROR(__xludf.DUMMYFUNCTION("IFERROR(VLOOKUP(E284&amp;F284,IMPORTRANGE(""https://docs.google.com/spreadsheets/d/1Uw7-A9f9R21vMXxHZFNpYNeKFtG8_yji4HS352LGlSQ/edit?pli=1#gid=0"",""1_ACUM!A4:S""),12,FALSE))"),"")</f>
        <v/>
      </c>
      <c r="AY267" s="43" t="str">
        <f ca="1">IFERROR(__xludf.DUMMYFUNCTION("IFERROR(VLOOKUP(E284&amp;F284,IMPORTRANGE(""https://docs.google.com/spreadsheets/d/1Uw7-A9f9R21vMXxHZFNpYNeKFtG8_yji4HS352LGlSQ/edit?pli=1#gid=0"",""1_ACUM!A4:S""),13,FALSE))"),"")</f>
        <v/>
      </c>
      <c r="AZ267" s="43" t="str">
        <f ca="1">IFERROR(__xludf.DUMMYFUNCTION("IFERROR(VLOOKUP(E284&amp;F284,IMPORTRANGE(""https://docs.google.com/spreadsheets/d/1Uw7-A9f9R21vMXxHZFNpYNeKFtG8_yji4HS352LGlSQ/edit?pli=1#gid=0"",""1_ACUM!A4:S""),14,FALSE))"),"")</f>
        <v/>
      </c>
      <c r="BA267" s="43" t="str">
        <f ca="1">IFERROR(__xludf.DUMMYFUNCTION("IFERROR(VLOOKUP(E284&amp;F284,IMPORTRANGE(""https://docs.google.com/spreadsheets/d/1Uw7-A9f9R21vMXxHZFNpYNeKFtG8_yji4HS352LGlSQ/edit?pli=1#gid=0"",""1_ACUM!A4:S""),15,FALSE))"),"")</f>
        <v/>
      </c>
      <c r="BB267" s="43" t="str">
        <f ca="1">IFERROR(__xludf.DUMMYFUNCTION("IFERROR(VLOOKUP(E284&amp;F284,IMPORTRANGE(""https://docs.google.com/spreadsheets/d/1Uw7-A9f9R21vMXxHZFNpYNeKFtG8_yji4HS352LGlSQ/edit?pli=1#gid=0"",""1_ACUM!A4:S""),16,FALSE))"),"")</f>
        <v/>
      </c>
      <c r="BC267" s="43" t="str">
        <f ca="1">IFERROR(__xludf.DUMMYFUNCTION("IFERROR(VLOOKUP(E284&amp;F284,IMPORTRANGE(""https://docs.google.com/spreadsheets/d/1Uw7-A9f9R21vMXxHZFNpYNeKFtG8_yji4HS352LGlSQ/edit?pli=1#gid=0"",""1_ACUM!A4:S""),17,FALSE))"),"")</f>
        <v/>
      </c>
      <c r="BD267" s="44" t="str">
        <f ca="1">IFERROR(__xludf.DUMMYFUNCTION("IFERROR(VLOOKUP(E284&amp;F284,IMPORTRANGE(""https://docs.google.com/spreadsheets/d/1Uw7-A9f9R21vMXxHZFNpYNeKFtG8_yji4HS352LGlSQ/edit?pli=1#gid=0"",""1_ACUM!A4:S""),18,FALSE))"),"")</f>
        <v/>
      </c>
      <c r="BE267" s="44" t="str">
        <f ca="1">IFERROR(__xludf.DUMMYFUNCTION("IFERROR(VLOOKUP(E284&amp;F284,IMPORTRANGE(""https://docs.google.com/spreadsheets/d/1Uw7-A9f9R21vMXxHZFNpYNeKFtG8_yji4HS352LGlSQ/edit?pli=1#gid=0"",""1_ACUM!A4:S""),19,FALSE))"),"")</f>
        <v/>
      </c>
      <c r="BF267" s="44" t="str">
        <f ca="1">IFERROR(__xludf.DUMMYFUNCTION("IFERROR(VLOOKUP(F284,IMPORTRANGE(""https://docs.google.com/spreadsheets/d/1Kvs4KS76FHFqLFIZfrDMff4kP08nblUkihrxltoGBjg/edit#gid=934712705"",""ESENCIAL!A6:BG""),5,FALSE))"),"")</f>
        <v/>
      </c>
      <c r="BG267" s="44" t="str">
        <f t="shared" si="37"/>
        <v/>
      </c>
      <c r="BH267" s="41" t="str">
        <f t="shared" si="38"/>
        <v/>
      </c>
      <c r="BI267" s="41" t="str">
        <f ca="1">IFERROR(__xludf.DUMMYFUNCTION("IFERROR(VLOOKUP(F284,IMPORTRANGE(""https://docs.google.com/spreadsheets/d/1Kvs4KS76FHFqLFIZfrDMff4kP08nblUkihrxltoGBjg/edit#gid=934712705"",""ESENCIAL!A6:BG""),18,FALSE))"),"")</f>
        <v/>
      </c>
      <c r="BJ267" s="19" t="str">
        <f t="shared" si="39"/>
        <v/>
      </c>
      <c r="BK267" s="41"/>
      <c r="BL267" s="41"/>
    </row>
    <row r="268" spans="1:64" ht="15">
      <c r="A268" s="4"/>
      <c r="B268" s="4"/>
      <c r="G268" s="5" t="str">
        <f ca="1">IFERROR(__xludf.DUMMYFUNCTION("IFERROR(VLOOKUP(F285,IMPORTRANGE(""https://docs.google.com/spreadsheets/d/1Kvs4KS76FHFqLFIZfrDMff4kP08nblUkihrxltoGBjg/edit#gid=934712705"",""ESENCIAL!A6:BG""),3,FALSE))"),"")</f>
        <v/>
      </c>
      <c r="H268" s="5" t="str">
        <f ca="1">IFERROR(__xludf.DUMMYFUNCTION("IFERROR(VLOOKUP(F285,IMPORTRANGE(""https://docs.google.com/spreadsheets/d/1Kvs4KS76FHFqLFIZfrDMff4kP08nblUkihrxltoGBjg/edit#gid=934712705"",""ESENCIAL!A6:BG""),8,FALSE))"),"")</f>
        <v/>
      </c>
      <c r="L268" s="287"/>
      <c r="S268"/>
      <c r="AU268" s="41" t="str">
        <f t="shared" si="36"/>
        <v/>
      </c>
      <c r="AV268" s="5" t="str">
        <f ca="1">IFERROR(__xludf.DUMMYFUNCTION("IFERROR(VLOOKUP(E285&amp;F285,IMPORTRANGE(""https://docs.google.com/spreadsheets/d/1Uw7-A9f9R21vMXxHZFNpYNeKFtG8_yji4HS352LGlSQ/edit?pli=1#gid=0"",""1_ACUM!A4:S""),11,FALSE))"),"")</f>
        <v/>
      </c>
      <c r="AW268" s="42" t="str">
        <f ca="1">IFERROR(__xludf.DUMMYFUNCTION("IFERROR(VLOOKUP(F285,IMPORTRANGE(""https://docs.google.com/spreadsheets/d/1Kvs4KS76FHFqLFIZfrDMff4kP08nblUkihrxltoGBjg/edit#gid=934712705"",""ESENCIAL!A6:BG""),15,FALSE))"),"")</f>
        <v/>
      </c>
      <c r="AX268" s="21" t="str">
        <f ca="1">IFERROR(__xludf.DUMMYFUNCTION("IFERROR(VLOOKUP(E285&amp;F285,IMPORTRANGE(""https://docs.google.com/spreadsheets/d/1Uw7-A9f9R21vMXxHZFNpYNeKFtG8_yji4HS352LGlSQ/edit?pli=1#gid=0"",""1_ACUM!A4:S""),12,FALSE))"),"")</f>
        <v/>
      </c>
      <c r="AY268" s="43" t="str">
        <f ca="1">IFERROR(__xludf.DUMMYFUNCTION("IFERROR(VLOOKUP(E285&amp;F285,IMPORTRANGE(""https://docs.google.com/spreadsheets/d/1Uw7-A9f9R21vMXxHZFNpYNeKFtG8_yji4HS352LGlSQ/edit?pli=1#gid=0"",""1_ACUM!A4:S""),13,FALSE))"),"")</f>
        <v/>
      </c>
      <c r="AZ268" s="43" t="str">
        <f ca="1">IFERROR(__xludf.DUMMYFUNCTION("IFERROR(VLOOKUP(E285&amp;F285,IMPORTRANGE(""https://docs.google.com/spreadsheets/d/1Uw7-A9f9R21vMXxHZFNpYNeKFtG8_yji4HS352LGlSQ/edit?pli=1#gid=0"",""1_ACUM!A4:S""),14,FALSE))"),"")</f>
        <v/>
      </c>
      <c r="BA268" s="43" t="str">
        <f ca="1">IFERROR(__xludf.DUMMYFUNCTION("IFERROR(VLOOKUP(E285&amp;F285,IMPORTRANGE(""https://docs.google.com/spreadsheets/d/1Uw7-A9f9R21vMXxHZFNpYNeKFtG8_yji4HS352LGlSQ/edit?pli=1#gid=0"",""1_ACUM!A4:S""),15,FALSE))"),"")</f>
        <v/>
      </c>
      <c r="BB268" s="43" t="str">
        <f ca="1">IFERROR(__xludf.DUMMYFUNCTION("IFERROR(VLOOKUP(E285&amp;F285,IMPORTRANGE(""https://docs.google.com/spreadsheets/d/1Uw7-A9f9R21vMXxHZFNpYNeKFtG8_yji4HS352LGlSQ/edit?pli=1#gid=0"",""1_ACUM!A4:S""),16,FALSE))"),"")</f>
        <v/>
      </c>
      <c r="BC268" s="43" t="str">
        <f ca="1">IFERROR(__xludf.DUMMYFUNCTION("IFERROR(VLOOKUP(E285&amp;F285,IMPORTRANGE(""https://docs.google.com/spreadsheets/d/1Uw7-A9f9R21vMXxHZFNpYNeKFtG8_yji4HS352LGlSQ/edit?pli=1#gid=0"",""1_ACUM!A4:S""),17,FALSE))"),"")</f>
        <v/>
      </c>
      <c r="BD268" s="44" t="str">
        <f ca="1">IFERROR(__xludf.DUMMYFUNCTION("IFERROR(VLOOKUP(E285&amp;F285,IMPORTRANGE(""https://docs.google.com/spreadsheets/d/1Uw7-A9f9R21vMXxHZFNpYNeKFtG8_yji4HS352LGlSQ/edit?pli=1#gid=0"",""1_ACUM!A4:S""),18,FALSE))"),"")</f>
        <v/>
      </c>
      <c r="BE268" s="44" t="str">
        <f ca="1">IFERROR(__xludf.DUMMYFUNCTION("IFERROR(VLOOKUP(E285&amp;F285,IMPORTRANGE(""https://docs.google.com/spreadsheets/d/1Uw7-A9f9R21vMXxHZFNpYNeKFtG8_yji4HS352LGlSQ/edit?pli=1#gid=0"",""1_ACUM!A4:S""),19,FALSE))"),"")</f>
        <v/>
      </c>
      <c r="BF268" s="44" t="str">
        <f ca="1">IFERROR(__xludf.DUMMYFUNCTION("IFERROR(VLOOKUP(F285,IMPORTRANGE(""https://docs.google.com/spreadsheets/d/1Kvs4KS76FHFqLFIZfrDMff4kP08nblUkihrxltoGBjg/edit#gid=934712705"",""ESENCIAL!A6:BG""),5,FALSE))"),"")</f>
        <v/>
      </c>
      <c r="BG268" s="44" t="str">
        <f t="shared" si="37"/>
        <v/>
      </c>
      <c r="BH268" s="41" t="str">
        <f t="shared" si="38"/>
        <v/>
      </c>
      <c r="BI268" s="41" t="str">
        <f ca="1">IFERROR(__xludf.DUMMYFUNCTION("IFERROR(VLOOKUP(F285,IMPORTRANGE(""https://docs.google.com/spreadsheets/d/1Kvs4KS76FHFqLFIZfrDMff4kP08nblUkihrxltoGBjg/edit#gid=934712705"",""ESENCIAL!A6:BG""),18,FALSE))"),"")</f>
        <v/>
      </c>
      <c r="BJ268" s="19" t="str">
        <f t="shared" si="39"/>
        <v/>
      </c>
      <c r="BK268" s="41"/>
      <c r="BL268" s="41"/>
    </row>
    <row r="269" spans="1:64" ht="15">
      <c r="A269" s="4"/>
      <c r="B269" s="4"/>
      <c r="G269" s="5" t="str">
        <f ca="1">IFERROR(__xludf.DUMMYFUNCTION("IFERROR(VLOOKUP(F286,IMPORTRANGE(""https://docs.google.com/spreadsheets/d/1Kvs4KS76FHFqLFIZfrDMff4kP08nblUkihrxltoGBjg/edit#gid=934712705"",""ESENCIAL!A6:BG""),3,FALSE))"),"")</f>
        <v/>
      </c>
      <c r="H269" s="5" t="str">
        <f ca="1">IFERROR(__xludf.DUMMYFUNCTION("IFERROR(VLOOKUP(F286,IMPORTRANGE(""https://docs.google.com/spreadsheets/d/1Kvs4KS76FHFqLFIZfrDMff4kP08nblUkihrxltoGBjg/edit#gid=934712705"",""ESENCIAL!A6:BG""),8,FALSE))"),"")</f>
        <v/>
      </c>
      <c r="L269" s="287"/>
      <c r="S269"/>
      <c r="AU269" s="41" t="str">
        <f t="shared" si="36"/>
        <v/>
      </c>
      <c r="AV269" s="5" t="str">
        <f ca="1">IFERROR(__xludf.DUMMYFUNCTION("IFERROR(VLOOKUP(E286&amp;F286,IMPORTRANGE(""https://docs.google.com/spreadsheets/d/1Uw7-A9f9R21vMXxHZFNpYNeKFtG8_yji4HS352LGlSQ/edit?pli=1#gid=0"",""1_ACUM!A4:S""),11,FALSE))"),"")</f>
        <v/>
      </c>
      <c r="AW269" s="42" t="str">
        <f ca="1">IFERROR(__xludf.DUMMYFUNCTION("IFERROR(VLOOKUP(F286,IMPORTRANGE(""https://docs.google.com/spreadsheets/d/1Kvs4KS76FHFqLFIZfrDMff4kP08nblUkihrxltoGBjg/edit#gid=934712705"",""ESENCIAL!A6:BG""),15,FALSE))"),"")</f>
        <v/>
      </c>
      <c r="AX269" s="21" t="str">
        <f ca="1">IFERROR(__xludf.DUMMYFUNCTION("IFERROR(VLOOKUP(E286&amp;F286,IMPORTRANGE(""https://docs.google.com/spreadsheets/d/1Uw7-A9f9R21vMXxHZFNpYNeKFtG8_yji4HS352LGlSQ/edit?pli=1#gid=0"",""1_ACUM!A4:S""),12,FALSE))"),"")</f>
        <v/>
      </c>
      <c r="AY269" s="43" t="str">
        <f ca="1">IFERROR(__xludf.DUMMYFUNCTION("IFERROR(VLOOKUP(E286&amp;F286,IMPORTRANGE(""https://docs.google.com/spreadsheets/d/1Uw7-A9f9R21vMXxHZFNpYNeKFtG8_yji4HS352LGlSQ/edit?pli=1#gid=0"",""1_ACUM!A4:S""),13,FALSE))"),"")</f>
        <v/>
      </c>
      <c r="AZ269" s="43" t="str">
        <f ca="1">IFERROR(__xludf.DUMMYFUNCTION("IFERROR(VLOOKUP(E286&amp;F286,IMPORTRANGE(""https://docs.google.com/spreadsheets/d/1Uw7-A9f9R21vMXxHZFNpYNeKFtG8_yji4HS352LGlSQ/edit?pli=1#gid=0"",""1_ACUM!A4:S""),14,FALSE))"),"")</f>
        <v/>
      </c>
      <c r="BA269" s="43" t="str">
        <f ca="1">IFERROR(__xludf.DUMMYFUNCTION("IFERROR(VLOOKUP(E286&amp;F286,IMPORTRANGE(""https://docs.google.com/spreadsheets/d/1Uw7-A9f9R21vMXxHZFNpYNeKFtG8_yji4HS352LGlSQ/edit?pli=1#gid=0"",""1_ACUM!A4:S""),15,FALSE))"),"")</f>
        <v/>
      </c>
      <c r="BB269" s="43" t="str">
        <f ca="1">IFERROR(__xludf.DUMMYFUNCTION("IFERROR(VLOOKUP(E286&amp;F286,IMPORTRANGE(""https://docs.google.com/spreadsheets/d/1Uw7-A9f9R21vMXxHZFNpYNeKFtG8_yji4HS352LGlSQ/edit?pli=1#gid=0"",""1_ACUM!A4:S""),16,FALSE))"),"")</f>
        <v/>
      </c>
      <c r="BC269" s="43" t="str">
        <f ca="1">IFERROR(__xludf.DUMMYFUNCTION("IFERROR(VLOOKUP(E286&amp;F286,IMPORTRANGE(""https://docs.google.com/spreadsheets/d/1Uw7-A9f9R21vMXxHZFNpYNeKFtG8_yji4HS352LGlSQ/edit?pli=1#gid=0"",""1_ACUM!A4:S""),17,FALSE))"),"")</f>
        <v/>
      </c>
      <c r="BD269" s="44" t="str">
        <f ca="1">IFERROR(__xludf.DUMMYFUNCTION("IFERROR(VLOOKUP(E286&amp;F286,IMPORTRANGE(""https://docs.google.com/spreadsheets/d/1Uw7-A9f9R21vMXxHZFNpYNeKFtG8_yji4HS352LGlSQ/edit?pli=1#gid=0"",""1_ACUM!A4:S""),18,FALSE))"),"")</f>
        <v/>
      </c>
      <c r="BE269" s="44" t="str">
        <f ca="1">IFERROR(__xludf.DUMMYFUNCTION("IFERROR(VLOOKUP(E286&amp;F286,IMPORTRANGE(""https://docs.google.com/spreadsheets/d/1Uw7-A9f9R21vMXxHZFNpYNeKFtG8_yji4HS352LGlSQ/edit?pli=1#gid=0"",""1_ACUM!A4:S""),19,FALSE))"),"")</f>
        <v/>
      </c>
      <c r="BF269" s="44" t="str">
        <f ca="1">IFERROR(__xludf.DUMMYFUNCTION("IFERROR(VLOOKUP(F286,IMPORTRANGE(""https://docs.google.com/spreadsheets/d/1Kvs4KS76FHFqLFIZfrDMff4kP08nblUkihrxltoGBjg/edit#gid=934712705"",""ESENCIAL!A6:BG""),5,FALSE))"),"")</f>
        <v/>
      </c>
      <c r="BG269" s="44" t="str">
        <f t="shared" si="37"/>
        <v/>
      </c>
      <c r="BH269" s="41" t="str">
        <f t="shared" si="38"/>
        <v/>
      </c>
      <c r="BI269" s="41" t="str">
        <f ca="1">IFERROR(__xludf.DUMMYFUNCTION("IFERROR(VLOOKUP(F286,IMPORTRANGE(""https://docs.google.com/spreadsheets/d/1Kvs4KS76FHFqLFIZfrDMff4kP08nblUkihrxltoGBjg/edit#gid=934712705"",""ESENCIAL!A6:BG""),18,FALSE))"),"")</f>
        <v/>
      </c>
      <c r="BJ269" s="19" t="str">
        <f t="shared" si="39"/>
        <v/>
      </c>
      <c r="BK269" s="41"/>
      <c r="BL269" s="41"/>
    </row>
    <row r="270" spans="1:64" ht="15">
      <c r="A270" s="4"/>
      <c r="B270" s="4"/>
      <c r="G270" s="5" t="str">
        <f ca="1">IFERROR(__xludf.DUMMYFUNCTION("IFERROR(VLOOKUP(F287,IMPORTRANGE(""https://docs.google.com/spreadsheets/d/1Kvs4KS76FHFqLFIZfrDMff4kP08nblUkihrxltoGBjg/edit#gid=934712705"",""ESENCIAL!A6:BG""),3,FALSE))"),"")</f>
        <v/>
      </c>
      <c r="H270" s="5" t="str">
        <f ca="1">IFERROR(__xludf.DUMMYFUNCTION("IFERROR(VLOOKUP(F287,IMPORTRANGE(""https://docs.google.com/spreadsheets/d/1Kvs4KS76FHFqLFIZfrDMff4kP08nblUkihrxltoGBjg/edit#gid=934712705"",""ESENCIAL!A6:BG""),8,FALSE))"),"")</f>
        <v/>
      </c>
      <c r="L270" s="287"/>
      <c r="S270"/>
      <c r="AU270" s="41" t="str">
        <f t="shared" si="36"/>
        <v/>
      </c>
      <c r="AV270" s="5" t="str">
        <f ca="1">IFERROR(__xludf.DUMMYFUNCTION("IFERROR(VLOOKUP(E287&amp;F287,IMPORTRANGE(""https://docs.google.com/spreadsheets/d/1Uw7-A9f9R21vMXxHZFNpYNeKFtG8_yji4HS352LGlSQ/edit?pli=1#gid=0"",""1_ACUM!A4:S""),11,FALSE))"),"")</f>
        <v/>
      </c>
      <c r="AW270" s="42" t="str">
        <f ca="1">IFERROR(__xludf.DUMMYFUNCTION("IFERROR(VLOOKUP(F287,IMPORTRANGE(""https://docs.google.com/spreadsheets/d/1Kvs4KS76FHFqLFIZfrDMff4kP08nblUkihrxltoGBjg/edit#gid=934712705"",""ESENCIAL!A6:BG""),15,FALSE))"),"")</f>
        <v/>
      </c>
      <c r="AX270" s="21" t="str">
        <f ca="1">IFERROR(__xludf.DUMMYFUNCTION("IFERROR(VLOOKUP(E287&amp;F287,IMPORTRANGE(""https://docs.google.com/spreadsheets/d/1Uw7-A9f9R21vMXxHZFNpYNeKFtG8_yji4HS352LGlSQ/edit?pli=1#gid=0"",""1_ACUM!A4:S""),12,FALSE))"),"")</f>
        <v/>
      </c>
      <c r="AY270" s="43" t="str">
        <f ca="1">IFERROR(__xludf.DUMMYFUNCTION("IFERROR(VLOOKUP(E287&amp;F287,IMPORTRANGE(""https://docs.google.com/spreadsheets/d/1Uw7-A9f9R21vMXxHZFNpYNeKFtG8_yji4HS352LGlSQ/edit?pli=1#gid=0"",""1_ACUM!A4:S""),13,FALSE))"),"")</f>
        <v/>
      </c>
      <c r="AZ270" s="43" t="str">
        <f ca="1">IFERROR(__xludf.DUMMYFUNCTION("IFERROR(VLOOKUP(E287&amp;F287,IMPORTRANGE(""https://docs.google.com/spreadsheets/d/1Uw7-A9f9R21vMXxHZFNpYNeKFtG8_yji4HS352LGlSQ/edit?pli=1#gid=0"",""1_ACUM!A4:S""),14,FALSE))"),"")</f>
        <v/>
      </c>
      <c r="BA270" s="43" t="str">
        <f ca="1">IFERROR(__xludf.DUMMYFUNCTION("IFERROR(VLOOKUP(E287&amp;F287,IMPORTRANGE(""https://docs.google.com/spreadsheets/d/1Uw7-A9f9R21vMXxHZFNpYNeKFtG8_yji4HS352LGlSQ/edit?pli=1#gid=0"",""1_ACUM!A4:S""),15,FALSE))"),"")</f>
        <v/>
      </c>
      <c r="BB270" s="43" t="str">
        <f ca="1">IFERROR(__xludf.DUMMYFUNCTION("IFERROR(VLOOKUP(E287&amp;F287,IMPORTRANGE(""https://docs.google.com/spreadsheets/d/1Uw7-A9f9R21vMXxHZFNpYNeKFtG8_yji4HS352LGlSQ/edit?pli=1#gid=0"",""1_ACUM!A4:S""),16,FALSE))"),"")</f>
        <v/>
      </c>
      <c r="BC270" s="43" t="str">
        <f ca="1">IFERROR(__xludf.DUMMYFUNCTION("IFERROR(VLOOKUP(E287&amp;F287,IMPORTRANGE(""https://docs.google.com/spreadsheets/d/1Uw7-A9f9R21vMXxHZFNpYNeKFtG8_yji4HS352LGlSQ/edit?pli=1#gid=0"",""1_ACUM!A4:S""),17,FALSE))"),"")</f>
        <v/>
      </c>
      <c r="BD270" s="44" t="str">
        <f ca="1">IFERROR(__xludf.DUMMYFUNCTION("IFERROR(VLOOKUP(E287&amp;F287,IMPORTRANGE(""https://docs.google.com/spreadsheets/d/1Uw7-A9f9R21vMXxHZFNpYNeKFtG8_yji4HS352LGlSQ/edit?pli=1#gid=0"",""1_ACUM!A4:S""),18,FALSE))"),"")</f>
        <v/>
      </c>
      <c r="BE270" s="44" t="str">
        <f ca="1">IFERROR(__xludf.DUMMYFUNCTION("IFERROR(VLOOKUP(E287&amp;F287,IMPORTRANGE(""https://docs.google.com/spreadsheets/d/1Uw7-A9f9R21vMXxHZFNpYNeKFtG8_yji4HS352LGlSQ/edit?pli=1#gid=0"",""1_ACUM!A4:S""),19,FALSE))"),"")</f>
        <v/>
      </c>
      <c r="BF270" s="44" t="str">
        <f ca="1">IFERROR(__xludf.DUMMYFUNCTION("IFERROR(VLOOKUP(F287,IMPORTRANGE(""https://docs.google.com/spreadsheets/d/1Kvs4KS76FHFqLFIZfrDMff4kP08nblUkihrxltoGBjg/edit#gid=934712705"",""ESENCIAL!A6:BG""),5,FALSE))"),"")</f>
        <v/>
      </c>
      <c r="BG270" s="44" t="str">
        <f t="shared" si="37"/>
        <v/>
      </c>
      <c r="BH270" s="41" t="str">
        <f t="shared" si="38"/>
        <v/>
      </c>
      <c r="BI270" s="41" t="str">
        <f ca="1">IFERROR(__xludf.DUMMYFUNCTION("IFERROR(VLOOKUP(F287,IMPORTRANGE(""https://docs.google.com/spreadsheets/d/1Kvs4KS76FHFqLFIZfrDMff4kP08nblUkihrxltoGBjg/edit#gid=934712705"",""ESENCIAL!A6:BG""),18,FALSE))"),"")</f>
        <v/>
      </c>
      <c r="BJ270" s="19" t="str">
        <f t="shared" si="39"/>
        <v/>
      </c>
      <c r="BK270" s="41"/>
      <c r="BL270" s="41"/>
    </row>
    <row r="271" spans="1:64" ht="15">
      <c r="A271" s="4"/>
      <c r="B271" s="4"/>
      <c r="G271" s="5" t="str">
        <f ca="1">IFERROR(__xludf.DUMMYFUNCTION("IFERROR(VLOOKUP(F288,IMPORTRANGE(""https://docs.google.com/spreadsheets/d/1Kvs4KS76FHFqLFIZfrDMff4kP08nblUkihrxltoGBjg/edit#gid=934712705"",""ESENCIAL!A6:BG""),3,FALSE))"),"")</f>
        <v/>
      </c>
      <c r="H271" s="5" t="str">
        <f ca="1">IFERROR(__xludf.DUMMYFUNCTION("IFERROR(VLOOKUP(F288,IMPORTRANGE(""https://docs.google.com/spreadsheets/d/1Kvs4KS76FHFqLFIZfrDMff4kP08nblUkihrxltoGBjg/edit#gid=934712705"",""ESENCIAL!A6:BG""),8,FALSE))"),"")</f>
        <v/>
      </c>
      <c r="L271" s="287"/>
      <c r="S271"/>
      <c r="AU271" s="41" t="str">
        <f t="shared" si="36"/>
        <v/>
      </c>
      <c r="AV271" s="5" t="str">
        <f ca="1">IFERROR(__xludf.DUMMYFUNCTION("IFERROR(VLOOKUP(E288&amp;F288,IMPORTRANGE(""https://docs.google.com/spreadsheets/d/1Uw7-A9f9R21vMXxHZFNpYNeKFtG8_yji4HS352LGlSQ/edit?pli=1#gid=0"",""1_ACUM!A4:S""),11,FALSE))"),"")</f>
        <v/>
      </c>
      <c r="AW271" s="42" t="str">
        <f ca="1">IFERROR(__xludf.DUMMYFUNCTION("IFERROR(VLOOKUP(F288,IMPORTRANGE(""https://docs.google.com/spreadsheets/d/1Kvs4KS76FHFqLFIZfrDMff4kP08nblUkihrxltoGBjg/edit#gid=934712705"",""ESENCIAL!A6:BG""),15,FALSE))"),"")</f>
        <v/>
      </c>
      <c r="AX271" s="21" t="str">
        <f ca="1">IFERROR(__xludf.DUMMYFUNCTION("IFERROR(VLOOKUP(E288&amp;F288,IMPORTRANGE(""https://docs.google.com/spreadsheets/d/1Uw7-A9f9R21vMXxHZFNpYNeKFtG8_yji4HS352LGlSQ/edit?pli=1#gid=0"",""1_ACUM!A4:S""),12,FALSE))"),"")</f>
        <v/>
      </c>
      <c r="AY271" s="43" t="str">
        <f ca="1">IFERROR(__xludf.DUMMYFUNCTION("IFERROR(VLOOKUP(E288&amp;F288,IMPORTRANGE(""https://docs.google.com/spreadsheets/d/1Uw7-A9f9R21vMXxHZFNpYNeKFtG8_yji4HS352LGlSQ/edit?pli=1#gid=0"",""1_ACUM!A4:S""),13,FALSE))"),"")</f>
        <v/>
      </c>
      <c r="AZ271" s="43" t="str">
        <f ca="1">IFERROR(__xludf.DUMMYFUNCTION("IFERROR(VLOOKUP(E288&amp;F288,IMPORTRANGE(""https://docs.google.com/spreadsheets/d/1Uw7-A9f9R21vMXxHZFNpYNeKFtG8_yji4HS352LGlSQ/edit?pli=1#gid=0"",""1_ACUM!A4:S""),14,FALSE))"),"")</f>
        <v/>
      </c>
      <c r="BA271" s="43" t="str">
        <f ca="1">IFERROR(__xludf.DUMMYFUNCTION("IFERROR(VLOOKUP(E288&amp;F288,IMPORTRANGE(""https://docs.google.com/spreadsheets/d/1Uw7-A9f9R21vMXxHZFNpYNeKFtG8_yji4HS352LGlSQ/edit?pli=1#gid=0"",""1_ACUM!A4:S""),15,FALSE))"),"")</f>
        <v/>
      </c>
      <c r="BB271" s="43" t="str">
        <f ca="1">IFERROR(__xludf.DUMMYFUNCTION("IFERROR(VLOOKUP(E288&amp;F288,IMPORTRANGE(""https://docs.google.com/spreadsheets/d/1Uw7-A9f9R21vMXxHZFNpYNeKFtG8_yji4HS352LGlSQ/edit?pli=1#gid=0"",""1_ACUM!A4:S""),16,FALSE))"),"")</f>
        <v/>
      </c>
      <c r="BC271" s="43" t="str">
        <f ca="1">IFERROR(__xludf.DUMMYFUNCTION("IFERROR(VLOOKUP(E288&amp;F288,IMPORTRANGE(""https://docs.google.com/spreadsheets/d/1Uw7-A9f9R21vMXxHZFNpYNeKFtG8_yji4HS352LGlSQ/edit?pli=1#gid=0"",""1_ACUM!A4:S""),17,FALSE))"),"")</f>
        <v/>
      </c>
      <c r="BD271" s="44" t="str">
        <f ca="1">IFERROR(__xludf.DUMMYFUNCTION("IFERROR(VLOOKUP(E288&amp;F288,IMPORTRANGE(""https://docs.google.com/spreadsheets/d/1Uw7-A9f9R21vMXxHZFNpYNeKFtG8_yji4HS352LGlSQ/edit?pli=1#gid=0"",""1_ACUM!A4:S""),18,FALSE))"),"")</f>
        <v/>
      </c>
      <c r="BE271" s="44" t="str">
        <f ca="1">IFERROR(__xludf.DUMMYFUNCTION("IFERROR(VLOOKUP(E288&amp;F288,IMPORTRANGE(""https://docs.google.com/spreadsheets/d/1Uw7-A9f9R21vMXxHZFNpYNeKFtG8_yji4HS352LGlSQ/edit?pli=1#gid=0"",""1_ACUM!A4:S""),19,FALSE))"),"")</f>
        <v/>
      </c>
      <c r="BF271" s="44" t="str">
        <f ca="1">IFERROR(__xludf.DUMMYFUNCTION("IFERROR(VLOOKUP(F288,IMPORTRANGE(""https://docs.google.com/spreadsheets/d/1Kvs4KS76FHFqLFIZfrDMff4kP08nblUkihrxltoGBjg/edit#gid=934712705"",""ESENCIAL!A6:BG""),5,FALSE))"),"")</f>
        <v/>
      </c>
      <c r="BG271" s="44" t="str">
        <f t="shared" si="37"/>
        <v/>
      </c>
      <c r="BH271" s="41" t="str">
        <f t="shared" si="38"/>
        <v/>
      </c>
      <c r="BI271" s="41" t="str">
        <f ca="1">IFERROR(__xludf.DUMMYFUNCTION("IFERROR(VLOOKUP(F288,IMPORTRANGE(""https://docs.google.com/spreadsheets/d/1Kvs4KS76FHFqLFIZfrDMff4kP08nblUkihrxltoGBjg/edit#gid=934712705"",""ESENCIAL!A6:BG""),18,FALSE))"),"")</f>
        <v/>
      </c>
      <c r="BJ271" s="19" t="str">
        <f t="shared" si="39"/>
        <v/>
      </c>
      <c r="BK271" s="41"/>
      <c r="BL271" s="41"/>
    </row>
    <row r="272" spans="1:64" ht="15">
      <c r="A272" s="4"/>
      <c r="B272" s="4"/>
      <c r="G272" s="5" t="str">
        <f ca="1">IFERROR(__xludf.DUMMYFUNCTION("IFERROR(VLOOKUP(F289,IMPORTRANGE(""https://docs.google.com/spreadsheets/d/1Kvs4KS76FHFqLFIZfrDMff4kP08nblUkihrxltoGBjg/edit#gid=934712705"",""ESENCIAL!A6:BG""),3,FALSE))"),"")</f>
        <v/>
      </c>
      <c r="H272" s="5" t="str">
        <f ca="1">IFERROR(__xludf.DUMMYFUNCTION("IFERROR(VLOOKUP(F289,IMPORTRANGE(""https://docs.google.com/spreadsheets/d/1Kvs4KS76FHFqLFIZfrDMff4kP08nblUkihrxltoGBjg/edit#gid=934712705"",""ESENCIAL!A6:BG""),8,FALSE))"),"")</f>
        <v/>
      </c>
      <c r="L272" s="287"/>
      <c r="S272"/>
      <c r="AU272" s="41" t="str">
        <f t="shared" si="36"/>
        <v/>
      </c>
      <c r="AV272" s="5" t="str">
        <f ca="1">IFERROR(__xludf.DUMMYFUNCTION("IFERROR(VLOOKUP(E289&amp;F289,IMPORTRANGE(""https://docs.google.com/spreadsheets/d/1Uw7-A9f9R21vMXxHZFNpYNeKFtG8_yji4HS352LGlSQ/edit?pli=1#gid=0"",""1_ACUM!A4:S""),11,FALSE))"),"")</f>
        <v/>
      </c>
      <c r="AW272" s="42" t="str">
        <f ca="1">IFERROR(__xludf.DUMMYFUNCTION("IFERROR(VLOOKUP(F289,IMPORTRANGE(""https://docs.google.com/spreadsheets/d/1Kvs4KS76FHFqLFIZfrDMff4kP08nblUkihrxltoGBjg/edit#gid=934712705"",""ESENCIAL!A6:BG""),15,FALSE))"),"")</f>
        <v/>
      </c>
      <c r="AX272" s="21" t="str">
        <f ca="1">IFERROR(__xludf.DUMMYFUNCTION("IFERROR(VLOOKUP(E289&amp;F289,IMPORTRANGE(""https://docs.google.com/spreadsheets/d/1Uw7-A9f9R21vMXxHZFNpYNeKFtG8_yji4HS352LGlSQ/edit?pli=1#gid=0"",""1_ACUM!A4:S""),12,FALSE))"),"")</f>
        <v/>
      </c>
      <c r="AY272" s="43" t="str">
        <f ca="1">IFERROR(__xludf.DUMMYFUNCTION("IFERROR(VLOOKUP(E289&amp;F289,IMPORTRANGE(""https://docs.google.com/spreadsheets/d/1Uw7-A9f9R21vMXxHZFNpYNeKFtG8_yji4HS352LGlSQ/edit?pli=1#gid=0"",""1_ACUM!A4:S""),13,FALSE))"),"")</f>
        <v/>
      </c>
      <c r="AZ272" s="43" t="str">
        <f ca="1">IFERROR(__xludf.DUMMYFUNCTION("IFERROR(VLOOKUP(E289&amp;F289,IMPORTRANGE(""https://docs.google.com/spreadsheets/d/1Uw7-A9f9R21vMXxHZFNpYNeKFtG8_yji4HS352LGlSQ/edit?pli=1#gid=0"",""1_ACUM!A4:S""),14,FALSE))"),"")</f>
        <v/>
      </c>
      <c r="BA272" s="43" t="str">
        <f ca="1">IFERROR(__xludf.DUMMYFUNCTION("IFERROR(VLOOKUP(E289&amp;F289,IMPORTRANGE(""https://docs.google.com/spreadsheets/d/1Uw7-A9f9R21vMXxHZFNpYNeKFtG8_yji4HS352LGlSQ/edit?pli=1#gid=0"",""1_ACUM!A4:S""),15,FALSE))"),"")</f>
        <v/>
      </c>
      <c r="BB272" s="43" t="str">
        <f ca="1">IFERROR(__xludf.DUMMYFUNCTION("IFERROR(VLOOKUP(E289&amp;F289,IMPORTRANGE(""https://docs.google.com/spreadsheets/d/1Uw7-A9f9R21vMXxHZFNpYNeKFtG8_yji4HS352LGlSQ/edit?pli=1#gid=0"",""1_ACUM!A4:S""),16,FALSE))"),"")</f>
        <v/>
      </c>
      <c r="BC272" s="43" t="str">
        <f ca="1">IFERROR(__xludf.DUMMYFUNCTION("IFERROR(VLOOKUP(E289&amp;F289,IMPORTRANGE(""https://docs.google.com/spreadsheets/d/1Uw7-A9f9R21vMXxHZFNpYNeKFtG8_yji4HS352LGlSQ/edit?pli=1#gid=0"",""1_ACUM!A4:S""),17,FALSE))"),"")</f>
        <v/>
      </c>
      <c r="BD272" s="44" t="str">
        <f ca="1">IFERROR(__xludf.DUMMYFUNCTION("IFERROR(VLOOKUP(E289&amp;F289,IMPORTRANGE(""https://docs.google.com/spreadsheets/d/1Uw7-A9f9R21vMXxHZFNpYNeKFtG8_yji4HS352LGlSQ/edit?pli=1#gid=0"",""1_ACUM!A4:S""),18,FALSE))"),"")</f>
        <v/>
      </c>
      <c r="BE272" s="44" t="str">
        <f ca="1">IFERROR(__xludf.DUMMYFUNCTION("IFERROR(VLOOKUP(E289&amp;F289,IMPORTRANGE(""https://docs.google.com/spreadsheets/d/1Uw7-A9f9R21vMXxHZFNpYNeKFtG8_yji4HS352LGlSQ/edit?pli=1#gid=0"",""1_ACUM!A4:S""),19,FALSE))"),"")</f>
        <v/>
      </c>
      <c r="BF272" s="44" t="str">
        <f ca="1">IFERROR(__xludf.DUMMYFUNCTION("IFERROR(VLOOKUP(F289,IMPORTRANGE(""https://docs.google.com/spreadsheets/d/1Kvs4KS76FHFqLFIZfrDMff4kP08nblUkihrxltoGBjg/edit#gid=934712705"",""ESENCIAL!A6:BG""),5,FALSE))"),"")</f>
        <v/>
      </c>
      <c r="BG272" s="44" t="str">
        <f t="shared" si="37"/>
        <v/>
      </c>
      <c r="BH272" s="41" t="str">
        <f t="shared" si="38"/>
        <v/>
      </c>
      <c r="BI272" s="41" t="str">
        <f ca="1">IFERROR(__xludf.DUMMYFUNCTION("IFERROR(VLOOKUP(F289,IMPORTRANGE(""https://docs.google.com/spreadsheets/d/1Kvs4KS76FHFqLFIZfrDMff4kP08nblUkihrxltoGBjg/edit#gid=934712705"",""ESENCIAL!A6:BG""),18,FALSE))"),"")</f>
        <v/>
      </c>
      <c r="BJ272" s="19" t="str">
        <f t="shared" si="39"/>
        <v/>
      </c>
      <c r="BK272" s="41"/>
      <c r="BL272" s="41"/>
    </row>
    <row r="273" spans="1:64" ht="15">
      <c r="A273" s="4"/>
      <c r="B273" s="4"/>
      <c r="G273" s="5" t="str">
        <f ca="1">IFERROR(__xludf.DUMMYFUNCTION("IFERROR(VLOOKUP(F290,IMPORTRANGE(""https://docs.google.com/spreadsheets/d/1Kvs4KS76FHFqLFIZfrDMff4kP08nblUkihrxltoGBjg/edit#gid=934712705"",""ESENCIAL!A6:BG""),3,FALSE))"),"")</f>
        <v/>
      </c>
      <c r="H273" s="5" t="str">
        <f ca="1">IFERROR(__xludf.DUMMYFUNCTION("IFERROR(VLOOKUP(F290,IMPORTRANGE(""https://docs.google.com/spreadsheets/d/1Kvs4KS76FHFqLFIZfrDMff4kP08nblUkihrxltoGBjg/edit#gid=934712705"",""ESENCIAL!A6:BG""),8,FALSE))"),"")</f>
        <v/>
      </c>
      <c r="L273" s="287"/>
      <c r="S273"/>
      <c r="AU273" s="41" t="str">
        <f t="shared" si="36"/>
        <v/>
      </c>
      <c r="AV273" s="5" t="str">
        <f ca="1">IFERROR(__xludf.DUMMYFUNCTION("IFERROR(VLOOKUP(E290&amp;F290,IMPORTRANGE(""https://docs.google.com/spreadsheets/d/1Uw7-A9f9R21vMXxHZFNpYNeKFtG8_yji4HS352LGlSQ/edit?pli=1#gid=0"",""1_ACUM!A4:S""),11,FALSE))"),"")</f>
        <v/>
      </c>
      <c r="AW273" s="42" t="str">
        <f ca="1">IFERROR(__xludf.DUMMYFUNCTION("IFERROR(VLOOKUP(F290,IMPORTRANGE(""https://docs.google.com/spreadsheets/d/1Kvs4KS76FHFqLFIZfrDMff4kP08nblUkihrxltoGBjg/edit#gid=934712705"",""ESENCIAL!A6:BG""),15,FALSE))"),"")</f>
        <v/>
      </c>
      <c r="AX273" s="21" t="str">
        <f ca="1">IFERROR(__xludf.DUMMYFUNCTION("IFERROR(VLOOKUP(E290&amp;F290,IMPORTRANGE(""https://docs.google.com/spreadsheets/d/1Uw7-A9f9R21vMXxHZFNpYNeKFtG8_yji4HS352LGlSQ/edit?pli=1#gid=0"",""1_ACUM!A4:S""),12,FALSE))"),"")</f>
        <v/>
      </c>
      <c r="AY273" s="43" t="str">
        <f ca="1">IFERROR(__xludf.DUMMYFUNCTION("IFERROR(VLOOKUP(E290&amp;F290,IMPORTRANGE(""https://docs.google.com/spreadsheets/d/1Uw7-A9f9R21vMXxHZFNpYNeKFtG8_yji4HS352LGlSQ/edit?pli=1#gid=0"",""1_ACUM!A4:S""),13,FALSE))"),"")</f>
        <v/>
      </c>
      <c r="AZ273" s="43" t="str">
        <f ca="1">IFERROR(__xludf.DUMMYFUNCTION("IFERROR(VLOOKUP(E290&amp;F290,IMPORTRANGE(""https://docs.google.com/spreadsheets/d/1Uw7-A9f9R21vMXxHZFNpYNeKFtG8_yji4HS352LGlSQ/edit?pli=1#gid=0"",""1_ACUM!A4:S""),14,FALSE))"),"")</f>
        <v/>
      </c>
      <c r="BA273" s="43" t="str">
        <f ca="1">IFERROR(__xludf.DUMMYFUNCTION("IFERROR(VLOOKUP(E290&amp;F290,IMPORTRANGE(""https://docs.google.com/spreadsheets/d/1Uw7-A9f9R21vMXxHZFNpYNeKFtG8_yji4HS352LGlSQ/edit?pli=1#gid=0"",""1_ACUM!A4:S""),15,FALSE))"),"")</f>
        <v/>
      </c>
      <c r="BB273" s="43" t="str">
        <f ca="1">IFERROR(__xludf.DUMMYFUNCTION("IFERROR(VLOOKUP(E290&amp;F290,IMPORTRANGE(""https://docs.google.com/spreadsheets/d/1Uw7-A9f9R21vMXxHZFNpYNeKFtG8_yji4HS352LGlSQ/edit?pli=1#gid=0"",""1_ACUM!A4:S""),16,FALSE))"),"")</f>
        <v/>
      </c>
      <c r="BC273" s="43" t="str">
        <f ca="1">IFERROR(__xludf.DUMMYFUNCTION("IFERROR(VLOOKUP(E290&amp;F290,IMPORTRANGE(""https://docs.google.com/spreadsheets/d/1Uw7-A9f9R21vMXxHZFNpYNeKFtG8_yji4HS352LGlSQ/edit?pli=1#gid=0"",""1_ACUM!A4:S""),17,FALSE))"),"")</f>
        <v/>
      </c>
      <c r="BD273" s="44" t="str">
        <f ca="1">IFERROR(__xludf.DUMMYFUNCTION("IFERROR(VLOOKUP(E290&amp;F290,IMPORTRANGE(""https://docs.google.com/spreadsheets/d/1Uw7-A9f9R21vMXxHZFNpYNeKFtG8_yji4HS352LGlSQ/edit?pli=1#gid=0"",""1_ACUM!A4:S""),18,FALSE))"),"")</f>
        <v/>
      </c>
      <c r="BE273" s="44" t="str">
        <f ca="1">IFERROR(__xludf.DUMMYFUNCTION("IFERROR(VLOOKUP(E290&amp;F290,IMPORTRANGE(""https://docs.google.com/spreadsheets/d/1Uw7-A9f9R21vMXxHZFNpYNeKFtG8_yji4HS352LGlSQ/edit?pli=1#gid=0"",""1_ACUM!A4:S""),19,FALSE))"),"")</f>
        <v/>
      </c>
      <c r="BF273" s="44" t="str">
        <f ca="1">IFERROR(__xludf.DUMMYFUNCTION("IFERROR(VLOOKUP(F290,IMPORTRANGE(""https://docs.google.com/spreadsheets/d/1Kvs4KS76FHFqLFIZfrDMff4kP08nblUkihrxltoGBjg/edit#gid=934712705"",""ESENCIAL!A6:BG""),5,FALSE))"),"")</f>
        <v/>
      </c>
      <c r="BG273" s="44" t="str">
        <f t="shared" si="37"/>
        <v/>
      </c>
      <c r="BH273" s="41" t="str">
        <f t="shared" si="38"/>
        <v/>
      </c>
      <c r="BI273" s="41" t="str">
        <f ca="1">IFERROR(__xludf.DUMMYFUNCTION("IFERROR(VLOOKUP(F290,IMPORTRANGE(""https://docs.google.com/spreadsheets/d/1Kvs4KS76FHFqLFIZfrDMff4kP08nblUkihrxltoGBjg/edit#gid=934712705"",""ESENCIAL!A6:BG""),18,FALSE))"),"")</f>
        <v/>
      </c>
      <c r="BJ273" s="19" t="str">
        <f t="shared" si="39"/>
        <v/>
      </c>
      <c r="BK273" s="41"/>
      <c r="BL273" s="41"/>
    </row>
    <row r="274" spans="1:64" ht="15">
      <c r="A274" s="4"/>
      <c r="B274" s="4"/>
      <c r="G274" s="5" t="str">
        <f ca="1">IFERROR(__xludf.DUMMYFUNCTION("IFERROR(VLOOKUP(F291,IMPORTRANGE(""https://docs.google.com/spreadsheets/d/1Kvs4KS76FHFqLFIZfrDMff4kP08nblUkihrxltoGBjg/edit#gid=934712705"",""ESENCIAL!A6:BG""),3,FALSE))"),"")</f>
        <v/>
      </c>
      <c r="H274" s="5" t="str">
        <f ca="1">IFERROR(__xludf.DUMMYFUNCTION("IFERROR(VLOOKUP(F291,IMPORTRANGE(""https://docs.google.com/spreadsheets/d/1Kvs4KS76FHFqLFIZfrDMff4kP08nblUkihrxltoGBjg/edit#gid=934712705"",""ESENCIAL!A6:BG""),8,FALSE))"),"")</f>
        <v/>
      </c>
      <c r="L274" s="287"/>
      <c r="S274"/>
      <c r="AU274" s="41" t="str">
        <f t="shared" si="36"/>
        <v/>
      </c>
      <c r="AV274" s="5" t="str">
        <f ca="1">IFERROR(__xludf.DUMMYFUNCTION("IFERROR(VLOOKUP(E291&amp;F291,IMPORTRANGE(""https://docs.google.com/spreadsheets/d/1Uw7-A9f9R21vMXxHZFNpYNeKFtG8_yji4HS352LGlSQ/edit?pli=1#gid=0"",""1_ACUM!A4:S""),11,FALSE))"),"")</f>
        <v/>
      </c>
      <c r="AW274" s="42" t="str">
        <f ca="1">IFERROR(__xludf.DUMMYFUNCTION("IFERROR(VLOOKUP(F291,IMPORTRANGE(""https://docs.google.com/spreadsheets/d/1Kvs4KS76FHFqLFIZfrDMff4kP08nblUkihrxltoGBjg/edit#gid=934712705"",""ESENCIAL!A6:BG""),15,FALSE))"),"")</f>
        <v/>
      </c>
      <c r="AX274" s="21" t="str">
        <f ca="1">IFERROR(__xludf.DUMMYFUNCTION("IFERROR(VLOOKUP(E291&amp;F291,IMPORTRANGE(""https://docs.google.com/spreadsheets/d/1Uw7-A9f9R21vMXxHZFNpYNeKFtG8_yji4HS352LGlSQ/edit?pli=1#gid=0"",""1_ACUM!A4:S""),12,FALSE))"),"")</f>
        <v/>
      </c>
      <c r="AY274" s="43" t="str">
        <f ca="1">IFERROR(__xludf.DUMMYFUNCTION("IFERROR(VLOOKUP(E291&amp;F291,IMPORTRANGE(""https://docs.google.com/spreadsheets/d/1Uw7-A9f9R21vMXxHZFNpYNeKFtG8_yji4HS352LGlSQ/edit?pli=1#gid=0"",""1_ACUM!A4:S""),13,FALSE))"),"")</f>
        <v/>
      </c>
      <c r="AZ274" s="43" t="str">
        <f ca="1">IFERROR(__xludf.DUMMYFUNCTION("IFERROR(VLOOKUP(E291&amp;F291,IMPORTRANGE(""https://docs.google.com/spreadsheets/d/1Uw7-A9f9R21vMXxHZFNpYNeKFtG8_yji4HS352LGlSQ/edit?pli=1#gid=0"",""1_ACUM!A4:S""),14,FALSE))"),"")</f>
        <v/>
      </c>
      <c r="BA274" s="43" t="str">
        <f ca="1">IFERROR(__xludf.DUMMYFUNCTION("IFERROR(VLOOKUP(E291&amp;F291,IMPORTRANGE(""https://docs.google.com/spreadsheets/d/1Uw7-A9f9R21vMXxHZFNpYNeKFtG8_yji4HS352LGlSQ/edit?pli=1#gid=0"",""1_ACUM!A4:S""),15,FALSE))"),"")</f>
        <v/>
      </c>
      <c r="BB274" s="43" t="str">
        <f ca="1">IFERROR(__xludf.DUMMYFUNCTION("IFERROR(VLOOKUP(E291&amp;F291,IMPORTRANGE(""https://docs.google.com/spreadsheets/d/1Uw7-A9f9R21vMXxHZFNpYNeKFtG8_yji4HS352LGlSQ/edit?pli=1#gid=0"",""1_ACUM!A4:S""),16,FALSE))"),"")</f>
        <v/>
      </c>
      <c r="BC274" s="43" t="str">
        <f ca="1">IFERROR(__xludf.DUMMYFUNCTION("IFERROR(VLOOKUP(E291&amp;F291,IMPORTRANGE(""https://docs.google.com/spreadsheets/d/1Uw7-A9f9R21vMXxHZFNpYNeKFtG8_yji4HS352LGlSQ/edit?pli=1#gid=0"",""1_ACUM!A4:S""),17,FALSE))"),"")</f>
        <v/>
      </c>
      <c r="BD274" s="44" t="str">
        <f ca="1">IFERROR(__xludf.DUMMYFUNCTION("IFERROR(VLOOKUP(E291&amp;F291,IMPORTRANGE(""https://docs.google.com/spreadsheets/d/1Uw7-A9f9R21vMXxHZFNpYNeKFtG8_yji4HS352LGlSQ/edit?pli=1#gid=0"",""1_ACUM!A4:S""),18,FALSE))"),"")</f>
        <v/>
      </c>
      <c r="BE274" s="44" t="str">
        <f ca="1">IFERROR(__xludf.DUMMYFUNCTION("IFERROR(VLOOKUP(E291&amp;F291,IMPORTRANGE(""https://docs.google.com/spreadsheets/d/1Uw7-A9f9R21vMXxHZFNpYNeKFtG8_yji4HS352LGlSQ/edit?pli=1#gid=0"",""1_ACUM!A4:S""),19,FALSE))"),"")</f>
        <v/>
      </c>
      <c r="BF274" s="44" t="str">
        <f ca="1">IFERROR(__xludf.DUMMYFUNCTION("IFERROR(VLOOKUP(F291,IMPORTRANGE(""https://docs.google.com/spreadsheets/d/1Kvs4KS76FHFqLFIZfrDMff4kP08nblUkihrxltoGBjg/edit#gid=934712705"",""ESENCIAL!A6:BG""),5,FALSE))"),"")</f>
        <v/>
      </c>
      <c r="BG274" s="44" t="str">
        <f t="shared" si="37"/>
        <v/>
      </c>
      <c r="BH274" s="41" t="str">
        <f t="shared" si="38"/>
        <v/>
      </c>
      <c r="BI274" s="41" t="str">
        <f ca="1">IFERROR(__xludf.DUMMYFUNCTION("IFERROR(VLOOKUP(F291,IMPORTRANGE(""https://docs.google.com/spreadsheets/d/1Kvs4KS76FHFqLFIZfrDMff4kP08nblUkihrxltoGBjg/edit#gid=934712705"",""ESENCIAL!A6:BG""),18,FALSE))"),"")</f>
        <v/>
      </c>
      <c r="BJ274" s="19" t="str">
        <f t="shared" si="39"/>
        <v/>
      </c>
      <c r="BK274" s="41"/>
      <c r="BL274" s="41"/>
    </row>
    <row r="275" spans="1:64" ht="15">
      <c r="A275" s="4"/>
      <c r="B275" s="4"/>
      <c r="G275" s="5" t="str">
        <f ca="1">IFERROR(__xludf.DUMMYFUNCTION("IFERROR(VLOOKUP(F292,IMPORTRANGE(""https://docs.google.com/spreadsheets/d/1Kvs4KS76FHFqLFIZfrDMff4kP08nblUkihrxltoGBjg/edit#gid=934712705"",""ESENCIAL!A6:BG""),3,FALSE))"),"")</f>
        <v/>
      </c>
      <c r="H275" s="5" t="str">
        <f ca="1">IFERROR(__xludf.DUMMYFUNCTION("IFERROR(VLOOKUP(F292,IMPORTRANGE(""https://docs.google.com/spreadsheets/d/1Kvs4KS76FHFqLFIZfrDMff4kP08nblUkihrxltoGBjg/edit#gid=934712705"",""ESENCIAL!A6:BG""),8,FALSE))"),"")</f>
        <v/>
      </c>
      <c r="L275" s="287"/>
      <c r="S275"/>
      <c r="AU275" s="41" t="str">
        <f t="shared" si="36"/>
        <v/>
      </c>
      <c r="AV275" s="5" t="str">
        <f ca="1">IFERROR(__xludf.DUMMYFUNCTION("IFERROR(VLOOKUP(E292&amp;F292,IMPORTRANGE(""https://docs.google.com/spreadsheets/d/1Uw7-A9f9R21vMXxHZFNpYNeKFtG8_yji4HS352LGlSQ/edit?pli=1#gid=0"",""1_ACUM!A4:S""),11,FALSE))"),"")</f>
        <v/>
      </c>
      <c r="AW275" s="42" t="str">
        <f ca="1">IFERROR(__xludf.DUMMYFUNCTION("IFERROR(VLOOKUP(F292,IMPORTRANGE(""https://docs.google.com/spreadsheets/d/1Kvs4KS76FHFqLFIZfrDMff4kP08nblUkihrxltoGBjg/edit#gid=934712705"",""ESENCIAL!A6:BG""),15,FALSE))"),"")</f>
        <v/>
      </c>
      <c r="AX275" s="21" t="str">
        <f ca="1">IFERROR(__xludf.DUMMYFUNCTION("IFERROR(VLOOKUP(E292&amp;F292,IMPORTRANGE(""https://docs.google.com/spreadsheets/d/1Uw7-A9f9R21vMXxHZFNpYNeKFtG8_yji4HS352LGlSQ/edit?pli=1#gid=0"",""1_ACUM!A4:S""),12,FALSE))"),"")</f>
        <v/>
      </c>
      <c r="AY275" s="43" t="str">
        <f ca="1">IFERROR(__xludf.DUMMYFUNCTION("IFERROR(VLOOKUP(E292&amp;F292,IMPORTRANGE(""https://docs.google.com/spreadsheets/d/1Uw7-A9f9R21vMXxHZFNpYNeKFtG8_yji4HS352LGlSQ/edit?pli=1#gid=0"",""1_ACUM!A4:S""),13,FALSE))"),"")</f>
        <v/>
      </c>
      <c r="AZ275" s="43" t="str">
        <f ca="1">IFERROR(__xludf.DUMMYFUNCTION("IFERROR(VLOOKUP(E292&amp;F292,IMPORTRANGE(""https://docs.google.com/spreadsheets/d/1Uw7-A9f9R21vMXxHZFNpYNeKFtG8_yji4HS352LGlSQ/edit?pli=1#gid=0"",""1_ACUM!A4:S""),14,FALSE))"),"")</f>
        <v/>
      </c>
      <c r="BA275" s="43" t="str">
        <f ca="1">IFERROR(__xludf.DUMMYFUNCTION("IFERROR(VLOOKUP(E292&amp;F292,IMPORTRANGE(""https://docs.google.com/spreadsheets/d/1Uw7-A9f9R21vMXxHZFNpYNeKFtG8_yji4HS352LGlSQ/edit?pli=1#gid=0"",""1_ACUM!A4:S""),15,FALSE))"),"")</f>
        <v/>
      </c>
      <c r="BB275" s="43" t="str">
        <f ca="1">IFERROR(__xludf.DUMMYFUNCTION("IFERROR(VLOOKUP(E292&amp;F292,IMPORTRANGE(""https://docs.google.com/spreadsheets/d/1Uw7-A9f9R21vMXxHZFNpYNeKFtG8_yji4HS352LGlSQ/edit?pli=1#gid=0"",""1_ACUM!A4:S""),16,FALSE))"),"")</f>
        <v/>
      </c>
      <c r="BC275" s="43" t="str">
        <f ca="1">IFERROR(__xludf.DUMMYFUNCTION("IFERROR(VLOOKUP(E292&amp;F292,IMPORTRANGE(""https://docs.google.com/spreadsheets/d/1Uw7-A9f9R21vMXxHZFNpYNeKFtG8_yji4HS352LGlSQ/edit?pli=1#gid=0"",""1_ACUM!A4:S""),17,FALSE))"),"")</f>
        <v/>
      </c>
      <c r="BD275" s="44" t="str">
        <f ca="1">IFERROR(__xludf.DUMMYFUNCTION("IFERROR(VLOOKUP(E292&amp;F292,IMPORTRANGE(""https://docs.google.com/spreadsheets/d/1Uw7-A9f9R21vMXxHZFNpYNeKFtG8_yji4HS352LGlSQ/edit?pli=1#gid=0"",""1_ACUM!A4:S""),18,FALSE))"),"")</f>
        <v/>
      </c>
      <c r="BE275" s="44" t="str">
        <f ca="1">IFERROR(__xludf.DUMMYFUNCTION("IFERROR(VLOOKUP(E292&amp;F292,IMPORTRANGE(""https://docs.google.com/spreadsheets/d/1Uw7-A9f9R21vMXxHZFNpYNeKFtG8_yji4HS352LGlSQ/edit?pli=1#gid=0"",""1_ACUM!A4:S""),19,FALSE))"),"")</f>
        <v/>
      </c>
      <c r="BF275" s="44" t="str">
        <f ca="1">IFERROR(__xludf.DUMMYFUNCTION("IFERROR(VLOOKUP(F292,IMPORTRANGE(""https://docs.google.com/spreadsheets/d/1Kvs4KS76FHFqLFIZfrDMff4kP08nblUkihrxltoGBjg/edit#gid=934712705"",""ESENCIAL!A6:BG""),5,FALSE))"),"")</f>
        <v/>
      </c>
      <c r="BG275" s="44" t="str">
        <f t="shared" si="37"/>
        <v/>
      </c>
      <c r="BH275" s="41" t="str">
        <f t="shared" si="38"/>
        <v/>
      </c>
      <c r="BI275" s="41" t="str">
        <f ca="1">IFERROR(__xludf.DUMMYFUNCTION("IFERROR(VLOOKUP(F292,IMPORTRANGE(""https://docs.google.com/spreadsheets/d/1Kvs4KS76FHFqLFIZfrDMff4kP08nblUkihrxltoGBjg/edit#gid=934712705"",""ESENCIAL!A6:BG""),18,FALSE))"),"")</f>
        <v/>
      </c>
      <c r="BJ275" s="19" t="str">
        <f t="shared" si="39"/>
        <v/>
      </c>
      <c r="BK275" s="41"/>
      <c r="BL275" s="41"/>
    </row>
    <row r="276" spans="1:64" ht="15">
      <c r="A276" s="4"/>
      <c r="B276" s="4"/>
      <c r="G276" s="5" t="str">
        <f ca="1">IFERROR(__xludf.DUMMYFUNCTION("IFERROR(VLOOKUP(F293,IMPORTRANGE(""https://docs.google.com/spreadsheets/d/1Kvs4KS76FHFqLFIZfrDMff4kP08nblUkihrxltoGBjg/edit#gid=934712705"",""ESENCIAL!A6:BG""),3,FALSE))"),"")</f>
        <v/>
      </c>
      <c r="H276" s="5" t="str">
        <f ca="1">IFERROR(__xludf.DUMMYFUNCTION("IFERROR(VLOOKUP(F293,IMPORTRANGE(""https://docs.google.com/spreadsheets/d/1Kvs4KS76FHFqLFIZfrDMff4kP08nblUkihrxltoGBjg/edit#gid=934712705"",""ESENCIAL!A6:BG""),8,FALSE))"),"")</f>
        <v/>
      </c>
      <c r="L276" s="287"/>
      <c r="S276"/>
      <c r="AU276" s="41" t="str">
        <f t="shared" si="36"/>
        <v/>
      </c>
      <c r="AV276" s="5" t="str">
        <f ca="1">IFERROR(__xludf.DUMMYFUNCTION("IFERROR(VLOOKUP(E293&amp;F293,IMPORTRANGE(""https://docs.google.com/spreadsheets/d/1Uw7-A9f9R21vMXxHZFNpYNeKFtG8_yji4HS352LGlSQ/edit?pli=1#gid=0"",""1_ACUM!A4:S""),11,FALSE))"),"")</f>
        <v/>
      </c>
      <c r="AW276" s="42" t="str">
        <f ca="1">IFERROR(__xludf.DUMMYFUNCTION("IFERROR(VLOOKUP(F293,IMPORTRANGE(""https://docs.google.com/spreadsheets/d/1Kvs4KS76FHFqLFIZfrDMff4kP08nblUkihrxltoGBjg/edit#gid=934712705"",""ESENCIAL!A6:BG""),15,FALSE))"),"")</f>
        <v/>
      </c>
      <c r="AX276" s="21" t="str">
        <f ca="1">IFERROR(__xludf.DUMMYFUNCTION("IFERROR(VLOOKUP(E293&amp;F293,IMPORTRANGE(""https://docs.google.com/spreadsheets/d/1Uw7-A9f9R21vMXxHZFNpYNeKFtG8_yji4HS352LGlSQ/edit?pli=1#gid=0"",""1_ACUM!A4:S""),12,FALSE))"),"")</f>
        <v/>
      </c>
      <c r="AY276" s="43" t="str">
        <f ca="1">IFERROR(__xludf.DUMMYFUNCTION("IFERROR(VLOOKUP(E293&amp;F293,IMPORTRANGE(""https://docs.google.com/spreadsheets/d/1Uw7-A9f9R21vMXxHZFNpYNeKFtG8_yji4HS352LGlSQ/edit?pli=1#gid=0"",""1_ACUM!A4:S""),13,FALSE))"),"")</f>
        <v/>
      </c>
      <c r="AZ276" s="43" t="str">
        <f ca="1">IFERROR(__xludf.DUMMYFUNCTION("IFERROR(VLOOKUP(E293&amp;F293,IMPORTRANGE(""https://docs.google.com/spreadsheets/d/1Uw7-A9f9R21vMXxHZFNpYNeKFtG8_yji4HS352LGlSQ/edit?pli=1#gid=0"",""1_ACUM!A4:S""),14,FALSE))"),"")</f>
        <v/>
      </c>
      <c r="BA276" s="43" t="str">
        <f ca="1">IFERROR(__xludf.DUMMYFUNCTION("IFERROR(VLOOKUP(E293&amp;F293,IMPORTRANGE(""https://docs.google.com/spreadsheets/d/1Uw7-A9f9R21vMXxHZFNpYNeKFtG8_yji4HS352LGlSQ/edit?pli=1#gid=0"",""1_ACUM!A4:S""),15,FALSE))"),"")</f>
        <v/>
      </c>
      <c r="BB276" s="43" t="str">
        <f ca="1">IFERROR(__xludf.DUMMYFUNCTION("IFERROR(VLOOKUP(E293&amp;F293,IMPORTRANGE(""https://docs.google.com/spreadsheets/d/1Uw7-A9f9R21vMXxHZFNpYNeKFtG8_yji4HS352LGlSQ/edit?pli=1#gid=0"",""1_ACUM!A4:S""),16,FALSE))"),"")</f>
        <v/>
      </c>
      <c r="BC276" s="43" t="str">
        <f ca="1">IFERROR(__xludf.DUMMYFUNCTION("IFERROR(VLOOKUP(E293&amp;F293,IMPORTRANGE(""https://docs.google.com/spreadsheets/d/1Uw7-A9f9R21vMXxHZFNpYNeKFtG8_yji4HS352LGlSQ/edit?pli=1#gid=0"",""1_ACUM!A4:S""),17,FALSE))"),"")</f>
        <v/>
      </c>
      <c r="BD276" s="44" t="str">
        <f ca="1">IFERROR(__xludf.DUMMYFUNCTION("IFERROR(VLOOKUP(E293&amp;F293,IMPORTRANGE(""https://docs.google.com/spreadsheets/d/1Uw7-A9f9R21vMXxHZFNpYNeKFtG8_yji4HS352LGlSQ/edit?pli=1#gid=0"",""1_ACUM!A4:S""),18,FALSE))"),"")</f>
        <v/>
      </c>
      <c r="BE276" s="44" t="str">
        <f ca="1">IFERROR(__xludf.DUMMYFUNCTION("IFERROR(VLOOKUP(E293&amp;F293,IMPORTRANGE(""https://docs.google.com/spreadsheets/d/1Uw7-A9f9R21vMXxHZFNpYNeKFtG8_yji4HS352LGlSQ/edit?pli=1#gid=0"",""1_ACUM!A4:S""),19,FALSE))"),"")</f>
        <v/>
      </c>
      <c r="BF276" s="44" t="str">
        <f ca="1">IFERROR(__xludf.DUMMYFUNCTION("IFERROR(VLOOKUP(F293,IMPORTRANGE(""https://docs.google.com/spreadsheets/d/1Kvs4KS76FHFqLFIZfrDMff4kP08nblUkihrxltoGBjg/edit#gid=934712705"",""ESENCIAL!A6:BG""),5,FALSE))"),"")</f>
        <v/>
      </c>
      <c r="BG276" s="44" t="str">
        <f t="shared" si="37"/>
        <v/>
      </c>
      <c r="BH276" s="41" t="str">
        <f t="shared" si="38"/>
        <v/>
      </c>
      <c r="BI276" s="41" t="str">
        <f ca="1">IFERROR(__xludf.DUMMYFUNCTION("IFERROR(VLOOKUP(F293,IMPORTRANGE(""https://docs.google.com/spreadsheets/d/1Kvs4KS76FHFqLFIZfrDMff4kP08nblUkihrxltoGBjg/edit#gid=934712705"",""ESENCIAL!A6:BG""),18,FALSE))"),"")</f>
        <v/>
      </c>
      <c r="BJ276" s="19" t="str">
        <f t="shared" si="39"/>
        <v/>
      </c>
      <c r="BK276" s="41"/>
      <c r="BL276" s="41"/>
    </row>
    <row r="277" spans="1:64" ht="15">
      <c r="A277" s="4"/>
      <c r="B277" s="4"/>
      <c r="G277" s="5" t="str">
        <f ca="1">IFERROR(__xludf.DUMMYFUNCTION("IFERROR(VLOOKUP(F294,IMPORTRANGE(""https://docs.google.com/spreadsheets/d/1Kvs4KS76FHFqLFIZfrDMff4kP08nblUkihrxltoGBjg/edit#gid=934712705"",""ESENCIAL!A6:BG""),3,FALSE))"),"")</f>
        <v/>
      </c>
      <c r="H277" s="5" t="str">
        <f ca="1">IFERROR(__xludf.DUMMYFUNCTION("IFERROR(VLOOKUP(F294,IMPORTRANGE(""https://docs.google.com/spreadsheets/d/1Kvs4KS76FHFqLFIZfrDMff4kP08nblUkihrxltoGBjg/edit#gid=934712705"",""ESENCIAL!A6:BG""),8,FALSE))"),"")</f>
        <v/>
      </c>
      <c r="L277" s="287"/>
      <c r="S277"/>
      <c r="AU277" s="41" t="str">
        <f t="shared" si="36"/>
        <v/>
      </c>
      <c r="AV277" s="5" t="str">
        <f ca="1">IFERROR(__xludf.DUMMYFUNCTION("IFERROR(VLOOKUP(E294&amp;F294,IMPORTRANGE(""https://docs.google.com/spreadsheets/d/1Uw7-A9f9R21vMXxHZFNpYNeKFtG8_yji4HS352LGlSQ/edit?pli=1#gid=0"",""1_ACUM!A4:S""),11,FALSE))"),"")</f>
        <v/>
      </c>
      <c r="AW277" s="42" t="str">
        <f ca="1">IFERROR(__xludf.DUMMYFUNCTION("IFERROR(VLOOKUP(F294,IMPORTRANGE(""https://docs.google.com/spreadsheets/d/1Kvs4KS76FHFqLFIZfrDMff4kP08nblUkihrxltoGBjg/edit#gid=934712705"",""ESENCIAL!A6:BG""),15,FALSE))"),"")</f>
        <v/>
      </c>
      <c r="AX277" s="21" t="str">
        <f ca="1">IFERROR(__xludf.DUMMYFUNCTION("IFERROR(VLOOKUP(E294&amp;F294,IMPORTRANGE(""https://docs.google.com/spreadsheets/d/1Uw7-A9f9R21vMXxHZFNpYNeKFtG8_yji4HS352LGlSQ/edit?pli=1#gid=0"",""1_ACUM!A4:S""),12,FALSE))"),"")</f>
        <v/>
      </c>
      <c r="AY277" s="43" t="str">
        <f ca="1">IFERROR(__xludf.DUMMYFUNCTION("IFERROR(VLOOKUP(E294&amp;F294,IMPORTRANGE(""https://docs.google.com/spreadsheets/d/1Uw7-A9f9R21vMXxHZFNpYNeKFtG8_yji4HS352LGlSQ/edit?pli=1#gid=0"",""1_ACUM!A4:S""),13,FALSE))"),"")</f>
        <v/>
      </c>
      <c r="AZ277" s="43" t="str">
        <f ca="1">IFERROR(__xludf.DUMMYFUNCTION("IFERROR(VLOOKUP(E294&amp;F294,IMPORTRANGE(""https://docs.google.com/spreadsheets/d/1Uw7-A9f9R21vMXxHZFNpYNeKFtG8_yji4HS352LGlSQ/edit?pli=1#gid=0"",""1_ACUM!A4:S""),14,FALSE))"),"")</f>
        <v/>
      </c>
      <c r="BA277" s="43" t="str">
        <f ca="1">IFERROR(__xludf.DUMMYFUNCTION("IFERROR(VLOOKUP(E294&amp;F294,IMPORTRANGE(""https://docs.google.com/spreadsheets/d/1Uw7-A9f9R21vMXxHZFNpYNeKFtG8_yji4HS352LGlSQ/edit?pli=1#gid=0"",""1_ACUM!A4:S""),15,FALSE))"),"")</f>
        <v/>
      </c>
      <c r="BB277" s="43" t="str">
        <f ca="1">IFERROR(__xludf.DUMMYFUNCTION("IFERROR(VLOOKUP(E294&amp;F294,IMPORTRANGE(""https://docs.google.com/spreadsheets/d/1Uw7-A9f9R21vMXxHZFNpYNeKFtG8_yji4HS352LGlSQ/edit?pli=1#gid=0"",""1_ACUM!A4:S""),16,FALSE))"),"")</f>
        <v/>
      </c>
      <c r="BC277" s="43" t="str">
        <f ca="1">IFERROR(__xludf.DUMMYFUNCTION("IFERROR(VLOOKUP(E294&amp;F294,IMPORTRANGE(""https://docs.google.com/spreadsheets/d/1Uw7-A9f9R21vMXxHZFNpYNeKFtG8_yji4HS352LGlSQ/edit?pli=1#gid=0"",""1_ACUM!A4:S""),17,FALSE))"),"")</f>
        <v/>
      </c>
      <c r="BD277" s="44" t="str">
        <f ca="1">IFERROR(__xludf.DUMMYFUNCTION("IFERROR(VLOOKUP(E294&amp;F294,IMPORTRANGE(""https://docs.google.com/spreadsheets/d/1Uw7-A9f9R21vMXxHZFNpYNeKFtG8_yji4HS352LGlSQ/edit?pli=1#gid=0"",""1_ACUM!A4:S""),18,FALSE))"),"")</f>
        <v/>
      </c>
      <c r="BE277" s="44" t="str">
        <f ca="1">IFERROR(__xludf.DUMMYFUNCTION("IFERROR(VLOOKUP(E294&amp;F294,IMPORTRANGE(""https://docs.google.com/spreadsheets/d/1Uw7-A9f9R21vMXxHZFNpYNeKFtG8_yji4HS352LGlSQ/edit?pli=1#gid=0"",""1_ACUM!A4:S""),19,FALSE))"),"")</f>
        <v/>
      </c>
      <c r="BF277" s="44" t="str">
        <f ca="1">IFERROR(__xludf.DUMMYFUNCTION("IFERROR(VLOOKUP(F294,IMPORTRANGE(""https://docs.google.com/spreadsheets/d/1Kvs4KS76FHFqLFIZfrDMff4kP08nblUkihrxltoGBjg/edit#gid=934712705"",""ESENCIAL!A6:BG""),5,FALSE))"),"")</f>
        <v/>
      </c>
      <c r="BG277" s="44" t="str">
        <f t="shared" si="37"/>
        <v/>
      </c>
      <c r="BH277" s="41" t="str">
        <f t="shared" si="38"/>
        <v/>
      </c>
      <c r="BI277" s="41" t="str">
        <f ca="1">IFERROR(__xludf.DUMMYFUNCTION("IFERROR(VLOOKUP(F294,IMPORTRANGE(""https://docs.google.com/spreadsheets/d/1Kvs4KS76FHFqLFIZfrDMff4kP08nblUkihrxltoGBjg/edit#gid=934712705"",""ESENCIAL!A6:BG""),18,FALSE))"),"")</f>
        <v/>
      </c>
      <c r="BJ277" s="19" t="str">
        <f t="shared" si="39"/>
        <v/>
      </c>
      <c r="BK277" s="41"/>
      <c r="BL277" s="41"/>
    </row>
    <row r="278" spans="1:64" ht="15">
      <c r="A278" s="4"/>
      <c r="B278" s="4"/>
      <c r="G278" s="5" t="str">
        <f ca="1">IFERROR(__xludf.DUMMYFUNCTION("IFERROR(VLOOKUP(F295,IMPORTRANGE(""https://docs.google.com/spreadsheets/d/1Kvs4KS76FHFqLFIZfrDMff4kP08nblUkihrxltoGBjg/edit#gid=934712705"",""ESENCIAL!A6:BG""),3,FALSE))"),"")</f>
        <v/>
      </c>
      <c r="H278" s="5" t="str">
        <f ca="1">IFERROR(__xludf.DUMMYFUNCTION("IFERROR(VLOOKUP(F295,IMPORTRANGE(""https://docs.google.com/spreadsheets/d/1Kvs4KS76FHFqLFIZfrDMff4kP08nblUkihrxltoGBjg/edit#gid=934712705"",""ESENCIAL!A6:BG""),8,FALSE))"),"")</f>
        <v/>
      </c>
      <c r="L278" s="287"/>
      <c r="S278"/>
      <c r="AU278" s="41" t="str">
        <f t="shared" si="36"/>
        <v/>
      </c>
      <c r="AV278" s="5" t="str">
        <f ca="1">IFERROR(__xludf.DUMMYFUNCTION("IFERROR(VLOOKUP(E295&amp;F295,IMPORTRANGE(""https://docs.google.com/spreadsheets/d/1Uw7-A9f9R21vMXxHZFNpYNeKFtG8_yji4HS352LGlSQ/edit?pli=1#gid=0"",""1_ACUM!A4:S""),11,FALSE))"),"")</f>
        <v/>
      </c>
      <c r="AW278" s="42" t="str">
        <f ca="1">IFERROR(__xludf.DUMMYFUNCTION("IFERROR(VLOOKUP(F295,IMPORTRANGE(""https://docs.google.com/spreadsheets/d/1Kvs4KS76FHFqLFIZfrDMff4kP08nblUkihrxltoGBjg/edit#gid=934712705"",""ESENCIAL!A6:BG""),15,FALSE))"),"")</f>
        <v/>
      </c>
      <c r="AX278" s="21" t="str">
        <f ca="1">IFERROR(__xludf.DUMMYFUNCTION("IFERROR(VLOOKUP(E295&amp;F295,IMPORTRANGE(""https://docs.google.com/spreadsheets/d/1Uw7-A9f9R21vMXxHZFNpYNeKFtG8_yji4HS352LGlSQ/edit?pli=1#gid=0"",""1_ACUM!A4:S""),12,FALSE))"),"")</f>
        <v/>
      </c>
      <c r="AY278" s="43" t="str">
        <f ca="1">IFERROR(__xludf.DUMMYFUNCTION("IFERROR(VLOOKUP(E295&amp;F295,IMPORTRANGE(""https://docs.google.com/spreadsheets/d/1Uw7-A9f9R21vMXxHZFNpYNeKFtG8_yji4HS352LGlSQ/edit?pli=1#gid=0"",""1_ACUM!A4:S""),13,FALSE))"),"")</f>
        <v/>
      </c>
      <c r="AZ278" s="43" t="str">
        <f ca="1">IFERROR(__xludf.DUMMYFUNCTION("IFERROR(VLOOKUP(E295&amp;F295,IMPORTRANGE(""https://docs.google.com/spreadsheets/d/1Uw7-A9f9R21vMXxHZFNpYNeKFtG8_yji4HS352LGlSQ/edit?pli=1#gid=0"",""1_ACUM!A4:S""),14,FALSE))"),"")</f>
        <v/>
      </c>
      <c r="BA278" s="43" t="str">
        <f ca="1">IFERROR(__xludf.DUMMYFUNCTION("IFERROR(VLOOKUP(E295&amp;F295,IMPORTRANGE(""https://docs.google.com/spreadsheets/d/1Uw7-A9f9R21vMXxHZFNpYNeKFtG8_yji4HS352LGlSQ/edit?pli=1#gid=0"",""1_ACUM!A4:S""),15,FALSE))"),"")</f>
        <v/>
      </c>
      <c r="BB278" s="43" t="str">
        <f ca="1">IFERROR(__xludf.DUMMYFUNCTION("IFERROR(VLOOKUP(E295&amp;F295,IMPORTRANGE(""https://docs.google.com/spreadsheets/d/1Uw7-A9f9R21vMXxHZFNpYNeKFtG8_yji4HS352LGlSQ/edit?pli=1#gid=0"",""1_ACUM!A4:S""),16,FALSE))"),"")</f>
        <v/>
      </c>
      <c r="BC278" s="43" t="str">
        <f ca="1">IFERROR(__xludf.DUMMYFUNCTION("IFERROR(VLOOKUP(E295&amp;F295,IMPORTRANGE(""https://docs.google.com/spreadsheets/d/1Uw7-A9f9R21vMXxHZFNpYNeKFtG8_yji4HS352LGlSQ/edit?pli=1#gid=0"",""1_ACUM!A4:S""),17,FALSE))"),"")</f>
        <v/>
      </c>
      <c r="BD278" s="44" t="str">
        <f ca="1">IFERROR(__xludf.DUMMYFUNCTION("IFERROR(VLOOKUP(E295&amp;F295,IMPORTRANGE(""https://docs.google.com/spreadsheets/d/1Uw7-A9f9R21vMXxHZFNpYNeKFtG8_yji4HS352LGlSQ/edit?pli=1#gid=0"",""1_ACUM!A4:S""),18,FALSE))"),"")</f>
        <v/>
      </c>
      <c r="BE278" s="44" t="str">
        <f ca="1">IFERROR(__xludf.DUMMYFUNCTION("IFERROR(VLOOKUP(E295&amp;F295,IMPORTRANGE(""https://docs.google.com/spreadsheets/d/1Uw7-A9f9R21vMXxHZFNpYNeKFtG8_yji4HS352LGlSQ/edit?pli=1#gid=0"",""1_ACUM!A4:S""),19,FALSE))"),"")</f>
        <v/>
      </c>
      <c r="BF278" s="44" t="str">
        <f ca="1">IFERROR(__xludf.DUMMYFUNCTION("IFERROR(VLOOKUP(F295,IMPORTRANGE(""https://docs.google.com/spreadsheets/d/1Kvs4KS76FHFqLFIZfrDMff4kP08nblUkihrxltoGBjg/edit#gid=934712705"",""ESENCIAL!A6:BG""),5,FALSE))"),"")</f>
        <v/>
      </c>
      <c r="BG278" s="44" t="str">
        <f t="shared" si="37"/>
        <v/>
      </c>
      <c r="BH278" s="41" t="str">
        <f t="shared" si="38"/>
        <v/>
      </c>
      <c r="BI278" s="41" t="str">
        <f ca="1">IFERROR(__xludf.DUMMYFUNCTION("IFERROR(VLOOKUP(F295,IMPORTRANGE(""https://docs.google.com/spreadsheets/d/1Kvs4KS76FHFqLFIZfrDMff4kP08nblUkihrxltoGBjg/edit#gid=934712705"",""ESENCIAL!A6:BG""),18,FALSE))"),"")</f>
        <v/>
      </c>
      <c r="BJ278" s="19" t="str">
        <f t="shared" si="39"/>
        <v/>
      </c>
      <c r="BK278" s="41"/>
      <c r="BL278" s="41"/>
    </row>
    <row r="279" spans="1:64" ht="15">
      <c r="A279" s="4"/>
      <c r="B279" s="4"/>
      <c r="G279" s="5" t="str">
        <f ca="1">IFERROR(__xludf.DUMMYFUNCTION("IFERROR(VLOOKUP(F296,IMPORTRANGE(""https://docs.google.com/spreadsheets/d/1Kvs4KS76FHFqLFIZfrDMff4kP08nblUkihrxltoGBjg/edit#gid=934712705"",""ESENCIAL!A6:BG""),3,FALSE))"),"")</f>
        <v/>
      </c>
      <c r="H279" s="5" t="str">
        <f ca="1">IFERROR(__xludf.DUMMYFUNCTION("IFERROR(VLOOKUP(F296,IMPORTRANGE(""https://docs.google.com/spreadsheets/d/1Kvs4KS76FHFqLFIZfrDMff4kP08nblUkihrxltoGBjg/edit#gid=934712705"",""ESENCIAL!A6:BG""),8,FALSE))"),"")</f>
        <v/>
      </c>
      <c r="L279" s="287"/>
      <c r="S279"/>
      <c r="AU279" s="41" t="str">
        <f t="shared" si="36"/>
        <v/>
      </c>
      <c r="AV279" s="5" t="str">
        <f ca="1">IFERROR(__xludf.DUMMYFUNCTION("IFERROR(VLOOKUP(E296&amp;F296,IMPORTRANGE(""https://docs.google.com/spreadsheets/d/1Uw7-A9f9R21vMXxHZFNpYNeKFtG8_yji4HS352LGlSQ/edit?pli=1#gid=0"",""1_ACUM!A4:S""),11,FALSE))"),"")</f>
        <v/>
      </c>
      <c r="AW279" s="42" t="str">
        <f ca="1">IFERROR(__xludf.DUMMYFUNCTION("IFERROR(VLOOKUP(F296,IMPORTRANGE(""https://docs.google.com/spreadsheets/d/1Kvs4KS76FHFqLFIZfrDMff4kP08nblUkihrxltoGBjg/edit#gid=934712705"",""ESENCIAL!A6:BG""),15,FALSE))"),"")</f>
        <v/>
      </c>
      <c r="AX279" s="21" t="str">
        <f ca="1">IFERROR(__xludf.DUMMYFUNCTION("IFERROR(VLOOKUP(E296&amp;F296,IMPORTRANGE(""https://docs.google.com/spreadsheets/d/1Uw7-A9f9R21vMXxHZFNpYNeKFtG8_yji4HS352LGlSQ/edit?pli=1#gid=0"",""1_ACUM!A4:S""),12,FALSE))"),"")</f>
        <v/>
      </c>
      <c r="AY279" s="43" t="str">
        <f ca="1">IFERROR(__xludf.DUMMYFUNCTION("IFERROR(VLOOKUP(E296&amp;F296,IMPORTRANGE(""https://docs.google.com/spreadsheets/d/1Uw7-A9f9R21vMXxHZFNpYNeKFtG8_yji4HS352LGlSQ/edit?pli=1#gid=0"",""1_ACUM!A4:S""),13,FALSE))"),"")</f>
        <v/>
      </c>
      <c r="AZ279" s="43" t="str">
        <f ca="1">IFERROR(__xludf.DUMMYFUNCTION("IFERROR(VLOOKUP(E296&amp;F296,IMPORTRANGE(""https://docs.google.com/spreadsheets/d/1Uw7-A9f9R21vMXxHZFNpYNeKFtG8_yji4HS352LGlSQ/edit?pli=1#gid=0"",""1_ACUM!A4:S""),14,FALSE))"),"")</f>
        <v/>
      </c>
      <c r="BA279" s="43" t="str">
        <f ca="1">IFERROR(__xludf.DUMMYFUNCTION("IFERROR(VLOOKUP(E296&amp;F296,IMPORTRANGE(""https://docs.google.com/spreadsheets/d/1Uw7-A9f9R21vMXxHZFNpYNeKFtG8_yji4HS352LGlSQ/edit?pli=1#gid=0"",""1_ACUM!A4:S""),15,FALSE))"),"")</f>
        <v/>
      </c>
      <c r="BB279" s="43" t="str">
        <f ca="1">IFERROR(__xludf.DUMMYFUNCTION("IFERROR(VLOOKUP(E296&amp;F296,IMPORTRANGE(""https://docs.google.com/spreadsheets/d/1Uw7-A9f9R21vMXxHZFNpYNeKFtG8_yji4HS352LGlSQ/edit?pli=1#gid=0"",""1_ACUM!A4:S""),16,FALSE))"),"")</f>
        <v/>
      </c>
      <c r="BC279" s="43" t="str">
        <f ca="1">IFERROR(__xludf.DUMMYFUNCTION("IFERROR(VLOOKUP(E296&amp;F296,IMPORTRANGE(""https://docs.google.com/spreadsheets/d/1Uw7-A9f9R21vMXxHZFNpYNeKFtG8_yji4HS352LGlSQ/edit?pli=1#gid=0"",""1_ACUM!A4:S""),17,FALSE))"),"")</f>
        <v/>
      </c>
      <c r="BD279" s="44" t="str">
        <f ca="1">IFERROR(__xludf.DUMMYFUNCTION("IFERROR(VLOOKUP(E296&amp;F296,IMPORTRANGE(""https://docs.google.com/spreadsheets/d/1Uw7-A9f9R21vMXxHZFNpYNeKFtG8_yji4HS352LGlSQ/edit?pli=1#gid=0"",""1_ACUM!A4:S""),18,FALSE))"),"")</f>
        <v/>
      </c>
      <c r="BE279" s="44" t="str">
        <f ca="1">IFERROR(__xludf.DUMMYFUNCTION("IFERROR(VLOOKUP(E296&amp;F296,IMPORTRANGE(""https://docs.google.com/spreadsheets/d/1Uw7-A9f9R21vMXxHZFNpYNeKFtG8_yji4HS352LGlSQ/edit?pli=1#gid=0"",""1_ACUM!A4:S""),19,FALSE))"),"")</f>
        <v/>
      </c>
      <c r="BF279" s="44" t="str">
        <f ca="1">IFERROR(__xludf.DUMMYFUNCTION("IFERROR(VLOOKUP(F296,IMPORTRANGE(""https://docs.google.com/spreadsheets/d/1Kvs4KS76FHFqLFIZfrDMff4kP08nblUkihrxltoGBjg/edit#gid=934712705"",""ESENCIAL!A6:BG""),5,FALSE))"),"")</f>
        <v/>
      </c>
      <c r="BG279" s="44" t="str">
        <f t="shared" si="37"/>
        <v/>
      </c>
      <c r="BH279" s="41" t="str">
        <f t="shared" si="38"/>
        <v/>
      </c>
      <c r="BI279" s="41" t="str">
        <f ca="1">IFERROR(__xludf.DUMMYFUNCTION("IFERROR(VLOOKUP(F296,IMPORTRANGE(""https://docs.google.com/spreadsheets/d/1Kvs4KS76FHFqLFIZfrDMff4kP08nblUkihrxltoGBjg/edit#gid=934712705"",""ESENCIAL!A6:BG""),18,FALSE))"),"")</f>
        <v/>
      </c>
      <c r="BJ279" s="19" t="str">
        <f t="shared" si="39"/>
        <v/>
      </c>
      <c r="BK279" s="41"/>
      <c r="BL279" s="41"/>
    </row>
    <row r="280" spans="1:64" ht="15">
      <c r="A280" s="4"/>
      <c r="B280" s="4"/>
      <c r="G280" s="5" t="str">
        <f ca="1">IFERROR(__xludf.DUMMYFUNCTION("IFERROR(VLOOKUP(F297,IMPORTRANGE(""https://docs.google.com/spreadsheets/d/1Kvs4KS76FHFqLFIZfrDMff4kP08nblUkihrxltoGBjg/edit#gid=934712705"",""ESENCIAL!A6:BG""),3,FALSE))"),"")</f>
        <v/>
      </c>
      <c r="H280" s="5" t="str">
        <f ca="1">IFERROR(__xludf.DUMMYFUNCTION("IFERROR(VLOOKUP(F297,IMPORTRANGE(""https://docs.google.com/spreadsheets/d/1Kvs4KS76FHFqLFIZfrDMff4kP08nblUkihrxltoGBjg/edit#gid=934712705"",""ESENCIAL!A6:BG""),8,FALSE))"),"")</f>
        <v/>
      </c>
      <c r="L280" s="287"/>
      <c r="S280"/>
      <c r="AU280" s="41" t="str">
        <f t="shared" si="36"/>
        <v/>
      </c>
      <c r="AV280" s="5" t="str">
        <f ca="1">IFERROR(__xludf.DUMMYFUNCTION("IFERROR(VLOOKUP(E297&amp;F297,IMPORTRANGE(""https://docs.google.com/spreadsheets/d/1Uw7-A9f9R21vMXxHZFNpYNeKFtG8_yji4HS352LGlSQ/edit?pli=1#gid=0"",""1_ACUM!A4:S""),11,FALSE))"),"")</f>
        <v/>
      </c>
      <c r="AW280" s="42" t="str">
        <f ca="1">IFERROR(__xludf.DUMMYFUNCTION("IFERROR(VLOOKUP(F297,IMPORTRANGE(""https://docs.google.com/spreadsheets/d/1Kvs4KS76FHFqLFIZfrDMff4kP08nblUkihrxltoGBjg/edit#gid=934712705"",""ESENCIAL!A6:BG""),15,FALSE))"),"")</f>
        <v/>
      </c>
      <c r="AX280" s="21" t="str">
        <f ca="1">IFERROR(__xludf.DUMMYFUNCTION("IFERROR(VLOOKUP(E297&amp;F297,IMPORTRANGE(""https://docs.google.com/spreadsheets/d/1Uw7-A9f9R21vMXxHZFNpYNeKFtG8_yji4HS352LGlSQ/edit?pli=1#gid=0"",""1_ACUM!A4:S""),12,FALSE))"),"")</f>
        <v/>
      </c>
      <c r="AY280" s="43" t="str">
        <f ca="1">IFERROR(__xludf.DUMMYFUNCTION("IFERROR(VLOOKUP(E297&amp;F297,IMPORTRANGE(""https://docs.google.com/spreadsheets/d/1Uw7-A9f9R21vMXxHZFNpYNeKFtG8_yji4HS352LGlSQ/edit?pli=1#gid=0"",""1_ACUM!A4:S""),13,FALSE))"),"")</f>
        <v/>
      </c>
      <c r="AZ280" s="43" t="str">
        <f ca="1">IFERROR(__xludf.DUMMYFUNCTION("IFERROR(VLOOKUP(E297&amp;F297,IMPORTRANGE(""https://docs.google.com/spreadsheets/d/1Uw7-A9f9R21vMXxHZFNpYNeKFtG8_yji4HS352LGlSQ/edit?pli=1#gid=0"",""1_ACUM!A4:S""),14,FALSE))"),"")</f>
        <v/>
      </c>
      <c r="BA280" s="43" t="str">
        <f ca="1">IFERROR(__xludf.DUMMYFUNCTION("IFERROR(VLOOKUP(E297&amp;F297,IMPORTRANGE(""https://docs.google.com/spreadsheets/d/1Uw7-A9f9R21vMXxHZFNpYNeKFtG8_yji4HS352LGlSQ/edit?pli=1#gid=0"",""1_ACUM!A4:S""),15,FALSE))"),"")</f>
        <v/>
      </c>
      <c r="BB280" s="43" t="str">
        <f ca="1">IFERROR(__xludf.DUMMYFUNCTION("IFERROR(VLOOKUP(E297&amp;F297,IMPORTRANGE(""https://docs.google.com/spreadsheets/d/1Uw7-A9f9R21vMXxHZFNpYNeKFtG8_yji4HS352LGlSQ/edit?pli=1#gid=0"",""1_ACUM!A4:S""),16,FALSE))"),"")</f>
        <v/>
      </c>
      <c r="BC280" s="43" t="str">
        <f ca="1">IFERROR(__xludf.DUMMYFUNCTION("IFERROR(VLOOKUP(E297&amp;F297,IMPORTRANGE(""https://docs.google.com/spreadsheets/d/1Uw7-A9f9R21vMXxHZFNpYNeKFtG8_yji4HS352LGlSQ/edit?pli=1#gid=0"",""1_ACUM!A4:S""),17,FALSE))"),"")</f>
        <v/>
      </c>
      <c r="BD280" s="44" t="str">
        <f ca="1">IFERROR(__xludf.DUMMYFUNCTION("IFERROR(VLOOKUP(E297&amp;F297,IMPORTRANGE(""https://docs.google.com/spreadsheets/d/1Uw7-A9f9R21vMXxHZFNpYNeKFtG8_yji4HS352LGlSQ/edit?pli=1#gid=0"",""1_ACUM!A4:S""),18,FALSE))"),"")</f>
        <v/>
      </c>
      <c r="BE280" s="44" t="str">
        <f ca="1">IFERROR(__xludf.DUMMYFUNCTION("IFERROR(VLOOKUP(E297&amp;F297,IMPORTRANGE(""https://docs.google.com/spreadsheets/d/1Uw7-A9f9R21vMXxHZFNpYNeKFtG8_yji4HS352LGlSQ/edit?pli=1#gid=0"",""1_ACUM!A4:S""),19,FALSE))"),"")</f>
        <v/>
      </c>
      <c r="BF280" s="44" t="str">
        <f ca="1">IFERROR(__xludf.DUMMYFUNCTION("IFERROR(VLOOKUP(F297,IMPORTRANGE(""https://docs.google.com/spreadsheets/d/1Kvs4KS76FHFqLFIZfrDMff4kP08nblUkihrxltoGBjg/edit#gid=934712705"",""ESENCIAL!A6:BG""),5,FALSE))"),"")</f>
        <v/>
      </c>
      <c r="BG280" s="44" t="str">
        <f t="shared" si="37"/>
        <v/>
      </c>
      <c r="BH280" s="41" t="str">
        <f t="shared" si="38"/>
        <v/>
      </c>
      <c r="BI280" s="41" t="str">
        <f ca="1">IFERROR(__xludf.DUMMYFUNCTION("IFERROR(VLOOKUP(F297,IMPORTRANGE(""https://docs.google.com/spreadsheets/d/1Kvs4KS76FHFqLFIZfrDMff4kP08nblUkihrxltoGBjg/edit#gid=934712705"",""ESENCIAL!A6:BG""),18,FALSE))"),"")</f>
        <v/>
      </c>
      <c r="BJ280" s="19" t="str">
        <f t="shared" si="39"/>
        <v/>
      </c>
      <c r="BK280" s="41"/>
      <c r="BL280" s="41"/>
    </row>
    <row r="281" spans="1:64" ht="15">
      <c r="A281" s="4"/>
      <c r="B281" s="4"/>
      <c r="G281" s="5" t="str">
        <f ca="1">IFERROR(__xludf.DUMMYFUNCTION("IFERROR(VLOOKUP(F298,IMPORTRANGE(""https://docs.google.com/spreadsheets/d/1Kvs4KS76FHFqLFIZfrDMff4kP08nblUkihrxltoGBjg/edit#gid=934712705"",""ESENCIAL!A6:BG""),3,FALSE))"),"")</f>
        <v/>
      </c>
      <c r="H281" s="5" t="str">
        <f ca="1">IFERROR(__xludf.DUMMYFUNCTION("IFERROR(VLOOKUP(F298,IMPORTRANGE(""https://docs.google.com/spreadsheets/d/1Kvs4KS76FHFqLFIZfrDMff4kP08nblUkihrxltoGBjg/edit#gid=934712705"",""ESENCIAL!A6:BG""),8,FALSE))"),"")</f>
        <v/>
      </c>
      <c r="L281" s="287"/>
      <c r="S281"/>
      <c r="AU281" s="41" t="str">
        <f t="shared" si="36"/>
        <v/>
      </c>
      <c r="AV281" s="5" t="str">
        <f ca="1">IFERROR(__xludf.DUMMYFUNCTION("IFERROR(VLOOKUP(E298&amp;F298,IMPORTRANGE(""https://docs.google.com/spreadsheets/d/1Uw7-A9f9R21vMXxHZFNpYNeKFtG8_yji4HS352LGlSQ/edit?pli=1#gid=0"",""1_ACUM!A4:S""),11,FALSE))"),"")</f>
        <v/>
      </c>
      <c r="AW281" s="42" t="str">
        <f ca="1">IFERROR(__xludf.DUMMYFUNCTION("IFERROR(VLOOKUP(F298,IMPORTRANGE(""https://docs.google.com/spreadsheets/d/1Kvs4KS76FHFqLFIZfrDMff4kP08nblUkihrxltoGBjg/edit#gid=934712705"",""ESENCIAL!A6:BG""),15,FALSE))"),"")</f>
        <v/>
      </c>
      <c r="AX281" s="21" t="str">
        <f ca="1">IFERROR(__xludf.DUMMYFUNCTION("IFERROR(VLOOKUP(E298&amp;F298,IMPORTRANGE(""https://docs.google.com/spreadsheets/d/1Uw7-A9f9R21vMXxHZFNpYNeKFtG8_yji4HS352LGlSQ/edit?pli=1#gid=0"",""1_ACUM!A4:S""),12,FALSE))"),"")</f>
        <v/>
      </c>
      <c r="AY281" s="43" t="str">
        <f ca="1">IFERROR(__xludf.DUMMYFUNCTION("IFERROR(VLOOKUP(E298&amp;F298,IMPORTRANGE(""https://docs.google.com/spreadsheets/d/1Uw7-A9f9R21vMXxHZFNpYNeKFtG8_yji4HS352LGlSQ/edit?pli=1#gid=0"",""1_ACUM!A4:S""),13,FALSE))"),"")</f>
        <v/>
      </c>
      <c r="AZ281" s="43" t="str">
        <f ca="1">IFERROR(__xludf.DUMMYFUNCTION("IFERROR(VLOOKUP(E298&amp;F298,IMPORTRANGE(""https://docs.google.com/spreadsheets/d/1Uw7-A9f9R21vMXxHZFNpYNeKFtG8_yji4HS352LGlSQ/edit?pli=1#gid=0"",""1_ACUM!A4:S""),14,FALSE))"),"")</f>
        <v/>
      </c>
      <c r="BA281" s="43" t="str">
        <f ca="1">IFERROR(__xludf.DUMMYFUNCTION("IFERROR(VLOOKUP(E298&amp;F298,IMPORTRANGE(""https://docs.google.com/spreadsheets/d/1Uw7-A9f9R21vMXxHZFNpYNeKFtG8_yji4HS352LGlSQ/edit?pli=1#gid=0"",""1_ACUM!A4:S""),15,FALSE))"),"")</f>
        <v/>
      </c>
      <c r="BB281" s="43" t="str">
        <f ca="1">IFERROR(__xludf.DUMMYFUNCTION("IFERROR(VLOOKUP(E298&amp;F298,IMPORTRANGE(""https://docs.google.com/spreadsheets/d/1Uw7-A9f9R21vMXxHZFNpYNeKFtG8_yji4HS352LGlSQ/edit?pli=1#gid=0"",""1_ACUM!A4:S""),16,FALSE))"),"")</f>
        <v/>
      </c>
      <c r="BC281" s="43" t="str">
        <f ca="1">IFERROR(__xludf.DUMMYFUNCTION("IFERROR(VLOOKUP(E298&amp;F298,IMPORTRANGE(""https://docs.google.com/spreadsheets/d/1Uw7-A9f9R21vMXxHZFNpYNeKFtG8_yji4HS352LGlSQ/edit?pli=1#gid=0"",""1_ACUM!A4:S""),17,FALSE))"),"")</f>
        <v/>
      </c>
      <c r="BD281" s="44" t="str">
        <f ca="1">IFERROR(__xludf.DUMMYFUNCTION("IFERROR(VLOOKUP(E298&amp;F298,IMPORTRANGE(""https://docs.google.com/spreadsheets/d/1Uw7-A9f9R21vMXxHZFNpYNeKFtG8_yji4HS352LGlSQ/edit?pli=1#gid=0"",""1_ACUM!A4:S""),18,FALSE))"),"")</f>
        <v/>
      </c>
      <c r="BE281" s="44" t="str">
        <f ca="1">IFERROR(__xludf.DUMMYFUNCTION("IFERROR(VLOOKUP(E298&amp;F298,IMPORTRANGE(""https://docs.google.com/spreadsheets/d/1Uw7-A9f9R21vMXxHZFNpYNeKFtG8_yji4HS352LGlSQ/edit?pli=1#gid=0"",""1_ACUM!A4:S""),19,FALSE))"),"")</f>
        <v/>
      </c>
      <c r="BF281" s="44" t="str">
        <f ca="1">IFERROR(__xludf.DUMMYFUNCTION("IFERROR(VLOOKUP(F298,IMPORTRANGE(""https://docs.google.com/spreadsheets/d/1Kvs4KS76FHFqLFIZfrDMff4kP08nblUkihrxltoGBjg/edit#gid=934712705"",""ESENCIAL!A6:BG""),5,FALSE))"),"")</f>
        <v/>
      </c>
      <c r="BG281" s="44" t="str">
        <f t="shared" si="37"/>
        <v/>
      </c>
      <c r="BH281" s="41" t="str">
        <f t="shared" si="38"/>
        <v/>
      </c>
      <c r="BI281" s="41" t="str">
        <f ca="1">IFERROR(__xludf.DUMMYFUNCTION("IFERROR(VLOOKUP(F298,IMPORTRANGE(""https://docs.google.com/spreadsheets/d/1Kvs4KS76FHFqLFIZfrDMff4kP08nblUkihrxltoGBjg/edit#gid=934712705"",""ESENCIAL!A6:BG""),18,FALSE))"),"")</f>
        <v/>
      </c>
      <c r="BJ281" s="19" t="str">
        <f t="shared" si="39"/>
        <v/>
      </c>
      <c r="BK281" s="41"/>
      <c r="BL281" s="41"/>
    </row>
    <row r="282" spans="1:64" ht="15">
      <c r="A282" s="4"/>
      <c r="B282" s="4"/>
      <c r="G282" s="5" t="str">
        <f ca="1">IFERROR(__xludf.DUMMYFUNCTION("IFERROR(VLOOKUP(F299,IMPORTRANGE(""https://docs.google.com/spreadsheets/d/1Kvs4KS76FHFqLFIZfrDMff4kP08nblUkihrxltoGBjg/edit#gid=934712705"",""ESENCIAL!A6:BG""),3,FALSE))"),"")</f>
        <v/>
      </c>
      <c r="H282" s="5" t="str">
        <f ca="1">IFERROR(__xludf.DUMMYFUNCTION("IFERROR(VLOOKUP(F299,IMPORTRANGE(""https://docs.google.com/spreadsheets/d/1Kvs4KS76FHFqLFIZfrDMff4kP08nblUkihrxltoGBjg/edit#gid=934712705"",""ESENCIAL!A6:BG""),8,FALSE))"),"")</f>
        <v/>
      </c>
      <c r="L282" s="287"/>
      <c r="S282"/>
      <c r="AU282" s="41" t="str">
        <f t="shared" si="36"/>
        <v/>
      </c>
      <c r="AV282" s="5" t="str">
        <f ca="1">IFERROR(__xludf.DUMMYFUNCTION("IFERROR(VLOOKUP(E299&amp;F299,IMPORTRANGE(""https://docs.google.com/spreadsheets/d/1Uw7-A9f9R21vMXxHZFNpYNeKFtG8_yji4HS352LGlSQ/edit?pli=1#gid=0"",""1_ACUM!A4:S""),11,FALSE))"),"")</f>
        <v/>
      </c>
      <c r="AW282" s="42" t="str">
        <f ca="1">IFERROR(__xludf.DUMMYFUNCTION("IFERROR(VLOOKUP(F299,IMPORTRANGE(""https://docs.google.com/spreadsheets/d/1Kvs4KS76FHFqLFIZfrDMff4kP08nblUkihrxltoGBjg/edit#gid=934712705"",""ESENCIAL!A6:BG""),15,FALSE))"),"")</f>
        <v/>
      </c>
      <c r="AX282" s="21" t="str">
        <f ca="1">IFERROR(__xludf.DUMMYFUNCTION("IFERROR(VLOOKUP(E299&amp;F299,IMPORTRANGE(""https://docs.google.com/spreadsheets/d/1Uw7-A9f9R21vMXxHZFNpYNeKFtG8_yji4HS352LGlSQ/edit?pli=1#gid=0"",""1_ACUM!A4:S""),12,FALSE))"),"")</f>
        <v/>
      </c>
      <c r="AY282" s="43" t="str">
        <f ca="1">IFERROR(__xludf.DUMMYFUNCTION("IFERROR(VLOOKUP(E299&amp;F299,IMPORTRANGE(""https://docs.google.com/spreadsheets/d/1Uw7-A9f9R21vMXxHZFNpYNeKFtG8_yji4HS352LGlSQ/edit?pli=1#gid=0"",""1_ACUM!A4:S""),13,FALSE))"),"")</f>
        <v/>
      </c>
      <c r="AZ282" s="43" t="str">
        <f ca="1">IFERROR(__xludf.DUMMYFUNCTION("IFERROR(VLOOKUP(E299&amp;F299,IMPORTRANGE(""https://docs.google.com/spreadsheets/d/1Uw7-A9f9R21vMXxHZFNpYNeKFtG8_yji4HS352LGlSQ/edit?pli=1#gid=0"",""1_ACUM!A4:S""),14,FALSE))"),"")</f>
        <v/>
      </c>
      <c r="BA282" s="43" t="str">
        <f ca="1">IFERROR(__xludf.DUMMYFUNCTION("IFERROR(VLOOKUP(E299&amp;F299,IMPORTRANGE(""https://docs.google.com/spreadsheets/d/1Uw7-A9f9R21vMXxHZFNpYNeKFtG8_yji4HS352LGlSQ/edit?pli=1#gid=0"",""1_ACUM!A4:S""),15,FALSE))"),"")</f>
        <v/>
      </c>
      <c r="BB282" s="43" t="str">
        <f ca="1">IFERROR(__xludf.DUMMYFUNCTION("IFERROR(VLOOKUP(E299&amp;F299,IMPORTRANGE(""https://docs.google.com/spreadsheets/d/1Uw7-A9f9R21vMXxHZFNpYNeKFtG8_yji4HS352LGlSQ/edit?pli=1#gid=0"",""1_ACUM!A4:S""),16,FALSE))"),"")</f>
        <v/>
      </c>
      <c r="BC282" s="43" t="str">
        <f ca="1">IFERROR(__xludf.DUMMYFUNCTION("IFERROR(VLOOKUP(E299&amp;F299,IMPORTRANGE(""https://docs.google.com/spreadsheets/d/1Uw7-A9f9R21vMXxHZFNpYNeKFtG8_yji4HS352LGlSQ/edit?pli=1#gid=0"",""1_ACUM!A4:S""),17,FALSE))"),"")</f>
        <v/>
      </c>
      <c r="BD282" s="44" t="str">
        <f ca="1">IFERROR(__xludf.DUMMYFUNCTION("IFERROR(VLOOKUP(E299&amp;F299,IMPORTRANGE(""https://docs.google.com/spreadsheets/d/1Uw7-A9f9R21vMXxHZFNpYNeKFtG8_yji4HS352LGlSQ/edit?pli=1#gid=0"",""1_ACUM!A4:S""),18,FALSE))"),"")</f>
        <v/>
      </c>
      <c r="BE282" s="44" t="str">
        <f ca="1">IFERROR(__xludf.DUMMYFUNCTION("IFERROR(VLOOKUP(E299&amp;F299,IMPORTRANGE(""https://docs.google.com/spreadsheets/d/1Uw7-A9f9R21vMXxHZFNpYNeKFtG8_yji4HS352LGlSQ/edit?pli=1#gid=0"",""1_ACUM!A4:S""),19,FALSE))"),"")</f>
        <v/>
      </c>
      <c r="BF282" s="44" t="str">
        <f ca="1">IFERROR(__xludf.DUMMYFUNCTION("IFERROR(VLOOKUP(F299,IMPORTRANGE(""https://docs.google.com/spreadsheets/d/1Kvs4KS76FHFqLFIZfrDMff4kP08nblUkihrxltoGBjg/edit#gid=934712705"",""ESENCIAL!A6:BG""),5,FALSE))"),"")</f>
        <v/>
      </c>
      <c r="BG282" s="44" t="str">
        <f t="shared" si="37"/>
        <v/>
      </c>
      <c r="BH282" s="41" t="str">
        <f t="shared" si="38"/>
        <v/>
      </c>
      <c r="BI282" s="41" t="str">
        <f ca="1">IFERROR(__xludf.DUMMYFUNCTION("IFERROR(VLOOKUP(F299,IMPORTRANGE(""https://docs.google.com/spreadsheets/d/1Kvs4KS76FHFqLFIZfrDMff4kP08nblUkihrxltoGBjg/edit#gid=934712705"",""ESENCIAL!A6:BG""),18,FALSE))"),"")</f>
        <v/>
      </c>
      <c r="BJ282" s="19" t="str">
        <f t="shared" si="39"/>
        <v/>
      </c>
      <c r="BK282" s="41"/>
      <c r="BL282" s="41"/>
    </row>
    <row r="283" spans="1:64" ht="15">
      <c r="A283" s="4"/>
      <c r="B283" s="4"/>
      <c r="G283" s="5" t="str">
        <f ca="1">IFERROR(__xludf.DUMMYFUNCTION("IFERROR(VLOOKUP(F300,IMPORTRANGE(""https://docs.google.com/spreadsheets/d/1Kvs4KS76FHFqLFIZfrDMff4kP08nblUkihrxltoGBjg/edit#gid=934712705"",""ESENCIAL!A6:BG""),3,FALSE))"),"")</f>
        <v/>
      </c>
      <c r="H283" s="5" t="str">
        <f ca="1">IFERROR(__xludf.DUMMYFUNCTION("IFERROR(VLOOKUP(F300,IMPORTRANGE(""https://docs.google.com/spreadsheets/d/1Kvs4KS76FHFqLFIZfrDMff4kP08nblUkihrxltoGBjg/edit#gid=934712705"",""ESENCIAL!A6:BG""),8,FALSE))"),"")</f>
        <v/>
      </c>
      <c r="L283" s="287"/>
      <c r="S283"/>
      <c r="AU283" s="41" t="str">
        <f t="shared" si="36"/>
        <v/>
      </c>
      <c r="AV283" s="5" t="str">
        <f ca="1">IFERROR(__xludf.DUMMYFUNCTION("IFERROR(VLOOKUP(E300&amp;F300,IMPORTRANGE(""https://docs.google.com/spreadsheets/d/1Uw7-A9f9R21vMXxHZFNpYNeKFtG8_yji4HS352LGlSQ/edit?pli=1#gid=0"",""1_ACUM!A4:S""),11,FALSE))"),"")</f>
        <v/>
      </c>
      <c r="AW283" s="42" t="str">
        <f ca="1">IFERROR(__xludf.DUMMYFUNCTION("IFERROR(VLOOKUP(F300,IMPORTRANGE(""https://docs.google.com/spreadsheets/d/1Kvs4KS76FHFqLFIZfrDMff4kP08nblUkihrxltoGBjg/edit#gid=934712705"",""ESENCIAL!A6:BG""),15,FALSE))"),"")</f>
        <v/>
      </c>
      <c r="AX283" s="21" t="str">
        <f ca="1">IFERROR(__xludf.DUMMYFUNCTION("IFERROR(VLOOKUP(E300&amp;F300,IMPORTRANGE(""https://docs.google.com/spreadsheets/d/1Uw7-A9f9R21vMXxHZFNpYNeKFtG8_yji4HS352LGlSQ/edit?pli=1#gid=0"",""1_ACUM!A4:S""),12,FALSE))"),"")</f>
        <v/>
      </c>
      <c r="AY283" s="43" t="str">
        <f ca="1">IFERROR(__xludf.DUMMYFUNCTION("IFERROR(VLOOKUP(E300&amp;F300,IMPORTRANGE(""https://docs.google.com/spreadsheets/d/1Uw7-A9f9R21vMXxHZFNpYNeKFtG8_yji4HS352LGlSQ/edit?pli=1#gid=0"",""1_ACUM!A4:S""),13,FALSE))"),"")</f>
        <v/>
      </c>
      <c r="AZ283" s="43" t="str">
        <f ca="1">IFERROR(__xludf.DUMMYFUNCTION("IFERROR(VLOOKUP(E300&amp;F300,IMPORTRANGE(""https://docs.google.com/spreadsheets/d/1Uw7-A9f9R21vMXxHZFNpYNeKFtG8_yji4HS352LGlSQ/edit?pli=1#gid=0"",""1_ACUM!A4:S""),14,FALSE))"),"")</f>
        <v/>
      </c>
      <c r="BA283" s="43" t="str">
        <f ca="1">IFERROR(__xludf.DUMMYFUNCTION("IFERROR(VLOOKUP(E300&amp;F300,IMPORTRANGE(""https://docs.google.com/spreadsheets/d/1Uw7-A9f9R21vMXxHZFNpYNeKFtG8_yji4HS352LGlSQ/edit?pli=1#gid=0"",""1_ACUM!A4:S""),15,FALSE))"),"")</f>
        <v/>
      </c>
      <c r="BB283" s="43" t="str">
        <f ca="1">IFERROR(__xludf.DUMMYFUNCTION("IFERROR(VLOOKUP(E300&amp;F300,IMPORTRANGE(""https://docs.google.com/spreadsheets/d/1Uw7-A9f9R21vMXxHZFNpYNeKFtG8_yji4HS352LGlSQ/edit?pli=1#gid=0"",""1_ACUM!A4:S""),16,FALSE))"),"")</f>
        <v/>
      </c>
      <c r="BC283" s="43" t="str">
        <f ca="1">IFERROR(__xludf.DUMMYFUNCTION("IFERROR(VLOOKUP(E300&amp;F300,IMPORTRANGE(""https://docs.google.com/spreadsheets/d/1Uw7-A9f9R21vMXxHZFNpYNeKFtG8_yji4HS352LGlSQ/edit?pli=1#gid=0"",""1_ACUM!A4:S""),17,FALSE))"),"")</f>
        <v/>
      </c>
      <c r="BD283" s="44" t="str">
        <f ca="1">IFERROR(__xludf.DUMMYFUNCTION("IFERROR(VLOOKUP(E300&amp;F300,IMPORTRANGE(""https://docs.google.com/spreadsheets/d/1Uw7-A9f9R21vMXxHZFNpYNeKFtG8_yji4HS352LGlSQ/edit?pli=1#gid=0"",""1_ACUM!A4:S""),18,FALSE))"),"")</f>
        <v/>
      </c>
      <c r="BE283" s="44" t="str">
        <f ca="1">IFERROR(__xludf.DUMMYFUNCTION("IFERROR(VLOOKUP(E300&amp;F300,IMPORTRANGE(""https://docs.google.com/spreadsheets/d/1Uw7-A9f9R21vMXxHZFNpYNeKFtG8_yji4HS352LGlSQ/edit?pli=1#gid=0"",""1_ACUM!A4:S""),19,FALSE))"),"")</f>
        <v/>
      </c>
      <c r="BF283" s="44" t="str">
        <f ca="1">IFERROR(__xludf.DUMMYFUNCTION("IFERROR(VLOOKUP(F300,IMPORTRANGE(""https://docs.google.com/spreadsheets/d/1Kvs4KS76FHFqLFIZfrDMff4kP08nblUkihrxltoGBjg/edit#gid=934712705"",""ESENCIAL!A6:BG""),5,FALSE))"),"")</f>
        <v/>
      </c>
      <c r="BG283" s="44" t="str">
        <f t="shared" si="37"/>
        <v/>
      </c>
      <c r="BH283" s="41" t="str">
        <f t="shared" si="38"/>
        <v/>
      </c>
      <c r="BI283" s="41" t="str">
        <f ca="1">IFERROR(__xludf.DUMMYFUNCTION("IFERROR(VLOOKUP(F300,IMPORTRANGE(""https://docs.google.com/spreadsheets/d/1Kvs4KS76FHFqLFIZfrDMff4kP08nblUkihrxltoGBjg/edit#gid=934712705"",""ESENCIAL!A6:BG""),18,FALSE))"),"")</f>
        <v/>
      </c>
      <c r="BJ283" s="19" t="str">
        <f t="shared" si="39"/>
        <v/>
      </c>
      <c r="BK283" s="41"/>
      <c r="BL283" s="41"/>
    </row>
    <row r="284" spans="1:64" ht="15">
      <c r="A284" s="4"/>
      <c r="B284" s="4"/>
      <c r="G284" s="5" t="str">
        <f ca="1">IFERROR(__xludf.DUMMYFUNCTION("IFERROR(VLOOKUP(F301,IMPORTRANGE(""https://docs.google.com/spreadsheets/d/1Kvs4KS76FHFqLFIZfrDMff4kP08nblUkihrxltoGBjg/edit#gid=934712705"",""ESENCIAL!A6:BG""),3,FALSE))"),"")</f>
        <v/>
      </c>
      <c r="H284" s="5" t="str">
        <f ca="1">IFERROR(__xludf.DUMMYFUNCTION("IFERROR(VLOOKUP(F301,IMPORTRANGE(""https://docs.google.com/spreadsheets/d/1Kvs4KS76FHFqLFIZfrDMff4kP08nblUkihrxltoGBjg/edit#gid=934712705"",""ESENCIAL!A6:BG""),8,FALSE))"),"")</f>
        <v/>
      </c>
      <c r="L284" s="287"/>
      <c r="S284"/>
      <c r="AU284" s="41" t="str">
        <f t="shared" si="36"/>
        <v/>
      </c>
      <c r="AV284" s="5" t="str">
        <f ca="1">IFERROR(__xludf.DUMMYFUNCTION("IFERROR(VLOOKUP(E301&amp;F301,IMPORTRANGE(""https://docs.google.com/spreadsheets/d/1Uw7-A9f9R21vMXxHZFNpYNeKFtG8_yji4HS352LGlSQ/edit?pli=1#gid=0"",""1_ACUM!A4:S""),11,FALSE))"),"")</f>
        <v/>
      </c>
      <c r="AW284" s="42" t="str">
        <f ca="1">IFERROR(__xludf.DUMMYFUNCTION("IFERROR(VLOOKUP(F301,IMPORTRANGE(""https://docs.google.com/spreadsheets/d/1Kvs4KS76FHFqLFIZfrDMff4kP08nblUkihrxltoGBjg/edit#gid=934712705"",""ESENCIAL!A6:BG""),15,FALSE))"),"")</f>
        <v/>
      </c>
      <c r="AX284" s="21" t="str">
        <f ca="1">IFERROR(__xludf.DUMMYFUNCTION("IFERROR(VLOOKUP(E301&amp;F301,IMPORTRANGE(""https://docs.google.com/spreadsheets/d/1Uw7-A9f9R21vMXxHZFNpYNeKFtG8_yji4HS352LGlSQ/edit?pli=1#gid=0"",""1_ACUM!A4:S""),12,FALSE))"),"")</f>
        <v/>
      </c>
      <c r="AY284" s="43" t="str">
        <f ca="1">IFERROR(__xludf.DUMMYFUNCTION("IFERROR(VLOOKUP(E301&amp;F301,IMPORTRANGE(""https://docs.google.com/spreadsheets/d/1Uw7-A9f9R21vMXxHZFNpYNeKFtG8_yji4HS352LGlSQ/edit?pli=1#gid=0"",""1_ACUM!A4:S""),13,FALSE))"),"")</f>
        <v/>
      </c>
      <c r="AZ284" s="43" t="str">
        <f ca="1">IFERROR(__xludf.DUMMYFUNCTION("IFERROR(VLOOKUP(E301&amp;F301,IMPORTRANGE(""https://docs.google.com/spreadsheets/d/1Uw7-A9f9R21vMXxHZFNpYNeKFtG8_yji4HS352LGlSQ/edit?pli=1#gid=0"",""1_ACUM!A4:S""),14,FALSE))"),"")</f>
        <v/>
      </c>
      <c r="BA284" s="43" t="str">
        <f ca="1">IFERROR(__xludf.DUMMYFUNCTION("IFERROR(VLOOKUP(E301&amp;F301,IMPORTRANGE(""https://docs.google.com/spreadsheets/d/1Uw7-A9f9R21vMXxHZFNpYNeKFtG8_yji4HS352LGlSQ/edit?pli=1#gid=0"",""1_ACUM!A4:S""),15,FALSE))"),"")</f>
        <v/>
      </c>
      <c r="BB284" s="43" t="str">
        <f ca="1">IFERROR(__xludf.DUMMYFUNCTION("IFERROR(VLOOKUP(E301&amp;F301,IMPORTRANGE(""https://docs.google.com/spreadsheets/d/1Uw7-A9f9R21vMXxHZFNpYNeKFtG8_yji4HS352LGlSQ/edit?pli=1#gid=0"",""1_ACUM!A4:S""),16,FALSE))"),"")</f>
        <v/>
      </c>
      <c r="BC284" s="43" t="str">
        <f ca="1">IFERROR(__xludf.DUMMYFUNCTION("IFERROR(VLOOKUP(E301&amp;F301,IMPORTRANGE(""https://docs.google.com/spreadsheets/d/1Uw7-A9f9R21vMXxHZFNpYNeKFtG8_yji4HS352LGlSQ/edit?pli=1#gid=0"",""1_ACUM!A4:S""),17,FALSE))"),"")</f>
        <v/>
      </c>
      <c r="BD284" s="44" t="str">
        <f ca="1">IFERROR(__xludf.DUMMYFUNCTION("IFERROR(VLOOKUP(E301&amp;F301,IMPORTRANGE(""https://docs.google.com/spreadsheets/d/1Uw7-A9f9R21vMXxHZFNpYNeKFtG8_yji4HS352LGlSQ/edit?pli=1#gid=0"",""1_ACUM!A4:S""),18,FALSE))"),"")</f>
        <v/>
      </c>
      <c r="BE284" s="44" t="str">
        <f ca="1">IFERROR(__xludf.DUMMYFUNCTION("IFERROR(VLOOKUP(E301&amp;F301,IMPORTRANGE(""https://docs.google.com/spreadsheets/d/1Uw7-A9f9R21vMXxHZFNpYNeKFtG8_yji4HS352LGlSQ/edit?pli=1#gid=0"",""1_ACUM!A4:S""),19,FALSE))"),"")</f>
        <v/>
      </c>
      <c r="BF284" s="44" t="str">
        <f ca="1">IFERROR(__xludf.DUMMYFUNCTION("IFERROR(VLOOKUP(F301,IMPORTRANGE(""https://docs.google.com/spreadsheets/d/1Kvs4KS76FHFqLFIZfrDMff4kP08nblUkihrxltoGBjg/edit#gid=934712705"",""ESENCIAL!A6:BG""),5,FALSE))"),"")</f>
        <v/>
      </c>
      <c r="BG284" s="44" t="str">
        <f t="shared" si="37"/>
        <v/>
      </c>
      <c r="BH284" s="41" t="str">
        <f t="shared" si="38"/>
        <v/>
      </c>
      <c r="BI284" s="41" t="str">
        <f ca="1">IFERROR(__xludf.DUMMYFUNCTION("IFERROR(VLOOKUP(F301,IMPORTRANGE(""https://docs.google.com/spreadsheets/d/1Kvs4KS76FHFqLFIZfrDMff4kP08nblUkihrxltoGBjg/edit#gid=934712705"",""ESENCIAL!A6:BG""),18,FALSE))"),"")</f>
        <v/>
      </c>
      <c r="BJ284" s="19" t="str">
        <f t="shared" si="39"/>
        <v/>
      </c>
      <c r="BK284" s="41"/>
      <c r="BL284" s="41"/>
    </row>
    <row r="285" spans="1:64" ht="15">
      <c r="A285" s="4"/>
      <c r="B285" s="4"/>
      <c r="G285" s="5" t="str">
        <f ca="1">IFERROR(__xludf.DUMMYFUNCTION("IFERROR(VLOOKUP(F302,IMPORTRANGE(""https://docs.google.com/spreadsheets/d/1Kvs4KS76FHFqLFIZfrDMff4kP08nblUkihrxltoGBjg/edit#gid=934712705"",""ESENCIAL!A6:BG""),3,FALSE))"),"")</f>
        <v/>
      </c>
      <c r="H285" s="5" t="str">
        <f ca="1">IFERROR(__xludf.DUMMYFUNCTION("IFERROR(VLOOKUP(F302,IMPORTRANGE(""https://docs.google.com/spreadsheets/d/1Kvs4KS76FHFqLFIZfrDMff4kP08nblUkihrxltoGBjg/edit#gid=934712705"",""ESENCIAL!A6:BG""),8,FALSE))"),"")</f>
        <v/>
      </c>
      <c r="L285" s="287"/>
      <c r="S285"/>
      <c r="AU285" s="41" t="str">
        <f t="shared" si="36"/>
        <v/>
      </c>
      <c r="AV285" s="5" t="str">
        <f ca="1">IFERROR(__xludf.DUMMYFUNCTION("IFERROR(VLOOKUP(E302&amp;F302,IMPORTRANGE(""https://docs.google.com/spreadsheets/d/1Uw7-A9f9R21vMXxHZFNpYNeKFtG8_yji4HS352LGlSQ/edit?pli=1#gid=0"",""1_ACUM!A4:S""),11,FALSE))"),"")</f>
        <v/>
      </c>
      <c r="AW285" s="42" t="str">
        <f ca="1">IFERROR(__xludf.DUMMYFUNCTION("IFERROR(VLOOKUP(F302,IMPORTRANGE(""https://docs.google.com/spreadsheets/d/1Kvs4KS76FHFqLFIZfrDMff4kP08nblUkihrxltoGBjg/edit#gid=934712705"",""ESENCIAL!A6:BG""),15,FALSE))"),"")</f>
        <v/>
      </c>
      <c r="AX285" s="21" t="str">
        <f ca="1">IFERROR(__xludf.DUMMYFUNCTION("IFERROR(VLOOKUP(E302&amp;F302,IMPORTRANGE(""https://docs.google.com/spreadsheets/d/1Uw7-A9f9R21vMXxHZFNpYNeKFtG8_yji4HS352LGlSQ/edit?pli=1#gid=0"",""1_ACUM!A4:S""),12,FALSE))"),"")</f>
        <v/>
      </c>
      <c r="AY285" s="43" t="str">
        <f ca="1">IFERROR(__xludf.DUMMYFUNCTION("IFERROR(VLOOKUP(E302&amp;F302,IMPORTRANGE(""https://docs.google.com/spreadsheets/d/1Uw7-A9f9R21vMXxHZFNpYNeKFtG8_yji4HS352LGlSQ/edit?pli=1#gid=0"",""1_ACUM!A4:S""),13,FALSE))"),"")</f>
        <v/>
      </c>
      <c r="AZ285" s="43" t="str">
        <f ca="1">IFERROR(__xludf.DUMMYFUNCTION("IFERROR(VLOOKUP(E302&amp;F302,IMPORTRANGE(""https://docs.google.com/spreadsheets/d/1Uw7-A9f9R21vMXxHZFNpYNeKFtG8_yji4HS352LGlSQ/edit?pli=1#gid=0"",""1_ACUM!A4:S""),14,FALSE))"),"")</f>
        <v/>
      </c>
      <c r="BA285" s="43" t="str">
        <f ca="1">IFERROR(__xludf.DUMMYFUNCTION("IFERROR(VLOOKUP(E302&amp;F302,IMPORTRANGE(""https://docs.google.com/spreadsheets/d/1Uw7-A9f9R21vMXxHZFNpYNeKFtG8_yji4HS352LGlSQ/edit?pli=1#gid=0"",""1_ACUM!A4:S""),15,FALSE))"),"")</f>
        <v/>
      </c>
      <c r="BB285" s="43" t="str">
        <f ca="1">IFERROR(__xludf.DUMMYFUNCTION("IFERROR(VLOOKUP(E302&amp;F302,IMPORTRANGE(""https://docs.google.com/spreadsheets/d/1Uw7-A9f9R21vMXxHZFNpYNeKFtG8_yji4HS352LGlSQ/edit?pli=1#gid=0"",""1_ACUM!A4:S""),16,FALSE))"),"")</f>
        <v/>
      </c>
      <c r="BC285" s="43" t="str">
        <f ca="1">IFERROR(__xludf.DUMMYFUNCTION("IFERROR(VLOOKUP(E302&amp;F302,IMPORTRANGE(""https://docs.google.com/spreadsheets/d/1Uw7-A9f9R21vMXxHZFNpYNeKFtG8_yji4HS352LGlSQ/edit?pli=1#gid=0"",""1_ACUM!A4:S""),17,FALSE))"),"")</f>
        <v/>
      </c>
      <c r="BD285" s="44" t="str">
        <f ca="1">IFERROR(__xludf.DUMMYFUNCTION("IFERROR(VLOOKUP(E302&amp;F302,IMPORTRANGE(""https://docs.google.com/spreadsheets/d/1Uw7-A9f9R21vMXxHZFNpYNeKFtG8_yji4HS352LGlSQ/edit?pli=1#gid=0"",""1_ACUM!A4:S""),18,FALSE))"),"")</f>
        <v/>
      </c>
      <c r="BE285" s="44" t="str">
        <f ca="1">IFERROR(__xludf.DUMMYFUNCTION("IFERROR(VLOOKUP(E302&amp;F302,IMPORTRANGE(""https://docs.google.com/spreadsheets/d/1Uw7-A9f9R21vMXxHZFNpYNeKFtG8_yji4HS352LGlSQ/edit?pli=1#gid=0"",""1_ACUM!A4:S""),19,FALSE))"),"")</f>
        <v/>
      </c>
      <c r="BF285" s="44" t="str">
        <f ca="1">IFERROR(__xludf.DUMMYFUNCTION("IFERROR(VLOOKUP(F302,IMPORTRANGE(""https://docs.google.com/spreadsheets/d/1Kvs4KS76FHFqLFIZfrDMff4kP08nblUkihrxltoGBjg/edit#gid=934712705"",""ESENCIAL!A6:BG""),5,FALSE))"),"")</f>
        <v/>
      </c>
      <c r="BG285" s="44" t="str">
        <f t="shared" si="37"/>
        <v/>
      </c>
      <c r="BH285" s="41" t="str">
        <f t="shared" si="38"/>
        <v/>
      </c>
      <c r="BI285" s="41" t="str">
        <f ca="1">IFERROR(__xludf.DUMMYFUNCTION("IFERROR(VLOOKUP(F302,IMPORTRANGE(""https://docs.google.com/spreadsheets/d/1Kvs4KS76FHFqLFIZfrDMff4kP08nblUkihrxltoGBjg/edit#gid=934712705"",""ESENCIAL!A6:BG""),18,FALSE))"),"")</f>
        <v/>
      </c>
      <c r="BJ285" s="19" t="str">
        <f t="shared" si="39"/>
        <v/>
      </c>
      <c r="BK285" s="41"/>
      <c r="BL285" s="41"/>
    </row>
    <row r="286" spans="1:64" ht="15">
      <c r="A286" s="4"/>
      <c r="B286" s="4"/>
      <c r="G286" s="5" t="str">
        <f ca="1">IFERROR(__xludf.DUMMYFUNCTION("IFERROR(VLOOKUP(F303,IMPORTRANGE(""https://docs.google.com/spreadsheets/d/1Kvs4KS76FHFqLFIZfrDMff4kP08nblUkihrxltoGBjg/edit#gid=934712705"",""ESENCIAL!A6:BG""),3,FALSE))"),"")</f>
        <v/>
      </c>
      <c r="H286" s="5" t="str">
        <f ca="1">IFERROR(__xludf.DUMMYFUNCTION("IFERROR(VLOOKUP(F303,IMPORTRANGE(""https://docs.google.com/spreadsheets/d/1Kvs4KS76FHFqLFIZfrDMff4kP08nblUkihrxltoGBjg/edit#gid=934712705"",""ESENCIAL!A6:BG""),8,FALSE))"),"")</f>
        <v/>
      </c>
      <c r="L286" s="287"/>
      <c r="S286"/>
      <c r="AU286" s="41" t="str">
        <f t="shared" si="36"/>
        <v/>
      </c>
      <c r="AV286" s="5" t="str">
        <f ca="1">IFERROR(__xludf.DUMMYFUNCTION("IFERROR(VLOOKUP(E303&amp;F303,IMPORTRANGE(""https://docs.google.com/spreadsheets/d/1Uw7-A9f9R21vMXxHZFNpYNeKFtG8_yji4HS352LGlSQ/edit?pli=1#gid=0"",""1_ACUM!A4:S""),11,FALSE))"),"")</f>
        <v/>
      </c>
      <c r="AW286" s="42" t="str">
        <f ca="1">IFERROR(__xludf.DUMMYFUNCTION("IFERROR(VLOOKUP(F303,IMPORTRANGE(""https://docs.google.com/spreadsheets/d/1Kvs4KS76FHFqLFIZfrDMff4kP08nblUkihrxltoGBjg/edit#gid=934712705"",""ESENCIAL!A6:BG""),15,FALSE))"),"")</f>
        <v/>
      </c>
      <c r="AX286" s="21" t="str">
        <f ca="1">IFERROR(__xludf.DUMMYFUNCTION("IFERROR(VLOOKUP(E303&amp;F303,IMPORTRANGE(""https://docs.google.com/spreadsheets/d/1Uw7-A9f9R21vMXxHZFNpYNeKFtG8_yji4HS352LGlSQ/edit?pli=1#gid=0"",""1_ACUM!A4:S""),12,FALSE))"),"")</f>
        <v/>
      </c>
      <c r="AY286" s="43" t="str">
        <f ca="1">IFERROR(__xludf.DUMMYFUNCTION("IFERROR(VLOOKUP(E303&amp;F303,IMPORTRANGE(""https://docs.google.com/spreadsheets/d/1Uw7-A9f9R21vMXxHZFNpYNeKFtG8_yji4HS352LGlSQ/edit?pli=1#gid=0"",""1_ACUM!A4:S""),13,FALSE))"),"")</f>
        <v/>
      </c>
      <c r="AZ286" s="43" t="str">
        <f ca="1">IFERROR(__xludf.DUMMYFUNCTION("IFERROR(VLOOKUP(E303&amp;F303,IMPORTRANGE(""https://docs.google.com/spreadsheets/d/1Uw7-A9f9R21vMXxHZFNpYNeKFtG8_yji4HS352LGlSQ/edit?pli=1#gid=0"",""1_ACUM!A4:S""),14,FALSE))"),"")</f>
        <v/>
      </c>
      <c r="BA286" s="43" t="str">
        <f ca="1">IFERROR(__xludf.DUMMYFUNCTION("IFERROR(VLOOKUP(E303&amp;F303,IMPORTRANGE(""https://docs.google.com/spreadsheets/d/1Uw7-A9f9R21vMXxHZFNpYNeKFtG8_yji4HS352LGlSQ/edit?pli=1#gid=0"",""1_ACUM!A4:S""),15,FALSE))"),"")</f>
        <v/>
      </c>
      <c r="BB286" s="43" t="str">
        <f ca="1">IFERROR(__xludf.DUMMYFUNCTION("IFERROR(VLOOKUP(E303&amp;F303,IMPORTRANGE(""https://docs.google.com/spreadsheets/d/1Uw7-A9f9R21vMXxHZFNpYNeKFtG8_yji4HS352LGlSQ/edit?pli=1#gid=0"",""1_ACUM!A4:S""),16,FALSE))"),"")</f>
        <v/>
      </c>
      <c r="BC286" s="43" t="str">
        <f ca="1">IFERROR(__xludf.DUMMYFUNCTION("IFERROR(VLOOKUP(E303&amp;F303,IMPORTRANGE(""https://docs.google.com/spreadsheets/d/1Uw7-A9f9R21vMXxHZFNpYNeKFtG8_yji4HS352LGlSQ/edit?pli=1#gid=0"",""1_ACUM!A4:S""),17,FALSE))"),"")</f>
        <v/>
      </c>
      <c r="BD286" s="44" t="str">
        <f ca="1">IFERROR(__xludf.DUMMYFUNCTION("IFERROR(VLOOKUP(E303&amp;F303,IMPORTRANGE(""https://docs.google.com/spreadsheets/d/1Uw7-A9f9R21vMXxHZFNpYNeKFtG8_yji4HS352LGlSQ/edit?pli=1#gid=0"",""1_ACUM!A4:S""),18,FALSE))"),"")</f>
        <v/>
      </c>
      <c r="BE286" s="44" t="str">
        <f ca="1">IFERROR(__xludf.DUMMYFUNCTION("IFERROR(VLOOKUP(E303&amp;F303,IMPORTRANGE(""https://docs.google.com/spreadsheets/d/1Uw7-A9f9R21vMXxHZFNpYNeKFtG8_yji4HS352LGlSQ/edit?pli=1#gid=0"",""1_ACUM!A4:S""),19,FALSE))"),"")</f>
        <v/>
      </c>
      <c r="BF286" s="44" t="str">
        <f ca="1">IFERROR(__xludf.DUMMYFUNCTION("IFERROR(VLOOKUP(F303,IMPORTRANGE(""https://docs.google.com/spreadsheets/d/1Kvs4KS76FHFqLFIZfrDMff4kP08nblUkihrxltoGBjg/edit#gid=934712705"",""ESENCIAL!A6:BG""),5,FALSE))"),"")</f>
        <v/>
      </c>
      <c r="BG286" s="44" t="str">
        <f t="shared" si="37"/>
        <v/>
      </c>
      <c r="BH286" s="41" t="str">
        <f t="shared" si="38"/>
        <v/>
      </c>
      <c r="BI286" s="41" t="str">
        <f ca="1">IFERROR(__xludf.DUMMYFUNCTION("IFERROR(VLOOKUP(F303,IMPORTRANGE(""https://docs.google.com/spreadsheets/d/1Kvs4KS76FHFqLFIZfrDMff4kP08nblUkihrxltoGBjg/edit#gid=934712705"",""ESENCIAL!A6:BG""),18,FALSE))"),"")</f>
        <v/>
      </c>
      <c r="BJ286" s="19" t="str">
        <f t="shared" si="39"/>
        <v/>
      </c>
      <c r="BK286" s="41"/>
      <c r="BL286" s="41"/>
    </row>
    <row r="287" spans="1:64" ht="15">
      <c r="A287" s="4"/>
      <c r="B287" s="4"/>
      <c r="G287" s="5" t="str">
        <f ca="1">IFERROR(__xludf.DUMMYFUNCTION("IFERROR(VLOOKUP(F304,IMPORTRANGE(""https://docs.google.com/spreadsheets/d/1Kvs4KS76FHFqLFIZfrDMff4kP08nblUkihrxltoGBjg/edit#gid=934712705"",""ESENCIAL!A6:BG""),3,FALSE))"),"")</f>
        <v/>
      </c>
      <c r="H287" s="5" t="str">
        <f ca="1">IFERROR(__xludf.DUMMYFUNCTION("IFERROR(VLOOKUP(F304,IMPORTRANGE(""https://docs.google.com/spreadsheets/d/1Kvs4KS76FHFqLFIZfrDMff4kP08nblUkihrxltoGBjg/edit#gid=934712705"",""ESENCIAL!A6:BG""),8,FALSE))"),"")</f>
        <v/>
      </c>
      <c r="L287" s="287"/>
      <c r="S287"/>
      <c r="AU287" s="41" t="str">
        <f t="shared" si="36"/>
        <v/>
      </c>
      <c r="AV287" s="5" t="str">
        <f ca="1">IFERROR(__xludf.DUMMYFUNCTION("IFERROR(VLOOKUP(E304&amp;F304,IMPORTRANGE(""https://docs.google.com/spreadsheets/d/1Uw7-A9f9R21vMXxHZFNpYNeKFtG8_yji4HS352LGlSQ/edit?pli=1#gid=0"",""1_ACUM!A4:S""),11,FALSE))"),"")</f>
        <v/>
      </c>
      <c r="AW287" s="42" t="str">
        <f ca="1">IFERROR(__xludf.DUMMYFUNCTION("IFERROR(VLOOKUP(F304,IMPORTRANGE(""https://docs.google.com/spreadsheets/d/1Kvs4KS76FHFqLFIZfrDMff4kP08nblUkihrxltoGBjg/edit#gid=934712705"",""ESENCIAL!A6:BG""),15,FALSE))"),"")</f>
        <v/>
      </c>
      <c r="AX287" s="21" t="str">
        <f ca="1">IFERROR(__xludf.DUMMYFUNCTION("IFERROR(VLOOKUP(E304&amp;F304,IMPORTRANGE(""https://docs.google.com/spreadsheets/d/1Uw7-A9f9R21vMXxHZFNpYNeKFtG8_yji4HS352LGlSQ/edit?pli=1#gid=0"",""1_ACUM!A4:S""),12,FALSE))"),"")</f>
        <v/>
      </c>
      <c r="AY287" s="43" t="str">
        <f ca="1">IFERROR(__xludf.DUMMYFUNCTION("IFERROR(VLOOKUP(E304&amp;F304,IMPORTRANGE(""https://docs.google.com/spreadsheets/d/1Uw7-A9f9R21vMXxHZFNpYNeKFtG8_yji4HS352LGlSQ/edit?pli=1#gid=0"",""1_ACUM!A4:S""),13,FALSE))"),"")</f>
        <v/>
      </c>
      <c r="AZ287" s="43" t="str">
        <f ca="1">IFERROR(__xludf.DUMMYFUNCTION("IFERROR(VLOOKUP(E304&amp;F304,IMPORTRANGE(""https://docs.google.com/spreadsheets/d/1Uw7-A9f9R21vMXxHZFNpYNeKFtG8_yji4HS352LGlSQ/edit?pli=1#gid=0"",""1_ACUM!A4:S""),14,FALSE))"),"")</f>
        <v/>
      </c>
      <c r="BA287" s="43" t="str">
        <f ca="1">IFERROR(__xludf.DUMMYFUNCTION("IFERROR(VLOOKUP(E304&amp;F304,IMPORTRANGE(""https://docs.google.com/spreadsheets/d/1Uw7-A9f9R21vMXxHZFNpYNeKFtG8_yji4HS352LGlSQ/edit?pli=1#gid=0"",""1_ACUM!A4:S""),15,FALSE))"),"")</f>
        <v/>
      </c>
      <c r="BB287" s="43" t="str">
        <f ca="1">IFERROR(__xludf.DUMMYFUNCTION("IFERROR(VLOOKUP(E304&amp;F304,IMPORTRANGE(""https://docs.google.com/spreadsheets/d/1Uw7-A9f9R21vMXxHZFNpYNeKFtG8_yji4HS352LGlSQ/edit?pli=1#gid=0"",""1_ACUM!A4:S""),16,FALSE))"),"")</f>
        <v/>
      </c>
      <c r="BC287" s="43" t="str">
        <f ca="1">IFERROR(__xludf.DUMMYFUNCTION("IFERROR(VLOOKUP(E304&amp;F304,IMPORTRANGE(""https://docs.google.com/spreadsheets/d/1Uw7-A9f9R21vMXxHZFNpYNeKFtG8_yji4HS352LGlSQ/edit?pli=1#gid=0"",""1_ACUM!A4:S""),17,FALSE))"),"")</f>
        <v/>
      </c>
      <c r="BD287" s="44" t="str">
        <f ca="1">IFERROR(__xludf.DUMMYFUNCTION("IFERROR(VLOOKUP(E304&amp;F304,IMPORTRANGE(""https://docs.google.com/spreadsheets/d/1Uw7-A9f9R21vMXxHZFNpYNeKFtG8_yji4HS352LGlSQ/edit?pli=1#gid=0"",""1_ACUM!A4:S""),18,FALSE))"),"")</f>
        <v/>
      </c>
      <c r="BE287" s="44" t="str">
        <f ca="1">IFERROR(__xludf.DUMMYFUNCTION("IFERROR(VLOOKUP(E304&amp;F304,IMPORTRANGE(""https://docs.google.com/spreadsheets/d/1Uw7-A9f9R21vMXxHZFNpYNeKFtG8_yji4HS352LGlSQ/edit?pli=1#gid=0"",""1_ACUM!A4:S""),19,FALSE))"),"")</f>
        <v/>
      </c>
      <c r="BF287" s="44" t="str">
        <f ca="1">IFERROR(__xludf.DUMMYFUNCTION("IFERROR(VLOOKUP(F304,IMPORTRANGE(""https://docs.google.com/spreadsheets/d/1Kvs4KS76FHFqLFIZfrDMff4kP08nblUkihrxltoGBjg/edit#gid=934712705"",""ESENCIAL!A6:BG""),5,FALSE))"),"")</f>
        <v/>
      </c>
      <c r="BG287" s="44" t="str">
        <f t="shared" si="37"/>
        <v/>
      </c>
      <c r="BH287" s="41" t="str">
        <f t="shared" si="38"/>
        <v/>
      </c>
      <c r="BI287" s="41" t="str">
        <f ca="1">IFERROR(__xludf.DUMMYFUNCTION("IFERROR(VLOOKUP(F304,IMPORTRANGE(""https://docs.google.com/spreadsheets/d/1Kvs4KS76FHFqLFIZfrDMff4kP08nblUkihrxltoGBjg/edit#gid=934712705"",""ESENCIAL!A6:BG""),18,FALSE))"),"")</f>
        <v/>
      </c>
      <c r="BJ287" s="19" t="str">
        <f t="shared" si="39"/>
        <v/>
      </c>
      <c r="BK287" s="41"/>
      <c r="BL287" s="41"/>
    </row>
    <row r="288" spans="1:64" ht="15">
      <c r="A288" s="4"/>
      <c r="B288" s="4"/>
      <c r="G288" s="5" t="str">
        <f ca="1">IFERROR(__xludf.DUMMYFUNCTION("IFERROR(VLOOKUP(F305,IMPORTRANGE(""https://docs.google.com/spreadsheets/d/1Kvs4KS76FHFqLFIZfrDMff4kP08nblUkihrxltoGBjg/edit#gid=934712705"",""ESENCIAL!A6:BG""),3,FALSE))"),"")</f>
        <v/>
      </c>
      <c r="H288" s="5" t="str">
        <f ca="1">IFERROR(__xludf.DUMMYFUNCTION("IFERROR(VLOOKUP(F305,IMPORTRANGE(""https://docs.google.com/spreadsheets/d/1Kvs4KS76FHFqLFIZfrDMff4kP08nblUkihrxltoGBjg/edit#gid=934712705"",""ESENCIAL!A6:BG""),8,FALSE))"),"")</f>
        <v/>
      </c>
      <c r="L288" s="287"/>
      <c r="S288"/>
      <c r="AU288" s="41" t="str">
        <f t="shared" si="36"/>
        <v/>
      </c>
      <c r="AV288" s="5" t="str">
        <f ca="1">IFERROR(__xludf.DUMMYFUNCTION("IFERROR(VLOOKUP(E305&amp;F305,IMPORTRANGE(""https://docs.google.com/spreadsheets/d/1Uw7-A9f9R21vMXxHZFNpYNeKFtG8_yji4HS352LGlSQ/edit?pli=1#gid=0"",""1_ACUM!A4:S""),11,FALSE))"),"")</f>
        <v/>
      </c>
      <c r="AW288" s="42" t="str">
        <f ca="1">IFERROR(__xludf.DUMMYFUNCTION("IFERROR(VLOOKUP(F305,IMPORTRANGE(""https://docs.google.com/spreadsheets/d/1Kvs4KS76FHFqLFIZfrDMff4kP08nblUkihrxltoGBjg/edit#gid=934712705"",""ESENCIAL!A6:BG""),15,FALSE))"),"")</f>
        <v/>
      </c>
      <c r="AX288" s="21" t="str">
        <f ca="1">IFERROR(__xludf.DUMMYFUNCTION("IFERROR(VLOOKUP(E305&amp;F305,IMPORTRANGE(""https://docs.google.com/spreadsheets/d/1Uw7-A9f9R21vMXxHZFNpYNeKFtG8_yji4HS352LGlSQ/edit?pli=1#gid=0"",""1_ACUM!A4:S""),12,FALSE))"),"")</f>
        <v/>
      </c>
      <c r="AY288" s="43" t="str">
        <f ca="1">IFERROR(__xludf.DUMMYFUNCTION("IFERROR(VLOOKUP(E305&amp;F305,IMPORTRANGE(""https://docs.google.com/spreadsheets/d/1Uw7-A9f9R21vMXxHZFNpYNeKFtG8_yji4HS352LGlSQ/edit?pli=1#gid=0"",""1_ACUM!A4:S""),13,FALSE))"),"")</f>
        <v/>
      </c>
      <c r="AZ288" s="43" t="str">
        <f ca="1">IFERROR(__xludf.DUMMYFUNCTION("IFERROR(VLOOKUP(E305&amp;F305,IMPORTRANGE(""https://docs.google.com/spreadsheets/d/1Uw7-A9f9R21vMXxHZFNpYNeKFtG8_yji4HS352LGlSQ/edit?pli=1#gid=0"",""1_ACUM!A4:S""),14,FALSE))"),"")</f>
        <v/>
      </c>
      <c r="BA288" s="43" t="str">
        <f ca="1">IFERROR(__xludf.DUMMYFUNCTION("IFERROR(VLOOKUP(E305&amp;F305,IMPORTRANGE(""https://docs.google.com/spreadsheets/d/1Uw7-A9f9R21vMXxHZFNpYNeKFtG8_yji4HS352LGlSQ/edit?pli=1#gid=0"",""1_ACUM!A4:S""),15,FALSE))"),"")</f>
        <v/>
      </c>
      <c r="BB288" s="43" t="str">
        <f ca="1">IFERROR(__xludf.DUMMYFUNCTION("IFERROR(VLOOKUP(E305&amp;F305,IMPORTRANGE(""https://docs.google.com/spreadsheets/d/1Uw7-A9f9R21vMXxHZFNpYNeKFtG8_yji4HS352LGlSQ/edit?pli=1#gid=0"",""1_ACUM!A4:S""),16,FALSE))"),"")</f>
        <v/>
      </c>
      <c r="BC288" s="43" t="str">
        <f ca="1">IFERROR(__xludf.DUMMYFUNCTION("IFERROR(VLOOKUP(E305&amp;F305,IMPORTRANGE(""https://docs.google.com/spreadsheets/d/1Uw7-A9f9R21vMXxHZFNpYNeKFtG8_yji4HS352LGlSQ/edit?pli=1#gid=0"",""1_ACUM!A4:S""),17,FALSE))"),"")</f>
        <v/>
      </c>
      <c r="BD288" s="44" t="str">
        <f ca="1">IFERROR(__xludf.DUMMYFUNCTION("IFERROR(VLOOKUP(E305&amp;F305,IMPORTRANGE(""https://docs.google.com/spreadsheets/d/1Uw7-A9f9R21vMXxHZFNpYNeKFtG8_yji4HS352LGlSQ/edit?pli=1#gid=0"",""1_ACUM!A4:S""),18,FALSE))"),"")</f>
        <v/>
      </c>
      <c r="BE288" s="44" t="str">
        <f ca="1">IFERROR(__xludf.DUMMYFUNCTION("IFERROR(VLOOKUP(E305&amp;F305,IMPORTRANGE(""https://docs.google.com/spreadsheets/d/1Uw7-A9f9R21vMXxHZFNpYNeKFtG8_yji4HS352LGlSQ/edit?pli=1#gid=0"",""1_ACUM!A4:S""),19,FALSE))"),"")</f>
        <v/>
      </c>
      <c r="BF288" s="44" t="str">
        <f ca="1">IFERROR(__xludf.DUMMYFUNCTION("IFERROR(VLOOKUP(F305,IMPORTRANGE(""https://docs.google.com/spreadsheets/d/1Kvs4KS76FHFqLFIZfrDMff4kP08nblUkihrxltoGBjg/edit#gid=934712705"",""ESENCIAL!A6:BG""),5,FALSE))"),"")</f>
        <v/>
      </c>
      <c r="BG288" s="44" t="str">
        <f t="shared" si="37"/>
        <v/>
      </c>
      <c r="BH288" s="41" t="str">
        <f t="shared" si="38"/>
        <v/>
      </c>
      <c r="BI288" s="41" t="str">
        <f ca="1">IFERROR(__xludf.DUMMYFUNCTION("IFERROR(VLOOKUP(F305,IMPORTRANGE(""https://docs.google.com/spreadsheets/d/1Kvs4KS76FHFqLFIZfrDMff4kP08nblUkihrxltoGBjg/edit#gid=934712705"",""ESENCIAL!A6:BG""),18,FALSE))"),"")</f>
        <v/>
      </c>
      <c r="BJ288" s="19" t="str">
        <f t="shared" si="39"/>
        <v/>
      </c>
      <c r="BK288" s="41"/>
      <c r="BL288" s="41"/>
    </row>
    <row r="289" spans="1:64" ht="15">
      <c r="A289" s="4"/>
      <c r="B289" s="4"/>
      <c r="G289" s="5" t="str">
        <f ca="1">IFERROR(__xludf.DUMMYFUNCTION("IFERROR(VLOOKUP(F306,IMPORTRANGE(""https://docs.google.com/spreadsheets/d/1Kvs4KS76FHFqLFIZfrDMff4kP08nblUkihrxltoGBjg/edit#gid=934712705"",""ESENCIAL!A6:BG""),3,FALSE))"),"")</f>
        <v/>
      </c>
      <c r="H289" s="5" t="str">
        <f ca="1">IFERROR(__xludf.DUMMYFUNCTION("IFERROR(VLOOKUP(F306,IMPORTRANGE(""https://docs.google.com/spreadsheets/d/1Kvs4KS76FHFqLFIZfrDMff4kP08nblUkihrxltoGBjg/edit#gid=934712705"",""ESENCIAL!A6:BG""),8,FALSE))"),"")</f>
        <v/>
      </c>
      <c r="L289" s="287"/>
      <c r="S289"/>
      <c r="AU289" s="41" t="str">
        <f t="shared" si="36"/>
        <v/>
      </c>
      <c r="AV289" s="5" t="str">
        <f ca="1">IFERROR(__xludf.DUMMYFUNCTION("IFERROR(VLOOKUP(E306&amp;F306,IMPORTRANGE(""https://docs.google.com/spreadsheets/d/1Uw7-A9f9R21vMXxHZFNpYNeKFtG8_yji4HS352LGlSQ/edit?pli=1#gid=0"",""1_ACUM!A4:S""),11,FALSE))"),"")</f>
        <v/>
      </c>
      <c r="AW289" s="42" t="str">
        <f ca="1">IFERROR(__xludf.DUMMYFUNCTION("IFERROR(VLOOKUP(F306,IMPORTRANGE(""https://docs.google.com/spreadsheets/d/1Kvs4KS76FHFqLFIZfrDMff4kP08nblUkihrxltoGBjg/edit#gid=934712705"",""ESENCIAL!A6:BG""),15,FALSE))"),"")</f>
        <v/>
      </c>
      <c r="AX289" s="21" t="str">
        <f ca="1">IFERROR(__xludf.DUMMYFUNCTION("IFERROR(VLOOKUP(E306&amp;F306,IMPORTRANGE(""https://docs.google.com/spreadsheets/d/1Uw7-A9f9R21vMXxHZFNpYNeKFtG8_yji4HS352LGlSQ/edit?pli=1#gid=0"",""1_ACUM!A4:S""),12,FALSE))"),"")</f>
        <v/>
      </c>
      <c r="AY289" s="43" t="str">
        <f ca="1">IFERROR(__xludf.DUMMYFUNCTION("IFERROR(VLOOKUP(E306&amp;F306,IMPORTRANGE(""https://docs.google.com/spreadsheets/d/1Uw7-A9f9R21vMXxHZFNpYNeKFtG8_yji4HS352LGlSQ/edit?pli=1#gid=0"",""1_ACUM!A4:S""),13,FALSE))"),"")</f>
        <v/>
      </c>
      <c r="AZ289" s="43" t="str">
        <f ca="1">IFERROR(__xludf.DUMMYFUNCTION("IFERROR(VLOOKUP(E306&amp;F306,IMPORTRANGE(""https://docs.google.com/spreadsheets/d/1Uw7-A9f9R21vMXxHZFNpYNeKFtG8_yji4HS352LGlSQ/edit?pli=1#gid=0"",""1_ACUM!A4:S""),14,FALSE))"),"")</f>
        <v/>
      </c>
      <c r="BA289" s="43" t="str">
        <f ca="1">IFERROR(__xludf.DUMMYFUNCTION("IFERROR(VLOOKUP(E306&amp;F306,IMPORTRANGE(""https://docs.google.com/spreadsheets/d/1Uw7-A9f9R21vMXxHZFNpYNeKFtG8_yji4HS352LGlSQ/edit?pli=1#gid=0"",""1_ACUM!A4:S""),15,FALSE))"),"")</f>
        <v/>
      </c>
      <c r="BB289" s="43" t="str">
        <f ca="1">IFERROR(__xludf.DUMMYFUNCTION("IFERROR(VLOOKUP(E306&amp;F306,IMPORTRANGE(""https://docs.google.com/spreadsheets/d/1Uw7-A9f9R21vMXxHZFNpYNeKFtG8_yji4HS352LGlSQ/edit?pli=1#gid=0"",""1_ACUM!A4:S""),16,FALSE))"),"")</f>
        <v/>
      </c>
      <c r="BC289" s="43" t="str">
        <f ca="1">IFERROR(__xludf.DUMMYFUNCTION("IFERROR(VLOOKUP(E306&amp;F306,IMPORTRANGE(""https://docs.google.com/spreadsheets/d/1Uw7-A9f9R21vMXxHZFNpYNeKFtG8_yji4HS352LGlSQ/edit?pli=1#gid=0"",""1_ACUM!A4:S""),17,FALSE))"),"")</f>
        <v/>
      </c>
      <c r="BD289" s="44" t="str">
        <f ca="1">IFERROR(__xludf.DUMMYFUNCTION("IFERROR(VLOOKUP(E306&amp;F306,IMPORTRANGE(""https://docs.google.com/spreadsheets/d/1Uw7-A9f9R21vMXxHZFNpYNeKFtG8_yji4HS352LGlSQ/edit?pli=1#gid=0"",""1_ACUM!A4:S""),18,FALSE))"),"")</f>
        <v/>
      </c>
      <c r="BE289" s="44" t="str">
        <f ca="1">IFERROR(__xludf.DUMMYFUNCTION("IFERROR(VLOOKUP(E306&amp;F306,IMPORTRANGE(""https://docs.google.com/spreadsheets/d/1Uw7-A9f9R21vMXxHZFNpYNeKFtG8_yji4HS352LGlSQ/edit?pli=1#gid=0"",""1_ACUM!A4:S""),19,FALSE))"),"")</f>
        <v/>
      </c>
      <c r="BF289" s="44" t="str">
        <f ca="1">IFERROR(__xludf.DUMMYFUNCTION("IFERROR(VLOOKUP(F306,IMPORTRANGE(""https://docs.google.com/spreadsheets/d/1Kvs4KS76FHFqLFIZfrDMff4kP08nblUkihrxltoGBjg/edit#gid=934712705"",""ESENCIAL!A6:BG""),5,FALSE))"),"")</f>
        <v/>
      </c>
      <c r="BG289" s="44" t="str">
        <f t="shared" si="37"/>
        <v/>
      </c>
      <c r="BH289" s="41" t="str">
        <f t="shared" si="38"/>
        <v/>
      </c>
      <c r="BI289" s="41" t="str">
        <f ca="1">IFERROR(__xludf.DUMMYFUNCTION("IFERROR(VLOOKUP(F306,IMPORTRANGE(""https://docs.google.com/spreadsheets/d/1Kvs4KS76FHFqLFIZfrDMff4kP08nblUkihrxltoGBjg/edit#gid=934712705"",""ESENCIAL!A6:BG""),18,FALSE))"),"")</f>
        <v/>
      </c>
      <c r="BJ289" s="19" t="str">
        <f t="shared" si="39"/>
        <v/>
      </c>
      <c r="BK289" s="41"/>
      <c r="BL289" s="41"/>
    </row>
    <row r="290" spans="1:64" ht="15">
      <c r="A290" s="4"/>
      <c r="B290" s="4"/>
      <c r="G290" s="5" t="str">
        <f ca="1">IFERROR(__xludf.DUMMYFUNCTION("IFERROR(VLOOKUP(F307,IMPORTRANGE(""https://docs.google.com/spreadsheets/d/1Kvs4KS76FHFqLFIZfrDMff4kP08nblUkihrxltoGBjg/edit#gid=934712705"",""ESENCIAL!A6:BG""),3,FALSE))"),"")</f>
        <v/>
      </c>
      <c r="H290" s="5" t="str">
        <f ca="1">IFERROR(__xludf.DUMMYFUNCTION("IFERROR(VLOOKUP(F307,IMPORTRANGE(""https://docs.google.com/spreadsheets/d/1Kvs4KS76FHFqLFIZfrDMff4kP08nblUkihrxltoGBjg/edit#gid=934712705"",""ESENCIAL!A6:BG""),8,FALSE))"),"")</f>
        <v/>
      </c>
      <c r="L290" s="287"/>
      <c r="S290"/>
      <c r="AU290" s="41" t="str">
        <f t="shared" si="36"/>
        <v/>
      </c>
      <c r="AV290" s="5" t="str">
        <f ca="1">IFERROR(__xludf.DUMMYFUNCTION("IFERROR(VLOOKUP(E307&amp;F307,IMPORTRANGE(""https://docs.google.com/spreadsheets/d/1Uw7-A9f9R21vMXxHZFNpYNeKFtG8_yji4HS352LGlSQ/edit?pli=1#gid=0"",""1_ACUM!A4:S""),11,FALSE))"),"")</f>
        <v/>
      </c>
      <c r="AW290" s="42" t="str">
        <f ca="1">IFERROR(__xludf.DUMMYFUNCTION("IFERROR(VLOOKUP(F307,IMPORTRANGE(""https://docs.google.com/spreadsheets/d/1Kvs4KS76FHFqLFIZfrDMff4kP08nblUkihrxltoGBjg/edit#gid=934712705"",""ESENCIAL!A6:BG""),15,FALSE))"),"")</f>
        <v/>
      </c>
      <c r="AX290" s="21" t="str">
        <f ca="1">IFERROR(__xludf.DUMMYFUNCTION("IFERROR(VLOOKUP(E307&amp;F307,IMPORTRANGE(""https://docs.google.com/spreadsheets/d/1Uw7-A9f9R21vMXxHZFNpYNeKFtG8_yji4HS352LGlSQ/edit?pli=1#gid=0"",""1_ACUM!A4:S""),12,FALSE))"),"")</f>
        <v/>
      </c>
      <c r="AY290" s="43" t="str">
        <f ca="1">IFERROR(__xludf.DUMMYFUNCTION("IFERROR(VLOOKUP(E307&amp;F307,IMPORTRANGE(""https://docs.google.com/spreadsheets/d/1Uw7-A9f9R21vMXxHZFNpYNeKFtG8_yji4HS352LGlSQ/edit?pli=1#gid=0"",""1_ACUM!A4:S""),13,FALSE))"),"")</f>
        <v/>
      </c>
      <c r="AZ290" s="43" t="str">
        <f ca="1">IFERROR(__xludf.DUMMYFUNCTION("IFERROR(VLOOKUP(E307&amp;F307,IMPORTRANGE(""https://docs.google.com/spreadsheets/d/1Uw7-A9f9R21vMXxHZFNpYNeKFtG8_yji4HS352LGlSQ/edit?pli=1#gid=0"",""1_ACUM!A4:S""),14,FALSE))"),"")</f>
        <v/>
      </c>
      <c r="BA290" s="43" t="str">
        <f ca="1">IFERROR(__xludf.DUMMYFUNCTION("IFERROR(VLOOKUP(E307&amp;F307,IMPORTRANGE(""https://docs.google.com/spreadsheets/d/1Uw7-A9f9R21vMXxHZFNpYNeKFtG8_yji4HS352LGlSQ/edit?pli=1#gid=0"",""1_ACUM!A4:S""),15,FALSE))"),"")</f>
        <v/>
      </c>
      <c r="BB290" s="43" t="str">
        <f ca="1">IFERROR(__xludf.DUMMYFUNCTION("IFERROR(VLOOKUP(E307&amp;F307,IMPORTRANGE(""https://docs.google.com/spreadsheets/d/1Uw7-A9f9R21vMXxHZFNpYNeKFtG8_yji4HS352LGlSQ/edit?pli=1#gid=0"",""1_ACUM!A4:S""),16,FALSE))"),"")</f>
        <v/>
      </c>
      <c r="BC290" s="43" t="str">
        <f ca="1">IFERROR(__xludf.DUMMYFUNCTION("IFERROR(VLOOKUP(E307&amp;F307,IMPORTRANGE(""https://docs.google.com/spreadsheets/d/1Uw7-A9f9R21vMXxHZFNpYNeKFtG8_yji4HS352LGlSQ/edit?pli=1#gid=0"",""1_ACUM!A4:S""),17,FALSE))"),"")</f>
        <v/>
      </c>
      <c r="BD290" s="44" t="str">
        <f ca="1">IFERROR(__xludf.DUMMYFUNCTION("IFERROR(VLOOKUP(E307&amp;F307,IMPORTRANGE(""https://docs.google.com/spreadsheets/d/1Uw7-A9f9R21vMXxHZFNpYNeKFtG8_yji4HS352LGlSQ/edit?pli=1#gid=0"",""1_ACUM!A4:S""),18,FALSE))"),"")</f>
        <v/>
      </c>
      <c r="BE290" s="44" t="str">
        <f ca="1">IFERROR(__xludf.DUMMYFUNCTION("IFERROR(VLOOKUP(E307&amp;F307,IMPORTRANGE(""https://docs.google.com/spreadsheets/d/1Uw7-A9f9R21vMXxHZFNpYNeKFtG8_yji4HS352LGlSQ/edit?pli=1#gid=0"",""1_ACUM!A4:S""),19,FALSE))"),"")</f>
        <v/>
      </c>
      <c r="BF290" s="44" t="str">
        <f ca="1">IFERROR(__xludf.DUMMYFUNCTION("IFERROR(VLOOKUP(F307,IMPORTRANGE(""https://docs.google.com/spreadsheets/d/1Kvs4KS76FHFqLFIZfrDMff4kP08nblUkihrxltoGBjg/edit#gid=934712705"",""ESENCIAL!A6:BG""),5,FALSE))"),"")</f>
        <v/>
      </c>
      <c r="BG290" s="44" t="str">
        <f t="shared" si="37"/>
        <v/>
      </c>
      <c r="BH290" s="41" t="str">
        <f t="shared" si="38"/>
        <v/>
      </c>
      <c r="BI290" s="41" t="str">
        <f ca="1">IFERROR(__xludf.DUMMYFUNCTION("IFERROR(VLOOKUP(F307,IMPORTRANGE(""https://docs.google.com/spreadsheets/d/1Kvs4KS76FHFqLFIZfrDMff4kP08nblUkihrxltoGBjg/edit#gid=934712705"",""ESENCIAL!A6:BG""),18,FALSE))"),"")</f>
        <v/>
      </c>
      <c r="BJ290" s="19" t="str">
        <f t="shared" si="39"/>
        <v/>
      </c>
      <c r="BK290" s="41"/>
      <c r="BL290" s="41"/>
    </row>
    <row r="291" spans="1:64" ht="15">
      <c r="A291" s="4"/>
      <c r="B291" s="4"/>
      <c r="G291" s="5" t="str">
        <f ca="1">IFERROR(__xludf.DUMMYFUNCTION("IFERROR(VLOOKUP(F308,IMPORTRANGE(""https://docs.google.com/spreadsheets/d/1Kvs4KS76FHFqLFIZfrDMff4kP08nblUkihrxltoGBjg/edit#gid=934712705"",""ESENCIAL!A6:BG""),3,FALSE))"),"")</f>
        <v/>
      </c>
      <c r="H291" s="5" t="str">
        <f ca="1">IFERROR(__xludf.DUMMYFUNCTION("IFERROR(VLOOKUP(F308,IMPORTRANGE(""https://docs.google.com/spreadsheets/d/1Kvs4KS76FHFqLFIZfrDMff4kP08nblUkihrxltoGBjg/edit#gid=934712705"",""ESENCIAL!A6:BG""),8,FALSE))"),"")</f>
        <v/>
      </c>
      <c r="L291" s="287"/>
      <c r="S291"/>
      <c r="AU291" s="41" t="str">
        <f t="shared" si="36"/>
        <v/>
      </c>
      <c r="AV291" s="5" t="str">
        <f ca="1">IFERROR(__xludf.DUMMYFUNCTION("IFERROR(VLOOKUP(E308&amp;F308,IMPORTRANGE(""https://docs.google.com/spreadsheets/d/1Uw7-A9f9R21vMXxHZFNpYNeKFtG8_yji4HS352LGlSQ/edit?pli=1#gid=0"",""1_ACUM!A4:S""),11,FALSE))"),"")</f>
        <v/>
      </c>
      <c r="AW291" s="42" t="str">
        <f ca="1">IFERROR(__xludf.DUMMYFUNCTION("IFERROR(VLOOKUP(F308,IMPORTRANGE(""https://docs.google.com/spreadsheets/d/1Kvs4KS76FHFqLFIZfrDMff4kP08nblUkihrxltoGBjg/edit#gid=934712705"",""ESENCIAL!A6:BG""),15,FALSE))"),"")</f>
        <v/>
      </c>
      <c r="AX291" s="21" t="str">
        <f ca="1">IFERROR(__xludf.DUMMYFUNCTION("IFERROR(VLOOKUP(E308&amp;F308,IMPORTRANGE(""https://docs.google.com/spreadsheets/d/1Uw7-A9f9R21vMXxHZFNpYNeKFtG8_yji4HS352LGlSQ/edit?pli=1#gid=0"",""1_ACUM!A4:S""),12,FALSE))"),"")</f>
        <v/>
      </c>
      <c r="AY291" s="43" t="str">
        <f ca="1">IFERROR(__xludf.DUMMYFUNCTION("IFERROR(VLOOKUP(E308&amp;F308,IMPORTRANGE(""https://docs.google.com/spreadsheets/d/1Uw7-A9f9R21vMXxHZFNpYNeKFtG8_yji4HS352LGlSQ/edit?pli=1#gid=0"",""1_ACUM!A4:S""),13,FALSE))"),"")</f>
        <v/>
      </c>
      <c r="AZ291" s="43" t="str">
        <f ca="1">IFERROR(__xludf.DUMMYFUNCTION("IFERROR(VLOOKUP(E308&amp;F308,IMPORTRANGE(""https://docs.google.com/spreadsheets/d/1Uw7-A9f9R21vMXxHZFNpYNeKFtG8_yji4HS352LGlSQ/edit?pli=1#gid=0"",""1_ACUM!A4:S""),14,FALSE))"),"")</f>
        <v/>
      </c>
      <c r="BA291" s="43" t="str">
        <f ca="1">IFERROR(__xludf.DUMMYFUNCTION("IFERROR(VLOOKUP(E308&amp;F308,IMPORTRANGE(""https://docs.google.com/spreadsheets/d/1Uw7-A9f9R21vMXxHZFNpYNeKFtG8_yji4HS352LGlSQ/edit?pli=1#gid=0"",""1_ACUM!A4:S""),15,FALSE))"),"")</f>
        <v/>
      </c>
      <c r="BB291" s="43" t="str">
        <f ca="1">IFERROR(__xludf.DUMMYFUNCTION("IFERROR(VLOOKUP(E308&amp;F308,IMPORTRANGE(""https://docs.google.com/spreadsheets/d/1Uw7-A9f9R21vMXxHZFNpYNeKFtG8_yji4HS352LGlSQ/edit?pli=1#gid=0"",""1_ACUM!A4:S""),16,FALSE))"),"")</f>
        <v/>
      </c>
      <c r="BC291" s="43" t="str">
        <f ca="1">IFERROR(__xludf.DUMMYFUNCTION("IFERROR(VLOOKUP(E308&amp;F308,IMPORTRANGE(""https://docs.google.com/spreadsheets/d/1Uw7-A9f9R21vMXxHZFNpYNeKFtG8_yji4HS352LGlSQ/edit?pli=1#gid=0"",""1_ACUM!A4:S""),17,FALSE))"),"")</f>
        <v/>
      </c>
      <c r="BD291" s="44" t="str">
        <f ca="1">IFERROR(__xludf.DUMMYFUNCTION("IFERROR(VLOOKUP(E308&amp;F308,IMPORTRANGE(""https://docs.google.com/spreadsheets/d/1Uw7-A9f9R21vMXxHZFNpYNeKFtG8_yji4HS352LGlSQ/edit?pli=1#gid=0"",""1_ACUM!A4:S""),18,FALSE))"),"")</f>
        <v/>
      </c>
      <c r="BE291" s="44" t="str">
        <f ca="1">IFERROR(__xludf.DUMMYFUNCTION("IFERROR(VLOOKUP(E308&amp;F308,IMPORTRANGE(""https://docs.google.com/spreadsheets/d/1Uw7-A9f9R21vMXxHZFNpYNeKFtG8_yji4HS352LGlSQ/edit?pli=1#gid=0"",""1_ACUM!A4:S""),19,FALSE))"),"")</f>
        <v/>
      </c>
      <c r="BF291" s="44" t="str">
        <f ca="1">IFERROR(__xludf.DUMMYFUNCTION("IFERROR(VLOOKUP(F308,IMPORTRANGE(""https://docs.google.com/spreadsheets/d/1Kvs4KS76FHFqLFIZfrDMff4kP08nblUkihrxltoGBjg/edit#gid=934712705"",""ESENCIAL!A6:BG""),5,FALSE))"),"")</f>
        <v/>
      </c>
      <c r="BG291" s="44" t="str">
        <f t="shared" si="37"/>
        <v/>
      </c>
      <c r="BH291" s="41" t="str">
        <f t="shared" si="38"/>
        <v/>
      </c>
      <c r="BI291" s="41" t="str">
        <f ca="1">IFERROR(__xludf.DUMMYFUNCTION("IFERROR(VLOOKUP(F308,IMPORTRANGE(""https://docs.google.com/spreadsheets/d/1Kvs4KS76FHFqLFIZfrDMff4kP08nblUkihrxltoGBjg/edit#gid=934712705"",""ESENCIAL!A6:BG""),18,FALSE))"),"")</f>
        <v/>
      </c>
      <c r="BJ291" s="19" t="str">
        <f t="shared" si="39"/>
        <v/>
      </c>
      <c r="BK291" s="41"/>
      <c r="BL291" s="41"/>
    </row>
    <row r="292" spans="1:64" ht="15">
      <c r="A292" s="4"/>
      <c r="B292" s="4"/>
      <c r="G292" s="5" t="str">
        <f ca="1">IFERROR(__xludf.DUMMYFUNCTION("IFERROR(VLOOKUP(F309,IMPORTRANGE(""https://docs.google.com/spreadsheets/d/1Kvs4KS76FHFqLFIZfrDMff4kP08nblUkihrxltoGBjg/edit#gid=934712705"",""ESENCIAL!A6:BG""),3,FALSE))"),"")</f>
        <v/>
      </c>
      <c r="H292" s="5" t="str">
        <f ca="1">IFERROR(__xludf.DUMMYFUNCTION("IFERROR(VLOOKUP(F309,IMPORTRANGE(""https://docs.google.com/spreadsheets/d/1Kvs4KS76FHFqLFIZfrDMff4kP08nblUkihrxltoGBjg/edit#gid=934712705"",""ESENCIAL!A6:BG""),8,FALSE))"),"")</f>
        <v/>
      </c>
      <c r="L292" s="287"/>
      <c r="S292"/>
      <c r="AU292" s="41" t="str">
        <f t="shared" si="36"/>
        <v/>
      </c>
      <c r="AV292" s="5" t="str">
        <f ca="1">IFERROR(__xludf.DUMMYFUNCTION("IFERROR(VLOOKUP(E309&amp;F309,IMPORTRANGE(""https://docs.google.com/spreadsheets/d/1Uw7-A9f9R21vMXxHZFNpYNeKFtG8_yji4HS352LGlSQ/edit?pli=1#gid=0"",""1_ACUM!A4:S""),11,FALSE))"),"")</f>
        <v/>
      </c>
      <c r="AW292" s="42" t="str">
        <f ca="1">IFERROR(__xludf.DUMMYFUNCTION("IFERROR(VLOOKUP(F309,IMPORTRANGE(""https://docs.google.com/spreadsheets/d/1Kvs4KS76FHFqLFIZfrDMff4kP08nblUkihrxltoGBjg/edit#gid=934712705"",""ESENCIAL!A6:BG""),15,FALSE))"),"")</f>
        <v/>
      </c>
      <c r="AX292" s="21" t="str">
        <f ca="1">IFERROR(__xludf.DUMMYFUNCTION("IFERROR(VLOOKUP(E309&amp;F309,IMPORTRANGE(""https://docs.google.com/spreadsheets/d/1Uw7-A9f9R21vMXxHZFNpYNeKFtG8_yji4HS352LGlSQ/edit?pli=1#gid=0"",""1_ACUM!A4:S""),12,FALSE))"),"")</f>
        <v/>
      </c>
      <c r="AY292" s="43" t="str">
        <f ca="1">IFERROR(__xludf.DUMMYFUNCTION("IFERROR(VLOOKUP(E309&amp;F309,IMPORTRANGE(""https://docs.google.com/spreadsheets/d/1Uw7-A9f9R21vMXxHZFNpYNeKFtG8_yji4HS352LGlSQ/edit?pli=1#gid=0"",""1_ACUM!A4:S""),13,FALSE))"),"")</f>
        <v/>
      </c>
      <c r="AZ292" s="43" t="str">
        <f ca="1">IFERROR(__xludf.DUMMYFUNCTION("IFERROR(VLOOKUP(E309&amp;F309,IMPORTRANGE(""https://docs.google.com/spreadsheets/d/1Uw7-A9f9R21vMXxHZFNpYNeKFtG8_yji4HS352LGlSQ/edit?pli=1#gid=0"",""1_ACUM!A4:S""),14,FALSE))"),"")</f>
        <v/>
      </c>
      <c r="BA292" s="43" t="str">
        <f ca="1">IFERROR(__xludf.DUMMYFUNCTION("IFERROR(VLOOKUP(E309&amp;F309,IMPORTRANGE(""https://docs.google.com/spreadsheets/d/1Uw7-A9f9R21vMXxHZFNpYNeKFtG8_yji4HS352LGlSQ/edit?pli=1#gid=0"",""1_ACUM!A4:S""),15,FALSE))"),"")</f>
        <v/>
      </c>
      <c r="BB292" s="43" t="str">
        <f ca="1">IFERROR(__xludf.DUMMYFUNCTION("IFERROR(VLOOKUP(E309&amp;F309,IMPORTRANGE(""https://docs.google.com/spreadsheets/d/1Uw7-A9f9R21vMXxHZFNpYNeKFtG8_yji4HS352LGlSQ/edit?pli=1#gid=0"",""1_ACUM!A4:S""),16,FALSE))"),"")</f>
        <v/>
      </c>
      <c r="BC292" s="43" t="str">
        <f ca="1">IFERROR(__xludf.DUMMYFUNCTION("IFERROR(VLOOKUP(E309&amp;F309,IMPORTRANGE(""https://docs.google.com/spreadsheets/d/1Uw7-A9f9R21vMXxHZFNpYNeKFtG8_yji4HS352LGlSQ/edit?pli=1#gid=0"",""1_ACUM!A4:S""),17,FALSE))"),"")</f>
        <v/>
      </c>
      <c r="BD292" s="44" t="str">
        <f ca="1">IFERROR(__xludf.DUMMYFUNCTION("IFERROR(VLOOKUP(E309&amp;F309,IMPORTRANGE(""https://docs.google.com/spreadsheets/d/1Uw7-A9f9R21vMXxHZFNpYNeKFtG8_yji4HS352LGlSQ/edit?pli=1#gid=0"",""1_ACUM!A4:S""),18,FALSE))"),"")</f>
        <v/>
      </c>
      <c r="BE292" s="44" t="str">
        <f ca="1">IFERROR(__xludf.DUMMYFUNCTION("IFERROR(VLOOKUP(E309&amp;F309,IMPORTRANGE(""https://docs.google.com/spreadsheets/d/1Uw7-A9f9R21vMXxHZFNpYNeKFtG8_yji4HS352LGlSQ/edit?pli=1#gid=0"",""1_ACUM!A4:S""),19,FALSE))"),"")</f>
        <v/>
      </c>
      <c r="BF292" s="44" t="str">
        <f ca="1">IFERROR(__xludf.DUMMYFUNCTION("IFERROR(VLOOKUP(F309,IMPORTRANGE(""https://docs.google.com/spreadsheets/d/1Kvs4KS76FHFqLFIZfrDMff4kP08nblUkihrxltoGBjg/edit#gid=934712705"",""ESENCIAL!A6:BG""),5,FALSE))"),"")</f>
        <v/>
      </c>
      <c r="BG292" s="44" t="str">
        <f t="shared" si="37"/>
        <v/>
      </c>
      <c r="BH292" s="41" t="str">
        <f t="shared" si="38"/>
        <v/>
      </c>
      <c r="BI292" s="41" t="str">
        <f ca="1">IFERROR(__xludf.DUMMYFUNCTION("IFERROR(VLOOKUP(F309,IMPORTRANGE(""https://docs.google.com/spreadsheets/d/1Kvs4KS76FHFqLFIZfrDMff4kP08nblUkihrxltoGBjg/edit#gid=934712705"",""ESENCIAL!A6:BG""),18,FALSE))"),"")</f>
        <v/>
      </c>
      <c r="BJ292" s="19" t="str">
        <f t="shared" si="39"/>
        <v/>
      </c>
      <c r="BK292" s="41"/>
      <c r="BL292" s="41"/>
    </row>
    <row r="293" spans="1:64" ht="15">
      <c r="A293" s="4"/>
      <c r="B293" s="4"/>
      <c r="G293" s="5" t="str">
        <f ca="1">IFERROR(__xludf.DUMMYFUNCTION("IFERROR(VLOOKUP(F310,IMPORTRANGE(""https://docs.google.com/spreadsheets/d/1Kvs4KS76FHFqLFIZfrDMff4kP08nblUkihrxltoGBjg/edit#gid=934712705"",""ESENCIAL!A6:BG""),3,FALSE))"),"")</f>
        <v/>
      </c>
      <c r="H293" s="5" t="str">
        <f ca="1">IFERROR(__xludf.DUMMYFUNCTION("IFERROR(VLOOKUP(F310,IMPORTRANGE(""https://docs.google.com/spreadsheets/d/1Kvs4KS76FHFqLFIZfrDMff4kP08nblUkihrxltoGBjg/edit#gid=934712705"",""ESENCIAL!A6:BG""),8,FALSE))"),"")</f>
        <v/>
      </c>
      <c r="L293" s="287"/>
      <c r="S293"/>
      <c r="AU293" s="41" t="str">
        <f t="shared" si="36"/>
        <v/>
      </c>
      <c r="AV293" s="5" t="str">
        <f ca="1">IFERROR(__xludf.DUMMYFUNCTION("IFERROR(VLOOKUP(E310&amp;F310,IMPORTRANGE(""https://docs.google.com/spreadsheets/d/1Uw7-A9f9R21vMXxHZFNpYNeKFtG8_yji4HS352LGlSQ/edit?pli=1#gid=0"",""1_ACUM!A4:S""),11,FALSE))"),"")</f>
        <v/>
      </c>
      <c r="AW293" s="42" t="str">
        <f ca="1">IFERROR(__xludf.DUMMYFUNCTION("IFERROR(VLOOKUP(F310,IMPORTRANGE(""https://docs.google.com/spreadsheets/d/1Kvs4KS76FHFqLFIZfrDMff4kP08nblUkihrxltoGBjg/edit#gid=934712705"",""ESENCIAL!A6:BG""),15,FALSE))"),"")</f>
        <v/>
      </c>
      <c r="AX293" s="21" t="str">
        <f ca="1">IFERROR(__xludf.DUMMYFUNCTION("IFERROR(VLOOKUP(E310&amp;F310,IMPORTRANGE(""https://docs.google.com/spreadsheets/d/1Uw7-A9f9R21vMXxHZFNpYNeKFtG8_yji4HS352LGlSQ/edit?pli=1#gid=0"",""1_ACUM!A4:S""),12,FALSE))"),"")</f>
        <v/>
      </c>
      <c r="AY293" s="43" t="str">
        <f ca="1">IFERROR(__xludf.DUMMYFUNCTION("IFERROR(VLOOKUP(E310&amp;F310,IMPORTRANGE(""https://docs.google.com/spreadsheets/d/1Uw7-A9f9R21vMXxHZFNpYNeKFtG8_yji4HS352LGlSQ/edit?pli=1#gid=0"",""1_ACUM!A4:S""),13,FALSE))"),"")</f>
        <v/>
      </c>
      <c r="AZ293" s="43" t="str">
        <f ca="1">IFERROR(__xludf.DUMMYFUNCTION("IFERROR(VLOOKUP(E310&amp;F310,IMPORTRANGE(""https://docs.google.com/spreadsheets/d/1Uw7-A9f9R21vMXxHZFNpYNeKFtG8_yji4HS352LGlSQ/edit?pli=1#gid=0"",""1_ACUM!A4:S""),14,FALSE))"),"")</f>
        <v/>
      </c>
      <c r="BA293" s="43" t="str">
        <f ca="1">IFERROR(__xludf.DUMMYFUNCTION("IFERROR(VLOOKUP(E310&amp;F310,IMPORTRANGE(""https://docs.google.com/spreadsheets/d/1Uw7-A9f9R21vMXxHZFNpYNeKFtG8_yji4HS352LGlSQ/edit?pli=1#gid=0"",""1_ACUM!A4:S""),15,FALSE))"),"")</f>
        <v/>
      </c>
      <c r="BB293" s="43" t="str">
        <f ca="1">IFERROR(__xludf.DUMMYFUNCTION("IFERROR(VLOOKUP(E310&amp;F310,IMPORTRANGE(""https://docs.google.com/spreadsheets/d/1Uw7-A9f9R21vMXxHZFNpYNeKFtG8_yji4HS352LGlSQ/edit?pli=1#gid=0"",""1_ACUM!A4:S""),16,FALSE))"),"")</f>
        <v/>
      </c>
      <c r="BC293" s="43" t="str">
        <f ca="1">IFERROR(__xludf.DUMMYFUNCTION("IFERROR(VLOOKUP(E310&amp;F310,IMPORTRANGE(""https://docs.google.com/spreadsheets/d/1Uw7-A9f9R21vMXxHZFNpYNeKFtG8_yji4HS352LGlSQ/edit?pli=1#gid=0"",""1_ACUM!A4:S""),17,FALSE))"),"")</f>
        <v/>
      </c>
      <c r="BD293" s="44" t="str">
        <f ca="1">IFERROR(__xludf.DUMMYFUNCTION("IFERROR(VLOOKUP(E310&amp;F310,IMPORTRANGE(""https://docs.google.com/spreadsheets/d/1Uw7-A9f9R21vMXxHZFNpYNeKFtG8_yji4HS352LGlSQ/edit?pli=1#gid=0"",""1_ACUM!A4:S""),18,FALSE))"),"")</f>
        <v/>
      </c>
      <c r="BE293" s="44" t="str">
        <f ca="1">IFERROR(__xludf.DUMMYFUNCTION("IFERROR(VLOOKUP(E310&amp;F310,IMPORTRANGE(""https://docs.google.com/spreadsheets/d/1Uw7-A9f9R21vMXxHZFNpYNeKFtG8_yji4HS352LGlSQ/edit?pli=1#gid=0"",""1_ACUM!A4:S""),19,FALSE))"),"")</f>
        <v/>
      </c>
      <c r="BF293" s="44" t="str">
        <f ca="1">IFERROR(__xludf.DUMMYFUNCTION("IFERROR(VLOOKUP(F310,IMPORTRANGE(""https://docs.google.com/spreadsheets/d/1Kvs4KS76FHFqLFIZfrDMff4kP08nblUkihrxltoGBjg/edit#gid=934712705"",""ESENCIAL!A6:BG""),5,FALSE))"),"")</f>
        <v/>
      </c>
      <c r="BG293" s="44" t="str">
        <f t="shared" si="37"/>
        <v/>
      </c>
      <c r="BH293" s="41" t="str">
        <f t="shared" si="38"/>
        <v/>
      </c>
      <c r="BI293" s="41" t="str">
        <f ca="1">IFERROR(__xludf.DUMMYFUNCTION("IFERROR(VLOOKUP(F310,IMPORTRANGE(""https://docs.google.com/spreadsheets/d/1Kvs4KS76FHFqLFIZfrDMff4kP08nblUkihrxltoGBjg/edit#gid=934712705"",""ESENCIAL!A6:BG""),18,FALSE))"),"")</f>
        <v/>
      </c>
      <c r="BJ293" s="19" t="str">
        <f t="shared" si="39"/>
        <v/>
      </c>
      <c r="BK293" s="41"/>
      <c r="BL293" s="41"/>
    </row>
    <row r="294" spans="1:64" ht="15">
      <c r="A294" s="4"/>
      <c r="B294" s="4"/>
      <c r="G294" s="5" t="str">
        <f ca="1">IFERROR(__xludf.DUMMYFUNCTION("IFERROR(VLOOKUP(F311,IMPORTRANGE(""https://docs.google.com/spreadsheets/d/1Kvs4KS76FHFqLFIZfrDMff4kP08nblUkihrxltoGBjg/edit#gid=934712705"",""ESENCIAL!A6:BG""),3,FALSE))"),"")</f>
        <v/>
      </c>
      <c r="H294" s="5" t="str">
        <f ca="1">IFERROR(__xludf.DUMMYFUNCTION("IFERROR(VLOOKUP(F311,IMPORTRANGE(""https://docs.google.com/spreadsheets/d/1Kvs4KS76FHFqLFIZfrDMff4kP08nblUkihrxltoGBjg/edit#gid=934712705"",""ESENCIAL!A6:BG""),8,FALSE))"),"")</f>
        <v/>
      </c>
      <c r="L294" s="287"/>
      <c r="S294"/>
      <c r="AU294" s="41" t="str">
        <f t="shared" si="36"/>
        <v/>
      </c>
      <c r="AV294" s="5" t="str">
        <f ca="1">IFERROR(__xludf.DUMMYFUNCTION("IFERROR(VLOOKUP(E311&amp;F311,IMPORTRANGE(""https://docs.google.com/spreadsheets/d/1Uw7-A9f9R21vMXxHZFNpYNeKFtG8_yji4HS352LGlSQ/edit?pli=1#gid=0"",""1_ACUM!A4:S""),11,FALSE))"),"")</f>
        <v/>
      </c>
      <c r="AW294" s="42" t="str">
        <f ca="1">IFERROR(__xludf.DUMMYFUNCTION("IFERROR(VLOOKUP(F311,IMPORTRANGE(""https://docs.google.com/spreadsheets/d/1Kvs4KS76FHFqLFIZfrDMff4kP08nblUkihrxltoGBjg/edit#gid=934712705"",""ESENCIAL!A6:BG""),15,FALSE))"),"")</f>
        <v/>
      </c>
      <c r="AX294" s="21" t="str">
        <f ca="1">IFERROR(__xludf.DUMMYFUNCTION("IFERROR(VLOOKUP(E311&amp;F311,IMPORTRANGE(""https://docs.google.com/spreadsheets/d/1Uw7-A9f9R21vMXxHZFNpYNeKFtG8_yji4HS352LGlSQ/edit?pli=1#gid=0"",""1_ACUM!A4:S""),12,FALSE))"),"")</f>
        <v/>
      </c>
      <c r="AY294" s="43" t="str">
        <f ca="1">IFERROR(__xludf.DUMMYFUNCTION("IFERROR(VLOOKUP(E311&amp;F311,IMPORTRANGE(""https://docs.google.com/spreadsheets/d/1Uw7-A9f9R21vMXxHZFNpYNeKFtG8_yji4HS352LGlSQ/edit?pli=1#gid=0"",""1_ACUM!A4:S""),13,FALSE))"),"")</f>
        <v/>
      </c>
      <c r="AZ294" s="43" t="str">
        <f ca="1">IFERROR(__xludf.DUMMYFUNCTION("IFERROR(VLOOKUP(E311&amp;F311,IMPORTRANGE(""https://docs.google.com/spreadsheets/d/1Uw7-A9f9R21vMXxHZFNpYNeKFtG8_yji4HS352LGlSQ/edit?pli=1#gid=0"",""1_ACUM!A4:S""),14,FALSE))"),"")</f>
        <v/>
      </c>
      <c r="BA294" s="43" t="str">
        <f ca="1">IFERROR(__xludf.DUMMYFUNCTION("IFERROR(VLOOKUP(E311&amp;F311,IMPORTRANGE(""https://docs.google.com/spreadsheets/d/1Uw7-A9f9R21vMXxHZFNpYNeKFtG8_yji4HS352LGlSQ/edit?pli=1#gid=0"",""1_ACUM!A4:S""),15,FALSE))"),"")</f>
        <v/>
      </c>
      <c r="BB294" s="43" t="str">
        <f ca="1">IFERROR(__xludf.DUMMYFUNCTION("IFERROR(VLOOKUP(E311&amp;F311,IMPORTRANGE(""https://docs.google.com/spreadsheets/d/1Uw7-A9f9R21vMXxHZFNpYNeKFtG8_yji4HS352LGlSQ/edit?pli=1#gid=0"",""1_ACUM!A4:S""),16,FALSE))"),"")</f>
        <v/>
      </c>
      <c r="BC294" s="43" t="str">
        <f ca="1">IFERROR(__xludf.DUMMYFUNCTION("IFERROR(VLOOKUP(E311&amp;F311,IMPORTRANGE(""https://docs.google.com/spreadsheets/d/1Uw7-A9f9R21vMXxHZFNpYNeKFtG8_yji4HS352LGlSQ/edit?pli=1#gid=0"",""1_ACUM!A4:S""),17,FALSE))"),"")</f>
        <v/>
      </c>
      <c r="BD294" s="44" t="str">
        <f ca="1">IFERROR(__xludf.DUMMYFUNCTION("IFERROR(VLOOKUP(E311&amp;F311,IMPORTRANGE(""https://docs.google.com/spreadsheets/d/1Uw7-A9f9R21vMXxHZFNpYNeKFtG8_yji4HS352LGlSQ/edit?pli=1#gid=0"",""1_ACUM!A4:S""),18,FALSE))"),"")</f>
        <v/>
      </c>
      <c r="BE294" s="44" t="str">
        <f ca="1">IFERROR(__xludf.DUMMYFUNCTION("IFERROR(VLOOKUP(E311&amp;F311,IMPORTRANGE(""https://docs.google.com/spreadsheets/d/1Uw7-A9f9R21vMXxHZFNpYNeKFtG8_yji4HS352LGlSQ/edit?pli=1#gid=0"",""1_ACUM!A4:S""),19,FALSE))"),"")</f>
        <v/>
      </c>
      <c r="BF294" s="44" t="str">
        <f ca="1">IFERROR(__xludf.DUMMYFUNCTION("IFERROR(VLOOKUP(F311,IMPORTRANGE(""https://docs.google.com/spreadsheets/d/1Kvs4KS76FHFqLFIZfrDMff4kP08nblUkihrxltoGBjg/edit#gid=934712705"",""ESENCIAL!A6:BG""),5,FALSE))"),"")</f>
        <v/>
      </c>
      <c r="BG294" s="44" t="str">
        <f t="shared" si="37"/>
        <v/>
      </c>
      <c r="BH294" s="41" t="str">
        <f t="shared" si="38"/>
        <v/>
      </c>
      <c r="BI294" s="41" t="str">
        <f ca="1">IFERROR(__xludf.DUMMYFUNCTION("IFERROR(VLOOKUP(F311,IMPORTRANGE(""https://docs.google.com/spreadsheets/d/1Kvs4KS76FHFqLFIZfrDMff4kP08nblUkihrxltoGBjg/edit#gid=934712705"",""ESENCIAL!A6:BG""),18,FALSE))"),"")</f>
        <v/>
      </c>
      <c r="BJ294" s="19" t="str">
        <f t="shared" si="39"/>
        <v/>
      </c>
      <c r="BK294" s="41"/>
      <c r="BL294" s="41"/>
    </row>
    <row r="295" spans="1:64" ht="15">
      <c r="A295" s="4"/>
      <c r="B295" s="4"/>
      <c r="G295" s="5" t="str">
        <f ca="1">IFERROR(__xludf.DUMMYFUNCTION("IFERROR(VLOOKUP(F312,IMPORTRANGE(""https://docs.google.com/spreadsheets/d/1Kvs4KS76FHFqLFIZfrDMff4kP08nblUkihrxltoGBjg/edit#gid=934712705"",""ESENCIAL!A6:BG""),3,FALSE))"),"")</f>
        <v/>
      </c>
      <c r="H295" s="5" t="str">
        <f ca="1">IFERROR(__xludf.DUMMYFUNCTION("IFERROR(VLOOKUP(F312,IMPORTRANGE(""https://docs.google.com/spreadsheets/d/1Kvs4KS76FHFqLFIZfrDMff4kP08nblUkihrxltoGBjg/edit#gid=934712705"",""ESENCIAL!A6:BG""),8,FALSE))"),"")</f>
        <v/>
      </c>
      <c r="L295" s="287"/>
      <c r="S295"/>
      <c r="AU295" s="41" t="str">
        <f t="shared" si="36"/>
        <v/>
      </c>
      <c r="AV295" s="5" t="str">
        <f ca="1">IFERROR(__xludf.DUMMYFUNCTION("IFERROR(VLOOKUP(E312&amp;F312,IMPORTRANGE(""https://docs.google.com/spreadsheets/d/1Uw7-A9f9R21vMXxHZFNpYNeKFtG8_yji4HS352LGlSQ/edit?pli=1#gid=0"",""1_ACUM!A4:S""),11,FALSE))"),"")</f>
        <v/>
      </c>
      <c r="AW295" s="42" t="str">
        <f ca="1">IFERROR(__xludf.DUMMYFUNCTION("IFERROR(VLOOKUP(F312,IMPORTRANGE(""https://docs.google.com/spreadsheets/d/1Kvs4KS76FHFqLFIZfrDMff4kP08nblUkihrxltoGBjg/edit#gid=934712705"",""ESENCIAL!A6:BG""),15,FALSE))"),"")</f>
        <v/>
      </c>
      <c r="AX295" s="21" t="str">
        <f ca="1">IFERROR(__xludf.DUMMYFUNCTION("IFERROR(VLOOKUP(E312&amp;F312,IMPORTRANGE(""https://docs.google.com/spreadsheets/d/1Uw7-A9f9R21vMXxHZFNpYNeKFtG8_yji4HS352LGlSQ/edit?pli=1#gid=0"",""1_ACUM!A4:S""),12,FALSE))"),"")</f>
        <v/>
      </c>
      <c r="AY295" s="43" t="str">
        <f ca="1">IFERROR(__xludf.DUMMYFUNCTION("IFERROR(VLOOKUP(E312&amp;F312,IMPORTRANGE(""https://docs.google.com/spreadsheets/d/1Uw7-A9f9R21vMXxHZFNpYNeKFtG8_yji4HS352LGlSQ/edit?pli=1#gid=0"",""1_ACUM!A4:S""),13,FALSE))"),"")</f>
        <v/>
      </c>
      <c r="AZ295" s="43" t="str">
        <f ca="1">IFERROR(__xludf.DUMMYFUNCTION("IFERROR(VLOOKUP(E312&amp;F312,IMPORTRANGE(""https://docs.google.com/spreadsheets/d/1Uw7-A9f9R21vMXxHZFNpYNeKFtG8_yji4HS352LGlSQ/edit?pli=1#gid=0"",""1_ACUM!A4:S""),14,FALSE))"),"")</f>
        <v/>
      </c>
      <c r="BA295" s="43" t="str">
        <f ca="1">IFERROR(__xludf.DUMMYFUNCTION("IFERROR(VLOOKUP(E312&amp;F312,IMPORTRANGE(""https://docs.google.com/spreadsheets/d/1Uw7-A9f9R21vMXxHZFNpYNeKFtG8_yji4HS352LGlSQ/edit?pli=1#gid=0"",""1_ACUM!A4:S""),15,FALSE))"),"")</f>
        <v/>
      </c>
      <c r="BB295" s="43" t="str">
        <f ca="1">IFERROR(__xludf.DUMMYFUNCTION("IFERROR(VLOOKUP(E312&amp;F312,IMPORTRANGE(""https://docs.google.com/spreadsheets/d/1Uw7-A9f9R21vMXxHZFNpYNeKFtG8_yji4HS352LGlSQ/edit?pli=1#gid=0"",""1_ACUM!A4:S""),16,FALSE))"),"")</f>
        <v/>
      </c>
      <c r="BC295" s="43" t="str">
        <f ca="1">IFERROR(__xludf.DUMMYFUNCTION("IFERROR(VLOOKUP(E312&amp;F312,IMPORTRANGE(""https://docs.google.com/spreadsheets/d/1Uw7-A9f9R21vMXxHZFNpYNeKFtG8_yji4HS352LGlSQ/edit?pli=1#gid=0"",""1_ACUM!A4:S""),17,FALSE))"),"")</f>
        <v/>
      </c>
      <c r="BD295" s="44" t="str">
        <f ca="1">IFERROR(__xludf.DUMMYFUNCTION("IFERROR(VLOOKUP(E312&amp;F312,IMPORTRANGE(""https://docs.google.com/spreadsheets/d/1Uw7-A9f9R21vMXxHZFNpYNeKFtG8_yji4HS352LGlSQ/edit?pli=1#gid=0"",""1_ACUM!A4:S""),18,FALSE))"),"")</f>
        <v/>
      </c>
      <c r="BE295" s="44" t="str">
        <f ca="1">IFERROR(__xludf.DUMMYFUNCTION("IFERROR(VLOOKUP(E312&amp;F312,IMPORTRANGE(""https://docs.google.com/spreadsheets/d/1Uw7-A9f9R21vMXxHZFNpYNeKFtG8_yji4HS352LGlSQ/edit?pli=1#gid=0"",""1_ACUM!A4:S""),19,FALSE))"),"")</f>
        <v/>
      </c>
      <c r="BF295" s="44" t="str">
        <f ca="1">IFERROR(__xludf.DUMMYFUNCTION("IFERROR(VLOOKUP(F312,IMPORTRANGE(""https://docs.google.com/spreadsheets/d/1Kvs4KS76FHFqLFIZfrDMff4kP08nblUkihrxltoGBjg/edit#gid=934712705"",""ESENCIAL!A6:BG""),5,FALSE))"),"")</f>
        <v/>
      </c>
      <c r="BG295" s="44" t="str">
        <f t="shared" si="37"/>
        <v/>
      </c>
      <c r="BH295" s="41" t="str">
        <f t="shared" si="38"/>
        <v/>
      </c>
      <c r="BI295" s="41" t="str">
        <f ca="1">IFERROR(__xludf.DUMMYFUNCTION("IFERROR(VLOOKUP(F312,IMPORTRANGE(""https://docs.google.com/spreadsheets/d/1Kvs4KS76FHFqLFIZfrDMff4kP08nblUkihrxltoGBjg/edit#gid=934712705"",""ESENCIAL!A6:BG""),18,FALSE))"),"")</f>
        <v/>
      </c>
      <c r="BJ295" s="19" t="str">
        <f t="shared" si="39"/>
        <v/>
      </c>
      <c r="BK295" s="41"/>
      <c r="BL295" s="41"/>
    </row>
    <row r="296" spans="1:64" ht="15">
      <c r="A296" s="4"/>
      <c r="B296" s="4"/>
      <c r="G296" s="5" t="str">
        <f ca="1">IFERROR(__xludf.DUMMYFUNCTION("IFERROR(VLOOKUP(F313,IMPORTRANGE(""https://docs.google.com/spreadsheets/d/1Kvs4KS76FHFqLFIZfrDMff4kP08nblUkihrxltoGBjg/edit#gid=934712705"",""ESENCIAL!A6:BG""),3,FALSE))"),"")</f>
        <v/>
      </c>
      <c r="H296" s="5" t="str">
        <f ca="1">IFERROR(__xludf.DUMMYFUNCTION("IFERROR(VLOOKUP(F313,IMPORTRANGE(""https://docs.google.com/spreadsheets/d/1Kvs4KS76FHFqLFIZfrDMff4kP08nblUkihrxltoGBjg/edit#gid=934712705"",""ESENCIAL!A6:BG""),8,FALSE))"),"")</f>
        <v/>
      </c>
      <c r="L296" s="287"/>
      <c r="S296"/>
      <c r="AU296" s="41" t="str">
        <f t="shared" si="36"/>
        <v/>
      </c>
      <c r="AV296" s="5" t="str">
        <f ca="1">IFERROR(__xludf.DUMMYFUNCTION("IFERROR(VLOOKUP(E313&amp;F313,IMPORTRANGE(""https://docs.google.com/spreadsheets/d/1Uw7-A9f9R21vMXxHZFNpYNeKFtG8_yji4HS352LGlSQ/edit?pli=1#gid=0"",""1_ACUM!A4:S""),11,FALSE))"),"")</f>
        <v/>
      </c>
      <c r="AW296" s="42" t="str">
        <f ca="1">IFERROR(__xludf.DUMMYFUNCTION("IFERROR(VLOOKUP(F313,IMPORTRANGE(""https://docs.google.com/spreadsheets/d/1Kvs4KS76FHFqLFIZfrDMff4kP08nblUkihrxltoGBjg/edit#gid=934712705"",""ESENCIAL!A6:BG""),15,FALSE))"),"")</f>
        <v/>
      </c>
      <c r="AX296" s="21" t="str">
        <f ca="1">IFERROR(__xludf.DUMMYFUNCTION("IFERROR(VLOOKUP(E313&amp;F313,IMPORTRANGE(""https://docs.google.com/spreadsheets/d/1Uw7-A9f9R21vMXxHZFNpYNeKFtG8_yji4HS352LGlSQ/edit?pli=1#gid=0"",""1_ACUM!A4:S""),12,FALSE))"),"")</f>
        <v/>
      </c>
      <c r="AY296" s="43" t="str">
        <f ca="1">IFERROR(__xludf.DUMMYFUNCTION("IFERROR(VLOOKUP(E313&amp;F313,IMPORTRANGE(""https://docs.google.com/spreadsheets/d/1Uw7-A9f9R21vMXxHZFNpYNeKFtG8_yji4HS352LGlSQ/edit?pli=1#gid=0"",""1_ACUM!A4:S""),13,FALSE))"),"")</f>
        <v/>
      </c>
      <c r="AZ296" s="43" t="str">
        <f ca="1">IFERROR(__xludf.DUMMYFUNCTION("IFERROR(VLOOKUP(E313&amp;F313,IMPORTRANGE(""https://docs.google.com/spreadsheets/d/1Uw7-A9f9R21vMXxHZFNpYNeKFtG8_yji4HS352LGlSQ/edit?pli=1#gid=0"",""1_ACUM!A4:S""),14,FALSE))"),"")</f>
        <v/>
      </c>
      <c r="BA296" s="43" t="str">
        <f ca="1">IFERROR(__xludf.DUMMYFUNCTION("IFERROR(VLOOKUP(E313&amp;F313,IMPORTRANGE(""https://docs.google.com/spreadsheets/d/1Uw7-A9f9R21vMXxHZFNpYNeKFtG8_yji4HS352LGlSQ/edit?pli=1#gid=0"",""1_ACUM!A4:S""),15,FALSE))"),"")</f>
        <v/>
      </c>
      <c r="BB296" s="43" t="str">
        <f ca="1">IFERROR(__xludf.DUMMYFUNCTION("IFERROR(VLOOKUP(E313&amp;F313,IMPORTRANGE(""https://docs.google.com/spreadsheets/d/1Uw7-A9f9R21vMXxHZFNpYNeKFtG8_yji4HS352LGlSQ/edit?pli=1#gid=0"",""1_ACUM!A4:S""),16,FALSE))"),"")</f>
        <v/>
      </c>
      <c r="BC296" s="43" t="str">
        <f ca="1">IFERROR(__xludf.DUMMYFUNCTION("IFERROR(VLOOKUP(E313&amp;F313,IMPORTRANGE(""https://docs.google.com/spreadsheets/d/1Uw7-A9f9R21vMXxHZFNpYNeKFtG8_yji4HS352LGlSQ/edit?pli=1#gid=0"",""1_ACUM!A4:S""),17,FALSE))"),"")</f>
        <v/>
      </c>
      <c r="BD296" s="44" t="str">
        <f ca="1">IFERROR(__xludf.DUMMYFUNCTION("IFERROR(VLOOKUP(E313&amp;F313,IMPORTRANGE(""https://docs.google.com/spreadsheets/d/1Uw7-A9f9R21vMXxHZFNpYNeKFtG8_yji4HS352LGlSQ/edit?pli=1#gid=0"",""1_ACUM!A4:S""),18,FALSE))"),"")</f>
        <v/>
      </c>
      <c r="BE296" s="44" t="str">
        <f ca="1">IFERROR(__xludf.DUMMYFUNCTION("IFERROR(VLOOKUP(E313&amp;F313,IMPORTRANGE(""https://docs.google.com/spreadsheets/d/1Uw7-A9f9R21vMXxHZFNpYNeKFtG8_yji4HS352LGlSQ/edit?pli=1#gid=0"",""1_ACUM!A4:S""),19,FALSE))"),"")</f>
        <v/>
      </c>
      <c r="BF296" s="44" t="str">
        <f ca="1">IFERROR(__xludf.DUMMYFUNCTION("IFERROR(VLOOKUP(F313,IMPORTRANGE(""https://docs.google.com/spreadsheets/d/1Kvs4KS76FHFqLFIZfrDMff4kP08nblUkihrxltoGBjg/edit#gid=934712705"",""ESENCIAL!A6:BG""),5,FALSE))"),"")</f>
        <v/>
      </c>
      <c r="BG296" s="44" t="str">
        <f t="shared" si="37"/>
        <v/>
      </c>
      <c r="BH296" s="41" t="str">
        <f t="shared" si="38"/>
        <v/>
      </c>
      <c r="BI296" s="41" t="str">
        <f ca="1">IFERROR(__xludf.DUMMYFUNCTION("IFERROR(VLOOKUP(F313,IMPORTRANGE(""https://docs.google.com/spreadsheets/d/1Kvs4KS76FHFqLFIZfrDMff4kP08nblUkihrxltoGBjg/edit#gid=934712705"",""ESENCIAL!A6:BG""),18,FALSE))"),"")</f>
        <v/>
      </c>
      <c r="BJ296" s="19" t="str">
        <f t="shared" si="39"/>
        <v/>
      </c>
      <c r="BK296" s="41"/>
      <c r="BL296" s="41"/>
    </row>
    <row r="297" spans="1:64" ht="15">
      <c r="A297" s="4"/>
      <c r="B297" s="4"/>
      <c r="G297" s="5" t="str">
        <f ca="1">IFERROR(__xludf.DUMMYFUNCTION("IFERROR(VLOOKUP(F314,IMPORTRANGE(""https://docs.google.com/spreadsheets/d/1Kvs4KS76FHFqLFIZfrDMff4kP08nblUkihrxltoGBjg/edit#gid=934712705"",""ESENCIAL!A6:BG""),3,FALSE))"),"")</f>
        <v/>
      </c>
      <c r="H297" s="5" t="str">
        <f ca="1">IFERROR(__xludf.DUMMYFUNCTION("IFERROR(VLOOKUP(F314,IMPORTRANGE(""https://docs.google.com/spreadsheets/d/1Kvs4KS76FHFqLFIZfrDMff4kP08nblUkihrxltoGBjg/edit#gid=934712705"",""ESENCIAL!A6:BG""),8,FALSE))"),"")</f>
        <v/>
      </c>
      <c r="L297" s="287"/>
      <c r="S297"/>
      <c r="AU297" s="41" t="str">
        <f t="shared" si="36"/>
        <v/>
      </c>
      <c r="AV297" s="5" t="str">
        <f ca="1">IFERROR(__xludf.DUMMYFUNCTION("IFERROR(VLOOKUP(E314&amp;F314,IMPORTRANGE(""https://docs.google.com/spreadsheets/d/1Uw7-A9f9R21vMXxHZFNpYNeKFtG8_yji4HS352LGlSQ/edit?pli=1#gid=0"",""1_ACUM!A4:S""),11,FALSE))"),"")</f>
        <v/>
      </c>
      <c r="AW297" s="42" t="str">
        <f ca="1">IFERROR(__xludf.DUMMYFUNCTION("IFERROR(VLOOKUP(F314,IMPORTRANGE(""https://docs.google.com/spreadsheets/d/1Kvs4KS76FHFqLFIZfrDMff4kP08nblUkihrxltoGBjg/edit#gid=934712705"",""ESENCIAL!A6:BG""),15,FALSE))"),"")</f>
        <v/>
      </c>
      <c r="AX297" s="21" t="str">
        <f ca="1">IFERROR(__xludf.DUMMYFUNCTION("IFERROR(VLOOKUP(E314&amp;F314,IMPORTRANGE(""https://docs.google.com/spreadsheets/d/1Uw7-A9f9R21vMXxHZFNpYNeKFtG8_yji4HS352LGlSQ/edit?pli=1#gid=0"",""1_ACUM!A4:S""),12,FALSE))"),"")</f>
        <v/>
      </c>
      <c r="AY297" s="43" t="str">
        <f ca="1">IFERROR(__xludf.DUMMYFUNCTION("IFERROR(VLOOKUP(E314&amp;F314,IMPORTRANGE(""https://docs.google.com/spreadsheets/d/1Uw7-A9f9R21vMXxHZFNpYNeKFtG8_yji4HS352LGlSQ/edit?pli=1#gid=0"",""1_ACUM!A4:S""),13,FALSE))"),"")</f>
        <v/>
      </c>
      <c r="AZ297" s="43" t="str">
        <f ca="1">IFERROR(__xludf.DUMMYFUNCTION("IFERROR(VLOOKUP(E314&amp;F314,IMPORTRANGE(""https://docs.google.com/spreadsheets/d/1Uw7-A9f9R21vMXxHZFNpYNeKFtG8_yji4HS352LGlSQ/edit?pli=1#gid=0"",""1_ACUM!A4:S""),14,FALSE))"),"")</f>
        <v/>
      </c>
      <c r="BA297" s="43" t="str">
        <f ca="1">IFERROR(__xludf.DUMMYFUNCTION("IFERROR(VLOOKUP(E314&amp;F314,IMPORTRANGE(""https://docs.google.com/spreadsheets/d/1Uw7-A9f9R21vMXxHZFNpYNeKFtG8_yji4HS352LGlSQ/edit?pli=1#gid=0"",""1_ACUM!A4:S""),15,FALSE))"),"")</f>
        <v/>
      </c>
      <c r="BB297" s="43" t="str">
        <f ca="1">IFERROR(__xludf.DUMMYFUNCTION("IFERROR(VLOOKUP(E314&amp;F314,IMPORTRANGE(""https://docs.google.com/spreadsheets/d/1Uw7-A9f9R21vMXxHZFNpYNeKFtG8_yji4HS352LGlSQ/edit?pli=1#gid=0"",""1_ACUM!A4:S""),16,FALSE))"),"")</f>
        <v/>
      </c>
      <c r="BC297" s="43" t="str">
        <f ca="1">IFERROR(__xludf.DUMMYFUNCTION("IFERROR(VLOOKUP(E314&amp;F314,IMPORTRANGE(""https://docs.google.com/spreadsheets/d/1Uw7-A9f9R21vMXxHZFNpYNeKFtG8_yji4HS352LGlSQ/edit?pli=1#gid=0"",""1_ACUM!A4:S""),17,FALSE))"),"")</f>
        <v/>
      </c>
      <c r="BD297" s="44" t="str">
        <f ca="1">IFERROR(__xludf.DUMMYFUNCTION("IFERROR(VLOOKUP(E314&amp;F314,IMPORTRANGE(""https://docs.google.com/spreadsheets/d/1Uw7-A9f9R21vMXxHZFNpYNeKFtG8_yji4HS352LGlSQ/edit?pli=1#gid=0"",""1_ACUM!A4:S""),18,FALSE))"),"")</f>
        <v/>
      </c>
      <c r="BE297" s="44" t="str">
        <f ca="1">IFERROR(__xludf.DUMMYFUNCTION("IFERROR(VLOOKUP(E314&amp;F314,IMPORTRANGE(""https://docs.google.com/spreadsheets/d/1Uw7-A9f9R21vMXxHZFNpYNeKFtG8_yji4HS352LGlSQ/edit?pli=1#gid=0"",""1_ACUM!A4:S""),19,FALSE))"),"")</f>
        <v/>
      </c>
      <c r="BF297" s="44" t="str">
        <f ca="1">IFERROR(__xludf.DUMMYFUNCTION("IFERROR(VLOOKUP(F314,IMPORTRANGE(""https://docs.google.com/spreadsheets/d/1Kvs4KS76FHFqLFIZfrDMff4kP08nblUkihrxltoGBjg/edit#gid=934712705"",""ESENCIAL!A6:BG""),5,FALSE))"),"")</f>
        <v/>
      </c>
      <c r="BG297" s="44" t="str">
        <f t="shared" si="37"/>
        <v/>
      </c>
      <c r="BH297" s="41" t="str">
        <f t="shared" si="38"/>
        <v/>
      </c>
      <c r="BI297" s="41" t="str">
        <f ca="1">IFERROR(__xludf.DUMMYFUNCTION("IFERROR(VLOOKUP(F314,IMPORTRANGE(""https://docs.google.com/spreadsheets/d/1Kvs4KS76FHFqLFIZfrDMff4kP08nblUkihrxltoGBjg/edit#gid=934712705"",""ESENCIAL!A6:BG""),18,FALSE))"),"")</f>
        <v/>
      </c>
      <c r="BJ297" s="19" t="str">
        <f t="shared" si="39"/>
        <v/>
      </c>
      <c r="BK297" s="41"/>
      <c r="BL297" s="41"/>
    </row>
    <row r="298" spans="1:64" ht="15">
      <c r="A298" s="4"/>
      <c r="B298" s="4"/>
      <c r="G298" s="5" t="str">
        <f ca="1">IFERROR(__xludf.DUMMYFUNCTION("IFERROR(VLOOKUP(F315,IMPORTRANGE(""https://docs.google.com/spreadsheets/d/1Kvs4KS76FHFqLFIZfrDMff4kP08nblUkihrxltoGBjg/edit#gid=934712705"",""ESENCIAL!A6:BG""),3,FALSE))"),"")</f>
        <v/>
      </c>
      <c r="H298" s="5" t="str">
        <f ca="1">IFERROR(__xludf.DUMMYFUNCTION("IFERROR(VLOOKUP(F315,IMPORTRANGE(""https://docs.google.com/spreadsheets/d/1Kvs4KS76FHFqLFIZfrDMff4kP08nblUkihrxltoGBjg/edit#gid=934712705"",""ESENCIAL!A6:BG""),8,FALSE))"),"")</f>
        <v/>
      </c>
      <c r="L298" s="287"/>
      <c r="S298"/>
      <c r="AU298" s="41" t="str">
        <f t="shared" si="36"/>
        <v/>
      </c>
      <c r="AV298" s="5" t="str">
        <f ca="1">IFERROR(__xludf.DUMMYFUNCTION("IFERROR(VLOOKUP(E315&amp;F315,IMPORTRANGE(""https://docs.google.com/spreadsheets/d/1Uw7-A9f9R21vMXxHZFNpYNeKFtG8_yji4HS352LGlSQ/edit?pli=1#gid=0"",""1_ACUM!A4:S""),11,FALSE))"),"")</f>
        <v/>
      </c>
      <c r="AW298" s="42" t="str">
        <f ca="1">IFERROR(__xludf.DUMMYFUNCTION("IFERROR(VLOOKUP(F315,IMPORTRANGE(""https://docs.google.com/spreadsheets/d/1Kvs4KS76FHFqLFIZfrDMff4kP08nblUkihrxltoGBjg/edit#gid=934712705"",""ESENCIAL!A6:BG""),15,FALSE))"),"")</f>
        <v/>
      </c>
      <c r="AX298" s="21" t="str">
        <f ca="1">IFERROR(__xludf.DUMMYFUNCTION("IFERROR(VLOOKUP(E315&amp;F315,IMPORTRANGE(""https://docs.google.com/spreadsheets/d/1Uw7-A9f9R21vMXxHZFNpYNeKFtG8_yji4HS352LGlSQ/edit?pli=1#gid=0"",""1_ACUM!A4:S""),12,FALSE))"),"")</f>
        <v/>
      </c>
      <c r="AY298" s="43" t="str">
        <f ca="1">IFERROR(__xludf.DUMMYFUNCTION("IFERROR(VLOOKUP(E315&amp;F315,IMPORTRANGE(""https://docs.google.com/spreadsheets/d/1Uw7-A9f9R21vMXxHZFNpYNeKFtG8_yji4HS352LGlSQ/edit?pli=1#gid=0"",""1_ACUM!A4:S""),13,FALSE))"),"")</f>
        <v/>
      </c>
      <c r="AZ298" s="43" t="str">
        <f ca="1">IFERROR(__xludf.DUMMYFUNCTION("IFERROR(VLOOKUP(E315&amp;F315,IMPORTRANGE(""https://docs.google.com/spreadsheets/d/1Uw7-A9f9R21vMXxHZFNpYNeKFtG8_yji4HS352LGlSQ/edit?pli=1#gid=0"",""1_ACUM!A4:S""),14,FALSE))"),"")</f>
        <v/>
      </c>
      <c r="BA298" s="43" t="str">
        <f ca="1">IFERROR(__xludf.DUMMYFUNCTION("IFERROR(VLOOKUP(E315&amp;F315,IMPORTRANGE(""https://docs.google.com/spreadsheets/d/1Uw7-A9f9R21vMXxHZFNpYNeKFtG8_yji4HS352LGlSQ/edit?pli=1#gid=0"",""1_ACUM!A4:S""),15,FALSE))"),"")</f>
        <v/>
      </c>
      <c r="BB298" s="43" t="str">
        <f ca="1">IFERROR(__xludf.DUMMYFUNCTION("IFERROR(VLOOKUP(E315&amp;F315,IMPORTRANGE(""https://docs.google.com/spreadsheets/d/1Uw7-A9f9R21vMXxHZFNpYNeKFtG8_yji4HS352LGlSQ/edit?pli=1#gid=0"",""1_ACUM!A4:S""),16,FALSE))"),"")</f>
        <v/>
      </c>
      <c r="BC298" s="43" t="str">
        <f ca="1">IFERROR(__xludf.DUMMYFUNCTION("IFERROR(VLOOKUP(E315&amp;F315,IMPORTRANGE(""https://docs.google.com/spreadsheets/d/1Uw7-A9f9R21vMXxHZFNpYNeKFtG8_yji4HS352LGlSQ/edit?pli=1#gid=0"",""1_ACUM!A4:S""),17,FALSE))"),"")</f>
        <v/>
      </c>
      <c r="BD298" s="44" t="str">
        <f ca="1">IFERROR(__xludf.DUMMYFUNCTION("IFERROR(VLOOKUP(E315&amp;F315,IMPORTRANGE(""https://docs.google.com/spreadsheets/d/1Uw7-A9f9R21vMXxHZFNpYNeKFtG8_yji4HS352LGlSQ/edit?pli=1#gid=0"",""1_ACUM!A4:S""),18,FALSE))"),"")</f>
        <v/>
      </c>
      <c r="BE298" s="44" t="str">
        <f ca="1">IFERROR(__xludf.DUMMYFUNCTION("IFERROR(VLOOKUP(E315&amp;F315,IMPORTRANGE(""https://docs.google.com/spreadsheets/d/1Uw7-A9f9R21vMXxHZFNpYNeKFtG8_yji4HS352LGlSQ/edit?pli=1#gid=0"",""1_ACUM!A4:S""),19,FALSE))"),"")</f>
        <v/>
      </c>
      <c r="BF298" s="44" t="str">
        <f ca="1">IFERROR(__xludf.DUMMYFUNCTION("IFERROR(VLOOKUP(F315,IMPORTRANGE(""https://docs.google.com/spreadsheets/d/1Kvs4KS76FHFqLFIZfrDMff4kP08nblUkihrxltoGBjg/edit#gid=934712705"",""ESENCIAL!A6:BG""),5,FALSE))"),"")</f>
        <v/>
      </c>
      <c r="BG298" s="44" t="str">
        <f t="shared" si="37"/>
        <v/>
      </c>
      <c r="BH298" s="41" t="str">
        <f t="shared" si="38"/>
        <v/>
      </c>
      <c r="BI298" s="41" t="str">
        <f ca="1">IFERROR(__xludf.DUMMYFUNCTION("IFERROR(VLOOKUP(F315,IMPORTRANGE(""https://docs.google.com/spreadsheets/d/1Kvs4KS76FHFqLFIZfrDMff4kP08nblUkihrxltoGBjg/edit#gid=934712705"",""ESENCIAL!A6:BG""),18,FALSE))"),"")</f>
        <v/>
      </c>
      <c r="BJ298" s="19" t="str">
        <f t="shared" si="39"/>
        <v/>
      </c>
      <c r="BK298" s="41"/>
      <c r="BL298" s="41"/>
    </row>
    <row r="299" spans="1:64" ht="15">
      <c r="A299" s="4"/>
      <c r="B299" s="4"/>
      <c r="G299" s="5" t="str">
        <f ca="1">IFERROR(__xludf.DUMMYFUNCTION("IFERROR(VLOOKUP(F316,IMPORTRANGE(""https://docs.google.com/spreadsheets/d/1Kvs4KS76FHFqLFIZfrDMff4kP08nblUkihrxltoGBjg/edit#gid=934712705"",""ESENCIAL!A6:BG""),3,FALSE))"),"")</f>
        <v/>
      </c>
      <c r="H299" s="5" t="str">
        <f ca="1">IFERROR(__xludf.DUMMYFUNCTION("IFERROR(VLOOKUP(F316,IMPORTRANGE(""https://docs.google.com/spreadsheets/d/1Kvs4KS76FHFqLFIZfrDMff4kP08nblUkihrxltoGBjg/edit#gid=934712705"",""ESENCIAL!A6:BG""),8,FALSE))"),"")</f>
        <v/>
      </c>
      <c r="L299" s="287"/>
      <c r="S299"/>
      <c r="AU299" s="41" t="str">
        <f t="shared" si="36"/>
        <v/>
      </c>
      <c r="AV299" s="5" t="str">
        <f ca="1">IFERROR(__xludf.DUMMYFUNCTION("IFERROR(VLOOKUP(E316&amp;F316,IMPORTRANGE(""https://docs.google.com/spreadsheets/d/1Uw7-A9f9R21vMXxHZFNpYNeKFtG8_yji4HS352LGlSQ/edit?pli=1#gid=0"",""1_ACUM!A4:S""),11,FALSE))"),"")</f>
        <v/>
      </c>
      <c r="AW299" s="42" t="str">
        <f ca="1">IFERROR(__xludf.DUMMYFUNCTION("IFERROR(VLOOKUP(F316,IMPORTRANGE(""https://docs.google.com/spreadsheets/d/1Kvs4KS76FHFqLFIZfrDMff4kP08nblUkihrxltoGBjg/edit#gid=934712705"",""ESENCIAL!A6:BG""),15,FALSE))"),"")</f>
        <v/>
      </c>
      <c r="AX299" s="21" t="str">
        <f ca="1">IFERROR(__xludf.DUMMYFUNCTION("IFERROR(VLOOKUP(E316&amp;F316,IMPORTRANGE(""https://docs.google.com/spreadsheets/d/1Uw7-A9f9R21vMXxHZFNpYNeKFtG8_yji4HS352LGlSQ/edit?pli=1#gid=0"",""1_ACUM!A4:S""),12,FALSE))"),"")</f>
        <v/>
      </c>
      <c r="AY299" s="43" t="str">
        <f ca="1">IFERROR(__xludf.DUMMYFUNCTION("IFERROR(VLOOKUP(E316&amp;F316,IMPORTRANGE(""https://docs.google.com/spreadsheets/d/1Uw7-A9f9R21vMXxHZFNpYNeKFtG8_yji4HS352LGlSQ/edit?pli=1#gid=0"",""1_ACUM!A4:S""),13,FALSE))"),"")</f>
        <v/>
      </c>
      <c r="AZ299" s="43" t="str">
        <f ca="1">IFERROR(__xludf.DUMMYFUNCTION("IFERROR(VLOOKUP(E316&amp;F316,IMPORTRANGE(""https://docs.google.com/spreadsheets/d/1Uw7-A9f9R21vMXxHZFNpYNeKFtG8_yji4HS352LGlSQ/edit?pli=1#gid=0"",""1_ACUM!A4:S""),14,FALSE))"),"")</f>
        <v/>
      </c>
      <c r="BA299" s="43" t="str">
        <f ca="1">IFERROR(__xludf.DUMMYFUNCTION("IFERROR(VLOOKUP(E316&amp;F316,IMPORTRANGE(""https://docs.google.com/spreadsheets/d/1Uw7-A9f9R21vMXxHZFNpYNeKFtG8_yji4HS352LGlSQ/edit?pli=1#gid=0"",""1_ACUM!A4:S""),15,FALSE))"),"")</f>
        <v/>
      </c>
      <c r="BB299" s="43" t="str">
        <f ca="1">IFERROR(__xludf.DUMMYFUNCTION("IFERROR(VLOOKUP(E316&amp;F316,IMPORTRANGE(""https://docs.google.com/spreadsheets/d/1Uw7-A9f9R21vMXxHZFNpYNeKFtG8_yji4HS352LGlSQ/edit?pli=1#gid=0"",""1_ACUM!A4:S""),16,FALSE))"),"")</f>
        <v/>
      </c>
      <c r="BC299" s="43" t="str">
        <f ca="1">IFERROR(__xludf.DUMMYFUNCTION("IFERROR(VLOOKUP(E316&amp;F316,IMPORTRANGE(""https://docs.google.com/spreadsheets/d/1Uw7-A9f9R21vMXxHZFNpYNeKFtG8_yji4HS352LGlSQ/edit?pli=1#gid=0"",""1_ACUM!A4:S""),17,FALSE))"),"")</f>
        <v/>
      </c>
      <c r="BD299" s="44" t="str">
        <f ca="1">IFERROR(__xludf.DUMMYFUNCTION("IFERROR(VLOOKUP(E316&amp;F316,IMPORTRANGE(""https://docs.google.com/spreadsheets/d/1Uw7-A9f9R21vMXxHZFNpYNeKFtG8_yji4HS352LGlSQ/edit?pli=1#gid=0"",""1_ACUM!A4:S""),18,FALSE))"),"")</f>
        <v/>
      </c>
      <c r="BE299" s="44" t="str">
        <f ca="1">IFERROR(__xludf.DUMMYFUNCTION("IFERROR(VLOOKUP(E316&amp;F316,IMPORTRANGE(""https://docs.google.com/spreadsheets/d/1Uw7-A9f9R21vMXxHZFNpYNeKFtG8_yji4HS352LGlSQ/edit?pli=1#gid=0"",""1_ACUM!A4:S""),19,FALSE))"),"")</f>
        <v/>
      </c>
      <c r="BF299" s="44" t="str">
        <f ca="1">IFERROR(__xludf.DUMMYFUNCTION("IFERROR(VLOOKUP(F316,IMPORTRANGE(""https://docs.google.com/spreadsheets/d/1Kvs4KS76FHFqLFIZfrDMff4kP08nblUkihrxltoGBjg/edit#gid=934712705"",""ESENCIAL!A6:BG""),5,FALSE))"),"")</f>
        <v/>
      </c>
      <c r="BG299" s="44" t="str">
        <f t="shared" si="37"/>
        <v/>
      </c>
      <c r="BH299" s="41" t="str">
        <f t="shared" si="38"/>
        <v/>
      </c>
      <c r="BI299" s="41" t="str">
        <f ca="1">IFERROR(__xludf.DUMMYFUNCTION("IFERROR(VLOOKUP(F316,IMPORTRANGE(""https://docs.google.com/spreadsheets/d/1Kvs4KS76FHFqLFIZfrDMff4kP08nblUkihrxltoGBjg/edit#gid=934712705"",""ESENCIAL!A6:BG""),18,FALSE))"),"")</f>
        <v/>
      </c>
      <c r="BJ299" s="19" t="str">
        <f t="shared" si="39"/>
        <v/>
      </c>
      <c r="BK299" s="41"/>
      <c r="BL299" s="41"/>
    </row>
    <row r="300" spans="1:64" ht="15">
      <c r="A300" s="4"/>
      <c r="B300" s="4"/>
      <c r="G300" s="5" t="str">
        <f ca="1">IFERROR(__xludf.DUMMYFUNCTION("IFERROR(VLOOKUP(F317,IMPORTRANGE(""https://docs.google.com/spreadsheets/d/1Kvs4KS76FHFqLFIZfrDMff4kP08nblUkihrxltoGBjg/edit#gid=934712705"",""ESENCIAL!A6:BG""),3,FALSE))"),"")</f>
        <v/>
      </c>
      <c r="H300" s="5" t="str">
        <f ca="1">IFERROR(__xludf.DUMMYFUNCTION("IFERROR(VLOOKUP(F317,IMPORTRANGE(""https://docs.google.com/spreadsheets/d/1Kvs4KS76FHFqLFIZfrDMff4kP08nblUkihrxltoGBjg/edit#gid=934712705"",""ESENCIAL!A6:BG""),8,FALSE))"),"")</f>
        <v/>
      </c>
      <c r="L300" s="287"/>
      <c r="S300"/>
      <c r="AU300" s="41" t="str">
        <f t="shared" si="36"/>
        <v/>
      </c>
      <c r="AV300" s="5" t="str">
        <f ca="1">IFERROR(__xludf.DUMMYFUNCTION("IFERROR(VLOOKUP(E317&amp;F317,IMPORTRANGE(""https://docs.google.com/spreadsheets/d/1Uw7-A9f9R21vMXxHZFNpYNeKFtG8_yji4HS352LGlSQ/edit?pli=1#gid=0"",""1_ACUM!A4:S""),11,FALSE))"),"")</f>
        <v/>
      </c>
      <c r="AW300" s="42" t="str">
        <f ca="1">IFERROR(__xludf.DUMMYFUNCTION("IFERROR(VLOOKUP(F317,IMPORTRANGE(""https://docs.google.com/spreadsheets/d/1Kvs4KS76FHFqLFIZfrDMff4kP08nblUkihrxltoGBjg/edit#gid=934712705"",""ESENCIAL!A6:BG""),15,FALSE))"),"")</f>
        <v/>
      </c>
      <c r="AX300" s="21" t="str">
        <f ca="1">IFERROR(__xludf.DUMMYFUNCTION("IFERROR(VLOOKUP(E317&amp;F317,IMPORTRANGE(""https://docs.google.com/spreadsheets/d/1Uw7-A9f9R21vMXxHZFNpYNeKFtG8_yji4HS352LGlSQ/edit?pli=1#gid=0"",""1_ACUM!A4:S""),12,FALSE))"),"")</f>
        <v/>
      </c>
      <c r="AY300" s="43" t="str">
        <f ca="1">IFERROR(__xludf.DUMMYFUNCTION("IFERROR(VLOOKUP(E317&amp;F317,IMPORTRANGE(""https://docs.google.com/spreadsheets/d/1Uw7-A9f9R21vMXxHZFNpYNeKFtG8_yji4HS352LGlSQ/edit?pli=1#gid=0"",""1_ACUM!A4:S""),13,FALSE))"),"")</f>
        <v/>
      </c>
      <c r="AZ300" s="43" t="str">
        <f ca="1">IFERROR(__xludf.DUMMYFUNCTION("IFERROR(VLOOKUP(E317&amp;F317,IMPORTRANGE(""https://docs.google.com/spreadsheets/d/1Uw7-A9f9R21vMXxHZFNpYNeKFtG8_yji4HS352LGlSQ/edit?pli=1#gid=0"",""1_ACUM!A4:S""),14,FALSE))"),"")</f>
        <v/>
      </c>
      <c r="BA300" s="43" t="str">
        <f ca="1">IFERROR(__xludf.DUMMYFUNCTION("IFERROR(VLOOKUP(E317&amp;F317,IMPORTRANGE(""https://docs.google.com/spreadsheets/d/1Uw7-A9f9R21vMXxHZFNpYNeKFtG8_yji4HS352LGlSQ/edit?pli=1#gid=0"",""1_ACUM!A4:S""),15,FALSE))"),"")</f>
        <v/>
      </c>
      <c r="BB300" s="43" t="str">
        <f ca="1">IFERROR(__xludf.DUMMYFUNCTION("IFERROR(VLOOKUP(E317&amp;F317,IMPORTRANGE(""https://docs.google.com/spreadsheets/d/1Uw7-A9f9R21vMXxHZFNpYNeKFtG8_yji4HS352LGlSQ/edit?pli=1#gid=0"",""1_ACUM!A4:S""),16,FALSE))"),"")</f>
        <v/>
      </c>
      <c r="BC300" s="43" t="str">
        <f ca="1">IFERROR(__xludf.DUMMYFUNCTION("IFERROR(VLOOKUP(E317&amp;F317,IMPORTRANGE(""https://docs.google.com/spreadsheets/d/1Uw7-A9f9R21vMXxHZFNpYNeKFtG8_yji4HS352LGlSQ/edit?pli=1#gid=0"",""1_ACUM!A4:S""),17,FALSE))"),"")</f>
        <v/>
      </c>
      <c r="BD300" s="44" t="str">
        <f ca="1">IFERROR(__xludf.DUMMYFUNCTION("IFERROR(VLOOKUP(E317&amp;F317,IMPORTRANGE(""https://docs.google.com/spreadsheets/d/1Uw7-A9f9R21vMXxHZFNpYNeKFtG8_yji4HS352LGlSQ/edit?pli=1#gid=0"",""1_ACUM!A4:S""),18,FALSE))"),"")</f>
        <v/>
      </c>
      <c r="BE300" s="44" t="str">
        <f ca="1">IFERROR(__xludf.DUMMYFUNCTION("IFERROR(VLOOKUP(E317&amp;F317,IMPORTRANGE(""https://docs.google.com/spreadsheets/d/1Uw7-A9f9R21vMXxHZFNpYNeKFtG8_yji4HS352LGlSQ/edit?pli=1#gid=0"",""1_ACUM!A4:S""),19,FALSE))"),"")</f>
        <v/>
      </c>
      <c r="BF300" s="44" t="str">
        <f ca="1">IFERROR(__xludf.DUMMYFUNCTION("IFERROR(VLOOKUP(F317,IMPORTRANGE(""https://docs.google.com/spreadsheets/d/1Kvs4KS76FHFqLFIZfrDMff4kP08nblUkihrxltoGBjg/edit#gid=934712705"",""ESENCIAL!A6:BG""),5,FALSE))"),"")</f>
        <v/>
      </c>
      <c r="BG300" s="44" t="str">
        <f t="shared" si="37"/>
        <v/>
      </c>
      <c r="BH300" s="41" t="str">
        <f t="shared" si="38"/>
        <v/>
      </c>
      <c r="BI300" s="41" t="str">
        <f ca="1">IFERROR(__xludf.DUMMYFUNCTION("IFERROR(VLOOKUP(F317,IMPORTRANGE(""https://docs.google.com/spreadsheets/d/1Kvs4KS76FHFqLFIZfrDMff4kP08nblUkihrxltoGBjg/edit#gid=934712705"",""ESENCIAL!A6:BG""),18,FALSE))"),"")</f>
        <v/>
      </c>
      <c r="BJ300" s="19" t="str">
        <f t="shared" si="39"/>
        <v/>
      </c>
      <c r="BK300" s="41"/>
      <c r="BL300" s="41"/>
    </row>
    <row r="301" spans="1:64" ht="15">
      <c r="A301" s="4"/>
      <c r="B301" s="4"/>
      <c r="G301" s="5" t="str">
        <f ca="1">IFERROR(__xludf.DUMMYFUNCTION("IFERROR(VLOOKUP(F318,IMPORTRANGE(""https://docs.google.com/spreadsheets/d/1Kvs4KS76FHFqLFIZfrDMff4kP08nblUkihrxltoGBjg/edit#gid=934712705"",""ESENCIAL!A6:BG""),3,FALSE))"),"")</f>
        <v/>
      </c>
      <c r="H301" s="5" t="str">
        <f ca="1">IFERROR(__xludf.DUMMYFUNCTION("IFERROR(VLOOKUP(F318,IMPORTRANGE(""https://docs.google.com/spreadsheets/d/1Kvs4KS76FHFqLFIZfrDMff4kP08nblUkihrxltoGBjg/edit#gid=934712705"",""ESENCIAL!A6:BG""),8,FALSE))"),"")</f>
        <v/>
      </c>
      <c r="L301" s="287"/>
      <c r="S301"/>
      <c r="AU301" s="41" t="str">
        <f t="shared" si="36"/>
        <v/>
      </c>
      <c r="AV301" s="5" t="str">
        <f ca="1">IFERROR(__xludf.DUMMYFUNCTION("IFERROR(VLOOKUP(E318&amp;F318,IMPORTRANGE(""https://docs.google.com/spreadsheets/d/1Uw7-A9f9R21vMXxHZFNpYNeKFtG8_yji4HS352LGlSQ/edit?pli=1#gid=0"",""1_ACUM!A4:S""),11,FALSE))"),"")</f>
        <v/>
      </c>
      <c r="AW301" s="42" t="str">
        <f ca="1">IFERROR(__xludf.DUMMYFUNCTION("IFERROR(VLOOKUP(F318,IMPORTRANGE(""https://docs.google.com/spreadsheets/d/1Kvs4KS76FHFqLFIZfrDMff4kP08nblUkihrxltoGBjg/edit#gid=934712705"",""ESENCIAL!A6:BG""),15,FALSE))"),"")</f>
        <v/>
      </c>
      <c r="AX301" s="21" t="str">
        <f ca="1">IFERROR(__xludf.DUMMYFUNCTION("IFERROR(VLOOKUP(E318&amp;F318,IMPORTRANGE(""https://docs.google.com/spreadsheets/d/1Uw7-A9f9R21vMXxHZFNpYNeKFtG8_yji4HS352LGlSQ/edit?pli=1#gid=0"",""1_ACUM!A4:S""),12,FALSE))"),"")</f>
        <v/>
      </c>
      <c r="AY301" s="43" t="str">
        <f ca="1">IFERROR(__xludf.DUMMYFUNCTION("IFERROR(VLOOKUP(E318&amp;F318,IMPORTRANGE(""https://docs.google.com/spreadsheets/d/1Uw7-A9f9R21vMXxHZFNpYNeKFtG8_yji4HS352LGlSQ/edit?pli=1#gid=0"",""1_ACUM!A4:S""),13,FALSE))"),"")</f>
        <v/>
      </c>
      <c r="AZ301" s="43" t="str">
        <f ca="1">IFERROR(__xludf.DUMMYFUNCTION("IFERROR(VLOOKUP(E318&amp;F318,IMPORTRANGE(""https://docs.google.com/spreadsheets/d/1Uw7-A9f9R21vMXxHZFNpYNeKFtG8_yji4HS352LGlSQ/edit?pli=1#gid=0"",""1_ACUM!A4:S""),14,FALSE))"),"")</f>
        <v/>
      </c>
      <c r="BA301" s="43" t="str">
        <f ca="1">IFERROR(__xludf.DUMMYFUNCTION("IFERROR(VLOOKUP(E318&amp;F318,IMPORTRANGE(""https://docs.google.com/spreadsheets/d/1Uw7-A9f9R21vMXxHZFNpYNeKFtG8_yji4HS352LGlSQ/edit?pli=1#gid=0"",""1_ACUM!A4:S""),15,FALSE))"),"")</f>
        <v/>
      </c>
      <c r="BB301" s="43" t="str">
        <f ca="1">IFERROR(__xludf.DUMMYFUNCTION("IFERROR(VLOOKUP(E318&amp;F318,IMPORTRANGE(""https://docs.google.com/spreadsheets/d/1Uw7-A9f9R21vMXxHZFNpYNeKFtG8_yji4HS352LGlSQ/edit?pli=1#gid=0"",""1_ACUM!A4:S""),16,FALSE))"),"")</f>
        <v/>
      </c>
      <c r="BC301" s="43" t="str">
        <f ca="1">IFERROR(__xludf.DUMMYFUNCTION("IFERROR(VLOOKUP(E318&amp;F318,IMPORTRANGE(""https://docs.google.com/spreadsheets/d/1Uw7-A9f9R21vMXxHZFNpYNeKFtG8_yji4HS352LGlSQ/edit?pli=1#gid=0"",""1_ACUM!A4:S""),17,FALSE))"),"")</f>
        <v/>
      </c>
      <c r="BD301" s="44" t="str">
        <f ca="1">IFERROR(__xludf.DUMMYFUNCTION("IFERROR(VLOOKUP(E318&amp;F318,IMPORTRANGE(""https://docs.google.com/spreadsheets/d/1Uw7-A9f9R21vMXxHZFNpYNeKFtG8_yji4HS352LGlSQ/edit?pli=1#gid=0"",""1_ACUM!A4:S""),18,FALSE))"),"")</f>
        <v/>
      </c>
      <c r="BE301" s="44" t="str">
        <f ca="1">IFERROR(__xludf.DUMMYFUNCTION("IFERROR(VLOOKUP(E318&amp;F318,IMPORTRANGE(""https://docs.google.com/spreadsheets/d/1Uw7-A9f9R21vMXxHZFNpYNeKFtG8_yji4HS352LGlSQ/edit?pli=1#gid=0"",""1_ACUM!A4:S""),19,FALSE))"),"")</f>
        <v/>
      </c>
      <c r="BF301" s="44" t="str">
        <f ca="1">IFERROR(__xludf.DUMMYFUNCTION("IFERROR(VLOOKUP(F318,IMPORTRANGE(""https://docs.google.com/spreadsheets/d/1Kvs4KS76FHFqLFIZfrDMff4kP08nblUkihrxltoGBjg/edit#gid=934712705"",""ESENCIAL!A6:BG""),5,FALSE))"),"")</f>
        <v/>
      </c>
      <c r="BG301" s="44" t="str">
        <f t="shared" si="37"/>
        <v/>
      </c>
      <c r="BH301" s="41" t="str">
        <f t="shared" si="38"/>
        <v/>
      </c>
      <c r="BI301" s="41" t="str">
        <f ca="1">IFERROR(__xludf.DUMMYFUNCTION("IFERROR(VLOOKUP(F318,IMPORTRANGE(""https://docs.google.com/spreadsheets/d/1Kvs4KS76FHFqLFIZfrDMff4kP08nblUkihrxltoGBjg/edit#gid=934712705"",""ESENCIAL!A6:BG""),18,FALSE))"),"")</f>
        <v/>
      </c>
      <c r="BJ301" s="19" t="str">
        <f t="shared" si="39"/>
        <v/>
      </c>
      <c r="BK301" s="41"/>
      <c r="BL301" s="41"/>
    </row>
    <row r="302" spans="1:64" ht="15">
      <c r="A302" s="4"/>
      <c r="B302" s="4"/>
      <c r="G302" s="5" t="str">
        <f ca="1">IFERROR(__xludf.DUMMYFUNCTION("IFERROR(VLOOKUP(F319,IMPORTRANGE(""https://docs.google.com/spreadsheets/d/1Kvs4KS76FHFqLFIZfrDMff4kP08nblUkihrxltoGBjg/edit#gid=934712705"",""ESENCIAL!A6:BG""),3,FALSE))"),"")</f>
        <v/>
      </c>
      <c r="H302" s="5" t="str">
        <f ca="1">IFERROR(__xludf.DUMMYFUNCTION("IFERROR(VLOOKUP(F319,IMPORTRANGE(""https://docs.google.com/spreadsheets/d/1Kvs4KS76FHFqLFIZfrDMff4kP08nblUkihrxltoGBjg/edit#gid=934712705"",""ESENCIAL!A6:BG""),8,FALSE))"),"")</f>
        <v/>
      </c>
      <c r="L302" s="287"/>
      <c r="S302"/>
      <c r="AU302" s="41" t="str">
        <f t="shared" si="36"/>
        <v/>
      </c>
      <c r="AV302" s="5" t="str">
        <f ca="1">IFERROR(__xludf.DUMMYFUNCTION("IFERROR(VLOOKUP(E319&amp;F319,IMPORTRANGE(""https://docs.google.com/spreadsheets/d/1Uw7-A9f9R21vMXxHZFNpYNeKFtG8_yji4HS352LGlSQ/edit?pli=1#gid=0"",""1_ACUM!A4:S""),11,FALSE))"),"")</f>
        <v/>
      </c>
      <c r="AW302" s="42" t="str">
        <f ca="1">IFERROR(__xludf.DUMMYFUNCTION("IFERROR(VLOOKUP(F319,IMPORTRANGE(""https://docs.google.com/spreadsheets/d/1Kvs4KS76FHFqLFIZfrDMff4kP08nblUkihrxltoGBjg/edit#gid=934712705"",""ESENCIAL!A6:BG""),15,FALSE))"),"")</f>
        <v/>
      </c>
      <c r="AX302" s="21" t="str">
        <f ca="1">IFERROR(__xludf.DUMMYFUNCTION("IFERROR(VLOOKUP(E319&amp;F319,IMPORTRANGE(""https://docs.google.com/spreadsheets/d/1Uw7-A9f9R21vMXxHZFNpYNeKFtG8_yji4HS352LGlSQ/edit?pli=1#gid=0"",""1_ACUM!A4:S""),12,FALSE))"),"")</f>
        <v/>
      </c>
      <c r="AY302" s="43" t="str">
        <f ca="1">IFERROR(__xludf.DUMMYFUNCTION("IFERROR(VLOOKUP(E319&amp;F319,IMPORTRANGE(""https://docs.google.com/spreadsheets/d/1Uw7-A9f9R21vMXxHZFNpYNeKFtG8_yji4HS352LGlSQ/edit?pli=1#gid=0"",""1_ACUM!A4:S""),13,FALSE))"),"")</f>
        <v/>
      </c>
      <c r="AZ302" s="43" t="str">
        <f ca="1">IFERROR(__xludf.DUMMYFUNCTION("IFERROR(VLOOKUP(E319&amp;F319,IMPORTRANGE(""https://docs.google.com/spreadsheets/d/1Uw7-A9f9R21vMXxHZFNpYNeKFtG8_yji4HS352LGlSQ/edit?pli=1#gid=0"",""1_ACUM!A4:S""),14,FALSE))"),"")</f>
        <v/>
      </c>
      <c r="BA302" s="43" t="str">
        <f ca="1">IFERROR(__xludf.DUMMYFUNCTION("IFERROR(VLOOKUP(E319&amp;F319,IMPORTRANGE(""https://docs.google.com/spreadsheets/d/1Uw7-A9f9R21vMXxHZFNpYNeKFtG8_yji4HS352LGlSQ/edit?pli=1#gid=0"",""1_ACUM!A4:S""),15,FALSE))"),"")</f>
        <v/>
      </c>
      <c r="BB302" s="43" t="str">
        <f ca="1">IFERROR(__xludf.DUMMYFUNCTION("IFERROR(VLOOKUP(E319&amp;F319,IMPORTRANGE(""https://docs.google.com/spreadsheets/d/1Uw7-A9f9R21vMXxHZFNpYNeKFtG8_yji4HS352LGlSQ/edit?pli=1#gid=0"",""1_ACUM!A4:S""),16,FALSE))"),"")</f>
        <v/>
      </c>
      <c r="BC302" s="43" t="str">
        <f ca="1">IFERROR(__xludf.DUMMYFUNCTION("IFERROR(VLOOKUP(E319&amp;F319,IMPORTRANGE(""https://docs.google.com/spreadsheets/d/1Uw7-A9f9R21vMXxHZFNpYNeKFtG8_yji4HS352LGlSQ/edit?pli=1#gid=0"",""1_ACUM!A4:S""),17,FALSE))"),"")</f>
        <v/>
      </c>
      <c r="BD302" s="44" t="str">
        <f ca="1">IFERROR(__xludf.DUMMYFUNCTION("IFERROR(VLOOKUP(E319&amp;F319,IMPORTRANGE(""https://docs.google.com/spreadsheets/d/1Uw7-A9f9R21vMXxHZFNpYNeKFtG8_yji4HS352LGlSQ/edit?pli=1#gid=0"",""1_ACUM!A4:S""),18,FALSE))"),"")</f>
        <v/>
      </c>
      <c r="BE302" s="44" t="str">
        <f ca="1">IFERROR(__xludf.DUMMYFUNCTION("IFERROR(VLOOKUP(E319&amp;F319,IMPORTRANGE(""https://docs.google.com/spreadsheets/d/1Uw7-A9f9R21vMXxHZFNpYNeKFtG8_yji4HS352LGlSQ/edit?pli=1#gid=0"",""1_ACUM!A4:S""),19,FALSE))"),"")</f>
        <v/>
      </c>
      <c r="BF302" s="44" t="str">
        <f ca="1">IFERROR(__xludf.DUMMYFUNCTION("IFERROR(VLOOKUP(F319,IMPORTRANGE(""https://docs.google.com/spreadsheets/d/1Kvs4KS76FHFqLFIZfrDMff4kP08nblUkihrxltoGBjg/edit#gid=934712705"",""ESENCIAL!A6:BG""),5,FALSE))"),"")</f>
        <v/>
      </c>
      <c r="BG302" s="44" t="str">
        <f t="shared" si="37"/>
        <v/>
      </c>
      <c r="BH302" s="41" t="str">
        <f t="shared" si="38"/>
        <v/>
      </c>
      <c r="BI302" s="41" t="str">
        <f ca="1">IFERROR(__xludf.DUMMYFUNCTION("IFERROR(VLOOKUP(F319,IMPORTRANGE(""https://docs.google.com/spreadsheets/d/1Kvs4KS76FHFqLFIZfrDMff4kP08nblUkihrxltoGBjg/edit#gid=934712705"",""ESENCIAL!A6:BG""),18,FALSE))"),"")</f>
        <v/>
      </c>
      <c r="BJ302" s="19" t="str">
        <f t="shared" si="39"/>
        <v/>
      </c>
      <c r="BK302" s="41"/>
      <c r="BL302" s="41"/>
    </row>
    <row r="303" spans="1:64" ht="15">
      <c r="A303" s="4"/>
      <c r="B303" s="4"/>
      <c r="G303" s="5" t="str">
        <f ca="1">IFERROR(__xludf.DUMMYFUNCTION("IFERROR(VLOOKUP(F320,IMPORTRANGE(""https://docs.google.com/spreadsheets/d/1Kvs4KS76FHFqLFIZfrDMff4kP08nblUkihrxltoGBjg/edit#gid=934712705"",""ESENCIAL!A6:BG""),3,FALSE))"),"")</f>
        <v/>
      </c>
      <c r="H303" s="5" t="str">
        <f ca="1">IFERROR(__xludf.DUMMYFUNCTION("IFERROR(VLOOKUP(F320,IMPORTRANGE(""https://docs.google.com/spreadsheets/d/1Kvs4KS76FHFqLFIZfrDMff4kP08nblUkihrxltoGBjg/edit#gid=934712705"",""ESENCIAL!A6:BG""),8,FALSE))"),"")</f>
        <v/>
      </c>
      <c r="L303" s="287"/>
      <c r="S303"/>
      <c r="AU303" s="41" t="str">
        <f t="shared" si="36"/>
        <v/>
      </c>
      <c r="AV303" s="5" t="str">
        <f ca="1">IFERROR(__xludf.DUMMYFUNCTION("IFERROR(VLOOKUP(E320&amp;F320,IMPORTRANGE(""https://docs.google.com/spreadsheets/d/1Uw7-A9f9R21vMXxHZFNpYNeKFtG8_yji4HS352LGlSQ/edit?pli=1#gid=0"",""1_ACUM!A4:S""),11,FALSE))"),"")</f>
        <v/>
      </c>
      <c r="AW303" s="42" t="str">
        <f ca="1">IFERROR(__xludf.DUMMYFUNCTION("IFERROR(VLOOKUP(F320,IMPORTRANGE(""https://docs.google.com/spreadsheets/d/1Kvs4KS76FHFqLFIZfrDMff4kP08nblUkihrxltoGBjg/edit#gid=934712705"",""ESENCIAL!A6:BG""),15,FALSE))"),"")</f>
        <v/>
      </c>
      <c r="AX303" s="21" t="str">
        <f ca="1">IFERROR(__xludf.DUMMYFUNCTION("IFERROR(VLOOKUP(E320&amp;F320,IMPORTRANGE(""https://docs.google.com/spreadsheets/d/1Uw7-A9f9R21vMXxHZFNpYNeKFtG8_yji4HS352LGlSQ/edit?pli=1#gid=0"",""1_ACUM!A4:S""),12,FALSE))"),"")</f>
        <v/>
      </c>
      <c r="AY303" s="43" t="str">
        <f ca="1">IFERROR(__xludf.DUMMYFUNCTION("IFERROR(VLOOKUP(E320&amp;F320,IMPORTRANGE(""https://docs.google.com/spreadsheets/d/1Uw7-A9f9R21vMXxHZFNpYNeKFtG8_yji4HS352LGlSQ/edit?pli=1#gid=0"",""1_ACUM!A4:S""),13,FALSE))"),"")</f>
        <v/>
      </c>
      <c r="AZ303" s="43" t="str">
        <f ca="1">IFERROR(__xludf.DUMMYFUNCTION("IFERROR(VLOOKUP(E320&amp;F320,IMPORTRANGE(""https://docs.google.com/spreadsheets/d/1Uw7-A9f9R21vMXxHZFNpYNeKFtG8_yji4HS352LGlSQ/edit?pli=1#gid=0"",""1_ACUM!A4:S""),14,FALSE))"),"")</f>
        <v/>
      </c>
      <c r="BA303" s="43" t="str">
        <f ca="1">IFERROR(__xludf.DUMMYFUNCTION("IFERROR(VLOOKUP(E320&amp;F320,IMPORTRANGE(""https://docs.google.com/spreadsheets/d/1Uw7-A9f9R21vMXxHZFNpYNeKFtG8_yji4HS352LGlSQ/edit?pli=1#gid=0"",""1_ACUM!A4:S""),15,FALSE))"),"")</f>
        <v/>
      </c>
      <c r="BB303" s="43" t="str">
        <f ca="1">IFERROR(__xludf.DUMMYFUNCTION("IFERROR(VLOOKUP(E320&amp;F320,IMPORTRANGE(""https://docs.google.com/spreadsheets/d/1Uw7-A9f9R21vMXxHZFNpYNeKFtG8_yji4HS352LGlSQ/edit?pli=1#gid=0"",""1_ACUM!A4:S""),16,FALSE))"),"")</f>
        <v/>
      </c>
      <c r="BC303" s="43" t="str">
        <f ca="1">IFERROR(__xludf.DUMMYFUNCTION("IFERROR(VLOOKUP(E320&amp;F320,IMPORTRANGE(""https://docs.google.com/spreadsheets/d/1Uw7-A9f9R21vMXxHZFNpYNeKFtG8_yji4HS352LGlSQ/edit?pli=1#gid=0"",""1_ACUM!A4:S""),17,FALSE))"),"")</f>
        <v/>
      </c>
      <c r="BD303" s="44" t="str">
        <f ca="1">IFERROR(__xludf.DUMMYFUNCTION("IFERROR(VLOOKUP(E320&amp;F320,IMPORTRANGE(""https://docs.google.com/spreadsheets/d/1Uw7-A9f9R21vMXxHZFNpYNeKFtG8_yji4HS352LGlSQ/edit?pli=1#gid=0"",""1_ACUM!A4:S""),18,FALSE))"),"")</f>
        <v/>
      </c>
      <c r="BE303" s="44" t="str">
        <f ca="1">IFERROR(__xludf.DUMMYFUNCTION("IFERROR(VLOOKUP(E320&amp;F320,IMPORTRANGE(""https://docs.google.com/spreadsheets/d/1Uw7-A9f9R21vMXxHZFNpYNeKFtG8_yji4HS352LGlSQ/edit?pli=1#gid=0"",""1_ACUM!A4:S""),19,FALSE))"),"")</f>
        <v/>
      </c>
      <c r="BF303" s="44" t="str">
        <f ca="1">IFERROR(__xludf.DUMMYFUNCTION("IFERROR(VLOOKUP(F320,IMPORTRANGE(""https://docs.google.com/spreadsheets/d/1Kvs4KS76FHFqLFIZfrDMff4kP08nblUkihrxltoGBjg/edit#gid=934712705"",""ESENCIAL!A6:BG""),5,FALSE))"),"")</f>
        <v/>
      </c>
      <c r="BG303" s="44" t="str">
        <f t="shared" si="37"/>
        <v/>
      </c>
      <c r="BH303" s="41" t="str">
        <f t="shared" si="38"/>
        <v/>
      </c>
      <c r="BI303" s="41" t="str">
        <f ca="1">IFERROR(__xludf.DUMMYFUNCTION("IFERROR(VLOOKUP(F320,IMPORTRANGE(""https://docs.google.com/spreadsheets/d/1Kvs4KS76FHFqLFIZfrDMff4kP08nblUkihrxltoGBjg/edit#gid=934712705"",""ESENCIAL!A6:BG""),18,FALSE))"),"")</f>
        <v/>
      </c>
      <c r="BJ303" s="19" t="str">
        <f t="shared" si="39"/>
        <v/>
      </c>
      <c r="BK303" s="41"/>
      <c r="BL303" s="41"/>
    </row>
    <row r="304" spans="1:64" ht="15">
      <c r="A304" s="4"/>
      <c r="B304" s="4"/>
      <c r="G304" s="5" t="str">
        <f ca="1">IFERROR(__xludf.DUMMYFUNCTION("IFERROR(VLOOKUP(F321,IMPORTRANGE(""https://docs.google.com/spreadsheets/d/1Kvs4KS76FHFqLFIZfrDMff4kP08nblUkihrxltoGBjg/edit#gid=934712705"",""ESENCIAL!A6:BG""),3,FALSE))"),"")</f>
        <v/>
      </c>
      <c r="H304" s="5" t="str">
        <f ca="1">IFERROR(__xludf.DUMMYFUNCTION("IFERROR(VLOOKUP(F321,IMPORTRANGE(""https://docs.google.com/spreadsheets/d/1Kvs4KS76FHFqLFIZfrDMff4kP08nblUkihrxltoGBjg/edit#gid=934712705"",""ESENCIAL!A6:BG""),8,FALSE))"),"")</f>
        <v/>
      </c>
      <c r="L304" s="287"/>
      <c r="S304"/>
      <c r="AU304" s="41" t="str">
        <f t="shared" si="36"/>
        <v/>
      </c>
      <c r="AV304" s="5" t="str">
        <f ca="1">IFERROR(__xludf.DUMMYFUNCTION("IFERROR(VLOOKUP(E321&amp;F321,IMPORTRANGE(""https://docs.google.com/spreadsheets/d/1Uw7-A9f9R21vMXxHZFNpYNeKFtG8_yji4HS352LGlSQ/edit?pli=1#gid=0"",""1_ACUM!A4:S""),11,FALSE))"),"")</f>
        <v/>
      </c>
      <c r="AW304" s="42" t="str">
        <f ca="1">IFERROR(__xludf.DUMMYFUNCTION("IFERROR(VLOOKUP(F321,IMPORTRANGE(""https://docs.google.com/spreadsheets/d/1Kvs4KS76FHFqLFIZfrDMff4kP08nblUkihrxltoGBjg/edit#gid=934712705"",""ESENCIAL!A6:BG""),15,FALSE))"),"")</f>
        <v/>
      </c>
      <c r="AX304" s="21" t="str">
        <f ca="1">IFERROR(__xludf.DUMMYFUNCTION("IFERROR(VLOOKUP(E321&amp;F321,IMPORTRANGE(""https://docs.google.com/spreadsheets/d/1Uw7-A9f9R21vMXxHZFNpYNeKFtG8_yji4HS352LGlSQ/edit?pli=1#gid=0"",""1_ACUM!A4:S""),12,FALSE))"),"")</f>
        <v/>
      </c>
      <c r="AY304" s="43" t="str">
        <f ca="1">IFERROR(__xludf.DUMMYFUNCTION("IFERROR(VLOOKUP(E321&amp;F321,IMPORTRANGE(""https://docs.google.com/spreadsheets/d/1Uw7-A9f9R21vMXxHZFNpYNeKFtG8_yji4HS352LGlSQ/edit?pli=1#gid=0"",""1_ACUM!A4:S""),13,FALSE))"),"")</f>
        <v/>
      </c>
      <c r="AZ304" s="43" t="str">
        <f ca="1">IFERROR(__xludf.DUMMYFUNCTION("IFERROR(VLOOKUP(E321&amp;F321,IMPORTRANGE(""https://docs.google.com/spreadsheets/d/1Uw7-A9f9R21vMXxHZFNpYNeKFtG8_yji4HS352LGlSQ/edit?pli=1#gid=0"",""1_ACUM!A4:S""),14,FALSE))"),"")</f>
        <v/>
      </c>
      <c r="BA304" s="43" t="str">
        <f ca="1">IFERROR(__xludf.DUMMYFUNCTION("IFERROR(VLOOKUP(E321&amp;F321,IMPORTRANGE(""https://docs.google.com/spreadsheets/d/1Uw7-A9f9R21vMXxHZFNpYNeKFtG8_yji4HS352LGlSQ/edit?pli=1#gid=0"",""1_ACUM!A4:S""),15,FALSE))"),"")</f>
        <v/>
      </c>
      <c r="BB304" s="43" t="str">
        <f ca="1">IFERROR(__xludf.DUMMYFUNCTION("IFERROR(VLOOKUP(E321&amp;F321,IMPORTRANGE(""https://docs.google.com/spreadsheets/d/1Uw7-A9f9R21vMXxHZFNpYNeKFtG8_yji4HS352LGlSQ/edit?pli=1#gid=0"",""1_ACUM!A4:S""),16,FALSE))"),"")</f>
        <v/>
      </c>
      <c r="BC304" s="43" t="str">
        <f ca="1">IFERROR(__xludf.DUMMYFUNCTION("IFERROR(VLOOKUP(E321&amp;F321,IMPORTRANGE(""https://docs.google.com/spreadsheets/d/1Uw7-A9f9R21vMXxHZFNpYNeKFtG8_yji4HS352LGlSQ/edit?pli=1#gid=0"",""1_ACUM!A4:S""),17,FALSE))"),"")</f>
        <v/>
      </c>
      <c r="BD304" s="44" t="str">
        <f ca="1">IFERROR(__xludf.DUMMYFUNCTION("IFERROR(VLOOKUP(E321&amp;F321,IMPORTRANGE(""https://docs.google.com/spreadsheets/d/1Uw7-A9f9R21vMXxHZFNpYNeKFtG8_yji4HS352LGlSQ/edit?pli=1#gid=0"",""1_ACUM!A4:S""),18,FALSE))"),"")</f>
        <v/>
      </c>
      <c r="BE304" s="44" t="str">
        <f ca="1">IFERROR(__xludf.DUMMYFUNCTION("IFERROR(VLOOKUP(E321&amp;F321,IMPORTRANGE(""https://docs.google.com/spreadsheets/d/1Uw7-A9f9R21vMXxHZFNpYNeKFtG8_yji4HS352LGlSQ/edit?pli=1#gid=0"",""1_ACUM!A4:S""),19,FALSE))"),"")</f>
        <v/>
      </c>
      <c r="BF304" s="44" t="str">
        <f ca="1">IFERROR(__xludf.DUMMYFUNCTION("IFERROR(VLOOKUP(F321,IMPORTRANGE(""https://docs.google.com/spreadsheets/d/1Kvs4KS76FHFqLFIZfrDMff4kP08nblUkihrxltoGBjg/edit#gid=934712705"",""ESENCIAL!A6:BG""),5,FALSE))"),"")</f>
        <v/>
      </c>
      <c r="BG304" s="44" t="str">
        <f t="shared" si="37"/>
        <v/>
      </c>
      <c r="BH304" s="41" t="str">
        <f t="shared" si="38"/>
        <v/>
      </c>
      <c r="BI304" s="41" t="str">
        <f ca="1">IFERROR(__xludf.DUMMYFUNCTION("IFERROR(VLOOKUP(F321,IMPORTRANGE(""https://docs.google.com/spreadsheets/d/1Kvs4KS76FHFqLFIZfrDMff4kP08nblUkihrxltoGBjg/edit#gid=934712705"",""ESENCIAL!A6:BG""),18,FALSE))"),"")</f>
        <v/>
      </c>
      <c r="BJ304" s="19" t="str">
        <f t="shared" si="39"/>
        <v/>
      </c>
      <c r="BK304" s="41"/>
      <c r="BL304" s="41"/>
    </row>
    <row r="305" spans="1:64" ht="15">
      <c r="A305" s="4"/>
      <c r="B305" s="4"/>
      <c r="G305" s="5" t="str">
        <f ca="1">IFERROR(__xludf.DUMMYFUNCTION("IFERROR(VLOOKUP(F322,IMPORTRANGE(""https://docs.google.com/spreadsheets/d/1Kvs4KS76FHFqLFIZfrDMff4kP08nblUkihrxltoGBjg/edit#gid=934712705"",""ESENCIAL!A6:BG""),3,FALSE))"),"")</f>
        <v/>
      </c>
      <c r="H305" s="5" t="str">
        <f ca="1">IFERROR(__xludf.DUMMYFUNCTION("IFERROR(VLOOKUP(F322,IMPORTRANGE(""https://docs.google.com/spreadsheets/d/1Kvs4KS76FHFqLFIZfrDMff4kP08nblUkihrxltoGBjg/edit#gid=934712705"",""ESENCIAL!A6:BG""),8,FALSE))"),"")</f>
        <v/>
      </c>
      <c r="L305" s="287"/>
      <c r="S305"/>
      <c r="AU305" s="41" t="str">
        <f t="shared" si="36"/>
        <v/>
      </c>
      <c r="AV305" s="5" t="str">
        <f ca="1">IFERROR(__xludf.DUMMYFUNCTION("IFERROR(VLOOKUP(E322&amp;F322,IMPORTRANGE(""https://docs.google.com/spreadsheets/d/1Uw7-A9f9R21vMXxHZFNpYNeKFtG8_yji4HS352LGlSQ/edit?pli=1#gid=0"",""1_ACUM!A4:S""),11,FALSE))"),"")</f>
        <v/>
      </c>
      <c r="AW305" s="42" t="str">
        <f ca="1">IFERROR(__xludf.DUMMYFUNCTION("IFERROR(VLOOKUP(F322,IMPORTRANGE(""https://docs.google.com/spreadsheets/d/1Kvs4KS76FHFqLFIZfrDMff4kP08nblUkihrxltoGBjg/edit#gid=934712705"",""ESENCIAL!A6:BG""),15,FALSE))"),"")</f>
        <v/>
      </c>
      <c r="AX305" s="21" t="str">
        <f ca="1">IFERROR(__xludf.DUMMYFUNCTION("IFERROR(VLOOKUP(E322&amp;F322,IMPORTRANGE(""https://docs.google.com/spreadsheets/d/1Uw7-A9f9R21vMXxHZFNpYNeKFtG8_yji4HS352LGlSQ/edit?pli=1#gid=0"",""1_ACUM!A4:S""),12,FALSE))"),"")</f>
        <v/>
      </c>
      <c r="AY305" s="43" t="str">
        <f ca="1">IFERROR(__xludf.DUMMYFUNCTION("IFERROR(VLOOKUP(E322&amp;F322,IMPORTRANGE(""https://docs.google.com/spreadsheets/d/1Uw7-A9f9R21vMXxHZFNpYNeKFtG8_yji4HS352LGlSQ/edit?pli=1#gid=0"",""1_ACUM!A4:S""),13,FALSE))"),"")</f>
        <v/>
      </c>
      <c r="AZ305" s="43" t="str">
        <f ca="1">IFERROR(__xludf.DUMMYFUNCTION("IFERROR(VLOOKUP(E322&amp;F322,IMPORTRANGE(""https://docs.google.com/spreadsheets/d/1Uw7-A9f9R21vMXxHZFNpYNeKFtG8_yji4HS352LGlSQ/edit?pli=1#gid=0"",""1_ACUM!A4:S""),14,FALSE))"),"")</f>
        <v/>
      </c>
      <c r="BA305" s="43" t="str">
        <f ca="1">IFERROR(__xludf.DUMMYFUNCTION("IFERROR(VLOOKUP(E322&amp;F322,IMPORTRANGE(""https://docs.google.com/spreadsheets/d/1Uw7-A9f9R21vMXxHZFNpYNeKFtG8_yji4HS352LGlSQ/edit?pli=1#gid=0"",""1_ACUM!A4:S""),15,FALSE))"),"")</f>
        <v/>
      </c>
      <c r="BB305" s="43" t="str">
        <f ca="1">IFERROR(__xludf.DUMMYFUNCTION("IFERROR(VLOOKUP(E322&amp;F322,IMPORTRANGE(""https://docs.google.com/spreadsheets/d/1Uw7-A9f9R21vMXxHZFNpYNeKFtG8_yji4HS352LGlSQ/edit?pli=1#gid=0"",""1_ACUM!A4:S""),16,FALSE))"),"")</f>
        <v/>
      </c>
      <c r="BC305" s="43" t="str">
        <f ca="1">IFERROR(__xludf.DUMMYFUNCTION("IFERROR(VLOOKUP(E322&amp;F322,IMPORTRANGE(""https://docs.google.com/spreadsheets/d/1Uw7-A9f9R21vMXxHZFNpYNeKFtG8_yji4HS352LGlSQ/edit?pli=1#gid=0"",""1_ACUM!A4:S""),17,FALSE))"),"")</f>
        <v/>
      </c>
      <c r="BD305" s="44" t="str">
        <f ca="1">IFERROR(__xludf.DUMMYFUNCTION("IFERROR(VLOOKUP(E322&amp;F322,IMPORTRANGE(""https://docs.google.com/spreadsheets/d/1Uw7-A9f9R21vMXxHZFNpYNeKFtG8_yji4HS352LGlSQ/edit?pli=1#gid=0"",""1_ACUM!A4:S""),18,FALSE))"),"")</f>
        <v/>
      </c>
      <c r="BE305" s="44" t="str">
        <f ca="1">IFERROR(__xludf.DUMMYFUNCTION("IFERROR(VLOOKUP(E322&amp;F322,IMPORTRANGE(""https://docs.google.com/spreadsheets/d/1Uw7-A9f9R21vMXxHZFNpYNeKFtG8_yji4HS352LGlSQ/edit?pli=1#gid=0"",""1_ACUM!A4:S""),19,FALSE))"),"")</f>
        <v/>
      </c>
      <c r="BF305" s="44" t="str">
        <f ca="1">IFERROR(__xludf.DUMMYFUNCTION("IFERROR(VLOOKUP(F322,IMPORTRANGE(""https://docs.google.com/spreadsheets/d/1Kvs4KS76FHFqLFIZfrDMff4kP08nblUkihrxltoGBjg/edit#gid=934712705"",""ESENCIAL!A6:BG""),5,FALSE))"),"")</f>
        <v/>
      </c>
      <c r="BG305" s="44" t="str">
        <f t="shared" si="37"/>
        <v/>
      </c>
      <c r="BH305" s="41" t="str">
        <f t="shared" si="38"/>
        <v/>
      </c>
      <c r="BI305" s="41" t="str">
        <f ca="1">IFERROR(__xludf.DUMMYFUNCTION("IFERROR(VLOOKUP(F322,IMPORTRANGE(""https://docs.google.com/spreadsheets/d/1Kvs4KS76FHFqLFIZfrDMff4kP08nblUkihrxltoGBjg/edit#gid=934712705"",""ESENCIAL!A6:BG""),18,FALSE))"),"")</f>
        <v/>
      </c>
      <c r="BJ305" s="19" t="str">
        <f t="shared" si="39"/>
        <v/>
      </c>
      <c r="BK305" s="41"/>
      <c r="BL305" s="41"/>
    </row>
    <row r="306" spans="1:64" ht="15">
      <c r="A306" s="4"/>
      <c r="B306" s="4"/>
      <c r="G306" s="5" t="str">
        <f ca="1">IFERROR(__xludf.DUMMYFUNCTION("IFERROR(VLOOKUP(F323,IMPORTRANGE(""https://docs.google.com/spreadsheets/d/1Kvs4KS76FHFqLFIZfrDMff4kP08nblUkihrxltoGBjg/edit#gid=934712705"",""ESENCIAL!A6:BG""),3,FALSE))"),"")</f>
        <v/>
      </c>
      <c r="H306" s="5" t="str">
        <f ca="1">IFERROR(__xludf.DUMMYFUNCTION("IFERROR(VLOOKUP(F323,IMPORTRANGE(""https://docs.google.com/spreadsheets/d/1Kvs4KS76FHFqLFIZfrDMff4kP08nblUkihrxltoGBjg/edit#gid=934712705"",""ESENCIAL!A6:BG""),8,FALSE))"),"")</f>
        <v/>
      </c>
      <c r="L306" s="287"/>
      <c r="S306"/>
      <c r="AU306" s="41" t="str">
        <f t="shared" si="36"/>
        <v/>
      </c>
      <c r="AV306" s="5" t="str">
        <f ca="1">IFERROR(__xludf.DUMMYFUNCTION("IFERROR(VLOOKUP(E323&amp;F323,IMPORTRANGE(""https://docs.google.com/spreadsheets/d/1Uw7-A9f9R21vMXxHZFNpYNeKFtG8_yji4HS352LGlSQ/edit?pli=1#gid=0"",""1_ACUM!A4:S""),11,FALSE))"),"")</f>
        <v/>
      </c>
      <c r="AW306" s="42" t="str">
        <f ca="1">IFERROR(__xludf.DUMMYFUNCTION("IFERROR(VLOOKUP(F323,IMPORTRANGE(""https://docs.google.com/spreadsheets/d/1Kvs4KS76FHFqLFIZfrDMff4kP08nblUkihrxltoGBjg/edit#gid=934712705"",""ESENCIAL!A6:BG""),15,FALSE))"),"")</f>
        <v/>
      </c>
      <c r="AX306" s="21" t="str">
        <f ca="1">IFERROR(__xludf.DUMMYFUNCTION("IFERROR(VLOOKUP(E323&amp;F323,IMPORTRANGE(""https://docs.google.com/spreadsheets/d/1Uw7-A9f9R21vMXxHZFNpYNeKFtG8_yji4HS352LGlSQ/edit?pli=1#gid=0"",""1_ACUM!A4:S""),12,FALSE))"),"")</f>
        <v/>
      </c>
      <c r="AY306" s="43" t="str">
        <f ca="1">IFERROR(__xludf.DUMMYFUNCTION("IFERROR(VLOOKUP(E323&amp;F323,IMPORTRANGE(""https://docs.google.com/spreadsheets/d/1Uw7-A9f9R21vMXxHZFNpYNeKFtG8_yji4HS352LGlSQ/edit?pli=1#gid=0"",""1_ACUM!A4:S""),13,FALSE))"),"")</f>
        <v/>
      </c>
      <c r="AZ306" s="43" t="str">
        <f ca="1">IFERROR(__xludf.DUMMYFUNCTION("IFERROR(VLOOKUP(E323&amp;F323,IMPORTRANGE(""https://docs.google.com/spreadsheets/d/1Uw7-A9f9R21vMXxHZFNpYNeKFtG8_yji4HS352LGlSQ/edit?pli=1#gid=0"",""1_ACUM!A4:S""),14,FALSE))"),"")</f>
        <v/>
      </c>
      <c r="BA306" s="43" t="str">
        <f ca="1">IFERROR(__xludf.DUMMYFUNCTION("IFERROR(VLOOKUP(E323&amp;F323,IMPORTRANGE(""https://docs.google.com/spreadsheets/d/1Uw7-A9f9R21vMXxHZFNpYNeKFtG8_yji4HS352LGlSQ/edit?pli=1#gid=0"",""1_ACUM!A4:S""),15,FALSE))"),"")</f>
        <v/>
      </c>
      <c r="BB306" s="43" t="str">
        <f ca="1">IFERROR(__xludf.DUMMYFUNCTION("IFERROR(VLOOKUP(E323&amp;F323,IMPORTRANGE(""https://docs.google.com/spreadsheets/d/1Uw7-A9f9R21vMXxHZFNpYNeKFtG8_yji4HS352LGlSQ/edit?pli=1#gid=0"",""1_ACUM!A4:S""),16,FALSE))"),"")</f>
        <v/>
      </c>
      <c r="BC306" s="43" t="str">
        <f ca="1">IFERROR(__xludf.DUMMYFUNCTION("IFERROR(VLOOKUP(E323&amp;F323,IMPORTRANGE(""https://docs.google.com/spreadsheets/d/1Uw7-A9f9R21vMXxHZFNpYNeKFtG8_yji4HS352LGlSQ/edit?pli=1#gid=0"",""1_ACUM!A4:S""),17,FALSE))"),"")</f>
        <v/>
      </c>
      <c r="BD306" s="44" t="str">
        <f ca="1">IFERROR(__xludf.DUMMYFUNCTION("IFERROR(VLOOKUP(E323&amp;F323,IMPORTRANGE(""https://docs.google.com/spreadsheets/d/1Uw7-A9f9R21vMXxHZFNpYNeKFtG8_yji4HS352LGlSQ/edit?pli=1#gid=0"",""1_ACUM!A4:S""),18,FALSE))"),"")</f>
        <v/>
      </c>
      <c r="BE306" s="44" t="str">
        <f ca="1">IFERROR(__xludf.DUMMYFUNCTION("IFERROR(VLOOKUP(E323&amp;F323,IMPORTRANGE(""https://docs.google.com/spreadsheets/d/1Uw7-A9f9R21vMXxHZFNpYNeKFtG8_yji4HS352LGlSQ/edit?pli=1#gid=0"",""1_ACUM!A4:S""),19,FALSE))"),"")</f>
        <v/>
      </c>
      <c r="BF306" s="44" t="str">
        <f ca="1">IFERROR(__xludf.DUMMYFUNCTION("IFERROR(VLOOKUP(F323,IMPORTRANGE(""https://docs.google.com/spreadsheets/d/1Kvs4KS76FHFqLFIZfrDMff4kP08nblUkihrxltoGBjg/edit#gid=934712705"",""ESENCIAL!A6:BG""),5,FALSE))"),"")</f>
        <v/>
      </c>
      <c r="BG306" s="44" t="str">
        <f t="shared" si="37"/>
        <v/>
      </c>
      <c r="BH306" s="41" t="str">
        <f t="shared" si="38"/>
        <v/>
      </c>
      <c r="BI306" s="41" t="str">
        <f ca="1">IFERROR(__xludf.DUMMYFUNCTION("IFERROR(VLOOKUP(F323,IMPORTRANGE(""https://docs.google.com/spreadsheets/d/1Kvs4KS76FHFqLFIZfrDMff4kP08nblUkihrxltoGBjg/edit#gid=934712705"",""ESENCIAL!A6:BG""),18,FALSE))"),"")</f>
        <v/>
      </c>
      <c r="BJ306" s="19" t="str">
        <f t="shared" si="39"/>
        <v/>
      </c>
      <c r="BK306" s="41"/>
      <c r="BL306" s="41"/>
    </row>
    <row r="307" spans="1:64" ht="15">
      <c r="A307" s="4"/>
      <c r="B307" s="4"/>
      <c r="G307" s="5" t="str">
        <f ca="1">IFERROR(__xludf.DUMMYFUNCTION("IFERROR(VLOOKUP(F324,IMPORTRANGE(""https://docs.google.com/spreadsheets/d/1Kvs4KS76FHFqLFIZfrDMff4kP08nblUkihrxltoGBjg/edit#gid=934712705"",""ESENCIAL!A6:BG""),3,FALSE))"),"")</f>
        <v/>
      </c>
      <c r="H307" s="5" t="str">
        <f ca="1">IFERROR(__xludf.DUMMYFUNCTION("IFERROR(VLOOKUP(F324,IMPORTRANGE(""https://docs.google.com/spreadsheets/d/1Kvs4KS76FHFqLFIZfrDMff4kP08nblUkihrxltoGBjg/edit#gid=934712705"",""ESENCIAL!A6:BG""),8,FALSE))"),"")</f>
        <v/>
      </c>
      <c r="L307" s="287"/>
      <c r="S307"/>
      <c r="AU307" s="41" t="str">
        <f t="shared" si="36"/>
        <v/>
      </c>
      <c r="AV307" s="5" t="str">
        <f ca="1">IFERROR(__xludf.DUMMYFUNCTION("IFERROR(VLOOKUP(E324&amp;F324,IMPORTRANGE(""https://docs.google.com/spreadsheets/d/1Uw7-A9f9R21vMXxHZFNpYNeKFtG8_yji4HS352LGlSQ/edit?pli=1#gid=0"",""1_ACUM!A4:S""),11,FALSE))"),"")</f>
        <v/>
      </c>
      <c r="AW307" s="42" t="str">
        <f ca="1">IFERROR(__xludf.DUMMYFUNCTION("IFERROR(VLOOKUP(F324,IMPORTRANGE(""https://docs.google.com/spreadsheets/d/1Kvs4KS76FHFqLFIZfrDMff4kP08nblUkihrxltoGBjg/edit#gid=934712705"",""ESENCIAL!A6:BG""),15,FALSE))"),"")</f>
        <v/>
      </c>
      <c r="AX307" s="21" t="str">
        <f ca="1">IFERROR(__xludf.DUMMYFUNCTION("IFERROR(VLOOKUP(E324&amp;F324,IMPORTRANGE(""https://docs.google.com/spreadsheets/d/1Uw7-A9f9R21vMXxHZFNpYNeKFtG8_yji4HS352LGlSQ/edit?pli=1#gid=0"",""1_ACUM!A4:S""),12,FALSE))"),"")</f>
        <v/>
      </c>
      <c r="AY307" s="43" t="str">
        <f ca="1">IFERROR(__xludf.DUMMYFUNCTION("IFERROR(VLOOKUP(E324&amp;F324,IMPORTRANGE(""https://docs.google.com/spreadsheets/d/1Uw7-A9f9R21vMXxHZFNpYNeKFtG8_yji4HS352LGlSQ/edit?pli=1#gid=0"",""1_ACUM!A4:S""),13,FALSE))"),"")</f>
        <v/>
      </c>
      <c r="AZ307" s="43" t="str">
        <f ca="1">IFERROR(__xludf.DUMMYFUNCTION("IFERROR(VLOOKUP(E324&amp;F324,IMPORTRANGE(""https://docs.google.com/spreadsheets/d/1Uw7-A9f9R21vMXxHZFNpYNeKFtG8_yji4HS352LGlSQ/edit?pli=1#gid=0"",""1_ACUM!A4:S""),14,FALSE))"),"")</f>
        <v/>
      </c>
      <c r="BA307" s="43" t="str">
        <f ca="1">IFERROR(__xludf.DUMMYFUNCTION("IFERROR(VLOOKUP(E324&amp;F324,IMPORTRANGE(""https://docs.google.com/spreadsheets/d/1Uw7-A9f9R21vMXxHZFNpYNeKFtG8_yji4HS352LGlSQ/edit?pli=1#gid=0"",""1_ACUM!A4:S""),15,FALSE))"),"")</f>
        <v/>
      </c>
      <c r="BB307" s="43" t="str">
        <f ca="1">IFERROR(__xludf.DUMMYFUNCTION("IFERROR(VLOOKUP(E324&amp;F324,IMPORTRANGE(""https://docs.google.com/spreadsheets/d/1Uw7-A9f9R21vMXxHZFNpYNeKFtG8_yji4HS352LGlSQ/edit?pli=1#gid=0"",""1_ACUM!A4:S""),16,FALSE))"),"")</f>
        <v/>
      </c>
      <c r="BC307" s="43" t="str">
        <f ca="1">IFERROR(__xludf.DUMMYFUNCTION("IFERROR(VLOOKUP(E324&amp;F324,IMPORTRANGE(""https://docs.google.com/spreadsheets/d/1Uw7-A9f9R21vMXxHZFNpYNeKFtG8_yji4HS352LGlSQ/edit?pli=1#gid=0"",""1_ACUM!A4:S""),17,FALSE))"),"")</f>
        <v/>
      </c>
      <c r="BD307" s="44" t="str">
        <f ca="1">IFERROR(__xludf.DUMMYFUNCTION("IFERROR(VLOOKUP(E324&amp;F324,IMPORTRANGE(""https://docs.google.com/spreadsheets/d/1Uw7-A9f9R21vMXxHZFNpYNeKFtG8_yji4HS352LGlSQ/edit?pli=1#gid=0"",""1_ACUM!A4:S""),18,FALSE))"),"")</f>
        <v/>
      </c>
      <c r="BE307" s="44" t="str">
        <f ca="1">IFERROR(__xludf.DUMMYFUNCTION("IFERROR(VLOOKUP(E324&amp;F324,IMPORTRANGE(""https://docs.google.com/spreadsheets/d/1Uw7-A9f9R21vMXxHZFNpYNeKFtG8_yji4HS352LGlSQ/edit?pli=1#gid=0"",""1_ACUM!A4:S""),19,FALSE))"),"")</f>
        <v/>
      </c>
      <c r="BF307" s="44" t="str">
        <f ca="1">IFERROR(__xludf.DUMMYFUNCTION("IFERROR(VLOOKUP(F324,IMPORTRANGE(""https://docs.google.com/spreadsheets/d/1Kvs4KS76FHFqLFIZfrDMff4kP08nblUkihrxltoGBjg/edit#gid=934712705"",""ESENCIAL!A6:BG""),5,FALSE))"),"")</f>
        <v/>
      </c>
      <c r="BG307" s="44" t="str">
        <f t="shared" si="37"/>
        <v/>
      </c>
      <c r="BH307" s="41" t="str">
        <f t="shared" si="38"/>
        <v/>
      </c>
      <c r="BI307" s="41" t="str">
        <f ca="1">IFERROR(__xludf.DUMMYFUNCTION("IFERROR(VLOOKUP(F324,IMPORTRANGE(""https://docs.google.com/spreadsheets/d/1Kvs4KS76FHFqLFIZfrDMff4kP08nblUkihrxltoGBjg/edit#gid=934712705"",""ESENCIAL!A6:BG""),18,FALSE))"),"")</f>
        <v/>
      </c>
      <c r="BJ307" s="19" t="str">
        <f t="shared" si="39"/>
        <v/>
      </c>
      <c r="BK307" s="41"/>
      <c r="BL307" s="41"/>
    </row>
    <row r="308" spans="1:64" ht="15">
      <c r="A308" s="4"/>
      <c r="B308" s="4"/>
      <c r="G308" s="5" t="str">
        <f ca="1">IFERROR(__xludf.DUMMYFUNCTION("IFERROR(VLOOKUP(F325,IMPORTRANGE(""https://docs.google.com/spreadsheets/d/1Kvs4KS76FHFqLFIZfrDMff4kP08nblUkihrxltoGBjg/edit#gid=934712705"",""ESENCIAL!A6:BG""),3,FALSE))"),"")</f>
        <v/>
      </c>
      <c r="H308" s="5" t="str">
        <f ca="1">IFERROR(__xludf.DUMMYFUNCTION("IFERROR(VLOOKUP(F325,IMPORTRANGE(""https://docs.google.com/spreadsheets/d/1Kvs4KS76FHFqLFIZfrDMff4kP08nblUkihrxltoGBjg/edit#gid=934712705"",""ESENCIAL!A6:BG""),8,FALSE))"),"")</f>
        <v/>
      </c>
      <c r="L308" s="287"/>
      <c r="S308"/>
      <c r="AU308" s="41" t="str">
        <f t="shared" si="36"/>
        <v/>
      </c>
      <c r="AV308" s="5" t="str">
        <f ca="1">IFERROR(__xludf.DUMMYFUNCTION("IFERROR(VLOOKUP(E325&amp;F325,IMPORTRANGE(""https://docs.google.com/spreadsheets/d/1Uw7-A9f9R21vMXxHZFNpYNeKFtG8_yji4HS352LGlSQ/edit?pli=1#gid=0"",""1_ACUM!A4:S""),11,FALSE))"),"")</f>
        <v/>
      </c>
      <c r="AW308" s="42" t="str">
        <f ca="1">IFERROR(__xludf.DUMMYFUNCTION("IFERROR(VLOOKUP(F325,IMPORTRANGE(""https://docs.google.com/spreadsheets/d/1Kvs4KS76FHFqLFIZfrDMff4kP08nblUkihrxltoGBjg/edit#gid=934712705"",""ESENCIAL!A6:BG""),15,FALSE))"),"")</f>
        <v/>
      </c>
      <c r="AX308" s="21" t="str">
        <f ca="1">IFERROR(__xludf.DUMMYFUNCTION("IFERROR(VLOOKUP(E325&amp;F325,IMPORTRANGE(""https://docs.google.com/spreadsheets/d/1Uw7-A9f9R21vMXxHZFNpYNeKFtG8_yji4HS352LGlSQ/edit?pli=1#gid=0"",""1_ACUM!A4:S""),12,FALSE))"),"")</f>
        <v/>
      </c>
      <c r="AY308" s="43" t="str">
        <f ca="1">IFERROR(__xludf.DUMMYFUNCTION("IFERROR(VLOOKUP(E325&amp;F325,IMPORTRANGE(""https://docs.google.com/spreadsheets/d/1Uw7-A9f9R21vMXxHZFNpYNeKFtG8_yji4HS352LGlSQ/edit?pli=1#gid=0"",""1_ACUM!A4:S""),13,FALSE))"),"")</f>
        <v/>
      </c>
      <c r="AZ308" s="43" t="str">
        <f ca="1">IFERROR(__xludf.DUMMYFUNCTION("IFERROR(VLOOKUP(E325&amp;F325,IMPORTRANGE(""https://docs.google.com/spreadsheets/d/1Uw7-A9f9R21vMXxHZFNpYNeKFtG8_yji4HS352LGlSQ/edit?pli=1#gid=0"",""1_ACUM!A4:S""),14,FALSE))"),"")</f>
        <v/>
      </c>
      <c r="BA308" s="43" t="str">
        <f ca="1">IFERROR(__xludf.DUMMYFUNCTION("IFERROR(VLOOKUP(E325&amp;F325,IMPORTRANGE(""https://docs.google.com/spreadsheets/d/1Uw7-A9f9R21vMXxHZFNpYNeKFtG8_yji4HS352LGlSQ/edit?pli=1#gid=0"",""1_ACUM!A4:S""),15,FALSE))"),"")</f>
        <v/>
      </c>
      <c r="BB308" s="43" t="str">
        <f ca="1">IFERROR(__xludf.DUMMYFUNCTION("IFERROR(VLOOKUP(E325&amp;F325,IMPORTRANGE(""https://docs.google.com/spreadsheets/d/1Uw7-A9f9R21vMXxHZFNpYNeKFtG8_yji4HS352LGlSQ/edit?pli=1#gid=0"",""1_ACUM!A4:S""),16,FALSE))"),"")</f>
        <v/>
      </c>
      <c r="BC308" s="43" t="str">
        <f ca="1">IFERROR(__xludf.DUMMYFUNCTION("IFERROR(VLOOKUP(E325&amp;F325,IMPORTRANGE(""https://docs.google.com/spreadsheets/d/1Uw7-A9f9R21vMXxHZFNpYNeKFtG8_yji4HS352LGlSQ/edit?pli=1#gid=0"",""1_ACUM!A4:S""),17,FALSE))"),"")</f>
        <v/>
      </c>
      <c r="BD308" s="44" t="str">
        <f ca="1">IFERROR(__xludf.DUMMYFUNCTION("IFERROR(VLOOKUP(E325&amp;F325,IMPORTRANGE(""https://docs.google.com/spreadsheets/d/1Uw7-A9f9R21vMXxHZFNpYNeKFtG8_yji4HS352LGlSQ/edit?pli=1#gid=0"",""1_ACUM!A4:S""),18,FALSE))"),"")</f>
        <v/>
      </c>
      <c r="BE308" s="44" t="str">
        <f ca="1">IFERROR(__xludf.DUMMYFUNCTION("IFERROR(VLOOKUP(E325&amp;F325,IMPORTRANGE(""https://docs.google.com/spreadsheets/d/1Uw7-A9f9R21vMXxHZFNpYNeKFtG8_yji4HS352LGlSQ/edit?pli=1#gid=0"",""1_ACUM!A4:S""),19,FALSE))"),"")</f>
        <v/>
      </c>
      <c r="BF308" s="44" t="str">
        <f ca="1">IFERROR(__xludf.DUMMYFUNCTION("IFERROR(VLOOKUP(F325,IMPORTRANGE(""https://docs.google.com/spreadsheets/d/1Kvs4KS76FHFqLFIZfrDMff4kP08nblUkihrxltoGBjg/edit#gid=934712705"",""ESENCIAL!A6:BG""),5,FALSE))"),"")</f>
        <v/>
      </c>
      <c r="BG308" s="44" t="str">
        <f t="shared" si="37"/>
        <v/>
      </c>
      <c r="BH308" s="41" t="str">
        <f t="shared" si="38"/>
        <v/>
      </c>
      <c r="BI308" s="41" t="str">
        <f ca="1">IFERROR(__xludf.DUMMYFUNCTION("IFERROR(VLOOKUP(F325,IMPORTRANGE(""https://docs.google.com/spreadsheets/d/1Kvs4KS76FHFqLFIZfrDMff4kP08nblUkihrxltoGBjg/edit#gid=934712705"",""ESENCIAL!A6:BG""),18,FALSE))"),"")</f>
        <v/>
      </c>
      <c r="BJ308" s="19" t="str">
        <f t="shared" si="39"/>
        <v/>
      </c>
      <c r="BK308" s="41"/>
      <c r="BL308" s="41"/>
    </row>
    <row r="309" spans="1:64" ht="15">
      <c r="A309" s="4"/>
      <c r="B309" s="4"/>
      <c r="G309" s="5" t="str">
        <f ca="1">IFERROR(__xludf.DUMMYFUNCTION("IFERROR(VLOOKUP(F326,IMPORTRANGE(""https://docs.google.com/spreadsheets/d/1Kvs4KS76FHFqLFIZfrDMff4kP08nblUkihrxltoGBjg/edit#gid=934712705"",""ESENCIAL!A6:BG""),3,FALSE))"),"")</f>
        <v/>
      </c>
      <c r="H309" s="5" t="str">
        <f ca="1">IFERROR(__xludf.DUMMYFUNCTION("IFERROR(VLOOKUP(F326,IMPORTRANGE(""https://docs.google.com/spreadsheets/d/1Kvs4KS76FHFqLFIZfrDMff4kP08nblUkihrxltoGBjg/edit#gid=934712705"",""ESENCIAL!A6:BG""),8,FALSE))"),"")</f>
        <v/>
      </c>
      <c r="L309" s="287"/>
      <c r="S309"/>
      <c r="AU309" s="41" t="str">
        <f t="shared" si="36"/>
        <v/>
      </c>
      <c r="AV309" s="5" t="str">
        <f ca="1">IFERROR(__xludf.DUMMYFUNCTION("IFERROR(VLOOKUP(E326&amp;F326,IMPORTRANGE(""https://docs.google.com/spreadsheets/d/1Uw7-A9f9R21vMXxHZFNpYNeKFtG8_yji4HS352LGlSQ/edit?pli=1#gid=0"",""1_ACUM!A4:S""),11,FALSE))"),"")</f>
        <v/>
      </c>
      <c r="AW309" s="42" t="str">
        <f ca="1">IFERROR(__xludf.DUMMYFUNCTION("IFERROR(VLOOKUP(F326,IMPORTRANGE(""https://docs.google.com/spreadsheets/d/1Kvs4KS76FHFqLFIZfrDMff4kP08nblUkihrxltoGBjg/edit#gid=934712705"",""ESENCIAL!A6:BG""),15,FALSE))"),"")</f>
        <v/>
      </c>
      <c r="AX309" s="21" t="str">
        <f ca="1">IFERROR(__xludf.DUMMYFUNCTION("IFERROR(VLOOKUP(E326&amp;F326,IMPORTRANGE(""https://docs.google.com/spreadsheets/d/1Uw7-A9f9R21vMXxHZFNpYNeKFtG8_yji4HS352LGlSQ/edit?pli=1#gid=0"",""1_ACUM!A4:S""),12,FALSE))"),"")</f>
        <v/>
      </c>
      <c r="AY309" s="43" t="str">
        <f ca="1">IFERROR(__xludf.DUMMYFUNCTION("IFERROR(VLOOKUP(E326&amp;F326,IMPORTRANGE(""https://docs.google.com/spreadsheets/d/1Uw7-A9f9R21vMXxHZFNpYNeKFtG8_yji4HS352LGlSQ/edit?pli=1#gid=0"",""1_ACUM!A4:S""),13,FALSE))"),"")</f>
        <v/>
      </c>
      <c r="AZ309" s="43" t="str">
        <f ca="1">IFERROR(__xludf.DUMMYFUNCTION("IFERROR(VLOOKUP(E326&amp;F326,IMPORTRANGE(""https://docs.google.com/spreadsheets/d/1Uw7-A9f9R21vMXxHZFNpYNeKFtG8_yji4HS352LGlSQ/edit?pli=1#gid=0"",""1_ACUM!A4:S""),14,FALSE))"),"")</f>
        <v/>
      </c>
      <c r="BA309" s="43" t="str">
        <f ca="1">IFERROR(__xludf.DUMMYFUNCTION("IFERROR(VLOOKUP(E326&amp;F326,IMPORTRANGE(""https://docs.google.com/spreadsheets/d/1Uw7-A9f9R21vMXxHZFNpYNeKFtG8_yji4HS352LGlSQ/edit?pli=1#gid=0"",""1_ACUM!A4:S""),15,FALSE))"),"")</f>
        <v/>
      </c>
      <c r="BB309" s="43" t="str">
        <f ca="1">IFERROR(__xludf.DUMMYFUNCTION("IFERROR(VLOOKUP(E326&amp;F326,IMPORTRANGE(""https://docs.google.com/spreadsheets/d/1Uw7-A9f9R21vMXxHZFNpYNeKFtG8_yji4HS352LGlSQ/edit?pli=1#gid=0"",""1_ACUM!A4:S""),16,FALSE))"),"")</f>
        <v/>
      </c>
      <c r="BC309" s="43" t="str">
        <f ca="1">IFERROR(__xludf.DUMMYFUNCTION("IFERROR(VLOOKUP(E326&amp;F326,IMPORTRANGE(""https://docs.google.com/spreadsheets/d/1Uw7-A9f9R21vMXxHZFNpYNeKFtG8_yji4HS352LGlSQ/edit?pli=1#gid=0"",""1_ACUM!A4:S""),17,FALSE))"),"")</f>
        <v/>
      </c>
      <c r="BD309" s="44" t="str">
        <f ca="1">IFERROR(__xludf.DUMMYFUNCTION("IFERROR(VLOOKUP(E326&amp;F326,IMPORTRANGE(""https://docs.google.com/spreadsheets/d/1Uw7-A9f9R21vMXxHZFNpYNeKFtG8_yji4HS352LGlSQ/edit?pli=1#gid=0"",""1_ACUM!A4:S""),18,FALSE))"),"")</f>
        <v/>
      </c>
      <c r="BE309" s="44" t="str">
        <f ca="1">IFERROR(__xludf.DUMMYFUNCTION("IFERROR(VLOOKUP(E326&amp;F326,IMPORTRANGE(""https://docs.google.com/spreadsheets/d/1Uw7-A9f9R21vMXxHZFNpYNeKFtG8_yji4HS352LGlSQ/edit?pli=1#gid=0"",""1_ACUM!A4:S""),19,FALSE))"),"")</f>
        <v/>
      </c>
      <c r="BF309" s="44" t="str">
        <f ca="1">IFERROR(__xludf.DUMMYFUNCTION("IFERROR(VLOOKUP(F326,IMPORTRANGE(""https://docs.google.com/spreadsheets/d/1Kvs4KS76FHFqLFIZfrDMff4kP08nblUkihrxltoGBjg/edit#gid=934712705"",""ESENCIAL!A6:BG""),5,FALSE))"),"")</f>
        <v/>
      </c>
      <c r="BG309" s="44" t="str">
        <f t="shared" si="37"/>
        <v/>
      </c>
      <c r="BH309" s="41" t="str">
        <f t="shared" si="38"/>
        <v/>
      </c>
      <c r="BI309" s="41" t="str">
        <f ca="1">IFERROR(__xludf.DUMMYFUNCTION("IFERROR(VLOOKUP(F326,IMPORTRANGE(""https://docs.google.com/spreadsheets/d/1Kvs4KS76FHFqLFIZfrDMff4kP08nblUkihrxltoGBjg/edit#gid=934712705"",""ESENCIAL!A6:BG""),18,FALSE))"),"")</f>
        <v/>
      </c>
      <c r="BJ309" s="19" t="str">
        <f t="shared" si="39"/>
        <v/>
      </c>
      <c r="BK309" s="41"/>
      <c r="BL309" s="41"/>
    </row>
    <row r="310" spans="1:64" ht="15">
      <c r="A310" s="4"/>
      <c r="B310" s="4"/>
      <c r="G310" s="5" t="str">
        <f ca="1">IFERROR(__xludf.DUMMYFUNCTION("IFERROR(VLOOKUP(F327,IMPORTRANGE(""https://docs.google.com/spreadsheets/d/1Kvs4KS76FHFqLFIZfrDMff4kP08nblUkihrxltoGBjg/edit#gid=934712705"",""ESENCIAL!A6:BG""),3,FALSE))"),"")</f>
        <v/>
      </c>
      <c r="H310" s="5" t="str">
        <f ca="1">IFERROR(__xludf.DUMMYFUNCTION("IFERROR(VLOOKUP(F327,IMPORTRANGE(""https://docs.google.com/spreadsheets/d/1Kvs4KS76FHFqLFIZfrDMff4kP08nblUkihrxltoGBjg/edit#gid=934712705"",""ESENCIAL!A6:BG""),8,FALSE))"),"")</f>
        <v/>
      </c>
      <c r="L310" s="287"/>
      <c r="S310"/>
      <c r="AU310" s="41" t="str">
        <f t="shared" si="36"/>
        <v/>
      </c>
      <c r="AV310" s="5" t="str">
        <f ca="1">IFERROR(__xludf.DUMMYFUNCTION("IFERROR(VLOOKUP(E327&amp;F327,IMPORTRANGE(""https://docs.google.com/spreadsheets/d/1Uw7-A9f9R21vMXxHZFNpYNeKFtG8_yji4HS352LGlSQ/edit?pli=1#gid=0"",""1_ACUM!A4:S""),11,FALSE))"),"")</f>
        <v/>
      </c>
      <c r="AW310" s="42" t="str">
        <f ca="1">IFERROR(__xludf.DUMMYFUNCTION("IFERROR(VLOOKUP(F327,IMPORTRANGE(""https://docs.google.com/spreadsheets/d/1Kvs4KS76FHFqLFIZfrDMff4kP08nblUkihrxltoGBjg/edit#gid=934712705"",""ESENCIAL!A6:BG""),15,FALSE))"),"")</f>
        <v/>
      </c>
      <c r="AX310" s="21" t="str">
        <f ca="1">IFERROR(__xludf.DUMMYFUNCTION("IFERROR(VLOOKUP(E327&amp;F327,IMPORTRANGE(""https://docs.google.com/spreadsheets/d/1Uw7-A9f9R21vMXxHZFNpYNeKFtG8_yji4HS352LGlSQ/edit?pli=1#gid=0"",""1_ACUM!A4:S""),12,FALSE))"),"")</f>
        <v/>
      </c>
      <c r="AY310" s="43" t="str">
        <f ca="1">IFERROR(__xludf.DUMMYFUNCTION("IFERROR(VLOOKUP(E327&amp;F327,IMPORTRANGE(""https://docs.google.com/spreadsheets/d/1Uw7-A9f9R21vMXxHZFNpYNeKFtG8_yji4HS352LGlSQ/edit?pli=1#gid=0"",""1_ACUM!A4:S""),13,FALSE))"),"")</f>
        <v/>
      </c>
      <c r="AZ310" s="43" t="str">
        <f ca="1">IFERROR(__xludf.DUMMYFUNCTION("IFERROR(VLOOKUP(E327&amp;F327,IMPORTRANGE(""https://docs.google.com/spreadsheets/d/1Uw7-A9f9R21vMXxHZFNpYNeKFtG8_yji4HS352LGlSQ/edit?pli=1#gid=0"",""1_ACUM!A4:S""),14,FALSE))"),"")</f>
        <v/>
      </c>
      <c r="BA310" s="43" t="str">
        <f ca="1">IFERROR(__xludf.DUMMYFUNCTION("IFERROR(VLOOKUP(E327&amp;F327,IMPORTRANGE(""https://docs.google.com/spreadsheets/d/1Uw7-A9f9R21vMXxHZFNpYNeKFtG8_yji4HS352LGlSQ/edit?pli=1#gid=0"",""1_ACUM!A4:S""),15,FALSE))"),"")</f>
        <v/>
      </c>
      <c r="BB310" s="43" t="str">
        <f ca="1">IFERROR(__xludf.DUMMYFUNCTION("IFERROR(VLOOKUP(E327&amp;F327,IMPORTRANGE(""https://docs.google.com/spreadsheets/d/1Uw7-A9f9R21vMXxHZFNpYNeKFtG8_yji4HS352LGlSQ/edit?pli=1#gid=0"",""1_ACUM!A4:S""),16,FALSE))"),"")</f>
        <v/>
      </c>
      <c r="BC310" s="43" t="str">
        <f ca="1">IFERROR(__xludf.DUMMYFUNCTION("IFERROR(VLOOKUP(E327&amp;F327,IMPORTRANGE(""https://docs.google.com/spreadsheets/d/1Uw7-A9f9R21vMXxHZFNpYNeKFtG8_yji4HS352LGlSQ/edit?pli=1#gid=0"",""1_ACUM!A4:S""),17,FALSE))"),"")</f>
        <v/>
      </c>
      <c r="BD310" s="44" t="str">
        <f ca="1">IFERROR(__xludf.DUMMYFUNCTION("IFERROR(VLOOKUP(E327&amp;F327,IMPORTRANGE(""https://docs.google.com/spreadsheets/d/1Uw7-A9f9R21vMXxHZFNpYNeKFtG8_yji4HS352LGlSQ/edit?pli=1#gid=0"",""1_ACUM!A4:S""),18,FALSE))"),"")</f>
        <v/>
      </c>
      <c r="BE310" s="44" t="str">
        <f ca="1">IFERROR(__xludf.DUMMYFUNCTION("IFERROR(VLOOKUP(E327&amp;F327,IMPORTRANGE(""https://docs.google.com/spreadsheets/d/1Uw7-A9f9R21vMXxHZFNpYNeKFtG8_yji4HS352LGlSQ/edit?pli=1#gid=0"",""1_ACUM!A4:S""),19,FALSE))"),"")</f>
        <v/>
      </c>
      <c r="BF310" s="44" t="str">
        <f ca="1">IFERROR(__xludf.DUMMYFUNCTION("IFERROR(VLOOKUP(F327,IMPORTRANGE(""https://docs.google.com/spreadsheets/d/1Kvs4KS76FHFqLFIZfrDMff4kP08nblUkihrxltoGBjg/edit#gid=934712705"",""ESENCIAL!A6:BG""),5,FALSE))"),"")</f>
        <v/>
      </c>
      <c r="BG310" s="44" t="str">
        <f t="shared" si="37"/>
        <v/>
      </c>
      <c r="BH310" s="41" t="str">
        <f t="shared" si="38"/>
        <v/>
      </c>
      <c r="BI310" s="41" t="str">
        <f ca="1">IFERROR(__xludf.DUMMYFUNCTION("IFERROR(VLOOKUP(F327,IMPORTRANGE(""https://docs.google.com/spreadsheets/d/1Kvs4KS76FHFqLFIZfrDMff4kP08nblUkihrxltoGBjg/edit#gid=934712705"",""ESENCIAL!A6:BG""),18,FALSE))"),"")</f>
        <v/>
      </c>
      <c r="BJ310" s="19" t="str">
        <f t="shared" si="39"/>
        <v/>
      </c>
      <c r="BK310" s="41"/>
      <c r="BL310" s="41"/>
    </row>
    <row r="311" spans="1:64" ht="15">
      <c r="A311" s="4"/>
      <c r="B311" s="4"/>
      <c r="G311" s="5" t="str">
        <f ca="1">IFERROR(__xludf.DUMMYFUNCTION("IFERROR(VLOOKUP(F328,IMPORTRANGE(""https://docs.google.com/spreadsheets/d/1Kvs4KS76FHFqLFIZfrDMff4kP08nblUkihrxltoGBjg/edit#gid=934712705"",""ESENCIAL!A6:BG""),3,FALSE))"),"")</f>
        <v/>
      </c>
      <c r="H311" s="5" t="str">
        <f ca="1">IFERROR(__xludf.DUMMYFUNCTION("IFERROR(VLOOKUP(F328,IMPORTRANGE(""https://docs.google.com/spreadsheets/d/1Kvs4KS76FHFqLFIZfrDMff4kP08nblUkihrxltoGBjg/edit#gid=934712705"",""ESENCIAL!A6:BG""),8,FALSE))"),"")</f>
        <v/>
      </c>
      <c r="L311" s="287"/>
      <c r="S311"/>
      <c r="AU311" s="41" t="str">
        <f t="shared" si="36"/>
        <v/>
      </c>
      <c r="AV311" s="5" t="str">
        <f ca="1">IFERROR(__xludf.DUMMYFUNCTION("IFERROR(VLOOKUP(E328&amp;F328,IMPORTRANGE(""https://docs.google.com/spreadsheets/d/1Uw7-A9f9R21vMXxHZFNpYNeKFtG8_yji4HS352LGlSQ/edit?pli=1#gid=0"",""1_ACUM!A4:S""),11,FALSE))"),"")</f>
        <v/>
      </c>
      <c r="AW311" s="42" t="str">
        <f ca="1">IFERROR(__xludf.DUMMYFUNCTION("IFERROR(VLOOKUP(F328,IMPORTRANGE(""https://docs.google.com/spreadsheets/d/1Kvs4KS76FHFqLFIZfrDMff4kP08nblUkihrxltoGBjg/edit#gid=934712705"",""ESENCIAL!A6:BG""),15,FALSE))"),"")</f>
        <v/>
      </c>
      <c r="AX311" s="21" t="str">
        <f ca="1">IFERROR(__xludf.DUMMYFUNCTION("IFERROR(VLOOKUP(E328&amp;F328,IMPORTRANGE(""https://docs.google.com/spreadsheets/d/1Uw7-A9f9R21vMXxHZFNpYNeKFtG8_yji4HS352LGlSQ/edit?pli=1#gid=0"",""1_ACUM!A4:S""),12,FALSE))"),"")</f>
        <v/>
      </c>
      <c r="AY311" s="43" t="str">
        <f ca="1">IFERROR(__xludf.DUMMYFUNCTION("IFERROR(VLOOKUP(E328&amp;F328,IMPORTRANGE(""https://docs.google.com/spreadsheets/d/1Uw7-A9f9R21vMXxHZFNpYNeKFtG8_yji4HS352LGlSQ/edit?pli=1#gid=0"",""1_ACUM!A4:S""),13,FALSE))"),"")</f>
        <v/>
      </c>
      <c r="AZ311" s="43" t="str">
        <f ca="1">IFERROR(__xludf.DUMMYFUNCTION("IFERROR(VLOOKUP(E328&amp;F328,IMPORTRANGE(""https://docs.google.com/spreadsheets/d/1Uw7-A9f9R21vMXxHZFNpYNeKFtG8_yji4HS352LGlSQ/edit?pli=1#gid=0"",""1_ACUM!A4:S""),14,FALSE))"),"")</f>
        <v/>
      </c>
      <c r="BA311" s="43" t="str">
        <f ca="1">IFERROR(__xludf.DUMMYFUNCTION("IFERROR(VLOOKUP(E328&amp;F328,IMPORTRANGE(""https://docs.google.com/spreadsheets/d/1Uw7-A9f9R21vMXxHZFNpYNeKFtG8_yji4HS352LGlSQ/edit?pli=1#gid=0"",""1_ACUM!A4:S""),15,FALSE))"),"")</f>
        <v/>
      </c>
      <c r="BB311" s="43" t="str">
        <f ca="1">IFERROR(__xludf.DUMMYFUNCTION("IFERROR(VLOOKUP(E328&amp;F328,IMPORTRANGE(""https://docs.google.com/spreadsheets/d/1Uw7-A9f9R21vMXxHZFNpYNeKFtG8_yji4HS352LGlSQ/edit?pli=1#gid=0"",""1_ACUM!A4:S""),16,FALSE))"),"")</f>
        <v/>
      </c>
      <c r="BC311" s="43" t="str">
        <f ca="1">IFERROR(__xludf.DUMMYFUNCTION("IFERROR(VLOOKUP(E328&amp;F328,IMPORTRANGE(""https://docs.google.com/spreadsheets/d/1Uw7-A9f9R21vMXxHZFNpYNeKFtG8_yji4HS352LGlSQ/edit?pli=1#gid=0"",""1_ACUM!A4:S""),17,FALSE))"),"")</f>
        <v/>
      </c>
      <c r="BD311" s="44" t="str">
        <f ca="1">IFERROR(__xludf.DUMMYFUNCTION("IFERROR(VLOOKUP(E328&amp;F328,IMPORTRANGE(""https://docs.google.com/spreadsheets/d/1Uw7-A9f9R21vMXxHZFNpYNeKFtG8_yji4HS352LGlSQ/edit?pli=1#gid=0"",""1_ACUM!A4:S""),18,FALSE))"),"")</f>
        <v/>
      </c>
      <c r="BE311" s="44" t="str">
        <f ca="1">IFERROR(__xludf.DUMMYFUNCTION("IFERROR(VLOOKUP(E328&amp;F328,IMPORTRANGE(""https://docs.google.com/spreadsheets/d/1Uw7-A9f9R21vMXxHZFNpYNeKFtG8_yji4HS352LGlSQ/edit?pli=1#gid=0"",""1_ACUM!A4:S""),19,FALSE))"),"")</f>
        <v/>
      </c>
      <c r="BF311" s="44" t="str">
        <f ca="1">IFERROR(__xludf.DUMMYFUNCTION("IFERROR(VLOOKUP(F328,IMPORTRANGE(""https://docs.google.com/spreadsheets/d/1Kvs4KS76FHFqLFIZfrDMff4kP08nblUkihrxltoGBjg/edit#gid=934712705"",""ESENCIAL!A6:BG""),5,FALSE))"),"")</f>
        <v/>
      </c>
      <c r="BG311" s="44" t="str">
        <f t="shared" si="37"/>
        <v/>
      </c>
      <c r="BH311" s="41" t="str">
        <f t="shared" si="38"/>
        <v/>
      </c>
      <c r="BI311" s="41" t="str">
        <f ca="1">IFERROR(__xludf.DUMMYFUNCTION("IFERROR(VLOOKUP(F328,IMPORTRANGE(""https://docs.google.com/spreadsheets/d/1Kvs4KS76FHFqLFIZfrDMff4kP08nblUkihrxltoGBjg/edit#gid=934712705"",""ESENCIAL!A6:BG""),18,FALSE))"),"")</f>
        <v/>
      </c>
      <c r="BJ311" s="19" t="str">
        <f t="shared" si="39"/>
        <v/>
      </c>
      <c r="BK311" s="41"/>
      <c r="BL311" s="41"/>
    </row>
    <row r="312" spans="1:64" ht="15">
      <c r="A312" s="4"/>
      <c r="B312" s="4"/>
      <c r="G312" s="5" t="str">
        <f ca="1">IFERROR(__xludf.DUMMYFUNCTION("IFERROR(VLOOKUP(F329,IMPORTRANGE(""https://docs.google.com/spreadsheets/d/1Kvs4KS76FHFqLFIZfrDMff4kP08nblUkihrxltoGBjg/edit#gid=934712705"",""ESENCIAL!A6:BG""),3,FALSE))"),"")</f>
        <v/>
      </c>
      <c r="H312" s="5" t="str">
        <f ca="1">IFERROR(__xludf.DUMMYFUNCTION("IFERROR(VLOOKUP(F329,IMPORTRANGE(""https://docs.google.com/spreadsheets/d/1Kvs4KS76FHFqLFIZfrDMff4kP08nblUkihrxltoGBjg/edit#gid=934712705"",""ESENCIAL!A6:BG""),8,FALSE))"),"")</f>
        <v/>
      </c>
      <c r="L312" s="287"/>
      <c r="S312"/>
      <c r="AU312" s="41" t="str">
        <f t="shared" si="36"/>
        <v/>
      </c>
      <c r="AV312" s="5" t="str">
        <f ca="1">IFERROR(__xludf.DUMMYFUNCTION("IFERROR(VLOOKUP(E329&amp;F329,IMPORTRANGE(""https://docs.google.com/spreadsheets/d/1Uw7-A9f9R21vMXxHZFNpYNeKFtG8_yji4HS352LGlSQ/edit?pli=1#gid=0"",""1_ACUM!A4:S""),11,FALSE))"),"")</f>
        <v/>
      </c>
      <c r="AW312" s="42" t="str">
        <f ca="1">IFERROR(__xludf.DUMMYFUNCTION("IFERROR(VLOOKUP(F329,IMPORTRANGE(""https://docs.google.com/spreadsheets/d/1Kvs4KS76FHFqLFIZfrDMff4kP08nblUkihrxltoGBjg/edit#gid=934712705"",""ESENCIAL!A6:BG""),15,FALSE))"),"")</f>
        <v/>
      </c>
      <c r="AX312" s="21" t="str">
        <f ca="1">IFERROR(__xludf.DUMMYFUNCTION("IFERROR(VLOOKUP(E329&amp;F329,IMPORTRANGE(""https://docs.google.com/spreadsheets/d/1Uw7-A9f9R21vMXxHZFNpYNeKFtG8_yji4HS352LGlSQ/edit?pli=1#gid=0"",""1_ACUM!A4:S""),12,FALSE))"),"")</f>
        <v/>
      </c>
      <c r="AY312" s="43" t="str">
        <f ca="1">IFERROR(__xludf.DUMMYFUNCTION("IFERROR(VLOOKUP(E329&amp;F329,IMPORTRANGE(""https://docs.google.com/spreadsheets/d/1Uw7-A9f9R21vMXxHZFNpYNeKFtG8_yji4HS352LGlSQ/edit?pli=1#gid=0"",""1_ACUM!A4:S""),13,FALSE))"),"")</f>
        <v/>
      </c>
      <c r="AZ312" s="43" t="str">
        <f ca="1">IFERROR(__xludf.DUMMYFUNCTION("IFERROR(VLOOKUP(E329&amp;F329,IMPORTRANGE(""https://docs.google.com/spreadsheets/d/1Uw7-A9f9R21vMXxHZFNpYNeKFtG8_yji4HS352LGlSQ/edit?pli=1#gid=0"",""1_ACUM!A4:S""),14,FALSE))"),"")</f>
        <v/>
      </c>
      <c r="BA312" s="43" t="str">
        <f ca="1">IFERROR(__xludf.DUMMYFUNCTION("IFERROR(VLOOKUP(E329&amp;F329,IMPORTRANGE(""https://docs.google.com/spreadsheets/d/1Uw7-A9f9R21vMXxHZFNpYNeKFtG8_yji4HS352LGlSQ/edit?pli=1#gid=0"",""1_ACUM!A4:S""),15,FALSE))"),"")</f>
        <v/>
      </c>
      <c r="BB312" s="43" t="str">
        <f ca="1">IFERROR(__xludf.DUMMYFUNCTION("IFERROR(VLOOKUP(E329&amp;F329,IMPORTRANGE(""https://docs.google.com/spreadsheets/d/1Uw7-A9f9R21vMXxHZFNpYNeKFtG8_yji4HS352LGlSQ/edit?pli=1#gid=0"",""1_ACUM!A4:S""),16,FALSE))"),"")</f>
        <v/>
      </c>
      <c r="BC312" s="43" t="str">
        <f ca="1">IFERROR(__xludf.DUMMYFUNCTION("IFERROR(VLOOKUP(E329&amp;F329,IMPORTRANGE(""https://docs.google.com/spreadsheets/d/1Uw7-A9f9R21vMXxHZFNpYNeKFtG8_yji4HS352LGlSQ/edit?pli=1#gid=0"",""1_ACUM!A4:S""),17,FALSE))"),"")</f>
        <v/>
      </c>
      <c r="BD312" s="44" t="str">
        <f ca="1">IFERROR(__xludf.DUMMYFUNCTION("IFERROR(VLOOKUP(E329&amp;F329,IMPORTRANGE(""https://docs.google.com/spreadsheets/d/1Uw7-A9f9R21vMXxHZFNpYNeKFtG8_yji4HS352LGlSQ/edit?pli=1#gid=0"",""1_ACUM!A4:S""),18,FALSE))"),"")</f>
        <v/>
      </c>
      <c r="BE312" s="44" t="str">
        <f ca="1">IFERROR(__xludf.DUMMYFUNCTION("IFERROR(VLOOKUP(E329&amp;F329,IMPORTRANGE(""https://docs.google.com/spreadsheets/d/1Uw7-A9f9R21vMXxHZFNpYNeKFtG8_yji4HS352LGlSQ/edit?pli=1#gid=0"",""1_ACUM!A4:S""),19,FALSE))"),"")</f>
        <v/>
      </c>
      <c r="BF312" s="44" t="str">
        <f ca="1">IFERROR(__xludf.DUMMYFUNCTION("IFERROR(VLOOKUP(F329,IMPORTRANGE(""https://docs.google.com/spreadsheets/d/1Kvs4KS76FHFqLFIZfrDMff4kP08nblUkihrxltoGBjg/edit#gid=934712705"",""ESENCIAL!A6:BG""),5,FALSE))"),"")</f>
        <v/>
      </c>
      <c r="BG312" s="44" t="str">
        <f t="shared" si="37"/>
        <v/>
      </c>
      <c r="BH312" s="41" t="str">
        <f t="shared" si="38"/>
        <v/>
      </c>
      <c r="BI312" s="41" t="str">
        <f ca="1">IFERROR(__xludf.DUMMYFUNCTION("IFERROR(VLOOKUP(F329,IMPORTRANGE(""https://docs.google.com/spreadsheets/d/1Kvs4KS76FHFqLFIZfrDMff4kP08nblUkihrxltoGBjg/edit#gid=934712705"",""ESENCIAL!A6:BG""),18,FALSE))"),"")</f>
        <v/>
      </c>
      <c r="BJ312" s="19" t="str">
        <f t="shared" si="39"/>
        <v/>
      </c>
      <c r="BK312" s="41"/>
      <c r="BL312" s="41"/>
    </row>
    <row r="313" spans="1:64" ht="15">
      <c r="A313" s="4"/>
      <c r="B313" s="4"/>
      <c r="G313" s="5" t="str">
        <f ca="1">IFERROR(__xludf.DUMMYFUNCTION("IFERROR(VLOOKUP(F330,IMPORTRANGE(""https://docs.google.com/spreadsheets/d/1Kvs4KS76FHFqLFIZfrDMff4kP08nblUkihrxltoGBjg/edit#gid=934712705"",""ESENCIAL!A6:BG""),3,FALSE))"),"")</f>
        <v/>
      </c>
      <c r="H313" s="5" t="str">
        <f ca="1">IFERROR(__xludf.DUMMYFUNCTION("IFERROR(VLOOKUP(F330,IMPORTRANGE(""https://docs.google.com/spreadsheets/d/1Kvs4KS76FHFqLFIZfrDMff4kP08nblUkihrxltoGBjg/edit#gid=934712705"",""ESENCIAL!A6:BG""),8,FALSE))"),"")</f>
        <v/>
      </c>
      <c r="L313" s="287"/>
      <c r="S313"/>
      <c r="AU313" s="41" t="str">
        <f t="shared" si="36"/>
        <v/>
      </c>
      <c r="AV313" s="5" t="str">
        <f ca="1">IFERROR(__xludf.DUMMYFUNCTION("IFERROR(VLOOKUP(E330&amp;F330,IMPORTRANGE(""https://docs.google.com/spreadsheets/d/1Uw7-A9f9R21vMXxHZFNpYNeKFtG8_yji4HS352LGlSQ/edit?pli=1#gid=0"",""1_ACUM!A4:S""),11,FALSE))"),"")</f>
        <v/>
      </c>
      <c r="AW313" s="42" t="str">
        <f ca="1">IFERROR(__xludf.DUMMYFUNCTION("IFERROR(VLOOKUP(F330,IMPORTRANGE(""https://docs.google.com/spreadsheets/d/1Kvs4KS76FHFqLFIZfrDMff4kP08nblUkihrxltoGBjg/edit#gid=934712705"",""ESENCIAL!A6:BG""),15,FALSE))"),"")</f>
        <v/>
      </c>
      <c r="AX313" s="21" t="str">
        <f ca="1">IFERROR(__xludf.DUMMYFUNCTION("IFERROR(VLOOKUP(E330&amp;F330,IMPORTRANGE(""https://docs.google.com/spreadsheets/d/1Uw7-A9f9R21vMXxHZFNpYNeKFtG8_yji4HS352LGlSQ/edit?pli=1#gid=0"",""1_ACUM!A4:S""),12,FALSE))"),"")</f>
        <v/>
      </c>
      <c r="AY313" s="43" t="str">
        <f ca="1">IFERROR(__xludf.DUMMYFUNCTION("IFERROR(VLOOKUP(E330&amp;F330,IMPORTRANGE(""https://docs.google.com/spreadsheets/d/1Uw7-A9f9R21vMXxHZFNpYNeKFtG8_yji4HS352LGlSQ/edit?pli=1#gid=0"",""1_ACUM!A4:S""),13,FALSE))"),"")</f>
        <v/>
      </c>
      <c r="AZ313" s="43" t="str">
        <f ca="1">IFERROR(__xludf.DUMMYFUNCTION("IFERROR(VLOOKUP(E330&amp;F330,IMPORTRANGE(""https://docs.google.com/spreadsheets/d/1Uw7-A9f9R21vMXxHZFNpYNeKFtG8_yji4HS352LGlSQ/edit?pli=1#gid=0"",""1_ACUM!A4:S""),14,FALSE))"),"")</f>
        <v/>
      </c>
      <c r="BA313" s="43" t="str">
        <f ca="1">IFERROR(__xludf.DUMMYFUNCTION("IFERROR(VLOOKUP(E330&amp;F330,IMPORTRANGE(""https://docs.google.com/spreadsheets/d/1Uw7-A9f9R21vMXxHZFNpYNeKFtG8_yji4HS352LGlSQ/edit?pli=1#gid=0"",""1_ACUM!A4:S""),15,FALSE))"),"")</f>
        <v/>
      </c>
      <c r="BB313" s="43" t="str">
        <f ca="1">IFERROR(__xludf.DUMMYFUNCTION("IFERROR(VLOOKUP(E330&amp;F330,IMPORTRANGE(""https://docs.google.com/spreadsheets/d/1Uw7-A9f9R21vMXxHZFNpYNeKFtG8_yji4HS352LGlSQ/edit?pli=1#gid=0"",""1_ACUM!A4:S""),16,FALSE))"),"")</f>
        <v/>
      </c>
      <c r="BC313" s="43" t="str">
        <f ca="1">IFERROR(__xludf.DUMMYFUNCTION("IFERROR(VLOOKUP(E330&amp;F330,IMPORTRANGE(""https://docs.google.com/spreadsheets/d/1Uw7-A9f9R21vMXxHZFNpYNeKFtG8_yji4HS352LGlSQ/edit?pli=1#gid=0"",""1_ACUM!A4:S""),17,FALSE))"),"")</f>
        <v/>
      </c>
      <c r="BD313" s="44" t="str">
        <f ca="1">IFERROR(__xludf.DUMMYFUNCTION("IFERROR(VLOOKUP(E330&amp;F330,IMPORTRANGE(""https://docs.google.com/spreadsheets/d/1Uw7-A9f9R21vMXxHZFNpYNeKFtG8_yji4HS352LGlSQ/edit?pli=1#gid=0"",""1_ACUM!A4:S""),18,FALSE))"),"")</f>
        <v/>
      </c>
      <c r="BE313" s="44" t="str">
        <f ca="1">IFERROR(__xludf.DUMMYFUNCTION("IFERROR(VLOOKUP(E330&amp;F330,IMPORTRANGE(""https://docs.google.com/spreadsheets/d/1Uw7-A9f9R21vMXxHZFNpYNeKFtG8_yji4HS352LGlSQ/edit?pli=1#gid=0"",""1_ACUM!A4:S""),19,FALSE))"),"")</f>
        <v/>
      </c>
      <c r="BF313" s="44" t="str">
        <f ca="1">IFERROR(__xludf.DUMMYFUNCTION("IFERROR(VLOOKUP(F330,IMPORTRANGE(""https://docs.google.com/spreadsheets/d/1Kvs4KS76FHFqLFIZfrDMff4kP08nblUkihrxltoGBjg/edit#gid=934712705"",""ESENCIAL!A6:BG""),5,FALSE))"),"")</f>
        <v/>
      </c>
      <c r="BG313" s="44" t="str">
        <f t="shared" si="37"/>
        <v/>
      </c>
      <c r="BH313" s="41" t="str">
        <f t="shared" si="38"/>
        <v/>
      </c>
      <c r="BI313" s="41" t="str">
        <f ca="1">IFERROR(__xludf.DUMMYFUNCTION("IFERROR(VLOOKUP(F330,IMPORTRANGE(""https://docs.google.com/spreadsheets/d/1Kvs4KS76FHFqLFIZfrDMff4kP08nblUkihrxltoGBjg/edit#gid=934712705"",""ESENCIAL!A6:BG""),18,FALSE))"),"")</f>
        <v/>
      </c>
      <c r="BJ313" s="19" t="str">
        <f t="shared" si="39"/>
        <v/>
      </c>
      <c r="BK313" s="41"/>
      <c r="BL313" s="41"/>
    </row>
    <row r="314" spans="1:64" ht="15">
      <c r="A314" s="4"/>
      <c r="B314" s="4"/>
      <c r="G314" s="5" t="str">
        <f ca="1">IFERROR(__xludf.DUMMYFUNCTION("IFERROR(VLOOKUP(F331,IMPORTRANGE(""https://docs.google.com/spreadsheets/d/1Kvs4KS76FHFqLFIZfrDMff4kP08nblUkihrxltoGBjg/edit#gid=934712705"",""ESENCIAL!A6:BG""),3,FALSE))"),"")</f>
        <v/>
      </c>
      <c r="H314" s="5" t="str">
        <f ca="1">IFERROR(__xludf.DUMMYFUNCTION("IFERROR(VLOOKUP(F331,IMPORTRANGE(""https://docs.google.com/spreadsheets/d/1Kvs4KS76FHFqLFIZfrDMff4kP08nblUkihrxltoGBjg/edit#gid=934712705"",""ESENCIAL!A6:BG""),8,FALSE))"),"")</f>
        <v/>
      </c>
      <c r="L314" s="287"/>
      <c r="S314"/>
      <c r="AU314" s="41" t="str">
        <f t="shared" si="36"/>
        <v/>
      </c>
      <c r="AV314" s="5" t="str">
        <f ca="1">IFERROR(__xludf.DUMMYFUNCTION("IFERROR(VLOOKUP(E331&amp;F331,IMPORTRANGE(""https://docs.google.com/spreadsheets/d/1Uw7-A9f9R21vMXxHZFNpYNeKFtG8_yji4HS352LGlSQ/edit?pli=1#gid=0"",""1_ACUM!A4:S""),11,FALSE))"),"")</f>
        <v/>
      </c>
      <c r="AW314" s="42" t="str">
        <f ca="1">IFERROR(__xludf.DUMMYFUNCTION("IFERROR(VLOOKUP(F331,IMPORTRANGE(""https://docs.google.com/spreadsheets/d/1Kvs4KS76FHFqLFIZfrDMff4kP08nblUkihrxltoGBjg/edit#gid=934712705"",""ESENCIAL!A6:BG""),15,FALSE))"),"")</f>
        <v/>
      </c>
      <c r="AX314" s="21" t="str">
        <f ca="1">IFERROR(__xludf.DUMMYFUNCTION("IFERROR(VLOOKUP(E331&amp;F331,IMPORTRANGE(""https://docs.google.com/spreadsheets/d/1Uw7-A9f9R21vMXxHZFNpYNeKFtG8_yji4HS352LGlSQ/edit?pli=1#gid=0"",""1_ACUM!A4:S""),12,FALSE))"),"")</f>
        <v/>
      </c>
      <c r="AY314" s="43" t="str">
        <f ca="1">IFERROR(__xludf.DUMMYFUNCTION("IFERROR(VLOOKUP(E331&amp;F331,IMPORTRANGE(""https://docs.google.com/spreadsheets/d/1Uw7-A9f9R21vMXxHZFNpYNeKFtG8_yji4HS352LGlSQ/edit?pli=1#gid=0"",""1_ACUM!A4:S""),13,FALSE))"),"")</f>
        <v/>
      </c>
      <c r="AZ314" s="43" t="str">
        <f ca="1">IFERROR(__xludf.DUMMYFUNCTION("IFERROR(VLOOKUP(E331&amp;F331,IMPORTRANGE(""https://docs.google.com/spreadsheets/d/1Uw7-A9f9R21vMXxHZFNpYNeKFtG8_yji4HS352LGlSQ/edit?pli=1#gid=0"",""1_ACUM!A4:S""),14,FALSE))"),"")</f>
        <v/>
      </c>
      <c r="BA314" s="43" t="str">
        <f ca="1">IFERROR(__xludf.DUMMYFUNCTION("IFERROR(VLOOKUP(E331&amp;F331,IMPORTRANGE(""https://docs.google.com/spreadsheets/d/1Uw7-A9f9R21vMXxHZFNpYNeKFtG8_yji4HS352LGlSQ/edit?pli=1#gid=0"",""1_ACUM!A4:S""),15,FALSE))"),"")</f>
        <v/>
      </c>
      <c r="BB314" s="43" t="str">
        <f ca="1">IFERROR(__xludf.DUMMYFUNCTION("IFERROR(VLOOKUP(E331&amp;F331,IMPORTRANGE(""https://docs.google.com/spreadsheets/d/1Uw7-A9f9R21vMXxHZFNpYNeKFtG8_yji4HS352LGlSQ/edit?pli=1#gid=0"",""1_ACUM!A4:S""),16,FALSE))"),"")</f>
        <v/>
      </c>
      <c r="BC314" s="43" t="str">
        <f ca="1">IFERROR(__xludf.DUMMYFUNCTION("IFERROR(VLOOKUP(E331&amp;F331,IMPORTRANGE(""https://docs.google.com/spreadsheets/d/1Uw7-A9f9R21vMXxHZFNpYNeKFtG8_yji4HS352LGlSQ/edit?pli=1#gid=0"",""1_ACUM!A4:S""),17,FALSE))"),"")</f>
        <v/>
      </c>
      <c r="BD314" s="44" t="str">
        <f ca="1">IFERROR(__xludf.DUMMYFUNCTION("IFERROR(VLOOKUP(E331&amp;F331,IMPORTRANGE(""https://docs.google.com/spreadsheets/d/1Uw7-A9f9R21vMXxHZFNpYNeKFtG8_yji4HS352LGlSQ/edit?pli=1#gid=0"",""1_ACUM!A4:S""),18,FALSE))"),"")</f>
        <v/>
      </c>
      <c r="BE314" s="44" t="str">
        <f ca="1">IFERROR(__xludf.DUMMYFUNCTION("IFERROR(VLOOKUP(E331&amp;F331,IMPORTRANGE(""https://docs.google.com/spreadsheets/d/1Uw7-A9f9R21vMXxHZFNpYNeKFtG8_yji4HS352LGlSQ/edit?pli=1#gid=0"",""1_ACUM!A4:S""),19,FALSE))"),"")</f>
        <v/>
      </c>
      <c r="BF314" s="44" t="str">
        <f ca="1">IFERROR(__xludf.DUMMYFUNCTION("IFERROR(VLOOKUP(F331,IMPORTRANGE(""https://docs.google.com/spreadsheets/d/1Kvs4KS76FHFqLFIZfrDMff4kP08nblUkihrxltoGBjg/edit#gid=934712705"",""ESENCIAL!A6:BG""),5,FALSE))"),"")</f>
        <v/>
      </c>
      <c r="BG314" s="44" t="str">
        <f t="shared" si="37"/>
        <v/>
      </c>
      <c r="BH314" s="41" t="str">
        <f t="shared" si="38"/>
        <v/>
      </c>
      <c r="BI314" s="41" t="str">
        <f ca="1">IFERROR(__xludf.DUMMYFUNCTION("IFERROR(VLOOKUP(F331,IMPORTRANGE(""https://docs.google.com/spreadsheets/d/1Kvs4KS76FHFqLFIZfrDMff4kP08nblUkihrxltoGBjg/edit#gid=934712705"",""ESENCIAL!A6:BG""),18,FALSE))"),"")</f>
        <v/>
      </c>
      <c r="BJ314" s="19" t="str">
        <f t="shared" si="39"/>
        <v/>
      </c>
      <c r="BK314" s="41"/>
      <c r="BL314" s="41"/>
    </row>
    <row r="315" spans="1:64" ht="15">
      <c r="A315" s="4"/>
      <c r="B315" s="4"/>
      <c r="G315" s="5" t="str">
        <f ca="1">IFERROR(__xludf.DUMMYFUNCTION("IFERROR(VLOOKUP(F332,IMPORTRANGE(""https://docs.google.com/spreadsheets/d/1Kvs4KS76FHFqLFIZfrDMff4kP08nblUkihrxltoGBjg/edit#gid=934712705"",""ESENCIAL!A6:BG""),3,FALSE))"),"")</f>
        <v/>
      </c>
      <c r="H315" s="5" t="str">
        <f ca="1">IFERROR(__xludf.DUMMYFUNCTION("IFERROR(VLOOKUP(F332,IMPORTRANGE(""https://docs.google.com/spreadsheets/d/1Kvs4KS76FHFqLFIZfrDMff4kP08nblUkihrxltoGBjg/edit#gid=934712705"",""ESENCIAL!A6:BG""),8,FALSE))"),"")</f>
        <v/>
      </c>
      <c r="L315" s="287"/>
      <c r="S315"/>
      <c r="AU315" s="41" t="str">
        <f t="shared" si="36"/>
        <v/>
      </c>
      <c r="AV315" s="5" t="str">
        <f ca="1">IFERROR(__xludf.DUMMYFUNCTION("IFERROR(VLOOKUP(E332&amp;F332,IMPORTRANGE(""https://docs.google.com/spreadsheets/d/1Uw7-A9f9R21vMXxHZFNpYNeKFtG8_yji4HS352LGlSQ/edit?pli=1#gid=0"",""1_ACUM!A4:S""),11,FALSE))"),"")</f>
        <v/>
      </c>
      <c r="AW315" s="42" t="str">
        <f ca="1">IFERROR(__xludf.DUMMYFUNCTION("IFERROR(VLOOKUP(F332,IMPORTRANGE(""https://docs.google.com/spreadsheets/d/1Kvs4KS76FHFqLFIZfrDMff4kP08nblUkihrxltoGBjg/edit#gid=934712705"",""ESENCIAL!A6:BG""),15,FALSE))"),"")</f>
        <v/>
      </c>
      <c r="AX315" s="21" t="str">
        <f ca="1">IFERROR(__xludf.DUMMYFUNCTION("IFERROR(VLOOKUP(E332&amp;F332,IMPORTRANGE(""https://docs.google.com/spreadsheets/d/1Uw7-A9f9R21vMXxHZFNpYNeKFtG8_yji4HS352LGlSQ/edit?pli=1#gid=0"",""1_ACUM!A4:S""),12,FALSE))"),"")</f>
        <v/>
      </c>
      <c r="AY315" s="43" t="str">
        <f ca="1">IFERROR(__xludf.DUMMYFUNCTION("IFERROR(VLOOKUP(E332&amp;F332,IMPORTRANGE(""https://docs.google.com/spreadsheets/d/1Uw7-A9f9R21vMXxHZFNpYNeKFtG8_yji4HS352LGlSQ/edit?pli=1#gid=0"",""1_ACUM!A4:S""),13,FALSE))"),"")</f>
        <v/>
      </c>
      <c r="AZ315" s="43" t="str">
        <f ca="1">IFERROR(__xludf.DUMMYFUNCTION("IFERROR(VLOOKUP(E332&amp;F332,IMPORTRANGE(""https://docs.google.com/spreadsheets/d/1Uw7-A9f9R21vMXxHZFNpYNeKFtG8_yji4HS352LGlSQ/edit?pli=1#gid=0"",""1_ACUM!A4:S""),14,FALSE))"),"")</f>
        <v/>
      </c>
      <c r="BA315" s="43" t="str">
        <f ca="1">IFERROR(__xludf.DUMMYFUNCTION("IFERROR(VLOOKUP(E332&amp;F332,IMPORTRANGE(""https://docs.google.com/spreadsheets/d/1Uw7-A9f9R21vMXxHZFNpYNeKFtG8_yji4HS352LGlSQ/edit?pli=1#gid=0"",""1_ACUM!A4:S""),15,FALSE))"),"")</f>
        <v/>
      </c>
      <c r="BB315" s="43" t="str">
        <f ca="1">IFERROR(__xludf.DUMMYFUNCTION("IFERROR(VLOOKUP(E332&amp;F332,IMPORTRANGE(""https://docs.google.com/spreadsheets/d/1Uw7-A9f9R21vMXxHZFNpYNeKFtG8_yji4HS352LGlSQ/edit?pli=1#gid=0"",""1_ACUM!A4:S""),16,FALSE))"),"")</f>
        <v/>
      </c>
      <c r="BC315" s="43" t="str">
        <f ca="1">IFERROR(__xludf.DUMMYFUNCTION("IFERROR(VLOOKUP(E332&amp;F332,IMPORTRANGE(""https://docs.google.com/spreadsheets/d/1Uw7-A9f9R21vMXxHZFNpYNeKFtG8_yji4HS352LGlSQ/edit?pli=1#gid=0"",""1_ACUM!A4:S""),17,FALSE))"),"")</f>
        <v/>
      </c>
      <c r="BD315" s="44" t="str">
        <f ca="1">IFERROR(__xludf.DUMMYFUNCTION("IFERROR(VLOOKUP(E332&amp;F332,IMPORTRANGE(""https://docs.google.com/spreadsheets/d/1Uw7-A9f9R21vMXxHZFNpYNeKFtG8_yji4HS352LGlSQ/edit?pli=1#gid=0"",""1_ACUM!A4:S""),18,FALSE))"),"")</f>
        <v/>
      </c>
      <c r="BE315" s="44" t="str">
        <f ca="1">IFERROR(__xludf.DUMMYFUNCTION("IFERROR(VLOOKUP(E332&amp;F332,IMPORTRANGE(""https://docs.google.com/spreadsheets/d/1Uw7-A9f9R21vMXxHZFNpYNeKFtG8_yji4HS352LGlSQ/edit?pli=1#gid=0"",""1_ACUM!A4:S""),19,FALSE))"),"")</f>
        <v/>
      </c>
      <c r="BF315" s="44" t="str">
        <f ca="1">IFERROR(__xludf.DUMMYFUNCTION("IFERROR(VLOOKUP(F332,IMPORTRANGE(""https://docs.google.com/spreadsheets/d/1Kvs4KS76FHFqLFIZfrDMff4kP08nblUkihrxltoGBjg/edit#gid=934712705"",""ESENCIAL!A6:BG""),5,FALSE))"),"")</f>
        <v/>
      </c>
      <c r="BG315" s="44" t="str">
        <f t="shared" si="37"/>
        <v/>
      </c>
      <c r="BH315" s="41" t="str">
        <f t="shared" si="38"/>
        <v/>
      </c>
      <c r="BI315" s="41" t="str">
        <f ca="1">IFERROR(__xludf.DUMMYFUNCTION("IFERROR(VLOOKUP(F332,IMPORTRANGE(""https://docs.google.com/spreadsheets/d/1Kvs4KS76FHFqLFIZfrDMff4kP08nblUkihrxltoGBjg/edit#gid=934712705"",""ESENCIAL!A6:BG""),18,FALSE))"),"")</f>
        <v/>
      </c>
      <c r="BJ315" s="19" t="str">
        <f t="shared" si="39"/>
        <v/>
      </c>
      <c r="BK315" s="41"/>
      <c r="BL315" s="41"/>
    </row>
    <row r="316" spans="1:64" ht="15">
      <c r="A316" s="4"/>
      <c r="B316" s="4"/>
      <c r="G316" s="5" t="str">
        <f ca="1">IFERROR(__xludf.DUMMYFUNCTION("IFERROR(VLOOKUP(F333,IMPORTRANGE(""https://docs.google.com/spreadsheets/d/1Kvs4KS76FHFqLFIZfrDMff4kP08nblUkihrxltoGBjg/edit#gid=934712705"",""ESENCIAL!A6:BG""),3,FALSE))"),"")</f>
        <v/>
      </c>
      <c r="H316" s="5" t="str">
        <f ca="1">IFERROR(__xludf.DUMMYFUNCTION("IFERROR(VLOOKUP(F333,IMPORTRANGE(""https://docs.google.com/spreadsheets/d/1Kvs4KS76FHFqLFIZfrDMff4kP08nblUkihrxltoGBjg/edit#gid=934712705"",""ESENCIAL!A6:BG""),8,FALSE))"),"")</f>
        <v/>
      </c>
      <c r="L316" s="287"/>
      <c r="S316"/>
      <c r="AU316" s="41" t="str">
        <f t="shared" si="36"/>
        <v/>
      </c>
      <c r="AV316" s="5" t="str">
        <f ca="1">IFERROR(__xludf.DUMMYFUNCTION("IFERROR(VLOOKUP(E333&amp;F333,IMPORTRANGE(""https://docs.google.com/spreadsheets/d/1Uw7-A9f9R21vMXxHZFNpYNeKFtG8_yji4HS352LGlSQ/edit?pli=1#gid=0"",""1_ACUM!A4:S""),11,FALSE))"),"")</f>
        <v/>
      </c>
      <c r="AW316" s="42" t="str">
        <f ca="1">IFERROR(__xludf.DUMMYFUNCTION("IFERROR(VLOOKUP(F333,IMPORTRANGE(""https://docs.google.com/spreadsheets/d/1Kvs4KS76FHFqLFIZfrDMff4kP08nblUkihrxltoGBjg/edit#gid=934712705"",""ESENCIAL!A6:BG""),15,FALSE))"),"")</f>
        <v/>
      </c>
      <c r="AX316" s="21" t="str">
        <f ca="1">IFERROR(__xludf.DUMMYFUNCTION("IFERROR(VLOOKUP(E333&amp;F333,IMPORTRANGE(""https://docs.google.com/spreadsheets/d/1Uw7-A9f9R21vMXxHZFNpYNeKFtG8_yji4HS352LGlSQ/edit?pli=1#gid=0"",""1_ACUM!A4:S""),12,FALSE))"),"")</f>
        <v/>
      </c>
      <c r="AY316" s="43" t="str">
        <f ca="1">IFERROR(__xludf.DUMMYFUNCTION("IFERROR(VLOOKUP(E333&amp;F333,IMPORTRANGE(""https://docs.google.com/spreadsheets/d/1Uw7-A9f9R21vMXxHZFNpYNeKFtG8_yji4HS352LGlSQ/edit?pli=1#gid=0"",""1_ACUM!A4:S""),13,FALSE))"),"")</f>
        <v/>
      </c>
      <c r="AZ316" s="43" t="str">
        <f ca="1">IFERROR(__xludf.DUMMYFUNCTION("IFERROR(VLOOKUP(E333&amp;F333,IMPORTRANGE(""https://docs.google.com/spreadsheets/d/1Uw7-A9f9R21vMXxHZFNpYNeKFtG8_yji4HS352LGlSQ/edit?pli=1#gid=0"",""1_ACUM!A4:S""),14,FALSE))"),"")</f>
        <v/>
      </c>
      <c r="BA316" s="43" t="str">
        <f ca="1">IFERROR(__xludf.DUMMYFUNCTION("IFERROR(VLOOKUP(E333&amp;F333,IMPORTRANGE(""https://docs.google.com/spreadsheets/d/1Uw7-A9f9R21vMXxHZFNpYNeKFtG8_yji4HS352LGlSQ/edit?pli=1#gid=0"",""1_ACUM!A4:S""),15,FALSE))"),"")</f>
        <v/>
      </c>
      <c r="BB316" s="43" t="str">
        <f ca="1">IFERROR(__xludf.DUMMYFUNCTION("IFERROR(VLOOKUP(E333&amp;F333,IMPORTRANGE(""https://docs.google.com/spreadsheets/d/1Uw7-A9f9R21vMXxHZFNpYNeKFtG8_yji4HS352LGlSQ/edit?pli=1#gid=0"",""1_ACUM!A4:S""),16,FALSE))"),"")</f>
        <v/>
      </c>
      <c r="BC316" s="43" t="str">
        <f ca="1">IFERROR(__xludf.DUMMYFUNCTION("IFERROR(VLOOKUP(E333&amp;F333,IMPORTRANGE(""https://docs.google.com/spreadsheets/d/1Uw7-A9f9R21vMXxHZFNpYNeKFtG8_yji4HS352LGlSQ/edit?pli=1#gid=0"",""1_ACUM!A4:S""),17,FALSE))"),"")</f>
        <v/>
      </c>
      <c r="BD316" s="44" t="str">
        <f ca="1">IFERROR(__xludf.DUMMYFUNCTION("IFERROR(VLOOKUP(E333&amp;F333,IMPORTRANGE(""https://docs.google.com/spreadsheets/d/1Uw7-A9f9R21vMXxHZFNpYNeKFtG8_yji4HS352LGlSQ/edit?pli=1#gid=0"",""1_ACUM!A4:S""),18,FALSE))"),"")</f>
        <v/>
      </c>
      <c r="BE316" s="44" t="str">
        <f ca="1">IFERROR(__xludf.DUMMYFUNCTION("IFERROR(VLOOKUP(E333&amp;F333,IMPORTRANGE(""https://docs.google.com/spreadsheets/d/1Uw7-A9f9R21vMXxHZFNpYNeKFtG8_yji4HS352LGlSQ/edit?pli=1#gid=0"",""1_ACUM!A4:S""),19,FALSE))"),"")</f>
        <v/>
      </c>
      <c r="BF316" s="44" t="str">
        <f ca="1">IFERROR(__xludf.DUMMYFUNCTION("IFERROR(VLOOKUP(F333,IMPORTRANGE(""https://docs.google.com/spreadsheets/d/1Kvs4KS76FHFqLFIZfrDMff4kP08nblUkihrxltoGBjg/edit#gid=934712705"",""ESENCIAL!A6:BG""),5,FALSE))"),"")</f>
        <v/>
      </c>
      <c r="BG316" s="44" t="str">
        <f t="shared" si="37"/>
        <v/>
      </c>
      <c r="BH316" s="41" t="str">
        <f t="shared" si="38"/>
        <v/>
      </c>
      <c r="BI316" s="41" t="str">
        <f ca="1">IFERROR(__xludf.DUMMYFUNCTION("IFERROR(VLOOKUP(F333,IMPORTRANGE(""https://docs.google.com/spreadsheets/d/1Kvs4KS76FHFqLFIZfrDMff4kP08nblUkihrxltoGBjg/edit#gid=934712705"",""ESENCIAL!A6:BG""),18,FALSE))"),"")</f>
        <v/>
      </c>
      <c r="BJ316" s="19" t="str">
        <f t="shared" si="39"/>
        <v/>
      </c>
      <c r="BK316" s="41"/>
      <c r="BL316" s="41"/>
    </row>
    <row r="317" spans="1:64" ht="15">
      <c r="A317" s="4"/>
      <c r="B317" s="4"/>
      <c r="G317" s="5" t="str">
        <f ca="1">IFERROR(__xludf.DUMMYFUNCTION("IFERROR(VLOOKUP(F334,IMPORTRANGE(""https://docs.google.com/spreadsheets/d/1Kvs4KS76FHFqLFIZfrDMff4kP08nblUkihrxltoGBjg/edit#gid=934712705"",""ESENCIAL!A6:BG""),3,FALSE))"),"")</f>
        <v/>
      </c>
      <c r="H317" s="5" t="str">
        <f ca="1">IFERROR(__xludf.DUMMYFUNCTION("IFERROR(VLOOKUP(F334,IMPORTRANGE(""https://docs.google.com/spreadsheets/d/1Kvs4KS76FHFqLFIZfrDMff4kP08nblUkihrxltoGBjg/edit#gid=934712705"",""ESENCIAL!A6:BG""),8,FALSE))"),"")</f>
        <v/>
      </c>
      <c r="L317" s="287"/>
      <c r="S317"/>
      <c r="AU317" s="41" t="str">
        <f t="shared" si="36"/>
        <v/>
      </c>
      <c r="AV317" s="5" t="str">
        <f ca="1">IFERROR(__xludf.DUMMYFUNCTION("IFERROR(VLOOKUP(E334&amp;F334,IMPORTRANGE(""https://docs.google.com/spreadsheets/d/1Uw7-A9f9R21vMXxHZFNpYNeKFtG8_yji4HS352LGlSQ/edit?pli=1#gid=0"",""1_ACUM!A4:S""),11,FALSE))"),"")</f>
        <v/>
      </c>
      <c r="AW317" s="42" t="str">
        <f ca="1">IFERROR(__xludf.DUMMYFUNCTION("IFERROR(VLOOKUP(F334,IMPORTRANGE(""https://docs.google.com/spreadsheets/d/1Kvs4KS76FHFqLFIZfrDMff4kP08nblUkihrxltoGBjg/edit#gid=934712705"",""ESENCIAL!A6:BG""),15,FALSE))"),"")</f>
        <v/>
      </c>
      <c r="AX317" s="21" t="str">
        <f ca="1">IFERROR(__xludf.DUMMYFUNCTION("IFERROR(VLOOKUP(E334&amp;F334,IMPORTRANGE(""https://docs.google.com/spreadsheets/d/1Uw7-A9f9R21vMXxHZFNpYNeKFtG8_yji4HS352LGlSQ/edit?pli=1#gid=0"",""1_ACUM!A4:S""),12,FALSE))"),"")</f>
        <v/>
      </c>
      <c r="AY317" s="43" t="str">
        <f ca="1">IFERROR(__xludf.DUMMYFUNCTION("IFERROR(VLOOKUP(E334&amp;F334,IMPORTRANGE(""https://docs.google.com/spreadsheets/d/1Uw7-A9f9R21vMXxHZFNpYNeKFtG8_yji4HS352LGlSQ/edit?pli=1#gid=0"",""1_ACUM!A4:S""),13,FALSE))"),"")</f>
        <v/>
      </c>
      <c r="AZ317" s="43" t="str">
        <f ca="1">IFERROR(__xludf.DUMMYFUNCTION("IFERROR(VLOOKUP(E334&amp;F334,IMPORTRANGE(""https://docs.google.com/spreadsheets/d/1Uw7-A9f9R21vMXxHZFNpYNeKFtG8_yji4HS352LGlSQ/edit?pli=1#gid=0"",""1_ACUM!A4:S""),14,FALSE))"),"")</f>
        <v/>
      </c>
      <c r="BA317" s="43" t="str">
        <f ca="1">IFERROR(__xludf.DUMMYFUNCTION("IFERROR(VLOOKUP(E334&amp;F334,IMPORTRANGE(""https://docs.google.com/spreadsheets/d/1Uw7-A9f9R21vMXxHZFNpYNeKFtG8_yji4HS352LGlSQ/edit?pli=1#gid=0"",""1_ACUM!A4:S""),15,FALSE))"),"")</f>
        <v/>
      </c>
      <c r="BB317" s="43" t="str">
        <f ca="1">IFERROR(__xludf.DUMMYFUNCTION("IFERROR(VLOOKUP(E334&amp;F334,IMPORTRANGE(""https://docs.google.com/spreadsheets/d/1Uw7-A9f9R21vMXxHZFNpYNeKFtG8_yji4HS352LGlSQ/edit?pli=1#gid=0"",""1_ACUM!A4:S""),16,FALSE))"),"")</f>
        <v/>
      </c>
      <c r="BC317" s="43" t="str">
        <f ca="1">IFERROR(__xludf.DUMMYFUNCTION("IFERROR(VLOOKUP(E334&amp;F334,IMPORTRANGE(""https://docs.google.com/spreadsheets/d/1Uw7-A9f9R21vMXxHZFNpYNeKFtG8_yji4HS352LGlSQ/edit?pli=1#gid=0"",""1_ACUM!A4:S""),17,FALSE))"),"")</f>
        <v/>
      </c>
      <c r="BD317" s="44" t="str">
        <f ca="1">IFERROR(__xludf.DUMMYFUNCTION("IFERROR(VLOOKUP(E334&amp;F334,IMPORTRANGE(""https://docs.google.com/spreadsheets/d/1Uw7-A9f9R21vMXxHZFNpYNeKFtG8_yji4HS352LGlSQ/edit?pli=1#gid=0"",""1_ACUM!A4:S""),18,FALSE))"),"")</f>
        <v/>
      </c>
      <c r="BE317" s="44" t="str">
        <f ca="1">IFERROR(__xludf.DUMMYFUNCTION("IFERROR(VLOOKUP(E334&amp;F334,IMPORTRANGE(""https://docs.google.com/spreadsheets/d/1Uw7-A9f9R21vMXxHZFNpYNeKFtG8_yji4HS352LGlSQ/edit?pli=1#gid=0"",""1_ACUM!A4:S""),19,FALSE))"),"")</f>
        <v/>
      </c>
      <c r="BF317" s="44" t="str">
        <f ca="1">IFERROR(__xludf.DUMMYFUNCTION("IFERROR(VLOOKUP(F334,IMPORTRANGE(""https://docs.google.com/spreadsheets/d/1Kvs4KS76FHFqLFIZfrDMff4kP08nblUkihrxltoGBjg/edit#gid=934712705"",""ESENCIAL!A6:BG""),5,FALSE))"),"")</f>
        <v/>
      </c>
      <c r="BG317" s="44" t="str">
        <f t="shared" si="37"/>
        <v/>
      </c>
      <c r="BH317" s="41" t="str">
        <f t="shared" si="38"/>
        <v/>
      </c>
      <c r="BI317" s="41" t="str">
        <f ca="1">IFERROR(__xludf.DUMMYFUNCTION("IFERROR(VLOOKUP(F334,IMPORTRANGE(""https://docs.google.com/spreadsheets/d/1Kvs4KS76FHFqLFIZfrDMff4kP08nblUkihrxltoGBjg/edit#gid=934712705"",""ESENCIAL!A6:BG""),18,FALSE))"),"")</f>
        <v/>
      </c>
      <c r="BJ317" s="19" t="str">
        <f t="shared" si="39"/>
        <v/>
      </c>
      <c r="BK317" s="41"/>
      <c r="BL317" s="41"/>
    </row>
    <row r="318" spans="1:64" ht="15">
      <c r="A318" s="4"/>
      <c r="B318" s="4"/>
      <c r="G318" s="5" t="str">
        <f ca="1">IFERROR(__xludf.DUMMYFUNCTION("IFERROR(VLOOKUP(F335,IMPORTRANGE(""https://docs.google.com/spreadsheets/d/1Kvs4KS76FHFqLFIZfrDMff4kP08nblUkihrxltoGBjg/edit#gid=934712705"",""ESENCIAL!A6:BG""),3,FALSE))"),"")</f>
        <v/>
      </c>
      <c r="H318" s="5" t="str">
        <f ca="1">IFERROR(__xludf.DUMMYFUNCTION("IFERROR(VLOOKUP(F335,IMPORTRANGE(""https://docs.google.com/spreadsheets/d/1Kvs4KS76FHFqLFIZfrDMff4kP08nblUkihrxltoGBjg/edit#gid=934712705"",""ESENCIAL!A6:BG""),8,FALSE))"),"")</f>
        <v/>
      </c>
      <c r="L318" s="287"/>
      <c r="S318"/>
      <c r="AU318" s="41" t="str">
        <f t="shared" si="36"/>
        <v/>
      </c>
      <c r="AV318" s="5" t="str">
        <f ca="1">IFERROR(__xludf.DUMMYFUNCTION("IFERROR(VLOOKUP(E335&amp;F335,IMPORTRANGE(""https://docs.google.com/spreadsheets/d/1Uw7-A9f9R21vMXxHZFNpYNeKFtG8_yji4HS352LGlSQ/edit?pli=1#gid=0"",""1_ACUM!A4:S""),11,FALSE))"),"")</f>
        <v/>
      </c>
      <c r="AW318" s="42" t="str">
        <f ca="1">IFERROR(__xludf.DUMMYFUNCTION("IFERROR(VLOOKUP(F335,IMPORTRANGE(""https://docs.google.com/spreadsheets/d/1Kvs4KS76FHFqLFIZfrDMff4kP08nblUkihrxltoGBjg/edit#gid=934712705"",""ESENCIAL!A6:BG""),15,FALSE))"),"")</f>
        <v/>
      </c>
      <c r="AX318" s="21" t="str">
        <f ca="1">IFERROR(__xludf.DUMMYFUNCTION("IFERROR(VLOOKUP(E335&amp;F335,IMPORTRANGE(""https://docs.google.com/spreadsheets/d/1Uw7-A9f9R21vMXxHZFNpYNeKFtG8_yji4HS352LGlSQ/edit?pli=1#gid=0"",""1_ACUM!A4:S""),12,FALSE))"),"")</f>
        <v/>
      </c>
      <c r="AY318" s="43" t="str">
        <f ca="1">IFERROR(__xludf.DUMMYFUNCTION("IFERROR(VLOOKUP(E335&amp;F335,IMPORTRANGE(""https://docs.google.com/spreadsheets/d/1Uw7-A9f9R21vMXxHZFNpYNeKFtG8_yji4HS352LGlSQ/edit?pli=1#gid=0"",""1_ACUM!A4:S""),13,FALSE))"),"")</f>
        <v/>
      </c>
      <c r="AZ318" s="43" t="str">
        <f ca="1">IFERROR(__xludf.DUMMYFUNCTION("IFERROR(VLOOKUP(E335&amp;F335,IMPORTRANGE(""https://docs.google.com/spreadsheets/d/1Uw7-A9f9R21vMXxHZFNpYNeKFtG8_yji4HS352LGlSQ/edit?pli=1#gid=0"",""1_ACUM!A4:S""),14,FALSE))"),"")</f>
        <v/>
      </c>
      <c r="BA318" s="43" t="str">
        <f ca="1">IFERROR(__xludf.DUMMYFUNCTION("IFERROR(VLOOKUP(E335&amp;F335,IMPORTRANGE(""https://docs.google.com/spreadsheets/d/1Uw7-A9f9R21vMXxHZFNpYNeKFtG8_yji4HS352LGlSQ/edit?pli=1#gid=0"",""1_ACUM!A4:S""),15,FALSE))"),"")</f>
        <v/>
      </c>
      <c r="BB318" s="43" t="str">
        <f ca="1">IFERROR(__xludf.DUMMYFUNCTION("IFERROR(VLOOKUP(E335&amp;F335,IMPORTRANGE(""https://docs.google.com/spreadsheets/d/1Uw7-A9f9R21vMXxHZFNpYNeKFtG8_yji4HS352LGlSQ/edit?pli=1#gid=0"",""1_ACUM!A4:S""),16,FALSE))"),"")</f>
        <v/>
      </c>
      <c r="BC318" s="43" t="str">
        <f ca="1">IFERROR(__xludf.DUMMYFUNCTION("IFERROR(VLOOKUP(E335&amp;F335,IMPORTRANGE(""https://docs.google.com/spreadsheets/d/1Uw7-A9f9R21vMXxHZFNpYNeKFtG8_yji4HS352LGlSQ/edit?pli=1#gid=0"",""1_ACUM!A4:S""),17,FALSE))"),"")</f>
        <v/>
      </c>
      <c r="BD318" s="44" t="str">
        <f ca="1">IFERROR(__xludf.DUMMYFUNCTION("IFERROR(VLOOKUP(E335&amp;F335,IMPORTRANGE(""https://docs.google.com/spreadsheets/d/1Uw7-A9f9R21vMXxHZFNpYNeKFtG8_yji4HS352LGlSQ/edit?pli=1#gid=0"",""1_ACUM!A4:S""),18,FALSE))"),"")</f>
        <v/>
      </c>
      <c r="BE318" s="44" t="str">
        <f ca="1">IFERROR(__xludf.DUMMYFUNCTION("IFERROR(VLOOKUP(E335&amp;F335,IMPORTRANGE(""https://docs.google.com/spreadsheets/d/1Uw7-A9f9R21vMXxHZFNpYNeKFtG8_yji4HS352LGlSQ/edit?pli=1#gid=0"",""1_ACUM!A4:S""),19,FALSE))"),"")</f>
        <v/>
      </c>
      <c r="BF318" s="44" t="str">
        <f ca="1">IFERROR(__xludf.DUMMYFUNCTION("IFERROR(VLOOKUP(F335,IMPORTRANGE(""https://docs.google.com/spreadsheets/d/1Kvs4KS76FHFqLFIZfrDMff4kP08nblUkihrxltoGBjg/edit#gid=934712705"",""ESENCIAL!A6:BG""),5,FALSE))"),"")</f>
        <v/>
      </c>
      <c r="BG318" s="44" t="str">
        <f t="shared" si="37"/>
        <v/>
      </c>
      <c r="BH318" s="41" t="str">
        <f t="shared" si="38"/>
        <v/>
      </c>
      <c r="BI318" s="41" t="str">
        <f ca="1">IFERROR(__xludf.DUMMYFUNCTION("IFERROR(VLOOKUP(F335,IMPORTRANGE(""https://docs.google.com/spreadsheets/d/1Kvs4KS76FHFqLFIZfrDMff4kP08nblUkihrxltoGBjg/edit#gid=934712705"",""ESENCIAL!A6:BG""),18,FALSE))"),"")</f>
        <v/>
      </c>
      <c r="BJ318" s="19" t="str">
        <f t="shared" si="39"/>
        <v/>
      </c>
      <c r="BK318" s="41"/>
      <c r="BL318" s="41"/>
    </row>
    <row r="319" spans="1:64" ht="15">
      <c r="A319" s="4"/>
      <c r="B319" s="4"/>
      <c r="G319" s="5" t="str">
        <f ca="1">IFERROR(__xludf.DUMMYFUNCTION("IFERROR(VLOOKUP(F336,IMPORTRANGE(""https://docs.google.com/spreadsheets/d/1Kvs4KS76FHFqLFIZfrDMff4kP08nblUkihrxltoGBjg/edit#gid=934712705"",""ESENCIAL!A6:BG""),3,FALSE))"),"")</f>
        <v/>
      </c>
      <c r="H319" s="5" t="str">
        <f ca="1">IFERROR(__xludf.DUMMYFUNCTION("IFERROR(VLOOKUP(F336,IMPORTRANGE(""https://docs.google.com/spreadsheets/d/1Kvs4KS76FHFqLFIZfrDMff4kP08nblUkihrxltoGBjg/edit#gid=934712705"",""ESENCIAL!A6:BG""),8,FALSE))"),"")</f>
        <v/>
      </c>
      <c r="L319" s="287"/>
      <c r="S319"/>
      <c r="AU319" s="41" t="str">
        <f t="shared" si="36"/>
        <v/>
      </c>
      <c r="AV319" s="5" t="str">
        <f ca="1">IFERROR(__xludf.DUMMYFUNCTION("IFERROR(VLOOKUP(E336&amp;F336,IMPORTRANGE(""https://docs.google.com/spreadsheets/d/1Uw7-A9f9R21vMXxHZFNpYNeKFtG8_yji4HS352LGlSQ/edit?pli=1#gid=0"",""1_ACUM!A4:S""),11,FALSE))"),"")</f>
        <v/>
      </c>
      <c r="AW319" s="42" t="str">
        <f ca="1">IFERROR(__xludf.DUMMYFUNCTION("IFERROR(VLOOKUP(F336,IMPORTRANGE(""https://docs.google.com/spreadsheets/d/1Kvs4KS76FHFqLFIZfrDMff4kP08nblUkihrxltoGBjg/edit#gid=934712705"",""ESENCIAL!A6:BG""),15,FALSE))"),"")</f>
        <v/>
      </c>
      <c r="AX319" s="21" t="str">
        <f ca="1">IFERROR(__xludf.DUMMYFUNCTION("IFERROR(VLOOKUP(E336&amp;F336,IMPORTRANGE(""https://docs.google.com/spreadsheets/d/1Uw7-A9f9R21vMXxHZFNpYNeKFtG8_yji4HS352LGlSQ/edit?pli=1#gid=0"",""1_ACUM!A4:S""),12,FALSE))"),"")</f>
        <v/>
      </c>
      <c r="AY319" s="43" t="str">
        <f ca="1">IFERROR(__xludf.DUMMYFUNCTION("IFERROR(VLOOKUP(E336&amp;F336,IMPORTRANGE(""https://docs.google.com/spreadsheets/d/1Uw7-A9f9R21vMXxHZFNpYNeKFtG8_yji4HS352LGlSQ/edit?pli=1#gid=0"",""1_ACUM!A4:S""),13,FALSE))"),"")</f>
        <v/>
      </c>
      <c r="AZ319" s="43" t="str">
        <f ca="1">IFERROR(__xludf.DUMMYFUNCTION("IFERROR(VLOOKUP(E336&amp;F336,IMPORTRANGE(""https://docs.google.com/spreadsheets/d/1Uw7-A9f9R21vMXxHZFNpYNeKFtG8_yji4HS352LGlSQ/edit?pli=1#gid=0"",""1_ACUM!A4:S""),14,FALSE))"),"")</f>
        <v/>
      </c>
      <c r="BA319" s="43" t="str">
        <f ca="1">IFERROR(__xludf.DUMMYFUNCTION("IFERROR(VLOOKUP(E336&amp;F336,IMPORTRANGE(""https://docs.google.com/spreadsheets/d/1Uw7-A9f9R21vMXxHZFNpYNeKFtG8_yji4HS352LGlSQ/edit?pli=1#gid=0"",""1_ACUM!A4:S""),15,FALSE))"),"")</f>
        <v/>
      </c>
      <c r="BB319" s="43" t="str">
        <f ca="1">IFERROR(__xludf.DUMMYFUNCTION("IFERROR(VLOOKUP(E336&amp;F336,IMPORTRANGE(""https://docs.google.com/spreadsheets/d/1Uw7-A9f9R21vMXxHZFNpYNeKFtG8_yji4HS352LGlSQ/edit?pli=1#gid=0"",""1_ACUM!A4:S""),16,FALSE))"),"")</f>
        <v/>
      </c>
      <c r="BC319" s="43" t="str">
        <f ca="1">IFERROR(__xludf.DUMMYFUNCTION("IFERROR(VLOOKUP(E336&amp;F336,IMPORTRANGE(""https://docs.google.com/spreadsheets/d/1Uw7-A9f9R21vMXxHZFNpYNeKFtG8_yji4HS352LGlSQ/edit?pli=1#gid=0"",""1_ACUM!A4:S""),17,FALSE))"),"")</f>
        <v/>
      </c>
      <c r="BD319" s="44" t="str">
        <f ca="1">IFERROR(__xludf.DUMMYFUNCTION("IFERROR(VLOOKUP(E336&amp;F336,IMPORTRANGE(""https://docs.google.com/spreadsheets/d/1Uw7-A9f9R21vMXxHZFNpYNeKFtG8_yji4HS352LGlSQ/edit?pli=1#gid=0"",""1_ACUM!A4:S""),18,FALSE))"),"")</f>
        <v/>
      </c>
      <c r="BE319" s="44" t="str">
        <f ca="1">IFERROR(__xludf.DUMMYFUNCTION("IFERROR(VLOOKUP(E336&amp;F336,IMPORTRANGE(""https://docs.google.com/spreadsheets/d/1Uw7-A9f9R21vMXxHZFNpYNeKFtG8_yji4HS352LGlSQ/edit?pli=1#gid=0"",""1_ACUM!A4:S""),19,FALSE))"),"")</f>
        <v/>
      </c>
      <c r="BF319" s="44" t="str">
        <f ca="1">IFERROR(__xludf.DUMMYFUNCTION("IFERROR(VLOOKUP(F336,IMPORTRANGE(""https://docs.google.com/spreadsheets/d/1Kvs4KS76FHFqLFIZfrDMff4kP08nblUkihrxltoGBjg/edit#gid=934712705"",""ESENCIAL!A6:BG""),5,FALSE))"),"")</f>
        <v/>
      </c>
      <c r="BG319" s="44" t="str">
        <f t="shared" si="37"/>
        <v/>
      </c>
      <c r="BH319" s="41" t="str">
        <f t="shared" si="38"/>
        <v/>
      </c>
      <c r="BI319" s="41" t="str">
        <f ca="1">IFERROR(__xludf.DUMMYFUNCTION("IFERROR(VLOOKUP(F336,IMPORTRANGE(""https://docs.google.com/spreadsheets/d/1Kvs4KS76FHFqLFIZfrDMff4kP08nblUkihrxltoGBjg/edit#gid=934712705"",""ESENCIAL!A6:BG""),18,FALSE))"),"")</f>
        <v/>
      </c>
      <c r="BJ319" s="19" t="str">
        <f t="shared" si="39"/>
        <v/>
      </c>
      <c r="BK319" s="41"/>
      <c r="BL319" s="41"/>
    </row>
    <row r="320" spans="1:64" ht="15">
      <c r="A320" s="4"/>
      <c r="B320" s="4"/>
      <c r="G320" s="5" t="str">
        <f ca="1">IFERROR(__xludf.DUMMYFUNCTION("IFERROR(VLOOKUP(F337,IMPORTRANGE(""https://docs.google.com/spreadsheets/d/1Kvs4KS76FHFqLFIZfrDMff4kP08nblUkihrxltoGBjg/edit#gid=934712705"",""ESENCIAL!A6:BG""),3,FALSE))"),"")</f>
        <v/>
      </c>
      <c r="H320" s="5" t="str">
        <f ca="1">IFERROR(__xludf.DUMMYFUNCTION("IFERROR(VLOOKUP(F337,IMPORTRANGE(""https://docs.google.com/spreadsheets/d/1Kvs4KS76FHFqLFIZfrDMff4kP08nblUkihrxltoGBjg/edit#gid=934712705"",""ESENCIAL!A6:BG""),8,FALSE))"),"")</f>
        <v/>
      </c>
      <c r="L320" s="287"/>
      <c r="S320"/>
      <c r="AU320" s="41" t="str">
        <f t="shared" si="36"/>
        <v/>
      </c>
      <c r="AV320" s="5" t="str">
        <f ca="1">IFERROR(__xludf.DUMMYFUNCTION("IFERROR(VLOOKUP(E337&amp;F337,IMPORTRANGE(""https://docs.google.com/spreadsheets/d/1Uw7-A9f9R21vMXxHZFNpYNeKFtG8_yji4HS352LGlSQ/edit?pli=1#gid=0"",""1_ACUM!A4:S""),11,FALSE))"),"")</f>
        <v/>
      </c>
      <c r="AW320" s="42" t="str">
        <f ca="1">IFERROR(__xludf.DUMMYFUNCTION("IFERROR(VLOOKUP(F337,IMPORTRANGE(""https://docs.google.com/spreadsheets/d/1Kvs4KS76FHFqLFIZfrDMff4kP08nblUkihrxltoGBjg/edit#gid=934712705"",""ESENCIAL!A6:BG""),15,FALSE))"),"")</f>
        <v/>
      </c>
      <c r="AX320" s="21" t="str">
        <f ca="1">IFERROR(__xludf.DUMMYFUNCTION("IFERROR(VLOOKUP(E337&amp;F337,IMPORTRANGE(""https://docs.google.com/spreadsheets/d/1Uw7-A9f9R21vMXxHZFNpYNeKFtG8_yji4HS352LGlSQ/edit?pli=1#gid=0"",""1_ACUM!A4:S""),12,FALSE))"),"")</f>
        <v/>
      </c>
      <c r="AY320" s="43" t="str">
        <f ca="1">IFERROR(__xludf.DUMMYFUNCTION("IFERROR(VLOOKUP(E337&amp;F337,IMPORTRANGE(""https://docs.google.com/spreadsheets/d/1Uw7-A9f9R21vMXxHZFNpYNeKFtG8_yji4HS352LGlSQ/edit?pli=1#gid=0"",""1_ACUM!A4:S""),13,FALSE))"),"")</f>
        <v/>
      </c>
      <c r="AZ320" s="43" t="str">
        <f ca="1">IFERROR(__xludf.DUMMYFUNCTION("IFERROR(VLOOKUP(E337&amp;F337,IMPORTRANGE(""https://docs.google.com/spreadsheets/d/1Uw7-A9f9R21vMXxHZFNpYNeKFtG8_yji4HS352LGlSQ/edit?pli=1#gid=0"",""1_ACUM!A4:S""),14,FALSE))"),"")</f>
        <v/>
      </c>
      <c r="BA320" s="43" t="str">
        <f ca="1">IFERROR(__xludf.DUMMYFUNCTION("IFERROR(VLOOKUP(E337&amp;F337,IMPORTRANGE(""https://docs.google.com/spreadsheets/d/1Uw7-A9f9R21vMXxHZFNpYNeKFtG8_yji4HS352LGlSQ/edit?pli=1#gid=0"",""1_ACUM!A4:S""),15,FALSE))"),"")</f>
        <v/>
      </c>
      <c r="BB320" s="43" t="str">
        <f ca="1">IFERROR(__xludf.DUMMYFUNCTION("IFERROR(VLOOKUP(E337&amp;F337,IMPORTRANGE(""https://docs.google.com/spreadsheets/d/1Uw7-A9f9R21vMXxHZFNpYNeKFtG8_yji4HS352LGlSQ/edit?pli=1#gid=0"",""1_ACUM!A4:S""),16,FALSE))"),"")</f>
        <v/>
      </c>
      <c r="BC320" s="43" t="str">
        <f ca="1">IFERROR(__xludf.DUMMYFUNCTION("IFERROR(VLOOKUP(E337&amp;F337,IMPORTRANGE(""https://docs.google.com/spreadsheets/d/1Uw7-A9f9R21vMXxHZFNpYNeKFtG8_yji4HS352LGlSQ/edit?pli=1#gid=0"",""1_ACUM!A4:S""),17,FALSE))"),"")</f>
        <v/>
      </c>
      <c r="BD320" s="44" t="str">
        <f ca="1">IFERROR(__xludf.DUMMYFUNCTION("IFERROR(VLOOKUP(E337&amp;F337,IMPORTRANGE(""https://docs.google.com/spreadsheets/d/1Uw7-A9f9R21vMXxHZFNpYNeKFtG8_yji4HS352LGlSQ/edit?pli=1#gid=0"",""1_ACUM!A4:S""),18,FALSE))"),"")</f>
        <v/>
      </c>
      <c r="BE320" s="44" t="str">
        <f ca="1">IFERROR(__xludf.DUMMYFUNCTION("IFERROR(VLOOKUP(E337&amp;F337,IMPORTRANGE(""https://docs.google.com/spreadsheets/d/1Uw7-A9f9R21vMXxHZFNpYNeKFtG8_yji4HS352LGlSQ/edit?pli=1#gid=0"",""1_ACUM!A4:S""),19,FALSE))"),"")</f>
        <v/>
      </c>
      <c r="BF320" s="44" t="str">
        <f ca="1">IFERROR(__xludf.DUMMYFUNCTION("IFERROR(VLOOKUP(F337,IMPORTRANGE(""https://docs.google.com/spreadsheets/d/1Kvs4KS76FHFqLFIZfrDMff4kP08nblUkihrxltoGBjg/edit#gid=934712705"",""ESENCIAL!A6:BG""),5,FALSE))"),"")</f>
        <v/>
      </c>
      <c r="BG320" s="44" t="str">
        <f t="shared" si="37"/>
        <v/>
      </c>
      <c r="BH320" s="41" t="str">
        <f t="shared" si="38"/>
        <v/>
      </c>
      <c r="BI320" s="41" t="str">
        <f ca="1">IFERROR(__xludf.DUMMYFUNCTION("IFERROR(VLOOKUP(F337,IMPORTRANGE(""https://docs.google.com/spreadsheets/d/1Kvs4KS76FHFqLFIZfrDMff4kP08nblUkihrxltoGBjg/edit#gid=934712705"",""ESENCIAL!A6:BG""),18,FALSE))"),"")</f>
        <v/>
      </c>
      <c r="BJ320" s="19" t="str">
        <f t="shared" si="39"/>
        <v/>
      </c>
      <c r="BK320" s="41"/>
      <c r="BL320" s="41"/>
    </row>
    <row r="321" spans="1:64" ht="15">
      <c r="A321" s="4"/>
      <c r="B321" s="4"/>
      <c r="G321" s="5" t="str">
        <f ca="1">IFERROR(__xludf.DUMMYFUNCTION("IFERROR(VLOOKUP(F338,IMPORTRANGE(""https://docs.google.com/spreadsheets/d/1Kvs4KS76FHFqLFIZfrDMff4kP08nblUkihrxltoGBjg/edit#gid=934712705"",""ESENCIAL!A6:BG""),3,FALSE))"),"")</f>
        <v/>
      </c>
      <c r="H321" s="5" t="str">
        <f ca="1">IFERROR(__xludf.DUMMYFUNCTION("IFERROR(VLOOKUP(F338,IMPORTRANGE(""https://docs.google.com/spreadsheets/d/1Kvs4KS76FHFqLFIZfrDMff4kP08nblUkihrxltoGBjg/edit#gid=934712705"",""ESENCIAL!A6:BG""),8,FALSE))"),"")</f>
        <v/>
      </c>
      <c r="L321" s="287"/>
      <c r="S321"/>
      <c r="AU321" s="41" t="str">
        <f t="shared" si="36"/>
        <v/>
      </c>
      <c r="AV321" s="5" t="str">
        <f ca="1">IFERROR(__xludf.DUMMYFUNCTION("IFERROR(VLOOKUP(E338&amp;F338,IMPORTRANGE(""https://docs.google.com/spreadsheets/d/1Uw7-A9f9R21vMXxHZFNpYNeKFtG8_yji4HS352LGlSQ/edit?pli=1#gid=0"",""1_ACUM!A4:S""),11,FALSE))"),"")</f>
        <v/>
      </c>
      <c r="AW321" s="42" t="str">
        <f ca="1">IFERROR(__xludf.DUMMYFUNCTION("IFERROR(VLOOKUP(F338,IMPORTRANGE(""https://docs.google.com/spreadsheets/d/1Kvs4KS76FHFqLFIZfrDMff4kP08nblUkihrxltoGBjg/edit#gid=934712705"",""ESENCIAL!A6:BG""),15,FALSE))"),"")</f>
        <v/>
      </c>
      <c r="AX321" s="21" t="str">
        <f ca="1">IFERROR(__xludf.DUMMYFUNCTION("IFERROR(VLOOKUP(E338&amp;F338,IMPORTRANGE(""https://docs.google.com/spreadsheets/d/1Uw7-A9f9R21vMXxHZFNpYNeKFtG8_yji4HS352LGlSQ/edit?pli=1#gid=0"",""1_ACUM!A4:S""),12,FALSE))"),"")</f>
        <v/>
      </c>
      <c r="AY321" s="43" t="str">
        <f ca="1">IFERROR(__xludf.DUMMYFUNCTION("IFERROR(VLOOKUP(E338&amp;F338,IMPORTRANGE(""https://docs.google.com/spreadsheets/d/1Uw7-A9f9R21vMXxHZFNpYNeKFtG8_yji4HS352LGlSQ/edit?pli=1#gid=0"",""1_ACUM!A4:S""),13,FALSE))"),"")</f>
        <v/>
      </c>
      <c r="AZ321" s="43" t="str">
        <f ca="1">IFERROR(__xludf.DUMMYFUNCTION("IFERROR(VLOOKUP(E338&amp;F338,IMPORTRANGE(""https://docs.google.com/spreadsheets/d/1Uw7-A9f9R21vMXxHZFNpYNeKFtG8_yji4HS352LGlSQ/edit?pli=1#gid=0"",""1_ACUM!A4:S""),14,FALSE))"),"")</f>
        <v/>
      </c>
      <c r="BA321" s="43" t="str">
        <f ca="1">IFERROR(__xludf.DUMMYFUNCTION("IFERROR(VLOOKUP(E338&amp;F338,IMPORTRANGE(""https://docs.google.com/spreadsheets/d/1Uw7-A9f9R21vMXxHZFNpYNeKFtG8_yji4HS352LGlSQ/edit?pli=1#gid=0"",""1_ACUM!A4:S""),15,FALSE))"),"")</f>
        <v/>
      </c>
      <c r="BB321" s="43" t="str">
        <f ca="1">IFERROR(__xludf.DUMMYFUNCTION("IFERROR(VLOOKUP(E338&amp;F338,IMPORTRANGE(""https://docs.google.com/spreadsheets/d/1Uw7-A9f9R21vMXxHZFNpYNeKFtG8_yji4HS352LGlSQ/edit?pli=1#gid=0"",""1_ACUM!A4:S""),16,FALSE))"),"")</f>
        <v/>
      </c>
      <c r="BC321" s="43" t="str">
        <f ca="1">IFERROR(__xludf.DUMMYFUNCTION("IFERROR(VLOOKUP(E338&amp;F338,IMPORTRANGE(""https://docs.google.com/spreadsheets/d/1Uw7-A9f9R21vMXxHZFNpYNeKFtG8_yji4HS352LGlSQ/edit?pli=1#gid=0"",""1_ACUM!A4:S""),17,FALSE))"),"")</f>
        <v/>
      </c>
      <c r="BD321" s="44" t="str">
        <f ca="1">IFERROR(__xludf.DUMMYFUNCTION("IFERROR(VLOOKUP(E338&amp;F338,IMPORTRANGE(""https://docs.google.com/spreadsheets/d/1Uw7-A9f9R21vMXxHZFNpYNeKFtG8_yji4HS352LGlSQ/edit?pli=1#gid=0"",""1_ACUM!A4:S""),18,FALSE))"),"")</f>
        <v/>
      </c>
      <c r="BE321" s="44" t="str">
        <f ca="1">IFERROR(__xludf.DUMMYFUNCTION("IFERROR(VLOOKUP(E338&amp;F338,IMPORTRANGE(""https://docs.google.com/spreadsheets/d/1Uw7-A9f9R21vMXxHZFNpYNeKFtG8_yji4HS352LGlSQ/edit?pli=1#gid=0"",""1_ACUM!A4:S""),19,FALSE))"),"")</f>
        <v/>
      </c>
      <c r="BF321" s="44" t="str">
        <f ca="1">IFERROR(__xludf.DUMMYFUNCTION("IFERROR(VLOOKUP(F338,IMPORTRANGE(""https://docs.google.com/spreadsheets/d/1Kvs4KS76FHFqLFIZfrDMff4kP08nblUkihrxltoGBjg/edit#gid=934712705"",""ESENCIAL!A6:BG""),5,FALSE))"),"")</f>
        <v/>
      </c>
      <c r="BG321" s="44" t="str">
        <f t="shared" si="37"/>
        <v/>
      </c>
      <c r="BH321" s="41" t="str">
        <f t="shared" si="38"/>
        <v/>
      </c>
      <c r="BI321" s="41" t="str">
        <f ca="1">IFERROR(__xludf.DUMMYFUNCTION("IFERROR(VLOOKUP(F338,IMPORTRANGE(""https://docs.google.com/spreadsheets/d/1Kvs4KS76FHFqLFIZfrDMff4kP08nblUkihrxltoGBjg/edit#gid=934712705"",""ESENCIAL!A6:BG""),18,FALSE))"),"")</f>
        <v/>
      </c>
      <c r="BJ321" s="19" t="str">
        <f t="shared" si="39"/>
        <v/>
      </c>
      <c r="BK321" s="41"/>
      <c r="BL321" s="41"/>
    </row>
    <row r="322" spans="1:64" ht="15">
      <c r="A322" s="4"/>
      <c r="B322" s="4"/>
      <c r="G322" s="5" t="str">
        <f ca="1">IFERROR(__xludf.DUMMYFUNCTION("IFERROR(VLOOKUP(F339,IMPORTRANGE(""https://docs.google.com/spreadsheets/d/1Kvs4KS76FHFqLFIZfrDMff4kP08nblUkihrxltoGBjg/edit#gid=934712705"",""ESENCIAL!A6:BG""),3,FALSE))"),"")</f>
        <v/>
      </c>
      <c r="H322" s="5" t="str">
        <f ca="1">IFERROR(__xludf.DUMMYFUNCTION("IFERROR(VLOOKUP(F339,IMPORTRANGE(""https://docs.google.com/spreadsheets/d/1Kvs4KS76FHFqLFIZfrDMff4kP08nblUkihrxltoGBjg/edit#gid=934712705"",""ESENCIAL!A6:BG""),8,FALSE))"),"")</f>
        <v/>
      </c>
      <c r="L322" s="287"/>
      <c r="S322"/>
      <c r="AU322" s="41" t="str">
        <f t="shared" si="36"/>
        <v/>
      </c>
      <c r="AV322" s="5" t="str">
        <f ca="1">IFERROR(__xludf.DUMMYFUNCTION("IFERROR(VLOOKUP(E339&amp;F339,IMPORTRANGE(""https://docs.google.com/spreadsheets/d/1Uw7-A9f9R21vMXxHZFNpYNeKFtG8_yji4HS352LGlSQ/edit?pli=1#gid=0"",""1_ACUM!A4:S""),11,FALSE))"),"")</f>
        <v/>
      </c>
      <c r="AW322" s="42" t="str">
        <f ca="1">IFERROR(__xludf.DUMMYFUNCTION("IFERROR(VLOOKUP(F339,IMPORTRANGE(""https://docs.google.com/spreadsheets/d/1Kvs4KS76FHFqLFIZfrDMff4kP08nblUkihrxltoGBjg/edit#gid=934712705"",""ESENCIAL!A6:BG""),15,FALSE))"),"")</f>
        <v/>
      </c>
      <c r="AX322" s="21" t="str">
        <f ca="1">IFERROR(__xludf.DUMMYFUNCTION("IFERROR(VLOOKUP(E339&amp;F339,IMPORTRANGE(""https://docs.google.com/spreadsheets/d/1Uw7-A9f9R21vMXxHZFNpYNeKFtG8_yji4HS352LGlSQ/edit?pli=1#gid=0"",""1_ACUM!A4:S""),12,FALSE))"),"")</f>
        <v/>
      </c>
      <c r="AY322" s="43" t="str">
        <f ca="1">IFERROR(__xludf.DUMMYFUNCTION("IFERROR(VLOOKUP(E339&amp;F339,IMPORTRANGE(""https://docs.google.com/spreadsheets/d/1Uw7-A9f9R21vMXxHZFNpYNeKFtG8_yji4HS352LGlSQ/edit?pli=1#gid=0"",""1_ACUM!A4:S""),13,FALSE))"),"")</f>
        <v/>
      </c>
      <c r="AZ322" s="43" t="str">
        <f ca="1">IFERROR(__xludf.DUMMYFUNCTION("IFERROR(VLOOKUP(E339&amp;F339,IMPORTRANGE(""https://docs.google.com/spreadsheets/d/1Uw7-A9f9R21vMXxHZFNpYNeKFtG8_yji4HS352LGlSQ/edit?pli=1#gid=0"",""1_ACUM!A4:S""),14,FALSE))"),"")</f>
        <v/>
      </c>
      <c r="BA322" s="43" t="str">
        <f ca="1">IFERROR(__xludf.DUMMYFUNCTION("IFERROR(VLOOKUP(E339&amp;F339,IMPORTRANGE(""https://docs.google.com/spreadsheets/d/1Uw7-A9f9R21vMXxHZFNpYNeKFtG8_yji4HS352LGlSQ/edit?pli=1#gid=0"",""1_ACUM!A4:S""),15,FALSE))"),"")</f>
        <v/>
      </c>
      <c r="BB322" s="43" t="str">
        <f ca="1">IFERROR(__xludf.DUMMYFUNCTION("IFERROR(VLOOKUP(E339&amp;F339,IMPORTRANGE(""https://docs.google.com/spreadsheets/d/1Uw7-A9f9R21vMXxHZFNpYNeKFtG8_yji4HS352LGlSQ/edit?pli=1#gid=0"",""1_ACUM!A4:S""),16,FALSE))"),"")</f>
        <v/>
      </c>
      <c r="BC322" s="43" t="str">
        <f ca="1">IFERROR(__xludf.DUMMYFUNCTION("IFERROR(VLOOKUP(E339&amp;F339,IMPORTRANGE(""https://docs.google.com/spreadsheets/d/1Uw7-A9f9R21vMXxHZFNpYNeKFtG8_yji4HS352LGlSQ/edit?pli=1#gid=0"",""1_ACUM!A4:S""),17,FALSE))"),"")</f>
        <v/>
      </c>
      <c r="BD322" s="44" t="str">
        <f ca="1">IFERROR(__xludf.DUMMYFUNCTION("IFERROR(VLOOKUP(E339&amp;F339,IMPORTRANGE(""https://docs.google.com/spreadsheets/d/1Uw7-A9f9R21vMXxHZFNpYNeKFtG8_yji4HS352LGlSQ/edit?pli=1#gid=0"",""1_ACUM!A4:S""),18,FALSE))"),"")</f>
        <v/>
      </c>
      <c r="BE322" s="44" t="str">
        <f ca="1">IFERROR(__xludf.DUMMYFUNCTION("IFERROR(VLOOKUP(E339&amp;F339,IMPORTRANGE(""https://docs.google.com/spreadsheets/d/1Uw7-A9f9R21vMXxHZFNpYNeKFtG8_yji4HS352LGlSQ/edit?pli=1#gid=0"",""1_ACUM!A4:S""),19,FALSE))"),"")</f>
        <v/>
      </c>
      <c r="BF322" s="44" t="str">
        <f ca="1">IFERROR(__xludf.DUMMYFUNCTION("IFERROR(VLOOKUP(F339,IMPORTRANGE(""https://docs.google.com/spreadsheets/d/1Kvs4KS76FHFqLFIZfrDMff4kP08nblUkihrxltoGBjg/edit#gid=934712705"",""ESENCIAL!A6:BG""),5,FALSE))"),"")</f>
        <v/>
      </c>
      <c r="BG322" s="44" t="str">
        <f t="shared" si="37"/>
        <v/>
      </c>
      <c r="BH322" s="41" t="str">
        <f t="shared" si="38"/>
        <v/>
      </c>
      <c r="BI322" s="41" t="str">
        <f ca="1">IFERROR(__xludf.DUMMYFUNCTION("IFERROR(VLOOKUP(F339,IMPORTRANGE(""https://docs.google.com/spreadsheets/d/1Kvs4KS76FHFqLFIZfrDMff4kP08nblUkihrxltoGBjg/edit#gid=934712705"",""ESENCIAL!A6:BG""),18,FALSE))"),"")</f>
        <v/>
      </c>
      <c r="BJ322" s="19" t="str">
        <f t="shared" si="39"/>
        <v/>
      </c>
      <c r="BK322" s="41"/>
      <c r="BL322" s="41"/>
    </row>
    <row r="323" spans="1:64" ht="15">
      <c r="A323" s="4"/>
      <c r="B323" s="4"/>
      <c r="G323" s="5" t="str">
        <f ca="1">IFERROR(__xludf.DUMMYFUNCTION("IFERROR(VLOOKUP(F340,IMPORTRANGE(""https://docs.google.com/spreadsheets/d/1Kvs4KS76FHFqLFIZfrDMff4kP08nblUkihrxltoGBjg/edit#gid=934712705"",""ESENCIAL!A6:BG""),3,FALSE))"),"")</f>
        <v/>
      </c>
      <c r="H323" s="5" t="str">
        <f ca="1">IFERROR(__xludf.DUMMYFUNCTION("IFERROR(VLOOKUP(F340,IMPORTRANGE(""https://docs.google.com/spreadsheets/d/1Kvs4KS76FHFqLFIZfrDMff4kP08nblUkihrxltoGBjg/edit#gid=934712705"",""ESENCIAL!A6:BG""),8,FALSE))"),"")</f>
        <v/>
      </c>
      <c r="L323" s="287"/>
      <c r="S323"/>
      <c r="AU323" s="41" t="str">
        <f t="shared" si="36"/>
        <v/>
      </c>
      <c r="AV323" s="5" t="str">
        <f ca="1">IFERROR(__xludf.DUMMYFUNCTION("IFERROR(VLOOKUP(E340&amp;F340,IMPORTRANGE(""https://docs.google.com/spreadsheets/d/1Uw7-A9f9R21vMXxHZFNpYNeKFtG8_yji4HS352LGlSQ/edit?pli=1#gid=0"",""1_ACUM!A4:S""),11,FALSE))"),"")</f>
        <v/>
      </c>
      <c r="AW323" s="42" t="str">
        <f ca="1">IFERROR(__xludf.DUMMYFUNCTION("IFERROR(VLOOKUP(F340,IMPORTRANGE(""https://docs.google.com/spreadsheets/d/1Kvs4KS76FHFqLFIZfrDMff4kP08nblUkihrxltoGBjg/edit#gid=934712705"",""ESENCIAL!A6:BG""),15,FALSE))"),"")</f>
        <v/>
      </c>
      <c r="AX323" s="21" t="str">
        <f ca="1">IFERROR(__xludf.DUMMYFUNCTION("IFERROR(VLOOKUP(E340&amp;F340,IMPORTRANGE(""https://docs.google.com/spreadsheets/d/1Uw7-A9f9R21vMXxHZFNpYNeKFtG8_yji4HS352LGlSQ/edit?pli=1#gid=0"",""1_ACUM!A4:S""),12,FALSE))"),"")</f>
        <v/>
      </c>
      <c r="AY323" s="43" t="str">
        <f ca="1">IFERROR(__xludf.DUMMYFUNCTION("IFERROR(VLOOKUP(E340&amp;F340,IMPORTRANGE(""https://docs.google.com/spreadsheets/d/1Uw7-A9f9R21vMXxHZFNpYNeKFtG8_yji4HS352LGlSQ/edit?pli=1#gid=0"",""1_ACUM!A4:S""),13,FALSE))"),"")</f>
        <v/>
      </c>
      <c r="AZ323" s="43" t="str">
        <f ca="1">IFERROR(__xludf.DUMMYFUNCTION("IFERROR(VLOOKUP(E340&amp;F340,IMPORTRANGE(""https://docs.google.com/spreadsheets/d/1Uw7-A9f9R21vMXxHZFNpYNeKFtG8_yji4HS352LGlSQ/edit?pli=1#gid=0"",""1_ACUM!A4:S""),14,FALSE))"),"")</f>
        <v/>
      </c>
      <c r="BA323" s="43" t="str">
        <f ca="1">IFERROR(__xludf.DUMMYFUNCTION("IFERROR(VLOOKUP(E340&amp;F340,IMPORTRANGE(""https://docs.google.com/spreadsheets/d/1Uw7-A9f9R21vMXxHZFNpYNeKFtG8_yji4HS352LGlSQ/edit?pli=1#gid=0"",""1_ACUM!A4:S""),15,FALSE))"),"")</f>
        <v/>
      </c>
      <c r="BB323" s="43" t="str">
        <f ca="1">IFERROR(__xludf.DUMMYFUNCTION("IFERROR(VLOOKUP(E340&amp;F340,IMPORTRANGE(""https://docs.google.com/spreadsheets/d/1Uw7-A9f9R21vMXxHZFNpYNeKFtG8_yji4HS352LGlSQ/edit?pli=1#gid=0"",""1_ACUM!A4:S""),16,FALSE))"),"")</f>
        <v/>
      </c>
      <c r="BC323" s="43" t="str">
        <f ca="1">IFERROR(__xludf.DUMMYFUNCTION("IFERROR(VLOOKUP(E340&amp;F340,IMPORTRANGE(""https://docs.google.com/spreadsheets/d/1Uw7-A9f9R21vMXxHZFNpYNeKFtG8_yji4HS352LGlSQ/edit?pli=1#gid=0"",""1_ACUM!A4:S""),17,FALSE))"),"")</f>
        <v/>
      </c>
      <c r="BD323" s="44" t="str">
        <f ca="1">IFERROR(__xludf.DUMMYFUNCTION("IFERROR(VLOOKUP(E340&amp;F340,IMPORTRANGE(""https://docs.google.com/spreadsheets/d/1Uw7-A9f9R21vMXxHZFNpYNeKFtG8_yji4HS352LGlSQ/edit?pli=1#gid=0"",""1_ACUM!A4:S""),18,FALSE))"),"")</f>
        <v/>
      </c>
      <c r="BE323" s="44" t="str">
        <f ca="1">IFERROR(__xludf.DUMMYFUNCTION("IFERROR(VLOOKUP(E340&amp;F340,IMPORTRANGE(""https://docs.google.com/spreadsheets/d/1Uw7-A9f9R21vMXxHZFNpYNeKFtG8_yji4HS352LGlSQ/edit?pli=1#gid=0"",""1_ACUM!A4:S""),19,FALSE))"),"")</f>
        <v/>
      </c>
      <c r="BF323" s="44" t="str">
        <f ca="1">IFERROR(__xludf.DUMMYFUNCTION("IFERROR(VLOOKUP(F340,IMPORTRANGE(""https://docs.google.com/spreadsheets/d/1Kvs4KS76FHFqLFIZfrDMff4kP08nblUkihrxltoGBjg/edit#gid=934712705"",""ESENCIAL!A6:BG""),5,FALSE))"),"")</f>
        <v/>
      </c>
      <c r="BG323" s="44" t="str">
        <f t="shared" si="37"/>
        <v/>
      </c>
      <c r="BH323" s="41" t="str">
        <f t="shared" si="38"/>
        <v/>
      </c>
      <c r="BI323" s="41" t="str">
        <f ca="1">IFERROR(__xludf.DUMMYFUNCTION("IFERROR(VLOOKUP(F340,IMPORTRANGE(""https://docs.google.com/spreadsheets/d/1Kvs4KS76FHFqLFIZfrDMff4kP08nblUkihrxltoGBjg/edit#gid=934712705"",""ESENCIAL!A6:BG""),18,FALSE))"),"")</f>
        <v/>
      </c>
      <c r="BJ323" s="19" t="str">
        <f t="shared" si="39"/>
        <v/>
      </c>
      <c r="BK323" s="41"/>
      <c r="BL323" s="41"/>
    </row>
    <row r="324" spans="1:64" ht="15">
      <c r="A324" s="4"/>
      <c r="B324" s="4"/>
      <c r="G324" s="5" t="str">
        <f ca="1">IFERROR(__xludf.DUMMYFUNCTION("IFERROR(VLOOKUP(F341,IMPORTRANGE(""https://docs.google.com/spreadsheets/d/1Kvs4KS76FHFqLFIZfrDMff4kP08nblUkihrxltoGBjg/edit#gid=934712705"",""ESENCIAL!A6:BG""),3,FALSE))"),"")</f>
        <v/>
      </c>
      <c r="H324" s="5" t="str">
        <f ca="1">IFERROR(__xludf.DUMMYFUNCTION("IFERROR(VLOOKUP(F341,IMPORTRANGE(""https://docs.google.com/spreadsheets/d/1Kvs4KS76FHFqLFIZfrDMff4kP08nblUkihrxltoGBjg/edit#gid=934712705"",""ESENCIAL!A6:BG""),8,FALSE))"),"")</f>
        <v/>
      </c>
      <c r="L324" s="287"/>
      <c r="S324"/>
      <c r="AU324" s="41" t="str">
        <f t="shared" si="36"/>
        <v/>
      </c>
      <c r="AV324" s="5" t="str">
        <f ca="1">IFERROR(__xludf.DUMMYFUNCTION("IFERROR(VLOOKUP(E341&amp;F341,IMPORTRANGE(""https://docs.google.com/spreadsheets/d/1Uw7-A9f9R21vMXxHZFNpYNeKFtG8_yji4HS352LGlSQ/edit?pli=1#gid=0"",""1_ACUM!A4:S""),11,FALSE))"),"")</f>
        <v/>
      </c>
      <c r="AW324" s="42" t="str">
        <f ca="1">IFERROR(__xludf.DUMMYFUNCTION("IFERROR(VLOOKUP(F341,IMPORTRANGE(""https://docs.google.com/spreadsheets/d/1Kvs4KS76FHFqLFIZfrDMff4kP08nblUkihrxltoGBjg/edit#gid=934712705"",""ESENCIAL!A6:BG""),15,FALSE))"),"")</f>
        <v/>
      </c>
      <c r="AX324" s="21" t="str">
        <f ca="1">IFERROR(__xludf.DUMMYFUNCTION("IFERROR(VLOOKUP(E341&amp;F341,IMPORTRANGE(""https://docs.google.com/spreadsheets/d/1Uw7-A9f9R21vMXxHZFNpYNeKFtG8_yji4HS352LGlSQ/edit?pli=1#gid=0"",""1_ACUM!A4:S""),12,FALSE))"),"")</f>
        <v/>
      </c>
      <c r="AY324" s="43" t="str">
        <f ca="1">IFERROR(__xludf.DUMMYFUNCTION("IFERROR(VLOOKUP(E341&amp;F341,IMPORTRANGE(""https://docs.google.com/spreadsheets/d/1Uw7-A9f9R21vMXxHZFNpYNeKFtG8_yji4HS352LGlSQ/edit?pli=1#gid=0"",""1_ACUM!A4:S""),13,FALSE))"),"")</f>
        <v/>
      </c>
      <c r="AZ324" s="43" t="str">
        <f ca="1">IFERROR(__xludf.DUMMYFUNCTION("IFERROR(VLOOKUP(E341&amp;F341,IMPORTRANGE(""https://docs.google.com/spreadsheets/d/1Uw7-A9f9R21vMXxHZFNpYNeKFtG8_yji4HS352LGlSQ/edit?pli=1#gid=0"",""1_ACUM!A4:S""),14,FALSE))"),"")</f>
        <v/>
      </c>
      <c r="BA324" s="43" t="str">
        <f ca="1">IFERROR(__xludf.DUMMYFUNCTION("IFERROR(VLOOKUP(E341&amp;F341,IMPORTRANGE(""https://docs.google.com/spreadsheets/d/1Uw7-A9f9R21vMXxHZFNpYNeKFtG8_yji4HS352LGlSQ/edit?pli=1#gid=0"",""1_ACUM!A4:S""),15,FALSE))"),"")</f>
        <v/>
      </c>
      <c r="BB324" s="43" t="str">
        <f ca="1">IFERROR(__xludf.DUMMYFUNCTION("IFERROR(VLOOKUP(E341&amp;F341,IMPORTRANGE(""https://docs.google.com/spreadsheets/d/1Uw7-A9f9R21vMXxHZFNpYNeKFtG8_yji4HS352LGlSQ/edit?pli=1#gid=0"",""1_ACUM!A4:S""),16,FALSE))"),"")</f>
        <v/>
      </c>
      <c r="BC324" s="43" t="str">
        <f ca="1">IFERROR(__xludf.DUMMYFUNCTION("IFERROR(VLOOKUP(E341&amp;F341,IMPORTRANGE(""https://docs.google.com/spreadsheets/d/1Uw7-A9f9R21vMXxHZFNpYNeKFtG8_yji4HS352LGlSQ/edit?pli=1#gid=0"",""1_ACUM!A4:S""),17,FALSE))"),"")</f>
        <v/>
      </c>
      <c r="BD324" s="44" t="str">
        <f ca="1">IFERROR(__xludf.DUMMYFUNCTION("IFERROR(VLOOKUP(E341&amp;F341,IMPORTRANGE(""https://docs.google.com/spreadsheets/d/1Uw7-A9f9R21vMXxHZFNpYNeKFtG8_yji4HS352LGlSQ/edit?pli=1#gid=0"",""1_ACUM!A4:S""),18,FALSE))"),"")</f>
        <v/>
      </c>
      <c r="BE324" s="44" t="str">
        <f ca="1">IFERROR(__xludf.DUMMYFUNCTION("IFERROR(VLOOKUP(E341&amp;F341,IMPORTRANGE(""https://docs.google.com/spreadsheets/d/1Uw7-A9f9R21vMXxHZFNpYNeKFtG8_yji4HS352LGlSQ/edit?pli=1#gid=0"",""1_ACUM!A4:S""),19,FALSE))"),"")</f>
        <v/>
      </c>
      <c r="BF324" s="44" t="str">
        <f ca="1">IFERROR(__xludf.DUMMYFUNCTION("IFERROR(VLOOKUP(F341,IMPORTRANGE(""https://docs.google.com/spreadsheets/d/1Kvs4KS76FHFqLFIZfrDMff4kP08nblUkihrxltoGBjg/edit#gid=934712705"",""ESENCIAL!A6:BG""),5,FALSE))"),"")</f>
        <v/>
      </c>
      <c r="BG324" s="44" t="str">
        <f t="shared" si="37"/>
        <v/>
      </c>
      <c r="BH324" s="41" t="str">
        <f t="shared" si="38"/>
        <v/>
      </c>
      <c r="BI324" s="41" t="str">
        <f ca="1">IFERROR(__xludf.DUMMYFUNCTION("IFERROR(VLOOKUP(F341,IMPORTRANGE(""https://docs.google.com/spreadsheets/d/1Kvs4KS76FHFqLFIZfrDMff4kP08nblUkihrxltoGBjg/edit#gid=934712705"",""ESENCIAL!A6:BG""),18,FALSE))"),"")</f>
        <v/>
      </c>
      <c r="BJ324" s="19" t="str">
        <f t="shared" si="39"/>
        <v/>
      </c>
      <c r="BK324" s="41"/>
      <c r="BL324" s="41"/>
    </row>
    <row r="325" spans="1:64" ht="15">
      <c r="A325" s="4"/>
      <c r="B325" s="4"/>
      <c r="G325" s="5" t="str">
        <f ca="1">IFERROR(__xludf.DUMMYFUNCTION("IFERROR(VLOOKUP(F342,IMPORTRANGE(""https://docs.google.com/spreadsheets/d/1Kvs4KS76FHFqLFIZfrDMff4kP08nblUkihrxltoGBjg/edit#gid=934712705"",""ESENCIAL!A6:BG""),3,FALSE))"),"")</f>
        <v/>
      </c>
      <c r="H325" s="5" t="str">
        <f ca="1">IFERROR(__xludf.DUMMYFUNCTION("IFERROR(VLOOKUP(F342,IMPORTRANGE(""https://docs.google.com/spreadsheets/d/1Kvs4KS76FHFqLFIZfrDMff4kP08nblUkihrxltoGBjg/edit#gid=934712705"",""ESENCIAL!A6:BG""),8,FALSE))"),"")</f>
        <v/>
      </c>
      <c r="L325" s="287"/>
      <c r="S325"/>
      <c r="AU325" s="41" t="str">
        <f t="shared" si="36"/>
        <v/>
      </c>
      <c r="AV325" s="5" t="str">
        <f ca="1">IFERROR(__xludf.DUMMYFUNCTION("IFERROR(VLOOKUP(E342&amp;F342,IMPORTRANGE(""https://docs.google.com/spreadsheets/d/1Uw7-A9f9R21vMXxHZFNpYNeKFtG8_yji4HS352LGlSQ/edit?pli=1#gid=0"",""1_ACUM!A4:S""),11,FALSE))"),"")</f>
        <v/>
      </c>
      <c r="AW325" s="42" t="str">
        <f ca="1">IFERROR(__xludf.DUMMYFUNCTION("IFERROR(VLOOKUP(F342,IMPORTRANGE(""https://docs.google.com/spreadsheets/d/1Kvs4KS76FHFqLFIZfrDMff4kP08nblUkihrxltoGBjg/edit#gid=934712705"",""ESENCIAL!A6:BG""),15,FALSE))"),"")</f>
        <v/>
      </c>
      <c r="AX325" s="21" t="str">
        <f ca="1">IFERROR(__xludf.DUMMYFUNCTION("IFERROR(VLOOKUP(E342&amp;F342,IMPORTRANGE(""https://docs.google.com/spreadsheets/d/1Uw7-A9f9R21vMXxHZFNpYNeKFtG8_yji4HS352LGlSQ/edit?pli=1#gid=0"",""1_ACUM!A4:S""),12,FALSE))"),"")</f>
        <v/>
      </c>
      <c r="AY325" s="43" t="str">
        <f ca="1">IFERROR(__xludf.DUMMYFUNCTION("IFERROR(VLOOKUP(E342&amp;F342,IMPORTRANGE(""https://docs.google.com/spreadsheets/d/1Uw7-A9f9R21vMXxHZFNpYNeKFtG8_yji4HS352LGlSQ/edit?pli=1#gid=0"",""1_ACUM!A4:S""),13,FALSE))"),"")</f>
        <v/>
      </c>
      <c r="AZ325" s="43" t="str">
        <f ca="1">IFERROR(__xludf.DUMMYFUNCTION("IFERROR(VLOOKUP(E342&amp;F342,IMPORTRANGE(""https://docs.google.com/spreadsheets/d/1Uw7-A9f9R21vMXxHZFNpYNeKFtG8_yji4HS352LGlSQ/edit?pli=1#gid=0"",""1_ACUM!A4:S""),14,FALSE))"),"")</f>
        <v/>
      </c>
      <c r="BA325" s="43" t="str">
        <f ca="1">IFERROR(__xludf.DUMMYFUNCTION("IFERROR(VLOOKUP(E342&amp;F342,IMPORTRANGE(""https://docs.google.com/spreadsheets/d/1Uw7-A9f9R21vMXxHZFNpYNeKFtG8_yji4HS352LGlSQ/edit?pli=1#gid=0"",""1_ACUM!A4:S""),15,FALSE))"),"")</f>
        <v/>
      </c>
      <c r="BB325" s="43" t="str">
        <f ca="1">IFERROR(__xludf.DUMMYFUNCTION("IFERROR(VLOOKUP(E342&amp;F342,IMPORTRANGE(""https://docs.google.com/spreadsheets/d/1Uw7-A9f9R21vMXxHZFNpYNeKFtG8_yji4HS352LGlSQ/edit?pli=1#gid=0"",""1_ACUM!A4:S""),16,FALSE))"),"")</f>
        <v/>
      </c>
      <c r="BC325" s="43" t="str">
        <f ca="1">IFERROR(__xludf.DUMMYFUNCTION("IFERROR(VLOOKUP(E342&amp;F342,IMPORTRANGE(""https://docs.google.com/spreadsheets/d/1Uw7-A9f9R21vMXxHZFNpYNeKFtG8_yji4HS352LGlSQ/edit?pli=1#gid=0"",""1_ACUM!A4:S""),17,FALSE))"),"")</f>
        <v/>
      </c>
      <c r="BD325" s="44" t="str">
        <f ca="1">IFERROR(__xludf.DUMMYFUNCTION("IFERROR(VLOOKUP(E342&amp;F342,IMPORTRANGE(""https://docs.google.com/spreadsheets/d/1Uw7-A9f9R21vMXxHZFNpYNeKFtG8_yji4HS352LGlSQ/edit?pli=1#gid=0"",""1_ACUM!A4:S""),18,FALSE))"),"")</f>
        <v/>
      </c>
      <c r="BE325" s="44" t="str">
        <f ca="1">IFERROR(__xludf.DUMMYFUNCTION("IFERROR(VLOOKUP(E342&amp;F342,IMPORTRANGE(""https://docs.google.com/spreadsheets/d/1Uw7-A9f9R21vMXxHZFNpYNeKFtG8_yji4HS352LGlSQ/edit?pli=1#gid=0"",""1_ACUM!A4:S""),19,FALSE))"),"")</f>
        <v/>
      </c>
      <c r="BF325" s="44" t="str">
        <f ca="1">IFERROR(__xludf.DUMMYFUNCTION("IFERROR(VLOOKUP(F342,IMPORTRANGE(""https://docs.google.com/spreadsheets/d/1Kvs4KS76FHFqLFIZfrDMff4kP08nblUkihrxltoGBjg/edit#gid=934712705"",""ESENCIAL!A6:BG""),5,FALSE))"),"")</f>
        <v/>
      </c>
      <c r="BG325" s="44" t="str">
        <f t="shared" si="37"/>
        <v/>
      </c>
      <c r="BH325" s="41" t="str">
        <f t="shared" si="38"/>
        <v/>
      </c>
      <c r="BI325" s="41" t="str">
        <f ca="1">IFERROR(__xludf.DUMMYFUNCTION("IFERROR(VLOOKUP(F342,IMPORTRANGE(""https://docs.google.com/spreadsheets/d/1Kvs4KS76FHFqLFIZfrDMff4kP08nblUkihrxltoGBjg/edit#gid=934712705"",""ESENCIAL!A6:BG""),18,FALSE))"),"")</f>
        <v/>
      </c>
      <c r="BJ325" s="19" t="str">
        <f t="shared" si="39"/>
        <v/>
      </c>
      <c r="BK325" s="41"/>
      <c r="BL325" s="41"/>
    </row>
    <row r="326" spans="1:64" ht="15">
      <c r="A326" s="4"/>
      <c r="B326" s="4"/>
      <c r="G326" s="5" t="str">
        <f ca="1">IFERROR(__xludf.DUMMYFUNCTION("IFERROR(VLOOKUP(F343,IMPORTRANGE(""https://docs.google.com/spreadsheets/d/1Kvs4KS76FHFqLFIZfrDMff4kP08nblUkihrxltoGBjg/edit#gid=934712705"",""ESENCIAL!A6:BG""),3,FALSE))"),"")</f>
        <v/>
      </c>
      <c r="H326" s="5" t="str">
        <f ca="1">IFERROR(__xludf.DUMMYFUNCTION("IFERROR(VLOOKUP(F343,IMPORTRANGE(""https://docs.google.com/spreadsheets/d/1Kvs4KS76FHFqLFIZfrDMff4kP08nblUkihrxltoGBjg/edit#gid=934712705"",""ESENCIAL!A6:BG""),8,FALSE))"),"")</f>
        <v/>
      </c>
      <c r="L326" s="287"/>
      <c r="S326"/>
      <c r="AU326" s="41" t="str">
        <f t="shared" si="36"/>
        <v/>
      </c>
      <c r="AV326" s="5" t="str">
        <f ca="1">IFERROR(__xludf.DUMMYFUNCTION("IFERROR(VLOOKUP(E343&amp;F343,IMPORTRANGE(""https://docs.google.com/spreadsheets/d/1Uw7-A9f9R21vMXxHZFNpYNeKFtG8_yji4HS352LGlSQ/edit?pli=1#gid=0"",""1_ACUM!A4:S""),11,FALSE))"),"")</f>
        <v/>
      </c>
      <c r="AW326" s="42" t="str">
        <f ca="1">IFERROR(__xludf.DUMMYFUNCTION("IFERROR(VLOOKUP(F343,IMPORTRANGE(""https://docs.google.com/spreadsheets/d/1Kvs4KS76FHFqLFIZfrDMff4kP08nblUkihrxltoGBjg/edit#gid=934712705"",""ESENCIAL!A6:BG""),15,FALSE))"),"")</f>
        <v/>
      </c>
      <c r="AX326" s="21" t="str">
        <f ca="1">IFERROR(__xludf.DUMMYFUNCTION("IFERROR(VLOOKUP(E343&amp;F343,IMPORTRANGE(""https://docs.google.com/spreadsheets/d/1Uw7-A9f9R21vMXxHZFNpYNeKFtG8_yji4HS352LGlSQ/edit?pli=1#gid=0"",""1_ACUM!A4:S""),12,FALSE))"),"")</f>
        <v/>
      </c>
      <c r="AY326" s="43" t="str">
        <f ca="1">IFERROR(__xludf.DUMMYFUNCTION("IFERROR(VLOOKUP(E343&amp;F343,IMPORTRANGE(""https://docs.google.com/spreadsheets/d/1Uw7-A9f9R21vMXxHZFNpYNeKFtG8_yji4HS352LGlSQ/edit?pli=1#gid=0"",""1_ACUM!A4:S""),13,FALSE))"),"")</f>
        <v/>
      </c>
      <c r="AZ326" s="43" t="str">
        <f ca="1">IFERROR(__xludf.DUMMYFUNCTION("IFERROR(VLOOKUP(E343&amp;F343,IMPORTRANGE(""https://docs.google.com/spreadsheets/d/1Uw7-A9f9R21vMXxHZFNpYNeKFtG8_yji4HS352LGlSQ/edit?pli=1#gid=0"",""1_ACUM!A4:S""),14,FALSE))"),"")</f>
        <v/>
      </c>
      <c r="BA326" s="43" t="str">
        <f ca="1">IFERROR(__xludf.DUMMYFUNCTION("IFERROR(VLOOKUP(E343&amp;F343,IMPORTRANGE(""https://docs.google.com/spreadsheets/d/1Uw7-A9f9R21vMXxHZFNpYNeKFtG8_yji4HS352LGlSQ/edit?pli=1#gid=0"",""1_ACUM!A4:S""),15,FALSE))"),"")</f>
        <v/>
      </c>
      <c r="BB326" s="43" t="str">
        <f ca="1">IFERROR(__xludf.DUMMYFUNCTION("IFERROR(VLOOKUP(E343&amp;F343,IMPORTRANGE(""https://docs.google.com/spreadsheets/d/1Uw7-A9f9R21vMXxHZFNpYNeKFtG8_yji4HS352LGlSQ/edit?pli=1#gid=0"",""1_ACUM!A4:S""),16,FALSE))"),"")</f>
        <v/>
      </c>
      <c r="BC326" s="43" t="str">
        <f ca="1">IFERROR(__xludf.DUMMYFUNCTION("IFERROR(VLOOKUP(E343&amp;F343,IMPORTRANGE(""https://docs.google.com/spreadsheets/d/1Uw7-A9f9R21vMXxHZFNpYNeKFtG8_yji4HS352LGlSQ/edit?pli=1#gid=0"",""1_ACUM!A4:S""),17,FALSE))"),"")</f>
        <v/>
      </c>
      <c r="BD326" s="44" t="str">
        <f ca="1">IFERROR(__xludf.DUMMYFUNCTION("IFERROR(VLOOKUP(E343&amp;F343,IMPORTRANGE(""https://docs.google.com/spreadsheets/d/1Uw7-A9f9R21vMXxHZFNpYNeKFtG8_yji4HS352LGlSQ/edit?pli=1#gid=0"",""1_ACUM!A4:S""),18,FALSE))"),"")</f>
        <v/>
      </c>
      <c r="BE326" s="44" t="str">
        <f ca="1">IFERROR(__xludf.DUMMYFUNCTION("IFERROR(VLOOKUP(E343&amp;F343,IMPORTRANGE(""https://docs.google.com/spreadsheets/d/1Uw7-A9f9R21vMXxHZFNpYNeKFtG8_yji4HS352LGlSQ/edit?pli=1#gid=0"",""1_ACUM!A4:S""),19,FALSE))"),"")</f>
        <v/>
      </c>
      <c r="BF326" s="44" t="str">
        <f ca="1">IFERROR(__xludf.DUMMYFUNCTION("IFERROR(VLOOKUP(F343,IMPORTRANGE(""https://docs.google.com/spreadsheets/d/1Kvs4KS76FHFqLFIZfrDMff4kP08nblUkihrxltoGBjg/edit#gid=934712705"",""ESENCIAL!A6:BG""),5,FALSE))"),"")</f>
        <v/>
      </c>
      <c r="BG326" s="44" t="str">
        <f t="shared" si="37"/>
        <v/>
      </c>
      <c r="BH326" s="41" t="str">
        <f t="shared" si="38"/>
        <v/>
      </c>
      <c r="BI326" s="41" t="str">
        <f ca="1">IFERROR(__xludf.DUMMYFUNCTION("IFERROR(VLOOKUP(F343,IMPORTRANGE(""https://docs.google.com/spreadsheets/d/1Kvs4KS76FHFqLFIZfrDMff4kP08nblUkihrxltoGBjg/edit#gid=934712705"",""ESENCIAL!A6:BG""),18,FALSE))"),"")</f>
        <v/>
      </c>
      <c r="BJ326" s="19" t="str">
        <f t="shared" si="39"/>
        <v/>
      </c>
      <c r="BK326" s="41"/>
      <c r="BL326" s="41"/>
    </row>
    <row r="327" spans="1:64" ht="15">
      <c r="A327" s="4"/>
      <c r="B327" s="4"/>
      <c r="G327" s="5" t="str">
        <f ca="1">IFERROR(__xludf.DUMMYFUNCTION("IFERROR(VLOOKUP(F344,IMPORTRANGE(""https://docs.google.com/spreadsheets/d/1Kvs4KS76FHFqLFIZfrDMff4kP08nblUkihrxltoGBjg/edit#gid=934712705"",""ESENCIAL!A6:BG""),3,FALSE))"),"")</f>
        <v/>
      </c>
      <c r="H327" s="5" t="str">
        <f ca="1">IFERROR(__xludf.DUMMYFUNCTION("IFERROR(VLOOKUP(F344,IMPORTRANGE(""https://docs.google.com/spreadsheets/d/1Kvs4KS76FHFqLFIZfrDMff4kP08nblUkihrxltoGBjg/edit#gid=934712705"",""ESENCIAL!A6:BG""),8,FALSE))"),"")</f>
        <v/>
      </c>
      <c r="L327" s="287"/>
      <c r="S327"/>
      <c r="AU327" s="41" t="str">
        <f t="shared" si="36"/>
        <v/>
      </c>
      <c r="AV327" s="5" t="str">
        <f ca="1">IFERROR(__xludf.DUMMYFUNCTION("IFERROR(VLOOKUP(E344&amp;F344,IMPORTRANGE(""https://docs.google.com/spreadsheets/d/1Uw7-A9f9R21vMXxHZFNpYNeKFtG8_yji4HS352LGlSQ/edit?pli=1#gid=0"",""1_ACUM!A4:S""),11,FALSE))"),"")</f>
        <v/>
      </c>
      <c r="AW327" s="42" t="str">
        <f ca="1">IFERROR(__xludf.DUMMYFUNCTION("IFERROR(VLOOKUP(F344,IMPORTRANGE(""https://docs.google.com/spreadsheets/d/1Kvs4KS76FHFqLFIZfrDMff4kP08nblUkihrxltoGBjg/edit#gid=934712705"",""ESENCIAL!A6:BG""),15,FALSE))"),"")</f>
        <v/>
      </c>
      <c r="AX327" s="21" t="str">
        <f ca="1">IFERROR(__xludf.DUMMYFUNCTION("IFERROR(VLOOKUP(E344&amp;F344,IMPORTRANGE(""https://docs.google.com/spreadsheets/d/1Uw7-A9f9R21vMXxHZFNpYNeKFtG8_yji4HS352LGlSQ/edit?pli=1#gid=0"",""1_ACUM!A4:S""),12,FALSE))"),"")</f>
        <v/>
      </c>
      <c r="AY327" s="43" t="str">
        <f ca="1">IFERROR(__xludf.DUMMYFUNCTION("IFERROR(VLOOKUP(E344&amp;F344,IMPORTRANGE(""https://docs.google.com/spreadsheets/d/1Uw7-A9f9R21vMXxHZFNpYNeKFtG8_yji4HS352LGlSQ/edit?pli=1#gid=0"",""1_ACUM!A4:S""),13,FALSE))"),"")</f>
        <v/>
      </c>
      <c r="AZ327" s="43" t="str">
        <f ca="1">IFERROR(__xludf.DUMMYFUNCTION("IFERROR(VLOOKUP(E344&amp;F344,IMPORTRANGE(""https://docs.google.com/spreadsheets/d/1Uw7-A9f9R21vMXxHZFNpYNeKFtG8_yji4HS352LGlSQ/edit?pli=1#gid=0"",""1_ACUM!A4:S""),14,FALSE))"),"")</f>
        <v/>
      </c>
      <c r="BA327" s="43" t="str">
        <f ca="1">IFERROR(__xludf.DUMMYFUNCTION("IFERROR(VLOOKUP(E344&amp;F344,IMPORTRANGE(""https://docs.google.com/spreadsheets/d/1Uw7-A9f9R21vMXxHZFNpYNeKFtG8_yji4HS352LGlSQ/edit?pli=1#gid=0"",""1_ACUM!A4:S""),15,FALSE))"),"")</f>
        <v/>
      </c>
      <c r="BB327" s="43" t="str">
        <f ca="1">IFERROR(__xludf.DUMMYFUNCTION("IFERROR(VLOOKUP(E344&amp;F344,IMPORTRANGE(""https://docs.google.com/spreadsheets/d/1Uw7-A9f9R21vMXxHZFNpYNeKFtG8_yji4HS352LGlSQ/edit?pli=1#gid=0"",""1_ACUM!A4:S""),16,FALSE))"),"")</f>
        <v/>
      </c>
      <c r="BC327" s="43" t="str">
        <f ca="1">IFERROR(__xludf.DUMMYFUNCTION("IFERROR(VLOOKUP(E344&amp;F344,IMPORTRANGE(""https://docs.google.com/spreadsheets/d/1Uw7-A9f9R21vMXxHZFNpYNeKFtG8_yji4HS352LGlSQ/edit?pli=1#gid=0"",""1_ACUM!A4:S""),17,FALSE))"),"")</f>
        <v/>
      </c>
      <c r="BD327" s="44" t="str">
        <f ca="1">IFERROR(__xludf.DUMMYFUNCTION("IFERROR(VLOOKUP(E344&amp;F344,IMPORTRANGE(""https://docs.google.com/spreadsheets/d/1Uw7-A9f9R21vMXxHZFNpYNeKFtG8_yji4HS352LGlSQ/edit?pli=1#gid=0"",""1_ACUM!A4:S""),18,FALSE))"),"")</f>
        <v/>
      </c>
      <c r="BE327" s="44" t="str">
        <f ca="1">IFERROR(__xludf.DUMMYFUNCTION("IFERROR(VLOOKUP(E344&amp;F344,IMPORTRANGE(""https://docs.google.com/spreadsheets/d/1Uw7-A9f9R21vMXxHZFNpYNeKFtG8_yji4HS352LGlSQ/edit?pli=1#gid=0"",""1_ACUM!A4:S""),19,FALSE))"),"")</f>
        <v/>
      </c>
      <c r="BF327" s="44" t="str">
        <f ca="1">IFERROR(__xludf.DUMMYFUNCTION("IFERROR(VLOOKUP(F344,IMPORTRANGE(""https://docs.google.com/spreadsheets/d/1Kvs4KS76FHFqLFIZfrDMff4kP08nblUkihrxltoGBjg/edit#gid=934712705"",""ESENCIAL!A6:BG""),5,FALSE))"),"")</f>
        <v/>
      </c>
      <c r="BG327" s="44" t="str">
        <f t="shared" si="37"/>
        <v/>
      </c>
      <c r="BH327" s="41" t="str">
        <f t="shared" si="38"/>
        <v/>
      </c>
      <c r="BI327" s="41" t="str">
        <f ca="1">IFERROR(__xludf.DUMMYFUNCTION("IFERROR(VLOOKUP(F344,IMPORTRANGE(""https://docs.google.com/spreadsheets/d/1Kvs4KS76FHFqLFIZfrDMff4kP08nblUkihrxltoGBjg/edit#gid=934712705"",""ESENCIAL!A6:BG""),18,FALSE))"),"")</f>
        <v/>
      </c>
      <c r="BJ327" s="19" t="str">
        <f t="shared" si="39"/>
        <v/>
      </c>
      <c r="BK327" s="41"/>
      <c r="BL327" s="41"/>
    </row>
    <row r="328" spans="1:64" ht="15">
      <c r="A328" s="4"/>
      <c r="B328" s="4"/>
      <c r="G328" s="5" t="str">
        <f ca="1">IFERROR(__xludf.DUMMYFUNCTION("IFERROR(VLOOKUP(F345,IMPORTRANGE(""https://docs.google.com/spreadsheets/d/1Kvs4KS76FHFqLFIZfrDMff4kP08nblUkihrxltoGBjg/edit#gid=934712705"",""ESENCIAL!A6:BG""),3,FALSE))"),"")</f>
        <v/>
      </c>
      <c r="H328" s="5" t="str">
        <f ca="1">IFERROR(__xludf.DUMMYFUNCTION("IFERROR(VLOOKUP(F345,IMPORTRANGE(""https://docs.google.com/spreadsheets/d/1Kvs4KS76FHFqLFIZfrDMff4kP08nblUkihrxltoGBjg/edit#gid=934712705"",""ESENCIAL!A6:BG""),8,FALSE))"),"")</f>
        <v/>
      </c>
      <c r="L328" s="287"/>
      <c r="S328"/>
      <c r="AU328" s="41" t="str">
        <f t="shared" si="36"/>
        <v/>
      </c>
      <c r="AV328" s="5" t="str">
        <f ca="1">IFERROR(__xludf.DUMMYFUNCTION("IFERROR(VLOOKUP(E345&amp;F345,IMPORTRANGE(""https://docs.google.com/spreadsheets/d/1Uw7-A9f9R21vMXxHZFNpYNeKFtG8_yji4HS352LGlSQ/edit?pli=1#gid=0"",""1_ACUM!A4:S""),11,FALSE))"),"")</f>
        <v/>
      </c>
      <c r="AW328" s="42" t="str">
        <f ca="1">IFERROR(__xludf.DUMMYFUNCTION("IFERROR(VLOOKUP(F345,IMPORTRANGE(""https://docs.google.com/spreadsheets/d/1Kvs4KS76FHFqLFIZfrDMff4kP08nblUkihrxltoGBjg/edit#gid=934712705"",""ESENCIAL!A6:BG""),15,FALSE))"),"")</f>
        <v/>
      </c>
      <c r="AX328" s="21" t="str">
        <f ca="1">IFERROR(__xludf.DUMMYFUNCTION("IFERROR(VLOOKUP(E345&amp;F345,IMPORTRANGE(""https://docs.google.com/spreadsheets/d/1Uw7-A9f9R21vMXxHZFNpYNeKFtG8_yji4HS352LGlSQ/edit?pli=1#gid=0"",""1_ACUM!A4:S""),12,FALSE))"),"")</f>
        <v/>
      </c>
      <c r="AY328" s="43" t="str">
        <f ca="1">IFERROR(__xludf.DUMMYFUNCTION("IFERROR(VLOOKUP(E345&amp;F345,IMPORTRANGE(""https://docs.google.com/spreadsheets/d/1Uw7-A9f9R21vMXxHZFNpYNeKFtG8_yji4HS352LGlSQ/edit?pli=1#gid=0"",""1_ACUM!A4:S""),13,FALSE))"),"")</f>
        <v/>
      </c>
      <c r="AZ328" s="43" t="str">
        <f ca="1">IFERROR(__xludf.DUMMYFUNCTION("IFERROR(VLOOKUP(E345&amp;F345,IMPORTRANGE(""https://docs.google.com/spreadsheets/d/1Uw7-A9f9R21vMXxHZFNpYNeKFtG8_yji4HS352LGlSQ/edit?pli=1#gid=0"",""1_ACUM!A4:S""),14,FALSE))"),"")</f>
        <v/>
      </c>
      <c r="BA328" s="43" t="str">
        <f ca="1">IFERROR(__xludf.DUMMYFUNCTION("IFERROR(VLOOKUP(E345&amp;F345,IMPORTRANGE(""https://docs.google.com/spreadsheets/d/1Uw7-A9f9R21vMXxHZFNpYNeKFtG8_yji4HS352LGlSQ/edit?pli=1#gid=0"",""1_ACUM!A4:S""),15,FALSE))"),"")</f>
        <v/>
      </c>
      <c r="BB328" s="43" t="str">
        <f ca="1">IFERROR(__xludf.DUMMYFUNCTION("IFERROR(VLOOKUP(E345&amp;F345,IMPORTRANGE(""https://docs.google.com/spreadsheets/d/1Uw7-A9f9R21vMXxHZFNpYNeKFtG8_yji4HS352LGlSQ/edit?pli=1#gid=0"",""1_ACUM!A4:S""),16,FALSE))"),"")</f>
        <v/>
      </c>
      <c r="BC328" s="43" t="str">
        <f ca="1">IFERROR(__xludf.DUMMYFUNCTION("IFERROR(VLOOKUP(E345&amp;F345,IMPORTRANGE(""https://docs.google.com/spreadsheets/d/1Uw7-A9f9R21vMXxHZFNpYNeKFtG8_yji4HS352LGlSQ/edit?pli=1#gid=0"",""1_ACUM!A4:S""),17,FALSE))"),"")</f>
        <v/>
      </c>
      <c r="BD328" s="44" t="str">
        <f ca="1">IFERROR(__xludf.DUMMYFUNCTION("IFERROR(VLOOKUP(E345&amp;F345,IMPORTRANGE(""https://docs.google.com/spreadsheets/d/1Uw7-A9f9R21vMXxHZFNpYNeKFtG8_yji4HS352LGlSQ/edit?pli=1#gid=0"",""1_ACUM!A4:S""),18,FALSE))"),"")</f>
        <v/>
      </c>
      <c r="BE328" s="44" t="str">
        <f ca="1">IFERROR(__xludf.DUMMYFUNCTION("IFERROR(VLOOKUP(E345&amp;F345,IMPORTRANGE(""https://docs.google.com/spreadsheets/d/1Uw7-A9f9R21vMXxHZFNpYNeKFtG8_yji4HS352LGlSQ/edit?pli=1#gid=0"",""1_ACUM!A4:S""),19,FALSE))"),"")</f>
        <v/>
      </c>
      <c r="BF328" s="44" t="str">
        <f ca="1">IFERROR(__xludf.DUMMYFUNCTION("IFERROR(VLOOKUP(F345,IMPORTRANGE(""https://docs.google.com/spreadsheets/d/1Kvs4KS76FHFqLFIZfrDMff4kP08nblUkihrxltoGBjg/edit#gid=934712705"",""ESENCIAL!A6:BG""),5,FALSE))"),"")</f>
        <v/>
      </c>
      <c r="BG328" s="44" t="str">
        <f t="shared" si="37"/>
        <v/>
      </c>
      <c r="BH328" s="41" t="str">
        <f t="shared" si="38"/>
        <v/>
      </c>
      <c r="BI328" s="41" t="str">
        <f ca="1">IFERROR(__xludf.DUMMYFUNCTION("IFERROR(VLOOKUP(F345,IMPORTRANGE(""https://docs.google.com/spreadsheets/d/1Kvs4KS76FHFqLFIZfrDMff4kP08nblUkihrxltoGBjg/edit#gid=934712705"",""ESENCIAL!A6:BG""),18,FALSE))"),"")</f>
        <v/>
      </c>
      <c r="BJ328" s="19" t="str">
        <f t="shared" si="39"/>
        <v/>
      </c>
      <c r="BK328" s="41"/>
      <c r="BL328" s="41"/>
    </row>
    <row r="329" spans="1:64" ht="15">
      <c r="A329" s="4"/>
      <c r="B329" s="4"/>
      <c r="G329" s="5" t="str">
        <f ca="1">IFERROR(__xludf.DUMMYFUNCTION("IFERROR(VLOOKUP(F346,IMPORTRANGE(""https://docs.google.com/spreadsheets/d/1Kvs4KS76FHFqLFIZfrDMff4kP08nblUkihrxltoGBjg/edit#gid=934712705"",""ESENCIAL!A6:BG""),3,FALSE))"),"")</f>
        <v/>
      </c>
      <c r="H329" s="5" t="str">
        <f ca="1">IFERROR(__xludf.DUMMYFUNCTION("IFERROR(VLOOKUP(F346,IMPORTRANGE(""https://docs.google.com/spreadsheets/d/1Kvs4KS76FHFqLFIZfrDMff4kP08nblUkihrxltoGBjg/edit#gid=934712705"",""ESENCIAL!A6:BG""),8,FALSE))"),"")</f>
        <v/>
      </c>
      <c r="L329" s="287"/>
      <c r="S329"/>
      <c r="AU329" s="41" t="str">
        <f t="shared" si="36"/>
        <v/>
      </c>
      <c r="AV329" s="5" t="str">
        <f ca="1">IFERROR(__xludf.DUMMYFUNCTION("IFERROR(VLOOKUP(E346&amp;F346,IMPORTRANGE(""https://docs.google.com/spreadsheets/d/1Uw7-A9f9R21vMXxHZFNpYNeKFtG8_yji4HS352LGlSQ/edit?pli=1#gid=0"",""1_ACUM!A4:S""),11,FALSE))"),"")</f>
        <v/>
      </c>
      <c r="AW329" s="42" t="str">
        <f ca="1">IFERROR(__xludf.DUMMYFUNCTION("IFERROR(VLOOKUP(F346,IMPORTRANGE(""https://docs.google.com/spreadsheets/d/1Kvs4KS76FHFqLFIZfrDMff4kP08nblUkihrxltoGBjg/edit#gid=934712705"",""ESENCIAL!A6:BG""),15,FALSE))"),"")</f>
        <v/>
      </c>
      <c r="AX329" s="21" t="str">
        <f ca="1">IFERROR(__xludf.DUMMYFUNCTION("IFERROR(VLOOKUP(E346&amp;F346,IMPORTRANGE(""https://docs.google.com/spreadsheets/d/1Uw7-A9f9R21vMXxHZFNpYNeKFtG8_yji4HS352LGlSQ/edit?pli=1#gid=0"",""1_ACUM!A4:S""),12,FALSE))"),"")</f>
        <v/>
      </c>
      <c r="AY329" s="43" t="str">
        <f ca="1">IFERROR(__xludf.DUMMYFUNCTION("IFERROR(VLOOKUP(E346&amp;F346,IMPORTRANGE(""https://docs.google.com/spreadsheets/d/1Uw7-A9f9R21vMXxHZFNpYNeKFtG8_yji4HS352LGlSQ/edit?pli=1#gid=0"",""1_ACUM!A4:S""),13,FALSE))"),"")</f>
        <v/>
      </c>
      <c r="AZ329" s="43" t="str">
        <f ca="1">IFERROR(__xludf.DUMMYFUNCTION("IFERROR(VLOOKUP(E346&amp;F346,IMPORTRANGE(""https://docs.google.com/spreadsheets/d/1Uw7-A9f9R21vMXxHZFNpYNeKFtG8_yji4HS352LGlSQ/edit?pli=1#gid=0"",""1_ACUM!A4:S""),14,FALSE))"),"")</f>
        <v/>
      </c>
      <c r="BA329" s="43" t="str">
        <f ca="1">IFERROR(__xludf.DUMMYFUNCTION("IFERROR(VLOOKUP(E346&amp;F346,IMPORTRANGE(""https://docs.google.com/spreadsheets/d/1Uw7-A9f9R21vMXxHZFNpYNeKFtG8_yji4HS352LGlSQ/edit?pli=1#gid=0"",""1_ACUM!A4:S""),15,FALSE))"),"")</f>
        <v/>
      </c>
      <c r="BB329" s="43" t="str">
        <f ca="1">IFERROR(__xludf.DUMMYFUNCTION("IFERROR(VLOOKUP(E346&amp;F346,IMPORTRANGE(""https://docs.google.com/spreadsheets/d/1Uw7-A9f9R21vMXxHZFNpYNeKFtG8_yji4HS352LGlSQ/edit?pli=1#gid=0"",""1_ACUM!A4:S""),16,FALSE))"),"")</f>
        <v/>
      </c>
      <c r="BC329" s="43" t="str">
        <f ca="1">IFERROR(__xludf.DUMMYFUNCTION("IFERROR(VLOOKUP(E346&amp;F346,IMPORTRANGE(""https://docs.google.com/spreadsheets/d/1Uw7-A9f9R21vMXxHZFNpYNeKFtG8_yji4HS352LGlSQ/edit?pli=1#gid=0"",""1_ACUM!A4:S""),17,FALSE))"),"")</f>
        <v/>
      </c>
      <c r="BD329" s="44" t="str">
        <f ca="1">IFERROR(__xludf.DUMMYFUNCTION("IFERROR(VLOOKUP(E346&amp;F346,IMPORTRANGE(""https://docs.google.com/spreadsheets/d/1Uw7-A9f9R21vMXxHZFNpYNeKFtG8_yji4HS352LGlSQ/edit?pli=1#gid=0"",""1_ACUM!A4:S""),18,FALSE))"),"")</f>
        <v/>
      </c>
      <c r="BE329" s="44" t="str">
        <f ca="1">IFERROR(__xludf.DUMMYFUNCTION("IFERROR(VLOOKUP(E346&amp;F346,IMPORTRANGE(""https://docs.google.com/spreadsheets/d/1Uw7-A9f9R21vMXxHZFNpYNeKFtG8_yji4HS352LGlSQ/edit?pli=1#gid=0"",""1_ACUM!A4:S""),19,FALSE))"),"")</f>
        <v/>
      </c>
      <c r="BF329" s="44" t="str">
        <f ca="1">IFERROR(__xludf.DUMMYFUNCTION("IFERROR(VLOOKUP(F346,IMPORTRANGE(""https://docs.google.com/spreadsheets/d/1Kvs4KS76FHFqLFIZfrDMff4kP08nblUkihrxltoGBjg/edit#gid=934712705"",""ESENCIAL!A6:BG""),5,FALSE))"),"")</f>
        <v/>
      </c>
      <c r="BG329" s="44" t="str">
        <f t="shared" si="37"/>
        <v/>
      </c>
      <c r="BH329" s="41" t="str">
        <f t="shared" si="38"/>
        <v/>
      </c>
      <c r="BI329" s="41" t="str">
        <f ca="1">IFERROR(__xludf.DUMMYFUNCTION("IFERROR(VLOOKUP(F346,IMPORTRANGE(""https://docs.google.com/spreadsheets/d/1Kvs4KS76FHFqLFIZfrDMff4kP08nblUkihrxltoGBjg/edit#gid=934712705"",""ESENCIAL!A6:BG""),18,FALSE))"),"")</f>
        <v/>
      </c>
      <c r="BJ329" s="19" t="str">
        <f t="shared" si="39"/>
        <v/>
      </c>
      <c r="BK329" s="41"/>
      <c r="BL329" s="41"/>
    </row>
    <row r="330" spans="1:64" ht="15">
      <c r="A330" s="4"/>
      <c r="B330" s="4"/>
      <c r="G330" s="5" t="str">
        <f ca="1">IFERROR(__xludf.DUMMYFUNCTION("IFERROR(VLOOKUP(F347,IMPORTRANGE(""https://docs.google.com/spreadsheets/d/1Kvs4KS76FHFqLFIZfrDMff4kP08nblUkihrxltoGBjg/edit#gid=934712705"",""ESENCIAL!A6:BG""),3,FALSE))"),"")</f>
        <v/>
      </c>
      <c r="H330" s="5" t="str">
        <f ca="1">IFERROR(__xludf.DUMMYFUNCTION("IFERROR(VLOOKUP(F347,IMPORTRANGE(""https://docs.google.com/spreadsheets/d/1Kvs4KS76FHFqLFIZfrDMff4kP08nblUkihrxltoGBjg/edit#gid=934712705"",""ESENCIAL!A6:BG""),8,FALSE))"),"")</f>
        <v/>
      </c>
      <c r="L330" s="287"/>
      <c r="S330"/>
      <c r="AU330" s="41" t="str">
        <f t="shared" si="36"/>
        <v/>
      </c>
      <c r="AV330" s="5" t="str">
        <f ca="1">IFERROR(__xludf.DUMMYFUNCTION("IFERROR(VLOOKUP(E347&amp;F347,IMPORTRANGE(""https://docs.google.com/spreadsheets/d/1Uw7-A9f9R21vMXxHZFNpYNeKFtG8_yji4HS352LGlSQ/edit?pli=1#gid=0"",""1_ACUM!A4:S""),11,FALSE))"),"")</f>
        <v/>
      </c>
      <c r="AW330" s="42" t="str">
        <f ca="1">IFERROR(__xludf.DUMMYFUNCTION("IFERROR(VLOOKUP(F347,IMPORTRANGE(""https://docs.google.com/spreadsheets/d/1Kvs4KS76FHFqLFIZfrDMff4kP08nblUkihrxltoGBjg/edit#gid=934712705"",""ESENCIAL!A6:BG""),15,FALSE))"),"")</f>
        <v/>
      </c>
      <c r="AX330" s="21" t="str">
        <f ca="1">IFERROR(__xludf.DUMMYFUNCTION("IFERROR(VLOOKUP(E347&amp;F347,IMPORTRANGE(""https://docs.google.com/spreadsheets/d/1Uw7-A9f9R21vMXxHZFNpYNeKFtG8_yji4HS352LGlSQ/edit?pli=1#gid=0"",""1_ACUM!A4:S""),12,FALSE))"),"")</f>
        <v/>
      </c>
      <c r="AY330" s="43" t="str">
        <f ca="1">IFERROR(__xludf.DUMMYFUNCTION("IFERROR(VLOOKUP(E347&amp;F347,IMPORTRANGE(""https://docs.google.com/spreadsheets/d/1Uw7-A9f9R21vMXxHZFNpYNeKFtG8_yji4HS352LGlSQ/edit?pli=1#gid=0"",""1_ACUM!A4:S""),13,FALSE))"),"")</f>
        <v/>
      </c>
      <c r="AZ330" s="43" t="str">
        <f ca="1">IFERROR(__xludf.DUMMYFUNCTION("IFERROR(VLOOKUP(E347&amp;F347,IMPORTRANGE(""https://docs.google.com/spreadsheets/d/1Uw7-A9f9R21vMXxHZFNpYNeKFtG8_yji4HS352LGlSQ/edit?pli=1#gid=0"",""1_ACUM!A4:S""),14,FALSE))"),"")</f>
        <v/>
      </c>
      <c r="BA330" s="43" t="str">
        <f ca="1">IFERROR(__xludf.DUMMYFUNCTION("IFERROR(VLOOKUP(E347&amp;F347,IMPORTRANGE(""https://docs.google.com/spreadsheets/d/1Uw7-A9f9R21vMXxHZFNpYNeKFtG8_yji4HS352LGlSQ/edit?pli=1#gid=0"",""1_ACUM!A4:S""),15,FALSE))"),"")</f>
        <v/>
      </c>
      <c r="BB330" s="43" t="str">
        <f ca="1">IFERROR(__xludf.DUMMYFUNCTION("IFERROR(VLOOKUP(E347&amp;F347,IMPORTRANGE(""https://docs.google.com/spreadsheets/d/1Uw7-A9f9R21vMXxHZFNpYNeKFtG8_yji4HS352LGlSQ/edit?pli=1#gid=0"",""1_ACUM!A4:S""),16,FALSE))"),"")</f>
        <v/>
      </c>
      <c r="BC330" s="43" t="str">
        <f ca="1">IFERROR(__xludf.DUMMYFUNCTION("IFERROR(VLOOKUP(E347&amp;F347,IMPORTRANGE(""https://docs.google.com/spreadsheets/d/1Uw7-A9f9R21vMXxHZFNpYNeKFtG8_yji4HS352LGlSQ/edit?pli=1#gid=0"",""1_ACUM!A4:S""),17,FALSE))"),"")</f>
        <v/>
      </c>
      <c r="BD330" s="44" t="str">
        <f ca="1">IFERROR(__xludf.DUMMYFUNCTION("IFERROR(VLOOKUP(E347&amp;F347,IMPORTRANGE(""https://docs.google.com/spreadsheets/d/1Uw7-A9f9R21vMXxHZFNpYNeKFtG8_yji4HS352LGlSQ/edit?pli=1#gid=0"",""1_ACUM!A4:S""),18,FALSE))"),"")</f>
        <v/>
      </c>
      <c r="BE330" s="44" t="str">
        <f ca="1">IFERROR(__xludf.DUMMYFUNCTION("IFERROR(VLOOKUP(E347&amp;F347,IMPORTRANGE(""https://docs.google.com/spreadsheets/d/1Uw7-A9f9R21vMXxHZFNpYNeKFtG8_yji4HS352LGlSQ/edit?pli=1#gid=0"",""1_ACUM!A4:S""),19,FALSE))"),"")</f>
        <v/>
      </c>
      <c r="BF330" s="44" t="str">
        <f ca="1">IFERROR(__xludf.DUMMYFUNCTION("IFERROR(VLOOKUP(F347,IMPORTRANGE(""https://docs.google.com/spreadsheets/d/1Kvs4KS76FHFqLFIZfrDMff4kP08nblUkihrxltoGBjg/edit#gid=934712705"",""ESENCIAL!A6:BG""),5,FALSE))"),"")</f>
        <v/>
      </c>
      <c r="BG330" s="44" t="str">
        <f t="shared" si="37"/>
        <v/>
      </c>
      <c r="BH330" s="41" t="str">
        <f t="shared" si="38"/>
        <v/>
      </c>
      <c r="BI330" s="41" t="str">
        <f ca="1">IFERROR(__xludf.DUMMYFUNCTION("IFERROR(VLOOKUP(F347,IMPORTRANGE(""https://docs.google.com/spreadsheets/d/1Kvs4KS76FHFqLFIZfrDMff4kP08nblUkihrxltoGBjg/edit#gid=934712705"",""ESENCIAL!A6:BG""),18,FALSE))"),"")</f>
        <v/>
      </c>
      <c r="BJ330" s="19" t="str">
        <f t="shared" si="39"/>
        <v/>
      </c>
      <c r="BK330" s="41"/>
      <c r="BL330" s="41"/>
    </row>
    <row r="331" spans="1:64" ht="15">
      <c r="A331" s="4"/>
      <c r="B331" s="4"/>
      <c r="G331" s="5" t="str">
        <f ca="1">IFERROR(__xludf.DUMMYFUNCTION("IFERROR(VLOOKUP(F348,IMPORTRANGE(""https://docs.google.com/spreadsheets/d/1Kvs4KS76FHFqLFIZfrDMff4kP08nblUkihrxltoGBjg/edit#gid=934712705"",""ESENCIAL!A6:BG""),3,FALSE))"),"")</f>
        <v/>
      </c>
      <c r="H331" s="5" t="str">
        <f ca="1">IFERROR(__xludf.DUMMYFUNCTION("IFERROR(VLOOKUP(F348,IMPORTRANGE(""https://docs.google.com/spreadsheets/d/1Kvs4KS76FHFqLFIZfrDMff4kP08nblUkihrxltoGBjg/edit#gid=934712705"",""ESENCIAL!A6:BG""),8,FALSE))"),"")</f>
        <v/>
      </c>
      <c r="L331" s="287"/>
      <c r="S331"/>
      <c r="AU331" s="41" t="str">
        <f t="shared" si="36"/>
        <v/>
      </c>
      <c r="AV331" s="5" t="str">
        <f ca="1">IFERROR(__xludf.DUMMYFUNCTION("IFERROR(VLOOKUP(E348&amp;F348,IMPORTRANGE(""https://docs.google.com/spreadsheets/d/1Uw7-A9f9R21vMXxHZFNpYNeKFtG8_yji4HS352LGlSQ/edit?pli=1#gid=0"",""1_ACUM!A4:S""),11,FALSE))"),"")</f>
        <v/>
      </c>
      <c r="AW331" s="42" t="str">
        <f ca="1">IFERROR(__xludf.DUMMYFUNCTION("IFERROR(VLOOKUP(F348,IMPORTRANGE(""https://docs.google.com/spreadsheets/d/1Kvs4KS76FHFqLFIZfrDMff4kP08nblUkihrxltoGBjg/edit#gid=934712705"",""ESENCIAL!A6:BG""),15,FALSE))"),"")</f>
        <v/>
      </c>
      <c r="AX331" s="21" t="str">
        <f ca="1">IFERROR(__xludf.DUMMYFUNCTION("IFERROR(VLOOKUP(E348&amp;F348,IMPORTRANGE(""https://docs.google.com/spreadsheets/d/1Uw7-A9f9R21vMXxHZFNpYNeKFtG8_yji4HS352LGlSQ/edit?pli=1#gid=0"",""1_ACUM!A4:S""),12,FALSE))"),"")</f>
        <v/>
      </c>
      <c r="AY331" s="43" t="str">
        <f ca="1">IFERROR(__xludf.DUMMYFUNCTION("IFERROR(VLOOKUP(E348&amp;F348,IMPORTRANGE(""https://docs.google.com/spreadsheets/d/1Uw7-A9f9R21vMXxHZFNpYNeKFtG8_yji4HS352LGlSQ/edit?pli=1#gid=0"",""1_ACUM!A4:S""),13,FALSE))"),"")</f>
        <v/>
      </c>
      <c r="AZ331" s="43" t="str">
        <f ca="1">IFERROR(__xludf.DUMMYFUNCTION("IFERROR(VLOOKUP(E348&amp;F348,IMPORTRANGE(""https://docs.google.com/spreadsheets/d/1Uw7-A9f9R21vMXxHZFNpYNeKFtG8_yji4HS352LGlSQ/edit?pli=1#gid=0"",""1_ACUM!A4:S""),14,FALSE))"),"")</f>
        <v/>
      </c>
      <c r="BA331" s="43" t="str">
        <f ca="1">IFERROR(__xludf.DUMMYFUNCTION("IFERROR(VLOOKUP(E348&amp;F348,IMPORTRANGE(""https://docs.google.com/spreadsheets/d/1Uw7-A9f9R21vMXxHZFNpYNeKFtG8_yji4HS352LGlSQ/edit?pli=1#gid=0"",""1_ACUM!A4:S""),15,FALSE))"),"")</f>
        <v/>
      </c>
      <c r="BB331" s="43" t="str">
        <f ca="1">IFERROR(__xludf.DUMMYFUNCTION("IFERROR(VLOOKUP(E348&amp;F348,IMPORTRANGE(""https://docs.google.com/spreadsheets/d/1Uw7-A9f9R21vMXxHZFNpYNeKFtG8_yji4HS352LGlSQ/edit?pli=1#gid=0"",""1_ACUM!A4:S""),16,FALSE))"),"")</f>
        <v/>
      </c>
      <c r="BC331" s="43" t="str">
        <f ca="1">IFERROR(__xludf.DUMMYFUNCTION("IFERROR(VLOOKUP(E348&amp;F348,IMPORTRANGE(""https://docs.google.com/spreadsheets/d/1Uw7-A9f9R21vMXxHZFNpYNeKFtG8_yji4HS352LGlSQ/edit?pli=1#gid=0"",""1_ACUM!A4:S""),17,FALSE))"),"")</f>
        <v/>
      </c>
      <c r="BD331" s="44" t="str">
        <f ca="1">IFERROR(__xludf.DUMMYFUNCTION("IFERROR(VLOOKUP(E348&amp;F348,IMPORTRANGE(""https://docs.google.com/spreadsheets/d/1Uw7-A9f9R21vMXxHZFNpYNeKFtG8_yji4HS352LGlSQ/edit?pli=1#gid=0"",""1_ACUM!A4:S""),18,FALSE))"),"")</f>
        <v/>
      </c>
      <c r="BE331" s="44" t="str">
        <f ca="1">IFERROR(__xludf.DUMMYFUNCTION("IFERROR(VLOOKUP(E348&amp;F348,IMPORTRANGE(""https://docs.google.com/spreadsheets/d/1Uw7-A9f9R21vMXxHZFNpYNeKFtG8_yji4HS352LGlSQ/edit?pli=1#gid=0"",""1_ACUM!A4:S""),19,FALSE))"),"")</f>
        <v/>
      </c>
      <c r="BF331" s="44" t="str">
        <f ca="1">IFERROR(__xludf.DUMMYFUNCTION("IFERROR(VLOOKUP(F348,IMPORTRANGE(""https://docs.google.com/spreadsheets/d/1Kvs4KS76FHFqLFIZfrDMff4kP08nblUkihrxltoGBjg/edit#gid=934712705"",""ESENCIAL!A6:BG""),5,FALSE))"),"")</f>
        <v/>
      </c>
      <c r="BG331" s="44" t="str">
        <f t="shared" si="37"/>
        <v/>
      </c>
      <c r="BH331" s="41" t="str">
        <f t="shared" si="38"/>
        <v/>
      </c>
      <c r="BI331" s="41" t="str">
        <f ca="1">IFERROR(__xludf.DUMMYFUNCTION("IFERROR(VLOOKUP(F348,IMPORTRANGE(""https://docs.google.com/spreadsheets/d/1Kvs4KS76FHFqLFIZfrDMff4kP08nblUkihrxltoGBjg/edit#gid=934712705"",""ESENCIAL!A6:BG""),18,FALSE))"),"")</f>
        <v/>
      </c>
      <c r="BJ331" s="19" t="str">
        <f t="shared" si="39"/>
        <v/>
      </c>
      <c r="BK331" s="41"/>
      <c r="BL331" s="41"/>
    </row>
    <row r="332" spans="1:64" ht="15">
      <c r="A332" s="4"/>
      <c r="B332" s="4"/>
      <c r="G332" s="5" t="str">
        <f ca="1">IFERROR(__xludf.DUMMYFUNCTION("IFERROR(VLOOKUP(F349,IMPORTRANGE(""https://docs.google.com/spreadsheets/d/1Kvs4KS76FHFqLFIZfrDMff4kP08nblUkihrxltoGBjg/edit#gid=934712705"",""ESENCIAL!A6:BG""),3,FALSE))"),"")</f>
        <v/>
      </c>
      <c r="H332" s="5" t="str">
        <f ca="1">IFERROR(__xludf.DUMMYFUNCTION("IFERROR(VLOOKUP(F349,IMPORTRANGE(""https://docs.google.com/spreadsheets/d/1Kvs4KS76FHFqLFIZfrDMff4kP08nblUkihrxltoGBjg/edit#gid=934712705"",""ESENCIAL!A6:BG""),8,FALSE))"),"")</f>
        <v/>
      </c>
      <c r="L332" s="287"/>
      <c r="S332"/>
      <c r="AU332" s="41" t="str">
        <f t="shared" si="36"/>
        <v/>
      </c>
      <c r="AV332" s="5" t="str">
        <f ca="1">IFERROR(__xludf.DUMMYFUNCTION("IFERROR(VLOOKUP(E349&amp;F349,IMPORTRANGE(""https://docs.google.com/spreadsheets/d/1Uw7-A9f9R21vMXxHZFNpYNeKFtG8_yji4HS352LGlSQ/edit?pli=1#gid=0"",""1_ACUM!A4:S""),11,FALSE))"),"")</f>
        <v/>
      </c>
      <c r="AW332" s="42" t="str">
        <f ca="1">IFERROR(__xludf.DUMMYFUNCTION("IFERROR(VLOOKUP(F349,IMPORTRANGE(""https://docs.google.com/spreadsheets/d/1Kvs4KS76FHFqLFIZfrDMff4kP08nblUkihrxltoGBjg/edit#gid=934712705"",""ESENCIAL!A6:BG""),15,FALSE))"),"")</f>
        <v/>
      </c>
      <c r="AX332" s="21" t="str">
        <f ca="1">IFERROR(__xludf.DUMMYFUNCTION("IFERROR(VLOOKUP(E349&amp;F349,IMPORTRANGE(""https://docs.google.com/spreadsheets/d/1Uw7-A9f9R21vMXxHZFNpYNeKFtG8_yji4HS352LGlSQ/edit?pli=1#gid=0"",""1_ACUM!A4:S""),12,FALSE))"),"")</f>
        <v/>
      </c>
      <c r="AY332" s="43" t="str">
        <f ca="1">IFERROR(__xludf.DUMMYFUNCTION("IFERROR(VLOOKUP(E349&amp;F349,IMPORTRANGE(""https://docs.google.com/spreadsheets/d/1Uw7-A9f9R21vMXxHZFNpYNeKFtG8_yji4HS352LGlSQ/edit?pli=1#gid=0"",""1_ACUM!A4:S""),13,FALSE))"),"")</f>
        <v/>
      </c>
      <c r="AZ332" s="43" t="str">
        <f ca="1">IFERROR(__xludf.DUMMYFUNCTION("IFERROR(VLOOKUP(E349&amp;F349,IMPORTRANGE(""https://docs.google.com/spreadsheets/d/1Uw7-A9f9R21vMXxHZFNpYNeKFtG8_yji4HS352LGlSQ/edit?pli=1#gid=0"",""1_ACUM!A4:S""),14,FALSE))"),"")</f>
        <v/>
      </c>
      <c r="BA332" s="43" t="str">
        <f ca="1">IFERROR(__xludf.DUMMYFUNCTION("IFERROR(VLOOKUP(E349&amp;F349,IMPORTRANGE(""https://docs.google.com/spreadsheets/d/1Uw7-A9f9R21vMXxHZFNpYNeKFtG8_yji4HS352LGlSQ/edit?pli=1#gid=0"",""1_ACUM!A4:S""),15,FALSE))"),"")</f>
        <v/>
      </c>
      <c r="BB332" s="43" t="str">
        <f ca="1">IFERROR(__xludf.DUMMYFUNCTION("IFERROR(VLOOKUP(E349&amp;F349,IMPORTRANGE(""https://docs.google.com/spreadsheets/d/1Uw7-A9f9R21vMXxHZFNpYNeKFtG8_yji4HS352LGlSQ/edit?pli=1#gid=0"",""1_ACUM!A4:S""),16,FALSE))"),"")</f>
        <v/>
      </c>
      <c r="BC332" s="43" t="str">
        <f ca="1">IFERROR(__xludf.DUMMYFUNCTION("IFERROR(VLOOKUP(E349&amp;F349,IMPORTRANGE(""https://docs.google.com/spreadsheets/d/1Uw7-A9f9R21vMXxHZFNpYNeKFtG8_yji4HS352LGlSQ/edit?pli=1#gid=0"",""1_ACUM!A4:S""),17,FALSE))"),"")</f>
        <v/>
      </c>
      <c r="BD332" s="44" t="str">
        <f ca="1">IFERROR(__xludf.DUMMYFUNCTION("IFERROR(VLOOKUP(E349&amp;F349,IMPORTRANGE(""https://docs.google.com/spreadsheets/d/1Uw7-A9f9R21vMXxHZFNpYNeKFtG8_yji4HS352LGlSQ/edit?pli=1#gid=0"",""1_ACUM!A4:S""),18,FALSE))"),"")</f>
        <v/>
      </c>
      <c r="BE332" s="44" t="str">
        <f ca="1">IFERROR(__xludf.DUMMYFUNCTION("IFERROR(VLOOKUP(E349&amp;F349,IMPORTRANGE(""https://docs.google.com/spreadsheets/d/1Uw7-A9f9R21vMXxHZFNpYNeKFtG8_yji4HS352LGlSQ/edit?pli=1#gid=0"",""1_ACUM!A4:S""),19,FALSE))"),"")</f>
        <v/>
      </c>
      <c r="BF332" s="44" t="str">
        <f ca="1">IFERROR(__xludf.DUMMYFUNCTION("IFERROR(VLOOKUP(F349,IMPORTRANGE(""https://docs.google.com/spreadsheets/d/1Kvs4KS76FHFqLFIZfrDMff4kP08nblUkihrxltoGBjg/edit#gid=934712705"",""ESENCIAL!A6:BG""),5,FALSE))"),"")</f>
        <v/>
      </c>
      <c r="BG332" s="44" t="str">
        <f t="shared" si="37"/>
        <v/>
      </c>
      <c r="BH332" s="41" t="str">
        <f t="shared" si="38"/>
        <v/>
      </c>
      <c r="BI332" s="41" t="str">
        <f ca="1">IFERROR(__xludf.DUMMYFUNCTION("IFERROR(VLOOKUP(F349,IMPORTRANGE(""https://docs.google.com/spreadsheets/d/1Kvs4KS76FHFqLFIZfrDMff4kP08nblUkihrxltoGBjg/edit#gid=934712705"",""ESENCIAL!A6:BG""),18,FALSE))"),"")</f>
        <v/>
      </c>
      <c r="BJ332" s="19" t="str">
        <f t="shared" si="39"/>
        <v/>
      </c>
      <c r="BK332" s="41"/>
      <c r="BL332" s="41"/>
    </row>
    <row r="333" spans="1:64" ht="15">
      <c r="A333" s="4"/>
      <c r="B333" s="4"/>
      <c r="G333" s="5" t="str">
        <f ca="1">IFERROR(__xludf.DUMMYFUNCTION("IFERROR(VLOOKUP(F350,IMPORTRANGE(""https://docs.google.com/spreadsheets/d/1Kvs4KS76FHFqLFIZfrDMff4kP08nblUkihrxltoGBjg/edit#gid=934712705"",""ESENCIAL!A6:BG""),3,FALSE))"),"")</f>
        <v/>
      </c>
      <c r="H333" s="5" t="str">
        <f ca="1">IFERROR(__xludf.DUMMYFUNCTION("IFERROR(VLOOKUP(F350,IMPORTRANGE(""https://docs.google.com/spreadsheets/d/1Kvs4KS76FHFqLFIZfrDMff4kP08nblUkihrxltoGBjg/edit#gid=934712705"",""ESENCIAL!A6:BG""),8,FALSE))"),"")</f>
        <v/>
      </c>
      <c r="L333" s="287"/>
      <c r="S333"/>
      <c r="AU333" s="41" t="str">
        <f t="shared" si="36"/>
        <v/>
      </c>
      <c r="AV333" s="5" t="str">
        <f ca="1">IFERROR(__xludf.DUMMYFUNCTION("IFERROR(VLOOKUP(E350&amp;F350,IMPORTRANGE(""https://docs.google.com/spreadsheets/d/1Uw7-A9f9R21vMXxHZFNpYNeKFtG8_yji4HS352LGlSQ/edit?pli=1#gid=0"",""1_ACUM!A4:S""),11,FALSE))"),"")</f>
        <v/>
      </c>
      <c r="AW333" s="42" t="str">
        <f ca="1">IFERROR(__xludf.DUMMYFUNCTION("IFERROR(VLOOKUP(F350,IMPORTRANGE(""https://docs.google.com/spreadsheets/d/1Kvs4KS76FHFqLFIZfrDMff4kP08nblUkihrxltoGBjg/edit#gid=934712705"",""ESENCIAL!A6:BG""),15,FALSE))"),"")</f>
        <v/>
      </c>
      <c r="AX333" s="21" t="str">
        <f ca="1">IFERROR(__xludf.DUMMYFUNCTION("IFERROR(VLOOKUP(E350&amp;F350,IMPORTRANGE(""https://docs.google.com/spreadsheets/d/1Uw7-A9f9R21vMXxHZFNpYNeKFtG8_yji4HS352LGlSQ/edit?pli=1#gid=0"",""1_ACUM!A4:S""),12,FALSE))"),"")</f>
        <v/>
      </c>
      <c r="AY333" s="43" t="str">
        <f ca="1">IFERROR(__xludf.DUMMYFUNCTION("IFERROR(VLOOKUP(E350&amp;F350,IMPORTRANGE(""https://docs.google.com/spreadsheets/d/1Uw7-A9f9R21vMXxHZFNpYNeKFtG8_yji4HS352LGlSQ/edit?pli=1#gid=0"",""1_ACUM!A4:S""),13,FALSE))"),"")</f>
        <v/>
      </c>
      <c r="AZ333" s="43" t="str">
        <f ca="1">IFERROR(__xludf.DUMMYFUNCTION("IFERROR(VLOOKUP(E350&amp;F350,IMPORTRANGE(""https://docs.google.com/spreadsheets/d/1Uw7-A9f9R21vMXxHZFNpYNeKFtG8_yji4HS352LGlSQ/edit?pli=1#gid=0"",""1_ACUM!A4:S""),14,FALSE))"),"")</f>
        <v/>
      </c>
      <c r="BA333" s="43" t="str">
        <f ca="1">IFERROR(__xludf.DUMMYFUNCTION("IFERROR(VLOOKUP(E350&amp;F350,IMPORTRANGE(""https://docs.google.com/spreadsheets/d/1Uw7-A9f9R21vMXxHZFNpYNeKFtG8_yji4HS352LGlSQ/edit?pli=1#gid=0"",""1_ACUM!A4:S""),15,FALSE))"),"")</f>
        <v/>
      </c>
      <c r="BB333" s="43" t="str">
        <f ca="1">IFERROR(__xludf.DUMMYFUNCTION("IFERROR(VLOOKUP(E350&amp;F350,IMPORTRANGE(""https://docs.google.com/spreadsheets/d/1Uw7-A9f9R21vMXxHZFNpYNeKFtG8_yji4HS352LGlSQ/edit?pli=1#gid=0"",""1_ACUM!A4:S""),16,FALSE))"),"")</f>
        <v/>
      </c>
      <c r="BC333" s="43" t="str">
        <f ca="1">IFERROR(__xludf.DUMMYFUNCTION("IFERROR(VLOOKUP(E350&amp;F350,IMPORTRANGE(""https://docs.google.com/spreadsheets/d/1Uw7-A9f9R21vMXxHZFNpYNeKFtG8_yji4HS352LGlSQ/edit?pli=1#gid=0"",""1_ACUM!A4:S""),17,FALSE))"),"")</f>
        <v/>
      </c>
      <c r="BD333" s="44" t="str">
        <f ca="1">IFERROR(__xludf.DUMMYFUNCTION("IFERROR(VLOOKUP(E350&amp;F350,IMPORTRANGE(""https://docs.google.com/spreadsheets/d/1Uw7-A9f9R21vMXxHZFNpYNeKFtG8_yji4HS352LGlSQ/edit?pli=1#gid=0"",""1_ACUM!A4:S""),18,FALSE))"),"")</f>
        <v/>
      </c>
      <c r="BE333" s="44" t="str">
        <f ca="1">IFERROR(__xludf.DUMMYFUNCTION("IFERROR(VLOOKUP(E350&amp;F350,IMPORTRANGE(""https://docs.google.com/spreadsheets/d/1Uw7-A9f9R21vMXxHZFNpYNeKFtG8_yji4HS352LGlSQ/edit?pli=1#gid=0"",""1_ACUM!A4:S""),19,FALSE))"),"")</f>
        <v/>
      </c>
      <c r="BF333" s="44" t="str">
        <f ca="1">IFERROR(__xludf.DUMMYFUNCTION("IFERROR(VLOOKUP(F350,IMPORTRANGE(""https://docs.google.com/spreadsheets/d/1Kvs4KS76FHFqLFIZfrDMff4kP08nblUkihrxltoGBjg/edit#gid=934712705"",""ESENCIAL!A6:BG""),5,FALSE))"),"")</f>
        <v/>
      </c>
      <c r="BG333" s="44" t="str">
        <f t="shared" si="37"/>
        <v/>
      </c>
      <c r="BH333" s="41" t="str">
        <f t="shared" si="38"/>
        <v/>
      </c>
      <c r="BI333" s="41" t="str">
        <f ca="1">IFERROR(__xludf.DUMMYFUNCTION("IFERROR(VLOOKUP(F350,IMPORTRANGE(""https://docs.google.com/spreadsheets/d/1Kvs4KS76FHFqLFIZfrDMff4kP08nblUkihrxltoGBjg/edit#gid=934712705"",""ESENCIAL!A6:BG""),18,FALSE))"),"")</f>
        <v/>
      </c>
      <c r="BJ333" s="19" t="str">
        <f t="shared" si="39"/>
        <v/>
      </c>
      <c r="BK333" s="41"/>
      <c r="BL333" s="41"/>
    </row>
    <row r="334" spans="1:64" ht="15">
      <c r="A334" s="4"/>
      <c r="B334" s="4"/>
      <c r="G334" s="5" t="str">
        <f ca="1">IFERROR(__xludf.DUMMYFUNCTION("IFERROR(VLOOKUP(F351,IMPORTRANGE(""https://docs.google.com/spreadsheets/d/1Kvs4KS76FHFqLFIZfrDMff4kP08nblUkihrxltoGBjg/edit#gid=934712705"",""ESENCIAL!A6:BG""),3,FALSE))"),"")</f>
        <v/>
      </c>
      <c r="H334" s="5" t="str">
        <f ca="1">IFERROR(__xludf.DUMMYFUNCTION("IFERROR(VLOOKUP(F351,IMPORTRANGE(""https://docs.google.com/spreadsheets/d/1Kvs4KS76FHFqLFIZfrDMff4kP08nblUkihrxltoGBjg/edit#gid=934712705"",""ESENCIAL!A6:BG""),8,FALSE))"),"")</f>
        <v/>
      </c>
      <c r="L334" s="287"/>
      <c r="S334"/>
      <c r="AU334" s="41" t="str">
        <f t="shared" si="36"/>
        <v/>
      </c>
      <c r="AV334" s="5" t="str">
        <f ca="1">IFERROR(__xludf.DUMMYFUNCTION("IFERROR(VLOOKUP(E351&amp;F351,IMPORTRANGE(""https://docs.google.com/spreadsheets/d/1Uw7-A9f9R21vMXxHZFNpYNeKFtG8_yji4HS352LGlSQ/edit?pli=1#gid=0"",""1_ACUM!A4:S""),11,FALSE))"),"")</f>
        <v/>
      </c>
      <c r="AW334" s="42" t="str">
        <f ca="1">IFERROR(__xludf.DUMMYFUNCTION("IFERROR(VLOOKUP(F351,IMPORTRANGE(""https://docs.google.com/spreadsheets/d/1Kvs4KS76FHFqLFIZfrDMff4kP08nblUkihrxltoGBjg/edit#gid=934712705"",""ESENCIAL!A6:BG""),15,FALSE))"),"")</f>
        <v/>
      </c>
      <c r="AX334" s="21" t="str">
        <f ca="1">IFERROR(__xludf.DUMMYFUNCTION("IFERROR(VLOOKUP(E351&amp;F351,IMPORTRANGE(""https://docs.google.com/spreadsheets/d/1Uw7-A9f9R21vMXxHZFNpYNeKFtG8_yji4HS352LGlSQ/edit?pli=1#gid=0"",""1_ACUM!A4:S""),12,FALSE))"),"")</f>
        <v/>
      </c>
      <c r="AY334" s="43" t="str">
        <f ca="1">IFERROR(__xludf.DUMMYFUNCTION("IFERROR(VLOOKUP(E351&amp;F351,IMPORTRANGE(""https://docs.google.com/spreadsheets/d/1Uw7-A9f9R21vMXxHZFNpYNeKFtG8_yji4HS352LGlSQ/edit?pli=1#gid=0"",""1_ACUM!A4:S""),13,FALSE))"),"")</f>
        <v/>
      </c>
      <c r="AZ334" s="43" t="str">
        <f ca="1">IFERROR(__xludf.DUMMYFUNCTION("IFERROR(VLOOKUP(E351&amp;F351,IMPORTRANGE(""https://docs.google.com/spreadsheets/d/1Uw7-A9f9R21vMXxHZFNpYNeKFtG8_yji4HS352LGlSQ/edit?pli=1#gid=0"",""1_ACUM!A4:S""),14,FALSE))"),"")</f>
        <v/>
      </c>
      <c r="BA334" s="43" t="str">
        <f ca="1">IFERROR(__xludf.DUMMYFUNCTION("IFERROR(VLOOKUP(E351&amp;F351,IMPORTRANGE(""https://docs.google.com/spreadsheets/d/1Uw7-A9f9R21vMXxHZFNpYNeKFtG8_yji4HS352LGlSQ/edit?pli=1#gid=0"",""1_ACUM!A4:S""),15,FALSE))"),"")</f>
        <v/>
      </c>
      <c r="BB334" s="43" t="str">
        <f ca="1">IFERROR(__xludf.DUMMYFUNCTION("IFERROR(VLOOKUP(E351&amp;F351,IMPORTRANGE(""https://docs.google.com/spreadsheets/d/1Uw7-A9f9R21vMXxHZFNpYNeKFtG8_yji4HS352LGlSQ/edit?pli=1#gid=0"",""1_ACUM!A4:S""),16,FALSE))"),"")</f>
        <v/>
      </c>
      <c r="BC334" s="43" t="str">
        <f ca="1">IFERROR(__xludf.DUMMYFUNCTION("IFERROR(VLOOKUP(E351&amp;F351,IMPORTRANGE(""https://docs.google.com/spreadsheets/d/1Uw7-A9f9R21vMXxHZFNpYNeKFtG8_yji4HS352LGlSQ/edit?pli=1#gid=0"",""1_ACUM!A4:S""),17,FALSE))"),"")</f>
        <v/>
      </c>
      <c r="BD334" s="44" t="str">
        <f ca="1">IFERROR(__xludf.DUMMYFUNCTION("IFERROR(VLOOKUP(E351&amp;F351,IMPORTRANGE(""https://docs.google.com/spreadsheets/d/1Uw7-A9f9R21vMXxHZFNpYNeKFtG8_yji4HS352LGlSQ/edit?pli=1#gid=0"",""1_ACUM!A4:S""),18,FALSE))"),"")</f>
        <v/>
      </c>
      <c r="BE334" s="44" t="str">
        <f ca="1">IFERROR(__xludf.DUMMYFUNCTION("IFERROR(VLOOKUP(E351&amp;F351,IMPORTRANGE(""https://docs.google.com/spreadsheets/d/1Uw7-A9f9R21vMXxHZFNpYNeKFtG8_yji4HS352LGlSQ/edit?pli=1#gid=0"",""1_ACUM!A4:S""),19,FALSE))"),"")</f>
        <v/>
      </c>
      <c r="BF334" s="44" t="str">
        <f ca="1">IFERROR(__xludf.DUMMYFUNCTION("IFERROR(VLOOKUP(F351,IMPORTRANGE(""https://docs.google.com/spreadsheets/d/1Kvs4KS76FHFqLFIZfrDMff4kP08nblUkihrxltoGBjg/edit#gid=934712705"",""ESENCIAL!A6:BG""),5,FALSE))"),"")</f>
        <v/>
      </c>
      <c r="BG334" s="44" t="str">
        <f t="shared" si="37"/>
        <v/>
      </c>
      <c r="BH334" s="41" t="str">
        <f t="shared" si="38"/>
        <v/>
      </c>
      <c r="BI334" s="41" t="str">
        <f ca="1">IFERROR(__xludf.DUMMYFUNCTION("IFERROR(VLOOKUP(F351,IMPORTRANGE(""https://docs.google.com/spreadsheets/d/1Kvs4KS76FHFqLFIZfrDMff4kP08nblUkihrxltoGBjg/edit#gid=934712705"",""ESENCIAL!A6:BG""),18,FALSE))"),"")</f>
        <v/>
      </c>
      <c r="BJ334" s="19" t="str">
        <f t="shared" si="39"/>
        <v/>
      </c>
      <c r="BK334" s="41"/>
      <c r="BL334" s="41"/>
    </row>
    <row r="335" spans="1:64" ht="15">
      <c r="A335" s="4"/>
      <c r="B335" s="4"/>
      <c r="G335" s="5" t="str">
        <f ca="1">IFERROR(__xludf.DUMMYFUNCTION("IFERROR(VLOOKUP(F352,IMPORTRANGE(""https://docs.google.com/spreadsheets/d/1Kvs4KS76FHFqLFIZfrDMff4kP08nblUkihrxltoGBjg/edit#gid=934712705"",""ESENCIAL!A6:BG""),3,FALSE))"),"")</f>
        <v/>
      </c>
      <c r="H335" s="5" t="str">
        <f ca="1">IFERROR(__xludf.DUMMYFUNCTION("IFERROR(VLOOKUP(F352,IMPORTRANGE(""https://docs.google.com/spreadsheets/d/1Kvs4KS76FHFqLFIZfrDMff4kP08nblUkihrxltoGBjg/edit#gid=934712705"",""ESENCIAL!A6:BG""),8,FALSE))"),"")</f>
        <v/>
      </c>
      <c r="L335" s="287"/>
      <c r="S335"/>
      <c r="AU335" s="41" t="str">
        <f t="shared" si="36"/>
        <v/>
      </c>
      <c r="AV335" s="5" t="str">
        <f ca="1">IFERROR(__xludf.DUMMYFUNCTION("IFERROR(VLOOKUP(E352&amp;F352,IMPORTRANGE(""https://docs.google.com/spreadsheets/d/1Uw7-A9f9R21vMXxHZFNpYNeKFtG8_yji4HS352LGlSQ/edit?pli=1#gid=0"",""1_ACUM!A4:S""),11,FALSE))"),"")</f>
        <v/>
      </c>
      <c r="AW335" s="42" t="str">
        <f ca="1">IFERROR(__xludf.DUMMYFUNCTION("IFERROR(VLOOKUP(F352,IMPORTRANGE(""https://docs.google.com/spreadsheets/d/1Kvs4KS76FHFqLFIZfrDMff4kP08nblUkihrxltoGBjg/edit#gid=934712705"",""ESENCIAL!A6:BG""),15,FALSE))"),"")</f>
        <v/>
      </c>
      <c r="AX335" s="21" t="str">
        <f ca="1">IFERROR(__xludf.DUMMYFUNCTION("IFERROR(VLOOKUP(E352&amp;F352,IMPORTRANGE(""https://docs.google.com/spreadsheets/d/1Uw7-A9f9R21vMXxHZFNpYNeKFtG8_yji4HS352LGlSQ/edit?pli=1#gid=0"",""1_ACUM!A4:S""),12,FALSE))"),"")</f>
        <v/>
      </c>
      <c r="AY335" s="43" t="str">
        <f ca="1">IFERROR(__xludf.DUMMYFUNCTION("IFERROR(VLOOKUP(E352&amp;F352,IMPORTRANGE(""https://docs.google.com/spreadsheets/d/1Uw7-A9f9R21vMXxHZFNpYNeKFtG8_yji4HS352LGlSQ/edit?pli=1#gid=0"",""1_ACUM!A4:S""),13,FALSE))"),"")</f>
        <v/>
      </c>
      <c r="AZ335" s="43" t="str">
        <f ca="1">IFERROR(__xludf.DUMMYFUNCTION("IFERROR(VLOOKUP(E352&amp;F352,IMPORTRANGE(""https://docs.google.com/spreadsheets/d/1Uw7-A9f9R21vMXxHZFNpYNeKFtG8_yji4HS352LGlSQ/edit?pli=1#gid=0"",""1_ACUM!A4:S""),14,FALSE))"),"")</f>
        <v/>
      </c>
      <c r="BA335" s="43" t="str">
        <f ca="1">IFERROR(__xludf.DUMMYFUNCTION("IFERROR(VLOOKUP(E352&amp;F352,IMPORTRANGE(""https://docs.google.com/spreadsheets/d/1Uw7-A9f9R21vMXxHZFNpYNeKFtG8_yji4HS352LGlSQ/edit?pli=1#gid=0"",""1_ACUM!A4:S""),15,FALSE))"),"")</f>
        <v/>
      </c>
      <c r="BB335" s="43" t="str">
        <f ca="1">IFERROR(__xludf.DUMMYFUNCTION("IFERROR(VLOOKUP(E352&amp;F352,IMPORTRANGE(""https://docs.google.com/spreadsheets/d/1Uw7-A9f9R21vMXxHZFNpYNeKFtG8_yji4HS352LGlSQ/edit?pli=1#gid=0"",""1_ACUM!A4:S""),16,FALSE))"),"")</f>
        <v/>
      </c>
      <c r="BC335" s="43" t="str">
        <f ca="1">IFERROR(__xludf.DUMMYFUNCTION("IFERROR(VLOOKUP(E352&amp;F352,IMPORTRANGE(""https://docs.google.com/spreadsheets/d/1Uw7-A9f9R21vMXxHZFNpYNeKFtG8_yji4HS352LGlSQ/edit?pli=1#gid=0"",""1_ACUM!A4:S""),17,FALSE))"),"")</f>
        <v/>
      </c>
      <c r="BD335" s="44" t="str">
        <f ca="1">IFERROR(__xludf.DUMMYFUNCTION("IFERROR(VLOOKUP(E352&amp;F352,IMPORTRANGE(""https://docs.google.com/spreadsheets/d/1Uw7-A9f9R21vMXxHZFNpYNeKFtG8_yji4HS352LGlSQ/edit?pli=1#gid=0"",""1_ACUM!A4:S""),18,FALSE))"),"")</f>
        <v/>
      </c>
      <c r="BE335" s="44" t="str">
        <f ca="1">IFERROR(__xludf.DUMMYFUNCTION("IFERROR(VLOOKUP(E352&amp;F352,IMPORTRANGE(""https://docs.google.com/spreadsheets/d/1Uw7-A9f9R21vMXxHZFNpYNeKFtG8_yji4HS352LGlSQ/edit?pli=1#gid=0"",""1_ACUM!A4:S""),19,FALSE))"),"")</f>
        <v/>
      </c>
      <c r="BF335" s="44" t="str">
        <f ca="1">IFERROR(__xludf.DUMMYFUNCTION("IFERROR(VLOOKUP(F352,IMPORTRANGE(""https://docs.google.com/spreadsheets/d/1Kvs4KS76FHFqLFIZfrDMff4kP08nblUkihrxltoGBjg/edit#gid=934712705"",""ESENCIAL!A6:BG""),5,FALSE))"),"")</f>
        <v/>
      </c>
      <c r="BG335" s="44" t="str">
        <f t="shared" si="37"/>
        <v/>
      </c>
      <c r="BH335" s="41" t="str">
        <f t="shared" si="38"/>
        <v/>
      </c>
      <c r="BI335" s="41" t="str">
        <f ca="1">IFERROR(__xludf.DUMMYFUNCTION("IFERROR(VLOOKUP(F352,IMPORTRANGE(""https://docs.google.com/spreadsheets/d/1Kvs4KS76FHFqLFIZfrDMff4kP08nblUkihrxltoGBjg/edit#gid=934712705"",""ESENCIAL!A6:BG""),18,FALSE))"),"")</f>
        <v/>
      </c>
      <c r="BJ335" s="19" t="str">
        <f t="shared" si="39"/>
        <v/>
      </c>
      <c r="BK335" s="41"/>
      <c r="BL335" s="41"/>
    </row>
    <row r="336" spans="1:64" ht="15">
      <c r="A336" s="4"/>
      <c r="B336" s="4"/>
      <c r="G336" s="5" t="str">
        <f ca="1">IFERROR(__xludf.DUMMYFUNCTION("IFERROR(VLOOKUP(F353,IMPORTRANGE(""https://docs.google.com/spreadsheets/d/1Kvs4KS76FHFqLFIZfrDMff4kP08nblUkihrxltoGBjg/edit#gid=934712705"",""ESENCIAL!A6:BG""),3,FALSE))"),"")</f>
        <v/>
      </c>
      <c r="H336" s="5" t="str">
        <f ca="1">IFERROR(__xludf.DUMMYFUNCTION("IFERROR(VLOOKUP(F353,IMPORTRANGE(""https://docs.google.com/spreadsheets/d/1Kvs4KS76FHFqLFIZfrDMff4kP08nblUkihrxltoGBjg/edit#gid=934712705"",""ESENCIAL!A6:BG""),8,FALSE))"),"")</f>
        <v/>
      </c>
      <c r="L336" s="287"/>
      <c r="S336"/>
      <c r="AU336" s="41" t="str">
        <f t="shared" si="36"/>
        <v/>
      </c>
      <c r="AV336" s="5" t="str">
        <f ca="1">IFERROR(__xludf.DUMMYFUNCTION("IFERROR(VLOOKUP(E353&amp;F353,IMPORTRANGE(""https://docs.google.com/spreadsheets/d/1Uw7-A9f9R21vMXxHZFNpYNeKFtG8_yji4HS352LGlSQ/edit?pli=1#gid=0"",""1_ACUM!A4:S""),11,FALSE))"),"")</f>
        <v/>
      </c>
      <c r="AW336" s="42" t="str">
        <f ca="1">IFERROR(__xludf.DUMMYFUNCTION("IFERROR(VLOOKUP(F353,IMPORTRANGE(""https://docs.google.com/spreadsheets/d/1Kvs4KS76FHFqLFIZfrDMff4kP08nblUkihrxltoGBjg/edit#gid=934712705"",""ESENCIAL!A6:BG""),15,FALSE))"),"")</f>
        <v/>
      </c>
      <c r="AX336" s="21" t="str">
        <f ca="1">IFERROR(__xludf.DUMMYFUNCTION("IFERROR(VLOOKUP(E353&amp;F353,IMPORTRANGE(""https://docs.google.com/spreadsheets/d/1Uw7-A9f9R21vMXxHZFNpYNeKFtG8_yji4HS352LGlSQ/edit?pli=1#gid=0"",""1_ACUM!A4:S""),12,FALSE))"),"")</f>
        <v/>
      </c>
      <c r="AY336" s="43" t="str">
        <f ca="1">IFERROR(__xludf.DUMMYFUNCTION("IFERROR(VLOOKUP(E353&amp;F353,IMPORTRANGE(""https://docs.google.com/spreadsheets/d/1Uw7-A9f9R21vMXxHZFNpYNeKFtG8_yji4HS352LGlSQ/edit?pli=1#gid=0"",""1_ACUM!A4:S""),13,FALSE))"),"")</f>
        <v/>
      </c>
      <c r="AZ336" s="43" t="str">
        <f ca="1">IFERROR(__xludf.DUMMYFUNCTION("IFERROR(VLOOKUP(E353&amp;F353,IMPORTRANGE(""https://docs.google.com/spreadsheets/d/1Uw7-A9f9R21vMXxHZFNpYNeKFtG8_yji4HS352LGlSQ/edit?pli=1#gid=0"",""1_ACUM!A4:S""),14,FALSE))"),"")</f>
        <v/>
      </c>
      <c r="BA336" s="43" t="str">
        <f ca="1">IFERROR(__xludf.DUMMYFUNCTION("IFERROR(VLOOKUP(E353&amp;F353,IMPORTRANGE(""https://docs.google.com/spreadsheets/d/1Uw7-A9f9R21vMXxHZFNpYNeKFtG8_yji4HS352LGlSQ/edit?pli=1#gid=0"",""1_ACUM!A4:S""),15,FALSE))"),"")</f>
        <v/>
      </c>
      <c r="BB336" s="43" t="str">
        <f ca="1">IFERROR(__xludf.DUMMYFUNCTION("IFERROR(VLOOKUP(E353&amp;F353,IMPORTRANGE(""https://docs.google.com/spreadsheets/d/1Uw7-A9f9R21vMXxHZFNpYNeKFtG8_yji4HS352LGlSQ/edit?pli=1#gid=0"",""1_ACUM!A4:S""),16,FALSE))"),"")</f>
        <v/>
      </c>
      <c r="BC336" s="43" t="str">
        <f ca="1">IFERROR(__xludf.DUMMYFUNCTION("IFERROR(VLOOKUP(E353&amp;F353,IMPORTRANGE(""https://docs.google.com/spreadsheets/d/1Uw7-A9f9R21vMXxHZFNpYNeKFtG8_yji4HS352LGlSQ/edit?pli=1#gid=0"",""1_ACUM!A4:S""),17,FALSE))"),"")</f>
        <v/>
      </c>
      <c r="BD336" s="44" t="str">
        <f ca="1">IFERROR(__xludf.DUMMYFUNCTION("IFERROR(VLOOKUP(E353&amp;F353,IMPORTRANGE(""https://docs.google.com/spreadsheets/d/1Uw7-A9f9R21vMXxHZFNpYNeKFtG8_yji4HS352LGlSQ/edit?pli=1#gid=0"",""1_ACUM!A4:S""),18,FALSE))"),"")</f>
        <v/>
      </c>
      <c r="BE336" s="44" t="str">
        <f ca="1">IFERROR(__xludf.DUMMYFUNCTION("IFERROR(VLOOKUP(E353&amp;F353,IMPORTRANGE(""https://docs.google.com/spreadsheets/d/1Uw7-A9f9R21vMXxHZFNpYNeKFtG8_yji4HS352LGlSQ/edit?pli=1#gid=0"",""1_ACUM!A4:S""),19,FALSE))"),"")</f>
        <v/>
      </c>
      <c r="BF336" s="44" t="str">
        <f ca="1">IFERROR(__xludf.DUMMYFUNCTION("IFERROR(VLOOKUP(F353,IMPORTRANGE(""https://docs.google.com/spreadsheets/d/1Kvs4KS76FHFqLFIZfrDMff4kP08nblUkihrxltoGBjg/edit#gid=934712705"",""ESENCIAL!A6:BG""),5,FALSE))"),"")</f>
        <v/>
      </c>
      <c r="BG336" s="44" t="str">
        <f t="shared" si="37"/>
        <v/>
      </c>
      <c r="BH336" s="41" t="str">
        <f t="shared" si="38"/>
        <v/>
      </c>
      <c r="BI336" s="41" t="str">
        <f ca="1">IFERROR(__xludf.DUMMYFUNCTION("IFERROR(VLOOKUP(F353,IMPORTRANGE(""https://docs.google.com/spreadsheets/d/1Kvs4KS76FHFqLFIZfrDMff4kP08nblUkihrxltoGBjg/edit#gid=934712705"",""ESENCIAL!A6:BG""),18,FALSE))"),"")</f>
        <v/>
      </c>
      <c r="BJ336" s="19" t="str">
        <f t="shared" si="39"/>
        <v/>
      </c>
      <c r="BK336" s="41"/>
      <c r="BL336" s="41"/>
    </row>
    <row r="337" spans="1:64" ht="15">
      <c r="A337" s="4"/>
      <c r="B337" s="4"/>
      <c r="G337" s="5" t="str">
        <f ca="1">IFERROR(__xludf.DUMMYFUNCTION("IFERROR(VLOOKUP(F354,IMPORTRANGE(""https://docs.google.com/spreadsheets/d/1Kvs4KS76FHFqLFIZfrDMff4kP08nblUkihrxltoGBjg/edit#gid=934712705"",""ESENCIAL!A6:BG""),3,FALSE))"),"")</f>
        <v/>
      </c>
      <c r="H337" s="5" t="str">
        <f ca="1">IFERROR(__xludf.DUMMYFUNCTION("IFERROR(VLOOKUP(F354,IMPORTRANGE(""https://docs.google.com/spreadsheets/d/1Kvs4KS76FHFqLFIZfrDMff4kP08nblUkihrxltoGBjg/edit#gid=934712705"",""ESENCIAL!A6:BG""),8,FALSE))"),"")</f>
        <v/>
      </c>
      <c r="L337" s="287"/>
      <c r="S337"/>
      <c r="AU337" s="41" t="str">
        <f t="shared" si="36"/>
        <v/>
      </c>
      <c r="AV337" s="5" t="str">
        <f ca="1">IFERROR(__xludf.DUMMYFUNCTION("IFERROR(VLOOKUP(E354&amp;F354,IMPORTRANGE(""https://docs.google.com/spreadsheets/d/1Uw7-A9f9R21vMXxHZFNpYNeKFtG8_yji4HS352LGlSQ/edit?pli=1#gid=0"",""1_ACUM!A4:S""),11,FALSE))"),"")</f>
        <v/>
      </c>
      <c r="AW337" s="42" t="str">
        <f ca="1">IFERROR(__xludf.DUMMYFUNCTION("IFERROR(VLOOKUP(F354,IMPORTRANGE(""https://docs.google.com/spreadsheets/d/1Kvs4KS76FHFqLFIZfrDMff4kP08nblUkihrxltoGBjg/edit#gid=934712705"",""ESENCIAL!A6:BG""),15,FALSE))"),"")</f>
        <v/>
      </c>
      <c r="AX337" s="21" t="str">
        <f ca="1">IFERROR(__xludf.DUMMYFUNCTION("IFERROR(VLOOKUP(E354&amp;F354,IMPORTRANGE(""https://docs.google.com/spreadsheets/d/1Uw7-A9f9R21vMXxHZFNpYNeKFtG8_yji4HS352LGlSQ/edit?pli=1#gid=0"",""1_ACUM!A4:S""),12,FALSE))"),"")</f>
        <v/>
      </c>
      <c r="AY337" s="43" t="str">
        <f ca="1">IFERROR(__xludf.DUMMYFUNCTION("IFERROR(VLOOKUP(E354&amp;F354,IMPORTRANGE(""https://docs.google.com/spreadsheets/d/1Uw7-A9f9R21vMXxHZFNpYNeKFtG8_yji4HS352LGlSQ/edit?pli=1#gid=0"",""1_ACUM!A4:S""),13,FALSE))"),"")</f>
        <v/>
      </c>
      <c r="AZ337" s="43" t="str">
        <f ca="1">IFERROR(__xludf.DUMMYFUNCTION("IFERROR(VLOOKUP(E354&amp;F354,IMPORTRANGE(""https://docs.google.com/spreadsheets/d/1Uw7-A9f9R21vMXxHZFNpYNeKFtG8_yji4HS352LGlSQ/edit?pli=1#gid=0"",""1_ACUM!A4:S""),14,FALSE))"),"")</f>
        <v/>
      </c>
      <c r="BA337" s="43" t="str">
        <f ca="1">IFERROR(__xludf.DUMMYFUNCTION("IFERROR(VLOOKUP(E354&amp;F354,IMPORTRANGE(""https://docs.google.com/spreadsheets/d/1Uw7-A9f9R21vMXxHZFNpYNeKFtG8_yji4HS352LGlSQ/edit?pli=1#gid=0"",""1_ACUM!A4:S""),15,FALSE))"),"")</f>
        <v/>
      </c>
      <c r="BB337" s="43" t="str">
        <f ca="1">IFERROR(__xludf.DUMMYFUNCTION("IFERROR(VLOOKUP(E354&amp;F354,IMPORTRANGE(""https://docs.google.com/spreadsheets/d/1Uw7-A9f9R21vMXxHZFNpYNeKFtG8_yji4HS352LGlSQ/edit?pli=1#gid=0"",""1_ACUM!A4:S""),16,FALSE))"),"")</f>
        <v/>
      </c>
      <c r="BC337" s="43" t="str">
        <f ca="1">IFERROR(__xludf.DUMMYFUNCTION("IFERROR(VLOOKUP(E354&amp;F354,IMPORTRANGE(""https://docs.google.com/spreadsheets/d/1Uw7-A9f9R21vMXxHZFNpYNeKFtG8_yji4HS352LGlSQ/edit?pli=1#gid=0"",""1_ACUM!A4:S""),17,FALSE))"),"")</f>
        <v/>
      </c>
      <c r="BD337" s="44" t="str">
        <f ca="1">IFERROR(__xludf.DUMMYFUNCTION("IFERROR(VLOOKUP(E354&amp;F354,IMPORTRANGE(""https://docs.google.com/spreadsheets/d/1Uw7-A9f9R21vMXxHZFNpYNeKFtG8_yji4HS352LGlSQ/edit?pli=1#gid=0"",""1_ACUM!A4:S""),18,FALSE))"),"")</f>
        <v/>
      </c>
      <c r="BE337" s="44" t="str">
        <f ca="1">IFERROR(__xludf.DUMMYFUNCTION("IFERROR(VLOOKUP(E354&amp;F354,IMPORTRANGE(""https://docs.google.com/spreadsheets/d/1Uw7-A9f9R21vMXxHZFNpYNeKFtG8_yji4HS352LGlSQ/edit?pli=1#gid=0"",""1_ACUM!A4:S""),19,FALSE))"),"")</f>
        <v/>
      </c>
      <c r="BF337" s="44" t="str">
        <f ca="1">IFERROR(__xludf.DUMMYFUNCTION("IFERROR(VLOOKUP(F354,IMPORTRANGE(""https://docs.google.com/spreadsheets/d/1Kvs4KS76FHFqLFIZfrDMff4kP08nblUkihrxltoGBjg/edit#gid=934712705"",""ESENCIAL!A6:BG""),5,FALSE))"),"")</f>
        <v/>
      </c>
      <c r="BG337" s="44" t="str">
        <f t="shared" si="37"/>
        <v/>
      </c>
      <c r="BH337" s="41" t="str">
        <f t="shared" si="38"/>
        <v/>
      </c>
      <c r="BI337" s="41" t="str">
        <f ca="1">IFERROR(__xludf.DUMMYFUNCTION("IFERROR(VLOOKUP(F354,IMPORTRANGE(""https://docs.google.com/spreadsheets/d/1Kvs4KS76FHFqLFIZfrDMff4kP08nblUkihrxltoGBjg/edit#gid=934712705"",""ESENCIAL!A6:BG""),18,FALSE))"),"")</f>
        <v/>
      </c>
      <c r="BJ337" s="19" t="str">
        <f t="shared" si="39"/>
        <v/>
      </c>
      <c r="BK337" s="41"/>
      <c r="BL337" s="41"/>
    </row>
    <row r="338" spans="1:64" ht="15">
      <c r="A338" s="4"/>
      <c r="B338" s="4"/>
      <c r="G338" s="5" t="str">
        <f ca="1">IFERROR(__xludf.DUMMYFUNCTION("IFERROR(VLOOKUP(F355,IMPORTRANGE(""https://docs.google.com/spreadsheets/d/1Kvs4KS76FHFqLFIZfrDMff4kP08nblUkihrxltoGBjg/edit#gid=934712705"",""ESENCIAL!A6:BG""),3,FALSE))"),"")</f>
        <v/>
      </c>
      <c r="H338" s="5" t="str">
        <f ca="1">IFERROR(__xludf.DUMMYFUNCTION("IFERROR(VLOOKUP(F355,IMPORTRANGE(""https://docs.google.com/spreadsheets/d/1Kvs4KS76FHFqLFIZfrDMff4kP08nblUkihrxltoGBjg/edit#gid=934712705"",""ESENCIAL!A6:BG""),8,FALSE))"),"")</f>
        <v/>
      </c>
      <c r="L338" s="287"/>
      <c r="S338"/>
      <c r="AU338" s="41" t="str">
        <f t="shared" si="36"/>
        <v/>
      </c>
      <c r="AV338" s="5" t="str">
        <f ca="1">IFERROR(__xludf.DUMMYFUNCTION("IFERROR(VLOOKUP(E355&amp;F355,IMPORTRANGE(""https://docs.google.com/spreadsheets/d/1Uw7-A9f9R21vMXxHZFNpYNeKFtG8_yji4HS352LGlSQ/edit?pli=1#gid=0"",""1_ACUM!A4:S""),11,FALSE))"),"")</f>
        <v/>
      </c>
      <c r="AW338" s="42" t="str">
        <f ca="1">IFERROR(__xludf.DUMMYFUNCTION("IFERROR(VLOOKUP(F355,IMPORTRANGE(""https://docs.google.com/spreadsheets/d/1Kvs4KS76FHFqLFIZfrDMff4kP08nblUkihrxltoGBjg/edit#gid=934712705"",""ESENCIAL!A6:BG""),15,FALSE))"),"")</f>
        <v/>
      </c>
      <c r="AX338" s="21" t="str">
        <f ca="1">IFERROR(__xludf.DUMMYFUNCTION("IFERROR(VLOOKUP(E355&amp;F355,IMPORTRANGE(""https://docs.google.com/spreadsheets/d/1Uw7-A9f9R21vMXxHZFNpYNeKFtG8_yji4HS352LGlSQ/edit?pli=1#gid=0"",""1_ACUM!A4:S""),12,FALSE))"),"")</f>
        <v/>
      </c>
      <c r="AY338" s="43" t="str">
        <f ca="1">IFERROR(__xludf.DUMMYFUNCTION("IFERROR(VLOOKUP(E355&amp;F355,IMPORTRANGE(""https://docs.google.com/spreadsheets/d/1Uw7-A9f9R21vMXxHZFNpYNeKFtG8_yji4HS352LGlSQ/edit?pli=1#gid=0"",""1_ACUM!A4:S""),13,FALSE))"),"")</f>
        <v/>
      </c>
      <c r="AZ338" s="43" t="str">
        <f ca="1">IFERROR(__xludf.DUMMYFUNCTION("IFERROR(VLOOKUP(E355&amp;F355,IMPORTRANGE(""https://docs.google.com/spreadsheets/d/1Uw7-A9f9R21vMXxHZFNpYNeKFtG8_yji4HS352LGlSQ/edit?pli=1#gid=0"",""1_ACUM!A4:S""),14,FALSE))"),"")</f>
        <v/>
      </c>
      <c r="BA338" s="43" t="str">
        <f ca="1">IFERROR(__xludf.DUMMYFUNCTION("IFERROR(VLOOKUP(E355&amp;F355,IMPORTRANGE(""https://docs.google.com/spreadsheets/d/1Uw7-A9f9R21vMXxHZFNpYNeKFtG8_yji4HS352LGlSQ/edit?pli=1#gid=0"",""1_ACUM!A4:S""),15,FALSE))"),"")</f>
        <v/>
      </c>
      <c r="BB338" s="43" t="str">
        <f ca="1">IFERROR(__xludf.DUMMYFUNCTION("IFERROR(VLOOKUP(E355&amp;F355,IMPORTRANGE(""https://docs.google.com/spreadsheets/d/1Uw7-A9f9R21vMXxHZFNpYNeKFtG8_yji4HS352LGlSQ/edit?pli=1#gid=0"",""1_ACUM!A4:S""),16,FALSE))"),"")</f>
        <v/>
      </c>
      <c r="BC338" s="43" t="str">
        <f ca="1">IFERROR(__xludf.DUMMYFUNCTION("IFERROR(VLOOKUP(E355&amp;F355,IMPORTRANGE(""https://docs.google.com/spreadsheets/d/1Uw7-A9f9R21vMXxHZFNpYNeKFtG8_yji4HS352LGlSQ/edit?pli=1#gid=0"",""1_ACUM!A4:S""),17,FALSE))"),"")</f>
        <v/>
      </c>
      <c r="BD338" s="44" t="str">
        <f ca="1">IFERROR(__xludf.DUMMYFUNCTION("IFERROR(VLOOKUP(E355&amp;F355,IMPORTRANGE(""https://docs.google.com/spreadsheets/d/1Uw7-A9f9R21vMXxHZFNpYNeKFtG8_yji4HS352LGlSQ/edit?pli=1#gid=0"",""1_ACUM!A4:S""),18,FALSE))"),"")</f>
        <v/>
      </c>
      <c r="BE338" s="44" t="str">
        <f ca="1">IFERROR(__xludf.DUMMYFUNCTION("IFERROR(VLOOKUP(E355&amp;F355,IMPORTRANGE(""https://docs.google.com/spreadsheets/d/1Uw7-A9f9R21vMXxHZFNpYNeKFtG8_yji4HS352LGlSQ/edit?pli=1#gid=0"",""1_ACUM!A4:S""),19,FALSE))"),"")</f>
        <v/>
      </c>
      <c r="BF338" s="44" t="str">
        <f ca="1">IFERROR(__xludf.DUMMYFUNCTION("IFERROR(VLOOKUP(F355,IMPORTRANGE(""https://docs.google.com/spreadsheets/d/1Kvs4KS76FHFqLFIZfrDMff4kP08nblUkihrxltoGBjg/edit#gid=934712705"",""ESENCIAL!A6:BG""),5,FALSE))"),"")</f>
        <v/>
      </c>
      <c r="BG338" s="44" t="str">
        <f t="shared" si="37"/>
        <v/>
      </c>
      <c r="BH338" s="41" t="str">
        <f t="shared" si="38"/>
        <v/>
      </c>
      <c r="BI338" s="41" t="str">
        <f ca="1">IFERROR(__xludf.DUMMYFUNCTION("IFERROR(VLOOKUP(F355,IMPORTRANGE(""https://docs.google.com/spreadsheets/d/1Kvs4KS76FHFqLFIZfrDMff4kP08nblUkihrxltoGBjg/edit#gid=934712705"",""ESENCIAL!A6:BG""),18,FALSE))"),"")</f>
        <v/>
      </c>
      <c r="BJ338" s="19" t="str">
        <f t="shared" si="39"/>
        <v/>
      </c>
      <c r="BK338" s="41"/>
      <c r="BL338" s="41"/>
    </row>
    <row r="339" spans="1:64" ht="15">
      <c r="A339" s="4"/>
      <c r="B339" s="4"/>
      <c r="G339" s="5" t="str">
        <f ca="1">IFERROR(__xludf.DUMMYFUNCTION("IFERROR(VLOOKUP(F356,IMPORTRANGE(""https://docs.google.com/spreadsheets/d/1Kvs4KS76FHFqLFIZfrDMff4kP08nblUkihrxltoGBjg/edit#gid=934712705"",""ESENCIAL!A6:BG""),3,FALSE))"),"")</f>
        <v/>
      </c>
      <c r="H339" s="5" t="str">
        <f ca="1">IFERROR(__xludf.DUMMYFUNCTION("IFERROR(VLOOKUP(F356,IMPORTRANGE(""https://docs.google.com/spreadsheets/d/1Kvs4KS76FHFqLFIZfrDMff4kP08nblUkihrxltoGBjg/edit#gid=934712705"",""ESENCIAL!A6:BG""),8,FALSE))"),"")</f>
        <v/>
      </c>
      <c r="L339" s="287"/>
      <c r="S339"/>
      <c r="AU339" s="41" t="str">
        <f t="shared" si="36"/>
        <v/>
      </c>
      <c r="AV339" s="5" t="str">
        <f ca="1">IFERROR(__xludf.DUMMYFUNCTION("IFERROR(VLOOKUP(E356&amp;F356,IMPORTRANGE(""https://docs.google.com/spreadsheets/d/1Uw7-A9f9R21vMXxHZFNpYNeKFtG8_yji4HS352LGlSQ/edit?pli=1#gid=0"",""1_ACUM!A4:S""),11,FALSE))"),"")</f>
        <v/>
      </c>
      <c r="AW339" s="42" t="str">
        <f ca="1">IFERROR(__xludf.DUMMYFUNCTION("IFERROR(VLOOKUP(F356,IMPORTRANGE(""https://docs.google.com/spreadsheets/d/1Kvs4KS76FHFqLFIZfrDMff4kP08nblUkihrxltoGBjg/edit#gid=934712705"",""ESENCIAL!A6:BG""),15,FALSE))"),"")</f>
        <v/>
      </c>
      <c r="AX339" s="21" t="str">
        <f ca="1">IFERROR(__xludf.DUMMYFUNCTION("IFERROR(VLOOKUP(E356&amp;F356,IMPORTRANGE(""https://docs.google.com/spreadsheets/d/1Uw7-A9f9R21vMXxHZFNpYNeKFtG8_yji4HS352LGlSQ/edit?pli=1#gid=0"",""1_ACUM!A4:S""),12,FALSE))"),"")</f>
        <v/>
      </c>
      <c r="AY339" s="43" t="str">
        <f ca="1">IFERROR(__xludf.DUMMYFUNCTION("IFERROR(VLOOKUP(E356&amp;F356,IMPORTRANGE(""https://docs.google.com/spreadsheets/d/1Uw7-A9f9R21vMXxHZFNpYNeKFtG8_yji4HS352LGlSQ/edit?pli=1#gid=0"",""1_ACUM!A4:S""),13,FALSE))"),"")</f>
        <v/>
      </c>
      <c r="AZ339" s="43" t="str">
        <f ca="1">IFERROR(__xludf.DUMMYFUNCTION("IFERROR(VLOOKUP(E356&amp;F356,IMPORTRANGE(""https://docs.google.com/spreadsheets/d/1Uw7-A9f9R21vMXxHZFNpYNeKFtG8_yji4HS352LGlSQ/edit?pli=1#gid=0"",""1_ACUM!A4:S""),14,FALSE))"),"")</f>
        <v/>
      </c>
      <c r="BA339" s="43" t="str">
        <f ca="1">IFERROR(__xludf.DUMMYFUNCTION("IFERROR(VLOOKUP(E356&amp;F356,IMPORTRANGE(""https://docs.google.com/spreadsheets/d/1Uw7-A9f9R21vMXxHZFNpYNeKFtG8_yji4HS352LGlSQ/edit?pli=1#gid=0"",""1_ACUM!A4:S""),15,FALSE))"),"")</f>
        <v/>
      </c>
      <c r="BB339" s="43" t="str">
        <f ca="1">IFERROR(__xludf.DUMMYFUNCTION("IFERROR(VLOOKUP(E356&amp;F356,IMPORTRANGE(""https://docs.google.com/spreadsheets/d/1Uw7-A9f9R21vMXxHZFNpYNeKFtG8_yji4HS352LGlSQ/edit?pli=1#gid=0"",""1_ACUM!A4:S""),16,FALSE))"),"")</f>
        <v/>
      </c>
      <c r="BC339" s="43" t="str">
        <f ca="1">IFERROR(__xludf.DUMMYFUNCTION("IFERROR(VLOOKUP(E356&amp;F356,IMPORTRANGE(""https://docs.google.com/spreadsheets/d/1Uw7-A9f9R21vMXxHZFNpYNeKFtG8_yji4HS352LGlSQ/edit?pli=1#gid=0"",""1_ACUM!A4:S""),17,FALSE))"),"")</f>
        <v/>
      </c>
      <c r="BD339" s="44" t="str">
        <f ca="1">IFERROR(__xludf.DUMMYFUNCTION("IFERROR(VLOOKUP(E356&amp;F356,IMPORTRANGE(""https://docs.google.com/spreadsheets/d/1Uw7-A9f9R21vMXxHZFNpYNeKFtG8_yji4HS352LGlSQ/edit?pli=1#gid=0"",""1_ACUM!A4:S""),18,FALSE))"),"")</f>
        <v/>
      </c>
      <c r="BE339" s="44" t="str">
        <f ca="1">IFERROR(__xludf.DUMMYFUNCTION("IFERROR(VLOOKUP(E356&amp;F356,IMPORTRANGE(""https://docs.google.com/spreadsheets/d/1Uw7-A9f9R21vMXxHZFNpYNeKFtG8_yji4HS352LGlSQ/edit?pli=1#gid=0"",""1_ACUM!A4:S""),19,FALSE))"),"")</f>
        <v/>
      </c>
      <c r="BF339" s="44" t="str">
        <f ca="1">IFERROR(__xludf.DUMMYFUNCTION("IFERROR(VLOOKUP(F356,IMPORTRANGE(""https://docs.google.com/spreadsheets/d/1Kvs4KS76FHFqLFIZfrDMff4kP08nblUkihrxltoGBjg/edit#gid=934712705"",""ESENCIAL!A6:BG""),5,FALSE))"),"")</f>
        <v/>
      </c>
      <c r="BG339" s="44" t="str">
        <f t="shared" si="37"/>
        <v/>
      </c>
      <c r="BH339" s="41" t="str">
        <f t="shared" si="38"/>
        <v/>
      </c>
      <c r="BI339" s="41" t="str">
        <f ca="1">IFERROR(__xludf.DUMMYFUNCTION("IFERROR(VLOOKUP(F356,IMPORTRANGE(""https://docs.google.com/spreadsheets/d/1Kvs4KS76FHFqLFIZfrDMff4kP08nblUkihrxltoGBjg/edit#gid=934712705"",""ESENCIAL!A6:BG""),18,FALSE))"),"")</f>
        <v/>
      </c>
      <c r="BJ339" s="19" t="str">
        <f t="shared" si="39"/>
        <v/>
      </c>
      <c r="BK339" s="41"/>
      <c r="BL339" s="41"/>
    </row>
    <row r="340" spans="1:64" ht="15">
      <c r="A340" s="4"/>
      <c r="B340" s="4"/>
      <c r="G340" s="5" t="str">
        <f ca="1">IFERROR(__xludf.DUMMYFUNCTION("IFERROR(VLOOKUP(F357,IMPORTRANGE(""https://docs.google.com/spreadsheets/d/1Kvs4KS76FHFqLFIZfrDMff4kP08nblUkihrxltoGBjg/edit#gid=934712705"",""ESENCIAL!A6:BG""),3,FALSE))"),"")</f>
        <v/>
      </c>
      <c r="H340" s="5" t="str">
        <f ca="1">IFERROR(__xludf.DUMMYFUNCTION("IFERROR(VLOOKUP(F357,IMPORTRANGE(""https://docs.google.com/spreadsheets/d/1Kvs4KS76FHFqLFIZfrDMff4kP08nblUkihrxltoGBjg/edit#gid=934712705"",""ESENCIAL!A6:BG""),8,FALSE))"),"")</f>
        <v/>
      </c>
      <c r="L340" s="287"/>
      <c r="S340"/>
      <c r="AU340" s="41" t="str">
        <f t="shared" si="36"/>
        <v/>
      </c>
      <c r="AV340" s="5" t="str">
        <f ca="1">IFERROR(__xludf.DUMMYFUNCTION("IFERROR(VLOOKUP(E357&amp;F357,IMPORTRANGE(""https://docs.google.com/spreadsheets/d/1Uw7-A9f9R21vMXxHZFNpYNeKFtG8_yji4HS352LGlSQ/edit?pli=1#gid=0"",""1_ACUM!A4:S""),11,FALSE))"),"")</f>
        <v/>
      </c>
      <c r="AW340" s="42" t="str">
        <f ca="1">IFERROR(__xludf.DUMMYFUNCTION("IFERROR(VLOOKUP(F357,IMPORTRANGE(""https://docs.google.com/spreadsheets/d/1Kvs4KS76FHFqLFIZfrDMff4kP08nblUkihrxltoGBjg/edit#gid=934712705"",""ESENCIAL!A6:BG""),15,FALSE))"),"")</f>
        <v/>
      </c>
      <c r="AX340" s="21" t="str">
        <f ca="1">IFERROR(__xludf.DUMMYFUNCTION("IFERROR(VLOOKUP(E357&amp;F357,IMPORTRANGE(""https://docs.google.com/spreadsheets/d/1Uw7-A9f9R21vMXxHZFNpYNeKFtG8_yji4HS352LGlSQ/edit?pli=1#gid=0"",""1_ACUM!A4:S""),12,FALSE))"),"")</f>
        <v/>
      </c>
      <c r="AY340" s="43" t="str">
        <f ca="1">IFERROR(__xludf.DUMMYFUNCTION("IFERROR(VLOOKUP(E357&amp;F357,IMPORTRANGE(""https://docs.google.com/spreadsheets/d/1Uw7-A9f9R21vMXxHZFNpYNeKFtG8_yji4HS352LGlSQ/edit?pli=1#gid=0"",""1_ACUM!A4:S""),13,FALSE))"),"")</f>
        <v/>
      </c>
      <c r="AZ340" s="43" t="str">
        <f ca="1">IFERROR(__xludf.DUMMYFUNCTION("IFERROR(VLOOKUP(E357&amp;F357,IMPORTRANGE(""https://docs.google.com/spreadsheets/d/1Uw7-A9f9R21vMXxHZFNpYNeKFtG8_yji4HS352LGlSQ/edit?pli=1#gid=0"",""1_ACUM!A4:S""),14,FALSE))"),"")</f>
        <v/>
      </c>
      <c r="BA340" s="43" t="str">
        <f ca="1">IFERROR(__xludf.DUMMYFUNCTION("IFERROR(VLOOKUP(E357&amp;F357,IMPORTRANGE(""https://docs.google.com/spreadsheets/d/1Uw7-A9f9R21vMXxHZFNpYNeKFtG8_yji4HS352LGlSQ/edit?pli=1#gid=0"",""1_ACUM!A4:S""),15,FALSE))"),"")</f>
        <v/>
      </c>
      <c r="BB340" s="43" t="str">
        <f ca="1">IFERROR(__xludf.DUMMYFUNCTION("IFERROR(VLOOKUP(E357&amp;F357,IMPORTRANGE(""https://docs.google.com/spreadsheets/d/1Uw7-A9f9R21vMXxHZFNpYNeKFtG8_yji4HS352LGlSQ/edit?pli=1#gid=0"",""1_ACUM!A4:S""),16,FALSE))"),"")</f>
        <v/>
      </c>
      <c r="BC340" s="43" t="str">
        <f ca="1">IFERROR(__xludf.DUMMYFUNCTION("IFERROR(VLOOKUP(E357&amp;F357,IMPORTRANGE(""https://docs.google.com/spreadsheets/d/1Uw7-A9f9R21vMXxHZFNpYNeKFtG8_yji4HS352LGlSQ/edit?pli=1#gid=0"",""1_ACUM!A4:S""),17,FALSE))"),"")</f>
        <v/>
      </c>
      <c r="BD340" s="44" t="str">
        <f ca="1">IFERROR(__xludf.DUMMYFUNCTION("IFERROR(VLOOKUP(E357&amp;F357,IMPORTRANGE(""https://docs.google.com/spreadsheets/d/1Uw7-A9f9R21vMXxHZFNpYNeKFtG8_yji4HS352LGlSQ/edit?pli=1#gid=0"",""1_ACUM!A4:S""),18,FALSE))"),"")</f>
        <v/>
      </c>
      <c r="BE340" s="44" t="str">
        <f ca="1">IFERROR(__xludf.DUMMYFUNCTION("IFERROR(VLOOKUP(E357&amp;F357,IMPORTRANGE(""https://docs.google.com/spreadsheets/d/1Uw7-A9f9R21vMXxHZFNpYNeKFtG8_yji4HS352LGlSQ/edit?pli=1#gid=0"",""1_ACUM!A4:S""),19,FALSE))"),"")</f>
        <v/>
      </c>
      <c r="BF340" s="44" t="str">
        <f ca="1">IFERROR(__xludf.DUMMYFUNCTION("IFERROR(VLOOKUP(F357,IMPORTRANGE(""https://docs.google.com/spreadsheets/d/1Kvs4KS76FHFqLFIZfrDMff4kP08nblUkihrxltoGBjg/edit#gid=934712705"",""ESENCIAL!A6:BG""),5,FALSE))"),"")</f>
        <v/>
      </c>
      <c r="BG340" s="44" t="str">
        <f t="shared" si="37"/>
        <v/>
      </c>
      <c r="BH340" s="41" t="str">
        <f t="shared" si="38"/>
        <v/>
      </c>
      <c r="BI340" s="41" t="str">
        <f ca="1">IFERROR(__xludf.DUMMYFUNCTION("IFERROR(VLOOKUP(F357,IMPORTRANGE(""https://docs.google.com/spreadsheets/d/1Kvs4KS76FHFqLFIZfrDMff4kP08nblUkihrxltoGBjg/edit#gid=934712705"",""ESENCIAL!A6:BG""),18,FALSE))"),"")</f>
        <v/>
      </c>
      <c r="BJ340" s="19" t="str">
        <f t="shared" si="39"/>
        <v/>
      </c>
      <c r="BK340" s="41"/>
      <c r="BL340" s="41"/>
    </row>
    <row r="341" spans="1:64" ht="15">
      <c r="A341" s="4"/>
      <c r="B341" s="4"/>
      <c r="G341" s="5" t="str">
        <f ca="1">IFERROR(__xludf.DUMMYFUNCTION("IFERROR(VLOOKUP(F358,IMPORTRANGE(""https://docs.google.com/spreadsheets/d/1Kvs4KS76FHFqLFIZfrDMff4kP08nblUkihrxltoGBjg/edit#gid=934712705"",""ESENCIAL!A6:BG""),3,FALSE))"),"")</f>
        <v/>
      </c>
      <c r="H341" s="5" t="str">
        <f ca="1">IFERROR(__xludf.DUMMYFUNCTION("IFERROR(VLOOKUP(F358,IMPORTRANGE(""https://docs.google.com/spreadsheets/d/1Kvs4KS76FHFqLFIZfrDMff4kP08nblUkihrxltoGBjg/edit#gid=934712705"",""ESENCIAL!A6:BG""),8,FALSE))"),"")</f>
        <v/>
      </c>
      <c r="L341" s="287"/>
      <c r="S341"/>
      <c r="AU341" s="41" t="str">
        <f t="shared" si="36"/>
        <v/>
      </c>
      <c r="AV341" s="5" t="str">
        <f ca="1">IFERROR(__xludf.DUMMYFUNCTION("IFERROR(VLOOKUP(E358&amp;F358,IMPORTRANGE(""https://docs.google.com/spreadsheets/d/1Uw7-A9f9R21vMXxHZFNpYNeKFtG8_yji4HS352LGlSQ/edit?pli=1#gid=0"",""1_ACUM!A4:S""),11,FALSE))"),"")</f>
        <v/>
      </c>
      <c r="AW341" s="42" t="str">
        <f ca="1">IFERROR(__xludf.DUMMYFUNCTION("IFERROR(VLOOKUP(F358,IMPORTRANGE(""https://docs.google.com/spreadsheets/d/1Kvs4KS76FHFqLFIZfrDMff4kP08nblUkihrxltoGBjg/edit#gid=934712705"",""ESENCIAL!A6:BG""),15,FALSE))"),"")</f>
        <v/>
      </c>
      <c r="AX341" s="21" t="str">
        <f ca="1">IFERROR(__xludf.DUMMYFUNCTION("IFERROR(VLOOKUP(E358&amp;F358,IMPORTRANGE(""https://docs.google.com/spreadsheets/d/1Uw7-A9f9R21vMXxHZFNpYNeKFtG8_yji4HS352LGlSQ/edit?pli=1#gid=0"",""1_ACUM!A4:S""),12,FALSE))"),"")</f>
        <v/>
      </c>
      <c r="AY341" s="43" t="str">
        <f ca="1">IFERROR(__xludf.DUMMYFUNCTION("IFERROR(VLOOKUP(E358&amp;F358,IMPORTRANGE(""https://docs.google.com/spreadsheets/d/1Uw7-A9f9R21vMXxHZFNpYNeKFtG8_yji4HS352LGlSQ/edit?pli=1#gid=0"",""1_ACUM!A4:S""),13,FALSE))"),"")</f>
        <v/>
      </c>
      <c r="AZ341" s="43" t="str">
        <f ca="1">IFERROR(__xludf.DUMMYFUNCTION("IFERROR(VLOOKUP(E358&amp;F358,IMPORTRANGE(""https://docs.google.com/spreadsheets/d/1Uw7-A9f9R21vMXxHZFNpYNeKFtG8_yji4HS352LGlSQ/edit?pli=1#gid=0"",""1_ACUM!A4:S""),14,FALSE))"),"")</f>
        <v/>
      </c>
      <c r="BA341" s="43" t="str">
        <f ca="1">IFERROR(__xludf.DUMMYFUNCTION("IFERROR(VLOOKUP(E358&amp;F358,IMPORTRANGE(""https://docs.google.com/spreadsheets/d/1Uw7-A9f9R21vMXxHZFNpYNeKFtG8_yji4HS352LGlSQ/edit?pli=1#gid=0"",""1_ACUM!A4:S""),15,FALSE))"),"")</f>
        <v/>
      </c>
      <c r="BB341" s="43" t="str">
        <f ca="1">IFERROR(__xludf.DUMMYFUNCTION("IFERROR(VLOOKUP(E358&amp;F358,IMPORTRANGE(""https://docs.google.com/spreadsheets/d/1Uw7-A9f9R21vMXxHZFNpYNeKFtG8_yji4HS352LGlSQ/edit?pli=1#gid=0"",""1_ACUM!A4:S""),16,FALSE))"),"")</f>
        <v/>
      </c>
      <c r="BC341" s="43" t="str">
        <f ca="1">IFERROR(__xludf.DUMMYFUNCTION("IFERROR(VLOOKUP(E358&amp;F358,IMPORTRANGE(""https://docs.google.com/spreadsheets/d/1Uw7-A9f9R21vMXxHZFNpYNeKFtG8_yji4HS352LGlSQ/edit?pli=1#gid=0"",""1_ACUM!A4:S""),17,FALSE))"),"")</f>
        <v/>
      </c>
      <c r="BD341" s="44" t="str">
        <f ca="1">IFERROR(__xludf.DUMMYFUNCTION("IFERROR(VLOOKUP(E358&amp;F358,IMPORTRANGE(""https://docs.google.com/spreadsheets/d/1Uw7-A9f9R21vMXxHZFNpYNeKFtG8_yji4HS352LGlSQ/edit?pli=1#gid=0"",""1_ACUM!A4:S""),18,FALSE))"),"")</f>
        <v/>
      </c>
      <c r="BE341" s="44" t="str">
        <f ca="1">IFERROR(__xludf.DUMMYFUNCTION("IFERROR(VLOOKUP(E358&amp;F358,IMPORTRANGE(""https://docs.google.com/spreadsheets/d/1Uw7-A9f9R21vMXxHZFNpYNeKFtG8_yji4HS352LGlSQ/edit?pli=1#gid=0"",""1_ACUM!A4:S""),19,FALSE))"),"")</f>
        <v/>
      </c>
      <c r="BF341" s="44" t="str">
        <f ca="1">IFERROR(__xludf.DUMMYFUNCTION("IFERROR(VLOOKUP(F358,IMPORTRANGE(""https://docs.google.com/spreadsheets/d/1Kvs4KS76FHFqLFIZfrDMff4kP08nblUkihrxltoGBjg/edit#gid=934712705"",""ESENCIAL!A6:BG""),5,FALSE))"),"")</f>
        <v/>
      </c>
      <c r="BG341" s="44" t="str">
        <f t="shared" si="37"/>
        <v/>
      </c>
      <c r="BH341" s="41" t="str">
        <f t="shared" si="38"/>
        <v/>
      </c>
      <c r="BI341" s="41" t="str">
        <f ca="1">IFERROR(__xludf.DUMMYFUNCTION("IFERROR(VLOOKUP(F358,IMPORTRANGE(""https://docs.google.com/spreadsheets/d/1Kvs4KS76FHFqLFIZfrDMff4kP08nblUkihrxltoGBjg/edit#gid=934712705"",""ESENCIAL!A6:BG""),18,FALSE))"),"")</f>
        <v/>
      </c>
      <c r="BJ341" s="19" t="str">
        <f t="shared" si="39"/>
        <v/>
      </c>
      <c r="BK341" s="41"/>
      <c r="BL341" s="41"/>
    </row>
    <row r="342" spans="1:64" ht="15">
      <c r="A342" s="4"/>
      <c r="B342" s="4"/>
      <c r="G342" s="5" t="str">
        <f ca="1">IFERROR(__xludf.DUMMYFUNCTION("IFERROR(VLOOKUP(F359,IMPORTRANGE(""https://docs.google.com/spreadsheets/d/1Kvs4KS76FHFqLFIZfrDMff4kP08nblUkihrxltoGBjg/edit#gid=934712705"",""ESENCIAL!A6:BG""),3,FALSE))"),"")</f>
        <v/>
      </c>
      <c r="H342" s="5" t="str">
        <f ca="1">IFERROR(__xludf.DUMMYFUNCTION("IFERROR(VLOOKUP(F359,IMPORTRANGE(""https://docs.google.com/spreadsheets/d/1Kvs4KS76FHFqLFIZfrDMff4kP08nblUkihrxltoGBjg/edit#gid=934712705"",""ESENCIAL!A6:BG""),8,FALSE))"),"")</f>
        <v/>
      </c>
      <c r="L342" s="287"/>
      <c r="S342"/>
      <c r="AU342" s="41" t="str">
        <f t="shared" si="36"/>
        <v/>
      </c>
      <c r="AV342" s="5" t="str">
        <f ca="1">IFERROR(__xludf.DUMMYFUNCTION("IFERROR(VLOOKUP(E359&amp;F359,IMPORTRANGE(""https://docs.google.com/spreadsheets/d/1Uw7-A9f9R21vMXxHZFNpYNeKFtG8_yji4HS352LGlSQ/edit?pli=1#gid=0"",""1_ACUM!A4:S""),11,FALSE))"),"")</f>
        <v/>
      </c>
      <c r="AW342" s="42" t="str">
        <f ca="1">IFERROR(__xludf.DUMMYFUNCTION("IFERROR(VLOOKUP(F359,IMPORTRANGE(""https://docs.google.com/spreadsheets/d/1Kvs4KS76FHFqLFIZfrDMff4kP08nblUkihrxltoGBjg/edit#gid=934712705"",""ESENCIAL!A6:BG""),15,FALSE))"),"")</f>
        <v/>
      </c>
      <c r="AX342" s="21" t="str">
        <f ca="1">IFERROR(__xludf.DUMMYFUNCTION("IFERROR(VLOOKUP(E359&amp;F359,IMPORTRANGE(""https://docs.google.com/spreadsheets/d/1Uw7-A9f9R21vMXxHZFNpYNeKFtG8_yji4HS352LGlSQ/edit?pli=1#gid=0"",""1_ACUM!A4:S""),12,FALSE))"),"")</f>
        <v/>
      </c>
      <c r="AY342" s="43" t="str">
        <f ca="1">IFERROR(__xludf.DUMMYFUNCTION("IFERROR(VLOOKUP(E359&amp;F359,IMPORTRANGE(""https://docs.google.com/spreadsheets/d/1Uw7-A9f9R21vMXxHZFNpYNeKFtG8_yji4HS352LGlSQ/edit?pli=1#gid=0"",""1_ACUM!A4:S""),13,FALSE))"),"")</f>
        <v/>
      </c>
      <c r="AZ342" s="43" t="str">
        <f ca="1">IFERROR(__xludf.DUMMYFUNCTION("IFERROR(VLOOKUP(E359&amp;F359,IMPORTRANGE(""https://docs.google.com/spreadsheets/d/1Uw7-A9f9R21vMXxHZFNpYNeKFtG8_yji4HS352LGlSQ/edit?pli=1#gid=0"",""1_ACUM!A4:S""),14,FALSE))"),"")</f>
        <v/>
      </c>
      <c r="BA342" s="43" t="str">
        <f ca="1">IFERROR(__xludf.DUMMYFUNCTION("IFERROR(VLOOKUP(E359&amp;F359,IMPORTRANGE(""https://docs.google.com/spreadsheets/d/1Uw7-A9f9R21vMXxHZFNpYNeKFtG8_yji4HS352LGlSQ/edit?pli=1#gid=0"",""1_ACUM!A4:S""),15,FALSE))"),"")</f>
        <v/>
      </c>
      <c r="BB342" s="43" t="str">
        <f ca="1">IFERROR(__xludf.DUMMYFUNCTION("IFERROR(VLOOKUP(E359&amp;F359,IMPORTRANGE(""https://docs.google.com/spreadsheets/d/1Uw7-A9f9R21vMXxHZFNpYNeKFtG8_yji4HS352LGlSQ/edit?pli=1#gid=0"",""1_ACUM!A4:S""),16,FALSE))"),"")</f>
        <v/>
      </c>
      <c r="BC342" s="43" t="str">
        <f ca="1">IFERROR(__xludf.DUMMYFUNCTION("IFERROR(VLOOKUP(E359&amp;F359,IMPORTRANGE(""https://docs.google.com/spreadsheets/d/1Uw7-A9f9R21vMXxHZFNpYNeKFtG8_yji4HS352LGlSQ/edit?pli=1#gid=0"",""1_ACUM!A4:S""),17,FALSE))"),"")</f>
        <v/>
      </c>
      <c r="BD342" s="44" t="str">
        <f ca="1">IFERROR(__xludf.DUMMYFUNCTION("IFERROR(VLOOKUP(E359&amp;F359,IMPORTRANGE(""https://docs.google.com/spreadsheets/d/1Uw7-A9f9R21vMXxHZFNpYNeKFtG8_yji4HS352LGlSQ/edit?pli=1#gid=0"",""1_ACUM!A4:S""),18,FALSE))"),"")</f>
        <v/>
      </c>
      <c r="BE342" s="44" t="str">
        <f ca="1">IFERROR(__xludf.DUMMYFUNCTION("IFERROR(VLOOKUP(E359&amp;F359,IMPORTRANGE(""https://docs.google.com/spreadsheets/d/1Uw7-A9f9R21vMXxHZFNpYNeKFtG8_yji4HS352LGlSQ/edit?pli=1#gid=0"",""1_ACUM!A4:S""),19,FALSE))"),"")</f>
        <v/>
      </c>
      <c r="BF342" s="44" t="str">
        <f ca="1">IFERROR(__xludf.DUMMYFUNCTION("IFERROR(VLOOKUP(F359,IMPORTRANGE(""https://docs.google.com/spreadsheets/d/1Kvs4KS76FHFqLFIZfrDMff4kP08nblUkihrxltoGBjg/edit#gid=934712705"",""ESENCIAL!A6:BG""),5,FALSE))"),"")</f>
        <v/>
      </c>
      <c r="BG342" s="44" t="str">
        <f t="shared" si="37"/>
        <v/>
      </c>
      <c r="BH342" s="41" t="str">
        <f t="shared" si="38"/>
        <v/>
      </c>
      <c r="BI342" s="41" t="str">
        <f ca="1">IFERROR(__xludf.DUMMYFUNCTION("IFERROR(VLOOKUP(F359,IMPORTRANGE(""https://docs.google.com/spreadsheets/d/1Kvs4KS76FHFqLFIZfrDMff4kP08nblUkihrxltoGBjg/edit#gid=934712705"",""ESENCIAL!A6:BG""),18,FALSE))"),"")</f>
        <v/>
      </c>
      <c r="BJ342" s="19" t="str">
        <f t="shared" si="39"/>
        <v/>
      </c>
      <c r="BK342" s="41"/>
      <c r="BL342" s="41"/>
    </row>
    <row r="343" spans="1:64" ht="15">
      <c r="A343" s="4"/>
      <c r="B343" s="4"/>
      <c r="G343" s="5" t="str">
        <f ca="1">IFERROR(__xludf.DUMMYFUNCTION("IFERROR(VLOOKUP(F360,IMPORTRANGE(""https://docs.google.com/spreadsheets/d/1Kvs4KS76FHFqLFIZfrDMff4kP08nblUkihrxltoGBjg/edit#gid=934712705"",""ESENCIAL!A6:BG""),3,FALSE))"),"")</f>
        <v/>
      </c>
      <c r="H343" s="5" t="str">
        <f ca="1">IFERROR(__xludf.DUMMYFUNCTION("IFERROR(VLOOKUP(F360,IMPORTRANGE(""https://docs.google.com/spreadsheets/d/1Kvs4KS76FHFqLFIZfrDMff4kP08nblUkihrxltoGBjg/edit#gid=934712705"",""ESENCIAL!A6:BG""),8,FALSE))"),"")</f>
        <v/>
      </c>
      <c r="L343" s="287"/>
      <c r="S343"/>
      <c r="AU343" s="41" t="str">
        <f t="shared" si="36"/>
        <v/>
      </c>
      <c r="AV343" s="5" t="str">
        <f ca="1">IFERROR(__xludf.DUMMYFUNCTION("IFERROR(VLOOKUP(E360&amp;F360,IMPORTRANGE(""https://docs.google.com/spreadsheets/d/1Uw7-A9f9R21vMXxHZFNpYNeKFtG8_yji4HS352LGlSQ/edit?pli=1#gid=0"",""1_ACUM!A4:S""),11,FALSE))"),"")</f>
        <v/>
      </c>
      <c r="AW343" s="42" t="str">
        <f ca="1">IFERROR(__xludf.DUMMYFUNCTION("IFERROR(VLOOKUP(F360,IMPORTRANGE(""https://docs.google.com/spreadsheets/d/1Kvs4KS76FHFqLFIZfrDMff4kP08nblUkihrxltoGBjg/edit#gid=934712705"",""ESENCIAL!A6:BG""),15,FALSE))"),"")</f>
        <v/>
      </c>
      <c r="AX343" s="21" t="str">
        <f ca="1">IFERROR(__xludf.DUMMYFUNCTION("IFERROR(VLOOKUP(E360&amp;F360,IMPORTRANGE(""https://docs.google.com/spreadsheets/d/1Uw7-A9f9R21vMXxHZFNpYNeKFtG8_yji4HS352LGlSQ/edit?pli=1#gid=0"",""1_ACUM!A4:S""),12,FALSE))"),"")</f>
        <v/>
      </c>
      <c r="AY343" s="43" t="str">
        <f ca="1">IFERROR(__xludf.DUMMYFUNCTION("IFERROR(VLOOKUP(E360&amp;F360,IMPORTRANGE(""https://docs.google.com/spreadsheets/d/1Uw7-A9f9R21vMXxHZFNpYNeKFtG8_yji4HS352LGlSQ/edit?pli=1#gid=0"",""1_ACUM!A4:S""),13,FALSE))"),"")</f>
        <v/>
      </c>
      <c r="AZ343" s="43" t="str">
        <f ca="1">IFERROR(__xludf.DUMMYFUNCTION("IFERROR(VLOOKUP(E360&amp;F360,IMPORTRANGE(""https://docs.google.com/spreadsheets/d/1Uw7-A9f9R21vMXxHZFNpYNeKFtG8_yji4HS352LGlSQ/edit?pli=1#gid=0"",""1_ACUM!A4:S""),14,FALSE))"),"")</f>
        <v/>
      </c>
      <c r="BA343" s="43" t="str">
        <f ca="1">IFERROR(__xludf.DUMMYFUNCTION("IFERROR(VLOOKUP(E360&amp;F360,IMPORTRANGE(""https://docs.google.com/spreadsheets/d/1Uw7-A9f9R21vMXxHZFNpYNeKFtG8_yji4HS352LGlSQ/edit?pli=1#gid=0"",""1_ACUM!A4:S""),15,FALSE))"),"")</f>
        <v/>
      </c>
      <c r="BB343" s="43" t="str">
        <f ca="1">IFERROR(__xludf.DUMMYFUNCTION("IFERROR(VLOOKUP(E360&amp;F360,IMPORTRANGE(""https://docs.google.com/spreadsheets/d/1Uw7-A9f9R21vMXxHZFNpYNeKFtG8_yji4HS352LGlSQ/edit?pli=1#gid=0"",""1_ACUM!A4:S""),16,FALSE))"),"")</f>
        <v/>
      </c>
      <c r="BC343" s="43" t="str">
        <f ca="1">IFERROR(__xludf.DUMMYFUNCTION("IFERROR(VLOOKUP(E360&amp;F360,IMPORTRANGE(""https://docs.google.com/spreadsheets/d/1Uw7-A9f9R21vMXxHZFNpYNeKFtG8_yji4HS352LGlSQ/edit?pli=1#gid=0"",""1_ACUM!A4:S""),17,FALSE))"),"")</f>
        <v/>
      </c>
      <c r="BD343" s="44" t="str">
        <f ca="1">IFERROR(__xludf.DUMMYFUNCTION("IFERROR(VLOOKUP(E360&amp;F360,IMPORTRANGE(""https://docs.google.com/spreadsheets/d/1Uw7-A9f9R21vMXxHZFNpYNeKFtG8_yji4HS352LGlSQ/edit?pli=1#gid=0"",""1_ACUM!A4:S""),18,FALSE))"),"")</f>
        <v/>
      </c>
      <c r="BE343" s="44" t="str">
        <f ca="1">IFERROR(__xludf.DUMMYFUNCTION("IFERROR(VLOOKUP(E360&amp;F360,IMPORTRANGE(""https://docs.google.com/spreadsheets/d/1Uw7-A9f9R21vMXxHZFNpYNeKFtG8_yji4HS352LGlSQ/edit?pli=1#gid=0"",""1_ACUM!A4:S""),19,FALSE))"),"")</f>
        <v/>
      </c>
      <c r="BF343" s="44" t="str">
        <f ca="1">IFERROR(__xludf.DUMMYFUNCTION("IFERROR(VLOOKUP(F360,IMPORTRANGE(""https://docs.google.com/spreadsheets/d/1Kvs4KS76FHFqLFIZfrDMff4kP08nblUkihrxltoGBjg/edit#gid=934712705"",""ESENCIAL!A6:BG""),5,FALSE))"),"")</f>
        <v/>
      </c>
      <c r="BG343" s="44" t="str">
        <f t="shared" si="37"/>
        <v/>
      </c>
      <c r="BH343" s="41" t="str">
        <f t="shared" si="38"/>
        <v/>
      </c>
      <c r="BI343" s="41" t="str">
        <f ca="1">IFERROR(__xludf.DUMMYFUNCTION("IFERROR(VLOOKUP(F360,IMPORTRANGE(""https://docs.google.com/spreadsheets/d/1Kvs4KS76FHFqLFIZfrDMff4kP08nblUkihrxltoGBjg/edit#gid=934712705"",""ESENCIAL!A6:BG""),18,FALSE))"),"")</f>
        <v/>
      </c>
      <c r="BJ343" s="19" t="str">
        <f t="shared" si="39"/>
        <v/>
      </c>
      <c r="BK343" s="41"/>
      <c r="BL343" s="41"/>
    </row>
    <row r="344" spans="1:64" ht="15">
      <c r="A344" s="4"/>
      <c r="B344" s="4"/>
      <c r="G344" s="5" t="str">
        <f ca="1">IFERROR(__xludf.DUMMYFUNCTION("IFERROR(VLOOKUP(F361,IMPORTRANGE(""https://docs.google.com/spreadsheets/d/1Kvs4KS76FHFqLFIZfrDMff4kP08nblUkihrxltoGBjg/edit#gid=934712705"",""ESENCIAL!A6:BG""),3,FALSE))"),"")</f>
        <v/>
      </c>
      <c r="H344" s="5" t="str">
        <f ca="1">IFERROR(__xludf.DUMMYFUNCTION("IFERROR(VLOOKUP(F361,IMPORTRANGE(""https://docs.google.com/spreadsheets/d/1Kvs4KS76FHFqLFIZfrDMff4kP08nblUkihrxltoGBjg/edit#gid=934712705"",""ESENCIAL!A6:BG""),8,FALSE))"),"")</f>
        <v/>
      </c>
      <c r="L344" s="287"/>
      <c r="S344"/>
      <c r="AU344" s="41" t="str">
        <f t="shared" si="36"/>
        <v/>
      </c>
      <c r="AV344" s="5" t="str">
        <f ca="1">IFERROR(__xludf.DUMMYFUNCTION("IFERROR(VLOOKUP(E361&amp;F361,IMPORTRANGE(""https://docs.google.com/spreadsheets/d/1Uw7-A9f9R21vMXxHZFNpYNeKFtG8_yji4HS352LGlSQ/edit?pli=1#gid=0"",""1_ACUM!A4:S""),11,FALSE))"),"")</f>
        <v/>
      </c>
      <c r="AW344" s="42" t="str">
        <f ca="1">IFERROR(__xludf.DUMMYFUNCTION("IFERROR(VLOOKUP(F361,IMPORTRANGE(""https://docs.google.com/spreadsheets/d/1Kvs4KS76FHFqLFIZfrDMff4kP08nblUkihrxltoGBjg/edit#gid=934712705"",""ESENCIAL!A6:BG""),15,FALSE))"),"")</f>
        <v/>
      </c>
      <c r="AX344" s="21" t="str">
        <f ca="1">IFERROR(__xludf.DUMMYFUNCTION("IFERROR(VLOOKUP(E361&amp;F361,IMPORTRANGE(""https://docs.google.com/spreadsheets/d/1Uw7-A9f9R21vMXxHZFNpYNeKFtG8_yji4HS352LGlSQ/edit?pli=1#gid=0"",""1_ACUM!A4:S""),12,FALSE))"),"")</f>
        <v/>
      </c>
      <c r="AY344" s="43" t="str">
        <f ca="1">IFERROR(__xludf.DUMMYFUNCTION("IFERROR(VLOOKUP(E361&amp;F361,IMPORTRANGE(""https://docs.google.com/spreadsheets/d/1Uw7-A9f9R21vMXxHZFNpYNeKFtG8_yji4HS352LGlSQ/edit?pli=1#gid=0"",""1_ACUM!A4:S""),13,FALSE))"),"")</f>
        <v/>
      </c>
      <c r="AZ344" s="43" t="str">
        <f ca="1">IFERROR(__xludf.DUMMYFUNCTION("IFERROR(VLOOKUP(E361&amp;F361,IMPORTRANGE(""https://docs.google.com/spreadsheets/d/1Uw7-A9f9R21vMXxHZFNpYNeKFtG8_yji4HS352LGlSQ/edit?pli=1#gid=0"",""1_ACUM!A4:S""),14,FALSE))"),"")</f>
        <v/>
      </c>
      <c r="BA344" s="43" t="str">
        <f ca="1">IFERROR(__xludf.DUMMYFUNCTION("IFERROR(VLOOKUP(E361&amp;F361,IMPORTRANGE(""https://docs.google.com/spreadsheets/d/1Uw7-A9f9R21vMXxHZFNpYNeKFtG8_yji4HS352LGlSQ/edit?pli=1#gid=0"",""1_ACUM!A4:S""),15,FALSE))"),"")</f>
        <v/>
      </c>
      <c r="BB344" s="43" t="str">
        <f ca="1">IFERROR(__xludf.DUMMYFUNCTION("IFERROR(VLOOKUP(E361&amp;F361,IMPORTRANGE(""https://docs.google.com/spreadsheets/d/1Uw7-A9f9R21vMXxHZFNpYNeKFtG8_yji4HS352LGlSQ/edit?pli=1#gid=0"",""1_ACUM!A4:S""),16,FALSE))"),"")</f>
        <v/>
      </c>
      <c r="BC344" s="43" t="str">
        <f ca="1">IFERROR(__xludf.DUMMYFUNCTION("IFERROR(VLOOKUP(E361&amp;F361,IMPORTRANGE(""https://docs.google.com/spreadsheets/d/1Uw7-A9f9R21vMXxHZFNpYNeKFtG8_yji4HS352LGlSQ/edit?pli=1#gid=0"",""1_ACUM!A4:S""),17,FALSE))"),"")</f>
        <v/>
      </c>
      <c r="BD344" s="44" t="str">
        <f ca="1">IFERROR(__xludf.DUMMYFUNCTION("IFERROR(VLOOKUP(E361&amp;F361,IMPORTRANGE(""https://docs.google.com/spreadsheets/d/1Uw7-A9f9R21vMXxHZFNpYNeKFtG8_yji4HS352LGlSQ/edit?pli=1#gid=0"",""1_ACUM!A4:S""),18,FALSE))"),"")</f>
        <v/>
      </c>
      <c r="BE344" s="44" t="str">
        <f ca="1">IFERROR(__xludf.DUMMYFUNCTION("IFERROR(VLOOKUP(E361&amp;F361,IMPORTRANGE(""https://docs.google.com/spreadsheets/d/1Uw7-A9f9R21vMXxHZFNpYNeKFtG8_yji4HS352LGlSQ/edit?pli=1#gid=0"",""1_ACUM!A4:S""),19,FALSE))"),"")</f>
        <v/>
      </c>
      <c r="BF344" s="44" t="str">
        <f ca="1">IFERROR(__xludf.DUMMYFUNCTION("IFERROR(VLOOKUP(F361,IMPORTRANGE(""https://docs.google.com/spreadsheets/d/1Kvs4KS76FHFqLFIZfrDMff4kP08nblUkihrxltoGBjg/edit#gid=934712705"",""ESENCIAL!A6:BG""),5,FALSE))"),"")</f>
        <v/>
      </c>
      <c r="BG344" s="44" t="str">
        <f t="shared" si="37"/>
        <v/>
      </c>
      <c r="BH344" s="41" t="str">
        <f t="shared" si="38"/>
        <v/>
      </c>
      <c r="BI344" s="41" t="str">
        <f ca="1">IFERROR(__xludf.DUMMYFUNCTION("IFERROR(VLOOKUP(F361,IMPORTRANGE(""https://docs.google.com/spreadsheets/d/1Kvs4KS76FHFqLFIZfrDMff4kP08nblUkihrxltoGBjg/edit#gid=934712705"",""ESENCIAL!A6:BG""),18,FALSE))"),"")</f>
        <v/>
      </c>
      <c r="BJ344" s="19" t="str">
        <f t="shared" si="39"/>
        <v/>
      </c>
      <c r="BK344" s="41"/>
      <c r="BL344" s="41"/>
    </row>
    <row r="345" spans="1:64" ht="15">
      <c r="A345" s="4"/>
      <c r="B345" s="4"/>
      <c r="G345" s="5" t="str">
        <f ca="1">IFERROR(__xludf.DUMMYFUNCTION("IFERROR(VLOOKUP(F362,IMPORTRANGE(""https://docs.google.com/spreadsheets/d/1Kvs4KS76FHFqLFIZfrDMff4kP08nblUkihrxltoGBjg/edit#gid=934712705"",""ESENCIAL!A6:BG""),3,FALSE))"),"")</f>
        <v/>
      </c>
      <c r="H345" s="5" t="str">
        <f ca="1">IFERROR(__xludf.DUMMYFUNCTION("IFERROR(VLOOKUP(F362,IMPORTRANGE(""https://docs.google.com/spreadsheets/d/1Kvs4KS76FHFqLFIZfrDMff4kP08nblUkihrxltoGBjg/edit#gid=934712705"",""ESENCIAL!A6:BG""),8,FALSE))"),"")</f>
        <v/>
      </c>
      <c r="L345" s="287"/>
      <c r="S345"/>
      <c r="AU345" s="41" t="str">
        <f t="shared" si="36"/>
        <v/>
      </c>
      <c r="AV345" s="5" t="str">
        <f ca="1">IFERROR(__xludf.DUMMYFUNCTION("IFERROR(VLOOKUP(E362&amp;F362,IMPORTRANGE(""https://docs.google.com/spreadsheets/d/1Uw7-A9f9R21vMXxHZFNpYNeKFtG8_yji4HS352LGlSQ/edit?pli=1#gid=0"",""1_ACUM!A4:S""),11,FALSE))"),"")</f>
        <v/>
      </c>
      <c r="AW345" s="42" t="str">
        <f ca="1">IFERROR(__xludf.DUMMYFUNCTION("IFERROR(VLOOKUP(F362,IMPORTRANGE(""https://docs.google.com/spreadsheets/d/1Kvs4KS76FHFqLFIZfrDMff4kP08nblUkihrxltoGBjg/edit#gid=934712705"",""ESENCIAL!A6:BG""),15,FALSE))"),"")</f>
        <v/>
      </c>
      <c r="AX345" s="21" t="str">
        <f ca="1">IFERROR(__xludf.DUMMYFUNCTION("IFERROR(VLOOKUP(E362&amp;F362,IMPORTRANGE(""https://docs.google.com/spreadsheets/d/1Uw7-A9f9R21vMXxHZFNpYNeKFtG8_yji4HS352LGlSQ/edit?pli=1#gid=0"",""1_ACUM!A4:S""),12,FALSE))"),"")</f>
        <v/>
      </c>
      <c r="AY345" s="43" t="str">
        <f ca="1">IFERROR(__xludf.DUMMYFUNCTION("IFERROR(VLOOKUP(E362&amp;F362,IMPORTRANGE(""https://docs.google.com/spreadsheets/d/1Uw7-A9f9R21vMXxHZFNpYNeKFtG8_yji4HS352LGlSQ/edit?pli=1#gid=0"",""1_ACUM!A4:S""),13,FALSE))"),"")</f>
        <v/>
      </c>
      <c r="AZ345" s="43" t="str">
        <f ca="1">IFERROR(__xludf.DUMMYFUNCTION("IFERROR(VLOOKUP(E362&amp;F362,IMPORTRANGE(""https://docs.google.com/spreadsheets/d/1Uw7-A9f9R21vMXxHZFNpYNeKFtG8_yji4HS352LGlSQ/edit?pli=1#gid=0"",""1_ACUM!A4:S""),14,FALSE))"),"")</f>
        <v/>
      </c>
      <c r="BA345" s="43" t="str">
        <f ca="1">IFERROR(__xludf.DUMMYFUNCTION("IFERROR(VLOOKUP(E362&amp;F362,IMPORTRANGE(""https://docs.google.com/spreadsheets/d/1Uw7-A9f9R21vMXxHZFNpYNeKFtG8_yji4HS352LGlSQ/edit?pli=1#gid=0"",""1_ACUM!A4:S""),15,FALSE))"),"")</f>
        <v/>
      </c>
      <c r="BB345" s="43" t="str">
        <f ca="1">IFERROR(__xludf.DUMMYFUNCTION("IFERROR(VLOOKUP(E362&amp;F362,IMPORTRANGE(""https://docs.google.com/spreadsheets/d/1Uw7-A9f9R21vMXxHZFNpYNeKFtG8_yji4HS352LGlSQ/edit?pli=1#gid=0"",""1_ACUM!A4:S""),16,FALSE))"),"")</f>
        <v/>
      </c>
      <c r="BC345" s="43" t="str">
        <f ca="1">IFERROR(__xludf.DUMMYFUNCTION("IFERROR(VLOOKUP(E362&amp;F362,IMPORTRANGE(""https://docs.google.com/spreadsheets/d/1Uw7-A9f9R21vMXxHZFNpYNeKFtG8_yji4HS352LGlSQ/edit?pli=1#gid=0"",""1_ACUM!A4:S""),17,FALSE))"),"")</f>
        <v/>
      </c>
      <c r="BD345" s="44" t="str">
        <f ca="1">IFERROR(__xludf.DUMMYFUNCTION("IFERROR(VLOOKUP(E362&amp;F362,IMPORTRANGE(""https://docs.google.com/spreadsheets/d/1Uw7-A9f9R21vMXxHZFNpYNeKFtG8_yji4HS352LGlSQ/edit?pli=1#gid=0"",""1_ACUM!A4:S""),18,FALSE))"),"")</f>
        <v/>
      </c>
      <c r="BE345" s="44" t="str">
        <f ca="1">IFERROR(__xludf.DUMMYFUNCTION("IFERROR(VLOOKUP(E362&amp;F362,IMPORTRANGE(""https://docs.google.com/spreadsheets/d/1Uw7-A9f9R21vMXxHZFNpYNeKFtG8_yji4HS352LGlSQ/edit?pli=1#gid=0"",""1_ACUM!A4:S""),19,FALSE))"),"")</f>
        <v/>
      </c>
      <c r="BF345" s="44" t="str">
        <f ca="1">IFERROR(__xludf.DUMMYFUNCTION("IFERROR(VLOOKUP(F362,IMPORTRANGE(""https://docs.google.com/spreadsheets/d/1Kvs4KS76FHFqLFIZfrDMff4kP08nblUkihrxltoGBjg/edit#gid=934712705"",""ESENCIAL!A6:BG""),5,FALSE))"),"")</f>
        <v/>
      </c>
      <c r="BG345" s="44" t="str">
        <f t="shared" si="37"/>
        <v/>
      </c>
      <c r="BH345" s="41" t="str">
        <f t="shared" si="38"/>
        <v/>
      </c>
      <c r="BI345" s="41" t="str">
        <f ca="1">IFERROR(__xludf.DUMMYFUNCTION("IFERROR(VLOOKUP(F362,IMPORTRANGE(""https://docs.google.com/spreadsheets/d/1Kvs4KS76FHFqLFIZfrDMff4kP08nblUkihrxltoGBjg/edit#gid=934712705"",""ESENCIAL!A6:BG""),18,FALSE))"),"")</f>
        <v/>
      </c>
      <c r="BJ345" s="19" t="str">
        <f t="shared" si="39"/>
        <v/>
      </c>
      <c r="BK345" s="41"/>
      <c r="BL345" s="41"/>
    </row>
    <row r="346" spans="1:64" ht="15">
      <c r="A346" s="4"/>
      <c r="B346" s="4"/>
      <c r="G346" s="5" t="str">
        <f ca="1">IFERROR(__xludf.DUMMYFUNCTION("IFERROR(VLOOKUP(F363,IMPORTRANGE(""https://docs.google.com/spreadsheets/d/1Kvs4KS76FHFqLFIZfrDMff4kP08nblUkihrxltoGBjg/edit#gid=934712705"",""ESENCIAL!A6:BG""),3,FALSE))"),"")</f>
        <v/>
      </c>
      <c r="H346" s="5" t="str">
        <f ca="1">IFERROR(__xludf.DUMMYFUNCTION("IFERROR(VLOOKUP(F363,IMPORTRANGE(""https://docs.google.com/spreadsheets/d/1Kvs4KS76FHFqLFIZfrDMff4kP08nblUkihrxltoGBjg/edit#gid=934712705"",""ESENCIAL!A6:BG""),8,FALSE))"),"")</f>
        <v/>
      </c>
      <c r="L346" s="287"/>
      <c r="S346"/>
      <c r="AU346" s="41" t="str">
        <f t="shared" si="36"/>
        <v/>
      </c>
      <c r="AV346" s="5" t="str">
        <f ca="1">IFERROR(__xludf.DUMMYFUNCTION("IFERROR(VLOOKUP(E363&amp;F363,IMPORTRANGE(""https://docs.google.com/spreadsheets/d/1Uw7-A9f9R21vMXxHZFNpYNeKFtG8_yji4HS352LGlSQ/edit?pli=1#gid=0"",""1_ACUM!A4:S""),11,FALSE))"),"")</f>
        <v/>
      </c>
      <c r="AW346" s="42" t="str">
        <f ca="1">IFERROR(__xludf.DUMMYFUNCTION("IFERROR(VLOOKUP(F363,IMPORTRANGE(""https://docs.google.com/spreadsheets/d/1Kvs4KS76FHFqLFIZfrDMff4kP08nblUkihrxltoGBjg/edit#gid=934712705"",""ESENCIAL!A6:BG""),15,FALSE))"),"")</f>
        <v/>
      </c>
      <c r="AX346" s="21" t="str">
        <f ca="1">IFERROR(__xludf.DUMMYFUNCTION("IFERROR(VLOOKUP(E363&amp;F363,IMPORTRANGE(""https://docs.google.com/spreadsheets/d/1Uw7-A9f9R21vMXxHZFNpYNeKFtG8_yji4HS352LGlSQ/edit?pli=1#gid=0"",""1_ACUM!A4:S""),12,FALSE))"),"")</f>
        <v/>
      </c>
      <c r="AY346" s="43" t="str">
        <f ca="1">IFERROR(__xludf.DUMMYFUNCTION("IFERROR(VLOOKUP(E363&amp;F363,IMPORTRANGE(""https://docs.google.com/spreadsheets/d/1Uw7-A9f9R21vMXxHZFNpYNeKFtG8_yji4HS352LGlSQ/edit?pli=1#gid=0"",""1_ACUM!A4:S""),13,FALSE))"),"")</f>
        <v/>
      </c>
      <c r="AZ346" s="43" t="str">
        <f ca="1">IFERROR(__xludf.DUMMYFUNCTION("IFERROR(VLOOKUP(E363&amp;F363,IMPORTRANGE(""https://docs.google.com/spreadsheets/d/1Uw7-A9f9R21vMXxHZFNpYNeKFtG8_yji4HS352LGlSQ/edit?pli=1#gid=0"",""1_ACUM!A4:S""),14,FALSE))"),"")</f>
        <v/>
      </c>
      <c r="BA346" s="43" t="str">
        <f ca="1">IFERROR(__xludf.DUMMYFUNCTION("IFERROR(VLOOKUP(E363&amp;F363,IMPORTRANGE(""https://docs.google.com/spreadsheets/d/1Uw7-A9f9R21vMXxHZFNpYNeKFtG8_yji4HS352LGlSQ/edit?pli=1#gid=0"",""1_ACUM!A4:S""),15,FALSE))"),"")</f>
        <v/>
      </c>
      <c r="BB346" s="43" t="str">
        <f ca="1">IFERROR(__xludf.DUMMYFUNCTION("IFERROR(VLOOKUP(E363&amp;F363,IMPORTRANGE(""https://docs.google.com/spreadsheets/d/1Uw7-A9f9R21vMXxHZFNpYNeKFtG8_yji4HS352LGlSQ/edit?pli=1#gid=0"",""1_ACUM!A4:S""),16,FALSE))"),"")</f>
        <v/>
      </c>
      <c r="BC346" s="43" t="str">
        <f ca="1">IFERROR(__xludf.DUMMYFUNCTION("IFERROR(VLOOKUP(E363&amp;F363,IMPORTRANGE(""https://docs.google.com/spreadsheets/d/1Uw7-A9f9R21vMXxHZFNpYNeKFtG8_yji4HS352LGlSQ/edit?pli=1#gid=0"",""1_ACUM!A4:S""),17,FALSE))"),"")</f>
        <v/>
      </c>
      <c r="BD346" s="44" t="str">
        <f ca="1">IFERROR(__xludf.DUMMYFUNCTION("IFERROR(VLOOKUP(E363&amp;F363,IMPORTRANGE(""https://docs.google.com/spreadsheets/d/1Uw7-A9f9R21vMXxHZFNpYNeKFtG8_yji4HS352LGlSQ/edit?pli=1#gid=0"",""1_ACUM!A4:S""),18,FALSE))"),"")</f>
        <v/>
      </c>
      <c r="BE346" s="44" t="str">
        <f ca="1">IFERROR(__xludf.DUMMYFUNCTION("IFERROR(VLOOKUP(E363&amp;F363,IMPORTRANGE(""https://docs.google.com/spreadsheets/d/1Uw7-A9f9R21vMXxHZFNpYNeKFtG8_yji4HS352LGlSQ/edit?pli=1#gid=0"",""1_ACUM!A4:S""),19,FALSE))"),"")</f>
        <v/>
      </c>
      <c r="BF346" s="44" t="str">
        <f ca="1">IFERROR(__xludf.DUMMYFUNCTION("IFERROR(VLOOKUP(F363,IMPORTRANGE(""https://docs.google.com/spreadsheets/d/1Kvs4KS76FHFqLFIZfrDMff4kP08nblUkihrxltoGBjg/edit#gid=934712705"",""ESENCIAL!A6:BG""),5,FALSE))"),"")</f>
        <v/>
      </c>
      <c r="BG346" s="44" t="str">
        <f t="shared" si="37"/>
        <v/>
      </c>
      <c r="BH346" s="41" t="str">
        <f t="shared" si="38"/>
        <v/>
      </c>
      <c r="BI346" s="41" t="str">
        <f ca="1">IFERROR(__xludf.DUMMYFUNCTION("IFERROR(VLOOKUP(F363,IMPORTRANGE(""https://docs.google.com/spreadsheets/d/1Kvs4KS76FHFqLFIZfrDMff4kP08nblUkihrxltoGBjg/edit#gid=934712705"",""ESENCIAL!A6:BG""),18,FALSE))"),"")</f>
        <v/>
      </c>
      <c r="BJ346" s="19" t="str">
        <f t="shared" si="39"/>
        <v/>
      </c>
      <c r="BK346" s="41"/>
      <c r="BL346" s="41"/>
    </row>
    <row r="347" spans="1:64" ht="15">
      <c r="A347" s="4"/>
      <c r="B347" s="4"/>
      <c r="G347" s="5" t="str">
        <f ca="1">IFERROR(__xludf.DUMMYFUNCTION("IFERROR(VLOOKUP(F364,IMPORTRANGE(""https://docs.google.com/spreadsheets/d/1Kvs4KS76FHFqLFIZfrDMff4kP08nblUkihrxltoGBjg/edit#gid=934712705"",""ESENCIAL!A6:BG""),3,FALSE))"),"")</f>
        <v/>
      </c>
      <c r="H347" s="5" t="str">
        <f ca="1">IFERROR(__xludf.DUMMYFUNCTION("IFERROR(VLOOKUP(F364,IMPORTRANGE(""https://docs.google.com/spreadsheets/d/1Kvs4KS76FHFqLFIZfrDMff4kP08nblUkihrxltoGBjg/edit#gid=934712705"",""ESENCIAL!A6:BG""),8,FALSE))"),"")</f>
        <v/>
      </c>
      <c r="L347" s="287"/>
      <c r="S347"/>
      <c r="AU347" s="41" t="str">
        <f t="shared" si="36"/>
        <v/>
      </c>
      <c r="AV347" s="5" t="str">
        <f ca="1">IFERROR(__xludf.DUMMYFUNCTION("IFERROR(VLOOKUP(E364&amp;F364,IMPORTRANGE(""https://docs.google.com/spreadsheets/d/1Uw7-A9f9R21vMXxHZFNpYNeKFtG8_yji4HS352LGlSQ/edit?pli=1#gid=0"",""1_ACUM!A4:S""),11,FALSE))"),"")</f>
        <v/>
      </c>
      <c r="AW347" s="42" t="str">
        <f ca="1">IFERROR(__xludf.DUMMYFUNCTION("IFERROR(VLOOKUP(F364,IMPORTRANGE(""https://docs.google.com/spreadsheets/d/1Kvs4KS76FHFqLFIZfrDMff4kP08nblUkihrxltoGBjg/edit#gid=934712705"",""ESENCIAL!A6:BG""),15,FALSE))"),"")</f>
        <v/>
      </c>
      <c r="AX347" s="21" t="str">
        <f ca="1">IFERROR(__xludf.DUMMYFUNCTION("IFERROR(VLOOKUP(E364&amp;F364,IMPORTRANGE(""https://docs.google.com/spreadsheets/d/1Uw7-A9f9R21vMXxHZFNpYNeKFtG8_yji4HS352LGlSQ/edit?pli=1#gid=0"",""1_ACUM!A4:S""),12,FALSE))"),"")</f>
        <v/>
      </c>
      <c r="AY347" s="43" t="str">
        <f ca="1">IFERROR(__xludf.DUMMYFUNCTION("IFERROR(VLOOKUP(E364&amp;F364,IMPORTRANGE(""https://docs.google.com/spreadsheets/d/1Uw7-A9f9R21vMXxHZFNpYNeKFtG8_yji4HS352LGlSQ/edit?pli=1#gid=0"",""1_ACUM!A4:S""),13,FALSE))"),"")</f>
        <v/>
      </c>
      <c r="AZ347" s="43" t="str">
        <f ca="1">IFERROR(__xludf.DUMMYFUNCTION("IFERROR(VLOOKUP(E364&amp;F364,IMPORTRANGE(""https://docs.google.com/spreadsheets/d/1Uw7-A9f9R21vMXxHZFNpYNeKFtG8_yji4HS352LGlSQ/edit?pli=1#gid=0"",""1_ACUM!A4:S""),14,FALSE))"),"")</f>
        <v/>
      </c>
      <c r="BA347" s="43" t="str">
        <f ca="1">IFERROR(__xludf.DUMMYFUNCTION("IFERROR(VLOOKUP(E364&amp;F364,IMPORTRANGE(""https://docs.google.com/spreadsheets/d/1Uw7-A9f9R21vMXxHZFNpYNeKFtG8_yji4HS352LGlSQ/edit?pli=1#gid=0"",""1_ACUM!A4:S""),15,FALSE))"),"")</f>
        <v/>
      </c>
      <c r="BB347" s="43" t="str">
        <f ca="1">IFERROR(__xludf.DUMMYFUNCTION("IFERROR(VLOOKUP(E364&amp;F364,IMPORTRANGE(""https://docs.google.com/spreadsheets/d/1Uw7-A9f9R21vMXxHZFNpYNeKFtG8_yji4HS352LGlSQ/edit?pli=1#gid=0"",""1_ACUM!A4:S""),16,FALSE))"),"")</f>
        <v/>
      </c>
      <c r="BC347" s="43" t="str">
        <f ca="1">IFERROR(__xludf.DUMMYFUNCTION("IFERROR(VLOOKUP(E364&amp;F364,IMPORTRANGE(""https://docs.google.com/spreadsheets/d/1Uw7-A9f9R21vMXxHZFNpYNeKFtG8_yji4HS352LGlSQ/edit?pli=1#gid=0"",""1_ACUM!A4:S""),17,FALSE))"),"")</f>
        <v/>
      </c>
      <c r="BD347" s="44" t="str">
        <f ca="1">IFERROR(__xludf.DUMMYFUNCTION("IFERROR(VLOOKUP(E364&amp;F364,IMPORTRANGE(""https://docs.google.com/spreadsheets/d/1Uw7-A9f9R21vMXxHZFNpYNeKFtG8_yji4HS352LGlSQ/edit?pli=1#gid=0"",""1_ACUM!A4:S""),18,FALSE))"),"")</f>
        <v/>
      </c>
      <c r="BE347" s="44" t="str">
        <f ca="1">IFERROR(__xludf.DUMMYFUNCTION("IFERROR(VLOOKUP(E364&amp;F364,IMPORTRANGE(""https://docs.google.com/spreadsheets/d/1Uw7-A9f9R21vMXxHZFNpYNeKFtG8_yji4HS352LGlSQ/edit?pli=1#gid=0"",""1_ACUM!A4:S""),19,FALSE))"),"")</f>
        <v/>
      </c>
      <c r="BF347" s="44" t="str">
        <f ca="1">IFERROR(__xludf.DUMMYFUNCTION("IFERROR(VLOOKUP(F364,IMPORTRANGE(""https://docs.google.com/spreadsheets/d/1Kvs4KS76FHFqLFIZfrDMff4kP08nblUkihrxltoGBjg/edit#gid=934712705"",""ESENCIAL!A6:BG""),5,FALSE))"),"")</f>
        <v/>
      </c>
      <c r="BG347" s="44" t="str">
        <f t="shared" si="37"/>
        <v/>
      </c>
      <c r="BH347" s="41" t="str">
        <f t="shared" si="38"/>
        <v/>
      </c>
      <c r="BI347" s="41" t="str">
        <f ca="1">IFERROR(__xludf.DUMMYFUNCTION("IFERROR(VLOOKUP(F364,IMPORTRANGE(""https://docs.google.com/spreadsheets/d/1Kvs4KS76FHFqLFIZfrDMff4kP08nblUkihrxltoGBjg/edit#gid=934712705"",""ESENCIAL!A6:BG""),18,FALSE))"),"")</f>
        <v/>
      </c>
      <c r="BJ347" s="19" t="str">
        <f t="shared" si="39"/>
        <v/>
      </c>
      <c r="BK347" s="41"/>
      <c r="BL347" s="41"/>
    </row>
    <row r="348" spans="1:64" ht="15">
      <c r="A348" s="4"/>
      <c r="B348" s="4"/>
      <c r="G348" s="5" t="str">
        <f ca="1">IFERROR(__xludf.DUMMYFUNCTION("IFERROR(VLOOKUP(F365,IMPORTRANGE(""https://docs.google.com/spreadsheets/d/1Kvs4KS76FHFqLFIZfrDMff4kP08nblUkihrxltoGBjg/edit#gid=934712705"",""ESENCIAL!A6:BG""),3,FALSE))"),"")</f>
        <v/>
      </c>
      <c r="H348" s="5" t="str">
        <f ca="1">IFERROR(__xludf.DUMMYFUNCTION("IFERROR(VLOOKUP(F365,IMPORTRANGE(""https://docs.google.com/spreadsheets/d/1Kvs4KS76FHFqLFIZfrDMff4kP08nblUkihrxltoGBjg/edit#gid=934712705"",""ESENCIAL!A6:BG""),8,FALSE))"),"")</f>
        <v/>
      </c>
      <c r="L348" s="287"/>
      <c r="S348"/>
      <c r="AU348" s="41" t="str">
        <f t="shared" si="36"/>
        <v/>
      </c>
      <c r="AV348" s="5" t="str">
        <f ca="1">IFERROR(__xludf.DUMMYFUNCTION("IFERROR(VLOOKUP(E365&amp;F365,IMPORTRANGE(""https://docs.google.com/spreadsheets/d/1Uw7-A9f9R21vMXxHZFNpYNeKFtG8_yji4HS352LGlSQ/edit?pli=1#gid=0"",""1_ACUM!A4:S""),11,FALSE))"),"")</f>
        <v/>
      </c>
      <c r="AW348" s="42" t="str">
        <f ca="1">IFERROR(__xludf.DUMMYFUNCTION("IFERROR(VLOOKUP(F365,IMPORTRANGE(""https://docs.google.com/spreadsheets/d/1Kvs4KS76FHFqLFIZfrDMff4kP08nblUkihrxltoGBjg/edit#gid=934712705"",""ESENCIAL!A6:BG""),15,FALSE))"),"")</f>
        <v/>
      </c>
      <c r="AX348" s="21" t="str">
        <f ca="1">IFERROR(__xludf.DUMMYFUNCTION("IFERROR(VLOOKUP(E365&amp;F365,IMPORTRANGE(""https://docs.google.com/spreadsheets/d/1Uw7-A9f9R21vMXxHZFNpYNeKFtG8_yji4HS352LGlSQ/edit?pli=1#gid=0"",""1_ACUM!A4:S""),12,FALSE))"),"")</f>
        <v/>
      </c>
      <c r="AY348" s="43" t="str">
        <f ca="1">IFERROR(__xludf.DUMMYFUNCTION("IFERROR(VLOOKUP(E365&amp;F365,IMPORTRANGE(""https://docs.google.com/spreadsheets/d/1Uw7-A9f9R21vMXxHZFNpYNeKFtG8_yji4HS352LGlSQ/edit?pli=1#gid=0"",""1_ACUM!A4:S""),13,FALSE))"),"")</f>
        <v/>
      </c>
      <c r="AZ348" s="43" t="str">
        <f ca="1">IFERROR(__xludf.DUMMYFUNCTION("IFERROR(VLOOKUP(E365&amp;F365,IMPORTRANGE(""https://docs.google.com/spreadsheets/d/1Uw7-A9f9R21vMXxHZFNpYNeKFtG8_yji4HS352LGlSQ/edit?pli=1#gid=0"",""1_ACUM!A4:S""),14,FALSE))"),"")</f>
        <v/>
      </c>
      <c r="BA348" s="43" t="str">
        <f ca="1">IFERROR(__xludf.DUMMYFUNCTION("IFERROR(VLOOKUP(E365&amp;F365,IMPORTRANGE(""https://docs.google.com/spreadsheets/d/1Uw7-A9f9R21vMXxHZFNpYNeKFtG8_yji4HS352LGlSQ/edit?pli=1#gid=0"",""1_ACUM!A4:S""),15,FALSE))"),"")</f>
        <v/>
      </c>
      <c r="BB348" s="43" t="str">
        <f ca="1">IFERROR(__xludf.DUMMYFUNCTION("IFERROR(VLOOKUP(E365&amp;F365,IMPORTRANGE(""https://docs.google.com/spreadsheets/d/1Uw7-A9f9R21vMXxHZFNpYNeKFtG8_yji4HS352LGlSQ/edit?pli=1#gid=0"",""1_ACUM!A4:S""),16,FALSE))"),"")</f>
        <v/>
      </c>
      <c r="BC348" s="43" t="str">
        <f ca="1">IFERROR(__xludf.DUMMYFUNCTION("IFERROR(VLOOKUP(E365&amp;F365,IMPORTRANGE(""https://docs.google.com/spreadsheets/d/1Uw7-A9f9R21vMXxHZFNpYNeKFtG8_yji4HS352LGlSQ/edit?pli=1#gid=0"",""1_ACUM!A4:S""),17,FALSE))"),"")</f>
        <v/>
      </c>
      <c r="BD348" s="44" t="str">
        <f ca="1">IFERROR(__xludf.DUMMYFUNCTION("IFERROR(VLOOKUP(E365&amp;F365,IMPORTRANGE(""https://docs.google.com/spreadsheets/d/1Uw7-A9f9R21vMXxHZFNpYNeKFtG8_yji4HS352LGlSQ/edit?pli=1#gid=0"",""1_ACUM!A4:S""),18,FALSE))"),"")</f>
        <v/>
      </c>
      <c r="BE348" s="44" t="str">
        <f ca="1">IFERROR(__xludf.DUMMYFUNCTION("IFERROR(VLOOKUP(E365&amp;F365,IMPORTRANGE(""https://docs.google.com/spreadsheets/d/1Uw7-A9f9R21vMXxHZFNpYNeKFtG8_yji4HS352LGlSQ/edit?pli=1#gid=0"",""1_ACUM!A4:S""),19,FALSE))"),"")</f>
        <v/>
      </c>
      <c r="BF348" s="44" t="str">
        <f ca="1">IFERROR(__xludf.DUMMYFUNCTION("IFERROR(VLOOKUP(F365,IMPORTRANGE(""https://docs.google.com/spreadsheets/d/1Kvs4KS76FHFqLFIZfrDMff4kP08nblUkihrxltoGBjg/edit#gid=934712705"",""ESENCIAL!A6:BG""),5,FALSE))"),"")</f>
        <v/>
      </c>
      <c r="BG348" s="44" t="str">
        <f t="shared" si="37"/>
        <v/>
      </c>
      <c r="BH348" s="41" t="str">
        <f t="shared" si="38"/>
        <v/>
      </c>
      <c r="BI348" s="41" t="str">
        <f ca="1">IFERROR(__xludf.DUMMYFUNCTION("IFERROR(VLOOKUP(F365,IMPORTRANGE(""https://docs.google.com/spreadsheets/d/1Kvs4KS76FHFqLFIZfrDMff4kP08nblUkihrxltoGBjg/edit#gid=934712705"",""ESENCIAL!A6:BG""),18,FALSE))"),"")</f>
        <v/>
      </c>
      <c r="BJ348" s="19" t="str">
        <f t="shared" si="39"/>
        <v/>
      </c>
      <c r="BK348" s="41"/>
      <c r="BL348" s="41"/>
    </row>
    <row r="349" spans="1:64" ht="15">
      <c r="A349" s="4"/>
      <c r="B349" s="4"/>
      <c r="G349" s="5" t="str">
        <f ca="1">IFERROR(__xludf.DUMMYFUNCTION("IFERROR(VLOOKUP(F366,IMPORTRANGE(""https://docs.google.com/spreadsheets/d/1Kvs4KS76FHFqLFIZfrDMff4kP08nblUkihrxltoGBjg/edit#gid=934712705"",""ESENCIAL!A6:BG""),3,FALSE))"),"")</f>
        <v/>
      </c>
      <c r="H349" s="5" t="str">
        <f ca="1">IFERROR(__xludf.DUMMYFUNCTION("IFERROR(VLOOKUP(F366,IMPORTRANGE(""https://docs.google.com/spreadsheets/d/1Kvs4KS76FHFqLFIZfrDMff4kP08nblUkihrxltoGBjg/edit#gid=934712705"",""ESENCIAL!A6:BG""),8,FALSE))"),"")</f>
        <v/>
      </c>
      <c r="L349" s="287"/>
      <c r="S349"/>
      <c r="AU349" s="41" t="str">
        <f t="shared" si="36"/>
        <v/>
      </c>
      <c r="AV349" s="5" t="str">
        <f ca="1">IFERROR(__xludf.DUMMYFUNCTION("IFERROR(VLOOKUP(E366&amp;F366,IMPORTRANGE(""https://docs.google.com/spreadsheets/d/1Uw7-A9f9R21vMXxHZFNpYNeKFtG8_yji4HS352LGlSQ/edit?pli=1#gid=0"",""1_ACUM!A4:S""),11,FALSE))"),"")</f>
        <v/>
      </c>
      <c r="AW349" s="42" t="str">
        <f ca="1">IFERROR(__xludf.DUMMYFUNCTION("IFERROR(VLOOKUP(F366,IMPORTRANGE(""https://docs.google.com/spreadsheets/d/1Kvs4KS76FHFqLFIZfrDMff4kP08nblUkihrxltoGBjg/edit#gid=934712705"",""ESENCIAL!A6:BG""),15,FALSE))"),"")</f>
        <v/>
      </c>
      <c r="AX349" s="21" t="str">
        <f ca="1">IFERROR(__xludf.DUMMYFUNCTION("IFERROR(VLOOKUP(E366&amp;F366,IMPORTRANGE(""https://docs.google.com/spreadsheets/d/1Uw7-A9f9R21vMXxHZFNpYNeKFtG8_yji4HS352LGlSQ/edit?pli=1#gid=0"",""1_ACUM!A4:S""),12,FALSE))"),"")</f>
        <v/>
      </c>
      <c r="AY349" s="43" t="str">
        <f ca="1">IFERROR(__xludf.DUMMYFUNCTION("IFERROR(VLOOKUP(E366&amp;F366,IMPORTRANGE(""https://docs.google.com/spreadsheets/d/1Uw7-A9f9R21vMXxHZFNpYNeKFtG8_yji4HS352LGlSQ/edit?pli=1#gid=0"",""1_ACUM!A4:S""),13,FALSE))"),"")</f>
        <v/>
      </c>
      <c r="AZ349" s="43" t="str">
        <f ca="1">IFERROR(__xludf.DUMMYFUNCTION("IFERROR(VLOOKUP(E366&amp;F366,IMPORTRANGE(""https://docs.google.com/spreadsheets/d/1Uw7-A9f9R21vMXxHZFNpYNeKFtG8_yji4HS352LGlSQ/edit?pli=1#gid=0"",""1_ACUM!A4:S""),14,FALSE))"),"")</f>
        <v/>
      </c>
      <c r="BA349" s="43" t="str">
        <f ca="1">IFERROR(__xludf.DUMMYFUNCTION("IFERROR(VLOOKUP(E366&amp;F366,IMPORTRANGE(""https://docs.google.com/spreadsheets/d/1Uw7-A9f9R21vMXxHZFNpYNeKFtG8_yji4HS352LGlSQ/edit?pli=1#gid=0"",""1_ACUM!A4:S""),15,FALSE))"),"")</f>
        <v/>
      </c>
      <c r="BB349" s="43" t="str">
        <f ca="1">IFERROR(__xludf.DUMMYFUNCTION("IFERROR(VLOOKUP(E366&amp;F366,IMPORTRANGE(""https://docs.google.com/spreadsheets/d/1Uw7-A9f9R21vMXxHZFNpYNeKFtG8_yji4HS352LGlSQ/edit?pli=1#gid=0"",""1_ACUM!A4:S""),16,FALSE))"),"")</f>
        <v/>
      </c>
      <c r="BC349" s="43" t="str">
        <f ca="1">IFERROR(__xludf.DUMMYFUNCTION("IFERROR(VLOOKUP(E366&amp;F366,IMPORTRANGE(""https://docs.google.com/spreadsheets/d/1Uw7-A9f9R21vMXxHZFNpYNeKFtG8_yji4HS352LGlSQ/edit?pli=1#gid=0"",""1_ACUM!A4:S""),17,FALSE))"),"")</f>
        <v/>
      </c>
      <c r="BD349" s="44" t="str">
        <f ca="1">IFERROR(__xludf.DUMMYFUNCTION("IFERROR(VLOOKUP(E366&amp;F366,IMPORTRANGE(""https://docs.google.com/spreadsheets/d/1Uw7-A9f9R21vMXxHZFNpYNeKFtG8_yji4HS352LGlSQ/edit?pli=1#gid=0"",""1_ACUM!A4:S""),18,FALSE))"),"")</f>
        <v/>
      </c>
      <c r="BE349" s="44" t="str">
        <f ca="1">IFERROR(__xludf.DUMMYFUNCTION("IFERROR(VLOOKUP(E366&amp;F366,IMPORTRANGE(""https://docs.google.com/spreadsheets/d/1Uw7-A9f9R21vMXxHZFNpYNeKFtG8_yji4HS352LGlSQ/edit?pli=1#gid=0"",""1_ACUM!A4:S""),19,FALSE))"),"")</f>
        <v/>
      </c>
      <c r="BF349" s="44" t="str">
        <f ca="1">IFERROR(__xludf.DUMMYFUNCTION("IFERROR(VLOOKUP(F366,IMPORTRANGE(""https://docs.google.com/spreadsheets/d/1Kvs4KS76FHFqLFIZfrDMff4kP08nblUkihrxltoGBjg/edit#gid=934712705"",""ESENCIAL!A6:BG""),5,FALSE))"),"")</f>
        <v/>
      </c>
      <c r="BG349" s="44" t="str">
        <f t="shared" si="37"/>
        <v/>
      </c>
      <c r="BH349" s="41" t="str">
        <f t="shared" si="38"/>
        <v/>
      </c>
      <c r="BI349" s="41" t="str">
        <f ca="1">IFERROR(__xludf.DUMMYFUNCTION("IFERROR(VLOOKUP(F366,IMPORTRANGE(""https://docs.google.com/spreadsheets/d/1Kvs4KS76FHFqLFIZfrDMff4kP08nblUkihrxltoGBjg/edit#gid=934712705"",""ESENCIAL!A6:BG""),18,FALSE))"),"")</f>
        <v/>
      </c>
      <c r="BJ349" s="19" t="str">
        <f t="shared" si="39"/>
        <v/>
      </c>
      <c r="BK349" s="41"/>
      <c r="BL349" s="41"/>
    </row>
    <row r="350" spans="1:64" ht="15">
      <c r="A350" s="4"/>
      <c r="B350" s="4"/>
      <c r="G350" s="5" t="str">
        <f ca="1">IFERROR(__xludf.DUMMYFUNCTION("IFERROR(VLOOKUP(F367,IMPORTRANGE(""https://docs.google.com/spreadsheets/d/1Kvs4KS76FHFqLFIZfrDMff4kP08nblUkihrxltoGBjg/edit#gid=934712705"",""ESENCIAL!A6:BG""),3,FALSE))"),"")</f>
        <v/>
      </c>
      <c r="H350" s="5" t="str">
        <f ca="1">IFERROR(__xludf.DUMMYFUNCTION("IFERROR(VLOOKUP(F367,IMPORTRANGE(""https://docs.google.com/spreadsheets/d/1Kvs4KS76FHFqLFIZfrDMff4kP08nblUkihrxltoGBjg/edit#gid=934712705"",""ESENCIAL!A6:BG""),8,FALSE))"),"")</f>
        <v/>
      </c>
      <c r="L350" s="287"/>
      <c r="S350"/>
      <c r="AU350" s="41" t="str">
        <f t="shared" si="36"/>
        <v/>
      </c>
      <c r="AV350" s="5" t="str">
        <f ca="1">IFERROR(__xludf.DUMMYFUNCTION("IFERROR(VLOOKUP(E367&amp;F367,IMPORTRANGE(""https://docs.google.com/spreadsheets/d/1Uw7-A9f9R21vMXxHZFNpYNeKFtG8_yji4HS352LGlSQ/edit?pli=1#gid=0"",""1_ACUM!A4:S""),11,FALSE))"),"")</f>
        <v/>
      </c>
      <c r="AW350" s="42" t="str">
        <f ca="1">IFERROR(__xludf.DUMMYFUNCTION("IFERROR(VLOOKUP(F367,IMPORTRANGE(""https://docs.google.com/spreadsheets/d/1Kvs4KS76FHFqLFIZfrDMff4kP08nblUkihrxltoGBjg/edit#gid=934712705"",""ESENCIAL!A6:BG""),15,FALSE))"),"")</f>
        <v/>
      </c>
      <c r="AX350" s="21" t="str">
        <f ca="1">IFERROR(__xludf.DUMMYFUNCTION("IFERROR(VLOOKUP(E367&amp;F367,IMPORTRANGE(""https://docs.google.com/spreadsheets/d/1Uw7-A9f9R21vMXxHZFNpYNeKFtG8_yji4HS352LGlSQ/edit?pli=1#gid=0"",""1_ACUM!A4:S""),12,FALSE))"),"")</f>
        <v/>
      </c>
      <c r="AY350" s="43" t="str">
        <f ca="1">IFERROR(__xludf.DUMMYFUNCTION("IFERROR(VLOOKUP(E367&amp;F367,IMPORTRANGE(""https://docs.google.com/spreadsheets/d/1Uw7-A9f9R21vMXxHZFNpYNeKFtG8_yji4HS352LGlSQ/edit?pli=1#gid=0"",""1_ACUM!A4:S""),13,FALSE))"),"")</f>
        <v/>
      </c>
      <c r="AZ350" s="43" t="str">
        <f ca="1">IFERROR(__xludf.DUMMYFUNCTION("IFERROR(VLOOKUP(E367&amp;F367,IMPORTRANGE(""https://docs.google.com/spreadsheets/d/1Uw7-A9f9R21vMXxHZFNpYNeKFtG8_yji4HS352LGlSQ/edit?pli=1#gid=0"",""1_ACUM!A4:S""),14,FALSE))"),"")</f>
        <v/>
      </c>
      <c r="BA350" s="43" t="str">
        <f ca="1">IFERROR(__xludf.DUMMYFUNCTION("IFERROR(VLOOKUP(E367&amp;F367,IMPORTRANGE(""https://docs.google.com/spreadsheets/d/1Uw7-A9f9R21vMXxHZFNpYNeKFtG8_yji4HS352LGlSQ/edit?pli=1#gid=0"",""1_ACUM!A4:S""),15,FALSE))"),"")</f>
        <v/>
      </c>
      <c r="BB350" s="43" t="str">
        <f ca="1">IFERROR(__xludf.DUMMYFUNCTION("IFERROR(VLOOKUP(E367&amp;F367,IMPORTRANGE(""https://docs.google.com/spreadsheets/d/1Uw7-A9f9R21vMXxHZFNpYNeKFtG8_yji4HS352LGlSQ/edit?pli=1#gid=0"",""1_ACUM!A4:S""),16,FALSE))"),"")</f>
        <v/>
      </c>
      <c r="BC350" s="43" t="str">
        <f ca="1">IFERROR(__xludf.DUMMYFUNCTION("IFERROR(VLOOKUP(E367&amp;F367,IMPORTRANGE(""https://docs.google.com/spreadsheets/d/1Uw7-A9f9R21vMXxHZFNpYNeKFtG8_yji4HS352LGlSQ/edit?pli=1#gid=0"",""1_ACUM!A4:S""),17,FALSE))"),"")</f>
        <v/>
      </c>
      <c r="BD350" s="44" t="str">
        <f ca="1">IFERROR(__xludf.DUMMYFUNCTION("IFERROR(VLOOKUP(E367&amp;F367,IMPORTRANGE(""https://docs.google.com/spreadsheets/d/1Uw7-A9f9R21vMXxHZFNpYNeKFtG8_yji4HS352LGlSQ/edit?pli=1#gid=0"",""1_ACUM!A4:S""),18,FALSE))"),"")</f>
        <v/>
      </c>
      <c r="BE350" s="44" t="str">
        <f ca="1">IFERROR(__xludf.DUMMYFUNCTION("IFERROR(VLOOKUP(E367&amp;F367,IMPORTRANGE(""https://docs.google.com/spreadsheets/d/1Uw7-A9f9R21vMXxHZFNpYNeKFtG8_yji4HS352LGlSQ/edit?pli=1#gid=0"",""1_ACUM!A4:S""),19,FALSE))"),"")</f>
        <v/>
      </c>
      <c r="BF350" s="44" t="str">
        <f ca="1">IFERROR(__xludf.DUMMYFUNCTION("IFERROR(VLOOKUP(F367,IMPORTRANGE(""https://docs.google.com/spreadsheets/d/1Kvs4KS76FHFqLFIZfrDMff4kP08nblUkihrxltoGBjg/edit#gid=934712705"",""ESENCIAL!A6:BG""),5,FALSE))"),"")</f>
        <v/>
      </c>
      <c r="BG350" s="44" t="str">
        <f t="shared" si="37"/>
        <v/>
      </c>
      <c r="BH350" s="41" t="str">
        <f t="shared" si="38"/>
        <v/>
      </c>
      <c r="BI350" s="41" t="str">
        <f ca="1">IFERROR(__xludf.DUMMYFUNCTION("IFERROR(VLOOKUP(F367,IMPORTRANGE(""https://docs.google.com/spreadsheets/d/1Kvs4KS76FHFqLFIZfrDMff4kP08nblUkihrxltoGBjg/edit#gid=934712705"",""ESENCIAL!A6:BG""),18,FALSE))"),"")</f>
        <v/>
      </c>
      <c r="BJ350" s="19" t="str">
        <f t="shared" si="39"/>
        <v/>
      </c>
      <c r="BK350" s="41"/>
      <c r="BL350" s="41"/>
    </row>
    <row r="351" spans="1:64" ht="15">
      <c r="A351" s="4"/>
      <c r="B351" s="4"/>
      <c r="G351" s="5" t="str">
        <f ca="1">IFERROR(__xludf.DUMMYFUNCTION("IFERROR(VLOOKUP(F368,IMPORTRANGE(""https://docs.google.com/spreadsheets/d/1Kvs4KS76FHFqLFIZfrDMff4kP08nblUkihrxltoGBjg/edit#gid=934712705"",""ESENCIAL!A6:BG""),3,FALSE))"),"")</f>
        <v/>
      </c>
      <c r="H351" s="5" t="str">
        <f ca="1">IFERROR(__xludf.DUMMYFUNCTION("IFERROR(VLOOKUP(F368,IMPORTRANGE(""https://docs.google.com/spreadsheets/d/1Kvs4KS76FHFqLFIZfrDMff4kP08nblUkihrxltoGBjg/edit#gid=934712705"",""ESENCIAL!A6:BG""),8,FALSE))"),"")</f>
        <v/>
      </c>
      <c r="L351" s="287"/>
      <c r="S351"/>
      <c r="AU351" s="41" t="str">
        <f t="shared" si="36"/>
        <v/>
      </c>
      <c r="AV351" s="5" t="str">
        <f ca="1">IFERROR(__xludf.DUMMYFUNCTION("IFERROR(VLOOKUP(E368&amp;F368,IMPORTRANGE(""https://docs.google.com/spreadsheets/d/1Uw7-A9f9R21vMXxHZFNpYNeKFtG8_yji4HS352LGlSQ/edit?pli=1#gid=0"",""1_ACUM!A4:S""),11,FALSE))"),"")</f>
        <v/>
      </c>
      <c r="AW351" s="42" t="str">
        <f ca="1">IFERROR(__xludf.DUMMYFUNCTION("IFERROR(VLOOKUP(F368,IMPORTRANGE(""https://docs.google.com/spreadsheets/d/1Kvs4KS76FHFqLFIZfrDMff4kP08nblUkihrxltoGBjg/edit#gid=934712705"",""ESENCIAL!A6:BG""),15,FALSE))"),"")</f>
        <v/>
      </c>
      <c r="AX351" s="21" t="str">
        <f ca="1">IFERROR(__xludf.DUMMYFUNCTION("IFERROR(VLOOKUP(E368&amp;F368,IMPORTRANGE(""https://docs.google.com/spreadsheets/d/1Uw7-A9f9R21vMXxHZFNpYNeKFtG8_yji4HS352LGlSQ/edit?pli=1#gid=0"",""1_ACUM!A4:S""),12,FALSE))"),"")</f>
        <v/>
      </c>
      <c r="AY351" s="43" t="str">
        <f ca="1">IFERROR(__xludf.DUMMYFUNCTION("IFERROR(VLOOKUP(E368&amp;F368,IMPORTRANGE(""https://docs.google.com/spreadsheets/d/1Uw7-A9f9R21vMXxHZFNpYNeKFtG8_yji4HS352LGlSQ/edit?pli=1#gid=0"",""1_ACUM!A4:S""),13,FALSE))"),"")</f>
        <v/>
      </c>
      <c r="AZ351" s="43" t="str">
        <f ca="1">IFERROR(__xludf.DUMMYFUNCTION("IFERROR(VLOOKUP(E368&amp;F368,IMPORTRANGE(""https://docs.google.com/spreadsheets/d/1Uw7-A9f9R21vMXxHZFNpYNeKFtG8_yji4HS352LGlSQ/edit?pli=1#gid=0"",""1_ACUM!A4:S""),14,FALSE))"),"")</f>
        <v/>
      </c>
      <c r="BA351" s="43" t="str">
        <f ca="1">IFERROR(__xludf.DUMMYFUNCTION("IFERROR(VLOOKUP(E368&amp;F368,IMPORTRANGE(""https://docs.google.com/spreadsheets/d/1Uw7-A9f9R21vMXxHZFNpYNeKFtG8_yji4HS352LGlSQ/edit?pli=1#gid=0"",""1_ACUM!A4:S""),15,FALSE))"),"")</f>
        <v/>
      </c>
      <c r="BB351" s="43" t="str">
        <f ca="1">IFERROR(__xludf.DUMMYFUNCTION("IFERROR(VLOOKUP(E368&amp;F368,IMPORTRANGE(""https://docs.google.com/spreadsheets/d/1Uw7-A9f9R21vMXxHZFNpYNeKFtG8_yji4HS352LGlSQ/edit?pli=1#gid=0"",""1_ACUM!A4:S""),16,FALSE))"),"")</f>
        <v/>
      </c>
      <c r="BC351" s="43" t="str">
        <f ca="1">IFERROR(__xludf.DUMMYFUNCTION("IFERROR(VLOOKUP(E368&amp;F368,IMPORTRANGE(""https://docs.google.com/spreadsheets/d/1Uw7-A9f9R21vMXxHZFNpYNeKFtG8_yji4HS352LGlSQ/edit?pli=1#gid=0"",""1_ACUM!A4:S""),17,FALSE))"),"")</f>
        <v/>
      </c>
      <c r="BD351" s="44" t="str">
        <f ca="1">IFERROR(__xludf.DUMMYFUNCTION("IFERROR(VLOOKUP(E368&amp;F368,IMPORTRANGE(""https://docs.google.com/spreadsheets/d/1Uw7-A9f9R21vMXxHZFNpYNeKFtG8_yji4HS352LGlSQ/edit?pli=1#gid=0"",""1_ACUM!A4:S""),18,FALSE))"),"")</f>
        <v/>
      </c>
      <c r="BE351" s="44" t="str">
        <f ca="1">IFERROR(__xludf.DUMMYFUNCTION("IFERROR(VLOOKUP(E368&amp;F368,IMPORTRANGE(""https://docs.google.com/spreadsheets/d/1Uw7-A9f9R21vMXxHZFNpYNeKFtG8_yji4HS352LGlSQ/edit?pli=1#gid=0"",""1_ACUM!A4:S""),19,FALSE))"),"")</f>
        <v/>
      </c>
      <c r="BF351" s="44" t="str">
        <f ca="1">IFERROR(__xludf.DUMMYFUNCTION("IFERROR(VLOOKUP(F368,IMPORTRANGE(""https://docs.google.com/spreadsheets/d/1Kvs4KS76FHFqLFIZfrDMff4kP08nblUkihrxltoGBjg/edit#gid=934712705"",""ESENCIAL!A6:BG""),5,FALSE))"),"")</f>
        <v/>
      </c>
      <c r="BG351" s="44" t="str">
        <f t="shared" si="37"/>
        <v/>
      </c>
      <c r="BH351" s="41" t="str">
        <f t="shared" si="38"/>
        <v/>
      </c>
      <c r="BI351" s="41" t="str">
        <f ca="1">IFERROR(__xludf.DUMMYFUNCTION("IFERROR(VLOOKUP(F368,IMPORTRANGE(""https://docs.google.com/spreadsheets/d/1Kvs4KS76FHFqLFIZfrDMff4kP08nblUkihrxltoGBjg/edit#gid=934712705"",""ESENCIAL!A6:BG""),18,FALSE))"),"")</f>
        <v/>
      </c>
      <c r="BJ351" s="19" t="str">
        <f t="shared" si="39"/>
        <v/>
      </c>
      <c r="BK351" s="41"/>
      <c r="BL351" s="41"/>
    </row>
    <row r="352" spans="1:64" ht="15">
      <c r="A352" s="4"/>
      <c r="B352" s="4"/>
      <c r="G352" s="5" t="str">
        <f ca="1">IFERROR(__xludf.DUMMYFUNCTION("IFERROR(VLOOKUP(F369,IMPORTRANGE(""https://docs.google.com/spreadsheets/d/1Kvs4KS76FHFqLFIZfrDMff4kP08nblUkihrxltoGBjg/edit#gid=934712705"",""ESENCIAL!A6:BG""),3,FALSE))"),"")</f>
        <v/>
      </c>
      <c r="H352" s="5" t="str">
        <f ca="1">IFERROR(__xludf.DUMMYFUNCTION("IFERROR(VLOOKUP(F369,IMPORTRANGE(""https://docs.google.com/spreadsheets/d/1Kvs4KS76FHFqLFIZfrDMff4kP08nblUkihrxltoGBjg/edit#gid=934712705"",""ESENCIAL!A6:BG""),8,FALSE))"),"")</f>
        <v/>
      </c>
      <c r="L352" s="287"/>
      <c r="S352"/>
      <c r="AU352" s="41" t="str">
        <f t="shared" si="36"/>
        <v/>
      </c>
      <c r="AV352" s="5" t="str">
        <f ca="1">IFERROR(__xludf.DUMMYFUNCTION("IFERROR(VLOOKUP(E369&amp;F369,IMPORTRANGE(""https://docs.google.com/spreadsheets/d/1Uw7-A9f9R21vMXxHZFNpYNeKFtG8_yji4HS352LGlSQ/edit?pli=1#gid=0"",""1_ACUM!A4:S""),11,FALSE))"),"")</f>
        <v/>
      </c>
      <c r="AW352" s="42" t="str">
        <f ca="1">IFERROR(__xludf.DUMMYFUNCTION("IFERROR(VLOOKUP(F369,IMPORTRANGE(""https://docs.google.com/spreadsheets/d/1Kvs4KS76FHFqLFIZfrDMff4kP08nblUkihrxltoGBjg/edit#gid=934712705"",""ESENCIAL!A6:BG""),15,FALSE))"),"")</f>
        <v/>
      </c>
      <c r="AX352" s="21" t="str">
        <f ca="1">IFERROR(__xludf.DUMMYFUNCTION("IFERROR(VLOOKUP(E369&amp;F369,IMPORTRANGE(""https://docs.google.com/spreadsheets/d/1Uw7-A9f9R21vMXxHZFNpYNeKFtG8_yji4HS352LGlSQ/edit?pli=1#gid=0"",""1_ACUM!A4:S""),12,FALSE))"),"")</f>
        <v/>
      </c>
      <c r="AY352" s="43" t="str">
        <f ca="1">IFERROR(__xludf.DUMMYFUNCTION("IFERROR(VLOOKUP(E369&amp;F369,IMPORTRANGE(""https://docs.google.com/spreadsheets/d/1Uw7-A9f9R21vMXxHZFNpYNeKFtG8_yji4HS352LGlSQ/edit?pli=1#gid=0"",""1_ACUM!A4:S""),13,FALSE))"),"")</f>
        <v/>
      </c>
      <c r="AZ352" s="43" t="str">
        <f ca="1">IFERROR(__xludf.DUMMYFUNCTION("IFERROR(VLOOKUP(E369&amp;F369,IMPORTRANGE(""https://docs.google.com/spreadsheets/d/1Uw7-A9f9R21vMXxHZFNpYNeKFtG8_yji4HS352LGlSQ/edit?pli=1#gid=0"",""1_ACUM!A4:S""),14,FALSE))"),"")</f>
        <v/>
      </c>
      <c r="BA352" s="43" t="str">
        <f ca="1">IFERROR(__xludf.DUMMYFUNCTION("IFERROR(VLOOKUP(E369&amp;F369,IMPORTRANGE(""https://docs.google.com/spreadsheets/d/1Uw7-A9f9R21vMXxHZFNpYNeKFtG8_yji4HS352LGlSQ/edit?pli=1#gid=0"",""1_ACUM!A4:S""),15,FALSE))"),"")</f>
        <v/>
      </c>
      <c r="BB352" s="43" t="str">
        <f ca="1">IFERROR(__xludf.DUMMYFUNCTION("IFERROR(VLOOKUP(E369&amp;F369,IMPORTRANGE(""https://docs.google.com/spreadsheets/d/1Uw7-A9f9R21vMXxHZFNpYNeKFtG8_yji4HS352LGlSQ/edit?pli=1#gid=0"",""1_ACUM!A4:S""),16,FALSE))"),"")</f>
        <v/>
      </c>
      <c r="BC352" s="43" t="str">
        <f ca="1">IFERROR(__xludf.DUMMYFUNCTION("IFERROR(VLOOKUP(E369&amp;F369,IMPORTRANGE(""https://docs.google.com/spreadsheets/d/1Uw7-A9f9R21vMXxHZFNpYNeKFtG8_yji4HS352LGlSQ/edit?pli=1#gid=0"",""1_ACUM!A4:S""),17,FALSE))"),"")</f>
        <v/>
      </c>
      <c r="BD352" s="44" t="str">
        <f ca="1">IFERROR(__xludf.DUMMYFUNCTION("IFERROR(VLOOKUP(E369&amp;F369,IMPORTRANGE(""https://docs.google.com/spreadsheets/d/1Uw7-A9f9R21vMXxHZFNpYNeKFtG8_yji4HS352LGlSQ/edit?pli=1#gid=0"",""1_ACUM!A4:S""),18,FALSE))"),"")</f>
        <v/>
      </c>
      <c r="BE352" s="44" t="str">
        <f ca="1">IFERROR(__xludf.DUMMYFUNCTION("IFERROR(VLOOKUP(E369&amp;F369,IMPORTRANGE(""https://docs.google.com/spreadsheets/d/1Uw7-A9f9R21vMXxHZFNpYNeKFtG8_yji4HS352LGlSQ/edit?pli=1#gid=0"",""1_ACUM!A4:S""),19,FALSE))"),"")</f>
        <v/>
      </c>
      <c r="BF352" s="44" t="str">
        <f ca="1">IFERROR(__xludf.DUMMYFUNCTION("IFERROR(VLOOKUP(F369,IMPORTRANGE(""https://docs.google.com/spreadsheets/d/1Kvs4KS76FHFqLFIZfrDMff4kP08nblUkihrxltoGBjg/edit#gid=934712705"",""ESENCIAL!A6:BG""),5,FALSE))"),"")</f>
        <v/>
      </c>
      <c r="BG352" s="44" t="str">
        <f t="shared" si="37"/>
        <v/>
      </c>
      <c r="BH352" s="41" t="str">
        <f t="shared" si="38"/>
        <v/>
      </c>
      <c r="BI352" s="41" t="str">
        <f ca="1">IFERROR(__xludf.DUMMYFUNCTION("IFERROR(VLOOKUP(F369,IMPORTRANGE(""https://docs.google.com/spreadsheets/d/1Kvs4KS76FHFqLFIZfrDMff4kP08nblUkihrxltoGBjg/edit#gid=934712705"",""ESENCIAL!A6:BG""),18,FALSE))"),"")</f>
        <v/>
      </c>
      <c r="BJ352" s="19" t="str">
        <f t="shared" si="39"/>
        <v/>
      </c>
      <c r="BK352" s="41"/>
      <c r="BL352" s="41"/>
    </row>
    <row r="353" spans="1:64" ht="15">
      <c r="A353" s="4"/>
      <c r="B353" s="4"/>
      <c r="G353" s="5" t="str">
        <f ca="1">IFERROR(__xludf.DUMMYFUNCTION("IFERROR(VLOOKUP(F370,IMPORTRANGE(""https://docs.google.com/spreadsheets/d/1Kvs4KS76FHFqLFIZfrDMff4kP08nblUkihrxltoGBjg/edit#gid=934712705"",""ESENCIAL!A6:BG""),3,FALSE))"),"")</f>
        <v/>
      </c>
      <c r="H353" s="5" t="str">
        <f ca="1">IFERROR(__xludf.DUMMYFUNCTION("IFERROR(VLOOKUP(F370,IMPORTRANGE(""https://docs.google.com/spreadsheets/d/1Kvs4KS76FHFqLFIZfrDMff4kP08nblUkihrxltoGBjg/edit#gid=934712705"",""ESENCIAL!A6:BG""),8,FALSE))"),"")</f>
        <v/>
      </c>
      <c r="L353" s="287"/>
      <c r="S353"/>
      <c r="AU353" s="41" t="str">
        <f t="shared" si="36"/>
        <v/>
      </c>
      <c r="AV353" s="5" t="str">
        <f ca="1">IFERROR(__xludf.DUMMYFUNCTION("IFERROR(VLOOKUP(E370&amp;F370,IMPORTRANGE(""https://docs.google.com/spreadsheets/d/1Uw7-A9f9R21vMXxHZFNpYNeKFtG8_yji4HS352LGlSQ/edit?pli=1#gid=0"",""1_ACUM!A4:S""),11,FALSE))"),"")</f>
        <v/>
      </c>
      <c r="AW353" s="42" t="str">
        <f ca="1">IFERROR(__xludf.DUMMYFUNCTION("IFERROR(VLOOKUP(F370,IMPORTRANGE(""https://docs.google.com/spreadsheets/d/1Kvs4KS76FHFqLFIZfrDMff4kP08nblUkihrxltoGBjg/edit#gid=934712705"",""ESENCIAL!A6:BG""),15,FALSE))"),"")</f>
        <v/>
      </c>
      <c r="AX353" s="21" t="str">
        <f ca="1">IFERROR(__xludf.DUMMYFUNCTION("IFERROR(VLOOKUP(E370&amp;F370,IMPORTRANGE(""https://docs.google.com/spreadsheets/d/1Uw7-A9f9R21vMXxHZFNpYNeKFtG8_yji4HS352LGlSQ/edit?pli=1#gid=0"",""1_ACUM!A4:S""),12,FALSE))"),"")</f>
        <v/>
      </c>
      <c r="AY353" s="43" t="str">
        <f ca="1">IFERROR(__xludf.DUMMYFUNCTION("IFERROR(VLOOKUP(E370&amp;F370,IMPORTRANGE(""https://docs.google.com/spreadsheets/d/1Uw7-A9f9R21vMXxHZFNpYNeKFtG8_yji4HS352LGlSQ/edit?pli=1#gid=0"",""1_ACUM!A4:S""),13,FALSE))"),"")</f>
        <v/>
      </c>
      <c r="AZ353" s="43" t="str">
        <f ca="1">IFERROR(__xludf.DUMMYFUNCTION("IFERROR(VLOOKUP(E370&amp;F370,IMPORTRANGE(""https://docs.google.com/spreadsheets/d/1Uw7-A9f9R21vMXxHZFNpYNeKFtG8_yji4HS352LGlSQ/edit?pli=1#gid=0"",""1_ACUM!A4:S""),14,FALSE))"),"")</f>
        <v/>
      </c>
      <c r="BA353" s="43" t="str">
        <f ca="1">IFERROR(__xludf.DUMMYFUNCTION("IFERROR(VLOOKUP(E370&amp;F370,IMPORTRANGE(""https://docs.google.com/spreadsheets/d/1Uw7-A9f9R21vMXxHZFNpYNeKFtG8_yji4HS352LGlSQ/edit?pli=1#gid=0"",""1_ACUM!A4:S""),15,FALSE))"),"")</f>
        <v/>
      </c>
      <c r="BB353" s="43" t="str">
        <f ca="1">IFERROR(__xludf.DUMMYFUNCTION("IFERROR(VLOOKUP(E370&amp;F370,IMPORTRANGE(""https://docs.google.com/spreadsheets/d/1Uw7-A9f9R21vMXxHZFNpYNeKFtG8_yji4HS352LGlSQ/edit?pli=1#gid=0"",""1_ACUM!A4:S""),16,FALSE))"),"")</f>
        <v/>
      </c>
      <c r="BC353" s="43" t="str">
        <f ca="1">IFERROR(__xludf.DUMMYFUNCTION("IFERROR(VLOOKUP(E370&amp;F370,IMPORTRANGE(""https://docs.google.com/spreadsheets/d/1Uw7-A9f9R21vMXxHZFNpYNeKFtG8_yji4HS352LGlSQ/edit?pli=1#gid=0"",""1_ACUM!A4:S""),17,FALSE))"),"")</f>
        <v/>
      </c>
      <c r="BD353" s="44" t="str">
        <f ca="1">IFERROR(__xludf.DUMMYFUNCTION("IFERROR(VLOOKUP(E370&amp;F370,IMPORTRANGE(""https://docs.google.com/spreadsheets/d/1Uw7-A9f9R21vMXxHZFNpYNeKFtG8_yji4HS352LGlSQ/edit?pli=1#gid=0"",""1_ACUM!A4:S""),18,FALSE))"),"")</f>
        <v/>
      </c>
      <c r="BE353" s="44" t="str">
        <f ca="1">IFERROR(__xludf.DUMMYFUNCTION("IFERROR(VLOOKUP(E370&amp;F370,IMPORTRANGE(""https://docs.google.com/spreadsheets/d/1Uw7-A9f9R21vMXxHZFNpYNeKFtG8_yji4HS352LGlSQ/edit?pli=1#gid=0"",""1_ACUM!A4:S""),19,FALSE))"),"")</f>
        <v/>
      </c>
      <c r="BF353" s="44" t="str">
        <f ca="1">IFERROR(__xludf.DUMMYFUNCTION("IFERROR(VLOOKUP(F370,IMPORTRANGE(""https://docs.google.com/spreadsheets/d/1Kvs4KS76FHFqLFIZfrDMff4kP08nblUkihrxltoGBjg/edit#gid=934712705"",""ESENCIAL!A6:BG""),5,FALSE))"),"")</f>
        <v/>
      </c>
      <c r="BG353" s="44" t="str">
        <f t="shared" si="37"/>
        <v/>
      </c>
      <c r="BH353" s="41" t="str">
        <f t="shared" si="38"/>
        <v/>
      </c>
      <c r="BI353" s="41" t="str">
        <f ca="1">IFERROR(__xludf.DUMMYFUNCTION("IFERROR(VLOOKUP(F370,IMPORTRANGE(""https://docs.google.com/spreadsheets/d/1Kvs4KS76FHFqLFIZfrDMff4kP08nblUkihrxltoGBjg/edit#gid=934712705"",""ESENCIAL!A6:BG""),18,FALSE))"),"")</f>
        <v/>
      </c>
      <c r="BJ353" s="19" t="str">
        <f t="shared" si="39"/>
        <v/>
      </c>
      <c r="BK353" s="41"/>
      <c r="BL353" s="41"/>
    </row>
    <row r="354" spans="1:64" ht="15">
      <c r="A354" s="4"/>
      <c r="B354" s="4"/>
      <c r="G354" s="5" t="str">
        <f ca="1">IFERROR(__xludf.DUMMYFUNCTION("IFERROR(VLOOKUP(F371,IMPORTRANGE(""https://docs.google.com/spreadsheets/d/1Kvs4KS76FHFqLFIZfrDMff4kP08nblUkihrxltoGBjg/edit#gid=934712705"",""ESENCIAL!A6:BG""),3,FALSE))"),"")</f>
        <v/>
      </c>
      <c r="H354" s="5" t="str">
        <f ca="1">IFERROR(__xludf.DUMMYFUNCTION("IFERROR(VLOOKUP(F371,IMPORTRANGE(""https://docs.google.com/spreadsheets/d/1Kvs4KS76FHFqLFIZfrDMff4kP08nblUkihrxltoGBjg/edit#gid=934712705"",""ESENCIAL!A6:BG""),8,FALSE))"),"")</f>
        <v/>
      </c>
      <c r="L354" s="287"/>
      <c r="S354"/>
      <c r="AU354" s="41" t="str">
        <f t="shared" si="36"/>
        <v/>
      </c>
      <c r="AV354" s="5" t="str">
        <f ca="1">IFERROR(__xludf.DUMMYFUNCTION("IFERROR(VLOOKUP(E371&amp;F371,IMPORTRANGE(""https://docs.google.com/spreadsheets/d/1Uw7-A9f9R21vMXxHZFNpYNeKFtG8_yji4HS352LGlSQ/edit?pli=1#gid=0"",""1_ACUM!A4:S""),11,FALSE))"),"")</f>
        <v/>
      </c>
      <c r="AW354" s="42" t="str">
        <f ca="1">IFERROR(__xludf.DUMMYFUNCTION("IFERROR(VLOOKUP(F371,IMPORTRANGE(""https://docs.google.com/spreadsheets/d/1Kvs4KS76FHFqLFIZfrDMff4kP08nblUkihrxltoGBjg/edit#gid=934712705"",""ESENCIAL!A6:BG""),15,FALSE))"),"")</f>
        <v/>
      </c>
      <c r="AX354" s="21" t="str">
        <f ca="1">IFERROR(__xludf.DUMMYFUNCTION("IFERROR(VLOOKUP(E371&amp;F371,IMPORTRANGE(""https://docs.google.com/spreadsheets/d/1Uw7-A9f9R21vMXxHZFNpYNeKFtG8_yji4HS352LGlSQ/edit?pli=1#gid=0"",""1_ACUM!A4:S""),12,FALSE))"),"")</f>
        <v/>
      </c>
      <c r="AY354" s="43" t="str">
        <f ca="1">IFERROR(__xludf.DUMMYFUNCTION("IFERROR(VLOOKUP(E371&amp;F371,IMPORTRANGE(""https://docs.google.com/spreadsheets/d/1Uw7-A9f9R21vMXxHZFNpYNeKFtG8_yji4HS352LGlSQ/edit?pli=1#gid=0"",""1_ACUM!A4:S""),13,FALSE))"),"")</f>
        <v/>
      </c>
      <c r="AZ354" s="43" t="str">
        <f ca="1">IFERROR(__xludf.DUMMYFUNCTION("IFERROR(VLOOKUP(E371&amp;F371,IMPORTRANGE(""https://docs.google.com/spreadsheets/d/1Uw7-A9f9R21vMXxHZFNpYNeKFtG8_yji4HS352LGlSQ/edit?pli=1#gid=0"",""1_ACUM!A4:S""),14,FALSE))"),"")</f>
        <v/>
      </c>
      <c r="BA354" s="43" t="str">
        <f ca="1">IFERROR(__xludf.DUMMYFUNCTION("IFERROR(VLOOKUP(E371&amp;F371,IMPORTRANGE(""https://docs.google.com/spreadsheets/d/1Uw7-A9f9R21vMXxHZFNpYNeKFtG8_yji4HS352LGlSQ/edit?pli=1#gid=0"",""1_ACUM!A4:S""),15,FALSE))"),"")</f>
        <v/>
      </c>
      <c r="BB354" s="43" t="str">
        <f ca="1">IFERROR(__xludf.DUMMYFUNCTION("IFERROR(VLOOKUP(E371&amp;F371,IMPORTRANGE(""https://docs.google.com/spreadsheets/d/1Uw7-A9f9R21vMXxHZFNpYNeKFtG8_yji4HS352LGlSQ/edit?pli=1#gid=0"",""1_ACUM!A4:S""),16,FALSE))"),"")</f>
        <v/>
      </c>
      <c r="BC354" s="43" t="str">
        <f ca="1">IFERROR(__xludf.DUMMYFUNCTION("IFERROR(VLOOKUP(E371&amp;F371,IMPORTRANGE(""https://docs.google.com/spreadsheets/d/1Uw7-A9f9R21vMXxHZFNpYNeKFtG8_yji4HS352LGlSQ/edit?pli=1#gid=0"",""1_ACUM!A4:S""),17,FALSE))"),"")</f>
        <v/>
      </c>
      <c r="BD354" s="44" t="str">
        <f ca="1">IFERROR(__xludf.DUMMYFUNCTION("IFERROR(VLOOKUP(E371&amp;F371,IMPORTRANGE(""https://docs.google.com/spreadsheets/d/1Uw7-A9f9R21vMXxHZFNpYNeKFtG8_yji4HS352LGlSQ/edit?pli=1#gid=0"",""1_ACUM!A4:S""),18,FALSE))"),"")</f>
        <v/>
      </c>
      <c r="BE354" s="44" t="str">
        <f ca="1">IFERROR(__xludf.DUMMYFUNCTION("IFERROR(VLOOKUP(E371&amp;F371,IMPORTRANGE(""https://docs.google.com/spreadsheets/d/1Uw7-A9f9R21vMXxHZFNpYNeKFtG8_yji4HS352LGlSQ/edit?pli=1#gid=0"",""1_ACUM!A4:S""),19,FALSE))"),"")</f>
        <v/>
      </c>
      <c r="BF354" s="44" t="str">
        <f ca="1">IFERROR(__xludf.DUMMYFUNCTION("IFERROR(VLOOKUP(F371,IMPORTRANGE(""https://docs.google.com/spreadsheets/d/1Kvs4KS76FHFqLFIZfrDMff4kP08nblUkihrxltoGBjg/edit#gid=934712705"",""ESENCIAL!A6:BG""),5,FALSE))"),"")</f>
        <v/>
      </c>
      <c r="BG354" s="44" t="str">
        <f t="shared" si="37"/>
        <v/>
      </c>
      <c r="BH354" s="41" t="str">
        <f t="shared" si="38"/>
        <v/>
      </c>
      <c r="BI354" s="41" t="str">
        <f ca="1">IFERROR(__xludf.DUMMYFUNCTION("IFERROR(VLOOKUP(F371,IMPORTRANGE(""https://docs.google.com/spreadsheets/d/1Kvs4KS76FHFqLFIZfrDMff4kP08nblUkihrxltoGBjg/edit#gid=934712705"",""ESENCIAL!A6:BG""),18,FALSE))"),"")</f>
        <v/>
      </c>
      <c r="BJ354" s="19" t="str">
        <f t="shared" si="39"/>
        <v/>
      </c>
      <c r="BK354" s="41"/>
      <c r="BL354" s="41"/>
    </row>
    <row r="355" spans="1:64" ht="15">
      <c r="A355" s="4"/>
      <c r="B355" s="4"/>
      <c r="G355" s="5" t="str">
        <f ca="1">IFERROR(__xludf.DUMMYFUNCTION("IFERROR(VLOOKUP(F372,IMPORTRANGE(""https://docs.google.com/spreadsheets/d/1Kvs4KS76FHFqLFIZfrDMff4kP08nblUkihrxltoGBjg/edit#gid=934712705"",""ESENCIAL!A6:BG""),3,FALSE))"),"")</f>
        <v/>
      </c>
      <c r="H355" s="5" t="str">
        <f ca="1">IFERROR(__xludf.DUMMYFUNCTION("IFERROR(VLOOKUP(F372,IMPORTRANGE(""https://docs.google.com/spreadsheets/d/1Kvs4KS76FHFqLFIZfrDMff4kP08nblUkihrxltoGBjg/edit#gid=934712705"",""ESENCIAL!A6:BG""),8,FALSE))"),"")</f>
        <v/>
      </c>
      <c r="L355" s="287"/>
      <c r="S355"/>
      <c r="AU355" s="41" t="str">
        <f t="shared" si="36"/>
        <v/>
      </c>
      <c r="AV355" s="5" t="str">
        <f ca="1">IFERROR(__xludf.DUMMYFUNCTION("IFERROR(VLOOKUP(E372&amp;F372,IMPORTRANGE(""https://docs.google.com/spreadsheets/d/1Uw7-A9f9R21vMXxHZFNpYNeKFtG8_yji4HS352LGlSQ/edit?pli=1#gid=0"",""1_ACUM!A4:S""),11,FALSE))"),"")</f>
        <v/>
      </c>
      <c r="AW355" s="42" t="str">
        <f ca="1">IFERROR(__xludf.DUMMYFUNCTION("IFERROR(VLOOKUP(F372,IMPORTRANGE(""https://docs.google.com/spreadsheets/d/1Kvs4KS76FHFqLFIZfrDMff4kP08nblUkihrxltoGBjg/edit#gid=934712705"",""ESENCIAL!A6:BG""),15,FALSE))"),"")</f>
        <v/>
      </c>
      <c r="AX355" s="21" t="str">
        <f ca="1">IFERROR(__xludf.DUMMYFUNCTION("IFERROR(VLOOKUP(E372&amp;F372,IMPORTRANGE(""https://docs.google.com/spreadsheets/d/1Uw7-A9f9R21vMXxHZFNpYNeKFtG8_yji4HS352LGlSQ/edit?pli=1#gid=0"",""1_ACUM!A4:S""),12,FALSE))"),"")</f>
        <v/>
      </c>
      <c r="AY355" s="43" t="str">
        <f ca="1">IFERROR(__xludf.DUMMYFUNCTION("IFERROR(VLOOKUP(E372&amp;F372,IMPORTRANGE(""https://docs.google.com/spreadsheets/d/1Uw7-A9f9R21vMXxHZFNpYNeKFtG8_yji4HS352LGlSQ/edit?pli=1#gid=0"",""1_ACUM!A4:S""),13,FALSE))"),"")</f>
        <v/>
      </c>
      <c r="AZ355" s="43" t="str">
        <f ca="1">IFERROR(__xludf.DUMMYFUNCTION("IFERROR(VLOOKUP(E372&amp;F372,IMPORTRANGE(""https://docs.google.com/spreadsheets/d/1Uw7-A9f9R21vMXxHZFNpYNeKFtG8_yji4HS352LGlSQ/edit?pli=1#gid=0"",""1_ACUM!A4:S""),14,FALSE))"),"")</f>
        <v/>
      </c>
      <c r="BA355" s="43" t="str">
        <f ca="1">IFERROR(__xludf.DUMMYFUNCTION("IFERROR(VLOOKUP(E372&amp;F372,IMPORTRANGE(""https://docs.google.com/spreadsheets/d/1Uw7-A9f9R21vMXxHZFNpYNeKFtG8_yji4HS352LGlSQ/edit?pli=1#gid=0"",""1_ACUM!A4:S""),15,FALSE))"),"")</f>
        <v/>
      </c>
      <c r="BB355" s="43" t="str">
        <f ca="1">IFERROR(__xludf.DUMMYFUNCTION("IFERROR(VLOOKUP(E372&amp;F372,IMPORTRANGE(""https://docs.google.com/spreadsheets/d/1Uw7-A9f9R21vMXxHZFNpYNeKFtG8_yji4HS352LGlSQ/edit?pli=1#gid=0"",""1_ACUM!A4:S""),16,FALSE))"),"")</f>
        <v/>
      </c>
      <c r="BC355" s="43" t="str">
        <f ca="1">IFERROR(__xludf.DUMMYFUNCTION("IFERROR(VLOOKUP(E372&amp;F372,IMPORTRANGE(""https://docs.google.com/spreadsheets/d/1Uw7-A9f9R21vMXxHZFNpYNeKFtG8_yji4HS352LGlSQ/edit?pli=1#gid=0"",""1_ACUM!A4:S""),17,FALSE))"),"")</f>
        <v/>
      </c>
      <c r="BD355" s="44" t="str">
        <f ca="1">IFERROR(__xludf.DUMMYFUNCTION("IFERROR(VLOOKUP(E372&amp;F372,IMPORTRANGE(""https://docs.google.com/spreadsheets/d/1Uw7-A9f9R21vMXxHZFNpYNeKFtG8_yji4HS352LGlSQ/edit?pli=1#gid=0"",""1_ACUM!A4:S""),18,FALSE))"),"")</f>
        <v/>
      </c>
      <c r="BE355" s="44" t="str">
        <f ca="1">IFERROR(__xludf.DUMMYFUNCTION("IFERROR(VLOOKUP(E372&amp;F372,IMPORTRANGE(""https://docs.google.com/spreadsheets/d/1Uw7-A9f9R21vMXxHZFNpYNeKFtG8_yji4HS352LGlSQ/edit?pli=1#gid=0"",""1_ACUM!A4:S""),19,FALSE))"),"")</f>
        <v/>
      </c>
      <c r="BF355" s="44" t="str">
        <f ca="1">IFERROR(__xludf.DUMMYFUNCTION("IFERROR(VLOOKUP(F372,IMPORTRANGE(""https://docs.google.com/spreadsheets/d/1Kvs4KS76FHFqLFIZfrDMff4kP08nblUkihrxltoGBjg/edit#gid=934712705"",""ESENCIAL!A6:BG""),5,FALSE))"),"")</f>
        <v/>
      </c>
      <c r="BG355" s="44" t="str">
        <f t="shared" si="37"/>
        <v/>
      </c>
      <c r="BH355" s="41" t="str">
        <f t="shared" si="38"/>
        <v/>
      </c>
      <c r="BI355" s="41" t="str">
        <f ca="1">IFERROR(__xludf.DUMMYFUNCTION("IFERROR(VLOOKUP(F372,IMPORTRANGE(""https://docs.google.com/spreadsheets/d/1Kvs4KS76FHFqLFIZfrDMff4kP08nblUkihrxltoGBjg/edit#gid=934712705"",""ESENCIAL!A6:BG""),18,FALSE))"),"")</f>
        <v/>
      </c>
      <c r="BJ355" s="19" t="str">
        <f t="shared" si="39"/>
        <v/>
      </c>
      <c r="BK355" s="41"/>
      <c r="BL355" s="41"/>
    </row>
    <row r="356" spans="1:64" ht="15">
      <c r="A356" s="4"/>
      <c r="B356" s="4"/>
      <c r="G356" s="5" t="str">
        <f ca="1">IFERROR(__xludf.DUMMYFUNCTION("IFERROR(VLOOKUP(F373,IMPORTRANGE(""https://docs.google.com/spreadsheets/d/1Kvs4KS76FHFqLFIZfrDMff4kP08nblUkihrxltoGBjg/edit#gid=934712705"",""ESENCIAL!A6:BG""),3,FALSE))"),"")</f>
        <v/>
      </c>
      <c r="H356" s="5" t="str">
        <f ca="1">IFERROR(__xludf.DUMMYFUNCTION("IFERROR(VLOOKUP(F373,IMPORTRANGE(""https://docs.google.com/spreadsheets/d/1Kvs4KS76FHFqLFIZfrDMff4kP08nblUkihrxltoGBjg/edit#gid=934712705"",""ESENCIAL!A6:BG""),8,FALSE))"),"")</f>
        <v/>
      </c>
      <c r="L356" s="287"/>
      <c r="S356"/>
      <c r="AU356" s="41" t="str">
        <f t="shared" si="36"/>
        <v/>
      </c>
      <c r="AV356" s="5" t="str">
        <f ca="1">IFERROR(__xludf.DUMMYFUNCTION("IFERROR(VLOOKUP(E373&amp;F373,IMPORTRANGE(""https://docs.google.com/spreadsheets/d/1Uw7-A9f9R21vMXxHZFNpYNeKFtG8_yji4HS352LGlSQ/edit?pli=1#gid=0"",""1_ACUM!A4:S""),11,FALSE))"),"")</f>
        <v/>
      </c>
      <c r="AW356" s="42" t="str">
        <f ca="1">IFERROR(__xludf.DUMMYFUNCTION("IFERROR(VLOOKUP(F373,IMPORTRANGE(""https://docs.google.com/spreadsheets/d/1Kvs4KS76FHFqLFIZfrDMff4kP08nblUkihrxltoGBjg/edit#gid=934712705"",""ESENCIAL!A6:BG""),15,FALSE))"),"")</f>
        <v/>
      </c>
      <c r="AX356" s="21" t="str">
        <f ca="1">IFERROR(__xludf.DUMMYFUNCTION("IFERROR(VLOOKUP(E373&amp;F373,IMPORTRANGE(""https://docs.google.com/spreadsheets/d/1Uw7-A9f9R21vMXxHZFNpYNeKFtG8_yji4HS352LGlSQ/edit?pli=1#gid=0"",""1_ACUM!A4:S""),12,FALSE))"),"")</f>
        <v/>
      </c>
      <c r="AY356" s="43" t="str">
        <f ca="1">IFERROR(__xludf.DUMMYFUNCTION("IFERROR(VLOOKUP(E373&amp;F373,IMPORTRANGE(""https://docs.google.com/spreadsheets/d/1Uw7-A9f9R21vMXxHZFNpYNeKFtG8_yji4HS352LGlSQ/edit?pli=1#gid=0"",""1_ACUM!A4:S""),13,FALSE))"),"")</f>
        <v/>
      </c>
      <c r="AZ356" s="43" t="str">
        <f ca="1">IFERROR(__xludf.DUMMYFUNCTION("IFERROR(VLOOKUP(E373&amp;F373,IMPORTRANGE(""https://docs.google.com/spreadsheets/d/1Uw7-A9f9R21vMXxHZFNpYNeKFtG8_yji4HS352LGlSQ/edit?pli=1#gid=0"",""1_ACUM!A4:S""),14,FALSE))"),"")</f>
        <v/>
      </c>
      <c r="BA356" s="43" t="str">
        <f ca="1">IFERROR(__xludf.DUMMYFUNCTION("IFERROR(VLOOKUP(E373&amp;F373,IMPORTRANGE(""https://docs.google.com/spreadsheets/d/1Uw7-A9f9R21vMXxHZFNpYNeKFtG8_yji4HS352LGlSQ/edit?pli=1#gid=0"",""1_ACUM!A4:S""),15,FALSE))"),"")</f>
        <v/>
      </c>
      <c r="BB356" s="43" t="str">
        <f ca="1">IFERROR(__xludf.DUMMYFUNCTION("IFERROR(VLOOKUP(E373&amp;F373,IMPORTRANGE(""https://docs.google.com/spreadsheets/d/1Uw7-A9f9R21vMXxHZFNpYNeKFtG8_yji4HS352LGlSQ/edit?pli=1#gid=0"",""1_ACUM!A4:S""),16,FALSE))"),"")</f>
        <v/>
      </c>
      <c r="BC356" s="43" t="str">
        <f ca="1">IFERROR(__xludf.DUMMYFUNCTION("IFERROR(VLOOKUP(E373&amp;F373,IMPORTRANGE(""https://docs.google.com/spreadsheets/d/1Uw7-A9f9R21vMXxHZFNpYNeKFtG8_yji4HS352LGlSQ/edit?pli=1#gid=0"",""1_ACUM!A4:S""),17,FALSE))"),"")</f>
        <v/>
      </c>
      <c r="BD356" s="44" t="str">
        <f ca="1">IFERROR(__xludf.DUMMYFUNCTION("IFERROR(VLOOKUP(E373&amp;F373,IMPORTRANGE(""https://docs.google.com/spreadsheets/d/1Uw7-A9f9R21vMXxHZFNpYNeKFtG8_yji4HS352LGlSQ/edit?pli=1#gid=0"",""1_ACUM!A4:S""),18,FALSE))"),"")</f>
        <v/>
      </c>
      <c r="BE356" s="44" t="str">
        <f ca="1">IFERROR(__xludf.DUMMYFUNCTION("IFERROR(VLOOKUP(E373&amp;F373,IMPORTRANGE(""https://docs.google.com/spreadsheets/d/1Uw7-A9f9R21vMXxHZFNpYNeKFtG8_yji4HS352LGlSQ/edit?pli=1#gid=0"",""1_ACUM!A4:S""),19,FALSE))"),"")</f>
        <v/>
      </c>
      <c r="BF356" s="44" t="str">
        <f ca="1">IFERROR(__xludf.DUMMYFUNCTION("IFERROR(VLOOKUP(F373,IMPORTRANGE(""https://docs.google.com/spreadsheets/d/1Kvs4KS76FHFqLFIZfrDMff4kP08nblUkihrxltoGBjg/edit#gid=934712705"",""ESENCIAL!A6:BG""),5,FALSE))"),"")</f>
        <v/>
      </c>
      <c r="BG356" s="44" t="str">
        <f t="shared" si="37"/>
        <v/>
      </c>
      <c r="BH356" s="41" t="str">
        <f t="shared" si="38"/>
        <v/>
      </c>
      <c r="BI356" s="41" t="str">
        <f ca="1">IFERROR(__xludf.DUMMYFUNCTION("IFERROR(VLOOKUP(F373,IMPORTRANGE(""https://docs.google.com/spreadsheets/d/1Kvs4KS76FHFqLFIZfrDMff4kP08nblUkihrxltoGBjg/edit#gid=934712705"",""ESENCIAL!A6:BG""),18,FALSE))"),"")</f>
        <v/>
      </c>
      <c r="BJ356" s="19" t="str">
        <f t="shared" si="39"/>
        <v/>
      </c>
      <c r="BK356" s="41"/>
      <c r="BL356" s="41"/>
    </row>
    <row r="357" spans="1:64" ht="15">
      <c r="A357" s="4"/>
      <c r="B357" s="4"/>
      <c r="G357" s="5" t="str">
        <f ca="1">IFERROR(__xludf.DUMMYFUNCTION("IFERROR(VLOOKUP(F374,IMPORTRANGE(""https://docs.google.com/spreadsheets/d/1Kvs4KS76FHFqLFIZfrDMff4kP08nblUkihrxltoGBjg/edit#gid=934712705"",""ESENCIAL!A6:BG""),3,FALSE))"),"")</f>
        <v/>
      </c>
      <c r="H357" s="5" t="str">
        <f ca="1">IFERROR(__xludf.DUMMYFUNCTION("IFERROR(VLOOKUP(F374,IMPORTRANGE(""https://docs.google.com/spreadsheets/d/1Kvs4KS76FHFqLFIZfrDMff4kP08nblUkihrxltoGBjg/edit#gid=934712705"",""ESENCIAL!A6:BG""),8,FALSE))"),"")</f>
        <v/>
      </c>
      <c r="L357" s="287"/>
      <c r="S357"/>
      <c r="AU357" s="41" t="str">
        <f t="shared" si="36"/>
        <v/>
      </c>
      <c r="AV357" s="5" t="str">
        <f ca="1">IFERROR(__xludf.DUMMYFUNCTION("IFERROR(VLOOKUP(E374&amp;F374,IMPORTRANGE(""https://docs.google.com/spreadsheets/d/1Uw7-A9f9R21vMXxHZFNpYNeKFtG8_yji4HS352LGlSQ/edit?pli=1#gid=0"",""1_ACUM!A4:S""),11,FALSE))"),"")</f>
        <v/>
      </c>
      <c r="AW357" s="42" t="str">
        <f ca="1">IFERROR(__xludf.DUMMYFUNCTION("IFERROR(VLOOKUP(F374,IMPORTRANGE(""https://docs.google.com/spreadsheets/d/1Kvs4KS76FHFqLFIZfrDMff4kP08nblUkihrxltoGBjg/edit#gid=934712705"",""ESENCIAL!A6:BG""),15,FALSE))"),"")</f>
        <v/>
      </c>
      <c r="AX357" s="21" t="str">
        <f ca="1">IFERROR(__xludf.DUMMYFUNCTION("IFERROR(VLOOKUP(E374&amp;F374,IMPORTRANGE(""https://docs.google.com/spreadsheets/d/1Uw7-A9f9R21vMXxHZFNpYNeKFtG8_yji4HS352LGlSQ/edit?pli=1#gid=0"",""1_ACUM!A4:S""),12,FALSE))"),"")</f>
        <v/>
      </c>
      <c r="AY357" s="43" t="str">
        <f ca="1">IFERROR(__xludf.DUMMYFUNCTION("IFERROR(VLOOKUP(E374&amp;F374,IMPORTRANGE(""https://docs.google.com/spreadsheets/d/1Uw7-A9f9R21vMXxHZFNpYNeKFtG8_yji4HS352LGlSQ/edit?pli=1#gid=0"",""1_ACUM!A4:S""),13,FALSE))"),"")</f>
        <v/>
      </c>
      <c r="AZ357" s="43" t="str">
        <f ca="1">IFERROR(__xludf.DUMMYFUNCTION("IFERROR(VLOOKUP(E374&amp;F374,IMPORTRANGE(""https://docs.google.com/spreadsheets/d/1Uw7-A9f9R21vMXxHZFNpYNeKFtG8_yji4HS352LGlSQ/edit?pli=1#gid=0"",""1_ACUM!A4:S""),14,FALSE))"),"")</f>
        <v/>
      </c>
      <c r="BA357" s="43" t="str">
        <f ca="1">IFERROR(__xludf.DUMMYFUNCTION("IFERROR(VLOOKUP(E374&amp;F374,IMPORTRANGE(""https://docs.google.com/spreadsheets/d/1Uw7-A9f9R21vMXxHZFNpYNeKFtG8_yji4HS352LGlSQ/edit?pli=1#gid=0"",""1_ACUM!A4:S""),15,FALSE))"),"")</f>
        <v/>
      </c>
      <c r="BB357" s="43" t="str">
        <f ca="1">IFERROR(__xludf.DUMMYFUNCTION("IFERROR(VLOOKUP(E374&amp;F374,IMPORTRANGE(""https://docs.google.com/spreadsheets/d/1Uw7-A9f9R21vMXxHZFNpYNeKFtG8_yji4HS352LGlSQ/edit?pli=1#gid=0"",""1_ACUM!A4:S""),16,FALSE))"),"")</f>
        <v/>
      </c>
      <c r="BC357" s="43" t="str">
        <f ca="1">IFERROR(__xludf.DUMMYFUNCTION("IFERROR(VLOOKUP(E374&amp;F374,IMPORTRANGE(""https://docs.google.com/spreadsheets/d/1Uw7-A9f9R21vMXxHZFNpYNeKFtG8_yji4HS352LGlSQ/edit?pli=1#gid=0"",""1_ACUM!A4:S""),17,FALSE))"),"")</f>
        <v/>
      </c>
      <c r="BD357" s="44" t="str">
        <f ca="1">IFERROR(__xludf.DUMMYFUNCTION("IFERROR(VLOOKUP(E374&amp;F374,IMPORTRANGE(""https://docs.google.com/spreadsheets/d/1Uw7-A9f9R21vMXxHZFNpYNeKFtG8_yji4HS352LGlSQ/edit?pli=1#gid=0"",""1_ACUM!A4:S""),18,FALSE))"),"")</f>
        <v/>
      </c>
      <c r="BE357" s="44" t="str">
        <f ca="1">IFERROR(__xludf.DUMMYFUNCTION("IFERROR(VLOOKUP(E374&amp;F374,IMPORTRANGE(""https://docs.google.com/spreadsheets/d/1Uw7-A9f9R21vMXxHZFNpYNeKFtG8_yji4HS352LGlSQ/edit?pli=1#gid=0"",""1_ACUM!A4:S""),19,FALSE))"),"")</f>
        <v/>
      </c>
      <c r="BF357" s="44" t="str">
        <f ca="1">IFERROR(__xludf.DUMMYFUNCTION("IFERROR(VLOOKUP(F374,IMPORTRANGE(""https://docs.google.com/spreadsheets/d/1Kvs4KS76FHFqLFIZfrDMff4kP08nblUkihrxltoGBjg/edit#gid=934712705"",""ESENCIAL!A6:BG""),5,FALSE))"),"")</f>
        <v/>
      </c>
      <c r="BG357" s="44" t="str">
        <f t="shared" si="37"/>
        <v/>
      </c>
      <c r="BH357" s="41" t="str">
        <f t="shared" si="38"/>
        <v/>
      </c>
      <c r="BI357" s="41" t="str">
        <f ca="1">IFERROR(__xludf.DUMMYFUNCTION("IFERROR(VLOOKUP(F374,IMPORTRANGE(""https://docs.google.com/spreadsheets/d/1Kvs4KS76FHFqLFIZfrDMff4kP08nblUkihrxltoGBjg/edit#gid=934712705"",""ESENCIAL!A6:BG""),18,FALSE))"),"")</f>
        <v/>
      </c>
      <c r="BJ357" s="19" t="str">
        <f t="shared" si="39"/>
        <v/>
      </c>
      <c r="BK357" s="41"/>
      <c r="BL357" s="41"/>
    </row>
    <row r="358" spans="1:64" ht="15">
      <c r="A358" s="4"/>
      <c r="B358" s="4"/>
      <c r="G358" s="5" t="str">
        <f ca="1">IFERROR(__xludf.DUMMYFUNCTION("IFERROR(VLOOKUP(F375,IMPORTRANGE(""https://docs.google.com/spreadsheets/d/1Kvs4KS76FHFqLFIZfrDMff4kP08nblUkihrxltoGBjg/edit#gid=934712705"",""ESENCIAL!A6:BG""),3,FALSE))"),"")</f>
        <v/>
      </c>
      <c r="H358" s="5" t="str">
        <f ca="1">IFERROR(__xludf.DUMMYFUNCTION("IFERROR(VLOOKUP(F375,IMPORTRANGE(""https://docs.google.com/spreadsheets/d/1Kvs4KS76FHFqLFIZfrDMff4kP08nblUkihrxltoGBjg/edit#gid=934712705"",""ESENCIAL!A6:BG""),8,FALSE))"),"")</f>
        <v/>
      </c>
      <c r="L358" s="287"/>
      <c r="S358"/>
      <c r="AU358" s="41" t="str">
        <f t="shared" si="36"/>
        <v/>
      </c>
      <c r="AV358" s="5" t="str">
        <f ca="1">IFERROR(__xludf.DUMMYFUNCTION("IFERROR(VLOOKUP(E375&amp;F375,IMPORTRANGE(""https://docs.google.com/spreadsheets/d/1Uw7-A9f9R21vMXxHZFNpYNeKFtG8_yji4HS352LGlSQ/edit?pli=1#gid=0"",""1_ACUM!A4:S""),11,FALSE))"),"")</f>
        <v/>
      </c>
      <c r="AW358" s="42" t="str">
        <f ca="1">IFERROR(__xludf.DUMMYFUNCTION("IFERROR(VLOOKUP(F375,IMPORTRANGE(""https://docs.google.com/spreadsheets/d/1Kvs4KS76FHFqLFIZfrDMff4kP08nblUkihrxltoGBjg/edit#gid=934712705"",""ESENCIAL!A6:BG""),15,FALSE))"),"")</f>
        <v/>
      </c>
      <c r="AX358" s="21" t="str">
        <f ca="1">IFERROR(__xludf.DUMMYFUNCTION("IFERROR(VLOOKUP(E375&amp;F375,IMPORTRANGE(""https://docs.google.com/spreadsheets/d/1Uw7-A9f9R21vMXxHZFNpYNeKFtG8_yji4HS352LGlSQ/edit?pli=1#gid=0"",""1_ACUM!A4:S""),12,FALSE))"),"")</f>
        <v/>
      </c>
      <c r="AY358" s="43" t="str">
        <f ca="1">IFERROR(__xludf.DUMMYFUNCTION("IFERROR(VLOOKUP(E375&amp;F375,IMPORTRANGE(""https://docs.google.com/spreadsheets/d/1Uw7-A9f9R21vMXxHZFNpYNeKFtG8_yji4HS352LGlSQ/edit?pli=1#gid=0"",""1_ACUM!A4:S""),13,FALSE))"),"")</f>
        <v/>
      </c>
      <c r="AZ358" s="43" t="str">
        <f ca="1">IFERROR(__xludf.DUMMYFUNCTION("IFERROR(VLOOKUP(E375&amp;F375,IMPORTRANGE(""https://docs.google.com/spreadsheets/d/1Uw7-A9f9R21vMXxHZFNpYNeKFtG8_yji4HS352LGlSQ/edit?pli=1#gid=0"",""1_ACUM!A4:S""),14,FALSE))"),"")</f>
        <v/>
      </c>
      <c r="BA358" s="43" t="str">
        <f ca="1">IFERROR(__xludf.DUMMYFUNCTION("IFERROR(VLOOKUP(E375&amp;F375,IMPORTRANGE(""https://docs.google.com/spreadsheets/d/1Uw7-A9f9R21vMXxHZFNpYNeKFtG8_yji4HS352LGlSQ/edit?pli=1#gid=0"",""1_ACUM!A4:S""),15,FALSE))"),"")</f>
        <v/>
      </c>
      <c r="BB358" s="43" t="str">
        <f ca="1">IFERROR(__xludf.DUMMYFUNCTION("IFERROR(VLOOKUP(E375&amp;F375,IMPORTRANGE(""https://docs.google.com/spreadsheets/d/1Uw7-A9f9R21vMXxHZFNpYNeKFtG8_yji4HS352LGlSQ/edit?pli=1#gid=0"",""1_ACUM!A4:S""),16,FALSE))"),"")</f>
        <v/>
      </c>
      <c r="BC358" s="43" t="str">
        <f ca="1">IFERROR(__xludf.DUMMYFUNCTION("IFERROR(VLOOKUP(E375&amp;F375,IMPORTRANGE(""https://docs.google.com/spreadsheets/d/1Uw7-A9f9R21vMXxHZFNpYNeKFtG8_yji4HS352LGlSQ/edit?pli=1#gid=0"",""1_ACUM!A4:S""),17,FALSE))"),"")</f>
        <v/>
      </c>
      <c r="BD358" s="44" t="str">
        <f ca="1">IFERROR(__xludf.DUMMYFUNCTION("IFERROR(VLOOKUP(E375&amp;F375,IMPORTRANGE(""https://docs.google.com/spreadsheets/d/1Uw7-A9f9R21vMXxHZFNpYNeKFtG8_yji4HS352LGlSQ/edit?pli=1#gid=0"",""1_ACUM!A4:S""),18,FALSE))"),"")</f>
        <v/>
      </c>
      <c r="BE358" s="44" t="str">
        <f ca="1">IFERROR(__xludf.DUMMYFUNCTION("IFERROR(VLOOKUP(E375&amp;F375,IMPORTRANGE(""https://docs.google.com/spreadsheets/d/1Uw7-A9f9R21vMXxHZFNpYNeKFtG8_yji4HS352LGlSQ/edit?pli=1#gid=0"",""1_ACUM!A4:S""),19,FALSE))"),"")</f>
        <v/>
      </c>
      <c r="BF358" s="44" t="str">
        <f ca="1">IFERROR(__xludf.DUMMYFUNCTION("IFERROR(VLOOKUP(F375,IMPORTRANGE(""https://docs.google.com/spreadsheets/d/1Kvs4KS76FHFqLFIZfrDMff4kP08nblUkihrxltoGBjg/edit#gid=934712705"",""ESENCIAL!A6:BG""),5,FALSE))"),"")</f>
        <v/>
      </c>
      <c r="BG358" s="44" t="str">
        <f t="shared" si="37"/>
        <v/>
      </c>
      <c r="BH358" s="41" t="str">
        <f t="shared" si="38"/>
        <v/>
      </c>
      <c r="BI358" s="41" t="str">
        <f ca="1">IFERROR(__xludf.DUMMYFUNCTION("IFERROR(VLOOKUP(F375,IMPORTRANGE(""https://docs.google.com/spreadsheets/d/1Kvs4KS76FHFqLFIZfrDMff4kP08nblUkihrxltoGBjg/edit#gid=934712705"",""ESENCIAL!A6:BG""),18,FALSE))"),"")</f>
        <v/>
      </c>
      <c r="BJ358" s="19" t="str">
        <f t="shared" si="39"/>
        <v/>
      </c>
      <c r="BK358" s="41"/>
      <c r="BL358" s="41"/>
    </row>
    <row r="359" spans="1:64" ht="15">
      <c r="A359" s="4"/>
      <c r="B359" s="4"/>
      <c r="G359" s="5" t="str">
        <f ca="1">IFERROR(__xludf.DUMMYFUNCTION("IFERROR(VLOOKUP(F376,IMPORTRANGE(""https://docs.google.com/spreadsheets/d/1Kvs4KS76FHFqLFIZfrDMff4kP08nblUkihrxltoGBjg/edit#gid=934712705"",""ESENCIAL!A6:BG""),3,FALSE))"),"")</f>
        <v/>
      </c>
      <c r="H359" s="5" t="str">
        <f ca="1">IFERROR(__xludf.DUMMYFUNCTION("IFERROR(VLOOKUP(F376,IMPORTRANGE(""https://docs.google.com/spreadsheets/d/1Kvs4KS76FHFqLFIZfrDMff4kP08nblUkihrxltoGBjg/edit#gid=934712705"",""ESENCIAL!A6:BG""),8,FALSE))"),"")</f>
        <v/>
      </c>
      <c r="L359" s="287"/>
      <c r="S359"/>
      <c r="AU359" s="41" t="str">
        <f t="shared" si="36"/>
        <v/>
      </c>
      <c r="AV359" s="5" t="str">
        <f ca="1">IFERROR(__xludf.DUMMYFUNCTION("IFERROR(VLOOKUP(E376&amp;F376,IMPORTRANGE(""https://docs.google.com/spreadsheets/d/1Uw7-A9f9R21vMXxHZFNpYNeKFtG8_yji4HS352LGlSQ/edit?pli=1#gid=0"",""1_ACUM!A4:S""),11,FALSE))"),"")</f>
        <v/>
      </c>
      <c r="AW359" s="42" t="str">
        <f ca="1">IFERROR(__xludf.DUMMYFUNCTION("IFERROR(VLOOKUP(F376,IMPORTRANGE(""https://docs.google.com/spreadsheets/d/1Kvs4KS76FHFqLFIZfrDMff4kP08nblUkihrxltoGBjg/edit#gid=934712705"",""ESENCIAL!A6:BG""),15,FALSE))"),"")</f>
        <v/>
      </c>
      <c r="AX359" s="21" t="str">
        <f ca="1">IFERROR(__xludf.DUMMYFUNCTION("IFERROR(VLOOKUP(E376&amp;F376,IMPORTRANGE(""https://docs.google.com/spreadsheets/d/1Uw7-A9f9R21vMXxHZFNpYNeKFtG8_yji4HS352LGlSQ/edit?pli=1#gid=0"",""1_ACUM!A4:S""),12,FALSE))"),"")</f>
        <v/>
      </c>
      <c r="AY359" s="43" t="str">
        <f ca="1">IFERROR(__xludf.DUMMYFUNCTION("IFERROR(VLOOKUP(E376&amp;F376,IMPORTRANGE(""https://docs.google.com/spreadsheets/d/1Uw7-A9f9R21vMXxHZFNpYNeKFtG8_yji4HS352LGlSQ/edit?pli=1#gid=0"",""1_ACUM!A4:S""),13,FALSE))"),"")</f>
        <v/>
      </c>
      <c r="AZ359" s="43" t="str">
        <f ca="1">IFERROR(__xludf.DUMMYFUNCTION("IFERROR(VLOOKUP(E376&amp;F376,IMPORTRANGE(""https://docs.google.com/spreadsheets/d/1Uw7-A9f9R21vMXxHZFNpYNeKFtG8_yji4HS352LGlSQ/edit?pli=1#gid=0"",""1_ACUM!A4:S""),14,FALSE))"),"")</f>
        <v/>
      </c>
      <c r="BA359" s="43" t="str">
        <f ca="1">IFERROR(__xludf.DUMMYFUNCTION("IFERROR(VLOOKUP(E376&amp;F376,IMPORTRANGE(""https://docs.google.com/spreadsheets/d/1Uw7-A9f9R21vMXxHZFNpYNeKFtG8_yji4HS352LGlSQ/edit?pli=1#gid=0"",""1_ACUM!A4:S""),15,FALSE))"),"")</f>
        <v/>
      </c>
      <c r="BB359" s="43" t="str">
        <f ca="1">IFERROR(__xludf.DUMMYFUNCTION("IFERROR(VLOOKUP(E376&amp;F376,IMPORTRANGE(""https://docs.google.com/spreadsheets/d/1Uw7-A9f9R21vMXxHZFNpYNeKFtG8_yji4HS352LGlSQ/edit?pli=1#gid=0"",""1_ACUM!A4:S""),16,FALSE))"),"")</f>
        <v/>
      </c>
      <c r="BC359" s="43" t="str">
        <f ca="1">IFERROR(__xludf.DUMMYFUNCTION("IFERROR(VLOOKUP(E376&amp;F376,IMPORTRANGE(""https://docs.google.com/spreadsheets/d/1Uw7-A9f9R21vMXxHZFNpYNeKFtG8_yji4HS352LGlSQ/edit?pli=1#gid=0"",""1_ACUM!A4:S""),17,FALSE))"),"")</f>
        <v/>
      </c>
      <c r="BD359" s="44" t="str">
        <f ca="1">IFERROR(__xludf.DUMMYFUNCTION("IFERROR(VLOOKUP(E376&amp;F376,IMPORTRANGE(""https://docs.google.com/spreadsheets/d/1Uw7-A9f9R21vMXxHZFNpYNeKFtG8_yji4HS352LGlSQ/edit?pli=1#gid=0"",""1_ACUM!A4:S""),18,FALSE))"),"")</f>
        <v/>
      </c>
      <c r="BE359" s="44" t="str">
        <f ca="1">IFERROR(__xludf.DUMMYFUNCTION("IFERROR(VLOOKUP(E376&amp;F376,IMPORTRANGE(""https://docs.google.com/spreadsheets/d/1Uw7-A9f9R21vMXxHZFNpYNeKFtG8_yji4HS352LGlSQ/edit?pli=1#gid=0"",""1_ACUM!A4:S""),19,FALSE))"),"")</f>
        <v/>
      </c>
      <c r="BF359" s="44" t="str">
        <f ca="1">IFERROR(__xludf.DUMMYFUNCTION("IFERROR(VLOOKUP(F376,IMPORTRANGE(""https://docs.google.com/spreadsheets/d/1Kvs4KS76FHFqLFIZfrDMff4kP08nblUkihrxltoGBjg/edit#gid=934712705"",""ESENCIAL!A6:BG""),5,FALSE))"),"")</f>
        <v/>
      </c>
      <c r="BG359" s="44" t="str">
        <f t="shared" si="37"/>
        <v/>
      </c>
      <c r="BH359" s="41" t="str">
        <f t="shared" si="38"/>
        <v/>
      </c>
      <c r="BI359" s="41" t="str">
        <f ca="1">IFERROR(__xludf.DUMMYFUNCTION("IFERROR(VLOOKUP(F376,IMPORTRANGE(""https://docs.google.com/spreadsheets/d/1Kvs4KS76FHFqLFIZfrDMff4kP08nblUkihrxltoGBjg/edit#gid=934712705"",""ESENCIAL!A6:BG""),18,FALSE))"),"")</f>
        <v/>
      </c>
      <c r="BJ359" s="19" t="str">
        <f t="shared" si="39"/>
        <v/>
      </c>
      <c r="BK359" s="41"/>
      <c r="BL359" s="41"/>
    </row>
    <row r="360" spans="1:64" ht="15">
      <c r="A360" s="4"/>
      <c r="B360" s="4"/>
      <c r="G360" s="5" t="str">
        <f ca="1">IFERROR(__xludf.DUMMYFUNCTION("IFERROR(VLOOKUP(F377,IMPORTRANGE(""https://docs.google.com/spreadsheets/d/1Kvs4KS76FHFqLFIZfrDMff4kP08nblUkihrxltoGBjg/edit#gid=934712705"",""ESENCIAL!A6:BG""),3,FALSE))"),"")</f>
        <v/>
      </c>
      <c r="H360" s="5" t="str">
        <f ca="1">IFERROR(__xludf.DUMMYFUNCTION("IFERROR(VLOOKUP(F377,IMPORTRANGE(""https://docs.google.com/spreadsheets/d/1Kvs4KS76FHFqLFIZfrDMff4kP08nblUkihrxltoGBjg/edit#gid=934712705"",""ESENCIAL!A6:BG""),8,FALSE))"),"")</f>
        <v/>
      </c>
      <c r="L360" s="287"/>
      <c r="S360"/>
      <c r="AU360" s="41" t="str">
        <f t="shared" si="36"/>
        <v/>
      </c>
      <c r="AV360" s="5" t="str">
        <f ca="1">IFERROR(__xludf.DUMMYFUNCTION("IFERROR(VLOOKUP(E377&amp;F377,IMPORTRANGE(""https://docs.google.com/spreadsheets/d/1Uw7-A9f9R21vMXxHZFNpYNeKFtG8_yji4HS352LGlSQ/edit?pli=1#gid=0"",""1_ACUM!A4:S""),11,FALSE))"),"")</f>
        <v/>
      </c>
      <c r="AW360" s="42" t="str">
        <f ca="1">IFERROR(__xludf.DUMMYFUNCTION("IFERROR(VLOOKUP(F377,IMPORTRANGE(""https://docs.google.com/spreadsheets/d/1Kvs4KS76FHFqLFIZfrDMff4kP08nblUkihrxltoGBjg/edit#gid=934712705"",""ESENCIAL!A6:BG""),15,FALSE))"),"")</f>
        <v/>
      </c>
      <c r="AX360" s="21" t="str">
        <f ca="1">IFERROR(__xludf.DUMMYFUNCTION("IFERROR(VLOOKUP(E377&amp;F377,IMPORTRANGE(""https://docs.google.com/spreadsheets/d/1Uw7-A9f9R21vMXxHZFNpYNeKFtG8_yji4HS352LGlSQ/edit?pli=1#gid=0"",""1_ACUM!A4:S""),12,FALSE))"),"")</f>
        <v/>
      </c>
      <c r="AY360" s="43" t="str">
        <f ca="1">IFERROR(__xludf.DUMMYFUNCTION("IFERROR(VLOOKUP(E377&amp;F377,IMPORTRANGE(""https://docs.google.com/spreadsheets/d/1Uw7-A9f9R21vMXxHZFNpYNeKFtG8_yji4HS352LGlSQ/edit?pli=1#gid=0"",""1_ACUM!A4:S""),13,FALSE))"),"")</f>
        <v/>
      </c>
      <c r="AZ360" s="43" t="str">
        <f ca="1">IFERROR(__xludf.DUMMYFUNCTION("IFERROR(VLOOKUP(E377&amp;F377,IMPORTRANGE(""https://docs.google.com/spreadsheets/d/1Uw7-A9f9R21vMXxHZFNpYNeKFtG8_yji4HS352LGlSQ/edit?pli=1#gid=0"",""1_ACUM!A4:S""),14,FALSE))"),"")</f>
        <v/>
      </c>
      <c r="BA360" s="43" t="str">
        <f ca="1">IFERROR(__xludf.DUMMYFUNCTION("IFERROR(VLOOKUP(E377&amp;F377,IMPORTRANGE(""https://docs.google.com/spreadsheets/d/1Uw7-A9f9R21vMXxHZFNpYNeKFtG8_yji4HS352LGlSQ/edit?pli=1#gid=0"",""1_ACUM!A4:S""),15,FALSE))"),"")</f>
        <v/>
      </c>
      <c r="BB360" s="43" t="str">
        <f ca="1">IFERROR(__xludf.DUMMYFUNCTION("IFERROR(VLOOKUP(E377&amp;F377,IMPORTRANGE(""https://docs.google.com/spreadsheets/d/1Uw7-A9f9R21vMXxHZFNpYNeKFtG8_yji4HS352LGlSQ/edit?pli=1#gid=0"",""1_ACUM!A4:S""),16,FALSE))"),"")</f>
        <v/>
      </c>
      <c r="BC360" s="43" t="str">
        <f ca="1">IFERROR(__xludf.DUMMYFUNCTION("IFERROR(VLOOKUP(E377&amp;F377,IMPORTRANGE(""https://docs.google.com/spreadsheets/d/1Uw7-A9f9R21vMXxHZFNpYNeKFtG8_yji4HS352LGlSQ/edit?pli=1#gid=0"",""1_ACUM!A4:S""),17,FALSE))"),"")</f>
        <v/>
      </c>
      <c r="BD360" s="44" t="str">
        <f ca="1">IFERROR(__xludf.DUMMYFUNCTION("IFERROR(VLOOKUP(E377&amp;F377,IMPORTRANGE(""https://docs.google.com/spreadsheets/d/1Uw7-A9f9R21vMXxHZFNpYNeKFtG8_yji4HS352LGlSQ/edit?pli=1#gid=0"",""1_ACUM!A4:S""),18,FALSE))"),"")</f>
        <v/>
      </c>
      <c r="BE360" s="44" t="str">
        <f ca="1">IFERROR(__xludf.DUMMYFUNCTION("IFERROR(VLOOKUP(E377&amp;F377,IMPORTRANGE(""https://docs.google.com/spreadsheets/d/1Uw7-A9f9R21vMXxHZFNpYNeKFtG8_yji4HS352LGlSQ/edit?pli=1#gid=0"",""1_ACUM!A4:S""),19,FALSE))"),"")</f>
        <v/>
      </c>
      <c r="BF360" s="44" t="str">
        <f ca="1">IFERROR(__xludf.DUMMYFUNCTION("IFERROR(VLOOKUP(F377,IMPORTRANGE(""https://docs.google.com/spreadsheets/d/1Kvs4KS76FHFqLFIZfrDMff4kP08nblUkihrxltoGBjg/edit#gid=934712705"",""ESENCIAL!A6:BG""),5,FALSE))"),"")</f>
        <v/>
      </c>
      <c r="BG360" s="44" t="str">
        <f t="shared" si="37"/>
        <v/>
      </c>
      <c r="BH360" s="41" t="str">
        <f t="shared" si="38"/>
        <v/>
      </c>
      <c r="BI360" s="41" t="str">
        <f ca="1">IFERROR(__xludf.DUMMYFUNCTION("IFERROR(VLOOKUP(F377,IMPORTRANGE(""https://docs.google.com/spreadsheets/d/1Kvs4KS76FHFqLFIZfrDMff4kP08nblUkihrxltoGBjg/edit#gid=934712705"",""ESENCIAL!A6:BG""),18,FALSE))"),"")</f>
        <v/>
      </c>
      <c r="BJ360" s="19" t="str">
        <f t="shared" si="39"/>
        <v/>
      </c>
      <c r="BK360" s="41"/>
      <c r="BL360" s="41"/>
    </row>
    <row r="361" spans="1:64" ht="15">
      <c r="A361" s="4"/>
      <c r="B361" s="4"/>
      <c r="G361" s="5" t="str">
        <f ca="1">IFERROR(__xludf.DUMMYFUNCTION("IFERROR(VLOOKUP(F378,IMPORTRANGE(""https://docs.google.com/spreadsheets/d/1Kvs4KS76FHFqLFIZfrDMff4kP08nblUkihrxltoGBjg/edit#gid=934712705"",""ESENCIAL!A6:BG""),3,FALSE))"),"")</f>
        <v/>
      </c>
      <c r="H361" s="5" t="str">
        <f ca="1">IFERROR(__xludf.DUMMYFUNCTION("IFERROR(VLOOKUP(F378,IMPORTRANGE(""https://docs.google.com/spreadsheets/d/1Kvs4KS76FHFqLFIZfrDMff4kP08nblUkihrxltoGBjg/edit#gid=934712705"",""ESENCIAL!A6:BG""),8,FALSE))"),"")</f>
        <v/>
      </c>
      <c r="L361" s="287"/>
      <c r="S361"/>
      <c r="AU361" s="41" t="str">
        <f t="shared" si="36"/>
        <v/>
      </c>
      <c r="AV361" s="5" t="str">
        <f ca="1">IFERROR(__xludf.DUMMYFUNCTION("IFERROR(VLOOKUP(E378&amp;F378,IMPORTRANGE(""https://docs.google.com/spreadsheets/d/1Uw7-A9f9R21vMXxHZFNpYNeKFtG8_yji4HS352LGlSQ/edit?pli=1#gid=0"",""1_ACUM!A4:S""),11,FALSE))"),"")</f>
        <v/>
      </c>
      <c r="AW361" s="42" t="str">
        <f ca="1">IFERROR(__xludf.DUMMYFUNCTION("IFERROR(VLOOKUP(F378,IMPORTRANGE(""https://docs.google.com/spreadsheets/d/1Kvs4KS76FHFqLFIZfrDMff4kP08nblUkihrxltoGBjg/edit#gid=934712705"",""ESENCIAL!A6:BG""),15,FALSE))"),"")</f>
        <v/>
      </c>
      <c r="AX361" s="21" t="str">
        <f ca="1">IFERROR(__xludf.DUMMYFUNCTION("IFERROR(VLOOKUP(E378&amp;F378,IMPORTRANGE(""https://docs.google.com/spreadsheets/d/1Uw7-A9f9R21vMXxHZFNpYNeKFtG8_yji4HS352LGlSQ/edit?pli=1#gid=0"",""1_ACUM!A4:S""),12,FALSE))"),"")</f>
        <v/>
      </c>
      <c r="AY361" s="43" t="str">
        <f ca="1">IFERROR(__xludf.DUMMYFUNCTION("IFERROR(VLOOKUP(E378&amp;F378,IMPORTRANGE(""https://docs.google.com/spreadsheets/d/1Uw7-A9f9R21vMXxHZFNpYNeKFtG8_yji4HS352LGlSQ/edit?pli=1#gid=0"",""1_ACUM!A4:S""),13,FALSE))"),"")</f>
        <v/>
      </c>
      <c r="AZ361" s="43" t="str">
        <f ca="1">IFERROR(__xludf.DUMMYFUNCTION("IFERROR(VLOOKUP(E378&amp;F378,IMPORTRANGE(""https://docs.google.com/spreadsheets/d/1Uw7-A9f9R21vMXxHZFNpYNeKFtG8_yji4HS352LGlSQ/edit?pli=1#gid=0"",""1_ACUM!A4:S""),14,FALSE))"),"")</f>
        <v/>
      </c>
      <c r="BA361" s="43" t="str">
        <f ca="1">IFERROR(__xludf.DUMMYFUNCTION("IFERROR(VLOOKUP(E378&amp;F378,IMPORTRANGE(""https://docs.google.com/spreadsheets/d/1Uw7-A9f9R21vMXxHZFNpYNeKFtG8_yji4HS352LGlSQ/edit?pli=1#gid=0"",""1_ACUM!A4:S""),15,FALSE))"),"")</f>
        <v/>
      </c>
      <c r="BB361" s="43" t="str">
        <f ca="1">IFERROR(__xludf.DUMMYFUNCTION("IFERROR(VLOOKUP(E378&amp;F378,IMPORTRANGE(""https://docs.google.com/spreadsheets/d/1Uw7-A9f9R21vMXxHZFNpYNeKFtG8_yji4HS352LGlSQ/edit?pli=1#gid=0"",""1_ACUM!A4:S""),16,FALSE))"),"")</f>
        <v/>
      </c>
      <c r="BC361" s="43" t="str">
        <f ca="1">IFERROR(__xludf.DUMMYFUNCTION("IFERROR(VLOOKUP(E378&amp;F378,IMPORTRANGE(""https://docs.google.com/spreadsheets/d/1Uw7-A9f9R21vMXxHZFNpYNeKFtG8_yji4HS352LGlSQ/edit?pli=1#gid=0"",""1_ACUM!A4:S""),17,FALSE))"),"")</f>
        <v/>
      </c>
      <c r="BD361" s="44" t="str">
        <f ca="1">IFERROR(__xludf.DUMMYFUNCTION("IFERROR(VLOOKUP(E378&amp;F378,IMPORTRANGE(""https://docs.google.com/spreadsheets/d/1Uw7-A9f9R21vMXxHZFNpYNeKFtG8_yji4HS352LGlSQ/edit?pli=1#gid=0"",""1_ACUM!A4:S""),18,FALSE))"),"")</f>
        <v/>
      </c>
      <c r="BE361" s="44" t="str">
        <f ca="1">IFERROR(__xludf.DUMMYFUNCTION("IFERROR(VLOOKUP(E378&amp;F378,IMPORTRANGE(""https://docs.google.com/spreadsheets/d/1Uw7-A9f9R21vMXxHZFNpYNeKFtG8_yji4HS352LGlSQ/edit?pli=1#gid=0"",""1_ACUM!A4:S""),19,FALSE))"),"")</f>
        <v/>
      </c>
      <c r="BF361" s="44" t="str">
        <f ca="1">IFERROR(__xludf.DUMMYFUNCTION("IFERROR(VLOOKUP(F378,IMPORTRANGE(""https://docs.google.com/spreadsheets/d/1Kvs4KS76FHFqLFIZfrDMff4kP08nblUkihrxltoGBjg/edit#gid=934712705"",""ESENCIAL!A6:BG""),5,FALSE))"),"")</f>
        <v/>
      </c>
      <c r="BG361" s="44" t="str">
        <f t="shared" si="37"/>
        <v/>
      </c>
      <c r="BH361" s="41" t="str">
        <f t="shared" si="38"/>
        <v/>
      </c>
      <c r="BI361" s="41" t="str">
        <f ca="1">IFERROR(__xludf.DUMMYFUNCTION("IFERROR(VLOOKUP(F378,IMPORTRANGE(""https://docs.google.com/spreadsheets/d/1Kvs4KS76FHFqLFIZfrDMff4kP08nblUkihrxltoGBjg/edit#gid=934712705"",""ESENCIAL!A6:BG""),18,FALSE))"),"")</f>
        <v/>
      </c>
      <c r="BJ361" s="19" t="str">
        <f t="shared" si="39"/>
        <v/>
      </c>
      <c r="BK361" s="41"/>
      <c r="BL361" s="41"/>
    </row>
    <row r="362" spans="1:64" ht="15">
      <c r="A362" s="4"/>
      <c r="B362" s="4"/>
      <c r="G362" s="5" t="str">
        <f ca="1">IFERROR(__xludf.DUMMYFUNCTION("IFERROR(VLOOKUP(F379,IMPORTRANGE(""https://docs.google.com/spreadsheets/d/1Kvs4KS76FHFqLFIZfrDMff4kP08nblUkihrxltoGBjg/edit#gid=934712705"",""ESENCIAL!A6:BG""),3,FALSE))"),"")</f>
        <v/>
      </c>
      <c r="H362" s="5" t="str">
        <f ca="1">IFERROR(__xludf.DUMMYFUNCTION("IFERROR(VLOOKUP(F379,IMPORTRANGE(""https://docs.google.com/spreadsheets/d/1Kvs4KS76FHFqLFIZfrDMff4kP08nblUkihrxltoGBjg/edit#gid=934712705"",""ESENCIAL!A6:BG""),8,FALSE))"),"")</f>
        <v/>
      </c>
      <c r="L362" s="287"/>
      <c r="S362"/>
      <c r="AU362" s="41" t="str">
        <f t="shared" si="36"/>
        <v/>
      </c>
      <c r="AV362" s="5" t="str">
        <f ca="1">IFERROR(__xludf.DUMMYFUNCTION("IFERROR(VLOOKUP(E379&amp;F379,IMPORTRANGE(""https://docs.google.com/spreadsheets/d/1Uw7-A9f9R21vMXxHZFNpYNeKFtG8_yji4HS352LGlSQ/edit?pli=1#gid=0"",""1_ACUM!A4:S""),11,FALSE))"),"")</f>
        <v/>
      </c>
      <c r="AW362" s="42" t="str">
        <f ca="1">IFERROR(__xludf.DUMMYFUNCTION("IFERROR(VLOOKUP(F379,IMPORTRANGE(""https://docs.google.com/spreadsheets/d/1Kvs4KS76FHFqLFIZfrDMff4kP08nblUkihrxltoGBjg/edit#gid=934712705"",""ESENCIAL!A6:BG""),15,FALSE))"),"")</f>
        <v/>
      </c>
      <c r="AX362" s="21" t="str">
        <f ca="1">IFERROR(__xludf.DUMMYFUNCTION("IFERROR(VLOOKUP(E379&amp;F379,IMPORTRANGE(""https://docs.google.com/spreadsheets/d/1Uw7-A9f9R21vMXxHZFNpYNeKFtG8_yji4HS352LGlSQ/edit?pli=1#gid=0"",""1_ACUM!A4:S""),12,FALSE))"),"")</f>
        <v/>
      </c>
      <c r="AY362" s="43" t="str">
        <f ca="1">IFERROR(__xludf.DUMMYFUNCTION("IFERROR(VLOOKUP(E379&amp;F379,IMPORTRANGE(""https://docs.google.com/spreadsheets/d/1Uw7-A9f9R21vMXxHZFNpYNeKFtG8_yji4HS352LGlSQ/edit?pli=1#gid=0"",""1_ACUM!A4:S""),13,FALSE))"),"")</f>
        <v/>
      </c>
      <c r="AZ362" s="43" t="str">
        <f ca="1">IFERROR(__xludf.DUMMYFUNCTION("IFERROR(VLOOKUP(E379&amp;F379,IMPORTRANGE(""https://docs.google.com/spreadsheets/d/1Uw7-A9f9R21vMXxHZFNpYNeKFtG8_yji4HS352LGlSQ/edit?pli=1#gid=0"",""1_ACUM!A4:S""),14,FALSE))"),"")</f>
        <v/>
      </c>
      <c r="BA362" s="43" t="str">
        <f ca="1">IFERROR(__xludf.DUMMYFUNCTION("IFERROR(VLOOKUP(E379&amp;F379,IMPORTRANGE(""https://docs.google.com/spreadsheets/d/1Uw7-A9f9R21vMXxHZFNpYNeKFtG8_yji4HS352LGlSQ/edit?pli=1#gid=0"",""1_ACUM!A4:S""),15,FALSE))"),"")</f>
        <v/>
      </c>
      <c r="BB362" s="43" t="str">
        <f ca="1">IFERROR(__xludf.DUMMYFUNCTION("IFERROR(VLOOKUP(E379&amp;F379,IMPORTRANGE(""https://docs.google.com/spreadsheets/d/1Uw7-A9f9R21vMXxHZFNpYNeKFtG8_yji4HS352LGlSQ/edit?pli=1#gid=0"",""1_ACUM!A4:S""),16,FALSE))"),"")</f>
        <v/>
      </c>
      <c r="BC362" s="43" t="str">
        <f ca="1">IFERROR(__xludf.DUMMYFUNCTION("IFERROR(VLOOKUP(E379&amp;F379,IMPORTRANGE(""https://docs.google.com/spreadsheets/d/1Uw7-A9f9R21vMXxHZFNpYNeKFtG8_yji4HS352LGlSQ/edit?pli=1#gid=0"",""1_ACUM!A4:S""),17,FALSE))"),"")</f>
        <v/>
      </c>
      <c r="BD362" s="44" t="str">
        <f ca="1">IFERROR(__xludf.DUMMYFUNCTION("IFERROR(VLOOKUP(E379&amp;F379,IMPORTRANGE(""https://docs.google.com/spreadsheets/d/1Uw7-A9f9R21vMXxHZFNpYNeKFtG8_yji4HS352LGlSQ/edit?pli=1#gid=0"",""1_ACUM!A4:S""),18,FALSE))"),"")</f>
        <v/>
      </c>
      <c r="BE362" s="44" t="str">
        <f ca="1">IFERROR(__xludf.DUMMYFUNCTION("IFERROR(VLOOKUP(E379&amp;F379,IMPORTRANGE(""https://docs.google.com/spreadsheets/d/1Uw7-A9f9R21vMXxHZFNpYNeKFtG8_yji4HS352LGlSQ/edit?pli=1#gid=0"",""1_ACUM!A4:S""),19,FALSE))"),"")</f>
        <v/>
      </c>
      <c r="BF362" s="44" t="str">
        <f ca="1">IFERROR(__xludf.DUMMYFUNCTION("IFERROR(VLOOKUP(F379,IMPORTRANGE(""https://docs.google.com/spreadsheets/d/1Kvs4KS76FHFqLFIZfrDMff4kP08nblUkihrxltoGBjg/edit#gid=934712705"",""ESENCIAL!A6:BG""),5,FALSE))"),"")</f>
        <v/>
      </c>
      <c r="BG362" s="44" t="str">
        <f t="shared" si="37"/>
        <v/>
      </c>
      <c r="BH362" s="41" t="str">
        <f t="shared" si="38"/>
        <v/>
      </c>
      <c r="BI362" s="41" t="str">
        <f ca="1">IFERROR(__xludf.DUMMYFUNCTION("IFERROR(VLOOKUP(F379,IMPORTRANGE(""https://docs.google.com/spreadsheets/d/1Kvs4KS76FHFqLFIZfrDMff4kP08nblUkihrxltoGBjg/edit#gid=934712705"",""ESENCIAL!A6:BG""),18,FALSE))"),"")</f>
        <v/>
      </c>
      <c r="BJ362" s="19" t="str">
        <f t="shared" si="39"/>
        <v/>
      </c>
      <c r="BK362" s="41"/>
      <c r="BL362" s="41"/>
    </row>
    <row r="363" spans="1:64" ht="15">
      <c r="A363" s="4"/>
      <c r="B363" s="4"/>
      <c r="G363" s="5" t="str">
        <f ca="1">IFERROR(__xludf.DUMMYFUNCTION("IFERROR(VLOOKUP(F380,IMPORTRANGE(""https://docs.google.com/spreadsheets/d/1Kvs4KS76FHFqLFIZfrDMff4kP08nblUkihrxltoGBjg/edit#gid=934712705"",""ESENCIAL!A6:BG""),3,FALSE))"),"")</f>
        <v/>
      </c>
      <c r="H363" s="5" t="str">
        <f ca="1">IFERROR(__xludf.DUMMYFUNCTION("IFERROR(VLOOKUP(F380,IMPORTRANGE(""https://docs.google.com/spreadsheets/d/1Kvs4KS76FHFqLFIZfrDMff4kP08nblUkihrxltoGBjg/edit#gid=934712705"",""ESENCIAL!A6:BG""),8,FALSE))"),"")</f>
        <v/>
      </c>
      <c r="L363" s="287"/>
      <c r="S363"/>
      <c r="AU363" s="41" t="str">
        <f t="shared" si="36"/>
        <v/>
      </c>
      <c r="AV363" s="5" t="str">
        <f ca="1">IFERROR(__xludf.DUMMYFUNCTION("IFERROR(VLOOKUP(E380&amp;F380,IMPORTRANGE(""https://docs.google.com/spreadsheets/d/1Uw7-A9f9R21vMXxHZFNpYNeKFtG8_yji4HS352LGlSQ/edit?pli=1#gid=0"",""1_ACUM!A4:S""),11,FALSE))"),"")</f>
        <v/>
      </c>
      <c r="AW363" s="42" t="str">
        <f ca="1">IFERROR(__xludf.DUMMYFUNCTION("IFERROR(VLOOKUP(F380,IMPORTRANGE(""https://docs.google.com/spreadsheets/d/1Kvs4KS76FHFqLFIZfrDMff4kP08nblUkihrxltoGBjg/edit#gid=934712705"",""ESENCIAL!A6:BG""),15,FALSE))"),"")</f>
        <v/>
      </c>
      <c r="AX363" s="21" t="str">
        <f ca="1">IFERROR(__xludf.DUMMYFUNCTION("IFERROR(VLOOKUP(E380&amp;F380,IMPORTRANGE(""https://docs.google.com/spreadsheets/d/1Uw7-A9f9R21vMXxHZFNpYNeKFtG8_yji4HS352LGlSQ/edit?pli=1#gid=0"",""1_ACUM!A4:S""),12,FALSE))"),"")</f>
        <v/>
      </c>
      <c r="AY363" s="43" t="str">
        <f ca="1">IFERROR(__xludf.DUMMYFUNCTION("IFERROR(VLOOKUP(E380&amp;F380,IMPORTRANGE(""https://docs.google.com/spreadsheets/d/1Uw7-A9f9R21vMXxHZFNpYNeKFtG8_yji4HS352LGlSQ/edit?pli=1#gid=0"",""1_ACUM!A4:S""),13,FALSE))"),"")</f>
        <v/>
      </c>
      <c r="AZ363" s="43" t="str">
        <f ca="1">IFERROR(__xludf.DUMMYFUNCTION("IFERROR(VLOOKUP(E380&amp;F380,IMPORTRANGE(""https://docs.google.com/spreadsheets/d/1Uw7-A9f9R21vMXxHZFNpYNeKFtG8_yji4HS352LGlSQ/edit?pli=1#gid=0"",""1_ACUM!A4:S""),14,FALSE))"),"")</f>
        <v/>
      </c>
      <c r="BA363" s="43" t="str">
        <f ca="1">IFERROR(__xludf.DUMMYFUNCTION("IFERROR(VLOOKUP(E380&amp;F380,IMPORTRANGE(""https://docs.google.com/spreadsheets/d/1Uw7-A9f9R21vMXxHZFNpYNeKFtG8_yji4HS352LGlSQ/edit?pli=1#gid=0"",""1_ACUM!A4:S""),15,FALSE))"),"")</f>
        <v/>
      </c>
      <c r="BB363" s="43" t="str">
        <f ca="1">IFERROR(__xludf.DUMMYFUNCTION("IFERROR(VLOOKUP(E380&amp;F380,IMPORTRANGE(""https://docs.google.com/spreadsheets/d/1Uw7-A9f9R21vMXxHZFNpYNeKFtG8_yji4HS352LGlSQ/edit?pli=1#gid=0"",""1_ACUM!A4:S""),16,FALSE))"),"")</f>
        <v/>
      </c>
      <c r="BC363" s="43" t="str">
        <f ca="1">IFERROR(__xludf.DUMMYFUNCTION("IFERROR(VLOOKUP(E380&amp;F380,IMPORTRANGE(""https://docs.google.com/spreadsheets/d/1Uw7-A9f9R21vMXxHZFNpYNeKFtG8_yji4HS352LGlSQ/edit?pli=1#gid=0"",""1_ACUM!A4:S""),17,FALSE))"),"")</f>
        <v/>
      </c>
      <c r="BD363" s="44" t="str">
        <f ca="1">IFERROR(__xludf.DUMMYFUNCTION("IFERROR(VLOOKUP(E380&amp;F380,IMPORTRANGE(""https://docs.google.com/spreadsheets/d/1Uw7-A9f9R21vMXxHZFNpYNeKFtG8_yji4HS352LGlSQ/edit?pli=1#gid=0"",""1_ACUM!A4:S""),18,FALSE))"),"")</f>
        <v/>
      </c>
      <c r="BE363" s="44" t="str">
        <f ca="1">IFERROR(__xludf.DUMMYFUNCTION("IFERROR(VLOOKUP(E380&amp;F380,IMPORTRANGE(""https://docs.google.com/spreadsheets/d/1Uw7-A9f9R21vMXxHZFNpYNeKFtG8_yji4HS352LGlSQ/edit?pli=1#gid=0"",""1_ACUM!A4:S""),19,FALSE))"),"")</f>
        <v/>
      </c>
      <c r="BF363" s="44" t="str">
        <f ca="1">IFERROR(__xludf.DUMMYFUNCTION("IFERROR(VLOOKUP(F380,IMPORTRANGE(""https://docs.google.com/spreadsheets/d/1Kvs4KS76FHFqLFIZfrDMff4kP08nblUkihrxltoGBjg/edit#gid=934712705"",""ESENCIAL!A6:BG""),5,FALSE))"),"")</f>
        <v/>
      </c>
      <c r="BG363" s="44" t="str">
        <f t="shared" si="37"/>
        <v/>
      </c>
      <c r="BH363" s="41" t="str">
        <f t="shared" si="38"/>
        <v/>
      </c>
      <c r="BI363" s="41" t="str">
        <f ca="1">IFERROR(__xludf.DUMMYFUNCTION("IFERROR(VLOOKUP(F380,IMPORTRANGE(""https://docs.google.com/spreadsheets/d/1Kvs4KS76FHFqLFIZfrDMff4kP08nblUkihrxltoGBjg/edit#gid=934712705"",""ESENCIAL!A6:BG""),18,FALSE))"),"")</f>
        <v/>
      </c>
      <c r="BJ363" s="19" t="str">
        <f t="shared" si="39"/>
        <v/>
      </c>
      <c r="BK363" s="41"/>
      <c r="BL363" s="41"/>
    </row>
    <row r="364" spans="1:64" ht="15">
      <c r="A364" s="4"/>
      <c r="B364" s="4"/>
      <c r="G364" s="5" t="str">
        <f ca="1">IFERROR(__xludf.DUMMYFUNCTION("IFERROR(VLOOKUP(F381,IMPORTRANGE(""https://docs.google.com/spreadsheets/d/1Kvs4KS76FHFqLFIZfrDMff4kP08nblUkihrxltoGBjg/edit#gid=934712705"",""ESENCIAL!A6:BG""),3,FALSE))"),"")</f>
        <v/>
      </c>
      <c r="H364" s="5" t="str">
        <f ca="1">IFERROR(__xludf.DUMMYFUNCTION("IFERROR(VLOOKUP(F381,IMPORTRANGE(""https://docs.google.com/spreadsheets/d/1Kvs4KS76FHFqLFIZfrDMff4kP08nblUkihrxltoGBjg/edit#gid=934712705"",""ESENCIAL!A6:BG""),8,FALSE))"),"")</f>
        <v/>
      </c>
      <c r="L364" s="287"/>
      <c r="S364"/>
      <c r="AU364" s="41" t="str">
        <f t="shared" si="36"/>
        <v/>
      </c>
      <c r="AV364" s="5" t="str">
        <f ca="1">IFERROR(__xludf.DUMMYFUNCTION("IFERROR(VLOOKUP(E381&amp;F381,IMPORTRANGE(""https://docs.google.com/spreadsheets/d/1Uw7-A9f9R21vMXxHZFNpYNeKFtG8_yji4HS352LGlSQ/edit?pli=1#gid=0"",""1_ACUM!A4:S""),11,FALSE))"),"")</f>
        <v/>
      </c>
      <c r="AW364" s="42" t="str">
        <f ca="1">IFERROR(__xludf.DUMMYFUNCTION("IFERROR(VLOOKUP(F381,IMPORTRANGE(""https://docs.google.com/spreadsheets/d/1Kvs4KS76FHFqLFIZfrDMff4kP08nblUkihrxltoGBjg/edit#gid=934712705"",""ESENCIAL!A6:BG""),15,FALSE))"),"")</f>
        <v/>
      </c>
      <c r="AX364" s="21" t="str">
        <f ca="1">IFERROR(__xludf.DUMMYFUNCTION("IFERROR(VLOOKUP(E381&amp;F381,IMPORTRANGE(""https://docs.google.com/spreadsheets/d/1Uw7-A9f9R21vMXxHZFNpYNeKFtG8_yji4HS352LGlSQ/edit?pli=1#gid=0"",""1_ACUM!A4:S""),12,FALSE))"),"")</f>
        <v/>
      </c>
      <c r="AY364" s="43" t="str">
        <f ca="1">IFERROR(__xludf.DUMMYFUNCTION("IFERROR(VLOOKUP(E381&amp;F381,IMPORTRANGE(""https://docs.google.com/spreadsheets/d/1Uw7-A9f9R21vMXxHZFNpYNeKFtG8_yji4HS352LGlSQ/edit?pli=1#gid=0"",""1_ACUM!A4:S""),13,FALSE))"),"")</f>
        <v/>
      </c>
      <c r="AZ364" s="43" t="str">
        <f ca="1">IFERROR(__xludf.DUMMYFUNCTION("IFERROR(VLOOKUP(E381&amp;F381,IMPORTRANGE(""https://docs.google.com/spreadsheets/d/1Uw7-A9f9R21vMXxHZFNpYNeKFtG8_yji4HS352LGlSQ/edit?pli=1#gid=0"",""1_ACUM!A4:S""),14,FALSE))"),"")</f>
        <v/>
      </c>
      <c r="BA364" s="43" t="str">
        <f ca="1">IFERROR(__xludf.DUMMYFUNCTION("IFERROR(VLOOKUP(E381&amp;F381,IMPORTRANGE(""https://docs.google.com/spreadsheets/d/1Uw7-A9f9R21vMXxHZFNpYNeKFtG8_yji4HS352LGlSQ/edit?pli=1#gid=0"",""1_ACUM!A4:S""),15,FALSE))"),"")</f>
        <v/>
      </c>
      <c r="BB364" s="43" t="str">
        <f ca="1">IFERROR(__xludf.DUMMYFUNCTION("IFERROR(VLOOKUP(E381&amp;F381,IMPORTRANGE(""https://docs.google.com/spreadsheets/d/1Uw7-A9f9R21vMXxHZFNpYNeKFtG8_yji4HS352LGlSQ/edit?pli=1#gid=0"",""1_ACUM!A4:S""),16,FALSE))"),"")</f>
        <v/>
      </c>
      <c r="BC364" s="43" t="str">
        <f ca="1">IFERROR(__xludf.DUMMYFUNCTION("IFERROR(VLOOKUP(E381&amp;F381,IMPORTRANGE(""https://docs.google.com/spreadsheets/d/1Uw7-A9f9R21vMXxHZFNpYNeKFtG8_yji4HS352LGlSQ/edit?pli=1#gid=0"",""1_ACUM!A4:S""),17,FALSE))"),"")</f>
        <v/>
      </c>
      <c r="BD364" s="44" t="str">
        <f ca="1">IFERROR(__xludf.DUMMYFUNCTION("IFERROR(VLOOKUP(E381&amp;F381,IMPORTRANGE(""https://docs.google.com/spreadsheets/d/1Uw7-A9f9R21vMXxHZFNpYNeKFtG8_yji4HS352LGlSQ/edit?pli=1#gid=0"",""1_ACUM!A4:S""),18,FALSE))"),"")</f>
        <v/>
      </c>
      <c r="BE364" s="44" t="str">
        <f ca="1">IFERROR(__xludf.DUMMYFUNCTION("IFERROR(VLOOKUP(E381&amp;F381,IMPORTRANGE(""https://docs.google.com/spreadsheets/d/1Uw7-A9f9R21vMXxHZFNpYNeKFtG8_yji4HS352LGlSQ/edit?pli=1#gid=0"",""1_ACUM!A4:S""),19,FALSE))"),"")</f>
        <v/>
      </c>
      <c r="BF364" s="44" t="str">
        <f ca="1">IFERROR(__xludf.DUMMYFUNCTION("IFERROR(VLOOKUP(F381,IMPORTRANGE(""https://docs.google.com/spreadsheets/d/1Kvs4KS76FHFqLFIZfrDMff4kP08nblUkihrxltoGBjg/edit#gid=934712705"",""ESENCIAL!A6:BG""),5,FALSE))"),"")</f>
        <v/>
      </c>
      <c r="BG364" s="44" t="str">
        <f t="shared" si="37"/>
        <v/>
      </c>
      <c r="BH364" s="41" t="str">
        <f t="shared" si="38"/>
        <v/>
      </c>
      <c r="BI364" s="41" t="str">
        <f ca="1">IFERROR(__xludf.DUMMYFUNCTION("IFERROR(VLOOKUP(F381,IMPORTRANGE(""https://docs.google.com/spreadsheets/d/1Kvs4KS76FHFqLFIZfrDMff4kP08nblUkihrxltoGBjg/edit#gid=934712705"",""ESENCIAL!A6:BG""),18,FALSE))"),"")</f>
        <v/>
      </c>
      <c r="BJ364" s="19" t="str">
        <f t="shared" si="39"/>
        <v/>
      </c>
      <c r="BK364" s="41"/>
      <c r="BL364" s="41"/>
    </row>
    <row r="365" spans="1:64" ht="15">
      <c r="A365" s="4"/>
      <c r="B365" s="4"/>
      <c r="G365" s="5" t="str">
        <f ca="1">IFERROR(__xludf.DUMMYFUNCTION("IFERROR(VLOOKUP(F382,IMPORTRANGE(""https://docs.google.com/spreadsheets/d/1Kvs4KS76FHFqLFIZfrDMff4kP08nblUkihrxltoGBjg/edit#gid=934712705"",""ESENCIAL!A6:BG""),3,FALSE))"),"")</f>
        <v/>
      </c>
      <c r="H365" s="5" t="str">
        <f ca="1">IFERROR(__xludf.DUMMYFUNCTION("IFERROR(VLOOKUP(F382,IMPORTRANGE(""https://docs.google.com/spreadsheets/d/1Kvs4KS76FHFqLFIZfrDMff4kP08nblUkihrxltoGBjg/edit#gid=934712705"",""ESENCIAL!A6:BG""),8,FALSE))"),"")</f>
        <v/>
      </c>
      <c r="L365" s="287"/>
      <c r="S365"/>
      <c r="AU365" s="41" t="str">
        <f t="shared" si="36"/>
        <v/>
      </c>
      <c r="AV365" s="5" t="str">
        <f ca="1">IFERROR(__xludf.DUMMYFUNCTION("IFERROR(VLOOKUP(E382&amp;F382,IMPORTRANGE(""https://docs.google.com/spreadsheets/d/1Uw7-A9f9R21vMXxHZFNpYNeKFtG8_yji4HS352LGlSQ/edit?pli=1#gid=0"",""1_ACUM!A4:S""),11,FALSE))"),"")</f>
        <v/>
      </c>
      <c r="AW365" s="42" t="str">
        <f ca="1">IFERROR(__xludf.DUMMYFUNCTION("IFERROR(VLOOKUP(F382,IMPORTRANGE(""https://docs.google.com/spreadsheets/d/1Kvs4KS76FHFqLFIZfrDMff4kP08nblUkihrxltoGBjg/edit#gid=934712705"",""ESENCIAL!A6:BG""),15,FALSE))"),"")</f>
        <v/>
      </c>
      <c r="AX365" s="21" t="str">
        <f ca="1">IFERROR(__xludf.DUMMYFUNCTION("IFERROR(VLOOKUP(E382&amp;F382,IMPORTRANGE(""https://docs.google.com/spreadsheets/d/1Uw7-A9f9R21vMXxHZFNpYNeKFtG8_yji4HS352LGlSQ/edit?pli=1#gid=0"",""1_ACUM!A4:S""),12,FALSE))"),"")</f>
        <v/>
      </c>
      <c r="AY365" s="43" t="str">
        <f ca="1">IFERROR(__xludf.DUMMYFUNCTION("IFERROR(VLOOKUP(E382&amp;F382,IMPORTRANGE(""https://docs.google.com/spreadsheets/d/1Uw7-A9f9R21vMXxHZFNpYNeKFtG8_yji4HS352LGlSQ/edit?pli=1#gid=0"",""1_ACUM!A4:S""),13,FALSE))"),"")</f>
        <v/>
      </c>
      <c r="AZ365" s="43" t="str">
        <f ca="1">IFERROR(__xludf.DUMMYFUNCTION("IFERROR(VLOOKUP(E382&amp;F382,IMPORTRANGE(""https://docs.google.com/spreadsheets/d/1Uw7-A9f9R21vMXxHZFNpYNeKFtG8_yji4HS352LGlSQ/edit?pli=1#gid=0"",""1_ACUM!A4:S""),14,FALSE))"),"")</f>
        <v/>
      </c>
      <c r="BA365" s="43" t="str">
        <f ca="1">IFERROR(__xludf.DUMMYFUNCTION("IFERROR(VLOOKUP(E382&amp;F382,IMPORTRANGE(""https://docs.google.com/spreadsheets/d/1Uw7-A9f9R21vMXxHZFNpYNeKFtG8_yji4HS352LGlSQ/edit?pli=1#gid=0"",""1_ACUM!A4:S""),15,FALSE))"),"")</f>
        <v/>
      </c>
      <c r="BB365" s="43" t="str">
        <f ca="1">IFERROR(__xludf.DUMMYFUNCTION("IFERROR(VLOOKUP(E382&amp;F382,IMPORTRANGE(""https://docs.google.com/spreadsheets/d/1Uw7-A9f9R21vMXxHZFNpYNeKFtG8_yji4HS352LGlSQ/edit?pli=1#gid=0"",""1_ACUM!A4:S""),16,FALSE))"),"")</f>
        <v/>
      </c>
      <c r="BC365" s="43" t="str">
        <f ca="1">IFERROR(__xludf.DUMMYFUNCTION("IFERROR(VLOOKUP(E382&amp;F382,IMPORTRANGE(""https://docs.google.com/spreadsheets/d/1Uw7-A9f9R21vMXxHZFNpYNeKFtG8_yji4HS352LGlSQ/edit?pli=1#gid=0"",""1_ACUM!A4:S""),17,FALSE))"),"")</f>
        <v/>
      </c>
      <c r="BD365" s="44" t="str">
        <f ca="1">IFERROR(__xludf.DUMMYFUNCTION("IFERROR(VLOOKUP(E382&amp;F382,IMPORTRANGE(""https://docs.google.com/spreadsheets/d/1Uw7-A9f9R21vMXxHZFNpYNeKFtG8_yji4HS352LGlSQ/edit?pli=1#gid=0"",""1_ACUM!A4:S""),18,FALSE))"),"")</f>
        <v/>
      </c>
      <c r="BE365" s="44" t="str">
        <f ca="1">IFERROR(__xludf.DUMMYFUNCTION("IFERROR(VLOOKUP(E382&amp;F382,IMPORTRANGE(""https://docs.google.com/spreadsheets/d/1Uw7-A9f9R21vMXxHZFNpYNeKFtG8_yji4HS352LGlSQ/edit?pli=1#gid=0"",""1_ACUM!A4:S""),19,FALSE))"),"")</f>
        <v/>
      </c>
      <c r="BF365" s="44" t="str">
        <f ca="1">IFERROR(__xludf.DUMMYFUNCTION("IFERROR(VLOOKUP(F382,IMPORTRANGE(""https://docs.google.com/spreadsheets/d/1Kvs4KS76FHFqLFIZfrDMff4kP08nblUkihrxltoGBjg/edit#gid=934712705"",""ESENCIAL!A6:BG""),5,FALSE))"),"")</f>
        <v/>
      </c>
      <c r="BG365" s="44" t="str">
        <f t="shared" si="37"/>
        <v/>
      </c>
      <c r="BH365" s="41" t="str">
        <f t="shared" si="38"/>
        <v/>
      </c>
      <c r="BI365" s="41" t="str">
        <f ca="1">IFERROR(__xludf.DUMMYFUNCTION("IFERROR(VLOOKUP(F382,IMPORTRANGE(""https://docs.google.com/spreadsheets/d/1Kvs4KS76FHFqLFIZfrDMff4kP08nblUkihrxltoGBjg/edit#gid=934712705"",""ESENCIAL!A6:BG""),18,FALSE))"),"")</f>
        <v/>
      </c>
      <c r="BJ365" s="19" t="str">
        <f t="shared" si="39"/>
        <v/>
      </c>
      <c r="BK365" s="41"/>
      <c r="BL365" s="41"/>
    </row>
    <row r="366" spans="1:64" ht="15">
      <c r="A366" s="4"/>
      <c r="B366" s="4"/>
      <c r="G366" s="5" t="str">
        <f ca="1">IFERROR(__xludf.DUMMYFUNCTION("IFERROR(VLOOKUP(F383,IMPORTRANGE(""https://docs.google.com/spreadsheets/d/1Kvs4KS76FHFqLFIZfrDMff4kP08nblUkihrxltoGBjg/edit#gid=934712705"",""ESENCIAL!A6:BG""),3,FALSE))"),"")</f>
        <v/>
      </c>
      <c r="H366" s="5" t="str">
        <f ca="1">IFERROR(__xludf.DUMMYFUNCTION("IFERROR(VLOOKUP(F383,IMPORTRANGE(""https://docs.google.com/spreadsheets/d/1Kvs4KS76FHFqLFIZfrDMff4kP08nblUkihrxltoGBjg/edit#gid=934712705"",""ESENCIAL!A6:BG""),8,FALSE))"),"")</f>
        <v/>
      </c>
      <c r="L366" s="287"/>
      <c r="S366"/>
      <c r="AU366" s="41" t="str">
        <f t="shared" si="36"/>
        <v/>
      </c>
      <c r="AV366" s="5" t="str">
        <f ca="1">IFERROR(__xludf.DUMMYFUNCTION("IFERROR(VLOOKUP(E383&amp;F383,IMPORTRANGE(""https://docs.google.com/spreadsheets/d/1Uw7-A9f9R21vMXxHZFNpYNeKFtG8_yji4HS352LGlSQ/edit?pli=1#gid=0"",""1_ACUM!A4:S""),11,FALSE))"),"")</f>
        <v/>
      </c>
      <c r="AW366" s="42" t="str">
        <f ca="1">IFERROR(__xludf.DUMMYFUNCTION("IFERROR(VLOOKUP(F383,IMPORTRANGE(""https://docs.google.com/spreadsheets/d/1Kvs4KS76FHFqLFIZfrDMff4kP08nblUkihrxltoGBjg/edit#gid=934712705"",""ESENCIAL!A6:BG""),15,FALSE))"),"")</f>
        <v/>
      </c>
      <c r="AX366" s="21" t="str">
        <f ca="1">IFERROR(__xludf.DUMMYFUNCTION("IFERROR(VLOOKUP(E383&amp;F383,IMPORTRANGE(""https://docs.google.com/spreadsheets/d/1Uw7-A9f9R21vMXxHZFNpYNeKFtG8_yji4HS352LGlSQ/edit?pli=1#gid=0"",""1_ACUM!A4:S""),12,FALSE))"),"")</f>
        <v/>
      </c>
      <c r="AY366" s="43" t="str">
        <f ca="1">IFERROR(__xludf.DUMMYFUNCTION("IFERROR(VLOOKUP(E383&amp;F383,IMPORTRANGE(""https://docs.google.com/spreadsheets/d/1Uw7-A9f9R21vMXxHZFNpYNeKFtG8_yji4HS352LGlSQ/edit?pli=1#gid=0"",""1_ACUM!A4:S""),13,FALSE))"),"")</f>
        <v/>
      </c>
      <c r="AZ366" s="43" t="str">
        <f ca="1">IFERROR(__xludf.DUMMYFUNCTION("IFERROR(VLOOKUP(E383&amp;F383,IMPORTRANGE(""https://docs.google.com/spreadsheets/d/1Uw7-A9f9R21vMXxHZFNpYNeKFtG8_yji4HS352LGlSQ/edit?pli=1#gid=0"",""1_ACUM!A4:S""),14,FALSE))"),"")</f>
        <v/>
      </c>
      <c r="BA366" s="43" t="str">
        <f ca="1">IFERROR(__xludf.DUMMYFUNCTION("IFERROR(VLOOKUP(E383&amp;F383,IMPORTRANGE(""https://docs.google.com/spreadsheets/d/1Uw7-A9f9R21vMXxHZFNpYNeKFtG8_yji4HS352LGlSQ/edit?pli=1#gid=0"",""1_ACUM!A4:S""),15,FALSE))"),"")</f>
        <v/>
      </c>
      <c r="BB366" s="43" t="str">
        <f ca="1">IFERROR(__xludf.DUMMYFUNCTION("IFERROR(VLOOKUP(E383&amp;F383,IMPORTRANGE(""https://docs.google.com/spreadsheets/d/1Uw7-A9f9R21vMXxHZFNpYNeKFtG8_yji4HS352LGlSQ/edit?pli=1#gid=0"",""1_ACUM!A4:S""),16,FALSE))"),"")</f>
        <v/>
      </c>
      <c r="BC366" s="43" t="str">
        <f ca="1">IFERROR(__xludf.DUMMYFUNCTION("IFERROR(VLOOKUP(E383&amp;F383,IMPORTRANGE(""https://docs.google.com/spreadsheets/d/1Uw7-A9f9R21vMXxHZFNpYNeKFtG8_yji4HS352LGlSQ/edit?pli=1#gid=0"",""1_ACUM!A4:S""),17,FALSE))"),"")</f>
        <v/>
      </c>
      <c r="BD366" s="44" t="str">
        <f ca="1">IFERROR(__xludf.DUMMYFUNCTION("IFERROR(VLOOKUP(E383&amp;F383,IMPORTRANGE(""https://docs.google.com/spreadsheets/d/1Uw7-A9f9R21vMXxHZFNpYNeKFtG8_yji4HS352LGlSQ/edit?pli=1#gid=0"",""1_ACUM!A4:S""),18,FALSE))"),"")</f>
        <v/>
      </c>
      <c r="BE366" s="44" t="str">
        <f ca="1">IFERROR(__xludf.DUMMYFUNCTION("IFERROR(VLOOKUP(E383&amp;F383,IMPORTRANGE(""https://docs.google.com/spreadsheets/d/1Uw7-A9f9R21vMXxHZFNpYNeKFtG8_yji4HS352LGlSQ/edit?pli=1#gid=0"",""1_ACUM!A4:S""),19,FALSE))"),"")</f>
        <v/>
      </c>
      <c r="BF366" s="44" t="str">
        <f ca="1">IFERROR(__xludf.DUMMYFUNCTION("IFERROR(VLOOKUP(F383,IMPORTRANGE(""https://docs.google.com/spreadsheets/d/1Kvs4KS76FHFqLFIZfrDMff4kP08nblUkihrxltoGBjg/edit#gid=934712705"",""ESENCIAL!A6:BG""),5,FALSE))"),"")</f>
        <v/>
      </c>
      <c r="BG366" s="44" t="str">
        <f t="shared" si="37"/>
        <v/>
      </c>
      <c r="BH366" s="41" t="str">
        <f t="shared" si="38"/>
        <v/>
      </c>
      <c r="BI366" s="41" t="str">
        <f ca="1">IFERROR(__xludf.DUMMYFUNCTION("IFERROR(VLOOKUP(F383,IMPORTRANGE(""https://docs.google.com/spreadsheets/d/1Kvs4KS76FHFqLFIZfrDMff4kP08nblUkihrxltoGBjg/edit#gid=934712705"",""ESENCIAL!A6:BG""),18,FALSE))"),"")</f>
        <v/>
      </c>
      <c r="BJ366" s="19" t="str">
        <f t="shared" si="39"/>
        <v/>
      </c>
      <c r="BK366" s="41"/>
      <c r="BL366" s="41"/>
    </row>
    <row r="367" spans="1:64" ht="15">
      <c r="A367" s="4"/>
      <c r="B367" s="4"/>
      <c r="G367" s="5" t="str">
        <f ca="1">IFERROR(__xludf.DUMMYFUNCTION("IFERROR(VLOOKUP(F384,IMPORTRANGE(""https://docs.google.com/spreadsheets/d/1Kvs4KS76FHFqLFIZfrDMff4kP08nblUkihrxltoGBjg/edit#gid=934712705"",""ESENCIAL!A6:BG""),3,FALSE))"),"")</f>
        <v/>
      </c>
      <c r="H367" s="5" t="str">
        <f ca="1">IFERROR(__xludf.DUMMYFUNCTION("IFERROR(VLOOKUP(F384,IMPORTRANGE(""https://docs.google.com/spreadsheets/d/1Kvs4KS76FHFqLFIZfrDMff4kP08nblUkihrxltoGBjg/edit#gid=934712705"",""ESENCIAL!A6:BG""),8,FALSE))"),"")</f>
        <v/>
      </c>
      <c r="L367" s="287"/>
      <c r="S367"/>
      <c r="AU367" s="41" t="str">
        <f t="shared" si="36"/>
        <v/>
      </c>
      <c r="AV367" s="5" t="str">
        <f ca="1">IFERROR(__xludf.DUMMYFUNCTION("IFERROR(VLOOKUP(E384&amp;F384,IMPORTRANGE(""https://docs.google.com/spreadsheets/d/1Uw7-A9f9R21vMXxHZFNpYNeKFtG8_yji4HS352LGlSQ/edit?pli=1#gid=0"",""1_ACUM!A4:S""),11,FALSE))"),"")</f>
        <v/>
      </c>
      <c r="AW367" s="42" t="str">
        <f ca="1">IFERROR(__xludf.DUMMYFUNCTION("IFERROR(VLOOKUP(F384,IMPORTRANGE(""https://docs.google.com/spreadsheets/d/1Kvs4KS76FHFqLFIZfrDMff4kP08nblUkihrxltoGBjg/edit#gid=934712705"",""ESENCIAL!A6:BG""),15,FALSE))"),"")</f>
        <v/>
      </c>
      <c r="AX367" s="21" t="str">
        <f ca="1">IFERROR(__xludf.DUMMYFUNCTION("IFERROR(VLOOKUP(E384&amp;F384,IMPORTRANGE(""https://docs.google.com/spreadsheets/d/1Uw7-A9f9R21vMXxHZFNpYNeKFtG8_yji4HS352LGlSQ/edit?pli=1#gid=0"",""1_ACUM!A4:S""),12,FALSE))"),"")</f>
        <v/>
      </c>
      <c r="AY367" s="43" t="str">
        <f ca="1">IFERROR(__xludf.DUMMYFUNCTION("IFERROR(VLOOKUP(E384&amp;F384,IMPORTRANGE(""https://docs.google.com/spreadsheets/d/1Uw7-A9f9R21vMXxHZFNpYNeKFtG8_yji4HS352LGlSQ/edit?pli=1#gid=0"",""1_ACUM!A4:S""),13,FALSE))"),"")</f>
        <v/>
      </c>
      <c r="AZ367" s="43" t="str">
        <f ca="1">IFERROR(__xludf.DUMMYFUNCTION("IFERROR(VLOOKUP(E384&amp;F384,IMPORTRANGE(""https://docs.google.com/spreadsheets/d/1Uw7-A9f9R21vMXxHZFNpYNeKFtG8_yji4HS352LGlSQ/edit?pli=1#gid=0"",""1_ACUM!A4:S""),14,FALSE))"),"")</f>
        <v/>
      </c>
      <c r="BA367" s="43" t="str">
        <f ca="1">IFERROR(__xludf.DUMMYFUNCTION("IFERROR(VLOOKUP(E384&amp;F384,IMPORTRANGE(""https://docs.google.com/spreadsheets/d/1Uw7-A9f9R21vMXxHZFNpYNeKFtG8_yji4HS352LGlSQ/edit?pli=1#gid=0"",""1_ACUM!A4:S""),15,FALSE))"),"")</f>
        <v/>
      </c>
      <c r="BB367" s="43" t="str">
        <f ca="1">IFERROR(__xludf.DUMMYFUNCTION("IFERROR(VLOOKUP(E384&amp;F384,IMPORTRANGE(""https://docs.google.com/spreadsheets/d/1Uw7-A9f9R21vMXxHZFNpYNeKFtG8_yji4HS352LGlSQ/edit?pli=1#gid=0"",""1_ACUM!A4:S""),16,FALSE))"),"")</f>
        <v/>
      </c>
      <c r="BC367" s="43" t="str">
        <f ca="1">IFERROR(__xludf.DUMMYFUNCTION("IFERROR(VLOOKUP(E384&amp;F384,IMPORTRANGE(""https://docs.google.com/spreadsheets/d/1Uw7-A9f9R21vMXxHZFNpYNeKFtG8_yji4HS352LGlSQ/edit?pli=1#gid=0"",""1_ACUM!A4:S""),17,FALSE))"),"")</f>
        <v/>
      </c>
      <c r="BD367" s="44" t="str">
        <f ca="1">IFERROR(__xludf.DUMMYFUNCTION("IFERROR(VLOOKUP(E384&amp;F384,IMPORTRANGE(""https://docs.google.com/spreadsheets/d/1Uw7-A9f9R21vMXxHZFNpYNeKFtG8_yji4HS352LGlSQ/edit?pli=1#gid=0"",""1_ACUM!A4:S""),18,FALSE))"),"")</f>
        <v/>
      </c>
      <c r="BE367" s="44" t="str">
        <f ca="1">IFERROR(__xludf.DUMMYFUNCTION("IFERROR(VLOOKUP(E384&amp;F384,IMPORTRANGE(""https://docs.google.com/spreadsheets/d/1Uw7-A9f9R21vMXxHZFNpYNeKFtG8_yji4HS352LGlSQ/edit?pli=1#gid=0"",""1_ACUM!A4:S""),19,FALSE))"),"")</f>
        <v/>
      </c>
      <c r="BF367" s="44" t="str">
        <f ca="1">IFERROR(__xludf.DUMMYFUNCTION("IFERROR(VLOOKUP(F384,IMPORTRANGE(""https://docs.google.com/spreadsheets/d/1Kvs4KS76FHFqLFIZfrDMff4kP08nblUkihrxltoGBjg/edit#gid=934712705"",""ESENCIAL!A6:BG""),5,FALSE))"),"")</f>
        <v/>
      </c>
      <c r="BG367" s="44" t="str">
        <f t="shared" si="37"/>
        <v/>
      </c>
      <c r="BH367" s="41" t="str">
        <f t="shared" si="38"/>
        <v/>
      </c>
      <c r="BI367" s="41" t="str">
        <f ca="1">IFERROR(__xludf.DUMMYFUNCTION("IFERROR(VLOOKUP(F384,IMPORTRANGE(""https://docs.google.com/spreadsheets/d/1Kvs4KS76FHFqLFIZfrDMff4kP08nblUkihrxltoGBjg/edit#gid=934712705"",""ESENCIAL!A6:BG""),18,FALSE))"),"")</f>
        <v/>
      </c>
      <c r="BJ367" s="19" t="str">
        <f t="shared" si="39"/>
        <v/>
      </c>
      <c r="BK367" s="41"/>
      <c r="BL367" s="41"/>
    </row>
    <row r="368" spans="1:64" ht="15">
      <c r="A368" s="4"/>
      <c r="B368" s="4"/>
      <c r="G368" s="5" t="str">
        <f ca="1">IFERROR(__xludf.DUMMYFUNCTION("IFERROR(VLOOKUP(F385,IMPORTRANGE(""https://docs.google.com/spreadsheets/d/1Kvs4KS76FHFqLFIZfrDMff4kP08nblUkihrxltoGBjg/edit#gid=934712705"",""ESENCIAL!A6:BG""),3,FALSE))"),"")</f>
        <v/>
      </c>
      <c r="H368" s="5" t="str">
        <f ca="1">IFERROR(__xludf.DUMMYFUNCTION("IFERROR(VLOOKUP(F385,IMPORTRANGE(""https://docs.google.com/spreadsheets/d/1Kvs4KS76FHFqLFIZfrDMff4kP08nblUkihrxltoGBjg/edit#gid=934712705"",""ESENCIAL!A6:BG""),8,FALSE))"),"")</f>
        <v/>
      </c>
      <c r="L368" s="287"/>
      <c r="S368"/>
      <c r="AU368" s="41" t="str">
        <f t="shared" si="36"/>
        <v/>
      </c>
      <c r="AV368" s="5" t="str">
        <f ca="1">IFERROR(__xludf.DUMMYFUNCTION("IFERROR(VLOOKUP(E385&amp;F385,IMPORTRANGE(""https://docs.google.com/spreadsheets/d/1Uw7-A9f9R21vMXxHZFNpYNeKFtG8_yji4HS352LGlSQ/edit?pli=1#gid=0"",""1_ACUM!A4:S""),11,FALSE))"),"")</f>
        <v/>
      </c>
      <c r="AW368" s="42" t="str">
        <f ca="1">IFERROR(__xludf.DUMMYFUNCTION("IFERROR(VLOOKUP(F385,IMPORTRANGE(""https://docs.google.com/spreadsheets/d/1Kvs4KS76FHFqLFIZfrDMff4kP08nblUkihrxltoGBjg/edit#gid=934712705"",""ESENCIAL!A6:BG""),15,FALSE))"),"")</f>
        <v/>
      </c>
      <c r="AX368" s="21" t="str">
        <f ca="1">IFERROR(__xludf.DUMMYFUNCTION("IFERROR(VLOOKUP(E385&amp;F385,IMPORTRANGE(""https://docs.google.com/spreadsheets/d/1Uw7-A9f9R21vMXxHZFNpYNeKFtG8_yji4HS352LGlSQ/edit?pli=1#gid=0"",""1_ACUM!A4:S""),12,FALSE))"),"")</f>
        <v/>
      </c>
      <c r="AY368" s="43" t="str">
        <f ca="1">IFERROR(__xludf.DUMMYFUNCTION("IFERROR(VLOOKUP(E385&amp;F385,IMPORTRANGE(""https://docs.google.com/spreadsheets/d/1Uw7-A9f9R21vMXxHZFNpYNeKFtG8_yji4HS352LGlSQ/edit?pli=1#gid=0"",""1_ACUM!A4:S""),13,FALSE))"),"")</f>
        <v/>
      </c>
      <c r="AZ368" s="43" t="str">
        <f ca="1">IFERROR(__xludf.DUMMYFUNCTION("IFERROR(VLOOKUP(E385&amp;F385,IMPORTRANGE(""https://docs.google.com/spreadsheets/d/1Uw7-A9f9R21vMXxHZFNpYNeKFtG8_yji4HS352LGlSQ/edit?pli=1#gid=0"",""1_ACUM!A4:S""),14,FALSE))"),"")</f>
        <v/>
      </c>
      <c r="BA368" s="43" t="str">
        <f ca="1">IFERROR(__xludf.DUMMYFUNCTION("IFERROR(VLOOKUP(E385&amp;F385,IMPORTRANGE(""https://docs.google.com/spreadsheets/d/1Uw7-A9f9R21vMXxHZFNpYNeKFtG8_yji4HS352LGlSQ/edit?pli=1#gid=0"",""1_ACUM!A4:S""),15,FALSE))"),"")</f>
        <v/>
      </c>
      <c r="BB368" s="43" t="str">
        <f ca="1">IFERROR(__xludf.DUMMYFUNCTION("IFERROR(VLOOKUP(E385&amp;F385,IMPORTRANGE(""https://docs.google.com/spreadsheets/d/1Uw7-A9f9R21vMXxHZFNpYNeKFtG8_yji4HS352LGlSQ/edit?pli=1#gid=0"",""1_ACUM!A4:S""),16,FALSE))"),"")</f>
        <v/>
      </c>
      <c r="BC368" s="43" t="str">
        <f ca="1">IFERROR(__xludf.DUMMYFUNCTION("IFERROR(VLOOKUP(E385&amp;F385,IMPORTRANGE(""https://docs.google.com/spreadsheets/d/1Uw7-A9f9R21vMXxHZFNpYNeKFtG8_yji4HS352LGlSQ/edit?pli=1#gid=0"",""1_ACUM!A4:S""),17,FALSE))"),"")</f>
        <v/>
      </c>
      <c r="BD368" s="44" t="str">
        <f ca="1">IFERROR(__xludf.DUMMYFUNCTION("IFERROR(VLOOKUP(E385&amp;F385,IMPORTRANGE(""https://docs.google.com/spreadsheets/d/1Uw7-A9f9R21vMXxHZFNpYNeKFtG8_yji4HS352LGlSQ/edit?pli=1#gid=0"",""1_ACUM!A4:S""),18,FALSE))"),"")</f>
        <v/>
      </c>
      <c r="BE368" s="44" t="str">
        <f ca="1">IFERROR(__xludf.DUMMYFUNCTION("IFERROR(VLOOKUP(E385&amp;F385,IMPORTRANGE(""https://docs.google.com/spreadsheets/d/1Uw7-A9f9R21vMXxHZFNpYNeKFtG8_yji4HS352LGlSQ/edit?pli=1#gid=0"",""1_ACUM!A4:S""),19,FALSE))"),"")</f>
        <v/>
      </c>
      <c r="BF368" s="44" t="str">
        <f ca="1">IFERROR(__xludf.DUMMYFUNCTION("IFERROR(VLOOKUP(F385,IMPORTRANGE(""https://docs.google.com/spreadsheets/d/1Kvs4KS76FHFqLFIZfrDMff4kP08nblUkihrxltoGBjg/edit#gid=934712705"",""ESENCIAL!A6:BG""),5,FALSE))"),"")</f>
        <v/>
      </c>
      <c r="BG368" s="44" t="str">
        <f t="shared" si="37"/>
        <v/>
      </c>
      <c r="BH368" s="41" t="str">
        <f t="shared" si="38"/>
        <v/>
      </c>
      <c r="BI368" s="41" t="str">
        <f ca="1">IFERROR(__xludf.DUMMYFUNCTION("IFERROR(VLOOKUP(F385,IMPORTRANGE(""https://docs.google.com/spreadsheets/d/1Kvs4KS76FHFqLFIZfrDMff4kP08nblUkihrxltoGBjg/edit#gid=934712705"",""ESENCIAL!A6:BG""),18,FALSE))"),"")</f>
        <v/>
      </c>
      <c r="BJ368" s="19" t="str">
        <f t="shared" si="39"/>
        <v/>
      </c>
      <c r="BK368" s="41"/>
      <c r="BL368" s="41"/>
    </row>
    <row r="369" spans="1:64" ht="15">
      <c r="A369" s="4"/>
      <c r="B369" s="4"/>
      <c r="G369" s="5" t="str">
        <f ca="1">IFERROR(__xludf.DUMMYFUNCTION("IFERROR(VLOOKUP(F386,IMPORTRANGE(""https://docs.google.com/spreadsheets/d/1Kvs4KS76FHFqLFIZfrDMff4kP08nblUkihrxltoGBjg/edit#gid=934712705"",""ESENCIAL!A6:BG""),3,FALSE))"),"")</f>
        <v/>
      </c>
      <c r="H369" s="5" t="str">
        <f ca="1">IFERROR(__xludf.DUMMYFUNCTION("IFERROR(VLOOKUP(F386,IMPORTRANGE(""https://docs.google.com/spreadsheets/d/1Kvs4KS76FHFqLFIZfrDMff4kP08nblUkihrxltoGBjg/edit#gid=934712705"",""ESENCIAL!A6:BG""),8,FALSE))"),"")</f>
        <v/>
      </c>
      <c r="L369" s="287"/>
      <c r="S369"/>
      <c r="AU369" s="41" t="str">
        <f t="shared" si="36"/>
        <v/>
      </c>
      <c r="AV369" s="5" t="str">
        <f ca="1">IFERROR(__xludf.DUMMYFUNCTION("IFERROR(VLOOKUP(E386&amp;F386,IMPORTRANGE(""https://docs.google.com/spreadsheets/d/1Uw7-A9f9R21vMXxHZFNpYNeKFtG8_yji4HS352LGlSQ/edit?pli=1#gid=0"",""1_ACUM!A4:S""),11,FALSE))"),"")</f>
        <v/>
      </c>
      <c r="AW369" s="42" t="str">
        <f ca="1">IFERROR(__xludf.DUMMYFUNCTION("IFERROR(VLOOKUP(F386,IMPORTRANGE(""https://docs.google.com/spreadsheets/d/1Kvs4KS76FHFqLFIZfrDMff4kP08nblUkihrxltoGBjg/edit#gid=934712705"",""ESENCIAL!A6:BG""),15,FALSE))"),"")</f>
        <v/>
      </c>
      <c r="AX369" s="21" t="str">
        <f ca="1">IFERROR(__xludf.DUMMYFUNCTION("IFERROR(VLOOKUP(E386&amp;F386,IMPORTRANGE(""https://docs.google.com/spreadsheets/d/1Uw7-A9f9R21vMXxHZFNpYNeKFtG8_yji4HS352LGlSQ/edit?pli=1#gid=0"",""1_ACUM!A4:S""),12,FALSE))"),"")</f>
        <v/>
      </c>
      <c r="AY369" s="43" t="str">
        <f ca="1">IFERROR(__xludf.DUMMYFUNCTION("IFERROR(VLOOKUP(E386&amp;F386,IMPORTRANGE(""https://docs.google.com/spreadsheets/d/1Uw7-A9f9R21vMXxHZFNpYNeKFtG8_yji4HS352LGlSQ/edit?pli=1#gid=0"",""1_ACUM!A4:S""),13,FALSE))"),"")</f>
        <v/>
      </c>
      <c r="AZ369" s="43" t="str">
        <f ca="1">IFERROR(__xludf.DUMMYFUNCTION("IFERROR(VLOOKUP(E386&amp;F386,IMPORTRANGE(""https://docs.google.com/spreadsheets/d/1Uw7-A9f9R21vMXxHZFNpYNeKFtG8_yji4HS352LGlSQ/edit?pli=1#gid=0"",""1_ACUM!A4:S""),14,FALSE))"),"")</f>
        <v/>
      </c>
      <c r="BA369" s="43" t="str">
        <f ca="1">IFERROR(__xludf.DUMMYFUNCTION("IFERROR(VLOOKUP(E386&amp;F386,IMPORTRANGE(""https://docs.google.com/spreadsheets/d/1Uw7-A9f9R21vMXxHZFNpYNeKFtG8_yji4HS352LGlSQ/edit?pli=1#gid=0"",""1_ACUM!A4:S""),15,FALSE))"),"")</f>
        <v/>
      </c>
      <c r="BB369" s="43" t="str">
        <f ca="1">IFERROR(__xludf.DUMMYFUNCTION("IFERROR(VLOOKUP(E386&amp;F386,IMPORTRANGE(""https://docs.google.com/spreadsheets/d/1Uw7-A9f9R21vMXxHZFNpYNeKFtG8_yji4HS352LGlSQ/edit?pli=1#gid=0"",""1_ACUM!A4:S""),16,FALSE))"),"")</f>
        <v/>
      </c>
      <c r="BC369" s="43" t="str">
        <f ca="1">IFERROR(__xludf.DUMMYFUNCTION("IFERROR(VLOOKUP(E386&amp;F386,IMPORTRANGE(""https://docs.google.com/spreadsheets/d/1Uw7-A9f9R21vMXxHZFNpYNeKFtG8_yji4HS352LGlSQ/edit?pli=1#gid=0"",""1_ACUM!A4:S""),17,FALSE))"),"")</f>
        <v/>
      </c>
      <c r="BD369" s="44" t="str">
        <f ca="1">IFERROR(__xludf.DUMMYFUNCTION("IFERROR(VLOOKUP(E386&amp;F386,IMPORTRANGE(""https://docs.google.com/spreadsheets/d/1Uw7-A9f9R21vMXxHZFNpYNeKFtG8_yji4HS352LGlSQ/edit?pli=1#gid=0"",""1_ACUM!A4:S""),18,FALSE))"),"")</f>
        <v/>
      </c>
      <c r="BE369" s="44" t="str">
        <f ca="1">IFERROR(__xludf.DUMMYFUNCTION("IFERROR(VLOOKUP(E386&amp;F386,IMPORTRANGE(""https://docs.google.com/spreadsheets/d/1Uw7-A9f9R21vMXxHZFNpYNeKFtG8_yji4HS352LGlSQ/edit?pli=1#gid=0"",""1_ACUM!A4:S""),19,FALSE))"),"")</f>
        <v/>
      </c>
      <c r="BF369" s="44" t="str">
        <f ca="1">IFERROR(__xludf.DUMMYFUNCTION("IFERROR(VLOOKUP(F386,IMPORTRANGE(""https://docs.google.com/spreadsheets/d/1Kvs4KS76FHFqLFIZfrDMff4kP08nblUkihrxltoGBjg/edit#gid=934712705"",""ESENCIAL!A6:BG""),5,FALSE))"),"")</f>
        <v/>
      </c>
      <c r="BG369" s="44" t="str">
        <f t="shared" si="37"/>
        <v/>
      </c>
      <c r="BH369" s="41" t="str">
        <f t="shared" si="38"/>
        <v/>
      </c>
      <c r="BI369" s="41" t="str">
        <f ca="1">IFERROR(__xludf.DUMMYFUNCTION("IFERROR(VLOOKUP(F386,IMPORTRANGE(""https://docs.google.com/spreadsheets/d/1Kvs4KS76FHFqLFIZfrDMff4kP08nblUkihrxltoGBjg/edit#gid=934712705"",""ESENCIAL!A6:BG""),18,FALSE))"),"")</f>
        <v/>
      </c>
      <c r="BJ369" s="19" t="str">
        <f t="shared" si="39"/>
        <v/>
      </c>
      <c r="BK369" s="41"/>
      <c r="BL369" s="41"/>
    </row>
    <row r="370" spans="1:64" ht="15">
      <c r="A370" s="4"/>
      <c r="B370" s="4"/>
      <c r="G370" s="5" t="str">
        <f ca="1">IFERROR(__xludf.DUMMYFUNCTION("IFERROR(VLOOKUP(F387,IMPORTRANGE(""https://docs.google.com/spreadsheets/d/1Kvs4KS76FHFqLFIZfrDMff4kP08nblUkihrxltoGBjg/edit#gid=934712705"",""ESENCIAL!A6:BG""),3,FALSE))"),"")</f>
        <v/>
      </c>
      <c r="H370" s="5" t="str">
        <f ca="1">IFERROR(__xludf.DUMMYFUNCTION("IFERROR(VLOOKUP(F387,IMPORTRANGE(""https://docs.google.com/spreadsheets/d/1Kvs4KS76FHFqLFIZfrDMff4kP08nblUkihrxltoGBjg/edit#gid=934712705"",""ESENCIAL!A6:BG""),8,FALSE))"),"")</f>
        <v/>
      </c>
      <c r="L370" s="287"/>
      <c r="S370"/>
      <c r="AU370" s="41" t="str">
        <f t="shared" si="36"/>
        <v/>
      </c>
      <c r="AV370" s="5" t="str">
        <f ca="1">IFERROR(__xludf.DUMMYFUNCTION("IFERROR(VLOOKUP(E387&amp;F387,IMPORTRANGE(""https://docs.google.com/spreadsheets/d/1Uw7-A9f9R21vMXxHZFNpYNeKFtG8_yji4HS352LGlSQ/edit?pli=1#gid=0"",""1_ACUM!A4:S""),11,FALSE))"),"")</f>
        <v/>
      </c>
      <c r="AW370" s="42" t="str">
        <f ca="1">IFERROR(__xludf.DUMMYFUNCTION("IFERROR(VLOOKUP(F387,IMPORTRANGE(""https://docs.google.com/spreadsheets/d/1Kvs4KS76FHFqLFIZfrDMff4kP08nblUkihrxltoGBjg/edit#gid=934712705"",""ESENCIAL!A6:BG""),15,FALSE))"),"")</f>
        <v/>
      </c>
      <c r="AX370" s="21" t="str">
        <f ca="1">IFERROR(__xludf.DUMMYFUNCTION("IFERROR(VLOOKUP(E387&amp;F387,IMPORTRANGE(""https://docs.google.com/spreadsheets/d/1Uw7-A9f9R21vMXxHZFNpYNeKFtG8_yji4HS352LGlSQ/edit?pli=1#gid=0"",""1_ACUM!A4:S""),12,FALSE))"),"")</f>
        <v/>
      </c>
      <c r="AY370" s="43" t="str">
        <f ca="1">IFERROR(__xludf.DUMMYFUNCTION("IFERROR(VLOOKUP(E387&amp;F387,IMPORTRANGE(""https://docs.google.com/spreadsheets/d/1Uw7-A9f9R21vMXxHZFNpYNeKFtG8_yji4HS352LGlSQ/edit?pli=1#gid=0"",""1_ACUM!A4:S""),13,FALSE))"),"")</f>
        <v/>
      </c>
      <c r="AZ370" s="43" t="str">
        <f ca="1">IFERROR(__xludf.DUMMYFUNCTION("IFERROR(VLOOKUP(E387&amp;F387,IMPORTRANGE(""https://docs.google.com/spreadsheets/d/1Uw7-A9f9R21vMXxHZFNpYNeKFtG8_yji4HS352LGlSQ/edit?pli=1#gid=0"",""1_ACUM!A4:S""),14,FALSE))"),"")</f>
        <v/>
      </c>
      <c r="BA370" s="43" t="str">
        <f ca="1">IFERROR(__xludf.DUMMYFUNCTION("IFERROR(VLOOKUP(E387&amp;F387,IMPORTRANGE(""https://docs.google.com/spreadsheets/d/1Uw7-A9f9R21vMXxHZFNpYNeKFtG8_yji4HS352LGlSQ/edit?pli=1#gid=0"",""1_ACUM!A4:S""),15,FALSE))"),"")</f>
        <v/>
      </c>
      <c r="BB370" s="43" t="str">
        <f ca="1">IFERROR(__xludf.DUMMYFUNCTION("IFERROR(VLOOKUP(E387&amp;F387,IMPORTRANGE(""https://docs.google.com/spreadsheets/d/1Uw7-A9f9R21vMXxHZFNpYNeKFtG8_yji4HS352LGlSQ/edit?pli=1#gid=0"",""1_ACUM!A4:S""),16,FALSE))"),"")</f>
        <v/>
      </c>
      <c r="BC370" s="43" t="str">
        <f ca="1">IFERROR(__xludf.DUMMYFUNCTION("IFERROR(VLOOKUP(E387&amp;F387,IMPORTRANGE(""https://docs.google.com/spreadsheets/d/1Uw7-A9f9R21vMXxHZFNpYNeKFtG8_yji4HS352LGlSQ/edit?pli=1#gid=0"",""1_ACUM!A4:S""),17,FALSE))"),"")</f>
        <v/>
      </c>
      <c r="BD370" s="44" t="str">
        <f ca="1">IFERROR(__xludf.DUMMYFUNCTION("IFERROR(VLOOKUP(E387&amp;F387,IMPORTRANGE(""https://docs.google.com/spreadsheets/d/1Uw7-A9f9R21vMXxHZFNpYNeKFtG8_yji4HS352LGlSQ/edit?pli=1#gid=0"",""1_ACUM!A4:S""),18,FALSE))"),"")</f>
        <v/>
      </c>
      <c r="BE370" s="44" t="str">
        <f ca="1">IFERROR(__xludf.DUMMYFUNCTION("IFERROR(VLOOKUP(E387&amp;F387,IMPORTRANGE(""https://docs.google.com/spreadsheets/d/1Uw7-A9f9R21vMXxHZFNpYNeKFtG8_yji4HS352LGlSQ/edit?pli=1#gid=0"",""1_ACUM!A4:S""),19,FALSE))"),"")</f>
        <v/>
      </c>
      <c r="BF370" s="44" t="str">
        <f ca="1">IFERROR(__xludf.DUMMYFUNCTION("IFERROR(VLOOKUP(F387,IMPORTRANGE(""https://docs.google.com/spreadsheets/d/1Kvs4KS76FHFqLFIZfrDMff4kP08nblUkihrxltoGBjg/edit#gid=934712705"",""ESENCIAL!A6:BG""),5,FALSE))"),"")</f>
        <v/>
      </c>
      <c r="BG370" s="44" t="str">
        <f t="shared" si="37"/>
        <v/>
      </c>
      <c r="BH370" s="41" t="str">
        <f t="shared" si="38"/>
        <v/>
      </c>
      <c r="BI370" s="41" t="str">
        <f ca="1">IFERROR(__xludf.DUMMYFUNCTION("IFERROR(VLOOKUP(F387,IMPORTRANGE(""https://docs.google.com/spreadsheets/d/1Kvs4KS76FHFqLFIZfrDMff4kP08nblUkihrxltoGBjg/edit#gid=934712705"",""ESENCIAL!A6:BG""),18,FALSE))"),"")</f>
        <v/>
      </c>
      <c r="BJ370" s="19" t="str">
        <f t="shared" si="39"/>
        <v/>
      </c>
      <c r="BK370" s="41"/>
      <c r="BL370" s="41"/>
    </row>
    <row r="371" spans="1:64" ht="15">
      <c r="A371" s="4"/>
      <c r="B371" s="4"/>
      <c r="G371" s="5" t="str">
        <f ca="1">IFERROR(__xludf.DUMMYFUNCTION("IFERROR(VLOOKUP(F388,IMPORTRANGE(""https://docs.google.com/spreadsheets/d/1Kvs4KS76FHFqLFIZfrDMff4kP08nblUkihrxltoGBjg/edit#gid=934712705"",""ESENCIAL!A6:BG""),3,FALSE))"),"")</f>
        <v/>
      </c>
      <c r="H371" s="5" t="str">
        <f ca="1">IFERROR(__xludf.DUMMYFUNCTION("IFERROR(VLOOKUP(F388,IMPORTRANGE(""https://docs.google.com/spreadsheets/d/1Kvs4KS76FHFqLFIZfrDMff4kP08nblUkihrxltoGBjg/edit#gid=934712705"",""ESENCIAL!A6:BG""),8,FALSE))"),"")</f>
        <v/>
      </c>
      <c r="L371" s="287"/>
      <c r="S371"/>
      <c r="AU371" s="41" t="str">
        <f t="shared" si="36"/>
        <v/>
      </c>
      <c r="AV371" s="5" t="str">
        <f ca="1">IFERROR(__xludf.DUMMYFUNCTION("IFERROR(VLOOKUP(E388&amp;F388,IMPORTRANGE(""https://docs.google.com/spreadsheets/d/1Uw7-A9f9R21vMXxHZFNpYNeKFtG8_yji4HS352LGlSQ/edit?pli=1#gid=0"",""1_ACUM!A4:S""),11,FALSE))"),"")</f>
        <v/>
      </c>
      <c r="AW371" s="42" t="str">
        <f ca="1">IFERROR(__xludf.DUMMYFUNCTION("IFERROR(VLOOKUP(F388,IMPORTRANGE(""https://docs.google.com/spreadsheets/d/1Kvs4KS76FHFqLFIZfrDMff4kP08nblUkihrxltoGBjg/edit#gid=934712705"",""ESENCIAL!A6:BG""),15,FALSE))"),"")</f>
        <v/>
      </c>
      <c r="AX371" s="21" t="str">
        <f ca="1">IFERROR(__xludf.DUMMYFUNCTION("IFERROR(VLOOKUP(E388&amp;F388,IMPORTRANGE(""https://docs.google.com/spreadsheets/d/1Uw7-A9f9R21vMXxHZFNpYNeKFtG8_yji4HS352LGlSQ/edit?pli=1#gid=0"",""1_ACUM!A4:S""),12,FALSE))"),"")</f>
        <v/>
      </c>
      <c r="AY371" s="43" t="str">
        <f ca="1">IFERROR(__xludf.DUMMYFUNCTION("IFERROR(VLOOKUP(E388&amp;F388,IMPORTRANGE(""https://docs.google.com/spreadsheets/d/1Uw7-A9f9R21vMXxHZFNpYNeKFtG8_yji4HS352LGlSQ/edit?pli=1#gid=0"",""1_ACUM!A4:S""),13,FALSE))"),"")</f>
        <v/>
      </c>
      <c r="AZ371" s="43" t="str">
        <f ca="1">IFERROR(__xludf.DUMMYFUNCTION("IFERROR(VLOOKUP(E388&amp;F388,IMPORTRANGE(""https://docs.google.com/spreadsheets/d/1Uw7-A9f9R21vMXxHZFNpYNeKFtG8_yji4HS352LGlSQ/edit?pli=1#gid=0"",""1_ACUM!A4:S""),14,FALSE))"),"")</f>
        <v/>
      </c>
      <c r="BA371" s="43" t="str">
        <f ca="1">IFERROR(__xludf.DUMMYFUNCTION("IFERROR(VLOOKUP(E388&amp;F388,IMPORTRANGE(""https://docs.google.com/spreadsheets/d/1Uw7-A9f9R21vMXxHZFNpYNeKFtG8_yji4HS352LGlSQ/edit?pli=1#gid=0"",""1_ACUM!A4:S""),15,FALSE))"),"")</f>
        <v/>
      </c>
      <c r="BB371" s="43" t="str">
        <f ca="1">IFERROR(__xludf.DUMMYFUNCTION("IFERROR(VLOOKUP(E388&amp;F388,IMPORTRANGE(""https://docs.google.com/spreadsheets/d/1Uw7-A9f9R21vMXxHZFNpYNeKFtG8_yji4HS352LGlSQ/edit?pli=1#gid=0"",""1_ACUM!A4:S""),16,FALSE))"),"")</f>
        <v/>
      </c>
      <c r="BC371" s="43" t="str">
        <f ca="1">IFERROR(__xludf.DUMMYFUNCTION("IFERROR(VLOOKUP(E388&amp;F388,IMPORTRANGE(""https://docs.google.com/spreadsheets/d/1Uw7-A9f9R21vMXxHZFNpYNeKFtG8_yji4HS352LGlSQ/edit?pli=1#gid=0"",""1_ACUM!A4:S""),17,FALSE))"),"")</f>
        <v/>
      </c>
      <c r="BD371" s="44" t="str">
        <f ca="1">IFERROR(__xludf.DUMMYFUNCTION("IFERROR(VLOOKUP(E388&amp;F388,IMPORTRANGE(""https://docs.google.com/spreadsheets/d/1Uw7-A9f9R21vMXxHZFNpYNeKFtG8_yji4HS352LGlSQ/edit?pli=1#gid=0"",""1_ACUM!A4:S""),18,FALSE))"),"")</f>
        <v/>
      </c>
      <c r="BE371" s="44" t="str">
        <f ca="1">IFERROR(__xludf.DUMMYFUNCTION("IFERROR(VLOOKUP(E388&amp;F388,IMPORTRANGE(""https://docs.google.com/spreadsheets/d/1Uw7-A9f9R21vMXxHZFNpYNeKFtG8_yji4HS352LGlSQ/edit?pli=1#gid=0"",""1_ACUM!A4:S""),19,FALSE))"),"")</f>
        <v/>
      </c>
      <c r="BF371" s="44" t="str">
        <f ca="1">IFERROR(__xludf.DUMMYFUNCTION("IFERROR(VLOOKUP(F388,IMPORTRANGE(""https://docs.google.com/spreadsheets/d/1Kvs4KS76FHFqLFIZfrDMff4kP08nblUkihrxltoGBjg/edit#gid=934712705"",""ESENCIAL!A6:BG""),5,FALSE))"),"")</f>
        <v/>
      </c>
      <c r="BG371" s="44" t="str">
        <f t="shared" si="37"/>
        <v/>
      </c>
      <c r="BH371" s="41" t="str">
        <f t="shared" si="38"/>
        <v/>
      </c>
      <c r="BI371" s="41" t="str">
        <f ca="1">IFERROR(__xludf.DUMMYFUNCTION("IFERROR(VLOOKUP(F388,IMPORTRANGE(""https://docs.google.com/spreadsheets/d/1Kvs4KS76FHFqLFIZfrDMff4kP08nblUkihrxltoGBjg/edit#gid=934712705"",""ESENCIAL!A6:BG""),18,FALSE))"),"")</f>
        <v/>
      </c>
      <c r="BJ371" s="19" t="str">
        <f t="shared" si="39"/>
        <v/>
      </c>
      <c r="BK371" s="41"/>
      <c r="BL371" s="41"/>
    </row>
    <row r="372" spans="1:64" ht="15">
      <c r="A372" s="4"/>
      <c r="B372" s="4"/>
      <c r="G372" s="5" t="str">
        <f ca="1">IFERROR(__xludf.DUMMYFUNCTION("IFERROR(VLOOKUP(F389,IMPORTRANGE(""https://docs.google.com/spreadsheets/d/1Kvs4KS76FHFqLFIZfrDMff4kP08nblUkihrxltoGBjg/edit#gid=934712705"",""ESENCIAL!A6:BG""),3,FALSE))"),"")</f>
        <v/>
      </c>
      <c r="H372" s="5" t="str">
        <f ca="1">IFERROR(__xludf.DUMMYFUNCTION("IFERROR(VLOOKUP(F389,IMPORTRANGE(""https://docs.google.com/spreadsheets/d/1Kvs4KS76FHFqLFIZfrDMff4kP08nblUkihrxltoGBjg/edit#gid=934712705"",""ESENCIAL!A6:BG""),8,FALSE))"),"")</f>
        <v/>
      </c>
      <c r="L372" s="287"/>
      <c r="S372"/>
      <c r="AU372" s="41" t="str">
        <f t="shared" si="36"/>
        <v/>
      </c>
      <c r="AV372" s="5" t="str">
        <f ca="1">IFERROR(__xludf.DUMMYFUNCTION("IFERROR(VLOOKUP(E389&amp;F389,IMPORTRANGE(""https://docs.google.com/spreadsheets/d/1Uw7-A9f9R21vMXxHZFNpYNeKFtG8_yji4HS352LGlSQ/edit?pli=1#gid=0"",""1_ACUM!A4:S""),11,FALSE))"),"")</f>
        <v/>
      </c>
      <c r="AW372" s="42" t="str">
        <f ca="1">IFERROR(__xludf.DUMMYFUNCTION("IFERROR(VLOOKUP(F389,IMPORTRANGE(""https://docs.google.com/spreadsheets/d/1Kvs4KS76FHFqLFIZfrDMff4kP08nblUkihrxltoGBjg/edit#gid=934712705"",""ESENCIAL!A6:BG""),15,FALSE))"),"")</f>
        <v/>
      </c>
      <c r="AX372" s="21" t="str">
        <f ca="1">IFERROR(__xludf.DUMMYFUNCTION("IFERROR(VLOOKUP(E389&amp;F389,IMPORTRANGE(""https://docs.google.com/spreadsheets/d/1Uw7-A9f9R21vMXxHZFNpYNeKFtG8_yji4HS352LGlSQ/edit?pli=1#gid=0"",""1_ACUM!A4:S""),12,FALSE))"),"")</f>
        <v/>
      </c>
      <c r="AY372" s="43" t="str">
        <f ca="1">IFERROR(__xludf.DUMMYFUNCTION("IFERROR(VLOOKUP(E389&amp;F389,IMPORTRANGE(""https://docs.google.com/spreadsheets/d/1Uw7-A9f9R21vMXxHZFNpYNeKFtG8_yji4HS352LGlSQ/edit?pli=1#gid=0"",""1_ACUM!A4:S""),13,FALSE))"),"")</f>
        <v/>
      </c>
      <c r="AZ372" s="43" t="str">
        <f ca="1">IFERROR(__xludf.DUMMYFUNCTION("IFERROR(VLOOKUP(E389&amp;F389,IMPORTRANGE(""https://docs.google.com/spreadsheets/d/1Uw7-A9f9R21vMXxHZFNpYNeKFtG8_yji4HS352LGlSQ/edit?pli=1#gid=0"",""1_ACUM!A4:S""),14,FALSE))"),"")</f>
        <v/>
      </c>
      <c r="BA372" s="43" t="str">
        <f ca="1">IFERROR(__xludf.DUMMYFUNCTION("IFERROR(VLOOKUP(E389&amp;F389,IMPORTRANGE(""https://docs.google.com/spreadsheets/d/1Uw7-A9f9R21vMXxHZFNpYNeKFtG8_yji4HS352LGlSQ/edit?pli=1#gid=0"",""1_ACUM!A4:S""),15,FALSE))"),"")</f>
        <v/>
      </c>
      <c r="BB372" s="43" t="str">
        <f ca="1">IFERROR(__xludf.DUMMYFUNCTION("IFERROR(VLOOKUP(E389&amp;F389,IMPORTRANGE(""https://docs.google.com/spreadsheets/d/1Uw7-A9f9R21vMXxHZFNpYNeKFtG8_yji4HS352LGlSQ/edit?pli=1#gid=0"",""1_ACUM!A4:S""),16,FALSE))"),"")</f>
        <v/>
      </c>
      <c r="BC372" s="43" t="str">
        <f ca="1">IFERROR(__xludf.DUMMYFUNCTION("IFERROR(VLOOKUP(E389&amp;F389,IMPORTRANGE(""https://docs.google.com/spreadsheets/d/1Uw7-A9f9R21vMXxHZFNpYNeKFtG8_yji4HS352LGlSQ/edit?pli=1#gid=0"",""1_ACUM!A4:S""),17,FALSE))"),"")</f>
        <v/>
      </c>
      <c r="BD372" s="44" t="str">
        <f ca="1">IFERROR(__xludf.DUMMYFUNCTION("IFERROR(VLOOKUP(E389&amp;F389,IMPORTRANGE(""https://docs.google.com/spreadsheets/d/1Uw7-A9f9R21vMXxHZFNpYNeKFtG8_yji4HS352LGlSQ/edit?pli=1#gid=0"",""1_ACUM!A4:S""),18,FALSE))"),"")</f>
        <v/>
      </c>
      <c r="BE372" s="44" t="str">
        <f ca="1">IFERROR(__xludf.DUMMYFUNCTION("IFERROR(VLOOKUP(E389&amp;F389,IMPORTRANGE(""https://docs.google.com/spreadsheets/d/1Uw7-A9f9R21vMXxHZFNpYNeKFtG8_yji4HS352LGlSQ/edit?pli=1#gid=0"",""1_ACUM!A4:S""),19,FALSE))"),"")</f>
        <v/>
      </c>
      <c r="BF372" s="44" t="str">
        <f ca="1">IFERROR(__xludf.DUMMYFUNCTION("IFERROR(VLOOKUP(F389,IMPORTRANGE(""https://docs.google.com/spreadsheets/d/1Kvs4KS76FHFqLFIZfrDMff4kP08nblUkihrxltoGBjg/edit#gid=934712705"",""ESENCIAL!A6:BG""),5,FALSE))"),"")</f>
        <v/>
      </c>
      <c r="BG372" s="44" t="str">
        <f t="shared" si="37"/>
        <v/>
      </c>
      <c r="BH372" s="41" t="str">
        <f t="shared" si="38"/>
        <v/>
      </c>
      <c r="BI372" s="41" t="str">
        <f ca="1">IFERROR(__xludf.DUMMYFUNCTION("IFERROR(VLOOKUP(F389,IMPORTRANGE(""https://docs.google.com/spreadsheets/d/1Kvs4KS76FHFqLFIZfrDMff4kP08nblUkihrxltoGBjg/edit#gid=934712705"",""ESENCIAL!A6:BG""),18,FALSE))"),"")</f>
        <v/>
      </c>
      <c r="BJ372" s="19" t="str">
        <f t="shared" si="39"/>
        <v/>
      </c>
      <c r="BK372" s="41"/>
      <c r="BL372" s="41"/>
    </row>
    <row r="373" spans="1:64" ht="15">
      <c r="A373" s="4"/>
      <c r="B373" s="4"/>
      <c r="G373" s="5" t="str">
        <f ca="1">IFERROR(__xludf.DUMMYFUNCTION("IFERROR(VLOOKUP(F390,IMPORTRANGE(""https://docs.google.com/spreadsheets/d/1Kvs4KS76FHFqLFIZfrDMff4kP08nblUkihrxltoGBjg/edit#gid=934712705"",""ESENCIAL!A6:BG""),3,FALSE))"),"")</f>
        <v/>
      </c>
      <c r="H373" s="5" t="str">
        <f ca="1">IFERROR(__xludf.DUMMYFUNCTION("IFERROR(VLOOKUP(F390,IMPORTRANGE(""https://docs.google.com/spreadsheets/d/1Kvs4KS76FHFqLFIZfrDMff4kP08nblUkihrxltoGBjg/edit#gid=934712705"",""ESENCIAL!A6:BG""),8,FALSE))"),"")</f>
        <v/>
      </c>
      <c r="L373" s="287"/>
      <c r="S373"/>
      <c r="AU373" s="41" t="str">
        <f t="shared" si="36"/>
        <v/>
      </c>
      <c r="AV373" s="5" t="str">
        <f ca="1">IFERROR(__xludf.DUMMYFUNCTION("IFERROR(VLOOKUP(E390&amp;F390,IMPORTRANGE(""https://docs.google.com/spreadsheets/d/1Uw7-A9f9R21vMXxHZFNpYNeKFtG8_yji4HS352LGlSQ/edit?pli=1#gid=0"",""1_ACUM!A4:S""),11,FALSE))"),"")</f>
        <v/>
      </c>
      <c r="AW373" s="42" t="str">
        <f ca="1">IFERROR(__xludf.DUMMYFUNCTION("IFERROR(VLOOKUP(F390,IMPORTRANGE(""https://docs.google.com/spreadsheets/d/1Kvs4KS76FHFqLFIZfrDMff4kP08nblUkihrxltoGBjg/edit#gid=934712705"",""ESENCIAL!A6:BG""),15,FALSE))"),"")</f>
        <v/>
      </c>
      <c r="AX373" s="21" t="str">
        <f ca="1">IFERROR(__xludf.DUMMYFUNCTION("IFERROR(VLOOKUP(E390&amp;F390,IMPORTRANGE(""https://docs.google.com/spreadsheets/d/1Uw7-A9f9R21vMXxHZFNpYNeKFtG8_yji4HS352LGlSQ/edit?pli=1#gid=0"",""1_ACUM!A4:S""),12,FALSE))"),"")</f>
        <v/>
      </c>
      <c r="AY373" s="43" t="str">
        <f ca="1">IFERROR(__xludf.DUMMYFUNCTION("IFERROR(VLOOKUP(E390&amp;F390,IMPORTRANGE(""https://docs.google.com/spreadsheets/d/1Uw7-A9f9R21vMXxHZFNpYNeKFtG8_yji4HS352LGlSQ/edit?pli=1#gid=0"",""1_ACUM!A4:S""),13,FALSE))"),"")</f>
        <v/>
      </c>
      <c r="AZ373" s="43" t="str">
        <f ca="1">IFERROR(__xludf.DUMMYFUNCTION("IFERROR(VLOOKUP(E390&amp;F390,IMPORTRANGE(""https://docs.google.com/spreadsheets/d/1Uw7-A9f9R21vMXxHZFNpYNeKFtG8_yji4HS352LGlSQ/edit?pli=1#gid=0"",""1_ACUM!A4:S""),14,FALSE))"),"")</f>
        <v/>
      </c>
      <c r="BA373" s="43" t="str">
        <f ca="1">IFERROR(__xludf.DUMMYFUNCTION("IFERROR(VLOOKUP(E390&amp;F390,IMPORTRANGE(""https://docs.google.com/spreadsheets/d/1Uw7-A9f9R21vMXxHZFNpYNeKFtG8_yji4HS352LGlSQ/edit?pli=1#gid=0"",""1_ACUM!A4:S""),15,FALSE))"),"")</f>
        <v/>
      </c>
      <c r="BB373" s="43" t="str">
        <f ca="1">IFERROR(__xludf.DUMMYFUNCTION("IFERROR(VLOOKUP(E390&amp;F390,IMPORTRANGE(""https://docs.google.com/spreadsheets/d/1Uw7-A9f9R21vMXxHZFNpYNeKFtG8_yji4HS352LGlSQ/edit?pli=1#gid=0"",""1_ACUM!A4:S""),16,FALSE))"),"")</f>
        <v/>
      </c>
      <c r="BC373" s="43" t="str">
        <f ca="1">IFERROR(__xludf.DUMMYFUNCTION("IFERROR(VLOOKUP(E390&amp;F390,IMPORTRANGE(""https://docs.google.com/spreadsheets/d/1Uw7-A9f9R21vMXxHZFNpYNeKFtG8_yji4HS352LGlSQ/edit?pli=1#gid=0"",""1_ACUM!A4:S""),17,FALSE))"),"")</f>
        <v/>
      </c>
      <c r="BD373" s="44" t="str">
        <f ca="1">IFERROR(__xludf.DUMMYFUNCTION("IFERROR(VLOOKUP(E390&amp;F390,IMPORTRANGE(""https://docs.google.com/spreadsheets/d/1Uw7-A9f9R21vMXxHZFNpYNeKFtG8_yji4HS352LGlSQ/edit?pli=1#gid=0"",""1_ACUM!A4:S""),18,FALSE))"),"")</f>
        <v/>
      </c>
      <c r="BE373" s="44" t="str">
        <f ca="1">IFERROR(__xludf.DUMMYFUNCTION("IFERROR(VLOOKUP(E390&amp;F390,IMPORTRANGE(""https://docs.google.com/spreadsheets/d/1Uw7-A9f9R21vMXxHZFNpYNeKFtG8_yji4HS352LGlSQ/edit?pli=1#gid=0"",""1_ACUM!A4:S""),19,FALSE))"),"")</f>
        <v/>
      </c>
      <c r="BF373" s="44" t="str">
        <f ca="1">IFERROR(__xludf.DUMMYFUNCTION("IFERROR(VLOOKUP(F390,IMPORTRANGE(""https://docs.google.com/spreadsheets/d/1Kvs4KS76FHFqLFIZfrDMff4kP08nblUkihrxltoGBjg/edit#gid=934712705"",""ESENCIAL!A6:BG""),5,FALSE))"),"")</f>
        <v/>
      </c>
      <c r="BG373" s="44" t="str">
        <f t="shared" si="37"/>
        <v/>
      </c>
      <c r="BH373" s="41" t="str">
        <f t="shared" si="38"/>
        <v/>
      </c>
      <c r="BI373" s="41" t="str">
        <f ca="1">IFERROR(__xludf.DUMMYFUNCTION("IFERROR(VLOOKUP(F390,IMPORTRANGE(""https://docs.google.com/spreadsheets/d/1Kvs4KS76FHFqLFIZfrDMff4kP08nblUkihrxltoGBjg/edit#gid=934712705"",""ESENCIAL!A6:BG""),18,FALSE))"),"")</f>
        <v/>
      </c>
      <c r="BJ373" s="19" t="str">
        <f t="shared" si="39"/>
        <v/>
      </c>
      <c r="BK373" s="41"/>
      <c r="BL373" s="41"/>
    </row>
    <row r="374" spans="1:64" ht="15">
      <c r="A374" s="4"/>
      <c r="B374" s="4"/>
      <c r="G374" s="5" t="str">
        <f ca="1">IFERROR(__xludf.DUMMYFUNCTION("IFERROR(VLOOKUP(F391,IMPORTRANGE(""https://docs.google.com/spreadsheets/d/1Kvs4KS76FHFqLFIZfrDMff4kP08nblUkihrxltoGBjg/edit#gid=934712705"",""ESENCIAL!A6:BG""),3,FALSE))"),"")</f>
        <v/>
      </c>
      <c r="H374" s="5" t="str">
        <f ca="1">IFERROR(__xludf.DUMMYFUNCTION("IFERROR(VLOOKUP(F391,IMPORTRANGE(""https://docs.google.com/spreadsheets/d/1Kvs4KS76FHFqLFIZfrDMff4kP08nblUkihrxltoGBjg/edit#gid=934712705"",""ESENCIAL!A6:BG""),8,FALSE))"),"")</f>
        <v/>
      </c>
      <c r="L374" s="287"/>
      <c r="S374"/>
      <c r="AU374" s="41" t="str">
        <f t="shared" si="36"/>
        <v/>
      </c>
      <c r="AV374" s="5" t="str">
        <f ca="1">IFERROR(__xludf.DUMMYFUNCTION("IFERROR(VLOOKUP(E391&amp;F391,IMPORTRANGE(""https://docs.google.com/spreadsheets/d/1Uw7-A9f9R21vMXxHZFNpYNeKFtG8_yji4HS352LGlSQ/edit?pli=1#gid=0"",""1_ACUM!A4:S""),11,FALSE))"),"")</f>
        <v/>
      </c>
      <c r="AW374" s="42" t="str">
        <f ca="1">IFERROR(__xludf.DUMMYFUNCTION("IFERROR(VLOOKUP(F391,IMPORTRANGE(""https://docs.google.com/spreadsheets/d/1Kvs4KS76FHFqLFIZfrDMff4kP08nblUkihrxltoGBjg/edit#gid=934712705"",""ESENCIAL!A6:BG""),15,FALSE))"),"")</f>
        <v/>
      </c>
      <c r="AX374" s="21" t="str">
        <f ca="1">IFERROR(__xludf.DUMMYFUNCTION("IFERROR(VLOOKUP(E391&amp;F391,IMPORTRANGE(""https://docs.google.com/spreadsheets/d/1Uw7-A9f9R21vMXxHZFNpYNeKFtG8_yji4HS352LGlSQ/edit?pli=1#gid=0"",""1_ACUM!A4:S""),12,FALSE))"),"")</f>
        <v/>
      </c>
      <c r="AY374" s="43" t="str">
        <f ca="1">IFERROR(__xludf.DUMMYFUNCTION("IFERROR(VLOOKUP(E391&amp;F391,IMPORTRANGE(""https://docs.google.com/spreadsheets/d/1Uw7-A9f9R21vMXxHZFNpYNeKFtG8_yji4HS352LGlSQ/edit?pli=1#gid=0"",""1_ACUM!A4:S""),13,FALSE))"),"")</f>
        <v/>
      </c>
      <c r="AZ374" s="43" t="str">
        <f ca="1">IFERROR(__xludf.DUMMYFUNCTION("IFERROR(VLOOKUP(E391&amp;F391,IMPORTRANGE(""https://docs.google.com/spreadsheets/d/1Uw7-A9f9R21vMXxHZFNpYNeKFtG8_yji4HS352LGlSQ/edit?pli=1#gid=0"",""1_ACUM!A4:S""),14,FALSE))"),"")</f>
        <v/>
      </c>
      <c r="BA374" s="43" t="str">
        <f ca="1">IFERROR(__xludf.DUMMYFUNCTION("IFERROR(VLOOKUP(E391&amp;F391,IMPORTRANGE(""https://docs.google.com/spreadsheets/d/1Uw7-A9f9R21vMXxHZFNpYNeKFtG8_yji4HS352LGlSQ/edit?pli=1#gid=0"",""1_ACUM!A4:S""),15,FALSE))"),"")</f>
        <v/>
      </c>
      <c r="BB374" s="43" t="str">
        <f ca="1">IFERROR(__xludf.DUMMYFUNCTION("IFERROR(VLOOKUP(E391&amp;F391,IMPORTRANGE(""https://docs.google.com/spreadsheets/d/1Uw7-A9f9R21vMXxHZFNpYNeKFtG8_yji4HS352LGlSQ/edit?pli=1#gid=0"",""1_ACUM!A4:S""),16,FALSE))"),"")</f>
        <v/>
      </c>
      <c r="BC374" s="43" t="str">
        <f ca="1">IFERROR(__xludf.DUMMYFUNCTION("IFERROR(VLOOKUP(E391&amp;F391,IMPORTRANGE(""https://docs.google.com/spreadsheets/d/1Uw7-A9f9R21vMXxHZFNpYNeKFtG8_yji4HS352LGlSQ/edit?pli=1#gid=0"",""1_ACUM!A4:S""),17,FALSE))"),"")</f>
        <v/>
      </c>
      <c r="BD374" s="44" t="str">
        <f ca="1">IFERROR(__xludf.DUMMYFUNCTION("IFERROR(VLOOKUP(E391&amp;F391,IMPORTRANGE(""https://docs.google.com/spreadsheets/d/1Uw7-A9f9R21vMXxHZFNpYNeKFtG8_yji4HS352LGlSQ/edit?pli=1#gid=0"",""1_ACUM!A4:S""),18,FALSE))"),"")</f>
        <v/>
      </c>
      <c r="BE374" s="44" t="str">
        <f ca="1">IFERROR(__xludf.DUMMYFUNCTION("IFERROR(VLOOKUP(E391&amp;F391,IMPORTRANGE(""https://docs.google.com/spreadsheets/d/1Uw7-A9f9R21vMXxHZFNpYNeKFtG8_yji4HS352LGlSQ/edit?pli=1#gid=0"",""1_ACUM!A4:S""),19,FALSE))"),"")</f>
        <v/>
      </c>
      <c r="BF374" s="44" t="str">
        <f ca="1">IFERROR(__xludf.DUMMYFUNCTION("IFERROR(VLOOKUP(F391,IMPORTRANGE(""https://docs.google.com/spreadsheets/d/1Kvs4KS76FHFqLFIZfrDMff4kP08nblUkihrxltoGBjg/edit#gid=934712705"",""ESENCIAL!A6:BG""),5,FALSE))"),"")</f>
        <v/>
      </c>
      <c r="BG374" s="44" t="str">
        <f t="shared" si="37"/>
        <v/>
      </c>
      <c r="BH374" s="41" t="str">
        <f t="shared" si="38"/>
        <v/>
      </c>
      <c r="BI374" s="41" t="str">
        <f ca="1">IFERROR(__xludf.DUMMYFUNCTION("IFERROR(VLOOKUP(F391,IMPORTRANGE(""https://docs.google.com/spreadsheets/d/1Kvs4KS76FHFqLFIZfrDMff4kP08nblUkihrxltoGBjg/edit#gid=934712705"",""ESENCIAL!A6:BG""),18,FALSE))"),"")</f>
        <v/>
      </c>
      <c r="BJ374" s="19" t="str">
        <f t="shared" si="39"/>
        <v/>
      </c>
      <c r="BK374" s="41"/>
      <c r="BL374" s="41"/>
    </row>
    <row r="375" spans="1:64" ht="15">
      <c r="A375" s="4"/>
      <c r="B375" s="4"/>
      <c r="G375" s="5" t="str">
        <f ca="1">IFERROR(__xludf.DUMMYFUNCTION("IFERROR(VLOOKUP(F392,IMPORTRANGE(""https://docs.google.com/spreadsheets/d/1Kvs4KS76FHFqLFIZfrDMff4kP08nblUkihrxltoGBjg/edit#gid=934712705"",""ESENCIAL!A6:BG""),3,FALSE))"),"")</f>
        <v/>
      </c>
      <c r="H375" s="5" t="str">
        <f ca="1">IFERROR(__xludf.DUMMYFUNCTION("IFERROR(VLOOKUP(F392,IMPORTRANGE(""https://docs.google.com/spreadsheets/d/1Kvs4KS76FHFqLFIZfrDMff4kP08nblUkihrxltoGBjg/edit#gid=934712705"",""ESENCIAL!A6:BG""),8,FALSE))"),"")</f>
        <v/>
      </c>
      <c r="L375" s="287"/>
      <c r="S375"/>
      <c r="AU375" s="41" t="str">
        <f t="shared" si="36"/>
        <v/>
      </c>
      <c r="AV375" s="5" t="str">
        <f ca="1">IFERROR(__xludf.DUMMYFUNCTION("IFERROR(VLOOKUP(E392&amp;F392,IMPORTRANGE(""https://docs.google.com/spreadsheets/d/1Uw7-A9f9R21vMXxHZFNpYNeKFtG8_yji4HS352LGlSQ/edit?pli=1#gid=0"",""1_ACUM!A4:S""),11,FALSE))"),"")</f>
        <v/>
      </c>
      <c r="AW375" s="42" t="str">
        <f ca="1">IFERROR(__xludf.DUMMYFUNCTION("IFERROR(VLOOKUP(F392,IMPORTRANGE(""https://docs.google.com/spreadsheets/d/1Kvs4KS76FHFqLFIZfrDMff4kP08nblUkihrxltoGBjg/edit#gid=934712705"",""ESENCIAL!A6:BG""),15,FALSE))"),"")</f>
        <v/>
      </c>
      <c r="AX375" s="21" t="str">
        <f ca="1">IFERROR(__xludf.DUMMYFUNCTION("IFERROR(VLOOKUP(E392&amp;F392,IMPORTRANGE(""https://docs.google.com/spreadsheets/d/1Uw7-A9f9R21vMXxHZFNpYNeKFtG8_yji4HS352LGlSQ/edit?pli=1#gid=0"",""1_ACUM!A4:S""),12,FALSE))"),"")</f>
        <v/>
      </c>
      <c r="AY375" s="43" t="str">
        <f ca="1">IFERROR(__xludf.DUMMYFUNCTION("IFERROR(VLOOKUP(E392&amp;F392,IMPORTRANGE(""https://docs.google.com/spreadsheets/d/1Uw7-A9f9R21vMXxHZFNpYNeKFtG8_yji4HS352LGlSQ/edit?pli=1#gid=0"",""1_ACUM!A4:S""),13,FALSE))"),"")</f>
        <v/>
      </c>
      <c r="AZ375" s="43" t="str">
        <f ca="1">IFERROR(__xludf.DUMMYFUNCTION("IFERROR(VLOOKUP(E392&amp;F392,IMPORTRANGE(""https://docs.google.com/spreadsheets/d/1Uw7-A9f9R21vMXxHZFNpYNeKFtG8_yji4HS352LGlSQ/edit?pli=1#gid=0"",""1_ACUM!A4:S""),14,FALSE))"),"")</f>
        <v/>
      </c>
      <c r="BA375" s="43" t="str">
        <f ca="1">IFERROR(__xludf.DUMMYFUNCTION("IFERROR(VLOOKUP(E392&amp;F392,IMPORTRANGE(""https://docs.google.com/spreadsheets/d/1Uw7-A9f9R21vMXxHZFNpYNeKFtG8_yji4HS352LGlSQ/edit?pli=1#gid=0"",""1_ACUM!A4:S""),15,FALSE))"),"")</f>
        <v/>
      </c>
      <c r="BB375" s="43" t="str">
        <f ca="1">IFERROR(__xludf.DUMMYFUNCTION("IFERROR(VLOOKUP(E392&amp;F392,IMPORTRANGE(""https://docs.google.com/spreadsheets/d/1Uw7-A9f9R21vMXxHZFNpYNeKFtG8_yji4HS352LGlSQ/edit?pli=1#gid=0"",""1_ACUM!A4:S""),16,FALSE))"),"")</f>
        <v/>
      </c>
      <c r="BC375" s="43" t="str">
        <f ca="1">IFERROR(__xludf.DUMMYFUNCTION("IFERROR(VLOOKUP(E392&amp;F392,IMPORTRANGE(""https://docs.google.com/spreadsheets/d/1Uw7-A9f9R21vMXxHZFNpYNeKFtG8_yji4HS352LGlSQ/edit?pli=1#gid=0"",""1_ACUM!A4:S""),17,FALSE))"),"")</f>
        <v/>
      </c>
      <c r="BD375" s="44" t="str">
        <f ca="1">IFERROR(__xludf.DUMMYFUNCTION("IFERROR(VLOOKUP(E392&amp;F392,IMPORTRANGE(""https://docs.google.com/spreadsheets/d/1Uw7-A9f9R21vMXxHZFNpYNeKFtG8_yji4HS352LGlSQ/edit?pli=1#gid=0"",""1_ACUM!A4:S""),18,FALSE))"),"")</f>
        <v/>
      </c>
      <c r="BE375" s="44" t="str">
        <f ca="1">IFERROR(__xludf.DUMMYFUNCTION("IFERROR(VLOOKUP(E392&amp;F392,IMPORTRANGE(""https://docs.google.com/spreadsheets/d/1Uw7-A9f9R21vMXxHZFNpYNeKFtG8_yji4HS352LGlSQ/edit?pli=1#gid=0"",""1_ACUM!A4:S""),19,FALSE))"),"")</f>
        <v/>
      </c>
      <c r="BF375" s="44" t="str">
        <f ca="1">IFERROR(__xludf.DUMMYFUNCTION("IFERROR(VLOOKUP(F392,IMPORTRANGE(""https://docs.google.com/spreadsheets/d/1Kvs4KS76FHFqLFIZfrDMff4kP08nblUkihrxltoGBjg/edit#gid=934712705"",""ESENCIAL!A6:BG""),5,FALSE))"),"")</f>
        <v/>
      </c>
      <c r="BG375" s="44" t="str">
        <f t="shared" si="37"/>
        <v/>
      </c>
      <c r="BH375" s="41" t="str">
        <f t="shared" si="38"/>
        <v/>
      </c>
      <c r="BI375" s="41" t="str">
        <f ca="1">IFERROR(__xludf.DUMMYFUNCTION("IFERROR(VLOOKUP(F392,IMPORTRANGE(""https://docs.google.com/spreadsheets/d/1Kvs4KS76FHFqLFIZfrDMff4kP08nblUkihrxltoGBjg/edit#gid=934712705"",""ESENCIAL!A6:BG""),18,FALSE))"),"")</f>
        <v/>
      </c>
      <c r="BJ375" s="19" t="str">
        <f t="shared" si="39"/>
        <v/>
      </c>
      <c r="BK375" s="41"/>
      <c r="BL375" s="41"/>
    </row>
    <row r="376" spans="1:64" ht="15">
      <c r="A376" s="4"/>
      <c r="B376" s="4"/>
      <c r="G376" s="5" t="str">
        <f ca="1">IFERROR(__xludf.DUMMYFUNCTION("IFERROR(VLOOKUP(F393,IMPORTRANGE(""https://docs.google.com/spreadsheets/d/1Kvs4KS76FHFqLFIZfrDMff4kP08nblUkihrxltoGBjg/edit#gid=934712705"",""ESENCIAL!A6:BG""),3,FALSE))"),"")</f>
        <v/>
      </c>
      <c r="H376" s="5" t="str">
        <f ca="1">IFERROR(__xludf.DUMMYFUNCTION("IFERROR(VLOOKUP(F393,IMPORTRANGE(""https://docs.google.com/spreadsheets/d/1Kvs4KS76FHFqLFIZfrDMff4kP08nblUkihrxltoGBjg/edit#gid=934712705"",""ESENCIAL!A6:BG""),8,FALSE))"),"")</f>
        <v/>
      </c>
      <c r="L376" s="287"/>
      <c r="S376"/>
      <c r="AU376" s="41" t="str">
        <f t="shared" si="36"/>
        <v/>
      </c>
      <c r="AV376" s="5" t="str">
        <f ca="1">IFERROR(__xludf.DUMMYFUNCTION("IFERROR(VLOOKUP(E393&amp;F393,IMPORTRANGE(""https://docs.google.com/spreadsheets/d/1Uw7-A9f9R21vMXxHZFNpYNeKFtG8_yji4HS352LGlSQ/edit?pli=1#gid=0"",""1_ACUM!A4:S""),11,FALSE))"),"")</f>
        <v/>
      </c>
      <c r="AW376" s="42" t="str">
        <f ca="1">IFERROR(__xludf.DUMMYFUNCTION("IFERROR(VLOOKUP(F393,IMPORTRANGE(""https://docs.google.com/spreadsheets/d/1Kvs4KS76FHFqLFIZfrDMff4kP08nblUkihrxltoGBjg/edit#gid=934712705"",""ESENCIAL!A6:BG""),15,FALSE))"),"")</f>
        <v/>
      </c>
      <c r="AX376" s="21" t="str">
        <f ca="1">IFERROR(__xludf.DUMMYFUNCTION("IFERROR(VLOOKUP(E393&amp;F393,IMPORTRANGE(""https://docs.google.com/spreadsheets/d/1Uw7-A9f9R21vMXxHZFNpYNeKFtG8_yji4HS352LGlSQ/edit?pli=1#gid=0"",""1_ACUM!A4:S""),12,FALSE))"),"")</f>
        <v/>
      </c>
      <c r="AY376" s="43" t="str">
        <f ca="1">IFERROR(__xludf.DUMMYFUNCTION("IFERROR(VLOOKUP(E393&amp;F393,IMPORTRANGE(""https://docs.google.com/spreadsheets/d/1Uw7-A9f9R21vMXxHZFNpYNeKFtG8_yji4HS352LGlSQ/edit?pli=1#gid=0"",""1_ACUM!A4:S""),13,FALSE))"),"")</f>
        <v/>
      </c>
      <c r="AZ376" s="43" t="str">
        <f ca="1">IFERROR(__xludf.DUMMYFUNCTION("IFERROR(VLOOKUP(E393&amp;F393,IMPORTRANGE(""https://docs.google.com/spreadsheets/d/1Uw7-A9f9R21vMXxHZFNpYNeKFtG8_yji4HS352LGlSQ/edit?pli=1#gid=0"",""1_ACUM!A4:S""),14,FALSE))"),"")</f>
        <v/>
      </c>
      <c r="BA376" s="43" t="str">
        <f ca="1">IFERROR(__xludf.DUMMYFUNCTION("IFERROR(VLOOKUP(E393&amp;F393,IMPORTRANGE(""https://docs.google.com/spreadsheets/d/1Uw7-A9f9R21vMXxHZFNpYNeKFtG8_yji4HS352LGlSQ/edit?pli=1#gid=0"",""1_ACUM!A4:S""),15,FALSE))"),"")</f>
        <v/>
      </c>
      <c r="BB376" s="43" t="str">
        <f ca="1">IFERROR(__xludf.DUMMYFUNCTION("IFERROR(VLOOKUP(E393&amp;F393,IMPORTRANGE(""https://docs.google.com/spreadsheets/d/1Uw7-A9f9R21vMXxHZFNpYNeKFtG8_yji4HS352LGlSQ/edit?pli=1#gid=0"",""1_ACUM!A4:S""),16,FALSE))"),"")</f>
        <v/>
      </c>
      <c r="BC376" s="43" t="str">
        <f ca="1">IFERROR(__xludf.DUMMYFUNCTION("IFERROR(VLOOKUP(E393&amp;F393,IMPORTRANGE(""https://docs.google.com/spreadsheets/d/1Uw7-A9f9R21vMXxHZFNpYNeKFtG8_yji4HS352LGlSQ/edit?pli=1#gid=0"",""1_ACUM!A4:S""),17,FALSE))"),"")</f>
        <v/>
      </c>
      <c r="BD376" s="44" t="str">
        <f ca="1">IFERROR(__xludf.DUMMYFUNCTION("IFERROR(VLOOKUP(E393&amp;F393,IMPORTRANGE(""https://docs.google.com/spreadsheets/d/1Uw7-A9f9R21vMXxHZFNpYNeKFtG8_yji4HS352LGlSQ/edit?pli=1#gid=0"",""1_ACUM!A4:S""),18,FALSE))"),"")</f>
        <v/>
      </c>
      <c r="BE376" s="44" t="str">
        <f ca="1">IFERROR(__xludf.DUMMYFUNCTION("IFERROR(VLOOKUP(E393&amp;F393,IMPORTRANGE(""https://docs.google.com/spreadsheets/d/1Uw7-A9f9R21vMXxHZFNpYNeKFtG8_yji4HS352LGlSQ/edit?pli=1#gid=0"",""1_ACUM!A4:S""),19,FALSE))"),"")</f>
        <v/>
      </c>
      <c r="BF376" s="44" t="str">
        <f ca="1">IFERROR(__xludf.DUMMYFUNCTION("IFERROR(VLOOKUP(F393,IMPORTRANGE(""https://docs.google.com/spreadsheets/d/1Kvs4KS76FHFqLFIZfrDMff4kP08nblUkihrxltoGBjg/edit#gid=934712705"",""ESENCIAL!A6:BG""),5,FALSE))"),"")</f>
        <v/>
      </c>
      <c r="BG376" s="44" t="str">
        <f t="shared" si="37"/>
        <v/>
      </c>
      <c r="BH376" s="41" t="str">
        <f t="shared" si="38"/>
        <v/>
      </c>
      <c r="BI376" s="41" t="str">
        <f ca="1">IFERROR(__xludf.DUMMYFUNCTION("IFERROR(VLOOKUP(F393,IMPORTRANGE(""https://docs.google.com/spreadsheets/d/1Kvs4KS76FHFqLFIZfrDMff4kP08nblUkihrxltoGBjg/edit#gid=934712705"",""ESENCIAL!A6:BG""),18,FALSE))"),"")</f>
        <v/>
      </c>
      <c r="BJ376" s="19" t="str">
        <f t="shared" si="39"/>
        <v/>
      </c>
      <c r="BK376" s="41"/>
      <c r="BL376" s="41"/>
    </row>
    <row r="377" spans="1:64" ht="15">
      <c r="A377" s="4"/>
      <c r="B377" s="4"/>
      <c r="G377" s="5" t="str">
        <f ca="1">IFERROR(__xludf.DUMMYFUNCTION("IFERROR(VLOOKUP(F394,IMPORTRANGE(""https://docs.google.com/spreadsheets/d/1Kvs4KS76FHFqLFIZfrDMff4kP08nblUkihrxltoGBjg/edit#gid=934712705"",""ESENCIAL!A6:BG""),3,FALSE))"),"")</f>
        <v/>
      </c>
      <c r="H377" s="5" t="str">
        <f ca="1">IFERROR(__xludf.DUMMYFUNCTION("IFERROR(VLOOKUP(F394,IMPORTRANGE(""https://docs.google.com/spreadsheets/d/1Kvs4KS76FHFqLFIZfrDMff4kP08nblUkihrxltoGBjg/edit#gid=934712705"",""ESENCIAL!A6:BG""),8,FALSE))"),"")</f>
        <v/>
      </c>
      <c r="L377" s="287"/>
      <c r="S377"/>
      <c r="AU377" s="41" t="str">
        <f t="shared" si="36"/>
        <v/>
      </c>
      <c r="AV377" s="5" t="str">
        <f ca="1">IFERROR(__xludf.DUMMYFUNCTION("IFERROR(VLOOKUP(E394&amp;F394,IMPORTRANGE(""https://docs.google.com/spreadsheets/d/1Uw7-A9f9R21vMXxHZFNpYNeKFtG8_yji4HS352LGlSQ/edit?pli=1#gid=0"",""1_ACUM!A4:S""),11,FALSE))"),"")</f>
        <v/>
      </c>
      <c r="AW377" s="42" t="str">
        <f ca="1">IFERROR(__xludf.DUMMYFUNCTION("IFERROR(VLOOKUP(F394,IMPORTRANGE(""https://docs.google.com/spreadsheets/d/1Kvs4KS76FHFqLFIZfrDMff4kP08nblUkihrxltoGBjg/edit#gid=934712705"",""ESENCIAL!A6:BG""),15,FALSE))"),"")</f>
        <v/>
      </c>
      <c r="AX377" s="21" t="str">
        <f ca="1">IFERROR(__xludf.DUMMYFUNCTION("IFERROR(VLOOKUP(E394&amp;F394,IMPORTRANGE(""https://docs.google.com/spreadsheets/d/1Uw7-A9f9R21vMXxHZFNpYNeKFtG8_yji4HS352LGlSQ/edit?pli=1#gid=0"",""1_ACUM!A4:S""),12,FALSE))"),"")</f>
        <v/>
      </c>
      <c r="AY377" s="43" t="str">
        <f ca="1">IFERROR(__xludf.DUMMYFUNCTION("IFERROR(VLOOKUP(E394&amp;F394,IMPORTRANGE(""https://docs.google.com/spreadsheets/d/1Uw7-A9f9R21vMXxHZFNpYNeKFtG8_yji4HS352LGlSQ/edit?pli=1#gid=0"",""1_ACUM!A4:S""),13,FALSE))"),"")</f>
        <v/>
      </c>
      <c r="AZ377" s="43" t="str">
        <f ca="1">IFERROR(__xludf.DUMMYFUNCTION("IFERROR(VLOOKUP(E394&amp;F394,IMPORTRANGE(""https://docs.google.com/spreadsheets/d/1Uw7-A9f9R21vMXxHZFNpYNeKFtG8_yji4HS352LGlSQ/edit?pli=1#gid=0"",""1_ACUM!A4:S""),14,FALSE))"),"")</f>
        <v/>
      </c>
      <c r="BA377" s="43" t="str">
        <f ca="1">IFERROR(__xludf.DUMMYFUNCTION("IFERROR(VLOOKUP(E394&amp;F394,IMPORTRANGE(""https://docs.google.com/spreadsheets/d/1Uw7-A9f9R21vMXxHZFNpYNeKFtG8_yji4HS352LGlSQ/edit?pli=1#gid=0"",""1_ACUM!A4:S""),15,FALSE))"),"")</f>
        <v/>
      </c>
      <c r="BB377" s="43" t="str">
        <f ca="1">IFERROR(__xludf.DUMMYFUNCTION("IFERROR(VLOOKUP(E394&amp;F394,IMPORTRANGE(""https://docs.google.com/spreadsheets/d/1Uw7-A9f9R21vMXxHZFNpYNeKFtG8_yji4HS352LGlSQ/edit?pli=1#gid=0"",""1_ACUM!A4:S""),16,FALSE))"),"")</f>
        <v/>
      </c>
      <c r="BC377" s="43" t="str">
        <f ca="1">IFERROR(__xludf.DUMMYFUNCTION("IFERROR(VLOOKUP(E394&amp;F394,IMPORTRANGE(""https://docs.google.com/spreadsheets/d/1Uw7-A9f9R21vMXxHZFNpYNeKFtG8_yji4HS352LGlSQ/edit?pli=1#gid=0"",""1_ACUM!A4:S""),17,FALSE))"),"")</f>
        <v/>
      </c>
      <c r="BD377" s="44" t="str">
        <f ca="1">IFERROR(__xludf.DUMMYFUNCTION("IFERROR(VLOOKUP(E394&amp;F394,IMPORTRANGE(""https://docs.google.com/spreadsheets/d/1Uw7-A9f9R21vMXxHZFNpYNeKFtG8_yji4HS352LGlSQ/edit?pli=1#gid=0"",""1_ACUM!A4:S""),18,FALSE))"),"")</f>
        <v/>
      </c>
      <c r="BE377" s="44" t="str">
        <f ca="1">IFERROR(__xludf.DUMMYFUNCTION("IFERROR(VLOOKUP(E394&amp;F394,IMPORTRANGE(""https://docs.google.com/spreadsheets/d/1Uw7-A9f9R21vMXxHZFNpYNeKFtG8_yji4HS352LGlSQ/edit?pli=1#gid=0"",""1_ACUM!A4:S""),19,FALSE))"),"")</f>
        <v/>
      </c>
      <c r="BF377" s="44" t="str">
        <f ca="1">IFERROR(__xludf.DUMMYFUNCTION("IFERROR(VLOOKUP(F394,IMPORTRANGE(""https://docs.google.com/spreadsheets/d/1Kvs4KS76FHFqLFIZfrDMff4kP08nblUkihrxltoGBjg/edit#gid=934712705"",""ESENCIAL!A6:BG""),5,FALSE))"),"")</f>
        <v/>
      </c>
      <c r="BG377" s="44" t="str">
        <f t="shared" si="37"/>
        <v/>
      </c>
      <c r="BH377" s="41" t="str">
        <f t="shared" si="38"/>
        <v/>
      </c>
      <c r="BI377" s="41" t="str">
        <f ca="1">IFERROR(__xludf.DUMMYFUNCTION("IFERROR(VLOOKUP(F394,IMPORTRANGE(""https://docs.google.com/spreadsheets/d/1Kvs4KS76FHFqLFIZfrDMff4kP08nblUkihrxltoGBjg/edit#gid=934712705"",""ESENCIAL!A6:BG""),18,FALSE))"),"")</f>
        <v/>
      </c>
      <c r="BJ377" s="19" t="str">
        <f t="shared" si="39"/>
        <v/>
      </c>
      <c r="BK377" s="41"/>
      <c r="BL377" s="41"/>
    </row>
    <row r="378" spans="1:64" ht="15">
      <c r="A378" s="4"/>
      <c r="B378" s="4"/>
      <c r="G378" s="5" t="str">
        <f ca="1">IFERROR(__xludf.DUMMYFUNCTION("IFERROR(VLOOKUP(F395,IMPORTRANGE(""https://docs.google.com/spreadsheets/d/1Kvs4KS76FHFqLFIZfrDMff4kP08nblUkihrxltoGBjg/edit#gid=934712705"",""ESENCIAL!A6:BG""),3,FALSE))"),"")</f>
        <v/>
      </c>
      <c r="H378" s="5" t="str">
        <f ca="1">IFERROR(__xludf.DUMMYFUNCTION("IFERROR(VLOOKUP(F395,IMPORTRANGE(""https://docs.google.com/spreadsheets/d/1Kvs4KS76FHFqLFIZfrDMff4kP08nblUkihrxltoGBjg/edit#gid=934712705"",""ESENCIAL!A6:BG""),8,FALSE))"),"")</f>
        <v/>
      </c>
      <c r="L378" s="287"/>
      <c r="S378"/>
      <c r="AU378" s="41" t="str">
        <f t="shared" si="36"/>
        <v/>
      </c>
      <c r="AV378" s="5" t="str">
        <f ca="1">IFERROR(__xludf.DUMMYFUNCTION("IFERROR(VLOOKUP(E395&amp;F395,IMPORTRANGE(""https://docs.google.com/spreadsheets/d/1Uw7-A9f9R21vMXxHZFNpYNeKFtG8_yji4HS352LGlSQ/edit?pli=1#gid=0"",""1_ACUM!A4:S""),11,FALSE))"),"")</f>
        <v/>
      </c>
      <c r="AW378" s="42" t="str">
        <f ca="1">IFERROR(__xludf.DUMMYFUNCTION("IFERROR(VLOOKUP(F395,IMPORTRANGE(""https://docs.google.com/spreadsheets/d/1Kvs4KS76FHFqLFIZfrDMff4kP08nblUkihrxltoGBjg/edit#gid=934712705"",""ESENCIAL!A6:BG""),15,FALSE))"),"")</f>
        <v/>
      </c>
      <c r="AX378" s="21" t="str">
        <f ca="1">IFERROR(__xludf.DUMMYFUNCTION("IFERROR(VLOOKUP(E395&amp;F395,IMPORTRANGE(""https://docs.google.com/spreadsheets/d/1Uw7-A9f9R21vMXxHZFNpYNeKFtG8_yji4HS352LGlSQ/edit?pli=1#gid=0"",""1_ACUM!A4:S""),12,FALSE))"),"")</f>
        <v/>
      </c>
      <c r="AY378" s="43" t="str">
        <f ca="1">IFERROR(__xludf.DUMMYFUNCTION("IFERROR(VLOOKUP(E395&amp;F395,IMPORTRANGE(""https://docs.google.com/spreadsheets/d/1Uw7-A9f9R21vMXxHZFNpYNeKFtG8_yji4HS352LGlSQ/edit?pli=1#gid=0"",""1_ACUM!A4:S""),13,FALSE))"),"")</f>
        <v/>
      </c>
      <c r="AZ378" s="43" t="str">
        <f ca="1">IFERROR(__xludf.DUMMYFUNCTION("IFERROR(VLOOKUP(E395&amp;F395,IMPORTRANGE(""https://docs.google.com/spreadsheets/d/1Uw7-A9f9R21vMXxHZFNpYNeKFtG8_yji4HS352LGlSQ/edit?pli=1#gid=0"",""1_ACUM!A4:S""),14,FALSE))"),"")</f>
        <v/>
      </c>
      <c r="BA378" s="43" t="str">
        <f ca="1">IFERROR(__xludf.DUMMYFUNCTION("IFERROR(VLOOKUP(E395&amp;F395,IMPORTRANGE(""https://docs.google.com/spreadsheets/d/1Uw7-A9f9R21vMXxHZFNpYNeKFtG8_yji4HS352LGlSQ/edit?pli=1#gid=0"",""1_ACUM!A4:S""),15,FALSE))"),"")</f>
        <v/>
      </c>
      <c r="BB378" s="43" t="str">
        <f ca="1">IFERROR(__xludf.DUMMYFUNCTION("IFERROR(VLOOKUP(E395&amp;F395,IMPORTRANGE(""https://docs.google.com/spreadsheets/d/1Uw7-A9f9R21vMXxHZFNpYNeKFtG8_yji4HS352LGlSQ/edit?pli=1#gid=0"",""1_ACUM!A4:S""),16,FALSE))"),"")</f>
        <v/>
      </c>
      <c r="BC378" s="43" t="str">
        <f ca="1">IFERROR(__xludf.DUMMYFUNCTION("IFERROR(VLOOKUP(E395&amp;F395,IMPORTRANGE(""https://docs.google.com/spreadsheets/d/1Uw7-A9f9R21vMXxHZFNpYNeKFtG8_yji4HS352LGlSQ/edit?pli=1#gid=0"",""1_ACUM!A4:S""),17,FALSE))"),"")</f>
        <v/>
      </c>
      <c r="BD378" s="44" t="str">
        <f ca="1">IFERROR(__xludf.DUMMYFUNCTION("IFERROR(VLOOKUP(E395&amp;F395,IMPORTRANGE(""https://docs.google.com/spreadsheets/d/1Uw7-A9f9R21vMXxHZFNpYNeKFtG8_yji4HS352LGlSQ/edit?pli=1#gid=0"",""1_ACUM!A4:S""),18,FALSE))"),"")</f>
        <v/>
      </c>
      <c r="BE378" s="44" t="str">
        <f ca="1">IFERROR(__xludf.DUMMYFUNCTION("IFERROR(VLOOKUP(E395&amp;F395,IMPORTRANGE(""https://docs.google.com/spreadsheets/d/1Uw7-A9f9R21vMXxHZFNpYNeKFtG8_yji4HS352LGlSQ/edit?pli=1#gid=0"",""1_ACUM!A4:S""),19,FALSE))"),"")</f>
        <v/>
      </c>
      <c r="BF378" s="44" t="str">
        <f ca="1">IFERROR(__xludf.DUMMYFUNCTION("IFERROR(VLOOKUP(F395,IMPORTRANGE(""https://docs.google.com/spreadsheets/d/1Kvs4KS76FHFqLFIZfrDMff4kP08nblUkihrxltoGBjg/edit#gid=934712705"",""ESENCIAL!A6:BG""),5,FALSE))"),"")</f>
        <v/>
      </c>
      <c r="BG378" s="44" t="str">
        <f t="shared" si="37"/>
        <v/>
      </c>
      <c r="BH378" s="41" t="str">
        <f t="shared" si="38"/>
        <v/>
      </c>
      <c r="BI378" s="41" t="str">
        <f ca="1">IFERROR(__xludf.DUMMYFUNCTION("IFERROR(VLOOKUP(F395,IMPORTRANGE(""https://docs.google.com/spreadsheets/d/1Kvs4KS76FHFqLFIZfrDMff4kP08nblUkihrxltoGBjg/edit#gid=934712705"",""ESENCIAL!A6:BG""),18,FALSE))"),"")</f>
        <v/>
      </c>
      <c r="BJ378" s="19" t="str">
        <f t="shared" si="39"/>
        <v/>
      </c>
      <c r="BK378" s="41"/>
      <c r="BL378" s="41"/>
    </row>
    <row r="379" spans="1:64" ht="15">
      <c r="A379" s="4"/>
      <c r="B379" s="4"/>
      <c r="G379" s="5" t="str">
        <f ca="1">IFERROR(__xludf.DUMMYFUNCTION("IFERROR(VLOOKUP(F396,IMPORTRANGE(""https://docs.google.com/spreadsheets/d/1Kvs4KS76FHFqLFIZfrDMff4kP08nblUkihrxltoGBjg/edit#gid=934712705"",""ESENCIAL!A6:BG""),3,FALSE))"),"")</f>
        <v/>
      </c>
      <c r="H379" s="5" t="str">
        <f ca="1">IFERROR(__xludf.DUMMYFUNCTION("IFERROR(VLOOKUP(F396,IMPORTRANGE(""https://docs.google.com/spreadsheets/d/1Kvs4KS76FHFqLFIZfrDMff4kP08nblUkihrxltoGBjg/edit#gid=934712705"",""ESENCIAL!A6:BG""),8,FALSE))"),"")</f>
        <v/>
      </c>
      <c r="L379" s="287"/>
      <c r="S379"/>
      <c r="AU379" s="41" t="str">
        <f t="shared" si="36"/>
        <v/>
      </c>
      <c r="AV379" s="5" t="str">
        <f ca="1">IFERROR(__xludf.DUMMYFUNCTION("IFERROR(VLOOKUP(E396&amp;F396,IMPORTRANGE(""https://docs.google.com/spreadsheets/d/1Uw7-A9f9R21vMXxHZFNpYNeKFtG8_yji4HS352LGlSQ/edit?pli=1#gid=0"",""1_ACUM!A4:S""),11,FALSE))"),"")</f>
        <v/>
      </c>
      <c r="AW379" s="42" t="str">
        <f ca="1">IFERROR(__xludf.DUMMYFUNCTION("IFERROR(VLOOKUP(F396,IMPORTRANGE(""https://docs.google.com/spreadsheets/d/1Kvs4KS76FHFqLFIZfrDMff4kP08nblUkihrxltoGBjg/edit#gid=934712705"",""ESENCIAL!A6:BG""),15,FALSE))"),"")</f>
        <v/>
      </c>
      <c r="AX379" s="21" t="str">
        <f ca="1">IFERROR(__xludf.DUMMYFUNCTION("IFERROR(VLOOKUP(E396&amp;F396,IMPORTRANGE(""https://docs.google.com/spreadsheets/d/1Uw7-A9f9R21vMXxHZFNpYNeKFtG8_yji4HS352LGlSQ/edit?pli=1#gid=0"",""1_ACUM!A4:S""),12,FALSE))"),"")</f>
        <v/>
      </c>
      <c r="AY379" s="43" t="str">
        <f ca="1">IFERROR(__xludf.DUMMYFUNCTION("IFERROR(VLOOKUP(E396&amp;F396,IMPORTRANGE(""https://docs.google.com/spreadsheets/d/1Uw7-A9f9R21vMXxHZFNpYNeKFtG8_yji4HS352LGlSQ/edit?pli=1#gid=0"",""1_ACUM!A4:S""),13,FALSE))"),"")</f>
        <v/>
      </c>
      <c r="AZ379" s="43" t="str">
        <f ca="1">IFERROR(__xludf.DUMMYFUNCTION("IFERROR(VLOOKUP(E396&amp;F396,IMPORTRANGE(""https://docs.google.com/spreadsheets/d/1Uw7-A9f9R21vMXxHZFNpYNeKFtG8_yji4HS352LGlSQ/edit?pli=1#gid=0"",""1_ACUM!A4:S""),14,FALSE))"),"")</f>
        <v/>
      </c>
      <c r="BA379" s="43" t="str">
        <f ca="1">IFERROR(__xludf.DUMMYFUNCTION("IFERROR(VLOOKUP(E396&amp;F396,IMPORTRANGE(""https://docs.google.com/spreadsheets/d/1Uw7-A9f9R21vMXxHZFNpYNeKFtG8_yji4HS352LGlSQ/edit?pli=1#gid=0"",""1_ACUM!A4:S""),15,FALSE))"),"")</f>
        <v/>
      </c>
      <c r="BB379" s="43" t="str">
        <f ca="1">IFERROR(__xludf.DUMMYFUNCTION("IFERROR(VLOOKUP(E396&amp;F396,IMPORTRANGE(""https://docs.google.com/spreadsheets/d/1Uw7-A9f9R21vMXxHZFNpYNeKFtG8_yji4HS352LGlSQ/edit?pli=1#gid=0"",""1_ACUM!A4:S""),16,FALSE))"),"")</f>
        <v/>
      </c>
      <c r="BC379" s="43" t="str">
        <f ca="1">IFERROR(__xludf.DUMMYFUNCTION("IFERROR(VLOOKUP(E396&amp;F396,IMPORTRANGE(""https://docs.google.com/spreadsheets/d/1Uw7-A9f9R21vMXxHZFNpYNeKFtG8_yji4HS352LGlSQ/edit?pli=1#gid=0"",""1_ACUM!A4:S""),17,FALSE))"),"")</f>
        <v/>
      </c>
      <c r="BD379" s="44" t="str">
        <f ca="1">IFERROR(__xludf.DUMMYFUNCTION("IFERROR(VLOOKUP(E396&amp;F396,IMPORTRANGE(""https://docs.google.com/spreadsheets/d/1Uw7-A9f9R21vMXxHZFNpYNeKFtG8_yji4HS352LGlSQ/edit?pli=1#gid=0"",""1_ACUM!A4:S""),18,FALSE))"),"")</f>
        <v/>
      </c>
      <c r="BE379" s="44" t="str">
        <f ca="1">IFERROR(__xludf.DUMMYFUNCTION("IFERROR(VLOOKUP(E396&amp;F396,IMPORTRANGE(""https://docs.google.com/spreadsheets/d/1Uw7-A9f9R21vMXxHZFNpYNeKFtG8_yji4HS352LGlSQ/edit?pli=1#gid=0"",""1_ACUM!A4:S""),19,FALSE))"),"")</f>
        <v/>
      </c>
      <c r="BF379" s="44" t="str">
        <f ca="1">IFERROR(__xludf.DUMMYFUNCTION("IFERROR(VLOOKUP(F396,IMPORTRANGE(""https://docs.google.com/spreadsheets/d/1Kvs4KS76FHFqLFIZfrDMff4kP08nblUkihrxltoGBjg/edit#gid=934712705"",""ESENCIAL!A6:BG""),5,FALSE))"),"")</f>
        <v/>
      </c>
      <c r="BG379" s="44" t="str">
        <f t="shared" si="37"/>
        <v/>
      </c>
      <c r="BH379" s="41" t="str">
        <f t="shared" si="38"/>
        <v/>
      </c>
      <c r="BI379" s="41" t="str">
        <f ca="1">IFERROR(__xludf.DUMMYFUNCTION("IFERROR(VLOOKUP(F396,IMPORTRANGE(""https://docs.google.com/spreadsheets/d/1Kvs4KS76FHFqLFIZfrDMff4kP08nblUkihrxltoGBjg/edit#gid=934712705"",""ESENCIAL!A6:BG""),18,FALSE))"),"")</f>
        <v/>
      </c>
      <c r="BJ379" s="19" t="str">
        <f t="shared" si="39"/>
        <v/>
      </c>
      <c r="BK379" s="41"/>
      <c r="BL379" s="41"/>
    </row>
    <row r="380" spans="1:64" ht="15">
      <c r="A380" s="4"/>
      <c r="B380" s="4"/>
      <c r="G380" s="5" t="str">
        <f ca="1">IFERROR(__xludf.DUMMYFUNCTION("IFERROR(VLOOKUP(F397,IMPORTRANGE(""https://docs.google.com/spreadsheets/d/1Kvs4KS76FHFqLFIZfrDMff4kP08nblUkihrxltoGBjg/edit#gid=934712705"",""ESENCIAL!A6:BG""),3,FALSE))"),"")</f>
        <v/>
      </c>
      <c r="H380" s="5" t="str">
        <f ca="1">IFERROR(__xludf.DUMMYFUNCTION("IFERROR(VLOOKUP(F397,IMPORTRANGE(""https://docs.google.com/spreadsheets/d/1Kvs4KS76FHFqLFIZfrDMff4kP08nblUkihrxltoGBjg/edit#gid=934712705"",""ESENCIAL!A6:BG""),8,FALSE))"),"")</f>
        <v/>
      </c>
      <c r="L380" s="287"/>
      <c r="S380"/>
      <c r="AU380" s="41" t="str">
        <f t="shared" si="36"/>
        <v/>
      </c>
      <c r="AV380" s="5" t="str">
        <f ca="1">IFERROR(__xludf.DUMMYFUNCTION("IFERROR(VLOOKUP(E397&amp;F397,IMPORTRANGE(""https://docs.google.com/spreadsheets/d/1Uw7-A9f9R21vMXxHZFNpYNeKFtG8_yji4HS352LGlSQ/edit?pli=1#gid=0"",""1_ACUM!A4:S""),11,FALSE))"),"")</f>
        <v/>
      </c>
      <c r="AW380" s="42" t="str">
        <f ca="1">IFERROR(__xludf.DUMMYFUNCTION("IFERROR(VLOOKUP(F397,IMPORTRANGE(""https://docs.google.com/spreadsheets/d/1Kvs4KS76FHFqLFIZfrDMff4kP08nblUkihrxltoGBjg/edit#gid=934712705"",""ESENCIAL!A6:BG""),15,FALSE))"),"")</f>
        <v/>
      </c>
      <c r="AX380" s="21" t="str">
        <f ca="1">IFERROR(__xludf.DUMMYFUNCTION("IFERROR(VLOOKUP(E397&amp;F397,IMPORTRANGE(""https://docs.google.com/spreadsheets/d/1Uw7-A9f9R21vMXxHZFNpYNeKFtG8_yji4HS352LGlSQ/edit?pli=1#gid=0"",""1_ACUM!A4:S""),12,FALSE))"),"")</f>
        <v/>
      </c>
      <c r="AY380" s="43" t="str">
        <f ca="1">IFERROR(__xludf.DUMMYFUNCTION("IFERROR(VLOOKUP(E397&amp;F397,IMPORTRANGE(""https://docs.google.com/spreadsheets/d/1Uw7-A9f9R21vMXxHZFNpYNeKFtG8_yji4HS352LGlSQ/edit?pli=1#gid=0"",""1_ACUM!A4:S""),13,FALSE))"),"")</f>
        <v/>
      </c>
      <c r="AZ380" s="43" t="str">
        <f ca="1">IFERROR(__xludf.DUMMYFUNCTION("IFERROR(VLOOKUP(E397&amp;F397,IMPORTRANGE(""https://docs.google.com/spreadsheets/d/1Uw7-A9f9R21vMXxHZFNpYNeKFtG8_yji4HS352LGlSQ/edit?pli=1#gid=0"",""1_ACUM!A4:S""),14,FALSE))"),"")</f>
        <v/>
      </c>
      <c r="BA380" s="43" t="str">
        <f ca="1">IFERROR(__xludf.DUMMYFUNCTION("IFERROR(VLOOKUP(E397&amp;F397,IMPORTRANGE(""https://docs.google.com/spreadsheets/d/1Uw7-A9f9R21vMXxHZFNpYNeKFtG8_yji4HS352LGlSQ/edit?pli=1#gid=0"",""1_ACUM!A4:S""),15,FALSE))"),"")</f>
        <v/>
      </c>
      <c r="BB380" s="43" t="str">
        <f ca="1">IFERROR(__xludf.DUMMYFUNCTION("IFERROR(VLOOKUP(E397&amp;F397,IMPORTRANGE(""https://docs.google.com/spreadsheets/d/1Uw7-A9f9R21vMXxHZFNpYNeKFtG8_yji4HS352LGlSQ/edit?pli=1#gid=0"",""1_ACUM!A4:S""),16,FALSE))"),"")</f>
        <v/>
      </c>
      <c r="BC380" s="43" t="str">
        <f ca="1">IFERROR(__xludf.DUMMYFUNCTION("IFERROR(VLOOKUP(E397&amp;F397,IMPORTRANGE(""https://docs.google.com/spreadsheets/d/1Uw7-A9f9R21vMXxHZFNpYNeKFtG8_yji4HS352LGlSQ/edit?pli=1#gid=0"",""1_ACUM!A4:S""),17,FALSE))"),"")</f>
        <v/>
      </c>
      <c r="BD380" s="44" t="str">
        <f ca="1">IFERROR(__xludf.DUMMYFUNCTION("IFERROR(VLOOKUP(E397&amp;F397,IMPORTRANGE(""https://docs.google.com/spreadsheets/d/1Uw7-A9f9R21vMXxHZFNpYNeKFtG8_yji4HS352LGlSQ/edit?pli=1#gid=0"",""1_ACUM!A4:S""),18,FALSE))"),"")</f>
        <v/>
      </c>
      <c r="BE380" s="44" t="str">
        <f ca="1">IFERROR(__xludf.DUMMYFUNCTION("IFERROR(VLOOKUP(E397&amp;F397,IMPORTRANGE(""https://docs.google.com/spreadsheets/d/1Uw7-A9f9R21vMXxHZFNpYNeKFtG8_yji4HS352LGlSQ/edit?pli=1#gid=0"",""1_ACUM!A4:S""),19,FALSE))"),"")</f>
        <v/>
      </c>
      <c r="BF380" s="44" t="str">
        <f ca="1">IFERROR(__xludf.DUMMYFUNCTION("IFERROR(VLOOKUP(F397,IMPORTRANGE(""https://docs.google.com/spreadsheets/d/1Kvs4KS76FHFqLFIZfrDMff4kP08nblUkihrxltoGBjg/edit#gid=934712705"",""ESENCIAL!A6:BG""),5,FALSE))"),"")</f>
        <v/>
      </c>
      <c r="BG380" s="44" t="str">
        <f t="shared" si="37"/>
        <v/>
      </c>
      <c r="BH380" s="41" t="str">
        <f t="shared" si="38"/>
        <v/>
      </c>
      <c r="BI380" s="41" t="str">
        <f ca="1">IFERROR(__xludf.DUMMYFUNCTION("IFERROR(VLOOKUP(F397,IMPORTRANGE(""https://docs.google.com/spreadsheets/d/1Kvs4KS76FHFqLFIZfrDMff4kP08nblUkihrxltoGBjg/edit#gid=934712705"",""ESENCIAL!A6:BG""),18,FALSE))"),"")</f>
        <v/>
      </c>
      <c r="BJ380" s="19" t="str">
        <f t="shared" si="39"/>
        <v/>
      </c>
      <c r="BK380" s="41"/>
      <c r="BL380" s="41"/>
    </row>
    <row r="381" spans="1:64" ht="15">
      <c r="A381" s="4"/>
      <c r="B381" s="4"/>
      <c r="G381" s="5" t="str">
        <f ca="1">IFERROR(__xludf.DUMMYFUNCTION("IFERROR(VLOOKUP(F398,IMPORTRANGE(""https://docs.google.com/spreadsheets/d/1Kvs4KS76FHFqLFIZfrDMff4kP08nblUkihrxltoGBjg/edit#gid=934712705"",""ESENCIAL!A6:BG""),3,FALSE))"),"")</f>
        <v/>
      </c>
      <c r="H381" s="5" t="str">
        <f ca="1">IFERROR(__xludf.DUMMYFUNCTION("IFERROR(VLOOKUP(F398,IMPORTRANGE(""https://docs.google.com/spreadsheets/d/1Kvs4KS76FHFqLFIZfrDMff4kP08nblUkihrxltoGBjg/edit#gid=934712705"",""ESENCIAL!A6:BG""),8,FALSE))"),"")</f>
        <v/>
      </c>
      <c r="L381" s="287"/>
      <c r="S381"/>
      <c r="AU381" s="41" t="str">
        <f t="shared" si="36"/>
        <v/>
      </c>
      <c r="AV381" s="5" t="str">
        <f ca="1">IFERROR(__xludf.DUMMYFUNCTION("IFERROR(VLOOKUP(E398&amp;F398,IMPORTRANGE(""https://docs.google.com/spreadsheets/d/1Uw7-A9f9R21vMXxHZFNpYNeKFtG8_yji4HS352LGlSQ/edit?pli=1#gid=0"",""1_ACUM!A4:S""),11,FALSE))"),"")</f>
        <v/>
      </c>
      <c r="AW381" s="42" t="str">
        <f ca="1">IFERROR(__xludf.DUMMYFUNCTION("IFERROR(VLOOKUP(F398,IMPORTRANGE(""https://docs.google.com/spreadsheets/d/1Kvs4KS76FHFqLFIZfrDMff4kP08nblUkihrxltoGBjg/edit#gid=934712705"",""ESENCIAL!A6:BG""),15,FALSE))"),"")</f>
        <v/>
      </c>
      <c r="AX381" s="21" t="str">
        <f ca="1">IFERROR(__xludf.DUMMYFUNCTION("IFERROR(VLOOKUP(E398&amp;F398,IMPORTRANGE(""https://docs.google.com/spreadsheets/d/1Uw7-A9f9R21vMXxHZFNpYNeKFtG8_yji4HS352LGlSQ/edit?pli=1#gid=0"",""1_ACUM!A4:S""),12,FALSE))"),"")</f>
        <v/>
      </c>
      <c r="AY381" s="43" t="str">
        <f ca="1">IFERROR(__xludf.DUMMYFUNCTION("IFERROR(VLOOKUP(E398&amp;F398,IMPORTRANGE(""https://docs.google.com/spreadsheets/d/1Uw7-A9f9R21vMXxHZFNpYNeKFtG8_yji4HS352LGlSQ/edit?pli=1#gid=0"",""1_ACUM!A4:S""),13,FALSE))"),"")</f>
        <v/>
      </c>
      <c r="AZ381" s="43" t="str">
        <f ca="1">IFERROR(__xludf.DUMMYFUNCTION("IFERROR(VLOOKUP(E398&amp;F398,IMPORTRANGE(""https://docs.google.com/spreadsheets/d/1Uw7-A9f9R21vMXxHZFNpYNeKFtG8_yji4HS352LGlSQ/edit?pli=1#gid=0"",""1_ACUM!A4:S""),14,FALSE))"),"")</f>
        <v/>
      </c>
      <c r="BA381" s="43" t="str">
        <f ca="1">IFERROR(__xludf.DUMMYFUNCTION("IFERROR(VLOOKUP(E398&amp;F398,IMPORTRANGE(""https://docs.google.com/spreadsheets/d/1Uw7-A9f9R21vMXxHZFNpYNeKFtG8_yji4HS352LGlSQ/edit?pli=1#gid=0"",""1_ACUM!A4:S""),15,FALSE))"),"")</f>
        <v/>
      </c>
      <c r="BB381" s="43" t="str">
        <f ca="1">IFERROR(__xludf.DUMMYFUNCTION("IFERROR(VLOOKUP(E398&amp;F398,IMPORTRANGE(""https://docs.google.com/spreadsheets/d/1Uw7-A9f9R21vMXxHZFNpYNeKFtG8_yji4HS352LGlSQ/edit?pli=1#gid=0"",""1_ACUM!A4:S""),16,FALSE))"),"")</f>
        <v/>
      </c>
      <c r="BC381" s="43" t="str">
        <f ca="1">IFERROR(__xludf.DUMMYFUNCTION("IFERROR(VLOOKUP(E398&amp;F398,IMPORTRANGE(""https://docs.google.com/spreadsheets/d/1Uw7-A9f9R21vMXxHZFNpYNeKFtG8_yji4HS352LGlSQ/edit?pli=1#gid=0"",""1_ACUM!A4:S""),17,FALSE))"),"")</f>
        <v/>
      </c>
      <c r="BD381" s="44" t="str">
        <f ca="1">IFERROR(__xludf.DUMMYFUNCTION("IFERROR(VLOOKUP(E398&amp;F398,IMPORTRANGE(""https://docs.google.com/spreadsheets/d/1Uw7-A9f9R21vMXxHZFNpYNeKFtG8_yji4HS352LGlSQ/edit?pli=1#gid=0"",""1_ACUM!A4:S""),18,FALSE))"),"")</f>
        <v/>
      </c>
      <c r="BE381" s="44" t="str">
        <f ca="1">IFERROR(__xludf.DUMMYFUNCTION("IFERROR(VLOOKUP(E398&amp;F398,IMPORTRANGE(""https://docs.google.com/spreadsheets/d/1Uw7-A9f9R21vMXxHZFNpYNeKFtG8_yji4HS352LGlSQ/edit?pli=1#gid=0"",""1_ACUM!A4:S""),19,FALSE))"),"")</f>
        <v/>
      </c>
      <c r="BF381" s="44" t="str">
        <f ca="1">IFERROR(__xludf.DUMMYFUNCTION("IFERROR(VLOOKUP(F398,IMPORTRANGE(""https://docs.google.com/spreadsheets/d/1Kvs4KS76FHFqLFIZfrDMff4kP08nblUkihrxltoGBjg/edit#gid=934712705"",""ESENCIAL!A6:BG""),5,FALSE))"),"")</f>
        <v/>
      </c>
      <c r="BG381" s="44" t="str">
        <f t="shared" si="37"/>
        <v/>
      </c>
      <c r="BH381" s="41" t="str">
        <f t="shared" si="38"/>
        <v/>
      </c>
      <c r="BI381" s="41" t="str">
        <f ca="1">IFERROR(__xludf.DUMMYFUNCTION("IFERROR(VLOOKUP(F398,IMPORTRANGE(""https://docs.google.com/spreadsheets/d/1Kvs4KS76FHFqLFIZfrDMff4kP08nblUkihrxltoGBjg/edit#gid=934712705"",""ESENCIAL!A6:BG""),18,FALSE))"),"")</f>
        <v/>
      </c>
      <c r="BJ381" s="19" t="str">
        <f t="shared" si="39"/>
        <v/>
      </c>
      <c r="BK381" s="41"/>
      <c r="BL381" s="41"/>
    </row>
    <row r="382" spans="1:64" ht="15">
      <c r="A382" s="4"/>
      <c r="B382" s="4"/>
      <c r="G382" s="5" t="str">
        <f ca="1">IFERROR(__xludf.DUMMYFUNCTION("IFERROR(VLOOKUP(F399,IMPORTRANGE(""https://docs.google.com/spreadsheets/d/1Kvs4KS76FHFqLFIZfrDMff4kP08nblUkihrxltoGBjg/edit#gid=934712705"",""ESENCIAL!A6:BG""),3,FALSE))"),"")</f>
        <v/>
      </c>
      <c r="H382" s="5" t="str">
        <f ca="1">IFERROR(__xludf.DUMMYFUNCTION("IFERROR(VLOOKUP(F399,IMPORTRANGE(""https://docs.google.com/spreadsheets/d/1Kvs4KS76FHFqLFIZfrDMff4kP08nblUkihrxltoGBjg/edit#gid=934712705"",""ESENCIAL!A6:BG""),8,FALSE))"),"")</f>
        <v/>
      </c>
      <c r="L382" s="287"/>
      <c r="S382"/>
      <c r="AU382" s="41" t="str">
        <f t="shared" si="36"/>
        <v/>
      </c>
      <c r="AV382" s="5" t="str">
        <f ca="1">IFERROR(__xludf.DUMMYFUNCTION("IFERROR(VLOOKUP(E399&amp;F399,IMPORTRANGE(""https://docs.google.com/spreadsheets/d/1Uw7-A9f9R21vMXxHZFNpYNeKFtG8_yji4HS352LGlSQ/edit?pli=1#gid=0"",""1_ACUM!A4:S""),11,FALSE))"),"")</f>
        <v/>
      </c>
      <c r="AW382" s="42" t="str">
        <f ca="1">IFERROR(__xludf.DUMMYFUNCTION("IFERROR(VLOOKUP(F399,IMPORTRANGE(""https://docs.google.com/spreadsheets/d/1Kvs4KS76FHFqLFIZfrDMff4kP08nblUkihrxltoGBjg/edit#gid=934712705"",""ESENCIAL!A6:BG""),15,FALSE))"),"")</f>
        <v/>
      </c>
      <c r="AX382" s="21" t="str">
        <f ca="1">IFERROR(__xludf.DUMMYFUNCTION("IFERROR(VLOOKUP(E399&amp;F399,IMPORTRANGE(""https://docs.google.com/spreadsheets/d/1Uw7-A9f9R21vMXxHZFNpYNeKFtG8_yji4HS352LGlSQ/edit?pli=1#gid=0"",""1_ACUM!A4:S""),12,FALSE))"),"")</f>
        <v/>
      </c>
      <c r="AY382" s="43" t="str">
        <f ca="1">IFERROR(__xludf.DUMMYFUNCTION("IFERROR(VLOOKUP(E399&amp;F399,IMPORTRANGE(""https://docs.google.com/spreadsheets/d/1Uw7-A9f9R21vMXxHZFNpYNeKFtG8_yji4HS352LGlSQ/edit?pli=1#gid=0"",""1_ACUM!A4:S""),13,FALSE))"),"")</f>
        <v/>
      </c>
      <c r="AZ382" s="43" t="str">
        <f ca="1">IFERROR(__xludf.DUMMYFUNCTION("IFERROR(VLOOKUP(E399&amp;F399,IMPORTRANGE(""https://docs.google.com/spreadsheets/d/1Uw7-A9f9R21vMXxHZFNpYNeKFtG8_yji4HS352LGlSQ/edit?pli=1#gid=0"",""1_ACUM!A4:S""),14,FALSE))"),"")</f>
        <v/>
      </c>
      <c r="BA382" s="43" t="str">
        <f ca="1">IFERROR(__xludf.DUMMYFUNCTION("IFERROR(VLOOKUP(E399&amp;F399,IMPORTRANGE(""https://docs.google.com/spreadsheets/d/1Uw7-A9f9R21vMXxHZFNpYNeKFtG8_yji4HS352LGlSQ/edit?pli=1#gid=0"",""1_ACUM!A4:S""),15,FALSE))"),"")</f>
        <v/>
      </c>
      <c r="BB382" s="43" t="str">
        <f ca="1">IFERROR(__xludf.DUMMYFUNCTION("IFERROR(VLOOKUP(E399&amp;F399,IMPORTRANGE(""https://docs.google.com/spreadsheets/d/1Uw7-A9f9R21vMXxHZFNpYNeKFtG8_yji4HS352LGlSQ/edit?pli=1#gid=0"",""1_ACUM!A4:S""),16,FALSE))"),"")</f>
        <v/>
      </c>
      <c r="BC382" s="43" t="str">
        <f ca="1">IFERROR(__xludf.DUMMYFUNCTION("IFERROR(VLOOKUP(E399&amp;F399,IMPORTRANGE(""https://docs.google.com/spreadsheets/d/1Uw7-A9f9R21vMXxHZFNpYNeKFtG8_yji4HS352LGlSQ/edit?pli=1#gid=0"",""1_ACUM!A4:S""),17,FALSE))"),"")</f>
        <v/>
      </c>
      <c r="BD382" s="44" t="str">
        <f ca="1">IFERROR(__xludf.DUMMYFUNCTION("IFERROR(VLOOKUP(E399&amp;F399,IMPORTRANGE(""https://docs.google.com/spreadsheets/d/1Uw7-A9f9R21vMXxHZFNpYNeKFtG8_yji4HS352LGlSQ/edit?pli=1#gid=0"",""1_ACUM!A4:S""),18,FALSE))"),"")</f>
        <v/>
      </c>
      <c r="BE382" s="44" t="str">
        <f ca="1">IFERROR(__xludf.DUMMYFUNCTION("IFERROR(VLOOKUP(E399&amp;F399,IMPORTRANGE(""https://docs.google.com/spreadsheets/d/1Uw7-A9f9R21vMXxHZFNpYNeKFtG8_yji4HS352LGlSQ/edit?pli=1#gid=0"",""1_ACUM!A4:S""),19,FALSE))"),"")</f>
        <v/>
      </c>
      <c r="BF382" s="44" t="str">
        <f ca="1">IFERROR(__xludf.DUMMYFUNCTION("IFERROR(VLOOKUP(F399,IMPORTRANGE(""https://docs.google.com/spreadsheets/d/1Kvs4KS76FHFqLFIZfrDMff4kP08nblUkihrxltoGBjg/edit#gid=934712705"",""ESENCIAL!A6:BG""),5,FALSE))"),"")</f>
        <v/>
      </c>
      <c r="BG382" s="44" t="str">
        <f t="shared" si="37"/>
        <v/>
      </c>
      <c r="BH382" s="41" t="str">
        <f t="shared" si="38"/>
        <v/>
      </c>
      <c r="BI382" s="41" t="str">
        <f ca="1">IFERROR(__xludf.DUMMYFUNCTION("IFERROR(VLOOKUP(F399,IMPORTRANGE(""https://docs.google.com/spreadsheets/d/1Kvs4KS76FHFqLFIZfrDMff4kP08nblUkihrxltoGBjg/edit#gid=934712705"",""ESENCIAL!A6:BG""),18,FALSE))"),"")</f>
        <v/>
      </c>
      <c r="BJ382" s="19" t="str">
        <f t="shared" si="39"/>
        <v/>
      </c>
      <c r="BK382" s="41"/>
      <c r="BL382" s="41"/>
    </row>
    <row r="383" spans="1:64" ht="15">
      <c r="A383" s="4"/>
      <c r="B383" s="4"/>
      <c r="G383" s="5" t="str">
        <f ca="1">IFERROR(__xludf.DUMMYFUNCTION("IFERROR(VLOOKUP(F400,IMPORTRANGE(""https://docs.google.com/spreadsheets/d/1Kvs4KS76FHFqLFIZfrDMff4kP08nblUkihrxltoGBjg/edit#gid=934712705"",""ESENCIAL!A6:BG""),3,FALSE))"),"")</f>
        <v/>
      </c>
      <c r="H383" s="5" t="str">
        <f ca="1">IFERROR(__xludf.DUMMYFUNCTION("IFERROR(VLOOKUP(F400,IMPORTRANGE(""https://docs.google.com/spreadsheets/d/1Kvs4KS76FHFqLFIZfrDMff4kP08nblUkihrxltoGBjg/edit#gid=934712705"",""ESENCIAL!A6:BG""),8,FALSE))"),"")</f>
        <v/>
      </c>
      <c r="L383" s="287"/>
      <c r="S383"/>
      <c r="AU383" s="41" t="str">
        <f t="shared" si="36"/>
        <v/>
      </c>
      <c r="AV383" s="5" t="str">
        <f ca="1">IFERROR(__xludf.DUMMYFUNCTION("IFERROR(VLOOKUP(E400&amp;F400,IMPORTRANGE(""https://docs.google.com/spreadsheets/d/1Uw7-A9f9R21vMXxHZFNpYNeKFtG8_yji4HS352LGlSQ/edit?pli=1#gid=0"",""1_ACUM!A4:S""),11,FALSE))"),"")</f>
        <v/>
      </c>
      <c r="AW383" s="42" t="str">
        <f ca="1">IFERROR(__xludf.DUMMYFUNCTION("IFERROR(VLOOKUP(F400,IMPORTRANGE(""https://docs.google.com/spreadsheets/d/1Kvs4KS76FHFqLFIZfrDMff4kP08nblUkihrxltoGBjg/edit#gid=934712705"",""ESENCIAL!A6:BG""),15,FALSE))"),"")</f>
        <v/>
      </c>
      <c r="AX383" s="21" t="str">
        <f ca="1">IFERROR(__xludf.DUMMYFUNCTION("IFERROR(VLOOKUP(E400&amp;F400,IMPORTRANGE(""https://docs.google.com/spreadsheets/d/1Uw7-A9f9R21vMXxHZFNpYNeKFtG8_yji4HS352LGlSQ/edit?pli=1#gid=0"",""1_ACUM!A4:S""),12,FALSE))"),"")</f>
        <v/>
      </c>
      <c r="AY383" s="43" t="str">
        <f ca="1">IFERROR(__xludf.DUMMYFUNCTION("IFERROR(VLOOKUP(E400&amp;F400,IMPORTRANGE(""https://docs.google.com/spreadsheets/d/1Uw7-A9f9R21vMXxHZFNpYNeKFtG8_yji4HS352LGlSQ/edit?pli=1#gid=0"",""1_ACUM!A4:S""),13,FALSE))"),"")</f>
        <v/>
      </c>
      <c r="AZ383" s="43" t="str">
        <f ca="1">IFERROR(__xludf.DUMMYFUNCTION("IFERROR(VLOOKUP(E400&amp;F400,IMPORTRANGE(""https://docs.google.com/spreadsheets/d/1Uw7-A9f9R21vMXxHZFNpYNeKFtG8_yji4HS352LGlSQ/edit?pli=1#gid=0"",""1_ACUM!A4:S""),14,FALSE))"),"")</f>
        <v/>
      </c>
      <c r="BA383" s="43" t="str">
        <f ca="1">IFERROR(__xludf.DUMMYFUNCTION("IFERROR(VLOOKUP(E400&amp;F400,IMPORTRANGE(""https://docs.google.com/spreadsheets/d/1Uw7-A9f9R21vMXxHZFNpYNeKFtG8_yji4HS352LGlSQ/edit?pli=1#gid=0"",""1_ACUM!A4:S""),15,FALSE))"),"")</f>
        <v/>
      </c>
      <c r="BB383" s="43" t="str">
        <f ca="1">IFERROR(__xludf.DUMMYFUNCTION("IFERROR(VLOOKUP(E400&amp;F400,IMPORTRANGE(""https://docs.google.com/spreadsheets/d/1Uw7-A9f9R21vMXxHZFNpYNeKFtG8_yji4HS352LGlSQ/edit?pli=1#gid=0"",""1_ACUM!A4:S""),16,FALSE))"),"")</f>
        <v/>
      </c>
      <c r="BC383" s="43" t="str">
        <f ca="1">IFERROR(__xludf.DUMMYFUNCTION("IFERROR(VLOOKUP(E400&amp;F400,IMPORTRANGE(""https://docs.google.com/spreadsheets/d/1Uw7-A9f9R21vMXxHZFNpYNeKFtG8_yji4HS352LGlSQ/edit?pli=1#gid=0"",""1_ACUM!A4:S""),17,FALSE))"),"")</f>
        <v/>
      </c>
      <c r="BD383" s="44" t="str">
        <f ca="1">IFERROR(__xludf.DUMMYFUNCTION("IFERROR(VLOOKUP(E400&amp;F400,IMPORTRANGE(""https://docs.google.com/spreadsheets/d/1Uw7-A9f9R21vMXxHZFNpYNeKFtG8_yji4HS352LGlSQ/edit?pli=1#gid=0"",""1_ACUM!A4:S""),18,FALSE))"),"")</f>
        <v/>
      </c>
      <c r="BE383" s="44" t="str">
        <f ca="1">IFERROR(__xludf.DUMMYFUNCTION("IFERROR(VLOOKUP(E400&amp;F400,IMPORTRANGE(""https://docs.google.com/spreadsheets/d/1Uw7-A9f9R21vMXxHZFNpYNeKFtG8_yji4HS352LGlSQ/edit?pli=1#gid=0"",""1_ACUM!A4:S""),19,FALSE))"),"")</f>
        <v/>
      </c>
      <c r="BF383" s="44" t="str">
        <f ca="1">IFERROR(__xludf.DUMMYFUNCTION("IFERROR(VLOOKUP(F400,IMPORTRANGE(""https://docs.google.com/spreadsheets/d/1Kvs4KS76FHFqLFIZfrDMff4kP08nblUkihrxltoGBjg/edit#gid=934712705"",""ESENCIAL!A6:BG""),5,FALSE))"),"")</f>
        <v/>
      </c>
      <c r="BG383" s="44" t="str">
        <f t="shared" si="37"/>
        <v/>
      </c>
      <c r="BH383" s="41" t="str">
        <f t="shared" si="38"/>
        <v/>
      </c>
      <c r="BI383" s="41" t="str">
        <f ca="1">IFERROR(__xludf.DUMMYFUNCTION("IFERROR(VLOOKUP(F400,IMPORTRANGE(""https://docs.google.com/spreadsheets/d/1Kvs4KS76FHFqLFIZfrDMff4kP08nblUkihrxltoGBjg/edit#gid=934712705"",""ESENCIAL!A6:BG""),18,FALSE))"),"")</f>
        <v/>
      </c>
      <c r="BJ383" s="19" t="str">
        <f t="shared" si="39"/>
        <v/>
      </c>
      <c r="BK383" s="41"/>
      <c r="BL383" s="41"/>
    </row>
    <row r="384" spans="1:64" ht="15">
      <c r="A384" s="4"/>
      <c r="B384" s="4"/>
      <c r="G384" s="5" t="str">
        <f ca="1">IFERROR(__xludf.DUMMYFUNCTION("IFERROR(VLOOKUP(F401,IMPORTRANGE(""https://docs.google.com/spreadsheets/d/1Kvs4KS76FHFqLFIZfrDMff4kP08nblUkihrxltoGBjg/edit#gid=934712705"",""ESENCIAL!A6:BG""),3,FALSE))"),"")</f>
        <v/>
      </c>
      <c r="H384" s="5" t="str">
        <f ca="1">IFERROR(__xludf.DUMMYFUNCTION("IFERROR(VLOOKUP(F401,IMPORTRANGE(""https://docs.google.com/spreadsheets/d/1Kvs4KS76FHFqLFIZfrDMff4kP08nblUkihrxltoGBjg/edit#gid=934712705"",""ESENCIAL!A6:BG""),8,FALSE))"),"")</f>
        <v/>
      </c>
      <c r="L384" s="287"/>
      <c r="S384"/>
      <c r="AU384" s="41" t="str">
        <f t="shared" si="36"/>
        <v/>
      </c>
      <c r="AV384" s="5" t="str">
        <f ca="1">IFERROR(__xludf.DUMMYFUNCTION("IFERROR(VLOOKUP(E401&amp;F401,IMPORTRANGE(""https://docs.google.com/spreadsheets/d/1Uw7-A9f9R21vMXxHZFNpYNeKFtG8_yji4HS352LGlSQ/edit?pli=1#gid=0"",""1_ACUM!A4:S""),11,FALSE))"),"")</f>
        <v/>
      </c>
      <c r="AW384" s="42" t="str">
        <f ca="1">IFERROR(__xludf.DUMMYFUNCTION("IFERROR(VLOOKUP(F401,IMPORTRANGE(""https://docs.google.com/spreadsheets/d/1Kvs4KS76FHFqLFIZfrDMff4kP08nblUkihrxltoGBjg/edit#gid=934712705"",""ESENCIAL!A6:BG""),15,FALSE))"),"")</f>
        <v/>
      </c>
      <c r="AX384" s="21" t="str">
        <f ca="1">IFERROR(__xludf.DUMMYFUNCTION("IFERROR(VLOOKUP(E401&amp;F401,IMPORTRANGE(""https://docs.google.com/spreadsheets/d/1Uw7-A9f9R21vMXxHZFNpYNeKFtG8_yji4HS352LGlSQ/edit?pli=1#gid=0"",""1_ACUM!A4:S""),12,FALSE))"),"")</f>
        <v/>
      </c>
      <c r="AY384" s="43" t="str">
        <f ca="1">IFERROR(__xludf.DUMMYFUNCTION("IFERROR(VLOOKUP(E401&amp;F401,IMPORTRANGE(""https://docs.google.com/spreadsheets/d/1Uw7-A9f9R21vMXxHZFNpYNeKFtG8_yji4HS352LGlSQ/edit?pli=1#gid=0"",""1_ACUM!A4:S""),13,FALSE))"),"")</f>
        <v/>
      </c>
      <c r="AZ384" s="43" t="str">
        <f ca="1">IFERROR(__xludf.DUMMYFUNCTION("IFERROR(VLOOKUP(E401&amp;F401,IMPORTRANGE(""https://docs.google.com/spreadsheets/d/1Uw7-A9f9R21vMXxHZFNpYNeKFtG8_yji4HS352LGlSQ/edit?pli=1#gid=0"",""1_ACUM!A4:S""),14,FALSE))"),"")</f>
        <v/>
      </c>
      <c r="BA384" s="43" t="str">
        <f ca="1">IFERROR(__xludf.DUMMYFUNCTION("IFERROR(VLOOKUP(E401&amp;F401,IMPORTRANGE(""https://docs.google.com/spreadsheets/d/1Uw7-A9f9R21vMXxHZFNpYNeKFtG8_yji4HS352LGlSQ/edit?pli=1#gid=0"",""1_ACUM!A4:S""),15,FALSE))"),"")</f>
        <v/>
      </c>
      <c r="BB384" s="43" t="str">
        <f ca="1">IFERROR(__xludf.DUMMYFUNCTION("IFERROR(VLOOKUP(E401&amp;F401,IMPORTRANGE(""https://docs.google.com/spreadsheets/d/1Uw7-A9f9R21vMXxHZFNpYNeKFtG8_yji4HS352LGlSQ/edit?pli=1#gid=0"",""1_ACUM!A4:S""),16,FALSE))"),"")</f>
        <v/>
      </c>
      <c r="BC384" s="43" t="str">
        <f ca="1">IFERROR(__xludf.DUMMYFUNCTION("IFERROR(VLOOKUP(E401&amp;F401,IMPORTRANGE(""https://docs.google.com/spreadsheets/d/1Uw7-A9f9R21vMXxHZFNpYNeKFtG8_yji4HS352LGlSQ/edit?pli=1#gid=0"",""1_ACUM!A4:S""),17,FALSE))"),"")</f>
        <v/>
      </c>
      <c r="BD384" s="44" t="str">
        <f ca="1">IFERROR(__xludf.DUMMYFUNCTION("IFERROR(VLOOKUP(E401&amp;F401,IMPORTRANGE(""https://docs.google.com/spreadsheets/d/1Uw7-A9f9R21vMXxHZFNpYNeKFtG8_yji4HS352LGlSQ/edit?pli=1#gid=0"",""1_ACUM!A4:S""),18,FALSE))"),"")</f>
        <v/>
      </c>
      <c r="BE384" s="44" t="str">
        <f ca="1">IFERROR(__xludf.DUMMYFUNCTION("IFERROR(VLOOKUP(E401&amp;F401,IMPORTRANGE(""https://docs.google.com/spreadsheets/d/1Uw7-A9f9R21vMXxHZFNpYNeKFtG8_yji4HS352LGlSQ/edit?pli=1#gid=0"",""1_ACUM!A4:S""),19,FALSE))"),"")</f>
        <v/>
      </c>
      <c r="BF384" s="44" t="str">
        <f ca="1">IFERROR(__xludf.DUMMYFUNCTION("IFERROR(VLOOKUP(F401,IMPORTRANGE(""https://docs.google.com/spreadsheets/d/1Kvs4KS76FHFqLFIZfrDMff4kP08nblUkihrxltoGBjg/edit#gid=934712705"",""ESENCIAL!A6:BG""),5,FALSE))"),"")</f>
        <v/>
      </c>
      <c r="BG384" s="44" t="str">
        <f t="shared" si="37"/>
        <v/>
      </c>
      <c r="BH384" s="41" t="str">
        <f t="shared" si="38"/>
        <v/>
      </c>
      <c r="BI384" s="41" t="str">
        <f ca="1">IFERROR(__xludf.DUMMYFUNCTION("IFERROR(VLOOKUP(F401,IMPORTRANGE(""https://docs.google.com/spreadsheets/d/1Kvs4KS76FHFqLFIZfrDMff4kP08nblUkihrxltoGBjg/edit#gid=934712705"",""ESENCIAL!A6:BG""),18,FALSE))"),"")</f>
        <v/>
      </c>
      <c r="BJ384" s="19" t="str">
        <f t="shared" si="39"/>
        <v/>
      </c>
      <c r="BK384" s="41"/>
      <c r="BL384" s="41"/>
    </row>
    <row r="385" spans="1:64" ht="15">
      <c r="A385" s="4"/>
      <c r="B385" s="4"/>
      <c r="G385" s="5" t="str">
        <f ca="1">IFERROR(__xludf.DUMMYFUNCTION("IFERROR(VLOOKUP(F402,IMPORTRANGE(""https://docs.google.com/spreadsheets/d/1Kvs4KS76FHFqLFIZfrDMff4kP08nblUkihrxltoGBjg/edit#gid=934712705"",""ESENCIAL!A6:BG""),3,FALSE))"),"")</f>
        <v/>
      </c>
      <c r="H385" s="5" t="str">
        <f ca="1">IFERROR(__xludf.DUMMYFUNCTION("IFERROR(VLOOKUP(F402,IMPORTRANGE(""https://docs.google.com/spreadsheets/d/1Kvs4KS76FHFqLFIZfrDMff4kP08nblUkihrxltoGBjg/edit#gid=934712705"",""ESENCIAL!A6:BG""),8,FALSE))"),"")</f>
        <v/>
      </c>
      <c r="L385" s="287"/>
      <c r="S385"/>
      <c r="AU385" s="41" t="str">
        <f t="shared" si="36"/>
        <v/>
      </c>
      <c r="AV385" s="5" t="str">
        <f ca="1">IFERROR(__xludf.DUMMYFUNCTION("IFERROR(VLOOKUP(E402&amp;F402,IMPORTRANGE(""https://docs.google.com/spreadsheets/d/1Uw7-A9f9R21vMXxHZFNpYNeKFtG8_yji4HS352LGlSQ/edit?pli=1#gid=0"",""1_ACUM!A4:S""),11,FALSE))"),"")</f>
        <v/>
      </c>
      <c r="AW385" s="42" t="str">
        <f ca="1">IFERROR(__xludf.DUMMYFUNCTION("IFERROR(VLOOKUP(F402,IMPORTRANGE(""https://docs.google.com/spreadsheets/d/1Kvs4KS76FHFqLFIZfrDMff4kP08nblUkihrxltoGBjg/edit#gid=934712705"",""ESENCIAL!A6:BG""),15,FALSE))"),"")</f>
        <v/>
      </c>
      <c r="AX385" s="21" t="str">
        <f ca="1">IFERROR(__xludf.DUMMYFUNCTION("IFERROR(VLOOKUP(E402&amp;F402,IMPORTRANGE(""https://docs.google.com/spreadsheets/d/1Uw7-A9f9R21vMXxHZFNpYNeKFtG8_yji4HS352LGlSQ/edit?pli=1#gid=0"",""1_ACUM!A4:S""),12,FALSE))"),"")</f>
        <v/>
      </c>
      <c r="AY385" s="43" t="str">
        <f ca="1">IFERROR(__xludf.DUMMYFUNCTION("IFERROR(VLOOKUP(E402&amp;F402,IMPORTRANGE(""https://docs.google.com/spreadsheets/d/1Uw7-A9f9R21vMXxHZFNpYNeKFtG8_yji4HS352LGlSQ/edit?pli=1#gid=0"",""1_ACUM!A4:S""),13,FALSE))"),"")</f>
        <v/>
      </c>
      <c r="AZ385" s="43" t="str">
        <f ca="1">IFERROR(__xludf.DUMMYFUNCTION("IFERROR(VLOOKUP(E402&amp;F402,IMPORTRANGE(""https://docs.google.com/spreadsheets/d/1Uw7-A9f9R21vMXxHZFNpYNeKFtG8_yji4HS352LGlSQ/edit?pli=1#gid=0"",""1_ACUM!A4:S""),14,FALSE))"),"")</f>
        <v/>
      </c>
      <c r="BA385" s="43" t="str">
        <f ca="1">IFERROR(__xludf.DUMMYFUNCTION("IFERROR(VLOOKUP(E402&amp;F402,IMPORTRANGE(""https://docs.google.com/spreadsheets/d/1Uw7-A9f9R21vMXxHZFNpYNeKFtG8_yji4HS352LGlSQ/edit?pli=1#gid=0"",""1_ACUM!A4:S""),15,FALSE))"),"")</f>
        <v/>
      </c>
      <c r="BB385" s="43" t="str">
        <f ca="1">IFERROR(__xludf.DUMMYFUNCTION("IFERROR(VLOOKUP(E402&amp;F402,IMPORTRANGE(""https://docs.google.com/spreadsheets/d/1Uw7-A9f9R21vMXxHZFNpYNeKFtG8_yji4HS352LGlSQ/edit?pli=1#gid=0"",""1_ACUM!A4:S""),16,FALSE))"),"")</f>
        <v/>
      </c>
      <c r="BC385" s="43" t="str">
        <f ca="1">IFERROR(__xludf.DUMMYFUNCTION("IFERROR(VLOOKUP(E402&amp;F402,IMPORTRANGE(""https://docs.google.com/spreadsheets/d/1Uw7-A9f9R21vMXxHZFNpYNeKFtG8_yji4HS352LGlSQ/edit?pli=1#gid=0"",""1_ACUM!A4:S""),17,FALSE))"),"")</f>
        <v/>
      </c>
      <c r="BD385" s="44" t="str">
        <f ca="1">IFERROR(__xludf.DUMMYFUNCTION("IFERROR(VLOOKUP(E402&amp;F402,IMPORTRANGE(""https://docs.google.com/spreadsheets/d/1Uw7-A9f9R21vMXxHZFNpYNeKFtG8_yji4HS352LGlSQ/edit?pli=1#gid=0"",""1_ACUM!A4:S""),18,FALSE))"),"")</f>
        <v/>
      </c>
      <c r="BE385" s="44" t="str">
        <f ca="1">IFERROR(__xludf.DUMMYFUNCTION("IFERROR(VLOOKUP(E402&amp;F402,IMPORTRANGE(""https://docs.google.com/spreadsheets/d/1Uw7-A9f9R21vMXxHZFNpYNeKFtG8_yji4HS352LGlSQ/edit?pli=1#gid=0"",""1_ACUM!A4:S""),19,FALSE))"),"")</f>
        <v/>
      </c>
      <c r="BF385" s="44" t="str">
        <f ca="1">IFERROR(__xludf.DUMMYFUNCTION("IFERROR(VLOOKUP(F402,IMPORTRANGE(""https://docs.google.com/spreadsheets/d/1Kvs4KS76FHFqLFIZfrDMff4kP08nblUkihrxltoGBjg/edit#gid=934712705"",""ESENCIAL!A6:BG""),5,FALSE))"),"")</f>
        <v/>
      </c>
      <c r="BG385" s="44" t="str">
        <f t="shared" si="37"/>
        <v/>
      </c>
      <c r="BH385" s="41" t="str">
        <f t="shared" si="38"/>
        <v/>
      </c>
      <c r="BI385" s="41" t="str">
        <f ca="1">IFERROR(__xludf.DUMMYFUNCTION("IFERROR(VLOOKUP(F402,IMPORTRANGE(""https://docs.google.com/spreadsheets/d/1Kvs4KS76FHFqLFIZfrDMff4kP08nblUkihrxltoGBjg/edit#gid=934712705"",""ESENCIAL!A6:BG""),18,FALSE))"),"")</f>
        <v/>
      </c>
      <c r="BJ385" s="19" t="str">
        <f t="shared" si="39"/>
        <v/>
      </c>
      <c r="BK385" s="41"/>
      <c r="BL385" s="41"/>
    </row>
    <row r="386" spans="1:64" ht="15">
      <c r="A386" s="4"/>
      <c r="B386" s="4"/>
      <c r="G386" s="5" t="str">
        <f ca="1">IFERROR(__xludf.DUMMYFUNCTION("IFERROR(VLOOKUP(F403,IMPORTRANGE(""https://docs.google.com/spreadsheets/d/1Kvs4KS76FHFqLFIZfrDMff4kP08nblUkihrxltoGBjg/edit#gid=934712705"",""ESENCIAL!A6:BG""),3,FALSE))"),"")</f>
        <v/>
      </c>
      <c r="H386" s="5" t="str">
        <f ca="1">IFERROR(__xludf.DUMMYFUNCTION("IFERROR(VLOOKUP(F403,IMPORTRANGE(""https://docs.google.com/spreadsheets/d/1Kvs4KS76FHFqLFIZfrDMff4kP08nblUkihrxltoGBjg/edit#gid=934712705"",""ESENCIAL!A6:BG""),8,FALSE))"),"")</f>
        <v/>
      </c>
      <c r="L386" s="287"/>
      <c r="S386"/>
      <c r="AU386" s="41" t="str">
        <f t="shared" si="36"/>
        <v/>
      </c>
      <c r="AV386" s="5" t="str">
        <f ca="1">IFERROR(__xludf.DUMMYFUNCTION("IFERROR(VLOOKUP(E403&amp;F403,IMPORTRANGE(""https://docs.google.com/spreadsheets/d/1Uw7-A9f9R21vMXxHZFNpYNeKFtG8_yji4HS352LGlSQ/edit?pli=1#gid=0"",""1_ACUM!A4:S""),11,FALSE))"),"")</f>
        <v/>
      </c>
      <c r="AW386" s="42" t="str">
        <f ca="1">IFERROR(__xludf.DUMMYFUNCTION("IFERROR(VLOOKUP(F403,IMPORTRANGE(""https://docs.google.com/spreadsheets/d/1Kvs4KS76FHFqLFIZfrDMff4kP08nblUkihrxltoGBjg/edit#gid=934712705"",""ESENCIAL!A6:BG""),15,FALSE))"),"")</f>
        <v/>
      </c>
      <c r="AX386" s="21" t="str">
        <f ca="1">IFERROR(__xludf.DUMMYFUNCTION("IFERROR(VLOOKUP(E403&amp;F403,IMPORTRANGE(""https://docs.google.com/spreadsheets/d/1Uw7-A9f9R21vMXxHZFNpYNeKFtG8_yji4HS352LGlSQ/edit?pli=1#gid=0"",""1_ACUM!A4:S""),12,FALSE))"),"")</f>
        <v/>
      </c>
      <c r="AY386" s="43" t="str">
        <f ca="1">IFERROR(__xludf.DUMMYFUNCTION("IFERROR(VLOOKUP(E403&amp;F403,IMPORTRANGE(""https://docs.google.com/spreadsheets/d/1Uw7-A9f9R21vMXxHZFNpYNeKFtG8_yji4HS352LGlSQ/edit?pli=1#gid=0"",""1_ACUM!A4:S""),13,FALSE))"),"")</f>
        <v/>
      </c>
      <c r="AZ386" s="43" t="str">
        <f ca="1">IFERROR(__xludf.DUMMYFUNCTION("IFERROR(VLOOKUP(E403&amp;F403,IMPORTRANGE(""https://docs.google.com/spreadsheets/d/1Uw7-A9f9R21vMXxHZFNpYNeKFtG8_yji4HS352LGlSQ/edit?pli=1#gid=0"",""1_ACUM!A4:S""),14,FALSE))"),"")</f>
        <v/>
      </c>
      <c r="BA386" s="43" t="str">
        <f ca="1">IFERROR(__xludf.DUMMYFUNCTION("IFERROR(VLOOKUP(E403&amp;F403,IMPORTRANGE(""https://docs.google.com/spreadsheets/d/1Uw7-A9f9R21vMXxHZFNpYNeKFtG8_yji4HS352LGlSQ/edit?pli=1#gid=0"",""1_ACUM!A4:S""),15,FALSE))"),"")</f>
        <v/>
      </c>
      <c r="BB386" s="43" t="str">
        <f ca="1">IFERROR(__xludf.DUMMYFUNCTION("IFERROR(VLOOKUP(E403&amp;F403,IMPORTRANGE(""https://docs.google.com/spreadsheets/d/1Uw7-A9f9R21vMXxHZFNpYNeKFtG8_yji4HS352LGlSQ/edit?pli=1#gid=0"",""1_ACUM!A4:S""),16,FALSE))"),"")</f>
        <v/>
      </c>
      <c r="BC386" s="43" t="str">
        <f ca="1">IFERROR(__xludf.DUMMYFUNCTION("IFERROR(VLOOKUP(E403&amp;F403,IMPORTRANGE(""https://docs.google.com/spreadsheets/d/1Uw7-A9f9R21vMXxHZFNpYNeKFtG8_yji4HS352LGlSQ/edit?pli=1#gid=0"",""1_ACUM!A4:S""),17,FALSE))"),"")</f>
        <v/>
      </c>
      <c r="BD386" s="44" t="str">
        <f ca="1">IFERROR(__xludf.DUMMYFUNCTION("IFERROR(VLOOKUP(E403&amp;F403,IMPORTRANGE(""https://docs.google.com/spreadsheets/d/1Uw7-A9f9R21vMXxHZFNpYNeKFtG8_yji4HS352LGlSQ/edit?pli=1#gid=0"",""1_ACUM!A4:S""),18,FALSE))"),"")</f>
        <v/>
      </c>
      <c r="BE386" s="44" t="str">
        <f ca="1">IFERROR(__xludf.DUMMYFUNCTION("IFERROR(VLOOKUP(E403&amp;F403,IMPORTRANGE(""https://docs.google.com/spreadsheets/d/1Uw7-A9f9R21vMXxHZFNpYNeKFtG8_yji4HS352LGlSQ/edit?pli=1#gid=0"",""1_ACUM!A4:S""),19,FALSE))"),"")</f>
        <v/>
      </c>
      <c r="BF386" s="44" t="str">
        <f ca="1">IFERROR(__xludf.DUMMYFUNCTION("IFERROR(VLOOKUP(F403,IMPORTRANGE(""https://docs.google.com/spreadsheets/d/1Kvs4KS76FHFqLFIZfrDMff4kP08nblUkihrxltoGBjg/edit#gid=934712705"",""ESENCIAL!A6:BG""),5,FALSE))"),"")</f>
        <v/>
      </c>
      <c r="BG386" s="44" t="str">
        <f t="shared" si="37"/>
        <v/>
      </c>
      <c r="BH386" s="41" t="str">
        <f t="shared" si="38"/>
        <v/>
      </c>
      <c r="BI386" s="41" t="str">
        <f ca="1">IFERROR(__xludf.DUMMYFUNCTION("IFERROR(VLOOKUP(F403,IMPORTRANGE(""https://docs.google.com/spreadsheets/d/1Kvs4KS76FHFqLFIZfrDMff4kP08nblUkihrxltoGBjg/edit#gid=934712705"",""ESENCIAL!A6:BG""),18,FALSE))"),"")</f>
        <v/>
      </c>
      <c r="BJ386" s="19" t="str">
        <f t="shared" si="39"/>
        <v/>
      </c>
      <c r="BK386" s="41"/>
      <c r="BL386" s="41"/>
    </row>
    <row r="387" spans="1:64" ht="15">
      <c r="A387" s="4"/>
      <c r="B387" s="4"/>
      <c r="G387" s="5" t="str">
        <f ca="1">IFERROR(__xludf.DUMMYFUNCTION("IFERROR(VLOOKUP(F404,IMPORTRANGE(""https://docs.google.com/spreadsheets/d/1Kvs4KS76FHFqLFIZfrDMff4kP08nblUkihrxltoGBjg/edit#gid=934712705"",""ESENCIAL!A6:BG""),3,FALSE))"),"")</f>
        <v/>
      </c>
      <c r="H387" s="5" t="str">
        <f ca="1">IFERROR(__xludf.DUMMYFUNCTION("IFERROR(VLOOKUP(F404,IMPORTRANGE(""https://docs.google.com/spreadsheets/d/1Kvs4KS76FHFqLFIZfrDMff4kP08nblUkihrxltoGBjg/edit#gid=934712705"",""ESENCIAL!A6:BG""),8,FALSE))"),"")</f>
        <v/>
      </c>
      <c r="L387" s="287"/>
      <c r="S387"/>
      <c r="AU387" s="41" t="str">
        <f t="shared" si="36"/>
        <v/>
      </c>
      <c r="AV387" s="5" t="str">
        <f ca="1">IFERROR(__xludf.DUMMYFUNCTION("IFERROR(VLOOKUP(E404&amp;F404,IMPORTRANGE(""https://docs.google.com/spreadsheets/d/1Uw7-A9f9R21vMXxHZFNpYNeKFtG8_yji4HS352LGlSQ/edit?pli=1#gid=0"",""1_ACUM!A4:S""),11,FALSE))"),"")</f>
        <v/>
      </c>
      <c r="AW387" s="42" t="str">
        <f ca="1">IFERROR(__xludf.DUMMYFUNCTION("IFERROR(VLOOKUP(F404,IMPORTRANGE(""https://docs.google.com/spreadsheets/d/1Kvs4KS76FHFqLFIZfrDMff4kP08nblUkihrxltoGBjg/edit#gid=934712705"",""ESENCIAL!A6:BG""),15,FALSE))"),"")</f>
        <v/>
      </c>
      <c r="AX387" s="21" t="str">
        <f ca="1">IFERROR(__xludf.DUMMYFUNCTION("IFERROR(VLOOKUP(E404&amp;F404,IMPORTRANGE(""https://docs.google.com/spreadsheets/d/1Uw7-A9f9R21vMXxHZFNpYNeKFtG8_yji4HS352LGlSQ/edit?pli=1#gid=0"",""1_ACUM!A4:S""),12,FALSE))"),"")</f>
        <v/>
      </c>
      <c r="AY387" s="43" t="str">
        <f ca="1">IFERROR(__xludf.DUMMYFUNCTION("IFERROR(VLOOKUP(E404&amp;F404,IMPORTRANGE(""https://docs.google.com/spreadsheets/d/1Uw7-A9f9R21vMXxHZFNpYNeKFtG8_yji4HS352LGlSQ/edit?pli=1#gid=0"",""1_ACUM!A4:S""),13,FALSE))"),"")</f>
        <v/>
      </c>
      <c r="AZ387" s="43" t="str">
        <f ca="1">IFERROR(__xludf.DUMMYFUNCTION("IFERROR(VLOOKUP(E404&amp;F404,IMPORTRANGE(""https://docs.google.com/spreadsheets/d/1Uw7-A9f9R21vMXxHZFNpYNeKFtG8_yji4HS352LGlSQ/edit?pli=1#gid=0"",""1_ACUM!A4:S""),14,FALSE))"),"")</f>
        <v/>
      </c>
      <c r="BA387" s="43" t="str">
        <f ca="1">IFERROR(__xludf.DUMMYFUNCTION("IFERROR(VLOOKUP(E404&amp;F404,IMPORTRANGE(""https://docs.google.com/spreadsheets/d/1Uw7-A9f9R21vMXxHZFNpYNeKFtG8_yji4HS352LGlSQ/edit?pli=1#gid=0"",""1_ACUM!A4:S""),15,FALSE))"),"")</f>
        <v/>
      </c>
      <c r="BB387" s="43" t="str">
        <f ca="1">IFERROR(__xludf.DUMMYFUNCTION("IFERROR(VLOOKUP(E404&amp;F404,IMPORTRANGE(""https://docs.google.com/spreadsheets/d/1Uw7-A9f9R21vMXxHZFNpYNeKFtG8_yji4HS352LGlSQ/edit?pli=1#gid=0"",""1_ACUM!A4:S""),16,FALSE))"),"")</f>
        <v/>
      </c>
      <c r="BC387" s="43" t="str">
        <f ca="1">IFERROR(__xludf.DUMMYFUNCTION("IFERROR(VLOOKUP(E404&amp;F404,IMPORTRANGE(""https://docs.google.com/spreadsheets/d/1Uw7-A9f9R21vMXxHZFNpYNeKFtG8_yji4HS352LGlSQ/edit?pli=1#gid=0"",""1_ACUM!A4:S""),17,FALSE))"),"")</f>
        <v/>
      </c>
      <c r="BD387" s="44" t="str">
        <f ca="1">IFERROR(__xludf.DUMMYFUNCTION("IFERROR(VLOOKUP(E404&amp;F404,IMPORTRANGE(""https://docs.google.com/spreadsheets/d/1Uw7-A9f9R21vMXxHZFNpYNeKFtG8_yji4HS352LGlSQ/edit?pli=1#gid=0"",""1_ACUM!A4:S""),18,FALSE))"),"")</f>
        <v/>
      </c>
      <c r="BE387" s="44" t="str">
        <f ca="1">IFERROR(__xludf.DUMMYFUNCTION("IFERROR(VLOOKUP(E404&amp;F404,IMPORTRANGE(""https://docs.google.com/spreadsheets/d/1Uw7-A9f9R21vMXxHZFNpYNeKFtG8_yji4HS352LGlSQ/edit?pli=1#gid=0"",""1_ACUM!A4:S""),19,FALSE))"),"")</f>
        <v/>
      </c>
      <c r="BF387" s="44" t="str">
        <f ca="1">IFERROR(__xludf.DUMMYFUNCTION("IFERROR(VLOOKUP(F404,IMPORTRANGE(""https://docs.google.com/spreadsheets/d/1Kvs4KS76FHFqLFIZfrDMff4kP08nblUkihrxltoGBjg/edit#gid=934712705"",""ESENCIAL!A6:BG""),5,FALSE))"),"")</f>
        <v/>
      </c>
      <c r="BG387" s="44" t="str">
        <f t="shared" si="37"/>
        <v/>
      </c>
      <c r="BH387" s="41" t="str">
        <f t="shared" si="38"/>
        <v/>
      </c>
      <c r="BI387" s="41" t="str">
        <f ca="1">IFERROR(__xludf.DUMMYFUNCTION("IFERROR(VLOOKUP(F404,IMPORTRANGE(""https://docs.google.com/spreadsheets/d/1Kvs4KS76FHFqLFIZfrDMff4kP08nblUkihrxltoGBjg/edit#gid=934712705"",""ESENCIAL!A6:BG""),18,FALSE))"),"")</f>
        <v/>
      </c>
      <c r="BJ387" s="19" t="str">
        <f t="shared" si="39"/>
        <v/>
      </c>
      <c r="BK387" s="41"/>
      <c r="BL387" s="41"/>
    </row>
    <row r="388" spans="1:64" ht="15">
      <c r="A388" s="4"/>
      <c r="B388" s="4"/>
      <c r="G388" s="5" t="str">
        <f ca="1">IFERROR(__xludf.DUMMYFUNCTION("IFERROR(VLOOKUP(F405,IMPORTRANGE(""https://docs.google.com/spreadsheets/d/1Kvs4KS76FHFqLFIZfrDMff4kP08nblUkihrxltoGBjg/edit#gid=934712705"",""ESENCIAL!A6:BG""),3,FALSE))"),"")</f>
        <v/>
      </c>
      <c r="H388" s="5" t="str">
        <f ca="1">IFERROR(__xludf.DUMMYFUNCTION("IFERROR(VLOOKUP(F405,IMPORTRANGE(""https://docs.google.com/spreadsheets/d/1Kvs4KS76FHFqLFIZfrDMff4kP08nblUkihrxltoGBjg/edit#gid=934712705"",""ESENCIAL!A6:BG""),8,FALSE))"),"")</f>
        <v/>
      </c>
      <c r="L388" s="287"/>
      <c r="S388"/>
      <c r="AU388" s="41" t="str">
        <f t="shared" si="36"/>
        <v/>
      </c>
      <c r="AV388" s="5" t="str">
        <f ca="1">IFERROR(__xludf.DUMMYFUNCTION("IFERROR(VLOOKUP(E405&amp;F405,IMPORTRANGE(""https://docs.google.com/spreadsheets/d/1Uw7-A9f9R21vMXxHZFNpYNeKFtG8_yji4HS352LGlSQ/edit?pli=1#gid=0"",""1_ACUM!A4:S""),11,FALSE))"),"")</f>
        <v/>
      </c>
      <c r="AW388" s="42" t="str">
        <f ca="1">IFERROR(__xludf.DUMMYFUNCTION("IFERROR(VLOOKUP(F405,IMPORTRANGE(""https://docs.google.com/spreadsheets/d/1Kvs4KS76FHFqLFIZfrDMff4kP08nblUkihrxltoGBjg/edit#gid=934712705"",""ESENCIAL!A6:BG""),15,FALSE))"),"")</f>
        <v/>
      </c>
      <c r="AX388" s="21" t="str">
        <f ca="1">IFERROR(__xludf.DUMMYFUNCTION("IFERROR(VLOOKUP(E405&amp;F405,IMPORTRANGE(""https://docs.google.com/spreadsheets/d/1Uw7-A9f9R21vMXxHZFNpYNeKFtG8_yji4HS352LGlSQ/edit?pli=1#gid=0"",""1_ACUM!A4:S""),12,FALSE))"),"")</f>
        <v/>
      </c>
      <c r="AY388" s="43" t="str">
        <f ca="1">IFERROR(__xludf.DUMMYFUNCTION("IFERROR(VLOOKUP(E405&amp;F405,IMPORTRANGE(""https://docs.google.com/spreadsheets/d/1Uw7-A9f9R21vMXxHZFNpYNeKFtG8_yji4HS352LGlSQ/edit?pli=1#gid=0"",""1_ACUM!A4:S""),13,FALSE))"),"")</f>
        <v/>
      </c>
      <c r="AZ388" s="43" t="str">
        <f ca="1">IFERROR(__xludf.DUMMYFUNCTION("IFERROR(VLOOKUP(E405&amp;F405,IMPORTRANGE(""https://docs.google.com/spreadsheets/d/1Uw7-A9f9R21vMXxHZFNpYNeKFtG8_yji4HS352LGlSQ/edit?pli=1#gid=0"",""1_ACUM!A4:S""),14,FALSE))"),"")</f>
        <v/>
      </c>
      <c r="BA388" s="43" t="str">
        <f ca="1">IFERROR(__xludf.DUMMYFUNCTION("IFERROR(VLOOKUP(E405&amp;F405,IMPORTRANGE(""https://docs.google.com/spreadsheets/d/1Uw7-A9f9R21vMXxHZFNpYNeKFtG8_yji4HS352LGlSQ/edit?pli=1#gid=0"",""1_ACUM!A4:S""),15,FALSE))"),"")</f>
        <v/>
      </c>
      <c r="BB388" s="43" t="str">
        <f ca="1">IFERROR(__xludf.DUMMYFUNCTION("IFERROR(VLOOKUP(E405&amp;F405,IMPORTRANGE(""https://docs.google.com/spreadsheets/d/1Uw7-A9f9R21vMXxHZFNpYNeKFtG8_yji4HS352LGlSQ/edit?pli=1#gid=0"",""1_ACUM!A4:S""),16,FALSE))"),"")</f>
        <v/>
      </c>
      <c r="BC388" s="43" t="str">
        <f ca="1">IFERROR(__xludf.DUMMYFUNCTION("IFERROR(VLOOKUP(E405&amp;F405,IMPORTRANGE(""https://docs.google.com/spreadsheets/d/1Uw7-A9f9R21vMXxHZFNpYNeKFtG8_yji4HS352LGlSQ/edit?pli=1#gid=0"",""1_ACUM!A4:S""),17,FALSE))"),"")</f>
        <v/>
      </c>
      <c r="BD388" s="44" t="str">
        <f ca="1">IFERROR(__xludf.DUMMYFUNCTION("IFERROR(VLOOKUP(E405&amp;F405,IMPORTRANGE(""https://docs.google.com/spreadsheets/d/1Uw7-A9f9R21vMXxHZFNpYNeKFtG8_yji4HS352LGlSQ/edit?pli=1#gid=0"",""1_ACUM!A4:S""),18,FALSE))"),"")</f>
        <v/>
      </c>
      <c r="BE388" s="44" t="str">
        <f ca="1">IFERROR(__xludf.DUMMYFUNCTION("IFERROR(VLOOKUP(E405&amp;F405,IMPORTRANGE(""https://docs.google.com/spreadsheets/d/1Uw7-A9f9R21vMXxHZFNpYNeKFtG8_yji4HS352LGlSQ/edit?pli=1#gid=0"",""1_ACUM!A4:S""),19,FALSE))"),"")</f>
        <v/>
      </c>
      <c r="BF388" s="44" t="str">
        <f ca="1">IFERROR(__xludf.DUMMYFUNCTION("IFERROR(VLOOKUP(F405,IMPORTRANGE(""https://docs.google.com/spreadsheets/d/1Kvs4KS76FHFqLFIZfrDMff4kP08nblUkihrxltoGBjg/edit#gid=934712705"",""ESENCIAL!A6:BG""),5,FALSE))"),"")</f>
        <v/>
      </c>
      <c r="BG388" s="44" t="str">
        <f t="shared" si="37"/>
        <v/>
      </c>
      <c r="BH388" s="41" t="str">
        <f t="shared" si="38"/>
        <v/>
      </c>
      <c r="BI388" s="41" t="str">
        <f ca="1">IFERROR(__xludf.DUMMYFUNCTION("IFERROR(VLOOKUP(F405,IMPORTRANGE(""https://docs.google.com/spreadsheets/d/1Kvs4KS76FHFqLFIZfrDMff4kP08nblUkihrxltoGBjg/edit#gid=934712705"",""ESENCIAL!A6:BG""),18,FALSE))"),"")</f>
        <v/>
      </c>
      <c r="BJ388" s="19" t="str">
        <f t="shared" si="39"/>
        <v/>
      </c>
      <c r="BK388" s="41"/>
      <c r="BL388" s="41"/>
    </row>
    <row r="389" spans="1:64" ht="15">
      <c r="A389" s="4"/>
      <c r="B389" s="4"/>
      <c r="G389" s="5" t="str">
        <f ca="1">IFERROR(__xludf.DUMMYFUNCTION("IFERROR(VLOOKUP(F406,IMPORTRANGE(""https://docs.google.com/spreadsheets/d/1Kvs4KS76FHFqLFIZfrDMff4kP08nblUkihrxltoGBjg/edit#gid=934712705"",""ESENCIAL!A6:BG""),3,FALSE))"),"")</f>
        <v/>
      </c>
      <c r="H389" s="5" t="str">
        <f ca="1">IFERROR(__xludf.DUMMYFUNCTION("IFERROR(VLOOKUP(F406,IMPORTRANGE(""https://docs.google.com/spreadsheets/d/1Kvs4KS76FHFqLFIZfrDMff4kP08nblUkihrxltoGBjg/edit#gid=934712705"",""ESENCIAL!A6:BG""),8,FALSE))"),"")</f>
        <v/>
      </c>
      <c r="L389" s="287"/>
      <c r="S389"/>
      <c r="AU389" s="41" t="str">
        <f t="shared" si="36"/>
        <v/>
      </c>
      <c r="AV389" s="5" t="str">
        <f ca="1">IFERROR(__xludf.DUMMYFUNCTION("IFERROR(VLOOKUP(E406&amp;F406,IMPORTRANGE(""https://docs.google.com/spreadsheets/d/1Uw7-A9f9R21vMXxHZFNpYNeKFtG8_yji4HS352LGlSQ/edit?pli=1#gid=0"",""1_ACUM!A4:S""),11,FALSE))"),"")</f>
        <v/>
      </c>
      <c r="AW389" s="42" t="str">
        <f ca="1">IFERROR(__xludf.DUMMYFUNCTION("IFERROR(VLOOKUP(F406,IMPORTRANGE(""https://docs.google.com/spreadsheets/d/1Kvs4KS76FHFqLFIZfrDMff4kP08nblUkihrxltoGBjg/edit#gid=934712705"",""ESENCIAL!A6:BG""),15,FALSE))"),"")</f>
        <v/>
      </c>
      <c r="AX389" s="21" t="str">
        <f ca="1">IFERROR(__xludf.DUMMYFUNCTION("IFERROR(VLOOKUP(E406&amp;F406,IMPORTRANGE(""https://docs.google.com/spreadsheets/d/1Uw7-A9f9R21vMXxHZFNpYNeKFtG8_yji4HS352LGlSQ/edit?pli=1#gid=0"",""1_ACUM!A4:S""),12,FALSE))"),"")</f>
        <v/>
      </c>
      <c r="AY389" s="43" t="str">
        <f ca="1">IFERROR(__xludf.DUMMYFUNCTION("IFERROR(VLOOKUP(E406&amp;F406,IMPORTRANGE(""https://docs.google.com/spreadsheets/d/1Uw7-A9f9R21vMXxHZFNpYNeKFtG8_yji4HS352LGlSQ/edit?pli=1#gid=0"",""1_ACUM!A4:S""),13,FALSE))"),"")</f>
        <v/>
      </c>
      <c r="AZ389" s="43" t="str">
        <f ca="1">IFERROR(__xludf.DUMMYFUNCTION("IFERROR(VLOOKUP(E406&amp;F406,IMPORTRANGE(""https://docs.google.com/spreadsheets/d/1Uw7-A9f9R21vMXxHZFNpYNeKFtG8_yji4HS352LGlSQ/edit?pli=1#gid=0"",""1_ACUM!A4:S""),14,FALSE))"),"")</f>
        <v/>
      </c>
      <c r="BA389" s="43" t="str">
        <f ca="1">IFERROR(__xludf.DUMMYFUNCTION("IFERROR(VLOOKUP(E406&amp;F406,IMPORTRANGE(""https://docs.google.com/spreadsheets/d/1Uw7-A9f9R21vMXxHZFNpYNeKFtG8_yji4HS352LGlSQ/edit?pli=1#gid=0"",""1_ACUM!A4:S""),15,FALSE))"),"")</f>
        <v/>
      </c>
      <c r="BB389" s="43" t="str">
        <f ca="1">IFERROR(__xludf.DUMMYFUNCTION("IFERROR(VLOOKUP(E406&amp;F406,IMPORTRANGE(""https://docs.google.com/spreadsheets/d/1Uw7-A9f9R21vMXxHZFNpYNeKFtG8_yji4HS352LGlSQ/edit?pli=1#gid=0"",""1_ACUM!A4:S""),16,FALSE))"),"")</f>
        <v/>
      </c>
      <c r="BC389" s="43" t="str">
        <f ca="1">IFERROR(__xludf.DUMMYFUNCTION("IFERROR(VLOOKUP(E406&amp;F406,IMPORTRANGE(""https://docs.google.com/spreadsheets/d/1Uw7-A9f9R21vMXxHZFNpYNeKFtG8_yji4HS352LGlSQ/edit?pli=1#gid=0"",""1_ACUM!A4:S""),17,FALSE))"),"")</f>
        <v/>
      </c>
      <c r="BD389" s="44" t="str">
        <f ca="1">IFERROR(__xludf.DUMMYFUNCTION("IFERROR(VLOOKUP(E406&amp;F406,IMPORTRANGE(""https://docs.google.com/spreadsheets/d/1Uw7-A9f9R21vMXxHZFNpYNeKFtG8_yji4HS352LGlSQ/edit?pli=1#gid=0"",""1_ACUM!A4:S""),18,FALSE))"),"")</f>
        <v/>
      </c>
      <c r="BE389" s="44" t="str">
        <f ca="1">IFERROR(__xludf.DUMMYFUNCTION("IFERROR(VLOOKUP(E406&amp;F406,IMPORTRANGE(""https://docs.google.com/spreadsheets/d/1Uw7-A9f9R21vMXxHZFNpYNeKFtG8_yji4HS352LGlSQ/edit?pli=1#gid=0"",""1_ACUM!A4:S""),19,FALSE))"),"")</f>
        <v/>
      </c>
      <c r="BF389" s="44" t="str">
        <f ca="1">IFERROR(__xludf.DUMMYFUNCTION("IFERROR(VLOOKUP(F406,IMPORTRANGE(""https://docs.google.com/spreadsheets/d/1Kvs4KS76FHFqLFIZfrDMff4kP08nblUkihrxltoGBjg/edit#gid=934712705"",""ESENCIAL!A6:BG""),5,FALSE))"),"")</f>
        <v/>
      </c>
      <c r="BG389" s="44" t="str">
        <f t="shared" si="37"/>
        <v/>
      </c>
      <c r="BH389" s="41" t="str">
        <f t="shared" si="38"/>
        <v/>
      </c>
      <c r="BI389" s="41" t="str">
        <f ca="1">IFERROR(__xludf.DUMMYFUNCTION("IFERROR(VLOOKUP(F406,IMPORTRANGE(""https://docs.google.com/spreadsheets/d/1Kvs4KS76FHFqLFIZfrDMff4kP08nblUkihrxltoGBjg/edit#gid=934712705"",""ESENCIAL!A6:BG""),18,FALSE))"),"")</f>
        <v/>
      </c>
      <c r="BJ389" s="19" t="str">
        <f t="shared" si="39"/>
        <v/>
      </c>
      <c r="BK389" s="41"/>
      <c r="BL389" s="41"/>
    </row>
    <row r="390" spans="1:64" ht="15">
      <c r="A390" s="4"/>
      <c r="B390" s="4"/>
      <c r="G390" s="5" t="str">
        <f ca="1">IFERROR(__xludf.DUMMYFUNCTION("IFERROR(VLOOKUP(F407,IMPORTRANGE(""https://docs.google.com/spreadsheets/d/1Kvs4KS76FHFqLFIZfrDMff4kP08nblUkihrxltoGBjg/edit#gid=934712705"",""ESENCIAL!A6:BG""),3,FALSE))"),"")</f>
        <v/>
      </c>
      <c r="H390" s="5" t="str">
        <f ca="1">IFERROR(__xludf.DUMMYFUNCTION("IFERROR(VLOOKUP(F407,IMPORTRANGE(""https://docs.google.com/spreadsheets/d/1Kvs4KS76FHFqLFIZfrDMff4kP08nblUkihrxltoGBjg/edit#gid=934712705"",""ESENCIAL!A6:BG""),8,FALSE))"),"")</f>
        <v/>
      </c>
      <c r="L390" s="287"/>
      <c r="S390"/>
      <c r="AU390" s="41" t="str">
        <f t="shared" si="36"/>
        <v/>
      </c>
      <c r="AV390" s="5" t="str">
        <f ca="1">IFERROR(__xludf.DUMMYFUNCTION("IFERROR(VLOOKUP(E407&amp;F407,IMPORTRANGE(""https://docs.google.com/spreadsheets/d/1Uw7-A9f9R21vMXxHZFNpYNeKFtG8_yji4HS352LGlSQ/edit?pli=1#gid=0"",""1_ACUM!A4:S""),11,FALSE))"),"")</f>
        <v/>
      </c>
      <c r="AW390" s="42" t="str">
        <f ca="1">IFERROR(__xludf.DUMMYFUNCTION("IFERROR(VLOOKUP(F407,IMPORTRANGE(""https://docs.google.com/spreadsheets/d/1Kvs4KS76FHFqLFIZfrDMff4kP08nblUkihrxltoGBjg/edit#gid=934712705"",""ESENCIAL!A6:BG""),15,FALSE))"),"")</f>
        <v/>
      </c>
      <c r="AX390" s="21" t="str">
        <f ca="1">IFERROR(__xludf.DUMMYFUNCTION("IFERROR(VLOOKUP(E407&amp;F407,IMPORTRANGE(""https://docs.google.com/spreadsheets/d/1Uw7-A9f9R21vMXxHZFNpYNeKFtG8_yji4HS352LGlSQ/edit?pli=1#gid=0"",""1_ACUM!A4:S""),12,FALSE))"),"")</f>
        <v/>
      </c>
      <c r="AY390" s="43" t="str">
        <f ca="1">IFERROR(__xludf.DUMMYFUNCTION("IFERROR(VLOOKUP(E407&amp;F407,IMPORTRANGE(""https://docs.google.com/spreadsheets/d/1Uw7-A9f9R21vMXxHZFNpYNeKFtG8_yji4HS352LGlSQ/edit?pli=1#gid=0"",""1_ACUM!A4:S""),13,FALSE))"),"")</f>
        <v/>
      </c>
      <c r="AZ390" s="43" t="str">
        <f ca="1">IFERROR(__xludf.DUMMYFUNCTION("IFERROR(VLOOKUP(E407&amp;F407,IMPORTRANGE(""https://docs.google.com/spreadsheets/d/1Uw7-A9f9R21vMXxHZFNpYNeKFtG8_yji4HS352LGlSQ/edit?pli=1#gid=0"",""1_ACUM!A4:S""),14,FALSE))"),"")</f>
        <v/>
      </c>
      <c r="BA390" s="43" t="str">
        <f ca="1">IFERROR(__xludf.DUMMYFUNCTION("IFERROR(VLOOKUP(E407&amp;F407,IMPORTRANGE(""https://docs.google.com/spreadsheets/d/1Uw7-A9f9R21vMXxHZFNpYNeKFtG8_yji4HS352LGlSQ/edit?pli=1#gid=0"",""1_ACUM!A4:S""),15,FALSE))"),"")</f>
        <v/>
      </c>
      <c r="BB390" s="43" t="str">
        <f ca="1">IFERROR(__xludf.DUMMYFUNCTION("IFERROR(VLOOKUP(E407&amp;F407,IMPORTRANGE(""https://docs.google.com/spreadsheets/d/1Uw7-A9f9R21vMXxHZFNpYNeKFtG8_yji4HS352LGlSQ/edit?pli=1#gid=0"",""1_ACUM!A4:S""),16,FALSE))"),"")</f>
        <v/>
      </c>
      <c r="BC390" s="43" t="str">
        <f ca="1">IFERROR(__xludf.DUMMYFUNCTION("IFERROR(VLOOKUP(E407&amp;F407,IMPORTRANGE(""https://docs.google.com/spreadsheets/d/1Uw7-A9f9R21vMXxHZFNpYNeKFtG8_yji4HS352LGlSQ/edit?pli=1#gid=0"",""1_ACUM!A4:S""),17,FALSE))"),"")</f>
        <v/>
      </c>
      <c r="BD390" s="44" t="str">
        <f ca="1">IFERROR(__xludf.DUMMYFUNCTION("IFERROR(VLOOKUP(E407&amp;F407,IMPORTRANGE(""https://docs.google.com/spreadsheets/d/1Uw7-A9f9R21vMXxHZFNpYNeKFtG8_yji4HS352LGlSQ/edit?pli=1#gid=0"",""1_ACUM!A4:S""),18,FALSE))"),"")</f>
        <v/>
      </c>
      <c r="BE390" s="44" t="str">
        <f ca="1">IFERROR(__xludf.DUMMYFUNCTION("IFERROR(VLOOKUP(E407&amp;F407,IMPORTRANGE(""https://docs.google.com/spreadsheets/d/1Uw7-A9f9R21vMXxHZFNpYNeKFtG8_yji4HS352LGlSQ/edit?pli=1#gid=0"",""1_ACUM!A4:S""),19,FALSE))"),"")</f>
        <v/>
      </c>
      <c r="BF390" s="44" t="str">
        <f ca="1">IFERROR(__xludf.DUMMYFUNCTION("IFERROR(VLOOKUP(F407,IMPORTRANGE(""https://docs.google.com/spreadsheets/d/1Kvs4KS76FHFqLFIZfrDMff4kP08nblUkihrxltoGBjg/edit#gid=934712705"",""ESENCIAL!A6:BG""),5,FALSE))"),"")</f>
        <v/>
      </c>
      <c r="BG390" s="44" t="str">
        <f t="shared" si="37"/>
        <v/>
      </c>
      <c r="BH390" s="41" t="str">
        <f t="shared" si="38"/>
        <v/>
      </c>
      <c r="BI390" s="41" t="str">
        <f ca="1">IFERROR(__xludf.DUMMYFUNCTION("IFERROR(VLOOKUP(F407,IMPORTRANGE(""https://docs.google.com/spreadsheets/d/1Kvs4KS76FHFqLFIZfrDMff4kP08nblUkihrxltoGBjg/edit#gid=934712705"",""ESENCIAL!A6:BG""),18,FALSE))"),"")</f>
        <v/>
      </c>
      <c r="BJ390" s="19" t="str">
        <f t="shared" si="39"/>
        <v/>
      </c>
      <c r="BK390" s="41"/>
      <c r="BL390" s="41"/>
    </row>
    <row r="391" spans="1:64" ht="15">
      <c r="A391" s="4"/>
      <c r="B391" s="4"/>
      <c r="G391" s="5" t="str">
        <f ca="1">IFERROR(__xludf.DUMMYFUNCTION("IFERROR(VLOOKUP(F408,IMPORTRANGE(""https://docs.google.com/spreadsheets/d/1Kvs4KS76FHFqLFIZfrDMff4kP08nblUkihrxltoGBjg/edit#gid=934712705"",""ESENCIAL!A6:BG""),3,FALSE))"),"")</f>
        <v/>
      </c>
      <c r="H391" s="5" t="str">
        <f ca="1">IFERROR(__xludf.DUMMYFUNCTION("IFERROR(VLOOKUP(F408,IMPORTRANGE(""https://docs.google.com/spreadsheets/d/1Kvs4KS76FHFqLFIZfrDMff4kP08nblUkihrxltoGBjg/edit#gid=934712705"",""ESENCIAL!A6:BG""),8,FALSE))"),"")</f>
        <v/>
      </c>
      <c r="L391" s="287"/>
      <c r="S391"/>
      <c r="AU391" s="41" t="str">
        <f t="shared" si="36"/>
        <v/>
      </c>
      <c r="AV391" s="5" t="str">
        <f ca="1">IFERROR(__xludf.DUMMYFUNCTION("IFERROR(VLOOKUP(E408&amp;F408,IMPORTRANGE(""https://docs.google.com/spreadsheets/d/1Uw7-A9f9R21vMXxHZFNpYNeKFtG8_yji4HS352LGlSQ/edit?pli=1#gid=0"",""1_ACUM!A4:S""),11,FALSE))"),"")</f>
        <v/>
      </c>
      <c r="AW391" s="42" t="str">
        <f ca="1">IFERROR(__xludf.DUMMYFUNCTION("IFERROR(VLOOKUP(F408,IMPORTRANGE(""https://docs.google.com/spreadsheets/d/1Kvs4KS76FHFqLFIZfrDMff4kP08nblUkihrxltoGBjg/edit#gid=934712705"",""ESENCIAL!A6:BG""),15,FALSE))"),"")</f>
        <v/>
      </c>
      <c r="AX391" s="21" t="str">
        <f ca="1">IFERROR(__xludf.DUMMYFUNCTION("IFERROR(VLOOKUP(E408&amp;F408,IMPORTRANGE(""https://docs.google.com/spreadsheets/d/1Uw7-A9f9R21vMXxHZFNpYNeKFtG8_yji4HS352LGlSQ/edit?pli=1#gid=0"",""1_ACUM!A4:S""),12,FALSE))"),"")</f>
        <v/>
      </c>
      <c r="AY391" s="43" t="str">
        <f ca="1">IFERROR(__xludf.DUMMYFUNCTION("IFERROR(VLOOKUP(E408&amp;F408,IMPORTRANGE(""https://docs.google.com/spreadsheets/d/1Uw7-A9f9R21vMXxHZFNpYNeKFtG8_yji4HS352LGlSQ/edit?pli=1#gid=0"",""1_ACUM!A4:S""),13,FALSE))"),"")</f>
        <v/>
      </c>
      <c r="AZ391" s="43" t="str">
        <f ca="1">IFERROR(__xludf.DUMMYFUNCTION("IFERROR(VLOOKUP(E408&amp;F408,IMPORTRANGE(""https://docs.google.com/spreadsheets/d/1Uw7-A9f9R21vMXxHZFNpYNeKFtG8_yji4HS352LGlSQ/edit?pli=1#gid=0"",""1_ACUM!A4:S""),14,FALSE))"),"")</f>
        <v/>
      </c>
      <c r="BA391" s="43" t="str">
        <f ca="1">IFERROR(__xludf.DUMMYFUNCTION("IFERROR(VLOOKUP(E408&amp;F408,IMPORTRANGE(""https://docs.google.com/spreadsheets/d/1Uw7-A9f9R21vMXxHZFNpYNeKFtG8_yji4HS352LGlSQ/edit?pli=1#gid=0"",""1_ACUM!A4:S""),15,FALSE))"),"")</f>
        <v/>
      </c>
      <c r="BB391" s="43" t="str">
        <f ca="1">IFERROR(__xludf.DUMMYFUNCTION("IFERROR(VLOOKUP(E408&amp;F408,IMPORTRANGE(""https://docs.google.com/spreadsheets/d/1Uw7-A9f9R21vMXxHZFNpYNeKFtG8_yji4HS352LGlSQ/edit?pli=1#gid=0"",""1_ACUM!A4:S""),16,FALSE))"),"")</f>
        <v/>
      </c>
      <c r="BC391" s="43" t="str">
        <f ca="1">IFERROR(__xludf.DUMMYFUNCTION("IFERROR(VLOOKUP(E408&amp;F408,IMPORTRANGE(""https://docs.google.com/spreadsheets/d/1Uw7-A9f9R21vMXxHZFNpYNeKFtG8_yji4HS352LGlSQ/edit?pli=1#gid=0"",""1_ACUM!A4:S""),17,FALSE))"),"")</f>
        <v/>
      </c>
      <c r="BD391" s="44" t="str">
        <f ca="1">IFERROR(__xludf.DUMMYFUNCTION("IFERROR(VLOOKUP(E408&amp;F408,IMPORTRANGE(""https://docs.google.com/spreadsheets/d/1Uw7-A9f9R21vMXxHZFNpYNeKFtG8_yji4HS352LGlSQ/edit?pli=1#gid=0"",""1_ACUM!A4:S""),18,FALSE))"),"")</f>
        <v/>
      </c>
      <c r="BE391" s="44" t="str">
        <f ca="1">IFERROR(__xludf.DUMMYFUNCTION("IFERROR(VLOOKUP(E408&amp;F408,IMPORTRANGE(""https://docs.google.com/spreadsheets/d/1Uw7-A9f9R21vMXxHZFNpYNeKFtG8_yji4HS352LGlSQ/edit?pli=1#gid=0"",""1_ACUM!A4:S""),19,FALSE))"),"")</f>
        <v/>
      </c>
      <c r="BF391" s="44" t="str">
        <f ca="1">IFERROR(__xludf.DUMMYFUNCTION("IFERROR(VLOOKUP(F408,IMPORTRANGE(""https://docs.google.com/spreadsheets/d/1Kvs4KS76FHFqLFIZfrDMff4kP08nblUkihrxltoGBjg/edit#gid=934712705"",""ESENCIAL!A6:BG""),5,FALSE))"),"")</f>
        <v/>
      </c>
      <c r="BG391" s="44" t="str">
        <f t="shared" si="37"/>
        <v/>
      </c>
      <c r="BH391" s="41" t="str">
        <f t="shared" si="38"/>
        <v/>
      </c>
      <c r="BI391" s="41" t="str">
        <f ca="1">IFERROR(__xludf.DUMMYFUNCTION("IFERROR(VLOOKUP(F408,IMPORTRANGE(""https://docs.google.com/spreadsheets/d/1Kvs4KS76FHFqLFIZfrDMff4kP08nblUkihrxltoGBjg/edit#gid=934712705"",""ESENCIAL!A6:BG""),18,FALSE))"),"")</f>
        <v/>
      </c>
      <c r="BJ391" s="19" t="str">
        <f t="shared" si="39"/>
        <v/>
      </c>
      <c r="BK391" s="41"/>
      <c r="BL391" s="41"/>
    </row>
    <row r="392" spans="1:64" ht="15">
      <c r="A392" s="4"/>
      <c r="B392" s="4"/>
      <c r="G392" s="5" t="str">
        <f ca="1">IFERROR(__xludf.DUMMYFUNCTION("IFERROR(VLOOKUP(F409,IMPORTRANGE(""https://docs.google.com/spreadsheets/d/1Kvs4KS76FHFqLFIZfrDMff4kP08nblUkihrxltoGBjg/edit#gid=934712705"",""ESENCIAL!A6:BG""),3,FALSE))"),"")</f>
        <v/>
      </c>
      <c r="H392" s="5" t="str">
        <f ca="1">IFERROR(__xludf.DUMMYFUNCTION("IFERROR(VLOOKUP(F409,IMPORTRANGE(""https://docs.google.com/spreadsheets/d/1Kvs4KS76FHFqLFIZfrDMff4kP08nblUkihrxltoGBjg/edit#gid=934712705"",""ESENCIAL!A6:BG""),8,FALSE))"),"")</f>
        <v/>
      </c>
      <c r="L392" s="287"/>
      <c r="S392"/>
      <c r="AU392" s="41" t="str">
        <f t="shared" si="36"/>
        <v/>
      </c>
      <c r="AV392" s="5" t="str">
        <f ca="1">IFERROR(__xludf.DUMMYFUNCTION("IFERROR(VLOOKUP(E409&amp;F409,IMPORTRANGE(""https://docs.google.com/spreadsheets/d/1Uw7-A9f9R21vMXxHZFNpYNeKFtG8_yji4HS352LGlSQ/edit?pli=1#gid=0"",""1_ACUM!A4:S""),11,FALSE))"),"")</f>
        <v/>
      </c>
      <c r="AW392" s="42" t="str">
        <f ca="1">IFERROR(__xludf.DUMMYFUNCTION("IFERROR(VLOOKUP(F409,IMPORTRANGE(""https://docs.google.com/spreadsheets/d/1Kvs4KS76FHFqLFIZfrDMff4kP08nblUkihrxltoGBjg/edit#gid=934712705"",""ESENCIAL!A6:BG""),15,FALSE))"),"")</f>
        <v/>
      </c>
      <c r="AX392" s="21" t="str">
        <f ca="1">IFERROR(__xludf.DUMMYFUNCTION("IFERROR(VLOOKUP(E409&amp;F409,IMPORTRANGE(""https://docs.google.com/spreadsheets/d/1Uw7-A9f9R21vMXxHZFNpYNeKFtG8_yji4HS352LGlSQ/edit?pli=1#gid=0"",""1_ACUM!A4:S""),12,FALSE))"),"")</f>
        <v/>
      </c>
      <c r="AY392" s="43" t="str">
        <f ca="1">IFERROR(__xludf.DUMMYFUNCTION("IFERROR(VLOOKUP(E409&amp;F409,IMPORTRANGE(""https://docs.google.com/spreadsheets/d/1Uw7-A9f9R21vMXxHZFNpYNeKFtG8_yji4HS352LGlSQ/edit?pli=1#gid=0"",""1_ACUM!A4:S""),13,FALSE))"),"")</f>
        <v/>
      </c>
      <c r="AZ392" s="43" t="str">
        <f ca="1">IFERROR(__xludf.DUMMYFUNCTION("IFERROR(VLOOKUP(E409&amp;F409,IMPORTRANGE(""https://docs.google.com/spreadsheets/d/1Uw7-A9f9R21vMXxHZFNpYNeKFtG8_yji4HS352LGlSQ/edit?pli=1#gid=0"",""1_ACUM!A4:S""),14,FALSE))"),"")</f>
        <v/>
      </c>
      <c r="BA392" s="43" t="str">
        <f ca="1">IFERROR(__xludf.DUMMYFUNCTION("IFERROR(VLOOKUP(E409&amp;F409,IMPORTRANGE(""https://docs.google.com/spreadsheets/d/1Uw7-A9f9R21vMXxHZFNpYNeKFtG8_yji4HS352LGlSQ/edit?pli=1#gid=0"",""1_ACUM!A4:S""),15,FALSE))"),"")</f>
        <v/>
      </c>
      <c r="BB392" s="43" t="str">
        <f ca="1">IFERROR(__xludf.DUMMYFUNCTION("IFERROR(VLOOKUP(E409&amp;F409,IMPORTRANGE(""https://docs.google.com/spreadsheets/d/1Uw7-A9f9R21vMXxHZFNpYNeKFtG8_yji4HS352LGlSQ/edit?pli=1#gid=0"",""1_ACUM!A4:S""),16,FALSE))"),"")</f>
        <v/>
      </c>
      <c r="BC392" s="43" t="str">
        <f ca="1">IFERROR(__xludf.DUMMYFUNCTION("IFERROR(VLOOKUP(E409&amp;F409,IMPORTRANGE(""https://docs.google.com/spreadsheets/d/1Uw7-A9f9R21vMXxHZFNpYNeKFtG8_yji4HS352LGlSQ/edit?pli=1#gid=0"",""1_ACUM!A4:S""),17,FALSE))"),"")</f>
        <v/>
      </c>
      <c r="BD392" s="44" t="str">
        <f ca="1">IFERROR(__xludf.DUMMYFUNCTION("IFERROR(VLOOKUP(E409&amp;F409,IMPORTRANGE(""https://docs.google.com/spreadsheets/d/1Uw7-A9f9R21vMXxHZFNpYNeKFtG8_yji4HS352LGlSQ/edit?pli=1#gid=0"",""1_ACUM!A4:S""),18,FALSE))"),"")</f>
        <v/>
      </c>
      <c r="BE392" s="44" t="str">
        <f ca="1">IFERROR(__xludf.DUMMYFUNCTION("IFERROR(VLOOKUP(E409&amp;F409,IMPORTRANGE(""https://docs.google.com/spreadsheets/d/1Uw7-A9f9R21vMXxHZFNpYNeKFtG8_yji4HS352LGlSQ/edit?pli=1#gid=0"",""1_ACUM!A4:S""),19,FALSE))"),"")</f>
        <v/>
      </c>
      <c r="BF392" s="44" t="str">
        <f ca="1">IFERROR(__xludf.DUMMYFUNCTION("IFERROR(VLOOKUP(F409,IMPORTRANGE(""https://docs.google.com/spreadsheets/d/1Kvs4KS76FHFqLFIZfrDMff4kP08nblUkihrxltoGBjg/edit#gid=934712705"",""ESENCIAL!A6:BG""),5,FALSE))"),"")</f>
        <v/>
      </c>
      <c r="BG392" s="44" t="str">
        <f t="shared" si="37"/>
        <v/>
      </c>
      <c r="BH392" s="41" t="str">
        <f t="shared" si="38"/>
        <v/>
      </c>
      <c r="BI392" s="41" t="str">
        <f ca="1">IFERROR(__xludf.DUMMYFUNCTION("IFERROR(VLOOKUP(F409,IMPORTRANGE(""https://docs.google.com/spreadsheets/d/1Kvs4KS76FHFqLFIZfrDMff4kP08nblUkihrxltoGBjg/edit#gid=934712705"",""ESENCIAL!A6:BG""),18,FALSE))"),"")</f>
        <v/>
      </c>
      <c r="BJ392" s="19" t="str">
        <f t="shared" si="39"/>
        <v/>
      </c>
      <c r="BK392" s="41"/>
      <c r="BL392" s="41"/>
    </row>
    <row r="393" spans="1:64" ht="15">
      <c r="A393" s="4"/>
      <c r="B393" s="4"/>
      <c r="G393" s="5" t="str">
        <f ca="1">IFERROR(__xludf.DUMMYFUNCTION("IFERROR(VLOOKUP(F410,IMPORTRANGE(""https://docs.google.com/spreadsheets/d/1Kvs4KS76FHFqLFIZfrDMff4kP08nblUkihrxltoGBjg/edit#gid=934712705"",""ESENCIAL!A6:BG""),3,FALSE))"),"")</f>
        <v/>
      </c>
      <c r="H393" s="5" t="str">
        <f ca="1">IFERROR(__xludf.DUMMYFUNCTION("IFERROR(VLOOKUP(F410,IMPORTRANGE(""https://docs.google.com/spreadsheets/d/1Kvs4KS76FHFqLFIZfrDMff4kP08nblUkihrxltoGBjg/edit#gid=934712705"",""ESENCIAL!A6:BG""),8,FALSE))"),"")</f>
        <v/>
      </c>
      <c r="L393" s="287"/>
      <c r="S393"/>
      <c r="AU393" s="41" t="str">
        <f t="shared" si="36"/>
        <v/>
      </c>
      <c r="AV393" s="5" t="str">
        <f ca="1">IFERROR(__xludf.DUMMYFUNCTION("IFERROR(VLOOKUP(E410&amp;F410,IMPORTRANGE(""https://docs.google.com/spreadsheets/d/1Uw7-A9f9R21vMXxHZFNpYNeKFtG8_yji4HS352LGlSQ/edit?pli=1#gid=0"",""1_ACUM!A4:S""),11,FALSE))"),"")</f>
        <v/>
      </c>
      <c r="AW393" s="42" t="str">
        <f ca="1">IFERROR(__xludf.DUMMYFUNCTION("IFERROR(VLOOKUP(F410,IMPORTRANGE(""https://docs.google.com/spreadsheets/d/1Kvs4KS76FHFqLFIZfrDMff4kP08nblUkihrxltoGBjg/edit#gid=934712705"",""ESENCIAL!A6:BG""),15,FALSE))"),"")</f>
        <v/>
      </c>
      <c r="AX393" s="21" t="str">
        <f ca="1">IFERROR(__xludf.DUMMYFUNCTION("IFERROR(VLOOKUP(E410&amp;F410,IMPORTRANGE(""https://docs.google.com/spreadsheets/d/1Uw7-A9f9R21vMXxHZFNpYNeKFtG8_yji4HS352LGlSQ/edit?pli=1#gid=0"",""1_ACUM!A4:S""),12,FALSE))"),"")</f>
        <v/>
      </c>
      <c r="AY393" s="43" t="str">
        <f ca="1">IFERROR(__xludf.DUMMYFUNCTION("IFERROR(VLOOKUP(E410&amp;F410,IMPORTRANGE(""https://docs.google.com/spreadsheets/d/1Uw7-A9f9R21vMXxHZFNpYNeKFtG8_yji4HS352LGlSQ/edit?pli=1#gid=0"",""1_ACUM!A4:S""),13,FALSE))"),"")</f>
        <v/>
      </c>
      <c r="AZ393" s="43" t="str">
        <f ca="1">IFERROR(__xludf.DUMMYFUNCTION("IFERROR(VLOOKUP(E410&amp;F410,IMPORTRANGE(""https://docs.google.com/spreadsheets/d/1Uw7-A9f9R21vMXxHZFNpYNeKFtG8_yji4HS352LGlSQ/edit?pli=1#gid=0"",""1_ACUM!A4:S""),14,FALSE))"),"")</f>
        <v/>
      </c>
      <c r="BA393" s="43" t="str">
        <f ca="1">IFERROR(__xludf.DUMMYFUNCTION("IFERROR(VLOOKUP(E410&amp;F410,IMPORTRANGE(""https://docs.google.com/spreadsheets/d/1Uw7-A9f9R21vMXxHZFNpYNeKFtG8_yji4HS352LGlSQ/edit?pli=1#gid=0"",""1_ACUM!A4:S""),15,FALSE))"),"")</f>
        <v/>
      </c>
      <c r="BB393" s="43" t="str">
        <f ca="1">IFERROR(__xludf.DUMMYFUNCTION("IFERROR(VLOOKUP(E410&amp;F410,IMPORTRANGE(""https://docs.google.com/spreadsheets/d/1Uw7-A9f9R21vMXxHZFNpYNeKFtG8_yji4HS352LGlSQ/edit?pli=1#gid=0"",""1_ACUM!A4:S""),16,FALSE))"),"")</f>
        <v/>
      </c>
      <c r="BC393" s="43" t="str">
        <f ca="1">IFERROR(__xludf.DUMMYFUNCTION("IFERROR(VLOOKUP(E410&amp;F410,IMPORTRANGE(""https://docs.google.com/spreadsheets/d/1Uw7-A9f9R21vMXxHZFNpYNeKFtG8_yji4HS352LGlSQ/edit?pli=1#gid=0"",""1_ACUM!A4:S""),17,FALSE))"),"")</f>
        <v/>
      </c>
      <c r="BD393" s="44" t="str">
        <f ca="1">IFERROR(__xludf.DUMMYFUNCTION("IFERROR(VLOOKUP(E410&amp;F410,IMPORTRANGE(""https://docs.google.com/spreadsheets/d/1Uw7-A9f9R21vMXxHZFNpYNeKFtG8_yji4HS352LGlSQ/edit?pli=1#gid=0"",""1_ACUM!A4:S""),18,FALSE))"),"")</f>
        <v/>
      </c>
      <c r="BE393" s="44" t="str">
        <f ca="1">IFERROR(__xludf.DUMMYFUNCTION("IFERROR(VLOOKUP(E410&amp;F410,IMPORTRANGE(""https://docs.google.com/spreadsheets/d/1Uw7-A9f9R21vMXxHZFNpYNeKFtG8_yji4HS352LGlSQ/edit?pli=1#gid=0"",""1_ACUM!A4:S""),19,FALSE))"),"")</f>
        <v/>
      </c>
      <c r="BF393" s="44" t="str">
        <f ca="1">IFERROR(__xludf.DUMMYFUNCTION("IFERROR(VLOOKUP(F410,IMPORTRANGE(""https://docs.google.com/spreadsheets/d/1Kvs4KS76FHFqLFIZfrDMff4kP08nblUkihrxltoGBjg/edit#gid=934712705"",""ESENCIAL!A6:BG""),5,FALSE))"),"")</f>
        <v/>
      </c>
      <c r="BG393" s="44" t="str">
        <f t="shared" si="37"/>
        <v/>
      </c>
      <c r="BH393" s="41" t="str">
        <f t="shared" si="38"/>
        <v/>
      </c>
      <c r="BI393" s="41" t="str">
        <f ca="1">IFERROR(__xludf.DUMMYFUNCTION("IFERROR(VLOOKUP(F410,IMPORTRANGE(""https://docs.google.com/spreadsheets/d/1Kvs4KS76FHFqLFIZfrDMff4kP08nblUkihrxltoGBjg/edit#gid=934712705"",""ESENCIAL!A6:BG""),18,FALSE))"),"")</f>
        <v/>
      </c>
      <c r="BJ393" s="19" t="str">
        <f t="shared" si="39"/>
        <v/>
      </c>
      <c r="BK393" s="41"/>
      <c r="BL393" s="41"/>
    </row>
    <row r="394" spans="1:64" ht="15">
      <c r="A394" s="4"/>
      <c r="B394" s="4"/>
      <c r="G394" s="5" t="str">
        <f ca="1">IFERROR(__xludf.DUMMYFUNCTION("IFERROR(VLOOKUP(F411,IMPORTRANGE(""https://docs.google.com/spreadsheets/d/1Kvs4KS76FHFqLFIZfrDMff4kP08nblUkihrxltoGBjg/edit#gid=934712705"",""ESENCIAL!A6:BG""),3,FALSE))"),"")</f>
        <v/>
      </c>
      <c r="H394" s="5" t="str">
        <f ca="1">IFERROR(__xludf.DUMMYFUNCTION("IFERROR(VLOOKUP(F411,IMPORTRANGE(""https://docs.google.com/spreadsheets/d/1Kvs4KS76FHFqLFIZfrDMff4kP08nblUkihrxltoGBjg/edit#gid=934712705"",""ESENCIAL!A6:BG""),8,FALSE))"),"")</f>
        <v/>
      </c>
      <c r="L394" s="287"/>
      <c r="S394"/>
      <c r="AU394" s="41" t="str">
        <f t="shared" si="36"/>
        <v/>
      </c>
      <c r="AV394" s="5" t="str">
        <f ca="1">IFERROR(__xludf.DUMMYFUNCTION("IFERROR(VLOOKUP(E411&amp;F411,IMPORTRANGE(""https://docs.google.com/spreadsheets/d/1Uw7-A9f9R21vMXxHZFNpYNeKFtG8_yji4HS352LGlSQ/edit?pli=1#gid=0"",""1_ACUM!A4:S""),11,FALSE))"),"")</f>
        <v/>
      </c>
      <c r="AW394" s="42" t="str">
        <f ca="1">IFERROR(__xludf.DUMMYFUNCTION("IFERROR(VLOOKUP(F411,IMPORTRANGE(""https://docs.google.com/spreadsheets/d/1Kvs4KS76FHFqLFIZfrDMff4kP08nblUkihrxltoGBjg/edit#gid=934712705"",""ESENCIAL!A6:BG""),15,FALSE))"),"")</f>
        <v/>
      </c>
      <c r="AX394" s="21" t="str">
        <f ca="1">IFERROR(__xludf.DUMMYFUNCTION("IFERROR(VLOOKUP(E411&amp;F411,IMPORTRANGE(""https://docs.google.com/spreadsheets/d/1Uw7-A9f9R21vMXxHZFNpYNeKFtG8_yji4HS352LGlSQ/edit?pli=1#gid=0"",""1_ACUM!A4:S""),12,FALSE))"),"")</f>
        <v/>
      </c>
      <c r="AY394" s="43" t="str">
        <f ca="1">IFERROR(__xludf.DUMMYFUNCTION("IFERROR(VLOOKUP(E411&amp;F411,IMPORTRANGE(""https://docs.google.com/spreadsheets/d/1Uw7-A9f9R21vMXxHZFNpYNeKFtG8_yji4HS352LGlSQ/edit?pli=1#gid=0"",""1_ACUM!A4:S""),13,FALSE))"),"")</f>
        <v/>
      </c>
      <c r="AZ394" s="43" t="str">
        <f ca="1">IFERROR(__xludf.DUMMYFUNCTION("IFERROR(VLOOKUP(E411&amp;F411,IMPORTRANGE(""https://docs.google.com/spreadsheets/d/1Uw7-A9f9R21vMXxHZFNpYNeKFtG8_yji4HS352LGlSQ/edit?pli=1#gid=0"",""1_ACUM!A4:S""),14,FALSE))"),"")</f>
        <v/>
      </c>
      <c r="BA394" s="43" t="str">
        <f ca="1">IFERROR(__xludf.DUMMYFUNCTION("IFERROR(VLOOKUP(E411&amp;F411,IMPORTRANGE(""https://docs.google.com/spreadsheets/d/1Uw7-A9f9R21vMXxHZFNpYNeKFtG8_yji4HS352LGlSQ/edit?pli=1#gid=0"",""1_ACUM!A4:S""),15,FALSE))"),"")</f>
        <v/>
      </c>
      <c r="BB394" s="43" t="str">
        <f ca="1">IFERROR(__xludf.DUMMYFUNCTION("IFERROR(VLOOKUP(E411&amp;F411,IMPORTRANGE(""https://docs.google.com/spreadsheets/d/1Uw7-A9f9R21vMXxHZFNpYNeKFtG8_yji4HS352LGlSQ/edit?pli=1#gid=0"",""1_ACUM!A4:S""),16,FALSE))"),"")</f>
        <v/>
      </c>
      <c r="BC394" s="43" t="str">
        <f ca="1">IFERROR(__xludf.DUMMYFUNCTION("IFERROR(VLOOKUP(E411&amp;F411,IMPORTRANGE(""https://docs.google.com/spreadsheets/d/1Uw7-A9f9R21vMXxHZFNpYNeKFtG8_yji4HS352LGlSQ/edit?pli=1#gid=0"",""1_ACUM!A4:S""),17,FALSE))"),"")</f>
        <v/>
      </c>
      <c r="BD394" s="44" t="str">
        <f ca="1">IFERROR(__xludf.DUMMYFUNCTION("IFERROR(VLOOKUP(E411&amp;F411,IMPORTRANGE(""https://docs.google.com/spreadsheets/d/1Uw7-A9f9R21vMXxHZFNpYNeKFtG8_yji4HS352LGlSQ/edit?pli=1#gid=0"",""1_ACUM!A4:S""),18,FALSE))"),"")</f>
        <v/>
      </c>
      <c r="BE394" s="44" t="str">
        <f ca="1">IFERROR(__xludf.DUMMYFUNCTION("IFERROR(VLOOKUP(E411&amp;F411,IMPORTRANGE(""https://docs.google.com/spreadsheets/d/1Uw7-A9f9R21vMXxHZFNpYNeKFtG8_yji4HS352LGlSQ/edit?pli=1#gid=0"",""1_ACUM!A4:S""),19,FALSE))"),"")</f>
        <v/>
      </c>
      <c r="BF394" s="44" t="str">
        <f ca="1">IFERROR(__xludf.DUMMYFUNCTION("IFERROR(VLOOKUP(F411,IMPORTRANGE(""https://docs.google.com/spreadsheets/d/1Kvs4KS76FHFqLFIZfrDMff4kP08nblUkihrxltoGBjg/edit#gid=934712705"",""ESENCIAL!A6:BG""),5,FALSE))"),"")</f>
        <v/>
      </c>
      <c r="BG394" s="44" t="str">
        <f t="shared" si="37"/>
        <v/>
      </c>
      <c r="BH394" s="41" t="str">
        <f t="shared" si="38"/>
        <v/>
      </c>
      <c r="BI394" s="41" t="str">
        <f ca="1">IFERROR(__xludf.DUMMYFUNCTION("IFERROR(VLOOKUP(F411,IMPORTRANGE(""https://docs.google.com/spreadsheets/d/1Kvs4KS76FHFqLFIZfrDMff4kP08nblUkihrxltoGBjg/edit#gid=934712705"",""ESENCIAL!A6:BG""),18,FALSE))"),"")</f>
        <v/>
      </c>
      <c r="BJ394" s="19" t="str">
        <f t="shared" si="39"/>
        <v/>
      </c>
      <c r="BK394" s="41"/>
      <c r="BL394" s="41"/>
    </row>
    <row r="395" spans="1:64" ht="15">
      <c r="A395" s="4"/>
      <c r="B395" s="4"/>
      <c r="G395" s="5" t="str">
        <f ca="1">IFERROR(__xludf.DUMMYFUNCTION("IFERROR(VLOOKUP(F412,IMPORTRANGE(""https://docs.google.com/spreadsheets/d/1Kvs4KS76FHFqLFIZfrDMff4kP08nblUkihrxltoGBjg/edit#gid=934712705"",""ESENCIAL!A6:BG""),3,FALSE))"),"")</f>
        <v/>
      </c>
      <c r="H395" s="5" t="str">
        <f ca="1">IFERROR(__xludf.DUMMYFUNCTION("IFERROR(VLOOKUP(F412,IMPORTRANGE(""https://docs.google.com/spreadsheets/d/1Kvs4KS76FHFqLFIZfrDMff4kP08nblUkihrxltoGBjg/edit#gid=934712705"",""ESENCIAL!A6:BG""),8,FALSE))"),"")</f>
        <v/>
      </c>
      <c r="L395" s="287"/>
      <c r="S395"/>
      <c r="AU395" s="41" t="str">
        <f t="shared" si="36"/>
        <v/>
      </c>
      <c r="AV395" s="5" t="str">
        <f ca="1">IFERROR(__xludf.DUMMYFUNCTION("IFERROR(VLOOKUP(E412&amp;F412,IMPORTRANGE(""https://docs.google.com/spreadsheets/d/1Uw7-A9f9R21vMXxHZFNpYNeKFtG8_yji4HS352LGlSQ/edit?pli=1#gid=0"",""1_ACUM!A4:S""),11,FALSE))"),"")</f>
        <v/>
      </c>
      <c r="AW395" s="42" t="str">
        <f ca="1">IFERROR(__xludf.DUMMYFUNCTION("IFERROR(VLOOKUP(F412,IMPORTRANGE(""https://docs.google.com/spreadsheets/d/1Kvs4KS76FHFqLFIZfrDMff4kP08nblUkihrxltoGBjg/edit#gid=934712705"",""ESENCIAL!A6:BG""),15,FALSE))"),"")</f>
        <v/>
      </c>
      <c r="AX395" s="21" t="str">
        <f ca="1">IFERROR(__xludf.DUMMYFUNCTION("IFERROR(VLOOKUP(E412&amp;F412,IMPORTRANGE(""https://docs.google.com/spreadsheets/d/1Uw7-A9f9R21vMXxHZFNpYNeKFtG8_yji4HS352LGlSQ/edit?pli=1#gid=0"",""1_ACUM!A4:S""),12,FALSE))"),"")</f>
        <v/>
      </c>
      <c r="AY395" s="43" t="str">
        <f ca="1">IFERROR(__xludf.DUMMYFUNCTION("IFERROR(VLOOKUP(E412&amp;F412,IMPORTRANGE(""https://docs.google.com/spreadsheets/d/1Uw7-A9f9R21vMXxHZFNpYNeKFtG8_yji4HS352LGlSQ/edit?pli=1#gid=0"",""1_ACUM!A4:S""),13,FALSE))"),"")</f>
        <v/>
      </c>
      <c r="AZ395" s="43" t="str">
        <f ca="1">IFERROR(__xludf.DUMMYFUNCTION("IFERROR(VLOOKUP(E412&amp;F412,IMPORTRANGE(""https://docs.google.com/spreadsheets/d/1Uw7-A9f9R21vMXxHZFNpYNeKFtG8_yji4HS352LGlSQ/edit?pli=1#gid=0"",""1_ACUM!A4:S""),14,FALSE))"),"")</f>
        <v/>
      </c>
      <c r="BA395" s="43" t="str">
        <f ca="1">IFERROR(__xludf.DUMMYFUNCTION("IFERROR(VLOOKUP(E412&amp;F412,IMPORTRANGE(""https://docs.google.com/spreadsheets/d/1Uw7-A9f9R21vMXxHZFNpYNeKFtG8_yji4HS352LGlSQ/edit?pli=1#gid=0"",""1_ACUM!A4:S""),15,FALSE))"),"")</f>
        <v/>
      </c>
      <c r="BB395" s="43" t="str">
        <f ca="1">IFERROR(__xludf.DUMMYFUNCTION("IFERROR(VLOOKUP(E412&amp;F412,IMPORTRANGE(""https://docs.google.com/spreadsheets/d/1Uw7-A9f9R21vMXxHZFNpYNeKFtG8_yji4HS352LGlSQ/edit?pli=1#gid=0"",""1_ACUM!A4:S""),16,FALSE))"),"")</f>
        <v/>
      </c>
      <c r="BC395" s="43" t="str">
        <f ca="1">IFERROR(__xludf.DUMMYFUNCTION("IFERROR(VLOOKUP(E412&amp;F412,IMPORTRANGE(""https://docs.google.com/spreadsheets/d/1Uw7-A9f9R21vMXxHZFNpYNeKFtG8_yji4HS352LGlSQ/edit?pli=1#gid=0"",""1_ACUM!A4:S""),17,FALSE))"),"")</f>
        <v/>
      </c>
      <c r="BD395" s="44" t="str">
        <f ca="1">IFERROR(__xludf.DUMMYFUNCTION("IFERROR(VLOOKUP(E412&amp;F412,IMPORTRANGE(""https://docs.google.com/spreadsheets/d/1Uw7-A9f9R21vMXxHZFNpYNeKFtG8_yji4HS352LGlSQ/edit?pli=1#gid=0"",""1_ACUM!A4:S""),18,FALSE))"),"")</f>
        <v/>
      </c>
      <c r="BE395" s="44" t="str">
        <f ca="1">IFERROR(__xludf.DUMMYFUNCTION("IFERROR(VLOOKUP(E412&amp;F412,IMPORTRANGE(""https://docs.google.com/spreadsheets/d/1Uw7-A9f9R21vMXxHZFNpYNeKFtG8_yji4HS352LGlSQ/edit?pli=1#gid=0"",""1_ACUM!A4:S""),19,FALSE))"),"")</f>
        <v/>
      </c>
      <c r="BF395" s="44" t="str">
        <f ca="1">IFERROR(__xludf.DUMMYFUNCTION("IFERROR(VLOOKUP(F412,IMPORTRANGE(""https://docs.google.com/spreadsheets/d/1Kvs4KS76FHFqLFIZfrDMff4kP08nblUkihrxltoGBjg/edit#gid=934712705"",""ESENCIAL!A6:BG""),5,FALSE))"),"")</f>
        <v/>
      </c>
      <c r="BG395" s="44" t="str">
        <f t="shared" si="37"/>
        <v/>
      </c>
      <c r="BH395" s="41" t="str">
        <f t="shared" si="38"/>
        <v/>
      </c>
      <c r="BI395" s="41" t="str">
        <f ca="1">IFERROR(__xludf.DUMMYFUNCTION("IFERROR(VLOOKUP(F412,IMPORTRANGE(""https://docs.google.com/spreadsheets/d/1Kvs4KS76FHFqLFIZfrDMff4kP08nblUkihrxltoGBjg/edit#gid=934712705"",""ESENCIAL!A6:BG""),18,FALSE))"),"")</f>
        <v/>
      </c>
      <c r="BJ395" s="19" t="str">
        <f t="shared" si="39"/>
        <v/>
      </c>
      <c r="BK395" s="41"/>
      <c r="BL395" s="41"/>
    </row>
    <row r="396" spans="1:64" ht="15">
      <c r="A396" s="4"/>
      <c r="B396" s="4"/>
      <c r="G396" s="5" t="str">
        <f ca="1">IFERROR(__xludf.DUMMYFUNCTION("IFERROR(VLOOKUP(F413,IMPORTRANGE(""https://docs.google.com/spreadsheets/d/1Kvs4KS76FHFqLFIZfrDMff4kP08nblUkihrxltoGBjg/edit#gid=934712705"",""ESENCIAL!A6:BG""),3,FALSE))"),"")</f>
        <v/>
      </c>
      <c r="H396" s="5" t="str">
        <f ca="1">IFERROR(__xludf.DUMMYFUNCTION("IFERROR(VLOOKUP(F413,IMPORTRANGE(""https://docs.google.com/spreadsheets/d/1Kvs4KS76FHFqLFIZfrDMff4kP08nblUkihrxltoGBjg/edit#gid=934712705"",""ESENCIAL!A6:BG""),8,FALSE))"),"")</f>
        <v/>
      </c>
      <c r="L396" s="287"/>
      <c r="S396"/>
      <c r="AU396" s="41" t="str">
        <f t="shared" si="36"/>
        <v/>
      </c>
      <c r="AV396" s="5" t="str">
        <f ca="1">IFERROR(__xludf.DUMMYFUNCTION("IFERROR(VLOOKUP(E413&amp;F413,IMPORTRANGE(""https://docs.google.com/spreadsheets/d/1Uw7-A9f9R21vMXxHZFNpYNeKFtG8_yji4HS352LGlSQ/edit?pli=1#gid=0"",""1_ACUM!A4:S""),11,FALSE))"),"")</f>
        <v/>
      </c>
      <c r="AW396" s="42" t="str">
        <f ca="1">IFERROR(__xludf.DUMMYFUNCTION("IFERROR(VLOOKUP(F413,IMPORTRANGE(""https://docs.google.com/spreadsheets/d/1Kvs4KS76FHFqLFIZfrDMff4kP08nblUkihrxltoGBjg/edit#gid=934712705"",""ESENCIAL!A6:BG""),15,FALSE))"),"")</f>
        <v/>
      </c>
      <c r="AX396" s="21" t="str">
        <f ca="1">IFERROR(__xludf.DUMMYFUNCTION("IFERROR(VLOOKUP(E413&amp;F413,IMPORTRANGE(""https://docs.google.com/spreadsheets/d/1Uw7-A9f9R21vMXxHZFNpYNeKFtG8_yji4HS352LGlSQ/edit?pli=1#gid=0"",""1_ACUM!A4:S""),12,FALSE))"),"")</f>
        <v/>
      </c>
      <c r="AY396" s="43" t="str">
        <f ca="1">IFERROR(__xludf.DUMMYFUNCTION("IFERROR(VLOOKUP(E413&amp;F413,IMPORTRANGE(""https://docs.google.com/spreadsheets/d/1Uw7-A9f9R21vMXxHZFNpYNeKFtG8_yji4HS352LGlSQ/edit?pli=1#gid=0"",""1_ACUM!A4:S""),13,FALSE))"),"")</f>
        <v/>
      </c>
      <c r="AZ396" s="43" t="str">
        <f ca="1">IFERROR(__xludf.DUMMYFUNCTION("IFERROR(VLOOKUP(E413&amp;F413,IMPORTRANGE(""https://docs.google.com/spreadsheets/d/1Uw7-A9f9R21vMXxHZFNpYNeKFtG8_yji4HS352LGlSQ/edit?pli=1#gid=0"",""1_ACUM!A4:S""),14,FALSE))"),"")</f>
        <v/>
      </c>
      <c r="BA396" s="43" t="str">
        <f ca="1">IFERROR(__xludf.DUMMYFUNCTION("IFERROR(VLOOKUP(E413&amp;F413,IMPORTRANGE(""https://docs.google.com/spreadsheets/d/1Uw7-A9f9R21vMXxHZFNpYNeKFtG8_yji4HS352LGlSQ/edit?pli=1#gid=0"",""1_ACUM!A4:S""),15,FALSE))"),"")</f>
        <v/>
      </c>
      <c r="BB396" s="43" t="str">
        <f ca="1">IFERROR(__xludf.DUMMYFUNCTION("IFERROR(VLOOKUP(E413&amp;F413,IMPORTRANGE(""https://docs.google.com/spreadsheets/d/1Uw7-A9f9R21vMXxHZFNpYNeKFtG8_yji4HS352LGlSQ/edit?pli=1#gid=0"",""1_ACUM!A4:S""),16,FALSE))"),"")</f>
        <v/>
      </c>
      <c r="BC396" s="43" t="str">
        <f ca="1">IFERROR(__xludf.DUMMYFUNCTION("IFERROR(VLOOKUP(E413&amp;F413,IMPORTRANGE(""https://docs.google.com/spreadsheets/d/1Uw7-A9f9R21vMXxHZFNpYNeKFtG8_yji4HS352LGlSQ/edit?pli=1#gid=0"",""1_ACUM!A4:S""),17,FALSE))"),"")</f>
        <v/>
      </c>
      <c r="BD396" s="44" t="str">
        <f ca="1">IFERROR(__xludf.DUMMYFUNCTION("IFERROR(VLOOKUP(E413&amp;F413,IMPORTRANGE(""https://docs.google.com/spreadsheets/d/1Uw7-A9f9R21vMXxHZFNpYNeKFtG8_yji4HS352LGlSQ/edit?pli=1#gid=0"",""1_ACUM!A4:S""),18,FALSE))"),"")</f>
        <v/>
      </c>
      <c r="BE396" s="44" t="str">
        <f ca="1">IFERROR(__xludf.DUMMYFUNCTION("IFERROR(VLOOKUP(E413&amp;F413,IMPORTRANGE(""https://docs.google.com/spreadsheets/d/1Uw7-A9f9R21vMXxHZFNpYNeKFtG8_yji4HS352LGlSQ/edit?pli=1#gid=0"",""1_ACUM!A4:S""),19,FALSE))"),"")</f>
        <v/>
      </c>
      <c r="BF396" s="44" t="str">
        <f ca="1">IFERROR(__xludf.DUMMYFUNCTION("IFERROR(VLOOKUP(F413,IMPORTRANGE(""https://docs.google.com/spreadsheets/d/1Kvs4KS76FHFqLFIZfrDMff4kP08nblUkihrxltoGBjg/edit#gid=934712705"",""ESENCIAL!A6:BG""),5,FALSE))"),"")</f>
        <v/>
      </c>
      <c r="BG396" s="44" t="str">
        <f t="shared" si="37"/>
        <v/>
      </c>
      <c r="BH396" s="41" t="str">
        <f t="shared" si="38"/>
        <v/>
      </c>
      <c r="BI396" s="41" t="str">
        <f ca="1">IFERROR(__xludf.DUMMYFUNCTION("IFERROR(VLOOKUP(F413,IMPORTRANGE(""https://docs.google.com/spreadsheets/d/1Kvs4KS76FHFqLFIZfrDMff4kP08nblUkihrxltoGBjg/edit#gid=934712705"",""ESENCIAL!A6:BG""),18,FALSE))"),"")</f>
        <v/>
      </c>
      <c r="BJ396" s="19" t="str">
        <f t="shared" si="39"/>
        <v/>
      </c>
      <c r="BK396" s="41"/>
      <c r="BL396" s="41"/>
    </row>
    <row r="397" spans="1:64" ht="15">
      <c r="A397" s="4"/>
      <c r="B397" s="4"/>
      <c r="G397" s="5" t="str">
        <f ca="1">IFERROR(__xludf.DUMMYFUNCTION("IFERROR(VLOOKUP(F414,IMPORTRANGE(""https://docs.google.com/spreadsheets/d/1Kvs4KS76FHFqLFIZfrDMff4kP08nblUkihrxltoGBjg/edit#gid=934712705"",""ESENCIAL!A6:BG""),3,FALSE))"),"")</f>
        <v/>
      </c>
      <c r="H397" s="5" t="str">
        <f ca="1">IFERROR(__xludf.DUMMYFUNCTION("IFERROR(VLOOKUP(F414,IMPORTRANGE(""https://docs.google.com/spreadsheets/d/1Kvs4KS76FHFqLFIZfrDMff4kP08nblUkihrxltoGBjg/edit#gid=934712705"",""ESENCIAL!A6:BG""),8,FALSE))"),"")</f>
        <v/>
      </c>
      <c r="L397" s="287"/>
      <c r="S397"/>
      <c r="AU397" s="41" t="str">
        <f t="shared" si="36"/>
        <v/>
      </c>
      <c r="AV397" s="5" t="str">
        <f ca="1">IFERROR(__xludf.DUMMYFUNCTION("IFERROR(VLOOKUP(E414&amp;F414,IMPORTRANGE(""https://docs.google.com/spreadsheets/d/1Uw7-A9f9R21vMXxHZFNpYNeKFtG8_yji4HS352LGlSQ/edit?pli=1#gid=0"",""1_ACUM!A4:S""),11,FALSE))"),"")</f>
        <v/>
      </c>
      <c r="AW397" s="42" t="str">
        <f ca="1">IFERROR(__xludf.DUMMYFUNCTION("IFERROR(VLOOKUP(F414,IMPORTRANGE(""https://docs.google.com/spreadsheets/d/1Kvs4KS76FHFqLFIZfrDMff4kP08nblUkihrxltoGBjg/edit#gid=934712705"",""ESENCIAL!A6:BG""),15,FALSE))"),"")</f>
        <v/>
      </c>
      <c r="AX397" s="21" t="str">
        <f ca="1">IFERROR(__xludf.DUMMYFUNCTION("IFERROR(VLOOKUP(E414&amp;F414,IMPORTRANGE(""https://docs.google.com/spreadsheets/d/1Uw7-A9f9R21vMXxHZFNpYNeKFtG8_yji4HS352LGlSQ/edit?pli=1#gid=0"",""1_ACUM!A4:S""),12,FALSE))"),"")</f>
        <v/>
      </c>
      <c r="AY397" s="43" t="str">
        <f ca="1">IFERROR(__xludf.DUMMYFUNCTION("IFERROR(VLOOKUP(E414&amp;F414,IMPORTRANGE(""https://docs.google.com/spreadsheets/d/1Uw7-A9f9R21vMXxHZFNpYNeKFtG8_yji4HS352LGlSQ/edit?pli=1#gid=0"",""1_ACUM!A4:S""),13,FALSE))"),"")</f>
        <v/>
      </c>
      <c r="AZ397" s="43" t="str">
        <f ca="1">IFERROR(__xludf.DUMMYFUNCTION("IFERROR(VLOOKUP(E414&amp;F414,IMPORTRANGE(""https://docs.google.com/spreadsheets/d/1Uw7-A9f9R21vMXxHZFNpYNeKFtG8_yji4HS352LGlSQ/edit?pli=1#gid=0"",""1_ACUM!A4:S""),14,FALSE))"),"")</f>
        <v/>
      </c>
      <c r="BA397" s="43" t="str">
        <f ca="1">IFERROR(__xludf.DUMMYFUNCTION("IFERROR(VLOOKUP(E414&amp;F414,IMPORTRANGE(""https://docs.google.com/spreadsheets/d/1Uw7-A9f9R21vMXxHZFNpYNeKFtG8_yji4HS352LGlSQ/edit?pli=1#gid=0"",""1_ACUM!A4:S""),15,FALSE))"),"")</f>
        <v/>
      </c>
      <c r="BB397" s="43" t="str">
        <f ca="1">IFERROR(__xludf.DUMMYFUNCTION("IFERROR(VLOOKUP(E414&amp;F414,IMPORTRANGE(""https://docs.google.com/spreadsheets/d/1Uw7-A9f9R21vMXxHZFNpYNeKFtG8_yji4HS352LGlSQ/edit?pli=1#gid=0"",""1_ACUM!A4:S""),16,FALSE))"),"")</f>
        <v/>
      </c>
      <c r="BC397" s="43" t="str">
        <f ca="1">IFERROR(__xludf.DUMMYFUNCTION("IFERROR(VLOOKUP(E414&amp;F414,IMPORTRANGE(""https://docs.google.com/spreadsheets/d/1Uw7-A9f9R21vMXxHZFNpYNeKFtG8_yji4HS352LGlSQ/edit?pli=1#gid=0"",""1_ACUM!A4:S""),17,FALSE))"),"")</f>
        <v/>
      </c>
      <c r="BD397" s="44" t="str">
        <f ca="1">IFERROR(__xludf.DUMMYFUNCTION("IFERROR(VLOOKUP(E414&amp;F414,IMPORTRANGE(""https://docs.google.com/spreadsheets/d/1Uw7-A9f9R21vMXxHZFNpYNeKFtG8_yji4HS352LGlSQ/edit?pli=1#gid=0"",""1_ACUM!A4:S""),18,FALSE))"),"")</f>
        <v/>
      </c>
      <c r="BE397" s="44" t="str">
        <f ca="1">IFERROR(__xludf.DUMMYFUNCTION("IFERROR(VLOOKUP(E414&amp;F414,IMPORTRANGE(""https://docs.google.com/spreadsheets/d/1Uw7-A9f9R21vMXxHZFNpYNeKFtG8_yji4HS352LGlSQ/edit?pli=1#gid=0"",""1_ACUM!A4:S""),19,FALSE))"),"")</f>
        <v/>
      </c>
      <c r="BF397" s="44" t="str">
        <f ca="1">IFERROR(__xludf.DUMMYFUNCTION("IFERROR(VLOOKUP(F414,IMPORTRANGE(""https://docs.google.com/spreadsheets/d/1Kvs4KS76FHFqLFIZfrDMff4kP08nblUkihrxltoGBjg/edit#gid=934712705"",""ESENCIAL!A6:BG""),5,FALSE))"),"")</f>
        <v/>
      </c>
      <c r="BG397" s="44" t="str">
        <f t="shared" si="37"/>
        <v/>
      </c>
      <c r="BH397" s="41" t="str">
        <f t="shared" si="38"/>
        <v/>
      </c>
      <c r="BI397" s="41" t="str">
        <f ca="1">IFERROR(__xludf.DUMMYFUNCTION("IFERROR(VLOOKUP(F414,IMPORTRANGE(""https://docs.google.com/spreadsheets/d/1Kvs4KS76FHFqLFIZfrDMff4kP08nblUkihrxltoGBjg/edit#gid=934712705"",""ESENCIAL!A6:BG""),18,FALSE))"),"")</f>
        <v/>
      </c>
      <c r="BJ397" s="19" t="str">
        <f t="shared" si="39"/>
        <v/>
      </c>
      <c r="BK397" s="41"/>
      <c r="BL397" s="41"/>
    </row>
    <row r="398" spans="1:64" ht="15">
      <c r="A398" s="4"/>
      <c r="B398" s="4"/>
      <c r="G398" s="5" t="str">
        <f ca="1">IFERROR(__xludf.DUMMYFUNCTION("IFERROR(VLOOKUP(F415,IMPORTRANGE(""https://docs.google.com/spreadsheets/d/1Kvs4KS76FHFqLFIZfrDMff4kP08nblUkihrxltoGBjg/edit#gid=934712705"",""ESENCIAL!A6:BG""),3,FALSE))"),"")</f>
        <v/>
      </c>
      <c r="H398" s="5" t="str">
        <f ca="1">IFERROR(__xludf.DUMMYFUNCTION("IFERROR(VLOOKUP(F415,IMPORTRANGE(""https://docs.google.com/spreadsheets/d/1Kvs4KS76FHFqLFIZfrDMff4kP08nblUkihrxltoGBjg/edit#gid=934712705"",""ESENCIAL!A6:BG""),8,FALSE))"),"")</f>
        <v/>
      </c>
      <c r="L398" s="287"/>
      <c r="S398"/>
      <c r="AU398" s="41" t="str">
        <f t="shared" si="36"/>
        <v/>
      </c>
      <c r="AV398" s="5" t="str">
        <f ca="1">IFERROR(__xludf.DUMMYFUNCTION("IFERROR(VLOOKUP(E415&amp;F415,IMPORTRANGE(""https://docs.google.com/spreadsheets/d/1Uw7-A9f9R21vMXxHZFNpYNeKFtG8_yji4HS352LGlSQ/edit?pli=1#gid=0"",""1_ACUM!A4:S""),11,FALSE))"),"")</f>
        <v/>
      </c>
      <c r="AW398" s="42" t="str">
        <f ca="1">IFERROR(__xludf.DUMMYFUNCTION("IFERROR(VLOOKUP(F415,IMPORTRANGE(""https://docs.google.com/spreadsheets/d/1Kvs4KS76FHFqLFIZfrDMff4kP08nblUkihrxltoGBjg/edit#gid=934712705"",""ESENCIAL!A6:BG""),15,FALSE))"),"")</f>
        <v/>
      </c>
      <c r="AX398" s="21" t="str">
        <f ca="1">IFERROR(__xludf.DUMMYFUNCTION("IFERROR(VLOOKUP(E415&amp;F415,IMPORTRANGE(""https://docs.google.com/spreadsheets/d/1Uw7-A9f9R21vMXxHZFNpYNeKFtG8_yji4HS352LGlSQ/edit?pli=1#gid=0"",""1_ACUM!A4:S""),12,FALSE))"),"")</f>
        <v/>
      </c>
      <c r="AY398" s="43" t="str">
        <f ca="1">IFERROR(__xludf.DUMMYFUNCTION("IFERROR(VLOOKUP(E415&amp;F415,IMPORTRANGE(""https://docs.google.com/spreadsheets/d/1Uw7-A9f9R21vMXxHZFNpYNeKFtG8_yji4HS352LGlSQ/edit?pli=1#gid=0"",""1_ACUM!A4:S""),13,FALSE))"),"")</f>
        <v/>
      </c>
      <c r="AZ398" s="43" t="str">
        <f ca="1">IFERROR(__xludf.DUMMYFUNCTION("IFERROR(VLOOKUP(E415&amp;F415,IMPORTRANGE(""https://docs.google.com/spreadsheets/d/1Uw7-A9f9R21vMXxHZFNpYNeKFtG8_yji4HS352LGlSQ/edit?pli=1#gid=0"",""1_ACUM!A4:S""),14,FALSE))"),"")</f>
        <v/>
      </c>
      <c r="BA398" s="43" t="str">
        <f ca="1">IFERROR(__xludf.DUMMYFUNCTION("IFERROR(VLOOKUP(E415&amp;F415,IMPORTRANGE(""https://docs.google.com/spreadsheets/d/1Uw7-A9f9R21vMXxHZFNpYNeKFtG8_yji4HS352LGlSQ/edit?pli=1#gid=0"",""1_ACUM!A4:S""),15,FALSE))"),"")</f>
        <v/>
      </c>
      <c r="BB398" s="43" t="str">
        <f ca="1">IFERROR(__xludf.DUMMYFUNCTION("IFERROR(VLOOKUP(E415&amp;F415,IMPORTRANGE(""https://docs.google.com/spreadsheets/d/1Uw7-A9f9R21vMXxHZFNpYNeKFtG8_yji4HS352LGlSQ/edit?pli=1#gid=0"",""1_ACUM!A4:S""),16,FALSE))"),"")</f>
        <v/>
      </c>
      <c r="BC398" s="43" t="str">
        <f ca="1">IFERROR(__xludf.DUMMYFUNCTION("IFERROR(VLOOKUP(E415&amp;F415,IMPORTRANGE(""https://docs.google.com/spreadsheets/d/1Uw7-A9f9R21vMXxHZFNpYNeKFtG8_yji4HS352LGlSQ/edit?pli=1#gid=0"",""1_ACUM!A4:S""),17,FALSE))"),"")</f>
        <v/>
      </c>
      <c r="BD398" s="44" t="str">
        <f ca="1">IFERROR(__xludf.DUMMYFUNCTION("IFERROR(VLOOKUP(E415&amp;F415,IMPORTRANGE(""https://docs.google.com/spreadsheets/d/1Uw7-A9f9R21vMXxHZFNpYNeKFtG8_yji4HS352LGlSQ/edit?pli=1#gid=0"",""1_ACUM!A4:S""),18,FALSE))"),"")</f>
        <v/>
      </c>
      <c r="BE398" s="44" t="str">
        <f ca="1">IFERROR(__xludf.DUMMYFUNCTION("IFERROR(VLOOKUP(E415&amp;F415,IMPORTRANGE(""https://docs.google.com/spreadsheets/d/1Uw7-A9f9R21vMXxHZFNpYNeKFtG8_yji4HS352LGlSQ/edit?pli=1#gid=0"",""1_ACUM!A4:S""),19,FALSE))"),"")</f>
        <v/>
      </c>
      <c r="BF398" s="44" t="str">
        <f ca="1">IFERROR(__xludf.DUMMYFUNCTION("IFERROR(VLOOKUP(F415,IMPORTRANGE(""https://docs.google.com/spreadsheets/d/1Kvs4KS76FHFqLFIZfrDMff4kP08nblUkihrxltoGBjg/edit#gid=934712705"",""ESENCIAL!A6:BG""),5,FALSE))"),"")</f>
        <v/>
      </c>
      <c r="BG398" s="44" t="str">
        <f t="shared" si="37"/>
        <v/>
      </c>
      <c r="BH398" s="41" t="str">
        <f t="shared" si="38"/>
        <v/>
      </c>
      <c r="BI398" s="41" t="str">
        <f ca="1">IFERROR(__xludf.DUMMYFUNCTION("IFERROR(VLOOKUP(F415,IMPORTRANGE(""https://docs.google.com/spreadsheets/d/1Kvs4KS76FHFqLFIZfrDMff4kP08nblUkihrxltoGBjg/edit#gid=934712705"",""ESENCIAL!A6:BG""),18,FALSE))"),"")</f>
        <v/>
      </c>
      <c r="BJ398" s="19" t="str">
        <f t="shared" si="39"/>
        <v/>
      </c>
      <c r="BK398" s="41"/>
      <c r="BL398" s="41"/>
    </row>
    <row r="399" spans="1:64" ht="15">
      <c r="A399" s="4"/>
      <c r="B399" s="4"/>
      <c r="G399" s="5" t="str">
        <f ca="1">IFERROR(__xludf.DUMMYFUNCTION("IFERROR(VLOOKUP(F416,IMPORTRANGE(""https://docs.google.com/spreadsheets/d/1Kvs4KS76FHFqLFIZfrDMff4kP08nblUkihrxltoGBjg/edit#gid=934712705"",""ESENCIAL!A6:BG""),3,FALSE))"),"")</f>
        <v/>
      </c>
      <c r="H399" s="5" t="str">
        <f ca="1">IFERROR(__xludf.DUMMYFUNCTION("IFERROR(VLOOKUP(F416,IMPORTRANGE(""https://docs.google.com/spreadsheets/d/1Kvs4KS76FHFqLFIZfrDMff4kP08nblUkihrxltoGBjg/edit#gid=934712705"",""ESENCIAL!A6:BG""),8,FALSE))"),"")</f>
        <v/>
      </c>
      <c r="L399" s="287"/>
      <c r="S399"/>
      <c r="AU399" s="41" t="str">
        <f t="shared" si="36"/>
        <v/>
      </c>
      <c r="AV399" s="5" t="str">
        <f ca="1">IFERROR(__xludf.DUMMYFUNCTION("IFERROR(VLOOKUP(E416&amp;F416,IMPORTRANGE(""https://docs.google.com/spreadsheets/d/1Uw7-A9f9R21vMXxHZFNpYNeKFtG8_yji4HS352LGlSQ/edit?pli=1#gid=0"",""1_ACUM!A4:S""),11,FALSE))"),"")</f>
        <v/>
      </c>
      <c r="AW399" s="42" t="str">
        <f ca="1">IFERROR(__xludf.DUMMYFUNCTION("IFERROR(VLOOKUP(F416,IMPORTRANGE(""https://docs.google.com/spreadsheets/d/1Kvs4KS76FHFqLFIZfrDMff4kP08nblUkihrxltoGBjg/edit#gid=934712705"",""ESENCIAL!A6:BG""),15,FALSE))"),"")</f>
        <v/>
      </c>
      <c r="AX399" s="21" t="str">
        <f ca="1">IFERROR(__xludf.DUMMYFUNCTION("IFERROR(VLOOKUP(E416&amp;F416,IMPORTRANGE(""https://docs.google.com/spreadsheets/d/1Uw7-A9f9R21vMXxHZFNpYNeKFtG8_yji4HS352LGlSQ/edit?pli=1#gid=0"",""1_ACUM!A4:S""),12,FALSE))"),"")</f>
        <v/>
      </c>
      <c r="AY399" s="43" t="str">
        <f ca="1">IFERROR(__xludf.DUMMYFUNCTION("IFERROR(VLOOKUP(E416&amp;F416,IMPORTRANGE(""https://docs.google.com/spreadsheets/d/1Uw7-A9f9R21vMXxHZFNpYNeKFtG8_yji4HS352LGlSQ/edit?pli=1#gid=0"",""1_ACUM!A4:S""),13,FALSE))"),"")</f>
        <v/>
      </c>
      <c r="AZ399" s="43" t="str">
        <f ca="1">IFERROR(__xludf.DUMMYFUNCTION("IFERROR(VLOOKUP(E416&amp;F416,IMPORTRANGE(""https://docs.google.com/spreadsheets/d/1Uw7-A9f9R21vMXxHZFNpYNeKFtG8_yji4HS352LGlSQ/edit?pli=1#gid=0"",""1_ACUM!A4:S""),14,FALSE))"),"")</f>
        <v/>
      </c>
      <c r="BA399" s="43" t="str">
        <f ca="1">IFERROR(__xludf.DUMMYFUNCTION("IFERROR(VLOOKUP(E416&amp;F416,IMPORTRANGE(""https://docs.google.com/spreadsheets/d/1Uw7-A9f9R21vMXxHZFNpYNeKFtG8_yji4HS352LGlSQ/edit?pli=1#gid=0"",""1_ACUM!A4:S""),15,FALSE))"),"")</f>
        <v/>
      </c>
      <c r="BB399" s="43" t="str">
        <f ca="1">IFERROR(__xludf.DUMMYFUNCTION("IFERROR(VLOOKUP(E416&amp;F416,IMPORTRANGE(""https://docs.google.com/spreadsheets/d/1Uw7-A9f9R21vMXxHZFNpYNeKFtG8_yji4HS352LGlSQ/edit?pli=1#gid=0"",""1_ACUM!A4:S""),16,FALSE))"),"")</f>
        <v/>
      </c>
      <c r="BC399" s="43" t="str">
        <f ca="1">IFERROR(__xludf.DUMMYFUNCTION("IFERROR(VLOOKUP(E416&amp;F416,IMPORTRANGE(""https://docs.google.com/spreadsheets/d/1Uw7-A9f9R21vMXxHZFNpYNeKFtG8_yji4HS352LGlSQ/edit?pli=1#gid=0"",""1_ACUM!A4:S""),17,FALSE))"),"")</f>
        <v/>
      </c>
      <c r="BD399" s="44" t="str">
        <f ca="1">IFERROR(__xludf.DUMMYFUNCTION("IFERROR(VLOOKUP(E416&amp;F416,IMPORTRANGE(""https://docs.google.com/spreadsheets/d/1Uw7-A9f9R21vMXxHZFNpYNeKFtG8_yji4HS352LGlSQ/edit?pli=1#gid=0"",""1_ACUM!A4:S""),18,FALSE))"),"")</f>
        <v/>
      </c>
      <c r="BE399" s="44" t="str">
        <f ca="1">IFERROR(__xludf.DUMMYFUNCTION("IFERROR(VLOOKUP(E416&amp;F416,IMPORTRANGE(""https://docs.google.com/spreadsheets/d/1Uw7-A9f9R21vMXxHZFNpYNeKFtG8_yji4HS352LGlSQ/edit?pli=1#gid=0"",""1_ACUM!A4:S""),19,FALSE))"),"")</f>
        <v/>
      </c>
      <c r="BF399" s="44" t="str">
        <f ca="1">IFERROR(__xludf.DUMMYFUNCTION("IFERROR(VLOOKUP(F416,IMPORTRANGE(""https://docs.google.com/spreadsheets/d/1Kvs4KS76FHFqLFIZfrDMff4kP08nblUkihrxltoGBjg/edit#gid=934712705"",""ESENCIAL!A6:BG""),5,FALSE))"),"")</f>
        <v/>
      </c>
      <c r="BG399" s="44" t="str">
        <f t="shared" si="37"/>
        <v/>
      </c>
      <c r="BH399" s="41" t="str">
        <f t="shared" si="38"/>
        <v/>
      </c>
      <c r="BI399" s="41" t="str">
        <f ca="1">IFERROR(__xludf.DUMMYFUNCTION("IFERROR(VLOOKUP(F416,IMPORTRANGE(""https://docs.google.com/spreadsheets/d/1Kvs4KS76FHFqLFIZfrDMff4kP08nblUkihrxltoGBjg/edit#gid=934712705"",""ESENCIAL!A6:BG""),18,FALSE))"),"")</f>
        <v/>
      </c>
      <c r="BJ399" s="19" t="str">
        <f t="shared" si="39"/>
        <v/>
      </c>
      <c r="BK399" s="41"/>
      <c r="BL399" s="41"/>
    </row>
    <row r="400" spans="1:64" ht="15">
      <c r="A400" s="4"/>
      <c r="B400" s="4"/>
      <c r="G400" s="5" t="str">
        <f ca="1">IFERROR(__xludf.DUMMYFUNCTION("IFERROR(VLOOKUP(F417,IMPORTRANGE(""https://docs.google.com/spreadsheets/d/1Kvs4KS76FHFqLFIZfrDMff4kP08nblUkihrxltoGBjg/edit#gid=934712705"",""ESENCIAL!A6:BG""),3,FALSE))"),"")</f>
        <v/>
      </c>
      <c r="H400" s="5" t="str">
        <f ca="1">IFERROR(__xludf.DUMMYFUNCTION("IFERROR(VLOOKUP(F417,IMPORTRANGE(""https://docs.google.com/spreadsheets/d/1Kvs4KS76FHFqLFIZfrDMff4kP08nblUkihrxltoGBjg/edit#gid=934712705"",""ESENCIAL!A6:BG""),8,FALSE))"),"")</f>
        <v/>
      </c>
      <c r="L400" s="287"/>
      <c r="S400"/>
      <c r="AU400" s="41" t="str">
        <f t="shared" si="36"/>
        <v/>
      </c>
      <c r="AV400" s="5" t="str">
        <f ca="1">IFERROR(__xludf.DUMMYFUNCTION("IFERROR(VLOOKUP(E417&amp;F417,IMPORTRANGE(""https://docs.google.com/spreadsheets/d/1Uw7-A9f9R21vMXxHZFNpYNeKFtG8_yji4HS352LGlSQ/edit?pli=1#gid=0"",""1_ACUM!A4:S""),11,FALSE))"),"")</f>
        <v/>
      </c>
      <c r="AW400" s="42" t="str">
        <f ca="1">IFERROR(__xludf.DUMMYFUNCTION("IFERROR(VLOOKUP(F417,IMPORTRANGE(""https://docs.google.com/spreadsheets/d/1Kvs4KS76FHFqLFIZfrDMff4kP08nblUkihrxltoGBjg/edit#gid=934712705"",""ESENCIAL!A6:BG""),15,FALSE))"),"")</f>
        <v/>
      </c>
      <c r="AX400" s="21" t="str">
        <f ca="1">IFERROR(__xludf.DUMMYFUNCTION("IFERROR(VLOOKUP(E417&amp;F417,IMPORTRANGE(""https://docs.google.com/spreadsheets/d/1Uw7-A9f9R21vMXxHZFNpYNeKFtG8_yji4HS352LGlSQ/edit?pli=1#gid=0"",""1_ACUM!A4:S""),12,FALSE))"),"")</f>
        <v/>
      </c>
      <c r="AY400" s="43" t="str">
        <f ca="1">IFERROR(__xludf.DUMMYFUNCTION("IFERROR(VLOOKUP(E417&amp;F417,IMPORTRANGE(""https://docs.google.com/spreadsheets/d/1Uw7-A9f9R21vMXxHZFNpYNeKFtG8_yji4HS352LGlSQ/edit?pli=1#gid=0"",""1_ACUM!A4:S""),13,FALSE))"),"")</f>
        <v/>
      </c>
      <c r="AZ400" s="43" t="str">
        <f ca="1">IFERROR(__xludf.DUMMYFUNCTION("IFERROR(VLOOKUP(E417&amp;F417,IMPORTRANGE(""https://docs.google.com/spreadsheets/d/1Uw7-A9f9R21vMXxHZFNpYNeKFtG8_yji4HS352LGlSQ/edit?pli=1#gid=0"",""1_ACUM!A4:S""),14,FALSE))"),"")</f>
        <v/>
      </c>
      <c r="BA400" s="43" t="str">
        <f ca="1">IFERROR(__xludf.DUMMYFUNCTION("IFERROR(VLOOKUP(E417&amp;F417,IMPORTRANGE(""https://docs.google.com/spreadsheets/d/1Uw7-A9f9R21vMXxHZFNpYNeKFtG8_yji4HS352LGlSQ/edit?pli=1#gid=0"",""1_ACUM!A4:S""),15,FALSE))"),"")</f>
        <v/>
      </c>
      <c r="BB400" s="43" t="str">
        <f ca="1">IFERROR(__xludf.DUMMYFUNCTION("IFERROR(VLOOKUP(E417&amp;F417,IMPORTRANGE(""https://docs.google.com/spreadsheets/d/1Uw7-A9f9R21vMXxHZFNpYNeKFtG8_yji4HS352LGlSQ/edit?pli=1#gid=0"",""1_ACUM!A4:S""),16,FALSE))"),"")</f>
        <v/>
      </c>
      <c r="BC400" s="43" t="str">
        <f ca="1">IFERROR(__xludf.DUMMYFUNCTION("IFERROR(VLOOKUP(E417&amp;F417,IMPORTRANGE(""https://docs.google.com/spreadsheets/d/1Uw7-A9f9R21vMXxHZFNpYNeKFtG8_yji4HS352LGlSQ/edit?pli=1#gid=0"",""1_ACUM!A4:S""),17,FALSE))"),"")</f>
        <v/>
      </c>
      <c r="BD400" s="44" t="str">
        <f ca="1">IFERROR(__xludf.DUMMYFUNCTION("IFERROR(VLOOKUP(E417&amp;F417,IMPORTRANGE(""https://docs.google.com/spreadsheets/d/1Uw7-A9f9R21vMXxHZFNpYNeKFtG8_yji4HS352LGlSQ/edit?pli=1#gid=0"",""1_ACUM!A4:S""),18,FALSE))"),"")</f>
        <v/>
      </c>
      <c r="BE400" s="44" t="str">
        <f ca="1">IFERROR(__xludf.DUMMYFUNCTION("IFERROR(VLOOKUP(E417&amp;F417,IMPORTRANGE(""https://docs.google.com/spreadsheets/d/1Uw7-A9f9R21vMXxHZFNpYNeKFtG8_yji4HS352LGlSQ/edit?pli=1#gid=0"",""1_ACUM!A4:S""),19,FALSE))"),"")</f>
        <v/>
      </c>
      <c r="BF400" s="44" t="str">
        <f ca="1">IFERROR(__xludf.DUMMYFUNCTION("IFERROR(VLOOKUP(F417,IMPORTRANGE(""https://docs.google.com/spreadsheets/d/1Kvs4KS76FHFqLFIZfrDMff4kP08nblUkihrxltoGBjg/edit#gid=934712705"",""ESENCIAL!A6:BG""),5,FALSE))"),"")</f>
        <v/>
      </c>
      <c r="BG400" s="44" t="str">
        <f t="shared" si="37"/>
        <v/>
      </c>
      <c r="BH400" s="41" t="str">
        <f t="shared" si="38"/>
        <v/>
      </c>
      <c r="BI400" s="41" t="str">
        <f ca="1">IFERROR(__xludf.DUMMYFUNCTION("IFERROR(VLOOKUP(F417,IMPORTRANGE(""https://docs.google.com/spreadsheets/d/1Kvs4KS76FHFqLFIZfrDMff4kP08nblUkihrxltoGBjg/edit#gid=934712705"",""ESENCIAL!A6:BG""),18,FALSE))"),"")</f>
        <v/>
      </c>
      <c r="BJ400" s="19" t="str">
        <f t="shared" si="39"/>
        <v/>
      </c>
      <c r="BK400" s="41"/>
      <c r="BL400" s="41"/>
    </row>
    <row r="401" spans="1:64" ht="15">
      <c r="A401" s="4"/>
      <c r="B401" s="4"/>
      <c r="G401" s="5" t="str">
        <f ca="1">IFERROR(__xludf.DUMMYFUNCTION("IFERROR(VLOOKUP(F418,IMPORTRANGE(""https://docs.google.com/spreadsheets/d/1Kvs4KS76FHFqLFIZfrDMff4kP08nblUkihrxltoGBjg/edit#gid=934712705"",""ESENCIAL!A6:BG""),3,FALSE))"),"")</f>
        <v/>
      </c>
      <c r="H401" s="5" t="str">
        <f ca="1">IFERROR(__xludf.DUMMYFUNCTION("IFERROR(VLOOKUP(F418,IMPORTRANGE(""https://docs.google.com/spreadsheets/d/1Kvs4KS76FHFqLFIZfrDMff4kP08nblUkihrxltoGBjg/edit#gid=934712705"",""ESENCIAL!A6:BG""),8,FALSE))"),"")</f>
        <v/>
      </c>
      <c r="L401" s="287"/>
      <c r="S401"/>
      <c r="AU401" s="41" t="str">
        <f t="shared" si="36"/>
        <v/>
      </c>
      <c r="AV401" s="5" t="str">
        <f ca="1">IFERROR(__xludf.DUMMYFUNCTION("IFERROR(VLOOKUP(E418&amp;F418,IMPORTRANGE(""https://docs.google.com/spreadsheets/d/1Uw7-A9f9R21vMXxHZFNpYNeKFtG8_yji4HS352LGlSQ/edit?pli=1#gid=0"",""1_ACUM!A4:S""),11,FALSE))"),"")</f>
        <v/>
      </c>
      <c r="AW401" s="42" t="str">
        <f ca="1">IFERROR(__xludf.DUMMYFUNCTION("IFERROR(VLOOKUP(F418,IMPORTRANGE(""https://docs.google.com/spreadsheets/d/1Kvs4KS76FHFqLFIZfrDMff4kP08nblUkihrxltoGBjg/edit#gid=934712705"",""ESENCIAL!A6:BG""),15,FALSE))"),"")</f>
        <v/>
      </c>
      <c r="AX401" s="21" t="str">
        <f ca="1">IFERROR(__xludf.DUMMYFUNCTION("IFERROR(VLOOKUP(E418&amp;F418,IMPORTRANGE(""https://docs.google.com/spreadsheets/d/1Uw7-A9f9R21vMXxHZFNpYNeKFtG8_yji4HS352LGlSQ/edit?pli=1#gid=0"",""1_ACUM!A4:S""),12,FALSE))"),"")</f>
        <v/>
      </c>
      <c r="AY401" s="43" t="str">
        <f ca="1">IFERROR(__xludf.DUMMYFUNCTION("IFERROR(VLOOKUP(E418&amp;F418,IMPORTRANGE(""https://docs.google.com/spreadsheets/d/1Uw7-A9f9R21vMXxHZFNpYNeKFtG8_yji4HS352LGlSQ/edit?pli=1#gid=0"",""1_ACUM!A4:S""),13,FALSE))"),"")</f>
        <v/>
      </c>
      <c r="AZ401" s="43" t="str">
        <f ca="1">IFERROR(__xludf.DUMMYFUNCTION("IFERROR(VLOOKUP(E418&amp;F418,IMPORTRANGE(""https://docs.google.com/spreadsheets/d/1Uw7-A9f9R21vMXxHZFNpYNeKFtG8_yji4HS352LGlSQ/edit?pli=1#gid=0"",""1_ACUM!A4:S""),14,FALSE))"),"")</f>
        <v/>
      </c>
      <c r="BA401" s="43" t="str">
        <f ca="1">IFERROR(__xludf.DUMMYFUNCTION("IFERROR(VLOOKUP(E418&amp;F418,IMPORTRANGE(""https://docs.google.com/spreadsheets/d/1Uw7-A9f9R21vMXxHZFNpYNeKFtG8_yji4HS352LGlSQ/edit?pli=1#gid=0"",""1_ACUM!A4:S""),15,FALSE))"),"")</f>
        <v/>
      </c>
      <c r="BB401" s="43" t="str">
        <f ca="1">IFERROR(__xludf.DUMMYFUNCTION("IFERROR(VLOOKUP(E418&amp;F418,IMPORTRANGE(""https://docs.google.com/spreadsheets/d/1Uw7-A9f9R21vMXxHZFNpYNeKFtG8_yji4HS352LGlSQ/edit?pli=1#gid=0"",""1_ACUM!A4:S""),16,FALSE))"),"")</f>
        <v/>
      </c>
      <c r="BC401" s="43" t="str">
        <f ca="1">IFERROR(__xludf.DUMMYFUNCTION("IFERROR(VLOOKUP(E418&amp;F418,IMPORTRANGE(""https://docs.google.com/spreadsheets/d/1Uw7-A9f9R21vMXxHZFNpYNeKFtG8_yji4HS352LGlSQ/edit?pli=1#gid=0"",""1_ACUM!A4:S""),17,FALSE))"),"")</f>
        <v/>
      </c>
      <c r="BD401" s="44" t="str">
        <f ca="1">IFERROR(__xludf.DUMMYFUNCTION("IFERROR(VLOOKUP(E418&amp;F418,IMPORTRANGE(""https://docs.google.com/spreadsheets/d/1Uw7-A9f9R21vMXxHZFNpYNeKFtG8_yji4HS352LGlSQ/edit?pli=1#gid=0"",""1_ACUM!A4:S""),18,FALSE))"),"")</f>
        <v/>
      </c>
      <c r="BE401" s="44" t="str">
        <f ca="1">IFERROR(__xludf.DUMMYFUNCTION("IFERROR(VLOOKUP(E418&amp;F418,IMPORTRANGE(""https://docs.google.com/spreadsheets/d/1Uw7-A9f9R21vMXxHZFNpYNeKFtG8_yji4HS352LGlSQ/edit?pli=1#gid=0"",""1_ACUM!A4:S""),19,FALSE))"),"")</f>
        <v/>
      </c>
      <c r="BF401" s="44" t="str">
        <f ca="1">IFERROR(__xludf.DUMMYFUNCTION("IFERROR(VLOOKUP(F418,IMPORTRANGE(""https://docs.google.com/spreadsheets/d/1Kvs4KS76FHFqLFIZfrDMff4kP08nblUkihrxltoGBjg/edit#gid=934712705"",""ESENCIAL!A6:BG""),5,FALSE))"),"")</f>
        <v/>
      </c>
      <c r="BG401" s="44" t="str">
        <f t="shared" si="37"/>
        <v/>
      </c>
      <c r="BH401" s="41" t="str">
        <f t="shared" si="38"/>
        <v/>
      </c>
      <c r="BI401" s="41" t="str">
        <f ca="1">IFERROR(__xludf.DUMMYFUNCTION("IFERROR(VLOOKUP(F418,IMPORTRANGE(""https://docs.google.com/spreadsheets/d/1Kvs4KS76FHFqLFIZfrDMff4kP08nblUkihrxltoGBjg/edit#gid=934712705"",""ESENCIAL!A6:BG""),18,FALSE))"),"")</f>
        <v/>
      </c>
      <c r="BJ401" s="19" t="str">
        <f t="shared" si="39"/>
        <v/>
      </c>
      <c r="BK401" s="41"/>
      <c r="BL401" s="41"/>
    </row>
    <row r="402" spans="1:64" ht="15">
      <c r="A402" s="4"/>
      <c r="B402" s="4"/>
      <c r="G402" s="5" t="str">
        <f ca="1">IFERROR(__xludf.DUMMYFUNCTION("IFERROR(VLOOKUP(F419,IMPORTRANGE(""https://docs.google.com/spreadsheets/d/1Kvs4KS76FHFqLFIZfrDMff4kP08nblUkihrxltoGBjg/edit#gid=934712705"",""ESENCIAL!A6:BG""),3,FALSE))"),"")</f>
        <v/>
      </c>
      <c r="H402" s="5" t="str">
        <f ca="1">IFERROR(__xludf.DUMMYFUNCTION("IFERROR(VLOOKUP(F419,IMPORTRANGE(""https://docs.google.com/spreadsheets/d/1Kvs4KS76FHFqLFIZfrDMff4kP08nblUkihrxltoGBjg/edit#gid=934712705"",""ESENCIAL!A6:BG""),8,FALSE))"),"")</f>
        <v/>
      </c>
      <c r="L402" s="287"/>
      <c r="S402"/>
      <c r="AU402" s="41" t="str">
        <f t="shared" si="36"/>
        <v/>
      </c>
      <c r="AV402" s="5" t="str">
        <f ca="1">IFERROR(__xludf.DUMMYFUNCTION("IFERROR(VLOOKUP(E419&amp;F419,IMPORTRANGE(""https://docs.google.com/spreadsheets/d/1Uw7-A9f9R21vMXxHZFNpYNeKFtG8_yji4HS352LGlSQ/edit?pli=1#gid=0"",""1_ACUM!A4:S""),11,FALSE))"),"")</f>
        <v/>
      </c>
      <c r="AW402" s="42" t="str">
        <f ca="1">IFERROR(__xludf.DUMMYFUNCTION("IFERROR(VLOOKUP(F419,IMPORTRANGE(""https://docs.google.com/spreadsheets/d/1Kvs4KS76FHFqLFIZfrDMff4kP08nblUkihrxltoGBjg/edit#gid=934712705"",""ESENCIAL!A6:BG""),15,FALSE))"),"")</f>
        <v/>
      </c>
      <c r="AX402" s="21" t="str">
        <f ca="1">IFERROR(__xludf.DUMMYFUNCTION("IFERROR(VLOOKUP(E419&amp;F419,IMPORTRANGE(""https://docs.google.com/spreadsheets/d/1Uw7-A9f9R21vMXxHZFNpYNeKFtG8_yji4HS352LGlSQ/edit?pli=1#gid=0"",""1_ACUM!A4:S""),12,FALSE))"),"")</f>
        <v/>
      </c>
      <c r="AY402" s="43" t="str">
        <f ca="1">IFERROR(__xludf.DUMMYFUNCTION("IFERROR(VLOOKUP(E419&amp;F419,IMPORTRANGE(""https://docs.google.com/spreadsheets/d/1Uw7-A9f9R21vMXxHZFNpYNeKFtG8_yji4HS352LGlSQ/edit?pli=1#gid=0"",""1_ACUM!A4:S""),13,FALSE))"),"")</f>
        <v/>
      </c>
      <c r="AZ402" s="43" t="str">
        <f ca="1">IFERROR(__xludf.DUMMYFUNCTION("IFERROR(VLOOKUP(E419&amp;F419,IMPORTRANGE(""https://docs.google.com/spreadsheets/d/1Uw7-A9f9R21vMXxHZFNpYNeKFtG8_yji4HS352LGlSQ/edit?pli=1#gid=0"",""1_ACUM!A4:S""),14,FALSE))"),"")</f>
        <v/>
      </c>
      <c r="BA402" s="43" t="str">
        <f ca="1">IFERROR(__xludf.DUMMYFUNCTION("IFERROR(VLOOKUP(E419&amp;F419,IMPORTRANGE(""https://docs.google.com/spreadsheets/d/1Uw7-A9f9R21vMXxHZFNpYNeKFtG8_yji4HS352LGlSQ/edit?pli=1#gid=0"",""1_ACUM!A4:S""),15,FALSE))"),"")</f>
        <v/>
      </c>
      <c r="BB402" s="43" t="str">
        <f ca="1">IFERROR(__xludf.DUMMYFUNCTION("IFERROR(VLOOKUP(E419&amp;F419,IMPORTRANGE(""https://docs.google.com/spreadsheets/d/1Uw7-A9f9R21vMXxHZFNpYNeKFtG8_yji4HS352LGlSQ/edit?pli=1#gid=0"",""1_ACUM!A4:S""),16,FALSE))"),"")</f>
        <v/>
      </c>
      <c r="BC402" s="43" t="str">
        <f ca="1">IFERROR(__xludf.DUMMYFUNCTION("IFERROR(VLOOKUP(E419&amp;F419,IMPORTRANGE(""https://docs.google.com/spreadsheets/d/1Uw7-A9f9R21vMXxHZFNpYNeKFtG8_yji4HS352LGlSQ/edit?pli=1#gid=0"",""1_ACUM!A4:S""),17,FALSE))"),"")</f>
        <v/>
      </c>
      <c r="BD402" s="44" t="str">
        <f ca="1">IFERROR(__xludf.DUMMYFUNCTION("IFERROR(VLOOKUP(E419&amp;F419,IMPORTRANGE(""https://docs.google.com/spreadsheets/d/1Uw7-A9f9R21vMXxHZFNpYNeKFtG8_yji4HS352LGlSQ/edit?pli=1#gid=0"",""1_ACUM!A4:S""),18,FALSE))"),"")</f>
        <v/>
      </c>
      <c r="BE402" s="44" t="str">
        <f ca="1">IFERROR(__xludf.DUMMYFUNCTION("IFERROR(VLOOKUP(E419&amp;F419,IMPORTRANGE(""https://docs.google.com/spreadsheets/d/1Uw7-A9f9R21vMXxHZFNpYNeKFtG8_yji4HS352LGlSQ/edit?pli=1#gid=0"",""1_ACUM!A4:S""),19,FALSE))"),"")</f>
        <v/>
      </c>
      <c r="BF402" s="44" t="str">
        <f ca="1">IFERROR(__xludf.DUMMYFUNCTION("IFERROR(VLOOKUP(F419,IMPORTRANGE(""https://docs.google.com/spreadsheets/d/1Kvs4KS76FHFqLFIZfrDMff4kP08nblUkihrxltoGBjg/edit#gid=934712705"",""ESENCIAL!A6:BG""),5,FALSE))"),"")</f>
        <v/>
      </c>
      <c r="BG402" s="44" t="str">
        <f t="shared" si="37"/>
        <v/>
      </c>
      <c r="BH402" s="41" t="str">
        <f t="shared" si="38"/>
        <v/>
      </c>
      <c r="BI402" s="41" t="str">
        <f ca="1">IFERROR(__xludf.DUMMYFUNCTION("IFERROR(VLOOKUP(F419,IMPORTRANGE(""https://docs.google.com/spreadsheets/d/1Kvs4KS76FHFqLFIZfrDMff4kP08nblUkihrxltoGBjg/edit#gid=934712705"",""ESENCIAL!A6:BG""),18,FALSE))"),"")</f>
        <v/>
      </c>
      <c r="BJ402" s="19" t="str">
        <f t="shared" si="39"/>
        <v/>
      </c>
      <c r="BK402" s="41"/>
      <c r="BL402" s="41"/>
    </row>
    <row r="403" spans="1:64" ht="15">
      <c r="A403" s="4"/>
      <c r="B403" s="4"/>
      <c r="G403" s="5" t="str">
        <f ca="1">IFERROR(__xludf.DUMMYFUNCTION("IFERROR(VLOOKUP(F420,IMPORTRANGE(""https://docs.google.com/spreadsheets/d/1Kvs4KS76FHFqLFIZfrDMff4kP08nblUkihrxltoGBjg/edit#gid=934712705"",""ESENCIAL!A6:BG""),3,FALSE))"),"")</f>
        <v/>
      </c>
      <c r="H403" s="5" t="str">
        <f ca="1">IFERROR(__xludf.DUMMYFUNCTION("IFERROR(VLOOKUP(F420,IMPORTRANGE(""https://docs.google.com/spreadsheets/d/1Kvs4KS76FHFqLFIZfrDMff4kP08nblUkihrxltoGBjg/edit#gid=934712705"",""ESENCIAL!A6:BG""),8,FALSE))"),"")</f>
        <v/>
      </c>
      <c r="L403" s="287"/>
      <c r="S403"/>
      <c r="AU403" s="41" t="str">
        <f t="shared" si="36"/>
        <v/>
      </c>
      <c r="AV403" s="5" t="str">
        <f ca="1">IFERROR(__xludf.DUMMYFUNCTION("IFERROR(VLOOKUP(E420&amp;F420,IMPORTRANGE(""https://docs.google.com/spreadsheets/d/1Uw7-A9f9R21vMXxHZFNpYNeKFtG8_yji4HS352LGlSQ/edit?pli=1#gid=0"",""1_ACUM!A4:S""),11,FALSE))"),"")</f>
        <v/>
      </c>
      <c r="AW403" s="42" t="str">
        <f ca="1">IFERROR(__xludf.DUMMYFUNCTION("IFERROR(VLOOKUP(F420,IMPORTRANGE(""https://docs.google.com/spreadsheets/d/1Kvs4KS76FHFqLFIZfrDMff4kP08nblUkihrxltoGBjg/edit#gid=934712705"",""ESENCIAL!A6:BG""),15,FALSE))"),"")</f>
        <v/>
      </c>
      <c r="AX403" s="21" t="str">
        <f ca="1">IFERROR(__xludf.DUMMYFUNCTION("IFERROR(VLOOKUP(E420&amp;F420,IMPORTRANGE(""https://docs.google.com/spreadsheets/d/1Uw7-A9f9R21vMXxHZFNpYNeKFtG8_yji4HS352LGlSQ/edit?pli=1#gid=0"",""1_ACUM!A4:S""),12,FALSE))"),"")</f>
        <v/>
      </c>
      <c r="AY403" s="43" t="str">
        <f ca="1">IFERROR(__xludf.DUMMYFUNCTION("IFERROR(VLOOKUP(E420&amp;F420,IMPORTRANGE(""https://docs.google.com/spreadsheets/d/1Uw7-A9f9R21vMXxHZFNpYNeKFtG8_yji4HS352LGlSQ/edit?pli=1#gid=0"",""1_ACUM!A4:S""),13,FALSE))"),"")</f>
        <v/>
      </c>
      <c r="AZ403" s="43" t="str">
        <f ca="1">IFERROR(__xludf.DUMMYFUNCTION("IFERROR(VLOOKUP(E420&amp;F420,IMPORTRANGE(""https://docs.google.com/spreadsheets/d/1Uw7-A9f9R21vMXxHZFNpYNeKFtG8_yji4HS352LGlSQ/edit?pli=1#gid=0"",""1_ACUM!A4:S""),14,FALSE))"),"")</f>
        <v/>
      </c>
      <c r="BA403" s="43" t="str">
        <f ca="1">IFERROR(__xludf.DUMMYFUNCTION("IFERROR(VLOOKUP(E420&amp;F420,IMPORTRANGE(""https://docs.google.com/spreadsheets/d/1Uw7-A9f9R21vMXxHZFNpYNeKFtG8_yji4HS352LGlSQ/edit?pli=1#gid=0"",""1_ACUM!A4:S""),15,FALSE))"),"")</f>
        <v/>
      </c>
      <c r="BB403" s="43" t="str">
        <f ca="1">IFERROR(__xludf.DUMMYFUNCTION("IFERROR(VLOOKUP(E420&amp;F420,IMPORTRANGE(""https://docs.google.com/spreadsheets/d/1Uw7-A9f9R21vMXxHZFNpYNeKFtG8_yji4HS352LGlSQ/edit?pli=1#gid=0"",""1_ACUM!A4:S""),16,FALSE))"),"")</f>
        <v/>
      </c>
      <c r="BC403" s="43" t="str">
        <f ca="1">IFERROR(__xludf.DUMMYFUNCTION("IFERROR(VLOOKUP(E420&amp;F420,IMPORTRANGE(""https://docs.google.com/spreadsheets/d/1Uw7-A9f9R21vMXxHZFNpYNeKFtG8_yji4HS352LGlSQ/edit?pli=1#gid=0"",""1_ACUM!A4:S""),17,FALSE))"),"")</f>
        <v/>
      </c>
      <c r="BD403" s="44" t="str">
        <f ca="1">IFERROR(__xludf.DUMMYFUNCTION("IFERROR(VLOOKUP(E420&amp;F420,IMPORTRANGE(""https://docs.google.com/spreadsheets/d/1Uw7-A9f9R21vMXxHZFNpYNeKFtG8_yji4HS352LGlSQ/edit?pli=1#gid=0"",""1_ACUM!A4:S""),18,FALSE))"),"")</f>
        <v/>
      </c>
      <c r="BE403" s="44" t="str">
        <f ca="1">IFERROR(__xludf.DUMMYFUNCTION("IFERROR(VLOOKUP(E420&amp;F420,IMPORTRANGE(""https://docs.google.com/spreadsheets/d/1Uw7-A9f9R21vMXxHZFNpYNeKFtG8_yji4HS352LGlSQ/edit?pli=1#gid=0"",""1_ACUM!A4:S""),19,FALSE))"),"")</f>
        <v/>
      </c>
      <c r="BF403" s="44" t="str">
        <f ca="1">IFERROR(__xludf.DUMMYFUNCTION("IFERROR(VLOOKUP(F420,IMPORTRANGE(""https://docs.google.com/spreadsheets/d/1Kvs4KS76FHFqLFIZfrDMff4kP08nblUkihrxltoGBjg/edit#gid=934712705"",""ESENCIAL!A6:BG""),5,FALSE))"),"")</f>
        <v/>
      </c>
      <c r="BG403" s="44" t="str">
        <f t="shared" si="37"/>
        <v/>
      </c>
      <c r="BH403" s="41" t="str">
        <f t="shared" si="38"/>
        <v/>
      </c>
      <c r="BI403" s="41" t="str">
        <f ca="1">IFERROR(__xludf.DUMMYFUNCTION("IFERROR(VLOOKUP(F420,IMPORTRANGE(""https://docs.google.com/spreadsheets/d/1Kvs4KS76FHFqLFIZfrDMff4kP08nblUkihrxltoGBjg/edit#gid=934712705"",""ESENCIAL!A6:BG""),18,FALSE))"),"")</f>
        <v/>
      </c>
      <c r="BJ403" s="19" t="str">
        <f t="shared" si="39"/>
        <v/>
      </c>
      <c r="BK403" s="41"/>
      <c r="BL403" s="41"/>
    </row>
    <row r="404" spans="1:64" ht="15">
      <c r="A404" s="4"/>
      <c r="B404" s="4"/>
      <c r="G404" s="5" t="str">
        <f ca="1">IFERROR(__xludf.DUMMYFUNCTION("IFERROR(VLOOKUP(F421,IMPORTRANGE(""https://docs.google.com/spreadsheets/d/1Kvs4KS76FHFqLFIZfrDMff4kP08nblUkihrxltoGBjg/edit#gid=934712705"",""ESENCIAL!A6:BG""),3,FALSE))"),"")</f>
        <v/>
      </c>
      <c r="H404" s="5" t="str">
        <f ca="1">IFERROR(__xludf.DUMMYFUNCTION("IFERROR(VLOOKUP(F421,IMPORTRANGE(""https://docs.google.com/spreadsheets/d/1Kvs4KS76FHFqLFIZfrDMff4kP08nblUkihrxltoGBjg/edit#gid=934712705"",""ESENCIAL!A6:BG""),8,FALSE))"),"")</f>
        <v/>
      </c>
      <c r="L404" s="287"/>
      <c r="S404"/>
      <c r="AU404" s="41" t="str">
        <f t="shared" si="36"/>
        <v/>
      </c>
      <c r="AV404" s="5" t="str">
        <f ca="1">IFERROR(__xludf.DUMMYFUNCTION("IFERROR(VLOOKUP(E421&amp;F421,IMPORTRANGE(""https://docs.google.com/spreadsheets/d/1Uw7-A9f9R21vMXxHZFNpYNeKFtG8_yji4HS352LGlSQ/edit?pli=1#gid=0"",""1_ACUM!A4:S""),11,FALSE))"),"")</f>
        <v/>
      </c>
      <c r="AW404" s="42" t="str">
        <f ca="1">IFERROR(__xludf.DUMMYFUNCTION("IFERROR(VLOOKUP(F421,IMPORTRANGE(""https://docs.google.com/spreadsheets/d/1Kvs4KS76FHFqLFIZfrDMff4kP08nblUkihrxltoGBjg/edit#gid=934712705"",""ESENCIAL!A6:BG""),15,FALSE))"),"")</f>
        <v/>
      </c>
      <c r="AX404" s="21" t="str">
        <f ca="1">IFERROR(__xludf.DUMMYFUNCTION("IFERROR(VLOOKUP(E421&amp;F421,IMPORTRANGE(""https://docs.google.com/spreadsheets/d/1Uw7-A9f9R21vMXxHZFNpYNeKFtG8_yji4HS352LGlSQ/edit?pli=1#gid=0"",""1_ACUM!A4:S""),12,FALSE))"),"")</f>
        <v/>
      </c>
      <c r="AY404" s="43" t="str">
        <f ca="1">IFERROR(__xludf.DUMMYFUNCTION("IFERROR(VLOOKUP(E421&amp;F421,IMPORTRANGE(""https://docs.google.com/spreadsheets/d/1Uw7-A9f9R21vMXxHZFNpYNeKFtG8_yji4HS352LGlSQ/edit?pli=1#gid=0"",""1_ACUM!A4:S""),13,FALSE))"),"")</f>
        <v/>
      </c>
      <c r="AZ404" s="43" t="str">
        <f ca="1">IFERROR(__xludf.DUMMYFUNCTION("IFERROR(VLOOKUP(E421&amp;F421,IMPORTRANGE(""https://docs.google.com/spreadsheets/d/1Uw7-A9f9R21vMXxHZFNpYNeKFtG8_yji4HS352LGlSQ/edit?pli=1#gid=0"",""1_ACUM!A4:S""),14,FALSE))"),"")</f>
        <v/>
      </c>
      <c r="BA404" s="43" t="str">
        <f ca="1">IFERROR(__xludf.DUMMYFUNCTION("IFERROR(VLOOKUP(E421&amp;F421,IMPORTRANGE(""https://docs.google.com/spreadsheets/d/1Uw7-A9f9R21vMXxHZFNpYNeKFtG8_yji4HS352LGlSQ/edit?pli=1#gid=0"",""1_ACUM!A4:S""),15,FALSE))"),"")</f>
        <v/>
      </c>
      <c r="BB404" s="43" t="str">
        <f ca="1">IFERROR(__xludf.DUMMYFUNCTION("IFERROR(VLOOKUP(E421&amp;F421,IMPORTRANGE(""https://docs.google.com/spreadsheets/d/1Uw7-A9f9R21vMXxHZFNpYNeKFtG8_yji4HS352LGlSQ/edit?pli=1#gid=0"",""1_ACUM!A4:S""),16,FALSE))"),"")</f>
        <v/>
      </c>
      <c r="BC404" s="43" t="str">
        <f ca="1">IFERROR(__xludf.DUMMYFUNCTION("IFERROR(VLOOKUP(E421&amp;F421,IMPORTRANGE(""https://docs.google.com/spreadsheets/d/1Uw7-A9f9R21vMXxHZFNpYNeKFtG8_yji4HS352LGlSQ/edit?pli=1#gid=0"",""1_ACUM!A4:S""),17,FALSE))"),"")</f>
        <v/>
      </c>
      <c r="BD404" s="44" t="str">
        <f ca="1">IFERROR(__xludf.DUMMYFUNCTION("IFERROR(VLOOKUP(E421&amp;F421,IMPORTRANGE(""https://docs.google.com/spreadsheets/d/1Uw7-A9f9R21vMXxHZFNpYNeKFtG8_yji4HS352LGlSQ/edit?pli=1#gid=0"",""1_ACUM!A4:S""),18,FALSE))"),"")</f>
        <v/>
      </c>
      <c r="BE404" s="44" t="str">
        <f ca="1">IFERROR(__xludf.DUMMYFUNCTION("IFERROR(VLOOKUP(E421&amp;F421,IMPORTRANGE(""https://docs.google.com/spreadsheets/d/1Uw7-A9f9R21vMXxHZFNpYNeKFtG8_yji4HS352LGlSQ/edit?pli=1#gid=0"",""1_ACUM!A4:S""),19,FALSE))"),"")</f>
        <v/>
      </c>
      <c r="BF404" s="44" t="str">
        <f ca="1">IFERROR(__xludf.DUMMYFUNCTION("IFERROR(VLOOKUP(F421,IMPORTRANGE(""https://docs.google.com/spreadsheets/d/1Kvs4KS76FHFqLFIZfrDMff4kP08nblUkihrxltoGBjg/edit#gid=934712705"",""ESENCIAL!A6:BG""),5,FALSE))"),"")</f>
        <v/>
      </c>
      <c r="BG404" s="44" t="str">
        <f t="shared" si="37"/>
        <v/>
      </c>
      <c r="BH404" s="41" t="str">
        <f t="shared" si="38"/>
        <v/>
      </c>
      <c r="BI404" s="41" t="str">
        <f ca="1">IFERROR(__xludf.DUMMYFUNCTION("IFERROR(VLOOKUP(F421,IMPORTRANGE(""https://docs.google.com/spreadsheets/d/1Kvs4KS76FHFqLFIZfrDMff4kP08nblUkihrxltoGBjg/edit#gid=934712705"",""ESENCIAL!A6:BG""),18,FALSE))"),"")</f>
        <v/>
      </c>
      <c r="BJ404" s="19" t="str">
        <f t="shared" si="39"/>
        <v/>
      </c>
      <c r="BK404" s="41"/>
      <c r="BL404" s="41"/>
    </row>
    <row r="405" spans="1:64" ht="15">
      <c r="A405" s="4"/>
      <c r="B405" s="4"/>
      <c r="G405" s="5" t="str">
        <f ca="1">IFERROR(__xludf.DUMMYFUNCTION("IFERROR(VLOOKUP(F422,IMPORTRANGE(""https://docs.google.com/spreadsheets/d/1Kvs4KS76FHFqLFIZfrDMff4kP08nblUkihrxltoGBjg/edit#gid=934712705"",""ESENCIAL!A6:BG""),3,FALSE))"),"")</f>
        <v/>
      </c>
      <c r="H405" s="5" t="str">
        <f ca="1">IFERROR(__xludf.DUMMYFUNCTION("IFERROR(VLOOKUP(F422,IMPORTRANGE(""https://docs.google.com/spreadsheets/d/1Kvs4KS76FHFqLFIZfrDMff4kP08nblUkihrxltoGBjg/edit#gid=934712705"",""ESENCIAL!A6:BG""),8,FALSE))"),"")</f>
        <v/>
      </c>
      <c r="L405" s="287"/>
      <c r="S405"/>
      <c r="AU405" s="41" t="str">
        <f t="shared" si="36"/>
        <v/>
      </c>
      <c r="AV405" s="5" t="str">
        <f ca="1">IFERROR(__xludf.DUMMYFUNCTION("IFERROR(VLOOKUP(E422&amp;F422,IMPORTRANGE(""https://docs.google.com/spreadsheets/d/1Uw7-A9f9R21vMXxHZFNpYNeKFtG8_yji4HS352LGlSQ/edit?pli=1#gid=0"",""1_ACUM!A4:S""),11,FALSE))"),"")</f>
        <v/>
      </c>
      <c r="AW405" s="42" t="str">
        <f ca="1">IFERROR(__xludf.DUMMYFUNCTION("IFERROR(VLOOKUP(F422,IMPORTRANGE(""https://docs.google.com/spreadsheets/d/1Kvs4KS76FHFqLFIZfrDMff4kP08nblUkihrxltoGBjg/edit#gid=934712705"",""ESENCIAL!A6:BG""),15,FALSE))"),"")</f>
        <v/>
      </c>
      <c r="AX405" s="21" t="str">
        <f ca="1">IFERROR(__xludf.DUMMYFUNCTION("IFERROR(VLOOKUP(E422&amp;F422,IMPORTRANGE(""https://docs.google.com/spreadsheets/d/1Uw7-A9f9R21vMXxHZFNpYNeKFtG8_yji4HS352LGlSQ/edit?pli=1#gid=0"",""1_ACUM!A4:S""),12,FALSE))"),"")</f>
        <v/>
      </c>
      <c r="AY405" s="43" t="str">
        <f ca="1">IFERROR(__xludf.DUMMYFUNCTION("IFERROR(VLOOKUP(E422&amp;F422,IMPORTRANGE(""https://docs.google.com/spreadsheets/d/1Uw7-A9f9R21vMXxHZFNpYNeKFtG8_yji4HS352LGlSQ/edit?pli=1#gid=0"",""1_ACUM!A4:S""),13,FALSE))"),"")</f>
        <v/>
      </c>
      <c r="AZ405" s="43" t="str">
        <f ca="1">IFERROR(__xludf.DUMMYFUNCTION("IFERROR(VLOOKUP(E422&amp;F422,IMPORTRANGE(""https://docs.google.com/spreadsheets/d/1Uw7-A9f9R21vMXxHZFNpYNeKFtG8_yji4HS352LGlSQ/edit?pli=1#gid=0"",""1_ACUM!A4:S""),14,FALSE))"),"")</f>
        <v/>
      </c>
      <c r="BA405" s="43" t="str">
        <f ca="1">IFERROR(__xludf.DUMMYFUNCTION("IFERROR(VLOOKUP(E422&amp;F422,IMPORTRANGE(""https://docs.google.com/spreadsheets/d/1Uw7-A9f9R21vMXxHZFNpYNeKFtG8_yji4HS352LGlSQ/edit?pli=1#gid=0"",""1_ACUM!A4:S""),15,FALSE))"),"")</f>
        <v/>
      </c>
      <c r="BB405" s="43" t="str">
        <f ca="1">IFERROR(__xludf.DUMMYFUNCTION("IFERROR(VLOOKUP(E422&amp;F422,IMPORTRANGE(""https://docs.google.com/spreadsheets/d/1Uw7-A9f9R21vMXxHZFNpYNeKFtG8_yji4HS352LGlSQ/edit?pli=1#gid=0"",""1_ACUM!A4:S""),16,FALSE))"),"")</f>
        <v/>
      </c>
      <c r="BC405" s="43" t="str">
        <f ca="1">IFERROR(__xludf.DUMMYFUNCTION("IFERROR(VLOOKUP(E422&amp;F422,IMPORTRANGE(""https://docs.google.com/spreadsheets/d/1Uw7-A9f9R21vMXxHZFNpYNeKFtG8_yji4HS352LGlSQ/edit?pli=1#gid=0"",""1_ACUM!A4:S""),17,FALSE))"),"")</f>
        <v/>
      </c>
      <c r="BD405" s="44" t="str">
        <f ca="1">IFERROR(__xludf.DUMMYFUNCTION("IFERROR(VLOOKUP(E422&amp;F422,IMPORTRANGE(""https://docs.google.com/spreadsheets/d/1Uw7-A9f9R21vMXxHZFNpYNeKFtG8_yji4HS352LGlSQ/edit?pli=1#gid=0"",""1_ACUM!A4:S""),18,FALSE))"),"")</f>
        <v/>
      </c>
      <c r="BE405" s="44" t="str">
        <f ca="1">IFERROR(__xludf.DUMMYFUNCTION("IFERROR(VLOOKUP(E422&amp;F422,IMPORTRANGE(""https://docs.google.com/spreadsheets/d/1Uw7-A9f9R21vMXxHZFNpYNeKFtG8_yji4HS352LGlSQ/edit?pli=1#gid=0"",""1_ACUM!A4:S""),19,FALSE))"),"")</f>
        <v/>
      </c>
      <c r="BF405" s="44" t="str">
        <f ca="1">IFERROR(__xludf.DUMMYFUNCTION("IFERROR(VLOOKUP(F422,IMPORTRANGE(""https://docs.google.com/spreadsheets/d/1Kvs4KS76FHFqLFIZfrDMff4kP08nblUkihrxltoGBjg/edit#gid=934712705"",""ESENCIAL!A6:BG""),5,FALSE))"),"")</f>
        <v/>
      </c>
      <c r="BG405" s="44" t="str">
        <f t="shared" si="37"/>
        <v/>
      </c>
      <c r="BH405" s="41" t="str">
        <f t="shared" si="38"/>
        <v/>
      </c>
      <c r="BI405" s="41" t="str">
        <f ca="1">IFERROR(__xludf.DUMMYFUNCTION("IFERROR(VLOOKUP(F422,IMPORTRANGE(""https://docs.google.com/spreadsheets/d/1Kvs4KS76FHFqLFIZfrDMff4kP08nblUkihrxltoGBjg/edit#gid=934712705"",""ESENCIAL!A6:BG""),18,FALSE))"),"")</f>
        <v/>
      </c>
      <c r="BJ405" s="19" t="str">
        <f t="shared" si="39"/>
        <v/>
      </c>
      <c r="BK405" s="41"/>
      <c r="BL405" s="41"/>
    </row>
    <row r="406" spans="1:64" ht="15">
      <c r="A406" s="4"/>
      <c r="B406" s="4"/>
      <c r="G406" s="5" t="str">
        <f ca="1">IFERROR(__xludf.DUMMYFUNCTION("IFERROR(VLOOKUP(F423,IMPORTRANGE(""https://docs.google.com/spreadsheets/d/1Kvs4KS76FHFqLFIZfrDMff4kP08nblUkihrxltoGBjg/edit#gid=934712705"",""ESENCIAL!A6:BG""),3,FALSE))"),"")</f>
        <v/>
      </c>
      <c r="H406" s="5" t="str">
        <f ca="1">IFERROR(__xludf.DUMMYFUNCTION("IFERROR(VLOOKUP(F423,IMPORTRANGE(""https://docs.google.com/spreadsheets/d/1Kvs4KS76FHFqLFIZfrDMff4kP08nblUkihrxltoGBjg/edit#gid=934712705"",""ESENCIAL!A6:BG""),8,FALSE))"),"")</f>
        <v/>
      </c>
      <c r="L406" s="287"/>
      <c r="S406"/>
      <c r="AU406" s="41" t="str">
        <f t="shared" si="36"/>
        <v/>
      </c>
      <c r="AV406" s="5" t="str">
        <f ca="1">IFERROR(__xludf.DUMMYFUNCTION("IFERROR(VLOOKUP(E423&amp;F423,IMPORTRANGE(""https://docs.google.com/spreadsheets/d/1Uw7-A9f9R21vMXxHZFNpYNeKFtG8_yji4HS352LGlSQ/edit?pli=1#gid=0"",""1_ACUM!A4:S""),11,FALSE))"),"")</f>
        <v/>
      </c>
      <c r="AW406" s="42" t="str">
        <f ca="1">IFERROR(__xludf.DUMMYFUNCTION("IFERROR(VLOOKUP(F423,IMPORTRANGE(""https://docs.google.com/spreadsheets/d/1Kvs4KS76FHFqLFIZfrDMff4kP08nblUkihrxltoGBjg/edit#gid=934712705"",""ESENCIAL!A6:BG""),15,FALSE))"),"")</f>
        <v/>
      </c>
      <c r="AX406" s="21" t="str">
        <f ca="1">IFERROR(__xludf.DUMMYFUNCTION("IFERROR(VLOOKUP(E423&amp;F423,IMPORTRANGE(""https://docs.google.com/spreadsheets/d/1Uw7-A9f9R21vMXxHZFNpYNeKFtG8_yji4HS352LGlSQ/edit?pli=1#gid=0"",""1_ACUM!A4:S""),12,FALSE))"),"")</f>
        <v/>
      </c>
      <c r="AY406" s="43" t="str">
        <f ca="1">IFERROR(__xludf.DUMMYFUNCTION("IFERROR(VLOOKUP(E423&amp;F423,IMPORTRANGE(""https://docs.google.com/spreadsheets/d/1Uw7-A9f9R21vMXxHZFNpYNeKFtG8_yji4HS352LGlSQ/edit?pli=1#gid=0"",""1_ACUM!A4:S""),13,FALSE))"),"")</f>
        <v/>
      </c>
      <c r="AZ406" s="43" t="str">
        <f ca="1">IFERROR(__xludf.DUMMYFUNCTION("IFERROR(VLOOKUP(E423&amp;F423,IMPORTRANGE(""https://docs.google.com/spreadsheets/d/1Uw7-A9f9R21vMXxHZFNpYNeKFtG8_yji4HS352LGlSQ/edit?pli=1#gid=0"",""1_ACUM!A4:S""),14,FALSE))"),"")</f>
        <v/>
      </c>
      <c r="BA406" s="43" t="str">
        <f ca="1">IFERROR(__xludf.DUMMYFUNCTION("IFERROR(VLOOKUP(E423&amp;F423,IMPORTRANGE(""https://docs.google.com/spreadsheets/d/1Uw7-A9f9R21vMXxHZFNpYNeKFtG8_yji4HS352LGlSQ/edit?pli=1#gid=0"",""1_ACUM!A4:S""),15,FALSE))"),"")</f>
        <v/>
      </c>
      <c r="BB406" s="43" t="str">
        <f ca="1">IFERROR(__xludf.DUMMYFUNCTION("IFERROR(VLOOKUP(E423&amp;F423,IMPORTRANGE(""https://docs.google.com/spreadsheets/d/1Uw7-A9f9R21vMXxHZFNpYNeKFtG8_yji4HS352LGlSQ/edit?pli=1#gid=0"",""1_ACUM!A4:S""),16,FALSE))"),"")</f>
        <v/>
      </c>
      <c r="BC406" s="43" t="str">
        <f ca="1">IFERROR(__xludf.DUMMYFUNCTION("IFERROR(VLOOKUP(E423&amp;F423,IMPORTRANGE(""https://docs.google.com/spreadsheets/d/1Uw7-A9f9R21vMXxHZFNpYNeKFtG8_yji4HS352LGlSQ/edit?pli=1#gid=0"",""1_ACUM!A4:S""),17,FALSE))"),"")</f>
        <v/>
      </c>
      <c r="BD406" s="44" t="str">
        <f ca="1">IFERROR(__xludf.DUMMYFUNCTION("IFERROR(VLOOKUP(E423&amp;F423,IMPORTRANGE(""https://docs.google.com/spreadsheets/d/1Uw7-A9f9R21vMXxHZFNpYNeKFtG8_yji4HS352LGlSQ/edit?pli=1#gid=0"",""1_ACUM!A4:S""),18,FALSE))"),"")</f>
        <v/>
      </c>
      <c r="BE406" s="44" t="str">
        <f ca="1">IFERROR(__xludf.DUMMYFUNCTION("IFERROR(VLOOKUP(E423&amp;F423,IMPORTRANGE(""https://docs.google.com/spreadsheets/d/1Uw7-A9f9R21vMXxHZFNpYNeKFtG8_yji4HS352LGlSQ/edit?pli=1#gid=0"",""1_ACUM!A4:S""),19,FALSE))"),"")</f>
        <v/>
      </c>
      <c r="BF406" s="44" t="str">
        <f ca="1">IFERROR(__xludf.DUMMYFUNCTION("IFERROR(VLOOKUP(F423,IMPORTRANGE(""https://docs.google.com/spreadsheets/d/1Kvs4KS76FHFqLFIZfrDMff4kP08nblUkihrxltoGBjg/edit#gid=934712705"",""ESENCIAL!A6:BG""),5,FALSE))"),"")</f>
        <v/>
      </c>
      <c r="BG406" s="44" t="str">
        <f t="shared" si="37"/>
        <v/>
      </c>
      <c r="BH406" s="41" t="str">
        <f t="shared" si="38"/>
        <v/>
      </c>
      <c r="BI406" s="41" t="str">
        <f ca="1">IFERROR(__xludf.DUMMYFUNCTION("IFERROR(VLOOKUP(F423,IMPORTRANGE(""https://docs.google.com/spreadsheets/d/1Kvs4KS76FHFqLFIZfrDMff4kP08nblUkihrxltoGBjg/edit#gid=934712705"",""ESENCIAL!A6:BG""),18,FALSE))"),"")</f>
        <v/>
      </c>
      <c r="BJ406" s="19" t="str">
        <f t="shared" si="39"/>
        <v/>
      </c>
      <c r="BK406" s="41"/>
      <c r="BL406" s="41"/>
    </row>
    <row r="407" spans="1:64" ht="15">
      <c r="A407" s="4"/>
      <c r="B407" s="4"/>
      <c r="G407" s="5" t="str">
        <f ca="1">IFERROR(__xludf.DUMMYFUNCTION("IFERROR(VLOOKUP(F424,IMPORTRANGE(""https://docs.google.com/spreadsheets/d/1Kvs4KS76FHFqLFIZfrDMff4kP08nblUkihrxltoGBjg/edit#gid=934712705"",""ESENCIAL!A6:BG""),3,FALSE))"),"")</f>
        <v/>
      </c>
      <c r="H407" s="5" t="str">
        <f ca="1">IFERROR(__xludf.DUMMYFUNCTION("IFERROR(VLOOKUP(F424,IMPORTRANGE(""https://docs.google.com/spreadsheets/d/1Kvs4KS76FHFqLFIZfrDMff4kP08nblUkihrxltoGBjg/edit#gid=934712705"",""ESENCIAL!A6:BG""),8,FALSE))"),"")</f>
        <v/>
      </c>
      <c r="L407" s="287"/>
      <c r="S407"/>
      <c r="AU407" s="41" t="str">
        <f t="shared" si="36"/>
        <v/>
      </c>
      <c r="AV407" s="5" t="str">
        <f ca="1">IFERROR(__xludf.DUMMYFUNCTION("IFERROR(VLOOKUP(E424&amp;F424,IMPORTRANGE(""https://docs.google.com/spreadsheets/d/1Uw7-A9f9R21vMXxHZFNpYNeKFtG8_yji4HS352LGlSQ/edit?pli=1#gid=0"",""1_ACUM!A4:S""),11,FALSE))"),"")</f>
        <v/>
      </c>
      <c r="AW407" s="42" t="str">
        <f ca="1">IFERROR(__xludf.DUMMYFUNCTION("IFERROR(VLOOKUP(F424,IMPORTRANGE(""https://docs.google.com/spreadsheets/d/1Kvs4KS76FHFqLFIZfrDMff4kP08nblUkihrxltoGBjg/edit#gid=934712705"",""ESENCIAL!A6:BG""),15,FALSE))"),"")</f>
        <v/>
      </c>
      <c r="AX407" s="21" t="str">
        <f ca="1">IFERROR(__xludf.DUMMYFUNCTION("IFERROR(VLOOKUP(E424&amp;F424,IMPORTRANGE(""https://docs.google.com/spreadsheets/d/1Uw7-A9f9R21vMXxHZFNpYNeKFtG8_yji4HS352LGlSQ/edit?pli=1#gid=0"",""1_ACUM!A4:S""),12,FALSE))"),"")</f>
        <v/>
      </c>
      <c r="AY407" s="43" t="str">
        <f ca="1">IFERROR(__xludf.DUMMYFUNCTION("IFERROR(VLOOKUP(E424&amp;F424,IMPORTRANGE(""https://docs.google.com/spreadsheets/d/1Uw7-A9f9R21vMXxHZFNpYNeKFtG8_yji4HS352LGlSQ/edit?pli=1#gid=0"",""1_ACUM!A4:S""),13,FALSE))"),"")</f>
        <v/>
      </c>
      <c r="AZ407" s="43" t="str">
        <f ca="1">IFERROR(__xludf.DUMMYFUNCTION("IFERROR(VLOOKUP(E424&amp;F424,IMPORTRANGE(""https://docs.google.com/spreadsheets/d/1Uw7-A9f9R21vMXxHZFNpYNeKFtG8_yji4HS352LGlSQ/edit?pli=1#gid=0"",""1_ACUM!A4:S""),14,FALSE))"),"")</f>
        <v/>
      </c>
      <c r="BA407" s="43" t="str">
        <f ca="1">IFERROR(__xludf.DUMMYFUNCTION("IFERROR(VLOOKUP(E424&amp;F424,IMPORTRANGE(""https://docs.google.com/spreadsheets/d/1Uw7-A9f9R21vMXxHZFNpYNeKFtG8_yji4HS352LGlSQ/edit?pli=1#gid=0"",""1_ACUM!A4:S""),15,FALSE))"),"")</f>
        <v/>
      </c>
      <c r="BB407" s="43" t="str">
        <f ca="1">IFERROR(__xludf.DUMMYFUNCTION("IFERROR(VLOOKUP(E424&amp;F424,IMPORTRANGE(""https://docs.google.com/spreadsheets/d/1Uw7-A9f9R21vMXxHZFNpYNeKFtG8_yji4HS352LGlSQ/edit?pli=1#gid=0"",""1_ACUM!A4:S""),16,FALSE))"),"")</f>
        <v/>
      </c>
      <c r="BC407" s="43" t="str">
        <f ca="1">IFERROR(__xludf.DUMMYFUNCTION("IFERROR(VLOOKUP(E424&amp;F424,IMPORTRANGE(""https://docs.google.com/spreadsheets/d/1Uw7-A9f9R21vMXxHZFNpYNeKFtG8_yji4HS352LGlSQ/edit?pli=1#gid=0"",""1_ACUM!A4:S""),17,FALSE))"),"")</f>
        <v/>
      </c>
      <c r="BD407" s="44" t="str">
        <f ca="1">IFERROR(__xludf.DUMMYFUNCTION("IFERROR(VLOOKUP(E424&amp;F424,IMPORTRANGE(""https://docs.google.com/spreadsheets/d/1Uw7-A9f9R21vMXxHZFNpYNeKFtG8_yji4HS352LGlSQ/edit?pli=1#gid=0"",""1_ACUM!A4:S""),18,FALSE))"),"")</f>
        <v/>
      </c>
      <c r="BE407" s="44" t="str">
        <f ca="1">IFERROR(__xludf.DUMMYFUNCTION("IFERROR(VLOOKUP(E424&amp;F424,IMPORTRANGE(""https://docs.google.com/spreadsheets/d/1Uw7-A9f9R21vMXxHZFNpYNeKFtG8_yji4HS352LGlSQ/edit?pli=1#gid=0"",""1_ACUM!A4:S""),19,FALSE))"),"")</f>
        <v/>
      </c>
      <c r="BF407" s="44" t="str">
        <f ca="1">IFERROR(__xludf.DUMMYFUNCTION("IFERROR(VLOOKUP(F424,IMPORTRANGE(""https://docs.google.com/spreadsheets/d/1Kvs4KS76FHFqLFIZfrDMff4kP08nblUkihrxltoGBjg/edit#gid=934712705"",""ESENCIAL!A6:BG""),5,FALSE))"),"")</f>
        <v/>
      </c>
      <c r="BG407" s="44" t="str">
        <f t="shared" si="37"/>
        <v/>
      </c>
      <c r="BH407" s="41" t="str">
        <f t="shared" si="38"/>
        <v/>
      </c>
      <c r="BI407" s="41" t="str">
        <f ca="1">IFERROR(__xludf.DUMMYFUNCTION("IFERROR(VLOOKUP(F424,IMPORTRANGE(""https://docs.google.com/spreadsheets/d/1Kvs4KS76FHFqLFIZfrDMff4kP08nblUkihrxltoGBjg/edit#gid=934712705"",""ESENCIAL!A6:BG""),18,FALSE))"),"")</f>
        <v/>
      </c>
      <c r="BJ407" s="19" t="str">
        <f t="shared" si="39"/>
        <v/>
      </c>
      <c r="BK407" s="41"/>
      <c r="BL407" s="41"/>
    </row>
    <row r="408" spans="1:64" ht="15">
      <c r="A408" s="4"/>
      <c r="B408" s="4"/>
      <c r="G408" s="5" t="str">
        <f ca="1">IFERROR(__xludf.DUMMYFUNCTION("IFERROR(VLOOKUP(F425,IMPORTRANGE(""https://docs.google.com/spreadsheets/d/1Kvs4KS76FHFqLFIZfrDMff4kP08nblUkihrxltoGBjg/edit#gid=934712705"",""ESENCIAL!A6:BG""),3,FALSE))"),"")</f>
        <v/>
      </c>
      <c r="H408" s="5" t="str">
        <f ca="1">IFERROR(__xludf.DUMMYFUNCTION("IFERROR(VLOOKUP(F425,IMPORTRANGE(""https://docs.google.com/spreadsheets/d/1Kvs4KS76FHFqLFIZfrDMff4kP08nblUkihrxltoGBjg/edit#gid=934712705"",""ESENCIAL!A6:BG""),8,FALSE))"),"")</f>
        <v/>
      </c>
      <c r="L408" s="287"/>
      <c r="S408"/>
      <c r="AU408" s="41" t="str">
        <f t="shared" si="36"/>
        <v/>
      </c>
      <c r="AV408" s="5" t="str">
        <f ca="1">IFERROR(__xludf.DUMMYFUNCTION("IFERROR(VLOOKUP(E425&amp;F425,IMPORTRANGE(""https://docs.google.com/spreadsheets/d/1Uw7-A9f9R21vMXxHZFNpYNeKFtG8_yji4HS352LGlSQ/edit?pli=1#gid=0"",""1_ACUM!A4:S""),11,FALSE))"),"")</f>
        <v/>
      </c>
      <c r="AW408" s="42" t="str">
        <f ca="1">IFERROR(__xludf.DUMMYFUNCTION("IFERROR(VLOOKUP(F425,IMPORTRANGE(""https://docs.google.com/spreadsheets/d/1Kvs4KS76FHFqLFIZfrDMff4kP08nblUkihrxltoGBjg/edit#gid=934712705"",""ESENCIAL!A6:BG""),15,FALSE))"),"")</f>
        <v/>
      </c>
      <c r="AX408" s="21" t="str">
        <f ca="1">IFERROR(__xludf.DUMMYFUNCTION("IFERROR(VLOOKUP(E425&amp;F425,IMPORTRANGE(""https://docs.google.com/spreadsheets/d/1Uw7-A9f9R21vMXxHZFNpYNeKFtG8_yji4HS352LGlSQ/edit?pli=1#gid=0"",""1_ACUM!A4:S""),12,FALSE))"),"")</f>
        <v/>
      </c>
      <c r="AY408" s="43" t="str">
        <f ca="1">IFERROR(__xludf.DUMMYFUNCTION("IFERROR(VLOOKUP(E425&amp;F425,IMPORTRANGE(""https://docs.google.com/spreadsheets/d/1Uw7-A9f9R21vMXxHZFNpYNeKFtG8_yji4HS352LGlSQ/edit?pli=1#gid=0"",""1_ACUM!A4:S""),13,FALSE))"),"")</f>
        <v/>
      </c>
      <c r="AZ408" s="43" t="str">
        <f ca="1">IFERROR(__xludf.DUMMYFUNCTION("IFERROR(VLOOKUP(E425&amp;F425,IMPORTRANGE(""https://docs.google.com/spreadsheets/d/1Uw7-A9f9R21vMXxHZFNpYNeKFtG8_yji4HS352LGlSQ/edit?pli=1#gid=0"",""1_ACUM!A4:S""),14,FALSE))"),"")</f>
        <v/>
      </c>
      <c r="BA408" s="43" t="str">
        <f ca="1">IFERROR(__xludf.DUMMYFUNCTION("IFERROR(VLOOKUP(E425&amp;F425,IMPORTRANGE(""https://docs.google.com/spreadsheets/d/1Uw7-A9f9R21vMXxHZFNpYNeKFtG8_yji4HS352LGlSQ/edit?pli=1#gid=0"",""1_ACUM!A4:S""),15,FALSE))"),"")</f>
        <v/>
      </c>
      <c r="BB408" s="43" t="str">
        <f ca="1">IFERROR(__xludf.DUMMYFUNCTION("IFERROR(VLOOKUP(E425&amp;F425,IMPORTRANGE(""https://docs.google.com/spreadsheets/d/1Uw7-A9f9R21vMXxHZFNpYNeKFtG8_yji4HS352LGlSQ/edit?pli=1#gid=0"",""1_ACUM!A4:S""),16,FALSE))"),"")</f>
        <v/>
      </c>
      <c r="BC408" s="43" t="str">
        <f ca="1">IFERROR(__xludf.DUMMYFUNCTION("IFERROR(VLOOKUP(E425&amp;F425,IMPORTRANGE(""https://docs.google.com/spreadsheets/d/1Uw7-A9f9R21vMXxHZFNpYNeKFtG8_yji4HS352LGlSQ/edit?pli=1#gid=0"",""1_ACUM!A4:S""),17,FALSE))"),"")</f>
        <v/>
      </c>
      <c r="BD408" s="44" t="str">
        <f ca="1">IFERROR(__xludf.DUMMYFUNCTION("IFERROR(VLOOKUP(E425&amp;F425,IMPORTRANGE(""https://docs.google.com/spreadsheets/d/1Uw7-A9f9R21vMXxHZFNpYNeKFtG8_yji4HS352LGlSQ/edit?pli=1#gid=0"",""1_ACUM!A4:S""),18,FALSE))"),"")</f>
        <v/>
      </c>
      <c r="BE408" s="44" t="str">
        <f ca="1">IFERROR(__xludf.DUMMYFUNCTION("IFERROR(VLOOKUP(E425&amp;F425,IMPORTRANGE(""https://docs.google.com/spreadsheets/d/1Uw7-A9f9R21vMXxHZFNpYNeKFtG8_yji4HS352LGlSQ/edit?pli=1#gid=0"",""1_ACUM!A4:S""),19,FALSE))"),"")</f>
        <v/>
      </c>
      <c r="BF408" s="44" t="str">
        <f ca="1">IFERROR(__xludf.DUMMYFUNCTION("IFERROR(VLOOKUP(F425,IMPORTRANGE(""https://docs.google.com/spreadsheets/d/1Kvs4KS76FHFqLFIZfrDMff4kP08nblUkihrxltoGBjg/edit#gid=934712705"",""ESENCIAL!A6:BG""),5,FALSE))"),"")</f>
        <v/>
      </c>
      <c r="BG408" s="44" t="str">
        <f t="shared" si="37"/>
        <v/>
      </c>
      <c r="BH408" s="41" t="str">
        <f t="shared" si="38"/>
        <v/>
      </c>
      <c r="BI408" s="41" t="str">
        <f ca="1">IFERROR(__xludf.DUMMYFUNCTION("IFERROR(VLOOKUP(F425,IMPORTRANGE(""https://docs.google.com/spreadsheets/d/1Kvs4KS76FHFqLFIZfrDMff4kP08nblUkihrxltoGBjg/edit#gid=934712705"",""ESENCIAL!A6:BG""),18,FALSE))"),"")</f>
        <v/>
      </c>
      <c r="BJ408" s="19" t="str">
        <f t="shared" si="39"/>
        <v/>
      </c>
      <c r="BK408" s="41"/>
      <c r="BL408" s="41"/>
    </row>
    <row r="409" spans="1:64" ht="15">
      <c r="A409" s="4"/>
      <c r="B409" s="4"/>
      <c r="G409" s="5" t="str">
        <f ca="1">IFERROR(__xludf.DUMMYFUNCTION("IFERROR(VLOOKUP(F426,IMPORTRANGE(""https://docs.google.com/spreadsheets/d/1Kvs4KS76FHFqLFIZfrDMff4kP08nblUkihrxltoGBjg/edit#gid=934712705"",""ESENCIAL!A6:BG""),3,FALSE))"),"")</f>
        <v/>
      </c>
      <c r="H409" s="5" t="str">
        <f ca="1">IFERROR(__xludf.DUMMYFUNCTION("IFERROR(VLOOKUP(F426,IMPORTRANGE(""https://docs.google.com/spreadsheets/d/1Kvs4KS76FHFqLFIZfrDMff4kP08nblUkihrxltoGBjg/edit#gid=934712705"",""ESENCIAL!A6:BG""),8,FALSE))"),"")</f>
        <v/>
      </c>
      <c r="L409" s="287"/>
      <c r="S409"/>
      <c r="AU409" s="41" t="str">
        <f t="shared" si="36"/>
        <v/>
      </c>
      <c r="AV409" s="5" t="str">
        <f ca="1">IFERROR(__xludf.DUMMYFUNCTION("IFERROR(VLOOKUP(E426&amp;F426,IMPORTRANGE(""https://docs.google.com/spreadsheets/d/1Uw7-A9f9R21vMXxHZFNpYNeKFtG8_yji4HS352LGlSQ/edit?pli=1#gid=0"",""1_ACUM!A4:S""),11,FALSE))"),"")</f>
        <v/>
      </c>
      <c r="AW409" s="42" t="str">
        <f ca="1">IFERROR(__xludf.DUMMYFUNCTION("IFERROR(VLOOKUP(F426,IMPORTRANGE(""https://docs.google.com/spreadsheets/d/1Kvs4KS76FHFqLFIZfrDMff4kP08nblUkihrxltoGBjg/edit#gid=934712705"",""ESENCIAL!A6:BG""),15,FALSE))"),"")</f>
        <v/>
      </c>
      <c r="AX409" s="21" t="str">
        <f ca="1">IFERROR(__xludf.DUMMYFUNCTION("IFERROR(VLOOKUP(E426&amp;F426,IMPORTRANGE(""https://docs.google.com/spreadsheets/d/1Uw7-A9f9R21vMXxHZFNpYNeKFtG8_yji4HS352LGlSQ/edit?pli=1#gid=0"",""1_ACUM!A4:S""),12,FALSE))"),"")</f>
        <v/>
      </c>
      <c r="AY409" s="43" t="str">
        <f ca="1">IFERROR(__xludf.DUMMYFUNCTION("IFERROR(VLOOKUP(E426&amp;F426,IMPORTRANGE(""https://docs.google.com/spreadsheets/d/1Uw7-A9f9R21vMXxHZFNpYNeKFtG8_yji4HS352LGlSQ/edit?pli=1#gid=0"",""1_ACUM!A4:S""),13,FALSE))"),"")</f>
        <v/>
      </c>
      <c r="AZ409" s="43" t="str">
        <f ca="1">IFERROR(__xludf.DUMMYFUNCTION("IFERROR(VLOOKUP(E426&amp;F426,IMPORTRANGE(""https://docs.google.com/spreadsheets/d/1Uw7-A9f9R21vMXxHZFNpYNeKFtG8_yji4HS352LGlSQ/edit?pli=1#gid=0"",""1_ACUM!A4:S""),14,FALSE))"),"")</f>
        <v/>
      </c>
      <c r="BA409" s="43" t="str">
        <f ca="1">IFERROR(__xludf.DUMMYFUNCTION("IFERROR(VLOOKUP(E426&amp;F426,IMPORTRANGE(""https://docs.google.com/spreadsheets/d/1Uw7-A9f9R21vMXxHZFNpYNeKFtG8_yji4HS352LGlSQ/edit?pli=1#gid=0"",""1_ACUM!A4:S""),15,FALSE))"),"")</f>
        <v/>
      </c>
      <c r="BB409" s="43" t="str">
        <f ca="1">IFERROR(__xludf.DUMMYFUNCTION("IFERROR(VLOOKUP(E426&amp;F426,IMPORTRANGE(""https://docs.google.com/spreadsheets/d/1Uw7-A9f9R21vMXxHZFNpYNeKFtG8_yji4HS352LGlSQ/edit?pli=1#gid=0"",""1_ACUM!A4:S""),16,FALSE))"),"")</f>
        <v/>
      </c>
      <c r="BC409" s="43" t="str">
        <f ca="1">IFERROR(__xludf.DUMMYFUNCTION("IFERROR(VLOOKUP(E426&amp;F426,IMPORTRANGE(""https://docs.google.com/spreadsheets/d/1Uw7-A9f9R21vMXxHZFNpYNeKFtG8_yji4HS352LGlSQ/edit?pli=1#gid=0"",""1_ACUM!A4:S""),17,FALSE))"),"")</f>
        <v/>
      </c>
      <c r="BD409" s="44" t="str">
        <f ca="1">IFERROR(__xludf.DUMMYFUNCTION("IFERROR(VLOOKUP(E426&amp;F426,IMPORTRANGE(""https://docs.google.com/spreadsheets/d/1Uw7-A9f9R21vMXxHZFNpYNeKFtG8_yji4HS352LGlSQ/edit?pli=1#gid=0"",""1_ACUM!A4:S""),18,FALSE))"),"")</f>
        <v/>
      </c>
      <c r="BE409" s="44" t="str">
        <f ca="1">IFERROR(__xludf.DUMMYFUNCTION("IFERROR(VLOOKUP(E426&amp;F426,IMPORTRANGE(""https://docs.google.com/spreadsheets/d/1Uw7-A9f9R21vMXxHZFNpYNeKFtG8_yji4HS352LGlSQ/edit?pli=1#gid=0"",""1_ACUM!A4:S""),19,FALSE))"),"")</f>
        <v/>
      </c>
      <c r="BF409" s="44" t="str">
        <f ca="1">IFERROR(__xludf.DUMMYFUNCTION("IFERROR(VLOOKUP(F426,IMPORTRANGE(""https://docs.google.com/spreadsheets/d/1Kvs4KS76FHFqLFIZfrDMff4kP08nblUkihrxltoGBjg/edit#gid=934712705"",""ESENCIAL!A6:BG""),5,FALSE))"),"")</f>
        <v/>
      </c>
      <c r="BG409" s="44" t="str">
        <f t="shared" si="37"/>
        <v/>
      </c>
      <c r="BH409" s="41" t="str">
        <f t="shared" si="38"/>
        <v/>
      </c>
      <c r="BI409" s="41" t="str">
        <f ca="1">IFERROR(__xludf.DUMMYFUNCTION("IFERROR(VLOOKUP(F426,IMPORTRANGE(""https://docs.google.com/spreadsheets/d/1Kvs4KS76FHFqLFIZfrDMff4kP08nblUkihrxltoGBjg/edit#gid=934712705"",""ESENCIAL!A6:BG""),18,FALSE))"),"")</f>
        <v/>
      </c>
      <c r="BJ409" s="19" t="str">
        <f t="shared" si="39"/>
        <v/>
      </c>
      <c r="BK409" s="41"/>
      <c r="BL409" s="41"/>
    </row>
    <row r="410" spans="1:64" ht="15">
      <c r="A410" s="4"/>
      <c r="B410" s="4"/>
      <c r="G410" s="5" t="str">
        <f ca="1">IFERROR(__xludf.DUMMYFUNCTION("IFERROR(VLOOKUP(F427,IMPORTRANGE(""https://docs.google.com/spreadsheets/d/1Kvs4KS76FHFqLFIZfrDMff4kP08nblUkihrxltoGBjg/edit#gid=934712705"",""ESENCIAL!A6:BG""),3,FALSE))"),"")</f>
        <v/>
      </c>
      <c r="H410" s="5" t="str">
        <f ca="1">IFERROR(__xludf.DUMMYFUNCTION("IFERROR(VLOOKUP(F427,IMPORTRANGE(""https://docs.google.com/spreadsheets/d/1Kvs4KS76FHFqLFIZfrDMff4kP08nblUkihrxltoGBjg/edit#gid=934712705"",""ESENCIAL!A6:BG""),8,FALSE))"),"")</f>
        <v/>
      </c>
      <c r="L410" s="287"/>
      <c r="S410"/>
      <c r="AU410" s="41" t="str">
        <f t="shared" si="36"/>
        <v/>
      </c>
      <c r="AV410" s="5" t="str">
        <f ca="1">IFERROR(__xludf.DUMMYFUNCTION("IFERROR(VLOOKUP(E427&amp;F427,IMPORTRANGE(""https://docs.google.com/spreadsheets/d/1Uw7-A9f9R21vMXxHZFNpYNeKFtG8_yji4HS352LGlSQ/edit?pli=1#gid=0"",""1_ACUM!A4:S""),11,FALSE))"),"")</f>
        <v/>
      </c>
      <c r="AW410" s="42" t="str">
        <f ca="1">IFERROR(__xludf.DUMMYFUNCTION("IFERROR(VLOOKUP(F427,IMPORTRANGE(""https://docs.google.com/spreadsheets/d/1Kvs4KS76FHFqLFIZfrDMff4kP08nblUkihrxltoGBjg/edit#gid=934712705"",""ESENCIAL!A6:BG""),15,FALSE))"),"")</f>
        <v/>
      </c>
      <c r="AX410" s="21" t="str">
        <f ca="1">IFERROR(__xludf.DUMMYFUNCTION("IFERROR(VLOOKUP(E427&amp;F427,IMPORTRANGE(""https://docs.google.com/spreadsheets/d/1Uw7-A9f9R21vMXxHZFNpYNeKFtG8_yji4HS352LGlSQ/edit?pli=1#gid=0"",""1_ACUM!A4:S""),12,FALSE))"),"")</f>
        <v/>
      </c>
      <c r="AY410" s="43" t="str">
        <f ca="1">IFERROR(__xludf.DUMMYFUNCTION("IFERROR(VLOOKUP(E427&amp;F427,IMPORTRANGE(""https://docs.google.com/spreadsheets/d/1Uw7-A9f9R21vMXxHZFNpYNeKFtG8_yji4HS352LGlSQ/edit?pli=1#gid=0"",""1_ACUM!A4:S""),13,FALSE))"),"")</f>
        <v/>
      </c>
      <c r="AZ410" s="43" t="str">
        <f ca="1">IFERROR(__xludf.DUMMYFUNCTION("IFERROR(VLOOKUP(E427&amp;F427,IMPORTRANGE(""https://docs.google.com/spreadsheets/d/1Uw7-A9f9R21vMXxHZFNpYNeKFtG8_yji4HS352LGlSQ/edit?pli=1#gid=0"",""1_ACUM!A4:S""),14,FALSE))"),"")</f>
        <v/>
      </c>
      <c r="BA410" s="43" t="str">
        <f ca="1">IFERROR(__xludf.DUMMYFUNCTION("IFERROR(VLOOKUP(E427&amp;F427,IMPORTRANGE(""https://docs.google.com/spreadsheets/d/1Uw7-A9f9R21vMXxHZFNpYNeKFtG8_yji4HS352LGlSQ/edit?pli=1#gid=0"",""1_ACUM!A4:S""),15,FALSE))"),"")</f>
        <v/>
      </c>
      <c r="BB410" s="43" t="str">
        <f ca="1">IFERROR(__xludf.DUMMYFUNCTION("IFERROR(VLOOKUP(E427&amp;F427,IMPORTRANGE(""https://docs.google.com/spreadsheets/d/1Uw7-A9f9R21vMXxHZFNpYNeKFtG8_yji4HS352LGlSQ/edit?pli=1#gid=0"",""1_ACUM!A4:S""),16,FALSE))"),"")</f>
        <v/>
      </c>
      <c r="BC410" s="43" t="str">
        <f ca="1">IFERROR(__xludf.DUMMYFUNCTION("IFERROR(VLOOKUP(E427&amp;F427,IMPORTRANGE(""https://docs.google.com/spreadsheets/d/1Uw7-A9f9R21vMXxHZFNpYNeKFtG8_yji4HS352LGlSQ/edit?pli=1#gid=0"",""1_ACUM!A4:S""),17,FALSE))"),"")</f>
        <v/>
      </c>
      <c r="BD410" s="44" t="str">
        <f ca="1">IFERROR(__xludf.DUMMYFUNCTION("IFERROR(VLOOKUP(E427&amp;F427,IMPORTRANGE(""https://docs.google.com/spreadsheets/d/1Uw7-A9f9R21vMXxHZFNpYNeKFtG8_yji4HS352LGlSQ/edit?pli=1#gid=0"",""1_ACUM!A4:S""),18,FALSE))"),"")</f>
        <v/>
      </c>
      <c r="BE410" s="44" t="str">
        <f ca="1">IFERROR(__xludf.DUMMYFUNCTION("IFERROR(VLOOKUP(E427&amp;F427,IMPORTRANGE(""https://docs.google.com/spreadsheets/d/1Uw7-A9f9R21vMXxHZFNpYNeKFtG8_yji4HS352LGlSQ/edit?pli=1#gid=0"",""1_ACUM!A4:S""),19,FALSE))"),"")</f>
        <v/>
      </c>
      <c r="BF410" s="44" t="str">
        <f ca="1">IFERROR(__xludf.DUMMYFUNCTION("IFERROR(VLOOKUP(F427,IMPORTRANGE(""https://docs.google.com/spreadsheets/d/1Kvs4KS76FHFqLFIZfrDMff4kP08nblUkihrxltoGBjg/edit#gid=934712705"",""ESENCIAL!A6:BG""),5,FALSE))"),"")</f>
        <v/>
      </c>
      <c r="BG410" s="44" t="str">
        <f t="shared" si="37"/>
        <v/>
      </c>
      <c r="BH410" s="41" t="str">
        <f t="shared" si="38"/>
        <v/>
      </c>
      <c r="BI410" s="41" t="str">
        <f ca="1">IFERROR(__xludf.DUMMYFUNCTION("IFERROR(VLOOKUP(F427,IMPORTRANGE(""https://docs.google.com/spreadsheets/d/1Kvs4KS76FHFqLFIZfrDMff4kP08nblUkihrxltoGBjg/edit#gid=934712705"",""ESENCIAL!A6:BG""),18,FALSE))"),"")</f>
        <v/>
      </c>
      <c r="BJ410" s="19" t="str">
        <f t="shared" si="39"/>
        <v/>
      </c>
      <c r="BK410" s="41"/>
      <c r="BL410" s="41"/>
    </row>
    <row r="411" spans="1:64" ht="15">
      <c r="A411" s="4"/>
      <c r="B411" s="4"/>
      <c r="G411" s="5" t="str">
        <f ca="1">IFERROR(__xludf.DUMMYFUNCTION("IFERROR(VLOOKUP(F428,IMPORTRANGE(""https://docs.google.com/spreadsheets/d/1Kvs4KS76FHFqLFIZfrDMff4kP08nblUkihrxltoGBjg/edit#gid=934712705"",""ESENCIAL!A6:BG""),3,FALSE))"),"")</f>
        <v/>
      </c>
      <c r="H411" s="5" t="str">
        <f ca="1">IFERROR(__xludf.DUMMYFUNCTION("IFERROR(VLOOKUP(F428,IMPORTRANGE(""https://docs.google.com/spreadsheets/d/1Kvs4KS76FHFqLFIZfrDMff4kP08nblUkihrxltoGBjg/edit#gid=934712705"",""ESENCIAL!A6:BG""),8,FALSE))"),"")</f>
        <v/>
      </c>
      <c r="L411" s="287"/>
      <c r="S411"/>
      <c r="AU411" s="41" t="str">
        <f t="shared" si="36"/>
        <v/>
      </c>
      <c r="AV411" s="5" t="str">
        <f ca="1">IFERROR(__xludf.DUMMYFUNCTION("IFERROR(VLOOKUP(E428&amp;F428,IMPORTRANGE(""https://docs.google.com/spreadsheets/d/1Uw7-A9f9R21vMXxHZFNpYNeKFtG8_yji4HS352LGlSQ/edit?pli=1#gid=0"",""1_ACUM!A4:S""),11,FALSE))"),"")</f>
        <v/>
      </c>
      <c r="AW411" s="42" t="str">
        <f ca="1">IFERROR(__xludf.DUMMYFUNCTION("IFERROR(VLOOKUP(F428,IMPORTRANGE(""https://docs.google.com/spreadsheets/d/1Kvs4KS76FHFqLFIZfrDMff4kP08nblUkihrxltoGBjg/edit#gid=934712705"",""ESENCIAL!A6:BG""),15,FALSE))"),"")</f>
        <v/>
      </c>
      <c r="AX411" s="21" t="str">
        <f ca="1">IFERROR(__xludf.DUMMYFUNCTION("IFERROR(VLOOKUP(E428&amp;F428,IMPORTRANGE(""https://docs.google.com/spreadsheets/d/1Uw7-A9f9R21vMXxHZFNpYNeKFtG8_yji4HS352LGlSQ/edit?pli=1#gid=0"",""1_ACUM!A4:S""),12,FALSE))"),"")</f>
        <v/>
      </c>
      <c r="AY411" s="43" t="str">
        <f ca="1">IFERROR(__xludf.DUMMYFUNCTION("IFERROR(VLOOKUP(E428&amp;F428,IMPORTRANGE(""https://docs.google.com/spreadsheets/d/1Uw7-A9f9R21vMXxHZFNpYNeKFtG8_yji4HS352LGlSQ/edit?pli=1#gid=0"",""1_ACUM!A4:S""),13,FALSE))"),"")</f>
        <v/>
      </c>
      <c r="AZ411" s="43" t="str">
        <f ca="1">IFERROR(__xludf.DUMMYFUNCTION("IFERROR(VLOOKUP(E428&amp;F428,IMPORTRANGE(""https://docs.google.com/spreadsheets/d/1Uw7-A9f9R21vMXxHZFNpYNeKFtG8_yji4HS352LGlSQ/edit?pli=1#gid=0"",""1_ACUM!A4:S""),14,FALSE))"),"")</f>
        <v/>
      </c>
      <c r="BA411" s="43" t="str">
        <f ca="1">IFERROR(__xludf.DUMMYFUNCTION("IFERROR(VLOOKUP(E428&amp;F428,IMPORTRANGE(""https://docs.google.com/spreadsheets/d/1Uw7-A9f9R21vMXxHZFNpYNeKFtG8_yji4HS352LGlSQ/edit?pli=1#gid=0"",""1_ACUM!A4:S""),15,FALSE))"),"")</f>
        <v/>
      </c>
      <c r="BB411" s="43" t="str">
        <f ca="1">IFERROR(__xludf.DUMMYFUNCTION("IFERROR(VLOOKUP(E428&amp;F428,IMPORTRANGE(""https://docs.google.com/spreadsheets/d/1Uw7-A9f9R21vMXxHZFNpYNeKFtG8_yji4HS352LGlSQ/edit?pli=1#gid=0"",""1_ACUM!A4:S""),16,FALSE))"),"")</f>
        <v/>
      </c>
      <c r="BC411" s="43" t="str">
        <f ca="1">IFERROR(__xludf.DUMMYFUNCTION("IFERROR(VLOOKUP(E428&amp;F428,IMPORTRANGE(""https://docs.google.com/spreadsheets/d/1Uw7-A9f9R21vMXxHZFNpYNeKFtG8_yji4HS352LGlSQ/edit?pli=1#gid=0"",""1_ACUM!A4:S""),17,FALSE))"),"")</f>
        <v/>
      </c>
      <c r="BD411" s="44" t="str">
        <f ca="1">IFERROR(__xludf.DUMMYFUNCTION("IFERROR(VLOOKUP(E428&amp;F428,IMPORTRANGE(""https://docs.google.com/spreadsheets/d/1Uw7-A9f9R21vMXxHZFNpYNeKFtG8_yji4HS352LGlSQ/edit?pli=1#gid=0"",""1_ACUM!A4:S""),18,FALSE))"),"")</f>
        <v/>
      </c>
      <c r="BE411" s="44" t="str">
        <f ca="1">IFERROR(__xludf.DUMMYFUNCTION("IFERROR(VLOOKUP(E428&amp;F428,IMPORTRANGE(""https://docs.google.com/spreadsheets/d/1Uw7-A9f9R21vMXxHZFNpYNeKFtG8_yji4HS352LGlSQ/edit?pli=1#gid=0"",""1_ACUM!A4:S""),19,FALSE))"),"")</f>
        <v/>
      </c>
      <c r="BF411" s="44" t="str">
        <f ca="1">IFERROR(__xludf.DUMMYFUNCTION("IFERROR(VLOOKUP(F428,IMPORTRANGE(""https://docs.google.com/spreadsheets/d/1Kvs4KS76FHFqLFIZfrDMff4kP08nblUkihrxltoGBjg/edit#gid=934712705"",""ESENCIAL!A6:BG""),5,FALSE))"),"")</f>
        <v/>
      </c>
      <c r="BG411" s="44" t="str">
        <f t="shared" si="37"/>
        <v/>
      </c>
      <c r="BH411" s="41" t="str">
        <f t="shared" si="38"/>
        <v/>
      </c>
      <c r="BI411" s="41" t="str">
        <f ca="1">IFERROR(__xludf.DUMMYFUNCTION("IFERROR(VLOOKUP(F428,IMPORTRANGE(""https://docs.google.com/spreadsheets/d/1Kvs4KS76FHFqLFIZfrDMff4kP08nblUkihrxltoGBjg/edit#gid=934712705"",""ESENCIAL!A6:BG""),18,FALSE))"),"")</f>
        <v/>
      </c>
      <c r="BJ411" s="19" t="str">
        <f t="shared" si="39"/>
        <v/>
      </c>
      <c r="BK411" s="41"/>
      <c r="BL411" s="41"/>
    </row>
    <row r="412" spans="1:64" ht="15">
      <c r="A412" s="4"/>
      <c r="B412" s="4"/>
      <c r="G412" s="5" t="str">
        <f ca="1">IFERROR(__xludf.DUMMYFUNCTION("IFERROR(VLOOKUP(F429,IMPORTRANGE(""https://docs.google.com/spreadsheets/d/1Kvs4KS76FHFqLFIZfrDMff4kP08nblUkihrxltoGBjg/edit#gid=934712705"",""ESENCIAL!A6:BG""),3,FALSE))"),"")</f>
        <v/>
      </c>
      <c r="H412" s="5" t="str">
        <f ca="1">IFERROR(__xludf.DUMMYFUNCTION("IFERROR(VLOOKUP(F429,IMPORTRANGE(""https://docs.google.com/spreadsheets/d/1Kvs4KS76FHFqLFIZfrDMff4kP08nblUkihrxltoGBjg/edit#gid=934712705"",""ESENCIAL!A6:BG""),8,FALSE))"),"")</f>
        <v/>
      </c>
      <c r="L412" s="287"/>
      <c r="S412"/>
      <c r="AU412" s="41" t="str">
        <f t="shared" si="36"/>
        <v/>
      </c>
      <c r="AV412" s="5" t="str">
        <f ca="1">IFERROR(__xludf.DUMMYFUNCTION("IFERROR(VLOOKUP(E429&amp;F429,IMPORTRANGE(""https://docs.google.com/spreadsheets/d/1Uw7-A9f9R21vMXxHZFNpYNeKFtG8_yji4HS352LGlSQ/edit?pli=1#gid=0"",""1_ACUM!A4:S""),11,FALSE))"),"")</f>
        <v/>
      </c>
      <c r="AW412" s="42" t="str">
        <f ca="1">IFERROR(__xludf.DUMMYFUNCTION("IFERROR(VLOOKUP(F429,IMPORTRANGE(""https://docs.google.com/spreadsheets/d/1Kvs4KS76FHFqLFIZfrDMff4kP08nblUkihrxltoGBjg/edit#gid=934712705"",""ESENCIAL!A6:BG""),15,FALSE))"),"")</f>
        <v/>
      </c>
      <c r="AX412" s="21" t="str">
        <f ca="1">IFERROR(__xludf.DUMMYFUNCTION("IFERROR(VLOOKUP(E429&amp;F429,IMPORTRANGE(""https://docs.google.com/spreadsheets/d/1Uw7-A9f9R21vMXxHZFNpYNeKFtG8_yji4HS352LGlSQ/edit?pli=1#gid=0"",""1_ACUM!A4:S""),12,FALSE))"),"")</f>
        <v/>
      </c>
      <c r="AY412" s="43" t="str">
        <f ca="1">IFERROR(__xludf.DUMMYFUNCTION("IFERROR(VLOOKUP(E429&amp;F429,IMPORTRANGE(""https://docs.google.com/spreadsheets/d/1Uw7-A9f9R21vMXxHZFNpYNeKFtG8_yji4HS352LGlSQ/edit?pli=1#gid=0"",""1_ACUM!A4:S""),13,FALSE))"),"")</f>
        <v/>
      </c>
      <c r="AZ412" s="43" t="str">
        <f ca="1">IFERROR(__xludf.DUMMYFUNCTION("IFERROR(VLOOKUP(E429&amp;F429,IMPORTRANGE(""https://docs.google.com/spreadsheets/d/1Uw7-A9f9R21vMXxHZFNpYNeKFtG8_yji4HS352LGlSQ/edit?pli=1#gid=0"",""1_ACUM!A4:S""),14,FALSE))"),"")</f>
        <v/>
      </c>
      <c r="BA412" s="43" t="str">
        <f ca="1">IFERROR(__xludf.DUMMYFUNCTION("IFERROR(VLOOKUP(E429&amp;F429,IMPORTRANGE(""https://docs.google.com/spreadsheets/d/1Uw7-A9f9R21vMXxHZFNpYNeKFtG8_yji4HS352LGlSQ/edit?pli=1#gid=0"",""1_ACUM!A4:S""),15,FALSE))"),"")</f>
        <v/>
      </c>
      <c r="BB412" s="43" t="str">
        <f ca="1">IFERROR(__xludf.DUMMYFUNCTION("IFERROR(VLOOKUP(E429&amp;F429,IMPORTRANGE(""https://docs.google.com/spreadsheets/d/1Uw7-A9f9R21vMXxHZFNpYNeKFtG8_yji4HS352LGlSQ/edit?pli=1#gid=0"",""1_ACUM!A4:S""),16,FALSE))"),"")</f>
        <v/>
      </c>
      <c r="BC412" s="43" t="str">
        <f ca="1">IFERROR(__xludf.DUMMYFUNCTION("IFERROR(VLOOKUP(E429&amp;F429,IMPORTRANGE(""https://docs.google.com/spreadsheets/d/1Uw7-A9f9R21vMXxHZFNpYNeKFtG8_yji4HS352LGlSQ/edit?pli=1#gid=0"",""1_ACUM!A4:S""),17,FALSE))"),"")</f>
        <v/>
      </c>
      <c r="BD412" s="44" t="str">
        <f ca="1">IFERROR(__xludf.DUMMYFUNCTION("IFERROR(VLOOKUP(E429&amp;F429,IMPORTRANGE(""https://docs.google.com/spreadsheets/d/1Uw7-A9f9R21vMXxHZFNpYNeKFtG8_yji4HS352LGlSQ/edit?pli=1#gid=0"",""1_ACUM!A4:S""),18,FALSE))"),"")</f>
        <v/>
      </c>
      <c r="BE412" s="44" t="str">
        <f ca="1">IFERROR(__xludf.DUMMYFUNCTION("IFERROR(VLOOKUP(E429&amp;F429,IMPORTRANGE(""https://docs.google.com/spreadsheets/d/1Uw7-A9f9R21vMXxHZFNpYNeKFtG8_yji4HS352LGlSQ/edit?pli=1#gid=0"",""1_ACUM!A4:S""),19,FALSE))"),"")</f>
        <v/>
      </c>
      <c r="BF412" s="44" t="str">
        <f ca="1">IFERROR(__xludf.DUMMYFUNCTION("IFERROR(VLOOKUP(F429,IMPORTRANGE(""https://docs.google.com/spreadsheets/d/1Kvs4KS76FHFqLFIZfrDMff4kP08nblUkihrxltoGBjg/edit#gid=934712705"",""ESENCIAL!A6:BG""),5,FALSE))"),"")</f>
        <v/>
      </c>
      <c r="BG412" s="44" t="str">
        <f t="shared" si="37"/>
        <v/>
      </c>
      <c r="BH412" s="41" t="str">
        <f t="shared" si="38"/>
        <v/>
      </c>
      <c r="BI412" s="41" t="str">
        <f ca="1">IFERROR(__xludf.DUMMYFUNCTION("IFERROR(VLOOKUP(F429,IMPORTRANGE(""https://docs.google.com/spreadsheets/d/1Kvs4KS76FHFqLFIZfrDMff4kP08nblUkihrxltoGBjg/edit#gid=934712705"",""ESENCIAL!A6:BG""),18,FALSE))"),"")</f>
        <v/>
      </c>
      <c r="BJ412" s="19" t="str">
        <f t="shared" si="39"/>
        <v/>
      </c>
      <c r="BK412" s="41"/>
      <c r="BL412" s="41"/>
    </row>
    <row r="413" spans="1:64" ht="15">
      <c r="A413" s="4"/>
      <c r="B413" s="4"/>
      <c r="G413" s="5" t="str">
        <f ca="1">IFERROR(__xludf.DUMMYFUNCTION("IFERROR(VLOOKUP(F430,IMPORTRANGE(""https://docs.google.com/spreadsheets/d/1Kvs4KS76FHFqLFIZfrDMff4kP08nblUkihrxltoGBjg/edit#gid=934712705"",""ESENCIAL!A6:BG""),3,FALSE))"),"")</f>
        <v/>
      </c>
      <c r="H413" s="5" t="str">
        <f ca="1">IFERROR(__xludf.DUMMYFUNCTION("IFERROR(VLOOKUP(F430,IMPORTRANGE(""https://docs.google.com/spreadsheets/d/1Kvs4KS76FHFqLFIZfrDMff4kP08nblUkihrxltoGBjg/edit#gid=934712705"",""ESENCIAL!A6:BG""),8,FALSE))"),"")</f>
        <v/>
      </c>
      <c r="L413" s="287"/>
      <c r="S413"/>
      <c r="AU413" s="41" t="str">
        <f t="shared" si="36"/>
        <v/>
      </c>
      <c r="AV413" s="5" t="str">
        <f ca="1">IFERROR(__xludf.DUMMYFUNCTION("IFERROR(VLOOKUP(E430&amp;F430,IMPORTRANGE(""https://docs.google.com/spreadsheets/d/1Uw7-A9f9R21vMXxHZFNpYNeKFtG8_yji4HS352LGlSQ/edit?pli=1#gid=0"",""1_ACUM!A4:S""),11,FALSE))"),"")</f>
        <v/>
      </c>
      <c r="AW413" s="42" t="str">
        <f ca="1">IFERROR(__xludf.DUMMYFUNCTION("IFERROR(VLOOKUP(F430,IMPORTRANGE(""https://docs.google.com/spreadsheets/d/1Kvs4KS76FHFqLFIZfrDMff4kP08nblUkihrxltoGBjg/edit#gid=934712705"",""ESENCIAL!A6:BG""),15,FALSE))"),"")</f>
        <v/>
      </c>
      <c r="AX413" s="21" t="str">
        <f ca="1">IFERROR(__xludf.DUMMYFUNCTION("IFERROR(VLOOKUP(E430&amp;F430,IMPORTRANGE(""https://docs.google.com/spreadsheets/d/1Uw7-A9f9R21vMXxHZFNpYNeKFtG8_yji4HS352LGlSQ/edit?pli=1#gid=0"",""1_ACUM!A4:S""),12,FALSE))"),"")</f>
        <v/>
      </c>
      <c r="AY413" s="43" t="str">
        <f ca="1">IFERROR(__xludf.DUMMYFUNCTION("IFERROR(VLOOKUP(E430&amp;F430,IMPORTRANGE(""https://docs.google.com/spreadsheets/d/1Uw7-A9f9R21vMXxHZFNpYNeKFtG8_yji4HS352LGlSQ/edit?pli=1#gid=0"",""1_ACUM!A4:S""),13,FALSE))"),"")</f>
        <v/>
      </c>
      <c r="AZ413" s="43" t="str">
        <f ca="1">IFERROR(__xludf.DUMMYFUNCTION("IFERROR(VLOOKUP(E430&amp;F430,IMPORTRANGE(""https://docs.google.com/spreadsheets/d/1Uw7-A9f9R21vMXxHZFNpYNeKFtG8_yji4HS352LGlSQ/edit?pli=1#gid=0"",""1_ACUM!A4:S""),14,FALSE))"),"")</f>
        <v/>
      </c>
      <c r="BA413" s="43" t="str">
        <f ca="1">IFERROR(__xludf.DUMMYFUNCTION("IFERROR(VLOOKUP(E430&amp;F430,IMPORTRANGE(""https://docs.google.com/spreadsheets/d/1Uw7-A9f9R21vMXxHZFNpYNeKFtG8_yji4HS352LGlSQ/edit?pli=1#gid=0"",""1_ACUM!A4:S""),15,FALSE))"),"")</f>
        <v/>
      </c>
      <c r="BB413" s="43" t="str">
        <f ca="1">IFERROR(__xludf.DUMMYFUNCTION("IFERROR(VLOOKUP(E430&amp;F430,IMPORTRANGE(""https://docs.google.com/spreadsheets/d/1Uw7-A9f9R21vMXxHZFNpYNeKFtG8_yji4HS352LGlSQ/edit?pli=1#gid=0"",""1_ACUM!A4:S""),16,FALSE))"),"")</f>
        <v/>
      </c>
      <c r="BC413" s="43" t="str">
        <f ca="1">IFERROR(__xludf.DUMMYFUNCTION("IFERROR(VLOOKUP(E430&amp;F430,IMPORTRANGE(""https://docs.google.com/spreadsheets/d/1Uw7-A9f9R21vMXxHZFNpYNeKFtG8_yji4HS352LGlSQ/edit?pli=1#gid=0"",""1_ACUM!A4:S""),17,FALSE))"),"")</f>
        <v/>
      </c>
      <c r="BD413" s="44" t="str">
        <f ca="1">IFERROR(__xludf.DUMMYFUNCTION("IFERROR(VLOOKUP(E430&amp;F430,IMPORTRANGE(""https://docs.google.com/spreadsheets/d/1Uw7-A9f9R21vMXxHZFNpYNeKFtG8_yji4HS352LGlSQ/edit?pli=1#gid=0"",""1_ACUM!A4:S""),18,FALSE))"),"")</f>
        <v/>
      </c>
      <c r="BE413" s="44" t="str">
        <f ca="1">IFERROR(__xludf.DUMMYFUNCTION("IFERROR(VLOOKUP(E430&amp;F430,IMPORTRANGE(""https://docs.google.com/spreadsheets/d/1Uw7-A9f9R21vMXxHZFNpYNeKFtG8_yji4HS352LGlSQ/edit?pli=1#gid=0"",""1_ACUM!A4:S""),19,FALSE))"),"")</f>
        <v/>
      </c>
      <c r="BF413" s="44" t="str">
        <f ca="1">IFERROR(__xludf.DUMMYFUNCTION("IFERROR(VLOOKUP(F430,IMPORTRANGE(""https://docs.google.com/spreadsheets/d/1Kvs4KS76FHFqLFIZfrDMff4kP08nblUkihrxltoGBjg/edit#gid=934712705"",""ESENCIAL!A6:BG""),5,FALSE))"),"")</f>
        <v/>
      </c>
      <c r="BG413" s="44" t="str">
        <f t="shared" si="37"/>
        <v/>
      </c>
      <c r="BH413" s="41" t="str">
        <f t="shared" si="38"/>
        <v/>
      </c>
      <c r="BI413" s="41" t="str">
        <f ca="1">IFERROR(__xludf.DUMMYFUNCTION("IFERROR(VLOOKUP(F430,IMPORTRANGE(""https://docs.google.com/spreadsheets/d/1Kvs4KS76FHFqLFIZfrDMff4kP08nblUkihrxltoGBjg/edit#gid=934712705"",""ESENCIAL!A6:BG""),18,FALSE))"),"")</f>
        <v/>
      </c>
      <c r="BJ413" s="19" t="str">
        <f t="shared" si="39"/>
        <v/>
      </c>
      <c r="BK413" s="41"/>
      <c r="BL413" s="41"/>
    </row>
    <row r="414" spans="1:64" ht="15">
      <c r="A414" s="4"/>
      <c r="B414" s="4"/>
      <c r="G414" s="5" t="str">
        <f ca="1">IFERROR(__xludf.DUMMYFUNCTION("IFERROR(VLOOKUP(F431,IMPORTRANGE(""https://docs.google.com/spreadsheets/d/1Kvs4KS76FHFqLFIZfrDMff4kP08nblUkihrxltoGBjg/edit#gid=934712705"",""ESENCIAL!A6:BG""),3,FALSE))"),"")</f>
        <v/>
      </c>
      <c r="H414" s="5" t="str">
        <f ca="1">IFERROR(__xludf.DUMMYFUNCTION("IFERROR(VLOOKUP(F431,IMPORTRANGE(""https://docs.google.com/spreadsheets/d/1Kvs4KS76FHFqLFIZfrDMff4kP08nblUkihrxltoGBjg/edit#gid=934712705"",""ESENCIAL!A6:BG""),8,FALSE))"),"")</f>
        <v/>
      </c>
      <c r="L414" s="287"/>
      <c r="S414"/>
      <c r="AU414" s="41" t="str">
        <f t="shared" si="36"/>
        <v/>
      </c>
      <c r="AV414" s="5" t="str">
        <f ca="1">IFERROR(__xludf.DUMMYFUNCTION("IFERROR(VLOOKUP(E431&amp;F431,IMPORTRANGE(""https://docs.google.com/spreadsheets/d/1Uw7-A9f9R21vMXxHZFNpYNeKFtG8_yji4HS352LGlSQ/edit?pli=1#gid=0"",""1_ACUM!A4:S""),11,FALSE))"),"")</f>
        <v/>
      </c>
      <c r="AW414" s="42" t="str">
        <f ca="1">IFERROR(__xludf.DUMMYFUNCTION("IFERROR(VLOOKUP(F431,IMPORTRANGE(""https://docs.google.com/spreadsheets/d/1Kvs4KS76FHFqLFIZfrDMff4kP08nblUkihrxltoGBjg/edit#gid=934712705"",""ESENCIAL!A6:BG""),15,FALSE))"),"")</f>
        <v/>
      </c>
      <c r="AX414" s="21" t="str">
        <f ca="1">IFERROR(__xludf.DUMMYFUNCTION("IFERROR(VLOOKUP(E431&amp;F431,IMPORTRANGE(""https://docs.google.com/spreadsheets/d/1Uw7-A9f9R21vMXxHZFNpYNeKFtG8_yji4HS352LGlSQ/edit?pli=1#gid=0"",""1_ACUM!A4:S""),12,FALSE))"),"")</f>
        <v/>
      </c>
      <c r="AY414" s="43" t="str">
        <f ca="1">IFERROR(__xludf.DUMMYFUNCTION("IFERROR(VLOOKUP(E431&amp;F431,IMPORTRANGE(""https://docs.google.com/spreadsheets/d/1Uw7-A9f9R21vMXxHZFNpYNeKFtG8_yji4HS352LGlSQ/edit?pli=1#gid=0"",""1_ACUM!A4:S""),13,FALSE))"),"")</f>
        <v/>
      </c>
      <c r="AZ414" s="43" t="str">
        <f ca="1">IFERROR(__xludf.DUMMYFUNCTION("IFERROR(VLOOKUP(E431&amp;F431,IMPORTRANGE(""https://docs.google.com/spreadsheets/d/1Uw7-A9f9R21vMXxHZFNpYNeKFtG8_yji4HS352LGlSQ/edit?pli=1#gid=0"",""1_ACUM!A4:S""),14,FALSE))"),"")</f>
        <v/>
      </c>
      <c r="BA414" s="43" t="str">
        <f ca="1">IFERROR(__xludf.DUMMYFUNCTION("IFERROR(VLOOKUP(E431&amp;F431,IMPORTRANGE(""https://docs.google.com/spreadsheets/d/1Uw7-A9f9R21vMXxHZFNpYNeKFtG8_yji4HS352LGlSQ/edit?pli=1#gid=0"",""1_ACUM!A4:S""),15,FALSE))"),"")</f>
        <v/>
      </c>
      <c r="BB414" s="43" t="str">
        <f ca="1">IFERROR(__xludf.DUMMYFUNCTION("IFERROR(VLOOKUP(E431&amp;F431,IMPORTRANGE(""https://docs.google.com/spreadsheets/d/1Uw7-A9f9R21vMXxHZFNpYNeKFtG8_yji4HS352LGlSQ/edit?pli=1#gid=0"",""1_ACUM!A4:S""),16,FALSE))"),"")</f>
        <v/>
      </c>
      <c r="BC414" s="43" t="str">
        <f ca="1">IFERROR(__xludf.DUMMYFUNCTION("IFERROR(VLOOKUP(E431&amp;F431,IMPORTRANGE(""https://docs.google.com/spreadsheets/d/1Uw7-A9f9R21vMXxHZFNpYNeKFtG8_yji4HS352LGlSQ/edit?pli=1#gid=0"",""1_ACUM!A4:S""),17,FALSE))"),"")</f>
        <v/>
      </c>
      <c r="BD414" s="44" t="str">
        <f ca="1">IFERROR(__xludf.DUMMYFUNCTION("IFERROR(VLOOKUP(E431&amp;F431,IMPORTRANGE(""https://docs.google.com/spreadsheets/d/1Uw7-A9f9R21vMXxHZFNpYNeKFtG8_yji4HS352LGlSQ/edit?pli=1#gid=0"",""1_ACUM!A4:S""),18,FALSE))"),"")</f>
        <v/>
      </c>
      <c r="BE414" s="44" t="str">
        <f ca="1">IFERROR(__xludf.DUMMYFUNCTION("IFERROR(VLOOKUP(E431&amp;F431,IMPORTRANGE(""https://docs.google.com/spreadsheets/d/1Uw7-A9f9R21vMXxHZFNpYNeKFtG8_yji4HS352LGlSQ/edit?pli=1#gid=0"",""1_ACUM!A4:S""),19,FALSE))"),"")</f>
        <v/>
      </c>
      <c r="BF414" s="44" t="str">
        <f ca="1">IFERROR(__xludf.DUMMYFUNCTION("IFERROR(VLOOKUP(F431,IMPORTRANGE(""https://docs.google.com/spreadsheets/d/1Kvs4KS76FHFqLFIZfrDMff4kP08nblUkihrxltoGBjg/edit#gid=934712705"",""ESENCIAL!A6:BG""),5,FALSE))"),"")</f>
        <v/>
      </c>
      <c r="BG414" s="44" t="str">
        <f t="shared" si="37"/>
        <v/>
      </c>
      <c r="BH414" s="41" t="str">
        <f t="shared" si="38"/>
        <v/>
      </c>
      <c r="BI414" s="41" t="str">
        <f ca="1">IFERROR(__xludf.DUMMYFUNCTION("IFERROR(VLOOKUP(F431,IMPORTRANGE(""https://docs.google.com/spreadsheets/d/1Kvs4KS76FHFqLFIZfrDMff4kP08nblUkihrxltoGBjg/edit#gid=934712705"",""ESENCIAL!A6:BG""),18,FALSE))"),"")</f>
        <v/>
      </c>
      <c r="BJ414" s="19" t="str">
        <f t="shared" si="39"/>
        <v/>
      </c>
      <c r="BK414" s="41"/>
      <c r="BL414" s="41"/>
    </row>
    <row r="415" spans="1:64" ht="15">
      <c r="A415" s="4"/>
      <c r="B415" s="4"/>
      <c r="G415" s="5" t="str">
        <f ca="1">IFERROR(__xludf.DUMMYFUNCTION("IFERROR(VLOOKUP(F432,IMPORTRANGE(""https://docs.google.com/spreadsheets/d/1Kvs4KS76FHFqLFIZfrDMff4kP08nblUkihrxltoGBjg/edit#gid=934712705"",""ESENCIAL!A6:BG""),3,FALSE))"),"")</f>
        <v/>
      </c>
      <c r="H415" s="5" t="str">
        <f ca="1">IFERROR(__xludf.DUMMYFUNCTION("IFERROR(VLOOKUP(F432,IMPORTRANGE(""https://docs.google.com/spreadsheets/d/1Kvs4KS76FHFqLFIZfrDMff4kP08nblUkihrxltoGBjg/edit#gid=934712705"",""ESENCIAL!A6:BG""),8,FALSE))"),"")</f>
        <v/>
      </c>
      <c r="L415" s="287"/>
      <c r="S415"/>
      <c r="AU415" s="41" t="str">
        <f t="shared" si="36"/>
        <v/>
      </c>
      <c r="AV415" s="5" t="str">
        <f ca="1">IFERROR(__xludf.DUMMYFUNCTION("IFERROR(VLOOKUP(E432&amp;F432,IMPORTRANGE(""https://docs.google.com/spreadsheets/d/1Uw7-A9f9R21vMXxHZFNpYNeKFtG8_yji4HS352LGlSQ/edit?pli=1#gid=0"",""1_ACUM!A4:S""),11,FALSE))"),"")</f>
        <v/>
      </c>
      <c r="AW415" s="42" t="str">
        <f ca="1">IFERROR(__xludf.DUMMYFUNCTION("IFERROR(VLOOKUP(F432,IMPORTRANGE(""https://docs.google.com/spreadsheets/d/1Kvs4KS76FHFqLFIZfrDMff4kP08nblUkihrxltoGBjg/edit#gid=934712705"",""ESENCIAL!A6:BG""),15,FALSE))"),"")</f>
        <v/>
      </c>
      <c r="AX415" s="21" t="str">
        <f ca="1">IFERROR(__xludf.DUMMYFUNCTION("IFERROR(VLOOKUP(E432&amp;F432,IMPORTRANGE(""https://docs.google.com/spreadsheets/d/1Uw7-A9f9R21vMXxHZFNpYNeKFtG8_yji4HS352LGlSQ/edit?pli=1#gid=0"",""1_ACUM!A4:S""),12,FALSE))"),"")</f>
        <v/>
      </c>
      <c r="AY415" s="43" t="str">
        <f ca="1">IFERROR(__xludf.DUMMYFUNCTION("IFERROR(VLOOKUP(E432&amp;F432,IMPORTRANGE(""https://docs.google.com/spreadsheets/d/1Uw7-A9f9R21vMXxHZFNpYNeKFtG8_yji4HS352LGlSQ/edit?pli=1#gid=0"",""1_ACUM!A4:S""),13,FALSE))"),"")</f>
        <v/>
      </c>
      <c r="AZ415" s="43" t="str">
        <f ca="1">IFERROR(__xludf.DUMMYFUNCTION("IFERROR(VLOOKUP(E432&amp;F432,IMPORTRANGE(""https://docs.google.com/spreadsheets/d/1Uw7-A9f9R21vMXxHZFNpYNeKFtG8_yji4HS352LGlSQ/edit?pli=1#gid=0"",""1_ACUM!A4:S""),14,FALSE))"),"")</f>
        <v/>
      </c>
      <c r="BA415" s="43" t="str">
        <f ca="1">IFERROR(__xludf.DUMMYFUNCTION("IFERROR(VLOOKUP(E432&amp;F432,IMPORTRANGE(""https://docs.google.com/spreadsheets/d/1Uw7-A9f9R21vMXxHZFNpYNeKFtG8_yji4HS352LGlSQ/edit?pli=1#gid=0"",""1_ACUM!A4:S""),15,FALSE))"),"")</f>
        <v/>
      </c>
      <c r="BB415" s="43" t="str">
        <f ca="1">IFERROR(__xludf.DUMMYFUNCTION("IFERROR(VLOOKUP(E432&amp;F432,IMPORTRANGE(""https://docs.google.com/spreadsheets/d/1Uw7-A9f9R21vMXxHZFNpYNeKFtG8_yji4HS352LGlSQ/edit?pli=1#gid=0"",""1_ACUM!A4:S""),16,FALSE))"),"")</f>
        <v/>
      </c>
      <c r="BC415" s="43" t="str">
        <f ca="1">IFERROR(__xludf.DUMMYFUNCTION("IFERROR(VLOOKUP(E432&amp;F432,IMPORTRANGE(""https://docs.google.com/spreadsheets/d/1Uw7-A9f9R21vMXxHZFNpYNeKFtG8_yji4HS352LGlSQ/edit?pli=1#gid=0"",""1_ACUM!A4:S""),17,FALSE))"),"")</f>
        <v/>
      </c>
      <c r="BD415" s="44" t="str">
        <f ca="1">IFERROR(__xludf.DUMMYFUNCTION("IFERROR(VLOOKUP(E432&amp;F432,IMPORTRANGE(""https://docs.google.com/spreadsheets/d/1Uw7-A9f9R21vMXxHZFNpYNeKFtG8_yji4HS352LGlSQ/edit?pli=1#gid=0"",""1_ACUM!A4:S""),18,FALSE))"),"")</f>
        <v/>
      </c>
      <c r="BE415" s="44" t="str">
        <f ca="1">IFERROR(__xludf.DUMMYFUNCTION("IFERROR(VLOOKUP(E432&amp;F432,IMPORTRANGE(""https://docs.google.com/spreadsheets/d/1Uw7-A9f9R21vMXxHZFNpYNeKFtG8_yji4HS352LGlSQ/edit?pli=1#gid=0"",""1_ACUM!A4:S""),19,FALSE))"),"")</f>
        <v/>
      </c>
      <c r="BF415" s="44" t="str">
        <f ca="1">IFERROR(__xludf.DUMMYFUNCTION("IFERROR(VLOOKUP(F432,IMPORTRANGE(""https://docs.google.com/spreadsheets/d/1Kvs4KS76FHFqLFIZfrDMff4kP08nblUkihrxltoGBjg/edit#gid=934712705"",""ESENCIAL!A6:BG""),5,FALSE))"),"")</f>
        <v/>
      </c>
      <c r="BG415" s="44" t="str">
        <f t="shared" si="37"/>
        <v/>
      </c>
      <c r="BH415" s="41" t="str">
        <f t="shared" si="38"/>
        <v/>
      </c>
      <c r="BI415" s="41" t="str">
        <f ca="1">IFERROR(__xludf.DUMMYFUNCTION("IFERROR(VLOOKUP(F432,IMPORTRANGE(""https://docs.google.com/spreadsheets/d/1Kvs4KS76FHFqLFIZfrDMff4kP08nblUkihrxltoGBjg/edit#gid=934712705"",""ESENCIAL!A6:BG""),18,FALSE))"),"")</f>
        <v/>
      </c>
      <c r="BJ415" s="19" t="str">
        <f t="shared" si="39"/>
        <v/>
      </c>
      <c r="BK415" s="41"/>
      <c r="BL415" s="41"/>
    </row>
    <row r="416" spans="1:64" ht="15">
      <c r="A416" s="4"/>
      <c r="B416" s="4"/>
      <c r="G416" s="5" t="str">
        <f ca="1">IFERROR(__xludf.DUMMYFUNCTION("IFERROR(VLOOKUP(F433,IMPORTRANGE(""https://docs.google.com/spreadsheets/d/1Kvs4KS76FHFqLFIZfrDMff4kP08nblUkihrxltoGBjg/edit#gid=934712705"",""ESENCIAL!A6:BG""),3,FALSE))"),"")</f>
        <v/>
      </c>
      <c r="H416" s="5" t="str">
        <f ca="1">IFERROR(__xludf.DUMMYFUNCTION("IFERROR(VLOOKUP(F433,IMPORTRANGE(""https://docs.google.com/spreadsheets/d/1Kvs4KS76FHFqLFIZfrDMff4kP08nblUkihrxltoGBjg/edit#gid=934712705"",""ESENCIAL!A6:BG""),8,FALSE))"),"")</f>
        <v/>
      </c>
      <c r="L416" s="287"/>
      <c r="S416"/>
      <c r="AU416" s="41" t="str">
        <f t="shared" si="36"/>
        <v/>
      </c>
      <c r="AV416" s="5" t="str">
        <f ca="1">IFERROR(__xludf.DUMMYFUNCTION("IFERROR(VLOOKUP(E433&amp;F433,IMPORTRANGE(""https://docs.google.com/spreadsheets/d/1Uw7-A9f9R21vMXxHZFNpYNeKFtG8_yji4HS352LGlSQ/edit?pli=1#gid=0"",""1_ACUM!A4:S""),11,FALSE))"),"")</f>
        <v/>
      </c>
      <c r="AW416" s="42" t="str">
        <f ca="1">IFERROR(__xludf.DUMMYFUNCTION("IFERROR(VLOOKUP(F433,IMPORTRANGE(""https://docs.google.com/spreadsheets/d/1Kvs4KS76FHFqLFIZfrDMff4kP08nblUkihrxltoGBjg/edit#gid=934712705"",""ESENCIAL!A6:BG""),15,FALSE))"),"")</f>
        <v/>
      </c>
      <c r="AX416" s="21" t="str">
        <f ca="1">IFERROR(__xludf.DUMMYFUNCTION("IFERROR(VLOOKUP(E433&amp;F433,IMPORTRANGE(""https://docs.google.com/spreadsheets/d/1Uw7-A9f9R21vMXxHZFNpYNeKFtG8_yji4HS352LGlSQ/edit?pli=1#gid=0"",""1_ACUM!A4:S""),12,FALSE))"),"")</f>
        <v/>
      </c>
      <c r="AY416" s="43" t="str">
        <f ca="1">IFERROR(__xludf.DUMMYFUNCTION("IFERROR(VLOOKUP(E433&amp;F433,IMPORTRANGE(""https://docs.google.com/spreadsheets/d/1Uw7-A9f9R21vMXxHZFNpYNeKFtG8_yji4HS352LGlSQ/edit?pli=1#gid=0"",""1_ACUM!A4:S""),13,FALSE))"),"")</f>
        <v/>
      </c>
      <c r="AZ416" s="43" t="str">
        <f ca="1">IFERROR(__xludf.DUMMYFUNCTION("IFERROR(VLOOKUP(E433&amp;F433,IMPORTRANGE(""https://docs.google.com/spreadsheets/d/1Uw7-A9f9R21vMXxHZFNpYNeKFtG8_yji4HS352LGlSQ/edit?pli=1#gid=0"",""1_ACUM!A4:S""),14,FALSE))"),"")</f>
        <v/>
      </c>
      <c r="BA416" s="43" t="str">
        <f ca="1">IFERROR(__xludf.DUMMYFUNCTION("IFERROR(VLOOKUP(E433&amp;F433,IMPORTRANGE(""https://docs.google.com/spreadsheets/d/1Uw7-A9f9R21vMXxHZFNpYNeKFtG8_yji4HS352LGlSQ/edit?pli=1#gid=0"",""1_ACUM!A4:S""),15,FALSE))"),"")</f>
        <v/>
      </c>
      <c r="BB416" s="43" t="str">
        <f ca="1">IFERROR(__xludf.DUMMYFUNCTION("IFERROR(VLOOKUP(E433&amp;F433,IMPORTRANGE(""https://docs.google.com/spreadsheets/d/1Uw7-A9f9R21vMXxHZFNpYNeKFtG8_yji4HS352LGlSQ/edit?pli=1#gid=0"",""1_ACUM!A4:S""),16,FALSE))"),"")</f>
        <v/>
      </c>
      <c r="BC416" s="43" t="str">
        <f ca="1">IFERROR(__xludf.DUMMYFUNCTION("IFERROR(VLOOKUP(E433&amp;F433,IMPORTRANGE(""https://docs.google.com/spreadsheets/d/1Uw7-A9f9R21vMXxHZFNpYNeKFtG8_yji4HS352LGlSQ/edit?pli=1#gid=0"",""1_ACUM!A4:S""),17,FALSE))"),"")</f>
        <v/>
      </c>
      <c r="BD416" s="44" t="str">
        <f ca="1">IFERROR(__xludf.DUMMYFUNCTION("IFERROR(VLOOKUP(E433&amp;F433,IMPORTRANGE(""https://docs.google.com/spreadsheets/d/1Uw7-A9f9R21vMXxHZFNpYNeKFtG8_yji4HS352LGlSQ/edit?pli=1#gid=0"",""1_ACUM!A4:S""),18,FALSE))"),"")</f>
        <v/>
      </c>
      <c r="BE416" s="44" t="str">
        <f ca="1">IFERROR(__xludf.DUMMYFUNCTION("IFERROR(VLOOKUP(E433&amp;F433,IMPORTRANGE(""https://docs.google.com/spreadsheets/d/1Uw7-A9f9R21vMXxHZFNpYNeKFtG8_yji4HS352LGlSQ/edit?pli=1#gid=0"",""1_ACUM!A4:S""),19,FALSE))"),"")</f>
        <v/>
      </c>
      <c r="BF416" s="44" t="str">
        <f ca="1">IFERROR(__xludf.DUMMYFUNCTION("IFERROR(VLOOKUP(F433,IMPORTRANGE(""https://docs.google.com/spreadsheets/d/1Kvs4KS76FHFqLFIZfrDMff4kP08nblUkihrxltoGBjg/edit#gid=934712705"",""ESENCIAL!A6:BG""),5,FALSE))"),"")</f>
        <v/>
      </c>
      <c r="BG416" s="44" t="str">
        <f t="shared" si="37"/>
        <v/>
      </c>
      <c r="BH416" s="41" t="str">
        <f t="shared" si="38"/>
        <v/>
      </c>
      <c r="BI416" s="41" t="str">
        <f ca="1">IFERROR(__xludf.DUMMYFUNCTION("IFERROR(VLOOKUP(F433,IMPORTRANGE(""https://docs.google.com/spreadsheets/d/1Kvs4KS76FHFqLFIZfrDMff4kP08nblUkihrxltoGBjg/edit#gid=934712705"",""ESENCIAL!A6:BG""),18,FALSE))"),"")</f>
        <v/>
      </c>
      <c r="BJ416" s="19" t="str">
        <f t="shared" si="39"/>
        <v/>
      </c>
      <c r="BK416" s="41"/>
      <c r="BL416" s="41"/>
    </row>
    <row r="417" spans="1:64" ht="15">
      <c r="A417" s="4"/>
      <c r="B417" s="4"/>
      <c r="G417" s="5" t="str">
        <f ca="1">IFERROR(__xludf.DUMMYFUNCTION("IFERROR(VLOOKUP(F434,IMPORTRANGE(""https://docs.google.com/spreadsheets/d/1Kvs4KS76FHFqLFIZfrDMff4kP08nblUkihrxltoGBjg/edit#gid=934712705"",""ESENCIAL!A6:BG""),3,FALSE))"),"")</f>
        <v/>
      </c>
      <c r="H417" s="5" t="str">
        <f ca="1">IFERROR(__xludf.DUMMYFUNCTION("IFERROR(VLOOKUP(F434,IMPORTRANGE(""https://docs.google.com/spreadsheets/d/1Kvs4KS76FHFqLFIZfrDMff4kP08nblUkihrxltoGBjg/edit#gid=934712705"",""ESENCIAL!A6:BG""),8,FALSE))"),"")</f>
        <v/>
      </c>
      <c r="L417" s="287"/>
      <c r="S417"/>
      <c r="AU417" s="41" t="str">
        <f t="shared" si="36"/>
        <v/>
      </c>
      <c r="AV417" s="5" t="str">
        <f ca="1">IFERROR(__xludf.DUMMYFUNCTION("IFERROR(VLOOKUP(E434&amp;F434,IMPORTRANGE(""https://docs.google.com/spreadsheets/d/1Uw7-A9f9R21vMXxHZFNpYNeKFtG8_yji4HS352LGlSQ/edit?pli=1#gid=0"",""1_ACUM!A4:S""),11,FALSE))"),"")</f>
        <v/>
      </c>
      <c r="AW417" s="42" t="str">
        <f ca="1">IFERROR(__xludf.DUMMYFUNCTION("IFERROR(VLOOKUP(F434,IMPORTRANGE(""https://docs.google.com/spreadsheets/d/1Kvs4KS76FHFqLFIZfrDMff4kP08nblUkihrxltoGBjg/edit#gid=934712705"",""ESENCIAL!A6:BG""),15,FALSE))"),"")</f>
        <v/>
      </c>
      <c r="AX417" s="21" t="str">
        <f ca="1">IFERROR(__xludf.DUMMYFUNCTION("IFERROR(VLOOKUP(E434&amp;F434,IMPORTRANGE(""https://docs.google.com/spreadsheets/d/1Uw7-A9f9R21vMXxHZFNpYNeKFtG8_yji4HS352LGlSQ/edit?pli=1#gid=0"",""1_ACUM!A4:S""),12,FALSE))"),"")</f>
        <v/>
      </c>
      <c r="AY417" s="43" t="str">
        <f ca="1">IFERROR(__xludf.DUMMYFUNCTION("IFERROR(VLOOKUP(E434&amp;F434,IMPORTRANGE(""https://docs.google.com/spreadsheets/d/1Uw7-A9f9R21vMXxHZFNpYNeKFtG8_yji4HS352LGlSQ/edit?pli=1#gid=0"",""1_ACUM!A4:S""),13,FALSE))"),"")</f>
        <v/>
      </c>
      <c r="AZ417" s="43" t="str">
        <f ca="1">IFERROR(__xludf.DUMMYFUNCTION("IFERROR(VLOOKUP(E434&amp;F434,IMPORTRANGE(""https://docs.google.com/spreadsheets/d/1Uw7-A9f9R21vMXxHZFNpYNeKFtG8_yji4HS352LGlSQ/edit?pli=1#gid=0"",""1_ACUM!A4:S""),14,FALSE))"),"")</f>
        <v/>
      </c>
      <c r="BA417" s="43" t="str">
        <f ca="1">IFERROR(__xludf.DUMMYFUNCTION("IFERROR(VLOOKUP(E434&amp;F434,IMPORTRANGE(""https://docs.google.com/spreadsheets/d/1Uw7-A9f9R21vMXxHZFNpYNeKFtG8_yji4HS352LGlSQ/edit?pli=1#gid=0"",""1_ACUM!A4:S""),15,FALSE))"),"")</f>
        <v/>
      </c>
      <c r="BB417" s="43" t="str">
        <f ca="1">IFERROR(__xludf.DUMMYFUNCTION("IFERROR(VLOOKUP(E434&amp;F434,IMPORTRANGE(""https://docs.google.com/spreadsheets/d/1Uw7-A9f9R21vMXxHZFNpYNeKFtG8_yji4HS352LGlSQ/edit?pli=1#gid=0"",""1_ACUM!A4:S""),16,FALSE))"),"")</f>
        <v/>
      </c>
      <c r="BC417" s="43" t="str">
        <f ca="1">IFERROR(__xludf.DUMMYFUNCTION("IFERROR(VLOOKUP(E434&amp;F434,IMPORTRANGE(""https://docs.google.com/spreadsheets/d/1Uw7-A9f9R21vMXxHZFNpYNeKFtG8_yji4HS352LGlSQ/edit?pli=1#gid=0"",""1_ACUM!A4:S""),17,FALSE))"),"")</f>
        <v/>
      </c>
      <c r="BD417" s="44" t="str">
        <f ca="1">IFERROR(__xludf.DUMMYFUNCTION("IFERROR(VLOOKUP(E434&amp;F434,IMPORTRANGE(""https://docs.google.com/spreadsheets/d/1Uw7-A9f9R21vMXxHZFNpYNeKFtG8_yji4HS352LGlSQ/edit?pli=1#gid=0"",""1_ACUM!A4:S""),18,FALSE))"),"")</f>
        <v/>
      </c>
      <c r="BE417" s="44" t="str">
        <f ca="1">IFERROR(__xludf.DUMMYFUNCTION("IFERROR(VLOOKUP(E434&amp;F434,IMPORTRANGE(""https://docs.google.com/spreadsheets/d/1Uw7-A9f9R21vMXxHZFNpYNeKFtG8_yji4HS352LGlSQ/edit?pli=1#gid=0"",""1_ACUM!A4:S""),19,FALSE))"),"")</f>
        <v/>
      </c>
      <c r="BF417" s="44" t="str">
        <f ca="1">IFERROR(__xludf.DUMMYFUNCTION("IFERROR(VLOOKUP(F434,IMPORTRANGE(""https://docs.google.com/spreadsheets/d/1Kvs4KS76FHFqLFIZfrDMff4kP08nblUkihrxltoGBjg/edit#gid=934712705"",""ESENCIAL!A6:BG""),5,FALSE))"),"")</f>
        <v/>
      </c>
      <c r="BG417" s="44" t="str">
        <f t="shared" si="37"/>
        <v/>
      </c>
      <c r="BH417" s="41" t="str">
        <f t="shared" si="38"/>
        <v/>
      </c>
      <c r="BI417" s="41" t="str">
        <f ca="1">IFERROR(__xludf.DUMMYFUNCTION("IFERROR(VLOOKUP(F434,IMPORTRANGE(""https://docs.google.com/spreadsheets/d/1Kvs4KS76FHFqLFIZfrDMff4kP08nblUkihrxltoGBjg/edit#gid=934712705"",""ESENCIAL!A6:BG""),18,FALSE))"),"")</f>
        <v/>
      </c>
      <c r="BJ417" s="19" t="str">
        <f t="shared" si="39"/>
        <v/>
      </c>
      <c r="BK417" s="41"/>
      <c r="BL417" s="41"/>
    </row>
    <row r="418" spans="1:64" ht="15">
      <c r="A418" s="4"/>
      <c r="B418" s="4"/>
      <c r="G418" s="5" t="str">
        <f ca="1">IFERROR(__xludf.DUMMYFUNCTION("IFERROR(VLOOKUP(F435,IMPORTRANGE(""https://docs.google.com/spreadsheets/d/1Kvs4KS76FHFqLFIZfrDMff4kP08nblUkihrxltoGBjg/edit#gid=934712705"",""ESENCIAL!A6:BG""),3,FALSE))"),"")</f>
        <v/>
      </c>
      <c r="H418" s="5" t="str">
        <f ca="1">IFERROR(__xludf.DUMMYFUNCTION("IFERROR(VLOOKUP(F435,IMPORTRANGE(""https://docs.google.com/spreadsheets/d/1Kvs4KS76FHFqLFIZfrDMff4kP08nblUkihrxltoGBjg/edit#gid=934712705"",""ESENCIAL!A6:BG""),8,FALSE))"),"")</f>
        <v/>
      </c>
      <c r="L418" s="287"/>
      <c r="S418"/>
      <c r="AU418" s="41" t="str">
        <f t="shared" si="36"/>
        <v/>
      </c>
      <c r="AV418" s="5" t="str">
        <f ca="1">IFERROR(__xludf.DUMMYFUNCTION("IFERROR(VLOOKUP(E435&amp;F435,IMPORTRANGE(""https://docs.google.com/spreadsheets/d/1Uw7-A9f9R21vMXxHZFNpYNeKFtG8_yji4HS352LGlSQ/edit?pli=1#gid=0"",""1_ACUM!A4:S""),11,FALSE))"),"")</f>
        <v/>
      </c>
      <c r="AW418" s="42" t="str">
        <f ca="1">IFERROR(__xludf.DUMMYFUNCTION("IFERROR(VLOOKUP(F435,IMPORTRANGE(""https://docs.google.com/spreadsheets/d/1Kvs4KS76FHFqLFIZfrDMff4kP08nblUkihrxltoGBjg/edit#gid=934712705"",""ESENCIAL!A6:BG""),15,FALSE))"),"")</f>
        <v/>
      </c>
      <c r="AX418" s="21" t="str">
        <f ca="1">IFERROR(__xludf.DUMMYFUNCTION("IFERROR(VLOOKUP(E435&amp;F435,IMPORTRANGE(""https://docs.google.com/spreadsheets/d/1Uw7-A9f9R21vMXxHZFNpYNeKFtG8_yji4HS352LGlSQ/edit?pli=1#gid=0"",""1_ACUM!A4:S""),12,FALSE))"),"")</f>
        <v/>
      </c>
      <c r="AY418" s="43" t="str">
        <f ca="1">IFERROR(__xludf.DUMMYFUNCTION("IFERROR(VLOOKUP(E435&amp;F435,IMPORTRANGE(""https://docs.google.com/spreadsheets/d/1Uw7-A9f9R21vMXxHZFNpYNeKFtG8_yji4HS352LGlSQ/edit?pli=1#gid=0"",""1_ACUM!A4:S""),13,FALSE))"),"")</f>
        <v/>
      </c>
      <c r="AZ418" s="43" t="str">
        <f ca="1">IFERROR(__xludf.DUMMYFUNCTION("IFERROR(VLOOKUP(E435&amp;F435,IMPORTRANGE(""https://docs.google.com/spreadsheets/d/1Uw7-A9f9R21vMXxHZFNpYNeKFtG8_yji4HS352LGlSQ/edit?pli=1#gid=0"",""1_ACUM!A4:S""),14,FALSE))"),"")</f>
        <v/>
      </c>
      <c r="BA418" s="43" t="str">
        <f ca="1">IFERROR(__xludf.DUMMYFUNCTION("IFERROR(VLOOKUP(E435&amp;F435,IMPORTRANGE(""https://docs.google.com/spreadsheets/d/1Uw7-A9f9R21vMXxHZFNpYNeKFtG8_yji4HS352LGlSQ/edit?pli=1#gid=0"",""1_ACUM!A4:S""),15,FALSE))"),"")</f>
        <v/>
      </c>
      <c r="BB418" s="43" t="str">
        <f ca="1">IFERROR(__xludf.DUMMYFUNCTION("IFERROR(VLOOKUP(E435&amp;F435,IMPORTRANGE(""https://docs.google.com/spreadsheets/d/1Uw7-A9f9R21vMXxHZFNpYNeKFtG8_yji4HS352LGlSQ/edit?pli=1#gid=0"",""1_ACUM!A4:S""),16,FALSE))"),"")</f>
        <v/>
      </c>
      <c r="BC418" s="43" t="str">
        <f ca="1">IFERROR(__xludf.DUMMYFUNCTION("IFERROR(VLOOKUP(E435&amp;F435,IMPORTRANGE(""https://docs.google.com/spreadsheets/d/1Uw7-A9f9R21vMXxHZFNpYNeKFtG8_yji4HS352LGlSQ/edit?pli=1#gid=0"",""1_ACUM!A4:S""),17,FALSE))"),"")</f>
        <v/>
      </c>
      <c r="BD418" s="44" t="str">
        <f ca="1">IFERROR(__xludf.DUMMYFUNCTION("IFERROR(VLOOKUP(E435&amp;F435,IMPORTRANGE(""https://docs.google.com/spreadsheets/d/1Uw7-A9f9R21vMXxHZFNpYNeKFtG8_yji4HS352LGlSQ/edit?pli=1#gid=0"",""1_ACUM!A4:S""),18,FALSE))"),"")</f>
        <v/>
      </c>
      <c r="BE418" s="44" t="str">
        <f ca="1">IFERROR(__xludf.DUMMYFUNCTION("IFERROR(VLOOKUP(E435&amp;F435,IMPORTRANGE(""https://docs.google.com/spreadsheets/d/1Uw7-A9f9R21vMXxHZFNpYNeKFtG8_yji4HS352LGlSQ/edit?pli=1#gid=0"",""1_ACUM!A4:S""),19,FALSE))"),"")</f>
        <v/>
      </c>
      <c r="BF418" s="44" t="str">
        <f ca="1">IFERROR(__xludf.DUMMYFUNCTION("IFERROR(VLOOKUP(F435,IMPORTRANGE(""https://docs.google.com/spreadsheets/d/1Kvs4KS76FHFqLFIZfrDMff4kP08nblUkihrxltoGBjg/edit#gid=934712705"",""ESENCIAL!A6:BG""),5,FALSE))"),"")</f>
        <v/>
      </c>
      <c r="BG418" s="44" t="str">
        <f t="shared" si="37"/>
        <v/>
      </c>
      <c r="BH418" s="41" t="str">
        <f t="shared" si="38"/>
        <v/>
      </c>
      <c r="BI418" s="41" t="str">
        <f ca="1">IFERROR(__xludf.DUMMYFUNCTION("IFERROR(VLOOKUP(F435,IMPORTRANGE(""https://docs.google.com/spreadsheets/d/1Kvs4KS76FHFqLFIZfrDMff4kP08nblUkihrxltoGBjg/edit#gid=934712705"",""ESENCIAL!A6:BG""),18,FALSE))"),"")</f>
        <v/>
      </c>
      <c r="BJ418" s="19" t="str">
        <f t="shared" si="39"/>
        <v/>
      </c>
      <c r="BK418" s="41"/>
      <c r="BL418" s="41"/>
    </row>
    <row r="419" spans="1:64" ht="15">
      <c r="A419" s="4"/>
      <c r="B419" s="4"/>
      <c r="G419" s="5" t="str">
        <f ca="1">IFERROR(__xludf.DUMMYFUNCTION("IFERROR(VLOOKUP(F436,IMPORTRANGE(""https://docs.google.com/spreadsheets/d/1Kvs4KS76FHFqLFIZfrDMff4kP08nblUkihrxltoGBjg/edit#gid=934712705"",""ESENCIAL!A6:BG""),3,FALSE))"),"")</f>
        <v/>
      </c>
      <c r="H419" s="5" t="str">
        <f ca="1">IFERROR(__xludf.DUMMYFUNCTION("IFERROR(VLOOKUP(F436,IMPORTRANGE(""https://docs.google.com/spreadsheets/d/1Kvs4KS76FHFqLFIZfrDMff4kP08nblUkihrxltoGBjg/edit#gid=934712705"",""ESENCIAL!A6:BG""),8,FALSE))"),"")</f>
        <v/>
      </c>
      <c r="L419" s="287"/>
      <c r="S419"/>
      <c r="AU419" s="41" t="str">
        <f t="shared" si="36"/>
        <v/>
      </c>
      <c r="AV419" s="5" t="str">
        <f ca="1">IFERROR(__xludf.DUMMYFUNCTION("IFERROR(VLOOKUP(E436&amp;F436,IMPORTRANGE(""https://docs.google.com/spreadsheets/d/1Uw7-A9f9R21vMXxHZFNpYNeKFtG8_yji4HS352LGlSQ/edit?pli=1#gid=0"",""1_ACUM!A4:S""),11,FALSE))"),"")</f>
        <v/>
      </c>
      <c r="AW419" s="42" t="str">
        <f ca="1">IFERROR(__xludf.DUMMYFUNCTION("IFERROR(VLOOKUP(F436,IMPORTRANGE(""https://docs.google.com/spreadsheets/d/1Kvs4KS76FHFqLFIZfrDMff4kP08nblUkihrxltoGBjg/edit#gid=934712705"",""ESENCIAL!A6:BG""),15,FALSE))"),"")</f>
        <v/>
      </c>
      <c r="AX419" s="21" t="str">
        <f ca="1">IFERROR(__xludf.DUMMYFUNCTION("IFERROR(VLOOKUP(E436&amp;F436,IMPORTRANGE(""https://docs.google.com/spreadsheets/d/1Uw7-A9f9R21vMXxHZFNpYNeKFtG8_yji4HS352LGlSQ/edit?pli=1#gid=0"",""1_ACUM!A4:S""),12,FALSE))"),"")</f>
        <v/>
      </c>
      <c r="AY419" s="43" t="str">
        <f ca="1">IFERROR(__xludf.DUMMYFUNCTION("IFERROR(VLOOKUP(E436&amp;F436,IMPORTRANGE(""https://docs.google.com/spreadsheets/d/1Uw7-A9f9R21vMXxHZFNpYNeKFtG8_yji4HS352LGlSQ/edit?pli=1#gid=0"",""1_ACUM!A4:S""),13,FALSE))"),"")</f>
        <v/>
      </c>
      <c r="AZ419" s="43" t="str">
        <f ca="1">IFERROR(__xludf.DUMMYFUNCTION("IFERROR(VLOOKUP(E436&amp;F436,IMPORTRANGE(""https://docs.google.com/spreadsheets/d/1Uw7-A9f9R21vMXxHZFNpYNeKFtG8_yji4HS352LGlSQ/edit?pli=1#gid=0"",""1_ACUM!A4:S""),14,FALSE))"),"")</f>
        <v/>
      </c>
      <c r="BA419" s="43" t="str">
        <f ca="1">IFERROR(__xludf.DUMMYFUNCTION("IFERROR(VLOOKUP(E436&amp;F436,IMPORTRANGE(""https://docs.google.com/spreadsheets/d/1Uw7-A9f9R21vMXxHZFNpYNeKFtG8_yji4HS352LGlSQ/edit?pli=1#gid=0"",""1_ACUM!A4:S""),15,FALSE))"),"")</f>
        <v/>
      </c>
      <c r="BB419" s="43" t="str">
        <f ca="1">IFERROR(__xludf.DUMMYFUNCTION("IFERROR(VLOOKUP(E436&amp;F436,IMPORTRANGE(""https://docs.google.com/spreadsheets/d/1Uw7-A9f9R21vMXxHZFNpYNeKFtG8_yji4HS352LGlSQ/edit?pli=1#gid=0"",""1_ACUM!A4:S""),16,FALSE))"),"")</f>
        <v/>
      </c>
      <c r="BC419" s="43" t="str">
        <f ca="1">IFERROR(__xludf.DUMMYFUNCTION("IFERROR(VLOOKUP(E436&amp;F436,IMPORTRANGE(""https://docs.google.com/spreadsheets/d/1Uw7-A9f9R21vMXxHZFNpYNeKFtG8_yji4HS352LGlSQ/edit?pli=1#gid=0"",""1_ACUM!A4:S""),17,FALSE))"),"")</f>
        <v/>
      </c>
      <c r="BD419" s="44" t="str">
        <f ca="1">IFERROR(__xludf.DUMMYFUNCTION("IFERROR(VLOOKUP(E436&amp;F436,IMPORTRANGE(""https://docs.google.com/spreadsheets/d/1Uw7-A9f9R21vMXxHZFNpYNeKFtG8_yji4HS352LGlSQ/edit?pli=1#gid=0"",""1_ACUM!A4:S""),18,FALSE))"),"")</f>
        <v/>
      </c>
      <c r="BE419" s="44" t="str">
        <f ca="1">IFERROR(__xludf.DUMMYFUNCTION("IFERROR(VLOOKUP(E436&amp;F436,IMPORTRANGE(""https://docs.google.com/spreadsheets/d/1Uw7-A9f9R21vMXxHZFNpYNeKFtG8_yji4HS352LGlSQ/edit?pli=1#gid=0"",""1_ACUM!A4:S""),19,FALSE))"),"")</f>
        <v/>
      </c>
      <c r="BF419" s="44" t="str">
        <f ca="1">IFERROR(__xludf.DUMMYFUNCTION("IFERROR(VLOOKUP(F436,IMPORTRANGE(""https://docs.google.com/spreadsheets/d/1Kvs4KS76FHFqLFIZfrDMff4kP08nblUkihrxltoGBjg/edit#gid=934712705"",""ESENCIAL!A6:BG""),5,FALSE))"),"")</f>
        <v/>
      </c>
      <c r="BG419" s="44" t="str">
        <f t="shared" si="37"/>
        <v/>
      </c>
      <c r="BH419" s="41" t="str">
        <f t="shared" si="38"/>
        <v/>
      </c>
      <c r="BI419" s="41" t="str">
        <f ca="1">IFERROR(__xludf.DUMMYFUNCTION("IFERROR(VLOOKUP(F436,IMPORTRANGE(""https://docs.google.com/spreadsheets/d/1Kvs4KS76FHFqLFIZfrDMff4kP08nblUkihrxltoGBjg/edit#gid=934712705"",""ESENCIAL!A6:BG""),18,FALSE))"),"")</f>
        <v/>
      </c>
      <c r="BJ419" s="19" t="str">
        <f t="shared" si="39"/>
        <v/>
      </c>
      <c r="BK419" s="41"/>
      <c r="BL419" s="41"/>
    </row>
    <row r="420" spans="1:64" ht="15">
      <c r="A420" s="4"/>
      <c r="B420" s="4"/>
      <c r="G420" s="5" t="str">
        <f ca="1">IFERROR(__xludf.DUMMYFUNCTION("IFERROR(VLOOKUP(F437,IMPORTRANGE(""https://docs.google.com/spreadsheets/d/1Kvs4KS76FHFqLFIZfrDMff4kP08nblUkihrxltoGBjg/edit#gid=934712705"",""ESENCIAL!A6:BG""),3,FALSE))"),"")</f>
        <v/>
      </c>
      <c r="H420" s="5" t="str">
        <f ca="1">IFERROR(__xludf.DUMMYFUNCTION("IFERROR(VLOOKUP(F437,IMPORTRANGE(""https://docs.google.com/spreadsheets/d/1Kvs4KS76FHFqLFIZfrDMff4kP08nblUkihrxltoGBjg/edit#gid=934712705"",""ESENCIAL!A6:BG""),8,FALSE))"),"")</f>
        <v/>
      </c>
      <c r="L420" s="287"/>
      <c r="S420"/>
      <c r="AU420" s="41" t="str">
        <f t="shared" si="36"/>
        <v/>
      </c>
      <c r="AV420" s="5" t="str">
        <f ca="1">IFERROR(__xludf.DUMMYFUNCTION("IFERROR(VLOOKUP(E437&amp;F437,IMPORTRANGE(""https://docs.google.com/spreadsheets/d/1Uw7-A9f9R21vMXxHZFNpYNeKFtG8_yji4HS352LGlSQ/edit?pli=1#gid=0"",""1_ACUM!A4:S""),11,FALSE))"),"")</f>
        <v/>
      </c>
      <c r="AW420" s="42" t="str">
        <f ca="1">IFERROR(__xludf.DUMMYFUNCTION("IFERROR(VLOOKUP(F437,IMPORTRANGE(""https://docs.google.com/spreadsheets/d/1Kvs4KS76FHFqLFIZfrDMff4kP08nblUkihrxltoGBjg/edit#gid=934712705"",""ESENCIAL!A6:BG""),15,FALSE))"),"")</f>
        <v/>
      </c>
      <c r="AX420" s="21" t="str">
        <f ca="1">IFERROR(__xludf.DUMMYFUNCTION("IFERROR(VLOOKUP(E437&amp;F437,IMPORTRANGE(""https://docs.google.com/spreadsheets/d/1Uw7-A9f9R21vMXxHZFNpYNeKFtG8_yji4HS352LGlSQ/edit?pli=1#gid=0"",""1_ACUM!A4:S""),12,FALSE))"),"")</f>
        <v/>
      </c>
      <c r="AY420" s="43" t="str">
        <f ca="1">IFERROR(__xludf.DUMMYFUNCTION("IFERROR(VLOOKUP(E437&amp;F437,IMPORTRANGE(""https://docs.google.com/spreadsheets/d/1Uw7-A9f9R21vMXxHZFNpYNeKFtG8_yji4HS352LGlSQ/edit?pli=1#gid=0"",""1_ACUM!A4:S""),13,FALSE))"),"")</f>
        <v/>
      </c>
      <c r="AZ420" s="43" t="str">
        <f ca="1">IFERROR(__xludf.DUMMYFUNCTION("IFERROR(VLOOKUP(E437&amp;F437,IMPORTRANGE(""https://docs.google.com/spreadsheets/d/1Uw7-A9f9R21vMXxHZFNpYNeKFtG8_yji4HS352LGlSQ/edit?pli=1#gid=0"",""1_ACUM!A4:S""),14,FALSE))"),"")</f>
        <v/>
      </c>
      <c r="BA420" s="43" t="str">
        <f ca="1">IFERROR(__xludf.DUMMYFUNCTION("IFERROR(VLOOKUP(E437&amp;F437,IMPORTRANGE(""https://docs.google.com/spreadsheets/d/1Uw7-A9f9R21vMXxHZFNpYNeKFtG8_yji4HS352LGlSQ/edit?pli=1#gid=0"",""1_ACUM!A4:S""),15,FALSE))"),"")</f>
        <v/>
      </c>
      <c r="BB420" s="43" t="str">
        <f ca="1">IFERROR(__xludf.DUMMYFUNCTION("IFERROR(VLOOKUP(E437&amp;F437,IMPORTRANGE(""https://docs.google.com/spreadsheets/d/1Uw7-A9f9R21vMXxHZFNpYNeKFtG8_yji4HS352LGlSQ/edit?pli=1#gid=0"",""1_ACUM!A4:S""),16,FALSE))"),"")</f>
        <v/>
      </c>
      <c r="BC420" s="43" t="str">
        <f ca="1">IFERROR(__xludf.DUMMYFUNCTION("IFERROR(VLOOKUP(E437&amp;F437,IMPORTRANGE(""https://docs.google.com/spreadsheets/d/1Uw7-A9f9R21vMXxHZFNpYNeKFtG8_yji4HS352LGlSQ/edit?pli=1#gid=0"",""1_ACUM!A4:S""),17,FALSE))"),"")</f>
        <v/>
      </c>
      <c r="BD420" s="44" t="str">
        <f ca="1">IFERROR(__xludf.DUMMYFUNCTION("IFERROR(VLOOKUP(E437&amp;F437,IMPORTRANGE(""https://docs.google.com/spreadsheets/d/1Uw7-A9f9R21vMXxHZFNpYNeKFtG8_yji4HS352LGlSQ/edit?pli=1#gid=0"",""1_ACUM!A4:S""),18,FALSE))"),"")</f>
        <v/>
      </c>
      <c r="BE420" s="44" t="str">
        <f ca="1">IFERROR(__xludf.DUMMYFUNCTION("IFERROR(VLOOKUP(E437&amp;F437,IMPORTRANGE(""https://docs.google.com/spreadsheets/d/1Uw7-A9f9R21vMXxHZFNpYNeKFtG8_yji4HS352LGlSQ/edit?pli=1#gid=0"",""1_ACUM!A4:S""),19,FALSE))"),"")</f>
        <v/>
      </c>
      <c r="BF420" s="44" t="str">
        <f ca="1">IFERROR(__xludf.DUMMYFUNCTION("IFERROR(VLOOKUP(F437,IMPORTRANGE(""https://docs.google.com/spreadsheets/d/1Kvs4KS76FHFqLFIZfrDMff4kP08nblUkihrxltoGBjg/edit#gid=934712705"",""ESENCIAL!A6:BG""),5,FALSE))"),"")</f>
        <v/>
      </c>
      <c r="BG420" s="44" t="str">
        <f t="shared" si="37"/>
        <v/>
      </c>
      <c r="BH420" s="41" t="str">
        <f t="shared" si="38"/>
        <v/>
      </c>
      <c r="BI420" s="41" t="str">
        <f ca="1">IFERROR(__xludf.DUMMYFUNCTION("IFERROR(VLOOKUP(F437,IMPORTRANGE(""https://docs.google.com/spreadsheets/d/1Kvs4KS76FHFqLFIZfrDMff4kP08nblUkihrxltoGBjg/edit#gid=934712705"",""ESENCIAL!A6:BG""),18,FALSE))"),"")</f>
        <v/>
      </c>
      <c r="BJ420" s="19" t="str">
        <f t="shared" si="39"/>
        <v/>
      </c>
      <c r="BK420" s="41"/>
      <c r="BL420" s="41"/>
    </row>
    <row r="421" spans="1:64" ht="15">
      <c r="A421" s="4"/>
      <c r="B421" s="4"/>
      <c r="G421" s="5" t="str">
        <f ca="1">IFERROR(__xludf.DUMMYFUNCTION("IFERROR(VLOOKUP(F438,IMPORTRANGE(""https://docs.google.com/spreadsheets/d/1Kvs4KS76FHFqLFIZfrDMff4kP08nblUkihrxltoGBjg/edit#gid=934712705"",""ESENCIAL!A6:BG""),3,FALSE))"),"")</f>
        <v/>
      </c>
      <c r="H421" s="5" t="str">
        <f ca="1">IFERROR(__xludf.DUMMYFUNCTION("IFERROR(VLOOKUP(F438,IMPORTRANGE(""https://docs.google.com/spreadsheets/d/1Kvs4KS76FHFqLFIZfrDMff4kP08nblUkihrxltoGBjg/edit#gid=934712705"",""ESENCIAL!A6:BG""),8,FALSE))"),"")</f>
        <v/>
      </c>
      <c r="L421" s="287"/>
      <c r="S421"/>
      <c r="AU421" s="41" t="str">
        <f t="shared" si="36"/>
        <v/>
      </c>
      <c r="AV421" s="5" t="str">
        <f ca="1">IFERROR(__xludf.DUMMYFUNCTION("IFERROR(VLOOKUP(E438&amp;F438,IMPORTRANGE(""https://docs.google.com/spreadsheets/d/1Uw7-A9f9R21vMXxHZFNpYNeKFtG8_yji4HS352LGlSQ/edit?pli=1#gid=0"",""1_ACUM!A4:S""),11,FALSE))"),"")</f>
        <v/>
      </c>
      <c r="AW421" s="42" t="str">
        <f ca="1">IFERROR(__xludf.DUMMYFUNCTION("IFERROR(VLOOKUP(F438,IMPORTRANGE(""https://docs.google.com/spreadsheets/d/1Kvs4KS76FHFqLFIZfrDMff4kP08nblUkihrxltoGBjg/edit#gid=934712705"",""ESENCIAL!A6:BG""),15,FALSE))"),"")</f>
        <v/>
      </c>
      <c r="AX421" s="21" t="str">
        <f ca="1">IFERROR(__xludf.DUMMYFUNCTION("IFERROR(VLOOKUP(E438&amp;F438,IMPORTRANGE(""https://docs.google.com/spreadsheets/d/1Uw7-A9f9R21vMXxHZFNpYNeKFtG8_yji4HS352LGlSQ/edit?pli=1#gid=0"",""1_ACUM!A4:S""),12,FALSE))"),"")</f>
        <v/>
      </c>
      <c r="AY421" s="43" t="str">
        <f ca="1">IFERROR(__xludf.DUMMYFUNCTION("IFERROR(VLOOKUP(E438&amp;F438,IMPORTRANGE(""https://docs.google.com/spreadsheets/d/1Uw7-A9f9R21vMXxHZFNpYNeKFtG8_yji4HS352LGlSQ/edit?pli=1#gid=0"",""1_ACUM!A4:S""),13,FALSE))"),"")</f>
        <v/>
      </c>
      <c r="AZ421" s="43" t="str">
        <f ca="1">IFERROR(__xludf.DUMMYFUNCTION("IFERROR(VLOOKUP(E438&amp;F438,IMPORTRANGE(""https://docs.google.com/spreadsheets/d/1Uw7-A9f9R21vMXxHZFNpYNeKFtG8_yji4HS352LGlSQ/edit?pli=1#gid=0"",""1_ACUM!A4:S""),14,FALSE))"),"")</f>
        <v/>
      </c>
      <c r="BA421" s="43" t="str">
        <f ca="1">IFERROR(__xludf.DUMMYFUNCTION("IFERROR(VLOOKUP(E438&amp;F438,IMPORTRANGE(""https://docs.google.com/spreadsheets/d/1Uw7-A9f9R21vMXxHZFNpYNeKFtG8_yji4HS352LGlSQ/edit?pli=1#gid=0"",""1_ACUM!A4:S""),15,FALSE))"),"")</f>
        <v/>
      </c>
      <c r="BB421" s="43" t="str">
        <f ca="1">IFERROR(__xludf.DUMMYFUNCTION("IFERROR(VLOOKUP(E438&amp;F438,IMPORTRANGE(""https://docs.google.com/spreadsheets/d/1Uw7-A9f9R21vMXxHZFNpYNeKFtG8_yji4HS352LGlSQ/edit?pli=1#gid=0"",""1_ACUM!A4:S""),16,FALSE))"),"")</f>
        <v/>
      </c>
      <c r="BC421" s="43" t="str">
        <f ca="1">IFERROR(__xludf.DUMMYFUNCTION("IFERROR(VLOOKUP(E438&amp;F438,IMPORTRANGE(""https://docs.google.com/spreadsheets/d/1Uw7-A9f9R21vMXxHZFNpYNeKFtG8_yji4HS352LGlSQ/edit?pli=1#gid=0"",""1_ACUM!A4:S""),17,FALSE))"),"")</f>
        <v/>
      </c>
      <c r="BD421" s="44" t="str">
        <f ca="1">IFERROR(__xludf.DUMMYFUNCTION("IFERROR(VLOOKUP(E438&amp;F438,IMPORTRANGE(""https://docs.google.com/spreadsheets/d/1Uw7-A9f9R21vMXxHZFNpYNeKFtG8_yji4HS352LGlSQ/edit?pli=1#gid=0"",""1_ACUM!A4:S""),18,FALSE))"),"")</f>
        <v/>
      </c>
      <c r="BE421" s="44" t="str">
        <f ca="1">IFERROR(__xludf.DUMMYFUNCTION("IFERROR(VLOOKUP(E438&amp;F438,IMPORTRANGE(""https://docs.google.com/spreadsheets/d/1Uw7-A9f9R21vMXxHZFNpYNeKFtG8_yji4HS352LGlSQ/edit?pli=1#gid=0"",""1_ACUM!A4:S""),19,FALSE))"),"")</f>
        <v/>
      </c>
      <c r="BF421" s="44" t="str">
        <f ca="1">IFERROR(__xludf.DUMMYFUNCTION("IFERROR(VLOOKUP(F438,IMPORTRANGE(""https://docs.google.com/spreadsheets/d/1Kvs4KS76FHFqLFIZfrDMff4kP08nblUkihrxltoGBjg/edit#gid=934712705"",""ESENCIAL!A6:BG""),5,FALSE))"),"")</f>
        <v/>
      </c>
      <c r="BG421" s="44" t="str">
        <f t="shared" si="37"/>
        <v/>
      </c>
      <c r="BH421" s="41" t="str">
        <f t="shared" si="38"/>
        <v/>
      </c>
      <c r="BI421" s="41" t="str">
        <f ca="1">IFERROR(__xludf.DUMMYFUNCTION("IFERROR(VLOOKUP(F438,IMPORTRANGE(""https://docs.google.com/spreadsheets/d/1Kvs4KS76FHFqLFIZfrDMff4kP08nblUkihrxltoGBjg/edit#gid=934712705"",""ESENCIAL!A6:BG""),18,FALSE))"),"")</f>
        <v/>
      </c>
      <c r="BJ421" s="19" t="str">
        <f t="shared" si="39"/>
        <v/>
      </c>
      <c r="BK421" s="41"/>
      <c r="BL421" s="41"/>
    </row>
    <row r="422" spans="1:64" ht="15">
      <c r="A422" s="4"/>
      <c r="B422" s="4"/>
      <c r="G422" s="5" t="str">
        <f ca="1">IFERROR(__xludf.DUMMYFUNCTION("IFERROR(VLOOKUP(F439,IMPORTRANGE(""https://docs.google.com/spreadsheets/d/1Kvs4KS76FHFqLFIZfrDMff4kP08nblUkihrxltoGBjg/edit#gid=934712705"",""ESENCIAL!A6:BG""),3,FALSE))"),"")</f>
        <v/>
      </c>
      <c r="H422" s="5" t="str">
        <f ca="1">IFERROR(__xludf.DUMMYFUNCTION("IFERROR(VLOOKUP(F439,IMPORTRANGE(""https://docs.google.com/spreadsheets/d/1Kvs4KS76FHFqLFIZfrDMff4kP08nblUkihrxltoGBjg/edit#gid=934712705"",""ESENCIAL!A6:BG""),8,FALSE))"),"")</f>
        <v/>
      </c>
      <c r="L422" s="287"/>
      <c r="S422"/>
      <c r="AU422" s="41" t="str">
        <f t="shared" si="36"/>
        <v/>
      </c>
      <c r="AV422" s="5" t="str">
        <f ca="1">IFERROR(__xludf.DUMMYFUNCTION("IFERROR(VLOOKUP(E439&amp;F439,IMPORTRANGE(""https://docs.google.com/spreadsheets/d/1Uw7-A9f9R21vMXxHZFNpYNeKFtG8_yji4HS352LGlSQ/edit?pli=1#gid=0"",""1_ACUM!A4:S""),11,FALSE))"),"")</f>
        <v/>
      </c>
      <c r="AW422" s="42" t="str">
        <f ca="1">IFERROR(__xludf.DUMMYFUNCTION("IFERROR(VLOOKUP(F439,IMPORTRANGE(""https://docs.google.com/spreadsheets/d/1Kvs4KS76FHFqLFIZfrDMff4kP08nblUkihrxltoGBjg/edit#gid=934712705"",""ESENCIAL!A6:BG""),15,FALSE))"),"")</f>
        <v/>
      </c>
      <c r="AX422" s="21" t="str">
        <f ca="1">IFERROR(__xludf.DUMMYFUNCTION("IFERROR(VLOOKUP(E439&amp;F439,IMPORTRANGE(""https://docs.google.com/spreadsheets/d/1Uw7-A9f9R21vMXxHZFNpYNeKFtG8_yji4HS352LGlSQ/edit?pli=1#gid=0"",""1_ACUM!A4:S""),12,FALSE))"),"")</f>
        <v/>
      </c>
      <c r="AY422" s="43" t="str">
        <f ca="1">IFERROR(__xludf.DUMMYFUNCTION("IFERROR(VLOOKUP(E439&amp;F439,IMPORTRANGE(""https://docs.google.com/spreadsheets/d/1Uw7-A9f9R21vMXxHZFNpYNeKFtG8_yji4HS352LGlSQ/edit?pli=1#gid=0"",""1_ACUM!A4:S""),13,FALSE))"),"")</f>
        <v/>
      </c>
      <c r="AZ422" s="43" t="str">
        <f ca="1">IFERROR(__xludf.DUMMYFUNCTION("IFERROR(VLOOKUP(E439&amp;F439,IMPORTRANGE(""https://docs.google.com/spreadsheets/d/1Uw7-A9f9R21vMXxHZFNpYNeKFtG8_yji4HS352LGlSQ/edit?pli=1#gid=0"",""1_ACUM!A4:S""),14,FALSE))"),"")</f>
        <v/>
      </c>
      <c r="BA422" s="43" t="str">
        <f ca="1">IFERROR(__xludf.DUMMYFUNCTION("IFERROR(VLOOKUP(E439&amp;F439,IMPORTRANGE(""https://docs.google.com/spreadsheets/d/1Uw7-A9f9R21vMXxHZFNpYNeKFtG8_yji4HS352LGlSQ/edit?pli=1#gid=0"",""1_ACUM!A4:S""),15,FALSE))"),"")</f>
        <v/>
      </c>
      <c r="BB422" s="43" t="str">
        <f ca="1">IFERROR(__xludf.DUMMYFUNCTION("IFERROR(VLOOKUP(E439&amp;F439,IMPORTRANGE(""https://docs.google.com/spreadsheets/d/1Uw7-A9f9R21vMXxHZFNpYNeKFtG8_yji4HS352LGlSQ/edit?pli=1#gid=0"",""1_ACUM!A4:S""),16,FALSE))"),"")</f>
        <v/>
      </c>
      <c r="BC422" s="43" t="str">
        <f ca="1">IFERROR(__xludf.DUMMYFUNCTION("IFERROR(VLOOKUP(E439&amp;F439,IMPORTRANGE(""https://docs.google.com/spreadsheets/d/1Uw7-A9f9R21vMXxHZFNpYNeKFtG8_yji4HS352LGlSQ/edit?pli=1#gid=0"",""1_ACUM!A4:S""),17,FALSE))"),"")</f>
        <v/>
      </c>
      <c r="BD422" s="44" t="str">
        <f ca="1">IFERROR(__xludf.DUMMYFUNCTION("IFERROR(VLOOKUP(E439&amp;F439,IMPORTRANGE(""https://docs.google.com/spreadsheets/d/1Uw7-A9f9R21vMXxHZFNpYNeKFtG8_yji4HS352LGlSQ/edit?pli=1#gid=0"",""1_ACUM!A4:S""),18,FALSE))"),"")</f>
        <v/>
      </c>
      <c r="BE422" s="44" t="str">
        <f ca="1">IFERROR(__xludf.DUMMYFUNCTION("IFERROR(VLOOKUP(E439&amp;F439,IMPORTRANGE(""https://docs.google.com/spreadsheets/d/1Uw7-A9f9R21vMXxHZFNpYNeKFtG8_yji4HS352LGlSQ/edit?pli=1#gid=0"",""1_ACUM!A4:S""),19,FALSE))"),"")</f>
        <v/>
      </c>
      <c r="BF422" s="44" t="str">
        <f ca="1">IFERROR(__xludf.DUMMYFUNCTION("IFERROR(VLOOKUP(F439,IMPORTRANGE(""https://docs.google.com/spreadsheets/d/1Kvs4KS76FHFqLFIZfrDMff4kP08nblUkihrxltoGBjg/edit#gid=934712705"",""ESENCIAL!A6:BG""),5,FALSE))"),"")</f>
        <v/>
      </c>
      <c r="BG422" s="44" t="str">
        <f t="shared" si="37"/>
        <v/>
      </c>
      <c r="BH422" s="41" t="str">
        <f t="shared" si="38"/>
        <v/>
      </c>
      <c r="BI422" s="41" t="str">
        <f ca="1">IFERROR(__xludf.DUMMYFUNCTION("IFERROR(VLOOKUP(F439,IMPORTRANGE(""https://docs.google.com/spreadsheets/d/1Kvs4KS76FHFqLFIZfrDMff4kP08nblUkihrxltoGBjg/edit#gid=934712705"",""ESENCIAL!A6:BG""),18,FALSE))"),"")</f>
        <v/>
      </c>
      <c r="BJ422" s="19" t="str">
        <f t="shared" si="39"/>
        <v/>
      </c>
      <c r="BK422" s="41"/>
      <c r="BL422" s="41"/>
    </row>
    <row r="423" spans="1:64" ht="15">
      <c r="A423" s="4"/>
      <c r="B423" s="4"/>
      <c r="G423" s="5" t="str">
        <f ca="1">IFERROR(__xludf.DUMMYFUNCTION("IFERROR(VLOOKUP(F440,IMPORTRANGE(""https://docs.google.com/spreadsheets/d/1Kvs4KS76FHFqLFIZfrDMff4kP08nblUkihrxltoGBjg/edit#gid=934712705"",""ESENCIAL!A6:BG""),3,FALSE))"),"")</f>
        <v/>
      </c>
      <c r="H423" s="5" t="str">
        <f ca="1">IFERROR(__xludf.DUMMYFUNCTION("IFERROR(VLOOKUP(F440,IMPORTRANGE(""https://docs.google.com/spreadsheets/d/1Kvs4KS76FHFqLFIZfrDMff4kP08nblUkihrxltoGBjg/edit#gid=934712705"",""ESENCIAL!A6:BG""),8,FALSE))"),"")</f>
        <v/>
      </c>
      <c r="L423" s="287"/>
      <c r="S423"/>
      <c r="AU423" s="41" t="str">
        <f t="shared" si="36"/>
        <v/>
      </c>
      <c r="AV423" s="5" t="str">
        <f ca="1">IFERROR(__xludf.DUMMYFUNCTION("IFERROR(VLOOKUP(E440&amp;F440,IMPORTRANGE(""https://docs.google.com/spreadsheets/d/1Uw7-A9f9R21vMXxHZFNpYNeKFtG8_yji4HS352LGlSQ/edit?pli=1#gid=0"",""1_ACUM!A4:S""),11,FALSE))"),"")</f>
        <v/>
      </c>
      <c r="AW423" s="42" t="str">
        <f ca="1">IFERROR(__xludf.DUMMYFUNCTION("IFERROR(VLOOKUP(F440,IMPORTRANGE(""https://docs.google.com/spreadsheets/d/1Kvs4KS76FHFqLFIZfrDMff4kP08nblUkihrxltoGBjg/edit#gid=934712705"",""ESENCIAL!A6:BG""),15,FALSE))"),"")</f>
        <v/>
      </c>
      <c r="AX423" s="21" t="str">
        <f ca="1">IFERROR(__xludf.DUMMYFUNCTION("IFERROR(VLOOKUP(E440&amp;F440,IMPORTRANGE(""https://docs.google.com/spreadsheets/d/1Uw7-A9f9R21vMXxHZFNpYNeKFtG8_yji4HS352LGlSQ/edit?pli=1#gid=0"",""1_ACUM!A4:S""),12,FALSE))"),"")</f>
        <v/>
      </c>
      <c r="AY423" s="43" t="str">
        <f ca="1">IFERROR(__xludf.DUMMYFUNCTION("IFERROR(VLOOKUP(E440&amp;F440,IMPORTRANGE(""https://docs.google.com/spreadsheets/d/1Uw7-A9f9R21vMXxHZFNpYNeKFtG8_yji4HS352LGlSQ/edit?pli=1#gid=0"",""1_ACUM!A4:S""),13,FALSE))"),"")</f>
        <v/>
      </c>
      <c r="AZ423" s="43" t="str">
        <f ca="1">IFERROR(__xludf.DUMMYFUNCTION("IFERROR(VLOOKUP(E440&amp;F440,IMPORTRANGE(""https://docs.google.com/spreadsheets/d/1Uw7-A9f9R21vMXxHZFNpYNeKFtG8_yji4HS352LGlSQ/edit?pli=1#gid=0"",""1_ACUM!A4:S""),14,FALSE))"),"")</f>
        <v/>
      </c>
      <c r="BA423" s="43" t="str">
        <f ca="1">IFERROR(__xludf.DUMMYFUNCTION("IFERROR(VLOOKUP(E440&amp;F440,IMPORTRANGE(""https://docs.google.com/spreadsheets/d/1Uw7-A9f9R21vMXxHZFNpYNeKFtG8_yji4HS352LGlSQ/edit?pli=1#gid=0"",""1_ACUM!A4:S""),15,FALSE))"),"")</f>
        <v/>
      </c>
      <c r="BB423" s="43" t="str">
        <f ca="1">IFERROR(__xludf.DUMMYFUNCTION("IFERROR(VLOOKUP(E440&amp;F440,IMPORTRANGE(""https://docs.google.com/spreadsheets/d/1Uw7-A9f9R21vMXxHZFNpYNeKFtG8_yji4HS352LGlSQ/edit?pli=1#gid=0"",""1_ACUM!A4:S""),16,FALSE))"),"")</f>
        <v/>
      </c>
      <c r="BC423" s="43" t="str">
        <f ca="1">IFERROR(__xludf.DUMMYFUNCTION("IFERROR(VLOOKUP(E440&amp;F440,IMPORTRANGE(""https://docs.google.com/spreadsheets/d/1Uw7-A9f9R21vMXxHZFNpYNeKFtG8_yji4HS352LGlSQ/edit?pli=1#gid=0"",""1_ACUM!A4:S""),17,FALSE))"),"")</f>
        <v/>
      </c>
      <c r="BD423" s="44" t="str">
        <f ca="1">IFERROR(__xludf.DUMMYFUNCTION("IFERROR(VLOOKUP(E440&amp;F440,IMPORTRANGE(""https://docs.google.com/spreadsheets/d/1Uw7-A9f9R21vMXxHZFNpYNeKFtG8_yji4HS352LGlSQ/edit?pli=1#gid=0"",""1_ACUM!A4:S""),18,FALSE))"),"")</f>
        <v/>
      </c>
      <c r="BE423" s="44" t="str">
        <f ca="1">IFERROR(__xludf.DUMMYFUNCTION("IFERROR(VLOOKUP(E440&amp;F440,IMPORTRANGE(""https://docs.google.com/spreadsheets/d/1Uw7-A9f9R21vMXxHZFNpYNeKFtG8_yji4HS352LGlSQ/edit?pli=1#gid=0"",""1_ACUM!A4:S""),19,FALSE))"),"")</f>
        <v/>
      </c>
      <c r="BF423" s="44" t="str">
        <f ca="1">IFERROR(__xludf.DUMMYFUNCTION("IFERROR(VLOOKUP(F440,IMPORTRANGE(""https://docs.google.com/spreadsheets/d/1Kvs4KS76FHFqLFIZfrDMff4kP08nblUkihrxltoGBjg/edit#gid=934712705"",""ESENCIAL!A6:BG""),5,FALSE))"),"")</f>
        <v/>
      </c>
      <c r="BG423" s="44" t="str">
        <f t="shared" si="37"/>
        <v/>
      </c>
      <c r="BH423" s="41" t="str">
        <f t="shared" si="38"/>
        <v/>
      </c>
      <c r="BI423" s="41" t="str">
        <f ca="1">IFERROR(__xludf.DUMMYFUNCTION("IFERROR(VLOOKUP(F440,IMPORTRANGE(""https://docs.google.com/spreadsheets/d/1Kvs4KS76FHFqLFIZfrDMff4kP08nblUkihrxltoGBjg/edit#gid=934712705"",""ESENCIAL!A6:BG""),18,FALSE))"),"")</f>
        <v/>
      </c>
      <c r="BJ423" s="19" t="str">
        <f t="shared" si="39"/>
        <v/>
      </c>
      <c r="BK423" s="41"/>
      <c r="BL423" s="41"/>
    </row>
    <row r="424" spans="1:64" ht="15">
      <c r="A424" s="4"/>
      <c r="B424" s="4"/>
      <c r="G424" s="5" t="str">
        <f ca="1">IFERROR(__xludf.DUMMYFUNCTION("IFERROR(VLOOKUP(F441,IMPORTRANGE(""https://docs.google.com/spreadsheets/d/1Kvs4KS76FHFqLFIZfrDMff4kP08nblUkihrxltoGBjg/edit#gid=934712705"",""ESENCIAL!A6:BG""),3,FALSE))"),"")</f>
        <v/>
      </c>
      <c r="H424" s="5" t="str">
        <f ca="1">IFERROR(__xludf.DUMMYFUNCTION("IFERROR(VLOOKUP(F441,IMPORTRANGE(""https://docs.google.com/spreadsheets/d/1Kvs4KS76FHFqLFIZfrDMff4kP08nblUkihrxltoGBjg/edit#gid=934712705"",""ESENCIAL!A6:BG""),8,FALSE))"),"")</f>
        <v/>
      </c>
      <c r="L424" s="287"/>
      <c r="S424"/>
      <c r="AU424" s="41" t="str">
        <f t="shared" si="36"/>
        <v/>
      </c>
      <c r="AV424" s="5" t="str">
        <f ca="1">IFERROR(__xludf.DUMMYFUNCTION("IFERROR(VLOOKUP(E441&amp;F441,IMPORTRANGE(""https://docs.google.com/spreadsheets/d/1Uw7-A9f9R21vMXxHZFNpYNeKFtG8_yji4HS352LGlSQ/edit?pli=1#gid=0"",""1_ACUM!A4:S""),11,FALSE))"),"")</f>
        <v/>
      </c>
      <c r="AW424" s="42" t="str">
        <f ca="1">IFERROR(__xludf.DUMMYFUNCTION("IFERROR(VLOOKUP(F441,IMPORTRANGE(""https://docs.google.com/spreadsheets/d/1Kvs4KS76FHFqLFIZfrDMff4kP08nblUkihrxltoGBjg/edit#gid=934712705"",""ESENCIAL!A6:BG""),15,FALSE))"),"")</f>
        <v/>
      </c>
      <c r="AX424" s="21" t="str">
        <f ca="1">IFERROR(__xludf.DUMMYFUNCTION("IFERROR(VLOOKUP(E441&amp;F441,IMPORTRANGE(""https://docs.google.com/spreadsheets/d/1Uw7-A9f9R21vMXxHZFNpYNeKFtG8_yji4HS352LGlSQ/edit?pli=1#gid=0"",""1_ACUM!A4:S""),12,FALSE))"),"")</f>
        <v/>
      </c>
      <c r="AY424" s="43" t="str">
        <f ca="1">IFERROR(__xludf.DUMMYFUNCTION("IFERROR(VLOOKUP(E441&amp;F441,IMPORTRANGE(""https://docs.google.com/spreadsheets/d/1Uw7-A9f9R21vMXxHZFNpYNeKFtG8_yji4HS352LGlSQ/edit?pli=1#gid=0"",""1_ACUM!A4:S""),13,FALSE))"),"")</f>
        <v/>
      </c>
      <c r="AZ424" s="43" t="str">
        <f ca="1">IFERROR(__xludf.DUMMYFUNCTION("IFERROR(VLOOKUP(E441&amp;F441,IMPORTRANGE(""https://docs.google.com/spreadsheets/d/1Uw7-A9f9R21vMXxHZFNpYNeKFtG8_yji4HS352LGlSQ/edit?pli=1#gid=0"",""1_ACUM!A4:S""),14,FALSE))"),"")</f>
        <v/>
      </c>
      <c r="BA424" s="43" t="str">
        <f ca="1">IFERROR(__xludf.DUMMYFUNCTION("IFERROR(VLOOKUP(E441&amp;F441,IMPORTRANGE(""https://docs.google.com/spreadsheets/d/1Uw7-A9f9R21vMXxHZFNpYNeKFtG8_yji4HS352LGlSQ/edit?pli=1#gid=0"",""1_ACUM!A4:S""),15,FALSE))"),"")</f>
        <v/>
      </c>
      <c r="BB424" s="43" t="str">
        <f ca="1">IFERROR(__xludf.DUMMYFUNCTION("IFERROR(VLOOKUP(E441&amp;F441,IMPORTRANGE(""https://docs.google.com/spreadsheets/d/1Uw7-A9f9R21vMXxHZFNpYNeKFtG8_yji4HS352LGlSQ/edit?pli=1#gid=0"",""1_ACUM!A4:S""),16,FALSE))"),"")</f>
        <v/>
      </c>
      <c r="BC424" s="43" t="str">
        <f ca="1">IFERROR(__xludf.DUMMYFUNCTION("IFERROR(VLOOKUP(E441&amp;F441,IMPORTRANGE(""https://docs.google.com/spreadsheets/d/1Uw7-A9f9R21vMXxHZFNpYNeKFtG8_yji4HS352LGlSQ/edit?pli=1#gid=0"",""1_ACUM!A4:S""),17,FALSE))"),"")</f>
        <v/>
      </c>
      <c r="BD424" s="44" t="str">
        <f ca="1">IFERROR(__xludf.DUMMYFUNCTION("IFERROR(VLOOKUP(E441&amp;F441,IMPORTRANGE(""https://docs.google.com/spreadsheets/d/1Uw7-A9f9R21vMXxHZFNpYNeKFtG8_yji4HS352LGlSQ/edit?pli=1#gid=0"",""1_ACUM!A4:S""),18,FALSE))"),"")</f>
        <v/>
      </c>
      <c r="BE424" s="44" t="str">
        <f ca="1">IFERROR(__xludf.DUMMYFUNCTION("IFERROR(VLOOKUP(E441&amp;F441,IMPORTRANGE(""https://docs.google.com/spreadsheets/d/1Uw7-A9f9R21vMXxHZFNpYNeKFtG8_yji4HS352LGlSQ/edit?pli=1#gid=0"",""1_ACUM!A4:S""),19,FALSE))"),"")</f>
        <v/>
      </c>
      <c r="BF424" s="44" t="str">
        <f ca="1">IFERROR(__xludf.DUMMYFUNCTION("IFERROR(VLOOKUP(F441,IMPORTRANGE(""https://docs.google.com/spreadsheets/d/1Kvs4KS76FHFqLFIZfrDMff4kP08nblUkihrxltoGBjg/edit#gid=934712705"",""ESENCIAL!A6:BG""),5,FALSE))"),"")</f>
        <v/>
      </c>
      <c r="BG424" s="44" t="str">
        <f t="shared" si="37"/>
        <v/>
      </c>
      <c r="BH424" s="41" t="str">
        <f t="shared" si="38"/>
        <v/>
      </c>
      <c r="BI424" s="41" t="str">
        <f ca="1">IFERROR(__xludf.DUMMYFUNCTION("IFERROR(VLOOKUP(F441,IMPORTRANGE(""https://docs.google.com/spreadsheets/d/1Kvs4KS76FHFqLFIZfrDMff4kP08nblUkihrxltoGBjg/edit#gid=934712705"",""ESENCIAL!A6:BG""),18,FALSE))"),"")</f>
        <v/>
      </c>
      <c r="BJ424" s="19" t="str">
        <f t="shared" si="39"/>
        <v/>
      </c>
      <c r="BK424" s="41"/>
      <c r="BL424" s="41"/>
    </row>
    <row r="425" spans="1:64" ht="15">
      <c r="A425" s="4"/>
      <c r="B425" s="4"/>
      <c r="G425" s="5" t="str">
        <f ca="1">IFERROR(__xludf.DUMMYFUNCTION("IFERROR(VLOOKUP(F442,IMPORTRANGE(""https://docs.google.com/spreadsheets/d/1Kvs4KS76FHFqLFIZfrDMff4kP08nblUkihrxltoGBjg/edit#gid=934712705"",""ESENCIAL!A6:BG""),3,FALSE))"),"")</f>
        <v/>
      </c>
      <c r="H425" s="5" t="str">
        <f ca="1">IFERROR(__xludf.DUMMYFUNCTION("IFERROR(VLOOKUP(F442,IMPORTRANGE(""https://docs.google.com/spreadsheets/d/1Kvs4KS76FHFqLFIZfrDMff4kP08nblUkihrxltoGBjg/edit#gid=934712705"",""ESENCIAL!A6:BG""),8,FALSE))"),"")</f>
        <v/>
      </c>
      <c r="L425" s="287"/>
      <c r="S425"/>
      <c r="AU425" s="41" t="str">
        <f t="shared" si="36"/>
        <v/>
      </c>
      <c r="AV425" s="5" t="str">
        <f ca="1">IFERROR(__xludf.DUMMYFUNCTION("IFERROR(VLOOKUP(E442&amp;F442,IMPORTRANGE(""https://docs.google.com/spreadsheets/d/1Uw7-A9f9R21vMXxHZFNpYNeKFtG8_yji4HS352LGlSQ/edit?pli=1#gid=0"",""1_ACUM!A4:S""),11,FALSE))"),"")</f>
        <v/>
      </c>
      <c r="AW425" s="42" t="str">
        <f ca="1">IFERROR(__xludf.DUMMYFUNCTION("IFERROR(VLOOKUP(F442,IMPORTRANGE(""https://docs.google.com/spreadsheets/d/1Kvs4KS76FHFqLFIZfrDMff4kP08nblUkihrxltoGBjg/edit#gid=934712705"",""ESENCIAL!A6:BG""),15,FALSE))"),"")</f>
        <v/>
      </c>
      <c r="AX425" s="21" t="str">
        <f ca="1">IFERROR(__xludf.DUMMYFUNCTION("IFERROR(VLOOKUP(E442&amp;F442,IMPORTRANGE(""https://docs.google.com/spreadsheets/d/1Uw7-A9f9R21vMXxHZFNpYNeKFtG8_yji4HS352LGlSQ/edit?pli=1#gid=0"",""1_ACUM!A4:S""),12,FALSE))"),"")</f>
        <v/>
      </c>
      <c r="AY425" s="43" t="str">
        <f ca="1">IFERROR(__xludf.DUMMYFUNCTION("IFERROR(VLOOKUP(E442&amp;F442,IMPORTRANGE(""https://docs.google.com/spreadsheets/d/1Uw7-A9f9R21vMXxHZFNpYNeKFtG8_yji4HS352LGlSQ/edit?pli=1#gid=0"",""1_ACUM!A4:S""),13,FALSE))"),"")</f>
        <v/>
      </c>
      <c r="AZ425" s="43" t="str">
        <f ca="1">IFERROR(__xludf.DUMMYFUNCTION("IFERROR(VLOOKUP(E442&amp;F442,IMPORTRANGE(""https://docs.google.com/spreadsheets/d/1Uw7-A9f9R21vMXxHZFNpYNeKFtG8_yji4HS352LGlSQ/edit?pli=1#gid=0"",""1_ACUM!A4:S""),14,FALSE))"),"")</f>
        <v/>
      </c>
      <c r="BA425" s="43" t="str">
        <f ca="1">IFERROR(__xludf.DUMMYFUNCTION("IFERROR(VLOOKUP(E442&amp;F442,IMPORTRANGE(""https://docs.google.com/spreadsheets/d/1Uw7-A9f9R21vMXxHZFNpYNeKFtG8_yji4HS352LGlSQ/edit?pli=1#gid=0"",""1_ACUM!A4:S""),15,FALSE))"),"")</f>
        <v/>
      </c>
      <c r="BB425" s="43" t="str">
        <f ca="1">IFERROR(__xludf.DUMMYFUNCTION("IFERROR(VLOOKUP(E442&amp;F442,IMPORTRANGE(""https://docs.google.com/spreadsheets/d/1Uw7-A9f9R21vMXxHZFNpYNeKFtG8_yji4HS352LGlSQ/edit?pli=1#gid=0"",""1_ACUM!A4:S""),16,FALSE))"),"")</f>
        <v/>
      </c>
      <c r="BC425" s="43" t="str">
        <f ca="1">IFERROR(__xludf.DUMMYFUNCTION("IFERROR(VLOOKUP(E442&amp;F442,IMPORTRANGE(""https://docs.google.com/spreadsheets/d/1Uw7-A9f9R21vMXxHZFNpYNeKFtG8_yji4HS352LGlSQ/edit?pli=1#gid=0"",""1_ACUM!A4:S""),17,FALSE))"),"")</f>
        <v/>
      </c>
      <c r="BD425" s="44" t="str">
        <f ca="1">IFERROR(__xludf.DUMMYFUNCTION("IFERROR(VLOOKUP(E442&amp;F442,IMPORTRANGE(""https://docs.google.com/spreadsheets/d/1Uw7-A9f9R21vMXxHZFNpYNeKFtG8_yji4HS352LGlSQ/edit?pli=1#gid=0"",""1_ACUM!A4:S""),18,FALSE))"),"")</f>
        <v/>
      </c>
      <c r="BE425" s="44" t="str">
        <f ca="1">IFERROR(__xludf.DUMMYFUNCTION("IFERROR(VLOOKUP(E442&amp;F442,IMPORTRANGE(""https://docs.google.com/spreadsheets/d/1Uw7-A9f9R21vMXxHZFNpYNeKFtG8_yji4HS352LGlSQ/edit?pli=1#gid=0"",""1_ACUM!A4:S""),19,FALSE))"),"")</f>
        <v/>
      </c>
      <c r="BF425" s="44" t="str">
        <f ca="1">IFERROR(__xludf.DUMMYFUNCTION("IFERROR(VLOOKUP(F442,IMPORTRANGE(""https://docs.google.com/spreadsheets/d/1Kvs4KS76FHFqLFIZfrDMff4kP08nblUkihrxltoGBjg/edit#gid=934712705"",""ESENCIAL!A6:BG""),5,FALSE))"),"")</f>
        <v/>
      </c>
      <c r="BG425" s="44" t="str">
        <f t="shared" si="37"/>
        <v/>
      </c>
      <c r="BH425" s="41" t="str">
        <f t="shared" si="38"/>
        <v/>
      </c>
      <c r="BI425" s="41" t="str">
        <f ca="1">IFERROR(__xludf.DUMMYFUNCTION("IFERROR(VLOOKUP(F442,IMPORTRANGE(""https://docs.google.com/spreadsheets/d/1Kvs4KS76FHFqLFIZfrDMff4kP08nblUkihrxltoGBjg/edit#gid=934712705"",""ESENCIAL!A6:BG""),18,FALSE))"),"")</f>
        <v/>
      </c>
      <c r="BJ425" s="19" t="str">
        <f t="shared" si="39"/>
        <v/>
      </c>
      <c r="BK425" s="41"/>
      <c r="BL425" s="41"/>
    </row>
    <row r="426" spans="1:64" ht="15">
      <c r="A426" s="4"/>
      <c r="B426" s="4"/>
      <c r="G426" s="5" t="str">
        <f ca="1">IFERROR(__xludf.DUMMYFUNCTION("IFERROR(VLOOKUP(F443,IMPORTRANGE(""https://docs.google.com/spreadsheets/d/1Kvs4KS76FHFqLFIZfrDMff4kP08nblUkihrxltoGBjg/edit#gid=934712705"",""ESENCIAL!A6:BG""),3,FALSE))"),"")</f>
        <v/>
      </c>
      <c r="H426" s="5" t="str">
        <f ca="1">IFERROR(__xludf.DUMMYFUNCTION("IFERROR(VLOOKUP(F443,IMPORTRANGE(""https://docs.google.com/spreadsheets/d/1Kvs4KS76FHFqLFIZfrDMff4kP08nblUkihrxltoGBjg/edit#gid=934712705"",""ESENCIAL!A6:BG""),8,FALSE))"),"")</f>
        <v/>
      </c>
      <c r="L426" s="287"/>
      <c r="S426"/>
      <c r="AU426" s="41" t="str">
        <f t="shared" si="36"/>
        <v/>
      </c>
      <c r="AV426" s="5" t="str">
        <f ca="1">IFERROR(__xludf.DUMMYFUNCTION("IFERROR(VLOOKUP(E443&amp;F443,IMPORTRANGE(""https://docs.google.com/spreadsheets/d/1Uw7-A9f9R21vMXxHZFNpYNeKFtG8_yji4HS352LGlSQ/edit?pli=1#gid=0"",""1_ACUM!A4:S""),11,FALSE))"),"")</f>
        <v/>
      </c>
      <c r="AW426" s="42" t="str">
        <f ca="1">IFERROR(__xludf.DUMMYFUNCTION("IFERROR(VLOOKUP(F443,IMPORTRANGE(""https://docs.google.com/spreadsheets/d/1Kvs4KS76FHFqLFIZfrDMff4kP08nblUkihrxltoGBjg/edit#gid=934712705"",""ESENCIAL!A6:BG""),15,FALSE))"),"")</f>
        <v/>
      </c>
      <c r="AX426" s="21" t="str">
        <f ca="1">IFERROR(__xludf.DUMMYFUNCTION("IFERROR(VLOOKUP(E443&amp;F443,IMPORTRANGE(""https://docs.google.com/spreadsheets/d/1Uw7-A9f9R21vMXxHZFNpYNeKFtG8_yji4HS352LGlSQ/edit?pli=1#gid=0"",""1_ACUM!A4:S""),12,FALSE))"),"")</f>
        <v/>
      </c>
      <c r="AY426" s="43" t="str">
        <f ca="1">IFERROR(__xludf.DUMMYFUNCTION("IFERROR(VLOOKUP(E443&amp;F443,IMPORTRANGE(""https://docs.google.com/spreadsheets/d/1Uw7-A9f9R21vMXxHZFNpYNeKFtG8_yji4HS352LGlSQ/edit?pli=1#gid=0"",""1_ACUM!A4:S""),13,FALSE))"),"")</f>
        <v/>
      </c>
      <c r="AZ426" s="43" t="str">
        <f ca="1">IFERROR(__xludf.DUMMYFUNCTION("IFERROR(VLOOKUP(E443&amp;F443,IMPORTRANGE(""https://docs.google.com/spreadsheets/d/1Uw7-A9f9R21vMXxHZFNpYNeKFtG8_yji4HS352LGlSQ/edit?pli=1#gid=0"",""1_ACUM!A4:S""),14,FALSE))"),"")</f>
        <v/>
      </c>
      <c r="BA426" s="43" t="str">
        <f ca="1">IFERROR(__xludf.DUMMYFUNCTION("IFERROR(VLOOKUP(E443&amp;F443,IMPORTRANGE(""https://docs.google.com/spreadsheets/d/1Uw7-A9f9R21vMXxHZFNpYNeKFtG8_yji4HS352LGlSQ/edit?pli=1#gid=0"",""1_ACUM!A4:S""),15,FALSE))"),"")</f>
        <v/>
      </c>
      <c r="BB426" s="43" t="str">
        <f ca="1">IFERROR(__xludf.DUMMYFUNCTION("IFERROR(VLOOKUP(E443&amp;F443,IMPORTRANGE(""https://docs.google.com/spreadsheets/d/1Uw7-A9f9R21vMXxHZFNpYNeKFtG8_yji4HS352LGlSQ/edit?pli=1#gid=0"",""1_ACUM!A4:S""),16,FALSE))"),"")</f>
        <v/>
      </c>
      <c r="BC426" s="43" t="str">
        <f ca="1">IFERROR(__xludf.DUMMYFUNCTION("IFERROR(VLOOKUP(E443&amp;F443,IMPORTRANGE(""https://docs.google.com/spreadsheets/d/1Uw7-A9f9R21vMXxHZFNpYNeKFtG8_yji4HS352LGlSQ/edit?pli=1#gid=0"",""1_ACUM!A4:S""),17,FALSE))"),"")</f>
        <v/>
      </c>
      <c r="BD426" s="44" t="str">
        <f ca="1">IFERROR(__xludf.DUMMYFUNCTION("IFERROR(VLOOKUP(E443&amp;F443,IMPORTRANGE(""https://docs.google.com/spreadsheets/d/1Uw7-A9f9R21vMXxHZFNpYNeKFtG8_yji4HS352LGlSQ/edit?pli=1#gid=0"",""1_ACUM!A4:S""),18,FALSE))"),"")</f>
        <v/>
      </c>
      <c r="BE426" s="44" t="str">
        <f ca="1">IFERROR(__xludf.DUMMYFUNCTION("IFERROR(VLOOKUP(E443&amp;F443,IMPORTRANGE(""https://docs.google.com/spreadsheets/d/1Uw7-A9f9R21vMXxHZFNpYNeKFtG8_yji4HS352LGlSQ/edit?pli=1#gid=0"",""1_ACUM!A4:S""),19,FALSE))"),"")</f>
        <v/>
      </c>
      <c r="BF426" s="44" t="str">
        <f ca="1">IFERROR(__xludf.DUMMYFUNCTION("IFERROR(VLOOKUP(F443,IMPORTRANGE(""https://docs.google.com/spreadsheets/d/1Kvs4KS76FHFqLFIZfrDMff4kP08nblUkihrxltoGBjg/edit#gid=934712705"",""ESENCIAL!A6:BG""),5,FALSE))"),"")</f>
        <v/>
      </c>
      <c r="BG426" s="44" t="str">
        <f t="shared" si="37"/>
        <v/>
      </c>
      <c r="BH426" s="41" t="str">
        <f t="shared" si="38"/>
        <v/>
      </c>
      <c r="BI426" s="41" t="str">
        <f ca="1">IFERROR(__xludf.DUMMYFUNCTION("IFERROR(VLOOKUP(F443,IMPORTRANGE(""https://docs.google.com/spreadsheets/d/1Kvs4KS76FHFqLFIZfrDMff4kP08nblUkihrxltoGBjg/edit#gid=934712705"",""ESENCIAL!A6:BG""),18,FALSE))"),"")</f>
        <v/>
      </c>
      <c r="BJ426" s="19" t="str">
        <f t="shared" si="39"/>
        <v/>
      </c>
      <c r="BK426" s="41"/>
      <c r="BL426" s="41"/>
    </row>
    <row r="427" spans="1:64" ht="15">
      <c r="A427" s="4"/>
      <c r="B427" s="4"/>
      <c r="G427" s="5" t="str">
        <f ca="1">IFERROR(__xludf.DUMMYFUNCTION("IFERROR(VLOOKUP(F444,IMPORTRANGE(""https://docs.google.com/spreadsheets/d/1Kvs4KS76FHFqLFIZfrDMff4kP08nblUkihrxltoGBjg/edit#gid=934712705"",""ESENCIAL!A6:BG""),3,FALSE))"),"")</f>
        <v/>
      </c>
      <c r="H427" s="5" t="str">
        <f ca="1">IFERROR(__xludf.DUMMYFUNCTION("IFERROR(VLOOKUP(F444,IMPORTRANGE(""https://docs.google.com/spreadsheets/d/1Kvs4KS76FHFqLFIZfrDMff4kP08nblUkihrxltoGBjg/edit#gid=934712705"",""ESENCIAL!A6:BG""),8,FALSE))"),"")</f>
        <v/>
      </c>
      <c r="L427" s="287"/>
      <c r="S427"/>
      <c r="AU427" s="41" t="str">
        <f t="shared" si="36"/>
        <v/>
      </c>
      <c r="AV427" s="5" t="str">
        <f ca="1">IFERROR(__xludf.DUMMYFUNCTION("IFERROR(VLOOKUP(E444&amp;F444,IMPORTRANGE(""https://docs.google.com/spreadsheets/d/1Uw7-A9f9R21vMXxHZFNpYNeKFtG8_yji4HS352LGlSQ/edit?pli=1#gid=0"",""1_ACUM!A4:S""),11,FALSE))"),"")</f>
        <v/>
      </c>
      <c r="AW427" s="42" t="str">
        <f ca="1">IFERROR(__xludf.DUMMYFUNCTION("IFERROR(VLOOKUP(F444,IMPORTRANGE(""https://docs.google.com/spreadsheets/d/1Kvs4KS76FHFqLFIZfrDMff4kP08nblUkihrxltoGBjg/edit#gid=934712705"",""ESENCIAL!A6:BG""),15,FALSE))"),"")</f>
        <v/>
      </c>
      <c r="AX427" s="21" t="str">
        <f ca="1">IFERROR(__xludf.DUMMYFUNCTION("IFERROR(VLOOKUP(E444&amp;F444,IMPORTRANGE(""https://docs.google.com/spreadsheets/d/1Uw7-A9f9R21vMXxHZFNpYNeKFtG8_yji4HS352LGlSQ/edit?pli=1#gid=0"",""1_ACUM!A4:S""),12,FALSE))"),"")</f>
        <v/>
      </c>
      <c r="AY427" s="43" t="str">
        <f ca="1">IFERROR(__xludf.DUMMYFUNCTION("IFERROR(VLOOKUP(E444&amp;F444,IMPORTRANGE(""https://docs.google.com/spreadsheets/d/1Uw7-A9f9R21vMXxHZFNpYNeKFtG8_yji4HS352LGlSQ/edit?pli=1#gid=0"",""1_ACUM!A4:S""),13,FALSE))"),"")</f>
        <v/>
      </c>
      <c r="AZ427" s="43" t="str">
        <f ca="1">IFERROR(__xludf.DUMMYFUNCTION("IFERROR(VLOOKUP(E444&amp;F444,IMPORTRANGE(""https://docs.google.com/spreadsheets/d/1Uw7-A9f9R21vMXxHZFNpYNeKFtG8_yji4HS352LGlSQ/edit?pli=1#gid=0"",""1_ACUM!A4:S""),14,FALSE))"),"")</f>
        <v/>
      </c>
      <c r="BA427" s="43" t="str">
        <f ca="1">IFERROR(__xludf.DUMMYFUNCTION("IFERROR(VLOOKUP(E444&amp;F444,IMPORTRANGE(""https://docs.google.com/spreadsheets/d/1Uw7-A9f9R21vMXxHZFNpYNeKFtG8_yji4HS352LGlSQ/edit?pli=1#gid=0"",""1_ACUM!A4:S""),15,FALSE))"),"")</f>
        <v/>
      </c>
      <c r="BB427" s="43" t="str">
        <f ca="1">IFERROR(__xludf.DUMMYFUNCTION("IFERROR(VLOOKUP(E444&amp;F444,IMPORTRANGE(""https://docs.google.com/spreadsheets/d/1Uw7-A9f9R21vMXxHZFNpYNeKFtG8_yji4HS352LGlSQ/edit?pli=1#gid=0"",""1_ACUM!A4:S""),16,FALSE))"),"")</f>
        <v/>
      </c>
      <c r="BC427" s="43" t="str">
        <f ca="1">IFERROR(__xludf.DUMMYFUNCTION("IFERROR(VLOOKUP(E444&amp;F444,IMPORTRANGE(""https://docs.google.com/spreadsheets/d/1Uw7-A9f9R21vMXxHZFNpYNeKFtG8_yji4HS352LGlSQ/edit?pli=1#gid=0"",""1_ACUM!A4:S""),17,FALSE))"),"")</f>
        <v/>
      </c>
      <c r="BD427" s="44" t="str">
        <f ca="1">IFERROR(__xludf.DUMMYFUNCTION("IFERROR(VLOOKUP(E444&amp;F444,IMPORTRANGE(""https://docs.google.com/spreadsheets/d/1Uw7-A9f9R21vMXxHZFNpYNeKFtG8_yji4HS352LGlSQ/edit?pli=1#gid=0"",""1_ACUM!A4:S""),18,FALSE))"),"")</f>
        <v/>
      </c>
      <c r="BE427" s="44" t="str">
        <f ca="1">IFERROR(__xludf.DUMMYFUNCTION("IFERROR(VLOOKUP(E444&amp;F444,IMPORTRANGE(""https://docs.google.com/spreadsheets/d/1Uw7-A9f9R21vMXxHZFNpYNeKFtG8_yji4HS352LGlSQ/edit?pli=1#gid=0"",""1_ACUM!A4:S""),19,FALSE))"),"")</f>
        <v/>
      </c>
      <c r="BF427" s="44" t="str">
        <f ca="1">IFERROR(__xludf.DUMMYFUNCTION("IFERROR(VLOOKUP(F444,IMPORTRANGE(""https://docs.google.com/spreadsheets/d/1Kvs4KS76FHFqLFIZfrDMff4kP08nblUkihrxltoGBjg/edit#gid=934712705"",""ESENCIAL!A6:BG""),5,FALSE))"),"")</f>
        <v/>
      </c>
      <c r="BG427" s="44" t="str">
        <f t="shared" si="37"/>
        <v/>
      </c>
      <c r="BH427" s="41" t="str">
        <f t="shared" si="38"/>
        <v/>
      </c>
      <c r="BI427" s="41" t="str">
        <f ca="1">IFERROR(__xludf.DUMMYFUNCTION("IFERROR(VLOOKUP(F444,IMPORTRANGE(""https://docs.google.com/spreadsheets/d/1Kvs4KS76FHFqLFIZfrDMff4kP08nblUkihrxltoGBjg/edit#gid=934712705"",""ESENCIAL!A6:BG""),18,FALSE))"),"")</f>
        <v/>
      </c>
      <c r="BJ427" s="19" t="str">
        <f t="shared" si="39"/>
        <v/>
      </c>
      <c r="BK427" s="41"/>
      <c r="BL427" s="41"/>
    </row>
    <row r="428" spans="1:64" ht="15">
      <c r="A428" s="4"/>
      <c r="B428" s="4"/>
      <c r="G428" s="5" t="str">
        <f ca="1">IFERROR(__xludf.DUMMYFUNCTION("IFERROR(VLOOKUP(F445,IMPORTRANGE(""https://docs.google.com/spreadsheets/d/1Kvs4KS76FHFqLFIZfrDMff4kP08nblUkihrxltoGBjg/edit#gid=934712705"",""ESENCIAL!A6:BG""),3,FALSE))"),"")</f>
        <v/>
      </c>
      <c r="H428" s="5" t="str">
        <f ca="1">IFERROR(__xludf.DUMMYFUNCTION("IFERROR(VLOOKUP(F445,IMPORTRANGE(""https://docs.google.com/spreadsheets/d/1Kvs4KS76FHFqLFIZfrDMff4kP08nblUkihrxltoGBjg/edit#gid=934712705"",""ESENCIAL!A6:BG""),8,FALSE))"),"")</f>
        <v/>
      </c>
      <c r="L428" s="287"/>
      <c r="S428"/>
      <c r="AU428" s="41" t="str">
        <f t="shared" si="36"/>
        <v/>
      </c>
      <c r="AV428" s="5" t="str">
        <f ca="1">IFERROR(__xludf.DUMMYFUNCTION("IFERROR(VLOOKUP(E445&amp;F445,IMPORTRANGE(""https://docs.google.com/spreadsheets/d/1Uw7-A9f9R21vMXxHZFNpYNeKFtG8_yji4HS352LGlSQ/edit?pli=1#gid=0"",""1_ACUM!A4:S""),11,FALSE))"),"")</f>
        <v/>
      </c>
      <c r="AW428" s="42" t="str">
        <f ca="1">IFERROR(__xludf.DUMMYFUNCTION("IFERROR(VLOOKUP(F445,IMPORTRANGE(""https://docs.google.com/spreadsheets/d/1Kvs4KS76FHFqLFIZfrDMff4kP08nblUkihrxltoGBjg/edit#gid=934712705"",""ESENCIAL!A6:BG""),15,FALSE))"),"")</f>
        <v/>
      </c>
      <c r="AX428" s="21" t="str">
        <f ca="1">IFERROR(__xludf.DUMMYFUNCTION("IFERROR(VLOOKUP(E445&amp;F445,IMPORTRANGE(""https://docs.google.com/spreadsheets/d/1Uw7-A9f9R21vMXxHZFNpYNeKFtG8_yji4HS352LGlSQ/edit?pli=1#gid=0"",""1_ACUM!A4:S""),12,FALSE))"),"")</f>
        <v/>
      </c>
      <c r="AY428" s="43" t="str">
        <f ca="1">IFERROR(__xludf.DUMMYFUNCTION("IFERROR(VLOOKUP(E445&amp;F445,IMPORTRANGE(""https://docs.google.com/spreadsheets/d/1Uw7-A9f9R21vMXxHZFNpYNeKFtG8_yji4HS352LGlSQ/edit?pli=1#gid=0"",""1_ACUM!A4:S""),13,FALSE))"),"")</f>
        <v/>
      </c>
      <c r="AZ428" s="43" t="str">
        <f ca="1">IFERROR(__xludf.DUMMYFUNCTION("IFERROR(VLOOKUP(E445&amp;F445,IMPORTRANGE(""https://docs.google.com/spreadsheets/d/1Uw7-A9f9R21vMXxHZFNpYNeKFtG8_yji4HS352LGlSQ/edit?pli=1#gid=0"",""1_ACUM!A4:S""),14,FALSE))"),"")</f>
        <v/>
      </c>
      <c r="BA428" s="43" t="str">
        <f ca="1">IFERROR(__xludf.DUMMYFUNCTION("IFERROR(VLOOKUP(E445&amp;F445,IMPORTRANGE(""https://docs.google.com/spreadsheets/d/1Uw7-A9f9R21vMXxHZFNpYNeKFtG8_yji4HS352LGlSQ/edit?pli=1#gid=0"",""1_ACUM!A4:S""),15,FALSE))"),"")</f>
        <v/>
      </c>
      <c r="BB428" s="43" t="str">
        <f ca="1">IFERROR(__xludf.DUMMYFUNCTION("IFERROR(VLOOKUP(E445&amp;F445,IMPORTRANGE(""https://docs.google.com/spreadsheets/d/1Uw7-A9f9R21vMXxHZFNpYNeKFtG8_yji4HS352LGlSQ/edit?pli=1#gid=0"",""1_ACUM!A4:S""),16,FALSE))"),"")</f>
        <v/>
      </c>
      <c r="BC428" s="43" t="str">
        <f ca="1">IFERROR(__xludf.DUMMYFUNCTION("IFERROR(VLOOKUP(E445&amp;F445,IMPORTRANGE(""https://docs.google.com/spreadsheets/d/1Uw7-A9f9R21vMXxHZFNpYNeKFtG8_yji4HS352LGlSQ/edit?pli=1#gid=0"",""1_ACUM!A4:S""),17,FALSE))"),"")</f>
        <v/>
      </c>
      <c r="BD428" s="44" t="str">
        <f ca="1">IFERROR(__xludf.DUMMYFUNCTION("IFERROR(VLOOKUP(E445&amp;F445,IMPORTRANGE(""https://docs.google.com/spreadsheets/d/1Uw7-A9f9R21vMXxHZFNpYNeKFtG8_yji4HS352LGlSQ/edit?pli=1#gid=0"",""1_ACUM!A4:S""),18,FALSE))"),"")</f>
        <v/>
      </c>
      <c r="BE428" s="44" t="str">
        <f ca="1">IFERROR(__xludf.DUMMYFUNCTION("IFERROR(VLOOKUP(E445&amp;F445,IMPORTRANGE(""https://docs.google.com/spreadsheets/d/1Uw7-A9f9R21vMXxHZFNpYNeKFtG8_yji4HS352LGlSQ/edit?pli=1#gid=0"",""1_ACUM!A4:S""),19,FALSE))"),"")</f>
        <v/>
      </c>
      <c r="BF428" s="44" t="str">
        <f ca="1">IFERROR(__xludf.DUMMYFUNCTION("IFERROR(VLOOKUP(F445,IMPORTRANGE(""https://docs.google.com/spreadsheets/d/1Kvs4KS76FHFqLFIZfrDMff4kP08nblUkihrxltoGBjg/edit#gid=934712705"",""ESENCIAL!A6:BG""),5,FALSE))"),"")</f>
        <v/>
      </c>
      <c r="BG428" s="44" t="str">
        <f t="shared" si="37"/>
        <v/>
      </c>
      <c r="BH428" s="41" t="str">
        <f t="shared" si="38"/>
        <v/>
      </c>
      <c r="BI428" s="41" t="str">
        <f ca="1">IFERROR(__xludf.DUMMYFUNCTION("IFERROR(VLOOKUP(F445,IMPORTRANGE(""https://docs.google.com/spreadsheets/d/1Kvs4KS76FHFqLFIZfrDMff4kP08nblUkihrxltoGBjg/edit#gid=934712705"",""ESENCIAL!A6:BG""),18,FALSE))"),"")</f>
        <v/>
      </c>
      <c r="BJ428" s="19" t="str">
        <f t="shared" si="39"/>
        <v/>
      </c>
      <c r="BK428" s="41"/>
      <c r="BL428" s="41"/>
    </row>
    <row r="429" spans="1:64" ht="15">
      <c r="A429" s="4"/>
      <c r="B429" s="4"/>
      <c r="G429" s="5" t="str">
        <f ca="1">IFERROR(__xludf.DUMMYFUNCTION("IFERROR(VLOOKUP(F446,IMPORTRANGE(""https://docs.google.com/spreadsheets/d/1Kvs4KS76FHFqLFIZfrDMff4kP08nblUkihrxltoGBjg/edit#gid=934712705"",""ESENCIAL!A6:BG""),3,FALSE))"),"")</f>
        <v/>
      </c>
      <c r="H429" s="5" t="str">
        <f ca="1">IFERROR(__xludf.DUMMYFUNCTION("IFERROR(VLOOKUP(F446,IMPORTRANGE(""https://docs.google.com/spreadsheets/d/1Kvs4KS76FHFqLFIZfrDMff4kP08nblUkihrxltoGBjg/edit#gid=934712705"",""ESENCIAL!A6:BG""),8,FALSE))"),"")</f>
        <v/>
      </c>
      <c r="L429" s="287"/>
      <c r="S429"/>
      <c r="AU429" s="41" t="str">
        <f t="shared" si="36"/>
        <v/>
      </c>
      <c r="AV429" s="5" t="str">
        <f ca="1">IFERROR(__xludf.DUMMYFUNCTION("IFERROR(VLOOKUP(E446&amp;F446,IMPORTRANGE(""https://docs.google.com/spreadsheets/d/1Uw7-A9f9R21vMXxHZFNpYNeKFtG8_yji4HS352LGlSQ/edit?pli=1#gid=0"",""1_ACUM!A4:S""),11,FALSE))"),"")</f>
        <v/>
      </c>
      <c r="AW429" s="42" t="str">
        <f ca="1">IFERROR(__xludf.DUMMYFUNCTION("IFERROR(VLOOKUP(F446,IMPORTRANGE(""https://docs.google.com/spreadsheets/d/1Kvs4KS76FHFqLFIZfrDMff4kP08nblUkihrxltoGBjg/edit#gid=934712705"",""ESENCIAL!A6:BG""),15,FALSE))"),"")</f>
        <v/>
      </c>
      <c r="AX429" s="21" t="str">
        <f ca="1">IFERROR(__xludf.DUMMYFUNCTION("IFERROR(VLOOKUP(E446&amp;F446,IMPORTRANGE(""https://docs.google.com/spreadsheets/d/1Uw7-A9f9R21vMXxHZFNpYNeKFtG8_yji4HS352LGlSQ/edit?pli=1#gid=0"",""1_ACUM!A4:S""),12,FALSE))"),"")</f>
        <v/>
      </c>
      <c r="AY429" s="43" t="str">
        <f ca="1">IFERROR(__xludf.DUMMYFUNCTION("IFERROR(VLOOKUP(E446&amp;F446,IMPORTRANGE(""https://docs.google.com/spreadsheets/d/1Uw7-A9f9R21vMXxHZFNpYNeKFtG8_yji4HS352LGlSQ/edit?pli=1#gid=0"",""1_ACUM!A4:S""),13,FALSE))"),"")</f>
        <v/>
      </c>
      <c r="AZ429" s="43" t="str">
        <f ca="1">IFERROR(__xludf.DUMMYFUNCTION("IFERROR(VLOOKUP(E446&amp;F446,IMPORTRANGE(""https://docs.google.com/spreadsheets/d/1Uw7-A9f9R21vMXxHZFNpYNeKFtG8_yji4HS352LGlSQ/edit?pli=1#gid=0"",""1_ACUM!A4:S""),14,FALSE))"),"")</f>
        <v/>
      </c>
      <c r="BA429" s="43" t="str">
        <f ca="1">IFERROR(__xludf.DUMMYFUNCTION("IFERROR(VLOOKUP(E446&amp;F446,IMPORTRANGE(""https://docs.google.com/spreadsheets/d/1Uw7-A9f9R21vMXxHZFNpYNeKFtG8_yji4HS352LGlSQ/edit?pli=1#gid=0"",""1_ACUM!A4:S""),15,FALSE))"),"")</f>
        <v/>
      </c>
      <c r="BB429" s="43" t="str">
        <f ca="1">IFERROR(__xludf.DUMMYFUNCTION("IFERROR(VLOOKUP(E446&amp;F446,IMPORTRANGE(""https://docs.google.com/spreadsheets/d/1Uw7-A9f9R21vMXxHZFNpYNeKFtG8_yji4HS352LGlSQ/edit?pli=1#gid=0"",""1_ACUM!A4:S""),16,FALSE))"),"")</f>
        <v/>
      </c>
      <c r="BC429" s="43" t="str">
        <f ca="1">IFERROR(__xludf.DUMMYFUNCTION("IFERROR(VLOOKUP(E446&amp;F446,IMPORTRANGE(""https://docs.google.com/spreadsheets/d/1Uw7-A9f9R21vMXxHZFNpYNeKFtG8_yji4HS352LGlSQ/edit?pli=1#gid=0"",""1_ACUM!A4:S""),17,FALSE))"),"")</f>
        <v/>
      </c>
      <c r="BD429" s="44" t="str">
        <f ca="1">IFERROR(__xludf.DUMMYFUNCTION("IFERROR(VLOOKUP(E446&amp;F446,IMPORTRANGE(""https://docs.google.com/spreadsheets/d/1Uw7-A9f9R21vMXxHZFNpYNeKFtG8_yji4HS352LGlSQ/edit?pli=1#gid=0"",""1_ACUM!A4:S""),18,FALSE))"),"")</f>
        <v/>
      </c>
      <c r="BE429" s="44" t="str">
        <f ca="1">IFERROR(__xludf.DUMMYFUNCTION("IFERROR(VLOOKUP(E446&amp;F446,IMPORTRANGE(""https://docs.google.com/spreadsheets/d/1Uw7-A9f9R21vMXxHZFNpYNeKFtG8_yji4HS352LGlSQ/edit?pli=1#gid=0"",""1_ACUM!A4:S""),19,FALSE))"),"")</f>
        <v/>
      </c>
      <c r="BF429" s="44" t="str">
        <f ca="1">IFERROR(__xludf.DUMMYFUNCTION("IFERROR(VLOOKUP(F446,IMPORTRANGE(""https://docs.google.com/spreadsheets/d/1Kvs4KS76FHFqLFIZfrDMff4kP08nblUkihrxltoGBjg/edit#gid=934712705"",""ESENCIAL!A6:BG""),5,FALSE))"),"")</f>
        <v/>
      </c>
      <c r="BG429" s="44" t="str">
        <f t="shared" si="37"/>
        <v/>
      </c>
      <c r="BH429" s="41" t="str">
        <f t="shared" si="38"/>
        <v/>
      </c>
      <c r="BI429" s="41" t="str">
        <f ca="1">IFERROR(__xludf.DUMMYFUNCTION("IFERROR(VLOOKUP(F446,IMPORTRANGE(""https://docs.google.com/spreadsheets/d/1Kvs4KS76FHFqLFIZfrDMff4kP08nblUkihrxltoGBjg/edit#gid=934712705"",""ESENCIAL!A6:BG""),18,FALSE))"),"")</f>
        <v/>
      </c>
      <c r="BJ429" s="19" t="str">
        <f t="shared" si="39"/>
        <v/>
      </c>
      <c r="BK429" s="41"/>
      <c r="BL429" s="41"/>
    </row>
    <row r="430" spans="1:64" ht="15">
      <c r="A430" s="4"/>
      <c r="B430" s="4"/>
      <c r="G430" s="5" t="str">
        <f ca="1">IFERROR(__xludf.DUMMYFUNCTION("IFERROR(VLOOKUP(F447,IMPORTRANGE(""https://docs.google.com/spreadsheets/d/1Kvs4KS76FHFqLFIZfrDMff4kP08nblUkihrxltoGBjg/edit#gid=934712705"",""ESENCIAL!A6:BG""),3,FALSE))"),"")</f>
        <v/>
      </c>
      <c r="H430" s="5" t="str">
        <f ca="1">IFERROR(__xludf.DUMMYFUNCTION("IFERROR(VLOOKUP(F447,IMPORTRANGE(""https://docs.google.com/spreadsheets/d/1Kvs4KS76FHFqLFIZfrDMff4kP08nblUkihrxltoGBjg/edit#gid=934712705"",""ESENCIAL!A6:BG""),8,FALSE))"),"")</f>
        <v/>
      </c>
      <c r="L430" s="287"/>
      <c r="S430"/>
      <c r="AU430" s="41" t="str">
        <f t="shared" si="36"/>
        <v/>
      </c>
      <c r="AV430" s="5" t="str">
        <f ca="1">IFERROR(__xludf.DUMMYFUNCTION("IFERROR(VLOOKUP(E447&amp;F447,IMPORTRANGE(""https://docs.google.com/spreadsheets/d/1Uw7-A9f9R21vMXxHZFNpYNeKFtG8_yji4HS352LGlSQ/edit?pli=1#gid=0"",""1_ACUM!A4:S""),11,FALSE))"),"")</f>
        <v/>
      </c>
      <c r="AW430" s="42" t="str">
        <f ca="1">IFERROR(__xludf.DUMMYFUNCTION("IFERROR(VLOOKUP(F447,IMPORTRANGE(""https://docs.google.com/spreadsheets/d/1Kvs4KS76FHFqLFIZfrDMff4kP08nblUkihrxltoGBjg/edit#gid=934712705"",""ESENCIAL!A6:BG""),15,FALSE))"),"")</f>
        <v/>
      </c>
      <c r="AX430" s="21" t="str">
        <f ca="1">IFERROR(__xludf.DUMMYFUNCTION("IFERROR(VLOOKUP(E447&amp;F447,IMPORTRANGE(""https://docs.google.com/spreadsheets/d/1Uw7-A9f9R21vMXxHZFNpYNeKFtG8_yji4HS352LGlSQ/edit?pli=1#gid=0"",""1_ACUM!A4:S""),12,FALSE))"),"")</f>
        <v/>
      </c>
      <c r="AY430" s="43" t="str">
        <f ca="1">IFERROR(__xludf.DUMMYFUNCTION("IFERROR(VLOOKUP(E447&amp;F447,IMPORTRANGE(""https://docs.google.com/spreadsheets/d/1Uw7-A9f9R21vMXxHZFNpYNeKFtG8_yji4HS352LGlSQ/edit?pli=1#gid=0"",""1_ACUM!A4:S""),13,FALSE))"),"")</f>
        <v/>
      </c>
      <c r="AZ430" s="43" t="str">
        <f ca="1">IFERROR(__xludf.DUMMYFUNCTION("IFERROR(VLOOKUP(E447&amp;F447,IMPORTRANGE(""https://docs.google.com/spreadsheets/d/1Uw7-A9f9R21vMXxHZFNpYNeKFtG8_yji4HS352LGlSQ/edit?pli=1#gid=0"",""1_ACUM!A4:S""),14,FALSE))"),"")</f>
        <v/>
      </c>
      <c r="BA430" s="43" t="str">
        <f ca="1">IFERROR(__xludf.DUMMYFUNCTION("IFERROR(VLOOKUP(E447&amp;F447,IMPORTRANGE(""https://docs.google.com/spreadsheets/d/1Uw7-A9f9R21vMXxHZFNpYNeKFtG8_yji4HS352LGlSQ/edit?pli=1#gid=0"",""1_ACUM!A4:S""),15,FALSE))"),"")</f>
        <v/>
      </c>
      <c r="BB430" s="43" t="str">
        <f ca="1">IFERROR(__xludf.DUMMYFUNCTION("IFERROR(VLOOKUP(E447&amp;F447,IMPORTRANGE(""https://docs.google.com/spreadsheets/d/1Uw7-A9f9R21vMXxHZFNpYNeKFtG8_yji4HS352LGlSQ/edit?pli=1#gid=0"",""1_ACUM!A4:S""),16,FALSE))"),"")</f>
        <v/>
      </c>
      <c r="BC430" s="43" t="str">
        <f ca="1">IFERROR(__xludf.DUMMYFUNCTION("IFERROR(VLOOKUP(E447&amp;F447,IMPORTRANGE(""https://docs.google.com/spreadsheets/d/1Uw7-A9f9R21vMXxHZFNpYNeKFtG8_yji4HS352LGlSQ/edit?pli=1#gid=0"",""1_ACUM!A4:S""),17,FALSE))"),"")</f>
        <v/>
      </c>
      <c r="BD430" s="44" t="str">
        <f ca="1">IFERROR(__xludf.DUMMYFUNCTION("IFERROR(VLOOKUP(E447&amp;F447,IMPORTRANGE(""https://docs.google.com/spreadsheets/d/1Uw7-A9f9R21vMXxHZFNpYNeKFtG8_yji4HS352LGlSQ/edit?pli=1#gid=0"",""1_ACUM!A4:S""),18,FALSE))"),"")</f>
        <v/>
      </c>
      <c r="BE430" s="44" t="str">
        <f ca="1">IFERROR(__xludf.DUMMYFUNCTION("IFERROR(VLOOKUP(E447&amp;F447,IMPORTRANGE(""https://docs.google.com/spreadsheets/d/1Uw7-A9f9R21vMXxHZFNpYNeKFtG8_yji4HS352LGlSQ/edit?pli=1#gid=0"",""1_ACUM!A4:S""),19,FALSE))"),"")</f>
        <v/>
      </c>
      <c r="BF430" s="44" t="str">
        <f ca="1">IFERROR(__xludf.DUMMYFUNCTION("IFERROR(VLOOKUP(F447,IMPORTRANGE(""https://docs.google.com/spreadsheets/d/1Kvs4KS76FHFqLFIZfrDMff4kP08nblUkihrxltoGBjg/edit#gid=934712705"",""ESENCIAL!A6:BG""),5,FALSE))"),"")</f>
        <v/>
      </c>
      <c r="BG430" s="44" t="str">
        <f t="shared" si="37"/>
        <v/>
      </c>
      <c r="BH430" s="41" t="str">
        <f t="shared" si="38"/>
        <v/>
      </c>
      <c r="BI430" s="41" t="str">
        <f ca="1">IFERROR(__xludf.DUMMYFUNCTION("IFERROR(VLOOKUP(F447,IMPORTRANGE(""https://docs.google.com/spreadsheets/d/1Kvs4KS76FHFqLFIZfrDMff4kP08nblUkihrxltoGBjg/edit#gid=934712705"",""ESENCIAL!A6:BG""),18,FALSE))"),"")</f>
        <v/>
      </c>
      <c r="BJ430" s="19" t="str">
        <f t="shared" si="39"/>
        <v/>
      </c>
      <c r="BK430" s="41"/>
      <c r="BL430" s="41"/>
    </row>
    <row r="431" spans="1:64" ht="15">
      <c r="A431" s="4"/>
      <c r="B431" s="4"/>
      <c r="G431" s="5" t="str">
        <f ca="1">IFERROR(__xludf.DUMMYFUNCTION("IFERROR(VLOOKUP(F448,IMPORTRANGE(""https://docs.google.com/spreadsheets/d/1Kvs4KS76FHFqLFIZfrDMff4kP08nblUkihrxltoGBjg/edit#gid=934712705"",""ESENCIAL!A6:BG""),3,FALSE))"),"")</f>
        <v/>
      </c>
      <c r="H431" s="5" t="str">
        <f ca="1">IFERROR(__xludf.DUMMYFUNCTION("IFERROR(VLOOKUP(F448,IMPORTRANGE(""https://docs.google.com/spreadsheets/d/1Kvs4KS76FHFqLFIZfrDMff4kP08nblUkihrxltoGBjg/edit#gid=934712705"",""ESENCIAL!A6:BG""),8,FALSE))"),"")</f>
        <v/>
      </c>
      <c r="L431" s="287"/>
      <c r="S431"/>
      <c r="AU431" s="41" t="str">
        <f t="shared" si="36"/>
        <v/>
      </c>
      <c r="AV431" s="5" t="str">
        <f ca="1">IFERROR(__xludf.DUMMYFUNCTION("IFERROR(VLOOKUP(E448&amp;F448,IMPORTRANGE(""https://docs.google.com/spreadsheets/d/1Uw7-A9f9R21vMXxHZFNpYNeKFtG8_yji4HS352LGlSQ/edit?pli=1#gid=0"",""1_ACUM!A4:S""),11,FALSE))"),"")</f>
        <v/>
      </c>
      <c r="AW431" s="42" t="str">
        <f ca="1">IFERROR(__xludf.DUMMYFUNCTION("IFERROR(VLOOKUP(F448,IMPORTRANGE(""https://docs.google.com/spreadsheets/d/1Kvs4KS76FHFqLFIZfrDMff4kP08nblUkihrxltoGBjg/edit#gid=934712705"",""ESENCIAL!A6:BG""),15,FALSE))"),"")</f>
        <v/>
      </c>
      <c r="AX431" s="21" t="str">
        <f ca="1">IFERROR(__xludf.DUMMYFUNCTION("IFERROR(VLOOKUP(E448&amp;F448,IMPORTRANGE(""https://docs.google.com/spreadsheets/d/1Uw7-A9f9R21vMXxHZFNpYNeKFtG8_yji4HS352LGlSQ/edit?pli=1#gid=0"",""1_ACUM!A4:S""),12,FALSE))"),"")</f>
        <v/>
      </c>
      <c r="AY431" s="43" t="str">
        <f ca="1">IFERROR(__xludf.DUMMYFUNCTION("IFERROR(VLOOKUP(E448&amp;F448,IMPORTRANGE(""https://docs.google.com/spreadsheets/d/1Uw7-A9f9R21vMXxHZFNpYNeKFtG8_yji4HS352LGlSQ/edit?pli=1#gid=0"",""1_ACUM!A4:S""),13,FALSE))"),"")</f>
        <v/>
      </c>
      <c r="AZ431" s="43" t="str">
        <f ca="1">IFERROR(__xludf.DUMMYFUNCTION("IFERROR(VLOOKUP(E448&amp;F448,IMPORTRANGE(""https://docs.google.com/spreadsheets/d/1Uw7-A9f9R21vMXxHZFNpYNeKFtG8_yji4HS352LGlSQ/edit?pli=1#gid=0"",""1_ACUM!A4:S""),14,FALSE))"),"")</f>
        <v/>
      </c>
      <c r="BA431" s="43" t="str">
        <f ca="1">IFERROR(__xludf.DUMMYFUNCTION("IFERROR(VLOOKUP(E448&amp;F448,IMPORTRANGE(""https://docs.google.com/spreadsheets/d/1Uw7-A9f9R21vMXxHZFNpYNeKFtG8_yji4HS352LGlSQ/edit?pli=1#gid=0"",""1_ACUM!A4:S""),15,FALSE))"),"")</f>
        <v/>
      </c>
      <c r="BB431" s="43" t="str">
        <f ca="1">IFERROR(__xludf.DUMMYFUNCTION("IFERROR(VLOOKUP(E448&amp;F448,IMPORTRANGE(""https://docs.google.com/spreadsheets/d/1Uw7-A9f9R21vMXxHZFNpYNeKFtG8_yji4HS352LGlSQ/edit?pli=1#gid=0"",""1_ACUM!A4:S""),16,FALSE))"),"")</f>
        <v/>
      </c>
      <c r="BC431" s="43" t="str">
        <f ca="1">IFERROR(__xludf.DUMMYFUNCTION("IFERROR(VLOOKUP(E448&amp;F448,IMPORTRANGE(""https://docs.google.com/spreadsheets/d/1Uw7-A9f9R21vMXxHZFNpYNeKFtG8_yji4HS352LGlSQ/edit?pli=1#gid=0"",""1_ACUM!A4:S""),17,FALSE))"),"")</f>
        <v/>
      </c>
      <c r="BD431" s="44" t="str">
        <f ca="1">IFERROR(__xludf.DUMMYFUNCTION("IFERROR(VLOOKUP(E448&amp;F448,IMPORTRANGE(""https://docs.google.com/spreadsheets/d/1Uw7-A9f9R21vMXxHZFNpYNeKFtG8_yji4HS352LGlSQ/edit?pli=1#gid=0"",""1_ACUM!A4:S""),18,FALSE))"),"")</f>
        <v/>
      </c>
      <c r="BE431" s="44" t="str">
        <f ca="1">IFERROR(__xludf.DUMMYFUNCTION("IFERROR(VLOOKUP(E448&amp;F448,IMPORTRANGE(""https://docs.google.com/spreadsheets/d/1Uw7-A9f9R21vMXxHZFNpYNeKFtG8_yji4HS352LGlSQ/edit?pli=1#gid=0"",""1_ACUM!A4:S""),19,FALSE))"),"")</f>
        <v/>
      </c>
      <c r="BF431" s="44" t="str">
        <f ca="1">IFERROR(__xludf.DUMMYFUNCTION("IFERROR(VLOOKUP(F448,IMPORTRANGE(""https://docs.google.com/spreadsheets/d/1Kvs4KS76FHFqLFIZfrDMff4kP08nblUkihrxltoGBjg/edit#gid=934712705"",""ESENCIAL!A6:BG""),5,FALSE))"),"")</f>
        <v/>
      </c>
      <c r="BG431" s="44" t="str">
        <f t="shared" si="37"/>
        <v/>
      </c>
      <c r="BH431" s="41" t="str">
        <f t="shared" si="38"/>
        <v/>
      </c>
      <c r="BI431" s="41" t="str">
        <f ca="1">IFERROR(__xludf.DUMMYFUNCTION("IFERROR(VLOOKUP(F448,IMPORTRANGE(""https://docs.google.com/spreadsheets/d/1Kvs4KS76FHFqLFIZfrDMff4kP08nblUkihrxltoGBjg/edit#gid=934712705"",""ESENCIAL!A6:BG""),18,FALSE))"),"")</f>
        <v/>
      </c>
      <c r="BJ431" s="19" t="str">
        <f t="shared" si="39"/>
        <v/>
      </c>
      <c r="BK431" s="41"/>
      <c r="BL431" s="41"/>
    </row>
    <row r="432" spans="1:64" ht="15">
      <c r="A432" s="4"/>
      <c r="B432" s="4"/>
      <c r="G432" s="5" t="str">
        <f ca="1">IFERROR(__xludf.DUMMYFUNCTION("IFERROR(VLOOKUP(F449,IMPORTRANGE(""https://docs.google.com/spreadsheets/d/1Kvs4KS76FHFqLFIZfrDMff4kP08nblUkihrxltoGBjg/edit#gid=934712705"",""ESENCIAL!A6:BG""),3,FALSE))"),"")</f>
        <v/>
      </c>
      <c r="H432" s="5" t="str">
        <f ca="1">IFERROR(__xludf.DUMMYFUNCTION("IFERROR(VLOOKUP(F449,IMPORTRANGE(""https://docs.google.com/spreadsheets/d/1Kvs4KS76FHFqLFIZfrDMff4kP08nblUkihrxltoGBjg/edit#gid=934712705"",""ESENCIAL!A6:BG""),8,FALSE))"),"")</f>
        <v/>
      </c>
      <c r="L432" s="287"/>
      <c r="S432"/>
      <c r="AU432" s="41" t="str">
        <f t="shared" si="36"/>
        <v/>
      </c>
      <c r="AV432" s="5" t="str">
        <f ca="1">IFERROR(__xludf.DUMMYFUNCTION("IFERROR(VLOOKUP(E449&amp;F449,IMPORTRANGE(""https://docs.google.com/spreadsheets/d/1Uw7-A9f9R21vMXxHZFNpYNeKFtG8_yji4HS352LGlSQ/edit?pli=1#gid=0"",""1_ACUM!A4:S""),11,FALSE))"),"")</f>
        <v/>
      </c>
      <c r="AW432" s="42" t="str">
        <f ca="1">IFERROR(__xludf.DUMMYFUNCTION("IFERROR(VLOOKUP(F449,IMPORTRANGE(""https://docs.google.com/spreadsheets/d/1Kvs4KS76FHFqLFIZfrDMff4kP08nblUkihrxltoGBjg/edit#gid=934712705"",""ESENCIAL!A6:BG""),15,FALSE))"),"")</f>
        <v/>
      </c>
      <c r="AX432" s="21" t="str">
        <f ca="1">IFERROR(__xludf.DUMMYFUNCTION("IFERROR(VLOOKUP(E449&amp;F449,IMPORTRANGE(""https://docs.google.com/spreadsheets/d/1Uw7-A9f9R21vMXxHZFNpYNeKFtG8_yji4HS352LGlSQ/edit?pli=1#gid=0"",""1_ACUM!A4:S""),12,FALSE))"),"")</f>
        <v/>
      </c>
      <c r="AY432" s="43" t="str">
        <f ca="1">IFERROR(__xludf.DUMMYFUNCTION("IFERROR(VLOOKUP(E449&amp;F449,IMPORTRANGE(""https://docs.google.com/spreadsheets/d/1Uw7-A9f9R21vMXxHZFNpYNeKFtG8_yji4HS352LGlSQ/edit?pli=1#gid=0"",""1_ACUM!A4:S""),13,FALSE))"),"")</f>
        <v/>
      </c>
      <c r="AZ432" s="43" t="str">
        <f ca="1">IFERROR(__xludf.DUMMYFUNCTION("IFERROR(VLOOKUP(E449&amp;F449,IMPORTRANGE(""https://docs.google.com/spreadsheets/d/1Uw7-A9f9R21vMXxHZFNpYNeKFtG8_yji4HS352LGlSQ/edit?pli=1#gid=0"",""1_ACUM!A4:S""),14,FALSE))"),"")</f>
        <v/>
      </c>
      <c r="BA432" s="43" t="str">
        <f ca="1">IFERROR(__xludf.DUMMYFUNCTION("IFERROR(VLOOKUP(E449&amp;F449,IMPORTRANGE(""https://docs.google.com/spreadsheets/d/1Uw7-A9f9R21vMXxHZFNpYNeKFtG8_yji4HS352LGlSQ/edit?pli=1#gid=0"",""1_ACUM!A4:S""),15,FALSE))"),"")</f>
        <v/>
      </c>
      <c r="BB432" s="43" t="str">
        <f ca="1">IFERROR(__xludf.DUMMYFUNCTION("IFERROR(VLOOKUP(E449&amp;F449,IMPORTRANGE(""https://docs.google.com/spreadsheets/d/1Uw7-A9f9R21vMXxHZFNpYNeKFtG8_yji4HS352LGlSQ/edit?pli=1#gid=0"",""1_ACUM!A4:S""),16,FALSE))"),"")</f>
        <v/>
      </c>
      <c r="BC432" s="43" t="str">
        <f ca="1">IFERROR(__xludf.DUMMYFUNCTION("IFERROR(VLOOKUP(E449&amp;F449,IMPORTRANGE(""https://docs.google.com/spreadsheets/d/1Uw7-A9f9R21vMXxHZFNpYNeKFtG8_yji4HS352LGlSQ/edit?pli=1#gid=0"",""1_ACUM!A4:S""),17,FALSE))"),"")</f>
        <v/>
      </c>
      <c r="BD432" s="44" t="str">
        <f ca="1">IFERROR(__xludf.DUMMYFUNCTION("IFERROR(VLOOKUP(E449&amp;F449,IMPORTRANGE(""https://docs.google.com/spreadsheets/d/1Uw7-A9f9R21vMXxHZFNpYNeKFtG8_yji4HS352LGlSQ/edit?pli=1#gid=0"",""1_ACUM!A4:S""),18,FALSE))"),"")</f>
        <v/>
      </c>
      <c r="BE432" s="44" t="str">
        <f ca="1">IFERROR(__xludf.DUMMYFUNCTION("IFERROR(VLOOKUP(E449&amp;F449,IMPORTRANGE(""https://docs.google.com/spreadsheets/d/1Uw7-A9f9R21vMXxHZFNpYNeKFtG8_yji4HS352LGlSQ/edit?pli=1#gid=0"",""1_ACUM!A4:S""),19,FALSE))"),"")</f>
        <v/>
      </c>
      <c r="BF432" s="44" t="str">
        <f ca="1">IFERROR(__xludf.DUMMYFUNCTION("IFERROR(VLOOKUP(F449,IMPORTRANGE(""https://docs.google.com/spreadsheets/d/1Kvs4KS76FHFqLFIZfrDMff4kP08nblUkihrxltoGBjg/edit#gid=934712705"",""ESENCIAL!A6:BG""),5,FALSE))"),"")</f>
        <v/>
      </c>
      <c r="BG432" s="44" t="str">
        <f t="shared" si="37"/>
        <v/>
      </c>
      <c r="BH432" s="41" t="str">
        <f t="shared" si="38"/>
        <v/>
      </c>
      <c r="BI432" s="41" t="str">
        <f ca="1">IFERROR(__xludf.DUMMYFUNCTION("IFERROR(VLOOKUP(F449,IMPORTRANGE(""https://docs.google.com/spreadsheets/d/1Kvs4KS76FHFqLFIZfrDMff4kP08nblUkihrxltoGBjg/edit#gid=934712705"",""ESENCIAL!A6:BG""),18,FALSE))"),"")</f>
        <v/>
      </c>
      <c r="BJ432" s="19" t="str">
        <f t="shared" si="39"/>
        <v/>
      </c>
      <c r="BK432" s="41"/>
      <c r="BL432" s="41"/>
    </row>
    <row r="433" spans="1:64" ht="15">
      <c r="A433" s="4"/>
      <c r="B433" s="4"/>
      <c r="G433" s="5" t="str">
        <f ca="1">IFERROR(__xludf.DUMMYFUNCTION("IFERROR(VLOOKUP(F450,IMPORTRANGE(""https://docs.google.com/spreadsheets/d/1Kvs4KS76FHFqLFIZfrDMff4kP08nblUkihrxltoGBjg/edit#gid=934712705"",""ESENCIAL!A6:BG""),3,FALSE))"),"")</f>
        <v/>
      </c>
      <c r="H433" s="5" t="str">
        <f ca="1">IFERROR(__xludf.DUMMYFUNCTION("IFERROR(VLOOKUP(F450,IMPORTRANGE(""https://docs.google.com/spreadsheets/d/1Kvs4KS76FHFqLFIZfrDMff4kP08nblUkihrxltoGBjg/edit#gid=934712705"",""ESENCIAL!A6:BG""),8,FALSE))"),"")</f>
        <v/>
      </c>
      <c r="L433" s="287"/>
      <c r="S433"/>
      <c r="AU433" s="41" t="str">
        <f t="shared" si="36"/>
        <v/>
      </c>
      <c r="AV433" s="5" t="str">
        <f ca="1">IFERROR(__xludf.DUMMYFUNCTION("IFERROR(VLOOKUP(E450&amp;F450,IMPORTRANGE(""https://docs.google.com/spreadsheets/d/1Uw7-A9f9R21vMXxHZFNpYNeKFtG8_yji4HS352LGlSQ/edit?pli=1#gid=0"",""1_ACUM!A4:S""),11,FALSE))"),"")</f>
        <v/>
      </c>
      <c r="AW433" s="42" t="str">
        <f ca="1">IFERROR(__xludf.DUMMYFUNCTION("IFERROR(VLOOKUP(F450,IMPORTRANGE(""https://docs.google.com/spreadsheets/d/1Kvs4KS76FHFqLFIZfrDMff4kP08nblUkihrxltoGBjg/edit#gid=934712705"",""ESENCIAL!A6:BG""),15,FALSE))"),"")</f>
        <v/>
      </c>
      <c r="AX433" s="21" t="str">
        <f ca="1">IFERROR(__xludf.DUMMYFUNCTION("IFERROR(VLOOKUP(E450&amp;F450,IMPORTRANGE(""https://docs.google.com/spreadsheets/d/1Uw7-A9f9R21vMXxHZFNpYNeKFtG8_yji4HS352LGlSQ/edit?pli=1#gid=0"",""1_ACUM!A4:S""),12,FALSE))"),"")</f>
        <v/>
      </c>
      <c r="AY433" s="43" t="str">
        <f ca="1">IFERROR(__xludf.DUMMYFUNCTION("IFERROR(VLOOKUP(E450&amp;F450,IMPORTRANGE(""https://docs.google.com/spreadsheets/d/1Uw7-A9f9R21vMXxHZFNpYNeKFtG8_yji4HS352LGlSQ/edit?pli=1#gid=0"",""1_ACUM!A4:S""),13,FALSE))"),"")</f>
        <v/>
      </c>
      <c r="AZ433" s="43" t="str">
        <f ca="1">IFERROR(__xludf.DUMMYFUNCTION("IFERROR(VLOOKUP(E450&amp;F450,IMPORTRANGE(""https://docs.google.com/spreadsheets/d/1Uw7-A9f9R21vMXxHZFNpYNeKFtG8_yji4HS352LGlSQ/edit?pli=1#gid=0"",""1_ACUM!A4:S""),14,FALSE))"),"")</f>
        <v/>
      </c>
      <c r="BA433" s="43" t="str">
        <f ca="1">IFERROR(__xludf.DUMMYFUNCTION("IFERROR(VLOOKUP(E450&amp;F450,IMPORTRANGE(""https://docs.google.com/spreadsheets/d/1Uw7-A9f9R21vMXxHZFNpYNeKFtG8_yji4HS352LGlSQ/edit?pli=1#gid=0"",""1_ACUM!A4:S""),15,FALSE))"),"")</f>
        <v/>
      </c>
      <c r="BB433" s="43" t="str">
        <f ca="1">IFERROR(__xludf.DUMMYFUNCTION("IFERROR(VLOOKUP(E450&amp;F450,IMPORTRANGE(""https://docs.google.com/spreadsheets/d/1Uw7-A9f9R21vMXxHZFNpYNeKFtG8_yji4HS352LGlSQ/edit?pli=1#gid=0"",""1_ACUM!A4:S""),16,FALSE))"),"")</f>
        <v/>
      </c>
      <c r="BC433" s="43" t="str">
        <f ca="1">IFERROR(__xludf.DUMMYFUNCTION("IFERROR(VLOOKUP(E450&amp;F450,IMPORTRANGE(""https://docs.google.com/spreadsheets/d/1Uw7-A9f9R21vMXxHZFNpYNeKFtG8_yji4HS352LGlSQ/edit?pli=1#gid=0"",""1_ACUM!A4:S""),17,FALSE))"),"")</f>
        <v/>
      </c>
      <c r="BD433" s="44" t="str">
        <f ca="1">IFERROR(__xludf.DUMMYFUNCTION("IFERROR(VLOOKUP(E450&amp;F450,IMPORTRANGE(""https://docs.google.com/spreadsheets/d/1Uw7-A9f9R21vMXxHZFNpYNeKFtG8_yji4HS352LGlSQ/edit?pli=1#gid=0"",""1_ACUM!A4:S""),18,FALSE))"),"")</f>
        <v/>
      </c>
      <c r="BE433" s="44" t="str">
        <f ca="1">IFERROR(__xludf.DUMMYFUNCTION("IFERROR(VLOOKUP(E450&amp;F450,IMPORTRANGE(""https://docs.google.com/spreadsheets/d/1Uw7-A9f9R21vMXxHZFNpYNeKFtG8_yji4HS352LGlSQ/edit?pli=1#gid=0"",""1_ACUM!A4:S""),19,FALSE))"),"")</f>
        <v/>
      </c>
      <c r="BF433" s="44" t="str">
        <f ca="1">IFERROR(__xludf.DUMMYFUNCTION("IFERROR(VLOOKUP(F450,IMPORTRANGE(""https://docs.google.com/spreadsheets/d/1Kvs4KS76FHFqLFIZfrDMff4kP08nblUkihrxltoGBjg/edit#gid=934712705"",""ESENCIAL!A6:BG""),5,FALSE))"),"")</f>
        <v/>
      </c>
      <c r="BG433" s="44" t="str">
        <f t="shared" si="37"/>
        <v/>
      </c>
      <c r="BH433" s="41" t="str">
        <f t="shared" si="38"/>
        <v/>
      </c>
      <c r="BI433" s="41" t="str">
        <f ca="1">IFERROR(__xludf.DUMMYFUNCTION("IFERROR(VLOOKUP(F450,IMPORTRANGE(""https://docs.google.com/spreadsheets/d/1Kvs4KS76FHFqLFIZfrDMff4kP08nblUkihrxltoGBjg/edit#gid=934712705"",""ESENCIAL!A6:BG""),18,FALSE))"),"")</f>
        <v/>
      </c>
      <c r="BJ433" s="19" t="str">
        <f t="shared" si="39"/>
        <v/>
      </c>
      <c r="BK433" s="41"/>
      <c r="BL433" s="41"/>
    </row>
    <row r="434" spans="1:64" ht="15">
      <c r="A434" s="4"/>
      <c r="B434" s="4"/>
      <c r="G434" s="5" t="str">
        <f ca="1">IFERROR(__xludf.DUMMYFUNCTION("IFERROR(VLOOKUP(F451,IMPORTRANGE(""https://docs.google.com/spreadsheets/d/1Kvs4KS76FHFqLFIZfrDMff4kP08nblUkihrxltoGBjg/edit#gid=934712705"",""ESENCIAL!A6:BG""),3,FALSE))"),"")</f>
        <v/>
      </c>
      <c r="H434" s="5" t="str">
        <f ca="1">IFERROR(__xludf.DUMMYFUNCTION("IFERROR(VLOOKUP(F451,IMPORTRANGE(""https://docs.google.com/spreadsheets/d/1Kvs4KS76FHFqLFIZfrDMff4kP08nblUkihrxltoGBjg/edit#gid=934712705"",""ESENCIAL!A6:BG""),8,FALSE))"),"")</f>
        <v/>
      </c>
      <c r="L434" s="287"/>
      <c r="S434"/>
      <c r="AU434" s="41" t="str">
        <f t="shared" si="36"/>
        <v/>
      </c>
      <c r="AV434" s="5" t="str">
        <f ca="1">IFERROR(__xludf.DUMMYFUNCTION("IFERROR(VLOOKUP(E451&amp;F451,IMPORTRANGE(""https://docs.google.com/spreadsheets/d/1Uw7-A9f9R21vMXxHZFNpYNeKFtG8_yji4HS352LGlSQ/edit?pli=1#gid=0"",""1_ACUM!A4:S""),11,FALSE))"),"")</f>
        <v/>
      </c>
      <c r="AW434" s="42" t="str">
        <f ca="1">IFERROR(__xludf.DUMMYFUNCTION("IFERROR(VLOOKUP(F451,IMPORTRANGE(""https://docs.google.com/spreadsheets/d/1Kvs4KS76FHFqLFIZfrDMff4kP08nblUkihrxltoGBjg/edit#gid=934712705"",""ESENCIAL!A6:BG""),15,FALSE))"),"")</f>
        <v/>
      </c>
      <c r="AX434" s="21" t="str">
        <f ca="1">IFERROR(__xludf.DUMMYFUNCTION("IFERROR(VLOOKUP(E451&amp;F451,IMPORTRANGE(""https://docs.google.com/spreadsheets/d/1Uw7-A9f9R21vMXxHZFNpYNeKFtG8_yji4HS352LGlSQ/edit?pli=1#gid=0"",""1_ACUM!A4:S""),12,FALSE))"),"")</f>
        <v/>
      </c>
      <c r="AY434" s="43" t="str">
        <f ca="1">IFERROR(__xludf.DUMMYFUNCTION("IFERROR(VLOOKUP(E451&amp;F451,IMPORTRANGE(""https://docs.google.com/spreadsheets/d/1Uw7-A9f9R21vMXxHZFNpYNeKFtG8_yji4HS352LGlSQ/edit?pli=1#gid=0"",""1_ACUM!A4:S""),13,FALSE))"),"")</f>
        <v/>
      </c>
      <c r="AZ434" s="43" t="str">
        <f ca="1">IFERROR(__xludf.DUMMYFUNCTION("IFERROR(VLOOKUP(E451&amp;F451,IMPORTRANGE(""https://docs.google.com/spreadsheets/d/1Uw7-A9f9R21vMXxHZFNpYNeKFtG8_yji4HS352LGlSQ/edit?pli=1#gid=0"",""1_ACUM!A4:S""),14,FALSE))"),"")</f>
        <v/>
      </c>
      <c r="BA434" s="43" t="str">
        <f ca="1">IFERROR(__xludf.DUMMYFUNCTION("IFERROR(VLOOKUP(E451&amp;F451,IMPORTRANGE(""https://docs.google.com/spreadsheets/d/1Uw7-A9f9R21vMXxHZFNpYNeKFtG8_yji4HS352LGlSQ/edit?pli=1#gid=0"",""1_ACUM!A4:S""),15,FALSE))"),"")</f>
        <v/>
      </c>
      <c r="BB434" s="43" t="str">
        <f ca="1">IFERROR(__xludf.DUMMYFUNCTION("IFERROR(VLOOKUP(E451&amp;F451,IMPORTRANGE(""https://docs.google.com/spreadsheets/d/1Uw7-A9f9R21vMXxHZFNpYNeKFtG8_yji4HS352LGlSQ/edit?pli=1#gid=0"",""1_ACUM!A4:S""),16,FALSE))"),"")</f>
        <v/>
      </c>
      <c r="BC434" s="43" t="str">
        <f ca="1">IFERROR(__xludf.DUMMYFUNCTION("IFERROR(VLOOKUP(E451&amp;F451,IMPORTRANGE(""https://docs.google.com/spreadsheets/d/1Uw7-A9f9R21vMXxHZFNpYNeKFtG8_yji4HS352LGlSQ/edit?pli=1#gid=0"",""1_ACUM!A4:S""),17,FALSE))"),"")</f>
        <v/>
      </c>
      <c r="BD434" s="44" t="str">
        <f ca="1">IFERROR(__xludf.DUMMYFUNCTION("IFERROR(VLOOKUP(E451&amp;F451,IMPORTRANGE(""https://docs.google.com/spreadsheets/d/1Uw7-A9f9R21vMXxHZFNpYNeKFtG8_yji4HS352LGlSQ/edit?pli=1#gid=0"",""1_ACUM!A4:S""),18,FALSE))"),"")</f>
        <v/>
      </c>
      <c r="BE434" s="44" t="str">
        <f ca="1">IFERROR(__xludf.DUMMYFUNCTION("IFERROR(VLOOKUP(E451&amp;F451,IMPORTRANGE(""https://docs.google.com/spreadsheets/d/1Uw7-A9f9R21vMXxHZFNpYNeKFtG8_yji4HS352LGlSQ/edit?pli=1#gid=0"",""1_ACUM!A4:S""),19,FALSE))"),"")</f>
        <v/>
      </c>
      <c r="BF434" s="44" t="str">
        <f ca="1">IFERROR(__xludf.DUMMYFUNCTION("IFERROR(VLOOKUP(F451,IMPORTRANGE(""https://docs.google.com/spreadsheets/d/1Kvs4KS76FHFqLFIZfrDMff4kP08nblUkihrxltoGBjg/edit#gid=934712705"",""ESENCIAL!A6:BG""),5,FALSE))"),"")</f>
        <v/>
      </c>
      <c r="BG434" s="44" t="str">
        <f t="shared" si="37"/>
        <v/>
      </c>
      <c r="BH434" s="41" t="str">
        <f t="shared" si="38"/>
        <v/>
      </c>
      <c r="BI434" s="41" t="str">
        <f ca="1">IFERROR(__xludf.DUMMYFUNCTION("IFERROR(VLOOKUP(F451,IMPORTRANGE(""https://docs.google.com/spreadsheets/d/1Kvs4KS76FHFqLFIZfrDMff4kP08nblUkihrxltoGBjg/edit#gid=934712705"",""ESENCIAL!A6:BG""),18,FALSE))"),"")</f>
        <v/>
      </c>
      <c r="BJ434" s="19" t="str">
        <f t="shared" si="39"/>
        <v/>
      </c>
      <c r="BK434" s="41"/>
      <c r="BL434" s="41"/>
    </row>
    <row r="435" spans="1:64" ht="15">
      <c r="A435" s="4"/>
      <c r="B435" s="4"/>
      <c r="G435" s="5" t="str">
        <f ca="1">IFERROR(__xludf.DUMMYFUNCTION("IFERROR(VLOOKUP(F452,IMPORTRANGE(""https://docs.google.com/spreadsheets/d/1Kvs4KS76FHFqLFIZfrDMff4kP08nblUkihrxltoGBjg/edit#gid=934712705"",""ESENCIAL!A6:BG""),3,FALSE))"),"")</f>
        <v/>
      </c>
      <c r="H435" s="5" t="str">
        <f ca="1">IFERROR(__xludf.DUMMYFUNCTION("IFERROR(VLOOKUP(F452,IMPORTRANGE(""https://docs.google.com/spreadsheets/d/1Kvs4KS76FHFqLFIZfrDMff4kP08nblUkihrxltoGBjg/edit#gid=934712705"",""ESENCIAL!A6:BG""),8,FALSE))"),"")</f>
        <v/>
      </c>
      <c r="L435" s="287"/>
      <c r="S435"/>
      <c r="AU435" s="41" t="str">
        <f t="shared" si="36"/>
        <v/>
      </c>
      <c r="AV435" s="5" t="str">
        <f ca="1">IFERROR(__xludf.DUMMYFUNCTION("IFERROR(VLOOKUP(E452&amp;F452,IMPORTRANGE(""https://docs.google.com/spreadsheets/d/1Uw7-A9f9R21vMXxHZFNpYNeKFtG8_yji4HS352LGlSQ/edit?pli=1#gid=0"",""1_ACUM!A4:S""),11,FALSE))"),"")</f>
        <v/>
      </c>
      <c r="AW435" s="42" t="str">
        <f ca="1">IFERROR(__xludf.DUMMYFUNCTION("IFERROR(VLOOKUP(F452,IMPORTRANGE(""https://docs.google.com/spreadsheets/d/1Kvs4KS76FHFqLFIZfrDMff4kP08nblUkihrxltoGBjg/edit#gid=934712705"",""ESENCIAL!A6:BG""),15,FALSE))"),"")</f>
        <v/>
      </c>
      <c r="AX435" s="21" t="str">
        <f ca="1">IFERROR(__xludf.DUMMYFUNCTION("IFERROR(VLOOKUP(E452&amp;F452,IMPORTRANGE(""https://docs.google.com/spreadsheets/d/1Uw7-A9f9R21vMXxHZFNpYNeKFtG8_yji4HS352LGlSQ/edit?pli=1#gid=0"",""1_ACUM!A4:S""),12,FALSE))"),"")</f>
        <v/>
      </c>
      <c r="AY435" s="43" t="str">
        <f ca="1">IFERROR(__xludf.DUMMYFUNCTION("IFERROR(VLOOKUP(E452&amp;F452,IMPORTRANGE(""https://docs.google.com/spreadsheets/d/1Uw7-A9f9R21vMXxHZFNpYNeKFtG8_yji4HS352LGlSQ/edit?pli=1#gid=0"",""1_ACUM!A4:S""),13,FALSE))"),"")</f>
        <v/>
      </c>
      <c r="AZ435" s="43" t="str">
        <f ca="1">IFERROR(__xludf.DUMMYFUNCTION("IFERROR(VLOOKUP(E452&amp;F452,IMPORTRANGE(""https://docs.google.com/spreadsheets/d/1Uw7-A9f9R21vMXxHZFNpYNeKFtG8_yji4HS352LGlSQ/edit?pli=1#gid=0"",""1_ACUM!A4:S""),14,FALSE))"),"")</f>
        <v/>
      </c>
      <c r="BA435" s="43" t="str">
        <f ca="1">IFERROR(__xludf.DUMMYFUNCTION("IFERROR(VLOOKUP(E452&amp;F452,IMPORTRANGE(""https://docs.google.com/spreadsheets/d/1Uw7-A9f9R21vMXxHZFNpYNeKFtG8_yji4HS352LGlSQ/edit?pli=1#gid=0"",""1_ACUM!A4:S""),15,FALSE))"),"")</f>
        <v/>
      </c>
      <c r="BB435" s="43" t="str">
        <f ca="1">IFERROR(__xludf.DUMMYFUNCTION("IFERROR(VLOOKUP(E452&amp;F452,IMPORTRANGE(""https://docs.google.com/spreadsheets/d/1Uw7-A9f9R21vMXxHZFNpYNeKFtG8_yji4HS352LGlSQ/edit?pli=1#gid=0"",""1_ACUM!A4:S""),16,FALSE))"),"")</f>
        <v/>
      </c>
      <c r="BC435" s="43" t="str">
        <f ca="1">IFERROR(__xludf.DUMMYFUNCTION("IFERROR(VLOOKUP(E452&amp;F452,IMPORTRANGE(""https://docs.google.com/spreadsheets/d/1Uw7-A9f9R21vMXxHZFNpYNeKFtG8_yji4HS352LGlSQ/edit?pli=1#gid=0"",""1_ACUM!A4:S""),17,FALSE))"),"")</f>
        <v/>
      </c>
      <c r="BD435" s="44" t="str">
        <f ca="1">IFERROR(__xludf.DUMMYFUNCTION("IFERROR(VLOOKUP(E452&amp;F452,IMPORTRANGE(""https://docs.google.com/spreadsheets/d/1Uw7-A9f9R21vMXxHZFNpYNeKFtG8_yji4HS352LGlSQ/edit?pli=1#gid=0"",""1_ACUM!A4:S""),18,FALSE))"),"")</f>
        <v/>
      </c>
      <c r="BE435" s="44" t="str">
        <f ca="1">IFERROR(__xludf.DUMMYFUNCTION("IFERROR(VLOOKUP(E452&amp;F452,IMPORTRANGE(""https://docs.google.com/spreadsheets/d/1Uw7-A9f9R21vMXxHZFNpYNeKFtG8_yji4HS352LGlSQ/edit?pli=1#gid=0"",""1_ACUM!A4:S""),19,FALSE))"),"")</f>
        <v/>
      </c>
      <c r="BF435" s="44" t="str">
        <f ca="1">IFERROR(__xludf.DUMMYFUNCTION("IFERROR(VLOOKUP(F452,IMPORTRANGE(""https://docs.google.com/spreadsheets/d/1Kvs4KS76FHFqLFIZfrDMff4kP08nblUkihrxltoGBjg/edit#gid=934712705"",""ESENCIAL!A6:BG""),5,FALSE))"),"")</f>
        <v/>
      </c>
      <c r="BG435" s="44" t="str">
        <f t="shared" si="37"/>
        <v/>
      </c>
      <c r="BH435" s="41" t="str">
        <f t="shared" si="38"/>
        <v/>
      </c>
      <c r="BI435" s="41" t="str">
        <f ca="1">IFERROR(__xludf.DUMMYFUNCTION("IFERROR(VLOOKUP(F452,IMPORTRANGE(""https://docs.google.com/spreadsheets/d/1Kvs4KS76FHFqLFIZfrDMff4kP08nblUkihrxltoGBjg/edit#gid=934712705"",""ESENCIAL!A6:BG""),18,FALSE))"),"")</f>
        <v/>
      </c>
      <c r="BJ435" s="19" t="str">
        <f t="shared" si="39"/>
        <v/>
      </c>
      <c r="BK435" s="41"/>
      <c r="BL435" s="41"/>
    </row>
    <row r="436" spans="1:64" ht="15">
      <c r="A436" s="4"/>
      <c r="B436" s="4"/>
      <c r="G436" s="5" t="str">
        <f ca="1">IFERROR(__xludf.DUMMYFUNCTION("IFERROR(VLOOKUP(F453,IMPORTRANGE(""https://docs.google.com/spreadsheets/d/1Kvs4KS76FHFqLFIZfrDMff4kP08nblUkihrxltoGBjg/edit#gid=934712705"",""ESENCIAL!A6:BG""),3,FALSE))"),"")</f>
        <v/>
      </c>
      <c r="H436" s="5" t="str">
        <f ca="1">IFERROR(__xludf.DUMMYFUNCTION("IFERROR(VLOOKUP(F453,IMPORTRANGE(""https://docs.google.com/spreadsheets/d/1Kvs4KS76FHFqLFIZfrDMff4kP08nblUkihrxltoGBjg/edit#gid=934712705"",""ESENCIAL!A6:BG""),8,FALSE))"),"")</f>
        <v/>
      </c>
      <c r="L436" s="287"/>
      <c r="S436"/>
      <c r="AU436" s="41" t="str">
        <f t="shared" si="36"/>
        <v/>
      </c>
      <c r="AV436" s="5" t="str">
        <f ca="1">IFERROR(__xludf.DUMMYFUNCTION("IFERROR(VLOOKUP(E453&amp;F453,IMPORTRANGE(""https://docs.google.com/spreadsheets/d/1Uw7-A9f9R21vMXxHZFNpYNeKFtG8_yji4HS352LGlSQ/edit?pli=1#gid=0"",""1_ACUM!A4:S""),11,FALSE))"),"")</f>
        <v/>
      </c>
      <c r="AW436" s="42" t="str">
        <f ca="1">IFERROR(__xludf.DUMMYFUNCTION("IFERROR(VLOOKUP(F453,IMPORTRANGE(""https://docs.google.com/spreadsheets/d/1Kvs4KS76FHFqLFIZfrDMff4kP08nblUkihrxltoGBjg/edit#gid=934712705"",""ESENCIAL!A6:BG""),15,FALSE))"),"")</f>
        <v/>
      </c>
      <c r="AX436" s="21" t="str">
        <f ca="1">IFERROR(__xludf.DUMMYFUNCTION("IFERROR(VLOOKUP(E453&amp;F453,IMPORTRANGE(""https://docs.google.com/spreadsheets/d/1Uw7-A9f9R21vMXxHZFNpYNeKFtG8_yji4HS352LGlSQ/edit?pli=1#gid=0"",""1_ACUM!A4:S""),12,FALSE))"),"")</f>
        <v/>
      </c>
      <c r="AY436" s="43" t="str">
        <f ca="1">IFERROR(__xludf.DUMMYFUNCTION("IFERROR(VLOOKUP(E453&amp;F453,IMPORTRANGE(""https://docs.google.com/spreadsheets/d/1Uw7-A9f9R21vMXxHZFNpYNeKFtG8_yji4HS352LGlSQ/edit?pli=1#gid=0"",""1_ACUM!A4:S""),13,FALSE))"),"")</f>
        <v/>
      </c>
      <c r="AZ436" s="43" t="str">
        <f ca="1">IFERROR(__xludf.DUMMYFUNCTION("IFERROR(VLOOKUP(E453&amp;F453,IMPORTRANGE(""https://docs.google.com/spreadsheets/d/1Uw7-A9f9R21vMXxHZFNpYNeKFtG8_yji4HS352LGlSQ/edit?pli=1#gid=0"",""1_ACUM!A4:S""),14,FALSE))"),"")</f>
        <v/>
      </c>
      <c r="BA436" s="43" t="str">
        <f ca="1">IFERROR(__xludf.DUMMYFUNCTION("IFERROR(VLOOKUP(E453&amp;F453,IMPORTRANGE(""https://docs.google.com/spreadsheets/d/1Uw7-A9f9R21vMXxHZFNpYNeKFtG8_yji4HS352LGlSQ/edit?pli=1#gid=0"",""1_ACUM!A4:S""),15,FALSE))"),"")</f>
        <v/>
      </c>
      <c r="BB436" s="43" t="str">
        <f ca="1">IFERROR(__xludf.DUMMYFUNCTION("IFERROR(VLOOKUP(E453&amp;F453,IMPORTRANGE(""https://docs.google.com/spreadsheets/d/1Uw7-A9f9R21vMXxHZFNpYNeKFtG8_yji4HS352LGlSQ/edit?pli=1#gid=0"",""1_ACUM!A4:S""),16,FALSE))"),"")</f>
        <v/>
      </c>
      <c r="BC436" s="43" t="str">
        <f ca="1">IFERROR(__xludf.DUMMYFUNCTION("IFERROR(VLOOKUP(E453&amp;F453,IMPORTRANGE(""https://docs.google.com/spreadsheets/d/1Uw7-A9f9R21vMXxHZFNpYNeKFtG8_yji4HS352LGlSQ/edit?pli=1#gid=0"",""1_ACUM!A4:S""),17,FALSE))"),"")</f>
        <v/>
      </c>
      <c r="BD436" s="44" t="str">
        <f ca="1">IFERROR(__xludf.DUMMYFUNCTION("IFERROR(VLOOKUP(E453&amp;F453,IMPORTRANGE(""https://docs.google.com/spreadsheets/d/1Uw7-A9f9R21vMXxHZFNpYNeKFtG8_yji4HS352LGlSQ/edit?pli=1#gid=0"",""1_ACUM!A4:S""),18,FALSE))"),"")</f>
        <v/>
      </c>
      <c r="BE436" s="44" t="str">
        <f ca="1">IFERROR(__xludf.DUMMYFUNCTION("IFERROR(VLOOKUP(E453&amp;F453,IMPORTRANGE(""https://docs.google.com/spreadsheets/d/1Uw7-A9f9R21vMXxHZFNpYNeKFtG8_yji4HS352LGlSQ/edit?pli=1#gid=0"",""1_ACUM!A4:S""),19,FALSE))"),"")</f>
        <v/>
      </c>
      <c r="BF436" s="44" t="str">
        <f ca="1">IFERROR(__xludf.DUMMYFUNCTION("IFERROR(VLOOKUP(F453,IMPORTRANGE(""https://docs.google.com/spreadsheets/d/1Kvs4KS76FHFqLFIZfrDMff4kP08nblUkihrxltoGBjg/edit#gid=934712705"",""ESENCIAL!A6:BG""),5,FALSE))"),"")</f>
        <v/>
      </c>
      <c r="BG436" s="44" t="str">
        <f t="shared" si="37"/>
        <v/>
      </c>
      <c r="BH436" s="41" t="str">
        <f t="shared" si="38"/>
        <v/>
      </c>
      <c r="BI436" s="41" t="str">
        <f ca="1">IFERROR(__xludf.DUMMYFUNCTION("IFERROR(VLOOKUP(F453,IMPORTRANGE(""https://docs.google.com/spreadsheets/d/1Kvs4KS76FHFqLFIZfrDMff4kP08nblUkihrxltoGBjg/edit#gid=934712705"",""ESENCIAL!A6:BG""),18,FALSE))"),"")</f>
        <v/>
      </c>
      <c r="BJ436" s="19" t="str">
        <f t="shared" si="39"/>
        <v/>
      </c>
      <c r="BK436" s="41"/>
      <c r="BL436" s="41"/>
    </row>
    <row r="437" spans="1:64" ht="15">
      <c r="A437" s="4"/>
      <c r="B437" s="4"/>
      <c r="G437" s="5" t="str">
        <f ca="1">IFERROR(__xludf.DUMMYFUNCTION("IFERROR(VLOOKUP(F454,IMPORTRANGE(""https://docs.google.com/spreadsheets/d/1Kvs4KS76FHFqLFIZfrDMff4kP08nblUkihrxltoGBjg/edit#gid=934712705"",""ESENCIAL!A6:BG""),3,FALSE))"),"")</f>
        <v/>
      </c>
      <c r="H437" s="5" t="str">
        <f ca="1">IFERROR(__xludf.DUMMYFUNCTION("IFERROR(VLOOKUP(F454,IMPORTRANGE(""https://docs.google.com/spreadsheets/d/1Kvs4KS76FHFqLFIZfrDMff4kP08nblUkihrxltoGBjg/edit#gid=934712705"",""ESENCIAL!A6:BG""),8,FALSE))"),"")</f>
        <v/>
      </c>
      <c r="L437" s="287"/>
      <c r="S437"/>
      <c r="AU437" s="41" t="str">
        <f t="shared" si="36"/>
        <v/>
      </c>
      <c r="AV437" s="5" t="str">
        <f ca="1">IFERROR(__xludf.DUMMYFUNCTION("IFERROR(VLOOKUP(E454&amp;F454,IMPORTRANGE(""https://docs.google.com/spreadsheets/d/1Uw7-A9f9R21vMXxHZFNpYNeKFtG8_yji4HS352LGlSQ/edit?pli=1#gid=0"",""1_ACUM!A4:S""),11,FALSE))"),"")</f>
        <v/>
      </c>
      <c r="AW437" s="42" t="str">
        <f ca="1">IFERROR(__xludf.DUMMYFUNCTION("IFERROR(VLOOKUP(F454,IMPORTRANGE(""https://docs.google.com/spreadsheets/d/1Kvs4KS76FHFqLFIZfrDMff4kP08nblUkihrxltoGBjg/edit#gid=934712705"",""ESENCIAL!A6:BG""),15,FALSE))"),"")</f>
        <v/>
      </c>
      <c r="AX437" s="21" t="str">
        <f ca="1">IFERROR(__xludf.DUMMYFUNCTION("IFERROR(VLOOKUP(E454&amp;F454,IMPORTRANGE(""https://docs.google.com/spreadsheets/d/1Uw7-A9f9R21vMXxHZFNpYNeKFtG8_yji4HS352LGlSQ/edit?pli=1#gid=0"",""1_ACUM!A4:S""),12,FALSE))"),"")</f>
        <v/>
      </c>
      <c r="AY437" s="43" t="str">
        <f ca="1">IFERROR(__xludf.DUMMYFUNCTION("IFERROR(VLOOKUP(E454&amp;F454,IMPORTRANGE(""https://docs.google.com/spreadsheets/d/1Uw7-A9f9R21vMXxHZFNpYNeKFtG8_yji4HS352LGlSQ/edit?pli=1#gid=0"",""1_ACUM!A4:S""),13,FALSE))"),"")</f>
        <v/>
      </c>
      <c r="AZ437" s="43" t="str">
        <f ca="1">IFERROR(__xludf.DUMMYFUNCTION("IFERROR(VLOOKUP(E454&amp;F454,IMPORTRANGE(""https://docs.google.com/spreadsheets/d/1Uw7-A9f9R21vMXxHZFNpYNeKFtG8_yji4HS352LGlSQ/edit?pli=1#gid=0"",""1_ACUM!A4:S""),14,FALSE))"),"")</f>
        <v/>
      </c>
      <c r="BA437" s="43" t="str">
        <f ca="1">IFERROR(__xludf.DUMMYFUNCTION("IFERROR(VLOOKUP(E454&amp;F454,IMPORTRANGE(""https://docs.google.com/spreadsheets/d/1Uw7-A9f9R21vMXxHZFNpYNeKFtG8_yji4HS352LGlSQ/edit?pli=1#gid=0"",""1_ACUM!A4:S""),15,FALSE))"),"")</f>
        <v/>
      </c>
      <c r="BB437" s="43" t="str">
        <f ca="1">IFERROR(__xludf.DUMMYFUNCTION("IFERROR(VLOOKUP(E454&amp;F454,IMPORTRANGE(""https://docs.google.com/spreadsheets/d/1Uw7-A9f9R21vMXxHZFNpYNeKFtG8_yji4HS352LGlSQ/edit?pli=1#gid=0"",""1_ACUM!A4:S""),16,FALSE))"),"")</f>
        <v/>
      </c>
      <c r="BC437" s="43" t="str">
        <f ca="1">IFERROR(__xludf.DUMMYFUNCTION("IFERROR(VLOOKUP(E454&amp;F454,IMPORTRANGE(""https://docs.google.com/spreadsheets/d/1Uw7-A9f9R21vMXxHZFNpYNeKFtG8_yji4HS352LGlSQ/edit?pli=1#gid=0"",""1_ACUM!A4:S""),17,FALSE))"),"")</f>
        <v/>
      </c>
      <c r="BD437" s="44" t="str">
        <f ca="1">IFERROR(__xludf.DUMMYFUNCTION("IFERROR(VLOOKUP(E454&amp;F454,IMPORTRANGE(""https://docs.google.com/spreadsheets/d/1Uw7-A9f9R21vMXxHZFNpYNeKFtG8_yji4HS352LGlSQ/edit?pli=1#gid=0"",""1_ACUM!A4:S""),18,FALSE))"),"")</f>
        <v/>
      </c>
      <c r="BE437" s="44" t="str">
        <f ca="1">IFERROR(__xludf.DUMMYFUNCTION("IFERROR(VLOOKUP(E454&amp;F454,IMPORTRANGE(""https://docs.google.com/spreadsheets/d/1Uw7-A9f9R21vMXxHZFNpYNeKFtG8_yji4HS352LGlSQ/edit?pli=1#gid=0"",""1_ACUM!A4:S""),19,FALSE))"),"")</f>
        <v/>
      </c>
      <c r="BF437" s="44" t="str">
        <f ca="1">IFERROR(__xludf.DUMMYFUNCTION("IFERROR(VLOOKUP(F454,IMPORTRANGE(""https://docs.google.com/spreadsheets/d/1Kvs4KS76FHFqLFIZfrDMff4kP08nblUkihrxltoGBjg/edit#gid=934712705"",""ESENCIAL!A6:BG""),5,FALSE))"),"")</f>
        <v/>
      </c>
      <c r="BG437" s="44" t="str">
        <f t="shared" si="37"/>
        <v/>
      </c>
      <c r="BH437" s="41" t="str">
        <f t="shared" si="38"/>
        <v/>
      </c>
      <c r="BI437" s="41" t="str">
        <f ca="1">IFERROR(__xludf.DUMMYFUNCTION("IFERROR(VLOOKUP(F454,IMPORTRANGE(""https://docs.google.com/spreadsheets/d/1Kvs4KS76FHFqLFIZfrDMff4kP08nblUkihrxltoGBjg/edit#gid=934712705"",""ESENCIAL!A6:BG""),18,FALSE))"),"")</f>
        <v/>
      </c>
      <c r="BJ437" s="19" t="str">
        <f t="shared" si="39"/>
        <v/>
      </c>
      <c r="BK437" s="41"/>
      <c r="BL437" s="41"/>
    </row>
    <row r="438" spans="1:64" ht="15">
      <c r="A438" s="4"/>
      <c r="B438" s="4"/>
      <c r="G438" s="5" t="str">
        <f ca="1">IFERROR(__xludf.DUMMYFUNCTION("IFERROR(VLOOKUP(F455,IMPORTRANGE(""https://docs.google.com/spreadsheets/d/1Kvs4KS76FHFqLFIZfrDMff4kP08nblUkihrxltoGBjg/edit#gid=934712705"",""ESENCIAL!A6:BG""),3,FALSE))"),"")</f>
        <v/>
      </c>
      <c r="H438" s="5" t="str">
        <f ca="1">IFERROR(__xludf.DUMMYFUNCTION("IFERROR(VLOOKUP(F455,IMPORTRANGE(""https://docs.google.com/spreadsheets/d/1Kvs4KS76FHFqLFIZfrDMff4kP08nblUkihrxltoGBjg/edit#gid=934712705"",""ESENCIAL!A6:BG""),8,FALSE))"),"")</f>
        <v/>
      </c>
      <c r="L438" s="287"/>
      <c r="S438"/>
      <c r="AU438" s="41" t="str">
        <f t="shared" si="36"/>
        <v/>
      </c>
      <c r="AV438" s="5" t="str">
        <f ca="1">IFERROR(__xludf.DUMMYFUNCTION("IFERROR(VLOOKUP(E455&amp;F455,IMPORTRANGE(""https://docs.google.com/spreadsheets/d/1Uw7-A9f9R21vMXxHZFNpYNeKFtG8_yji4HS352LGlSQ/edit?pli=1#gid=0"",""1_ACUM!A4:S""),11,FALSE))"),"")</f>
        <v/>
      </c>
      <c r="AW438" s="42" t="str">
        <f ca="1">IFERROR(__xludf.DUMMYFUNCTION("IFERROR(VLOOKUP(F455,IMPORTRANGE(""https://docs.google.com/spreadsheets/d/1Kvs4KS76FHFqLFIZfrDMff4kP08nblUkihrxltoGBjg/edit#gid=934712705"",""ESENCIAL!A6:BG""),15,FALSE))"),"")</f>
        <v/>
      </c>
      <c r="AX438" s="21" t="str">
        <f ca="1">IFERROR(__xludf.DUMMYFUNCTION("IFERROR(VLOOKUP(E455&amp;F455,IMPORTRANGE(""https://docs.google.com/spreadsheets/d/1Uw7-A9f9R21vMXxHZFNpYNeKFtG8_yji4HS352LGlSQ/edit?pli=1#gid=0"",""1_ACUM!A4:S""),12,FALSE))"),"")</f>
        <v/>
      </c>
      <c r="AY438" s="43" t="str">
        <f ca="1">IFERROR(__xludf.DUMMYFUNCTION("IFERROR(VLOOKUP(E455&amp;F455,IMPORTRANGE(""https://docs.google.com/spreadsheets/d/1Uw7-A9f9R21vMXxHZFNpYNeKFtG8_yji4HS352LGlSQ/edit?pli=1#gid=0"",""1_ACUM!A4:S""),13,FALSE))"),"")</f>
        <v/>
      </c>
      <c r="AZ438" s="43" t="str">
        <f ca="1">IFERROR(__xludf.DUMMYFUNCTION("IFERROR(VLOOKUP(E455&amp;F455,IMPORTRANGE(""https://docs.google.com/spreadsheets/d/1Uw7-A9f9R21vMXxHZFNpYNeKFtG8_yji4HS352LGlSQ/edit?pli=1#gid=0"",""1_ACUM!A4:S""),14,FALSE))"),"")</f>
        <v/>
      </c>
      <c r="BA438" s="43" t="str">
        <f ca="1">IFERROR(__xludf.DUMMYFUNCTION("IFERROR(VLOOKUP(E455&amp;F455,IMPORTRANGE(""https://docs.google.com/spreadsheets/d/1Uw7-A9f9R21vMXxHZFNpYNeKFtG8_yji4HS352LGlSQ/edit?pli=1#gid=0"",""1_ACUM!A4:S""),15,FALSE))"),"")</f>
        <v/>
      </c>
      <c r="BB438" s="43" t="str">
        <f ca="1">IFERROR(__xludf.DUMMYFUNCTION("IFERROR(VLOOKUP(E455&amp;F455,IMPORTRANGE(""https://docs.google.com/spreadsheets/d/1Uw7-A9f9R21vMXxHZFNpYNeKFtG8_yji4HS352LGlSQ/edit?pli=1#gid=0"",""1_ACUM!A4:S""),16,FALSE))"),"")</f>
        <v/>
      </c>
      <c r="BC438" s="43" t="str">
        <f ca="1">IFERROR(__xludf.DUMMYFUNCTION("IFERROR(VLOOKUP(E455&amp;F455,IMPORTRANGE(""https://docs.google.com/spreadsheets/d/1Uw7-A9f9R21vMXxHZFNpYNeKFtG8_yji4HS352LGlSQ/edit?pli=1#gid=0"",""1_ACUM!A4:S""),17,FALSE))"),"")</f>
        <v/>
      </c>
      <c r="BD438" s="44" t="str">
        <f ca="1">IFERROR(__xludf.DUMMYFUNCTION("IFERROR(VLOOKUP(E455&amp;F455,IMPORTRANGE(""https://docs.google.com/spreadsheets/d/1Uw7-A9f9R21vMXxHZFNpYNeKFtG8_yji4HS352LGlSQ/edit?pli=1#gid=0"",""1_ACUM!A4:S""),18,FALSE))"),"")</f>
        <v/>
      </c>
      <c r="BE438" s="44" t="str">
        <f ca="1">IFERROR(__xludf.DUMMYFUNCTION("IFERROR(VLOOKUP(E455&amp;F455,IMPORTRANGE(""https://docs.google.com/spreadsheets/d/1Uw7-A9f9R21vMXxHZFNpYNeKFtG8_yji4HS352LGlSQ/edit?pli=1#gid=0"",""1_ACUM!A4:S""),19,FALSE))"),"")</f>
        <v/>
      </c>
      <c r="BF438" s="44" t="str">
        <f ca="1">IFERROR(__xludf.DUMMYFUNCTION("IFERROR(VLOOKUP(F455,IMPORTRANGE(""https://docs.google.com/spreadsheets/d/1Kvs4KS76FHFqLFIZfrDMff4kP08nblUkihrxltoGBjg/edit#gid=934712705"",""ESENCIAL!A6:BG""),5,FALSE))"),"")</f>
        <v/>
      </c>
      <c r="BG438" s="44" t="str">
        <f t="shared" si="37"/>
        <v/>
      </c>
      <c r="BH438" s="41" t="str">
        <f t="shared" si="38"/>
        <v/>
      </c>
      <c r="BI438" s="41" t="str">
        <f ca="1">IFERROR(__xludf.DUMMYFUNCTION("IFERROR(VLOOKUP(F455,IMPORTRANGE(""https://docs.google.com/spreadsheets/d/1Kvs4KS76FHFqLFIZfrDMff4kP08nblUkihrxltoGBjg/edit#gid=934712705"",""ESENCIAL!A6:BG""),18,FALSE))"),"")</f>
        <v/>
      </c>
      <c r="BJ438" s="19" t="str">
        <f t="shared" si="39"/>
        <v/>
      </c>
      <c r="BK438" s="41"/>
      <c r="BL438" s="41"/>
    </row>
    <row r="439" spans="1:64" ht="15">
      <c r="A439" s="4"/>
      <c r="B439" s="4"/>
      <c r="G439" s="5" t="str">
        <f ca="1">IFERROR(__xludf.DUMMYFUNCTION("IFERROR(VLOOKUP(F456,IMPORTRANGE(""https://docs.google.com/spreadsheets/d/1Kvs4KS76FHFqLFIZfrDMff4kP08nblUkihrxltoGBjg/edit#gid=934712705"",""ESENCIAL!A6:BG""),3,FALSE))"),"")</f>
        <v/>
      </c>
      <c r="H439" s="5" t="str">
        <f ca="1">IFERROR(__xludf.DUMMYFUNCTION("IFERROR(VLOOKUP(F456,IMPORTRANGE(""https://docs.google.com/spreadsheets/d/1Kvs4KS76FHFqLFIZfrDMff4kP08nblUkihrxltoGBjg/edit#gid=934712705"",""ESENCIAL!A6:BG""),8,FALSE))"),"")</f>
        <v/>
      </c>
      <c r="L439" s="287"/>
      <c r="S439"/>
      <c r="AU439" s="41" t="str">
        <f t="shared" si="36"/>
        <v/>
      </c>
      <c r="AV439" s="5" t="str">
        <f ca="1">IFERROR(__xludf.DUMMYFUNCTION("IFERROR(VLOOKUP(E456&amp;F456,IMPORTRANGE(""https://docs.google.com/spreadsheets/d/1Uw7-A9f9R21vMXxHZFNpYNeKFtG8_yji4HS352LGlSQ/edit?pli=1#gid=0"",""1_ACUM!A4:S""),11,FALSE))"),"")</f>
        <v/>
      </c>
      <c r="AW439" s="42" t="str">
        <f ca="1">IFERROR(__xludf.DUMMYFUNCTION("IFERROR(VLOOKUP(F456,IMPORTRANGE(""https://docs.google.com/spreadsheets/d/1Kvs4KS76FHFqLFIZfrDMff4kP08nblUkihrxltoGBjg/edit#gid=934712705"",""ESENCIAL!A6:BG""),15,FALSE))"),"")</f>
        <v/>
      </c>
      <c r="AX439" s="21" t="str">
        <f ca="1">IFERROR(__xludf.DUMMYFUNCTION("IFERROR(VLOOKUP(E456&amp;F456,IMPORTRANGE(""https://docs.google.com/spreadsheets/d/1Uw7-A9f9R21vMXxHZFNpYNeKFtG8_yji4HS352LGlSQ/edit?pli=1#gid=0"",""1_ACUM!A4:S""),12,FALSE))"),"")</f>
        <v/>
      </c>
      <c r="AY439" s="43" t="str">
        <f ca="1">IFERROR(__xludf.DUMMYFUNCTION("IFERROR(VLOOKUP(E456&amp;F456,IMPORTRANGE(""https://docs.google.com/spreadsheets/d/1Uw7-A9f9R21vMXxHZFNpYNeKFtG8_yji4HS352LGlSQ/edit?pli=1#gid=0"",""1_ACUM!A4:S""),13,FALSE))"),"")</f>
        <v/>
      </c>
      <c r="AZ439" s="43" t="str">
        <f ca="1">IFERROR(__xludf.DUMMYFUNCTION("IFERROR(VLOOKUP(E456&amp;F456,IMPORTRANGE(""https://docs.google.com/spreadsheets/d/1Uw7-A9f9R21vMXxHZFNpYNeKFtG8_yji4HS352LGlSQ/edit?pli=1#gid=0"",""1_ACUM!A4:S""),14,FALSE))"),"")</f>
        <v/>
      </c>
      <c r="BA439" s="43" t="str">
        <f ca="1">IFERROR(__xludf.DUMMYFUNCTION("IFERROR(VLOOKUP(E456&amp;F456,IMPORTRANGE(""https://docs.google.com/spreadsheets/d/1Uw7-A9f9R21vMXxHZFNpYNeKFtG8_yji4HS352LGlSQ/edit?pli=1#gid=0"",""1_ACUM!A4:S""),15,FALSE))"),"")</f>
        <v/>
      </c>
      <c r="BB439" s="43" t="str">
        <f ca="1">IFERROR(__xludf.DUMMYFUNCTION("IFERROR(VLOOKUP(E456&amp;F456,IMPORTRANGE(""https://docs.google.com/spreadsheets/d/1Uw7-A9f9R21vMXxHZFNpYNeKFtG8_yji4HS352LGlSQ/edit?pli=1#gid=0"",""1_ACUM!A4:S""),16,FALSE))"),"")</f>
        <v/>
      </c>
      <c r="BC439" s="43" t="str">
        <f ca="1">IFERROR(__xludf.DUMMYFUNCTION("IFERROR(VLOOKUP(E456&amp;F456,IMPORTRANGE(""https://docs.google.com/spreadsheets/d/1Uw7-A9f9R21vMXxHZFNpYNeKFtG8_yji4HS352LGlSQ/edit?pli=1#gid=0"",""1_ACUM!A4:S""),17,FALSE))"),"")</f>
        <v/>
      </c>
      <c r="BD439" s="44" t="str">
        <f ca="1">IFERROR(__xludf.DUMMYFUNCTION("IFERROR(VLOOKUP(E456&amp;F456,IMPORTRANGE(""https://docs.google.com/spreadsheets/d/1Uw7-A9f9R21vMXxHZFNpYNeKFtG8_yji4HS352LGlSQ/edit?pli=1#gid=0"",""1_ACUM!A4:S""),18,FALSE))"),"")</f>
        <v/>
      </c>
      <c r="BE439" s="44" t="str">
        <f ca="1">IFERROR(__xludf.DUMMYFUNCTION("IFERROR(VLOOKUP(E456&amp;F456,IMPORTRANGE(""https://docs.google.com/spreadsheets/d/1Uw7-A9f9R21vMXxHZFNpYNeKFtG8_yji4HS352LGlSQ/edit?pli=1#gid=0"",""1_ACUM!A4:S""),19,FALSE))"),"")</f>
        <v/>
      </c>
      <c r="BF439" s="44" t="str">
        <f ca="1">IFERROR(__xludf.DUMMYFUNCTION("IFERROR(VLOOKUP(F456,IMPORTRANGE(""https://docs.google.com/spreadsheets/d/1Kvs4KS76FHFqLFIZfrDMff4kP08nblUkihrxltoGBjg/edit#gid=934712705"",""ESENCIAL!A6:BG""),5,FALSE))"),"")</f>
        <v/>
      </c>
      <c r="BG439" s="44" t="str">
        <f t="shared" si="37"/>
        <v/>
      </c>
      <c r="BH439" s="41" t="str">
        <f t="shared" si="38"/>
        <v/>
      </c>
      <c r="BI439" s="41" t="str">
        <f ca="1">IFERROR(__xludf.DUMMYFUNCTION("IFERROR(VLOOKUP(F456,IMPORTRANGE(""https://docs.google.com/spreadsheets/d/1Kvs4KS76FHFqLFIZfrDMff4kP08nblUkihrxltoGBjg/edit#gid=934712705"",""ESENCIAL!A6:BG""),18,FALSE))"),"")</f>
        <v/>
      </c>
      <c r="BJ439" s="19" t="str">
        <f t="shared" si="39"/>
        <v/>
      </c>
      <c r="BK439" s="41"/>
      <c r="BL439" s="41"/>
    </row>
    <row r="440" spans="1:64" ht="15">
      <c r="A440" s="4"/>
      <c r="B440" s="4"/>
      <c r="G440" s="5" t="str">
        <f ca="1">IFERROR(__xludf.DUMMYFUNCTION("IFERROR(VLOOKUP(F457,IMPORTRANGE(""https://docs.google.com/spreadsheets/d/1Kvs4KS76FHFqLFIZfrDMff4kP08nblUkihrxltoGBjg/edit#gid=934712705"",""ESENCIAL!A6:BG""),3,FALSE))"),"")</f>
        <v/>
      </c>
      <c r="H440" s="5" t="str">
        <f ca="1">IFERROR(__xludf.DUMMYFUNCTION("IFERROR(VLOOKUP(F457,IMPORTRANGE(""https://docs.google.com/spreadsheets/d/1Kvs4KS76FHFqLFIZfrDMff4kP08nblUkihrxltoGBjg/edit#gid=934712705"",""ESENCIAL!A6:BG""),8,FALSE))"),"")</f>
        <v/>
      </c>
      <c r="L440" s="287"/>
      <c r="S440"/>
      <c r="AU440" s="41" t="str">
        <f t="shared" si="36"/>
        <v/>
      </c>
      <c r="AV440" s="5" t="str">
        <f ca="1">IFERROR(__xludf.DUMMYFUNCTION("IFERROR(VLOOKUP(E457&amp;F457,IMPORTRANGE(""https://docs.google.com/spreadsheets/d/1Uw7-A9f9R21vMXxHZFNpYNeKFtG8_yji4HS352LGlSQ/edit?pli=1#gid=0"",""1_ACUM!A4:S""),11,FALSE))"),"")</f>
        <v/>
      </c>
      <c r="AW440" s="42" t="str">
        <f ca="1">IFERROR(__xludf.DUMMYFUNCTION("IFERROR(VLOOKUP(F457,IMPORTRANGE(""https://docs.google.com/spreadsheets/d/1Kvs4KS76FHFqLFIZfrDMff4kP08nblUkihrxltoGBjg/edit#gid=934712705"",""ESENCIAL!A6:BG""),15,FALSE))"),"")</f>
        <v/>
      </c>
      <c r="AX440" s="21" t="str">
        <f ca="1">IFERROR(__xludf.DUMMYFUNCTION("IFERROR(VLOOKUP(E457&amp;F457,IMPORTRANGE(""https://docs.google.com/spreadsheets/d/1Uw7-A9f9R21vMXxHZFNpYNeKFtG8_yji4HS352LGlSQ/edit?pli=1#gid=0"",""1_ACUM!A4:S""),12,FALSE))"),"")</f>
        <v/>
      </c>
      <c r="AY440" s="43" t="str">
        <f ca="1">IFERROR(__xludf.DUMMYFUNCTION("IFERROR(VLOOKUP(E457&amp;F457,IMPORTRANGE(""https://docs.google.com/spreadsheets/d/1Uw7-A9f9R21vMXxHZFNpYNeKFtG8_yji4HS352LGlSQ/edit?pli=1#gid=0"",""1_ACUM!A4:S""),13,FALSE))"),"")</f>
        <v/>
      </c>
      <c r="AZ440" s="43" t="str">
        <f ca="1">IFERROR(__xludf.DUMMYFUNCTION("IFERROR(VLOOKUP(E457&amp;F457,IMPORTRANGE(""https://docs.google.com/spreadsheets/d/1Uw7-A9f9R21vMXxHZFNpYNeKFtG8_yji4HS352LGlSQ/edit?pli=1#gid=0"",""1_ACUM!A4:S""),14,FALSE))"),"")</f>
        <v/>
      </c>
      <c r="BA440" s="43" t="str">
        <f ca="1">IFERROR(__xludf.DUMMYFUNCTION("IFERROR(VLOOKUP(E457&amp;F457,IMPORTRANGE(""https://docs.google.com/spreadsheets/d/1Uw7-A9f9R21vMXxHZFNpYNeKFtG8_yji4HS352LGlSQ/edit?pli=1#gid=0"",""1_ACUM!A4:S""),15,FALSE))"),"")</f>
        <v/>
      </c>
      <c r="BB440" s="43" t="str">
        <f ca="1">IFERROR(__xludf.DUMMYFUNCTION("IFERROR(VLOOKUP(E457&amp;F457,IMPORTRANGE(""https://docs.google.com/spreadsheets/d/1Uw7-A9f9R21vMXxHZFNpYNeKFtG8_yji4HS352LGlSQ/edit?pli=1#gid=0"",""1_ACUM!A4:S""),16,FALSE))"),"")</f>
        <v/>
      </c>
      <c r="BC440" s="43" t="str">
        <f ca="1">IFERROR(__xludf.DUMMYFUNCTION("IFERROR(VLOOKUP(E457&amp;F457,IMPORTRANGE(""https://docs.google.com/spreadsheets/d/1Uw7-A9f9R21vMXxHZFNpYNeKFtG8_yji4HS352LGlSQ/edit?pli=1#gid=0"",""1_ACUM!A4:S""),17,FALSE))"),"")</f>
        <v/>
      </c>
      <c r="BD440" s="44" t="str">
        <f ca="1">IFERROR(__xludf.DUMMYFUNCTION("IFERROR(VLOOKUP(E457&amp;F457,IMPORTRANGE(""https://docs.google.com/spreadsheets/d/1Uw7-A9f9R21vMXxHZFNpYNeKFtG8_yji4HS352LGlSQ/edit?pli=1#gid=0"",""1_ACUM!A4:S""),18,FALSE))"),"")</f>
        <v/>
      </c>
      <c r="BE440" s="44" t="str">
        <f ca="1">IFERROR(__xludf.DUMMYFUNCTION("IFERROR(VLOOKUP(E457&amp;F457,IMPORTRANGE(""https://docs.google.com/spreadsheets/d/1Uw7-A9f9R21vMXxHZFNpYNeKFtG8_yji4HS352LGlSQ/edit?pli=1#gid=0"",""1_ACUM!A4:S""),19,FALSE))"),"")</f>
        <v/>
      </c>
      <c r="BF440" s="44" t="str">
        <f ca="1">IFERROR(__xludf.DUMMYFUNCTION("IFERROR(VLOOKUP(F457,IMPORTRANGE(""https://docs.google.com/spreadsheets/d/1Kvs4KS76FHFqLFIZfrDMff4kP08nblUkihrxltoGBjg/edit#gid=934712705"",""ESENCIAL!A6:BG""),5,FALSE))"),"")</f>
        <v/>
      </c>
      <c r="BG440" s="44" t="str">
        <f t="shared" si="37"/>
        <v/>
      </c>
      <c r="BH440" s="41" t="str">
        <f t="shared" si="38"/>
        <v/>
      </c>
      <c r="BI440" s="41" t="str">
        <f ca="1">IFERROR(__xludf.DUMMYFUNCTION("IFERROR(VLOOKUP(F457,IMPORTRANGE(""https://docs.google.com/spreadsheets/d/1Kvs4KS76FHFqLFIZfrDMff4kP08nblUkihrxltoGBjg/edit#gid=934712705"",""ESENCIAL!A6:BG""),18,FALSE))"),"")</f>
        <v/>
      </c>
      <c r="BJ440" s="19" t="str">
        <f t="shared" si="39"/>
        <v/>
      </c>
      <c r="BK440" s="41"/>
      <c r="BL440" s="41"/>
    </row>
    <row r="441" spans="1:64" ht="15">
      <c r="A441" s="4"/>
      <c r="B441" s="4"/>
      <c r="G441" s="5" t="str">
        <f ca="1">IFERROR(__xludf.DUMMYFUNCTION("IFERROR(VLOOKUP(F458,IMPORTRANGE(""https://docs.google.com/spreadsheets/d/1Kvs4KS76FHFqLFIZfrDMff4kP08nblUkihrxltoGBjg/edit#gid=934712705"",""ESENCIAL!A6:BG""),3,FALSE))"),"")</f>
        <v/>
      </c>
      <c r="H441" s="5" t="str">
        <f ca="1">IFERROR(__xludf.DUMMYFUNCTION("IFERROR(VLOOKUP(F458,IMPORTRANGE(""https://docs.google.com/spreadsheets/d/1Kvs4KS76FHFqLFIZfrDMff4kP08nblUkihrxltoGBjg/edit#gid=934712705"",""ESENCIAL!A6:BG""),8,FALSE))"),"")</f>
        <v/>
      </c>
      <c r="L441" s="287"/>
      <c r="S441"/>
      <c r="AU441" s="41" t="str">
        <f t="shared" si="36"/>
        <v/>
      </c>
      <c r="AV441" s="5" t="str">
        <f ca="1">IFERROR(__xludf.DUMMYFUNCTION("IFERROR(VLOOKUP(E458&amp;F458,IMPORTRANGE(""https://docs.google.com/spreadsheets/d/1Uw7-A9f9R21vMXxHZFNpYNeKFtG8_yji4HS352LGlSQ/edit?pli=1#gid=0"",""1_ACUM!A4:S""),11,FALSE))"),"")</f>
        <v/>
      </c>
      <c r="AW441" s="42" t="str">
        <f ca="1">IFERROR(__xludf.DUMMYFUNCTION("IFERROR(VLOOKUP(F458,IMPORTRANGE(""https://docs.google.com/spreadsheets/d/1Kvs4KS76FHFqLFIZfrDMff4kP08nblUkihrxltoGBjg/edit#gid=934712705"",""ESENCIAL!A6:BG""),15,FALSE))"),"")</f>
        <v/>
      </c>
      <c r="AX441" s="21" t="str">
        <f ca="1">IFERROR(__xludf.DUMMYFUNCTION("IFERROR(VLOOKUP(E458&amp;F458,IMPORTRANGE(""https://docs.google.com/spreadsheets/d/1Uw7-A9f9R21vMXxHZFNpYNeKFtG8_yji4HS352LGlSQ/edit?pli=1#gid=0"",""1_ACUM!A4:S""),12,FALSE))"),"")</f>
        <v/>
      </c>
      <c r="AY441" s="43" t="str">
        <f ca="1">IFERROR(__xludf.DUMMYFUNCTION("IFERROR(VLOOKUP(E458&amp;F458,IMPORTRANGE(""https://docs.google.com/spreadsheets/d/1Uw7-A9f9R21vMXxHZFNpYNeKFtG8_yji4HS352LGlSQ/edit?pli=1#gid=0"",""1_ACUM!A4:S""),13,FALSE))"),"")</f>
        <v/>
      </c>
      <c r="AZ441" s="43" t="str">
        <f ca="1">IFERROR(__xludf.DUMMYFUNCTION("IFERROR(VLOOKUP(E458&amp;F458,IMPORTRANGE(""https://docs.google.com/spreadsheets/d/1Uw7-A9f9R21vMXxHZFNpYNeKFtG8_yji4HS352LGlSQ/edit?pli=1#gid=0"",""1_ACUM!A4:S""),14,FALSE))"),"")</f>
        <v/>
      </c>
      <c r="BA441" s="43" t="str">
        <f ca="1">IFERROR(__xludf.DUMMYFUNCTION("IFERROR(VLOOKUP(E458&amp;F458,IMPORTRANGE(""https://docs.google.com/spreadsheets/d/1Uw7-A9f9R21vMXxHZFNpYNeKFtG8_yji4HS352LGlSQ/edit?pli=1#gid=0"",""1_ACUM!A4:S""),15,FALSE))"),"")</f>
        <v/>
      </c>
      <c r="BB441" s="43" t="str">
        <f ca="1">IFERROR(__xludf.DUMMYFUNCTION("IFERROR(VLOOKUP(E458&amp;F458,IMPORTRANGE(""https://docs.google.com/spreadsheets/d/1Uw7-A9f9R21vMXxHZFNpYNeKFtG8_yji4HS352LGlSQ/edit?pli=1#gid=0"",""1_ACUM!A4:S""),16,FALSE))"),"")</f>
        <v/>
      </c>
      <c r="BC441" s="43" t="str">
        <f ca="1">IFERROR(__xludf.DUMMYFUNCTION("IFERROR(VLOOKUP(E458&amp;F458,IMPORTRANGE(""https://docs.google.com/spreadsheets/d/1Uw7-A9f9R21vMXxHZFNpYNeKFtG8_yji4HS352LGlSQ/edit?pli=1#gid=0"",""1_ACUM!A4:S""),17,FALSE))"),"")</f>
        <v/>
      </c>
      <c r="BD441" s="44" t="str">
        <f ca="1">IFERROR(__xludf.DUMMYFUNCTION("IFERROR(VLOOKUP(E458&amp;F458,IMPORTRANGE(""https://docs.google.com/spreadsheets/d/1Uw7-A9f9R21vMXxHZFNpYNeKFtG8_yji4HS352LGlSQ/edit?pli=1#gid=0"",""1_ACUM!A4:S""),18,FALSE))"),"")</f>
        <v/>
      </c>
      <c r="BE441" s="44" t="str">
        <f ca="1">IFERROR(__xludf.DUMMYFUNCTION("IFERROR(VLOOKUP(E458&amp;F458,IMPORTRANGE(""https://docs.google.com/spreadsheets/d/1Uw7-A9f9R21vMXxHZFNpYNeKFtG8_yji4HS352LGlSQ/edit?pli=1#gid=0"",""1_ACUM!A4:S""),19,FALSE))"),"")</f>
        <v/>
      </c>
      <c r="BF441" s="44" t="str">
        <f ca="1">IFERROR(__xludf.DUMMYFUNCTION("IFERROR(VLOOKUP(F458,IMPORTRANGE(""https://docs.google.com/spreadsheets/d/1Kvs4KS76FHFqLFIZfrDMff4kP08nblUkihrxltoGBjg/edit#gid=934712705"",""ESENCIAL!A6:BG""),5,FALSE))"),"")</f>
        <v/>
      </c>
      <c r="BG441" s="44" t="str">
        <f t="shared" si="37"/>
        <v/>
      </c>
      <c r="BH441" s="41" t="str">
        <f t="shared" si="38"/>
        <v/>
      </c>
      <c r="BI441" s="41" t="str">
        <f ca="1">IFERROR(__xludf.DUMMYFUNCTION("IFERROR(VLOOKUP(F458,IMPORTRANGE(""https://docs.google.com/spreadsheets/d/1Kvs4KS76FHFqLFIZfrDMff4kP08nblUkihrxltoGBjg/edit#gid=934712705"",""ESENCIAL!A6:BG""),18,FALSE))"),"")</f>
        <v/>
      </c>
      <c r="BJ441" s="19" t="str">
        <f t="shared" si="39"/>
        <v/>
      </c>
      <c r="BK441" s="41"/>
      <c r="BL441" s="41"/>
    </row>
    <row r="442" spans="1:64" ht="15">
      <c r="A442" s="4"/>
      <c r="B442" s="4"/>
      <c r="G442" s="5" t="str">
        <f ca="1">IFERROR(__xludf.DUMMYFUNCTION("IFERROR(VLOOKUP(F459,IMPORTRANGE(""https://docs.google.com/spreadsheets/d/1Kvs4KS76FHFqLFIZfrDMff4kP08nblUkihrxltoGBjg/edit#gid=934712705"",""ESENCIAL!A6:BG""),3,FALSE))"),"")</f>
        <v/>
      </c>
      <c r="H442" s="5" t="str">
        <f ca="1">IFERROR(__xludf.DUMMYFUNCTION("IFERROR(VLOOKUP(F459,IMPORTRANGE(""https://docs.google.com/spreadsheets/d/1Kvs4KS76FHFqLFIZfrDMff4kP08nblUkihrxltoGBjg/edit#gid=934712705"",""ESENCIAL!A6:BG""),8,FALSE))"),"")</f>
        <v/>
      </c>
      <c r="L442" s="287"/>
      <c r="S442"/>
      <c r="AU442" s="41" t="str">
        <f t="shared" si="36"/>
        <v/>
      </c>
      <c r="AV442" s="5" t="str">
        <f ca="1">IFERROR(__xludf.DUMMYFUNCTION("IFERROR(VLOOKUP(E459&amp;F459,IMPORTRANGE(""https://docs.google.com/spreadsheets/d/1Uw7-A9f9R21vMXxHZFNpYNeKFtG8_yji4HS352LGlSQ/edit?pli=1#gid=0"",""1_ACUM!A4:S""),11,FALSE))"),"")</f>
        <v/>
      </c>
      <c r="AW442" s="42" t="str">
        <f ca="1">IFERROR(__xludf.DUMMYFUNCTION("IFERROR(VLOOKUP(F459,IMPORTRANGE(""https://docs.google.com/spreadsheets/d/1Kvs4KS76FHFqLFIZfrDMff4kP08nblUkihrxltoGBjg/edit#gid=934712705"",""ESENCIAL!A6:BG""),15,FALSE))"),"")</f>
        <v/>
      </c>
      <c r="AX442" s="21" t="str">
        <f ca="1">IFERROR(__xludf.DUMMYFUNCTION("IFERROR(VLOOKUP(E459&amp;F459,IMPORTRANGE(""https://docs.google.com/spreadsheets/d/1Uw7-A9f9R21vMXxHZFNpYNeKFtG8_yji4HS352LGlSQ/edit?pli=1#gid=0"",""1_ACUM!A4:S""),12,FALSE))"),"")</f>
        <v/>
      </c>
      <c r="AY442" s="43" t="str">
        <f ca="1">IFERROR(__xludf.DUMMYFUNCTION("IFERROR(VLOOKUP(E459&amp;F459,IMPORTRANGE(""https://docs.google.com/spreadsheets/d/1Uw7-A9f9R21vMXxHZFNpYNeKFtG8_yji4HS352LGlSQ/edit?pli=1#gid=0"",""1_ACUM!A4:S""),13,FALSE))"),"")</f>
        <v/>
      </c>
      <c r="AZ442" s="43" t="str">
        <f ca="1">IFERROR(__xludf.DUMMYFUNCTION("IFERROR(VLOOKUP(E459&amp;F459,IMPORTRANGE(""https://docs.google.com/spreadsheets/d/1Uw7-A9f9R21vMXxHZFNpYNeKFtG8_yji4HS352LGlSQ/edit?pli=1#gid=0"",""1_ACUM!A4:S""),14,FALSE))"),"")</f>
        <v/>
      </c>
      <c r="BA442" s="43" t="str">
        <f ca="1">IFERROR(__xludf.DUMMYFUNCTION("IFERROR(VLOOKUP(E459&amp;F459,IMPORTRANGE(""https://docs.google.com/spreadsheets/d/1Uw7-A9f9R21vMXxHZFNpYNeKFtG8_yji4HS352LGlSQ/edit?pli=1#gid=0"",""1_ACUM!A4:S""),15,FALSE))"),"")</f>
        <v/>
      </c>
      <c r="BB442" s="43" t="str">
        <f ca="1">IFERROR(__xludf.DUMMYFUNCTION("IFERROR(VLOOKUP(E459&amp;F459,IMPORTRANGE(""https://docs.google.com/spreadsheets/d/1Uw7-A9f9R21vMXxHZFNpYNeKFtG8_yji4HS352LGlSQ/edit?pli=1#gid=0"",""1_ACUM!A4:S""),16,FALSE))"),"")</f>
        <v/>
      </c>
      <c r="BC442" s="43" t="str">
        <f ca="1">IFERROR(__xludf.DUMMYFUNCTION("IFERROR(VLOOKUP(E459&amp;F459,IMPORTRANGE(""https://docs.google.com/spreadsheets/d/1Uw7-A9f9R21vMXxHZFNpYNeKFtG8_yji4HS352LGlSQ/edit?pli=1#gid=0"",""1_ACUM!A4:S""),17,FALSE))"),"")</f>
        <v/>
      </c>
      <c r="BD442" s="44" t="str">
        <f ca="1">IFERROR(__xludf.DUMMYFUNCTION("IFERROR(VLOOKUP(E459&amp;F459,IMPORTRANGE(""https://docs.google.com/spreadsheets/d/1Uw7-A9f9R21vMXxHZFNpYNeKFtG8_yji4HS352LGlSQ/edit?pli=1#gid=0"",""1_ACUM!A4:S""),18,FALSE))"),"")</f>
        <v/>
      </c>
      <c r="BE442" s="44" t="str">
        <f ca="1">IFERROR(__xludf.DUMMYFUNCTION("IFERROR(VLOOKUP(E459&amp;F459,IMPORTRANGE(""https://docs.google.com/spreadsheets/d/1Uw7-A9f9R21vMXxHZFNpYNeKFtG8_yji4HS352LGlSQ/edit?pli=1#gid=0"",""1_ACUM!A4:S""),19,FALSE))"),"")</f>
        <v/>
      </c>
      <c r="BF442" s="44" t="str">
        <f ca="1">IFERROR(__xludf.DUMMYFUNCTION("IFERROR(VLOOKUP(F459,IMPORTRANGE(""https://docs.google.com/spreadsheets/d/1Kvs4KS76FHFqLFIZfrDMff4kP08nblUkihrxltoGBjg/edit#gid=934712705"",""ESENCIAL!A6:BG""),5,FALSE))"),"")</f>
        <v/>
      </c>
      <c r="BG442" s="44" t="str">
        <f t="shared" si="37"/>
        <v/>
      </c>
      <c r="BH442" s="41" t="str">
        <f t="shared" si="38"/>
        <v/>
      </c>
      <c r="BI442" s="41" t="str">
        <f ca="1">IFERROR(__xludf.DUMMYFUNCTION("IFERROR(VLOOKUP(F459,IMPORTRANGE(""https://docs.google.com/spreadsheets/d/1Kvs4KS76FHFqLFIZfrDMff4kP08nblUkihrxltoGBjg/edit#gid=934712705"",""ESENCIAL!A6:BG""),18,FALSE))"),"")</f>
        <v/>
      </c>
      <c r="BJ442" s="19" t="str">
        <f t="shared" si="39"/>
        <v/>
      </c>
      <c r="BK442" s="41"/>
      <c r="BL442" s="41"/>
    </row>
    <row r="443" spans="1:64" ht="15">
      <c r="A443" s="4"/>
      <c r="B443" s="4"/>
      <c r="G443" s="5" t="str">
        <f ca="1">IFERROR(__xludf.DUMMYFUNCTION("IFERROR(VLOOKUP(F460,IMPORTRANGE(""https://docs.google.com/spreadsheets/d/1Kvs4KS76FHFqLFIZfrDMff4kP08nblUkihrxltoGBjg/edit#gid=934712705"",""ESENCIAL!A6:BG""),3,FALSE))"),"")</f>
        <v/>
      </c>
      <c r="H443" s="5" t="str">
        <f ca="1">IFERROR(__xludf.DUMMYFUNCTION("IFERROR(VLOOKUP(F460,IMPORTRANGE(""https://docs.google.com/spreadsheets/d/1Kvs4KS76FHFqLFIZfrDMff4kP08nblUkihrxltoGBjg/edit#gid=934712705"",""ESENCIAL!A6:BG""),8,FALSE))"),"")</f>
        <v/>
      </c>
      <c r="L443" s="287"/>
      <c r="S443"/>
      <c r="AU443" s="41" t="str">
        <f t="shared" si="36"/>
        <v/>
      </c>
      <c r="AV443" s="5" t="str">
        <f ca="1">IFERROR(__xludf.DUMMYFUNCTION("IFERROR(VLOOKUP(E460&amp;F460,IMPORTRANGE(""https://docs.google.com/spreadsheets/d/1Uw7-A9f9R21vMXxHZFNpYNeKFtG8_yji4HS352LGlSQ/edit?pli=1#gid=0"",""1_ACUM!A4:S""),11,FALSE))"),"")</f>
        <v/>
      </c>
      <c r="AW443" s="42" t="str">
        <f ca="1">IFERROR(__xludf.DUMMYFUNCTION("IFERROR(VLOOKUP(F460,IMPORTRANGE(""https://docs.google.com/spreadsheets/d/1Kvs4KS76FHFqLFIZfrDMff4kP08nblUkihrxltoGBjg/edit#gid=934712705"",""ESENCIAL!A6:BG""),15,FALSE))"),"")</f>
        <v/>
      </c>
      <c r="AX443" s="21" t="str">
        <f ca="1">IFERROR(__xludf.DUMMYFUNCTION("IFERROR(VLOOKUP(E460&amp;F460,IMPORTRANGE(""https://docs.google.com/spreadsheets/d/1Uw7-A9f9R21vMXxHZFNpYNeKFtG8_yji4HS352LGlSQ/edit?pli=1#gid=0"",""1_ACUM!A4:S""),12,FALSE))"),"")</f>
        <v/>
      </c>
      <c r="AY443" s="43" t="str">
        <f ca="1">IFERROR(__xludf.DUMMYFUNCTION("IFERROR(VLOOKUP(E460&amp;F460,IMPORTRANGE(""https://docs.google.com/spreadsheets/d/1Uw7-A9f9R21vMXxHZFNpYNeKFtG8_yji4HS352LGlSQ/edit?pli=1#gid=0"",""1_ACUM!A4:S""),13,FALSE))"),"")</f>
        <v/>
      </c>
      <c r="AZ443" s="43" t="str">
        <f ca="1">IFERROR(__xludf.DUMMYFUNCTION("IFERROR(VLOOKUP(E460&amp;F460,IMPORTRANGE(""https://docs.google.com/spreadsheets/d/1Uw7-A9f9R21vMXxHZFNpYNeKFtG8_yji4HS352LGlSQ/edit?pli=1#gid=0"",""1_ACUM!A4:S""),14,FALSE))"),"")</f>
        <v/>
      </c>
      <c r="BA443" s="43" t="str">
        <f ca="1">IFERROR(__xludf.DUMMYFUNCTION("IFERROR(VLOOKUP(E460&amp;F460,IMPORTRANGE(""https://docs.google.com/spreadsheets/d/1Uw7-A9f9R21vMXxHZFNpYNeKFtG8_yji4HS352LGlSQ/edit?pli=1#gid=0"",""1_ACUM!A4:S""),15,FALSE))"),"")</f>
        <v/>
      </c>
      <c r="BB443" s="43" t="str">
        <f ca="1">IFERROR(__xludf.DUMMYFUNCTION("IFERROR(VLOOKUP(E460&amp;F460,IMPORTRANGE(""https://docs.google.com/spreadsheets/d/1Uw7-A9f9R21vMXxHZFNpYNeKFtG8_yji4HS352LGlSQ/edit?pli=1#gid=0"",""1_ACUM!A4:S""),16,FALSE))"),"")</f>
        <v/>
      </c>
      <c r="BC443" s="43" t="str">
        <f ca="1">IFERROR(__xludf.DUMMYFUNCTION("IFERROR(VLOOKUP(E460&amp;F460,IMPORTRANGE(""https://docs.google.com/spreadsheets/d/1Uw7-A9f9R21vMXxHZFNpYNeKFtG8_yji4HS352LGlSQ/edit?pli=1#gid=0"",""1_ACUM!A4:S""),17,FALSE))"),"")</f>
        <v/>
      </c>
      <c r="BD443" s="44" t="str">
        <f ca="1">IFERROR(__xludf.DUMMYFUNCTION("IFERROR(VLOOKUP(E460&amp;F460,IMPORTRANGE(""https://docs.google.com/spreadsheets/d/1Uw7-A9f9R21vMXxHZFNpYNeKFtG8_yji4HS352LGlSQ/edit?pli=1#gid=0"",""1_ACUM!A4:S""),18,FALSE))"),"")</f>
        <v/>
      </c>
      <c r="BE443" s="44" t="str">
        <f ca="1">IFERROR(__xludf.DUMMYFUNCTION("IFERROR(VLOOKUP(E460&amp;F460,IMPORTRANGE(""https://docs.google.com/spreadsheets/d/1Uw7-A9f9R21vMXxHZFNpYNeKFtG8_yji4HS352LGlSQ/edit?pli=1#gid=0"",""1_ACUM!A4:S""),19,FALSE))"),"")</f>
        <v/>
      </c>
      <c r="BF443" s="44" t="str">
        <f ca="1">IFERROR(__xludf.DUMMYFUNCTION("IFERROR(VLOOKUP(F460,IMPORTRANGE(""https://docs.google.com/spreadsheets/d/1Kvs4KS76FHFqLFIZfrDMff4kP08nblUkihrxltoGBjg/edit#gid=934712705"",""ESENCIAL!A6:BG""),5,FALSE))"),"")</f>
        <v/>
      </c>
      <c r="BG443" s="44" t="str">
        <f t="shared" si="37"/>
        <v/>
      </c>
      <c r="BH443" s="41" t="str">
        <f t="shared" si="38"/>
        <v/>
      </c>
      <c r="BI443" s="41" t="str">
        <f ca="1">IFERROR(__xludf.DUMMYFUNCTION("IFERROR(VLOOKUP(F460,IMPORTRANGE(""https://docs.google.com/spreadsheets/d/1Kvs4KS76FHFqLFIZfrDMff4kP08nblUkihrxltoGBjg/edit#gid=934712705"",""ESENCIAL!A6:BG""),18,FALSE))"),"")</f>
        <v/>
      </c>
      <c r="BJ443" s="19" t="str">
        <f t="shared" si="39"/>
        <v/>
      </c>
      <c r="BK443" s="41"/>
      <c r="BL443" s="41"/>
    </row>
    <row r="444" spans="1:64" ht="15">
      <c r="A444" s="4"/>
      <c r="B444" s="4"/>
      <c r="G444" s="5" t="str">
        <f ca="1">IFERROR(__xludf.DUMMYFUNCTION("IFERROR(VLOOKUP(F461,IMPORTRANGE(""https://docs.google.com/spreadsheets/d/1Kvs4KS76FHFqLFIZfrDMff4kP08nblUkihrxltoGBjg/edit#gid=934712705"",""ESENCIAL!A6:BG""),3,FALSE))"),"")</f>
        <v/>
      </c>
      <c r="H444" s="5" t="str">
        <f ca="1">IFERROR(__xludf.DUMMYFUNCTION("IFERROR(VLOOKUP(F461,IMPORTRANGE(""https://docs.google.com/spreadsheets/d/1Kvs4KS76FHFqLFIZfrDMff4kP08nblUkihrxltoGBjg/edit#gid=934712705"",""ESENCIAL!A6:BG""),8,FALSE))"),"")</f>
        <v/>
      </c>
      <c r="L444" s="287"/>
      <c r="S444"/>
      <c r="AU444" s="41" t="str">
        <f t="shared" si="36"/>
        <v/>
      </c>
      <c r="AV444" s="5" t="str">
        <f ca="1">IFERROR(__xludf.DUMMYFUNCTION("IFERROR(VLOOKUP(E461&amp;F461,IMPORTRANGE(""https://docs.google.com/spreadsheets/d/1Uw7-A9f9R21vMXxHZFNpYNeKFtG8_yji4HS352LGlSQ/edit?pli=1#gid=0"",""1_ACUM!A4:S""),11,FALSE))"),"")</f>
        <v/>
      </c>
      <c r="AW444" s="42" t="str">
        <f ca="1">IFERROR(__xludf.DUMMYFUNCTION("IFERROR(VLOOKUP(F461,IMPORTRANGE(""https://docs.google.com/spreadsheets/d/1Kvs4KS76FHFqLFIZfrDMff4kP08nblUkihrxltoGBjg/edit#gid=934712705"",""ESENCIAL!A6:BG""),15,FALSE))"),"")</f>
        <v/>
      </c>
      <c r="AX444" s="21" t="str">
        <f ca="1">IFERROR(__xludf.DUMMYFUNCTION("IFERROR(VLOOKUP(E461&amp;F461,IMPORTRANGE(""https://docs.google.com/spreadsheets/d/1Uw7-A9f9R21vMXxHZFNpYNeKFtG8_yji4HS352LGlSQ/edit?pli=1#gid=0"",""1_ACUM!A4:S""),12,FALSE))"),"")</f>
        <v/>
      </c>
      <c r="AY444" s="43" t="str">
        <f ca="1">IFERROR(__xludf.DUMMYFUNCTION("IFERROR(VLOOKUP(E461&amp;F461,IMPORTRANGE(""https://docs.google.com/spreadsheets/d/1Uw7-A9f9R21vMXxHZFNpYNeKFtG8_yji4HS352LGlSQ/edit?pli=1#gid=0"",""1_ACUM!A4:S""),13,FALSE))"),"")</f>
        <v/>
      </c>
      <c r="AZ444" s="43" t="str">
        <f ca="1">IFERROR(__xludf.DUMMYFUNCTION("IFERROR(VLOOKUP(E461&amp;F461,IMPORTRANGE(""https://docs.google.com/spreadsheets/d/1Uw7-A9f9R21vMXxHZFNpYNeKFtG8_yji4HS352LGlSQ/edit?pli=1#gid=0"",""1_ACUM!A4:S""),14,FALSE))"),"")</f>
        <v/>
      </c>
      <c r="BA444" s="43" t="str">
        <f ca="1">IFERROR(__xludf.DUMMYFUNCTION("IFERROR(VLOOKUP(E461&amp;F461,IMPORTRANGE(""https://docs.google.com/spreadsheets/d/1Uw7-A9f9R21vMXxHZFNpYNeKFtG8_yji4HS352LGlSQ/edit?pli=1#gid=0"",""1_ACUM!A4:S""),15,FALSE))"),"")</f>
        <v/>
      </c>
      <c r="BB444" s="43" t="str">
        <f ca="1">IFERROR(__xludf.DUMMYFUNCTION("IFERROR(VLOOKUP(E461&amp;F461,IMPORTRANGE(""https://docs.google.com/spreadsheets/d/1Uw7-A9f9R21vMXxHZFNpYNeKFtG8_yji4HS352LGlSQ/edit?pli=1#gid=0"",""1_ACUM!A4:S""),16,FALSE))"),"")</f>
        <v/>
      </c>
      <c r="BC444" s="43" t="str">
        <f ca="1">IFERROR(__xludf.DUMMYFUNCTION("IFERROR(VLOOKUP(E461&amp;F461,IMPORTRANGE(""https://docs.google.com/spreadsheets/d/1Uw7-A9f9R21vMXxHZFNpYNeKFtG8_yji4HS352LGlSQ/edit?pli=1#gid=0"",""1_ACUM!A4:S""),17,FALSE))"),"")</f>
        <v/>
      </c>
      <c r="BD444" s="44" t="str">
        <f ca="1">IFERROR(__xludf.DUMMYFUNCTION("IFERROR(VLOOKUP(E461&amp;F461,IMPORTRANGE(""https://docs.google.com/spreadsheets/d/1Uw7-A9f9R21vMXxHZFNpYNeKFtG8_yji4HS352LGlSQ/edit?pli=1#gid=0"",""1_ACUM!A4:S""),18,FALSE))"),"")</f>
        <v/>
      </c>
      <c r="BE444" s="44" t="str">
        <f ca="1">IFERROR(__xludf.DUMMYFUNCTION("IFERROR(VLOOKUP(E461&amp;F461,IMPORTRANGE(""https://docs.google.com/spreadsheets/d/1Uw7-A9f9R21vMXxHZFNpYNeKFtG8_yji4HS352LGlSQ/edit?pli=1#gid=0"",""1_ACUM!A4:S""),19,FALSE))"),"")</f>
        <v/>
      </c>
      <c r="BF444" s="44" t="str">
        <f ca="1">IFERROR(__xludf.DUMMYFUNCTION("IFERROR(VLOOKUP(F461,IMPORTRANGE(""https://docs.google.com/spreadsheets/d/1Kvs4KS76FHFqLFIZfrDMff4kP08nblUkihrxltoGBjg/edit#gid=934712705"",""ESENCIAL!A6:BG""),5,FALSE))"),"")</f>
        <v/>
      </c>
      <c r="BG444" s="44" t="str">
        <f t="shared" si="37"/>
        <v/>
      </c>
      <c r="BH444" s="41" t="str">
        <f t="shared" si="38"/>
        <v/>
      </c>
      <c r="BI444" s="41" t="str">
        <f ca="1">IFERROR(__xludf.DUMMYFUNCTION("IFERROR(VLOOKUP(F461,IMPORTRANGE(""https://docs.google.com/spreadsheets/d/1Kvs4KS76FHFqLFIZfrDMff4kP08nblUkihrxltoGBjg/edit#gid=934712705"",""ESENCIAL!A6:BG""),18,FALSE))"),"")</f>
        <v/>
      </c>
      <c r="BJ444" s="19" t="str">
        <f t="shared" si="39"/>
        <v/>
      </c>
      <c r="BK444" s="41"/>
      <c r="BL444" s="41"/>
    </row>
    <row r="445" spans="1:64" ht="15">
      <c r="A445" s="4"/>
      <c r="B445" s="4"/>
      <c r="G445" s="5" t="str">
        <f ca="1">IFERROR(__xludf.DUMMYFUNCTION("IFERROR(VLOOKUP(F462,IMPORTRANGE(""https://docs.google.com/spreadsheets/d/1Kvs4KS76FHFqLFIZfrDMff4kP08nblUkihrxltoGBjg/edit#gid=934712705"",""ESENCIAL!A6:BG""),3,FALSE))"),"")</f>
        <v/>
      </c>
      <c r="H445" s="5" t="str">
        <f ca="1">IFERROR(__xludf.DUMMYFUNCTION("IFERROR(VLOOKUP(F462,IMPORTRANGE(""https://docs.google.com/spreadsheets/d/1Kvs4KS76FHFqLFIZfrDMff4kP08nblUkihrxltoGBjg/edit#gid=934712705"",""ESENCIAL!A6:BG""),8,FALSE))"),"")</f>
        <v/>
      </c>
      <c r="L445" s="287"/>
      <c r="S445"/>
      <c r="AU445" s="41" t="str">
        <f t="shared" si="36"/>
        <v/>
      </c>
      <c r="AV445" s="5" t="str">
        <f ca="1">IFERROR(__xludf.DUMMYFUNCTION("IFERROR(VLOOKUP(E462&amp;F462,IMPORTRANGE(""https://docs.google.com/spreadsheets/d/1Uw7-A9f9R21vMXxHZFNpYNeKFtG8_yji4HS352LGlSQ/edit?pli=1#gid=0"",""1_ACUM!A4:S""),11,FALSE))"),"")</f>
        <v/>
      </c>
      <c r="AW445" s="42" t="str">
        <f ca="1">IFERROR(__xludf.DUMMYFUNCTION("IFERROR(VLOOKUP(F462,IMPORTRANGE(""https://docs.google.com/spreadsheets/d/1Kvs4KS76FHFqLFIZfrDMff4kP08nblUkihrxltoGBjg/edit#gid=934712705"",""ESENCIAL!A6:BG""),15,FALSE))"),"")</f>
        <v/>
      </c>
      <c r="AX445" s="21" t="str">
        <f ca="1">IFERROR(__xludf.DUMMYFUNCTION("IFERROR(VLOOKUP(E462&amp;F462,IMPORTRANGE(""https://docs.google.com/spreadsheets/d/1Uw7-A9f9R21vMXxHZFNpYNeKFtG8_yji4HS352LGlSQ/edit?pli=1#gid=0"",""1_ACUM!A4:S""),12,FALSE))"),"")</f>
        <v/>
      </c>
      <c r="AY445" s="43" t="str">
        <f ca="1">IFERROR(__xludf.DUMMYFUNCTION("IFERROR(VLOOKUP(E462&amp;F462,IMPORTRANGE(""https://docs.google.com/spreadsheets/d/1Uw7-A9f9R21vMXxHZFNpYNeKFtG8_yji4HS352LGlSQ/edit?pli=1#gid=0"",""1_ACUM!A4:S""),13,FALSE))"),"")</f>
        <v/>
      </c>
      <c r="AZ445" s="43" t="str">
        <f ca="1">IFERROR(__xludf.DUMMYFUNCTION("IFERROR(VLOOKUP(E462&amp;F462,IMPORTRANGE(""https://docs.google.com/spreadsheets/d/1Uw7-A9f9R21vMXxHZFNpYNeKFtG8_yji4HS352LGlSQ/edit?pli=1#gid=0"",""1_ACUM!A4:S""),14,FALSE))"),"")</f>
        <v/>
      </c>
      <c r="BA445" s="43" t="str">
        <f ca="1">IFERROR(__xludf.DUMMYFUNCTION("IFERROR(VLOOKUP(E462&amp;F462,IMPORTRANGE(""https://docs.google.com/spreadsheets/d/1Uw7-A9f9R21vMXxHZFNpYNeKFtG8_yji4HS352LGlSQ/edit?pli=1#gid=0"",""1_ACUM!A4:S""),15,FALSE))"),"")</f>
        <v/>
      </c>
      <c r="BB445" s="43" t="str">
        <f ca="1">IFERROR(__xludf.DUMMYFUNCTION("IFERROR(VLOOKUP(E462&amp;F462,IMPORTRANGE(""https://docs.google.com/spreadsheets/d/1Uw7-A9f9R21vMXxHZFNpYNeKFtG8_yji4HS352LGlSQ/edit?pli=1#gid=0"",""1_ACUM!A4:S""),16,FALSE))"),"")</f>
        <v/>
      </c>
      <c r="BC445" s="43" t="str">
        <f ca="1">IFERROR(__xludf.DUMMYFUNCTION("IFERROR(VLOOKUP(E462&amp;F462,IMPORTRANGE(""https://docs.google.com/spreadsheets/d/1Uw7-A9f9R21vMXxHZFNpYNeKFtG8_yji4HS352LGlSQ/edit?pli=1#gid=0"",""1_ACUM!A4:S""),17,FALSE))"),"")</f>
        <v/>
      </c>
      <c r="BD445" s="44" t="str">
        <f ca="1">IFERROR(__xludf.DUMMYFUNCTION("IFERROR(VLOOKUP(E462&amp;F462,IMPORTRANGE(""https://docs.google.com/spreadsheets/d/1Uw7-A9f9R21vMXxHZFNpYNeKFtG8_yji4HS352LGlSQ/edit?pli=1#gid=0"",""1_ACUM!A4:S""),18,FALSE))"),"")</f>
        <v/>
      </c>
      <c r="BE445" s="44" t="str">
        <f ca="1">IFERROR(__xludf.DUMMYFUNCTION("IFERROR(VLOOKUP(E462&amp;F462,IMPORTRANGE(""https://docs.google.com/spreadsheets/d/1Uw7-A9f9R21vMXxHZFNpYNeKFtG8_yji4HS352LGlSQ/edit?pli=1#gid=0"",""1_ACUM!A4:S""),19,FALSE))"),"")</f>
        <v/>
      </c>
      <c r="BF445" s="44" t="str">
        <f ca="1">IFERROR(__xludf.DUMMYFUNCTION("IFERROR(VLOOKUP(F462,IMPORTRANGE(""https://docs.google.com/spreadsheets/d/1Kvs4KS76FHFqLFIZfrDMff4kP08nblUkihrxltoGBjg/edit#gid=934712705"",""ESENCIAL!A6:BG""),5,FALSE))"),"")</f>
        <v/>
      </c>
      <c r="BG445" s="44" t="str">
        <f t="shared" si="37"/>
        <v/>
      </c>
      <c r="BH445" s="41" t="str">
        <f t="shared" si="38"/>
        <v/>
      </c>
      <c r="BI445" s="41" t="str">
        <f ca="1">IFERROR(__xludf.DUMMYFUNCTION("IFERROR(VLOOKUP(F462,IMPORTRANGE(""https://docs.google.com/spreadsheets/d/1Kvs4KS76FHFqLFIZfrDMff4kP08nblUkihrxltoGBjg/edit#gid=934712705"",""ESENCIAL!A6:BG""),18,FALSE))"),"")</f>
        <v/>
      </c>
      <c r="BJ445" s="19" t="str">
        <f t="shared" si="39"/>
        <v/>
      </c>
      <c r="BK445" s="41"/>
      <c r="BL445" s="41"/>
    </row>
    <row r="446" spans="1:64" ht="15">
      <c r="A446" s="4"/>
      <c r="B446" s="4"/>
      <c r="G446" s="5" t="str">
        <f ca="1">IFERROR(__xludf.DUMMYFUNCTION("IFERROR(VLOOKUP(F463,IMPORTRANGE(""https://docs.google.com/spreadsheets/d/1Kvs4KS76FHFqLFIZfrDMff4kP08nblUkihrxltoGBjg/edit#gid=934712705"",""ESENCIAL!A6:BG""),3,FALSE))"),"")</f>
        <v/>
      </c>
      <c r="H446" s="5" t="str">
        <f ca="1">IFERROR(__xludf.DUMMYFUNCTION("IFERROR(VLOOKUP(F463,IMPORTRANGE(""https://docs.google.com/spreadsheets/d/1Kvs4KS76FHFqLFIZfrDMff4kP08nblUkihrxltoGBjg/edit#gid=934712705"",""ESENCIAL!A6:BG""),8,FALSE))"),"")</f>
        <v/>
      </c>
      <c r="L446" s="287"/>
      <c r="S446"/>
      <c r="AU446" s="41" t="str">
        <f t="shared" si="36"/>
        <v/>
      </c>
      <c r="AV446" s="5" t="str">
        <f ca="1">IFERROR(__xludf.DUMMYFUNCTION("IFERROR(VLOOKUP(E463&amp;F463,IMPORTRANGE(""https://docs.google.com/spreadsheets/d/1Uw7-A9f9R21vMXxHZFNpYNeKFtG8_yji4HS352LGlSQ/edit?pli=1#gid=0"",""1_ACUM!A4:S""),11,FALSE))"),"")</f>
        <v/>
      </c>
      <c r="AW446" s="42" t="str">
        <f ca="1">IFERROR(__xludf.DUMMYFUNCTION("IFERROR(VLOOKUP(F463,IMPORTRANGE(""https://docs.google.com/spreadsheets/d/1Kvs4KS76FHFqLFIZfrDMff4kP08nblUkihrxltoGBjg/edit#gid=934712705"",""ESENCIAL!A6:BG""),15,FALSE))"),"")</f>
        <v/>
      </c>
      <c r="AX446" s="21" t="str">
        <f ca="1">IFERROR(__xludf.DUMMYFUNCTION("IFERROR(VLOOKUP(E463&amp;F463,IMPORTRANGE(""https://docs.google.com/spreadsheets/d/1Uw7-A9f9R21vMXxHZFNpYNeKFtG8_yji4HS352LGlSQ/edit?pli=1#gid=0"",""1_ACUM!A4:S""),12,FALSE))"),"")</f>
        <v/>
      </c>
      <c r="AY446" s="43" t="str">
        <f ca="1">IFERROR(__xludf.DUMMYFUNCTION("IFERROR(VLOOKUP(E463&amp;F463,IMPORTRANGE(""https://docs.google.com/spreadsheets/d/1Uw7-A9f9R21vMXxHZFNpYNeKFtG8_yji4HS352LGlSQ/edit?pli=1#gid=0"",""1_ACUM!A4:S""),13,FALSE))"),"")</f>
        <v/>
      </c>
      <c r="AZ446" s="43" t="str">
        <f ca="1">IFERROR(__xludf.DUMMYFUNCTION("IFERROR(VLOOKUP(E463&amp;F463,IMPORTRANGE(""https://docs.google.com/spreadsheets/d/1Uw7-A9f9R21vMXxHZFNpYNeKFtG8_yji4HS352LGlSQ/edit?pli=1#gid=0"",""1_ACUM!A4:S""),14,FALSE))"),"")</f>
        <v/>
      </c>
      <c r="BA446" s="43" t="str">
        <f ca="1">IFERROR(__xludf.DUMMYFUNCTION("IFERROR(VLOOKUP(E463&amp;F463,IMPORTRANGE(""https://docs.google.com/spreadsheets/d/1Uw7-A9f9R21vMXxHZFNpYNeKFtG8_yji4HS352LGlSQ/edit?pli=1#gid=0"",""1_ACUM!A4:S""),15,FALSE))"),"")</f>
        <v/>
      </c>
      <c r="BB446" s="43" t="str">
        <f ca="1">IFERROR(__xludf.DUMMYFUNCTION("IFERROR(VLOOKUP(E463&amp;F463,IMPORTRANGE(""https://docs.google.com/spreadsheets/d/1Uw7-A9f9R21vMXxHZFNpYNeKFtG8_yji4HS352LGlSQ/edit?pli=1#gid=0"",""1_ACUM!A4:S""),16,FALSE))"),"")</f>
        <v/>
      </c>
      <c r="BC446" s="43" t="str">
        <f ca="1">IFERROR(__xludf.DUMMYFUNCTION("IFERROR(VLOOKUP(E463&amp;F463,IMPORTRANGE(""https://docs.google.com/spreadsheets/d/1Uw7-A9f9R21vMXxHZFNpYNeKFtG8_yji4HS352LGlSQ/edit?pli=1#gid=0"",""1_ACUM!A4:S""),17,FALSE))"),"")</f>
        <v/>
      </c>
      <c r="BD446" s="44" t="str">
        <f ca="1">IFERROR(__xludf.DUMMYFUNCTION("IFERROR(VLOOKUP(E463&amp;F463,IMPORTRANGE(""https://docs.google.com/spreadsheets/d/1Uw7-A9f9R21vMXxHZFNpYNeKFtG8_yji4HS352LGlSQ/edit?pli=1#gid=0"",""1_ACUM!A4:S""),18,FALSE))"),"")</f>
        <v/>
      </c>
      <c r="BE446" s="44" t="str">
        <f ca="1">IFERROR(__xludf.DUMMYFUNCTION("IFERROR(VLOOKUP(E463&amp;F463,IMPORTRANGE(""https://docs.google.com/spreadsheets/d/1Uw7-A9f9R21vMXxHZFNpYNeKFtG8_yji4HS352LGlSQ/edit?pli=1#gid=0"",""1_ACUM!A4:S""),19,FALSE))"),"")</f>
        <v/>
      </c>
      <c r="BF446" s="44" t="str">
        <f ca="1">IFERROR(__xludf.DUMMYFUNCTION("IFERROR(VLOOKUP(F463,IMPORTRANGE(""https://docs.google.com/spreadsheets/d/1Kvs4KS76FHFqLFIZfrDMff4kP08nblUkihrxltoGBjg/edit#gid=934712705"",""ESENCIAL!A6:BG""),5,FALSE))"),"")</f>
        <v/>
      </c>
      <c r="BG446" s="44" t="str">
        <f t="shared" si="37"/>
        <v/>
      </c>
      <c r="BH446" s="41" t="str">
        <f t="shared" si="38"/>
        <v/>
      </c>
      <c r="BI446" s="41" t="str">
        <f ca="1">IFERROR(__xludf.DUMMYFUNCTION("IFERROR(VLOOKUP(F463,IMPORTRANGE(""https://docs.google.com/spreadsheets/d/1Kvs4KS76FHFqLFIZfrDMff4kP08nblUkihrxltoGBjg/edit#gid=934712705"",""ESENCIAL!A6:BG""),18,FALSE))"),"")</f>
        <v/>
      </c>
      <c r="BJ446" s="19" t="str">
        <f t="shared" si="39"/>
        <v/>
      </c>
      <c r="BK446" s="41"/>
      <c r="BL446" s="41"/>
    </row>
    <row r="447" spans="1:64" ht="15">
      <c r="A447" s="4"/>
      <c r="B447" s="4"/>
      <c r="G447" s="5" t="str">
        <f ca="1">IFERROR(__xludf.DUMMYFUNCTION("IFERROR(VLOOKUP(F464,IMPORTRANGE(""https://docs.google.com/spreadsheets/d/1Kvs4KS76FHFqLFIZfrDMff4kP08nblUkihrxltoGBjg/edit#gid=934712705"",""ESENCIAL!A6:BG""),3,FALSE))"),"")</f>
        <v/>
      </c>
      <c r="H447" s="5" t="str">
        <f ca="1">IFERROR(__xludf.DUMMYFUNCTION("IFERROR(VLOOKUP(F464,IMPORTRANGE(""https://docs.google.com/spreadsheets/d/1Kvs4KS76FHFqLFIZfrDMff4kP08nblUkihrxltoGBjg/edit#gid=934712705"",""ESENCIAL!A6:BG""),8,FALSE))"),"")</f>
        <v/>
      </c>
      <c r="L447" s="287"/>
      <c r="S447"/>
      <c r="AU447" s="41" t="str">
        <f t="shared" si="36"/>
        <v/>
      </c>
      <c r="AV447" s="5" t="str">
        <f ca="1">IFERROR(__xludf.DUMMYFUNCTION("IFERROR(VLOOKUP(E464&amp;F464,IMPORTRANGE(""https://docs.google.com/spreadsheets/d/1Uw7-A9f9R21vMXxHZFNpYNeKFtG8_yji4HS352LGlSQ/edit?pli=1#gid=0"",""1_ACUM!A4:S""),11,FALSE))"),"")</f>
        <v/>
      </c>
      <c r="AW447" s="42" t="str">
        <f ca="1">IFERROR(__xludf.DUMMYFUNCTION("IFERROR(VLOOKUP(F464,IMPORTRANGE(""https://docs.google.com/spreadsheets/d/1Kvs4KS76FHFqLFIZfrDMff4kP08nblUkihrxltoGBjg/edit#gid=934712705"",""ESENCIAL!A6:BG""),15,FALSE))"),"")</f>
        <v/>
      </c>
      <c r="AX447" s="21" t="str">
        <f ca="1">IFERROR(__xludf.DUMMYFUNCTION("IFERROR(VLOOKUP(E464&amp;F464,IMPORTRANGE(""https://docs.google.com/spreadsheets/d/1Uw7-A9f9R21vMXxHZFNpYNeKFtG8_yji4HS352LGlSQ/edit?pli=1#gid=0"",""1_ACUM!A4:S""),12,FALSE))"),"")</f>
        <v/>
      </c>
      <c r="AY447" s="43" t="str">
        <f ca="1">IFERROR(__xludf.DUMMYFUNCTION("IFERROR(VLOOKUP(E464&amp;F464,IMPORTRANGE(""https://docs.google.com/spreadsheets/d/1Uw7-A9f9R21vMXxHZFNpYNeKFtG8_yji4HS352LGlSQ/edit?pli=1#gid=0"",""1_ACUM!A4:S""),13,FALSE))"),"")</f>
        <v/>
      </c>
      <c r="AZ447" s="43" t="str">
        <f ca="1">IFERROR(__xludf.DUMMYFUNCTION("IFERROR(VLOOKUP(E464&amp;F464,IMPORTRANGE(""https://docs.google.com/spreadsheets/d/1Uw7-A9f9R21vMXxHZFNpYNeKFtG8_yji4HS352LGlSQ/edit?pli=1#gid=0"",""1_ACUM!A4:S""),14,FALSE))"),"")</f>
        <v/>
      </c>
      <c r="BA447" s="43" t="str">
        <f ca="1">IFERROR(__xludf.DUMMYFUNCTION("IFERROR(VLOOKUP(E464&amp;F464,IMPORTRANGE(""https://docs.google.com/spreadsheets/d/1Uw7-A9f9R21vMXxHZFNpYNeKFtG8_yji4HS352LGlSQ/edit?pli=1#gid=0"",""1_ACUM!A4:S""),15,FALSE))"),"")</f>
        <v/>
      </c>
      <c r="BB447" s="43" t="str">
        <f ca="1">IFERROR(__xludf.DUMMYFUNCTION("IFERROR(VLOOKUP(E464&amp;F464,IMPORTRANGE(""https://docs.google.com/spreadsheets/d/1Uw7-A9f9R21vMXxHZFNpYNeKFtG8_yji4HS352LGlSQ/edit?pli=1#gid=0"",""1_ACUM!A4:S""),16,FALSE))"),"")</f>
        <v/>
      </c>
      <c r="BC447" s="43" t="str">
        <f ca="1">IFERROR(__xludf.DUMMYFUNCTION("IFERROR(VLOOKUP(E464&amp;F464,IMPORTRANGE(""https://docs.google.com/spreadsheets/d/1Uw7-A9f9R21vMXxHZFNpYNeKFtG8_yji4HS352LGlSQ/edit?pli=1#gid=0"",""1_ACUM!A4:S""),17,FALSE))"),"")</f>
        <v/>
      </c>
      <c r="BD447" s="44" t="str">
        <f ca="1">IFERROR(__xludf.DUMMYFUNCTION("IFERROR(VLOOKUP(E464&amp;F464,IMPORTRANGE(""https://docs.google.com/spreadsheets/d/1Uw7-A9f9R21vMXxHZFNpYNeKFtG8_yji4HS352LGlSQ/edit?pli=1#gid=0"",""1_ACUM!A4:S""),18,FALSE))"),"")</f>
        <v/>
      </c>
      <c r="BE447" s="44" t="str">
        <f ca="1">IFERROR(__xludf.DUMMYFUNCTION("IFERROR(VLOOKUP(E464&amp;F464,IMPORTRANGE(""https://docs.google.com/spreadsheets/d/1Uw7-A9f9R21vMXxHZFNpYNeKFtG8_yji4HS352LGlSQ/edit?pli=1#gid=0"",""1_ACUM!A4:S""),19,FALSE))"),"")</f>
        <v/>
      </c>
      <c r="BF447" s="44" t="str">
        <f ca="1">IFERROR(__xludf.DUMMYFUNCTION("IFERROR(VLOOKUP(F464,IMPORTRANGE(""https://docs.google.com/spreadsheets/d/1Kvs4KS76FHFqLFIZfrDMff4kP08nblUkihrxltoGBjg/edit#gid=934712705"",""ESENCIAL!A6:BG""),5,FALSE))"),"")</f>
        <v/>
      </c>
      <c r="BG447" s="44" t="str">
        <f t="shared" si="37"/>
        <v/>
      </c>
      <c r="BH447" s="41" t="str">
        <f t="shared" si="38"/>
        <v/>
      </c>
      <c r="BI447" s="41" t="str">
        <f ca="1">IFERROR(__xludf.DUMMYFUNCTION("IFERROR(VLOOKUP(F464,IMPORTRANGE(""https://docs.google.com/spreadsheets/d/1Kvs4KS76FHFqLFIZfrDMff4kP08nblUkihrxltoGBjg/edit#gid=934712705"",""ESENCIAL!A6:BG""),18,FALSE))"),"")</f>
        <v/>
      </c>
      <c r="BJ447" s="19" t="str">
        <f t="shared" si="39"/>
        <v/>
      </c>
      <c r="BK447" s="41"/>
      <c r="BL447" s="41"/>
    </row>
    <row r="448" spans="1:64" ht="15">
      <c r="A448" s="4"/>
      <c r="B448" s="4"/>
      <c r="G448" s="5" t="str">
        <f ca="1">IFERROR(__xludf.DUMMYFUNCTION("IFERROR(VLOOKUP(F465,IMPORTRANGE(""https://docs.google.com/spreadsheets/d/1Kvs4KS76FHFqLFIZfrDMff4kP08nblUkihrxltoGBjg/edit#gid=934712705"",""ESENCIAL!A6:BG""),3,FALSE))"),"")</f>
        <v/>
      </c>
      <c r="H448" s="5" t="str">
        <f ca="1">IFERROR(__xludf.DUMMYFUNCTION("IFERROR(VLOOKUP(F465,IMPORTRANGE(""https://docs.google.com/spreadsheets/d/1Kvs4KS76FHFqLFIZfrDMff4kP08nblUkihrxltoGBjg/edit#gid=934712705"",""ESENCIAL!A6:BG""),8,FALSE))"),"")</f>
        <v/>
      </c>
      <c r="L448" s="287"/>
      <c r="S448"/>
      <c r="AU448" s="41" t="str">
        <f t="shared" si="36"/>
        <v/>
      </c>
      <c r="AV448" s="5" t="str">
        <f ca="1">IFERROR(__xludf.DUMMYFUNCTION("IFERROR(VLOOKUP(E465&amp;F465,IMPORTRANGE(""https://docs.google.com/spreadsheets/d/1Uw7-A9f9R21vMXxHZFNpYNeKFtG8_yji4HS352LGlSQ/edit?pli=1#gid=0"",""1_ACUM!A4:S""),11,FALSE))"),"")</f>
        <v/>
      </c>
      <c r="AW448" s="42" t="str">
        <f ca="1">IFERROR(__xludf.DUMMYFUNCTION("IFERROR(VLOOKUP(F465,IMPORTRANGE(""https://docs.google.com/spreadsheets/d/1Kvs4KS76FHFqLFIZfrDMff4kP08nblUkihrxltoGBjg/edit#gid=934712705"",""ESENCIAL!A6:BG""),15,FALSE))"),"")</f>
        <v/>
      </c>
      <c r="AX448" s="21" t="str">
        <f ca="1">IFERROR(__xludf.DUMMYFUNCTION("IFERROR(VLOOKUP(E465&amp;F465,IMPORTRANGE(""https://docs.google.com/spreadsheets/d/1Uw7-A9f9R21vMXxHZFNpYNeKFtG8_yji4HS352LGlSQ/edit?pli=1#gid=0"",""1_ACUM!A4:S""),12,FALSE))"),"")</f>
        <v/>
      </c>
      <c r="AY448" s="43" t="str">
        <f ca="1">IFERROR(__xludf.DUMMYFUNCTION("IFERROR(VLOOKUP(E465&amp;F465,IMPORTRANGE(""https://docs.google.com/spreadsheets/d/1Uw7-A9f9R21vMXxHZFNpYNeKFtG8_yji4HS352LGlSQ/edit?pli=1#gid=0"",""1_ACUM!A4:S""),13,FALSE))"),"")</f>
        <v/>
      </c>
      <c r="AZ448" s="43" t="str">
        <f ca="1">IFERROR(__xludf.DUMMYFUNCTION("IFERROR(VLOOKUP(E465&amp;F465,IMPORTRANGE(""https://docs.google.com/spreadsheets/d/1Uw7-A9f9R21vMXxHZFNpYNeKFtG8_yji4HS352LGlSQ/edit?pli=1#gid=0"",""1_ACUM!A4:S""),14,FALSE))"),"")</f>
        <v/>
      </c>
      <c r="BA448" s="43" t="str">
        <f ca="1">IFERROR(__xludf.DUMMYFUNCTION("IFERROR(VLOOKUP(E465&amp;F465,IMPORTRANGE(""https://docs.google.com/spreadsheets/d/1Uw7-A9f9R21vMXxHZFNpYNeKFtG8_yji4HS352LGlSQ/edit?pli=1#gid=0"",""1_ACUM!A4:S""),15,FALSE))"),"")</f>
        <v/>
      </c>
      <c r="BB448" s="43" t="str">
        <f ca="1">IFERROR(__xludf.DUMMYFUNCTION("IFERROR(VLOOKUP(E465&amp;F465,IMPORTRANGE(""https://docs.google.com/spreadsheets/d/1Uw7-A9f9R21vMXxHZFNpYNeKFtG8_yji4HS352LGlSQ/edit?pli=1#gid=0"",""1_ACUM!A4:S""),16,FALSE))"),"")</f>
        <v/>
      </c>
      <c r="BC448" s="43" t="str">
        <f ca="1">IFERROR(__xludf.DUMMYFUNCTION("IFERROR(VLOOKUP(E465&amp;F465,IMPORTRANGE(""https://docs.google.com/spreadsheets/d/1Uw7-A9f9R21vMXxHZFNpYNeKFtG8_yji4HS352LGlSQ/edit?pli=1#gid=0"",""1_ACUM!A4:S""),17,FALSE))"),"")</f>
        <v/>
      </c>
      <c r="BD448" s="44" t="str">
        <f ca="1">IFERROR(__xludf.DUMMYFUNCTION("IFERROR(VLOOKUP(E465&amp;F465,IMPORTRANGE(""https://docs.google.com/spreadsheets/d/1Uw7-A9f9R21vMXxHZFNpYNeKFtG8_yji4HS352LGlSQ/edit?pli=1#gid=0"",""1_ACUM!A4:S""),18,FALSE))"),"")</f>
        <v/>
      </c>
      <c r="BE448" s="44" t="str">
        <f ca="1">IFERROR(__xludf.DUMMYFUNCTION("IFERROR(VLOOKUP(E465&amp;F465,IMPORTRANGE(""https://docs.google.com/spreadsheets/d/1Uw7-A9f9R21vMXxHZFNpYNeKFtG8_yji4HS352LGlSQ/edit?pli=1#gid=0"",""1_ACUM!A4:S""),19,FALSE))"),"")</f>
        <v/>
      </c>
      <c r="BF448" s="44" t="str">
        <f ca="1">IFERROR(__xludf.DUMMYFUNCTION("IFERROR(VLOOKUP(F465,IMPORTRANGE(""https://docs.google.com/spreadsheets/d/1Kvs4KS76FHFqLFIZfrDMff4kP08nblUkihrxltoGBjg/edit#gid=934712705"",""ESENCIAL!A6:BG""),5,FALSE))"),"")</f>
        <v/>
      </c>
      <c r="BG448" s="44" t="str">
        <f t="shared" si="37"/>
        <v/>
      </c>
      <c r="BH448" s="41" t="str">
        <f t="shared" si="38"/>
        <v/>
      </c>
      <c r="BI448" s="41" t="str">
        <f ca="1">IFERROR(__xludf.DUMMYFUNCTION("IFERROR(VLOOKUP(F465,IMPORTRANGE(""https://docs.google.com/spreadsheets/d/1Kvs4KS76FHFqLFIZfrDMff4kP08nblUkihrxltoGBjg/edit#gid=934712705"",""ESENCIAL!A6:BG""),18,FALSE))"),"")</f>
        <v/>
      </c>
      <c r="BJ448" s="19" t="str">
        <f t="shared" si="39"/>
        <v/>
      </c>
      <c r="BK448" s="41"/>
      <c r="BL448" s="41"/>
    </row>
    <row r="449" spans="1:64" ht="15">
      <c r="A449" s="4"/>
      <c r="B449" s="4"/>
      <c r="G449" s="5" t="str">
        <f ca="1">IFERROR(__xludf.DUMMYFUNCTION("IFERROR(VLOOKUP(F466,IMPORTRANGE(""https://docs.google.com/spreadsheets/d/1Kvs4KS76FHFqLFIZfrDMff4kP08nblUkihrxltoGBjg/edit#gid=934712705"",""ESENCIAL!A6:BG""),3,FALSE))"),"")</f>
        <v/>
      </c>
      <c r="H449" s="5" t="str">
        <f ca="1">IFERROR(__xludf.DUMMYFUNCTION("IFERROR(VLOOKUP(F466,IMPORTRANGE(""https://docs.google.com/spreadsheets/d/1Kvs4KS76FHFqLFIZfrDMff4kP08nblUkihrxltoGBjg/edit#gid=934712705"",""ESENCIAL!A6:BG""),8,FALSE))"),"")</f>
        <v/>
      </c>
      <c r="L449" s="287"/>
      <c r="S449"/>
      <c r="AU449" s="41" t="str">
        <f t="shared" si="36"/>
        <v/>
      </c>
      <c r="AV449" s="5" t="str">
        <f ca="1">IFERROR(__xludf.DUMMYFUNCTION("IFERROR(VLOOKUP(E466&amp;F466,IMPORTRANGE(""https://docs.google.com/spreadsheets/d/1Uw7-A9f9R21vMXxHZFNpYNeKFtG8_yji4HS352LGlSQ/edit?pli=1#gid=0"",""1_ACUM!A4:S""),11,FALSE))"),"")</f>
        <v/>
      </c>
      <c r="AW449" s="42" t="str">
        <f ca="1">IFERROR(__xludf.DUMMYFUNCTION("IFERROR(VLOOKUP(F466,IMPORTRANGE(""https://docs.google.com/spreadsheets/d/1Kvs4KS76FHFqLFIZfrDMff4kP08nblUkihrxltoGBjg/edit#gid=934712705"",""ESENCIAL!A6:BG""),15,FALSE))"),"")</f>
        <v/>
      </c>
      <c r="AX449" s="21" t="str">
        <f ca="1">IFERROR(__xludf.DUMMYFUNCTION("IFERROR(VLOOKUP(E466&amp;F466,IMPORTRANGE(""https://docs.google.com/spreadsheets/d/1Uw7-A9f9R21vMXxHZFNpYNeKFtG8_yji4HS352LGlSQ/edit?pli=1#gid=0"",""1_ACUM!A4:S""),12,FALSE))"),"")</f>
        <v/>
      </c>
      <c r="AY449" s="43" t="str">
        <f ca="1">IFERROR(__xludf.DUMMYFUNCTION("IFERROR(VLOOKUP(E466&amp;F466,IMPORTRANGE(""https://docs.google.com/spreadsheets/d/1Uw7-A9f9R21vMXxHZFNpYNeKFtG8_yji4HS352LGlSQ/edit?pli=1#gid=0"",""1_ACUM!A4:S""),13,FALSE))"),"")</f>
        <v/>
      </c>
      <c r="AZ449" s="43" t="str">
        <f ca="1">IFERROR(__xludf.DUMMYFUNCTION("IFERROR(VLOOKUP(E466&amp;F466,IMPORTRANGE(""https://docs.google.com/spreadsheets/d/1Uw7-A9f9R21vMXxHZFNpYNeKFtG8_yji4HS352LGlSQ/edit?pli=1#gid=0"",""1_ACUM!A4:S""),14,FALSE))"),"")</f>
        <v/>
      </c>
      <c r="BA449" s="43" t="str">
        <f ca="1">IFERROR(__xludf.DUMMYFUNCTION("IFERROR(VLOOKUP(E466&amp;F466,IMPORTRANGE(""https://docs.google.com/spreadsheets/d/1Uw7-A9f9R21vMXxHZFNpYNeKFtG8_yji4HS352LGlSQ/edit?pli=1#gid=0"",""1_ACUM!A4:S""),15,FALSE))"),"")</f>
        <v/>
      </c>
      <c r="BB449" s="43" t="str">
        <f ca="1">IFERROR(__xludf.DUMMYFUNCTION("IFERROR(VLOOKUP(E466&amp;F466,IMPORTRANGE(""https://docs.google.com/spreadsheets/d/1Uw7-A9f9R21vMXxHZFNpYNeKFtG8_yji4HS352LGlSQ/edit?pli=1#gid=0"",""1_ACUM!A4:S""),16,FALSE))"),"")</f>
        <v/>
      </c>
      <c r="BC449" s="43" t="str">
        <f ca="1">IFERROR(__xludf.DUMMYFUNCTION("IFERROR(VLOOKUP(E466&amp;F466,IMPORTRANGE(""https://docs.google.com/spreadsheets/d/1Uw7-A9f9R21vMXxHZFNpYNeKFtG8_yji4HS352LGlSQ/edit?pli=1#gid=0"",""1_ACUM!A4:S""),17,FALSE))"),"")</f>
        <v/>
      </c>
      <c r="BD449" s="44" t="str">
        <f ca="1">IFERROR(__xludf.DUMMYFUNCTION("IFERROR(VLOOKUP(E466&amp;F466,IMPORTRANGE(""https://docs.google.com/spreadsheets/d/1Uw7-A9f9R21vMXxHZFNpYNeKFtG8_yji4HS352LGlSQ/edit?pli=1#gid=0"",""1_ACUM!A4:S""),18,FALSE))"),"")</f>
        <v/>
      </c>
      <c r="BE449" s="44" t="str">
        <f ca="1">IFERROR(__xludf.DUMMYFUNCTION("IFERROR(VLOOKUP(E466&amp;F466,IMPORTRANGE(""https://docs.google.com/spreadsheets/d/1Uw7-A9f9R21vMXxHZFNpYNeKFtG8_yji4HS352LGlSQ/edit?pli=1#gid=0"",""1_ACUM!A4:S""),19,FALSE))"),"")</f>
        <v/>
      </c>
      <c r="BF449" s="44" t="str">
        <f ca="1">IFERROR(__xludf.DUMMYFUNCTION("IFERROR(VLOOKUP(F466,IMPORTRANGE(""https://docs.google.com/spreadsheets/d/1Kvs4KS76FHFqLFIZfrDMff4kP08nblUkihrxltoGBjg/edit#gid=934712705"",""ESENCIAL!A6:BG""),5,FALSE))"),"")</f>
        <v/>
      </c>
      <c r="BG449" s="44" t="str">
        <f t="shared" si="37"/>
        <v/>
      </c>
      <c r="BH449" s="41" t="str">
        <f t="shared" si="38"/>
        <v/>
      </c>
      <c r="BI449" s="41" t="str">
        <f ca="1">IFERROR(__xludf.DUMMYFUNCTION("IFERROR(VLOOKUP(F466,IMPORTRANGE(""https://docs.google.com/spreadsheets/d/1Kvs4KS76FHFqLFIZfrDMff4kP08nblUkihrxltoGBjg/edit#gid=934712705"",""ESENCIAL!A6:BG""),18,FALSE))"),"")</f>
        <v/>
      </c>
      <c r="BJ449" s="19" t="str">
        <f t="shared" si="39"/>
        <v/>
      </c>
      <c r="BK449" s="41"/>
      <c r="BL449" s="41"/>
    </row>
    <row r="450" spans="1:64" ht="15">
      <c r="A450" s="4"/>
      <c r="B450" s="4"/>
      <c r="G450" s="5" t="str">
        <f ca="1">IFERROR(__xludf.DUMMYFUNCTION("IFERROR(VLOOKUP(F467,IMPORTRANGE(""https://docs.google.com/spreadsheets/d/1Kvs4KS76FHFqLFIZfrDMff4kP08nblUkihrxltoGBjg/edit#gid=934712705"",""ESENCIAL!A6:BG""),3,FALSE))"),"")</f>
        <v/>
      </c>
      <c r="H450" s="5" t="str">
        <f ca="1">IFERROR(__xludf.DUMMYFUNCTION("IFERROR(VLOOKUP(F467,IMPORTRANGE(""https://docs.google.com/spreadsheets/d/1Kvs4KS76FHFqLFIZfrDMff4kP08nblUkihrxltoGBjg/edit#gid=934712705"",""ESENCIAL!A6:BG""),8,FALSE))"),"")</f>
        <v/>
      </c>
      <c r="L450" s="287"/>
      <c r="S450"/>
      <c r="AU450" s="41" t="str">
        <f t="shared" si="36"/>
        <v/>
      </c>
      <c r="AV450" s="5" t="str">
        <f ca="1">IFERROR(__xludf.DUMMYFUNCTION("IFERROR(VLOOKUP(E467&amp;F467,IMPORTRANGE(""https://docs.google.com/spreadsheets/d/1Uw7-A9f9R21vMXxHZFNpYNeKFtG8_yji4HS352LGlSQ/edit?pli=1#gid=0"",""1_ACUM!A4:S""),11,FALSE))"),"")</f>
        <v/>
      </c>
      <c r="AW450" s="42" t="str">
        <f ca="1">IFERROR(__xludf.DUMMYFUNCTION("IFERROR(VLOOKUP(F467,IMPORTRANGE(""https://docs.google.com/spreadsheets/d/1Kvs4KS76FHFqLFIZfrDMff4kP08nblUkihrxltoGBjg/edit#gid=934712705"",""ESENCIAL!A6:BG""),15,FALSE))"),"")</f>
        <v/>
      </c>
      <c r="AX450" s="21" t="str">
        <f ca="1">IFERROR(__xludf.DUMMYFUNCTION("IFERROR(VLOOKUP(E467&amp;F467,IMPORTRANGE(""https://docs.google.com/spreadsheets/d/1Uw7-A9f9R21vMXxHZFNpYNeKFtG8_yji4HS352LGlSQ/edit?pli=1#gid=0"",""1_ACUM!A4:S""),12,FALSE))"),"")</f>
        <v/>
      </c>
      <c r="AY450" s="43" t="str">
        <f ca="1">IFERROR(__xludf.DUMMYFUNCTION("IFERROR(VLOOKUP(E467&amp;F467,IMPORTRANGE(""https://docs.google.com/spreadsheets/d/1Uw7-A9f9R21vMXxHZFNpYNeKFtG8_yji4HS352LGlSQ/edit?pli=1#gid=0"",""1_ACUM!A4:S""),13,FALSE))"),"")</f>
        <v/>
      </c>
      <c r="AZ450" s="43" t="str">
        <f ca="1">IFERROR(__xludf.DUMMYFUNCTION("IFERROR(VLOOKUP(E467&amp;F467,IMPORTRANGE(""https://docs.google.com/spreadsheets/d/1Uw7-A9f9R21vMXxHZFNpYNeKFtG8_yji4HS352LGlSQ/edit?pli=1#gid=0"",""1_ACUM!A4:S""),14,FALSE))"),"")</f>
        <v/>
      </c>
      <c r="BA450" s="43" t="str">
        <f ca="1">IFERROR(__xludf.DUMMYFUNCTION("IFERROR(VLOOKUP(E467&amp;F467,IMPORTRANGE(""https://docs.google.com/spreadsheets/d/1Uw7-A9f9R21vMXxHZFNpYNeKFtG8_yji4HS352LGlSQ/edit?pli=1#gid=0"",""1_ACUM!A4:S""),15,FALSE))"),"")</f>
        <v/>
      </c>
      <c r="BB450" s="43" t="str">
        <f ca="1">IFERROR(__xludf.DUMMYFUNCTION("IFERROR(VLOOKUP(E467&amp;F467,IMPORTRANGE(""https://docs.google.com/spreadsheets/d/1Uw7-A9f9R21vMXxHZFNpYNeKFtG8_yji4HS352LGlSQ/edit?pli=1#gid=0"",""1_ACUM!A4:S""),16,FALSE))"),"")</f>
        <v/>
      </c>
      <c r="BC450" s="43" t="str">
        <f ca="1">IFERROR(__xludf.DUMMYFUNCTION("IFERROR(VLOOKUP(E467&amp;F467,IMPORTRANGE(""https://docs.google.com/spreadsheets/d/1Uw7-A9f9R21vMXxHZFNpYNeKFtG8_yji4HS352LGlSQ/edit?pli=1#gid=0"",""1_ACUM!A4:S""),17,FALSE))"),"")</f>
        <v/>
      </c>
      <c r="BD450" s="44" t="str">
        <f ca="1">IFERROR(__xludf.DUMMYFUNCTION("IFERROR(VLOOKUP(E467&amp;F467,IMPORTRANGE(""https://docs.google.com/spreadsheets/d/1Uw7-A9f9R21vMXxHZFNpYNeKFtG8_yji4HS352LGlSQ/edit?pli=1#gid=0"",""1_ACUM!A4:S""),18,FALSE))"),"")</f>
        <v/>
      </c>
      <c r="BE450" s="44" t="str">
        <f ca="1">IFERROR(__xludf.DUMMYFUNCTION("IFERROR(VLOOKUP(E467&amp;F467,IMPORTRANGE(""https://docs.google.com/spreadsheets/d/1Uw7-A9f9R21vMXxHZFNpYNeKFtG8_yji4HS352LGlSQ/edit?pli=1#gid=0"",""1_ACUM!A4:S""),19,FALSE))"),"")</f>
        <v/>
      </c>
      <c r="BF450" s="44" t="str">
        <f ca="1">IFERROR(__xludf.DUMMYFUNCTION("IFERROR(VLOOKUP(F467,IMPORTRANGE(""https://docs.google.com/spreadsheets/d/1Kvs4KS76FHFqLFIZfrDMff4kP08nblUkihrxltoGBjg/edit#gid=934712705"",""ESENCIAL!A6:BG""),5,FALSE))"),"")</f>
        <v/>
      </c>
      <c r="BG450" s="44" t="str">
        <f t="shared" si="37"/>
        <v/>
      </c>
      <c r="BH450" s="41" t="str">
        <f t="shared" si="38"/>
        <v/>
      </c>
      <c r="BI450" s="41" t="str">
        <f ca="1">IFERROR(__xludf.DUMMYFUNCTION("IFERROR(VLOOKUP(F467,IMPORTRANGE(""https://docs.google.com/spreadsheets/d/1Kvs4KS76FHFqLFIZfrDMff4kP08nblUkihrxltoGBjg/edit#gid=934712705"",""ESENCIAL!A6:BG""),18,FALSE))"),"")</f>
        <v/>
      </c>
      <c r="BJ450" s="19" t="str">
        <f t="shared" si="39"/>
        <v/>
      </c>
      <c r="BK450" s="41"/>
      <c r="BL450" s="41"/>
    </row>
    <row r="451" spans="1:64" ht="15">
      <c r="A451" s="4"/>
      <c r="B451" s="4"/>
      <c r="G451" s="5" t="str">
        <f ca="1">IFERROR(__xludf.DUMMYFUNCTION("IFERROR(VLOOKUP(F468,IMPORTRANGE(""https://docs.google.com/spreadsheets/d/1Kvs4KS76FHFqLFIZfrDMff4kP08nblUkihrxltoGBjg/edit#gid=934712705"",""ESENCIAL!A6:BG""),3,FALSE))"),"")</f>
        <v/>
      </c>
      <c r="H451" s="5" t="str">
        <f ca="1">IFERROR(__xludf.DUMMYFUNCTION("IFERROR(VLOOKUP(F468,IMPORTRANGE(""https://docs.google.com/spreadsheets/d/1Kvs4KS76FHFqLFIZfrDMff4kP08nblUkihrxltoGBjg/edit#gid=934712705"",""ESENCIAL!A6:BG""),8,FALSE))"),"")</f>
        <v/>
      </c>
      <c r="L451" s="287"/>
      <c r="S451"/>
      <c r="AU451" s="41" t="str">
        <f t="shared" si="36"/>
        <v/>
      </c>
      <c r="AV451" s="5" t="str">
        <f ca="1">IFERROR(__xludf.DUMMYFUNCTION("IFERROR(VLOOKUP(E468&amp;F468,IMPORTRANGE(""https://docs.google.com/spreadsheets/d/1Uw7-A9f9R21vMXxHZFNpYNeKFtG8_yji4HS352LGlSQ/edit?pli=1#gid=0"",""1_ACUM!A4:S""),11,FALSE))"),"")</f>
        <v/>
      </c>
      <c r="AW451" s="42" t="str">
        <f ca="1">IFERROR(__xludf.DUMMYFUNCTION("IFERROR(VLOOKUP(F468,IMPORTRANGE(""https://docs.google.com/spreadsheets/d/1Kvs4KS76FHFqLFIZfrDMff4kP08nblUkihrxltoGBjg/edit#gid=934712705"",""ESENCIAL!A6:BG""),15,FALSE))"),"")</f>
        <v/>
      </c>
      <c r="AX451" s="21" t="str">
        <f ca="1">IFERROR(__xludf.DUMMYFUNCTION("IFERROR(VLOOKUP(E468&amp;F468,IMPORTRANGE(""https://docs.google.com/spreadsheets/d/1Uw7-A9f9R21vMXxHZFNpYNeKFtG8_yji4HS352LGlSQ/edit?pli=1#gid=0"",""1_ACUM!A4:S""),12,FALSE))"),"")</f>
        <v/>
      </c>
      <c r="AY451" s="43" t="str">
        <f ca="1">IFERROR(__xludf.DUMMYFUNCTION("IFERROR(VLOOKUP(E468&amp;F468,IMPORTRANGE(""https://docs.google.com/spreadsheets/d/1Uw7-A9f9R21vMXxHZFNpYNeKFtG8_yji4HS352LGlSQ/edit?pli=1#gid=0"",""1_ACUM!A4:S""),13,FALSE))"),"")</f>
        <v/>
      </c>
      <c r="AZ451" s="43" t="str">
        <f ca="1">IFERROR(__xludf.DUMMYFUNCTION("IFERROR(VLOOKUP(E468&amp;F468,IMPORTRANGE(""https://docs.google.com/spreadsheets/d/1Uw7-A9f9R21vMXxHZFNpYNeKFtG8_yji4HS352LGlSQ/edit?pli=1#gid=0"",""1_ACUM!A4:S""),14,FALSE))"),"")</f>
        <v/>
      </c>
      <c r="BA451" s="43" t="str">
        <f ca="1">IFERROR(__xludf.DUMMYFUNCTION("IFERROR(VLOOKUP(E468&amp;F468,IMPORTRANGE(""https://docs.google.com/spreadsheets/d/1Uw7-A9f9R21vMXxHZFNpYNeKFtG8_yji4HS352LGlSQ/edit?pli=1#gid=0"",""1_ACUM!A4:S""),15,FALSE))"),"")</f>
        <v/>
      </c>
      <c r="BB451" s="43" t="str">
        <f ca="1">IFERROR(__xludf.DUMMYFUNCTION("IFERROR(VLOOKUP(E468&amp;F468,IMPORTRANGE(""https://docs.google.com/spreadsheets/d/1Uw7-A9f9R21vMXxHZFNpYNeKFtG8_yji4HS352LGlSQ/edit?pli=1#gid=0"",""1_ACUM!A4:S""),16,FALSE))"),"")</f>
        <v/>
      </c>
      <c r="BC451" s="43" t="str">
        <f ca="1">IFERROR(__xludf.DUMMYFUNCTION("IFERROR(VLOOKUP(E468&amp;F468,IMPORTRANGE(""https://docs.google.com/spreadsheets/d/1Uw7-A9f9R21vMXxHZFNpYNeKFtG8_yji4HS352LGlSQ/edit?pli=1#gid=0"",""1_ACUM!A4:S""),17,FALSE))"),"")</f>
        <v/>
      </c>
      <c r="BD451" s="44" t="str">
        <f ca="1">IFERROR(__xludf.DUMMYFUNCTION("IFERROR(VLOOKUP(E468&amp;F468,IMPORTRANGE(""https://docs.google.com/spreadsheets/d/1Uw7-A9f9R21vMXxHZFNpYNeKFtG8_yji4HS352LGlSQ/edit?pli=1#gid=0"",""1_ACUM!A4:S""),18,FALSE))"),"")</f>
        <v/>
      </c>
      <c r="BE451" s="44" t="str">
        <f ca="1">IFERROR(__xludf.DUMMYFUNCTION("IFERROR(VLOOKUP(E468&amp;F468,IMPORTRANGE(""https://docs.google.com/spreadsheets/d/1Uw7-A9f9R21vMXxHZFNpYNeKFtG8_yji4HS352LGlSQ/edit?pli=1#gid=0"",""1_ACUM!A4:S""),19,FALSE))"),"")</f>
        <v/>
      </c>
      <c r="BF451" s="44" t="str">
        <f ca="1">IFERROR(__xludf.DUMMYFUNCTION("IFERROR(VLOOKUP(F468,IMPORTRANGE(""https://docs.google.com/spreadsheets/d/1Kvs4KS76FHFqLFIZfrDMff4kP08nblUkihrxltoGBjg/edit#gid=934712705"",""ESENCIAL!A6:BG""),5,FALSE))"),"")</f>
        <v/>
      </c>
      <c r="BG451" s="44" t="str">
        <f t="shared" si="37"/>
        <v/>
      </c>
      <c r="BH451" s="41" t="str">
        <f t="shared" si="38"/>
        <v/>
      </c>
      <c r="BI451" s="41" t="str">
        <f ca="1">IFERROR(__xludf.DUMMYFUNCTION("IFERROR(VLOOKUP(F468,IMPORTRANGE(""https://docs.google.com/spreadsheets/d/1Kvs4KS76FHFqLFIZfrDMff4kP08nblUkihrxltoGBjg/edit#gid=934712705"",""ESENCIAL!A6:BG""),18,FALSE))"),"")</f>
        <v/>
      </c>
      <c r="BJ451" s="19" t="str">
        <f t="shared" si="39"/>
        <v/>
      </c>
      <c r="BK451" s="41"/>
      <c r="BL451" s="41"/>
    </row>
    <row r="452" spans="1:64" ht="15">
      <c r="A452" s="4"/>
      <c r="B452" s="4"/>
      <c r="G452" s="5" t="str">
        <f ca="1">IFERROR(__xludf.DUMMYFUNCTION("IFERROR(VLOOKUP(F469,IMPORTRANGE(""https://docs.google.com/spreadsheets/d/1Kvs4KS76FHFqLFIZfrDMff4kP08nblUkihrxltoGBjg/edit#gid=934712705"",""ESENCIAL!A6:BG""),3,FALSE))"),"")</f>
        <v/>
      </c>
      <c r="H452" s="5" t="str">
        <f ca="1">IFERROR(__xludf.DUMMYFUNCTION("IFERROR(VLOOKUP(F469,IMPORTRANGE(""https://docs.google.com/spreadsheets/d/1Kvs4KS76FHFqLFIZfrDMff4kP08nblUkihrxltoGBjg/edit#gid=934712705"",""ESENCIAL!A6:BG""),8,FALSE))"),"")</f>
        <v/>
      </c>
      <c r="L452" s="287"/>
      <c r="S452"/>
      <c r="AU452" s="41" t="str">
        <f t="shared" si="36"/>
        <v/>
      </c>
      <c r="AV452" s="5" t="str">
        <f ca="1">IFERROR(__xludf.DUMMYFUNCTION("IFERROR(VLOOKUP(E469&amp;F469,IMPORTRANGE(""https://docs.google.com/spreadsheets/d/1Uw7-A9f9R21vMXxHZFNpYNeKFtG8_yji4HS352LGlSQ/edit?pli=1#gid=0"",""1_ACUM!A4:S""),11,FALSE))"),"")</f>
        <v/>
      </c>
      <c r="AW452" s="42" t="str">
        <f ca="1">IFERROR(__xludf.DUMMYFUNCTION("IFERROR(VLOOKUP(F469,IMPORTRANGE(""https://docs.google.com/spreadsheets/d/1Kvs4KS76FHFqLFIZfrDMff4kP08nblUkihrxltoGBjg/edit#gid=934712705"",""ESENCIAL!A6:BG""),15,FALSE))"),"")</f>
        <v/>
      </c>
      <c r="AX452" s="21" t="str">
        <f ca="1">IFERROR(__xludf.DUMMYFUNCTION("IFERROR(VLOOKUP(E469&amp;F469,IMPORTRANGE(""https://docs.google.com/spreadsheets/d/1Uw7-A9f9R21vMXxHZFNpYNeKFtG8_yji4HS352LGlSQ/edit?pli=1#gid=0"",""1_ACUM!A4:S""),12,FALSE))"),"")</f>
        <v/>
      </c>
      <c r="AY452" s="43" t="str">
        <f ca="1">IFERROR(__xludf.DUMMYFUNCTION("IFERROR(VLOOKUP(E469&amp;F469,IMPORTRANGE(""https://docs.google.com/spreadsheets/d/1Uw7-A9f9R21vMXxHZFNpYNeKFtG8_yji4HS352LGlSQ/edit?pli=1#gid=0"",""1_ACUM!A4:S""),13,FALSE))"),"")</f>
        <v/>
      </c>
      <c r="AZ452" s="43" t="str">
        <f ca="1">IFERROR(__xludf.DUMMYFUNCTION("IFERROR(VLOOKUP(E469&amp;F469,IMPORTRANGE(""https://docs.google.com/spreadsheets/d/1Uw7-A9f9R21vMXxHZFNpYNeKFtG8_yji4HS352LGlSQ/edit?pli=1#gid=0"",""1_ACUM!A4:S""),14,FALSE))"),"")</f>
        <v/>
      </c>
      <c r="BA452" s="43" t="str">
        <f ca="1">IFERROR(__xludf.DUMMYFUNCTION("IFERROR(VLOOKUP(E469&amp;F469,IMPORTRANGE(""https://docs.google.com/spreadsheets/d/1Uw7-A9f9R21vMXxHZFNpYNeKFtG8_yji4HS352LGlSQ/edit?pli=1#gid=0"",""1_ACUM!A4:S""),15,FALSE))"),"")</f>
        <v/>
      </c>
      <c r="BB452" s="43" t="str">
        <f ca="1">IFERROR(__xludf.DUMMYFUNCTION("IFERROR(VLOOKUP(E469&amp;F469,IMPORTRANGE(""https://docs.google.com/spreadsheets/d/1Uw7-A9f9R21vMXxHZFNpYNeKFtG8_yji4HS352LGlSQ/edit?pli=1#gid=0"",""1_ACUM!A4:S""),16,FALSE))"),"")</f>
        <v/>
      </c>
      <c r="BC452" s="43" t="str">
        <f ca="1">IFERROR(__xludf.DUMMYFUNCTION("IFERROR(VLOOKUP(E469&amp;F469,IMPORTRANGE(""https://docs.google.com/spreadsheets/d/1Uw7-A9f9R21vMXxHZFNpYNeKFtG8_yji4HS352LGlSQ/edit?pli=1#gid=0"",""1_ACUM!A4:S""),17,FALSE))"),"")</f>
        <v/>
      </c>
      <c r="BD452" s="44" t="str">
        <f ca="1">IFERROR(__xludf.DUMMYFUNCTION("IFERROR(VLOOKUP(E469&amp;F469,IMPORTRANGE(""https://docs.google.com/spreadsheets/d/1Uw7-A9f9R21vMXxHZFNpYNeKFtG8_yji4HS352LGlSQ/edit?pli=1#gid=0"",""1_ACUM!A4:S""),18,FALSE))"),"")</f>
        <v/>
      </c>
      <c r="BE452" s="44" t="str">
        <f ca="1">IFERROR(__xludf.DUMMYFUNCTION("IFERROR(VLOOKUP(E469&amp;F469,IMPORTRANGE(""https://docs.google.com/spreadsheets/d/1Uw7-A9f9R21vMXxHZFNpYNeKFtG8_yji4HS352LGlSQ/edit?pli=1#gid=0"",""1_ACUM!A4:S""),19,FALSE))"),"")</f>
        <v/>
      </c>
      <c r="BF452" s="44" t="str">
        <f ca="1">IFERROR(__xludf.DUMMYFUNCTION("IFERROR(VLOOKUP(F469,IMPORTRANGE(""https://docs.google.com/spreadsheets/d/1Kvs4KS76FHFqLFIZfrDMff4kP08nblUkihrxltoGBjg/edit#gid=934712705"",""ESENCIAL!A6:BG""),5,FALSE))"),"")</f>
        <v/>
      </c>
      <c r="BG452" s="44" t="str">
        <f t="shared" si="37"/>
        <v/>
      </c>
      <c r="BH452" s="41" t="str">
        <f t="shared" si="38"/>
        <v/>
      </c>
      <c r="BI452" s="41" t="str">
        <f ca="1">IFERROR(__xludf.DUMMYFUNCTION("IFERROR(VLOOKUP(F469,IMPORTRANGE(""https://docs.google.com/spreadsheets/d/1Kvs4KS76FHFqLFIZfrDMff4kP08nblUkihrxltoGBjg/edit#gid=934712705"",""ESENCIAL!A6:BG""),18,FALSE))"),"")</f>
        <v/>
      </c>
      <c r="BJ452" s="19" t="str">
        <f t="shared" si="39"/>
        <v/>
      </c>
      <c r="BK452" s="41"/>
      <c r="BL452" s="41"/>
    </row>
    <row r="453" spans="1:64" ht="15">
      <c r="A453" s="4"/>
      <c r="B453" s="4"/>
      <c r="G453" s="5" t="str">
        <f ca="1">IFERROR(__xludf.DUMMYFUNCTION("IFERROR(VLOOKUP(F470,IMPORTRANGE(""https://docs.google.com/spreadsheets/d/1Kvs4KS76FHFqLFIZfrDMff4kP08nblUkihrxltoGBjg/edit#gid=934712705"",""ESENCIAL!A6:BG""),3,FALSE))"),"")</f>
        <v/>
      </c>
      <c r="H453" s="5" t="str">
        <f ca="1">IFERROR(__xludf.DUMMYFUNCTION("IFERROR(VLOOKUP(F470,IMPORTRANGE(""https://docs.google.com/spreadsheets/d/1Kvs4KS76FHFqLFIZfrDMff4kP08nblUkihrxltoGBjg/edit#gid=934712705"",""ESENCIAL!A6:BG""),8,FALSE))"),"")</f>
        <v/>
      </c>
      <c r="L453" s="287"/>
      <c r="S453"/>
      <c r="AU453" s="41" t="str">
        <f t="shared" si="36"/>
        <v/>
      </c>
      <c r="AV453" s="5" t="str">
        <f ca="1">IFERROR(__xludf.DUMMYFUNCTION("IFERROR(VLOOKUP(E470&amp;F470,IMPORTRANGE(""https://docs.google.com/spreadsheets/d/1Uw7-A9f9R21vMXxHZFNpYNeKFtG8_yji4HS352LGlSQ/edit?pli=1#gid=0"",""1_ACUM!A4:S""),11,FALSE))"),"")</f>
        <v/>
      </c>
      <c r="AW453" s="42" t="str">
        <f ca="1">IFERROR(__xludf.DUMMYFUNCTION("IFERROR(VLOOKUP(F470,IMPORTRANGE(""https://docs.google.com/spreadsheets/d/1Kvs4KS76FHFqLFIZfrDMff4kP08nblUkihrxltoGBjg/edit#gid=934712705"",""ESENCIAL!A6:BG""),15,FALSE))"),"")</f>
        <v/>
      </c>
      <c r="AX453" s="21" t="str">
        <f ca="1">IFERROR(__xludf.DUMMYFUNCTION("IFERROR(VLOOKUP(E470&amp;F470,IMPORTRANGE(""https://docs.google.com/spreadsheets/d/1Uw7-A9f9R21vMXxHZFNpYNeKFtG8_yji4HS352LGlSQ/edit?pli=1#gid=0"",""1_ACUM!A4:S""),12,FALSE))"),"")</f>
        <v/>
      </c>
      <c r="AY453" s="43" t="str">
        <f ca="1">IFERROR(__xludf.DUMMYFUNCTION("IFERROR(VLOOKUP(E470&amp;F470,IMPORTRANGE(""https://docs.google.com/spreadsheets/d/1Uw7-A9f9R21vMXxHZFNpYNeKFtG8_yji4HS352LGlSQ/edit?pli=1#gid=0"",""1_ACUM!A4:S""),13,FALSE))"),"")</f>
        <v/>
      </c>
      <c r="AZ453" s="43" t="str">
        <f ca="1">IFERROR(__xludf.DUMMYFUNCTION("IFERROR(VLOOKUP(E470&amp;F470,IMPORTRANGE(""https://docs.google.com/spreadsheets/d/1Uw7-A9f9R21vMXxHZFNpYNeKFtG8_yji4HS352LGlSQ/edit?pli=1#gid=0"",""1_ACUM!A4:S""),14,FALSE))"),"")</f>
        <v/>
      </c>
      <c r="BA453" s="43" t="str">
        <f ca="1">IFERROR(__xludf.DUMMYFUNCTION("IFERROR(VLOOKUP(E470&amp;F470,IMPORTRANGE(""https://docs.google.com/spreadsheets/d/1Uw7-A9f9R21vMXxHZFNpYNeKFtG8_yji4HS352LGlSQ/edit?pli=1#gid=0"",""1_ACUM!A4:S""),15,FALSE))"),"")</f>
        <v/>
      </c>
      <c r="BB453" s="43" t="str">
        <f ca="1">IFERROR(__xludf.DUMMYFUNCTION("IFERROR(VLOOKUP(E470&amp;F470,IMPORTRANGE(""https://docs.google.com/spreadsheets/d/1Uw7-A9f9R21vMXxHZFNpYNeKFtG8_yji4HS352LGlSQ/edit?pli=1#gid=0"",""1_ACUM!A4:S""),16,FALSE))"),"")</f>
        <v/>
      </c>
      <c r="BC453" s="43" t="str">
        <f ca="1">IFERROR(__xludf.DUMMYFUNCTION("IFERROR(VLOOKUP(E470&amp;F470,IMPORTRANGE(""https://docs.google.com/spreadsheets/d/1Uw7-A9f9R21vMXxHZFNpYNeKFtG8_yji4HS352LGlSQ/edit?pli=1#gid=0"",""1_ACUM!A4:S""),17,FALSE))"),"")</f>
        <v/>
      </c>
      <c r="BD453" s="44" t="str">
        <f ca="1">IFERROR(__xludf.DUMMYFUNCTION("IFERROR(VLOOKUP(E470&amp;F470,IMPORTRANGE(""https://docs.google.com/spreadsheets/d/1Uw7-A9f9R21vMXxHZFNpYNeKFtG8_yji4HS352LGlSQ/edit?pli=1#gid=0"",""1_ACUM!A4:S""),18,FALSE))"),"")</f>
        <v/>
      </c>
      <c r="BE453" s="44" t="str">
        <f ca="1">IFERROR(__xludf.DUMMYFUNCTION("IFERROR(VLOOKUP(E470&amp;F470,IMPORTRANGE(""https://docs.google.com/spreadsheets/d/1Uw7-A9f9R21vMXxHZFNpYNeKFtG8_yji4HS352LGlSQ/edit?pli=1#gid=0"",""1_ACUM!A4:S""),19,FALSE))"),"")</f>
        <v/>
      </c>
      <c r="BF453" s="44" t="str">
        <f ca="1">IFERROR(__xludf.DUMMYFUNCTION("IFERROR(VLOOKUP(F470,IMPORTRANGE(""https://docs.google.com/spreadsheets/d/1Kvs4KS76FHFqLFIZfrDMff4kP08nblUkihrxltoGBjg/edit#gid=934712705"",""ESENCIAL!A6:BG""),5,FALSE))"),"")</f>
        <v/>
      </c>
      <c r="BG453" s="44" t="str">
        <f t="shared" si="37"/>
        <v/>
      </c>
      <c r="BH453" s="41" t="str">
        <f t="shared" si="38"/>
        <v/>
      </c>
      <c r="BI453" s="41" t="str">
        <f ca="1">IFERROR(__xludf.DUMMYFUNCTION("IFERROR(VLOOKUP(F470,IMPORTRANGE(""https://docs.google.com/spreadsheets/d/1Kvs4KS76FHFqLFIZfrDMff4kP08nblUkihrxltoGBjg/edit#gid=934712705"",""ESENCIAL!A6:BG""),18,FALSE))"),"")</f>
        <v/>
      </c>
      <c r="BJ453" s="19" t="str">
        <f t="shared" si="39"/>
        <v/>
      </c>
      <c r="BK453" s="41"/>
      <c r="BL453" s="41"/>
    </row>
    <row r="454" spans="1:64" ht="15">
      <c r="A454" s="4"/>
      <c r="B454" s="4"/>
      <c r="G454" s="5" t="str">
        <f ca="1">IFERROR(__xludf.DUMMYFUNCTION("IFERROR(VLOOKUP(F471,IMPORTRANGE(""https://docs.google.com/spreadsheets/d/1Kvs4KS76FHFqLFIZfrDMff4kP08nblUkihrxltoGBjg/edit#gid=934712705"",""ESENCIAL!A6:BG""),3,FALSE))"),"")</f>
        <v/>
      </c>
      <c r="H454" s="5" t="str">
        <f ca="1">IFERROR(__xludf.DUMMYFUNCTION("IFERROR(VLOOKUP(F471,IMPORTRANGE(""https://docs.google.com/spreadsheets/d/1Kvs4KS76FHFqLFIZfrDMff4kP08nblUkihrxltoGBjg/edit#gid=934712705"",""ESENCIAL!A6:BG""),8,FALSE))"),"")</f>
        <v/>
      </c>
      <c r="L454" s="287"/>
      <c r="S454"/>
      <c r="AU454" s="41" t="str">
        <f t="shared" si="36"/>
        <v/>
      </c>
      <c r="AV454" s="5" t="str">
        <f ca="1">IFERROR(__xludf.DUMMYFUNCTION("IFERROR(VLOOKUP(E471&amp;F471,IMPORTRANGE(""https://docs.google.com/spreadsheets/d/1Uw7-A9f9R21vMXxHZFNpYNeKFtG8_yji4HS352LGlSQ/edit?pli=1#gid=0"",""1_ACUM!A4:S""),11,FALSE))"),"")</f>
        <v/>
      </c>
      <c r="AW454" s="42" t="str">
        <f ca="1">IFERROR(__xludf.DUMMYFUNCTION("IFERROR(VLOOKUP(F471,IMPORTRANGE(""https://docs.google.com/spreadsheets/d/1Kvs4KS76FHFqLFIZfrDMff4kP08nblUkihrxltoGBjg/edit#gid=934712705"",""ESENCIAL!A6:BG""),15,FALSE))"),"")</f>
        <v/>
      </c>
      <c r="AX454" s="21" t="str">
        <f ca="1">IFERROR(__xludf.DUMMYFUNCTION("IFERROR(VLOOKUP(E471&amp;F471,IMPORTRANGE(""https://docs.google.com/spreadsheets/d/1Uw7-A9f9R21vMXxHZFNpYNeKFtG8_yji4HS352LGlSQ/edit?pli=1#gid=0"",""1_ACUM!A4:S""),12,FALSE))"),"")</f>
        <v/>
      </c>
      <c r="AY454" s="43" t="str">
        <f ca="1">IFERROR(__xludf.DUMMYFUNCTION("IFERROR(VLOOKUP(E471&amp;F471,IMPORTRANGE(""https://docs.google.com/spreadsheets/d/1Uw7-A9f9R21vMXxHZFNpYNeKFtG8_yji4HS352LGlSQ/edit?pli=1#gid=0"",""1_ACUM!A4:S""),13,FALSE))"),"")</f>
        <v/>
      </c>
      <c r="AZ454" s="43" t="str">
        <f ca="1">IFERROR(__xludf.DUMMYFUNCTION("IFERROR(VLOOKUP(E471&amp;F471,IMPORTRANGE(""https://docs.google.com/spreadsheets/d/1Uw7-A9f9R21vMXxHZFNpYNeKFtG8_yji4HS352LGlSQ/edit?pli=1#gid=0"",""1_ACUM!A4:S""),14,FALSE))"),"")</f>
        <v/>
      </c>
      <c r="BA454" s="43" t="str">
        <f ca="1">IFERROR(__xludf.DUMMYFUNCTION("IFERROR(VLOOKUP(E471&amp;F471,IMPORTRANGE(""https://docs.google.com/spreadsheets/d/1Uw7-A9f9R21vMXxHZFNpYNeKFtG8_yji4HS352LGlSQ/edit?pli=1#gid=0"",""1_ACUM!A4:S""),15,FALSE))"),"")</f>
        <v/>
      </c>
      <c r="BB454" s="43" t="str">
        <f ca="1">IFERROR(__xludf.DUMMYFUNCTION("IFERROR(VLOOKUP(E471&amp;F471,IMPORTRANGE(""https://docs.google.com/spreadsheets/d/1Uw7-A9f9R21vMXxHZFNpYNeKFtG8_yji4HS352LGlSQ/edit?pli=1#gid=0"",""1_ACUM!A4:S""),16,FALSE))"),"")</f>
        <v/>
      </c>
      <c r="BC454" s="43" t="str">
        <f ca="1">IFERROR(__xludf.DUMMYFUNCTION("IFERROR(VLOOKUP(E471&amp;F471,IMPORTRANGE(""https://docs.google.com/spreadsheets/d/1Uw7-A9f9R21vMXxHZFNpYNeKFtG8_yji4HS352LGlSQ/edit?pli=1#gid=0"",""1_ACUM!A4:S""),17,FALSE))"),"")</f>
        <v/>
      </c>
      <c r="BD454" s="44" t="str">
        <f ca="1">IFERROR(__xludf.DUMMYFUNCTION("IFERROR(VLOOKUP(E471&amp;F471,IMPORTRANGE(""https://docs.google.com/spreadsheets/d/1Uw7-A9f9R21vMXxHZFNpYNeKFtG8_yji4HS352LGlSQ/edit?pli=1#gid=0"",""1_ACUM!A4:S""),18,FALSE))"),"")</f>
        <v/>
      </c>
      <c r="BE454" s="44" t="str">
        <f ca="1">IFERROR(__xludf.DUMMYFUNCTION("IFERROR(VLOOKUP(E471&amp;F471,IMPORTRANGE(""https://docs.google.com/spreadsheets/d/1Uw7-A9f9R21vMXxHZFNpYNeKFtG8_yji4HS352LGlSQ/edit?pli=1#gid=0"",""1_ACUM!A4:S""),19,FALSE))"),"")</f>
        <v/>
      </c>
      <c r="BF454" s="44" t="str">
        <f ca="1">IFERROR(__xludf.DUMMYFUNCTION("IFERROR(VLOOKUP(F471,IMPORTRANGE(""https://docs.google.com/spreadsheets/d/1Kvs4KS76FHFqLFIZfrDMff4kP08nblUkihrxltoGBjg/edit#gid=934712705"",""ESENCIAL!A6:BG""),5,FALSE))"),"")</f>
        <v/>
      </c>
      <c r="BG454" s="44" t="str">
        <f t="shared" si="37"/>
        <v/>
      </c>
      <c r="BH454" s="41" t="str">
        <f t="shared" si="38"/>
        <v/>
      </c>
      <c r="BI454" s="41" t="str">
        <f ca="1">IFERROR(__xludf.DUMMYFUNCTION("IFERROR(VLOOKUP(F471,IMPORTRANGE(""https://docs.google.com/spreadsheets/d/1Kvs4KS76FHFqLFIZfrDMff4kP08nblUkihrxltoGBjg/edit#gid=934712705"",""ESENCIAL!A6:BG""),18,FALSE))"),"")</f>
        <v/>
      </c>
      <c r="BJ454" s="19" t="str">
        <f t="shared" si="39"/>
        <v/>
      </c>
      <c r="BK454" s="41"/>
      <c r="BL454" s="41"/>
    </row>
    <row r="455" spans="1:64" ht="15">
      <c r="A455" s="4"/>
      <c r="B455" s="4"/>
      <c r="G455" s="5" t="str">
        <f ca="1">IFERROR(__xludf.DUMMYFUNCTION("IFERROR(VLOOKUP(F472,IMPORTRANGE(""https://docs.google.com/spreadsheets/d/1Kvs4KS76FHFqLFIZfrDMff4kP08nblUkihrxltoGBjg/edit#gid=934712705"",""ESENCIAL!A6:BG""),3,FALSE))"),"")</f>
        <v/>
      </c>
      <c r="H455" s="5" t="str">
        <f ca="1">IFERROR(__xludf.DUMMYFUNCTION("IFERROR(VLOOKUP(F472,IMPORTRANGE(""https://docs.google.com/spreadsheets/d/1Kvs4KS76FHFqLFIZfrDMff4kP08nblUkihrxltoGBjg/edit#gid=934712705"",""ESENCIAL!A6:BG""),8,FALSE))"),"")</f>
        <v/>
      </c>
      <c r="L455" s="287"/>
      <c r="S455"/>
      <c r="AU455" s="41" t="str">
        <f t="shared" si="36"/>
        <v/>
      </c>
      <c r="AV455" s="5" t="str">
        <f ca="1">IFERROR(__xludf.DUMMYFUNCTION("IFERROR(VLOOKUP(E472&amp;F472,IMPORTRANGE(""https://docs.google.com/spreadsheets/d/1Uw7-A9f9R21vMXxHZFNpYNeKFtG8_yji4HS352LGlSQ/edit?pli=1#gid=0"",""1_ACUM!A4:S""),11,FALSE))"),"")</f>
        <v/>
      </c>
      <c r="AW455" s="42" t="str">
        <f ca="1">IFERROR(__xludf.DUMMYFUNCTION("IFERROR(VLOOKUP(F472,IMPORTRANGE(""https://docs.google.com/spreadsheets/d/1Kvs4KS76FHFqLFIZfrDMff4kP08nblUkihrxltoGBjg/edit#gid=934712705"",""ESENCIAL!A6:BG""),15,FALSE))"),"")</f>
        <v/>
      </c>
      <c r="AX455" s="21" t="str">
        <f ca="1">IFERROR(__xludf.DUMMYFUNCTION("IFERROR(VLOOKUP(E472&amp;F472,IMPORTRANGE(""https://docs.google.com/spreadsheets/d/1Uw7-A9f9R21vMXxHZFNpYNeKFtG8_yji4HS352LGlSQ/edit?pli=1#gid=0"",""1_ACUM!A4:S""),12,FALSE))"),"")</f>
        <v/>
      </c>
      <c r="AY455" s="43" t="str">
        <f ca="1">IFERROR(__xludf.DUMMYFUNCTION("IFERROR(VLOOKUP(E472&amp;F472,IMPORTRANGE(""https://docs.google.com/spreadsheets/d/1Uw7-A9f9R21vMXxHZFNpYNeKFtG8_yji4HS352LGlSQ/edit?pli=1#gid=0"",""1_ACUM!A4:S""),13,FALSE))"),"")</f>
        <v/>
      </c>
      <c r="AZ455" s="43" t="str">
        <f ca="1">IFERROR(__xludf.DUMMYFUNCTION("IFERROR(VLOOKUP(E472&amp;F472,IMPORTRANGE(""https://docs.google.com/spreadsheets/d/1Uw7-A9f9R21vMXxHZFNpYNeKFtG8_yji4HS352LGlSQ/edit?pli=1#gid=0"",""1_ACUM!A4:S""),14,FALSE))"),"")</f>
        <v/>
      </c>
      <c r="BA455" s="43" t="str">
        <f ca="1">IFERROR(__xludf.DUMMYFUNCTION("IFERROR(VLOOKUP(E472&amp;F472,IMPORTRANGE(""https://docs.google.com/spreadsheets/d/1Uw7-A9f9R21vMXxHZFNpYNeKFtG8_yji4HS352LGlSQ/edit?pli=1#gid=0"",""1_ACUM!A4:S""),15,FALSE))"),"")</f>
        <v/>
      </c>
      <c r="BB455" s="43" t="str">
        <f ca="1">IFERROR(__xludf.DUMMYFUNCTION("IFERROR(VLOOKUP(E472&amp;F472,IMPORTRANGE(""https://docs.google.com/spreadsheets/d/1Uw7-A9f9R21vMXxHZFNpYNeKFtG8_yji4HS352LGlSQ/edit?pli=1#gid=0"",""1_ACUM!A4:S""),16,FALSE))"),"")</f>
        <v/>
      </c>
      <c r="BC455" s="43" t="str">
        <f ca="1">IFERROR(__xludf.DUMMYFUNCTION("IFERROR(VLOOKUP(E472&amp;F472,IMPORTRANGE(""https://docs.google.com/spreadsheets/d/1Uw7-A9f9R21vMXxHZFNpYNeKFtG8_yji4HS352LGlSQ/edit?pli=1#gid=0"",""1_ACUM!A4:S""),17,FALSE))"),"")</f>
        <v/>
      </c>
      <c r="BD455" s="44" t="str">
        <f ca="1">IFERROR(__xludf.DUMMYFUNCTION("IFERROR(VLOOKUP(E472&amp;F472,IMPORTRANGE(""https://docs.google.com/spreadsheets/d/1Uw7-A9f9R21vMXxHZFNpYNeKFtG8_yji4HS352LGlSQ/edit?pli=1#gid=0"",""1_ACUM!A4:S""),18,FALSE))"),"")</f>
        <v/>
      </c>
      <c r="BE455" s="44" t="str">
        <f ca="1">IFERROR(__xludf.DUMMYFUNCTION("IFERROR(VLOOKUP(E472&amp;F472,IMPORTRANGE(""https://docs.google.com/spreadsheets/d/1Uw7-A9f9R21vMXxHZFNpYNeKFtG8_yji4HS352LGlSQ/edit?pli=1#gid=0"",""1_ACUM!A4:S""),19,FALSE))"),"")</f>
        <v/>
      </c>
      <c r="BF455" s="44" t="str">
        <f ca="1">IFERROR(__xludf.DUMMYFUNCTION("IFERROR(VLOOKUP(F472,IMPORTRANGE(""https://docs.google.com/spreadsheets/d/1Kvs4KS76FHFqLFIZfrDMff4kP08nblUkihrxltoGBjg/edit#gid=934712705"",""ESENCIAL!A6:BG""),5,FALSE))"),"")</f>
        <v/>
      </c>
      <c r="BG455" s="44" t="str">
        <f t="shared" si="37"/>
        <v/>
      </c>
      <c r="BH455" s="41" t="str">
        <f t="shared" si="38"/>
        <v/>
      </c>
      <c r="BI455" s="41" t="str">
        <f ca="1">IFERROR(__xludf.DUMMYFUNCTION("IFERROR(VLOOKUP(F472,IMPORTRANGE(""https://docs.google.com/spreadsheets/d/1Kvs4KS76FHFqLFIZfrDMff4kP08nblUkihrxltoGBjg/edit#gid=934712705"",""ESENCIAL!A6:BG""),18,FALSE))"),"")</f>
        <v/>
      </c>
      <c r="BJ455" s="19" t="str">
        <f t="shared" si="39"/>
        <v/>
      </c>
      <c r="BK455" s="41"/>
      <c r="BL455" s="41"/>
    </row>
    <row r="456" spans="1:64" ht="15">
      <c r="A456" s="4"/>
      <c r="B456" s="4"/>
      <c r="G456" s="5" t="str">
        <f ca="1">IFERROR(__xludf.DUMMYFUNCTION("IFERROR(VLOOKUP(F473,IMPORTRANGE(""https://docs.google.com/spreadsheets/d/1Kvs4KS76FHFqLFIZfrDMff4kP08nblUkihrxltoGBjg/edit#gid=934712705"",""ESENCIAL!A6:BG""),3,FALSE))"),"")</f>
        <v/>
      </c>
      <c r="H456" s="5" t="str">
        <f ca="1">IFERROR(__xludf.DUMMYFUNCTION("IFERROR(VLOOKUP(F473,IMPORTRANGE(""https://docs.google.com/spreadsheets/d/1Kvs4KS76FHFqLFIZfrDMff4kP08nblUkihrxltoGBjg/edit#gid=934712705"",""ESENCIAL!A6:BG""),8,FALSE))"),"")</f>
        <v/>
      </c>
      <c r="L456" s="287"/>
      <c r="S456"/>
      <c r="AU456" s="41" t="str">
        <f t="shared" si="36"/>
        <v/>
      </c>
      <c r="AV456" s="5" t="str">
        <f ca="1">IFERROR(__xludf.DUMMYFUNCTION("IFERROR(VLOOKUP(E473&amp;F473,IMPORTRANGE(""https://docs.google.com/spreadsheets/d/1Uw7-A9f9R21vMXxHZFNpYNeKFtG8_yji4HS352LGlSQ/edit?pli=1#gid=0"",""1_ACUM!A4:S""),11,FALSE))"),"")</f>
        <v/>
      </c>
      <c r="AW456" s="42" t="str">
        <f ca="1">IFERROR(__xludf.DUMMYFUNCTION("IFERROR(VLOOKUP(F473,IMPORTRANGE(""https://docs.google.com/spreadsheets/d/1Kvs4KS76FHFqLFIZfrDMff4kP08nblUkihrxltoGBjg/edit#gid=934712705"",""ESENCIAL!A6:BG""),15,FALSE))"),"")</f>
        <v/>
      </c>
      <c r="AX456" s="21" t="str">
        <f ca="1">IFERROR(__xludf.DUMMYFUNCTION("IFERROR(VLOOKUP(E473&amp;F473,IMPORTRANGE(""https://docs.google.com/spreadsheets/d/1Uw7-A9f9R21vMXxHZFNpYNeKFtG8_yji4HS352LGlSQ/edit?pli=1#gid=0"",""1_ACUM!A4:S""),12,FALSE))"),"")</f>
        <v/>
      </c>
      <c r="AY456" s="43" t="str">
        <f ca="1">IFERROR(__xludf.DUMMYFUNCTION("IFERROR(VLOOKUP(E473&amp;F473,IMPORTRANGE(""https://docs.google.com/spreadsheets/d/1Uw7-A9f9R21vMXxHZFNpYNeKFtG8_yji4HS352LGlSQ/edit?pli=1#gid=0"",""1_ACUM!A4:S""),13,FALSE))"),"")</f>
        <v/>
      </c>
      <c r="AZ456" s="43" t="str">
        <f ca="1">IFERROR(__xludf.DUMMYFUNCTION("IFERROR(VLOOKUP(E473&amp;F473,IMPORTRANGE(""https://docs.google.com/spreadsheets/d/1Uw7-A9f9R21vMXxHZFNpYNeKFtG8_yji4HS352LGlSQ/edit?pli=1#gid=0"",""1_ACUM!A4:S""),14,FALSE))"),"")</f>
        <v/>
      </c>
      <c r="BA456" s="43" t="str">
        <f ca="1">IFERROR(__xludf.DUMMYFUNCTION("IFERROR(VLOOKUP(E473&amp;F473,IMPORTRANGE(""https://docs.google.com/spreadsheets/d/1Uw7-A9f9R21vMXxHZFNpYNeKFtG8_yji4HS352LGlSQ/edit?pli=1#gid=0"",""1_ACUM!A4:S""),15,FALSE))"),"")</f>
        <v/>
      </c>
      <c r="BB456" s="43" t="str">
        <f ca="1">IFERROR(__xludf.DUMMYFUNCTION("IFERROR(VLOOKUP(E473&amp;F473,IMPORTRANGE(""https://docs.google.com/spreadsheets/d/1Uw7-A9f9R21vMXxHZFNpYNeKFtG8_yji4HS352LGlSQ/edit?pli=1#gid=0"",""1_ACUM!A4:S""),16,FALSE))"),"")</f>
        <v/>
      </c>
      <c r="BC456" s="43" t="str">
        <f ca="1">IFERROR(__xludf.DUMMYFUNCTION("IFERROR(VLOOKUP(E473&amp;F473,IMPORTRANGE(""https://docs.google.com/spreadsheets/d/1Uw7-A9f9R21vMXxHZFNpYNeKFtG8_yji4HS352LGlSQ/edit?pli=1#gid=0"",""1_ACUM!A4:S""),17,FALSE))"),"")</f>
        <v/>
      </c>
      <c r="BD456" s="44" t="str">
        <f ca="1">IFERROR(__xludf.DUMMYFUNCTION("IFERROR(VLOOKUP(E473&amp;F473,IMPORTRANGE(""https://docs.google.com/spreadsheets/d/1Uw7-A9f9R21vMXxHZFNpYNeKFtG8_yji4HS352LGlSQ/edit?pli=1#gid=0"",""1_ACUM!A4:S""),18,FALSE))"),"")</f>
        <v/>
      </c>
      <c r="BE456" s="44" t="str">
        <f ca="1">IFERROR(__xludf.DUMMYFUNCTION("IFERROR(VLOOKUP(E473&amp;F473,IMPORTRANGE(""https://docs.google.com/spreadsheets/d/1Uw7-A9f9R21vMXxHZFNpYNeKFtG8_yji4HS352LGlSQ/edit?pli=1#gid=0"",""1_ACUM!A4:S""),19,FALSE))"),"")</f>
        <v/>
      </c>
      <c r="BF456" s="44" t="str">
        <f ca="1">IFERROR(__xludf.DUMMYFUNCTION("IFERROR(VLOOKUP(F473,IMPORTRANGE(""https://docs.google.com/spreadsheets/d/1Kvs4KS76FHFqLFIZfrDMff4kP08nblUkihrxltoGBjg/edit#gid=934712705"",""ESENCIAL!A6:BG""),5,FALSE))"),"")</f>
        <v/>
      </c>
      <c r="BG456" s="44" t="str">
        <f t="shared" si="37"/>
        <v/>
      </c>
      <c r="BH456" s="41" t="str">
        <f t="shared" si="38"/>
        <v/>
      </c>
      <c r="BI456" s="41" t="str">
        <f ca="1">IFERROR(__xludf.DUMMYFUNCTION("IFERROR(VLOOKUP(F473,IMPORTRANGE(""https://docs.google.com/spreadsheets/d/1Kvs4KS76FHFqLFIZfrDMff4kP08nblUkihrxltoGBjg/edit#gid=934712705"",""ESENCIAL!A6:BG""),18,FALSE))"),"")</f>
        <v/>
      </c>
      <c r="BJ456" s="19" t="str">
        <f t="shared" si="39"/>
        <v/>
      </c>
      <c r="BK456" s="41"/>
      <c r="BL456" s="41"/>
    </row>
    <row r="457" spans="1:64" ht="15">
      <c r="A457" s="4"/>
      <c r="B457" s="4"/>
      <c r="G457" s="5" t="str">
        <f ca="1">IFERROR(__xludf.DUMMYFUNCTION("IFERROR(VLOOKUP(F474,IMPORTRANGE(""https://docs.google.com/spreadsheets/d/1Kvs4KS76FHFqLFIZfrDMff4kP08nblUkihrxltoGBjg/edit#gid=934712705"",""ESENCIAL!A6:BG""),3,FALSE))"),"")</f>
        <v/>
      </c>
      <c r="H457" s="5" t="str">
        <f ca="1">IFERROR(__xludf.DUMMYFUNCTION("IFERROR(VLOOKUP(F474,IMPORTRANGE(""https://docs.google.com/spreadsheets/d/1Kvs4KS76FHFqLFIZfrDMff4kP08nblUkihrxltoGBjg/edit#gid=934712705"",""ESENCIAL!A6:BG""),8,FALSE))"),"")</f>
        <v/>
      </c>
      <c r="L457" s="287"/>
      <c r="S457"/>
      <c r="AU457" s="41" t="str">
        <f t="shared" si="36"/>
        <v/>
      </c>
      <c r="AV457" s="5" t="str">
        <f ca="1">IFERROR(__xludf.DUMMYFUNCTION("IFERROR(VLOOKUP(E474&amp;F474,IMPORTRANGE(""https://docs.google.com/spreadsheets/d/1Uw7-A9f9R21vMXxHZFNpYNeKFtG8_yji4HS352LGlSQ/edit?pli=1#gid=0"",""1_ACUM!A4:S""),11,FALSE))"),"")</f>
        <v/>
      </c>
      <c r="AW457" s="42" t="str">
        <f ca="1">IFERROR(__xludf.DUMMYFUNCTION("IFERROR(VLOOKUP(F474,IMPORTRANGE(""https://docs.google.com/spreadsheets/d/1Kvs4KS76FHFqLFIZfrDMff4kP08nblUkihrxltoGBjg/edit#gid=934712705"",""ESENCIAL!A6:BG""),15,FALSE))"),"")</f>
        <v/>
      </c>
      <c r="AX457" s="21" t="str">
        <f ca="1">IFERROR(__xludf.DUMMYFUNCTION("IFERROR(VLOOKUP(E474&amp;F474,IMPORTRANGE(""https://docs.google.com/spreadsheets/d/1Uw7-A9f9R21vMXxHZFNpYNeKFtG8_yji4HS352LGlSQ/edit?pli=1#gid=0"",""1_ACUM!A4:S""),12,FALSE))"),"")</f>
        <v/>
      </c>
      <c r="AY457" s="43" t="str">
        <f ca="1">IFERROR(__xludf.DUMMYFUNCTION("IFERROR(VLOOKUP(E474&amp;F474,IMPORTRANGE(""https://docs.google.com/spreadsheets/d/1Uw7-A9f9R21vMXxHZFNpYNeKFtG8_yji4HS352LGlSQ/edit?pli=1#gid=0"",""1_ACUM!A4:S""),13,FALSE))"),"")</f>
        <v/>
      </c>
      <c r="AZ457" s="43" t="str">
        <f ca="1">IFERROR(__xludf.DUMMYFUNCTION("IFERROR(VLOOKUP(E474&amp;F474,IMPORTRANGE(""https://docs.google.com/spreadsheets/d/1Uw7-A9f9R21vMXxHZFNpYNeKFtG8_yji4HS352LGlSQ/edit?pli=1#gid=0"",""1_ACUM!A4:S""),14,FALSE))"),"")</f>
        <v/>
      </c>
      <c r="BA457" s="43" t="str">
        <f ca="1">IFERROR(__xludf.DUMMYFUNCTION("IFERROR(VLOOKUP(E474&amp;F474,IMPORTRANGE(""https://docs.google.com/spreadsheets/d/1Uw7-A9f9R21vMXxHZFNpYNeKFtG8_yji4HS352LGlSQ/edit?pli=1#gid=0"",""1_ACUM!A4:S""),15,FALSE))"),"")</f>
        <v/>
      </c>
      <c r="BB457" s="43" t="str">
        <f ca="1">IFERROR(__xludf.DUMMYFUNCTION("IFERROR(VLOOKUP(E474&amp;F474,IMPORTRANGE(""https://docs.google.com/spreadsheets/d/1Uw7-A9f9R21vMXxHZFNpYNeKFtG8_yji4HS352LGlSQ/edit?pli=1#gid=0"",""1_ACUM!A4:S""),16,FALSE))"),"")</f>
        <v/>
      </c>
      <c r="BC457" s="43" t="str">
        <f ca="1">IFERROR(__xludf.DUMMYFUNCTION("IFERROR(VLOOKUP(E474&amp;F474,IMPORTRANGE(""https://docs.google.com/spreadsheets/d/1Uw7-A9f9R21vMXxHZFNpYNeKFtG8_yji4HS352LGlSQ/edit?pli=1#gid=0"",""1_ACUM!A4:S""),17,FALSE))"),"")</f>
        <v/>
      </c>
      <c r="BD457" s="44" t="str">
        <f ca="1">IFERROR(__xludf.DUMMYFUNCTION("IFERROR(VLOOKUP(E474&amp;F474,IMPORTRANGE(""https://docs.google.com/spreadsheets/d/1Uw7-A9f9R21vMXxHZFNpYNeKFtG8_yji4HS352LGlSQ/edit?pli=1#gid=0"",""1_ACUM!A4:S""),18,FALSE))"),"")</f>
        <v/>
      </c>
      <c r="BE457" s="44" t="str">
        <f ca="1">IFERROR(__xludf.DUMMYFUNCTION("IFERROR(VLOOKUP(E474&amp;F474,IMPORTRANGE(""https://docs.google.com/spreadsheets/d/1Uw7-A9f9R21vMXxHZFNpYNeKFtG8_yji4HS352LGlSQ/edit?pli=1#gid=0"",""1_ACUM!A4:S""),19,FALSE))"),"")</f>
        <v/>
      </c>
      <c r="BF457" s="44" t="str">
        <f ca="1">IFERROR(__xludf.DUMMYFUNCTION("IFERROR(VLOOKUP(F474,IMPORTRANGE(""https://docs.google.com/spreadsheets/d/1Kvs4KS76FHFqLFIZfrDMff4kP08nblUkihrxltoGBjg/edit#gid=934712705"",""ESENCIAL!A6:BG""),5,FALSE))"),"")</f>
        <v/>
      </c>
      <c r="BG457" s="44" t="str">
        <f t="shared" si="37"/>
        <v/>
      </c>
      <c r="BH457" s="41" t="str">
        <f t="shared" si="38"/>
        <v/>
      </c>
      <c r="BI457" s="41" t="str">
        <f ca="1">IFERROR(__xludf.DUMMYFUNCTION("IFERROR(VLOOKUP(F474,IMPORTRANGE(""https://docs.google.com/spreadsheets/d/1Kvs4KS76FHFqLFIZfrDMff4kP08nblUkihrxltoGBjg/edit#gid=934712705"",""ESENCIAL!A6:BG""),18,FALSE))"),"")</f>
        <v/>
      </c>
      <c r="BJ457" s="19" t="str">
        <f t="shared" si="39"/>
        <v/>
      </c>
      <c r="BK457" s="41"/>
      <c r="BL457" s="41"/>
    </row>
    <row r="458" spans="1:64" ht="15">
      <c r="A458" s="4"/>
      <c r="B458" s="4"/>
      <c r="G458" s="5" t="str">
        <f ca="1">IFERROR(__xludf.DUMMYFUNCTION("IFERROR(VLOOKUP(F475,IMPORTRANGE(""https://docs.google.com/spreadsheets/d/1Kvs4KS76FHFqLFIZfrDMff4kP08nblUkihrxltoGBjg/edit#gid=934712705"",""ESENCIAL!A6:BG""),3,FALSE))"),"")</f>
        <v/>
      </c>
      <c r="H458" s="5" t="str">
        <f ca="1">IFERROR(__xludf.DUMMYFUNCTION("IFERROR(VLOOKUP(F475,IMPORTRANGE(""https://docs.google.com/spreadsheets/d/1Kvs4KS76FHFqLFIZfrDMff4kP08nblUkihrxltoGBjg/edit#gid=934712705"",""ESENCIAL!A6:BG""),8,FALSE))"),"")</f>
        <v/>
      </c>
      <c r="L458" s="287"/>
      <c r="S458"/>
      <c r="AU458" s="41" t="str">
        <f t="shared" si="36"/>
        <v/>
      </c>
      <c r="AV458" s="5" t="str">
        <f ca="1">IFERROR(__xludf.DUMMYFUNCTION("IFERROR(VLOOKUP(E475&amp;F475,IMPORTRANGE(""https://docs.google.com/spreadsheets/d/1Uw7-A9f9R21vMXxHZFNpYNeKFtG8_yji4HS352LGlSQ/edit?pli=1#gid=0"",""1_ACUM!A4:S""),11,FALSE))"),"")</f>
        <v/>
      </c>
      <c r="AW458" s="42" t="str">
        <f ca="1">IFERROR(__xludf.DUMMYFUNCTION("IFERROR(VLOOKUP(F475,IMPORTRANGE(""https://docs.google.com/spreadsheets/d/1Kvs4KS76FHFqLFIZfrDMff4kP08nblUkihrxltoGBjg/edit#gid=934712705"",""ESENCIAL!A6:BG""),15,FALSE))"),"")</f>
        <v/>
      </c>
      <c r="AX458" s="21" t="str">
        <f ca="1">IFERROR(__xludf.DUMMYFUNCTION("IFERROR(VLOOKUP(E475&amp;F475,IMPORTRANGE(""https://docs.google.com/spreadsheets/d/1Uw7-A9f9R21vMXxHZFNpYNeKFtG8_yji4HS352LGlSQ/edit?pli=1#gid=0"",""1_ACUM!A4:S""),12,FALSE))"),"")</f>
        <v/>
      </c>
      <c r="AY458" s="43" t="str">
        <f ca="1">IFERROR(__xludf.DUMMYFUNCTION("IFERROR(VLOOKUP(E475&amp;F475,IMPORTRANGE(""https://docs.google.com/spreadsheets/d/1Uw7-A9f9R21vMXxHZFNpYNeKFtG8_yji4HS352LGlSQ/edit?pli=1#gid=0"",""1_ACUM!A4:S""),13,FALSE))"),"")</f>
        <v/>
      </c>
      <c r="AZ458" s="43" t="str">
        <f ca="1">IFERROR(__xludf.DUMMYFUNCTION("IFERROR(VLOOKUP(E475&amp;F475,IMPORTRANGE(""https://docs.google.com/spreadsheets/d/1Uw7-A9f9R21vMXxHZFNpYNeKFtG8_yji4HS352LGlSQ/edit?pli=1#gid=0"",""1_ACUM!A4:S""),14,FALSE))"),"")</f>
        <v/>
      </c>
      <c r="BA458" s="43" t="str">
        <f ca="1">IFERROR(__xludf.DUMMYFUNCTION("IFERROR(VLOOKUP(E475&amp;F475,IMPORTRANGE(""https://docs.google.com/spreadsheets/d/1Uw7-A9f9R21vMXxHZFNpYNeKFtG8_yji4HS352LGlSQ/edit?pli=1#gid=0"",""1_ACUM!A4:S""),15,FALSE))"),"")</f>
        <v/>
      </c>
      <c r="BB458" s="43" t="str">
        <f ca="1">IFERROR(__xludf.DUMMYFUNCTION("IFERROR(VLOOKUP(E475&amp;F475,IMPORTRANGE(""https://docs.google.com/spreadsheets/d/1Uw7-A9f9R21vMXxHZFNpYNeKFtG8_yji4HS352LGlSQ/edit?pli=1#gid=0"",""1_ACUM!A4:S""),16,FALSE))"),"")</f>
        <v/>
      </c>
      <c r="BC458" s="43" t="str">
        <f ca="1">IFERROR(__xludf.DUMMYFUNCTION("IFERROR(VLOOKUP(E475&amp;F475,IMPORTRANGE(""https://docs.google.com/spreadsheets/d/1Uw7-A9f9R21vMXxHZFNpYNeKFtG8_yji4HS352LGlSQ/edit?pli=1#gid=0"",""1_ACUM!A4:S""),17,FALSE))"),"")</f>
        <v/>
      </c>
      <c r="BD458" s="44" t="str">
        <f ca="1">IFERROR(__xludf.DUMMYFUNCTION("IFERROR(VLOOKUP(E475&amp;F475,IMPORTRANGE(""https://docs.google.com/spreadsheets/d/1Uw7-A9f9R21vMXxHZFNpYNeKFtG8_yji4HS352LGlSQ/edit?pli=1#gid=0"",""1_ACUM!A4:S""),18,FALSE))"),"")</f>
        <v/>
      </c>
      <c r="BE458" s="44" t="str">
        <f ca="1">IFERROR(__xludf.DUMMYFUNCTION("IFERROR(VLOOKUP(E475&amp;F475,IMPORTRANGE(""https://docs.google.com/spreadsheets/d/1Uw7-A9f9R21vMXxHZFNpYNeKFtG8_yji4HS352LGlSQ/edit?pli=1#gid=0"",""1_ACUM!A4:S""),19,FALSE))"),"")</f>
        <v/>
      </c>
      <c r="BF458" s="44" t="str">
        <f ca="1">IFERROR(__xludf.DUMMYFUNCTION("IFERROR(VLOOKUP(F475,IMPORTRANGE(""https://docs.google.com/spreadsheets/d/1Kvs4KS76FHFqLFIZfrDMff4kP08nblUkihrxltoGBjg/edit#gid=934712705"",""ESENCIAL!A6:BG""),5,FALSE))"),"")</f>
        <v/>
      </c>
      <c r="BG458" s="44" t="str">
        <f t="shared" si="37"/>
        <v/>
      </c>
      <c r="BH458" s="41" t="str">
        <f t="shared" si="38"/>
        <v/>
      </c>
      <c r="BI458" s="41" t="str">
        <f ca="1">IFERROR(__xludf.DUMMYFUNCTION("IFERROR(VLOOKUP(F475,IMPORTRANGE(""https://docs.google.com/spreadsheets/d/1Kvs4KS76FHFqLFIZfrDMff4kP08nblUkihrxltoGBjg/edit#gid=934712705"",""ESENCIAL!A6:BG""),18,FALSE))"),"")</f>
        <v/>
      </c>
      <c r="BJ458" s="19" t="str">
        <f t="shared" si="39"/>
        <v/>
      </c>
      <c r="BK458" s="41"/>
      <c r="BL458" s="41"/>
    </row>
    <row r="459" spans="1:64" ht="15">
      <c r="A459" s="4"/>
      <c r="B459" s="4"/>
      <c r="G459" s="5" t="str">
        <f ca="1">IFERROR(__xludf.DUMMYFUNCTION("IFERROR(VLOOKUP(F476,IMPORTRANGE(""https://docs.google.com/spreadsheets/d/1Kvs4KS76FHFqLFIZfrDMff4kP08nblUkihrxltoGBjg/edit#gid=934712705"",""ESENCIAL!A6:BG""),3,FALSE))"),"")</f>
        <v/>
      </c>
      <c r="H459" s="5" t="str">
        <f ca="1">IFERROR(__xludf.DUMMYFUNCTION("IFERROR(VLOOKUP(F476,IMPORTRANGE(""https://docs.google.com/spreadsheets/d/1Kvs4KS76FHFqLFIZfrDMff4kP08nblUkihrxltoGBjg/edit#gid=934712705"",""ESENCIAL!A6:BG""),8,FALSE))"),"")</f>
        <v/>
      </c>
      <c r="L459" s="287"/>
      <c r="S459"/>
      <c r="AU459" s="41" t="str">
        <f t="shared" si="36"/>
        <v/>
      </c>
      <c r="AV459" s="5" t="str">
        <f ca="1">IFERROR(__xludf.DUMMYFUNCTION("IFERROR(VLOOKUP(E476&amp;F476,IMPORTRANGE(""https://docs.google.com/spreadsheets/d/1Uw7-A9f9R21vMXxHZFNpYNeKFtG8_yji4HS352LGlSQ/edit?pli=1#gid=0"",""1_ACUM!A4:S""),11,FALSE))"),"")</f>
        <v/>
      </c>
      <c r="AW459" s="42" t="str">
        <f ca="1">IFERROR(__xludf.DUMMYFUNCTION("IFERROR(VLOOKUP(F476,IMPORTRANGE(""https://docs.google.com/spreadsheets/d/1Kvs4KS76FHFqLFIZfrDMff4kP08nblUkihrxltoGBjg/edit#gid=934712705"",""ESENCIAL!A6:BG""),15,FALSE))"),"")</f>
        <v/>
      </c>
      <c r="AX459" s="21" t="str">
        <f ca="1">IFERROR(__xludf.DUMMYFUNCTION("IFERROR(VLOOKUP(E476&amp;F476,IMPORTRANGE(""https://docs.google.com/spreadsheets/d/1Uw7-A9f9R21vMXxHZFNpYNeKFtG8_yji4HS352LGlSQ/edit?pli=1#gid=0"",""1_ACUM!A4:S""),12,FALSE))"),"")</f>
        <v/>
      </c>
      <c r="AY459" s="43" t="str">
        <f ca="1">IFERROR(__xludf.DUMMYFUNCTION("IFERROR(VLOOKUP(E476&amp;F476,IMPORTRANGE(""https://docs.google.com/spreadsheets/d/1Uw7-A9f9R21vMXxHZFNpYNeKFtG8_yji4HS352LGlSQ/edit?pli=1#gid=0"",""1_ACUM!A4:S""),13,FALSE))"),"")</f>
        <v/>
      </c>
      <c r="AZ459" s="43" t="str">
        <f ca="1">IFERROR(__xludf.DUMMYFUNCTION("IFERROR(VLOOKUP(E476&amp;F476,IMPORTRANGE(""https://docs.google.com/spreadsheets/d/1Uw7-A9f9R21vMXxHZFNpYNeKFtG8_yji4HS352LGlSQ/edit?pli=1#gid=0"",""1_ACUM!A4:S""),14,FALSE))"),"")</f>
        <v/>
      </c>
      <c r="BA459" s="43" t="str">
        <f ca="1">IFERROR(__xludf.DUMMYFUNCTION("IFERROR(VLOOKUP(E476&amp;F476,IMPORTRANGE(""https://docs.google.com/spreadsheets/d/1Uw7-A9f9R21vMXxHZFNpYNeKFtG8_yji4HS352LGlSQ/edit?pli=1#gid=0"",""1_ACUM!A4:S""),15,FALSE))"),"")</f>
        <v/>
      </c>
      <c r="BB459" s="43" t="str">
        <f ca="1">IFERROR(__xludf.DUMMYFUNCTION("IFERROR(VLOOKUP(E476&amp;F476,IMPORTRANGE(""https://docs.google.com/spreadsheets/d/1Uw7-A9f9R21vMXxHZFNpYNeKFtG8_yji4HS352LGlSQ/edit?pli=1#gid=0"",""1_ACUM!A4:S""),16,FALSE))"),"")</f>
        <v/>
      </c>
      <c r="BC459" s="43" t="str">
        <f ca="1">IFERROR(__xludf.DUMMYFUNCTION("IFERROR(VLOOKUP(E476&amp;F476,IMPORTRANGE(""https://docs.google.com/spreadsheets/d/1Uw7-A9f9R21vMXxHZFNpYNeKFtG8_yji4HS352LGlSQ/edit?pli=1#gid=0"",""1_ACUM!A4:S""),17,FALSE))"),"")</f>
        <v/>
      </c>
      <c r="BD459" s="44" t="str">
        <f ca="1">IFERROR(__xludf.DUMMYFUNCTION("IFERROR(VLOOKUP(E476&amp;F476,IMPORTRANGE(""https://docs.google.com/spreadsheets/d/1Uw7-A9f9R21vMXxHZFNpYNeKFtG8_yji4HS352LGlSQ/edit?pli=1#gid=0"",""1_ACUM!A4:S""),18,FALSE))"),"")</f>
        <v/>
      </c>
      <c r="BE459" s="44" t="str">
        <f ca="1">IFERROR(__xludf.DUMMYFUNCTION("IFERROR(VLOOKUP(E476&amp;F476,IMPORTRANGE(""https://docs.google.com/spreadsheets/d/1Uw7-A9f9R21vMXxHZFNpYNeKFtG8_yji4HS352LGlSQ/edit?pli=1#gid=0"",""1_ACUM!A4:S""),19,FALSE))"),"")</f>
        <v/>
      </c>
      <c r="BF459" s="44" t="str">
        <f ca="1">IFERROR(__xludf.DUMMYFUNCTION("IFERROR(VLOOKUP(F476,IMPORTRANGE(""https://docs.google.com/spreadsheets/d/1Kvs4KS76FHFqLFIZfrDMff4kP08nblUkihrxltoGBjg/edit#gid=934712705"",""ESENCIAL!A6:BG""),5,FALSE))"),"")</f>
        <v/>
      </c>
      <c r="BG459" s="44" t="str">
        <f t="shared" si="37"/>
        <v/>
      </c>
      <c r="BH459" s="41" t="str">
        <f t="shared" si="38"/>
        <v/>
      </c>
      <c r="BI459" s="41" t="str">
        <f ca="1">IFERROR(__xludf.DUMMYFUNCTION("IFERROR(VLOOKUP(F476,IMPORTRANGE(""https://docs.google.com/spreadsheets/d/1Kvs4KS76FHFqLFIZfrDMff4kP08nblUkihrxltoGBjg/edit#gid=934712705"",""ESENCIAL!A6:BG""),18,FALSE))"),"")</f>
        <v/>
      </c>
      <c r="BJ459" s="19" t="str">
        <f t="shared" si="39"/>
        <v/>
      </c>
      <c r="BK459" s="41"/>
      <c r="BL459" s="41"/>
    </row>
    <row r="460" spans="1:64" ht="15">
      <c r="A460" s="4"/>
      <c r="B460" s="4"/>
      <c r="G460" s="5" t="str">
        <f ca="1">IFERROR(__xludf.DUMMYFUNCTION("IFERROR(VLOOKUP(F477,IMPORTRANGE(""https://docs.google.com/spreadsheets/d/1Kvs4KS76FHFqLFIZfrDMff4kP08nblUkihrxltoGBjg/edit#gid=934712705"",""ESENCIAL!A6:BG""),3,FALSE))"),"")</f>
        <v/>
      </c>
      <c r="H460" s="5" t="str">
        <f ca="1">IFERROR(__xludf.DUMMYFUNCTION("IFERROR(VLOOKUP(F477,IMPORTRANGE(""https://docs.google.com/spreadsheets/d/1Kvs4KS76FHFqLFIZfrDMff4kP08nblUkihrxltoGBjg/edit#gid=934712705"",""ESENCIAL!A6:BG""),8,FALSE))"),"")</f>
        <v/>
      </c>
      <c r="L460" s="287"/>
      <c r="S460"/>
      <c r="AU460" s="41" t="str">
        <f t="shared" si="36"/>
        <v/>
      </c>
      <c r="AV460" s="5" t="str">
        <f ca="1">IFERROR(__xludf.DUMMYFUNCTION("IFERROR(VLOOKUP(E477&amp;F477,IMPORTRANGE(""https://docs.google.com/spreadsheets/d/1Uw7-A9f9R21vMXxHZFNpYNeKFtG8_yji4HS352LGlSQ/edit?pli=1#gid=0"",""1_ACUM!A4:S""),11,FALSE))"),"")</f>
        <v/>
      </c>
      <c r="AW460" s="42" t="str">
        <f ca="1">IFERROR(__xludf.DUMMYFUNCTION("IFERROR(VLOOKUP(F477,IMPORTRANGE(""https://docs.google.com/spreadsheets/d/1Kvs4KS76FHFqLFIZfrDMff4kP08nblUkihrxltoGBjg/edit#gid=934712705"",""ESENCIAL!A6:BG""),15,FALSE))"),"")</f>
        <v/>
      </c>
      <c r="AX460" s="21" t="str">
        <f ca="1">IFERROR(__xludf.DUMMYFUNCTION("IFERROR(VLOOKUP(E477&amp;F477,IMPORTRANGE(""https://docs.google.com/spreadsheets/d/1Uw7-A9f9R21vMXxHZFNpYNeKFtG8_yji4HS352LGlSQ/edit?pli=1#gid=0"",""1_ACUM!A4:S""),12,FALSE))"),"")</f>
        <v/>
      </c>
      <c r="AY460" s="43" t="str">
        <f ca="1">IFERROR(__xludf.DUMMYFUNCTION("IFERROR(VLOOKUP(E477&amp;F477,IMPORTRANGE(""https://docs.google.com/spreadsheets/d/1Uw7-A9f9R21vMXxHZFNpYNeKFtG8_yji4HS352LGlSQ/edit?pli=1#gid=0"",""1_ACUM!A4:S""),13,FALSE))"),"")</f>
        <v/>
      </c>
      <c r="AZ460" s="43" t="str">
        <f ca="1">IFERROR(__xludf.DUMMYFUNCTION("IFERROR(VLOOKUP(E477&amp;F477,IMPORTRANGE(""https://docs.google.com/spreadsheets/d/1Uw7-A9f9R21vMXxHZFNpYNeKFtG8_yji4HS352LGlSQ/edit?pli=1#gid=0"",""1_ACUM!A4:S""),14,FALSE))"),"")</f>
        <v/>
      </c>
      <c r="BA460" s="43" t="str">
        <f ca="1">IFERROR(__xludf.DUMMYFUNCTION("IFERROR(VLOOKUP(E477&amp;F477,IMPORTRANGE(""https://docs.google.com/spreadsheets/d/1Uw7-A9f9R21vMXxHZFNpYNeKFtG8_yji4HS352LGlSQ/edit?pli=1#gid=0"",""1_ACUM!A4:S""),15,FALSE))"),"")</f>
        <v/>
      </c>
      <c r="BB460" s="43" t="str">
        <f ca="1">IFERROR(__xludf.DUMMYFUNCTION("IFERROR(VLOOKUP(E477&amp;F477,IMPORTRANGE(""https://docs.google.com/spreadsheets/d/1Uw7-A9f9R21vMXxHZFNpYNeKFtG8_yji4HS352LGlSQ/edit?pli=1#gid=0"",""1_ACUM!A4:S""),16,FALSE))"),"")</f>
        <v/>
      </c>
      <c r="BC460" s="43" t="str">
        <f ca="1">IFERROR(__xludf.DUMMYFUNCTION("IFERROR(VLOOKUP(E477&amp;F477,IMPORTRANGE(""https://docs.google.com/spreadsheets/d/1Uw7-A9f9R21vMXxHZFNpYNeKFtG8_yji4HS352LGlSQ/edit?pli=1#gid=0"",""1_ACUM!A4:S""),17,FALSE))"),"")</f>
        <v/>
      </c>
      <c r="BD460" s="44" t="str">
        <f ca="1">IFERROR(__xludf.DUMMYFUNCTION("IFERROR(VLOOKUP(E477&amp;F477,IMPORTRANGE(""https://docs.google.com/spreadsheets/d/1Uw7-A9f9R21vMXxHZFNpYNeKFtG8_yji4HS352LGlSQ/edit?pli=1#gid=0"",""1_ACUM!A4:S""),18,FALSE))"),"")</f>
        <v/>
      </c>
      <c r="BE460" s="44" t="str">
        <f ca="1">IFERROR(__xludf.DUMMYFUNCTION("IFERROR(VLOOKUP(E477&amp;F477,IMPORTRANGE(""https://docs.google.com/spreadsheets/d/1Uw7-A9f9R21vMXxHZFNpYNeKFtG8_yji4HS352LGlSQ/edit?pli=1#gid=0"",""1_ACUM!A4:S""),19,FALSE))"),"")</f>
        <v/>
      </c>
      <c r="BF460" s="44" t="str">
        <f ca="1">IFERROR(__xludf.DUMMYFUNCTION("IFERROR(VLOOKUP(F477,IMPORTRANGE(""https://docs.google.com/spreadsheets/d/1Kvs4KS76FHFqLFIZfrDMff4kP08nblUkihrxltoGBjg/edit#gid=934712705"",""ESENCIAL!A6:BG""),5,FALSE))"),"")</f>
        <v/>
      </c>
      <c r="BG460" s="44" t="str">
        <f t="shared" si="37"/>
        <v/>
      </c>
      <c r="BH460" s="41" t="str">
        <f t="shared" si="38"/>
        <v/>
      </c>
      <c r="BI460" s="41" t="str">
        <f ca="1">IFERROR(__xludf.DUMMYFUNCTION("IFERROR(VLOOKUP(F477,IMPORTRANGE(""https://docs.google.com/spreadsheets/d/1Kvs4KS76FHFqLFIZfrDMff4kP08nblUkihrxltoGBjg/edit#gid=934712705"",""ESENCIAL!A6:BG""),18,FALSE))"),"")</f>
        <v/>
      </c>
      <c r="BJ460" s="19" t="str">
        <f t="shared" si="39"/>
        <v/>
      </c>
      <c r="BK460" s="41"/>
      <c r="BL460" s="41"/>
    </row>
    <row r="461" spans="1:64" ht="15">
      <c r="A461" s="4"/>
      <c r="B461" s="4"/>
      <c r="G461" s="5" t="str">
        <f ca="1">IFERROR(__xludf.DUMMYFUNCTION("IFERROR(VLOOKUP(F478,IMPORTRANGE(""https://docs.google.com/spreadsheets/d/1Kvs4KS76FHFqLFIZfrDMff4kP08nblUkihrxltoGBjg/edit#gid=934712705"",""ESENCIAL!A6:BG""),3,FALSE))"),"")</f>
        <v/>
      </c>
      <c r="H461" s="5" t="str">
        <f ca="1">IFERROR(__xludf.DUMMYFUNCTION("IFERROR(VLOOKUP(F478,IMPORTRANGE(""https://docs.google.com/spreadsheets/d/1Kvs4KS76FHFqLFIZfrDMff4kP08nblUkihrxltoGBjg/edit#gid=934712705"",""ESENCIAL!A6:BG""),8,FALSE))"),"")</f>
        <v/>
      </c>
      <c r="L461" s="287"/>
      <c r="S461"/>
      <c r="AU461" s="41" t="str">
        <f t="shared" si="36"/>
        <v/>
      </c>
      <c r="AV461" s="5" t="str">
        <f ca="1">IFERROR(__xludf.DUMMYFUNCTION("IFERROR(VLOOKUP(E478&amp;F478,IMPORTRANGE(""https://docs.google.com/spreadsheets/d/1Uw7-A9f9R21vMXxHZFNpYNeKFtG8_yji4HS352LGlSQ/edit?pli=1#gid=0"",""1_ACUM!A4:S""),11,FALSE))"),"")</f>
        <v/>
      </c>
      <c r="AW461" s="42" t="str">
        <f ca="1">IFERROR(__xludf.DUMMYFUNCTION("IFERROR(VLOOKUP(F478,IMPORTRANGE(""https://docs.google.com/spreadsheets/d/1Kvs4KS76FHFqLFIZfrDMff4kP08nblUkihrxltoGBjg/edit#gid=934712705"",""ESENCIAL!A6:BG""),15,FALSE))"),"")</f>
        <v/>
      </c>
      <c r="AX461" s="21" t="str">
        <f ca="1">IFERROR(__xludf.DUMMYFUNCTION("IFERROR(VLOOKUP(E478&amp;F478,IMPORTRANGE(""https://docs.google.com/spreadsheets/d/1Uw7-A9f9R21vMXxHZFNpYNeKFtG8_yji4HS352LGlSQ/edit?pli=1#gid=0"",""1_ACUM!A4:S""),12,FALSE))"),"")</f>
        <v/>
      </c>
      <c r="AY461" s="43" t="str">
        <f ca="1">IFERROR(__xludf.DUMMYFUNCTION("IFERROR(VLOOKUP(E478&amp;F478,IMPORTRANGE(""https://docs.google.com/spreadsheets/d/1Uw7-A9f9R21vMXxHZFNpYNeKFtG8_yji4HS352LGlSQ/edit?pli=1#gid=0"",""1_ACUM!A4:S""),13,FALSE))"),"")</f>
        <v/>
      </c>
      <c r="AZ461" s="43" t="str">
        <f ca="1">IFERROR(__xludf.DUMMYFUNCTION("IFERROR(VLOOKUP(E478&amp;F478,IMPORTRANGE(""https://docs.google.com/spreadsheets/d/1Uw7-A9f9R21vMXxHZFNpYNeKFtG8_yji4HS352LGlSQ/edit?pli=1#gid=0"",""1_ACUM!A4:S""),14,FALSE))"),"")</f>
        <v/>
      </c>
      <c r="BA461" s="43" t="str">
        <f ca="1">IFERROR(__xludf.DUMMYFUNCTION("IFERROR(VLOOKUP(E478&amp;F478,IMPORTRANGE(""https://docs.google.com/spreadsheets/d/1Uw7-A9f9R21vMXxHZFNpYNeKFtG8_yji4HS352LGlSQ/edit?pli=1#gid=0"",""1_ACUM!A4:S""),15,FALSE))"),"")</f>
        <v/>
      </c>
      <c r="BB461" s="43" t="str">
        <f ca="1">IFERROR(__xludf.DUMMYFUNCTION("IFERROR(VLOOKUP(E478&amp;F478,IMPORTRANGE(""https://docs.google.com/spreadsheets/d/1Uw7-A9f9R21vMXxHZFNpYNeKFtG8_yji4HS352LGlSQ/edit?pli=1#gid=0"",""1_ACUM!A4:S""),16,FALSE))"),"")</f>
        <v/>
      </c>
      <c r="BC461" s="43" t="str">
        <f ca="1">IFERROR(__xludf.DUMMYFUNCTION("IFERROR(VLOOKUP(E478&amp;F478,IMPORTRANGE(""https://docs.google.com/spreadsheets/d/1Uw7-A9f9R21vMXxHZFNpYNeKFtG8_yji4HS352LGlSQ/edit?pli=1#gid=0"",""1_ACUM!A4:S""),17,FALSE))"),"")</f>
        <v/>
      </c>
      <c r="BD461" s="44" t="str">
        <f ca="1">IFERROR(__xludf.DUMMYFUNCTION("IFERROR(VLOOKUP(E478&amp;F478,IMPORTRANGE(""https://docs.google.com/spreadsheets/d/1Uw7-A9f9R21vMXxHZFNpYNeKFtG8_yji4HS352LGlSQ/edit?pli=1#gid=0"",""1_ACUM!A4:S""),18,FALSE))"),"")</f>
        <v/>
      </c>
      <c r="BE461" s="44" t="str">
        <f ca="1">IFERROR(__xludf.DUMMYFUNCTION("IFERROR(VLOOKUP(E478&amp;F478,IMPORTRANGE(""https://docs.google.com/spreadsheets/d/1Uw7-A9f9R21vMXxHZFNpYNeKFtG8_yji4HS352LGlSQ/edit?pli=1#gid=0"",""1_ACUM!A4:S""),19,FALSE))"),"")</f>
        <v/>
      </c>
      <c r="BF461" s="44" t="str">
        <f ca="1">IFERROR(__xludf.DUMMYFUNCTION("IFERROR(VLOOKUP(F478,IMPORTRANGE(""https://docs.google.com/spreadsheets/d/1Kvs4KS76FHFqLFIZfrDMff4kP08nblUkihrxltoGBjg/edit#gid=934712705"",""ESENCIAL!A6:BG""),5,FALSE))"),"")</f>
        <v/>
      </c>
      <c r="BG461" s="44" t="str">
        <f t="shared" si="37"/>
        <v/>
      </c>
      <c r="BH461" s="41" t="str">
        <f t="shared" si="38"/>
        <v/>
      </c>
      <c r="BI461" s="41" t="str">
        <f ca="1">IFERROR(__xludf.DUMMYFUNCTION("IFERROR(VLOOKUP(F478,IMPORTRANGE(""https://docs.google.com/spreadsheets/d/1Kvs4KS76FHFqLFIZfrDMff4kP08nblUkihrxltoGBjg/edit#gid=934712705"",""ESENCIAL!A6:BG""),18,FALSE))"),"")</f>
        <v/>
      </c>
      <c r="BJ461" s="19" t="str">
        <f t="shared" si="39"/>
        <v/>
      </c>
      <c r="BK461" s="41"/>
      <c r="BL461" s="41"/>
    </row>
    <row r="462" spans="1:64" ht="15">
      <c r="A462" s="4"/>
      <c r="B462" s="4"/>
      <c r="G462" s="5" t="str">
        <f ca="1">IFERROR(__xludf.DUMMYFUNCTION("IFERROR(VLOOKUP(F479,IMPORTRANGE(""https://docs.google.com/spreadsheets/d/1Kvs4KS76FHFqLFIZfrDMff4kP08nblUkihrxltoGBjg/edit#gid=934712705"",""ESENCIAL!A6:BG""),3,FALSE))"),"")</f>
        <v/>
      </c>
      <c r="H462" s="5" t="str">
        <f ca="1">IFERROR(__xludf.DUMMYFUNCTION("IFERROR(VLOOKUP(F479,IMPORTRANGE(""https://docs.google.com/spreadsheets/d/1Kvs4KS76FHFqLFIZfrDMff4kP08nblUkihrxltoGBjg/edit#gid=934712705"",""ESENCIAL!A6:BG""),8,FALSE))"),"")</f>
        <v/>
      </c>
      <c r="L462" s="287"/>
      <c r="S462"/>
      <c r="AU462" s="41" t="str">
        <f t="shared" si="36"/>
        <v/>
      </c>
      <c r="AV462" s="5" t="str">
        <f ca="1">IFERROR(__xludf.DUMMYFUNCTION("IFERROR(VLOOKUP(E479&amp;F479,IMPORTRANGE(""https://docs.google.com/spreadsheets/d/1Uw7-A9f9R21vMXxHZFNpYNeKFtG8_yji4HS352LGlSQ/edit?pli=1#gid=0"",""1_ACUM!A4:S""),11,FALSE))"),"")</f>
        <v/>
      </c>
      <c r="AW462" s="42" t="str">
        <f ca="1">IFERROR(__xludf.DUMMYFUNCTION("IFERROR(VLOOKUP(F479,IMPORTRANGE(""https://docs.google.com/spreadsheets/d/1Kvs4KS76FHFqLFIZfrDMff4kP08nblUkihrxltoGBjg/edit#gid=934712705"",""ESENCIAL!A6:BG""),15,FALSE))"),"")</f>
        <v/>
      </c>
      <c r="AX462" s="21" t="str">
        <f ca="1">IFERROR(__xludf.DUMMYFUNCTION("IFERROR(VLOOKUP(E479&amp;F479,IMPORTRANGE(""https://docs.google.com/spreadsheets/d/1Uw7-A9f9R21vMXxHZFNpYNeKFtG8_yji4HS352LGlSQ/edit?pli=1#gid=0"",""1_ACUM!A4:S""),12,FALSE))"),"")</f>
        <v/>
      </c>
      <c r="AY462" s="43" t="str">
        <f ca="1">IFERROR(__xludf.DUMMYFUNCTION("IFERROR(VLOOKUP(E479&amp;F479,IMPORTRANGE(""https://docs.google.com/spreadsheets/d/1Uw7-A9f9R21vMXxHZFNpYNeKFtG8_yji4HS352LGlSQ/edit?pli=1#gid=0"",""1_ACUM!A4:S""),13,FALSE))"),"")</f>
        <v/>
      </c>
      <c r="AZ462" s="43" t="str">
        <f ca="1">IFERROR(__xludf.DUMMYFUNCTION("IFERROR(VLOOKUP(E479&amp;F479,IMPORTRANGE(""https://docs.google.com/spreadsheets/d/1Uw7-A9f9R21vMXxHZFNpYNeKFtG8_yji4HS352LGlSQ/edit?pli=1#gid=0"",""1_ACUM!A4:S""),14,FALSE))"),"")</f>
        <v/>
      </c>
      <c r="BA462" s="43" t="str">
        <f ca="1">IFERROR(__xludf.DUMMYFUNCTION("IFERROR(VLOOKUP(E479&amp;F479,IMPORTRANGE(""https://docs.google.com/spreadsheets/d/1Uw7-A9f9R21vMXxHZFNpYNeKFtG8_yji4HS352LGlSQ/edit?pli=1#gid=0"",""1_ACUM!A4:S""),15,FALSE))"),"")</f>
        <v/>
      </c>
      <c r="BB462" s="43" t="str">
        <f ca="1">IFERROR(__xludf.DUMMYFUNCTION("IFERROR(VLOOKUP(E479&amp;F479,IMPORTRANGE(""https://docs.google.com/spreadsheets/d/1Uw7-A9f9R21vMXxHZFNpYNeKFtG8_yji4HS352LGlSQ/edit?pli=1#gid=0"",""1_ACUM!A4:S""),16,FALSE))"),"")</f>
        <v/>
      </c>
      <c r="BC462" s="43" t="str">
        <f ca="1">IFERROR(__xludf.DUMMYFUNCTION("IFERROR(VLOOKUP(E479&amp;F479,IMPORTRANGE(""https://docs.google.com/spreadsheets/d/1Uw7-A9f9R21vMXxHZFNpYNeKFtG8_yji4HS352LGlSQ/edit?pli=1#gid=0"",""1_ACUM!A4:S""),17,FALSE))"),"")</f>
        <v/>
      </c>
      <c r="BD462" s="44" t="str">
        <f ca="1">IFERROR(__xludf.DUMMYFUNCTION("IFERROR(VLOOKUP(E479&amp;F479,IMPORTRANGE(""https://docs.google.com/spreadsheets/d/1Uw7-A9f9R21vMXxHZFNpYNeKFtG8_yji4HS352LGlSQ/edit?pli=1#gid=0"",""1_ACUM!A4:S""),18,FALSE))"),"")</f>
        <v/>
      </c>
      <c r="BE462" s="44" t="str">
        <f ca="1">IFERROR(__xludf.DUMMYFUNCTION("IFERROR(VLOOKUP(E479&amp;F479,IMPORTRANGE(""https://docs.google.com/spreadsheets/d/1Uw7-A9f9R21vMXxHZFNpYNeKFtG8_yji4HS352LGlSQ/edit?pli=1#gid=0"",""1_ACUM!A4:S""),19,FALSE))"),"")</f>
        <v/>
      </c>
      <c r="BF462" s="44" t="str">
        <f ca="1">IFERROR(__xludf.DUMMYFUNCTION("IFERROR(VLOOKUP(F479,IMPORTRANGE(""https://docs.google.com/spreadsheets/d/1Kvs4KS76FHFqLFIZfrDMff4kP08nblUkihrxltoGBjg/edit#gid=934712705"",""ESENCIAL!A6:BG""),5,FALSE))"),"")</f>
        <v/>
      </c>
      <c r="BG462" s="44" t="str">
        <f t="shared" si="37"/>
        <v/>
      </c>
      <c r="BH462" s="41" t="str">
        <f t="shared" si="38"/>
        <v/>
      </c>
      <c r="BI462" s="41" t="str">
        <f ca="1">IFERROR(__xludf.DUMMYFUNCTION("IFERROR(VLOOKUP(F479,IMPORTRANGE(""https://docs.google.com/spreadsheets/d/1Kvs4KS76FHFqLFIZfrDMff4kP08nblUkihrxltoGBjg/edit#gid=934712705"",""ESENCIAL!A6:BG""),18,FALSE))"),"")</f>
        <v/>
      </c>
      <c r="BJ462" s="19" t="str">
        <f t="shared" si="39"/>
        <v/>
      </c>
      <c r="BK462" s="41"/>
      <c r="BL462" s="41"/>
    </row>
    <row r="463" spans="1:64" ht="15">
      <c r="A463" s="4"/>
      <c r="B463" s="4"/>
      <c r="G463" s="5" t="str">
        <f ca="1">IFERROR(__xludf.DUMMYFUNCTION("IFERROR(VLOOKUP(F480,IMPORTRANGE(""https://docs.google.com/spreadsheets/d/1Kvs4KS76FHFqLFIZfrDMff4kP08nblUkihrxltoGBjg/edit#gid=934712705"",""ESENCIAL!A6:BG""),3,FALSE))"),"")</f>
        <v/>
      </c>
      <c r="H463" s="5" t="str">
        <f ca="1">IFERROR(__xludf.DUMMYFUNCTION("IFERROR(VLOOKUP(F480,IMPORTRANGE(""https://docs.google.com/spreadsheets/d/1Kvs4KS76FHFqLFIZfrDMff4kP08nblUkihrxltoGBjg/edit#gid=934712705"",""ESENCIAL!A6:BG""),8,FALSE))"),"")</f>
        <v/>
      </c>
      <c r="L463" s="287"/>
      <c r="S463"/>
      <c r="AU463" s="41" t="str">
        <f t="shared" si="36"/>
        <v/>
      </c>
      <c r="AV463" s="5" t="str">
        <f ca="1">IFERROR(__xludf.DUMMYFUNCTION("IFERROR(VLOOKUP(E480&amp;F480,IMPORTRANGE(""https://docs.google.com/spreadsheets/d/1Uw7-A9f9R21vMXxHZFNpYNeKFtG8_yji4HS352LGlSQ/edit?pli=1#gid=0"",""1_ACUM!A4:S""),11,FALSE))"),"")</f>
        <v/>
      </c>
      <c r="AW463" s="42" t="str">
        <f ca="1">IFERROR(__xludf.DUMMYFUNCTION("IFERROR(VLOOKUP(F480,IMPORTRANGE(""https://docs.google.com/spreadsheets/d/1Kvs4KS76FHFqLFIZfrDMff4kP08nblUkihrxltoGBjg/edit#gid=934712705"",""ESENCIAL!A6:BG""),15,FALSE))"),"")</f>
        <v/>
      </c>
      <c r="AX463" s="21" t="str">
        <f ca="1">IFERROR(__xludf.DUMMYFUNCTION("IFERROR(VLOOKUP(E480&amp;F480,IMPORTRANGE(""https://docs.google.com/spreadsheets/d/1Uw7-A9f9R21vMXxHZFNpYNeKFtG8_yji4HS352LGlSQ/edit?pli=1#gid=0"",""1_ACUM!A4:S""),12,FALSE))"),"")</f>
        <v/>
      </c>
      <c r="AY463" s="43" t="str">
        <f ca="1">IFERROR(__xludf.DUMMYFUNCTION("IFERROR(VLOOKUP(E480&amp;F480,IMPORTRANGE(""https://docs.google.com/spreadsheets/d/1Uw7-A9f9R21vMXxHZFNpYNeKFtG8_yji4HS352LGlSQ/edit?pli=1#gid=0"",""1_ACUM!A4:S""),13,FALSE))"),"")</f>
        <v/>
      </c>
      <c r="AZ463" s="43" t="str">
        <f ca="1">IFERROR(__xludf.DUMMYFUNCTION("IFERROR(VLOOKUP(E480&amp;F480,IMPORTRANGE(""https://docs.google.com/spreadsheets/d/1Uw7-A9f9R21vMXxHZFNpYNeKFtG8_yji4HS352LGlSQ/edit?pli=1#gid=0"",""1_ACUM!A4:S""),14,FALSE))"),"")</f>
        <v/>
      </c>
      <c r="BA463" s="43" t="str">
        <f ca="1">IFERROR(__xludf.DUMMYFUNCTION("IFERROR(VLOOKUP(E480&amp;F480,IMPORTRANGE(""https://docs.google.com/spreadsheets/d/1Uw7-A9f9R21vMXxHZFNpYNeKFtG8_yji4HS352LGlSQ/edit?pli=1#gid=0"",""1_ACUM!A4:S""),15,FALSE))"),"")</f>
        <v/>
      </c>
      <c r="BB463" s="43" t="str">
        <f ca="1">IFERROR(__xludf.DUMMYFUNCTION("IFERROR(VLOOKUP(E480&amp;F480,IMPORTRANGE(""https://docs.google.com/spreadsheets/d/1Uw7-A9f9R21vMXxHZFNpYNeKFtG8_yji4HS352LGlSQ/edit?pli=1#gid=0"",""1_ACUM!A4:S""),16,FALSE))"),"")</f>
        <v/>
      </c>
      <c r="BC463" s="43" t="str">
        <f ca="1">IFERROR(__xludf.DUMMYFUNCTION("IFERROR(VLOOKUP(E480&amp;F480,IMPORTRANGE(""https://docs.google.com/spreadsheets/d/1Uw7-A9f9R21vMXxHZFNpYNeKFtG8_yji4HS352LGlSQ/edit?pli=1#gid=0"",""1_ACUM!A4:S""),17,FALSE))"),"")</f>
        <v/>
      </c>
      <c r="BD463" s="44" t="str">
        <f ca="1">IFERROR(__xludf.DUMMYFUNCTION("IFERROR(VLOOKUP(E480&amp;F480,IMPORTRANGE(""https://docs.google.com/spreadsheets/d/1Uw7-A9f9R21vMXxHZFNpYNeKFtG8_yji4HS352LGlSQ/edit?pli=1#gid=0"",""1_ACUM!A4:S""),18,FALSE))"),"")</f>
        <v/>
      </c>
      <c r="BE463" s="44" t="str">
        <f ca="1">IFERROR(__xludf.DUMMYFUNCTION("IFERROR(VLOOKUP(E480&amp;F480,IMPORTRANGE(""https://docs.google.com/spreadsheets/d/1Uw7-A9f9R21vMXxHZFNpYNeKFtG8_yji4HS352LGlSQ/edit?pli=1#gid=0"",""1_ACUM!A4:S""),19,FALSE))"),"")</f>
        <v/>
      </c>
      <c r="BF463" s="44" t="str">
        <f ca="1">IFERROR(__xludf.DUMMYFUNCTION("IFERROR(VLOOKUP(F480,IMPORTRANGE(""https://docs.google.com/spreadsheets/d/1Kvs4KS76FHFqLFIZfrDMff4kP08nblUkihrxltoGBjg/edit#gid=934712705"",""ESENCIAL!A6:BG""),5,FALSE))"),"")</f>
        <v/>
      </c>
      <c r="BG463" s="44" t="str">
        <f t="shared" si="37"/>
        <v/>
      </c>
      <c r="BH463" s="41" t="str">
        <f t="shared" si="38"/>
        <v/>
      </c>
      <c r="BI463" s="41" t="str">
        <f ca="1">IFERROR(__xludf.DUMMYFUNCTION("IFERROR(VLOOKUP(F480,IMPORTRANGE(""https://docs.google.com/spreadsheets/d/1Kvs4KS76FHFqLFIZfrDMff4kP08nblUkihrxltoGBjg/edit#gid=934712705"",""ESENCIAL!A6:BG""),18,FALSE))"),"")</f>
        <v/>
      </c>
      <c r="BJ463" s="19" t="str">
        <f t="shared" si="39"/>
        <v/>
      </c>
      <c r="BK463" s="41"/>
      <c r="BL463" s="41"/>
    </row>
    <row r="464" spans="1:64" ht="15">
      <c r="A464" s="4"/>
      <c r="B464" s="4"/>
      <c r="G464" s="5" t="str">
        <f ca="1">IFERROR(__xludf.DUMMYFUNCTION("IFERROR(VLOOKUP(F481,IMPORTRANGE(""https://docs.google.com/spreadsheets/d/1Kvs4KS76FHFqLFIZfrDMff4kP08nblUkihrxltoGBjg/edit#gid=934712705"",""ESENCIAL!A6:BG""),3,FALSE))"),"")</f>
        <v/>
      </c>
      <c r="H464" s="5" t="str">
        <f ca="1">IFERROR(__xludf.DUMMYFUNCTION("IFERROR(VLOOKUP(F481,IMPORTRANGE(""https://docs.google.com/spreadsheets/d/1Kvs4KS76FHFqLFIZfrDMff4kP08nblUkihrxltoGBjg/edit#gid=934712705"",""ESENCIAL!A6:BG""),8,FALSE))"),"")</f>
        <v/>
      </c>
      <c r="L464" s="287"/>
      <c r="S464"/>
      <c r="AU464" s="41" t="str">
        <f t="shared" si="36"/>
        <v/>
      </c>
      <c r="AV464" s="5" t="str">
        <f ca="1">IFERROR(__xludf.DUMMYFUNCTION("IFERROR(VLOOKUP(E481&amp;F481,IMPORTRANGE(""https://docs.google.com/spreadsheets/d/1Uw7-A9f9R21vMXxHZFNpYNeKFtG8_yji4HS352LGlSQ/edit?pli=1#gid=0"",""1_ACUM!A4:S""),11,FALSE))"),"")</f>
        <v/>
      </c>
      <c r="AW464" s="42" t="str">
        <f ca="1">IFERROR(__xludf.DUMMYFUNCTION("IFERROR(VLOOKUP(F481,IMPORTRANGE(""https://docs.google.com/spreadsheets/d/1Kvs4KS76FHFqLFIZfrDMff4kP08nblUkihrxltoGBjg/edit#gid=934712705"",""ESENCIAL!A6:BG""),15,FALSE))"),"")</f>
        <v/>
      </c>
      <c r="AX464" s="21" t="str">
        <f ca="1">IFERROR(__xludf.DUMMYFUNCTION("IFERROR(VLOOKUP(E481&amp;F481,IMPORTRANGE(""https://docs.google.com/spreadsheets/d/1Uw7-A9f9R21vMXxHZFNpYNeKFtG8_yji4HS352LGlSQ/edit?pli=1#gid=0"",""1_ACUM!A4:S""),12,FALSE))"),"")</f>
        <v/>
      </c>
      <c r="AY464" s="43" t="str">
        <f ca="1">IFERROR(__xludf.DUMMYFUNCTION("IFERROR(VLOOKUP(E481&amp;F481,IMPORTRANGE(""https://docs.google.com/spreadsheets/d/1Uw7-A9f9R21vMXxHZFNpYNeKFtG8_yji4HS352LGlSQ/edit?pli=1#gid=0"",""1_ACUM!A4:S""),13,FALSE))"),"")</f>
        <v/>
      </c>
      <c r="AZ464" s="43" t="str">
        <f ca="1">IFERROR(__xludf.DUMMYFUNCTION("IFERROR(VLOOKUP(E481&amp;F481,IMPORTRANGE(""https://docs.google.com/spreadsheets/d/1Uw7-A9f9R21vMXxHZFNpYNeKFtG8_yji4HS352LGlSQ/edit?pli=1#gid=0"",""1_ACUM!A4:S""),14,FALSE))"),"")</f>
        <v/>
      </c>
      <c r="BA464" s="43" t="str">
        <f ca="1">IFERROR(__xludf.DUMMYFUNCTION("IFERROR(VLOOKUP(E481&amp;F481,IMPORTRANGE(""https://docs.google.com/spreadsheets/d/1Uw7-A9f9R21vMXxHZFNpYNeKFtG8_yji4HS352LGlSQ/edit?pli=1#gid=0"",""1_ACUM!A4:S""),15,FALSE))"),"")</f>
        <v/>
      </c>
      <c r="BB464" s="43" t="str">
        <f ca="1">IFERROR(__xludf.DUMMYFUNCTION("IFERROR(VLOOKUP(E481&amp;F481,IMPORTRANGE(""https://docs.google.com/spreadsheets/d/1Uw7-A9f9R21vMXxHZFNpYNeKFtG8_yji4HS352LGlSQ/edit?pli=1#gid=0"",""1_ACUM!A4:S""),16,FALSE))"),"")</f>
        <v/>
      </c>
      <c r="BC464" s="43" t="str">
        <f ca="1">IFERROR(__xludf.DUMMYFUNCTION("IFERROR(VLOOKUP(E481&amp;F481,IMPORTRANGE(""https://docs.google.com/spreadsheets/d/1Uw7-A9f9R21vMXxHZFNpYNeKFtG8_yji4HS352LGlSQ/edit?pli=1#gid=0"",""1_ACUM!A4:S""),17,FALSE))"),"")</f>
        <v/>
      </c>
      <c r="BD464" s="44" t="str">
        <f ca="1">IFERROR(__xludf.DUMMYFUNCTION("IFERROR(VLOOKUP(E481&amp;F481,IMPORTRANGE(""https://docs.google.com/spreadsheets/d/1Uw7-A9f9R21vMXxHZFNpYNeKFtG8_yji4HS352LGlSQ/edit?pli=1#gid=0"",""1_ACUM!A4:S""),18,FALSE))"),"")</f>
        <v/>
      </c>
      <c r="BE464" s="44" t="str">
        <f ca="1">IFERROR(__xludf.DUMMYFUNCTION("IFERROR(VLOOKUP(E481&amp;F481,IMPORTRANGE(""https://docs.google.com/spreadsheets/d/1Uw7-A9f9R21vMXxHZFNpYNeKFtG8_yji4HS352LGlSQ/edit?pli=1#gid=0"",""1_ACUM!A4:S""),19,FALSE))"),"")</f>
        <v/>
      </c>
      <c r="BF464" s="44" t="str">
        <f ca="1">IFERROR(__xludf.DUMMYFUNCTION("IFERROR(VLOOKUP(F481,IMPORTRANGE(""https://docs.google.com/spreadsheets/d/1Kvs4KS76FHFqLFIZfrDMff4kP08nblUkihrxltoGBjg/edit#gid=934712705"",""ESENCIAL!A6:BG""),5,FALSE))"),"")</f>
        <v/>
      </c>
      <c r="BG464" s="44" t="str">
        <f t="shared" si="37"/>
        <v/>
      </c>
      <c r="BH464" s="41" t="str">
        <f t="shared" si="38"/>
        <v/>
      </c>
      <c r="BI464" s="41" t="str">
        <f ca="1">IFERROR(__xludf.DUMMYFUNCTION("IFERROR(VLOOKUP(F481,IMPORTRANGE(""https://docs.google.com/spreadsheets/d/1Kvs4KS76FHFqLFIZfrDMff4kP08nblUkihrxltoGBjg/edit#gid=934712705"",""ESENCIAL!A6:BG""),18,FALSE))"),"")</f>
        <v/>
      </c>
      <c r="BJ464" s="19" t="str">
        <f t="shared" si="39"/>
        <v/>
      </c>
      <c r="BK464" s="41"/>
      <c r="BL464" s="41"/>
    </row>
    <row r="465" spans="1:64" ht="15">
      <c r="A465" s="4"/>
      <c r="B465" s="4"/>
      <c r="G465" s="5" t="str">
        <f ca="1">IFERROR(__xludf.DUMMYFUNCTION("IFERROR(VLOOKUP(F482,IMPORTRANGE(""https://docs.google.com/spreadsheets/d/1Kvs4KS76FHFqLFIZfrDMff4kP08nblUkihrxltoGBjg/edit#gid=934712705"",""ESENCIAL!A6:BG""),3,FALSE))"),"")</f>
        <v/>
      </c>
      <c r="H465" s="5" t="str">
        <f ca="1">IFERROR(__xludf.DUMMYFUNCTION("IFERROR(VLOOKUP(F482,IMPORTRANGE(""https://docs.google.com/spreadsheets/d/1Kvs4KS76FHFqLFIZfrDMff4kP08nblUkihrxltoGBjg/edit#gid=934712705"",""ESENCIAL!A6:BG""),8,FALSE))"),"")</f>
        <v/>
      </c>
      <c r="L465" s="287"/>
      <c r="S465"/>
      <c r="AU465" s="41" t="str">
        <f t="shared" si="36"/>
        <v/>
      </c>
      <c r="AV465" s="5" t="str">
        <f ca="1">IFERROR(__xludf.DUMMYFUNCTION("IFERROR(VLOOKUP(E482&amp;F482,IMPORTRANGE(""https://docs.google.com/spreadsheets/d/1Uw7-A9f9R21vMXxHZFNpYNeKFtG8_yji4HS352LGlSQ/edit?pli=1#gid=0"",""1_ACUM!A4:S""),11,FALSE))"),"")</f>
        <v/>
      </c>
      <c r="AW465" s="42" t="str">
        <f ca="1">IFERROR(__xludf.DUMMYFUNCTION("IFERROR(VLOOKUP(F482,IMPORTRANGE(""https://docs.google.com/spreadsheets/d/1Kvs4KS76FHFqLFIZfrDMff4kP08nblUkihrxltoGBjg/edit#gid=934712705"",""ESENCIAL!A6:BG""),15,FALSE))"),"")</f>
        <v/>
      </c>
      <c r="AX465" s="21" t="str">
        <f ca="1">IFERROR(__xludf.DUMMYFUNCTION("IFERROR(VLOOKUP(E482&amp;F482,IMPORTRANGE(""https://docs.google.com/spreadsheets/d/1Uw7-A9f9R21vMXxHZFNpYNeKFtG8_yji4HS352LGlSQ/edit?pli=1#gid=0"",""1_ACUM!A4:S""),12,FALSE))"),"")</f>
        <v/>
      </c>
      <c r="AY465" s="43" t="str">
        <f ca="1">IFERROR(__xludf.DUMMYFUNCTION("IFERROR(VLOOKUP(E482&amp;F482,IMPORTRANGE(""https://docs.google.com/spreadsheets/d/1Uw7-A9f9R21vMXxHZFNpYNeKFtG8_yji4HS352LGlSQ/edit?pli=1#gid=0"",""1_ACUM!A4:S""),13,FALSE))"),"")</f>
        <v/>
      </c>
      <c r="AZ465" s="43" t="str">
        <f ca="1">IFERROR(__xludf.DUMMYFUNCTION("IFERROR(VLOOKUP(E482&amp;F482,IMPORTRANGE(""https://docs.google.com/spreadsheets/d/1Uw7-A9f9R21vMXxHZFNpYNeKFtG8_yji4HS352LGlSQ/edit?pli=1#gid=0"",""1_ACUM!A4:S""),14,FALSE))"),"")</f>
        <v/>
      </c>
      <c r="BA465" s="43" t="str">
        <f ca="1">IFERROR(__xludf.DUMMYFUNCTION("IFERROR(VLOOKUP(E482&amp;F482,IMPORTRANGE(""https://docs.google.com/spreadsheets/d/1Uw7-A9f9R21vMXxHZFNpYNeKFtG8_yji4HS352LGlSQ/edit?pli=1#gid=0"",""1_ACUM!A4:S""),15,FALSE))"),"")</f>
        <v/>
      </c>
      <c r="BB465" s="43" t="str">
        <f ca="1">IFERROR(__xludf.DUMMYFUNCTION("IFERROR(VLOOKUP(E482&amp;F482,IMPORTRANGE(""https://docs.google.com/spreadsheets/d/1Uw7-A9f9R21vMXxHZFNpYNeKFtG8_yji4HS352LGlSQ/edit?pli=1#gid=0"",""1_ACUM!A4:S""),16,FALSE))"),"")</f>
        <v/>
      </c>
      <c r="BC465" s="43" t="str">
        <f ca="1">IFERROR(__xludf.DUMMYFUNCTION("IFERROR(VLOOKUP(E482&amp;F482,IMPORTRANGE(""https://docs.google.com/spreadsheets/d/1Uw7-A9f9R21vMXxHZFNpYNeKFtG8_yji4HS352LGlSQ/edit?pli=1#gid=0"",""1_ACUM!A4:S""),17,FALSE))"),"")</f>
        <v/>
      </c>
      <c r="BD465" s="44" t="str">
        <f ca="1">IFERROR(__xludf.DUMMYFUNCTION("IFERROR(VLOOKUP(E482&amp;F482,IMPORTRANGE(""https://docs.google.com/spreadsheets/d/1Uw7-A9f9R21vMXxHZFNpYNeKFtG8_yji4HS352LGlSQ/edit?pli=1#gid=0"",""1_ACUM!A4:S""),18,FALSE))"),"")</f>
        <v/>
      </c>
      <c r="BE465" s="44" t="str">
        <f ca="1">IFERROR(__xludf.DUMMYFUNCTION("IFERROR(VLOOKUP(E482&amp;F482,IMPORTRANGE(""https://docs.google.com/spreadsheets/d/1Uw7-A9f9R21vMXxHZFNpYNeKFtG8_yji4HS352LGlSQ/edit?pli=1#gid=0"",""1_ACUM!A4:S""),19,FALSE))"),"")</f>
        <v/>
      </c>
      <c r="BF465" s="44" t="str">
        <f ca="1">IFERROR(__xludf.DUMMYFUNCTION("IFERROR(VLOOKUP(F482,IMPORTRANGE(""https://docs.google.com/spreadsheets/d/1Kvs4KS76FHFqLFIZfrDMff4kP08nblUkihrxltoGBjg/edit#gid=934712705"",""ESENCIAL!A6:BG""),5,FALSE))"),"")</f>
        <v/>
      </c>
      <c r="BG465" s="44" t="str">
        <f t="shared" si="37"/>
        <v/>
      </c>
      <c r="BH465" s="41" t="str">
        <f t="shared" si="38"/>
        <v/>
      </c>
      <c r="BI465" s="41" t="str">
        <f ca="1">IFERROR(__xludf.DUMMYFUNCTION("IFERROR(VLOOKUP(F482,IMPORTRANGE(""https://docs.google.com/spreadsheets/d/1Kvs4KS76FHFqLFIZfrDMff4kP08nblUkihrxltoGBjg/edit#gid=934712705"",""ESENCIAL!A6:BG""),18,FALSE))"),"")</f>
        <v/>
      </c>
      <c r="BJ465" s="19" t="str">
        <f t="shared" si="39"/>
        <v/>
      </c>
      <c r="BK465" s="41"/>
      <c r="BL465" s="41"/>
    </row>
    <row r="466" spans="1:64" ht="15">
      <c r="A466" s="4"/>
      <c r="B466" s="4"/>
      <c r="G466" s="5" t="str">
        <f ca="1">IFERROR(__xludf.DUMMYFUNCTION("IFERROR(VLOOKUP(F483,IMPORTRANGE(""https://docs.google.com/spreadsheets/d/1Kvs4KS76FHFqLFIZfrDMff4kP08nblUkihrxltoGBjg/edit#gid=934712705"",""ESENCIAL!A6:BG""),3,FALSE))"),"")</f>
        <v/>
      </c>
      <c r="H466" s="5" t="str">
        <f ca="1">IFERROR(__xludf.DUMMYFUNCTION("IFERROR(VLOOKUP(F483,IMPORTRANGE(""https://docs.google.com/spreadsheets/d/1Kvs4KS76FHFqLFIZfrDMff4kP08nblUkihrxltoGBjg/edit#gid=934712705"",""ESENCIAL!A6:BG""),8,FALSE))"),"")</f>
        <v/>
      </c>
      <c r="L466" s="287"/>
      <c r="S466"/>
      <c r="AU466" s="41" t="str">
        <f t="shared" si="36"/>
        <v/>
      </c>
      <c r="AV466" s="5" t="str">
        <f ca="1">IFERROR(__xludf.DUMMYFUNCTION("IFERROR(VLOOKUP(E483&amp;F483,IMPORTRANGE(""https://docs.google.com/spreadsheets/d/1Uw7-A9f9R21vMXxHZFNpYNeKFtG8_yji4HS352LGlSQ/edit?pli=1#gid=0"",""1_ACUM!A4:S""),11,FALSE))"),"")</f>
        <v/>
      </c>
      <c r="AW466" s="42" t="str">
        <f ca="1">IFERROR(__xludf.DUMMYFUNCTION("IFERROR(VLOOKUP(F483,IMPORTRANGE(""https://docs.google.com/spreadsheets/d/1Kvs4KS76FHFqLFIZfrDMff4kP08nblUkihrxltoGBjg/edit#gid=934712705"",""ESENCIAL!A6:BG""),15,FALSE))"),"")</f>
        <v/>
      </c>
      <c r="AX466" s="21" t="str">
        <f ca="1">IFERROR(__xludf.DUMMYFUNCTION("IFERROR(VLOOKUP(E483&amp;F483,IMPORTRANGE(""https://docs.google.com/spreadsheets/d/1Uw7-A9f9R21vMXxHZFNpYNeKFtG8_yji4HS352LGlSQ/edit?pli=1#gid=0"",""1_ACUM!A4:S""),12,FALSE))"),"")</f>
        <v/>
      </c>
      <c r="AY466" s="43" t="str">
        <f ca="1">IFERROR(__xludf.DUMMYFUNCTION("IFERROR(VLOOKUP(E483&amp;F483,IMPORTRANGE(""https://docs.google.com/spreadsheets/d/1Uw7-A9f9R21vMXxHZFNpYNeKFtG8_yji4HS352LGlSQ/edit?pli=1#gid=0"",""1_ACUM!A4:S""),13,FALSE))"),"")</f>
        <v/>
      </c>
      <c r="AZ466" s="43" t="str">
        <f ca="1">IFERROR(__xludf.DUMMYFUNCTION("IFERROR(VLOOKUP(E483&amp;F483,IMPORTRANGE(""https://docs.google.com/spreadsheets/d/1Uw7-A9f9R21vMXxHZFNpYNeKFtG8_yji4HS352LGlSQ/edit?pli=1#gid=0"",""1_ACUM!A4:S""),14,FALSE))"),"")</f>
        <v/>
      </c>
      <c r="BA466" s="43" t="str">
        <f ca="1">IFERROR(__xludf.DUMMYFUNCTION("IFERROR(VLOOKUP(E483&amp;F483,IMPORTRANGE(""https://docs.google.com/spreadsheets/d/1Uw7-A9f9R21vMXxHZFNpYNeKFtG8_yji4HS352LGlSQ/edit?pli=1#gid=0"",""1_ACUM!A4:S""),15,FALSE))"),"")</f>
        <v/>
      </c>
      <c r="BB466" s="43" t="str">
        <f ca="1">IFERROR(__xludf.DUMMYFUNCTION("IFERROR(VLOOKUP(E483&amp;F483,IMPORTRANGE(""https://docs.google.com/spreadsheets/d/1Uw7-A9f9R21vMXxHZFNpYNeKFtG8_yji4HS352LGlSQ/edit?pli=1#gid=0"",""1_ACUM!A4:S""),16,FALSE))"),"")</f>
        <v/>
      </c>
      <c r="BC466" s="43" t="str">
        <f ca="1">IFERROR(__xludf.DUMMYFUNCTION("IFERROR(VLOOKUP(E483&amp;F483,IMPORTRANGE(""https://docs.google.com/spreadsheets/d/1Uw7-A9f9R21vMXxHZFNpYNeKFtG8_yji4HS352LGlSQ/edit?pli=1#gid=0"",""1_ACUM!A4:S""),17,FALSE))"),"")</f>
        <v/>
      </c>
      <c r="BD466" s="44" t="str">
        <f ca="1">IFERROR(__xludf.DUMMYFUNCTION("IFERROR(VLOOKUP(E483&amp;F483,IMPORTRANGE(""https://docs.google.com/spreadsheets/d/1Uw7-A9f9R21vMXxHZFNpYNeKFtG8_yji4HS352LGlSQ/edit?pli=1#gid=0"",""1_ACUM!A4:S""),18,FALSE))"),"")</f>
        <v/>
      </c>
      <c r="BE466" s="44" t="str">
        <f ca="1">IFERROR(__xludf.DUMMYFUNCTION("IFERROR(VLOOKUP(E483&amp;F483,IMPORTRANGE(""https://docs.google.com/spreadsheets/d/1Uw7-A9f9R21vMXxHZFNpYNeKFtG8_yji4HS352LGlSQ/edit?pli=1#gid=0"",""1_ACUM!A4:S""),19,FALSE))"),"")</f>
        <v/>
      </c>
      <c r="BF466" s="44" t="str">
        <f ca="1">IFERROR(__xludf.DUMMYFUNCTION("IFERROR(VLOOKUP(F483,IMPORTRANGE(""https://docs.google.com/spreadsheets/d/1Kvs4KS76FHFqLFIZfrDMff4kP08nblUkihrxltoGBjg/edit#gid=934712705"",""ESENCIAL!A6:BG""),5,FALSE))"),"")</f>
        <v/>
      </c>
      <c r="BG466" s="44" t="str">
        <f t="shared" si="37"/>
        <v/>
      </c>
      <c r="BH466" s="41" t="str">
        <f t="shared" si="38"/>
        <v/>
      </c>
      <c r="BI466" s="41" t="str">
        <f ca="1">IFERROR(__xludf.DUMMYFUNCTION("IFERROR(VLOOKUP(F483,IMPORTRANGE(""https://docs.google.com/spreadsheets/d/1Kvs4KS76FHFqLFIZfrDMff4kP08nblUkihrxltoGBjg/edit#gid=934712705"",""ESENCIAL!A6:BG""),18,FALSE))"),"")</f>
        <v/>
      </c>
      <c r="BJ466" s="19" t="str">
        <f t="shared" si="39"/>
        <v/>
      </c>
      <c r="BK466" s="41"/>
      <c r="BL466" s="41"/>
    </row>
    <row r="467" spans="1:64" ht="15">
      <c r="A467" s="4"/>
      <c r="B467" s="4"/>
      <c r="G467" s="5" t="str">
        <f ca="1">IFERROR(__xludf.DUMMYFUNCTION("IFERROR(VLOOKUP(F484,IMPORTRANGE(""https://docs.google.com/spreadsheets/d/1Kvs4KS76FHFqLFIZfrDMff4kP08nblUkihrxltoGBjg/edit#gid=934712705"",""ESENCIAL!A6:BG""),3,FALSE))"),"")</f>
        <v/>
      </c>
      <c r="H467" s="5" t="str">
        <f ca="1">IFERROR(__xludf.DUMMYFUNCTION("IFERROR(VLOOKUP(F484,IMPORTRANGE(""https://docs.google.com/spreadsheets/d/1Kvs4KS76FHFqLFIZfrDMff4kP08nblUkihrxltoGBjg/edit#gid=934712705"",""ESENCIAL!A6:BG""),8,FALSE))"),"")</f>
        <v/>
      </c>
      <c r="L467" s="287"/>
      <c r="S467"/>
      <c r="AU467" s="41" t="str">
        <f t="shared" si="36"/>
        <v/>
      </c>
      <c r="AV467" s="5" t="str">
        <f ca="1">IFERROR(__xludf.DUMMYFUNCTION("IFERROR(VLOOKUP(E484&amp;F484,IMPORTRANGE(""https://docs.google.com/spreadsheets/d/1Uw7-A9f9R21vMXxHZFNpYNeKFtG8_yji4HS352LGlSQ/edit?pli=1#gid=0"",""1_ACUM!A4:S""),11,FALSE))"),"")</f>
        <v/>
      </c>
      <c r="AW467" s="42" t="str">
        <f ca="1">IFERROR(__xludf.DUMMYFUNCTION("IFERROR(VLOOKUP(F484,IMPORTRANGE(""https://docs.google.com/spreadsheets/d/1Kvs4KS76FHFqLFIZfrDMff4kP08nblUkihrxltoGBjg/edit#gid=934712705"",""ESENCIAL!A6:BG""),15,FALSE))"),"")</f>
        <v/>
      </c>
      <c r="AX467" s="21" t="str">
        <f ca="1">IFERROR(__xludf.DUMMYFUNCTION("IFERROR(VLOOKUP(E484&amp;F484,IMPORTRANGE(""https://docs.google.com/spreadsheets/d/1Uw7-A9f9R21vMXxHZFNpYNeKFtG8_yji4HS352LGlSQ/edit?pli=1#gid=0"",""1_ACUM!A4:S""),12,FALSE))"),"")</f>
        <v/>
      </c>
      <c r="AY467" s="43" t="str">
        <f ca="1">IFERROR(__xludf.DUMMYFUNCTION("IFERROR(VLOOKUP(E484&amp;F484,IMPORTRANGE(""https://docs.google.com/spreadsheets/d/1Uw7-A9f9R21vMXxHZFNpYNeKFtG8_yji4HS352LGlSQ/edit?pli=1#gid=0"",""1_ACUM!A4:S""),13,FALSE))"),"")</f>
        <v/>
      </c>
      <c r="AZ467" s="43" t="str">
        <f ca="1">IFERROR(__xludf.DUMMYFUNCTION("IFERROR(VLOOKUP(E484&amp;F484,IMPORTRANGE(""https://docs.google.com/spreadsheets/d/1Uw7-A9f9R21vMXxHZFNpYNeKFtG8_yji4HS352LGlSQ/edit?pli=1#gid=0"",""1_ACUM!A4:S""),14,FALSE))"),"")</f>
        <v/>
      </c>
      <c r="BA467" s="43" t="str">
        <f ca="1">IFERROR(__xludf.DUMMYFUNCTION("IFERROR(VLOOKUP(E484&amp;F484,IMPORTRANGE(""https://docs.google.com/spreadsheets/d/1Uw7-A9f9R21vMXxHZFNpYNeKFtG8_yji4HS352LGlSQ/edit?pli=1#gid=0"",""1_ACUM!A4:S""),15,FALSE))"),"")</f>
        <v/>
      </c>
      <c r="BB467" s="43" t="str">
        <f ca="1">IFERROR(__xludf.DUMMYFUNCTION("IFERROR(VLOOKUP(E484&amp;F484,IMPORTRANGE(""https://docs.google.com/spreadsheets/d/1Uw7-A9f9R21vMXxHZFNpYNeKFtG8_yji4HS352LGlSQ/edit?pli=1#gid=0"",""1_ACUM!A4:S""),16,FALSE))"),"")</f>
        <v/>
      </c>
      <c r="BC467" s="43" t="str">
        <f ca="1">IFERROR(__xludf.DUMMYFUNCTION("IFERROR(VLOOKUP(E484&amp;F484,IMPORTRANGE(""https://docs.google.com/spreadsheets/d/1Uw7-A9f9R21vMXxHZFNpYNeKFtG8_yji4HS352LGlSQ/edit?pli=1#gid=0"",""1_ACUM!A4:S""),17,FALSE))"),"")</f>
        <v/>
      </c>
      <c r="BD467" s="44" t="str">
        <f ca="1">IFERROR(__xludf.DUMMYFUNCTION("IFERROR(VLOOKUP(E484&amp;F484,IMPORTRANGE(""https://docs.google.com/spreadsheets/d/1Uw7-A9f9R21vMXxHZFNpYNeKFtG8_yji4HS352LGlSQ/edit?pli=1#gid=0"",""1_ACUM!A4:S""),18,FALSE))"),"")</f>
        <v/>
      </c>
      <c r="BE467" s="44" t="str">
        <f ca="1">IFERROR(__xludf.DUMMYFUNCTION("IFERROR(VLOOKUP(E484&amp;F484,IMPORTRANGE(""https://docs.google.com/spreadsheets/d/1Uw7-A9f9R21vMXxHZFNpYNeKFtG8_yji4HS352LGlSQ/edit?pli=1#gid=0"",""1_ACUM!A4:S""),19,FALSE))"),"")</f>
        <v/>
      </c>
      <c r="BF467" s="44" t="str">
        <f ca="1">IFERROR(__xludf.DUMMYFUNCTION("IFERROR(VLOOKUP(F484,IMPORTRANGE(""https://docs.google.com/spreadsheets/d/1Kvs4KS76FHFqLFIZfrDMff4kP08nblUkihrxltoGBjg/edit#gid=934712705"",""ESENCIAL!A6:BG""),5,FALSE))"),"")</f>
        <v/>
      </c>
      <c r="BG467" s="44" t="str">
        <f t="shared" si="37"/>
        <v/>
      </c>
      <c r="BH467" s="41" t="str">
        <f t="shared" si="38"/>
        <v/>
      </c>
      <c r="BI467" s="41" t="str">
        <f ca="1">IFERROR(__xludf.DUMMYFUNCTION("IFERROR(VLOOKUP(F484,IMPORTRANGE(""https://docs.google.com/spreadsheets/d/1Kvs4KS76FHFqLFIZfrDMff4kP08nblUkihrxltoGBjg/edit#gid=934712705"",""ESENCIAL!A6:BG""),18,FALSE))"),"")</f>
        <v/>
      </c>
      <c r="BJ467" s="19" t="str">
        <f t="shared" si="39"/>
        <v/>
      </c>
      <c r="BK467" s="41"/>
      <c r="BL467" s="41"/>
    </row>
    <row r="468" spans="1:64" ht="15">
      <c r="A468" s="4"/>
      <c r="B468" s="4"/>
      <c r="G468" s="5" t="str">
        <f ca="1">IFERROR(__xludf.DUMMYFUNCTION("IFERROR(VLOOKUP(F485,IMPORTRANGE(""https://docs.google.com/spreadsheets/d/1Kvs4KS76FHFqLFIZfrDMff4kP08nblUkihrxltoGBjg/edit#gid=934712705"",""ESENCIAL!A6:BG""),3,FALSE))"),"")</f>
        <v/>
      </c>
      <c r="H468" s="5" t="str">
        <f ca="1">IFERROR(__xludf.DUMMYFUNCTION("IFERROR(VLOOKUP(F485,IMPORTRANGE(""https://docs.google.com/spreadsheets/d/1Kvs4KS76FHFqLFIZfrDMff4kP08nblUkihrxltoGBjg/edit#gid=934712705"",""ESENCIAL!A6:BG""),8,FALSE))"),"")</f>
        <v/>
      </c>
      <c r="L468" s="287"/>
      <c r="S468"/>
      <c r="AU468" s="41" t="str">
        <f t="shared" si="36"/>
        <v/>
      </c>
      <c r="AV468" s="5" t="str">
        <f ca="1">IFERROR(__xludf.DUMMYFUNCTION("IFERROR(VLOOKUP(E485&amp;F485,IMPORTRANGE(""https://docs.google.com/spreadsheets/d/1Uw7-A9f9R21vMXxHZFNpYNeKFtG8_yji4HS352LGlSQ/edit?pli=1#gid=0"",""1_ACUM!A4:S""),11,FALSE))"),"")</f>
        <v/>
      </c>
      <c r="AW468" s="42" t="str">
        <f ca="1">IFERROR(__xludf.DUMMYFUNCTION("IFERROR(VLOOKUP(F485,IMPORTRANGE(""https://docs.google.com/spreadsheets/d/1Kvs4KS76FHFqLFIZfrDMff4kP08nblUkihrxltoGBjg/edit#gid=934712705"",""ESENCIAL!A6:BG""),15,FALSE))"),"")</f>
        <v/>
      </c>
      <c r="AX468" s="21" t="str">
        <f ca="1">IFERROR(__xludf.DUMMYFUNCTION("IFERROR(VLOOKUP(E485&amp;F485,IMPORTRANGE(""https://docs.google.com/spreadsheets/d/1Uw7-A9f9R21vMXxHZFNpYNeKFtG8_yji4HS352LGlSQ/edit?pli=1#gid=0"",""1_ACUM!A4:S""),12,FALSE))"),"")</f>
        <v/>
      </c>
      <c r="AY468" s="43" t="str">
        <f ca="1">IFERROR(__xludf.DUMMYFUNCTION("IFERROR(VLOOKUP(E485&amp;F485,IMPORTRANGE(""https://docs.google.com/spreadsheets/d/1Uw7-A9f9R21vMXxHZFNpYNeKFtG8_yji4HS352LGlSQ/edit?pli=1#gid=0"",""1_ACUM!A4:S""),13,FALSE))"),"")</f>
        <v/>
      </c>
      <c r="AZ468" s="43" t="str">
        <f ca="1">IFERROR(__xludf.DUMMYFUNCTION("IFERROR(VLOOKUP(E485&amp;F485,IMPORTRANGE(""https://docs.google.com/spreadsheets/d/1Uw7-A9f9R21vMXxHZFNpYNeKFtG8_yji4HS352LGlSQ/edit?pli=1#gid=0"",""1_ACUM!A4:S""),14,FALSE))"),"")</f>
        <v/>
      </c>
      <c r="BA468" s="43" t="str">
        <f ca="1">IFERROR(__xludf.DUMMYFUNCTION("IFERROR(VLOOKUP(E485&amp;F485,IMPORTRANGE(""https://docs.google.com/spreadsheets/d/1Uw7-A9f9R21vMXxHZFNpYNeKFtG8_yji4HS352LGlSQ/edit?pli=1#gid=0"",""1_ACUM!A4:S""),15,FALSE))"),"")</f>
        <v/>
      </c>
      <c r="BB468" s="43" t="str">
        <f ca="1">IFERROR(__xludf.DUMMYFUNCTION("IFERROR(VLOOKUP(E485&amp;F485,IMPORTRANGE(""https://docs.google.com/spreadsheets/d/1Uw7-A9f9R21vMXxHZFNpYNeKFtG8_yji4HS352LGlSQ/edit?pli=1#gid=0"",""1_ACUM!A4:S""),16,FALSE))"),"")</f>
        <v/>
      </c>
      <c r="BC468" s="43" t="str">
        <f ca="1">IFERROR(__xludf.DUMMYFUNCTION("IFERROR(VLOOKUP(E485&amp;F485,IMPORTRANGE(""https://docs.google.com/spreadsheets/d/1Uw7-A9f9R21vMXxHZFNpYNeKFtG8_yji4HS352LGlSQ/edit?pli=1#gid=0"",""1_ACUM!A4:S""),17,FALSE))"),"")</f>
        <v/>
      </c>
      <c r="BD468" s="44" t="str">
        <f ca="1">IFERROR(__xludf.DUMMYFUNCTION("IFERROR(VLOOKUP(E485&amp;F485,IMPORTRANGE(""https://docs.google.com/spreadsheets/d/1Uw7-A9f9R21vMXxHZFNpYNeKFtG8_yji4HS352LGlSQ/edit?pli=1#gid=0"",""1_ACUM!A4:S""),18,FALSE))"),"")</f>
        <v/>
      </c>
      <c r="BE468" s="44" t="str">
        <f ca="1">IFERROR(__xludf.DUMMYFUNCTION("IFERROR(VLOOKUP(E485&amp;F485,IMPORTRANGE(""https://docs.google.com/spreadsheets/d/1Uw7-A9f9R21vMXxHZFNpYNeKFtG8_yji4HS352LGlSQ/edit?pli=1#gid=0"",""1_ACUM!A4:S""),19,FALSE))"),"")</f>
        <v/>
      </c>
      <c r="BF468" s="44" t="str">
        <f ca="1">IFERROR(__xludf.DUMMYFUNCTION("IFERROR(VLOOKUP(F485,IMPORTRANGE(""https://docs.google.com/spreadsheets/d/1Kvs4KS76FHFqLFIZfrDMff4kP08nblUkihrxltoGBjg/edit#gid=934712705"",""ESENCIAL!A6:BG""),5,FALSE))"),"")</f>
        <v/>
      </c>
      <c r="BG468" s="44" t="str">
        <f t="shared" si="37"/>
        <v/>
      </c>
      <c r="BH468" s="41" t="str">
        <f t="shared" si="38"/>
        <v/>
      </c>
      <c r="BI468" s="41" t="str">
        <f ca="1">IFERROR(__xludf.DUMMYFUNCTION("IFERROR(VLOOKUP(F485,IMPORTRANGE(""https://docs.google.com/spreadsheets/d/1Kvs4KS76FHFqLFIZfrDMff4kP08nblUkihrxltoGBjg/edit#gid=934712705"",""ESENCIAL!A6:BG""),18,FALSE))"),"")</f>
        <v/>
      </c>
      <c r="BJ468" s="19" t="str">
        <f t="shared" si="39"/>
        <v/>
      </c>
      <c r="BK468" s="41"/>
      <c r="BL468" s="41"/>
    </row>
    <row r="469" spans="1:64" ht="15">
      <c r="A469" s="4"/>
      <c r="B469" s="4"/>
      <c r="G469" s="5" t="str">
        <f ca="1">IFERROR(__xludf.DUMMYFUNCTION("IFERROR(VLOOKUP(F486,IMPORTRANGE(""https://docs.google.com/spreadsheets/d/1Kvs4KS76FHFqLFIZfrDMff4kP08nblUkihrxltoGBjg/edit#gid=934712705"",""ESENCIAL!A6:BG""),3,FALSE))"),"")</f>
        <v/>
      </c>
      <c r="H469" s="5" t="str">
        <f ca="1">IFERROR(__xludf.DUMMYFUNCTION("IFERROR(VLOOKUP(F486,IMPORTRANGE(""https://docs.google.com/spreadsheets/d/1Kvs4KS76FHFqLFIZfrDMff4kP08nblUkihrxltoGBjg/edit#gid=934712705"",""ESENCIAL!A6:BG""),8,FALSE))"),"")</f>
        <v/>
      </c>
      <c r="L469" s="287"/>
      <c r="S469"/>
      <c r="AU469" s="41" t="str">
        <f t="shared" si="36"/>
        <v/>
      </c>
      <c r="AV469" s="5" t="str">
        <f ca="1">IFERROR(__xludf.DUMMYFUNCTION("IFERROR(VLOOKUP(E486&amp;F486,IMPORTRANGE(""https://docs.google.com/spreadsheets/d/1Uw7-A9f9R21vMXxHZFNpYNeKFtG8_yji4HS352LGlSQ/edit?pli=1#gid=0"",""1_ACUM!A4:S""),11,FALSE))"),"")</f>
        <v/>
      </c>
      <c r="AW469" s="42" t="str">
        <f ca="1">IFERROR(__xludf.DUMMYFUNCTION("IFERROR(VLOOKUP(F486,IMPORTRANGE(""https://docs.google.com/spreadsheets/d/1Kvs4KS76FHFqLFIZfrDMff4kP08nblUkihrxltoGBjg/edit#gid=934712705"",""ESENCIAL!A6:BG""),15,FALSE))"),"")</f>
        <v/>
      </c>
      <c r="AX469" s="21" t="str">
        <f ca="1">IFERROR(__xludf.DUMMYFUNCTION("IFERROR(VLOOKUP(E486&amp;F486,IMPORTRANGE(""https://docs.google.com/spreadsheets/d/1Uw7-A9f9R21vMXxHZFNpYNeKFtG8_yji4HS352LGlSQ/edit?pli=1#gid=0"",""1_ACUM!A4:S""),12,FALSE))"),"")</f>
        <v/>
      </c>
      <c r="AY469" s="43" t="str">
        <f ca="1">IFERROR(__xludf.DUMMYFUNCTION("IFERROR(VLOOKUP(E486&amp;F486,IMPORTRANGE(""https://docs.google.com/spreadsheets/d/1Uw7-A9f9R21vMXxHZFNpYNeKFtG8_yji4HS352LGlSQ/edit?pli=1#gid=0"",""1_ACUM!A4:S""),13,FALSE))"),"")</f>
        <v/>
      </c>
      <c r="AZ469" s="43" t="str">
        <f ca="1">IFERROR(__xludf.DUMMYFUNCTION("IFERROR(VLOOKUP(E486&amp;F486,IMPORTRANGE(""https://docs.google.com/spreadsheets/d/1Uw7-A9f9R21vMXxHZFNpYNeKFtG8_yji4HS352LGlSQ/edit?pli=1#gid=0"",""1_ACUM!A4:S""),14,FALSE))"),"")</f>
        <v/>
      </c>
      <c r="BA469" s="43" t="str">
        <f ca="1">IFERROR(__xludf.DUMMYFUNCTION("IFERROR(VLOOKUP(E486&amp;F486,IMPORTRANGE(""https://docs.google.com/spreadsheets/d/1Uw7-A9f9R21vMXxHZFNpYNeKFtG8_yji4HS352LGlSQ/edit?pli=1#gid=0"",""1_ACUM!A4:S""),15,FALSE))"),"")</f>
        <v/>
      </c>
      <c r="BB469" s="43" t="str">
        <f ca="1">IFERROR(__xludf.DUMMYFUNCTION("IFERROR(VLOOKUP(E486&amp;F486,IMPORTRANGE(""https://docs.google.com/spreadsheets/d/1Uw7-A9f9R21vMXxHZFNpYNeKFtG8_yji4HS352LGlSQ/edit?pli=1#gid=0"",""1_ACUM!A4:S""),16,FALSE))"),"")</f>
        <v/>
      </c>
      <c r="BC469" s="43" t="str">
        <f ca="1">IFERROR(__xludf.DUMMYFUNCTION("IFERROR(VLOOKUP(E486&amp;F486,IMPORTRANGE(""https://docs.google.com/spreadsheets/d/1Uw7-A9f9R21vMXxHZFNpYNeKFtG8_yji4HS352LGlSQ/edit?pli=1#gid=0"",""1_ACUM!A4:S""),17,FALSE))"),"")</f>
        <v/>
      </c>
      <c r="BD469" s="44" t="str">
        <f ca="1">IFERROR(__xludf.DUMMYFUNCTION("IFERROR(VLOOKUP(E486&amp;F486,IMPORTRANGE(""https://docs.google.com/spreadsheets/d/1Uw7-A9f9R21vMXxHZFNpYNeKFtG8_yji4HS352LGlSQ/edit?pli=1#gid=0"",""1_ACUM!A4:S""),18,FALSE))"),"")</f>
        <v/>
      </c>
      <c r="BE469" s="44" t="str">
        <f ca="1">IFERROR(__xludf.DUMMYFUNCTION("IFERROR(VLOOKUP(E486&amp;F486,IMPORTRANGE(""https://docs.google.com/spreadsheets/d/1Uw7-A9f9R21vMXxHZFNpYNeKFtG8_yji4HS352LGlSQ/edit?pli=1#gid=0"",""1_ACUM!A4:S""),19,FALSE))"),"")</f>
        <v/>
      </c>
      <c r="BF469" s="44" t="str">
        <f ca="1">IFERROR(__xludf.DUMMYFUNCTION("IFERROR(VLOOKUP(F486,IMPORTRANGE(""https://docs.google.com/spreadsheets/d/1Kvs4KS76FHFqLFIZfrDMff4kP08nblUkihrxltoGBjg/edit#gid=934712705"",""ESENCIAL!A6:BG""),5,FALSE))"),"")</f>
        <v/>
      </c>
      <c r="BG469" s="44" t="str">
        <f t="shared" si="37"/>
        <v/>
      </c>
      <c r="BH469" s="41" t="str">
        <f t="shared" si="38"/>
        <v/>
      </c>
      <c r="BI469" s="41" t="str">
        <f ca="1">IFERROR(__xludf.DUMMYFUNCTION("IFERROR(VLOOKUP(F486,IMPORTRANGE(""https://docs.google.com/spreadsheets/d/1Kvs4KS76FHFqLFIZfrDMff4kP08nblUkihrxltoGBjg/edit#gid=934712705"",""ESENCIAL!A6:BG""),18,FALSE))"),"")</f>
        <v/>
      </c>
      <c r="BJ469" s="19" t="str">
        <f t="shared" si="39"/>
        <v/>
      </c>
      <c r="BK469" s="41"/>
      <c r="BL469" s="41"/>
    </row>
    <row r="470" spans="1:64" ht="15">
      <c r="A470" s="4"/>
      <c r="B470" s="4"/>
      <c r="G470" s="5" t="str">
        <f ca="1">IFERROR(__xludf.DUMMYFUNCTION("IFERROR(VLOOKUP(F487,IMPORTRANGE(""https://docs.google.com/spreadsheets/d/1Kvs4KS76FHFqLFIZfrDMff4kP08nblUkihrxltoGBjg/edit#gid=934712705"",""ESENCIAL!A6:BG""),3,FALSE))"),"")</f>
        <v/>
      </c>
      <c r="H470" s="5" t="str">
        <f ca="1">IFERROR(__xludf.DUMMYFUNCTION("IFERROR(VLOOKUP(F487,IMPORTRANGE(""https://docs.google.com/spreadsheets/d/1Kvs4KS76FHFqLFIZfrDMff4kP08nblUkihrxltoGBjg/edit#gid=934712705"",""ESENCIAL!A6:BG""),8,FALSE))"),"")</f>
        <v/>
      </c>
      <c r="L470" s="287"/>
      <c r="S470"/>
      <c r="AU470" s="41" t="str">
        <f t="shared" si="36"/>
        <v/>
      </c>
      <c r="AV470" s="5" t="str">
        <f ca="1">IFERROR(__xludf.DUMMYFUNCTION("IFERROR(VLOOKUP(E487&amp;F487,IMPORTRANGE(""https://docs.google.com/spreadsheets/d/1Uw7-A9f9R21vMXxHZFNpYNeKFtG8_yji4HS352LGlSQ/edit?pli=1#gid=0"",""1_ACUM!A4:S""),11,FALSE))"),"")</f>
        <v/>
      </c>
      <c r="AW470" s="42" t="str">
        <f ca="1">IFERROR(__xludf.DUMMYFUNCTION("IFERROR(VLOOKUP(F487,IMPORTRANGE(""https://docs.google.com/spreadsheets/d/1Kvs4KS76FHFqLFIZfrDMff4kP08nblUkihrxltoGBjg/edit#gid=934712705"",""ESENCIAL!A6:BG""),15,FALSE))"),"")</f>
        <v/>
      </c>
      <c r="AX470" s="21" t="str">
        <f ca="1">IFERROR(__xludf.DUMMYFUNCTION("IFERROR(VLOOKUP(E487&amp;F487,IMPORTRANGE(""https://docs.google.com/spreadsheets/d/1Uw7-A9f9R21vMXxHZFNpYNeKFtG8_yji4HS352LGlSQ/edit?pli=1#gid=0"",""1_ACUM!A4:S""),12,FALSE))"),"")</f>
        <v/>
      </c>
      <c r="AY470" s="43" t="str">
        <f ca="1">IFERROR(__xludf.DUMMYFUNCTION("IFERROR(VLOOKUP(E487&amp;F487,IMPORTRANGE(""https://docs.google.com/spreadsheets/d/1Uw7-A9f9R21vMXxHZFNpYNeKFtG8_yji4HS352LGlSQ/edit?pli=1#gid=0"",""1_ACUM!A4:S""),13,FALSE))"),"")</f>
        <v/>
      </c>
      <c r="AZ470" s="43" t="str">
        <f ca="1">IFERROR(__xludf.DUMMYFUNCTION("IFERROR(VLOOKUP(E487&amp;F487,IMPORTRANGE(""https://docs.google.com/spreadsheets/d/1Uw7-A9f9R21vMXxHZFNpYNeKFtG8_yji4HS352LGlSQ/edit?pli=1#gid=0"",""1_ACUM!A4:S""),14,FALSE))"),"")</f>
        <v/>
      </c>
      <c r="BA470" s="43" t="str">
        <f ca="1">IFERROR(__xludf.DUMMYFUNCTION("IFERROR(VLOOKUP(E487&amp;F487,IMPORTRANGE(""https://docs.google.com/spreadsheets/d/1Uw7-A9f9R21vMXxHZFNpYNeKFtG8_yji4HS352LGlSQ/edit?pli=1#gid=0"",""1_ACUM!A4:S""),15,FALSE))"),"")</f>
        <v/>
      </c>
      <c r="BB470" s="43" t="str">
        <f ca="1">IFERROR(__xludf.DUMMYFUNCTION("IFERROR(VLOOKUP(E487&amp;F487,IMPORTRANGE(""https://docs.google.com/spreadsheets/d/1Uw7-A9f9R21vMXxHZFNpYNeKFtG8_yji4HS352LGlSQ/edit?pli=1#gid=0"",""1_ACUM!A4:S""),16,FALSE))"),"")</f>
        <v/>
      </c>
      <c r="BC470" s="43" t="str">
        <f ca="1">IFERROR(__xludf.DUMMYFUNCTION("IFERROR(VLOOKUP(E487&amp;F487,IMPORTRANGE(""https://docs.google.com/spreadsheets/d/1Uw7-A9f9R21vMXxHZFNpYNeKFtG8_yji4HS352LGlSQ/edit?pli=1#gid=0"",""1_ACUM!A4:S""),17,FALSE))"),"")</f>
        <v/>
      </c>
      <c r="BD470" s="44" t="str">
        <f ca="1">IFERROR(__xludf.DUMMYFUNCTION("IFERROR(VLOOKUP(E487&amp;F487,IMPORTRANGE(""https://docs.google.com/spreadsheets/d/1Uw7-A9f9R21vMXxHZFNpYNeKFtG8_yji4HS352LGlSQ/edit?pli=1#gid=0"",""1_ACUM!A4:S""),18,FALSE))"),"")</f>
        <v/>
      </c>
      <c r="BE470" s="44" t="str">
        <f ca="1">IFERROR(__xludf.DUMMYFUNCTION("IFERROR(VLOOKUP(E487&amp;F487,IMPORTRANGE(""https://docs.google.com/spreadsheets/d/1Uw7-A9f9R21vMXxHZFNpYNeKFtG8_yji4HS352LGlSQ/edit?pli=1#gid=0"",""1_ACUM!A4:S""),19,FALSE))"),"")</f>
        <v/>
      </c>
      <c r="BF470" s="44" t="str">
        <f ca="1">IFERROR(__xludf.DUMMYFUNCTION("IFERROR(VLOOKUP(F487,IMPORTRANGE(""https://docs.google.com/spreadsheets/d/1Kvs4KS76FHFqLFIZfrDMff4kP08nblUkihrxltoGBjg/edit#gid=934712705"",""ESENCIAL!A6:BG""),5,FALSE))"),"")</f>
        <v/>
      </c>
      <c r="BG470" s="44" t="str">
        <f t="shared" si="37"/>
        <v/>
      </c>
      <c r="BH470" s="41" t="str">
        <f t="shared" si="38"/>
        <v/>
      </c>
      <c r="BI470" s="41" t="str">
        <f ca="1">IFERROR(__xludf.DUMMYFUNCTION("IFERROR(VLOOKUP(F487,IMPORTRANGE(""https://docs.google.com/spreadsheets/d/1Kvs4KS76FHFqLFIZfrDMff4kP08nblUkihrxltoGBjg/edit#gid=934712705"",""ESENCIAL!A6:BG""),18,FALSE))"),"")</f>
        <v/>
      </c>
      <c r="BJ470" s="19" t="str">
        <f t="shared" si="39"/>
        <v/>
      </c>
      <c r="BK470" s="41"/>
      <c r="BL470" s="41"/>
    </row>
    <row r="471" spans="1:64" ht="15">
      <c r="A471" s="4"/>
      <c r="B471" s="4"/>
      <c r="G471" s="5" t="str">
        <f ca="1">IFERROR(__xludf.DUMMYFUNCTION("IFERROR(VLOOKUP(F488,IMPORTRANGE(""https://docs.google.com/spreadsheets/d/1Kvs4KS76FHFqLFIZfrDMff4kP08nblUkihrxltoGBjg/edit#gid=934712705"",""ESENCIAL!A6:BG""),3,FALSE))"),"")</f>
        <v/>
      </c>
      <c r="H471" s="5" t="str">
        <f ca="1">IFERROR(__xludf.DUMMYFUNCTION("IFERROR(VLOOKUP(F488,IMPORTRANGE(""https://docs.google.com/spreadsheets/d/1Kvs4KS76FHFqLFIZfrDMff4kP08nblUkihrxltoGBjg/edit#gid=934712705"",""ESENCIAL!A6:BG""),8,FALSE))"),"")</f>
        <v/>
      </c>
      <c r="L471" s="287"/>
      <c r="S471"/>
      <c r="AU471" s="41" t="str">
        <f t="shared" si="36"/>
        <v/>
      </c>
      <c r="AV471" s="5" t="str">
        <f ca="1">IFERROR(__xludf.DUMMYFUNCTION("IFERROR(VLOOKUP(E488&amp;F488,IMPORTRANGE(""https://docs.google.com/spreadsheets/d/1Uw7-A9f9R21vMXxHZFNpYNeKFtG8_yji4HS352LGlSQ/edit?pli=1#gid=0"",""1_ACUM!A4:S""),11,FALSE))"),"")</f>
        <v/>
      </c>
      <c r="AW471" s="42" t="str">
        <f ca="1">IFERROR(__xludf.DUMMYFUNCTION("IFERROR(VLOOKUP(F488,IMPORTRANGE(""https://docs.google.com/spreadsheets/d/1Kvs4KS76FHFqLFIZfrDMff4kP08nblUkihrxltoGBjg/edit#gid=934712705"",""ESENCIAL!A6:BG""),15,FALSE))"),"")</f>
        <v/>
      </c>
      <c r="AX471" s="21" t="str">
        <f ca="1">IFERROR(__xludf.DUMMYFUNCTION("IFERROR(VLOOKUP(E488&amp;F488,IMPORTRANGE(""https://docs.google.com/spreadsheets/d/1Uw7-A9f9R21vMXxHZFNpYNeKFtG8_yji4HS352LGlSQ/edit?pli=1#gid=0"",""1_ACUM!A4:S""),12,FALSE))"),"")</f>
        <v/>
      </c>
      <c r="AY471" s="43" t="str">
        <f ca="1">IFERROR(__xludf.DUMMYFUNCTION("IFERROR(VLOOKUP(E488&amp;F488,IMPORTRANGE(""https://docs.google.com/spreadsheets/d/1Uw7-A9f9R21vMXxHZFNpYNeKFtG8_yji4HS352LGlSQ/edit?pli=1#gid=0"",""1_ACUM!A4:S""),13,FALSE))"),"")</f>
        <v/>
      </c>
      <c r="AZ471" s="43" t="str">
        <f ca="1">IFERROR(__xludf.DUMMYFUNCTION("IFERROR(VLOOKUP(E488&amp;F488,IMPORTRANGE(""https://docs.google.com/spreadsheets/d/1Uw7-A9f9R21vMXxHZFNpYNeKFtG8_yji4HS352LGlSQ/edit?pli=1#gid=0"",""1_ACUM!A4:S""),14,FALSE))"),"")</f>
        <v/>
      </c>
      <c r="BA471" s="43" t="str">
        <f ca="1">IFERROR(__xludf.DUMMYFUNCTION("IFERROR(VLOOKUP(E488&amp;F488,IMPORTRANGE(""https://docs.google.com/spreadsheets/d/1Uw7-A9f9R21vMXxHZFNpYNeKFtG8_yji4HS352LGlSQ/edit?pli=1#gid=0"",""1_ACUM!A4:S""),15,FALSE))"),"")</f>
        <v/>
      </c>
      <c r="BB471" s="43" t="str">
        <f ca="1">IFERROR(__xludf.DUMMYFUNCTION("IFERROR(VLOOKUP(E488&amp;F488,IMPORTRANGE(""https://docs.google.com/spreadsheets/d/1Uw7-A9f9R21vMXxHZFNpYNeKFtG8_yji4HS352LGlSQ/edit?pli=1#gid=0"",""1_ACUM!A4:S""),16,FALSE))"),"")</f>
        <v/>
      </c>
      <c r="BC471" s="43" t="str">
        <f ca="1">IFERROR(__xludf.DUMMYFUNCTION("IFERROR(VLOOKUP(E488&amp;F488,IMPORTRANGE(""https://docs.google.com/spreadsheets/d/1Uw7-A9f9R21vMXxHZFNpYNeKFtG8_yji4HS352LGlSQ/edit?pli=1#gid=0"",""1_ACUM!A4:S""),17,FALSE))"),"")</f>
        <v/>
      </c>
      <c r="BD471" s="44" t="str">
        <f ca="1">IFERROR(__xludf.DUMMYFUNCTION("IFERROR(VLOOKUP(E488&amp;F488,IMPORTRANGE(""https://docs.google.com/spreadsheets/d/1Uw7-A9f9R21vMXxHZFNpYNeKFtG8_yji4HS352LGlSQ/edit?pli=1#gid=0"",""1_ACUM!A4:S""),18,FALSE))"),"")</f>
        <v/>
      </c>
      <c r="BE471" s="44" t="str">
        <f ca="1">IFERROR(__xludf.DUMMYFUNCTION("IFERROR(VLOOKUP(E488&amp;F488,IMPORTRANGE(""https://docs.google.com/spreadsheets/d/1Uw7-A9f9R21vMXxHZFNpYNeKFtG8_yji4HS352LGlSQ/edit?pli=1#gid=0"",""1_ACUM!A4:S""),19,FALSE))"),"")</f>
        <v/>
      </c>
      <c r="BF471" s="44" t="str">
        <f ca="1">IFERROR(__xludf.DUMMYFUNCTION("IFERROR(VLOOKUP(F488,IMPORTRANGE(""https://docs.google.com/spreadsheets/d/1Kvs4KS76FHFqLFIZfrDMff4kP08nblUkihrxltoGBjg/edit#gid=934712705"",""ESENCIAL!A6:BG""),5,FALSE))"),"")</f>
        <v/>
      </c>
      <c r="BG471" s="44" t="str">
        <f t="shared" si="37"/>
        <v/>
      </c>
      <c r="BH471" s="41" t="str">
        <f t="shared" si="38"/>
        <v/>
      </c>
      <c r="BI471" s="41" t="str">
        <f ca="1">IFERROR(__xludf.DUMMYFUNCTION("IFERROR(VLOOKUP(F488,IMPORTRANGE(""https://docs.google.com/spreadsheets/d/1Kvs4KS76FHFqLFIZfrDMff4kP08nblUkihrxltoGBjg/edit#gid=934712705"",""ESENCIAL!A6:BG""),18,FALSE))"),"")</f>
        <v/>
      </c>
      <c r="BJ471" s="19" t="str">
        <f t="shared" si="39"/>
        <v/>
      </c>
      <c r="BK471" s="41"/>
      <c r="BL471" s="41"/>
    </row>
    <row r="472" spans="1:64" ht="15">
      <c r="A472" s="4"/>
      <c r="B472" s="4"/>
      <c r="G472" s="5" t="str">
        <f ca="1">IFERROR(__xludf.DUMMYFUNCTION("IFERROR(VLOOKUP(F489,IMPORTRANGE(""https://docs.google.com/spreadsheets/d/1Kvs4KS76FHFqLFIZfrDMff4kP08nblUkihrxltoGBjg/edit#gid=934712705"",""ESENCIAL!A6:BG""),3,FALSE))"),"")</f>
        <v/>
      </c>
      <c r="H472" s="5" t="str">
        <f ca="1">IFERROR(__xludf.DUMMYFUNCTION("IFERROR(VLOOKUP(F489,IMPORTRANGE(""https://docs.google.com/spreadsheets/d/1Kvs4KS76FHFqLFIZfrDMff4kP08nblUkihrxltoGBjg/edit#gid=934712705"",""ESENCIAL!A6:BG""),8,FALSE))"),"")</f>
        <v/>
      </c>
      <c r="L472" s="287"/>
      <c r="S472"/>
      <c r="AU472" s="41" t="str">
        <f t="shared" si="36"/>
        <v/>
      </c>
      <c r="AV472" s="5" t="str">
        <f ca="1">IFERROR(__xludf.DUMMYFUNCTION("IFERROR(VLOOKUP(E489&amp;F489,IMPORTRANGE(""https://docs.google.com/spreadsheets/d/1Uw7-A9f9R21vMXxHZFNpYNeKFtG8_yji4HS352LGlSQ/edit?pli=1#gid=0"",""1_ACUM!A4:S""),11,FALSE))"),"")</f>
        <v/>
      </c>
      <c r="AW472" s="42" t="str">
        <f ca="1">IFERROR(__xludf.DUMMYFUNCTION("IFERROR(VLOOKUP(F489,IMPORTRANGE(""https://docs.google.com/spreadsheets/d/1Kvs4KS76FHFqLFIZfrDMff4kP08nblUkihrxltoGBjg/edit#gid=934712705"",""ESENCIAL!A6:BG""),15,FALSE))"),"")</f>
        <v/>
      </c>
      <c r="AX472" s="21" t="str">
        <f ca="1">IFERROR(__xludf.DUMMYFUNCTION("IFERROR(VLOOKUP(E489&amp;F489,IMPORTRANGE(""https://docs.google.com/spreadsheets/d/1Uw7-A9f9R21vMXxHZFNpYNeKFtG8_yji4HS352LGlSQ/edit?pli=1#gid=0"",""1_ACUM!A4:S""),12,FALSE))"),"")</f>
        <v/>
      </c>
      <c r="AY472" s="43" t="str">
        <f ca="1">IFERROR(__xludf.DUMMYFUNCTION("IFERROR(VLOOKUP(E489&amp;F489,IMPORTRANGE(""https://docs.google.com/spreadsheets/d/1Uw7-A9f9R21vMXxHZFNpYNeKFtG8_yji4HS352LGlSQ/edit?pli=1#gid=0"",""1_ACUM!A4:S""),13,FALSE))"),"")</f>
        <v/>
      </c>
      <c r="AZ472" s="43" t="str">
        <f ca="1">IFERROR(__xludf.DUMMYFUNCTION("IFERROR(VLOOKUP(E489&amp;F489,IMPORTRANGE(""https://docs.google.com/spreadsheets/d/1Uw7-A9f9R21vMXxHZFNpYNeKFtG8_yji4HS352LGlSQ/edit?pli=1#gid=0"",""1_ACUM!A4:S""),14,FALSE))"),"")</f>
        <v/>
      </c>
      <c r="BA472" s="43" t="str">
        <f ca="1">IFERROR(__xludf.DUMMYFUNCTION("IFERROR(VLOOKUP(E489&amp;F489,IMPORTRANGE(""https://docs.google.com/spreadsheets/d/1Uw7-A9f9R21vMXxHZFNpYNeKFtG8_yji4HS352LGlSQ/edit?pli=1#gid=0"",""1_ACUM!A4:S""),15,FALSE))"),"")</f>
        <v/>
      </c>
      <c r="BB472" s="43" t="str">
        <f ca="1">IFERROR(__xludf.DUMMYFUNCTION("IFERROR(VLOOKUP(E489&amp;F489,IMPORTRANGE(""https://docs.google.com/spreadsheets/d/1Uw7-A9f9R21vMXxHZFNpYNeKFtG8_yji4HS352LGlSQ/edit?pli=1#gid=0"",""1_ACUM!A4:S""),16,FALSE))"),"")</f>
        <v/>
      </c>
      <c r="BC472" s="43" t="str">
        <f ca="1">IFERROR(__xludf.DUMMYFUNCTION("IFERROR(VLOOKUP(E489&amp;F489,IMPORTRANGE(""https://docs.google.com/spreadsheets/d/1Uw7-A9f9R21vMXxHZFNpYNeKFtG8_yji4HS352LGlSQ/edit?pli=1#gid=0"",""1_ACUM!A4:S""),17,FALSE))"),"")</f>
        <v/>
      </c>
      <c r="BD472" s="44" t="str">
        <f ca="1">IFERROR(__xludf.DUMMYFUNCTION("IFERROR(VLOOKUP(E489&amp;F489,IMPORTRANGE(""https://docs.google.com/spreadsheets/d/1Uw7-A9f9R21vMXxHZFNpYNeKFtG8_yji4HS352LGlSQ/edit?pli=1#gid=0"",""1_ACUM!A4:S""),18,FALSE))"),"")</f>
        <v/>
      </c>
      <c r="BE472" s="44" t="str">
        <f ca="1">IFERROR(__xludf.DUMMYFUNCTION("IFERROR(VLOOKUP(E489&amp;F489,IMPORTRANGE(""https://docs.google.com/spreadsheets/d/1Uw7-A9f9R21vMXxHZFNpYNeKFtG8_yji4HS352LGlSQ/edit?pli=1#gid=0"",""1_ACUM!A4:S""),19,FALSE))"),"")</f>
        <v/>
      </c>
      <c r="BF472" s="44" t="str">
        <f ca="1">IFERROR(__xludf.DUMMYFUNCTION("IFERROR(VLOOKUP(F489,IMPORTRANGE(""https://docs.google.com/spreadsheets/d/1Kvs4KS76FHFqLFIZfrDMff4kP08nblUkihrxltoGBjg/edit#gid=934712705"",""ESENCIAL!A6:BG""),5,FALSE))"),"")</f>
        <v/>
      </c>
      <c r="BG472" s="44" t="str">
        <f t="shared" si="37"/>
        <v/>
      </c>
      <c r="BH472" s="41" t="str">
        <f t="shared" si="38"/>
        <v/>
      </c>
      <c r="BI472" s="41" t="str">
        <f ca="1">IFERROR(__xludf.DUMMYFUNCTION("IFERROR(VLOOKUP(F489,IMPORTRANGE(""https://docs.google.com/spreadsheets/d/1Kvs4KS76FHFqLFIZfrDMff4kP08nblUkihrxltoGBjg/edit#gid=934712705"",""ESENCIAL!A6:BG""),18,FALSE))"),"")</f>
        <v/>
      </c>
      <c r="BJ472" s="19" t="str">
        <f t="shared" si="39"/>
        <v/>
      </c>
      <c r="BK472" s="41"/>
      <c r="BL472" s="41"/>
    </row>
    <row r="473" spans="1:64" ht="15">
      <c r="A473" s="4"/>
      <c r="B473" s="4"/>
      <c r="G473" s="5" t="str">
        <f ca="1">IFERROR(__xludf.DUMMYFUNCTION("IFERROR(VLOOKUP(F490,IMPORTRANGE(""https://docs.google.com/spreadsheets/d/1Kvs4KS76FHFqLFIZfrDMff4kP08nblUkihrxltoGBjg/edit#gid=934712705"",""ESENCIAL!A6:BG""),3,FALSE))"),"")</f>
        <v/>
      </c>
      <c r="H473" s="5" t="str">
        <f ca="1">IFERROR(__xludf.DUMMYFUNCTION("IFERROR(VLOOKUP(F490,IMPORTRANGE(""https://docs.google.com/spreadsheets/d/1Kvs4KS76FHFqLFIZfrDMff4kP08nblUkihrxltoGBjg/edit#gid=934712705"",""ESENCIAL!A6:BG""),8,FALSE))"),"")</f>
        <v/>
      </c>
      <c r="L473" s="287"/>
      <c r="S473"/>
      <c r="AU473" s="41" t="str">
        <f t="shared" si="36"/>
        <v/>
      </c>
      <c r="AV473" s="5" t="str">
        <f ca="1">IFERROR(__xludf.DUMMYFUNCTION("IFERROR(VLOOKUP(E490&amp;F490,IMPORTRANGE(""https://docs.google.com/spreadsheets/d/1Uw7-A9f9R21vMXxHZFNpYNeKFtG8_yji4HS352LGlSQ/edit?pli=1#gid=0"",""1_ACUM!A4:S""),11,FALSE))"),"")</f>
        <v/>
      </c>
      <c r="AW473" s="42" t="str">
        <f ca="1">IFERROR(__xludf.DUMMYFUNCTION("IFERROR(VLOOKUP(F490,IMPORTRANGE(""https://docs.google.com/spreadsheets/d/1Kvs4KS76FHFqLFIZfrDMff4kP08nblUkihrxltoGBjg/edit#gid=934712705"",""ESENCIAL!A6:BG""),15,FALSE))"),"")</f>
        <v/>
      </c>
      <c r="AX473" s="21" t="str">
        <f ca="1">IFERROR(__xludf.DUMMYFUNCTION("IFERROR(VLOOKUP(E490&amp;F490,IMPORTRANGE(""https://docs.google.com/spreadsheets/d/1Uw7-A9f9R21vMXxHZFNpYNeKFtG8_yji4HS352LGlSQ/edit?pli=1#gid=0"",""1_ACUM!A4:S""),12,FALSE))"),"")</f>
        <v/>
      </c>
      <c r="AY473" s="43" t="str">
        <f ca="1">IFERROR(__xludf.DUMMYFUNCTION("IFERROR(VLOOKUP(E490&amp;F490,IMPORTRANGE(""https://docs.google.com/spreadsheets/d/1Uw7-A9f9R21vMXxHZFNpYNeKFtG8_yji4HS352LGlSQ/edit?pli=1#gid=0"",""1_ACUM!A4:S""),13,FALSE))"),"")</f>
        <v/>
      </c>
      <c r="AZ473" s="43" t="str">
        <f ca="1">IFERROR(__xludf.DUMMYFUNCTION("IFERROR(VLOOKUP(E490&amp;F490,IMPORTRANGE(""https://docs.google.com/spreadsheets/d/1Uw7-A9f9R21vMXxHZFNpYNeKFtG8_yji4HS352LGlSQ/edit?pli=1#gid=0"",""1_ACUM!A4:S""),14,FALSE))"),"")</f>
        <v/>
      </c>
      <c r="BA473" s="43" t="str">
        <f ca="1">IFERROR(__xludf.DUMMYFUNCTION("IFERROR(VLOOKUP(E490&amp;F490,IMPORTRANGE(""https://docs.google.com/spreadsheets/d/1Uw7-A9f9R21vMXxHZFNpYNeKFtG8_yji4HS352LGlSQ/edit?pli=1#gid=0"",""1_ACUM!A4:S""),15,FALSE))"),"")</f>
        <v/>
      </c>
      <c r="BB473" s="43" t="str">
        <f ca="1">IFERROR(__xludf.DUMMYFUNCTION("IFERROR(VLOOKUP(E490&amp;F490,IMPORTRANGE(""https://docs.google.com/spreadsheets/d/1Uw7-A9f9R21vMXxHZFNpYNeKFtG8_yji4HS352LGlSQ/edit?pli=1#gid=0"",""1_ACUM!A4:S""),16,FALSE))"),"")</f>
        <v/>
      </c>
      <c r="BC473" s="43" t="str">
        <f ca="1">IFERROR(__xludf.DUMMYFUNCTION("IFERROR(VLOOKUP(E490&amp;F490,IMPORTRANGE(""https://docs.google.com/spreadsheets/d/1Uw7-A9f9R21vMXxHZFNpYNeKFtG8_yji4HS352LGlSQ/edit?pli=1#gid=0"",""1_ACUM!A4:S""),17,FALSE))"),"")</f>
        <v/>
      </c>
      <c r="BD473" s="44" t="str">
        <f ca="1">IFERROR(__xludf.DUMMYFUNCTION("IFERROR(VLOOKUP(E490&amp;F490,IMPORTRANGE(""https://docs.google.com/spreadsheets/d/1Uw7-A9f9R21vMXxHZFNpYNeKFtG8_yji4HS352LGlSQ/edit?pli=1#gid=0"",""1_ACUM!A4:S""),18,FALSE))"),"")</f>
        <v/>
      </c>
      <c r="BE473" s="44" t="str">
        <f ca="1">IFERROR(__xludf.DUMMYFUNCTION("IFERROR(VLOOKUP(E490&amp;F490,IMPORTRANGE(""https://docs.google.com/spreadsheets/d/1Uw7-A9f9R21vMXxHZFNpYNeKFtG8_yji4HS352LGlSQ/edit?pli=1#gid=0"",""1_ACUM!A4:S""),19,FALSE))"),"")</f>
        <v/>
      </c>
      <c r="BF473" s="44" t="str">
        <f ca="1">IFERROR(__xludf.DUMMYFUNCTION("IFERROR(VLOOKUP(F490,IMPORTRANGE(""https://docs.google.com/spreadsheets/d/1Kvs4KS76FHFqLFIZfrDMff4kP08nblUkihrxltoGBjg/edit#gid=934712705"",""ESENCIAL!A6:BG""),5,FALSE))"),"")</f>
        <v/>
      </c>
      <c r="BG473" s="44" t="str">
        <f t="shared" si="37"/>
        <v/>
      </c>
      <c r="BH473" s="41" t="str">
        <f t="shared" si="38"/>
        <v/>
      </c>
      <c r="BI473" s="41" t="str">
        <f ca="1">IFERROR(__xludf.DUMMYFUNCTION("IFERROR(VLOOKUP(F490,IMPORTRANGE(""https://docs.google.com/spreadsheets/d/1Kvs4KS76FHFqLFIZfrDMff4kP08nblUkihrxltoGBjg/edit#gid=934712705"",""ESENCIAL!A6:BG""),18,FALSE))"),"")</f>
        <v/>
      </c>
      <c r="BJ473" s="19" t="str">
        <f t="shared" si="39"/>
        <v/>
      </c>
      <c r="BK473" s="41"/>
      <c r="BL473" s="41"/>
    </row>
    <row r="474" spans="1:64" ht="15">
      <c r="A474" s="4"/>
      <c r="B474" s="4"/>
      <c r="G474" s="5" t="str">
        <f ca="1">IFERROR(__xludf.DUMMYFUNCTION("IFERROR(VLOOKUP(F491,IMPORTRANGE(""https://docs.google.com/spreadsheets/d/1Kvs4KS76FHFqLFIZfrDMff4kP08nblUkihrxltoGBjg/edit#gid=934712705"",""ESENCIAL!A6:BG""),3,FALSE))"),"")</f>
        <v/>
      </c>
      <c r="H474" s="5" t="str">
        <f ca="1">IFERROR(__xludf.DUMMYFUNCTION("IFERROR(VLOOKUP(F491,IMPORTRANGE(""https://docs.google.com/spreadsheets/d/1Kvs4KS76FHFqLFIZfrDMff4kP08nblUkihrxltoGBjg/edit#gid=934712705"",""ESENCIAL!A6:BG""),8,FALSE))"),"")</f>
        <v/>
      </c>
      <c r="L474" s="287"/>
      <c r="S474"/>
      <c r="AU474" s="41" t="str">
        <f t="shared" si="36"/>
        <v/>
      </c>
      <c r="AV474" s="5" t="str">
        <f ca="1">IFERROR(__xludf.DUMMYFUNCTION("IFERROR(VLOOKUP(E491&amp;F491,IMPORTRANGE(""https://docs.google.com/spreadsheets/d/1Uw7-A9f9R21vMXxHZFNpYNeKFtG8_yji4HS352LGlSQ/edit?pli=1#gid=0"",""1_ACUM!A4:S""),11,FALSE))"),"")</f>
        <v/>
      </c>
      <c r="AW474" s="42" t="str">
        <f ca="1">IFERROR(__xludf.DUMMYFUNCTION("IFERROR(VLOOKUP(F491,IMPORTRANGE(""https://docs.google.com/spreadsheets/d/1Kvs4KS76FHFqLFIZfrDMff4kP08nblUkihrxltoGBjg/edit#gid=934712705"",""ESENCIAL!A6:BG""),15,FALSE))"),"")</f>
        <v/>
      </c>
      <c r="AX474" s="21" t="str">
        <f ca="1">IFERROR(__xludf.DUMMYFUNCTION("IFERROR(VLOOKUP(E491&amp;F491,IMPORTRANGE(""https://docs.google.com/spreadsheets/d/1Uw7-A9f9R21vMXxHZFNpYNeKFtG8_yji4HS352LGlSQ/edit?pli=1#gid=0"",""1_ACUM!A4:S""),12,FALSE))"),"")</f>
        <v/>
      </c>
      <c r="AY474" s="43" t="str">
        <f ca="1">IFERROR(__xludf.DUMMYFUNCTION("IFERROR(VLOOKUP(E491&amp;F491,IMPORTRANGE(""https://docs.google.com/spreadsheets/d/1Uw7-A9f9R21vMXxHZFNpYNeKFtG8_yji4HS352LGlSQ/edit?pli=1#gid=0"",""1_ACUM!A4:S""),13,FALSE))"),"")</f>
        <v/>
      </c>
      <c r="AZ474" s="43" t="str">
        <f ca="1">IFERROR(__xludf.DUMMYFUNCTION("IFERROR(VLOOKUP(E491&amp;F491,IMPORTRANGE(""https://docs.google.com/spreadsheets/d/1Uw7-A9f9R21vMXxHZFNpYNeKFtG8_yji4HS352LGlSQ/edit?pli=1#gid=0"",""1_ACUM!A4:S""),14,FALSE))"),"")</f>
        <v/>
      </c>
      <c r="BA474" s="43" t="str">
        <f ca="1">IFERROR(__xludf.DUMMYFUNCTION("IFERROR(VLOOKUP(E491&amp;F491,IMPORTRANGE(""https://docs.google.com/spreadsheets/d/1Uw7-A9f9R21vMXxHZFNpYNeKFtG8_yji4HS352LGlSQ/edit?pli=1#gid=0"",""1_ACUM!A4:S""),15,FALSE))"),"")</f>
        <v/>
      </c>
      <c r="BB474" s="43" t="str">
        <f ca="1">IFERROR(__xludf.DUMMYFUNCTION("IFERROR(VLOOKUP(E491&amp;F491,IMPORTRANGE(""https://docs.google.com/spreadsheets/d/1Uw7-A9f9R21vMXxHZFNpYNeKFtG8_yji4HS352LGlSQ/edit?pli=1#gid=0"",""1_ACUM!A4:S""),16,FALSE))"),"")</f>
        <v/>
      </c>
      <c r="BC474" s="43" t="str">
        <f ca="1">IFERROR(__xludf.DUMMYFUNCTION("IFERROR(VLOOKUP(E491&amp;F491,IMPORTRANGE(""https://docs.google.com/spreadsheets/d/1Uw7-A9f9R21vMXxHZFNpYNeKFtG8_yji4HS352LGlSQ/edit?pli=1#gid=0"",""1_ACUM!A4:S""),17,FALSE))"),"")</f>
        <v/>
      </c>
      <c r="BD474" s="44" t="str">
        <f ca="1">IFERROR(__xludf.DUMMYFUNCTION("IFERROR(VLOOKUP(E491&amp;F491,IMPORTRANGE(""https://docs.google.com/spreadsheets/d/1Uw7-A9f9R21vMXxHZFNpYNeKFtG8_yji4HS352LGlSQ/edit?pli=1#gid=0"",""1_ACUM!A4:S""),18,FALSE))"),"")</f>
        <v/>
      </c>
      <c r="BE474" s="44" t="str">
        <f ca="1">IFERROR(__xludf.DUMMYFUNCTION("IFERROR(VLOOKUP(E491&amp;F491,IMPORTRANGE(""https://docs.google.com/spreadsheets/d/1Uw7-A9f9R21vMXxHZFNpYNeKFtG8_yji4HS352LGlSQ/edit?pli=1#gid=0"",""1_ACUM!A4:S""),19,FALSE))"),"")</f>
        <v/>
      </c>
      <c r="BF474" s="44" t="str">
        <f ca="1">IFERROR(__xludf.DUMMYFUNCTION("IFERROR(VLOOKUP(F491,IMPORTRANGE(""https://docs.google.com/spreadsheets/d/1Kvs4KS76FHFqLFIZfrDMff4kP08nblUkihrxltoGBjg/edit#gid=934712705"",""ESENCIAL!A6:BG""),5,FALSE))"),"")</f>
        <v/>
      </c>
      <c r="BG474" s="44" t="str">
        <f t="shared" si="37"/>
        <v/>
      </c>
      <c r="BH474" s="41" t="str">
        <f t="shared" si="38"/>
        <v/>
      </c>
      <c r="BI474" s="41" t="str">
        <f ca="1">IFERROR(__xludf.DUMMYFUNCTION("IFERROR(VLOOKUP(F491,IMPORTRANGE(""https://docs.google.com/spreadsheets/d/1Kvs4KS76FHFqLFIZfrDMff4kP08nblUkihrxltoGBjg/edit#gid=934712705"",""ESENCIAL!A6:BG""),18,FALSE))"),"")</f>
        <v/>
      </c>
      <c r="BJ474" s="19" t="str">
        <f t="shared" si="39"/>
        <v/>
      </c>
      <c r="BK474" s="41"/>
      <c r="BL474" s="41"/>
    </row>
    <row r="475" spans="1:64" ht="15">
      <c r="A475" s="4"/>
      <c r="B475" s="4"/>
      <c r="G475" s="5" t="str">
        <f ca="1">IFERROR(__xludf.DUMMYFUNCTION("IFERROR(VLOOKUP(F492,IMPORTRANGE(""https://docs.google.com/spreadsheets/d/1Kvs4KS76FHFqLFIZfrDMff4kP08nblUkihrxltoGBjg/edit#gid=934712705"",""ESENCIAL!A6:BG""),3,FALSE))"),"")</f>
        <v/>
      </c>
      <c r="H475" s="5" t="str">
        <f ca="1">IFERROR(__xludf.DUMMYFUNCTION("IFERROR(VLOOKUP(F492,IMPORTRANGE(""https://docs.google.com/spreadsheets/d/1Kvs4KS76FHFqLFIZfrDMff4kP08nblUkihrxltoGBjg/edit#gid=934712705"",""ESENCIAL!A6:BG""),8,FALSE))"),"")</f>
        <v/>
      </c>
      <c r="L475" s="287"/>
      <c r="S475"/>
      <c r="AU475" s="41" t="str">
        <f t="shared" si="36"/>
        <v/>
      </c>
      <c r="AV475" s="5" t="str">
        <f ca="1">IFERROR(__xludf.DUMMYFUNCTION("IFERROR(VLOOKUP(E492&amp;F492,IMPORTRANGE(""https://docs.google.com/spreadsheets/d/1Uw7-A9f9R21vMXxHZFNpYNeKFtG8_yji4HS352LGlSQ/edit?pli=1#gid=0"",""1_ACUM!A4:S""),11,FALSE))"),"")</f>
        <v/>
      </c>
      <c r="AW475" s="42" t="str">
        <f ca="1">IFERROR(__xludf.DUMMYFUNCTION("IFERROR(VLOOKUP(F492,IMPORTRANGE(""https://docs.google.com/spreadsheets/d/1Kvs4KS76FHFqLFIZfrDMff4kP08nblUkihrxltoGBjg/edit#gid=934712705"",""ESENCIAL!A6:BG""),15,FALSE))"),"")</f>
        <v/>
      </c>
      <c r="AX475" s="21" t="str">
        <f ca="1">IFERROR(__xludf.DUMMYFUNCTION("IFERROR(VLOOKUP(E492&amp;F492,IMPORTRANGE(""https://docs.google.com/spreadsheets/d/1Uw7-A9f9R21vMXxHZFNpYNeKFtG8_yji4HS352LGlSQ/edit?pli=1#gid=0"",""1_ACUM!A4:S""),12,FALSE))"),"")</f>
        <v/>
      </c>
      <c r="AY475" s="43" t="str">
        <f ca="1">IFERROR(__xludf.DUMMYFUNCTION("IFERROR(VLOOKUP(E492&amp;F492,IMPORTRANGE(""https://docs.google.com/spreadsheets/d/1Uw7-A9f9R21vMXxHZFNpYNeKFtG8_yji4HS352LGlSQ/edit?pli=1#gid=0"",""1_ACUM!A4:S""),13,FALSE))"),"")</f>
        <v/>
      </c>
      <c r="AZ475" s="43" t="str">
        <f ca="1">IFERROR(__xludf.DUMMYFUNCTION("IFERROR(VLOOKUP(E492&amp;F492,IMPORTRANGE(""https://docs.google.com/spreadsheets/d/1Uw7-A9f9R21vMXxHZFNpYNeKFtG8_yji4HS352LGlSQ/edit?pli=1#gid=0"",""1_ACUM!A4:S""),14,FALSE))"),"")</f>
        <v/>
      </c>
      <c r="BA475" s="43" t="str">
        <f ca="1">IFERROR(__xludf.DUMMYFUNCTION("IFERROR(VLOOKUP(E492&amp;F492,IMPORTRANGE(""https://docs.google.com/spreadsheets/d/1Uw7-A9f9R21vMXxHZFNpYNeKFtG8_yji4HS352LGlSQ/edit?pli=1#gid=0"",""1_ACUM!A4:S""),15,FALSE))"),"")</f>
        <v/>
      </c>
      <c r="BB475" s="43" t="str">
        <f ca="1">IFERROR(__xludf.DUMMYFUNCTION("IFERROR(VLOOKUP(E492&amp;F492,IMPORTRANGE(""https://docs.google.com/spreadsheets/d/1Uw7-A9f9R21vMXxHZFNpYNeKFtG8_yji4HS352LGlSQ/edit?pli=1#gid=0"",""1_ACUM!A4:S""),16,FALSE))"),"")</f>
        <v/>
      </c>
      <c r="BC475" s="43" t="str">
        <f ca="1">IFERROR(__xludf.DUMMYFUNCTION("IFERROR(VLOOKUP(E492&amp;F492,IMPORTRANGE(""https://docs.google.com/spreadsheets/d/1Uw7-A9f9R21vMXxHZFNpYNeKFtG8_yji4HS352LGlSQ/edit?pli=1#gid=0"",""1_ACUM!A4:S""),17,FALSE))"),"")</f>
        <v/>
      </c>
      <c r="BD475" s="44" t="str">
        <f ca="1">IFERROR(__xludf.DUMMYFUNCTION("IFERROR(VLOOKUP(E492&amp;F492,IMPORTRANGE(""https://docs.google.com/spreadsheets/d/1Uw7-A9f9R21vMXxHZFNpYNeKFtG8_yji4HS352LGlSQ/edit?pli=1#gid=0"",""1_ACUM!A4:S""),18,FALSE))"),"")</f>
        <v/>
      </c>
      <c r="BE475" s="44" t="str">
        <f ca="1">IFERROR(__xludf.DUMMYFUNCTION("IFERROR(VLOOKUP(E492&amp;F492,IMPORTRANGE(""https://docs.google.com/spreadsheets/d/1Uw7-A9f9R21vMXxHZFNpYNeKFtG8_yji4HS352LGlSQ/edit?pli=1#gid=0"",""1_ACUM!A4:S""),19,FALSE))"),"")</f>
        <v/>
      </c>
      <c r="BF475" s="44" t="str">
        <f ca="1">IFERROR(__xludf.DUMMYFUNCTION("IFERROR(VLOOKUP(F492,IMPORTRANGE(""https://docs.google.com/spreadsheets/d/1Kvs4KS76FHFqLFIZfrDMff4kP08nblUkihrxltoGBjg/edit#gid=934712705"",""ESENCIAL!A6:BG""),5,FALSE))"),"")</f>
        <v/>
      </c>
      <c r="BG475" s="44" t="str">
        <f t="shared" si="37"/>
        <v/>
      </c>
      <c r="BH475" s="41" t="str">
        <f t="shared" si="38"/>
        <v/>
      </c>
      <c r="BI475" s="41" t="str">
        <f ca="1">IFERROR(__xludf.DUMMYFUNCTION("IFERROR(VLOOKUP(F492,IMPORTRANGE(""https://docs.google.com/spreadsheets/d/1Kvs4KS76FHFqLFIZfrDMff4kP08nblUkihrxltoGBjg/edit#gid=934712705"",""ESENCIAL!A6:BG""),18,FALSE))"),"")</f>
        <v/>
      </c>
      <c r="BJ475" s="19" t="str">
        <f t="shared" si="39"/>
        <v/>
      </c>
      <c r="BK475" s="41"/>
      <c r="BL475" s="41"/>
    </row>
    <row r="476" spans="1:64" ht="15">
      <c r="A476" s="4"/>
      <c r="B476" s="4"/>
      <c r="G476" s="5" t="str">
        <f ca="1">IFERROR(__xludf.DUMMYFUNCTION("IFERROR(VLOOKUP(F493,IMPORTRANGE(""https://docs.google.com/spreadsheets/d/1Kvs4KS76FHFqLFIZfrDMff4kP08nblUkihrxltoGBjg/edit#gid=934712705"",""ESENCIAL!A6:BG""),3,FALSE))"),"")</f>
        <v/>
      </c>
      <c r="H476" s="5" t="str">
        <f ca="1">IFERROR(__xludf.DUMMYFUNCTION("IFERROR(VLOOKUP(F493,IMPORTRANGE(""https://docs.google.com/spreadsheets/d/1Kvs4KS76FHFqLFIZfrDMff4kP08nblUkihrxltoGBjg/edit#gid=934712705"",""ESENCIAL!A6:BG""),8,FALSE))"),"")</f>
        <v/>
      </c>
      <c r="L476" s="287"/>
      <c r="S476"/>
      <c r="AU476" s="41" t="str">
        <f t="shared" si="36"/>
        <v/>
      </c>
      <c r="AV476" s="5" t="str">
        <f ca="1">IFERROR(__xludf.DUMMYFUNCTION("IFERROR(VLOOKUP(E493&amp;F493,IMPORTRANGE(""https://docs.google.com/spreadsheets/d/1Uw7-A9f9R21vMXxHZFNpYNeKFtG8_yji4HS352LGlSQ/edit?pli=1#gid=0"",""1_ACUM!A4:S""),11,FALSE))"),"")</f>
        <v/>
      </c>
      <c r="AW476" s="42" t="str">
        <f ca="1">IFERROR(__xludf.DUMMYFUNCTION("IFERROR(VLOOKUP(F493,IMPORTRANGE(""https://docs.google.com/spreadsheets/d/1Kvs4KS76FHFqLFIZfrDMff4kP08nblUkihrxltoGBjg/edit#gid=934712705"",""ESENCIAL!A6:BG""),15,FALSE))"),"")</f>
        <v/>
      </c>
      <c r="AX476" s="21" t="str">
        <f ca="1">IFERROR(__xludf.DUMMYFUNCTION("IFERROR(VLOOKUP(E493&amp;F493,IMPORTRANGE(""https://docs.google.com/spreadsheets/d/1Uw7-A9f9R21vMXxHZFNpYNeKFtG8_yji4HS352LGlSQ/edit?pli=1#gid=0"",""1_ACUM!A4:S""),12,FALSE))"),"")</f>
        <v/>
      </c>
      <c r="AY476" s="43" t="str">
        <f ca="1">IFERROR(__xludf.DUMMYFUNCTION("IFERROR(VLOOKUP(E493&amp;F493,IMPORTRANGE(""https://docs.google.com/spreadsheets/d/1Uw7-A9f9R21vMXxHZFNpYNeKFtG8_yji4HS352LGlSQ/edit?pli=1#gid=0"",""1_ACUM!A4:S""),13,FALSE))"),"")</f>
        <v/>
      </c>
      <c r="AZ476" s="43" t="str">
        <f ca="1">IFERROR(__xludf.DUMMYFUNCTION("IFERROR(VLOOKUP(E493&amp;F493,IMPORTRANGE(""https://docs.google.com/spreadsheets/d/1Uw7-A9f9R21vMXxHZFNpYNeKFtG8_yji4HS352LGlSQ/edit?pli=1#gid=0"",""1_ACUM!A4:S""),14,FALSE))"),"")</f>
        <v/>
      </c>
      <c r="BA476" s="43" t="str">
        <f ca="1">IFERROR(__xludf.DUMMYFUNCTION("IFERROR(VLOOKUP(E493&amp;F493,IMPORTRANGE(""https://docs.google.com/spreadsheets/d/1Uw7-A9f9R21vMXxHZFNpYNeKFtG8_yji4HS352LGlSQ/edit?pli=1#gid=0"",""1_ACUM!A4:S""),15,FALSE))"),"")</f>
        <v/>
      </c>
      <c r="BB476" s="43" t="str">
        <f ca="1">IFERROR(__xludf.DUMMYFUNCTION("IFERROR(VLOOKUP(E493&amp;F493,IMPORTRANGE(""https://docs.google.com/spreadsheets/d/1Uw7-A9f9R21vMXxHZFNpYNeKFtG8_yji4HS352LGlSQ/edit?pli=1#gid=0"",""1_ACUM!A4:S""),16,FALSE))"),"")</f>
        <v/>
      </c>
      <c r="BC476" s="43" t="str">
        <f ca="1">IFERROR(__xludf.DUMMYFUNCTION("IFERROR(VLOOKUP(E493&amp;F493,IMPORTRANGE(""https://docs.google.com/spreadsheets/d/1Uw7-A9f9R21vMXxHZFNpYNeKFtG8_yji4HS352LGlSQ/edit?pli=1#gid=0"",""1_ACUM!A4:S""),17,FALSE))"),"")</f>
        <v/>
      </c>
      <c r="BD476" s="44" t="str">
        <f ca="1">IFERROR(__xludf.DUMMYFUNCTION("IFERROR(VLOOKUP(E493&amp;F493,IMPORTRANGE(""https://docs.google.com/spreadsheets/d/1Uw7-A9f9R21vMXxHZFNpYNeKFtG8_yji4HS352LGlSQ/edit?pli=1#gid=0"",""1_ACUM!A4:S""),18,FALSE))"),"")</f>
        <v/>
      </c>
      <c r="BE476" s="44" t="str">
        <f ca="1">IFERROR(__xludf.DUMMYFUNCTION("IFERROR(VLOOKUP(E493&amp;F493,IMPORTRANGE(""https://docs.google.com/spreadsheets/d/1Uw7-A9f9R21vMXxHZFNpYNeKFtG8_yji4HS352LGlSQ/edit?pli=1#gid=0"",""1_ACUM!A4:S""),19,FALSE))"),"")</f>
        <v/>
      </c>
      <c r="BF476" s="44" t="str">
        <f ca="1">IFERROR(__xludf.DUMMYFUNCTION("IFERROR(VLOOKUP(F493,IMPORTRANGE(""https://docs.google.com/spreadsheets/d/1Kvs4KS76FHFqLFIZfrDMff4kP08nblUkihrxltoGBjg/edit#gid=934712705"",""ESENCIAL!A6:BG""),5,FALSE))"),"")</f>
        <v/>
      </c>
      <c r="BG476" s="44" t="str">
        <f t="shared" si="37"/>
        <v/>
      </c>
      <c r="BH476" s="41" t="str">
        <f t="shared" si="38"/>
        <v/>
      </c>
      <c r="BI476" s="41" t="str">
        <f ca="1">IFERROR(__xludf.DUMMYFUNCTION("IFERROR(VLOOKUP(F493,IMPORTRANGE(""https://docs.google.com/spreadsheets/d/1Kvs4KS76FHFqLFIZfrDMff4kP08nblUkihrxltoGBjg/edit#gid=934712705"",""ESENCIAL!A6:BG""),18,FALSE))"),"")</f>
        <v/>
      </c>
      <c r="BJ476" s="19" t="str">
        <f t="shared" si="39"/>
        <v/>
      </c>
      <c r="BK476" s="41"/>
      <c r="BL476" s="41"/>
    </row>
    <row r="477" spans="1:64" ht="15">
      <c r="A477" s="4"/>
      <c r="B477" s="4"/>
      <c r="G477" s="5" t="str">
        <f ca="1">IFERROR(__xludf.DUMMYFUNCTION("IFERROR(VLOOKUP(F494,IMPORTRANGE(""https://docs.google.com/spreadsheets/d/1Kvs4KS76FHFqLFIZfrDMff4kP08nblUkihrxltoGBjg/edit#gid=934712705"",""ESENCIAL!A6:BG""),3,FALSE))"),"")</f>
        <v/>
      </c>
      <c r="H477" s="5" t="str">
        <f ca="1">IFERROR(__xludf.DUMMYFUNCTION("IFERROR(VLOOKUP(F494,IMPORTRANGE(""https://docs.google.com/spreadsheets/d/1Kvs4KS76FHFqLFIZfrDMff4kP08nblUkihrxltoGBjg/edit#gid=934712705"",""ESENCIAL!A6:BG""),8,FALSE))"),"")</f>
        <v/>
      </c>
      <c r="L477" s="287"/>
      <c r="S477"/>
      <c r="AU477" s="41" t="str">
        <f t="shared" si="36"/>
        <v/>
      </c>
      <c r="AV477" s="5" t="str">
        <f ca="1">IFERROR(__xludf.DUMMYFUNCTION("IFERROR(VLOOKUP(E494&amp;F494,IMPORTRANGE(""https://docs.google.com/spreadsheets/d/1Uw7-A9f9R21vMXxHZFNpYNeKFtG8_yji4HS352LGlSQ/edit?pli=1#gid=0"",""1_ACUM!A4:S""),11,FALSE))"),"")</f>
        <v/>
      </c>
      <c r="AW477" s="42" t="str">
        <f ca="1">IFERROR(__xludf.DUMMYFUNCTION("IFERROR(VLOOKUP(F494,IMPORTRANGE(""https://docs.google.com/spreadsheets/d/1Kvs4KS76FHFqLFIZfrDMff4kP08nblUkihrxltoGBjg/edit#gid=934712705"",""ESENCIAL!A6:BG""),15,FALSE))"),"")</f>
        <v/>
      </c>
      <c r="AX477" s="21" t="str">
        <f ca="1">IFERROR(__xludf.DUMMYFUNCTION("IFERROR(VLOOKUP(E494&amp;F494,IMPORTRANGE(""https://docs.google.com/spreadsheets/d/1Uw7-A9f9R21vMXxHZFNpYNeKFtG8_yji4HS352LGlSQ/edit?pli=1#gid=0"",""1_ACUM!A4:S""),12,FALSE))"),"")</f>
        <v/>
      </c>
      <c r="AY477" s="43" t="str">
        <f ca="1">IFERROR(__xludf.DUMMYFUNCTION("IFERROR(VLOOKUP(E494&amp;F494,IMPORTRANGE(""https://docs.google.com/spreadsheets/d/1Uw7-A9f9R21vMXxHZFNpYNeKFtG8_yji4HS352LGlSQ/edit?pli=1#gid=0"",""1_ACUM!A4:S""),13,FALSE))"),"")</f>
        <v/>
      </c>
      <c r="AZ477" s="43" t="str">
        <f ca="1">IFERROR(__xludf.DUMMYFUNCTION("IFERROR(VLOOKUP(E494&amp;F494,IMPORTRANGE(""https://docs.google.com/spreadsheets/d/1Uw7-A9f9R21vMXxHZFNpYNeKFtG8_yji4HS352LGlSQ/edit?pli=1#gid=0"",""1_ACUM!A4:S""),14,FALSE))"),"")</f>
        <v/>
      </c>
      <c r="BA477" s="43" t="str">
        <f ca="1">IFERROR(__xludf.DUMMYFUNCTION("IFERROR(VLOOKUP(E494&amp;F494,IMPORTRANGE(""https://docs.google.com/spreadsheets/d/1Uw7-A9f9R21vMXxHZFNpYNeKFtG8_yji4HS352LGlSQ/edit?pli=1#gid=0"",""1_ACUM!A4:S""),15,FALSE))"),"")</f>
        <v/>
      </c>
      <c r="BB477" s="43" t="str">
        <f ca="1">IFERROR(__xludf.DUMMYFUNCTION("IFERROR(VLOOKUP(E494&amp;F494,IMPORTRANGE(""https://docs.google.com/spreadsheets/d/1Uw7-A9f9R21vMXxHZFNpYNeKFtG8_yji4HS352LGlSQ/edit?pli=1#gid=0"",""1_ACUM!A4:S""),16,FALSE))"),"")</f>
        <v/>
      </c>
      <c r="BC477" s="43" t="str">
        <f ca="1">IFERROR(__xludf.DUMMYFUNCTION("IFERROR(VLOOKUP(E494&amp;F494,IMPORTRANGE(""https://docs.google.com/spreadsheets/d/1Uw7-A9f9R21vMXxHZFNpYNeKFtG8_yji4HS352LGlSQ/edit?pli=1#gid=0"",""1_ACUM!A4:S""),17,FALSE))"),"")</f>
        <v/>
      </c>
      <c r="BD477" s="44" t="str">
        <f ca="1">IFERROR(__xludf.DUMMYFUNCTION("IFERROR(VLOOKUP(E494&amp;F494,IMPORTRANGE(""https://docs.google.com/spreadsheets/d/1Uw7-A9f9R21vMXxHZFNpYNeKFtG8_yji4HS352LGlSQ/edit?pli=1#gid=0"",""1_ACUM!A4:S""),18,FALSE))"),"")</f>
        <v/>
      </c>
      <c r="BE477" s="44" t="str">
        <f ca="1">IFERROR(__xludf.DUMMYFUNCTION("IFERROR(VLOOKUP(E494&amp;F494,IMPORTRANGE(""https://docs.google.com/spreadsheets/d/1Uw7-A9f9R21vMXxHZFNpYNeKFtG8_yji4HS352LGlSQ/edit?pli=1#gid=0"",""1_ACUM!A4:S""),19,FALSE))"),"")</f>
        <v/>
      </c>
      <c r="BF477" s="44" t="str">
        <f ca="1">IFERROR(__xludf.DUMMYFUNCTION("IFERROR(VLOOKUP(F494,IMPORTRANGE(""https://docs.google.com/spreadsheets/d/1Kvs4KS76FHFqLFIZfrDMff4kP08nblUkihrxltoGBjg/edit#gid=934712705"",""ESENCIAL!A6:BG""),5,FALSE))"),"")</f>
        <v/>
      </c>
      <c r="BG477" s="44" t="str">
        <f t="shared" si="37"/>
        <v/>
      </c>
      <c r="BH477" s="41" t="str">
        <f t="shared" si="38"/>
        <v/>
      </c>
      <c r="BI477" s="41" t="str">
        <f ca="1">IFERROR(__xludf.DUMMYFUNCTION("IFERROR(VLOOKUP(F494,IMPORTRANGE(""https://docs.google.com/spreadsheets/d/1Kvs4KS76FHFqLFIZfrDMff4kP08nblUkihrxltoGBjg/edit#gid=934712705"",""ESENCIAL!A6:BG""),18,FALSE))"),"")</f>
        <v/>
      </c>
      <c r="BJ477" s="19" t="str">
        <f t="shared" si="39"/>
        <v/>
      </c>
      <c r="BK477" s="41"/>
      <c r="BL477" s="41"/>
    </row>
    <row r="478" spans="1:64" ht="15">
      <c r="A478" s="4"/>
      <c r="B478" s="4"/>
      <c r="G478" s="5" t="str">
        <f ca="1">IFERROR(__xludf.DUMMYFUNCTION("IFERROR(VLOOKUP(F495,IMPORTRANGE(""https://docs.google.com/spreadsheets/d/1Kvs4KS76FHFqLFIZfrDMff4kP08nblUkihrxltoGBjg/edit#gid=934712705"",""ESENCIAL!A6:BG""),3,FALSE))"),"")</f>
        <v/>
      </c>
      <c r="H478" s="5" t="str">
        <f ca="1">IFERROR(__xludf.DUMMYFUNCTION("IFERROR(VLOOKUP(F495,IMPORTRANGE(""https://docs.google.com/spreadsheets/d/1Kvs4KS76FHFqLFIZfrDMff4kP08nblUkihrxltoGBjg/edit#gid=934712705"",""ESENCIAL!A6:BG""),8,FALSE))"),"")</f>
        <v/>
      </c>
      <c r="L478" s="287"/>
      <c r="S478"/>
      <c r="AU478" s="41" t="str">
        <f t="shared" si="36"/>
        <v/>
      </c>
      <c r="AV478" s="5" t="str">
        <f ca="1">IFERROR(__xludf.DUMMYFUNCTION("IFERROR(VLOOKUP(E495&amp;F495,IMPORTRANGE(""https://docs.google.com/spreadsheets/d/1Uw7-A9f9R21vMXxHZFNpYNeKFtG8_yji4HS352LGlSQ/edit?pli=1#gid=0"",""1_ACUM!A4:S""),11,FALSE))"),"")</f>
        <v/>
      </c>
      <c r="AW478" s="42" t="str">
        <f ca="1">IFERROR(__xludf.DUMMYFUNCTION("IFERROR(VLOOKUP(F495,IMPORTRANGE(""https://docs.google.com/spreadsheets/d/1Kvs4KS76FHFqLFIZfrDMff4kP08nblUkihrxltoGBjg/edit#gid=934712705"",""ESENCIAL!A6:BG""),15,FALSE))"),"")</f>
        <v/>
      </c>
      <c r="AX478" s="21" t="str">
        <f ca="1">IFERROR(__xludf.DUMMYFUNCTION("IFERROR(VLOOKUP(E495&amp;F495,IMPORTRANGE(""https://docs.google.com/spreadsheets/d/1Uw7-A9f9R21vMXxHZFNpYNeKFtG8_yji4HS352LGlSQ/edit?pli=1#gid=0"",""1_ACUM!A4:S""),12,FALSE))"),"")</f>
        <v/>
      </c>
      <c r="AY478" s="43" t="str">
        <f ca="1">IFERROR(__xludf.DUMMYFUNCTION("IFERROR(VLOOKUP(E495&amp;F495,IMPORTRANGE(""https://docs.google.com/spreadsheets/d/1Uw7-A9f9R21vMXxHZFNpYNeKFtG8_yji4HS352LGlSQ/edit?pli=1#gid=0"",""1_ACUM!A4:S""),13,FALSE))"),"")</f>
        <v/>
      </c>
      <c r="AZ478" s="43" t="str">
        <f ca="1">IFERROR(__xludf.DUMMYFUNCTION("IFERROR(VLOOKUP(E495&amp;F495,IMPORTRANGE(""https://docs.google.com/spreadsheets/d/1Uw7-A9f9R21vMXxHZFNpYNeKFtG8_yji4HS352LGlSQ/edit?pli=1#gid=0"",""1_ACUM!A4:S""),14,FALSE))"),"")</f>
        <v/>
      </c>
      <c r="BA478" s="43" t="str">
        <f ca="1">IFERROR(__xludf.DUMMYFUNCTION("IFERROR(VLOOKUP(E495&amp;F495,IMPORTRANGE(""https://docs.google.com/spreadsheets/d/1Uw7-A9f9R21vMXxHZFNpYNeKFtG8_yji4HS352LGlSQ/edit?pli=1#gid=0"",""1_ACUM!A4:S""),15,FALSE))"),"")</f>
        <v/>
      </c>
      <c r="BB478" s="43" t="str">
        <f ca="1">IFERROR(__xludf.DUMMYFUNCTION("IFERROR(VLOOKUP(E495&amp;F495,IMPORTRANGE(""https://docs.google.com/spreadsheets/d/1Uw7-A9f9R21vMXxHZFNpYNeKFtG8_yji4HS352LGlSQ/edit?pli=1#gid=0"",""1_ACUM!A4:S""),16,FALSE))"),"")</f>
        <v/>
      </c>
      <c r="BC478" s="43" t="str">
        <f ca="1">IFERROR(__xludf.DUMMYFUNCTION("IFERROR(VLOOKUP(E495&amp;F495,IMPORTRANGE(""https://docs.google.com/spreadsheets/d/1Uw7-A9f9R21vMXxHZFNpYNeKFtG8_yji4HS352LGlSQ/edit?pli=1#gid=0"",""1_ACUM!A4:S""),17,FALSE))"),"")</f>
        <v/>
      </c>
      <c r="BD478" s="44" t="str">
        <f ca="1">IFERROR(__xludf.DUMMYFUNCTION("IFERROR(VLOOKUP(E495&amp;F495,IMPORTRANGE(""https://docs.google.com/spreadsheets/d/1Uw7-A9f9R21vMXxHZFNpYNeKFtG8_yji4HS352LGlSQ/edit?pli=1#gid=0"",""1_ACUM!A4:S""),18,FALSE))"),"")</f>
        <v/>
      </c>
      <c r="BE478" s="44" t="str">
        <f ca="1">IFERROR(__xludf.DUMMYFUNCTION("IFERROR(VLOOKUP(E495&amp;F495,IMPORTRANGE(""https://docs.google.com/spreadsheets/d/1Uw7-A9f9R21vMXxHZFNpYNeKFtG8_yji4HS352LGlSQ/edit?pli=1#gid=0"",""1_ACUM!A4:S""),19,FALSE))"),"")</f>
        <v/>
      </c>
      <c r="BF478" s="44" t="str">
        <f ca="1">IFERROR(__xludf.DUMMYFUNCTION("IFERROR(VLOOKUP(F495,IMPORTRANGE(""https://docs.google.com/spreadsheets/d/1Kvs4KS76FHFqLFIZfrDMff4kP08nblUkihrxltoGBjg/edit#gid=934712705"",""ESENCIAL!A6:BG""),5,FALSE))"),"")</f>
        <v/>
      </c>
      <c r="BG478" s="44" t="str">
        <f t="shared" si="37"/>
        <v/>
      </c>
      <c r="BH478" s="41" t="str">
        <f t="shared" si="38"/>
        <v/>
      </c>
      <c r="BI478" s="41" t="str">
        <f ca="1">IFERROR(__xludf.DUMMYFUNCTION("IFERROR(VLOOKUP(F495,IMPORTRANGE(""https://docs.google.com/spreadsheets/d/1Kvs4KS76FHFqLFIZfrDMff4kP08nblUkihrxltoGBjg/edit#gid=934712705"",""ESENCIAL!A6:BG""),18,FALSE))"),"")</f>
        <v/>
      </c>
      <c r="BJ478" s="19" t="str">
        <f t="shared" si="39"/>
        <v/>
      </c>
      <c r="BK478" s="41"/>
      <c r="BL478" s="41"/>
    </row>
    <row r="479" spans="1:64" ht="15">
      <c r="A479" s="4"/>
      <c r="B479" s="4"/>
      <c r="G479" s="5" t="str">
        <f ca="1">IFERROR(__xludf.DUMMYFUNCTION("IFERROR(VLOOKUP(F496,IMPORTRANGE(""https://docs.google.com/spreadsheets/d/1Kvs4KS76FHFqLFIZfrDMff4kP08nblUkihrxltoGBjg/edit#gid=934712705"",""ESENCIAL!A6:BG""),3,FALSE))"),"")</f>
        <v/>
      </c>
      <c r="H479" s="5" t="str">
        <f ca="1">IFERROR(__xludf.DUMMYFUNCTION("IFERROR(VLOOKUP(F496,IMPORTRANGE(""https://docs.google.com/spreadsheets/d/1Kvs4KS76FHFqLFIZfrDMff4kP08nblUkihrxltoGBjg/edit#gid=934712705"",""ESENCIAL!A6:BG""),8,FALSE))"),"")</f>
        <v/>
      </c>
      <c r="L479" s="287"/>
      <c r="S479"/>
      <c r="AU479" s="41" t="str">
        <f t="shared" si="36"/>
        <v/>
      </c>
      <c r="AV479" s="5" t="str">
        <f ca="1">IFERROR(__xludf.DUMMYFUNCTION("IFERROR(VLOOKUP(E496&amp;F496,IMPORTRANGE(""https://docs.google.com/spreadsheets/d/1Uw7-A9f9R21vMXxHZFNpYNeKFtG8_yji4HS352LGlSQ/edit?pli=1#gid=0"",""1_ACUM!A4:S""),11,FALSE))"),"")</f>
        <v/>
      </c>
      <c r="AW479" s="42" t="str">
        <f ca="1">IFERROR(__xludf.DUMMYFUNCTION("IFERROR(VLOOKUP(F496,IMPORTRANGE(""https://docs.google.com/spreadsheets/d/1Kvs4KS76FHFqLFIZfrDMff4kP08nblUkihrxltoGBjg/edit#gid=934712705"",""ESENCIAL!A6:BG""),15,FALSE))"),"")</f>
        <v/>
      </c>
      <c r="AX479" s="21" t="str">
        <f ca="1">IFERROR(__xludf.DUMMYFUNCTION("IFERROR(VLOOKUP(E496&amp;F496,IMPORTRANGE(""https://docs.google.com/spreadsheets/d/1Uw7-A9f9R21vMXxHZFNpYNeKFtG8_yji4HS352LGlSQ/edit?pli=1#gid=0"",""1_ACUM!A4:S""),12,FALSE))"),"")</f>
        <v/>
      </c>
      <c r="AY479" s="43" t="str">
        <f ca="1">IFERROR(__xludf.DUMMYFUNCTION("IFERROR(VLOOKUP(E496&amp;F496,IMPORTRANGE(""https://docs.google.com/spreadsheets/d/1Uw7-A9f9R21vMXxHZFNpYNeKFtG8_yji4HS352LGlSQ/edit?pli=1#gid=0"",""1_ACUM!A4:S""),13,FALSE))"),"")</f>
        <v/>
      </c>
      <c r="AZ479" s="43" t="str">
        <f ca="1">IFERROR(__xludf.DUMMYFUNCTION("IFERROR(VLOOKUP(E496&amp;F496,IMPORTRANGE(""https://docs.google.com/spreadsheets/d/1Uw7-A9f9R21vMXxHZFNpYNeKFtG8_yji4HS352LGlSQ/edit?pli=1#gid=0"",""1_ACUM!A4:S""),14,FALSE))"),"")</f>
        <v/>
      </c>
      <c r="BA479" s="43" t="str">
        <f ca="1">IFERROR(__xludf.DUMMYFUNCTION("IFERROR(VLOOKUP(E496&amp;F496,IMPORTRANGE(""https://docs.google.com/spreadsheets/d/1Uw7-A9f9R21vMXxHZFNpYNeKFtG8_yji4HS352LGlSQ/edit?pli=1#gid=0"",""1_ACUM!A4:S""),15,FALSE))"),"")</f>
        <v/>
      </c>
      <c r="BB479" s="43" t="str">
        <f ca="1">IFERROR(__xludf.DUMMYFUNCTION("IFERROR(VLOOKUP(E496&amp;F496,IMPORTRANGE(""https://docs.google.com/spreadsheets/d/1Uw7-A9f9R21vMXxHZFNpYNeKFtG8_yji4HS352LGlSQ/edit?pli=1#gid=0"",""1_ACUM!A4:S""),16,FALSE))"),"")</f>
        <v/>
      </c>
      <c r="BC479" s="43" t="str">
        <f ca="1">IFERROR(__xludf.DUMMYFUNCTION("IFERROR(VLOOKUP(E496&amp;F496,IMPORTRANGE(""https://docs.google.com/spreadsheets/d/1Uw7-A9f9R21vMXxHZFNpYNeKFtG8_yji4HS352LGlSQ/edit?pli=1#gid=0"",""1_ACUM!A4:S""),17,FALSE))"),"")</f>
        <v/>
      </c>
      <c r="BD479" s="44" t="str">
        <f ca="1">IFERROR(__xludf.DUMMYFUNCTION("IFERROR(VLOOKUP(E496&amp;F496,IMPORTRANGE(""https://docs.google.com/spreadsheets/d/1Uw7-A9f9R21vMXxHZFNpYNeKFtG8_yji4HS352LGlSQ/edit?pli=1#gid=0"",""1_ACUM!A4:S""),18,FALSE))"),"")</f>
        <v/>
      </c>
      <c r="BE479" s="44" t="str">
        <f ca="1">IFERROR(__xludf.DUMMYFUNCTION("IFERROR(VLOOKUP(E496&amp;F496,IMPORTRANGE(""https://docs.google.com/spreadsheets/d/1Uw7-A9f9R21vMXxHZFNpYNeKFtG8_yji4HS352LGlSQ/edit?pli=1#gid=0"",""1_ACUM!A4:S""),19,FALSE))"),"")</f>
        <v/>
      </c>
      <c r="BF479" s="44" t="str">
        <f ca="1">IFERROR(__xludf.DUMMYFUNCTION("IFERROR(VLOOKUP(F496,IMPORTRANGE(""https://docs.google.com/spreadsheets/d/1Kvs4KS76FHFqLFIZfrDMff4kP08nblUkihrxltoGBjg/edit#gid=934712705"",""ESENCIAL!A6:BG""),5,FALSE))"),"")</f>
        <v/>
      </c>
      <c r="BG479" s="44" t="str">
        <f t="shared" si="37"/>
        <v/>
      </c>
      <c r="BH479" s="41" t="str">
        <f t="shared" si="38"/>
        <v/>
      </c>
      <c r="BI479" s="41" t="str">
        <f ca="1">IFERROR(__xludf.DUMMYFUNCTION("IFERROR(VLOOKUP(F496,IMPORTRANGE(""https://docs.google.com/spreadsheets/d/1Kvs4KS76FHFqLFIZfrDMff4kP08nblUkihrxltoGBjg/edit#gid=934712705"",""ESENCIAL!A6:BG""),18,FALSE))"),"")</f>
        <v/>
      </c>
      <c r="BJ479" s="19" t="str">
        <f t="shared" si="39"/>
        <v/>
      </c>
      <c r="BK479" s="41"/>
      <c r="BL479" s="41"/>
    </row>
    <row r="480" spans="1:64" ht="15">
      <c r="A480" s="4"/>
      <c r="B480" s="4"/>
      <c r="G480" s="5" t="str">
        <f ca="1">IFERROR(__xludf.DUMMYFUNCTION("IFERROR(VLOOKUP(F497,IMPORTRANGE(""https://docs.google.com/spreadsheets/d/1Kvs4KS76FHFqLFIZfrDMff4kP08nblUkihrxltoGBjg/edit#gid=934712705"",""ESENCIAL!A6:BG""),3,FALSE))"),"")</f>
        <v/>
      </c>
      <c r="H480" s="5" t="str">
        <f ca="1">IFERROR(__xludf.DUMMYFUNCTION("IFERROR(VLOOKUP(F497,IMPORTRANGE(""https://docs.google.com/spreadsheets/d/1Kvs4KS76FHFqLFIZfrDMff4kP08nblUkihrxltoGBjg/edit#gid=934712705"",""ESENCIAL!A6:BG""),8,FALSE))"),"")</f>
        <v/>
      </c>
      <c r="L480" s="287"/>
      <c r="S480"/>
      <c r="AU480" s="41" t="str">
        <f t="shared" si="36"/>
        <v/>
      </c>
      <c r="AV480" s="5" t="str">
        <f ca="1">IFERROR(__xludf.DUMMYFUNCTION("IFERROR(VLOOKUP(E497&amp;F497,IMPORTRANGE(""https://docs.google.com/spreadsheets/d/1Uw7-A9f9R21vMXxHZFNpYNeKFtG8_yji4HS352LGlSQ/edit?pli=1#gid=0"",""1_ACUM!A4:S""),11,FALSE))"),"")</f>
        <v/>
      </c>
      <c r="AW480" s="42" t="str">
        <f ca="1">IFERROR(__xludf.DUMMYFUNCTION("IFERROR(VLOOKUP(F497,IMPORTRANGE(""https://docs.google.com/spreadsheets/d/1Kvs4KS76FHFqLFIZfrDMff4kP08nblUkihrxltoGBjg/edit#gid=934712705"",""ESENCIAL!A6:BG""),15,FALSE))"),"")</f>
        <v/>
      </c>
      <c r="AX480" s="21" t="str">
        <f ca="1">IFERROR(__xludf.DUMMYFUNCTION("IFERROR(VLOOKUP(E497&amp;F497,IMPORTRANGE(""https://docs.google.com/spreadsheets/d/1Uw7-A9f9R21vMXxHZFNpYNeKFtG8_yji4HS352LGlSQ/edit?pli=1#gid=0"",""1_ACUM!A4:S""),12,FALSE))"),"")</f>
        <v/>
      </c>
      <c r="AY480" s="43" t="str">
        <f ca="1">IFERROR(__xludf.DUMMYFUNCTION("IFERROR(VLOOKUP(E497&amp;F497,IMPORTRANGE(""https://docs.google.com/spreadsheets/d/1Uw7-A9f9R21vMXxHZFNpYNeKFtG8_yji4HS352LGlSQ/edit?pli=1#gid=0"",""1_ACUM!A4:S""),13,FALSE))"),"")</f>
        <v/>
      </c>
      <c r="AZ480" s="43" t="str">
        <f ca="1">IFERROR(__xludf.DUMMYFUNCTION("IFERROR(VLOOKUP(E497&amp;F497,IMPORTRANGE(""https://docs.google.com/spreadsheets/d/1Uw7-A9f9R21vMXxHZFNpYNeKFtG8_yji4HS352LGlSQ/edit?pli=1#gid=0"",""1_ACUM!A4:S""),14,FALSE))"),"")</f>
        <v/>
      </c>
      <c r="BA480" s="43" t="str">
        <f ca="1">IFERROR(__xludf.DUMMYFUNCTION("IFERROR(VLOOKUP(E497&amp;F497,IMPORTRANGE(""https://docs.google.com/spreadsheets/d/1Uw7-A9f9R21vMXxHZFNpYNeKFtG8_yji4HS352LGlSQ/edit?pli=1#gid=0"",""1_ACUM!A4:S""),15,FALSE))"),"")</f>
        <v/>
      </c>
      <c r="BB480" s="43" t="str">
        <f ca="1">IFERROR(__xludf.DUMMYFUNCTION("IFERROR(VLOOKUP(E497&amp;F497,IMPORTRANGE(""https://docs.google.com/spreadsheets/d/1Uw7-A9f9R21vMXxHZFNpYNeKFtG8_yji4HS352LGlSQ/edit?pli=1#gid=0"",""1_ACUM!A4:S""),16,FALSE))"),"")</f>
        <v/>
      </c>
      <c r="BC480" s="43" t="str">
        <f ca="1">IFERROR(__xludf.DUMMYFUNCTION("IFERROR(VLOOKUP(E497&amp;F497,IMPORTRANGE(""https://docs.google.com/spreadsheets/d/1Uw7-A9f9R21vMXxHZFNpYNeKFtG8_yji4HS352LGlSQ/edit?pli=1#gid=0"",""1_ACUM!A4:S""),17,FALSE))"),"")</f>
        <v/>
      </c>
      <c r="BD480" s="44" t="str">
        <f ca="1">IFERROR(__xludf.DUMMYFUNCTION("IFERROR(VLOOKUP(E497&amp;F497,IMPORTRANGE(""https://docs.google.com/spreadsheets/d/1Uw7-A9f9R21vMXxHZFNpYNeKFtG8_yji4HS352LGlSQ/edit?pli=1#gid=0"",""1_ACUM!A4:S""),18,FALSE))"),"")</f>
        <v/>
      </c>
      <c r="BE480" s="44" t="str">
        <f ca="1">IFERROR(__xludf.DUMMYFUNCTION("IFERROR(VLOOKUP(E497&amp;F497,IMPORTRANGE(""https://docs.google.com/spreadsheets/d/1Uw7-A9f9R21vMXxHZFNpYNeKFtG8_yji4HS352LGlSQ/edit?pli=1#gid=0"",""1_ACUM!A4:S""),19,FALSE))"),"")</f>
        <v/>
      </c>
      <c r="BF480" s="44" t="str">
        <f ca="1">IFERROR(__xludf.DUMMYFUNCTION("IFERROR(VLOOKUP(F497,IMPORTRANGE(""https://docs.google.com/spreadsheets/d/1Kvs4KS76FHFqLFIZfrDMff4kP08nblUkihrxltoGBjg/edit#gid=934712705"",""ESENCIAL!A6:BG""),5,FALSE))"),"")</f>
        <v/>
      </c>
      <c r="BG480" s="44" t="str">
        <f t="shared" si="37"/>
        <v/>
      </c>
      <c r="BH480" s="41" t="str">
        <f t="shared" si="38"/>
        <v/>
      </c>
      <c r="BI480" s="41" t="str">
        <f ca="1">IFERROR(__xludf.DUMMYFUNCTION("IFERROR(VLOOKUP(F497,IMPORTRANGE(""https://docs.google.com/spreadsheets/d/1Kvs4KS76FHFqLFIZfrDMff4kP08nblUkihrxltoGBjg/edit#gid=934712705"",""ESENCIAL!A6:BG""),18,FALSE))"),"")</f>
        <v/>
      </c>
      <c r="BJ480" s="19" t="str">
        <f t="shared" si="39"/>
        <v/>
      </c>
      <c r="BK480" s="41"/>
      <c r="BL480" s="41"/>
    </row>
    <row r="481" spans="1:64" ht="15">
      <c r="A481" s="4"/>
      <c r="B481" s="4"/>
      <c r="G481" s="5" t="str">
        <f ca="1">IFERROR(__xludf.DUMMYFUNCTION("IFERROR(VLOOKUP(F498,IMPORTRANGE(""https://docs.google.com/spreadsheets/d/1Kvs4KS76FHFqLFIZfrDMff4kP08nblUkihrxltoGBjg/edit#gid=934712705"",""ESENCIAL!A6:BG""),3,FALSE))"),"")</f>
        <v/>
      </c>
      <c r="H481" s="5" t="str">
        <f ca="1">IFERROR(__xludf.DUMMYFUNCTION("IFERROR(VLOOKUP(F498,IMPORTRANGE(""https://docs.google.com/spreadsheets/d/1Kvs4KS76FHFqLFIZfrDMff4kP08nblUkihrxltoGBjg/edit#gid=934712705"",""ESENCIAL!A6:BG""),8,FALSE))"),"")</f>
        <v/>
      </c>
      <c r="L481" s="287"/>
      <c r="S481"/>
      <c r="AU481" s="41" t="str">
        <f t="shared" si="36"/>
        <v/>
      </c>
      <c r="AV481" s="5" t="str">
        <f ca="1">IFERROR(__xludf.DUMMYFUNCTION("IFERROR(VLOOKUP(E498&amp;F498,IMPORTRANGE(""https://docs.google.com/spreadsheets/d/1Uw7-A9f9R21vMXxHZFNpYNeKFtG8_yji4HS352LGlSQ/edit?pli=1#gid=0"",""1_ACUM!A4:S""),11,FALSE))"),"")</f>
        <v/>
      </c>
      <c r="AW481" s="42" t="str">
        <f ca="1">IFERROR(__xludf.DUMMYFUNCTION("IFERROR(VLOOKUP(F498,IMPORTRANGE(""https://docs.google.com/spreadsheets/d/1Kvs4KS76FHFqLFIZfrDMff4kP08nblUkihrxltoGBjg/edit#gid=934712705"",""ESENCIAL!A6:BG""),15,FALSE))"),"")</f>
        <v/>
      </c>
      <c r="AX481" s="21" t="str">
        <f ca="1">IFERROR(__xludf.DUMMYFUNCTION("IFERROR(VLOOKUP(E498&amp;F498,IMPORTRANGE(""https://docs.google.com/spreadsheets/d/1Uw7-A9f9R21vMXxHZFNpYNeKFtG8_yji4HS352LGlSQ/edit?pli=1#gid=0"",""1_ACUM!A4:S""),12,FALSE))"),"")</f>
        <v/>
      </c>
      <c r="AY481" s="43" t="str">
        <f ca="1">IFERROR(__xludf.DUMMYFUNCTION("IFERROR(VLOOKUP(E498&amp;F498,IMPORTRANGE(""https://docs.google.com/spreadsheets/d/1Uw7-A9f9R21vMXxHZFNpYNeKFtG8_yji4HS352LGlSQ/edit?pli=1#gid=0"",""1_ACUM!A4:S""),13,FALSE))"),"")</f>
        <v/>
      </c>
      <c r="AZ481" s="43" t="str">
        <f ca="1">IFERROR(__xludf.DUMMYFUNCTION("IFERROR(VLOOKUP(E498&amp;F498,IMPORTRANGE(""https://docs.google.com/spreadsheets/d/1Uw7-A9f9R21vMXxHZFNpYNeKFtG8_yji4HS352LGlSQ/edit?pli=1#gid=0"",""1_ACUM!A4:S""),14,FALSE))"),"")</f>
        <v/>
      </c>
      <c r="BA481" s="43" t="str">
        <f ca="1">IFERROR(__xludf.DUMMYFUNCTION("IFERROR(VLOOKUP(E498&amp;F498,IMPORTRANGE(""https://docs.google.com/spreadsheets/d/1Uw7-A9f9R21vMXxHZFNpYNeKFtG8_yji4HS352LGlSQ/edit?pli=1#gid=0"",""1_ACUM!A4:S""),15,FALSE))"),"")</f>
        <v/>
      </c>
      <c r="BB481" s="43" t="str">
        <f ca="1">IFERROR(__xludf.DUMMYFUNCTION("IFERROR(VLOOKUP(E498&amp;F498,IMPORTRANGE(""https://docs.google.com/spreadsheets/d/1Uw7-A9f9R21vMXxHZFNpYNeKFtG8_yji4HS352LGlSQ/edit?pli=1#gid=0"",""1_ACUM!A4:S""),16,FALSE))"),"")</f>
        <v/>
      </c>
      <c r="BC481" s="43" t="str">
        <f ca="1">IFERROR(__xludf.DUMMYFUNCTION("IFERROR(VLOOKUP(E498&amp;F498,IMPORTRANGE(""https://docs.google.com/spreadsheets/d/1Uw7-A9f9R21vMXxHZFNpYNeKFtG8_yji4HS352LGlSQ/edit?pli=1#gid=0"",""1_ACUM!A4:S""),17,FALSE))"),"")</f>
        <v/>
      </c>
      <c r="BD481" s="44" t="str">
        <f ca="1">IFERROR(__xludf.DUMMYFUNCTION("IFERROR(VLOOKUP(E498&amp;F498,IMPORTRANGE(""https://docs.google.com/spreadsheets/d/1Uw7-A9f9R21vMXxHZFNpYNeKFtG8_yji4HS352LGlSQ/edit?pli=1#gid=0"",""1_ACUM!A4:S""),18,FALSE))"),"")</f>
        <v/>
      </c>
      <c r="BE481" s="44" t="str">
        <f ca="1">IFERROR(__xludf.DUMMYFUNCTION("IFERROR(VLOOKUP(E498&amp;F498,IMPORTRANGE(""https://docs.google.com/spreadsheets/d/1Uw7-A9f9R21vMXxHZFNpYNeKFtG8_yji4HS352LGlSQ/edit?pli=1#gid=0"",""1_ACUM!A4:S""),19,FALSE))"),"")</f>
        <v/>
      </c>
      <c r="BF481" s="44" t="str">
        <f ca="1">IFERROR(__xludf.DUMMYFUNCTION("IFERROR(VLOOKUP(F498,IMPORTRANGE(""https://docs.google.com/spreadsheets/d/1Kvs4KS76FHFqLFIZfrDMff4kP08nblUkihrxltoGBjg/edit#gid=934712705"",""ESENCIAL!A6:BG""),5,FALSE))"),"")</f>
        <v/>
      </c>
      <c r="BG481" s="44" t="str">
        <f t="shared" si="37"/>
        <v/>
      </c>
      <c r="BH481" s="41" t="str">
        <f t="shared" si="38"/>
        <v/>
      </c>
      <c r="BI481" s="41" t="str">
        <f ca="1">IFERROR(__xludf.DUMMYFUNCTION("IFERROR(VLOOKUP(F498,IMPORTRANGE(""https://docs.google.com/spreadsheets/d/1Kvs4KS76FHFqLFIZfrDMff4kP08nblUkihrxltoGBjg/edit#gid=934712705"",""ESENCIAL!A6:BG""),18,FALSE))"),"")</f>
        <v/>
      </c>
      <c r="BJ481" s="19" t="str">
        <f t="shared" si="39"/>
        <v/>
      </c>
      <c r="BK481" s="41"/>
      <c r="BL481" s="41"/>
    </row>
    <row r="482" spans="1:64" ht="15">
      <c r="A482" s="4"/>
      <c r="B482" s="4"/>
      <c r="G482" s="5" t="str">
        <f ca="1">IFERROR(__xludf.DUMMYFUNCTION("IFERROR(VLOOKUP(F499,IMPORTRANGE(""https://docs.google.com/spreadsheets/d/1Kvs4KS76FHFqLFIZfrDMff4kP08nblUkihrxltoGBjg/edit#gid=934712705"",""ESENCIAL!A6:BG""),3,FALSE))"),"")</f>
        <v/>
      </c>
      <c r="H482" s="5" t="str">
        <f ca="1">IFERROR(__xludf.DUMMYFUNCTION("IFERROR(VLOOKUP(F499,IMPORTRANGE(""https://docs.google.com/spreadsheets/d/1Kvs4KS76FHFqLFIZfrDMff4kP08nblUkihrxltoGBjg/edit#gid=934712705"",""ESENCIAL!A6:BG""),8,FALSE))"),"")</f>
        <v/>
      </c>
      <c r="L482" s="287"/>
      <c r="S482"/>
      <c r="AU482" s="41" t="str">
        <f t="shared" si="36"/>
        <v/>
      </c>
      <c r="AV482" s="5" t="str">
        <f ca="1">IFERROR(__xludf.DUMMYFUNCTION("IFERROR(VLOOKUP(E499&amp;F499,IMPORTRANGE(""https://docs.google.com/spreadsheets/d/1Uw7-A9f9R21vMXxHZFNpYNeKFtG8_yji4HS352LGlSQ/edit?pli=1#gid=0"",""1_ACUM!A4:S""),11,FALSE))"),"")</f>
        <v/>
      </c>
      <c r="AW482" s="42" t="str">
        <f ca="1">IFERROR(__xludf.DUMMYFUNCTION("IFERROR(VLOOKUP(F499,IMPORTRANGE(""https://docs.google.com/spreadsheets/d/1Kvs4KS76FHFqLFIZfrDMff4kP08nblUkihrxltoGBjg/edit#gid=934712705"",""ESENCIAL!A6:BG""),15,FALSE))"),"")</f>
        <v/>
      </c>
      <c r="AX482" s="21" t="str">
        <f ca="1">IFERROR(__xludf.DUMMYFUNCTION("IFERROR(VLOOKUP(E499&amp;F499,IMPORTRANGE(""https://docs.google.com/spreadsheets/d/1Uw7-A9f9R21vMXxHZFNpYNeKFtG8_yji4HS352LGlSQ/edit?pli=1#gid=0"",""1_ACUM!A4:S""),12,FALSE))"),"")</f>
        <v/>
      </c>
      <c r="AY482" s="43" t="str">
        <f ca="1">IFERROR(__xludf.DUMMYFUNCTION("IFERROR(VLOOKUP(E499&amp;F499,IMPORTRANGE(""https://docs.google.com/spreadsheets/d/1Uw7-A9f9R21vMXxHZFNpYNeKFtG8_yji4HS352LGlSQ/edit?pli=1#gid=0"",""1_ACUM!A4:S""),13,FALSE))"),"")</f>
        <v/>
      </c>
      <c r="AZ482" s="43" t="str">
        <f ca="1">IFERROR(__xludf.DUMMYFUNCTION("IFERROR(VLOOKUP(E499&amp;F499,IMPORTRANGE(""https://docs.google.com/spreadsheets/d/1Uw7-A9f9R21vMXxHZFNpYNeKFtG8_yji4HS352LGlSQ/edit?pli=1#gid=0"",""1_ACUM!A4:S""),14,FALSE))"),"")</f>
        <v/>
      </c>
      <c r="BA482" s="43" t="str">
        <f ca="1">IFERROR(__xludf.DUMMYFUNCTION("IFERROR(VLOOKUP(E499&amp;F499,IMPORTRANGE(""https://docs.google.com/spreadsheets/d/1Uw7-A9f9R21vMXxHZFNpYNeKFtG8_yji4HS352LGlSQ/edit?pli=1#gid=0"",""1_ACUM!A4:S""),15,FALSE))"),"")</f>
        <v/>
      </c>
      <c r="BB482" s="43" t="str">
        <f ca="1">IFERROR(__xludf.DUMMYFUNCTION("IFERROR(VLOOKUP(E499&amp;F499,IMPORTRANGE(""https://docs.google.com/spreadsheets/d/1Uw7-A9f9R21vMXxHZFNpYNeKFtG8_yji4HS352LGlSQ/edit?pli=1#gid=0"",""1_ACUM!A4:S""),16,FALSE))"),"")</f>
        <v/>
      </c>
      <c r="BC482" s="43" t="str">
        <f ca="1">IFERROR(__xludf.DUMMYFUNCTION("IFERROR(VLOOKUP(E499&amp;F499,IMPORTRANGE(""https://docs.google.com/spreadsheets/d/1Uw7-A9f9R21vMXxHZFNpYNeKFtG8_yji4HS352LGlSQ/edit?pli=1#gid=0"",""1_ACUM!A4:S""),17,FALSE))"),"")</f>
        <v/>
      </c>
      <c r="BD482" s="44" t="str">
        <f ca="1">IFERROR(__xludf.DUMMYFUNCTION("IFERROR(VLOOKUP(E499&amp;F499,IMPORTRANGE(""https://docs.google.com/spreadsheets/d/1Uw7-A9f9R21vMXxHZFNpYNeKFtG8_yji4HS352LGlSQ/edit?pli=1#gid=0"",""1_ACUM!A4:S""),18,FALSE))"),"")</f>
        <v/>
      </c>
      <c r="BE482" s="44" t="str">
        <f ca="1">IFERROR(__xludf.DUMMYFUNCTION("IFERROR(VLOOKUP(E499&amp;F499,IMPORTRANGE(""https://docs.google.com/spreadsheets/d/1Uw7-A9f9R21vMXxHZFNpYNeKFtG8_yji4HS352LGlSQ/edit?pli=1#gid=0"",""1_ACUM!A4:S""),19,FALSE))"),"")</f>
        <v/>
      </c>
      <c r="BF482" s="44" t="str">
        <f ca="1">IFERROR(__xludf.DUMMYFUNCTION("IFERROR(VLOOKUP(F499,IMPORTRANGE(""https://docs.google.com/spreadsheets/d/1Kvs4KS76FHFqLFIZfrDMff4kP08nblUkihrxltoGBjg/edit#gid=934712705"",""ESENCIAL!A6:BG""),5,FALSE))"),"")</f>
        <v/>
      </c>
      <c r="BG482" s="44" t="str">
        <f t="shared" si="37"/>
        <v/>
      </c>
      <c r="BH482" s="41" t="str">
        <f t="shared" si="38"/>
        <v/>
      </c>
      <c r="BI482" s="41" t="str">
        <f ca="1">IFERROR(__xludf.DUMMYFUNCTION("IFERROR(VLOOKUP(F499,IMPORTRANGE(""https://docs.google.com/spreadsheets/d/1Kvs4KS76FHFqLFIZfrDMff4kP08nblUkihrxltoGBjg/edit#gid=934712705"",""ESENCIAL!A6:BG""),18,FALSE))"),"")</f>
        <v/>
      </c>
      <c r="BJ482" s="19" t="str">
        <f t="shared" si="39"/>
        <v/>
      </c>
      <c r="BK482" s="41"/>
      <c r="BL482" s="41"/>
    </row>
    <row r="483" spans="1:64" ht="15">
      <c r="A483" s="4"/>
      <c r="B483" s="4"/>
      <c r="G483" s="5" t="str">
        <f ca="1">IFERROR(__xludf.DUMMYFUNCTION("IFERROR(VLOOKUP(F500,IMPORTRANGE(""https://docs.google.com/spreadsheets/d/1Kvs4KS76FHFqLFIZfrDMff4kP08nblUkihrxltoGBjg/edit#gid=934712705"",""ESENCIAL!A6:BG""),3,FALSE))"),"")</f>
        <v/>
      </c>
      <c r="H483" s="5" t="str">
        <f ca="1">IFERROR(__xludf.DUMMYFUNCTION("IFERROR(VLOOKUP(F500,IMPORTRANGE(""https://docs.google.com/spreadsheets/d/1Kvs4KS76FHFqLFIZfrDMff4kP08nblUkihrxltoGBjg/edit#gid=934712705"",""ESENCIAL!A6:BG""),8,FALSE))"),"")</f>
        <v/>
      </c>
      <c r="L483" s="287"/>
      <c r="S483"/>
      <c r="AU483" s="41" t="str">
        <f t="shared" si="36"/>
        <v/>
      </c>
      <c r="AV483" s="5" t="str">
        <f ca="1">IFERROR(__xludf.DUMMYFUNCTION("IFERROR(VLOOKUP(E500&amp;F500,IMPORTRANGE(""https://docs.google.com/spreadsheets/d/1Uw7-A9f9R21vMXxHZFNpYNeKFtG8_yji4HS352LGlSQ/edit?pli=1#gid=0"",""1_ACUM!A4:S""),11,FALSE))"),"")</f>
        <v/>
      </c>
      <c r="AW483" s="42" t="str">
        <f ca="1">IFERROR(__xludf.DUMMYFUNCTION("IFERROR(VLOOKUP(F500,IMPORTRANGE(""https://docs.google.com/spreadsheets/d/1Kvs4KS76FHFqLFIZfrDMff4kP08nblUkihrxltoGBjg/edit#gid=934712705"",""ESENCIAL!A6:BG""),15,FALSE))"),"")</f>
        <v/>
      </c>
      <c r="AX483" s="21" t="str">
        <f ca="1">IFERROR(__xludf.DUMMYFUNCTION("IFERROR(VLOOKUP(E500&amp;F500,IMPORTRANGE(""https://docs.google.com/spreadsheets/d/1Uw7-A9f9R21vMXxHZFNpYNeKFtG8_yji4HS352LGlSQ/edit?pli=1#gid=0"",""1_ACUM!A4:S""),12,FALSE))"),"")</f>
        <v/>
      </c>
      <c r="AY483" s="43" t="str">
        <f ca="1">IFERROR(__xludf.DUMMYFUNCTION("IFERROR(VLOOKUP(E500&amp;F500,IMPORTRANGE(""https://docs.google.com/spreadsheets/d/1Uw7-A9f9R21vMXxHZFNpYNeKFtG8_yji4HS352LGlSQ/edit?pli=1#gid=0"",""1_ACUM!A4:S""),13,FALSE))"),"")</f>
        <v/>
      </c>
      <c r="AZ483" s="43" t="str">
        <f ca="1">IFERROR(__xludf.DUMMYFUNCTION("IFERROR(VLOOKUP(E500&amp;F500,IMPORTRANGE(""https://docs.google.com/spreadsheets/d/1Uw7-A9f9R21vMXxHZFNpYNeKFtG8_yji4HS352LGlSQ/edit?pli=1#gid=0"",""1_ACUM!A4:S""),14,FALSE))"),"")</f>
        <v/>
      </c>
      <c r="BA483" s="43" t="str">
        <f ca="1">IFERROR(__xludf.DUMMYFUNCTION("IFERROR(VLOOKUP(E500&amp;F500,IMPORTRANGE(""https://docs.google.com/spreadsheets/d/1Uw7-A9f9R21vMXxHZFNpYNeKFtG8_yji4HS352LGlSQ/edit?pli=1#gid=0"",""1_ACUM!A4:S""),15,FALSE))"),"")</f>
        <v/>
      </c>
      <c r="BB483" s="43" t="str">
        <f ca="1">IFERROR(__xludf.DUMMYFUNCTION("IFERROR(VLOOKUP(E500&amp;F500,IMPORTRANGE(""https://docs.google.com/spreadsheets/d/1Uw7-A9f9R21vMXxHZFNpYNeKFtG8_yji4HS352LGlSQ/edit?pli=1#gid=0"",""1_ACUM!A4:S""),16,FALSE))"),"")</f>
        <v/>
      </c>
      <c r="BC483" s="43" t="str">
        <f ca="1">IFERROR(__xludf.DUMMYFUNCTION("IFERROR(VLOOKUP(E500&amp;F500,IMPORTRANGE(""https://docs.google.com/spreadsheets/d/1Uw7-A9f9R21vMXxHZFNpYNeKFtG8_yji4HS352LGlSQ/edit?pli=1#gid=0"",""1_ACUM!A4:S""),17,FALSE))"),"")</f>
        <v/>
      </c>
      <c r="BD483" s="44" t="str">
        <f ca="1">IFERROR(__xludf.DUMMYFUNCTION("IFERROR(VLOOKUP(E500&amp;F500,IMPORTRANGE(""https://docs.google.com/spreadsheets/d/1Uw7-A9f9R21vMXxHZFNpYNeKFtG8_yji4HS352LGlSQ/edit?pli=1#gid=0"",""1_ACUM!A4:S""),18,FALSE))"),"")</f>
        <v/>
      </c>
      <c r="BE483" s="44" t="str">
        <f ca="1">IFERROR(__xludf.DUMMYFUNCTION("IFERROR(VLOOKUP(E500&amp;F500,IMPORTRANGE(""https://docs.google.com/spreadsheets/d/1Uw7-A9f9R21vMXxHZFNpYNeKFtG8_yji4HS352LGlSQ/edit?pli=1#gid=0"",""1_ACUM!A4:S""),19,FALSE))"),"")</f>
        <v/>
      </c>
      <c r="BF483" s="44" t="str">
        <f ca="1">IFERROR(__xludf.DUMMYFUNCTION("IFERROR(VLOOKUP(F500,IMPORTRANGE(""https://docs.google.com/spreadsheets/d/1Kvs4KS76FHFqLFIZfrDMff4kP08nblUkihrxltoGBjg/edit#gid=934712705"",""ESENCIAL!A6:BG""),5,FALSE))"),"")</f>
        <v/>
      </c>
      <c r="BG483" s="44" t="str">
        <f t="shared" si="37"/>
        <v/>
      </c>
      <c r="BH483" s="41" t="str">
        <f t="shared" si="38"/>
        <v/>
      </c>
      <c r="BI483" s="41" t="str">
        <f ca="1">IFERROR(__xludf.DUMMYFUNCTION("IFERROR(VLOOKUP(F500,IMPORTRANGE(""https://docs.google.com/spreadsheets/d/1Kvs4KS76FHFqLFIZfrDMff4kP08nblUkihrxltoGBjg/edit#gid=934712705"",""ESENCIAL!A6:BG""),18,FALSE))"),"")</f>
        <v/>
      </c>
      <c r="BJ483" s="19" t="str">
        <f t="shared" si="39"/>
        <v/>
      </c>
      <c r="BK483" s="41"/>
      <c r="BL483" s="41"/>
    </row>
    <row r="484" spans="1:64" ht="15">
      <c r="A484" s="4"/>
      <c r="B484" s="4"/>
      <c r="G484" s="5" t="str">
        <f ca="1">IFERROR(__xludf.DUMMYFUNCTION("IFERROR(VLOOKUP(F501,IMPORTRANGE(""https://docs.google.com/spreadsheets/d/1Kvs4KS76FHFqLFIZfrDMff4kP08nblUkihrxltoGBjg/edit#gid=934712705"",""ESENCIAL!A6:BG""),3,FALSE))"),"")</f>
        <v/>
      </c>
      <c r="H484" s="5" t="str">
        <f ca="1">IFERROR(__xludf.DUMMYFUNCTION("IFERROR(VLOOKUP(F501,IMPORTRANGE(""https://docs.google.com/spreadsheets/d/1Kvs4KS76FHFqLFIZfrDMff4kP08nblUkihrxltoGBjg/edit#gid=934712705"",""ESENCIAL!A6:BG""),8,FALSE))"),"")</f>
        <v/>
      </c>
      <c r="L484" s="287"/>
      <c r="S484"/>
      <c r="AU484" s="41" t="str">
        <f t="shared" si="36"/>
        <v/>
      </c>
      <c r="AV484" s="5" t="str">
        <f ca="1">IFERROR(__xludf.DUMMYFUNCTION("IFERROR(VLOOKUP(E501&amp;F501,IMPORTRANGE(""https://docs.google.com/spreadsheets/d/1Uw7-A9f9R21vMXxHZFNpYNeKFtG8_yji4HS352LGlSQ/edit?pli=1#gid=0"",""1_ACUM!A4:S""),11,FALSE))"),"")</f>
        <v/>
      </c>
      <c r="AW484" s="42" t="str">
        <f ca="1">IFERROR(__xludf.DUMMYFUNCTION("IFERROR(VLOOKUP(F501,IMPORTRANGE(""https://docs.google.com/spreadsheets/d/1Kvs4KS76FHFqLFIZfrDMff4kP08nblUkihrxltoGBjg/edit#gid=934712705"",""ESENCIAL!A6:BG""),15,FALSE))"),"")</f>
        <v/>
      </c>
      <c r="AX484" s="21" t="str">
        <f ca="1">IFERROR(__xludf.DUMMYFUNCTION("IFERROR(VLOOKUP(E501&amp;F501,IMPORTRANGE(""https://docs.google.com/spreadsheets/d/1Uw7-A9f9R21vMXxHZFNpYNeKFtG8_yji4HS352LGlSQ/edit?pli=1#gid=0"",""1_ACUM!A4:S""),12,FALSE))"),"")</f>
        <v/>
      </c>
      <c r="AY484" s="43" t="str">
        <f ca="1">IFERROR(__xludf.DUMMYFUNCTION("IFERROR(VLOOKUP(E501&amp;F501,IMPORTRANGE(""https://docs.google.com/spreadsheets/d/1Uw7-A9f9R21vMXxHZFNpYNeKFtG8_yji4HS352LGlSQ/edit?pli=1#gid=0"",""1_ACUM!A4:S""),13,FALSE))"),"")</f>
        <v/>
      </c>
      <c r="AZ484" s="43" t="str">
        <f ca="1">IFERROR(__xludf.DUMMYFUNCTION("IFERROR(VLOOKUP(E501&amp;F501,IMPORTRANGE(""https://docs.google.com/spreadsheets/d/1Uw7-A9f9R21vMXxHZFNpYNeKFtG8_yji4HS352LGlSQ/edit?pli=1#gid=0"",""1_ACUM!A4:S""),14,FALSE))"),"")</f>
        <v/>
      </c>
      <c r="BA484" s="43" t="str">
        <f ca="1">IFERROR(__xludf.DUMMYFUNCTION("IFERROR(VLOOKUP(E501&amp;F501,IMPORTRANGE(""https://docs.google.com/spreadsheets/d/1Uw7-A9f9R21vMXxHZFNpYNeKFtG8_yji4HS352LGlSQ/edit?pli=1#gid=0"",""1_ACUM!A4:S""),15,FALSE))"),"")</f>
        <v/>
      </c>
      <c r="BB484" s="43" t="str">
        <f ca="1">IFERROR(__xludf.DUMMYFUNCTION("IFERROR(VLOOKUP(E501&amp;F501,IMPORTRANGE(""https://docs.google.com/spreadsheets/d/1Uw7-A9f9R21vMXxHZFNpYNeKFtG8_yji4HS352LGlSQ/edit?pli=1#gid=0"",""1_ACUM!A4:S""),16,FALSE))"),"")</f>
        <v/>
      </c>
      <c r="BC484" s="43" t="str">
        <f ca="1">IFERROR(__xludf.DUMMYFUNCTION("IFERROR(VLOOKUP(E501&amp;F501,IMPORTRANGE(""https://docs.google.com/spreadsheets/d/1Uw7-A9f9R21vMXxHZFNpYNeKFtG8_yji4HS352LGlSQ/edit?pli=1#gid=0"",""1_ACUM!A4:S""),17,FALSE))"),"")</f>
        <v/>
      </c>
      <c r="BD484" s="44" t="str">
        <f ca="1">IFERROR(__xludf.DUMMYFUNCTION("IFERROR(VLOOKUP(E501&amp;F501,IMPORTRANGE(""https://docs.google.com/spreadsheets/d/1Uw7-A9f9R21vMXxHZFNpYNeKFtG8_yji4HS352LGlSQ/edit?pli=1#gid=0"",""1_ACUM!A4:S""),18,FALSE))"),"")</f>
        <v/>
      </c>
      <c r="BE484" s="44" t="str">
        <f ca="1">IFERROR(__xludf.DUMMYFUNCTION("IFERROR(VLOOKUP(E501&amp;F501,IMPORTRANGE(""https://docs.google.com/spreadsheets/d/1Uw7-A9f9R21vMXxHZFNpYNeKFtG8_yji4HS352LGlSQ/edit?pli=1#gid=0"",""1_ACUM!A4:S""),19,FALSE))"),"")</f>
        <v/>
      </c>
      <c r="BF484" s="44" t="str">
        <f ca="1">IFERROR(__xludf.DUMMYFUNCTION("IFERROR(VLOOKUP(F501,IMPORTRANGE(""https://docs.google.com/spreadsheets/d/1Kvs4KS76FHFqLFIZfrDMff4kP08nblUkihrxltoGBjg/edit#gid=934712705"",""ESENCIAL!A6:BG""),5,FALSE))"),"")</f>
        <v/>
      </c>
      <c r="BG484" s="44" t="str">
        <f t="shared" si="37"/>
        <v/>
      </c>
      <c r="BH484" s="41" t="str">
        <f t="shared" si="38"/>
        <v/>
      </c>
      <c r="BI484" s="41" t="str">
        <f ca="1">IFERROR(__xludf.DUMMYFUNCTION("IFERROR(VLOOKUP(F501,IMPORTRANGE(""https://docs.google.com/spreadsheets/d/1Kvs4KS76FHFqLFIZfrDMff4kP08nblUkihrxltoGBjg/edit#gid=934712705"",""ESENCIAL!A6:BG""),18,FALSE))"),"")</f>
        <v/>
      </c>
      <c r="BJ484" s="19" t="str">
        <f t="shared" si="39"/>
        <v/>
      </c>
      <c r="BK484" s="41"/>
      <c r="BL484" s="41"/>
    </row>
    <row r="485" spans="1:64" ht="15">
      <c r="A485" s="4"/>
      <c r="B485" s="4"/>
      <c r="G485" s="5" t="str">
        <f ca="1">IFERROR(__xludf.DUMMYFUNCTION("IFERROR(VLOOKUP(F502,IMPORTRANGE(""https://docs.google.com/spreadsheets/d/1Kvs4KS76FHFqLFIZfrDMff4kP08nblUkihrxltoGBjg/edit#gid=934712705"",""ESENCIAL!A6:BG""),3,FALSE))"),"")</f>
        <v/>
      </c>
      <c r="H485" s="5" t="str">
        <f ca="1">IFERROR(__xludf.DUMMYFUNCTION("IFERROR(VLOOKUP(F502,IMPORTRANGE(""https://docs.google.com/spreadsheets/d/1Kvs4KS76FHFqLFIZfrDMff4kP08nblUkihrxltoGBjg/edit#gid=934712705"",""ESENCIAL!A6:BG""),8,FALSE))"),"")</f>
        <v/>
      </c>
      <c r="L485" s="287"/>
      <c r="S485"/>
      <c r="AU485" s="41" t="str">
        <f t="shared" si="36"/>
        <v/>
      </c>
      <c r="AV485" s="5" t="str">
        <f ca="1">IFERROR(__xludf.DUMMYFUNCTION("IFERROR(VLOOKUP(E502&amp;F502,IMPORTRANGE(""https://docs.google.com/spreadsheets/d/1Uw7-A9f9R21vMXxHZFNpYNeKFtG8_yji4HS352LGlSQ/edit?pli=1#gid=0"",""1_ACUM!A4:S""),11,FALSE))"),"")</f>
        <v/>
      </c>
      <c r="AW485" s="42" t="str">
        <f ca="1">IFERROR(__xludf.DUMMYFUNCTION("IFERROR(VLOOKUP(F502,IMPORTRANGE(""https://docs.google.com/spreadsheets/d/1Kvs4KS76FHFqLFIZfrDMff4kP08nblUkihrxltoGBjg/edit#gid=934712705"",""ESENCIAL!A6:BG""),15,FALSE))"),"")</f>
        <v/>
      </c>
      <c r="AX485" s="21" t="str">
        <f ca="1">IFERROR(__xludf.DUMMYFUNCTION("IFERROR(VLOOKUP(E502&amp;F502,IMPORTRANGE(""https://docs.google.com/spreadsheets/d/1Uw7-A9f9R21vMXxHZFNpYNeKFtG8_yji4HS352LGlSQ/edit?pli=1#gid=0"",""1_ACUM!A4:S""),12,FALSE))"),"")</f>
        <v/>
      </c>
      <c r="AY485" s="43" t="str">
        <f ca="1">IFERROR(__xludf.DUMMYFUNCTION("IFERROR(VLOOKUP(E502&amp;F502,IMPORTRANGE(""https://docs.google.com/spreadsheets/d/1Uw7-A9f9R21vMXxHZFNpYNeKFtG8_yji4HS352LGlSQ/edit?pli=1#gid=0"",""1_ACUM!A4:S""),13,FALSE))"),"")</f>
        <v/>
      </c>
      <c r="AZ485" s="43" t="str">
        <f ca="1">IFERROR(__xludf.DUMMYFUNCTION("IFERROR(VLOOKUP(E502&amp;F502,IMPORTRANGE(""https://docs.google.com/spreadsheets/d/1Uw7-A9f9R21vMXxHZFNpYNeKFtG8_yji4HS352LGlSQ/edit?pli=1#gid=0"",""1_ACUM!A4:S""),14,FALSE))"),"")</f>
        <v/>
      </c>
      <c r="BA485" s="43" t="str">
        <f ca="1">IFERROR(__xludf.DUMMYFUNCTION("IFERROR(VLOOKUP(E502&amp;F502,IMPORTRANGE(""https://docs.google.com/spreadsheets/d/1Uw7-A9f9R21vMXxHZFNpYNeKFtG8_yji4HS352LGlSQ/edit?pli=1#gid=0"",""1_ACUM!A4:S""),15,FALSE))"),"")</f>
        <v/>
      </c>
      <c r="BB485" s="43" t="str">
        <f ca="1">IFERROR(__xludf.DUMMYFUNCTION("IFERROR(VLOOKUP(E502&amp;F502,IMPORTRANGE(""https://docs.google.com/spreadsheets/d/1Uw7-A9f9R21vMXxHZFNpYNeKFtG8_yji4HS352LGlSQ/edit?pli=1#gid=0"",""1_ACUM!A4:S""),16,FALSE))"),"")</f>
        <v/>
      </c>
      <c r="BC485" s="43" t="str">
        <f ca="1">IFERROR(__xludf.DUMMYFUNCTION("IFERROR(VLOOKUP(E502&amp;F502,IMPORTRANGE(""https://docs.google.com/spreadsheets/d/1Uw7-A9f9R21vMXxHZFNpYNeKFtG8_yji4HS352LGlSQ/edit?pli=1#gid=0"",""1_ACUM!A4:S""),17,FALSE))"),"")</f>
        <v/>
      </c>
      <c r="BD485" s="44" t="str">
        <f ca="1">IFERROR(__xludf.DUMMYFUNCTION("IFERROR(VLOOKUP(E502&amp;F502,IMPORTRANGE(""https://docs.google.com/spreadsheets/d/1Uw7-A9f9R21vMXxHZFNpYNeKFtG8_yji4HS352LGlSQ/edit?pli=1#gid=0"",""1_ACUM!A4:S""),18,FALSE))"),"")</f>
        <v/>
      </c>
      <c r="BE485" s="44" t="str">
        <f ca="1">IFERROR(__xludf.DUMMYFUNCTION("IFERROR(VLOOKUP(E502&amp;F502,IMPORTRANGE(""https://docs.google.com/spreadsheets/d/1Uw7-A9f9R21vMXxHZFNpYNeKFtG8_yji4HS352LGlSQ/edit?pli=1#gid=0"",""1_ACUM!A4:S""),19,FALSE))"),"")</f>
        <v/>
      </c>
      <c r="BF485" s="44" t="str">
        <f ca="1">IFERROR(__xludf.DUMMYFUNCTION("IFERROR(VLOOKUP(F502,IMPORTRANGE(""https://docs.google.com/spreadsheets/d/1Kvs4KS76FHFqLFIZfrDMff4kP08nblUkihrxltoGBjg/edit#gid=934712705"",""ESENCIAL!A6:BG""),5,FALSE))"),"")</f>
        <v/>
      </c>
      <c r="BG485" s="44" t="str">
        <f t="shared" si="37"/>
        <v/>
      </c>
      <c r="BH485" s="41" t="str">
        <f t="shared" si="38"/>
        <v/>
      </c>
      <c r="BI485" s="41" t="str">
        <f ca="1">IFERROR(__xludf.DUMMYFUNCTION("IFERROR(VLOOKUP(F502,IMPORTRANGE(""https://docs.google.com/spreadsheets/d/1Kvs4KS76FHFqLFIZfrDMff4kP08nblUkihrxltoGBjg/edit#gid=934712705"",""ESENCIAL!A6:BG""),18,FALSE))"),"")</f>
        <v/>
      </c>
      <c r="BJ485" s="19" t="str">
        <f t="shared" si="39"/>
        <v/>
      </c>
      <c r="BK485" s="41"/>
      <c r="BL485" s="41"/>
    </row>
    <row r="486" spans="1:64" ht="15">
      <c r="A486" s="4"/>
      <c r="B486" s="4"/>
      <c r="G486" s="5" t="str">
        <f ca="1">IFERROR(__xludf.DUMMYFUNCTION("IFERROR(VLOOKUP(F503,IMPORTRANGE(""https://docs.google.com/spreadsheets/d/1Kvs4KS76FHFqLFIZfrDMff4kP08nblUkihrxltoGBjg/edit#gid=934712705"",""ESENCIAL!A6:BG""),3,FALSE))"),"")</f>
        <v/>
      </c>
      <c r="H486" s="5" t="str">
        <f ca="1">IFERROR(__xludf.DUMMYFUNCTION("IFERROR(VLOOKUP(F503,IMPORTRANGE(""https://docs.google.com/spreadsheets/d/1Kvs4KS76FHFqLFIZfrDMff4kP08nblUkihrxltoGBjg/edit#gid=934712705"",""ESENCIAL!A6:BG""),8,FALSE))"),"")</f>
        <v/>
      </c>
      <c r="L486" s="287"/>
      <c r="S486"/>
      <c r="AU486" s="41" t="str">
        <f t="shared" si="36"/>
        <v/>
      </c>
      <c r="AV486" s="5" t="str">
        <f ca="1">IFERROR(__xludf.DUMMYFUNCTION("IFERROR(VLOOKUP(E503&amp;F503,IMPORTRANGE(""https://docs.google.com/spreadsheets/d/1Uw7-A9f9R21vMXxHZFNpYNeKFtG8_yji4HS352LGlSQ/edit?pli=1#gid=0"",""1_ACUM!A4:S""),11,FALSE))"),"")</f>
        <v/>
      </c>
      <c r="AW486" s="42" t="str">
        <f ca="1">IFERROR(__xludf.DUMMYFUNCTION("IFERROR(VLOOKUP(F503,IMPORTRANGE(""https://docs.google.com/spreadsheets/d/1Kvs4KS76FHFqLFIZfrDMff4kP08nblUkihrxltoGBjg/edit#gid=934712705"",""ESENCIAL!A6:BG""),15,FALSE))"),"")</f>
        <v/>
      </c>
      <c r="AX486" s="21" t="str">
        <f ca="1">IFERROR(__xludf.DUMMYFUNCTION("IFERROR(VLOOKUP(E503&amp;F503,IMPORTRANGE(""https://docs.google.com/spreadsheets/d/1Uw7-A9f9R21vMXxHZFNpYNeKFtG8_yji4HS352LGlSQ/edit?pli=1#gid=0"",""1_ACUM!A4:S""),12,FALSE))"),"")</f>
        <v/>
      </c>
      <c r="AY486" s="43" t="str">
        <f ca="1">IFERROR(__xludf.DUMMYFUNCTION("IFERROR(VLOOKUP(E503&amp;F503,IMPORTRANGE(""https://docs.google.com/spreadsheets/d/1Uw7-A9f9R21vMXxHZFNpYNeKFtG8_yji4HS352LGlSQ/edit?pli=1#gid=0"",""1_ACUM!A4:S""),13,FALSE))"),"")</f>
        <v/>
      </c>
      <c r="AZ486" s="43" t="str">
        <f ca="1">IFERROR(__xludf.DUMMYFUNCTION("IFERROR(VLOOKUP(E503&amp;F503,IMPORTRANGE(""https://docs.google.com/spreadsheets/d/1Uw7-A9f9R21vMXxHZFNpYNeKFtG8_yji4HS352LGlSQ/edit?pli=1#gid=0"",""1_ACUM!A4:S""),14,FALSE))"),"")</f>
        <v/>
      </c>
      <c r="BA486" s="43" t="str">
        <f ca="1">IFERROR(__xludf.DUMMYFUNCTION("IFERROR(VLOOKUP(E503&amp;F503,IMPORTRANGE(""https://docs.google.com/spreadsheets/d/1Uw7-A9f9R21vMXxHZFNpYNeKFtG8_yji4HS352LGlSQ/edit?pli=1#gid=0"",""1_ACUM!A4:S""),15,FALSE))"),"")</f>
        <v/>
      </c>
      <c r="BB486" s="43" t="str">
        <f ca="1">IFERROR(__xludf.DUMMYFUNCTION("IFERROR(VLOOKUP(E503&amp;F503,IMPORTRANGE(""https://docs.google.com/spreadsheets/d/1Uw7-A9f9R21vMXxHZFNpYNeKFtG8_yji4HS352LGlSQ/edit?pli=1#gid=0"",""1_ACUM!A4:S""),16,FALSE))"),"")</f>
        <v/>
      </c>
      <c r="BC486" s="43" t="str">
        <f ca="1">IFERROR(__xludf.DUMMYFUNCTION("IFERROR(VLOOKUP(E503&amp;F503,IMPORTRANGE(""https://docs.google.com/spreadsheets/d/1Uw7-A9f9R21vMXxHZFNpYNeKFtG8_yji4HS352LGlSQ/edit?pli=1#gid=0"",""1_ACUM!A4:S""),17,FALSE))"),"")</f>
        <v/>
      </c>
      <c r="BD486" s="44" t="str">
        <f ca="1">IFERROR(__xludf.DUMMYFUNCTION("IFERROR(VLOOKUP(E503&amp;F503,IMPORTRANGE(""https://docs.google.com/spreadsheets/d/1Uw7-A9f9R21vMXxHZFNpYNeKFtG8_yji4HS352LGlSQ/edit?pli=1#gid=0"",""1_ACUM!A4:S""),18,FALSE))"),"")</f>
        <v/>
      </c>
      <c r="BE486" s="44" t="str">
        <f ca="1">IFERROR(__xludf.DUMMYFUNCTION("IFERROR(VLOOKUP(E503&amp;F503,IMPORTRANGE(""https://docs.google.com/spreadsheets/d/1Uw7-A9f9R21vMXxHZFNpYNeKFtG8_yji4HS352LGlSQ/edit?pli=1#gid=0"",""1_ACUM!A4:S""),19,FALSE))"),"")</f>
        <v/>
      </c>
      <c r="BF486" s="44" t="str">
        <f ca="1">IFERROR(__xludf.DUMMYFUNCTION("IFERROR(VLOOKUP(F503,IMPORTRANGE(""https://docs.google.com/spreadsheets/d/1Kvs4KS76FHFqLFIZfrDMff4kP08nblUkihrxltoGBjg/edit#gid=934712705"",""ESENCIAL!A6:BG""),5,FALSE))"),"")</f>
        <v/>
      </c>
      <c r="BG486" s="44" t="str">
        <f t="shared" si="37"/>
        <v/>
      </c>
      <c r="BH486" s="41" t="str">
        <f t="shared" si="38"/>
        <v/>
      </c>
      <c r="BI486" s="41" t="str">
        <f ca="1">IFERROR(__xludf.DUMMYFUNCTION("IFERROR(VLOOKUP(F503,IMPORTRANGE(""https://docs.google.com/spreadsheets/d/1Kvs4KS76FHFqLFIZfrDMff4kP08nblUkihrxltoGBjg/edit#gid=934712705"",""ESENCIAL!A6:BG""),18,FALSE))"),"")</f>
        <v/>
      </c>
      <c r="BJ486" s="19" t="str">
        <f t="shared" si="39"/>
        <v/>
      </c>
      <c r="BK486" s="41"/>
      <c r="BL486" s="41"/>
    </row>
    <row r="487" spans="1:64" ht="15">
      <c r="A487" s="4"/>
      <c r="B487" s="4"/>
      <c r="G487" s="5" t="str">
        <f ca="1">IFERROR(__xludf.DUMMYFUNCTION("IFERROR(VLOOKUP(F504,IMPORTRANGE(""https://docs.google.com/spreadsheets/d/1Kvs4KS76FHFqLFIZfrDMff4kP08nblUkihrxltoGBjg/edit#gid=934712705"",""ESENCIAL!A6:BG""),3,FALSE))"),"")</f>
        <v/>
      </c>
      <c r="H487" s="5" t="str">
        <f ca="1">IFERROR(__xludf.DUMMYFUNCTION("IFERROR(VLOOKUP(F504,IMPORTRANGE(""https://docs.google.com/spreadsheets/d/1Kvs4KS76FHFqLFIZfrDMff4kP08nblUkihrxltoGBjg/edit#gid=934712705"",""ESENCIAL!A6:BG""),8,FALSE))"),"")</f>
        <v/>
      </c>
      <c r="L487" s="287"/>
      <c r="S487"/>
      <c r="AU487" s="41" t="str">
        <f t="shared" si="36"/>
        <v/>
      </c>
      <c r="AV487" s="5" t="str">
        <f ca="1">IFERROR(__xludf.DUMMYFUNCTION("IFERROR(VLOOKUP(E504&amp;F504,IMPORTRANGE(""https://docs.google.com/spreadsheets/d/1Uw7-A9f9R21vMXxHZFNpYNeKFtG8_yji4HS352LGlSQ/edit?pli=1#gid=0"",""1_ACUM!A4:S""),11,FALSE))"),"")</f>
        <v/>
      </c>
      <c r="AW487" s="42" t="str">
        <f ca="1">IFERROR(__xludf.DUMMYFUNCTION("IFERROR(VLOOKUP(F504,IMPORTRANGE(""https://docs.google.com/spreadsheets/d/1Kvs4KS76FHFqLFIZfrDMff4kP08nblUkihrxltoGBjg/edit#gid=934712705"",""ESENCIAL!A6:BG""),15,FALSE))"),"")</f>
        <v/>
      </c>
      <c r="AX487" s="21" t="str">
        <f ca="1">IFERROR(__xludf.DUMMYFUNCTION("IFERROR(VLOOKUP(E504&amp;F504,IMPORTRANGE(""https://docs.google.com/spreadsheets/d/1Uw7-A9f9R21vMXxHZFNpYNeKFtG8_yji4HS352LGlSQ/edit?pli=1#gid=0"",""1_ACUM!A4:S""),12,FALSE))"),"")</f>
        <v/>
      </c>
      <c r="AY487" s="43" t="str">
        <f ca="1">IFERROR(__xludf.DUMMYFUNCTION("IFERROR(VLOOKUP(E504&amp;F504,IMPORTRANGE(""https://docs.google.com/spreadsheets/d/1Uw7-A9f9R21vMXxHZFNpYNeKFtG8_yji4HS352LGlSQ/edit?pli=1#gid=0"",""1_ACUM!A4:S""),13,FALSE))"),"")</f>
        <v/>
      </c>
      <c r="AZ487" s="43" t="str">
        <f ca="1">IFERROR(__xludf.DUMMYFUNCTION("IFERROR(VLOOKUP(E504&amp;F504,IMPORTRANGE(""https://docs.google.com/spreadsheets/d/1Uw7-A9f9R21vMXxHZFNpYNeKFtG8_yji4HS352LGlSQ/edit?pli=1#gid=0"",""1_ACUM!A4:S""),14,FALSE))"),"")</f>
        <v/>
      </c>
      <c r="BA487" s="43" t="str">
        <f ca="1">IFERROR(__xludf.DUMMYFUNCTION("IFERROR(VLOOKUP(E504&amp;F504,IMPORTRANGE(""https://docs.google.com/spreadsheets/d/1Uw7-A9f9R21vMXxHZFNpYNeKFtG8_yji4HS352LGlSQ/edit?pli=1#gid=0"",""1_ACUM!A4:S""),15,FALSE))"),"")</f>
        <v/>
      </c>
      <c r="BB487" s="43" t="str">
        <f ca="1">IFERROR(__xludf.DUMMYFUNCTION("IFERROR(VLOOKUP(E504&amp;F504,IMPORTRANGE(""https://docs.google.com/spreadsheets/d/1Uw7-A9f9R21vMXxHZFNpYNeKFtG8_yji4HS352LGlSQ/edit?pli=1#gid=0"",""1_ACUM!A4:S""),16,FALSE))"),"")</f>
        <v/>
      </c>
      <c r="BC487" s="43" t="str">
        <f ca="1">IFERROR(__xludf.DUMMYFUNCTION("IFERROR(VLOOKUP(E504&amp;F504,IMPORTRANGE(""https://docs.google.com/spreadsheets/d/1Uw7-A9f9R21vMXxHZFNpYNeKFtG8_yji4HS352LGlSQ/edit?pli=1#gid=0"",""1_ACUM!A4:S""),17,FALSE))"),"")</f>
        <v/>
      </c>
      <c r="BD487" s="44" t="str">
        <f ca="1">IFERROR(__xludf.DUMMYFUNCTION("IFERROR(VLOOKUP(E504&amp;F504,IMPORTRANGE(""https://docs.google.com/spreadsheets/d/1Uw7-A9f9R21vMXxHZFNpYNeKFtG8_yji4HS352LGlSQ/edit?pli=1#gid=0"",""1_ACUM!A4:S""),18,FALSE))"),"")</f>
        <v/>
      </c>
      <c r="BE487" s="44" t="str">
        <f ca="1">IFERROR(__xludf.DUMMYFUNCTION("IFERROR(VLOOKUP(E504&amp;F504,IMPORTRANGE(""https://docs.google.com/spreadsheets/d/1Uw7-A9f9R21vMXxHZFNpYNeKFtG8_yji4HS352LGlSQ/edit?pli=1#gid=0"",""1_ACUM!A4:S""),19,FALSE))"),"")</f>
        <v/>
      </c>
      <c r="BF487" s="44" t="str">
        <f ca="1">IFERROR(__xludf.DUMMYFUNCTION("IFERROR(VLOOKUP(F504,IMPORTRANGE(""https://docs.google.com/spreadsheets/d/1Kvs4KS76FHFqLFIZfrDMff4kP08nblUkihrxltoGBjg/edit#gid=934712705"",""ESENCIAL!A6:BG""),5,FALSE))"),"")</f>
        <v/>
      </c>
      <c r="BG487" s="44" t="str">
        <f t="shared" si="37"/>
        <v/>
      </c>
      <c r="BH487" s="41" t="str">
        <f t="shared" si="38"/>
        <v/>
      </c>
      <c r="BI487" s="41" t="str">
        <f ca="1">IFERROR(__xludf.DUMMYFUNCTION("IFERROR(VLOOKUP(F504,IMPORTRANGE(""https://docs.google.com/spreadsheets/d/1Kvs4KS76FHFqLFIZfrDMff4kP08nblUkihrxltoGBjg/edit#gid=934712705"",""ESENCIAL!A6:BG""),18,FALSE))"),"")</f>
        <v/>
      </c>
      <c r="BJ487" s="19" t="str">
        <f t="shared" si="39"/>
        <v/>
      </c>
      <c r="BK487" s="41"/>
      <c r="BL487" s="41"/>
    </row>
    <row r="488" spans="1:64" ht="15">
      <c r="A488" s="4"/>
      <c r="B488" s="4"/>
      <c r="G488" s="5" t="str">
        <f ca="1">IFERROR(__xludf.DUMMYFUNCTION("IFERROR(VLOOKUP(F505,IMPORTRANGE(""https://docs.google.com/spreadsheets/d/1Kvs4KS76FHFqLFIZfrDMff4kP08nblUkihrxltoGBjg/edit#gid=934712705"",""ESENCIAL!A6:BG""),3,FALSE))"),"")</f>
        <v/>
      </c>
      <c r="H488" s="5" t="str">
        <f ca="1">IFERROR(__xludf.DUMMYFUNCTION("IFERROR(VLOOKUP(F505,IMPORTRANGE(""https://docs.google.com/spreadsheets/d/1Kvs4KS76FHFqLFIZfrDMff4kP08nblUkihrxltoGBjg/edit#gid=934712705"",""ESENCIAL!A6:BG""),8,FALSE))"),"")</f>
        <v/>
      </c>
      <c r="L488" s="287"/>
      <c r="S488"/>
      <c r="AU488" s="41" t="str">
        <f t="shared" si="36"/>
        <v/>
      </c>
      <c r="AV488" s="5" t="str">
        <f ca="1">IFERROR(__xludf.DUMMYFUNCTION("IFERROR(VLOOKUP(E505&amp;F505,IMPORTRANGE(""https://docs.google.com/spreadsheets/d/1Uw7-A9f9R21vMXxHZFNpYNeKFtG8_yji4HS352LGlSQ/edit?pli=1#gid=0"",""1_ACUM!A4:S""),11,FALSE))"),"")</f>
        <v/>
      </c>
      <c r="AW488" s="42" t="str">
        <f ca="1">IFERROR(__xludf.DUMMYFUNCTION("IFERROR(VLOOKUP(F505,IMPORTRANGE(""https://docs.google.com/spreadsheets/d/1Kvs4KS76FHFqLFIZfrDMff4kP08nblUkihrxltoGBjg/edit#gid=934712705"",""ESENCIAL!A6:BG""),15,FALSE))"),"")</f>
        <v/>
      </c>
      <c r="AX488" s="21" t="str">
        <f ca="1">IFERROR(__xludf.DUMMYFUNCTION("IFERROR(VLOOKUP(E505&amp;F505,IMPORTRANGE(""https://docs.google.com/spreadsheets/d/1Uw7-A9f9R21vMXxHZFNpYNeKFtG8_yji4HS352LGlSQ/edit?pli=1#gid=0"",""1_ACUM!A4:S""),12,FALSE))"),"")</f>
        <v/>
      </c>
      <c r="AY488" s="43" t="str">
        <f ca="1">IFERROR(__xludf.DUMMYFUNCTION("IFERROR(VLOOKUP(E505&amp;F505,IMPORTRANGE(""https://docs.google.com/spreadsheets/d/1Uw7-A9f9R21vMXxHZFNpYNeKFtG8_yji4HS352LGlSQ/edit?pli=1#gid=0"",""1_ACUM!A4:S""),13,FALSE))"),"")</f>
        <v/>
      </c>
      <c r="AZ488" s="43" t="str">
        <f ca="1">IFERROR(__xludf.DUMMYFUNCTION("IFERROR(VLOOKUP(E505&amp;F505,IMPORTRANGE(""https://docs.google.com/spreadsheets/d/1Uw7-A9f9R21vMXxHZFNpYNeKFtG8_yji4HS352LGlSQ/edit?pli=1#gid=0"",""1_ACUM!A4:S""),14,FALSE))"),"")</f>
        <v/>
      </c>
      <c r="BA488" s="43" t="str">
        <f ca="1">IFERROR(__xludf.DUMMYFUNCTION("IFERROR(VLOOKUP(E505&amp;F505,IMPORTRANGE(""https://docs.google.com/spreadsheets/d/1Uw7-A9f9R21vMXxHZFNpYNeKFtG8_yji4HS352LGlSQ/edit?pli=1#gid=0"",""1_ACUM!A4:S""),15,FALSE))"),"")</f>
        <v/>
      </c>
      <c r="BB488" s="43" t="str">
        <f ca="1">IFERROR(__xludf.DUMMYFUNCTION("IFERROR(VLOOKUP(E505&amp;F505,IMPORTRANGE(""https://docs.google.com/spreadsheets/d/1Uw7-A9f9R21vMXxHZFNpYNeKFtG8_yji4HS352LGlSQ/edit?pli=1#gid=0"",""1_ACUM!A4:S""),16,FALSE))"),"")</f>
        <v/>
      </c>
      <c r="BC488" s="43" t="str">
        <f ca="1">IFERROR(__xludf.DUMMYFUNCTION("IFERROR(VLOOKUP(E505&amp;F505,IMPORTRANGE(""https://docs.google.com/spreadsheets/d/1Uw7-A9f9R21vMXxHZFNpYNeKFtG8_yji4HS352LGlSQ/edit?pli=1#gid=0"",""1_ACUM!A4:S""),17,FALSE))"),"")</f>
        <v/>
      </c>
      <c r="BD488" s="44" t="str">
        <f ca="1">IFERROR(__xludf.DUMMYFUNCTION("IFERROR(VLOOKUP(E505&amp;F505,IMPORTRANGE(""https://docs.google.com/spreadsheets/d/1Uw7-A9f9R21vMXxHZFNpYNeKFtG8_yji4HS352LGlSQ/edit?pli=1#gid=0"",""1_ACUM!A4:S""),18,FALSE))"),"")</f>
        <v/>
      </c>
      <c r="BE488" s="44" t="str">
        <f ca="1">IFERROR(__xludf.DUMMYFUNCTION("IFERROR(VLOOKUP(E505&amp;F505,IMPORTRANGE(""https://docs.google.com/spreadsheets/d/1Uw7-A9f9R21vMXxHZFNpYNeKFtG8_yji4HS352LGlSQ/edit?pli=1#gid=0"",""1_ACUM!A4:S""),19,FALSE))"),"")</f>
        <v/>
      </c>
      <c r="BF488" s="44" t="str">
        <f ca="1">IFERROR(__xludf.DUMMYFUNCTION("IFERROR(VLOOKUP(F505,IMPORTRANGE(""https://docs.google.com/spreadsheets/d/1Kvs4KS76FHFqLFIZfrDMff4kP08nblUkihrxltoGBjg/edit#gid=934712705"",""ESENCIAL!A6:BG""),5,FALSE))"),"")</f>
        <v/>
      </c>
      <c r="BG488" s="44" t="str">
        <f t="shared" si="37"/>
        <v/>
      </c>
      <c r="BH488" s="41" t="str">
        <f t="shared" si="38"/>
        <v/>
      </c>
      <c r="BI488" s="41" t="str">
        <f ca="1">IFERROR(__xludf.DUMMYFUNCTION("IFERROR(VLOOKUP(F505,IMPORTRANGE(""https://docs.google.com/spreadsheets/d/1Kvs4KS76FHFqLFIZfrDMff4kP08nblUkihrxltoGBjg/edit#gid=934712705"",""ESENCIAL!A6:BG""),18,FALSE))"),"")</f>
        <v/>
      </c>
      <c r="BJ488" s="19" t="str">
        <f t="shared" si="39"/>
        <v/>
      </c>
      <c r="BK488" s="41"/>
      <c r="BL488" s="41"/>
    </row>
    <row r="489" spans="1:64" ht="15">
      <c r="A489" s="4"/>
      <c r="B489" s="4"/>
      <c r="G489" s="5" t="str">
        <f ca="1">IFERROR(__xludf.DUMMYFUNCTION("IFERROR(VLOOKUP(F506,IMPORTRANGE(""https://docs.google.com/spreadsheets/d/1Kvs4KS76FHFqLFIZfrDMff4kP08nblUkihrxltoGBjg/edit#gid=934712705"",""ESENCIAL!A6:BG""),3,FALSE))"),"")</f>
        <v/>
      </c>
      <c r="H489" s="5" t="str">
        <f ca="1">IFERROR(__xludf.DUMMYFUNCTION("IFERROR(VLOOKUP(F506,IMPORTRANGE(""https://docs.google.com/spreadsheets/d/1Kvs4KS76FHFqLFIZfrDMff4kP08nblUkihrxltoGBjg/edit#gid=934712705"",""ESENCIAL!A6:BG""),8,FALSE))"),"")</f>
        <v/>
      </c>
      <c r="L489" s="287"/>
      <c r="S489"/>
      <c r="AU489" s="41" t="str">
        <f t="shared" si="36"/>
        <v/>
      </c>
      <c r="AV489" s="5" t="str">
        <f ca="1">IFERROR(__xludf.DUMMYFUNCTION("IFERROR(VLOOKUP(E506&amp;F506,IMPORTRANGE(""https://docs.google.com/spreadsheets/d/1Uw7-A9f9R21vMXxHZFNpYNeKFtG8_yji4HS352LGlSQ/edit?pli=1#gid=0"",""1_ACUM!A4:S""),11,FALSE))"),"")</f>
        <v/>
      </c>
      <c r="AW489" s="42" t="str">
        <f ca="1">IFERROR(__xludf.DUMMYFUNCTION("IFERROR(VLOOKUP(F506,IMPORTRANGE(""https://docs.google.com/spreadsheets/d/1Kvs4KS76FHFqLFIZfrDMff4kP08nblUkihrxltoGBjg/edit#gid=934712705"",""ESENCIAL!A6:BG""),15,FALSE))"),"")</f>
        <v/>
      </c>
      <c r="AX489" s="21" t="str">
        <f ca="1">IFERROR(__xludf.DUMMYFUNCTION("IFERROR(VLOOKUP(E506&amp;F506,IMPORTRANGE(""https://docs.google.com/spreadsheets/d/1Uw7-A9f9R21vMXxHZFNpYNeKFtG8_yji4HS352LGlSQ/edit?pli=1#gid=0"",""1_ACUM!A4:S""),12,FALSE))"),"")</f>
        <v/>
      </c>
      <c r="AY489" s="43" t="str">
        <f ca="1">IFERROR(__xludf.DUMMYFUNCTION("IFERROR(VLOOKUP(E506&amp;F506,IMPORTRANGE(""https://docs.google.com/spreadsheets/d/1Uw7-A9f9R21vMXxHZFNpYNeKFtG8_yji4HS352LGlSQ/edit?pli=1#gid=0"",""1_ACUM!A4:S""),13,FALSE))"),"")</f>
        <v/>
      </c>
      <c r="AZ489" s="43" t="str">
        <f ca="1">IFERROR(__xludf.DUMMYFUNCTION("IFERROR(VLOOKUP(E506&amp;F506,IMPORTRANGE(""https://docs.google.com/spreadsheets/d/1Uw7-A9f9R21vMXxHZFNpYNeKFtG8_yji4HS352LGlSQ/edit?pli=1#gid=0"",""1_ACUM!A4:S""),14,FALSE))"),"")</f>
        <v/>
      </c>
      <c r="BA489" s="43" t="str">
        <f ca="1">IFERROR(__xludf.DUMMYFUNCTION("IFERROR(VLOOKUP(E506&amp;F506,IMPORTRANGE(""https://docs.google.com/spreadsheets/d/1Uw7-A9f9R21vMXxHZFNpYNeKFtG8_yji4HS352LGlSQ/edit?pli=1#gid=0"",""1_ACUM!A4:S""),15,FALSE))"),"")</f>
        <v/>
      </c>
      <c r="BB489" s="43" t="str">
        <f ca="1">IFERROR(__xludf.DUMMYFUNCTION("IFERROR(VLOOKUP(E506&amp;F506,IMPORTRANGE(""https://docs.google.com/spreadsheets/d/1Uw7-A9f9R21vMXxHZFNpYNeKFtG8_yji4HS352LGlSQ/edit?pli=1#gid=0"",""1_ACUM!A4:S""),16,FALSE))"),"")</f>
        <v/>
      </c>
      <c r="BC489" s="43" t="str">
        <f ca="1">IFERROR(__xludf.DUMMYFUNCTION("IFERROR(VLOOKUP(E506&amp;F506,IMPORTRANGE(""https://docs.google.com/spreadsheets/d/1Uw7-A9f9R21vMXxHZFNpYNeKFtG8_yji4HS352LGlSQ/edit?pli=1#gid=0"",""1_ACUM!A4:S""),17,FALSE))"),"")</f>
        <v/>
      </c>
      <c r="BD489" s="44" t="str">
        <f ca="1">IFERROR(__xludf.DUMMYFUNCTION("IFERROR(VLOOKUP(E506&amp;F506,IMPORTRANGE(""https://docs.google.com/spreadsheets/d/1Uw7-A9f9R21vMXxHZFNpYNeKFtG8_yji4HS352LGlSQ/edit?pli=1#gid=0"",""1_ACUM!A4:S""),18,FALSE))"),"")</f>
        <v/>
      </c>
      <c r="BE489" s="44" t="str">
        <f ca="1">IFERROR(__xludf.DUMMYFUNCTION("IFERROR(VLOOKUP(E506&amp;F506,IMPORTRANGE(""https://docs.google.com/spreadsheets/d/1Uw7-A9f9R21vMXxHZFNpYNeKFtG8_yji4HS352LGlSQ/edit?pli=1#gid=0"",""1_ACUM!A4:S""),19,FALSE))"),"")</f>
        <v/>
      </c>
      <c r="BF489" s="44" t="str">
        <f ca="1">IFERROR(__xludf.DUMMYFUNCTION("IFERROR(VLOOKUP(F506,IMPORTRANGE(""https://docs.google.com/spreadsheets/d/1Kvs4KS76FHFqLFIZfrDMff4kP08nblUkihrxltoGBjg/edit#gid=934712705"",""ESENCIAL!A6:BG""),5,FALSE))"),"")</f>
        <v/>
      </c>
      <c r="BG489" s="44" t="str">
        <f t="shared" si="37"/>
        <v/>
      </c>
      <c r="BH489" s="41" t="str">
        <f t="shared" si="38"/>
        <v/>
      </c>
      <c r="BI489" s="41" t="str">
        <f ca="1">IFERROR(__xludf.DUMMYFUNCTION("IFERROR(VLOOKUP(F506,IMPORTRANGE(""https://docs.google.com/spreadsheets/d/1Kvs4KS76FHFqLFIZfrDMff4kP08nblUkihrxltoGBjg/edit#gid=934712705"",""ESENCIAL!A6:BG""),18,FALSE))"),"")</f>
        <v/>
      </c>
      <c r="BJ489" s="19" t="str">
        <f t="shared" si="39"/>
        <v/>
      </c>
      <c r="BK489" s="41"/>
      <c r="BL489" s="41"/>
    </row>
    <row r="490" spans="1:64" ht="15">
      <c r="A490" s="4"/>
      <c r="B490" s="4"/>
      <c r="G490" s="5" t="str">
        <f ca="1">IFERROR(__xludf.DUMMYFUNCTION("IFERROR(VLOOKUP(F507,IMPORTRANGE(""https://docs.google.com/spreadsheets/d/1Kvs4KS76FHFqLFIZfrDMff4kP08nblUkihrxltoGBjg/edit#gid=934712705"",""ESENCIAL!A6:BG""),3,FALSE))"),"")</f>
        <v/>
      </c>
      <c r="H490" s="5" t="str">
        <f ca="1">IFERROR(__xludf.DUMMYFUNCTION("IFERROR(VLOOKUP(F507,IMPORTRANGE(""https://docs.google.com/spreadsheets/d/1Kvs4KS76FHFqLFIZfrDMff4kP08nblUkihrxltoGBjg/edit#gid=934712705"",""ESENCIAL!A6:BG""),8,FALSE))"),"")</f>
        <v/>
      </c>
      <c r="L490" s="287"/>
      <c r="S490"/>
      <c r="AU490" s="41" t="str">
        <f t="shared" si="36"/>
        <v/>
      </c>
      <c r="AV490" s="5" t="str">
        <f ca="1">IFERROR(__xludf.DUMMYFUNCTION("IFERROR(VLOOKUP(E507&amp;F507,IMPORTRANGE(""https://docs.google.com/spreadsheets/d/1Uw7-A9f9R21vMXxHZFNpYNeKFtG8_yji4HS352LGlSQ/edit?pli=1#gid=0"",""1_ACUM!A4:S""),11,FALSE))"),"")</f>
        <v/>
      </c>
      <c r="AW490" s="42" t="str">
        <f ca="1">IFERROR(__xludf.DUMMYFUNCTION("IFERROR(VLOOKUP(F507,IMPORTRANGE(""https://docs.google.com/spreadsheets/d/1Kvs4KS76FHFqLFIZfrDMff4kP08nblUkihrxltoGBjg/edit#gid=934712705"",""ESENCIAL!A6:BG""),15,FALSE))"),"")</f>
        <v/>
      </c>
      <c r="AX490" s="21" t="str">
        <f ca="1">IFERROR(__xludf.DUMMYFUNCTION("IFERROR(VLOOKUP(E507&amp;F507,IMPORTRANGE(""https://docs.google.com/spreadsheets/d/1Uw7-A9f9R21vMXxHZFNpYNeKFtG8_yji4HS352LGlSQ/edit?pli=1#gid=0"",""1_ACUM!A4:S""),12,FALSE))"),"")</f>
        <v/>
      </c>
      <c r="AY490" s="43" t="str">
        <f ca="1">IFERROR(__xludf.DUMMYFUNCTION("IFERROR(VLOOKUP(E507&amp;F507,IMPORTRANGE(""https://docs.google.com/spreadsheets/d/1Uw7-A9f9R21vMXxHZFNpYNeKFtG8_yji4HS352LGlSQ/edit?pli=1#gid=0"",""1_ACUM!A4:S""),13,FALSE))"),"")</f>
        <v/>
      </c>
      <c r="AZ490" s="43" t="str">
        <f ca="1">IFERROR(__xludf.DUMMYFUNCTION("IFERROR(VLOOKUP(E507&amp;F507,IMPORTRANGE(""https://docs.google.com/spreadsheets/d/1Uw7-A9f9R21vMXxHZFNpYNeKFtG8_yji4HS352LGlSQ/edit?pli=1#gid=0"",""1_ACUM!A4:S""),14,FALSE))"),"")</f>
        <v/>
      </c>
      <c r="BA490" s="43" t="str">
        <f ca="1">IFERROR(__xludf.DUMMYFUNCTION("IFERROR(VLOOKUP(E507&amp;F507,IMPORTRANGE(""https://docs.google.com/spreadsheets/d/1Uw7-A9f9R21vMXxHZFNpYNeKFtG8_yji4HS352LGlSQ/edit?pli=1#gid=0"",""1_ACUM!A4:S""),15,FALSE))"),"")</f>
        <v/>
      </c>
      <c r="BB490" s="43" t="str">
        <f ca="1">IFERROR(__xludf.DUMMYFUNCTION("IFERROR(VLOOKUP(E507&amp;F507,IMPORTRANGE(""https://docs.google.com/spreadsheets/d/1Uw7-A9f9R21vMXxHZFNpYNeKFtG8_yji4HS352LGlSQ/edit?pli=1#gid=0"",""1_ACUM!A4:S""),16,FALSE))"),"")</f>
        <v/>
      </c>
      <c r="BC490" s="43" t="str">
        <f ca="1">IFERROR(__xludf.DUMMYFUNCTION("IFERROR(VLOOKUP(E507&amp;F507,IMPORTRANGE(""https://docs.google.com/spreadsheets/d/1Uw7-A9f9R21vMXxHZFNpYNeKFtG8_yji4HS352LGlSQ/edit?pli=1#gid=0"",""1_ACUM!A4:S""),17,FALSE))"),"")</f>
        <v/>
      </c>
      <c r="BD490" s="44" t="str">
        <f ca="1">IFERROR(__xludf.DUMMYFUNCTION("IFERROR(VLOOKUP(E507&amp;F507,IMPORTRANGE(""https://docs.google.com/spreadsheets/d/1Uw7-A9f9R21vMXxHZFNpYNeKFtG8_yji4HS352LGlSQ/edit?pli=1#gid=0"",""1_ACUM!A4:S""),18,FALSE))"),"")</f>
        <v/>
      </c>
      <c r="BE490" s="44" t="str">
        <f ca="1">IFERROR(__xludf.DUMMYFUNCTION("IFERROR(VLOOKUP(E507&amp;F507,IMPORTRANGE(""https://docs.google.com/spreadsheets/d/1Uw7-A9f9R21vMXxHZFNpYNeKFtG8_yji4HS352LGlSQ/edit?pli=1#gid=0"",""1_ACUM!A4:S""),19,FALSE))"),"")</f>
        <v/>
      </c>
      <c r="BF490" s="44" t="str">
        <f ca="1">IFERROR(__xludf.DUMMYFUNCTION("IFERROR(VLOOKUP(F507,IMPORTRANGE(""https://docs.google.com/spreadsheets/d/1Kvs4KS76FHFqLFIZfrDMff4kP08nblUkihrxltoGBjg/edit#gid=934712705"",""ESENCIAL!A6:BG""),5,FALSE))"),"")</f>
        <v/>
      </c>
      <c r="BG490" s="44" t="str">
        <f t="shared" si="37"/>
        <v/>
      </c>
      <c r="BH490" s="41" t="str">
        <f t="shared" si="38"/>
        <v/>
      </c>
      <c r="BI490" s="41" t="str">
        <f ca="1">IFERROR(__xludf.DUMMYFUNCTION("IFERROR(VLOOKUP(F507,IMPORTRANGE(""https://docs.google.com/spreadsheets/d/1Kvs4KS76FHFqLFIZfrDMff4kP08nblUkihrxltoGBjg/edit#gid=934712705"",""ESENCIAL!A6:BG""),18,FALSE))"),"")</f>
        <v/>
      </c>
      <c r="BJ490" s="19" t="str">
        <f t="shared" si="39"/>
        <v/>
      </c>
      <c r="BK490" s="41"/>
      <c r="BL490" s="41"/>
    </row>
    <row r="491" spans="1:64" ht="15">
      <c r="A491" s="4"/>
      <c r="B491" s="4"/>
      <c r="G491" s="5" t="str">
        <f ca="1">IFERROR(__xludf.DUMMYFUNCTION("IFERROR(VLOOKUP(F508,IMPORTRANGE(""https://docs.google.com/spreadsheets/d/1Kvs4KS76FHFqLFIZfrDMff4kP08nblUkihrxltoGBjg/edit#gid=934712705"",""ESENCIAL!A6:BG""),3,FALSE))"),"")</f>
        <v/>
      </c>
      <c r="H491" s="5" t="str">
        <f ca="1">IFERROR(__xludf.DUMMYFUNCTION("IFERROR(VLOOKUP(F508,IMPORTRANGE(""https://docs.google.com/spreadsheets/d/1Kvs4KS76FHFqLFIZfrDMff4kP08nblUkihrxltoGBjg/edit#gid=934712705"",""ESENCIAL!A6:BG""),8,FALSE))"),"")</f>
        <v/>
      </c>
      <c r="L491" s="287"/>
      <c r="S491"/>
      <c r="AU491" s="41" t="str">
        <f t="shared" si="36"/>
        <v/>
      </c>
      <c r="AV491" s="5" t="str">
        <f ca="1">IFERROR(__xludf.DUMMYFUNCTION("IFERROR(VLOOKUP(E508&amp;F508,IMPORTRANGE(""https://docs.google.com/spreadsheets/d/1Uw7-A9f9R21vMXxHZFNpYNeKFtG8_yji4HS352LGlSQ/edit?pli=1#gid=0"",""1_ACUM!A4:S""),11,FALSE))"),"")</f>
        <v/>
      </c>
      <c r="AW491" s="42" t="str">
        <f ca="1">IFERROR(__xludf.DUMMYFUNCTION("IFERROR(VLOOKUP(F508,IMPORTRANGE(""https://docs.google.com/spreadsheets/d/1Kvs4KS76FHFqLFIZfrDMff4kP08nblUkihrxltoGBjg/edit#gid=934712705"",""ESENCIAL!A6:BG""),15,FALSE))"),"")</f>
        <v/>
      </c>
      <c r="AX491" s="21" t="str">
        <f ca="1">IFERROR(__xludf.DUMMYFUNCTION("IFERROR(VLOOKUP(E508&amp;F508,IMPORTRANGE(""https://docs.google.com/spreadsheets/d/1Uw7-A9f9R21vMXxHZFNpYNeKFtG8_yji4HS352LGlSQ/edit?pli=1#gid=0"",""1_ACUM!A4:S""),12,FALSE))"),"")</f>
        <v/>
      </c>
      <c r="AY491" s="43" t="str">
        <f ca="1">IFERROR(__xludf.DUMMYFUNCTION("IFERROR(VLOOKUP(E508&amp;F508,IMPORTRANGE(""https://docs.google.com/spreadsheets/d/1Uw7-A9f9R21vMXxHZFNpYNeKFtG8_yji4HS352LGlSQ/edit?pli=1#gid=0"",""1_ACUM!A4:S""),13,FALSE))"),"")</f>
        <v/>
      </c>
      <c r="AZ491" s="43" t="str">
        <f ca="1">IFERROR(__xludf.DUMMYFUNCTION("IFERROR(VLOOKUP(E508&amp;F508,IMPORTRANGE(""https://docs.google.com/spreadsheets/d/1Uw7-A9f9R21vMXxHZFNpYNeKFtG8_yji4HS352LGlSQ/edit?pli=1#gid=0"",""1_ACUM!A4:S""),14,FALSE))"),"")</f>
        <v/>
      </c>
      <c r="BA491" s="43" t="str">
        <f ca="1">IFERROR(__xludf.DUMMYFUNCTION("IFERROR(VLOOKUP(E508&amp;F508,IMPORTRANGE(""https://docs.google.com/spreadsheets/d/1Uw7-A9f9R21vMXxHZFNpYNeKFtG8_yji4HS352LGlSQ/edit?pli=1#gid=0"",""1_ACUM!A4:S""),15,FALSE))"),"")</f>
        <v/>
      </c>
      <c r="BB491" s="43" t="str">
        <f ca="1">IFERROR(__xludf.DUMMYFUNCTION("IFERROR(VLOOKUP(E508&amp;F508,IMPORTRANGE(""https://docs.google.com/spreadsheets/d/1Uw7-A9f9R21vMXxHZFNpYNeKFtG8_yji4HS352LGlSQ/edit?pli=1#gid=0"",""1_ACUM!A4:S""),16,FALSE))"),"")</f>
        <v/>
      </c>
      <c r="BC491" s="43" t="str">
        <f ca="1">IFERROR(__xludf.DUMMYFUNCTION("IFERROR(VLOOKUP(E508&amp;F508,IMPORTRANGE(""https://docs.google.com/spreadsheets/d/1Uw7-A9f9R21vMXxHZFNpYNeKFtG8_yji4HS352LGlSQ/edit?pli=1#gid=0"",""1_ACUM!A4:S""),17,FALSE))"),"")</f>
        <v/>
      </c>
      <c r="BD491" s="44" t="str">
        <f ca="1">IFERROR(__xludf.DUMMYFUNCTION("IFERROR(VLOOKUP(E508&amp;F508,IMPORTRANGE(""https://docs.google.com/spreadsheets/d/1Uw7-A9f9R21vMXxHZFNpYNeKFtG8_yji4HS352LGlSQ/edit?pli=1#gid=0"",""1_ACUM!A4:S""),18,FALSE))"),"")</f>
        <v/>
      </c>
      <c r="BE491" s="44" t="str">
        <f ca="1">IFERROR(__xludf.DUMMYFUNCTION("IFERROR(VLOOKUP(E508&amp;F508,IMPORTRANGE(""https://docs.google.com/spreadsheets/d/1Uw7-A9f9R21vMXxHZFNpYNeKFtG8_yji4HS352LGlSQ/edit?pli=1#gid=0"",""1_ACUM!A4:S""),19,FALSE))"),"")</f>
        <v/>
      </c>
      <c r="BF491" s="44" t="str">
        <f ca="1">IFERROR(__xludf.DUMMYFUNCTION("IFERROR(VLOOKUP(F508,IMPORTRANGE(""https://docs.google.com/spreadsheets/d/1Kvs4KS76FHFqLFIZfrDMff4kP08nblUkihrxltoGBjg/edit#gid=934712705"",""ESENCIAL!A6:BG""),5,FALSE))"),"")</f>
        <v/>
      </c>
      <c r="BG491" s="44" t="str">
        <f t="shared" si="37"/>
        <v/>
      </c>
      <c r="BH491" s="41" t="str">
        <f t="shared" si="38"/>
        <v/>
      </c>
      <c r="BI491" s="41" t="str">
        <f ca="1">IFERROR(__xludf.DUMMYFUNCTION("IFERROR(VLOOKUP(F508,IMPORTRANGE(""https://docs.google.com/spreadsheets/d/1Kvs4KS76FHFqLFIZfrDMff4kP08nblUkihrxltoGBjg/edit#gid=934712705"",""ESENCIAL!A6:BG""),18,FALSE))"),"")</f>
        <v/>
      </c>
      <c r="BJ491" s="19" t="str">
        <f t="shared" si="39"/>
        <v/>
      </c>
      <c r="BK491" s="41"/>
      <c r="BL491" s="41"/>
    </row>
    <row r="492" spans="1:64" ht="15">
      <c r="A492" s="4"/>
      <c r="B492" s="4"/>
      <c r="G492" s="5" t="str">
        <f ca="1">IFERROR(__xludf.DUMMYFUNCTION("IFERROR(VLOOKUP(F509,IMPORTRANGE(""https://docs.google.com/spreadsheets/d/1Kvs4KS76FHFqLFIZfrDMff4kP08nblUkihrxltoGBjg/edit#gid=934712705"",""ESENCIAL!A6:BG""),3,FALSE))"),"")</f>
        <v/>
      </c>
      <c r="H492" s="5" t="str">
        <f ca="1">IFERROR(__xludf.DUMMYFUNCTION("IFERROR(VLOOKUP(F509,IMPORTRANGE(""https://docs.google.com/spreadsheets/d/1Kvs4KS76FHFqLFIZfrDMff4kP08nblUkihrxltoGBjg/edit#gid=934712705"",""ESENCIAL!A6:BG""),8,FALSE))"),"")</f>
        <v/>
      </c>
      <c r="L492" s="287"/>
      <c r="S492"/>
      <c r="AU492" s="41" t="str">
        <f t="shared" si="36"/>
        <v/>
      </c>
      <c r="AV492" s="5" t="str">
        <f ca="1">IFERROR(__xludf.DUMMYFUNCTION("IFERROR(VLOOKUP(E509&amp;F509,IMPORTRANGE(""https://docs.google.com/spreadsheets/d/1Uw7-A9f9R21vMXxHZFNpYNeKFtG8_yji4HS352LGlSQ/edit?pli=1#gid=0"",""1_ACUM!A4:S""),11,FALSE))"),"")</f>
        <v/>
      </c>
      <c r="AW492" s="42" t="str">
        <f ca="1">IFERROR(__xludf.DUMMYFUNCTION("IFERROR(VLOOKUP(F509,IMPORTRANGE(""https://docs.google.com/spreadsheets/d/1Kvs4KS76FHFqLFIZfrDMff4kP08nblUkihrxltoGBjg/edit#gid=934712705"",""ESENCIAL!A6:BG""),15,FALSE))"),"")</f>
        <v/>
      </c>
      <c r="AX492" s="21" t="str">
        <f ca="1">IFERROR(__xludf.DUMMYFUNCTION("IFERROR(VLOOKUP(E509&amp;F509,IMPORTRANGE(""https://docs.google.com/spreadsheets/d/1Uw7-A9f9R21vMXxHZFNpYNeKFtG8_yji4HS352LGlSQ/edit?pli=1#gid=0"",""1_ACUM!A4:S""),12,FALSE))"),"")</f>
        <v/>
      </c>
      <c r="AY492" s="43" t="str">
        <f ca="1">IFERROR(__xludf.DUMMYFUNCTION("IFERROR(VLOOKUP(E509&amp;F509,IMPORTRANGE(""https://docs.google.com/spreadsheets/d/1Uw7-A9f9R21vMXxHZFNpYNeKFtG8_yji4HS352LGlSQ/edit?pli=1#gid=0"",""1_ACUM!A4:S""),13,FALSE))"),"")</f>
        <v/>
      </c>
      <c r="AZ492" s="43" t="str">
        <f ca="1">IFERROR(__xludf.DUMMYFUNCTION("IFERROR(VLOOKUP(E509&amp;F509,IMPORTRANGE(""https://docs.google.com/spreadsheets/d/1Uw7-A9f9R21vMXxHZFNpYNeKFtG8_yji4HS352LGlSQ/edit?pli=1#gid=0"",""1_ACUM!A4:S""),14,FALSE))"),"")</f>
        <v/>
      </c>
      <c r="BA492" s="43" t="str">
        <f ca="1">IFERROR(__xludf.DUMMYFUNCTION("IFERROR(VLOOKUP(E509&amp;F509,IMPORTRANGE(""https://docs.google.com/spreadsheets/d/1Uw7-A9f9R21vMXxHZFNpYNeKFtG8_yji4HS352LGlSQ/edit?pli=1#gid=0"",""1_ACUM!A4:S""),15,FALSE))"),"")</f>
        <v/>
      </c>
      <c r="BB492" s="43" t="str">
        <f ca="1">IFERROR(__xludf.DUMMYFUNCTION("IFERROR(VLOOKUP(E509&amp;F509,IMPORTRANGE(""https://docs.google.com/spreadsheets/d/1Uw7-A9f9R21vMXxHZFNpYNeKFtG8_yji4HS352LGlSQ/edit?pli=1#gid=0"",""1_ACUM!A4:S""),16,FALSE))"),"")</f>
        <v/>
      </c>
      <c r="BC492" s="43" t="str">
        <f ca="1">IFERROR(__xludf.DUMMYFUNCTION("IFERROR(VLOOKUP(E509&amp;F509,IMPORTRANGE(""https://docs.google.com/spreadsheets/d/1Uw7-A9f9R21vMXxHZFNpYNeKFtG8_yji4HS352LGlSQ/edit?pli=1#gid=0"",""1_ACUM!A4:S""),17,FALSE))"),"")</f>
        <v/>
      </c>
      <c r="BD492" s="44" t="str">
        <f ca="1">IFERROR(__xludf.DUMMYFUNCTION("IFERROR(VLOOKUP(E509&amp;F509,IMPORTRANGE(""https://docs.google.com/spreadsheets/d/1Uw7-A9f9R21vMXxHZFNpYNeKFtG8_yji4HS352LGlSQ/edit?pli=1#gid=0"",""1_ACUM!A4:S""),18,FALSE))"),"")</f>
        <v/>
      </c>
      <c r="BE492" s="44" t="str">
        <f ca="1">IFERROR(__xludf.DUMMYFUNCTION("IFERROR(VLOOKUP(E509&amp;F509,IMPORTRANGE(""https://docs.google.com/spreadsheets/d/1Uw7-A9f9R21vMXxHZFNpYNeKFtG8_yji4HS352LGlSQ/edit?pli=1#gid=0"",""1_ACUM!A4:S""),19,FALSE))"),"")</f>
        <v/>
      </c>
      <c r="BF492" s="44" t="str">
        <f ca="1">IFERROR(__xludf.DUMMYFUNCTION("IFERROR(VLOOKUP(F509,IMPORTRANGE(""https://docs.google.com/spreadsheets/d/1Kvs4KS76FHFqLFIZfrDMff4kP08nblUkihrxltoGBjg/edit#gid=934712705"",""ESENCIAL!A6:BG""),5,FALSE))"),"")</f>
        <v/>
      </c>
      <c r="BG492" s="44" t="str">
        <f t="shared" si="37"/>
        <v/>
      </c>
      <c r="BH492" s="41" t="str">
        <f t="shared" si="38"/>
        <v/>
      </c>
      <c r="BI492" s="41" t="str">
        <f ca="1">IFERROR(__xludf.DUMMYFUNCTION("IFERROR(VLOOKUP(F509,IMPORTRANGE(""https://docs.google.com/spreadsheets/d/1Kvs4KS76FHFqLFIZfrDMff4kP08nblUkihrxltoGBjg/edit#gid=934712705"",""ESENCIAL!A6:BG""),18,FALSE))"),"")</f>
        <v/>
      </c>
      <c r="BJ492" s="19" t="str">
        <f t="shared" si="39"/>
        <v/>
      </c>
      <c r="BK492" s="41"/>
      <c r="BL492" s="41"/>
    </row>
    <row r="493" spans="1:64" ht="15">
      <c r="A493" s="4"/>
      <c r="B493" s="4"/>
      <c r="G493" s="5" t="str">
        <f ca="1">IFERROR(__xludf.DUMMYFUNCTION("IFERROR(VLOOKUP(F510,IMPORTRANGE(""https://docs.google.com/spreadsheets/d/1Kvs4KS76FHFqLFIZfrDMff4kP08nblUkihrxltoGBjg/edit#gid=934712705"",""ESENCIAL!A6:BG""),3,FALSE))"),"")</f>
        <v/>
      </c>
      <c r="H493" s="5" t="str">
        <f ca="1">IFERROR(__xludf.DUMMYFUNCTION("IFERROR(VLOOKUP(F510,IMPORTRANGE(""https://docs.google.com/spreadsheets/d/1Kvs4KS76FHFqLFIZfrDMff4kP08nblUkihrxltoGBjg/edit#gid=934712705"",""ESENCIAL!A6:BG""),8,FALSE))"),"")</f>
        <v/>
      </c>
      <c r="L493" s="287"/>
      <c r="S493"/>
      <c r="AU493" s="41" t="str">
        <f t="shared" si="36"/>
        <v/>
      </c>
      <c r="AV493" s="5" t="str">
        <f ca="1">IFERROR(__xludf.DUMMYFUNCTION("IFERROR(VLOOKUP(E510&amp;F510,IMPORTRANGE(""https://docs.google.com/spreadsheets/d/1Uw7-A9f9R21vMXxHZFNpYNeKFtG8_yji4HS352LGlSQ/edit?pli=1#gid=0"",""1_ACUM!A4:S""),11,FALSE))"),"")</f>
        <v/>
      </c>
      <c r="AW493" s="42" t="str">
        <f ca="1">IFERROR(__xludf.DUMMYFUNCTION("IFERROR(VLOOKUP(F510,IMPORTRANGE(""https://docs.google.com/spreadsheets/d/1Kvs4KS76FHFqLFIZfrDMff4kP08nblUkihrxltoGBjg/edit#gid=934712705"",""ESENCIAL!A6:BG""),15,FALSE))"),"")</f>
        <v/>
      </c>
      <c r="AX493" s="21" t="str">
        <f ca="1">IFERROR(__xludf.DUMMYFUNCTION("IFERROR(VLOOKUP(E510&amp;F510,IMPORTRANGE(""https://docs.google.com/spreadsheets/d/1Uw7-A9f9R21vMXxHZFNpYNeKFtG8_yji4HS352LGlSQ/edit?pli=1#gid=0"",""1_ACUM!A4:S""),12,FALSE))"),"")</f>
        <v/>
      </c>
      <c r="AY493" s="43" t="str">
        <f ca="1">IFERROR(__xludf.DUMMYFUNCTION("IFERROR(VLOOKUP(E510&amp;F510,IMPORTRANGE(""https://docs.google.com/spreadsheets/d/1Uw7-A9f9R21vMXxHZFNpYNeKFtG8_yji4HS352LGlSQ/edit?pli=1#gid=0"",""1_ACUM!A4:S""),13,FALSE))"),"")</f>
        <v/>
      </c>
      <c r="AZ493" s="43" t="str">
        <f ca="1">IFERROR(__xludf.DUMMYFUNCTION("IFERROR(VLOOKUP(E510&amp;F510,IMPORTRANGE(""https://docs.google.com/spreadsheets/d/1Uw7-A9f9R21vMXxHZFNpYNeKFtG8_yji4HS352LGlSQ/edit?pli=1#gid=0"",""1_ACUM!A4:S""),14,FALSE))"),"")</f>
        <v/>
      </c>
      <c r="BA493" s="43" t="str">
        <f ca="1">IFERROR(__xludf.DUMMYFUNCTION("IFERROR(VLOOKUP(E510&amp;F510,IMPORTRANGE(""https://docs.google.com/spreadsheets/d/1Uw7-A9f9R21vMXxHZFNpYNeKFtG8_yji4HS352LGlSQ/edit?pli=1#gid=0"",""1_ACUM!A4:S""),15,FALSE))"),"")</f>
        <v/>
      </c>
      <c r="BB493" s="43" t="str">
        <f ca="1">IFERROR(__xludf.DUMMYFUNCTION("IFERROR(VLOOKUP(E510&amp;F510,IMPORTRANGE(""https://docs.google.com/spreadsheets/d/1Uw7-A9f9R21vMXxHZFNpYNeKFtG8_yji4HS352LGlSQ/edit?pli=1#gid=0"",""1_ACUM!A4:S""),16,FALSE))"),"")</f>
        <v/>
      </c>
      <c r="BC493" s="43" t="str">
        <f ca="1">IFERROR(__xludf.DUMMYFUNCTION("IFERROR(VLOOKUP(E510&amp;F510,IMPORTRANGE(""https://docs.google.com/spreadsheets/d/1Uw7-A9f9R21vMXxHZFNpYNeKFtG8_yji4HS352LGlSQ/edit?pli=1#gid=0"",""1_ACUM!A4:S""),17,FALSE))"),"")</f>
        <v/>
      </c>
      <c r="BD493" s="44" t="str">
        <f ca="1">IFERROR(__xludf.DUMMYFUNCTION("IFERROR(VLOOKUP(E510&amp;F510,IMPORTRANGE(""https://docs.google.com/spreadsheets/d/1Uw7-A9f9R21vMXxHZFNpYNeKFtG8_yji4HS352LGlSQ/edit?pli=1#gid=0"",""1_ACUM!A4:S""),18,FALSE))"),"")</f>
        <v/>
      </c>
      <c r="BE493" s="44" t="str">
        <f ca="1">IFERROR(__xludf.DUMMYFUNCTION("IFERROR(VLOOKUP(E510&amp;F510,IMPORTRANGE(""https://docs.google.com/spreadsheets/d/1Uw7-A9f9R21vMXxHZFNpYNeKFtG8_yji4HS352LGlSQ/edit?pli=1#gid=0"",""1_ACUM!A4:S""),19,FALSE))"),"")</f>
        <v/>
      </c>
      <c r="BF493" s="44" t="str">
        <f ca="1">IFERROR(__xludf.DUMMYFUNCTION("IFERROR(VLOOKUP(F510,IMPORTRANGE(""https://docs.google.com/spreadsheets/d/1Kvs4KS76FHFqLFIZfrDMff4kP08nblUkihrxltoGBjg/edit#gid=934712705"",""ESENCIAL!A6:BG""),5,FALSE))"),"")</f>
        <v/>
      </c>
      <c r="BG493" s="44" t="str">
        <f t="shared" si="37"/>
        <v/>
      </c>
      <c r="BH493" s="41" t="str">
        <f t="shared" si="38"/>
        <v/>
      </c>
      <c r="BI493" s="41" t="str">
        <f ca="1">IFERROR(__xludf.DUMMYFUNCTION("IFERROR(VLOOKUP(F510,IMPORTRANGE(""https://docs.google.com/spreadsheets/d/1Kvs4KS76FHFqLFIZfrDMff4kP08nblUkihrxltoGBjg/edit#gid=934712705"",""ESENCIAL!A6:BG""),18,FALSE))"),"")</f>
        <v/>
      </c>
      <c r="BJ493" s="19" t="str">
        <f t="shared" si="39"/>
        <v/>
      </c>
      <c r="BK493" s="41"/>
      <c r="BL493" s="41"/>
    </row>
    <row r="494" spans="1:64" ht="15">
      <c r="A494" s="4"/>
      <c r="B494" s="4"/>
      <c r="G494" s="5" t="str">
        <f ca="1">IFERROR(__xludf.DUMMYFUNCTION("IFERROR(VLOOKUP(F511,IMPORTRANGE(""https://docs.google.com/spreadsheets/d/1Kvs4KS76FHFqLFIZfrDMff4kP08nblUkihrxltoGBjg/edit#gid=934712705"",""ESENCIAL!A6:BG""),3,FALSE))"),"")</f>
        <v/>
      </c>
      <c r="H494" s="5" t="str">
        <f ca="1">IFERROR(__xludf.DUMMYFUNCTION("IFERROR(VLOOKUP(F511,IMPORTRANGE(""https://docs.google.com/spreadsheets/d/1Kvs4KS76FHFqLFIZfrDMff4kP08nblUkihrxltoGBjg/edit#gid=934712705"",""ESENCIAL!A6:BG""),8,FALSE))"),"")</f>
        <v/>
      </c>
      <c r="L494" s="287"/>
      <c r="S494"/>
      <c r="AU494" s="41" t="str">
        <f t="shared" si="36"/>
        <v/>
      </c>
      <c r="AV494" s="5" t="str">
        <f ca="1">IFERROR(__xludf.DUMMYFUNCTION("IFERROR(VLOOKUP(E511&amp;F511,IMPORTRANGE(""https://docs.google.com/spreadsheets/d/1Uw7-A9f9R21vMXxHZFNpYNeKFtG8_yji4HS352LGlSQ/edit?pli=1#gid=0"",""1_ACUM!A4:S""),11,FALSE))"),"")</f>
        <v/>
      </c>
      <c r="AW494" s="42" t="str">
        <f ca="1">IFERROR(__xludf.DUMMYFUNCTION("IFERROR(VLOOKUP(F511,IMPORTRANGE(""https://docs.google.com/spreadsheets/d/1Kvs4KS76FHFqLFIZfrDMff4kP08nblUkihrxltoGBjg/edit#gid=934712705"",""ESENCIAL!A6:BG""),15,FALSE))"),"")</f>
        <v/>
      </c>
      <c r="AX494" s="21" t="str">
        <f ca="1">IFERROR(__xludf.DUMMYFUNCTION("IFERROR(VLOOKUP(E511&amp;F511,IMPORTRANGE(""https://docs.google.com/spreadsheets/d/1Uw7-A9f9R21vMXxHZFNpYNeKFtG8_yji4HS352LGlSQ/edit?pli=1#gid=0"",""1_ACUM!A4:S""),12,FALSE))"),"")</f>
        <v/>
      </c>
      <c r="AY494" s="43" t="str">
        <f ca="1">IFERROR(__xludf.DUMMYFUNCTION("IFERROR(VLOOKUP(E511&amp;F511,IMPORTRANGE(""https://docs.google.com/spreadsheets/d/1Uw7-A9f9R21vMXxHZFNpYNeKFtG8_yji4HS352LGlSQ/edit?pli=1#gid=0"",""1_ACUM!A4:S""),13,FALSE))"),"")</f>
        <v/>
      </c>
      <c r="AZ494" s="43" t="str">
        <f ca="1">IFERROR(__xludf.DUMMYFUNCTION("IFERROR(VLOOKUP(E511&amp;F511,IMPORTRANGE(""https://docs.google.com/spreadsheets/d/1Uw7-A9f9R21vMXxHZFNpYNeKFtG8_yji4HS352LGlSQ/edit?pli=1#gid=0"",""1_ACUM!A4:S""),14,FALSE))"),"")</f>
        <v/>
      </c>
      <c r="BA494" s="43" t="str">
        <f ca="1">IFERROR(__xludf.DUMMYFUNCTION("IFERROR(VLOOKUP(E511&amp;F511,IMPORTRANGE(""https://docs.google.com/spreadsheets/d/1Uw7-A9f9R21vMXxHZFNpYNeKFtG8_yji4HS352LGlSQ/edit?pli=1#gid=0"",""1_ACUM!A4:S""),15,FALSE))"),"")</f>
        <v/>
      </c>
      <c r="BB494" s="43" t="str">
        <f ca="1">IFERROR(__xludf.DUMMYFUNCTION("IFERROR(VLOOKUP(E511&amp;F511,IMPORTRANGE(""https://docs.google.com/spreadsheets/d/1Uw7-A9f9R21vMXxHZFNpYNeKFtG8_yji4HS352LGlSQ/edit?pli=1#gid=0"",""1_ACUM!A4:S""),16,FALSE))"),"")</f>
        <v/>
      </c>
      <c r="BC494" s="43" t="str">
        <f ca="1">IFERROR(__xludf.DUMMYFUNCTION("IFERROR(VLOOKUP(E511&amp;F511,IMPORTRANGE(""https://docs.google.com/spreadsheets/d/1Uw7-A9f9R21vMXxHZFNpYNeKFtG8_yji4HS352LGlSQ/edit?pli=1#gid=0"",""1_ACUM!A4:S""),17,FALSE))"),"")</f>
        <v/>
      </c>
      <c r="BD494" s="44" t="str">
        <f ca="1">IFERROR(__xludf.DUMMYFUNCTION("IFERROR(VLOOKUP(E511&amp;F511,IMPORTRANGE(""https://docs.google.com/spreadsheets/d/1Uw7-A9f9R21vMXxHZFNpYNeKFtG8_yji4HS352LGlSQ/edit?pli=1#gid=0"",""1_ACUM!A4:S""),18,FALSE))"),"")</f>
        <v/>
      </c>
      <c r="BE494" s="44" t="str">
        <f ca="1">IFERROR(__xludf.DUMMYFUNCTION("IFERROR(VLOOKUP(E511&amp;F511,IMPORTRANGE(""https://docs.google.com/spreadsheets/d/1Uw7-A9f9R21vMXxHZFNpYNeKFtG8_yji4HS352LGlSQ/edit?pli=1#gid=0"",""1_ACUM!A4:S""),19,FALSE))"),"")</f>
        <v/>
      </c>
      <c r="BF494" s="44" t="str">
        <f ca="1">IFERROR(__xludf.DUMMYFUNCTION("IFERROR(VLOOKUP(F511,IMPORTRANGE(""https://docs.google.com/spreadsheets/d/1Kvs4KS76FHFqLFIZfrDMff4kP08nblUkihrxltoGBjg/edit#gid=934712705"",""ESENCIAL!A6:BG""),5,FALSE))"),"")</f>
        <v/>
      </c>
      <c r="BG494" s="44" t="str">
        <f t="shared" si="37"/>
        <v/>
      </c>
      <c r="BH494" s="41" t="str">
        <f t="shared" si="38"/>
        <v/>
      </c>
      <c r="BI494" s="41" t="str">
        <f ca="1">IFERROR(__xludf.DUMMYFUNCTION("IFERROR(VLOOKUP(F511,IMPORTRANGE(""https://docs.google.com/spreadsheets/d/1Kvs4KS76FHFqLFIZfrDMff4kP08nblUkihrxltoGBjg/edit#gid=934712705"",""ESENCIAL!A6:BG""),18,FALSE))"),"")</f>
        <v/>
      </c>
      <c r="BJ494" s="19" t="str">
        <f t="shared" si="39"/>
        <v/>
      </c>
      <c r="BK494" s="41"/>
      <c r="BL494" s="41"/>
    </row>
    <row r="495" spans="1:64" ht="15">
      <c r="A495" s="4"/>
      <c r="B495" s="4"/>
      <c r="G495" s="5" t="str">
        <f ca="1">IFERROR(__xludf.DUMMYFUNCTION("IFERROR(VLOOKUP(F512,IMPORTRANGE(""https://docs.google.com/spreadsheets/d/1Kvs4KS76FHFqLFIZfrDMff4kP08nblUkihrxltoGBjg/edit#gid=934712705"",""ESENCIAL!A6:BG""),3,FALSE))"),"")</f>
        <v/>
      </c>
      <c r="H495" s="5" t="str">
        <f ca="1">IFERROR(__xludf.DUMMYFUNCTION("IFERROR(VLOOKUP(F512,IMPORTRANGE(""https://docs.google.com/spreadsheets/d/1Kvs4KS76FHFqLFIZfrDMff4kP08nblUkihrxltoGBjg/edit#gid=934712705"",""ESENCIAL!A6:BG""),8,FALSE))"),"")</f>
        <v/>
      </c>
      <c r="L495" s="287"/>
      <c r="S495"/>
      <c r="AU495" s="41" t="str">
        <f t="shared" si="36"/>
        <v/>
      </c>
      <c r="AV495" s="5" t="str">
        <f ca="1">IFERROR(__xludf.DUMMYFUNCTION("IFERROR(VLOOKUP(E512&amp;F512,IMPORTRANGE(""https://docs.google.com/spreadsheets/d/1Uw7-A9f9R21vMXxHZFNpYNeKFtG8_yji4HS352LGlSQ/edit?pli=1#gid=0"",""1_ACUM!A4:S""),11,FALSE))"),"")</f>
        <v/>
      </c>
      <c r="AW495" s="42" t="str">
        <f ca="1">IFERROR(__xludf.DUMMYFUNCTION("IFERROR(VLOOKUP(F512,IMPORTRANGE(""https://docs.google.com/spreadsheets/d/1Kvs4KS76FHFqLFIZfrDMff4kP08nblUkihrxltoGBjg/edit#gid=934712705"",""ESENCIAL!A6:BG""),15,FALSE))"),"")</f>
        <v/>
      </c>
      <c r="AX495" s="21" t="str">
        <f ca="1">IFERROR(__xludf.DUMMYFUNCTION("IFERROR(VLOOKUP(E512&amp;F512,IMPORTRANGE(""https://docs.google.com/spreadsheets/d/1Uw7-A9f9R21vMXxHZFNpYNeKFtG8_yji4HS352LGlSQ/edit?pli=1#gid=0"",""1_ACUM!A4:S""),12,FALSE))"),"")</f>
        <v/>
      </c>
      <c r="AY495" s="43" t="str">
        <f ca="1">IFERROR(__xludf.DUMMYFUNCTION("IFERROR(VLOOKUP(E512&amp;F512,IMPORTRANGE(""https://docs.google.com/spreadsheets/d/1Uw7-A9f9R21vMXxHZFNpYNeKFtG8_yji4HS352LGlSQ/edit?pli=1#gid=0"",""1_ACUM!A4:S""),13,FALSE))"),"")</f>
        <v/>
      </c>
      <c r="AZ495" s="43" t="str">
        <f ca="1">IFERROR(__xludf.DUMMYFUNCTION("IFERROR(VLOOKUP(E512&amp;F512,IMPORTRANGE(""https://docs.google.com/spreadsheets/d/1Uw7-A9f9R21vMXxHZFNpYNeKFtG8_yji4HS352LGlSQ/edit?pli=1#gid=0"",""1_ACUM!A4:S""),14,FALSE))"),"")</f>
        <v/>
      </c>
      <c r="BA495" s="43" t="str">
        <f ca="1">IFERROR(__xludf.DUMMYFUNCTION("IFERROR(VLOOKUP(E512&amp;F512,IMPORTRANGE(""https://docs.google.com/spreadsheets/d/1Uw7-A9f9R21vMXxHZFNpYNeKFtG8_yji4HS352LGlSQ/edit?pli=1#gid=0"",""1_ACUM!A4:S""),15,FALSE))"),"")</f>
        <v/>
      </c>
      <c r="BB495" s="43" t="str">
        <f ca="1">IFERROR(__xludf.DUMMYFUNCTION("IFERROR(VLOOKUP(E512&amp;F512,IMPORTRANGE(""https://docs.google.com/spreadsheets/d/1Uw7-A9f9R21vMXxHZFNpYNeKFtG8_yji4HS352LGlSQ/edit?pli=1#gid=0"",""1_ACUM!A4:S""),16,FALSE))"),"")</f>
        <v/>
      </c>
      <c r="BC495" s="43" t="str">
        <f ca="1">IFERROR(__xludf.DUMMYFUNCTION("IFERROR(VLOOKUP(E512&amp;F512,IMPORTRANGE(""https://docs.google.com/spreadsheets/d/1Uw7-A9f9R21vMXxHZFNpYNeKFtG8_yji4HS352LGlSQ/edit?pli=1#gid=0"",""1_ACUM!A4:S""),17,FALSE))"),"")</f>
        <v/>
      </c>
      <c r="BD495" s="44" t="str">
        <f ca="1">IFERROR(__xludf.DUMMYFUNCTION("IFERROR(VLOOKUP(E512&amp;F512,IMPORTRANGE(""https://docs.google.com/spreadsheets/d/1Uw7-A9f9R21vMXxHZFNpYNeKFtG8_yji4HS352LGlSQ/edit?pli=1#gid=0"",""1_ACUM!A4:S""),18,FALSE))"),"")</f>
        <v/>
      </c>
      <c r="BE495" s="44" t="str">
        <f ca="1">IFERROR(__xludf.DUMMYFUNCTION("IFERROR(VLOOKUP(E512&amp;F512,IMPORTRANGE(""https://docs.google.com/spreadsheets/d/1Uw7-A9f9R21vMXxHZFNpYNeKFtG8_yji4HS352LGlSQ/edit?pli=1#gid=0"",""1_ACUM!A4:S""),19,FALSE))"),"")</f>
        <v/>
      </c>
      <c r="BF495" s="44" t="str">
        <f ca="1">IFERROR(__xludf.DUMMYFUNCTION("IFERROR(VLOOKUP(F512,IMPORTRANGE(""https://docs.google.com/spreadsheets/d/1Kvs4KS76FHFqLFIZfrDMff4kP08nblUkihrxltoGBjg/edit#gid=934712705"",""ESENCIAL!A6:BG""),5,FALSE))"),"")</f>
        <v/>
      </c>
      <c r="BG495" s="44" t="str">
        <f t="shared" si="37"/>
        <v/>
      </c>
      <c r="BH495" s="41" t="str">
        <f t="shared" si="38"/>
        <v/>
      </c>
      <c r="BI495" s="41" t="str">
        <f ca="1">IFERROR(__xludf.DUMMYFUNCTION("IFERROR(VLOOKUP(F512,IMPORTRANGE(""https://docs.google.com/spreadsheets/d/1Kvs4KS76FHFqLFIZfrDMff4kP08nblUkihrxltoGBjg/edit#gid=934712705"",""ESENCIAL!A6:BG""),18,FALSE))"),"")</f>
        <v/>
      </c>
      <c r="BJ495" s="19" t="str">
        <f t="shared" si="39"/>
        <v/>
      </c>
      <c r="BK495" s="41"/>
      <c r="BL495" s="41"/>
    </row>
    <row r="496" spans="1:64" ht="15">
      <c r="A496" s="4"/>
      <c r="B496" s="4"/>
      <c r="G496" s="5" t="str">
        <f ca="1">IFERROR(__xludf.DUMMYFUNCTION("IFERROR(VLOOKUP(F513,IMPORTRANGE(""https://docs.google.com/spreadsheets/d/1Kvs4KS76FHFqLFIZfrDMff4kP08nblUkihrxltoGBjg/edit#gid=934712705"",""ESENCIAL!A6:BG""),3,FALSE))"),"")</f>
        <v/>
      </c>
      <c r="H496" s="5" t="str">
        <f ca="1">IFERROR(__xludf.DUMMYFUNCTION("IFERROR(VLOOKUP(F513,IMPORTRANGE(""https://docs.google.com/spreadsheets/d/1Kvs4KS76FHFqLFIZfrDMff4kP08nblUkihrxltoGBjg/edit#gid=934712705"",""ESENCIAL!A6:BG""),8,FALSE))"),"")</f>
        <v/>
      </c>
      <c r="L496" s="287"/>
      <c r="S496"/>
      <c r="AU496" s="41" t="str">
        <f t="shared" ref="AU496:AU750" si="40">IF(E496&gt;0,IF(AND(BC496=1,AZ496=1),"Procede_E_P","NO_CUMPLE"),"")</f>
        <v/>
      </c>
      <c r="AV496" s="5" t="str">
        <f ca="1">IFERROR(__xludf.DUMMYFUNCTION("IFERROR(VLOOKUP(E513&amp;F513,IMPORTRANGE(""https://docs.google.com/spreadsheets/d/1Uw7-A9f9R21vMXxHZFNpYNeKFtG8_yji4HS352LGlSQ/edit?pli=1#gid=0"",""1_ACUM!A4:S""),11,FALSE))"),"")</f>
        <v/>
      </c>
      <c r="AW496" s="42" t="str">
        <f ca="1">IFERROR(__xludf.DUMMYFUNCTION("IFERROR(VLOOKUP(F513,IMPORTRANGE(""https://docs.google.com/spreadsheets/d/1Kvs4KS76FHFqLFIZfrDMff4kP08nblUkihrxltoGBjg/edit#gid=934712705"",""ESENCIAL!A6:BG""),15,FALSE))"),"")</f>
        <v/>
      </c>
      <c r="AX496" s="21" t="str">
        <f ca="1">IFERROR(__xludf.DUMMYFUNCTION("IFERROR(VLOOKUP(E513&amp;F513,IMPORTRANGE(""https://docs.google.com/spreadsheets/d/1Uw7-A9f9R21vMXxHZFNpYNeKFtG8_yji4HS352LGlSQ/edit?pli=1#gid=0"",""1_ACUM!A4:S""),12,FALSE))"),"")</f>
        <v/>
      </c>
      <c r="AY496" s="43" t="str">
        <f ca="1">IFERROR(__xludf.DUMMYFUNCTION("IFERROR(VLOOKUP(E513&amp;F513,IMPORTRANGE(""https://docs.google.com/spreadsheets/d/1Uw7-A9f9R21vMXxHZFNpYNeKFtG8_yji4HS352LGlSQ/edit?pli=1#gid=0"",""1_ACUM!A4:S""),13,FALSE))"),"")</f>
        <v/>
      </c>
      <c r="AZ496" s="43" t="str">
        <f ca="1">IFERROR(__xludf.DUMMYFUNCTION("IFERROR(VLOOKUP(E513&amp;F513,IMPORTRANGE(""https://docs.google.com/spreadsheets/d/1Uw7-A9f9R21vMXxHZFNpYNeKFtG8_yji4HS352LGlSQ/edit?pli=1#gid=0"",""1_ACUM!A4:S""),14,FALSE))"),"")</f>
        <v/>
      </c>
      <c r="BA496" s="43" t="str">
        <f ca="1">IFERROR(__xludf.DUMMYFUNCTION("IFERROR(VLOOKUP(E513&amp;F513,IMPORTRANGE(""https://docs.google.com/spreadsheets/d/1Uw7-A9f9R21vMXxHZFNpYNeKFtG8_yji4HS352LGlSQ/edit?pli=1#gid=0"",""1_ACUM!A4:S""),15,FALSE))"),"")</f>
        <v/>
      </c>
      <c r="BB496" s="43" t="str">
        <f ca="1">IFERROR(__xludf.DUMMYFUNCTION("IFERROR(VLOOKUP(E513&amp;F513,IMPORTRANGE(""https://docs.google.com/spreadsheets/d/1Uw7-A9f9R21vMXxHZFNpYNeKFtG8_yji4HS352LGlSQ/edit?pli=1#gid=0"",""1_ACUM!A4:S""),16,FALSE))"),"")</f>
        <v/>
      </c>
      <c r="BC496" s="43" t="str">
        <f ca="1">IFERROR(__xludf.DUMMYFUNCTION("IFERROR(VLOOKUP(E513&amp;F513,IMPORTRANGE(""https://docs.google.com/spreadsheets/d/1Uw7-A9f9R21vMXxHZFNpYNeKFtG8_yji4HS352LGlSQ/edit?pli=1#gid=0"",""1_ACUM!A4:S""),17,FALSE))"),"")</f>
        <v/>
      </c>
      <c r="BD496" s="44" t="str">
        <f ca="1">IFERROR(__xludf.DUMMYFUNCTION("IFERROR(VLOOKUP(E513&amp;F513,IMPORTRANGE(""https://docs.google.com/spreadsheets/d/1Uw7-A9f9R21vMXxHZFNpYNeKFtG8_yji4HS352LGlSQ/edit?pli=1#gid=0"",""1_ACUM!A4:S""),18,FALSE))"),"")</f>
        <v/>
      </c>
      <c r="BE496" s="44" t="str">
        <f ca="1">IFERROR(__xludf.DUMMYFUNCTION("IFERROR(VLOOKUP(E513&amp;F513,IMPORTRANGE(""https://docs.google.com/spreadsheets/d/1Uw7-A9f9R21vMXxHZFNpYNeKFtG8_yji4HS352LGlSQ/edit?pli=1#gid=0"",""1_ACUM!A4:S""),19,FALSE))"),"")</f>
        <v/>
      </c>
      <c r="BF496" s="44" t="str">
        <f ca="1">IFERROR(__xludf.DUMMYFUNCTION("IFERROR(VLOOKUP(F513,IMPORTRANGE(""https://docs.google.com/spreadsheets/d/1Kvs4KS76FHFqLFIZfrDMff4kP08nblUkihrxltoGBjg/edit#gid=934712705"",""ESENCIAL!A6:BG""),5,FALSE))"),"")</f>
        <v/>
      </c>
      <c r="BG496" s="44" t="str">
        <f t="shared" ref="BG496:BG750" si="41">IF(F496&gt;0,EDATE(BF496,18),"")</f>
        <v/>
      </c>
      <c r="BH496" s="41" t="str">
        <f t="shared" ref="BH496:BH750" si="42">IF(F496&gt;0,IF(BG496&lt;$BH$1,"FINALIZAR FICHA","FICHA EN TIEMPO-18 MESES"),"")</f>
        <v/>
      </c>
      <c r="BI496" s="41" t="str">
        <f ca="1">IFERROR(__xludf.DUMMYFUNCTION("IFERROR(VLOOKUP(F513,IMPORTRANGE(""https://docs.google.com/spreadsheets/d/1Kvs4KS76FHFqLFIZfrDMff4kP08nblUkihrxltoGBjg/edit#gid=934712705"",""ESENCIAL!A6:BG""),18,FALSE))"),"")</f>
        <v/>
      </c>
      <c r="BJ496" s="19" t="str">
        <f t="shared" ref="BJ496:BJ750" si="43">IF(F496&gt;0,"Yamboro","")</f>
        <v/>
      </c>
      <c r="BK496" s="41"/>
      <c r="BL496" s="41"/>
    </row>
    <row r="497" spans="1:64" ht="15">
      <c r="A497" s="4"/>
      <c r="B497" s="4"/>
      <c r="G497" s="5" t="str">
        <f ca="1">IFERROR(__xludf.DUMMYFUNCTION("IFERROR(VLOOKUP(F514,IMPORTRANGE(""https://docs.google.com/spreadsheets/d/1Kvs4KS76FHFqLFIZfrDMff4kP08nblUkihrxltoGBjg/edit#gid=934712705"",""ESENCIAL!A6:BG""),3,FALSE))"),"")</f>
        <v/>
      </c>
      <c r="H497" s="5" t="str">
        <f ca="1">IFERROR(__xludf.DUMMYFUNCTION("IFERROR(VLOOKUP(F514,IMPORTRANGE(""https://docs.google.com/spreadsheets/d/1Kvs4KS76FHFqLFIZfrDMff4kP08nblUkihrxltoGBjg/edit#gid=934712705"",""ESENCIAL!A6:BG""),8,FALSE))"),"")</f>
        <v/>
      </c>
      <c r="L497" s="287"/>
      <c r="S497"/>
      <c r="AU497" s="41" t="str">
        <f t="shared" si="40"/>
        <v/>
      </c>
      <c r="AV497" s="5" t="str">
        <f ca="1">IFERROR(__xludf.DUMMYFUNCTION("IFERROR(VLOOKUP(E514&amp;F514,IMPORTRANGE(""https://docs.google.com/spreadsheets/d/1Uw7-A9f9R21vMXxHZFNpYNeKFtG8_yji4HS352LGlSQ/edit?pli=1#gid=0"",""1_ACUM!A4:S""),11,FALSE))"),"")</f>
        <v/>
      </c>
      <c r="AW497" s="42" t="str">
        <f ca="1">IFERROR(__xludf.DUMMYFUNCTION("IFERROR(VLOOKUP(F514,IMPORTRANGE(""https://docs.google.com/spreadsheets/d/1Kvs4KS76FHFqLFIZfrDMff4kP08nblUkihrxltoGBjg/edit#gid=934712705"",""ESENCIAL!A6:BG""),15,FALSE))"),"")</f>
        <v/>
      </c>
      <c r="AX497" s="21" t="str">
        <f ca="1">IFERROR(__xludf.DUMMYFUNCTION("IFERROR(VLOOKUP(E514&amp;F514,IMPORTRANGE(""https://docs.google.com/spreadsheets/d/1Uw7-A9f9R21vMXxHZFNpYNeKFtG8_yji4HS352LGlSQ/edit?pli=1#gid=0"",""1_ACUM!A4:S""),12,FALSE))"),"")</f>
        <v/>
      </c>
      <c r="AY497" s="43" t="str">
        <f ca="1">IFERROR(__xludf.DUMMYFUNCTION("IFERROR(VLOOKUP(E514&amp;F514,IMPORTRANGE(""https://docs.google.com/spreadsheets/d/1Uw7-A9f9R21vMXxHZFNpYNeKFtG8_yji4HS352LGlSQ/edit?pli=1#gid=0"",""1_ACUM!A4:S""),13,FALSE))"),"")</f>
        <v/>
      </c>
      <c r="AZ497" s="43" t="str">
        <f ca="1">IFERROR(__xludf.DUMMYFUNCTION("IFERROR(VLOOKUP(E514&amp;F514,IMPORTRANGE(""https://docs.google.com/spreadsheets/d/1Uw7-A9f9R21vMXxHZFNpYNeKFtG8_yji4HS352LGlSQ/edit?pli=1#gid=0"",""1_ACUM!A4:S""),14,FALSE))"),"")</f>
        <v/>
      </c>
      <c r="BA497" s="43" t="str">
        <f ca="1">IFERROR(__xludf.DUMMYFUNCTION("IFERROR(VLOOKUP(E514&amp;F514,IMPORTRANGE(""https://docs.google.com/spreadsheets/d/1Uw7-A9f9R21vMXxHZFNpYNeKFtG8_yji4HS352LGlSQ/edit?pli=1#gid=0"",""1_ACUM!A4:S""),15,FALSE))"),"")</f>
        <v/>
      </c>
      <c r="BB497" s="43" t="str">
        <f ca="1">IFERROR(__xludf.DUMMYFUNCTION("IFERROR(VLOOKUP(E514&amp;F514,IMPORTRANGE(""https://docs.google.com/spreadsheets/d/1Uw7-A9f9R21vMXxHZFNpYNeKFtG8_yji4HS352LGlSQ/edit?pli=1#gid=0"",""1_ACUM!A4:S""),16,FALSE))"),"")</f>
        <v/>
      </c>
      <c r="BC497" s="43" t="str">
        <f ca="1">IFERROR(__xludf.DUMMYFUNCTION("IFERROR(VLOOKUP(E514&amp;F514,IMPORTRANGE(""https://docs.google.com/spreadsheets/d/1Uw7-A9f9R21vMXxHZFNpYNeKFtG8_yji4HS352LGlSQ/edit?pli=1#gid=0"",""1_ACUM!A4:S""),17,FALSE))"),"")</f>
        <v/>
      </c>
      <c r="BD497" s="44" t="str">
        <f ca="1">IFERROR(__xludf.DUMMYFUNCTION("IFERROR(VLOOKUP(E514&amp;F514,IMPORTRANGE(""https://docs.google.com/spreadsheets/d/1Uw7-A9f9R21vMXxHZFNpYNeKFtG8_yji4HS352LGlSQ/edit?pli=1#gid=0"",""1_ACUM!A4:S""),18,FALSE))"),"")</f>
        <v/>
      </c>
      <c r="BE497" s="44" t="str">
        <f ca="1">IFERROR(__xludf.DUMMYFUNCTION("IFERROR(VLOOKUP(E514&amp;F514,IMPORTRANGE(""https://docs.google.com/spreadsheets/d/1Uw7-A9f9R21vMXxHZFNpYNeKFtG8_yji4HS352LGlSQ/edit?pli=1#gid=0"",""1_ACUM!A4:S""),19,FALSE))"),"")</f>
        <v/>
      </c>
      <c r="BF497" s="44" t="str">
        <f ca="1">IFERROR(__xludf.DUMMYFUNCTION("IFERROR(VLOOKUP(F514,IMPORTRANGE(""https://docs.google.com/spreadsheets/d/1Kvs4KS76FHFqLFIZfrDMff4kP08nblUkihrxltoGBjg/edit#gid=934712705"",""ESENCIAL!A6:BG""),5,FALSE))"),"")</f>
        <v/>
      </c>
      <c r="BG497" s="44" t="str">
        <f t="shared" si="41"/>
        <v/>
      </c>
      <c r="BH497" s="41" t="str">
        <f t="shared" si="42"/>
        <v/>
      </c>
      <c r="BI497" s="41" t="str">
        <f ca="1">IFERROR(__xludf.DUMMYFUNCTION("IFERROR(VLOOKUP(F514,IMPORTRANGE(""https://docs.google.com/spreadsheets/d/1Kvs4KS76FHFqLFIZfrDMff4kP08nblUkihrxltoGBjg/edit#gid=934712705"",""ESENCIAL!A6:BG""),18,FALSE))"),"")</f>
        <v/>
      </c>
      <c r="BJ497" s="19" t="str">
        <f t="shared" si="43"/>
        <v/>
      </c>
      <c r="BK497" s="41"/>
      <c r="BL497" s="41"/>
    </row>
    <row r="498" spans="1:64" ht="15">
      <c r="A498" s="4"/>
      <c r="B498" s="4"/>
      <c r="G498" s="5" t="str">
        <f ca="1">IFERROR(__xludf.DUMMYFUNCTION("IFERROR(VLOOKUP(F515,IMPORTRANGE(""https://docs.google.com/spreadsheets/d/1Kvs4KS76FHFqLFIZfrDMff4kP08nblUkihrxltoGBjg/edit#gid=934712705"",""ESENCIAL!A6:BG""),3,FALSE))"),"")</f>
        <v/>
      </c>
      <c r="H498" s="5" t="str">
        <f ca="1">IFERROR(__xludf.DUMMYFUNCTION("IFERROR(VLOOKUP(F515,IMPORTRANGE(""https://docs.google.com/spreadsheets/d/1Kvs4KS76FHFqLFIZfrDMff4kP08nblUkihrxltoGBjg/edit#gid=934712705"",""ESENCIAL!A6:BG""),8,FALSE))"),"")</f>
        <v/>
      </c>
      <c r="L498" s="287"/>
      <c r="S498"/>
      <c r="AU498" s="41" t="str">
        <f t="shared" si="40"/>
        <v/>
      </c>
      <c r="AV498" s="5" t="str">
        <f ca="1">IFERROR(__xludf.DUMMYFUNCTION("IFERROR(VLOOKUP(E515&amp;F515,IMPORTRANGE(""https://docs.google.com/spreadsheets/d/1Uw7-A9f9R21vMXxHZFNpYNeKFtG8_yji4HS352LGlSQ/edit?pli=1#gid=0"",""1_ACUM!A4:S""),11,FALSE))"),"")</f>
        <v/>
      </c>
      <c r="AW498" s="42" t="str">
        <f ca="1">IFERROR(__xludf.DUMMYFUNCTION("IFERROR(VLOOKUP(F515,IMPORTRANGE(""https://docs.google.com/spreadsheets/d/1Kvs4KS76FHFqLFIZfrDMff4kP08nblUkihrxltoGBjg/edit#gid=934712705"",""ESENCIAL!A6:BG""),15,FALSE))"),"")</f>
        <v/>
      </c>
      <c r="AX498" s="21" t="str">
        <f ca="1">IFERROR(__xludf.DUMMYFUNCTION("IFERROR(VLOOKUP(E515&amp;F515,IMPORTRANGE(""https://docs.google.com/spreadsheets/d/1Uw7-A9f9R21vMXxHZFNpYNeKFtG8_yji4HS352LGlSQ/edit?pli=1#gid=0"",""1_ACUM!A4:S""),12,FALSE))"),"")</f>
        <v/>
      </c>
      <c r="AY498" s="43" t="str">
        <f ca="1">IFERROR(__xludf.DUMMYFUNCTION("IFERROR(VLOOKUP(E515&amp;F515,IMPORTRANGE(""https://docs.google.com/spreadsheets/d/1Uw7-A9f9R21vMXxHZFNpYNeKFtG8_yji4HS352LGlSQ/edit?pli=1#gid=0"",""1_ACUM!A4:S""),13,FALSE))"),"")</f>
        <v/>
      </c>
      <c r="AZ498" s="43" t="str">
        <f ca="1">IFERROR(__xludf.DUMMYFUNCTION("IFERROR(VLOOKUP(E515&amp;F515,IMPORTRANGE(""https://docs.google.com/spreadsheets/d/1Uw7-A9f9R21vMXxHZFNpYNeKFtG8_yji4HS352LGlSQ/edit?pli=1#gid=0"",""1_ACUM!A4:S""),14,FALSE))"),"")</f>
        <v/>
      </c>
      <c r="BA498" s="43" t="str">
        <f ca="1">IFERROR(__xludf.DUMMYFUNCTION("IFERROR(VLOOKUP(E515&amp;F515,IMPORTRANGE(""https://docs.google.com/spreadsheets/d/1Uw7-A9f9R21vMXxHZFNpYNeKFtG8_yji4HS352LGlSQ/edit?pli=1#gid=0"",""1_ACUM!A4:S""),15,FALSE))"),"")</f>
        <v/>
      </c>
      <c r="BB498" s="43" t="str">
        <f ca="1">IFERROR(__xludf.DUMMYFUNCTION("IFERROR(VLOOKUP(E515&amp;F515,IMPORTRANGE(""https://docs.google.com/spreadsheets/d/1Uw7-A9f9R21vMXxHZFNpYNeKFtG8_yji4HS352LGlSQ/edit?pli=1#gid=0"",""1_ACUM!A4:S""),16,FALSE))"),"")</f>
        <v/>
      </c>
      <c r="BC498" s="43" t="str">
        <f ca="1">IFERROR(__xludf.DUMMYFUNCTION("IFERROR(VLOOKUP(E515&amp;F515,IMPORTRANGE(""https://docs.google.com/spreadsheets/d/1Uw7-A9f9R21vMXxHZFNpYNeKFtG8_yji4HS352LGlSQ/edit?pli=1#gid=0"",""1_ACUM!A4:S""),17,FALSE))"),"")</f>
        <v/>
      </c>
      <c r="BD498" s="44" t="str">
        <f ca="1">IFERROR(__xludf.DUMMYFUNCTION("IFERROR(VLOOKUP(E515&amp;F515,IMPORTRANGE(""https://docs.google.com/spreadsheets/d/1Uw7-A9f9R21vMXxHZFNpYNeKFtG8_yji4HS352LGlSQ/edit?pli=1#gid=0"",""1_ACUM!A4:S""),18,FALSE))"),"")</f>
        <v/>
      </c>
      <c r="BE498" s="44" t="str">
        <f ca="1">IFERROR(__xludf.DUMMYFUNCTION("IFERROR(VLOOKUP(E515&amp;F515,IMPORTRANGE(""https://docs.google.com/spreadsheets/d/1Uw7-A9f9R21vMXxHZFNpYNeKFtG8_yji4HS352LGlSQ/edit?pli=1#gid=0"",""1_ACUM!A4:S""),19,FALSE))"),"")</f>
        <v/>
      </c>
      <c r="BF498" s="44" t="str">
        <f ca="1">IFERROR(__xludf.DUMMYFUNCTION("IFERROR(VLOOKUP(F515,IMPORTRANGE(""https://docs.google.com/spreadsheets/d/1Kvs4KS76FHFqLFIZfrDMff4kP08nblUkihrxltoGBjg/edit#gid=934712705"",""ESENCIAL!A6:BG""),5,FALSE))"),"")</f>
        <v/>
      </c>
      <c r="BG498" s="44" t="str">
        <f t="shared" si="41"/>
        <v/>
      </c>
      <c r="BH498" s="41" t="str">
        <f t="shared" si="42"/>
        <v/>
      </c>
      <c r="BI498" s="41" t="str">
        <f ca="1">IFERROR(__xludf.DUMMYFUNCTION("IFERROR(VLOOKUP(F515,IMPORTRANGE(""https://docs.google.com/spreadsheets/d/1Kvs4KS76FHFqLFIZfrDMff4kP08nblUkihrxltoGBjg/edit#gid=934712705"",""ESENCIAL!A6:BG""),18,FALSE))"),"")</f>
        <v/>
      </c>
      <c r="BJ498" s="19" t="str">
        <f t="shared" si="43"/>
        <v/>
      </c>
      <c r="BK498" s="41"/>
      <c r="BL498" s="41"/>
    </row>
    <row r="499" spans="1:64" ht="15">
      <c r="A499" s="4"/>
      <c r="B499" s="4"/>
      <c r="G499" s="5" t="str">
        <f ca="1">IFERROR(__xludf.DUMMYFUNCTION("IFERROR(VLOOKUP(F516,IMPORTRANGE(""https://docs.google.com/spreadsheets/d/1Kvs4KS76FHFqLFIZfrDMff4kP08nblUkihrxltoGBjg/edit#gid=934712705"",""ESENCIAL!A6:BG""),3,FALSE))"),"")</f>
        <v/>
      </c>
      <c r="H499" s="5" t="str">
        <f ca="1">IFERROR(__xludf.DUMMYFUNCTION("IFERROR(VLOOKUP(F516,IMPORTRANGE(""https://docs.google.com/spreadsheets/d/1Kvs4KS76FHFqLFIZfrDMff4kP08nblUkihrxltoGBjg/edit#gid=934712705"",""ESENCIAL!A6:BG""),8,FALSE))"),"")</f>
        <v/>
      </c>
      <c r="L499" s="287"/>
      <c r="S499"/>
      <c r="AU499" s="41" t="str">
        <f t="shared" si="40"/>
        <v/>
      </c>
      <c r="AV499" s="5" t="str">
        <f ca="1">IFERROR(__xludf.DUMMYFUNCTION("IFERROR(VLOOKUP(E516&amp;F516,IMPORTRANGE(""https://docs.google.com/spreadsheets/d/1Uw7-A9f9R21vMXxHZFNpYNeKFtG8_yji4HS352LGlSQ/edit?pli=1#gid=0"",""1_ACUM!A4:S""),11,FALSE))"),"")</f>
        <v/>
      </c>
      <c r="AW499" s="42" t="str">
        <f ca="1">IFERROR(__xludf.DUMMYFUNCTION("IFERROR(VLOOKUP(F516,IMPORTRANGE(""https://docs.google.com/spreadsheets/d/1Kvs4KS76FHFqLFIZfrDMff4kP08nblUkihrxltoGBjg/edit#gid=934712705"",""ESENCIAL!A6:BG""),15,FALSE))"),"")</f>
        <v/>
      </c>
      <c r="AX499" s="21" t="str">
        <f ca="1">IFERROR(__xludf.DUMMYFUNCTION("IFERROR(VLOOKUP(E516&amp;F516,IMPORTRANGE(""https://docs.google.com/spreadsheets/d/1Uw7-A9f9R21vMXxHZFNpYNeKFtG8_yji4HS352LGlSQ/edit?pli=1#gid=0"",""1_ACUM!A4:S""),12,FALSE))"),"")</f>
        <v/>
      </c>
      <c r="AY499" s="43" t="str">
        <f ca="1">IFERROR(__xludf.DUMMYFUNCTION("IFERROR(VLOOKUP(E516&amp;F516,IMPORTRANGE(""https://docs.google.com/spreadsheets/d/1Uw7-A9f9R21vMXxHZFNpYNeKFtG8_yji4HS352LGlSQ/edit?pli=1#gid=0"",""1_ACUM!A4:S""),13,FALSE))"),"")</f>
        <v/>
      </c>
      <c r="AZ499" s="43" t="str">
        <f ca="1">IFERROR(__xludf.DUMMYFUNCTION("IFERROR(VLOOKUP(E516&amp;F516,IMPORTRANGE(""https://docs.google.com/spreadsheets/d/1Uw7-A9f9R21vMXxHZFNpYNeKFtG8_yji4HS352LGlSQ/edit?pli=1#gid=0"",""1_ACUM!A4:S""),14,FALSE))"),"")</f>
        <v/>
      </c>
      <c r="BA499" s="43" t="str">
        <f ca="1">IFERROR(__xludf.DUMMYFUNCTION("IFERROR(VLOOKUP(E516&amp;F516,IMPORTRANGE(""https://docs.google.com/spreadsheets/d/1Uw7-A9f9R21vMXxHZFNpYNeKFtG8_yji4HS352LGlSQ/edit?pli=1#gid=0"",""1_ACUM!A4:S""),15,FALSE))"),"")</f>
        <v/>
      </c>
      <c r="BB499" s="43" t="str">
        <f ca="1">IFERROR(__xludf.DUMMYFUNCTION("IFERROR(VLOOKUP(E516&amp;F516,IMPORTRANGE(""https://docs.google.com/spreadsheets/d/1Uw7-A9f9R21vMXxHZFNpYNeKFtG8_yji4HS352LGlSQ/edit?pli=1#gid=0"",""1_ACUM!A4:S""),16,FALSE))"),"")</f>
        <v/>
      </c>
      <c r="BC499" s="43" t="str">
        <f ca="1">IFERROR(__xludf.DUMMYFUNCTION("IFERROR(VLOOKUP(E516&amp;F516,IMPORTRANGE(""https://docs.google.com/spreadsheets/d/1Uw7-A9f9R21vMXxHZFNpYNeKFtG8_yji4HS352LGlSQ/edit?pli=1#gid=0"",""1_ACUM!A4:S""),17,FALSE))"),"")</f>
        <v/>
      </c>
      <c r="BD499" s="44" t="str">
        <f ca="1">IFERROR(__xludf.DUMMYFUNCTION("IFERROR(VLOOKUP(E516&amp;F516,IMPORTRANGE(""https://docs.google.com/spreadsheets/d/1Uw7-A9f9R21vMXxHZFNpYNeKFtG8_yji4HS352LGlSQ/edit?pli=1#gid=0"",""1_ACUM!A4:S""),18,FALSE))"),"")</f>
        <v/>
      </c>
      <c r="BE499" s="44" t="str">
        <f ca="1">IFERROR(__xludf.DUMMYFUNCTION("IFERROR(VLOOKUP(E516&amp;F516,IMPORTRANGE(""https://docs.google.com/spreadsheets/d/1Uw7-A9f9R21vMXxHZFNpYNeKFtG8_yji4HS352LGlSQ/edit?pli=1#gid=0"",""1_ACUM!A4:S""),19,FALSE))"),"")</f>
        <v/>
      </c>
      <c r="BF499" s="44" t="str">
        <f ca="1">IFERROR(__xludf.DUMMYFUNCTION("IFERROR(VLOOKUP(F516,IMPORTRANGE(""https://docs.google.com/spreadsheets/d/1Kvs4KS76FHFqLFIZfrDMff4kP08nblUkihrxltoGBjg/edit#gid=934712705"",""ESENCIAL!A6:BG""),5,FALSE))"),"")</f>
        <v/>
      </c>
      <c r="BG499" s="44" t="str">
        <f t="shared" si="41"/>
        <v/>
      </c>
      <c r="BH499" s="41" t="str">
        <f t="shared" si="42"/>
        <v/>
      </c>
      <c r="BI499" s="41" t="str">
        <f ca="1">IFERROR(__xludf.DUMMYFUNCTION("IFERROR(VLOOKUP(F516,IMPORTRANGE(""https://docs.google.com/spreadsheets/d/1Kvs4KS76FHFqLFIZfrDMff4kP08nblUkihrxltoGBjg/edit#gid=934712705"",""ESENCIAL!A6:BG""),18,FALSE))"),"")</f>
        <v/>
      </c>
      <c r="BJ499" s="19" t="str">
        <f t="shared" si="43"/>
        <v/>
      </c>
      <c r="BK499" s="41"/>
      <c r="BL499" s="41"/>
    </row>
    <row r="500" spans="1:64" ht="15">
      <c r="A500" s="4"/>
      <c r="B500" s="4"/>
      <c r="G500" s="5" t="str">
        <f ca="1">IFERROR(__xludf.DUMMYFUNCTION("IFERROR(VLOOKUP(F517,IMPORTRANGE(""https://docs.google.com/spreadsheets/d/1Kvs4KS76FHFqLFIZfrDMff4kP08nblUkihrxltoGBjg/edit#gid=934712705"",""ESENCIAL!A6:BG""),3,FALSE))"),"")</f>
        <v/>
      </c>
      <c r="H500" s="5" t="str">
        <f ca="1">IFERROR(__xludf.DUMMYFUNCTION("IFERROR(VLOOKUP(F517,IMPORTRANGE(""https://docs.google.com/spreadsheets/d/1Kvs4KS76FHFqLFIZfrDMff4kP08nblUkihrxltoGBjg/edit#gid=934712705"",""ESENCIAL!A6:BG""),8,FALSE))"),"")</f>
        <v/>
      </c>
      <c r="L500" s="287"/>
      <c r="S500"/>
      <c r="AU500" s="41" t="str">
        <f t="shared" si="40"/>
        <v/>
      </c>
      <c r="AV500" s="5" t="str">
        <f ca="1">IFERROR(__xludf.DUMMYFUNCTION("IFERROR(VLOOKUP(E517&amp;F517,IMPORTRANGE(""https://docs.google.com/spreadsheets/d/1Uw7-A9f9R21vMXxHZFNpYNeKFtG8_yji4HS352LGlSQ/edit?pli=1#gid=0"",""1_ACUM!A4:S""),11,FALSE))"),"")</f>
        <v/>
      </c>
      <c r="AW500" s="42" t="str">
        <f ca="1">IFERROR(__xludf.DUMMYFUNCTION("IFERROR(VLOOKUP(F517,IMPORTRANGE(""https://docs.google.com/spreadsheets/d/1Kvs4KS76FHFqLFIZfrDMff4kP08nblUkihrxltoGBjg/edit#gid=934712705"",""ESENCIAL!A6:BG""),15,FALSE))"),"")</f>
        <v/>
      </c>
      <c r="AX500" s="21" t="str">
        <f ca="1">IFERROR(__xludf.DUMMYFUNCTION("IFERROR(VLOOKUP(E517&amp;F517,IMPORTRANGE(""https://docs.google.com/spreadsheets/d/1Uw7-A9f9R21vMXxHZFNpYNeKFtG8_yji4HS352LGlSQ/edit?pli=1#gid=0"",""1_ACUM!A4:S""),12,FALSE))"),"")</f>
        <v/>
      </c>
      <c r="AY500" s="43" t="str">
        <f ca="1">IFERROR(__xludf.DUMMYFUNCTION("IFERROR(VLOOKUP(E517&amp;F517,IMPORTRANGE(""https://docs.google.com/spreadsheets/d/1Uw7-A9f9R21vMXxHZFNpYNeKFtG8_yji4HS352LGlSQ/edit?pli=1#gid=0"",""1_ACUM!A4:S""),13,FALSE))"),"")</f>
        <v/>
      </c>
      <c r="AZ500" s="43" t="str">
        <f ca="1">IFERROR(__xludf.DUMMYFUNCTION("IFERROR(VLOOKUP(E517&amp;F517,IMPORTRANGE(""https://docs.google.com/spreadsheets/d/1Uw7-A9f9R21vMXxHZFNpYNeKFtG8_yji4HS352LGlSQ/edit?pli=1#gid=0"",""1_ACUM!A4:S""),14,FALSE))"),"")</f>
        <v/>
      </c>
      <c r="BA500" s="43" t="str">
        <f ca="1">IFERROR(__xludf.DUMMYFUNCTION("IFERROR(VLOOKUP(E517&amp;F517,IMPORTRANGE(""https://docs.google.com/spreadsheets/d/1Uw7-A9f9R21vMXxHZFNpYNeKFtG8_yji4HS352LGlSQ/edit?pli=1#gid=0"",""1_ACUM!A4:S""),15,FALSE))"),"")</f>
        <v/>
      </c>
      <c r="BB500" s="43" t="str">
        <f ca="1">IFERROR(__xludf.DUMMYFUNCTION("IFERROR(VLOOKUP(E517&amp;F517,IMPORTRANGE(""https://docs.google.com/spreadsheets/d/1Uw7-A9f9R21vMXxHZFNpYNeKFtG8_yji4HS352LGlSQ/edit?pli=1#gid=0"",""1_ACUM!A4:S""),16,FALSE))"),"")</f>
        <v/>
      </c>
      <c r="BC500" s="43" t="str">
        <f ca="1">IFERROR(__xludf.DUMMYFUNCTION("IFERROR(VLOOKUP(E517&amp;F517,IMPORTRANGE(""https://docs.google.com/spreadsheets/d/1Uw7-A9f9R21vMXxHZFNpYNeKFtG8_yji4HS352LGlSQ/edit?pli=1#gid=0"",""1_ACUM!A4:S""),17,FALSE))"),"")</f>
        <v/>
      </c>
      <c r="BD500" s="44" t="str">
        <f ca="1">IFERROR(__xludf.DUMMYFUNCTION("IFERROR(VLOOKUP(E517&amp;F517,IMPORTRANGE(""https://docs.google.com/spreadsheets/d/1Uw7-A9f9R21vMXxHZFNpYNeKFtG8_yji4HS352LGlSQ/edit?pli=1#gid=0"",""1_ACUM!A4:S""),18,FALSE))"),"")</f>
        <v/>
      </c>
      <c r="BE500" s="44" t="str">
        <f ca="1">IFERROR(__xludf.DUMMYFUNCTION("IFERROR(VLOOKUP(E517&amp;F517,IMPORTRANGE(""https://docs.google.com/spreadsheets/d/1Uw7-A9f9R21vMXxHZFNpYNeKFtG8_yji4HS352LGlSQ/edit?pli=1#gid=0"",""1_ACUM!A4:S""),19,FALSE))"),"")</f>
        <v/>
      </c>
      <c r="BF500" s="44" t="str">
        <f ca="1">IFERROR(__xludf.DUMMYFUNCTION("IFERROR(VLOOKUP(F517,IMPORTRANGE(""https://docs.google.com/spreadsheets/d/1Kvs4KS76FHFqLFIZfrDMff4kP08nblUkihrxltoGBjg/edit#gid=934712705"",""ESENCIAL!A6:BG""),5,FALSE))"),"")</f>
        <v/>
      </c>
      <c r="BG500" s="44" t="str">
        <f t="shared" si="41"/>
        <v/>
      </c>
      <c r="BH500" s="41" t="str">
        <f t="shared" si="42"/>
        <v/>
      </c>
      <c r="BI500" s="41" t="str">
        <f ca="1">IFERROR(__xludf.DUMMYFUNCTION("IFERROR(VLOOKUP(F517,IMPORTRANGE(""https://docs.google.com/spreadsheets/d/1Kvs4KS76FHFqLFIZfrDMff4kP08nblUkihrxltoGBjg/edit#gid=934712705"",""ESENCIAL!A6:BG""),18,FALSE))"),"")</f>
        <v/>
      </c>
      <c r="BJ500" s="19" t="str">
        <f t="shared" si="43"/>
        <v/>
      </c>
      <c r="BK500" s="41"/>
      <c r="BL500" s="41"/>
    </row>
    <row r="501" spans="1:64" ht="15">
      <c r="A501" s="4"/>
      <c r="B501" s="4"/>
      <c r="G501" s="5" t="str">
        <f ca="1">IFERROR(__xludf.DUMMYFUNCTION("IFERROR(VLOOKUP(F518,IMPORTRANGE(""https://docs.google.com/spreadsheets/d/1Kvs4KS76FHFqLFIZfrDMff4kP08nblUkihrxltoGBjg/edit#gid=934712705"",""ESENCIAL!A6:BG""),3,FALSE))"),"")</f>
        <v/>
      </c>
      <c r="H501" s="5" t="str">
        <f ca="1">IFERROR(__xludf.DUMMYFUNCTION("IFERROR(VLOOKUP(F518,IMPORTRANGE(""https://docs.google.com/spreadsheets/d/1Kvs4KS76FHFqLFIZfrDMff4kP08nblUkihrxltoGBjg/edit#gid=934712705"",""ESENCIAL!A6:BG""),8,FALSE))"),"")</f>
        <v/>
      </c>
      <c r="L501" s="287"/>
      <c r="S501"/>
      <c r="AU501" s="41" t="str">
        <f t="shared" si="40"/>
        <v/>
      </c>
      <c r="AV501" s="5" t="str">
        <f ca="1">IFERROR(__xludf.DUMMYFUNCTION("IFERROR(VLOOKUP(E518&amp;F518,IMPORTRANGE(""https://docs.google.com/spreadsheets/d/1Uw7-A9f9R21vMXxHZFNpYNeKFtG8_yji4HS352LGlSQ/edit?pli=1#gid=0"",""1_ACUM!A4:S""),11,FALSE))"),"")</f>
        <v/>
      </c>
      <c r="AW501" s="42" t="str">
        <f ca="1">IFERROR(__xludf.DUMMYFUNCTION("IFERROR(VLOOKUP(F518,IMPORTRANGE(""https://docs.google.com/spreadsheets/d/1Kvs4KS76FHFqLFIZfrDMff4kP08nblUkihrxltoGBjg/edit#gid=934712705"",""ESENCIAL!A6:BG""),15,FALSE))"),"")</f>
        <v/>
      </c>
      <c r="AX501" s="21" t="str">
        <f ca="1">IFERROR(__xludf.DUMMYFUNCTION("IFERROR(VLOOKUP(E518&amp;F518,IMPORTRANGE(""https://docs.google.com/spreadsheets/d/1Uw7-A9f9R21vMXxHZFNpYNeKFtG8_yji4HS352LGlSQ/edit?pli=1#gid=0"",""1_ACUM!A4:S""),12,FALSE))"),"")</f>
        <v/>
      </c>
      <c r="AY501" s="43" t="str">
        <f ca="1">IFERROR(__xludf.DUMMYFUNCTION("IFERROR(VLOOKUP(E518&amp;F518,IMPORTRANGE(""https://docs.google.com/spreadsheets/d/1Uw7-A9f9R21vMXxHZFNpYNeKFtG8_yji4HS352LGlSQ/edit?pli=1#gid=0"",""1_ACUM!A4:S""),13,FALSE))"),"")</f>
        <v/>
      </c>
      <c r="AZ501" s="43" t="str">
        <f ca="1">IFERROR(__xludf.DUMMYFUNCTION("IFERROR(VLOOKUP(E518&amp;F518,IMPORTRANGE(""https://docs.google.com/spreadsheets/d/1Uw7-A9f9R21vMXxHZFNpYNeKFtG8_yji4HS352LGlSQ/edit?pli=1#gid=0"",""1_ACUM!A4:S""),14,FALSE))"),"")</f>
        <v/>
      </c>
      <c r="BA501" s="43" t="str">
        <f ca="1">IFERROR(__xludf.DUMMYFUNCTION("IFERROR(VLOOKUP(E518&amp;F518,IMPORTRANGE(""https://docs.google.com/spreadsheets/d/1Uw7-A9f9R21vMXxHZFNpYNeKFtG8_yji4HS352LGlSQ/edit?pli=1#gid=0"",""1_ACUM!A4:S""),15,FALSE))"),"")</f>
        <v/>
      </c>
      <c r="BB501" s="43" t="str">
        <f ca="1">IFERROR(__xludf.DUMMYFUNCTION("IFERROR(VLOOKUP(E518&amp;F518,IMPORTRANGE(""https://docs.google.com/spreadsheets/d/1Uw7-A9f9R21vMXxHZFNpYNeKFtG8_yji4HS352LGlSQ/edit?pli=1#gid=0"",""1_ACUM!A4:S""),16,FALSE))"),"")</f>
        <v/>
      </c>
      <c r="BC501" s="43" t="str">
        <f ca="1">IFERROR(__xludf.DUMMYFUNCTION("IFERROR(VLOOKUP(E518&amp;F518,IMPORTRANGE(""https://docs.google.com/spreadsheets/d/1Uw7-A9f9R21vMXxHZFNpYNeKFtG8_yji4HS352LGlSQ/edit?pli=1#gid=0"",""1_ACUM!A4:S""),17,FALSE))"),"")</f>
        <v/>
      </c>
      <c r="BD501" s="44" t="str">
        <f ca="1">IFERROR(__xludf.DUMMYFUNCTION("IFERROR(VLOOKUP(E518&amp;F518,IMPORTRANGE(""https://docs.google.com/spreadsheets/d/1Uw7-A9f9R21vMXxHZFNpYNeKFtG8_yji4HS352LGlSQ/edit?pli=1#gid=0"",""1_ACUM!A4:S""),18,FALSE))"),"")</f>
        <v/>
      </c>
      <c r="BE501" s="44" t="str">
        <f ca="1">IFERROR(__xludf.DUMMYFUNCTION("IFERROR(VLOOKUP(E518&amp;F518,IMPORTRANGE(""https://docs.google.com/spreadsheets/d/1Uw7-A9f9R21vMXxHZFNpYNeKFtG8_yji4HS352LGlSQ/edit?pli=1#gid=0"",""1_ACUM!A4:S""),19,FALSE))"),"")</f>
        <v/>
      </c>
      <c r="BF501" s="44" t="str">
        <f ca="1">IFERROR(__xludf.DUMMYFUNCTION("IFERROR(VLOOKUP(F518,IMPORTRANGE(""https://docs.google.com/spreadsheets/d/1Kvs4KS76FHFqLFIZfrDMff4kP08nblUkihrxltoGBjg/edit#gid=934712705"",""ESENCIAL!A6:BG""),5,FALSE))"),"")</f>
        <v/>
      </c>
      <c r="BG501" s="44" t="str">
        <f t="shared" si="41"/>
        <v/>
      </c>
      <c r="BH501" s="41" t="str">
        <f t="shared" si="42"/>
        <v/>
      </c>
      <c r="BI501" s="41" t="str">
        <f ca="1">IFERROR(__xludf.DUMMYFUNCTION("IFERROR(VLOOKUP(F518,IMPORTRANGE(""https://docs.google.com/spreadsheets/d/1Kvs4KS76FHFqLFIZfrDMff4kP08nblUkihrxltoGBjg/edit#gid=934712705"",""ESENCIAL!A6:BG""),18,FALSE))"),"")</f>
        <v/>
      </c>
      <c r="BJ501" s="19" t="str">
        <f t="shared" si="43"/>
        <v/>
      </c>
      <c r="BK501" s="41"/>
      <c r="BL501" s="41"/>
    </row>
    <row r="502" spans="1:64" ht="15">
      <c r="A502" s="4"/>
      <c r="B502" s="4"/>
      <c r="G502" s="5" t="str">
        <f ca="1">IFERROR(__xludf.DUMMYFUNCTION("IFERROR(VLOOKUP(F519,IMPORTRANGE(""https://docs.google.com/spreadsheets/d/1Kvs4KS76FHFqLFIZfrDMff4kP08nblUkihrxltoGBjg/edit#gid=934712705"",""ESENCIAL!A6:BG""),3,FALSE))"),"")</f>
        <v/>
      </c>
      <c r="H502" s="5" t="str">
        <f ca="1">IFERROR(__xludf.DUMMYFUNCTION("IFERROR(VLOOKUP(F519,IMPORTRANGE(""https://docs.google.com/spreadsheets/d/1Kvs4KS76FHFqLFIZfrDMff4kP08nblUkihrxltoGBjg/edit#gid=934712705"",""ESENCIAL!A6:BG""),8,FALSE))"),"")</f>
        <v/>
      </c>
      <c r="L502" s="287"/>
      <c r="S502"/>
      <c r="AU502" s="41" t="str">
        <f t="shared" si="40"/>
        <v/>
      </c>
      <c r="AV502" s="5" t="str">
        <f ca="1">IFERROR(__xludf.DUMMYFUNCTION("IFERROR(VLOOKUP(E519&amp;F519,IMPORTRANGE(""https://docs.google.com/spreadsheets/d/1Uw7-A9f9R21vMXxHZFNpYNeKFtG8_yji4HS352LGlSQ/edit?pli=1#gid=0"",""1_ACUM!A4:S""),11,FALSE))"),"")</f>
        <v/>
      </c>
      <c r="AW502" s="42" t="str">
        <f ca="1">IFERROR(__xludf.DUMMYFUNCTION("IFERROR(VLOOKUP(F519,IMPORTRANGE(""https://docs.google.com/spreadsheets/d/1Kvs4KS76FHFqLFIZfrDMff4kP08nblUkihrxltoGBjg/edit#gid=934712705"",""ESENCIAL!A6:BG""),15,FALSE))"),"")</f>
        <v/>
      </c>
      <c r="AX502" s="21" t="str">
        <f ca="1">IFERROR(__xludf.DUMMYFUNCTION("IFERROR(VLOOKUP(E519&amp;F519,IMPORTRANGE(""https://docs.google.com/spreadsheets/d/1Uw7-A9f9R21vMXxHZFNpYNeKFtG8_yji4HS352LGlSQ/edit?pli=1#gid=0"",""1_ACUM!A4:S""),12,FALSE))"),"")</f>
        <v/>
      </c>
      <c r="AY502" s="43" t="str">
        <f ca="1">IFERROR(__xludf.DUMMYFUNCTION("IFERROR(VLOOKUP(E519&amp;F519,IMPORTRANGE(""https://docs.google.com/spreadsheets/d/1Uw7-A9f9R21vMXxHZFNpYNeKFtG8_yji4HS352LGlSQ/edit?pli=1#gid=0"",""1_ACUM!A4:S""),13,FALSE))"),"")</f>
        <v/>
      </c>
      <c r="AZ502" s="43" t="str">
        <f ca="1">IFERROR(__xludf.DUMMYFUNCTION("IFERROR(VLOOKUP(E519&amp;F519,IMPORTRANGE(""https://docs.google.com/spreadsheets/d/1Uw7-A9f9R21vMXxHZFNpYNeKFtG8_yji4HS352LGlSQ/edit?pli=1#gid=0"",""1_ACUM!A4:S""),14,FALSE))"),"")</f>
        <v/>
      </c>
      <c r="BA502" s="43" t="str">
        <f ca="1">IFERROR(__xludf.DUMMYFUNCTION("IFERROR(VLOOKUP(E519&amp;F519,IMPORTRANGE(""https://docs.google.com/spreadsheets/d/1Uw7-A9f9R21vMXxHZFNpYNeKFtG8_yji4HS352LGlSQ/edit?pli=1#gid=0"",""1_ACUM!A4:S""),15,FALSE))"),"")</f>
        <v/>
      </c>
      <c r="BB502" s="43" t="str">
        <f ca="1">IFERROR(__xludf.DUMMYFUNCTION("IFERROR(VLOOKUP(E519&amp;F519,IMPORTRANGE(""https://docs.google.com/spreadsheets/d/1Uw7-A9f9R21vMXxHZFNpYNeKFtG8_yji4HS352LGlSQ/edit?pli=1#gid=0"",""1_ACUM!A4:S""),16,FALSE))"),"")</f>
        <v/>
      </c>
      <c r="BC502" s="43" t="str">
        <f ca="1">IFERROR(__xludf.DUMMYFUNCTION("IFERROR(VLOOKUP(E519&amp;F519,IMPORTRANGE(""https://docs.google.com/spreadsheets/d/1Uw7-A9f9R21vMXxHZFNpYNeKFtG8_yji4HS352LGlSQ/edit?pli=1#gid=0"",""1_ACUM!A4:S""),17,FALSE))"),"")</f>
        <v/>
      </c>
      <c r="BD502" s="44" t="str">
        <f ca="1">IFERROR(__xludf.DUMMYFUNCTION("IFERROR(VLOOKUP(E519&amp;F519,IMPORTRANGE(""https://docs.google.com/spreadsheets/d/1Uw7-A9f9R21vMXxHZFNpYNeKFtG8_yji4HS352LGlSQ/edit?pli=1#gid=0"",""1_ACUM!A4:S""),18,FALSE))"),"")</f>
        <v/>
      </c>
      <c r="BE502" s="44" t="str">
        <f ca="1">IFERROR(__xludf.DUMMYFUNCTION("IFERROR(VLOOKUP(E519&amp;F519,IMPORTRANGE(""https://docs.google.com/spreadsheets/d/1Uw7-A9f9R21vMXxHZFNpYNeKFtG8_yji4HS352LGlSQ/edit?pli=1#gid=0"",""1_ACUM!A4:S""),19,FALSE))"),"")</f>
        <v/>
      </c>
      <c r="BF502" s="44" t="str">
        <f ca="1">IFERROR(__xludf.DUMMYFUNCTION("IFERROR(VLOOKUP(F519,IMPORTRANGE(""https://docs.google.com/spreadsheets/d/1Kvs4KS76FHFqLFIZfrDMff4kP08nblUkihrxltoGBjg/edit#gid=934712705"",""ESENCIAL!A6:BG""),5,FALSE))"),"")</f>
        <v/>
      </c>
      <c r="BG502" s="44" t="str">
        <f t="shared" si="41"/>
        <v/>
      </c>
      <c r="BH502" s="41" t="str">
        <f t="shared" si="42"/>
        <v/>
      </c>
      <c r="BI502" s="41" t="str">
        <f ca="1">IFERROR(__xludf.DUMMYFUNCTION("IFERROR(VLOOKUP(F519,IMPORTRANGE(""https://docs.google.com/spreadsheets/d/1Kvs4KS76FHFqLFIZfrDMff4kP08nblUkihrxltoGBjg/edit#gid=934712705"",""ESENCIAL!A6:BG""),18,FALSE))"),"")</f>
        <v/>
      </c>
      <c r="BJ502" s="19" t="str">
        <f t="shared" si="43"/>
        <v/>
      </c>
      <c r="BK502" s="41"/>
      <c r="BL502" s="41"/>
    </row>
    <row r="503" spans="1:64" ht="15">
      <c r="A503" s="4"/>
      <c r="B503" s="4"/>
      <c r="G503" s="5" t="str">
        <f ca="1">IFERROR(__xludf.DUMMYFUNCTION("IFERROR(VLOOKUP(F520,IMPORTRANGE(""https://docs.google.com/spreadsheets/d/1Kvs4KS76FHFqLFIZfrDMff4kP08nblUkihrxltoGBjg/edit#gid=934712705"",""ESENCIAL!A6:BG""),3,FALSE))"),"")</f>
        <v/>
      </c>
      <c r="H503" s="5" t="str">
        <f ca="1">IFERROR(__xludf.DUMMYFUNCTION("IFERROR(VLOOKUP(F520,IMPORTRANGE(""https://docs.google.com/spreadsheets/d/1Kvs4KS76FHFqLFIZfrDMff4kP08nblUkihrxltoGBjg/edit#gid=934712705"",""ESENCIAL!A6:BG""),8,FALSE))"),"")</f>
        <v/>
      </c>
      <c r="L503" s="287"/>
      <c r="S503"/>
      <c r="AU503" s="41" t="str">
        <f t="shared" si="40"/>
        <v/>
      </c>
      <c r="AV503" s="5" t="str">
        <f ca="1">IFERROR(__xludf.DUMMYFUNCTION("IFERROR(VLOOKUP(E520&amp;F520,IMPORTRANGE(""https://docs.google.com/spreadsheets/d/1Uw7-A9f9R21vMXxHZFNpYNeKFtG8_yji4HS352LGlSQ/edit?pli=1#gid=0"",""1_ACUM!A4:S""),11,FALSE))"),"")</f>
        <v/>
      </c>
      <c r="AW503" s="42" t="str">
        <f ca="1">IFERROR(__xludf.DUMMYFUNCTION("IFERROR(VLOOKUP(F520,IMPORTRANGE(""https://docs.google.com/spreadsheets/d/1Kvs4KS76FHFqLFIZfrDMff4kP08nblUkihrxltoGBjg/edit#gid=934712705"",""ESENCIAL!A6:BG""),15,FALSE))"),"")</f>
        <v/>
      </c>
      <c r="AX503" s="21" t="str">
        <f ca="1">IFERROR(__xludf.DUMMYFUNCTION("IFERROR(VLOOKUP(E520&amp;F520,IMPORTRANGE(""https://docs.google.com/spreadsheets/d/1Uw7-A9f9R21vMXxHZFNpYNeKFtG8_yji4HS352LGlSQ/edit?pli=1#gid=0"",""1_ACUM!A4:S""),12,FALSE))"),"")</f>
        <v/>
      </c>
      <c r="AY503" s="43" t="str">
        <f ca="1">IFERROR(__xludf.DUMMYFUNCTION("IFERROR(VLOOKUP(E520&amp;F520,IMPORTRANGE(""https://docs.google.com/spreadsheets/d/1Uw7-A9f9R21vMXxHZFNpYNeKFtG8_yji4HS352LGlSQ/edit?pli=1#gid=0"",""1_ACUM!A4:S""),13,FALSE))"),"")</f>
        <v/>
      </c>
      <c r="AZ503" s="43" t="str">
        <f ca="1">IFERROR(__xludf.DUMMYFUNCTION("IFERROR(VLOOKUP(E520&amp;F520,IMPORTRANGE(""https://docs.google.com/spreadsheets/d/1Uw7-A9f9R21vMXxHZFNpYNeKFtG8_yji4HS352LGlSQ/edit?pli=1#gid=0"",""1_ACUM!A4:S""),14,FALSE))"),"")</f>
        <v/>
      </c>
      <c r="BA503" s="43" t="str">
        <f ca="1">IFERROR(__xludf.DUMMYFUNCTION("IFERROR(VLOOKUP(E520&amp;F520,IMPORTRANGE(""https://docs.google.com/spreadsheets/d/1Uw7-A9f9R21vMXxHZFNpYNeKFtG8_yji4HS352LGlSQ/edit?pli=1#gid=0"",""1_ACUM!A4:S""),15,FALSE))"),"")</f>
        <v/>
      </c>
      <c r="BB503" s="43" t="str">
        <f ca="1">IFERROR(__xludf.DUMMYFUNCTION("IFERROR(VLOOKUP(E520&amp;F520,IMPORTRANGE(""https://docs.google.com/spreadsheets/d/1Uw7-A9f9R21vMXxHZFNpYNeKFtG8_yji4HS352LGlSQ/edit?pli=1#gid=0"",""1_ACUM!A4:S""),16,FALSE))"),"")</f>
        <v/>
      </c>
      <c r="BC503" s="43" t="str">
        <f ca="1">IFERROR(__xludf.DUMMYFUNCTION("IFERROR(VLOOKUP(E520&amp;F520,IMPORTRANGE(""https://docs.google.com/spreadsheets/d/1Uw7-A9f9R21vMXxHZFNpYNeKFtG8_yji4HS352LGlSQ/edit?pli=1#gid=0"",""1_ACUM!A4:S""),17,FALSE))"),"")</f>
        <v/>
      </c>
      <c r="BD503" s="44" t="str">
        <f ca="1">IFERROR(__xludf.DUMMYFUNCTION("IFERROR(VLOOKUP(E520&amp;F520,IMPORTRANGE(""https://docs.google.com/spreadsheets/d/1Uw7-A9f9R21vMXxHZFNpYNeKFtG8_yji4HS352LGlSQ/edit?pli=1#gid=0"",""1_ACUM!A4:S""),18,FALSE))"),"")</f>
        <v/>
      </c>
      <c r="BE503" s="44" t="str">
        <f ca="1">IFERROR(__xludf.DUMMYFUNCTION("IFERROR(VLOOKUP(E520&amp;F520,IMPORTRANGE(""https://docs.google.com/spreadsheets/d/1Uw7-A9f9R21vMXxHZFNpYNeKFtG8_yji4HS352LGlSQ/edit?pli=1#gid=0"",""1_ACUM!A4:S""),19,FALSE))"),"")</f>
        <v/>
      </c>
      <c r="BF503" s="44" t="str">
        <f ca="1">IFERROR(__xludf.DUMMYFUNCTION("IFERROR(VLOOKUP(F520,IMPORTRANGE(""https://docs.google.com/spreadsheets/d/1Kvs4KS76FHFqLFIZfrDMff4kP08nblUkihrxltoGBjg/edit#gid=934712705"",""ESENCIAL!A6:BG""),5,FALSE))"),"")</f>
        <v/>
      </c>
      <c r="BG503" s="44" t="str">
        <f t="shared" si="41"/>
        <v/>
      </c>
      <c r="BH503" s="41" t="str">
        <f t="shared" si="42"/>
        <v/>
      </c>
      <c r="BI503" s="41" t="str">
        <f ca="1">IFERROR(__xludf.DUMMYFUNCTION("IFERROR(VLOOKUP(F520,IMPORTRANGE(""https://docs.google.com/spreadsheets/d/1Kvs4KS76FHFqLFIZfrDMff4kP08nblUkihrxltoGBjg/edit#gid=934712705"",""ESENCIAL!A6:BG""),18,FALSE))"),"")</f>
        <v/>
      </c>
      <c r="BJ503" s="19" t="str">
        <f t="shared" si="43"/>
        <v/>
      </c>
      <c r="BK503" s="41"/>
      <c r="BL503" s="41"/>
    </row>
    <row r="504" spans="1:64" ht="15">
      <c r="A504" s="4"/>
      <c r="B504" s="4"/>
      <c r="G504" s="5" t="str">
        <f ca="1">IFERROR(__xludf.DUMMYFUNCTION("IFERROR(VLOOKUP(F521,IMPORTRANGE(""https://docs.google.com/spreadsheets/d/1Kvs4KS76FHFqLFIZfrDMff4kP08nblUkihrxltoGBjg/edit#gid=934712705"",""ESENCIAL!A6:BG""),3,FALSE))"),"")</f>
        <v/>
      </c>
      <c r="H504" s="5" t="str">
        <f ca="1">IFERROR(__xludf.DUMMYFUNCTION("IFERROR(VLOOKUP(F521,IMPORTRANGE(""https://docs.google.com/spreadsheets/d/1Kvs4KS76FHFqLFIZfrDMff4kP08nblUkihrxltoGBjg/edit#gid=934712705"",""ESENCIAL!A6:BG""),8,FALSE))"),"")</f>
        <v/>
      </c>
      <c r="L504" s="287"/>
      <c r="S504"/>
      <c r="AU504" s="41" t="str">
        <f t="shared" si="40"/>
        <v/>
      </c>
      <c r="AV504" s="5" t="str">
        <f ca="1">IFERROR(__xludf.DUMMYFUNCTION("IFERROR(VLOOKUP(E521&amp;F521,IMPORTRANGE(""https://docs.google.com/spreadsheets/d/1Uw7-A9f9R21vMXxHZFNpYNeKFtG8_yji4HS352LGlSQ/edit?pli=1#gid=0"",""1_ACUM!A4:S""),11,FALSE))"),"")</f>
        <v/>
      </c>
      <c r="AW504" s="42" t="str">
        <f ca="1">IFERROR(__xludf.DUMMYFUNCTION("IFERROR(VLOOKUP(F521,IMPORTRANGE(""https://docs.google.com/spreadsheets/d/1Kvs4KS76FHFqLFIZfrDMff4kP08nblUkihrxltoGBjg/edit#gid=934712705"",""ESENCIAL!A6:BG""),15,FALSE))"),"")</f>
        <v/>
      </c>
      <c r="AX504" s="21" t="str">
        <f ca="1">IFERROR(__xludf.DUMMYFUNCTION("IFERROR(VLOOKUP(E521&amp;F521,IMPORTRANGE(""https://docs.google.com/spreadsheets/d/1Uw7-A9f9R21vMXxHZFNpYNeKFtG8_yji4HS352LGlSQ/edit?pli=1#gid=0"",""1_ACUM!A4:S""),12,FALSE))"),"")</f>
        <v/>
      </c>
      <c r="AY504" s="43" t="str">
        <f ca="1">IFERROR(__xludf.DUMMYFUNCTION("IFERROR(VLOOKUP(E521&amp;F521,IMPORTRANGE(""https://docs.google.com/spreadsheets/d/1Uw7-A9f9R21vMXxHZFNpYNeKFtG8_yji4HS352LGlSQ/edit?pli=1#gid=0"",""1_ACUM!A4:S""),13,FALSE))"),"")</f>
        <v/>
      </c>
      <c r="AZ504" s="43" t="str">
        <f ca="1">IFERROR(__xludf.DUMMYFUNCTION("IFERROR(VLOOKUP(E521&amp;F521,IMPORTRANGE(""https://docs.google.com/spreadsheets/d/1Uw7-A9f9R21vMXxHZFNpYNeKFtG8_yji4HS352LGlSQ/edit?pli=1#gid=0"",""1_ACUM!A4:S""),14,FALSE))"),"")</f>
        <v/>
      </c>
      <c r="BA504" s="43" t="str">
        <f ca="1">IFERROR(__xludf.DUMMYFUNCTION("IFERROR(VLOOKUP(E521&amp;F521,IMPORTRANGE(""https://docs.google.com/spreadsheets/d/1Uw7-A9f9R21vMXxHZFNpYNeKFtG8_yji4HS352LGlSQ/edit?pli=1#gid=0"",""1_ACUM!A4:S""),15,FALSE))"),"")</f>
        <v/>
      </c>
      <c r="BB504" s="43" t="str">
        <f ca="1">IFERROR(__xludf.DUMMYFUNCTION("IFERROR(VLOOKUP(E521&amp;F521,IMPORTRANGE(""https://docs.google.com/spreadsheets/d/1Uw7-A9f9R21vMXxHZFNpYNeKFtG8_yji4HS352LGlSQ/edit?pli=1#gid=0"",""1_ACUM!A4:S""),16,FALSE))"),"")</f>
        <v/>
      </c>
      <c r="BC504" s="43" t="str">
        <f ca="1">IFERROR(__xludf.DUMMYFUNCTION("IFERROR(VLOOKUP(E521&amp;F521,IMPORTRANGE(""https://docs.google.com/spreadsheets/d/1Uw7-A9f9R21vMXxHZFNpYNeKFtG8_yji4HS352LGlSQ/edit?pli=1#gid=0"",""1_ACUM!A4:S""),17,FALSE))"),"")</f>
        <v/>
      </c>
      <c r="BD504" s="44" t="str">
        <f ca="1">IFERROR(__xludf.DUMMYFUNCTION("IFERROR(VLOOKUP(E521&amp;F521,IMPORTRANGE(""https://docs.google.com/spreadsheets/d/1Uw7-A9f9R21vMXxHZFNpYNeKFtG8_yji4HS352LGlSQ/edit?pli=1#gid=0"",""1_ACUM!A4:S""),18,FALSE))"),"")</f>
        <v/>
      </c>
      <c r="BE504" s="44" t="str">
        <f ca="1">IFERROR(__xludf.DUMMYFUNCTION("IFERROR(VLOOKUP(E521&amp;F521,IMPORTRANGE(""https://docs.google.com/spreadsheets/d/1Uw7-A9f9R21vMXxHZFNpYNeKFtG8_yji4HS352LGlSQ/edit?pli=1#gid=0"",""1_ACUM!A4:S""),19,FALSE))"),"")</f>
        <v/>
      </c>
      <c r="BF504" s="44" t="str">
        <f ca="1">IFERROR(__xludf.DUMMYFUNCTION("IFERROR(VLOOKUP(F521,IMPORTRANGE(""https://docs.google.com/spreadsheets/d/1Kvs4KS76FHFqLFIZfrDMff4kP08nblUkihrxltoGBjg/edit#gid=934712705"",""ESENCIAL!A6:BG""),5,FALSE))"),"")</f>
        <v/>
      </c>
      <c r="BG504" s="44" t="str">
        <f t="shared" si="41"/>
        <v/>
      </c>
      <c r="BH504" s="41" t="str">
        <f t="shared" si="42"/>
        <v/>
      </c>
      <c r="BI504" s="41" t="str">
        <f ca="1">IFERROR(__xludf.DUMMYFUNCTION("IFERROR(VLOOKUP(F521,IMPORTRANGE(""https://docs.google.com/spreadsheets/d/1Kvs4KS76FHFqLFIZfrDMff4kP08nblUkihrxltoGBjg/edit#gid=934712705"",""ESENCIAL!A6:BG""),18,FALSE))"),"")</f>
        <v/>
      </c>
      <c r="BJ504" s="19" t="str">
        <f t="shared" si="43"/>
        <v/>
      </c>
      <c r="BK504" s="41"/>
      <c r="BL504" s="41"/>
    </row>
    <row r="505" spans="1:64" ht="15">
      <c r="A505" s="4"/>
      <c r="B505" s="4"/>
      <c r="G505" s="5" t="str">
        <f ca="1">IFERROR(__xludf.DUMMYFUNCTION("IFERROR(VLOOKUP(F522,IMPORTRANGE(""https://docs.google.com/spreadsheets/d/1Kvs4KS76FHFqLFIZfrDMff4kP08nblUkihrxltoGBjg/edit#gid=934712705"",""ESENCIAL!A6:BG""),3,FALSE))"),"")</f>
        <v/>
      </c>
      <c r="H505" s="5" t="str">
        <f ca="1">IFERROR(__xludf.DUMMYFUNCTION("IFERROR(VLOOKUP(F522,IMPORTRANGE(""https://docs.google.com/spreadsheets/d/1Kvs4KS76FHFqLFIZfrDMff4kP08nblUkihrxltoGBjg/edit#gid=934712705"",""ESENCIAL!A6:BG""),8,FALSE))"),"")</f>
        <v/>
      </c>
      <c r="L505" s="287"/>
      <c r="S505"/>
      <c r="AU505" s="41" t="str">
        <f t="shared" si="40"/>
        <v/>
      </c>
      <c r="AV505" s="5" t="str">
        <f ca="1">IFERROR(__xludf.DUMMYFUNCTION("IFERROR(VLOOKUP(E522&amp;F522,IMPORTRANGE(""https://docs.google.com/spreadsheets/d/1Uw7-A9f9R21vMXxHZFNpYNeKFtG8_yji4HS352LGlSQ/edit?pli=1#gid=0"",""1_ACUM!A4:S""),11,FALSE))"),"")</f>
        <v/>
      </c>
      <c r="AW505" s="42" t="str">
        <f ca="1">IFERROR(__xludf.DUMMYFUNCTION("IFERROR(VLOOKUP(F522,IMPORTRANGE(""https://docs.google.com/spreadsheets/d/1Kvs4KS76FHFqLFIZfrDMff4kP08nblUkihrxltoGBjg/edit#gid=934712705"",""ESENCIAL!A6:BG""),15,FALSE))"),"")</f>
        <v/>
      </c>
      <c r="AX505" s="21" t="str">
        <f ca="1">IFERROR(__xludf.DUMMYFUNCTION("IFERROR(VLOOKUP(E522&amp;F522,IMPORTRANGE(""https://docs.google.com/spreadsheets/d/1Uw7-A9f9R21vMXxHZFNpYNeKFtG8_yji4HS352LGlSQ/edit?pli=1#gid=0"",""1_ACUM!A4:S""),12,FALSE))"),"")</f>
        <v/>
      </c>
      <c r="AY505" s="43" t="str">
        <f ca="1">IFERROR(__xludf.DUMMYFUNCTION("IFERROR(VLOOKUP(E522&amp;F522,IMPORTRANGE(""https://docs.google.com/spreadsheets/d/1Uw7-A9f9R21vMXxHZFNpYNeKFtG8_yji4HS352LGlSQ/edit?pli=1#gid=0"",""1_ACUM!A4:S""),13,FALSE))"),"")</f>
        <v/>
      </c>
      <c r="AZ505" s="43" t="str">
        <f ca="1">IFERROR(__xludf.DUMMYFUNCTION("IFERROR(VLOOKUP(E522&amp;F522,IMPORTRANGE(""https://docs.google.com/spreadsheets/d/1Uw7-A9f9R21vMXxHZFNpYNeKFtG8_yji4HS352LGlSQ/edit?pli=1#gid=0"",""1_ACUM!A4:S""),14,FALSE))"),"")</f>
        <v/>
      </c>
      <c r="BA505" s="43" t="str">
        <f ca="1">IFERROR(__xludf.DUMMYFUNCTION("IFERROR(VLOOKUP(E522&amp;F522,IMPORTRANGE(""https://docs.google.com/spreadsheets/d/1Uw7-A9f9R21vMXxHZFNpYNeKFtG8_yji4HS352LGlSQ/edit?pli=1#gid=0"",""1_ACUM!A4:S""),15,FALSE))"),"")</f>
        <v/>
      </c>
      <c r="BB505" s="43" t="str">
        <f ca="1">IFERROR(__xludf.DUMMYFUNCTION("IFERROR(VLOOKUP(E522&amp;F522,IMPORTRANGE(""https://docs.google.com/spreadsheets/d/1Uw7-A9f9R21vMXxHZFNpYNeKFtG8_yji4HS352LGlSQ/edit?pli=1#gid=0"",""1_ACUM!A4:S""),16,FALSE))"),"")</f>
        <v/>
      </c>
      <c r="BC505" s="43" t="str">
        <f ca="1">IFERROR(__xludf.DUMMYFUNCTION("IFERROR(VLOOKUP(E522&amp;F522,IMPORTRANGE(""https://docs.google.com/spreadsheets/d/1Uw7-A9f9R21vMXxHZFNpYNeKFtG8_yji4HS352LGlSQ/edit?pli=1#gid=0"",""1_ACUM!A4:S""),17,FALSE))"),"")</f>
        <v/>
      </c>
      <c r="BD505" s="44" t="str">
        <f ca="1">IFERROR(__xludf.DUMMYFUNCTION("IFERROR(VLOOKUP(E522&amp;F522,IMPORTRANGE(""https://docs.google.com/spreadsheets/d/1Uw7-A9f9R21vMXxHZFNpYNeKFtG8_yji4HS352LGlSQ/edit?pli=1#gid=0"",""1_ACUM!A4:S""),18,FALSE))"),"")</f>
        <v/>
      </c>
      <c r="BE505" s="44" t="str">
        <f ca="1">IFERROR(__xludf.DUMMYFUNCTION("IFERROR(VLOOKUP(E522&amp;F522,IMPORTRANGE(""https://docs.google.com/spreadsheets/d/1Uw7-A9f9R21vMXxHZFNpYNeKFtG8_yji4HS352LGlSQ/edit?pli=1#gid=0"",""1_ACUM!A4:S""),19,FALSE))"),"")</f>
        <v/>
      </c>
      <c r="BF505" s="44" t="str">
        <f ca="1">IFERROR(__xludf.DUMMYFUNCTION("IFERROR(VLOOKUP(F522,IMPORTRANGE(""https://docs.google.com/spreadsheets/d/1Kvs4KS76FHFqLFIZfrDMff4kP08nblUkihrxltoGBjg/edit#gid=934712705"",""ESENCIAL!A6:BG""),5,FALSE))"),"")</f>
        <v/>
      </c>
      <c r="BG505" s="44" t="str">
        <f t="shared" si="41"/>
        <v/>
      </c>
      <c r="BH505" s="41" t="str">
        <f t="shared" si="42"/>
        <v/>
      </c>
      <c r="BI505" s="41" t="str">
        <f ca="1">IFERROR(__xludf.DUMMYFUNCTION("IFERROR(VLOOKUP(F522,IMPORTRANGE(""https://docs.google.com/spreadsheets/d/1Kvs4KS76FHFqLFIZfrDMff4kP08nblUkihrxltoGBjg/edit#gid=934712705"",""ESENCIAL!A6:BG""),18,FALSE))"),"")</f>
        <v/>
      </c>
      <c r="BJ505" s="19" t="str">
        <f t="shared" si="43"/>
        <v/>
      </c>
      <c r="BK505" s="41"/>
      <c r="BL505" s="41"/>
    </row>
    <row r="506" spans="1:64" ht="15">
      <c r="A506" s="4"/>
      <c r="B506" s="4"/>
      <c r="G506" s="5" t="str">
        <f ca="1">IFERROR(__xludf.DUMMYFUNCTION("IFERROR(VLOOKUP(F523,IMPORTRANGE(""https://docs.google.com/spreadsheets/d/1Kvs4KS76FHFqLFIZfrDMff4kP08nblUkihrxltoGBjg/edit#gid=934712705"",""ESENCIAL!A6:BG""),3,FALSE))"),"")</f>
        <v/>
      </c>
      <c r="H506" s="5" t="str">
        <f ca="1">IFERROR(__xludf.DUMMYFUNCTION("IFERROR(VLOOKUP(F523,IMPORTRANGE(""https://docs.google.com/spreadsheets/d/1Kvs4KS76FHFqLFIZfrDMff4kP08nblUkihrxltoGBjg/edit#gid=934712705"",""ESENCIAL!A6:BG""),8,FALSE))"),"")</f>
        <v/>
      </c>
      <c r="L506" s="287"/>
      <c r="S506"/>
      <c r="AU506" s="41" t="str">
        <f t="shared" si="40"/>
        <v/>
      </c>
      <c r="AV506" s="5" t="str">
        <f ca="1">IFERROR(__xludf.DUMMYFUNCTION("IFERROR(VLOOKUP(E523&amp;F523,IMPORTRANGE(""https://docs.google.com/spreadsheets/d/1Uw7-A9f9R21vMXxHZFNpYNeKFtG8_yji4HS352LGlSQ/edit?pli=1#gid=0"",""1_ACUM!A4:S""),11,FALSE))"),"")</f>
        <v/>
      </c>
      <c r="AW506" s="42" t="str">
        <f ca="1">IFERROR(__xludf.DUMMYFUNCTION("IFERROR(VLOOKUP(F523,IMPORTRANGE(""https://docs.google.com/spreadsheets/d/1Kvs4KS76FHFqLFIZfrDMff4kP08nblUkihrxltoGBjg/edit#gid=934712705"",""ESENCIAL!A6:BG""),15,FALSE))"),"")</f>
        <v/>
      </c>
      <c r="AX506" s="21" t="str">
        <f ca="1">IFERROR(__xludf.DUMMYFUNCTION("IFERROR(VLOOKUP(E523&amp;F523,IMPORTRANGE(""https://docs.google.com/spreadsheets/d/1Uw7-A9f9R21vMXxHZFNpYNeKFtG8_yji4HS352LGlSQ/edit?pli=1#gid=0"",""1_ACUM!A4:S""),12,FALSE))"),"")</f>
        <v/>
      </c>
      <c r="AY506" s="43" t="str">
        <f ca="1">IFERROR(__xludf.DUMMYFUNCTION("IFERROR(VLOOKUP(E523&amp;F523,IMPORTRANGE(""https://docs.google.com/spreadsheets/d/1Uw7-A9f9R21vMXxHZFNpYNeKFtG8_yji4HS352LGlSQ/edit?pli=1#gid=0"",""1_ACUM!A4:S""),13,FALSE))"),"")</f>
        <v/>
      </c>
      <c r="AZ506" s="43" t="str">
        <f ca="1">IFERROR(__xludf.DUMMYFUNCTION("IFERROR(VLOOKUP(E523&amp;F523,IMPORTRANGE(""https://docs.google.com/spreadsheets/d/1Uw7-A9f9R21vMXxHZFNpYNeKFtG8_yji4HS352LGlSQ/edit?pli=1#gid=0"",""1_ACUM!A4:S""),14,FALSE))"),"")</f>
        <v/>
      </c>
      <c r="BA506" s="43" t="str">
        <f ca="1">IFERROR(__xludf.DUMMYFUNCTION("IFERROR(VLOOKUP(E523&amp;F523,IMPORTRANGE(""https://docs.google.com/spreadsheets/d/1Uw7-A9f9R21vMXxHZFNpYNeKFtG8_yji4HS352LGlSQ/edit?pli=1#gid=0"",""1_ACUM!A4:S""),15,FALSE))"),"")</f>
        <v/>
      </c>
      <c r="BB506" s="43" t="str">
        <f ca="1">IFERROR(__xludf.DUMMYFUNCTION("IFERROR(VLOOKUP(E523&amp;F523,IMPORTRANGE(""https://docs.google.com/spreadsheets/d/1Uw7-A9f9R21vMXxHZFNpYNeKFtG8_yji4HS352LGlSQ/edit?pli=1#gid=0"",""1_ACUM!A4:S""),16,FALSE))"),"")</f>
        <v/>
      </c>
      <c r="BC506" s="43" t="str">
        <f ca="1">IFERROR(__xludf.DUMMYFUNCTION("IFERROR(VLOOKUP(E523&amp;F523,IMPORTRANGE(""https://docs.google.com/spreadsheets/d/1Uw7-A9f9R21vMXxHZFNpYNeKFtG8_yji4HS352LGlSQ/edit?pli=1#gid=0"",""1_ACUM!A4:S""),17,FALSE))"),"")</f>
        <v/>
      </c>
      <c r="BD506" s="44" t="str">
        <f ca="1">IFERROR(__xludf.DUMMYFUNCTION("IFERROR(VLOOKUP(E523&amp;F523,IMPORTRANGE(""https://docs.google.com/spreadsheets/d/1Uw7-A9f9R21vMXxHZFNpYNeKFtG8_yji4HS352LGlSQ/edit?pli=1#gid=0"",""1_ACUM!A4:S""),18,FALSE))"),"")</f>
        <v/>
      </c>
      <c r="BE506" s="44" t="str">
        <f ca="1">IFERROR(__xludf.DUMMYFUNCTION("IFERROR(VLOOKUP(E523&amp;F523,IMPORTRANGE(""https://docs.google.com/spreadsheets/d/1Uw7-A9f9R21vMXxHZFNpYNeKFtG8_yji4HS352LGlSQ/edit?pli=1#gid=0"",""1_ACUM!A4:S""),19,FALSE))"),"")</f>
        <v/>
      </c>
      <c r="BF506" s="44" t="str">
        <f ca="1">IFERROR(__xludf.DUMMYFUNCTION("IFERROR(VLOOKUP(F523,IMPORTRANGE(""https://docs.google.com/spreadsheets/d/1Kvs4KS76FHFqLFIZfrDMff4kP08nblUkihrxltoGBjg/edit#gid=934712705"",""ESENCIAL!A6:BG""),5,FALSE))"),"")</f>
        <v/>
      </c>
      <c r="BG506" s="44" t="str">
        <f t="shared" si="41"/>
        <v/>
      </c>
      <c r="BH506" s="41" t="str">
        <f t="shared" si="42"/>
        <v/>
      </c>
      <c r="BI506" s="41" t="str">
        <f ca="1">IFERROR(__xludf.DUMMYFUNCTION("IFERROR(VLOOKUP(F523,IMPORTRANGE(""https://docs.google.com/spreadsheets/d/1Kvs4KS76FHFqLFIZfrDMff4kP08nblUkihrxltoGBjg/edit#gid=934712705"",""ESENCIAL!A6:BG""),18,FALSE))"),"")</f>
        <v/>
      </c>
      <c r="BJ506" s="19" t="str">
        <f t="shared" si="43"/>
        <v/>
      </c>
      <c r="BK506" s="41"/>
      <c r="BL506" s="41"/>
    </row>
    <row r="507" spans="1:64" ht="15">
      <c r="A507" s="4"/>
      <c r="B507" s="4"/>
      <c r="G507" s="5" t="str">
        <f ca="1">IFERROR(__xludf.DUMMYFUNCTION("IFERROR(VLOOKUP(F524,IMPORTRANGE(""https://docs.google.com/spreadsheets/d/1Kvs4KS76FHFqLFIZfrDMff4kP08nblUkihrxltoGBjg/edit#gid=934712705"",""ESENCIAL!A6:BG""),3,FALSE))"),"")</f>
        <v/>
      </c>
      <c r="H507" s="5" t="str">
        <f ca="1">IFERROR(__xludf.DUMMYFUNCTION("IFERROR(VLOOKUP(F524,IMPORTRANGE(""https://docs.google.com/spreadsheets/d/1Kvs4KS76FHFqLFIZfrDMff4kP08nblUkihrxltoGBjg/edit#gid=934712705"",""ESENCIAL!A6:BG""),8,FALSE))"),"")</f>
        <v/>
      </c>
      <c r="L507" s="287"/>
      <c r="S507"/>
      <c r="AU507" s="41" t="str">
        <f t="shared" si="40"/>
        <v/>
      </c>
      <c r="AV507" s="5" t="str">
        <f ca="1">IFERROR(__xludf.DUMMYFUNCTION("IFERROR(VLOOKUP(E524&amp;F524,IMPORTRANGE(""https://docs.google.com/spreadsheets/d/1Uw7-A9f9R21vMXxHZFNpYNeKFtG8_yji4HS352LGlSQ/edit?pli=1#gid=0"",""1_ACUM!A4:S""),11,FALSE))"),"")</f>
        <v/>
      </c>
      <c r="AW507" s="42" t="str">
        <f ca="1">IFERROR(__xludf.DUMMYFUNCTION("IFERROR(VLOOKUP(F524,IMPORTRANGE(""https://docs.google.com/spreadsheets/d/1Kvs4KS76FHFqLFIZfrDMff4kP08nblUkihrxltoGBjg/edit#gid=934712705"",""ESENCIAL!A6:BG""),15,FALSE))"),"")</f>
        <v/>
      </c>
      <c r="AX507" s="21" t="str">
        <f ca="1">IFERROR(__xludf.DUMMYFUNCTION("IFERROR(VLOOKUP(E524&amp;F524,IMPORTRANGE(""https://docs.google.com/spreadsheets/d/1Uw7-A9f9R21vMXxHZFNpYNeKFtG8_yji4HS352LGlSQ/edit?pli=1#gid=0"",""1_ACUM!A4:S""),12,FALSE))"),"")</f>
        <v/>
      </c>
      <c r="AY507" s="43" t="str">
        <f ca="1">IFERROR(__xludf.DUMMYFUNCTION("IFERROR(VLOOKUP(E524&amp;F524,IMPORTRANGE(""https://docs.google.com/spreadsheets/d/1Uw7-A9f9R21vMXxHZFNpYNeKFtG8_yji4HS352LGlSQ/edit?pli=1#gid=0"",""1_ACUM!A4:S""),13,FALSE))"),"")</f>
        <v/>
      </c>
      <c r="AZ507" s="43" t="str">
        <f ca="1">IFERROR(__xludf.DUMMYFUNCTION("IFERROR(VLOOKUP(E524&amp;F524,IMPORTRANGE(""https://docs.google.com/spreadsheets/d/1Uw7-A9f9R21vMXxHZFNpYNeKFtG8_yji4HS352LGlSQ/edit?pli=1#gid=0"",""1_ACUM!A4:S""),14,FALSE))"),"")</f>
        <v/>
      </c>
      <c r="BA507" s="43" t="str">
        <f ca="1">IFERROR(__xludf.DUMMYFUNCTION("IFERROR(VLOOKUP(E524&amp;F524,IMPORTRANGE(""https://docs.google.com/spreadsheets/d/1Uw7-A9f9R21vMXxHZFNpYNeKFtG8_yji4HS352LGlSQ/edit?pli=1#gid=0"",""1_ACUM!A4:S""),15,FALSE))"),"")</f>
        <v/>
      </c>
      <c r="BB507" s="43" t="str">
        <f ca="1">IFERROR(__xludf.DUMMYFUNCTION("IFERROR(VLOOKUP(E524&amp;F524,IMPORTRANGE(""https://docs.google.com/spreadsheets/d/1Uw7-A9f9R21vMXxHZFNpYNeKFtG8_yji4HS352LGlSQ/edit?pli=1#gid=0"",""1_ACUM!A4:S""),16,FALSE))"),"")</f>
        <v/>
      </c>
      <c r="BC507" s="43" t="str">
        <f ca="1">IFERROR(__xludf.DUMMYFUNCTION("IFERROR(VLOOKUP(E524&amp;F524,IMPORTRANGE(""https://docs.google.com/spreadsheets/d/1Uw7-A9f9R21vMXxHZFNpYNeKFtG8_yji4HS352LGlSQ/edit?pli=1#gid=0"",""1_ACUM!A4:S""),17,FALSE))"),"")</f>
        <v/>
      </c>
      <c r="BD507" s="44" t="str">
        <f ca="1">IFERROR(__xludf.DUMMYFUNCTION("IFERROR(VLOOKUP(E524&amp;F524,IMPORTRANGE(""https://docs.google.com/spreadsheets/d/1Uw7-A9f9R21vMXxHZFNpYNeKFtG8_yji4HS352LGlSQ/edit?pli=1#gid=0"",""1_ACUM!A4:S""),18,FALSE))"),"")</f>
        <v/>
      </c>
      <c r="BE507" s="44" t="str">
        <f ca="1">IFERROR(__xludf.DUMMYFUNCTION("IFERROR(VLOOKUP(E524&amp;F524,IMPORTRANGE(""https://docs.google.com/spreadsheets/d/1Uw7-A9f9R21vMXxHZFNpYNeKFtG8_yji4HS352LGlSQ/edit?pli=1#gid=0"",""1_ACUM!A4:S""),19,FALSE))"),"")</f>
        <v/>
      </c>
      <c r="BF507" s="44" t="str">
        <f ca="1">IFERROR(__xludf.DUMMYFUNCTION("IFERROR(VLOOKUP(F524,IMPORTRANGE(""https://docs.google.com/spreadsheets/d/1Kvs4KS76FHFqLFIZfrDMff4kP08nblUkihrxltoGBjg/edit#gid=934712705"",""ESENCIAL!A6:BG""),5,FALSE))"),"")</f>
        <v/>
      </c>
      <c r="BG507" s="44" t="str">
        <f t="shared" si="41"/>
        <v/>
      </c>
      <c r="BH507" s="41" t="str">
        <f t="shared" si="42"/>
        <v/>
      </c>
      <c r="BI507" s="41" t="str">
        <f ca="1">IFERROR(__xludf.DUMMYFUNCTION("IFERROR(VLOOKUP(F524,IMPORTRANGE(""https://docs.google.com/spreadsheets/d/1Kvs4KS76FHFqLFIZfrDMff4kP08nblUkihrxltoGBjg/edit#gid=934712705"",""ESENCIAL!A6:BG""),18,FALSE))"),"")</f>
        <v/>
      </c>
      <c r="BJ507" s="19" t="str">
        <f t="shared" si="43"/>
        <v/>
      </c>
      <c r="BK507" s="41"/>
      <c r="BL507" s="41"/>
    </row>
    <row r="508" spans="1:64" ht="15">
      <c r="A508" s="4"/>
      <c r="B508" s="4"/>
      <c r="G508" s="5" t="str">
        <f ca="1">IFERROR(__xludf.DUMMYFUNCTION("IFERROR(VLOOKUP(F525,IMPORTRANGE(""https://docs.google.com/spreadsheets/d/1Kvs4KS76FHFqLFIZfrDMff4kP08nblUkihrxltoGBjg/edit#gid=934712705"",""ESENCIAL!A6:BG""),3,FALSE))"),"")</f>
        <v/>
      </c>
      <c r="H508" s="5" t="str">
        <f ca="1">IFERROR(__xludf.DUMMYFUNCTION("IFERROR(VLOOKUP(F525,IMPORTRANGE(""https://docs.google.com/spreadsheets/d/1Kvs4KS76FHFqLFIZfrDMff4kP08nblUkihrxltoGBjg/edit#gid=934712705"",""ESENCIAL!A6:BG""),8,FALSE))"),"")</f>
        <v/>
      </c>
      <c r="L508" s="287"/>
      <c r="S508"/>
      <c r="AU508" s="41" t="str">
        <f t="shared" si="40"/>
        <v/>
      </c>
      <c r="AV508" s="5" t="str">
        <f ca="1">IFERROR(__xludf.DUMMYFUNCTION("IFERROR(VLOOKUP(E525&amp;F525,IMPORTRANGE(""https://docs.google.com/spreadsheets/d/1Uw7-A9f9R21vMXxHZFNpYNeKFtG8_yji4HS352LGlSQ/edit?pli=1#gid=0"",""1_ACUM!A4:S""),11,FALSE))"),"")</f>
        <v/>
      </c>
      <c r="AW508" s="42" t="str">
        <f ca="1">IFERROR(__xludf.DUMMYFUNCTION("IFERROR(VLOOKUP(F525,IMPORTRANGE(""https://docs.google.com/spreadsheets/d/1Kvs4KS76FHFqLFIZfrDMff4kP08nblUkihrxltoGBjg/edit#gid=934712705"",""ESENCIAL!A6:BG""),15,FALSE))"),"")</f>
        <v/>
      </c>
      <c r="AX508" s="21" t="str">
        <f ca="1">IFERROR(__xludf.DUMMYFUNCTION("IFERROR(VLOOKUP(E525&amp;F525,IMPORTRANGE(""https://docs.google.com/spreadsheets/d/1Uw7-A9f9R21vMXxHZFNpYNeKFtG8_yji4HS352LGlSQ/edit?pli=1#gid=0"",""1_ACUM!A4:S""),12,FALSE))"),"")</f>
        <v/>
      </c>
      <c r="AY508" s="43" t="str">
        <f ca="1">IFERROR(__xludf.DUMMYFUNCTION("IFERROR(VLOOKUP(E525&amp;F525,IMPORTRANGE(""https://docs.google.com/spreadsheets/d/1Uw7-A9f9R21vMXxHZFNpYNeKFtG8_yji4HS352LGlSQ/edit?pli=1#gid=0"",""1_ACUM!A4:S""),13,FALSE))"),"")</f>
        <v/>
      </c>
      <c r="AZ508" s="43" t="str">
        <f ca="1">IFERROR(__xludf.DUMMYFUNCTION("IFERROR(VLOOKUP(E525&amp;F525,IMPORTRANGE(""https://docs.google.com/spreadsheets/d/1Uw7-A9f9R21vMXxHZFNpYNeKFtG8_yji4HS352LGlSQ/edit?pli=1#gid=0"",""1_ACUM!A4:S""),14,FALSE))"),"")</f>
        <v/>
      </c>
      <c r="BA508" s="43" t="str">
        <f ca="1">IFERROR(__xludf.DUMMYFUNCTION("IFERROR(VLOOKUP(E525&amp;F525,IMPORTRANGE(""https://docs.google.com/spreadsheets/d/1Uw7-A9f9R21vMXxHZFNpYNeKFtG8_yji4HS352LGlSQ/edit?pli=1#gid=0"",""1_ACUM!A4:S""),15,FALSE))"),"")</f>
        <v/>
      </c>
      <c r="BB508" s="43" t="str">
        <f ca="1">IFERROR(__xludf.DUMMYFUNCTION("IFERROR(VLOOKUP(E525&amp;F525,IMPORTRANGE(""https://docs.google.com/spreadsheets/d/1Uw7-A9f9R21vMXxHZFNpYNeKFtG8_yji4HS352LGlSQ/edit?pli=1#gid=0"",""1_ACUM!A4:S""),16,FALSE))"),"")</f>
        <v/>
      </c>
      <c r="BC508" s="43" t="str">
        <f ca="1">IFERROR(__xludf.DUMMYFUNCTION("IFERROR(VLOOKUP(E525&amp;F525,IMPORTRANGE(""https://docs.google.com/spreadsheets/d/1Uw7-A9f9R21vMXxHZFNpYNeKFtG8_yji4HS352LGlSQ/edit?pli=1#gid=0"",""1_ACUM!A4:S""),17,FALSE))"),"")</f>
        <v/>
      </c>
      <c r="BD508" s="44" t="str">
        <f ca="1">IFERROR(__xludf.DUMMYFUNCTION("IFERROR(VLOOKUP(E525&amp;F525,IMPORTRANGE(""https://docs.google.com/spreadsheets/d/1Uw7-A9f9R21vMXxHZFNpYNeKFtG8_yji4HS352LGlSQ/edit?pli=1#gid=0"",""1_ACUM!A4:S""),18,FALSE))"),"")</f>
        <v/>
      </c>
      <c r="BE508" s="44" t="str">
        <f ca="1">IFERROR(__xludf.DUMMYFUNCTION("IFERROR(VLOOKUP(E525&amp;F525,IMPORTRANGE(""https://docs.google.com/spreadsheets/d/1Uw7-A9f9R21vMXxHZFNpYNeKFtG8_yji4HS352LGlSQ/edit?pli=1#gid=0"",""1_ACUM!A4:S""),19,FALSE))"),"")</f>
        <v/>
      </c>
      <c r="BF508" s="44" t="str">
        <f ca="1">IFERROR(__xludf.DUMMYFUNCTION("IFERROR(VLOOKUP(F525,IMPORTRANGE(""https://docs.google.com/spreadsheets/d/1Kvs4KS76FHFqLFIZfrDMff4kP08nblUkihrxltoGBjg/edit#gid=934712705"",""ESENCIAL!A6:BG""),5,FALSE))"),"")</f>
        <v/>
      </c>
      <c r="BG508" s="44" t="str">
        <f t="shared" si="41"/>
        <v/>
      </c>
      <c r="BH508" s="41" t="str">
        <f t="shared" si="42"/>
        <v/>
      </c>
      <c r="BI508" s="41" t="str">
        <f ca="1">IFERROR(__xludf.DUMMYFUNCTION("IFERROR(VLOOKUP(F525,IMPORTRANGE(""https://docs.google.com/spreadsheets/d/1Kvs4KS76FHFqLFIZfrDMff4kP08nblUkihrxltoGBjg/edit#gid=934712705"",""ESENCIAL!A6:BG""),18,FALSE))"),"")</f>
        <v/>
      </c>
      <c r="BJ508" s="19" t="str">
        <f t="shared" si="43"/>
        <v/>
      </c>
      <c r="BK508" s="41"/>
      <c r="BL508" s="41"/>
    </row>
    <row r="509" spans="1:64" ht="15">
      <c r="A509" s="4"/>
      <c r="B509" s="4"/>
      <c r="G509" s="5" t="str">
        <f ca="1">IFERROR(__xludf.DUMMYFUNCTION("IFERROR(VLOOKUP(F526,IMPORTRANGE(""https://docs.google.com/spreadsheets/d/1Kvs4KS76FHFqLFIZfrDMff4kP08nblUkihrxltoGBjg/edit#gid=934712705"",""ESENCIAL!A6:BG""),3,FALSE))"),"")</f>
        <v/>
      </c>
      <c r="H509" s="5" t="str">
        <f ca="1">IFERROR(__xludf.DUMMYFUNCTION("IFERROR(VLOOKUP(F526,IMPORTRANGE(""https://docs.google.com/spreadsheets/d/1Kvs4KS76FHFqLFIZfrDMff4kP08nblUkihrxltoGBjg/edit#gid=934712705"",""ESENCIAL!A6:BG""),8,FALSE))"),"")</f>
        <v/>
      </c>
      <c r="L509" s="287"/>
      <c r="S509"/>
      <c r="AU509" s="41" t="str">
        <f t="shared" si="40"/>
        <v/>
      </c>
      <c r="AV509" s="5" t="str">
        <f ca="1">IFERROR(__xludf.DUMMYFUNCTION("IFERROR(VLOOKUP(E526&amp;F526,IMPORTRANGE(""https://docs.google.com/spreadsheets/d/1Uw7-A9f9R21vMXxHZFNpYNeKFtG8_yji4HS352LGlSQ/edit?pli=1#gid=0"",""1_ACUM!A4:S""),11,FALSE))"),"")</f>
        <v/>
      </c>
      <c r="AW509" s="42" t="str">
        <f ca="1">IFERROR(__xludf.DUMMYFUNCTION("IFERROR(VLOOKUP(F526,IMPORTRANGE(""https://docs.google.com/spreadsheets/d/1Kvs4KS76FHFqLFIZfrDMff4kP08nblUkihrxltoGBjg/edit#gid=934712705"",""ESENCIAL!A6:BG""),15,FALSE))"),"")</f>
        <v/>
      </c>
      <c r="AX509" s="21" t="str">
        <f ca="1">IFERROR(__xludf.DUMMYFUNCTION("IFERROR(VLOOKUP(E526&amp;F526,IMPORTRANGE(""https://docs.google.com/spreadsheets/d/1Uw7-A9f9R21vMXxHZFNpYNeKFtG8_yji4HS352LGlSQ/edit?pli=1#gid=0"",""1_ACUM!A4:S""),12,FALSE))"),"")</f>
        <v/>
      </c>
      <c r="AY509" s="43" t="str">
        <f ca="1">IFERROR(__xludf.DUMMYFUNCTION("IFERROR(VLOOKUP(E526&amp;F526,IMPORTRANGE(""https://docs.google.com/spreadsheets/d/1Uw7-A9f9R21vMXxHZFNpYNeKFtG8_yji4HS352LGlSQ/edit?pli=1#gid=0"",""1_ACUM!A4:S""),13,FALSE))"),"")</f>
        <v/>
      </c>
      <c r="AZ509" s="43" t="str">
        <f ca="1">IFERROR(__xludf.DUMMYFUNCTION("IFERROR(VLOOKUP(E526&amp;F526,IMPORTRANGE(""https://docs.google.com/spreadsheets/d/1Uw7-A9f9R21vMXxHZFNpYNeKFtG8_yji4HS352LGlSQ/edit?pli=1#gid=0"",""1_ACUM!A4:S""),14,FALSE))"),"")</f>
        <v/>
      </c>
      <c r="BA509" s="43" t="str">
        <f ca="1">IFERROR(__xludf.DUMMYFUNCTION("IFERROR(VLOOKUP(E526&amp;F526,IMPORTRANGE(""https://docs.google.com/spreadsheets/d/1Uw7-A9f9R21vMXxHZFNpYNeKFtG8_yji4HS352LGlSQ/edit?pli=1#gid=0"",""1_ACUM!A4:S""),15,FALSE))"),"")</f>
        <v/>
      </c>
      <c r="BB509" s="43" t="str">
        <f ca="1">IFERROR(__xludf.DUMMYFUNCTION("IFERROR(VLOOKUP(E526&amp;F526,IMPORTRANGE(""https://docs.google.com/spreadsheets/d/1Uw7-A9f9R21vMXxHZFNpYNeKFtG8_yji4HS352LGlSQ/edit?pli=1#gid=0"",""1_ACUM!A4:S""),16,FALSE))"),"")</f>
        <v/>
      </c>
      <c r="BC509" s="43" t="str">
        <f ca="1">IFERROR(__xludf.DUMMYFUNCTION("IFERROR(VLOOKUP(E526&amp;F526,IMPORTRANGE(""https://docs.google.com/spreadsheets/d/1Uw7-A9f9R21vMXxHZFNpYNeKFtG8_yji4HS352LGlSQ/edit?pli=1#gid=0"",""1_ACUM!A4:S""),17,FALSE))"),"")</f>
        <v/>
      </c>
      <c r="BD509" s="44" t="str">
        <f ca="1">IFERROR(__xludf.DUMMYFUNCTION("IFERROR(VLOOKUP(E526&amp;F526,IMPORTRANGE(""https://docs.google.com/spreadsheets/d/1Uw7-A9f9R21vMXxHZFNpYNeKFtG8_yji4HS352LGlSQ/edit?pli=1#gid=0"",""1_ACUM!A4:S""),18,FALSE))"),"")</f>
        <v/>
      </c>
      <c r="BE509" s="44" t="str">
        <f ca="1">IFERROR(__xludf.DUMMYFUNCTION("IFERROR(VLOOKUP(E526&amp;F526,IMPORTRANGE(""https://docs.google.com/spreadsheets/d/1Uw7-A9f9R21vMXxHZFNpYNeKFtG8_yji4HS352LGlSQ/edit?pli=1#gid=0"",""1_ACUM!A4:S""),19,FALSE))"),"")</f>
        <v/>
      </c>
      <c r="BF509" s="44" t="str">
        <f ca="1">IFERROR(__xludf.DUMMYFUNCTION("IFERROR(VLOOKUP(F526,IMPORTRANGE(""https://docs.google.com/spreadsheets/d/1Kvs4KS76FHFqLFIZfrDMff4kP08nblUkihrxltoGBjg/edit#gid=934712705"",""ESENCIAL!A6:BG""),5,FALSE))"),"")</f>
        <v/>
      </c>
      <c r="BG509" s="44" t="str">
        <f t="shared" si="41"/>
        <v/>
      </c>
      <c r="BH509" s="41" t="str">
        <f t="shared" si="42"/>
        <v/>
      </c>
      <c r="BI509" s="41" t="str">
        <f ca="1">IFERROR(__xludf.DUMMYFUNCTION("IFERROR(VLOOKUP(F526,IMPORTRANGE(""https://docs.google.com/spreadsheets/d/1Kvs4KS76FHFqLFIZfrDMff4kP08nblUkihrxltoGBjg/edit#gid=934712705"",""ESENCIAL!A6:BG""),18,FALSE))"),"")</f>
        <v/>
      </c>
      <c r="BJ509" s="19" t="str">
        <f t="shared" si="43"/>
        <v/>
      </c>
      <c r="BK509" s="41"/>
      <c r="BL509" s="41"/>
    </row>
    <row r="510" spans="1:64" ht="15">
      <c r="A510" s="4"/>
      <c r="B510" s="4"/>
      <c r="G510" s="5" t="str">
        <f ca="1">IFERROR(__xludf.DUMMYFUNCTION("IFERROR(VLOOKUP(F527,IMPORTRANGE(""https://docs.google.com/spreadsheets/d/1Kvs4KS76FHFqLFIZfrDMff4kP08nblUkihrxltoGBjg/edit#gid=934712705"",""ESENCIAL!A6:BG""),3,FALSE))"),"")</f>
        <v/>
      </c>
      <c r="H510" s="5" t="str">
        <f ca="1">IFERROR(__xludf.DUMMYFUNCTION("IFERROR(VLOOKUP(F527,IMPORTRANGE(""https://docs.google.com/spreadsheets/d/1Kvs4KS76FHFqLFIZfrDMff4kP08nblUkihrxltoGBjg/edit#gid=934712705"",""ESENCIAL!A6:BG""),8,FALSE))"),"")</f>
        <v/>
      </c>
      <c r="L510" s="287"/>
      <c r="S510"/>
      <c r="AU510" s="41" t="str">
        <f t="shared" si="40"/>
        <v/>
      </c>
      <c r="AV510" s="5" t="str">
        <f ca="1">IFERROR(__xludf.DUMMYFUNCTION("IFERROR(VLOOKUP(E527&amp;F527,IMPORTRANGE(""https://docs.google.com/spreadsheets/d/1Uw7-A9f9R21vMXxHZFNpYNeKFtG8_yji4HS352LGlSQ/edit?pli=1#gid=0"",""1_ACUM!A4:S""),11,FALSE))"),"")</f>
        <v/>
      </c>
      <c r="AW510" s="42" t="str">
        <f ca="1">IFERROR(__xludf.DUMMYFUNCTION("IFERROR(VLOOKUP(F527,IMPORTRANGE(""https://docs.google.com/spreadsheets/d/1Kvs4KS76FHFqLFIZfrDMff4kP08nblUkihrxltoGBjg/edit#gid=934712705"",""ESENCIAL!A6:BG""),15,FALSE))"),"")</f>
        <v/>
      </c>
      <c r="AX510" s="21" t="str">
        <f ca="1">IFERROR(__xludf.DUMMYFUNCTION("IFERROR(VLOOKUP(E527&amp;F527,IMPORTRANGE(""https://docs.google.com/spreadsheets/d/1Uw7-A9f9R21vMXxHZFNpYNeKFtG8_yji4HS352LGlSQ/edit?pli=1#gid=0"",""1_ACUM!A4:S""),12,FALSE))"),"")</f>
        <v/>
      </c>
      <c r="AY510" s="43" t="str">
        <f ca="1">IFERROR(__xludf.DUMMYFUNCTION("IFERROR(VLOOKUP(E527&amp;F527,IMPORTRANGE(""https://docs.google.com/spreadsheets/d/1Uw7-A9f9R21vMXxHZFNpYNeKFtG8_yji4HS352LGlSQ/edit?pli=1#gid=0"",""1_ACUM!A4:S""),13,FALSE))"),"")</f>
        <v/>
      </c>
      <c r="AZ510" s="43" t="str">
        <f ca="1">IFERROR(__xludf.DUMMYFUNCTION("IFERROR(VLOOKUP(E527&amp;F527,IMPORTRANGE(""https://docs.google.com/spreadsheets/d/1Uw7-A9f9R21vMXxHZFNpYNeKFtG8_yji4HS352LGlSQ/edit?pli=1#gid=0"",""1_ACUM!A4:S""),14,FALSE))"),"")</f>
        <v/>
      </c>
      <c r="BA510" s="43" t="str">
        <f ca="1">IFERROR(__xludf.DUMMYFUNCTION("IFERROR(VLOOKUP(E527&amp;F527,IMPORTRANGE(""https://docs.google.com/spreadsheets/d/1Uw7-A9f9R21vMXxHZFNpYNeKFtG8_yji4HS352LGlSQ/edit?pli=1#gid=0"",""1_ACUM!A4:S""),15,FALSE))"),"")</f>
        <v/>
      </c>
      <c r="BB510" s="43" t="str">
        <f ca="1">IFERROR(__xludf.DUMMYFUNCTION("IFERROR(VLOOKUP(E527&amp;F527,IMPORTRANGE(""https://docs.google.com/spreadsheets/d/1Uw7-A9f9R21vMXxHZFNpYNeKFtG8_yji4HS352LGlSQ/edit?pli=1#gid=0"",""1_ACUM!A4:S""),16,FALSE))"),"")</f>
        <v/>
      </c>
      <c r="BC510" s="43" t="str">
        <f ca="1">IFERROR(__xludf.DUMMYFUNCTION("IFERROR(VLOOKUP(E527&amp;F527,IMPORTRANGE(""https://docs.google.com/spreadsheets/d/1Uw7-A9f9R21vMXxHZFNpYNeKFtG8_yji4HS352LGlSQ/edit?pli=1#gid=0"",""1_ACUM!A4:S""),17,FALSE))"),"")</f>
        <v/>
      </c>
      <c r="BD510" s="44" t="str">
        <f ca="1">IFERROR(__xludf.DUMMYFUNCTION("IFERROR(VLOOKUP(E527&amp;F527,IMPORTRANGE(""https://docs.google.com/spreadsheets/d/1Uw7-A9f9R21vMXxHZFNpYNeKFtG8_yji4HS352LGlSQ/edit?pli=1#gid=0"",""1_ACUM!A4:S""),18,FALSE))"),"")</f>
        <v/>
      </c>
      <c r="BE510" s="44" t="str">
        <f ca="1">IFERROR(__xludf.DUMMYFUNCTION("IFERROR(VLOOKUP(E527&amp;F527,IMPORTRANGE(""https://docs.google.com/spreadsheets/d/1Uw7-A9f9R21vMXxHZFNpYNeKFtG8_yji4HS352LGlSQ/edit?pli=1#gid=0"",""1_ACUM!A4:S""),19,FALSE))"),"")</f>
        <v/>
      </c>
      <c r="BF510" s="44" t="str">
        <f ca="1">IFERROR(__xludf.DUMMYFUNCTION("IFERROR(VLOOKUP(F527,IMPORTRANGE(""https://docs.google.com/spreadsheets/d/1Kvs4KS76FHFqLFIZfrDMff4kP08nblUkihrxltoGBjg/edit#gid=934712705"",""ESENCIAL!A6:BG""),5,FALSE))"),"")</f>
        <v/>
      </c>
      <c r="BG510" s="44" t="str">
        <f t="shared" si="41"/>
        <v/>
      </c>
      <c r="BH510" s="41" t="str">
        <f t="shared" si="42"/>
        <v/>
      </c>
      <c r="BI510" s="41" t="str">
        <f ca="1">IFERROR(__xludf.DUMMYFUNCTION("IFERROR(VLOOKUP(F527,IMPORTRANGE(""https://docs.google.com/spreadsheets/d/1Kvs4KS76FHFqLFIZfrDMff4kP08nblUkihrxltoGBjg/edit#gid=934712705"",""ESENCIAL!A6:BG""),18,FALSE))"),"")</f>
        <v/>
      </c>
      <c r="BJ510" s="19" t="str">
        <f t="shared" si="43"/>
        <v/>
      </c>
      <c r="BK510" s="41"/>
      <c r="BL510" s="41"/>
    </row>
    <row r="511" spans="1:64" ht="15">
      <c r="A511" s="4"/>
      <c r="B511" s="4"/>
      <c r="G511" s="5" t="str">
        <f ca="1">IFERROR(__xludf.DUMMYFUNCTION("IFERROR(VLOOKUP(F528,IMPORTRANGE(""https://docs.google.com/spreadsheets/d/1Kvs4KS76FHFqLFIZfrDMff4kP08nblUkihrxltoGBjg/edit#gid=934712705"",""ESENCIAL!A6:BG""),3,FALSE))"),"")</f>
        <v/>
      </c>
      <c r="H511" s="5" t="str">
        <f ca="1">IFERROR(__xludf.DUMMYFUNCTION("IFERROR(VLOOKUP(F528,IMPORTRANGE(""https://docs.google.com/spreadsheets/d/1Kvs4KS76FHFqLFIZfrDMff4kP08nblUkihrxltoGBjg/edit#gid=934712705"",""ESENCIAL!A6:BG""),8,FALSE))"),"")</f>
        <v/>
      </c>
      <c r="L511" s="287"/>
      <c r="S511"/>
      <c r="AU511" s="41" t="str">
        <f t="shared" si="40"/>
        <v/>
      </c>
      <c r="AV511" s="5" t="str">
        <f ca="1">IFERROR(__xludf.DUMMYFUNCTION("IFERROR(VLOOKUP(E528&amp;F528,IMPORTRANGE(""https://docs.google.com/spreadsheets/d/1Uw7-A9f9R21vMXxHZFNpYNeKFtG8_yji4HS352LGlSQ/edit?pli=1#gid=0"",""1_ACUM!A4:S""),11,FALSE))"),"")</f>
        <v/>
      </c>
      <c r="AW511" s="42" t="str">
        <f ca="1">IFERROR(__xludf.DUMMYFUNCTION("IFERROR(VLOOKUP(F528,IMPORTRANGE(""https://docs.google.com/spreadsheets/d/1Kvs4KS76FHFqLFIZfrDMff4kP08nblUkihrxltoGBjg/edit#gid=934712705"",""ESENCIAL!A6:BG""),15,FALSE))"),"")</f>
        <v/>
      </c>
      <c r="AX511" s="21" t="str">
        <f ca="1">IFERROR(__xludf.DUMMYFUNCTION("IFERROR(VLOOKUP(E528&amp;F528,IMPORTRANGE(""https://docs.google.com/spreadsheets/d/1Uw7-A9f9R21vMXxHZFNpYNeKFtG8_yji4HS352LGlSQ/edit?pli=1#gid=0"",""1_ACUM!A4:S""),12,FALSE))"),"")</f>
        <v/>
      </c>
      <c r="AY511" s="43" t="str">
        <f ca="1">IFERROR(__xludf.DUMMYFUNCTION("IFERROR(VLOOKUP(E528&amp;F528,IMPORTRANGE(""https://docs.google.com/spreadsheets/d/1Uw7-A9f9R21vMXxHZFNpYNeKFtG8_yji4HS352LGlSQ/edit?pli=1#gid=0"",""1_ACUM!A4:S""),13,FALSE))"),"")</f>
        <v/>
      </c>
      <c r="AZ511" s="43" t="str">
        <f ca="1">IFERROR(__xludf.DUMMYFUNCTION("IFERROR(VLOOKUP(E528&amp;F528,IMPORTRANGE(""https://docs.google.com/spreadsheets/d/1Uw7-A9f9R21vMXxHZFNpYNeKFtG8_yji4HS352LGlSQ/edit?pli=1#gid=0"",""1_ACUM!A4:S""),14,FALSE))"),"")</f>
        <v/>
      </c>
      <c r="BA511" s="43" t="str">
        <f ca="1">IFERROR(__xludf.DUMMYFUNCTION("IFERROR(VLOOKUP(E528&amp;F528,IMPORTRANGE(""https://docs.google.com/spreadsheets/d/1Uw7-A9f9R21vMXxHZFNpYNeKFtG8_yji4HS352LGlSQ/edit?pli=1#gid=0"",""1_ACUM!A4:S""),15,FALSE))"),"")</f>
        <v/>
      </c>
      <c r="BB511" s="43" t="str">
        <f ca="1">IFERROR(__xludf.DUMMYFUNCTION("IFERROR(VLOOKUP(E528&amp;F528,IMPORTRANGE(""https://docs.google.com/spreadsheets/d/1Uw7-A9f9R21vMXxHZFNpYNeKFtG8_yji4HS352LGlSQ/edit?pli=1#gid=0"",""1_ACUM!A4:S""),16,FALSE))"),"")</f>
        <v/>
      </c>
      <c r="BC511" s="43" t="str">
        <f ca="1">IFERROR(__xludf.DUMMYFUNCTION("IFERROR(VLOOKUP(E528&amp;F528,IMPORTRANGE(""https://docs.google.com/spreadsheets/d/1Uw7-A9f9R21vMXxHZFNpYNeKFtG8_yji4HS352LGlSQ/edit?pli=1#gid=0"",""1_ACUM!A4:S""),17,FALSE))"),"")</f>
        <v/>
      </c>
      <c r="BD511" s="44" t="str">
        <f ca="1">IFERROR(__xludf.DUMMYFUNCTION("IFERROR(VLOOKUP(E528&amp;F528,IMPORTRANGE(""https://docs.google.com/spreadsheets/d/1Uw7-A9f9R21vMXxHZFNpYNeKFtG8_yji4HS352LGlSQ/edit?pli=1#gid=0"",""1_ACUM!A4:S""),18,FALSE))"),"")</f>
        <v/>
      </c>
      <c r="BE511" s="44" t="str">
        <f ca="1">IFERROR(__xludf.DUMMYFUNCTION("IFERROR(VLOOKUP(E528&amp;F528,IMPORTRANGE(""https://docs.google.com/spreadsheets/d/1Uw7-A9f9R21vMXxHZFNpYNeKFtG8_yji4HS352LGlSQ/edit?pli=1#gid=0"",""1_ACUM!A4:S""),19,FALSE))"),"")</f>
        <v/>
      </c>
      <c r="BF511" s="44" t="str">
        <f ca="1">IFERROR(__xludf.DUMMYFUNCTION("IFERROR(VLOOKUP(F528,IMPORTRANGE(""https://docs.google.com/spreadsheets/d/1Kvs4KS76FHFqLFIZfrDMff4kP08nblUkihrxltoGBjg/edit#gid=934712705"",""ESENCIAL!A6:BG""),5,FALSE))"),"")</f>
        <v/>
      </c>
      <c r="BG511" s="44" t="str">
        <f t="shared" si="41"/>
        <v/>
      </c>
      <c r="BH511" s="41" t="str">
        <f t="shared" si="42"/>
        <v/>
      </c>
      <c r="BI511" s="41" t="str">
        <f ca="1">IFERROR(__xludf.DUMMYFUNCTION("IFERROR(VLOOKUP(F528,IMPORTRANGE(""https://docs.google.com/spreadsheets/d/1Kvs4KS76FHFqLFIZfrDMff4kP08nblUkihrxltoGBjg/edit#gid=934712705"",""ESENCIAL!A6:BG""),18,FALSE))"),"")</f>
        <v/>
      </c>
      <c r="BJ511" s="19" t="str">
        <f t="shared" si="43"/>
        <v/>
      </c>
      <c r="BK511" s="41"/>
      <c r="BL511" s="41"/>
    </row>
    <row r="512" spans="1:64" ht="15">
      <c r="A512" s="4"/>
      <c r="B512" s="4"/>
      <c r="G512" s="5" t="str">
        <f ca="1">IFERROR(__xludf.DUMMYFUNCTION("IFERROR(VLOOKUP(F529,IMPORTRANGE(""https://docs.google.com/spreadsheets/d/1Kvs4KS76FHFqLFIZfrDMff4kP08nblUkihrxltoGBjg/edit#gid=934712705"",""ESENCIAL!A6:BG""),3,FALSE))"),"")</f>
        <v/>
      </c>
      <c r="H512" s="5" t="str">
        <f ca="1">IFERROR(__xludf.DUMMYFUNCTION("IFERROR(VLOOKUP(F529,IMPORTRANGE(""https://docs.google.com/spreadsheets/d/1Kvs4KS76FHFqLFIZfrDMff4kP08nblUkihrxltoGBjg/edit#gid=934712705"",""ESENCIAL!A6:BG""),8,FALSE))"),"")</f>
        <v/>
      </c>
      <c r="L512" s="287"/>
      <c r="S512"/>
      <c r="AU512" s="41" t="str">
        <f t="shared" si="40"/>
        <v/>
      </c>
      <c r="AV512" s="5" t="str">
        <f ca="1">IFERROR(__xludf.DUMMYFUNCTION("IFERROR(VLOOKUP(E529&amp;F529,IMPORTRANGE(""https://docs.google.com/spreadsheets/d/1Uw7-A9f9R21vMXxHZFNpYNeKFtG8_yji4HS352LGlSQ/edit?pli=1#gid=0"",""1_ACUM!A4:S""),11,FALSE))"),"")</f>
        <v/>
      </c>
      <c r="AW512" s="42" t="str">
        <f ca="1">IFERROR(__xludf.DUMMYFUNCTION("IFERROR(VLOOKUP(F529,IMPORTRANGE(""https://docs.google.com/spreadsheets/d/1Kvs4KS76FHFqLFIZfrDMff4kP08nblUkihrxltoGBjg/edit#gid=934712705"",""ESENCIAL!A6:BG""),15,FALSE))"),"")</f>
        <v/>
      </c>
      <c r="AX512" s="21" t="str">
        <f ca="1">IFERROR(__xludf.DUMMYFUNCTION("IFERROR(VLOOKUP(E529&amp;F529,IMPORTRANGE(""https://docs.google.com/spreadsheets/d/1Uw7-A9f9R21vMXxHZFNpYNeKFtG8_yji4HS352LGlSQ/edit?pli=1#gid=0"",""1_ACUM!A4:S""),12,FALSE))"),"")</f>
        <v/>
      </c>
      <c r="AY512" s="43" t="str">
        <f ca="1">IFERROR(__xludf.DUMMYFUNCTION("IFERROR(VLOOKUP(E529&amp;F529,IMPORTRANGE(""https://docs.google.com/spreadsheets/d/1Uw7-A9f9R21vMXxHZFNpYNeKFtG8_yji4HS352LGlSQ/edit?pli=1#gid=0"",""1_ACUM!A4:S""),13,FALSE))"),"")</f>
        <v/>
      </c>
      <c r="AZ512" s="43" t="str">
        <f ca="1">IFERROR(__xludf.DUMMYFUNCTION("IFERROR(VLOOKUP(E529&amp;F529,IMPORTRANGE(""https://docs.google.com/spreadsheets/d/1Uw7-A9f9R21vMXxHZFNpYNeKFtG8_yji4HS352LGlSQ/edit?pli=1#gid=0"",""1_ACUM!A4:S""),14,FALSE))"),"")</f>
        <v/>
      </c>
      <c r="BA512" s="43" t="str">
        <f ca="1">IFERROR(__xludf.DUMMYFUNCTION("IFERROR(VLOOKUP(E529&amp;F529,IMPORTRANGE(""https://docs.google.com/spreadsheets/d/1Uw7-A9f9R21vMXxHZFNpYNeKFtG8_yji4HS352LGlSQ/edit?pli=1#gid=0"",""1_ACUM!A4:S""),15,FALSE))"),"")</f>
        <v/>
      </c>
      <c r="BB512" s="43" t="str">
        <f ca="1">IFERROR(__xludf.DUMMYFUNCTION("IFERROR(VLOOKUP(E529&amp;F529,IMPORTRANGE(""https://docs.google.com/spreadsheets/d/1Uw7-A9f9R21vMXxHZFNpYNeKFtG8_yji4HS352LGlSQ/edit?pli=1#gid=0"",""1_ACUM!A4:S""),16,FALSE))"),"")</f>
        <v/>
      </c>
      <c r="BC512" s="43" t="str">
        <f ca="1">IFERROR(__xludf.DUMMYFUNCTION("IFERROR(VLOOKUP(E529&amp;F529,IMPORTRANGE(""https://docs.google.com/spreadsheets/d/1Uw7-A9f9R21vMXxHZFNpYNeKFtG8_yji4HS352LGlSQ/edit?pli=1#gid=0"",""1_ACUM!A4:S""),17,FALSE))"),"")</f>
        <v/>
      </c>
      <c r="BD512" s="44" t="str">
        <f ca="1">IFERROR(__xludf.DUMMYFUNCTION("IFERROR(VLOOKUP(E529&amp;F529,IMPORTRANGE(""https://docs.google.com/spreadsheets/d/1Uw7-A9f9R21vMXxHZFNpYNeKFtG8_yji4HS352LGlSQ/edit?pli=1#gid=0"",""1_ACUM!A4:S""),18,FALSE))"),"")</f>
        <v/>
      </c>
      <c r="BE512" s="44" t="str">
        <f ca="1">IFERROR(__xludf.DUMMYFUNCTION("IFERROR(VLOOKUP(E529&amp;F529,IMPORTRANGE(""https://docs.google.com/spreadsheets/d/1Uw7-A9f9R21vMXxHZFNpYNeKFtG8_yji4HS352LGlSQ/edit?pli=1#gid=0"",""1_ACUM!A4:S""),19,FALSE))"),"")</f>
        <v/>
      </c>
      <c r="BF512" s="44" t="str">
        <f ca="1">IFERROR(__xludf.DUMMYFUNCTION("IFERROR(VLOOKUP(F529,IMPORTRANGE(""https://docs.google.com/spreadsheets/d/1Kvs4KS76FHFqLFIZfrDMff4kP08nblUkihrxltoGBjg/edit#gid=934712705"",""ESENCIAL!A6:BG""),5,FALSE))"),"")</f>
        <v/>
      </c>
      <c r="BG512" s="44" t="str">
        <f t="shared" si="41"/>
        <v/>
      </c>
      <c r="BH512" s="41" t="str">
        <f t="shared" si="42"/>
        <v/>
      </c>
      <c r="BI512" s="41" t="str">
        <f ca="1">IFERROR(__xludf.DUMMYFUNCTION("IFERROR(VLOOKUP(F529,IMPORTRANGE(""https://docs.google.com/spreadsheets/d/1Kvs4KS76FHFqLFIZfrDMff4kP08nblUkihrxltoGBjg/edit#gid=934712705"",""ESENCIAL!A6:BG""),18,FALSE))"),"")</f>
        <v/>
      </c>
      <c r="BJ512" s="19" t="str">
        <f t="shared" si="43"/>
        <v/>
      </c>
      <c r="BK512" s="41"/>
      <c r="BL512" s="41"/>
    </row>
    <row r="513" spans="1:64" ht="15">
      <c r="A513" s="4"/>
      <c r="B513" s="4"/>
      <c r="G513" s="5" t="str">
        <f ca="1">IFERROR(__xludf.DUMMYFUNCTION("IFERROR(VLOOKUP(F530,IMPORTRANGE(""https://docs.google.com/spreadsheets/d/1Kvs4KS76FHFqLFIZfrDMff4kP08nblUkihrxltoGBjg/edit#gid=934712705"",""ESENCIAL!A6:BG""),3,FALSE))"),"")</f>
        <v/>
      </c>
      <c r="H513" s="5" t="str">
        <f ca="1">IFERROR(__xludf.DUMMYFUNCTION("IFERROR(VLOOKUP(F530,IMPORTRANGE(""https://docs.google.com/spreadsheets/d/1Kvs4KS76FHFqLFIZfrDMff4kP08nblUkihrxltoGBjg/edit#gid=934712705"",""ESENCIAL!A6:BG""),8,FALSE))"),"")</f>
        <v/>
      </c>
      <c r="L513" s="287"/>
      <c r="S513"/>
      <c r="AU513" s="41" t="str">
        <f t="shared" si="40"/>
        <v/>
      </c>
      <c r="AV513" s="5" t="str">
        <f ca="1">IFERROR(__xludf.DUMMYFUNCTION("IFERROR(VLOOKUP(E530&amp;F530,IMPORTRANGE(""https://docs.google.com/spreadsheets/d/1Uw7-A9f9R21vMXxHZFNpYNeKFtG8_yji4HS352LGlSQ/edit?pli=1#gid=0"",""1_ACUM!A4:S""),11,FALSE))"),"")</f>
        <v/>
      </c>
      <c r="AW513" s="42" t="str">
        <f ca="1">IFERROR(__xludf.DUMMYFUNCTION("IFERROR(VLOOKUP(F530,IMPORTRANGE(""https://docs.google.com/spreadsheets/d/1Kvs4KS76FHFqLFIZfrDMff4kP08nblUkihrxltoGBjg/edit#gid=934712705"",""ESENCIAL!A6:BG""),15,FALSE))"),"")</f>
        <v/>
      </c>
      <c r="AX513" s="21" t="str">
        <f ca="1">IFERROR(__xludf.DUMMYFUNCTION("IFERROR(VLOOKUP(E530&amp;F530,IMPORTRANGE(""https://docs.google.com/spreadsheets/d/1Uw7-A9f9R21vMXxHZFNpYNeKFtG8_yji4HS352LGlSQ/edit?pli=1#gid=0"",""1_ACUM!A4:S""),12,FALSE))"),"")</f>
        <v/>
      </c>
      <c r="AY513" s="43" t="str">
        <f ca="1">IFERROR(__xludf.DUMMYFUNCTION("IFERROR(VLOOKUP(E530&amp;F530,IMPORTRANGE(""https://docs.google.com/spreadsheets/d/1Uw7-A9f9R21vMXxHZFNpYNeKFtG8_yji4HS352LGlSQ/edit?pli=1#gid=0"",""1_ACUM!A4:S""),13,FALSE))"),"")</f>
        <v/>
      </c>
      <c r="AZ513" s="43" t="str">
        <f ca="1">IFERROR(__xludf.DUMMYFUNCTION("IFERROR(VLOOKUP(E530&amp;F530,IMPORTRANGE(""https://docs.google.com/spreadsheets/d/1Uw7-A9f9R21vMXxHZFNpYNeKFtG8_yji4HS352LGlSQ/edit?pli=1#gid=0"",""1_ACUM!A4:S""),14,FALSE))"),"")</f>
        <v/>
      </c>
      <c r="BA513" s="43" t="str">
        <f ca="1">IFERROR(__xludf.DUMMYFUNCTION("IFERROR(VLOOKUP(E530&amp;F530,IMPORTRANGE(""https://docs.google.com/spreadsheets/d/1Uw7-A9f9R21vMXxHZFNpYNeKFtG8_yji4HS352LGlSQ/edit?pli=1#gid=0"",""1_ACUM!A4:S""),15,FALSE))"),"")</f>
        <v/>
      </c>
      <c r="BB513" s="43" t="str">
        <f ca="1">IFERROR(__xludf.DUMMYFUNCTION("IFERROR(VLOOKUP(E530&amp;F530,IMPORTRANGE(""https://docs.google.com/spreadsheets/d/1Uw7-A9f9R21vMXxHZFNpYNeKFtG8_yji4HS352LGlSQ/edit?pli=1#gid=0"",""1_ACUM!A4:S""),16,FALSE))"),"")</f>
        <v/>
      </c>
      <c r="BC513" s="43" t="str">
        <f ca="1">IFERROR(__xludf.DUMMYFUNCTION("IFERROR(VLOOKUP(E530&amp;F530,IMPORTRANGE(""https://docs.google.com/spreadsheets/d/1Uw7-A9f9R21vMXxHZFNpYNeKFtG8_yji4HS352LGlSQ/edit?pli=1#gid=0"",""1_ACUM!A4:S""),17,FALSE))"),"")</f>
        <v/>
      </c>
      <c r="BD513" s="44" t="str">
        <f ca="1">IFERROR(__xludf.DUMMYFUNCTION("IFERROR(VLOOKUP(E530&amp;F530,IMPORTRANGE(""https://docs.google.com/spreadsheets/d/1Uw7-A9f9R21vMXxHZFNpYNeKFtG8_yji4HS352LGlSQ/edit?pli=1#gid=0"",""1_ACUM!A4:S""),18,FALSE))"),"")</f>
        <v/>
      </c>
      <c r="BE513" s="44" t="str">
        <f ca="1">IFERROR(__xludf.DUMMYFUNCTION("IFERROR(VLOOKUP(E530&amp;F530,IMPORTRANGE(""https://docs.google.com/spreadsheets/d/1Uw7-A9f9R21vMXxHZFNpYNeKFtG8_yji4HS352LGlSQ/edit?pli=1#gid=0"",""1_ACUM!A4:S""),19,FALSE))"),"")</f>
        <v/>
      </c>
      <c r="BF513" s="44" t="str">
        <f ca="1">IFERROR(__xludf.DUMMYFUNCTION("IFERROR(VLOOKUP(F530,IMPORTRANGE(""https://docs.google.com/spreadsheets/d/1Kvs4KS76FHFqLFIZfrDMff4kP08nblUkihrxltoGBjg/edit#gid=934712705"",""ESENCIAL!A6:BG""),5,FALSE))"),"")</f>
        <v/>
      </c>
      <c r="BG513" s="44" t="str">
        <f t="shared" si="41"/>
        <v/>
      </c>
      <c r="BH513" s="41" t="str">
        <f t="shared" si="42"/>
        <v/>
      </c>
      <c r="BI513" s="41" t="str">
        <f ca="1">IFERROR(__xludf.DUMMYFUNCTION("IFERROR(VLOOKUP(F530,IMPORTRANGE(""https://docs.google.com/spreadsheets/d/1Kvs4KS76FHFqLFIZfrDMff4kP08nblUkihrxltoGBjg/edit#gid=934712705"",""ESENCIAL!A6:BG""),18,FALSE))"),"")</f>
        <v/>
      </c>
      <c r="BJ513" s="19" t="str">
        <f t="shared" si="43"/>
        <v/>
      </c>
      <c r="BK513" s="41"/>
      <c r="BL513" s="41"/>
    </row>
    <row r="514" spans="1:64" ht="15">
      <c r="A514" s="4"/>
      <c r="B514" s="4"/>
      <c r="G514" s="5" t="str">
        <f ca="1">IFERROR(__xludf.DUMMYFUNCTION("IFERROR(VLOOKUP(F531,IMPORTRANGE(""https://docs.google.com/spreadsheets/d/1Kvs4KS76FHFqLFIZfrDMff4kP08nblUkihrxltoGBjg/edit#gid=934712705"",""ESENCIAL!A6:BG""),3,FALSE))"),"")</f>
        <v/>
      </c>
      <c r="H514" s="5" t="str">
        <f ca="1">IFERROR(__xludf.DUMMYFUNCTION("IFERROR(VLOOKUP(F531,IMPORTRANGE(""https://docs.google.com/spreadsheets/d/1Kvs4KS76FHFqLFIZfrDMff4kP08nblUkihrxltoGBjg/edit#gid=934712705"",""ESENCIAL!A6:BG""),8,FALSE))"),"")</f>
        <v/>
      </c>
      <c r="L514" s="287"/>
      <c r="S514"/>
      <c r="AU514" s="41" t="str">
        <f t="shared" si="40"/>
        <v/>
      </c>
      <c r="AV514" s="5" t="str">
        <f ca="1">IFERROR(__xludf.DUMMYFUNCTION("IFERROR(VLOOKUP(E531&amp;F531,IMPORTRANGE(""https://docs.google.com/spreadsheets/d/1Uw7-A9f9R21vMXxHZFNpYNeKFtG8_yji4HS352LGlSQ/edit?pli=1#gid=0"",""1_ACUM!A4:S""),11,FALSE))"),"")</f>
        <v/>
      </c>
      <c r="AW514" s="42" t="str">
        <f ca="1">IFERROR(__xludf.DUMMYFUNCTION("IFERROR(VLOOKUP(F531,IMPORTRANGE(""https://docs.google.com/spreadsheets/d/1Kvs4KS76FHFqLFIZfrDMff4kP08nblUkihrxltoGBjg/edit#gid=934712705"",""ESENCIAL!A6:BG""),15,FALSE))"),"")</f>
        <v/>
      </c>
      <c r="AX514" s="21" t="str">
        <f ca="1">IFERROR(__xludf.DUMMYFUNCTION("IFERROR(VLOOKUP(E531&amp;F531,IMPORTRANGE(""https://docs.google.com/spreadsheets/d/1Uw7-A9f9R21vMXxHZFNpYNeKFtG8_yji4HS352LGlSQ/edit?pli=1#gid=0"",""1_ACUM!A4:S""),12,FALSE))"),"")</f>
        <v/>
      </c>
      <c r="AY514" s="43" t="str">
        <f ca="1">IFERROR(__xludf.DUMMYFUNCTION("IFERROR(VLOOKUP(E531&amp;F531,IMPORTRANGE(""https://docs.google.com/spreadsheets/d/1Uw7-A9f9R21vMXxHZFNpYNeKFtG8_yji4HS352LGlSQ/edit?pli=1#gid=0"",""1_ACUM!A4:S""),13,FALSE))"),"")</f>
        <v/>
      </c>
      <c r="AZ514" s="43" t="str">
        <f ca="1">IFERROR(__xludf.DUMMYFUNCTION("IFERROR(VLOOKUP(E531&amp;F531,IMPORTRANGE(""https://docs.google.com/spreadsheets/d/1Uw7-A9f9R21vMXxHZFNpYNeKFtG8_yji4HS352LGlSQ/edit?pli=1#gid=0"",""1_ACUM!A4:S""),14,FALSE))"),"")</f>
        <v/>
      </c>
      <c r="BA514" s="43" t="str">
        <f ca="1">IFERROR(__xludf.DUMMYFUNCTION("IFERROR(VLOOKUP(E531&amp;F531,IMPORTRANGE(""https://docs.google.com/spreadsheets/d/1Uw7-A9f9R21vMXxHZFNpYNeKFtG8_yji4HS352LGlSQ/edit?pli=1#gid=0"",""1_ACUM!A4:S""),15,FALSE))"),"")</f>
        <v/>
      </c>
      <c r="BB514" s="43" t="str">
        <f ca="1">IFERROR(__xludf.DUMMYFUNCTION("IFERROR(VLOOKUP(E531&amp;F531,IMPORTRANGE(""https://docs.google.com/spreadsheets/d/1Uw7-A9f9R21vMXxHZFNpYNeKFtG8_yji4HS352LGlSQ/edit?pli=1#gid=0"",""1_ACUM!A4:S""),16,FALSE))"),"")</f>
        <v/>
      </c>
      <c r="BC514" s="43" t="str">
        <f ca="1">IFERROR(__xludf.DUMMYFUNCTION("IFERROR(VLOOKUP(E531&amp;F531,IMPORTRANGE(""https://docs.google.com/spreadsheets/d/1Uw7-A9f9R21vMXxHZFNpYNeKFtG8_yji4HS352LGlSQ/edit?pli=1#gid=0"",""1_ACUM!A4:S""),17,FALSE))"),"")</f>
        <v/>
      </c>
      <c r="BD514" s="44" t="str">
        <f ca="1">IFERROR(__xludf.DUMMYFUNCTION("IFERROR(VLOOKUP(E531&amp;F531,IMPORTRANGE(""https://docs.google.com/spreadsheets/d/1Uw7-A9f9R21vMXxHZFNpYNeKFtG8_yji4HS352LGlSQ/edit?pli=1#gid=0"",""1_ACUM!A4:S""),18,FALSE))"),"")</f>
        <v/>
      </c>
      <c r="BE514" s="44" t="str">
        <f ca="1">IFERROR(__xludf.DUMMYFUNCTION("IFERROR(VLOOKUP(E531&amp;F531,IMPORTRANGE(""https://docs.google.com/spreadsheets/d/1Uw7-A9f9R21vMXxHZFNpYNeKFtG8_yji4HS352LGlSQ/edit?pli=1#gid=0"",""1_ACUM!A4:S""),19,FALSE))"),"")</f>
        <v/>
      </c>
      <c r="BF514" s="44" t="str">
        <f ca="1">IFERROR(__xludf.DUMMYFUNCTION("IFERROR(VLOOKUP(F531,IMPORTRANGE(""https://docs.google.com/spreadsheets/d/1Kvs4KS76FHFqLFIZfrDMff4kP08nblUkihrxltoGBjg/edit#gid=934712705"",""ESENCIAL!A6:BG""),5,FALSE))"),"")</f>
        <v/>
      </c>
      <c r="BG514" s="44" t="str">
        <f t="shared" si="41"/>
        <v/>
      </c>
      <c r="BH514" s="41" t="str">
        <f t="shared" si="42"/>
        <v/>
      </c>
      <c r="BI514" s="41" t="str">
        <f ca="1">IFERROR(__xludf.DUMMYFUNCTION("IFERROR(VLOOKUP(F531,IMPORTRANGE(""https://docs.google.com/spreadsheets/d/1Kvs4KS76FHFqLFIZfrDMff4kP08nblUkihrxltoGBjg/edit#gid=934712705"",""ESENCIAL!A6:BG""),18,FALSE))"),"")</f>
        <v/>
      </c>
      <c r="BJ514" s="19" t="str">
        <f t="shared" si="43"/>
        <v/>
      </c>
      <c r="BK514" s="41"/>
      <c r="BL514" s="41"/>
    </row>
    <row r="515" spans="1:64" ht="15">
      <c r="A515" s="4"/>
      <c r="B515" s="4"/>
      <c r="G515" s="5" t="str">
        <f ca="1">IFERROR(__xludf.DUMMYFUNCTION("IFERROR(VLOOKUP(F532,IMPORTRANGE(""https://docs.google.com/spreadsheets/d/1Kvs4KS76FHFqLFIZfrDMff4kP08nblUkihrxltoGBjg/edit#gid=934712705"",""ESENCIAL!A6:BG""),3,FALSE))"),"")</f>
        <v/>
      </c>
      <c r="H515" s="5" t="str">
        <f ca="1">IFERROR(__xludf.DUMMYFUNCTION("IFERROR(VLOOKUP(F532,IMPORTRANGE(""https://docs.google.com/spreadsheets/d/1Kvs4KS76FHFqLFIZfrDMff4kP08nblUkihrxltoGBjg/edit#gid=934712705"",""ESENCIAL!A6:BG""),8,FALSE))"),"")</f>
        <v/>
      </c>
      <c r="L515" s="287"/>
      <c r="S515"/>
      <c r="AU515" s="41" t="str">
        <f t="shared" si="40"/>
        <v/>
      </c>
      <c r="AV515" s="5" t="str">
        <f ca="1">IFERROR(__xludf.DUMMYFUNCTION("IFERROR(VLOOKUP(E532&amp;F532,IMPORTRANGE(""https://docs.google.com/spreadsheets/d/1Uw7-A9f9R21vMXxHZFNpYNeKFtG8_yji4HS352LGlSQ/edit?pli=1#gid=0"",""1_ACUM!A4:S""),11,FALSE))"),"")</f>
        <v/>
      </c>
      <c r="AW515" s="42" t="str">
        <f ca="1">IFERROR(__xludf.DUMMYFUNCTION("IFERROR(VLOOKUP(F532,IMPORTRANGE(""https://docs.google.com/spreadsheets/d/1Kvs4KS76FHFqLFIZfrDMff4kP08nblUkihrxltoGBjg/edit#gid=934712705"",""ESENCIAL!A6:BG""),15,FALSE))"),"")</f>
        <v/>
      </c>
      <c r="AX515" s="21" t="str">
        <f ca="1">IFERROR(__xludf.DUMMYFUNCTION("IFERROR(VLOOKUP(E532&amp;F532,IMPORTRANGE(""https://docs.google.com/spreadsheets/d/1Uw7-A9f9R21vMXxHZFNpYNeKFtG8_yji4HS352LGlSQ/edit?pli=1#gid=0"",""1_ACUM!A4:S""),12,FALSE))"),"")</f>
        <v/>
      </c>
      <c r="AY515" s="43" t="str">
        <f ca="1">IFERROR(__xludf.DUMMYFUNCTION("IFERROR(VLOOKUP(E532&amp;F532,IMPORTRANGE(""https://docs.google.com/spreadsheets/d/1Uw7-A9f9R21vMXxHZFNpYNeKFtG8_yji4HS352LGlSQ/edit?pli=1#gid=0"",""1_ACUM!A4:S""),13,FALSE))"),"")</f>
        <v/>
      </c>
      <c r="AZ515" s="43" t="str">
        <f ca="1">IFERROR(__xludf.DUMMYFUNCTION("IFERROR(VLOOKUP(E532&amp;F532,IMPORTRANGE(""https://docs.google.com/spreadsheets/d/1Uw7-A9f9R21vMXxHZFNpYNeKFtG8_yji4HS352LGlSQ/edit?pli=1#gid=0"",""1_ACUM!A4:S""),14,FALSE))"),"")</f>
        <v/>
      </c>
      <c r="BA515" s="43" t="str">
        <f ca="1">IFERROR(__xludf.DUMMYFUNCTION("IFERROR(VLOOKUP(E532&amp;F532,IMPORTRANGE(""https://docs.google.com/spreadsheets/d/1Uw7-A9f9R21vMXxHZFNpYNeKFtG8_yji4HS352LGlSQ/edit?pli=1#gid=0"",""1_ACUM!A4:S""),15,FALSE))"),"")</f>
        <v/>
      </c>
      <c r="BB515" s="43" t="str">
        <f ca="1">IFERROR(__xludf.DUMMYFUNCTION("IFERROR(VLOOKUP(E532&amp;F532,IMPORTRANGE(""https://docs.google.com/spreadsheets/d/1Uw7-A9f9R21vMXxHZFNpYNeKFtG8_yji4HS352LGlSQ/edit?pli=1#gid=0"",""1_ACUM!A4:S""),16,FALSE))"),"")</f>
        <v/>
      </c>
      <c r="BC515" s="43" t="str">
        <f ca="1">IFERROR(__xludf.DUMMYFUNCTION("IFERROR(VLOOKUP(E532&amp;F532,IMPORTRANGE(""https://docs.google.com/spreadsheets/d/1Uw7-A9f9R21vMXxHZFNpYNeKFtG8_yji4HS352LGlSQ/edit?pli=1#gid=0"",""1_ACUM!A4:S""),17,FALSE))"),"")</f>
        <v/>
      </c>
      <c r="BD515" s="44" t="str">
        <f ca="1">IFERROR(__xludf.DUMMYFUNCTION("IFERROR(VLOOKUP(E532&amp;F532,IMPORTRANGE(""https://docs.google.com/spreadsheets/d/1Uw7-A9f9R21vMXxHZFNpYNeKFtG8_yji4HS352LGlSQ/edit?pli=1#gid=0"",""1_ACUM!A4:S""),18,FALSE))"),"")</f>
        <v/>
      </c>
      <c r="BE515" s="44" t="str">
        <f ca="1">IFERROR(__xludf.DUMMYFUNCTION("IFERROR(VLOOKUP(E532&amp;F532,IMPORTRANGE(""https://docs.google.com/spreadsheets/d/1Uw7-A9f9R21vMXxHZFNpYNeKFtG8_yji4HS352LGlSQ/edit?pli=1#gid=0"",""1_ACUM!A4:S""),19,FALSE))"),"")</f>
        <v/>
      </c>
      <c r="BF515" s="44" t="str">
        <f ca="1">IFERROR(__xludf.DUMMYFUNCTION("IFERROR(VLOOKUP(F532,IMPORTRANGE(""https://docs.google.com/spreadsheets/d/1Kvs4KS76FHFqLFIZfrDMff4kP08nblUkihrxltoGBjg/edit#gid=934712705"",""ESENCIAL!A6:BG""),5,FALSE))"),"")</f>
        <v/>
      </c>
      <c r="BG515" s="44" t="str">
        <f t="shared" si="41"/>
        <v/>
      </c>
      <c r="BH515" s="41" t="str">
        <f t="shared" si="42"/>
        <v/>
      </c>
      <c r="BI515" s="41" t="str">
        <f ca="1">IFERROR(__xludf.DUMMYFUNCTION("IFERROR(VLOOKUP(F532,IMPORTRANGE(""https://docs.google.com/spreadsheets/d/1Kvs4KS76FHFqLFIZfrDMff4kP08nblUkihrxltoGBjg/edit#gid=934712705"",""ESENCIAL!A6:BG""),18,FALSE))"),"")</f>
        <v/>
      </c>
      <c r="BJ515" s="19" t="str">
        <f t="shared" si="43"/>
        <v/>
      </c>
      <c r="BK515" s="41"/>
      <c r="BL515" s="41"/>
    </row>
    <row r="516" spans="1:64" ht="15">
      <c r="A516" s="4"/>
      <c r="B516" s="4"/>
      <c r="G516" s="5" t="str">
        <f ca="1">IFERROR(__xludf.DUMMYFUNCTION("IFERROR(VLOOKUP(F533,IMPORTRANGE(""https://docs.google.com/spreadsheets/d/1Kvs4KS76FHFqLFIZfrDMff4kP08nblUkihrxltoGBjg/edit#gid=934712705"",""ESENCIAL!A6:BG""),3,FALSE))"),"")</f>
        <v/>
      </c>
      <c r="H516" s="5" t="str">
        <f ca="1">IFERROR(__xludf.DUMMYFUNCTION("IFERROR(VLOOKUP(F533,IMPORTRANGE(""https://docs.google.com/spreadsheets/d/1Kvs4KS76FHFqLFIZfrDMff4kP08nblUkihrxltoGBjg/edit#gid=934712705"",""ESENCIAL!A6:BG""),8,FALSE))"),"")</f>
        <v/>
      </c>
      <c r="L516" s="287"/>
      <c r="S516"/>
      <c r="AU516" s="41" t="str">
        <f t="shared" si="40"/>
        <v/>
      </c>
      <c r="AV516" s="5" t="str">
        <f ca="1">IFERROR(__xludf.DUMMYFUNCTION("IFERROR(VLOOKUP(E533&amp;F533,IMPORTRANGE(""https://docs.google.com/spreadsheets/d/1Uw7-A9f9R21vMXxHZFNpYNeKFtG8_yji4HS352LGlSQ/edit?pli=1#gid=0"",""1_ACUM!A4:S""),11,FALSE))"),"")</f>
        <v/>
      </c>
      <c r="AW516" s="42" t="str">
        <f ca="1">IFERROR(__xludf.DUMMYFUNCTION("IFERROR(VLOOKUP(F533,IMPORTRANGE(""https://docs.google.com/spreadsheets/d/1Kvs4KS76FHFqLFIZfrDMff4kP08nblUkihrxltoGBjg/edit#gid=934712705"",""ESENCIAL!A6:BG""),15,FALSE))"),"")</f>
        <v/>
      </c>
      <c r="AX516" s="21" t="str">
        <f ca="1">IFERROR(__xludf.DUMMYFUNCTION("IFERROR(VLOOKUP(E533&amp;F533,IMPORTRANGE(""https://docs.google.com/spreadsheets/d/1Uw7-A9f9R21vMXxHZFNpYNeKFtG8_yji4HS352LGlSQ/edit?pli=1#gid=0"",""1_ACUM!A4:S""),12,FALSE))"),"")</f>
        <v/>
      </c>
      <c r="AY516" s="43" t="str">
        <f ca="1">IFERROR(__xludf.DUMMYFUNCTION("IFERROR(VLOOKUP(E533&amp;F533,IMPORTRANGE(""https://docs.google.com/spreadsheets/d/1Uw7-A9f9R21vMXxHZFNpYNeKFtG8_yji4HS352LGlSQ/edit?pli=1#gid=0"",""1_ACUM!A4:S""),13,FALSE))"),"")</f>
        <v/>
      </c>
      <c r="AZ516" s="43" t="str">
        <f ca="1">IFERROR(__xludf.DUMMYFUNCTION("IFERROR(VLOOKUP(E533&amp;F533,IMPORTRANGE(""https://docs.google.com/spreadsheets/d/1Uw7-A9f9R21vMXxHZFNpYNeKFtG8_yji4HS352LGlSQ/edit?pli=1#gid=0"",""1_ACUM!A4:S""),14,FALSE))"),"")</f>
        <v/>
      </c>
      <c r="BA516" s="43" t="str">
        <f ca="1">IFERROR(__xludf.DUMMYFUNCTION("IFERROR(VLOOKUP(E533&amp;F533,IMPORTRANGE(""https://docs.google.com/spreadsheets/d/1Uw7-A9f9R21vMXxHZFNpYNeKFtG8_yji4HS352LGlSQ/edit?pli=1#gid=0"",""1_ACUM!A4:S""),15,FALSE))"),"")</f>
        <v/>
      </c>
      <c r="BB516" s="43" t="str">
        <f ca="1">IFERROR(__xludf.DUMMYFUNCTION("IFERROR(VLOOKUP(E533&amp;F533,IMPORTRANGE(""https://docs.google.com/spreadsheets/d/1Uw7-A9f9R21vMXxHZFNpYNeKFtG8_yji4HS352LGlSQ/edit?pli=1#gid=0"",""1_ACUM!A4:S""),16,FALSE))"),"")</f>
        <v/>
      </c>
      <c r="BC516" s="43" t="str">
        <f ca="1">IFERROR(__xludf.DUMMYFUNCTION("IFERROR(VLOOKUP(E533&amp;F533,IMPORTRANGE(""https://docs.google.com/spreadsheets/d/1Uw7-A9f9R21vMXxHZFNpYNeKFtG8_yji4HS352LGlSQ/edit?pli=1#gid=0"",""1_ACUM!A4:S""),17,FALSE))"),"")</f>
        <v/>
      </c>
      <c r="BD516" s="44" t="str">
        <f ca="1">IFERROR(__xludf.DUMMYFUNCTION("IFERROR(VLOOKUP(E533&amp;F533,IMPORTRANGE(""https://docs.google.com/spreadsheets/d/1Uw7-A9f9R21vMXxHZFNpYNeKFtG8_yji4HS352LGlSQ/edit?pli=1#gid=0"",""1_ACUM!A4:S""),18,FALSE))"),"")</f>
        <v/>
      </c>
      <c r="BE516" s="44" t="str">
        <f ca="1">IFERROR(__xludf.DUMMYFUNCTION("IFERROR(VLOOKUP(E533&amp;F533,IMPORTRANGE(""https://docs.google.com/spreadsheets/d/1Uw7-A9f9R21vMXxHZFNpYNeKFtG8_yji4HS352LGlSQ/edit?pli=1#gid=0"",""1_ACUM!A4:S""),19,FALSE))"),"")</f>
        <v/>
      </c>
      <c r="BF516" s="44" t="str">
        <f ca="1">IFERROR(__xludf.DUMMYFUNCTION("IFERROR(VLOOKUP(F533,IMPORTRANGE(""https://docs.google.com/spreadsheets/d/1Kvs4KS76FHFqLFIZfrDMff4kP08nblUkihrxltoGBjg/edit#gid=934712705"",""ESENCIAL!A6:BG""),5,FALSE))"),"")</f>
        <v/>
      </c>
      <c r="BG516" s="44" t="str">
        <f t="shared" si="41"/>
        <v/>
      </c>
      <c r="BH516" s="41" t="str">
        <f t="shared" si="42"/>
        <v/>
      </c>
      <c r="BI516" s="41" t="str">
        <f ca="1">IFERROR(__xludf.DUMMYFUNCTION("IFERROR(VLOOKUP(F533,IMPORTRANGE(""https://docs.google.com/spreadsheets/d/1Kvs4KS76FHFqLFIZfrDMff4kP08nblUkihrxltoGBjg/edit#gid=934712705"",""ESENCIAL!A6:BG""),18,FALSE))"),"")</f>
        <v/>
      </c>
      <c r="BJ516" s="19" t="str">
        <f t="shared" si="43"/>
        <v/>
      </c>
      <c r="BK516" s="41"/>
      <c r="BL516" s="41"/>
    </row>
    <row r="517" spans="1:64" ht="15">
      <c r="A517" s="4"/>
      <c r="B517" s="4"/>
      <c r="G517" s="5" t="str">
        <f ca="1">IFERROR(__xludf.DUMMYFUNCTION("IFERROR(VLOOKUP(F534,IMPORTRANGE(""https://docs.google.com/spreadsheets/d/1Kvs4KS76FHFqLFIZfrDMff4kP08nblUkihrxltoGBjg/edit#gid=934712705"",""ESENCIAL!A6:BG""),3,FALSE))"),"")</f>
        <v/>
      </c>
      <c r="H517" s="5" t="str">
        <f ca="1">IFERROR(__xludf.DUMMYFUNCTION("IFERROR(VLOOKUP(F534,IMPORTRANGE(""https://docs.google.com/spreadsheets/d/1Kvs4KS76FHFqLFIZfrDMff4kP08nblUkihrxltoGBjg/edit#gid=934712705"",""ESENCIAL!A6:BG""),8,FALSE))"),"")</f>
        <v/>
      </c>
      <c r="L517" s="287"/>
      <c r="S517"/>
      <c r="AU517" s="41" t="str">
        <f t="shared" si="40"/>
        <v/>
      </c>
      <c r="AV517" s="5" t="str">
        <f ca="1">IFERROR(__xludf.DUMMYFUNCTION("IFERROR(VLOOKUP(E534&amp;F534,IMPORTRANGE(""https://docs.google.com/spreadsheets/d/1Uw7-A9f9R21vMXxHZFNpYNeKFtG8_yji4HS352LGlSQ/edit?pli=1#gid=0"",""1_ACUM!A4:S""),11,FALSE))"),"")</f>
        <v/>
      </c>
      <c r="AW517" s="42" t="str">
        <f ca="1">IFERROR(__xludf.DUMMYFUNCTION("IFERROR(VLOOKUP(F534,IMPORTRANGE(""https://docs.google.com/spreadsheets/d/1Kvs4KS76FHFqLFIZfrDMff4kP08nblUkihrxltoGBjg/edit#gid=934712705"",""ESENCIAL!A6:BG""),15,FALSE))"),"")</f>
        <v/>
      </c>
      <c r="AX517" s="21" t="str">
        <f ca="1">IFERROR(__xludf.DUMMYFUNCTION("IFERROR(VLOOKUP(E534&amp;F534,IMPORTRANGE(""https://docs.google.com/spreadsheets/d/1Uw7-A9f9R21vMXxHZFNpYNeKFtG8_yji4HS352LGlSQ/edit?pli=1#gid=0"",""1_ACUM!A4:S""),12,FALSE))"),"")</f>
        <v/>
      </c>
      <c r="AY517" s="43" t="str">
        <f ca="1">IFERROR(__xludf.DUMMYFUNCTION("IFERROR(VLOOKUP(E534&amp;F534,IMPORTRANGE(""https://docs.google.com/spreadsheets/d/1Uw7-A9f9R21vMXxHZFNpYNeKFtG8_yji4HS352LGlSQ/edit?pli=1#gid=0"",""1_ACUM!A4:S""),13,FALSE))"),"")</f>
        <v/>
      </c>
      <c r="AZ517" s="43" t="str">
        <f ca="1">IFERROR(__xludf.DUMMYFUNCTION("IFERROR(VLOOKUP(E534&amp;F534,IMPORTRANGE(""https://docs.google.com/spreadsheets/d/1Uw7-A9f9R21vMXxHZFNpYNeKFtG8_yji4HS352LGlSQ/edit?pli=1#gid=0"",""1_ACUM!A4:S""),14,FALSE))"),"")</f>
        <v/>
      </c>
      <c r="BA517" s="43" t="str">
        <f ca="1">IFERROR(__xludf.DUMMYFUNCTION("IFERROR(VLOOKUP(E534&amp;F534,IMPORTRANGE(""https://docs.google.com/spreadsheets/d/1Uw7-A9f9R21vMXxHZFNpYNeKFtG8_yji4HS352LGlSQ/edit?pli=1#gid=0"",""1_ACUM!A4:S""),15,FALSE))"),"")</f>
        <v/>
      </c>
      <c r="BB517" s="43" t="str">
        <f ca="1">IFERROR(__xludf.DUMMYFUNCTION("IFERROR(VLOOKUP(E534&amp;F534,IMPORTRANGE(""https://docs.google.com/spreadsheets/d/1Uw7-A9f9R21vMXxHZFNpYNeKFtG8_yji4HS352LGlSQ/edit?pli=1#gid=0"",""1_ACUM!A4:S""),16,FALSE))"),"")</f>
        <v/>
      </c>
      <c r="BC517" s="43" t="str">
        <f ca="1">IFERROR(__xludf.DUMMYFUNCTION("IFERROR(VLOOKUP(E534&amp;F534,IMPORTRANGE(""https://docs.google.com/spreadsheets/d/1Uw7-A9f9R21vMXxHZFNpYNeKFtG8_yji4HS352LGlSQ/edit?pli=1#gid=0"",""1_ACUM!A4:S""),17,FALSE))"),"")</f>
        <v/>
      </c>
      <c r="BD517" s="44" t="str">
        <f ca="1">IFERROR(__xludf.DUMMYFUNCTION("IFERROR(VLOOKUP(E534&amp;F534,IMPORTRANGE(""https://docs.google.com/spreadsheets/d/1Uw7-A9f9R21vMXxHZFNpYNeKFtG8_yji4HS352LGlSQ/edit?pli=1#gid=0"",""1_ACUM!A4:S""),18,FALSE))"),"")</f>
        <v/>
      </c>
      <c r="BE517" s="44" t="str">
        <f ca="1">IFERROR(__xludf.DUMMYFUNCTION("IFERROR(VLOOKUP(E534&amp;F534,IMPORTRANGE(""https://docs.google.com/spreadsheets/d/1Uw7-A9f9R21vMXxHZFNpYNeKFtG8_yji4HS352LGlSQ/edit?pli=1#gid=0"",""1_ACUM!A4:S""),19,FALSE))"),"")</f>
        <v/>
      </c>
      <c r="BF517" s="44" t="str">
        <f ca="1">IFERROR(__xludf.DUMMYFUNCTION("IFERROR(VLOOKUP(F534,IMPORTRANGE(""https://docs.google.com/spreadsheets/d/1Kvs4KS76FHFqLFIZfrDMff4kP08nblUkihrxltoGBjg/edit#gid=934712705"",""ESENCIAL!A6:BG""),5,FALSE))"),"")</f>
        <v/>
      </c>
      <c r="BG517" s="44" t="str">
        <f t="shared" si="41"/>
        <v/>
      </c>
      <c r="BH517" s="41" t="str">
        <f t="shared" si="42"/>
        <v/>
      </c>
      <c r="BI517" s="41" t="str">
        <f ca="1">IFERROR(__xludf.DUMMYFUNCTION("IFERROR(VLOOKUP(F534,IMPORTRANGE(""https://docs.google.com/spreadsheets/d/1Kvs4KS76FHFqLFIZfrDMff4kP08nblUkihrxltoGBjg/edit#gid=934712705"",""ESENCIAL!A6:BG""),18,FALSE))"),"")</f>
        <v/>
      </c>
      <c r="BJ517" s="19" t="str">
        <f t="shared" si="43"/>
        <v/>
      </c>
      <c r="BK517" s="41"/>
      <c r="BL517" s="41"/>
    </row>
    <row r="518" spans="1:64" ht="15">
      <c r="A518" s="4"/>
      <c r="B518" s="4"/>
      <c r="G518" s="5" t="str">
        <f ca="1">IFERROR(__xludf.DUMMYFUNCTION("IFERROR(VLOOKUP(F535,IMPORTRANGE(""https://docs.google.com/spreadsheets/d/1Kvs4KS76FHFqLFIZfrDMff4kP08nblUkihrxltoGBjg/edit#gid=934712705"",""ESENCIAL!A6:BG""),3,FALSE))"),"")</f>
        <v/>
      </c>
      <c r="H518" s="5" t="str">
        <f ca="1">IFERROR(__xludf.DUMMYFUNCTION("IFERROR(VLOOKUP(F535,IMPORTRANGE(""https://docs.google.com/spreadsheets/d/1Kvs4KS76FHFqLFIZfrDMff4kP08nblUkihrxltoGBjg/edit#gid=934712705"",""ESENCIAL!A6:BG""),8,FALSE))"),"")</f>
        <v/>
      </c>
      <c r="L518" s="287"/>
      <c r="S518"/>
      <c r="AU518" s="41" t="str">
        <f t="shared" si="40"/>
        <v/>
      </c>
      <c r="AV518" s="5" t="str">
        <f ca="1">IFERROR(__xludf.DUMMYFUNCTION("IFERROR(VLOOKUP(E535&amp;F535,IMPORTRANGE(""https://docs.google.com/spreadsheets/d/1Uw7-A9f9R21vMXxHZFNpYNeKFtG8_yji4HS352LGlSQ/edit?pli=1#gid=0"",""1_ACUM!A4:S""),11,FALSE))"),"")</f>
        <v/>
      </c>
      <c r="AW518" s="42" t="str">
        <f ca="1">IFERROR(__xludf.DUMMYFUNCTION("IFERROR(VLOOKUP(F535,IMPORTRANGE(""https://docs.google.com/spreadsheets/d/1Kvs4KS76FHFqLFIZfrDMff4kP08nblUkihrxltoGBjg/edit#gid=934712705"",""ESENCIAL!A6:BG""),15,FALSE))"),"")</f>
        <v/>
      </c>
      <c r="AX518" s="21" t="str">
        <f ca="1">IFERROR(__xludf.DUMMYFUNCTION("IFERROR(VLOOKUP(E535&amp;F535,IMPORTRANGE(""https://docs.google.com/spreadsheets/d/1Uw7-A9f9R21vMXxHZFNpYNeKFtG8_yji4HS352LGlSQ/edit?pli=1#gid=0"",""1_ACUM!A4:S""),12,FALSE))"),"")</f>
        <v/>
      </c>
      <c r="AY518" s="43" t="str">
        <f ca="1">IFERROR(__xludf.DUMMYFUNCTION("IFERROR(VLOOKUP(E535&amp;F535,IMPORTRANGE(""https://docs.google.com/spreadsheets/d/1Uw7-A9f9R21vMXxHZFNpYNeKFtG8_yji4HS352LGlSQ/edit?pli=1#gid=0"",""1_ACUM!A4:S""),13,FALSE))"),"")</f>
        <v/>
      </c>
      <c r="AZ518" s="43" t="str">
        <f ca="1">IFERROR(__xludf.DUMMYFUNCTION("IFERROR(VLOOKUP(E535&amp;F535,IMPORTRANGE(""https://docs.google.com/spreadsheets/d/1Uw7-A9f9R21vMXxHZFNpYNeKFtG8_yji4HS352LGlSQ/edit?pli=1#gid=0"",""1_ACUM!A4:S""),14,FALSE))"),"")</f>
        <v/>
      </c>
      <c r="BA518" s="43" t="str">
        <f ca="1">IFERROR(__xludf.DUMMYFUNCTION("IFERROR(VLOOKUP(E535&amp;F535,IMPORTRANGE(""https://docs.google.com/spreadsheets/d/1Uw7-A9f9R21vMXxHZFNpYNeKFtG8_yji4HS352LGlSQ/edit?pli=1#gid=0"",""1_ACUM!A4:S""),15,FALSE))"),"")</f>
        <v/>
      </c>
      <c r="BB518" s="43" t="str">
        <f ca="1">IFERROR(__xludf.DUMMYFUNCTION("IFERROR(VLOOKUP(E535&amp;F535,IMPORTRANGE(""https://docs.google.com/spreadsheets/d/1Uw7-A9f9R21vMXxHZFNpYNeKFtG8_yji4HS352LGlSQ/edit?pli=1#gid=0"",""1_ACUM!A4:S""),16,FALSE))"),"")</f>
        <v/>
      </c>
      <c r="BC518" s="43" t="str">
        <f ca="1">IFERROR(__xludf.DUMMYFUNCTION("IFERROR(VLOOKUP(E535&amp;F535,IMPORTRANGE(""https://docs.google.com/spreadsheets/d/1Uw7-A9f9R21vMXxHZFNpYNeKFtG8_yji4HS352LGlSQ/edit?pli=1#gid=0"",""1_ACUM!A4:S""),17,FALSE))"),"")</f>
        <v/>
      </c>
      <c r="BD518" s="44" t="str">
        <f ca="1">IFERROR(__xludf.DUMMYFUNCTION("IFERROR(VLOOKUP(E535&amp;F535,IMPORTRANGE(""https://docs.google.com/spreadsheets/d/1Uw7-A9f9R21vMXxHZFNpYNeKFtG8_yji4HS352LGlSQ/edit?pli=1#gid=0"",""1_ACUM!A4:S""),18,FALSE))"),"")</f>
        <v/>
      </c>
      <c r="BE518" s="44" t="str">
        <f ca="1">IFERROR(__xludf.DUMMYFUNCTION("IFERROR(VLOOKUP(E535&amp;F535,IMPORTRANGE(""https://docs.google.com/spreadsheets/d/1Uw7-A9f9R21vMXxHZFNpYNeKFtG8_yji4HS352LGlSQ/edit?pli=1#gid=0"",""1_ACUM!A4:S""),19,FALSE))"),"")</f>
        <v/>
      </c>
      <c r="BF518" s="44" t="str">
        <f ca="1">IFERROR(__xludf.DUMMYFUNCTION("IFERROR(VLOOKUP(F535,IMPORTRANGE(""https://docs.google.com/spreadsheets/d/1Kvs4KS76FHFqLFIZfrDMff4kP08nblUkihrxltoGBjg/edit#gid=934712705"",""ESENCIAL!A6:BG""),5,FALSE))"),"")</f>
        <v/>
      </c>
      <c r="BG518" s="44" t="str">
        <f t="shared" si="41"/>
        <v/>
      </c>
      <c r="BH518" s="41" t="str">
        <f t="shared" si="42"/>
        <v/>
      </c>
      <c r="BI518" s="41" t="str">
        <f ca="1">IFERROR(__xludf.DUMMYFUNCTION("IFERROR(VLOOKUP(F535,IMPORTRANGE(""https://docs.google.com/spreadsheets/d/1Kvs4KS76FHFqLFIZfrDMff4kP08nblUkihrxltoGBjg/edit#gid=934712705"",""ESENCIAL!A6:BG""),18,FALSE))"),"")</f>
        <v/>
      </c>
      <c r="BJ518" s="19" t="str">
        <f t="shared" si="43"/>
        <v/>
      </c>
      <c r="BK518" s="41"/>
      <c r="BL518" s="41"/>
    </row>
    <row r="519" spans="1:64" ht="15">
      <c r="A519" s="4"/>
      <c r="B519" s="4"/>
      <c r="G519" s="5" t="str">
        <f ca="1">IFERROR(__xludf.DUMMYFUNCTION("IFERROR(VLOOKUP(F536,IMPORTRANGE(""https://docs.google.com/spreadsheets/d/1Kvs4KS76FHFqLFIZfrDMff4kP08nblUkihrxltoGBjg/edit#gid=934712705"",""ESENCIAL!A6:BG""),3,FALSE))"),"")</f>
        <v/>
      </c>
      <c r="H519" s="5" t="str">
        <f ca="1">IFERROR(__xludf.DUMMYFUNCTION("IFERROR(VLOOKUP(F536,IMPORTRANGE(""https://docs.google.com/spreadsheets/d/1Kvs4KS76FHFqLFIZfrDMff4kP08nblUkihrxltoGBjg/edit#gid=934712705"",""ESENCIAL!A6:BG""),8,FALSE))"),"")</f>
        <v/>
      </c>
      <c r="L519" s="287"/>
      <c r="S519"/>
      <c r="AU519" s="41" t="str">
        <f t="shared" si="40"/>
        <v/>
      </c>
      <c r="AV519" s="5" t="str">
        <f ca="1">IFERROR(__xludf.DUMMYFUNCTION("IFERROR(VLOOKUP(E536&amp;F536,IMPORTRANGE(""https://docs.google.com/spreadsheets/d/1Uw7-A9f9R21vMXxHZFNpYNeKFtG8_yji4HS352LGlSQ/edit?pli=1#gid=0"",""1_ACUM!A4:S""),11,FALSE))"),"")</f>
        <v/>
      </c>
      <c r="AW519" s="42" t="str">
        <f ca="1">IFERROR(__xludf.DUMMYFUNCTION("IFERROR(VLOOKUP(F536,IMPORTRANGE(""https://docs.google.com/spreadsheets/d/1Kvs4KS76FHFqLFIZfrDMff4kP08nblUkihrxltoGBjg/edit#gid=934712705"",""ESENCIAL!A6:BG""),15,FALSE))"),"")</f>
        <v/>
      </c>
      <c r="AX519" s="21" t="str">
        <f ca="1">IFERROR(__xludf.DUMMYFUNCTION("IFERROR(VLOOKUP(E536&amp;F536,IMPORTRANGE(""https://docs.google.com/spreadsheets/d/1Uw7-A9f9R21vMXxHZFNpYNeKFtG8_yji4HS352LGlSQ/edit?pli=1#gid=0"",""1_ACUM!A4:S""),12,FALSE))"),"")</f>
        <v/>
      </c>
      <c r="AY519" s="43" t="str">
        <f ca="1">IFERROR(__xludf.DUMMYFUNCTION("IFERROR(VLOOKUP(E536&amp;F536,IMPORTRANGE(""https://docs.google.com/spreadsheets/d/1Uw7-A9f9R21vMXxHZFNpYNeKFtG8_yji4HS352LGlSQ/edit?pli=1#gid=0"",""1_ACUM!A4:S""),13,FALSE))"),"")</f>
        <v/>
      </c>
      <c r="AZ519" s="43" t="str">
        <f ca="1">IFERROR(__xludf.DUMMYFUNCTION("IFERROR(VLOOKUP(E536&amp;F536,IMPORTRANGE(""https://docs.google.com/spreadsheets/d/1Uw7-A9f9R21vMXxHZFNpYNeKFtG8_yji4HS352LGlSQ/edit?pli=1#gid=0"",""1_ACUM!A4:S""),14,FALSE))"),"")</f>
        <v/>
      </c>
      <c r="BA519" s="43" t="str">
        <f ca="1">IFERROR(__xludf.DUMMYFUNCTION("IFERROR(VLOOKUP(E536&amp;F536,IMPORTRANGE(""https://docs.google.com/spreadsheets/d/1Uw7-A9f9R21vMXxHZFNpYNeKFtG8_yji4HS352LGlSQ/edit?pli=1#gid=0"",""1_ACUM!A4:S""),15,FALSE))"),"")</f>
        <v/>
      </c>
      <c r="BB519" s="43" t="str">
        <f ca="1">IFERROR(__xludf.DUMMYFUNCTION("IFERROR(VLOOKUP(E536&amp;F536,IMPORTRANGE(""https://docs.google.com/spreadsheets/d/1Uw7-A9f9R21vMXxHZFNpYNeKFtG8_yji4HS352LGlSQ/edit?pli=1#gid=0"",""1_ACUM!A4:S""),16,FALSE))"),"")</f>
        <v/>
      </c>
      <c r="BC519" s="43" t="str">
        <f ca="1">IFERROR(__xludf.DUMMYFUNCTION("IFERROR(VLOOKUP(E536&amp;F536,IMPORTRANGE(""https://docs.google.com/spreadsheets/d/1Uw7-A9f9R21vMXxHZFNpYNeKFtG8_yji4HS352LGlSQ/edit?pli=1#gid=0"",""1_ACUM!A4:S""),17,FALSE))"),"")</f>
        <v/>
      </c>
      <c r="BD519" s="44" t="str">
        <f ca="1">IFERROR(__xludf.DUMMYFUNCTION("IFERROR(VLOOKUP(E536&amp;F536,IMPORTRANGE(""https://docs.google.com/spreadsheets/d/1Uw7-A9f9R21vMXxHZFNpYNeKFtG8_yji4HS352LGlSQ/edit?pli=1#gid=0"",""1_ACUM!A4:S""),18,FALSE))"),"")</f>
        <v/>
      </c>
      <c r="BE519" s="44" t="str">
        <f ca="1">IFERROR(__xludf.DUMMYFUNCTION("IFERROR(VLOOKUP(E536&amp;F536,IMPORTRANGE(""https://docs.google.com/spreadsheets/d/1Uw7-A9f9R21vMXxHZFNpYNeKFtG8_yji4HS352LGlSQ/edit?pli=1#gid=0"",""1_ACUM!A4:S""),19,FALSE))"),"")</f>
        <v/>
      </c>
      <c r="BF519" s="44" t="str">
        <f ca="1">IFERROR(__xludf.DUMMYFUNCTION("IFERROR(VLOOKUP(F536,IMPORTRANGE(""https://docs.google.com/spreadsheets/d/1Kvs4KS76FHFqLFIZfrDMff4kP08nblUkihrxltoGBjg/edit#gid=934712705"",""ESENCIAL!A6:BG""),5,FALSE))"),"")</f>
        <v/>
      </c>
      <c r="BG519" s="44" t="str">
        <f t="shared" si="41"/>
        <v/>
      </c>
      <c r="BH519" s="41" t="str">
        <f t="shared" si="42"/>
        <v/>
      </c>
      <c r="BI519" s="41" t="str">
        <f ca="1">IFERROR(__xludf.DUMMYFUNCTION("IFERROR(VLOOKUP(F536,IMPORTRANGE(""https://docs.google.com/spreadsheets/d/1Kvs4KS76FHFqLFIZfrDMff4kP08nblUkihrxltoGBjg/edit#gid=934712705"",""ESENCIAL!A6:BG""),18,FALSE))"),"")</f>
        <v/>
      </c>
      <c r="BJ519" s="19" t="str">
        <f t="shared" si="43"/>
        <v/>
      </c>
      <c r="BK519" s="41"/>
      <c r="BL519" s="41"/>
    </row>
    <row r="520" spans="1:64" ht="15">
      <c r="A520" s="4"/>
      <c r="B520" s="4"/>
      <c r="G520" s="5" t="str">
        <f ca="1">IFERROR(__xludf.DUMMYFUNCTION("IFERROR(VLOOKUP(F537,IMPORTRANGE(""https://docs.google.com/spreadsheets/d/1Kvs4KS76FHFqLFIZfrDMff4kP08nblUkihrxltoGBjg/edit#gid=934712705"",""ESENCIAL!A6:BG""),3,FALSE))"),"")</f>
        <v/>
      </c>
      <c r="H520" s="5" t="str">
        <f ca="1">IFERROR(__xludf.DUMMYFUNCTION("IFERROR(VLOOKUP(F537,IMPORTRANGE(""https://docs.google.com/spreadsheets/d/1Kvs4KS76FHFqLFIZfrDMff4kP08nblUkihrxltoGBjg/edit#gid=934712705"",""ESENCIAL!A6:BG""),8,FALSE))"),"")</f>
        <v/>
      </c>
      <c r="L520" s="287"/>
      <c r="S520"/>
      <c r="AU520" s="41" t="str">
        <f t="shared" si="40"/>
        <v/>
      </c>
      <c r="AV520" s="5" t="str">
        <f ca="1">IFERROR(__xludf.DUMMYFUNCTION("IFERROR(VLOOKUP(E537&amp;F537,IMPORTRANGE(""https://docs.google.com/spreadsheets/d/1Uw7-A9f9R21vMXxHZFNpYNeKFtG8_yji4HS352LGlSQ/edit?pli=1#gid=0"",""1_ACUM!A4:S""),11,FALSE))"),"")</f>
        <v/>
      </c>
      <c r="AW520" s="42" t="str">
        <f ca="1">IFERROR(__xludf.DUMMYFUNCTION("IFERROR(VLOOKUP(F537,IMPORTRANGE(""https://docs.google.com/spreadsheets/d/1Kvs4KS76FHFqLFIZfrDMff4kP08nblUkihrxltoGBjg/edit#gid=934712705"",""ESENCIAL!A6:BG""),15,FALSE))"),"")</f>
        <v/>
      </c>
      <c r="AX520" s="21" t="str">
        <f ca="1">IFERROR(__xludf.DUMMYFUNCTION("IFERROR(VLOOKUP(E537&amp;F537,IMPORTRANGE(""https://docs.google.com/spreadsheets/d/1Uw7-A9f9R21vMXxHZFNpYNeKFtG8_yji4HS352LGlSQ/edit?pli=1#gid=0"",""1_ACUM!A4:S""),12,FALSE))"),"")</f>
        <v/>
      </c>
      <c r="AY520" s="43" t="str">
        <f ca="1">IFERROR(__xludf.DUMMYFUNCTION("IFERROR(VLOOKUP(E537&amp;F537,IMPORTRANGE(""https://docs.google.com/spreadsheets/d/1Uw7-A9f9R21vMXxHZFNpYNeKFtG8_yji4HS352LGlSQ/edit?pli=1#gid=0"",""1_ACUM!A4:S""),13,FALSE))"),"")</f>
        <v/>
      </c>
      <c r="AZ520" s="43" t="str">
        <f ca="1">IFERROR(__xludf.DUMMYFUNCTION("IFERROR(VLOOKUP(E537&amp;F537,IMPORTRANGE(""https://docs.google.com/spreadsheets/d/1Uw7-A9f9R21vMXxHZFNpYNeKFtG8_yji4HS352LGlSQ/edit?pli=1#gid=0"",""1_ACUM!A4:S""),14,FALSE))"),"")</f>
        <v/>
      </c>
      <c r="BA520" s="43" t="str">
        <f ca="1">IFERROR(__xludf.DUMMYFUNCTION("IFERROR(VLOOKUP(E537&amp;F537,IMPORTRANGE(""https://docs.google.com/spreadsheets/d/1Uw7-A9f9R21vMXxHZFNpYNeKFtG8_yji4HS352LGlSQ/edit?pli=1#gid=0"",""1_ACUM!A4:S""),15,FALSE))"),"")</f>
        <v/>
      </c>
      <c r="BB520" s="43" t="str">
        <f ca="1">IFERROR(__xludf.DUMMYFUNCTION("IFERROR(VLOOKUP(E537&amp;F537,IMPORTRANGE(""https://docs.google.com/spreadsheets/d/1Uw7-A9f9R21vMXxHZFNpYNeKFtG8_yji4HS352LGlSQ/edit?pli=1#gid=0"",""1_ACUM!A4:S""),16,FALSE))"),"")</f>
        <v/>
      </c>
      <c r="BC520" s="43" t="str">
        <f ca="1">IFERROR(__xludf.DUMMYFUNCTION("IFERROR(VLOOKUP(E537&amp;F537,IMPORTRANGE(""https://docs.google.com/spreadsheets/d/1Uw7-A9f9R21vMXxHZFNpYNeKFtG8_yji4HS352LGlSQ/edit?pli=1#gid=0"",""1_ACUM!A4:S""),17,FALSE))"),"")</f>
        <v/>
      </c>
      <c r="BD520" s="44" t="str">
        <f ca="1">IFERROR(__xludf.DUMMYFUNCTION("IFERROR(VLOOKUP(E537&amp;F537,IMPORTRANGE(""https://docs.google.com/spreadsheets/d/1Uw7-A9f9R21vMXxHZFNpYNeKFtG8_yji4HS352LGlSQ/edit?pli=1#gid=0"",""1_ACUM!A4:S""),18,FALSE))"),"")</f>
        <v/>
      </c>
      <c r="BE520" s="44" t="str">
        <f ca="1">IFERROR(__xludf.DUMMYFUNCTION("IFERROR(VLOOKUP(E537&amp;F537,IMPORTRANGE(""https://docs.google.com/spreadsheets/d/1Uw7-A9f9R21vMXxHZFNpYNeKFtG8_yji4HS352LGlSQ/edit?pli=1#gid=0"",""1_ACUM!A4:S""),19,FALSE))"),"")</f>
        <v/>
      </c>
      <c r="BF520" s="44" t="str">
        <f ca="1">IFERROR(__xludf.DUMMYFUNCTION("IFERROR(VLOOKUP(F537,IMPORTRANGE(""https://docs.google.com/spreadsheets/d/1Kvs4KS76FHFqLFIZfrDMff4kP08nblUkihrxltoGBjg/edit#gid=934712705"",""ESENCIAL!A6:BG""),5,FALSE))"),"")</f>
        <v/>
      </c>
      <c r="BG520" s="44" t="str">
        <f t="shared" si="41"/>
        <v/>
      </c>
      <c r="BH520" s="41" t="str">
        <f t="shared" si="42"/>
        <v/>
      </c>
      <c r="BI520" s="41" t="str">
        <f ca="1">IFERROR(__xludf.DUMMYFUNCTION("IFERROR(VLOOKUP(F537,IMPORTRANGE(""https://docs.google.com/spreadsheets/d/1Kvs4KS76FHFqLFIZfrDMff4kP08nblUkihrxltoGBjg/edit#gid=934712705"",""ESENCIAL!A6:BG""),18,FALSE))"),"")</f>
        <v/>
      </c>
      <c r="BJ520" s="19" t="str">
        <f t="shared" si="43"/>
        <v/>
      </c>
      <c r="BK520" s="41"/>
      <c r="BL520" s="41"/>
    </row>
    <row r="521" spans="1:64" ht="15">
      <c r="A521" s="4"/>
      <c r="B521" s="4"/>
      <c r="G521" s="5" t="str">
        <f ca="1">IFERROR(__xludf.DUMMYFUNCTION("IFERROR(VLOOKUP(F538,IMPORTRANGE(""https://docs.google.com/spreadsheets/d/1Kvs4KS76FHFqLFIZfrDMff4kP08nblUkihrxltoGBjg/edit#gid=934712705"",""ESENCIAL!A6:BG""),3,FALSE))"),"")</f>
        <v/>
      </c>
      <c r="H521" s="5" t="str">
        <f ca="1">IFERROR(__xludf.DUMMYFUNCTION("IFERROR(VLOOKUP(F538,IMPORTRANGE(""https://docs.google.com/spreadsheets/d/1Kvs4KS76FHFqLFIZfrDMff4kP08nblUkihrxltoGBjg/edit#gid=934712705"",""ESENCIAL!A6:BG""),8,FALSE))"),"")</f>
        <v/>
      </c>
      <c r="L521" s="287"/>
      <c r="S521"/>
      <c r="AU521" s="41" t="str">
        <f t="shared" si="40"/>
        <v/>
      </c>
      <c r="AV521" s="5" t="str">
        <f ca="1">IFERROR(__xludf.DUMMYFUNCTION("IFERROR(VLOOKUP(E538&amp;F538,IMPORTRANGE(""https://docs.google.com/spreadsheets/d/1Uw7-A9f9R21vMXxHZFNpYNeKFtG8_yji4HS352LGlSQ/edit?pli=1#gid=0"",""1_ACUM!A4:S""),11,FALSE))"),"")</f>
        <v/>
      </c>
      <c r="AW521" s="42" t="str">
        <f ca="1">IFERROR(__xludf.DUMMYFUNCTION("IFERROR(VLOOKUP(F538,IMPORTRANGE(""https://docs.google.com/spreadsheets/d/1Kvs4KS76FHFqLFIZfrDMff4kP08nblUkihrxltoGBjg/edit#gid=934712705"",""ESENCIAL!A6:BG""),15,FALSE))"),"")</f>
        <v/>
      </c>
      <c r="AX521" s="21" t="str">
        <f ca="1">IFERROR(__xludf.DUMMYFUNCTION("IFERROR(VLOOKUP(E538&amp;F538,IMPORTRANGE(""https://docs.google.com/spreadsheets/d/1Uw7-A9f9R21vMXxHZFNpYNeKFtG8_yji4HS352LGlSQ/edit?pli=1#gid=0"",""1_ACUM!A4:S""),12,FALSE))"),"")</f>
        <v/>
      </c>
      <c r="AY521" s="43" t="str">
        <f ca="1">IFERROR(__xludf.DUMMYFUNCTION("IFERROR(VLOOKUP(E538&amp;F538,IMPORTRANGE(""https://docs.google.com/spreadsheets/d/1Uw7-A9f9R21vMXxHZFNpYNeKFtG8_yji4HS352LGlSQ/edit?pli=1#gid=0"",""1_ACUM!A4:S""),13,FALSE))"),"")</f>
        <v/>
      </c>
      <c r="AZ521" s="43" t="str">
        <f ca="1">IFERROR(__xludf.DUMMYFUNCTION("IFERROR(VLOOKUP(E538&amp;F538,IMPORTRANGE(""https://docs.google.com/spreadsheets/d/1Uw7-A9f9R21vMXxHZFNpYNeKFtG8_yji4HS352LGlSQ/edit?pli=1#gid=0"",""1_ACUM!A4:S""),14,FALSE))"),"")</f>
        <v/>
      </c>
      <c r="BA521" s="43" t="str">
        <f ca="1">IFERROR(__xludf.DUMMYFUNCTION("IFERROR(VLOOKUP(E538&amp;F538,IMPORTRANGE(""https://docs.google.com/spreadsheets/d/1Uw7-A9f9R21vMXxHZFNpYNeKFtG8_yji4HS352LGlSQ/edit?pli=1#gid=0"",""1_ACUM!A4:S""),15,FALSE))"),"")</f>
        <v/>
      </c>
      <c r="BB521" s="43" t="str">
        <f ca="1">IFERROR(__xludf.DUMMYFUNCTION("IFERROR(VLOOKUP(E538&amp;F538,IMPORTRANGE(""https://docs.google.com/spreadsheets/d/1Uw7-A9f9R21vMXxHZFNpYNeKFtG8_yji4HS352LGlSQ/edit?pli=1#gid=0"",""1_ACUM!A4:S""),16,FALSE))"),"")</f>
        <v/>
      </c>
      <c r="BC521" s="43" t="str">
        <f ca="1">IFERROR(__xludf.DUMMYFUNCTION("IFERROR(VLOOKUP(E538&amp;F538,IMPORTRANGE(""https://docs.google.com/spreadsheets/d/1Uw7-A9f9R21vMXxHZFNpYNeKFtG8_yji4HS352LGlSQ/edit?pli=1#gid=0"",""1_ACUM!A4:S""),17,FALSE))"),"")</f>
        <v/>
      </c>
      <c r="BD521" s="44" t="str">
        <f ca="1">IFERROR(__xludf.DUMMYFUNCTION("IFERROR(VLOOKUP(E538&amp;F538,IMPORTRANGE(""https://docs.google.com/spreadsheets/d/1Uw7-A9f9R21vMXxHZFNpYNeKFtG8_yji4HS352LGlSQ/edit?pli=1#gid=0"",""1_ACUM!A4:S""),18,FALSE))"),"")</f>
        <v/>
      </c>
      <c r="BE521" s="44" t="str">
        <f ca="1">IFERROR(__xludf.DUMMYFUNCTION("IFERROR(VLOOKUP(E538&amp;F538,IMPORTRANGE(""https://docs.google.com/spreadsheets/d/1Uw7-A9f9R21vMXxHZFNpYNeKFtG8_yji4HS352LGlSQ/edit?pli=1#gid=0"",""1_ACUM!A4:S""),19,FALSE))"),"")</f>
        <v/>
      </c>
      <c r="BF521" s="44" t="str">
        <f ca="1">IFERROR(__xludf.DUMMYFUNCTION("IFERROR(VLOOKUP(F538,IMPORTRANGE(""https://docs.google.com/spreadsheets/d/1Kvs4KS76FHFqLFIZfrDMff4kP08nblUkihrxltoGBjg/edit#gid=934712705"",""ESENCIAL!A6:BG""),5,FALSE))"),"")</f>
        <v/>
      </c>
      <c r="BG521" s="44" t="str">
        <f t="shared" si="41"/>
        <v/>
      </c>
      <c r="BH521" s="41" t="str">
        <f t="shared" si="42"/>
        <v/>
      </c>
      <c r="BI521" s="41" t="str">
        <f ca="1">IFERROR(__xludf.DUMMYFUNCTION("IFERROR(VLOOKUP(F538,IMPORTRANGE(""https://docs.google.com/spreadsheets/d/1Kvs4KS76FHFqLFIZfrDMff4kP08nblUkihrxltoGBjg/edit#gid=934712705"",""ESENCIAL!A6:BG""),18,FALSE))"),"")</f>
        <v/>
      </c>
      <c r="BJ521" s="19" t="str">
        <f t="shared" si="43"/>
        <v/>
      </c>
      <c r="BK521" s="41"/>
      <c r="BL521" s="41"/>
    </row>
    <row r="522" spans="1:64" ht="15">
      <c r="A522" s="4"/>
      <c r="B522" s="4"/>
      <c r="G522" s="5" t="str">
        <f ca="1">IFERROR(__xludf.DUMMYFUNCTION("IFERROR(VLOOKUP(F539,IMPORTRANGE(""https://docs.google.com/spreadsheets/d/1Kvs4KS76FHFqLFIZfrDMff4kP08nblUkihrxltoGBjg/edit#gid=934712705"",""ESENCIAL!A6:BG""),3,FALSE))"),"")</f>
        <v/>
      </c>
      <c r="H522" s="5" t="str">
        <f ca="1">IFERROR(__xludf.DUMMYFUNCTION("IFERROR(VLOOKUP(F539,IMPORTRANGE(""https://docs.google.com/spreadsheets/d/1Kvs4KS76FHFqLFIZfrDMff4kP08nblUkihrxltoGBjg/edit#gid=934712705"",""ESENCIAL!A6:BG""),8,FALSE))"),"")</f>
        <v/>
      </c>
      <c r="L522" s="287"/>
      <c r="S522"/>
      <c r="AU522" s="41" t="str">
        <f t="shared" si="40"/>
        <v/>
      </c>
      <c r="AV522" s="5" t="str">
        <f ca="1">IFERROR(__xludf.DUMMYFUNCTION("IFERROR(VLOOKUP(E539&amp;F539,IMPORTRANGE(""https://docs.google.com/spreadsheets/d/1Uw7-A9f9R21vMXxHZFNpYNeKFtG8_yji4HS352LGlSQ/edit?pli=1#gid=0"",""1_ACUM!A4:S""),11,FALSE))"),"")</f>
        <v/>
      </c>
      <c r="AW522" s="42" t="str">
        <f ca="1">IFERROR(__xludf.DUMMYFUNCTION("IFERROR(VLOOKUP(F539,IMPORTRANGE(""https://docs.google.com/spreadsheets/d/1Kvs4KS76FHFqLFIZfrDMff4kP08nblUkihrxltoGBjg/edit#gid=934712705"",""ESENCIAL!A6:BG""),15,FALSE))"),"")</f>
        <v/>
      </c>
      <c r="AX522" s="21" t="str">
        <f ca="1">IFERROR(__xludf.DUMMYFUNCTION("IFERROR(VLOOKUP(E539&amp;F539,IMPORTRANGE(""https://docs.google.com/spreadsheets/d/1Uw7-A9f9R21vMXxHZFNpYNeKFtG8_yji4HS352LGlSQ/edit?pli=1#gid=0"",""1_ACUM!A4:S""),12,FALSE))"),"")</f>
        <v/>
      </c>
      <c r="AY522" s="43" t="str">
        <f ca="1">IFERROR(__xludf.DUMMYFUNCTION("IFERROR(VLOOKUP(E539&amp;F539,IMPORTRANGE(""https://docs.google.com/spreadsheets/d/1Uw7-A9f9R21vMXxHZFNpYNeKFtG8_yji4HS352LGlSQ/edit?pli=1#gid=0"",""1_ACUM!A4:S""),13,FALSE))"),"")</f>
        <v/>
      </c>
      <c r="AZ522" s="43" t="str">
        <f ca="1">IFERROR(__xludf.DUMMYFUNCTION("IFERROR(VLOOKUP(E539&amp;F539,IMPORTRANGE(""https://docs.google.com/spreadsheets/d/1Uw7-A9f9R21vMXxHZFNpYNeKFtG8_yji4HS352LGlSQ/edit?pli=1#gid=0"",""1_ACUM!A4:S""),14,FALSE))"),"")</f>
        <v/>
      </c>
      <c r="BA522" s="43" t="str">
        <f ca="1">IFERROR(__xludf.DUMMYFUNCTION("IFERROR(VLOOKUP(E539&amp;F539,IMPORTRANGE(""https://docs.google.com/spreadsheets/d/1Uw7-A9f9R21vMXxHZFNpYNeKFtG8_yji4HS352LGlSQ/edit?pli=1#gid=0"",""1_ACUM!A4:S""),15,FALSE))"),"")</f>
        <v/>
      </c>
      <c r="BB522" s="43" t="str">
        <f ca="1">IFERROR(__xludf.DUMMYFUNCTION("IFERROR(VLOOKUP(E539&amp;F539,IMPORTRANGE(""https://docs.google.com/spreadsheets/d/1Uw7-A9f9R21vMXxHZFNpYNeKFtG8_yji4HS352LGlSQ/edit?pli=1#gid=0"",""1_ACUM!A4:S""),16,FALSE))"),"")</f>
        <v/>
      </c>
      <c r="BC522" s="43" t="str">
        <f ca="1">IFERROR(__xludf.DUMMYFUNCTION("IFERROR(VLOOKUP(E539&amp;F539,IMPORTRANGE(""https://docs.google.com/spreadsheets/d/1Uw7-A9f9R21vMXxHZFNpYNeKFtG8_yji4HS352LGlSQ/edit?pli=1#gid=0"",""1_ACUM!A4:S""),17,FALSE))"),"")</f>
        <v/>
      </c>
      <c r="BD522" s="44" t="str">
        <f ca="1">IFERROR(__xludf.DUMMYFUNCTION("IFERROR(VLOOKUP(E539&amp;F539,IMPORTRANGE(""https://docs.google.com/spreadsheets/d/1Uw7-A9f9R21vMXxHZFNpYNeKFtG8_yji4HS352LGlSQ/edit?pli=1#gid=0"",""1_ACUM!A4:S""),18,FALSE))"),"")</f>
        <v/>
      </c>
      <c r="BE522" s="44" t="str">
        <f ca="1">IFERROR(__xludf.DUMMYFUNCTION("IFERROR(VLOOKUP(E539&amp;F539,IMPORTRANGE(""https://docs.google.com/spreadsheets/d/1Uw7-A9f9R21vMXxHZFNpYNeKFtG8_yji4HS352LGlSQ/edit?pli=1#gid=0"",""1_ACUM!A4:S""),19,FALSE))"),"")</f>
        <v/>
      </c>
      <c r="BF522" s="44" t="str">
        <f ca="1">IFERROR(__xludf.DUMMYFUNCTION("IFERROR(VLOOKUP(F539,IMPORTRANGE(""https://docs.google.com/spreadsheets/d/1Kvs4KS76FHFqLFIZfrDMff4kP08nblUkihrxltoGBjg/edit#gid=934712705"",""ESENCIAL!A6:BG""),5,FALSE))"),"")</f>
        <v/>
      </c>
      <c r="BG522" s="44" t="str">
        <f t="shared" si="41"/>
        <v/>
      </c>
      <c r="BH522" s="41" t="str">
        <f t="shared" si="42"/>
        <v/>
      </c>
      <c r="BI522" s="41" t="str">
        <f ca="1">IFERROR(__xludf.DUMMYFUNCTION("IFERROR(VLOOKUP(F539,IMPORTRANGE(""https://docs.google.com/spreadsheets/d/1Kvs4KS76FHFqLFIZfrDMff4kP08nblUkihrxltoGBjg/edit#gid=934712705"",""ESENCIAL!A6:BG""),18,FALSE))"),"")</f>
        <v/>
      </c>
      <c r="BJ522" s="19" t="str">
        <f t="shared" si="43"/>
        <v/>
      </c>
      <c r="BK522" s="41"/>
      <c r="BL522" s="41"/>
    </row>
    <row r="523" spans="1:64" ht="15">
      <c r="A523" s="4"/>
      <c r="B523" s="4"/>
      <c r="G523" s="5" t="str">
        <f ca="1">IFERROR(__xludf.DUMMYFUNCTION("IFERROR(VLOOKUP(F540,IMPORTRANGE(""https://docs.google.com/spreadsheets/d/1Kvs4KS76FHFqLFIZfrDMff4kP08nblUkihrxltoGBjg/edit#gid=934712705"",""ESENCIAL!A6:BG""),3,FALSE))"),"")</f>
        <v/>
      </c>
      <c r="H523" s="5" t="str">
        <f ca="1">IFERROR(__xludf.DUMMYFUNCTION("IFERROR(VLOOKUP(F540,IMPORTRANGE(""https://docs.google.com/spreadsheets/d/1Kvs4KS76FHFqLFIZfrDMff4kP08nblUkihrxltoGBjg/edit#gid=934712705"",""ESENCIAL!A6:BG""),8,FALSE))"),"")</f>
        <v/>
      </c>
      <c r="L523" s="287"/>
      <c r="S523"/>
      <c r="AU523" s="41" t="str">
        <f t="shared" si="40"/>
        <v/>
      </c>
      <c r="AV523" s="5" t="str">
        <f ca="1">IFERROR(__xludf.DUMMYFUNCTION("IFERROR(VLOOKUP(E540&amp;F540,IMPORTRANGE(""https://docs.google.com/spreadsheets/d/1Uw7-A9f9R21vMXxHZFNpYNeKFtG8_yji4HS352LGlSQ/edit?pli=1#gid=0"",""1_ACUM!A4:S""),11,FALSE))"),"")</f>
        <v/>
      </c>
      <c r="AW523" s="42" t="str">
        <f ca="1">IFERROR(__xludf.DUMMYFUNCTION("IFERROR(VLOOKUP(F540,IMPORTRANGE(""https://docs.google.com/spreadsheets/d/1Kvs4KS76FHFqLFIZfrDMff4kP08nblUkihrxltoGBjg/edit#gid=934712705"",""ESENCIAL!A6:BG""),15,FALSE))"),"")</f>
        <v/>
      </c>
      <c r="AX523" s="21" t="str">
        <f ca="1">IFERROR(__xludf.DUMMYFUNCTION("IFERROR(VLOOKUP(E540&amp;F540,IMPORTRANGE(""https://docs.google.com/spreadsheets/d/1Uw7-A9f9R21vMXxHZFNpYNeKFtG8_yji4HS352LGlSQ/edit?pli=1#gid=0"",""1_ACUM!A4:S""),12,FALSE))"),"")</f>
        <v/>
      </c>
      <c r="AY523" s="43" t="str">
        <f ca="1">IFERROR(__xludf.DUMMYFUNCTION("IFERROR(VLOOKUP(E540&amp;F540,IMPORTRANGE(""https://docs.google.com/spreadsheets/d/1Uw7-A9f9R21vMXxHZFNpYNeKFtG8_yji4HS352LGlSQ/edit?pli=1#gid=0"",""1_ACUM!A4:S""),13,FALSE))"),"")</f>
        <v/>
      </c>
      <c r="AZ523" s="43" t="str">
        <f ca="1">IFERROR(__xludf.DUMMYFUNCTION("IFERROR(VLOOKUP(E540&amp;F540,IMPORTRANGE(""https://docs.google.com/spreadsheets/d/1Uw7-A9f9R21vMXxHZFNpYNeKFtG8_yji4HS352LGlSQ/edit?pli=1#gid=0"",""1_ACUM!A4:S""),14,FALSE))"),"")</f>
        <v/>
      </c>
      <c r="BA523" s="43" t="str">
        <f ca="1">IFERROR(__xludf.DUMMYFUNCTION("IFERROR(VLOOKUP(E540&amp;F540,IMPORTRANGE(""https://docs.google.com/spreadsheets/d/1Uw7-A9f9R21vMXxHZFNpYNeKFtG8_yji4HS352LGlSQ/edit?pli=1#gid=0"",""1_ACUM!A4:S""),15,FALSE))"),"")</f>
        <v/>
      </c>
      <c r="BB523" s="43" t="str">
        <f ca="1">IFERROR(__xludf.DUMMYFUNCTION("IFERROR(VLOOKUP(E540&amp;F540,IMPORTRANGE(""https://docs.google.com/spreadsheets/d/1Uw7-A9f9R21vMXxHZFNpYNeKFtG8_yji4HS352LGlSQ/edit?pli=1#gid=0"",""1_ACUM!A4:S""),16,FALSE))"),"")</f>
        <v/>
      </c>
      <c r="BC523" s="43" t="str">
        <f ca="1">IFERROR(__xludf.DUMMYFUNCTION("IFERROR(VLOOKUP(E540&amp;F540,IMPORTRANGE(""https://docs.google.com/spreadsheets/d/1Uw7-A9f9R21vMXxHZFNpYNeKFtG8_yji4HS352LGlSQ/edit?pli=1#gid=0"",""1_ACUM!A4:S""),17,FALSE))"),"")</f>
        <v/>
      </c>
      <c r="BD523" s="44" t="str">
        <f ca="1">IFERROR(__xludf.DUMMYFUNCTION("IFERROR(VLOOKUP(E540&amp;F540,IMPORTRANGE(""https://docs.google.com/spreadsheets/d/1Uw7-A9f9R21vMXxHZFNpYNeKFtG8_yji4HS352LGlSQ/edit?pli=1#gid=0"",""1_ACUM!A4:S""),18,FALSE))"),"")</f>
        <v/>
      </c>
      <c r="BE523" s="44" t="str">
        <f ca="1">IFERROR(__xludf.DUMMYFUNCTION("IFERROR(VLOOKUP(E540&amp;F540,IMPORTRANGE(""https://docs.google.com/spreadsheets/d/1Uw7-A9f9R21vMXxHZFNpYNeKFtG8_yji4HS352LGlSQ/edit?pli=1#gid=0"",""1_ACUM!A4:S""),19,FALSE))"),"")</f>
        <v/>
      </c>
      <c r="BF523" s="44" t="str">
        <f ca="1">IFERROR(__xludf.DUMMYFUNCTION("IFERROR(VLOOKUP(F540,IMPORTRANGE(""https://docs.google.com/spreadsheets/d/1Kvs4KS76FHFqLFIZfrDMff4kP08nblUkihrxltoGBjg/edit#gid=934712705"",""ESENCIAL!A6:BG""),5,FALSE))"),"")</f>
        <v/>
      </c>
      <c r="BG523" s="44" t="str">
        <f t="shared" si="41"/>
        <v/>
      </c>
      <c r="BH523" s="41" t="str">
        <f t="shared" si="42"/>
        <v/>
      </c>
      <c r="BI523" s="41" t="str">
        <f ca="1">IFERROR(__xludf.DUMMYFUNCTION("IFERROR(VLOOKUP(F540,IMPORTRANGE(""https://docs.google.com/spreadsheets/d/1Kvs4KS76FHFqLFIZfrDMff4kP08nblUkihrxltoGBjg/edit#gid=934712705"",""ESENCIAL!A6:BG""),18,FALSE))"),"")</f>
        <v/>
      </c>
      <c r="BJ523" s="19" t="str">
        <f t="shared" si="43"/>
        <v/>
      </c>
      <c r="BK523" s="41"/>
      <c r="BL523" s="41"/>
    </row>
    <row r="524" spans="1:64" ht="15">
      <c r="A524" s="4"/>
      <c r="B524" s="4"/>
      <c r="G524" s="5" t="str">
        <f ca="1">IFERROR(__xludf.DUMMYFUNCTION("IFERROR(VLOOKUP(F541,IMPORTRANGE(""https://docs.google.com/spreadsheets/d/1Kvs4KS76FHFqLFIZfrDMff4kP08nblUkihrxltoGBjg/edit#gid=934712705"",""ESENCIAL!A6:BG""),3,FALSE))"),"")</f>
        <v/>
      </c>
      <c r="H524" s="5" t="str">
        <f ca="1">IFERROR(__xludf.DUMMYFUNCTION("IFERROR(VLOOKUP(F541,IMPORTRANGE(""https://docs.google.com/spreadsheets/d/1Kvs4KS76FHFqLFIZfrDMff4kP08nblUkihrxltoGBjg/edit#gid=934712705"",""ESENCIAL!A6:BG""),8,FALSE))"),"")</f>
        <v/>
      </c>
      <c r="L524" s="287"/>
      <c r="S524"/>
      <c r="AU524" s="41" t="str">
        <f t="shared" si="40"/>
        <v/>
      </c>
      <c r="AV524" s="5" t="str">
        <f ca="1">IFERROR(__xludf.DUMMYFUNCTION("IFERROR(VLOOKUP(E541&amp;F541,IMPORTRANGE(""https://docs.google.com/spreadsheets/d/1Uw7-A9f9R21vMXxHZFNpYNeKFtG8_yji4HS352LGlSQ/edit?pli=1#gid=0"",""1_ACUM!A4:S""),11,FALSE))"),"")</f>
        <v/>
      </c>
      <c r="AW524" s="42" t="str">
        <f ca="1">IFERROR(__xludf.DUMMYFUNCTION("IFERROR(VLOOKUP(F541,IMPORTRANGE(""https://docs.google.com/spreadsheets/d/1Kvs4KS76FHFqLFIZfrDMff4kP08nblUkihrxltoGBjg/edit#gid=934712705"",""ESENCIAL!A6:BG""),15,FALSE))"),"")</f>
        <v/>
      </c>
      <c r="AX524" s="21" t="str">
        <f ca="1">IFERROR(__xludf.DUMMYFUNCTION("IFERROR(VLOOKUP(E541&amp;F541,IMPORTRANGE(""https://docs.google.com/spreadsheets/d/1Uw7-A9f9R21vMXxHZFNpYNeKFtG8_yji4HS352LGlSQ/edit?pli=1#gid=0"",""1_ACUM!A4:S""),12,FALSE))"),"")</f>
        <v/>
      </c>
      <c r="AY524" s="43" t="str">
        <f ca="1">IFERROR(__xludf.DUMMYFUNCTION("IFERROR(VLOOKUP(E541&amp;F541,IMPORTRANGE(""https://docs.google.com/spreadsheets/d/1Uw7-A9f9R21vMXxHZFNpYNeKFtG8_yji4HS352LGlSQ/edit?pli=1#gid=0"",""1_ACUM!A4:S""),13,FALSE))"),"")</f>
        <v/>
      </c>
      <c r="AZ524" s="43" t="str">
        <f ca="1">IFERROR(__xludf.DUMMYFUNCTION("IFERROR(VLOOKUP(E541&amp;F541,IMPORTRANGE(""https://docs.google.com/spreadsheets/d/1Uw7-A9f9R21vMXxHZFNpYNeKFtG8_yji4HS352LGlSQ/edit?pli=1#gid=0"",""1_ACUM!A4:S""),14,FALSE))"),"")</f>
        <v/>
      </c>
      <c r="BA524" s="43" t="str">
        <f ca="1">IFERROR(__xludf.DUMMYFUNCTION("IFERROR(VLOOKUP(E541&amp;F541,IMPORTRANGE(""https://docs.google.com/spreadsheets/d/1Uw7-A9f9R21vMXxHZFNpYNeKFtG8_yji4HS352LGlSQ/edit?pli=1#gid=0"",""1_ACUM!A4:S""),15,FALSE))"),"")</f>
        <v/>
      </c>
      <c r="BB524" s="43" t="str">
        <f ca="1">IFERROR(__xludf.DUMMYFUNCTION("IFERROR(VLOOKUP(E541&amp;F541,IMPORTRANGE(""https://docs.google.com/spreadsheets/d/1Uw7-A9f9R21vMXxHZFNpYNeKFtG8_yji4HS352LGlSQ/edit?pli=1#gid=0"",""1_ACUM!A4:S""),16,FALSE))"),"")</f>
        <v/>
      </c>
      <c r="BC524" s="43" t="str">
        <f ca="1">IFERROR(__xludf.DUMMYFUNCTION("IFERROR(VLOOKUP(E541&amp;F541,IMPORTRANGE(""https://docs.google.com/spreadsheets/d/1Uw7-A9f9R21vMXxHZFNpYNeKFtG8_yji4HS352LGlSQ/edit?pli=1#gid=0"",""1_ACUM!A4:S""),17,FALSE))"),"")</f>
        <v/>
      </c>
      <c r="BD524" s="44" t="str">
        <f ca="1">IFERROR(__xludf.DUMMYFUNCTION("IFERROR(VLOOKUP(E541&amp;F541,IMPORTRANGE(""https://docs.google.com/spreadsheets/d/1Uw7-A9f9R21vMXxHZFNpYNeKFtG8_yji4HS352LGlSQ/edit?pli=1#gid=0"",""1_ACUM!A4:S""),18,FALSE))"),"")</f>
        <v/>
      </c>
      <c r="BE524" s="44" t="str">
        <f ca="1">IFERROR(__xludf.DUMMYFUNCTION("IFERROR(VLOOKUP(E541&amp;F541,IMPORTRANGE(""https://docs.google.com/spreadsheets/d/1Uw7-A9f9R21vMXxHZFNpYNeKFtG8_yji4HS352LGlSQ/edit?pli=1#gid=0"",""1_ACUM!A4:S""),19,FALSE))"),"")</f>
        <v/>
      </c>
      <c r="BF524" s="44" t="str">
        <f ca="1">IFERROR(__xludf.DUMMYFUNCTION("IFERROR(VLOOKUP(F541,IMPORTRANGE(""https://docs.google.com/spreadsheets/d/1Kvs4KS76FHFqLFIZfrDMff4kP08nblUkihrxltoGBjg/edit#gid=934712705"",""ESENCIAL!A6:BG""),5,FALSE))"),"")</f>
        <v/>
      </c>
      <c r="BG524" s="44" t="str">
        <f t="shared" si="41"/>
        <v/>
      </c>
      <c r="BH524" s="41" t="str">
        <f t="shared" si="42"/>
        <v/>
      </c>
      <c r="BI524" s="41" t="str">
        <f ca="1">IFERROR(__xludf.DUMMYFUNCTION("IFERROR(VLOOKUP(F541,IMPORTRANGE(""https://docs.google.com/spreadsheets/d/1Kvs4KS76FHFqLFIZfrDMff4kP08nblUkihrxltoGBjg/edit#gid=934712705"",""ESENCIAL!A6:BG""),18,FALSE))"),"")</f>
        <v/>
      </c>
      <c r="BJ524" s="19" t="str">
        <f t="shared" si="43"/>
        <v/>
      </c>
      <c r="BK524" s="41"/>
      <c r="BL524" s="41"/>
    </row>
    <row r="525" spans="1:64" ht="15">
      <c r="A525" s="4"/>
      <c r="B525" s="4"/>
      <c r="G525" s="5" t="str">
        <f ca="1">IFERROR(__xludf.DUMMYFUNCTION("IFERROR(VLOOKUP(F542,IMPORTRANGE(""https://docs.google.com/spreadsheets/d/1Kvs4KS76FHFqLFIZfrDMff4kP08nblUkihrxltoGBjg/edit#gid=934712705"",""ESENCIAL!A6:BG""),3,FALSE))"),"")</f>
        <v/>
      </c>
      <c r="H525" s="5" t="str">
        <f ca="1">IFERROR(__xludf.DUMMYFUNCTION("IFERROR(VLOOKUP(F542,IMPORTRANGE(""https://docs.google.com/spreadsheets/d/1Kvs4KS76FHFqLFIZfrDMff4kP08nblUkihrxltoGBjg/edit#gid=934712705"",""ESENCIAL!A6:BG""),8,FALSE))"),"")</f>
        <v/>
      </c>
      <c r="L525" s="287"/>
      <c r="S525"/>
      <c r="AU525" s="41" t="str">
        <f t="shared" si="40"/>
        <v/>
      </c>
      <c r="AV525" s="5" t="str">
        <f ca="1">IFERROR(__xludf.DUMMYFUNCTION("IFERROR(VLOOKUP(E542&amp;F542,IMPORTRANGE(""https://docs.google.com/spreadsheets/d/1Uw7-A9f9R21vMXxHZFNpYNeKFtG8_yji4HS352LGlSQ/edit?pli=1#gid=0"",""1_ACUM!A4:S""),11,FALSE))"),"")</f>
        <v/>
      </c>
      <c r="AW525" s="42" t="str">
        <f ca="1">IFERROR(__xludf.DUMMYFUNCTION("IFERROR(VLOOKUP(F542,IMPORTRANGE(""https://docs.google.com/spreadsheets/d/1Kvs4KS76FHFqLFIZfrDMff4kP08nblUkihrxltoGBjg/edit#gid=934712705"",""ESENCIAL!A6:BG""),15,FALSE))"),"")</f>
        <v/>
      </c>
      <c r="AX525" s="21" t="str">
        <f ca="1">IFERROR(__xludf.DUMMYFUNCTION("IFERROR(VLOOKUP(E542&amp;F542,IMPORTRANGE(""https://docs.google.com/spreadsheets/d/1Uw7-A9f9R21vMXxHZFNpYNeKFtG8_yji4HS352LGlSQ/edit?pli=1#gid=0"",""1_ACUM!A4:S""),12,FALSE))"),"")</f>
        <v/>
      </c>
      <c r="AY525" s="43" t="str">
        <f ca="1">IFERROR(__xludf.DUMMYFUNCTION("IFERROR(VLOOKUP(E542&amp;F542,IMPORTRANGE(""https://docs.google.com/spreadsheets/d/1Uw7-A9f9R21vMXxHZFNpYNeKFtG8_yji4HS352LGlSQ/edit?pli=1#gid=0"",""1_ACUM!A4:S""),13,FALSE))"),"")</f>
        <v/>
      </c>
      <c r="AZ525" s="43" t="str">
        <f ca="1">IFERROR(__xludf.DUMMYFUNCTION("IFERROR(VLOOKUP(E542&amp;F542,IMPORTRANGE(""https://docs.google.com/spreadsheets/d/1Uw7-A9f9R21vMXxHZFNpYNeKFtG8_yji4HS352LGlSQ/edit?pli=1#gid=0"",""1_ACUM!A4:S""),14,FALSE))"),"")</f>
        <v/>
      </c>
      <c r="BA525" s="43" t="str">
        <f ca="1">IFERROR(__xludf.DUMMYFUNCTION("IFERROR(VLOOKUP(E542&amp;F542,IMPORTRANGE(""https://docs.google.com/spreadsheets/d/1Uw7-A9f9R21vMXxHZFNpYNeKFtG8_yji4HS352LGlSQ/edit?pli=1#gid=0"",""1_ACUM!A4:S""),15,FALSE))"),"")</f>
        <v/>
      </c>
      <c r="BB525" s="43" t="str">
        <f ca="1">IFERROR(__xludf.DUMMYFUNCTION("IFERROR(VLOOKUP(E542&amp;F542,IMPORTRANGE(""https://docs.google.com/spreadsheets/d/1Uw7-A9f9R21vMXxHZFNpYNeKFtG8_yji4HS352LGlSQ/edit?pli=1#gid=0"",""1_ACUM!A4:S""),16,FALSE))"),"")</f>
        <v/>
      </c>
      <c r="BC525" s="43" t="str">
        <f ca="1">IFERROR(__xludf.DUMMYFUNCTION("IFERROR(VLOOKUP(E542&amp;F542,IMPORTRANGE(""https://docs.google.com/spreadsheets/d/1Uw7-A9f9R21vMXxHZFNpYNeKFtG8_yji4HS352LGlSQ/edit?pli=1#gid=0"",""1_ACUM!A4:S""),17,FALSE))"),"")</f>
        <v/>
      </c>
      <c r="BD525" s="44" t="str">
        <f ca="1">IFERROR(__xludf.DUMMYFUNCTION("IFERROR(VLOOKUP(E542&amp;F542,IMPORTRANGE(""https://docs.google.com/spreadsheets/d/1Uw7-A9f9R21vMXxHZFNpYNeKFtG8_yji4HS352LGlSQ/edit?pli=1#gid=0"",""1_ACUM!A4:S""),18,FALSE))"),"")</f>
        <v/>
      </c>
      <c r="BE525" s="44" t="str">
        <f ca="1">IFERROR(__xludf.DUMMYFUNCTION("IFERROR(VLOOKUP(E542&amp;F542,IMPORTRANGE(""https://docs.google.com/spreadsheets/d/1Uw7-A9f9R21vMXxHZFNpYNeKFtG8_yji4HS352LGlSQ/edit?pli=1#gid=0"",""1_ACUM!A4:S""),19,FALSE))"),"")</f>
        <v/>
      </c>
      <c r="BF525" s="44" t="str">
        <f ca="1">IFERROR(__xludf.DUMMYFUNCTION("IFERROR(VLOOKUP(F542,IMPORTRANGE(""https://docs.google.com/spreadsheets/d/1Kvs4KS76FHFqLFIZfrDMff4kP08nblUkihrxltoGBjg/edit#gid=934712705"",""ESENCIAL!A6:BG""),5,FALSE))"),"")</f>
        <v/>
      </c>
      <c r="BG525" s="44" t="str">
        <f t="shared" si="41"/>
        <v/>
      </c>
      <c r="BH525" s="41" t="str">
        <f t="shared" si="42"/>
        <v/>
      </c>
      <c r="BI525" s="41" t="str">
        <f ca="1">IFERROR(__xludf.DUMMYFUNCTION("IFERROR(VLOOKUP(F542,IMPORTRANGE(""https://docs.google.com/spreadsheets/d/1Kvs4KS76FHFqLFIZfrDMff4kP08nblUkihrxltoGBjg/edit#gid=934712705"",""ESENCIAL!A6:BG""),18,FALSE))"),"")</f>
        <v/>
      </c>
      <c r="BJ525" s="19" t="str">
        <f t="shared" si="43"/>
        <v/>
      </c>
      <c r="BK525" s="41"/>
      <c r="BL525" s="41"/>
    </row>
    <row r="526" spans="1:64" ht="15">
      <c r="A526" s="4"/>
      <c r="B526" s="4"/>
      <c r="G526" s="5" t="str">
        <f ca="1">IFERROR(__xludf.DUMMYFUNCTION("IFERROR(VLOOKUP(F543,IMPORTRANGE(""https://docs.google.com/spreadsheets/d/1Kvs4KS76FHFqLFIZfrDMff4kP08nblUkihrxltoGBjg/edit#gid=934712705"",""ESENCIAL!A6:BG""),3,FALSE))"),"")</f>
        <v/>
      </c>
      <c r="H526" s="5" t="str">
        <f ca="1">IFERROR(__xludf.DUMMYFUNCTION("IFERROR(VLOOKUP(F543,IMPORTRANGE(""https://docs.google.com/spreadsheets/d/1Kvs4KS76FHFqLFIZfrDMff4kP08nblUkihrxltoGBjg/edit#gid=934712705"",""ESENCIAL!A6:BG""),8,FALSE))"),"")</f>
        <v/>
      </c>
      <c r="L526" s="287"/>
      <c r="S526"/>
      <c r="AU526" s="41" t="str">
        <f t="shared" si="40"/>
        <v/>
      </c>
      <c r="AV526" s="5" t="str">
        <f ca="1">IFERROR(__xludf.DUMMYFUNCTION("IFERROR(VLOOKUP(E543&amp;F543,IMPORTRANGE(""https://docs.google.com/spreadsheets/d/1Uw7-A9f9R21vMXxHZFNpYNeKFtG8_yji4HS352LGlSQ/edit?pli=1#gid=0"",""1_ACUM!A4:S""),11,FALSE))"),"")</f>
        <v/>
      </c>
      <c r="AW526" s="42" t="str">
        <f ca="1">IFERROR(__xludf.DUMMYFUNCTION("IFERROR(VLOOKUP(F543,IMPORTRANGE(""https://docs.google.com/spreadsheets/d/1Kvs4KS76FHFqLFIZfrDMff4kP08nblUkihrxltoGBjg/edit#gid=934712705"",""ESENCIAL!A6:BG""),15,FALSE))"),"")</f>
        <v/>
      </c>
      <c r="AX526" s="21" t="str">
        <f ca="1">IFERROR(__xludf.DUMMYFUNCTION("IFERROR(VLOOKUP(E543&amp;F543,IMPORTRANGE(""https://docs.google.com/spreadsheets/d/1Uw7-A9f9R21vMXxHZFNpYNeKFtG8_yji4HS352LGlSQ/edit?pli=1#gid=0"",""1_ACUM!A4:S""),12,FALSE))"),"")</f>
        <v/>
      </c>
      <c r="AY526" s="43" t="str">
        <f ca="1">IFERROR(__xludf.DUMMYFUNCTION("IFERROR(VLOOKUP(E543&amp;F543,IMPORTRANGE(""https://docs.google.com/spreadsheets/d/1Uw7-A9f9R21vMXxHZFNpYNeKFtG8_yji4HS352LGlSQ/edit?pli=1#gid=0"",""1_ACUM!A4:S""),13,FALSE))"),"")</f>
        <v/>
      </c>
      <c r="AZ526" s="43" t="str">
        <f ca="1">IFERROR(__xludf.DUMMYFUNCTION("IFERROR(VLOOKUP(E543&amp;F543,IMPORTRANGE(""https://docs.google.com/spreadsheets/d/1Uw7-A9f9R21vMXxHZFNpYNeKFtG8_yji4HS352LGlSQ/edit?pli=1#gid=0"",""1_ACUM!A4:S""),14,FALSE))"),"")</f>
        <v/>
      </c>
      <c r="BA526" s="43" t="str">
        <f ca="1">IFERROR(__xludf.DUMMYFUNCTION("IFERROR(VLOOKUP(E543&amp;F543,IMPORTRANGE(""https://docs.google.com/spreadsheets/d/1Uw7-A9f9R21vMXxHZFNpYNeKFtG8_yji4HS352LGlSQ/edit?pli=1#gid=0"",""1_ACUM!A4:S""),15,FALSE))"),"")</f>
        <v/>
      </c>
      <c r="BB526" s="43" t="str">
        <f ca="1">IFERROR(__xludf.DUMMYFUNCTION("IFERROR(VLOOKUP(E543&amp;F543,IMPORTRANGE(""https://docs.google.com/spreadsheets/d/1Uw7-A9f9R21vMXxHZFNpYNeKFtG8_yji4HS352LGlSQ/edit?pli=1#gid=0"",""1_ACUM!A4:S""),16,FALSE))"),"")</f>
        <v/>
      </c>
      <c r="BC526" s="43" t="str">
        <f ca="1">IFERROR(__xludf.DUMMYFUNCTION("IFERROR(VLOOKUP(E543&amp;F543,IMPORTRANGE(""https://docs.google.com/spreadsheets/d/1Uw7-A9f9R21vMXxHZFNpYNeKFtG8_yji4HS352LGlSQ/edit?pli=1#gid=0"",""1_ACUM!A4:S""),17,FALSE))"),"")</f>
        <v/>
      </c>
      <c r="BD526" s="44" t="str">
        <f ca="1">IFERROR(__xludf.DUMMYFUNCTION("IFERROR(VLOOKUP(E543&amp;F543,IMPORTRANGE(""https://docs.google.com/spreadsheets/d/1Uw7-A9f9R21vMXxHZFNpYNeKFtG8_yji4HS352LGlSQ/edit?pli=1#gid=0"",""1_ACUM!A4:S""),18,FALSE))"),"")</f>
        <v/>
      </c>
      <c r="BE526" s="44" t="str">
        <f ca="1">IFERROR(__xludf.DUMMYFUNCTION("IFERROR(VLOOKUP(E543&amp;F543,IMPORTRANGE(""https://docs.google.com/spreadsheets/d/1Uw7-A9f9R21vMXxHZFNpYNeKFtG8_yji4HS352LGlSQ/edit?pli=1#gid=0"",""1_ACUM!A4:S""),19,FALSE))"),"")</f>
        <v/>
      </c>
      <c r="BF526" s="44" t="str">
        <f ca="1">IFERROR(__xludf.DUMMYFUNCTION("IFERROR(VLOOKUP(F543,IMPORTRANGE(""https://docs.google.com/spreadsheets/d/1Kvs4KS76FHFqLFIZfrDMff4kP08nblUkihrxltoGBjg/edit#gid=934712705"",""ESENCIAL!A6:BG""),5,FALSE))"),"")</f>
        <v/>
      </c>
      <c r="BG526" s="44" t="str">
        <f t="shared" si="41"/>
        <v/>
      </c>
      <c r="BH526" s="41" t="str">
        <f t="shared" si="42"/>
        <v/>
      </c>
      <c r="BI526" s="41" t="str">
        <f ca="1">IFERROR(__xludf.DUMMYFUNCTION("IFERROR(VLOOKUP(F543,IMPORTRANGE(""https://docs.google.com/spreadsheets/d/1Kvs4KS76FHFqLFIZfrDMff4kP08nblUkihrxltoGBjg/edit#gid=934712705"",""ESENCIAL!A6:BG""),18,FALSE))"),"")</f>
        <v/>
      </c>
      <c r="BJ526" s="19" t="str">
        <f t="shared" si="43"/>
        <v/>
      </c>
      <c r="BK526" s="41"/>
      <c r="BL526" s="41"/>
    </row>
    <row r="527" spans="1:64" ht="15">
      <c r="A527" s="4"/>
      <c r="B527" s="4"/>
      <c r="G527" s="5" t="str">
        <f ca="1">IFERROR(__xludf.DUMMYFUNCTION("IFERROR(VLOOKUP(F544,IMPORTRANGE(""https://docs.google.com/spreadsheets/d/1Kvs4KS76FHFqLFIZfrDMff4kP08nblUkihrxltoGBjg/edit#gid=934712705"",""ESENCIAL!A6:BG""),3,FALSE))"),"")</f>
        <v/>
      </c>
      <c r="H527" s="5" t="str">
        <f ca="1">IFERROR(__xludf.DUMMYFUNCTION("IFERROR(VLOOKUP(F544,IMPORTRANGE(""https://docs.google.com/spreadsheets/d/1Kvs4KS76FHFqLFIZfrDMff4kP08nblUkihrxltoGBjg/edit#gid=934712705"",""ESENCIAL!A6:BG""),8,FALSE))"),"")</f>
        <v/>
      </c>
      <c r="L527" s="287"/>
      <c r="S527"/>
      <c r="AU527" s="41" t="str">
        <f t="shared" si="40"/>
        <v/>
      </c>
      <c r="AV527" s="5" t="str">
        <f ca="1">IFERROR(__xludf.DUMMYFUNCTION("IFERROR(VLOOKUP(E544&amp;F544,IMPORTRANGE(""https://docs.google.com/spreadsheets/d/1Uw7-A9f9R21vMXxHZFNpYNeKFtG8_yji4HS352LGlSQ/edit?pli=1#gid=0"",""1_ACUM!A4:S""),11,FALSE))"),"")</f>
        <v/>
      </c>
      <c r="AW527" s="42" t="str">
        <f ca="1">IFERROR(__xludf.DUMMYFUNCTION("IFERROR(VLOOKUP(F544,IMPORTRANGE(""https://docs.google.com/spreadsheets/d/1Kvs4KS76FHFqLFIZfrDMff4kP08nblUkihrxltoGBjg/edit#gid=934712705"",""ESENCIAL!A6:BG""),15,FALSE))"),"")</f>
        <v/>
      </c>
      <c r="AX527" s="21" t="str">
        <f ca="1">IFERROR(__xludf.DUMMYFUNCTION("IFERROR(VLOOKUP(E544&amp;F544,IMPORTRANGE(""https://docs.google.com/spreadsheets/d/1Uw7-A9f9R21vMXxHZFNpYNeKFtG8_yji4HS352LGlSQ/edit?pli=1#gid=0"",""1_ACUM!A4:S""),12,FALSE))"),"")</f>
        <v/>
      </c>
      <c r="AY527" s="43" t="str">
        <f ca="1">IFERROR(__xludf.DUMMYFUNCTION("IFERROR(VLOOKUP(E544&amp;F544,IMPORTRANGE(""https://docs.google.com/spreadsheets/d/1Uw7-A9f9R21vMXxHZFNpYNeKFtG8_yji4HS352LGlSQ/edit?pli=1#gid=0"",""1_ACUM!A4:S""),13,FALSE))"),"")</f>
        <v/>
      </c>
      <c r="AZ527" s="43" t="str">
        <f ca="1">IFERROR(__xludf.DUMMYFUNCTION("IFERROR(VLOOKUP(E544&amp;F544,IMPORTRANGE(""https://docs.google.com/spreadsheets/d/1Uw7-A9f9R21vMXxHZFNpYNeKFtG8_yji4HS352LGlSQ/edit?pli=1#gid=0"",""1_ACUM!A4:S""),14,FALSE))"),"")</f>
        <v/>
      </c>
      <c r="BA527" s="43" t="str">
        <f ca="1">IFERROR(__xludf.DUMMYFUNCTION("IFERROR(VLOOKUP(E544&amp;F544,IMPORTRANGE(""https://docs.google.com/spreadsheets/d/1Uw7-A9f9R21vMXxHZFNpYNeKFtG8_yji4HS352LGlSQ/edit?pli=1#gid=0"",""1_ACUM!A4:S""),15,FALSE))"),"")</f>
        <v/>
      </c>
      <c r="BB527" s="43" t="str">
        <f ca="1">IFERROR(__xludf.DUMMYFUNCTION("IFERROR(VLOOKUP(E544&amp;F544,IMPORTRANGE(""https://docs.google.com/spreadsheets/d/1Uw7-A9f9R21vMXxHZFNpYNeKFtG8_yji4HS352LGlSQ/edit?pli=1#gid=0"",""1_ACUM!A4:S""),16,FALSE))"),"")</f>
        <v/>
      </c>
      <c r="BC527" s="43" t="str">
        <f ca="1">IFERROR(__xludf.DUMMYFUNCTION("IFERROR(VLOOKUP(E544&amp;F544,IMPORTRANGE(""https://docs.google.com/spreadsheets/d/1Uw7-A9f9R21vMXxHZFNpYNeKFtG8_yji4HS352LGlSQ/edit?pli=1#gid=0"",""1_ACUM!A4:S""),17,FALSE))"),"")</f>
        <v/>
      </c>
      <c r="BD527" s="44" t="str">
        <f ca="1">IFERROR(__xludf.DUMMYFUNCTION("IFERROR(VLOOKUP(E544&amp;F544,IMPORTRANGE(""https://docs.google.com/spreadsheets/d/1Uw7-A9f9R21vMXxHZFNpYNeKFtG8_yji4HS352LGlSQ/edit?pli=1#gid=0"",""1_ACUM!A4:S""),18,FALSE))"),"")</f>
        <v/>
      </c>
      <c r="BE527" s="44" t="str">
        <f ca="1">IFERROR(__xludf.DUMMYFUNCTION("IFERROR(VLOOKUP(E544&amp;F544,IMPORTRANGE(""https://docs.google.com/spreadsheets/d/1Uw7-A9f9R21vMXxHZFNpYNeKFtG8_yji4HS352LGlSQ/edit?pli=1#gid=0"",""1_ACUM!A4:S""),19,FALSE))"),"")</f>
        <v/>
      </c>
      <c r="BF527" s="44" t="str">
        <f ca="1">IFERROR(__xludf.DUMMYFUNCTION("IFERROR(VLOOKUP(F544,IMPORTRANGE(""https://docs.google.com/spreadsheets/d/1Kvs4KS76FHFqLFIZfrDMff4kP08nblUkihrxltoGBjg/edit#gid=934712705"",""ESENCIAL!A6:BG""),5,FALSE))"),"")</f>
        <v/>
      </c>
      <c r="BG527" s="44" t="str">
        <f t="shared" si="41"/>
        <v/>
      </c>
      <c r="BH527" s="41" t="str">
        <f t="shared" si="42"/>
        <v/>
      </c>
      <c r="BI527" s="41" t="str">
        <f ca="1">IFERROR(__xludf.DUMMYFUNCTION("IFERROR(VLOOKUP(F544,IMPORTRANGE(""https://docs.google.com/spreadsheets/d/1Kvs4KS76FHFqLFIZfrDMff4kP08nblUkihrxltoGBjg/edit#gid=934712705"",""ESENCIAL!A6:BG""),18,FALSE))"),"")</f>
        <v/>
      </c>
      <c r="BJ527" s="19" t="str">
        <f t="shared" si="43"/>
        <v/>
      </c>
      <c r="BK527" s="41"/>
      <c r="BL527" s="41"/>
    </row>
    <row r="528" spans="1:64" ht="15">
      <c r="A528" s="4"/>
      <c r="B528" s="4"/>
      <c r="G528" s="5" t="str">
        <f ca="1">IFERROR(__xludf.DUMMYFUNCTION("IFERROR(VLOOKUP(F545,IMPORTRANGE(""https://docs.google.com/spreadsheets/d/1Kvs4KS76FHFqLFIZfrDMff4kP08nblUkihrxltoGBjg/edit#gid=934712705"",""ESENCIAL!A6:BG""),3,FALSE))"),"")</f>
        <v/>
      </c>
      <c r="H528" s="5" t="str">
        <f ca="1">IFERROR(__xludf.DUMMYFUNCTION("IFERROR(VLOOKUP(F545,IMPORTRANGE(""https://docs.google.com/spreadsheets/d/1Kvs4KS76FHFqLFIZfrDMff4kP08nblUkihrxltoGBjg/edit#gid=934712705"",""ESENCIAL!A6:BG""),8,FALSE))"),"")</f>
        <v/>
      </c>
      <c r="L528" s="287"/>
      <c r="S528"/>
      <c r="AU528" s="41" t="str">
        <f t="shared" si="40"/>
        <v/>
      </c>
      <c r="AV528" s="5" t="str">
        <f ca="1">IFERROR(__xludf.DUMMYFUNCTION("IFERROR(VLOOKUP(E545&amp;F545,IMPORTRANGE(""https://docs.google.com/spreadsheets/d/1Uw7-A9f9R21vMXxHZFNpYNeKFtG8_yji4HS352LGlSQ/edit?pli=1#gid=0"",""1_ACUM!A4:S""),11,FALSE))"),"")</f>
        <v/>
      </c>
      <c r="AW528" s="42" t="str">
        <f ca="1">IFERROR(__xludf.DUMMYFUNCTION("IFERROR(VLOOKUP(F545,IMPORTRANGE(""https://docs.google.com/spreadsheets/d/1Kvs4KS76FHFqLFIZfrDMff4kP08nblUkihrxltoGBjg/edit#gid=934712705"",""ESENCIAL!A6:BG""),15,FALSE))"),"")</f>
        <v/>
      </c>
      <c r="AX528" s="21" t="str">
        <f ca="1">IFERROR(__xludf.DUMMYFUNCTION("IFERROR(VLOOKUP(E545&amp;F545,IMPORTRANGE(""https://docs.google.com/spreadsheets/d/1Uw7-A9f9R21vMXxHZFNpYNeKFtG8_yji4HS352LGlSQ/edit?pli=1#gid=0"",""1_ACUM!A4:S""),12,FALSE))"),"")</f>
        <v/>
      </c>
      <c r="AY528" s="43" t="str">
        <f ca="1">IFERROR(__xludf.DUMMYFUNCTION("IFERROR(VLOOKUP(E545&amp;F545,IMPORTRANGE(""https://docs.google.com/spreadsheets/d/1Uw7-A9f9R21vMXxHZFNpYNeKFtG8_yji4HS352LGlSQ/edit?pli=1#gid=0"",""1_ACUM!A4:S""),13,FALSE))"),"")</f>
        <v/>
      </c>
      <c r="AZ528" s="43" t="str">
        <f ca="1">IFERROR(__xludf.DUMMYFUNCTION("IFERROR(VLOOKUP(E545&amp;F545,IMPORTRANGE(""https://docs.google.com/spreadsheets/d/1Uw7-A9f9R21vMXxHZFNpYNeKFtG8_yji4HS352LGlSQ/edit?pli=1#gid=0"",""1_ACUM!A4:S""),14,FALSE))"),"")</f>
        <v/>
      </c>
      <c r="BA528" s="43" t="str">
        <f ca="1">IFERROR(__xludf.DUMMYFUNCTION("IFERROR(VLOOKUP(E545&amp;F545,IMPORTRANGE(""https://docs.google.com/spreadsheets/d/1Uw7-A9f9R21vMXxHZFNpYNeKFtG8_yji4HS352LGlSQ/edit?pli=1#gid=0"",""1_ACUM!A4:S""),15,FALSE))"),"")</f>
        <v/>
      </c>
      <c r="BB528" s="43" t="str">
        <f ca="1">IFERROR(__xludf.DUMMYFUNCTION("IFERROR(VLOOKUP(E545&amp;F545,IMPORTRANGE(""https://docs.google.com/spreadsheets/d/1Uw7-A9f9R21vMXxHZFNpYNeKFtG8_yji4HS352LGlSQ/edit?pli=1#gid=0"",""1_ACUM!A4:S""),16,FALSE))"),"")</f>
        <v/>
      </c>
      <c r="BC528" s="43" t="str">
        <f ca="1">IFERROR(__xludf.DUMMYFUNCTION("IFERROR(VLOOKUP(E545&amp;F545,IMPORTRANGE(""https://docs.google.com/spreadsheets/d/1Uw7-A9f9R21vMXxHZFNpYNeKFtG8_yji4HS352LGlSQ/edit?pli=1#gid=0"",""1_ACUM!A4:S""),17,FALSE))"),"")</f>
        <v/>
      </c>
      <c r="BD528" s="44" t="str">
        <f ca="1">IFERROR(__xludf.DUMMYFUNCTION("IFERROR(VLOOKUP(E545&amp;F545,IMPORTRANGE(""https://docs.google.com/spreadsheets/d/1Uw7-A9f9R21vMXxHZFNpYNeKFtG8_yji4HS352LGlSQ/edit?pli=1#gid=0"",""1_ACUM!A4:S""),18,FALSE))"),"")</f>
        <v/>
      </c>
      <c r="BE528" s="44" t="str">
        <f ca="1">IFERROR(__xludf.DUMMYFUNCTION("IFERROR(VLOOKUP(E545&amp;F545,IMPORTRANGE(""https://docs.google.com/spreadsheets/d/1Uw7-A9f9R21vMXxHZFNpYNeKFtG8_yji4HS352LGlSQ/edit?pli=1#gid=0"",""1_ACUM!A4:S""),19,FALSE))"),"")</f>
        <v/>
      </c>
      <c r="BF528" s="44" t="str">
        <f ca="1">IFERROR(__xludf.DUMMYFUNCTION("IFERROR(VLOOKUP(F545,IMPORTRANGE(""https://docs.google.com/spreadsheets/d/1Kvs4KS76FHFqLFIZfrDMff4kP08nblUkihrxltoGBjg/edit#gid=934712705"",""ESENCIAL!A6:BG""),5,FALSE))"),"")</f>
        <v/>
      </c>
      <c r="BG528" s="44" t="str">
        <f t="shared" si="41"/>
        <v/>
      </c>
      <c r="BH528" s="41" t="str">
        <f t="shared" si="42"/>
        <v/>
      </c>
      <c r="BI528" s="41" t="str">
        <f ca="1">IFERROR(__xludf.DUMMYFUNCTION("IFERROR(VLOOKUP(F545,IMPORTRANGE(""https://docs.google.com/spreadsheets/d/1Kvs4KS76FHFqLFIZfrDMff4kP08nblUkihrxltoGBjg/edit#gid=934712705"",""ESENCIAL!A6:BG""),18,FALSE))"),"")</f>
        <v/>
      </c>
      <c r="BJ528" s="19" t="str">
        <f t="shared" si="43"/>
        <v/>
      </c>
      <c r="BK528" s="41"/>
      <c r="BL528" s="41"/>
    </row>
    <row r="529" spans="1:64" ht="15">
      <c r="A529" s="4"/>
      <c r="B529" s="4"/>
      <c r="G529" s="5" t="str">
        <f ca="1">IFERROR(__xludf.DUMMYFUNCTION("IFERROR(VLOOKUP(F546,IMPORTRANGE(""https://docs.google.com/spreadsheets/d/1Kvs4KS76FHFqLFIZfrDMff4kP08nblUkihrxltoGBjg/edit#gid=934712705"",""ESENCIAL!A6:BG""),3,FALSE))"),"")</f>
        <v/>
      </c>
      <c r="H529" s="5" t="str">
        <f ca="1">IFERROR(__xludf.DUMMYFUNCTION("IFERROR(VLOOKUP(F546,IMPORTRANGE(""https://docs.google.com/spreadsheets/d/1Kvs4KS76FHFqLFIZfrDMff4kP08nblUkihrxltoGBjg/edit#gid=934712705"",""ESENCIAL!A6:BG""),8,FALSE))"),"")</f>
        <v/>
      </c>
      <c r="L529" s="287"/>
      <c r="S529"/>
      <c r="AU529" s="41" t="str">
        <f t="shared" si="40"/>
        <v/>
      </c>
      <c r="AV529" s="5" t="str">
        <f ca="1">IFERROR(__xludf.DUMMYFUNCTION("IFERROR(VLOOKUP(E546&amp;F546,IMPORTRANGE(""https://docs.google.com/spreadsheets/d/1Uw7-A9f9R21vMXxHZFNpYNeKFtG8_yji4HS352LGlSQ/edit?pli=1#gid=0"",""1_ACUM!A4:S""),11,FALSE))"),"")</f>
        <v/>
      </c>
      <c r="AW529" s="42" t="str">
        <f ca="1">IFERROR(__xludf.DUMMYFUNCTION("IFERROR(VLOOKUP(F546,IMPORTRANGE(""https://docs.google.com/spreadsheets/d/1Kvs4KS76FHFqLFIZfrDMff4kP08nblUkihrxltoGBjg/edit#gid=934712705"",""ESENCIAL!A6:BG""),15,FALSE))"),"")</f>
        <v/>
      </c>
      <c r="AX529" s="21" t="str">
        <f ca="1">IFERROR(__xludf.DUMMYFUNCTION("IFERROR(VLOOKUP(E546&amp;F546,IMPORTRANGE(""https://docs.google.com/spreadsheets/d/1Uw7-A9f9R21vMXxHZFNpYNeKFtG8_yji4HS352LGlSQ/edit?pli=1#gid=0"",""1_ACUM!A4:S""),12,FALSE))"),"")</f>
        <v/>
      </c>
      <c r="AY529" s="43" t="str">
        <f ca="1">IFERROR(__xludf.DUMMYFUNCTION("IFERROR(VLOOKUP(E546&amp;F546,IMPORTRANGE(""https://docs.google.com/spreadsheets/d/1Uw7-A9f9R21vMXxHZFNpYNeKFtG8_yji4HS352LGlSQ/edit?pli=1#gid=0"",""1_ACUM!A4:S""),13,FALSE))"),"")</f>
        <v/>
      </c>
      <c r="AZ529" s="43" t="str">
        <f ca="1">IFERROR(__xludf.DUMMYFUNCTION("IFERROR(VLOOKUP(E546&amp;F546,IMPORTRANGE(""https://docs.google.com/spreadsheets/d/1Uw7-A9f9R21vMXxHZFNpYNeKFtG8_yji4HS352LGlSQ/edit?pli=1#gid=0"",""1_ACUM!A4:S""),14,FALSE))"),"")</f>
        <v/>
      </c>
      <c r="BA529" s="43" t="str">
        <f ca="1">IFERROR(__xludf.DUMMYFUNCTION("IFERROR(VLOOKUP(E546&amp;F546,IMPORTRANGE(""https://docs.google.com/spreadsheets/d/1Uw7-A9f9R21vMXxHZFNpYNeKFtG8_yji4HS352LGlSQ/edit?pli=1#gid=0"",""1_ACUM!A4:S""),15,FALSE))"),"")</f>
        <v/>
      </c>
      <c r="BB529" s="43" t="str">
        <f ca="1">IFERROR(__xludf.DUMMYFUNCTION("IFERROR(VLOOKUP(E546&amp;F546,IMPORTRANGE(""https://docs.google.com/spreadsheets/d/1Uw7-A9f9R21vMXxHZFNpYNeKFtG8_yji4HS352LGlSQ/edit?pli=1#gid=0"",""1_ACUM!A4:S""),16,FALSE))"),"")</f>
        <v/>
      </c>
      <c r="BC529" s="43" t="str">
        <f ca="1">IFERROR(__xludf.DUMMYFUNCTION("IFERROR(VLOOKUP(E546&amp;F546,IMPORTRANGE(""https://docs.google.com/spreadsheets/d/1Uw7-A9f9R21vMXxHZFNpYNeKFtG8_yji4HS352LGlSQ/edit?pli=1#gid=0"",""1_ACUM!A4:S""),17,FALSE))"),"")</f>
        <v/>
      </c>
      <c r="BD529" s="44" t="str">
        <f ca="1">IFERROR(__xludf.DUMMYFUNCTION("IFERROR(VLOOKUP(E546&amp;F546,IMPORTRANGE(""https://docs.google.com/spreadsheets/d/1Uw7-A9f9R21vMXxHZFNpYNeKFtG8_yji4HS352LGlSQ/edit?pli=1#gid=0"",""1_ACUM!A4:S""),18,FALSE))"),"")</f>
        <v/>
      </c>
      <c r="BE529" s="44" t="str">
        <f ca="1">IFERROR(__xludf.DUMMYFUNCTION("IFERROR(VLOOKUP(E546&amp;F546,IMPORTRANGE(""https://docs.google.com/spreadsheets/d/1Uw7-A9f9R21vMXxHZFNpYNeKFtG8_yji4HS352LGlSQ/edit?pli=1#gid=0"",""1_ACUM!A4:S""),19,FALSE))"),"")</f>
        <v/>
      </c>
      <c r="BF529" s="44" t="str">
        <f ca="1">IFERROR(__xludf.DUMMYFUNCTION("IFERROR(VLOOKUP(F546,IMPORTRANGE(""https://docs.google.com/spreadsheets/d/1Kvs4KS76FHFqLFIZfrDMff4kP08nblUkihrxltoGBjg/edit#gid=934712705"",""ESENCIAL!A6:BG""),5,FALSE))"),"")</f>
        <v/>
      </c>
      <c r="BG529" s="44" t="str">
        <f t="shared" si="41"/>
        <v/>
      </c>
      <c r="BH529" s="41" t="str">
        <f t="shared" si="42"/>
        <v/>
      </c>
      <c r="BI529" s="41" t="str">
        <f ca="1">IFERROR(__xludf.DUMMYFUNCTION("IFERROR(VLOOKUP(F546,IMPORTRANGE(""https://docs.google.com/spreadsheets/d/1Kvs4KS76FHFqLFIZfrDMff4kP08nblUkihrxltoGBjg/edit#gid=934712705"",""ESENCIAL!A6:BG""),18,FALSE))"),"")</f>
        <v/>
      </c>
      <c r="BJ529" s="19" t="str">
        <f t="shared" si="43"/>
        <v/>
      </c>
      <c r="BK529" s="41"/>
      <c r="BL529" s="41"/>
    </row>
    <row r="530" spans="1:64" ht="15">
      <c r="A530" s="4"/>
      <c r="B530" s="4"/>
      <c r="G530" s="5" t="str">
        <f ca="1">IFERROR(__xludf.DUMMYFUNCTION("IFERROR(VLOOKUP(F547,IMPORTRANGE(""https://docs.google.com/spreadsheets/d/1Kvs4KS76FHFqLFIZfrDMff4kP08nblUkihrxltoGBjg/edit#gid=934712705"",""ESENCIAL!A6:BG""),3,FALSE))"),"")</f>
        <v/>
      </c>
      <c r="H530" s="5" t="str">
        <f ca="1">IFERROR(__xludf.DUMMYFUNCTION("IFERROR(VLOOKUP(F547,IMPORTRANGE(""https://docs.google.com/spreadsheets/d/1Kvs4KS76FHFqLFIZfrDMff4kP08nblUkihrxltoGBjg/edit#gid=934712705"",""ESENCIAL!A6:BG""),8,FALSE))"),"")</f>
        <v/>
      </c>
      <c r="L530" s="287"/>
      <c r="S530"/>
      <c r="AU530" s="41" t="str">
        <f t="shared" si="40"/>
        <v/>
      </c>
      <c r="AV530" s="5" t="str">
        <f ca="1">IFERROR(__xludf.DUMMYFUNCTION("IFERROR(VLOOKUP(E547&amp;F547,IMPORTRANGE(""https://docs.google.com/spreadsheets/d/1Uw7-A9f9R21vMXxHZFNpYNeKFtG8_yji4HS352LGlSQ/edit?pli=1#gid=0"",""1_ACUM!A4:S""),11,FALSE))"),"")</f>
        <v/>
      </c>
      <c r="AW530" s="42" t="str">
        <f ca="1">IFERROR(__xludf.DUMMYFUNCTION("IFERROR(VLOOKUP(F547,IMPORTRANGE(""https://docs.google.com/spreadsheets/d/1Kvs4KS76FHFqLFIZfrDMff4kP08nblUkihrxltoGBjg/edit#gid=934712705"",""ESENCIAL!A6:BG""),15,FALSE))"),"")</f>
        <v/>
      </c>
      <c r="AX530" s="21" t="str">
        <f ca="1">IFERROR(__xludf.DUMMYFUNCTION("IFERROR(VLOOKUP(E547&amp;F547,IMPORTRANGE(""https://docs.google.com/spreadsheets/d/1Uw7-A9f9R21vMXxHZFNpYNeKFtG8_yji4HS352LGlSQ/edit?pli=1#gid=0"",""1_ACUM!A4:S""),12,FALSE))"),"")</f>
        <v/>
      </c>
      <c r="AY530" s="43" t="str">
        <f ca="1">IFERROR(__xludf.DUMMYFUNCTION("IFERROR(VLOOKUP(E547&amp;F547,IMPORTRANGE(""https://docs.google.com/spreadsheets/d/1Uw7-A9f9R21vMXxHZFNpYNeKFtG8_yji4HS352LGlSQ/edit?pli=1#gid=0"",""1_ACUM!A4:S""),13,FALSE))"),"")</f>
        <v/>
      </c>
      <c r="AZ530" s="43" t="str">
        <f ca="1">IFERROR(__xludf.DUMMYFUNCTION("IFERROR(VLOOKUP(E547&amp;F547,IMPORTRANGE(""https://docs.google.com/spreadsheets/d/1Uw7-A9f9R21vMXxHZFNpYNeKFtG8_yji4HS352LGlSQ/edit?pli=1#gid=0"",""1_ACUM!A4:S""),14,FALSE))"),"")</f>
        <v/>
      </c>
      <c r="BA530" s="43" t="str">
        <f ca="1">IFERROR(__xludf.DUMMYFUNCTION("IFERROR(VLOOKUP(E547&amp;F547,IMPORTRANGE(""https://docs.google.com/spreadsheets/d/1Uw7-A9f9R21vMXxHZFNpYNeKFtG8_yji4HS352LGlSQ/edit?pli=1#gid=0"",""1_ACUM!A4:S""),15,FALSE))"),"")</f>
        <v/>
      </c>
      <c r="BB530" s="43" t="str">
        <f ca="1">IFERROR(__xludf.DUMMYFUNCTION("IFERROR(VLOOKUP(E547&amp;F547,IMPORTRANGE(""https://docs.google.com/spreadsheets/d/1Uw7-A9f9R21vMXxHZFNpYNeKFtG8_yji4HS352LGlSQ/edit?pli=1#gid=0"",""1_ACUM!A4:S""),16,FALSE))"),"")</f>
        <v/>
      </c>
      <c r="BC530" s="43" t="str">
        <f ca="1">IFERROR(__xludf.DUMMYFUNCTION("IFERROR(VLOOKUP(E547&amp;F547,IMPORTRANGE(""https://docs.google.com/spreadsheets/d/1Uw7-A9f9R21vMXxHZFNpYNeKFtG8_yji4HS352LGlSQ/edit?pli=1#gid=0"",""1_ACUM!A4:S""),17,FALSE))"),"")</f>
        <v/>
      </c>
      <c r="BD530" s="44" t="str">
        <f ca="1">IFERROR(__xludf.DUMMYFUNCTION("IFERROR(VLOOKUP(E547&amp;F547,IMPORTRANGE(""https://docs.google.com/spreadsheets/d/1Uw7-A9f9R21vMXxHZFNpYNeKFtG8_yji4HS352LGlSQ/edit?pli=1#gid=0"",""1_ACUM!A4:S""),18,FALSE))"),"")</f>
        <v/>
      </c>
      <c r="BE530" s="44" t="str">
        <f ca="1">IFERROR(__xludf.DUMMYFUNCTION("IFERROR(VLOOKUP(E547&amp;F547,IMPORTRANGE(""https://docs.google.com/spreadsheets/d/1Uw7-A9f9R21vMXxHZFNpYNeKFtG8_yji4HS352LGlSQ/edit?pli=1#gid=0"",""1_ACUM!A4:S""),19,FALSE))"),"")</f>
        <v/>
      </c>
      <c r="BF530" s="44" t="str">
        <f ca="1">IFERROR(__xludf.DUMMYFUNCTION("IFERROR(VLOOKUP(F547,IMPORTRANGE(""https://docs.google.com/spreadsheets/d/1Kvs4KS76FHFqLFIZfrDMff4kP08nblUkihrxltoGBjg/edit#gid=934712705"",""ESENCIAL!A6:BG""),5,FALSE))"),"")</f>
        <v/>
      </c>
      <c r="BG530" s="44" t="str">
        <f t="shared" si="41"/>
        <v/>
      </c>
      <c r="BH530" s="41" t="str">
        <f t="shared" si="42"/>
        <v/>
      </c>
      <c r="BI530" s="41" t="str">
        <f ca="1">IFERROR(__xludf.DUMMYFUNCTION("IFERROR(VLOOKUP(F547,IMPORTRANGE(""https://docs.google.com/spreadsheets/d/1Kvs4KS76FHFqLFIZfrDMff4kP08nblUkihrxltoGBjg/edit#gid=934712705"",""ESENCIAL!A6:BG""),18,FALSE))"),"")</f>
        <v/>
      </c>
      <c r="BJ530" s="19" t="str">
        <f t="shared" si="43"/>
        <v/>
      </c>
      <c r="BK530" s="41"/>
      <c r="BL530" s="41"/>
    </row>
    <row r="531" spans="1:64" ht="15">
      <c r="A531" s="4"/>
      <c r="B531" s="4"/>
      <c r="G531" s="5" t="str">
        <f ca="1">IFERROR(__xludf.DUMMYFUNCTION("IFERROR(VLOOKUP(F548,IMPORTRANGE(""https://docs.google.com/spreadsheets/d/1Kvs4KS76FHFqLFIZfrDMff4kP08nblUkihrxltoGBjg/edit#gid=934712705"",""ESENCIAL!A6:BG""),3,FALSE))"),"")</f>
        <v/>
      </c>
      <c r="H531" s="5" t="str">
        <f ca="1">IFERROR(__xludf.DUMMYFUNCTION("IFERROR(VLOOKUP(F548,IMPORTRANGE(""https://docs.google.com/spreadsheets/d/1Kvs4KS76FHFqLFIZfrDMff4kP08nblUkihrxltoGBjg/edit#gid=934712705"",""ESENCIAL!A6:BG""),8,FALSE))"),"")</f>
        <v/>
      </c>
      <c r="L531" s="287"/>
      <c r="S531"/>
      <c r="AU531" s="41" t="str">
        <f t="shared" si="40"/>
        <v/>
      </c>
      <c r="AV531" s="5" t="str">
        <f ca="1">IFERROR(__xludf.DUMMYFUNCTION("IFERROR(VLOOKUP(E548&amp;F548,IMPORTRANGE(""https://docs.google.com/spreadsheets/d/1Uw7-A9f9R21vMXxHZFNpYNeKFtG8_yji4HS352LGlSQ/edit?pli=1#gid=0"",""1_ACUM!A4:S""),11,FALSE))"),"")</f>
        <v/>
      </c>
      <c r="AW531" s="42" t="str">
        <f ca="1">IFERROR(__xludf.DUMMYFUNCTION("IFERROR(VLOOKUP(F548,IMPORTRANGE(""https://docs.google.com/spreadsheets/d/1Kvs4KS76FHFqLFIZfrDMff4kP08nblUkihrxltoGBjg/edit#gid=934712705"",""ESENCIAL!A6:BG""),15,FALSE))"),"")</f>
        <v/>
      </c>
      <c r="AX531" s="21" t="str">
        <f ca="1">IFERROR(__xludf.DUMMYFUNCTION("IFERROR(VLOOKUP(E548&amp;F548,IMPORTRANGE(""https://docs.google.com/spreadsheets/d/1Uw7-A9f9R21vMXxHZFNpYNeKFtG8_yji4HS352LGlSQ/edit?pli=1#gid=0"",""1_ACUM!A4:S""),12,FALSE))"),"")</f>
        <v/>
      </c>
      <c r="AY531" s="43" t="str">
        <f ca="1">IFERROR(__xludf.DUMMYFUNCTION("IFERROR(VLOOKUP(E548&amp;F548,IMPORTRANGE(""https://docs.google.com/spreadsheets/d/1Uw7-A9f9R21vMXxHZFNpYNeKFtG8_yji4HS352LGlSQ/edit?pli=1#gid=0"",""1_ACUM!A4:S""),13,FALSE))"),"")</f>
        <v/>
      </c>
      <c r="AZ531" s="43" t="str">
        <f ca="1">IFERROR(__xludf.DUMMYFUNCTION("IFERROR(VLOOKUP(E548&amp;F548,IMPORTRANGE(""https://docs.google.com/spreadsheets/d/1Uw7-A9f9R21vMXxHZFNpYNeKFtG8_yji4HS352LGlSQ/edit?pli=1#gid=0"",""1_ACUM!A4:S""),14,FALSE))"),"")</f>
        <v/>
      </c>
      <c r="BA531" s="43" t="str">
        <f ca="1">IFERROR(__xludf.DUMMYFUNCTION("IFERROR(VLOOKUP(E548&amp;F548,IMPORTRANGE(""https://docs.google.com/spreadsheets/d/1Uw7-A9f9R21vMXxHZFNpYNeKFtG8_yji4HS352LGlSQ/edit?pli=1#gid=0"",""1_ACUM!A4:S""),15,FALSE))"),"")</f>
        <v/>
      </c>
      <c r="BB531" s="43" t="str">
        <f ca="1">IFERROR(__xludf.DUMMYFUNCTION("IFERROR(VLOOKUP(E548&amp;F548,IMPORTRANGE(""https://docs.google.com/spreadsheets/d/1Uw7-A9f9R21vMXxHZFNpYNeKFtG8_yji4HS352LGlSQ/edit?pli=1#gid=0"",""1_ACUM!A4:S""),16,FALSE))"),"")</f>
        <v/>
      </c>
      <c r="BC531" s="43" t="str">
        <f ca="1">IFERROR(__xludf.DUMMYFUNCTION("IFERROR(VLOOKUP(E548&amp;F548,IMPORTRANGE(""https://docs.google.com/spreadsheets/d/1Uw7-A9f9R21vMXxHZFNpYNeKFtG8_yji4HS352LGlSQ/edit?pli=1#gid=0"",""1_ACUM!A4:S""),17,FALSE))"),"")</f>
        <v/>
      </c>
      <c r="BD531" s="44" t="str">
        <f ca="1">IFERROR(__xludf.DUMMYFUNCTION("IFERROR(VLOOKUP(E548&amp;F548,IMPORTRANGE(""https://docs.google.com/spreadsheets/d/1Uw7-A9f9R21vMXxHZFNpYNeKFtG8_yji4HS352LGlSQ/edit?pli=1#gid=0"",""1_ACUM!A4:S""),18,FALSE))"),"")</f>
        <v/>
      </c>
      <c r="BE531" s="44" t="str">
        <f ca="1">IFERROR(__xludf.DUMMYFUNCTION("IFERROR(VLOOKUP(E548&amp;F548,IMPORTRANGE(""https://docs.google.com/spreadsheets/d/1Uw7-A9f9R21vMXxHZFNpYNeKFtG8_yji4HS352LGlSQ/edit?pli=1#gid=0"",""1_ACUM!A4:S""),19,FALSE))"),"")</f>
        <v/>
      </c>
      <c r="BF531" s="44" t="str">
        <f ca="1">IFERROR(__xludf.DUMMYFUNCTION("IFERROR(VLOOKUP(F548,IMPORTRANGE(""https://docs.google.com/spreadsheets/d/1Kvs4KS76FHFqLFIZfrDMff4kP08nblUkihrxltoGBjg/edit#gid=934712705"",""ESENCIAL!A6:BG""),5,FALSE))"),"")</f>
        <v/>
      </c>
      <c r="BG531" s="44" t="str">
        <f t="shared" si="41"/>
        <v/>
      </c>
      <c r="BH531" s="41" t="str">
        <f t="shared" si="42"/>
        <v/>
      </c>
      <c r="BI531" s="41" t="str">
        <f ca="1">IFERROR(__xludf.DUMMYFUNCTION("IFERROR(VLOOKUP(F548,IMPORTRANGE(""https://docs.google.com/spreadsheets/d/1Kvs4KS76FHFqLFIZfrDMff4kP08nblUkihrxltoGBjg/edit#gid=934712705"",""ESENCIAL!A6:BG""),18,FALSE))"),"")</f>
        <v/>
      </c>
      <c r="BJ531" s="19" t="str">
        <f t="shared" si="43"/>
        <v/>
      </c>
      <c r="BK531" s="41"/>
      <c r="BL531" s="41"/>
    </row>
    <row r="532" spans="1:64" ht="15">
      <c r="A532" s="4"/>
      <c r="B532" s="4"/>
      <c r="G532" s="5" t="str">
        <f ca="1">IFERROR(__xludf.DUMMYFUNCTION("IFERROR(VLOOKUP(F549,IMPORTRANGE(""https://docs.google.com/spreadsheets/d/1Kvs4KS76FHFqLFIZfrDMff4kP08nblUkihrxltoGBjg/edit#gid=934712705"",""ESENCIAL!A6:BG""),3,FALSE))"),"")</f>
        <v/>
      </c>
      <c r="H532" s="5" t="str">
        <f ca="1">IFERROR(__xludf.DUMMYFUNCTION("IFERROR(VLOOKUP(F549,IMPORTRANGE(""https://docs.google.com/spreadsheets/d/1Kvs4KS76FHFqLFIZfrDMff4kP08nblUkihrxltoGBjg/edit#gid=934712705"",""ESENCIAL!A6:BG""),8,FALSE))"),"")</f>
        <v/>
      </c>
      <c r="L532" s="287"/>
      <c r="S532"/>
      <c r="AU532" s="41" t="str">
        <f t="shared" si="40"/>
        <v/>
      </c>
      <c r="AV532" s="5" t="str">
        <f ca="1">IFERROR(__xludf.DUMMYFUNCTION("IFERROR(VLOOKUP(E549&amp;F549,IMPORTRANGE(""https://docs.google.com/spreadsheets/d/1Uw7-A9f9R21vMXxHZFNpYNeKFtG8_yji4HS352LGlSQ/edit?pli=1#gid=0"",""1_ACUM!A4:S""),11,FALSE))"),"")</f>
        <v/>
      </c>
      <c r="AW532" s="42" t="str">
        <f ca="1">IFERROR(__xludf.DUMMYFUNCTION("IFERROR(VLOOKUP(F549,IMPORTRANGE(""https://docs.google.com/spreadsheets/d/1Kvs4KS76FHFqLFIZfrDMff4kP08nblUkihrxltoGBjg/edit#gid=934712705"",""ESENCIAL!A6:BG""),15,FALSE))"),"")</f>
        <v/>
      </c>
      <c r="AX532" s="21" t="str">
        <f ca="1">IFERROR(__xludf.DUMMYFUNCTION("IFERROR(VLOOKUP(E549&amp;F549,IMPORTRANGE(""https://docs.google.com/spreadsheets/d/1Uw7-A9f9R21vMXxHZFNpYNeKFtG8_yji4HS352LGlSQ/edit?pli=1#gid=0"",""1_ACUM!A4:S""),12,FALSE))"),"")</f>
        <v/>
      </c>
      <c r="AY532" s="43" t="str">
        <f ca="1">IFERROR(__xludf.DUMMYFUNCTION("IFERROR(VLOOKUP(E549&amp;F549,IMPORTRANGE(""https://docs.google.com/spreadsheets/d/1Uw7-A9f9R21vMXxHZFNpYNeKFtG8_yji4HS352LGlSQ/edit?pli=1#gid=0"",""1_ACUM!A4:S""),13,FALSE))"),"")</f>
        <v/>
      </c>
      <c r="AZ532" s="43" t="str">
        <f ca="1">IFERROR(__xludf.DUMMYFUNCTION("IFERROR(VLOOKUP(E549&amp;F549,IMPORTRANGE(""https://docs.google.com/spreadsheets/d/1Uw7-A9f9R21vMXxHZFNpYNeKFtG8_yji4HS352LGlSQ/edit?pli=1#gid=0"",""1_ACUM!A4:S""),14,FALSE))"),"")</f>
        <v/>
      </c>
      <c r="BA532" s="43" t="str">
        <f ca="1">IFERROR(__xludf.DUMMYFUNCTION("IFERROR(VLOOKUP(E549&amp;F549,IMPORTRANGE(""https://docs.google.com/spreadsheets/d/1Uw7-A9f9R21vMXxHZFNpYNeKFtG8_yji4HS352LGlSQ/edit?pli=1#gid=0"",""1_ACUM!A4:S""),15,FALSE))"),"")</f>
        <v/>
      </c>
      <c r="BB532" s="43" t="str">
        <f ca="1">IFERROR(__xludf.DUMMYFUNCTION("IFERROR(VLOOKUP(E549&amp;F549,IMPORTRANGE(""https://docs.google.com/spreadsheets/d/1Uw7-A9f9R21vMXxHZFNpYNeKFtG8_yji4HS352LGlSQ/edit?pli=1#gid=0"",""1_ACUM!A4:S""),16,FALSE))"),"")</f>
        <v/>
      </c>
      <c r="BC532" s="43" t="str">
        <f ca="1">IFERROR(__xludf.DUMMYFUNCTION("IFERROR(VLOOKUP(E549&amp;F549,IMPORTRANGE(""https://docs.google.com/spreadsheets/d/1Uw7-A9f9R21vMXxHZFNpYNeKFtG8_yji4HS352LGlSQ/edit?pli=1#gid=0"",""1_ACUM!A4:S""),17,FALSE))"),"")</f>
        <v/>
      </c>
      <c r="BD532" s="44" t="str">
        <f ca="1">IFERROR(__xludf.DUMMYFUNCTION("IFERROR(VLOOKUP(E549&amp;F549,IMPORTRANGE(""https://docs.google.com/spreadsheets/d/1Uw7-A9f9R21vMXxHZFNpYNeKFtG8_yji4HS352LGlSQ/edit?pli=1#gid=0"",""1_ACUM!A4:S""),18,FALSE))"),"")</f>
        <v/>
      </c>
      <c r="BE532" s="44" t="str">
        <f ca="1">IFERROR(__xludf.DUMMYFUNCTION("IFERROR(VLOOKUP(E549&amp;F549,IMPORTRANGE(""https://docs.google.com/spreadsheets/d/1Uw7-A9f9R21vMXxHZFNpYNeKFtG8_yji4HS352LGlSQ/edit?pli=1#gid=0"",""1_ACUM!A4:S""),19,FALSE))"),"")</f>
        <v/>
      </c>
      <c r="BF532" s="44" t="str">
        <f ca="1">IFERROR(__xludf.DUMMYFUNCTION("IFERROR(VLOOKUP(F549,IMPORTRANGE(""https://docs.google.com/spreadsheets/d/1Kvs4KS76FHFqLFIZfrDMff4kP08nblUkihrxltoGBjg/edit#gid=934712705"",""ESENCIAL!A6:BG""),5,FALSE))"),"")</f>
        <v/>
      </c>
      <c r="BG532" s="44" t="str">
        <f t="shared" si="41"/>
        <v/>
      </c>
      <c r="BH532" s="41" t="str">
        <f t="shared" si="42"/>
        <v/>
      </c>
      <c r="BI532" s="41" t="str">
        <f ca="1">IFERROR(__xludf.DUMMYFUNCTION("IFERROR(VLOOKUP(F549,IMPORTRANGE(""https://docs.google.com/spreadsheets/d/1Kvs4KS76FHFqLFIZfrDMff4kP08nblUkihrxltoGBjg/edit#gid=934712705"",""ESENCIAL!A6:BG""),18,FALSE))"),"")</f>
        <v/>
      </c>
      <c r="BJ532" s="19" t="str">
        <f t="shared" si="43"/>
        <v/>
      </c>
      <c r="BK532" s="41"/>
      <c r="BL532" s="41"/>
    </row>
    <row r="533" spans="1:64" ht="15">
      <c r="A533" s="4"/>
      <c r="B533" s="4"/>
      <c r="G533" s="5" t="str">
        <f ca="1">IFERROR(__xludf.DUMMYFUNCTION("IFERROR(VLOOKUP(F550,IMPORTRANGE(""https://docs.google.com/spreadsheets/d/1Kvs4KS76FHFqLFIZfrDMff4kP08nblUkihrxltoGBjg/edit#gid=934712705"",""ESENCIAL!A6:BG""),3,FALSE))"),"")</f>
        <v/>
      </c>
      <c r="H533" s="5" t="str">
        <f ca="1">IFERROR(__xludf.DUMMYFUNCTION("IFERROR(VLOOKUP(F550,IMPORTRANGE(""https://docs.google.com/spreadsheets/d/1Kvs4KS76FHFqLFIZfrDMff4kP08nblUkihrxltoGBjg/edit#gid=934712705"",""ESENCIAL!A6:BG""),8,FALSE))"),"")</f>
        <v/>
      </c>
      <c r="L533" s="287"/>
      <c r="S533"/>
      <c r="AU533" s="41" t="str">
        <f t="shared" si="40"/>
        <v/>
      </c>
      <c r="AV533" s="5" t="str">
        <f ca="1">IFERROR(__xludf.DUMMYFUNCTION("IFERROR(VLOOKUP(E550&amp;F550,IMPORTRANGE(""https://docs.google.com/spreadsheets/d/1Uw7-A9f9R21vMXxHZFNpYNeKFtG8_yji4HS352LGlSQ/edit?pli=1#gid=0"",""1_ACUM!A4:S""),11,FALSE))"),"")</f>
        <v/>
      </c>
      <c r="AW533" s="42" t="str">
        <f ca="1">IFERROR(__xludf.DUMMYFUNCTION("IFERROR(VLOOKUP(F550,IMPORTRANGE(""https://docs.google.com/spreadsheets/d/1Kvs4KS76FHFqLFIZfrDMff4kP08nblUkihrxltoGBjg/edit#gid=934712705"",""ESENCIAL!A6:BG""),15,FALSE))"),"")</f>
        <v/>
      </c>
      <c r="AX533" s="21" t="str">
        <f ca="1">IFERROR(__xludf.DUMMYFUNCTION("IFERROR(VLOOKUP(E550&amp;F550,IMPORTRANGE(""https://docs.google.com/spreadsheets/d/1Uw7-A9f9R21vMXxHZFNpYNeKFtG8_yji4HS352LGlSQ/edit?pli=1#gid=0"",""1_ACUM!A4:S""),12,FALSE))"),"")</f>
        <v/>
      </c>
      <c r="AY533" s="43" t="str">
        <f ca="1">IFERROR(__xludf.DUMMYFUNCTION("IFERROR(VLOOKUP(E550&amp;F550,IMPORTRANGE(""https://docs.google.com/spreadsheets/d/1Uw7-A9f9R21vMXxHZFNpYNeKFtG8_yji4HS352LGlSQ/edit?pli=1#gid=0"",""1_ACUM!A4:S""),13,FALSE))"),"")</f>
        <v/>
      </c>
      <c r="AZ533" s="43" t="str">
        <f ca="1">IFERROR(__xludf.DUMMYFUNCTION("IFERROR(VLOOKUP(E550&amp;F550,IMPORTRANGE(""https://docs.google.com/spreadsheets/d/1Uw7-A9f9R21vMXxHZFNpYNeKFtG8_yji4HS352LGlSQ/edit?pli=1#gid=0"",""1_ACUM!A4:S""),14,FALSE))"),"")</f>
        <v/>
      </c>
      <c r="BA533" s="43" t="str">
        <f ca="1">IFERROR(__xludf.DUMMYFUNCTION("IFERROR(VLOOKUP(E550&amp;F550,IMPORTRANGE(""https://docs.google.com/spreadsheets/d/1Uw7-A9f9R21vMXxHZFNpYNeKFtG8_yji4HS352LGlSQ/edit?pli=1#gid=0"",""1_ACUM!A4:S""),15,FALSE))"),"")</f>
        <v/>
      </c>
      <c r="BB533" s="43" t="str">
        <f ca="1">IFERROR(__xludf.DUMMYFUNCTION("IFERROR(VLOOKUP(E550&amp;F550,IMPORTRANGE(""https://docs.google.com/spreadsheets/d/1Uw7-A9f9R21vMXxHZFNpYNeKFtG8_yji4HS352LGlSQ/edit?pli=1#gid=0"",""1_ACUM!A4:S""),16,FALSE))"),"")</f>
        <v/>
      </c>
      <c r="BC533" s="43" t="str">
        <f ca="1">IFERROR(__xludf.DUMMYFUNCTION("IFERROR(VLOOKUP(E550&amp;F550,IMPORTRANGE(""https://docs.google.com/spreadsheets/d/1Uw7-A9f9R21vMXxHZFNpYNeKFtG8_yji4HS352LGlSQ/edit?pli=1#gid=0"",""1_ACUM!A4:S""),17,FALSE))"),"")</f>
        <v/>
      </c>
      <c r="BD533" s="44" t="str">
        <f ca="1">IFERROR(__xludf.DUMMYFUNCTION("IFERROR(VLOOKUP(E550&amp;F550,IMPORTRANGE(""https://docs.google.com/spreadsheets/d/1Uw7-A9f9R21vMXxHZFNpYNeKFtG8_yji4HS352LGlSQ/edit?pli=1#gid=0"",""1_ACUM!A4:S""),18,FALSE))"),"")</f>
        <v/>
      </c>
      <c r="BE533" s="44" t="str">
        <f ca="1">IFERROR(__xludf.DUMMYFUNCTION("IFERROR(VLOOKUP(E550&amp;F550,IMPORTRANGE(""https://docs.google.com/spreadsheets/d/1Uw7-A9f9R21vMXxHZFNpYNeKFtG8_yji4HS352LGlSQ/edit?pli=1#gid=0"",""1_ACUM!A4:S""),19,FALSE))"),"")</f>
        <v/>
      </c>
      <c r="BF533" s="44" t="str">
        <f ca="1">IFERROR(__xludf.DUMMYFUNCTION("IFERROR(VLOOKUP(F550,IMPORTRANGE(""https://docs.google.com/spreadsheets/d/1Kvs4KS76FHFqLFIZfrDMff4kP08nblUkihrxltoGBjg/edit#gid=934712705"",""ESENCIAL!A6:BG""),5,FALSE))"),"")</f>
        <v/>
      </c>
      <c r="BG533" s="44" t="str">
        <f t="shared" si="41"/>
        <v/>
      </c>
      <c r="BH533" s="41" t="str">
        <f t="shared" si="42"/>
        <v/>
      </c>
      <c r="BI533" s="41" t="str">
        <f ca="1">IFERROR(__xludf.DUMMYFUNCTION("IFERROR(VLOOKUP(F550,IMPORTRANGE(""https://docs.google.com/spreadsheets/d/1Kvs4KS76FHFqLFIZfrDMff4kP08nblUkihrxltoGBjg/edit#gid=934712705"",""ESENCIAL!A6:BG""),18,FALSE))"),"")</f>
        <v/>
      </c>
      <c r="BJ533" s="19" t="str">
        <f t="shared" si="43"/>
        <v/>
      </c>
      <c r="BK533" s="41"/>
      <c r="BL533" s="41"/>
    </row>
    <row r="534" spans="1:64" ht="15">
      <c r="A534" s="4"/>
      <c r="B534" s="4"/>
      <c r="G534" s="5" t="str">
        <f ca="1">IFERROR(__xludf.DUMMYFUNCTION("IFERROR(VLOOKUP(F551,IMPORTRANGE(""https://docs.google.com/spreadsheets/d/1Kvs4KS76FHFqLFIZfrDMff4kP08nblUkihrxltoGBjg/edit#gid=934712705"",""ESENCIAL!A6:BG""),3,FALSE))"),"")</f>
        <v/>
      </c>
      <c r="H534" s="5" t="str">
        <f ca="1">IFERROR(__xludf.DUMMYFUNCTION("IFERROR(VLOOKUP(F551,IMPORTRANGE(""https://docs.google.com/spreadsheets/d/1Kvs4KS76FHFqLFIZfrDMff4kP08nblUkihrxltoGBjg/edit#gid=934712705"",""ESENCIAL!A6:BG""),8,FALSE))"),"")</f>
        <v/>
      </c>
      <c r="L534" s="287"/>
      <c r="S534"/>
      <c r="AU534" s="41" t="str">
        <f t="shared" si="40"/>
        <v/>
      </c>
      <c r="AV534" s="5" t="str">
        <f ca="1">IFERROR(__xludf.DUMMYFUNCTION("IFERROR(VLOOKUP(E551&amp;F551,IMPORTRANGE(""https://docs.google.com/spreadsheets/d/1Uw7-A9f9R21vMXxHZFNpYNeKFtG8_yji4HS352LGlSQ/edit?pli=1#gid=0"",""1_ACUM!A4:S""),11,FALSE))"),"")</f>
        <v/>
      </c>
      <c r="AW534" s="42" t="str">
        <f ca="1">IFERROR(__xludf.DUMMYFUNCTION("IFERROR(VLOOKUP(F551,IMPORTRANGE(""https://docs.google.com/spreadsheets/d/1Kvs4KS76FHFqLFIZfrDMff4kP08nblUkihrxltoGBjg/edit#gid=934712705"",""ESENCIAL!A6:BG""),15,FALSE))"),"")</f>
        <v/>
      </c>
      <c r="AX534" s="21" t="str">
        <f ca="1">IFERROR(__xludf.DUMMYFUNCTION("IFERROR(VLOOKUP(E551&amp;F551,IMPORTRANGE(""https://docs.google.com/spreadsheets/d/1Uw7-A9f9R21vMXxHZFNpYNeKFtG8_yji4HS352LGlSQ/edit?pli=1#gid=0"",""1_ACUM!A4:S""),12,FALSE))"),"")</f>
        <v/>
      </c>
      <c r="AY534" s="43" t="str">
        <f ca="1">IFERROR(__xludf.DUMMYFUNCTION("IFERROR(VLOOKUP(E551&amp;F551,IMPORTRANGE(""https://docs.google.com/spreadsheets/d/1Uw7-A9f9R21vMXxHZFNpYNeKFtG8_yji4HS352LGlSQ/edit?pli=1#gid=0"",""1_ACUM!A4:S""),13,FALSE))"),"")</f>
        <v/>
      </c>
      <c r="AZ534" s="43" t="str">
        <f ca="1">IFERROR(__xludf.DUMMYFUNCTION("IFERROR(VLOOKUP(E551&amp;F551,IMPORTRANGE(""https://docs.google.com/spreadsheets/d/1Uw7-A9f9R21vMXxHZFNpYNeKFtG8_yji4HS352LGlSQ/edit?pli=1#gid=0"",""1_ACUM!A4:S""),14,FALSE))"),"")</f>
        <v/>
      </c>
      <c r="BA534" s="43" t="str">
        <f ca="1">IFERROR(__xludf.DUMMYFUNCTION("IFERROR(VLOOKUP(E551&amp;F551,IMPORTRANGE(""https://docs.google.com/spreadsheets/d/1Uw7-A9f9R21vMXxHZFNpYNeKFtG8_yji4HS352LGlSQ/edit?pli=1#gid=0"",""1_ACUM!A4:S""),15,FALSE))"),"")</f>
        <v/>
      </c>
      <c r="BB534" s="43" t="str">
        <f ca="1">IFERROR(__xludf.DUMMYFUNCTION("IFERROR(VLOOKUP(E551&amp;F551,IMPORTRANGE(""https://docs.google.com/spreadsheets/d/1Uw7-A9f9R21vMXxHZFNpYNeKFtG8_yji4HS352LGlSQ/edit?pli=1#gid=0"",""1_ACUM!A4:S""),16,FALSE))"),"")</f>
        <v/>
      </c>
      <c r="BC534" s="43" t="str">
        <f ca="1">IFERROR(__xludf.DUMMYFUNCTION("IFERROR(VLOOKUP(E551&amp;F551,IMPORTRANGE(""https://docs.google.com/spreadsheets/d/1Uw7-A9f9R21vMXxHZFNpYNeKFtG8_yji4HS352LGlSQ/edit?pli=1#gid=0"",""1_ACUM!A4:S""),17,FALSE))"),"")</f>
        <v/>
      </c>
      <c r="BD534" s="44" t="str">
        <f ca="1">IFERROR(__xludf.DUMMYFUNCTION("IFERROR(VLOOKUP(E551&amp;F551,IMPORTRANGE(""https://docs.google.com/spreadsheets/d/1Uw7-A9f9R21vMXxHZFNpYNeKFtG8_yji4HS352LGlSQ/edit?pli=1#gid=0"",""1_ACUM!A4:S""),18,FALSE))"),"")</f>
        <v/>
      </c>
      <c r="BE534" s="44" t="str">
        <f ca="1">IFERROR(__xludf.DUMMYFUNCTION("IFERROR(VLOOKUP(E551&amp;F551,IMPORTRANGE(""https://docs.google.com/spreadsheets/d/1Uw7-A9f9R21vMXxHZFNpYNeKFtG8_yji4HS352LGlSQ/edit?pli=1#gid=0"",""1_ACUM!A4:S""),19,FALSE))"),"")</f>
        <v/>
      </c>
      <c r="BF534" s="44" t="str">
        <f ca="1">IFERROR(__xludf.DUMMYFUNCTION("IFERROR(VLOOKUP(F551,IMPORTRANGE(""https://docs.google.com/spreadsheets/d/1Kvs4KS76FHFqLFIZfrDMff4kP08nblUkihrxltoGBjg/edit#gid=934712705"",""ESENCIAL!A6:BG""),5,FALSE))"),"")</f>
        <v/>
      </c>
      <c r="BG534" s="44" t="str">
        <f t="shared" si="41"/>
        <v/>
      </c>
      <c r="BH534" s="41" t="str">
        <f t="shared" si="42"/>
        <v/>
      </c>
      <c r="BI534" s="41" t="str">
        <f ca="1">IFERROR(__xludf.DUMMYFUNCTION("IFERROR(VLOOKUP(F551,IMPORTRANGE(""https://docs.google.com/spreadsheets/d/1Kvs4KS76FHFqLFIZfrDMff4kP08nblUkihrxltoGBjg/edit#gid=934712705"",""ESENCIAL!A6:BG""),18,FALSE))"),"")</f>
        <v/>
      </c>
      <c r="BJ534" s="19" t="str">
        <f t="shared" si="43"/>
        <v/>
      </c>
      <c r="BK534" s="41"/>
      <c r="BL534" s="41"/>
    </row>
    <row r="535" spans="1:64" ht="15">
      <c r="A535" s="4"/>
      <c r="B535" s="4"/>
      <c r="G535" s="5" t="str">
        <f ca="1">IFERROR(__xludf.DUMMYFUNCTION("IFERROR(VLOOKUP(F552,IMPORTRANGE(""https://docs.google.com/spreadsheets/d/1Kvs4KS76FHFqLFIZfrDMff4kP08nblUkihrxltoGBjg/edit#gid=934712705"",""ESENCIAL!A6:BG""),3,FALSE))"),"")</f>
        <v/>
      </c>
      <c r="H535" s="5" t="str">
        <f ca="1">IFERROR(__xludf.DUMMYFUNCTION("IFERROR(VLOOKUP(F552,IMPORTRANGE(""https://docs.google.com/spreadsheets/d/1Kvs4KS76FHFqLFIZfrDMff4kP08nblUkihrxltoGBjg/edit#gid=934712705"",""ESENCIAL!A6:BG""),8,FALSE))"),"")</f>
        <v/>
      </c>
      <c r="L535" s="287"/>
      <c r="S535"/>
      <c r="AU535" s="41" t="str">
        <f t="shared" si="40"/>
        <v/>
      </c>
      <c r="AV535" s="5" t="str">
        <f ca="1">IFERROR(__xludf.DUMMYFUNCTION("IFERROR(VLOOKUP(E552&amp;F552,IMPORTRANGE(""https://docs.google.com/spreadsheets/d/1Uw7-A9f9R21vMXxHZFNpYNeKFtG8_yji4HS352LGlSQ/edit?pli=1#gid=0"",""1_ACUM!A4:S""),11,FALSE))"),"")</f>
        <v/>
      </c>
      <c r="AW535" s="42" t="str">
        <f ca="1">IFERROR(__xludf.DUMMYFUNCTION("IFERROR(VLOOKUP(F552,IMPORTRANGE(""https://docs.google.com/spreadsheets/d/1Kvs4KS76FHFqLFIZfrDMff4kP08nblUkihrxltoGBjg/edit#gid=934712705"",""ESENCIAL!A6:BG""),15,FALSE))"),"")</f>
        <v/>
      </c>
      <c r="AX535" s="21" t="str">
        <f ca="1">IFERROR(__xludf.DUMMYFUNCTION("IFERROR(VLOOKUP(E552&amp;F552,IMPORTRANGE(""https://docs.google.com/spreadsheets/d/1Uw7-A9f9R21vMXxHZFNpYNeKFtG8_yji4HS352LGlSQ/edit?pli=1#gid=0"",""1_ACUM!A4:S""),12,FALSE))"),"")</f>
        <v/>
      </c>
      <c r="AY535" s="43" t="str">
        <f ca="1">IFERROR(__xludf.DUMMYFUNCTION("IFERROR(VLOOKUP(E552&amp;F552,IMPORTRANGE(""https://docs.google.com/spreadsheets/d/1Uw7-A9f9R21vMXxHZFNpYNeKFtG8_yji4HS352LGlSQ/edit?pli=1#gid=0"",""1_ACUM!A4:S""),13,FALSE))"),"")</f>
        <v/>
      </c>
      <c r="AZ535" s="43" t="str">
        <f ca="1">IFERROR(__xludf.DUMMYFUNCTION("IFERROR(VLOOKUP(E552&amp;F552,IMPORTRANGE(""https://docs.google.com/spreadsheets/d/1Uw7-A9f9R21vMXxHZFNpYNeKFtG8_yji4HS352LGlSQ/edit?pli=1#gid=0"",""1_ACUM!A4:S""),14,FALSE))"),"")</f>
        <v/>
      </c>
      <c r="BA535" s="43" t="str">
        <f ca="1">IFERROR(__xludf.DUMMYFUNCTION("IFERROR(VLOOKUP(E552&amp;F552,IMPORTRANGE(""https://docs.google.com/spreadsheets/d/1Uw7-A9f9R21vMXxHZFNpYNeKFtG8_yji4HS352LGlSQ/edit?pli=1#gid=0"",""1_ACUM!A4:S""),15,FALSE))"),"")</f>
        <v/>
      </c>
      <c r="BB535" s="43" t="str">
        <f ca="1">IFERROR(__xludf.DUMMYFUNCTION("IFERROR(VLOOKUP(E552&amp;F552,IMPORTRANGE(""https://docs.google.com/spreadsheets/d/1Uw7-A9f9R21vMXxHZFNpYNeKFtG8_yji4HS352LGlSQ/edit?pli=1#gid=0"",""1_ACUM!A4:S""),16,FALSE))"),"")</f>
        <v/>
      </c>
      <c r="BC535" s="43" t="str">
        <f ca="1">IFERROR(__xludf.DUMMYFUNCTION("IFERROR(VLOOKUP(E552&amp;F552,IMPORTRANGE(""https://docs.google.com/spreadsheets/d/1Uw7-A9f9R21vMXxHZFNpYNeKFtG8_yji4HS352LGlSQ/edit?pli=1#gid=0"",""1_ACUM!A4:S""),17,FALSE))"),"")</f>
        <v/>
      </c>
      <c r="BD535" s="44" t="str">
        <f ca="1">IFERROR(__xludf.DUMMYFUNCTION("IFERROR(VLOOKUP(E552&amp;F552,IMPORTRANGE(""https://docs.google.com/spreadsheets/d/1Uw7-A9f9R21vMXxHZFNpYNeKFtG8_yji4HS352LGlSQ/edit?pli=1#gid=0"",""1_ACUM!A4:S""),18,FALSE))"),"")</f>
        <v/>
      </c>
      <c r="BE535" s="44" t="str">
        <f ca="1">IFERROR(__xludf.DUMMYFUNCTION("IFERROR(VLOOKUP(E552&amp;F552,IMPORTRANGE(""https://docs.google.com/spreadsheets/d/1Uw7-A9f9R21vMXxHZFNpYNeKFtG8_yji4HS352LGlSQ/edit?pli=1#gid=0"",""1_ACUM!A4:S""),19,FALSE))"),"")</f>
        <v/>
      </c>
      <c r="BF535" s="44" t="str">
        <f ca="1">IFERROR(__xludf.DUMMYFUNCTION("IFERROR(VLOOKUP(F552,IMPORTRANGE(""https://docs.google.com/spreadsheets/d/1Kvs4KS76FHFqLFIZfrDMff4kP08nblUkihrxltoGBjg/edit#gid=934712705"",""ESENCIAL!A6:BG""),5,FALSE))"),"")</f>
        <v/>
      </c>
      <c r="BG535" s="44" t="str">
        <f t="shared" si="41"/>
        <v/>
      </c>
      <c r="BH535" s="41" t="str">
        <f t="shared" si="42"/>
        <v/>
      </c>
      <c r="BI535" s="41" t="str">
        <f ca="1">IFERROR(__xludf.DUMMYFUNCTION("IFERROR(VLOOKUP(F552,IMPORTRANGE(""https://docs.google.com/spreadsheets/d/1Kvs4KS76FHFqLFIZfrDMff4kP08nblUkihrxltoGBjg/edit#gid=934712705"",""ESENCIAL!A6:BG""),18,FALSE))"),"")</f>
        <v/>
      </c>
      <c r="BJ535" s="19" t="str">
        <f t="shared" si="43"/>
        <v/>
      </c>
      <c r="BK535" s="41"/>
      <c r="BL535" s="41"/>
    </row>
    <row r="536" spans="1:64" ht="15">
      <c r="A536" s="4"/>
      <c r="B536" s="4"/>
      <c r="G536" s="5" t="str">
        <f ca="1">IFERROR(__xludf.DUMMYFUNCTION("IFERROR(VLOOKUP(F553,IMPORTRANGE(""https://docs.google.com/spreadsheets/d/1Kvs4KS76FHFqLFIZfrDMff4kP08nblUkihrxltoGBjg/edit#gid=934712705"",""ESENCIAL!A6:BG""),3,FALSE))"),"")</f>
        <v/>
      </c>
      <c r="H536" s="5" t="str">
        <f ca="1">IFERROR(__xludf.DUMMYFUNCTION("IFERROR(VLOOKUP(F553,IMPORTRANGE(""https://docs.google.com/spreadsheets/d/1Kvs4KS76FHFqLFIZfrDMff4kP08nblUkihrxltoGBjg/edit#gid=934712705"",""ESENCIAL!A6:BG""),8,FALSE))"),"")</f>
        <v/>
      </c>
      <c r="L536" s="287"/>
      <c r="S536"/>
      <c r="AU536" s="41" t="str">
        <f t="shared" si="40"/>
        <v/>
      </c>
      <c r="AV536" s="5" t="str">
        <f ca="1">IFERROR(__xludf.DUMMYFUNCTION("IFERROR(VLOOKUP(E553&amp;F553,IMPORTRANGE(""https://docs.google.com/spreadsheets/d/1Uw7-A9f9R21vMXxHZFNpYNeKFtG8_yji4HS352LGlSQ/edit?pli=1#gid=0"",""1_ACUM!A4:S""),11,FALSE))"),"")</f>
        <v/>
      </c>
      <c r="AW536" s="42" t="str">
        <f ca="1">IFERROR(__xludf.DUMMYFUNCTION("IFERROR(VLOOKUP(F553,IMPORTRANGE(""https://docs.google.com/spreadsheets/d/1Kvs4KS76FHFqLFIZfrDMff4kP08nblUkihrxltoGBjg/edit#gid=934712705"",""ESENCIAL!A6:BG""),15,FALSE))"),"")</f>
        <v/>
      </c>
      <c r="AX536" s="21" t="str">
        <f ca="1">IFERROR(__xludf.DUMMYFUNCTION("IFERROR(VLOOKUP(E553&amp;F553,IMPORTRANGE(""https://docs.google.com/spreadsheets/d/1Uw7-A9f9R21vMXxHZFNpYNeKFtG8_yji4HS352LGlSQ/edit?pli=1#gid=0"",""1_ACUM!A4:S""),12,FALSE))"),"")</f>
        <v/>
      </c>
      <c r="AY536" s="43" t="str">
        <f ca="1">IFERROR(__xludf.DUMMYFUNCTION("IFERROR(VLOOKUP(E553&amp;F553,IMPORTRANGE(""https://docs.google.com/spreadsheets/d/1Uw7-A9f9R21vMXxHZFNpYNeKFtG8_yji4HS352LGlSQ/edit?pli=1#gid=0"",""1_ACUM!A4:S""),13,FALSE))"),"")</f>
        <v/>
      </c>
      <c r="AZ536" s="43" t="str">
        <f ca="1">IFERROR(__xludf.DUMMYFUNCTION("IFERROR(VLOOKUP(E553&amp;F553,IMPORTRANGE(""https://docs.google.com/spreadsheets/d/1Uw7-A9f9R21vMXxHZFNpYNeKFtG8_yji4HS352LGlSQ/edit?pli=1#gid=0"",""1_ACUM!A4:S""),14,FALSE))"),"")</f>
        <v/>
      </c>
      <c r="BA536" s="43" t="str">
        <f ca="1">IFERROR(__xludf.DUMMYFUNCTION("IFERROR(VLOOKUP(E553&amp;F553,IMPORTRANGE(""https://docs.google.com/spreadsheets/d/1Uw7-A9f9R21vMXxHZFNpYNeKFtG8_yji4HS352LGlSQ/edit?pli=1#gid=0"",""1_ACUM!A4:S""),15,FALSE))"),"")</f>
        <v/>
      </c>
      <c r="BB536" s="43" t="str">
        <f ca="1">IFERROR(__xludf.DUMMYFUNCTION("IFERROR(VLOOKUP(E553&amp;F553,IMPORTRANGE(""https://docs.google.com/spreadsheets/d/1Uw7-A9f9R21vMXxHZFNpYNeKFtG8_yji4HS352LGlSQ/edit?pli=1#gid=0"",""1_ACUM!A4:S""),16,FALSE))"),"")</f>
        <v/>
      </c>
      <c r="BC536" s="43" t="str">
        <f ca="1">IFERROR(__xludf.DUMMYFUNCTION("IFERROR(VLOOKUP(E553&amp;F553,IMPORTRANGE(""https://docs.google.com/spreadsheets/d/1Uw7-A9f9R21vMXxHZFNpYNeKFtG8_yji4HS352LGlSQ/edit?pli=1#gid=0"",""1_ACUM!A4:S""),17,FALSE))"),"")</f>
        <v/>
      </c>
      <c r="BD536" s="44" t="str">
        <f ca="1">IFERROR(__xludf.DUMMYFUNCTION("IFERROR(VLOOKUP(E553&amp;F553,IMPORTRANGE(""https://docs.google.com/spreadsheets/d/1Uw7-A9f9R21vMXxHZFNpYNeKFtG8_yji4HS352LGlSQ/edit?pli=1#gid=0"",""1_ACUM!A4:S""),18,FALSE))"),"")</f>
        <v/>
      </c>
      <c r="BE536" s="44" t="str">
        <f ca="1">IFERROR(__xludf.DUMMYFUNCTION("IFERROR(VLOOKUP(E553&amp;F553,IMPORTRANGE(""https://docs.google.com/spreadsheets/d/1Uw7-A9f9R21vMXxHZFNpYNeKFtG8_yji4HS352LGlSQ/edit?pli=1#gid=0"",""1_ACUM!A4:S""),19,FALSE))"),"")</f>
        <v/>
      </c>
      <c r="BF536" s="44" t="str">
        <f ca="1">IFERROR(__xludf.DUMMYFUNCTION("IFERROR(VLOOKUP(F553,IMPORTRANGE(""https://docs.google.com/spreadsheets/d/1Kvs4KS76FHFqLFIZfrDMff4kP08nblUkihrxltoGBjg/edit#gid=934712705"",""ESENCIAL!A6:BG""),5,FALSE))"),"")</f>
        <v/>
      </c>
      <c r="BG536" s="44" t="str">
        <f t="shared" si="41"/>
        <v/>
      </c>
      <c r="BH536" s="41" t="str">
        <f t="shared" si="42"/>
        <v/>
      </c>
      <c r="BI536" s="41" t="str">
        <f ca="1">IFERROR(__xludf.DUMMYFUNCTION("IFERROR(VLOOKUP(F553,IMPORTRANGE(""https://docs.google.com/spreadsheets/d/1Kvs4KS76FHFqLFIZfrDMff4kP08nblUkihrxltoGBjg/edit#gid=934712705"",""ESENCIAL!A6:BG""),18,FALSE))"),"")</f>
        <v/>
      </c>
      <c r="BJ536" s="19" t="str">
        <f t="shared" si="43"/>
        <v/>
      </c>
      <c r="BK536" s="41"/>
      <c r="BL536" s="41"/>
    </row>
    <row r="537" spans="1:64" ht="15">
      <c r="A537" s="4"/>
      <c r="B537" s="4"/>
      <c r="G537" s="5" t="str">
        <f ca="1">IFERROR(__xludf.DUMMYFUNCTION("IFERROR(VLOOKUP(F554,IMPORTRANGE(""https://docs.google.com/spreadsheets/d/1Kvs4KS76FHFqLFIZfrDMff4kP08nblUkihrxltoGBjg/edit#gid=934712705"",""ESENCIAL!A6:BG""),3,FALSE))"),"")</f>
        <v/>
      </c>
      <c r="H537" s="5" t="str">
        <f ca="1">IFERROR(__xludf.DUMMYFUNCTION("IFERROR(VLOOKUP(F554,IMPORTRANGE(""https://docs.google.com/spreadsheets/d/1Kvs4KS76FHFqLFIZfrDMff4kP08nblUkihrxltoGBjg/edit#gid=934712705"",""ESENCIAL!A6:BG""),8,FALSE))"),"")</f>
        <v/>
      </c>
      <c r="L537" s="287"/>
      <c r="S537"/>
      <c r="AU537" s="41" t="str">
        <f t="shared" si="40"/>
        <v/>
      </c>
      <c r="AV537" s="5" t="str">
        <f ca="1">IFERROR(__xludf.DUMMYFUNCTION("IFERROR(VLOOKUP(E554&amp;F554,IMPORTRANGE(""https://docs.google.com/spreadsheets/d/1Uw7-A9f9R21vMXxHZFNpYNeKFtG8_yji4HS352LGlSQ/edit?pli=1#gid=0"",""1_ACUM!A4:S""),11,FALSE))"),"")</f>
        <v/>
      </c>
      <c r="AW537" s="42" t="str">
        <f ca="1">IFERROR(__xludf.DUMMYFUNCTION("IFERROR(VLOOKUP(F554,IMPORTRANGE(""https://docs.google.com/spreadsheets/d/1Kvs4KS76FHFqLFIZfrDMff4kP08nblUkihrxltoGBjg/edit#gid=934712705"",""ESENCIAL!A6:BG""),15,FALSE))"),"")</f>
        <v/>
      </c>
      <c r="AX537" s="21" t="str">
        <f ca="1">IFERROR(__xludf.DUMMYFUNCTION("IFERROR(VLOOKUP(E554&amp;F554,IMPORTRANGE(""https://docs.google.com/spreadsheets/d/1Uw7-A9f9R21vMXxHZFNpYNeKFtG8_yji4HS352LGlSQ/edit?pli=1#gid=0"",""1_ACUM!A4:S""),12,FALSE))"),"")</f>
        <v/>
      </c>
      <c r="AY537" s="43" t="str">
        <f ca="1">IFERROR(__xludf.DUMMYFUNCTION("IFERROR(VLOOKUP(E554&amp;F554,IMPORTRANGE(""https://docs.google.com/spreadsheets/d/1Uw7-A9f9R21vMXxHZFNpYNeKFtG8_yji4HS352LGlSQ/edit?pli=1#gid=0"",""1_ACUM!A4:S""),13,FALSE))"),"")</f>
        <v/>
      </c>
      <c r="AZ537" s="43" t="str">
        <f ca="1">IFERROR(__xludf.DUMMYFUNCTION("IFERROR(VLOOKUP(E554&amp;F554,IMPORTRANGE(""https://docs.google.com/spreadsheets/d/1Uw7-A9f9R21vMXxHZFNpYNeKFtG8_yji4HS352LGlSQ/edit?pli=1#gid=0"",""1_ACUM!A4:S""),14,FALSE))"),"")</f>
        <v/>
      </c>
      <c r="BA537" s="43" t="str">
        <f ca="1">IFERROR(__xludf.DUMMYFUNCTION("IFERROR(VLOOKUP(E554&amp;F554,IMPORTRANGE(""https://docs.google.com/spreadsheets/d/1Uw7-A9f9R21vMXxHZFNpYNeKFtG8_yji4HS352LGlSQ/edit?pli=1#gid=0"",""1_ACUM!A4:S""),15,FALSE))"),"")</f>
        <v/>
      </c>
      <c r="BB537" s="43" t="str">
        <f ca="1">IFERROR(__xludf.DUMMYFUNCTION("IFERROR(VLOOKUP(E554&amp;F554,IMPORTRANGE(""https://docs.google.com/spreadsheets/d/1Uw7-A9f9R21vMXxHZFNpYNeKFtG8_yji4HS352LGlSQ/edit?pli=1#gid=0"",""1_ACUM!A4:S""),16,FALSE))"),"")</f>
        <v/>
      </c>
      <c r="BC537" s="43" t="str">
        <f ca="1">IFERROR(__xludf.DUMMYFUNCTION("IFERROR(VLOOKUP(E554&amp;F554,IMPORTRANGE(""https://docs.google.com/spreadsheets/d/1Uw7-A9f9R21vMXxHZFNpYNeKFtG8_yji4HS352LGlSQ/edit?pli=1#gid=0"",""1_ACUM!A4:S""),17,FALSE))"),"")</f>
        <v/>
      </c>
      <c r="BD537" s="44" t="str">
        <f ca="1">IFERROR(__xludf.DUMMYFUNCTION("IFERROR(VLOOKUP(E554&amp;F554,IMPORTRANGE(""https://docs.google.com/spreadsheets/d/1Uw7-A9f9R21vMXxHZFNpYNeKFtG8_yji4HS352LGlSQ/edit?pli=1#gid=0"",""1_ACUM!A4:S""),18,FALSE))"),"")</f>
        <v/>
      </c>
      <c r="BE537" s="44" t="str">
        <f ca="1">IFERROR(__xludf.DUMMYFUNCTION("IFERROR(VLOOKUP(E554&amp;F554,IMPORTRANGE(""https://docs.google.com/spreadsheets/d/1Uw7-A9f9R21vMXxHZFNpYNeKFtG8_yji4HS352LGlSQ/edit?pli=1#gid=0"",""1_ACUM!A4:S""),19,FALSE))"),"")</f>
        <v/>
      </c>
      <c r="BF537" s="44" t="str">
        <f ca="1">IFERROR(__xludf.DUMMYFUNCTION("IFERROR(VLOOKUP(F554,IMPORTRANGE(""https://docs.google.com/spreadsheets/d/1Kvs4KS76FHFqLFIZfrDMff4kP08nblUkihrxltoGBjg/edit#gid=934712705"",""ESENCIAL!A6:BG""),5,FALSE))"),"")</f>
        <v/>
      </c>
      <c r="BG537" s="44" t="str">
        <f t="shared" si="41"/>
        <v/>
      </c>
      <c r="BH537" s="41" t="str">
        <f t="shared" si="42"/>
        <v/>
      </c>
      <c r="BI537" s="41" t="str">
        <f ca="1">IFERROR(__xludf.DUMMYFUNCTION("IFERROR(VLOOKUP(F554,IMPORTRANGE(""https://docs.google.com/spreadsheets/d/1Kvs4KS76FHFqLFIZfrDMff4kP08nblUkihrxltoGBjg/edit#gid=934712705"",""ESENCIAL!A6:BG""),18,FALSE))"),"")</f>
        <v/>
      </c>
      <c r="BJ537" s="19" t="str">
        <f t="shared" si="43"/>
        <v/>
      </c>
      <c r="BK537" s="41"/>
      <c r="BL537" s="41"/>
    </row>
    <row r="538" spans="1:64" ht="15">
      <c r="A538" s="4"/>
      <c r="B538" s="4"/>
      <c r="G538" s="5" t="str">
        <f ca="1">IFERROR(__xludf.DUMMYFUNCTION("IFERROR(VLOOKUP(F555,IMPORTRANGE(""https://docs.google.com/spreadsheets/d/1Kvs4KS76FHFqLFIZfrDMff4kP08nblUkihrxltoGBjg/edit#gid=934712705"",""ESENCIAL!A6:BG""),3,FALSE))"),"")</f>
        <v/>
      </c>
      <c r="H538" s="5" t="str">
        <f ca="1">IFERROR(__xludf.DUMMYFUNCTION("IFERROR(VLOOKUP(F555,IMPORTRANGE(""https://docs.google.com/spreadsheets/d/1Kvs4KS76FHFqLFIZfrDMff4kP08nblUkihrxltoGBjg/edit#gid=934712705"",""ESENCIAL!A6:BG""),8,FALSE))"),"")</f>
        <v/>
      </c>
      <c r="L538" s="287"/>
      <c r="S538"/>
      <c r="AU538" s="41" t="str">
        <f t="shared" si="40"/>
        <v/>
      </c>
      <c r="AV538" s="5" t="str">
        <f ca="1">IFERROR(__xludf.DUMMYFUNCTION("IFERROR(VLOOKUP(E555&amp;F555,IMPORTRANGE(""https://docs.google.com/spreadsheets/d/1Uw7-A9f9R21vMXxHZFNpYNeKFtG8_yji4HS352LGlSQ/edit?pli=1#gid=0"",""1_ACUM!A4:S""),11,FALSE))"),"")</f>
        <v/>
      </c>
      <c r="AW538" s="42" t="str">
        <f ca="1">IFERROR(__xludf.DUMMYFUNCTION("IFERROR(VLOOKUP(F555,IMPORTRANGE(""https://docs.google.com/spreadsheets/d/1Kvs4KS76FHFqLFIZfrDMff4kP08nblUkihrxltoGBjg/edit#gid=934712705"",""ESENCIAL!A6:BG""),15,FALSE))"),"")</f>
        <v/>
      </c>
      <c r="AX538" s="21" t="str">
        <f ca="1">IFERROR(__xludf.DUMMYFUNCTION("IFERROR(VLOOKUP(E555&amp;F555,IMPORTRANGE(""https://docs.google.com/spreadsheets/d/1Uw7-A9f9R21vMXxHZFNpYNeKFtG8_yji4HS352LGlSQ/edit?pli=1#gid=0"",""1_ACUM!A4:S""),12,FALSE))"),"")</f>
        <v/>
      </c>
      <c r="AY538" s="43" t="str">
        <f ca="1">IFERROR(__xludf.DUMMYFUNCTION("IFERROR(VLOOKUP(E555&amp;F555,IMPORTRANGE(""https://docs.google.com/spreadsheets/d/1Uw7-A9f9R21vMXxHZFNpYNeKFtG8_yji4HS352LGlSQ/edit?pli=1#gid=0"",""1_ACUM!A4:S""),13,FALSE))"),"")</f>
        <v/>
      </c>
      <c r="AZ538" s="43" t="str">
        <f ca="1">IFERROR(__xludf.DUMMYFUNCTION("IFERROR(VLOOKUP(E555&amp;F555,IMPORTRANGE(""https://docs.google.com/spreadsheets/d/1Uw7-A9f9R21vMXxHZFNpYNeKFtG8_yji4HS352LGlSQ/edit?pli=1#gid=0"",""1_ACUM!A4:S""),14,FALSE))"),"")</f>
        <v/>
      </c>
      <c r="BA538" s="43" t="str">
        <f ca="1">IFERROR(__xludf.DUMMYFUNCTION("IFERROR(VLOOKUP(E555&amp;F555,IMPORTRANGE(""https://docs.google.com/spreadsheets/d/1Uw7-A9f9R21vMXxHZFNpYNeKFtG8_yji4HS352LGlSQ/edit?pli=1#gid=0"",""1_ACUM!A4:S""),15,FALSE))"),"")</f>
        <v/>
      </c>
      <c r="BB538" s="43" t="str">
        <f ca="1">IFERROR(__xludf.DUMMYFUNCTION("IFERROR(VLOOKUP(E555&amp;F555,IMPORTRANGE(""https://docs.google.com/spreadsheets/d/1Uw7-A9f9R21vMXxHZFNpYNeKFtG8_yji4HS352LGlSQ/edit?pli=1#gid=0"",""1_ACUM!A4:S""),16,FALSE))"),"")</f>
        <v/>
      </c>
      <c r="BC538" s="43" t="str">
        <f ca="1">IFERROR(__xludf.DUMMYFUNCTION("IFERROR(VLOOKUP(E555&amp;F555,IMPORTRANGE(""https://docs.google.com/spreadsheets/d/1Uw7-A9f9R21vMXxHZFNpYNeKFtG8_yji4HS352LGlSQ/edit?pli=1#gid=0"",""1_ACUM!A4:S""),17,FALSE))"),"")</f>
        <v/>
      </c>
      <c r="BD538" s="44" t="str">
        <f ca="1">IFERROR(__xludf.DUMMYFUNCTION("IFERROR(VLOOKUP(E555&amp;F555,IMPORTRANGE(""https://docs.google.com/spreadsheets/d/1Uw7-A9f9R21vMXxHZFNpYNeKFtG8_yji4HS352LGlSQ/edit?pli=1#gid=0"",""1_ACUM!A4:S""),18,FALSE))"),"")</f>
        <v/>
      </c>
      <c r="BE538" s="44" t="str">
        <f ca="1">IFERROR(__xludf.DUMMYFUNCTION("IFERROR(VLOOKUP(E555&amp;F555,IMPORTRANGE(""https://docs.google.com/spreadsheets/d/1Uw7-A9f9R21vMXxHZFNpYNeKFtG8_yji4HS352LGlSQ/edit?pli=1#gid=0"",""1_ACUM!A4:S""),19,FALSE))"),"")</f>
        <v/>
      </c>
      <c r="BF538" s="44" t="str">
        <f ca="1">IFERROR(__xludf.DUMMYFUNCTION("IFERROR(VLOOKUP(F555,IMPORTRANGE(""https://docs.google.com/spreadsheets/d/1Kvs4KS76FHFqLFIZfrDMff4kP08nblUkihrxltoGBjg/edit#gid=934712705"",""ESENCIAL!A6:BG""),5,FALSE))"),"")</f>
        <v/>
      </c>
      <c r="BG538" s="44" t="str">
        <f t="shared" si="41"/>
        <v/>
      </c>
      <c r="BH538" s="41" t="str">
        <f t="shared" si="42"/>
        <v/>
      </c>
      <c r="BI538" s="41" t="str">
        <f ca="1">IFERROR(__xludf.DUMMYFUNCTION("IFERROR(VLOOKUP(F555,IMPORTRANGE(""https://docs.google.com/spreadsheets/d/1Kvs4KS76FHFqLFIZfrDMff4kP08nblUkihrxltoGBjg/edit#gid=934712705"",""ESENCIAL!A6:BG""),18,FALSE))"),"")</f>
        <v/>
      </c>
      <c r="BJ538" s="19" t="str">
        <f t="shared" si="43"/>
        <v/>
      </c>
      <c r="BK538" s="41"/>
      <c r="BL538" s="41"/>
    </row>
    <row r="539" spans="1:64" ht="15">
      <c r="A539" s="4"/>
      <c r="B539" s="4"/>
      <c r="G539" s="5" t="str">
        <f ca="1">IFERROR(__xludf.DUMMYFUNCTION("IFERROR(VLOOKUP(F556,IMPORTRANGE(""https://docs.google.com/spreadsheets/d/1Kvs4KS76FHFqLFIZfrDMff4kP08nblUkihrxltoGBjg/edit#gid=934712705"",""ESENCIAL!A6:BG""),3,FALSE))"),"")</f>
        <v/>
      </c>
      <c r="H539" s="5" t="str">
        <f ca="1">IFERROR(__xludf.DUMMYFUNCTION("IFERROR(VLOOKUP(F556,IMPORTRANGE(""https://docs.google.com/spreadsheets/d/1Kvs4KS76FHFqLFIZfrDMff4kP08nblUkihrxltoGBjg/edit#gid=934712705"",""ESENCIAL!A6:BG""),8,FALSE))"),"")</f>
        <v/>
      </c>
      <c r="L539" s="287"/>
      <c r="S539"/>
      <c r="AU539" s="41" t="str">
        <f t="shared" si="40"/>
        <v/>
      </c>
      <c r="AV539" s="5" t="str">
        <f ca="1">IFERROR(__xludf.DUMMYFUNCTION("IFERROR(VLOOKUP(E556&amp;F556,IMPORTRANGE(""https://docs.google.com/spreadsheets/d/1Uw7-A9f9R21vMXxHZFNpYNeKFtG8_yji4HS352LGlSQ/edit?pli=1#gid=0"",""1_ACUM!A4:S""),11,FALSE))"),"")</f>
        <v/>
      </c>
      <c r="AW539" s="42" t="str">
        <f ca="1">IFERROR(__xludf.DUMMYFUNCTION("IFERROR(VLOOKUP(F556,IMPORTRANGE(""https://docs.google.com/spreadsheets/d/1Kvs4KS76FHFqLFIZfrDMff4kP08nblUkihrxltoGBjg/edit#gid=934712705"",""ESENCIAL!A6:BG""),15,FALSE))"),"")</f>
        <v/>
      </c>
      <c r="AX539" s="21" t="str">
        <f ca="1">IFERROR(__xludf.DUMMYFUNCTION("IFERROR(VLOOKUP(E556&amp;F556,IMPORTRANGE(""https://docs.google.com/spreadsheets/d/1Uw7-A9f9R21vMXxHZFNpYNeKFtG8_yji4HS352LGlSQ/edit?pli=1#gid=0"",""1_ACUM!A4:S""),12,FALSE))"),"")</f>
        <v/>
      </c>
      <c r="AY539" s="43" t="str">
        <f ca="1">IFERROR(__xludf.DUMMYFUNCTION("IFERROR(VLOOKUP(E556&amp;F556,IMPORTRANGE(""https://docs.google.com/spreadsheets/d/1Uw7-A9f9R21vMXxHZFNpYNeKFtG8_yji4HS352LGlSQ/edit?pli=1#gid=0"",""1_ACUM!A4:S""),13,FALSE))"),"")</f>
        <v/>
      </c>
      <c r="AZ539" s="43" t="str">
        <f ca="1">IFERROR(__xludf.DUMMYFUNCTION("IFERROR(VLOOKUP(E556&amp;F556,IMPORTRANGE(""https://docs.google.com/spreadsheets/d/1Uw7-A9f9R21vMXxHZFNpYNeKFtG8_yji4HS352LGlSQ/edit?pli=1#gid=0"",""1_ACUM!A4:S""),14,FALSE))"),"")</f>
        <v/>
      </c>
      <c r="BA539" s="43" t="str">
        <f ca="1">IFERROR(__xludf.DUMMYFUNCTION("IFERROR(VLOOKUP(E556&amp;F556,IMPORTRANGE(""https://docs.google.com/spreadsheets/d/1Uw7-A9f9R21vMXxHZFNpYNeKFtG8_yji4HS352LGlSQ/edit?pli=1#gid=0"",""1_ACUM!A4:S""),15,FALSE))"),"")</f>
        <v/>
      </c>
      <c r="BB539" s="43" t="str">
        <f ca="1">IFERROR(__xludf.DUMMYFUNCTION("IFERROR(VLOOKUP(E556&amp;F556,IMPORTRANGE(""https://docs.google.com/spreadsheets/d/1Uw7-A9f9R21vMXxHZFNpYNeKFtG8_yji4HS352LGlSQ/edit?pli=1#gid=0"",""1_ACUM!A4:S""),16,FALSE))"),"")</f>
        <v/>
      </c>
      <c r="BC539" s="43" t="str">
        <f ca="1">IFERROR(__xludf.DUMMYFUNCTION("IFERROR(VLOOKUP(E556&amp;F556,IMPORTRANGE(""https://docs.google.com/spreadsheets/d/1Uw7-A9f9R21vMXxHZFNpYNeKFtG8_yji4HS352LGlSQ/edit?pli=1#gid=0"",""1_ACUM!A4:S""),17,FALSE))"),"")</f>
        <v/>
      </c>
      <c r="BD539" s="44" t="str">
        <f ca="1">IFERROR(__xludf.DUMMYFUNCTION("IFERROR(VLOOKUP(E556&amp;F556,IMPORTRANGE(""https://docs.google.com/spreadsheets/d/1Uw7-A9f9R21vMXxHZFNpYNeKFtG8_yji4HS352LGlSQ/edit?pli=1#gid=0"",""1_ACUM!A4:S""),18,FALSE))"),"")</f>
        <v/>
      </c>
      <c r="BE539" s="44" t="str">
        <f ca="1">IFERROR(__xludf.DUMMYFUNCTION("IFERROR(VLOOKUP(E556&amp;F556,IMPORTRANGE(""https://docs.google.com/spreadsheets/d/1Uw7-A9f9R21vMXxHZFNpYNeKFtG8_yji4HS352LGlSQ/edit?pli=1#gid=0"",""1_ACUM!A4:S""),19,FALSE))"),"")</f>
        <v/>
      </c>
      <c r="BF539" s="44" t="str">
        <f ca="1">IFERROR(__xludf.DUMMYFUNCTION("IFERROR(VLOOKUP(F556,IMPORTRANGE(""https://docs.google.com/spreadsheets/d/1Kvs4KS76FHFqLFIZfrDMff4kP08nblUkihrxltoGBjg/edit#gid=934712705"",""ESENCIAL!A6:BG""),5,FALSE))"),"")</f>
        <v/>
      </c>
      <c r="BG539" s="44" t="str">
        <f t="shared" si="41"/>
        <v/>
      </c>
      <c r="BH539" s="41" t="str">
        <f t="shared" si="42"/>
        <v/>
      </c>
      <c r="BI539" s="41" t="str">
        <f ca="1">IFERROR(__xludf.DUMMYFUNCTION("IFERROR(VLOOKUP(F556,IMPORTRANGE(""https://docs.google.com/spreadsheets/d/1Kvs4KS76FHFqLFIZfrDMff4kP08nblUkihrxltoGBjg/edit#gid=934712705"",""ESENCIAL!A6:BG""),18,FALSE))"),"")</f>
        <v/>
      </c>
      <c r="BJ539" s="19" t="str">
        <f t="shared" si="43"/>
        <v/>
      </c>
      <c r="BK539" s="41"/>
      <c r="BL539" s="41"/>
    </row>
    <row r="540" spans="1:64" ht="15">
      <c r="A540" s="4"/>
      <c r="B540" s="4"/>
      <c r="G540" s="5" t="str">
        <f ca="1">IFERROR(__xludf.DUMMYFUNCTION("IFERROR(VLOOKUP(F557,IMPORTRANGE(""https://docs.google.com/spreadsheets/d/1Kvs4KS76FHFqLFIZfrDMff4kP08nblUkihrxltoGBjg/edit#gid=934712705"",""ESENCIAL!A6:BG""),3,FALSE))"),"")</f>
        <v/>
      </c>
      <c r="H540" s="5" t="str">
        <f ca="1">IFERROR(__xludf.DUMMYFUNCTION("IFERROR(VLOOKUP(F557,IMPORTRANGE(""https://docs.google.com/spreadsheets/d/1Kvs4KS76FHFqLFIZfrDMff4kP08nblUkihrxltoGBjg/edit#gid=934712705"",""ESENCIAL!A6:BG""),8,FALSE))"),"")</f>
        <v/>
      </c>
      <c r="L540" s="287"/>
      <c r="S540"/>
      <c r="AU540" s="41" t="str">
        <f t="shared" si="40"/>
        <v/>
      </c>
      <c r="AV540" s="5" t="str">
        <f ca="1">IFERROR(__xludf.DUMMYFUNCTION("IFERROR(VLOOKUP(E557&amp;F557,IMPORTRANGE(""https://docs.google.com/spreadsheets/d/1Uw7-A9f9R21vMXxHZFNpYNeKFtG8_yji4HS352LGlSQ/edit?pli=1#gid=0"",""1_ACUM!A4:S""),11,FALSE))"),"")</f>
        <v/>
      </c>
      <c r="AW540" s="42" t="str">
        <f ca="1">IFERROR(__xludf.DUMMYFUNCTION("IFERROR(VLOOKUP(F557,IMPORTRANGE(""https://docs.google.com/spreadsheets/d/1Kvs4KS76FHFqLFIZfrDMff4kP08nblUkihrxltoGBjg/edit#gid=934712705"",""ESENCIAL!A6:BG""),15,FALSE))"),"")</f>
        <v/>
      </c>
      <c r="AX540" s="21" t="str">
        <f ca="1">IFERROR(__xludf.DUMMYFUNCTION("IFERROR(VLOOKUP(E557&amp;F557,IMPORTRANGE(""https://docs.google.com/spreadsheets/d/1Uw7-A9f9R21vMXxHZFNpYNeKFtG8_yji4HS352LGlSQ/edit?pli=1#gid=0"",""1_ACUM!A4:S""),12,FALSE))"),"")</f>
        <v/>
      </c>
      <c r="AY540" s="43" t="str">
        <f ca="1">IFERROR(__xludf.DUMMYFUNCTION("IFERROR(VLOOKUP(E557&amp;F557,IMPORTRANGE(""https://docs.google.com/spreadsheets/d/1Uw7-A9f9R21vMXxHZFNpYNeKFtG8_yji4HS352LGlSQ/edit?pli=1#gid=0"",""1_ACUM!A4:S""),13,FALSE))"),"")</f>
        <v/>
      </c>
      <c r="AZ540" s="43" t="str">
        <f ca="1">IFERROR(__xludf.DUMMYFUNCTION("IFERROR(VLOOKUP(E557&amp;F557,IMPORTRANGE(""https://docs.google.com/spreadsheets/d/1Uw7-A9f9R21vMXxHZFNpYNeKFtG8_yji4HS352LGlSQ/edit?pli=1#gid=0"",""1_ACUM!A4:S""),14,FALSE))"),"")</f>
        <v/>
      </c>
      <c r="BA540" s="43" t="str">
        <f ca="1">IFERROR(__xludf.DUMMYFUNCTION("IFERROR(VLOOKUP(E557&amp;F557,IMPORTRANGE(""https://docs.google.com/spreadsheets/d/1Uw7-A9f9R21vMXxHZFNpYNeKFtG8_yji4HS352LGlSQ/edit?pli=1#gid=0"",""1_ACUM!A4:S""),15,FALSE))"),"")</f>
        <v/>
      </c>
      <c r="BB540" s="43" t="str">
        <f ca="1">IFERROR(__xludf.DUMMYFUNCTION("IFERROR(VLOOKUP(E557&amp;F557,IMPORTRANGE(""https://docs.google.com/spreadsheets/d/1Uw7-A9f9R21vMXxHZFNpYNeKFtG8_yji4HS352LGlSQ/edit?pli=1#gid=0"",""1_ACUM!A4:S""),16,FALSE))"),"")</f>
        <v/>
      </c>
      <c r="BC540" s="43" t="str">
        <f ca="1">IFERROR(__xludf.DUMMYFUNCTION("IFERROR(VLOOKUP(E557&amp;F557,IMPORTRANGE(""https://docs.google.com/spreadsheets/d/1Uw7-A9f9R21vMXxHZFNpYNeKFtG8_yji4HS352LGlSQ/edit?pli=1#gid=0"",""1_ACUM!A4:S""),17,FALSE))"),"")</f>
        <v/>
      </c>
      <c r="BD540" s="44" t="str">
        <f ca="1">IFERROR(__xludf.DUMMYFUNCTION("IFERROR(VLOOKUP(E557&amp;F557,IMPORTRANGE(""https://docs.google.com/spreadsheets/d/1Uw7-A9f9R21vMXxHZFNpYNeKFtG8_yji4HS352LGlSQ/edit?pli=1#gid=0"",""1_ACUM!A4:S""),18,FALSE))"),"")</f>
        <v/>
      </c>
      <c r="BE540" s="44" t="str">
        <f ca="1">IFERROR(__xludf.DUMMYFUNCTION("IFERROR(VLOOKUP(E557&amp;F557,IMPORTRANGE(""https://docs.google.com/spreadsheets/d/1Uw7-A9f9R21vMXxHZFNpYNeKFtG8_yji4HS352LGlSQ/edit?pli=1#gid=0"",""1_ACUM!A4:S""),19,FALSE))"),"")</f>
        <v/>
      </c>
      <c r="BF540" s="44" t="str">
        <f ca="1">IFERROR(__xludf.DUMMYFUNCTION("IFERROR(VLOOKUP(F557,IMPORTRANGE(""https://docs.google.com/spreadsheets/d/1Kvs4KS76FHFqLFIZfrDMff4kP08nblUkihrxltoGBjg/edit#gid=934712705"",""ESENCIAL!A6:BG""),5,FALSE))"),"")</f>
        <v/>
      </c>
      <c r="BG540" s="44" t="str">
        <f t="shared" si="41"/>
        <v/>
      </c>
      <c r="BH540" s="41" t="str">
        <f t="shared" si="42"/>
        <v/>
      </c>
      <c r="BI540" s="41" t="str">
        <f ca="1">IFERROR(__xludf.DUMMYFUNCTION("IFERROR(VLOOKUP(F557,IMPORTRANGE(""https://docs.google.com/spreadsheets/d/1Kvs4KS76FHFqLFIZfrDMff4kP08nblUkihrxltoGBjg/edit#gid=934712705"",""ESENCIAL!A6:BG""),18,FALSE))"),"")</f>
        <v/>
      </c>
      <c r="BJ540" s="19" t="str">
        <f t="shared" si="43"/>
        <v/>
      </c>
      <c r="BK540" s="41"/>
      <c r="BL540" s="41"/>
    </row>
    <row r="541" spans="1:64" ht="15">
      <c r="A541" s="4"/>
      <c r="B541" s="4"/>
      <c r="G541" s="5" t="str">
        <f ca="1">IFERROR(__xludf.DUMMYFUNCTION("IFERROR(VLOOKUP(F558,IMPORTRANGE(""https://docs.google.com/spreadsheets/d/1Kvs4KS76FHFqLFIZfrDMff4kP08nblUkihrxltoGBjg/edit#gid=934712705"",""ESENCIAL!A6:BG""),3,FALSE))"),"")</f>
        <v/>
      </c>
      <c r="H541" s="5" t="str">
        <f ca="1">IFERROR(__xludf.DUMMYFUNCTION("IFERROR(VLOOKUP(F558,IMPORTRANGE(""https://docs.google.com/spreadsheets/d/1Kvs4KS76FHFqLFIZfrDMff4kP08nblUkihrxltoGBjg/edit#gid=934712705"",""ESENCIAL!A6:BG""),8,FALSE))"),"")</f>
        <v/>
      </c>
      <c r="L541" s="287"/>
      <c r="S541"/>
      <c r="AU541" s="41" t="str">
        <f t="shared" si="40"/>
        <v/>
      </c>
      <c r="AV541" s="5" t="str">
        <f ca="1">IFERROR(__xludf.DUMMYFUNCTION("IFERROR(VLOOKUP(E558&amp;F558,IMPORTRANGE(""https://docs.google.com/spreadsheets/d/1Uw7-A9f9R21vMXxHZFNpYNeKFtG8_yji4HS352LGlSQ/edit?pli=1#gid=0"",""1_ACUM!A4:S""),11,FALSE))"),"")</f>
        <v/>
      </c>
      <c r="AW541" s="42" t="str">
        <f ca="1">IFERROR(__xludf.DUMMYFUNCTION("IFERROR(VLOOKUP(F558,IMPORTRANGE(""https://docs.google.com/spreadsheets/d/1Kvs4KS76FHFqLFIZfrDMff4kP08nblUkihrxltoGBjg/edit#gid=934712705"",""ESENCIAL!A6:BG""),15,FALSE))"),"")</f>
        <v/>
      </c>
      <c r="AX541" s="21" t="str">
        <f ca="1">IFERROR(__xludf.DUMMYFUNCTION("IFERROR(VLOOKUP(E558&amp;F558,IMPORTRANGE(""https://docs.google.com/spreadsheets/d/1Uw7-A9f9R21vMXxHZFNpYNeKFtG8_yji4HS352LGlSQ/edit?pli=1#gid=0"",""1_ACUM!A4:S""),12,FALSE))"),"")</f>
        <v/>
      </c>
      <c r="AY541" s="43" t="str">
        <f ca="1">IFERROR(__xludf.DUMMYFUNCTION("IFERROR(VLOOKUP(E558&amp;F558,IMPORTRANGE(""https://docs.google.com/spreadsheets/d/1Uw7-A9f9R21vMXxHZFNpYNeKFtG8_yji4HS352LGlSQ/edit?pli=1#gid=0"",""1_ACUM!A4:S""),13,FALSE))"),"")</f>
        <v/>
      </c>
      <c r="AZ541" s="43" t="str">
        <f ca="1">IFERROR(__xludf.DUMMYFUNCTION("IFERROR(VLOOKUP(E558&amp;F558,IMPORTRANGE(""https://docs.google.com/spreadsheets/d/1Uw7-A9f9R21vMXxHZFNpYNeKFtG8_yji4HS352LGlSQ/edit?pli=1#gid=0"",""1_ACUM!A4:S""),14,FALSE))"),"")</f>
        <v/>
      </c>
      <c r="BA541" s="43" t="str">
        <f ca="1">IFERROR(__xludf.DUMMYFUNCTION("IFERROR(VLOOKUP(E558&amp;F558,IMPORTRANGE(""https://docs.google.com/spreadsheets/d/1Uw7-A9f9R21vMXxHZFNpYNeKFtG8_yji4HS352LGlSQ/edit?pli=1#gid=0"",""1_ACUM!A4:S""),15,FALSE))"),"")</f>
        <v/>
      </c>
      <c r="BB541" s="43" t="str">
        <f ca="1">IFERROR(__xludf.DUMMYFUNCTION("IFERROR(VLOOKUP(E558&amp;F558,IMPORTRANGE(""https://docs.google.com/spreadsheets/d/1Uw7-A9f9R21vMXxHZFNpYNeKFtG8_yji4HS352LGlSQ/edit?pli=1#gid=0"",""1_ACUM!A4:S""),16,FALSE))"),"")</f>
        <v/>
      </c>
      <c r="BC541" s="43" t="str">
        <f ca="1">IFERROR(__xludf.DUMMYFUNCTION("IFERROR(VLOOKUP(E558&amp;F558,IMPORTRANGE(""https://docs.google.com/spreadsheets/d/1Uw7-A9f9R21vMXxHZFNpYNeKFtG8_yji4HS352LGlSQ/edit?pli=1#gid=0"",""1_ACUM!A4:S""),17,FALSE))"),"")</f>
        <v/>
      </c>
      <c r="BD541" s="44" t="str">
        <f ca="1">IFERROR(__xludf.DUMMYFUNCTION("IFERROR(VLOOKUP(E558&amp;F558,IMPORTRANGE(""https://docs.google.com/spreadsheets/d/1Uw7-A9f9R21vMXxHZFNpYNeKFtG8_yji4HS352LGlSQ/edit?pli=1#gid=0"",""1_ACUM!A4:S""),18,FALSE))"),"")</f>
        <v/>
      </c>
      <c r="BE541" s="44" t="str">
        <f ca="1">IFERROR(__xludf.DUMMYFUNCTION("IFERROR(VLOOKUP(E558&amp;F558,IMPORTRANGE(""https://docs.google.com/spreadsheets/d/1Uw7-A9f9R21vMXxHZFNpYNeKFtG8_yji4HS352LGlSQ/edit?pli=1#gid=0"",""1_ACUM!A4:S""),19,FALSE))"),"")</f>
        <v/>
      </c>
      <c r="BF541" s="44" t="str">
        <f ca="1">IFERROR(__xludf.DUMMYFUNCTION("IFERROR(VLOOKUP(F558,IMPORTRANGE(""https://docs.google.com/spreadsheets/d/1Kvs4KS76FHFqLFIZfrDMff4kP08nblUkihrxltoGBjg/edit#gid=934712705"",""ESENCIAL!A6:BG""),5,FALSE))"),"")</f>
        <v/>
      </c>
      <c r="BG541" s="44" t="str">
        <f t="shared" si="41"/>
        <v/>
      </c>
      <c r="BH541" s="41" t="str">
        <f t="shared" si="42"/>
        <v/>
      </c>
      <c r="BI541" s="41" t="str">
        <f ca="1">IFERROR(__xludf.DUMMYFUNCTION("IFERROR(VLOOKUP(F558,IMPORTRANGE(""https://docs.google.com/spreadsheets/d/1Kvs4KS76FHFqLFIZfrDMff4kP08nblUkihrxltoGBjg/edit#gid=934712705"",""ESENCIAL!A6:BG""),18,FALSE))"),"")</f>
        <v/>
      </c>
      <c r="BJ541" s="19" t="str">
        <f t="shared" si="43"/>
        <v/>
      </c>
      <c r="BK541" s="41"/>
      <c r="BL541" s="41"/>
    </row>
    <row r="542" spans="1:64" ht="15">
      <c r="A542" s="4"/>
      <c r="B542" s="4"/>
      <c r="G542" s="5" t="str">
        <f ca="1">IFERROR(__xludf.DUMMYFUNCTION("IFERROR(VLOOKUP(F559,IMPORTRANGE(""https://docs.google.com/spreadsheets/d/1Kvs4KS76FHFqLFIZfrDMff4kP08nblUkihrxltoGBjg/edit#gid=934712705"",""ESENCIAL!A6:BG""),3,FALSE))"),"")</f>
        <v/>
      </c>
      <c r="H542" s="5" t="str">
        <f ca="1">IFERROR(__xludf.DUMMYFUNCTION("IFERROR(VLOOKUP(F559,IMPORTRANGE(""https://docs.google.com/spreadsheets/d/1Kvs4KS76FHFqLFIZfrDMff4kP08nblUkihrxltoGBjg/edit#gid=934712705"",""ESENCIAL!A6:BG""),8,FALSE))"),"")</f>
        <v/>
      </c>
      <c r="L542" s="287"/>
      <c r="S542"/>
      <c r="AU542" s="41" t="str">
        <f t="shared" si="40"/>
        <v/>
      </c>
      <c r="AV542" s="5" t="str">
        <f ca="1">IFERROR(__xludf.DUMMYFUNCTION("IFERROR(VLOOKUP(E559&amp;F559,IMPORTRANGE(""https://docs.google.com/spreadsheets/d/1Uw7-A9f9R21vMXxHZFNpYNeKFtG8_yji4HS352LGlSQ/edit?pli=1#gid=0"",""1_ACUM!A4:S""),11,FALSE))"),"")</f>
        <v/>
      </c>
      <c r="AW542" s="42" t="str">
        <f ca="1">IFERROR(__xludf.DUMMYFUNCTION("IFERROR(VLOOKUP(F559,IMPORTRANGE(""https://docs.google.com/spreadsheets/d/1Kvs4KS76FHFqLFIZfrDMff4kP08nblUkihrxltoGBjg/edit#gid=934712705"",""ESENCIAL!A6:BG""),15,FALSE))"),"")</f>
        <v/>
      </c>
      <c r="AX542" s="21" t="str">
        <f ca="1">IFERROR(__xludf.DUMMYFUNCTION("IFERROR(VLOOKUP(E559&amp;F559,IMPORTRANGE(""https://docs.google.com/spreadsheets/d/1Uw7-A9f9R21vMXxHZFNpYNeKFtG8_yji4HS352LGlSQ/edit?pli=1#gid=0"",""1_ACUM!A4:S""),12,FALSE))"),"")</f>
        <v/>
      </c>
      <c r="AY542" s="43" t="str">
        <f ca="1">IFERROR(__xludf.DUMMYFUNCTION("IFERROR(VLOOKUP(E559&amp;F559,IMPORTRANGE(""https://docs.google.com/spreadsheets/d/1Uw7-A9f9R21vMXxHZFNpYNeKFtG8_yji4HS352LGlSQ/edit?pli=1#gid=0"",""1_ACUM!A4:S""),13,FALSE))"),"")</f>
        <v/>
      </c>
      <c r="AZ542" s="43" t="str">
        <f ca="1">IFERROR(__xludf.DUMMYFUNCTION("IFERROR(VLOOKUP(E559&amp;F559,IMPORTRANGE(""https://docs.google.com/spreadsheets/d/1Uw7-A9f9R21vMXxHZFNpYNeKFtG8_yji4HS352LGlSQ/edit?pli=1#gid=0"",""1_ACUM!A4:S""),14,FALSE))"),"")</f>
        <v/>
      </c>
      <c r="BA542" s="43" t="str">
        <f ca="1">IFERROR(__xludf.DUMMYFUNCTION("IFERROR(VLOOKUP(E559&amp;F559,IMPORTRANGE(""https://docs.google.com/spreadsheets/d/1Uw7-A9f9R21vMXxHZFNpYNeKFtG8_yji4HS352LGlSQ/edit?pli=1#gid=0"",""1_ACUM!A4:S""),15,FALSE))"),"")</f>
        <v/>
      </c>
      <c r="BB542" s="43" t="str">
        <f ca="1">IFERROR(__xludf.DUMMYFUNCTION("IFERROR(VLOOKUP(E559&amp;F559,IMPORTRANGE(""https://docs.google.com/spreadsheets/d/1Uw7-A9f9R21vMXxHZFNpYNeKFtG8_yji4HS352LGlSQ/edit?pli=1#gid=0"",""1_ACUM!A4:S""),16,FALSE))"),"")</f>
        <v/>
      </c>
      <c r="BC542" s="43" t="str">
        <f ca="1">IFERROR(__xludf.DUMMYFUNCTION("IFERROR(VLOOKUP(E559&amp;F559,IMPORTRANGE(""https://docs.google.com/spreadsheets/d/1Uw7-A9f9R21vMXxHZFNpYNeKFtG8_yji4HS352LGlSQ/edit?pli=1#gid=0"",""1_ACUM!A4:S""),17,FALSE))"),"")</f>
        <v/>
      </c>
      <c r="BD542" s="44" t="str">
        <f ca="1">IFERROR(__xludf.DUMMYFUNCTION("IFERROR(VLOOKUP(E559&amp;F559,IMPORTRANGE(""https://docs.google.com/spreadsheets/d/1Uw7-A9f9R21vMXxHZFNpYNeKFtG8_yji4HS352LGlSQ/edit?pli=1#gid=0"",""1_ACUM!A4:S""),18,FALSE))"),"")</f>
        <v/>
      </c>
      <c r="BE542" s="44" t="str">
        <f ca="1">IFERROR(__xludf.DUMMYFUNCTION("IFERROR(VLOOKUP(E559&amp;F559,IMPORTRANGE(""https://docs.google.com/spreadsheets/d/1Uw7-A9f9R21vMXxHZFNpYNeKFtG8_yji4HS352LGlSQ/edit?pli=1#gid=0"",""1_ACUM!A4:S""),19,FALSE))"),"")</f>
        <v/>
      </c>
      <c r="BF542" s="44" t="str">
        <f ca="1">IFERROR(__xludf.DUMMYFUNCTION("IFERROR(VLOOKUP(F559,IMPORTRANGE(""https://docs.google.com/spreadsheets/d/1Kvs4KS76FHFqLFIZfrDMff4kP08nblUkihrxltoGBjg/edit#gid=934712705"",""ESENCIAL!A6:BG""),5,FALSE))"),"")</f>
        <v/>
      </c>
      <c r="BG542" s="44" t="str">
        <f t="shared" si="41"/>
        <v/>
      </c>
      <c r="BH542" s="41" t="str">
        <f t="shared" si="42"/>
        <v/>
      </c>
      <c r="BI542" s="41" t="str">
        <f ca="1">IFERROR(__xludf.DUMMYFUNCTION("IFERROR(VLOOKUP(F559,IMPORTRANGE(""https://docs.google.com/spreadsheets/d/1Kvs4KS76FHFqLFIZfrDMff4kP08nblUkihrxltoGBjg/edit#gid=934712705"",""ESENCIAL!A6:BG""),18,FALSE))"),"")</f>
        <v/>
      </c>
      <c r="BJ542" s="19" t="str">
        <f t="shared" si="43"/>
        <v/>
      </c>
      <c r="BK542" s="41"/>
      <c r="BL542" s="41"/>
    </row>
    <row r="543" spans="1:64" ht="15">
      <c r="A543" s="4"/>
      <c r="B543" s="4"/>
      <c r="G543" s="5" t="str">
        <f ca="1">IFERROR(__xludf.DUMMYFUNCTION("IFERROR(VLOOKUP(F560,IMPORTRANGE(""https://docs.google.com/spreadsheets/d/1Kvs4KS76FHFqLFIZfrDMff4kP08nblUkihrxltoGBjg/edit#gid=934712705"",""ESENCIAL!A6:BG""),3,FALSE))"),"")</f>
        <v/>
      </c>
      <c r="H543" s="5" t="str">
        <f ca="1">IFERROR(__xludf.DUMMYFUNCTION("IFERROR(VLOOKUP(F560,IMPORTRANGE(""https://docs.google.com/spreadsheets/d/1Kvs4KS76FHFqLFIZfrDMff4kP08nblUkihrxltoGBjg/edit#gid=934712705"",""ESENCIAL!A6:BG""),8,FALSE))"),"")</f>
        <v/>
      </c>
      <c r="L543" s="287"/>
      <c r="S543"/>
      <c r="AU543" s="41" t="str">
        <f t="shared" si="40"/>
        <v/>
      </c>
      <c r="AV543" s="5" t="str">
        <f ca="1">IFERROR(__xludf.DUMMYFUNCTION("IFERROR(VLOOKUP(E560&amp;F560,IMPORTRANGE(""https://docs.google.com/spreadsheets/d/1Uw7-A9f9R21vMXxHZFNpYNeKFtG8_yji4HS352LGlSQ/edit?pli=1#gid=0"",""1_ACUM!A4:S""),11,FALSE))"),"")</f>
        <v/>
      </c>
      <c r="AW543" s="42" t="str">
        <f ca="1">IFERROR(__xludf.DUMMYFUNCTION("IFERROR(VLOOKUP(F560,IMPORTRANGE(""https://docs.google.com/spreadsheets/d/1Kvs4KS76FHFqLFIZfrDMff4kP08nblUkihrxltoGBjg/edit#gid=934712705"",""ESENCIAL!A6:BG""),15,FALSE))"),"")</f>
        <v/>
      </c>
      <c r="AX543" s="21" t="str">
        <f ca="1">IFERROR(__xludf.DUMMYFUNCTION("IFERROR(VLOOKUP(E560&amp;F560,IMPORTRANGE(""https://docs.google.com/spreadsheets/d/1Uw7-A9f9R21vMXxHZFNpYNeKFtG8_yji4HS352LGlSQ/edit?pli=1#gid=0"",""1_ACUM!A4:S""),12,FALSE))"),"")</f>
        <v/>
      </c>
      <c r="AY543" s="43" t="str">
        <f ca="1">IFERROR(__xludf.DUMMYFUNCTION("IFERROR(VLOOKUP(E560&amp;F560,IMPORTRANGE(""https://docs.google.com/spreadsheets/d/1Uw7-A9f9R21vMXxHZFNpYNeKFtG8_yji4HS352LGlSQ/edit?pli=1#gid=0"",""1_ACUM!A4:S""),13,FALSE))"),"")</f>
        <v/>
      </c>
      <c r="AZ543" s="43" t="str">
        <f ca="1">IFERROR(__xludf.DUMMYFUNCTION("IFERROR(VLOOKUP(E560&amp;F560,IMPORTRANGE(""https://docs.google.com/spreadsheets/d/1Uw7-A9f9R21vMXxHZFNpYNeKFtG8_yji4HS352LGlSQ/edit?pli=1#gid=0"",""1_ACUM!A4:S""),14,FALSE))"),"")</f>
        <v/>
      </c>
      <c r="BA543" s="43" t="str">
        <f ca="1">IFERROR(__xludf.DUMMYFUNCTION("IFERROR(VLOOKUP(E560&amp;F560,IMPORTRANGE(""https://docs.google.com/spreadsheets/d/1Uw7-A9f9R21vMXxHZFNpYNeKFtG8_yji4HS352LGlSQ/edit?pli=1#gid=0"",""1_ACUM!A4:S""),15,FALSE))"),"")</f>
        <v/>
      </c>
      <c r="BB543" s="43" t="str">
        <f ca="1">IFERROR(__xludf.DUMMYFUNCTION("IFERROR(VLOOKUP(E560&amp;F560,IMPORTRANGE(""https://docs.google.com/spreadsheets/d/1Uw7-A9f9R21vMXxHZFNpYNeKFtG8_yji4HS352LGlSQ/edit?pli=1#gid=0"",""1_ACUM!A4:S""),16,FALSE))"),"")</f>
        <v/>
      </c>
      <c r="BC543" s="43" t="str">
        <f ca="1">IFERROR(__xludf.DUMMYFUNCTION("IFERROR(VLOOKUP(E560&amp;F560,IMPORTRANGE(""https://docs.google.com/spreadsheets/d/1Uw7-A9f9R21vMXxHZFNpYNeKFtG8_yji4HS352LGlSQ/edit?pli=1#gid=0"",""1_ACUM!A4:S""),17,FALSE))"),"")</f>
        <v/>
      </c>
      <c r="BD543" s="44" t="str">
        <f ca="1">IFERROR(__xludf.DUMMYFUNCTION("IFERROR(VLOOKUP(E560&amp;F560,IMPORTRANGE(""https://docs.google.com/spreadsheets/d/1Uw7-A9f9R21vMXxHZFNpYNeKFtG8_yji4HS352LGlSQ/edit?pli=1#gid=0"",""1_ACUM!A4:S""),18,FALSE))"),"")</f>
        <v/>
      </c>
      <c r="BE543" s="44" t="str">
        <f ca="1">IFERROR(__xludf.DUMMYFUNCTION("IFERROR(VLOOKUP(E560&amp;F560,IMPORTRANGE(""https://docs.google.com/spreadsheets/d/1Uw7-A9f9R21vMXxHZFNpYNeKFtG8_yji4HS352LGlSQ/edit?pli=1#gid=0"",""1_ACUM!A4:S""),19,FALSE))"),"")</f>
        <v/>
      </c>
      <c r="BF543" s="44" t="str">
        <f ca="1">IFERROR(__xludf.DUMMYFUNCTION("IFERROR(VLOOKUP(F560,IMPORTRANGE(""https://docs.google.com/spreadsheets/d/1Kvs4KS76FHFqLFIZfrDMff4kP08nblUkihrxltoGBjg/edit#gid=934712705"",""ESENCIAL!A6:BG""),5,FALSE))"),"")</f>
        <v/>
      </c>
      <c r="BG543" s="44" t="str">
        <f t="shared" si="41"/>
        <v/>
      </c>
      <c r="BH543" s="41" t="str">
        <f t="shared" si="42"/>
        <v/>
      </c>
      <c r="BI543" s="41" t="str">
        <f ca="1">IFERROR(__xludf.DUMMYFUNCTION("IFERROR(VLOOKUP(F560,IMPORTRANGE(""https://docs.google.com/spreadsheets/d/1Kvs4KS76FHFqLFIZfrDMff4kP08nblUkihrxltoGBjg/edit#gid=934712705"",""ESENCIAL!A6:BG""),18,FALSE))"),"")</f>
        <v/>
      </c>
      <c r="BJ543" s="19" t="str">
        <f t="shared" si="43"/>
        <v/>
      </c>
      <c r="BK543" s="41"/>
      <c r="BL543" s="41"/>
    </row>
    <row r="544" spans="1:64" ht="15">
      <c r="A544" s="4"/>
      <c r="B544" s="4"/>
      <c r="G544" s="5" t="str">
        <f ca="1">IFERROR(__xludf.DUMMYFUNCTION("IFERROR(VLOOKUP(F561,IMPORTRANGE(""https://docs.google.com/spreadsheets/d/1Kvs4KS76FHFqLFIZfrDMff4kP08nblUkihrxltoGBjg/edit#gid=934712705"",""ESENCIAL!A6:BG""),3,FALSE))"),"")</f>
        <v/>
      </c>
      <c r="H544" s="5" t="str">
        <f ca="1">IFERROR(__xludf.DUMMYFUNCTION("IFERROR(VLOOKUP(F561,IMPORTRANGE(""https://docs.google.com/spreadsheets/d/1Kvs4KS76FHFqLFIZfrDMff4kP08nblUkihrxltoGBjg/edit#gid=934712705"",""ESENCIAL!A6:BG""),8,FALSE))"),"")</f>
        <v/>
      </c>
      <c r="L544" s="287"/>
      <c r="S544"/>
      <c r="AU544" s="41" t="str">
        <f t="shared" si="40"/>
        <v/>
      </c>
      <c r="AV544" s="5" t="str">
        <f ca="1">IFERROR(__xludf.DUMMYFUNCTION("IFERROR(VLOOKUP(E561&amp;F561,IMPORTRANGE(""https://docs.google.com/spreadsheets/d/1Uw7-A9f9R21vMXxHZFNpYNeKFtG8_yji4HS352LGlSQ/edit?pli=1#gid=0"",""1_ACUM!A4:S""),11,FALSE))"),"")</f>
        <v/>
      </c>
      <c r="AW544" s="42" t="str">
        <f ca="1">IFERROR(__xludf.DUMMYFUNCTION("IFERROR(VLOOKUP(F561,IMPORTRANGE(""https://docs.google.com/spreadsheets/d/1Kvs4KS76FHFqLFIZfrDMff4kP08nblUkihrxltoGBjg/edit#gid=934712705"",""ESENCIAL!A6:BG""),15,FALSE))"),"")</f>
        <v/>
      </c>
      <c r="AX544" s="21" t="str">
        <f ca="1">IFERROR(__xludf.DUMMYFUNCTION("IFERROR(VLOOKUP(E561&amp;F561,IMPORTRANGE(""https://docs.google.com/spreadsheets/d/1Uw7-A9f9R21vMXxHZFNpYNeKFtG8_yji4HS352LGlSQ/edit?pli=1#gid=0"",""1_ACUM!A4:S""),12,FALSE))"),"")</f>
        <v/>
      </c>
      <c r="AY544" s="43" t="str">
        <f ca="1">IFERROR(__xludf.DUMMYFUNCTION("IFERROR(VLOOKUP(E561&amp;F561,IMPORTRANGE(""https://docs.google.com/spreadsheets/d/1Uw7-A9f9R21vMXxHZFNpYNeKFtG8_yji4HS352LGlSQ/edit?pli=1#gid=0"",""1_ACUM!A4:S""),13,FALSE))"),"")</f>
        <v/>
      </c>
      <c r="AZ544" s="43" t="str">
        <f ca="1">IFERROR(__xludf.DUMMYFUNCTION("IFERROR(VLOOKUP(E561&amp;F561,IMPORTRANGE(""https://docs.google.com/spreadsheets/d/1Uw7-A9f9R21vMXxHZFNpYNeKFtG8_yji4HS352LGlSQ/edit?pli=1#gid=0"",""1_ACUM!A4:S""),14,FALSE))"),"")</f>
        <v/>
      </c>
      <c r="BA544" s="43" t="str">
        <f ca="1">IFERROR(__xludf.DUMMYFUNCTION("IFERROR(VLOOKUP(E561&amp;F561,IMPORTRANGE(""https://docs.google.com/spreadsheets/d/1Uw7-A9f9R21vMXxHZFNpYNeKFtG8_yji4HS352LGlSQ/edit?pli=1#gid=0"",""1_ACUM!A4:S""),15,FALSE))"),"")</f>
        <v/>
      </c>
      <c r="BB544" s="43" t="str">
        <f ca="1">IFERROR(__xludf.DUMMYFUNCTION("IFERROR(VLOOKUP(E561&amp;F561,IMPORTRANGE(""https://docs.google.com/spreadsheets/d/1Uw7-A9f9R21vMXxHZFNpYNeKFtG8_yji4HS352LGlSQ/edit?pli=1#gid=0"",""1_ACUM!A4:S""),16,FALSE))"),"")</f>
        <v/>
      </c>
      <c r="BC544" s="43" t="str">
        <f ca="1">IFERROR(__xludf.DUMMYFUNCTION("IFERROR(VLOOKUP(E561&amp;F561,IMPORTRANGE(""https://docs.google.com/spreadsheets/d/1Uw7-A9f9R21vMXxHZFNpYNeKFtG8_yji4HS352LGlSQ/edit?pli=1#gid=0"",""1_ACUM!A4:S""),17,FALSE))"),"")</f>
        <v/>
      </c>
      <c r="BD544" s="44" t="str">
        <f ca="1">IFERROR(__xludf.DUMMYFUNCTION("IFERROR(VLOOKUP(E561&amp;F561,IMPORTRANGE(""https://docs.google.com/spreadsheets/d/1Uw7-A9f9R21vMXxHZFNpYNeKFtG8_yji4HS352LGlSQ/edit?pli=1#gid=0"",""1_ACUM!A4:S""),18,FALSE))"),"")</f>
        <v/>
      </c>
      <c r="BE544" s="44" t="str">
        <f ca="1">IFERROR(__xludf.DUMMYFUNCTION("IFERROR(VLOOKUP(E561&amp;F561,IMPORTRANGE(""https://docs.google.com/spreadsheets/d/1Uw7-A9f9R21vMXxHZFNpYNeKFtG8_yji4HS352LGlSQ/edit?pli=1#gid=0"",""1_ACUM!A4:S""),19,FALSE))"),"")</f>
        <v/>
      </c>
      <c r="BF544" s="44" t="str">
        <f ca="1">IFERROR(__xludf.DUMMYFUNCTION("IFERROR(VLOOKUP(F561,IMPORTRANGE(""https://docs.google.com/spreadsheets/d/1Kvs4KS76FHFqLFIZfrDMff4kP08nblUkihrxltoGBjg/edit#gid=934712705"",""ESENCIAL!A6:BG""),5,FALSE))"),"")</f>
        <v/>
      </c>
      <c r="BG544" s="44" t="str">
        <f t="shared" si="41"/>
        <v/>
      </c>
      <c r="BH544" s="41" t="str">
        <f t="shared" si="42"/>
        <v/>
      </c>
      <c r="BI544" s="41" t="str">
        <f ca="1">IFERROR(__xludf.DUMMYFUNCTION("IFERROR(VLOOKUP(F561,IMPORTRANGE(""https://docs.google.com/spreadsheets/d/1Kvs4KS76FHFqLFIZfrDMff4kP08nblUkihrxltoGBjg/edit#gid=934712705"",""ESENCIAL!A6:BG""),18,FALSE))"),"")</f>
        <v/>
      </c>
      <c r="BJ544" s="19" t="str">
        <f t="shared" si="43"/>
        <v/>
      </c>
      <c r="BK544" s="41"/>
      <c r="BL544" s="41"/>
    </row>
    <row r="545" spans="1:64" ht="15">
      <c r="A545" s="4"/>
      <c r="B545" s="4"/>
      <c r="G545" s="5" t="str">
        <f ca="1">IFERROR(__xludf.DUMMYFUNCTION("IFERROR(VLOOKUP(F562,IMPORTRANGE(""https://docs.google.com/spreadsheets/d/1Kvs4KS76FHFqLFIZfrDMff4kP08nblUkihrxltoGBjg/edit#gid=934712705"",""ESENCIAL!A6:BG""),3,FALSE))"),"")</f>
        <v/>
      </c>
      <c r="H545" s="5" t="str">
        <f ca="1">IFERROR(__xludf.DUMMYFUNCTION("IFERROR(VLOOKUP(F562,IMPORTRANGE(""https://docs.google.com/spreadsheets/d/1Kvs4KS76FHFqLFIZfrDMff4kP08nblUkihrxltoGBjg/edit#gid=934712705"",""ESENCIAL!A6:BG""),8,FALSE))"),"")</f>
        <v/>
      </c>
      <c r="L545" s="287"/>
      <c r="S545"/>
      <c r="AU545" s="41" t="str">
        <f t="shared" si="40"/>
        <v/>
      </c>
      <c r="AV545" s="5" t="str">
        <f ca="1">IFERROR(__xludf.DUMMYFUNCTION("IFERROR(VLOOKUP(E562&amp;F562,IMPORTRANGE(""https://docs.google.com/spreadsheets/d/1Uw7-A9f9R21vMXxHZFNpYNeKFtG8_yji4HS352LGlSQ/edit?pli=1#gid=0"",""1_ACUM!A4:S""),11,FALSE))"),"")</f>
        <v/>
      </c>
      <c r="AW545" s="42" t="str">
        <f ca="1">IFERROR(__xludf.DUMMYFUNCTION("IFERROR(VLOOKUP(F562,IMPORTRANGE(""https://docs.google.com/spreadsheets/d/1Kvs4KS76FHFqLFIZfrDMff4kP08nblUkihrxltoGBjg/edit#gid=934712705"",""ESENCIAL!A6:BG""),15,FALSE))"),"")</f>
        <v/>
      </c>
      <c r="AX545" s="21" t="str">
        <f ca="1">IFERROR(__xludf.DUMMYFUNCTION("IFERROR(VLOOKUP(E562&amp;F562,IMPORTRANGE(""https://docs.google.com/spreadsheets/d/1Uw7-A9f9R21vMXxHZFNpYNeKFtG8_yji4HS352LGlSQ/edit?pli=1#gid=0"",""1_ACUM!A4:S""),12,FALSE))"),"")</f>
        <v/>
      </c>
      <c r="AY545" s="43" t="str">
        <f ca="1">IFERROR(__xludf.DUMMYFUNCTION("IFERROR(VLOOKUP(E562&amp;F562,IMPORTRANGE(""https://docs.google.com/spreadsheets/d/1Uw7-A9f9R21vMXxHZFNpYNeKFtG8_yji4HS352LGlSQ/edit?pli=1#gid=0"",""1_ACUM!A4:S""),13,FALSE))"),"")</f>
        <v/>
      </c>
      <c r="AZ545" s="43" t="str">
        <f ca="1">IFERROR(__xludf.DUMMYFUNCTION("IFERROR(VLOOKUP(E562&amp;F562,IMPORTRANGE(""https://docs.google.com/spreadsheets/d/1Uw7-A9f9R21vMXxHZFNpYNeKFtG8_yji4HS352LGlSQ/edit?pli=1#gid=0"",""1_ACUM!A4:S""),14,FALSE))"),"")</f>
        <v/>
      </c>
      <c r="BA545" s="43" t="str">
        <f ca="1">IFERROR(__xludf.DUMMYFUNCTION("IFERROR(VLOOKUP(E562&amp;F562,IMPORTRANGE(""https://docs.google.com/spreadsheets/d/1Uw7-A9f9R21vMXxHZFNpYNeKFtG8_yji4HS352LGlSQ/edit?pli=1#gid=0"",""1_ACUM!A4:S""),15,FALSE))"),"")</f>
        <v/>
      </c>
      <c r="BB545" s="43" t="str">
        <f ca="1">IFERROR(__xludf.DUMMYFUNCTION("IFERROR(VLOOKUP(E562&amp;F562,IMPORTRANGE(""https://docs.google.com/spreadsheets/d/1Uw7-A9f9R21vMXxHZFNpYNeKFtG8_yji4HS352LGlSQ/edit?pli=1#gid=0"",""1_ACUM!A4:S""),16,FALSE))"),"")</f>
        <v/>
      </c>
      <c r="BC545" s="43" t="str">
        <f ca="1">IFERROR(__xludf.DUMMYFUNCTION("IFERROR(VLOOKUP(E562&amp;F562,IMPORTRANGE(""https://docs.google.com/spreadsheets/d/1Uw7-A9f9R21vMXxHZFNpYNeKFtG8_yji4HS352LGlSQ/edit?pli=1#gid=0"",""1_ACUM!A4:S""),17,FALSE))"),"")</f>
        <v/>
      </c>
      <c r="BD545" s="44" t="str">
        <f ca="1">IFERROR(__xludf.DUMMYFUNCTION("IFERROR(VLOOKUP(E562&amp;F562,IMPORTRANGE(""https://docs.google.com/spreadsheets/d/1Uw7-A9f9R21vMXxHZFNpYNeKFtG8_yji4HS352LGlSQ/edit?pli=1#gid=0"",""1_ACUM!A4:S""),18,FALSE))"),"")</f>
        <v/>
      </c>
      <c r="BE545" s="44" t="str">
        <f ca="1">IFERROR(__xludf.DUMMYFUNCTION("IFERROR(VLOOKUP(E562&amp;F562,IMPORTRANGE(""https://docs.google.com/spreadsheets/d/1Uw7-A9f9R21vMXxHZFNpYNeKFtG8_yji4HS352LGlSQ/edit?pli=1#gid=0"",""1_ACUM!A4:S""),19,FALSE))"),"")</f>
        <v/>
      </c>
      <c r="BF545" s="44" t="str">
        <f ca="1">IFERROR(__xludf.DUMMYFUNCTION("IFERROR(VLOOKUP(F562,IMPORTRANGE(""https://docs.google.com/spreadsheets/d/1Kvs4KS76FHFqLFIZfrDMff4kP08nblUkihrxltoGBjg/edit#gid=934712705"",""ESENCIAL!A6:BG""),5,FALSE))"),"")</f>
        <v/>
      </c>
      <c r="BG545" s="44" t="str">
        <f t="shared" si="41"/>
        <v/>
      </c>
      <c r="BH545" s="41" t="str">
        <f t="shared" si="42"/>
        <v/>
      </c>
      <c r="BI545" s="41" t="str">
        <f ca="1">IFERROR(__xludf.DUMMYFUNCTION("IFERROR(VLOOKUP(F562,IMPORTRANGE(""https://docs.google.com/spreadsheets/d/1Kvs4KS76FHFqLFIZfrDMff4kP08nblUkihrxltoGBjg/edit#gid=934712705"",""ESENCIAL!A6:BG""),18,FALSE))"),"")</f>
        <v/>
      </c>
      <c r="BJ545" s="19" t="str">
        <f t="shared" si="43"/>
        <v/>
      </c>
      <c r="BK545" s="41"/>
      <c r="BL545" s="41"/>
    </row>
    <row r="546" spans="1:64" ht="15">
      <c r="A546" s="4"/>
      <c r="B546" s="4"/>
      <c r="G546" s="5" t="str">
        <f ca="1">IFERROR(__xludf.DUMMYFUNCTION("IFERROR(VLOOKUP(F563,IMPORTRANGE(""https://docs.google.com/spreadsheets/d/1Kvs4KS76FHFqLFIZfrDMff4kP08nblUkihrxltoGBjg/edit#gid=934712705"",""ESENCIAL!A6:BG""),3,FALSE))"),"")</f>
        <v/>
      </c>
      <c r="H546" s="5" t="str">
        <f ca="1">IFERROR(__xludf.DUMMYFUNCTION("IFERROR(VLOOKUP(F563,IMPORTRANGE(""https://docs.google.com/spreadsheets/d/1Kvs4KS76FHFqLFIZfrDMff4kP08nblUkihrxltoGBjg/edit#gid=934712705"",""ESENCIAL!A6:BG""),8,FALSE))"),"")</f>
        <v/>
      </c>
      <c r="L546" s="287"/>
      <c r="S546"/>
      <c r="AU546" s="41" t="str">
        <f t="shared" si="40"/>
        <v/>
      </c>
      <c r="AV546" s="5" t="str">
        <f ca="1">IFERROR(__xludf.DUMMYFUNCTION("IFERROR(VLOOKUP(E563&amp;F563,IMPORTRANGE(""https://docs.google.com/spreadsheets/d/1Uw7-A9f9R21vMXxHZFNpYNeKFtG8_yji4HS352LGlSQ/edit?pli=1#gid=0"",""1_ACUM!A4:S""),11,FALSE))"),"")</f>
        <v/>
      </c>
      <c r="AW546" s="42" t="str">
        <f ca="1">IFERROR(__xludf.DUMMYFUNCTION("IFERROR(VLOOKUP(F563,IMPORTRANGE(""https://docs.google.com/spreadsheets/d/1Kvs4KS76FHFqLFIZfrDMff4kP08nblUkihrxltoGBjg/edit#gid=934712705"",""ESENCIAL!A6:BG""),15,FALSE))"),"")</f>
        <v/>
      </c>
      <c r="AX546" s="21" t="str">
        <f ca="1">IFERROR(__xludf.DUMMYFUNCTION("IFERROR(VLOOKUP(E563&amp;F563,IMPORTRANGE(""https://docs.google.com/spreadsheets/d/1Uw7-A9f9R21vMXxHZFNpYNeKFtG8_yji4HS352LGlSQ/edit?pli=1#gid=0"",""1_ACUM!A4:S""),12,FALSE))"),"")</f>
        <v/>
      </c>
      <c r="AY546" s="43" t="str">
        <f ca="1">IFERROR(__xludf.DUMMYFUNCTION("IFERROR(VLOOKUP(E563&amp;F563,IMPORTRANGE(""https://docs.google.com/spreadsheets/d/1Uw7-A9f9R21vMXxHZFNpYNeKFtG8_yji4HS352LGlSQ/edit?pli=1#gid=0"",""1_ACUM!A4:S""),13,FALSE))"),"")</f>
        <v/>
      </c>
      <c r="AZ546" s="43" t="str">
        <f ca="1">IFERROR(__xludf.DUMMYFUNCTION("IFERROR(VLOOKUP(E563&amp;F563,IMPORTRANGE(""https://docs.google.com/spreadsheets/d/1Uw7-A9f9R21vMXxHZFNpYNeKFtG8_yji4HS352LGlSQ/edit?pli=1#gid=0"",""1_ACUM!A4:S""),14,FALSE))"),"")</f>
        <v/>
      </c>
      <c r="BA546" s="43" t="str">
        <f ca="1">IFERROR(__xludf.DUMMYFUNCTION("IFERROR(VLOOKUP(E563&amp;F563,IMPORTRANGE(""https://docs.google.com/spreadsheets/d/1Uw7-A9f9R21vMXxHZFNpYNeKFtG8_yji4HS352LGlSQ/edit?pli=1#gid=0"",""1_ACUM!A4:S""),15,FALSE))"),"")</f>
        <v/>
      </c>
      <c r="BB546" s="43" t="str">
        <f ca="1">IFERROR(__xludf.DUMMYFUNCTION("IFERROR(VLOOKUP(E563&amp;F563,IMPORTRANGE(""https://docs.google.com/spreadsheets/d/1Uw7-A9f9R21vMXxHZFNpYNeKFtG8_yji4HS352LGlSQ/edit?pli=1#gid=0"",""1_ACUM!A4:S""),16,FALSE))"),"")</f>
        <v/>
      </c>
      <c r="BC546" s="43" t="str">
        <f ca="1">IFERROR(__xludf.DUMMYFUNCTION("IFERROR(VLOOKUP(E563&amp;F563,IMPORTRANGE(""https://docs.google.com/spreadsheets/d/1Uw7-A9f9R21vMXxHZFNpYNeKFtG8_yji4HS352LGlSQ/edit?pli=1#gid=0"",""1_ACUM!A4:S""),17,FALSE))"),"")</f>
        <v/>
      </c>
      <c r="BD546" s="44" t="str">
        <f ca="1">IFERROR(__xludf.DUMMYFUNCTION("IFERROR(VLOOKUP(E563&amp;F563,IMPORTRANGE(""https://docs.google.com/spreadsheets/d/1Uw7-A9f9R21vMXxHZFNpYNeKFtG8_yji4HS352LGlSQ/edit?pli=1#gid=0"",""1_ACUM!A4:S""),18,FALSE))"),"")</f>
        <v/>
      </c>
      <c r="BE546" s="44" t="str">
        <f ca="1">IFERROR(__xludf.DUMMYFUNCTION("IFERROR(VLOOKUP(E563&amp;F563,IMPORTRANGE(""https://docs.google.com/spreadsheets/d/1Uw7-A9f9R21vMXxHZFNpYNeKFtG8_yji4HS352LGlSQ/edit?pli=1#gid=0"",""1_ACUM!A4:S""),19,FALSE))"),"")</f>
        <v/>
      </c>
      <c r="BF546" s="44" t="str">
        <f ca="1">IFERROR(__xludf.DUMMYFUNCTION("IFERROR(VLOOKUP(F563,IMPORTRANGE(""https://docs.google.com/spreadsheets/d/1Kvs4KS76FHFqLFIZfrDMff4kP08nblUkihrxltoGBjg/edit#gid=934712705"",""ESENCIAL!A6:BG""),5,FALSE))"),"")</f>
        <v/>
      </c>
      <c r="BG546" s="44" t="str">
        <f t="shared" si="41"/>
        <v/>
      </c>
      <c r="BH546" s="41" t="str">
        <f t="shared" si="42"/>
        <v/>
      </c>
      <c r="BI546" s="41" t="str">
        <f ca="1">IFERROR(__xludf.DUMMYFUNCTION("IFERROR(VLOOKUP(F563,IMPORTRANGE(""https://docs.google.com/spreadsheets/d/1Kvs4KS76FHFqLFIZfrDMff4kP08nblUkihrxltoGBjg/edit#gid=934712705"",""ESENCIAL!A6:BG""),18,FALSE))"),"")</f>
        <v/>
      </c>
      <c r="BJ546" s="19" t="str">
        <f t="shared" si="43"/>
        <v/>
      </c>
      <c r="BK546" s="41"/>
      <c r="BL546" s="41"/>
    </row>
    <row r="547" spans="1:64" ht="15">
      <c r="A547" s="4"/>
      <c r="B547" s="4"/>
      <c r="G547" s="5" t="str">
        <f ca="1">IFERROR(__xludf.DUMMYFUNCTION("IFERROR(VLOOKUP(F564,IMPORTRANGE(""https://docs.google.com/spreadsheets/d/1Kvs4KS76FHFqLFIZfrDMff4kP08nblUkihrxltoGBjg/edit#gid=934712705"",""ESENCIAL!A6:BG""),3,FALSE))"),"")</f>
        <v/>
      </c>
      <c r="H547" s="5" t="str">
        <f ca="1">IFERROR(__xludf.DUMMYFUNCTION("IFERROR(VLOOKUP(F564,IMPORTRANGE(""https://docs.google.com/spreadsheets/d/1Kvs4KS76FHFqLFIZfrDMff4kP08nblUkihrxltoGBjg/edit#gid=934712705"",""ESENCIAL!A6:BG""),8,FALSE))"),"")</f>
        <v/>
      </c>
      <c r="L547" s="287"/>
      <c r="S547"/>
      <c r="AU547" s="41" t="str">
        <f t="shared" si="40"/>
        <v/>
      </c>
      <c r="AV547" s="5" t="str">
        <f ca="1">IFERROR(__xludf.DUMMYFUNCTION("IFERROR(VLOOKUP(E564&amp;F564,IMPORTRANGE(""https://docs.google.com/spreadsheets/d/1Uw7-A9f9R21vMXxHZFNpYNeKFtG8_yji4HS352LGlSQ/edit?pli=1#gid=0"",""1_ACUM!A4:S""),11,FALSE))"),"")</f>
        <v/>
      </c>
      <c r="AW547" s="42" t="str">
        <f ca="1">IFERROR(__xludf.DUMMYFUNCTION("IFERROR(VLOOKUP(F564,IMPORTRANGE(""https://docs.google.com/spreadsheets/d/1Kvs4KS76FHFqLFIZfrDMff4kP08nblUkihrxltoGBjg/edit#gid=934712705"",""ESENCIAL!A6:BG""),15,FALSE))"),"")</f>
        <v/>
      </c>
      <c r="AX547" s="21" t="str">
        <f ca="1">IFERROR(__xludf.DUMMYFUNCTION("IFERROR(VLOOKUP(E564&amp;F564,IMPORTRANGE(""https://docs.google.com/spreadsheets/d/1Uw7-A9f9R21vMXxHZFNpYNeKFtG8_yji4HS352LGlSQ/edit?pli=1#gid=0"",""1_ACUM!A4:S""),12,FALSE))"),"")</f>
        <v/>
      </c>
      <c r="AY547" s="43" t="str">
        <f ca="1">IFERROR(__xludf.DUMMYFUNCTION("IFERROR(VLOOKUP(E564&amp;F564,IMPORTRANGE(""https://docs.google.com/spreadsheets/d/1Uw7-A9f9R21vMXxHZFNpYNeKFtG8_yji4HS352LGlSQ/edit?pli=1#gid=0"",""1_ACUM!A4:S""),13,FALSE))"),"")</f>
        <v/>
      </c>
      <c r="AZ547" s="43" t="str">
        <f ca="1">IFERROR(__xludf.DUMMYFUNCTION("IFERROR(VLOOKUP(E564&amp;F564,IMPORTRANGE(""https://docs.google.com/spreadsheets/d/1Uw7-A9f9R21vMXxHZFNpYNeKFtG8_yji4HS352LGlSQ/edit?pli=1#gid=0"",""1_ACUM!A4:S""),14,FALSE))"),"")</f>
        <v/>
      </c>
      <c r="BA547" s="43" t="str">
        <f ca="1">IFERROR(__xludf.DUMMYFUNCTION("IFERROR(VLOOKUP(E564&amp;F564,IMPORTRANGE(""https://docs.google.com/spreadsheets/d/1Uw7-A9f9R21vMXxHZFNpYNeKFtG8_yji4HS352LGlSQ/edit?pli=1#gid=0"",""1_ACUM!A4:S""),15,FALSE))"),"")</f>
        <v/>
      </c>
      <c r="BB547" s="43" t="str">
        <f ca="1">IFERROR(__xludf.DUMMYFUNCTION("IFERROR(VLOOKUP(E564&amp;F564,IMPORTRANGE(""https://docs.google.com/spreadsheets/d/1Uw7-A9f9R21vMXxHZFNpYNeKFtG8_yji4HS352LGlSQ/edit?pli=1#gid=0"",""1_ACUM!A4:S""),16,FALSE))"),"")</f>
        <v/>
      </c>
      <c r="BC547" s="43" t="str">
        <f ca="1">IFERROR(__xludf.DUMMYFUNCTION("IFERROR(VLOOKUP(E564&amp;F564,IMPORTRANGE(""https://docs.google.com/spreadsheets/d/1Uw7-A9f9R21vMXxHZFNpYNeKFtG8_yji4HS352LGlSQ/edit?pli=1#gid=0"",""1_ACUM!A4:S""),17,FALSE))"),"")</f>
        <v/>
      </c>
      <c r="BD547" s="44" t="str">
        <f ca="1">IFERROR(__xludf.DUMMYFUNCTION("IFERROR(VLOOKUP(E564&amp;F564,IMPORTRANGE(""https://docs.google.com/spreadsheets/d/1Uw7-A9f9R21vMXxHZFNpYNeKFtG8_yji4HS352LGlSQ/edit?pli=1#gid=0"",""1_ACUM!A4:S""),18,FALSE))"),"")</f>
        <v/>
      </c>
      <c r="BE547" s="44" t="str">
        <f ca="1">IFERROR(__xludf.DUMMYFUNCTION("IFERROR(VLOOKUP(E564&amp;F564,IMPORTRANGE(""https://docs.google.com/spreadsheets/d/1Uw7-A9f9R21vMXxHZFNpYNeKFtG8_yji4HS352LGlSQ/edit?pli=1#gid=0"",""1_ACUM!A4:S""),19,FALSE))"),"")</f>
        <v/>
      </c>
      <c r="BF547" s="44" t="str">
        <f ca="1">IFERROR(__xludf.DUMMYFUNCTION("IFERROR(VLOOKUP(F564,IMPORTRANGE(""https://docs.google.com/spreadsheets/d/1Kvs4KS76FHFqLFIZfrDMff4kP08nblUkihrxltoGBjg/edit#gid=934712705"",""ESENCIAL!A6:BG""),5,FALSE))"),"")</f>
        <v/>
      </c>
      <c r="BG547" s="44" t="str">
        <f t="shared" si="41"/>
        <v/>
      </c>
      <c r="BH547" s="41" t="str">
        <f t="shared" si="42"/>
        <v/>
      </c>
      <c r="BI547" s="41" t="str">
        <f ca="1">IFERROR(__xludf.DUMMYFUNCTION("IFERROR(VLOOKUP(F564,IMPORTRANGE(""https://docs.google.com/spreadsheets/d/1Kvs4KS76FHFqLFIZfrDMff4kP08nblUkihrxltoGBjg/edit#gid=934712705"",""ESENCIAL!A6:BG""),18,FALSE))"),"")</f>
        <v/>
      </c>
      <c r="BJ547" s="19" t="str">
        <f t="shared" si="43"/>
        <v/>
      </c>
      <c r="BK547" s="41"/>
      <c r="BL547" s="41"/>
    </row>
    <row r="548" spans="1:64" ht="15">
      <c r="A548" s="4"/>
      <c r="B548" s="4"/>
      <c r="G548" s="5" t="str">
        <f ca="1">IFERROR(__xludf.DUMMYFUNCTION("IFERROR(VLOOKUP(F565,IMPORTRANGE(""https://docs.google.com/spreadsheets/d/1Kvs4KS76FHFqLFIZfrDMff4kP08nblUkihrxltoGBjg/edit#gid=934712705"",""ESENCIAL!A6:BG""),3,FALSE))"),"")</f>
        <v/>
      </c>
      <c r="H548" s="5" t="str">
        <f ca="1">IFERROR(__xludf.DUMMYFUNCTION("IFERROR(VLOOKUP(F565,IMPORTRANGE(""https://docs.google.com/spreadsheets/d/1Kvs4KS76FHFqLFIZfrDMff4kP08nblUkihrxltoGBjg/edit#gid=934712705"",""ESENCIAL!A6:BG""),8,FALSE))"),"")</f>
        <v/>
      </c>
      <c r="L548" s="287"/>
      <c r="S548"/>
      <c r="AU548" s="41" t="str">
        <f t="shared" si="40"/>
        <v/>
      </c>
      <c r="AV548" s="5" t="str">
        <f ca="1">IFERROR(__xludf.DUMMYFUNCTION("IFERROR(VLOOKUP(E565&amp;F565,IMPORTRANGE(""https://docs.google.com/spreadsheets/d/1Uw7-A9f9R21vMXxHZFNpYNeKFtG8_yji4HS352LGlSQ/edit?pli=1#gid=0"",""1_ACUM!A4:S""),11,FALSE))"),"")</f>
        <v/>
      </c>
      <c r="AW548" s="42" t="str">
        <f ca="1">IFERROR(__xludf.DUMMYFUNCTION("IFERROR(VLOOKUP(F565,IMPORTRANGE(""https://docs.google.com/spreadsheets/d/1Kvs4KS76FHFqLFIZfrDMff4kP08nblUkihrxltoGBjg/edit#gid=934712705"",""ESENCIAL!A6:BG""),15,FALSE))"),"")</f>
        <v/>
      </c>
      <c r="AX548" s="21" t="str">
        <f ca="1">IFERROR(__xludf.DUMMYFUNCTION("IFERROR(VLOOKUP(E565&amp;F565,IMPORTRANGE(""https://docs.google.com/spreadsheets/d/1Uw7-A9f9R21vMXxHZFNpYNeKFtG8_yji4HS352LGlSQ/edit?pli=1#gid=0"",""1_ACUM!A4:S""),12,FALSE))"),"")</f>
        <v/>
      </c>
      <c r="AY548" s="43" t="str">
        <f ca="1">IFERROR(__xludf.DUMMYFUNCTION("IFERROR(VLOOKUP(E565&amp;F565,IMPORTRANGE(""https://docs.google.com/spreadsheets/d/1Uw7-A9f9R21vMXxHZFNpYNeKFtG8_yji4HS352LGlSQ/edit?pli=1#gid=0"",""1_ACUM!A4:S""),13,FALSE))"),"")</f>
        <v/>
      </c>
      <c r="AZ548" s="43" t="str">
        <f ca="1">IFERROR(__xludf.DUMMYFUNCTION("IFERROR(VLOOKUP(E565&amp;F565,IMPORTRANGE(""https://docs.google.com/spreadsheets/d/1Uw7-A9f9R21vMXxHZFNpYNeKFtG8_yji4HS352LGlSQ/edit?pli=1#gid=0"",""1_ACUM!A4:S""),14,FALSE))"),"")</f>
        <v/>
      </c>
      <c r="BA548" s="43" t="str">
        <f ca="1">IFERROR(__xludf.DUMMYFUNCTION("IFERROR(VLOOKUP(E565&amp;F565,IMPORTRANGE(""https://docs.google.com/spreadsheets/d/1Uw7-A9f9R21vMXxHZFNpYNeKFtG8_yji4HS352LGlSQ/edit?pli=1#gid=0"",""1_ACUM!A4:S""),15,FALSE))"),"")</f>
        <v/>
      </c>
      <c r="BB548" s="43" t="str">
        <f ca="1">IFERROR(__xludf.DUMMYFUNCTION("IFERROR(VLOOKUP(E565&amp;F565,IMPORTRANGE(""https://docs.google.com/spreadsheets/d/1Uw7-A9f9R21vMXxHZFNpYNeKFtG8_yji4HS352LGlSQ/edit?pli=1#gid=0"",""1_ACUM!A4:S""),16,FALSE))"),"")</f>
        <v/>
      </c>
      <c r="BC548" s="43" t="str">
        <f ca="1">IFERROR(__xludf.DUMMYFUNCTION("IFERROR(VLOOKUP(E565&amp;F565,IMPORTRANGE(""https://docs.google.com/spreadsheets/d/1Uw7-A9f9R21vMXxHZFNpYNeKFtG8_yji4HS352LGlSQ/edit?pli=1#gid=0"",""1_ACUM!A4:S""),17,FALSE))"),"")</f>
        <v/>
      </c>
      <c r="BD548" s="44" t="str">
        <f ca="1">IFERROR(__xludf.DUMMYFUNCTION("IFERROR(VLOOKUP(E565&amp;F565,IMPORTRANGE(""https://docs.google.com/spreadsheets/d/1Uw7-A9f9R21vMXxHZFNpYNeKFtG8_yji4HS352LGlSQ/edit?pli=1#gid=0"",""1_ACUM!A4:S""),18,FALSE))"),"")</f>
        <v/>
      </c>
      <c r="BE548" s="44" t="str">
        <f ca="1">IFERROR(__xludf.DUMMYFUNCTION("IFERROR(VLOOKUP(E565&amp;F565,IMPORTRANGE(""https://docs.google.com/spreadsheets/d/1Uw7-A9f9R21vMXxHZFNpYNeKFtG8_yji4HS352LGlSQ/edit?pli=1#gid=0"",""1_ACUM!A4:S""),19,FALSE))"),"")</f>
        <v/>
      </c>
      <c r="BF548" s="44" t="str">
        <f ca="1">IFERROR(__xludf.DUMMYFUNCTION("IFERROR(VLOOKUP(F565,IMPORTRANGE(""https://docs.google.com/spreadsheets/d/1Kvs4KS76FHFqLFIZfrDMff4kP08nblUkihrxltoGBjg/edit#gid=934712705"",""ESENCIAL!A6:BG""),5,FALSE))"),"")</f>
        <v/>
      </c>
      <c r="BG548" s="44" t="str">
        <f t="shared" si="41"/>
        <v/>
      </c>
      <c r="BH548" s="41" t="str">
        <f t="shared" si="42"/>
        <v/>
      </c>
      <c r="BI548" s="41" t="str">
        <f ca="1">IFERROR(__xludf.DUMMYFUNCTION("IFERROR(VLOOKUP(F565,IMPORTRANGE(""https://docs.google.com/spreadsheets/d/1Kvs4KS76FHFqLFIZfrDMff4kP08nblUkihrxltoGBjg/edit#gid=934712705"",""ESENCIAL!A6:BG""),18,FALSE))"),"")</f>
        <v/>
      </c>
      <c r="BJ548" s="19" t="str">
        <f t="shared" si="43"/>
        <v/>
      </c>
      <c r="BK548" s="41"/>
      <c r="BL548" s="41"/>
    </row>
    <row r="549" spans="1:64" ht="15">
      <c r="A549" s="4"/>
      <c r="B549" s="4"/>
      <c r="G549" s="5" t="str">
        <f ca="1">IFERROR(__xludf.DUMMYFUNCTION("IFERROR(VLOOKUP(F566,IMPORTRANGE(""https://docs.google.com/spreadsheets/d/1Kvs4KS76FHFqLFIZfrDMff4kP08nblUkihrxltoGBjg/edit#gid=934712705"",""ESENCIAL!A6:BG""),3,FALSE))"),"")</f>
        <v/>
      </c>
      <c r="H549" s="5" t="str">
        <f ca="1">IFERROR(__xludf.DUMMYFUNCTION("IFERROR(VLOOKUP(F566,IMPORTRANGE(""https://docs.google.com/spreadsheets/d/1Kvs4KS76FHFqLFIZfrDMff4kP08nblUkihrxltoGBjg/edit#gid=934712705"",""ESENCIAL!A6:BG""),8,FALSE))"),"")</f>
        <v/>
      </c>
      <c r="L549" s="287"/>
      <c r="S549"/>
      <c r="AU549" s="41" t="str">
        <f t="shared" si="40"/>
        <v/>
      </c>
      <c r="AV549" s="5" t="str">
        <f ca="1">IFERROR(__xludf.DUMMYFUNCTION("IFERROR(VLOOKUP(E566&amp;F566,IMPORTRANGE(""https://docs.google.com/spreadsheets/d/1Uw7-A9f9R21vMXxHZFNpYNeKFtG8_yji4HS352LGlSQ/edit?pli=1#gid=0"",""1_ACUM!A4:S""),11,FALSE))"),"")</f>
        <v/>
      </c>
      <c r="AW549" s="42" t="str">
        <f ca="1">IFERROR(__xludf.DUMMYFUNCTION("IFERROR(VLOOKUP(F566,IMPORTRANGE(""https://docs.google.com/spreadsheets/d/1Kvs4KS76FHFqLFIZfrDMff4kP08nblUkihrxltoGBjg/edit#gid=934712705"",""ESENCIAL!A6:BG""),15,FALSE))"),"")</f>
        <v/>
      </c>
      <c r="AX549" s="21" t="str">
        <f ca="1">IFERROR(__xludf.DUMMYFUNCTION("IFERROR(VLOOKUP(E566&amp;F566,IMPORTRANGE(""https://docs.google.com/spreadsheets/d/1Uw7-A9f9R21vMXxHZFNpYNeKFtG8_yji4HS352LGlSQ/edit?pli=1#gid=0"",""1_ACUM!A4:S""),12,FALSE))"),"")</f>
        <v/>
      </c>
      <c r="AY549" s="43" t="str">
        <f ca="1">IFERROR(__xludf.DUMMYFUNCTION("IFERROR(VLOOKUP(E566&amp;F566,IMPORTRANGE(""https://docs.google.com/spreadsheets/d/1Uw7-A9f9R21vMXxHZFNpYNeKFtG8_yji4HS352LGlSQ/edit?pli=1#gid=0"",""1_ACUM!A4:S""),13,FALSE))"),"")</f>
        <v/>
      </c>
      <c r="AZ549" s="43" t="str">
        <f ca="1">IFERROR(__xludf.DUMMYFUNCTION("IFERROR(VLOOKUP(E566&amp;F566,IMPORTRANGE(""https://docs.google.com/spreadsheets/d/1Uw7-A9f9R21vMXxHZFNpYNeKFtG8_yji4HS352LGlSQ/edit?pli=1#gid=0"",""1_ACUM!A4:S""),14,FALSE))"),"")</f>
        <v/>
      </c>
      <c r="BA549" s="43" t="str">
        <f ca="1">IFERROR(__xludf.DUMMYFUNCTION("IFERROR(VLOOKUP(E566&amp;F566,IMPORTRANGE(""https://docs.google.com/spreadsheets/d/1Uw7-A9f9R21vMXxHZFNpYNeKFtG8_yji4HS352LGlSQ/edit?pli=1#gid=0"",""1_ACUM!A4:S""),15,FALSE))"),"")</f>
        <v/>
      </c>
      <c r="BB549" s="43" t="str">
        <f ca="1">IFERROR(__xludf.DUMMYFUNCTION("IFERROR(VLOOKUP(E566&amp;F566,IMPORTRANGE(""https://docs.google.com/spreadsheets/d/1Uw7-A9f9R21vMXxHZFNpYNeKFtG8_yji4HS352LGlSQ/edit?pli=1#gid=0"",""1_ACUM!A4:S""),16,FALSE))"),"")</f>
        <v/>
      </c>
      <c r="BC549" s="43" t="str">
        <f ca="1">IFERROR(__xludf.DUMMYFUNCTION("IFERROR(VLOOKUP(E566&amp;F566,IMPORTRANGE(""https://docs.google.com/spreadsheets/d/1Uw7-A9f9R21vMXxHZFNpYNeKFtG8_yji4HS352LGlSQ/edit?pli=1#gid=0"",""1_ACUM!A4:S""),17,FALSE))"),"")</f>
        <v/>
      </c>
      <c r="BD549" s="44" t="str">
        <f ca="1">IFERROR(__xludf.DUMMYFUNCTION("IFERROR(VLOOKUP(E566&amp;F566,IMPORTRANGE(""https://docs.google.com/spreadsheets/d/1Uw7-A9f9R21vMXxHZFNpYNeKFtG8_yji4HS352LGlSQ/edit?pli=1#gid=0"",""1_ACUM!A4:S""),18,FALSE))"),"")</f>
        <v/>
      </c>
      <c r="BE549" s="44" t="str">
        <f ca="1">IFERROR(__xludf.DUMMYFUNCTION("IFERROR(VLOOKUP(E566&amp;F566,IMPORTRANGE(""https://docs.google.com/spreadsheets/d/1Uw7-A9f9R21vMXxHZFNpYNeKFtG8_yji4HS352LGlSQ/edit?pli=1#gid=0"",""1_ACUM!A4:S""),19,FALSE))"),"")</f>
        <v/>
      </c>
      <c r="BF549" s="44" t="str">
        <f ca="1">IFERROR(__xludf.DUMMYFUNCTION("IFERROR(VLOOKUP(F566,IMPORTRANGE(""https://docs.google.com/spreadsheets/d/1Kvs4KS76FHFqLFIZfrDMff4kP08nblUkihrxltoGBjg/edit#gid=934712705"",""ESENCIAL!A6:BG""),5,FALSE))"),"")</f>
        <v/>
      </c>
      <c r="BG549" s="44" t="str">
        <f t="shared" si="41"/>
        <v/>
      </c>
      <c r="BH549" s="41" t="str">
        <f t="shared" si="42"/>
        <v/>
      </c>
      <c r="BI549" s="41" t="str">
        <f ca="1">IFERROR(__xludf.DUMMYFUNCTION("IFERROR(VLOOKUP(F566,IMPORTRANGE(""https://docs.google.com/spreadsheets/d/1Kvs4KS76FHFqLFIZfrDMff4kP08nblUkihrxltoGBjg/edit#gid=934712705"",""ESENCIAL!A6:BG""),18,FALSE))"),"")</f>
        <v/>
      </c>
      <c r="BJ549" s="19" t="str">
        <f t="shared" si="43"/>
        <v/>
      </c>
      <c r="BK549" s="41"/>
      <c r="BL549" s="41"/>
    </row>
    <row r="550" spans="1:64" ht="15">
      <c r="A550" s="4"/>
      <c r="B550" s="4"/>
      <c r="G550" s="5" t="str">
        <f ca="1">IFERROR(__xludf.DUMMYFUNCTION("IFERROR(VLOOKUP(F567,IMPORTRANGE(""https://docs.google.com/spreadsheets/d/1Kvs4KS76FHFqLFIZfrDMff4kP08nblUkihrxltoGBjg/edit#gid=934712705"",""ESENCIAL!A6:BG""),3,FALSE))"),"")</f>
        <v/>
      </c>
      <c r="H550" s="5" t="str">
        <f ca="1">IFERROR(__xludf.DUMMYFUNCTION("IFERROR(VLOOKUP(F567,IMPORTRANGE(""https://docs.google.com/spreadsheets/d/1Kvs4KS76FHFqLFIZfrDMff4kP08nblUkihrxltoGBjg/edit#gid=934712705"",""ESENCIAL!A6:BG""),8,FALSE))"),"")</f>
        <v/>
      </c>
      <c r="L550" s="287"/>
      <c r="S550"/>
      <c r="AU550" s="41" t="str">
        <f t="shared" si="40"/>
        <v/>
      </c>
      <c r="AV550" s="5" t="str">
        <f ca="1">IFERROR(__xludf.DUMMYFUNCTION("IFERROR(VLOOKUP(E567&amp;F567,IMPORTRANGE(""https://docs.google.com/spreadsheets/d/1Uw7-A9f9R21vMXxHZFNpYNeKFtG8_yji4HS352LGlSQ/edit?pli=1#gid=0"",""1_ACUM!A4:S""),11,FALSE))"),"")</f>
        <v/>
      </c>
      <c r="AW550" s="42" t="str">
        <f ca="1">IFERROR(__xludf.DUMMYFUNCTION("IFERROR(VLOOKUP(F567,IMPORTRANGE(""https://docs.google.com/spreadsheets/d/1Kvs4KS76FHFqLFIZfrDMff4kP08nblUkihrxltoGBjg/edit#gid=934712705"",""ESENCIAL!A6:BG""),15,FALSE))"),"")</f>
        <v/>
      </c>
      <c r="AX550" s="21" t="str">
        <f ca="1">IFERROR(__xludf.DUMMYFUNCTION("IFERROR(VLOOKUP(E567&amp;F567,IMPORTRANGE(""https://docs.google.com/spreadsheets/d/1Uw7-A9f9R21vMXxHZFNpYNeKFtG8_yji4HS352LGlSQ/edit?pli=1#gid=0"",""1_ACUM!A4:S""),12,FALSE))"),"")</f>
        <v/>
      </c>
      <c r="AY550" s="43" t="str">
        <f ca="1">IFERROR(__xludf.DUMMYFUNCTION("IFERROR(VLOOKUP(E567&amp;F567,IMPORTRANGE(""https://docs.google.com/spreadsheets/d/1Uw7-A9f9R21vMXxHZFNpYNeKFtG8_yji4HS352LGlSQ/edit?pli=1#gid=0"",""1_ACUM!A4:S""),13,FALSE))"),"")</f>
        <v/>
      </c>
      <c r="AZ550" s="43" t="str">
        <f ca="1">IFERROR(__xludf.DUMMYFUNCTION("IFERROR(VLOOKUP(E567&amp;F567,IMPORTRANGE(""https://docs.google.com/spreadsheets/d/1Uw7-A9f9R21vMXxHZFNpYNeKFtG8_yji4HS352LGlSQ/edit?pli=1#gid=0"",""1_ACUM!A4:S""),14,FALSE))"),"")</f>
        <v/>
      </c>
      <c r="BA550" s="43" t="str">
        <f ca="1">IFERROR(__xludf.DUMMYFUNCTION("IFERROR(VLOOKUP(E567&amp;F567,IMPORTRANGE(""https://docs.google.com/spreadsheets/d/1Uw7-A9f9R21vMXxHZFNpYNeKFtG8_yji4HS352LGlSQ/edit?pli=1#gid=0"",""1_ACUM!A4:S""),15,FALSE))"),"")</f>
        <v/>
      </c>
      <c r="BB550" s="43" t="str">
        <f ca="1">IFERROR(__xludf.DUMMYFUNCTION("IFERROR(VLOOKUP(E567&amp;F567,IMPORTRANGE(""https://docs.google.com/spreadsheets/d/1Uw7-A9f9R21vMXxHZFNpYNeKFtG8_yji4HS352LGlSQ/edit?pli=1#gid=0"",""1_ACUM!A4:S""),16,FALSE))"),"")</f>
        <v/>
      </c>
      <c r="BC550" s="43" t="str">
        <f ca="1">IFERROR(__xludf.DUMMYFUNCTION("IFERROR(VLOOKUP(E567&amp;F567,IMPORTRANGE(""https://docs.google.com/spreadsheets/d/1Uw7-A9f9R21vMXxHZFNpYNeKFtG8_yji4HS352LGlSQ/edit?pli=1#gid=0"",""1_ACUM!A4:S""),17,FALSE))"),"")</f>
        <v/>
      </c>
      <c r="BD550" s="44" t="str">
        <f ca="1">IFERROR(__xludf.DUMMYFUNCTION("IFERROR(VLOOKUP(E567&amp;F567,IMPORTRANGE(""https://docs.google.com/spreadsheets/d/1Uw7-A9f9R21vMXxHZFNpYNeKFtG8_yji4HS352LGlSQ/edit?pli=1#gid=0"",""1_ACUM!A4:S""),18,FALSE))"),"")</f>
        <v/>
      </c>
      <c r="BE550" s="44" t="str">
        <f ca="1">IFERROR(__xludf.DUMMYFUNCTION("IFERROR(VLOOKUP(E567&amp;F567,IMPORTRANGE(""https://docs.google.com/spreadsheets/d/1Uw7-A9f9R21vMXxHZFNpYNeKFtG8_yji4HS352LGlSQ/edit?pli=1#gid=0"",""1_ACUM!A4:S""),19,FALSE))"),"")</f>
        <v/>
      </c>
      <c r="BF550" s="44" t="str">
        <f ca="1">IFERROR(__xludf.DUMMYFUNCTION("IFERROR(VLOOKUP(F567,IMPORTRANGE(""https://docs.google.com/spreadsheets/d/1Kvs4KS76FHFqLFIZfrDMff4kP08nblUkihrxltoGBjg/edit#gid=934712705"",""ESENCIAL!A6:BG""),5,FALSE))"),"")</f>
        <v/>
      </c>
      <c r="BG550" s="44" t="str">
        <f t="shared" si="41"/>
        <v/>
      </c>
      <c r="BH550" s="41" t="str">
        <f t="shared" si="42"/>
        <v/>
      </c>
      <c r="BI550" s="41" t="str">
        <f ca="1">IFERROR(__xludf.DUMMYFUNCTION("IFERROR(VLOOKUP(F567,IMPORTRANGE(""https://docs.google.com/spreadsheets/d/1Kvs4KS76FHFqLFIZfrDMff4kP08nblUkihrxltoGBjg/edit#gid=934712705"",""ESENCIAL!A6:BG""),18,FALSE))"),"")</f>
        <v/>
      </c>
      <c r="BJ550" s="19" t="str">
        <f t="shared" si="43"/>
        <v/>
      </c>
      <c r="BK550" s="41"/>
      <c r="BL550" s="41"/>
    </row>
    <row r="551" spans="1:64" ht="15">
      <c r="A551" s="4"/>
      <c r="B551" s="4"/>
      <c r="G551" s="5" t="str">
        <f ca="1">IFERROR(__xludf.DUMMYFUNCTION("IFERROR(VLOOKUP(F568,IMPORTRANGE(""https://docs.google.com/spreadsheets/d/1Kvs4KS76FHFqLFIZfrDMff4kP08nblUkihrxltoGBjg/edit#gid=934712705"",""ESENCIAL!A6:BG""),3,FALSE))"),"")</f>
        <v/>
      </c>
      <c r="H551" s="5" t="str">
        <f ca="1">IFERROR(__xludf.DUMMYFUNCTION("IFERROR(VLOOKUP(F568,IMPORTRANGE(""https://docs.google.com/spreadsheets/d/1Kvs4KS76FHFqLFIZfrDMff4kP08nblUkihrxltoGBjg/edit#gid=934712705"",""ESENCIAL!A6:BG""),8,FALSE))"),"")</f>
        <v/>
      </c>
      <c r="L551" s="287"/>
      <c r="S551"/>
      <c r="AU551" s="41" t="str">
        <f t="shared" si="40"/>
        <v/>
      </c>
      <c r="AV551" s="5" t="str">
        <f ca="1">IFERROR(__xludf.DUMMYFUNCTION("IFERROR(VLOOKUP(E568&amp;F568,IMPORTRANGE(""https://docs.google.com/spreadsheets/d/1Uw7-A9f9R21vMXxHZFNpYNeKFtG8_yji4HS352LGlSQ/edit?pli=1#gid=0"",""1_ACUM!A4:S""),11,FALSE))"),"")</f>
        <v/>
      </c>
      <c r="AW551" s="42" t="str">
        <f ca="1">IFERROR(__xludf.DUMMYFUNCTION("IFERROR(VLOOKUP(F568,IMPORTRANGE(""https://docs.google.com/spreadsheets/d/1Kvs4KS76FHFqLFIZfrDMff4kP08nblUkihrxltoGBjg/edit#gid=934712705"",""ESENCIAL!A6:BG""),15,FALSE))"),"")</f>
        <v/>
      </c>
      <c r="AX551" s="21" t="str">
        <f ca="1">IFERROR(__xludf.DUMMYFUNCTION("IFERROR(VLOOKUP(E568&amp;F568,IMPORTRANGE(""https://docs.google.com/spreadsheets/d/1Uw7-A9f9R21vMXxHZFNpYNeKFtG8_yji4HS352LGlSQ/edit?pli=1#gid=0"",""1_ACUM!A4:S""),12,FALSE))"),"")</f>
        <v/>
      </c>
      <c r="AY551" s="43" t="str">
        <f ca="1">IFERROR(__xludf.DUMMYFUNCTION("IFERROR(VLOOKUP(E568&amp;F568,IMPORTRANGE(""https://docs.google.com/spreadsheets/d/1Uw7-A9f9R21vMXxHZFNpYNeKFtG8_yji4HS352LGlSQ/edit?pli=1#gid=0"",""1_ACUM!A4:S""),13,FALSE))"),"")</f>
        <v/>
      </c>
      <c r="AZ551" s="43" t="str">
        <f ca="1">IFERROR(__xludf.DUMMYFUNCTION("IFERROR(VLOOKUP(E568&amp;F568,IMPORTRANGE(""https://docs.google.com/spreadsheets/d/1Uw7-A9f9R21vMXxHZFNpYNeKFtG8_yji4HS352LGlSQ/edit?pli=1#gid=0"",""1_ACUM!A4:S""),14,FALSE))"),"")</f>
        <v/>
      </c>
      <c r="BA551" s="43" t="str">
        <f ca="1">IFERROR(__xludf.DUMMYFUNCTION("IFERROR(VLOOKUP(E568&amp;F568,IMPORTRANGE(""https://docs.google.com/spreadsheets/d/1Uw7-A9f9R21vMXxHZFNpYNeKFtG8_yji4HS352LGlSQ/edit?pli=1#gid=0"",""1_ACUM!A4:S""),15,FALSE))"),"")</f>
        <v/>
      </c>
      <c r="BB551" s="43" t="str">
        <f ca="1">IFERROR(__xludf.DUMMYFUNCTION("IFERROR(VLOOKUP(E568&amp;F568,IMPORTRANGE(""https://docs.google.com/spreadsheets/d/1Uw7-A9f9R21vMXxHZFNpYNeKFtG8_yji4HS352LGlSQ/edit?pli=1#gid=0"",""1_ACUM!A4:S""),16,FALSE))"),"")</f>
        <v/>
      </c>
      <c r="BC551" s="43" t="str">
        <f ca="1">IFERROR(__xludf.DUMMYFUNCTION("IFERROR(VLOOKUP(E568&amp;F568,IMPORTRANGE(""https://docs.google.com/spreadsheets/d/1Uw7-A9f9R21vMXxHZFNpYNeKFtG8_yji4HS352LGlSQ/edit?pli=1#gid=0"",""1_ACUM!A4:S""),17,FALSE))"),"")</f>
        <v/>
      </c>
      <c r="BD551" s="44" t="str">
        <f ca="1">IFERROR(__xludf.DUMMYFUNCTION("IFERROR(VLOOKUP(E568&amp;F568,IMPORTRANGE(""https://docs.google.com/spreadsheets/d/1Uw7-A9f9R21vMXxHZFNpYNeKFtG8_yji4HS352LGlSQ/edit?pli=1#gid=0"",""1_ACUM!A4:S""),18,FALSE))"),"")</f>
        <v/>
      </c>
      <c r="BE551" s="44" t="str">
        <f ca="1">IFERROR(__xludf.DUMMYFUNCTION("IFERROR(VLOOKUP(E568&amp;F568,IMPORTRANGE(""https://docs.google.com/spreadsheets/d/1Uw7-A9f9R21vMXxHZFNpYNeKFtG8_yji4HS352LGlSQ/edit?pli=1#gid=0"",""1_ACUM!A4:S""),19,FALSE))"),"")</f>
        <v/>
      </c>
      <c r="BF551" s="44" t="str">
        <f ca="1">IFERROR(__xludf.DUMMYFUNCTION("IFERROR(VLOOKUP(F568,IMPORTRANGE(""https://docs.google.com/spreadsheets/d/1Kvs4KS76FHFqLFIZfrDMff4kP08nblUkihrxltoGBjg/edit#gid=934712705"",""ESENCIAL!A6:BG""),5,FALSE))"),"")</f>
        <v/>
      </c>
      <c r="BG551" s="44" t="str">
        <f t="shared" si="41"/>
        <v/>
      </c>
      <c r="BH551" s="41" t="str">
        <f t="shared" si="42"/>
        <v/>
      </c>
      <c r="BI551" s="41" t="str">
        <f ca="1">IFERROR(__xludf.DUMMYFUNCTION("IFERROR(VLOOKUP(F568,IMPORTRANGE(""https://docs.google.com/spreadsheets/d/1Kvs4KS76FHFqLFIZfrDMff4kP08nblUkihrxltoGBjg/edit#gid=934712705"",""ESENCIAL!A6:BG""),18,FALSE))"),"")</f>
        <v/>
      </c>
      <c r="BJ551" s="19" t="str">
        <f t="shared" si="43"/>
        <v/>
      </c>
      <c r="BK551" s="41"/>
      <c r="BL551" s="41"/>
    </row>
    <row r="552" spans="1:64" ht="15">
      <c r="A552" s="4"/>
      <c r="B552" s="4"/>
      <c r="G552" s="5" t="str">
        <f ca="1">IFERROR(__xludf.DUMMYFUNCTION("IFERROR(VLOOKUP(F569,IMPORTRANGE(""https://docs.google.com/spreadsheets/d/1Kvs4KS76FHFqLFIZfrDMff4kP08nblUkihrxltoGBjg/edit#gid=934712705"",""ESENCIAL!A6:BG""),3,FALSE))"),"")</f>
        <v/>
      </c>
      <c r="H552" s="5" t="str">
        <f ca="1">IFERROR(__xludf.DUMMYFUNCTION("IFERROR(VLOOKUP(F569,IMPORTRANGE(""https://docs.google.com/spreadsheets/d/1Kvs4KS76FHFqLFIZfrDMff4kP08nblUkihrxltoGBjg/edit#gid=934712705"",""ESENCIAL!A6:BG""),8,FALSE))"),"")</f>
        <v/>
      </c>
      <c r="L552" s="287"/>
      <c r="S552"/>
      <c r="AU552" s="41" t="str">
        <f t="shared" si="40"/>
        <v/>
      </c>
      <c r="AV552" s="5" t="str">
        <f ca="1">IFERROR(__xludf.DUMMYFUNCTION("IFERROR(VLOOKUP(E569&amp;F569,IMPORTRANGE(""https://docs.google.com/spreadsheets/d/1Uw7-A9f9R21vMXxHZFNpYNeKFtG8_yji4HS352LGlSQ/edit?pli=1#gid=0"",""1_ACUM!A4:S""),11,FALSE))"),"")</f>
        <v/>
      </c>
      <c r="AW552" s="42" t="str">
        <f ca="1">IFERROR(__xludf.DUMMYFUNCTION("IFERROR(VLOOKUP(F569,IMPORTRANGE(""https://docs.google.com/spreadsheets/d/1Kvs4KS76FHFqLFIZfrDMff4kP08nblUkihrxltoGBjg/edit#gid=934712705"",""ESENCIAL!A6:BG""),15,FALSE))"),"")</f>
        <v/>
      </c>
      <c r="AX552" s="21" t="str">
        <f ca="1">IFERROR(__xludf.DUMMYFUNCTION("IFERROR(VLOOKUP(E569&amp;F569,IMPORTRANGE(""https://docs.google.com/spreadsheets/d/1Uw7-A9f9R21vMXxHZFNpYNeKFtG8_yji4HS352LGlSQ/edit?pli=1#gid=0"",""1_ACUM!A4:S""),12,FALSE))"),"")</f>
        <v/>
      </c>
      <c r="AY552" s="43" t="str">
        <f ca="1">IFERROR(__xludf.DUMMYFUNCTION("IFERROR(VLOOKUP(E569&amp;F569,IMPORTRANGE(""https://docs.google.com/spreadsheets/d/1Uw7-A9f9R21vMXxHZFNpYNeKFtG8_yji4HS352LGlSQ/edit?pli=1#gid=0"",""1_ACUM!A4:S""),13,FALSE))"),"")</f>
        <v/>
      </c>
      <c r="AZ552" s="43" t="str">
        <f ca="1">IFERROR(__xludf.DUMMYFUNCTION("IFERROR(VLOOKUP(E569&amp;F569,IMPORTRANGE(""https://docs.google.com/spreadsheets/d/1Uw7-A9f9R21vMXxHZFNpYNeKFtG8_yji4HS352LGlSQ/edit?pli=1#gid=0"",""1_ACUM!A4:S""),14,FALSE))"),"")</f>
        <v/>
      </c>
      <c r="BA552" s="43" t="str">
        <f ca="1">IFERROR(__xludf.DUMMYFUNCTION("IFERROR(VLOOKUP(E569&amp;F569,IMPORTRANGE(""https://docs.google.com/spreadsheets/d/1Uw7-A9f9R21vMXxHZFNpYNeKFtG8_yji4HS352LGlSQ/edit?pli=1#gid=0"",""1_ACUM!A4:S""),15,FALSE))"),"")</f>
        <v/>
      </c>
      <c r="BB552" s="43" t="str">
        <f ca="1">IFERROR(__xludf.DUMMYFUNCTION("IFERROR(VLOOKUP(E569&amp;F569,IMPORTRANGE(""https://docs.google.com/spreadsheets/d/1Uw7-A9f9R21vMXxHZFNpYNeKFtG8_yji4HS352LGlSQ/edit?pli=1#gid=0"",""1_ACUM!A4:S""),16,FALSE))"),"")</f>
        <v/>
      </c>
      <c r="BC552" s="43" t="str">
        <f ca="1">IFERROR(__xludf.DUMMYFUNCTION("IFERROR(VLOOKUP(E569&amp;F569,IMPORTRANGE(""https://docs.google.com/spreadsheets/d/1Uw7-A9f9R21vMXxHZFNpYNeKFtG8_yji4HS352LGlSQ/edit?pli=1#gid=0"",""1_ACUM!A4:S""),17,FALSE))"),"")</f>
        <v/>
      </c>
      <c r="BD552" s="44" t="str">
        <f ca="1">IFERROR(__xludf.DUMMYFUNCTION("IFERROR(VLOOKUP(E569&amp;F569,IMPORTRANGE(""https://docs.google.com/spreadsheets/d/1Uw7-A9f9R21vMXxHZFNpYNeKFtG8_yji4HS352LGlSQ/edit?pli=1#gid=0"",""1_ACUM!A4:S""),18,FALSE))"),"")</f>
        <v/>
      </c>
      <c r="BE552" s="44" t="str">
        <f ca="1">IFERROR(__xludf.DUMMYFUNCTION("IFERROR(VLOOKUP(E569&amp;F569,IMPORTRANGE(""https://docs.google.com/spreadsheets/d/1Uw7-A9f9R21vMXxHZFNpYNeKFtG8_yji4HS352LGlSQ/edit?pli=1#gid=0"",""1_ACUM!A4:S""),19,FALSE))"),"")</f>
        <v/>
      </c>
      <c r="BF552" s="44" t="str">
        <f ca="1">IFERROR(__xludf.DUMMYFUNCTION("IFERROR(VLOOKUP(F569,IMPORTRANGE(""https://docs.google.com/spreadsheets/d/1Kvs4KS76FHFqLFIZfrDMff4kP08nblUkihrxltoGBjg/edit#gid=934712705"",""ESENCIAL!A6:BG""),5,FALSE))"),"")</f>
        <v/>
      </c>
      <c r="BG552" s="44" t="str">
        <f t="shared" si="41"/>
        <v/>
      </c>
      <c r="BH552" s="41" t="str">
        <f t="shared" si="42"/>
        <v/>
      </c>
      <c r="BI552" s="41" t="str">
        <f ca="1">IFERROR(__xludf.DUMMYFUNCTION("IFERROR(VLOOKUP(F569,IMPORTRANGE(""https://docs.google.com/spreadsheets/d/1Kvs4KS76FHFqLFIZfrDMff4kP08nblUkihrxltoGBjg/edit#gid=934712705"",""ESENCIAL!A6:BG""),18,FALSE))"),"")</f>
        <v/>
      </c>
      <c r="BJ552" s="19" t="str">
        <f t="shared" si="43"/>
        <v/>
      </c>
      <c r="BK552" s="41"/>
      <c r="BL552" s="41"/>
    </row>
    <row r="553" spans="1:64" ht="15">
      <c r="A553" s="4"/>
      <c r="B553" s="4"/>
      <c r="G553" s="5" t="str">
        <f ca="1">IFERROR(__xludf.DUMMYFUNCTION("IFERROR(VLOOKUP(F570,IMPORTRANGE(""https://docs.google.com/spreadsheets/d/1Kvs4KS76FHFqLFIZfrDMff4kP08nblUkihrxltoGBjg/edit#gid=934712705"",""ESENCIAL!A6:BG""),3,FALSE))"),"")</f>
        <v/>
      </c>
      <c r="H553" s="5" t="str">
        <f ca="1">IFERROR(__xludf.DUMMYFUNCTION("IFERROR(VLOOKUP(F570,IMPORTRANGE(""https://docs.google.com/spreadsheets/d/1Kvs4KS76FHFqLFIZfrDMff4kP08nblUkihrxltoGBjg/edit#gid=934712705"",""ESENCIAL!A6:BG""),8,FALSE))"),"")</f>
        <v/>
      </c>
      <c r="L553" s="287"/>
      <c r="S553"/>
      <c r="AU553" s="41" t="str">
        <f t="shared" si="40"/>
        <v/>
      </c>
      <c r="AV553" s="5" t="str">
        <f ca="1">IFERROR(__xludf.DUMMYFUNCTION("IFERROR(VLOOKUP(E570&amp;F570,IMPORTRANGE(""https://docs.google.com/spreadsheets/d/1Uw7-A9f9R21vMXxHZFNpYNeKFtG8_yji4HS352LGlSQ/edit?pli=1#gid=0"",""1_ACUM!A4:S""),11,FALSE))"),"")</f>
        <v/>
      </c>
      <c r="AW553" s="42" t="str">
        <f ca="1">IFERROR(__xludf.DUMMYFUNCTION("IFERROR(VLOOKUP(F570,IMPORTRANGE(""https://docs.google.com/spreadsheets/d/1Kvs4KS76FHFqLFIZfrDMff4kP08nblUkihrxltoGBjg/edit#gid=934712705"",""ESENCIAL!A6:BG""),15,FALSE))"),"")</f>
        <v/>
      </c>
      <c r="AX553" s="21" t="str">
        <f ca="1">IFERROR(__xludf.DUMMYFUNCTION("IFERROR(VLOOKUP(E570&amp;F570,IMPORTRANGE(""https://docs.google.com/spreadsheets/d/1Uw7-A9f9R21vMXxHZFNpYNeKFtG8_yji4HS352LGlSQ/edit?pli=1#gid=0"",""1_ACUM!A4:S""),12,FALSE))"),"")</f>
        <v/>
      </c>
      <c r="AY553" s="43" t="str">
        <f ca="1">IFERROR(__xludf.DUMMYFUNCTION("IFERROR(VLOOKUP(E570&amp;F570,IMPORTRANGE(""https://docs.google.com/spreadsheets/d/1Uw7-A9f9R21vMXxHZFNpYNeKFtG8_yji4HS352LGlSQ/edit?pli=1#gid=0"",""1_ACUM!A4:S""),13,FALSE))"),"")</f>
        <v/>
      </c>
      <c r="AZ553" s="43" t="str">
        <f ca="1">IFERROR(__xludf.DUMMYFUNCTION("IFERROR(VLOOKUP(E570&amp;F570,IMPORTRANGE(""https://docs.google.com/spreadsheets/d/1Uw7-A9f9R21vMXxHZFNpYNeKFtG8_yji4HS352LGlSQ/edit?pli=1#gid=0"",""1_ACUM!A4:S""),14,FALSE))"),"")</f>
        <v/>
      </c>
      <c r="BA553" s="43" t="str">
        <f ca="1">IFERROR(__xludf.DUMMYFUNCTION("IFERROR(VLOOKUP(E570&amp;F570,IMPORTRANGE(""https://docs.google.com/spreadsheets/d/1Uw7-A9f9R21vMXxHZFNpYNeKFtG8_yji4HS352LGlSQ/edit?pli=1#gid=0"",""1_ACUM!A4:S""),15,FALSE))"),"")</f>
        <v/>
      </c>
      <c r="BB553" s="43" t="str">
        <f ca="1">IFERROR(__xludf.DUMMYFUNCTION("IFERROR(VLOOKUP(E570&amp;F570,IMPORTRANGE(""https://docs.google.com/spreadsheets/d/1Uw7-A9f9R21vMXxHZFNpYNeKFtG8_yji4HS352LGlSQ/edit?pli=1#gid=0"",""1_ACUM!A4:S""),16,FALSE))"),"")</f>
        <v/>
      </c>
      <c r="BC553" s="43" t="str">
        <f ca="1">IFERROR(__xludf.DUMMYFUNCTION("IFERROR(VLOOKUP(E570&amp;F570,IMPORTRANGE(""https://docs.google.com/spreadsheets/d/1Uw7-A9f9R21vMXxHZFNpYNeKFtG8_yji4HS352LGlSQ/edit?pli=1#gid=0"",""1_ACUM!A4:S""),17,FALSE))"),"")</f>
        <v/>
      </c>
      <c r="BD553" s="44" t="str">
        <f ca="1">IFERROR(__xludf.DUMMYFUNCTION("IFERROR(VLOOKUP(E570&amp;F570,IMPORTRANGE(""https://docs.google.com/spreadsheets/d/1Uw7-A9f9R21vMXxHZFNpYNeKFtG8_yji4HS352LGlSQ/edit?pli=1#gid=0"",""1_ACUM!A4:S""),18,FALSE))"),"")</f>
        <v/>
      </c>
      <c r="BE553" s="44" t="str">
        <f ca="1">IFERROR(__xludf.DUMMYFUNCTION("IFERROR(VLOOKUP(E570&amp;F570,IMPORTRANGE(""https://docs.google.com/spreadsheets/d/1Uw7-A9f9R21vMXxHZFNpYNeKFtG8_yji4HS352LGlSQ/edit?pli=1#gid=0"",""1_ACUM!A4:S""),19,FALSE))"),"")</f>
        <v/>
      </c>
      <c r="BF553" s="44" t="str">
        <f ca="1">IFERROR(__xludf.DUMMYFUNCTION("IFERROR(VLOOKUP(F570,IMPORTRANGE(""https://docs.google.com/spreadsheets/d/1Kvs4KS76FHFqLFIZfrDMff4kP08nblUkihrxltoGBjg/edit#gid=934712705"",""ESENCIAL!A6:BG""),5,FALSE))"),"")</f>
        <v/>
      </c>
      <c r="BG553" s="44" t="str">
        <f t="shared" si="41"/>
        <v/>
      </c>
      <c r="BH553" s="41" t="str">
        <f t="shared" si="42"/>
        <v/>
      </c>
      <c r="BI553" s="41" t="str">
        <f ca="1">IFERROR(__xludf.DUMMYFUNCTION("IFERROR(VLOOKUP(F570,IMPORTRANGE(""https://docs.google.com/spreadsheets/d/1Kvs4KS76FHFqLFIZfrDMff4kP08nblUkihrxltoGBjg/edit#gid=934712705"",""ESENCIAL!A6:BG""),18,FALSE))"),"")</f>
        <v/>
      </c>
      <c r="BJ553" s="19" t="str">
        <f t="shared" si="43"/>
        <v/>
      </c>
      <c r="BK553" s="41"/>
      <c r="BL553" s="41"/>
    </row>
    <row r="554" spans="1:64" ht="15">
      <c r="A554" s="4"/>
      <c r="B554" s="4"/>
      <c r="G554" s="5" t="str">
        <f ca="1">IFERROR(__xludf.DUMMYFUNCTION("IFERROR(VLOOKUP(F571,IMPORTRANGE(""https://docs.google.com/spreadsheets/d/1Kvs4KS76FHFqLFIZfrDMff4kP08nblUkihrxltoGBjg/edit#gid=934712705"",""ESENCIAL!A6:BG""),3,FALSE))"),"")</f>
        <v/>
      </c>
      <c r="H554" s="5" t="str">
        <f ca="1">IFERROR(__xludf.DUMMYFUNCTION("IFERROR(VLOOKUP(F571,IMPORTRANGE(""https://docs.google.com/spreadsheets/d/1Kvs4KS76FHFqLFIZfrDMff4kP08nblUkihrxltoGBjg/edit#gid=934712705"",""ESENCIAL!A6:BG""),8,FALSE))"),"")</f>
        <v/>
      </c>
      <c r="L554" s="287"/>
      <c r="S554"/>
      <c r="AU554" s="41" t="str">
        <f t="shared" si="40"/>
        <v/>
      </c>
      <c r="AV554" s="5" t="str">
        <f ca="1">IFERROR(__xludf.DUMMYFUNCTION("IFERROR(VLOOKUP(E571&amp;F571,IMPORTRANGE(""https://docs.google.com/spreadsheets/d/1Uw7-A9f9R21vMXxHZFNpYNeKFtG8_yji4HS352LGlSQ/edit?pli=1#gid=0"",""1_ACUM!A4:S""),11,FALSE))"),"")</f>
        <v/>
      </c>
      <c r="AW554" s="42" t="str">
        <f ca="1">IFERROR(__xludf.DUMMYFUNCTION("IFERROR(VLOOKUP(F571,IMPORTRANGE(""https://docs.google.com/spreadsheets/d/1Kvs4KS76FHFqLFIZfrDMff4kP08nblUkihrxltoGBjg/edit#gid=934712705"",""ESENCIAL!A6:BG""),15,FALSE))"),"")</f>
        <v/>
      </c>
      <c r="AX554" s="21" t="str">
        <f ca="1">IFERROR(__xludf.DUMMYFUNCTION("IFERROR(VLOOKUP(E571&amp;F571,IMPORTRANGE(""https://docs.google.com/spreadsheets/d/1Uw7-A9f9R21vMXxHZFNpYNeKFtG8_yji4HS352LGlSQ/edit?pli=1#gid=0"",""1_ACUM!A4:S""),12,FALSE))"),"")</f>
        <v/>
      </c>
      <c r="AY554" s="43" t="str">
        <f ca="1">IFERROR(__xludf.DUMMYFUNCTION("IFERROR(VLOOKUP(E571&amp;F571,IMPORTRANGE(""https://docs.google.com/spreadsheets/d/1Uw7-A9f9R21vMXxHZFNpYNeKFtG8_yji4HS352LGlSQ/edit?pli=1#gid=0"",""1_ACUM!A4:S""),13,FALSE))"),"")</f>
        <v/>
      </c>
      <c r="AZ554" s="43" t="str">
        <f ca="1">IFERROR(__xludf.DUMMYFUNCTION("IFERROR(VLOOKUP(E571&amp;F571,IMPORTRANGE(""https://docs.google.com/spreadsheets/d/1Uw7-A9f9R21vMXxHZFNpYNeKFtG8_yji4HS352LGlSQ/edit?pli=1#gid=0"",""1_ACUM!A4:S""),14,FALSE))"),"")</f>
        <v/>
      </c>
      <c r="BA554" s="43" t="str">
        <f ca="1">IFERROR(__xludf.DUMMYFUNCTION("IFERROR(VLOOKUP(E571&amp;F571,IMPORTRANGE(""https://docs.google.com/spreadsheets/d/1Uw7-A9f9R21vMXxHZFNpYNeKFtG8_yji4HS352LGlSQ/edit?pli=1#gid=0"",""1_ACUM!A4:S""),15,FALSE))"),"")</f>
        <v/>
      </c>
      <c r="BB554" s="43" t="str">
        <f ca="1">IFERROR(__xludf.DUMMYFUNCTION("IFERROR(VLOOKUP(E571&amp;F571,IMPORTRANGE(""https://docs.google.com/spreadsheets/d/1Uw7-A9f9R21vMXxHZFNpYNeKFtG8_yji4HS352LGlSQ/edit?pli=1#gid=0"",""1_ACUM!A4:S""),16,FALSE))"),"")</f>
        <v/>
      </c>
      <c r="BC554" s="43" t="str">
        <f ca="1">IFERROR(__xludf.DUMMYFUNCTION("IFERROR(VLOOKUP(E571&amp;F571,IMPORTRANGE(""https://docs.google.com/spreadsheets/d/1Uw7-A9f9R21vMXxHZFNpYNeKFtG8_yji4HS352LGlSQ/edit?pli=1#gid=0"",""1_ACUM!A4:S""),17,FALSE))"),"")</f>
        <v/>
      </c>
      <c r="BD554" s="44" t="str">
        <f ca="1">IFERROR(__xludf.DUMMYFUNCTION("IFERROR(VLOOKUP(E571&amp;F571,IMPORTRANGE(""https://docs.google.com/spreadsheets/d/1Uw7-A9f9R21vMXxHZFNpYNeKFtG8_yji4HS352LGlSQ/edit?pli=1#gid=0"",""1_ACUM!A4:S""),18,FALSE))"),"")</f>
        <v/>
      </c>
      <c r="BE554" s="44" t="str">
        <f ca="1">IFERROR(__xludf.DUMMYFUNCTION("IFERROR(VLOOKUP(E571&amp;F571,IMPORTRANGE(""https://docs.google.com/spreadsheets/d/1Uw7-A9f9R21vMXxHZFNpYNeKFtG8_yji4HS352LGlSQ/edit?pli=1#gid=0"",""1_ACUM!A4:S""),19,FALSE))"),"")</f>
        <v/>
      </c>
      <c r="BF554" s="44" t="str">
        <f ca="1">IFERROR(__xludf.DUMMYFUNCTION("IFERROR(VLOOKUP(F571,IMPORTRANGE(""https://docs.google.com/spreadsheets/d/1Kvs4KS76FHFqLFIZfrDMff4kP08nblUkihrxltoGBjg/edit#gid=934712705"",""ESENCIAL!A6:BG""),5,FALSE))"),"")</f>
        <v/>
      </c>
      <c r="BG554" s="44" t="str">
        <f t="shared" si="41"/>
        <v/>
      </c>
      <c r="BH554" s="41" t="str">
        <f t="shared" si="42"/>
        <v/>
      </c>
      <c r="BI554" s="41" t="str">
        <f ca="1">IFERROR(__xludf.DUMMYFUNCTION("IFERROR(VLOOKUP(F571,IMPORTRANGE(""https://docs.google.com/spreadsheets/d/1Kvs4KS76FHFqLFIZfrDMff4kP08nblUkihrxltoGBjg/edit#gid=934712705"",""ESENCIAL!A6:BG""),18,FALSE))"),"")</f>
        <v/>
      </c>
      <c r="BJ554" s="19" t="str">
        <f t="shared" si="43"/>
        <v/>
      </c>
      <c r="BK554" s="41"/>
      <c r="BL554" s="41"/>
    </row>
    <row r="555" spans="1:64" ht="15">
      <c r="A555" s="4"/>
      <c r="B555" s="4"/>
      <c r="G555" s="5" t="str">
        <f ca="1">IFERROR(__xludf.DUMMYFUNCTION("IFERROR(VLOOKUP(F572,IMPORTRANGE(""https://docs.google.com/spreadsheets/d/1Kvs4KS76FHFqLFIZfrDMff4kP08nblUkihrxltoGBjg/edit#gid=934712705"",""ESENCIAL!A6:BG""),3,FALSE))"),"")</f>
        <v/>
      </c>
      <c r="H555" s="5" t="str">
        <f ca="1">IFERROR(__xludf.DUMMYFUNCTION("IFERROR(VLOOKUP(F572,IMPORTRANGE(""https://docs.google.com/spreadsheets/d/1Kvs4KS76FHFqLFIZfrDMff4kP08nblUkihrxltoGBjg/edit#gid=934712705"",""ESENCIAL!A6:BG""),8,FALSE))"),"")</f>
        <v/>
      </c>
      <c r="L555" s="287"/>
      <c r="S555"/>
      <c r="AU555" s="41" t="str">
        <f t="shared" si="40"/>
        <v/>
      </c>
      <c r="AV555" s="5" t="str">
        <f ca="1">IFERROR(__xludf.DUMMYFUNCTION("IFERROR(VLOOKUP(E572&amp;F572,IMPORTRANGE(""https://docs.google.com/spreadsheets/d/1Uw7-A9f9R21vMXxHZFNpYNeKFtG8_yji4HS352LGlSQ/edit?pli=1#gid=0"",""1_ACUM!A4:S""),11,FALSE))"),"")</f>
        <v/>
      </c>
      <c r="AW555" s="42" t="str">
        <f ca="1">IFERROR(__xludf.DUMMYFUNCTION("IFERROR(VLOOKUP(F572,IMPORTRANGE(""https://docs.google.com/spreadsheets/d/1Kvs4KS76FHFqLFIZfrDMff4kP08nblUkihrxltoGBjg/edit#gid=934712705"",""ESENCIAL!A6:BG""),15,FALSE))"),"")</f>
        <v/>
      </c>
      <c r="AX555" s="21" t="str">
        <f ca="1">IFERROR(__xludf.DUMMYFUNCTION("IFERROR(VLOOKUP(E572&amp;F572,IMPORTRANGE(""https://docs.google.com/spreadsheets/d/1Uw7-A9f9R21vMXxHZFNpYNeKFtG8_yji4HS352LGlSQ/edit?pli=1#gid=0"",""1_ACUM!A4:S""),12,FALSE))"),"")</f>
        <v/>
      </c>
      <c r="AY555" s="43" t="str">
        <f ca="1">IFERROR(__xludf.DUMMYFUNCTION("IFERROR(VLOOKUP(E572&amp;F572,IMPORTRANGE(""https://docs.google.com/spreadsheets/d/1Uw7-A9f9R21vMXxHZFNpYNeKFtG8_yji4HS352LGlSQ/edit?pli=1#gid=0"",""1_ACUM!A4:S""),13,FALSE))"),"")</f>
        <v/>
      </c>
      <c r="AZ555" s="43" t="str">
        <f ca="1">IFERROR(__xludf.DUMMYFUNCTION("IFERROR(VLOOKUP(E572&amp;F572,IMPORTRANGE(""https://docs.google.com/spreadsheets/d/1Uw7-A9f9R21vMXxHZFNpYNeKFtG8_yji4HS352LGlSQ/edit?pli=1#gid=0"",""1_ACUM!A4:S""),14,FALSE))"),"")</f>
        <v/>
      </c>
      <c r="BA555" s="43" t="str">
        <f ca="1">IFERROR(__xludf.DUMMYFUNCTION("IFERROR(VLOOKUP(E572&amp;F572,IMPORTRANGE(""https://docs.google.com/spreadsheets/d/1Uw7-A9f9R21vMXxHZFNpYNeKFtG8_yji4HS352LGlSQ/edit?pli=1#gid=0"",""1_ACUM!A4:S""),15,FALSE))"),"")</f>
        <v/>
      </c>
      <c r="BB555" s="43" t="str">
        <f ca="1">IFERROR(__xludf.DUMMYFUNCTION("IFERROR(VLOOKUP(E572&amp;F572,IMPORTRANGE(""https://docs.google.com/spreadsheets/d/1Uw7-A9f9R21vMXxHZFNpYNeKFtG8_yji4HS352LGlSQ/edit?pli=1#gid=0"",""1_ACUM!A4:S""),16,FALSE))"),"")</f>
        <v/>
      </c>
      <c r="BC555" s="43" t="str">
        <f ca="1">IFERROR(__xludf.DUMMYFUNCTION("IFERROR(VLOOKUP(E572&amp;F572,IMPORTRANGE(""https://docs.google.com/spreadsheets/d/1Uw7-A9f9R21vMXxHZFNpYNeKFtG8_yji4HS352LGlSQ/edit?pli=1#gid=0"",""1_ACUM!A4:S""),17,FALSE))"),"")</f>
        <v/>
      </c>
      <c r="BD555" s="44" t="str">
        <f ca="1">IFERROR(__xludf.DUMMYFUNCTION("IFERROR(VLOOKUP(E572&amp;F572,IMPORTRANGE(""https://docs.google.com/spreadsheets/d/1Uw7-A9f9R21vMXxHZFNpYNeKFtG8_yji4HS352LGlSQ/edit?pli=1#gid=0"",""1_ACUM!A4:S""),18,FALSE))"),"")</f>
        <v/>
      </c>
      <c r="BE555" s="44" t="str">
        <f ca="1">IFERROR(__xludf.DUMMYFUNCTION("IFERROR(VLOOKUP(E572&amp;F572,IMPORTRANGE(""https://docs.google.com/spreadsheets/d/1Uw7-A9f9R21vMXxHZFNpYNeKFtG8_yji4HS352LGlSQ/edit?pli=1#gid=0"",""1_ACUM!A4:S""),19,FALSE))"),"")</f>
        <v/>
      </c>
      <c r="BF555" s="44" t="str">
        <f ca="1">IFERROR(__xludf.DUMMYFUNCTION("IFERROR(VLOOKUP(F572,IMPORTRANGE(""https://docs.google.com/spreadsheets/d/1Kvs4KS76FHFqLFIZfrDMff4kP08nblUkihrxltoGBjg/edit#gid=934712705"",""ESENCIAL!A6:BG""),5,FALSE))"),"")</f>
        <v/>
      </c>
      <c r="BG555" s="44" t="str">
        <f t="shared" si="41"/>
        <v/>
      </c>
      <c r="BH555" s="41" t="str">
        <f t="shared" si="42"/>
        <v/>
      </c>
      <c r="BI555" s="41" t="str">
        <f ca="1">IFERROR(__xludf.DUMMYFUNCTION("IFERROR(VLOOKUP(F572,IMPORTRANGE(""https://docs.google.com/spreadsheets/d/1Kvs4KS76FHFqLFIZfrDMff4kP08nblUkihrxltoGBjg/edit#gid=934712705"",""ESENCIAL!A6:BG""),18,FALSE))"),"")</f>
        <v/>
      </c>
      <c r="BJ555" s="19" t="str">
        <f t="shared" si="43"/>
        <v/>
      </c>
      <c r="BK555" s="41"/>
      <c r="BL555" s="41"/>
    </row>
    <row r="556" spans="1:64" ht="15">
      <c r="A556" s="4"/>
      <c r="B556" s="4"/>
      <c r="G556" s="5" t="str">
        <f ca="1">IFERROR(__xludf.DUMMYFUNCTION("IFERROR(VLOOKUP(F573,IMPORTRANGE(""https://docs.google.com/spreadsheets/d/1Kvs4KS76FHFqLFIZfrDMff4kP08nblUkihrxltoGBjg/edit#gid=934712705"",""ESENCIAL!A6:BG""),3,FALSE))"),"")</f>
        <v/>
      </c>
      <c r="H556" s="5" t="str">
        <f ca="1">IFERROR(__xludf.DUMMYFUNCTION("IFERROR(VLOOKUP(F573,IMPORTRANGE(""https://docs.google.com/spreadsheets/d/1Kvs4KS76FHFqLFIZfrDMff4kP08nblUkihrxltoGBjg/edit#gid=934712705"",""ESENCIAL!A6:BG""),8,FALSE))"),"")</f>
        <v/>
      </c>
      <c r="L556" s="287"/>
      <c r="S556"/>
      <c r="AU556" s="41" t="str">
        <f t="shared" si="40"/>
        <v/>
      </c>
      <c r="AV556" s="5" t="str">
        <f ca="1">IFERROR(__xludf.DUMMYFUNCTION("IFERROR(VLOOKUP(E573&amp;F573,IMPORTRANGE(""https://docs.google.com/spreadsheets/d/1Uw7-A9f9R21vMXxHZFNpYNeKFtG8_yji4HS352LGlSQ/edit?pli=1#gid=0"",""1_ACUM!A4:S""),11,FALSE))"),"")</f>
        <v/>
      </c>
      <c r="AW556" s="42" t="str">
        <f ca="1">IFERROR(__xludf.DUMMYFUNCTION("IFERROR(VLOOKUP(F573,IMPORTRANGE(""https://docs.google.com/spreadsheets/d/1Kvs4KS76FHFqLFIZfrDMff4kP08nblUkihrxltoGBjg/edit#gid=934712705"",""ESENCIAL!A6:BG""),15,FALSE))"),"")</f>
        <v/>
      </c>
      <c r="AX556" s="21" t="str">
        <f ca="1">IFERROR(__xludf.DUMMYFUNCTION("IFERROR(VLOOKUP(E573&amp;F573,IMPORTRANGE(""https://docs.google.com/spreadsheets/d/1Uw7-A9f9R21vMXxHZFNpYNeKFtG8_yji4HS352LGlSQ/edit?pli=1#gid=0"",""1_ACUM!A4:S""),12,FALSE))"),"")</f>
        <v/>
      </c>
      <c r="AY556" s="43" t="str">
        <f ca="1">IFERROR(__xludf.DUMMYFUNCTION("IFERROR(VLOOKUP(E573&amp;F573,IMPORTRANGE(""https://docs.google.com/spreadsheets/d/1Uw7-A9f9R21vMXxHZFNpYNeKFtG8_yji4HS352LGlSQ/edit?pli=1#gid=0"",""1_ACUM!A4:S""),13,FALSE))"),"")</f>
        <v/>
      </c>
      <c r="AZ556" s="43" t="str">
        <f ca="1">IFERROR(__xludf.DUMMYFUNCTION("IFERROR(VLOOKUP(E573&amp;F573,IMPORTRANGE(""https://docs.google.com/spreadsheets/d/1Uw7-A9f9R21vMXxHZFNpYNeKFtG8_yji4HS352LGlSQ/edit?pli=1#gid=0"",""1_ACUM!A4:S""),14,FALSE))"),"")</f>
        <v/>
      </c>
      <c r="BA556" s="43" t="str">
        <f ca="1">IFERROR(__xludf.DUMMYFUNCTION("IFERROR(VLOOKUP(E573&amp;F573,IMPORTRANGE(""https://docs.google.com/spreadsheets/d/1Uw7-A9f9R21vMXxHZFNpYNeKFtG8_yji4HS352LGlSQ/edit?pli=1#gid=0"",""1_ACUM!A4:S""),15,FALSE))"),"")</f>
        <v/>
      </c>
      <c r="BB556" s="43" t="str">
        <f ca="1">IFERROR(__xludf.DUMMYFUNCTION("IFERROR(VLOOKUP(E573&amp;F573,IMPORTRANGE(""https://docs.google.com/spreadsheets/d/1Uw7-A9f9R21vMXxHZFNpYNeKFtG8_yji4HS352LGlSQ/edit?pli=1#gid=0"",""1_ACUM!A4:S""),16,FALSE))"),"")</f>
        <v/>
      </c>
      <c r="BC556" s="43" t="str">
        <f ca="1">IFERROR(__xludf.DUMMYFUNCTION("IFERROR(VLOOKUP(E573&amp;F573,IMPORTRANGE(""https://docs.google.com/spreadsheets/d/1Uw7-A9f9R21vMXxHZFNpYNeKFtG8_yji4HS352LGlSQ/edit?pli=1#gid=0"",""1_ACUM!A4:S""),17,FALSE))"),"")</f>
        <v/>
      </c>
      <c r="BD556" s="44" t="str">
        <f ca="1">IFERROR(__xludf.DUMMYFUNCTION("IFERROR(VLOOKUP(E573&amp;F573,IMPORTRANGE(""https://docs.google.com/spreadsheets/d/1Uw7-A9f9R21vMXxHZFNpYNeKFtG8_yji4HS352LGlSQ/edit?pli=1#gid=0"",""1_ACUM!A4:S""),18,FALSE))"),"")</f>
        <v/>
      </c>
      <c r="BE556" s="44" t="str">
        <f ca="1">IFERROR(__xludf.DUMMYFUNCTION("IFERROR(VLOOKUP(E573&amp;F573,IMPORTRANGE(""https://docs.google.com/spreadsheets/d/1Uw7-A9f9R21vMXxHZFNpYNeKFtG8_yji4HS352LGlSQ/edit?pli=1#gid=0"",""1_ACUM!A4:S""),19,FALSE))"),"")</f>
        <v/>
      </c>
      <c r="BF556" s="44" t="str">
        <f ca="1">IFERROR(__xludf.DUMMYFUNCTION("IFERROR(VLOOKUP(F573,IMPORTRANGE(""https://docs.google.com/spreadsheets/d/1Kvs4KS76FHFqLFIZfrDMff4kP08nblUkihrxltoGBjg/edit#gid=934712705"",""ESENCIAL!A6:BG""),5,FALSE))"),"")</f>
        <v/>
      </c>
      <c r="BG556" s="44" t="str">
        <f t="shared" si="41"/>
        <v/>
      </c>
      <c r="BH556" s="41" t="str">
        <f t="shared" si="42"/>
        <v/>
      </c>
      <c r="BI556" s="41" t="str">
        <f ca="1">IFERROR(__xludf.DUMMYFUNCTION("IFERROR(VLOOKUP(F573,IMPORTRANGE(""https://docs.google.com/spreadsheets/d/1Kvs4KS76FHFqLFIZfrDMff4kP08nblUkihrxltoGBjg/edit#gid=934712705"",""ESENCIAL!A6:BG""),18,FALSE))"),"")</f>
        <v/>
      </c>
      <c r="BJ556" s="19" t="str">
        <f t="shared" si="43"/>
        <v/>
      </c>
      <c r="BK556" s="41"/>
      <c r="BL556" s="41"/>
    </row>
    <row r="557" spans="1:64" ht="15">
      <c r="A557" s="4"/>
      <c r="B557" s="4"/>
      <c r="G557" s="5" t="str">
        <f ca="1">IFERROR(__xludf.DUMMYFUNCTION("IFERROR(VLOOKUP(F574,IMPORTRANGE(""https://docs.google.com/spreadsheets/d/1Kvs4KS76FHFqLFIZfrDMff4kP08nblUkihrxltoGBjg/edit#gid=934712705"",""ESENCIAL!A6:BG""),3,FALSE))"),"")</f>
        <v/>
      </c>
      <c r="H557" s="5" t="str">
        <f ca="1">IFERROR(__xludf.DUMMYFUNCTION("IFERROR(VLOOKUP(F574,IMPORTRANGE(""https://docs.google.com/spreadsheets/d/1Kvs4KS76FHFqLFIZfrDMff4kP08nblUkihrxltoGBjg/edit#gid=934712705"",""ESENCIAL!A6:BG""),8,FALSE))"),"")</f>
        <v/>
      </c>
      <c r="L557" s="287"/>
      <c r="S557"/>
      <c r="AU557" s="41" t="str">
        <f t="shared" si="40"/>
        <v/>
      </c>
      <c r="AV557" s="5" t="str">
        <f ca="1">IFERROR(__xludf.DUMMYFUNCTION("IFERROR(VLOOKUP(E574&amp;F574,IMPORTRANGE(""https://docs.google.com/spreadsheets/d/1Uw7-A9f9R21vMXxHZFNpYNeKFtG8_yji4HS352LGlSQ/edit?pli=1#gid=0"",""1_ACUM!A4:S""),11,FALSE))"),"")</f>
        <v/>
      </c>
      <c r="AW557" s="42" t="str">
        <f ca="1">IFERROR(__xludf.DUMMYFUNCTION("IFERROR(VLOOKUP(F574,IMPORTRANGE(""https://docs.google.com/spreadsheets/d/1Kvs4KS76FHFqLFIZfrDMff4kP08nblUkihrxltoGBjg/edit#gid=934712705"",""ESENCIAL!A6:BG""),15,FALSE))"),"")</f>
        <v/>
      </c>
      <c r="AX557" s="21" t="str">
        <f ca="1">IFERROR(__xludf.DUMMYFUNCTION("IFERROR(VLOOKUP(E574&amp;F574,IMPORTRANGE(""https://docs.google.com/spreadsheets/d/1Uw7-A9f9R21vMXxHZFNpYNeKFtG8_yji4HS352LGlSQ/edit?pli=1#gid=0"",""1_ACUM!A4:S""),12,FALSE))"),"")</f>
        <v/>
      </c>
      <c r="AY557" s="43" t="str">
        <f ca="1">IFERROR(__xludf.DUMMYFUNCTION("IFERROR(VLOOKUP(E574&amp;F574,IMPORTRANGE(""https://docs.google.com/spreadsheets/d/1Uw7-A9f9R21vMXxHZFNpYNeKFtG8_yji4HS352LGlSQ/edit?pli=1#gid=0"",""1_ACUM!A4:S""),13,FALSE))"),"")</f>
        <v/>
      </c>
      <c r="AZ557" s="43" t="str">
        <f ca="1">IFERROR(__xludf.DUMMYFUNCTION("IFERROR(VLOOKUP(E574&amp;F574,IMPORTRANGE(""https://docs.google.com/spreadsheets/d/1Uw7-A9f9R21vMXxHZFNpYNeKFtG8_yji4HS352LGlSQ/edit?pli=1#gid=0"",""1_ACUM!A4:S""),14,FALSE))"),"")</f>
        <v/>
      </c>
      <c r="BA557" s="43" t="str">
        <f ca="1">IFERROR(__xludf.DUMMYFUNCTION("IFERROR(VLOOKUP(E574&amp;F574,IMPORTRANGE(""https://docs.google.com/spreadsheets/d/1Uw7-A9f9R21vMXxHZFNpYNeKFtG8_yji4HS352LGlSQ/edit?pli=1#gid=0"",""1_ACUM!A4:S""),15,FALSE))"),"")</f>
        <v/>
      </c>
      <c r="BB557" s="43" t="str">
        <f ca="1">IFERROR(__xludf.DUMMYFUNCTION("IFERROR(VLOOKUP(E574&amp;F574,IMPORTRANGE(""https://docs.google.com/spreadsheets/d/1Uw7-A9f9R21vMXxHZFNpYNeKFtG8_yji4HS352LGlSQ/edit?pli=1#gid=0"",""1_ACUM!A4:S""),16,FALSE))"),"")</f>
        <v/>
      </c>
      <c r="BC557" s="43" t="str">
        <f ca="1">IFERROR(__xludf.DUMMYFUNCTION("IFERROR(VLOOKUP(E574&amp;F574,IMPORTRANGE(""https://docs.google.com/spreadsheets/d/1Uw7-A9f9R21vMXxHZFNpYNeKFtG8_yji4HS352LGlSQ/edit?pli=1#gid=0"",""1_ACUM!A4:S""),17,FALSE))"),"")</f>
        <v/>
      </c>
      <c r="BD557" s="44" t="str">
        <f ca="1">IFERROR(__xludf.DUMMYFUNCTION("IFERROR(VLOOKUP(E574&amp;F574,IMPORTRANGE(""https://docs.google.com/spreadsheets/d/1Uw7-A9f9R21vMXxHZFNpYNeKFtG8_yji4HS352LGlSQ/edit?pli=1#gid=0"",""1_ACUM!A4:S""),18,FALSE))"),"")</f>
        <v/>
      </c>
      <c r="BE557" s="44" t="str">
        <f ca="1">IFERROR(__xludf.DUMMYFUNCTION("IFERROR(VLOOKUP(E574&amp;F574,IMPORTRANGE(""https://docs.google.com/spreadsheets/d/1Uw7-A9f9R21vMXxHZFNpYNeKFtG8_yji4HS352LGlSQ/edit?pli=1#gid=0"",""1_ACUM!A4:S""),19,FALSE))"),"")</f>
        <v/>
      </c>
      <c r="BF557" s="44" t="str">
        <f ca="1">IFERROR(__xludf.DUMMYFUNCTION("IFERROR(VLOOKUP(F574,IMPORTRANGE(""https://docs.google.com/spreadsheets/d/1Kvs4KS76FHFqLFIZfrDMff4kP08nblUkihrxltoGBjg/edit#gid=934712705"",""ESENCIAL!A6:BG""),5,FALSE))"),"")</f>
        <v/>
      </c>
      <c r="BG557" s="44" t="str">
        <f t="shared" si="41"/>
        <v/>
      </c>
      <c r="BH557" s="41" t="str">
        <f t="shared" si="42"/>
        <v/>
      </c>
      <c r="BI557" s="41" t="str">
        <f ca="1">IFERROR(__xludf.DUMMYFUNCTION("IFERROR(VLOOKUP(F574,IMPORTRANGE(""https://docs.google.com/spreadsheets/d/1Kvs4KS76FHFqLFIZfrDMff4kP08nblUkihrxltoGBjg/edit#gid=934712705"",""ESENCIAL!A6:BG""),18,FALSE))"),"")</f>
        <v/>
      </c>
      <c r="BJ557" s="19" t="str">
        <f t="shared" si="43"/>
        <v/>
      </c>
      <c r="BK557" s="41"/>
      <c r="BL557" s="41"/>
    </row>
    <row r="558" spans="1:64" ht="15">
      <c r="A558" s="4"/>
      <c r="B558" s="4"/>
      <c r="G558" s="5" t="str">
        <f ca="1">IFERROR(__xludf.DUMMYFUNCTION("IFERROR(VLOOKUP(F575,IMPORTRANGE(""https://docs.google.com/spreadsheets/d/1Kvs4KS76FHFqLFIZfrDMff4kP08nblUkihrxltoGBjg/edit#gid=934712705"",""ESENCIAL!A6:BG""),3,FALSE))"),"")</f>
        <v/>
      </c>
      <c r="H558" s="5" t="str">
        <f ca="1">IFERROR(__xludf.DUMMYFUNCTION("IFERROR(VLOOKUP(F575,IMPORTRANGE(""https://docs.google.com/spreadsheets/d/1Kvs4KS76FHFqLFIZfrDMff4kP08nblUkihrxltoGBjg/edit#gid=934712705"",""ESENCIAL!A6:BG""),8,FALSE))"),"")</f>
        <v/>
      </c>
      <c r="L558" s="287"/>
      <c r="S558"/>
      <c r="AU558" s="41" t="str">
        <f t="shared" si="40"/>
        <v/>
      </c>
      <c r="AV558" s="5" t="str">
        <f ca="1">IFERROR(__xludf.DUMMYFUNCTION("IFERROR(VLOOKUP(E575&amp;F575,IMPORTRANGE(""https://docs.google.com/spreadsheets/d/1Uw7-A9f9R21vMXxHZFNpYNeKFtG8_yji4HS352LGlSQ/edit?pli=1#gid=0"",""1_ACUM!A4:S""),11,FALSE))"),"")</f>
        <v/>
      </c>
      <c r="AW558" s="42" t="str">
        <f ca="1">IFERROR(__xludf.DUMMYFUNCTION("IFERROR(VLOOKUP(F575,IMPORTRANGE(""https://docs.google.com/spreadsheets/d/1Kvs4KS76FHFqLFIZfrDMff4kP08nblUkihrxltoGBjg/edit#gid=934712705"",""ESENCIAL!A6:BG""),15,FALSE))"),"")</f>
        <v/>
      </c>
      <c r="AX558" s="21" t="str">
        <f ca="1">IFERROR(__xludf.DUMMYFUNCTION("IFERROR(VLOOKUP(E575&amp;F575,IMPORTRANGE(""https://docs.google.com/spreadsheets/d/1Uw7-A9f9R21vMXxHZFNpYNeKFtG8_yji4HS352LGlSQ/edit?pli=1#gid=0"",""1_ACUM!A4:S""),12,FALSE))"),"")</f>
        <v/>
      </c>
      <c r="AY558" s="43" t="str">
        <f ca="1">IFERROR(__xludf.DUMMYFUNCTION("IFERROR(VLOOKUP(E575&amp;F575,IMPORTRANGE(""https://docs.google.com/spreadsheets/d/1Uw7-A9f9R21vMXxHZFNpYNeKFtG8_yji4HS352LGlSQ/edit?pli=1#gid=0"",""1_ACUM!A4:S""),13,FALSE))"),"")</f>
        <v/>
      </c>
      <c r="AZ558" s="43" t="str">
        <f ca="1">IFERROR(__xludf.DUMMYFUNCTION("IFERROR(VLOOKUP(E575&amp;F575,IMPORTRANGE(""https://docs.google.com/spreadsheets/d/1Uw7-A9f9R21vMXxHZFNpYNeKFtG8_yji4HS352LGlSQ/edit?pli=1#gid=0"",""1_ACUM!A4:S""),14,FALSE))"),"")</f>
        <v/>
      </c>
      <c r="BA558" s="43" t="str">
        <f ca="1">IFERROR(__xludf.DUMMYFUNCTION("IFERROR(VLOOKUP(E575&amp;F575,IMPORTRANGE(""https://docs.google.com/spreadsheets/d/1Uw7-A9f9R21vMXxHZFNpYNeKFtG8_yji4HS352LGlSQ/edit?pli=1#gid=0"",""1_ACUM!A4:S""),15,FALSE))"),"")</f>
        <v/>
      </c>
      <c r="BB558" s="43" t="str">
        <f ca="1">IFERROR(__xludf.DUMMYFUNCTION("IFERROR(VLOOKUP(E575&amp;F575,IMPORTRANGE(""https://docs.google.com/spreadsheets/d/1Uw7-A9f9R21vMXxHZFNpYNeKFtG8_yji4HS352LGlSQ/edit?pli=1#gid=0"",""1_ACUM!A4:S""),16,FALSE))"),"")</f>
        <v/>
      </c>
      <c r="BC558" s="43" t="str">
        <f ca="1">IFERROR(__xludf.DUMMYFUNCTION("IFERROR(VLOOKUP(E575&amp;F575,IMPORTRANGE(""https://docs.google.com/spreadsheets/d/1Uw7-A9f9R21vMXxHZFNpYNeKFtG8_yji4HS352LGlSQ/edit?pli=1#gid=0"",""1_ACUM!A4:S""),17,FALSE))"),"")</f>
        <v/>
      </c>
      <c r="BD558" s="44" t="str">
        <f ca="1">IFERROR(__xludf.DUMMYFUNCTION("IFERROR(VLOOKUP(E575&amp;F575,IMPORTRANGE(""https://docs.google.com/spreadsheets/d/1Uw7-A9f9R21vMXxHZFNpYNeKFtG8_yji4HS352LGlSQ/edit?pli=1#gid=0"",""1_ACUM!A4:S""),18,FALSE))"),"")</f>
        <v/>
      </c>
      <c r="BE558" s="44" t="str">
        <f ca="1">IFERROR(__xludf.DUMMYFUNCTION("IFERROR(VLOOKUP(E575&amp;F575,IMPORTRANGE(""https://docs.google.com/spreadsheets/d/1Uw7-A9f9R21vMXxHZFNpYNeKFtG8_yji4HS352LGlSQ/edit?pli=1#gid=0"",""1_ACUM!A4:S""),19,FALSE))"),"")</f>
        <v/>
      </c>
      <c r="BF558" s="44" t="str">
        <f ca="1">IFERROR(__xludf.DUMMYFUNCTION("IFERROR(VLOOKUP(F575,IMPORTRANGE(""https://docs.google.com/spreadsheets/d/1Kvs4KS76FHFqLFIZfrDMff4kP08nblUkihrxltoGBjg/edit#gid=934712705"",""ESENCIAL!A6:BG""),5,FALSE))"),"")</f>
        <v/>
      </c>
      <c r="BG558" s="44" t="str">
        <f t="shared" si="41"/>
        <v/>
      </c>
      <c r="BH558" s="41" t="str">
        <f t="shared" si="42"/>
        <v/>
      </c>
      <c r="BI558" s="41" t="str">
        <f ca="1">IFERROR(__xludf.DUMMYFUNCTION("IFERROR(VLOOKUP(F575,IMPORTRANGE(""https://docs.google.com/spreadsheets/d/1Kvs4KS76FHFqLFIZfrDMff4kP08nblUkihrxltoGBjg/edit#gid=934712705"",""ESENCIAL!A6:BG""),18,FALSE))"),"")</f>
        <v/>
      </c>
      <c r="BJ558" s="19" t="str">
        <f t="shared" si="43"/>
        <v/>
      </c>
      <c r="BK558" s="41"/>
      <c r="BL558" s="41"/>
    </row>
    <row r="559" spans="1:64" ht="15">
      <c r="A559" s="4"/>
      <c r="B559" s="4"/>
      <c r="G559" s="5" t="str">
        <f ca="1">IFERROR(__xludf.DUMMYFUNCTION("IFERROR(VLOOKUP(F576,IMPORTRANGE(""https://docs.google.com/spreadsheets/d/1Kvs4KS76FHFqLFIZfrDMff4kP08nblUkihrxltoGBjg/edit#gid=934712705"",""ESENCIAL!A6:BG""),3,FALSE))"),"")</f>
        <v/>
      </c>
      <c r="H559" s="5" t="str">
        <f ca="1">IFERROR(__xludf.DUMMYFUNCTION("IFERROR(VLOOKUP(F576,IMPORTRANGE(""https://docs.google.com/spreadsheets/d/1Kvs4KS76FHFqLFIZfrDMff4kP08nblUkihrxltoGBjg/edit#gid=934712705"",""ESENCIAL!A6:BG""),8,FALSE))"),"")</f>
        <v/>
      </c>
      <c r="L559" s="287"/>
      <c r="S559"/>
      <c r="AU559" s="41" t="str">
        <f t="shared" si="40"/>
        <v/>
      </c>
      <c r="AV559" s="5" t="str">
        <f ca="1">IFERROR(__xludf.DUMMYFUNCTION("IFERROR(VLOOKUP(E576&amp;F576,IMPORTRANGE(""https://docs.google.com/spreadsheets/d/1Uw7-A9f9R21vMXxHZFNpYNeKFtG8_yji4HS352LGlSQ/edit?pli=1#gid=0"",""1_ACUM!A4:S""),11,FALSE))"),"")</f>
        <v/>
      </c>
      <c r="AW559" s="42" t="str">
        <f ca="1">IFERROR(__xludf.DUMMYFUNCTION("IFERROR(VLOOKUP(F576,IMPORTRANGE(""https://docs.google.com/spreadsheets/d/1Kvs4KS76FHFqLFIZfrDMff4kP08nblUkihrxltoGBjg/edit#gid=934712705"",""ESENCIAL!A6:BG""),15,FALSE))"),"")</f>
        <v/>
      </c>
      <c r="AX559" s="21" t="str">
        <f ca="1">IFERROR(__xludf.DUMMYFUNCTION("IFERROR(VLOOKUP(E576&amp;F576,IMPORTRANGE(""https://docs.google.com/spreadsheets/d/1Uw7-A9f9R21vMXxHZFNpYNeKFtG8_yji4HS352LGlSQ/edit?pli=1#gid=0"",""1_ACUM!A4:S""),12,FALSE))"),"")</f>
        <v/>
      </c>
      <c r="AY559" s="43" t="str">
        <f ca="1">IFERROR(__xludf.DUMMYFUNCTION("IFERROR(VLOOKUP(E576&amp;F576,IMPORTRANGE(""https://docs.google.com/spreadsheets/d/1Uw7-A9f9R21vMXxHZFNpYNeKFtG8_yji4HS352LGlSQ/edit?pli=1#gid=0"",""1_ACUM!A4:S""),13,FALSE))"),"")</f>
        <v/>
      </c>
      <c r="AZ559" s="43" t="str">
        <f ca="1">IFERROR(__xludf.DUMMYFUNCTION("IFERROR(VLOOKUP(E576&amp;F576,IMPORTRANGE(""https://docs.google.com/spreadsheets/d/1Uw7-A9f9R21vMXxHZFNpYNeKFtG8_yji4HS352LGlSQ/edit?pli=1#gid=0"",""1_ACUM!A4:S""),14,FALSE))"),"")</f>
        <v/>
      </c>
      <c r="BA559" s="43" t="str">
        <f ca="1">IFERROR(__xludf.DUMMYFUNCTION("IFERROR(VLOOKUP(E576&amp;F576,IMPORTRANGE(""https://docs.google.com/spreadsheets/d/1Uw7-A9f9R21vMXxHZFNpYNeKFtG8_yji4HS352LGlSQ/edit?pli=1#gid=0"",""1_ACUM!A4:S""),15,FALSE))"),"")</f>
        <v/>
      </c>
      <c r="BB559" s="43" t="str">
        <f ca="1">IFERROR(__xludf.DUMMYFUNCTION("IFERROR(VLOOKUP(E576&amp;F576,IMPORTRANGE(""https://docs.google.com/spreadsheets/d/1Uw7-A9f9R21vMXxHZFNpYNeKFtG8_yji4HS352LGlSQ/edit?pli=1#gid=0"",""1_ACUM!A4:S""),16,FALSE))"),"")</f>
        <v/>
      </c>
      <c r="BC559" s="43" t="str">
        <f ca="1">IFERROR(__xludf.DUMMYFUNCTION("IFERROR(VLOOKUP(E576&amp;F576,IMPORTRANGE(""https://docs.google.com/spreadsheets/d/1Uw7-A9f9R21vMXxHZFNpYNeKFtG8_yji4HS352LGlSQ/edit?pli=1#gid=0"",""1_ACUM!A4:S""),17,FALSE))"),"")</f>
        <v/>
      </c>
      <c r="BD559" s="44" t="str">
        <f ca="1">IFERROR(__xludf.DUMMYFUNCTION("IFERROR(VLOOKUP(E576&amp;F576,IMPORTRANGE(""https://docs.google.com/spreadsheets/d/1Uw7-A9f9R21vMXxHZFNpYNeKFtG8_yji4HS352LGlSQ/edit?pli=1#gid=0"",""1_ACUM!A4:S""),18,FALSE))"),"")</f>
        <v/>
      </c>
      <c r="BE559" s="44" t="str">
        <f ca="1">IFERROR(__xludf.DUMMYFUNCTION("IFERROR(VLOOKUP(E576&amp;F576,IMPORTRANGE(""https://docs.google.com/spreadsheets/d/1Uw7-A9f9R21vMXxHZFNpYNeKFtG8_yji4HS352LGlSQ/edit?pli=1#gid=0"",""1_ACUM!A4:S""),19,FALSE))"),"")</f>
        <v/>
      </c>
      <c r="BF559" s="44" t="str">
        <f ca="1">IFERROR(__xludf.DUMMYFUNCTION("IFERROR(VLOOKUP(F576,IMPORTRANGE(""https://docs.google.com/spreadsheets/d/1Kvs4KS76FHFqLFIZfrDMff4kP08nblUkihrxltoGBjg/edit#gid=934712705"",""ESENCIAL!A6:BG""),5,FALSE))"),"")</f>
        <v/>
      </c>
      <c r="BG559" s="44" t="str">
        <f t="shared" si="41"/>
        <v/>
      </c>
      <c r="BH559" s="41" t="str">
        <f t="shared" si="42"/>
        <v/>
      </c>
      <c r="BI559" s="41" t="str">
        <f ca="1">IFERROR(__xludf.DUMMYFUNCTION("IFERROR(VLOOKUP(F576,IMPORTRANGE(""https://docs.google.com/spreadsheets/d/1Kvs4KS76FHFqLFIZfrDMff4kP08nblUkihrxltoGBjg/edit#gid=934712705"",""ESENCIAL!A6:BG""),18,FALSE))"),"")</f>
        <v/>
      </c>
      <c r="BJ559" s="19" t="str">
        <f t="shared" si="43"/>
        <v/>
      </c>
      <c r="BK559" s="41"/>
      <c r="BL559" s="41"/>
    </row>
    <row r="560" spans="1:64" ht="15">
      <c r="A560" s="4"/>
      <c r="B560" s="4"/>
      <c r="G560" s="5" t="str">
        <f ca="1">IFERROR(__xludf.DUMMYFUNCTION("IFERROR(VLOOKUP(F577,IMPORTRANGE(""https://docs.google.com/spreadsheets/d/1Kvs4KS76FHFqLFIZfrDMff4kP08nblUkihrxltoGBjg/edit#gid=934712705"",""ESENCIAL!A6:BG""),3,FALSE))"),"")</f>
        <v/>
      </c>
      <c r="H560" s="5" t="str">
        <f ca="1">IFERROR(__xludf.DUMMYFUNCTION("IFERROR(VLOOKUP(F577,IMPORTRANGE(""https://docs.google.com/spreadsheets/d/1Kvs4KS76FHFqLFIZfrDMff4kP08nblUkihrxltoGBjg/edit#gid=934712705"",""ESENCIAL!A6:BG""),8,FALSE))"),"")</f>
        <v/>
      </c>
      <c r="L560" s="287"/>
      <c r="S560"/>
      <c r="AU560" s="41" t="str">
        <f t="shared" si="40"/>
        <v/>
      </c>
      <c r="AV560" s="5" t="str">
        <f ca="1">IFERROR(__xludf.DUMMYFUNCTION("IFERROR(VLOOKUP(E577&amp;F577,IMPORTRANGE(""https://docs.google.com/spreadsheets/d/1Uw7-A9f9R21vMXxHZFNpYNeKFtG8_yji4HS352LGlSQ/edit?pli=1#gid=0"",""1_ACUM!A4:S""),11,FALSE))"),"")</f>
        <v/>
      </c>
      <c r="AW560" s="42" t="str">
        <f ca="1">IFERROR(__xludf.DUMMYFUNCTION("IFERROR(VLOOKUP(F577,IMPORTRANGE(""https://docs.google.com/spreadsheets/d/1Kvs4KS76FHFqLFIZfrDMff4kP08nblUkihrxltoGBjg/edit#gid=934712705"",""ESENCIAL!A6:BG""),15,FALSE))"),"")</f>
        <v/>
      </c>
      <c r="AX560" s="21" t="str">
        <f ca="1">IFERROR(__xludf.DUMMYFUNCTION("IFERROR(VLOOKUP(E577&amp;F577,IMPORTRANGE(""https://docs.google.com/spreadsheets/d/1Uw7-A9f9R21vMXxHZFNpYNeKFtG8_yji4HS352LGlSQ/edit?pli=1#gid=0"",""1_ACUM!A4:S""),12,FALSE))"),"")</f>
        <v/>
      </c>
      <c r="AY560" s="43" t="str">
        <f ca="1">IFERROR(__xludf.DUMMYFUNCTION("IFERROR(VLOOKUP(E577&amp;F577,IMPORTRANGE(""https://docs.google.com/spreadsheets/d/1Uw7-A9f9R21vMXxHZFNpYNeKFtG8_yji4HS352LGlSQ/edit?pli=1#gid=0"",""1_ACUM!A4:S""),13,FALSE))"),"")</f>
        <v/>
      </c>
      <c r="AZ560" s="43" t="str">
        <f ca="1">IFERROR(__xludf.DUMMYFUNCTION("IFERROR(VLOOKUP(E577&amp;F577,IMPORTRANGE(""https://docs.google.com/spreadsheets/d/1Uw7-A9f9R21vMXxHZFNpYNeKFtG8_yji4HS352LGlSQ/edit?pli=1#gid=0"",""1_ACUM!A4:S""),14,FALSE))"),"")</f>
        <v/>
      </c>
      <c r="BA560" s="43" t="str">
        <f ca="1">IFERROR(__xludf.DUMMYFUNCTION("IFERROR(VLOOKUP(E577&amp;F577,IMPORTRANGE(""https://docs.google.com/spreadsheets/d/1Uw7-A9f9R21vMXxHZFNpYNeKFtG8_yji4HS352LGlSQ/edit?pli=1#gid=0"",""1_ACUM!A4:S""),15,FALSE))"),"")</f>
        <v/>
      </c>
      <c r="BB560" s="43" t="str">
        <f ca="1">IFERROR(__xludf.DUMMYFUNCTION("IFERROR(VLOOKUP(E577&amp;F577,IMPORTRANGE(""https://docs.google.com/spreadsheets/d/1Uw7-A9f9R21vMXxHZFNpYNeKFtG8_yji4HS352LGlSQ/edit?pli=1#gid=0"",""1_ACUM!A4:S""),16,FALSE))"),"")</f>
        <v/>
      </c>
      <c r="BC560" s="43" t="str">
        <f ca="1">IFERROR(__xludf.DUMMYFUNCTION("IFERROR(VLOOKUP(E577&amp;F577,IMPORTRANGE(""https://docs.google.com/spreadsheets/d/1Uw7-A9f9R21vMXxHZFNpYNeKFtG8_yji4HS352LGlSQ/edit?pli=1#gid=0"",""1_ACUM!A4:S""),17,FALSE))"),"")</f>
        <v/>
      </c>
      <c r="BD560" s="44" t="str">
        <f ca="1">IFERROR(__xludf.DUMMYFUNCTION("IFERROR(VLOOKUP(E577&amp;F577,IMPORTRANGE(""https://docs.google.com/spreadsheets/d/1Uw7-A9f9R21vMXxHZFNpYNeKFtG8_yji4HS352LGlSQ/edit?pli=1#gid=0"",""1_ACUM!A4:S""),18,FALSE))"),"")</f>
        <v/>
      </c>
      <c r="BE560" s="44" t="str">
        <f ca="1">IFERROR(__xludf.DUMMYFUNCTION("IFERROR(VLOOKUP(E577&amp;F577,IMPORTRANGE(""https://docs.google.com/spreadsheets/d/1Uw7-A9f9R21vMXxHZFNpYNeKFtG8_yji4HS352LGlSQ/edit?pli=1#gid=0"",""1_ACUM!A4:S""),19,FALSE))"),"")</f>
        <v/>
      </c>
      <c r="BF560" s="44" t="str">
        <f ca="1">IFERROR(__xludf.DUMMYFUNCTION("IFERROR(VLOOKUP(F577,IMPORTRANGE(""https://docs.google.com/spreadsheets/d/1Kvs4KS76FHFqLFIZfrDMff4kP08nblUkihrxltoGBjg/edit#gid=934712705"",""ESENCIAL!A6:BG""),5,FALSE))"),"")</f>
        <v/>
      </c>
      <c r="BG560" s="44" t="str">
        <f t="shared" si="41"/>
        <v/>
      </c>
      <c r="BH560" s="41" t="str">
        <f t="shared" si="42"/>
        <v/>
      </c>
      <c r="BI560" s="41" t="str">
        <f ca="1">IFERROR(__xludf.DUMMYFUNCTION("IFERROR(VLOOKUP(F577,IMPORTRANGE(""https://docs.google.com/spreadsheets/d/1Kvs4KS76FHFqLFIZfrDMff4kP08nblUkihrxltoGBjg/edit#gid=934712705"",""ESENCIAL!A6:BG""),18,FALSE))"),"")</f>
        <v/>
      </c>
      <c r="BJ560" s="19" t="str">
        <f t="shared" si="43"/>
        <v/>
      </c>
      <c r="BK560" s="41"/>
      <c r="BL560" s="41"/>
    </row>
    <row r="561" spans="1:64" ht="15">
      <c r="A561" s="4"/>
      <c r="B561" s="4"/>
      <c r="G561" s="5" t="str">
        <f ca="1">IFERROR(__xludf.DUMMYFUNCTION("IFERROR(VLOOKUP(F578,IMPORTRANGE(""https://docs.google.com/spreadsheets/d/1Kvs4KS76FHFqLFIZfrDMff4kP08nblUkihrxltoGBjg/edit#gid=934712705"",""ESENCIAL!A6:BG""),3,FALSE))"),"")</f>
        <v/>
      </c>
      <c r="H561" s="5" t="str">
        <f ca="1">IFERROR(__xludf.DUMMYFUNCTION("IFERROR(VLOOKUP(F578,IMPORTRANGE(""https://docs.google.com/spreadsheets/d/1Kvs4KS76FHFqLFIZfrDMff4kP08nblUkihrxltoGBjg/edit#gid=934712705"",""ESENCIAL!A6:BG""),8,FALSE))"),"")</f>
        <v/>
      </c>
      <c r="L561" s="287"/>
      <c r="S561"/>
      <c r="AU561" s="41" t="str">
        <f t="shared" si="40"/>
        <v/>
      </c>
      <c r="AV561" s="5" t="str">
        <f ca="1">IFERROR(__xludf.DUMMYFUNCTION("IFERROR(VLOOKUP(E578&amp;F578,IMPORTRANGE(""https://docs.google.com/spreadsheets/d/1Uw7-A9f9R21vMXxHZFNpYNeKFtG8_yji4HS352LGlSQ/edit?pli=1#gid=0"",""1_ACUM!A4:S""),11,FALSE))"),"")</f>
        <v/>
      </c>
      <c r="AW561" s="42" t="str">
        <f ca="1">IFERROR(__xludf.DUMMYFUNCTION("IFERROR(VLOOKUP(F578,IMPORTRANGE(""https://docs.google.com/spreadsheets/d/1Kvs4KS76FHFqLFIZfrDMff4kP08nblUkihrxltoGBjg/edit#gid=934712705"",""ESENCIAL!A6:BG""),15,FALSE))"),"")</f>
        <v/>
      </c>
      <c r="AX561" s="21" t="str">
        <f ca="1">IFERROR(__xludf.DUMMYFUNCTION("IFERROR(VLOOKUP(E578&amp;F578,IMPORTRANGE(""https://docs.google.com/spreadsheets/d/1Uw7-A9f9R21vMXxHZFNpYNeKFtG8_yji4HS352LGlSQ/edit?pli=1#gid=0"",""1_ACUM!A4:S""),12,FALSE))"),"")</f>
        <v/>
      </c>
      <c r="AY561" s="43" t="str">
        <f ca="1">IFERROR(__xludf.DUMMYFUNCTION("IFERROR(VLOOKUP(E578&amp;F578,IMPORTRANGE(""https://docs.google.com/spreadsheets/d/1Uw7-A9f9R21vMXxHZFNpYNeKFtG8_yji4HS352LGlSQ/edit?pli=1#gid=0"",""1_ACUM!A4:S""),13,FALSE))"),"")</f>
        <v/>
      </c>
      <c r="AZ561" s="43" t="str">
        <f ca="1">IFERROR(__xludf.DUMMYFUNCTION("IFERROR(VLOOKUP(E578&amp;F578,IMPORTRANGE(""https://docs.google.com/spreadsheets/d/1Uw7-A9f9R21vMXxHZFNpYNeKFtG8_yji4HS352LGlSQ/edit?pli=1#gid=0"",""1_ACUM!A4:S""),14,FALSE))"),"")</f>
        <v/>
      </c>
      <c r="BA561" s="43" t="str">
        <f ca="1">IFERROR(__xludf.DUMMYFUNCTION("IFERROR(VLOOKUP(E578&amp;F578,IMPORTRANGE(""https://docs.google.com/spreadsheets/d/1Uw7-A9f9R21vMXxHZFNpYNeKFtG8_yji4HS352LGlSQ/edit?pli=1#gid=0"",""1_ACUM!A4:S""),15,FALSE))"),"")</f>
        <v/>
      </c>
      <c r="BB561" s="43" t="str">
        <f ca="1">IFERROR(__xludf.DUMMYFUNCTION("IFERROR(VLOOKUP(E578&amp;F578,IMPORTRANGE(""https://docs.google.com/spreadsheets/d/1Uw7-A9f9R21vMXxHZFNpYNeKFtG8_yji4HS352LGlSQ/edit?pli=1#gid=0"",""1_ACUM!A4:S""),16,FALSE))"),"")</f>
        <v/>
      </c>
      <c r="BC561" s="43" t="str">
        <f ca="1">IFERROR(__xludf.DUMMYFUNCTION("IFERROR(VLOOKUP(E578&amp;F578,IMPORTRANGE(""https://docs.google.com/spreadsheets/d/1Uw7-A9f9R21vMXxHZFNpYNeKFtG8_yji4HS352LGlSQ/edit?pli=1#gid=0"",""1_ACUM!A4:S""),17,FALSE))"),"")</f>
        <v/>
      </c>
      <c r="BD561" s="44" t="str">
        <f ca="1">IFERROR(__xludf.DUMMYFUNCTION("IFERROR(VLOOKUP(E578&amp;F578,IMPORTRANGE(""https://docs.google.com/spreadsheets/d/1Uw7-A9f9R21vMXxHZFNpYNeKFtG8_yji4HS352LGlSQ/edit?pli=1#gid=0"",""1_ACUM!A4:S""),18,FALSE))"),"")</f>
        <v/>
      </c>
      <c r="BE561" s="44" t="str">
        <f ca="1">IFERROR(__xludf.DUMMYFUNCTION("IFERROR(VLOOKUP(E578&amp;F578,IMPORTRANGE(""https://docs.google.com/spreadsheets/d/1Uw7-A9f9R21vMXxHZFNpYNeKFtG8_yji4HS352LGlSQ/edit?pli=1#gid=0"",""1_ACUM!A4:S""),19,FALSE))"),"")</f>
        <v/>
      </c>
      <c r="BF561" s="44" t="str">
        <f ca="1">IFERROR(__xludf.DUMMYFUNCTION("IFERROR(VLOOKUP(F578,IMPORTRANGE(""https://docs.google.com/spreadsheets/d/1Kvs4KS76FHFqLFIZfrDMff4kP08nblUkihrxltoGBjg/edit#gid=934712705"",""ESENCIAL!A6:BG""),5,FALSE))"),"")</f>
        <v/>
      </c>
      <c r="BG561" s="44" t="str">
        <f t="shared" si="41"/>
        <v/>
      </c>
      <c r="BH561" s="41" t="str">
        <f t="shared" si="42"/>
        <v/>
      </c>
      <c r="BI561" s="41" t="str">
        <f ca="1">IFERROR(__xludf.DUMMYFUNCTION("IFERROR(VLOOKUP(F578,IMPORTRANGE(""https://docs.google.com/spreadsheets/d/1Kvs4KS76FHFqLFIZfrDMff4kP08nblUkihrxltoGBjg/edit#gid=934712705"",""ESENCIAL!A6:BG""),18,FALSE))"),"")</f>
        <v/>
      </c>
      <c r="BJ561" s="19" t="str">
        <f t="shared" si="43"/>
        <v/>
      </c>
      <c r="BK561" s="41"/>
      <c r="BL561" s="41"/>
    </row>
    <row r="562" spans="1:64" ht="15">
      <c r="A562" s="4"/>
      <c r="B562" s="4"/>
      <c r="G562" s="5" t="str">
        <f ca="1">IFERROR(__xludf.DUMMYFUNCTION("IFERROR(VLOOKUP(F579,IMPORTRANGE(""https://docs.google.com/spreadsheets/d/1Kvs4KS76FHFqLFIZfrDMff4kP08nblUkihrxltoGBjg/edit#gid=934712705"",""ESENCIAL!A6:BG""),3,FALSE))"),"")</f>
        <v/>
      </c>
      <c r="H562" s="5" t="str">
        <f ca="1">IFERROR(__xludf.DUMMYFUNCTION("IFERROR(VLOOKUP(F579,IMPORTRANGE(""https://docs.google.com/spreadsheets/d/1Kvs4KS76FHFqLFIZfrDMff4kP08nblUkihrxltoGBjg/edit#gid=934712705"",""ESENCIAL!A6:BG""),8,FALSE))"),"")</f>
        <v/>
      </c>
      <c r="L562" s="287"/>
      <c r="S562"/>
      <c r="AU562" s="41" t="str">
        <f t="shared" si="40"/>
        <v/>
      </c>
      <c r="AV562" s="5" t="str">
        <f ca="1">IFERROR(__xludf.DUMMYFUNCTION("IFERROR(VLOOKUP(E579&amp;F579,IMPORTRANGE(""https://docs.google.com/spreadsheets/d/1Uw7-A9f9R21vMXxHZFNpYNeKFtG8_yji4HS352LGlSQ/edit?pli=1#gid=0"",""1_ACUM!A4:S""),11,FALSE))"),"")</f>
        <v/>
      </c>
      <c r="AW562" s="42" t="str">
        <f ca="1">IFERROR(__xludf.DUMMYFUNCTION("IFERROR(VLOOKUP(F579,IMPORTRANGE(""https://docs.google.com/spreadsheets/d/1Kvs4KS76FHFqLFIZfrDMff4kP08nblUkihrxltoGBjg/edit#gid=934712705"",""ESENCIAL!A6:BG""),15,FALSE))"),"")</f>
        <v/>
      </c>
      <c r="AX562" s="21" t="str">
        <f ca="1">IFERROR(__xludf.DUMMYFUNCTION("IFERROR(VLOOKUP(E579&amp;F579,IMPORTRANGE(""https://docs.google.com/spreadsheets/d/1Uw7-A9f9R21vMXxHZFNpYNeKFtG8_yji4HS352LGlSQ/edit?pli=1#gid=0"",""1_ACUM!A4:S""),12,FALSE))"),"")</f>
        <v/>
      </c>
      <c r="AY562" s="43" t="str">
        <f ca="1">IFERROR(__xludf.DUMMYFUNCTION("IFERROR(VLOOKUP(E579&amp;F579,IMPORTRANGE(""https://docs.google.com/spreadsheets/d/1Uw7-A9f9R21vMXxHZFNpYNeKFtG8_yji4HS352LGlSQ/edit?pli=1#gid=0"",""1_ACUM!A4:S""),13,FALSE))"),"")</f>
        <v/>
      </c>
      <c r="AZ562" s="43" t="str">
        <f ca="1">IFERROR(__xludf.DUMMYFUNCTION("IFERROR(VLOOKUP(E579&amp;F579,IMPORTRANGE(""https://docs.google.com/spreadsheets/d/1Uw7-A9f9R21vMXxHZFNpYNeKFtG8_yji4HS352LGlSQ/edit?pli=1#gid=0"",""1_ACUM!A4:S""),14,FALSE))"),"")</f>
        <v/>
      </c>
      <c r="BA562" s="43" t="str">
        <f ca="1">IFERROR(__xludf.DUMMYFUNCTION("IFERROR(VLOOKUP(E579&amp;F579,IMPORTRANGE(""https://docs.google.com/spreadsheets/d/1Uw7-A9f9R21vMXxHZFNpYNeKFtG8_yji4HS352LGlSQ/edit?pli=1#gid=0"",""1_ACUM!A4:S""),15,FALSE))"),"")</f>
        <v/>
      </c>
      <c r="BB562" s="43" t="str">
        <f ca="1">IFERROR(__xludf.DUMMYFUNCTION("IFERROR(VLOOKUP(E579&amp;F579,IMPORTRANGE(""https://docs.google.com/spreadsheets/d/1Uw7-A9f9R21vMXxHZFNpYNeKFtG8_yji4HS352LGlSQ/edit?pli=1#gid=0"",""1_ACUM!A4:S""),16,FALSE))"),"")</f>
        <v/>
      </c>
      <c r="BC562" s="43" t="str">
        <f ca="1">IFERROR(__xludf.DUMMYFUNCTION("IFERROR(VLOOKUP(E579&amp;F579,IMPORTRANGE(""https://docs.google.com/spreadsheets/d/1Uw7-A9f9R21vMXxHZFNpYNeKFtG8_yji4HS352LGlSQ/edit?pli=1#gid=0"",""1_ACUM!A4:S""),17,FALSE))"),"")</f>
        <v/>
      </c>
      <c r="BD562" s="44" t="str">
        <f ca="1">IFERROR(__xludf.DUMMYFUNCTION("IFERROR(VLOOKUP(E579&amp;F579,IMPORTRANGE(""https://docs.google.com/spreadsheets/d/1Uw7-A9f9R21vMXxHZFNpYNeKFtG8_yji4HS352LGlSQ/edit?pli=1#gid=0"",""1_ACUM!A4:S""),18,FALSE))"),"")</f>
        <v/>
      </c>
      <c r="BE562" s="44" t="str">
        <f ca="1">IFERROR(__xludf.DUMMYFUNCTION("IFERROR(VLOOKUP(E579&amp;F579,IMPORTRANGE(""https://docs.google.com/spreadsheets/d/1Uw7-A9f9R21vMXxHZFNpYNeKFtG8_yji4HS352LGlSQ/edit?pli=1#gid=0"",""1_ACUM!A4:S""),19,FALSE))"),"")</f>
        <v/>
      </c>
      <c r="BF562" s="44" t="str">
        <f ca="1">IFERROR(__xludf.DUMMYFUNCTION("IFERROR(VLOOKUP(F579,IMPORTRANGE(""https://docs.google.com/spreadsheets/d/1Kvs4KS76FHFqLFIZfrDMff4kP08nblUkihrxltoGBjg/edit#gid=934712705"",""ESENCIAL!A6:BG""),5,FALSE))"),"")</f>
        <v/>
      </c>
      <c r="BG562" s="44" t="str">
        <f t="shared" si="41"/>
        <v/>
      </c>
      <c r="BH562" s="41" t="str">
        <f t="shared" si="42"/>
        <v/>
      </c>
      <c r="BI562" s="41" t="str">
        <f ca="1">IFERROR(__xludf.DUMMYFUNCTION("IFERROR(VLOOKUP(F579,IMPORTRANGE(""https://docs.google.com/spreadsheets/d/1Kvs4KS76FHFqLFIZfrDMff4kP08nblUkihrxltoGBjg/edit#gid=934712705"",""ESENCIAL!A6:BG""),18,FALSE))"),"")</f>
        <v/>
      </c>
      <c r="BJ562" s="19" t="str">
        <f t="shared" si="43"/>
        <v/>
      </c>
      <c r="BK562" s="41"/>
      <c r="BL562" s="41"/>
    </row>
    <row r="563" spans="1:64" ht="15">
      <c r="A563" s="4"/>
      <c r="B563" s="4"/>
      <c r="G563" s="5" t="str">
        <f ca="1">IFERROR(__xludf.DUMMYFUNCTION("IFERROR(VLOOKUP(F580,IMPORTRANGE(""https://docs.google.com/spreadsheets/d/1Kvs4KS76FHFqLFIZfrDMff4kP08nblUkihrxltoGBjg/edit#gid=934712705"",""ESENCIAL!A6:BG""),3,FALSE))"),"")</f>
        <v/>
      </c>
      <c r="H563" s="5" t="str">
        <f ca="1">IFERROR(__xludf.DUMMYFUNCTION("IFERROR(VLOOKUP(F580,IMPORTRANGE(""https://docs.google.com/spreadsheets/d/1Kvs4KS76FHFqLFIZfrDMff4kP08nblUkihrxltoGBjg/edit#gid=934712705"",""ESENCIAL!A6:BG""),8,FALSE))"),"")</f>
        <v/>
      </c>
      <c r="L563" s="287"/>
      <c r="S563"/>
      <c r="AU563" s="41" t="str">
        <f t="shared" si="40"/>
        <v/>
      </c>
      <c r="AV563" s="5" t="str">
        <f ca="1">IFERROR(__xludf.DUMMYFUNCTION("IFERROR(VLOOKUP(E580&amp;F580,IMPORTRANGE(""https://docs.google.com/spreadsheets/d/1Uw7-A9f9R21vMXxHZFNpYNeKFtG8_yji4HS352LGlSQ/edit?pli=1#gid=0"",""1_ACUM!A4:S""),11,FALSE))"),"")</f>
        <v/>
      </c>
      <c r="AW563" s="42" t="str">
        <f ca="1">IFERROR(__xludf.DUMMYFUNCTION("IFERROR(VLOOKUP(F580,IMPORTRANGE(""https://docs.google.com/spreadsheets/d/1Kvs4KS76FHFqLFIZfrDMff4kP08nblUkihrxltoGBjg/edit#gid=934712705"",""ESENCIAL!A6:BG""),15,FALSE))"),"")</f>
        <v/>
      </c>
      <c r="AX563" s="21" t="str">
        <f ca="1">IFERROR(__xludf.DUMMYFUNCTION("IFERROR(VLOOKUP(E580&amp;F580,IMPORTRANGE(""https://docs.google.com/spreadsheets/d/1Uw7-A9f9R21vMXxHZFNpYNeKFtG8_yji4HS352LGlSQ/edit?pli=1#gid=0"",""1_ACUM!A4:S""),12,FALSE))"),"")</f>
        <v/>
      </c>
      <c r="AY563" s="43" t="str">
        <f ca="1">IFERROR(__xludf.DUMMYFUNCTION("IFERROR(VLOOKUP(E580&amp;F580,IMPORTRANGE(""https://docs.google.com/spreadsheets/d/1Uw7-A9f9R21vMXxHZFNpYNeKFtG8_yji4HS352LGlSQ/edit?pli=1#gid=0"",""1_ACUM!A4:S""),13,FALSE))"),"")</f>
        <v/>
      </c>
      <c r="AZ563" s="43" t="str">
        <f ca="1">IFERROR(__xludf.DUMMYFUNCTION("IFERROR(VLOOKUP(E580&amp;F580,IMPORTRANGE(""https://docs.google.com/spreadsheets/d/1Uw7-A9f9R21vMXxHZFNpYNeKFtG8_yji4HS352LGlSQ/edit?pli=1#gid=0"",""1_ACUM!A4:S""),14,FALSE))"),"")</f>
        <v/>
      </c>
      <c r="BA563" s="43" t="str">
        <f ca="1">IFERROR(__xludf.DUMMYFUNCTION("IFERROR(VLOOKUP(E580&amp;F580,IMPORTRANGE(""https://docs.google.com/spreadsheets/d/1Uw7-A9f9R21vMXxHZFNpYNeKFtG8_yji4HS352LGlSQ/edit?pli=1#gid=0"",""1_ACUM!A4:S""),15,FALSE))"),"")</f>
        <v/>
      </c>
      <c r="BB563" s="43" t="str">
        <f ca="1">IFERROR(__xludf.DUMMYFUNCTION("IFERROR(VLOOKUP(E580&amp;F580,IMPORTRANGE(""https://docs.google.com/spreadsheets/d/1Uw7-A9f9R21vMXxHZFNpYNeKFtG8_yji4HS352LGlSQ/edit?pli=1#gid=0"",""1_ACUM!A4:S""),16,FALSE))"),"")</f>
        <v/>
      </c>
      <c r="BC563" s="43" t="str">
        <f ca="1">IFERROR(__xludf.DUMMYFUNCTION("IFERROR(VLOOKUP(E580&amp;F580,IMPORTRANGE(""https://docs.google.com/spreadsheets/d/1Uw7-A9f9R21vMXxHZFNpYNeKFtG8_yji4HS352LGlSQ/edit?pli=1#gid=0"",""1_ACUM!A4:S""),17,FALSE))"),"")</f>
        <v/>
      </c>
      <c r="BD563" s="44" t="str">
        <f ca="1">IFERROR(__xludf.DUMMYFUNCTION("IFERROR(VLOOKUP(E580&amp;F580,IMPORTRANGE(""https://docs.google.com/spreadsheets/d/1Uw7-A9f9R21vMXxHZFNpYNeKFtG8_yji4HS352LGlSQ/edit?pli=1#gid=0"",""1_ACUM!A4:S""),18,FALSE))"),"")</f>
        <v/>
      </c>
      <c r="BE563" s="44" t="str">
        <f ca="1">IFERROR(__xludf.DUMMYFUNCTION("IFERROR(VLOOKUP(E580&amp;F580,IMPORTRANGE(""https://docs.google.com/spreadsheets/d/1Uw7-A9f9R21vMXxHZFNpYNeKFtG8_yji4HS352LGlSQ/edit?pli=1#gid=0"",""1_ACUM!A4:S""),19,FALSE))"),"")</f>
        <v/>
      </c>
      <c r="BF563" s="44" t="str">
        <f ca="1">IFERROR(__xludf.DUMMYFUNCTION("IFERROR(VLOOKUP(F580,IMPORTRANGE(""https://docs.google.com/spreadsheets/d/1Kvs4KS76FHFqLFIZfrDMff4kP08nblUkihrxltoGBjg/edit#gid=934712705"",""ESENCIAL!A6:BG""),5,FALSE))"),"")</f>
        <v/>
      </c>
      <c r="BG563" s="44" t="str">
        <f t="shared" si="41"/>
        <v/>
      </c>
      <c r="BH563" s="41" t="str">
        <f t="shared" si="42"/>
        <v/>
      </c>
      <c r="BI563" s="41" t="str">
        <f ca="1">IFERROR(__xludf.DUMMYFUNCTION("IFERROR(VLOOKUP(F580,IMPORTRANGE(""https://docs.google.com/spreadsheets/d/1Kvs4KS76FHFqLFIZfrDMff4kP08nblUkihrxltoGBjg/edit#gid=934712705"",""ESENCIAL!A6:BG""),18,FALSE))"),"")</f>
        <v/>
      </c>
      <c r="BJ563" s="19" t="str">
        <f t="shared" si="43"/>
        <v/>
      </c>
      <c r="BK563" s="41"/>
      <c r="BL563" s="41"/>
    </row>
    <row r="564" spans="1:64" ht="15">
      <c r="A564" s="4"/>
      <c r="B564" s="4"/>
      <c r="G564" s="5" t="str">
        <f ca="1">IFERROR(__xludf.DUMMYFUNCTION("IFERROR(VLOOKUP(F581,IMPORTRANGE(""https://docs.google.com/spreadsheets/d/1Kvs4KS76FHFqLFIZfrDMff4kP08nblUkihrxltoGBjg/edit#gid=934712705"",""ESENCIAL!A6:BG""),3,FALSE))"),"")</f>
        <v/>
      </c>
      <c r="H564" s="5" t="str">
        <f ca="1">IFERROR(__xludf.DUMMYFUNCTION("IFERROR(VLOOKUP(F581,IMPORTRANGE(""https://docs.google.com/spreadsheets/d/1Kvs4KS76FHFqLFIZfrDMff4kP08nblUkihrxltoGBjg/edit#gid=934712705"",""ESENCIAL!A6:BG""),8,FALSE))"),"")</f>
        <v/>
      </c>
      <c r="L564" s="287"/>
      <c r="S564"/>
      <c r="AU564" s="41" t="str">
        <f t="shared" si="40"/>
        <v/>
      </c>
      <c r="AV564" s="5" t="str">
        <f ca="1">IFERROR(__xludf.DUMMYFUNCTION("IFERROR(VLOOKUP(E581&amp;F581,IMPORTRANGE(""https://docs.google.com/spreadsheets/d/1Uw7-A9f9R21vMXxHZFNpYNeKFtG8_yji4HS352LGlSQ/edit?pli=1#gid=0"",""1_ACUM!A4:S""),11,FALSE))"),"")</f>
        <v/>
      </c>
      <c r="AW564" s="42" t="str">
        <f ca="1">IFERROR(__xludf.DUMMYFUNCTION("IFERROR(VLOOKUP(F581,IMPORTRANGE(""https://docs.google.com/spreadsheets/d/1Kvs4KS76FHFqLFIZfrDMff4kP08nblUkihrxltoGBjg/edit#gid=934712705"",""ESENCIAL!A6:BG""),15,FALSE))"),"")</f>
        <v/>
      </c>
      <c r="AX564" s="21" t="str">
        <f ca="1">IFERROR(__xludf.DUMMYFUNCTION("IFERROR(VLOOKUP(E581&amp;F581,IMPORTRANGE(""https://docs.google.com/spreadsheets/d/1Uw7-A9f9R21vMXxHZFNpYNeKFtG8_yji4HS352LGlSQ/edit?pli=1#gid=0"",""1_ACUM!A4:S""),12,FALSE))"),"")</f>
        <v/>
      </c>
      <c r="AY564" s="43" t="str">
        <f ca="1">IFERROR(__xludf.DUMMYFUNCTION("IFERROR(VLOOKUP(E581&amp;F581,IMPORTRANGE(""https://docs.google.com/spreadsheets/d/1Uw7-A9f9R21vMXxHZFNpYNeKFtG8_yji4HS352LGlSQ/edit?pli=1#gid=0"",""1_ACUM!A4:S""),13,FALSE))"),"")</f>
        <v/>
      </c>
      <c r="AZ564" s="43" t="str">
        <f ca="1">IFERROR(__xludf.DUMMYFUNCTION("IFERROR(VLOOKUP(E581&amp;F581,IMPORTRANGE(""https://docs.google.com/spreadsheets/d/1Uw7-A9f9R21vMXxHZFNpYNeKFtG8_yji4HS352LGlSQ/edit?pli=1#gid=0"",""1_ACUM!A4:S""),14,FALSE))"),"")</f>
        <v/>
      </c>
      <c r="BA564" s="43" t="str">
        <f ca="1">IFERROR(__xludf.DUMMYFUNCTION("IFERROR(VLOOKUP(E581&amp;F581,IMPORTRANGE(""https://docs.google.com/spreadsheets/d/1Uw7-A9f9R21vMXxHZFNpYNeKFtG8_yji4HS352LGlSQ/edit?pli=1#gid=0"",""1_ACUM!A4:S""),15,FALSE))"),"")</f>
        <v/>
      </c>
      <c r="BB564" s="43" t="str">
        <f ca="1">IFERROR(__xludf.DUMMYFUNCTION("IFERROR(VLOOKUP(E581&amp;F581,IMPORTRANGE(""https://docs.google.com/spreadsheets/d/1Uw7-A9f9R21vMXxHZFNpYNeKFtG8_yji4HS352LGlSQ/edit?pli=1#gid=0"",""1_ACUM!A4:S""),16,FALSE))"),"")</f>
        <v/>
      </c>
      <c r="BC564" s="43" t="str">
        <f ca="1">IFERROR(__xludf.DUMMYFUNCTION("IFERROR(VLOOKUP(E581&amp;F581,IMPORTRANGE(""https://docs.google.com/spreadsheets/d/1Uw7-A9f9R21vMXxHZFNpYNeKFtG8_yji4HS352LGlSQ/edit?pli=1#gid=0"",""1_ACUM!A4:S""),17,FALSE))"),"")</f>
        <v/>
      </c>
      <c r="BD564" s="44" t="str">
        <f ca="1">IFERROR(__xludf.DUMMYFUNCTION("IFERROR(VLOOKUP(E581&amp;F581,IMPORTRANGE(""https://docs.google.com/spreadsheets/d/1Uw7-A9f9R21vMXxHZFNpYNeKFtG8_yji4HS352LGlSQ/edit?pli=1#gid=0"",""1_ACUM!A4:S""),18,FALSE))"),"")</f>
        <v/>
      </c>
      <c r="BE564" s="44" t="str">
        <f ca="1">IFERROR(__xludf.DUMMYFUNCTION("IFERROR(VLOOKUP(E581&amp;F581,IMPORTRANGE(""https://docs.google.com/spreadsheets/d/1Uw7-A9f9R21vMXxHZFNpYNeKFtG8_yji4HS352LGlSQ/edit?pli=1#gid=0"",""1_ACUM!A4:S""),19,FALSE))"),"")</f>
        <v/>
      </c>
      <c r="BF564" s="44" t="str">
        <f ca="1">IFERROR(__xludf.DUMMYFUNCTION("IFERROR(VLOOKUP(F581,IMPORTRANGE(""https://docs.google.com/spreadsheets/d/1Kvs4KS76FHFqLFIZfrDMff4kP08nblUkihrxltoGBjg/edit#gid=934712705"",""ESENCIAL!A6:BG""),5,FALSE))"),"")</f>
        <v/>
      </c>
      <c r="BG564" s="44" t="str">
        <f t="shared" si="41"/>
        <v/>
      </c>
      <c r="BH564" s="41" t="str">
        <f t="shared" si="42"/>
        <v/>
      </c>
      <c r="BI564" s="41" t="str">
        <f ca="1">IFERROR(__xludf.DUMMYFUNCTION("IFERROR(VLOOKUP(F581,IMPORTRANGE(""https://docs.google.com/spreadsheets/d/1Kvs4KS76FHFqLFIZfrDMff4kP08nblUkihrxltoGBjg/edit#gid=934712705"",""ESENCIAL!A6:BG""),18,FALSE))"),"")</f>
        <v/>
      </c>
      <c r="BJ564" s="19" t="str">
        <f t="shared" si="43"/>
        <v/>
      </c>
      <c r="BK564" s="41"/>
      <c r="BL564" s="41"/>
    </row>
    <row r="565" spans="1:64" ht="15">
      <c r="A565" s="4"/>
      <c r="B565" s="4"/>
      <c r="G565" s="5" t="str">
        <f ca="1">IFERROR(__xludf.DUMMYFUNCTION("IFERROR(VLOOKUP(F582,IMPORTRANGE(""https://docs.google.com/spreadsheets/d/1Kvs4KS76FHFqLFIZfrDMff4kP08nblUkihrxltoGBjg/edit#gid=934712705"",""ESENCIAL!A6:BG""),3,FALSE))"),"")</f>
        <v/>
      </c>
      <c r="H565" s="5" t="str">
        <f ca="1">IFERROR(__xludf.DUMMYFUNCTION("IFERROR(VLOOKUP(F582,IMPORTRANGE(""https://docs.google.com/spreadsheets/d/1Kvs4KS76FHFqLFIZfrDMff4kP08nblUkihrxltoGBjg/edit#gid=934712705"",""ESENCIAL!A6:BG""),8,FALSE))"),"")</f>
        <v/>
      </c>
      <c r="L565" s="287"/>
      <c r="S565"/>
      <c r="AU565" s="41" t="str">
        <f t="shared" si="40"/>
        <v/>
      </c>
      <c r="AV565" s="5" t="str">
        <f ca="1">IFERROR(__xludf.DUMMYFUNCTION("IFERROR(VLOOKUP(E582&amp;F582,IMPORTRANGE(""https://docs.google.com/spreadsheets/d/1Uw7-A9f9R21vMXxHZFNpYNeKFtG8_yji4HS352LGlSQ/edit?pli=1#gid=0"",""1_ACUM!A4:S""),11,FALSE))"),"")</f>
        <v/>
      </c>
      <c r="AW565" s="42" t="str">
        <f ca="1">IFERROR(__xludf.DUMMYFUNCTION("IFERROR(VLOOKUP(F582,IMPORTRANGE(""https://docs.google.com/spreadsheets/d/1Kvs4KS76FHFqLFIZfrDMff4kP08nblUkihrxltoGBjg/edit#gid=934712705"",""ESENCIAL!A6:BG""),15,FALSE))"),"")</f>
        <v/>
      </c>
      <c r="AX565" s="21" t="str">
        <f ca="1">IFERROR(__xludf.DUMMYFUNCTION("IFERROR(VLOOKUP(E582&amp;F582,IMPORTRANGE(""https://docs.google.com/spreadsheets/d/1Uw7-A9f9R21vMXxHZFNpYNeKFtG8_yji4HS352LGlSQ/edit?pli=1#gid=0"",""1_ACUM!A4:S""),12,FALSE))"),"")</f>
        <v/>
      </c>
      <c r="AY565" s="43" t="str">
        <f ca="1">IFERROR(__xludf.DUMMYFUNCTION("IFERROR(VLOOKUP(E582&amp;F582,IMPORTRANGE(""https://docs.google.com/spreadsheets/d/1Uw7-A9f9R21vMXxHZFNpYNeKFtG8_yji4HS352LGlSQ/edit?pli=1#gid=0"",""1_ACUM!A4:S""),13,FALSE))"),"")</f>
        <v/>
      </c>
      <c r="AZ565" s="43" t="str">
        <f ca="1">IFERROR(__xludf.DUMMYFUNCTION("IFERROR(VLOOKUP(E582&amp;F582,IMPORTRANGE(""https://docs.google.com/spreadsheets/d/1Uw7-A9f9R21vMXxHZFNpYNeKFtG8_yji4HS352LGlSQ/edit?pli=1#gid=0"",""1_ACUM!A4:S""),14,FALSE))"),"")</f>
        <v/>
      </c>
      <c r="BA565" s="43" t="str">
        <f ca="1">IFERROR(__xludf.DUMMYFUNCTION("IFERROR(VLOOKUP(E582&amp;F582,IMPORTRANGE(""https://docs.google.com/spreadsheets/d/1Uw7-A9f9R21vMXxHZFNpYNeKFtG8_yji4HS352LGlSQ/edit?pli=1#gid=0"",""1_ACUM!A4:S""),15,FALSE))"),"")</f>
        <v/>
      </c>
      <c r="BB565" s="43" t="str">
        <f ca="1">IFERROR(__xludf.DUMMYFUNCTION("IFERROR(VLOOKUP(E582&amp;F582,IMPORTRANGE(""https://docs.google.com/spreadsheets/d/1Uw7-A9f9R21vMXxHZFNpYNeKFtG8_yji4HS352LGlSQ/edit?pli=1#gid=0"",""1_ACUM!A4:S""),16,FALSE))"),"")</f>
        <v/>
      </c>
      <c r="BC565" s="43" t="str">
        <f ca="1">IFERROR(__xludf.DUMMYFUNCTION("IFERROR(VLOOKUP(E582&amp;F582,IMPORTRANGE(""https://docs.google.com/spreadsheets/d/1Uw7-A9f9R21vMXxHZFNpYNeKFtG8_yji4HS352LGlSQ/edit?pli=1#gid=0"",""1_ACUM!A4:S""),17,FALSE))"),"")</f>
        <v/>
      </c>
      <c r="BD565" s="44" t="str">
        <f ca="1">IFERROR(__xludf.DUMMYFUNCTION("IFERROR(VLOOKUP(E582&amp;F582,IMPORTRANGE(""https://docs.google.com/spreadsheets/d/1Uw7-A9f9R21vMXxHZFNpYNeKFtG8_yji4HS352LGlSQ/edit?pli=1#gid=0"",""1_ACUM!A4:S""),18,FALSE))"),"")</f>
        <v/>
      </c>
      <c r="BE565" s="44" t="str">
        <f ca="1">IFERROR(__xludf.DUMMYFUNCTION("IFERROR(VLOOKUP(E582&amp;F582,IMPORTRANGE(""https://docs.google.com/spreadsheets/d/1Uw7-A9f9R21vMXxHZFNpYNeKFtG8_yji4HS352LGlSQ/edit?pli=1#gid=0"",""1_ACUM!A4:S""),19,FALSE))"),"")</f>
        <v/>
      </c>
      <c r="BF565" s="44" t="str">
        <f ca="1">IFERROR(__xludf.DUMMYFUNCTION("IFERROR(VLOOKUP(F582,IMPORTRANGE(""https://docs.google.com/spreadsheets/d/1Kvs4KS76FHFqLFIZfrDMff4kP08nblUkihrxltoGBjg/edit#gid=934712705"",""ESENCIAL!A6:BG""),5,FALSE))"),"")</f>
        <v/>
      </c>
      <c r="BG565" s="44" t="str">
        <f t="shared" si="41"/>
        <v/>
      </c>
      <c r="BH565" s="41" t="str">
        <f t="shared" si="42"/>
        <v/>
      </c>
      <c r="BI565" s="41" t="str">
        <f ca="1">IFERROR(__xludf.DUMMYFUNCTION("IFERROR(VLOOKUP(F582,IMPORTRANGE(""https://docs.google.com/spreadsheets/d/1Kvs4KS76FHFqLFIZfrDMff4kP08nblUkihrxltoGBjg/edit#gid=934712705"",""ESENCIAL!A6:BG""),18,FALSE))"),"")</f>
        <v/>
      </c>
      <c r="BJ565" s="19" t="str">
        <f t="shared" si="43"/>
        <v/>
      </c>
      <c r="BK565" s="41"/>
      <c r="BL565" s="41"/>
    </row>
    <row r="566" spans="1:64" ht="15">
      <c r="A566" s="4"/>
      <c r="B566" s="4"/>
      <c r="G566" s="5" t="str">
        <f ca="1">IFERROR(__xludf.DUMMYFUNCTION("IFERROR(VLOOKUP(F583,IMPORTRANGE(""https://docs.google.com/spreadsheets/d/1Kvs4KS76FHFqLFIZfrDMff4kP08nblUkihrxltoGBjg/edit#gid=934712705"",""ESENCIAL!A6:BG""),3,FALSE))"),"")</f>
        <v/>
      </c>
      <c r="H566" s="5" t="str">
        <f ca="1">IFERROR(__xludf.DUMMYFUNCTION("IFERROR(VLOOKUP(F583,IMPORTRANGE(""https://docs.google.com/spreadsheets/d/1Kvs4KS76FHFqLFIZfrDMff4kP08nblUkihrxltoGBjg/edit#gid=934712705"",""ESENCIAL!A6:BG""),8,FALSE))"),"")</f>
        <v/>
      </c>
      <c r="L566" s="287"/>
      <c r="S566"/>
      <c r="AU566" s="41" t="str">
        <f t="shared" si="40"/>
        <v/>
      </c>
      <c r="AV566" s="5" t="str">
        <f ca="1">IFERROR(__xludf.DUMMYFUNCTION("IFERROR(VLOOKUP(E583&amp;F583,IMPORTRANGE(""https://docs.google.com/spreadsheets/d/1Uw7-A9f9R21vMXxHZFNpYNeKFtG8_yji4HS352LGlSQ/edit?pli=1#gid=0"",""1_ACUM!A4:S""),11,FALSE))"),"")</f>
        <v/>
      </c>
      <c r="AW566" s="42" t="str">
        <f ca="1">IFERROR(__xludf.DUMMYFUNCTION("IFERROR(VLOOKUP(F583,IMPORTRANGE(""https://docs.google.com/spreadsheets/d/1Kvs4KS76FHFqLFIZfrDMff4kP08nblUkihrxltoGBjg/edit#gid=934712705"",""ESENCIAL!A6:BG""),15,FALSE))"),"")</f>
        <v/>
      </c>
      <c r="AX566" s="21" t="str">
        <f ca="1">IFERROR(__xludf.DUMMYFUNCTION("IFERROR(VLOOKUP(E583&amp;F583,IMPORTRANGE(""https://docs.google.com/spreadsheets/d/1Uw7-A9f9R21vMXxHZFNpYNeKFtG8_yji4HS352LGlSQ/edit?pli=1#gid=0"",""1_ACUM!A4:S""),12,FALSE))"),"")</f>
        <v/>
      </c>
      <c r="AY566" s="43" t="str">
        <f ca="1">IFERROR(__xludf.DUMMYFUNCTION("IFERROR(VLOOKUP(E583&amp;F583,IMPORTRANGE(""https://docs.google.com/spreadsheets/d/1Uw7-A9f9R21vMXxHZFNpYNeKFtG8_yji4HS352LGlSQ/edit?pli=1#gid=0"",""1_ACUM!A4:S""),13,FALSE))"),"")</f>
        <v/>
      </c>
      <c r="AZ566" s="43" t="str">
        <f ca="1">IFERROR(__xludf.DUMMYFUNCTION("IFERROR(VLOOKUP(E583&amp;F583,IMPORTRANGE(""https://docs.google.com/spreadsheets/d/1Uw7-A9f9R21vMXxHZFNpYNeKFtG8_yji4HS352LGlSQ/edit?pli=1#gid=0"",""1_ACUM!A4:S""),14,FALSE))"),"")</f>
        <v/>
      </c>
      <c r="BA566" s="43" t="str">
        <f ca="1">IFERROR(__xludf.DUMMYFUNCTION("IFERROR(VLOOKUP(E583&amp;F583,IMPORTRANGE(""https://docs.google.com/spreadsheets/d/1Uw7-A9f9R21vMXxHZFNpYNeKFtG8_yji4HS352LGlSQ/edit?pli=1#gid=0"",""1_ACUM!A4:S""),15,FALSE))"),"")</f>
        <v/>
      </c>
      <c r="BB566" s="43" t="str">
        <f ca="1">IFERROR(__xludf.DUMMYFUNCTION("IFERROR(VLOOKUP(E583&amp;F583,IMPORTRANGE(""https://docs.google.com/spreadsheets/d/1Uw7-A9f9R21vMXxHZFNpYNeKFtG8_yji4HS352LGlSQ/edit?pli=1#gid=0"",""1_ACUM!A4:S""),16,FALSE))"),"")</f>
        <v/>
      </c>
      <c r="BC566" s="43" t="str">
        <f ca="1">IFERROR(__xludf.DUMMYFUNCTION("IFERROR(VLOOKUP(E583&amp;F583,IMPORTRANGE(""https://docs.google.com/spreadsheets/d/1Uw7-A9f9R21vMXxHZFNpYNeKFtG8_yji4HS352LGlSQ/edit?pli=1#gid=0"",""1_ACUM!A4:S""),17,FALSE))"),"")</f>
        <v/>
      </c>
      <c r="BD566" s="44" t="str">
        <f ca="1">IFERROR(__xludf.DUMMYFUNCTION("IFERROR(VLOOKUP(E583&amp;F583,IMPORTRANGE(""https://docs.google.com/spreadsheets/d/1Uw7-A9f9R21vMXxHZFNpYNeKFtG8_yji4HS352LGlSQ/edit?pli=1#gid=0"",""1_ACUM!A4:S""),18,FALSE))"),"")</f>
        <v/>
      </c>
      <c r="BE566" s="44" t="str">
        <f ca="1">IFERROR(__xludf.DUMMYFUNCTION("IFERROR(VLOOKUP(E583&amp;F583,IMPORTRANGE(""https://docs.google.com/spreadsheets/d/1Uw7-A9f9R21vMXxHZFNpYNeKFtG8_yji4HS352LGlSQ/edit?pli=1#gid=0"",""1_ACUM!A4:S""),19,FALSE))"),"")</f>
        <v/>
      </c>
      <c r="BF566" s="44" t="str">
        <f ca="1">IFERROR(__xludf.DUMMYFUNCTION("IFERROR(VLOOKUP(F583,IMPORTRANGE(""https://docs.google.com/spreadsheets/d/1Kvs4KS76FHFqLFIZfrDMff4kP08nblUkihrxltoGBjg/edit#gid=934712705"",""ESENCIAL!A6:BG""),5,FALSE))"),"")</f>
        <v/>
      </c>
      <c r="BG566" s="44" t="str">
        <f t="shared" si="41"/>
        <v/>
      </c>
      <c r="BH566" s="41" t="str">
        <f t="shared" si="42"/>
        <v/>
      </c>
      <c r="BI566" s="41" t="str">
        <f ca="1">IFERROR(__xludf.DUMMYFUNCTION("IFERROR(VLOOKUP(F583,IMPORTRANGE(""https://docs.google.com/spreadsheets/d/1Kvs4KS76FHFqLFIZfrDMff4kP08nblUkihrxltoGBjg/edit#gid=934712705"",""ESENCIAL!A6:BG""),18,FALSE))"),"")</f>
        <v/>
      </c>
      <c r="BJ566" s="19" t="str">
        <f t="shared" si="43"/>
        <v/>
      </c>
      <c r="BK566" s="41"/>
      <c r="BL566" s="41"/>
    </row>
    <row r="567" spans="1:64" ht="15">
      <c r="A567" s="4"/>
      <c r="B567" s="4"/>
      <c r="G567" s="5" t="str">
        <f ca="1">IFERROR(__xludf.DUMMYFUNCTION("IFERROR(VLOOKUP(F584,IMPORTRANGE(""https://docs.google.com/spreadsheets/d/1Kvs4KS76FHFqLFIZfrDMff4kP08nblUkihrxltoGBjg/edit#gid=934712705"",""ESENCIAL!A6:BG""),3,FALSE))"),"")</f>
        <v/>
      </c>
      <c r="H567" s="5" t="str">
        <f ca="1">IFERROR(__xludf.DUMMYFUNCTION("IFERROR(VLOOKUP(F584,IMPORTRANGE(""https://docs.google.com/spreadsheets/d/1Kvs4KS76FHFqLFIZfrDMff4kP08nblUkihrxltoGBjg/edit#gid=934712705"",""ESENCIAL!A6:BG""),8,FALSE))"),"")</f>
        <v/>
      </c>
      <c r="L567" s="287"/>
      <c r="S567"/>
      <c r="AU567" s="41" t="str">
        <f t="shared" si="40"/>
        <v/>
      </c>
      <c r="AV567" s="5" t="str">
        <f ca="1">IFERROR(__xludf.DUMMYFUNCTION("IFERROR(VLOOKUP(E584&amp;F584,IMPORTRANGE(""https://docs.google.com/spreadsheets/d/1Uw7-A9f9R21vMXxHZFNpYNeKFtG8_yji4HS352LGlSQ/edit?pli=1#gid=0"",""1_ACUM!A4:S""),11,FALSE))"),"")</f>
        <v/>
      </c>
      <c r="AW567" s="42" t="str">
        <f ca="1">IFERROR(__xludf.DUMMYFUNCTION("IFERROR(VLOOKUP(F584,IMPORTRANGE(""https://docs.google.com/spreadsheets/d/1Kvs4KS76FHFqLFIZfrDMff4kP08nblUkihrxltoGBjg/edit#gid=934712705"",""ESENCIAL!A6:BG""),15,FALSE))"),"")</f>
        <v/>
      </c>
      <c r="AX567" s="21" t="str">
        <f ca="1">IFERROR(__xludf.DUMMYFUNCTION("IFERROR(VLOOKUP(E584&amp;F584,IMPORTRANGE(""https://docs.google.com/spreadsheets/d/1Uw7-A9f9R21vMXxHZFNpYNeKFtG8_yji4HS352LGlSQ/edit?pli=1#gid=0"",""1_ACUM!A4:S""),12,FALSE))"),"")</f>
        <v/>
      </c>
      <c r="AY567" s="43" t="str">
        <f ca="1">IFERROR(__xludf.DUMMYFUNCTION("IFERROR(VLOOKUP(E584&amp;F584,IMPORTRANGE(""https://docs.google.com/spreadsheets/d/1Uw7-A9f9R21vMXxHZFNpYNeKFtG8_yji4HS352LGlSQ/edit?pli=1#gid=0"",""1_ACUM!A4:S""),13,FALSE))"),"")</f>
        <v/>
      </c>
      <c r="AZ567" s="43" t="str">
        <f ca="1">IFERROR(__xludf.DUMMYFUNCTION("IFERROR(VLOOKUP(E584&amp;F584,IMPORTRANGE(""https://docs.google.com/spreadsheets/d/1Uw7-A9f9R21vMXxHZFNpYNeKFtG8_yji4HS352LGlSQ/edit?pli=1#gid=0"",""1_ACUM!A4:S""),14,FALSE))"),"")</f>
        <v/>
      </c>
      <c r="BA567" s="43" t="str">
        <f ca="1">IFERROR(__xludf.DUMMYFUNCTION("IFERROR(VLOOKUP(E584&amp;F584,IMPORTRANGE(""https://docs.google.com/spreadsheets/d/1Uw7-A9f9R21vMXxHZFNpYNeKFtG8_yji4HS352LGlSQ/edit?pli=1#gid=0"",""1_ACUM!A4:S""),15,FALSE))"),"")</f>
        <v/>
      </c>
      <c r="BB567" s="43" t="str">
        <f ca="1">IFERROR(__xludf.DUMMYFUNCTION("IFERROR(VLOOKUP(E584&amp;F584,IMPORTRANGE(""https://docs.google.com/spreadsheets/d/1Uw7-A9f9R21vMXxHZFNpYNeKFtG8_yji4HS352LGlSQ/edit?pli=1#gid=0"",""1_ACUM!A4:S""),16,FALSE))"),"")</f>
        <v/>
      </c>
      <c r="BC567" s="43" t="str">
        <f ca="1">IFERROR(__xludf.DUMMYFUNCTION("IFERROR(VLOOKUP(E584&amp;F584,IMPORTRANGE(""https://docs.google.com/spreadsheets/d/1Uw7-A9f9R21vMXxHZFNpYNeKFtG8_yji4HS352LGlSQ/edit?pli=1#gid=0"",""1_ACUM!A4:S""),17,FALSE))"),"")</f>
        <v/>
      </c>
      <c r="BD567" s="44" t="str">
        <f ca="1">IFERROR(__xludf.DUMMYFUNCTION("IFERROR(VLOOKUP(E584&amp;F584,IMPORTRANGE(""https://docs.google.com/spreadsheets/d/1Uw7-A9f9R21vMXxHZFNpYNeKFtG8_yji4HS352LGlSQ/edit?pli=1#gid=0"",""1_ACUM!A4:S""),18,FALSE))"),"")</f>
        <v/>
      </c>
      <c r="BE567" s="44" t="str">
        <f ca="1">IFERROR(__xludf.DUMMYFUNCTION("IFERROR(VLOOKUP(E584&amp;F584,IMPORTRANGE(""https://docs.google.com/spreadsheets/d/1Uw7-A9f9R21vMXxHZFNpYNeKFtG8_yji4HS352LGlSQ/edit?pli=1#gid=0"",""1_ACUM!A4:S""),19,FALSE))"),"")</f>
        <v/>
      </c>
      <c r="BF567" s="44" t="str">
        <f ca="1">IFERROR(__xludf.DUMMYFUNCTION("IFERROR(VLOOKUP(F584,IMPORTRANGE(""https://docs.google.com/spreadsheets/d/1Kvs4KS76FHFqLFIZfrDMff4kP08nblUkihrxltoGBjg/edit#gid=934712705"",""ESENCIAL!A6:BG""),5,FALSE))"),"")</f>
        <v/>
      </c>
      <c r="BG567" s="44" t="str">
        <f t="shared" si="41"/>
        <v/>
      </c>
      <c r="BH567" s="41" t="str">
        <f t="shared" si="42"/>
        <v/>
      </c>
      <c r="BI567" s="41" t="str">
        <f ca="1">IFERROR(__xludf.DUMMYFUNCTION("IFERROR(VLOOKUP(F584,IMPORTRANGE(""https://docs.google.com/spreadsheets/d/1Kvs4KS76FHFqLFIZfrDMff4kP08nblUkihrxltoGBjg/edit#gid=934712705"",""ESENCIAL!A6:BG""),18,FALSE))"),"")</f>
        <v/>
      </c>
      <c r="BJ567" s="19" t="str">
        <f t="shared" si="43"/>
        <v/>
      </c>
      <c r="BK567" s="41"/>
      <c r="BL567" s="41"/>
    </row>
    <row r="568" spans="1:64" ht="15">
      <c r="A568" s="4"/>
      <c r="B568" s="4"/>
      <c r="G568" s="5" t="str">
        <f ca="1">IFERROR(__xludf.DUMMYFUNCTION("IFERROR(VLOOKUP(F585,IMPORTRANGE(""https://docs.google.com/spreadsheets/d/1Kvs4KS76FHFqLFIZfrDMff4kP08nblUkihrxltoGBjg/edit#gid=934712705"",""ESENCIAL!A6:BG""),3,FALSE))"),"")</f>
        <v/>
      </c>
      <c r="H568" s="5" t="str">
        <f ca="1">IFERROR(__xludf.DUMMYFUNCTION("IFERROR(VLOOKUP(F585,IMPORTRANGE(""https://docs.google.com/spreadsheets/d/1Kvs4KS76FHFqLFIZfrDMff4kP08nblUkihrxltoGBjg/edit#gid=934712705"",""ESENCIAL!A6:BG""),8,FALSE))"),"")</f>
        <v/>
      </c>
      <c r="L568" s="287"/>
      <c r="S568"/>
      <c r="AU568" s="41" t="str">
        <f t="shared" si="40"/>
        <v/>
      </c>
      <c r="AV568" s="5" t="str">
        <f ca="1">IFERROR(__xludf.DUMMYFUNCTION("IFERROR(VLOOKUP(E585&amp;F585,IMPORTRANGE(""https://docs.google.com/spreadsheets/d/1Uw7-A9f9R21vMXxHZFNpYNeKFtG8_yji4HS352LGlSQ/edit?pli=1#gid=0"",""1_ACUM!A4:S""),11,FALSE))"),"")</f>
        <v/>
      </c>
      <c r="AW568" s="42" t="str">
        <f ca="1">IFERROR(__xludf.DUMMYFUNCTION("IFERROR(VLOOKUP(F585,IMPORTRANGE(""https://docs.google.com/spreadsheets/d/1Kvs4KS76FHFqLFIZfrDMff4kP08nblUkihrxltoGBjg/edit#gid=934712705"",""ESENCIAL!A6:BG""),15,FALSE))"),"")</f>
        <v/>
      </c>
      <c r="AX568" s="21" t="str">
        <f ca="1">IFERROR(__xludf.DUMMYFUNCTION("IFERROR(VLOOKUP(E585&amp;F585,IMPORTRANGE(""https://docs.google.com/spreadsheets/d/1Uw7-A9f9R21vMXxHZFNpYNeKFtG8_yji4HS352LGlSQ/edit?pli=1#gid=0"",""1_ACUM!A4:S""),12,FALSE))"),"")</f>
        <v/>
      </c>
      <c r="AY568" s="43" t="str">
        <f ca="1">IFERROR(__xludf.DUMMYFUNCTION("IFERROR(VLOOKUP(E585&amp;F585,IMPORTRANGE(""https://docs.google.com/spreadsheets/d/1Uw7-A9f9R21vMXxHZFNpYNeKFtG8_yji4HS352LGlSQ/edit?pli=1#gid=0"",""1_ACUM!A4:S""),13,FALSE))"),"")</f>
        <v/>
      </c>
      <c r="AZ568" s="43" t="str">
        <f ca="1">IFERROR(__xludf.DUMMYFUNCTION("IFERROR(VLOOKUP(E585&amp;F585,IMPORTRANGE(""https://docs.google.com/spreadsheets/d/1Uw7-A9f9R21vMXxHZFNpYNeKFtG8_yji4HS352LGlSQ/edit?pli=1#gid=0"",""1_ACUM!A4:S""),14,FALSE))"),"")</f>
        <v/>
      </c>
      <c r="BA568" s="43" t="str">
        <f ca="1">IFERROR(__xludf.DUMMYFUNCTION("IFERROR(VLOOKUP(E585&amp;F585,IMPORTRANGE(""https://docs.google.com/spreadsheets/d/1Uw7-A9f9R21vMXxHZFNpYNeKFtG8_yji4HS352LGlSQ/edit?pli=1#gid=0"",""1_ACUM!A4:S""),15,FALSE))"),"")</f>
        <v/>
      </c>
      <c r="BB568" s="43" t="str">
        <f ca="1">IFERROR(__xludf.DUMMYFUNCTION("IFERROR(VLOOKUP(E585&amp;F585,IMPORTRANGE(""https://docs.google.com/spreadsheets/d/1Uw7-A9f9R21vMXxHZFNpYNeKFtG8_yji4HS352LGlSQ/edit?pli=1#gid=0"",""1_ACUM!A4:S""),16,FALSE))"),"")</f>
        <v/>
      </c>
      <c r="BC568" s="43" t="str">
        <f ca="1">IFERROR(__xludf.DUMMYFUNCTION("IFERROR(VLOOKUP(E585&amp;F585,IMPORTRANGE(""https://docs.google.com/spreadsheets/d/1Uw7-A9f9R21vMXxHZFNpYNeKFtG8_yji4HS352LGlSQ/edit?pli=1#gid=0"",""1_ACUM!A4:S""),17,FALSE))"),"")</f>
        <v/>
      </c>
      <c r="BD568" s="44" t="str">
        <f ca="1">IFERROR(__xludf.DUMMYFUNCTION("IFERROR(VLOOKUP(E585&amp;F585,IMPORTRANGE(""https://docs.google.com/spreadsheets/d/1Uw7-A9f9R21vMXxHZFNpYNeKFtG8_yji4HS352LGlSQ/edit?pli=1#gid=0"",""1_ACUM!A4:S""),18,FALSE))"),"")</f>
        <v/>
      </c>
      <c r="BE568" s="44" t="str">
        <f ca="1">IFERROR(__xludf.DUMMYFUNCTION("IFERROR(VLOOKUP(E585&amp;F585,IMPORTRANGE(""https://docs.google.com/spreadsheets/d/1Uw7-A9f9R21vMXxHZFNpYNeKFtG8_yji4HS352LGlSQ/edit?pli=1#gid=0"",""1_ACUM!A4:S""),19,FALSE))"),"")</f>
        <v/>
      </c>
      <c r="BF568" s="44" t="str">
        <f ca="1">IFERROR(__xludf.DUMMYFUNCTION("IFERROR(VLOOKUP(F585,IMPORTRANGE(""https://docs.google.com/spreadsheets/d/1Kvs4KS76FHFqLFIZfrDMff4kP08nblUkihrxltoGBjg/edit#gid=934712705"",""ESENCIAL!A6:BG""),5,FALSE))"),"")</f>
        <v/>
      </c>
      <c r="BG568" s="44" t="str">
        <f t="shared" si="41"/>
        <v/>
      </c>
      <c r="BH568" s="41" t="str">
        <f t="shared" si="42"/>
        <v/>
      </c>
      <c r="BI568" s="41" t="str">
        <f ca="1">IFERROR(__xludf.DUMMYFUNCTION("IFERROR(VLOOKUP(F585,IMPORTRANGE(""https://docs.google.com/spreadsheets/d/1Kvs4KS76FHFqLFIZfrDMff4kP08nblUkihrxltoGBjg/edit#gid=934712705"",""ESENCIAL!A6:BG""),18,FALSE))"),"")</f>
        <v/>
      </c>
      <c r="BJ568" s="19" t="str">
        <f t="shared" si="43"/>
        <v/>
      </c>
      <c r="BK568" s="41"/>
      <c r="BL568" s="41"/>
    </row>
    <row r="569" spans="1:64" ht="15">
      <c r="A569" s="4"/>
      <c r="B569" s="4"/>
      <c r="G569" s="5" t="str">
        <f ca="1">IFERROR(__xludf.DUMMYFUNCTION("IFERROR(VLOOKUP(F586,IMPORTRANGE(""https://docs.google.com/spreadsheets/d/1Kvs4KS76FHFqLFIZfrDMff4kP08nblUkihrxltoGBjg/edit#gid=934712705"",""ESENCIAL!A6:BG""),3,FALSE))"),"")</f>
        <v/>
      </c>
      <c r="H569" s="5" t="str">
        <f ca="1">IFERROR(__xludf.DUMMYFUNCTION("IFERROR(VLOOKUP(F586,IMPORTRANGE(""https://docs.google.com/spreadsheets/d/1Kvs4KS76FHFqLFIZfrDMff4kP08nblUkihrxltoGBjg/edit#gid=934712705"",""ESENCIAL!A6:BG""),8,FALSE))"),"")</f>
        <v/>
      </c>
      <c r="L569" s="287"/>
      <c r="S569"/>
      <c r="AU569" s="41" t="str">
        <f t="shared" si="40"/>
        <v/>
      </c>
      <c r="AV569" s="5" t="str">
        <f ca="1">IFERROR(__xludf.DUMMYFUNCTION("IFERROR(VLOOKUP(E586&amp;F586,IMPORTRANGE(""https://docs.google.com/spreadsheets/d/1Uw7-A9f9R21vMXxHZFNpYNeKFtG8_yji4HS352LGlSQ/edit?pli=1#gid=0"",""1_ACUM!A4:S""),11,FALSE))"),"")</f>
        <v/>
      </c>
      <c r="AW569" s="42" t="str">
        <f ca="1">IFERROR(__xludf.DUMMYFUNCTION("IFERROR(VLOOKUP(F586,IMPORTRANGE(""https://docs.google.com/spreadsheets/d/1Kvs4KS76FHFqLFIZfrDMff4kP08nblUkihrxltoGBjg/edit#gid=934712705"",""ESENCIAL!A6:BG""),15,FALSE))"),"")</f>
        <v/>
      </c>
      <c r="AX569" s="21" t="str">
        <f ca="1">IFERROR(__xludf.DUMMYFUNCTION("IFERROR(VLOOKUP(E586&amp;F586,IMPORTRANGE(""https://docs.google.com/spreadsheets/d/1Uw7-A9f9R21vMXxHZFNpYNeKFtG8_yji4HS352LGlSQ/edit?pli=1#gid=0"",""1_ACUM!A4:S""),12,FALSE))"),"")</f>
        <v/>
      </c>
      <c r="AY569" s="43" t="str">
        <f ca="1">IFERROR(__xludf.DUMMYFUNCTION("IFERROR(VLOOKUP(E586&amp;F586,IMPORTRANGE(""https://docs.google.com/spreadsheets/d/1Uw7-A9f9R21vMXxHZFNpYNeKFtG8_yji4HS352LGlSQ/edit?pli=1#gid=0"",""1_ACUM!A4:S""),13,FALSE))"),"")</f>
        <v/>
      </c>
      <c r="AZ569" s="43" t="str">
        <f ca="1">IFERROR(__xludf.DUMMYFUNCTION("IFERROR(VLOOKUP(E586&amp;F586,IMPORTRANGE(""https://docs.google.com/spreadsheets/d/1Uw7-A9f9R21vMXxHZFNpYNeKFtG8_yji4HS352LGlSQ/edit?pli=1#gid=0"",""1_ACUM!A4:S""),14,FALSE))"),"")</f>
        <v/>
      </c>
      <c r="BA569" s="43" t="str">
        <f ca="1">IFERROR(__xludf.DUMMYFUNCTION("IFERROR(VLOOKUP(E586&amp;F586,IMPORTRANGE(""https://docs.google.com/spreadsheets/d/1Uw7-A9f9R21vMXxHZFNpYNeKFtG8_yji4HS352LGlSQ/edit?pli=1#gid=0"",""1_ACUM!A4:S""),15,FALSE))"),"")</f>
        <v/>
      </c>
      <c r="BB569" s="43" t="str">
        <f ca="1">IFERROR(__xludf.DUMMYFUNCTION("IFERROR(VLOOKUP(E586&amp;F586,IMPORTRANGE(""https://docs.google.com/spreadsheets/d/1Uw7-A9f9R21vMXxHZFNpYNeKFtG8_yji4HS352LGlSQ/edit?pli=1#gid=0"",""1_ACUM!A4:S""),16,FALSE))"),"")</f>
        <v/>
      </c>
      <c r="BC569" s="43" t="str">
        <f ca="1">IFERROR(__xludf.DUMMYFUNCTION("IFERROR(VLOOKUP(E586&amp;F586,IMPORTRANGE(""https://docs.google.com/spreadsheets/d/1Uw7-A9f9R21vMXxHZFNpYNeKFtG8_yji4HS352LGlSQ/edit?pli=1#gid=0"",""1_ACUM!A4:S""),17,FALSE))"),"")</f>
        <v/>
      </c>
      <c r="BD569" s="44" t="str">
        <f ca="1">IFERROR(__xludf.DUMMYFUNCTION("IFERROR(VLOOKUP(E586&amp;F586,IMPORTRANGE(""https://docs.google.com/spreadsheets/d/1Uw7-A9f9R21vMXxHZFNpYNeKFtG8_yji4HS352LGlSQ/edit?pli=1#gid=0"",""1_ACUM!A4:S""),18,FALSE))"),"")</f>
        <v/>
      </c>
      <c r="BE569" s="44" t="str">
        <f ca="1">IFERROR(__xludf.DUMMYFUNCTION("IFERROR(VLOOKUP(E586&amp;F586,IMPORTRANGE(""https://docs.google.com/spreadsheets/d/1Uw7-A9f9R21vMXxHZFNpYNeKFtG8_yji4HS352LGlSQ/edit?pli=1#gid=0"",""1_ACUM!A4:S""),19,FALSE))"),"")</f>
        <v/>
      </c>
      <c r="BF569" s="44" t="str">
        <f ca="1">IFERROR(__xludf.DUMMYFUNCTION("IFERROR(VLOOKUP(F586,IMPORTRANGE(""https://docs.google.com/spreadsheets/d/1Kvs4KS76FHFqLFIZfrDMff4kP08nblUkihrxltoGBjg/edit#gid=934712705"",""ESENCIAL!A6:BG""),5,FALSE))"),"")</f>
        <v/>
      </c>
      <c r="BG569" s="44" t="str">
        <f t="shared" si="41"/>
        <v/>
      </c>
      <c r="BH569" s="41" t="str">
        <f t="shared" si="42"/>
        <v/>
      </c>
      <c r="BI569" s="41" t="str">
        <f ca="1">IFERROR(__xludf.DUMMYFUNCTION("IFERROR(VLOOKUP(F586,IMPORTRANGE(""https://docs.google.com/spreadsheets/d/1Kvs4KS76FHFqLFIZfrDMff4kP08nblUkihrxltoGBjg/edit#gid=934712705"",""ESENCIAL!A6:BG""),18,FALSE))"),"")</f>
        <v/>
      </c>
      <c r="BJ569" s="19" t="str">
        <f t="shared" si="43"/>
        <v/>
      </c>
      <c r="BK569" s="41"/>
      <c r="BL569" s="41"/>
    </row>
    <row r="570" spans="1:64" ht="15">
      <c r="A570" s="4"/>
      <c r="B570" s="4"/>
      <c r="G570" s="5" t="str">
        <f ca="1">IFERROR(__xludf.DUMMYFUNCTION("IFERROR(VLOOKUP(F587,IMPORTRANGE(""https://docs.google.com/spreadsheets/d/1Kvs4KS76FHFqLFIZfrDMff4kP08nblUkihrxltoGBjg/edit#gid=934712705"",""ESENCIAL!A6:BG""),3,FALSE))"),"")</f>
        <v/>
      </c>
      <c r="H570" s="5" t="str">
        <f ca="1">IFERROR(__xludf.DUMMYFUNCTION("IFERROR(VLOOKUP(F587,IMPORTRANGE(""https://docs.google.com/spreadsheets/d/1Kvs4KS76FHFqLFIZfrDMff4kP08nblUkihrxltoGBjg/edit#gid=934712705"",""ESENCIAL!A6:BG""),8,FALSE))"),"")</f>
        <v/>
      </c>
      <c r="L570" s="287"/>
      <c r="S570"/>
      <c r="AU570" s="41" t="str">
        <f t="shared" si="40"/>
        <v/>
      </c>
      <c r="AV570" s="5" t="str">
        <f ca="1">IFERROR(__xludf.DUMMYFUNCTION("IFERROR(VLOOKUP(E587&amp;F587,IMPORTRANGE(""https://docs.google.com/spreadsheets/d/1Uw7-A9f9R21vMXxHZFNpYNeKFtG8_yji4HS352LGlSQ/edit?pli=1#gid=0"",""1_ACUM!A4:S""),11,FALSE))"),"")</f>
        <v/>
      </c>
      <c r="AW570" s="42" t="str">
        <f ca="1">IFERROR(__xludf.DUMMYFUNCTION("IFERROR(VLOOKUP(F587,IMPORTRANGE(""https://docs.google.com/spreadsheets/d/1Kvs4KS76FHFqLFIZfrDMff4kP08nblUkihrxltoGBjg/edit#gid=934712705"",""ESENCIAL!A6:BG""),15,FALSE))"),"")</f>
        <v/>
      </c>
      <c r="AX570" s="21" t="str">
        <f ca="1">IFERROR(__xludf.DUMMYFUNCTION("IFERROR(VLOOKUP(E587&amp;F587,IMPORTRANGE(""https://docs.google.com/spreadsheets/d/1Uw7-A9f9R21vMXxHZFNpYNeKFtG8_yji4HS352LGlSQ/edit?pli=1#gid=0"",""1_ACUM!A4:S""),12,FALSE))"),"")</f>
        <v/>
      </c>
      <c r="AY570" s="43" t="str">
        <f ca="1">IFERROR(__xludf.DUMMYFUNCTION("IFERROR(VLOOKUP(E587&amp;F587,IMPORTRANGE(""https://docs.google.com/spreadsheets/d/1Uw7-A9f9R21vMXxHZFNpYNeKFtG8_yji4HS352LGlSQ/edit?pli=1#gid=0"",""1_ACUM!A4:S""),13,FALSE))"),"")</f>
        <v/>
      </c>
      <c r="AZ570" s="43" t="str">
        <f ca="1">IFERROR(__xludf.DUMMYFUNCTION("IFERROR(VLOOKUP(E587&amp;F587,IMPORTRANGE(""https://docs.google.com/spreadsheets/d/1Uw7-A9f9R21vMXxHZFNpYNeKFtG8_yji4HS352LGlSQ/edit?pli=1#gid=0"",""1_ACUM!A4:S""),14,FALSE))"),"")</f>
        <v/>
      </c>
      <c r="BA570" s="43" t="str">
        <f ca="1">IFERROR(__xludf.DUMMYFUNCTION("IFERROR(VLOOKUP(E587&amp;F587,IMPORTRANGE(""https://docs.google.com/spreadsheets/d/1Uw7-A9f9R21vMXxHZFNpYNeKFtG8_yji4HS352LGlSQ/edit?pli=1#gid=0"",""1_ACUM!A4:S""),15,FALSE))"),"")</f>
        <v/>
      </c>
      <c r="BB570" s="43" t="str">
        <f ca="1">IFERROR(__xludf.DUMMYFUNCTION("IFERROR(VLOOKUP(E587&amp;F587,IMPORTRANGE(""https://docs.google.com/spreadsheets/d/1Uw7-A9f9R21vMXxHZFNpYNeKFtG8_yji4HS352LGlSQ/edit?pli=1#gid=0"",""1_ACUM!A4:S""),16,FALSE))"),"")</f>
        <v/>
      </c>
      <c r="BC570" s="43" t="str">
        <f ca="1">IFERROR(__xludf.DUMMYFUNCTION("IFERROR(VLOOKUP(E587&amp;F587,IMPORTRANGE(""https://docs.google.com/spreadsheets/d/1Uw7-A9f9R21vMXxHZFNpYNeKFtG8_yji4HS352LGlSQ/edit?pli=1#gid=0"",""1_ACUM!A4:S""),17,FALSE))"),"")</f>
        <v/>
      </c>
      <c r="BD570" s="44" t="str">
        <f ca="1">IFERROR(__xludf.DUMMYFUNCTION("IFERROR(VLOOKUP(E587&amp;F587,IMPORTRANGE(""https://docs.google.com/spreadsheets/d/1Uw7-A9f9R21vMXxHZFNpYNeKFtG8_yji4HS352LGlSQ/edit?pli=1#gid=0"",""1_ACUM!A4:S""),18,FALSE))"),"")</f>
        <v/>
      </c>
      <c r="BE570" s="44" t="str">
        <f ca="1">IFERROR(__xludf.DUMMYFUNCTION("IFERROR(VLOOKUP(E587&amp;F587,IMPORTRANGE(""https://docs.google.com/spreadsheets/d/1Uw7-A9f9R21vMXxHZFNpYNeKFtG8_yji4HS352LGlSQ/edit?pli=1#gid=0"",""1_ACUM!A4:S""),19,FALSE))"),"")</f>
        <v/>
      </c>
      <c r="BF570" s="44" t="str">
        <f ca="1">IFERROR(__xludf.DUMMYFUNCTION("IFERROR(VLOOKUP(F587,IMPORTRANGE(""https://docs.google.com/spreadsheets/d/1Kvs4KS76FHFqLFIZfrDMff4kP08nblUkihrxltoGBjg/edit#gid=934712705"",""ESENCIAL!A6:BG""),5,FALSE))"),"")</f>
        <v/>
      </c>
      <c r="BG570" s="44" t="str">
        <f t="shared" si="41"/>
        <v/>
      </c>
      <c r="BH570" s="41" t="str">
        <f t="shared" si="42"/>
        <v/>
      </c>
      <c r="BI570" s="41" t="str">
        <f ca="1">IFERROR(__xludf.DUMMYFUNCTION("IFERROR(VLOOKUP(F587,IMPORTRANGE(""https://docs.google.com/spreadsheets/d/1Kvs4KS76FHFqLFIZfrDMff4kP08nblUkihrxltoGBjg/edit#gid=934712705"",""ESENCIAL!A6:BG""),18,FALSE))"),"")</f>
        <v/>
      </c>
      <c r="BJ570" s="19" t="str">
        <f t="shared" si="43"/>
        <v/>
      </c>
      <c r="BK570" s="41"/>
      <c r="BL570" s="41"/>
    </row>
    <row r="571" spans="1:64" ht="15">
      <c r="A571" s="4"/>
      <c r="B571" s="4"/>
      <c r="G571" s="5" t="str">
        <f ca="1">IFERROR(__xludf.DUMMYFUNCTION("IFERROR(VLOOKUP(F588,IMPORTRANGE(""https://docs.google.com/spreadsheets/d/1Kvs4KS76FHFqLFIZfrDMff4kP08nblUkihrxltoGBjg/edit#gid=934712705"",""ESENCIAL!A6:BG""),3,FALSE))"),"")</f>
        <v/>
      </c>
      <c r="H571" s="5" t="str">
        <f ca="1">IFERROR(__xludf.DUMMYFUNCTION("IFERROR(VLOOKUP(F588,IMPORTRANGE(""https://docs.google.com/spreadsheets/d/1Kvs4KS76FHFqLFIZfrDMff4kP08nblUkihrxltoGBjg/edit#gid=934712705"",""ESENCIAL!A6:BG""),8,FALSE))"),"")</f>
        <v/>
      </c>
      <c r="L571" s="287"/>
      <c r="S571"/>
      <c r="AU571" s="41" t="str">
        <f t="shared" si="40"/>
        <v/>
      </c>
      <c r="AV571" s="5" t="str">
        <f ca="1">IFERROR(__xludf.DUMMYFUNCTION("IFERROR(VLOOKUP(E588&amp;F588,IMPORTRANGE(""https://docs.google.com/spreadsheets/d/1Uw7-A9f9R21vMXxHZFNpYNeKFtG8_yji4HS352LGlSQ/edit?pli=1#gid=0"",""1_ACUM!A4:S""),11,FALSE))"),"")</f>
        <v/>
      </c>
      <c r="AW571" s="42" t="str">
        <f ca="1">IFERROR(__xludf.DUMMYFUNCTION("IFERROR(VLOOKUP(F588,IMPORTRANGE(""https://docs.google.com/spreadsheets/d/1Kvs4KS76FHFqLFIZfrDMff4kP08nblUkihrxltoGBjg/edit#gid=934712705"",""ESENCIAL!A6:BG""),15,FALSE))"),"")</f>
        <v/>
      </c>
      <c r="AX571" s="21" t="str">
        <f ca="1">IFERROR(__xludf.DUMMYFUNCTION("IFERROR(VLOOKUP(E588&amp;F588,IMPORTRANGE(""https://docs.google.com/spreadsheets/d/1Uw7-A9f9R21vMXxHZFNpYNeKFtG8_yji4HS352LGlSQ/edit?pli=1#gid=0"",""1_ACUM!A4:S""),12,FALSE))"),"")</f>
        <v/>
      </c>
      <c r="AY571" s="43" t="str">
        <f ca="1">IFERROR(__xludf.DUMMYFUNCTION("IFERROR(VLOOKUP(E588&amp;F588,IMPORTRANGE(""https://docs.google.com/spreadsheets/d/1Uw7-A9f9R21vMXxHZFNpYNeKFtG8_yji4HS352LGlSQ/edit?pli=1#gid=0"",""1_ACUM!A4:S""),13,FALSE))"),"")</f>
        <v/>
      </c>
      <c r="AZ571" s="43" t="str">
        <f ca="1">IFERROR(__xludf.DUMMYFUNCTION("IFERROR(VLOOKUP(E588&amp;F588,IMPORTRANGE(""https://docs.google.com/spreadsheets/d/1Uw7-A9f9R21vMXxHZFNpYNeKFtG8_yji4HS352LGlSQ/edit?pli=1#gid=0"",""1_ACUM!A4:S""),14,FALSE))"),"")</f>
        <v/>
      </c>
      <c r="BA571" s="43" t="str">
        <f ca="1">IFERROR(__xludf.DUMMYFUNCTION("IFERROR(VLOOKUP(E588&amp;F588,IMPORTRANGE(""https://docs.google.com/spreadsheets/d/1Uw7-A9f9R21vMXxHZFNpYNeKFtG8_yji4HS352LGlSQ/edit?pli=1#gid=0"",""1_ACUM!A4:S""),15,FALSE))"),"")</f>
        <v/>
      </c>
      <c r="BB571" s="43" t="str">
        <f ca="1">IFERROR(__xludf.DUMMYFUNCTION("IFERROR(VLOOKUP(E588&amp;F588,IMPORTRANGE(""https://docs.google.com/spreadsheets/d/1Uw7-A9f9R21vMXxHZFNpYNeKFtG8_yji4HS352LGlSQ/edit?pli=1#gid=0"",""1_ACUM!A4:S""),16,FALSE))"),"")</f>
        <v/>
      </c>
      <c r="BC571" s="43" t="str">
        <f ca="1">IFERROR(__xludf.DUMMYFUNCTION("IFERROR(VLOOKUP(E588&amp;F588,IMPORTRANGE(""https://docs.google.com/spreadsheets/d/1Uw7-A9f9R21vMXxHZFNpYNeKFtG8_yji4HS352LGlSQ/edit?pli=1#gid=0"",""1_ACUM!A4:S""),17,FALSE))"),"")</f>
        <v/>
      </c>
      <c r="BD571" s="44" t="str">
        <f ca="1">IFERROR(__xludf.DUMMYFUNCTION("IFERROR(VLOOKUP(E588&amp;F588,IMPORTRANGE(""https://docs.google.com/spreadsheets/d/1Uw7-A9f9R21vMXxHZFNpYNeKFtG8_yji4HS352LGlSQ/edit?pli=1#gid=0"",""1_ACUM!A4:S""),18,FALSE))"),"")</f>
        <v/>
      </c>
      <c r="BE571" s="44" t="str">
        <f ca="1">IFERROR(__xludf.DUMMYFUNCTION("IFERROR(VLOOKUP(E588&amp;F588,IMPORTRANGE(""https://docs.google.com/spreadsheets/d/1Uw7-A9f9R21vMXxHZFNpYNeKFtG8_yji4HS352LGlSQ/edit?pli=1#gid=0"",""1_ACUM!A4:S""),19,FALSE))"),"")</f>
        <v/>
      </c>
      <c r="BF571" s="44" t="str">
        <f ca="1">IFERROR(__xludf.DUMMYFUNCTION("IFERROR(VLOOKUP(F588,IMPORTRANGE(""https://docs.google.com/spreadsheets/d/1Kvs4KS76FHFqLFIZfrDMff4kP08nblUkihrxltoGBjg/edit#gid=934712705"",""ESENCIAL!A6:BG""),5,FALSE))"),"")</f>
        <v/>
      </c>
      <c r="BG571" s="44" t="str">
        <f t="shared" si="41"/>
        <v/>
      </c>
      <c r="BH571" s="41" t="str">
        <f t="shared" si="42"/>
        <v/>
      </c>
      <c r="BI571" s="41" t="str">
        <f ca="1">IFERROR(__xludf.DUMMYFUNCTION("IFERROR(VLOOKUP(F588,IMPORTRANGE(""https://docs.google.com/spreadsheets/d/1Kvs4KS76FHFqLFIZfrDMff4kP08nblUkihrxltoGBjg/edit#gid=934712705"",""ESENCIAL!A6:BG""),18,FALSE))"),"")</f>
        <v/>
      </c>
      <c r="BJ571" s="19" t="str">
        <f t="shared" si="43"/>
        <v/>
      </c>
      <c r="BK571" s="41"/>
      <c r="BL571" s="41"/>
    </row>
    <row r="572" spans="1:64" ht="15">
      <c r="A572" s="4"/>
      <c r="B572" s="4"/>
      <c r="G572" s="5" t="str">
        <f ca="1">IFERROR(__xludf.DUMMYFUNCTION("IFERROR(VLOOKUP(F589,IMPORTRANGE(""https://docs.google.com/spreadsheets/d/1Kvs4KS76FHFqLFIZfrDMff4kP08nblUkihrxltoGBjg/edit#gid=934712705"",""ESENCIAL!A6:BG""),3,FALSE))"),"")</f>
        <v/>
      </c>
      <c r="H572" s="5" t="str">
        <f ca="1">IFERROR(__xludf.DUMMYFUNCTION("IFERROR(VLOOKUP(F589,IMPORTRANGE(""https://docs.google.com/spreadsheets/d/1Kvs4KS76FHFqLFIZfrDMff4kP08nblUkihrxltoGBjg/edit#gid=934712705"",""ESENCIAL!A6:BG""),8,FALSE))"),"")</f>
        <v/>
      </c>
      <c r="L572" s="287"/>
      <c r="S572"/>
      <c r="AU572" s="41" t="str">
        <f t="shared" si="40"/>
        <v/>
      </c>
      <c r="AV572" s="5" t="str">
        <f ca="1">IFERROR(__xludf.DUMMYFUNCTION("IFERROR(VLOOKUP(E589&amp;F589,IMPORTRANGE(""https://docs.google.com/spreadsheets/d/1Uw7-A9f9R21vMXxHZFNpYNeKFtG8_yji4HS352LGlSQ/edit?pli=1#gid=0"",""1_ACUM!A4:S""),11,FALSE))"),"")</f>
        <v/>
      </c>
      <c r="AW572" s="42" t="str">
        <f ca="1">IFERROR(__xludf.DUMMYFUNCTION("IFERROR(VLOOKUP(F589,IMPORTRANGE(""https://docs.google.com/spreadsheets/d/1Kvs4KS76FHFqLFIZfrDMff4kP08nblUkihrxltoGBjg/edit#gid=934712705"",""ESENCIAL!A6:BG""),15,FALSE))"),"")</f>
        <v/>
      </c>
      <c r="AX572" s="21" t="str">
        <f ca="1">IFERROR(__xludf.DUMMYFUNCTION("IFERROR(VLOOKUP(E589&amp;F589,IMPORTRANGE(""https://docs.google.com/spreadsheets/d/1Uw7-A9f9R21vMXxHZFNpYNeKFtG8_yji4HS352LGlSQ/edit?pli=1#gid=0"",""1_ACUM!A4:S""),12,FALSE))"),"")</f>
        <v/>
      </c>
      <c r="AY572" s="43" t="str">
        <f ca="1">IFERROR(__xludf.DUMMYFUNCTION("IFERROR(VLOOKUP(E589&amp;F589,IMPORTRANGE(""https://docs.google.com/spreadsheets/d/1Uw7-A9f9R21vMXxHZFNpYNeKFtG8_yji4HS352LGlSQ/edit?pli=1#gid=0"",""1_ACUM!A4:S""),13,FALSE))"),"")</f>
        <v/>
      </c>
      <c r="AZ572" s="43" t="str">
        <f ca="1">IFERROR(__xludf.DUMMYFUNCTION("IFERROR(VLOOKUP(E589&amp;F589,IMPORTRANGE(""https://docs.google.com/spreadsheets/d/1Uw7-A9f9R21vMXxHZFNpYNeKFtG8_yji4HS352LGlSQ/edit?pli=1#gid=0"",""1_ACUM!A4:S""),14,FALSE))"),"")</f>
        <v/>
      </c>
      <c r="BA572" s="43" t="str">
        <f ca="1">IFERROR(__xludf.DUMMYFUNCTION("IFERROR(VLOOKUP(E589&amp;F589,IMPORTRANGE(""https://docs.google.com/spreadsheets/d/1Uw7-A9f9R21vMXxHZFNpYNeKFtG8_yji4HS352LGlSQ/edit?pli=1#gid=0"",""1_ACUM!A4:S""),15,FALSE))"),"")</f>
        <v/>
      </c>
      <c r="BB572" s="43" t="str">
        <f ca="1">IFERROR(__xludf.DUMMYFUNCTION("IFERROR(VLOOKUP(E589&amp;F589,IMPORTRANGE(""https://docs.google.com/spreadsheets/d/1Uw7-A9f9R21vMXxHZFNpYNeKFtG8_yji4HS352LGlSQ/edit?pli=1#gid=0"",""1_ACUM!A4:S""),16,FALSE))"),"")</f>
        <v/>
      </c>
      <c r="BC572" s="43" t="str">
        <f ca="1">IFERROR(__xludf.DUMMYFUNCTION("IFERROR(VLOOKUP(E589&amp;F589,IMPORTRANGE(""https://docs.google.com/spreadsheets/d/1Uw7-A9f9R21vMXxHZFNpYNeKFtG8_yji4HS352LGlSQ/edit?pli=1#gid=0"",""1_ACUM!A4:S""),17,FALSE))"),"")</f>
        <v/>
      </c>
      <c r="BD572" s="44" t="str">
        <f ca="1">IFERROR(__xludf.DUMMYFUNCTION("IFERROR(VLOOKUP(E589&amp;F589,IMPORTRANGE(""https://docs.google.com/spreadsheets/d/1Uw7-A9f9R21vMXxHZFNpYNeKFtG8_yji4HS352LGlSQ/edit?pli=1#gid=0"",""1_ACUM!A4:S""),18,FALSE))"),"")</f>
        <v/>
      </c>
      <c r="BE572" s="44" t="str">
        <f ca="1">IFERROR(__xludf.DUMMYFUNCTION("IFERROR(VLOOKUP(E589&amp;F589,IMPORTRANGE(""https://docs.google.com/spreadsheets/d/1Uw7-A9f9R21vMXxHZFNpYNeKFtG8_yji4HS352LGlSQ/edit?pli=1#gid=0"",""1_ACUM!A4:S""),19,FALSE))"),"")</f>
        <v/>
      </c>
      <c r="BF572" s="44" t="str">
        <f ca="1">IFERROR(__xludf.DUMMYFUNCTION("IFERROR(VLOOKUP(F589,IMPORTRANGE(""https://docs.google.com/spreadsheets/d/1Kvs4KS76FHFqLFIZfrDMff4kP08nblUkihrxltoGBjg/edit#gid=934712705"",""ESENCIAL!A6:BG""),5,FALSE))"),"")</f>
        <v/>
      </c>
      <c r="BG572" s="44" t="str">
        <f t="shared" si="41"/>
        <v/>
      </c>
      <c r="BH572" s="41" t="str">
        <f t="shared" si="42"/>
        <v/>
      </c>
      <c r="BI572" s="41" t="str">
        <f ca="1">IFERROR(__xludf.DUMMYFUNCTION("IFERROR(VLOOKUP(F589,IMPORTRANGE(""https://docs.google.com/spreadsheets/d/1Kvs4KS76FHFqLFIZfrDMff4kP08nblUkihrxltoGBjg/edit#gid=934712705"",""ESENCIAL!A6:BG""),18,FALSE))"),"")</f>
        <v/>
      </c>
      <c r="BJ572" s="19" t="str">
        <f t="shared" si="43"/>
        <v/>
      </c>
      <c r="BK572" s="41"/>
      <c r="BL572" s="41"/>
    </row>
    <row r="573" spans="1:64" ht="15">
      <c r="A573" s="4"/>
      <c r="B573" s="4"/>
      <c r="G573" s="5" t="str">
        <f ca="1">IFERROR(__xludf.DUMMYFUNCTION("IFERROR(VLOOKUP(F590,IMPORTRANGE(""https://docs.google.com/spreadsheets/d/1Kvs4KS76FHFqLFIZfrDMff4kP08nblUkihrxltoGBjg/edit#gid=934712705"",""ESENCIAL!A6:BG""),3,FALSE))"),"")</f>
        <v/>
      </c>
      <c r="H573" s="5" t="str">
        <f ca="1">IFERROR(__xludf.DUMMYFUNCTION("IFERROR(VLOOKUP(F590,IMPORTRANGE(""https://docs.google.com/spreadsheets/d/1Kvs4KS76FHFqLFIZfrDMff4kP08nblUkihrxltoGBjg/edit#gid=934712705"",""ESENCIAL!A6:BG""),8,FALSE))"),"")</f>
        <v/>
      </c>
      <c r="L573" s="287"/>
      <c r="S573"/>
      <c r="AU573" s="41" t="str">
        <f t="shared" si="40"/>
        <v/>
      </c>
      <c r="AV573" s="5" t="str">
        <f ca="1">IFERROR(__xludf.DUMMYFUNCTION("IFERROR(VLOOKUP(E590&amp;F590,IMPORTRANGE(""https://docs.google.com/spreadsheets/d/1Uw7-A9f9R21vMXxHZFNpYNeKFtG8_yji4HS352LGlSQ/edit?pli=1#gid=0"",""1_ACUM!A4:S""),11,FALSE))"),"")</f>
        <v/>
      </c>
      <c r="AW573" s="42" t="str">
        <f ca="1">IFERROR(__xludf.DUMMYFUNCTION("IFERROR(VLOOKUP(F590,IMPORTRANGE(""https://docs.google.com/spreadsheets/d/1Kvs4KS76FHFqLFIZfrDMff4kP08nblUkihrxltoGBjg/edit#gid=934712705"",""ESENCIAL!A6:BG""),15,FALSE))"),"")</f>
        <v/>
      </c>
      <c r="AX573" s="21" t="str">
        <f ca="1">IFERROR(__xludf.DUMMYFUNCTION("IFERROR(VLOOKUP(E590&amp;F590,IMPORTRANGE(""https://docs.google.com/spreadsheets/d/1Uw7-A9f9R21vMXxHZFNpYNeKFtG8_yji4HS352LGlSQ/edit?pli=1#gid=0"",""1_ACUM!A4:S""),12,FALSE))"),"")</f>
        <v/>
      </c>
      <c r="AY573" s="43" t="str">
        <f ca="1">IFERROR(__xludf.DUMMYFUNCTION("IFERROR(VLOOKUP(E590&amp;F590,IMPORTRANGE(""https://docs.google.com/spreadsheets/d/1Uw7-A9f9R21vMXxHZFNpYNeKFtG8_yji4HS352LGlSQ/edit?pli=1#gid=0"",""1_ACUM!A4:S""),13,FALSE))"),"")</f>
        <v/>
      </c>
      <c r="AZ573" s="43" t="str">
        <f ca="1">IFERROR(__xludf.DUMMYFUNCTION("IFERROR(VLOOKUP(E590&amp;F590,IMPORTRANGE(""https://docs.google.com/spreadsheets/d/1Uw7-A9f9R21vMXxHZFNpYNeKFtG8_yji4HS352LGlSQ/edit?pli=1#gid=0"",""1_ACUM!A4:S""),14,FALSE))"),"")</f>
        <v/>
      </c>
      <c r="BA573" s="43" t="str">
        <f ca="1">IFERROR(__xludf.DUMMYFUNCTION("IFERROR(VLOOKUP(E590&amp;F590,IMPORTRANGE(""https://docs.google.com/spreadsheets/d/1Uw7-A9f9R21vMXxHZFNpYNeKFtG8_yji4HS352LGlSQ/edit?pli=1#gid=0"",""1_ACUM!A4:S""),15,FALSE))"),"")</f>
        <v/>
      </c>
      <c r="BB573" s="43" t="str">
        <f ca="1">IFERROR(__xludf.DUMMYFUNCTION("IFERROR(VLOOKUP(E590&amp;F590,IMPORTRANGE(""https://docs.google.com/spreadsheets/d/1Uw7-A9f9R21vMXxHZFNpYNeKFtG8_yji4HS352LGlSQ/edit?pli=1#gid=0"",""1_ACUM!A4:S""),16,FALSE))"),"")</f>
        <v/>
      </c>
      <c r="BC573" s="43" t="str">
        <f ca="1">IFERROR(__xludf.DUMMYFUNCTION("IFERROR(VLOOKUP(E590&amp;F590,IMPORTRANGE(""https://docs.google.com/spreadsheets/d/1Uw7-A9f9R21vMXxHZFNpYNeKFtG8_yji4HS352LGlSQ/edit?pli=1#gid=0"",""1_ACUM!A4:S""),17,FALSE))"),"")</f>
        <v/>
      </c>
      <c r="BD573" s="44" t="str">
        <f ca="1">IFERROR(__xludf.DUMMYFUNCTION("IFERROR(VLOOKUP(E590&amp;F590,IMPORTRANGE(""https://docs.google.com/spreadsheets/d/1Uw7-A9f9R21vMXxHZFNpYNeKFtG8_yji4HS352LGlSQ/edit?pli=1#gid=0"",""1_ACUM!A4:S""),18,FALSE))"),"")</f>
        <v/>
      </c>
      <c r="BE573" s="44" t="str">
        <f ca="1">IFERROR(__xludf.DUMMYFUNCTION("IFERROR(VLOOKUP(E590&amp;F590,IMPORTRANGE(""https://docs.google.com/spreadsheets/d/1Uw7-A9f9R21vMXxHZFNpYNeKFtG8_yji4HS352LGlSQ/edit?pli=1#gid=0"",""1_ACUM!A4:S""),19,FALSE))"),"")</f>
        <v/>
      </c>
      <c r="BF573" s="44" t="str">
        <f ca="1">IFERROR(__xludf.DUMMYFUNCTION("IFERROR(VLOOKUP(F590,IMPORTRANGE(""https://docs.google.com/spreadsheets/d/1Kvs4KS76FHFqLFIZfrDMff4kP08nblUkihrxltoGBjg/edit#gid=934712705"",""ESENCIAL!A6:BG""),5,FALSE))"),"")</f>
        <v/>
      </c>
      <c r="BG573" s="44" t="str">
        <f t="shared" si="41"/>
        <v/>
      </c>
      <c r="BH573" s="41" t="str">
        <f t="shared" si="42"/>
        <v/>
      </c>
      <c r="BI573" s="41" t="str">
        <f ca="1">IFERROR(__xludf.DUMMYFUNCTION("IFERROR(VLOOKUP(F590,IMPORTRANGE(""https://docs.google.com/spreadsheets/d/1Kvs4KS76FHFqLFIZfrDMff4kP08nblUkihrxltoGBjg/edit#gid=934712705"",""ESENCIAL!A6:BG""),18,FALSE))"),"")</f>
        <v/>
      </c>
      <c r="BJ573" s="19" t="str">
        <f t="shared" si="43"/>
        <v/>
      </c>
      <c r="BK573" s="41"/>
      <c r="BL573" s="41"/>
    </row>
    <row r="574" spans="1:64" ht="15">
      <c r="A574" s="4"/>
      <c r="B574" s="4"/>
      <c r="G574" s="5" t="str">
        <f ca="1">IFERROR(__xludf.DUMMYFUNCTION("IFERROR(VLOOKUP(F591,IMPORTRANGE(""https://docs.google.com/spreadsheets/d/1Kvs4KS76FHFqLFIZfrDMff4kP08nblUkihrxltoGBjg/edit#gid=934712705"",""ESENCIAL!A6:BG""),3,FALSE))"),"")</f>
        <v/>
      </c>
      <c r="H574" s="5" t="str">
        <f ca="1">IFERROR(__xludf.DUMMYFUNCTION("IFERROR(VLOOKUP(F591,IMPORTRANGE(""https://docs.google.com/spreadsheets/d/1Kvs4KS76FHFqLFIZfrDMff4kP08nblUkihrxltoGBjg/edit#gid=934712705"",""ESENCIAL!A6:BG""),8,FALSE))"),"")</f>
        <v/>
      </c>
      <c r="L574" s="287"/>
      <c r="S574"/>
      <c r="AU574" s="41" t="str">
        <f t="shared" si="40"/>
        <v/>
      </c>
      <c r="AV574" s="5" t="str">
        <f ca="1">IFERROR(__xludf.DUMMYFUNCTION("IFERROR(VLOOKUP(E591&amp;F591,IMPORTRANGE(""https://docs.google.com/spreadsheets/d/1Uw7-A9f9R21vMXxHZFNpYNeKFtG8_yji4HS352LGlSQ/edit?pli=1#gid=0"",""1_ACUM!A4:S""),11,FALSE))"),"")</f>
        <v/>
      </c>
      <c r="AW574" s="42" t="str">
        <f ca="1">IFERROR(__xludf.DUMMYFUNCTION("IFERROR(VLOOKUP(F591,IMPORTRANGE(""https://docs.google.com/spreadsheets/d/1Kvs4KS76FHFqLFIZfrDMff4kP08nblUkihrxltoGBjg/edit#gid=934712705"",""ESENCIAL!A6:BG""),15,FALSE))"),"")</f>
        <v/>
      </c>
      <c r="AX574" s="21" t="str">
        <f ca="1">IFERROR(__xludf.DUMMYFUNCTION("IFERROR(VLOOKUP(E591&amp;F591,IMPORTRANGE(""https://docs.google.com/spreadsheets/d/1Uw7-A9f9R21vMXxHZFNpYNeKFtG8_yji4HS352LGlSQ/edit?pli=1#gid=0"",""1_ACUM!A4:S""),12,FALSE))"),"")</f>
        <v/>
      </c>
      <c r="AY574" s="43" t="str">
        <f ca="1">IFERROR(__xludf.DUMMYFUNCTION("IFERROR(VLOOKUP(E591&amp;F591,IMPORTRANGE(""https://docs.google.com/spreadsheets/d/1Uw7-A9f9R21vMXxHZFNpYNeKFtG8_yji4HS352LGlSQ/edit?pli=1#gid=0"",""1_ACUM!A4:S""),13,FALSE))"),"")</f>
        <v/>
      </c>
      <c r="AZ574" s="43" t="str">
        <f ca="1">IFERROR(__xludf.DUMMYFUNCTION("IFERROR(VLOOKUP(E591&amp;F591,IMPORTRANGE(""https://docs.google.com/spreadsheets/d/1Uw7-A9f9R21vMXxHZFNpYNeKFtG8_yji4HS352LGlSQ/edit?pli=1#gid=0"",""1_ACUM!A4:S""),14,FALSE))"),"")</f>
        <v/>
      </c>
      <c r="BA574" s="43" t="str">
        <f ca="1">IFERROR(__xludf.DUMMYFUNCTION("IFERROR(VLOOKUP(E591&amp;F591,IMPORTRANGE(""https://docs.google.com/spreadsheets/d/1Uw7-A9f9R21vMXxHZFNpYNeKFtG8_yji4HS352LGlSQ/edit?pli=1#gid=0"",""1_ACUM!A4:S""),15,FALSE))"),"")</f>
        <v/>
      </c>
      <c r="BB574" s="43" t="str">
        <f ca="1">IFERROR(__xludf.DUMMYFUNCTION("IFERROR(VLOOKUP(E591&amp;F591,IMPORTRANGE(""https://docs.google.com/spreadsheets/d/1Uw7-A9f9R21vMXxHZFNpYNeKFtG8_yji4HS352LGlSQ/edit?pli=1#gid=0"",""1_ACUM!A4:S""),16,FALSE))"),"")</f>
        <v/>
      </c>
      <c r="BC574" s="43" t="str">
        <f ca="1">IFERROR(__xludf.DUMMYFUNCTION("IFERROR(VLOOKUP(E591&amp;F591,IMPORTRANGE(""https://docs.google.com/spreadsheets/d/1Uw7-A9f9R21vMXxHZFNpYNeKFtG8_yji4HS352LGlSQ/edit?pli=1#gid=0"",""1_ACUM!A4:S""),17,FALSE))"),"")</f>
        <v/>
      </c>
      <c r="BD574" s="44" t="str">
        <f ca="1">IFERROR(__xludf.DUMMYFUNCTION("IFERROR(VLOOKUP(E591&amp;F591,IMPORTRANGE(""https://docs.google.com/spreadsheets/d/1Uw7-A9f9R21vMXxHZFNpYNeKFtG8_yji4HS352LGlSQ/edit?pli=1#gid=0"",""1_ACUM!A4:S""),18,FALSE))"),"")</f>
        <v/>
      </c>
      <c r="BE574" s="44" t="str">
        <f ca="1">IFERROR(__xludf.DUMMYFUNCTION("IFERROR(VLOOKUP(E591&amp;F591,IMPORTRANGE(""https://docs.google.com/spreadsheets/d/1Uw7-A9f9R21vMXxHZFNpYNeKFtG8_yji4HS352LGlSQ/edit?pli=1#gid=0"",""1_ACUM!A4:S""),19,FALSE))"),"")</f>
        <v/>
      </c>
      <c r="BF574" s="44" t="str">
        <f ca="1">IFERROR(__xludf.DUMMYFUNCTION("IFERROR(VLOOKUP(F591,IMPORTRANGE(""https://docs.google.com/spreadsheets/d/1Kvs4KS76FHFqLFIZfrDMff4kP08nblUkihrxltoGBjg/edit#gid=934712705"",""ESENCIAL!A6:BG""),5,FALSE))"),"")</f>
        <v/>
      </c>
      <c r="BG574" s="44" t="str">
        <f t="shared" si="41"/>
        <v/>
      </c>
      <c r="BH574" s="41" t="str">
        <f t="shared" si="42"/>
        <v/>
      </c>
      <c r="BI574" s="41" t="str">
        <f ca="1">IFERROR(__xludf.DUMMYFUNCTION("IFERROR(VLOOKUP(F591,IMPORTRANGE(""https://docs.google.com/spreadsheets/d/1Kvs4KS76FHFqLFIZfrDMff4kP08nblUkihrxltoGBjg/edit#gid=934712705"",""ESENCIAL!A6:BG""),18,FALSE))"),"")</f>
        <v/>
      </c>
      <c r="BJ574" s="19" t="str">
        <f t="shared" si="43"/>
        <v/>
      </c>
      <c r="BK574" s="41"/>
      <c r="BL574" s="41"/>
    </row>
    <row r="575" spans="1:64" ht="15">
      <c r="A575" s="4"/>
      <c r="B575" s="4"/>
      <c r="G575" s="5" t="str">
        <f ca="1">IFERROR(__xludf.DUMMYFUNCTION("IFERROR(VLOOKUP(F592,IMPORTRANGE(""https://docs.google.com/spreadsheets/d/1Kvs4KS76FHFqLFIZfrDMff4kP08nblUkihrxltoGBjg/edit#gid=934712705"",""ESENCIAL!A6:BG""),3,FALSE))"),"")</f>
        <v/>
      </c>
      <c r="H575" s="5" t="str">
        <f ca="1">IFERROR(__xludf.DUMMYFUNCTION("IFERROR(VLOOKUP(F592,IMPORTRANGE(""https://docs.google.com/spreadsheets/d/1Kvs4KS76FHFqLFIZfrDMff4kP08nblUkihrxltoGBjg/edit#gid=934712705"",""ESENCIAL!A6:BG""),8,FALSE))"),"")</f>
        <v/>
      </c>
      <c r="L575" s="287"/>
      <c r="S575"/>
      <c r="AU575" s="41" t="str">
        <f t="shared" si="40"/>
        <v/>
      </c>
      <c r="AV575" s="5" t="str">
        <f ca="1">IFERROR(__xludf.DUMMYFUNCTION("IFERROR(VLOOKUP(E592&amp;F592,IMPORTRANGE(""https://docs.google.com/spreadsheets/d/1Uw7-A9f9R21vMXxHZFNpYNeKFtG8_yji4HS352LGlSQ/edit?pli=1#gid=0"",""1_ACUM!A4:S""),11,FALSE))"),"")</f>
        <v/>
      </c>
      <c r="AW575" s="42" t="str">
        <f ca="1">IFERROR(__xludf.DUMMYFUNCTION("IFERROR(VLOOKUP(F592,IMPORTRANGE(""https://docs.google.com/spreadsheets/d/1Kvs4KS76FHFqLFIZfrDMff4kP08nblUkihrxltoGBjg/edit#gid=934712705"",""ESENCIAL!A6:BG""),15,FALSE))"),"")</f>
        <v/>
      </c>
      <c r="AX575" s="21" t="str">
        <f ca="1">IFERROR(__xludf.DUMMYFUNCTION("IFERROR(VLOOKUP(E592&amp;F592,IMPORTRANGE(""https://docs.google.com/spreadsheets/d/1Uw7-A9f9R21vMXxHZFNpYNeKFtG8_yji4HS352LGlSQ/edit?pli=1#gid=0"",""1_ACUM!A4:S""),12,FALSE))"),"")</f>
        <v/>
      </c>
      <c r="AY575" s="43" t="str">
        <f ca="1">IFERROR(__xludf.DUMMYFUNCTION("IFERROR(VLOOKUP(E592&amp;F592,IMPORTRANGE(""https://docs.google.com/spreadsheets/d/1Uw7-A9f9R21vMXxHZFNpYNeKFtG8_yji4HS352LGlSQ/edit?pli=1#gid=0"",""1_ACUM!A4:S""),13,FALSE))"),"")</f>
        <v/>
      </c>
      <c r="AZ575" s="43" t="str">
        <f ca="1">IFERROR(__xludf.DUMMYFUNCTION("IFERROR(VLOOKUP(E592&amp;F592,IMPORTRANGE(""https://docs.google.com/spreadsheets/d/1Uw7-A9f9R21vMXxHZFNpYNeKFtG8_yji4HS352LGlSQ/edit?pli=1#gid=0"",""1_ACUM!A4:S""),14,FALSE))"),"")</f>
        <v/>
      </c>
      <c r="BA575" s="43" t="str">
        <f ca="1">IFERROR(__xludf.DUMMYFUNCTION("IFERROR(VLOOKUP(E592&amp;F592,IMPORTRANGE(""https://docs.google.com/spreadsheets/d/1Uw7-A9f9R21vMXxHZFNpYNeKFtG8_yji4HS352LGlSQ/edit?pli=1#gid=0"",""1_ACUM!A4:S""),15,FALSE))"),"")</f>
        <v/>
      </c>
      <c r="BB575" s="43" t="str">
        <f ca="1">IFERROR(__xludf.DUMMYFUNCTION("IFERROR(VLOOKUP(E592&amp;F592,IMPORTRANGE(""https://docs.google.com/spreadsheets/d/1Uw7-A9f9R21vMXxHZFNpYNeKFtG8_yji4HS352LGlSQ/edit?pli=1#gid=0"",""1_ACUM!A4:S""),16,FALSE))"),"")</f>
        <v/>
      </c>
      <c r="BC575" s="43" t="str">
        <f ca="1">IFERROR(__xludf.DUMMYFUNCTION("IFERROR(VLOOKUP(E592&amp;F592,IMPORTRANGE(""https://docs.google.com/spreadsheets/d/1Uw7-A9f9R21vMXxHZFNpYNeKFtG8_yji4HS352LGlSQ/edit?pli=1#gid=0"",""1_ACUM!A4:S""),17,FALSE))"),"")</f>
        <v/>
      </c>
      <c r="BD575" s="44" t="str">
        <f ca="1">IFERROR(__xludf.DUMMYFUNCTION("IFERROR(VLOOKUP(E592&amp;F592,IMPORTRANGE(""https://docs.google.com/spreadsheets/d/1Uw7-A9f9R21vMXxHZFNpYNeKFtG8_yji4HS352LGlSQ/edit?pli=1#gid=0"",""1_ACUM!A4:S""),18,FALSE))"),"")</f>
        <v/>
      </c>
      <c r="BE575" s="44" t="str">
        <f ca="1">IFERROR(__xludf.DUMMYFUNCTION("IFERROR(VLOOKUP(E592&amp;F592,IMPORTRANGE(""https://docs.google.com/spreadsheets/d/1Uw7-A9f9R21vMXxHZFNpYNeKFtG8_yji4HS352LGlSQ/edit?pli=1#gid=0"",""1_ACUM!A4:S""),19,FALSE))"),"")</f>
        <v/>
      </c>
      <c r="BF575" s="44" t="str">
        <f ca="1">IFERROR(__xludf.DUMMYFUNCTION("IFERROR(VLOOKUP(F592,IMPORTRANGE(""https://docs.google.com/spreadsheets/d/1Kvs4KS76FHFqLFIZfrDMff4kP08nblUkihrxltoGBjg/edit#gid=934712705"",""ESENCIAL!A6:BG""),5,FALSE))"),"")</f>
        <v/>
      </c>
      <c r="BG575" s="44" t="str">
        <f t="shared" si="41"/>
        <v/>
      </c>
      <c r="BH575" s="41" t="str">
        <f t="shared" si="42"/>
        <v/>
      </c>
      <c r="BI575" s="41" t="str">
        <f ca="1">IFERROR(__xludf.DUMMYFUNCTION("IFERROR(VLOOKUP(F592,IMPORTRANGE(""https://docs.google.com/spreadsheets/d/1Kvs4KS76FHFqLFIZfrDMff4kP08nblUkihrxltoGBjg/edit#gid=934712705"",""ESENCIAL!A6:BG""),18,FALSE))"),"")</f>
        <v/>
      </c>
      <c r="BJ575" s="19" t="str">
        <f t="shared" si="43"/>
        <v/>
      </c>
      <c r="BK575" s="41"/>
      <c r="BL575" s="41"/>
    </row>
    <row r="576" spans="1:64" ht="15">
      <c r="A576" s="4"/>
      <c r="B576" s="4"/>
      <c r="G576" s="5" t="str">
        <f ca="1">IFERROR(__xludf.DUMMYFUNCTION("IFERROR(VLOOKUP(F593,IMPORTRANGE(""https://docs.google.com/spreadsheets/d/1Kvs4KS76FHFqLFIZfrDMff4kP08nblUkihrxltoGBjg/edit#gid=934712705"",""ESENCIAL!A6:BG""),3,FALSE))"),"")</f>
        <v/>
      </c>
      <c r="H576" s="5" t="str">
        <f ca="1">IFERROR(__xludf.DUMMYFUNCTION("IFERROR(VLOOKUP(F593,IMPORTRANGE(""https://docs.google.com/spreadsheets/d/1Kvs4KS76FHFqLFIZfrDMff4kP08nblUkihrxltoGBjg/edit#gid=934712705"",""ESENCIAL!A6:BG""),8,FALSE))"),"")</f>
        <v/>
      </c>
      <c r="L576" s="287"/>
      <c r="S576"/>
      <c r="AU576" s="41" t="str">
        <f t="shared" si="40"/>
        <v/>
      </c>
      <c r="AV576" s="5" t="str">
        <f ca="1">IFERROR(__xludf.DUMMYFUNCTION("IFERROR(VLOOKUP(E593&amp;F593,IMPORTRANGE(""https://docs.google.com/spreadsheets/d/1Uw7-A9f9R21vMXxHZFNpYNeKFtG8_yji4HS352LGlSQ/edit?pli=1#gid=0"",""1_ACUM!A4:S""),11,FALSE))"),"")</f>
        <v/>
      </c>
      <c r="AW576" s="42" t="str">
        <f ca="1">IFERROR(__xludf.DUMMYFUNCTION("IFERROR(VLOOKUP(F593,IMPORTRANGE(""https://docs.google.com/spreadsheets/d/1Kvs4KS76FHFqLFIZfrDMff4kP08nblUkihrxltoGBjg/edit#gid=934712705"",""ESENCIAL!A6:BG""),15,FALSE))"),"")</f>
        <v/>
      </c>
      <c r="AX576" s="21" t="str">
        <f ca="1">IFERROR(__xludf.DUMMYFUNCTION("IFERROR(VLOOKUP(E593&amp;F593,IMPORTRANGE(""https://docs.google.com/spreadsheets/d/1Uw7-A9f9R21vMXxHZFNpYNeKFtG8_yji4HS352LGlSQ/edit?pli=1#gid=0"",""1_ACUM!A4:S""),12,FALSE))"),"")</f>
        <v/>
      </c>
      <c r="AY576" s="43" t="str">
        <f ca="1">IFERROR(__xludf.DUMMYFUNCTION("IFERROR(VLOOKUP(E593&amp;F593,IMPORTRANGE(""https://docs.google.com/spreadsheets/d/1Uw7-A9f9R21vMXxHZFNpYNeKFtG8_yji4HS352LGlSQ/edit?pli=1#gid=0"",""1_ACUM!A4:S""),13,FALSE))"),"")</f>
        <v/>
      </c>
      <c r="AZ576" s="43" t="str">
        <f ca="1">IFERROR(__xludf.DUMMYFUNCTION("IFERROR(VLOOKUP(E593&amp;F593,IMPORTRANGE(""https://docs.google.com/spreadsheets/d/1Uw7-A9f9R21vMXxHZFNpYNeKFtG8_yji4HS352LGlSQ/edit?pli=1#gid=0"",""1_ACUM!A4:S""),14,FALSE))"),"")</f>
        <v/>
      </c>
      <c r="BA576" s="43" t="str">
        <f ca="1">IFERROR(__xludf.DUMMYFUNCTION("IFERROR(VLOOKUP(E593&amp;F593,IMPORTRANGE(""https://docs.google.com/spreadsheets/d/1Uw7-A9f9R21vMXxHZFNpYNeKFtG8_yji4HS352LGlSQ/edit?pli=1#gid=0"",""1_ACUM!A4:S""),15,FALSE))"),"")</f>
        <v/>
      </c>
      <c r="BB576" s="43" t="str">
        <f ca="1">IFERROR(__xludf.DUMMYFUNCTION("IFERROR(VLOOKUP(E593&amp;F593,IMPORTRANGE(""https://docs.google.com/spreadsheets/d/1Uw7-A9f9R21vMXxHZFNpYNeKFtG8_yji4HS352LGlSQ/edit?pli=1#gid=0"",""1_ACUM!A4:S""),16,FALSE))"),"")</f>
        <v/>
      </c>
      <c r="BC576" s="43" t="str">
        <f ca="1">IFERROR(__xludf.DUMMYFUNCTION("IFERROR(VLOOKUP(E593&amp;F593,IMPORTRANGE(""https://docs.google.com/spreadsheets/d/1Uw7-A9f9R21vMXxHZFNpYNeKFtG8_yji4HS352LGlSQ/edit?pli=1#gid=0"",""1_ACUM!A4:S""),17,FALSE))"),"")</f>
        <v/>
      </c>
      <c r="BD576" s="44" t="str">
        <f ca="1">IFERROR(__xludf.DUMMYFUNCTION("IFERROR(VLOOKUP(E593&amp;F593,IMPORTRANGE(""https://docs.google.com/spreadsheets/d/1Uw7-A9f9R21vMXxHZFNpYNeKFtG8_yji4HS352LGlSQ/edit?pli=1#gid=0"",""1_ACUM!A4:S""),18,FALSE))"),"")</f>
        <v/>
      </c>
      <c r="BE576" s="44" t="str">
        <f ca="1">IFERROR(__xludf.DUMMYFUNCTION("IFERROR(VLOOKUP(E593&amp;F593,IMPORTRANGE(""https://docs.google.com/spreadsheets/d/1Uw7-A9f9R21vMXxHZFNpYNeKFtG8_yji4HS352LGlSQ/edit?pli=1#gid=0"",""1_ACUM!A4:S""),19,FALSE))"),"")</f>
        <v/>
      </c>
      <c r="BF576" s="44" t="str">
        <f ca="1">IFERROR(__xludf.DUMMYFUNCTION("IFERROR(VLOOKUP(F593,IMPORTRANGE(""https://docs.google.com/spreadsheets/d/1Kvs4KS76FHFqLFIZfrDMff4kP08nblUkihrxltoGBjg/edit#gid=934712705"",""ESENCIAL!A6:BG""),5,FALSE))"),"")</f>
        <v/>
      </c>
      <c r="BG576" s="44" t="str">
        <f t="shared" si="41"/>
        <v/>
      </c>
      <c r="BH576" s="41" t="str">
        <f t="shared" si="42"/>
        <v/>
      </c>
      <c r="BI576" s="41" t="str">
        <f ca="1">IFERROR(__xludf.DUMMYFUNCTION("IFERROR(VLOOKUP(F593,IMPORTRANGE(""https://docs.google.com/spreadsheets/d/1Kvs4KS76FHFqLFIZfrDMff4kP08nblUkihrxltoGBjg/edit#gid=934712705"",""ESENCIAL!A6:BG""),18,FALSE))"),"")</f>
        <v/>
      </c>
      <c r="BJ576" s="19" t="str">
        <f t="shared" si="43"/>
        <v/>
      </c>
      <c r="BK576" s="41"/>
      <c r="BL576" s="41"/>
    </row>
    <row r="577" spans="1:64" ht="15">
      <c r="A577" s="4"/>
      <c r="B577" s="4"/>
      <c r="G577" s="5" t="str">
        <f ca="1">IFERROR(__xludf.DUMMYFUNCTION("IFERROR(VLOOKUP(F594,IMPORTRANGE(""https://docs.google.com/spreadsheets/d/1Kvs4KS76FHFqLFIZfrDMff4kP08nblUkihrxltoGBjg/edit#gid=934712705"",""ESENCIAL!A6:BG""),3,FALSE))"),"")</f>
        <v/>
      </c>
      <c r="H577" s="5" t="str">
        <f ca="1">IFERROR(__xludf.DUMMYFUNCTION("IFERROR(VLOOKUP(F594,IMPORTRANGE(""https://docs.google.com/spreadsheets/d/1Kvs4KS76FHFqLFIZfrDMff4kP08nblUkihrxltoGBjg/edit#gid=934712705"",""ESENCIAL!A6:BG""),8,FALSE))"),"")</f>
        <v/>
      </c>
      <c r="L577" s="287"/>
      <c r="S577"/>
      <c r="AU577" s="41" t="str">
        <f t="shared" si="40"/>
        <v/>
      </c>
      <c r="AV577" s="5" t="str">
        <f ca="1">IFERROR(__xludf.DUMMYFUNCTION("IFERROR(VLOOKUP(E594&amp;F594,IMPORTRANGE(""https://docs.google.com/spreadsheets/d/1Uw7-A9f9R21vMXxHZFNpYNeKFtG8_yji4HS352LGlSQ/edit?pli=1#gid=0"",""1_ACUM!A4:S""),11,FALSE))"),"")</f>
        <v/>
      </c>
      <c r="AW577" s="42" t="str">
        <f ca="1">IFERROR(__xludf.DUMMYFUNCTION("IFERROR(VLOOKUP(F594,IMPORTRANGE(""https://docs.google.com/spreadsheets/d/1Kvs4KS76FHFqLFIZfrDMff4kP08nblUkihrxltoGBjg/edit#gid=934712705"",""ESENCIAL!A6:BG""),15,FALSE))"),"")</f>
        <v/>
      </c>
      <c r="AX577" s="21" t="str">
        <f ca="1">IFERROR(__xludf.DUMMYFUNCTION("IFERROR(VLOOKUP(E594&amp;F594,IMPORTRANGE(""https://docs.google.com/spreadsheets/d/1Uw7-A9f9R21vMXxHZFNpYNeKFtG8_yji4HS352LGlSQ/edit?pli=1#gid=0"",""1_ACUM!A4:S""),12,FALSE))"),"")</f>
        <v/>
      </c>
      <c r="AY577" s="43" t="str">
        <f ca="1">IFERROR(__xludf.DUMMYFUNCTION("IFERROR(VLOOKUP(E594&amp;F594,IMPORTRANGE(""https://docs.google.com/spreadsheets/d/1Uw7-A9f9R21vMXxHZFNpYNeKFtG8_yji4HS352LGlSQ/edit?pli=1#gid=0"",""1_ACUM!A4:S""),13,FALSE))"),"")</f>
        <v/>
      </c>
      <c r="AZ577" s="43" t="str">
        <f ca="1">IFERROR(__xludf.DUMMYFUNCTION("IFERROR(VLOOKUP(E594&amp;F594,IMPORTRANGE(""https://docs.google.com/spreadsheets/d/1Uw7-A9f9R21vMXxHZFNpYNeKFtG8_yji4HS352LGlSQ/edit?pli=1#gid=0"",""1_ACUM!A4:S""),14,FALSE))"),"")</f>
        <v/>
      </c>
      <c r="BA577" s="43" t="str">
        <f ca="1">IFERROR(__xludf.DUMMYFUNCTION("IFERROR(VLOOKUP(E594&amp;F594,IMPORTRANGE(""https://docs.google.com/spreadsheets/d/1Uw7-A9f9R21vMXxHZFNpYNeKFtG8_yji4HS352LGlSQ/edit?pli=1#gid=0"",""1_ACUM!A4:S""),15,FALSE))"),"")</f>
        <v/>
      </c>
      <c r="BB577" s="43" t="str">
        <f ca="1">IFERROR(__xludf.DUMMYFUNCTION("IFERROR(VLOOKUP(E594&amp;F594,IMPORTRANGE(""https://docs.google.com/spreadsheets/d/1Uw7-A9f9R21vMXxHZFNpYNeKFtG8_yji4HS352LGlSQ/edit?pli=1#gid=0"",""1_ACUM!A4:S""),16,FALSE))"),"")</f>
        <v/>
      </c>
      <c r="BC577" s="43" t="str">
        <f ca="1">IFERROR(__xludf.DUMMYFUNCTION("IFERROR(VLOOKUP(E594&amp;F594,IMPORTRANGE(""https://docs.google.com/spreadsheets/d/1Uw7-A9f9R21vMXxHZFNpYNeKFtG8_yji4HS352LGlSQ/edit?pli=1#gid=0"",""1_ACUM!A4:S""),17,FALSE))"),"")</f>
        <v/>
      </c>
      <c r="BD577" s="44" t="str">
        <f ca="1">IFERROR(__xludf.DUMMYFUNCTION("IFERROR(VLOOKUP(E594&amp;F594,IMPORTRANGE(""https://docs.google.com/spreadsheets/d/1Uw7-A9f9R21vMXxHZFNpYNeKFtG8_yji4HS352LGlSQ/edit?pli=1#gid=0"",""1_ACUM!A4:S""),18,FALSE))"),"")</f>
        <v/>
      </c>
      <c r="BE577" s="44" t="str">
        <f ca="1">IFERROR(__xludf.DUMMYFUNCTION("IFERROR(VLOOKUP(E594&amp;F594,IMPORTRANGE(""https://docs.google.com/spreadsheets/d/1Uw7-A9f9R21vMXxHZFNpYNeKFtG8_yji4HS352LGlSQ/edit?pli=1#gid=0"",""1_ACUM!A4:S""),19,FALSE))"),"")</f>
        <v/>
      </c>
      <c r="BF577" s="44" t="str">
        <f ca="1">IFERROR(__xludf.DUMMYFUNCTION("IFERROR(VLOOKUP(F594,IMPORTRANGE(""https://docs.google.com/spreadsheets/d/1Kvs4KS76FHFqLFIZfrDMff4kP08nblUkihrxltoGBjg/edit#gid=934712705"",""ESENCIAL!A6:BG""),5,FALSE))"),"")</f>
        <v/>
      </c>
      <c r="BG577" s="44" t="str">
        <f t="shared" si="41"/>
        <v/>
      </c>
      <c r="BH577" s="41" t="str">
        <f t="shared" si="42"/>
        <v/>
      </c>
      <c r="BI577" s="41" t="str">
        <f ca="1">IFERROR(__xludf.DUMMYFUNCTION("IFERROR(VLOOKUP(F594,IMPORTRANGE(""https://docs.google.com/spreadsheets/d/1Kvs4KS76FHFqLFIZfrDMff4kP08nblUkihrxltoGBjg/edit#gid=934712705"",""ESENCIAL!A6:BG""),18,FALSE))"),"")</f>
        <v/>
      </c>
      <c r="BJ577" s="19" t="str">
        <f t="shared" si="43"/>
        <v/>
      </c>
      <c r="BK577" s="41"/>
      <c r="BL577" s="41"/>
    </row>
    <row r="578" spans="1:64" ht="15">
      <c r="A578" s="4"/>
      <c r="B578" s="4"/>
      <c r="G578" s="5" t="str">
        <f ca="1">IFERROR(__xludf.DUMMYFUNCTION("IFERROR(VLOOKUP(F595,IMPORTRANGE(""https://docs.google.com/spreadsheets/d/1Kvs4KS76FHFqLFIZfrDMff4kP08nblUkihrxltoGBjg/edit#gid=934712705"",""ESENCIAL!A6:BG""),3,FALSE))"),"")</f>
        <v/>
      </c>
      <c r="H578" s="5" t="str">
        <f ca="1">IFERROR(__xludf.DUMMYFUNCTION("IFERROR(VLOOKUP(F595,IMPORTRANGE(""https://docs.google.com/spreadsheets/d/1Kvs4KS76FHFqLFIZfrDMff4kP08nblUkihrxltoGBjg/edit#gid=934712705"",""ESENCIAL!A6:BG""),8,FALSE))"),"")</f>
        <v/>
      </c>
      <c r="L578" s="287"/>
      <c r="S578"/>
      <c r="AU578" s="41" t="str">
        <f t="shared" si="40"/>
        <v/>
      </c>
      <c r="AV578" s="5" t="str">
        <f ca="1">IFERROR(__xludf.DUMMYFUNCTION("IFERROR(VLOOKUP(E595&amp;F595,IMPORTRANGE(""https://docs.google.com/spreadsheets/d/1Uw7-A9f9R21vMXxHZFNpYNeKFtG8_yji4HS352LGlSQ/edit?pli=1#gid=0"",""1_ACUM!A4:S""),11,FALSE))"),"")</f>
        <v/>
      </c>
      <c r="AW578" s="42" t="str">
        <f ca="1">IFERROR(__xludf.DUMMYFUNCTION("IFERROR(VLOOKUP(F595,IMPORTRANGE(""https://docs.google.com/spreadsheets/d/1Kvs4KS76FHFqLFIZfrDMff4kP08nblUkihrxltoGBjg/edit#gid=934712705"",""ESENCIAL!A6:BG""),15,FALSE))"),"")</f>
        <v/>
      </c>
      <c r="AX578" s="21" t="str">
        <f ca="1">IFERROR(__xludf.DUMMYFUNCTION("IFERROR(VLOOKUP(E595&amp;F595,IMPORTRANGE(""https://docs.google.com/spreadsheets/d/1Uw7-A9f9R21vMXxHZFNpYNeKFtG8_yji4HS352LGlSQ/edit?pli=1#gid=0"",""1_ACUM!A4:S""),12,FALSE))"),"")</f>
        <v/>
      </c>
      <c r="AY578" s="43" t="str">
        <f ca="1">IFERROR(__xludf.DUMMYFUNCTION("IFERROR(VLOOKUP(E595&amp;F595,IMPORTRANGE(""https://docs.google.com/spreadsheets/d/1Uw7-A9f9R21vMXxHZFNpYNeKFtG8_yji4HS352LGlSQ/edit?pli=1#gid=0"",""1_ACUM!A4:S""),13,FALSE))"),"")</f>
        <v/>
      </c>
      <c r="AZ578" s="43" t="str">
        <f ca="1">IFERROR(__xludf.DUMMYFUNCTION("IFERROR(VLOOKUP(E595&amp;F595,IMPORTRANGE(""https://docs.google.com/spreadsheets/d/1Uw7-A9f9R21vMXxHZFNpYNeKFtG8_yji4HS352LGlSQ/edit?pli=1#gid=0"",""1_ACUM!A4:S""),14,FALSE))"),"")</f>
        <v/>
      </c>
      <c r="BA578" s="43" t="str">
        <f ca="1">IFERROR(__xludf.DUMMYFUNCTION("IFERROR(VLOOKUP(E595&amp;F595,IMPORTRANGE(""https://docs.google.com/spreadsheets/d/1Uw7-A9f9R21vMXxHZFNpYNeKFtG8_yji4HS352LGlSQ/edit?pli=1#gid=0"",""1_ACUM!A4:S""),15,FALSE))"),"")</f>
        <v/>
      </c>
      <c r="BB578" s="43" t="str">
        <f ca="1">IFERROR(__xludf.DUMMYFUNCTION("IFERROR(VLOOKUP(E595&amp;F595,IMPORTRANGE(""https://docs.google.com/spreadsheets/d/1Uw7-A9f9R21vMXxHZFNpYNeKFtG8_yji4HS352LGlSQ/edit?pli=1#gid=0"",""1_ACUM!A4:S""),16,FALSE))"),"")</f>
        <v/>
      </c>
      <c r="BC578" s="43" t="str">
        <f ca="1">IFERROR(__xludf.DUMMYFUNCTION("IFERROR(VLOOKUP(E595&amp;F595,IMPORTRANGE(""https://docs.google.com/spreadsheets/d/1Uw7-A9f9R21vMXxHZFNpYNeKFtG8_yji4HS352LGlSQ/edit?pli=1#gid=0"",""1_ACUM!A4:S""),17,FALSE))"),"")</f>
        <v/>
      </c>
      <c r="BD578" s="44" t="str">
        <f ca="1">IFERROR(__xludf.DUMMYFUNCTION("IFERROR(VLOOKUP(E595&amp;F595,IMPORTRANGE(""https://docs.google.com/spreadsheets/d/1Uw7-A9f9R21vMXxHZFNpYNeKFtG8_yji4HS352LGlSQ/edit?pli=1#gid=0"",""1_ACUM!A4:S""),18,FALSE))"),"")</f>
        <v/>
      </c>
      <c r="BE578" s="44" t="str">
        <f ca="1">IFERROR(__xludf.DUMMYFUNCTION("IFERROR(VLOOKUP(E595&amp;F595,IMPORTRANGE(""https://docs.google.com/spreadsheets/d/1Uw7-A9f9R21vMXxHZFNpYNeKFtG8_yji4HS352LGlSQ/edit?pli=1#gid=0"",""1_ACUM!A4:S""),19,FALSE))"),"")</f>
        <v/>
      </c>
      <c r="BF578" s="44" t="str">
        <f ca="1">IFERROR(__xludf.DUMMYFUNCTION("IFERROR(VLOOKUP(F595,IMPORTRANGE(""https://docs.google.com/spreadsheets/d/1Kvs4KS76FHFqLFIZfrDMff4kP08nblUkihrxltoGBjg/edit#gid=934712705"",""ESENCIAL!A6:BG""),5,FALSE))"),"")</f>
        <v/>
      </c>
      <c r="BG578" s="44" t="str">
        <f t="shared" si="41"/>
        <v/>
      </c>
      <c r="BH578" s="41" t="str">
        <f t="shared" si="42"/>
        <v/>
      </c>
      <c r="BI578" s="41" t="str">
        <f ca="1">IFERROR(__xludf.DUMMYFUNCTION("IFERROR(VLOOKUP(F595,IMPORTRANGE(""https://docs.google.com/spreadsheets/d/1Kvs4KS76FHFqLFIZfrDMff4kP08nblUkihrxltoGBjg/edit#gid=934712705"",""ESENCIAL!A6:BG""),18,FALSE))"),"")</f>
        <v/>
      </c>
      <c r="BJ578" s="19" t="str">
        <f t="shared" si="43"/>
        <v/>
      </c>
      <c r="BK578" s="41"/>
      <c r="BL578" s="41"/>
    </row>
    <row r="579" spans="1:64" ht="15">
      <c r="A579" s="4"/>
      <c r="B579" s="4"/>
      <c r="G579" s="5" t="str">
        <f ca="1">IFERROR(__xludf.DUMMYFUNCTION("IFERROR(VLOOKUP(F596,IMPORTRANGE(""https://docs.google.com/spreadsheets/d/1Kvs4KS76FHFqLFIZfrDMff4kP08nblUkihrxltoGBjg/edit#gid=934712705"",""ESENCIAL!A6:BG""),3,FALSE))"),"")</f>
        <v/>
      </c>
      <c r="H579" s="5" t="str">
        <f ca="1">IFERROR(__xludf.DUMMYFUNCTION("IFERROR(VLOOKUP(F596,IMPORTRANGE(""https://docs.google.com/spreadsheets/d/1Kvs4KS76FHFqLFIZfrDMff4kP08nblUkihrxltoGBjg/edit#gid=934712705"",""ESENCIAL!A6:BG""),8,FALSE))"),"")</f>
        <v/>
      </c>
      <c r="L579" s="287"/>
      <c r="S579"/>
      <c r="AU579" s="41" t="str">
        <f t="shared" si="40"/>
        <v/>
      </c>
      <c r="AV579" s="5" t="str">
        <f ca="1">IFERROR(__xludf.DUMMYFUNCTION("IFERROR(VLOOKUP(E596&amp;F596,IMPORTRANGE(""https://docs.google.com/spreadsheets/d/1Uw7-A9f9R21vMXxHZFNpYNeKFtG8_yji4HS352LGlSQ/edit?pli=1#gid=0"",""1_ACUM!A4:S""),11,FALSE))"),"")</f>
        <v/>
      </c>
      <c r="AW579" s="42" t="str">
        <f ca="1">IFERROR(__xludf.DUMMYFUNCTION("IFERROR(VLOOKUP(F596,IMPORTRANGE(""https://docs.google.com/spreadsheets/d/1Kvs4KS76FHFqLFIZfrDMff4kP08nblUkihrxltoGBjg/edit#gid=934712705"",""ESENCIAL!A6:BG""),15,FALSE))"),"")</f>
        <v/>
      </c>
      <c r="AX579" s="21" t="str">
        <f ca="1">IFERROR(__xludf.DUMMYFUNCTION("IFERROR(VLOOKUP(E596&amp;F596,IMPORTRANGE(""https://docs.google.com/spreadsheets/d/1Uw7-A9f9R21vMXxHZFNpYNeKFtG8_yji4HS352LGlSQ/edit?pli=1#gid=0"",""1_ACUM!A4:S""),12,FALSE))"),"")</f>
        <v/>
      </c>
      <c r="AY579" s="43" t="str">
        <f ca="1">IFERROR(__xludf.DUMMYFUNCTION("IFERROR(VLOOKUP(E596&amp;F596,IMPORTRANGE(""https://docs.google.com/spreadsheets/d/1Uw7-A9f9R21vMXxHZFNpYNeKFtG8_yji4HS352LGlSQ/edit?pli=1#gid=0"",""1_ACUM!A4:S""),13,FALSE))"),"")</f>
        <v/>
      </c>
      <c r="AZ579" s="43" t="str">
        <f ca="1">IFERROR(__xludf.DUMMYFUNCTION("IFERROR(VLOOKUP(E596&amp;F596,IMPORTRANGE(""https://docs.google.com/spreadsheets/d/1Uw7-A9f9R21vMXxHZFNpYNeKFtG8_yji4HS352LGlSQ/edit?pli=1#gid=0"",""1_ACUM!A4:S""),14,FALSE))"),"")</f>
        <v/>
      </c>
      <c r="BA579" s="43" t="str">
        <f ca="1">IFERROR(__xludf.DUMMYFUNCTION("IFERROR(VLOOKUP(E596&amp;F596,IMPORTRANGE(""https://docs.google.com/spreadsheets/d/1Uw7-A9f9R21vMXxHZFNpYNeKFtG8_yji4HS352LGlSQ/edit?pli=1#gid=0"",""1_ACUM!A4:S""),15,FALSE))"),"")</f>
        <v/>
      </c>
      <c r="BB579" s="43" t="str">
        <f ca="1">IFERROR(__xludf.DUMMYFUNCTION("IFERROR(VLOOKUP(E596&amp;F596,IMPORTRANGE(""https://docs.google.com/spreadsheets/d/1Uw7-A9f9R21vMXxHZFNpYNeKFtG8_yji4HS352LGlSQ/edit?pli=1#gid=0"",""1_ACUM!A4:S""),16,FALSE))"),"")</f>
        <v/>
      </c>
      <c r="BC579" s="43" t="str">
        <f ca="1">IFERROR(__xludf.DUMMYFUNCTION("IFERROR(VLOOKUP(E596&amp;F596,IMPORTRANGE(""https://docs.google.com/spreadsheets/d/1Uw7-A9f9R21vMXxHZFNpYNeKFtG8_yji4HS352LGlSQ/edit?pli=1#gid=0"",""1_ACUM!A4:S""),17,FALSE))"),"")</f>
        <v/>
      </c>
      <c r="BD579" s="44" t="str">
        <f ca="1">IFERROR(__xludf.DUMMYFUNCTION("IFERROR(VLOOKUP(E596&amp;F596,IMPORTRANGE(""https://docs.google.com/spreadsheets/d/1Uw7-A9f9R21vMXxHZFNpYNeKFtG8_yji4HS352LGlSQ/edit?pli=1#gid=0"",""1_ACUM!A4:S""),18,FALSE))"),"")</f>
        <v/>
      </c>
      <c r="BE579" s="44" t="str">
        <f ca="1">IFERROR(__xludf.DUMMYFUNCTION("IFERROR(VLOOKUP(E596&amp;F596,IMPORTRANGE(""https://docs.google.com/spreadsheets/d/1Uw7-A9f9R21vMXxHZFNpYNeKFtG8_yji4HS352LGlSQ/edit?pli=1#gid=0"",""1_ACUM!A4:S""),19,FALSE))"),"")</f>
        <v/>
      </c>
      <c r="BF579" s="44" t="str">
        <f ca="1">IFERROR(__xludf.DUMMYFUNCTION("IFERROR(VLOOKUP(F596,IMPORTRANGE(""https://docs.google.com/spreadsheets/d/1Kvs4KS76FHFqLFIZfrDMff4kP08nblUkihrxltoGBjg/edit#gid=934712705"",""ESENCIAL!A6:BG""),5,FALSE))"),"")</f>
        <v/>
      </c>
      <c r="BG579" s="44" t="str">
        <f t="shared" si="41"/>
        <v/>
      </c>
      <c r="BH579" s="41" t="str">
        <f t="shared" si="42"/>
        <v/>
      </c>
      <c r="BI579" s="41" t="str">
        <f ca="1">IFERROR(__xludf.DUMMYFUNCTION("IFERROR(VLOOKUP(F596,IMPORTRANGE(""https://docs.google.com/spreadsheets/d/1Kvs4KS76FHFqLFIZfrDMff4kP08nblUkihrxltoGBjg/edit#gid=934712705"",""ESENCIAL!A6:BG""),18,FALSE))"),"")</f>
        <v/>
      </c>
      <c r="BJ579" s="19" t="str">
        <f t="shared" si="43"/>
        <v/>
      </c>
      <c r="BK579" s="41"/>
      <c r="BL579" s="41"/>
    </row>
    <row r="580" spans="1:64" ht="15">
      <c r="A580" s="4"/>
      <c r="B580" s="4"/>
      <c r="G580" s="5" t="str">
        <f ca="1">IFERROR(__xludf.DUMMYFUNCTION("IFERROR(VLOOKUP(F597,IMPORTRANGE(""https://docs.google.com/spreadsheets/d/1Kvs4KS76FHFqLFIZfrDMff4kP08nblUkihrxltoGBjg/edit#gid=934712705"",""ESENCIAL!A6:BG""),3,FALSE))"),"")</f>
        <v/>
      </c>
      <c r="H580" s="5" t="str">
        <f ca="1">IFERROR(__xludf.DUMMYFUNCTION("IFERROR(VLOOKUP(F597,IMPORTRANGE(""https://docs.google.com/spreadsheets/d/1Kvs4KS76FHFqLFIZfrDMff4kP08nblUkihrxltoGBjg/edit#gid=934712705"",""ESENCIAL!A6:BG""),8,FALSE))"),"")</f>
        <v/>
      </c>
      <c r="L580" s="287"/>
      <c r="S580"/>
      <c r="AU580" s="41" t="str">
        <f t="shared" si="40"/>
        <v/>
      </c>
      <c r="AV580" s="5" t="str">
        <f ca="1">IFERROR(__xludf.DUMMYFUNCTION("IFERROR(VLOOKUP(E597&amp;F597,IMPORTRANGE(""https://docs.google.com/spreadsheets/d/1Uw7-A9f9R21vMXxHZFNpYNeKFtG8_yji4HS352LGlSQ/edit?pli=1#gid=0"",""1_ACUM!A4:S""),11,FALSE))"),"")</f>
        <v/>
      </c>
      <c r="AW580" s="42" t="str">
        <f ca="1">IFERROR(__xludf.DUMMYFUNCTION("IFERROR(VLOOKUP(F597,IMPORTRANGE(""https://docs.google.com/spreadsheets/d/1Kvs4KS76FHFqLFIZfrDMff4kP08nblUkihrxltoGBjg/edit#gid=934712705"",""ESENCIAL!A6:BG""),15,FALSE))"),"")</f>
        <v/>
      </c>
      <c r="AX580" s="21" t="str">
        <f ca="1">IFERROR(__xludf.DUMMYFUNCTION("IFERROR(VLOOKUP(E597&amp;F597,IMPORTRANGE(""https://docs.google.com/spreadsheets/d/1Uw7-A9f9R21vMXxHZFNpYNeKFtG8_yji4HS352LGlSQ/edit?pli=1#gid=0"",""1_ACUM!A4:S""),12,FALSE))"),"")</f>
        <v/>
      </c>
      <c r="AY580" s="43" t="str">
        <f ca="1">IFERROR(__xludf.DUMMYFUNCTION("IFERROR(VLOOKUP(E597&amp;F597,IMPORTRANGE(""https://docs.google.com/spreadsheets/d/1Uw7-A9f9R21vMXxHZFNpYNeKFtG8_yji4HS352LGlSQ/edit?pli=1#gid=0"",""1_ACUM!A4:S""),13,FALSE))"),"")</f>
        <v/>
      </c>
      <c r="AZ580" s="43" t="str">
        <f ca="1">IFERROR(__xludf.DUMMYFUNCTION("IFERROR(VLOOKUP(E597&amp;F597,IMPORTRANGE(""https://docs.google.com/spreadsheets/d/1Uw7-A9f9R21vMXxHZFNpYNeKFtG8_yji4HS352LGlSQ/edit?pli=1#gid=0"",""1_ACUM!A4:S""),14,FALSE))"),"")</f>
        <v/>
      </c>
      <c r="BA580" s="43" t="str">
        <f ca="1">IFERROR(__xludf.DUMMYFUNCTION("IFERROR(VLOOKUP(E597&amp;F597,IMPORTRANGE(""https://docs.google.com/spreadsheets/d/1Uw7-A9f9R21vMXxHZFNpYNeKFtG8_yji4HS352LGlSQ/edit?pli=1#gid=0"",""1_ACUM!A4:S""),15,FALSE))"),"")</f>
        <v/>
      </c>
      <c r="BB580" s="43" t="str">
        <f ca="1">IFERROR(__xludf.DUMMYFUNCTION("IFERROR(VLOOKUP(E597&amp;F597,IMPORTRANGE(""https://docs.google.com/spreadsheets/d/1Uw7-A9f9R21vMXxHZFNpYNeKFtG8_yji4HS352LGlSQ/edit?pli=1#gid=0"",""1_ACUM!A4:S""),16,FALSE))"),"")</f>
        <v/>
      </c>
      <c r="BC580" s="43" t="str">
        <f ca="1">IFERROR(__xludf.DUMMYFUNCTION("IFERROR(VLOOKUP(E597&amp;F597,IMPORTRANGE(""https://docs.google.com/spreadsheets/d/1Uw7-A9f9R21vMXxHZFNpYNeKFtG8_yji4HS352LGlSQ/edit?pli=1#gid=0"",""1_ACUM!A4:S""),17,FALSE))"),"")</f>
        <v/>
      </c>
      <c r="BD580" s="44" t="str">
        <f ca="1">IFERROR(__xludf.DUMMYFUNCTION("IFERROR(VLOOKUP(E597&amp;F597,IMPORTRANGE(""https://docs.google.com/spreadsheets/d/1Uw7-A9f9R21vMXxHZFNpYNeKFtG8_yji4HS352LGlSQ/edit?pli=1#gid=0"",""1_ACUM!A4:S""),18,FALSE))"),"")</f>
        <v/>
      </c>
      <c r="BE580" s="44" t="str">
        <f ca="1">IFERROR(__xludf.DUMMYFUNCTION("IFERROR(VLOOKUP(E597&amp;F597,IMPORTRANGE(""https://docs.google.com/spreadsheets/d/1Uw7-A9f9R21vMXxHZFNpYNeKFtG8_yji4HS352LGlSQ/edit?pli=1#gid=0"",""1_ACUM!A4:S""),19,FALSE))"),"")</f>
        <v/>
      </c>
      <c r="BF580" s="44" t="str">
        <f ca="1">IFERROR(__xludf.DUMMYFUNCTION("IFERROR(VLOOKUP(F597,IMPORTRANGE(""https://docs.google.com/spreadsheets/d/1Kvs4KS76FHFqLFIZfrDMff4kP08nblUkihrxltoGBjg/edit#gid=934712705"",""ESENCIAL!A6:BG""),5,FALSE))"),"")</f>
        <v/>
      </c>
      <c r="BG580" s="44" t="str">
        <f t="shared" si="41"/>
        <v/>
      </c>
      <c r="BH580" s="41" t="str">
        <f t="shared" si="42"/>
        <v/>
      </c>
      <c r="BI580" s="41" t="str">
        <f ca="1">IFERROR(__xludf.DUMMYFUNCTION("IFERROR(VLOOKUP(F597,IMPORTRANGE(""https://docs.google.com/spreadsheets/d/1Kvs4KS76FHFqLFIZfrDMff4kP08nblUkihrxltoGBjg/edit#gid=934712705"",""ESENCIAL!A6:BG""),18,FALSE))"),"")</f>
        <v/>
      </c>
      <c r="BJ580" s="19" t="str">
        <f t="shared" si="43"/>
        <v/>
      </c>
      <c r="BK580" s="41"/>
      <c r="BL580" s="41"/>
    </row>
    <row r="581" spans="1:64" ht="15">
      <c r="A581" s="4"/>
      <c r="B581" s="4"/>
      <c r="G581" s="5" t="str">
        <f ca="1">IFERROR(__xludf.DUMMYFUNCTION("IFERROR(VLOOKUP(F598,IMPORTRANGE(""https://docs.google.com/spreadsheets/d/1Kvs4KS76FHFqLFIZfrDMff4kP08nblUkihrxltoGBjg/edit#gid=934712705"",""ESENCIAL!A6:BG""),3,FALSE))"),"")</f>
        <v/>
      </c>
      <c r="H581" s="5" t="str">
        <f ca="1">IFERROR(__xludf.DUMMYFUNCTION("IFERROR(VLOOKUP(F598,IMPORTRANGE(""https://docs.google.com/spreadsheets/d/1Kvs4KS76FHFqLFIZfrDMff4kP08nblUkihrxltoGBjg/edit#gid=934712705"",""ESENCIAL!A6:BG""),8,FALSE))"),"")</f>
        <v/>
      </c>
      <c r="L581" s="287"/>
      <c r="S581"/>
      <c r="AU581" s="41" t="str">
        <f t="shared" si="40"/>
        <v/>
      </c>
      <c r="AV581" s="5" t="str">
        <f ca="1">IFERROR(__xludf.DUMMYFUNCTION("IFERROR(VLOOKUP(E598&amp;F598,IMPORTRANGE(""https://docs.google.com/spreadsheets/d/1Uw7-A9f9R21vMXxHZFNpYNeKFtG8_yji4HS352LGlSQ/edit?pli=1#gid=0"",""1_ACUM!A4:S""),11,FALSE))"),"")</f>
        <v/>
      </c>
      <c r="AW581" s="42" t="str">
        <f ca="1">IFERROR(__xludf.DUMMYFUNCTION("IFERROR(VLOOKUP(F598,IMPORTRANGE(""https://docs.google.com/spreadsheets/d/1Kvs4KS76FHFqLFIZfrDMff4kP08nblUkihrxltoGBjg/edit#gid=934712705"",""ESENCIAL!A6:BG""),15,FALSE))"),"")</f>
        <v/>
      </c>
      <c r="AX581" s="21" t="str">
        <f ca="1">IFERROR(__xludf.DUMMYFUNCTION("IFERROR(VLOOKUP(E598&amp;F598,IMPORTRANGE(""https://docs.google.com/spreadsheets/d/1Uw7-A9f9R21vMXxHZFNpYNeKFtG8_yji4HS352LGlSQ/edit?pli=1#gid=0"",""1_ACUM!A4:S""),12,FALSE))"),"")</f>
        <v/>
      </c>
      <c r="AY581" s="43" t="str">
        <f ca="1">IFERROR(__xludf.DUMMYFUNCTION("IFERROR(VLOOKUP(E598&amp;F598,IMPORTRANGE(""https://docs.google.com/spreadsheets/d/1Uw7-A9f9R21vMXxHZFNpYNeKFtG8_yji4HS352LGlSQ/edit?pli=1#gid=0"",""1_ACUM!A4:S""),13,FALSE))"),"")</f>
        <v/>
      </c>
      <c r="AZ581" s="43" t="str">
        <f ca="1">IFERROR(__xludf.DUMMYFUNCTION("IFERROR(VLOOKUP(E598&amp;F598,IMPORTRANGE(""https://docs.google.com/spreadsheets/d/1Uw7-A9f9R21vMXxHZFNpYNeKFtG8_yji4HS352LGlSQ/edit?pli=1#gid=0"",""1_ACUM!A4:S""),14,FALSE))"),"")</f>
        <v/>
      </c>
      <c r="BA581" s="43" t="str">
        <f ca="1">IFERROR(__xludf.DUMMYFUNCTION("IFERROR(VLOOKUP(E598&amp;F598,IMPORTRANGE(""https://docs.google.com/spreadsheets/d/1Uw7-A9f9R21vMXxHZFNpYNeKFtG8_yji4HS352LGlSQ/edit?pli=1#gid=0"",""1_ACUM!A4:S""),15,FALSE))"),"")</f>
        <v/>
      </c>
      <c r="BB581" s="43" t="str">
        <f ca="1">IFERROR(__xludf.DUMMYFUNCTION("IFERROR(VLOOKUP(E598&amp;F598,IMPORTRANGE(""https://docs.google.com/spreadsheets/d/1Uw7-A9f9R21vMXxHZFNpYNeKFtG8_yji4HS352LGlSQ/edit?pli=1#gid=0"",""1_ACUM!A4:S""),16,FALSE))"),"")</f>
        <v/>
      </c>
      <c r="BC581" s="43" t="str">
        <f ca="1">IFERROR(__xludf.DUMMYFUNCTION("IFERROR(VLOOKUP(E598&amp;F598,IMPORTRANGE(""https://docs.google.com/spreadsheets/d/1Uw7-A9f9R21vMXxHZFNpYNeKFtG8_yji4HS352LGlSQ/edit?pli=1#gid=0"",""1_ACUM!A4:S""),17,FALSE))"),"")</f>
        <v/>
      </c>
      <c r="BD581" s="44" t="str">
        <f ca="1">IFERROR(__xludf.DUMMYFUNCTION("IFERROR(VLOOKUP(E598&amp;F598,IMPORTRANGE(""https://docs.google.com/spreadsheets/d/1Uw7-A9f9R21vMXxHZFNpYNeKFtG8_yji4HS352LGlSQ/edit?pli=1#gid=0"",""1_ACUM!A4:S""),18,FALSE))"),"")</f>
        <v/>
      </c>
      <c r="BE581" s="44" t="str">
        <f ca="1">IFERROR(__xludf.DUMMYFUNCTION("IFERROR(VLOOKUP(E598&amp;F598,IMPORTRANGE(""https://docs.google.com/spreadsheets/d/1Uw7-A9f9R21vMXxHZFNpYNeKFtG8_yji4HS352LGlSQ/edit?pli=1#gid=0"",""1_ACUM!A4:S""),19,FALSE))"),"")</f>
        <v/>
      </c>
      <c r="BF581" s="44" t="str">
        <f ca="1">IFERROR(__xludf.DUMMYFUNCTION("IFERROR(VLOOKUP(F598,IMPORTRANGE(""https://docs.google.com/spreadsheets/d/1Kvs4KS76FHFqLFIZfrDMff4kP08nblUkihrxltoGBjg/edit#gid=934712705"",""ESENCIAL!A6:BG""),5,FALSE))"),"")</f>
        <v/>
      </c>
      <c r="BG581" s="44" t="str">
        <f t="shared" si="41"/>
        <v/>
      </c>
      <c r="BH581" s="41" t="str">
        <f t="shared" si="42"/>
        <v/>
      </c>
      <c r="BI581" s="41" t="str">
        <f ca="1">IFERROR(__xludf.DUMMYFUNCTION("IFERROR(VLOOKUP(F598,IMPORTRANGE(""https://docs.google.com/spreadsheets/d/1Kvs4KS76FHFqLFIZfrDMff4kP08nblUkihrxltoGBjg/edit#gid=934712705"",""ESENCIAL!A6:BG""),18,FALSE))"),"")</f>
        <v/>
      </c>
      <c r="BJ581" s="19" t="str">
        <f t="shared" si="43"/>
        <v/>
      </c>
      <c r="BK581" s="41"/>
      <c r="BL581" s="41"/>
    </row>
    <row r="582" spans="1:64" ht="15">
      <c r="A582" s="4"/>
      <c r="B582" s="4"/>
      <c r="G582" s="5" t="str">
        <f ca="1">IFERROR(__xludf.DUMMYFUNCTION("IFERROR(VLOOKUP(F599,IMPORTRANGE(""https://docs.google.com/spreadsheets/d/1Kvs4KS76FHFqLFIZfrDMff4kP08nblUkihrxltoGBjg/edit#gid=934712705"",""ESENCIAL!A6:BG""),3,FALSE))"),"")</f>
        <v/>
      </c>
      <c r="H582" s="5" t="str">
        <f ca="1">IFERROR(__xludf.DUMMYFUNCTION("IFERROR(VLOOKUP(F599,IMPORTRANGE(""https://docs.google.com/spreadsheets/d/1Kvs4KS76FHFqLFIZfrDMff4kP08nblUkihrxltoGBjg/edit#gid=934712705"",""ESENCIAL!A6:BG""),8,FALSE))"),"")</f>
        <v/>
      </c>
      <c r="L582" s="287"/>
      <c r="S582"/>
      <c r="AU582" s="41" t="str">
        <f t="shared" si="40"/>
        <v/>
      </c>
      <c r="AV582" s="5" t="str">
        <f ca="1">IFERROR(__xludf.DUMMYFUNCTION("IFERROR(VLOOKUP(E599&amp;F599,IMPORTRANGE(""https://docs.google.com/spreadsheets/d/1Uw7-A9f9R21vMXxHZFNpYNeKFtG8_yji4HS352LGlSQ/edit?pli=1#gid=0"",""1_ACUM!A4:S""),11,FALSE))"),"")</f>
        <v/>
      </c>
      <c r="AW582" s="42" t="str">
        <f ca="1">IFERROR(__xludf.DUMMYFUNCTION("IFERROR(VLOOKUP(F599,IMPORTRANGE(""https://docs.google.com/spreadsheets/d/1Kvs4KS76FHFqLFIZfrDMff4kP08nblUkihrxltoGBjg/edit#gid=934712705"",""ESENCIAL!A6:BG""),15,FALSE))"),"")</f>
        <v/>
      </c>
      <c r="AX582" s="21" t="str">
        <f ca="1">IFERROR(__xludf.DUMMYFUNCTION("IFERROR(VLOOKUP(E599&amp;F599,IMPORTRANGE(""https://docs.google.com/spreadsheets/d/1Uw7-A9f9R21vMXxHZFNpYNeKFtG8_yji4HS352LGlSQ/edit?pli=1#gid=0"",""1_ACUM!A4:S""),12,FALSE))"),"")</f>
        <v/>
      </c>
      <c r="AY582" s="43" t="str">
        <f ca="1">IFERROR(__xludf.DUMMYFUNCTION("IFERROR(VLOOKUP(E599&amp;F599,IMPORTRANGE(""https://docs.google.com/spreadsheets/d/1Uw7-A9f9R21vMXxHZFNpYNeKFtG8_yji4HS352LGlSQ/edit?pli=1#gid=0"",""1_ACUM!A4:S""),13,FALSE))"),"")</f>
        <v/>
      </c>
      <c r="AZ582" s="43" t="str">
        <f ca="1">IFERROR(__xludf.DUMMYFUNCTION("IFERROR(VLOOKUP(E599&amp;F599,IMPORTRANGE(""https://docs.google.com/spreadsheets/d/1Uw7-A9f9R21vMXxHZFNpYNeKFtG8_yji4HS352LGlSQ/edit?pli=1#gid=0"",""1_ACUM!A4:S""),14,FALSE))"),"")</f>
        <v/>
      </c>
      <c r="BA582" s="43" t="str">
        <f ca="1">IFERROR(__xludf.DUMMYFUNCTION("IFERROR(VLOOKUP(E599&amp;F599,IMPORTRANGE(""https://docs.google.com/spreadsheets/d/1Uw7-A9f9R21vMXxHZFNpYNeKFtG8_yji4HS352LGlSQ/edit?pli=1#gid=0"",""1_ACUM!A4:S""),15,FALSE))"),"")</f>
        <v/>
      </c>
      <c r="BB582" s="43" t="str">
        <f ca="1">IFERROR(__xludf.DUMMYFUNCTION("IFERROR(VLOOKUP(E599&amp;F599,IMPORTRANGE(""https://docs.google.com/spreadsheets/d/1Uw7-A9f9R21vMXxHZFNpYNeKFtG8_yji4HS352LGlSQ/edit?pli=1#gid=0"",""1_ACUM!A4:S""),16,FALSE))"),"")</f>
        <v/>
      </c>
      <c r="BC582" s="43" t="str">
        <f ca="1">IFERROR(__xludf.DUMMYFUNCTION("IFERROR(VLOOKUP(E599&amp;F599,IMPORTRANGE(""https://docs.google.com/spreadsheets/d/1Uw7-A9f9R21vMXxHZFNpYNeKFtG8_yji4HS352LGlSQ/edit?pli=1#gid=0"",""1_ACUM!A4:S""),17,FALSE))"),"")</f>
        <v/>
      </c>
      <c r="BD582" s="44" t="str">
        <f ca="1">IFERROR(__xludf.DUMMYFUNCTION("IFERROR(VLOOKUP(E599&amp;F599,IMPORTRANGE(""https://docs.google.com/spreadsheets/d/1Uw7-A9f9R21vMXxHZFNpYNeKFtG8_yji4HS352LGlSQ/edit?pli=1#gid=0"",""1_ACUM!A4:S""),18,FALSE))"),"")</f>
        <v/>
      </c>
      <c r="BE582" s="44" t="str">
        <f ca="1">IFERROR(__xludf.DUMMYFUNCTION("IFERROR(VLOOKUP(E599&amp;F599,IMPORTRANGE(""https://docs.google.com/spreadsheets/d/1Uw7-A9f9R21vMXxHZFNpYNeKFtG8_yji4HS352LGlSQ/edit?pli=1#gid=0"",""1_ACUM!A4:S""),19,FALSE))"),"")</f>
        <v/>
      </c>
      <c r="BF582" s="44" t="str">
        <f ca="1">IFERROR(__xludf.DUMMYFUNCTION("IFERROR(VLOOKUP(F599,IMPORTRANGE(""https://docs.google.com/spreadsheets/d/1Kvs4KS76FHFqLFIZfrDMff4kP08nblUkihrxltoGBjg/edit#gid=934712705"",""ESENCIAL!A6:BG""),5,FALSE))"),"")</f>
        <v/>
      </c>
      <c r="BG582" s="44" t="str">
        <f t="shared" si="41"/>
        <v/>
      </c>
      <c r="BH582" s="41" t="str">
        <f t="shared" si="42"/>
        <v/>
      </c>
      <c r="BI582" s="41" t="str">
        <f ca="1">IFERROR(__xludf.DUMMYFUNCTION("IFERROR(VLOOKUP(F599,IMPORTRANGE(""https://docs.google.com/spreadsheets/d/1Kvs4KS76FHFqLFIZfrDMff4kP08nblUkihrxltoGBjg/edit#gid=934712705"",""ESENCIAL!A6:BG""),18,FALSE))"),"")</f>
        <v/>
      </c>
      <c r="BJ582" s="19" t="str">
        <f t="shared" si="43"/>
        <v/>
      </c>
      <c r="BK582" s="41"/>
      <c r="BL582" s="41"/>
    </row>
    <row r="583" spans="1:64" ht="15">
      <c r="A583" s="4"/>
      <c r="B583" s="4"/>
      <c r="G583" s="5" t="str">
        <f ca="1">IFERROR(__xludf.DUMMYFUNCTION("IFERROR(VLOOKUP(F600,IMPORTRANGE(""https://docs.google.com/spreadsheets/d/1Kvs4KS76FHFqLFIZfrDMff4kP08nblUkihrxltoGBjg/edit#gid=934712705"",""ESENCIAL!A6:BG""),3,FALSE))"),"")</f>
        <v/>
      </c>
      <c r="H583" s="5" t="str">
        <f ca="1">IFERROR(__xludf.DUMMYFUNCTION("IFERROR(VLOOKUP(F600,IMPORTRANGE(""https://docs.google.com/spreadsheets/d/1Kvs4KS76FHFqLFIZfrDMff4kP08nblUkihrxltoGBjg/edit#gid=934712705"",""ESENCIAL!A6:BG""),8,FALSE))"),"")</f>
        <v/>
      </c>
      <c r="L583" s="287"/>
      <c r="S583"/>
      <c r="AU583" s="41" t="str">
        <f t="shared" si="40"/>
        <v/>
      </c>
      <c r="AV583" s="5" t="str">
        <f ca="1">IFERROR(__xludf.DUMMYFUNCTION("IFERROR(VLOOKUP(E600&amp;F600,IMPORTRANGE(""https://docs.google.com/spreadsheets/d/1Uw7-A9f9R21vMXxHZFNpYNeKFtG8_yji4HS352LGlSQ/edit?pli=1#gid=0"",""1_ACUM!A4:S""),11,FALSE))"),"")</f>
        <v/>
      </c>
      <c r="AW583" s="42" t="str">
        <f ca="1">IFERROR(__xludf.DUMMYFUNCTION("IFERROR(VLOOKUP(F600,IMPORTRANGE(""https://docs.google.com/spreadsheets/d/1Kvs4KS76FHFqLFIZfrDMff4kP08nblUkihrxltoGBjg/edit#gid=934712705"",""ESENCIAL!A6:BG""),15,FALSE))"),"")</f>
        <v/>
      </c>
      <c r="AX583" s="21" t="str">
        <f ca="1">IFERROR(__xludf.DUMMYFUNCTION("IFERROR(VLOOKUP(E600&amp;F600,IMPORTRANGE(""https://docs.google.com/spreadsheets/d/1Uw7-A9f9R21vMXxHZFNpYNeKFtG8_yji4HS352LGlSQ/edit?pli=1#gid=0"",""1_ACUM!A4:S""),12,FALSE))"),"")</f>
        <v/>
      </c>
      <c r="AY583" s="43" t="str">
        <f ca="1">IFERROR(__xludf.DUMMYFUNCTION("IFERROR(VLOOKUP(E600&amp;F600,IMPORTRANGE(""https://docs.google.com/spreadsheets/d/1Uw7-A9f9R21vMXxHZFNpYNeKFtG8_yji4HS352LGlSQ/edit?pli=1#gid=0"",""1_ACUM!A4:S""),13,FALSE))"),"")</f>
        <v/>
      </c>
      <c r="AZ583" s="43" t="str">
        <f ca="1">IFERROR(__xludf.DUMMYFUNCTION("IFERROR(VLOOKUP(E600&amp;F600,IMPORTRANGE(""https://docs.google.com/spreadsheets/d/1Uw7-A9f9R21vMXxHZFNpYNeKFtG8_yji4HS352LGlSQ/edit?pli=1#gid=0"",""1_ACUM!A4:S""),14,FALSE))"),"")</f>
        <v/>
      </c>
      <c r="BA583" s="43" t="str">
        <f ca="1">IFERROR(__xludf.DUMMYFUNCTION("IFERROR(VLOOKUP(E600&amp;F600,IMPORTRANGE(""https://docs.google.com/spreadsheets/d/1Uw7-A9f9R21vMXxHZFNpYNeKFtG8_yji4HS352LGlSQ/edit?pli=1#gid=0"",""1_ACUM!A4:S""),15,FALSE))"),"")</f>
        <v/>
      </c>
      <c r="BB583" s="43" t="str">
        <f ca="1">IFERROR(__xludf.DUMMYFUNCTION("IFERROR(VLOOKUP(E600&amp;F600,IMPORTRANGE(""https://docs.google.com/spreadsheets/d/1Uw7-A9f9R21vMXxHZFNpYNeKFtG8_yji4HS352LGlSQ/edit?pli=1#gid=0"",""1_ACUM!A4:S""),16,FALSE))"),"")</f>
        <v/>
      </c>
      <c r="BC583" s="43" t="str">
        <f ca="1">IFERROR(__xludf.DUMMYFUNCTION("IFERROR(VLOOKUP(E600&amp;F600,IMPORTRANGE(""https://docs.google.com/spreadsheets/d/1Uw7-A9f9R21vMXxHZFNpYNeKFtG8_yji4HS352LGlSQ/edit?pli=1#gid=0"",""1_ACUM!A4:S""),17,FALSE))"),"")</f>
        <v/>
      </c>
      <c r="BD583" s="44" t="str">
        <f ca="1">IFERROR(__xludf.DUMMYFUNCTION("IFERROR(VLOOKUP(E600&amp;F600,IMPORTRANGE(""https://docs.google.com/spreadsheets/d/1Uw7-A9f9R21vMXxHZFNpYNeKFtG8_yji4HS352LGlSQ/edit?pli=1#gid=0"",""1_ACUM!A4:S""),18,FALSE))"),"")</f>
        <v/>
      </c>
      <c r="BE583" s="44" t="str">
        <f ca="1">IFERROR(__xludf.DUMMYFUNCTION("IFERROR(VLOOKUP(E600&amp;F600,IMPORTRANGE(""https://docs.google.com/spreadsheets/d/1Uw7-A9f9R21vMXxHZFNpYNeKFtG8_yji4HS352LGlSQ/edit?pli=1#gid=0"",""1_ACUM!A4:S""),19,FALSE))"),"")</f>
        <v/>
      </c>
      <c r="BF583" s="44" t="str">
        <f ca="1">IFERROR(__xludf.DUMMYFUNCTION("IFERROR(VLOOKUP(F600,IMPORTRANGE(""https://docs.google.com/spreadsheets/d/1Kvs4KS76FHFqLFIZfrDMff4kP08nblUkihrxltoGBjg/edit#gid=934712705"",""ESENCIAL!A6:BG""),5,FALSE))"),"")</f>
        <v/>
      </c>
      <c r="BG583" s="44" t="str">
        <f t="shared" si="41"/>
        <v/>
      </c>
      <c r="BH583" s="41" t="str">
        <f t="shared" si="42"/>
        <v/>
      </c>
      <c r="BI583" s="41" t="str">
        <f ca="1">IFERROR(__xludf.DUMMYFUNCTION("IFERROR(VLOOKUP(F600,IMPORTRANGE(""https://docs.google.com/spreadsheets/d/1Kvs4KS76FHFqLFIZfrDMff4kP08nblUkihrxltoGBjg/edit#gid=934712705"",""ESENCIAL!A6:BG""),18,FALSE))"),"")</f>
        <v/>
      </c>
      <c r="BJ583" s="19" t="str">
        <f t="shared" si="43"/>
        <v/>
      </c>
      <c r="BK583" s="41"/>
      <c r="BL583" s="41"/>
    </row>
    <row r="584" spans="1:64" ht="15">
      <c r="A584" s="4"/>
      <c r="B584" s="4"/>
      <c r="G584" s="5" t="str">
        <f ca="1">IFERROR(__xludf.DUMMYFUNCTION("IFERROR(VLOOKUP(F601,IMPORTRANGE(""https://docs.google.com/spreadsheets/d/1Kvs4KS76FHFqLFIZfrDMff4kP08nblUkihrxltoGBjg/edit#gid=934712705"",""ESENCIAL!A6:BG""),3,FALSE))"),"")</f>
        <v/>
      </c>
      <c r="H584" s="5" t="str">
        <f ca="1">IFERROR(__xludf.DUMMYFUNCTION("IFERROR(VLOOKUP(F601,IMPORTRANGE(""https://docs.google.com/spreadsheets/d/1Kvs4KS76FHFqLFIZfrDMff4kP08nblUkihrxltoGBjg/edit#gid=934712705"",""ESENCIAL!A6:BG""),8,FALSE))"),"")</f>
        <v/>
      </c>
      <c r="L584" s="287"/>
      <c r="S584"/>
      <c r="AU584" s="41" t="str">
        <f t="shared" si="40"/>
        <v/>
      </c>
      <c r="AV584" s="5" t="str">
        <f ca="1">IFERROR(__xludf.DUMMYFUNCTION("IFERROR(VLOOKUP(E601&amp;F601,IMPORTRANGE(""https://docs.google.com/spreadsheets/d/1Uw7-A9f9R21vMXxHZFNpYNeKFtG8_yji4HS352LGlSQ/edit?pli=1#gid=0"",""1_ACUM!A4:S""),11,FALSE))"),"")</f>
        <v/>
      </c>
      <c r="AW584" s="42" t="str">
        <f ca="1">IFERROR(__xludf.DUMMYFUNCTION("IFERROR(VLOOKUP(F601,IMPORTRANGE(""https://docs.google.com/spreadsheets/d/1Kvs4KS76FHFqLFIZfrDMff4kP08nblUkihrxltoGBjg/edit#gid=934712705"",""ESENCIAL!A6:BG""),15,FALSE))"),"")</f>
        <v/>
      </c>
      <c r="AX584" s="21" t="str">
        <f ca="1">IFERROR(__xludf.DUMMYFUNCTION("IFERROR(VLOOKUP(E601&amp;F601,IMPORTRANGE(""https://docs.google.com/spreadsheets/d/1Uw7-A9f9R21vMXxHZFNpYNeKFtG8_yji4HS352LGlSQ/edit?pli=1#gid=0"",""1_ACUM!A4:S""),12,FALSE))"),"")</f>
        <v/>
      </c>
      <c r="AY584" s="43" t="str">
        <f ca="1">IFERROR(__xludf.DUMMYFUNCTION("IFERROR(VLOOKUP(E601&amp;F601,IMPORTRANGE(""https://docs.google.com/spreadsheets/d/1Uw7-A9f9R21vMXxHZFNpYNeKFtG8_yji4HS352LGlSQ/edit?pli=1#gid=0"",""1_ACUM!A4:S""),13,FALSE))"),"")</f>
        <v/>
      </c>
      <c r="AZ584" s="43" t="str">
        <f ca="1">IFERROR(__xludf.DUMMYFUNCTION("IFERROR(VLOOKUP(E601&amp;F601,IMPORTRANGE(""https://docs.google.com/spreadsheets/d/1Uw7-A9f9R21vMXxHZFNpYNeKFtG8_yji4HS352LGlSQ/edit?pli=1#gid=0"",""1_ACUM!A4:S""),14,FALSE))"),"")</f>
        <v/>
      </c>
      <c r="BA584" s="43" t="str">
        <f ca="1">IFERROR(__xludf.DUMMYFUNCTION("IFERROR(VLOOKUP(E601&amp;F601,IMPORTRANGE(""https://docs.google.com/spreadsheets/d/1Uw7-A9f9R21vMXxHZFNpYNeKFtG8_yji4HS352LGlSQ/edit?pli=1#gid=0"",""1_ACUM!A4:S""),15,FALSE))"),"")</f>
        <v/>
      </c>
      <c r="BB584" s="43" t="str">
        <f ca="1">IFERROR(__xludf.DUMMYFUNCTION("IFERROR(VLOOKUP(E601&amp;F601,IMPORTRANGE(""https://docs.google.com/spreadsheets/d/1Uw7-A9f9R21vMXxHZFNpYNeKFtG8_yji4HS352LGlSQ/edit?pli=1#gid=0"",""1_ACUM!A4:S""),16,FALSE))"),"")</f>
        <v/>
      </c>
      <c r="BC584" s="43" t="str">
        <f ca="1">IFERROR(__xludf.DUMMYFUNCTION("IFERROR(VLOOKUP(E601&amp;F601,IMPORTRANGE(""https://docs.google.com/spreadsheets/d/1Uw7-A9f9R21vMXxHZFNpYNeKFtG8_yji4HS352LGlSQ/edit?pli=1#gid=0"",""1_ACUM!A4:S""),17,FALSE))"),"")</f>
        <v/>
      </c>
      <c r="BD584" s="44" t="str">
        <f ca="1">IFERROR(__xludf.DUMMYFUNCTION("IFERROR(VLOOKUP(E601&amp;F601,IMPORTRANGE(""https://docs.google.com/spreadsheets/d/1Uw7-A9f9R21vMXxHZFNpYNeKFtG8_yji4HS352LGlSQ/edit?pli=1#gid=0"",""1_ACUM!A4:S""),18,FALSE))"),"")</f>
        <v/>
      </c>
      <c r="BE584" s="44" t="str">
        <f ca="1">IFERROR(__xludf.DUMMYFUNCTION("IFERROR(VLOOKUP(E601&amp;F601,IMPORTRANGE(""https://docs.google.com/spreadsheets/d/1Uw7-A9f9R21vMXxHZFNpYNeKFtG8_yji4HS352LGlSQ/edit?pli=1#gid=0"",""1_ACUM!A4:S""),19,FALSE))"),"")</f>
        <v/>
      </c>
      <c r="BF584" s="44" t="str">
        <f ca="1">IFERROR(__xludf.DUMMYFUNCTION("IFERROR(VLOOKUP(F601,IMPORTRANGE(""https://docs.google.com/spreadsheets/d/1Kvs4KS76FHFqLFIZfrDMff4kP08nblUkihrxltoGBjg/edit#gid=934712705"",""ESENCIAL!A6:BG""),5,FALSE))"),"")</f>
        <v/>
      </c>
      <c r="BG584" s="44" t="str">
        <f t="shared" si="41"/>
        <v/>
      </c>
      <c r="BH584" s="41" t="str">
        <f t="shared" si="42"/>
        <v/>
      </c>
      <c r="BI584" s="41" t="str">
        <f ca="1">IFERROR(__xludf.DUMMYFUNCTION("IFERROR(VLOOKUP(F601,IMPORTRANGE(""https://docs.google.com/spreadsheets/d/1Kvs4KS76FHFqLFIZfrDMff4kP08nblUkihrxltoGBjg/edit#gid=934712705"",""ESENCIAL!A6:BG""),18,FALSE))"),"")</f>
        <v/>
      </c>
      <c r="BJ584" s="19" t="str">
        <f t="shared" si="43"/>
        <v/>
      </c>
      <c r="BK584" s="41"/>
      <c r="BL584" s="41"/>
    </row>
    <row r="585" spans="1:64" ht="15">
      <c r="A585" s="4"/>
      <c r="B585" s="4"/>
      <c r="G585" s="5" t="str">
        <f ca="1">IFERROR(__xludf.DUMMYFUNCTION("IFERROR(VLOOKUP(F602,IMPORTRANGE(""https://docs.google.com/spreadsheets/d/1Kvs4KS76FHFqLFIZfrDMff4kP08nblUkihrxltoGBjg/edit#gid=934712705"",""ESENCIAL!A6:BG""),3,FALSE))"),"")</f>
        <v/>
      </c>
      <c r="H585" s="5" t="str">
        <f ca="1">IFERROR(__xludf.DUMMYFUNCTION("IFERROR(VLOOKUP(F602,IMPORTRANGE(""https://docs.google.com/spreadsheets/d/1Kvs4KS76FHFqLFIZfrDMff4kP08nblUkihrxltoGBjg/edit#gid=934712705"",""ESENCIAL!A6:BG""),8,FALSE))"),"")</f>
        <v/>
      </c>
      <c r="L585" s="287"/>
      <c r="S585"/>
      <c r="AU585" s="41" t="str">
        <f t="shared" si="40"/>
        <v/>
      </c>
      <c r="AV585" s="5" t="str">
        <f ca="1">IFERROR(__xludf.DUMMYFUNCTION("IFERROR(VLOOKUP(E602&amp;F602,IMPORTRANGE(""https://docs.google.com/spreadsheets/d/1Uw7-A9f9R21vMXxHZFNpYNeKFtG8_yji4HS352LGlSQ/edit?pli=1#gid=0"",""1_ACUM!A4:S""),11,FALSE))"),"")</f>
        <v/>
      </c>
      <c r="AW585" s="42" t="str">
        <f ca="1">IFERROR(__xludf.DUMMYFUNCTION("IFERROR(VLOOKUP(F602,IMPORTRANGE(""https://docs.google.com/spreadsheets/d/1Kvs4KS76FHFqLFIZfrDMff4kP08nblUkihrxltoGBjg/edit#gid=934712705"",""ESENCIAL!A6:BG""),15,FALSE))"),"")</f>
        <v/>
      </c>
      <c r="AX585" s="21" t="str">
        <f ca="1">IFERROR(__xludf.DUMMYFUNCTION("IFERROR(VLOOKUP(E602&amp;F602,IMPORTRANGE(""https://docs.google.com/spreadsheets/d/1Uw7-A9f9R21vMXxHZFNpYNeKFtG8_yji4HS352LGlSQ/edit?pli=1#gid=0"",""1_ACUM!A4:S""),12,FALSE))"),"")</f>
        <v/>
      </c>
      <c r="AY585" s="43" t="str">
        <f ca="1">IFERROR(__xludf.DUMMYFUNCTION("IFERROR(VLOOKUP(E602&amp;F602,IMPORTRANGE(""https://docs.google.com/spreadsheets/d/1Uw7-A9f9R21vMXxHZFNpYNeKFtG8_yji4HS352LGlSQ/edit?pli=1#gid=0"",""1_ACUM!A4:S""),13,FALSE))"),"")</f>
        <v/>
      </c>
      <c r="AZ585" s="43" t="str">
        <f ca="1">IFERROR(__xludf.DUMMYFUNCTION("IFERROR(VLOOKUP(E602&amp;F602,IMPORTRANGE(""https://docs.google.com/spreadsheets/d/1Uw7-A9f9R21vMXxHZFNpYNeKFtG8_yji4HS352LGlSQ/edit?pli=1#gid=0"",""1_ACUM!A4:S""),14,FALSE))"),"")</f>
        <v/>
      </c>
      <c r="BA585" s="43" t="str">
        <f ca="1">IFERROR(__xludf.DUMMYFUNCTION("IFERROR(VLOOKUP(E602&amp;F602,IMPORTRANGE(""https://docs.google.com/spreadsheets/d/1Uw7-A9f9R21vMXxHZFNpYNeKFtG8_yji4HS352LGlSQ/edit?pli=1#gid=0"",""1_ACUM!A4:S""),15,FALSE))"),"")</f>
        <v/>
      </c>
      <c r="BB585" s="43" t="str">
        <f ca="1">IFERROR(__xludf.DUMMYFUNCTION("IFERROR(VLOOKUP(E602&amp;F602,IMPORTRANGE(""https://docs.google.com/spreadsheets/d/1Uw7-A9f9R21vMXxHZFNpYNeKFtG8_yji4HS352LGlSQ/edit?pli=1#gid=0"",""1_ACUM!A4:S""),16,FALSE))"),"")</f>
        <v/>
      </c>
      <c r="BC585" s="43" t="str">
        <f ca="1">IFERROR(__xludf.DUMMYFUNCTION("IFERROR(VLOOKUP(E602&amp;F602,IMPORTRANGE(""https://docs.google.com/spreadsheets/d/1Uw7-A9f9R21vMXxHZFNpYNeKFtG8_yji4HS352LGlSQ/edit?pli=1#gid=0"",""1_ACUM!A4:S""),17,FALSE))"),"")</f>
        <v/>
      </c>
      <c r="BD585" s="44" t="str">
        <f ca="1">IFERROR(__xludf.DUMMYFUNCTION("IFERROR(VLOOKUP(E602&amp;F602,IMPORTRANGE(""https://docs.google.com/spreadsheets/d/1Uw7-A9f9R21vMXxHZFNpYNeKFtG8_yji4HS352LGlSQ/edit?pli=1#gid=0"",""1_ACUM!A4:S""),18,FALSE))"),"")</f>
        <v/>
      </c>
      <c r="BE585" s="44" t="str">
        <f ca="1">IFERROR(__xludf.DUMMYFUNCTION("IFERROR(VLOOKUP(E602&amp;F602,IMPORTRANGE(""https://docs.google.com/spreadsheets/d/1Uw7-A9f9R21vMXxHZFNpYNeKFtG8_yji4HS352LGlSQ/edit?pli=1#gid=0"",""1_ACUM!A4:S""),19,FALSE))"),"")</f>
        <v/>
      </c>
      <c r="BF585" s="44" t="str">
        <f ca="1">IFERROR(__xludf.DUMMYFUNCTION("IFERROR(VLOOKUP(F602,IMPORTRANGE(""https://docs.google.com/spreadsheets/d/1Kvs4KS76FHFqLFIZfrDMff4kP08nblUkihrxltoGBjg/edit#gid=934712705"",""ESENCIAL!A6:BG""),5,FALSE))"),"")</f>
        <v/>
      </c>
      <c r="BG585" s="44" t="str">
        <f t="shared" si="41"/>
        <v/>
      </c>
      <c r="BH585" s="41" t="str">
        <f t="shared" si="42"/>
        <v/>
      </c>
      <c r="BI585" s="41" t="str">
        <f ca="1">IFERROR(__xludf.DUMMYFUNCTION("IFERROR(VLOOKUP(F602,IMPORTRANGE(""https://docs.google.com/spreadsheets/d/1Kvs4KS76FHFqLFIZfrDMff4kP08nblUkihrxltoGBjg/edit#gid=934712705"",""ESENCIAL!A6:BG""),18,FALSE))"),"")</f>
        <v/>
      </c>
      <c r="BJ585" s="19" t="str">
        <f t="shared" si="43"/>
        <v/>
      </c>
      <c r="BK585" s="41"/>
      <c r="BL585" s="41"/>
    </row>
    <row r="586" spans="1:64" ht="15">
      <c r="A586" s="4"/>
      <c r="B586" s="4"/>
      <c r="G586" s="5" t="str">
        <f ca="1">IFERROR(__xludf.DUMMYFUNCTION("IFERROR(VLOOKUP(F603,IMPORTRANGE(""https://docs.google.com/spreadsheets/d/1Kvs4KS76FHFqLFIZfrDMff4kP08nblUkihrxltoGBjg/edit#gid=934712705"",""ESENCIAL!A6:BG""),3,FALSE))"),"")</f>
        <v/>
      </c>
      <c r="H586" s="5" t="str">
        <f ca="1">IFERROR(__xludf.DUMMYFUNCTION("IFERROR(VLOOKUP(F603,IMPORTRANGE(""https://docs.google.com/spreadsheets/d/1Kvs4KS76FHFqLFIZfrDMff4kP08nblUkihrxltoGBjg/edit#gid=934712705"",""ESENCIAL!A6:BG""),8,FALSE))"),"")</f>
        <v/>
      </c>
      <c r="L586" s="287"/>
      <c r="S586"/>
      <c r="AU586" s="41" t="str">
        <f t="shared" si="40"/>
        <v/>
      </c>
      <c r="AV586" s="5" t="str">
        <f ca="1">IFERROR(__xludf.DUMMYFUNCTION("IFERROR(VLOOKUP(E603&amp;F603,IMPORTRANGE(""https://docs.google.com/spreadsheets/d/1Uw7-A9f9R21vMXxHZFNpYNeKFtG8_yji4HS352LGlSQ/edit?pli=1#gid=0"",""1_ACUM!A4:S""),11,FALSE))"),"")</f>
        <v/>
      </c>
      <c r="AW586" s="42" t="str">
        <f ca="1">IFERROR(__xludf.DUMMYFUNCTION("IFERROR(VLOOKUP(F603,IMPORTRANGE(""https://docs.google.com/spreadsheets/d/1Kvs4KS76FHFqLFIZfrDMff4kP08nblUkihrxltoGBjg/edit#gid=934712705"",""ESENCIAL!A6:BG""),15,FALSE))"),"")</f>
        <v/>
      </c>
      <c r="AX586" s="21" t="str">
        <f ca="1">IFERROR(__xludf.DUMMYFUNCTION("IFERROR(VLOOKUP(E603&amp;F603,IMPORTRANGE(""https://docs.google.com/spreadsheets/d/1Uw7-A9f9R21vMXxHZFNpYNeKFtG8_yji4HS352LGlSQ/edit?pli=1#gid=0"",""1_ACUM!A4:S""),12,FALSE))"),"")</f>
        <v/>
      </c>
      <c r="AY586" s="43" t="str">
        <f ca="1">IFERROR(__xludf.DUMMYFUNCTION("IFERROR(VLOOKUP(E603&amp;F603,IMPORTRANGE(""https://docs.google.com/spreadsheets/d/1Uw7-A9f9R21vMXxHZFNpYNeKFtG8_yji4HS352LGlSQ/edit?pli=1#gid=0"",""1_ACUM!A4:S""),13,FALSE))"),"")</f>
        <v/>
      </c>
      <c r="AZ586" s="43" t="str">
        <f ca="1">IFERROR(__xludf.DUMMYFUNCTION("IFERROR(VLOOKUP(E603&amp;F603,IMPORTRANGE(""https://docs.google.com/spreadsheets/d/1Uw7-A9f9R21vMXxHZFNpYNeKFtG8_yji4HS352LGlSQ/edit?pli=1#gid=0"",""1_ACUM!A4:S""),14,FALSE))"),"")</f>
        <v/>
      </c>
      <c r="BA586" s="43" t="str">
        <f ca="1">IFERROR(__xludf.DUMMYFUNCTION("IFERROR(VLOOKUP(E603&amp;F603,IMPORTRANGE(""https://docs.google.com/spreadsheets/d/1Uw7-A9f9R21vMXxHZFNpYNeKFtG8_yji4HS352LGlSQ/edit?pli=1#gid=0"",""1_ACUM!A4:S""),15,FALSE))"),"")</f>
        <v/>
      </c>
      <c r="BB586" s="43" t="str">
        <f ca="1">IFERROR(__xludf.DUMMYFUNCTION("IFERROR(VLOOKUP(E603&amp;F603,IMPORTRANGE(""https://docs.google.com/spreadsheets/d/1Uw7-A9f9R21vMXxHZFNpYNeKFtG8_yji4HS352LGlSQ/edit?pli=1#gid=0"",""1_ACUM!A4:S""),16,FALSE))"),"")</f>
        <v/>
      </c>
      <c r="BC586" s="43" t="str">
        <f ca="1">IFERROR(__xludf.DUMMYFUNCTION("IFERROR(VLOOKUP(E603&amp;F603,IMPORTRANGE(""https://docs.google.com/spreadsheets/d/1Uw7-A9f9R21vMXxHZFNpYNeKFtG8_yji4HS352LGlSQ/edit?pli=1#gid=0"",""1_ACUM!A4:S""),17,FALSE))"),"")</f>
        <v/>
      </c>
      <c r="BD586" s="44" t="str">
        <f ca="1">IFERROR(__xludf.DUMMYFUNCTION("IFERROR(VLOOKUP(E603&amp;F603,IMPORTRANGE(""https://docs.google.com/spreadsheets/d/1Uw7-A9f9R21vMXxHZFNpYNeKFtG8_yji4HS352LGlSQ/edit?pli=1#gid=0"",""1_ACUM!A4:S""),18,FALSE))"),"")</f>
        <v/>
      </c>
      <c r="BE586" s="44" t="str">
        <f ca="1">IFERROR(__xludf.DUMMYFUNCTION("IFERROR(VLOOKUP(E603&amp;F603,IMPORTRANGE(""https://docs.google.com/spreadsheets/d/1Uw7-A9f9R21vMXxHZFNpYNeKFtG8_yji4HS352LGlSQ/edit?pli=1#gid=0"",""1_ACUM!A4:S""),19,FALSE))"),"")</f>
        <v/>
      </c>
      <c r="BF586" s="44" t="str">
        <f ca="1">IFERROR(__xludf.DUMMYFUNCTION("IFERROR(VLOOKUP(F603,IMPORTRANGE(""https://docs.google.com/spreadsheets/d/1Kvs4KS76FHFqLFIZfrDMff4kP08nblUkihrxltoGBjg/edit#gid=934712705"",""ESENCIAL!A6:BG""),5,FALSE))"),"")</f>
        <v/>
      </c>
      <c r="BG586" s="44" t="str">
        <f t="shared" si="41"/>
        <v/>
      </c>
      <c r="BH586" s="41" t="str">
        <f t="shared" si="42"/>
        <v/>
      </c>
      <c r="BI586" s="41" t="str">
        <f ca="1">IFERROR(__xludf.DUMMYFUNCTION("IFERROR(VLOOKUP(F603,IMPORTRANGE(""https://docs.google.com/spreadsheets/d/1Kvs4KS76FHFqLFIZfrDMff4kP08nblUkihrxltoGBjg/edit#gid=934712705"",""ESENCIAL!A6:BG""),18,FALSE))"),"")</f>
        <v/>
      </c>
      <c r="BJ586" s="19" t="str">
        <f t="shared" si="43"/>
        <v/>
      </c>
      <c r="BK586" s="41"/>
      <c r="BL586" s="41"/>
    </row>
    <row r="587" spans="1:64" ht="15">
      <c r="A587" s="4"/>
      <c r="B587" s="4"/>
      <c r="G587" s="5" t="str">
        <f ca="1">IFERROR(__xludf.DUMMYFUNCTION("IFERROR(VLOOKUP(F604,IMPORTRANGE(""https://docs.google.com/spreadsheets/d/1Kvs4KS76FHFqLFIZfrDMff4kP08nblUkihrxltoGBjg/edit#gid=934712705"",""ESENCIAL!A6:BG""),3,FALSE))"),"")</f>
        <v/>
      </c>
      <c r="H587" s="5" t="str">
        <f ca="1">IFERROR(__xludf.DUMMYFUNCTION("IFERROR(VLOOKUP(F604,IMPORTRANGE(""https://docs.google.com/spreadsheets/d/1Kvs4KS76FHFqLFIZfrDMff4kP08nblUkihrxltoGBjg/edit#gid=934712705"",""ESENCIAL!A6:BG""),8,FALSE))"),"")</f>
        <v/>
      </c>
      <c r="L587" s="287"/>
      <c r="S587"/>
      <c r="AU587" s="41" t="str">
        <f t="shared" si="40"/>
        <v/>
      </c>
      <c r="AV587" s="5" t="str">
        <f ca="1">IFERROR(__xludf.DUMMYFUNCTION("IFERROR(VLOOKUP(E604&amp;F604,IMPORTRANGE(""https://docs.google.com/spreadsheets/d/1Uw7-A9f9R21vMXxHZFNpYNeKFtG8_yji4HS352LGlSQ/edit?pli=1#gid=0"",""1_ACUM!A4:S""),11,FALSE))"),"")</f>
        <v/>
      </c>
      <c r="AW587" s="42" t="str">
        <f ca="1">IFERROR(__xludf.DUMMYFUNCTION("IFERROR(VLOOKUP(F604,IMPORTRANGE(""https://docs.google.com/spreadsheets/d/1Kvs4KS76FHFqLFIZfrDMff4kP08nblUkihrxltoGBjg/edit#gid=934712705"",""ESENCIAL!A6:BG""),15,FALSE))"),"")</f>
        <v/>
      </c>
      <c r="AX587" s="21" t="str">
        <f ca="1">IFERROR(__xludf.DUMMYFUNCTION("IFERROR(VLOOKUP(E604&amp;F604,IMPORTRANGE(""https://docs.google.com/spreadsheets/d/1Uw7-A9f9R21vMXxHZFNpYNeKFtG8_yji4HS352LGlSQ/edit?pli=1#gid=0"",""1_ACUM!A4:S""),12,FALSE))"),"")</f>
        <v/>
      </c>
      <c r="AY587" s="43" t="str">
        <f ca="1">IFERROR(__xludf.DUMMYFUNCTION("IFERROR(VLOOKUP(E604&amp;F604,IMPORTRANGE(""https://docs.google.com/spreadsheets/d/1Uw7-A9f9R21vMXxHZFNpYNeKFtG8_yji4HS352LGlSQ/edit?pli=1#gid=0"",""1_ACUM!A4:S""),13,FALSE))"),"")</f>
        <v/>
      </c>
      <c r="AZ587" s="43" t="str">
        <f ca="1">IFERROR(__xludf.DUMMYFUNCTION("IFERROR(VLOOKUP(E604&amp;F604,IMPORTRANGE(""https://docs.google.com/spreadsheets/d/1Uw7-A9f9R21vMXxHZFNpYNeKFtG8_yji4HS352LGlSQ/edit?pli=1#gid=0"",""1_ACUM!A4:S""),14,FALSE))"),"")</f>
        <v/>
      </c>
      <c r="BA587" s="43" t="str">
        <f ca="1">IFERROR(__xludf.DUMMYFUNCTION("IFERROR(VLOOKUP(E604&amp;F604,IMPORTRANGE(""https://docs.google.com/spreadsheets/d/1Uw7-A9f9R21vMXxHZFNpYNeKFtG8_yji4HS352LGlSQ/edit?pli=1#gid=0"",""1_ACUM!A4:S""),15,FALSE))"),"")</f>
        <v/>
      </c>
      <c r="BB587" s="43" t="str">
        <f ca="1">IFERROR(__xludf.DUMMYFUNCTION("IFERROR(VLOOKUP(E604&amp;F604,IMPORTRANGE(""https://docs.google.com/spreadsheets/d/1Uw7-A9f9R21vMXxHZFNpYNeKFtG8_yji4HS352LGlSQ/edit?pli=1#gid=0"",""1_ACUM!A4:S""),16,FALSE))"),"")</f>
        <v/>
      </c>
      <c r="BC587" s="43" t="str">
        <f ca="1">IFERROR(__xludf.DUMMYFUNCTION("IFERROR(VLOOKUP(E604&amp;F604,IMPORTRANGE(""https://docs.google.com/spreadsheets/d/1Uw7-A9f9R21vMXxHZFNpYNeKFtG8_yji4HS352LGlSQ/edit?pli=1#gid=0"",""1_ACUM!A4:S""),17,FALSE))"),"")</f>
        <v/>
      </c>
      <c r="BD587" s="44" t="str">
        <f ca="1">IFERROR(__xludf.DUMMYFUNCTION("IFERROR(VLOOKUP(E604&amp;F604,IMPORTRANGE(""https://docs.google.com/spreadsheets/d/1Uw7-A9f9R21vMXxHZFNpYNeKFtG8_yji4HS352LGlSQ/edit?pli=1#gid=0"",""1_ACUM!A4:S""),18,FALSE))"),"")</f>
        <v/>
      </c>
      <c r="BE587" s="44" t="str">
        <f ca="1">IFERROR(__xludf.DUMMYFUNCTION("IFERROR(VLOOKUP(E604&amp;F604,IMPORTRANGE(""https://docs.google.com/spreadsheets/d/1Uw7-A9f9R21vMXxHZFNpYNeKFtG8_yji4HS352LGlSQ/edit?pli=1#gid=0"",""1_ACUM!A4:S""),19,FALSE))"),"")</f>
        <v/>
      </c>
      <c r="BF587" s="44" t="str">
        <f ca="1">IFERROR(__xludf.DUMMYFUNCTION("IFERROR(VLOOKUP(F604,IMPORTRANGE(""https://docs.google.com/spreadsheets/d/1Kvs4KS76FHFqLFIZfrDMff4kP08nblUkihrxltoGBjg/edit#gid=934712705"",""ESENCIAL!A6:BG""),5,FALSE))"),"")</f>
        <v/>
      </c>
      <c r="BG587" s="44" t="str">
        <f t="shared" si="41"/>
        <v/>
      </c>
      <c r="BH587" s="41" t="str">
        <f t="shared" si="42"/>
        <v/>
      </c>
      <c r="BI587" s="41" t="str">
        <f ca="1">IFERROR(__xludf.DUMMYFUNCTION("IFERROR(VLOOKUP(F604,IMPORTRANGE(""https://docs.google.com/spreadsheets/d/1Kvs4KS76FHFqLFIZfrDMff4kP08nblUkihrxltoGBjg/edit#gid=934712705"",""ESENCIAL!A6:BG""),18,FALSE))"),"")</f>
        <v/>
      </c>
      <c r="BJ587" s="19" t="str">
        <f t="shared" si="43"/>
        <v/>
      </c>
      <c r="BK587" s="41"/>
      <c r="BL587" s="41"/>
    </row>
    <row r="588" spans="1:64" ht="15">
      <c r="A588" s="4"/>
      <c r="B588" s="4"/>
      <c r="G588" s="5" t="str">
        <f ca="1">IFERROR(__xludf.DUMMYFUNCTION("IFERROR(VLOOKUP(F605,IMPORTRANGE(""https://docs.google.com/spreadsheets/d/1Kvs4KS76FHFqLFIZfrDMff4kP08nblUkihrxltoGBjg/edit#gid=934712705"",""ESENCIAL!A6:BG""),3,FALSE))"),"")</f>
        <v/>
      </c>
      <c r="H588" s="5" t="str">
        <f ca="1">IFERROR(__xludf.DUMMYFUNCTION("IFERROR(VLOOKUP(F605,IMPORTRANGE(""https://docs.google.com/spreadsheets/d/1Kvs4KS76FHFqLFIZfrDMff4kP08nblUkihrxltoGBjg/edit#gid=934712705"",""ESENCIAL!A6:BG""),8,FALSE))"),"")</f>
        <v/>
      </c>
      <c r="L588" s="287"/>
      <c r="S588"/>
      <c r="AU588" s="41" t="str">
        <f t="shared" si="40"/>
        <v/>
      </c>
      <c r="AV588" s="5" t="str">
        <f ca="1">IFERROR(__xludf.DUMMYFUNCTION("IFERROR(VLOOKUP(E605&amp;F605,IMPORTRANGE(""https://docs.google.com/spreadsheets/d/1Uw7-A9f9R21vMXxHZFNpYNeKFtG8_yji4HS352LGlSQ/edit?pli=1#gid=0"",""1_ACUM!A4:S""),11,FALSE))"),"")</f>
        <v/>
      </c>
      <c r="AW588" s="42" t="str">
        <f ca="1">IFERROR(__xludf.DUMMYFUNCTION("IFERROR(VLOOKUP(F605,IMPORTRANGE(""https://docs.google.com/spreadsheets/d/1Kvs4KS76FHFqLFIZfrDMff4kP08nblUkihrxltoGBjg/edit#gid=934712705"",""ESENCIAL!A6:BG""),15,FALSE))"),"")</f>
        <v/>
      </c>
      <c r="AX588" s="21" t="str">
        <f ca="1">IFERROR(__xludf.DUMMYFUNCTION("IFERROR(VLOOKUP(E605&amp;F605,IMPORTRANGE(""https://docs.google.com/spreadsheets/d/1Uw7-A9f9R21vMXxHZFNpYNeKFtG8_yji4HS352LGlSQ/edit?pli=1#gid=0"",""1_ACUM!A4:S""),12,FALSE))"),"")</f>
        <v/>
      </c>
      <c r="AY588" s="43" t="str">
        <f ca="1">IFERROR(__xludf.DUMMYFUNCTION("IFERROR(VLOOKUP(E605&amp;F605,IMPORTRANGE(""https://docs.google.com/spreadsheets/d/1Uw7-A9f9R21vMXxHZFNpYNeKFtG8_yji4HS352LGlSQ/edit?pli=1#gid=0"",""1_ACUM!A4:S""),13,FALSE))"),"")</f>
        <v/>
      </c>
      <c r="AZ588" s="43" t="str">
        <f ca="1">IFERROR(__xludf.DUMMYFUNCTION("IFERROR(VLOOKUP(E605&amp;F605,IMPORTRANGE(""https://docs.google.com/spreadsheets/d/1Uw7-A9f9R21vMXxHZFNpYNeKFtG8_yji4HS352LGlSQ/edit?pli=1#gid=0"",""1_ACUM!A4:S""),14,FALSE))"),"")</f>
        <v/>
      </c>
      <c r="BA588" s="43" t="str">
        <f ca="1">IFERROR(__xludf.DUMMYFUNCTION("IFERROR(VLOOKUP(E605&amp;F605,IMPORTRANGE(""https://docs.google.com/spreadsheets/d/1Uw7-A9f9R21vMXxHZFNpYNeKFtG8_yji4HS352LGlSQ/edit?pli=1#gid=0"",""1_ACUM!A4:S""),15,FALSE))"),"")</f>
        <v/>
      </c>
      <c r="BB588" s="43" t="str">
        <f ca="1">IFERROR(__xludf.DUMMYFUNCTION("IFERROR(VLOOKUP(E605&amp;F605,IMPORTRANGE(""https://docs.google.com/spreadsheets/d/1Uw7-A9f9R21vMXxHZFNpYNeKFtG8_yji4HS352LGlSQ/edit?pli=1#gid=0"",""1_ACUM!A4:S""),16,FALSE))"),"")</f>
        <v/>
      </c>
      <c r="BC588" s="43" t="str">
        <f ca="1">IFERROR(__xludf.DUMMYFUNCTION("IFERROR(VLOOKUP(E605&amp;F605,IMPORTRANGE(""https://docs.google.com/spreadsheets/d/1Uw7-A9f9R21vMXxHZFNpYNeKFtG8_yji4HS352LGlSQ/edit?pli=1#gid=0"",""1_ACUM!A4:S""),17,FALSE))"),"")</f>
        <v/>
      </c>
      <c r="BD588" s="44" t="str">
        <f ca="1">IFERROR(__xludf.DUMMYFUNCTION("IFERROR(VLOOKUP(E605&amp;F605,IMPORTRANGE(""https://docs.google.com/spreadsheets/d/1Uw7-A9f9R21vMXxHZFNpYNeKFtG8_yji4HS352LGlSQ/edit?pli=1#gid=0"",""1_ACUM!A4:S""),18,FALSE))"),"")</f>
        <v/>
      </c>
      <c r="BE588" s="44" t="str">
        <f ca="1">IFERROR(__xludf.DUMMYFUNCTION("IFERROR(VLOOKUP(E605&amp;F605,IMPORTRANGE(""https://docs.google.com/spreadsheets/d/1Uw7-A9f9R21vMXxHZFNpYNeKFtG8_yji4HS352LGlSQ/edit?pli=1#gid=0"",""1_ACUM!A4:S""),19,FALSE))"),"")</f>
        <v/>
      </c>
      <c r="BF588" s="44" t="str">
        <f ca="1">IFERROR(__xludf.DUMMYFUNCTION("IFERROR(VLOOKUP(F605,IMPORTRANGE(""https://docs.google.com/spreadsheets/d/1Kvs4KS76FHFqLFIZfrDMff4kP08nblUkihrxltoGBjg/edit#gid=934712705"",""ESENCIAL!A6:BG""),5,FALSE))"),"")</f>
        <v/>
      </c>
      <c r="BG588" s="44" t="str">
        <f t="shared" si="41"/>
        <v/>
      </c>
      <c r="BH588" s="41" t="str">
        <f t="shared" si="42"/>
        <v/>
      </c>
      <c r="BI588" s="41" t="str">
        <f ca="1">IFERROR(__xludf.DUMMYFUNCTION("IFERROR(VLOOKUP(F605,IMPORTRANGE(""https://docs.google.com/spreadsheets/d/1Kvs4KS76FHFqLFIZfrDMff4kP08nblUkihrxltoGBjg/edit#gid=934712705"",""ESENCIAL!A6:BG""),18,FALSE))"),"")</f>
        <v/>
      </c>
      <c r="BJ588" s="19" t="str">
        <f t="shared" si="43"/>
        <v/>
      </c>
      <c r="BK588" s="41"/>
      <c r="BL588" s="41"/>
    </row>
    <row r="589" spans="1:64" ht="15">
      <c r="A589" s="4"/>
      <c r="B589" s="4"/>
      <c r="G589" s="5" t="str">
        <f ca="1">IFERROR(__xludf.DUMMYFUNCTION("IFERROR(VLOOKUP(F606,IMPORTRANGE(""https://docs.google.com/spreadsheets/d/1Kvs4KS76FHFqLFIZfrDMff4kP08nblUkihrxltoGBjg/edit#gid=934712705"",""ESENCIAL!A6:BG""),3,FALSE))"),"")</f>
        <v/>
      </c>
      <c r="H589" s="5" t="str">
        <f ca="1">IFERROR(__xludf.DUMMYFUNCTION("IFERROR(VLOOKUP(F606,IMPORTRANGE(""https://docs.google.com/spreadsheets/d/1Kvs4KS76FHFqLFIZfrDMff4kP08nblUkihrxltoGBjg/edit#gid=934712705"",""ESENCIAL!A6:BG""),8,FALSE))"),"")</f>
        <v/>
      </c>
      <c r="L589" s="287"/>
      <c r="S589"/>
      <c r="AU589" s="41" t="str">
        <f t="shared" si="40"/>
        <v/>
      </c>
      <c r="AV589" s="5" t="str">
        <f ca="1">IFERROR(__xludf.DUMMYFUNCTION("IFERROR(VLOOKUP(E606&amp;F606,IMPORTRANGE(""https://docs.google.com/spreadsheets/d/1Uw7-A9f9R21vMXxHZFNpYNeKFtG8_yji4HS352LGlSQ/edit?pli=1#gid=0"",""1_ACUM!A4:S""),11,FALSE))"),"")</f>
        <v/>
      </c>
      <c r="AW589" s="42" t="str">
        <f ca="1">IFERROR(__xludf.DUMMYFUNCTION("IFERROR(VLOOKUP(F606,IMPORTRANGE(""https://docs.google.com/spreadsheets/d/1Kvs4KS76FHFqLFIZfrDMff4kP08nblUkihrxltoGBjg/edit#gid=934712705"",""ESENCIAL!A6:BG""),15,FALSE))"),"")</f>
        <v/>
      </c>
      <c r="AX589" s="21" t="str">
        <f ca="1">IFERROR(__xludf.DUMMYFUNCTION("IFERROR(VLOOKUP(E606&amp;F606,IMPORTRANGE(""https://docs.google.com/spreadsheets/d/1Uw7-A9f9R21vMXxHZFNpYNeKFtG8_yji4HS352LGlSQ/edit?pli=1#gid=0"",""1_ACUM!A4:S""),12,FALSE))"),"")</f>
        <v/>
      </c>
      <c r="AY589" s="43" t="str">
        <f ca="1">IFERROR(__xludf.DUMMYFUNCTION("IFERROR(VLOOKUP(E606&amp;F606,IMPORTRANGE(""https://docs.google.com/spreadsheets/d/1Uw7-A9f9R21vMXxHZFNpYNeKFtG8_yji4HS352LGlSQ/edit?pli=1#gid=0"",""1_ACUM!A4:S""),13,FALSE))"),"")</f>
        <v/>
      </c>
      <c r="AZ589" s="43" t="str">
        <f ca="1">IFERROR(__xludf.DUMMYFUNCTION("IFERROR(VLOOKUP(E606&amp;F606,IMPORTRANGE(""https://docs.google.com/spreadsheets/d/1Uw7-A9f9R21vMXxHZFNpYNeKFtG8_yji4HS352LGlSQ/edit?pli=1#gid=0"",""1_ACUM!A4:S""),14,FALSE))"),"")</f>
        <v/>
      </c>
      <c r="BA589" s="43" t="str">
        <f ca="1">IFERROR(__xludf.DUMMYFUNCTION("IFERROR(VLOOKUP(E606&amp;F606,IMPORTRANGE(""https://docs.google.com/spreadsheets/d/1Uw7-A9f9R21vMXxHZFNpYNeKFtG8_yji4HS352LGlSQ/edit?pli=1#gid=0"",""1_ACUM!A4:S""),15,FALSE))"),"")</f>
        <v/>
      </c>
      <c r="BB589" s="43" t="str">
        <f ca="1">IFERROR(__xludf.DUMMYFUNCTION("IFERROR(VLOOKUP(E606&amp;F606,IMPORTRANGE(""https://docs.google.com/spreadsheets/d/1Uw7-A9f9R21vMXxHZFNpYNeKFtG8_yji4HS352LGlSQ/edit?pli=1#gid=0"",""1_ACUM!A4:S""),16,FALSE))"),"")</f>
        <v/>
      </c>
      <c r="BC589" s="43" t="str">
        <f ca="1">IFERROR(__xludf.DUMMYFUNCTION("IFERROR(VLOOKUP(E606&amp;F606,IMPORTRANGE(""https://docs.google.com/spreadsheets/d/1Uw7-A9f9R21vMXxHZFNpYNeKFtG8_yji4HS352LGlSQ/edit?pli=1#gid=0"",""1_ACUM!A4:S""),17,FALSE))"),"")</f>
        <v/>
      </c>
      <c r="BD589" s="44" t="str">
        <f ca="1">IFERROR(__xludf.DUMMYFUNCTION("IFERROR(VLOOKUP(E606&amp;F606,IMPORTRANGE(""https://docs.google.com/spreadsheets/d/1Uw7-A9f9R21vMXxHZFNpYNeKFtG8_yji4HS352LGlSQ/edit?pli=1#gid=0"",""1_ACUM!A4:S""),18,FALSE))"),"")</f>
        <v/>
      </c>
      <c r="BE589" s="44" t="str">
        <f ca="1">IFERROR(__xludf.DUMMYFUNCTION("IFERROR(VLOOKUP(E606&amp;F606,IMPORTRANGE(""https://docs.google.com/spreadsheets/d/1Uw7-A9f9R21vMXxHZFNpYNeKFtG8_yji4HS352LGlSQ/edit?pli=1#gid=0"",""1_ACUM!A4:S""),19,FALSE))"),"")</f>
        <v/>
      </c>
      <c r="BF589" s="44" t="str">
        <f ca="1">IFERROR(__xludf.DUMMYFUNCTION("IFERROR(VLOOKUP(F606,IMPORTRANGE(""https://docs.google.com/spreadsheets/d/1Kvs4KS76FHFqLFIZfrDMff4kP08nblUkihrxltoGBjg/edit#gid=934712705"",""ESENCIAL!A6:BG""),5,FALSE))"),"")</f>
        <v/>
      </c>
      <c r="BG589" s="44" t="str">
        <f t="shared" si="41"/>
        <v/>
      </c>
      <c r="BH589" s="41" t="str">
        <f t="shared" si="42"/>
        <v/>
      </c>
      <c r="BI589" s="41" t="str">
        <f ca="1">IFERROR(__xludf.DUMMYFUNCTION("IFERROR(VLOOKUP(F606,IMPORTRANGE(""https://docs.google.com/spreadsheets/d/1Kvs4KS76FHFqLFIZfrDMff4kP08nblUkihrxltoGBjg/edit#gid=934712705"",""ESENCIAL!A6:BG""),18,FALSE))"),"")</f>
        <v/>
      </c>
      <c r="BJ589" s="19" t="str">
        <f t="shared" si="43"/>
        <v/>
      </c>
      <c r="BK589" s="41"/>
      <c r="BL589" s="41"/>
    </row>
    <row r="590" spans="1:64" ht="15">
      <c r="A590" s="4"/>
      <c r="B590" s="4"/>
      <c r="G590" s="5" t="str">
        <f ca="1">IFERROR(__xludf.DUMMYFUNCTION("IFERROR(VLOOKUP(F607,IMPORTRANGE(""https://docs.google.com/spreadsheets/d/1Kvs4KS76FHFqLFIZfrDMff4kP08nblUkihrxltoGBjg/edit#gid=934712705"",""ESENCIAL!A6:BG""),3,FALSE))"),"")</f>
        <v/>
      </c>
      <c r="H590" s="5" t="str">
        <f ca="1">IFERROR(__xludf.DUMMYFUNCTION("IFERROR(VLOOKUP(F607,IMPORTRANGE(""https://docs.google.com/spreadsheets/d/1Kvs4KS76FHFqLFIZfrDMff4kP08nblUkihrxltoGBjg/edit#gid=934712705"",""ESENCIAL!A6:BG""),8,FALSE))"),"")</f>
        <v/>
      </c>
      <c r="L590" s="287"/>
      <c r="S590"/>
      <c r="AU590" s="41" t="str">
        <f t="shared" si="40"/>
        <v/>
      </c>
      <c r="AV590" s="5" t="str">
        <f ca="1">IFERROR(__xludf.DUMMYFUNCTION("IFERROR(VLOOKUP(E607&amp;F607,IMPORTRANGE(""https://docs.google.com/spreadsheets/d/1Uw7-A9f9R21vMXxHZFNpYNeKFtG8_yji4HS352LGlSQ/edit?pli=1#gid=0"",""1_ACUM!A4:S""),11,FALSE))"),"")</f>
        <v/>
      </c>
      <c r="AW590" s="42" t="str">
        <f ca="1">IFERROR(__xludf.DUMMYFUNCTION("IFERROR(VLOOKUP(F607,IMPORTRANGE(""https://docs.google.com/spreadsheets/d/1Kvs4KS76FHFqLFIZfrDMff4kP08nblUkihrxltoGBjg/edit#gid=934712705"",""ESENCIAL!A6:BG""),15,FALSE))"),"")</f>
        <v/>
      </c>
      <c r="AX590" s="21" t="str">
        <f ca="1">IFERROR(__xludf.DUMMYFUNCTION("IFERROR(VLOOKUP(E607&amp;F607,IMPORTRANGE(""https://docs.google.com/spreadsheets/d/1Uw7-A9f9R21vMXxHZFNpYNeKFtG8_yji4HS352LGlSQ/edit?pli=1#gid=0"",""1_ACUM!A4:S""),12,FALSE))"),"")</f>
        <v/>
      </c>
      <c r="AY590" s="43" t="str">
        <f ca="1">IFERROR(__xludf.DUMMYFUNCTION("IFERROR(VLOOKUP(E607&amp;F607,IMPORTRANGE(""https://docs.google.com/spreadsheets/d/1Uw7-A9f9R21vMXxHZFNpYNeKFtG8_yji4HS352LGlSQ/edit?pli=1#gid=0"",""1_ACUM!A4:S""),13,FALSE))"),"")</f>
        <v/>
      </c>
      <c r="AZ590" s="43" t="str">
        <f ca="1">IFERROR(__xludf.DUMMYFUNCTION("IFERROR(VLOOKUP(E607&amp;F607,IMPORTRANGE(""https://docs.google.com/spreadsheets/d/1Uw7-A9f9R21vMXxHZFNpYNeKFtG8_yji4HS352LGlSQ/edit?pli=1#gid=0"",""1_ACUM!A4:S""),14,FALSE))"),"")</f>
        <v/>
      </c>
      <c r="BA590" s="43" t="str">
        <f ca="1">IFERROR(__xludf.DUMMYFUNCTION("IFERROR(VLOOKUP(E607&amp;F607,IMPORTRANGE(""https://docs.google.com/spreadsheets/d/1Uw7-A9f9R21vMXxHZFNpYNeKFtG8_yji4HS352LGlSQ/edit?pli=1#gid=0"",""1_ACUM!A4:S""),15,FALSE))"),"")</f>
        <v/>
      </c>
      <c r="BB590" s="43" t="str">
        <f ca="1">IFERROR(__xludf.DUMMYFUNCTION("IFERROR(VLOOKUP(E607&amp;F607,IMPORTRANGE(""https://docs.google.com/spreadsheets/d/1Uw7-A9f9R21vMXxHZFNpYNeKFtG8_yji4HS352LGlSQ/edit?pli=1#gid=0"",""1_ACUM!A4:S""),16,FALSE))"),"")</f>
        <v/>
      </c>
      <c r="BC590" s="43" t="str">
        <f ca="1">IFERROR(__xludf.DUMMYFUNCTION("IFERROR(VLOOKUP(E607&amp;F607,IMPORTRANGE(""https://docs.google.com/spreadsheets/d/1Uw7-A9f9R21vMXxHZFNpYNeKFtG8_yji4HS352LGlSQ/edit?pli=1#gid=0"",""1_ACUM!A4:S""),17,FALSE))"),"")</f>
        <v/>
      </c>
      <c r="BD590" s="44" t="str">
        <f ca="1">IFERROR(__xludf.DUMMYFUNCTION("IFERROR(VLOOKUP(E607&amp;F607,IMPORTRANGE(""https://docs.google.com/spreadsheets/d/1Uw7-A9f9R21vMXxHZFNpYNeKFtG8_yji4HS352LGlSQ/edit?pli=1#gid=0"",""1_ACUM!A4:S""),18,FALSE))"),"")</f>
        <v/>
      </c>
      <c r="BE590" s="44" t="str">
        <f ca="1">IFERROR(__xludf.DUMMYFUNCTION("IFERROR(VLOOKUP(E607&amp;F607,IMPORTRANGE(""https://docs.google.com/spreadsheets/d/1Uw7-A9f9R21vMXxHZFNpYNeKFtG8_yji4HS352LGlSQ/edit?pli=1#gid=0"",""1_ACUM!A4:S""),19,FALSE))"),"")</f>
        <v/>
      </c>
      <c r="BF590" s="44" t="str">
        <f ca="1">IFERROR(__xludf.DUMMYFUNCTION("IFERROR(VLOOKUP(F607,IMPORTRANGE(""https://docs.google.com/spreadsheets/d/1Kvs4KS76FHFqLFIZfrDMff4kP08nblUkihrxltoGBjg/edit#gid=934712705"",""ESENCIAL!A6:BG""),5,FALSE))"),"")</f>
        <v/>
      </c>
      <c r="BG590" s="44" t="str">
        <f t="shared" si="41"/>
        <v/>
      </c>
      <c r="BH590" s="41" t="str">
        <f t="shared" si="42"/>
        <v/>
      </c>
      <c r="BI590" s="41" t="str">
        <f ca="1">IFERROR(__xludf.DUMMYFUNCTION("IFERROR(VLOOKUP(F607,IMPORTRANGE(""https://docs.google.com/spreadsheets/d/1Kvs4KS76FHFqLFIZfrDMff4kP08nblUkihrxltoGBjg/edit#gid=934712705"",""ESENCIAL!A6:BG""),18,FALSE))"),"")</f>
        <v/>
      </c>
      <c r="BJ590" s="19" t="str">
        <f t="shared" si="43"/>
        <v/>
      </c>
      <c r="BK590" s="41"/>
      <c r="BL590" s="41"/>
    </row>
    <row r="591" spans="1:64" ht="15">
      <c r="A591" s="4"/>
      <c r="B591" s="4"/>
      <c r="G591" s="5" t="str">
        <f ca="1">IFERROR(__xludf.DUMMYFUNCTION("IFERROR(VLOOKUP(F608,IMPORTRANGE(""https://docs.google.com/spreadsheets/d/1Kvs4KS76FHFqLFIZfrDMff4kP08nblUkihrxltoGBjg/edit#gid=934712705"",""ESENCIAL!A6:BG""),3,FALSE))"),"")</f>
        <v/>
      </c>
      <c r="H591" s="5" t="str">
        <f ca="1">IFERROR(__xludf.DUMMYFUNCTION("IFERROR(VLOOKUP(F608,IMPORTRANGE(""https://docs.google.com/spreadsheets/d/1Kvs4KS76FHFqLFIZfrDMff4kP08nblUkihrxltoGBjg/edit#gid=934712705"",""ESENCIAL!A6:BG""),8,FALSE))"),"")</f>
        <v/>
      </c>
      <c r="L591" s="287"/>
      <c r="S591"/>
      <c r="AU591" s="41" t="str">
        <f t="shared" si="40"/>
        <v/>
      </c>
      <c r="AV591" s="5" t="str">
        <f ca="1">IFERROR(__xludf.DUMMYFUNCTION("IFERROR(VLOOKUP(E608&amp;F608,IMPORTRANGE(""https://docs.google.com/spreadsheets/d/1Uw7-A9f9R21vMXxHZFNpYNeKFtG8_yji4HS352LGlSQ/edit?pli=1#gid=0"",""1_ACUM!A4:S""),11,FALSE))"),"")</f>
        <v/>
      </c>
      <c r="AW591" s="42" t="str">
        <f ca="1">IFERROR(__xludf.DUMMYFUNCTION("IFERROR(VLOOKUP(F608,IMPORTRANGE(""https://docs.google.com/spreadsheets/d/1Kvs4KS76FHFqLFIZfrDMff4kP08nblUkihrxltoGBjg/edit#gid=934712705"",""ESENCIAL!A6:BG""),15,FALSE))"),"")</f>
        <v/>
      </c>
      <c r="AX591" s="21" t="str">
        <f ca="1">IFERROR(__xludf.DUMMYFUNCTION("IFERROR(VLOOKUP(E608&amp;F608,IMPORTRANGE(""https://docs.google.com/spreadsheets/d/1Uw7-A9f9R21vMXxHZFNpYNeKFtG8_yji4HS352LGlSQ/edit?pli=1#gid=0"",""1_ACUM!A4:S""),12,FALSE))"),"")</f>
        <v/>
      </c>
      <c r="AY591" s="43" t="str">
        <f ca="1">IFERROR(__xludf.DUMMYFUNCTION("IFERROR(VLOOKUP(E608&amp;F608,IMPORTRANGE(""https://docs.google.com/spreadsheets/d/1Uw7-A9f9R21vMXxHZFNpYNeKFtG8_yji4HS352LGlSQ/edit?pli=1#gid=0"",""1_ACUM!A4:S""),13,FALSE))"),"")</f>
        <v/>
      </c>
      <c r="AZ591" s="43" t="str">
        <f ca="1">IFERROR(__xludf.DUMMYFUNCTION("IFERROR(VLOOKUP(E608&amp;F608,IMPORTRANGE(""https://docs.google.com/spreadsheets/d/1Uw7-A9f9R21vMXxHZFNpYNeKFtG8_yji4HS352LGlSQ/edit?pli=1#gid=0"",""1_ACUM!A4:S""),14,FALSE))"),"")</f>
        <v/>
      </c>
      <c r="BA591" s="43" t="str">
        <f ca="1">IFERROR(__xludf.DUMMYFUNCTION("IFERROR(VLOOKUP(E608&amp;F608,IMPORTRANGE(""https://docs.google.com/spreadsheets/d/1Uw7-A9f9R21vMXxHZFNpYNeKFtG8_yji4HS352LGlSQ/edit?pli=1#gid=0"",""1_ACUM!A4:S""),15,FALSE))"),"")</f>
        <v/>
      </c>
      <c r="BB591" s="43" t="str">
        <f ca="1">IFERROR(__xludf.DUMMYFUNCTION("IFERROR(VLOOKUP(E608&amp;F608,IMPORTRANGE(""https://docs.google.com/spreadsheets/d/1Uw7-A9f9R21vMXxHZFNpYNeKFtG8_yji4HS352LGlSQ/edit?pli=1#gid=0"",""1_ACUM!A4:S""),16,FALSE))"),"")</f>
        <v/>
      </c>
      <c r="BC591" s="43" t="str">
        <f ca="1">IFERROR(__xludf.DUMMYFUNCTION("IFERROR(VLOOKUP(E608&amp;F608,IMPORTRANGE(""https://docs.google.com/spreadsheets/d/1Uw7-A9f9R21vMXxHZFNpYNeKFtG8_yji4HS352LGlSQ/edit?pli=1#gid=0"",""1_ACUM!A4:S""),17,FALSE))"),"")</f>
        <v/>
      </c>
      <c r="BD591" s="44" t="str">
        <f ca="1">IFERROR(__xludf.DUMMYFUNCTION("IFERROR(VLOOKUP(E608&amp;F608,IMPORTRANGE(""https://docs.google.com/spreadsheets/d/1Uw7-A9f9R21vMXxHZFNpYNeKFtG8_yji4HS352LGlSQ/edit?pli=1#gid=0"",""1_ACUM!A4:S""),18,FALSE))"),"")</f>
        <v/>
      </c>
      <c r="BE591" s="44" t="str">
        <f ca="1">IFERROR(__xludf.DUMMYFUNCTION("IFERROR(VLOOKUP(E608&amp;F608,IMPORTRANGE(""https://docs.google.com/spreadsheets/d/1Uw7-A9f9R21vMXxHZFNpYNeKFtG8_yji4HS352LGlSQ/edit?pli=1#gid=0"",""1_ACUM!A4:S""),19,FALSE))"),"")</f>
        <v/>
      </c>
      <c r="BF591" s="44" t="str">
        <f ca="1">IFERROR(__xludf.DUMMYFUNCTION("IFERROR(VLOOKUP(F608,IMPORTRANGE(""https://docs.google.com/spreadsheets/d/1Kvs4KS76FHFqLFIZfrDMff4kP08nblUkihrxltoGBjg/edit#gid=934712705"",""ESENCIAL!A6:BG""),5,FALSE))"),"")</f>
        <v/>
      </c>
      <c r="BG591" s="44" t="str">
        <f t="shared" si="41"/>
        <v/>
      </c>
      <c r="BH591" s="41" t="str">
        <f t="shared" si="42"/>
        <v/>
      </c>
      <c r="BI591" s="41" t="str">
        <f ca="1">IFERROR(__xludf.DUMMYFUNCTION("IFERROR(VLOOKUP(F608,IMPORTRANGE(""https://docs.google.com/spreadsheets/d/1Kvs4KS76FHFqLFIZfrDMff4kP08nblUkihrxltoGBjg/edit#gid=934712705"",""ESENCIAL!A6:BG""),18,FALSE))"),"")</f>
        <v/>
      </c>
      <c r="BJ591" s="19" t="str">
        <f t="shared" si="43"/>
        <v/>
      </c>
      <c r="BK591" s="41"/>
      <c r="BL591" s="41"/>
    </row>
    <row r="592" spans="1:64" ht="15">
      <c r="A592" s="4"/>
      <c r="B592" s="4"/>
      <c r="G592" s="5" t="str">
        <f ca="1">IFERROR(__xludf.DUMMYFUNCTION("IFERROR(VLOOKUP(F609,IMPORTRANGE(""https://docs.google.com/spreadsheets/d/1Kvs4KS76FHFqLFIZfrDMff4kP08nblUkihrxltoGBjg/edit#gid=934712705"",""ESENCIAL!A6:BG""),3,FALSE))"),"")</f>
        <v/>
      </c>
      <c r="H592" s="5" t="str">
        <f ca="1">IFERROR(__xludf.DUMMYFUNCTION("IFERROR(VLOOKUP(F609,IMPORTRANGE(""https://docs.google.com/spreadsheets/d/1Kvs4KS76FHFqLFIZfrDMff4kP08nblUkihrxltoGBjg/edit#gid=934712705"",""ESENCIAL!A6:BG""),8,FALSE))"),"")</f>
        <v/>
      </c>
      <c r="L592" s="287"/>
      <c r="S592"/>
      <c r="AU592" s="41" t="str">
        <f t="shared" si="40"/>
        <v/>
      </c>
      <c r="AV592" s="5" t="str">
        <f ca="1">IFERROR(__xludf.DUMMYFUNCTION("IFERROR(VLOOKUP(E609&amp;F609,IMPORTRANGE(""https://docs.google.com/spreadsheets/d/1Uw7-A9f9R21vMXxHZFNpYNeKFtG8_yji4HS352LGlSQ/edit?pli=1#gid=0"",""1_ACUM!A4:S""),11,FALSE))"),"")</f>
        <v/>
      </c>
      <c r="AW592" s="42" t="str">
        <f ca="1">IFERROR(__xludf.DUMMYFUNCTION("IFERROR(VLOOKUP(F609,IMPORTRANGE(""https://docs.google.com/spreadsheets/d/1Kvs4KS76FHFqLFIZfrDMff4kP08nblUkihrxltoGBjg/edit#gid=934712705"",""ESENCIAL!A6:BG""),15,FALSE))"),"")</f>
        <v/>
      </c>
      <c r="AX592" s="21" t="str">
        <f ca="1">IFERROR(__xludf.DUMMYFUNCTION("IFERROR(VLOOKUP(E609&amp;F609,IMPORTRANGE(""https://docs.google.com/spreadsheets/d/1Uw7-A9f9R21vMXxHZFNpYNeKFtG8_yji4HS352LGlSQ/edit?pli=1#gid=0"",""1_ACUM!A4:S""),12,FALSE))"),"")</f>
        <v/>
      </c>
      <c r="AY592" s="43" t="str">
        <f ca="1">IFERROR(__xludf.DUMMYFUNCTION("IFERROR(VLOOKUP(E609&amp;F609,IMPORTRANGE(""https://docs.google.com/spreadsheets/d/1Uw7-A9f9R21vMXxHZFNpYNeKFtG8_yji4HS352LGlSQ/edit?pli=1#gid=0"",""1_ACUM!A4:S""),13,FALSE))"),"")</f>
        <v/>
      </c>
      <c r="AZ592" s="43" t="str">
        <f ca="1">IFERROR(__xludf.DUMMYFUNCTION("IFERROR(VLOOKUP(E609&amp;F609,IMPORTRANGE(""https://docs.google.com/spreadsheets/d/1Uw7-A9f9R21vMXxHZFNpYNeKFtG8_yji4HS352LGlSQ/edit?pli=1#gid=0"",""1_ACUM!A4:S""),14,FALSE))"),"")</f>
        <v/>
      </c>
      <c r="BA592" s="43" t="str">
        <f ca="1">IFERROR(__xludf.DUMMYFUNCTION("IFERROR(VLOOKUP(E609&amp;F609,IMPORTRANGE(""https://docs.google.com/spreadsheets/d/1Uw7-A9f9R21vMXxHZFNpYNeKFtG8_yji4HS352LGlSQ/edit?pli=1#gid=0"",""1_ACUM!A4:S""),15,FALSE))"),"")</f>
        <v/>
      </c>
      <c r="BB592" s="43" t="str">
        <f ca="1">IFERROR(__xludf.DUMMYFUNCTION("IFERROR(VLOOKUP(E609&amp;F609,IMPORTRANGE(""https://docs.google.com/spreadsheets/d/1Uw7-A9f9R21vMXxHZFNpYNeKFtG8_yji4HS352LGlSQ/edit?pli=1#gid=0"",""1_ACUM!A4:S""),16,FALSE))"),"")</f>
        <v/>
      </c>
      <c r="BC592" s="43" t="str">
        <f ca="1">IFERROR(__xludf.DUMMYFUNCTION("IFERROR(VLOOKUP(E609&amp;F609,IMPORTRANGE(""https://docs.google.com/spreadsheets/d/1Uw7-A9f9R21vMXxHZFNpYNeKFtG8_yji4HS352LGlSQ/edit?pli=1#gid=0"",""1_ACUM!A4:S""),17,FALSE))"),"")</f>
        <v/>
      </c>
      <c r="BD592" s="44" t="str">
        <f ca="1">IFERROR(__xludf.DUMMYFUNCTION("IFERROR(VLOOKUP(E609&amp;F609,IMPORTRANGE(""https://docs.google.com/spreadsheets/d/1Uw7-A9f9R21vMXxHZFNpYNeKFtG8_yji4HS352LGlSQ/edit?pli=1#gid=0"",""1_ACUM!A4:S""),18,FALSE))"),"")</f>
        <v/>
      </c>
      <c r="BE592" s="44" t="str">
        <f ca="1">IFERROR(__xludf.DUMMYFUNCTION("IFERROR(VLOOKUP(E609&amp;F609,IMPORTRANGE(""https://docs.google.com/spreadsheets/d/1Uw7-A9f9R21vMXxHZFNpYNeKFtG8_yji4HS352LGlSQ/edit?pli=1#gid=0"",""1_ACUM!A4:S""),19,FALSE))"),"")</f>
        <v/>
      </c>
      <c r="BF592" s="44" t="str">
        <f ca="1">IFERROR(__xludf.DUMMYFUNCTION("IFERROR(VLOOKUP(F609,IMPORTRANGE(""https://docs.google.com/spreadsheets/d/1Kvs4KS76FHFqLFIZfrDMff4kP08nblUkihrxltoGBjg/edit#gid=934712705"",""ESENCIAL!A6:BG""),5,FALSE))"),"")</f>
        <v/>
      </c>
      <c r="BG592" s="44" t="str">
        <f t="shared" si="41"/>
        <v/>
      </c>
      <c r="BH592" s="41" t="str">
        <f t="shared" si="42"/>
        <v/>
      </c>
      <c r="BI592" s="41" t="str">
        <f ca="1">IFERROR(__xludf.DUMMYFUNCTION("IFERROR(VLOOKUP(F609,IMPORTRANGE(""https://docs.google.com/spreadsheets/d/1Kvs4KS76FHFqLFIZfrDMff4kP08nblUkihrxltoGBjg/edit#gid=934712705"",""ESENCIAL!A6:BG""),18,FALSE))"),"")</f>
        <v/>
      </c>
      <c r="BJ592" s="19" t="str">
        <f t="shared" si="43"/>
        <v/>
      </c>
      <c r="BK592" s="41"/>
      <c r="BL592" s="41"/>
    </row>
    <row r="593" spans="1:64" ht="15">
      <c r="A593" s="4"/>
      <c r="B593" s="4"/>
      <c r="G593" s="5" t="str">
        <f ca="1">IFERROR(__xludf.DUMMYFUNCTION("IFERROR(VLOOKUP(F610,IMPORTRANGE(""https://docs.google.com/spreadsheets/d/1Kvs4KS76FHFqLFIZfrDMff4kP08nblUkihrxltoGBjg/edit#gid=934712705"",""ESENCIAL!A6:BG""),3,FALSE))"),"")</f>
        <v/>
      </c>
      <c r="H593" s="5" t="str">
        <f ca="1">IFERROR(__xludf.DUMMYFUNCTION("IFERROR(VLOOKUP(F610,IMPORTRANGE(""https://docs.google.com/spreadsheets/d/1Kvs4KS76FHFqLFIZfrDMff4kP08nblUkihrxltoGBjg/edit#gid=934712705"",""ESENCIAL!A6:BG""),8,FALSE))"),"")</f>
        <v/>
      </c>
      <c r="L593" s="287"/>
      <c r="S593"/>
      <c r="AU593" s="41" t="str">
        <f t="shared" si="40"/>
        <v/>
      </c>
      <c r="AV593" s="5" t="str">
        <f ca="1">IFERROR(__xludf.DUMMYFUNCTION("IFERROR(VLOOKUP(E610&amp;F610,IMPORTRANGE(""https://docs.google.com/spreadsheets/d/1Uw7-A9f9R21vMXxHZFNpYNeKFtG8_yji4HS352LGlSQ/edit?pli=1#gid=0"",""1_ACUM!A4:S""),11,FALSE))"),"")</f>
        <v/>
      </c>
      <c r="AW593" s="42" t="str">
        <f ca="1">IFERROR(__xludf.DUMMYFUNCTION("IFERROR(VLOOKUP(F610,IMPORTRANGE(""https://docs.google.com/spreadsheets/d/1Kvs4KS76FHFqLFIZfrDMff4kP08nblUkihrxltoGBjg/edit#gid=934712705"",""ESENCIAL!A6:BG""),15,FALSE))"),"")</f>
        <v/>
      </c>
      <c r="AX593" s="21" t="str">
        <f ca="1">IFERROR(__xludf.DUMMYFUNCTION("IFERROR(VLOOKUP(E610&amp;F610,IMPORTRANGE(""https://docs.google.com/spreadsheets/d/1Uw7-A9f9R21vMXxHZFNpYNeKFtG8_yji4HS352LGlSQ/edit?pli=1#gid=0"",""1_ACUM!A4:S""),12,FALSE))"),"")</f>
        <v/>
      </c>
      <c r="AY593" s="43" t="str">
        <f ca="1">IFERROR(__xludf.DUMMYFUNCTION("IFERROR(VLOOKUP(E610&amp;F610,IMPORTRANGE(""https://docs.google.com/spreadsheets/d/1Uw7-A9f9R21vMXxHZFNpYNeKFtG8_yji4HS352LGlSQ/edit?pli=1#gid=0"",""1_ACUM!A4:S""),13,FALSE))"),"")</f>
        <v/>
      </c>
      <c r="AZ593" s="43" t="str">
        <f ca="1">IFERROR(__xludf.DUMMYFUNCTION("IFERROR(VLOOKUP(E610&amp;F610,IMPORTRANGE(""https://docs.google.com/spreadsheets/d/1Uw7-A9f9R21vMXxHZFNpYNeKFtG8_yji4HS352LGlSQ/edit?pli=1#gid=0"",""1_ACUM!A4:S""),14,FALSE))"),"")</f>
        <v/>
      </c>
      <c r="BA593" s="43" t="str">
        <f ca="1">IFERROR(__xludf.DUMMYFUNCTION("IFERROR(VLOOKUP(E610&amp;F610,IMPORTRANGE(""https://docs.google.com/spreadsheets/d/1Uw7-A9f9R21vMXxHZFNpYNeKFtG8_yji4HS352LGlSQ/edit?pli=1#gid=0"",""1_ACUM!A4:S""),15,FALSE))"),"")</f>
        <v/>
      </c>
      <c r="BB593" s="43" t="str">
        <f ca="1">IFERROR(__xludf.DUMMYFUNCTION("IFERROR(VLOOKUP(E610&amp;F610,IMPORTRANGE(""https://docs.google.com/spreadsheets/d/1Uw7-A9f9R21vMXxHZFNpYNeKFtG8_yji4HS352LGlSQ/edit?pli=1#gid=0"",""1_ACUM!A4:S""),16,FALSE))"),"")</f>
        <v/>
      </c>
      <c r="BC593" s="43" t="str">
        <f ca="1">IFERROR(__xludf.DUMMYFUNCTION("IFERROR(VLOOKUP(E610&amp;F610,IMPORTRANGE(""https://docs.google.com/spreadsheets/d/1Uw7-A9f9R21vMXxHZFNpYNeKFtG8_yji4HS352LGlSQ/edit?pli=1#gid=0"",""1_ACUM!A4:S""),17,FALSE))"),"")</f>
        <v/>
      </c>
      <c r="BD593" s="44" t="str">
        <f ca="1">IFERROR(__xludf.DUMMYFUNCTION("IFERROR(VLOOKUP(E610&amp;F610,IMPORTRANGE(""https://docs.google.com/spreadsheets/d/1Uw7-A9f9R21vMXxHZFNpYNeKFtG8_yji4HS352LGlSQ/edit?pli=1#gid=0"",""1_ACUM!A4:S""),18,FALSE))"),"")</f>
        <v/>
      </c>
      <c r="BE593" s="44" t="str">
        <f ca="1">IFERROR(__xludf.DUMMYFUNCTION("IFERROR(VLOOKUP(E610&amp;F610,IMPORTRANGE(""https://docs.google.com/spreadsheets/d/1Uw7-A9f9R21vMXxHZFNpYNeKFtG8_yji4HS352LGlSQ/edit?pli=1#gid=0"",""1_ACUM!A4:S""),19,FALSE))"),"")</f>
        <v/>
      </c>
      <c r="BF593" s="44" t="str">
        <f ca="1">IFERROR(__xludf.DUMMYFUNCTION("IFERROR(VLOOKUP(F610,IMPORTRANGE(""https://docs.google.com/spreadsheets/d/1Kvs4KS76FHFqLFIZfrDMff4kP08nblUkihrxltoGBjg/edit#gid=934712705"",""ESENCIAL!A6:BG""),5,FALSE))"),"")</f>
        <v/>
      </c>
      <c r="BG593" s="44" t="str">
        <f t="shared" si="41"/>
        <v/>
      </c>
      <c r="BH593" s="41" t="str">
        <f t="shared" si="42"/>
        <v/>
      </c>
      <c r="BI593" s="41" t="str">
        <f ca="1">IFERROR(__xludf.DUMMYFUNCTION("IFERROR(VLOOKUP(F610,IMPORTRANGE(""https://docs.google.com/spreadsheets/d/1Kvs4KS76FHFqLFIZfrDMff4kP08nblUkihrxltoGBjg/edit#gid=934712705"",""ESENCIAL!A6:BG""),18,FALSE))"),"")</f>
        <v/>
      </c>
      <c r="BJ593" s="19" t="str">
        <f t="shared" si="43"/>
        <v/>
      </c>
      <c r="BK593" s="41"/>
      <c r="BL593" s="41"/>
    </row>
    <row r="594" spans="1:64" ht="15">
      <c r="A594" s="4"/>
      <c r="B594" s="4"/>
      <c r="G594" s="5" t="str">
        <f ca="1">IFERROR(__xludf.DUMMYFUNCTION("IFERROR(VLOOKUP(F611,IMPORTRANGE(""https://docs.google.com/spreadsheets/d/1Kvs4KS76FHFqLFIZfrDMff4kP08nblUkihrxltoGBjg/edit#gid=934712705"",""ESENCIAL!A6:BG""),3,FALSE))"),"")</f>
        <v/>
      </c>
      <c r="H594" s="5" t="str">
        <f ca="1">IFERROR(__xludf.DUMMYFUNCTION("IFERROR(VLOOKUP(F611,IMPORTRANGE(""https://docs.google.com/spreadsheets/d/1Kvs4KS76FHFqLFIZfrDMff4kP08nblUkihrxltoGBjg/edit#gid=934712705"",""ESENCIAL!A6:BG""),8,FALSE))"),"")</f>
        <v/>
      </c>
      <c r="L594" s="287"/>
      <c r="S594"/>
      <c r="AU594" s="41" t="str">
        <f t="shared" si="40"/>
        <v/>
      </c>
      <c r="AV594" s="5" t="str">
        <f ca="1">IFERROR(__xludf.DUMMYFUNCTION("IFERROR(VLOOKUP(E611&amp;F611,IMPORTRANGE(""https://docs.google.com/spreadsheets/d/1Uw7-A9f9R21vMXxHZFNpYNeKFtG8_yji4HS352LGlSQ/edit?pli=1#gid=0"",""1_ACUM!A4:S""),11,FALSE))"),"")</f>
        <v/>
      </c>
      <c r="AW594" s="42" t="str">
        <f ca="1">IFERROR(__xludf.DUMMYFUNCTION("IFERROR(VLOOKUP(F611,IMPORTRANGE(""https://docs.google.com/spreadsheets/d/1Kvs4KS76FHFqLFIZfrDMff4kP08nblUkihrxltoGBjg/edit#gid=934712705"",""ESENCIAL!A6:BG""),15,FALSE))"),"")</f>
        <v/>
      </c>
      <c r="AX594" s="21" t="str">
        <f ca="1">IFERROR(__xludf.DUMMYFUNCTION("IFERROR(VLOOKUP(E611&amp;F611,IMPORTRANGE(""https://docs.google.com/spreadsheets/d/1Uw7-A9f9R21vMXxHZFNpYNeKFtG8_yji4HS352LGlSQ/edit?pli=1#gid=0"",""1_ACUM!A4:S""),12,FALSE))"),"")</f>
        <v/>
      </c>
      <c r="AY594" s="43" t="str">
        <f ca="1">IFERROR(__xludf.DUMMYFUNCTION("IFERROR(VLOOKUP(E611&amp;F611,IMPORTRANGE(""https://docs.google.com/spreadsheets/d/1Uw7-A9f9R21vMXxHZFNpYNeKFtG8_yji4HS352LGlSQ/edit?pli=1#gid=0"",""1_ACUM!A4:S""),13,FALSE))"),"")</f>
        <v/>
      </c>
      <c r="AZ594" s="43" t="str">
        <f ca="1">IFERROR(__xludf.DUMMYFUNCTION("IFERROR(VLOOKUP(E611&amp;F611,IMPORTRANGE(""https://docs.google.com/spreadsheets/d/1Uw7-A9f9R21vMXxHZFNpYNeKFtG8_yji4HS352LGlSQ/edit?pli=1#gid=0"",""1_ACUM!A4:S""),14,FALSE))"),"")</f>
        <v/>
      </c>
      <c r="BA594" s="43" t="str">
        <f ca="1">IFERROR(__xludf.DUMMYFUNCTION("IFERROR(VLOOKUP(E611&amp;F611,IMPORTRANGE(""https://docs.google.com/spreadsheets/d/1Uw7-A9f9R21vMXxHZFNpYNeKFtG8_yji4HS352LGlSQ/edit?pli=1#gid=0"",""1_ACUM!A4:S""),15,FALSE))"),"")</f>
        <v/>
      </c>
      <c r="BB594" s="43" t="str">
        <f ca="1">IFERROR(__xludf.DUMMYFUNCTION("IFERROR(VLOOKUP(E611&amp;F611,IMPORTRANGE(""https://docs.google.com/spreadsheets/d/1Uw7-A9f9R21vMXxHZFNpYNeKFtG8_yji4HS352LGlSQ/edit?pli=1#gid=0"",""1_ACUM!A4:S""),16,FALSE))"),"")</f>
        <v/>
      </c>
      <c r="BC594" s="43" t="str">
        <f ca="1">IFERROR(__xludf.DUMMYFUNCTION("IFERROR(VLOOKUP(E611&amp;F611,IMPORTRANGE(""https://docs.google.com/spreadsheets/d/1Uw7-A9f9R21vMXxHZFNpYNeKFtG8_yji4HS352LGlSQ/edit?pli=1#gid=0"",""1_ACUM!A4:S""),17,FALSE))"),"")</f>
        <v/>
      </c>
      <c r="BD594" s="44" t="str">
        <f ca="1">IFERROR(__xludf.DUMMYFUNCTION("IFERROR(VLOOKUP(E611&amp;F611,IMPORTRANGE(""https://docs.google.com/spreadsheets/d/1Uw7-A9f9R21vMXxHZFNpYNeKFtG8_yji4HS352LGlSQ/edit?pli=1#gid=0"",""1_ACUM!A4:S""),18,FALSE))"),"")</f>
        <v/>
      </c>
      <c r="BE594" s="44" t="str">
        <f ca="1">IFERROR(__xludf.DUMMYFUNCTION("IFERROR(VLOOKUP(E611&amp;F611,IMPORTRANGE(""https://docs.google.com/spreadsheets/d/1Uw7-A9f9R21vMXxHZFNpYNeKFtG8_yji4HS352LGlSQ/edit?pli=1#gid=0"",""1_ACUM!A4:S""),19,FALSE))"),"")</f>
        <v/>
      </c>
      <c r="BF594" s="44" t="str">
        <f ca="1">IFERROR(__xludf.DUMMYFUNCTION("IFERROR(VLOOKUP(F611,IMPORTRANGE(""https://docs.google.com/spreadsheets/d/1Kvs4KS76FHFqLFIZfrDMff4kP08nblUkihrxltoGBjg/edit#gid=934712705"",""ESENCIAL!A6:BG""),5,FALSE))"),"")</f>
        <v/>
      </c>
      <c r="BG594" s="44" t="str">
        <f t="shared" si="41"/>
        <v/>
      </c>
      <c r="BH594" s="41" t="str">
        <f t="shared" si="42"/>
        <v/>
      </c>
      <c r="BI594" s="41" t="str">
        <f ca="1">IFERROR(__xludf.DUMMYFUNCTION("IFERROR(VLOOKUP(F611,IMPORTRANGE(""https://docs.google.com/spreadsheets/d/1Kvs4KS76FHFqLFIZfrDMff4kP08nblUkihrxltoGBjg/edit#gid=934712705"",""ESENCIAL!A6:BG""),18,FALSE))"),"")</f>
        <v/>
      </c>
      <c r="BJ594" s="19" t="str">
        <f t="shared" si="43"/>
        <v/>
      </c>
      <c r="BK594" s="41"/>
      <c r="BL594" s="41"/>
    </row>
    <row r="595" spans="1:64" ht="15">
      <c r="A595" s="4"/>
      <c r="B595" s="4"/>
      <c r="G595" s="5" t="str">
        <f ca="1">IFERROR(__xludf.DUMMYFUNCTION("IFERROR(VLOOKUP(F612,IMPORTRANGE(""https://docs.google.com/spreadsheets/d/1Kvs4KS76FHFqLFIZfrDMff4kP08nblUkihrxltoGBjg/edit#gid=934712705"",""ESENCIAL!A6:BG""),3,FALSE))"),"")</f>
        <v/>
      </c>
      <c r="H595" s="5" t="str">
        <f ca="1">IFERROR(__xludf.DUMMYFUNCTION("IFERROR(VLOOKUP(F612,IMPORTRANGE(""https://docs.google.com/spreadsheets/d/1Kvs4KS76FHFqLFIZfrDMff4kP08nblUkihrxltoGBjg/edit#gid=934712705"",""ESENCIAL!A6:BG""),8,FALSE))"),"")</f>
        <v/>
      </c>
      <c r="L595" s="287"/>
      <c r="S595"/>
      <c r="AU595" s="41" t="str">
        <f t="shared" si="40"/>
        <v/>
      </c>
      <c r="AV595" s="5" t="str">
        <f ca="1">IFERROR(__xludf.DUMMYFUNCTION("IFERROR(VLOOKUP(E612&amp;F612,IMPORTRANGE(""https://docs.google.com/spreadsheets/d/1Uw7-A9f9R21vMXxHZFNpYNeKFtG8_yji4HS352LGlSQ/edit?pli=1#gid=0"",""1_ACUM!A4:S""),11,FALSE))"),"")</f>
        <v/>
      </c>
      <c r="AW595" s="42" t="str">
        <f ca="1">IFERROR(__xludf.DUMMYFUNCTION("IFERROR(VLOOKUP(F612,IMPORTRANGE(""https://docs.google.com/spreadsheets/d/1Kvs4KS76FHFqLFIZfrDMff4kP08nblUkihrxltoGBjg/edit#gid=934712705"",""ESENCIAL!A6:BG""),15,FALSE))"),"")</f>
        <v/>
      </c>
      <c r="AX595" s="21" t="str">
        <f ca="1">IFERROR(__xludf.DUMMYFUNCTION("IFERROR(VLOOKUP(E612&amp;F612,IMPORTRANGE(""https://docs.google.com/spreadsheets/d/1Uw7-A9f9R21vMXxHZFNpYNeKFtG8_yji4HS352LGlSQ/edit?pli=1#gid=0"",""1_ACUM!A4:S""),12,FALSE))"),"")</f>
        <v/>
      </c>
      <c r="AY595" s="43" t="str">
        <f ca="1">IFERROR(__xludf.DUMMYFUNCTION("IFERROR(VLOOKUP(E612&amp;F612,IMPORTRANGE(""https://docs.google.com/spreadsheets/d/1Uw7-A9f9R21vMXxHZFNpYNeKFtG8_yji4HS352LGlSQ/edit?pli=1#gid=0"",""1_ACUM!A4:S""),13,FALSE))"),"")</f>
        <v/>
      </c>
      <c r="AZ595" s="43" t="str">
        <f ca="1">IFERROR(__xludf.DUMMYFUNCTION("IFERROR(VLOOKUP(E612&amp;F612,IMPORTRANGE(""https://docs.google.com/spreadsheets/d/1Uw7-A9f9R21vMXxHZFNpYNeKFtG8_yji4HS352LGlSQ/edit?pli=1#gid=0"",""1_ACUM!A4:S""),14,FALSE))"),"")</f>
        <v/>
      </c>
      <c r="BA595" s="43" t="str">
        <f ca="1">IFERROR(__xludf.DUMMYFUNCTION("IFERROR(VLOOKUP(E612&amp;F612,IMPORTRANGE(""https://docs.google.com/spreadsheets/d/1Uw7-A9f9R21vMXxHZFNpYNeKFtG8_yji4HS352LGlSQ/edit?pli=1#gid=0"",""1_ACUM!A4:S""),15,FALSE))"),"")</f>
        <v/>
      </c>
      <c r="BB595" s="43" t="str">
        <f ca="1">IFERROR(__xludf.DUMMYFUNCTION("IFERROR(VLOOKUP(E612&amp;F612,IMPORTRANGE(""https://docs.google.com/spreadsheets/d/1Uw7-A9f9R21vMXxHZFNpYNeKFtG8_yji4HS352LGlSQ/edit?pli=1#gid=0"",""1_ACUM!A4:S""),16,FALSE))"),"")</f>
        <v/>
      </c>
      <c r="BC595" s="43" t="str">
        <f ca="1">IFERROR(__xludf.DUMMYFUNCTION("IFERROR(VLOOKUP(E612&amp;F612,IMPORTRANGE(""https://docs.google.com/spreadsheets/d/1Uw7-A9f9R21vMXxHZFNpYNeKFtG8_yji4HS352LGlSQ/edit?pli=1#gid=0"",""1_ACUM!A4:S""),17,FALSE))"),"")</f>
        <v/>
      </c>
      <c r="BD595" s="44" t="str">
        <f ca="1">IFERROR(__xludf.DUMMYFUNCTION("IFERROR(VLOOKUP(E612&amp;F612,IMPORTRANGE(""https://docs.google.com/spreadsheets/d/1Uw7-A9f9R21vMXxHZFNpYNeKFtG8_yji4HS352LGlSQ/edit?pli=1#gid=0"",""1_ACUM!A4:S""),18,FALSE))"),"")</f>
        <v/>
      </c>
      <c r="BE595" s="44" t="str">
        <f ca="1">IFERROR(__xludf.DUMMYFUNCTION("IFERROR(VLOOKUP(E612&amp;F612,IMPORTRANGE(""https://docs.google.com/spreadsheets/d/1Uw7-A9f9R21vMXxHZFNpYNeKFtG8_yji4HS352LGlSQ/edit?pli=1#gid=0"",""1_ACUM!A4:S""),19,FALSE))"),"")</f>
        <v/>
      </c>
      <c r="BF595" s="44" t="str">
        <f ca="1">IFERROR(__xludf.DUMMYFUNCTION("IFERROR(VLOOKUP(F612,IMPORTRANGE(""https://docs.google.com/spreadsheets/d/1Kvs4KS76FHFqLFIZfrDMff4kP08nblUkihrxltoGBjg/edit#gid=934712705"",""ESENCIAL!A6:BG""),5,FALSE))"),"")</f>
        <v/>
      </c>
      <c r="BG595" s="44" t="str">
        <f t="shared" si="41"/>
        <v/>
      </c>
      <c r="BH595" s="41" t="str">
        <f t="shared" si="42"/>
        <v/>
      </c>
      <c r="BI595" s="41" t="str">
        <f ca="1">IFERROR(__xludf.DUMMYFUNCTION("IFERROR(VLOOKUP(F612,IMPORTRANGE(""https://docs.google.com/spreadsheets/d/1Kvs4KS76FHFqLFIZfrDMff4kP08nblUkihrxltoGBjg/edit#gid=934712705"",""ESENCIAL!A6:BG""),18,FALSE))"),"")</f>
        <v/>
      </c>
      <c r="BJ595" s="19" t="str">
        <f t="shared" si="43"/>
        <v/>
      </c>
      <c r="BK595" s="41"/>
      <c r="BL595" s="41"/>
    </row>
    <row r="596" spans="1:64" ht="15">
      <c r="A596" s="4"/>
      <c r="B596" s="4"/>
      <c r="G596" s="5" t="str">
        <f ca="1">IFERROR(__xludf.DUMMYFUNCTION("IFERROR(VLOOKUP(F613,IMPORTRANGE(""https://docs.google.com/spreadsheets/d/1Kvs4KS76FHFqLFIZfrDMff4kP08nblUkihrxltoGBjg/edit#gid=934712705"",""ESENCIAL!A6:BG""),3,FALSE))"),"")</f>
        <v/>
      </c>
      <c r="H596" s="5" t="str">
        <f ca="1">IFERROR(__xludf.DUMMYFUNCTION("IFERROR(VLOOKUP(F613,IMPORTRANGE(""https://docs.google.com/spreadsheets/d/1Kvs4KS76FHFqLFIZfrDMff4kP08nblUkihrxltoGBjg/edit#gid=934712705"",""ESENCIAL!A6:BG""),8,FALSE))"),"")</f>
        <v/>
      </c>
      <c r="L596" s="287"/>
      <c r="S596"/>
      <c r="AU596" s="41" t="str">
        <f t="shared" si="40"/>
        <v/>
      </c>
      <c r="AV596" s="5" t="str">
        <f ca="1">IFERROR(__xludf.DUMMYFUNCTION("IFERROR(VLOOKUP(E613&amp;F613,IMPORTRANGE(""https://docs.google.com/spreadsheets/d/1Uw7-A9f9R21vMXxHZFNpYNeKFtG8_yji4HS352LGlSQ/edit?pli=1#gid=0"",""1_ACUM!A4:S""),11,FALSE))"),"")</f>
        <v/>
      </c>
      <c r="AW596" s="42" t="str">
        <f ca="1">IFERROR(__xludf.DUMMYFUNCTION("IFERROR(VLOOKUP(F613,IMPORTRANGE(""https://docs.google.com/spreadsheets/d/1Kvs4KS76FHFqLFIZfrDMff4kP08nblUkihrxltoGBjg/edit#gid=934712705"",""ESENCIAL!A6:BG""),15,FALSE))"),"")</f>
        <v/>
      </c>
      <c r="AX596" s="21" t="str">
        <f ca="1">IFERROR(__xludf.DUMMYFUNCTION("IFERROR(VLOOKUP(E613&amp;F613,IMPORTRANGE(""https://docs.google.com/spreadsheets/d/1Uw7-A9f9R21vMXxHZFNpYNeKFtG8_yji4HS352LGlSQ/edit?pli=1#gid=0"",""1_ACUM!A4:S""),12,FALSE))"),"")</f>
        <v/>
      </c>
      <c r="AY596" s="43" t="str">
        <f ca="1">IFERROR(__xludf.DUMMYFUNCTION("IFERROR(VLOOKUP(E613&amp;F613,IMPORTRANGE(""https://docs.google.com/spreadsheets/d/1Uw7-A9f9R21vMXxHZFNpYNeKFtG8_yji4HS352LGlSQ/edit?pli=1#gid=0"",""1_ACUM!A4:S""),13,FALSE))"),"")</f>
        <v/>
      </c>
      <c r="AZ596" s="43" t="str">
        <f ca="1">IFERROR(__xludf.DUMMYFUNCTION("IFERROR(VLOOKUP(E613&amp;F613,IMPORTRANGE(""https://docs.google.com/spreadsheets/d/1Uw7-A9f9R21vMXxHZFNpYNeKFtG8_yji4HS352LGlSQ/edit?pli=1#gid=0"",""1_ACUM!A4:S""),14,FALSE))"),"")</f>
        <v/>
      </c>
      <c r="BA596" s="43" t="str">
        <f ca="1">IFERROR(__xludf.DUMMYFUNCTION("IFERROR(VLOOKUP(E613&amp;F613,IMPORTRANGE(""https://docs.google.com/spreadsheets/d/1Uw7-A9f9R21vMXxHZFNpYNeKFtG8_yji4HS352LGlSQ/edit?pli=1#gid=0"",""1_ACUM!A4:S""),15,FALSE))"),"")</f>
        <v/>
      </c>
      <c r="BB596" s="43" t="str">
        <f ca="1">IFERROR(__xludf.DUMMYFUNCTION("IFERROR(VLOOKUP(E613&amp;F613,IMPORTRANGE(""https://docs.google.com/spreadsheets/d/1Uw7-A9f9R21vMXxHZFNpYNeKFtG8_yji4HS352LGlSQ/edit?pli=1#gid=0"",""1_ACUM!A4:S""),16,FALSE))"),"")</f>
        <v/>
      </c>
      <c r="BC596" s="43" t="str">
        <f ca="1">IFERROR(__xludf.DUMMYFUNCTION("IFERROR(VLOOKUP(E613&amp;F613,IMPORTRANGE(""https://docs.google.com/spreadsheets/d/1Uw7-A9f9R21vMXxHZFNpYNeKFtG8_yji4HS352LGlSQ/edit?pli=1#gid=0"",""1_ACUM!A4:S""),17,FALSE))"),"")</f>
        <v/>
      </c>
      <c r="BD596" s="44" t="str">
        <f ca="1">IFERROR(__xludf.DUMMYFUNCTION("IFERROR(VLOOKUP(E613&amp;F613,IMPORTRANGE(""https://docs.google.com/spreadsheets/d/1Uw7-A9f9R21vMXxHZFNpYNeKFtG8_yji4HS352LGlSQ/edit?pli=1#gid=0"",""1_ACUM!A4:S""),18,FALSE))"),"")</f>
        <v/>
      </c>
      <c r="BE596" s="44" t="str">
        <f ca="1">IFERROR(__xludf.DUMMYFUNCTION("IFERROR(VLOOKUP(E613&amp;F613,IMPORTRANGE(""https://docs.google.com/spreadsheets/d/1Uw7-A9f9R21vMXxHZFNpYNeKFtG8_yji4HS352LGlSQ/edit?pli=1#gid=0"",""1_ACUM!A4:S""),19,FALSE))"),"")</f>
        <v/>
      </c>
      <c r="BF596" s="44" t="str">
        <f ca="1">IFERROR(__xludf.DUMMYFUNCTION("IFERROR(VLOOKUP(F613,IMPORTRANGE(""https://docs.google.com/spreadsheets/d/1Kvs4KS76FHFqLFIZfrDMff4kP08nblUkihrxltoGBjg/edit#gid=934712705"",""ESENCIAL!A6:BG""),5,FALSE))"),"")</f>
        <v/>
      </c>
      <c r="BG596" s="44" t="str">
        <f t="shared" si="41"/>
        <v/>
      </c>
      <c r="BH596" s="41" t="str">
        <f t="shared" si="42"/>
        <v/>
      </c>
      <c r="BI596" s="41" t="str">
        <f ca="1">IFERROR(__xludf.DUMMYFUNCTION("IFERROR(VLOOKUP(F613,IMPORTRANGE(""https://docs.google.com/spreadsheets/d/1Kvs4KS76FHFqLFIZfrDMff4kP08nblUkihrxltoGBjg/edit#gid=934712705"",""ESENCIAL!A6:BG""),18,FALSE))"),"")</f>
        <v/>
      </c>
      <c r="BJ596" s="19" t="str">
        <f t="shared" si="43"/>
        <v/>
      </c>
      <c r="BK596" s="41"/>
      <c r="BL596" s="41"/>
    </row>
    <row r="597" spans="1:64" ht="15">
      <c r="A597" s="4"/>
      <c r="B597" s="4"/>
      <c r="G597" s="5" t="str">
        <f ca="1">IFERROR(__xludf.DUMMYFUNCTION("IFERROR(VLOOKUP(F614,IMPORTRANGE(""https://docs.google.com/spreadsheets/d/1Kvs4KS76FHFqLFIZfrDMff4kP08nblUkihrxltoGBjg/edit#gid=934712705"",""ESENCIAL!A6:BG""),3,FALSE))"),"")</f>
        <v/>
      </c>
      <c r="H597" s="5" t="str">
        <f ca="1">IFERROR(__xludf.DUMMYFUNCTION("IFERROR(VLOOKUP(F614,IMPORTRANGE(""https://docs.google.com/spreadsheets/d/1Kvs4KS76FHFqLFIZfrDMff4kP08nblUkihrxltoGBjg/edit#gid=934712705"",""ESENCIAL!A6:BG""),8,FALSE))"),"")</f>
        <v/>
      </c>
      <c r="L597" s="287"/>
      <c r="S597"/>
      <c r="AU597" s="41" t="str">
        <f t="shared" si="40"/>
        <v/>
      </c>
      <c r="AV597" s="5" t="str">
        <f ca="1">IFERROR(__xludf.DUMMYFUNCTION("IFERROR(VLOOKUP(E614&amp;F614,IMPORTRANGE(""https://docs.google.com/spreadsheets/d/1Uw7-A9f9R21vMXxHZFNpYNeKFtG8_yji4HS352LGlSQ/edit?pli=1#gid=0"",""1_ACUM!A4:S""),11,FALSE))"),"")</f>
        <v/>
      </c>
      <c r="AW597" s="42" t="str">
        <f ca="1">IFERROR(__xludf.DUMMYFUNCTION("IFERROR(VLOOKUP(F614,IMPORTRANGE(""https://docs.google.com/spreadsheets/d/1Kvs4KS76FHFqLFIZfrDMff4kP08nblUkihrxltoGBjg/edit#gid=934712705"",""ESENCIAL!A6:BG""),15,FALSE))"),"")</f>
        <v/>
      </c>
      <c r="AX597" s="21" t="str">
        <f ca="1">IFERROR(__xludf.DUMMYFUNCTION("IFERROR(VLOOKUP(E614&amp;F614,IMPORTRANGE(""https://docs.google.com/spreadsheets/d/1Uw7-A9f9R21vMXxHZFNpYNeKFtG8_yji4HS352LGlSQ/edit?pli=1#gid=0"",""1_ACUM!A4:S""),12,FALSE))"),"")</f>
        <v/>
      </c>
      <c r="AY597" s="43" t="str">
        <f ca="1">IFERROR(__xludf.DUMMYFUNCTION("IFERROR(VLOOKUP(E614&amp;F614,IMPORTRANGE(""https://docs.google.com/spreadsheets/d/1Uw7-A9f9R21vMXxHZFNpYNeKFtG8_yji4HS352LGlSQ/edit?pli=1#gid=0"",""1_ACUM!A4:S""),13,FALSE))"),"")</f>
        <v/>
      </c>
      <c r="AZ597" s="43" t="str">
        <f ca="1">IFERROR(__xludf.DUMMYFUNCTION("IFERROR(VLOOKUP(E614&amp;F614,IMPORTRANGE(""https://docs.google.com/spreadsheets/d/1Uw7-A9f9R21vMXxHZFNpYNeKFtG8_yji4HS352LGlSQ/edit?pli=1#gid=0"",""1_ACUM!A4:S""),14,FALSE))"),"")</f>
        <v/>
      </c>
      <c r="BA597" s="43" t="str">
        <f ca="1">IFERROR(__xludf.DUMMYFUNCTION("IFERROR(VLOOKUP(E614&amp;F614,IMPORTRANGE(""https://docs.google.com/spreadsheets/d/1Uw7-A9f9R21vMXxHZFNpYNeKFtG8_yji4HS352LGlSQ/edit?pli=1#gid=0"",""1_ACUM!A4:S""),15,FALSE))"),"")</f>
        <v/>
      </c>
      <c r="BB597" s="43" t="str">
        <f ca="1">IFERROR(__xludf.DUMMYFUNCTION("IFERROR(VLOOKUP(E614&amp;F614,IMPORTRANGE(""https://docs.google.com/spreadsheets/d/1Uw7-A9f9R21vMXxHZFNpYNeKFtG8_yji4HS352LGlSQ/edit?pli=1#gid=0"",""1_ACUM!A4:S""),16,FALSE))"),"")</f>
        <v/>
      </c>
      <c r="BC597" s="43" t="str">
        <f ca="1">IFERROR(__xludf.DUMMYFUNCTION("IFERROR(VLOOKUP(E614&amp;F614,IMPORTRANGE(""https://docs.google.com/spreadsheets/d/1Uw7-A9f9R21vMXxHZFNpYNeKFtG8_yji4HS352LGlSQ/edit?pli=1#gid=0"",""1_ACUM!A4:S""),17,FALSE))"),"")</f>
        <v/>
      </c>
      <c r="BD597" s="44" t="str">
        <f ca="1">IFERROR(__xludf.DUMMYFUNCTION("IFERROR(VLOOKUP(E614&amp;F614,IMPORTRANGE(""https://docs.google.com/spreadsheets/d/1Uw7-A9f9R21vMXxHZFNpYNeKFtG8_yji4HS352LGlSQ/edit?pli=1#gid=0"",""1_ACUM!A4:S""),18,FALSE))"),"")</f>
        <v/>
      </c>
      <c r="BE597" s="44" t="str">
        <f ca="1">IFERROR(__xludf.DUMMYFUNCTION("IFERROR(VLOOKUP(E614&amp;F614,IMPORTRANGE(""https://docs.google.com/spreadsheets/d/1Uw7-A9f9R21vMXxHZFNpYNeKFtG8_yji4HS352LGlSQ/edit?pli=1#gid=0"",""1_ACUM!A4:S""),19,FALSE))"),"")</f>
        <v/>
      </c>
      <c r="BF597" s="44" t="str">
        <f ca="1">IFERROR(__xludf.DUMMYFUNCTION("IFERROR(VLOOKUP(F614,IMPORTRANGE(""https://docs.google.com/spreadsheets/d/1Kvs4KS76FHFqLFIZfrDMff4kP08nblUkihrxltoGBjg/edit#gid=934712705"",""ESENCIAL!A6:BG""),5,FALSE))"),"")</f>
        <v/>
      </c>
      <c r="BG597" s="44" t="str">
        <f t="shared" si="41"/>
        <v/>
      </c>
      <c r="BH597" s="41" t="str">
        <f t="shared" si="42"/>
        <v/>
      </c>
      <c r="BI597" s="41" t="str">
        <f ca="1">IFERROR(__xludf.DUMMYFUNCTION("IFERROR(VLOOKUP(F614,IMPORTRANGE(""https://docs.google.com/spreadsheets/d/1Kvs4KS76FHFqLFIZfrDMff4kP08nblUkihrxltoGBjg/edit#gid=934712705"",""ESENCIAL!A6:BG""),18,FALSE))"),"")</f>
        <v/>
      </c>
      <c r="BJ597" s="19" t="str">
        <f t="shared" si="43"/>
        <v/>
      </c>
      <c r="BK597" s="41"/>
      <c r="BL597" s="41"/>
    </row>
    <row r="598" spans="1:64" ht="15">
      <c r="A598" s="4"/>
      <c r="B598" s="4"/>
      <c r="G598" s="5" t="str">
        <f ca="1">IFERROR(__xludf.DUMMYFUNCTION("IFERROR(VLOOKUP(F615,IMPORTRANGE(""https://docs.google.com/spreadsheets/d/1Kvs4KS76FHFqLFIZfrDMff4kP08nblUkihrxltoGBjg/edit#gid=934712705"",""ESENCIAL!A6:BG""),3,FALSE))"),"")</f>
        <v/>
      </c>
      <c r="H598" s="5" t="str">
        <f ca="1">IFERROR(__xludf.DUMMYFUNCTION("IFERROR(VLOOKUP(F615,IMPORTRANGE(""https://docs.google.com/spreadsheets/d/1Kvs4KS76FHFqLFIZfrDMff4kP08nblUkihrxltoGBjg/edit#gid=934712705"",""ESENCIAL!A6:BG""),8,FALSE))"),"")</f>
        <v/>
      </c>
      <c r="L598" s="287"/>
      <c r="S598"/>
      <c r="AU598" s="41" t="str">
        <f t="shared" si="40"/>
        <v/>
      </c>
      <c r="AV598" s="5" t="str">
        <f ca="1">IFERROR(__xludf.DUMMYFUNCTION("IFERROR(VLOOKUP(E615&amp;F615,IMPORTRANGE(""https://docs.google.com/spreadsheets/d/1Uw7-A9f9R21vMXxHZFNpYNeKFtG8_yji4HS352LGlSQ/edit?pli=1#gid=0"",""1_ACUM!A4:S""),11,FALSE))"),"")</f>
        <v/>
      </c>
      <c r="AW598" s="42" t="str">
        <f ca="1">IFERROR(__xludf.DUMMYFUNCTION("IFERROR(VLOOKUP(F615,IMPORTRANGE(""https://docs.google.com/spreadsheets/d/1Kvs4KS76FHFqLFIZfrDMff4kP08nblUkihrxltoGBjg/edit#gid=934712705"",""ESENCIAL!A6:BG""),15,FALSE))"),"")</f>
        <v/>
      </c>
      <c r="AX598" s="21" t="str">
        <f ca="1">IFERROR(__xludf.DUMMYFUNCTION("IFERROR(VLOOKUP(E615&amp;F615,IMPORTRANGE(""https://docs.google.com/spreadsheets/d/1Uw7-A9f9R21vMXxHZFNpYNeKFtG8_yji4HS352LGlSQ/edit?pli=1#gid=0"",""1_ACUM!A4:S""),12,FALSE))"),"")</f>
        <v/>
      </c>
      <c r="AY598" s="43" t="str">
        <f ca="1">IFERROR(__xludf.DUMMYFUNCTION("IFERROR(VLOOKUP(E615&amp;F615,IMPORTRANGE(""https://docs.google.com/spreadsheets/d/1Uw7-A9f9R21vMXxHZFNpYNeKFtG8_yji4HS352LGlSQ/edit?pli=1#gid=0"",""1_ACUM!A4:S""),13,FALSE))"),"")</f>
        <v/>
      </c>
      <c r="AZ598" s="43" t="str">
        <f ca="1">IFERROR(__xludf.DUMMYFUNCTION("IFERROR(VLOOKUP(E615&amp;F615,IMPORTRANGE(""https://docs.google.com/spreadsheets/d/1Uw7-A9f9R21vMXxHZFNpYNeKFtG8_yji4HS352LGlSQ/edit?pli=1#gid=0"",""1_ACUM!A4:S""),14,FALSE))"),"")</f>
        <v/>
      </c>
      <c r="BA598" s="43" t="str">
        <f ca="1">IFERROR(__xludf.DUMMYFUNCTION("IFERROR(VLOOKUP(E615&amp;F615,IMPORTRANGE(""https://docs.google.com/spreadsheets/d/1Uw7-A9f9R21vMXxHZFNpYNeKFtG8_yji4HS352LGlSQ/edit?pli=1#gid=0"",""1_ACUM!A4:S""),15,FALSE))"),"")</f>
        <v/>
      </c>
      <c r="BB598" s="43" t="str">
        <f ca="1">IFERROR(__xludf.DUMMYFUNCTION("IFERROR(VLOOKUP(E615&amp;F615,IMPORTRANGE(""https://docs.google.com/spreadsheets/d/1Uw7-A9f9R21vMXxHZFNpYNeKFtG8_yji4HS352LGlSQ/edit?pli=1#gid=0"",""1_ACUM!A4:S""),16,FALSE))"),"")</f>
        <v/>
      </c>
      <c r="BC598" s="43" t="str">
        <f ca="1">IFERROR(__xludf.DUMMYFUNCTION("IFERROR(VLOOKUP(E615&amp;F615,IMPORTRANGE(""https://docs.google.com/spreadsheets/d/1Uw7-A9f9R21vMXxHZFNpYNeKFtG8_yji4HS352LGlSQ/edit?pli=1#gid=0"",""1_ACUM!A4:S""),17,FALSE))"),"")</f>
        <v/>
      </c>
      <c r="BD598" s="44" t="str">
        <f ca="1">IFERROR(__xludf.DUMMYFUNCTION("IFERROR(VLOOKUP(E615&amp;F615,IMPORTRANGE(""https://docs.google.com/spreadsheets/d/1Uw7-A9f9R21vMXxHZFNpYNeKFtG8_yji4HS352LGlSQ/edit?pli=1#gid=0"",""1_ACUM!A4:S""),18,FALSE))"),"")</f>
        <v/>
      </c>
      <c r="BE598" s="44" t="str">
        <f ca="1">IFERROR(__xludf.DUMMYFUNCTION("IFERROR(VLOOKUP(E615&amp;F615,IMPORTRANGE(""https://docs.google.com/spreadsheets/d/1Uw7-A9f9R21vMXxHZFNpYNeKFtG8_yji4HS352LGlSQ/edit?pli=1#gid=0"",""1_ACUM!A4:S""),19,FALSE))"),"")</f>
        <v/>
      </c>
      <c r="BF598" s="44" t="str">
        <f ca="1">IFERROR(__xludf.DUMMYFUNCTION("IFERROR(VLOOKUP(F615,IMPORTRANGE(""https://docs.google.com/spreadsheets/d/1Kvs4KS76FHFqLFIZfrDMff4kP08nblUkihrxltoGBjg/edit#gid=934712705"",""ESENCIAL!A6:BG""),5,FALSE))"),"")</f>
        <v/>
      </c>
      <c r="BG598" s="44" t="str">
        <f t="shared" si="41"/>
        <v/>
      </c>
      <c r="BH598" s="41" t="str">
        <f t="shared" si="42"/>
        <v/>
      </c>
      <c r="BI598" s="41" t="str">
        <f ca="1">IFERROR(__xludf.DUMMYFUNCTION("IFERROR(VLOOKUP(F615,IMPORTRANGE(""https://docs.google.com/spreadsheets/d/1Kvs4KS76FHFqLFIZfrDMff4kP08nblUkihrxltoGBjg/edit#gid=934712705"",""ESENCIAL!A6:BG""),18,FALSE))"),"")</f>
        <v/>
      </c>
      <c r="BJ598" s="19" t="str">
        <f t="shared" si="43"/>
        <v/>
      </c>
      <c r="BK598" s="41"/>
      <c r="BL598" s="41"/>
    </row>
    <row r="599" spans="1:64" ht="15">
      <c r="A599" s="4"/>
      <c r="B599" s="4"/>
      <c r="G599" s="5" t="str">
        <f ca="1">IFERROR(__xludf.DUMMYFUNCTION("IFERROR(VLOOKUP(F616,IMPORTRANGE(""https://docs.google.com/spreadsheets/d/1Kvs4KS76FHFqLFIZfrDMff4kP08nblUkihrxltoGBjg/edit#gid=934712705"",""ESENCIAL!A6:BG""),3,FALSE))"),"")</f>
        <v/>
      </c>
      <c r="H599" s="5" t="str">
        <f ca="1">IFERROR(__xludf.DUMMYFUNCTION("IFERROR(VLOOKUP(F616,IMPORTRANGE(""https://docs.google.com/spreadsheets/d/1Kvs4KS76FHFqLFIZfrDMff4kP08nblUkihrxltoGBjg/edit#gid=934712705"",""ESENCIAL!A6:BG""),8,FALSE))"),"")</f>
        <v/>
      </c>
      <c r="L599" s="287"/>
      <c r="S599"/>
      <c r="AU599" s="41" t="str">
        <f t="shared" si="40"/>
        <v/>
      </c>
      <c r="AV599" s="5" t="str">
        <f ca="1">IFERROR(__xludf.DUMMYFUNCTION("IFERROR(VLOOKUP(E616&amp;F616,IMPORTRANGE(""https://docs.google.com/spreadsheets/d/1Uw7-A9f9R21vMXxHZFNpYNeKFtG8_yji4HS352LGlSQ/edit?pli=1#gid=0"",""1_ACUM!A4:S""),11,FALSE))"),"")</f>
        <v/>
      </c>
      <c r="AW599" s="42" t="str">
        <f ca="1">IFERROR(__xludf.DUMMYFUNCTION("IFERROR(VLOOKUP(F616,IMPORTRANGE(""https://docs.google.com/spreadsheets/d/1Kvs4KS76FHFqLFIZfrDMff4kP08nblUkihrxltoGBjg/edit#gid=934712705"",""ESENCIAL!A6:BG""),15,FALSE))"),"")</f>
        <v/>
      </c>
      <c r="AX599" s="21" t="str">
        <f ca="1">IFERROR(__xludf.DUMMYFUNCTION("IFERROR(VLOOKUP(E616&amp;F616,IMPORTRANGE(""https://docs.google.com/spreadsheets/d/1Uw7-A9f9R21vMXxHZFNpYNeKFtG8_yji4HS352LGlSQ/edit?pli=1#gid=0"",""1_ACUM!A4:S""),12,FALSE))"),"")</f>
        <v/>
      </c>
      <c r="AY599" s="43" t="str">
        <f ca="1">IFERROR(__xludf.DUMMYFUNCTION("IFERROR(VLOOKUP(E616&amp;F616,IMPORTRANGE(""https://docs.google.com/spreadsheets/d/1Uw7-A9f9R21vMXxHZFNpYNeKFtG8_yji4HS352LGlSQ/edit?pli=1#gid=0"",""1_ACUM!A4:S""),13,FALSE))"),"")</f>
        <v/>
      </c>
      <c r="AZ599" s="43" t="str">
        <f ca="1">IFERROR(__xludf.DUMMYFUNCTION("IFERROR(VLOOKUP(E616&amp;F616,IMPORTRANGE(""https://docs.google.com/spreadsheets/d/1Uw7-A9f9R21vMXxHZFNpYNeKFtG8_yji4HS352LGlSQ/edit?pli=1#gid=0"",""1_ACUM!A4:S""),14,FALSE))"),"")</f>
        <v/>
      </c>
      <c r="BA599" s="43" t="str">
        <f ca="1">IFERROR(__xludf.DUMMYFUNCTION("IFERROR(VLOOKUP(E616&amp;F616,IMPORTRANGE(""https://docs.google.com/spreadsheets/d/1Uw7-A9f9R21vMXxHZFNpYNeKFtG8_yji4HS352LGlSQ/edit?pli=1#gid=0"",""1_ACUM!A4:S""),15,FALSE))"),"")</f>
        <v/>
      </c>
      <c r="BB599" s="43" t="str">
        <f ca="1">IFERROR(__xludf.DUMMYFUNCTION("IFERROR(VLOOKUP(E616&amp;F616,IMPORTRANGE(""https://docs.google.com/spreadsheets/d/1Uw7-A9f9R21vMXxHZFNpYNeKFtG8_yji4HS352LGlSQ/edit?pli=1#gid=0"",""1_ACUM!A4:S""),16,FALSE))"),"")</f>
        <v/>
      </c>
      <c r="BC599" s="43" t="str">
        <f ca="1">IFERROR(__xludf.DUMMYFUNCTION("IFERROR(VLOOKUP(E616&amp;F616,IMPORTRANGE(""https://docs.google.com/spreadsheets/d/1Uw7-A9f9R21vMXxHZFNpYNeKFtG8_yji4HS352LGlSQ/edit?pli=1#gid=0"",""1_ACUM!A4:S""),17,FALSE))"),"")</f>
        <v/>
      </c>
      <c r="BD599" s="44" t="str">
        <f ca="1">IFERROR(__xludf.DUMMYFUNCTION("IFERROR(VLOOKUP(E616&amp;F616,IMPORTRANGE(""https://docs.google.com/spreadsheets/d/1Uw7-A9f9R21vMXxHZFNpYNeKFtG8_yji4HS352LGlSQ/edit?pli=1#gid=0"",""1_ACUM!A4:S""),18,FALSE))"),"")</f>
        <v/>
      </c>
      <c r="BE599" s="44" t="str">
        <f ca="1">IFERROR(__xludf.DUMMYFUNCTION("IFERROR(VLOOKUP(E616&amp;F616,IMPORTRANGE(""https://docs.google.com/spreadsheets/d/1Uw7-A9f9R21vMXxHZFNpYNeKFtG8_yji4HS352LGlSQ/edit?pli=1#gid=0"",""1_ACUM!A4:S""),19,FALSE))"),"")</f>
        <v/>
      </c>
      <c r="BF599" s="44" t="str">
        <f ca="1">IFERROR(__xludf.DUMMYFUNCTION("IFERROR(VLOOKUP(F616,IMPORTRANGE(""https://docs.google.com/spreadsheets/d/1Kvs4KS76FHFqLFIZfrDMff4kP08nblUkihrxltoGBjg/edit#gid=934712705"",""ESENCIAL!A6:BG""),5,FALSE))"),"")</f>
        <v/>
      </c>
      <c r="BG599" s="44" t="str">
        <f t="shared" si="41"/>
        <v/>
      </c>
      <c r="BH599" s="41" t="str">
        <f t="shared" si="42"/>
        <v/>
      </c>
      <c r="BI599" s="41" t="str">
        <f ca="1">IFERROR(__xludf.DUMMYFUNCTION("IFERROR(VLOOKUP(F616,IMPORTRANGE(""https://docs.google.com/spreadsheets/d/1Kvs4KS76FHFqLFIZfrDMff4kP08nblUkihrxltoGBjg/edit#gid=934712705"",""ESENCIAL!A6:BG""),18,FALSE))"),"")</f>
        <v/>
      </c>
      <c r="BJ599" s="19" t="str">
        <f t="shared" si="43"/>
        <v/>
      </c>
      <c r="BK599" s="41"/>
      <c r="BL599" s="41"/>
    </row>
    <row r="600" spans="1:64" ht="15">
      <c r="A600" s="4"/>
      <c r="B600" s="4"/>
      <c r="G600" s="5" t="str">
        <f ca="1">IFERROR(__xludf.DUMMYFUNCTION("IFERROR(VLOOKUP(F617,IMPORTRANGE(""https://docs.google.com/spreadsheets/d/1Kvs4KS76FHFqLFIZfrDMff4kP08nblUkihrxltoGBjg/edit#gid=934712705"",""ESENCIAL!A6:BG""),3,FALSE))"),"")</f>
        <v/>
      </c>
      <c r="H600" s="5" t="str">
        <f ca="1">IFERROR(__xludf.DUMMYFUNCTION("IFERROR(VLOOKUP(F617,IMPORTRANGE(""https://docs.google.com/spreadsheets/d/1Kvs4KS76FHFqLFIZfrDMff4kP08nblUkihrxltoGBjg/edit#gid=934712705"",""ESENCIAL!A6:BG""),8,FALSE))"),"")</f>
        <v/>
      </c>
      <c r="L600" s="287"/>
      <c r="S600"/>
      <c r="AU600" s="41" t="str">
        <f t="shared" si="40"/>
        <v/>
      </c>
      <c r="AV600" s="5" t="str">
        <f ca="1">IFERROR(__xludf.DUMMYFUNCTION("IFERROR(VLOOKUP(E617&amp;F617,IMPORTRANGE(""https://docs.google.com/spreadsheets/d/1Uw7-A9f9R21vMXxHZFNpYNeKFtG8_yji4HS352LGlSQ/edit?pli=1#gid=0"",""1_ACUM!A4:S""),11,FALSE))"),"")</f>
        <v/>
      </c>
      <c r="AW600" s="42" t="str">
        <f ca="1">IFERROR(__xludf.DUMMYFUNCTION("IFERROR(VLOOKUP(F617,IMPORTRANGE(""https://docs.google.com/spreadsheets/d/1Kvs4KS76FHFqLFIZfrDMff4kP08nblUkihrxltoGBjg/edit#gid=934712705"",""ESENCIAL!A6:BG""),15,FALSE))"),"")</f>
        <v/>
      </c>
      <c r="AX600" s="21" t="str">
        <f ca="1">IFERROR(__xludf.DUMMYFUNCTION("IFERROR(VLOOKUP(E617&amp;F617,IMPORTRANGE(""https://docs.google.com/spreadsheets/d/1Uw7-A9f9R21vMXxHZFNpYNeKFtG8_yji4HS352LGlSQ/edit?pli=1#gid=0"",""1_ACUM!A4:S""),12,FALSE))"),"")</f>
        <v/>
      </c>
      <c r="AY600" s="43" t="str">
        <f ca="1">IFERROR(__xludf.DUMMYFUNCTION("IFERROR(VLOOKUP(E617&amp;F617,IMPORTRANGE(""https://docs.google.com/spreadsheets/d/1Uw7-A9f9R21vMXxHZFNpYNeKFtG8_yji4HS352LGlSQ/edit?pli=1#gid=0"",""1_ACUM!A4:S""),13,FALSE))"),"")</f>
        <v/>
      </c>
      <c r="AZ600" s="43" t="str">
        <f ca="1">IFERROR(__xludf.DUMMYFUNCTION("IFERROR(VLOOKUP(E617&amp;F617,IMPORTRANGE(""https://docs.google.com/spreadsheets/d/1Uw7-A9f9R21vMXxHZFNpYNeKFtG8_yji4HS352LGlSQ/edit?pli=1#gid=0"",""1_ACUM!A4:S""),14,FALSE))"),"")</f>
        <v/>
      </c>
      <c r="BA600" s="43" t="str">
        <f ca="1">IFERROR(__xludf.DUMMYFUNCTION("IFERROR(VLOOKUP(E617&amp;F617,IMPORTRANGE(""https://docs.google.com/spreadsheets/d/1Uw7-A9f9R21vMXxHZFNpYNeKFtG8_yji4HS352LGlSQ/edit?pli=1#gid=0"",""1_ACUM!A4:S""),15,FALSE))"),"")</f>
        <v/>
      </c>
      <c r="BB600" s="43" t="str">
        <f ca="1">IFERROR(__xludf.DUMMYFUNCTION("IFERROR(VLOOKUP(E617&amp;F617,IMPORTRANGE(""https://docs.google.com/spreadsheets/d/1Uw7-A9f9R21vMXxHZFNpYNeKFtG8_yji4HS352LGlSQ/edit?pli=1#gid=0"",""1_ACUM!A4:S""),16,FALSE))"),"")</f>
        <v/>
      </c>
      <c r="BC600" s="43" t="str">
        <f ca="1">IFERROR(__xludf.DUMMYFUNCTION("IFERROR(VLOOKUP(E617&amp;F617,IMPORTRANGE(""https://docs.google.com/spreadsheets/d/1Uw7-A9f9R21vMXxHZFNpYNeKFtG8_yji4HS352LGlSQ/edit?pli=1#gid=0"",""1_ACUM!A4:S""),17,FALSE))"),"")</f>
        <v/>
      </c>
      <c r="BD600" s="44" t="str">
        <f ca="1">IFERROR(__xludf.DUMMYFUNCTION("IFERROR(VLOOKUP(E617&amp;F617,IMPORTRANGE(""https://docs.google.com/spreadsheets/d/1Uw7-A9f9R21vMXxHZFNpYNeKFtG8_yji4HS352LGlSQ/edit?pli=1#gid=0"",""1_ACUM!A4:S""),18,FALSE))"),"")</f>
        <v/>
      </c>
      <c r="BE600" s="44" t="str">
        <f ca="1">IFERROR(__xludf.DUMMYFUNCTION("IFERROR(VLOOKUP(E617&amp;F617,IMPORTRANGE(""https://docs.google.com/spreadsheets/d/1Uw7-A9f9R21vMXxHZFNpYNeKFtG8_yji4HS352LGlSQ/edit?pli=1#gid=0"",""1_ACUM!A4:S""),19,FALSE))"),"")</f>
        <v/>
      </c>
      <c r="BF600" s="44" t="str">
        <f ca="1">IFERROR(__xludf.DUMMYFUNCTION("IFERROR(VLOOKUP(F617,IMPORTRANGE(""https://docs.google.com/spreadsheets/d/1Kvs4KS76FHFqLFIZfrDMff4kP08nblUkihrxltoGBjg/edit#gid=934712705"",""ESENCIAL!A6:BG""),5,FALSE))"),"")</f>
        <v/>
      </c>
      <c r="BG600" s="44" t="str">
        <f t="shared" si="41"/>
        <v/>
      </c>
      <c r="BH600" s="41" t="str">
        <f t="shared" si="42"/>
        <v/>
      </c>
      <c r="BI600" s="41" t="str">
        <f ca="1">IFERROR(__xludf.DUMMYFUNCTION("IFERROR(VLOOKUP(F617,IMPORTRANGE(""https://docs.google.com/spreadsheets/d/1Kvs4KS76FHFqLFIZfrDMff4kP08nblUkihrxltoGBjg/edit#gid=934712705"",""ESENCIAL!A6:BG""),18,FALSE))"),"")</f>
        <v/>
      </c>
      <c r="BJ600" s="19" t="str">
        <f t="shared" si="43"/>
        <v/>
      </c>
      <c r="BK600" s="41"/>
      <c r="BL600" s="41"/>
    </row>
    <row r="601" spans="1:64" ht="15">
      <c r="A601" s="4"/>
      <c r="B601" s="4"/>
      <c r="G601" s="5" t="str">
        <f ca="1">IFERROR(__xludf.DUMMYFUNCTION("IFERROR(VLOOKUP(F618,IMPORTRANGE(""https://docs.google.com/spreadsheets/d/1Kvs4KS76FHFqLFIZfrDMff4kP08nblUkihrxltoGBjg/edit#gid=934712705"",""ESENCIAL!A6:BG""),3,FALSE))"),"")</f>
        <v/>
      </c>
      <c r="H601" s="5" t="str">
        <f ca="1">IFERROR(__xludf.DUMMYFUNCTION("IFERROR(VLOOKUP(F618,IMPORTRANGE(""https://docs.google.com/spreadsheets/d/1Kvs4KS76FHFqLFIZfrDMff4kP08nblUkihrxltoGBjg/edit#gid=934712705"",""ESENCIAL!A6:BG""),8,FALSE))"),"")</f>
        <v/>
      </c>
      <c r="L601" s="287"/>
      <c r="S601"/>
      <c r="AU601" s="41" t="str">
        <f t="shared" si="40"/>
        <v/>
      </c>
      <c r="AV601" s="5" t="str">
        <f ca="1">IFERROR(__xludf.DUMMYFUNCTION("IFERROR(VLOOKUP(E618&amp;F618,IMPORTRANGE(""https://docs.google.com/spreadsheets/d/1Uw7-A9f9R21vMXxHZFNpYNeKFtG8_yji4HS352LGlSQ/edit?pli=1#gid=0"",""1_ACUM!A4:S""),11,FALSE))"),"")</f>
        <v/>
      </c>
      <c r="AW601" s="42" t="str">
        <f ca="1">IFERROR(__xludf.DUMMYFUNCTION("IFERROR(VLOOKUP(F618,IMPORTRANGE(""https://docs.google.com/spreadsheets/d/1Kvs4KS76FHFqLFIZfrDMff4kP08nblUkihrxltoGBjg/edit#gid=934712705"",""ESENCIAL!A6:BG""),15,FALSE))"),"")</f>
        <v/>
      </c>
      <c r="AX601" s="21" t="str">
        <f ca="1">IFERROR(__xludf.DUMMYFUNCTION("IFERROR(VLOOKUP(E618&amp;F618,IMPORTRANGE(""https://docs.google.com/spreadsheets/d/1Uw7-A9f9R21vMXxHZFNpYNeKFtG8_yji4HS352LGlSQ/edit?pli=1#gid=0"",""1_ACUM!A4:S""),12,FALSE))"),"")</f>
        <v/>
      </c>
      <c r="AY601" s="43" t="str">
        <f ca="1">IFERROR(__xludf.DUMMYFUNCTION("IFERROR(VLOOKUP(E618&amp;F618,IMPORTRANGE(""https://docs.google.com/spreadsheets/d/1Uw7-A9f9R21vMXxHZFNpYNeKFtG8_yji4HS352LGlSQ/edit?pli=1#gid=0"",""1_ACUM!A4:S""),13,FALSE))"),"")</f>
        <v/>
      </c>
      <c r="AZ601" s="43" t="str">
        <f ca="1">IFERROR(__xludf.DUMMYFUNCTION("IFERROR(VLOOKUP(E618&amp;F618,IMPORTRANGE(""https://docs.google.com/spreadsheets/d/1Uw7-A9f9R21vMXxHZFNpYNeKFtG8_yji4HS352LGlSQ/edit?pli=1#gid=0"",""1_ACUM!A4:S""),14,FALSE))"),"")</f>
        <v/>
      </c>
      <c r="BA601" s="43" t="str">
        <f ca="1">IFERROR(__xludf.DUMMYFUNCTION("IFERROR(VLOOKUP(E618&amp;F618,IMPORTRANGE(""https://docs.google.com/spreadsheets/d/1Uw7-A9f9R21vMXxHZFNpYNeKFtG8_yji4HS352LGlSQ/edit?pli=1#gid=0"",""1_ACUM!A4:S""),15,FALSE))"),"")</f>
        <v/>
      </c>
      <c r="BB601" s="43" t="str">
        <f ca="1">IFERROR(__xludf.DUMMYFUNCTION("IFERROR(VLOOKUP(E618&amp;F618,IMPORTRANGE(""https://docs.google.com/spreadsheets/d/1Uw7-A9f9R21vMXxHZFNpYNeKFtG8_yji4HS352LGlSQ/edit?pli=1#gid=0"",""1_ACUM!A4:S""),16,FALSE))"),"")</f>
        <v/>
      </c>
      <c r="BC601" s="43" t="str">
        <f ca="1">IFERROR(__xludf.DUMMYFUNCTION("IFERROR(VLOOKUP(E618&amp;F618,IMPORTRANGE(""https://docs.google.com/spreadsheets/d/1Uw7-A9f9R21vMXxHZFNpYNeKFtG8_yji4HS352LGlSQ/edit?pli=1#gid=0"",""1_ACUM!A4:S""),17,FALSE))"),"")</f>
        <v/>
      </c>
      <c r="BD601" s="44" t="str">
        <f ca="1">IFERROR(__xludf.DUMMYFUNCTION("IFERROR(VLOOKUP(E618&amp;F618,IMPORTRANGE(""https://docs.google.com/spreadsheets/d/1Uw7-A9f9R21vMXxHZFNpYNeKFtG8_yji4HS352LGlSQ/edit?pli=1#gid=0"",""1_ACUM!A4:S""),18,FALSE))"),"")</f>
        <v/>
      </c>
      <c r="BE601" s="44" t="str">
        <f ca="1">IFERROR(__xludf.DUMMYFUNCTION("IFERROR(VLOOKUP(E618&amp;F618,IMPORTRANGE(""https://docs.google.com/spreadsheets/d/1Uw7-A9f9R21vMXxHZFNpYNeKFtG8_yji4HS352LGlSQ/edit?pli=1#gid=0"",""1_ACUM!A4:S""),19,FALSE))"),"")</f>
        <v/>
      </c>
      <c r="BF601" s="44" t="str">
        <f ca="1">IFERROR(__xludf.DUMMYFUNCTION("IFERROR(VLOOKUP(F618,IMPORTRANGE(""https://docs.google.com/spreadsheets/d/1Kvs4KS76FHFqLFIZfrDMff4kP08nblUkihrxltoGBjg/edit#gid=934712705"",""ESENCIAL!A6:BG""),5,FALSE))"),"")</f>
        <v/>
      </c>
      <c r="BG601" s="44" t="str">
        <f t="shared" si="41"/>
        <v/>
      </c>
      <c r="BH601" s="41" t="str">
        <f t="shared" si="42"/>
        <v/>
      </c>
      <c r="BI601" s="41" t="str">
        <f ca="1">IFERROR(__xludf.DUMMYFUNCTION("IFERROR(VLOOKUP(F618,IMPORTRANGE(""https://docs.google.com/spreadsheets/d/1Kvs4KS76FHFqLFIZfrDMff4kP08nblUkihrxltoGBjg/edit#gid=934712705"",""ESENCIAL!A6:BG""),18,FALSE))"),"")</f>
        <v/>
      </c>
      <c r="BJ601" s="19" t="str">
        <f t="shared" si="43"/>
        <v/>
      </c>
      <c r="BK601" s="41"/>
      <c r="BL601" s="41"/>
    </row>
    <row r="602" spans="1:64" ht="15">
      <c r="A602" s="4"/>
      <c r="B602" s="4"/>
      <c r="G602" s="5" t="str">
        <f ca="1">IFERROR(__xludf.DUMMYFUNCTION("IFERROR(VLOOKUP(F619,IMPORTRANGE(""https://docs.google.com/spreadsheets/d/1Kvs4KS76FHFqLFIZfrDMff4kP08nblUkihrxltoGBjg/edit#gid=934712705"",""ESENCIAL!A6:BG""),3,FALSE))"),"")</f>
        <v/>
      </c>
      <c r="H602" s="5" t="str">
        <f ca="1">IFERROR(__xludf.DUMMYFUNCTION("IFERROR(VLOOKUP(F619,IMPORTRANGE(""https://docs.google.com/spreadsheets/d/1Kvs4KS76FHFqLFIZfrDMff4kP08nblUkihrxltoGBjg/edit#gid=934712705"",""ESENCIAL!A6:BG""),8,FALSE))"),"")</f>
        <v/>
      </c>
      <c r="L602" s="287"/>
      <c r="S602"/>
      <c r="AU602" s="41" t="str">
        <f t="shared" si="40"/>
        <v/>
      </c>
      <c r="AV602" s="5" t="str">
        <f ca="1">IFERROR(__xludf.DUMMYFUNCTION("IFERROR(VLOOKUP(E619&amp;F619,IMPORTRANGE(""https://docs.google.com/spreadsheets/d/1Uw7-A9f9R21vMXxHZFNpYNeKFtG8_yji4HS352LGlSQ/edit?pli=1#gid=0"",""1_ACUM!A4:S""),11,FALSE))"),"")</f>
        <v/>
      </c>
      <c r="AW602" s="42" t="str">
        <f ca="1">IFERROR(__xludf.DUMMYFUNCTION("IFERROR(VLOOKUP(F619,IMPORTRANGE(""https://docs.google.com/spreadsheets/d/1Kvs4KS76FHFqLFIZfrDMff4kP08nblUkihrxltoGBjg/edit#gid=934712705"",""ESENCIAL!A6:BG""),15,FALSE))"),"")</f>
        <v/>
      </c>
      <c r="AX602" s="21" t="str">
        <f ca="1">IFERROR(__xludf.DUMMYFUNCTION("IFERROR(VLOOKUP(E619&amp;F619,IMPORTRANGE(""https://docs.google.com/spreadsheets/d/1Uw7-A9f9R21vMXxHZFNpYNeKFtG8_yji4HS352LGlSQ/edit?pli=1#gid=0"",""1_ACUM!A4:S""),12,FALSE))"),"")</f>
        <v/>
      </c>
      <c r="AY602" s="43" t="str">
        <f ca="1">IFERROR(__xludf.DUMMYFUNCTION("IFERROR(VLOOKUP(E619&amp;F619,IMPORTRANGE(""https://docs.google.com/spreadsheets/d/1Uw7-A9f9R21vMXxHZFNpYNeKFtG8_yji4HS352LGlSQ/edit?pli=1#gid=0"",""1_ACUM!A4:S""),13,FALSE))"),"")</f>
        <v/>
      </c>
      <c r="AZ602" s="43" t="str">
        <f ca="1">IFERROR(__xludf.DUMMYFUNCTION("IFERROR(VLOOKUP(E619&amp;F619,IMPORTRANGE(""https://docs.google.com/spreadsheets/d/1Uw7-A9f9R21vMXxHZFNpYNeKFtG8_yji4HS352LGlSQ/edit?pli=1#gid=0"",""1_ACUM!A4:S""),14,FALSE))"),"")</f>
        <v/>
      </c>
      <c r="BA602" s="43" t="str">
        <f ca="1">IFERROR(__xludf.DUMMYFUNCTION("IFERROR(VLOOKUP(E619&amp;F619,IMPORTRANGE(""https://docs.google.com/spreadsheets/d/1Uw7-A9f9R21vMXxHZFNpYNeKFtG8_yji4HS352LGlSQ/edit?pli=1#gid=0"",""1_ACUM!A4:S""),15,FALSE))"),"")</f>
        <v/>
      </c>
      <c r="BB602" s="43" t="str">
        <f ca="1">IFERROR(__xludf.DUMMYFUNCTION("IFERROR(VLOOKUP(E619&amp;F619,IMPORTRANGE(""https://docs.google.com/spreadsheets/d/1Uw7-A9f9R21vMXxHZFNpYNeKFtG8_yji4HS352LGlSQ/edit?pli=1#gid=0"",""1_ACUM!A4:S""),16,FALSE))"),"")</f>
        <v/>
      </c>
      <c r="BC602" s="43" t="str">
        <f ca="1">IFERROR(__xludf.DUMMYFUNCTION("IFERROR(VLOOKUP(E619&amp;F619,IMPORTRANGE(""https://docs.google.com/spreadsheets/d/1Uw7-A9f9R21vMXxHZFNpYNeKFtG8_yji4HS352LGlSQ/edit?pli=1#gid=0"",""1_ACUM!A4:S""),17,FALSE))"),"")</f>
        <v/>
      </c>
      <c r="BD602" s="44" t="str">
        <f ca="1">IFERROR(__xludf.DUMMYFUNCTION("IFERROR(VLOOKUP(E619&amp;F619,IMPORTRANGE(""https://docs.google.com/spreadsheets/d/1Uw7-A9f9R21vMXxHZFNpYNeKFtG8_yji4HS352LGlSQ/edit?pli=1#gid=0"",""1_ACUM!A4:S""),18,FALSE))"),"")</f>
        <v/>
      </c>
      <c r="BE602" s="44" t="str">
        <f ca="1">IFERROR(__xludf.DUMMYFUNCTION("IFERROR(VLOOKUP(E619&amp;F619,IMPORTRANGE(""https://docs.google.com/spreadsheets/d/1Uw7-A9f9R21vMXxHZFNpYNeKFtG8_yji4HS352LGlSQ/edit?pli=1#gid=0"",""1_ACUM!A4:S""),19,FALSE))"),"")</f>
        <v/>
      </c>
      <c r="BF602" s="44" t="str">
        <f ca="1">IFERROR(__xludf.DUMMYFUNCTION("IFERROR(VLOOKUP(F619,IMPORTRANGE(""https://docs.google.com/spreadsheets/d/1Kvs4KS76FHFqLFIZfrDMff4kP08nblUkihrxltoGBjg/edit#gid=934712705"",""ESENCIAL!A6:BG""),5,FALSE))"),"")</f>
        <v/>
      </c>
      <c r="BG602" s="44" t="str">
        <f t="shared" si="41"/>
        <v/>
      </c>
      <c r="BH602" s="41" t="str">
        <f t="shared" si="42"/>
        <v/>
      </c>
      <c r="BI602" s="41" t="str">
        <f ca="1">IFERROR(__xludf.DUMMYFUNCTION("IFERROR(VLOOKUP(F619,IMPORTRANGE(""https://docs.google.com/spreadsheets/d/1Kvs4KS76FHFqLFIZfrDMff4kP08nblUkihrxltoGBjg/edit#gid=934712705"",""ESENCIAL!A6:BG""),18,FALSE))"),"")</f>
        <v/>
      </c>
      <c r="BJ602" s="19" t="str">
        <f t="shared" si="43"/>
        <v/>
      </c>
      <c r="BK602" s="41"/>
      <c r="BL602" s="41"/>
    </row>
    <row r="603" spans="1:64" ht="15">
      <c r="A603" s="4"/>
      <c r="B603" s="4"/>
      <c r="G603" s="5" t="str">
        <f ca="1">IFERROR(__xludf.DUMMYFUNCTION("IFERROR(VLOOKUP(F620,IMPORTRANGE(""https://docs.google.com/spreadsheets/d/1Kvs4KS76FHFqLFIZfrDMff4kP08nblUkihrxltoGBjg/edit#gid=934712705"",""ESENCIAL!A6:BG""),3,FALSE))"),"")</f>
        <v/>
      </c>
      <c r="H603" s="5" t="str">
        <f ca="1">IFERROR(__xludf.DUMMYFUNCTION("IFERROR(VLOOKUP(F620,IMPORTRANGE(""https://docs.google.com/spreadsheets/d/1Kvs4KS76FHFqLFIZfrDMff4kP08nblUkihrxltoGBjg/edit#gid=934712705"",""ESENCIAL!A6:BG""),8,FALSE))"),"")</f>
        <v/>
      </c>
      <c r="L603" s="287"/>
      <c r="S603"/>
      <c r="AU603" s="41" t="str">
        <f t="shared" si="40"/>
        <v/>
      </c>
      <c r="AV603" s="5" t="str">
        <f ca="1">IFERROR(__xludf.DUMMYFUNCTION("IFERROR(VLOOKUP(E620&amp;F620,IMPORTRANGE(""https://docs.google.com/spreadsheets/d/1Uw7-A9f9R21vMXxHZFNpYNeKFtG8_yji4HS352LGlSQ/edit?pli=1#gid=0"",""1_ACUM!A4:S""),11,FALSE))"),"")</f>
        <v/>
      </c>
      <c r="AW603" s="42" t="str">
        <f ca="1">IFERROR(__xludf.DUMMYFUNCTION("IFERROR(VLOOKUP(F620,IMPORTRANGE(""https://docs.google.com/spreadsheets/d/1Kvs4KS76FHFqLFIZfrDMff4kP08nblUkihrxltoGBjg/edit#gid=934712705"",""ESENCIAL!A6:BG""),15,FALSE))"),"")</f>
        <v/>
      </c>
      <c r="AX603" s="21" t="str">
        <f ca="1">IFERROR(__xludf.DUMMYFUNCTION("IFERROR(VLOOKUP(E620&amp;F620,IMPORTRANGE(""https://docs.google.com/spreadsheets/d/1Uw7-A9f9R21vMXxHZFNpYNeKFtG8_yji4HS352LGlSQ/edit?pli=1#gid=0"",""1_ACUM!A4:S""),12,FALSE))"),"")</f>
        <v/>
      </c>
      <c r="AY603" s="43" t="str">
        <f ca="1">IFERROR(__xludf.DUMMYFUNCTION("IFERROR(VLOOKUP(E620&amp;F620,IMPORTRANGE(""https://docs.google.com/spreadsheets/d/1Uw7-A9f9R21vMXxHZFNpYNeKFtG8_yji4HS352LGlSQ/edit?pli=1#gid=0"",""1_ACUM!A4:S""),13,FALSE))"),"")</f>
        <v/>
      </c>
      <c r="AZ603" s="43" t="str">
        <f ca="1">IFERROR(__xludf.DUMMYFUNCTION("IFERROR(VLOOKUP(E620&amp;F620,IMPORTRANGE(""https://docs.google.com/spreadsheets/d/1Uw7-A9f9R21vMXxHZFNpYNeKFtG8_yji4HS352LGlSQ/edit?pli=1#gid=0"",""1_ACUM!A4:S""),14,FALSE))"),"")</f>
        <v/>
      </c>
      <c r="BA603" s="43" t="str">
        <f ca="1">IFERROR(__xludf.DUMMYFUNCTION("IFERROR(VLOOKUP(E620&amp;F620,IMPORTRANGE(""https://docs.google.com/spreadsheets/d/1Uw7-A9f9R21vMXxHZFNpYNeKFtG8_yji4HS352LGlSQ/edit?pli=1#gid=0"",""1_ACUM!A4:S""),15,FALSE))"),"")</f>
        <v/>
      </c>
      <c r="BB603" s="43" t="str">
        <f ca="1">IFERROR(__xludf.DUMMYFUNCTION("IFERROR(VLOOKUP(E620&amp;F620,IMPORTRANGE(""https://docs.google.com/spreadsheets/d/1Uw7-A9f9R21vMXxHZFNpYNeKFtG8_yji4HS352LGlSQ/edit?pli=1#gid=0"",""1_ACUM!A4:S""),16,FALSE))"),"")</f>
        <v/>
      </c>
      <c r="BC603" s="43" t="str">
        <f ca="1">IFERROR(__xludf.DUMMYFUNCTION("IFERROR(VLOOKUP(E620&amp;F620,IMPORTRANGE(""https://docs.google.com/spreadsheets/d/1Uw7-A9f9R21vMXxHZFNpYNeKFtG8_yji4HS352LGlSQ/edit?pli=1#gid=0"",""1_ACUM!A4:S""),17,FALSE))"),"")</f>
        <v/>
      </c>
      <c r="BD603" s="44" t="str">
        <f ca="1">IFERROR(__xludf.DUMMYFUNCTION("IFERROR(VLOOKUP(E620&amp;F620,IMPORTRANGE(""https://docs.google.com/spreadsheets/d/1Uw7-A9f9R21vMXxHZFNpYNeKFtG8_yji4HS352LGlSQ/edit?pli=1#gid=0"",""1_ACUM!A4:S""),18,FALSE))"),"")</f>
        <v/>
      </c>
      <c r="BE603" s="44" t="str">
        <f ca="1">IFERROR(__xludf.DUMMYFUNCTION("IFERROR(VLOOKUP(E620&amp;F620,IMPORTRANGE(""https://docs.google.com/spreadsheets/d/1Uw7-A9f9R21vMXxHZFNpYNeKFtG8_yji4HS352LGlSQ/edit?pli=1#gid=0"",""1_ACUM!A4:S""),19,FALSE))"),"")</f>
        <v/>
      </c>
      <c r="BF603" s="44" t="str">
        <f ca="1">IFERROR(__xludf.DUMMYFUNCTION("IFERROR(VLOOKUP(F620,IMPORTRANGE(""https://docs.google.com/spreadsheets/d/1Kvs4KS76FHFqLFIZfrDMff4kP08nblUkihrxltoGBjg/edit#gid=934712705"",""ESENCIAL!A6:BG""),5,FALSE))"),"")</f>
        <v/>
      </c>
      <c r="BG603" s="44" t="str">
        <f t="shared" si="41"/>
        <v/>
      </c>
      <c r="BH603" s="41" t="str">
        <f t="shared" si="42"/>
        <v/>
      </c>
      <c r="BI603" s="41" t="str">
        <f ca="1">IFERROR(__xludf.DUMMYFUNCTION("IFERROR(VLOOKUP(F620,IMPORTRANGE(""https://docs.google.com/spreadsheets/d/1Kvs4KS76FHFqLFIZfrDMff4kP08nblUkihrxltoGBjg/edit#gid=934712705"",""ESENCIAL!A6:BG""),18,FALSE))"),"")</f>
        <v/>
      </c>
      <c r="BJ603" s="19" t="str">
        <f t="shared" si="43"/>
        <v/>
      </c>
      <c r="BK603" s="41"/>
      <c r="BL603" s="41"/>
    </row>
    <row r="604" spans="1:64" ht="15">
      <c r="A604" s="4"/>
      <c r="B604" s="4"/>
      <c r="G604" s="5" t="str">
        <f ca="1">IFERROR(__xludf.DUMMYFUNCTION("IFERROR(VLOOKUP(F621,IMPORTRANGE(""https://docs.google.com/spreadsheets/d/1Kvs4KS76FHFqLFIZfrDMff4kP08nblUkihrxltoGBjg/edit#gid=934712705"",""ESENCIAL!A6:BG""),3,FALSE))"),"")</f>
        <v/>
      </c>
      <c r="H604" s="5" t="str">
        <f ca="1">IFERROR(__xludf.DUMMYFUNCTION("IFERROR(VLOOKUP(F621,IMPORTRANGE(""https://docs.google.com/spreadsheets/d/1Kvs4KS76FHFqLFIZfrDMff4kP08nblUkihrxltoGBjg/edit#gid=934712705"",""ESENCIAL!A6:BG""),8,FALSE))"),"")</f>
        <v/>
      </c>
      <c r="L604" s="287"/>
      <c r="S604"/>
      <c r="AU604" s="41" t="str">
        <f t="shared" si="40"/>
        <v/>
      </c>
      <c r="AV604" s="5" t="str">
        <f ca="1">IFERROR(__xludf.DUMMYFUNCTION("IFERROR(VLOOKUP(E621&amp;F621,IMPORTRANGE(""https://docs.google.com/spreadsheets/d/1Uw7-A9f9R21vMXxHZFNpYNeKFtG8_yji4HS352LGlSQ/edit?pli=1#gid=0"",""1_ACUM!A4:S""),11,FALSE))"),"")</f>
        <v/>
      </c>
      <c r="AW604" s="42" t="str">
        <f ca="1">IFERROR(__xludf.DUMMYFUNCTION("IFERROR(VLOOKUP(F621,IMPORTRANGE(""https://docs.google.com/spreadsheets/d/1Kvs4KS76FHFqLFIZfrDMff4kP08nblUkihrxltoGBjg/edit#gid=934712705"",""ESENCIAL!A6:BG""),15,FALSE))"),"")</f>
        <v/>
      </c>
      <c r="AX604" s="21" t="str">
        <f ca="1">IFERROR(__xludf.DUMMYFUNCTION("IFERROR(VLOOKUP(E621&amp;F621,IMPORTRANGE(""https://docs.google.com/spreadsheets/d/1Uw7-A9f9R21vMXxHZFNpYNeKFtG8_yji4HS352LGlSQ/edit?pli=1#gid=0"",""1_ACUM!A4:S""),12,FALSE))"),"")</f>
        <v/>
      </c>
      <c r="AY604" s="43" t="str">
        <f ca="1">IFERROR(__xludf.DUMMYFUNCTION("IFERROR(VLOOKUP(E621&amp;F621,IMPORTRANGE(""https://docs.google.com/spreadsheets/d/1Uw7-A9f9R21vMXxHZFNpYNeKFtG8_yji4HS352LGlSQ/edit?pli=1#gid=0"",""1_ACUM!A4:S""),13,FALSE))"),"")</f>
        <v/>
      </c>
      <c r="AZ604" s="43" t="str">
        <f ca="1">IFERROR(__xludf.DUMMYFUNCTION("IFERROR(VLOOKUP(E621&amp;F621,IMPORTRANGE(""https://docs.google.com/spreadsheets/d/1Uw7-A9f9R21vMXxHZFNpYNeKFtG8_yji4HS352LGlSQ/edit?pli=1#gid=0"",""1_ACUM!A4:S""),14,FALSE))"),"")</f>
        <v/>
      </c>
      <c r="BA604" s="43" t="str">
        <f ca="1">IFERROR(__xludf.DUMMYFUNCTION("IFERROR(VLOOKUP(E621&amp;F621,IMPORTRANGE(""https://docs.google.com/spreadsheets/d/1Uw7-A9f9R21vMXxHZFNpYNeKFtG8_yji4HS352LGlSQ/edit?pli=1#gid=0"",""1_ACUM!A4:S""),15,FALSE))"),"")</f>
        <v/>
      </c>
      <c r="BB604" s="43" t="str">
        <f ca="1">IFERROR(__xludf.DUMMYFUNCTION("IFERROR(VLOOKUP(E621&amp;F621,IMPORTRANGE(""https://docs.google.com/spreadsheets/d/1Uw7-A9f9R21vMXxHZFNpYNeKFtG8_yji4HS352LGlSQ/edit?pli=1#gid=0"",""1_ACUM!A4:S""),16,FALSE))"),"")</f>
        <v/>
      </c>
      <c r="BC604" s="43" t="str">
        <f ca="1">IFERROR(__xludf.DUMMYFUNCTION("IFERROR(VLOOKUP(E621&amp;F621,IMPORTRANGE(""https://docs.google.com/spreadsheets/d/1Uw7-A9f9R21vMXxHZFNpYNeKFtG8_yji4HS352LGlSQ/edit?pli=1#gid=0"",""1_ACUM!A4:S""),17,FALSE))"),"")</f>
        <v/>
      </c>
      <c r="BD604" s="44" t="str">
        <f ca="1">IFERROR(__xludf.DUMMYFUNCTION("IFERROR(VLOOKUP(E621&amp;F621,IMPORTRANGE(""https://docs.google.com/spreadsheets/d/1Uw7-A9f9R21vMXxHZFNpYNeKFtG8_yji4HS352LGlSQ/edit?pli=1#gid=0"",""1_ACUM!A4:S""),18,FALSE))"),"")</f>
        <v/>
      </c>
      <c r="BE604" s="44" t="str">
        <f ca="1">IFERROR(__xludf.DUMMYFUNCTION("IFERROR(VLOOKUP(E621&amp;F621,IMPORTRANGE(""https://docs.google.com/spreadsheets/d/1Uw7-A9f9R21vMXxHZFNpYNeKFtG8_yji4HS352LGlSQ/edit?pli=1#gid=0"",""1_ACUM!A4:S""),19,FALSE))"),"")</f>
        <v/>
      </c>
      <c r="BF604" s="44" t="str">
        <f ca="1">IFERROR(__xludf.DUMMYFUNCTION("IFERROR(VLOOKUP(F621,IMPORTRANGE(""https://docs.google.com/spreadsheets/d/1Kvs4KS76FHFqLFIZfrDMff4kP08nblUkihrxltoGBjg/edit#gid=934712705"",""ESENCIAL!A6:BG""),5,FALSE))"),"")</f>
        <v/>
      </c>
      <c r="BG604" s="44" t="str">
        <f t="shared" si="41"/>
        <v/>
      </c>
      <c r="BH604" s="41" t="str">
        <f t="shared" si="42"/>
        <v/>
      </c>
      <c r="BI604" s="41" t="str">
        <f ca="1">IFERROR(__xludf.DUMMYFUNCTION("IFERROR(VLOOKUP(F621,IMPORTRANGE(""https://docs.google.com/spreadsheets/d/1Kvs4KS76FHFqLFIZfrDMff4kP08nblUkihrxltoGBjg/edit#gid=934712705"",""ESENCIAL!A6:BG""),18,FALSE))"),"")</f>
        <v/>
      </c>
      <c r="BJ604" s="19" t="str">
        <f t="shared" si="43"/>
        <v/>
      </c>
      <c r="BK604" s="41"/>
      <c r="BL604" s="41"/>
    </row>
    <row r="605" spans="1:64" ht="15">
      <c r="A605" s="4"/>
      <c r="B605" s="4"/>
      <c r="G605" s="5" t="str">
        <f ca="1">IFERROR(__xludf.DUMMYFUNCTION("IFERROR(VLOOKUP(F622,IMPORTRANGE(""https://docs.google.com/spreadsheets/d/1Kvs4KS76FHFqLFIZfrDMff4kP08nblUkihrxltoGBjg/edit#gid=934712705"",""ESENCIAL!A6:BG""),3,FALSE))"),"")</f>
        <v/>
      </c>
      <c r="H605" s="5" t="str">
        <f ca="1">IFERROR(__xludf.DUMMYFUNCTION("IFERROR(VLOOKUP(F622,IMPORTRANGE(""https://docs.google.com/spreadsheets/d/1Kvs4KS76FHFqLFIZfrDMff4kP08nblUkihrxltoGBjg/edit#gid=934712705"",""ESENCIAL!A6:BG""),8,FALSE))"),"")</f>
        <v/>
      </c>
      <c r="L605" s="287"/>
      <c r="S605"/>
      <c r="AU605" s="41" t="str">
        <f t="shared" si="40"/>
        <v/>
      </c>
      <c r="AV605" s="5" t="str">
        <f ca="1">IFERROR(__xludf.DUMMYFUNCTION("IFERROR(VLOOKUP(E622&amp;F622,IMPORTRANGE(""https://docs.google.com/spreadsheets/d/1Uw7-A9f9R21vMXxHZFNpYNeKFtG8_yji4HS352LGlSQ/edit?pli=1#gid=0"",""1_ACUM!A4:S""),11,FALSE))"),"")</f>
        <v/>
      </c>
      <c r="AW605" s="42" t="str">
        <f ca="1">IFERROR(__xludf.DUMMYFUNCTION("IFERROR(VLOOKUP(F622,IMPORTRANGE(""https://docs.google.com/spreadsheets/d/1Kvs4KS76FHFqLFIZfrDMff4kP08nblUkihrxltoGBjg/edit#gid=934712705"",""ESENCIAL!A6:BG""),15,FALSE))"),"")</f>
        <v/>
      </c>
      <c r="AX605" s="21" t="str">
        <f ca="1">IFERROR(__xludf.DUMMYFUNCTION("IFERROR(VLOOKUP(E622&amp;F622,IMPORTRANGE(""https://docs.google.com/spreadsheets/d/1Uw7-A9f9R21vMXxHZFNpYNeKFtG8_yji4HS352LGlSQ/edit?pli=1#gid=0"",""1_ACUM!A4:S""),12,FALSE))"),"")</f>
        <v/>
      </c>
      <c r="AY605" s="43" t="str">
        <f ca="1">IFERROR(__xludf.DUMMYFUNCTION("IFERROR(VLOOKUP(E622&amp;F622,IMPORTRANGE(""https://docs.google.com/spreadsheets/d/1Uw7-A9f9R21vMXxHZFNpYNeKFtG8_yji4HS352LGlSQ/edit?pli=1#gid=0"",""1_ACUM!A4:S""),13,FALSE))"),"")</f>
        <v/>
      </c>
      <c r="AZ605" s="43" t="str">
        <f ca="1">IFERROR(__xludf.DUMMYFUNCTION("IFERROR(VLOOKUP(E622&amp;F622,IMPORTRANGE(""https://docs.google.com/spreadsheets/d/1Uw7-A9f9R21vMXxHZFNpYNeKFtG8_yji4HS352LGlSQ/edit?pli=1#gid=0"",""1_ACUM!A4:S""),14,FALSE))"),"")</f>
        <v/>
      </c>
      <c r="BA605" s="43" t="str">
        <f ca="1">IFERROR(__xludf.DUMMYFUNCTION("IFERROR(VLOOKUP(E622&amp;F622,IMPORTRANGE(""https://docs.google.com/spreadsheets/d/1Uw7-A9f9R21vMXxHZFNpYNeKFtG8_yji4HS352LGlSQ/edit?pli=1#gid=0"",""1_ACUM!A4:S""),15,FALSE))"),"")</f>
        <v/>
      </c>
      <c r="BB605" s="43" t="str">
        <f ca="1">IFERROR(__xludf.DUMMYFUNCTION("IFERROR(VLOOKUP(E622&amp;F622,IMPORTRANGE(""https://docs.google.com/spreadsheets/d/1Uw7-A9f9R21vMXxHZFNpYNeKFtG8_yji4HS352LGlSQ/edit?pli=1#gid=0"",""1_ACUM!A4:S""),16,FALSE))"),"")</f>
        <v/>
      </c>
      <c r="BC605" s="43" t="str">
        <f ca="1">IFERROR(__xludf.DUMMYFUNCTION("IFERROR(VLOOKUP(E622&amp;F622,IMPORTRANGE(""https://docs.google.com/spreadsheets/d/1Uw7-A9f9R21vMXxHZFNpYNeKFtG8_yji4HS352LGlSQ/edit?pli=1#gid=0"",""1_ACUM!A4:S""),17,FALSE))"),"")</f>
        <v/>
      </c>
      <c r="BD605" s="44" t="str">
        <f ca="1">IFERROR(__xludf.DUMMYFUNCTION("IFERROR(VLOOKUP(E622&amp;F622,IMPORTRANGE(""https://docs.google.com/spreadsheets/d/1Uw7-A9f9R21vMXxHZFNpYNeKFtG8_yji4HS352LGlSQ/edit?pli=1#gid=0"",""1_ACUM!A4:S""),18,FALSE))"),"")</f>
        <v/>
      </c>
      <c r="BE605" s="44" t="str">
        <f ca="1">IFERROR(__xludf.DUMMYFUNCTION("IFERROR(VLOOKUP(E622&amp;F622,IMPORTRANGE(""https://docs.google.com/spreadsheets/d/1Uw7-A9f9R21vMXxHZFNpYNeKFtG8_yji4HS352LGlSQ/edit?pli=1#gid=0"",""1_ACUM!A4:S""),19,FALSE))"),"")</f>
        <v/>
      </c>
      <c r="BF605" s="44" t="str">
        <f ca="1">IFERROR(__xludf.DUMMYFUNCTION("IFERROR(VLOOKUP(F622,IMPORTRANGE(""https://docs.google.com/spreadsheets/d/1Kvs4KS76FHFqLFIZfrDMff4kP08nblUkihrxltoGBjg/edit#gid=934712705"",""ESENCIAL!A6:BG""),5,FALSE))"),"")</f>
        <v/>
      </c>
      <c r="BG605" s="44" t="str">
        <f t="shared" si="41"/>
        <v/>
      </c>
      <c r="BH605" s="41" t="str">
        <f t="shared" si="42"/>
        <v/>
      </c>
      <c r="BI605" s="41" t="str">
        <f ca="1">IFERROR(__xludf.DUMMYFUNCTION("IFERROR(VLOOKUP(F622,IMPORTRANGE(""https://docs.google.com/spreadsheets/d/1Kvs4KS76FHFqLFIZfrDMff4kP08nblUkihrxltoGBjg/edit#gid=934712705"",""ESENCIAL!A6:BG""),18,FALSE))"),"")</f>
        <v/>
      </c>
      <c r="BJ605" s="19" t="str">
        <f t="shared" si="43"/>
        <v/>
      </c>
      <c r="BK605" s="41"/>
      <c r="BL605" s="41"/>
    </row>
    <row r="606" spans="1:64" ht="15">
      <c r="A606" s="4"/>
      <c r="B606" s="4"/>
      <c r="G606" s="5" t="str">
        <f ca="1">IFERROR(__xludf.DUMMYFUNCTION("IFERROR(VLOOKUP(F623,IMPORTRANGE(""https://docs.google.com/spreadsheets/d/1Kvs4KS76FHFqLFIZfrDMff4kP08nblUkihrxltoGBjg/edit#gid=934712705"",""ESENCIAL!A6:BG""),3,FALSE))"),"")</f>
        <v/>
      </c>
      <c r="H606" s="5" t="str">
        <f ca="1">IFERROR(__xludf.DUMMYFUNCTION("IFERROR(VLOOKUP(F623,IMPORTRANGE(""https://docs.google.com/spreadsheets/d/1Kvs4KS76FHFqLFIZfrDMff4kP08nblUkihrxltoGBjg/edit#gid=934712705"",""ESENCIAL!A6:BG""),8,FALSE))"),"")</f>
        <v/>
      </c>
      <c r="L606" s="287"/>
      <c r="S606"/>
      <c r="AU606" s="41" t="str">
        <f t="shared" si="40"/>
        <v/>
      </c>
      <c r="AV606" s="5" t="str">
        <f ca="1">IFERROR(__xludf.DUMMYFUNCTION("IFERROR(VLOOKUP(E623&amp;F623,IMPORTRANGE(""https://docs.google.com/spreadsheets/d/1Uw7-A9f9R21vMXxHZFNpYNeKFtG8_yji4HS352LGlSQ/edit?pli=1#gid=0"",""1_ACUM!A4:S""),11,FALSE))"),"")</f>
        <v/>
      </c>
      <c r="AW606" s="42" t="str">
        <f ca="1">IFERROR(__xludf.DUMMYFUNCTION("IFERROR(VLOOKUP(F623,IMPORTRANGE(""https://docs.google.com/spreadsheets/d/1Kvs4KS76FHFqLFIZfrDMff4kP08nblUkihrxltoGBjg/edit#gid=934712705"",""ESENCIAL!A6:BG""),15,FALSE))"),"")</f>
        <v/>
      </c>
      <c r="AX606" s="21" t="str">
        <f ca="1">IFERROR(__xludf.DUMMYFUNCTION("IFERROR(VLOOKUP(E623&amp;F623,IMPORTRANGE(""https://docs.google.com/spreadsheets/d/1Uw7-A9f9R21vMXxHZFNpYNeKFtG8_yji4HS352LGlSQ/edit?pli=1#gid=0"",""1_ACUM!A4:S""),12,FALSE))"),"")</f>
        <v/>
      </c>
      <c r="AY606" s="43" t="str">
        <f ca="1">IFERROR(__xludf.DUMMYFUNCTION("IFERROR(VLOOKUP(E623&amp;F623,IMPORTRANGE(""https://docs.google.com/spreadsheets/d/1Uw7-A9f9R21vMXxHZFNpYNeKFtG8_yji4HS352LGlSQ/edit?pli=1#gid=0"",""1_ACUM!A4:S""),13,FALSE))"),"")</f>
        <v/>
      </c>
      <c r="AZ606" s="43" t="str">
        <f ca="1">IFERROR(__xludf.DUMMYFUNCTION("IFERROR(VLOOKUP(E623&amp;F623,IMPORTRANGE(""https://docs.google.com/spreadsheets/d/1Uw7-A9f9R21vMXxHZFNpYNeKFtG8_yji4HS352LGlSQ/edit?pli=1#gid=0"",""1_ACUM!A4:S""),14,FALSE))"),"")</f>
        <v/>
      </c>
      <c r="BA606" s="43" t="str">
        <f ca="1">IFERROR(__xludf.DUMMYFUNCTION("IFERROR(VLOOKUP(E623&amp;F623,IMPORTRANGE(""https://docs.google.com/spreadsheets/d/1Uw7-A9f9R21vMXxHZFNpYNeKFtG8_yji4HS352LGlSQ/edit?pli=1#gid=0"",""1_ACUM!A4:S""),15,FALSE))"),"")</f>
        <v/>
      </c>
      <c r="BB606" s="43" t="str">
        <f ca="1">IFERROR(__xludf.DUMMYFUNCTION("IFERROR(VLOOKUP(E623&amp;F623,IMPORTRANGE(""https://docs.google.com/spreadsheets/d/1Uw7-A9f9R21vMXxHZFNpYNeKFtG8_yji4HS352LGlSQ/edit?pli=1#gid=0"",""1_ACUM!A4:S""),16,FALSE))"),"")</f>
        <v/>
      </c>
      <c r="BC606" s="43" t="str">
        <f ca="1">IFERROR(__xludf.DUMMYFUNCTION("IFERROR(VLOOKUP(E623&amp;F623,IMPORTRANGE(""https://docs.google.com/spreadsheets/d/1Uw7-A9f9R21vMXxHZFNpYNeKFtG8_yji4HS352LGlSQ/edit?pli=1#gid=0"",""1_ACUM!A4:S""),17,FALSE))"),"")</f>
        <v/>
      </c>
      <c r="BD606" s="44" t="str">
        <f ca="1">IFERROR(__xludf.DUMMYFUNCTION("IFERROR(VLOOKUP(E623&amp;F623,IMPORTRANGE(""https://docs.google.com/spreadsheets/d/1Uw7-A9f9R21vMXxHZFNpYNeKFtG8_yji4HS352LGlSQ/edit?pli=1#gid=0"",""1_ACUM!A4:S""),18,FALSE))"),"")</f>
        <v/>
      </c>
      <c r="BE606" s="44" t="str">
        <f ca="1">IFERROR(__xludf.DUMMYFUNCTION("IFERROR(VLOOKUP(E623&amp;F623,IMPORTRANGE(""https://docs.google.com/spreadsheets/d/1Uw7-A9f9R21vMXxHZFNpYNeKFtG8_yji4HS352LGlSQ/edit?pli=1#gid=0"",""1_ACUM!A4:S""),19,FALSE))"),"")</f>
        <v/>
      </c>
      <c r="BF606" s="44" t="str">
        <f ca="1">IFERROR(__xludf.DUMMYFUNCTION("IFERROR(VLOOKUP(F623,IMPORTRANGE(""https://docs.google.com/spreadsheets/d/1Kvs4KS76FHFqLFIZfrDMff4kP08nblUkihrxltoGBjg/edit#gid=934712705"",""ESENCIAL!A6:BG""),5,FALSE))"),"")</f>
        <v/>
      </c>
      <c r="BG606" s="44" t="str">
        <f t="shared" si="41"/>
        <v/>
      </c>
      <c r="BH606" s="41" t="str">
        <f t="shared" si="42"/>
        <v/>
      </c>
      <c r="BI606" s="41" t="str">
        <f ca="1">IFERROR(__xludf.DUMMYFUNCTION("IFERROR(VLOOKUP(F623,IMPORTRANGE(""https://docs.google.com/spreadsheets/d/1Kvs4KS76FHFqLFIZfrDMff4kP08nblUkihrxltoGBjg/edit#gid=934712705"",""ESENCIAL!A6:BG""),18,FALSE))"),"")</f>
        <v/>
      </c>
      <c r="BJ606" s="19" t="str">
        <f t="shared" si="43"/>
        <v/>
      </c>
      <c r="BK606" s="41"/>
      <c r="BL606" s="41"/>
    </row>
    <row r="607" spans="1:64" ht="15">
      <c r="A607" s="4"/>
      <c r="B607" s="4"/>
      <c r="G607" s="5" t="str">
        <f ca="1">IFERROR(__xludf.DUMMYFUNCTION("IFERROR(VLOOKUP(F624,IMPORTRANGE(""https://docs.google.com/spreadsheets/d/1Kvs4KS76FHFqLFIZfrDMff4kP08nblUkihrxltoGBjg/edit#gid=934712705"",""ESENCIAL!A6:BG""),3,FALSE))"),"")</f>
        <v/>
      </c>
      <c r="H607" s="5" t="str">
        <f ca="1">IFERROR(__xludf.DUMMYFUNCTION("IFERROR(VLOOKUP(F624,IMPORTRANGE(""https://docs.google.com/spreadsheets/d/1Kvs4KS76FHFqLFIZfrDMff4kP08nblUkihrxltoGBjg/edit#gid=934712705"",""ESENCIAL!A6:BG""),8,FALSE))"),"")</f>
        <v/>
      </c>
      <c r="L607" s="287"/>
      <c r="S607"/>
      <c r="AU607" s="41" t="str">
        <f t="shared" si="40"/>
        <v/>
      </c>
      <c r="AV607" s="5" t="str">
        <f ca="1">IFERROR(__xludf.DUMMYFUNCTION("IFERROR(VLOOKUP(E624&amp;F624,IMPORTRANGE(""https://docs.google.com/spreadsheets/d/1Uw7-A9f9R21vMXxHZFNpYNeKFtG8_yji4HS352LGlSQ/edit?pli=1#gid=0"",""1_ACUM!A4:S""),11,FALSE))"),"")</f>
        <v/>
      </c>
      <c r="AW607" s="42" t="str">
        <f ca="1">IFERROR(__xludf.DUMMYFUNCTION("IFERROR(VLOOKUP(F624,IMPORTRANGE(""https://docs.google.com/spreadsheets/d/1Kvs4KS76FHFqLFIZfrDMff4kP08nblUkihrxltoGBjg/edit#gid=934712705"",""ESENCIAL!A6:BG""),15,FALSE))"),"")</f>
        <v/>
      </c>
      <c r="AX607" s="21" t="str">
        <f ca="1">IFERROR(__xludf.DUMMYFUNCTION("IFERROR(VLOOKUP(E624&amp;F624,IMPORTRANGE(""https://docs.google.com/spreadsheets/d/1Uw7-A9f9R21vMXxHZFNpYNeKFtG8_yji4HS352LGlSQ/edit?pli=1#gid=0"",""1_ACUM!A4:S""),12,FALSE))"),"")</f>
        <v/>
      </c>
      <c r="AY607" s="43" t="str">
        <f ca="1">IFERROR(__xludf.DUMMYFUNCTION("IFERROR(VLOOKUP(E624&amp;F624,IMPORTRANGE(""https://docs.google.com/spreadsheets/d/1Uw7-A9f9R21vMXxHZFNpYNeKFtG8_yji4HS352LGlSQ/edit?pli=1#gid=0"",""1_ACUM!A4:S""),13,FALSE))"),"")</f>
        <v/>
      </c>
      <c r="AZ607" s="43" t="str">
        <f ca="1">IFERROR(__xludf.DUMMYFUNCTION("IFERROR(VLOOKUP(E624&amp;F624,IMPORTRANGE(""https://docs.google.com/spreadsheets/d/1Uw7-A9f9R21vMXxHZFNpYNeKFtG8_yji4HS352LGlSQ/edit?pli=1#gid=0"",""1_ACUM!A4:S""),14,FALSE))"),"")</f>
        <v/>
      </c>
      <c r="BA607" s="43" t="str">
        <f ca="1">IFERROR(__xludf.DUMMYFUNCTION("IFERROR(VLOOKUP(E624&amp;F624,IMPORTRANGE(""https://docs.google.com/spreadsheets/d/1Uw7-A9f9R21vMXxHZFNpYNeKFtG8_yji4HS352LGlSQ/edit?pli=1#gid=0"",""1_ACUM!A4:S""),15,FALSE))"),"")</f>
        <v/>
      </c>
      <c r="BB607" s="43" t="str">
        <f ca="1">IFERROR(__xludf.DUMMYFUNCTION("IFERROR(VLOOKUP(E624&amp;F624,IMPORTRANGE(""https://docs.google.com/spreadsheets/d/1Uw7-A9f9R21vMXxHZFNpYNeKFtG8_yji4HS352LGlSQ/edit?pli=1#gid=0"",""1_ACUM!A4:S""),16,FALSE))"),"")</f>
        <v/>
      </c>
      <c r="BC607" s="43" t="str">
        <f ca="1">IFERROR(__xludf.DUMMYFUNCTION("IFERROR(VLOOKUP(E624&amp;F624,IMPORTRANGE(""https://docs.google.com/spreadsheets/d/1Uw7-A9f9R21vMXxHZFNpYNeKFtG8_yji4HS352LGlSQ/edit?pli=1#gid=0"",""1_ACUM!A4:S""),17,FALSE))"),"")</f>
        <v/>
      </c>
      <c r="BD607" s="44" t="str">
        <f ca="1">IFERROR(__xludf.DUMMYFUNCTION("IFERROR(VLOOKUP(E624&amp;F624,IMPORTRANGE(""https://docs.google.com/spreadsheets/d/1Uw7-A9f9R21vMXxHZFNpYNeKFtG8_yji4HS352LGlSQ/edit?pli=1#gid=0"",""1_ACUM!A4:S""),18,FALSE))"),"")</f>
        <v/>
      </c>
      <c r="BE607" s="44" t="str">
        <f ca="1">IFERROR(__xludf.DUMMYFUNCTION("IFERROR(VLOOKUP(E624&amp;F624,IMPORTRANGE(""https://docs.google.com/spreadsheets/d/1Uw7-A9f9R21vMXxHZFNpYNeKFtG8_yji4HS352LGlSQ/edit?pli=1#gid=0"",""1_ACUM!A4:S""),19,FALSE))"),"")</f>
        <v/>
      </c>
      <c r="BF607" s="44" t="str">
        <f ca="1">IFERROR(__xludf.DUMMYFUNCTION("IFERROR(VLOOKUP(F624,IMPORTRANGE(""https://docs.google.com/spreadsheets/d/1Kvs4KS76FHFqLFIZfrDMff4kP08nblUkihrxltoGBjg/edit#gid=934712705"",""ESENCIAL!A6:BG""),5,FALSE))"),"")</f>
        <v/>
      </c>
      <c r="BG607" s="44" t="str">
        <f t="shared" si="41"/>
        <v/>
      </c>
      <c r="BH607" s="41" t="str">
        <f t="shared" si="42"/>
        <v/>
      </c>
      <c r="BI607" s="41" t="str">
        <f ca="1">IFERROR(__xludf.DUMMYFUNCTION("IFERROR(VLOOKUP(F624,IMPORTRANGE(""https://docs.google.com/spreadsheets/d/1Kvs4KS76FHFqLFIZfrDMff4kP08nblUkihrxltoGBjg/edit#gid=934712705"",""ESENCIAL!A6:BG""),18,FALSE))"),"")</f>
        <v/>
      </c>
      <c r="BJ607" s="19" t="str">
        <f t="shared" si="43"/>
        <v/>
      </c>
      <c r="BK607" s="41"/>
      <c r="BL607" s="41"/>
    </row>
    <row r="608" spans="1:64" ht="15">
      <c r="A608" s="4"/>
      <c r="B608" s="4"/>
      <c r="G608" s="5" t="str">
        <f ca="1">IFERROR(__xludf.DUMMYFUNCTION("IFERROR(VLOOKUP(F625,IMPORTRANGE(""https://docs.google.com/spreadsheets/d/1Kvs4KS76FHFqLFIZfrDMff4kP08nblUkihrxltoGBjg/edit#gid=934712705"",""ESENCIAL!A6:BG""),3,FALSE))"),"")</f>
        <v/>
      </c>
      <c r="H608" s="5" t="str">
        <f ca="1">IFERROR(__xludf.DUMMYFUNCTION("IFERROR(VLOOKUP(F625,IMPORTRANGE(""https://docs.google.com/spreadsheets/d/1Kvs4KS76FHFqLFIZfrDMff4kP08nblUkihrxltoGBjg/edit#gid=934712705"",""ESENCIAL!A6:BG""),8,FALSE))"),"")</f>
        <v/>
      </c>
      <c r="L608" s="287"/>
      <c r="S608"/>
      <c r="AU608" s="41" t="str">
        <f t="shared" si="40"/>
        <v/>
      </c>
      <c r="AV608" s="5" t="str">
        <f ca="1">IFERROR(__xludf.DUMMYFUNCTION("IFERROR(VLOOKUP(E625&amp;F625,IMPORTRANGE(""https://docs.google.com/spreadsheets/d/1Uw7-A9f9R21vMXxHZFNpYNeKFtG8_yji4HS352LGlSQ/edit?pli=1#gid=0"",""1_ACUM!A4:S""),11,FALSE))"),"")</f>
        <v/>
      </c>
      <c r="AW608" s="42" t="str">
        <f ca="1">IFERROR(__xludf.DUMMYFUNCTION("IFERROR(VLOOKUP(F625,IMPORTRANGE(""https://docs.google.com/spreadsheets/d/1Kvs4KS76FHFqLFIZfrDMff4kP08nblUkihrxltoGBjg/edit#gid=934712705"",""ESENCIAL!A6:BG""),15,FALSE))"),"")</f>
        <v/>
      </c>
      <c r="AX608" s="21" t="str">
        <f ca="1">IFERROR(__xludf.DUMMYFUNCTION("IFERROR(VLOOKUP(E625&amp;F625,IMPORTRANGE(""https://docs.google.com/spreadsheets/d/1Uw7-A9f9R21vMXxHZFNpYNeKFtG8_yji4HS352LGlSQ/edit?pli=1#gid=0"",""1_ACUM!A4:S""),12,FALSE))"),"")</f>
        <v/>
      </c>
      <c r="AY608" s="43" t="str">
        <f ca="1">IFERROR(__xludf.DUMMYFUNCTION("IFERROR(VLOOKUP(E625&amp;F625,IMPORTRANGE(""https://docs.google.com/spreadsheets/d/1Uw7-A9f9R21vMXxHZFNpYNeKFtG8_yji4HS352LGlSQ/edit?pli=1#gid=0"",""1_ACUM!A4:S""),13,FALSE))"),"")</f>
        <v/>
      </c>
      <c r="AZ608" s="43" t="str">
        <f ca="1">IFERROR(__xludf.DUMMYFUNCTION("IFERROR(VLOOKUP(E625&amp;F625,IMPORTRANGE(""https://docs.google.com/spreadsheets/d/1Uw7-A9f9R21vMXxHZFNpYNeKFtG8_yji4HS352LGlSQ/edit?pli=1#gid=0"",""1_ACUM!A4:S""),14,FALSE))"),"")</f>
        <v/>
      </c>
      <c r="BA608" s="43" t="str">
        <f ca="1">IFERROR(__xludf.DUMMYFUNCTION("IFERROR(VLOOKUP(E625&amp;F625,IMPORTRANGE(""https://docs.google.com/spreadsheets/d/1Uw7-A9f9R21vMXxHZFNpYNeKFtG8_yji4HS352LGlSQ/edit?pli=1#gid=0"",""1_ACUM!A4:S""),15,FALSE))"),"")</f>
        <v/>
      </c>
      <c r="BB608" s="43" t="str">
        <f ca="1">IFERROR(__xludf.DUMMYFUNCTION("IFERROR(VLOOKUP(E625&amp;F625,IMPORTRANGE(""https://docs.google.com/spreadsheets/d/1Uw7-A9f9R21vMXxHZFNpYNeKFtG8_yji4HS352LGlSQ/edit?pli=1#gid=0"",""1_ACUM!A4:S""),16,FALSE))"),"")</f>
        <v/>
      </c>
      <c r="BC608" s="43" t="str">
        <f ca="1">IFERROR(__xludf.DUMMYFUNCTION("IFERROR(VLOOKUP(E625&amp;F625,IMPORTRANGE(""https://docs.google.com/spreadsheets/d/1Uw7-A9f9R21vMXxHZFNpYNeKFtG8_yji4HS352LGlSQ/edit?pli=1#gid=0"",""1_ACUM!A4:S""),17,FALSE))"),"")</f>
        <v/>
      </c>
      <c r="BD608" s="44" t="str">
        <f ca="1">IFERROR(__xludf.DUMMYFUNCTION("IFERROR(VLOOKUP(E625&amp;F625,IMPORTRANGE(""https://docs.google.com/spreadsheets/d/1Uw7-A9f9R21vMXxHZFNpYNeKFtG8_yji4HS352LGlSQ/edit?pli=1#gid=0"",""1_ACUM!A4:S""),18,FALSE))"),"")</f>
        <v/>
      </c>
      <c r="BE608" s="44" t="str">
        <f ca="1">IFERROR(__xludf.DUMMYFUNCTION("IFERROR(VLOOKUP(E625&amp;F625,IMPORTRANGE(""https://docs.google.com/spreadsheets/d/1Uw7-A9f9R21vMXxHZFNpYNeKFtG8_yji4HS352LGlSQ/edit?pli=1#gid=0"",""1_ACUM!A4:S""),19,FALSE))"),"")</f>
        <v/>
      </c>
      <c r="BF608" s="44" t="str">
        <f ca="1">IFERROR(__xludf.DUMMYFUNCTION("IFERROR(VLOOKUP(F625,IMPORTRANGE(""https://docs.google.com/spreadsheets/d/1Kvs4KS76FHFqLFIZfrDMff4kP08nblUkihrxltoGBjg/edit#gid=934712705"",""ESENCIAL!A6:BG""),5,FALSE))"),"")</f>
        <v/>
      </c>
      <c r="BG608" s="44" t="str">
        <f t="shared" si="41"/>
        <v/>
      </c>
      <c r="BH608" s="41" t="str">
        <f t="shared" si="42"/>
        <v/>
      </c>
      <c r="BI608" s="41" t="str">
        <f ca="1">IFERROR(__xludf.DUMMYFUNCTION("IFERROR(VLOOKUP(F625,IMPORTRANGE(""https://docs.google.com/spreadsheets/d/1Kvs4KS76FHFqLFIZfrDMff4kP08nblUkihrxltoGBjg/edit#gid=934712705"",""ESENCIAL!A6:BG""),18,FALSE))"),"")</f>
        <v/>
      </c>
      <c r="BJ608" s="19" t="str">
        <f t="shared" si="43"/>
        <v/>
      </c>
      <c r="BK608" s="41"/>
      <c r="BL608" s="41"/>
    </row>
    <row r="609" spans="1:64" ht="15">
      <c r="A609" s="4"/>
      <c r="B609" s="4"/>
      <c r="G609" s="5" t="str">
        <f ca="1">IFERROR(__xludf.DUMMYFUNCTION("IFERROR(VLOOKUP(F626,IMPORTRANGE(""https://docs.google.com/spreadsheets/d/1Kvs4KS76FHFqLFIZfrDMff4kP08nblUkihrxltoGBjg/edit#gid=934712705"",""ESENCIAL!A6:BG""),3,FALSE))"),"")</f>
        <v/>
      </c>
      <c r="H609" s="5" t="str">
        <f ca="1">IFERROR(__xludf.DUMMYFUNCTION("IFERROR(VLOOKUP(F626,IMPORTRANGE(""https://docs.google.com/spreadsheets/d/1Kvs4KS76FHFqLFIZfrDMff4kP08nblUkihrxltoGBjg/edit#gid=934712705"",""ESENCIAL!A6:BG""),8,FALSE))"),"")</f>
        <v/>
      </c>
      <c r="L609" s="287"/>
      <c r="S609"/>
      <c r="AU609" s="41" t="str">
        <f t="shared" si="40"/>
        <v/>
      </c>
      <c r="AV609" s="5" t="str">
        <f ca="1">IFERROR(__xludf.DUMMYFUNCTION("IFERROR(VLOOKUP(E626&amp;F626,IMPORTRANGE(""https://docs.google.com/spreadsheets/d/1Uw7-A9f9R21vMXxHZFNpYNeKFtG8_yji4HS352LGlSQ/edit?pli=1#gid=0"",""1_ACUM!A4:S""),11,FALSE))"),"")</f>
        <v/>
      </c>
      <c r="AW609" s="42" t="str">
        <f ca="1">IFERROR(__xludf.DUMMYFUNCTION("IFERROR(VLOOKUP(F626,IMPORTRANGE(""https://docs.google.com/spreadsheets/d/1Kvs4KS76FHFqLFIZfrDMff4kP08nblUkihrxltoGBjg/edit#gid=934712705"",""ESENCIAL!A6:BG""),15,FALSE))"),"")</f>
        <v/>
      </c>
      <c r="AX609" s="21" t="str">
        <f ca="1">IFERROR(__xludf.DUMMYFUNCTION("IFERROR(VLOOKUP(E626&amp;F626,IMPORTRANGE(""https://docs.google.com/spreadsheets/d/1Uw7-A9f9R21vMXxHZFNpYNeKFtG8_yji4HS352LGlSQ/edit?pli=1#gid=0"",""1_ACUM!A4:S""),12,FALSE))"),"")</f>
        <v/>
      </c>
      <c r="AY609" s="43" t="str">
        <f ca="1">IFERROR(__xludf.DUMMYFUNCTION("IFERROR(VLOOKUP(E626&amp;F626,IMPORTRANGE(""https://docs.google.com/spreadsheets/d/1Uw7-A9f9R21vMXxHZFNpYNeKFtG8_yji4HS352LGlSQ/edit?pli=1#gid=0"",""1_ACUM!A4:S""),13,FALSE))"),"")</f>
        <v/>
      </c>
      <c r="AZ609" s="43" t="str">
        <f ca="1">IFERROR(__xludf.DUMMYFUNCTION("IFERROR(VLOOKUP(E626&amp;F626,IMPORTRANGE(""https://docs.google.com/spreadsheets/d/1Uw7-A9f9R21vMXxHZFNpYNeKFtG8_yji4HS352LGlSQ/edit?pli=1#gid=0"",""1_ACUM!A4:S""),14,FALSE))"),"")</f>
        <v/>
      </c>
      <c r="BA609" s="43" t="str">
        <f ca="1">IFERROR(__xludf.DUMMYFUNCTION("IFERROR(VLOOKUP(E626&amp;F626,IMPORTRANGE(""https://docs.google.com/spreadsheets/d/1Uw7-A9f9R21vMXxHZFNpYNeKFtG8_yji4HS352LGlSQ/edit?pli=1#gid=0"",""1_ACUM!A4:S""),15,FALSE))"),"")</f>
        <v/>
      </c>
      <c r="BB609" s="43" t="str">
        <f ca="1">IFERROR(__xludf.DUMMYFUNCTION("IFERROR(VLOOKUP(E626&amp;F626,IMPORTRANGE(""https://docs.google.com/spreadsheets/d/1Uw7-A9f9R21vMXxHZFNpYNeKFtG8_yji4HS352LGlSQ/edit?pli=1#gid=0"",""1_ACUM!A4:S""),16,FALSE))"),"")</f>
        <v/>
      </c>
      <c r="BC609" s="43" t="str">
        <f ca="1">IFERROR(__xludf.DUMMYFUNCTION("IFERROR(VLOOKUP(E626&amp;F626,IMPORTRANGE(""https://docs.google.com/spreadsheets/d/1Uw7-A9f9R21vMXxHZFNpYNeKFtG8_yji4HS352LGlSQ/edit?pli=1#gid=0"",""1_ACUM!A4:S""),17,FALSE))"),"")</f>
        <v/>
      </c>
      <c r="BD609" s="44" t="str">
        <f ca="1">IFERROR(__xludf.DUMMYFUNCTION("IFERROR(VLOOKUP(E626&amp;F626,IMPORTRANGE(""https://docs.google.com/spreadsheets/d/1Uw7-A9f9R21vMXxHZFNpYNeKFtG8_yji4HS352LGlSQ/edit?pli=1#gid=0"",""1_ACUM!A4:S""),18,FALSE))"),"")</f>
        <v/>
      </c>
      <c r="BE609" s="44" t="str">
        <f ca="1">IFERROR(__xludf.DUMMYFUNCTION("IFERROR(VLOOKUP(E626&amp;F626,IMPORTRANGE(""https://docs.google.com/spreadsheets/d/1Uw7-A9f9R21vMXxHZFNpYNeKFtG8_yji4HS352LGlSQ/edit?pli=1#gid=0"",""1_ACUM!A4:S""),19,FALSE))"),"")</f>
        <v/>
      </c>
      <c r="BF609" s="44" t="str">
        <f ca="1">IFERROR(__xludf.DUMMYFUNCTION("IFERROR(VLOOKUP(F626,IMPORTRANGE(""https://docs.google.com/spreadsheets/d/1Kvs4KS76FHFqLFIZfrDMff4kP08nblUkihrxltoGBjg/edit#gid=934712705"",""ESENCIAL!A6:BG""),5,FALSE))"),"")</f>
        <v/>
      </c>
      <c r="BG609" s="44" t="str">
        <f t="shared" si="41"/>
        <v/>
      </c>
      <c r="BH609" s="41" t="str">
        <f t="shared" si="42"/>
        <v/>
      </c>
      <c r="BI609" s="41" t="str">
        <f ca="1">IFERROR(__xludf.DUMMYFUNCTION("IFERROR(VLOOKUP(F626,IMPORTRANGE(""https://docs.google.com/spreadsheets/d/1Kvs4KS76FHFqLFIZfrDMff4kP08nblUkihrxltoGBjg/edit#gid=934712705"",""ESENCIAL!A6:BG""),18,FALSE))"),"")</f>
        <v/>
      </c>
      <c r="BJ609" s="19" t="str">
        <f t="shared" si="43"/>
        <v/>
      </c>
      <c r="BK609" s="41"/>
      <c r="BL609" s="41"/>
    </row>
    <row r="610" spans="1:64" ht="15">
      <c r="A610" s="4"/>
      <c r="B610" s="4"/>
      <c r="G610" s="5" t="str">
        <f ca="1">IFERROR(__xludf.DUMMYFUNCTION("IFERROR(VLOOKUP(F627,IMPORTRANGE(""https://docs.google.com/spreadsheets/d/1Kvs4KS76FHFqLFIZfrDMff4kP08nblUkihrxltoGBjg/edit#gid=934712705"",""ESENCIAL!A6:BG""),3,FALSE))"),"")</f>
        <v/>
      </c>
      <c r="H610" s="5" t="str">
        <f ca="1">IFERROR(__xludf.DUMMYFUNCTION("IFERROR(VLOOKUP(F627,IMPORTRANGE(""https://docs.google.com/spreadsheets/d/1Kvs4KS76FHFqLFIZfrDMff4kP08nblUkihrxltoGBjg/edit#gid=934712705"",""ESENCIAL!A6:BG""),8,FALSE))"),"")</f>
        <v/>
      </c>
      <c r="L610" s="287"/>
      <c r="S610"/>
      <c r="AU610" s="41" t="str">
        <f t="shared" si="40"/>
        <v/>
      </c>
      <c r="AV610" s="5" t="str">
        <f ca="1">IFERROR(__xludf.DUMMYFUNCTION("IFERROR(VLOOKUP(E627&amp;F627,IMPORTRANGE(""https://docs.google.com/spreadsheets/d/1Uw7-A9f9R21vMXxHZFNpYNeKFtG8_yji4HS352LGlSQ/edit?pli=1#gid=0"",""1_ACUM!A4:S""),11,FALSE))"),"")</f>
        <v/>
      </c>
      <c r="AW610" s="42" t="str">
        <f ca="1">IFERROR(__xludf.DUMMYFUNCTION("IFERROR(VLOOKUP(F627,IMPORTRANGE(""https://docs.google.com/spreadsheets/d/1Kvs4KS76FHFqLFIZfrDMff4kP08nblUkihrxltoGBjg/edit#gid=934712705"",""ESENCIAL!A6:BG""),15,FALSE))"),"")</f>
        <v/>
      </c>
      <c r="AX610" s="21" t="str">
        <f ca="1">IFERROR(__xludf.DUMMYFUNCTION("IFERROR(VLOOKUP(E627&amp;F627,IMPORTRANGE(""https://docs.google.com/spreadsheets/d/1Uw7-A9f9R21vMXxHZFNpYNeKFtG8_yji4HS352LGlSQ/edit?pli=1#gid=0"",""1_ACUM!A4:S""),12,FALSE))"),"")</f>
        <v/>
      </c>
      <c r="AY610" s="43" t="str">
        <f ca="1">IFERROR(__xludf.DUMMYFUNCTION("IFERROR(VLOOKUP(E627&amp;F627,IMPORTRANGE(""https://docs.google.com/spreadsheets/d/1Uw7-A9f9R21vMXxHZFNpYNeKFtG8_yji4HS352LGlSQ/edit?pli=1#gid=0"",""1_ACUM!A4:S""),13,FALSE))"),"")</f>
        <v/>
      </c>
      <c r="AZ610" s="43" t="str">
        <f ca="1">IFERROR(__xludf.DUMMYFUNCTION("IFERROR(VLOOKUP(E627&amp;F627,IMPORTRANGE(""https://docs.google.com/spreadsheets/d/1Uw7-A9f9R21vMXxHZFNpYNeKFtG8_yji4HS352LGlSQ/edit?pli=1#gid=0"",""1_ACUM!A4:S""),14,FALSE))"),"")</f>
        <v/>
      </c>
      <c r="BA610" s="43" t="str">
        <f ca="1">IFERROR(__xludf.DUMMYFUNCTION("IFERROR(VLOOKUP(E627&amp;F627,IMPORTRANGE(""https://docs.google.com/spreadsheets/d/1Uw7-A9f9R21vMXxHZFNpYNeKFtG8_yji4HS352LGlSQ/edit?pli=1#gid=0"",""1_ACUM!A4:S""),15,FALSE))"),"")</f>
        <v/>
      </c>
      <c r="BB610" s="43" t="str">
        <f ca="1">IFERROR(__xludf.DUMMYFUNCTION("IFERROR(VLOOKUP(E627&amp;F627,IMPORTRANGE(""https://docs.google.com/spreadsheets/d/1Uw7-A9f9R21vMXxHZFNpYNeKFtG8_yji4HS352LGlSQ/edit?pli=1#gid=0"",""1_ACUM!A4:S""),16,FALSE))"),"")</f>
        <v/>
      </c>
      <c r="BC610" s="43" t="str">
        <f ca="1">IFERROR(__xludf.DUMMYFUNCTION("IFERROR(VLOOKUP(E627&amp;F627,IMPORTRANGE(""https://docs.google.com/spreadsheets/d/1Uw7-A9f9R21vMXxHZFNpYNeKFtG8_yji4HS352LGlSQ/edit?pli=1#gid=0"",""1_ACUM!A4:S""),17,FALSE))"),"")</f>
        <v/>
      </c>
      <c r="BD610" s="44" t="str">
        <f ca="1">IFERROR(__xludf.DUMMYFUNCTION("IFERROR(VLOOKUP(E627&amp;F627,IMPORTRANGE(""https://docs.google.com/spreadsheets/d/1Uw7-A9f9R21vMXxHZFNpYNeKFtG8_yji4HS352LGlSQ/edit?pli=1#gid=0"",""1_ACUM!A4:S""),18,FALSE))"),"")</f>
        <v/>
      </c>
      <c r="BE610" s="44" t="str">
        <f ca="1">IFERROR(__xludf.DUMMYFUNCTION("IFERROR(VLOOKUP(E627&amp;F627,IMPORTRANGE(""https://docs.google.com/spreadsheets/d/1Uw7-A9f9R21vMXxHZFNpYNeKFtG8_yji4HS352LGlSQ/edit?pli=1#gid=0"",""1_ACUM!A4:S""),19,FALSE))"),"")</f>
        <v/>
      </c>
      <c r="BF610" s="44" t="str">
        <f ca="1">IFERROR(__xludf.DUMMYFUNCTION("IFERROR(VLOOKUP(F627,IMPORTRANGE(""https://docs.google.com/spreadsheets/d/1Kvs4KS76FHFqLFIZfrDMff4kP08nblUkihrxltoGBjg/edit#gid=934712705"",""ESENCIAL!A6:BG""),5,FALSE))"),"")</f>
        <v/>
      </c>
      <c r="BG610" s="44" t="str">
        <f t="shared" si="41"/>
        <v/>
      </c>
      <c r="BH610" s="41" t="str">
        <f t="shared" si="42"/>
        <v/>
      </c>
      <c r="BI610" s="41" t="str">
        <f ca="1">IFERROR(__xludf.DUMMYFUNCTION("IFERROR(VLOOKUP(F627,IMPORTRANGE(""https://docs.google.com/spreadsheets/d/1Kvs4KS76FHFqLFIZfrDMff4kP08nblUkihrxltoGBjg/edit#gid=934712705"",""ESENCIAL!A6:BG""),18,FALSE))"),"")</f>
        <v/>
      </c>
      <c r="BJ610" s="19" t="str">
        <f t="shared" si="43"/>
        <v/>
      </c>
      <c r="BK610" s="41"/>
      <c r="BL610" s="41"/>
    </row>
    <row r="611" spans="1:64" ht="15">
      <c r="A611" s="4"/>
      <c r="B611" s="4"/>
      <c r="G611" s="5" t="str">
        <f ca="1">IFERROR(__xludf.DUMMYFUNCTION("IFERROR(VLOOKUP(F628,IMPORTRANGE(""https://docs.google.com/spreadsheets/d/1Kvs4KS76FHFqLFIZfrDMff4kP08nblUkihrxltoGBjg/edit#gid=934712705"",""ESENCIAL!A6:BG""),3,FALSE))"),"")</f>
        <v/>
      </c>
      <c r="H611" s="5" t="str">
        <f ca="1">IFERROR(__xludf.DUMMYFUNCTION("IFERROR(VLOOKUP(F628,IMPORTRANGE(""https://docs.google.com/spreadsheets/d/1Kvs4KS76FHFqLFIZfrDMff4kP08nblUkihrxltoGBjg/edit#gid=934712705"",""ESENCIAL!A6:BG""),8,FALSE))"),"")</f>
        <v/>
      </c>
      <c r="L611" s="287"/>
      <c r="S611"/>
      <c r="AU611" s="41" t="str">
        <f t="shared" si="40"/>
        <v/>
      </c>
      <c r="AV611" s="5" t="str">
        <f ca="1">IFERROR(__xludf.DUMMYFUNCTION("IFERROR(VLOOKUP(E628&amp;F628,IMPORTRANGE(""https://docs.google.com/spreadsheets/d/1Uw7-A9f9R21vMXxHZFNpYNeKFtG8_yji4HS352LGlSQ/edit?pli=1#gid=0"",""1_ACUM!A4:S""),11,FALSE))"),"")</f>
        <v/>
      </c>
      <c r="AW611" s="42" t="str">
        <f ca="1">IFERROR(__xludf.DUMMYFUNCTION("IFERROR(VLOOKUP(F628,IMPORTRANGE(""https://docs.google.com/spreadsheets/d/1Kvs4KS76FHFqLFIZfrDMff4kP08nblUkihrxltoGBjg/edit#gid=934712705"",""ESENCIAL!A6:BG""),15,FALSE))"),"")</f>
        <v/>
      </c>
      <c r="AX611" s="21" t="str">
        <f ca="1">IFERROR(__xludf.DUMMYFUNCTION("IFERROR(VLOOKUP(E628&amp;F628,IMPORTRANGE(""https://docs.google.com/spreadsheets/d/1Uw7-A9f9R21vMXxHZFNpYNeKFtG8_yji4HS352LGlSQ/edit?pli=1#gid=0"",""1_ACUM!A4:S""),12,FALSE))"),"")</f>
        <v/>
      </c>
      <c r="AY611" s="43" t="str">
        <f ca="1">IFERROR(__xludf.DUMMYFUNCTION("IFERROR(VLOOKUP(E628&amp;F628,IMPORTRANGE(""https://docs.google.com/spreadsheets/d/1Uw7-A9f9R21vMXxHZFNpYNeKFtG8_yji4HS352LGlSQ/edit?pli=1#gid=0"",""1_ACUM!A4:S""),13,FALSE))"),"")</f>
        <v/>
      </c>
      <c r="AZ611" s="43" t="str">
        <f ca="1">IFERROR(__xludf.DUMMYFUNCTION("IFERROR(VLOOKUP(E628&amp;F628,IMPORTRANGE(""https://docs.google.com/spreadsheets/d/1Uw7-A9f9R21vMXxHZFNpYNeKFtG8_yji4HS352LGlSQ/edit?pli=1#gid=0"",""1_ACUM!A4:S""),14,FALSE))"),"")</f>
        <v/>
      </c>
      <c r="BA611" s="43" t="str">
        <f ca="1">IFERROR(__xludf.DUMMYFUNCTION("IFERROR(VLOOKUP(E628&amp;F628,IMPORTRANGE(""https://docs.google.com/spreadsheets/d/1Uw7-A9f9R21vMXxHZFNpYNeKFtG8_yji4HS352LGlSQ/edit?pli=1#gid=0"",""1_ACUM!A4:S""),15,FALSE))"),"")</f>
        <v/>
      </c>
      <c r="BB611" s="43" t="str">
        <f ca="1">IFERROR(__xludf.DUMMYFUNCTION("IFERROR(VLOOKUP(E628&amp;F628,IMPORTRANGE(""https://docs.google.com/spreadsheets/d/1Uw7-A9f9R21vMXxHZFNpYNeKFtG8_yji4HS352LGlSQ/edit?pli=1#gid=0"",""1_ACUM!A4:S""),16,FALSE))"),"")</f>
        <v/>
      </c>
      <c r="BC611" s="43" t="str">
        <f ca="1">IFERROR(__xludf.DUMMYFUNCTION("IFERROR(VLOOKUP(E628&amp;F628,IMPORTRANGE(""https://docs.google.com/spreadsheets/d/1Uw7-A9f9R21vMXxHZFNpYNeKFtG8_yji4HS352LGlSQ/edit?pli=1#gid=0"",""1_ACUM!A4:S""),17,FALSE))"),"")</f>
        <v/>
      </c>
      <c r="BD611" s="44" t="str">
        <f ca="1">IFERROR(__xludf.DUMMYFUNCTION("IFERROR(VLOOKUP(E628&amp;F628,IMPORTRANGE(""https://docs.google.com/spreadsheets/d/1Uw7-A9f9R21vMXxHZFNpYNeKFtG8_yji4HS352LGlSQ/edit?pli=1#gid=0"",""1_ACUM!A4:S""),18,FALSE))"),"")</f>
        <v/>
      </c>
      <c r="BE611" s="44" t="str">
        <f ca="1">IFERROR(__xludf.DUMMYFUNCTION("IFERROR(VLOOKUP(E628&amp;F628,IMPORTRANGE(""https://docs.google.com/spreadsheets/d/1Uw7-A9f9R21vMXxHZFNpYNeKFtG8_yji4HS352LGlSQ/edit?pli=1#gid=0"",""1_ACUM!A4:S""),19,FALSE))"),"")</f>
        <v/>
      </c>
      <c r="BF611" s="44" t="str">
        <f ca="1">IFERROR(__xludf.DUMMYFUNCTION("IFERROR(VLOOKUP(F628,IMPORTRANGE(""https://docs.google.com/spreadsheets/d/1Kvs4KS76FHFqLFIZfrDMff4kP08nblUkihrxltoGBjg/edit#gid=934712705"",""ESENCIAL!A6:BG""),5,FALSE))"),"")</f>
        <v/>
      </c>
      <c r="BG611" s="44" t="str">
        <f t="shared" si="41"/>
        <v/>
      </c>
      <c r="BH611" s="41" t="str">
        <f t="shared" si="42"/>
        <v/>
      </c>
      <c r="BI611" s="41" t="str">
        <f ca="1">IFERROR(__xludf.DUMMYFUNCTION("IFERROR(VLOOKUP(F628,IMPORTRANGE(""https://docs.google.com/spreadsheets/d/1Kvs4KS76FHFqLFIZfrDMff4kP08nblUkihrxltoGBjg/edit#gid=934712705"",""ESENCIAL!A6:BG""),18,FALSE))"),"")</f>
        <v/>
      </c>
      <c r="BJ611" s="19" t="str">
        <f t="shared" si="43"/>
        <v/>
      </c>
      <c r="BK611" s="41"/>
      <c r="BL611" s="41"/>
    </row>
    <row r="612" spans="1:64" ht="15">
      <c r="A612" s="4"/>
      <c r="B612" s="4"/>
      <c r="G612" s="5" t="str">
        <f ca="1">IFERROR(__xludf.DUMMYFUNCTION("IFERROR(VLOOKUP(F629,IMPORTRANGE(""https://docs.google.com/spreadsheets/d/1Kvs4KS76FHFqLFIZfrDMff4kP08nblUkihrxltoGBjg/edit#gid=934712705"",""ESENCIAL!A6:BG""),3,FALSE))"),"")</f>
        <v/>
      </c>
      <c r="H612" s="5" t="str">
        <f ca="1">IFERROR(__xludf.DUMMYFUNCTION("IFERROR(VLOOKUP(F629,IMPORTRANGE(""https://docs.google.com/spreadsheets/d/1Kvs4KS76FHFqLFIZfrDMff4kP08nblUkihrxltoGBjg/edit#gid=934712705"",""ESENCIAL!A6:BG""),8,FALSE))"),"")</f>
        <v/>
      </c>
      <c r="L612" s="287"/>
      <c r="S612"/>
      <c r="AU612" s="41" t="str">
        <f t="shared" si="40"/>
        <v/>
      </c>
      <c r="AV612" s="5" t="str">
        <f ca="1">IFERROR(__xludf.DUMMYFUNCTION("IFERROR(VLOOKUP(E629&amp;F629,IMPORTRANGE(""https://docs.google.com/spreadsheets/d/1Uw7-A9f9R21vMXxHZFNpYNeKFtG8_yji4HS352LGlSQ/edit?pli=1#gid=0"",""1_ACUM!A4:S""),11,FALSE))"),"")</f>
        <v/>
      </c>
      <c r="AW612" s="42" t="str">
        <f ca="1">IFERROR(__xludf.DUMMYFUNCTION("IFERROR(VLOOKUP(F629,IMPORTRANGE(""https://docs.google.com/spreadsheets/d/1Kvs4KS76FHFqLFIZfrDMff4kP08nblUkihrxltoGBjg/edit#gid=934712705"",""ESENCIAL!A6:BG""),15,FALSE))"),"")</f>
        <v/>
      </c>
      <c r="AX612" s="21" t="str">
        <f ca="1">IFERROR(__xludf.DUMMYFUNCTION("IFERROR(VLOOKUP(E629&amp;F629,IMPORTRANGE(""https://docs.google.com/spreadsheets/d/1Uw7-A9f9R21vMXxHZFNpYNeKFtG8_yji4HS352LGlSQ/edit?pli=1#gid=0"",""1_ACUM!A4:S""),12,FALSE))"),"")</f>
        <v/>
      </c>
      <c r="AY612" s="43" t="str">
        <f ca="1">IFERROR(__xludf.DUMMYFUNCTION("IFERROR(VLOOKUP(E629&amp;F629,IMPORTRANGE(""https://docs.google.com/spreadsheets/d/1Uw7-A9f9R21vMXxHZFNpYNeKFtG8_yji4HS352LGlSQ/edit?pli=1#gid=0"",""1_ACUM!A4:S""),13,FALSE))"),"")</f>
        <v/>
      </c>
      <c r="AZ612" s="43" t="str">
        <f ca="1">IFERROR(__xludf.DUMMYFUNCTION("IFERROR(VLOOKUP(E629&amp;F629,IMPORTRANGE(""https://docs.google.com/spreadsheets/d/1Uw7-A9f9R21vMXxHZFNpYNeKFtG8_yji4HS352LGlSQ/edit?pli=1#gid=0"",""1_ACUM!A4:S""),14,FALSE))"),"")</f>
        <v/>
      </c>
      <c r="BA612" s="43" t="str">
        <f ca="1">IFERROR(__xludf.DUMMYFUNCTION("IFERROR(VLOOKUP(E629&amp;F629,IMPORTRANGE(""https://docs.google.com/spreadsheets/d/1Uw7-A9f9R21vMXxHZFNpYNeKFtG8_yji4HS352LGlSQ/edit?pli=1#gid=0"",""1_ACUM!A4:S""),15,FALSE))"),"")</f>
        <v/>
      </c>
      <c r="BB612" s="43" t="str">
        <f ca="1">IFERROR(__xludf.DUMMYFUNCTION("IFERROR(VLOOKUP(E629&amp;F629,IMPORTRANGE(""https://docs.google.com/spreadsheets/d/1Uw7-A9f9R21vMXxHZFNpYNeKFtG8_yji4HS352LGlSQ/edit?pli=1#gid=0"",""1_ACUM!A4:S""),16,FALSE))"),"")</f>
        <v/>
      </c>
      <c r="BC612" s="43" t="str">
        <f ca="1">IFERROR(__xludf.DUMMYFUNCTION("IFERROR(VLOOKUP(E629&amp;F629,IMPORTRANGE(""https://docs.google.com/spreadsheets/d/1Uw7-A9f9R21vMXxHZFNpYNeKFtG8_yji4HS352LGlSQ/edit?pli=1#gid=0"",""1_ACUM!A4:S""),17,FALSE))"),"")</f>
        <v/>
      </c>
      <c r="BD612" s="44" t="str">
        <f ca="1">IFERROR(__xludf.DUMMYFUNCTION("IFERROR(VLOOKUP(E629&amp;F629,IMPORTRANGE(""https://docs.google.com/spreadsheets/d/1Uw7-A9f9R21vMXxHZFNpYNeKFtG8_yji4HS352LGlSQ/edit?pli=1#gid=0"",""1_ACUM!A4:S""),18,FALSE))"),"")</f>
        <v/>
      </c>
      <c r="BE612" s="44" t="str">
        <f ca="1">IFERROR(__xludf.DUMMYFUNCTION("IFERROR(VLOOKUP(E629&amp;F629,IMPORTRANGE(""https://docs.google.com/spreadsheets/d/1Uw7-A9f9R21vMXxHZFNpYNeKFtG8_yji4HS352LGlSQ/edit?pli=1#gid=0"",""1_ACUM!A4:S""),19,FALSE))"),"")</f>
        <v/>
      </c>
      <c r="BF612" s="44" t="str">
        <f ca="1">IFERROR(__xludf.DUMMYFUNCTION("IFERROR(VLOOKUP(F629,IMPORTRANGE(""https://docs.google.com/spreadsheets/d/1Kvs4KS76FHFqLFIZfrDMff4kP08nblUkihrxltoGBjg/edit#gid=934712705"",""ESENCIAL!A6:BG""),5,FALSE))"),"")</f>
        <v/>
      </c>
      <c r="BG612" s="44" t="str">
        <f t="shared" si="41"/>
        <v/>
      </c>
      <c r="BH612" s="41" t="str">
        <f t="shared" si="42"/>
        <v/>
      </c>
      <c r="BI612" s="41" t="str">
        <f ca="1">IFERROR(__xludf.DUMMYFUNCTION("IFERROR(VLOOKUP(F629,IMPORTRANGE(""https://docs.google.com/spreadsheets/d/1Kvs4KS76FHFqLFIZfrDMff4kP08nblUkihrxltoGBjg/edit#gid=934712705"",""ESENCIAL!A6:BG""),18,FALSE))"),"")</f>
        <v/>
      </c>
      <c r="BJ612" s="19" t="str">
        <f t="shared" si="43"/>
        <v/>
      </c>
      <c r="BK612" s="41"/>
      <c r="BL612" s="41"/>
    </row>
    <row r="613" spans="1:64" ht="15">
      <c r="A613" s="4"/>
      <c r="B613" s="4"/>
      <c r="G613" s="5" t="str">
        <f ca="1">IFERROR(__xludf.DUMMYFUNCTION("IFERROR(VLOOKUP(F630,IMPORTRANGE(""https://docs.google.com/spreadsheets/d/1Kvs4KS76FHFqLFIZfrDMff4kP08nblUkihrxltoGBjg/edit#gid=934712705"",""ESENCIAL!A6:BG""),3,FALSE))"),"")</f>
        <v/>
      </c>
      <c r="H613" s="5" t="str">
        <f ca="1">IFERROR(__xludf.DUMMYFUNCTION("IFERROR(VLOOKUP(F630,IMPORTRANGE(""https://docs.google.com/spreadsheets/d/1Kvs4KS76FHFqLFIZfrDMff4kP08nblUkihrxltoGBjg/edit#gid=934712705"",""ESENCIAL!A6:BG""),8,FALSE))"),"")</f>
        <v/>
      </c>
      <c r="L613" s="287"/>
      <c r="S613"/>
      <c r="AU613" s="41" t="str">
        <f t="shared" si="40"/>
        <v/>
      </c>
      <c r="AV613" s="5" t="str">
        <f ca="1">IFERROR(__xludf.DUMMYFUNCTION("IFERROR(VLOOKUP(E630&amp;F630,IMPORTRANGE(""https://docs.google.com/spreadsheets/d/1Uw7-A9f9R21vMXxHZFNpYNeKFtG8_yji4HS352LGlSQ/edit?pli=1#gid=0"",""1_ACUM!A4:S""),11,FALSE))"),"")</f>
        <v/>
      </c>
      <c r="AW613" s="42" t="str">
        <f ca="1">IFERROR(__xludf.DUMMYFUNCTION("IFERROR(VLOOKUP(F630,IMPORTRANGE(""https://docs.google.com/spreadsheets/d/1Kvs4KS76FHFqLFIZfrDMff4kP08nblUkihrxltoGBjg/edit#gid=934712705"",""ESENCIAL!A6:BG""),15,FALSE))"),"")</f>
        <v/>
      </c>
      <c r="AX613" s="21" t="str">
        <f ca="1">IFERROR(__xludf.DUMMYFUNCTION("IFERROR(VLOOKUP(E630&amp;F630,IMPORTRANGE(""https://docs.google.com/spreadsheets/d/1Uw7-A9f9R21vMXxHZFNpYNeKFtG8_yji4HS352LGlSQ/edit?pli=1#gid=0"",""1_ACUM!A4:S""),12,FALSE))"),"")</f>
        <v/>
      </c>
      <c r="AY613" s="43" t="str">
        <f ca="1">IFERROR(__xludf.DUMMYFUNCTION("IFERROR(VLOOKUP(E630&amp;F630,IMPORTRANGE(""https://docs.google.com/spreadsheets/d/1Uw7-A9f9R21vMXxHZFNpYNeKFtG8_yji4HS352LGlSQ/edit?pli=1#gid=0"",""1_ACUM!A4:S""),13,FALSE))"),"")</f>
        <v/>
      </c>
      <c r="AZ613" s="43" t="str">
        <f ca="1">IFERROR(__xludf.DUMMYFUNCTION("IFERROR(VLOOKUP(E630&amp;F630,IMPORTRANGE(""https://docs.google.com/spreadsheets/d/1Uw7-A9f9R21vMXxHZFNpYNeKFtG8_yji4HS352LGlSQ/edit?pli=1#gid=0"",""1_ACUM!A4:S""),14,FALSE))"),"")</f>
        <v/>
      </c>
      <c r="BA613" s="43" t="str">
        <f ca="1">IFERROR(__xludf.DUMMYFUNCTION("IFERROR(VLOOKUP(E630&amp;F630,IMPORTRANGE(""https://docs.google.com/spreadsheets/d/1Uw7-A9f9R21vMXxHZFNpYNeKFtG8_yji4HS352LGlSQ/edit?pli=1#gid=0"",""1_ACUM!A4:S""),15,FALSE))"),"")</f>
        <v/>
      </c>
      <c r="BB613" s="43" t="str">
        <f ca="1">IFERROR(__xludf.DUMMYFUNCTION("IFERROR(VLOOKUP(E630&amp;F630,IMPORTRANGE(""https://docs.google.com/spreadsheets/d/1Uw7-A9f9R21vMXxHZFNpYNeKFtG8_yji4HS352LGlSQ/edit?pli=1#gid=0"",""1_ACUM!A4:S""),16,FALSE))"),"")</f>
        <v/>
      </c>
      <c r="BC613" s="43" t="str">
        <f ca="1">IFERROR(__xludf.DUMMYFUNCTION("IFERROR(VLOOKUP(E630&amp;F630,IMPORTRANGE(""https://docs.google.com/spreadsheets/d/1Uw7-A9f9R21vMXxHZFNpYNeKFtG8_yji4HS352LGlSQ/edit?pli=1#gid=0"",""1_ACUM!A4:S""),17,FALSE))"),"")</f>
        <v/>
      </c>
      <c r="BD613" s="44" t="str">
        <f ca="1">IFERROR(__xludf.DUMMYFUNCTION("IFERROR(VLOOKUP(E630&amp;F630,IMPORTRANGE(""https://docs.google.com/spreadsheets/d/1Uw7-A9f9R21vMXxHZFNpYNeKFtG8_yji4HS352LGlSQ/edit?pli=1#gid=0"",""1_ACUM!A4:S""),18,FALSE))"),"")</f>
        <v/>
      </c>
      <c r="BE613" s="44" t="str">
        <f ca="1">IFERROR(__xludf.DUMMYFUNCTION("IFERROR(VLOOKUP(E630&amp;F630,IMPORTRANGE(""https://docs.google.com/spreadsheets/d/1Uw7-A9f9R21vMXxHZFNpYNeKFtG8_yji4HS352LGlSQ/edit?pli=1#gid=0"",""1_ACUM!A4:S""),19,FALSE))"),"")</f>
        <v/>
      </c>
      <c r="BF613" s="44" t="str">
        <f ca="1">IFERROR(__xludf.DUMMYFUNCTION("IFERROR(VLOOKUP(F630,IMPORTRANGE(""https://docs.google.com/spreadsheets/d/1Kvs4KS76FHFqLFIZfrDMff4kP08nblUkihrxltoGBjg/edit#gid=934712705"",""ESENCIAL!A6:BG""),5,FALSE))"),"")</f>
        <v/>
      </c>
      <c r="BG613" s="44" t="str">
        <f t="shared" si="41"/>
        <v/>
      </c>
      <c r="BH613" s="41" t="str">
        <f t="shared" si="42"/>
        <v/>
      </c>
      <c r="BI613" s="41" t="str">
        <f ca="1">IFERROR(__xludf.DUMMYFUNCTION("IFERROR(VLOOKUP(F630,IMPORTRANGE(""https://docs.google.com/spreadsheets/d/1Kvs4KS76FHFqLFIZfrDMff4kP08nblUkihrxltoGBjg/edit#gid=934712705"",""ESENCIAL!A6:BG""),18,FALSE))"),"")</f>
        <v/>
      </c>
      <c r="BJ613" s="19" t="str">
        <f t="shared" si="43"/>
        <v/>
      </c>
      <c r="BK613" s="41"/>
      <c r="BL613" s="41"/>
    </row>
    <row r="614" spans="1:64" ht="15">
      <c r="A614" s="4"/>
      <c r="B614" s="4"/>
      <c r="G614" s="5" t="str">
        <f ca="1">IFERROR(__xludf.DUMMYFUNCTION("IFERROR(VLOOKUP(F631,IMPORTRANGE(""https://docs.google.com/spreadsheets/d/1Kvs4KS76FHFqLFIZfrDMff4kP08nblUkihrxltoGBjg/edit#gid=934712705"",""ESENCIAL!A6:BG""),3,FALSE))"),"")</f>
        <v/>
      </c>
      <c r="H614" s="5" t="str">
        <f ca="1">IFERROR(__xludf.DUMMYFUNCTION("IFERROR(VLOOKUP(F631,IMPORTRANGE(""https://docs.google.com/spreadsheets/d/1Kvs4KS76FHFqLFIZfrDMff4kP08nblUkihrxltoGBjg/edit#gid=934712705"",""ESENCIAL!A6:BG""),8,FALSE))"),"")</f>
        <v/>
      </c>
      <c r="L614" s="287"/>
      <c r="S614"/>
      <c r="AU614" s="41" t="str">
        <f t="shared" si="40"/>
        <v/>
      </c>
      <c r="AV614" s="5" t="str">
        <f ca="1">IFERROR(__xludf.DUMMYFUNCTION("IFERROR(VLOOKUP(E631&amp;F631,IMPORTRANGE(""https://docs.google.com/spreadsheets/d/1Uw7-A9f9R21vMXxHZFNpYNeKFtG8_yji4HS352LGlSQ/edit?pli=1#gid=0"",""1_ACUM!A4:S""),11,FALSE))"),"")</f>
        <v/>
      </c>
      <c r="AW614" s="42" t="str">
        <f ca="1">IFERROR(__xludf.DUMMYFUNCTION("IFERROR(VLOOKUP(F631,IMPORTRANGE(""https://docs.google.com/spreadsheets/d/1Kvs4KS76FHFqLFIZfrDMff4kP08nblUkihrxltoGBjg/edit#gid=934712705"",""ESENCIAL!A6:BG""),15,FALSE))"),"")</f>
        <v/>
      </c>
      <c r="AX614" s="21" t="str">
        <f ca="1">IFERROR(__xludf.DUMMYFUNCTION("IFERROR(VLOOKUP(E631&amp;F631,IMPORTRANGE(""https://docs.google.com/spreadsheets/d/1Uw7-A9f9R21vMXxHZFNpYNeKFtG8_yji4HS352LGlSQ/edit?pli=1#gid=0"",""1_ACUM!A4:S""),12,FALSE))"),"")</f>
        <v/>
      </c>
      <c r="AY614" s="43" t="str">
        <f ca="1">IFERROR(__xludf.DUMMYFUNCTION("IFERROR(VLOOKUP(E631&amp;F631,IMPORTRANGE(""https://docs.google.com/spreadsheets/d/1Uw7-A9f9R21vMXxHZFNpYNeKFtG8_yji4HS352LGlSQ/edit?pli=1#gid=0"",""1_ACUM!A4:S""),13,FALSE))"),"")</f>
        <v/>
      </c>
      <c r="AZ614" s="43" t="str">
        <f ca="1">IFERROR(__xludf.DUMMYFUNCTION("IFERROR(VLOOKUP(E631&amp;F631,IMPORTRANGE(""https://docs.google.com/spreadsheets/d/1Uw7-A9f9R21vMXxHZFNpYNeKFtG8_yji4HS352LGlSQ/edit?pli=1#gid=0"",""1_ACUM!A4:S""),14,FALSE))"),"")</f>
        <v/>
      </c>
      <c r="BA614" s="43" t="str">
        <f ca="1">IFERROR(__xludf.DUMMYFUNCTION("IFERROR(VLOOKUP(E631&amp;F631,IMPORTRANGE(""https://docs.google.com/spreadsheets/d/1Uw7-A9f9R21vMXxHZFNpYNeKFtG8_yji4HS352LGlSQ/edit?pli=1#gid=0"",""1_ACUM!A4:S""),15,FALSE))"),"")</f>
        <v/>
      </c>
      <c r="BB614" s="43" t="str">
        <f ca="1">IFERROR(__xludf.DUMMYFUNCTION("IFERROR(VLOOKUP(E631&amp;F631,IMPORTRANGE(""https://docs.google.com/spreadsheets/d/1Uw7-A9f9R21vMXxHZFNpYNeKFtG8_yji4HS352LGlSQ/edit?pli=1#gid=0"",""1_ACUM!A4:S""),16,FALSE))"),"")</f>
        <v/>
      </c>
      <c r="BC614" s="43" t="str">
        <f ca="1">IFERROR(__xludf.DUMMYFUNCTION("IFERROR(VLOOKUP(E631&amp;F631,IMPORTRANGE(""https://docs.google.com/spreadsheets/d/1Uw7-A9f9R21vMXxHZFNpYNeKFtG8_yji4HS352LGlSQ/edit?pli=1#gid=0"",""1_ACUM!A4:S""),17,FALSE))"),"")</f>
        <v/>
      </c>
      <c r="BD614" s="44" t="str">
        <f ca="1">IFERROR(__xludf.DUMMYFUNCTION("IFERROR(VLOOKUP(E631&amp;F631,IMPORTRANGE(""https://docs.google.com/spreadsheets/d/1Uw7-A9f9R21vMXxHZFNpYNeKFtG8_yji4HS352LGlSQ/edit?pli=1#gid=0"",""1_ACUM!A4:S""),18,FALSE))"),"")</f>
        <v/>
      </c>
      <c r="BE614" s="44" t="str">
        <f ca="1">IFERROR(__xludf.DUMMYFUNCTION("IFERROR(VLOOKUP(E631&amp;F631,IMPORTRANGE(""https://docs.google.com/spreadsheets/d/1Uw7-A9f9R21vMXxHZFNpYNeKFtG8_yji4HS352LGlSQ/edit?pli=1#gid=0"",""1_ACUM!A4:S""),19,FALSE))"),"")</f>
        <v/>
      </c>
      <c r="BF614" s="44" t="str">
        <f ca="1">IFERROR(__xludf.DUMMYFUNCTION("IFERROR(VLOOKUP(F631,IMPORTRANGE(""https://docs.google.com/spreadsheets/d/1Kvs4KS76FHFqLFIZfrDMff4kP08nblUkihrxltoGBjg/edit#gid=934712705"",""ESENCIAL!A6:BG""),5,FALSE))"),"")</f>
        <v/>
      </c>
      <c r="BG614" s="44" t="str">
        <f t="shared" si="41"/>
        <v/>
      </c>
      <c r="BH614" s="41" t="str">
        <f t="shared" si="42"/>
        <v/>
      </c>
      <c r="BI614" s="41" t="str">
        <f ca="1">IFERROR(__xludf.DUMMYFUNCTION("IFERROR(VLOOKUP(F631,IMPORTRANGE(""https://docs.google.com/spreadsheets/d/1Kvs4KS76FHFqLFIZfrDMff4kP08nblUkihrxltoGBjg/edit#gid=934712705"",""ESENCIAL!A6:BG""),18,FALSE))"),"")</f>
        <v/>
      </c>
      <c r="BJ614" s="19" t="str">
        <f t="shared" si="43"/>
        <v/>
      </c>
      <c r="BK614" s="41"/>
      <c r="BL614" s="41"/>
    </row>
    <row r="615" spans="1:64" ht="15">
      <c r="A615" s="4"/>
      <c r="B615" s="4"/>
      <c r="G615" s="5" t="str">
        <f ca="1">IFERROR(__xludf.DUMMYFUNCTION("IFERROR(VLOOKUP(F632,IMPORTRANGE(""https://docs.google.com/spreadsheets/d/1Kvs4KS76FHFqLFIZfrDMff4kP08nblUkihrxltoGBjg/edit#gid=934712705"",""ESENCIAL!A6:BG""),3,FALSE))"),"")</f>
        <v/>
      </c>
      <c r="H615" s="5" t="str">
        <f ca="1">IFERROR(__xludf.DUMMYFUNCTION("IFERROR(VLOOKUP(F632,IMPORTRANGE(""https://docs.google.com/spreadsheets/d/1Kvs4KS76FHFqLFIZfrDMff4kP08nblUkihrxltoGBjg/edit#gid=934712705"",""ESENCIAL!A6:BG""),8,FALSE))"),"")</f>
        <v/>
      </c>
      <c r="L615" s="287"/>
      <c r="S615"/>
      <c r="AU615" s="41" t="str">
        <f t="shared" si="40"/>
        <v/>
      </c>
      <c r="AV615" s="5" t="str">
        <f ca="1">IFERROR(__xludf.DUMMYFUNCTION("IFERROR(VLOOKUP(E632&amp;F632,IMPORTRANGE(""https://docs.google.com/spreadsheets/d/1Uw7-A9f9R21vMXxHZFNpYNeKFtG8_yji4HS352LGlSQ/edit?pli=1#gid=0"",""1_ACUM!A4:S""),11,FALSE))"),"")</f>
        <v/>
      </c>
      <c r="AW615" s="42" t="str">
        <f ca="1">IFERROR(__xludf.DUMMYFUNCTION("IFERROR(VLOOKUP(F632,IMPORTRANGE(""https://docs.google.com/spreadsheets/d/1Kvs4KS76FHFqLFIZfrDMff4kP08nblUkihrxltoGBjg/edit#gid=934712705"",""ESENCIAL!A6:BG""),15,FALSE))"),"")</f>
        <v/>
      </c>
      <c r="AX615" s="21" t="str">
        <f ca="1">IFERROR(__xludf.DUMMYFUNCTION("IFERROR(VLOOKUP(E632&amp;F632,IMPORTRANGE(""https://docs.google.com/spreadsheets/d/1Uw7-A9f9R21vMXxHZFNpYNeKFtG8_yji4HS352LGlSQ/edit?pli=1#gid=0"",""1_ACUM!A4:S""),12,FALSE))"),"")</f>
        <v/>
      </c>
      <c r="AY615" s="43" t="str">
        <f ca="1">IFERROR(__xludf.DUMMYFUNCTION("IFERROR(VLOOKUP(E632&amp;F632,IMPORTRANGE(""https://docs.google.com/spreadsheets/d/1Uw7-A9f9R21vMXxHZFNpYNeKFtG8_yji4HS352LGlSQ/edit?pli=1#gid=0"",""1_ACUM!A4:S""),13,FALSE))"),"")</f>
        <v/>
      </c>
      <c r="AZ615" s="43" t="str">
        <f ca="1">IFERROR(__xludf.DUMMYFUNCTION("IFERROR(VLOOKUP(E632&amp;F632,IMPORTRANGE(""https://docs.google.com/spreadsheets/d/1Uw7-A9f9R21vMXxHZFNpYNeKFtG8_yji4HS352LGlSQ/edit?pli=1#gid=0"",""1_ACUM!A4:S""),14,FALSE))"),"")</f>
        <v/>
      </c>
      <c r="BA615" s="43" t="str">
        <f ca="1">IFERROR(__xludf.DUMMYFUNCTION("IFERROR(VLOOKUP(E632&amp;F632,IMPORTRANGE(""https://docs.google.com/spreadsheets/d/1Uw7-A9f9R21vMXxHZFNpYNeKFtG8_yji4HS352LGlSQ/edit?pli=1#gid=0"",""1_ACUM!A4:S""),15,FALSE))"),"")</f>
        <v/>
      </c>
      <c r="BB615" s="43" t="str">
        <f ca="1">IFERROR(__xludf.DUMMYFUNCTION("IFERROR(VLOOKUP(E632&amp;F632,IMPORTRANGE(""https://docs.google.com/spreadsheets/d/1Uw7-A9f9R21vMXxHZFNpYNeKFtG8_yji4HS352LGlSQ/edit?pli=1#gid=0"",""1_ACUM!A4:S""),16,FALSE))"),"")</f>
        <v/>
      </c>
      <c r="BC615" s="43" t="str">
        <f ca="1">IFERROR(__xludf.DUMMYFUNCTION("IFERROR(VLOOKUP(E632&amp;F632,IMPORTRANGE(""https://docs.google.com/spreadsheets/d/1Uw7-A9f9R21vMXxHZFNpYNeKFtG8_yji4HS352LGlSQ/edit?pli=1#gid=0"",""1_ACUM!A4:S""),17,FALSE))"),"")</f>
        <v/>
      </c>
      <c r="BD615" s="44" t="str">
        <f ca="1">IFERROR(__xludf.DUMMYFUNCTION("IFERROR(VLOOKUP(E632&amp;F632,IMPORTRANGE(""https://docs.google.com/spreadsheets/d/1Uw7-A9f9R21vMXxHZFNpYNeKFtG8_yji4HS352LGlSQ/edit?pli=1#gid=0"",""1_ACUM!A4:S""),18,FALSE))"),"")</f>
        <v/>
      </c>
      <c r="BE615" s="44" t="str">
        <f ca="1">IFERROR(__xludf.DUMMYFUNCTION("IFERROR(VLOOKUP(E632&amp;F632,IMPORTRANGE(""https://docs.google.com/spreadsheets/d/1Uw7-A9f9R21vMXxHZFNpYNeKFtG8_yji4HS352LGlSQ/edit?pli=1#gid=0"",""1_ACUM!A4:S""),19,FALSE))"),"")</f>
        <v/>
      </c>
      <c r="BF615" s="44" t="str">
        <f ca="1">IFERROR(__xludf.DUMMYFUNCTION("IFERROR(VLOOKUP(F632,IMPORTRANGE(""https://docs.google.com/spreadsheets/d/1Kvs4KS76FHFqLFIZfrDMff4kP08nblUkihrxltoGBjg/edit#gid=934712705"",""ESENCIAL!A6:BG""),5,FALSE))"),"")</f>
        <v/>
      </c>
      <c r="BG615" s="44" t="str">
        <f t="shared" si="41"/>
        <v/>
      </c>
      <c r="BH615" s="41" t="str">
        <f t="shared" si="42"/>
        <v/>
      </c>
      <c r="BI615" s="41" t="str">
        <f ca="1">IFERROR(__xludf.DUMMYFUNCTION("IFERROR(VLOOKUP(F632,IMPORTRANGE(""https://docs.google.com/spreadsheets/d/1Kvs4KS76FHFqLFIZfrDMff4kP08nblUkihrxltoGBjg/edit#gid=934712705"",""ESENCIAL!A6:BG""),18,FALSE))"),"")</f>
        <v/>
      </c>
      <c r="BJ615" s="19" t="str">
        <f t="shared" si="43"/>
        <v/>
      </c>
      <c r="BK615" s="41"/>
      <c r="BL615" s="41"/>
    </row>
    <row r="616" spans="1:64" ht="15">
      <c r="A616" s="4"/>
      <c r="B616" s="4"/>
      <c r="G616" s="5" t="str">
        <f ca="1">IFERROR(__xludf.DUMMYFUNCTION("IFERROR(VLOOKUP(F633,IMPORTRANGE(""https://docs.google.com/spreadsheets/d/1Kvs4KS76FHFqLFIZfrDMff4kP08nblUkihrxltoGBjg/edit#gid=934712705"",""ESENCIAL!A6:BG""),3,FALSE))"),"")</f>
        <v/>
      </c>
      <c r="H616" s="5" t="str">
        <f ca="1">IFERROR(__xludf.DUMMYFUNCTION("IFERROR(VLOOKUP(F633,IMPORTRANGE(""https://docs.google.com/spreadsheets/d/1Kvs4KS76FHFqLFIZfrDMff4kP08nblUkihrxltoGBjg/edit#gid=934712705"",""ESENCIAL!A6:BG""),8,FALSE))"),"")</f>
        <v/>
      </c>
      <c r="L616" s="287"/>
      <c r="S616"/>
      <c r="AU616" s="41" t="str">
        <f t="shared" si="40"/>
        <v/>
      </c>
      <c r="AV616" s="5" t="str">
        <f ca="1">IFERROR(__xludf.DUMMYFUNCTION("IFERROR(VLOOKUP(E633&amp;F633,IMPORTRANGE(""https://docs.google.com/spreadsheets/d/1Uw7-A9f9R21vMXxHZFNpYNeKFtG8_yji4HS352LGlSQ/edit?pli=1#gid=0"",""1_ACUM!A4:S""),11,FALSE))"),"")</f>
        <v/>
      </c>
      <c r="AW616" s="42" t="str">
        <f ca="1">IFERROR(__xludf.DUMMYFUNCTION("IFERROR(VLOOKUP(F633,IMPORTRANGE(""https://docs.google.com/spreadsheets/d/1Kvs4KS76FHFqLFIZfrDMff4kP08nblUkihrxltoGBjg/edit#gid=934712705"",""ESENCIAL!A6:BG""),15,FALSE))"),"")</f>
        <v/>
      </c>
      <c r="AX616" s="21" t="str">
        <f ca="1">IFERROR(__xludf.DUMMYFUNCTION("IFERROR(VLOOKUP(E633&amp;F633,IMPORTRANGE(""https://docs.google.com/spreadsheets/d/1Uw7-A9f9R21vMXxHZFNpYNeKFtG8_yji4HS352LGlSQ/edit?pli=1#gid=0"",""1_ACUM!A4:S""),12,FALSE))"),"")</f>
        <v/>
      </c>
      <c r="AY616" s="43" t="str">
        <f ca="1">IFERROR(__xludf.DUMMYFUNCTION("IFERROR(VLOOKUP(E633&amp;F633,IMPORTRANGE(""https://docs.google.com/spreadsheets/d/1Uw7-A9f9R21vMXxHZFNpYNeKFtG8_yji4HS352LGlSQ/edit?pli=1#gid=0"",""1_ACUM!A4:S""),13,FALSE))"),"")</f>
        <v/>
      </c>
      <c r="AZ616" s="43" t="str">
        <f ca="1">IFERROR(__xludf.DUMMYFUNCTION("IFERROR(VLOOKUP(E633&amp;F633,IMPORTRANGE(""https://docs.google.com/spreadsheets/d/1Uw7-A9f9R21vMXxHZFNpYNeKFtG8_yji4HS352LGlSQ/edit?pli=1#gid=0"",""1_ACUM!A4:S""),14,FALSE))"),"")</f>
        <v/>
      </c>
      <c r="BA616" s="43" t="str">
        <f ca="1">IFERROR(__xludf.DUMMYFUNCTION("IFERROR(VLOOKUP(E633&amp;F633,IMPORTRANGE(""https://docs.google.com/spreadsheets/d/1Uw7-A9f9R21vMXxHZFNpYNeKFtG8_yji4HS352LGlSQ/edit?pli=1#gid=0"",""1_ACUM!A4:S""),15,FALSE))"),"")</f>
        <v/>
      </c>
      <c r="BB616" s="43" t="str">
        <f ca="1">IFERROR(__xludf.DUMMYFUNCTION("IFERROR(VLOOKUP(E633&amp;F633,IMPORTRANGE(""https://docs.google.com/spreadsheets/d/1Uw7-A9f9R21vMXxHZFNpYNeKFtG8_yji4HS352LGlSQ/edit?pli=1#gid=0"",""1_ACUM!A4:S""),16,FALSE))"),"")</f>
        <v/>
      </c>
      <c r="BC616" s="43" t="str">
        <f ca="1">IFERROR(__xludf.DUMMYFUNCTION("IFERROR(VLOOKUP(E633&amp;F633,IMPORTRANGE(""https://docs.google.com/spreadsheets/d/1Uw7-A9f9R21vMXxHZFNpYNeKFtG8_yji4HS352LGlSQ/edit?pli=1#gid=0"",""1_ACUM!A4:S""),17,FALSE))"),"")</f>
        <v/>
      </c>
      <c r="BD616" s="44" t="str">
        <f ca="1">IFERROR(__xludf.DUMMYFUNCTION("IFERROR(VLOOKUP(E633&amp;F633,IMPORTRANGE(""https://docs.google.com/spreadsheets/d/1Uw7-A9f9R21vMXxHZFNpYNeKFtG8_yji4HS352LGlSQ/edit?pli=1#gid=0"",""1_ACUM!A4:S""),18,FALSE))"),"")</f>
        <v/>
      </c>
      <c r="BE616" s="44" t="str">
        <f ca="1">IFERROR(__xludf.DUMMYFUNCTION("IFERROR(VLOOKUP(E633&amp;F633,IMPORTRANGE(""https://docs.google.com/spreadsheets/d/1Uw7-A9f9R21vMXxHZFNpYNeKFtG8_yji4HS352LGlSQ/edit?pli=1#gid=0"",""1_ACUM!A4:S""),19,FALSE))"),"")</f>
        <v/>
      </c>
      <c r="BF616" s="44" t="str">
        <f ca="1">IFERROR(__xludf.DUMMYFUNCTION("IFERROR(VLOOKUP(F633,IMPORTRANGE(""https://docs.google.com/spreadsheets/d/1Kvs4KS76FHFqLFIZfrDMff4kP08nblUkihrxltoGBjg/edit#gid=934712705"",""ESENCIAL!A6:BG""),5,FALSE))"),"")</f>
        <v/>
      </c>
      <c r="BG616" s="44" t="str">
        <f t="shared" si="41"/>
        <v/>
      </c>
      <c r="BH616" s="41" t="str">
        <f t="shared" si="42"/>
        <v/>
      </c>
      <c r="BI616" s="41" t="str">
        <f ca="1">IFERROR(__xludf.DUMMYFUNCTION("IFERROR(VLOOKUP(F633,IMPORTRANGE(""https://docs.google.com/spreadsheets/d/1Kvs4KS76FHFqLFIZfrDMff4kP08nblUkihrxltoGBjg/edit#gid=934712705"",""ESENCIAL!A6:BG""),18,FALSE))"),"")</f>
        <v/>
      </c>
      <c r="BJ616" s="19" t="str">
        <f t="shared" si="43"/>
        <v/>
      </c>
      <c r="BK616" s="41"/>
      <c r="BL616" s="41"/>
    </row>
    <row r="617" spans="1:64" ht="15">
      <c r="A617" s="4"/>
      <c r="B617" s="4"/>
      <c r="G617" s="5" t="str">
        <f ca="1">IFERROR(__xludf.DUMMYFUNCTION("IFERROR(VLOOKUP(F634,IMPORTRANGE(""https://docs.google.com/spreadsheets/d/1Kvs4KS76FHFqLFIZfrDMff4kP08nblUkihrxltoGBjg/edit#gid=934712705"",""ESENCIAL!A6:BG""),3,FALSE))"),"")</f>
        <v/>
      </c>
      <c r="H617" s="5" t="str">
        <f ca="1">IFERROR(__xludf.DUMMYFUNCTION("IFERROR(VLOOKUP(F634,IMPORTRANGE(""https://docs.google.com/spreadsheets/d/1Kvs4KS76FHFqLFIZfrDMff4kP08nblUkihrxltoGBjg/edit#gid=934712705"",""ESENCIAL!A6:BG""),8,FALSE))"),"")</f>
        <v/>
      </c>
      <c r="L617" s="287"/>
      <c r="S617"/>
      <c r="AU617" s="41" t="str">
        <f t="shared" si="40"/>
        <v/>
      </c>
      <c r="AV617" s="5" t="str">
        <f ca="1">IFERROR(__xludf.DUMMYFUNCTION("IFERROR(VLOOKUP(E634&amp;F634,IMPORTRANGE(""https://docs.google.com/spreadsheets/d/1Uw7-A9f9R21vMXxHZFNpYNeKFtG8_yji4HS352LGlSQ/edit?pli=1#gid=0"",""1_ACUM!A4:S""),11,FALSE))"),"")</f>
        <v/>
      </c>
      <c r="AW617" s="42" t="str">
        <f ca="1">IFERROR(__xludf.DUMMYFUNCTION("IFERROR(VLOOKUP(F634,IMPORTRANGE(""https://docs.google.com/spreadsheets/d/1Kvs4KS76FHFqLFIZfrDMff4kP08nblUkihrxltoGBjg/edit#gid=934712705"",""ESENCIAL!A6:BG""),15,FALSE))"),"")</f>
        <v/>
      </c>
      <c r="AX617" s="21" t="str">
        <f ca="1">IFERROR(__xludf.DUMMYFUNCTION("IFERROR(VLOOKUP(E634&amp;F634,IMPORTRANGE(""https://docs.google.com/spreadsheets/d/1Uw7-A9f9R21vMXxHZFNpYNeKFtG8_yji4HS352LGlSQ/edit?pli=1#gid=0"",""1_ACUM!A4:S""),12,FALSE))"),"")</f>
        <v/>
      </c>
      <c r="AY617" s="43" t="str">
        <f ca="1">IFERROR(__xludf.DUMMYFUNCTION("IFERROR(VLOOKUP(E634&amp;F634,IMPORTRANGE(""https://docs.google.com/spreadsheets/d/1Uw7-A9f9R21vMXxHZFNpYNeKFtG8_yji4HS352LGlSQ/edit?pli=1#gid=0"",""1_ACUM!A4:S""),13,FALSE))"),"")</f>
        <v/>
      </c>
      <c r="AZ617" s="43" t="str">
        <f ca="1">IFERROR(__xludf.DUMMYFUNCTION("IFERROR(VLOOKUP(E634&amp;F634,IMPORTRANGE(""https://docs.google.com/spreadsheets/d/1Uw7-A9f9R21vMXxHZFNpYNeKFtG8_yji4HS352LGlSQ/edit?pli=1#gid=0"",""1_ACUM!A4:S""),14,FALSE))"),"")</f>
        <v/>
      </c>
      <c r="BA617" s="43" t="str">
        <f ca="1">IFERROR(__xludf.DUMMYFUNCTION("IFERROR(VLOOKUP(E634&amp;F634,IMPORTRANGE(""https://docs.google.com/spreadsheets/d/1Uw7-A9f9R21vMXxHZFNpYNeKFtG8_yji4HS352LGlSQ/edit?pli=1#gid=0"",""1_ACUM!A4:S""),15,FALSE))"),"")</f>
        <v/>
      </c>
      <c r="BB617" s="43" t="str">
        <f ca="1">IFERROR(__xludf.DUMMYFUNCTION("IFERROR(VLOOKUP(E634&amp;F634,IMPORTRANGE(""https://docs.google.com/spreadsheets/d/1Uw7-A9f9R21vMXxHZFNpYNeKFtG8_yji4HS352LGlSQ/edit?pli=1#gid=0"",""1_ACUM!A4:S""),16,FALSE))"),"")</f>
        <v/>
      </c>
      <c r="BC617" s="43" t="str">
        <f ca="1">IFERROR(__xludf.DUMMYFUNCTION("IFERROR(VLOOKUP(E634&amp;F634,IMPORTRANGE(""https://docs.google.com/spreadsheets/d/1Uw7-A9f9R21vMXxHZFNpYNeKFtG8_yji4HS352LGlSQ/edit?pli=1#gid=0"",""1_ACUM!A4:S""),17,FALSE))"),"")</f>
        <v/>
      </c>
      <c r="BD617" s="44" t="str">
        <f ca="1">IFERROR(__xludf.DUMMYFUNCTION("IFERROR(VLOOKUP(E634&amp;F634,IMPORTRANGE(""https://docs.google.com/spreadsheets/d/1Uw7-A9f9R21vMXxHZFNpYNeKFtG8_yji4HS352LGlSQ/edit?pli=1#gid=0"",""1_ACUM!A4:S""),18,FALSE))"),"")</f>
        <v/>
      </c>
      <c r="BE617" s="44" t="str">
        <f ca="1">IFERROR(__xludf.DUMMYFUNCTION("IFERROR(VLOOKUP(E634&amp;F634,IMPORTRANGE(""https://docs.google.com/spreadsheets/d/1Uw7-A9f9R21vMXxHZFNpYNeKFtG8_yji4HS352LGlSQ/edit?pli=1#gid=0"",""1_ACUM!A4:S""),19,FALSE))"),"")</f>
        <v/>
      </c>
      <c r="BF617" s="44" t="str">
        <f ca="1">IFERROR(__xludf.DUMMYFUNCTION("IFERROR(VLOOKUP(F634,IMPORTRANGE(""https://docs.google.com/spreadsheets/d/1Kvs4KS76FHFqLFIZfrDMff4kP08nblUkihrxltoGBjg/edit#gid=934712705"",""ESENCIAL!A6:BG""),5,FALSE))"),"")</f>
        <v/>
      </c>
      <c r="BG617" s="44" t="str">
        <f t="shared" si="41"/>
        <v/>
      </c>
      <c r="BH617" s="41" t="str">
        <f t="shared" si="42"/>
        <v/>
      </c>
      <c r="BI617" s="41" t="str">
        <f ca="1">IFERROR(__xludf.DUMMYFUNCTION("IFERROR(VLOOKUP(F634,IMPORTRANGE(""https://docs.google.com/spreadsheets/d/1Kvs4KS76FHFqLFIZfrDMff4kP08nblUkihrxltoGBjg/edit#gid=934712705"",""ESENCIAL!A6:BG""),18,FALSE))"),"")</f>
        <v/>
      </c>
      <c r="BJ617" s="19" t="str">
        <f t="shared" si="43"/>
        <v/>
      </c>
      <c r="BK617" s="41"/>
      <c r="BL617" s="41"/>
    </row>
    <row r="618" spans="1:64" ht="15">
      <c r="A618" s="4"/>
      <c r="B618" s="4"/>
      <c r="G618" s="5" t="str">
        <f ca="1">IFERROR(__xludf.DUMMYFUNCTION("IFERROR(VLOOKUP(F635,IMPORTRANGE(""https://docs.google.com/spreadsheets/d/1Kvs4KS76FHFqLFIZfrDMff4kP08nblUkihrxltoGBjg/edit#gid=934712705"",""ESENCIAL!A6:BG""),3,FALSE))"),"")</f>
        <v/>
      </c>
      <c r="H618" s="5" t="str">
        <f ca="1">IFERROR(__xludf.DUMMYFUNCTION("IFERROR(VLOOKUP(F635,IMPORTRANGE(""https://docs.google.com/spreadsheets/d/1Kvs4KS76FHFqLFIZfrDMff4kP08nblUkihrxltoGBjg/edit#gid=934712705"",""ESENCIAL!A6:BG""),8,FALSE))"),"")</f>
        <v/>
      </c>
      <c r="L618" s="287"/>
      <c r="S618"/>
      <c r="AU618" s="41" t="str">
        <f t="shared" si="40"/>
        <v/>
      </c>
      <c r="AV618" s="5" t="str">
        <f ca="1">IFERROR(__xludf.DUMMYFUNCTION("IFERROR(VLOOKUP(E635&amp;F635,IMPORTRANGE(""https://docs.google.com/spreadsheets/d/1Uw7-A9f9R21vMXxHZFNpYNeKFtG8_yji4HS352LGlSQ/edit?pli=1#gid=0"",""1_ACUM!A4:S""),11,FALSE))"),"")</f>
        <v/>
      </c>
      <c r="AW618" s="42" t="str">
        <f ca="1">IFERROR(__xludf.DUMMYFUNCTION("IFERROR(VLOOKUP(F635,IMPORTRANGE(""https://docs.google.com/spreadsheets/d/1Kvs4KS76FHFqLFIZfrDMff4kP08nblUkihrxltoGBjg/edit#gid=934712705"",""ESENCIAL!A6:BG""),15,FALSE))"),"")</f>
        <v/>
      </c>
      <c r="AX618" s="21" t="str">
        <f ca="1">IFERROR(__xludf.DUMMYFUNCTION("IFERROR(VLOOKUP(E635&amp;F635,IMPORTRANGE(""https://docs.google.com/spreadsheets/d/1Uw7-A9f9R21vMXxHZFNpYNeKFtG8_yji4HS352LGlSQ/edit?pli=1#gid=0"",""1_ACUM!A4:S""),12,FALSE))"),"")</f>
        <v/>
      </c>
      <c r="AY618" s="43" t="str">
        <f ca="1">IFERROR(__xludf.DUMMYFUNCTION("IFERROR(VLOOKUP(E635&amp;F635,IMPORTRANGE(""https://docs.google.com/spreadsheets/d/1Uw7-A9f9R21vMXxHZFNpYNeKFtG8_yji4HS352LGlSQ/edit?pli=1#gid=0"",""1_ACUM!A4:S""),13,FALSE))"),"")</f>
        <v/>
      </c>
      <c r="AZ618" s="43" t="str">
        <f ca="1">IFERROR(__xludf.DUMMYFUNCTION("IFERROR(VLOOKUP(E635&amp;F635,IMPORTRANGE(""https://docs.google.com/spreadsheets/d/1Uw7-A9f9R21vMXxHZFNpYNeKFtG8_yji4HS352LGlSQ/edit?pli=1#gid=0"",""1_ACUM!A4:S""),14,FALSE))"),"")</f>
        <v/>
      </c>
      <c r="BA618" s="43" t="str">
        <f ca="1">IFERROR(__xludf.DUMMYFUNCTION("IFERROR(VLOOKUP(E635&amp;F635,IMPORTRANGE(""https://docs.google.com/spreadsheets/d/1Uw7-A9f9R21vMXxHZFNpYNeKFtG8_yji4HS352LGlSQ/edit?pli=1#gid=0"",""1_ACUM!A4:S""),15,FALSE))"),"")</f>
        <v/>
      </c>
      <c r="BB618" s="43" t="str">
        <f ca="1">IFERROR(__xludf.DUMMYFUNCTION("IFERROR(VLOOKUP(E635&amp;F635,IMPORTRANGE(""https://docs.google.com/spreadsheets/d/1Uw7-A9f9R21vMXxHZFNpYNeKFtG8_yji4HS352LGlSQ/edit?pli=1#gid=0"",""1_ACUM!A4:S""),16,FALSE))"),"")</f>
        <v/>
      </c>
      <c r="BC618" s="43" t="str">
        <f ca="1">IFERROR(__xludf.DUMMYFUNCTION("IFERROR(VLOOKUP(E635&amp;F635,IMPORTRANGE(""https://docs.google.com/spreadsheets/d/1Uw7-A9f9R21vMXxHZFNpYNeKFtG8_yji4HS352LGlSQ/edit?pli=1#gid=0"",""1_ACUM!A4:S""),17,FALSE))"),"")</f>
        <v/>
      </c>
      <c r="BD618" s="44" t="str">
        <f ca="1">IFERROR(__xludf.DUMMYFUNCTION("IFERROR(VLOOKUP(E635&amp;F635,IMPORTRANGE(""https://docs.google.com/spreadsheets/d/1Uw7-A9f9R21vMXxHZFNpYNeKFtG8_yji4HS352LGlSQ/edit?pli=1#gid=0"",""1_ACUM!A4:S""),18,FALSE))"),"")</f>
        <v/>
      </c>
      <c r="BE618" s="44" t="str">
        <f ca="1">IFERROR(__xludf.DUMMYFUNCTION("IFERROR(VLOOKUP(E635&amp;F635,IMPORTRANGE(""https://docs.google.com/spreadsheets/d/1Uw7-A9f9R21vMXxHZFNpYNeKFtG8_yji4HS352LGlSQ/edit?pli=1#gid=0"",""1_ACUM!A4:S""),19,FALSE))"),"")</f>
        <v/>
      </c>
      <c r="BF618" s="44" t="str">
        <f ca="1">IFERROR(__xludf.DUMMYFUNCTION("IFERROR(VLOOKUP(F635,IMPORTRANGE(""https://docs.google.com/spreadsheets/d/1Kvs4KS76FHFqLFIZfrDMff4kP08nblUkihrxltoGBjg/edit#gid=934712705"",""ESENCIAL!A6:BG""),5,FALSE))"),"")</f>
        <v/>
      </c>
      <c r="BG618" s="44" t="str">
        <f t="shared" si="41"/>
        <v/>
      </c>
      <c r="BH618" s="41" t="str">
        <f t="shared" si="42"/>
        <v/>
      </c>
      <c r="BI618" s="41" t="str">
        <f ca="1">IFERROR(__xludf.DUMMYFUNCTION("IFERROR(VLOOKUP(F635,IMPORTRANGE(""https://docs.google.com/spreadsheets/d/1Kvs4KS76FHFqLFIZfrDMff4kP08nblUkihrxltoGBjg/edit#gid=934712705"",""ESENCIAL!A6:BG""),18,FALSE))"),"")</f>
        <v/>
      </c>
      <c r="BJ618" s="19" t="str">
        <f t="shared" si="43"/>
        <v/>
      </c>
      <c r="BK618" s="41"/>
      <c r="BL618" s="41"/>
    </row>
    <row r="619" spans="1:64" ht="15">
      <c r="A619" s="4"/>
      <c r="B619" s="4"/>
      <c r="G619" s="5" t="str">
        <f ca="1">IFERROR(__xludf.DUMMYFUNCTION("IFERROR(VLOOKUP(F636,IMPORTRANGE(""https://docs.google.com/spreadsheets/d/1Kvs4KS76FHFqLFIZfrDMff4kP08nblUkihrxltoGBjg/edit#gid=934712705"",""ESENCIAL!A6:BG""),3,FALSE))"),"")</f>
        <v/>
      </c>
      <c r="H619" s="5" t="str">
        <f ca="1">IFERROR(__xludf.DUMMYFUNCTION("IFERROR(VLOOKUP(F636,IMPORTRANGE(""https://docs.google.com/spreadsheets/d/1Kvs4KS76FHFqLFIZfrDMff4kP08nblUkihrxltoGBjg/edit#gid=934712705"",""ESENCIAL!A6:BG""),8,FALSE))"),"")</f>
        <v/>
      </c>
      <c r="L619" s="287"/>
      <c r="S619"/>
      <c r="AU619" s="41" t="str">
        <f t="shared" si="40"/>
        <v/>
      </c>
      <c r="AV619" s="5" t="str">
        <f ca="1">IFERROR(__xludf.DUMMYFUNCTION("IFERROR(VLOOKUP(E636&amp;F636,IMPORTRANGE(""https://docs.google.com/spreadsheets/d/1Uw7-A9f9R21vMXxHZFNpYNeKFtG8_yji4HS352LGlSQ/edit?pli=1#gid=0"",""1_ACUM!A4:S""),11,FALSE))"),"")</f>
        <v/>
      </c>
      <c r="AW619" s="42" t="str">
        <f ca="1">IFERROR(__xludf.DUMMYFUNCTION("IFERROR(VLOOKUP(F636,IMPORTRANGE(""https://docs.google.com/spreadsheets/d/1Kvs4KS76FHFqLFIZfrDMff4kP08nblUkihrxltoGBjg/edit#gid=934712705"",""ESENCIAL!A6:BG""),15,FALSE))"),"")</f>
        <v/>
      </c>
      <c r="AX619" s="21" t="str">
        <f ca="1">IFERROR(__xludf.DUMMYFUNCTION("IFERROR(VLOOKUP(E636&amp;F636,IMPORTRANGE(""https://docs.google.com/spreadsheets/d/1Uw7-A9f9R21vMXxHZFNpYNeKFtG8_yji4HS352LGlSQ/edit?pli=1#gid=0"",""1_ACUM!A4:S""),12,FALSE))"),"")</f>
        <v/>
      </c>
      <c r="AY619" s="43" t="str">
        <f ca="1">IFERROR(__xludf.DUMMYFUNCTION("IFERROR(VLOOKUP(E636&amp;F636,IMPORTRANGE(""https://docs.google.com/spreadsheets/d/1Uw7-A9f9R21vMXxHZFNpYNeKFtG8_yji4HS352LGlSQ/edit?pli=1#gid=0"",""1_ACUM!A4:S""),13,FALSE))"),"")</f>
        <v/>
      </c>
      <c r="AZ619" s="43" t="str">
        <f ca="1">IFERROR(__xludf.DUMMYFUNCTION("IFERROR(VLOOKUP(E636&amp;F636,IMPORTRANGE(""https://docs.google.com/spreadsheets/d/1Uw7-A9f9R21vMXxHZFNpYNeKFtG8_yji4HS352LGlSQ/edit?pli=1#gid=0"",""1_ACUM!A4:S""),14,FALSE))"),"")</f>
        <v/>
      </c>
      <c r="BA619" s="43" t="str">
        <f ca="1">IFERROR(__xludf.DUMMYFUNCTION("IFERROR(VLOOKUP(E636&amp;F636,IMPORTRANGE(""https://docs.google.com/spreadsheets/d/1Uw7-A9f9R21vMXxHZFNpYNeKFtG8_yji4HS352LGlSQ/edit?pli=1#gid=0"",""1_ACUM!A4:S""),15,FALSE))"),"")</f>
        <v/>
      </c>
      <c r="BB619" s="43" t="str">
        <f ca="1">IFERROR(__xludf.DUMMYFUNCTION("IFERROR(VLOOKUP(E636&amp;F636,IMPORTRANGE(""https://docs.google.com/spreadsheets/d/1Uw7-A9f9R21vMXxHZFNpYNeKFtG8_yji4HS352LGlSQ/edit?pli=1#gid=0"",""1_ACUM!A4:S""),16,FALSE))"),"")</f>
        <v/>
      </c>
      <c r="BC619" s="43" t="str">
        <f ca="1">IFERROR(__xludf.DUMMYFUNCTION("IFERROR(VLOOKUP(E636&amp;F636,IMPORTRANGE(""https://docs.google.com/spreadsheets/d/1Uw7-A9f9R21vMXxHZFNpYNeKFtG8_yji4HS352LGlSQ/edit?pli=1#gid=0"",""1_ACUM!A4:S""),17,FALSE))"),"")</f>
        <v/>
      </c>
      <c r="BD619" s="44" t="str">
        <f ca="1">IFERROR(__xludf.DUMMYFUNCTION("IFERROR(VLOOKUP(E636&amp;F636,IMPORTRANGE(""https://docs.google.com/spreadsheets/d/1Uw7-A9f9R21vMXxHZFNpYNeKFtG8_yji4HS352LGlSQ/edit?pli=1#gid=0"",""1_ACUM!A4:S""),18,FALSE))"),"")</f>
        <v/>
      </c>
      <c r="BE619" s="44" t="str">
        <f ca="1">IFERROR(__xludf.DUMMYFUNCTION("IFERROR(VLOOKUP(E636&amp;F636,IMPORTRANGE(""https://docs.google.com/spreadsheets/d/1Uw7-A9f9R21vMXxHZFNpYNeKFtG8_yji4HS352LGlSQ/edit?pli=1#gid=0"",""1_ACUM!A4:S""),19,FALSE))"),"")</f>
        <v/>
      </c>
      <c r="BF619" s="44" t="str">
        <f ca="1">IFERROR(__xludf.DUMMYFUNCTION("IFERROR(VLOOKUP(F636,IMPORTRANGE(""https://docs.google.com/spreadsheets/d/1Kvs4KS76FHFqLFIZfrDMff4kP08nblUkihrxltoGBjg/edit#gid=934712705"",""ESENCIAL!A6:BG""),5,FALSE))"),"")</f>
        <v/>
      </c>
      <c r="BG619" s="44" t="str">
        <f t="shared" si="41"/>
        <v/>
      </c>
      <c r="BH619" s="41" t="str">
        <f t="shared" si="42"/>
        <v/>
      </c>
      <c r="BI619" s="41" t="str">
        <f ca="1">IFERROR(__xludf.DUMMYFUNCTION("IFERROR(VLOOKUP(F636,IMPORTRANGE(""https://docs.google.com/spreadsheets/d/1Kvs4KS76FHFqLFIZfrDMff4kP08nblUkihrxltoGBjg/edit#gid=934712705"",""ESENCIAL!A6:BG""),18,FALSE))"),"")</f>
        <v/>
      </c>
      <c r="BJ619" s="19" t="str">
        <f t="shared" si="43"/>
        <v/>
      </c>
      <c r="BK619" s="41"/>
      <c r="BL619" s="41"/>
    </row>
    <row r="620" spans="1:64" ht="15">
      <c r="A620" s="4"/>
      <c r="B620" s="4"/>
      <c r="G620" s="5" t="str">
        <f ca="1">IFERROR(__xludf.DUMMYFUNCTION("IFERROR(VLOOKUP(F637,IMPORTRANGE(""https://docs.google.com/spreadsheets/d/1Kvs4KS76FHFqLFIZfrDMff4kP08nblUkihrxltoGBjg/edit#gid=934712705"",""ESENCIAL!A6:BG""),3,FALSE))"),"")</f>
        <v/>
      </c>
      <c r="H620" s="5" t="str">
        <f ca="1">IFERROR(__xludf.DUMMYFUNCTION("IFERROR(VLOOKUP(F637,IMPORTRANGE(""https://docs.google.com/spreadsheets/d/1Kvs4KS76FHFqLFIZfrDMff4kP08nblUkihrxltoGBjg/edit#gid=934712705"",""ESENCIAL!A6:BG""),8,FALSE))"),"")</f>
        <v/>
      </c>
      <c r="L620" s="287"/>
      <c r="S620"/>
      <c r="AU620" s="41" t="str">
        <f t="shared" si="40"/>
        <v/>
      </c>
      <c r="AV620" s="5" t="str">
        <f ca="1">IFERROR(__xludf.DUMMYFUNCTION("IFERROR(VLOOKUP(E637&amp;F637,IMPORTRANGE(""https://docs.google.com/spreadsheets/d/1Uw7-A9f9R21vMXxHZFNpYNeKFtG8_yji4HS352LGlSQ/edit?pli=1#gid=0"",""1_ACUM!A4:S""),11,FALSE))"),"")</f>
        <v/>
      </c>
      <c r="AW620" s="42" t="str">
        <f ca="1">IFERROR(__xludf.DUMMYFUNCTION("IFERROR(VLOOKUP(F637,IMPORTRANGE(""https://docs.google.com/spreadsheets/d/1Kvs4KS76FHFqLFIZfrDMff4kP08nblUkihrxltoGBjg/edit#gid=934712705"",""ESENCIAL!A6:BG""),15,FALSE))"),"")</f>
        <v/>
      </c>
      <c r="AX620" s="21" t="str">
        <f ca="1">IFERROR(__xludf.DUMMYFUNCTION("IFERROR(VLOOKUP(E637&amp;F637,IMPORTRANGE(""https://docs.google.com/spreadsheets/d/1Uw7-A9f9R21vMXxHZFNpYNeKFtG8_yji4HS352LGlSQ/edit?pli=1#gid=0"",""1_ACUM!A4:S""),12,FALSE))"),"")</f>
        <v/>
      </c>
      <c r="AY620" s="43" t="str">
        <f ca="1">IFERROR(__xludf.DUMMYFUNCTION("IFERROR(VLOOKUP(E637&amp;F637,IMPORTRANGE(""https://docs.google.com/spreadsheets/d/1Uw7-A9f9R21vMXxHZFNpYNeKFtG8_yji4HS352LGlSQ/edit?pli=1#gid=0"",""1_ACUM!A4:S""),13,FALSE))"),"")</f>
        <v/>
      </c>
      <c r="AZ620" s="43" t="str">
        <f ca="1">IFERROR(__xludf.DUMMYFUNCTION("IFERROR(VLOOKUP(E637&amp;F637,IMPORTRANGE(""https://docs.google.com/spreadsheets/d/1Uw7-A9f9R21vMXxHZFNpYNeKFtG8_yji4HS352LGlSQ/edit?pli=1#gid=0"",""1_ACUM!A4:S""),14,FALSE))"),"")</f>
        <v/>
      </c>
      <c r="BA620" s="43" t="str">
        <f ca="1">IFERROR(__xludf.DUMMYFUNCTION("IFERROR(VLOOKUP(E637&amp;F637,IMPORTRANGE(""https://docs.google.com/spreadsheets/d/1Uw7-A9f9R21vMXxHZFNpYNeKFtG8_yji4HS352LGlSQ/edit?pli=1#gid=0"",""1_ACUM!A4:S""),15,FALSE))"),"")</f>
        <v/>
      </c>
      <c r="BB620" s="43" t="str">
        <f ca="1">IFERROR(__xludf.DUMMYFUNCTION("IFERROR(VLOOKUP(E637&amp;F637,IMPORTRANGE(""https://docs.google.com/spreadsheets/d/1Uw7-A9f9R21vMXxHZFNpYNeKFtG8_yji4HS352LGlSQ/edit?pli=1#gid=0"",""1_ACUM!A4:S""),16,FALSE))"),"")</f>
        <v/>
      </c>
      <c r="BC620" s="43" t="str">
        <f ca="1">IFERROR(__xludf.DUMMYFUNCTION("IFERROR(VLOOKUP(E637&amp;F637,IMPORTRANGE(""https://docs.google.com/spreadsheets/d/1Uw7-A9f9R21vMXxHZFNpYNeKFtG8_yji4HS352LGlSQ/edit?pli=1#gid=0"",""1_ACUM!A4:S""),17,FALSE))"),"")</f>
        <v/>
      </c>
      <c r="BD620" s="44" t="str">
        <f ca="1">IFERROR(__xludf.DUMMYFUNCTION("IFERROR(VLOOKUP(E637&amp;F637,IMPORTRANGE(""https://docs.google.com/spreadsheets/d/1Uw7-A9f9R21vMXxHZFNpYNeKFtG8_yji4HS352LGlSQ/edit?pli=1#gid=0"",""1_ACUM!A4:S""),18,FALSE))"),"")</f>
        <v/>
      </c>
      <c r="BE620" s="44" t="str">
        <f ca="1">IFERROR(__xludf.DUMMYFUNCTION("IFERROR(VLOOKUP(E637&amp;F637,IMPORTRANGE(""https://docs.google.com/spreadsheets/d/1Uw7-A9f9R21vMXxHZFNpYNeKFtG8_yji4HS352LGlSQ/edit?pli=1#gid=0"",""1_ACUM!A4:S""),19,FALSE))"),"")</f>
        <v/>
      </c>
      <c r="BF620" s="44" t="str">
        <f ca="1">IFERROR(__xludf.DUMMYFUNCTION("IFERROR(VLOOKUP(F637,IMPORTRANGE(""https://docs.google.com/spreadsheets/d/1Kvs4KS76FHFqLFIZfrDMff4kP08nblUkihrxltoGBjg/edit#gid=934712705"",""ESENCIAL!A6:BG""),5,FALSE))"),"")</f>
        <v/>
      </c>
      <c r="BG620" s="44" t="str">
        <f t="shared" si="41"/>
        <v/>
      </c>
      <c r="BH620" s="41" t="str">
        <f t="shared" si="42"/>
        <v/>
      </c>
      <c r="BI620" s="41" t="str">
        <f ca="1">IFERROR(__xludf.DUMMYFUNCTION("IFERROR(VLOOKUP(F637,IMPORTRANGE(""https://docs.google.com/spreadsheets/d/1Kvs4KS76FHFqLFIZfrDMff4kP08nblUkihrxltoGBjg/edit#gid=934712705"",""ESENCIAL!A6:BG""),18,FALSE))"),"")</f>
        <v/>
      </c>
      <c r="BJ620" s="19" t="str">
        <f t="shared" si="43"/>
        <v/>
      </c>
      <c r="BK620" s="41"/>
      <c r="BL620" s="41"/>
    </row>
    <row r="621" spans="1:64" ht="15">
      <c r="A621" s="4"/>
      <c r="B621" s="4"/>
      <c r="G621" s="5" t="str">
        <f ca="1">IFERROR(__xludf.DUMMYFUNCTION("IFERROR(VLOOKUP(F638,IMPORTRANGE(""https://docs.google.com/spreadsheets/d/1Kvs4KS76FHFqLFIZfrDMff4kP08nblUkihrxltoGBjg/edit#gid=934712705"",""ESENCIAL!A6:BG""),3,FALSE))"),"")</f>
        <v/>
      </c>
      <c r="H621" s="5" t="str">
        <f ca="1">IFERROR(__xludf.DUMMYFUNCTION("IFERROR(VLOOKUP(F638,IMPORTRANGE(""https://docs.google.com/spreadsheets/d/1Kvs4KS76FHFqLFIZfrDMff4kP08nblUkihrxltoGBjg/edit#gid=934712705"",""ESENCIAL!A6:BG""),8,FALSE))"),"")</f>
        <v/>
      </c>
      <c r="L621" s="287"/>
      <c r="S621"/>
      <c r="AU621" s="41" t="str">
        <f t="shared" si="40"/>
        <v/>
      </c>
      <c r="AV621" s="5" t="str">
        <f ca="1">IFERROR(__xludf.DUMMYFUNCTION("IFERROR(VLOOKUP(E638&amp;F638,IMPORTRANGE(""https://docs.google.com/spreadsheets/d/1Uw7-A9f9R21vMXxHZFNpYNeKFtG8_yji4HS352LGlSQ/edit?pli=1#gid=0"",""1_ACUM!A4:S""),11,FALSE))"),"")</f>
        <v/>
      </c>
      <c r="AW621" s="42" t="str">
        <f ca="1">IFERROR(__xludf.DUMMYFUNCTION("IFERROR(VLOOKUP(F638,IMPORTRANGE(""https://docs.google.com/spreadsheets/d/1Kvs4KS76FHFqLFIZfrDMff4kP08nblUkihrxltoGBjg/edit#gid=934712705"",""ESENCIAL!A6:BG""),15,FALSE))"),"")</f>
        <v/>
      </c>
      <c r="AX621" s="21" t="str">
        <f ca="1">IFERROR(__xludf.DUMMYFUNCTION("IFERROR(VLOOKUP(E638&amp;F638,IMPORTRANGE(""https://docs.google.com/spreadsheets/d/1Uw7-A9f9R21vMXxHZFNpYNeKFtG8_yji4HS352LGlSQ/edit?pli=1#gid=0"",""1_ACUM!A4:S""),12,FALSE))"),"")</f>
        <v/>
      </c>
      <c r="AY621" s="43" t="str">
        <f ca="1">IFERROR(__xludf.DUMMYFUNCTION("IFERROR(VLOOKUP(E638&amp;F638,IMPORTRANGE(""https://docs.google.com/spreadsheets/d/1Uw7-A9f9R21vMXxHZFNpYNeKFtG8_yji4HS352LGlSQ/edit?pli=1#gid=0"",""1_ACUM!A4:S""),13,FALSE))"),"")</f>
        <v/>
      </c>
      <c r="AZ621" s="43" t="str">
        <f ca="1">IFERROR(__xludf.DUMMYFUNCTION("IFERROR(VLOOKUP(E638&amp;F638,IMPORTRANGE(""https://docs.google.com/spreadsheets/d/1Uw7-A9f9R21vMXxHZFNpYNeKFtG8_yji4HS352LGlSQ/edit?pli=1#gid=0"",""1_ACUM!A4:S""),14,FALSE))"),"")</f>
        <v/>
      </c>
      <c r="BA621" s="43" t="str">
        <f ca="1">IFERROR(__xludf.DUMMYFUNCTION("IFERROR(VLOOKUP(E638&amp;F638,IMPORTRANGE(""https://docs.google.com/spreadsheets/d/1Uw7-A9f9R21vMXxHZFNpYNeKFtG8_yji4HS352LGlSQ/edit?pli=1#gid=0"",""1_ACUM!A4:S""),15,FALSE))"),"")</f>
        <v/>
      </c>
      <c r="BB621" s="43" t="str">
        <f ca="1">IFERROR(__xludf.DUMMYFUNCTION("IFERROR(VLOOKUP(E638&amp;F638,IMPORTRANGE(""https://docs.google.com/spreadsheets/d/1Uw7-A9f9R21vMXxHZFNpYNeKFtG8_yji4HS352LGlSQ/edit?pli=1#gid=0"",""1_ACUM!A4:S""),16,FALSE))"),"")</f>
        <v/>
      </c>
      <c r="BC621" s="43" t="str">
        <f ca="1">IFERROR(__xludf.DUMMYFUNCTION("IFERROR(VLOOKUP(E638&amp;F638,IMPORTRANGE(""https://docs.google.com/spreadsheets/d/1Uw7-A9f9R21vMXxHZFNpYNeKFtG8_yji4HS352LGlSQ/edit?pli=1#gid=0"",""1_ACUM!A4:S""),17,FALSE))"),"")</f>
        <v/>
      </c>
      <c r="BD621" s="44" t="str">
        <f ca="1">IFERROR(__xludf.DUMMYFUNCTION("IFERROR(VLOOKUP(E638&amp;F638,IMPORTRANGE(""https://docs.google.com/spreadsheets/d/1Uw7-A9f9R21vMXxHZFNpYNeKFtG8_yji4HS352LGlSQ/edit?pli=1#gid=0"",""1_ACUM!A4:S""),18,FALSE))"),"")</f>
        <v/>
      </c>
      <c r="BE621" s="44" t="str">
        <f ca="1">IFERROR(__xludf.DUMMYFUNCTION("IFERROR(VLOOKUP(E638&amp;F638,IMPORTRANGE(""https://docs.google.com/spreadsheets/d/1Uw7-A9f9R21vMXxHZFNpYNeKFtG8_yji4HS352LGlSQ/edit?pli=1#gid=0"",""1_ACUM!A4:S""),19,FALSE))"),"")</f>
        <v/>
      </c>
      <c r="BF621" s="44" t="str">
        <f ca="1">IFERROR(__xludf.DUMMYFUNCTION("IFERROR(VLOOKUP(F638,IMPORTRANGE(""https://docs.google.com/spreadsheets/d/1Kvs4KS76FHFqLFIZfrDMff4kP08nblUkihrxltoGBjg/edit#gid=934712705"",""ESENCIAL!A6:BG""),5,FALSE))"),"")</f>
        <v/>
      </c>
      <c r="BG621" s="44" t="str">
        <f t="shared" si="41"/>
        <v/>
      </c>
      <c r="BH621" s="41" t="str">
        <f t="shared" si="42"/>
        <v/>
      </c>
      <c r="BI621" s="41" t="str">
        <f ca="1">IFERROR(__xludf.DUMMYFUNCTION("IFERROR(VLOOKUP(F638,IMPORTRANGE(""https://docs.google.com/spreadsheets/d/1Kvs4KS76FHFqLFIZfrDMff4kP08nblUkihrxltoGBjg/edit#gid=934712705"",""ESENCIAL!A6:BG""),18,FALSE))"),"")</f>
        <v/>
      </c>
      <c r="BJ621" s="19" t="str">
        <f t="shared" si="43"/>
        <v/>
      </c>
      <c r="BK621" s="41"/>
      <c r="BL621" s="41"/>
    </row>
    <row r="622" spans="1:64" ht="15">
      <c r="A622" s="4"/>
      <c r="B622" s="4"/>
      <c r="G622" s="5" t="str">
        <f ca="1">IFERROR(__xludf.DUMMYFUNCTION("IFERROR(VLOOKUP(F639,IMPORTRANGE(""https://docs.google.com/spreadsheets/d/1Kvs4KS76FHFqLFIZfrDMff4kP08nblUkihrxltoGBjg/edit#gid=934712705"",""ESENCIAL!A6:BG""),3,FALSE))"),"")</f>
        <v/>
      </c>
      <c r="H622" s="5" t="str">
        <f ca="1">IFERROR(__xludf.DUMMYFUNCTION("IFERROR(VLOOKUP(F639,IMPORTRANGE(""https://docs.google.com/spreadsheets/d/1Kvs4KS76FHFqLFIZfrDMff4kP08nblUkihrxltoGBjg/edit#gid=934712705"",""ESENCIAL!A6:BG""),8,FALSE))"),"")</f>
        <v/>
      </c>
      <c r="L622" s="287"/>
      <c r="S622"/>
      <c r="AU622" s="41" t="str">
        <f t="shared" si="40"/>
        <v/>
      </c>
      <c r="AV622" s="5" t="str">
        <f ca="1">IFERROR(__xludf.DUMMYFUNCTION("IFERROR(VLOOKUP(E639&amp;F639,IMPORTRANGE(""https://docs.google.com/spreadsheets/d/1Uw7-A9f9R21vMXxHZFNpYNeKFtG8_yji4HS352LGlSQ/edit?pli=1#gid=0"",""1_ACUM!A4:S""),11,FALSE))"),"")</f>
        <v/>
      </c>
      <c r="AW622" s="42" t="str">
        <f ca="1">IFERROR(__xludf.DUMMYFUNCTION("IFERROR(VLOOKUP(F639,IMPORTRANGE(""https://docs.google.com/spreadsheets/d/1Kvs4KS76FHFqLFIZfrDMff4kP08nblUkihrxltoGBjg/edit#gid=934712705"",""ESENCIAL!A6:BG""),15,FALSE))"),"")</f>
        <v/>
      </c>
      <c r="AX622" s="21" t="str">
        <f ca="1">IFERROR(__xludf.DUMMYFUNCTION("IFERROR(VLOOKUP(E639&amp;F639,IMPORTRANGE(""https://docs.google.com/spreadsheets/d/1Uw7-A9f9R21vMXxHZFNpYNeKFtG8_yji4HS352LGlSQ/edit?pli=1#gid=0"",""1_ACUM!A4:S""),12,FALSE))"),"")</f>
        <v/>
      </c>
      <c r="AY622" s="43" t="str">
        <f ca="1">IFERROR(__xludf.DUMMYFUNCTION("IFERROR(VLOOKUP(E639&amp;F639,IMPORTRANGE(""https://docs.google.com/spreadsheets/d/1Uw7-A9f9R21vMXxHZFNpYNeKFtG8_yji4HS352LGlSQ/edit?pli=1#gid=0"",""1_ACUM!A4:S""),13,FALSE))"),"")</f>
        <v/>
      </c>
      <c r="AZ622" s="43" t="str">
        <f ca="1">IFERROR(__xludf.DUMMYFUNCTION("IFERROR(VLOOKUP(E639&amp;F639,IMPORTRANGE(""https://docs.google.com/spreadsheets/d/1Uw7-A9f9R21vMXxHZFNpYNeKFtG8_yji4HS352LGlSQ/edit?pli=1#gid=0"",""1_ACUM!A4:S""),14,FALSE))"),"")</f>
        <v/>
      </c>
      <c r="BA622" s="43" t="str">
        <f ca="1">IFERROR(__xludf.DUMMYFUNCTION("IFERROR(VLOOKUP(E639&amp;F639,IMPORTRANGE(""https://docs.google.com/spreadsheets/d/1Uw7-A9f9R21vMXxHZFNpYNeKFtG8_yji4HS352LGlSQ/edit?pli=1#gid=0"",""1_ACUM!A4:S""),15,FALSE))"),"")</f>
        <v/>
      </c>
      <c r="BB622" s="43" t="str">
        <f ca="1">IFERROR(__xludf.DUMMYFUNCTION("IFERROR(VLOOKUP(E639&amp;F639,IMPORTRANGE(""https://docs.google.com/spreadsheets/d/1Uw7-A9f9R21vMXxHZFNpYNeKFtG8_yji4HS352LGlSQ/edit?pli=1#gid=0"",""1_ACUM!A4:S""),16,FALSE))"),"")</f>
        <v/>
      </c>
      <c r="BC622" s="43" t="str">
        <f ca="1">IFERROR(__xludf.DUMMYFUNCTION("IFERROR(VLOOKUP(E639&amp;F639,IMPORTRANGE(""https://docs.google.com/spreadsheets/d/1Uw7-A9f9R21vMXxHZFNpYNeKFtG8_yji4HS352LGlSQ/edit?pli=1#gid=0"",""1_ACUM!A4:S""),17,FALSE))"),"")</f>
        <v/>
      </c>
      <c r="BD622" s="44" t="str">
        <f ca="1">IFERROR(__xludf.DUMMYFUNCTION("IFERROR(VLOOKUP(E639&amp;F639,IMPORTRANGE(""https://docs.google.com/spreadsheets/d/1Uw7-A9f9R21vMXxHZFNpYNeKFtG8_yji4HS352LGlSQ/edit?pli=1#gid=0"",""1_ACUM!A4:S""),18,FALSE))"),"")</f>
        <v/>
      </c>
      <c r="BE622" s="44" t="str">
        <f ca="1">IFERROR(__xludf.DUMMYFUNCTION("IFERROR(VLOOKUP(E639&amp;F639,IMPORTRANGE(""https://docs.google.com/spreadsheets/d/1Uw7-A9f9R21vMXxHZFNpYNeKFtG8_yji4HS352LGlSQ/edit?pli=1#gid=0"",""1_ACUM!A4:S""),19,FALSE))"),"")</f>
        <v/>
      </c>
      <c r="BF622" s="44" t="str">
        <f ca="1">IFERROR(__xludf.DUMMYFUNCTION("IFERROR(VLOOKUP(F639,IMPORTRANGE(""https://docs.google.com/spreadsheets/d/1Kvs4KS76FHFqLFIZfrDMff4kP08nblUkihrxltoGBjg/edit#gid=934712705"",""ESENCIAL!A6:BG""),5,FALSE))"),"")</f>
        <v/>
      </c>
      <c r="BG622" s="44" t="str">
        <f t="shared" si="41"/>
        <v/>
      </c>
      <c r="BH622" s="41" t="str">
        <f t="shared" si="42"/>
        <v/>
      </c>
      <c r="BI622" s="41" t="str">
        <f ca="1">IFERROR(__xludf.DUMMYFUNCTION("IFERROR(VLOOKUP(F639,IMPORTRANGE(""https://docs.google.com/spreadsheets/d/1Kvs4KS76FHFqLFIZfrDMff4kP08nblUkihrxltoGBjg/edit#gid=934712705"",""ESENCIAL!A6:BG""),18,FALSE))"),"")</f>
        <v/>
      </c>
      <c r="BJ622" s="19" t="str">
        <f t="shared" si="43"/>
        <v/>
      </c>
      <c r="BK622" s="41"/>
      <c r="BL622" s="41"/>
    </row>
    <row r="623" spans="1:64" ht="15">
      <c r="A623" s="4"/>
      <c r="B623" s="4"/>
      <c r="G623" s="5" t="str">
        <f ca="1">IFERROR(__xludf.DUMMYFUNCTION("IFERROR(VLOOKUP(F640,IMPORTRANGE(""https://docs.google.com/spreadsheets/d/1Kvs4KS76FHFqLFIZfrDMff4kP08nblUkihrxltoGBjg/edit#gid=934712705"",""ESENCIAL!A6:BG""),3,FALSE))"),"")</f>
        <v/>
      </c>
      <c r="H623" s="5" t="str">
        <f ca="1">IFERROR(__xludf.DUMMYFUNCTION("IFERROR(VLOOKUP(F640,IMPORTRANGE(""https://docs.google.com/spreadsheets/d/1Kvs4KS76FHFqLFIZfrDMff4kP08nblUkihrxltoGBjg/edit#gid=934712705"",""ESENCIAL!A6:BG""),8,FALSE))"),"")</f>
        <v/>
      </c>
      <c r="L623" s="287"/>
      <c r="S623"/>
      <c r="AU623" s="41" t="str">
        <f t="shared" si="40"/>
        <v/>
      </c>
      <c r="AV623" s="5" t="str">
        <f ca="1">IFERROR(__xludf.DUMMYFUNCTION("IFERROR(VLOOKUP(E640&amp;F640,IMPORTRANGE(""https://docs.google.com/spreadsheets/d/1Uw7-A9f9R21vMXxHZFNpYNeKFtG8_yji4HS352LGlSQ/edit?pli=1#gid=0"",""1_ACUM!A4:S""),11,FALSE))"),"")</f>
        <v/>
      </c>
      <c r="AW623" s="42" t="str">
        <f ca="1">IFERROR(__xludf.DUMMYFUNCTION("IFERROR(VLOOKUP(F640,IMPORTRANGE(""https://docs.google.com/spreadsheets/d/1Kvs4KS76FHFqLFIZfrDMff4kP08nblUkihrxltoGBjg/edit#gid=934712705"",""ESENCIAL!A6:BG""),15,FALSE))"),"")</f>
        <v/>
      </c>
      <c r="AX623" s="21" t="str">
        <f ca="1">IFERROR(__xludf.DUMMYFUNCTION("IFERROR(VLOOKUP(E640&amp;F640,IMPORTRANGE(""https://docs.google.com/spreadsheets/d/1Uw7-A9f9R21vMXxHZFNpYNeKFtG8_yji4HS352LGlSQ/edit?pli=1#gid=0"",""1_ACUM!A4:S""),12,FALSE))"),"")</f>
        <v/>
      </c>
      <c r="AY623" s="43" t="str">
        <f ca="1">IFERROR(__xludf.DUMMYFUNCTION("IFERROR(VLOOKUP(E640&amp;F640,IMPORTRANGE(""https://docs.google.com/spreadsheets/d/1Uw7-A9f9R21vMXxHZFNpYNeKFtG8_yji4HS352LGlSQ/edit?pli=1#gid=0"",""1_ACUM!A4:S""),13,FALSE))"),"")</f>
        <v/>
      </c>
      <c r="AZ623" s="43" t="str">
        <f ca="1">IFERROR(__xludf.DUMMYFUNCTION("IFERROR(VLOOKUP(E640&amp;F640,IMPORTRANGE(""https://docs.google.com/spreadsheets/d/1Uw7-A9f9R21vMXxHZFNpYNeKFtG8_yji4HS352LGlSQ/edit?pli=1#gid=0"",""1_ACUM!A4:S""),14,FALSE))"),"")</f>
        <v/>
      </c>
      <c r="BA623" s="43" t="str">
        <f ca="1">IFERROR(__xludf.DUMMYFUNCTION("IFERROR(VLOOKUP(E640&amp;F640,IMPORTRANGE(""https://docs.google.com/spreadsheets/d/1Uw7-A9f9R21vMXxHZFNpYNeKFtG8_yji4HS352LGlSQ/edit?pli=1#gid=0"",""1_ACUM!A4:S""),15,FALSE))"),"")</f>
        <v/>
      </c>
      <c r="BB623" s="43" t="str">
        <f ca="1">IFERROR(__xludf.DUMMYFUNCTION("IFERROR(VLOOKUP(E640&amp;F640,IMPORTRANGE(""https://docs.google.com/spreadsheets/d/1Uw7-A9f9R21vMXxHZFNpYNeKFtG8_yji4HS352LGlSQ/edit?pli=1#gid=0"",""1_ACUM!A4:S""),16,FALSE))"),"")</f>
        <v/>
      </c>
      <c r="BC623" s="43" t="str">
        <f ca="1">IFERROR(__xludf.DUMMYFUNCTION("IFERROR(VLOOKUP(E640&amp;F640,IMPORTRANGE(""https://docs.google.com/spreadsheets/d/1Uw7-A9f9R21vMXxHZFNpYNeKFtG8_yji4HS352LGlSQ/edit?pli=1#gid=0"",""1_ACUM!A4:S""),17,FALSE))"),"")</f>
        <v/>
      </c>
      <c r="BD623" s="44" t="str">
        <f ca="1">IFERROR(__xludf.DUMMYFUNCTION("IFERROR(VLOOKUP(E640&amp;F640,IMPORTRANGE(""https://docs.google.com/spreadsheets/d/1Uw7-A9f9R21vMXxHZFNpYNeKFtG8_yji4HS352LGlSQ/edit?pli=1#gid=0"",""1_ACUM!A4:S""),18,FALSE))"),"")</f>
        <v/>
      </c>
      <c r="BE623" s="44" t="str">
        <f ca="1">IFERROR(__xludf.DUMMYFUNCTION("IFERROR(VLOOKUP(E640&amp;F640,IMPORTRANGE(""https://docs.google.com/spreadsheets/d/1Uw7-A9f9R21vMXxHZFNpYNeKFtG8_yji4HS352LGlSQ/edit?pli=1#gid=0"",""1_ACUM!A4:S""),19,FALSE))"),"")</f>
        <v/>
      </c>
      <c r="BF623" s="44" t="str">
        <f ca="1">IFERROR(__xludf.DUMMYFUNCTION("IFERROR(VLOOKUP(F640,IMPORTRANGE(""https://docs.google.com/spreadsheets/d/1Kvs4KS76FHFqLFIZfrDMff4kP08nblUkihrxltoGBjg/edit#gid=934712705"",""ESENCIAL!A6:BG""),5,FALSE))"),"")</f>
        <v/>
      </c>
      <c r="BG623" s="44" t="str">
        <f t="shared" si="41"/>
        <v/>
      </c>
      <c r="BH623" s="41" t="str">
        <f t="shared" si="42"/>
        <v/>
      </c>
      <c r="BI623" s="41" t="str">
        <f ca="1">IFERROR(__xludf.DUMMYFUNCTION("IFERROR(VLOOKUP(F640,IMPORTRANGE(""https://docs.google.com/spreadsheets/d/1Kvs4KS76FHFqLFIZfrDMff4kP08nblUkihrxltoGBjg/edit#gid=934712705"",""ESENCIAL!A6:BG""),18,FALSE))"),"")</f>
        <v/>
      </c>
      <c r="BJ623" s="19" t="str">
        <f t="shared" si="43"/>
        <v/>
      </c>
      <c r="BK623" s="41"/>
      <c r="BL623" s="41"/>
    </row>
    <row r="624" spans="1:64" ht="15">
      <c r="A624" s="4"/>
      <c r="B624" s="4"/>
      <c r="G624" s="5" t="str">
        <f ca="1">IFERROR(__xludf.DUMMYFUNCTION("IFERROR(VLOOKUP(F641,IMPORTRANGE(""https://docs.google.com/spreadsheets/d/1Kvs4KS76FHFqLFIZfrDMff4kP08nblUkihrxltoGBjg/edit#gid=934712705"",""ESENCIAL!A6:BG""),3,FALSE))"),"")</f>
        <v/>
      </c>
      <c r="H624" s="5" t="str">
        <f ca="1">IFERROR(__xludf.DUMMYFUNCTION("IFERROR(VLOOKUP(F641,IMPORTRANGE(""https://docs.google.com/spreadsheets/d/1Kvs4KS76FHFqLFIZfrDMff4kP08nblUkihrxltoGBjg/edit#gid=934712705"",""ESENCIAL!A6:BG""),8,FALSE))"),"")</f>
        <v/>
      </c>
      <c r="L624" s="287"/>
      <c r="S624"/>
      <c r="AU624" s="41" t="str">
        <f t="shared" si="40"/>
        <v/>
      </c>
      <c r="AV624" s="5" t="str">
        <f ca="1">IFERROR(__xludf.DUMMYFUNCTION("IFERROR(VLOOKUP(E641&amp;F641,IMPORTRANGE(""https://docs.google.com/spreadsheets/d/1Uw7-A9f9R21vMXxHZFNpYNeKFtG8_yji4HS352LGlSQ/edit?pli=1#gid=0"",""1_ACUM!A4:S""),11,FALSE))"),"")</f>
        <v/>
      </c>
      <c r="AW624" s="42" t="str">
        <f ca="1">IFERROR(__xludf.DUMMYFUNCTION("IFERROR(VLOOKUP(F641,IMPORTRANGE(""https://docs.google.com/spreadsheets/d/1Kvs4KS76FHFqLFIZfrDMff4kP08nblUkihrxltoGBjg/edit#gid=934712705"",""ESENCIAL!A6:BG""),15,FALSE))"),"")</f>
        <v/>
      </c>
      <c r="AX624" s="21" t="str">
        <f ca="1">IFERROR(__xludf.DUMMYFUNCTION("IFERROR(VLOOKUP(E641&amp;F641,IMPORTRANGE(""https://docs.google.com/spreadsheets/d/1Uw7-A9f9R21vMXxHZFNpYNeKFtG8_yji4HS352LGlSQ/edit?pli=1#gid=0"",""1_ACUM!A4:S""),12,FALSE))"),"")</f>
        <v/>
      </c>
      <c r="AY624" s="43" t="str">
        <f ca="1">IFERROR(__xludf.DUMMYFUNCTION("IFERROR(VLOOKUP(E641&amp;F641,IMPORTRANGE(""https://docs.google.com/spreadsheets/d/1Uw7-A9f9R21vMXxHZFNpYNeKFtG8_yji4HS352LGlSQ/edit?pli=1#gid=0"",""1_ACUM!A4:S""),13,FALSE))"),"")</f>
        <v/>
      </c>
      <c r="AZ624" s="43" t="str">
        <f ca="1">IFERROR(__xludf.DUMMYFUNCTION("IFERROR(VLOOKUP(E641&amp;F641,IMPORTRANGE(""https://docs.google.com/spreadsheets/d/1Uw7-A9f9R21vMXxHZFNpYNeKFtG8_yji4HS352LGlSQ/edit?pli=1#gid=0"",""1_ACUM!A4:S""),14,FALSE))"),"")</f>
        <v/>
      </c>
      <c r="BA624" s="43" t="str">
        <f ca="1">IFERROR(__xludf.DUMMYFUNCTION("IFERROR(VLOOKUP(E641&amp;F641,IMPORTRANGE(""https://docs.google.com/spreadsheets/d/1Uw7-A9f9R21vMXxHZFNpYNeKFtG8_yji4HS352LGlSQ/edit?pli=1#gid=0"",""1_ACUM!A4:S""),15,FALSE))"),"")</f>
        <v/>
      </c>
      <c r="BB624" s="43" t="str">
        <f ca="1">IFERROR(__xludf.DUMMYFUNCTION("IFERROR(VLOOKUP(E641&amp;F641,IMPORTRANGE(""https://docs.google.com/spreadsheets/d/1Uw7-A9f9R21vMXxHZFNpYNeKFtG8_yji4HS352LGlSQ/edit?pli=1#gid=0"",""1_ACUM!A4:S""),16,FALSE))"),"")</f>
        <v/>
      </c>
      <c r="BC624" s="43" t="str">
        <f ca="1">IFERROR(__xludf.DUMMYFUNCTION("IFERROR(VLOOKUP(E641&amp;F641,IMPORTRANGE(""https://docs.google.com/spreadsheets/d/1Uw7-A9f9R21vMXxHZFNpYNeKFtG8_yji4HS352LGlSQ/edit?pli=1#gid=0"",""1_ACUM!A4:S""),17,FALSE))"),"")</f>
        <v/>
      </c>
      <c r="BD624" s="44" t="str">
        <f ca="1">IFERROR(__xludf.DUMMYFUNCTION("IFERROR(VLOOKUP(E641&amp;F641,IMPORTRANGE(""https://docs.google.com/spreadsheets/d/1Uw7-A9f9R21vMXxHZFNpYNeKFtG8_yji4HS352LGlSQ/edit?pli=1#gid=0"",""1_ACUM!A4:S""),18,FALSE))"),"")</f>
        <v/>
      </c>
      <c r="BE624" s="44" t="str">
        <f ca="1">IFERROR(__xludf.DUMMYFUNCTION("IFERROR(VLOOKUP(E641&amp;F641,IMPORTRANGE(""https://docs.google.com/spreadsheets/d/1Uw7-A9f9R21vMXxHZFNpYNeKFtG8_yji4HS352LGlSQ/edit?pli=1#gid=0"",""1_ACUM!A4:S""),19,FALSE))"),"")</f>
        <v/>
      </c>
      <c r="BF624" s="44" t="str">
        <f ca="1">IFERROR(__xludf.DUMMYFUNCTION("IFERROR(VLOOKUP(F641,IMPORTRANGE(""https://docs.google.com/spreadsheets/d/1Kvs4KS76FHFqLFIZfrDMff4kP08nblUkihrxltoGBjg/edit#gid=934712705"",""ESENCIAL!A6:BG""),5,FALSE))"),"")</f>
        <v/>
      </c>
      <c r="BG624" s="44" t="str">
        <f t="shared" si="41"/>
        <v/>
      </c>
      <c r="BH624" s="41" t="str">
        <f t="shared" si="42"/>
        <v/>
      </c>
      <c r="BI624" s="41" t="str">
        <f ca="1">IFERROR(__xludf.DUMMYFUNCTION("IFERROR(VLOOKUP(F641,IMPORTRANGE(""https://docs.google.com/spreadsheets/d/1Kvs4KS76FHFqLFIZfrDMff4kP08nblUkihrxltoGBjg/edit#gid=934712705"",""ESENCIAL!A6:BG""),18,FALSE))"),"")</f>
        <v/>
      </c>
      <c r="BJ624" s="19" t="str">
        <f t="shared" si="43"/>
        <v/>
      </c>
      <c r="BK624" s="41"/>
      <c r="BL624" s="41"/>
    </row>
    <row r="625" spans="1:64" ht="15">
      <c r="A625" s="4"/>
      <c r="B625" s="4"/>
      <c r="G625" s="5" t="str">
        <f ca="1">IFERROR(__xludf.DUMMYFUNCTION("IFERROR(VLOOKUP(F642,IMPORTRANGE(""https://docs.google.com/spreadsheets/d/1Kvs4KS76FHFqLFIZfrDMff4kP08nblUkihrxltoGBjg/edit#gid=934712705"",""ESENCIAL!A6:BG""),3,FALSE))"),"")</f>
        <v/>
      </c>
      <c r="H625" s="5" t="str">
        <f ca="1">IFERROR(__xludf.DUMMYFUNCTION("IFERROR(VLOOKUP(F642,IMPORTRANGE(""https://docs.google.com/spreadsheets/d/1Kvs4KS76FHFqLFIZfrDMff4kP08nblUkihrxltoGBjg/edit#gid=934712705"",""ESENCIAL!A6:BG""),8,FALSE))"),"")</f>
        <v/>
      </c>
      <c r="L625" s="287"/>
      <c r="S625"/>
      <c r="AU625" s="41" t="str">
        <f t="shared" si="40"/>
        <v/>
      </c>
      <c r="AV625" s="5" t="str">
        <f ca="1">IFERROR(__xludf.DUMMYFUNCTION("IFERROR(VLOOKUP(E642&amp;F642,IMPORTRANGE(""https://docs.google.com/spreadsheets/d/1Uw7-A9f9R21vMXxHZFNpYNeKFtG8_yji4HS352LGlSQ/edit?pli=1#gid=0"",""1_ACUM!A4:S""),11,FALSE))"),"")</f>
        <v/>
      </c>
      <c r="AW625" s="42" t="str">
        <f ca="1">IFERROR(__xludf.DUMMYFUNCTION("IFERROR(VLOOKUP(F642,IMPORTRANGE(""https://docs.google.com/spreadsheets/d/1Kvs4KS76FHFqLFIZfrDMff4kP08nblUkihrxltoGBjg/edit#gid=934712705"",""ESENCIAL!A6:BG""),15,FALSE))"),"")</f>
        <v/>
      </c>
      <c r="AX625" s="21" t="str">
        <f ca="1">IFERROR(__xludf.DUMMYFUNCTION("IFERROR(VLOOKUP(E642&amp;F642,IMPORTRANGE(""https://docs.google.com/spreadsheets/d/1Uw7-A9f9R21vMXxHZFNpYNeKFtG8_yji4HS352LGlSQ/edit?pli=1#gid=0"",""1_ACUM!A4:S""),12,FALSE))"),"")</f>
        <v/>
      </c>
      <c r="AY625" s="43" t="str">
        <f ca="1">IFERROR(__xludf.DUMMYFUNCTION("IFERROR(VLOOKUP(E642&amp;F642,IMPORTRANGE(""https://docs.google.com/spreadsheets/d/1Uw7-A9f9R21vMXxHZFNpYNeKFtG8_yji4HS352LGlSQ/edit?pli=1#gid=0"",""1_ACUM!A4:S""),13,FALSE))"),"")</f>
        <v/>
      </c>
      <c r="AZ625" s="43" t="str">
        <f ca="1">IFERROR(__xludf.DUMMYFUNCTION("IFERROR(VLOOKUP(E642&amp;F642,IMPORTRANGE(""https://docs.google.com/spreadsheets/d/1Uw7-A9f9R21vMXxHZFNpYNeKFtG8_yji4HS352LGlSQ/edit?pli=1#gid=0"",""1_ACUM!A4:S""),14,FALSE))"),"")</f>
        <v/>
      </c>
      <c r="BA625" s="43" t="str">
        <f ca="1">IFERROR(__xludf.DUMMYFUNCTION("IFERROR(VLOOKUP(E642&amp;F642,IMPORTRANGE(""https://docs.google.com/spreadsheets/d/1Uw7-A9f9R21vMXxHZFNpYNeKFtG8_yji4HS352LGlSQ/edit?pli=1#gid=0"",""1_ACUM!A4:S""),15,FALSE))"),"")</f>
        <v/>
      </c>
      <c r="BB625" s="43" t="str">
        <f ca="1">IFERROR(__xludf.DUMMYFUNCTION("IFERROR(VLOOKUP(E642&amp;F642,IMPORTRANGE(""https://docs.google.com/spreadsheets/d/1Uw7-A9f9R21vMXxHZFNpYNeKFtG8_yji4HS352LGlSQ/edit?pli=1#gid=0"",""1_ACUM!A4:S""),16,FALSE))"),"")</f>
        <v/>
      </c>
      <c r="BC625" s="43" t="str">
        <f ca="1">IFERROR(__xludf.DUMMYFUNCTION("IFERROR(VLOOKUP(E642&amp;F642,IMPORTRANGE(""https://docs.google.com/spreadsheets/d/1Uw7-A9f9R21vMXxHZFNpYNeKFtG8_yji4HS352LGlSQ/edit?pli=1#gid=0"",""1_ACUM!A4:S""),17,FALSE))"),"")</f>
        <v/>
      </c>
      <c r="BD625" s="44" t="str">
        <f ca="1">IFERROR(__xludf.DUMMYFUNCTION("IFERROR(VLOOKUP(E642&amp;F642,IMPORTRANGE(""https://docs.google.com/spreadsheets/d/1Uw7-A9f9R21vMXxHZFNpYNeKFtG8_yji4HS352LGlSQ/edit?pli=1#gid=0"",""1_ACUM!A4:S""),18,FALSE))"),"")</f>
        <v/>
      </c>
      <c r="BE625" s="44" t="str">
        <f ca="1">IFERROR(__xludf.DUMMYFUNCTION("IFERROR(VLOOKUP(E642&amp;F642,IMPORTRANGE(""https://docs.google.com/spreadsheets/d/1Uw7-A9f9R21vMXxHZFNpYNeKFtG8_yji4HS352LGlSQ/edit?pli=1#gid=0"",""1_ACUM!A4:S""),19,FALSE))"),"")</f>
        <v/>
      </c>
      <c r="BF625" s="44" t="str">
        <f ca="1">IFERROR(__xludf.DUMMYFUNCTION("IFERROR(VLOOKUP(F642,IMPORTRANGE(""https://docs.google.com/spreadsheets/d/1Kvs4KS76FHFqLFIZfrDMff4kP08nblUkihrxltoGBjg/edit#gid=934712705"",""ESENCIAL!A6:BG""),5,FALSE))"),"")</f>
        <v/>
      </c>
      <c r="BG625" s="44" t="str">
        <f t="shared" si="41"/>
        <v/>
      </c>
      <c r="BH625" s="41" t="str">
        <f t="shared" si="42"/>
        <v/>
      </c>
      <c r="BI625" s="41" t="str">
        <f ca="1">IFERROR(__xludf.DUMMYFUNCTION("IFERROR(VLOOKUP(F642,IMPORTRANGE(""https://docs.google.com/spreadsheets/d/1Kvs4KS76FHFqLFIZfrDMff4kP08nblUkihrxltoGBjg/edit#gid=934712705"",""ESENCIAL!A6:BG""),18,FALSE))"),"")</f>
        <v/>
      </c>
      <c r="BJ625" s="19" t="str">
        <f t="shared" si="43"/>
        <v/>
      </c>
      <c r="BK625" s="41"/>
      <c r="BL625" s="41"/>
    </row>
    <row r="626" spans="1:64" ht="15">
      <c r="A626" s="4"/>
      <c r="B626" s="4"/>
      <c r="G626" s="5" t="str">
        <f ca="1">IFERROR(__xludf.DUMMYFUNCTION("IFERROR(VLOOKUP(F643,IMPORTRANGE(""https://docs.google.com/spreadsheets/d/1Kvs4KS76FHFqLFIZfrDMff4kP08nblUkihrxltoGBjg/edit#gid=934712705"",""ESENCIAL!A6:BG""),3,FALSE))"),"")</f>
        <v/>
      </c>
      <c r="H626" s="5" t="str">
        <f ca="1">IFERROR(__xludf.DUMMYFUNCTION("IFERROR(VLOOKUP(F643,IMPORTRANGE(""https://docs.google.com/spreadsheets/d/1Kvs4KS76FHFqLFIZfrDMff4kP08nblUkihrxltoGBjg/edit#gid=934712705"",""ESENCIAL!A6:BG""),8,FALSE))"),"")</f>
        <v/>
      </c>
      <c r="L626" s="287"/>
      <c r="S626"/>
      <c r="AU626" s="41" t="str">
        <f t="shared" si="40"/>
        <v/>
      </c>
      <c r="AV626" s="5" t="str">
        <f ca="1">IFERROR(__xludf.DUMMYFUNCTION("IFERROR(VLOOKUP(E643&amp;F643,IMPORTRANGE(""https://docs.google.com/spreadsheets/d/1Uw7-A9f9R21vMXxHZFNpYNeKFtG8_yji4HS352LGlSQ/edit?pli=1#gid=0"",""1_ACUM!A4:S""),11,FALSE))"),"")</f>
        <v/>
      </c>
      <c r="AW626" s="42" t="str">
        <f ca="1">IFERROR(__xludf.DUMMYFUNCTION("IFERROR(VLOOKUP(F643,IMPORTRANGE(""https://docs.google.com/spreadsheets/d/1Kvs4KS76FHFqLFIZfrDMff4kP08nblUkihrxltoGBjg/edit#gid=934712705"",""ESENCIAL!A6:BG""),15,FALSE))"),"")</f>
        <v/>
      </c>
      <c r="AX626" s="21" t="str">
        <f ca="1">IFERROR(__xludf.DUMMYFUNCTION("IFERROR(VLOOKUP(E643&amp;F643,IMPORTRANGE(""https://docs.google.com/spreadsheets/d/1Uw7-A9f9R21vMXxHZFNpYNeKFtG8_yji4HS352LGlSQ/edit?pli=1#gid=0"",""1_ACUM!A4:S""),12,FALSE))"),"")</f>
        <v/>
      </c>
      <c r="AY626" s="43" t="str">
        <f ca="1">IFERROR(__xludf.DUMMYFUNCTION("IFERROR(VLOOKUP(E643&amp;F643,IMPORTRANGE(""https://docs.google.com/spreadsheets/d/1Uw7-A9f9R21vMXxHZFNpYNeKFtG8_yji4HS352LGlSQ/edit?pli=1#gid=0"",""1_ACUM!A4:S""),13,FALSE))"),"")</f>
        <v/>
      </c>
      <c r="AZ626" s="43" t="str">
        <f ca="1">IFERROR(__xludf.DUMMYFUNCTION("IFERROR(VLOOKUP(E643&amp;F643,IMPORTRANGE(""https://docs.google.com/spreadsheets/d/1Uw7-A9f9R21vMXxHZFNpYNeKFtG8_yji4HS352LGlSQ/edit?pli=1#gid=0"",""1_ACUM!A4:S""),14,FALSE))"),"")</f>
        <v/>
      </c>
      <c r="BA626" s="43" t="str">
        <f ca="1">IFERROR(__xludf.DUMMYFUNCTION("IFERROR(VLOOKUP(E643&amp;F643,IMPORTRANGE(""https://docs.google.com/spreadsheets/d/1Uw7-A9f9R21vMXxHZFNpYNeKFtG8_yji4HS352LGlSQ/edit?pli=1#gid=0"",""1_ACUM!A4:S""),15,FALSE))"),"")</f>
        <v/>
      </c>
      <c r="BB626" s="43" t="str">
        <f ca="1">IFERROR(__xludf.DUMMYFUNCTION("IFERROR(VLOOKUP(E643&amp;F643,IMPORTRANGE(""https://docs.google.com/spreadsheets/d/1Uw7-A9f9R21vMXxHZFNpYNeKFtG8_yji4HS352LGlSQ/edit?pli=1#gid=0"",""1_ACUM!A4:S""),16,FALSE))"),"")</f>
        <v/>
      </c>
      <c r="BC626" s="43" t="str">
        <f ca="1">IFERROR(__xludf.DUMMYFUNCTION("IFERROR(VLOOKUP(E643&amp;F643,IMPORTRANGE(""https://docs.google.com/spreadsheets/d/1Uw7-A9f9R21vMXxHZFNpYNeKFtG8_yji4HS352LGlSQ/edit?pli=1#gid=0"",""1_ACUM!A4:S""),17,FALSE))"),"")</f>
        <v/>
      </c>
      <c r="BD626" s="44" t="str">
        <f ca="1">IFERROR(__xludf.DUMMYFUNCTION("IFERROR(VLOOKUP(E643&amp;F643,IMPORTRANGE(""https://docs.google.com/spreadsheets/d/1Uw7-A9f9R21vMXxHZFNpYNeKFtG8_yji4HS352LGlSQ/edit?pli=1#gid=0"",""1_ACUM!A4:S""),18,FALSE))"),"")</f>
        <v/>
      </c>
      <c r="BE626" s="44" t="str">
        <f ca="1">IFERROR(__xludf.DUMMYFUNCTION("IFERROR(VLOOKUP(E643&amp;F643,IMPORTRANGE(""https://docs.google.com/spreadsheets/d/1Uw7-A9f9R21vMXxHZFNpYNeKFtG8_yji4HS352LGlSQ/edit?pli=1#gid=0"",""1_ACUM!A4:S""),19,FALSE))"),"")</f>
        <v/>
      </c>
      <c r="BF626" s="44" t="str">
        <f ca="1">IFERROR(__xludf.DUMMYFUNCTION("IFERROR(VLOOKUP(F643,IMPORTRANGE(""https://docs.google.com/spreadsheets/d/1Kvs4KS76FHFqLFIZfrDMff4kP08nblUkihrxltoGBjg/edit#gid=934712705"",""ESENCIAL!A6:BG""),5,FALSE))"),"")</f>
        <v/>
      </c>
      <c r="BG626" s="44" t="str">
        <f t="shared" si="41"/>
        <v/>
      </c>
      <c r="BH626" s="41" t="str">
        <f t="shared" si="42"/>
        <v/>
      </c>
      <c r="BI626" s="41" t="str">
        <f ca="1">IFERROR(__xludf.DUMMYFUNCTION("IFERROR(VLOOKUP(F643,IMPORTRANGE(""https://docs.google.com/spreadsheets/d/1Kvs4KS76FHFqLFIZfrDMff4kP08nblUkihrxltoGBjg/edit#gid=934712705"",""ESENCIAL!A6:BG""),18,FALSE))"),"")</f>
        <v/>
      </c>
      <c r="BJ626" s="19" t="str">
        <f t="shared" si="43"/>
        <v/>
      </c>
      <c r="BK626" s="41"/>
      <c r="BL626" s="41"/>
    </row>
    <row r="627" spans="1:64" ht="15">
      <c r="A627" s="4"/>
      <c r="B627" s="4"/>
      <c r="G627" s="5" t="str">
        <f ca="1">IFERROR(__xludf.DUMMYFUNCTION("IFERROR(VLOOKUP(F644,IMPORTRANGE(""https://docs.google.com/spreadsheets/d/1Kvs4KS76FHFqLFIZfrDMff4kP08nblUkihrxltoGBjg/edit#gid=934712705"",""ESENCIAL!A6:BG""),3,FALSE))"),"")</f>
        <v/>
      </c>
      <c r="H627" s="5" t="str">
        <f ca="1">IFERROR(__xludf.DUMMYFUNCTION("IFERROR(VLOOKUP(F644,IMPORTRANGE(""https://docs.google.com/spreadsheets/d/1Kvs4KS76FHFqLFIZfrDMff4kP08nblUkihrxltoGBjg/edit#gid=934712705"",""ESENCIAL!A6:BG""),8,FALSE))"),"")</f>
        <v/>
      </c>
      <c r="L627" s="287"/>
      <c r="S627"/>
      <c r="AU627" s="41" t="str">
        <f t="shared" si="40"/>
        <v/>
      </c>
      <c r="AV627" s="5" t="str">
        <f ca="1">IFERROR(__xludf.DUMMYFUNCTION("IFERROR(VLOOKUP(E644&amp;F644,IMPORTRANGE(""https://docs.google.com/spreadsheets/d/1Uw7-A9f9R21vMXxHZFNpYNeKFtG8_yji4HS352LGlSQ/edit?pli=1#gid=0"",""1_ACUM!A4:S""),11,FALSE))"),"")</f>
        <v/>
      </c>
      <c r="AW627" s="42" t="str">
        <f ca="1">IFERROR(__xludf.DUMMYFUNCTION("IFERROR(VLOOKUP(F644,IMPORTRANGE(""https://docs.google.com/spreadsheets/d/1Kvs4KS76FHFqLFIZfrDMff4kP08nblUkihrxltoGBjg/edit#gid=934712705"",""ESENCIAL!A6:BG""),15,FALSE))"),"")</f>
        <v/>
      </c>
      <c r="AX627" s="21" t="str">
        <f ca="1">IFERROR(__xludf.DUMMYFUNCTION("IFERROR(VLOOKUP(E644&amp;F644,IMPORTRANGE(""https://docs.google.com/spreadsheets/d/1Uw7-A9f9R21vMXxHZFNpYNeKFtG8_yji4HS352LGlSQ/edit?pli=1#gid=0"",""1_ACUM!A4:S""),12,FALSE))"),"")</f>
        <v/>
      </c>
      <c r="AY627" s="43" t="str">
        <f ca="1">IFERROR(__xludf.DUMMYFUNCTION("IFERROR(VLOOKUP(E644&amp;F644,IMPORTRANGE(""https://docs.google.com/spreadsheets/d/1Uw7-A9f9R21vMXxHZFNpYNeKFtG8_yji4HS352LGlSQ/edit?pli=1#gid=0"",""1_ACUM!A4:S""),13,FALSE))"),"")</f>
        <v/>
      </c>
      <c r="AZ627" s="43" t="str">
        <f ca="1">IFERROR(__xludf.DUMMYFUNCTION("IFERROR(VLOOKUP(E644&amp;F644,IMPORTRANGE(""https://docs.google.com/spreadsheets/d/1Uw7-A9f9R21vMXxHZFNpYNeKFtG8_yji4HS352LGlSQ/edit?pli=1#gid=0"",""1_ACUM!A4:S""),14,FALSE))"),"")</f>
        <v/>
      </c>
      <c r="BA627" s="43" t="str">
        <f ca="1">IFERROR(__xludf.DUMMYFUNCTION("IFERROR(VLOOKUP(E644&amp;F644,IMPORTRANGE(""https://docs.google.com/spreadsheets/d/1Uw7-A9f9R21vMXxHZFNpYNeKFtG8_yji4HS352LGlSQ/edit?pli=1#gid=0"",""1_ACUM!A4:S""),15,FALSE))"),"")</f>
        <v/>
      </c>
      <c r="BB627" s="43" t="str">
        <f ca="1">IFERROR(__xludf.DUMMYFUNCTION("IFERROR(VLOOKUP(E644&amp;F644,IMPORTRANGE(""https://docs.google.com/spreadsheets/d/1Uw7-A9f9R21vMXxHZFNpYNeKFtG8_yji4HS352LGlSQ/edit?pli=1#gid=0"",""1_ACUM!A4:S""),16,FALSE))"),"")</f>
        <v/>
      </c>
      <c r="BC627" s="43" t="str">
        <f ca="1">IFERROR(__xludf.DUMMYFUNCTION("IFERROR(VLOOKUP(E644&amp;F644,IMPORTRANGE(""https://docs.google.com/spreadsheets/d/1Uw7-A9f9R21vMXxHZFNpYNeKFtG8_yji4HS352LGlSQ/edit?pli=1#gid=0"",""1_ACUM!A4:S""),17,FALSE))"),"")</f>
        <v/>
      </c>
      <c r="BD627" s="44" t="str">
        <f ca="1">IFERROR(__xludf.DUMMYFUNCTION("IFERROR(VLOOKUP(E644&amp;F644,IMPORTRANGE(""https://docs.google.com/spreadsheets/d/1Uw7-A9f9R21vMXxHZFNpYNeKFtG8_yji4HS352LGlSQ/edit?pli=1#gid=0"",""1_ACUM!A4:S""),18,FALSE))"),"")</f>
        <v/>
      </c>
      <c r="BE627" s="44" t="str">
        <f ca="1">IFERROR(__xludf.DUMMYFUNCTION("IFERROR(VLOOKUP(E644&amp;F644,IMPORTRANGE(""https://docs.google.com/spreadsheets/d/1Uw7-A9f9R21vMXxHZFNpYNeKFtG8_yji4HS352LGlSQ/edit?pli=1#gid=0"",""1_ACUM!A4:S""),19,FALSE))"),"")</f>
        <v/>
      </c>
      <c r="BF627" s="44" t="str">
        <f ca="1">IFERROR(__xludf.DUMMYFUNCTION("IFERROR(VLOOKUP(F644,IMPORTRANGE(""https://docs.google.com/spreadsheets/d/1Kvs4KS76FHFqLFIZfrDMff4kP08nblUkihrxltoGBjg/edit#gid=934712705"",""ESENCIAL!A6:BG""),5,FALSE))"),"")</f>
        <v/>
      </c>
      <c r="BG627" s="44" t="str">
        <f t="shared" si="41"/>
        <v/>
      </c>
      <c r="BH627" s="41" t="str">
        <f t="shared" si="42"/>
        <v/>
      </c>
      <c r="BI627" s="41" t="str">
        <f ca="1">IFERROR(__xludf.DUMMYFUNCTION("IFERROR(VLOOKUP(F644,IMPORTRANGE(""https://docs.google.com/spreadsheets/d/1Kvs4KS76FHFqLFIZfrDMff4kP08nblUkihrxltoGBjg/edit#gid=934712705"",""ESENCIAL!A6:BG""),18,FALSE))"),"")</f>
        <v/>
      </c>
      <c r="BJ627" s="19" t="str">
        <f t="shared" si="43"/>
        <v/>
      </c>
      <c r="BK627" s="41"/>
      <c r="BL627" s="41"/>
    </row>
    <row r="628" spans="1:64" ht="15">
      <c r="A628" s="4"/>
      <c r="B628" s="4"/>
      <c r="G628" s="5" t="str">
        <f ca="1">IFERROR(__xludf.DUMMYFUNCTION("IFERROR(VLOOKUP(F645,IMPORTRANGE(""https://docs.google.com/spreadsheets/d/1Kvs4KS76FHFqLFIZfrDMff4kP08nblUkihrxltoGBjg/edit#gid=934712705"",""ESENCIAL!A6:BG""),3,FALSE))"),"")</f>
        <v/>
      </c>
      <c r="H628" s="5" t="str">
        <f ca="1">IFERROR(__xludf.DUMMYFUNCTION("IFERROR(VLOOKUP(F645,IMPORTRANGE(""https://docs.google.com/spreadsheets/d/1Kvs4KS76FHFqLFIZfrDMff4kP08nblUkihrxltoGBjg/edit#gid=934712705"",""ESENCIAL!A6:BG""),8,FALSE))"),"")</f>
        <v/>
      </c>
      <c r="L628" s="287"/>
      <c r="S628"/>
      <c r="AU628" s="41" t="str">
        <f t="shared" si="40"/>
        <v/>
      </c>
      <c r="AV628" s="5" t="str">
        <f ca="1">IFERROR(__xludf.DUMMYFUNCTION("IFERROR(VLOOKUP(E645&amp;F645,IMPORTRANGE(""https://docs.google.com/spreadsheets/d/1Uw7-A9f9R21vMXxHZFNpYNeKFtG8_yji4HS352LGlSQ/edit?pli=1#gid=0"",""1_ACUM!A4:S""),11,FALSE))"),"")</f>
        <v/>
      </c>
      <c r="AW628" s="42" t="str">
        <f ca="1">IFERROR(__xludf.DUMMYFUNCTION("IFERROR(VLOOKUP(F645,IMPORTRANGE(""https://docs.google.com/spreadsheets/d/1Kvs4KS76FHFqLFIZfrDMff4kP08nblUkihrxltoGBjg/edit#gid=934712705"",""ESENCIAL!A6:BG""),15,FALSE))"),"")</f>
        <v/>
      </c>
      <c r="AX628" s="21" t="str">
        <f ca="1">IFERROR(__xludf.DUMMYFUNCTION("IFERROR(VLOOKUP(E645&amp;F645,IMPORTRANGE(""https://docs.google.com/spreadsheets/d/1Uw7-A9f9R21vMXxHZFNpYNeKFtG8_yji4HS352LGlSQ/edit?pli=1#gid=0"",""1_ACUM!A4:S""),12,FALSE))"),"")</f>
        <v/>
      </c>
      <c r="AY628" s="43" t="str">
        <f ca="1">IFERROR(__xludf.DUMMYFUNCTION("IFERROR(VLOOKUP(E645&amp;F645,IMPORTRANGE(""https://docs.google.com/spreadsheets/d/1Uw7-A9f9R21vMXxHZFNpYNeKFtG8_yji4HS352LGlSQ/edit?pli=1#gid=0"",""1_ACUM!A4:S""),13,FALSE))"),"")</f>
        <v/>
      </c>
      <c r="AZ628" s="43" t="str">
        <f ca="1">IFERROR(__xludf.DUMMYFUNCTION("IFERROR(VLOOKUP(E645&amp;F645,IMPORTRANGE(""https://docs.google.com/spreadsheets/d/1Uw7-A9f9R21vMXxHZFNpYNeKFtG8_yji4HS352LGlSQ/edit?pli=1#gid=0"",""1_ACUM!A4:S""),14,FALSE))"),"")</f>
        <v/>
      </c>
      <c r="BA628" s="43" t="str">
        <f ca="1">IFERROR(__xludf.DUMMYFUNCTION("IFERROR(VLOOKUP(E645&amp;F645,IMPORTRANGE(""https://docs.google.com/spreadsheets/d/1Uw7-A9f9R21vMXxHZFNpYNeKFtG8_yji4HS352LGlSQ/edit?pli=1#gid=0"",""1_ACUM!A4:S""),15,FALSE))"),"")</f>
        <v/>
      </c>
      <c r="BB628" s="43" t="str">
        <f ca="1">IFERROR(__xludf.DUMMYFUNCTION("IFERROR(VLOOKUP(E645&amp;F645,IMPORTRANGE(""https://docs.google.com/spreadsheets/d/1Uw7-A9f9R21vMXxHZFNpYNeKFtG8_yji4HS352LGlSQ/edit?pli=1#gid=0"",""1_ACUM!A4:S""),16,FALSE))"),"")</f>
        <v/>
      </c>
      <c r="BC628" s="43" t="str">
        <f ca="1">IFERROR(__xludf.DUMMYFUNCTION("IFERROR(VLOOKUP(E645&amp;F645,IMPORTRANGE(""https://docs.google.com/spreadsheets/d/1Uw7-A9f9R21vMXxHZFNpYNeKFtG8_yji4HS352LGlSQ/edit?pli=1#gid=0"",""1_ACUM!A4:S""),17,FALSE))"),"")</f>
        <v/>
      </c>
      <c r="BD628" s="44" t="str">
        <f ca="1">IFERROR(__xludf.DUMMYFUNCTION("IFERROR(VLOOKUP(E645&amp;F645,IMPORTRANGE(""https://docs.google.com/spreadsheets/d/1Uw7-A9f9R21vMXxHZFNpYNeKFtG8_yji4HS352LGlSQ/edit?pli=1#gid=0"",""1_ACUM!A4:S""),18,FALSE))"),"")</f>
        <v/>
      </c>
      <c r="BE628" s="44" t="str">
        <f ca="1">IFERROR(__xludf.DUMMYFUNCTION("IFERROR(VLOOKUP(E645&amp;F645,IMPORTRANGE(""https://docs.google.com/spreadsheets/d/1Uw7-A9f9R21vMXxHZFNpYNeKFtG8_yji4HS352LGlSQ/edit?pli=1#gid=0"",""1_ACUM!A4:S""),19,FALSE))"),"")</f>
        <v/>
      </c>
      <c r="BF628" s="44" t="str">
        <f ca="1">IFERROR(__xludf.DUMMYFUNCTION("IFERROR(VLOOKUP(F645,IMPORTRANGE(""https://docs.google.com/spreadsheets/d/1Kvs4KS76FHFqLFIZfrDMff4kP08nblUkihrxltoGBjg/edit#gid=934712705"",""ESENCIAL!A6:BG""),5,FALSE))"),"")</f>
        <v/>
      </c>
      <c r="BG628" s="44" t="str">
        <f t="shared" si="41"/>
        <v/>
      </c>
      <c r="BH628" s="41" t="str">
        <f t="shared" si="42"/>
        <v/>
      </c>
      <c r="BI628" s="41" t="str">
        <f ca="1">IFERROR(__xludf.DUMMYFUNCTION("IFERROR(VLOOKUP(F645,IMPORTRANGE(""https://docs.google.com/spreadsheets/d/1Kvs4KS76FHFqLFIZfrDMff4kP08nblUkihrxltoGBjg/edit#gid=934712705"",""ESENCIAL!A6:BG""),18,FALSE))"),"")</f>
        <v/>
      </c>
      <c r="BJ628" s="19" t="str">
        <f t="shared" si="43"/>
        <v/>
      </c>
      <c r="BK628" s="41"/>
      <c r="BL628" s="41"/>
    </row>
    <row r="629" spans="1:64" ht="15">
      <c r="A629" s="4"/>
      <c r="B629" s="4"/>
      <c r="G629" s="5" t="str">
        <f ca="1">IFERROR(__xludf.DUMMYFUNCTION("IFERROR(VLOOKUP(F646,IMPORTRANGE(""https://docs.google.com/spreadsheets/d/1Kvs4KS76FHFqLFIZfrDMff4kP08nblUkihrxltoGBjg/edit#gid=934712705"",""ESENCIAL!A6:BG""),3,FALSE))"),"")</f>
        <v/>
      </c>
      <c r="H629" s="5" t="str">
        <f ca="1">IFERROR(__xludf.DUMMYFUNCTION("IFERROR(VLOOKUP(F646,IMPORTRANGE(""https://docs.google.com/spreadsheets/d/1Kvs4KS76FHFqLFIZfrDMff4kP08nblUkihrxltoGBjg/edit#gid=934712705"",""ESENCIAL!A6:BG""),8,FALSE))"),"")</f>
        <v/>
      </c>
      <c r="L629" s="287"/>
      <c r="S629"/>
      <c r="AU629" s="41" t="str">
        <f t="shared" si="40"/>
        <v/>
      </c>
      <c r="AV629" s="5" t="str">
        <f ca="1">IFERROR(__xludf.DUMMYFUNCTION("IFERROR(VLOOKUP(E646&amp;F646,IMPORTRANGE(""https://docs.google.com/spreadsheets/d/1Uw7-A9f9R21vMXxHZFNpYNeKFtG8_yji4HS352LGlSQ/edit?pli=1#gid=0"",""1_ACUM!A4:S""),11,FALSE))"),"")</f>
        <v/>
      </c>
      <c r="AW629" s="42" t="str">
        <f ca="1">IFERROR(__xludf.DUMMYFUNCTION("IFERROR(VLOOKUP(F646,IMPORTRANGE(""https://docs.google.com/spreadsheets/d/1Kvs4KS76FHFqLFIZfrDMff4kP08nblUkihrxltoGBjg/edit#gid=934712705"",""ESENCIAL!A6:BG""),15,FALSE))"),"")</f>
        <v/>
      </c>
      <c r="AX629" s="21" t="str">
        <f ca="1">IFERROR(__xludf.DUMMYFUNCTION("IFERROR(VLOOKUP(E646&amp;F646,IMPORTRANGE(""https://docs.google.com/spreadsheets/d/1Uw7-A9f9R21vMXxHZFNpYNeKFtG8_yji4HS352LGlSQ/edit?pli=1#gid=0"",""1_ACUM!A4:S""),12,FALSE))"),"")</f>
        <v/>
      </c>
      <c r="AY629" s="43" t="str">
        <f ca="1">IFERROR(__xludf.DUMMYFUNCTION("IFERROR(VLOOKUP(E646&amp;F646,IMPORTRANGE(""https://docs.google.com/spreadsheets/d/1Uw7-A9f9R21vMXxHZFNpYNeKFtG8_yji4HS352LGlSQ/edit?pli=1#gid=0"",""1_ACUM!A4:S""),13,FALSE))"),"")</f>
        <v/>
      </c>
      <c r="AZ629" s="43" t="str">
        <f ca="1">IFERROR(__xludf.DUMMYFUNCTION("IFERROR(VLOOKUP(E646&amp;F646,IMPORTRANGE(""https://docs.google.com/spreadsheets/d/1Uw7-A9f9R21vMXxHZFNpYNeKFtG8_yji4HS352LGlSQ/edit?pli=1#gid=0"",""1_ACUM!A4:S""),14,FALSE))"),"")</f>
        <v/>
      </c>
      <c r="BA629" s="43" t="str">
        <f ca="1">IFERROR(__xludf.DUMMYFUNCTION("IFERROR(VLOOKUP(E646&amp;F646,IMPORTRANGE(""https://docs.google.com/spreadsheets/d/1Uw7-A9f9R21vMXxHZFNpYNeKFtG8_yji4HS352LGlSQ/edit?pli=1#gid=0"",""1_ACUM!A4:S""),15,FALSE))"),"")</f>
        <v/>
      </c>
      <c r="BB629" s="43" t="str">
        <f ca="1">IFERROR(__xludf.DUMMYFUNCTION("IFERROR(VLOOKUP(E646&amp;F646,IMPORTRANGE(""https://docs.google.com/spreadsheets/d/1Uw7-A9f9R21vMXxHZFNpYNeKFtG8_yji4HS352LGlSQ/edit?pli=1#gid=0"",""1_ACUM!A4:S""),16,FALSE))"),"")</f>
        <v/>
      </c>
      <c r="BC629" s="43" t="str">
        <f ca="1">IFERROR(__xludf.DUMMYFUNCTION("IFERROR(VLOOKUP(E646&amp;F646,IMPORTRANGE(""https://docs.google.com/spreadsheets/d/1Uw7-A9f9R21vMXxHZFNpYNeKFtG8_yji4HS352LGlSQ/edit?pli=1#gid=0"",""1_ACUM!A4:S""),17,FALSE))"),"")</f>
        <v/>
      </c>
      <c r="BD629" s="44" t="str">
        <f ca="1">IFERROR(__xludf.DUMMYFUNCTION("IFERROR(VLOOKUP(E646&amp;F646,IMPORTRANGE(""https://docs.google.com/spreadsheets/d/1Uw7-A9f9R21vMXxHZFNpYNeKFtG8_yji4HS352LGlSQ/edit?pli=1#gid=0"",""1_ACUM!A4:S""),18,FALSE))"),"")</f>
        <v/>
      </c>
      <c r="BE629" s="44" t="str">
        <f ca="1">IFERROR(__xludf.DUMMYFUNCTION("IFERROR(VLOOKUP(E646&amp;F646,IMPORTRANGE(""https://docs.google.com/spreadsheets/d/1Uw7-A9f9R21vMXxHZFNpYNeKFtG8_yji4HS352LGlSQ/edit?pli=1#gid=0"",""1_ACUM!A4:S""),19,FALSE))"),"")</f>
        <v/>
      </c>
      <c r="BF629" s="44" t="str">
        <f ca="1">IFERROR(__xludf.DUMMYFUNCTION("IFERROR(VLOOKUP(F646,IMPORTRANGE(""https://docs.google.com/spreadsheets/d/1Kvs4KS76FHFqLFIZfrDMff4kP08nblUkihrxltoGBjg/edit#gid=934712705"",""ESENCIAL!A6:BG""),5,FALSE))"),"")</f>
        <v/>
      </c>
      <c r="BG629" s="44" t="str">
        <f t="shared" si="41"/>
        <v/>
      </c>
      <c r="BH629" s="41" t="str">
        <f t="shared" si="42"/>
        <v/>
      </c>
      <c r="BI629" s="41" t="str">
        <f ca="1">IFERROR(__xludf.DUMMYFUNCTION("IFERROR(VLOOKUP(F646,IMPORTRANGE(""https://docs.google.com/spreadsheets/d/1Kvs4KS76FHFqLFIZfrDMff4kP08nblUkihrxltoGBjg/edit#gid=934712705"",""ESENCIAL!A6:BG""),18,FALSE))"),"")</f>
        <v/>
      </c>
      <c r="BJ629" s="19" t="str">
        <f t="shared" si="43"/>
        <v/>
      </c>
      <c r="BK629" s="41"/>
      <c r="BL629" s="41"/>
    </row>
    <row r="630" spans="1:64" ht="15">
      <c r="A630" s="4"/>
      <c r="B630" s="4"/>
      <c r="G630" s="5" t="str">
        <f ca="1">IFERROR(__xludf.DUMMYFUNCTION("IFERROR(VLOOKUP(F647,IMPORTRANGE(""https://docs.google.com/spreadsheets/d/1Kvs4KS76FHFqLFIZfrDMff4kP08nblUkihrxltoGBjg/edit#gid=934712705"",""ESENCIAL!A6:BG""),3,FALSE))"),"")</f>
        <v/>
      </c>
      <c r="H630" s="5" t="str">
        <f ca="1">IFERROR(__xludf.DUMMYFUNCTION("IFERROR(VLOOKUP(F647,IMPORTRANGE(""https://docs.google.com/spreadsheets/d/1Kvs4KS76FHFqLFIZfrDMff4kP08nblUkihrxltoGBjg/edit#gid=934712705"",""ESENCIAL!A6:BG""),8,FALSE))"),"")</f>
        <v/>
      </c>
      <c r="L630" s="287"/>
      <c r="S630"/>
      <c r="AU630" s="41" t="str">
        <f t="shared" si="40"/>
        <v/>
      </c>
      <c r="AV630" s="5" t="str">
        <f ca="1">IFERROR(__xludf.DUMMYFUNCTION("IFERROR(VLOOKUP(E647&amp;F647,IMPORTRANGE(""https://docs.google.com/spreadsheets/d/1Uw7-A9f9R21vMXxHZFNpYNeKFtG8_yji4HS352LGlSQ/edit?pli=1#gid=0"",""1_ACUM!A4:S""),11,FALSE))"),"")</f>
        <v/>
      </c>
      <c r="AW630" s="42" t="str">
        <f ca="1">IFERROR(__xludf.DUMMYFUNCTION("IFERROR(VLOOKUP(F647,IMPORTRANGE(""https://docs.google.com/spreadsheets/d/1Kvs4KS76FHFqLFIZfrDMff4kP08nblUkihrxltoGBjg/edit#gid=934712705"",""ESENCIAL!A6:BG""),15,FALSE))"),"")</f>
        <v/>
      </c>
      <c r="AX630" s="21" t="str">
        <f ca="1">IFERROR(__xludf.DUMMYFUNCTION("IFERROR(VLOOKUP(E647&amp;F647,IMPORTRANGE(""https://docs.google.com/spreadsheets/d/1Uw7-A9f9R21vMXxHZFNpYNeKFtG8_yji4HS352LGlSQ/edit?pli=1#gid=0"",""1_ACUM!A4:S""),12,FALSE))"),"")</f>
        <v/>
      </c>
      <c r="AY630" s="43" t="str">
        <f ca="1">IFERROR(__xludf.DUMMYFUNCTION("IFERROR(VLOOKUP(E647&amp;F647,IMPORTRANGE(""https://docs.google.com/spreadsheets/d/1Uw7-A9f9R21vMXxHZFNpYNeKFtG8_yji4HS352LGlSQ/edit?pli=1#gid=0"",""1_ACUM!A4:S""),13,FALSE))"),"")</f>
        <v/>
      </c>
      <c r="AZ630" s="43" t="str">
        <f ca="1">IFERROR(__xludf.DUMMYFUNCTION("IFERROR(VLOOKUP(E647&amp;F647,IMPORTRANGE(""https://docs.google.com/spreadsheets/d/1Uw7-A9f9R21vMXxHZFNpYNeKFtG8_yji4HS352LGlSQ/edit?pli=1#gid=0"",""1_ACUM!A4:S""),14,FALSE))"),"")</f>
        <v/>
      </c>
      <c r="BA630" s="43" t="str">
        <f ca="1">IFERROR(__xludf.DUMMYFUNCTION("IFERROR(VLOOKUP(E647&amp;F647,IMPORTRANGE(""https://docs.google.com/spreadsheets/d/1Uw7-A9f9R21vMXxHZFNpYNeKFtG8_yji4HS352LGlSQ/edit?pli=1#gid=0"",""1_ACUM!A4:S""),15,FALSE))"),"")</f>
        <v/>
      </c>
      <c r="BB630" s="43" t="str">
        <f ca="1">IFERROR(__xludf.DUMMYFUNCTION("IFERROR(VLOOKUP(E647&amp;F647,IMPORTRANGE(""https://docs.google.com/spreadsheets/d/1Uw7-A9f9R21vMXxHZFNpYNeKFtG8_yji4HS352LGlSQ/edit?pli=1#gid=0"",""1_ACUM!A4:S""),16,FALSE))"),"")</f>
        <v/>
      </c>
      <c r="BC630" s="43" t="str">
        <f ca="1">IFERROR(__xludf.DUMMYFUNCTION("IFERROR(VLOOKUP(E647&amp;F647,IMPORTRANGE(""https://docs.google.com/spreadsheets/d/1Uw7-A9f9R21vMXxHZFNpYNeKFtG8_yji4HS352LGlSQ/edit?pli=1#gid=0"",""1_ACUM!A4:S""),17,FALSE))"),"")</f>
        <v/>
      </c>
      <c r="BD630" s="44" t="str">
        <f ca="1">IFERROR(__xludf.DUMMYFUNCTION("IFERROR(VLOOKUP(E647&amp;F647,IMPORTRANGE(""https://docs.google.com/spreadsheets/d/1Uw7-A9f9R21vMXxHZFNpYNeKFtG8_yji4HS352LGlSQ/edit?pli=1#gid=0"",""1_ACUM!A4:S""),18,FALSE))"),"")</f>
        <v/>
      </c>
      <c r="BE630" s="44" t="str">
        <f ca="1">IFERROR(__xludf.DUMMYFUNCTION("IFERROR(VLOOKUP(E647&amp;F647,IMPORTRANGE(""https://docs.google.com/spreadsheets/d/1Uw7-A9f9R21vMXxHZFNpYNeKFtG8_yji4HS352LGlSQ/edit?pli=1#gid=0"",""1_ACUM!A4:S""),19,FALSE))"),"")</f>
        <v/>
      </c>
      <c r="BF630" s="44" t="str">
        <f ca="1">IFERROR(__xludf.DUMMYFUNCTION("IFERROR(VLOOKUP(F647,IMPORTRANGE(""https://docs.google.com/spreadsheets/d/1Kvs4KS76FHFqLFIZfrDMff4kP08nblUkihrxltoGBjg/edit#gid=934712705"",""ESENCIAL!A6:BG""),5,FALSE))"),"")</f>
        <v/>
      </c>
      <c r="BG630" s="44" t="str">
        <f t="shared" si="41"/>
        <v/>
      </c>
      <c r="BH630" s="41" t="str">
        <f t="shared" si="42"/>
        <v/>
      </c>
      <c r="BI630" s="41" t="str">
        <f ca="1">IFERROR(__xludf.DUMMYFUNCTION("IFERROR(VLOOKUP(F647,IMPORTRANGE(""https://docs.google.com/spreadsheets/d/1Kvs4KS76FHFqLFIZfrDMff4kP08nblUkihrxltoGBjg/edit#gid=934712705"",""ESENCIAL!A6:BG""),18,FALSE))"),"")</f>
        <v/>
      </c>
      <c r="BJ630" s="19" t="str">
        <f t="shared" si="43"/>
        <v/>
      </c>
      <c r="BK630" s="41"/>
      <c r="BL630" s="41"/>
    </row>
    <row r="631" spans="1:64" ht="15">
      <c r="A631" s="4"/>
      <c r="B631" s="4"/>
      <c r="G631" s="5" t="str">
        <f ca="1">IFERROR(__xludf.DUMMYFUNCTION("IFERROR(VLOOKUP(F648,IMPORTRANGE(""https://docs.google.com/spreadsheets/d/1Kvs4KS76FHFqLFIZfrDMff4kP08nblUkihrxltoGBjg/edit#gid=934712705"",""ESENCIAL!A6:BG""),3,FALSE))"),"")</f>
        <v/>
      </c>
      <c r="H631" s="5" t="str">
        <f ca="1">IFERROR(__xludf.DUMMYFUNCTION("IFERROR(VLOOKUP(F648,IMPORTRANGE(""https://docs.google.com/spreadsheets/d/1Kvs4KS76FHFqLFIZfrDMff4kP08nblUkihrxltoGBjg/edit#gid=934712705"",""ESENCIAL!A6:BG""),8,FALSE))"),"")</f>
        <v/>
      </c>
      <c r="L631" s="287"/>
      <c r="S631"/>
      <c r="AU631" s="41" t="str">
        <f t="shared" si="40"/>
        <v/>
      </c>
      <c r="AV631" s="5" t="str">
        <f ca="1">IFERROR(__xludf.DUMMYFUNCTION("IFERROR(VLOOKUP(E648&amp;F648,IMPORTRANGE(""https://docs.google.com/spreadsheets/d/1Uw7-A9f9R21vMXxHZFNpYNeKFtG8_yji4HS352LGlSQ/edit?pli=1#gid=0"",""1_ACUM!A4:S""),11,FALSE))"),"")</f>
        <v/>
      </c>
      <c r="AW631" s="42" t="str">
        <f ca="1">IFERROR(__xludf.DUMMYFUNCTION("IFERROR(VLOOKUP(F648,IMPORTRANGE(""https://docs.google.com/spreadsheets/d/1Kvs4KS76FHFqLFIZfrDMff4kP08nblUkihrxltoGBjg/edit#gid=934712705"",""ESENCIAL!A6:BG""),15,FALSE))"),"")</f>
        <v/>
      </c>
      <c r="AX631" s="21" t="str">
        <f ca="1">IFERROR(__xludf.DUMMYFUNCTION("IFERROR(VLOOKUP(E648&amp;F648,IMPORTRANGE(""https://docs.google.com/spreadsheets/d/1Uw7-A9f9R21vMXxHZFNpYNeKFtG8_yji4HS352LGlSQ/edit?pli=1#gid=0"",""1_ACUM!A4:S""),12,FALSE))"),"")</f>
        <v/>
      </c>
      <c r="AY631" s="43" t="str">
        <f ca="1">IFERROR(__xludf.DUMMYFUNCTION("IFERROR(VLOOKUP(E648&amp;F648,IMPORTRANGE(""https://docs.google.com/spreadsheets/d/1Uw7-A9f9R21vMXxHZFNpYNeKFtG8_yji4HS352LGlSQ/edit?pli=1#gid=0"",""1_ACUM!A4:S""),13,FALSE))"),"")</f>
        <v/>
      </c>
      <c r="AZ631" s="43" t="str">
        <f ca="1">IFERROR(__xludf.DUMMYFUNCTION("IFERROR(VLOOKUP(E648&amp;F648,IMPORTRANGE(""https://docs.google.com/spreadsheets/d/1Uw7-A9f9R21vMXxHZFNpYNeKFtG8_yji4HS352LGlSQ/edit?pli=1#gid=0"",""1_ACUM!A4:S""),14,FALSE))"),"")</f>
        <v/>
      </c>
      <c r="BA631" s="43" t="str">
        <f ca="1">IFERROR(__xludf.DUMMYFUNCTION("IFERROR(VLOOKUP(E648&amp;F648,IMPORTRANGE(""https://docs.google.com/spreadsheets/d/1Uw7-A9f9R21vMXxHZFNpYNeKFtG8_yji4HS352LGlSQ/edit?pli=1#gid=0"",""1_ACUM!A4:S""),15,FALSE))"),"")</f>
        <v/>
      </c>
      <c r="BB631" s="43" t="str">
        <f ca="1">IFERROR(__xludf.DUMMYFUNCTION("IFERROR(VLOOKUP(E648&amp;F648,IMPORTRANGE(""https://docs.google.com/spreadsheets/d/1Uw7-A9f9R21vMXxHZFNpYNeKFtG8_yji4HS352LGlSQ/edit?pli=1#gid=0"",""1_ACUM!A4:S""),16,FALSE))"),"")</f>
        <v/>
      </c>
      <c r="BC631" s="43" t="str">
        <f ca="1">IFERROR(__xludf.DUMMYFUNCTION("IFERROR(VLOOKUP(E648&amp;F648,IMPORTRANGE(""https://docs.google.com/spreadsheets/d/1Uw7-A9f9R21vMXxHZFNpYNeKFtG8_yji4HS352LGlSQ/edit?pli=1#gid=0"",""1_ACUM!A4:S""),17,FALSE))"),"")</f>
        <v/>
      </c>
      <c r="BD631" s="44" t="str">
        <f ca="1">IFERROR(__xludf.DUMMYFUNCTION("IFERROR(VLOOKUP(E648&amp;F648,IMPORTRANGE(""https://docs.google.com/spreadsheets/d/1Uw7-A9f9R21vMXxHZFNpYNeKFtG8_yji4HS352LGlSQ/edit?pli=1#gid=0"",""1_ACUM!A4:S""),18,FALSE))"),"")</f>
        <v/>
      </c>
      <c r="BE631" s="44" t="str">
        <f ca="1">IFERROR(__xludf.DUMMYFUNCTION("IFERROR(VLOOKUP(E648&amp;F648,IMPORTRANGE(""https://docs.google.com/spreadsheets/d/1Uw7-A9f9R21vMXxHZFNpYNeKFtG8_yji4HS352LGlSQ/edit?pli=1#gid=0"",""1_ACUM!A4:S""),19,FALSE))"),"")</f>
        <v/>
      </c>
      <c r="BF631" s="44" t="str">
        <f ca="1">IFERROR(__xludf.DUMMYFUNCTION("IFERROR(VLOOKUP(F648,IMPORTRANGE(""https://docs.google.com/spreadsheets/d/1Kvs4KS76FHFqLFIZfrDMff4kP08nblUkihrxltoGBjg/edit#gid=934712705"",""ESENCIAL!A6:BG""),5,FALSE))"),"")</f>
        <v/>
      </c>
      <c r="BG631" s="44" t="str">
        <f t="shared" si="41"/>
        <v/>
      </c>
      <c r="BH631" s="41" t="str">
        <f t="shared" si="42"/>
        <v/>
      </c>
      <c r="BI631" s="41" t="str">
        <f ca="1">IFERROR(__xludf.DUMMYFUNCTION("IFERROR(VLOOKUP(F648,IMPORTRANGE(""https://docs.google.com/spreadsheets/d/1Kvs4KS76FHFqLFIZfrDMff4kP08nblUkihrxltoGBjg/edit#gid=934712705"",""ESENCIAL!A6:BG""),18,FALSE))"),"")</f>
        <v/>
      </c>
      <c r="BJ631" s="19" t="str">
        <f t="shared" si="43"/>
        <v/>
      </c>
      <c r="BK631" s="41"/>
      <c r="BL631" s="41"/>
    </row>
    <row r="632" spans="1:64" ht="15">
      <c r="A632" s="4"/>
      <c r="B632" s="4"/>
      <c r="G632" s="5" t="str">
        <f ca="1">IFERROR(__xludf.DUMMYFUNCTION("IFERROR(VLOOKUP(F649,IMPORTRANGE(""https://docs.google.com/spreadsheets/d/1Kvs4KS76FHFqLFIZfrDMff4kP08nblUkihrxltoGBjg/edit#gid=934712705"",""ESENCIAL!A6:BG""),3,FALSE))"),"")</f>
        <v/>
      </c>
      <c r="H632" s="5" t="str">
        <f ca="1">IFERROR(__xludf.DUMMYFUNCTION("IFERROR(VLOOKUP(F649,IMPORTRANGE(""https://docs.google.com/spreadsheets/d/1Kvs4KS76FHFqLFIZfrDMff4kP08nblUkihrxltoGBjg/edit#gid=934712705"",""ESENCIAL!A6:BG""),8,FALSE))"),"")</f>
        <v/>
      </c>
      <c r="L632" s="287"/>
      <c r="S632"/>
      <c r="AU632" s="41" t="str">
        <f t="shared" si="40"/>
        <v/>
      </c>
      <c r="AV632" s="5" t="str">
        <f ca="1">IFERROR(__xludf.DUMMYFUNCTION("IFERROR(VLOOKUP(E649&amp;F649,IMPORTRANGE(""https://docs.google.com/spreadsheets/d/1Uw7-A9f9R21vMXxHZFNpYNeKFtG8_yji4HS352LGlSQ/edit?pli=1#gid=0"",""1_ACUM!A4:S""),11,FALSE))"),"")</f>
        <v/>
      </c>
      <c r="AW632" s="42" t="str">
        <f ca="1">IFERROR(__xludf.DUMMYFUNCTION("IFERROR(VLOOKUP(F649,IMPORTRANGE(""https://docs.google.com/spreadsheets/d/1Kvs4KS76FHFqLFIZfrDMff4kP08nblUkihrxltoGBjg/edit#gid=934712705"",""ESENCIAL!A6:BG""),15,FALSE))"),"")</f>
        <v/>
      </c>
      <c r="AX632" s="21" t="str">
        <f ca="1">IFERROR(__xludf.DUMMYFUNCTION("IFERROR(VLOOKUP(E649&amp;F649,IMPORTRANGE(""https://docs.google.com/spreadsheets/d/1Uw7-A9f9R21vMXxHZFNpYNeKFtG8_yji4HS352LGlSQ/edit?pli=1#gid=0"",""1_ACUM!A4:S""),12,FALSE))"),"")</f>
        <v/>
      </c>
      <c r="AY632" s="43" t="str">
        <f ca="1">IFERROR(__xludf.DUMMYFUNCTION("IFERROR(VLOOKUP(E649&amp;F649,IMPORTRANGE(""https://docs.google.com/spreadsheets/d/1Uw7-A9f9R21vMXxHZFNpYNeKFtG8_yji4HS352LGlSQ/edit?pli=1#gid=0"",""1_ACUM!A4:S""),13,FALSE))"),"")</f>
        <v/>
      </c>
      <c r="AZ632" s="43" t="str">
        <f ca="1">IFERROR(__xludf.DUMMYFUNCTION("IFERROR(VLOOKUP(E649&amp;F649,IMPORTRANGE(""https://docs.google.com/spreadsheets/d/1Uw7-A9f9R21vMXxHZFNpYNeKFtG8_yji4HS352LGlSQ/edit?pli=1#gid=0"",""1_ACUM!A4:S""),14,FALSE))"),"")</f>
        <v/>
      </c>
      <c r="BA632" s="43" t="str">
        <f ca="1">IFERROR(__xludf.DUMMYFUNCTION("IFERROR(VLOOKUP(E649&amp;F649,IMPORTRANGE(""https://docs.google.com/spreadsheets/d/1Uw7-A9f9R21vMXxHZFNpYNeKFtG8_yji4HS352LGlSQ/edit?pli=1#gid=0"",""1_ACUM!A4:S""),15,FALSE))"),"")</f>
        <v/>
      </c>
      <c r="BB632" s="43" t="str">
        <f ca="1">IFERROR(__xludf.DUMMYFUNCTION("IFERROR(VLOOKUP(E649&amp;F649,IMPORTRANGE(""https://docs.google.com/spreadsheets/d/1Uw7-A9f9R21vMXxHZFNpYNeKFtG8_yji4HS352LGlSQ/edit?pli=1#gid=0"",""1_ACUM!A4:S""),16,FALSE))"),"")</f>
        <v/>
      </c>
      <c r="BC632" s="43" t="str">
        <f ca="1">IFERROR(__xludf.DUMMYFUNCTION("IFERROR(VLOOKUP(E649&amp;F649,IMPORTRANGE(""https://docs.google.com/spreadsheets/d/1Uw7-A9f9R21vMXxHZFNpYNeKFtG8_yji4HS352LGlSQ/edit?pli=1#gid=0"",""1_ACUM!A4:S""),17,FALSE))"),"")</f>
        <v/>
      </c>
      <c r="BD632" s="44" t="str">
        <f ca="1">IFERROR(__xludf.DUMMYFUNCTION("IFERROR(VLOOKUP(E649&amp;F649,IMPORTRANGE(""https://docs.google.com/spreadsheets/d/1Uw7-A9f9R21vMXxHZFNpYNeKFtG8_yji4HS352LGlSQ/edit?pli=1#gid=0"",""1_ACUM!A4:S""),18,FALSE))"),"")</f>
        <v/>
      </c>
      <c r="BE632" s="44" t="str">
        <f ca="1">IFERROR(__xludf.DUMMYFUNCTION("IFERROR(VLOOKUP(E649&amp;F649,IMPORTRANGE(""https://docs.google.com/spreadsheets/d/1Uw7-A9f9R21vMXxHZFNpYNeKFtG8_yji4HS352LGlSQ/edit?pli=1#gid=0"",""1_ACUM!A4:S""),19,FALSE))"),"")</f>
        <v/>
      </c>
      <c r="BF632" s="44" t="str">
        <f ca="1">IFERROR(__xludf.DUMMYFUNCTION("IFERROR(VLOOKUP(F649,IMPORTRANGE(""https://docs.google.com/spreadsheets/d/1Kvs4KS76FHFqLFIZfrDMff4kP08nblUkihrxltoGBjg/edit#gid=934712705"",""ESENCIAL!A6:BG""),5,FALSE))"),"")</f>
        <v/>
      </c>
      <c r="BG632" s="44" t="str">
        <f t="shared" si="41"/>
        <v/>
      </c>
      <c r="BH632" s="41" t="str">
        <f t="shared" si="42"/>
        <v/>
      </c>
      <c r="BI632" s="41" t="str">
        <f ca="1">IFERROR(__xludf.DUMMYFUNCTION("IFERROR(VLOOKUP(F649,IMPORTRANGE(""https://docs.google.com/spreadsheets/d/1Kvs4KS76FHFqLFIZfrDMff4kP08nblUkihrxltoGBjg/edit#gid=934712705"",""ESENCIAL!A6:BG""),18,FALSE))"),"")</f>
        <v/>
      </c>
      <c r="BJ632" s="19" t="str">
        <f t="shared" si="43"/>
        <v/>
      </c>
      <c r="BK632" s="41"/>
      <c r="BL632" s="41"/>
    </row>
    <row r="633" spans="1:64" ht="15">
      <c r="A633" s="4"/>
      <c r="B633" s="4"/>
      <c r="G633" s="5" t="str">
        <f ca="1">IFERROR(__xludf.DUMMYFUNCTION("IFERROR(VLOOKUP(F650,IMPORTRANGE(""https://docs.google.com/spreadsheets/d/1Kvs4KS76FHFqLFIZfrDMff4kP08nblUkihrxltoGBjg/edit#gid=934712705"",""ESENCIAL!A6:BG""),3,FALSE))"),"")</f>
        <v/>
      </c>
      <c r="H633" s="5" t="str">
        <f ca="1">IFERROR(__xludf.DUMMYFUNCTION("IFERROR(VLOOKUP(F650,IMPORTRANGE(""https://docs.google.com/spreadsheets/d/1Kvs4KS76FHFqLFIZfrDMff4kP08nblUkihrxltoGBjg/edit#gid=934712705"",""ESENCIAL!A6:BG""),8,FALSE))"),"")</f>
        <v/>
      </c>
      <c r="L633" s="287"/>
      <c r="S633"/>
      <c r="AU633" s="41" t="str">
        <f t="shared" si="40"/>
        <v/>
      </c>
      <c r="AV633" s="5" t="str">
        <f ca="1">IFERROR(__xludf.DUMMYFUNCTION("IFERROR(VLOOKUP(E650&amp;F650,IMPORTRANGE(""https://docs.google.com/spreadsheets/d/1Uw7-A9f9R21vMXxHZFNpYNeKFtG8_yji4HS352LGlSQ/edit?pli=1#gid=0"",""1_ACUM!A4:S""),11,FALSE))"),"")</f>
        <v/>
      </c>
      <c r="AW633" s="42" t="str">
        <f ca="1">IFERROR(__xludf.DUMMYFUNCTION("IFERROR(VLOOKUP(F650,IMPORTRANGE(""https://docs.google.com/spreadsheets/d/1Kvs4KS76FHFqLFIZfrDMff4kP08nblUkihrxltoGBjg/edit#gid=934712705"",""ESENCIAL!A6:BG""),15,FALSE))"),"")</f>
        <v/>
      </c>
      <c r="AX633" s="21" t="str">
        <f ca="1">IFERROR(__xludf.DUMMYFUNCTION("IFERROR(VLOOKUP(E650&amp;F650,IMPORTRANGE(""https://docs.google.com/spreadsheets/d/1Uw7-A9f9R21vMXxHZFNpYNeKFtG8_yji4HS352LGlSQ/edit?pli=1#gid=0"",""1_ACUM!A4:S""),12,FALSE))"),"")</f>
        <v/>
      </c>
      <c r="AY633" s="43" t="str">
        <f ca="1">IFERROR(__xludf.DUMMYFUNCTION("IFERROR(VLOOKUP(E650&amp;F650,IMPORTRANGE(""https://docs.google.com/spreadsheets/d/1Uw7-A9f9R21vMXxHZFNpYNeKFtG8_yji4HS352LGlSQ/edit?pli=1#gid=0"",""1_ACUM!A4:S""),13,FALSE))"),"")</f>
        <v/>
      </c>
      <c r="AZ633" s="43" t="str">
        <f ca="1">IFERROR(__xludf.DUMMYFUNCTION("IFERROR(VLOOKUP(E650&amp;F650,IMPORTRANGE(""https://docs.google.com/spreadsheets/d/1Uw7-A9f9R21vMXxHZFNpYNeKFtG8_yji4HS352LGlSQ/edit?pli=1#gid=0"",""1_ACUM!A4:S""),14,FALSE))"),"")</f>
        <v/>
      </c>
      <c r="BA633" s="43" t="str">
        <f ca="1">IFERROR(__xludf.DUMMYFUNCTION("IFERROR(VLOOKUP(E650&amp;F650,IMPORTRANGE(""https://docs.google.com/spreadsheets/d/1Uw7-A9f9R21vMXxHZFNpYNeKFtG8_yji4HS352LGlSQ/edit?pli=1#gid=0"",""1_ACUM!A4:S""),15,FALSE))"),"")</f>
        <v/>
      </c>
      <c r="BB633" s="43" t="str">
        <f ca="1">IFERROR(__xludf.DUMMYFUNCTION("IFERROR(VLOOKUP(E650&amp;F650,IMPORTRANGE(""https://docs.google.com/spreadsheets/d/1Uw7-A9f9R21vMXxHZFNpYNeKFtG8_yji4HS352LGlSQ/edit?pli=1#gid=0"",""1_ACUM!A4:S""),16,FALSE))"),"")</f>
        <v/>
      </c>
      <c r="BC633" s="43" t="str">
        <f ca="1">IFERROR(__xludf.DUMMYFUNCTION("IFERROR(VLOOKUP(E650&amp;F650,IMPORTRANGE(""https://docs.google.com/spreadsheets/d/1Uw7-A9f9R21vMXxHZFNpYNeKFtG8_yji4HS352LGlSQ/edit?pli=1#gid=0"",""1_ACUM!A4:S""),17,FALSE))"),"")</f>
        <v/>
      </c>
      <c r="BD633" s="44" t="str">
        <f ca="1">IFERROR(__xludf.DUMMYFUNCTION("IFERROR(VLOOKUP(E650&amp;F650,IMPORTRANGE(""https://docs.google.com/spreadsheets/d/1Uw7-A9f9R21vMXxHZFNpYNeKFtG8_yji4HS352LGlSQ/edit?pli=1#gid=0"",""1_ACUM!A4:S""),18,FALSE))"),"")</f>
        <v/>
      </c>
      <c r="BE633" s="44" t="str">
        <f ca="1">IFERROR(__xludf.DUMMYFUNCTION("IFERROR(VLOOKUP(E650&amp;F650,IMPORTRANGE(""https://docs.google.com/spreadsheets/d/1Uw7-A9f9R21vMXxHZFNpYNeKFtG8_yji4HS352LGlSQ/edit?pli=1#gid=0"",""1_ACUM!A4:S""),19,FALSE))"),"")</f>
        <v/>
      </c>
      <c r="BF633" s="44" t="str">
        <f ca="1">IFERROR(__xludf.DUMMYFUNCTION("IFERROR(VLOOKUP(F650,IMPORTRANGE(""https://docs.google.com/spreadsheets/d/1Kvs4KS76FHFqLFIZfrDMff4kP08nblUkihrxltoGBjg/edit#gid=934712705"",""ESENCIAL!A6:BG""),5,FALSE))"),"")</f>
        <v/>
      </c>
      <c r="BG633" s="44" t="str">
        <f t="shared" si="41"/>
        <v/>
      </c>
      <c r="BH633" s="41" t="str">
        <f t="shared" si="42"/>
        <v/>
      </c>
      <c r="BI633" s="41" t="str">
        <f ca="1">IFERROR(__xludf.DUMMYFUNCTION("IFERROR(VLOOKUP(F650,IMPORTRANGE(""https://docs.google.com/spreadsheets/d/1Kvs4KS76FHFqLFIZfrDMff4kP08nblUkihrxltoGBjg/edit#gid=934712705"",""ESENCIAL!A6:BG""),18,FALSE))"),"")</f>
        <v/>
      </c>
      <c r="BJ633" s="19" t="str">
        <f t="shared" si="43"/>
        <v/>
      </c>
      <c r="BK633" s="41"/>
      <c r="BL633" s="41"/>
    </row>
    <row r="634" spans="1:64" ht="15">
      <c r="A634" s="4"/>
      <c r="B634" s="4"/>
      <c r="G634" s="5" t="str">
        <f ca="1">IFERROR(__xludf.DUMMYFUNCTION("IFERROR(VLOOKUP(F651,IMPORTRANGE(""https://docs.google.com/spreadsheets/d/1Kvs4KS76FHFqLFIZfrDMff4kP08nblUkihrxltoGBjg/edit#gid=934712705"",""ESENCIAL!A6:BG""),3,FALSE))"),"")</f>
        <v/>
      </c>
      <c r="H634" s="5" t="str">
        <f ca="1">IFERROR(__xludf.DUMMYFUNCTION("IFERROR(VLOOKUP(F651,IMPORTRANGE(""https://docs.google.com/spreadsheets/d/1Kvs4KS76FHFqLFIZfrDMff4kP08nblUkihrxltoGBjg/edit#gid=934712705"",""ESENCIAL!A6:BG""),8,FALSE))"),"")</f>
        <v/>
      </c>
      <c r="L634" s="287"/>
      <c r="S634"/>
      <c r="AU634" s="41" t="str">
        <f t="shared" si="40"/>
        <v/>
      </c>
      <c r="AV634" s="5" t="str">
        <f ca="1">IFERROR(__xludf.DUMMYFUNCTION("IFERROR(VLOOKUP(E651&amp;F651,IMPORTRANGE(""https://docs.google.com/spreadsheets/d/1Uw7-A9f9R21vMXxHZFNpYNeKFtG8_yji4HS352LGlSQ/edit?pli=1#gid=0"",""1_ACUM!A4:S""),11,FALSE))"),"")</f>
        <v/>
      </c>
      <c r="AW634" s="42" t="str">
        <f ca="1">IFERROR(__xludf.DUMMYFUNCTION("IFERROR(VLOOKUP(F651,IMPORTRANGE(""https://docs.google.com/spreadsheets/d/1Kvs4KS76FHFqLFIZfrDMff4kP08nblUkihrxltoGBjg/edit#gid=934712705"",""ESENCIAL!A6:BG""),15,FALSE))"),"")</f>
        <v/>
      </c>
      <c r="AX634" s="21" t="str">
        <f ca="1">IFERROR(__xludf.DUMMYFUNCTION("IFERROR(VLOOKUP(E651&amp;F651,IMPORTRANGE(""https://docs.google.com/spreadsheets/d/1Uw7-A9f9R21vMXxHZFNpYNeKFtG8_yji4HS352LGlSQ/edit?pli=1#gid=0"",""1_ACUM!A4:S""),12,FALSE))"),"")</f>
        <v/>
      </c>
      <c r="AY634" s="43" t="str">
        <f ca="1">IFERROR(__xludf.DUMMYFUNCTION("IFERROR(VLOOKUP(E651&amp;F651,IMPORTRANGE(""https://docs.google.com/spreadsheets/d/1Uw7-A9f9R21vMXxHZFNpYNeKFtG8_yji4HS352LGlSQ/edit?pli=1#gid=0"",""1_ACUM!A4:S""),13,FALSE))"),"")</f>
        <v/>
      </c>
      <c r="AZ634" s="43" t="str">
        <f ca="1">IFERROR(__xludf.DUMMYFUNCTION("IFERROR(VLOOKUP(E651&amp;F651,IMPORTRANGE(""https://docs.google.com/spreadsheets/d/1Uw7-A9f9R21vMXxHZFNpYNeKFtG8_yji4HS352LGlSQ/edit?pli=1#gid=0"",""1_ACUM!A4:S""),14,FALSE))"),"")</f>
        <v/>
      </c>
      <c r="BA634" s="43" t="str">
        <f ca="1">IFERROR(__xludf.DUMMYFUNCTION("IFERROR(VLOOKUP(E651&amp;F651,IMPORTRANGE(""https://docs.google.com/spreadsheets/d/1Uw7-A9f9R21vMXxHZFNpYNeKFtG8_yji4HS352LGlSQ/edit?pli=1#gid=0"",""1_ACUM!A4:S""),15,FALSE))"),"")</f>
        <v/>
      </c>
      <c r="BB634" s="43" t="str">
        <f ca="1">IFERROR(__xludf.DUMMYFUNCTION("IFERROR(VLOOKUP(E651&amp;F651,IMPORTRANGE(""https://docs.google.com/spreadsheets/d/1Uw7-A9f9R21vMXxHZFNpYNeKFtG8_yji4HS352LGlSQ/edit?pli=1#gid=0"",""1_ACUM!A4:S""),16,FALSE))"),"")</f>
        <v/>
      </c>
      <c r="BC634" s="43" t="str">
        <f ca="1">IFERROR(__xludf.DUMMYFUNCTION("IFERROR(VLOOKUP(E651&amp;F651,IMPORTRANGE(""https://docs.google.com/spreadsheets/d/1Uw7-A9f9R21vMXxHZFNpYNeKFtG8_yji4HS352LGlSQ/edit?pli=1#gid=0"",""1_ACUM!A4:S""),17,FALSE))"),"")</f>
        <v/>
      </c>
      <c r="BD634" s="44" t="str">
        <f ca="1">IFERROR(__xludf.DUMMYFUNCTION("IFERROR(VLOOKUP(E651&amp;F651,IMPORTRANGE(""https://docs.google.com/spreadsheets/d/1Uw7-A9f9R21vMXxHZFNpYNeKFtG8_yji4HS352LGlSQ/edit?pli=1#gid=0"",""1_ACUM!A4:S""),18,FALSE))"),"")</f>
        <v/>
      </c>
      <c r="BE634" s="44" t="str">
        <f ca="1">IFERROR(__xludf.DUMMYFUNCTION("IFERROR(VLOOKUP(E651&amp;F651,IMPORTRANGE(""https://docs.google.com/spreadsheets/d/1Uw7-A9f9R21vMXxHZFNpYNeKFtG8_yji4HS352LGlSQ/edit?pli=1#gid=0"",""1_ACUM!A4:S""),19,FALSE))"),"")</f>
        <v/>
      </c>
      <c r="BF634" s="44" t="str">
        <f ca="1">IFERROR(__xludf.DUMMYFUNCTION("IFERROR(VLOOKUP(F651,IMPORTRANGE(""https://docs.google.com/spreadsheets/d/1Kvs4KS76FHFqLFIZfrDMff4kP08nblUkihrxltoGBjg/edit#gid=934712705"",""ESENCIAL!A6:BG""),5,FALSE))"),"")</f>
        <v/>
      </c>
      <c r="BG634" s="44" t="str">
        <f t="shared" si="41"/>
        <v/>
      </c>
      <c r="BH634" s="41" t="str">
        <f t="shared" si="42"/>
        <v/>
      </c>
      <c r="BI634" s="41" t="str">
        <f ca="1">IFERROR(__xludf.DUMMYFUNCTION("IFERROR(VLOOKUP(F651,IMPORTRANGE(""https://docs.google.com/spreadsheets/d/1Kvs4KS76FHFqLFIZfrDMff4kP08nblUkihrxltoGBjg/edit#gid=934712705"",""ESENCIAL!A6:BG""),18,FALSE))"),"")</f>
        <v/>
      </c>
      <c r="BJ634" s="19" t="str">
        <f t="shared" si="43"/>
        <v/>
      </c>
      <c r="BK634" s="41"/>
      <c r="BL634" s="41"/>
    </row>
    <row r="635" spans="1:64" ht="15">
      <c r="A635" s="4"/>
      <c r="B635" s="4"/>
      <c r="G635" s="5" t="str">
        <f ca="1">IFERROR(__xludf.DUMMYFUNCTION("IFERROR(VLOOKUP(F652,IMPORTRANGE(""https://docs.google.com/spreadsheets/d/1Kvs4KS76FHFqLFIZfrDMff4kP08nblUkihrxltoGBjg/edit#gid=934712705"",""ESENCIAL!A6:BG""),3,FALSE))"),"")</f>
        <v/>
      </c>
      <c r="H635" s="5" t="str">
        <f ca="1">IFERROR(__xludf.DUMMYFUNCTION("IFERROR(VLOOKUP(F652,IMPORTRANGE(""https://docs.google.com/spreadsheets/d/1Kvs4KS76FHFqLFIZfrDMff4kP08nblUkihrxltoGBjg/edit#gid=934712705"",""ESENCIAL!A6:BG""),8,FALSE))"),"")</f>
        <v/>
      </c>
      <c r="L635" s="287"/>
      <c r="S635"/>
      <c r="AU635" s="41" t="str">
        <f t="shared" si="40"/>
        <v/>
      </c>
      <c r="AV635" s="5" t="str">
        <f ca="1">IFERROR(__xludf.DUMMYFUNCTION("IFERROR(VLOOKUP(E652&amp;F652,IMPORTRANGE(""https://docs.google.com/spreadsheets/d/1Uw7-A9f9R21vMXxHZFNpYNeKFtG8_yji4HS352LGlSQ/edit?pli=1#gid=0"",""1_ACUM!A4:S""),11,FALSE))"),"")</f>
        <v/>
      </c>
      <c r="AW635" s="42" t="str">
        <f ca="1">IFERROR(__xludf.DUMMYFUNCTION("IFERROR(VLOOKUP(F652,IMPORTRANGE(""https://docs.google.com/spreadsheets/d/1Kvs4KS76FHFqLFIZfrDMff4kP08nblUkihrxltoGBjg/edit#gid=934712705"",""ESENCIAL!A6:BG""),15,FALSE))"),"")</f>
        <v/>
      </c>
      <c r="AX635" s="21" t="str">
        <f ca="1">IFERROR(__xludf.DUMMYFUNCTION("IFERROR(VLOOKUP(E652&amp;F652,IMPORTRANGE(""https://docs.google.com/spreadsheets/d/1Uw7-A9f9R21vMXxHZFNpYNeKFtG8_yji4HS352LGlSQ/edit?pli=1#gid=0"",""1_ACUM!A4:S""),12,FALSE))"),"")</f>
        <v/>
      </c>
      <c r="AY635" s="43" t="str">
        <f ca="1">IFERROR(__xludf.DUMMYFUNCTION("IFERROR(VLOOKUP(E652&amp;F652,IMPORTRANGE(""https://docs.google.com/spreadsheets/d/1Uw7-A9f9R21vMXxHZFNpYNeKFtG8_yji4HS352LGlSQ/edit?pli=1#gid=0"",""1_ACUM!A4:S""),13,FALSE))"),"")</f>
        <v/>
      </c>
      <c r="AZ635" s="43" t="str">
        <f ca="1">IFERROR(__xludf.DUMMYFUNCTION("IFERROR(VLOOKUP(E652&amp;F652,IMPORTRANGE(""https://docs.google.com/spreadsheets/d/1Uw7-A9f9R21vMXxHZFNpYNeKFtG8_yji4HS352LGlSQ/edit?pli=1#gid=0"",""1_ACUM!A4:S""),14,FALSE))"),"")</f>
        <v/>
      </c>
      <c r="BA635" s="43" t="str">
        <f ca="1">IFERROR(__xludf.DUMMYFUNCTION("IFERROR(VLOOKUP(E652&amp;F652,IMPORTRANGE(""https://docs.google.com/spreadsheets/d/1Uw7-A9f9R21vMXxHZFNpYNeKFtG8_yji4HS352LGlSQ/edit?pli=1#gid=0"",""1_ACUM!A4:S""),15,FALSE))"),"")</f>
        <v/>
      </c>
      <c r="BB635" s="43" t="str">
        <f ca="1">IFERROR(__xludf.DUMMYFUNCTION("IFERROR(VLOOKUP(E652&amp;F652,IMPORTRANGE(""https://docs.google.com/spreadsheets/d/1Uw7-A9f9R21vMXxHZFNpYNeKFtG8_yji4HS352LGlSQ/edit?pli=1#gid=0"",""1_ACUM!A4:S""),16,FALSE))"),"")</f>
        <v/>
      </c>
      <c r="BC635" s="43" t="str">
        <f ca="1">IFERROR(__xludf.DUMMYFUNCTION("IFERROR(VLOOKUP(E652&amp;F652,IMPORTRANGE(""https://docs.google.com/spreadsheets/d/1Uw7-A9f9R21vMXxHZFNpYNeKFtG8_yji4HS352LGlSQ/edit?pli=1#gid=0"",""1_ACUM!A4:S""),17,FALSE))"),"")</f>
        <v/>
      </c>
      <c r="BD635" s="44" t="str">
        <f ca="1">IFERROR(__xludf.DUMMYFUNCTION("IFERROR(VLOOKUP(E652&amp;F652,IMPORTRANGE(""https://docs.google.com/spreadsheets/d/1Uw7-A9f9R21vMXxHZFNpYNeKFtG8_yji4HS352LGlSQ/edit?pli=1#gid=0"",""1_ACUM!A4:S""),18,FALSE))"),"")</f>
        <v/>
      </c>
      <c r="BE635" s="44" t="str">
        <f ca="1">IFERROR(__xludf.DUMMYFUNCTION("IFERROR(VLOOKUP(E652&amp;F652,IMPORTRANGE(""https://docs.google.com/spreadsheets/d/1Uw7-A9f9R21vMXxHZFNpYNeKFtG8_yji4HS352LGlSQ/edit?pli=1#gid=0"",""1_ACUM!A4:S""),19,FALSE))"),"")</f>
        <v/>
      </c>
      <c r="BF635" s="44" t="str">
        <f ca="1">IFERROR(__xludf.DUMMYFUNCTION("IFERROR(VLOOKUP(F652,IMPORTRANGE(""https://docs.google.com/spreadsheets/d/1Kvs4KS76FHFqLFIZfrDMff4kP08nblUkihrxltoGBjg/edit#gid=934712705"",""ESENCIAL!A6:BG""),5,FALSE))"),"")</f>
        <v/>
      </c>
      <c r="BG635" s="44" t="str">
        <f t="shared" si="41"/>
        <v/>
      </c>
      <c r="BH635" s="41" t="str">
        <f t="shared" si="42"/>
        <v/>
      </c>
      <c r="BI635" s="41" t="str">
        <f ca="1">IFERROR(__xludf.DUMMYFUNCTION("IFERROR(VLOOKUP(F652,IMPORTRANGE(""https://docs.google.com/spreadsheets/d/1Kvs4KS76FHFqLFIZfrDMff4kP08nblUkihrxltoGBjg/edit#gid=934712705"",""ESENCIAL!A6:BG""),18,FALSE))"),"")</f>
        <v/>
      </c>
      <c r="BJ635" s="19" t="str">
        <f t="shared" si="43"/>
        <v/>
      </c>
      <c r="BK635" s="41"/>
      <c r="BL635" s="41"/>
    </row>
    <row r="636" spans="1:64" ht="15">
      <c r="A636" s="4"/>
      <c r="B636" s="4"/>
      <c r="G636" s="5" t="str">
        <f ca="1">IFERROR(__xludf.DUMMYFUNCTION("IFERROR(VLOOKUP(F653,IMPORTRANGE(""https://docs.google.com/spreadsheets/d/1Kvs4KS76FHFqLFIZfrDMff4kP08nblUkihrxltoGBjg/edit#gid=934712705"",""ESENCIAL!A6:BG""),3,FALSE))"),"")</f>
        <v/>
      </c>
      <c r="H636" s="5" t="str">
        <f ca="1">IFERROR(__xludf.DUMMYFUNCTION("IFERROR(VLOOKUP(F653,IMPORTRANGE(""https://docs.google.com/spreadsheets/d/1Kvs4KS76FHFqLFIZfrDMff4kP08nblUkihrxltoGBjg/edit#gid=934712705"",""ESENCIAL!A6:BG""),8,FALSE))"),"")</f>
        <v/>
      </c>
      <c r="L636" s="287"/>
      <c r="S636"/>
      <c r="AU636" s="41" t="str">
        <f t="shared" si="40"/>
        <v/>
      </c>
      <c r="AV636" s="5" t="str">
        <f ca="1">IFERROR(__xludf.DUMMYFUNCTION("IFERROR(VLOOKUP(E653&amp;F653,IMPORTRANGE(""https://docs.google.com/spreadsheets/d/1Uw7-A9f9R21vMXxHZFNpYNeKFtG8_yji4HS352LGlSQ/edit?pli=1#gid=0"",""1_ACUM!A4:S""),11,FALSE))"),"")</f>
        <v/>
      </c>
      <c r="AW636" s="42" t="str">
        <f ca="1">IFERROR(__xludf.DUMMYFUNCTION("IFERROR(VLOOKUP(F653,IMPORTRANGE(""https://docs.google.com/spreadsheets/d/1Kvs4KS76FHFqLFIZfrDMff4kP08nblUkihrxltoGBjg/edit#gid=934712705"",""ESENCIAL!A6:BG""),15,FALSE))"),"")</f>
        <v/>
      </c>
      <c r="AX636" s="21" t="str">
        <f ca="1">IFERROR(__xludf.DUMMYFUNCTION("IFERROR(VLOOKUP(E653&amp;F653,IMPORTRANGE(""https://docs.google.com/spreadsheets/d/1Uw7-A9f9R21vMXxHZFNpYNeKFtG8_yji4HS352LGlSQ/edit?pli=1#gid=0"",""1_ACUM!A4:S""),12,FALSE))"),"")</f>
        <v/>
      </c>
      <c r="AY636" s="43" t="str">
        <f ca="1">IFERROR(__xludf.DUMMYFUNCTION("IFERROR(VLOOKUP(E653&amp;F653,IMPORTRANGE(""https://docs.google.com/spreadsheets/d/1Uw7-A9f9R21vMXxHZFNpYNeKFtG8_yji4HS352LGlSQ/edit?pli=1#gid=0"",""1_ACUM!A4:S""),13,FALSE))"),"")</f>
        <v/>
      </c>
      <c r="AZ636" s="43" t="str">
        <f ca="1">IFERROR(__xludf.DUMMYFUNCTION("IFERROR(VLOOKUP(E653&amp;F653,IMPORTRANGE(""https://docs.google.com/spreadsheets/d/1Uw7-A9f9R21vMXxHZFNpYNeKFtG8_yji4HS352LGlSQ/edit?pli=1#gid=0"",""1_ACUM!A4:S""),14,FALSE))"),"")</f>
        <v/>
      </c>
      <c r="BA636" s="43" t="str">
        <f ca="1">IFERROR(__xludf.DUMMYFUNCTION("IFERROR(VLOOKUP(E653&amp;F653,IMPORTRANGE(""https://docs.google.com/spreadsheets/d/1Uw7-A9f9R21vMXxHZFNpYNeKFtG8_yji4HS352LGlSQ/edit?pli=1#gid=0"",""1_ACUM!A4:S""),15,FALSE))"),"")</f>
        <v/>
      </c>
      <c r="BB636" s="43" t="str">
        <f ca="1">IFERROR(__xludf.DUMMYFUNCTION("IFERROR(VLOOKUP(E653&amp;F653,IMPORTRANGE(""https://docs.google.com/spreadsheets/d/1Uw7-A9f9R21vMXxHZFNpYNeKFtG8_yji4HS352LGlSQ/edit?pli=1#gid=0"",""1_ACUM!A4:S""),16,FALSE))"),"")</f>
        <v/>
      </c>
      <c r="BC636" s="43" t="str">
        <f ca="1">IFERROR(__xludf.DUMMYFUNCTION("IFERROR(VLOOKUP(E653&amp;F653,IMPORTRANGE(""https://docs.google.com/spreadsheets/d/1Uw7-A9f9R21vMXxHZFNpYNeKFtG8_yji4HS352LGlSQ/edit?pli=1#gid=0"",""1_ACUM!A4:S""),17,FALSE))"),"")</f>
        <v/>
      </c>
      <c r="BD636" s="44" t="str">
        <f ca="1">IFERROR(__xludf.DUMMYFUNCTION("IFERROR(VLOOKUP(E653&amp;F653,IMPORTRANGE(""https://docs.google.com/spreadsheets/d/1Uw7-A9f9R21vMXxHZFNpYNeKFtG8_yji4HS352LGlSQ/edit?pli=1#gid=0"",""1_ACUM!A4:S""),18,FALSE))"),"")</f>
        <v/>
      </c>
      <c r="BE636" s="44" t="str">
        <f ca="1">IFERROR(__xludf.DUMMYFUNCTION("IFERROR(VLOOKUP(E653&amp;F653,IMPORTRANGE(""https://docs.google.com/spreadsheets/d/1Uw7-A9f9R21vMXxHZFNpYNeKFtG8_yji4HS352LGlSQ/edit?pli=1#gid=0"",""1_ACUM!A4:S""),19,FALSE))"),"")</f>
        <v/>
      </c>
      <c r="BF636" s="44" t="str">
        <f ca="1">IFERROR(__xludf.DUMMYFUNCTION("IFERROR(VLOOKUP(F653,IMPORTRANGE(""https://docs.google.com/spreadsheets/d/1Kvs4KS76FHFqLFIZfrDMff4kP08nblUkihrxltoGBjg/edit#gid=934712705"",""ESENCIAL!A6:BG""),5,FALSE))"),"")</f>
        <v/>
      </c>
      <c r="BG636" s="44" t="str">
        <f t="shared" si="41"/>
        <v/>
      </c>
      <c r="BH636" s="41" t="str">
        <f t="shared" si="42"/>
        <v/>
      </c>
      <c r="BI636" s="41" t="str">
        <f ca="1">IFERROR(__xludf.DUMMYFUNCTION("IFERROR(VLOOKUP(F653,IMPORTRANGE(""https://docs.google.com/spreadsheets/d/1Kvs4KS76FHFqLFIZfrDMff4kP08nblUkihrxltoGBjg/edit#gid=934712705"",""ESENCIAL!A6:BG""),18,FALSE))"),"")</f>
        <v/>
      </c>
      <c r="BJ636" s="19" t="str">
        <f t="shared" si="43"/>
        <v/>
      </c>
      <c r="BK636" s="41"/>
      <c r="BL636" s="41"/>
    </row>
    <row r="637" spans="1:64" ht="15">
      <c r="A637" s="4"/>
      <c r="B637" s="4"/>
      <c r="G637" s="5" t="str">
        <f ca="1">IFERROR(__xludf.DUMMYFUNCTION("IFERROR(VLOOKUP(F654,IMPORTRANGE(""https://docs.google.com/spreadsheets/d/1Kvs4KS76FHFqLFIZfrDMff4kP08nblUkihrxltoGBjg/edit#gid=934712705"",""ESENCIAL!A6:BG""),3,FALSE))"),"")</f>
        <v/>
      </c>
      <c r="H637" s="5" t="str">
        <f ca="1">IFERROR(__xludf.DUMMYFUNCTION("IFERROR(VLOOKUP(F654,IMPORTRANGE(""https://docs.google.com/spreadsheets/d/1Kvs4KS76FHFqLFIZfrDMff4kP08nblUkihrxltoGBjg/edit#gid=934712705"",""ESENCIAL!A6:BG""),8,FALSE))"),"")</f>
        <v/>
      </c>
      <c r="L637" s="287"/>
      <c r="S637"/>
      <c r="AU637" s="41" t="str">
        <f t="shared" si="40"/>
        <v/>
      </c>
      <c r="AV637" s="5" t="str">
        <f ca="1">IFERROR(__xludf.DUMMYFUNCTION("IFERROR(VLOOKUP(E654&amp;F654,IMPORTRANGE(""https://docs.google.com/spreadsheets/d/1Uw7-A9f9R21vMXxHZFNpYNeKFtG8_yji4HS352LGlSQ/edit?pli=1#gid=0"",""1_ACUM!A4:S""),11,FALSE))"),"")</f>
        <v/>
      </c>
      <c r="AW637" s="42" t="str">
        <f ca="1">IFERROR(__xludf.DUMMYFUNCTION("IFERROR(VLOOKUP(F654,IMPORTRANGE(""https://docs.google.com/spreadsheets/d/1Kvs4KS76FHFqLFIZfrDMff4kP08nblUkihrxltoGBjg/edit#gid=934712705"",""ESENCIAL!A6:BG""),15,FALSE))"),"")</f>
        <v/>
      </c>
      <c r="AX637" s="21" t="str">
        <f ca="1">IFERROR(__xludf.DUMMYFUNCTION("IFERROR(VLOOKUP(E654&amp;F654,IMPORTRANGE(""https://docs.google.com/spreadsheets/d/1Uw7-A9f9R21vMXxHZFNpYNeKFtG8_yji4HS352LGlSQ/edit?pli=1#gid=0"",""1_ACUM!A4:S""),12,FALSE))"),"")</f>
        <v/>
      </c>
      <c r="AY637" s="43" t="str">
        <f ca="1">IFERROR(__xludf.DUMMYFUNCTION("IFERROR(VLOOKUP(E654&amp;F654,IMPORTRANGE(""https://docs.google.com/spreadsheets/d/1Uw7-A9f9R21vMXxHZFNpYNeKFtG8_yji4HS352LGlSQ/edit?pli=1#gid=0"",""1_ACUM!A4:S""),13,FALSE))"),"")</f>
        <v/>
      </c>
      <c r="AZ637" s="43" t="str">
        <f ca="1">IFERROR(__xludf.DUMMYFUNCTION("IFERROR(VLOOKUP(E654&amp;F654,IMPORTRANGE(""https://docs.google.com/spreadsheets/d/1Uw7-A9f9R21vMXxHZFNpYNeKFtG8_yji4HS352LGlSQ/edit?pli=1#gid=0"",""1_ACUM!A4:S""),14,FALSE))"),"")</f>
        <v/>
      </c>
      <c r="BA637" s="43" t="str">
        <f ca="1">IFERROR(__xludf.DUMMYFUNCTION("IFERROR(VLOOKUP(E654&amp;F654,IMPORTRANGE(""https://docs.google.com/spreadsheets/d/1Uw7-A9f9R21vMXxHZFNpYNeKFtG8_yji4HS352LGlSQ/edit?pli=1#gid=0"",""1_ACUM!A4:S""),15,FALSE))"),"")</f>
        <v/>
      </c>
      <c r="BB637" s="43" t="str">
        <f ca="1">IFERROR(__xludf.DUMMYFUNCTION("IFERROR(VLOOKUP(E654&amp;F654,IMPORTRANGE(""https://docs.google.com/spreadsheets/d/1Uw7-A9f9R21vMXxHZFNpYNeKFtG8_yji4HS352LGlSQ/edit?pli=1#gid=0"",""1_ACUM!A4:S""),16,FALSE))"),"")</f>
        <v/>
      </c>
      <c r="BC637" s="43" t="str">
        <f ca="1">IFERROR(__xludf.DUMMYFUNCTION("IFERROR(VLOOKUP(E654&amp;F654,IMPORTRANGE(""https://docs.google.com/spreadsheets/d/1Uw7-A9f9R21vMXxHZFNpYNeKFtG8_yji4HS352LGlSQ/edit?pli=1#gid=0"",""1_ACUM!A4:S""),17,FALSE))"),"")</f>
        <v/>
      </c>
      <c r="BD637" s="44" t="str">
        <f ca="1">IFERROR(__xludf.DUMMYFUNCTION("IFERROR(VLOOKUP(E654&amp;F654,IMPORTRANGE(""https://docs.google.com/spreadsheets/d/1Uw7-A9f9R21vMXxHZFNpYNeKFtG8_yji4HS352LGlSQ/edit?pli=1#gid=0"",""1_ACUM!A4:S""),18,FALSE))"),"")</f>
        <v/>
      </c>
      <c r="BE637" s="44" t="str">
        <f ca="1">IFERROR(__xludf.DUMMYFUNCTION("IFERROR(VLOOKUP(E654&amp;F654,IMPORTRANGE(""https://docs.google.com/spreadsheets/d/1Uw7-A9f9R21vMXxHZFNpYNeKFtG8_yji4HS352LGlSQ/edit?pli=1#gid=0"",""1_ACUM!A4:S""),19,FALSE))"),"")</f>
        <v/>
      </c>
      <c r="BF637" s="44" t="str">
        <f ca="1">IFERROR(__xludf.DUMMYFUNCTION("IFERROR(VLOOKUP(F654,IMPORTRANGE(""https://docs.google.com/spreadsheets/d/1Kvs4KS76FHFqLFIZfrDMff4kP08nblUkihrxltoGBjg/edit#gid=934712705"",""ESENCIAL!A6:BG""),5,FALSE))"),"")</f>
        <v/>
      </c>
      <c r="BG637" s="44" t="str">
        <f t="shared" si="41"/>
        <v/>
      </c>
      <c r="BH637" s="41" t="str">
        <f t="shared" si="42"/>
        <v/>
      </c>
      <c r="BI637" s="41" t="str">
        <f ca="1">IFERROR(__xludf.DUMMYFUNCTION("IFERROR(VLOOKUP(F654,IMPORTRANGE(""https://docs.google.com/spreadsheets/d/1Kvs4KS76FHFqLFIZfrDMff4kP08nblUkihrxltoGBjg/edit#gid=934712705"",""ESENCIAL!A6:BG""),18,FALSE))"),"")</f>
        <v/>
      </c>
      <c r="BJ637" s="19" t="str">
        <f t="shared" si="43"/>
        <v/>
      </c>
      <c r="BK637" s="41"/>
      <c r="BL637" s="41"/>
    </row>
    <row r="638" spans="1:64" ht="15">
      <c r="A638" s="4"/>
      <c r="B638" s="4"/>
      <c r="G638" s="5" t="str">
        <f ca="1">IFERROR(__xludf.DUMMYFUNCTION("IFERROR(VLOOKUP(F655,IMPORTRANGE(""https://docs.google.com/spreadsheets/d/1Kvs4KS76FHFqLFIZfrDMff4kP08nblUkihrxltoGBjg/edit#gid=934712705"",""ESENCIAL!A6:BG""),3,FALSE))"),"")</f>
        <v/>
      </c>
      <c r="H638" s="5" t="str">
        <f ca="1">IFERROR(__xludf.DUMMYFUNCTION("IFERROR(VLOOKUP(F655,IMPORTRANGE(""https://docs.google.com/spreadsheets/d/1Kvs4KS76FHFqLFIZfrDMff4kP08nblUkihrxltoGBjg/edit#gid=934712705"",""ESENCIAL!A6:BG""),8,FALSE))"),"")</f>
        <v/>
      </c>
      <c r="L638" s="287"/>
      <c r="S638"/>
      <c r="AU638" s="41" t="str">
        <f t="shared" si="40"/>
        <v/>
      </c>
      <c r="AV638" s="5" t="str">
        <f ca="1">IFERROR(__xludf.DUMMYFUNCTION("IFERROR(VLOOKUP(E655&amp;F655,IMPORTRANGE(""https://docs.google.com/spreadsheets/d/1Uw7-A9f9R21vMXxHZFNpYNeKFtG8_yji4HS352LGlSQ/edit?pli=1#gid=0"",""1_ACUM!A4:S""),11,FALSE))"),"")</f>
        <v/>
      </c>
      <c r="AW638" s="42" t="str">
        <f ca="1">IFERROR(__xludf.DUMMYFUNCTION("IFERROR(VLOOKUP(F655,IMPORTRANGE(""https://docs.google.com/spreadsheets/d/1Kvs4KS76FHFqLFIZfrDMff4kP08nblUkihrxltoGBjg/edit#gid=934712705"",""ESENCIAL!A6:BG""),15,FALSE))"),"")</f>
        <v/>
      </c>
      <c r="AX638" s="21" t="str">
        <f ca="1">IFERROR(__xludf.DUMMYFUNCTION("IFERROR(VLOOKUP(E655&amp;F655,IMPORTRANGE(""https://docs.google.com/spreadsheets/d/1Uw7-A9f9R21vMXxHZFNpYNeKFtG8_yji4HS352LGlSQ/edit?pli=1#gid=0"",""1_ACUM!A4:S""),12,FALSE))"),"")</f>
        <v/>
      </c>
      <c r="AY638" s="43" t="str">
        <f ca="1">IFERROR(__xludf.DUMMYFUNCTION("IFERROR(VLOOKUP(E655&amp;F655,IMPORTRANGE(""https://docs.google.com/spreadsheets/d/1Uw7-A9f9R21vMXxHZFNpYNeKFtG8_yji4HS352LGlSQ/edit?pli=1#gid=0"",""1_ACUM!A4:S""),13,FALSE))"),"")</f>
        <v/>
      </c>
      <c r="AZ638" s="43" t="str">
        <f ca="1">IFERROR(__xludf.DUMMYFUNCTION("IFERROR(VLOOKUP(E655&amp;F655,IMPORTRANGE(""https://docs.google.com/spreadsheets/d/1Uw7-A9f9R21vMXxHZFNpYNeKFtG8_yji4HS352LGlSQ/edit?pli=1#gid=0"",""1_ACUM!A4:S""),14,FALSE))"),"")</f>
        <v/>
      </c>
      <c r="BA638" s="43" t="str">
        <f ca="1">IFERROR(__xludf.DUMMYFUNCTION("IFERROR(VLOOKUP(E655&amp;F655,IMPORTRANGE(""https://docs.google.com/spreadsheets/d/1Uw7-A9f9R21vMXxHZFNpYNeKFtG8_yji4HS352LGlSQ/edit?pli=1#gid=0"",""1_ACUM!A4:S""),15,FALSE))"),"")</f>
        <v/>
      </c>
      <c r="BB638" s="43" t="str">
        <f ca="1">IFERROR(__xludf.DUMMYFUNCTION("IFERROR(VLOOKUP(E655&amp;F655,IMPORTRANGE(""https://docs.google.com/spreadsheets/d/1Uw7-A9f9R21vMXxHZFNpYNeKFtG8_yji4HS352LGlSQ/edit?pli=1#gid=0"",""1_ACUM!A4:S""),16,FALSE))"),"")</f>
        <v/>
      </c>
      <c r="BC638" s="43" t="str">
        <f ca="1">IFERROR(__xludf.DUMMYFUNCTION("IFERROR(VLOOKUP(E655&amp;F655,IMPORTRANGE(""https://docs.google.com/spreadsheets/d/1Uw7-A9f9R21vMXxHZFNpYNeKFtG8_yji4HS352LGlSQ/edit?pli=1#gid=0"",""1_ACUM!A4:S""),17,FALSE))"),"")</f>
        <v/>
      </c>
      <c r="BD638" s="44" t="str">
        <f ca="1">IFERROR(__xludf.DUMMYFUNCTION("IFERROR(VLOOKUP(E655&amp;F655,IMPORTRANGE(""https://docs.google.com/spreadsheets/d/1Uw7-A9f9R21vMXxHZFNpYNeKFtG8_yji4HS352LGlSQ/edit?pli=1#gid=0"",""1_ACUM!A4:S""),18,FALSE))"),"")</f>
        <v/>
      </c>
      <c r="BE638" s="44" t="str">
        <f ca="1">IFERROR(__xludf.DUMMYFUNCTION("IFERROR(VLOOKUP(E655&amp;F655,IMPORTRANGE(""https://docs.google.com/spreadsheets/d/1Uw7-A9f9R21vMXxHZFNpYNeKFtG8_yji4HS352LGlSQ/edit?pli=1#gid=0"",""1_ACUM!A4:S""),19,FALSE))"),"")</f>
        <v/>
      </c>
      <c r="BF638" s="44" t="str">
        <f ca="1">IFERROR(__xludf.DUMMYFUNCTION("IFERROR(VLOOKUP(F655,IMPORTRANGE(""https://docs.google.com/spreadsheets/d/1Kvs4KS76FHFqLFIZfrDMff4kP08nblUkihrxltoGBjg/edit#gid=934712705"",""ESENCIAL!A6:BG""),5,FALSE))"),"")</f>
        <v/>
      </c>
      <c r="BG638" s="44" t="str">
        <f t="shared" si="41"/>
        <v/>
      </c>
      <c r="BH638" s="41" t="str">
        <f t="shared" si="42"/>
        <v/>
      </c>
      <c r="BI638" s="41" t="str">
        <f ca="1">IFERROR(__xludf.DUMMYFUNCTION("IFERROR(VLOOKUP(F655,IMPORTRANGE(""https://docs.google.com/spreadsheets/d/1Kvs4KS76FHFqLFIZfrDMff4kP08nblUkihrxltoGBjg/edit#gid=934712705"",""ESENCIAL!A6:BG""),18,FALSE))"),"")</f>
        <v/>
      </c>
      <c r="BJ638" s="19" t="str">
        <f t="shared" si="43"/>
        <v/>
      </c>
      <c r="BK638" s="41"/>
      <c r="BL638" s="41"/>
    </row>
    <row r="639" spans="1:64" ht="15">
      <c r="A639" s="4"/>
      <c r="B639" s="4"/>
      <c r="G639" s="5" t="str">
        <f ca="1">IFERROR(__xludf.DUMMYFUNCTION("IFERROR(VLOOKUP(F656,IMPORTRANGE(""https://docs.google.com/spreadsheets/d/1Kvs4KS76FHFqLFIZfrDMff4kP08nblUkihrxltoGBjg/edit#gid=934712705"",""ESENCIAL!A6:BG""),3,FALSE))"),"")</f>
        <v/>
      </c>
      <c r="H639" s="5" t="str">
        <f ca="1">IFERROR(__xludf.DUMMYFUNCTION("IFERROR(VLOOKUP(F656,IMPORTRANGE(""https://docs.google.com/spreadsheets/d/1Kvs4KS76FHFqLFIZfrDMff4kP08nblUkihrxltoGBjg/edit#gid=934712705"",""ESENCIAL!A6:BG""),8,FALSE))"),"")</f>
        <v/>
      </c>
      <c r="L639" s="287"/>
      <c r="S639"/>
      <c r="AU639" s="41" t="str">
        <f t="shared" si="40"/>
        <v/>
      </c>
      <c r="AV639" s="5" t="str">
        <f ca="1">IFERROR(__xludf.DUMMYFUNCTION("IFERROR(VLOOKUP(E656&amp;F656,IMPORTRANGE(""https://docs.google.com/spreadsheets/d/1Uw7-A9f9R21vMXxHZFNpYNeKFtG8_yji4HS352LGlSQ/edit?pli=1#gid=0"",""1_ACUM!A4:S""),11,FALSE))"),"")</f>
        <v/>
      </c>
      <c r="AW639" s="42" t="str">
        <f ca="1">IFERROR(__xludf.DUMMYFUNCTION("IFERROR(VLOOKUP(F656,IMPORTRANGE(""https://docs.google.com/spreadsheets/d/1Kvs4KS76FHFqLFIZfrDMff4kP08nblUkihrxltoGBjg/edit#gid=934712705"",""ESENCIAL!A6:BG""),15,FALSE))"),"")</f>
        <v/>
      </c>
      <c r="AX639" s="21" t="str">
        <f ca="1">IFERROR(__xludf.DUMMYFUNCTION("IFERROR(VLOOKUP(E656&amp;F656,IMPORTRANGE(""https://docs.google.com/spreadsheets/d/1Uw7-A9f9R21vMXxHZFNpYNeKFtG8_yji4HS352LGlSQ/edit?pli=1#gid=0"",""1_ACUM!A4:S""),12,FALSE))"),"")</f>
        <v/>
      </c>
      <c r="AY639" s="43" t="str">
        <f ca="1">IFERROR(__xludf.DUMMYFUNCTION("IFERROR(VLOOKUP(E656&amp;F656,IMPORTRANGE(""https://docs.google.com/spreadsheets/d/1Uw7-A9f9R21vMXxHZFNpYNeKFtG8_yji4HS352LGlSQ/edit?pli=1#gid=0"",""1_ACUM!A4:S""),13,FALSE))"),"")</f>
        <v/>
      </c>
      <c r="AZ639" s="43" t="str">
        <f ca="1">IFERROR(__xludf.DUMMYFUNCTION("IFERROR(VLOOKUP(E656&amp;F656,IMPORTRANGE(""https://docs.google.com/spreadsheets/d/1Uw7-A9f9R21vMXxHZFNpYNeKFtG8_yji4HS352LGlSQ/edit?pli=1#gid=0"",""1_ACUM!A4:S""),14,FALSE))"),"")</f>
        <v/>
      </c>
      <c r="BA639" s="43" t="str">
        <f ca="1">IFERROR(__xludf.DUMMYFUNCTION("IFERROR(VLOOKUP(E656&amp;F656,IMPORTRANGE(""https://docs.google.com/spreadsheets/d/1Uw7-A9f9R21vMXxHZFNpYNeKFtG8_yji4HS352LGlSQ/edit?pli=1#gid=0"",""1_ACUM!A4:S""),15,FALSE))"),"")</f>
        <v/>
      </c>
      <c r="BB639" s="43" t="str">
        <f ca="1">IFERROR(__xludf.DUMMYFUNCTION("IFERROR(VLOOKUP(E656&amp;F656,IMPORTRANGE(""https://docs.google.com/spreadsheets/d/1Uw7-A9f9R21vMXxHZFNpYNeKFtG8_yji4HS352LGlSQ/edit?pli=1#gid=0"",""1_ACUM!A4:S""),16,FALSE))"),"")</f>
        <v/>
      </c>
      <c r="BC639" s="43" t="str">
        <f ca="1">IFERROR(__xludf.DUMMYFUNCTION("IFERROR(VLOOKUP(E656&amp;F656,IMPORTRANGE(""https://docs.google.com/spreadsheets/d/1Uw7-A9f9R21vMXxHZFNpYNeKFtG8_yji4HS352LGlSQ/edit?pli=1#gid=0"",""1_ACUM!A4:S""),17,FALSE))"),"")</f>
        <v/>
      </c>
      <c r="BD639" s="44" t="str">
        <f ca="1">IFERROR(__xludf.DUMMYFUNCTION("IFERROR(VLOOKUP(E656&amp;F656,IMPORTRANGE(""https://docs.google.com/spreadsheets/d/1Uw7-A9f9R21vMXxHZFNpYNeKFtG8_yji4HS352LGlSQ/edit?pli=1#gid=0"",""1_ACUM!A4:S""),18,FALSE))"),"")</f>
        <v/>
      </c>
      <c r="BE639" s="44" t="str">
        <f ca="1">IFERROR(__xludf.DUMMYFUNCTION("IFERROR(VLOOKUP(E656&amp;F656,IMPORTRANGE(""https://docs.google.com/spreadsheets/d/1Uw7-A9f9R21vMXxHZFNpYNeKFtG8_yji4HS352LGlSQ/edit?pli=1#gid=0"",""1_ACUM!A4:S""),19,FALSE))"),"")</f>
        <v/>
      </c>
      <c r="BF639" s="44" t="str">
        <f ca="1">IFERROR(__xludf.DUMMYFUNCTION("IFERROR(VLOOKUP(F656,IMPORTRANGE(""https://docs.google.com/spreadsheets/d/1Kvs4KS76FHFqLFIZfrDMff4kP08nblUkihrxltoGBjg/edit#gid=934712705"",""ESENCIAL!A6:BG""),5,FALSE))"),"")</f>
        <v/>
      </c>
      <c r="BG639" s="44" t="str">
        <f t="shared" si="41"/>
        <v/>
      </c>
      <c r="BH639" s="41" t="str">
        <f t="shared" si="42"/>
        <v/>
      </c>
      <c r="BI639" s="41" t="str">
        <f ca="1">IFERROR(__xludf.DUMMYFUNCTION("IFERROR(VLOOKUP(F656,IMPORTRANGE(""https://docs.google.com/spreadsheets/d/1Kvs4KS76FHFqLFIZfrDMff4kP08nblUkihrxltoGBjg/edit#gid=934712705"",""ESENCIAL!A6:BG""),18,FALSE))"),"")</f>
        <v/>
      </c>
      <c r="BJ639" s="19" t="str">
        <f t="shared" si="43"/>
        <v/>
      </c>
      <c r="BK639" s="41"/>
      <c r="BL639" s="41"/>
    </row>
    <row r="640" spans="1:64" ht="15">
      <c r="A640" s="4"/>
      <c r="B640" s="4"/>
      <c r="G640" s="5" t="str">
        <f ca="1">IFERROR(__xludf.DUMMYFUNCTION("IFERROR(VLOOKUP(F657,IMPORTRANGE(""https://docs.google.com/spreadsheets/d/1Kvs4KS76FHFqLFIZfrDMff4kP08nblUkihrxltoGBjg/edit#gid=934712705"",""ESENCIAL!A6:BG""),3,FALSE))"),"")</f>
        <v/>
      </c>
      <c r="H640" s="5" t="str">
        <f ca="1">IFERROR(__xludf.DUMMYFUNCTION("IFERROR(VLOOKUP(F657,IMPORTRANGE(""https://docs.google.com/spreadsheets/d/1Kvs4KS76FHFqLFIZfrDMff4kP08nblUkihrxltoGBjg/edit#gid=934712705"",""ESENCIAL!A6:BG""),8,FALSE))"),"")</f>
        <v/>
      </c>
      <c r="L640" s="287"/>
      <c r="S640"/>
      <c r="AU640" s="41" t="str">
        <f t="shared" si="40"/>
        <v/>
      </c>
      <c r="AV640" s="5" t="str">
        <f ca="1">IFERROR(__xludf.DUMMYFUNCTION("IFERROR(VLOOKUP(E657&amp;F657,IMPORTRANGE(""https://docs.google.com/spreadsheets/d/1Uw7-A9f9R21vMXxHZFNpYNeKFtG8_yji4HS352LGlSQ/edit?pli=1#gid=0"",""1_ACUM!A4:S""),11,FALSE))"),"")</f>
        <v/>
      </c>
      <c r="AW640" s="42" t="str">
        <f ca="1">IFERROR(__xludf.DUMMYFUNCTION("IFERROR(VLOOKUP(F657,IMPORTRANGE(""https://docs.google.com/spreadsheets/d/1Kvs4KS76FHFqLFIZfrDMff4kP08nblUkihrxltoGBjg/edit#gid=934712705"",""ESENCIAL!A6:BG""),15,FALSE))"),"")</f>
        <v/>
      </c>
      <c r="AX640" s="21" t="str">
        <f ca="1">IFERROR(__xludf.DUMMYFUNCTION("IFERROR(VLOOKUP(E657&amp;F657,IMPORTRANGE(""https://docs.google.com/spreadsheets/d/1Uw7-A9f9R21vMXxHZFNpYNeKFtG8_yji4HS352LGlSQ/edit?pli=1#gid=0"",""1_ACUM!A4:S""),12,FALSE))"),"")</f>
        <v/>
      </c>
      <c r="AY640" s="43" t="str">
        <f ca="1">IFERROR(__xludf.DUMMYFUNCTION("IFERROR(VLOOKUP(E657&amp;F657,IMPORTRANGE(""https://docs.google.com/spreadsheets/d/1Uw7-A9f9R21vMXxHZFNpYNeKFtG8_yji4HS352LGlSQ/edit?pli=1#gid=0"",""1_ACUM!A4:S""),13,FALSE))"),"")</f>
        <v/>
      </c>
      <c r="AZ640" s="43" t="str">
        <f ca="1">IFERROR(__xludf.DUMMYFUNCTION("IFERROR(VLOOKUP(E657&amp;F657,IMPORTRANGE(""https://docs.google.com/spreadsheets/d/1Uw7-A9f9R21vMXxHZFNpYNeKFtG8_yji4HS352LGlSQ/edit?pli=1#gid=0"",""1_ACUM!A4:S""),14,FALSE))"),"")</f>
        <v/>
      </c>
      <c r="BA640" s="43" t="str">
        <f ca="1">IFERROR(__xludf.DUMMYFUNCTION("IFERROR(VLOOKUP(E657&amp;F657,IMPORTRANGE(""https://docs.google.com/spreadsheets/d/1Uw7-A9f9R21vMXxHZFNpYNeKFtG8_yji4HS352LGlSQ/edit?pli=1#gid=0"",""1_ACUM!A4:S""),15,FALSE))"),"")</f>
        <v/>
      </c>
      <c r="BB640" s="43" t="str">
        <f ca="1">IFERROR(__xludf.DUMMYFUNCTION("IFERROR(VLOOKUP(E657&amp;F657,IMPORTRANGE(""https://docs.google.com/spreadsheets/d/1Uw7-A9f9R21vMXxHZFNpYNeKFtG8_yji4HS352LGlSQ/edit?pli=1#gid=0"",""1_ACUM!A4:S""),16,FALSE))"),"")</f>
        <v/>
      </c>
      <c r="BC640" s="43" t="str">
        <f ca="1">IFERROR(__xludf.DUMMYFUNCTION("IFERROR(VLOOKUP(E657&amp;F657,IMPORTRANGE(""https://docs.google.com/spreadsheets/d/1Uw7-A9f9R21vMXxHZFNpYNeKFtG8_yji4HS352LGlSQ/edit?pli=1#gid=0"",""1_ACUM!A4:S""),17,FALSE))"),"")</f>
        <v/>
      </c>
      <c r="BD640" s="44" t="str">
        <f ca="1">IFERROR(__xludf.DUMMYFUNCTION("IFERROR(VLOOKUP(E657&amp;F657,IMPORTRANGE(""https://docs.google.com/spreadsheets/d/1Uw7-A9f9R21vMXxHZFNpYNeKFtG8_yji4HS352LGlSQ/edit?pli=1#gid=0"",""1_ACUM!A4:S""),18,FALSE))"),"")</f>
        <v/>
      </c>
      <c r="BE640" s="44" t="str">
        <f ca="1">IFERROR(__xludf.DUMMYFUNCTION("IFERROR(VLOOKUP(E657&amp;F657,IMPORTRANGE(""https://docs.google.com/spreadsheets/d/1Uw7-A9f9R21vMXxHZFNpYNeKFtG8_yji4HS352LGlSQ/edit?pli=1#gid=0"",""1_ACUM!A4:S""),19,FALSE))"),"")</f>
        <v/>
      </c>
      <c r="BF640" s="44" t="str">
        <f ca="1">IFERROR(__xludf.DUMMYFUNCTION("IFERROR(VLOOKUP(F657,IMPORTRANGE(""https://docs.google.com/spreadsheets/d/1Kvs4KS76FHFqLFIZfrDMff4kP08nblUkihrxltoGBjg/edit#gid=934712705"",""ESENCIAL!A6:BG""),5,FALSE))"),"")</f>
        <v/>
      </c>
      <c r="BG640" s="44" t="str">
        <f t="shared" si="41"/>
        <v/>
      </c>
      <c r="BH640" s="41" t="str">
        <f t="shared" si="42"/>
        <v/>
      </c>
      <c r="BI640" s="41" t="str">
        <f ca="1">IFERROR(__xludf.DUMMYFUNCTION("IFERROR(VLOOKUP(F657,IMPORTRANGE(""https://docs.google.com/spreadsheets/d/1Kvs4KS76FHFqLFIZfrDMff4kP08nblUkihrxltoGBjg/edit#gid=934712705"",""ESENCIAL!A6:BG""),18,FALSE))"),"")</f>
        <v/>
      </c>
      <c r="BJ640" s="19" t="str">
        <f t="shared" si="43"/>
        <v/>
      </c>
      <c r="BK640" s="41"/>
      <c r="BL640" s="41"/>
    </row>
    <row r="641" spans="1:64" ht="15">
      <c r="A641" s="4"/>
      <c r="B641" s="4"/>
      <c r="G641" s="5" t="str">
        <f ca="1">IFERROR(__xludf.DUMMYFUNCTION("IFERROR(VLOOKUP(F658,IMPORTRANGE(""https://docs.google.com/spreadsheets/d/1Kvs4KS76FHFqLFIZfrDMff4kP08nblUkihrxltoGBjg/edit#gid=934712705"",""ESENCIAL!A6:BG""),3,FALSE))"),"")</f>
        <v/>
      </c>
      <c r="H641" s="5" t="str">
        <f ca="1">IFERROR(__xludf.DUMMYFUNCTION("IFERROR(VLOOKUP(F658,IMPORTRANGE(""https://docs.google.com/spreadsheets/d/1Kvs4KS76FHFqLFIZfrDMff4kP08nblUkihrxltoGBjg/edit#gid=934712705"",""ESENCIAL!A6:BG""),8,FALSE))"),"")</f>
        <v/>
      </c>
      <c r="L641" s="287"/>
      <c r="S641"/>
      <c r="AU641" s="41" t="str">
        <f t="shared" si="40"/>
        <v/>
      </c>
      <c r="AV641" s="5" t="str">
        <f ca="1">IFERROR(__xludf.DUMMYFUNCTION("IFERROR(VLOOKUP(E658&amp;F658,IMPORTRANGE(""https://docs.google.com/spreadsheets/d/1Uw7-A9f9R21vMXxHZFNpYNeKFtG8_yji4HS352LGlSQ/edit?pli=1#gid=0"",""1_ACUM!A4:S""),11,FALSE))"),"")</f>
        <v/>
      </c>
      <c r="AW641" s="42" t="str">
        <f ca="1">IFERROR(__xludf.DUMMYFUNCTION("IFERROR(VLOOKUP(F658,IMPORTRANGE(""https://docs.google.com/spreadsheets/d/1Kvs4KS76FHFqLFIZfrDMff4kP08nblUkihrxltoGBjg/edit#gid=934712705"",""ESENCIAL!A6:BG""),15,FALSE))"),"")</f>
        <v/>
      </c>
      <c r="AX641" s="21" t="str">
        <f ca="1">IFERROR(__xludf.DUMMYFUNCTION("IFERROR(VLOOKUP(E658&amp;F658,IMPORTRANGE(""https://docs.google.com/spreadsheets/d/1Uw7-A9f9R21vMXxHZFNpYNeKFtG8_yji4HS352LGlSQ/edit?pli=1#gid=0"",""1_ACUM!A4:S""),12,FALSE))"),"")</f>
        <v/>
      </c>
      <c r="AY641" s="43" t="str">
        <f ca="1">IFERROR(__xludf.DUMMYFUNCTION("IFERROR(VLOOKUP(E658&amp;F658,IMPORTRANGE(""https://docs.google.com/spreadsheets/d/1Uw7-A9f9R21vMXxHZFNpYNeKFtG8_yji4HS352LGlSQ/edit?pli=1#gid=0"",""1_ACUM!A4:S""),13,FALSE))"),"")</f>
        <v/>
      </c>
      <c r="AZ641" s="43" t="str">
        <f ca="1">IFERROR(__xludf.DUMMYFUNCTION("IFERROR(VLOOKUP(E658&amp;F658,IMPORTRANGE(""https://docs.google.com/spreadsheets/d/1Uw7-A9f9R21vMXxHZFNpYNeKFtG8_yji4HS352LGlSQ/edit?pli=1#gid=0"",""1_ACUM!A4:S""),14,FALSE))"),"")</f>
        <v/>
      </c>
      <c r="BA641" s="43" t="str">
        <f ca="1">IFERROR(__xludf.DUMMYFUNCTION("IFERROR(VLOOKUP(E658&amp;F658,IMPORTRANGE(""https://docs.google.com/spreadsheets/d/1Uw7-A9f9R21vMXxHZFNpYNeKFtG8_yji4HS352LGlSQ/edit?pli=1#gid=0"",""1_ACUM!A4:S""),15,FALSE))"),"")</f>
        <v/>
      </c>
      <c r="BB641" s="43" t="str">
        <f ca="1">IFERROR(__xludf.DUMMYFUNCTION("IFERROR(VLOOKUP(E658&amp;F658,IMPORTRANGE(""https://docs.google.com/spreadsheets/d/1Uw7-A9f9R21vMXxHZFNpYNeKFtG8_yji4HS352LGlSQ/edit?pli=1#gid=0"",""1_ACUM!A4:S""),16,FALSE))"),"")</f>
        <v/>
      </c>
      <c r="BC641" s="43" t="str">
        <f ca="1">IFERROR(__xludf.DUMMYFUNCTION("IFERROR(VLOOKUP(E658&amp;F658,IMPORTRANGE(""https://docs.google.com/spreadsheets/d/1Uw7-A9f9R21vMXxHZFNpYNeKFtG8_yji4HS352LGlSQ/edit?pli=1#gid=0"",""1_ACUM!A4:S""),17,FALSE))"),"")</f>
        <v/>
      </c>
      <c r="BD641" s="44" t="str">
        <f ca="1">IFERROR(__xludf.DUMMYFUNCTION("IFERROR(VLOOKUP(E658&amp;F658,IMPORTRANGE(""https://docs.google.com/spreadsheets/d/1Uw7-A9f9R21vMXxHZFNpYNeKFtG8_yji4HS352LGlSQ/edit?pli=1#gid=0"",""1_ACUM!A4:S""),18,FALSE))"),"")</f>
        <v/>
      </c>
      <c r="BE641" s="44" t="str">
        <f ca="1">IFERROR(__xludf.DUMMYFUNCTION("IFERROR(VLOOKUP(E658&amp;F658,IMPORTRANGE(""https://docs.google.com/spreadsheets/d/1Uw7-A9f9R21vMXxHZFNpYNeKFtG8_yji4HS352LGlSQ/edit?pli=1#gid=0"",""1_ACUM!A4:S""),19,FALSE))"),"")</f>
        <v/>
      </c>
      <c r="BF641" s="44" t="str">
        <f ca="1">IFERROR(__xludf.DUMMYFUNCTION("IFERROR(VLOOKUP(F658,IMPORTRANGE(""https://docs.google.com/spreadsheets/d/1Kvs4KS76FHFqLFIZfrDMff4kP08nblUkihrxltoGBjg/edit#gid=934712705"",""ESENCIAL!A6:BG""),5,FALSE))"),"")</f>
        <v/>
      </c>
      <c r="BG641" s="44" t="str">
        <f t="shared" si="41"/>
        <v/>
      </c>
      <c r="BH641" s="41" t="str">
        <f t="shared" si="42"/>
        <v/>
      </c>
      <c r="BI641" s="41" t="str">
        <f ca="1">IFERROR(__xludf.DUMMYFUNCTION("IFERROR(VLOOKUP(F658,IMPORTRANGE(""https://docs.google.com/spreadsheets/d/1Kvs4KS76FHFqLFIZfrDMff4kP08nblUkihrxltoGBjg/edit#gid=934712705"",""ESENCIAL!A6:BG""),18,FALSE))"),"")</f>
        <v/>
      </c>
      <c r="BJ641" s="19" t="str">
        <f t="shared" si="43"/>
        <v/>
      </c>
      <c r="BK641" s="41"/>
      <c r="BL641" s="41"/>
    </row>
    <row r="642" spans="1:64" ht="15">
      <c r="A642" s="4"/>
      <c r="B642" s="4"/>
      <c r="G642" s="5" t="str">
        <f ca="1">IFERROR(__xludf.DUMMYFUNCTION("IFERROR(VLOOKUP(F659,IMPORTRANGE(""https://docs.google.com/spreadsheets/d/1Kvs4KS76FHFqLFIZfrDMff4kP08nblUkihrxltoGBjg/edit#gid=934712705"",""ESENCIAL!A6:BG""),3,FALSE))"),"")</f>
        <v/>
      </c>
      <c r="H642" s="5" t="str">
        <f ca="1">IFERROR(__xludf.DUMMYFUNCTION("IFERROR(VLOOKUP(F659,IMPORTRANGE(""https://docs.google.com/spreadsheets/d/1Kvs4KS76FHFqLFIZfrDMff4kP08nblUkihrxltoGBjg/edit#gid=934712705"",""ESENCIAL!A6:BG""),8,FALSE))"),"")</f>
        <v/>
      </c>
      <c r="L642" s="287"/>
      <c r="S642"/>
      <c r="AU642" s="41" t="str">
        <f t="shared" si="40"/>
        <v/>
      </c>
      <c r="AV642" s="5" t="str">
        <f ca="1">IFERROR(__xludf.DUMMYFUNCTION("IFERROR(VLOOKUP(E659&amp;F659,IMPORTRANGE(""https://docs.google.com/spreadsheets/d/1Uw7-A9f9R21vMXxHZFNpYNeKFtG8_yji4HS352LGlSQ/edit?pli=1#gid=0"",""1_ACUM!A4:S""),11,FALSE))"),"")</f>
        <v/>
      </c>
      <c r="AW642" s="42" t="str">
        <f ca="1">IFERROR(__xludf.DUMMYFUNCTION("IFERROR(VLOOKUP(F659,IMPORTRANGE(""https://docs.google.com/spreadsheets/d/1Kvs4KS76FHFqLFIZfrDMff4kP08nblUkihrxltoGBjg/edit#gid=934712705"",""ESENCIAL!A6:BG""),15,FALSE))"),"")</f>
        <v/>
      </c>
      <c r="AX642" s="21" t="str">
        <f ca="1">IFERROR(__xludf.DUMMYFUNCTION("IFERROR(VLOOKUP(E659&amp;F659,IMPORTRANGE(""https://docs.google.com/spreadsheets/d/1Uw7-A9f9R21vMXxHZFNpYNeKFtG8_yji4HS352LGlSQ/edit?pli=1#gid=0"",""1_ACUM!A4:S""),12,FALSE))"),"")</f>
        <v/>
      </c>
      <c r="AY642" s="43" t="str">
        <f ca="1">IFERROR(__xludf.DUMMYFUNCTION("IFERROR(VLOOKUP(E659&amp;F659,IMPORTRANGE(""https://docs.google.com/spreadsheets/d/1Uw7-A9f9R21vMXxHZFNpYNeKFtG8_yji4HS352LGlSQ/edit?pli=1#gid=0"",""1_ACUM!A4:S""),13,FALSE))"),"")</f>
        <v/>
      </c>
      <c r="AZ642" s="43" t="str">
        <f ca="1">IFERROR(__xludf.DUMMYFUNCTION("IFERROR(VLOOKUP(E659&amp;F659,IMPORTRANGE(""https://docs.google.com/spreadsheets/d/1Uw7-A9f9R21vMXxHZFNpYNeKFtG8_yji4HS352LGlSQ/edit?pli=1#gid=0"",""1_ACUM!A4:S""),14,FALSE))"),"")</f>
        <v/>
      </c>
      <c r="BA642" s="43" t="str">
        <f ca="1">IFERROR(__xludf.DUMMYFUNCTION("IFERROR(VLOOKUP(E659&amp;F659,IMPORTRANGE(""https://docs.google.com/spreadsheets/d/1Uw7-A9f9R21vMXxHZFNpYNeKFtG8_yji4HS352LGlSQ/edit?pli=1#gid=0"",""1_ACUM!A4:S""),15,FALSE))"),"")</f>
        <v/>
      </c>
      <c r="BB642" s="43" t="str">
        <f ca="1">IFERROR(__xludf.DUMMYFUNCTION("IFERROR(VLOOKUP(E659&amp;F659,IMPORTRANGE(""https://docs.google.com/spreadsheets/d/1Uw7-A9f9R21vMXxHZFNpYNeKFtG8_yji4HS352LGlSQ/edit?pli=1#gid=0"",""1_ACUM!A4:S""),16,FALSE))"),"")</f>
        <v/>
      </c>
      <c r="BC642" s="43" t="str">
        <f ca="1">IFERROR(__xludf.DUMMYFUNCTION("IFERROR(VLOOKUP(E659&amp;F659,IMPORTRANGE(""https://docs.google.com/spreadsheets/d/1Uw7-A9f9R21vMXxHZFNpYNeKFtG8_yji4HS352LGlSQ/edit?pli=1#gid=0"",""1_ACUM!A4:S""),17,FALSE))"),"")</f>
        <v/>
      </c>
      <c r="BD642" s="44" t="str">
        <f ca="1">IFERROR(__xludf.DUMMYFUNCTION("IFERROR(VLOOKUP(E659&amp;F659,IMPORTRANGE(""https://docs.google.com/spreadsheets/d/1Uw7-A9f9R21vMXxHZFNpYNeKFtG8_yji4HS352LGlSQ/edit?pli=1#gid=0"",""1_ACUM!A4:S""),18,FALSE))"),"")</f>
        <v/>
      </c>
      <c r="BE642" s="44" t="str">
        <f ca="1">IFERROR(__xludf.DUMMYFUNCTION("IFERROR(VLOOKUP(E659&amp;F659,IMPORTRANGE(""https://docs.google.com/spreadsheets/d/1Uw7-A9f9R21vMXxHZFNpYNeKFtG8_yji4HS352LGlSQ/edit?pli=1#gid=0"",""1_ACUM!A4:S""),19,FALSE))"),"")</f>
        <v/>
      </c>
      <c r="BF642" s="44" t="str">
        <f ca="1">IFERROR(__xludf.DUMMYFUNCTION("IFERROR(VLOOKUP(F659,IMPORTRANGE(""https://docs.google.com/spreadsheets/d/1Kvs4KS76FHFqLFIZfrDMff4kP08nblUkihrxltoGBjg/edit#gid=934712705"",""ESENCIAL!A6:BG""),5,FALSE))"),"")</f>
        <v/>
      </c>
      <c r="BG642" s="44" t="str">
        <f t="shared" si="41"/>
        <v/>
      </c>
      <c r="BH642" s="41" t="str">
        <f t="shared" si="42"/>
        <v/>
      </c>
      <c r="BI642" s="41" t="str">
        <f ca="1">IFERROR(__xludf.DUMMYFUNCTION("IFERROR(VLOOKUP(F659,IMPORTRANGE(""https://docs.google.com/spreadsheets/d/1Kvs4KS76FHFqLFIZfrDMff4kP08nblUkihrxltoGBjg/edit#gid=934712705"",""ESENCIAL!A6:BG""),18,FALSE))"),"")</f>
        <v/>
      </c>
      <c r="BJ642" s="19" t="str">
        <f t="shared" si="43"/>
        <v/>
      </c>
      <c r="BK642" s="41"/>
      <c r="BL642" s="41"/>
    </row>
    <row r="643" spans="1:64" ht="15">
      <c r="A643" s="4"/>
      <c r="B643" s="4"/>
      <c r="G643" s="5" t="str">
        <f ca="1">IFERROR(__xludf.DUMMYFUNCTION("IFERROR(VLOOKUP(F660,IMPORTRANGE(""https://docs.google.com/spreadsheets/d/1Kvs4KS76FHFqLFIZfrDMff4kP08nblUkihrxltoGBjg/edit#gid=934712705"",""ESENCIAL!A6:BG""),3,FALSE))"),"")</f>
        <v/>
      </c>
      <c r="H643" s="5" t="str">
        <f ca="1">IFERROR(__xludf.DUMMYFUNCTION("IFERROR(VLOOKUP(F660,IMPORTRANGE(""https://docs.google.com/spreadsheets/d/1Kvs4KS76FHFqLFIZfrDMff4kP08nblUkihrxltoGBjg/edit#gid=934712705"",""ESENCIAL!A6:BG""),8,FALSE))"),"")</f>
        <v/>
      </c>
      <c r="L643" s="287"/>
      <c r="S643"/>
      <c r="AU643" s="41" t="str">
        <f t="shared" si="40"/>
        <v/>
      </c>
      <c r="AV643" s="5" t="str">
        <f ca="1">IFERROR(__xludf.DUMMYFUNCTION("IFERROR(VLOOKUP(E660&amp;F660,IMPORTRANGE(""https://docs.google.com/spreadsheets/d/1Uw7-A9f9R21vMXxHZFNpYNeKFtG8_yji4HS352LGlSQ/edit?pli=1#gid=0"",""1_ACUM!A4:S""),11,FALSE))"),"")</f>
        <v/>
      </c>
      <c r="AW643" s="42" t="str">
        <f ca="1">IFERROR(__xludf.DUMMYFUNCTION("IFERROR(VLOOKUP(F660,IMPORTRANGE(""https://docs.google.com/spreadsheets/d/1Kvs4KS76FHFqLFIZfrDMff4kP08nblUkihrxltoGBjg/edit#gid=934712705"",""ESENCIAL!A6:BG""),15,FALSE))"),"")</f>
        <v/>
      </c>
      <c r="AX643" s="21" t="str">
        <f ca="1">IFERROR(__xludf.DUMMYFUNCTION("IFERROR(VLOOKUP(E660&amp;F660,IMPORTRANGE(""https://docs.google.com/spreadsheets/d/1Uw7-A9f9R21vMXxHZFNpYNeKFtG8_yji4HS352LGlSQ/edit?pli=1#gid=0"",""1_ACUM!A4:S""),12,FALSE))"),"")</f>
        <v/>
      </c>
      <c r="AY643" s="43" t="str">
        <f ca="1">IFERROR(__xludf.DUMMYFUNCTION("IFERROR(VLOOKUP(E660&amp;F660,IMPORTRANGE(""https://docs.google.com/spreadsheets/d/1Uw7-A9f9R21vMXxHZFNpYNeKFtG8_yji4HS352LGlSQ/edit?pli=1#gid=0"",""1_ACUM!A4:S""),13,FALSE))"),"")</f>
        <v/>
      </c>
      <c r="AZ643" s="43" t="str">
        <f ca="1">IFERROR(__xludf.DUMMYFUNCTION("IFERROR(VLOOKUP(E660&amp;F660,IMPORTRANGE(""https://docs.google.com/spreadsheets/d/1Uw7-A9f9R21vMXxHZFNpYNeKFtG8_yji4HS352LGlSQ/edit?pli=1#gid=0"",""1_ACUM!A4:S""),14,FALSE))"),"")</f>
        <v/>
      </c>
      <c r="BA643" s="43" t="str">
        <f ca="1">IFERROR(__xludf.DUMMYFUNCTION("IFERROR(VLOOKUP(E660&amp;F660,IMPORTRANGE(""https://docs.google.com/spreadsheets/d/1Uw7-A9f9R21vMXxHZFNpYNeKFtG8_yji4HS352LGlSQ/edit?pli=1#gid=0"",""1_ACUM!A4:S""),15,FALSE))"),"")</f>
        <v/>
      </c>
      <c r="BB643" s="43" t="str">
        <f ca="1">IFERROR(__xludf.DUMMYFUNCTION("IFERROR(VLOOKUP(E660&amp;F660,IMPORTRANGE(""https://docs.google.com/spreadsheets/d/1Uw7-A9f9R21vMXxHZFNpYNeKFtG8_yji4HS352LGlSQ/edit?pli=1#gid=0"",""1_ACUM!A4:S""),16,FALSE))"),"")</f>
        <v/>
      </c>
      <c r="BC643" s="43" t="str">
        <f ca="1">IFERROR(__xludf.DUMMYFUNCTION("IFERROR(VLOOKUP(E660&amp;F660,IMPORTRANGE(""https://docs.google.com/spreadsheets/d/1Uw7-A9f9R21vMXxHZFNpYNeKFtG8_yji4HS352LGlSQ/edit?pli=1#gid=0"",""1_ACUM!A4:S""),17,FALSE))"),"")</f>
        <v/>
      </c>
      <c r="BD643" s="44" t="str">
        <f ca="1">IFERROR(__xludf.DUMMYFUNCTION("IFERROR(VLOOKUP(E660&amp;F660,IMPORTRANGE(""https://docs.google.com/spreadsheets/d/1Uw7-A9f9R21vMXxHZFNpYNeKFtG8_yji4HS352LGlSQ/edit?pli=1#gid=0"",""1_ACUM!A4:S""),18,FALSE))"),"")</f>
        <v/>
      </c>
      <c r="BE643" s="44" t="str">
        <f ca="1">IFERROR(__xludf.DUMMYFUNCTION("IFERROR(VLOOKUP(E660&amp;F660,IMPORTRANGE(""https://docs.google.com/spreadsheets/d/1Uw7-A9f9R21vMXxHZFNpYNeKFtG8_yji4HS352LGlSQ/edit?pli=1#gid=0"",""1_ACUM!A4:S""),19,FALSE))"),"")</f>
        <v/>
      </c>
      <c r="BF643" s="44" t="str">
        <f ca="1">IFERROR(__xludf.DUMMYFUNCTION("IFERROR(VLOOKUP(F660,IMPORTRANGE(""https://docs.google.com/spreadsheets/d/1Kvs4KS76FHFqLFIZfrDMff4kP08nblUkihrxltoGBjg/edit#gid=934712705"",""ESENCIAL!A6:BG""),5,FALSE))"),"")</f>
        <v/>
      </c>
      <c r="BG643" s="44" t="str">
        <f t="shared" si="41"/>
        <v/>
      </c>
      <c r="BH643" s="41" t="str">
        <f t="shared" si="42"/>
        <v/>
      </c>
      <c r="BI643" s="41" t="str">
        <f ca="1">IFERROR(__xludf.DUMMYFUNCTION("IFERROR(VLOOKUP(F660,IMPORTRANGE(""https://docs.google.com/spreadsheets/d/1Kvs4KS76FHFqLFIZfrDMff4kP08nblUkihrxltoGBjg/edit#gid=934712705"",""ESENCIAL!A6:BG""),18,FALSE))"),"")</f>
        <v/>
      </c>
      <c r="BJ643" s="19" t="str">
        <f t="shared" si="43"/>
        <v/>
      </c>
      <c r="BK643" s="41"/>
      <c r="BL643" s="41"/>
    </row>
    <row r="644" spans="1:64" ht="15">
      <c r="A644" s="4"/>
      <c r="B644" s="4"/>
      <c r="G644" s="5" t="str">
        <f ca="1">IFERROR(__xludf.DUMMYFUNCTION("IFERROR(VLOOKUP(F661,IMPORTRANGE(""https://docs.google.com/spreadsheets/d/1Kvs4KS76FHFqLFIZfrDMff4kP08nblUkihrxltoGBjg/edit#gid=934712705"",""ESENCIAL!A6:BG""),3,FALSE))"),"")</f>
        <v/>
      </c>
      <c r="H644" s="5" t="str">
        <f ca="1">IFERROR(__xludf.DUMMYFUNCTION("IFERROR(VLOOKUP(F661,IMPORTRANGE(""https://docs.google.com/spreadsheets/d/1Kvs4KS76FHFqLFIZfrDMff4kP08nblUkihrxltoGBjg/edit#gid=934712705"",""ESENCIAL!A6:BG""),8,FALSE))"),"")</f>
        <v/>
      </c>
      <c r="L644" s="287"/>
      <c r="S644"/>
      <c r="AU644" s="41" t="str">
        <f t="shared" si="40"/>
        <v/>
      </c>
      <c r="AV644" s="5" t="str">
        <f ca="1">IFERROR(__xludf.DUMMYFUNCTION("IFERROR(VLOOKUP(E661&amp;F661,IMPORTRANGE(""https://docs.google.com/spreadsheets/d/1Uw7-A9f9R21vMXxHZFNpYNeKFtG8_yji4HS352LGlSQ/edit?pli=1#gid=0"",""1_ACUM!A4:S""),11,FALSE))"),"")</f>
        <v/>
      </c>
      <c r="AW644" s="42" t="str">
        <f ca="1">IFERROR(__xludf.DUMMYFUNCTION("IFERROR(VLOOKUP(F661,IMPORTRANGE(""https://docs.google.com/spreadsheets/d/1Kvs4KS76FHFqLFIZfrDMff4kP08nblUkihrxltoGBjg/edit#gid=934712705"",""ESENCIAL!A6:BG""),15,FALSE))"),"")</f>
        <v/>
      </c>
      <c r="AX644" s="21" t="str">
        <f ca="1">IFERROR(__xludf.DUMMYFUNCTION("IFERROR(VLOOKUP(E661&amp;F661,IMPORTRANGE(""https://docs.google.com/spreadsheets/d/1Uw7-A9f9R21vMXxHZFNpYNeKFtG8_yji4HS352LGlSQ/edit?pli=1#gid=0"",""1_ACUM!A4:S""),12,FALSE))"),"")</f>
        <v/>
      </c>
      <c r="AY644" s="43" t="str">
        <f ca="1">IFERROR(__xludf.DUMMYFUNCTION("IFERROR(VLOOKUP(E661&amp;F661,IMPORTRANGE(""https://docs.google.com/spreadsheets/d/1Uw7-A9f9R21vMXxHZFNpYNeKFtG8_yji4HS352LGlSQ/edit?pli=1#gid=0"",""1_ACUM!A4:S""),13,FALSE))"),"")</f>
        <v/>
      </c>
      <c r="AZ644" s="43" t="str">
        <f ca="1">IFERROR(__xludf.DUMMYFUNCTION("IFERROR(VLOOKUP(E661&amp;F661,IMPORTRANGE(""https://docs.google.com/spreadsheets/d/1Uw7-A9f9R21vMXxHZFNpYNeKFtG8_yji4HS352LGlSQ/edit?pli=1#gid=0"",""1_ACUM!A4:S""),14,FALSE))"),"")</f>
        <v/>
      </c>
      <c r="BA644" s="43" t="str">
        <f ca="1">IFERROR(__xludf.DUMMYFUNCTION("IFERROR(VLOOKUP(E661&amp;F661,IMPORTRANGE(""https://docs.google.com/spreadsheets/d/1Uw7-A9f9R21vMXxHZFNpYNeKFtG8_yji4HS352LGlSQ/edit?pli=1#gid=0"",""1_ACUM!A4:S""),15,FALSE))"),"")</f>
        <v/>
      </c>
      <c r="BB644" s="43" t="str">
        <f ca="1">IFERROR(__xludf.DUMMYFUNCTION("IFERROR(VLOOKUP(E661&amp;F661,IMPORTRANGE(""https://docs.google.com/spreadsheets/d/1Uw7-A9f9R21vMXxHZFNpYNeKFtG8_yji4HS352LGlSQ/edit?pli=1#gid=0"",""1_ACUM!A4:S""),16,FALSE))"),"")</f>
        <v/>
      </c>
      <c r="BC644" s="43" t="str">
        <f ca="1">IFERROR(__xludf.DUMMYFUNCTION("IFERROR(VLOOKUP(E661&amp;F661,IMPORTRANGE(""https://docs.google.com/spreadsheets/d/1Uw7-A9f9R21vMXxHZFNpYNeKFtG8_yji4HS352LGlSQ/edit?pli=1#gid=0"",""1_ACUM!A4:S""),17,FALSE))"),"")</f>
        <v/>
      </c>
      <c r="BD644" s="44" t="str">
        <f ca="1">IFERROR(__xludf.DUMMYFUNCTION("IFERROR(VLOOKUP(E661&amp;F661,IMPORTRANGE(""https://docs.google.com/spreadsheets/d/1Uw7-A9f9R21vMXxHZFNpYNeKFtG8_yji4HS352LGlSQ/edit?pli=1#gid=0"",""1_ACUM!A4:S""),18,FALSE))"),"")</f>
        <v/>
      </c>
      <c r="BE644" s="44" t="str">
        <f ca="1">IFERROR(__xludf.DUMMYFUNCTION("IFERROR(VLOOKUP(E661&amp;F661,IMPORTRANGE(""https://docs.google.com/spreadsheets/d/1Uw7-A9f9R21vMXxHZFNpYNeKFtG8_yji4HS352LGlSQ/edit?pli=1#gid=0"",""1_ACUM!A4:S""),19,FALSE))"),"")</f>
        <v/>
      </c>
      <c r="BF644" s="44" t="str">
        <f ca="1">IFERROR(__xludf.DUMMYFUNCTION("IFERROR(VLOOKUP(F661,IMPORTRANGE(""https://docs.google.com/spreadsheets/d/1Kvs4KS76FHFqLFIZfrDMff4kP08nblUkihrxltoGBjg/edit#gid=934712705"",""ESENCIAL!A6:BG""),5,FALSE))"),"")</f>
        <v/>
      </c>
      <c r="BG644" s="44" t="str">
        <f t="shared" si="41"/>
        <v/>
      </c>
      <c r="BH644" s="41" t="str">
        <f t="shared" si="42"/>
        <v/>
      </c>
      <c r="BI644" s="41" t="str">
        <f ca="1">IFERROR(__xludf.DUMMYFUNCTION("IFERROR(VLOOKUP(F661,IMPORTRANGE(""https://docs.google.com/spreadsheets/d/1Kvs4KS76FHFqLFIZfrDMff4kP08nblUkihrxltoGBjg/edit#gid=934712705"",""ESENCIAL!A6:BG""),18,FALSE))"),"")</f>
        <v/>
      </c>
      <c r="BJ644" s="19" t="str">
        <f t="shared" si="43"/>
        <v/>
      </c>
      <c r="BK644" s="41"/>
      <c r="BL644" s="41"/>
    </row>
    <row r="645" spans="1:64" ht="15">
      <c r="A645" s="4"/>
      <c r="B645" s="4"/>
      <c r="G645" s="5" t="str">
        <f ca="1">IFERROR(__xludf.DUMMYFUNCTION("IFERROR(VLOOKUP(F662,IMPORTRANGE(""https://docs.google.com/spreadsheets/d/1Kvs4KS76FHFqLFIZfrDMff4kP08nblUkihrxltoGBjg/edit#gid=934712705"",""ESENCIAL!A6:BG""),3,FALSE))"),"")</f>
        <v/>
      </c>
      <c r="H645" s="5" t="str">
        <f ca="1">IFERROR(__xludf.DUMMYFUNCTION("IFERROR(VLOOKUP(F662,IMPORTRANGE(""https://docs.google.com/spreadsheets/d/1Kvs4KS76FHFqLFIZfrDMff4kP08nblUkihrxltoGBjg/edit#gid=934712705"",""ESENCIAL!A6:BG""),8,FALSE))"),"")</f>
        <v/>
      </c>
      <c r="L645" s="287"/>
      <c r="S645"/>
      <c r="AU645" s="41" t="str">
        <f t="shared" si="40"/>
        <v/>
      </c>
      <c r="AV645" s="5" t="str">
        <f ca="1">IFERROR(__xludf.DUMMYFUNCTION("IFERROR(VLOOKUP(E662&amp;F662,IMPORTRANGE(""https://docs.google.com/spreadsheets/d/1Uw7-A9f9R21vMXxHZFNpYNeKFtG8_yji4HS352LGlSQ/edit?pli=1#gid=0"",""1_ACUM!A4:S""),11,FALSE))"),"")</f>
        <v/>
      </c>
      <c r="AW645" s="42" t="str">
        <f ca="1">IFERROR(__xludf.DUMMYFUNCTION("IFERROR(VLOOKUP(F662,IMPORTRANGE(""https://docs.google.com/spreadsheets/d/1Kvs4KS76FHFqLFIZfrDMff4kP08nblUkihrxltoGBjg/edit#gid=934712705"",""ESENCIAL!A6:BG""),15,FALSE))"),"")</f>
        <v/>
      </c>
      <c r="AX645" s="21" t="str">
        <f ca="1">IFERROR(__xludf.DUMMYFUNCTION("IFERROR(VLOOKUP(E662&amp;F662,IMPORTRANGE(""https://docs.google.com/spreadsheets/d/1Uw7-A9f9R21vMXxHZFNpYNeKFtG8_yji4HS352LGlSQ/edit?pli=1#gid=0"",""1_ACUM!A4:S""),12,FALSE))"),"")</f>
        <v/>
      </c>
      <c r="AY645" s="43" t="str">
        <f ca="1">IFERROR(__xludf.DUMMYFUNCTION("IFERROR(VLOOKUP(E662&amp;F662,IMPORTRANGE(""https://docs.google.com/spreadsheets/d/1Uw7-A9f9R21vMXxHZFNpYNeKFtG8_yji4HS352LGlSQ/edit?pli=1#gid=0"",""1_ACUM!A4:S""),13,FALSE))"),"")</f>
        <v/>
      </c>
      <c r="AZ645" s="43" t="str">
        <f ca="1">IFERROR(__xludf.DUMMYFUNCTION("IFERROR(VLOOKUP(E662&amp;F662,IMPORTRANGE(""https://docs.google.com/spreadsheets/d/1Uw7-A9f9R21vMXxHZFNpYNeKFtG8_yji4HS352LGlSQ/edit?pli=1#gid=0"",""1_ACUM!A4:S""),14,FALSE))"),"")</f>
        <v/>
      </c>
      <c r="BA645" s="43" t="str">
        <f ca="1">IFERROR(__xludf.DUMMYFUNCTION("IFERROR(VLOOKUP(E662&amp;F662,IMPORTRANGE(""https://docs.google.com/spreadsheets/d/1Uw7-A9f9R21vMXxHZFNpYNeKFtG8_yji4HS352LGlSQ/edit?pli=1#gid=0"",""1_ACUM!A4:S""),15,FALSE))"),"")</f>
        <v/>
      </c>
      <c r="BB645" s="43" t="str">
        <f ca="1">IFERROR(__xludf.DUMMYFUNCTION("IFERROR(VLOOKUP(E662&amp;F662,IMPORTRANGE(""https://docs.google.com/spreadsheets/d/1Uw7-A9f9R21vMXxHZFNpYNeKFtG8_yji4HS352LGlSQ/edit?pli=1#gid=0"",""1_ACUM!A4:S""),16,FALSE))"),"")</f>
        <v/>
      </c>
      <c r="BC645" s="43" t="str">
        <f ca="1">IFERROR(__xludf.DUMMYFUNCTION("IFERROR(VLOOKUP(E662&amp;F662,IMPORTRANGE(""https://docs.google.com/spreadsheets/d/1Uw7-A9f9R21vMXxHZFNpYNeKFtG8_yji4HS352LGlSQ/edit?pli=1#gid=0"",""1_ACUM!A4:S""),17,FALSE))"),"")</f>
        <v/>
      </c>
      <c r="BD645" s="44" t="str">
        <f ca="1">IFERROR(__xludf.DUMMYFUNCTION("IFERROR(VLOOKUP(E662&amp;F662,IMPORTRANGE(""https://docs.google.com/spreadsheets/d/1Uw7-A9f9R21vMXxHZFNpYNeKFtG8_yji4HS352LGlSQ/edit?pli=1#gid=0"",""1_ACUM!A4:S""),18,FALSE))"),"")</f>
        <v/>
      </c>
      <c r="BE645" s="44" t="str">
        <f ca="1">IFERROR(__xludf.DUMMYFUNCTION("IFERROR(VLOOKUP(E662&amp;F662,IMPORTRANGE(""https://docs.google.com/spreadsheets/d/1Uw7-A9f9R21vMXxHZFNpYNeKFtG8_yji4HS352LGlSQ/edit?pli=1#gid=0"",""1_ACUM!A4:S""),19,FALSE))"),"")</f>
        <v/>
      </c>
      <c r="BF645" s="44" t="str">
        <f ca="1">IFERROR(__xludf.DUMMYFUNCTION("IFERROR(VLOOKUP(F662,IMPORTRANGE(""https://docs.google.com/spreadsheets/d/1Kvs4KS76FHFqLFIZfrDMff4kP08nblUkihrxltoGBjg/edit#gid=934712705"",""ESENCIAL!A6:BG""),5,FALSE))"),"")</f>
        <v/>
      </c>
      <c r="BG645" s="44" t="str">
        <f t="shared" si="41"/>
        <v/>
      </c>
      <c r="BH645" s="41" t="str">
        <f t="shared" si="42"/>
        <v/>
      </c>
      <c r="BI645" s="41" t="str">
        <f ca="1">IFERROR(__xludf.DUMMYFUNCTION("IFERROR(VLOOKUP(F662,IMPORTRANGE(""https://docs.google.com/spreadsheets/d/1Kvs4KS76FHFqLFIZfrDMff4kP08nblUkihrxltoGBjg/edit#gid=934712705"",""ESENCIAL!A6:BG""),18,FALSE))"),"")</f>
        <v/>
      </c>
      <c r="BJ645" s="19" t="str">
        <f t="shared" si="43"/>
        <v/>
      </c>
      <c r="BK645" s="41"/>
      <c r="BL645" s="41"/>
    </row>
    <row r="646" spans="1:64" ht="15">
      <c r="A646" s="4"/>
      <c r="B646" s="4"/>
      <c r="G646" s="5" t="str">
        <f ca="1">IFERROR(__xludf.DUMMYFUNCTION("IFERROR(VLOOKUP(F663,IMPORTRANGE(""https://docs.google.com/spreadsheets/d/1Kvs4KS76FHFqLFIZfrDMff4kP08nblUkihrxltoGBjg/edit#gid=934712705"",""ESENCIAL!A6:BG""),3,FALSE))"),"")</f>
        <v/>
      </c>
      <c r="H646" s="5" t="str">
        <f ca="1">IFERROR(__xludf.DUMMYFUNCTION("IFERROR(VLOOKUP(F663,IMPORTRANGE(""https://docs.google.com/spreadsheets/d/1Kvs4KS76FHFqLFIZfrDMff4kP08nblUkihrxltoGBjg/edit#gid=934712705"",""ESENCIAL!A6:BG""),8,FALSE))"),"")</f>
        <v/>
      </c>
      <c r="L646" s="287"/>
      <c r="S646"/>
      <c r="AU646" s="41" t="str">
        <f t="shared" si="40"/>
        <v/>
      </c>
      <c r="AV646" s="5" t="str">
        <f ca="1">IFERROR(__xludf.DUMMYFUNCTION("IFERROR(VLOOKUP(E663&amp;F663,IMPORTRANGE(""https://docs.google.com/spreadsheets/d/1Uw7-A9f9R21vMXxHZFNpYNeKFtG8_yji4HS352LGlSQ/edit?pli=1#gid=0"",""1_ACUM!A4:S""),11,FALSE))"),"")</f>
        <v/>
      </c>
      <c r="AW646" s="42" t="str">
        <f ca="1">IFERROR(__xludf.DUMMYFUNCTION("IFERROR(VLOOKUP(F663,IMPORTRANGE(""https://docs.google.com/spreadsheets/d/1Kvs4KS76FHFqLFIZfrDMff4kP08nblUkihrxltoGBjg/edit#gid=934712705"",""ESENCIAL!A6:BG""),15,FALSE))"),"")</f>
        <v/>
      </c>
      <c r="AX646" s="21" t="str">
        <f ca="1">IFERROR(__xludf.DUMMYFUNCTION("IFERROR(VLOOKUP(E663&amp;F663,IMPORTRANGE(""https://docs.google.com/spreadsheets/d/1Uw7-A9f9R21vMXxHZFNpYNeKFtG8_yji4HS352LGlSQ/edit?pli=1#gid=0"",""1_ACUM!A4:S""),12,FALSE))"),"")</f>
        <v/>
      </c>
      <c r="AY646" s="43" t="str">
        <f ca="1">IFERROR(__xludf.DUMMYFUNCTION("IFERROR(VLOOKUP(E663&amp;F663,IMPORTRANGE(""https://docs.google.com/spreadsheets/d/1Uw7-A9f9R21vMXxHZFNpYNeKFtG8_yji4HS352LGlSQ/edit?pli=1#gid=0"",""1_ACUM!A4:S""),13,FALSE))"),"")</f>
        <v/>
      </c>
      <c r="AZ646" s="43" t="str">
        <f ca="1">IFERROR(__xludf.DUMMYFUNCTION("IFERROR(VLOOKUP(E663&amp;F663,IMPORTRANGE(""https://docs.google.com/spreadsheets/d/1Uw7-A9f9R21vMXxHZFNpYNeKFtG8_yji4HS352LGlSQ/edit?pli=1#gid=0"",""1_ACUM!A4:S""),14,FALSE))"),"")</f>
        <v/>
      </c>
      <c r="BA646" s="43" t="str">
        <f ca="1">IFERROR(__xludf.DUMMYFUNCTION("IFERROR(VLOOKUP(E663&amp;F663,IMPORTRANGE(""https://docs.google.com/spreadsheets/d/1Uw7-A9f9R21vMXxHZFNpYNeKFtG8_yji4HS352LGlSQ/edit?pli=1#gid=0"",""1_ACUM!A4:S""),15,FALSE))"),"")</f>
        <v/>
      </c>
      <c r="BB646" s="43" t="str">
        <f ca="1">IFERROR(__xludf.DUMMYFUNCTION("IFERROR(VLOOKUP(E663&amp;F663,IMPORTRANGE(""https://docs.google.com/spreadsheets/d/1Uw7-A9f9R21vMXxHZFNpYNeKFtG8_yji4HS352LGlSQ/edit?pli=1#gid=0"",""1_ACUM!A4:S""),16,FALSE))"),"")</f>
        <v/>
      </c>
      <c r="BC646" s="43" t="str">
        <f ca="1">IFERROR(__xludf.DUMMYFUNCTION("IFERROR(VLOOKUP(E663&amp;F663,IMPORTRANGE(""https://docs.google.com/spreadsheets/d/1Uw7-A9f9R21vMXxHZFNpYNeKFtG8_yji4HS352LGlSQ/edit?pli=1#gid=0"",""1_ACUM!A4:S""),17,FALSE))"),"")</f>
        <v/>
      </c>
      <c r="BD646" s="44" t="str">
        <f ca="1">IFERROR(__xludf.DUMMYFUNCTION("IFERROR(VLOOKUP(E663&amp;F663,IMPORTRANGE(""https://docs.google.com/spreadsheets/d/1Uw7-A9f9R21vMXxHZFNpYNeKFtG8_yji4HS352LGlSQ/edit?pli=1#gid=0"",""1_ACUM!A4:S""),18,FALSE))"),"")</f>
        <v/>
      </c>
      <c r="BE646" s="44" t="str">
        <f ca="1">IFERROR(__xludf.DUMMYFUNCTION("IFERROR(VLOOKUP(E663&amp;F663,IMPORTRANGE(""https://docs.google.com/spreadsheets/d/1Uw7-A9f9R21vMXxHZFNpYNeKFtG8_yji4HS352LGlSQ/edit?pli=1#gid=0"",""1_ACUM!A4:S""),19,FALSE))"),"")</f>
        <v/>
      </c>
      <c r="BF646" s="44" t="str">
        <f ca="1">IFERROR(__xludf.DUMMYFUNCTION("IFERROR(VLOOKUP(F663,IMPORTRANGE(""https://docs.google.com/spreadsheets/d/1Kvs4KS76FHFqLFIZfrDMff4kP08nblUkihrxltoGBjg/edit#gid=934712705"",""ESENCIAL!A6:BG""),5,FALSE))"),"")</f>
        <v/>
      </c>
      <c r="BG646" s="44" t="str">
        <f t="shared" si="41"/>
        <v/>
      </c>
      <c r="BH646" s="41" t="str">
        <f t="shared" si="42"/>
        <v/>
      </c>
      <c r="BI646" s="41" t="str">
        <f ca="1">IFERROR(__xludf.DUMMYFUNCTION("IFERROR(VLOOKUP(F663,IMPORTRANGE(""https://docs.google.com/spreadsheets/d/1Kvs4KS76FHFqLFIZfrDMff4kP08nblUkihrxltoGBjg/edit#gid=934712705"",""ESENCIAL!A6:BG""),18,FALSE))"),"")</f>
        <v/>
      </c>
      <c r="BJ646" s="19" t="str">
        <f t="shared" si="43"/>
        <v/>
      </c>
      <c r="BK646" s="41"/>
      <c r="BL646" s="41"/>
    </row>
    <row r="647" spans="1:64" ht="15">
      <c r="A647" s="4"/>
      <c r="B647" s="4"/>
      <c r="G647" s="5" t="str">
        <f ca="1">IFERROR(__xludf.DUMMYFUNCTION("IFERROR(VLOOKUP(F664,IMPORTRANGE(""https://docs.google.com/spreadsheets/d/1Kvs4KS76FHFqLFIZfrDMff4kP08nblUkihrxltoGBjg/edit#gid=934712705"",""ESENCIAL!A6:BG""),3,FALSE))"),"")</f>
        <v/>
      </c>
      <c r="H647" s="5" t="str">
        <f ca="1">IFERROR(__xludf.DUMMYFUNCTION("IFERROR(VLOOKUP(F664,IMPORTRANGE(""https://docs.google.com/spreadsheets/d/1Kvs4KS76FHFqLFIZfrDMff4kP08nblUkihrxltoGBjg/edit#gid=934712705"",""ESENCIAL!A6:BG""),8,FALSE))"),"")</f>
        <v/>
      </c>
      <c r="L647" s="287"/>
      <c r="S647"/>
      <c r="AU647" s="41" t="str">
        <f t="shared" si="40"/>
        <v/>
      </c>
      <c r="AV647" s="5" t="str">
        <f ca="1">IFERROR(__xludf.DUMMYFUNCTION("IFERROR(VLOOKUP(E664&amp;F664,IMPORTRANGE(""https://docs.google.com/spreadsheets/d/1Uw7-A9f9R21vMXxHZFNpYNeKFtG8_yji4HS352LGlSQ/edit?pli=1#gid=0"",""1_ACUM!A4:S""),11,FALSE))"),"")</f>
        <v/>
      </c>
      <c r="AW647" s="42" t="str">
        <f ca="1">IFERROR(__xludf.DUMMYFUNCTION("IFERROR(VLOOKUP(F664,IMPORTRANGE(""https://docs.google.com/spreadsheets/d/1Kvs4KS76FHFqLFIZfrDMff4kP08nblUkihrxltoGBjg/edit#gid=934712705"",""ESENCIAL!A6:BG""),15,FALSE))"),"")</f>
        <v/>
      </c>
      <c r="AX647" s="21" t="str">
        <f ca="1">IFERROR(__xludf.DUMMYFUNCTION("IFERROR(VLOOKUP(E664&amp;F664,IMPORTRANGE(""https://docs.google.com/spreadsheets/d/1Uw7-A9f9R21vMXxHZFNpYNeKFtG8_yji4HS352LGlSQ/edit?pli=1#gid=0"",""1_ACUM!A4:S""),12,FALSE))"),"")</f>
        <v/>
      </c>
      <c r="AY647" s="43" t="str">
        <f ca="1">IFERROR(__xludf.DUMMYFUNCTION("IFERROR(VLOOKUP(E664&amp;F664,IMPORTRANGE(""https://docs.google.com/spreadsheets/d/1Uw7-A9f9R21vMXxHZFNpYNeKFtG8_yji4HS352LGlSQ/edit?pli=1#gid=0"",""1_ACUM!A4:S""),13,FALSE))"),"")</f>
        <v/>
      </c>
      <c r="AZ647" s="43" t="str">
        <f ca="1">IFERROR(__xludf.DUMMYFUNCTION("IFERROR(VLOOKUP(E664&amp;F664,IMPORTRANGE(""https://docs.google.com/spreadsheets/d/1Uw7-A9f9R21vMXxHZFNpYNeKFtG8_yji4HS352LGlSQ/edit?pli=1#gid=0"",""1_ACUM!A4:S""),14,FALSE))"),"")</f>
        <v/>
      </c>
      <c r="BA647" s="43" t="str">
        <f ca="1">IFERROR(__xludf.DUMMYFUNCTION("IFERROR(VLOOKUP(E664&amp;F664,IMPORTRANGE(""https://docs.google.com/spreadsheets/d/1Uw7-A9f9R21vMXxHZFNpYNeKFtG8_yji4HS352LGlSQ/edit?pli=1#gid=0"",""1_ACUM!A4:S""),15,FALSE))"),"")</f>
        <v/>
      </c>
      <c r="BB647" s="43" t="str">
        <f ca="1">IFERROR(__xludf.DUMMYFUNCTION("IFERROR(VLOOKUP(E664&amp;F664,IMPORTRANGE(""https://docs.google.com/spreadsheets/d/1Uw7-A9f9R21vMXxHZFNpYNeKFtG8_yji4HS352LGlSQ/edit?pli=1#gid=0"",""1_ACUM!A4:S""),16,FALSE))"),"")</f>
        <v/>
      </c>
      <c r="BC647" s="43" t="str">
        <f ca="1">IFERROR(__xludf.DUMMYFUNCTION("IFERROR(VLOOKUP(E664&amp;F664,IMPORTRANGE(""https://docs.google.com/spreadsheets/d/1Uw7-A9f9R21vMXxHZFNpYNeKFtG8_yji4HS352LGlSQ/edit?pli=1#gid=0"",""1_ACUM!A4:S""),17,FALSE))"),"")</f>
        <v/>
      </c>
      <c r="BD647" s="44" t="str">
        <f ca="1">IFERROR(__xludf.DUMMYFUNCTION("IFERROR(VLOOKUP(E664&amp;F664,IMPORTRANGE(""https://docs.google.com/spreadsheets/d/1Uw7-A9f9R21vMXxHZFNpYNeKFtG8_yji4HS352LGlSQ/edit?pli=1#gid=0"",""1_ACUM!A4:S""),18,FALSE))"),"")</f>
        <v/>
      </c>
      <c r="BE647" s="44" t="str">
        <f ca="1">IFERROR(__xludf.DUMMYFUNCTION("IFERROR(VLOOKUP(E664&amp;F664,IMPORTRANGE(""https://docs.google.com/spreadsheets/d/1Uw7-A9f9R21vMXxHZFNpYNeKFtG8_yji4HS352LGlSQ/edit?pli=1#gid=0"",""1_ACUM!A4:S""),19,FALSE))"),"")</f>
        <v/>
      </c>
      <c r="BF647" s="44" t="str">
        <f ca="1">IFERROR(__xludf.DUMMYFUNCTION("IFERROR(VLOOKUP(F664,IMPORTRANGE(""https://docs.google.com/spreadsheets/d/1Kvs4KS76FHFqLFIZfrDMff4kP08nblUkihrxltoGBjg/edit#gid=934712705"",""ESENCIAL!A6:BG""),5,FALSE))"),"")</f>
        <v/>
      </c>
      <c r="BG647" s="44" t="str">
        <f t="shared" si="41"/>
        <v/>
      </c>
      <c r="BH647" s="41" t="str">
        <f t="shared" si="42"/>
        <v/>
      </c>
      <c r="BI647" s="41" t="str">
        <f ca="1">IFERROR(__xludf.DUMMYFUNCTION("IFERROR(VLOOKUP(F664,IMPORTRANGE(""https://docs.google.com/spreadsheets/d/1Kvs4KS76FHFqLFIZfrDMff4kP08nblUkihrxltoGBjg/edit#gid=934712705"",""ESENCIAL!A6:BG""),18,FALSE))"),"")</f>
        <v/>
      </c>
      <c r="BJ647" s="19" t="str">
        <f t="shared" si="43"/>
        <v/>
      </c>
      <c r="BK647" s="41"/>
      <c r="BL647" s="41"/>
    </row>
    <row r="648" spans="1:64" ht="15">
      <c r="A648" s="4"/>
      <c r="B648" s="4"/>
      <c r="G648" s="5" t="str">
        <f ca="1">IFERROR(__xludf.DUMMYFUNCTION("IFERROR(VLOOKUP(F665,IMPORTRANGE(""https://docs.google.com/spreadsheets/d/1Kvs4KS76FHFqLFIZfrDMff4kP08nblUkihrxltoGBjg/edit#gid=934712705"",""ESENCIAL!A6:BG""),3,FALSE))"),"")</f>
        <v/>
      </c>
      <c r="H648" s="5" t="str">
        <f ca="1">IFERROR(__xludf.DUMMYFUNCTION("IFERROR(VLOOKUP(F665,IMPORTRANGE(""https://docs.google.com/spreadsheets/d/1Kvs4KS76FHFqLFIZfrDMff4kP08nblUkihrxltoGBjg/edit#gid=934712705"",""ESENCIAL!A6:BG""),8,FALSE))"),"")</f>
        <v/>
      </c>
      <c r="L648" s="287"/>
      <c r="S648"/>
      <c r="AU648" s="41" t="str">
        <f t="shared" si="40"/>
        <v/>
      </c>
      <c r="AV648" s="5" t="str">
        <f ca="1">IFERROR(__xludf.DUMMYFUNCTION("IFERROR(VLOOKUP(E665&amp;F665,IMPORTRANGE(""https://docs.google.com/spreadsheets/d/1Uw7-A9f9R21vMXxHZFNpYNeKFtG8_yji4HS352LGlSQ/edit?pli=1#gid=0"",""1_ACUM!A4:S""),11,FALSE))"),"")</f>
        <v/>
      </c>
      <c r="AW648" s="42" t="str">
        <f ca="1">IFERROR(__xludf.DUMMYFUNCTION("IFERROR(VLOOKUP(F665,IMPORTRANGE(""https://docs.google.com/spreadsheets/d/1Kvs4KS76FHFqLFIZfrDMff4kP08nblUkihrxltoGBjg/edit#gid=934712705"",""ESENCIAL!A6:BG""),15,FALSE))"),"")</f>
        <v/>
      </c>
      <c r="AX648" s="21" t="str">
        <f ca="1">IFERROR(__xludf.DUMMYFUNCTION("IFERROR(VLOOKUP(E665&amp;F665,IMPORTRANGE(""https://docs.google.com/spreadsheets/d/1Uw7-A9f9R21vMXxHZFNpYNeKFtG8_yji4HS352LGlSQ/edit?pli=1#gid=0"",""1_ACUM!A4:S""),12,FALSE))"),"")</f>
        <v/>
      </c>
      <c r="AY648" s="43" t="str">
        <f ca="1">IFERROR(__xludf.DUMMYFUNCTION("IFERROR(VLOOKUP(E665&amp;F665,IMPORTRANGE(""https://docs.google.com/spreadsheets/d/1Uw7-A9f9R21vMXxHZFNpYNeKFtG8_yji4HS352LGlSQ/edit?pli=1#gid=0"",""1_ACUM!A4:S""),13,FALSE))"),"")</f>
        <v/>
      </c>
      <c r="AZ648" s="43" t="str">
        <f ca="1">IFERROR(__xludf.DUMMYFUNCTION("IFERROR(VLOOKUP(E665&amp;F665,IMPORTRANGE(""https://docs.google.com/spreadsheets/d/1Uw7-A9f9R21vMXxHZFNpYNeKFtG8_yji4HS352LGlSQ/edit?pli=1#gid=0"",""1_ACUM!A4:S""),14,FALSE))"),"")</f>
        <v/>
      </c>
      <c r="BA648" s="43" t="str">
        <f ca="1">IFERROR(__xludf.DUMMYFUNCTION("IFERROR(VLOOKUP(E665&amp;F665,IMPORTRANGE(""https://docs.google.com/spreadsheets/d/1Uw7-A9f9R21vMXxHZFNpYNeKFtG8_yji4HS352LGlSQ/edit?pli=1#gid=0"",""1_ACUM!A4:S""),15,FALSE))"),"")</f>
        <v/>
      </c>
      <c r="BB648" s="43" t="str">
        <f ca="1">IFERROR(__xludf.DUMMYFUNCTION("IFERROR(VLOOKUP(E665&amp;F665,IMPORTRANGE(""https://docs.google.com/spreadsheets/d/1Uw7-A9f9R21vMXxHZFNpYNeKFtG8_yji4HS352LGlSQ/edit?pli=1#gid=0"",""1_ACUM!A4:S""),16,FALSE))"),"")</f>
        <v/>
      </c>
      <c r="BC648" s="43" t="str">
        <f ca="1">IFERROR(__xludf.DUMMYFUNCTION("IFERROR(VLOOKUP(E665&amp;F665,IMPORTRANGE(""https://docs.google.com/spreadsheets/d/1Uw7-A9f9R21vMXxHZFNpYNeKFtG8_yji4HS352LGlSQ/edit?pli=1#gid=0"",""1_ACUM!A4:S""),17,FALSE))"),"")</f>
        <v/>
      </c>
      <c r="BD648" s="44" t="str">
        <f ca="1">IFERROR(__xludf.DUMMYFUNCTION("IFERROR(VLOOKUP(E665&amp;F665,IMPORTRANGE(""https://docs.google.com/spreadsheets/d/1Uw7-A9f9R21vMXxHZFNpYNeKFtG8_yji4HS352LGlSQ/edit?pli=1#gid=0"",""1_ACUM!A4:S""),18,FALSE))"),"")</f>
        <v/>
      </c>
      <c r="BE648" s="44" t="str">
        <f ca="1">IFERROR(__xludf.DUMMYFUNCTION("IFERROR(VLOOKUP(E665&amp;F665,IMPORTRANGE(""https://docs.google.com/spreadsheets/d/1Uw7-A9f9R21vMXxHZFNpYNeKFtG8_yji4HS352LGlSQ/edit?pli=1#gid=0"",""1_ACUM!A4:S""),19,FALSE))"),"")</f>
        <v/>
      </c>
      <c r="BF648" s="44" t="str">
        <f ca="1">IFERROR(__xludf.DUMMYFUNCTION("IFERROR(VLOOKUP(F665,IMPORTRANGE(""https://docs.google.com/spreadsheets/d/1Kvs4KS76FHFqLFIZfrDMff4kP08nblUkihrxltoGBjg/edit#gid=934712705"",""ESENCIAL!A6:BG""),5,FALSE))"),"")</f>
        <v/>
      </c>
      <c r="BG648" s="44" t="str">
        <f t="shared" si="41"/>
        <v/>
      </c>
      <c r="BH648" s="41" t="str">
        <f t="shared" si="42"/>
        <v/>
      </c>
      <c r="BI648" s="41" t="str">
        <f ca="1">IFERROR(__xludf.DUMMYFUNCTION("IFERROR(VLOOKUP(F665,IMPORTRANGE(""https://docs.google.com/spreadsheets/d/1Kvs4KS76FHFqLFIZfrDMff4kP08nblUkihrxltoGBjg/edit#gid=934712705"",""ESENCIAL!A6:BG""),18,FALSE))"),"")</f>
        <v/>
      </c>
      <c r="BJ648" s="19" t="str">
        <f t="shared" si="43"/>
        <v/>
      </c>
      <c r="BK648" s="41"/>
      <c r="BL648" s="41"/>
    </row>
    <row r="649" spans="1:64" ht="15">
      <c r="A649" s="4"/>
      <c r="B649" s="4"/>
      <c r="G649" s="5" t="str">
        <f ca="1">IFERROR(__xludf.DUMMYFUNCTION("IFERROR(VLOOKUP(F666,IMPORTRANGE(""https://docs.google.com/spreadsheets/d/1Kvs4KS76FHFqLFIZfrDMff4kP08nblUkihrxltoGBjg/edit#gid=934712705"",""ESENCIAL!A6:BG""),3,FALSE))"),"")</f>
        <v/>
      </c>
      <c r="H649" s="5" t="str">
        <f ca="1">IFERROR(__xludf.DUMMYFUNCTION("IFERROR(VLOOKUP(F666,IMPORTRANGE(""https://docs.google.com/spreadsheets/d/1Kvs4KS76FHFqLFIZfrDMff4kP08nblUkihrxltoGBjg/edit#gid=934712705"",""ESENCIAL!A6:BG""),8,FALSE))"),"")</f>
        <v/>
      </c>
      <c r="L649" s="287"/>
      <c r="S649"/>
      <c r="AU649" s="41" t="str">
        <f t="shared" si="40"/>
        <v/>
      </c>
      <c r="AV649" s="5" t="str">
        <f ca="1">IFERROR(__xludf.DUMMYFUNCTION("IFERROR(VLOOKUP(E666&amp;F666,IMPORTRANGE(""https://docs.google.com/spreadsheets/d/1Uw7-A9f9R21vMXxHZFNpYNeKFtG8_yji4HS352LGlSQ/edit?pli=1#gid=0"",""1_ACUM!A4:S""),11,FALSE))"),"")</f>
        <v/>
      </c>
      <c r="AW649" s="42" t="str">
        <f ca="1">IFERROR(__xludf.DUMMYFUNCTION("IFERROR(VLOOKUP(F666,IMPORTRANGE(""https://docs.google.com/spreadsheets/d/1Kvs4KS76FHFqLFIZfrDMff4kP08nblUkihrxltoGBjg/edit#gid=934712705"",""ESENCIAL!A6:BG""),15,FALSE))"),"")</f>
        <v/>
      </c>
      <c r="AX649" s="21" t="str">
        <f ca="1">IFERROR(__xludf.DUMMYFUNCTION("IFERROR(VLOOKUP(E666&amp;F666,IMPORTRANGE(""https://docs.google.com/spreadsheets/d/1Uw7-A9f9R21vMXxHZFNpYNeKFtG8_yji4HS352LGlSQ/edit?pli=1#gid=0"",""1_ACUM!A4:S""),12,FALSE))"),"")</f>
        <v/>
      </c>
      <c r="AY649" s="43" t="str">
        <f ca="1">IFERROR(__xludf.DUMMYFUNCTION("IFERROR(VLOOKUP(E666&amp;F666,IMPORTRANGE(""https://docs.google.com/spreadsheets/d/1Uw7-A9f9R21vMXxHZFNpYNeKFtG8_yji4HS352LGlSQ/edit?pli=1#gid=0"",""1_ACUM!A4:S""),13,FALSE))"),"")</f>
        <v/>
      </c>
      <c r="AZ649" s="43" t="str">
        <f ca="1">IFERROR(__xludf.DUMMYFUNCTION("IFERROR(VLOOKUP(E666&amp;F666,IMPORTRANGE(""https://docs.google.com/spreadsheets/d/1Uw7-A9f9R21vMXxHZFNpYNeKFtG8_yji4HS352LGlSQ/edit?pli=1#gid=0"",""1_ACUM!A4:S""),14,FALSE))"),"")</f>
        <v/>
      </c>
      <c r="BA649" s="43" t="str">
        <f ca="1">IFERROR(__xludf.DUMMYFUNCTION("IFERROR(VLOOKUP(E666&amp;F666,IMPORTRANGE(""https://docs.google.com/spreadsheets/d/1Uw7-A9f9R21vMXxHZFNpYNeKFtG8_yji4HS352LGlSQ/edit?pli=1#gid=0"",""1_ACUM!A4:S""),15,FALSE))"),"")</f>
        <v/>
      </c>
      <c r="BB649" s="43" t="str">
        <f ca="1">IFERROR(__xludf.DUMMYFUNCTION("IFERROR(VLOOKUP(E666&amp;F666,IMPORTRANGE(""https://docs.google.com/spreadsheets/d/1Uw7-A9f9R21vMXxHZFNpYNeKFtG8_yji4HS352LGlSQ/edit?pli=1#gid=0"",""1_ACUM!A4:S""),16,FALSE))"),"")</f>
        <v/>
      </c>
      <c r="BC649" s="43" t="str">
        <f ca="1">IFERROR(__xludf.DUMMYFUNCTION("IFERROR(VLOOKUP(E666&amp;F666,IMPORTRANGE(""https://docs.google.com/spreadsheets/d/1Uw7-A9f9R21vMXxHZFNpYNeKFtG8_yji4HS352LGlSQ/edit?pli=1#gid=0"",""1_ACUM!A4:S""),17,FALSE))"),"")</f>
        <v/>
      </c>
      <c r="BD649" s="44" t="str">
        <f ca="1">IFERROR(__xludf.DUMMYFUNCTION("IFERROR(VLOOKUP(E666&amp;F666,IMPORTRANGE(""https://docs.google.com/spreadsheets/d/1Uw7-A9f9R21vMXxHZFNpYNeKFtG8_yji4HS352LGlSQ/edit?pli=1#gid=0"",""1_ACUM!A4:S""),18,FALSE))"),"")</f>
        <v/>
      </c>
      <c r="BE649" s="44" t="str">
        <f ca="1">IFERROR(__xludf.DUMMYFUNCTION("IFERROR(VLOOKUP(E666&amp;F666,IMPORTRANGE(""https://docs.google.com/spreadsheets/d/1Uw7-A9f9R21vMXxHZFNpYNeKFtG8_yji4HS352LGlSQ/edit?pli=1#gid=0"",""1_ACUM!A4:S""),19,FALSE))"),"")</f>
        <v/>
      </c>
      <c r="BF649" s="44" t="str">
        <f ca="1">IFERROR(__xludf.DUMMYFUNCTION("IFERROR(VLOOKUP(F666,IMPORTRANGE(""https://docs.google.com/spreadsheets/d/1Kvs4KS76FHFqLFIZfrDMff4kP08nblUkihrxltoGBjg/edit#gid=934712705"",""ESENCIAL!A6:BG""),5,FALSE))"),"")</f>
        <v/>
      </c>
      <c r="BG649" s="44" t="str">
        <f t="shared" si="41"/>
        <v/>
      </c>
      <c r="BH649" s="41" t="str">
        <f t="shared" si="42"/>
        <v/>
      </c>
      <c r="BI649" s="41" t="str">
        <f ca="1">IFERROR(__xludf.DUMMYFUNCTION("IFERROR(VLOOKUP(F666,IMPORTRANGE(""https://docs.google.com/spreadsheets/d/1Kvs4KS76FHFqLFIZfrDMff4kP08nblUkihrxltoGBjg/edit#gid=934712705"",""ESENCIAL!A6:BG""),18,FALSE))"),"")</f>
        <v/>
      </c>
      <c r="BJ649" s="19" t="str">
        <f t="shared" si="43"/>
        <v/>
      </c>
      <c r="BK649" s="41"/>
      <c r="BL649" s="41"/>
    </row>
    <row r="650" spans="1:64" ht="15">
      <c r="A650" s="4"/>
      <c r="B650" s="4"/>
      <c r="G650" s="5" t="str">
        <f ca="1">IFERROR(__xludf.DUMMYFUNCTION("IFERROR(VLOOKUP(F667,IMPORTRANGE(""https://docs.google.com/spreadsheets/d/1Kvs4KS76FHFqLFIZfrDMff4kP08nblUkihrxltoGBjg/edit#gid=934712705"",""ESENCIAL!A6:BG""),3,FALSE))"),"")</f>
        <v/>
      </c>
      <c r="H650" s="5" t="str">
        <f ca="1">IFERROR(__xludf.DUMMYFUNCTION("IFERROR(VLOOKUP(F667,IMPORTRANGE(""https://docs.google.com/spreadsheets/d/1Kvs4KS76FHFqLFIZfrDMff4kP08nblUkihrxltoGBjg/edit#gid=934712705"",""ESENCIAL!A6:BG""),8,FALSE))"),"")</f>
        <v/>
      </c>
      <c r="L650" s="287"/>
      <c r="S650"/>
      <c r="AU650" s="41" t="str">
        <f t="shared" si="40"/>
        <v/>
      </c>
      <c r="AV650" s="5" t="str">
        <f ca="1">IFERROR(__xludf.DUMMYFUNCTION("IFERROR(VLOOKUP(E667&amp;F667,IMPORTRANGE(""https://docs.google.com/spreadsheets/d/1Uw7-A9f9R21vMXxHZFNpYNeKFtG8_yji4HS352LGlSQ/edit?pli=1#gid=0"",""1_ACUM!A4:S""),11,FALSE))"),"")</f>
        <v/>
      </c>
      <c r="AW650" s="42" t="str">
        <f ca="1">IFERROR(__xludf.DUMMYFUNCTION("IFERROR(VLOOKUP(F667,IMPORTRANGE(""https://docs.google.com/spreadsheets/d/1Kvs4KS76FHFqLFIZfrDMff4kP08nblUkihrxltoGBjg/edit#gid=934712705"",""ESENCIAL!A6:BG""),15,FALSE))"),"")</f>
        <v/>
      </c>
      <c r="AX650" s="21" t="str">
        <f ca="1">IFERROR(__xludf.DUMMYFUNCTION("IFERROR(VLOOKUP(E667&amp;F667,IMPORTRANGE(""https://docs.google.com/spreadsheets/d/1Uw7-A9f9R21vMXxHZFNpYNeKFtG8_yji4HS352LGlSQ/edit?pli=1#gid=0"",""1_ACUM!A4:S""),12,FALSE))"),"")</f>
        <v/>
      </c>
      <c r="AY650" s="43" t="str">
        <f ca="1">IFERROR(__xludf.DUMMYFUNCTION("IFERROR(VLOOKUP(E667&amp;F667,IMPORTRANGE(""https://docs.google.com/spreadsheets/d/1Uw7-A9f9R21vMXxHZFNpYNeKFtG8_yji4HS352LGlSQ/edit?pli=1#gid=0"",""1_ACUM!A4:S""),13,FALSE))"),"")</f>
        <v/>
      </c>
      <c r="AZ650" s="43" t="str">
        <f ca="1">IFERROR(__xludf.DUMMYFUNCTION("IFERROR(VLOOKUP(E667&amp;F667,IMPORTRANGE(""https://docs.google.com/spreadsheets/d/1Uw7-A9f9R21vMXxHZFNpYNeKFtG8_yji4HS352LGlSQ/edit?pli=1#gid=0"",""1_ACUM!A4:S""),14,FALSE))"),"")</f>
        <v/>
      </c>
      <c r="BA650" s="43" t="str">
        <f ca="1">IFERROR(__xludf.DUMMYFUNCTION("IFERROR(VLOOKUP(E667&amp;F667,IMPORTRANGE(""https://docs.google.com/spreadsheets/d/1Uw7-A9f9R21vMXxHZFNpYNeKFtG8_yji4HS352LGlSQ/edit?pli=1#gid=0"",""1_ACUM!A4:S""),15,FALSE))"),"")</f>
        <v/>
      </c>
      <c r="BB650" s="43" t="str">
        <f ca="1">IFERROR(__xludf.DUMMYFUNCTION("IFERROR(VLOOKUP(E667&amp;F667,IMPORTRANGE(""https://docs.google.com/spreadsheets/d/1Uw7-A9f9R21vMXxHZFNpYNeKFtG8_yji4HS352LGlSQ/edit?pli=1#gid=0"",""1_ACUM!A4:S""),16,FALSE))"),"")</f>
        <v/>
      </c>
      <c r="BC650" s="43" t="str">
        <f ca="1">IFERROR(__xludf.DUMMYFUNCTION("IFERROR(VLOOKUP(E667&amp;F667,IMPORTRANGE(""https://docs.google.com/spreadsheets/d/1Uw7-A9f9R21vMXxHZFNpYNeKFtG8_yji4HS352LGlSQ/edit?pli=1#gid=0"",""1_ACUM!A4:S""),17,FALSE))"),"")</f>
        <v/>
      </c>
      <c r="BD650" s="44" t="str">
        <f ca="1">IFERROR(__xludf.DUMMYFUNCTION("IFERROR(VLOOKUP(E667&amp;F667,IMPORTRANGE(""https://docs.google.com/spreadsheets/d/1Uw7-A9f9R21vMXxHZFNpYNeKFtG8_yji4HS352LGlSQ/edit?pli=1#gid=0"",""1_ACUM!A4:S""),18,FALSE))"),"")</f>
        <v/>
      </c>
      <c r="BE650" s="44" t="str">
        <f ca="1">IFERROR(__xludf.DUMMYFUNCTION("IFERROR(VLOOKUP(E667&amp;F667,IMPORTRANGE(""https://docs.google.com/spreadsheets/d/1Uw7-A9f9R21vMXxHZFNpYNeKFtG8_yji4HS352LGlSQ/edit?pli=1#gid=0"",""1_ACUM!A4:S""),19,FALSE))"),"")</f>
        <v/>
      </c>
      <c r="BF650" s="44" t="str">
        <f ca="1">IFERROR(__xludf.DUMMYFUNCTION("IFERROR(VLOOKUP(F667,IMPORTRANGE(""https://docs.google.com/spreadsheets/d/1Kvs4KS76FHFqLFIZfrDMff4kP08nblUkihrxltoGBjg/edit#gid=934712705"",""ESENCIAL!A6:BG""),5,FALSE))"),"")</f>
        <v/>
      </c>
      <c r="BG650" s="44" t="str">
        <f t="shared" si="41"/>
        <v/>
      </c>
      <c r="BH650" s="41" t="str">
        <f t="shared" si="42"/>
        <v/>
      </c>
      <c r="BI650" s="41" t="str">
        <f ca="1">IFERROR(__xludf.DUMMYFUNCTION("IFERROR(VLOOKUP(F667,IMPORTRANGE(""https://docs.google.com/spreadsheets/d/1Kvs4KS76FHFqLFIZfrDMff4kP08nblUkihrxltoGBjg/edit#gid=934712705"",""ESENCIAL!A6:BG""),18,FALSE))"),"")</f>
        <v/>
      </c>
      <c r="BJ650" s="19" t="str">
        <f t="shared" si="43"/>
        <v/>
      </c>
      <c r="BK650" s="41"/>
      <c r="BL650" s="41"/>
    </row>
    <row r="651" spans="1:64" ht="15">
      <c r="A651" s="4"/>
      <c r="B651" s="4"/>
      <c r="G651" s="5" t="str">
        <f ca="1">IFERROR(__xludf.DUMMYFUNCTION("IFERROR(VLOOKUP(F668,IMPORTRANGE(""https://docs.google.com/spreadsheets/d/1Kvs4KS76FHFqLFIZfrDMff4kP08nblUkihrxltoGBjg/edit#gid=934712705"",""ESENCIAL!A6:BG""),3,FALSE))"),"")</f>
        <v/>
      </c>
      <c r="H651" s="5" t="str">
        <f ca="1">IFERROR(__xludf.DUMMYFUNCTION("IFERROR(VLOOKUP(F668,IMPORTRANGE(""https://docs.google.com/spreadsheets/d/1Kvs4KS76FHFqLFIZfrDMff4kP08nblUkihrxltoGBjg/edit#gid=934712705"",""ESENCIAL!A6:BG""),8,FALSE))"),"")</f>
        <v/>
      </c>
      <c r="L651" s="287"/>
      <c r="S651"/>
      <c r="AU651" s="41" t="str">
        <f t="shared" si="40"/>
        <v/>
      </c>
      <c r="AV651" s="5" t="str">
        <f ca="1">IFERROR(__xludf.DUMMYFUNCTION("IFERROR(VLOOKUP(E668&amp;F668,IMPORTRANGE(""https://docs.google.com/spreadsheets/d/1Uw7-A9f9R21vMXxHZFNpYNeKFtG8_yji4HS352LGlSQ/edit?pli=1#gid=0"",""1_ACUM!A4:S""),11,FALSE))"),"")</f>
        <v/>
      </c>
      <c r="AW651" s="42" t="str">
        <f ca="1">IFERROR(__xludf.DUMMYFUNCTION("IFERROR(VLOOKUP(F668,IMPORTRANGE(""https://docs.google.com/spreadsheets/d/1Kvs4KS76FHFqLFIZfrDMff4kP08nblUkihrxltoGBjg/edit#gid=934712705"",""ESENCIAL!A6:BG""),15,FALSE))"),"")</f>
        <v/>
      </c>
      <c r="AX651" s="21" t="str">
        <f ca="1">IFERROR(__xludf.DUMMYFUNCTION("IFERROR(VLOOKUP(E668&amp;F668,IMPORTRANGE(""https://docs.google.com/spreadsheets/d/1Uw7-A9f9R21vMXxHZFNpYNeKFtG8_yji4HS352LGlSQ/edit?pli=1#gid=0"",""1_ACUM!A4:S""),12,FALSE))"),"")</f>
        <v/>
      </c>
      <c r="AY651" s="43" t="str">
        <f ca="1">IFERROR(__xludf.DUMMYFUNCTION("IFERROR(VLOOKUP(E668&amp;F668,IMPORTRANGE(""https://docs.google.com/spreadsheets/d/1Uw7-A9f9R21vMXxHZFNpYNeKFtG8_yji4HS352LGlSQ/edit?pli=1#gid=0"",""1_ACUM!A4:S""),13,FALSE))"),"")</f>
        <v/>
      </c>
      <c r="AZ651" s="43" t="str">
        <f ca="1">IFERROR(__xludf.DUMMYFUNCTION("IFERROR(VLOOKUP(E668&amp;F668,IMPORTRANGE(""https://docs.google.com/spreadsheets/d/1Uw7-A9f9R21vMXxHZFNpYNeKFtG8_yji4HS352LGlSQ/edit?pli=1#gid=0"",""1_ACUM!A4:S""),14,FALSE))"),"")</f>
        <v/>
      </c>
      <c r="BA651" s="43" t="str">
        <f ca="1">IFERROR(__xludf.DUMMYFUNCTION("IFERROR(VLOOKUP(E668&amp;F668,IMPORTRANGE(""https://docs.google.com/spreadsheets/d/1Uw7-A9f9R21vMXxHZFNpYNeKFtG8_yji4HS352LGlSQ/edit?pli=1#gid=0"",""1_ACUM!A4:S""),15,FALSE))"),"")</f>
        <v/>
      </c>
      <c r="BB651" s="43" t="str">
        <f ca="1">IFERROR(__xludf.DUMMYFUNCTION("IFERROR(VLOOKUP(E668&amp;F668,IMPORTRANGE(""https://docs.google.com/spreadsheets/d/1Uw7-A9f9R21vMXxHZFNpYNeKFtG8_yji4HS352LGlSQ/edit?pli=1#gid=0"",""1_ACUM!A4:S""),16,FALSE))"),"")</f>
        <v/>
      </c>
      <c r="BC651" s="43" t="str">
        <f ca="1">IFERROR(__xludf.DUMMYFUNCTION("IFERROR(VLOOKUP(E668&amp;F668,IMPORTRANGE(""https://docs.google.com/spreadsheets/d/1Uw7-A9f9R21vMXxHZFNpYNeKFtG8_yji4HS352LGlSQ/edit?pli=1#gid=0"",""1_ACUM!A4:S""),17,FALSE))"),"")</f>
        <v/>
      </c>
      <c r="BD651" s="44" t="str">
        <f ca="1">IFERROR(__xludf.DUMMYFUNCTION("IFERROR(VLOOKUP(E668&amp;F668,IMPORTRANGE(""https://docs.google.com/spreadsheets/d/1Uw7-A9f9R21vMXxHZFNpYNeKFtG8_yji4HS352LGlSQ/edit?pli=1#gid=0"",""1_ACUM!A4:S""),18,FALSE))"),"")</f>
        <v/>
      </c>
      <c r="BE651" s="44" t="str">
        <f ca="1">IFERROR(__xludf.DUMMYFUNCTION("IFERROR(VLOOKUP(E668&amp;F668,IMPORTRANGE(""https://docs.google.com/spreadsheets/d/1Uw7-A9f9R21vMXxHZFNpYNeKFtG8_yji4HS352LGlSQ/edit?pli=1#gid=0"",""1_ACUM!A4:S""),19,FALSE))"),"")</f>
        <v/>
      </c>
      <c r="BF651" s="44" t="str">
        <f ca="1">IFERROR(__xludf.DUMMYFUNCTION("IFERROR(VLOOKUP(F668,IMPORTRANGE(""https://docs.google.com/spreadsheets/d/1Kvs4KS76FHFqLFIZfrDMff4kP08nblUkihrxltoGBjg/edit#gid=934712705"",""ESENCIAL!A6:BG""),5,FALSE))"),"")</f>
        <v/>
      </c>
      <c r="BG651" s="44" t="str">
        <f t="shared" si="41"/>
        <v/>
      </c>
      <c r="BH651" s="41" t="str">
        <f t="shared" si="42"/>
        <v/>
      </c>
      <c r="BI651" s="41" t="str">
        <f ca="1">IFERROR(__xludf.DUMMYFUNCTION("IFERROR(VLOOKUP(F668,IMPORTRANGE(""https://docs.google.com/spreadsheets/d/1Kvs4KS76FHFqLFIZfrDMff4kP08nblUkihrxltoGBjg/edit#gid=934712705"",""ESENCIAL!A6:BG""),18,FALSE))"),"")</f>
        <v/>
      </c>
      <c r="BJ651" s="19" t="str">
        <f t="shared" si="43"/>
        <v/>
      </c>
      <c r="BK651" s="41"/>
      <c r="BL651" s="41"/>
    </row>
    <row r="652" spans="1:64" ht="15">
      <c r="A652" s="4"/>
      <c r="B652" s="4"/>
      <c r="G652" s="5" t="str">
        <f ca="1">IFERROR(__xludf.DUMMYFUNCTION("IFERROR(VLOOKUP(F669,IMPORTRANGE(""https://docs.google.com/spreadsheets/d/1Kvs4KS76FHFqLFIZfrDMff4kP08nblUkihrxltoGBjg/edit#gid=934712705"",""ESENCIAL!A6:BG""),3,FALSE))"),"")</f>
        <v/>
      </c>
      <c r="H652" s="5" t="str">
        <f ca="1">IFERROR(__xludf.DUMMYFUNCTION("IFERROR(VLOOKUP(F669,IMPORTRANGE(""https://docs.google.com/spreadsheets/d/1Kvs4KS76FHFqLFIZfrDMff4kP08nblUkihrxltoGBjg/edit#gid=934712705"",""ESENCIAL!A6:BG""),8,FALSE))"),"")</f>
        <v/>
      </c>
      <c r="L652" s="287"/>
      <c r="S652"/>
      <c r="AU652" s="41" t="str">
        <f t="shared" si="40"/>
        <v/>
      </c>
      <c r="AV652" s="5" t="str">
        <f ca="1">IFERROR(__xludf.DUMMYFUNCTION("IFERROR(VLOOKUP(E669&amp;F669,IMPORTRANGE(""https://docs.google.com/spreadsheets/d/1Uw7-A9f9R21vMXxHZFNpYNeKFtG8_yji4HS352LGlSQ/edit?pli=1#gid=0"",""1_ACUM!A4:S""),11,FALSE))"),"")</f>
        <v/>
      </c>
      <c r="AW652" s="42" t="str">
        <f ca="1">IFERROR(__xludf.DUMMYFUNCTION("IFERROR(VLOOKUP(F669,IMPORTRANGE(""https://docs.google.com/spreadsheets/d/1Kvs4KS76FHFqLFIZfrDMff4kP08nblUkihrxltoGBjg/edit#gid=934712705"",""ESENCIAL!A6:BG""),15,FALSE))"),"")</f>
        <v/>
      </c>
      <c r="AX652" s="21" t="str">
        <f ca="1">IFERROR(__xludf.DUMMYFUNCTION("IFERROR(VLOOKUP(E669&amp;F669,IMPORTRANGE(""https://docs.google.com/spreadsheets/d/1Uw7-A9f9R21vMXxHZFNpYNeKFtG8_yji4HS352LGlSQ/edit?pli=1#gid=0"",""1_ACUM!A4:S""),12,FALSE))"),"")</f>
        <v/>
      </c>
      <c r="AY652" s="43" t="str">
        <f ca="1">IFERROR(__xludf.DUMMYFUNCTION("IFERROR(VLOOKUP(E669&amp;F669,IMPORTRANGE(""https://docs.google.com/spreadsheets/d/1Uw7-A9f9R21vMXxHZFNpYNeKFtG8_yji4HS352LGlSQ/edit?pli=1#gid=0"",""1_ACUM!A4:S""),13,FALSE))"),"")</f>
        <v/>
      </c>
      <c r="AZ652" s="43" t="str">
        <f ca="1">IFERROR(__xludf.DUMMYFUNCTION("IFERROR(VLOOKUP(E669&amp;F669,IMPORTRANGE(""https://docs.google.com/spreadsheets/d/1Uw7-A9f9R21vMXxHZFNpYNeKFtG8_yji4HS352LGlSQ/edit?pli=1#gid=0"",""1_ACUM!A4:S""),14,FALSE))"),"")</f>
        <v/>
      </c>
      <c r="BA652" s="43" t="str">
        <f ca="1">IFERROR(__xludf.DUMMYFUNCTION("IFERROR(VLOOKUP(E669&amp;F669,IMPORTRANGE(""https://docs.google.com/spreadsheets/d/1Uw7-A9f9R21vMXxHZFNpYNeKFtG8_yji4HS352LGlSQ/edit?pli=1#gid=0"",""1_ACUM!A4:S""),15,FALSE))"),"")</f>
        <v/>
      </c>
      <c r="BB652" s="43" t="str">
        <f ca="1">IFERROR(__xludf.DUMMYFUNCTION("IFERROR(VLOOKUP(E669&amp;F669,IMPORTRANGE(""https://docs.google.com/spreadsheets/d/1Uw7-A9f9R21vMXxHZFNpYNeKFtG8_yji4HS352LGlSQ/edit?pli=1#gid=0"",""1_ACUM!A4:S""),16,FALSE))"),"")</f>
        <v/>
      </c>
      <c r="BC652" s="43" t="str">
        <f ca="1">IFERROR(__xludf.DUMMYFUNCTION("IFERROR(VLOOKUP(E669&amp;F669,IMPORTRANGE(""https://docs.google.com/spreadsheets/d/1Uw7-A9f9R21vMXxHZFNpYNeKFtG8_yji4HS352LGlSQ/edit?pli=1#gid=0"",""1_ACUM!A4:S""),17,FALSE))"),"")</f>
        <v/>
      </c>
      <c r="BD652" s="44" t="str">
        <f ca="1">IFERROR(__xludf.DUMMYFUNCTION("IFERROR(VLOOKUP(E669&amp;F669,IMPORTRANGE(""https://docs.google.com/spreadsheets/d/1Uw7-A9f9R21vMXxHZFNpYNeKFtG8_yji4HS352LGlSQ/edit?pli=1#gid=0"",""1_ACUM!A4:S""),18,FALSE))"),"")</f>
        <v/>
      </c>
      <c r="BE652" s="44" t="str">
        <f ca="1">IFERROR(__xludf.DUMMYFUNCTION("IFERROR(VLOOKUP(E669&amp;F669,IMPORTRANGE(""https://docs.google.com/spreadsheets/d/1Uw7-A9f9R21vMXxHZFNpYNeKFtG8_yji4HS352LGlSQ/edit?pli=1#gid=0"",""1_ACUM!A4:S""),19,FALSE))"),"")</f>
        <v/>
      </c>
      <c r="BF652" s="44" t="str">
        <f ca="1">IFERROR(__xludf.DUMMYFUNCTION("IFERROR(VLOOKUP(F669,IMPORTRANGE(""https://docs.google.com/spreadsheets/d/1Kvs4KS76FHFqLFIZfrDMff4kP08nblUkihrxltoGBjg/edit#gid=934712705"",""ESENCIAL!A6:BG""),5,FALSE))"),"")</f>
        <v/>
      </c>
      <c r="BG652" s="44" t="str">
        <f t="shared" si="41"/>
        <v/>
      </c>
      <c r="BH652" s="41" t="str">
        <f t="shared" si="42"/>
        <v/>
      </c>
      <c r="BI652" s="41" t="str">
        <f ca="1">IFERROR(__xludf.DUMMYFUNCTION("IFERROR(VLOOKUP(F669,IMPORTRANGE(""https://docs.google.com/spreadsheets/d/1Kvs4KS76FHFqLFIZfrDMff4kP08nblUkihrxltoGBjg/edit#gid=934712705"",""ESENCIAL!A6:BG""),18,FALSE))"),"")</f>
        <v/>
      </c>
      <c r="BJ652" s="19" t="str">
        <f t="shared" si="43"/>
        <v/>
      </c>
      <c r="BK652" s="41"/>
      <c r="BL652" s="41"/>
    </row>
    <row r="653" spans="1:64" ht="15">
      <c r="A653" s="4"/>
      <c r="B653" s="4"/>
      <c r="G653" s="5" t="str">
        <f ca="1">IFERROR(__xludf.DUMMYFUNCTION("IFERROR(VLOOKUP(F670,IMPORTRANGE(""https://docs.google.com/spreadsheets/d/1Kvs4KS76FHFqLFIZfrDMff4kP08nblUkihrxltoGBjg/edit#gid=934712705"",""ESENCIAL!A6:BG""),3,FALSE))"),"")</f>
        <v/>
      </c>
      <c r="H653" s="5" t="str">
        <f ca="1">IFERROR(__xludf.DUMMYFUNCTION("IFERROR(VLOOKUP(F670,IMPORTRANGE(""https://docs.google.com/spreadsheets/d/1Kvs4KS76FHFqLFIZfrDMff4kP08nblUkihrxltoGBjg/edit#gid=934712705"",""ESENCIAL!A6:BG""),8,FALSE))"),"")</f>
        <v/>
      </c>
      <c r="L653" s="287"/>
      <c r="S653"/>
      <c r="AU653" s="41" t="str">
        <f t="shared" si="40"/>
        <v/>
      </c>
      <c r="AV653" s="5" t="str">
        <f ca="1">IFERROR(__xludf.DUMMYFUNCTION("IFERROR(VLOOKUP(E670&amp;F670,IMPORTRANGE(""https://docs.google.com/spreadsheets/d/1Uw7-A9f9R21vMXxHZFNpYNeKFtG8_yji4HS352LGlSQ/edit?pli=1#gid=0"",""1_ACUM!A4:S""),11,FALSE))"),"")</f>
        <v/>
      </c>
      <c r="AW653" s="42" t="str">
        <f ca="1">IFERROR(__xludf.DUMMYFUNCTION("IFERROR(VLOOKUP(F670,IMPORTRANGE(""https://docs.google.com/spreadsheets/d/1Kvs4KS76FHFqLFIZfrDMff4kP08nblUkihrxltoGBjg/edit#gid=934712705"",""ESENCIAL!A6:BG""),15,FALSE))"),"")</f>
        <v/>
      </c>
      <c r="AX653" s="21" t="str">
        <f ca="1">IFERROR(__xludf.DUMMYFUNCTION("IFERROR(VLOOKUP(E670&amp;F670,IMPORTRANGE(""https://docs.google.com/spreadsheets/d/1Uw7-A9f9R21vMXxHZFNpYNeKFtG8_yji4HS352LGlSQ/edit?pli=1#gid=0"",""1_ACUM!A4:S""),12,FALSE))"),"")</f>
        <v/>
      </c>
      <c r="AY653" s="43" t="str">
        <f ca="1">IFERROR(__xludf.DUMMYFUNCTION("IFERROR(VLOOKUP(E670&amp;F670,IMPORTRANGE(""https://docs.google.com/spreadsheets/d/1Uw7-A9f9R21vMXxHZFNpYNeKFtG8_yji4HS352LGlSQ/edit?pli=1#gid=0"",""1_ACUM!A4:S""),13,FALSE))"),"")</f>
        <v/>
      </c>
      <c r="AZ653" s="43" t="str">
        <f ca="1">IFERROR(__xludf.DUMMYFUNCTION("IFERROR(VLOOKUP(E670&amp;F670,IMPORTRANGE(""https://docs.google.com/spreadsheets/d/1Uw7-A9f9R21vMXxHZFNpYNeKFtG8_yji4HS352LGlSQ/edit?pli=1#gid=0"",""1_ACUM!A4:S""),14,FALSE))"),"")</f>
        <v/>
      </c>
      <c r="BA653" s="43" t="str">
        <f ca="1">IFERROR(__xludf.DUMMYFUNCTION("IFERROR(VLOOKUP(E670&amp;F670,IMPORTRANGE(""https://docs.google.com/spreadsheets/d/1Uw7-A9f9R21vMXxHZFNpYNeKFtG8_yji4HS352LGlSQ/edit?pli=1#gid=0"",""1_ACUM!A4:S""),15,FALSE))"),"")</f>
        <v/>
      </c>
      <c r="BB653" s="43" t="str">
        <f ca="1">IFERROR(__xludf.DUMMYFUNCTION("IFERROR(VLOOKUP(E670&amp;F670,IMPORTRANGE(""https://docs.google.com/spreadsheets/d/1Uw7-A9f9R21vMXxHZFNpYNeKFtG8_yji4HS352LGlSQ/edit?pli=1#gid=0"",""1_ACUM!A4:S""),16,FALSE))"),"")</f>
        <v/>
      </c>
      <c r="BC653" s="43" t="str">
        <f ca="1">IFERROR(__xludf.DUMMYFUNCTION("IFERROR(VLOOKUP(E670&amp;F670,IMPORTRANGE(""https://docs.google.com/spreadsheets/d/1Uw7-A9f9R21vMXxHZFNpYNeKFtG8_yji4HS352LGlSQ/edit?pli=1#gid=0"",""1_ACUM!A4:S""),17,FALSE))"),"")</f>
        <v/>
      </c>
      <c r="BD653" s="44" t="str">
        <f ca="1">IFERROR(__xludf.DUMMYFUNCTION("IFERROR(VLOOKUP(E670&amp;F670,IMPORTRANGE(""https://docs.google.com/spreadsheets/d/1Uw7-A9f9R21vMXxHZFNpYNeKFtG8_yji4HS352LGlSQ/edit?pli=1#gid=0"",""1_ACUM!A4:S""),18,FALSE))"),"")</f>
        <v/>
      </c>
      <c r="BE653" s="44" t="str">
        <f ca="1">IFERROR(__xludf.DUMMYFUNCTION("IFERROR(VLOOKUP(E670&amp;F670,IMPORTRANGE(""https://docs.google.com/spreadsheets/d/1Uw7-A9f9R21vMXxHZFNpYNeKFtG8_yji4HS352LGlSQ/edit?pli=1#gid=0"",""1_ACUM!A4:S""),19,FALSE))"),"")</f>
        <v/>
      </c>
      <c r="BF653" s="44" t="str">
        <f ca="1">IFERROR(__xludf.DUMMYFUNCTION("IFERROR(VLOOKUP(F670,IMPORTRANGE(""https://docs.google.com/spreadsheets/d/1Kvs4KS76FHFqLFIZfrDMff4kP08nblUkihrxltoGBjg/edit#gid=934712705"",""ESENCIAL!A6:BG""),5,FALSE))"),"")</f>
        <v/>
      </c>
      <c r="BG653" s="44" t="str">
        <f t="shared" si="41"/>
        <v/>
      </c>
      <c r="BH653" s="41" t="str">
        <f t="shared" si="42"/>
        <v/>
      </c>
      <c r="BI653" s="41" t="str">
        <f ca="1">IFERROR(__xludf.DUMMYFUNCTION("IFERROR(VLOOKUP(F670,IMPORTRANGE(""https://docs.google.com/spreadsheets/d/1Kvs4KS76FHFqLFIZfrDMff4kP08nblUkihrxltoGBjg/edit#gid=934712705"",""ESENCIAL!A6:BG""),18,FALSE))"),"")</f>
        <v/>
      </c>
      <c r="BJ653" s="19" t="str">
        <f t="shared" si="43"/>
        <v/>
      </c>
      <c r="BK653" s="41"/>
      <c r="BL653" s="41"/>
    </row>
    <row r="654" spans="1:64" ht="15">
      <c r="A654" s="4"/>
      <c r="B654" s="4"/>
      <c r="G654" s="5" t="str">
        <f ca="1">IFERROR(__xludf.DUMMYFUNCTION("IFERROR(VLOOKUP(F671,IMPORTRANGE(""https://docs.google.com/spreadsheets/d/1Kvs4KS76FHFqLFIZfrDMff4kP08nblUkihrxltoGBjg/edit#gid=934712705"",""ESENCIAL!A6:BG""),3,FALSE))"),"")</f>
        <v/>
      </c>
      <c r="H654" s="5" t="str">
        <f ca="1">IFERROR(__xludf.DUMMYFUNCTION("IFERROR(VLOOKUP(F671,IMPORTRANGE(""https://docs.google.com/spreadsheets/d/1Kvs4KS76FHFqLFIZfrDMff4kP08nblUkihrxltoGBjg/edit#gid=934712705"",""ESENCIAL!A6:BG""),8,FALSE))"),"")</f>
        <v/>
      </c>
      <c r="L654" s="287"/>
      <c r="S654"/>
      <c r="AU654" s="41" t="str">
        <f t="shared" si="40"/>
        <v/>
      </c>
      <c r="AV654" s="5" t="str">
        <f ca="1">IFERROR(__xludf.DUMMYFUNCTION("IFERROR(VLOOKUP(E671&amp;F671,IMPORTRANGE(""https://docs.google.com/spreadsheets/d/1Uw7-A9f9R21vMXxHZFNpYNeKFtG8_yji4HS352LGlSQ/edit?pli=1#gid=0"",""1_ACUM!A4:S""),11,FALSE))"),"")</f>
        <v/>
      </c>
      <c r="AW654" s="42" t="str">
        <f ca="1">IFERROR(__xludf.DUMMYFUNCTION("IFERROR(VLOOKUP(F671,IMPORTRANGE(""https://docs.google.com/spreadsheets/d/1Kvs4KS76FHFqLFIZfrDMff4kP08nblUkihrxltoGBjg/edit#gid=934712705"",""ESENCIAL!A6:BG""),15,FALSE))"),"")</f>
        <v/>
      </c>
      <c r="AX654" s="21" t="str">
        <f ca="1">IFERROR(__xludf.DUMMYFUNCTION("IFERROR(VLOOKUP(E671&amp;F671,IMPORTRANGE(""https://docs.google.com/spreadsheets/d/1Uw7-A9f9R21vMXxHZFNpYNeKFtG8_yji4HS352LGlSQ/edit?pli=1#gid=0"",""1_ACUM!A4:S""),12,FALSE))"),"")</f>
        <v/>
      </c>
      <c r="AY654" s="43" t="str">
        <f ca="1">IFERROR(__xludf.DUMMYFUNCTION("IFERROR(VLOOKUP(E671&amp;F671,IMPORTRANGE(""https://docs.google.com/spreadsheets/d/1Uw7-A9f9R21vMXxHZFNpYNeKFtG8_yji4HS352LGlSQ/edit?pli=1#gid=0"",""1_ACUM!A4:S""),13,FALSE))"),"")</f>
        <v/>
      </c>
      <c r="AZ654" s="43" t="str">
        <f ca="1">IFERROR(__xludf.DUMMYFUNCTION("IFERROR(VLOOKUP(E671&amp;F671,IMPORTRANGE(""https://docs.google.com/spreadsheets/d/1Uw7-A9f9R21vMXxHZFNpYNeKFtG8_yji4HS352LGlSQ/edit?pli=1#gid=0"",""1_ACUM!A4:S""),14,FALSE))"),"")</f>
        <v/>
      </c>
      <c r="BA654" s="43" t="str">
        <f ca="1">IFERROR(__xludf.DUMMYFUNCTION("IFERROR(VLOOKUP(E671&amp;F671,IMPORTRANGE(""https://docs.google.com/spreadsheets/d/1Uw7-A9f9R21vMXxHZFNpYNeKFtG8_yji4HS352LGlSQ/edit?pli=1#gid=0"",""1_ACUM!A4:S""),15,FALSE))"),"")</f>
        <v/>
      </c>
      <c r="BB654" s="43" t="str">
        <f ca="1">IFERROR(__xludf.DUMMYFUNCTION("IFERROR(VLOOKUP(E671&amp;F671,IMPORTRANGE(""https://docs.google.com/spreadsheets/d/1Uw7-A9f9R21vMXxHZFNpYNeKFtG8_yji4HS352LGlSQ/edit?pli=1#gid=0"",""1_ACUM!A4:S""),16,FALSE))"),"")</f>
        <v/>
      </c>
      <c r="BC654" s="43" t="str">
        <f ca="1">IFERROR(__xludf.DUMMYFUNCTION("IFERROR(VLOOKUP(E671&amp;F671,IMPORTRANGE(""https://docs.google.com/spreadsheets/d/1Uw7-A9f9R21vMXxHZFNpYNeKFtG8_yji4HS352LGlSQ/edit?pli=1#gid=0"",""1_ACUM!A4:S""),17,FALSE))"),"")</f>
        <v/>
      </c>
      <c r="BD654" s="44" t="str">
        <f ca="1">IFERROR(__xludf.DUMMYFUNCTION("IFERROR(VLOOKUP(E671&amp;F671,IMPORTRANGE(""https://docs.google.com/spreadsheets/d/1Uw7-A9f9R21vMXxHZFNpYNeKFtG8_yji4HS352LGlSQ/edit?pli=1#gid=0"",""1_ACUM!A4:S""),18,FALSE))"),"")</f>
        <v/>
      </c>
      <c r="BE654" s="44" t="str">
        <f ca="1">IFERROR(__xludf.DUMMYFUNCTION("IFERROR(VLOOKUP(E671&amp;F671,IMPORTRANGE(""https://docs.google.com/spreadsheets/d/1Uw7-A9f9R21vMXxHZFNpYNeKFtG8_yji4HS352LGlSQ/edit?pli=1#gid=0"",""1_ACUM!A4:S""),19,FALSE))"),"")</f>
        <v/>
      </c>
      <c r="BF654" s="44" t="str">
        <f ca="1">IFERROR(__xludf.DUMMYFUNCTION("IFERROR(VLOOKUP(F671,IMPORTRANGE(""https://docs.google.com/spreadsheets/d/1Kvs4KS76FHFqLFIZfrDMff4kP08nblUkihrxltoGBjg/edit#gid=934712705"",""ESENCIAL!A6:BG""),5,FALSE))"),"")</f>
        <v/>
      </c>
      <c r="BG654" s="44" t="str">
        <f t="shared" si="41"/>
        <v/>
      </c>
      <c r="BH654" s="41" t="str">
        <f t="shared" si="42"/>
        <v/>
      </c>
      <c r="BI654" s="41" t="str">
        <f ca="1">IFERROR(__xludf.DUMMYFUNCTION("IFERROR(VLOOKUP(F671,IMPORTRANGE(""https://docs.google.com/spreadsheets/d/1Kvs4KS76FHFqLFIZfrDMff4kP08nblUkihrxltoGBjg/edit#gid=934712705"",""ESENCIAL!A6:BG""),18,FALSE))"),"")</f>
        <v/>
      </c>
      <c r="BJ654" s="19" t="str">
        <f t="shared" si="43"/>
        <v/>
      </c>
      <c r="BK654" s="41"/>
      <c r="BL654" s="41"/>
    </row>
    <row r="655" spans="1:64" ht="15">
      <c r="A655" s="4"/>
      <c r="B655" s="4"/>
      <c r="G655" s="5" t="str">
        <f ca="1">IFERROR(__xludf.DUMMYFUNCTION("IFERROR(VLOOKUP(F672,IMPORTRANGE(""https://docs.google.com/spreadsheets/d/1Kvs4KS76FHFqLFIZfrDMff4kP08nblUkihrxltoGBjg/edit#gid=934712705"",""ESENCIAL!A6:BG""),3,FALSE))"),"")</f>
        <v/>
      </c>
      <c r="H655" s="5" t="str">
        <f ca="1">IFERROR(__xludf.DUMMYFUNCTION("IFERROR(VLOOKUP(F672,IMPORTRANGE(""https://docs.google.com/spreadsheets/d/1Kvs4KS76FHFqLFIZfrDMff4kP08nblUkihrxltoGBjg/edit#gid=934712705"",""ESENCIAL!A6:BG""),8,FALSE))"),"")</f>
        <v/>
      </c>
      <c r="L655" s="287"/>
      <c r="S655"/>
      <c r="AU655" s="41" t="str">
        <f t="shared" si="40"/>
        <v/>
      </c>
      <c r="AV655" s="5" t="str">
        <f ca="1">IFERROR(__xludf.DUMMYFUNCTION("IFERROR(VLOOKUP(E672&amp;F672,IMPORTRANGE(""https://docs.google.com/spreadsheets/d/1Uw7-A9f9R21vMXxHZFNpYNeKFtG8_yji4HS352LGlSQ/edit?pli=1#gid=0"",""1_ACUM!A4:S""),11,FALSE))"),"")</f>
        <v/>
      </c>
      <c r="AW655" s="42" t="str">
        <f ca="1">IFERROR(__xludf.DUMMYFUNCTION("IFERROR(VLOOKUP(F672,IMPORTRANGE(""https://docs.google.com/spreadsheets/d/1Kvs4KS76FHFqLFIZfrDMff4kP08nblUkihrxltoGBjg/edit#gid=934712705"",""ESENCIAL!A6:BG""),15,FALSE))"),"")</f>
        <v/>
      </c>
      <c r="AX655" s="21" t="str">
        <f ca="1">IFERROR(__xludf.DUMMYFUNCTION("IFERROR(VLOOKUP(E672&amp;F672,IMPORTRANGE(""https://docs.google.com/spreadsheets/d/1Uw7-A9f9R21vMXxHZFNpYNeKFtG8_yji4HS352LGlSQ/edit?pli=1#gid=0"",""1_ACUM!A4:S""),12,FALSE))"),"")</f>
        <v/>
      </c>
      <c r="AY655" s="43" t="str">
        <f ca="1">IFERROR(__xludf.DUMMYFUNCTION("IFERROR(VLOOKUP(E672&amp;F672,IMPORTRANGE(""https://docs.google.com/spreadsheets/d/1Uw7-A9f9R21vMXxHZFNpYNeKFtG8_yji4HS352LGlSQ/edit?pli=1#gid=0"",""1_ACUM!A4:S""),13,FALSE))"),"")</f>
        <v/>
      </c>
      <c r="AZ655" s="43" t="str">
        <f ca="1">IFERROR(__xludf.DUMMYFUNCTION("IFERROR(VLOOKUP(E672&amp;F672,IMPORTRANGE(""https://docs.google.com/spreadsheets/d/1Uw7-A9f9R21vMXxHZFNpYNeKFtG8_yji4HS352LGlSQ/edit?pli=1#gid=0"",""1_ACUM!A4:S""),14,FALSE))"),"")</f>
        <v/>
      </c>
      <c r="BA655" s="43" t="str">
        <f ca="1">IFERROR(__xludf.DUMMYFUNCTION("IFERROR(VLOOKUP(E672&amp;F672,IMPORTRANGE(""https://docs.google.com/spreadsheets/d/1Uw7-A9f9R21vMXxHZFNpYNeKFtG8_yji4HS352LGlSQ/edit?pli=1#gid=0"",""1_ACUM!A4:S""),15,FALSE))"),"")</f>
        <v/>
      </c>
      <c r="BB655" s="43" t="str">
        <f ca="1">IFERROR(__xludf.DUMMYFUNCTION("IFERROR(VLOOKUP(E672&amp;F672,IMPORTRANGE(""https://docs.google.com/spreadsheets/d/1Uw7-A9f9R21vMXxHZFNpYNeKFtG8_yji4HS352LGlSQ/edit?pli=1#gid=0"",""1_ACUM!A4:S""),16,FALSE))"),"")</f>
        <v/>
      </c>
      <c r="BC655" s="43" t="str">
        <f ca="1">IFERROR(__xludf.DUMMYFUNCTION("IFERROR(VLOOKUP(E672&amp;F672,IMPORTRANGE(""https://docs.google.com/spreadsheets/d/1Uw7-A9f9R21vMXxHZFNpYNeKFtG8_yji4HS352LGlSQ/edit?pli=1#gid=0"",""1_ACUM!A4:S""),17,FALSE))"),"")</f>
        <v/>
      </c>
      <c r="BD655" s="44" t="str">
        <f ca="1">IFERROR(__xludf.DUMMYFUNCTION("IFERROR(VLOOKUP(E672&amp;F672,IMPORTRANGE(""https://docs.google.com/spreadsheets/d/1Uw7-A9f9R21vMXxHZFNpYNeKFtG8_yji4HS352LGlSQ/edit?pli=1#gid=0"",""1_ACUM!A4:S""),18,FALSE))"),"")</f>
        <v/>
      </c>
      <c r="BE655" s="44" t="str">
        <f ca="1">IFERROR(__xludf.DUMMYFUNCTION("IFERROR(VLOOKUP(E672&amp;F672,IMPORTRANGE(""https://docs.google.com/spreadsheets/d/1Uw7-A9f9R21vMXxHZFNpYNeKFtG8_yji4HS352LGlSQ/edit?pli=1#gid=0"",""1_ACUM!A4:S""),19,FALSE))"),"")</f>
        <v/>
      </c>
      <c r="BF655" s="44" t="str">
        <f ca="1">IFERROR(__xludf.DUMMYFUNCTION("IFERROR(VLOOKUP(F672,IMPORTRANGE(""https://docs.google.com/spreadsheets/d/1Kvs4KS76FHFqLFIZfrDMff4kP08nblUkihrxltoGBjg/edit#gid=934712705"",""ESENCIAL!A6:BG""),5,FALSE))"),"")</f>
        <v/>
      </c>
      <c r="BG655" s="44" t="str">
        <f t="shared" si="41"/>
        <v/>
      </c>
      <c r="BH655" s="41" t="str">
        <f t="shared" si="42"/>
        <v/>
      </c>
      <c r="BI655" s="41" t="str">
        <f ca="1">IFERROR(__xludf.DUMMYFUNCTION("IFERROR(VLOOKUP(F672,IMPORTRANGE(""https://docs.google.com/spreadsheets/d/1Kvs4KS76FHFqLFIZfrDMff4kP08nblUkihrxltoGBjg/edit#gid=934712705"",""ESENCIAL!A6:BG""),18,FALSE))"),"")</f>
        <v/>
      </c>
      <c r="BJ655" s="19" t="str">
        <f t="shared" si="43"/>
        <v/>
      </c>
      <c r="BK655" s="41"/>
      <c r="BL655" s="41"/>
    </row>
    <row r="656" spans="1:64" ht="15">
      <c r="A656" s="4"/>
      <c r="B656" s="4"/>
      <c r="G656" s="5" t="str">
        <f ca="1">IFERROR(__xludf.DUMMYFUNCTION("IFERROR(VLOOKUP(F673,IMPORTRANGE(""https://docs.google.com/spreadsheets/d/1Kvs4KS76FHFqLFIZfrDMff4kP08nblUkihrxltoGBjg/edit#gid=934712705"",""ESENCIAL!A6:BG""),3,FALSE))"),"")</f>
        <v/>
      </c>
      <c r="H656" s="5" t="str">
        <f ca="1">IFERROR(__xludf.DUMMYFUNCTION("IFERROR(VLOOKUP(F673,IMPORTRANGE(""https://docs.google.com/spreadsheets/d/1Kvs4KS76FHFqLFIZfrDMff4kP08nblUkihrxltoGBjg/edit#gid=934712705"",""ESENCIAL!A6:BG""),8,FALSE))"),"")</f>
        <v/>
      </c>
      <c r="L656" s="287"/>
      <c r="S656"/>
      <c r="AU656" s="41" t="str">
        <f t="shared" si="40"/>
        <v/>
      </c>
      <c r="AV656" s="5" t="str">
        <f ca="1">IFERROR(__xludf.DUMMYFUNCTION("IFERROR(VLOOKUP(E673&amp;F673,IMPORTRANGE(""https://docs.google.com/spreadsheets/d/1Uw7-A9f9R21vMXxHZFNpYNeKFtG8_yji4HS352LGlSQ/edit?pli=1#gid=0"",""1_ACUM!A4:S""),11,FALSE))"),"")</f>
        <v/>
      </c>
      <c r="AW656" s="42" t="str">
        <f ca="1">IFERROR(__xludf.DUMMYFUNCTION("IFERROR(VLOOKUP(F673,IMPORTRANGE(""https://docs.google.com/spreadsheets/d/1Kvs4KS76FHFqLFIZfrDMff4kP08nblUkihrxltoGBjg/edit#gid=934712705"",""ESENCIAL!A6:BG""),15,FALSE))"),"")</f>
        <v/>
      </c>
      <c r="AX656" s="21" t="str">
        <f ca="1">IFERROR(__xludf.DUMMYFUNCTION("IFERROR(VLOOKUP(E673&amp;F673,IMPORTRANGE(""https://docs.google.com/spreadsheets/d/1Uw7-A9f9R21vMXxHZFNpYNeKFtG8_yji4HS352LGlSQ/edit?pli=1#gid=0"",""1_ACUM!A4:S""),12,FALSE))"),"")</f>
        <v/>
      </c>
      <c r="AY656" s="43" t="str">
        <f ca="1">IFERROR(__xludf.DUMMYFUNCTION("IFERROR(VLOOKUP(E673&amp;F673,IMPORTRANGE(""https://docs.google.com/spreadsheets/d/1Uw7-A9f9R21vMXxHZFNpYNeKFtG8_yji4HS352LGlSQ/edit?pli=1#gid=0"",""1_ACUM!A4:S""),13,FALSE))"),"")</f>
        <v/>
      </c>
      <c r="AZ656" s="43" t="str">
        <f ca="1">IFERROR(__xludf.DUMMYFUNCTION("IFERROR(VLOOKUP(E673&amp;F673,IMPORTRANGE(""https://docs.google.com/spreadsheets/d/1Uw7-A9f9R21vMXxHZFNpYNeKFtG8_yji4HS352LGlSQ/edit?pli=1#gid=0"",""1_ACUM!A4:S""),14,FALSE))"),"")</f>
        <v/>
      </c>
      <c r="BA656" s="43" t="str">
        <f ca="1">IFERROR(__xludf.DUMMYFUNCTION("IFERROR(VLOOKUP(E673&amp;F673,IMPORTRANGE(""https://docs.google.com/spreadsheets/d/1Uw7-A9f9R21vMXxHZFNpYNeKFtG8_yji4HS352LGlSQ/edit?pli=1#gid=0"",""1_ACUM!A4:S""),15,FALSE))"),"")</f>
        <v/>
      </c>
      <c r="BB656" s="43" t="str">
        <f ca="1">IFERROR(__xludf.DUMMYFUNCTION("IFERROR(VLOOKUP(E673&amp;F673,IMPORTRANGE(""https://docs.google.com/spreadsheets/d/1Uw7-A9f9R21vMXxHZFNpYNeKFtG8_yji4HS352LGlSQ/edit?pli=1#gid=0"",""1_ACUM!A4:S""),16,FALSE))"),"")</f>
        <v/>
      </c>
      <c r="BC656" s="43" t="str">
        <f ca="1">IFERROR(__xludf.DUMMYFUNCTION("IFERROR(VLOOKUP(E673&amp;F673,IMPORTRANGE(""https://docs.google.com/spreadsheets/d/1Uw7-A9f9R21vMXxHZFNpYNeKFtG8_yji4HS352LGlSQ/edit?pli=1#gid=0"",""1_ACUM!A4:S""),17,FALSE))"),"")</f>
        <v/>
      </c>
      <c r="BD656" s="44" t="str">
        <f ca="1">IFERROR(__xludf.DUMMYFUNCTION("IFERROR(VLOOKUP(E673&amp;F673,IMPORTRANGE(""https://docs.google.com/spreadsheets/d/1Uw7-A9f9R21vMXxHZFNpYNeKFtG8_yji4HS352LGlSQ/edit?pli=1#gid=0"",""1_ACUM!A4:S""),18,FALSE))"),"")</f>
        <v/>
      </c>
      <c r="BE656" s="44" t="str">
        <f ca="1">IFERROR(__xludf.DUMMYFUNCTION("IFERROR(VLOOKUP(E673&amp;F673,IMPORTRANGE(""https://docs.google.com/spreadsheets/d/1Uw7-A9f9R21vMXxHZFNpYNeKFtG8_yji4HS352LGlSQ/edit?pli=1#gid=0"",""1_ACUM!A4:S""),19,FALSE))"),"")</f>
        <v/>
      </c>
      <c r="BF656" s="44" t="str">
        <f ca="1">IFERROR(__xludf.DUMMYFUNCTION("IFERROR(VLOOKUP(F673,IMPORTRANGE(""https://docs.google.com/spreadsheets/d/1Kvs4KS76FHFqLFIZfrDMff4kP08nblUkihrxltoGBjg/edit#gid=934712705"",""ESENCIAL!A6:BG""),5,FALSE))"),"")</f>
        <v/>
      </c>
      <c r="BG656" s="44" t="str">
        <f t="shared" si="41"/>
        <v/>
      </c>
      <c r="BH656" s="41" t="str">
        <f t="shared" si="42"/>
        <v/>
      </c>
      <c r="BI656" s="41" t="str">
        <f ca="1">IFERROR(__xludf.DUMMYFUNCTION("IFERROR(VLOOKUP(F673,IMPORTRANGE(""https://docs.google.com/spreadsheets/d/1Kvs4KS76FHFqLFIZfrDMff4kP08nblUkihrxltoGBjg/edit#gid=934712705"",""ESENCIAL!A6:BG""),18,FALSE))"),"")</f>
        <v/>
      </c>
      <c r="BJ656" s="19" t="str">
        <f t="shared" si="43"/>
        <v/>
      </c>
      <c r="BK656" s="41"/>
      <c r="BL656" s="41"/>
    </row>
    <row r="657" spans="1:64" ht="15">
      <c r="A657" s="4"/>
      <c r="B657" s="4"/>
      <c r="G657" s="5" t="str">
        <f ca="1">IFERROR(__xludf.DUMMYFUNCTION("IFERROR(VLOOKUP(F674,IMPORTRANGE(""https://docs.google.com/spreadsheets/d/1Kvs4KS76FHFqLFIZfrDMff4kP08nblUkihrxltoGBjg/edit#gid=934712705"",""ESENCIAL!A6:BG""),3,FALSE))"),"")</f>
        <v/>
      </c>
      <c r="H657" s="5" t="str">
        <f ca="1">IFERROR(__xludf.DUMMYFUNCTION("IFERROR(VLOOKUP(F674,IMPORTRANGE(""https://docs.google.com/spreadsheets/d/1Kvs4KS76FHFqLFIZfrDMff4kP08nblUkihrxltoGBjg/edit#gid=934712705"",""ESENCIAL!A6:BG""),8,FALSE))"),"")</f>
        <v/>
      </c>
      <c r="L657" s="287"/>
      <c r="S657"/>
      <c r="AU657" s="41" t="str">
        <f t="shared" si="40"/>
        <v/>
      </c>
      <c r="AV657" s="5" t="str">
        <f ca="1">IFERROR(__xludf.DUMMYFUNCTION("IFERROR(VLOOKUP(E674&amp;F674,IMPORTRANGE(""https://docs.google.com/spreadsheets/d/1Uw7-A9f9R21vMXxHZFNpYNeKFtG8_yji4HS352LGlSQ/edit?pli=1#gid=0"",""1_ACUM!A4:S""),11,FALSE))"),"")</f>
        <v/>
      </c>
      <c r="AW657" s="42" t="str">
        <f ca="1">IFERROR(__xludf.DUMMYFUNCTION("IFERROR(VLOOKUP(F674,IMPORTRANGE(""https://docs.google.com/spreadsheets/d/1Kvs4KS76FHFqLFIZfrDMff4kP08nblUkihrxltoGBjg/edit#gid=934712705"",""ESENCIAL!A6:BG""),15,FALSE))"),"")</f>
        <v/>
      </c>
      <c r="AX657" s="21" t="str">
        <f ca="1">IFERROR(__xludf.DUMMYFUNCTION("IFERROR(VLOOKUP(E674&amp;F674,IMPORTRANGE(""https://docs.google.com/spreadsheets/d/1Uw7-A9f9R21vMXxHZFNpYNeKFtG8_yji4HS352LGlSQ/edit?pli=1#gid=0"",""1_ACUM!A4:S""),12,FALSE))"),"")</f>
        <v/>
      </c>
      <c r="AY657" s="43" t="str">
        <f ca="1">IFERROR(__xludf.DUMMYFUNCTION("IFERROR(VLOOKUP(E674&amp;F674,IMPORTRANGE(""https://docs.google.com/spreadsheets/d/1Uw7-A9f9R21vMXxHZFNpYNeKFtG8_yji4HS352LGlSQ/edit?pli=1#gid=0"",""1_ACUM!A4:S""),13,FALSE))"),"")</f>
        <v/>
      </c>
      <c r="AZ657" s="43" t="str">
        <f ca="1">IFERROR(__xludf.DUMMYFUNCTION("IFERROR(VLOOKUP(E674&amp;F674,IMPORTRANGE(""https://docs.google.com/spreadsheets/d/1Uw7-A9f9R21vMXxHZFNpYNeKFtG8_yji4HS352LGlSQ/edit?pli=1#gid=0"",""1_ACUM!A4:S""),14,FALSE))"),"")</f>
        <v/>
      </c>
      <c r="BA657" s="43" t="str">
        <f ca="1">IFERROR(__xludf.DUMMYFUNCTION("IFERROR(VLOOKUP(E674&amp;F674,IMPORTRANGE(""https://docs.google.com/spreadsheets/d/1Uw7-A9f9R21vMXxHZFNpYNeKFtG8_yji4HS352LGlSQ/edit?pli=1#gid=0"",""1_ACUM!A4:S""),15,FALSE))"),"")</f>
        <v/>
      </c>
      <c r="BB657" s="43" t="str">
        <f ca="1">IFERROR(__xludf.DUMMYFUNCTION("IFERROR(VLOOKUP(E674&amp;F674,IMPORTRANGE(""https://docs.google.com/spreadsheets/d/1Uw7-A9f9R21vMXxHZFNpYNeKFtG8_yji4HS352LGlSQ/edit?pli=1#gid=0"",""1_ACUM!A4:S""),16,FALSE))"),"")</f>
        <v/>
      </c>
      <c r="BC657" s="43" t="str">
        <f ca="1">IFERROR(__xludf.DUMMYFUNCTION("IFERROR(VLOOKUP(E674&amp;F674,IMPORTRANGE(""https://docs.google.com/spreadsheets/d/1Uw7-A9f9R21vMXxHZFNpYNeKFtG8_yji4HS352LGlSQ/edit?pli=1#gid=0"",""1_ACUM!A4:S""),17,FALSE))"),"")</f>
        <v/>
      </c>
      <c r="BD657" s="44" t="str">
        <f ca="1">IFERROR(__xludf.DUMMYFUNCTION("IFERROR(VLOOKUP(E674&amp;F674,IMPORTRANGE(""https://docs.google.com/spreadsheets/d/1Uw7-A9f9R21vMXxHZFNpYNeKFtG8_yji4HS352LGlSQ/edit?pli=1#gid=0"",""1_ACUM!A4:S""),18,FALSE))"),"")</f>
        <v/>
      </c>
      <c r="BE657" s="44" t="str">
        <f ca="1">IFERROR(__xludf.DUMMYFUNCTION("IFERROR(VLOOKUP(E674&amp;F674,IMPORTRANGE(""https://docs.google.com/spreadsheets/d/1Uw7-A9f9R21vMXxHZFNpYNeKFtG8_yji4HS352LGlSQ/edit?pli=1#gid=0"",""1_ACUM!A4:S""),19,FALSE))"),"")</f>
        <v/>
      </c>
      <c r="BF657" s="44" t="str">
        <f ca="1">IFERROR(__xludf.DUMMYFUNCTION("IFERROR(VLOOKUP(F674,IMPORTRANGE(""https://docs.google.com/spreadsheets/d/1Kvs4KS76FHFqLFIZfrDMff4kP08nblUkihrxltoGBjg/edit#gid=934712705"",""ESENCIAL!A6:BG""),5,FALSE))"),"")</f>
        <v/>
      </c>
      <c r="BG657" s="44" t="str">
        <f t="shared" si="41"/>
        <v/>
      </c>
      <c r="BH657" s="41" t="str">
        <f t="shared" si="42"/>
        <v/>
      </c>
      <c r="BI657" s="41" t="str">
        <f ca="1">IFERROR(__xludf.DUMMYFUNCTION("IFERROR(VLOOKUP(F674,IMPORTRANGE(""https://docs.google.com/spreadsheets/d/1Kvs4KS76FHFqLFIZfrDMff4kP08nblUkihrxltoGBjg/edit#gid=934712705"",""ESENCIAL!A6:BG""),18,FALSE))"),"")</f>
        <v/>
      </c>
      <c r="BJ657" s="19" t="str">
        <f t="shared" si="43"/>
        <v/>
      </c>
      <c r="BK657" s="41"/>
      <c r="BL657" s="41"/>
    </row>
    <row r="658" spans="1:64" ht="15">
      <c r="A658" s="4"/>
      <c r="B658" s="4"/>
      <c r="G658" s="5" t="str">
        <f ca="1">IFERROR(__xludf.DUMMYFUNCTION("IFERROR(VLOOKUP(F675,IMPORTRANGE(""https://docs.google.com/spreadsheets/d/1Kvs4KS76FHFqLFIZfrDMff4kP08nblUkihrxltoGBjg/edit#gid=934712705"",""ESENCIAL!A6:BG""),3,FALSE))"),"")</f>
        <v/>
      </c>
      <c r="H658" s="5" t="str">
        <f ca="1">IFERROR(__xludf.DUMMYFUNCTION("IFERROR(VLOOKUP(F675,IMPORTRANGE(""https://docs.google.com/spreadsheets/d/1Kvs4KS76FHFqLFIZfrDMff4kP08nblUkihrxltoGBjg/edit#gid=934712705"",""ESENCIAL!A6:BG""),8,FALSE))"),"")</f>
        <v/>
      </c>
      <c r="L658" s="287"/>
      <c r="S658"/>
      <c r="AU658" s="41" t="str">
        <f t="shared" si="40"/>
        <v/>
      </c>
      <c r="AV658" s="5" t="str">
        <f ca="1">IFERROR(__xludf.DUMMYFUNCTION("IFERROR(VLOOKUP(E675&amp;F675,IMPORTRANGE(""https://docs.google.com/spreadsheets/d/1Uw7-A9f9R21vMXxHZFNpYNeKFtG8_yji4HS352LGlSQ/edit?pli=1#gid=0"",""1_ACUM!A4:S""),11,FALSE))"),"")</f>
        <v/>
      </c>
      <c r="AW658" s="42" t="str">
        <f ca="1">IFERROR(__xludf.DUMMYFUNCTION("IFERROR(VLOOKUP(F675,IMPORTRANGE(""https://docs.google.com/spreadsheets/d/1Kvs4KS76FHFqLFIZfrDMff4kP08nblUkihrxltoGBjg/edit#gid=934712705"",""ESENCIAL!A6:BG""),15,FALSE))"),"")</f>
        <v/>
      </c>
      <c r="AX658" s="21" t="str">
        <f ca="1">IFERROR(__xludf.DUMMYFUNCTION("IFERROR(VLOOKUP(E675&amp;F675,IMPORTRANGE(""https://docs.google.com/spreadsheets/d/1Uw7-A9f9R21vMXxHZFNpYNeKFtG8_yji4HS352LGlSQ/edit?pli=1#gid=0"",""1_ACUM!A4:S""),12,FALSE))"),"")</f>
        <v/>
      </c>
      <c r="AY658" s="43" t="str">
        <f ca="1">IFERROR(__xludf.DUMMYFUNCTION("IFERROR(VLOOKUP(E675&amp;F675,IMPORTRANGE(""https://docs.google.com/spreadsheets/d/1Uw7-A9f9R21vMXxHZFNpYNeKFtG8_yji4HS352LGlSQ/edit?pli=1#gid=0"",""1_ACUM!A4:S""),13,FALSE))"),"")</f>
        <v/>
      </c>
      <c r="AZ658" s="43" t="str">
        <f ca="1">IFERROR(__xludf.DUMMYFUNCTION("IFERROR(VLOOKUP(E675&amp;F675,IMPORTRANGE(""https://docs.google.com/spreadsheets/d/1Uw7-A9f9R21vMXxHZFNpYNeKFtG8_yji4HS352LGlSQ/edit?pli=1#gid=0"",""1_ACUM!A4:S""),14,FALSE))"),"")</f>
        <v/>
      </c>
      <c r="BA658" s="43" t="str">
        <f ca="1">IFERROR(__xludf.DUMMYFUNCTION("IFERROR(VLOOKUP(E675&amp;F675,IMPORTRANGE(""https://docs.google.com/spreadsheets/d/1Uw7-A9f9R21vMXxHZFNpYNeKFtG8_yji4HS352LGlSQ/edit?pli=1#gid=0"",""1_ACUM!A4:S""),15,FALSE))"),"")</f>
        <v/>
      </c>
      <c r="BB658" s="43" t="str">
        <f ca="1">IFERROR(__xludf.DUMMYFUNCTION("IFERROR(VLOOKUP(E675&amp;F675,IMPORTRANGE(""https://docs.google.com/spreadsheets/d/1Uw7-A9f9R21vMXxHZFNpYNeKFtG8_yji4HS352LGlSQ/edit?pli=1#gid=0"",""1_ACUM!A4:S""),16,FALSE))"),"")</f>
        <v/>
      </c>
      <c r="BC658" s="43" t="str">
        <f ca="1">IFERROR(__xludf.DUMMYFUNCTION("IFERROR(VLOOKUP(E675&amp;F675,IMPORTRANGE(""https://docs.google.com/spreadsheets/d/1Uw7-A9f9R21vMXxHZFNpYNeKFtG8_yji4HS352LGlSQ/edit?pli=1#gid=0"",""1_ACUM!A4:S""),17,FALSE))"),"")</f>
        <v/>
      </c>
      <c r="BD658" s="44" t="str">
        <f ca="1">IFERROR(__xludf.DUMMYFUNCTION("IFERROR(VLOOKUP(E675&amp;F675,IMPORTRANGE(""https://docs.google.com/spreadsheets/d/1Uw7-A9f9R21vMXxHZFNpYNeKFtG8_yji4HS352LGlSQ/edit?pli=1#gid=0"",""1_ACUM!A4:S""),18,FALSE))"),"")</f>
        <v/>
      </c>
      <c r="BE658" s="44" t="str">
        <f ca="1">IFERROR(__xludf.DUMMYFUNCTION("IFERROR(VLOOKUP(E675&amp;F675,IMPORTRANGE(""https://docs.google.com/spreadsheets/d/1Uw7-A9f9R21vMXxHZFNpYNeKFtG8_yji4HS352LGlSQ/edit?pli=1#gid=0"",""1_ACUM!A4:S""),19,FALSE))"),"")</f>
        <v/>
      </c>
      <c r="BF658" s="44" t="str">
        <f ca="1">IFERROR(__xludf.DUMMYFUNCTION("IFERROR(VLOOKUP(F675,IMPORTRANGE(""https://docs.google.com/spreadsheets/d/1Kvs4KS76FHFqLFIZfrDMff4kP08nblUkihrxltoGBjg/edit#gid=934712705"",""ESENCIAL!A6:BG""),5,FALSE))"),"")</f>
        <v/>
      </c>
      <c r="BG658" s="44" t="str">
        <f t="shared" si="41"/>
        <v/>
      </c>
      <c r="BH658" s="41" t="str">
        <f t="shared" si="42"/>
        <v/>
      </c>
      <c r="BI658" s="41" t="str">
        <f ca="1">IFERROR(__xludf.DUMMYFUNCTION("IFERROR(VLOOKUP(F675,IMPORTRANGE(""https://docs.google.com/spreadsheets/d/1Kvs4KS76FHFqLFIZfrDMff4kP08nblUkihrxltoGBjg/edit#gid=934712705"",""ESENCIAL!A6:BG""),18,FALSE))"),"")</f>
        <v/>
      </c>
      <c r="BJ658" s="19" t="str">
        <f t="shared" si="43"/>
        <v/>
      </c>
      <c r="BK658" s="41"/>
      <c r="BL658" s="41"/>
    </row>
    <row r="659" spans="1:64" ht="15">
      <c r="A659" s="4"/>
      <c r="B659" s="4"/>
      <c r="G659" s="5" t="str">
        <f ca="1">IFERROR(__xludf.DUMMYFUNCTION("IFERROR(VLOOKUP(F676,IMPORTRANGE(""https://docs.google.com/spreadsheets/d/1Kvs4KS76FHFqLFIZfrDMff4kP08nblUkihrxltoGBjg/edit#gid=934712705"",""ESENCIAL!A6:BG""),3,FALSE))"),"")</f>
        <v/>
      </c>
      <c r="H659" s="5" t="str">
        <f ca="1">IFERROR(__xludf.DUMMYFUNCTION("IFERROR(VLOOKUP(F676,IMPORTRANGE(""https://docs.google.com/spreadsheets/d/1Kvs4KS76FHFqLFIZfrDMff4kP08nblUkihrxltoGBjg/edit#gid=934712705"",""ESENCIAL!A6:BG""),8,FALSE))"),"")</f>
        <v/>
      </c>
      <c r="L659" s="287"/>
      <c r="S659"/>
      <c r="AU659" s="41" t="str">
        <f t="shared" si="40"/>
        <v/>
      </c>
      <c r="AV659" s="5" t="str">
        <f ca="1">IFERROR(__xludf.DUMMYFUNCTION("IFERROR(VLOOKUP(E676&amp;F676,IMPORTRANGE(""https://docs.google.com/spreadsheets/d/1Uw7-A9f9R21vMXxHZFNpYNeKFtG8_yji4HS352LGlSQ/edit?pli=1#gid=0"",""1_ACUM!A4:S""),11,FALSE))"),"")</f>
        <v/>
      </c>
      <c r="AW659" s="42" t="str">
        <f ca="1">IFERROR(__xludf.DUMMYFUNCTION("IFERROR(VLOOKUP(F676,IMPORTRANGE(""https://docs.google.com/spreadsheets/d/1Kvs4KS76FHFqLFIZfrDMff4kP08nblUkihrxltoGBjg/edit#gid=934712705"",""ESENCIAL!A6:BG""),15,FALSE))"),"")</f>
        <v/>
      </c>
      <c r="AX659" s="21" t="str">
        <f ca="1">IFERROR(__xludf.DUMMYFUNCTION("IFERROR(VLOOKUP(E676&amp;F676,IMPORTRANGE(""https://docs.google.com/spreadsheets/d/1Uw7-A9f9R21vMXxHZFNpYNeKFtG8_yji4HS352LGlSQ/edit?pli=1#gid=0"",""1_ACUM!A4:S""),12,FALSE))"),"")</f>
        <v/>
      </c>
      <c r="AY659" s="43" t="str">
        <f ca="1">IFERROR(__xludf.DUMMYFUNCTION("IFERROR(VLOOKUP(E676&amp;F676,IMPORTRANGE(""https://docs.google.com/spreadsheets/d/1Uw7-A9f9R21vMXxHZFNpYNeKFtG8_yji4HS352LGlSQ/edit?pli=1#gid=0"",""1_ACUM!A4:S""),13,FALSE))"),"")</f>
        <v/>
      </c>
      <c r="AZ659" s="43" t="str">
        <f ca="1">IFERROR(__xludf.DUMMYFUNCTION("IFERROR(VLOOKUP(E676&amp;F676,IMPORTRANGE(""https://docs.google.com/spreadsheets/d/1Uw7-A9f9R21vMXxHZFNpYNeKFtG8_yji4HS352LGlSQ/edit?pli=1#gid=0"",""1_ACUM!A4:S""),14,FALSE))"),"")</f>
        <v/>
      </c>
      <c r="BA659" s="43" t="str">
        <f ca="1">IFERROR(__xludf.DUMMYFUNCTION("IFERROR(VLOOKUP(E676&amp;F676,IMPORTRANGE(""https://docs.google.com/spreadsheets/d/1Uw7-A9f9R21vMXxHZFNpYNeKFtG8_yji4HS352LGlSQ/edit?pli=1#gid=0"",""1_ACUM!A4:S""),15,FALSE))"),"")</f>
        <v/>
      </c>
      <c r="BB659" s="43" t="str">
        <f ca="1">IFERROR(__xludf.DUMMYFUNCTION("IFERROR(VLOOKUP(E676&amp;F676,IMPORTRANGE(""https://docs.google.com/spreadsheets/d/1Uw7-A9f9R21vMXxHZFNpYNeKFtG8_yji4HS352LGlSQ/edit?pli=1#gid=0"",""1_ACUM!A4:S""),16,FALSE))"),"")</f>
        <v/>
      </c>
      <c r="BC659" s="43" t="str">
        <f ca="1">IFERROR(__xludf.DUMMYFUNCTION("IFERROR(VLOOKUP(E676&amp;F676,IMPORTRANGE(""https://docs.google.com/spreadsheets/d/1Uw7-A9f9R21vMXxHZFNpYNeKFtG8_yji4HS352LGlSQ/edit?pli=1#gid=0"",""1_ACUM!A4:S""),17,FALSE))"),"")</f>
        <v/>
      </c>
      <c r="BD659" s="44" t="str">
        <f ca="1">IFERROR(__xludf.DUMMYFUNCTION("IFERROR(VLOOKUP(E676&amp;F676,IMPORTRANGE(""https://docs.google.com/spreadsheets/d/1Uw7-A9f9R21vMXxHZFNpYNeKFtG8_yji4HS352LGlSQ/edit?pli=1#gid=0"",""1_ACUM!A4:S""),18,FALSE))"),"")</f>
        <v/>
      </c>
      <c r="BE659" s="44" t="str">
        <f ca="1">IFERROR(__xludf.DUMMYFUNCTION("IFERROR(VLOOKUP(E676&amp;F676,IMPORTRANGE(""https://docs.google.com/spreadsheets/d/1Uw7-A9f9R21vMXxHZFNpYNeKFtG8_yji4HS352LGlSQ/edit?pli=1#gid=0"",""1_ACUM!A4:S""),19,FALSE))"),"")</f>
        <v/>
      </c>
      <c r="BF659" s="44" t="str">
        <f ca="1">IFERROR(__xludf.DUMMYFUNCTION("IFERROR(VLOOKUP(F676,IMPORTRANGE(""https://docs.google.com/spreadsheets/d/1Kvs4KS76FHFqLFIZfrDMff4kP08nblUkihrxltoGBjg/edit#gid=934712705"",""ESENCIAL!A6:BG""),5,FALSE))"),"")</f>
        <v/>
      </c>
      <c r="BG659" s="44" t="str">
        <f t="shared" si="41"/>
        <v/>
      </c>
      <c r="BH659" s="41" t="str">
        <f t="shared" si="42"/>
        <v/>
      </c>
      <c r="BI659" s="41" t="str">
        <f ca="1">IFERROR(__xludf.DUMMYFUNCTION("IFERROR(VLOOKUP(F676,IMPORTRANGE(""https://docs.google.com/spreadsheets/d/1Kvs4KS76FHFqLFIZfrDMff4kP08nblUkihrxltoGBjg/edit#gid=934712705"",""ESENCIAL!A6:BG""),18,FALSE))"),"")</f>
        <v/>
      </c>
      <c r="BJ659" s="19" t="str">
        <f t="shared" si="43"/>
        <v/>
      </c>
      <c r="BK659" s="41"/>
      <c r="BL659" s="41"/>
    </row>
    <row r="660" spans="1:64" ht="15">
      <c r="A660" s="4"/>
      <c r="B660" s="4"/>
      <c r="G660" s="5" t="str">
        <f ca="1">IFERROR(__xludf.DUMMYFUNCTION("IFERROR(VLOOKUP(F677,IMPORTRANGE(""https://docs.google.com/spreadsheets/d/1Kvs4KS76FHFqLFIZfrDMff4kP08nblUkihrxltoGBjg/edit#gid=934712705"",""ESENCIAL!A6:BG""),3,FALSE))"),"")</f>
        <v/>
      </c>
      <c r="H660" s="5" t="str">
        <f ca="1">IFERROR(__xludf.DUMMYFUNCTION("IFERROR(VLOOKUP(F677,IMPORTRANGE(""https://docs.google.com/spreadsheets/d/1Kvs4KS76FHFqLFIZfrDMff4kP08nblUkihrxltoGBjg/edit#gid=934712705"",""ESENCIAL!A6:BG""),8,FALSE))"),"")</f>
        <v/>
      </c>
      <c r="L660" s="287"/>
      <c r="S660"/>
      <c r="AU660" s="41" t="str">
        <f t="shared" si="40"/>
        <v/>
      </c>
      <c r="AV660" s="5" t="str">
        <f ca="1">IFERROR(__xludf.DUMMYFUNCTION("IFERROR(VLOOKUP(E677&amp;F677,IMPORTRANGE(""https://docs.google.com/spreadsheets/d/1Uw7-A9f9R21vMXxHZFNpYNeKFtG8_yji4HS352LGlSQ/edit?pli=1#gid=0"",""1_ACUM!A4:S""),11,FALSE))"),"")</f>
        <v/>
      </c>
      <c r="AW660" s="42" t="str">
        <f ca="1">IFERROR(__xludf.DUMMYFUNCTION("IFERROR(VLOOKUP(F677,IMPORTRANGE(""https://docs.google.com/spreadsheets/d/1Kvs4KS76FHFqLFIZfrDMff4kP08nblUkihrxltoGBjg/edit#gid=934712705"",""ESENCIAL!A6:BG""),15,FALSE))"),"")</f>
        <v/>
      </c>
      <c r="AX660" s="21" t="str">
        <f ca="1">IFERROR(__xludf.DUMMYFUNCTION("IFERROR(VLOOKUP(E677&amp;F677,IMPORTRANGE(""https://docs.google.com/spreadsheets/d/1Uw7-A9f9R21vMXxHZFNpYNeKFtG8_yji4HS352LGlSQ/edit?pli=1#gid=0"",""1_ACUM!A4:S""),12,FALSE))"),"")</f>
        <v/>
      </c>
      <c r="AY660" s="43" t="str">
        <f ca="1">IFERROR(__xludf.DUMMYFUNCTION("IFERROR(VLOOKUP(E677&amp;F677,IMPORTRANGE(""https://docs.google.com/spreadsheets/d/1Uw7-A9f9R21vMXxHZFNpYNeKFtG8_yji4HS352LGlSQ/edit?pli=1#gid=0"",""1_ACUM!A4:S""),13,FALSE))"),"")</f>
        <v/>
      </c>
      <c r="AZ660" s="43" t="str">
        <f ca="1">IFERROR(__xludf.DUMMYFUNCTION("IFERROR(VLOOKUP(E677&amp;F677,IMPORTRANGE(""https://docs.google.com/spreadsheets/d/1Uw7-A9f9R21vMXxHZFNpYNeKFtG8_yji4HS352LGlSQ/edit?pli=1#gid=0"",""1_ACUM!A4:S""),14,FALSE))"),"")</f>
        <v/>
      </c>
      <c r="BA660" s="43" t="str">
        <f ca="1">IFERROR(__xludf.DUMMYFUNCTION("IFERROR(VLOOKUP(E677&amp;F677,IMPORTRANGE(""https://docs.google.com/spreadsheets/d/1Uw7-A9f9R21vMXxHZFNpYNeKFtG8_yji4HS352LGlSQ/edit?pli=1#gid=0"",""1_ACUM!A4:S""),15,FALSE))"),"")</f>
        <v/>
      </c>
      <c r="BB660" s="43" t="str">
        <f ca="1">IFERROR(__xludf.DUMMYFUNCTION("IFERROR(VLOOKUP(E677&amp;F677,IMPORTRANGE(""https://docs.google.com/spreadsheets/d/1Uw7-A9f9R21vMXxHZFNpYNeKFtG8_yji4HS352LGlSQ/edit?pli=1#gid=0"",""1_ACUM!A4:S""),16,FALSE))"),"")</f>
        <v/>
      </c>
      <c r="BC660" s="43" t="str">
        <f ca="1">IFERROR(__xludf.DUMMYFUNCTION("IFERROR(VLOOKUP(E677&amp;F677,IMPORTRANGE(""https://docs.google.com/spreadsheets/d/1Uw7-A9f9R21vMXxHZFNpYNeKFtG8_yji4HS352LGlSQ/edit?pli=1#gid=0"",""1_ACUM!A4:S""),17,FALSE))"),"")</f>
        <v/>
      </c>
      <c r="BD660" s="44" t="str">
        <f ca="1">IFERROR(__xludf.DUMMYFUNCTION("IFERROR(VLOOKUP(E677&amp;F677,IMPORTRANGE(""https://docs.google.com/spreadsheets/d/1Uw7-A9f9R21vMXxHZFNpYNeKFtG8_yji4HS352LGlSQ/edit?pli=1#gid=0"",""1_ACUM!A4:S""),18,FALSE))"),"")</f>
        <v/>
      </c>
      <c r="BE660" s="44" t="str">
        <f ca="1">IFERROR(__xludf.DUMMYFUNCTION("IFERROR(VLOOKUP(E677&amp;F677,IMPORTRANGE(""https://docs.google.com/spreadsheets/d/1Uw7-A9f9R21vMXxHZFNpYNeKFtG8_yji4HS352LGlSQ/edit?pli=1#gid=0"",""1_ACUM!A4:S""),19,FALSE))"),"")</f>
        <v/>
      </c>
      <c r="BF660" s="44" t="str">
        <f ca="1">IFERROR(__xludf.DUMMYFUNCTION("IFERROR(VLOOKUP(F677,IMPORTRANGE(""https://docs.google.com/spreadsheets/d/1Kvs4KS76FHFqLFIZfrDMff4kP08nblUkihrxltoGBjg/edit#gid=934712705"",""ESENCIAL!A6:BG""),5,FALSE))"),"")</f>
        <v/>
      </c>
      <c r="BG660" s="44" t="str">
        <f t="shared" si="41"/>
        <v/>
      </c>
      <c r="BH660" s="41" t="str">
        <f t="shared" si="42"/>
        <v/>
      </c>
      <c r="BI660" s="41" t="str">
        <f ca="1">IFERROR(__xludf.DUMMYFUNCTION("IFERROR(VLOOKUP(F677,IMPORTRANGE(""https://docs.google.com/spreadsheets/d/1Kvs4KS76FHFqLFIZfrDMff4kP08nblUkihrxltoGBjg/edit#gid=934712705"",""ESENCIAL!A6:BG""),18,FALSE))"),"")</f>
        <v/>
      </c>
      <c r="BJ660" s="19" t="str">
        <f t="shared" si="43"/>
        <v/>
      </c>
      <c r="BK660" s="41"/>
      <c r="BL660" s="41"/>
    </row>
    <row r="661" spans="1:64" ht="15">
      <c r="A661" s="4"/>
      <c r="B661" s="4"/>
      <c r="G661" s="5" t="str">
        <f ca="1">IFERROR(__xludf.DUMMYFUNCTION("IFERROR(VLOOKUP(F678,IMPORTRANGE(""https://docs.google.com/spreadsheets/d/1Kvs4KS76FHFqLFIZfrDMff4kP08nblUkihrxltoGBjg/edit#gid=934712705"",""ESENCIAL!A6:BG""),3,FALSE))"),"")</f>
        <v/>
      </c>
      <c r="H661" s="5" t="str">
        <f ca="1">IFERROR(__xludf.DUMMYFUNCTION("IFERROR(VLOOKUP(F678,IMPORTRANGE(""https://docs.google.com/spreadsheets/d/1Kvs4KS76FHFqLFIZfrDMff4kP08nblUkihrxltoGBjg/edit#gid=934712705"",""ESENCIAL!A6:BG""),8,FALSE))"),"")</f>
        <v/>
      </c>
      <c r="L661" s="287"/>
      <c r="S661"/>
      <c r="AU661" s="41" t="str">
        <f t="shared" si="40"/>
        <v/>
      </c>
      <c r="AV661" s="5" t="str">
        <f ca="1">IFERROR(__xludf.DUMMYFUNCTION("IFERROR(VLOOKUP(E678&amp;F678,IMPORTRANGE(""https://docs.google.com/spreadsheets/d/1Uw7-A9f9R21vMXxHZFNpYNeKFtG8_yji4HS352LGlSQ/edit?pli=1#gid=0"",""1_ACUM!A4:S""),11,FALSE))"),"")</f>
        <v/>
      </c>
      <c r="AW661" s="42" t="str">
        <f ca="1">IFERROR(__xludf.DUMMYFUNCTION("IFERROR(VLOOKUP(F678,IMPORTRANGE(""https://docs.google.com/spreadsheets/d/1Kvs4KS76FHFqLFIZfrDMff4kP08nblUkihrxltoGBjg/edit#gid=934712705"",""ESENCIAL!A6:BG""),15,FALSE))"),"")</f>
        <v/>
      </c>
      <c r="AX661" s="21" t="str">
        <f ca="1">IFERROR(__xludf.DUMMYFUNCTION("IFERROR(VLOOKUP(E678&amp;F678,IMPORTRANGE(""https://docs.google.com/spreadsheets/d/1Uw7-A9f9R21vMXxHZFNpYNeKFtG8_yji4HS352LGlSQ/edit?pli=1#gid=0"",""1_ACUM!A4:S""),12,FALSE))"),"")</f>
        <v/>
      </c>
      <c r="AY661" s="43" t="str">
        <f ca="1">IFERROR(__xludf.DUMMYFUNCTION("IFERROR(VLOOKUP(E678&amp;F678,IMPORTRANGE(""https://docs.google.com/spreadsheets/d/1Uw7-A9f9R21vMXxHZFNpYNeKFtG8_yji4HS352LGlSQ/edit?pli=1#gid=0"",""1_ACUM!A4:S""),13,FALSE))"),"")</f>
        <v/>
      </c>
      <c r="AZ661" s="43" t="str">
        <f ca="1">IFERROR(__xludf.DUMMYFUNCTION("IFERROR(VLOOKUP(E678&amp;F678,IMPORTRANGE(""https://docs.google.com/spreadsheets/d/1Uw7-A9f9R21vMXxHZFNpYNeKFtG8_yji4HS352LGlSQ/edit?pli=1#gid=0"",""1_ACUM!A4:S""),14,FALSE))"),"")</f>
        <v/>
      </c>
      <c r="BA661" s="43" t="str">
        <f ca="1">IFERROR(__xludf.DUMMYFUNCTION("IFERROR(VLOOKUP(E678&amp;F678,IMPORTRANGE(""https://docs.google.com/spreadsheets/d/1Uw7-A9f9R21vMXxHZFNpYNeKFtG8_yji4HS352LGlSQ/edit?pli=1#gid=0"",""1_ACUM!A4:S""),15,FALSE))"),"")</f>
        <v/>
      </c>
      <c r="BB661" s="43" t="str">
        <f ca="1">IFERROR(__xludf.DUMMYFUNCTION("IFERROR(VLOOKUP(E678&amp;F678,IMPORTRANGE(""https://docs.google.com/spreadsheets/d/1Uw7-A9f9R21vMXxHZFNpYNeKFtG8_yji4HS352LGlSQ/edit?pli=1#gid=0"",""1_ACUM!A4:S""),16,FALSE))"),"")</f>
        <v/>
      </c>
      <c r="BC661" s="43" t="str">
        <f ca="1">IFERROR(__xludf.DUMMYFUNCTION("IFERROR(VLOOKUP(E678&amp;F678,IMPORTRANGE(""https://docs.google.com/spreadsheets/d/1Uw7-A9f9R21vMXxHZFNpYNeKFtG8_yji4HS352LGlSQ/edit?pli=1#gid=0"",""1_ACUM!A4:S""),17,FALSE))"),"")</f>
        <v/>
      </c>
      <c r="BD661" s="44" t="str">
        <f ca="1">IFERROR(__xludf.DUMMYFUNCTION("IFERROR(VLOOKUP(E678&amp;F678,IMPORTRANGE(""https://docs.google.com/spreadsheets/d/1Uw7-A9f9R21vMXxHZFNpYNeKFtG8_yji4HS352LGlSQ/edit?pli=1#gid=0"",""1_ACUM!A4:S""),18,FALSE))"),"")</f>
        <v/>
      </c>
      <c r="BE661" s="44" t="str">
        <f ca="1">IFERROR(__xludf.DUMMYFUNCTION("IFERROR(VLOOKUP(E678&amp;F678,IMPORTRANGE(""https://docs.google.com/spreadsheets/d/1Uw7-A9f9R21vMXxHZFNpYNeKFtG8_yji4HS352LGlSQ/edit?pli=1#gid=0"",""1_ACUM!A4:S""),19,FALSE))"),"")</f>
        <v/>
      </c>
      <c r="BF661" s="44" t="str">
        <f ca="1">IFERROR(__xludf.DUMMYFUNCTION("IFERROR(VLOOKUP(F678,IMPORTRANGE(""https://docs.google.com/spreadsheets/d/1Kvs4KS76FHFqLFIZfrDMff4kP08nblUkihrxltoGBjg/edit#gid=934712705"",""ESENCIAL!A6:BG""),5,FALSE))"),"")</f>
        <v/>
      </c>
      <c r="BG661" s="44" t="str">
        <f t="shared" si="41"/>
        <v/>
      </c>
      <c r="BH661" s="41" t="str">
        <f t="shared" si="42"/>
        <v/>
      </c>
      <c r="BI661" s="41" t="str">
        <f ca="1">IFERROR(__xludf.DUMMYFUNCTION("IFERROR(VLOOKUP(F678,IMPORTRANGE(""https://docs.google.com/spreadsheets/d/1Kvs4KS76FHFqLFIZfrDMff4kP08nblUkihrxltoGBjg/edit#gid=934712705"",""ESENCIAL!A6:BG""),18,FALSE))"),"")</f>
        <v/>
      </c>
      <c r="BJ661" s="19" t="str">
        <f t="shared" si="43"/>
        <v/>
      </c>
      <c r="BK661" s="41"/>
      <c r="BL661" s="41"/>
    </row>
    <row r="662" spans="1:64" ht="15">
      <c r="A662" s="4"/>
      <c r="B662" s="4"/>
      <c r="G662" s="5" t="str">
        <f ca="1">IFERROR(__xludf.DUMMYFUNCTION("IFERROR(VLOOKUP(F679,IMPORTRANGE(""https://docs.google.com/spreadsheets/d/1Kvs4KS76FHFqLFIZfrDMff4kP08nblUkihrxltoGBjg/edit#gid=934712705"",""ESENCIAL!A6:BG""),3,FALSE))"),"")</f>
        <v/>
      </c>
      <c r="H662" s="5" t="str">
        <f ca="1">IFERROR(__xludf.DUMMYFUNCTION("IFERROR(VLOOKUP(F679,IMPORTRANGE(""https://docs.google.com/spreadsheets/d/1Kvs4KS76FHFqLFIZfrDMff4kP08nblUkihrxltoGBjg/edit#gid=934712705"",""ESENCIAL!A6:BG""),8,FALSE))"),"")</f>
        <v/>
      </c>
      <c r="L662" s="287"/>
      <c r="S662"/>
      <c r="AU662" s="41" t="str">
        <f t="shared" si="40"/>
        <v/>
      </c>
      <c r="AV662" s="5" t="str">
        <f ca="1">IFERROR(__xludf.DUMMYFUNCTION("IFERROR(VLOOKUP(E679&amp;F679,IMPORTRANGE(""https://docs.google.com/spreadsheets/d/1Uw7-A9f9R21vMXxHZFNpYNeKFtG8_yji4HS352LGlSQ/edit?pli=1#gid=0"",""1_ACUM!A4:S""),11,FALSE))"),"")</f>
        <v/>
      </c>
      <c r="AW662" s="42" t="str">
        <f ca="1">IFERROR(__xludf.DUMMYFUNCTION("IFERROR(VLOOKUP(F679,IMPORTRANGE(""https://docs.google.com/spreadsheets/d/1Kvs4KS76FHFqLFIZfrDMff4kP08nblUkihrxltoGBjg/edit#gid=934712705"",""ESENCIAL!A6:BG""),15,FALSE))"),"")</f>
        <v/>
      </c>
      <c r="AX662" s="21" t="str">
        <f ca="1">IFERROR(__xludf.DUMMYFUNCTION("IFERROR(VLOOKUP(E679&amp;F679,IMPORTRANGE(""https://docs.google.com/spreadsheets/d/1Uw7-A9f9R21vMXxHZFNpYNeKFtG8_yji4HS352LGlSQ/edit?pli=1#gid=0"",""1_ACUM!A4:S""),12,FALSE))"),"")</f>
        <v/>
      </c>
      <c r="AY662" s="43" t="str">
        <f ca="1">IFERROR(__xludf.DUMMYFUNCTION("IFERROR(VLOOKUP(E679&amp;F679,IMPORTRANGE(""https://docs.google.com/spreadsheets/d/1Uw7-A9f9R21vMXxHZFNpYNeKFtG8_yji4HS352LGlSQ/edit?pli=1#gid=0"",""1_ACUM!A4:S""),13,FALSE))"),"")</f>
        <v/>
      </c>
      <c r="AZ662" s="43" t="str">
        <f ca="1">IFERROR(__xludf.DUMMYFUNCTION("IFERROR(VLOOKUP(E679&amp;F679,IMPORTRANGE(""https://docs.google.com/spreadsheets/d/1Uw7-A9f9R21vMXxHZFNpYNeKFtG8_yji4HS352LGlSQ/edit?pli=1#gid=0"",""1_ACUM!A4:S""),14,FALSE))"),"")</f>
        <v/>
      </c>
      <c r="BA662" s="43" t="str">
        <f ca="1">IFERROR(__xludf.DUMMYFUNCTION("IFERROR(VLOOKUP(E679&amp;F679,IMPORTRANGE(""https://docs.google.com/spreadsheets/d/1Uw7-A9f9R21vMXxHZFNpYNeKFtG8_yji4HS352LGlSQ/edit?pli=1#gid=0"",""1_ACUM!A4:S""),15,FALSE))"),"")</f>
        <v/>
      </c>
      <c r="BB662" s="43" t="str">
        <f ca="1">IFERROR(__xludf.DUMMYFUNCTION("IFERROR(VLOOKUP(E679&amp;F679,IMPORTRANGE(""https://docs.google.com/spreadsheets/d/1Uw7-A9f9R21vMXxHZFNpYNeKFtG8_yji4HS352LGlSQ/edit?pli=1#gid=0"",""1_ACUM!A4:S""),16,FALSE))"),"")</f>
        <v/>
      </c>
      <c r="BC662" s="43" t="str">
        <f ca="1">IFERROR(__xludf.DUMMYFUNCTION("IFERROR(VLOOKUP(E679&amp;F679,IMPORTRANGE(""https://docs.google.com/spreadsheets/d/1Uw7-A9f9R21vMXxHZFNpYNeKFtG8_yji4HS352LGlSQ/edit?pli=1#gid=0"",""1_ACUM!A4:S""),17,FALSE))"),"")</f>
        <v/>
      </c>
      <c r="BD662" s="44" t="str">
        <f ca="1">IFERROR(__xludf.DUMMYFUNCTION("IFERROR(VLOOKUP(E679&amp;F679,IMPORTRANGE(""https://docs.google.com/spreadsheets/d/1Uw7-A9f9R21vMXxHZFNpYNeKFtG8_yji4HS352LGlSQ/edit?pli=1#gid=0"",""1_ACUM!A4:S""),18,FALSE))"),"")</f>
        <v/>
      </c>
      <c r="BE662" s="44" t="str">
        <f ca="1">IFERROR(__xludf.DUMMYFUNCTION("IFERROR(VLOOKUP(E679&amp;F679,IMPORTRANGE(""https://docs.google.com/spreadsheets/d/1Uw7-A9f9R21vMXxHZFNpYNeKFtG8_yji4HS352LGlSQ/edit?pli=1#gid=0"",""1_ACUM!A4:S""),19,FALSE))"),"")</f>
        <v/>
      </c>
      <c r="BF662" s="44" t="str">
        <f ca="1">IFERROR(__xludf.DUMMYFUNCTION("IFERROR(VLOOKUP(F679,IMPORTRANGE(""https://docs.google.com/spreadsheets/d/1Kvs4KS76FHFqLFIZfrDMff4kP08nblUkihrxltoGBjg/edit#gid=934712705"",""ESENCIAL!A6:BG""),5,FALSE))"),"")</f>
        <v/>
      </c>
      <c r="BG662" s="44" t="str">
        <f t="shared" si="41"/>
        <v/>
      </c>
      <c r="BH662" s="41" t="str">
        <f t="shared" si="42"/>
        <v/>
      </c>
      <c r="BI662" s="41" t="str">
        <f ca="1">IFERROR(__xludf.DUMMYFUNCTION("IFERROR(VLOOKUP(F679,IMPORTRANGE(""https://docs.google.com/spreadsheets/d/1Kvs4KS76FHFqLFIZfrDMff4kP08nblUkihrxltoGBjg/edit#gid=934712705"",""ESENCIAL!A6:BG""),18,FALSE))"),"")</f>
        <v/>
      </c>
      <c r="BJ662" s="19" t="str">
        <f t="shared" si="43"/>
        <v/>
      </c>
      <c r="BK662" s="41"/>
      <c r="BL662" s="41"/>
    </row>
    <row r="663" spans="1:64" ht="15">
      <c r="A663" s="4"/>
      <c r="B663" s="4"/>
      <c r="G663" s="5" t="str">
        <f ca="1">IFERROR(__xludf.DUMMYFUNCTION("IFERROR(VLOOKUP(F680,IMPORTRANGE(""https://docs.google.com/spreadsheets/d/1Kvs4KS76FHFqLFIZfrDMff4kP08nblUkihrxltoGBjg/edit#gid=934712705"",""ESENCIAL!A6:BG""),3,FALSE))"),"")</f>
        <v/>
      </c>
      <c r="H663" s="5" t="str">
        <f ca="1">IFERROR(__xludf.DUMMYFUNCTION("IFERROR(VLOOKUP(F680,IMPORTRANGE(""https://docs.google.com/spreadsheets/d/1Kvs4KS76FHFqLFIZfrDMff4kP08nblUkihrxltoGBjg/edit#gid=934712705"",""ESENCIAL!A6:BG""),8,FALSE))"),"")</f>
        <v/>
      </c>
      <c r="L663" s="287"/>
      <c r="S663"/>
      <c r="AU663" s="41" t="str">
        <f t="shared" si="40"/>
        <v/>
      </c>
      <c r="AV663" s="5" t="str">
        <f ca="1">IFERROR(__xludf.DUMMYFUNCTION("IFERROR(VLOOKUP(E680&amp;F680,IMPORTRANGE(""https://docs.google.com/spreadsheets/d/1Uw7-A9f9R21vMXxHZFNpYNeKFtG8_yji4HS352LGlSQ/edit?pli=1#gid=0"",""1_ACUM!A4:S""),11,FALSE))"),"")</f>
        <v/>
      </c>
      <c r="AW663" s="42" t="str">
        <f ca="1">IFERROR(__xludf.DUMMYFUNCTION("IFERROR(VLOOKUP(F680,IMPORTRANGE(""https://docs.google.com/spreadsheets/d/1Kvs4KS76FHFqLFIZfrDMff4kP08nblUkihrxltoGBjg/edit#gid=934712705"",""ESENCIAL!A6:BG""),15,FALSE))"),"")</f>
        <v/>
      </c>
      <c r="AX663" s="21" t="str">
        <f ca="1">IFERROR(__xludf.DUMMYFUNCTION("IFERROR(VLOOKUP(E680&amp;F680,IMPORTRANGE(""https://docs.google.com/spreadsheets/d/1Uw7-A9f9R21vMXxHZFNpYNeKFtG8_yji4HS352LGlSQ/edit?pli=1#gid=0"",""1_ACUM!A4:S""),12,FALSE))"),"")</f>
        <v/>
      </c>
      <c r="AY663" s="43" t="str">
        <f ca="1">IFERROR(__xludf.DUMMYFUNCTION("IFERROR(VLOOKUP(E680&amp;F680,IMPORTRANGE(""https://docs.google.com/spreadsheets/d/1Uw7-A9f9R21vMXxHZFNpYNeKFtG8_yji4HS352LGlSQ/edit?pli=1#gid=0"",""1_ACUM!A4:S""),13,FALSE))"),"")</f>
        <v/>
      </c>
      <c r="AZ663" s="43" t="str">
        <f ca="1">IFERROR(__xludf.DUMMYFUNCTION("IFERROR(VLOOKUP(E680&amp;F680,IMPORTRANGE(""https://docs.google.com/spreadsheets/d/1Uw7-A9f9R21vMXxHZFNpYNeKFtG8_yji4HS352LGlSQ/edit?pli=1#gid=0"",""1_ACUM!A4:S""),14,FALSE))"),"")</f>
        <v/>
      </c>
      <c r="BA663" s="43" t="str">
        <f ca="1">IFERROR(__xludf.DUMMYFUNCTION("IFERROR(VLOOKUP(E680&amp;F680,IMPORTRANGE(""https://docs.google.com/spreadsheets/d/1Uw7-A9f9R21vMXxHZFNpYNeKFtG8_yji4HS352LGlSQ/edit?pli=1#gid=0"",""1_ACUM!A4:S""),15,FALSE))"),"")</f>
        <v/>
      </c>
      <c r="BB663" s="43" t="str">
        <f ca="1">IFERROR(__xludf.DUMMYFUNCTION("IFERROR(VLOOKUP(E680&amp;F680,IMPORTRANGE(""https://docs.google.com/spreadsheets/d/1Uw7-A9f9R21vMXxHZFNpYNeKFtG8_yji4HS352LGlSQ/edit?pli=1#gid=0"",""1_ACUM!A4:S""),16,FALSE))"),"")</f>
        <v/>
      </c>
      <c r="BC663" s="43" t="str">
        <f ca="1">IFERROR(__xludf.DUMMYFUNCTION("IFERROR(VLOOKUP(E680&amp;F680,IMPORTRANGE(""https://docs.google.com/spreadsheets/d/1Uw7-A9f9R21vMXxHZFNpYNeKFtG8_yji4HS352LGlSQ/edit?pli=1#gid=0"",""1_ACUM!A4:S""),17,FALSE))"),"")</f>
        <v/>
      </c>
      <c r="BD663" s="44" t="str">
        <f ca="1">IFERROR(__xludf.DUMMYFUNCTION("IFERROR(VLOOKUP(E680&amp;F680,IMPORTRANGE(""https://docs.google.com/spreadsheets/d/1Uw7-A9f9R21vMXxHZFNpYNeKFtG8_yji4HS352LGlSQ/edit?pli=1#gid=0"",""1_ACUM!A4:S""),18,FALSE))"),"")</f>
        <v/>
      </c>
      <c r="BE663" s="44" t="str">
        <f ca="1">IFERROR(__xludf.DUMMYFUNCTION("IFERROR(VLOOKUP(E680&amp;F680,IMPORTRANGE(""https://docs.google.com/spreadsheets/d/1Uw7-A9f9R21vMXxHZFNpYNeKFtG8_yji4HS352LGlSQ/edit?pli=1#gid=0"",""1_ACUM!A4:S""),19,FALSE))"),"")</f>
        <v/>
      </c>
      <c r="BF663" s="44" t="str">
        <f ca="1">IFERROR(__xludf.DUMMYFUNCTION("IFERROR(VLOOKUP(F680,IMPORTRANGE(""https://docs.google.com/spreadsheets/d/1Kvs4KS76FHFqLFIZfrDMff4kP08nblUkihrxltoGBjg/edit#gid=934712705"",""ESENCIAL!A6:BG""),5,FALSE))"),"")</f>
        <v/>
      </c>
      <c r="BG663" s="44" t="str">
        <f t="shared" si="41"/>
        <v/>
      </c>
      <c r="BH663" s="41" t="str">
        <f t="shared" si="42"/>
        <v/>
      </c>
      <c r="BI663" s="41" t="str">
        <f ca="1">IFERROR(__xludf.DUMMYFUNCTION("IFERROR(VLOOKUP(F680,IMPORTRANGE(""https://docs.google.com/spreadsheets/d/1Kvs4KS76FHFqLFIZfrDMff4kP08nblUkihrxltoGBjg/edit#gid=934712705"",""ESENCIAL!A6:BG""),18,FALSE))"),"")</f>
        <v/>
      </c>
      <c r="BJ663" s="19" t="str">
        <f t="shared" si="43"/>
        <v/>
      </c>
      <c r="BK663" s="41"/>
      <c r="BL663" s="41"/>
    </row>
    <row r="664" spans="1:64" ht="15">
      <c r="A664" s="4"/>
      <c r="B664" s="4"/>
      <c r="G664" s="5" t="str">
        <f ca="1">IFERROR(__xludf.DUMMYFUNCTION("IFERROR(VLOOKUP(F681,IMPORTRANGE(""https://docs.google.com/spreadsheets/d/1Kvs4KS76FHFqLFIZfrDMff4kP08nblUkihrxltoGBjg/edit#gid=934712705"",""ESENCIAL!A6:BG""),3,FALSE))"),"")</f>
        <v/>
      </c>
      <c r="H664" s="5" t="str">
        <f ca="1">IFERROR(__xludf.DUMMYFUNCTION("IFERROR(VLOOKUP(F681,IMPORTRANGE(""https://docs.google.com/spreadsheets/d/1Kvs4KS76FHFqLFIZfrDMff4kP08nblUkihrxltoGBjg/edit#gid=934712705"",""ESENCIAL!A6:BG""),8,FALSE))"),"")</f>
        <v/>
      </c>
      <c r="L664" s="287"/>
      <c r="S664"/>
      <c r="AU664" s="41" t="str">
        <f t="shared" si="40"/>
        <v/>
      </c>
      <c r="AV664" s="5" t="str">
        <f ca="1">IFERROR(__xludf.DUMMYFUNCTION("IFERROR(VLOOKUP(E681&amp;F681,IMPORTRANGE(""https://docs.google.com/spreadsheets/d/1Uw7-A9f9R21vMXxHZFNpYNeKFtG8_yji4HS352LGlSQ/edit?pli=1#gid=0"",""1_ACUM!A4:S""),11,FALSE))"),"")</f>
        <v/>
      </c>
      <c r="AW664" s="42" t="str">
        <f ca="1">IFERROR(__xludf.DUMMYFUNCTION("IFERROR(VLOOKUP(F681,IMPORTRANGE(""https://docs.google.com/spreadsheets/d/1Kvs4KS76FHFqLFIZfrDMff4kP08nblUkihrxltoGBjg/edit#gid=934712705"",""ESENCIAL!A6:BG""),15,FALSE))"),"")</f>
        <v/>
      </c>
      <c r="AX664" s="21" t="str">
        <f ca="1">IFERROR(__xludf.DUMMYFUNCTION("IFERROR(VLOOKUP(E681&amp;F681,IMPORTRANGE(""https://docs.google.com/spreadsheets/d/1Uw7-A9f9R21vMXxHZFNpYNeKFtG8_yji4HS352LGlSQ/edit?pli=1#gid=0"",""1_ACUM!A4:S""),12,FALSE))"),"")</f>
        <v/>
      </c>
      <c r="AY664" s="43" t="str">
        <f ca="1">IFERROR(__xludf.DUMMYFUNCTION("IFERROR(VLOOKUP(E681&amp;F681,IMPORTRANGE(""https://docs.google.com/spreadsheets/d/1Uw7-A9f9R21vMXxHZFNpYNeKFtG8_yji4HS352LGlSQ/edit?pli=1#gid=0"",""1_ACUM!A4:S""),13,FALSE))"),"")</f>
        <v/>
      </c>
      <c r="AZ664" s="43" t="str">
        <f ca="1">IFERROR(__xludf.DUMMYFUNCTION("IFERROR(VLOOKUP(E681&amp;F681,IMPORTRANGE(""https://docs.google.com/spreadsheets/d/1Uw7-A9f9R21vMXxHZFNpYNeKFtG8_yji4HS352LGlSQ/edit?pli=1#gid=0"",""1_ACUM!A4:S""),14,FALSE))"),"")</f>
        <v/>
      </c>
      <c r="BA664" s="43" t="str">
        <f ca="1">IFERROR(__xludf.DUMMYFUNCTION("IFERROR(VLOOKUP(E681&amp;F681,IMPORTRANGE(""https://docs.google.com/spreadsheets/d/1Uw7-A9f9R21vMXxHZFNpYNeKFtG8_yji4HS352LGlSQ/edit?pli=1#gid=0"",""1_ACUM!A4:S""),15,FALSE))"),"")</f>
        <v/>
      </c>
      <c r="BB664" s="43" t="str">
        <f ca="1">IFERROR(__xludf.DUMMYFUNCTION("IFERROR(VLOOKUP(E681&amp;F681,IMPORTRANGE(""https://docs.google.com/spreadsheets/d/1Uw7-A9f9R21vMXxHZFNpYNeKFtG8_yji4HS352LGlSQ/edit?pli=1#gid=0"",""1_ACUM!A4:S""),16,FALSE))"),"")</f>
        <v/>
      </c>
      <c r="BC664" s="43" t="str">
        <f ca="1">IFERROR(__xludf.DUMMYFUNCTION("IFERROR(VLOOKUP(E681&amp;F681,IMPORTRANGE(""https://docs.google.com/spreadsheets/d/1Uw7-A9f9R21vMXxHZFNpYNeKFtG8_yji4HS352LGlSQ/edit?pli=1#gid=0"",""1_ACUM!A4:S""),17,FALSE))"),"")</f>
        <v/>
      </c>
      <c r="BD664" s="44" t="str">
        <f ca="1">IFERROR(__xludf.DUMMYFUNCTION("IFERROR(VLOOKUP(E681&amp;F681,IMPORTRANGE(""https://docs.google.com/spreadsheets/d/1Uw7-A9f9R21vMXxHZFNpYNeKFtG8_yji4HS352LGlSQ/edit?pli=1#gid=0"",""1_ACUM!A4:S""),18,FALSE))"),"")</f>
        <v/>
      </c>
      <c r="BE664" s="44" t="str">
        <f ca="1">IFERROR(__xludf.DUMMYFUNCTION("IFERROR(VLOOKUP(E681&amp;F681,IMPORTRANGE(""https://docs.google.com/spreadsheets/d/1Uw7-A9f9R21vMXxHZFNpYNeKFtG8_yji4HS352LGlSQ/edit?pli=1#gid=0"",""1_ACUM!A4:S""),19,FALSE))"),"")</f>
        <v/>
      </c>
      <c r="BF664" s="44" t="str">
        <f ca="1">IFERROR(__xludf.DUMMYFUNCTION("IFERROR(VLOOKUP(F681,IMPORTRANGE(""https://docs.google.com/spreadsheets/d/1Kvs4KS76FHFqLFIZfrDMff4kP08nblUkihrxltoGBjg/edit#gid=934712705"",""ESENCIAL!A6:BG""),5,FALSE))"),"")</f>
        <v/>
      </c>
      <c r="BG664" s="44" t="str">
        <f t="shared" si="41"/>
        <v/>
      </c>
      <c r="BH664" s="41" t="str">
        <f t="shared" si="42"/>
        <v/>
      </c>
      <c r="BI664" s="41" t="str">
        <f ca="1">IFERROR(__xludf.DUMMYFUNCTION("IFERROR(VLOOKUP(F681,IMPORTRANGE(""https://docs.google.com/spreadsheets/d/1Kvs4KS76FHFqLFIZfrDMff4kP08nblUkihrxltoGBjg/edit#gid=934712705"",""ESENCIAL!A6:BG""),18,FALSE))"),"")</f>
        <v/>
      </c>
      <c r="BJ664" s="19" t="str">
        <f t="shared" si="43"/>
        <v/>
      </c>
      <c r="BK664" s="41"/>
      <c r="BL664" s="41"/>
    </row>
    <row r="665" spans="1:64" ht="15">
      <c r="A665" s="4"/>
      <c r="B665" s="4"/>
      <c r="G665" s="5" t="str">
        <f ca="1">IFERROR(__xludf.DUMMYFUNCTION("IFERROR(VLOOKUP(F682,IMPORTRANGE(""https://docs.google.com/spreadsheets/d/1Kvs4KS76FHFqLFIZfrDMff4kP08nblUkihrxltoGBjg/edit#gid=934712705"",""ESENCIAL!A6:BG""),3,FALSE))"),"")</f>
        <v/>
      </c>
      <c r="H665" s="5" t="str">
        <f ca="1">IFERROR(__xludf.DUMMYFUNCTION("IFERROR(VLOOKUP(F682,IMPORTRANGE(""https://docs.google.com/spreadsheets/d/1Kvs4KS76FHFqLFIZfrDMff4kP08nblUkihrxltoGBjg/edit#gid=934712705"",""ESENCIAL!A6:BG""),8,FALSE))"),"")</f>
        <v/>
      </c>
      <c r="L665" s="287"/>
      <c r="S665"/>
      <c r="AU665" s="41" t="str">
        <f t="shared" si="40"/>
        <v/>
      </c>
      <c r="AV665" s="5" t="str">
        <f ca="1">IFERROR(__xludf.DUMMYFUNCTION("IFERROR(VLOOKUP(E682&amp;F682,IMPORTRANGE(""https://docs.google.com/spreadsheets/d/1Uw7-A9f9R21vMXxHZFNpYNeKFtG8_yji4HS352LGlSQ/edit?pli=1#gid=0"",""1_ACUM!A4:S""),11,FALSE))"),"")</f>
        <v/>
      </c>
      <c r="AW665" s="42" t="str">
        <f ca="1">IFERROR(__xludf.DUMMYFUNCTION("IFERROR(VLOOKUP(F682,IMPORTRANGE(""https://docs.google.com/spreadsheets/d/1Kvs4KS76FHFqLFIZfrDMff4kP08nblUkihrxltoGBjg/edit#gid=934712705"",""ESENCIAL!A6:BG""),15,FALSE))"),"")</f>
        <v/>
      </c>
      <c r="AX665" s="21" t="str">
        <f ca="1">IFERROR(__xludf.DUMMYFUNCTION("IFERROR(VLOOKUP(E682&amp;F682,IMPORTRANGE(""https://docs.google.com/spreadsheets/d/1Uw7-A9f9R21vMXxHZFNpYNeKFtG8_yji4HS352LGlSQ/edit?pli=1#gid=0"",""1_ACUM!A4:S""),12,FALSE))"),"")</f>
        <v/>
      </c>
      <c r="AY665" s="43" t="str">
        <f ca="1">IFERROR(__xludf.DUMMYFUNCTION("IFERROR(VLOOKUP(E682&amp;F682,IMPORTRANGE(""https://docs.google.com/spreadsheets/d/1Uw7-A9f9R21vMXxHZFNpYNeKFtG8_yji4HS352LGlSQ/edit?pli=1#gid=0"",""1_ACUM!A4:S""),13,FALSE))"),"")</f>
        <v/>
      </c>
      <c r="AZ665" s="43" t="str">
        <f ca="1">IFERROR(__xludf.DUMMYFUNCTION("IFERROR(VLOOKUP(E682&amp;F682,IMPORTRANGE(""https://docs.google.com/spreadsheets/d/1Uw7-A9f9R21vMXxHZFNpYNeKFtG8_yji4HS352LGlSQ/edit?pli=1#gid=0"",""1_ACUM!A4:S""),14,FALSE))"),"")</f>
        <v/>
      </c>
      <c r="BA665" s="43" t="str">
        <f ca="1">IFERROR(__xludf.DUMMYFUNCTION("IFERROR(VLOOKUP(E682&amp;F682,IMPORTRANGE(""https://docs.google.com/spreadsheets/d/1Uw7-A9f9R21vMXxHZFNpYNeKFtG8_yji4HS352LGlSQ/edit?pli=1#gid=0"",""1_ACUM!A4:S""),15,FALSE))"),"")</f>
        <v/>
      </c>
      <c r="BB665" s="43" t="str">
        <f ca="1">IFERROR(__xludf.DUMMYFUNCTION("IFERROR(VLOOKUP(E682&amp;F682,IMPORTRANGE(""https://docs.google.com/spreadsheets/d/1Uw7-A9f9R21vMXxHZFNpYNeKFtG8_yji4HS352LGlSQ/edit?pli=1#gid=0"",""1_ACUM!A4:S""),16,FALSE))"),"")</f>
        <v/>
      </c>
      <c r="BC665" s="43" t="str">
        <f ca="1">IFERROR(__xludf.DUMMYFUNCTION("IFERROR(VLOOKUP(E682&amp;F682,IMPORTRANGE(""https://docs.google.com/spreadsheets/d/1Uw7-A9f9R21vMXxHZFNpYNeKFtG8_yji4HS352LGlSQ/edit?pli=1#gid=0"",""1_ACUM!A4:S""),17,FALSE))"),"")</f>
        <v/>
      </c>
      <c r="BD665" s="44" t="str">
        <f ca="1">IFERROR(__xludf.DUMMYFUNCTION("IFERROR(VLOOKUP(E682&amp;F682,IMPORTRANGE(""https://docs.google.com/spreadsheets/d/1Uw7-A9f9R21vMXxHZFNpYNeKFtG8_yji4HS352LGlSQ/edit?pli=1#gid=0"",""1_ACUM!A4:S""),18,FALSE))"),"")</f>
        <v/>
      </c>
      <c r="BE665" s="44" t="str">
        <f ca="1">IFERROR(__xludf.DUMMYFUNCTION("IFERROR(VLOOKUP(E682&amp;F682,IMPORTRANGE(""https://docs.google.com/spreadsheets/d/1Uw7-A9f9R21vMXxHZFNpYNeKFtG8_yji4HS352LGlSQ/edit?pli=1#gid=0"",""1_ACUM!A4:S""),19,FALSE))"),"")</f>
        <v/>
      </c>
      <c r="BF665" s="44" t="str">
        <f ca="1">IFERROR(__xludf.DUMMYFUNCTION("IFERROR(VLOOKUP(F682,IMPORTRANGE(""https://docs.google.com/spreadsheets/d/1Kvs4KS76FHFqLFIZfrDMff4kP08nblUkihrxltoGBjg/edit#gid=934712705"",""ESENCIAL!A6:BG""),5,FALSE))"),"")</f>
        <v/>
      </c>
      <c r="BG665" s="44" t="str">
        <f t="shared" si="41"/>
        <v/>
      </c>
      <c r="BH665" s="41" t="str">
        <f t="shared" si="42"/>
        <v/>
      </c>
      <c r="BI665" s="41" t="str">
        <f ca="1">IFERROR(__xludf.DUMMYFUNCTION("IFERROR(VLOOKUP(F682,IMPORTRANGE(""https://docs.google.com/spreadsheets/d/1Kvs4KS76FHFqLFIZfrDMff4kP08nblUkihrxltoGBjg/edit#gid=934712705"",""ESENCIAL!A6:BG""),18,FALSE))"),"")</f>
        <v/>
      </c>
      <c r="BJ665" s="19" t="str">
        <f t="shared" si="43"/>
        <v/>
      </c>
      <c r="BK665" s="41"/>
      <c r="BL665" s="41"/>
    </row>
    <row r="666" spans="1:64" ht="15">
      <c r="A666" s="4"/>
      <c r="B666" s="4"/>
      <c r="G666" s="5" t="str">
        <f ca="1">IFERROR(__xludf.DUMMYFUNCTION("IFERROR(VLOOKUP(F683,IMPORTRANGE(""https://docs.google.com/spreadsheets/d/1Kvs4KS76FHFqLFIZfrDMff4kP08nblUkihrxltoGBjg/edit#gid=934712705"",""ESENCIAL!A6:BG""),3,FALSE))"),"")</f>
        <v/>
      </c>
      <c r="H666" s="5" t="str">
        <f ca="1">IFERROR(__xludf.DUMMYFUNCTION("IFERROR(VLOOKUP(F683,IMPORTRANGE(""https://docs.google.com/spreadsheets/d/1Kvs4KS76FHFqLFIZfrDMff4kP08nblUkihrxltoGBjg/edit#gid=934712705"",""ESENCIAL!A6:BG""),8,FALSE))"),"")</f>
        <v/>
      </c>
      <c r="L666" s="287"/>
      <c r="S666"/>
      <c r="AU666" s="41" t="str">
        <f t="shared" si="40"/>
        <v/>
      </c>
      <c r="AV666" s="5" t="str">
        <f ca="1">IFERROR(__xludf.DUMMYFUNCTION("IFERROR(VLOOKUP(E683&amp;F683,IMPORTRANGE(""https://docs.google.com/spreadsheets/d/1Uw7-A9f9R21vMXxHZFNpYNeKFtG8_yji4HS352LGlSQ/edit?pli=1#gid=0"",""1_ACUM!A4:S""),11,FALSE))"),"")</f>
        <v/>
      </c>
      <c r="AW666" s="42" t="str">
        <f ca="1">IFERROR(__xludf.DUMMYFUNCTION("IFERROR(VLOOKUP(F683,IMPORTRANGE(""https://docs.google.com/spreadsheets/d/1Kvs4KS76FHFqLFIZfrDMff4kP08nblUkihrxltoGBjg/edit#gid=934712705"",""ESENCIAL!A6:BG""),15,FALSE))"),"")</f>
        <v/>
      </c>
      <c r="AX666" s="21" t="str">
        <f ca="1">IFERROR(__xludf.DUMMYFUNCTION("IFERROR(VLOOKUP(E683&amp;F683,IMPORTRANGE(""https://docs.google.com/spreadsheets/d/1Uw7-A9f9R21vMXxHZFNpYNeKFtG8_yji4HS352LGlSQ/edit?pli=1#gid=0"",""1_ACUM!A4:S""),12,FALSE))"),"")</f>
        <v/>
      </c>
      <c r="AY666" s="43" t="str">
        <f ca="1">IFERROR(__xludf.DUMMYFUNCTION("IFERROR(VLOOKUP(E683&amp;F683,IMPORTRANGE(""https://docs.google.com/spreadsheets/d/1Uw7-A9f9R21vMXxHZFNpYNeKFtG8_yji4HS352LGlSQ/edit?pli=1#gid=0"",""1_ACUM!A4:S""),13,FALSE))"),"")</f>
        <v/>
      </c>
      <c r="AZ666" s="43" t="str">
        <f ca="1">IFERROR(__xludf.DUMMYFUNCTION("IFERROR(VLOOKUP(E683&amp;F683,IMPORTRANGE(""https://docs.google.com/spreadsheets/d/1Uw7-A9f9R21vMXxHZFNpYNeKFtG8_yji4HS352LGlSQ/edit?pli=1#gid=0"",""1_ACUM!A4:S""),14,FALSE))"),"")</f>
        <v/>
      </c>
      <c r="BA666" s="43" t="str">
        <f ca="1">IFERROR(__xludf.DUMMYFUNCTION("IFERROR(VLOOKUP(E683&amp;F683,IMPORTRANGE(""https://docs.google.com/spreadsheets/d/1Uw7-A9f9R21vMXxHZFNpYNeKFtG8_yji4HS352LGlSQ/edit?pli=1#gid=0"",""1_ACUM!A4:S""),15,FALSE))"),"")</f>
        <v/>
      </c>
      <c r="BB666" s="43" t="str">
        <f ca="1">IFERROR(__xludf.DUMMYFUNCTION("IFERROR(VLOOKUP(E683&amp;F683,IMPORTRANGE(""https://docs.google.com/spreadsheets/d/1Uw7-A9f9R21vMXxHZFNpYNeKFtG8_yji4HS352LGlSQ/edit?pli=1#gid=0"",""1_ACUM!A4:S""),16,FALSE))"),"")</f>
        <v/>
      </c>
      <c r="BC666" s="43" t="str">
        <f ca="1">IFERROR(__xludf.DUMMYFUNCTION("IFERROR(VLOOKUP(E683&amp;F683,IMPORTRANGE(""https://docs.google.com/spreadsheets/d/1Uw7-A9f9R21vMXxHZFNpYNeKFtG8_yji4HS352LGlSQ/edit?pli=1#gid=0"",""1_ACUM!A4:S""),17,FALSE))"),"")</f>
        <v/>
      </c>
      <c r="BD666" s="44" t="str">
        <f ca="1">IFERROR(__xludf.DUMMYFUNCTION("IFERROR(VLOOKUP(E683&amp;F683,IMPORTRANGE(""https://docs.google.com/spreadsheets/d/1Uw7-A9f9R21vMXxHZFNpYNeKFtG8_yji4HS352LGlSQ/edit?pli=1#gid=0"",""1_ACUM!A4:S""),18,FALSE))"),"")</f>
        <v/>
      </c>
      <c r="BE666" s="44" t="str">
        <f ca="1">IFERROR(__xludf.DUMMYFUNCTION("IFERROR(VLOOKUP(E683&amp;F683,IMPORTRANGE(""https://docs.google.com/spreadsheets/d/1Uw7-A9f9R21vMXxHZFNpYNeKFtG8_yji4HS352LGlSQ/edit?pli=1#gid=0"",""1_ACUM!A4:S""),19,FALSE))"),"")</f>
        <v/>
      </c>
      <c r="BF666" s="44" t="str">
        <f ca="1">IFERROR(__xludf.DUMMYFUNCTION("IFERROR(VLOOKUP(F683,IMPORTRANGE(""https://docs.google.com/spreadsheets/d/1Kvs4KS76FHFqLFIZfrDMff4kP08nblUkihrxltoGBjg/edit#gid=934712705"",""ESENCIAL!A6:BG""),5,FALSE))"),"")</f>
        <v/>
      </c>
      <c r="BG666" s="44" t="str">
        <f t="shared" si="41"/>
        <v/>
      </c>
      <c r="BH666" s="41" t="str">
        <f t="shared" si="42"/>
        <v/>
      </c>
      <c r="BI666" s="41" t="str">
        <f ca="1">IFERROR(__xludf.DUMMYFUNCTION("IFERROR(VLOOKUP(F683,IMPORTRANGE(""https://docs.google.com/spreadsheets/d/1Kvs4KS76FHFqLFIZfrDMff4kP08nblUkihrxltoGBjg/edit#gid=934712705"",""ESENCIAL!A6:BG""),18,FALSE))"),"")</f>
        <v/>
      </c>
      <c r="BJ666" s="19" t="str">
        <f t="shared" si="43"/>
        <v/>
      </c>
      <c r="BK666" s="41"/>
      <c r="BL666" s="41"/>
    </row>
    <row r="667" spans="1:64" ht="15">
      <c r="A667" s="4"/>
      <c r="B667" s="4"/>
      <c r="G667" s="5" t="str">
        <f ca="1">IFERROR(__xludf.DUMMYFUNCTION("IFERROR(VLOOKUP(F684,IMPORTRANGE(""https://docs.google.com/spreadsheets/d/1Kvs4KS76FHFqLFIZfrDMff4kP08nblUkihrxltoGBjg/edit#gid=934712705"",""ESENCIAL!A6:BG""),3,FALSE))"),"")</f>
        <v/>
      </c>
      <c r="H667" s="5" t="str">
        <f ca="1">IFERROR(__xludf.DUMMYFUNCTION("IFERROR(VLOOKUP(F684,IMPORTRANGE(""https://docs.google.com/spreadsheets/d/1Kvs4KS76FHFqLFIZfrDMff4kP08nblUkihrxltoGBjg/edit#gid=934712705"",""ESENCIAL!A6:BG""),8,FALSE))"),"")</f>
        <v/>
      </c>
      <c r="L667" s="287"/>
      <c r="S667"/>
      <c r="AU667" s="41" t="str">
        <f t="shared" si="40"/>
        <v/>
      </c>
      <c r="AV667" s="5" t="str">
        <f ca="1">IFERROR(__xludf.DUMMYFUNCTION("IFERROR(VLOOKUP(E684&amp;F684,IMPORTRANGE(""https://docs.google.com/spreadsheets/d/1Uw7-A9f9R21vMXxHZFNpYNeKFtG8_yji4HS352LGlSQ/edit?pli=1#gid=0"",""1_ACUM!A4:S""),11,FALSE))"),"")</f>
        <v/>
      </c>
      <c r="AW667" s="42" t="str">
        <f ca="1">IFERROR(__xludf.DUMMYFUNCTION("IFERROR(VLOOKUP(F684,IMPORTRANGE(""https://docs.google.com/spreadsheets/d/1Kvs4KS76FHFqLFIZfrDMff4kP08nblUkihrxltoGBjg/edit#gid=934712705"",""ESENCIAL!A6:BG""),15,FALSE))"),"")</f>
        <v/>
      </c>
      <c r="AX667" s="21" t="str">
        <f ca="1">IFERROR(__xludf.DUMMYFUNCTION("IFERROR(VLOOKUP(E684&amp;F684,IMPORTRANGE(""https://docs.google.com/spreadsheets/d/1Uw7-A9f9R21vMXxHZFNpYNeKFtG8_yji4HS352LGlSQ/edit?pli=1#gid=0"",""1_ACUM!A4:S""),12,FALSE))"),"")</f>
        <v/>
      </c>
      <c r="AY667" s="43" t="str">
        <f ca="1">IFERROR(__xludf.DUMMYFUNCTION("IFERROR(VLOOKUP(E684&amp;F684,IMPORTRANGE(""https://docs.google.com/spreadsheets/d/1Uw7-A9f9R21vMXxHZFNpYNeKFtG8_yji4HS352LGlSQ/edit?pli=1#gid=0"",""1_ACUM!A4:S""),13,FALSE))"),"")</f>
        <v/>
      </c>
      <c r="AZ667" s="43" t="str">
        <f ca="1">IFERROR(__xludf.DUMMYFUNCTION("IFERROR(VLOOKUP(E684&amp;F684,IMPORTRANGE(""https://docs.google.com/spreadsheets/d/1Uw7-A9f9R21vMXxHZFNpYNeKFtG8_yji4HS352LGlSQ/edit?pli=1#gid=0"",""1_ACUM!A4:S""),14,FALSE))"),"")</f>
        <v/>
      </c>
      <c r="BA667" s="43" t="str">
        <f ca="1">IFERROR(__xludf.DUMMYFUNCTION("IFERROR(VLOOKUP(E684&amp;F684,IMPORTRANGE(""https://docs.google.com/spreadsheets/d/1Uw7-A9f9R21vMXxHZFNpYNeKFtG8_yji4HS352LGlSQ/edit?pli=1#gid=0"",""1_ACUM!A4:S""),15,FALSE))"),"")</f>
        <v/>
      </c>
      <c r="BB667" s="43" t="str">
        <f ca="1">IFERROR(__xludf.DUMMYFUNCTION("IFERROR(VLOOKUP(E684&amp;F684,IMPORTRANGE(""https://docs.google.com/spreadsheets/d/1Uw7-A9f9R21vMXxHZFNpYNeKFtG8_yji4HS352LGlSQ/edit?pli=1#gid=0"",""1_ACUM!A4:S""),16,FALSE))"),"")</f>
        <v/>
      </c>
      <c r="BC667" s="43" t="str">
        <f ca="1">IFERROR(__xludf.DUMMYFUNCTION("IFERROR(VLOOKUP(E684&amp;F684,IMPORTRANGE(""https://docs.google.com/spreadsheets/d/1Uw7-A9f9R21vMXxHZFNpYNeKFtG8_yji4HS352LGlSQ/edit?pli=1#gid=0"",""1_ACUM!A4:S""),17,FALSE))"),"")</f>
        <v/>
      </c>
      <c r="BD667" s="44" t="str">
        <f ca="1">IFERROR(__xludf.DUMMYFUNCTION("IFERROR(VLOOKUP(E684&amp;F684,IMPORTRANGE(""https://docs.google.com/spreadsheets/d/1Uw7-A9f9R21vMXxHZFNpYNeKFtG8_yji4HS352LGlSQ/edit?pli=1#gid=0"",""1_ACUM!A4:S""),18,FALSE))"),"")</f>
        <v/>
      </c>
      <c r="BE667" s="44" t="str">
        <f ca="1">IFERROR(__xludf.DUMMYFUNCTION("IFERROR(VLOOKUP(E684&amp;F684,IMPORTRANGE(""https://docs.google.com/spreadsheets/d/1Uw7-A9f9R21vMXxHZFNpYNeKFtG8_yji4HS352LGlSQ/edit?pli=1#gid=0"",""1_ACUM!A4:S""),19,FALSE))"),"")</f>
        <v/>
      </c>
      <c r="BF667" s="44" t="str">
        <f ca="1">IFERROR(__xludf.DUMMYFUNCTION("IFERROR(VLOOKUP(F684,IMPORTRANGE(""https://docs.google.com/spreadsheets/d/1Kvs4KS76FHFqLFIZfrDMff4kP08nblUkihrxltoGBjg/edit#gid=934712705"",""ESENCIAL!A6:BG""),5,FALSE))"),"")</f>
        <v/>
      </c>
      <c r="BG667" s="44" t="str">
        <f t="shared" si="41"/>
        <v/>
      </c>
      <c r="BH667" s="41" t="str">
        <f t="shared" si="42"/>
        <v/>
      </c>
      <c r="BI667" s="41" t="str">
        <f ca="1">IFERROR(__xludf.DUMMYFUNCTION("IFERROR(VLOOKUP(F684,IMPORTRANGE(""https://docs.google.com/spreadsheets/d/1Kvs4KS76FHFqLFIZfrDMff4kP08nblUkihrxltoGBjg/edit#gid=934712705"",""ESENCIAL!A6:BG""),18,FALSE))"),"")</f>
        <v/>
      </c>
      <c r="BJ667" s="19" t="str">
        <f t="shared" si="43"/>
        <v/>
      </c>
      <c r="BK667" s="41"/>
      <c r="BL667" s="41"/>
    </row>
    <row r="668" spans="1:64" ht="15">
      <c r="A668" s="4"/>
      <c r="B668" s="4"/>
      <c r="G668" s="5" t="str">
        <f ca="1">IFERROR(__xludf.DUMMYFUNCTION("IFERROR(VLOOKUP(F685,IMPORTRANGE(""https://docs.google.com/spreadsheets/d/1Kvs4KS76FHFqLFIZfrDMff4kP08nblUkihrxltoGBjg/edit#gid=934712705"",""ESENCIAL!A6:BG""),3,FALSE))"),"")</f>
        <v/>
      </c>
      <c r="H668" s="5" t="str">
        <f ca="1">IFERROR(__xludf.DUMMYFUNCTION("IFERROR(VLOOKUP(F685,IMPORTRANGE(""https://docs.google.com/spreadsheets/d/1Kvs4KS76FHFqLFIZfrDMff4kP08nblUkihrxltoGBjg/edit#gid=934712705"",""ESENCIAL!A6:BG""),8,FALSE))"),"")</f>
        <v/>
      </c>
      <c r="L668" s="287"/>
      <c r="S668"/>
      <c r="AU668" s="41" t="str">
        <f t="shared" si="40"/>
        <v/>
      </c>
      <c r="AV668" s="5" t="str">
        <f ca="1">IFERROR(__xludf.DUMMYFUNCTION("IFERROR(VLOOKUP(E685&amp;F685,IMPORTRANGE(""https://docs.google.com/spreadsheets/d/1Uw7-A9f9R21vMXxHZFNpYNeKFtG8_yji4HS352LGlSQ/edit?pli=1#gid=0"",""1_ACUM!A4:S""),11,FALSE))"),"")</f>
        <v/>
      </c>
      <c r="AW668" s="42" t="str">
        <f ca="1">IFERROR(__xludf.DUMMYFUNCTION("IFERROR(VLOOKUP(F685,IMPORTRANGE(""https://docs.google.com/spreadsheets/d/1Kvs4KS76FHFqLFIZfrDMff4kP08nblUkihrxltoGBjg/edit#gid=934712705"",""ESENCIAL!A6:BG""),15,FALSE))"),"")</f>
        <v/>
      </c>
      <c r="AX668" s="21" t="str">
        <f ca="1">IFERROR(__xludf.DUMMYFUNCTION("IFERROR(VLOOKUP(E685&amp;F685,IMPORTRANGE(""https://docs.google.com/spreadsheets/d/1Uw7-A9f9R21vMXxHZFNpYNeKFtG8_yji4HS352LGlSQ/edit?pli=1#gid=0"",""1_ACUM!A4:S""),12,FALSE))"),"")</f>
        <v/>
      </c>
      <c r="AY668" s="43" t="str">
        <f ca="1">IFERROR(__xludf.DUMMYFUNCTION("IFERROR(VLOOKUP(E685&amp;F685,IMPORTRANGE(""https://docs.google.com/spreadsheets/d/1Uw7-A9f9R21vMXxHZFNpYNeKFtG8_yji4HS352LGlSQ/edit?pli=1#gid=0"",""1_ACUM!A4:S""),13,FALSE))"),"")</f>
        <v/>
      </c>
      <c r="AZ668" s="43" t="str">
        <f ca="1">IFERROR(__xludf.DUMMYFUNCTION("IFERROR(VLOOKUP(E685&amp;F685,IMPORTRANGE(""https://docs.google.com/spreadsheets/d/1Uw7-A9f9R21vMXxHZFNpYNeKFtG8_yji4HS352LGlSQ/edit?pli=1#gid=0"",""1_ACUM!A4:S""),14,FALSE))"),"")</f>
        <v/>
      </c>
      <c r="BA668" s="43" t="str">
        <f ca="1">IFERROR(__xludf.DUMMYFUNCTION("IFERROR(VLOOKUP(E685&amp;F685,IMPORTRANGE(""https://docs.google.com/spreadsheets/d/1Uw7-A9f9R21vMXxHZFNpYNeKFtG8_yji4HS352LGlSQ/edit?pli=1#gid=0"",""1_ACUM!A4:S""),15,FALSE))"),"")</f>
        <v/>
      </c>
      <c r="BB668" s="43" t="str">
        <f ca="1">IFERROR(__xludf.DUMMYFUNCTION("IFERROR(VLOOKUP(E685&amp;F685,IMPORTRANGE(""https://docs.google.com/spreadsheets/d/1Uw7-A9f9R21vMXxHZFNpYNeKFtG8_yji4HS352LGlSQ/edit?pli=1#gid=0"",""1_ACUM!A4:S""),16,FALSE))"),"")</f>
        <v/>
      </c>
      <c r="BC668" s="43" t="str">
        <f ca="1">IFERROR(__xludf.DUMMYFUNCTION("IFERROR(VLOOKUP(E685&amp;F685,IMPORTRANGE(""https://docs.google.com/spreadsheets/d/1Uw7-A9f9R21vMXxHZFNpYNeKFtG8_yji4HS352LGlSQ/edit?pli=1#gid=0"",""1_ACUM!A4:S""),17,FALSE))"),"")</f>
        <v/>
      </c>
      <c r="BD668" s="44" t="str">
        <f ca="1">IFERROR(__xludf.DUMMYFUNCTION("IFERROR(VLOOKUP(E685&amp;F685,IMPORTRANGE(""https://docs.google.com/spreadsheets/d/1Uw7-A9f9R21vMXxHZFNpYNeKFtG8_yji4HS352LGlSQ/edit?pli=1#gid=0"",""1_ACUM!A4:S""),18,FALSE))"),"")</f>
        <v/>
      </c>
      <c r="BE668" s="44" t="str">
        <f ca="1">IFERROR(__xludf.DUMMYFUNCTION("IFERROR(VLOOKUP(E685&amp;F685,IMPORTRANGE(""https://docs.google.com/spreadsheets/d/1Uw7-A9f9R21vMXxHZFNpYNeKFtG8_yji4HS352LGlSQ/edit?pli=1#gid=0"",""1_ACUM!A4:S""),19,FALSE))"),"")</f>
        <v/>
      </c>
      <c r="BF668" s="44" t="str">
        <f ca="1">IFERROR(__xludf.DUMMYFUNCTION("IFERROR(VLOOKUP(F685,IMPORTRANGE(""https://docs.google.com/spreadsheets/d/1Kvs4KS76FHFqLFIZfrDMff4kP08nblUkihrxltoGBjg/edit#gid=934712705"",""ESENCIAL!A6:BG""),5,FALSE))"),"")</f>
        <v/>
      </c>
      <c r="BG668" s="44" t="str">
        <f t="shared" si="41"/>
        <v/>
      </c>
      <c r="BH668" s="41" t="str">
        <f t="shared" si="42"/>
        <v/>
      </c>
      <c r="BI668" s="41" t="str">
        <f ca="1">IFERROR(__xludf.DUMMYFUNCTION("IFERROR(VLOOKUP(F685,IMPORTRANGE(""https://docs.google.com/spreadsheets/d/1Kvs4KS76FHFqLFIZfrDMff4kP08nblUkihrxltoGBjg/edit#gid=934712705"",""ESENCIAL!A6:BG""),18,FALSE))"),"")</f>
        <v/>
      </c>
      <c r="BJ668" s="19" t="str">
        <f t="shared" si="43"/>
        <v/>
      </c>
      <c r="BK668" s="41"/>
      <c r="BL668" s="41"/>
    </row>
    <row r="669" spans="1:64" ht="15">
      <c r="A669" s="4"/>
      <c r="B669" s="4"/>
      <c r="G669" s="5" t="str">
        <f ca="1">IFERROR(__xludf.DUMMYFUNCTION("IFERROR(VLOOKUP(F686,IMPORTRANGE(""https://docs.google.com/spreadsheets/d/1Kvs4KS76FHFqLFIZfrDMff4kP08nblUkihrxltoGBjg/edit#gid=934712705"",""ESENCIAL!A6:BG""),3,FALSE))"),"")</f>
        <v/>
      </c>
      <c r="H669" s="5" t="str">
        <f ca="1">IFERROR(__xludf.DUMMYFUNCTION("IFERROR(VLOOKUP(F686,IMPORTRANGE(""https://docs.google.com/spreadsheets/d/1Kvs4KS76FHFqLFIZfrDMff4kP08nblUkihrxltoGBjg/edit#gid=934712705"",""ESENCIAL!A6:BG""),8,FALSE))"),"")</f>
        <v/>
      </c>
      <c r="L669" s="287"/>
      <c r="S669"/>
      <c r="AU669" s="41" t="str">
        <f t="shared" si="40"/>
        <v/>
      </c>
      <c r="AV669" s="5" t="str">
        <f ca="1">IFERROR(__xludf.DUMMYFUNCTION("IFERROR(VLOOKUP(E686&amp;F686,IMPORTRANGE(""https://docs.google.com/spreadsheets/d/1Uw7-A9f9R21vMXxHZFNpYNeKFtG8_yji4HS352LGlSQ/edit?pli=1#gid=0"",""1_ACUM!A4:S""),11,FALSE))"),"")</f>
        <v/>
      </c>
      <c r="AW669" s="42" t="str">
        <f ca="1">IFERROR(__xludf.DUMMYFUNCTION("IFERROR(VLOOKUP(F686,IMPORTRANGE(""https://docs.google.com/spreadsheets/d/1Kvs4KS76FHFqLFIZfrDMff4kP08nblUkihrxltoGBjg/edit#gid=934712705"",""ESENCIAL!A6:BG""),15,FALSE))"),"")</f>
        <v/>
      </c>
      <c r="AX669" s="21" t="str">
        <f ca="1">IFERROR(__xludf.DUMMYFUNCTION("IFERROR(VLOOKUP(E686&amp;F686,IMPORTRANGE(""https://docs.google.com/spreadsheets/d/1Uw7-A9f9R21vMXxHZFNpYNeKFtG8_yji4HS352LGlSQ/edit?pli=1#gid=0"",""1_ACUM!A4:S""),12,FALSE))"),"")</f>
        <v/>
      </c>
      <c r="AY669" s="43" t="str">
        <f ca="1">IFERROR(__xludf.DUMMYFUNCTION("IFERROR(VLOOKUP(E686&amp;F686,IMPORTRANGE(""https://docs.google.com/spreadsheets/d/1Uw7-A9f9R21vMXxHZFNpYNeKFtG8_yji4HS352LGlSQ/edit?pli=1#gid=0"",""1_ACUM!A4:S""),13,FALSE))"),"")</f>
        <v/>
      </c>
      <c r="AZ669" s="43" t="str">
        <f ca="1">IFERROR(__xludf.DUMMYFUNCTION("IFERROR(VLOOKUP(E686&amp;F686,IMPORTRANGE(""https://docs.google.com/spreadsheets/d/1Uw7-A9f9R21vMXxHZFNpYNeKFtG8_yji4HS352LGlSQ/edit?pli=1#gid=0"",""1_ACUM!A4:S""),14,FALSE))"),"")</f>
        <v/>
      </c>
      <c r="BA669" s="43" t="str">
        <f ca="1">IFERROR(__xludf.DUMMYFUNCTION("IFERROR(VLOOKUP(E686&amp;F686,IMPORTRANGE(""https://docs.google.com/spreadsheets/d/1Uw7-A9f9R21vMXxHZFNpYNeKFtG8_yji4HS352LGlSQ/edit?pli=1#gid=0"",""1_ACUM!A4:S""),15,FALSE))"),"")</f>
        <v/>
      </c>
      <c r="BB669" s="43" t="str">
        <f ca="1">IFERROR(__xludf.DUMMYFUNCTION("IFERROR(VLOOKUP(E686&amp;F686,IMPORTRANGE(""https://docs.google.com/spreadsheets/d/1Uw7-A9f9R21vMXxHZFNpYNeKFtG8_yji4HS352LGlSQ/edit?pli=1#gid=0"",""1_ACUM!A4:S""),16,FALSE))"),"")</f>
        <v/>
      </c>
      <c r="BC669" s="43" t="str">
        <f ca="1">IFERROR(__xludf.DUMMYFUNCTION("IFERROR(VLOOKUP(E686&amp;F686,IMPORTRANGE(""https://docs.google.com/spreadsheets/d/1Uw7-A9f9R21vMXxHZFNpYNeKFtG8_yji4HS352LGlSQ/edit?pli=1#gid=0"",""1_ACUM!A4:S""),17,FALSE))"),"")</f>
        <v/>
      </c>
      <c r="BD669" s="44" t="str">
        <f ca="1">IFERROR(__xludf.DUMMYFUNCTION("IFERROR(VLOOKUP(E686&amp;F686,IMPORTRANGE(""https://docs.google.com/spreadsheets/d/1Uw7-A9f9R21vMXxHZFNpYNeKFtG8_yji4HS352LGlSQ/edit?pli=1#gid=0"",""1_ACUM!A4:S""),18,FALSE))"),"")</f>
        <v/>
      </c>
      <c r="BE669" s="44" t="str">
        <f ca="1">IFERROR(__xludf.DUMMYFUNCTION("IFERROR(VLOOKUP(E686&amp;F686,IMPORTRANGE(""https://docs.google.com/spreadsheets/d/1Uw7-A9f9R21vMXxHZFNpYNeKFtG8_yji4HS352LGlSQ/edit?pli=1#gid=0"",""1_ACUM!A4:S""),19,FALSE))"),"")</f>
        <v/>
      </c>
      <c r="BF669" s="44" t="str">
        <f ca="1">IFERROR(__xludf.DUMMYFUNCTION("IFERROR(VLOOKUP(F686,IMPORTRANGE(""https://docs.google.com/spreadsheets/d/1Kvs4KS76FHFqLFIZfrDMff4kP08nblUkihrxltoGBjg/edit#gid=934712705"",""ESENCIAL!A6:BG""),5,FALSE))"),"")</f>
        <v/>
      </c>
      <c r="BG669" s="44" t="str">
        <f t="shared" si="41"/>
        <v/>
      </c>
      <c r="BH669" s="41" t="str">
        <f t="shared" si="42"/>
        <v/>
      </c>
      <c r="BI669" s="41" t="str">
        <f ca="1">IFERROR(__xludf.DUMMYFUNCTION("IFERROR(VLOOKUP(F686,IMPORTRANGE(""https://docs.google.com/spreadsheets/d/1Kvs4KS76FHFqLFIZfrDMff4kP08nblUkihrxltoGBjg/edit#gid=934712705"",""ESENCIAL!A6:BG""),18,FALSE))"),"")</f>
        <v/>
      </c>
      <c r="BJ669" s="19" t="str">
        <f t="shared" si="43"/>
        <v/>
      </c>
      <c r="BK669" s="41"/>
      <c r="BL669" s="41"/>
    </row>
    <row r="670" spans="1:64" ht="15">
      <c r="A670" s="4"/>
      <c r="B670" s="4"/>
      <c r="G670" s="5" t="str">
        <f ca="1">IFERROR(__xludf.DUMMYFUNCTION("IFERROR(VLOOKUP(F687,IMPORTRANGE(""https://docs.google.com/spreadsheets/d/1Kvs4KS76FHFqLFIZfrDMff4kP08nblUkihrxltoGBjg/edit#gid=934712705"",""ESENCIAL!A6:BG""),3,FALSE))"),"")</f>
        <v/>
      </c>
      <c r="H670" s="5" t="str">
        <f ca="1">IFERROR(__xludf.DUMMYFUNCTION("IFERROR(VLOOKUP(F687,IMPORTRANGE(""https://docs.google.com/spreadsheets/d/1Kvs4KS76FHFqLFIZfrDMff4kP08nblUkihrxltoGBjg/edit#gid=934712705"",""ESENCIAL!A6:BG""),8,FALSE))"),"")</f>
        <v/>
      </c>
      <c r="L670" s="287"/>
      <c r="S670"/>
      <c r="AU670" s="41" t="str">
        <f t="shared" si="40"/>
        <v/>
      </c>
      <c r="AV670" s="5" t="str">
        <f ca="1">IFERROR(__xludf.DUMMYFUNCTION("IFERROR(VLOOKUP(E687&amp;F687,IMPORTRANGE(""https://docs.google.com/spreadsheets/d/1Uw7-A9f9R21vMXxHZFNpYNeKFtG8_yji4HS352LGlSQ/edit?pli=1#gid=0"",""1_ACUM!A4:S""),11,FALSE))"),"")</f>
        <v/>
      </c>
      <c r="AW670" s="42" t="str">
        <f ca="1">IFERROR(__xludf.DUMMYFUNCTION("IFERROR(VLOOKUP(F687,IMPORTRANGE(""https://docs.google.com/spreadsheets/d/1Kvs4KS76FHFqLFIZfrDMff4kP08nblUkihrxltoGBjg/edit#gid=934712705"",""ESENCIAL!A6:BG""),15,FALSE))"),"")</f>
        <v/>
      </c>
      <c r="AX670" s="21" t="str">
        <f ca="1">IFERROR(__xludf.DUMMYFUNCTION("IFERROR(VLOOKUP(E687&amp;F687,IMPORTRANGE(""https://docs.google.com/spreadsheets/d/1Uw7-A9f9R21vMXxHZFNpYNeKFtG8_yji4HS352LGlSQ/edit?pli=1#gid=0"",""1_ACUM!A4:S""),12,FALSE))"),"")</f>
        <v/>
      </c>
      <c r="AY670" s="43" t="str">
        <f ca="1">IFERROR(__xludf.DUMMYFUNCTION("IFERROR(VLOOKUP(E687&amp;F687,IMPORTRANGE(""https://docs.google.com/spreadsheets/d/1Uw7-A9f9R21vMXxHZFNpYNeKFtG8_yji4HS352LGlSQ/edit?pli=1#gid=0"",""1_ACUM!A4:S""),13,FALSE))"),"")</f>
        <v/>
      </c>
      <c r="AZ670" s="43" t="str">
        <f ca="1">IFERROR(__xludf.DUMMYFUNCTION("IFERROR(VLOOKUP(E687&amp;F687,IMPORTRANGE(""https://docs.google.com/spreadsheets/d/1Uw7-A9f9R21vMXxHZFNpYNeKFtG8_yji4HS352LGlSQ/edit?pli=1#gid=0"",""1_ACUM!A4:S""),14,FALSE))"),"")</f>
        <v/>
      </c>
      <c r="BA670" s="43" t="str">
        <f ca="1">IFERROR(__xludf.DUMMYFUNCTION("IFERROR(VLOOKUP(E687&amp;F687,IMPORTRANGE(""https://docs.google.com/spreadsheets/d/1Uw7-A9f9R21vMXxHZFNpYNeKFtG8_yji4HS352LGlSQ/edit?pli=1#gid=0"",""1_ACUM!A4:S""),15,FALSE))"),"")</f>
        <v/>
      </c>
      <c r="BB670" s="43" t="str">
        <f ca="1">IFERROR(__xludf.DUMMYFUNCTION("IFERROR(VLOOKUP(E687&amp;F687,IMPORTRANGE(""https://docs.google.com/spreadsheets/d/1Uw7-A9f9R21vMXxHZFNpYNeKFtG8_yji4HS352LGlSQ/edit?pli=1#gid=0"",""1_ACUM!A4:S""),16,FALSE))"),"")</f>
        <v/>
      </c>
      <c r="BC670" s="43" t="str">
        <f ca="1">IFERROR(__xludf.DUMMYFUNCTION("IFERROR(VLOOKUP(E687&amp;F687,IMPORTRANGE(""https://docs.google.com/spreadsheets/d/1Uw7-A9f9R21vMXxHZFNpYNeKFtG8_yji4HS352LGlSQ/edit?pli=1#gid=0"",""1_ACUM!A4:S""),17,FALSE))"),"")</f>
        <v/>
      </c>
      <c r="BD670" s="44" t="str">
        <f ca="1">IFERROR(__xludf.DUMMYFUNCTION("IFERROR(VLOOKUP(E687&amp;F687,IMPORTRANGE(""https://docs.google.com/spreadsheets/d/1Uw7-A9f9R21vMXxHZFNpYNeKFtG8_yji4HS352LGlSQ/edit?pli=1#gid=0"",""1_ACUM!A4:S""),18,FALSE))"),"")</f>
        <v/>
      </c>
      <c r="BE670" s="44" t="str">
        <f ca="1">IFERROR(__xludf.DUMMYFUNCTION("IFERROR(VLOOKUP(E687&amp;F687,IMPORTRANGE(""https://docs.google.com/spreadsheets/d/1Uw7-A9f9R21vMXxHZFNpYNeKFtG8_yji4HS352LGlSQ/edit?pli=1#gid=0"",""1_ACUM!A4:S""),19,FALSE))"),"")</f>
        <v/>
      </c>
      <c r="BF670" s="44" t="str">
        <f ca="1">IFERROR(__xludf.DUMMYFUNCTION("IFERROR(VLOOKUP(F687,IMPORTRANGE(""https://docs.google.com/spreadsheets/d/1Kvs4KS76FHFqLFIZfrDMff4kP08nblUkihrxltoGBjg/edit#gid=934712705"",""ESENCIAL!A6:BG""),5,FALSE))"),"")</f>
        <v/>
      </c>
      <c r="BG670" s="44" t="str">
        <f t="shared" si="41"/>
        <v/>
      </c>
      <c r="BH670" s="41" t="str">
        <f t="shared" si="42"/>
        <v/>
      </c>
      <c r="BI670" s="41" t="str">
        <f ca="1">IFERROR(__xludf.DUMMYFUNCTION("IFERROR(VLOOKUP(F687,IMPORTRANGE(""https://docs.google.com/spreadsheets/d/1Kvs4KS76FHFqLFIZfrDMff4kP08nblUkihrxltoGBjg/edit#gid=934712705"",""ESENCIAL!A6:BG""),18,FALSE))"),"")</f>
        <v/>
      </c>
      <c r="BJ670" s="19" t="str">
        <f t="shared" si="43"/>
        <v/>
      </c>
      <c r="BK670" s="41"/>
      <c r="BL670" s="41"/>
    </row>
    <row r="671" spans="1:64" ht="15">
      <c r="A671" s="4"/>
      <c r="B671" s="4"/>
      <c r="G671" s="5" t="str">
        <f ca="1">IFERROR(__xludf.DUMMYFUNCTION("IFERROR(VLOOKUP(F688,IMPORTRANGE(""https://docs.google.com/spreadsheets/d/1Kvs4KS76FHFqLFIZfrDMff4kP08nblUkihrxltoGBjg/edit#gid=934712705"",""ESENCIAL!A6:BG""),3,FALSE))"),"")</f>
        <v/>
      </c>
      <c r="H671" s="5" t="str">
        <f ca="1">IFERROR(__xludf.DUMMYFUNCTION("IFERROR(VLOOKUP(F688,IMPORTRANGE(""https://docs.google.com/spreadsheets/d/1Kvs4KS76FHFqLFIZfrDMff4kP08nblUkihrxltoGBjg/edit#gid=934712705"",""ESENCIAL!A6:BG""),8,FALSE))"),"")</f>
        <v/>
      </c>
      <c r="L671" s="287"/>
      <c r="S671"/>
      <c r="AU671" s="41" t="str">
        <f t="shared" si="40"/>
        <v/>
      </c>
      <c r="AV671" s="5" t="str">
        <f ca="1">IFERROR(__xludf.DUMMYFUNCTION("IFERROR(VLOOKUP(E688&amp;F688,IMPORTRANGE(""https://docs.google.com/spreadsheets/d/1Uw7-A9f9R21vMXxHZFNpYNeKFtG8_yji4HS352LGlSQ/edit?pli=1#gid=0"",""1_ACUM!A4:S""),11,FALSE))"),"")</f>
        <v/>
      </c>
      <c r="AW671" s="42" t="str">
        <f ca="1">IFERROR(__xludf.DUMMYFUNCTION("IFERROR(VLOOKUP(F688,IMPORTRANGE(""https://docs.google.com/spreadsheets/d/1Kvs4KS76FHFqLFIZfrDMff4kP08nblUkihrxltoGBjg/edit#gid=934712705"",""ESENCIAL!A6:BG""),15,FALSE))"),"")</f>
        <v/>
      </c>
      <c r="AX671" s="21" t="str">
        <f ca="1">IFERROR(__xludf.DUMMYFUNCTION("IFERROR(VLOOKUP(E688&amp;F688,IMPORTRANGE(""https://docs.google.com/spreadsheets/d/1Uw7-A9f9R21vMXxHZFNpYNeKFtG8_yji4HS352LGlSQ/edit?pli=1#gid=0"",""1_ACUM!A4:S""),12,FALSE))"),"")</f>
        <v/>
      </c>
      <c r="AY671" s="43" t="str">
        <f ca="1">IFERROR(__xludf.DUMMYFUNCTION("IFERROR(VLOOKUP(E688&amp;F688,IMPORTRANGE(""https://docs.google.com/spreadsheets/d/1Uw7-A9f9R21vMXxHZFNpYNeKFtG8_yji4HS352LGlSQ/edit?pli=1#gid=0"",""1_ACUM!A4:S""),13,FALSE))"),"")</f>
        <v/>
      </c>
      <c r="AZ671" s="43" t="str">
        <f ca="1">IFERROR(__xludf.DUMMYFUNCTION("IFERROR(VLOOKUP(E688&amp;F688,IMPORTRANGE(""https://docs.google.com/spreadsheets/d/1Uw7-A9f9R21vMXxHZFNpYNeKFtG8_yji4HS352LGlSQ/edit?pli=1#gid=0"",""1_ACUM!A4:S""),14,FALSE))"),"")</f>
        <v/>
      </c>
      <c r="BA671" s="43" t="str">
        <f ca="1">IFERROR(__xludf.DUMMYFUNCTION("IFERROR(VLOOKUP(E688&amp;F688,IMPORTRANGE(""https://docs.google.com/spreadsheets/d/1Uw7-A9f9R21vMXxHZFNpYNeKFtG8_yji4HS352LGlSQ/edit?pli=1#gid=0"",""1_ACUM!A4:S""),15,FALSE))"),"")</f>
        <v/>
      </c>
      <c r="BB671" s="43" t="str">
        <f ca="1">IFERROR(__xludf.DUMMYFUNCTION("IFERROR(VLOOKUP(E688&amp;F688,IMPORTRANGE(""https://docs.google.com/spreadsheets/d/1Uw7-A9f9R21vMXxHZFNpYNeKFtG8_yji4HS352LGlSQ/edit?pli=1#gid=0"",""1_ACUM!A4:S""),16,FALSE))"),"")</f>
        <v/>
      </c>
      <c r="BC671" s="43" t="str">
        <f ca="1">IFERROR(__xludf.DUMMYFUNCTION("IFERROR(VLOOKUP(E688&amp;F688,IMPORTRANGE(""https://docs.google.com/spreadsheets/d/1Uw7-A9f9R21vMXxHZFNpYNeKFtG8_yji4HS352LGlSQ/edit?pli=1#gid=0"",""1_ACUM!A4:S""),17,FALSE))"),"")</f>
        <v/>
      </c>
      <c r="BD671" s="44" t="str">
        <f ca="1">IFERROR(__xludf.DUMMYFUNCTION("IFERROR(VLOOKUP(E688&amp;F688,IMPORTRANGE(""https://docs.google.com/spreadsheets/d/1Uw7-A9f9R21vMXxHZFNpYNeKFtG8_yji4HS352LGlSQ/edit?pli=1#gid=0"",""1_ACUM!A4:S""),18,FALSE))"),"")</f>
        <v/>
      </c>
      <c r="BE671" s="44" t="str">
        <f ca="1">IFERROR(__xludf.DUMMYFUNCTION("IFERROR(VLOOKUP(E688&amp;F688,IMPORTRANGE(""https://docs.google.com/spreadsheets/d/1Uw7-A9f9R21vMXxHZFNpYNeKFtG8_yji4HS352LGlSQ/edit?pli=1#gid=0"",""1_ACUM!A4:S""),19,FALSE))"),"")</f>
        <v/>
      </c>
      <c r="BF671" s="44" t="str">
        <f ca="1">IFERROR(__xludf.DUMMYFUNCTION("IFERROR(VLOOKUP(F688,IMPORTRANGE(""https://docs.google.com/spreadsheets/d/1Kvs4KS76FHFqLFIZfrDMff4kP08nblUkihrxltoGBjg/edit#gid=934712705"",""ESENCIAL!A6:BG""),5,FALSE))"),"")</f>
        <v/>
      </c>
      <c r="BG671" s="44" t="str">
        <f t="shared" si="41"/>
        <v/>
      </c>
      <c r="BH671" s="41" t="str">
        <f t="shared" si="42"/>
        <v/>
      </c>
      <c r="BI671" s="41" t="str">
        <f ca="1">IFERROR(__xludf.DUMMYFUNCTION("IFERROR(VLOOKUP(F688,IMPORTRANGE(""https://docs.google.com/spreadsheets/d/1Kvs4KS76FHFqLFIZfrDMff4kP08nblUkihrxltoGBjg/edit#gid=934712705"",""ESENCIAL!A6:BG""),18,FALSE))"),"")</f>
        <v/>
      </c>
      <c r="BJ671" s="19" t="str">
        <f t="shared" si="43"/>
        <v/>
      </c>
      <c r="BK671" s="41"/>
      <c r="BL671" s="41"/>
    </row>
    <row r="672" spans="1:64" ht="15">
      <c r="A672" s="4"/>
      <c r="B672" s="4"/>
      <c r="G672" s="5" t="str">
        <f ca="1">IFERROR(__xludf.DUMMYFUNCTION("IFERROR(VLOOKUP(F689,IMPORTRANGE(""https://docs.google.com/spreadsheets/d/1Kvs4KS76FHFqLFIZfrDMff4kP08nblUkihrxltoGBjg/edit#gid=934712705"",""ESENCIAL!A6:BG""),3,FALSE))"),"")</f>
        <v/>
      </c>
      <c r="H672" s="5" t="str">
        <f ca="1">IFERROR(__xludf.DUMMYFUNCTION("IFERROR(VLOOKUP(F689,IMPORTRANGE(""https://docs.google.com/spreadsheets/d/1Kvs4KS76FHFqLFIZfrDMff4kP08nblUkihrxltoGBjg/edit#gid=934712705"",""ESENCIAL!A6:BG""),8,FALSE))"),"")</f>
        <v/>
      </c>
      <c r="L672" s="287"/>
      <c r="S672"/>
      <c r="AU672" s="41" t="str">
        <f t="shared" si="40"/>
        <v/>
      </c>
      <c r="AV672" s="5" t="str">
        <f ca="1">IFERROR(__xludf.DUMMYFUNCTION("IFERROR(VLOOKUP(E689&amp;F689,IMPORTRANGE(""https://docs.google.com/spreadsheets/d/1Uw7-A9f9R21vMXxHZFNpYNeKFtG8_yji4HS352LGlSQ/edit?pli=1#gid=0"",""1_ACUM!A4:S""),11,FALSE))"),"")</f>
        <v/>
      </c>
      <c r="AW672" s="42" t="str">
        <f ca="1">IFERROR(__xludf.DUMMYFUNCTION("IFERROR(VLOOKUP(F689,IMPORTRANGE(""https://docs.google.com/spreadsheets/d/1Kvs4KS76FHFqLFIZfrDMff4kP08nblUkihrxltoGBjg/edit#gid=934712705"",""ESENCIAL!A6:BG""),15,FALSE))"),"")</f>
        <v/>
      </c>
      <c r="AX672" s="21" t="str">
        <f ca="1">IFERROR(__xludf.DUMMYFUNCTION("IFERROR(VLOOKUP(E689&amp;F689,IMPORTRANGE(""https://docs.google.com/spreadsheets/d/1Uw7-A9f9R21vMXxHZFNpYNeKFtG8_yji4HS352LGlSQ/edit?pli=1#gid=0"",""1_ACUM!A4:S""),12,FALSE))"),"")</f>
        <v/>
      </c>
      <c r="AY672" s="43" t="str">
        <f ca="1">IFERROR(__xludf.DUMMYFUNCTION("IFERROR(VLOOKUP(E689&amp;F689,IMPORTRANGE(""https://docs.google.com/spreadsheets/d/1Uw7-A9f9R21vMXxHZFNpYNeKFtG8_yji4HS352LGlSQ/edit?pli=1#gid=0"",""1_ACUM!A4:S""),13,FALSE))"),"")</f>
        <v/>
      </c>
      <c r="AZ672" s="43" t="str">
        <f ca="1">IFERROR(__xludf.DUMMYFUNCTION("IFERROR(VLOOKUP(E689&amp;F689,IMPORTRANGE(""https://docs.google.com/spreadsheets/d/1Uw7-A9f9R21vMXxHZFNpYNeKFtG8_yji4HS352LGlSQ/edit?pli=1#gid=0"",""1_ACUM!A4:S""),14,FALSE))"),"")</f>
        <v/>
      </c>
      <c r="BA672" s="43" t="str">
        <f ca="1">IFERROR(__xludf.DUMMYFUNCTION("IFERROR(VLOOKUP(E689&amp;F689,IMPORTRANGE(""https://docs.google.com/spreadsheets/d/1Uw7-A9f9R21vMXxHZFNpYNeKFtG8_yji4HS352LGlSQ/edit?pli=1#gid=0"",""1_ACUM!A4:S""),15,FALSE))"),"")</f>
        <v/>
      </c>
      <c r="BB672" s="43" t="str">
        <f ca="1">IFERROR(__xludf.DUMMYFUNCTION("IFERROR(VLOOKUP(E689&amp;F689,IMPORTRANGE(""https://docs.google.com/spreadsheets/d/1Uw7-A9f9R21vMXxHZFNpYNeKFtG8_yji4HS352LGlSQ/edit?pli=1#gid=0"",""1_ACUM!A4:S""),16,FALSE))"),"")</f>
        <v/>
      </c>
      <c r="BC672" s="43" t="str">
        <f ca="1">IFERROR(__xludf.DUMMYFUNCTION("IFERROR(VLOOKUP(E689&amp;F689,IMPORTRANGE(""https://docs.google.com/spreadsheets/d/1Uw7-A9f9R21vMXxHZFNpYNeKFtG8_yji4HS352LGlSQ/edit?pli=1#gid=0"",""1_ACUM!A4:S""),17,FALSE))"),"")</f>
        <v/>
      </c>
      <c r="BD672" s="44" t="str">
        <f ca="1">IFERROR(__xludf.DUMMYFUNCTION("IFERROR(VLOOKUP(E689&amp;F689,IMPORTRANGE(""https://docs.google.com/spreadsheets/d/1Uw7-A9f9R21vMXxHZFNpYNeKFtG8_yji4HS352LGlSQ/edit?pli=1#gid=0"",""1_ACUM!A4:S""),18,FALSE))"),"")</f>
        <v/>
      </c>
      <c r="BE672" s="44" t="str">
        <f ca="1">IFERROR(__xludf.DUMMYFUNCTION("IFERROR(VLOOKUP(E689&amp;F689,IMPORTRANGE(""https://docs.google.com/spreadsheets/d/1Uw7-A9f9R21vMXxHZFNpYNeKFtG8_yji4HS352LGlSQ/edit?pli=1#gid=0"",""1_ACUM!A4:S""),19,FALSE))"),"")</f>
        <v/>
      </c>
      <c r="BF672" s="44" t="str">
        <f ca="1">IFERROR(__xludf.DUMMYFUNCTION("IFERROR(VLOOKUP(F689,IMPORTRANGE(""https://docs.google.com/spreadsheets/d/1Kvs4KS76FHFqLFIZfrDMff4kP08nblUkihrxltoGBjg/edit#gid=934712705"",""ESENCIAL!A6:BG""),5,FALSE))"),"")</f>
        <v/>
      </c>
      <c r="BG672" s="44" t="str">
        <f t="shared" si="41"/>
        <v/>
      </c>
      <c r="BH672" s="41" t="str">
        <f t="shared" si="42"/>
        <v/>
      </c>
      <c r="BI672" s="41" t="str">
        <f ca="1">IFERROR(__xludf.DUMMYFUNCTION("IFERROR(VLOOKUP(F689,IMPORTRANGE(""https://docs.google.com/spreadsheets/d/1Kvs4KS76FHFqLFIZfrDMff4kP08nblUkihrxltoGBjg/edit#gid=934712705"",""ESENCIAL!A6:BG""),18,FALSE))"),"")</f>
        <v/>
      </c>
      <c r="BJ672" s="19" t="str">
        <f t="shared" si="43"/>
        <v/>
      </c>
      <c r="BK672" s="41"/>
      <c r="BL672" s="41"/>
    </row>
    <row r="673" spans="1:64" ht="15">
      <c r="A673" s="4"/>
      <c r="B673" s="4"/>
      <c r="G673" s="5" t="str">
        <f ca="1">IFERROR(__xludf.DUMMYFUNCTION("IFERROR(VLOOKUP(F690,IMPORTRANGE(""https://docs.google.com/spreadsheets/d/1Kvs4KS76FHFqLFIZfrDMff4kP08nblUkihrxltoGBjg/edit#gid=934712705"",""ESENCIAL!A6:BG""),3,FALSE))"),"")</f>
        <v/>
      </c>
      <c r="H673" s="5" t="str">
        <f ca="1">IFERROR(__xludf.DUMMYFUNCTION("IFERROR(VLOOKUP(F690,IMPORTRANGE(""https://docs.google.com/spreadsheets/d/1Kvs4KS76FHFqLFIZfrDMff4kP08nblUkihrxltoGBjg/edit#gid=934712705"",""ESENCIAL!A6:BG""),8,FALSE))"),"")</f>
        <v/>
      </c>
      <c r="L673" s="287"/>
      <c r="S673"/>
      <c r="AU673" s="41" t="str">
        <f t="shared" si="40"/>
        <v/>
      </c>
      <c r="AV673" s="5" t="str">
        <f ca="1">IFERROR(__xludf.DUMMYFUNCTION("IFERROR(VLOOKUP(E690&amp;F690,IMPORTRANGE(""https://docs.google.com/spreadsheets/d/1Uw7-A9f9R21vMXxHZFNpYNeKFtG8_yji4HS352LGlSQ/edit?pli=1#gid=0"",""1_ACUM!A4:S""),11,FALSE))"),"")</f>
        <v/>
      </c>
      <c r="AW673" s="42" t="str">
        <f ca="1">IFERROR(__xludf.DUMMYFUNCTION("IFERROR(VLOOKUP(F690,IMPORTRANGE(""https://docs.google.com/spreadsheets/d/1Kvs4KS76FHFqLFIZfrDMff4kP08nblUkihrxltoGBjg/edit#gid=934712705"",""ESENCIAL!A6:BG""),15,FALSE))"),"")</f>
        <v/>
      </c>
      <c r="AX673" s="21" t="str">
        <f ca="1">IFERROR(__xludf.DUMMYFUNCTION("IFERROR(VLOOKUP(E690&amp;F690,IMPORTRANGE(""https://docs.google.com/spreadsheets/d/1Uw7-A9f9R21vMXxHZFNpYNeKFtG8_yji4HS352LGlSQ/edit?pli=1#gid=0"",""1_ACUM!A4:S""),12,FALSE))"),"")</f>
        <v/>
      </c>
      <c r="AY673" s="43" t="str">
        <f ca="1">IFERROR(__xludf.DUMMYFUNCTION("IFERROR(VLOOKUP(E690&amp;F690,IMPORTRANGE(""https://docs.google.com/spreadsheets/d/1Uw7-A9f9R21vMXxHZFNpYNeKFtG8_yji4HS352LGlSQ/edit?pli=1#gid=0"",""1_ACUM!A4:S""),13,FALSE))"),"")</f>
        <v/>
      </c>
      <c r="AZ673" s="43" t="str">
        <f ca="1">IFERROR(__xludf.DUMMYFUNCTION("IFERROR(VLOOKUP(E690&amp;F690,IMPORTRANGE(""https://docs.google.com/spreadsheets/d/1Uw7-A9f9R21vMXxHZFNpYNeKFtG8_yji4HS352LGlSQ/edit?pli=1#gid=0"",""1_ACUM!A4:S""),14,FALSE))"),"")</f>
        <v/>
      </c>
      <c r="BA673" s="43" t="str">
        <f ca="1">IFERROR(__xludf.DUMMYFUNCTION("IFERROR(VLOOKUP(E690&amp;F690,IMPORTRANGE(""https://docs.google.com/spreadsheets/d/1Uw7-A9f9R21vMXxHZFNpYNeKFtG8_yji4HS352LGlSQ/edit?pli=1#gid=0"",""1_ACUM!A4:S""),15,FALSE))"),"")</f>
        <v/>
      </c>
      <c r="BB673" s="43" t="str">
        <f ca="1">IFERROR(__xludf.DUMMYFUNCTION("IFERROR(VLOOKUP(E690&amp;F690,IMPORTRANGE(""https://docs.google.com/spreadsheets/d/1Uw7-A9f9R21vMXxHZFNpYNeKFtG8_yji4HS352LGlSQ/edit?pli=1#gid=0"",""1_ACUM!A4:S""),16,FALSE))"),"")</f>
        <v/>
      </c>
      <c r="BC673" s="43" t="str">
        <f ca="1">IFERROR(__xludf.DUMMYFUNCTION("IFERROR(VLOOKUP(E690&amp;F690,IMPORTRANGE(""https://docs.google.com/spreadsheets/d/1Uw7-A9f9R21vMXxHZFNpYNeKFtG8_yji4HS352LGlSQ/edit?pli=1#gid=0"",""1_ACUM!A4:S""),17,FALSE))"),"")</f>
        <v/>
      </c>
      <c r="BD673" s="44" t="str">
        <f ca="1">IFERROR(__xludf.DUMMYFUNCTION("IFERROR(VLOOKUP(E690&amp;F690,IMPORTRANGE(""https://docs.google.com/spreadsheets/d/1Uw7-A9f9R21vMXxHZFNpYNeKFtG8_yji4HS352LGlSQ/edit?pli=1#gid=0"",""1_ACUM!A4:S""),18,FALSE))"),"")</f>
        <v/>
      </c>
      <c r="BE673" s="44" t="str">
        <f ca="1">IFERROR(__xludf.DUMMYFUNCTION("IFERROR(VLOOKUP(E690&amp;F690,IMPORTRANGE(""https://docs.google.com/spreadsheets/d/1Uw7-A9f9R21vMXxHZFNpYNeKFtG8_yji4HS352LGlSQ/edit?pli=1#gid=0"",""1_ACUM!A4:S""),19,FALSE))"),"")</f>
        <v/>
      </c>
      <c r="BF673" s="44" t="str">
        <f ca="1">IFERROR(__xludf.DUMMYFUNCTION("IFERROR(VLOOKUP(F690,IMPORTRANGE(""https://docs.google.com/spreadsheets/d/1Kvs4KS76FHFqLFIZfrDMff4kP08nblUkihrxltoGBjg/edit#gid=934712705"",""ESENCIAL!A6:BG""),5,FALSE))"),"")</f>
        <v/>
      </c>
      <c r="BG673" s="44" t="str">
        <f t="shared" si="41"/>
        <v/>
      </c>
      <c r="BH673" s="41" t="str">
        <f t="shared" si="42"/>
        <v/>
      </c>
      <c r="BI673" s="41" t="str">
        <f ca="1">IFERROR(__xludf.DUMMYFUNCTION("IFERROR(VLOOKUP(F690,IMPORTRANGE(""https://docs.google.com/spreadsheets/d/1Kvs4KS76FHFqLFIZfrDMff4kP08nblUkihrxltoGBjg/edit#gid=934712705"",""ESENCIAL!A6:BG""),18,FALSE))"),"")</f>
        <v/>
      </c>
      <c r="BJ673" s="19" t="str">
        <f t="shared" si="43"/>
        <v/>
      </c>
      <c r="BK673" s="41"/>
      <c r="BL673" s="41"/>
    </row>
    <row r="674" spans="1:64" ht="15">
      <c r="A674" s="4"/>
      <c r="B674" s="4"/>
      <c r="G674" s="5" t="str">
        <f ca="1">IFERROR(__xludf.DUMMYFUNCTION("IFERROR(VLOOKUP(F691,IMPORTRANGE(""https://docs.google.com/spreadsheets/d/1Kvs4KS76FHFqLFIZfrDMff4kP08nblUkihrxltoGBjg/edit#gid=934712705"",""ESENCIAL!A6:BG""),3,FALSE))"),"")</f>
        <v/>
      </c>
      <c r="H674" s="5" t="str">
        <f ca="1">IFERROR(__xludf.DUMMYFUNCTION("IFERROR(VLOOKUP(F691,IMPORTRANGE(""https://docs.google.com/spreadsheets/d/1Kvs4KS76FHFqLFIZfrDMff4kP08nblUkihrxltoGBjg/edit#gid=934712705"",""ESENCIAL!A6:BG""),8,FALSE))"),"")</f>
        <v/>
      </c>
      <c r="L674" s="287"/>
      <c r="S674"/>
      <c r="AU674" s="41" t="str">
        <f t="shared" si="40"/>
        <v/>
      </c>
      <c r="AV674" s="5" t="str">
        <f ca="1">IFERROR(__xludf.DUMMYFUNCTION("IFERROR(VLOOKUP(E691&amp;F691,IMPORTRANGE(""https://docs.google.com/spreadsheets/d/1Uw7-A9f9R21vMXxHZFNpYNeKFtG8_yji4HS352LGlSQ/edit?pli=1#gid=0"",""1_ACUM!A4:S""),11,FALSE))"),"")</f>
        <v/>
      </c>
      <c r="AW674" s="42" t="str">
        <f ca="1">IFERROR(__xludf.DUMMYFUNCTION("IFERROR(VLOOKUP(F691,IMPORTRANGE(""https://docs.google.com/spreadsheets/d/1Kvs4KS76FHFqLFIZfrDMff4kP08nblUkihrxltoGBjg/edit#gid=934712705"",""ESENCIAL!A6:BG""),15,FALSE))"),"")</f>
        <v/>
      </c>
      <c r="AX674" s="21" t="str">
        <f ca="1">IFERROR(__xludf.DUMMYFUNCTION("IFERROR(VLOOKUP(E691&amp;F691,IMPORTRANGE(""https://docs.google.com/spreadsheets/d/1Uw7-A9f9R21vMXxHZFNpYNeKFtG8_yji4HS352LGlSQ/edit?pli=1#gid=0"",""1_ACUM!A4:S""),12,FALSE))"),"")</f>
        <v/>
      </c>
      <c r="AY674" s="43" t="str">
        <f ca="1">IFERROR(__xludf.DUMMYFUNCTION("IFERROR(VLOOKUP(E691&amp;F691,IMPORTRANGE(""https://docs.google.com/spreadsheets/d/1Uw7-A9f9R21vMXxHZFNpYNeKFtG8_yji4HS352LGlSQ/edit?pli=1#gid=0"",""1_ACUM!A4:S""),13,FALSE))"),"")</f>
        <v/>
      </c>
      <c r="AZ674" s="43" t="str">
        <f ca="1">IFERROR(__xludf.DUMMYFUNCTION("IFERROR(VLOOKUP(E691&amp;F691,IMPORTRANGE(""https://docs.google.com/spreadsheets/d/1Uw7-A9f9R21vMXxHZFNpYNeKFtG8_yji4HS352LGlSQ/edit?pli=1#gid=0"",""1_ACUM!A4:S""),14,FALSE))"),"")</f>
        <v/>
      </c>
      <c r="BA674" s="43" t="str">
        <f ca="1">IFERROR(__xludf.DUMMYFUNCTION("IFERROR(VLOOKUP(E691&amp;F691,IMPORTRANGE(""https://docs.google.com/spreadsheets/d/1Uw7-A9f9R21vMXxHZFNpYNeKFtG8_yji4HS352LGlSQ/edit?pli=1#gid=0"",""1_ACUM!A4:S""),15,FALSE))"),"")</f>
        <v/>
      </c>
      <c r="BB674" s="43" t="str">
        <f ca="1">IFERROR(__xludf.DUMMYFUNCTION("IFERROR(VLOOKUP(E691&amp;F691,IMPORTRANGE(""https://docs.google.com/spreadsheets/d/1Uw7-A9f9R21vMXxHZFNpYNeKFtG8_yji4HS352LGlSQ/edit?pli=1#gid=0"",""1_ACUM!A4:S""),16,FALSE))"),"")</f>
        <v/>
      </c>
      <c r="BC674" s="43" t="str">
        <f ca="1">IFERROR(__xludf.DUMMYFUNCTION("IFERROR(VLOOKUP(E691&amp;F691,IMPORTRANGE(""https://docs.google.com/spreadsheets/d/1Uw7-A9f9R21vMXxHZFNpYNeKFtG8_yji4HS352LGlSQ/edit?pli=1#gid=0"",""1_ACUM!A4:S""),17,FALSE))"),"")</f>
        <v/>
      </c>
      <c r="BD674" s="44" t="str">
        <f ca="1">IFERROR(__xludf.DUMMYFUNCTION("IFERROR(VLOOKUP(E691&amp;F691,IMPORTRANGE(""https://docs.google.com/spreadsheets/d/1Uw7-A9f9R21vMXxHZFNpYNeKFtG8_yji4HS352LGlSQ/edit?pli=1#gid=0"",""1_ACUM!A4:S""),18,FALSE))"),"")</f>
        <v/>
      </c>
      <c r="BE674" s="44" t="str">
        <f ca="1">IFERROR(__xludf.DUMMYFUNCTION("IFERROR(VLOOKUP(E691&amp;F691,IMPORTRANGE(""https://docs.google.com/spreadsheets/d/1Uw7-A9f9R21vMXxHZFNpYNeKFtG8_yji4HS352LGlSQ/edit?pli=1#gid=0"",""1_ACUM!A4:S""),19,FALSE))"),"")</f>
        <v/>
      </c>
      <c r="BF674" s="44" t="str">
        <f ca="1">IFERROR(__xludf.DUMMYFUNCTION("IFERROR(VLOOKUP(F691,IMPORTRANGE(""https://docs.google.com/spreadsheets/d/1Kvs4KS76FHFqLFIZfrDMff4kP08nblUkihrxltoGBjg/edit#gid=934712705"",""ESENCIAL!A6:BG""),5,FALSE))"),"")</f>
        <v/>
      </c>
      <c r="BG674" s="44" t="str">
        <f t="shared" si="41"/>
        <v/>
      </c>
      <c r="BH674" s="41" t="str">
        <f t="shared" si="42"/>
        <v/>
      </c>
      <c r="BI674" s="41" t="str">
        <f ca="1">IFERROR(__xludf.DUMMYFUNCTION("IFERROR(VLOOKUP(F691,IMPORTRANGE(""https://docs.google.com/spreadsheets/d/1Kvs4KS76FHFqLFIZfrDMff4kP08nblUkihrxltoGBjg/edit#gid=934712705"",""ESENCIAL!A6:BG""),18,FALSE))"),"")</f>
        <v/>
      </c>
      <c r="BJ674" s="19" t="str">
        <f t="shared" si="43"/>
        <v/>
      </c>
      <c r="BK674" s="41"/>
      <c r="BL674" s="41"/>
    </row>
    <row r="675" spans="1:64" ht="15">
      <c r="A675" s="4"/>
      <c r="B675" s="4"/>
      <c r="G675" s="5" t="str">
        <f ca="1">IFERROR(__xludf.DUMMYFUNCTION("IFERROR(VLOOKUP(F692,IMPORTRANGE(""https://docs.google.com/spreadsheets/d/1Kvs4KS76FHFqLFIZfrDMff4kP08nblUkihrxltoGBjg/edit#gid=934712705"",""ESENCIAL!A6:BG""),3,FALSE))"),"")</f>
        <v/>
      </c>
      <c r="H675" s="5" t="str">
        <f ca="1">IFERROR(__xludf.DUMMYFUNCTION("IFERROR(VLOOKUP(F692,IMPORTRANGE(""https://docs.google.com/spreadsheets/d/1Kvs4KS76FHFqLFIZfrDMff4kP08nblUkihrxltoGBjg/edit#gid=934712705"",""ESENCIAL!A6:BG""),8,FALSE))"),"")</f>
        <v/>
      </c>
      <c r="L675" s="287"/>
      <c r="S675"/>
      <c r="AU675" s="41" t="str">
        <f t="shared" si="40"/>
        <v/>
      </c>
      <c r="AV675" s="5" t="str">
        <f ca="1">IFERROR(__xludf.DUMMYFUNCTION("IFERROR(VLOOKUP(E692&amp;F692,IMPORTRANGE(""https://docs.google.com/spreadsheets/d/1Uw7-A9f9R21vMXxHZFNpYNeKFtG8_yji4HS352LGlSQ/edit?pli=1#gid=0"",""1_ACUM!A4:S""),11,FALSE))"),"")</f>
        <v/>
      </c>
      <c r="AW675" s="42" t="str">
        <f ca="1">IFERROR(__xludf.DUMMYFUNCTION("IFERROR(VLOOKUP(F692,IMPORTRANGE(""https://docs.google.com/spreadsheets/d/1Kvs4KS76FHFqLFIZfrDMff4kP08nblUkihrxltoGBjg/edit#gid=934712705"",""ESENCIAL!A6:BG""),15,FALSE))"),"")</f>
        <v/>
      </c>
      <c r="AX675" s="21" t="str">
        <f ca="1">IFERROR(__xludf.DUMMYFUNCTION("IFERROR(VLOOKUP(E692&amp;F692,IMPORTRANGE(""https://docs.google.com/spreadsheets/d/1Uw7-A9f9R21vMXxHZFNpYNeKFtG8_yji4HS352LGlSQ/edit?pli=1#gid=0"",""1_ACUM!A4:S""),12,FALSE))"),"")</f>
        <v/>
      </c>
      <c r="AY675" s="43" t="str">
        <f ca="1">IFERROR(__xludf.DUMMYFUNCTION("IFERROR(VLOOKUP(E692&amp;F692,IMPORTRANGE(""https://docs.google.com/spreadsheets/d/1Uw7-A9f9R21vMXxHZFNpYNeKFtG8_yji4HS352LGlSQ/edit?pli=1#gid=0"",""1_ACUM!A4:S""),13,FALSE))"),"")</f>
        <v/>
      </c>
      <c r="AZ675" s="43" t="str">
        <f ca="1">IFERROR(__xludf.DUMMYFUNCTION("IFERROR(VLOOKUP(E692&amp;F692,IMPORTRANGE(""https://docs.google.com/spreadsheets/d/1Uw7-A9f9R21vMXxHZFNpYNeKFtG8_yji4HS352LGlSQ/edit?pli=1#gid=0"",""1_ACUM!A4:S""),14,FALSE))"),"")</f>
        <v/>
      </c>
      <c r="BA675" s="43" t="str">
        <f ca="1">IFERROR(__xludf.DUMMYFUNCTION("IFERROR(VLOOKUP(E692&amp;F692,IMPORTRANGE(""https://docs.google.com/spreadsheets/d/1Uw7-A9f9R21vMXxHZFNpYNeKFtG8_yji4HS352LGlSQ/edit?pli=1#gid=0"",""1_ACUM!A4:S""),15,FALSE))"),"")</f>
        <v/>
      </c>
      <c r="BB675" s="43" t="str">
        <f ca="1">IFERROR(__xludf.DUMMYFUNCTION("IFERROR(VLOOKUP(E692&amp;F692,IMPORTRANGE(""https://docs.google.com/spreadsheets/d/1Uw7-A9f9R21vMXxHZFNpYNeKFtG8_yji4HS352LGlSQ/edit?pli=1#gid=0"",""1_ACUM!A4:S""),16,FALSE))"),"")</f>
        <v/>
      </c>
      <c r="BC675" s="43" t="str">
        <f ca="1">IFERROR(__xludf.DUMMYFUNCTION("IFERROR(VLOOKUP(E692&amp;F692,IMPORTRANGE(""https://docs.google.com/spreadsheets/d/1Uw7-A9f9R21vMXxHZFNpYNeKFtG8_yji4HS352LGlSQ/edit?pli=1#gid=0"",""1_ACUM!A4:S""),17,FALSE))"),"")</f>
        <v/>
      </c>
      <c r="BD675" s="44" t="str">
        <f ca="1">IFERROR(__xludf.DUMMYFUNCTION("IFERROR(VLOOKUP(E692&amp;F692,IMPORTRANGE(""https://docs.google.com/spreadsheets/d/1Uw7-A9f9R21vMXxHZFNpYNeKFtG8_yji4HS352LGlSQ/edit?pli=1#gid=0"",""1_ACUM!A4:S""),18,FALSE))"),"")</f>
        <v/>
      </c>
      <c r="BE675" s="44" t="str">
        <f ca="1">IFERROR(__xludf.DUMMYFUNCTION("IFERROR(VLOOKUP(E692&amp;F692,IMPORTRANGE(""https://docs.google.com/spreadsheets/d/1Uw7-A9f9R21vMXxHZFNpYNeKFtG8_yji4HS352LGlSQ/edit?pli=1#gid=0"",""1_ACUM!A4:S""),19,FALSE))"),"")</f>
        <v/>
      </c>
      <c r="BF675" s="44" t="str">
        <f ca="1">IFERROR(__xludf.DUMMYFUNCTION("IFERROR(VLOOKUP(F692,IMPORTRANGE(""https://docs.google.com/spreadsheets/d/1Kvs4KS76FHFqLFIZfrDMff4kP08nblUkihrxltoGBjg/edit#gid=934712705"",""ESENCIAL!A6:BG""),5,FALSE))"),"")</f>
        <v/>
      </c>
      <c r="BG675" s="44" t="str">
        <f t="shared" si="41"/>
        <v/>
      </c>
      <c r="BH675" s="41" t="str">
        <f t="shared" si="42"/>
        <v/>
      </c>
      <c r="BI675" s="41" t="str">
        <f ca="1">IFERROR(__xludf.DUMMYFUNCTION("IFERROR(VLOOKUP(F692,IMPORTRANGE(""https://docs.google.com/spreadsheets/d/1Kvs4KS76FHFqLFIZfrDMff4kP08nblUkihrxltoGBjg/edit#gid=934712705"",""ESENCIAL!A6:BG""),18,FALSE))"),"")</f>
        <v/>
      </c>
      <c r="BJ675" s="19" t="str">
        <f t="shared" si="43"/>
        <v/>
      </c>
      <c r="BK675" s="41"/>
      <c r="BL675" s="41"/>
    </row>
    <row r="676" spans="1:64" ht="15">
      <c r="A676" s="4"/>
      <c r="B676" s="4"/>
      <c r="G676" s="5" t="str">
        <f ca="1">IFERROR(__xludf.DUMMYFUNCTION("IFERROR(VLOOKUP(F693,IMPORTRANGE(""https://docs.google.com/spreadsheets/d/1Kvs4KS76FHFqLFIZfrDMff4kP08nblUkihrxltoGBjg/edit#gid=934712705"",""ESENCIAL!A6:BG""),3,FALSE))"),"")</f>
        <v/>
      </c>
      <c r="H676" s="5" t="str">
        <f ca="1">IFERROR(__xludf.DUMMYFUNCTION("IFERROR(VLOOKUP(F693,IMPORTRANGE(""https://docs.google.com/spreadsheets/d/1Kvs4KS76FHFqLFIZfrDMff4kP08nblUkihrxltoGBjg/edit#gid=934712705"",""ESENCIAL!A6:BG""),8,FALSE))"),"")</f>
        <v/>
      </c>
      <c r="L676" s="287"/>
      <c r="S676"/>
      <c r="AU676" s="41" t="str">
        <f t="shared" si="40"/>
        <v/>
      </c>
      <c r="AV676" s="5" t="str">
        <f ca="1">IFERROR(__xludf.DUMMYFUNCTION("IFERROR(VLOOKUP(E693&amp;F693,IMPORTRANGE(""https://docs.google.com/spreadsheets/d/1Uw7-A9f9R21vMXxHZFNpYNeKFtG8_yji4HS352LGlSQ/edit?pli=1#gid=0"",""1_ACUM!A4:S""),11,FALSE))"),"")</f>
        <v/>
      </c>
      <c r="AW676" s="42" t="str">
        <f ca="1">IFERROR(__xludf.DUMMYFUNCTION("IFERROR(VLOOKUP(F693,IMPORTRANGE(""https://docs.google.com/spreadsheets/d/1Kvs4KS76FHFqLFIZfrDMff4kP08nblUkihrxltoGBjg/edit#gid=934712705"",""ESENCIAL!A6:BG""),15,FALSE))"),"")</f>
        <v/>
      </c>
      <c r="AX676" s="21" t="str">
        <f ca="1">IFERROR(__xludf.DUMMYFUNCTION("IFERROR(VLOOKUP(E693&amp;F693,IMPORTRANGE(""https://docs.google.com/spreadsheets/d/1Uw7-A9f9R21vMXxHZFNpYNeKFtG8_yji4HS352LGlSQ/edit?pli=1#gid=0"",""1_ACUM!A4:S""),12,FALSE))"),"")</f>
        <v/>
      </c>
      <c r="AY676" s="43" t="str">
        <f ca="1">IFERROR(__xludf.DUMMYFUNCTION("IFERROR(VLOOKUP(E693&amp;F693,IMPORTRANGE(""https://docs.google.com/spreadsheets/d/1Uw7-A9f9R21vMXxHZFNpYNeKFtG8_yji4HS352LGlSQ/edit?pli=1#gid=0"",""1_ACUM!A4:S""),13,FALSE))"),"")</f>
        <v/>
      </c>
      <c r="AZ676" s="43" t="str">
        <f ca="1">IFERROR(__xludf.DUMMYFUNCTION("IFERROR(VLOOKUP(E693&amp;F693,IMPORTRANGE(""https://docs.google.com/spreadsheets/d/1Uw7-A9f9R21vMXxHZFNpYNeKFtG8_yji4HS352LGlSQ/edit?pli=1#gid=0"",""1_ACUM!A4:S""),14,FALSE))"),"")</f>
        <v/>
      </c>
      <c r="BA676" s="43" t="str">
        <f ca="1">IFERROR(__xludf.DUMMYFUNCTION("IFERROR(VLOOKUP(E693&amp;F693,IMPORTRANGE(""https://docs.google.com/spreadsheets/d/1Uw7-A9f9R21vMXxHZFNpYNeKFtG8_yji4HS352LGlSQ/edit?pli=1#gid=0"",""1_ACUM!A4:S""),15,FALSE))"),"")</f>
        <v/>
      </c>
      <c r="BB676" s="43" t="str">
        <f ca="1">IFERROR(__xludf.DUMMYFUNCTION("IFERROR(VLOOKUP(E693&amp;F693,IMPORTRANGE(""https://docs.google.com/spreadsheets/d/1Uw7-A9f9R21vMXxHZFNpYNeKFtG8_yji4HS352LGlSQ/edit?pli=1#gid=0"",""1_ACUM!A4:S""),16,FALSE))"),"")</f>
        <v/>
      </c>
      <c r="BC676" s="43" t="str">
        <f ca="1">IFERROR(__xludf.DUMMYFUNCTION("IFERROR(VLOOKUP(E693&amp;F693,IMPORTRANGE(""https://docs.google.com/spreadsheets/d/1Uw7-A9f9R21vMXxHZFNpYNeKFtG8_yji4HS352LGlSQ/edit?pli=1#gid=0"",""1_ACUM!A4:S""),17,FALSE))"),"")</f>
        <v/>
      </c>
      <c r="BD676" s="44" t="str">
        <f ca="1">IFERROR(__xludf.DUMMYFUNCTION("IFERROR(VLOOKUP(E693&amp;F693,IMPORTRANGE(""https://docs.google.com/spreadsheets/d/1Uw7-A9f9R21vMXxHZFNpYNeKFtG8_yji4HS352LGlSQ/edit?pli=1#gid=0"",""1_ACUM!A4:S""),18,FALSE))"),"")</f>
        <v/>
      </c>
      <c r="BE676" s="44" t="str">
        <f ca="1">IFERROR(__xludf.DUMMYFUNCTION("IFERROR(VLOOKUP(E693&amp;F693,IMPORTRANGE(""https://docs.google.com/spreadsheets/d/1Uw7-A9f9R21vMXxHZFNpYNeKFtG8_yji4HS352LGlSQ/edit?pli=1#gid=0"",""1_ACUM!A4:S""),19,FALSE))"),"")</f>
        <v/>
      </c>
      <c r="BF676" s="44" t="str">
        <f ca="1">IFERROR(__xludf.DUMMYFUNCTION("IFERROR(VLOOKUP(F693,IMPORTRANGE(""https://docs.google.com/spreadsheets/d/1Kvs4KS76FHFqLFIZfrDMff4kP08nblUkihrxltoGBjg/edit#gid=934712705"",""ESENCIAL!A6:BG""),5,FALSE))"),"")</f>
        <v/>
      </c>
      <c r="BG676" s="44" t="str">
        <f t="shared" si="41"/>
        <v/>
      </c>
      <c r="BH676" s="41" t="str">
        <f t="shared" si="42"/>
        <v/>
      </c>
      <c r="BI676" s="41" t="str">
        <f ca="1">IFERROR(__xludf.DUMMYFUNCTION("IFERROR(VLOOKUP(F693,IMPORTRANGE(""https://docs.google.com/spreadsheets/d/1Kvs4KS76FHFqLFIZfrDMff4kP08nblUkihrxltoGBjg/edit#gid=934712705"",""ESENCIAL!A6:BG""),18,FALSE))"),"")</f>
        <v/>
      </c>
      <c r="BJ676" s="19" t="str">
        <f t="shared" si="43"/>
        <v/>
      </c>
      <c r="BK676" s="41"/>
      <c r="BL676" s="41"/>
    </row>
    <row r="677" spans="1:64" ht="15">
      <c r="A677" s="4"/>
      <c r="B677" s="4"/>
      <c r="G677" s="5" t="str">
        <f ca="1">IFERROR(__xludf.DUMMYFUNCTION("IFERROR(VLOOKUP(F694,IMPORTRANGE(""https://docs.google.com/spreadsheets/d/1Kvs4KS76FHFqLFIZfrDMff4kP08nblUkihrxltoGBjg/edit#gid=934712705"",""ESENCIAL!A6:BG""),3,FALSE))"),"")</f>
        <v/>
      </c>
      <c r="H677" s="5" t="str">
        <f ca="1">IFERROR(__xludf.DUMMYFUNCTION("IFERROR(VLOOKUP(F694,IMPORTRANGE(""https://docs.google.com/spreadsheets/d/1Kvs4KS76FHFqLFIZfrDMff4kP08nblUkihrxltoGBjg/edit#gid=934712705"",""ESENCIAL!A6:BG""),8,FALSE))"),"")</f>
        <v/>
      </c>
      <c r="L677" s="287"/>
      <c r="S677"/>
      <c r="AU677" s="41" t="str">
        <f t="shared" si="40"/>
        <v/>
      </c>
      <c r="AV677" s="5" t="str">
        <f ca="1">IFERROR(__xludf.DUMMYFUNCTION("IFERROR(VLOOKUP(E694&amp;F694,IMPORTRANGE(""https://docs.google.com/spreadsheets/d/1Uw7-A9f9R21vMXxHZFNpYNeKFtG8_yji4HS352LGlSQ/edit?pli=1#gid=0"",""1_ACUM!A4:S""),11,FALSE))"),"")</f>
        <v/>
      </c>
      <c r="AW677" s="42" t="str">
        <f ca="1">IFERROR(__xludf.DUMMYFUNCTION("IFERROR(VLOOKUP(F694,IMPORTRANGE(""https://docs.google.com/spreadsheets/d/1Kvs4KS76FHFqLFIZfrDMff4kP08nblUkihrxltoGBjg/edit#gid=934712705"",""ESENCIAL!A6:BG""),15,FALSE))"),"")</f>
        <v/>
      </c>
      <c r="AX677" s="21" t="str">
        <f ca="1">IFERROR(__xludf.DUMMYFUNCTION("IFERROR(VLOOKUP(E694&amp;F694,IMPORTRANGE(""https://docs.google.com/spreadsheets/d/1Uw7-A9f9R21vMXxHZFNpYNeKFtG8_yji4HS352LGlSQ/edit?pli=1#gid=0"",""1_ACUM!A4:S""),12,FALSE))"),"")</f>
        <v/>
      </c>
      <c r="AY677" s="43" t="str">
        <f ca="1">IFERROR(__xludf.DUMMYFUNCTION("IFERROR(VLOOKUP(E694&amp;F694,IMPORTRANGE(""https://docs.google.com/spreadsheets/d/1Uw7-A9f9R21vMXxHZFNpYNeKFtG8_yji4HS352LGlSQ/edit?pli=1#gid=0"",""1_ACUM!A4:S""),13,FALSE))"),"")</f>
        <v/>
      </c>
      <c r="AZ677" s="43" t="str">
        <f ca="1">IFERROR(__xludf.DUMMYFUNCTION("IFERROR(VLOOKUP(E694&amp;F694,IMPORTRANGE(""https://docs.google.com/spreadsheets/d/1Uw7-A9f9R21vMXxHZFNpYNeKFtG8_yji4HS352LGlSQ/edit?pli=1#gid=0"",""1_ACUM!A4:S""),14,FALSE))"),"")</f>
        <v/>
      </c>
      <c r="BA677" s="43" t="str">
        <f ca="1">IFERROR(__xludf.DUMMYFUNCTION("IFERROR(VLOOKUP(E694&amp;F694,IMPORTRANGE(""https://docs.google.com/spreadsheets/d/1Uw7-A9f9R21vMXxHZFNpYNeKFtG8_yji4HS352LGlSQ/edit?pli=1#gid=0"",""1_ACUM!A4:S""),15,FALSE))"),"")</f>
        <v/>
      </c>
      <c r="BB677" s="43" t="str">
        <f ca="1">IFERROR(__xludf.DUMMYFUNCTION("IFERROR(VLOOKUP(E694&amp;F694,IMPORTRANGE(""https://docs.google.com/spreadsheets/d/1Uw7-A9f9R21vMXxHZFNpYNeKFtG8_yji4HS352LGlSQ/edit?pli=1#gid=0"",""1_ACUM!A4:S""),16,FALSE))"),"")</f>
        <v/>
      </c>
      <c r="BC677" s="43" t="str">
        <f ca="1">IFERROR(__xludf.DUMMYFUNCTION("IFERROR(VLOOKUP(E694&amp;F694,IMPORTRANGE(""https://docs.google.com/spreadsheets/d/1Uw7-A9f9R21vMXxHZFNpYNeKFtG8_yji4HS352LGlSQ/edit?pli=1#gid=0"",""1_ACUM!A4:S""),17,FALSE))"),"")</f>
        <v/>
      </c>
      <c r="BD677" s="44" t="str">
        <f ca="1">IFERROR(__xludf.DUMMYFUNCTION("IFERROR(VLOOKUP(E694&amp;F694,IMPORTRANGE(""https://docs.google.com/spreadsheets/d/1Uw7-A9f9R21vMXxHZFNpYNeKFtG8_yji4HS352LGlSQ/edit?pli=1#gid=0"",""1_ACUM!A4:S""),18,FALSE))"),"")</f>
        <v/>
      </c>
      <c r="BE677" s="44" t="str">
        <f ca="1">IFERROR(__xludf.DUMMYFUNCTION("IFERROR(VLOOKUP(E694&amp;F694,IMPORTRANGE(""https://docs.google.com/spreadsheets/d/1Uw7-A9f9R21vMXxHZFNpYNeKFtG8_yji4HS352LGlSQ/edit?pli=1#gid=0"",""1_ACUM!A4:S""),19,FALSE))"),"")</f>
        <v/>
      </c>
      <c r="BF677" s="44" t="str">
        <f ca="1">IFERROR(__xludf.DUMMYFUNCTION("IFERROR(VLOOKUP(F694,IMPORTRANGE(""https://docs.google.com/spreadsheets/d/1Kvs4KS76FHFqLFIZfrDMff4kP08nblUkihrxltoGBjg/edit#gid=934712705"",""ESENCIAL!A6:BG""),5,FALSE))"),"")</f>
        <v/>
      </c>
      <c r="BG677" s="44" t="str">
        <f t="shared" si="41"/>
        <v/>
      </c>
      <c r="BH677" s="41" t="str">
        <f t="shared" si="42"/>
        <v/>
      </c>
      <c r="BI677" s="41" t="str">
        <f ca="1">IFERROR(__xludf.DUMMYFUNCTION("IFERROR(VLOOKUP(F694,IMPORTRANGE(""https://docs.google.com/spreadsheets/d/1Kvs4KS76FHFqLFIZfrDMff4kP08nblUkihrxltoGBjg/edit#gid=934712705"",""ESENCIAL!A6:BG""),18,FALSE))"),"")</f>
        <v/>
      </c>
      <c r="BJ677" s="19" t="str">
        <f t="shared" si="43"/>
        <v/>
      </c>
      <c r="BK677" s="41"/>
      <c r="BL677" s="41"/>
    </row>
    <row r="678" spans="1:64" ht="15">
      <c r="A678" s="4"/>
      <c r="B678" s="4"/>
      <c r="G678" s="5" t="str">
        <f ca="1">IFERROR(__xludf.DUMMYFUNCTION("IFERROR(VLOOKUP(F695,IMPORTRANGE(""https://docs.google.com/spreadsheets/d/1Kvs4KS76FHFqLFIZfrDMff4kP08nblUkihrxltoGBjg/edit#gid=934712705"",""ESENCIAL!A6:BG""),3,FALSE))"),"")</f>
        <v/>
      </c>
      <c r="H678" s="5" t="str">
        <f ca="1">IFERROR(__xludf.DUMMYFUNCTION("IFERROR(VLOOKUP(F695,IMPORTRANGE(""https://docs.google.com/spreadsheets/d/1Kvs4KS76FHFqLFIZfrDMff4kP08nblUkihrxltoGBjg/edit#gid=934712705"",""ESENCIAL!A6:BG""),8,FALSE))"),"")</f>
        <v/>
      </c>
      <c r="L678" s="287"/>
      <c r="S678"/>
      <c r="AU678" s="41" t="str">
        <f t="shared" si="40"/>
        <v/>
      </c>
      <c r="AV678" s="5" t="str">
        <f ca="1">IFERROR(__xludf.DUMMYFUNCTION("IFERROR(VLOOKUP(E695&amp;F695,IMPORTRANGE(""https://docs.google.com/spreadsheets/d/1Uw7-A9f9R21vMXxHZFNpYNeKFtG8_yji4HS352LGlSQ/edit?pli=1#gid=0"",""1_ACUM!A4:S""),11,FALSE))"),"")</f>
        <v/>
      </c>
      <c r="AW678" s="42" t="str">
        <f ca="1">IFERROR(__xludf.DUMMYFUNCTION("IFERROR(VLOOKUP(F695,IMPORTRANGE(""https://docs.google.com/spreadsheets/d/1Kvs4KS76FHFqLFIZfrDMff4kP08nblUkihrxltoGBjg/edit#gid=934712705"",""ESENCIAL!A6:BG""),15,FALSE))"),"")</f>
        <v/>
      </c>
      <c r="AX678" s="21" t="str">
        <f ca="1">IFERROR(__xludf.DUMMYFUNCTION("IFERROR(VLOOKUP(E695&amp;F695,IMPORTRANGE(""https://docs.google.com/spreadsheets/d/1Uw7-A9f9R21vMXxHZFNpYNeKFtG8_yji4HS352LGlSQ/edit?pli=1#gid=0"",""1_ACUM!A4:S""),12,FALSE))"),"")</f>
        <v/>
      </c>
      <c r="AY678" s="43" t="str">
        <f ca="1">IFERROR(__xludf.DUMMYFUNCTION("IFERROR(VLOOKUP(E695&amp;F695,IMPORTRANGE(""https://docs.google.com/spreadsheets/d/1Uw7-A9f9R21vMXxHZFNpYNeKFtG8_yji4HS352LGlSQ/edit?pli=1#gid=0"",""1_ACUM!A4:S""),13,FALSE))"),"")</f>
        <v/>
      </c>
      <c r="AZ678" s="43" t="str">
        <f ca="1">IFERROR(__xludf.DUMMYFUNCTION("IFERROR(VLOOKUP(E695&amp;F695,IMPORTRANGE(""https://docs.google.com/spreadsheets/d/1Uw7-A9f9R21vMXxHZFNpYNeKFtG8_yji4HS352LGlSQ/edit?pli=1#gid=0"",""1_ACUM!A4:S""),14,FALSE))"),"")</f>
        <v/>
      </c>
      <c r="BA678" s="43" t="str">
        <f ca="1">IFERROR(__xludf.DUMMYFUNCTION("IFERROR(VLOOKUP(E695&amp;F695,IMPORTRANGE(""https://docs.google.com/spreadsheets/d/1Uw7-A9f9R21vMXxHZFNpYNeKFtG8_yji4HS352LGlSQ/edit?pli=1#gid=0"",""1_ACUM!A4:S""),15,FALSE))"),"")</f>
        <v/>
      </c>
      <c r="BB678" s="43" t="str">
        <f ca="1">IFERROR(__xludf.DUMMYFUNCTION("IFERROR(VLOOKUP(E695&amp;F695,IMPORTRANGE(""https://docs.google.com/spreadsheets/d/1Uw7-A9f9R21vMXxHZFNpYNeKFtG8_yji4HS352LGlSQ/edit?pli=1#gid=0"",""1_ACUM!A4:S""),16,FALSE))"),"")</f>
        <v/>
      </c>
      <c r="BC678" s="43" t="str">
        <f ca="1">IFERROR(__xludf.DUMMYFUNCTION("IFERROR(VLOOKUP(E695&amp;F695,IMPORTRANGE(""https://docs.google.com/spreadsheets/d/1Uw7-A9f9R21vMXxHZFNpYNeKFtG8_yji4HS352LGlSQ/edit?pli=1#gid=0"",""1_ACUM!A4:S""),17,FALSE))"),"")</f>
        <v/>
      </c>
      <c r="BD678" s="44" t="str">
        <f ca="1">IFERROR(__xludf.DUMMYFUNCTION("IFERROR(VLOOKUP(E695&amp;F695,IMPORTRANGE(""https://docs.google.com/spreadsheets/d/1Uw7-A9f9R21vMXxHZFNpYNeKFtG8_yji4HS352LGlSQ/edit?pli=1#gid=0"",""1_ACUM!A4:S""),18,FALSE))"),"")</f>
        <v/>
      </c>
      <c r="BE678" s="44" t="str">
        <f ca="1">IFERROR(__xludf.DUMMYFUNCTION("IFERROR(VLOOKUP(E695&amp;F695,IMPORTRANGE(""https://docs.google.com/spreadsheets/d/1Uw7-A9f9R21vMXxHZFNpYNeKFtG8_yji4HS352LGlSQ/edit?pli=1#gid=0"",""1_ACUM!A4:S""),19,FALSE))"),"")</f>
        <v/>
      </c>
      <c r="BF678" s="44" t="str">
        <f ca="1">IFERROR(__xludf.DUMMYFUNCTION("IFERROR(VLOOKUP(F695,IMPORTRANGE(""https://docs.google.com/spreadsheets/d/1Kvs4KS76FHFqLFIZfrDMff4kP08nblUkihrxltoGBjg/edit#gid=934712705"",""ESENCIAL!A6:BG""),5,FALSE))"),"")</f>
        <v/>
      </c>
      <c r="BG678" s="44" t="str">
        <f t="shared" si="41"/>
        <v/>
      </c>
      <c r="BH678" s="41" t="str">
        <f t="shared" si="42"/>
        <v/>
      </c>
      <c r="BI678" s="41" t="str">
        <f ca="1">IFERROR(__xludf.DUMMYFUNCTION("IFERROR(VLOOKUP(F695,IMPORTRANGE(""https://docs.google.com/spreadsheets/d/1Kvs4KS76FHFqLFIZfrDMff4kP08nblUkihrxltoGBjg/edit#gid=934712705"",""ESENCIAL!A6:BG""),18,FALSE))"),"")</f>
        <v/>
      </c>
      <c r="BJ678" s="19" t="str">
        <f t="shared" si="43"/>
        <v/>
      </c>
      <c r="BK678" s="41"/>
      <c r="BL678" s="41"/>
    </row>
    <row r="679" spans="1:64" ht="15">
      <c r="A679" s="4"/>
      <c r="B679" s="4"/>
      <c r="G679" s="5" t="str">
        <f ca="1">IFERROR(__xludf.DUMMYFUNCTION("IFERROR(VLOOKUP(F696,IMPORTRANGE(""https://docs.google.com/spreadsheets/d/1Kvs4KS76FHFqLFIZfrDMff4kP08nblUkihrxltoGBjg/edit#gid=934712705"",""ESENCIAL!A6:BG""),3,FALSE))"),"")</f>
        <v/>
      </c>
      <c r="H679" s="5" t="str">
        <f ca="1">IFERROR(__xludf.DUMMYFUNCTION("IFERROR(VLOOKUP(F696,IMPORTRANGE(""https://docs.google.com/spreadsheets/d/1Kvs4KS76FHFqLFIZfrDMff4kP08nblUkihrxltoGBjg/edit#gid=934712705"",""ESENCIAL!A6:BG""),8,FALSE))"),"")</f>
        <v/>
      </c>
      <c r="L679" s="287"/>
      <c r="S679"/>
      <c r="AU679" s="41" t="str">
        <f t="shared" si="40"/>
        <v/>
      </c>
      <c r="AV679" s="5" t="str">
        <f ca="1">IFERROR(__xludf.DUMMYFUNCTION("IFERROR(VLOOKUP(E696&amp;F696,IMPORTRANGE(""https://docs.google.com/spreadsheets/d/1Uw7-A9f9R21vMXxHZFNpYNeKFtG8_yji4HS352LGlSQ/edit?pli=1#gid=0"",""1_ACUM!A4:S""),11,FALSE))"),"")</f>
        <v/>
      </c>
      <c r="AW679" s="42" t="str">
        <f ca="1">IFERROR(__xludf.DUMMYFUNCTION("IFERROR(VLOOKUP(F696,IMPORTRANGE(""https://docs.google.com/spreadsheets/d/1Kvs4KS76FHFqLFIZfrDMff4kP08nblUkihrxltoGBjg/edit#gid=934712705"",""ESENCIAL!A6:BG""),15,FALSE))"),"")</f>
        <v/>
      </c>
      <c r="AX679" s="21" t="str">
        <f ca="1">IFERROR(__xludf.DUMMYFUNCTION("IFERROR(VLOOKUP(E696&amp;F696,IMPORTRANGE(""https://docs.google.com/spreadsheets/d/1Uw7-A9f9R21vMXxHZFNpYNeKFtG8_yji4HS352LGlSQ/edit?pli=1#gid=0"",""1_ACUM!A4:S""),12,FALSE))"),"")</f>
        <v/>
      </c>
      <c r="AY679" s="43" t="str">
        <f ca="1">IFERROR(__xludf.DUMMYFUNCTION("IFERROR(VLOOKUP(E696&amp;F696,IMPORTRANGE(""https://docs.google.com/spreadsheets/d/1Uw7-A9f9R21vMXxHZFNpYNeKFtG8_yji4HS352LGlSQ/edit?pli=1#gid=0"",""1_ACUM!A4:S""),13,FALSE))"),"")</f>
        <v/>
      </c>
      <c r="AZ679" s="43" t="str">
        <f ca="1">IFERROR(__xludf.DUMMYFUNCTION("IFERROR(VLOOKUP(E696&amp;F696,IMPORTRANGE(""https://docs.google.com/spreadsheets/d/1Uw7-A9f9R21vMXxHZFNpYNeKFtG8_yji4HS352LGlSQ/edit?pli=1#gid=0"",""1_ACUM!A4:S""),14,FALSE))"),"")</f>
        <v/>
      </c>
      <c r="BA679" s="43" t="str">
        <f ca="1">IFERROR(__xludf.DUMMYFUNCTION("IFERROR(VLOOKUP(E696&amp;F696,IMPORTRANGE(""https://docs.google.com/spreadsheets/d/1Uw7-A9f9R21vMXxHZFNpYNeKFtG8_yji4HS352LGlSQ/edit?pli=1#gid=0"",""1_ACUM!A4:S""),15,FALSE))"),"")</f>
        <v/>
      </c>
      <c r="BB679" s="43" t="str">
        <f ca="1">IFERROR(__xludf.DUMMYFUNCTION("IFERROR(VLOOKUP(E696&amp;F696,IMPORTRANGE(""https://docs.google.com/spreadsheets/d/1Uw7-A9f9R21vMXxHZFNpYNeKFtG8_yji4HS352LGlSQ/edit?pli=1#gid=0"",""1_ACUM!A4:S""),16,FALSE))"),"")</f>
        <v/>
      </c>
      <c r="BC679" s="43" t="str">
        <f ca="1">IFERROR(__xludf.DUMMYFUNCTION("IFERROR(VLOOKUP(E696&amp;F696,IMPORTRANGE(""https://docs.google.com/spreadsheets/d/1Uw7-A9f9R21vMXxHZFNpYNeKFtG8_yji4HS352LGlSQ/edit?pli=1#gid=0"",""1_ACUM!A4:S""),17,FALSE))"),"")</f>
        <v/>
      </c>
      <c r="BD679" s="44" t="str">
        <f ca="1">IFERROR(__xludf.DUMMYFUNCTION("IFERROR(VLOOKUP(E696&amp;F696,IMPORTRANGE(""https://docs.google.com/spreadsheets/d/1Uw7-A9f9R21vMXxHZFNpYNeKFtG8_yji4HS352LGlSQ/edit?pli=1#gid=0"",""1_ACUM!A4:S""),18,FALSE))"),"")</f>
        <v/>
      </c>
      <c r="BE679" s="44" t="str">
        <f ca="1">IFERROR(__xludf.DUMMYFUNCTION("IFERROR(VLOOKUP(E696&amp;F696,IMPORTRANGE(""https://docs.google.com/spreadsheets/d/1Uw7-A9f9R21vMXxHZFNpYNeKFtG8_yji4HS352LGlSQ/edit?pli=1#gid=0"",""1_ACUM!A4:S""),19,FALSE))"),"")</f>
        <v/>
      </c>
      <c r="BF679" s="44" t="str">
        <f ca="1">IFERROR(__xludf.DUMMYFUNCTION("IFERROR(VLOOKUP(F696,IMPORTRANGE(""https://docs.google.com/spreadsheets/d/1Kvs4KS76FHFqLFIZfrDMff4kP08nblUkihrxltoGBjg/edit#gid=934712705"",""ESENCIAL!A6:BG""),5,FALSE))"),"")</f>
        <v/>
      </c>
      <c r="BG679" s="44" t="str">
        <f t="shared" si="41"/>
        <v/>
      </c>
      <c r="BH679" s="41" t="str">
        <f t="shared" si="42"/>
        <v/>
      </c>
      <c r="BI679" s="41" t="str">
        <f ca="1">IFERROR(__xludf.DUMMYFUNCTION("IFERROR(VLOOKUP(F696,IMPORTRANGE(""https://docs.google.com/spreadsheets/d/1Kvs4KS76FHFqLFIZfrDMff4kP08nblUkihrxltoGBjg/edit#gid=934712705"",""ESENCIAL!A6:BG""),18,FALSE))"),"")</f>
        <v/>
      </c>
      <c r="BJ679" s="19" t="str">
        <f t="shared" si="43"/>
        <v/>
      </c>
      <c r="BK679" s="41"/>
      <c r="BL679" s="41"/>
    </row>
    <row r="680" spans="1:64" ht="15">
      <c r="A680" s="4"/>
      <c r="B680" s="4"/>
      <c r="G680" s="5" t="str">
        <f ca="1">IFERROR(__xludf.DUMMYFUNCTION("IFERROR(VLOOKUP(F697,IMPORTRANGE(""https://docs.google.com/spreadsheets/d/1Kvs4KS76FHFqLFIZfrDMff4kP08nblUkihrxltoGBjg/edit#gid=934712705"",""ESENCIAL!A6:BG""),3,FALSE))"),"")</f>
        <v/>
      </c>
      <c r="H680" s="5" t="str">
        <f ca="1">IFERROR(__xludf.DUMMYFUNCTION("IFERROR(VLOOKUP(F697,IMPORTRANGE(""https://docs.google.com/spreadsheets/d/1Kvs4KS76FHFqLFIZfrDMff4kP08nblUkihrxltoGBjg/edit#gid=934712705"",""ESENCIAL!A6:BG""),8,FALSE))"),"")</f>
        <v/>
      </c>
      <c r="L680" s="287"/>
      <c r="S680"/>
      <c r="AU680" s="41" t="str">
        <f t="shared" si="40"/>
        <v/>
      </c>
      <c r="AV680" s="5" t="str">
        <f ca="1">IFERROR(__xludf.DUMMYFUNCTION("IFERROR(VLOOKUP(E697&amp;F697,IMPORTRANGE(""https://docs.google.com/spreadsheets/d/1Uw7-A9f9R21vMXxHZFNpYNeKFtG8_yji4HS352LGlSQ/edit?pli=1#gid=0"",""1_ACUM!A4:S""),11,FALSE))"),"")</f>
        <v/>
      </c>
      <c r="AW680" s="42" t="str">
        <f ca="1">IFERROR(__xludf.DUMMYFUNCTION("IFERROR(VLOOKUP(F697,IMPORTRANGE(""https://docs.google.com/spreadsheets/d/1Kvs4KS76FHFqLFIZfrDMff4kP08nblUkihrxltoGBjg/edit#gid=934712705"",""ESENCIAL!A6:BG""),15,FALSE))"),"")</f>
        <v/>
      </c>
      <c r="AX680" s="21" t="str">
        <f ca="1">IFERROR(__xludf.DUMMYFUNCTION("IFERROR(VLOOKUP(E697&amp;F697,IMPORTRANGE(""https://docs.google.com/spreadsheets/d/1Uw7-A9f9R21vMXxHZFNpYNeKFtG8_yji4HS352LGlSQ/edit?pli=1#gid=0"",""1_ACUM!A4:S""),12,FALSE))"),"")</f>
        <v/>
      </c>
      <c r="AY680" s="43" t="str">
        <f ca="1">IFERROR(__xludf.DUMMYFUNCTION("IFERROR(VLOOKUP(E697&amp;F697,IMPORTRANGE(""https://docs.google.com/spreadsheets/d/1Uw7-A9f9R21vMXxHZFNpYNeKFtG8_yji4HS352LGlSQ/edit?pli=1#gid=0"",""1_ACUM!A4:S""),13,FALSE))"),"")</f>
        <v/>
      </c>
      <c r="AZ680" s="43" t="str">
        <f ca="1">IFERROR(__xludf.DUMMYFUNCTION("IFERROR(VLOOKUP(E697&amp;F697,IMPORTRANGE(""https://docs.google.com/spreadsheets/d/1Uw7-A9f9R21vMXxHZFNpYNeKFtG8_yji4HS352LGlSQ/edit?pli=1#gid=0"",""1_ACUM!A4:S""),14,FALSE))"),"")</f>
        <v/>
      </c>
      <c r="BA680" s="43" t="str">
        <f ca="1">IFERROR(__xludf.DUMMYFUNCTION("IFERROR(VLOOKUP(E697&amp;F697,IMPORTRANGE(""https://docs.google.com/spreadsheets/d/1Uw7-A9f9R21vMXxHZFNpYNeKFtG8_yji4HS352LGlSQ/edit?pli=1#gid=0"",""1_ACUM!A4:S""),15,FALSE))"),"")</f>
        <v/>
      </c>
      <c r="BB680" s="43" t="str">
        <f ca="1">IFERROR(__xludf.DUMMYFUNCTION("IFERROR(VLOOKUP(E697&amp;F697,IMPORTRANGE(""https://docs.google.com/spreadsheets/d/1Uw7-A9f9R21vMXxHZFNpYNeKFtG8_yji4HS352LGlSQ/edit?pli=1#gid=0"",""1_ACUM!A4:S""),16,FALSE))"),"")</f>
        <v/>
      </c>
      <c r="BC680" s="43" t="str">
        <f ca="1">IFERROR(__xludf.DUMMYFUNCTION("IFERROR(VLOOKUP(E697&amp;F697,IMPORTRANGE(""https://docs.google.com/spreadsheets/d/1Uw7-A9f9R21vMXxHZFNpYNeKFtG8_yji4HS352LGlSQ/edit?pli=1#gid=0"",""1_ACUM!A4:S""),17,FALSE))"),"")</f>
        <v/>
      </c>
      <c r="BD680" s="44" t="str">
        <f ca="1">IFERROR(__xludf.DUMMYFUNCTION("IFERROR(VLOOKUP(E697&amp;F697,IMPORTRANGE(""https://docs.google.com/spreadsheets/d/1Uw7-A9f9R21vMXxHZFNpYNeKFtG8_yji4HS352LGlSQ/edit?pli=1#gid=0"",""1_ACUM!A4:S""),18,FALSE))"),"")</f>
        <v/>
      </c>
      <c r="BE680" s="44" t="str">
        <f ca="1">IFERROR(__xludf.DUMMYFUNCTION("IFERROR(VLOOKUP(E697&amp;F697,IMPORTRANGE(""https://docs.google.com/spreadsheets/d/1Uw7-A9f9R21vMXxHZFNpYNeKFtG8_yji4HS352LGlSQ/edit?pli=1#gid=0"",""1_ACUM!A4:S""),19,FALSE))"),"")</f>
        <v/>
      </c>
      <c r="BF680" s="44" t="str">
        <f ca="1">IFERROR(__xludf.DUMMYFUNCTION("IFERROR(VLOOKUP(F697,IMPORTRANGE(""https://docs.google.com/spreadsheets/d/1Kvs4KS76FHFqLFIZfrDMff4kP08nblUkihrxltoGBjg/edit#gid=934712705"",""ESENCIAL!A6:BG""),5,FALSE))"),"")</f>
        <v/>
      </c>
      <c r="BG680" s="44" t="str">
        <f t="shared" si="41"/>
        <v/>
      </c>
      <c r="BH680" s="41" t="str">
        <f t="shared" si="42"/>
        <v/>
      </c>
      <c r="BI680" s="41" t="str">
        <f ca="1">IFERROR(__xludf.DUMMYFUNCTION("IFERROR(VLOOKUP(F697,IMPORTRANGE(""https://docs.google.com/spreadsheets/d/1Kvs4KS76FHFqLFIZfrDMff4kP08nblUkihrxltoGBjg/edit#gid=934712705"",""ESENCIAL!A6:BG""),18,FALSE))"),"")</f>
        <v/>
      </c>
      <c r="BJ680" s="19" t="str">
        <f t="shared" si="43"/>
        <v/>
      </c>
      <c r="BK680" s="41"/>
      <c r="BL680" s="41"/>
    </row>
    <row r="681" spans="1:64" ht="15">
      <c r="A681" s="4"/>
      <c r="B681" s="4"/>
      <c r="G681" s="5" t="str">
        <f ca="1">IFERROR(__xludf.DUMMYFUNCTION("IFERROR(VLOOKUP(F698,IMPORTRANGE(""https://docs.google.com/spreadsheets/d/1Kvs4KS76FHFqLFIZfrDMff4kP08nblUkihrxltoGBjg/edit#gid=934712705"",""ESENCIAL!A6:BG""),3,FALSE))"),"")</f>
        <v/>
      </c>
      <c r="H681" s="5" t="str">
        <f ca="1">IFERROR(__xludf.DUMMYFUNCTION("IFERROR(VLOOKUP(F698,IMPORTRANGE(""https://docs.google.com/spreadsheets/d/1Kvs4KS76FHFqLFIZfrDMff4kP08nblUkihrxltoGBjg/edit#gid=934712705"",""ESENCIAL!A6:BG""),8,FALSE))"),"")</f>
        <v/>
      </c>
      <c r="L681" s="287"/>
      <c r="S681"/>
      <c r="AU681" s="41" t="str">
        <f t="shared" si="40"/>
        <v/>
      </c>
      <c r="AV681" s="5" t="str">
        <f ca="1">IFERROR(__xludf.DUMMYFUNCTION("IFERROR(VLOOKUP(E698&amp;F698,IMPORTRANGE(""https://docs.google.com/spreadsheets/d/1Uw7-A9f9R21vMXxHZFNpYNeKFtG8_yji4HS352LGlSQ/edit?pli=1#gid=0"",""1_ACUM!A4:S""),11,FALSE))"),"")</f>
        <v/>
      </c>
      <c r="AW681" s="42" t="str">
        <f ca="1">IFERROR(__xludf.DUMMYFUNCTION("IFERROR(VLOOKUP(F698,IMPORTRANGE(""https://docs.google.com/spreadsheets/d/1Kvs4KS76FHFqLFIZfrDMff4kP08nblUkihrxltoGBjg/edit#gid=934712705"",""ESENCIAL!A6:BG""),15,FALSE))"),"")</f>
        <v/>
      </c>
      <c r="AX681" s="21" t="str">
        <f ca="1">IFERROR(__xludf.DUMMYFUNCTION("IFERROR(VLOOKUP(E698&amp;F698,IMPORTRANGE(""https://docs.google.com/spreadsheets/d/1Uw7-A9f9R21vMXxHZFNpYNeKFtG8_yji4HS352LGlSQ/edit?pli=1#gid=0"",""1_ACUM!A4:S""),12,FALSE))"),"")</f>
        <v/>
      </c>
      <c r="AY681" s="43" t="str">
        <f ca="1">IFERROR(__xludf.DUMMYFUNCTION("IFERROR(VLOOKUP(E698&amp;F698,IMPORTRANGE(""https://docs.google.com/spreadsheets/d/1Uw7-A9f9R21vMXxHZFNpYNeKFtG8_yji4HS352LGlSQ/edit?pli=1#gid=0"",""1_ACUM!A4:S""),13,FALSE))"),"")</f>
        <v/>
      </c>
      <c r="AZ681" s="43" t="str">
        <f ca="1">IFERROR(__xludf.DUMMYFUNCTION("IFERROR(VLOOKUP(E698&amp;F698,IMPORTRANGE(""https://docs.google.com/spreadsheets/d/1Uw7-A9f9R21vMXxHZFNpYNeKFtG8_yji4HS352LGlSQ/edit?pli=1#gid=0"",""1_ACUM!A4:S""),14,FALSE))"),"")</f>
        <v/>
      </c>
      <c r="BA681" s="43" t="str">
        <f ca="1">IFERROR(__xludf.DUMMYFUNCTION("IFERROR(VLOOKUP(E698&amp;F698,IMPORTRANGE(""https://docs.google.com/spreadsheets/d/1Uw7-A9f9R21vMXxHZFNpYNeKFtG8_yji4HS352LGlSQ/edit?pli=1#gid=0"",""1_ACUM!A4:S""),15,FALSE))"),"")</f>
        <v/>
      </c>
      <c r="BB681" s="43" t="str">
        <f ca="1">IFERROR(__xludf.DUMMYFUNCTION("IFERROR(VLOOKUP(E698&amp;F698,IMPORTRANGE(""https://docs.google.com/spreadsheets/d/1Uw7-A9f9R21vMXxHZFNpYNeKFtG8_yji4HS352LGlSQ/edit?pli=1#gid=0"",""1_ACUM!A4:S""),16,FALSE))"),"")</f>
        <v/>
      </c>
      <c r="BC681" s="43" t="str">
        <f ca="1">IFERROR(__xludf.DUMMYFUNCTION("IFERROR(VLOOKUP(E698&amp;F698,IMPORTRANGE(""https://docs.google.com/spreadsheets/d/1Uw7-A9f9R21vMXxHZFNpYNeKFtG8_yji4HS352LGlSQ/edit?pli=1#gid=0"",""1_ACUM!A4:S""),17,FALSE))"),"")</f>
        <v/>
      </c>
      <c r="BD681" s="44" t="str">
        <f ca="1">IFERROR(__xludf.DUMMYFUNCTION("IFERROR(VLOOKUP(E698&amp;F698,IMPORTRANGE(""https://docs.google.com/spreadsheets/d/1Uw7-A9f9R21vMXxHZFNpYNeKFtG8_yji4HS352LGlSQ/edit?pli=1#gid=0"",""1_ACUM!A4:S""),18,FALSE))"),"")</f>
        <v/>
      </c>
      <c r="BE681" s="44" t="str">
        <f ca="1">IFERROR(__xludf.DUMMYFUNCTION("IFERROR(VLOOKUP(E698&amp;F698,IMPORTRANGE(""https://docs.google.com/spreadsheets/d/1Uw7-A9f9R21vMXxHZFNpYNeKFtG8_yji4HS352LGlSQ/edit?pli=1#gid=0"",""1_ACUM!A4:S""),19,FALSE))"),"")</f>
        <v/>
      </c>
      <c r="BF681" s="44" t="str">
        <f ca="1">IFERROR(__xludf.DUMMYFUNCTION("IFERROR(VLOOKUP(F698,IMPORTRANGE(""https://docs.google.com/spreadsheets/d/1Kvs4KS76FHFqLFIZfrDMff4kP08nblUkihrxltoGBjg/edit#gid=934712705"",""ESENCIAL!A6:BG""),5,FALSE))"),"")</f>
        <v/>
      </c>
      <c r="BG681" s="44" t="str">
        <f t="shared" si="41"/>
        <v/>
      </c>
      <c r="BH681" s="41" t="str">
        <f t="shared" si="42"/>
        <v/>
      </c>
      <c r="BI681" s="41" t="str">
        <f ca="1">IFERROR(__xludf.DUMMYFUNCTION("IFERROR(VLOOKUP(F698,IMPORTRANGE(""https://docs.google.com/spreadsheets/d/1Kvs4KS76FHFqLFIZfrDMff4kP08nblUkihrxltoGBjg/edit#gid=934712705"",""ESENCIAL!A6:BG""),18,FALSE))"),"")</f>
        <v/>
      </c>
      <c r="BJ681" s="19" t="str">
        <f t="shared" si="43"/>
        <v/>
      </c>
      <c r="BK681" s="41"/>
      <c r="BL681" s="41"/>
    </row>
    <row r="682" spans="1:64" ht="15">
      <c r="A682" s="4"/>
      <c r="B682" s="4"/>
      <c r="G682" s="5" t="str">
        <f ca="1">IFERROR(__xludf.DUMMYFUNCTION("IFERROR(VLOOKUP(F699,IMPORTRANGE(""https://docs.google.com/spreadsheets/d/1Kvs4KS76FHFqLFIZfrDMff4kP08nblUkihrxltoGBjg/edit#gid=934712705"",""ESENCIAL!A6:BG""),3,FALSE))"),"")</f>
        <v/>
      </c>
      <c r="H682" s="5" t="str">
        <f ca="1">IFERROR(__xludf.DUMMYFUNCTION("IFERROR(VLOOKUP(F699,IMPORTRANGE(""https://docs.google.com/spreadsheets/d/1Kvs4KS76FHFqLFIZfrDMff4kP08nblUkihrxltoGBjg/edit#gid=934712705"",""ESENCIAL!A6:BG""),8,FALSE))"),"")</f>
        <v/>
      </c>
      <c r="L682" s="287"/>
      <c r="S682"/>
      <c r="AU682" s="41" t="str">
        <f t="shared" si="40"/>
        <v/>
      </c>
      <c r="AV682" s="5" t="str">
        <f ca="1">IFERROR(__xludf.DUMMYFUNCTION("IFERROR(VLOOKUP(E699&amp;F699,IMPORTRANGE(""https://docs.google.com/spreadsheets/d/1Uw7-A9f9R21vMXxHZFNpYNeKFtG8_yji4HS352LGlSQ/edit?pli=1#gid=0"",""1_ACUM!A4:S""),11,FALSE))"),"")</f>
        <v/>
      </c>
      <c r="AW682" s="42" t="str">
        <f ca="1">IFERROR(__xludf.DUMMYFUNCTION("IFERROR(VLOOKUP(F699,IMPORTRANGE(""https://docs.google.com/spreadsheets/d/1Kvs4KS76FHFqLFIZfrDMff4kP08nblUkihrxltoGBjg/edit#gid=934712705"",""ESENCIAL!A6:BG""),15,FALSE))"),"")</f>
        <v/>
      </c>
      <c r="AX682" s="21" t="str">
        <f ca="1">IFERROR(__xludf.DUMMYFUNCTION("IFERROR(VLOOKUP(E699&amp;F699,IMPORTRANGE(""https://docs.google.com/spreadsheets/d/1Uw7-A9f9R21vMXxHZFNpYNeKFtG8_yji4HS352LGlSQ/edit?pli=1#gid=0"",""1_ACUM!A4:S""),12,FALSE))"),"")</f>
        <v/>
      </c>
      <c r="AY682" s="43" t="str">
        <f ca="1">IFERROR(__xludf.DUMMYFUNCTION("IFERROR(VLOOKUP(E699&amp;F699,IMPORTRANGE(""https://docs.google.com/spreadsheets/d/1Uw7-A9f9R21vMXxHZFNpYNeKFtG8_yji4HS352LGlSQ/edit?pli=1#gid=0"",""1_ACUM!A4:S""),13,FALSE))"),"")</f>
        <v/>
      </c>
      <c r="AZ682" s="43" t="str">
        <f ca="1">IFERROR(__xludf.DUMMYFUNCTION("IFERROR(VLOOKUP(E699&amp;F699,IMPORTRANGE(""https://docs.google.com/spreadsheets/d/1Uw7-A9f9R21vMXxHZFNpYNeKFtG8_yji4HS352LGlSQ/edit?pli=1#gid=0"",""1_ACUM!A4:S""),14,FALSE))"),"")</f>
        <v/>
      </c>
      <c r="BA682" s="43" t="str">
        <f ca="1">IFERROR(__xludf.DUMMYFUNCTION("IFERROR(VLOOKUP(E699&amp;F699,IMPORTRANGE(""https://docs.google.com/spreadsheets/d/1Uw7-A9f9R21vMXxHZFNpYNeKFtG8_yji4HS352LGlSQ/edit?pli=1#gid=0"",""1_ACUM!A4:S""),15,FALSE))"),"")</f>
        <v/>
      </c>
      <c r="BB682" s="43" t="str">
        <f ca="1">IFERROR(__xludf.DUMMYFUNCTION("IFERROR(VLOOKUP(E699&amp;F699,IMPORTRANGE(""https://docs.google.com/spreadsheets/d/1Uw7-A9f9R21vMXxHZFNpYNeKFtG8_yji4HS352LGlSQ/edit?pli=1#gid=0"",""1_ACUM!A4:S""),16,FALSE))"),"")</f>
        <v/>
      </c>
      <c r="BC682" s="43" t="str">
        <f ca="1">IFERROR(__xludf.DUMMYFUNCTION("IFERROR(VLOOKUP(E699&amp;F699,IMPORTRANGE(""https://docs.google.com/spreadsheets/d/1Uw7-A9f9R21vMXxHZFNpYNeKFtG8_yji4HS352LGlSQ/edit?pli=1#gid=0"",""1_ACUM!A4:S""),17,FALSE))"),"")</f>
        <v/>
      </c>
      <c r="BD682" s="44" t="str">
        <f ca="1">IFERROR(__xludf.DUMMYFUNCTION("IFERROR(VLOOKUP(E699&amp;F699,IMPORTRANGE(""https://docs.google.com/spreadsheets/d/1Uw7-A9f9R21vMXxHZFNpYNeKFtG8_yji4HS352LGlSQ/edit?pli=1#gid=0"",""1_ACUM!A4:S""),18,FALSE))"),"")</f>
        <v/>
      </c>
      <c r="BE682" s="44" t="str">
        <f ca="1">IFERROR(__xludf.DUMMYFUNCTION("IFERROR(VLOOKUP(E699&amp;F699,IMPORTRANGE(""https://docs.google.com/spreadsheets/d/1Uw7-A9f9R21vMXxHZFNpYNeKFtG8_yji4HS352LGlSQ/edit?pli=1#gid=0"",""1_ACUM!A4:S""),19,FALSE))"),"")</f>
        <v/>
      </c>
      <c r="BF682" s="44" t="str">
        <f ca="1">IFERROR(__xludf.DUMMYFUNCTION("IFERROR(VLOOKUP(F699,IMPORTRANGE(""https://docs.google.com/spreadsheets/d/1Kvs4KS76FHFqLFIZfrDMff4kP08nblUkihrxltoGBjg/edit#gid=934712705"",""ESENCIAL!A6:BG""),5,FALSE))"),"")</f>
        <v/>
      </c>
      <c r="BG682" s="44" t="str">
        <f t="shared" si="41"/>
        <v/>
      </c>
      <c r="BH682" s="41" t="str">
        <f t="shared" si="42"/>
        <v/>
      </c>
      <c r="BI682" s="41" t="str">
        <f ca="1">IFERROR(__xludf.DUMMYFUNCTION("IFERROR(VLOOKUP(F699,IMPORTRANGE(""https://docs.google.com/spreadsheets/d/1Kvs4KS76FHFqLFIZfrDMff4kP08nblUkihrxltoGBjg/edit#gid=934712705"",""ESENCIAL!A6:BG""),18,FALSE))"),"")</f>
        <v/>
      </c>
      <c r="BJ682" s="19" t="str">
        <f t="shared" si="43"/>
        <v/>
      </c>
      <c r="BK682" s="41"/>
      <c r="BL682" s="41"/>
    </row>
    <row r="683" spans="1:64" ht="15">
      <c r="A683" s="4"/>
      <c r="B683" s="4"/>
      <c r="G683" s="5" t="str">
        <f ca="1">IFERROR(__xludf.DUMMYFUNCTION("IFERROR(VLOOKUP(F700,IMPORTRANGE(""https://docs.google.com/spreadsheets/d/1Kvs4KS76FHFqLFIZfrDMff4kP08nblUkihrxltoGBjg/edit#gid=934712705"",""ESENCIAL!A6:BG""),3,FALSE))"),"")</f>
        <v/>
      </c>
      <c r="H683" s="5" t="str">
        <f ca="1">IFERROR(__xludf.DUMMYFUNCTION("IFERROR(VLOOKUP(F700,IMPORTRANGE(""https://docs.google.com/spreadsheets/d/1Kvs4KS76FHFqLFIZfrDMff4kP08nblUkihrxltoGBjg/edit#gid=934712705"",""ESENCIAL!A6:BG""),8,FALSE))"),"")</f>
        <v/>
      </c>
      <c r="L683" s="287"/>
      <c r="S683"/>
      <c r="AU683" s="41" t="str">
        <f t="shared" si="40"/>
        <v/>
      </c>
      <c r="AV683" s="5" t="str">
        <f ca="1">IFERROR(__xludf.DUMMYFUNCTION("IFERROR(VLOOKUP(E700&amp;F700,IMPORTRANGE(""https://docs.google.com/spreadsheets/d/1Uw7-A9f9R21vMXxHZFNpYNeKFtG8_yji4HS352LGlSQ/edit?pli=1#gid=0"",""1_ACUM!A4:S""),11,FALSE))"),"")</f>
        <v/>
      </c>
      <c r="AW683" s="42" t="str">
        <f ca="1">IFERROR(__xludf.DUMMYFUNCTION("IFERROR(VLOOKUP(F700,IMPORTRANGE(""https://docs.google.com/spreadsheets/d/1Kvs4KS76FHFqLFIZfrDMff4kP08nblUkihrxltoGBjg/edit#gid=934712705"",""ESENCIAL!A6:BG""),15,FALSE))"),"")</f>
        <v/>
      </c>
      <c r="AX683" s="21" t="str">
        <f ca="1">IFERROR(__xludf.DUMMYFUNCTION("IFERROR(VLOOKUP(E700&amp;F700,IMPORTRANGE(""https://docs.google.com/spreadsheets/d/1Uw7-A9f9R21vMXxHZFNpYNeKFtG8_yji4HS352LGlSQ/edit?pli=1#gid=0"",""1_ACUM!A4:S""),12,FALSE))"),"")</f>
        <v/>
      </c>
      <c r="AY683" s="43" t="str">
        <f ca="1">IFERROR(__xludf.DUMMYFUNCTION("IFERROR(VLOOKUP(E700&amp;F700,IMPORTRANGE(""https://docs.google.com/spreadsheets/d/1Uw7-A9f9R21vMXxHZFNpYNeKFtG8_yji4HS352LGlSQ/edit?pli=1#gid=0"",""1_ACUM!A4:S""),13,FALSE))"),"")</f>
        <v/>
      </c>
      <c r="AZ683" s="43" t="str">
        <f ca="1">IFERROR(__xludf.DUMMYFUNCTION("IFERROR(VLOOKUP(E700&amp;F700,IMPORTRANGE(""https://docs.google.com/spreadsheets/d/1Uw7-A9f9R21vMXxHZFNpYNeKFtG8_yji4HS352LGlSQ/edit?pli=1#gid=0"",""1_ACUM!A4:S""),14,FALSE))"),"")</f>
        <v/>
      </c>
      <c r="BA683" s="43" t="str">
        <f ca="1">IFERROR(__xludf.DUMMYFUNCTION("IFERROR(VLOOKUP(E700&amp;F700,IMPORTRANGE(""https://docs.google.com/spreadsheets/d/1Uw7-A9f9R21vMXxHZFNpYNeKFtG8_yji4HS352LGlSQ/edit?pli=1#gid=0"",""1_ACUM!A4:S""),15,FALSE))"),"")</f>
        <v/>
      </c>
      <c r="BB683" s="43" t="str">
        <f ca="1">IFERROR(__xludf.DUMMYFUNCTION("IFERROR(VLOOKUP(E700&amp;F700,IMPORTRANGE(""https://docs.google.com/spreadsheets/d/1Uw7-A9f9R21vMXxHZFNpYNeKFtG8_yji4HS352LGlSQ/edit?pli=1#gid=0"",""1_ACUM!A4:S""),16,FALSE))"),"")</f>
        <v/>
      </c>
      <c r="BC683" s="43" t="str">
        <f ca="1">IFERROR(__xludf.DUMMYFUNCTION("IFERROR(VLOOKUP(E700&amp;F700,IMPORTRANGE(""https://docs.google.com/spreadsheets/d/1Uw7-A9f9R21vMXxHZFNpYNeKFtG8_yji4HS352LGlSQ/edit?pli=1#gid=0"",""1_ACUM!A4:S""),17,FALSE))"),"")</f>
        <v/>
      </c>
      <c r="BD683" s="44" t="str">
        <f ca="1">IFERROR(__xludf.DUMMYFUNCTION("IFERROR(VLOOKUP(E700&amp;F700,IMPORTRANGE(""https://docs.google.com/spreadsheets/d/1Uw7-A9f9R21vMXxHZFNpYNeKFtG8_yji4HS352LGlSQ/edit?pli=1#gid=0"",""1_ACUM!A4:S""),18,FALSE))"),"")</f>
        <v/>
      </c>
      <c r="BE683" s="44" t="str">
        <f ca="1">IFERROR(__xludf.DUMMYFUNCTION("IFERROR(VLOOKUP(E700&amp;F700,IMPORTRANGE(""https://docs.google.com/spreadsheets/d/1Uw7-A9f9R21vMXxHZFNpYNeKFtG8_yji4HS352LGlSQ/edit?pli=1#gid=0"",""1_ACUM!A4:S""),19,FALSE))"),"")</f>
        <v/>
      </c>
      <c r="BF683" s="44" t="str">
        <f ca="1">IFERROR(__xludf.DUMMYFUNCTION("IFERROR(VLOOKUP(F700,IMPORTRANGE(""https://docs.google.com/spreadsheets/d/1Kvs4KS76FHFqLFIZfrDMff4kP08nblUkihrxltoGBjg/edit#gid=934712705"",""ESENCIAL!A6:BG""),5,FALSE))"),"")</f>
        <v/>
      </c>
      <c r="BG683" s="44" t="str">
        <f t="shared" si="41"/>
        <v/>
      </c>
      <c r="BH683" s="41" t="str">
        <f t="shared" si="42"/>
        <v/>
      </c>
      <c r="BI683" s="41" t="str">
        <f ca="1">IFERROR(__xludf.DUMMYFUNCTION("IFERROR(VLOOKUP(F700,IMPORTRANGE(""https://docs.google.com/spreadsheets/d/1Kvs4KS76FHFqLFIZfrDMff4kP08nblUkihrxltoGBjg/edit#gid=934712705"",""ESENCIAL!A6:BG""),18,FALSE))"),"")</f>
        <v/>
      </c>
      <c r="BJ683" s="19" t="str">
        <f t="shared" si="43"/>
        <v/>
      </c>
      <c r="BK683" s="41"/>
      <c r="BL683" s="41"/>
    </row>
    <row r="684" spans="1:64" ht="15">
      <c r="A684" s="4"/>
      <c r="B684" s="4"/>
      <c r="G684" s="5" t="str">
        <f ca="1">IFERROR(__xludf.DUMMYFUNCTION("IFERROR(VLOOKUP(F701,IMPORTRANGE(""https://docs.google.com/spreadsheets/d/1Kvs4KS76FHFqLFIZfrDMff4kP08nblUkihrxltoGBjg/edit#gid=934712705"",""ESENCIAL!A6:BG""),3,FALSE))"),"")</f>
        <v/>
      </c>
      <c r="H684" s="5" t="str">
        <f ca="1">IFERROR(__xludf.DUMMYFUNCTION("IFERROR(VLOOKUP(F701,IMPORTRANGE(""https://docs.google.com/spreadsheets/d/1Kvs4KS76FHFqLFIZfrDMff4kP08nblUkihrxltoGBjg/edit#gid=934712705"",""ESENCIAL!A6:BG""),8,FALSE))"),"")</f>
        <v/>
      </c>
      <c r="L684" s="287"/>
      <c r="S684"/>
      <c r="AU684" s="41" t="str">
        <f t="shared" si="40"/>
        <v/>
      </c>
      <c r="AV684" s="5" t="str">
        <f ca="1">IFERROR(__xludf.DUMMYFUNCTION("IFERROR(VLOOKUP(E701&amp;F701,IMPORTRANGE(""https://docs.google.com/spreadsheets/d/1Uw7-A9f9R21vMXxHZFNpYNeKFtG8_yji4HS352LGlSQ/edit?pli=1#gid=0"",""1_ACUM!A4:S""),11,FALSE))"),"")</f>
        <v/>
      </c>
      <c r="AW684" s="42" t="str">
        <f ca="1">IFERROR(__xludf.DUMMYFUNCTION("IFERROR(VLOOKUP(F701,IMPORTRANGE(""https://docs.google.com/spreadsheets/d/1Kvs4KS76FHFqLFIZfrDMff4kP08nblUkihrxltoGBjg/edit#gid=934712705"",""ESENCIAL!A6:BG""),15,FALSE))"),"")</f>
        <v/>
      </c>
      <c r="AX684" s="21" t="str">
        <f ca="1">IFERROR(__xludf.DUMMYFUNCTION("IFERROR(VLOOKUP(E701&amp;F701,IMPORTRANGE(""https://docs.google.com/spreadsheets/d/1Uw7-A9f9R21vMXxHZFNpYNeKFtG8_yji4HS352LGlSQ/edit?pli=1#gid=0"",""1_ACUM!A4:S""),12,FALSE))"),"")</f>
        <v/>
      </c>
      <c r="AY684" s="43" t="str">
        <f ca="1">IFERROR(__xludf.DUMMYFUNCTION("IFERROR(VLOOKUP(E701&amp;F701,IMPORTRANGE(""https://docs.google.com/spreadsheets/d/1Uw7-A9f9R21vMXxHZFNpYNeKFtG8_yji4HS352LGlSQ/edit?pli=1#gid=0"",""1_ACUM!A4:S""),13,FALSE))"),"")</f>
        <v/>
      </c>
      <c r="AZ684" s="43" t="str">
        <f ca="1">IFERROR(__xludf.DUMMYFUNCTION("IFERROR(VLOOKUP(E701&amp;F701,IMPORTRANGE(""https://docs.google.com/spreadsheets/d/1Uw7-A9f9R21vMXxHZFNpYNeKFtG8_yji4HS352LGlSQ/edit?pli=1#gid=0"",""1_ACUM!A4:S""),14,FALSE))"),"")</f>
        <v/>
      </c>
      <c r="BA684" s="43" t="str">
        <f ca="1">IFERROR(__xludf.DUMMYFUNCTION("IFERROR(VLOOKUP(E701&amp;F701,IMPORTRANGE(""https://docs.google.com/spreadsheets/d/1Uw7-A9f9R21vMXxHZFNpYNeKFtG8_yji4HS352LGlSQ/edit?pli=1#gid=0"",""1_ACUM!A4:S""),15,FALSE))"),"")</f>
        <v/>
      </c>
      <c r="BB684" s="43" t="str">
        <f ca="1">IFERROR(__xludf.DUMMYFUNCTION("IFERROR(VLOOKUP(E701&amp;F701,IMPORTRANGE(""https://docs.google.com/spreadsheets/d/1Uw7-A9f9R21vMXxHZFNpYNeKFtG8_yji4HS352LGlSQ/edit?pli=1#gid=0"",""1_ACUM!A4:S""),16,FALSE))"),"")</f>
        <v/>
      </c>
      <c r="BC684" s="43" t="str">
        <f ca="1">IFERROR(__xludf.DUMMYFUNCTION("IFERROR(VLOOKUP(E701&amp;F701,IMPORTRANGE(""https://docs.google.com/spreadsheets/d/1Uw7-A9f9R21vMXxHZFNpYNeKFtG8_yji4HS352LGlSQ/edit?pli=1#gid=0"",""1_ACUM!A4:S""),17,FALSE))"),"")</f>
        <v/>
      </c>
      <c r="BD684" s="44" t="str">
        <f ca="1">IFERROR(__xludf.DUMMYFUNCTION("IFERROR(VLOOKUP(E701&amp;F701,IMPORTRANGE(""https://docs.google.com/spreadsheets/d/1Uw7-A9f9R21vMXxHZFNpYNeKFtG8_yji4HS352LGlSQ/edit?pli=1#gid=0"",""1_ACUM!A4:S""),18,FALSE))"),"")</f>
        <v/>
      </c>
      <c r="BE684" s="44" t="str">
        <f ca="1">IFERROR(__xludf.DUMMYFUNCTION("IFERROR(VLOOKUP(E701&amp;F701,IMPORTRANGE(""https://docs.google.com/spreadsheets/d/1Uw7-A9f9R21vMXxHZFNpYNeKFtG8_yji4HS352LGlSQ/edit?pli=1#gid=0"",""1_ACUM!A4:S""),19,FALSE))"),"")</f>
        <v/>
      </c>
      <c r="BF684" s="44" t="str">
        <f ca="1">IFERROR(__xludf.DUMMYFUNCTION("IFERROR(VLOOKUP(F701,IMPORTRANGE(""https://docs.google.com/spreadsheets/d/1Kvs4KS76FHFqLFIZfrDMff4kP08nblUkihrxltoGBjg/edit#gid=934712705"",""ESENCIAL!A6:BG""),5,FALSE))"),"")</f>
        <v/>
      </c>
      <c r="BG684" s="44" t="str">
        <f t="shared" si="41"/>
        <v/>
      </c>
      <c r="BH684" s="41" t="str">
        <f t="shared" si="42"/>
        <v/>
      </c>
      <c r="BI684" s="41" t="str">
        <f ca="1">IFERROR(__xludf.DUMMYFUNCTION("IFERROR(VLOOKUP(F701,IMPORTRANGE(""https://docs.google.com/spreadsheets/d/1Kvs4KS76FHFqLFIZfrDMff4kP08nblUkihrxltoGBjg/edit#gid=934712705"",""ESENCIAL!A6:BG""),18,FALSE))"),"")</f>
        <v/>
      </c>
      <c r="BJ684" s="19" t="str">
        <f t="shared" si="43"/>
        <v/>
      </c>
      <c r="BK684" s="41"/>
      <c r="BL684" s="41"/>
    </row>
    <row r="685" spans="1:64" ht="15">
      <c r="A685" s="4"/>
      <c r="B685" s="4"/>
      <c r="G685" s="5" t="str">
        <f ca="1">IFERROR(__xludf.DUMMYFUNCTION("IFERROR(VLOOKUP(F702,IMPORTRANGE(""https://docs.google.com/spreadsheets/d/1Kvs4KS76FHFqLFIZfrDMff4kP08nblUkihrxltoGBjg/edit#gid=934712705"",""ESENCIAL!A6:BG""),3,FALSE))"),"")</f>
        <v/>
      </c>
      <c r="H685" s="5" t="str">
        <f ca="1">IFERROR(__xludf.DUMMYFUNCTION("IFERROR(VLOOKUP(F702,IMPORTRANGE(""https://docs.google.com/spreadsheets/d/1Kvs4KS76FHFqLFIZfrDMff4kP08nblUkihrxltoGBjg/edit#gid=934712705"",""ESENCIAL!A6:BG""),8,FALSE))"),"")</f>
        <v/>
      </c>
      <c r="L685" s="287"/>
      <c r="S685"/>
      <c r="AU685" s="41" t="str">
        <f t="shared" si="40"/>
        <v/>
      </c>
      <c r="AV685" s="5" t="str">
        <f ca="1">IFERROR(__xludf.DUMMYFUNCTION("IFERROR(VLOOKUP(E702&amp;F702,IMPORTRANGE(""https://docs.google.com/spreadsheets/d/1Uw7-A9f9R21vMXxHZFNpYNeKFtG8_yji4HS352LGlSQ/edit?pli=1#gid=0"",""1_ACUM!A4:S""),11,FALSE))"),"")</f>
        <v/>
      </c>
      <c r="AW685" s="42" t="str">
        <f ca="1">IFERROR(__xludf.DUMMYFUNCTION("IFERROR(VLOOKUP(F702,IMPORTRANGE(""https://docs.google.com/spreadsheets/d/1Kvs4KS76FHFqLFIZfrDMff4kP08nblUkihrxltoGBjg/edit#gid=934712705"",""ESENCIAL!A6:BG""),15,FALSE))"),"")</f>
        <v/>
      </c>
      <c r="AX685" s="21" t="str">
        <f ca="1">IFERROR(__xludf.DUMMYFUNCTION("IFERROR(VLOOKUP(E702&amp;F702,IMPORTRANGE(""https://docs.google.com/spreadsheets/d/1Uw7-A9f9R21vMXxHZFNpYNeKFtG8_yji4HS352LGlSQ/edit?pli=1#gid=0"",""1_ACUM!A4:S""),12,FALSE))"),"")</f>
        <v/>
      </c>
      <c r="AY685" s="43" t="str">
        <f ca="1">IFERROR(__xludf.DUMMYFUNCTION("IFERROR(VLOOKUP(E702&amp;F702,IMPORTRANGE(""https://docs.google.com/spreadsheets/d/1Uw7-A9f9R21vMXxHZFNpYNeKFtG8_yji4HS352LGlSQ/edit?pli=1#gid=0"",""1_ACUM!A4:S""),13,FALSE))"),"")</f>
        <v/>
      </c>
      <c r="AZ685" s="43" t="str">
        <f ca="1">IFERROR(__xludf.DUMMYFUNCTION("IFERROR(VLOOKUP(E702&amp;F702,IMPORTRANGE(""https://docs.google.com/spreadsheets/d/1Uw7-A9f9R21vMXxHZFNpYNeKFtG8_yji4HS352LGlSQ/edit?pli=1#gid=0"",""1_ACUM!A4:S""),14,FALSE))"),"")</f>
        <v/>
      </c>
      <c r="BA685" s="43" t="str">
        <f ca="1">IFERROR(__xludf.DUMMYFUNCTION("IFERROR(VLOOKUP(E702&amp;F702,IMPORTRANGE(""https://docs.google.com/spreadsheets/d/1Uw7-A9f9R21vMXxHZFNpYNeKFtG8_yji4HS352LGlSQ/edit?pli=1#gid=0"",""1_ACUM!A4:S""),15,FALSE))"),"")</f>
        <v/>
      </c>
      <c r="BB685" s="43" t="str">
        <f ca="1">IFERROR(__xludf.DUMMYFUNCTION("IFERROR(VLOOKUP(E702&amp;F702,IMPORTRANGE(""https://docs.google.com/spreadsheets/d/1Uw7-A9f9R21vMXxHZFNpYNeKFtG8_yji4HS352LGlSQ/edit?pli=1#gid=0"",""1_ACUM!A4:S""),16,FALSE))"),"")</f>
        <v/>
      </c>
      <c r="BC685" s="43" t="str">
        <f ca="1">IFERROR(__xludf.DUMMYFUNCTION("IFERROR(VLOOKUP(E702&amp;F702,IMPORTRANGE(""https://docs.google.com/spreadsheets/d/1Uw7-A9f9R21vMXxHZFNpYNeKFtG8_yji4HS352LGlSQ/edit?pli=1#gid=0"",""1_ACUM!A4:S""),17,FALSE))"),"")</f>
        <v/>
      </c>
      <c r="BD685" s="44" t="str">
        <f ca="1">IFERROR(__xludf.DUMMYFUNCTION("IFERROR(VLOOKUP(E702&amp;F702,IMPORTRANGE(""https://docs.google.com/spreadsheets/d/1Uw7-A9f9R21vMXxHZFNpYNeKFtG8_yji4HS352LGlSQ/edit?pli=1#gid=0"",""1_ACUM!A4:S""),18,FALSE))"),"")</f>
        <v/>
      </c>
      <c r="BE685" s="44" t="str">
        <f ca="1">IFERROR(__xludf.DUMMYFUNCTION("IFERROR(VLOOKUP(E702&amp;F702,IMPORTRANGE(""https://docs.google.com/spreadsheets/d/1Uw7-A9f9R21vMXxHZFNpYNeKFtG8_yji4HS352LGlSQ/edit?pli=1#gid=0"",""1_ACUM!A4:S""),19,FALSE))"),"")</f>
        <v/>
      </c>
      <c r="BF685" s="44" t="str">
        <f ca="1">IFERROR(__xludf.DUMMYFUNCTION("IFERROR(VLOOKUP(F702,IMPORTRANGE(""https://docs.google.com/spreadsheets/d/1Kvs4KS76FHFqLFIZfrDMff4kP08nblUkihrxltoGBjg/edit#gid=934712705"",""ESENCIAL!A6:BG""),5,FALSE))"),"")</f>
        <v/>
      </c>
      <c r="BG685" s="44" t="str">
        <f t="shared" si="41"/>
        <v/>
      </c>
      <c r="BH685" s="41" t="str">
        <f t="shared" si="42"/>
        <v/>
      </c>
      <c r="BI685" s="41" t="str">
        <f ca="1">IFERROR(__xludf.DUMMYFUNCTION("IFERROR(VLOOKUP(F702,IMPORTRANGE(""https://docs.google.com/spreadsheets/d/1Kvs4KS76FHFqLFIZfrDMff4kP08nblUkihrxltoGBjg/edit#gid=934712705"",""ESENCIAL!A6:BG""),18,FALSE))"),"")</f>
        <v/>
      </c>
      <c r="BJ685" s="19" t="str">
        <f t="shared" si="43"/>
        <v/>
      </c>
      <c r="BK685" s="41"/>
      <c r="BL685" s="41"/>
    </row>
    <row r="686" spans="1:64" ht="15">
      <c r="A686" s="4"/>
      <c r="B686" s="4"/>
      <c r="G686" s="5" t="str">
        <f ca="1">IFERROR(__xludf.DUMMYFUNCTION("IFERROR(VLOOKUP(F703,IMPORTRANGE(""https://docs.google.com/spreadsheets/d/1Kvs4KS76FHFqLFIZfrDMff4kP08nblUkihrxltoGBjg/edit#gid=934712705"",""ESENCIAL!A6:BG""),3,FALSE))"),"")</f>
        <v/>
      </c>
      <c r="H686" s="5" t="str">
        <f ca="1">IFERROR(__xludf.DUMMYFUNCTION("IFERROR(VLOOKUP(F703,IMPORTRANGE(""https://docs.google.com/spreadsheets/d/1Kvs4KS76FHFqLFIZfrDMff4kP08nblUkihrxltoGBjg/edit#gid=934712705"",""ESENCIAL!A6:BG""),8,FALSE))"),"")</f>
        <v/>
      </c>
      <c r="L686" s="287"/>
      <c r="S686"/>
      <c r="AU686" s="41" t="str">
        <f t="shared" si="40"/>
        <v/>
      </c>
      <c r="AV686" s="5" t="str">
        <f ca="1">IFERROR(__xludf.DUMMYFUNCTION("IFERROR(VLOOKUP(E703&amp;F703,IMPORTRANGE(""https://docs.google.com/spreadsheets/d/1Uw7-A9f9R21vMXxHZFNpYNeKFtG8_yji4HS352LGlSQ/edit?pli=1#gid=0"",""1_ACUM!A4:S""),11,FALSE))"),"")</f>
        <v/>
      </c>
      <c r="AW686" s="42" t="str">
        <f ca="1">IFERROR(__xludf.DUMMYFUNCTION("IFERROR(VLOOKUP(F703,IMPORTRANGE(""https://docs.google.com/spreadsheets/d/1Kvs4KS76FHFqLFIZfrDMff4kP08nblUkihrxltoGBjg/edit#gid=934712705"",""ESENCIAL!A6:BG""),15,FALSE))"),"")</f>
        <v/>
      </c>
      <c r="AX686" s="21" t="str">
        <f ca="1">IFERROR(__xludf.DUMMYFUNCTION("IFERROR(VLOOKUP(E703&amp;F703,IMPORTRANGE(""https://docs.google.com/spreadsheets/d/1Uw7-A9f9R21vMXxHZFNpYNeKFtG8_yji4HS352LGlSQ/edit?pli=1#gid=0"",""1_ACUM!A4:S""),12,FALSE))"),"")</f>
        <v/>
      </c>
      <c r="AY686" s="43" t="str">
        <f ca="1">IFERROR(__xludf.DUMMYFUNCTION("IFERROR(VLOOKUP(E703&amp;F703,IMPORTRANGE(""https://docs.google.com/spreadsheets/d/1Uw7-A9f9R21vMXxHZFNpYNeKFtG8_yji4HS352LGlSQ/edit?pli=1#gid=0"",""1_ACUM!A4:S""),13,FALSE))"),"")</f>
        <v/>
      </c>
      <c r="AZ686" s="43" t="str">
        <f ca="1">IFERROR(__xludf.DUMMYFUNCTION("IFERROR(VLOOKUP(E703&amp;F703,IMPORTRANGE(""https://docs.google.com/spreadsheets/d/1Uw7-A9f9R21vMXxHZFNpYNeKFtG8_yji4HS352LGlSQ/edit?pli=1#gid=0"",""1_ACUM!A4:S""),14,FALSE))"),"")</f>
        <v/>
      </c>
      <c r="BA686" s="43" t="str">
        <f ca="1">IFERROR(__xludf.DUMMYFUNCTION("IFERROR(VLOOKUP(E703&amp;F703,IMPORTRANGE(""https://docs.google.com/spreadsheets/d/1Uw7-A9f9R21vMXxHZFNpYNeKFtG8_yji4HS352LGlSQ/edit?pli=1#gid=0"",""1_ACUM!A4:S""),15,FALSE))"),"")</f>
        <v/>
      </c>
      <c r="BB686" s="43" t="str">
        <f ca="1">IFERROR(__xludf.DUMMYFUNCTION("IFERROR(VLOOKUP(E703&amp;F703,IMPORTRANGE(""https://docs.google.com/spreadsheets/d/1Uw7-A9f9R21vMXxHZFNpYNeKFtG8_yji4HS352LGlSQ/edit?pli=1#gid=0"",""1_ACUM!A4:S""),16,FALSE))"),"")</f>
        <v/>
      </c>
      <c r="BC686" s="43" t="str">
        <f ca="1">IFERROR(__xludf.DUMMYFUNCTION("IFERROR(VLOOKUP(E703&amp;F703,IMPORTRANGE(""https://docs.google.com/spreadsheets/d/1Uw7-A9f9R21vMXxHZFNpYNeKFtG8_yji4HS352LGlSQ/edit?pli=1#gid=0"",""1_ACUM!A4:S""),17,FALSE))"),"")</f>
        <v/>
      </c>
      <c r="BD686" s="44" t="str">
        <f ca="1">IFERROR(__xludf.DUMMYFUNCTION("IFERROR(VLOOKUP(E703&amp;F703,IMPORTRANGE(""https://docs.google.com/spreadsheets/d/1Uw7-A9f9R21vMXxHZFNpYNeKFtG8_yji4HS352LGlSQ/edit?pli=1#gid=0"",""1_ACUM!A4:S""),18,FALSE))"),"")</f>
        <v/>
      </c>
      <c r="BE686" s="44" t="str">
        <f ca="1">IFERROR(__xludf.DUMMYFUNCTION("IFERROR(VLOOKUP(E703&amp;F703,IMPORTRANGE(""https://docs.google.com/spreadsheets/d/1Uw7-A9f9R21vMXxHZFNpYNeKFtG8_yji4HS352LGlSQ/edit?pli=1#gid=0"",""1_ACUM!A4:S""),19,FALSE))"),"")</f>
        <v/>
      </c>
      <c r="BF686" s="44" t="str">
        <f ca="1">IFERROR(__xludf.DUMMYFUNCTION("IFERROR(VLOOKUP(F703,IMPORTRANGE(""https://docs.google.com/spreadsheets/d/1Kvs4KS76FHFqLFIZfrDMff4kP08nblUkihrxltoGBjg/edit#gid=934712705"",""ESENCIAL!A6:BG""),5,FALSE))"),"")</f>
        <v/>
      </c>
      <c r="BG686" s="44" t="str">
        <f t="shared" si="41"/>
        <v/>
      </c>
      <c r="BH686" s="41" t="str">
        <f t="shared" si="42"/>
        <v/>
      </c>
      <c r="BI686" s="41" t="str">
        <f ca="1">IFERROR(__xludf.DUMMYFUNCTION("IFERROR(VLOOKUP(F703,IMPORTRANGE(""https://docs.google.com/spreadsheets/d/1Kvs4KS76FHFqLFIZfrDMff4kP08nblUkihrxltoGBjg/edit#gid=934712705"",""ESENCIAL!A6:BG""),18,FALSE))"),"")</f>
        <v/>
      </c>
      <c r="BJ686" s="19" t="str">
        <f t="shared" si="43"/>
        <v/>
      </c>
      <c r="BK686" s="41"/>
      <c r="BL686" s="41"/>
    </row>
    <row r="687" spans="1:64" ht="15">
      <c r="A687" s="4"/>
      <c r="B687" s="4"/>
      <c r="G687" s="5" t="str">
        <f ca="1">IFERROR(__xludf.DUMMYFUNCTION("IFERROR(VLOOKUP(F704,IMPORTRANGE(""https://docs.google.com/spreadsheets/d/1Kvs4KS76FHFqLFIZfrDMff4kP08nblUkihrxltoGBjg/edit#gid=934712705"",""ESENCIAL!A6:BG""),3,FALSE))"),"")</f>
        <v/>
      </c>
      <c r="H687" s="5" t="str">
        <f ca="1">IFERROR(__xludf.DUMMYFUNCTION("IFERROR(VLOOKUP(F704,IMPORTRANGE(""https://docs.google.com/spreadsheets/d/1Kvs4KS76FHFqLFIZfrDMff4kP08nblUkihrxltoGBjg/edit#gid=934712705"",""ESENCIAL!A6:BG""),8,FALSE))"),"")</f>
        <v/>
      </c>
      <c r="L687" s="287"/>
      <c r="S687"/>
      <c r="AU687" s="41" t="str">
        <f t="shared" si="40"/>
        <v/>
      </c>
      <c r="AV687" s="5" t="str">
        <f ca="1">IFERROR(__xludf.DUMMYFUNCTION("IFERROR(VLOOKUP(E704&amp;F704,IMPORTRANGE(""https://docs.google.com/spreadsheets/d/1Uw7-A9f9R21vMXxHZFNpYNeKFtG8_yji4HS352LGlSQ/edit?pli=1#gid=0"",""1_ACUM!A4:S""),11,FALSE))"),"")</f>
        <v/>
      </c>
      <c r="AW687" s="42" t="str">
        <f ca="1">IFERROR(__xludf.DUMMYFUNCTION("IFERROR(VLOOKUP(F704,IMPORTRANGE(""https://docs.google.com/spreadsheets/d/1Kvs4KS76FHFqLFIZfrDMff4kP08nblUkihrxltoGBjg/edit#gid=934712705"",""ESENCIAL!A6:BG""),15,FALSE))"),"")</f>
        <v/>
      </c>
      <c r="AX687" s="21" t="str">
        <f ca="1">IFERROR(__xludf.DUMMYFUNCTION("IFERROR(VLOOKUP(E704&amp;F704,IMPORTRANGE(""https://docs.google.com/spreadsheets/d/1Uw7-A9f9R21vMXxHZFNpYNeKFtG8_yji4HS352LGlSQ/edit?pli=1#gid=0"",""1_ACUM!A4:S""),12,FALSE))"),"")</f>
        <v/>
      </c>
      <c r="AY687" s="43" t="str">
        <f ca="1">IFERROR(__xludf.DUMMYFUNCTION("IFERROR(VLOOKUP(E704&amp;F704,IMPORTRANGE(""https://docs.google.com/spreadsheets/d/1Uw7-A9f9R21vMXxHZFNpYNeKFtG8_yji4HS352LGlSQ/edit?pli=1#gid=0"",""1_ACUM!A4:S""),13,FALSE))"),"")</f>
        <v/>
      </c>
      <c r="AZ687" s="43" t="str">
        <f ca="1">IFERROR(__xludf.DUMMYFUNCTION("IFERROR(VLOOKUP(E704&amp;F704,IMPORTRANGE(""https://docs.google.com/spreadsheets/d/1Uw7-A9f9R21vMXxHZFNpYNeKFtG8_yji4HS352LGlSQ/edit?pli=1#gid=0"",""1_ACUM!A4:S""),14,FALSE))"),"")</f>
        <v/>
      </c>
      <c r="BA687" s="43" t="str">
        <f ca="1">IFERROR(__xludf.DUMMYFUNCTION("IFERROR(VLOOKUP(E704&amp;F704,IMPORTRANGE(""https://docs.google.com/spreadsheets/d/1Uw7-A9f9R21vMXxHZFNpYNeKFtG8_yji4HS352LGlSQ/edit?pli=1#gid=0"",""1_ACUM!A4:S""),15,FALSE))"),"")</f>
        <v/>
      </c>
      <c r="BB687" s="43" t="str">
        <f ca="1">IFERROR(__xludf.DUMMYFUNCTION("IFERROR(VLOOKUP(E704&amp;F704,IMPORTRANGE(""https://docs.google.com/spreadsheets/d/1Uw7-A9f9R21vMXxHZFNpYNeKFtG8_yji4HS352LGlSQ/edit?pli=1#gid=0"",""1_ACUM!A4:S""),16,FALSE))"),"")</f>
        <v/>
      </c>
      <c r="BC687" s="43" t="str">
        <f ca="1">IFERROR(__xludf.DUMMYFUNCTION("IFERROR(VLOOKUP(E704&amp;F704,IMPORTRANGE(""https://docs.google.com/spreadsheets/d/1Uw7-A9f9R21vMXxHZFNpYNeKFtG8_yji4HS352LGlSQ/edit?pli=1#gid=0"",""1_ACUM!A4:S""),17,FALSE))"),"")</f>
        <v/>
      </c>
      <c r="BD687" s="44" t="str">
        <f ca="1">IFERROR(__xludf.DUMMYFUNCTION("IFERROR(VLOOKUP(E704&amp;F704,IMPORTRANGE(""https://docs.google.com/spreadsheets/d/1Uw7-A9f9R21vMXxHZFNpYNeKFtG8_yji4HS352LGlSQ/edit?pli=1#gid=0"",""1_ACUM!A4:S""),18,FALSE))"),"")</f>
        <v/>
      </c>
      <c r="BE687" s="44" t="str">
        <f ca="1">IFERROR(__xludf.DUMMYFUNCTION("IFERROR(VLOOKUP(E704&amp;F704,IMPORTRANGE(""https://docs.google.com/spreadsheets/d/1Uw7-A9f9R21vMXxHZFNpYNeKFtG8_yji4HS352LGlSQ/edit?pli=1#gid=0"",""1_ACUM!A4:S""),19,FALSE))"),"")</f>
        <v/>
      </c>
      <c r="BF687" s="44" t="str">
        <f ca="1">IFERROR(__xludf.DUMMYFUNCTION("IFERROR(VLOOKUP(F704,IMPORTRANGE(""https://docs.google.com/spreadsheets/d/1Kvs4KS76FHFqLFIZfrDMff4kP08nblUkihrxltoGBjg/edit#gid=934712705"",""ESENCIAL!A6:BG""),5,FALSE))"),"")</f>
        <v/>
      </c>
      <c r="BG687" s="44" t="str">
        <f t="shared" si="41"/>
        <v/>
      </c>
      <c r="BH687" s="41" t="str">
        <f t="shared" si="42"/>
        <v/>
      </c>
      <c r="BI687" s="41" t="str">
        <f ca="1">IFERROR(__xludf.DUMMYFUNCTION("IFERROR(VLOOKUP(F704,IMPORTRANGE(""https://docs.google.com/spreadsheets/d/1Kvs4KS76FHFqLFIZfrDMff4kP08nblUkihrxltoGBjg/edit#gid=934712705"",""ESENCIAL!A6:BG""),18,FALSE))"),"")</f>
        <v/>
      </c>
      <c r="BJ687" s="19" t="str">
        <f t="shared" si="43"/>
        <v/>
      </c>
      <c r="BK687" s="41"/>
      <c r="BL687" s="41"/>
    </row>
    <row r="688" spans="1:64" ht="15">
      <c r="A688" s="4"/>
      <c r="B688" s="4"/>
      <c r="G688" s="5" t="str">
        <f ca="1">IFERROR(__xludf.DUMMYFUNCTION("IFERROR(VLOOKUP(F705,IMPORTRANGE(""https://docs.google.com/spreadsheets/d/1Kvs4KS76FHFqLFIZfrDMff4kP08nblUkihrxltoGBjg/edit#gid=934712705"",""ESENCIAL!A6:BG""),3,FALSE))"),"")</f>
        <v/>
      </c>
      <c r="H688" s="5" t="str">
        <f ca="1">IFERROR(__xludf.DUMMYFUNCTION("IFERROR(VLOOKUP(F705,IMPORTRANGE(""https://docs.google.com/spreadsheets/d/1Kvs4KS76FHFqLFIZfrDMff4kP08nblUkihrxltoGBjg/edit#gid=934712705"",""ESENCIAL!A6:BG""),8,FALSE))"),"")</f>
        <v/>
      </c>
      <c r="L688" s="287"/>
      <c r="S688"/>
      <c r="AU688" s="41" t="str">
        <f t="shared" si="40"/>
        <v/>
      </c>
      <c r="AV688" s="5" t="str">
        <f ca="1">IFERROR(__xludf.DUMMYFUNCTION("IFERROR(VLOOKUP(E705&amp;F705,IMPORTRANGE(""https://docs.google.com/spreadsheets/d/1Uw7-A9f9R21vMXxHZFNpYNeKFtG8_yji4HS352LGlSQ/edit?pli=1#gid=0"",""1_ACUM!A4:S""),11,FALSE))"),"")</f>
        <v/>
      </c>
      <c r="AW688" s="42" t="str">
        <f ca="1">IFERROR(__xludf.DUMMYFUNCTION("IFERROR(VLOOKUP(F705,IMPORTRANGE(""https://docs.google.com/spreadsheets/d/1Kvs4KS76FHFqLFIZfrDMff4kP08nblUkihrxltoGBjg/edit#gid=934712705"",""ESENCIAL!A6:BG""),15,FALSE))"),"")</f>
        <v/>
      </c>
      <c r="AX688" s="21" t="str">
        <f ca="1">IFERROR(__xludf.DUMMYFUNCTION("IFERROR(VLOOKUP(E705&amp;F705,IMPORTRANGE(""https://docs.google.com/spreadsheets/d/1Uw7-A9f9R21vMXxHZFNpYNeKFtG8_yji4HS352LGlSQ/edit?pli=1#gid=0"",""1_ACUM!A4:S""),12,FALSE))"),"")</f>
        <v/>
      </c>
      <c r="AY688" s="43" t="str">
        <f ca="1">IFERROR(__xludf.DUMMYFUNCTION("IFERROR(VLOOKUP(E705&amp;F705,IMPORTRANGE(""https://docs.google.com/spreadsheets/d/1Uw7-A9f9R21vMXxHZFNpYNeKFtG8_yji4HS352LGlSQ/edit?pli=1#gid=0"",""1_ACUM!A4:S""),13,FALSE))"),"")</f>
        <v/>
      </c>
      <c r="AZ688" s="43" t="str">
        <f ca="1">IFERROR(__xludf.DUMMYFUNCTION("IFERROR(VLOOKUP(E705&amp;F705,IMPORTRANGE(""https://docs.google.com/spreadsheets/d/1Uw7-A9f9R21vMXxHZFNpYNeKFtG8_yji4HS352LGlSQ/edit?pli=1#gid=0"",""1_ACUM!A4:S""),14,FALSE))"),"")</f>
        <v/>
      </c>
      <c r="BA688" s="43" t="str">
        <f ca="1">IFERROR(__xludf.DUMMYFUNCTION("IFERROR(VLOOKUP(E705&amp;F705,IMPORTRANGE(""https://docs.google.com/spreadsheets/d/1Uw7-A9f9R21vMXxHZFNpYNeKFtG8_yji4HS352LGlSQ/edit?pli=1#gid=0"",""1_ACUM!A4:S""),15,FALSE))"),"")</f>
        <v/>
      </c>
      <c r="BB688" s="43" t="str">
        <f ca="1">IFERROR(__xludf.DUMMYFUNCTION("IFERROR(VLOOKUP(E705&amp;F705,IMPORTRANGE(""https://docs.google.com/spreadsheets/d/1Uw7-A9f9R21vMXxHZFNpYNeKFtG8_yji4HS352LGlSQ/edit?pli=1#gid=0"",""1_ACUM!A4:S""),16,FALSE))"),"")</f>
        <v/>
      </c>
      <c r="BC688" s="43" t="str">
        <f ca="1">IFERROR(__xludf.DUMMYFUNCTION("IFERROR(VLOOKUP(E705&amp;F705,IMPORTRANGE(""https://docs.google.com/spreadsheets/d/1Uw7-A9f9R21vMXxHZFNpYNeKFtG8_yji4HS352LGlSQ/edit?pli=1#gid=0"",""1_ACUM!A4:S""),17,FALSE))"),"")</f>
        <v/>
      </c>
      <c r="BD688" s="44" t="str">
        <f ca="1">IFERROR(__xludf.DUMMYFUNCTION("IFERROR(VLOOKUP(E705&amp;F705,IMPORTRANGE(""https://docs.google.com/spreadsheets/d/1Uw7-A9f9R21vMXxHZFNpYNeKFtG8_yji4HS352LGlSQ/edit?pli=1#gid=0"",""1_ACUM!A4:S""),18,FALSE))"),"")</f>
        <v/>
      </c>
      <c r="BE688" s="44" t="str">
        <f ca="1">IFERROR(__xludf.DUMMYFUNCTION("IFERROR(VLOOKUP(E705&amp;F705,IMPORTRANGE(""https://docs.google.com/spreadsheets/d/1Uw7-A9f9R21vMXxHZFNpYNeKFtG8_yji4HS352LGlSQ/edit?pli=1#gid=0"",""1_ACUM!A4:S""),19,FALSE))"),"")</f>
        <v/>
      </c>
      <c r="BF688" s="44" t="str">
        <f ca="1">IFERROR(__xludf.DUMMYFUNCTION("IFERROR(VLOOKUP(F705,IMPORTRANGE(""https://docs.google.com/spreadsheets/d/1Kvs4KS76FHFqLFIZfrDMff4kP08nblUkihrxltoGBjg/edit#gid=934712705"",""ESENCIAL!A6:BG""),5,FALSE))"),"")</f>
        <v/>
      </c>
      <c r="BG688" s="44" t="str">
        <f t="shared" si="41"/>
        <v/>
      </c>
      <c r="BH688" s="41" t="str">
        <f t="shared" si="42"/>
        <v/>
      </c>
      <c r="BI688" s="41" t="str">
        <f ca="1">IFERROR(__xludf.DUMMYFUNCTION("IFERROR(VLOOKUP(F705,IMPORTRANGE(""https://docs.google.com/spreadsheets/d/1Kvs4KS76FHFqLFIZfrDMff4kP08nblUkihrxltoGBjg/edit#gid=934712705"",""ESENCIAL!A6:BG""),18,FALSE))"),"")</f>
        <v/>
      </c>
      <c r="BJ688" s="19" t="str">
        <f t="shared" si="43"/>
        <v/>
      </c>
      <c r="BK688" s="41"/>
      <c r="BL688" s="41"/>
    </row>
    <row r="689" spans="1:64" ht="15">
      <c r="A689" s="4"/>
      <c r="B689" s="4"/>
      <c r="G689" s="5" t="str">
        <f ca="1">IFERROR(__xludf.DUMMYFUNCTION("IFERROR(VLOOKUP(F706,IMPORTRANGE(""https://docs.google.com/spreadsheets/d/1Kvs4KS76FHFqLFIZfrDMff4kP08nblUkihrxltoGBjg/edit#gid=934712705"",""ESENCIAL!A6:BG""),3,FALSE))"),"")</f>
        <v/>
      </c>
      <c r="H689" s="5" t="str">
        <f ca="1">IFERROR(__xludf.DUMMYFUNCTION("IFERROR(VLOOKUP(F706,IMPORTRANGE(""https://docs.google.com/spreadsheets/d/1Kvs4KS76FHFqLFIZfrDMff4kP08nblUkihrxltoGBjg/edit#gid=934712705"",""ESENCIAL!A6:BG""),8,FALSE))"),"")</f>
        <v/>
      </c>
      <c r="L689" s="287"/>
      <c r="S689"/>
      <c r="AU689" s="41" t="str">
        <f t="shared" si="40"/>
        <v/>
      </c>
      <c r="AV689" s="5" t="str">
        <f ca="1">IFERROR(__xludf.DUMMYFUNCTION("IFERROR(VLOOKUP(E706&amp;F706,IMPORTRANGE(""https://docs.google.com/spreadsheets/d/1Uw7-A9f9R21vMXxHZFNpYNeKFtG8_yji4HS352LGlSQ/edit?pli=1#gid=0"",""1_ACUM!A4:S""),11,FALSE))"),"")</f>
        <v/>
      </c>
      <c r="AW689" s="42" t="str">
        <f ca="1">IFERROR(__xludf.DUMMYFUNCTION("IFERROR(VLOOKUP(F706,IMPORTRANGE(""https://docs.google.com/spreadsheets/d/1Kvs4KS76FHFqLFIZfrDMff4kP08nblUkihrxltoGBjg/edit#gid=934712705"",""ESENCIAL!A6:BG""),15,FALSE))"),"")</f>
        <v/>
      </c>
      <c r="AX689" s="21" t="str">
        <f ca="1">IFERROR(__xludf.DUMMYFUNCTION("IFERROR(VLOOKUP(E706&amp;F706,IMPORTRANGE(""https://docs.google.com/spreadsheets/d/1Uw7-A9f9R21vMXxHZFNpYNeKFtG8_yji4HS352LGlSQ/edit?pli=1#gid=0"",""1_ACUM!A4:S""),12,FALSE))"),"")</f>
        <v/>
      </c>
      <c r="AY689" s="43" t="str">
        <f ca="1">IFERROR(__xludf.DUMMYFUNCTION("IFERROR(VLOOKUP(E706&amp;F706,IMPORTRANGE(""https://docs.google.com/spreadsheets/d/1Uw7-A9f9R21vMXxHZFNpYNeKFtG8_yji4HS352LGlSQ/edit?pli=1#gid=0"",""1_ACUM!A4:S""),13,FALSE))"),"")</f>
        <v/>
      </c>
      <c r="AZ689" s="43" t="str">
        <f ca="1">IFERROR(__xludf.DUMMYFUNCTION("IFERROR(VLOOKUP(E706&amp;F706,IMPORTRANGE(""https://docs.google.com/spreadsheets/d/1Uw7-A9f9R21vMXxHZFNpYNeKFtG8_yji4HS352LGlSQ/edit?pli=1#gid=0"",""1_ACUM!A4:S""),14,FALSE))"),"")</f>
        <v/>
      </c>
      <c r="BA689" s="43" t="str">
        <f ca="1">IFERROR(__xludf.DUMMYFUNCTION("IFERROR(VLOOKUP(E706&amp;F706,IMPORTRANGE(""https://docs.google.com/spreadsheets/d/1Uw7-A9f9R21vMXxHZFNpYNeKFtG8_yji4HS352LGlSQ/edit?pli=1#gid=0"",""1_ACUM!A4:S""),15,FALSE))"),"")</f>
        <v/>
      </c>
      <c r="BB689" s="43" t="str">
        <f ca="1">IFERROR(__xludf.DUMMYFUNCTION("IFERROR(VLOOKUP(E706&amp;F706,IMPORTRANGE(""https://docs.google.com/spreadsheets/d/1Uw7-A9f9R21vMXxHZFNpYNeKFtG8_yji4HS352LGlSQ/edit?pli=1#gid=0"",""1_ACUM!A4:S""),16,FALSE))"),"")</f>
        <v/>
      </c>
      <c r="BC689" s="43" t="str">
        <f ca="1">IFERROR(__xludf.DUMMYFUNCTION("IFERROR(VLOOKUP(E706&amp;F706,IMPORTRANGE(""https://docs.google.com/spreadsheets/d/1Uw7-A9f9R21vMXxHZFNpYNeKFtG8_yji4HS352LGlSQ/edit?pli=1#gid=0"",""1_ACUM!A4:S""),17,FALSE))"),"")</f>
        <v/>
      </c>
      <c r="BD689" s="44" t="str">
        <f ca="1">IFERROR(__xludf.DUMMYFUNCTION("IFERROR(VLOOKUP(E706&amp;F706,IMPORTRANGE(""https://docs.google.com/spreadsheets/d/1Uw7-A9f9R21vMXxHZFNpYNeKFtG8_yji4HS352LGlSQ/edit?pli=1#gid=0"",""1_ACUM!A4:S""),18,FALSE))"),"")</f>
        <v/>
      </c>
      <c r="BE689" s="44" t="str">
        <f ca="1">IFERROR(__xludf.DUMMYFUNCTION("IFERROR(VLOOKUP(E706&amp;F706,IMPORTRANGE(""https://docs.google.com/spreadsheets/d/1Uw7-A9f9R21vMXxHZFNpYNeKFtG8_yji4HS352LGlSQ/edit?pli=1#gid=0"",""1_ACUM!A4:S""),19,FALSE))"),"")</f>
        <v/>
      </c>
      <c r="BF689" s="44" t="str">
        <f ca="1">IFERROR(__xludf.DUMMYFUNCTION("IFERROR(VLOOKUP(F706,IMPORTRANGE(""https://docs.google.com/spreadsheets/d/1Kvs4KS76FHFqLFIZfrDMff4kP08nblUkihrxltoGBjg/edit#gid=934712705"",""ESENCIAL!A6:BG""),5,FALSE))"),"")</f>
        <v/>
      </c>
      <c r="BG689" s="44" t="str">
        <f t="shared" si="41"/>
        <v/>
      </c>
      <c r="BH689" s="41" t="str">
        <f t="shared" si="42"/>
        <v/>
      </c>
      <c r="BI689" s="41" t="str">
        <f ca="1">IFERROR(__xludf.DUMMYFUNCTION("IFERROR(VLOOKUP(F706,IMPORTRANGE(""https://docs.google.com/spreadsheets/d/1Kvs4KS76FHFqLFIZfrDMff4kP08nblUkihrxltoGBjg/edit#gid=934712705"",""ESENCIAL!A6:BG""),18,FALSE))"),"")</f>
        <v/>
      </c>
      <c r="BJ689" s="19" t="str">
        <f t="shared" si="43"/>
        <v/>
      </c>
      <c r="BK689" s="41"/>
      <c r="BL689" s="41"/>
    </row>
    <row r="690" spans="1:64" ht="15">
      <c r="A690" s="4"/>
      <c r="B690" s="4"/>
      <c r="G690" s="5" t="str">
        <f ca="1">IFERROR(__xludf.DUMMYFUNCTION("IFERROR(VLOOKUP(F707,IMPORTRANGE(""https://docs.google.com/spreadsheets/d/1Kvs4KS76FHFqLFIZfrDMff4kP08nblUkihrxltoGBjg/edit#gid=934712705"",""ESENCIAL!A6:BG""),3,FALSE))"),"")</f>
        <v/>
      </c>
      <c r="H690" s="5" t="str">
        <f ca="1">IFERROR(__xludf.DUMMYFUNCTION("IFERROR(VLOOKUP(F707,IMPORTRANGE(""https://docs.google.com/spreadsheets/d/1Kvs4KS76FHFqLFIZfrDMff4kP08nblUkihrxltoGBjg/edit#gid=934712705"",""ESENCIAL!A6:BG""),8,FALSE))"),"")</f>
        <v/>
      </c>
      <c r="L690" s="287"/>
      <c r="S690"/>
      <c r="AU690" s="41" t="str">
        <f t="shared" si="40"/>
        <v/>
      </c>
      <c r="AV690" s="5" t="str">
        <f ca="1">IFERROR(__xludf.DUMMYFUNCTION("IFERROR(VLOOKUP(E707&amp;F707,IMPORTRANGE(""https://docs.google.com/spreadsheets/d/1Uw7-A9f9R21vMXxHZFNpYNeKFtG8_yji4HS352LGlSQ/edit?pli=1#gid=0"",""1_ACUM!A4:S""),11,FALSE))"),"")</f>
        <v/>
      </c>
      <c r="AW690" s="42" t="str">
        <f ca="1">IFERROR(__xludf.DUMMYFUNCTION("IFERROR(VLOOKUP(F707,IMPORTRANGE(""https://docs.google.com/spreadsheets/d/1Kvs4KS76FHFqLFIZfrDMff4kP08nblUkihrxltoGBjg/edit#gid=934712705"",""ESENCIAL!A6:BG""),15,FALSE))"),"")</f>
        <v/>
      </c>
      <c r="AX690" s="21" t="str">
        <f ca="1">IFERROR(__xludf.DUMMYFUNCTION("IFERROR(VLOOKUP(E707&amp;F707,IMPORTRANGE(""https://docs.google.com/spreadsheets/d/1Uw7-A9f9R21vMXxHZFNpYNeKFtG8_yji4HS352LGlSQ/edit?pli=1#gid=0"",""1_ACUM!A4:S""),12,FALSE))"),"")</f>
        <v/>
      </c>
      <c r="AY690" s="43" t="str">
        <f ca="1">IFERROR(__xludf.DUMMYFUNCTION("IFERROR(VLOOKUP(E707&amp;F707,IMPORTRANGE(""https://docs.google.com/spreadsheets/d/1Uw7-A9f9R21vMXxHZFNpYNeKFtG8_yji4HS352LGlSQ/edit?pli=1#gid=0"",""1_ACUM!A4:S""),13,FALSE))"),"")</f>
        <v/>
      </c>
      <c r="AZ690" s="43" t="str">
        <f ca="1">IFERROR(__xludf.DUMMYFUNCTION("IFERROR(VLOOKUP(E707&amp;F707,IMPORTRANGE(""https://docs.google.com/spreadsheets/d/1Uw7-A9f9R21vMXxHZFNpYNeKFtG8_yji4HS352LGlSQ/edit?pli=1#gid=0"",""1_ACUM!A4:S""),14,FALSE))"),"")</f>
        <v/>
      </c>
      <c r="BA690" s="43" t="str">
        <f ca="1">IFERROR(__xludf.DUMMYFUNCTION("IFERROR(VLOOKUP(E707&amp;F707,IMPORTRANGE(""https://docs.google.com/spreadsheets/d/1Uw7-A9f9R21vMXxHZFNpYNeKFtG8_yji4HS352LGlSQ/edit?pli=1#gid=0"",""1_ACUM!A4:S""),15,FALSE))"),"")</f>
        <v/>
      </c>
      <c r="BB690" s="43" t="str">
        <f ca="1">IFERROR(__xludf.DUMMYFUNCTION("IFERROR(VLOOKUP(E707&amp;F707,IMPORTRANGE(""https://docs.google.com/spreadsheets/d/1Uw7-A9f9R21vMXxHZFNpYNeKFtG8_yji4HS352LGlSQ/edit?pli=1#gid=0"",""1_ACUM!A4:S""),16,FALSE))"),"")</f>
        <v/>
      </c>
      <c r="BC690" s="43" t="str">
        <f ca="1">IFERROR(__xludf.DUMMYFUNCTION("IFERROR(VLOOKUP(E707&amp;F707,IMPORTRANGE(""https://docs.google.com/spreadsheets/d/1Uw7-A9f9R21vMXxHZFNpYNeKFtG8_yji4HS352LGlSQ/edit?pli=1#gid=0"",""1_ACUM!A4:S""),17,FALSE))"),"")</f>
        <v/>
      </c>
      <c r="BD690" s="44" t="str">
        <f ca="1">IFERROR(__xludf.DUMMYFUNCTION("IFERROR(VLOOKUP(E707&amp;F707,IMPORTRANGE(""https://docs.google.com/spreadsheets/d/1Uw7-A9f9R21vMXxHZFNpYNeKFtG8_yji4HS352LGlSQ/edit?pli=1#gid=0"",""1_ACUM!A4:S""),18,FALSE))"),"")</f>
        <v/>
      </c>
      <c r="BE690" s="44" t="str">
        <f ca="1">IFERROR(__xludf.DUMMYFUNCTION("IFERROR(VLOOKUP(E707&amp;F707,IMPORTRANGE(""https://docs.google.com/spreadsheets/d/1Uw7-A9f9R21vMXxHZFNpYNeKFtG8_yji4HS352LGlSQ/edit?pli=1#gid=0"",""1_ACUM!A4:S""),19,FALSE))"),"")</f>
        <v/>
      </c>
      <c r="BF690" s="44" t="str">
        <f ca="1">IFERROR(__xludf.DUMMYFUNCTION("IFERROR(VLOOKUP(F707,IMPORTRANGE(""https://docs.google.com/spreadsheets/d/1Kvs4KS76FHFqLFIZfrDMff4kP08nblUkihrxltoGBjg/edit#gid=934712705"",""ESENCIAL!A6:BG""),5,FALSE))"),"")</f>
        <v/>
      </c>
      <c r="BG690" s="44" t="str">
        <f t="shared" si="41"/>
        <v/>
      </c>
      <c r="BH690" s="41" t="str">
        <f t="shared" si="42"/>
        <v/>
      </c>
      <c r="BI690" s="41" t="str">
        <f ca="1">IFERROR(__xludf.DUMMYFUNCTION("IFERROR(VLOOKUP(F707,IMPORTRANGE(""https://docs.google.com/spreadsheets/d/1Kvs4KS76FHFqLFIZfrDMff4kP08nblUkihrxltoGBjg/edit#gid=934712705"",""ESENCIAL!A6:BG""),18,FALSE))"),"")</f>
        <v/>
      </c>
      <c r="BJ690" s="19" t="str">
        <f t="shared" si="43"/>
        <v/>
      </c>
      <c r="BK690" s="41"/>
      <c r="BL690" s="41"/>
    </row>
    <row r="691" spans="1:64" ht="15">
      <c r="A691" s="4"/>
      <c r="B691" s="4"/>
      <c r="G691" s="5" t="str">
        <f ca="1">IFERROR(__xludf.DUMMYFUNCTION("IFERROR(VLOOKUP(F708,IMPORTRANGE(""https://docs.google.com/spreadsheets/d/1Kvs4KS76FHFqLFIZfrDMff4kP08nblUkihrxltoGBjg/edit#gid=934712705"",""ESENCIAL!A6:BG""),3,FALSE))"),"")</f>
        <v/>
      </c>
      <c r="H691" s="5" t="str">
        <f ca="1">IFERROR(__xludf.DUMMYFUNCTION("IFERROR(VLOOKUP(F708,IMPORTRANGE(""https://docs.google.com/spreadsheets/d/1Kvs4KS76FHFqLFIZfrDMff4kP08nblUkihrxltoGBjg/edit#gid=934712705"",""ESENCIAL!A6:BG""),8,FALSE))"),"")</f>
        <v/>
      </c>
      <c r="L691" s="287"/>
      <c r="S691"/>
      <c r="AU691" s="41" t="str">
        <f t="shared" si="40"/>
        <v/>
      </c>
      <c r="AV691" s="5" t="str">
        <f ca="1">IFERROR(__xludf.DUMMYFUNCTION("IFERROR(VLOOKUP(E708&amp;F708,IMPORTRANGE(""https://docs.google.com/spreadsheets/d/1Uw7-A9f9R21vMXxHZFNpYNeKFtG8_yji4HS352LGlSQ/edit?pli=1#gid=0"",""1_ACUM!A4:S""),11,FALSE))"),"")</f>
        <v/>
      </c>
      <c r="AW691" s="42" t="str">
        <f ca="1">IFERROR(__xludf.DUMMYFUNCTION("IFERROR(VLOOKUP(F708,IMPORTRANGE(""https://docs.google.com/spreadsheets/d/1Kvs4KS76FHFqLFIZfrDMff4kP08nblUkihrxltoGBjg/edit#gid=934712705"",""ESENCIAL!A6:BG""),15,FALSE))"),"")</f>
        <v/>
      </c>
      <c r="AX691" s="21" t="str">
        <f ca="1">IFERROR(__xludf.DUMMYFUNCTION("IFERROR(VLOOKUP(E708&amp;F708,IMPORTRANGE(""https://docs.google.com/spreadsheets/d/1Uw7-A9f9R21vMXxHZFNpYNeKFtG8_yji4HS352LGlSQ/edit?pli=1#gid=0"",""1_ACUM!A4:S""),12,FALSE))"),"")</f>
        <v/>
      </c>
      <c r="AY691" s="43" t="str">
        <f ca="1">IFERROR(__xludf.DUMMYFUNCTION("IFERROR(VLOOKUP(E708&amp;F708,IMPORTRANGE(""https://docs.google.com/spreadsheets/d/1Uw7-A9f9R21vMXxHZFNpYNeKFtG8_yji4HS352LGlSQ/edit?pli=1#gid=0"",""1_ACUM!A4:S""),13,FALSE))"),"")</f>
        <v/>
      </c>
      <c r="AZ691" s="43" t="str">
        <f ca="1">IFERROR(__xludf.DUMMYFUNCTION("IFERROR(VLOOKUP(E708&amp;F708,IMPORTRANGE(""https://docs.google.com/spreadsheets/d/1Uw7-A9f9R21vMXxHZFNpYNeKFtG8_yji4HS352LGlSQ/edit?pli=1#gid=0"",""1_ACUM!A4:S""),14,FALSE))"),"")</f>
        <v/>
      </c>
      <c r="BA691" s="43" t="str">
        <f ca="1">IFERROR(__xludf.DUMMYFUNCTION("IFERROR(VLOOKUP(E708&amp;F708,IMPORTRANGE(""https://docs.google.com/spreadsheets/d/1Uw7-A9f9R21vMXxHZFNpYNeKFtG8_yji4HS352LGlSQ/edit?pli=1#gid=0"",""1_ACUM!A4:S""),15,FALSE))"),"")</f>
        <v/>
      </c>
      <c r="BB691" s="43" t="str">
        <f ca="1">IFERROR(__xludf.DUMMYFUNCTION("IFERROR(VLOOKUP(E708&amp;F708,IMPORTRANGE(""https://docs.google.com/spreadsheets/d/1Uw7-A9f9R21vMXxHZFNpYNeKFtG8_yji4HS352LGlSQ/edit?pli=1#gid=0"",""1_ACUM!A4:S""),16,FALSE))"),"")</f>
        <v/>
      </c>
      <c r="BC691" s="43" t="str">
        <f ca="1">IFERROR(__xludf.DUMMYFUNCTION("IFERROR(VLOOKUP(E708&amp;F708,IMPORTRANGE(""https://docs.google.com/spreadsheets/d/1Uw7-A9f9R21vMXxHZFNpYNeKFtG8_yji4HS352LGlSQ/edit?pli=1#gid=0"",""1_ACUM!A4:S""),17,FALSE))"),"")</f>
        <v/>
      </c>
      <c r="BD691" s="44" t="str">
        <f ca="1">IFERROR(__xludf.DUMMYFUNCTION("IFERROR(VLOOKUP(E708&amp;F708,IMPORTRANGE(""https://docs.google.com/spreadsheets/d/1Uw7-A9f9R21vMXxHZFNpYNeKFtG8_yji4HS352LGlSQ/edit?pli=1#gid=0"",""1_ACUM!A4:S""),18,FALSE))"),"")</f>
        <v/>
      </c>
      <c r="BE691" s="44" t="str">
        <f ca="1">IFERROR(__xludf.DUMMYFUNCTION("IFERROR(VLOOKUP(E708&amp;F708,IMPORTRANGE(""https://docs.google.com/spreadsheets/d/1Uw7-A9f9R21vMXxHZFNpYNeKFtG8_yji4HS352LGlSQ/edit?pli=1#gid=0"",""1_ACUM!A4:S""),19,FALSE))"),"")</f>
        <v/>
      </c>
      <c r="BF691" s="44" t="str">
        <f ca="1">IFERROR(__xludf.DUMMYFUNCTION("IFERROR(VLOOKUP(F708,IMPORTRANGE(""https://docs.google.com/spreadsheets/d/1Kvs4KS76FHFqLFIZfrDMff4kP08nblUkihrxltoGBjg/edit#gid=934712705"",""ESENCIAL!A6:BG""),5,FALSE))"),"")</f>
        <v/>
      </c>
      <c r="BG691" s="44" t="str">
        <f t="shared" si="41"/>
        <v/>
      </c>
      <c r="BH691" s="41" t="str">
        <f t="shared" si="42"/>
        <v/>
      </c>
      <c r="BI691" s="41" t="str">
        <f ca="1">IFERROR(__xludf.DUMMYFUNCTION("IFERROR(VLOOKUP(F708,IMPORTRANGE(""https://docs.google.com/spreadsheets/d/1Kvs4KS76FHFqLFIZfrDMff4kP08nblUkihrxltoGBjg/edit#gid=934712705"",""ESENCIAL!A6:BG""),18,FALSE))"),"")</f>
        <v/>
      </c>
      <c r="BJ691" s="19" t="str">
        <f t="shared" si="43"/>
        <v/>
      </c>
      <c r="BK691" s="41"/>
      <c r="BL691" s="41"/>
    </row>
    <row r="692" spans="1:64" ht="15">
      <c r="A692" s="4"/>
      <c r="B692" s="4"/>
      <c r="G692" s="5" t="str">
        <f ca="1">IFERROR(__xludf.DUMMYFUNCTION("IFERROR(VLOOKUP(F709,IMPORTRANGE(""https://docs.google.com/spreadsheets/d/1Kvs4KS76FHFqLFIZfrDMff4kP08nblUkihrxltoGBjg/edit#gid=934712705"",""ESENCIAL!A6:BG""),3,FALSE))"),"")</f>
        <v/>
      </c>
      <c r="H692" s="5" t="str">
        <f ca="1">IFERROR(__xludf.DUMMYFUNCTION("IFERROR(VLOOKUP(F709,IMPORTRANGE(""https://docs.google.com/spreadsheets/d/1Kvs4KS76FHFqLFIZfrDMff4kP08nblUkihrxltoGBjg/edit#gid=934712705"",""ESENCIAL!A6:BG""),8,FALSE))"),"")</f>
        <v/>
      </c>
      <c r="L692" s="287"/>
      <c r="S692"/>
      <c r="AU692" s="41" t="str">
        <f t="shared" si="40"/>
        <v/>
      </c>
      <c r="AV692" s="5" t="str">
        <f ca="1">IFERROR(__xludf.DUMMYFUNCTION("IFERROR(VLOOKUP(E709&amp;F709,IMPORTRANGE(""https://docs.google.com/spreadsheets/d/1Uw7-A9f9R21vMXxHZFNpYNeKFtG8_yji4HS352LGlSQ/edit?pli=1#gid=0"",""1_ACUM!A4:S""),11,FALSE))"),"")</f>
        <v/>
      </c>
      <c r="AW692" s="42" t="str">
        <f ca="1">IFERROR(__xludf.DUMMYFUNCTION("IFERROR(VLOOKUP(F709,IMPORTRANGE(""https://docs.google.com/spreadsheets/d/1Kvs4KS76FHFqLFIZfrDMff4kP08nblUkihrxltoGBjg/edit#gid=934712705"",""ESENCIAL!A6:BG""),15,FALSE))"),"")</f>
        <v/>
      </c>
      <c r="AX692" s="21" t="str">
        <f ca="1">IFERROR(__xludf.DUMMYFUNCTION("IFERROR(VLOOKUP(E709&amp;F709,IMPORTRANGE(""https://docs.google.com/spreadsheets/d/1Uw7-A9f9R21vMXxHZFNpYNeKFtG8_yji4HS352LGlSQ/edit?pli=1#gid=0"",""1_ACUM!A4:S""),12,FALSE))"),"")</f>
        <v/>
      </c>
      <c r="AY692" s="43" t="str">
        <f ca="1">IFERROR(__xludf.DUMMYFUNCTION("IFERROR(VLOOKUP(E709&amp;F709,IMPORTRANGE(""https://docs.google.com/spreadsheets/d/1Uw7-A9f9R21vMXxHZFNpYNeKFtG8_yji4HS352LGlSQ/edit?pli=1#gid=0"",""1_ACUM!A4:S""),13,FALSE))"),"")</f>
        <v/>
      </c>
      <c r="AZ692" s="43" t="str">
        <f ca="1">IFERROR(__xludf.DUMMYFUNCTION("IFERROR(VLOOKUP(E709&amp;F709,IMPORTRANGE(""https://docs.google.com/spreadsheets/d/1Uw7-A9f9R21vMXxHZFNpYNeKFtG8_yji4HS352LGlSQ/edit?pli=1#gid=0"",""1_ACUM!A4:S""),14,FALSE))"),"")</f>
        <v/>
      </c>
      <c r="BA692" s="43" t="str">
        <f ca="1">IFERROR(__xludf.DUMMYFUNCTION("IFERROR(VLOOKUP(E709&amp;F709,IMPORTRANGE(""https://docs.google.com/spreadsheets/d/1Uw7-A9f9R21vMXxHZFNpYNeKFtG8_yji4HS352LGlSQ/edit?pli=1#gid=0"",""1_ACUM!A4:S""),15,FALSE))"),"")</f>
        <v/>
      </c>
      <c r="BB692" s="43" t="str">
        <f ca="1">IFERROR(__xludf.DUMMYFUNCTION("IFERROR(VLOOKUP(E709&amp;F709,IMPORTRANGE(""https://docs.google.com/spreadsheets/d/1Uw7-A9f9R21vMXxHZFNpYNeKFtG8_yji4HS352LGlSQ/edit?pli=1#gid=0"",""1_ACUM!A4:S""),16,FALSE))"),"")</f>
        <v/>
      </c>
      <c r="BC692" s="43" t="str">
        <f ca="1">IFERROR(__xludf.DUMMYFUNCTION("IFERROR(VLOOKUP(E709&amp;F709,IMPORTRANGE(""https://docs.google.com/spreadsheets/d/1Uw7-A9f9R21vMXxHZFNpYNeKFtG8_yji4HS352LGlSQ/edit?pli=1#gid=0"",""1_ACUM!A4:S""),17,FALSE))"),"")</f>
        <v/>
      </c>
      <c r="BD692" s="44" t="str">
        <f ca="1">IFERROR(__xludf.DUMMYFUNCTION("IFERROR(VLOOKUP(E709&amp;F709,IMPORTRANGE(""https://docs.google.com/spreadsheets/d/1Uw7-A9f9R21vMXxHZFNpYNeKFtG8_yji4HS352LGlSQ/edit?pli=1#gid=0"",""1_ACUM!A4:S""),18,FALSE))"),"")</f>
        <v/>
      </c>
      <c r="BE692" s="44" t="str">
        <f ca="1">IFERROR(__xludf.DUMMYFUNCTION("IFERROR(VLOOKUP(E709&amp;F709,IMPORTRANGE(""https://docs.google.com/spreadsheets/d/1Uw7-A9f9R21vMXxHZFNpYNeKFtG8_yji4HS352LGlSQ/edit?pli=1#gid=0"",""1_ACUM!A4:S""),19,FALSE))"),"")</f>
        <v/>
      </c>
      <c r="BF692" s="44" t="str">
        <f ca="1">IFERROR(__xludf.DUMMYFUNCTION("IFERROR(VLOOKUP(F709,IMPORTRANGE(""https://docs.google.com/spreadsheets/d/1Kvs4KS76FHFqLFIZfrDMff4kP08nblUkihrxltoGBjg/edit#gid=934712705"",""ESENCIAL!A6:BG""),5,FALSE))"),"")</f>
        <v/>
      </c>
      <c r="BG692" s="44" t="str">
        <f t="shared" si="41"/>
        <v/>
      </c>
      <c r="BH692" s="41" t="str">
        <f t="shared" si="42"/>
        <v/>
      </c>
      <c r="BI692" s="41" t="str">
        <f ca="1">IFERROR(__xludf.DUMMYFUNCTION("IFERROR(VLOOKUP(F709,IMPORTRANGE(""https://docs.google.com/spreadsheets/d/1Kvs4KS76FHFqLFIZfrDMff4kP08nblUkihrxltoGBjg/edit#gid=934712705"",""ESENCIAL!A6:BG""),18,FALSE))"),"")</f>
        <v/>
      </c>
      <c r="BJ692" s="19" t="str">
        <f t="shared" si="43"/>
        <v/>
      </c>
      <c r="BK692" s="41"/>
      <c r="BL692" s="41"/>
    </row>
    <row r="693" spans="1:64" ht="15">
      <c r="A693" s="4"/>
      <c r="B693" s="4"/>
      <c r="G693" s="5" t="str">
        <f ca="1">IFERROR(__xludf.DUMMYFUNCTION("IFERROR(VLOOKUP(F710,IMPORTRANGE(""https://docs.google.com/spreadsheets/d/1Kvs4KS76FHFqLFIZfrDMff4kP08nblUkihrxltoGBjg/edit#gid=934712705"",""ESENCIAL!A6:BG""),3,FALSE))"),"")</f>
        <v/>
      </c>
      <c r="H693" s="5" t="str">
        <f ca="1">IFERROR(__xludf.DUMMYFUNCTION("IFERROR(VLOOKUP(F710,IMPORTRANGE(""https://docs.google.com/spreadsheets/d/1Kvs4KS76FHFqLFIZfrDMff4kP08nblUkihrxltoGBjg/edit#gid=934712705"",""ESENCIAL!A6:BG""),8,FALSE))"),"")</f>
        <v/>
      </c>
      <c r="L693" s="287"/>
      <c r="S693"/>
      <c r="AU693" s="41" t="str">
        <f t="shared" si="40"/>
        <v/>
      </c>
      <c r="AV693" s="5" t="str">
        <f ca="1">IFERROR(__xludf.DUMMYFUNCTION("IFERROR(VLOOKUP(E710&amp;F710,IMPORTRANGE(""https://docs.google.com/spreadsheets/d/1Uw7-A9f9R21vMXxHZFNpYNeKFtG8_yji4HS352LGlSQ/edit?pli=1#gid=0"",""1_ACUM!A4:S""),11,FALSE))"),"")</f>
        <v/>
      </c>
      <c r="AW693" s="42" t="str">
        <f ca="1">IFERROR(__xludf.DUMMYFUNCTION("IFERROR(VLOOKUP(F710,IMPORTRANGE(""https://docs.google.com/spreadsheets/d/1Kvs4KS76FHFqLFIZfrDMff4kP08nblUkihrxltoGBjg/edit#gid=934712705"",""ESENCIAL!A6:BG""),15,FALSE))"),"")</f>
        <v/>
      </c>
      <c r="AX693" s="21" t="str">
        <f ca="1">IFERROR(__xludf.DUMMYFUNCTION("IFERROR(VLOOKUP(E710&amp;F710,IMPORTRANGE(""https://docs.google.com/spreadsheets/d/1Uw7-A9f9R21vMXxHZFNpYNeKFtG8_yji4HS352LGlSQ/edit?pli=1#gid=0"",""1_ACUM!A4:S""),12,FALSE))"),"")</f>
        <v/>
      </c>
      <c r="AY693" s="43" t="str">
        <f ca="1">IFERROR(__xludf.DUMMYFUNCTION("IFERROR(VLOOKUP(E710&amp;F710,IMPORTRANGE(""https://docs.google.com/spreadsheets/d/1Uw7-A9f9R21vMXxHZFNpYNeKFtG8_yji4HS352LGlSQ/edit?pli=1#gid=0"",""1_ACUM!A4:S""),13,FALSE))"),"")</f>
        <v/>
      </c>
      <c r="AZ693" s="43" t="str">
        <f ca="1">IFERROR(__xludf.DUMMYFUNCTION("IFERROR(VLOOKUP(E710&amp;F710,IMPORTRANGE(""https://docs.google.com/spreadsheets/d/1Uw7-A9f9R21vMXxHZFNpYNeKFtG8_yji4HS352LGlSQ/edit?pli=1#gid=0"",""1_ACUM!A4:S""),14,FALSE))"),"")</f>
        <v/>
      </c>
      <c r="BA693" s="43" t="str">
        <f ca="1">IFERROR(__xludf.DUMMYFUNCTION("IFERROR(VLOOKUP(E710&amp;F710,IMPORTRANGE(""https://docs.google.com/spreadsheets/d/1Uw7-A9f9R21vMXxHZFNpYNeKFtG8_yji4HS352LGlSQ/edit?pli=1#gid=0"",""1_ACUM!A4:S""),15,FALSE))"),"")</f>
        <v/>
      </c>
      <c r="BB693" s="43" t="str">
        <f ca="1">IFERROR(__xludf.DUMMYFUNCTION("IFERROR(VLOOKUP(E710&amp;F710,IMPORTRANGE(""https://docs.google.com/spreadsheets/d/1Uw7-A9f9R21vMXxHZFNpYNeKFtG8_yji4HS352LGlSQ/edit?pli=1#gid=0"",""1_ACUM!A4:S""),16,FALSE))"),"")</f>
        <v/>
      </c>
      <c r="BC693" s="43" t="str">
        <f ca="1">IFERROR(__xludf.DUMMYFUNCTION("IFERROR(VLOOKUP(E710&amp;F710,IMPORTRANGE(""https://docs.google.com/spreadsheets/d/1Uw7-A9f9R21vMXxHZFNpYNeKFtG8_yji4HS352LGlSQ/edit?pli=1#gid=0"",""1_ACUM!A4:S""),17,FALSE))"),"")</f>
        <v/>
      </c>
      <c r="BD693" s="44" t="str">
        <f ca="1">IFERROR(__xludf.DUMMYFUNCTION("IFERROR(VLOOKUP(E710&amp;F710,IMPORTRANGE(""https://docs.google.com/spreadsheets/d/1Uw7-A9f9R21vMXxHZFNpYNeKFtG8_yji4HS352LGlSQ/edit?pli=1#gid=0"",""1_ACUM!A4:S""),18,FALSE))"),"")</f>
        <v/>
      </c>
      <c r="BE693" s="44" t="str">
        <f ca="1">IFERROR(__xludf.DUMMYFUNCTION("IFERROR(VLOOKUP(E710&amp;F710,IMPORTRANGE(""https://docs.google.com/spreadsheets/d/1Uw7-A9f9R21vMXxHZFNpYNeKFtG8_yji4HS352LGlSQ/edit?pli=1#gid=0"",""1_ACUM!A4:S""),19,FALSE))"),"")</f>
        <v/>
      </c>
      <c r="BF693" s="44" t="str">
        <f ca="1">IFERROR(__xludf.DUMMYFUNCTION("IFERROR(VLOOKUP(F710,IMPORTRANGE(""https://docs.google.com/spreadsheets/d/1Kvs4KS76FHFqLFIZfrDMff4kP08nblUkihrxltoGBjg/edit#gid=934712705"",""ESENCIAL!A6:BG""),5,FALSE))"),"")</f>
        <v/>
      </c>
      <c r="BG693" s="44" t="str">
        <f t="shared" si="41"/>
        <v/>
      </c>
      <c r="BH693" s="41" t="str">
        <f t="shared" si="42"/>
        <v/>
      </c>
      <c r="BI693" s="41" t="str">
        <f ca="1">IFERROR(__xludf.DUMMYFUNCTION("IFERROR(VLOOKUP(F710,IMPORTRANGE(""https://docs.google.com/spreadsheets/d/1Kvs4KS76FHFqLFIZfrDMff4kP08nblUkihrxltoGBjg/edit#gid=934712705"",""ESENCIAL!A6:BG""),18,FALSE))"),"")</f>
        <v/>
      </c>
      <c r="BJ693" s="19" t="str">
        <f t="shared" si="43"/>
        <v/>
      </c>
      <c r="BK693" s="41"/>
      <c r="BL693" s="41"/>
    </row>
    <row r="694" spans="1:64" ht="15">
      <c r="A694" s="4"/>
      <c r="B694" s="4"/>
      <c r="G694" s="5" t="str">
        <f ca="1">IFERROR(__xludf.DUMMYFUNCTION("IFERROR(VLOOKUP(F711,IMPORTRANGE(""https://docs.google.com/spreadsheets/d/1Kvs4KS76FHFqLFIZfrDMff4kP08nblUkihrxltoGBjg/edit#gid=934712705"",""ESENCIAL!A6:BG""),3,FALSE))"),"")</f>
        <v/>
      </c>
      <c r="H694" s="5" t="str">
        <f ca="1">IFERROR(__xludf.DUMMYFUNCTION("IFERROR(VLOOKUP(F711,IMPORTRANGE(""https://docs.google.com/spreadsheets/d/1Kvs4KS76FHFqLFIZfrDMff4kP08nblUkihrxltoGBjg/edit#gid=934712705"",""ESENCIAL!A6:BG""),8,FALSE))"),"")</f>
        <v/>
      </c>
      <c r="L694" s="287"/>
      <c r="S694"/>
      <c r="AU694" s="41" t="str">
        <f t="shared" si="40"/>
        <v/>
      </c>
      <c r="AV694" s="5" t="str">
        <f ca="1">IFERROR(__xludf.DUMMYFUNCTION("IFERROR(VLOOKUP(E711&amp;F711,IMPORTRANGE(""https://docs.google.com/spreadsheets/d/1Uw7-A9f9R21vMXxHZFNpYNeKFtG8_yji4HS352LGlSQ/edit?pli=1#gid=0"",""1_ACUM!A4:S""),11,FALSE))"),"")</f>
        <v/>
      </c>
      <c r="AW694" s="42" t="str">
        <f ca="1">IFERROR(__xludf.DUMMYFUNCTION("IFERROR(VLOOKUP(F711,IMPORTRANGE(""https://docs.google.com/spreadsheets/d/1Kvs4KS76FHFqLFIZfrDMff4kP08nblUkihrxltoGBjg/edit#gid=934712705"",""ESENCIAL!A6:BG""),15,FALSE))"),"")</f>
        <v/>
      </c>
      <c r="AX694" s="21" t="str">
        <f ca="1">IFERROR(__xludf.DUMMYFUNCTION("IFERROR(VLOOKUP(E711&amp;F711,IMPORTRANGE(""https://docs.google.com/spreadsheets/d/1Uw7-A9f9R21vMXxHZFNpYNeKFtG8_yji4HS352LGlSQ/edit?pli=1#gid=0"",""1_ACUM!A4:S""),12,FALSE))"),"")</f>
        <v/>
      </c>
      <c r="AY694" s="43" t="str">
        <f ca="1">IFERROR(__xludf.DUMMYFUNCTION("IFERROR(VLOOKUP(E711&amp;F711,IMPORTRANGE(""https://docs.google.com/spreadsheets/d/1Uw7-A9f9R21vMXxHZFNpYNeKFtG8_yji4HS352LGlSQ/edit?pli=1#gid=0"",""1_ACUM!A4:S""),13,FALSE))"),"")</f>
        <v/>
      </c>
      <c r="AZ694" s="43" t="str">
        <f ca="1">IFERROR(__xludf.DUMMYFUNCTION("IFERROR(VLOOKUP(E711&amp;F711,IMPORTRANGE(""https://docs.google.com/spreadsheets/d/1Uw7-A9f9R21vMXxHZFNpYNeKFtG8_yji4HS352LGlSQ/edit?pli=1#gid=0"",""1_ACUM!A4:S""),14,FALSE))"),"")</f>
        <v/>
      </c>
      <c r="BA694" s="43" t="str">
        <f ca="1">IFERROR(__xludf.DUMMYFUNCTION("IFERROR(VLOOKUP(E711&amp;F711,IMPORTRANGE(""https://docs.google.com/spreadsheets/d/1Uw7-A9f9R21vMXxHZFNpYNeKFtG8_yji4HS352LGlSQ/edit?pli=1#gid=0"",""1_ACUM!A4:S""),15,FALSE))"),"")</f>
        <v/>
      </c>
      <c r="BB694" s="43" t="str">
        <f ca="1">IFERROR(__xludf.DUMMYFUNCTION("IFERROR(VLOOKUP(E711&amp;F711,IMPORTRANGE(""https://docs.google.com/spreadsheets/d/1Uw7-A9f9R21vMXxHZFNpYNeKFtG8_yji4HS352LGlSQ/edit?pli=1#gid=0"",""1_ACUM!A4:S""),16,FALSE))"),"")</f>
        <v/>
      </c>
      <c r="BC694" s="43" t="str">
        <f ca="1">IFERROR(__xludf.DUMMYFUNCTION("IFERROR(VLOOKUP(E711&amp;F711,IMPORTRANGE(""https://docs.google.com/spreadsheets/d/1Uw7-A9f9R21vMXxHZFNpYNeKFtG8_yji4HS352LGlSQ/edit?pli=1#gid=0"",""1_ACUM!A4:S""),17,FALSE))"),"")</f>
        <v/>
      </c>
      <c r="BD694" s="44" t="str">
        <f ca="1">IFERROR(__xludf.DUMMYFUNCTION("IFERROR(VLOOKUP(E711&amp;F711,IMPORTRANGE(""https://docs.google.com/spreadsheets/d/1Uw7-A9f9R21vMXxHZFNpYNeKFtG8_yji4HS352LGlSQ/edit?pli=1#gid=0"",""1_ACUM!A4:S""),18,FALSE))"),"")</f>
        <v/>
      </c>
      <c r="BE694" s="44" t="str">
        <f ca="1">IFERROR(__xludf.DUMMYFUNCTION("IFERROR(VLOOKUP(E711&amp;F711,IMPORTRANGE(""https://docs.google.com/spreadsheets/d/1Uw7-A9f9R21vMXxHZFNpYNeKFtG8_yji4HS352LGlSQ/edit?pli=1#gid=0"",""1_ACUM!A4:S""),19,FALSE))"),"")</f>
        <v/>
      </c>
      <c r="BF694" s="44" t="str">
        <f ca="1">IFERROR(__xludf.DUMMYFUNCTION("IFERROR(VLOOKUP(F711,IMPORTRANGE(""https://docs.google.com/spreadsheets/d/1Kvs4KS76FHFqLFIZfrDMff4kP08nblUkihrxltoGBjg/edit#gid=934712705"",""ESENCIAL!A6:BG""),5,FALSE))"),"")</f>
        <v/>
      </c>
      <c r="BG694" s="44" t="str">
        <f t="shared" si="41"/>
        <v/>
      </c>
      <c r="BH694" s="41" t="str">
        <f t="shared" si="42"/>
        <v/>
      </c>
      <c r="BI694" s="41" t="str">
        <f ca="1">IFERROR(__xludf.DUMMYFUNCTION("IFERROR(VLOOKUP(F711,IMPORTRANGE(""https://docs.google.com/spreadsheets/d/1Kvs4KS76FHFqLFIZfrDMff4kP08nblUkihrxltoGBjg/edit#gid=934712705"",""ESENCIAL!A6:BG""),18,FALSE))"),"")</f>
        <v/>
      </c>
      <c r="BJ694" s="19" t="str">
        <f t="shared" si="43"/>
        <v/>
      </c>
      <c r="BK694" s="41"/>
      <c r="BL694" s="41"/>
    </row>
    <row r="695" spans="1:64" ht="15">
      <c r="A695" s="4"/>
      <c r="B695" s="4"/>
      <c r="G695" s="5" t="str">
        <f ca="1">IFERROR(__xludf.DUMMYFUNCTION("IFERROR(VLOOKUP(F712,IMPORTRANGE(""https://docs.google.com/spreadsheets/d/1Kvs4KS76FHFqLFIZfrDMff4kP08nblUkihrxltoGBjg/edit#gid=934712705"",""ESENCIAL!A6:BG""),3,FALSE))"),"")</f>
        <v/>
      </c>
      <c r="H695" s="5" t="str">
        <f ca="1">IFERROR(__xludf.DUMMYFUNCTION("IFERROR(VLOOKUP(F712,IMPORTRANGE(""https://docs.google.com/spreadsheets/d/1Kvs4KS76FHFqLFIZfrDMff4kP08nblUkihrxltoGBjg/edit#gid=934712705"",""ESENCIAL!A6:BG""),8,FALSE))"),"")</f>
        <v/>
      </c>
      <c r="L695" s="287"/>
      <c r="S695"/>
      <c r="AU695" s="41" t="str">
        <f t="shared" si="40"/>
        <v/>
      </c>
      <c r="AV695" s="5" t="str">
        <f ca="1">IFERROR(__xludf.DUMMYFUNCTION("IFERROR(VLOOKUP(E712&amp;F712,IMPORTRANGE(""https://docs.google.com/spreadsheets/d/1Uw7-A9f9R21vMXxHZFNpYNeKFtG8_yji4HS352LGlSQ/edit?pli=1#gid=0"",""1_ACUM!A4:S""),11,FALSE))"),"")</f>
        <v/>
      </c>
      <c r="AW695" s="42" t="str">
        <f ca="1">IFERROR(__xludf.DUMMYFUNCTION("IFERROR(VLOOKUP(F712,IMPORTRANGE(""https://docs.google.com/spreadsheets/d/1Kvs4KS76FHFqLFIZfrDMff4kP08nblUkihrxltoGBjg/edit#gid=934712705"",""ESENCIAL!A6:BG""),15,FALSE))"),"")</f>
        <v/>
      </c>
      <c r="AX695" s="21" t="str">
        <f ca="1">IFERROR(__xludf.DUMMYFUNCTION("IFERROR(VLOOKUP(E712&amp;F712,IMPORTRANGE(""https://docs.google.com/spreadsheets/d/1Uw7-A9f9R21vMXxHZFNpYNeKFtG8_yji4HS352LGlSQ/edit?pli=1#gid=0"",""1_ACUM!A4:S""),12,FALSE))"),"")</f>
        <v/>
      </c>
      <c r="AY695" s="43" t="str">
        <f ca="1">IFERROR(__xludf.DUMMYFUNCTION("IFERROR(VLOOKUP(E712&amp;F712,IMPORTRANGE(""https://docs.google.com/spreadsheets/d/1Uw7-A9f9R21vMXxHZFNpYNeKFtG8_yji4HS352LGlSQ/edit?pli=1#gid=0"",""1_ACUM!A4:S""),13,FALSE))"),"")</f>
        <v/>
      </c>
      <c r="AZ695" s="43" t="str">
        <f ca="1">IFERROR(__xludf.DUMMYFUNCTION("IFERROR(VLOOKUP(E712&amp;F712,IMPORTRANGE(""https://docs.google.com/spreadsheets/d/1Uw7-A9f9R21vMXxHZFNpYNeKFtG8_yji4HS352LGlSQ/edit?pli=1#gid=0"",""1_ACUM!A4:S""),14,FALSE))"),"")</f>
        <v/>
      </c>
      <c r="BA695" s="43" t="str">
        <f ca="1">IFERROR(__xludf.DUMMYFUNCTION("IFERROR(VLOOKUP(E712&amp;F712,IMPORTRANGE(""https://docs.google.com/spreadsheets/d/1Uw7-A9f9R21vMXxHZFNpYNeKFtG8_yji4HS352LGlSQ/edit?pli=1#gid=0"",""1_ACUM!A4:S""),15,FALSE))"),"")</f>
        <v/>
      </c>
      <c r="BB695" s="43" t="str">
        <f ca="1">IFERROR(__xludf.DUMMYFUNCTION("IFERROR(VLOOKUP(E712&amp;F712,IMPORTRANGE(""https://docs.google.com/spreadsheets/d/1Uw7-A9f9R21vMXxHZFNpYNeKFtG8_yji4HS352LGlSQ/edit?pli=1#gid=0"",""1_ACUM!A4:S""),16,FALSE))"),"")</f>
        <v/>
      </c>
      <c r="BC695" s="43" t="str">
        <f ca="1">IFERROR(__xludf.DUMMYFUNCTION("IFERROR(VLOOKUP(E712&amp;F712,IMPORTRANGE(""https://docs.google.com/spreadsheets/d/1Uw7-A9f9R21vMXxHZFNpYNeKFtG8_yji4HS352LGlSQ/edit?pli=1#gid=0"",""1_ACUM!A4:S""),17,FALSE))"),"")</f>
        <v/>
      </c>
      <c r="BD695" s="44" t="str">
        <f ca="1">IFERROR(__xludf.DUMMYFUNCTION("IFERROR(VLOOKUP(E712&amp;F712,IMPORTRANGE(""https://docs.google.com/spreadsheets/d/1Uw7-A9f9R21vMXxHZFNpYNeKFtG8_yji4HS352LGlSQ/edit?pli=1#gid=0"",""1_ACUM!A4:S""),18,FALSE))"),"")</f>
        <v/>
      </c>
      <c r="BE695" s="44" t="str">
        <f ca="1">IFERROR(__xludf.DUMMYFUNCTION("IFERROR(VLOOKUP(E712&amp;F712,IMPORTRANGE(""https://docs.google.com/spreadsheets/d/1Uw7-A9f9R21vMXxHZFNpYNeKFtG8_yji4HS352LGlSQ/edit?pli=1#gid=0"",""1_ACUM!A4:S""),19,FALSE))"),"")</f>
        <v/>
      </c>
      <c r="BF695" s="44" t="str">
        <f ca="1">IFERROR(__xludf.DUMMYFUNCTION("IFERROR(VLOOKUP(F712,IMPORTRANGE(""https://docs.google.com/spreadsheets/d/1Kvs4KS76FHFqLFIZfrDMff4kP08nblUkihrxltoGBjg/edit#gid=934712705"",""ESENCIAL!A6:BG""),5,FALSE))"),"")</f>
        <v/>
      </c>
      <c r="BG695" s="44" t="str">
        <f t="shared" si="41"/>
        <v/>
      </c>
      <c r="BH695" s="41" t="str">
        <f t="shared" si="42"/>
        <v/>
      </c>
      <c r="BI695" s="41" t="str">
        <f ca="1">IFERROR(__xludf.DUMMYFUNCTION("IFERROR(VLOOKUP(F712,IMPORTRANGE(""https://docs.google.com/spreadsheets/d/1Kvs4KS76FHFqLFIZfrDMff4kP08nblUkihrxltoGBjg/edit#gid=934712705"",""ESENCIAL!A6:BG""),18,FALSE))"),"")</f>
        <v/>
      </c>
      <c r="BJ695" s="19" t="str">
        <f t="shared" si="43"/>
        <v/>
      </c>
      <c r="BK695" s="41"/>
      <c r="BL695" s="41"/>
    </row>
    <row r="696" spans="1:64" ht="15">
      <c r="A696" s="4"/>
      <c r="B696" s="4"/>
      <c r="G696" s="5" t="str">
        <f ca="1">IFERROR(__xludf.DUMMYFUNCTION("IFERROR(VLOOKUP(F713,IMPORTRANGE(""https://docs.google.com/spreadsheets/d/1Kvs4KS76FHFqLFIZfrDMff4kP08nblUkihrxltoGBjg/edit#gid=934712705"",""ESENCIAL!A6:BG""),3,FALSE))"),"")</f>
        <v/>
      </c>
      <c r="H696" s="5" t="str">
        <f ca="1">IFERROR(__xludf.DUMMYFUNCTION("IFERROR(VLOOKUP(F713,IMPORTRANGE(""https://docs.google.com/spreadsheets/d/1Kvs4KS76FHFqLFIZfrDMff4kP08nblUkihrxltoGBjg/edit#gid=934712705"",""ESENCIAL!A6:BG""),8,FALSE))"),"")</f>
        <v/>
      </c>
      <c r="L696" s="287"/>
      <c r="S696"/>
      <c r="AU696" s="41" t="str">
        <f t="shared" si="40"/>
        <v/>
      </c>
      <c r="AV696" s="5" t="str">
        <f ca="1">IFERROR(__xludf.DUMMYFUNCTION("IFERROR(VLOOKUP(E713&amp;F713,IMPORTRANGE(""https://docs.google.com/spreadsheets/d/1Uw7-A9f9R21vMXxHZFNpYNeKFtG8_yji4HS352LGlSQ/edit?pli=1#gid=0"",""1_ACUM!A4:S""),11,FALSE))"),"")</f>
        <v/>
      </c>
      <c r="AW696" s="42" t="str">
        <f ca="1">IFERROR(__xludf.DUMMYFUNCTION("IFERROR(VLOOKUP(F713,IMPORTRANGE(""https://docs.google.com/spreadsheets/d/1Kvs4KS76FHFqLFIZfrDMff4kP08nblUkihrxltoGBjg/edit#gid=934712705"",""ESENCIAL!A6:BG""),15,FALSE))"),"")</f>
        <v/>
      </c>
      <c r="AX696" s="21" t="str">
        <f ca="1">IFERROR(__xludf.DUMMYFUNCTION("IFERROR(VLOOKUP(E713&amp;F713,IMPORTRANGE(""https://docs.google.com/spreadsheets/d/1Uw7-A9f9R21vMXxHZFNpYNeKFtG8_yji4HS352LGlSQ/edit?pli=1#gid=0"",""1_ACUM!A4:S""),12,FALSE))"),"")</f>
        <v/>
      </c>
      <c r="AY696" s="43" t="str">
        <f ca="1">IFERROR(__xludf.DUMMYFUNCTION("IFERROR(VLOOKUP(E713&amp;F713,IMPORTRANGE(""https://docs.google.com/spreadsheets/d/1Uw7-A9f9R21vMXxHZFNpYNeKFtG8_yji4HS352LGlSQ/edit?pli=1#gid=0"",""1_ACUM!A4:S""),13,FALSE))"),"")</f>
        <v/>
      </c>
      <c r="AZ696" s="43" t="str">
        <f ca="1">IFERROR(__xludf.DUMMYFUNCTION("IFERROR(VLOOKUP(E713&amp;F713,IMPORTRANGE(""https://docs.google.com/spreadsheets/d/1Uw7-A9f9R21vMXxHZFNpYNeKFtG8_yji4HS352LGlSQ/edit?pli=1#gid=0"",""1_ACUM!A4:S""),14,FALSE))"),"")</f>
        <v/>
      </c>
      <c r="BA696" s="43" t="str">
        <f ca="1">IFERROR(__xludf.DUMMYFUNCTION("IFERROR(VLOOKUP(E713&amp;F713,IMPORTRANGE(""https://docs.google.com/spreadsheets/d/1Uw7-A9f9R21vMXxHZFNpYNeKFtG8_yji4HS352LGlSQ/edit?pli=1#gid=0"",""1_ACUM!A4:S""),15,FALSE))"),"")</f>
        <v/>
      </c>
      <c r="BB696" s="43" t="str">
        <f ca="1">IFERROR(__xludf.DUMMYFUNCTION("IFERROR(VLOOKUP(E713&amp;F713,IMPORTRANGE(""https://docs.google.com/spreadsheets/d/1Uw7-A9f9R21vMXxHZFNpYNeKFtG8_yji4HS352LGlSQ/edit?pli=1#gid=0"",""1_ACUM!A4:S""),16,FALSE))"),"")</f>
        <v/>
      </c>
      <c r="BC696" s="43" t="str">
        <f ca="1">IFERROR(__xludf.DUMMYFUNCTION("IFERROR(VLOOKUP(E713&amp;F713,IMPORTRANGE(""https://docs.google.com/spreadsheets/d/1Uw7-A9f9R21vMXxHZFNpYNeKFtG8_yji4HS352LGlSQ/edit?pli=1#gid=0"",""1_ACUM!A4:S""),17,FALSE))"),"")</f>
        <v/>
      </c>
      <c r="BD696" s="44" t="str">
        <f ca="1">IFERROR(__xludf.DUMMYFUNCTION("IFERROR(VLOOKUP(E713&amp;F713,IMPORTRANGE(""https://docs.google.com/spreadsheets/d/1Uw7-A9f9R21vMXxHZFNpYNeKFtG8_yji4HS352LGlSQ/edit?pli=1#gid=0"",""1_ACUM!A4:S""),18,FALSE))"),"")</f>
        <v/>
      </c>
      <c r="BE696" s="44" t="str">
        <f ca="1">IFERROR(__xludf.DUMMYFUNCTION("IFERROR(VLOOKUP(E713&amp;F713,IMPORTRANGE(""https://docs.google.com/spreadsheets/d/1Uw7-A9f9R21vMXxHZFNpYNeKFtG8_yji4HS352LGlSQ/edit?pli=1#gid=0"",""1_ACUM!A4:S""),19,FALSE))"),"")</f>
        <v/>
      </c>
      <c r="BF696" s="44" t="str">
        <f ca="1">IFERROR(__xludf.DUMMYFUNCTION("IFERROR(VLOOKUP(F713,IMPORTRANGE(""https://docs.google.com/spreadsheets/d/1Kvs4KS76FHFqLFIZfrDMff4kP08nblUkihrxltoGBjg/edit#gid=934712705"",""ESENCIAL!A6:BG""),5,FALSE))"),"")</f>
        <v/>
      </c>
      <c r="BG696" s="44" t="str">
        <f t="shared" si="41"/>
        <v/>
      </c>
      <c r="BH696" s="41" t="str">
        <f t="shared" si="42"/>
        <v/>
      </c>
      <c r="BI696" s="41" t="str">
        <f ca="1">IFERROR(__xludf.DUMMYFUNCTION("IFERROR(VLOOKUP(F713,IMPORTRANGE(""https://docs.google.com/spreadsheets/d/1Kvs4KS76FHFqLFIZfrDMff4kP08nblUkihrxltoGBjg/edit#gid=934712705"",""ESENCIAL!A6:BG""),18,FALSE))"),"")</f>
        <v/>
      </c>
      <c r="BJ696" s="19" t="str">
        <f t="shared" si="43"/>
        <v/>
      </c>
      <c r="BK696" s="41"/>
      <c r="BL696" s="41"/>
    </row>
    <row r="697" spans="1:64" ht="15">
      <c r="A697" s="4"/>
      <c r="B697" s="4"/>
      <c r="G697" s="5" t="str">
        <f ca="1">IFERROR(__xludf.DUMMYFUNCTION("IFERROR(VLOOKUP(F714,IMPORTRANGE(""https://docs.google.com/spreadsheets/d/1Kvs4KS76FHFqLFIZfrDMff4kP08nblUkihrxltoGBjg/edit#gid=934712705"",""ESENCIAL!A6:BG""),3,FALSE))"),"")</f>
        <v/>
      </c>
      <c r="H697" s="5" t="str">
        <f ca="1">IFERROR(__xludf.DUMMYFUNCTION("IFERROR(VLOOKUP(F714,IMPORTRANGE(""https://docs.google.com/spreadsheets/d/1Kvs4KS76FHFqLFIZfrDMff4kP08nblUkihrxltoGBjg/edit#gid=934712705"",""ESENCIAL!A6:BG""),8,FALSE))"),"")</f>
        <v/>
      </c>
      <c r="L697" s="287"/>
      <c r="S697"/>
      <c r="AU697" s="41" t="str">
        <f t="shared" si="40"/>
        <v/>
      </c>
      <c r="AV697" s="5" t="str">
        <f ca="1">IFERROR(__xludf.DUMMYFUNCTION("IFERROR(VLOOKUP(E714&amp;F714,IMPORTRANGE(""https://docs.google.com/spreadsheets/d/1Uw7-A9f9R21vMXxHZFNpYNeKFtG8_yji4HS352LGlSQ/edit?pli=1#gid=0"",""1_ACUM!A4:S""),11,FALSE))"),"")</f>
        <v/>
      </c>
      <c r="AW697" s="42" t="str">
        <f ca="1">IFERROR(__xludf.DUMMYFUNCTION("IFERROR(VLOOKUP(F714,IMPORTRANGE(""https://docs.google.com/spreadsheets/d/1Kvs4KS76FHFqLFIZfrDMff4kP08nblUkihrxltoGBjg/edit#gid=934712705"",""ESENCIAL!A6:BG""),15,FALSE))"),"")</f>
        <v/>
      </c>
      <c r="AX697" s="21" t="str">
        <f ca="1">IFERROR(__xludf.DUMMYFUNCTION("IFERROR(VLOOKUP(E714&amp;F714,IMPORTRANGE(""https://docs.google.com/spreadsheets/d/1Uw7-A9f9R21vMXxHZFNpYNeKFtG8_yji4HS352LGlSQ/edit?pli=1#gid=0"",""1_ACUM!A4:S""),12,FALSE))"),"")</f>
        <v/>
      </c>
      <c r="AY697" s="43" t="str">
        <f ca="1">IFERROR(__xludf.DUMMYFUNCTION("IFERROR(VLOOKUP(E714&amp;F714,IMPORTRANGE(""https://docs.google.com/spreadsheets/d/1Uw7-A9f9R21vMXxHZFNpYNeKFtG8_yji4HS352LGlSQ/edit?pli=1#gid=0"",""1_ACUM!A4:S""),13,FALSE))"),"")</f>
        <v/>
      </c>
      <c r="AZ697" s="43" t="str">
        <f ca="1">IFERROR(__xludf.DUMMYFUNCTION("IFERROR(VLOOKUP(E714&amp;F714,IMPORTRANGE(""https://docs.google.com/spreadsheets/d/1Uw7-A9f9R21vMXxHZFNpYNeKFtG8_yji4HS352LGlSQ/edit?pli=1#gid=0"",""1_ACUM!A4:S""),14,FALSE))"),"")</f>
        <v/>
      </c>
      <c r="BA697" s="43" t="str">
        <f ca="1">IFERROR(__xludf.DUMMYFUNCTION("IFERROR(VLOOKUP(E714&amp;F714,IMPORTRANGE(""https://docs.google.com/spreadsheets/d/1Uw7-A9f9R21vMXxHZFNpYNeKFtG8_yji4HS352LGlSQ/edit?pli=1#gid=0"",""1_ACUM!A4:S""),15,FALSE))"),"")</f>
        <v/>
      </c>
      <c r="BB697" s="43" t="str">
        <f ca="1">IFERROR(__xludf.DUMMYFUNCTION("IFERROR(VLOOKUP(E714&amp;F714,IMPORTRANGE(""https://docs.google.com/spreadsheets/d/1Uw7-A9f9R21vMXxHZFNpYNeKFtG8_yji4HS352LGlSQ/edit?pli=1#gid=0"",""1_ACUM!A4:S""),16,FALSE))"),"")</f>
        <v/>
      </c>
      <c r="BC697" s="43" t="str">
        <f ca="1">IFERROR(__xludf.DUMMYFUNCTION("IFERROR(VLOOKUP(E714&amp;F714,IMPORTRANGE(""https://docs.google.com/spreadsheets/d/1Uw7-A9f9R21vMXxHZFNpYNeKFtG8_yji4HS352LGlSQ/edit?pli=1#gid=0"",""1_ACUM!A4:S""),17,FALSE))"),"")</f>
        <v/>
      </c>
      <c r="BD697" s="44" t="str">
        <f ca="1">IFERROR(__xludf.DUMMYFUNCTION("IFERROR(VLOOKUP(E714&amp;F714,IMPORTRANGE(""https://docs.google.com/spreadsheets/d/1Uw7-A9f9R21vMXxHZFNpYNeKFtG8_yji4HS352LGlSQ/edit?pli=1#gid=0"",""1_ACUM!A4:S""),18,FALSE))"),"")</f>
        <v/>
      </c>
      <c r="BE697" s="44" t="str">
        <f ca="1">IFERROR(__xludf.DUMMYFUNCTION("IFERROR(VLOOKUP(E714&amp;F714,IMPORTRANGE(""https://docs.google.com/spreadsheets/d/1Uw7-A9f9R21vMXxHZFNpYNeKFtG8_yji4HS352LGlSQ/edit?pli=1#gid=0"",""1_ACUM!A4:S""),19,FALSE))"),"")</f>
        <v/>
      </c>
      <c r="BF697" s="44" t="str">
        <f ca="1">IFERROR(__xludf.DUMMYFUNCTION("IFERROR(VLOOKUP(F714,IMPORTRANGE(""https://docs.google.com/spreadsheets/d/1Kvs4KS76FHFqLFIZfrDMff4kP08nblUkihrxltoGBjg/edit#gid=934712705"",""ESENCIAL!A6:BG""),5,FALSE))"),"")</f>
        <v/>
      </c>
      <c r="BG697" s="44" t="str">
        <f t="shared" si="41"/>
        <v/>
      </c>
      <c r="BH697" s="41" t="str">
        <f t="shared" si="42"/>
        <v/>
      </c>
      <c r="BI697" s="41" t="str">
        <f ca="1">IFERROR(__xludf.DUMMYFUNCTION("IFERROR(VLOOKUP(F714,IMPORTRANGE(""https://docs.google.com/spreadsheets/d/1Kvs4KS76FHFqLFIZfrDMff4kP08nblUkihrxltoGBjg/edit#gid=934712705"",""ESENCIAL!A6:BG""),18,FALSE))"),"")</f>
        <v/>
      </c>
      <c r="BJ697" s="19" t="str">
        <f t="shared" si="43"/>
        <v/>
      </c>
      <c r="BK697" s="41"/>
      <c r="BL697" s="41"/>
    </row>
    <row r="698" spans="1:64" ht="15">
      <c r="A698" s="4"/>
      <c r="B698" s="4"/>
      <c r="G698" s="5" t="str">
        <f ca="1">IFERROR(__xludf.DUMMYFUNCTION("IFERROR(VLOOKUP(F715,IMPORTRANGE(""https://docs.google.com/spreadsheets/d/1Kvs4KS76FHFqLFIZfrDMff4kP08nblUkihrxltoGBjg/edit#gid=934712705"",""ESENCIAL!A6:BG""),3,FALSE))"),"")</f>
        <v/>
      </c>
      <c r="H698" s="5" t="str">
        <f ca="1">IFERROR(__xludf.DUMMYFUNCTION("IFERROR(VLOOKUP(F715,IMPORTRANGE(""https://docs.google.com/spreadsheets/d/1Kvs4KS76FHFqLFIZfrDMff4kP08nblUkihrxltoGBjg/edit#gid=934712705"",""ESENCIAL!A6:BG""),8,FALSE))"),"")</f>
        <v/>
      </c>
      <c r="L698" s="287"/>
      <c r="S698"/>
      <c r="AU698" s="41" t="str">
        <f t="shared" si="40"/>
        <v/>
      </c>
      <c r="AV698" s="5" t="str">
        <f ca="1">IFERROR(__xludf.DUMMYFUNCTION("IFERROR(VLOOKUP(E715&amp;F715,IMPORTRANGE(""https://docs.google.com/spreadsheets/d/1Uw7-A9f9R21vMXxHZFNpYNeKFtG8_yji4HS352LGlSQ/edit?pli=1#gid=0"",""1_ACUM!A4:S""),11,FALSE))"),"")</f>
        <v/>
      </c>
      <c r="AW698" s="42" t="str">
        <f ca="1">IFERROR(__xludf.DUMMYFUNCTION("IFERROR(VLOOKUP(F715,IMPORTRANGE(""https://docs.google.com/spreadsheets/d/1Kvs4KS76FHFqLFIZfrDMff4kP08nblUkihrxltoGBjg/edit#gid=934712705"",""ESENCIAL!A6:BG""),15,FALSE))"),"")</f>
        <v/>
      </c>
      <c r="AX698" s="21" t="str">
        <f ca="1">IFERROR(__xludf.DUMMYFUNCTION("IFERROR(VLOOKUP(E715&amp;F715,IMPORTRANGE(""https://docs.google.com/spreadsheets/d/1Uw7-A9f9R21vMXxHZFNpYNeKFtG8_yji4HS352LGlSQ/edit?pli=1#gid=0"",""1_ACUM!A4:S""),12,FALSE))"),"")</f>
        <v/>
      </c>
      <c r="AY698" s="43" t="str">
        <f ca="1">IFERROR(__xludf.DUMMYFUNCTION("IFERROR(VLOOKUP(E715&amp;F715,IMPORTRANGE(""https://docs.google.com/spreadsheets/d/1Uw7-A9f9R21vMXxHZFNpYNeKFtG8_yji4HS352LGlSQ/edit?pli=1#gid=0"",""1_ACUM!A4:S""),13,FALSE))"),"")</f>
        <v/>
      </c>
      <c r="AZ698" s="43" t="str">
        <f ca="1">IFERROR(__xludf.DUMMYFUNCTION("IFERROR(VLOOKUP(E715&amp;F715,IMPORTRANGE(""https://docs.google.com/spreadsheets/d/1Uw7-A9f9R21vMXxHZFNpYNeKFtG8_yji4HS352LGlSQ/edit?pli=1#gid=0"",""1_ACUM!A4:S""),14,FALSE))"),"")</f>
        <v/>
      </c>
      <c r="BA698" s="43" t="str">
        <f ca="1">IFERROR(__xludf.DUMMYFUNCTION("IFERROR(VLOOKUP(E715&amp;F715,IMPORTRANGE(""https://docs.google.com/spreadsheets/d/1Uw7-A9f9R21vMXxHZFNpYNeKFtG8_yji4HS352LGlSQ/edit?pli=1#gid=0"",""1_ACUM!A4:S""),15,FALSE))"),"")</f>
        <v/>
      </c>
      <c r="BB698" s="43" t="str">
        <f ca="1">IFERROR(__xludf.DUMMYFUNCTION("IFERROR(VLOOKUP(E715&amp;F715,IMPORTRANGE(""https://docs.google.com/spreadsheets/d/1Uw7-A9f9R21vMXxHZFNpYNeKFtG8_yji4HS352LGlSQ/edit?pli=1#gid=0"",""1_ACUM!A4:S""),16,FALSE))"),"")</f>
        <v/>
      </c>
      <c r="BC698" s="43" t="str">
        <f ca="1">IFERROR(__xludf.DUMMYFUNCTION("IFERROR(VLOOKUP(E715&amp;F715,IMPORTRANGE(""https://docs.google.com/spreadsheets/d/1Uw7-A9f9R21vMXxHZFNpYNeKFtG8_yji4HS352LGlSQ/edit?pli=1#gid=0"",""1_ACUM!A4:S""),17,FALSE))"),"")</f>
        <v/>
      </c>
      <c r="BD698" s="44" t="str">
        <f ca="1">IFERROR(__xludf.DUMMYFUNCTION("IFERROR(VLOOKUP(E715&amp;F715,IMPORTRANGE(""https://docs.google.com/spreadsheets/d/1Uw7-A9f9R21vMXxHZFNpYNeKFtG8_yji4HS352LGlSQ/edit?pli=1#gid=0"",""1_ACUM!A4:S""),18,FALSE))"),"")</f>
        <v/>
      </c>
      <c r="BE698" s="44" t="str">
        <f ca="1">IFERROR(__xludf.DUMMYFUNCTION("IFERROR(VLOOKUP(E715&amp;F715,IMPORTRANGE(""https://docs.google.com/spreadsheets/d/1Uw7-A9f9R21vMXxHZFNpYNeKFtG8_yji4HS352LGlSQ/edit?pli=1#gid=0"",""1_ACUM!A4:S""),19,FALSE))"),"")</f>
        <v/>
      </c>
      <c r="BF698" s="44" t="str">
        <f ca="1">IFERROR(__xludf.DUMMYFUNCTION("IFERROR(VLOOKUP(F715,IMPORTRANGE(""https://docs.google.com/spreadsheets/d/1Kvs4KS76FHFqLFIZfrDMff4kP08nblUkihrxltoGBjg/edit#gid=934712705"",""ESENCIAL!A6:BG""),5,FALSE))"),"")</f>
        <v/>
      </c>
      <c r="BG698" s="44" t="str">
        <f t="shared" si="41"/>
        <v/>
      </c>
      <c r="BH698" s="41" t="str">
        <f t="shared" si="42"/>
        <v/>
      </c>
      <c r="BI698" s="41" t="str">
        <f ca="1">IFERROR(__xludf.DUMMYFUNCTION("IFERROR(VLOOKUP(F715,IMPORTRANGE(""https://docs.google.com/spreadsheets/d/1Kvs4KS76FHFqLFIZfrDMff4kP08nblUkihrxltoGBjg/edit#gid=934712705"",""ESENCIAL!A6:BG""),18,FALSE))"),"")</f>
        <v/>
      </c>
      <c r="BJ698" s="19" t="str">
        <f t="shared" si="43"/>
        <v/>
      </c>
      <c r="BK698" s="41"/>
      <c r="BL698" s="41"/>
    </row>
    <row r="699" spans="1:64" ht="15">
      <c r="A699" s="4"/>
      <c r="B699" s="4"/>
      <c r="G699" s="5" t="str">
        <f ca="1">IFERROR(__xludf.DUMMYFUNCTION("IFERROR(VLOOKUP(F716,IMPORTRANGE(""https://docs.google.com/spreadsheets/d/1Kvs4KS76FHFqLFIZfrDMff4kP08nblUkihrxltoGBjg/edit#gid=934712705"",""ESENCIAL!A6:BG""),3,FALSE))"),"")</f>
        <v/>
      </c>
      <c r="H699" s="5" t="str">
        <f ca="1">IFERROR(__xludf.DUMMYFUNCTION("IFERROR(VLOOKUP(F716,IMPORTRANGE(""https://docs.google.com/spreadsheets/d/1Kvs4KS76FHFqLFIZfrDMff4kP08nblUkihrxltoGBjg/edit#gid=934712705"",""ESENCIAL!A6:BG""),8,FALSE))"),"")</f>
        <v/>
      </c>
      <c r="L699" s="287"/>
      <c r="S699"/>
      <c r="AU699" s="41" t="str">
        <f t="shared" si="40"/>
        <v/>
      </c>
      <c r="AV699" s="5" t="str">
        <f ca="1">IFERROR(__xludf.DUMMYFUNCTION("IFERROR(VLOOKUP(E716&amp;F716,IMPORTRANGE(""https://docs.google.com/spreadsheets/d/1Uw7-A9f9R21vMXxHZFNpYNeKFtG8_yji4HS352LGlSQ/edit?pli=1#gid=0"",""1_ACUM!A4:S""),11,FALSE))"),"")</f>
        <v/>
      </c>
      <c r="AW699" s="42" t="str">
        <f ca="1">IFERROR(__xludf.DUMMYFUNCTION("IFERROR(VLOOKUP(F716,IMPORTRANGE(""https://docs.google.com/spreadsheets/d/1Kvs4KS76FHFqLFIZfrDMff4kP08nblUkihrxltoGBjg/edit#gid=934712705"",""ESENCIAL!A6:BG""),15,FALSE))"),"")</f>
        <v/>
      </c>
      <c r="AX699" s="21" t="str">
        <f ca="1">IFERROR(__xludf.DUMMYFUNCTION("IFERROR(VLOOKUP(E716&amp;F716,IMPORTRANGE(""https://docs.google.com/spreadsheets/d/1Uw7-A9f9R21vMXxHZFNpYNeKFtG8_yji4HS352LGlSQ/edit?pli=1#gid=0"",""1_ACUM!A4:S""),12,FALSE))"),"")</f>
        <v/>
      </c>
      <c r="AY699" s="43" t="str">
        <f ca="1">IFERROR(__xludf.DUMMYFUNCTION("IFERROR(VLOOKUP(E716&amp;F716,IMPORTRANGE(""https://docs.google.com/spreadsheets/d/1Uw7-A9f9R21vMXxHZFNpYNeKFtG8_yji4HS352LGlSQ/edit?pli=1#gid=0"",""1_ACUM!A4:S""),13,FALSE))"),"")</f>
        <v/>
      </c>
      <c r="AZ699" s="43" t="str">
        <f ca="1">IFERROR(__xludf.DUMMYFUNCTION("IFERROR(VLOOKUP(E716&amp;F716,IMPORTRANGE(""https://docs.google.com/spreadsheets/d/1Uw7-A9f9R21vMXxHZFNpYNeKFtG8_yji4HS352LGlSQ/edit?pli=1#gid=0"",""1_ACUM!A4:S""),14,FALSE))"),"")</f>
        <v/>
      </c>
      <c r="BA699" s="43" t="str">
        <f ca="1">IFERROR(__xludf.DUMMYFUNCTION("IFERROR(VLOOKUP(E716&amp;F716,IMPORTRANGE(""https://docs.google.com/spreadsheets/d/1Uw7-A9f9R21vMXxHZFNpYNeKFtG8_yji4HS352LGlSQ/edit?pli=1#gid=0"",""1_ACUM!A4:S""),15,FALSE))"),"")</f>
        <v/>
      </c>
      <c r="BB699" s="43" t="str">
        <f ca="1">IFERROR(__xludf.DUMMYFUNCTION("IFERROR(VLOOKUP(E716&amp;F716,IMPORTRANGE(""https://docs.google.com/spreadsheets/d/1Uw7-A9f9R21vMXxHZFNpYNeKFtG8_yji4HS352LGlSQ/edit?pli=1#gid=0"",""1_ACUM!A4:S""),16,FALSE))"),"")</f>
        <v/>
      </c>
      <c r="BC699" s="43" t="str">
        <f ca="1">IFERROR(__xludf.DUMMYFUNCTION("IFERROR(VLOOKUP(E716&amp;F716,IMPORTRANGE(""https://docs.google.com/spreadsheets/d/1Uw7-A9f9R21vMXxHZFNpYNeKFtG8_yji4HS352LGlSQ/edit?pli=1#gid=0"",""1_ACUM!A4:S""),17,FALSE))"),"")</f>
        <v/>
      </c>
      <c r="BD699" s="44" t="str">
        <f ca="1">IFERROR(__xludf.DUMMYFUNCTION("IFERROR(VLOOKUP(E716&amp;F716,IMPORTRANGE(""https://docs.google.com/spreadsheets/d/1Uw7-A9f9R21vMXxHZFNpYNeKFtG8_yji4HS352LGlSQ/edit?pli=1#gid=0"",""1_ACUM!A4:S""),18,FALSE))"),"")</f>
        <v/>
      </c>
      <c r="BE699" s="44" t="str">
        <f ca="1">IFERROR(__xludf.DUMMYFUNCTION("IFERROR(VLOOKUP(E716&amp;F716,IMPORTRANGE(""https://docs.google.com/spreadsheets/d/1Uw7-A9f9R21vMXxHZFNpYNeKFtG8_yji4HS352LGlSQ/edit?pli=1#gid=0"",""1_ACUM!A4:S""),19,FALSE))"),"")</f>
        <v/>
      </c>
      <c r="BF699" s="44" t="str">
        <f ca="1">IFERROR(__xludf.DUMMYFUNCTION("IFERROR(VLOOKUP(F716,IMPORTRANGE(""https://docs.google.com/spreadsheets/d/1Kvs4KS76FHFqLFIZfrDMff4kP08nblUkihrxltoGBjg/edit#gid=934712705"",""ESENCIAL!A6:BG""),5,FALSE))"),"")</f>
        <v/>
      </c>
      <c r="BG699" s="44" t="str">
        <f t="shared" si="41"/>
        <v/>
      </c>
      <c r="BH699" s="41" t="str">
        <f t="shared" si="42"/>
        <v/>
      </c>
      <c r="BI699" s="41" t="str">
        <f ca="1">IFERROR(__xludf.DUMMYFUNCTION("IFERROR(VLOOKUP(F716,IMPORTRANGE(""https://docs.google.com/spreadsheets/d/1Kvs4KS76FHFqLFIZfrDMff4kP08nblUkihrxltoGBjg/edit#gid=934712705"",""ESENCIAL!A6:BG""),18,FALSE))"),"")</f>
        <v/>
      </c>
      <c r="BJ699" s="19" t="str">
        <f t="shared" si="43"/>
        <v/>
      </c>
      <c r="BK699" s="41"/>
      <c r="BL699" s="41"/>
    </row>
    <row r="700" spans="1:64" ht="15">
      <c r="A700" s="4"/>
      <c r="B700" s="4"/>
      <c r="G700" s="5" t="str">
        <f ca="1">IFERROR(__xludf.DUMMYFUNCTION("IFERROR(VLOOKUP(F717,IMPORTRANGE(""https://docs.google.com/spreadsheets/d/1Kvs4KS76FHFqLFIZfrDMff4kP08nblUkihrxltoGBjg/edit#gid=934712705"",""ESENCIAL!A6:BG""),3,FALSE))"),"")</f>
        <v/>
      </c>
      <c r="H700" s="5" t="str">
        <f ca="1">IFERROR(__xludf.DUMMYFUNCTION("IFERROR(VLOOKUP(F717,IMPORTRANGE(""https://docs.google.com/spreadsheets/d/1Kvs4KS76FHFqLFIZfrDMff4kP08nblUkihrxltoGBjg/edit#gid=934712705"",""ESENCIAL!A6:BG""),8,FALSE))"),"")</f>
        <v/>
      </c>
      <c r="L700" s="287"/>
      <c r="S700"/>
      <c r="AU700" s="41" t="str">
        <f t="shared" si="40"/>
        <v/>
      </c>
      <c r="AV700" s="5" t="str">
        <f ca="1">IFERROR(__xludf.DUMMYFUNCTION("IFERROR(VLOOKUP(E717&amp;F717,IMPORTRANGE(""https://docs.google.com/spreadsheets/d/1Uw7-A9f9R21vMXxHZFNpYNeKFtG8_yji4HS352LGlSQ/edit?pli=1#gid=0"",""1_ACUM!A4:S""),11,FALSE))"),"")</f>
        <v/>
      </c>
      <c r="AW700" s="42" t="str">
        <f ca="1">IFERROR(__xludf.DUMMYFUNCTION("IFERROR(VLOOKUP(F717,IMPORTRANGE(""https://docs.google.com/spreadsheets/d/1Kvs4KS76FHFqLFIZfrDMff4kP08nblUkihrxltoGBjg/edit#gid=934712705"",""ESENCIAL!A6:BG""),15,FALSE))"),"")</f>
        <v/>
      </c>
      <c r="AX700" s="21" t="str">
        <f ca="1">IFERROR(__xludf.DUMMYFUNCTION("IFERROR(VLOOKUP(E717&amp;F717,IMPORTRANGE(""https://docs.google.com/spreadsheets/d/1Uw7-A9f9R21vMXxHZFNpYNeKFtG8_yji4HS352LGlSQ/edit?pli=1#gid=0"",""1_ACUM!A4:S""),12,FALSE))"),"")</f>
        <v/>
      </c>
      <c r="AY700" s="43" t="str">
        <f ca="1">IFERROR(__xludf.DUMMYFUNCTION("IFERROR(VLOOKUP(E717&amp;F717,IMPORTRANGE(""https://docs.google.com/spreadsheets/d/1Uw7-A9f9R21vMXxHZFNpYNeKFtG8_yji4HS352LGlSQ/edit?pli=1#gid=0"",""1_ACUM!A4:S""),13,FALSE))"),"")</f>
        <v/>
      </c>
      <c r="AZ700" s="43" t="str">
        <f ca="1">IFERROR(__xludf.DUMMYFUNCTION("IFERROR(VLOOKUP(E717&amp;F717,IMPORTRANGE(""https://docs.google.com/spreadsheets/d/1Uw7-A9f9R21vMXxHZFNpYNeKFtG8_yji4HS352LGlSQ/edit?pli=1#gid=0"",""1_ACUM!A4:S""),14,FALSE))"),"")</f>
        <v/>
      </c>
      <c r="BA700" s="43" t="str">
        <f ca="1">IFERROR(__xludf.DUMMYFUNCTION("IFERROR(VLOOKUP(E717&amp;F717,IMPORTRANGE(""https://docs.google.com/spreadsheets/d/1Uw7-A9f9R21vMXxHZFNpYNeKFtG8_yji4HS352LGlSQ/edit?pli=1#gid=0"",""1_ACUM!A4:S""),15,FALSE))"),"")</f>
        <v/>
      </c>
      <c r="BB700" s="43" t="str">
        <f ca="1">IFERROR(__xludf.DUMMYFUNCTION("IFERROR(VLOOKUP(E717&amp;F717,IMPORTRANGE(""https://docs.google.com/spreadsheets/d/1Uw7-A9f9R21vMXxHZFNpYNeKFtG8_yji4HS352LGlSQ/edit?pli=1#gid=0"",""1_ACUM!A4:S""),16,FALSE))"),"")</f>
        <v/>
      </c>
      <c r="BC700" s="43" t="str">
        <f ca="1">IFERROR(__xludf.DUMMYFUNCTION("IFERROR(VLOOKUP(E717&amp;F717,IMPORTRANGE(""https://docs.google.com/spreadsheets/d/1Uw7-A9f9R21vMXxHZFNpYNeKFtG8_yji4HS352LGlSQ/edit?pli=1#gid=0"",""1_ACUM!A4:S""),17,FALSE))"),"")</f>
        <v/>
      </c>
      <c r="BD700" s="44" t="str">
        <f ca="1">IFERROR(__xludf.DUMMYFUNCTION("IFERROR(VLOOKUP(E717&amp;F717,IMPORTRANGE(""https://docs.google.com/spreadsheets/d/1Uw7-A9f9R21vMXxHZFNpYNeKFtG8_yji4HS352LGlSQ/edit?pli=1#gid=0"",""1_ACUM!A4:S""),18,FALSE))"),"")</f>
        <v/>
      </c>
      <c r="BE700" s="44" t="str">
        <f ca="1">IFERROR(__xludf.DUMMYFUNCTION("IFERROR(VLOOKUP(E717&amp;F717,IMPORTRANGE(""https://docs.google.com/spreadsheets/d/1Uw7-A9f9R21vMXxHZFNpYNeKFtG8_yji4HS352LGlSQ/edit?pli=1#gid=0"",""1_ACUM!A4:S""),19,FALSE))"),"")</f>
        <v/>
      </c>
      <c r="BF700" s="44" t="str">
        <f ca="1">IFERROR(__xludf.DUMMYFUNCTION("IFERROR(VLOOKUP(F717,IMPORTRANGE(""https://docs.google.com/spreadsheets/d/1Kvs4KS76FHFqLFIZfrDMff4kP08nblUkihrxltoGBjg/edit#gid=934712705"",""ESENCIAL!A6:BG""),5,FALSE))"),"")</f>
        <v/>
      </c>
      <c r="BG700" s="44" t="str">
        <f t="shared" si="41"/>
        <v/>
      </c>
      <c r="BH700" s="41" t="str">
        <f t="shared" si="42"/>
        <v/>
      </c>
      <c r="BI700" s="41" t="str">
        <f ca="1">IFERROR(__xludf.DUMMYFUNCTION("IFERROR(VLOOKUP(F717,IMPORTRANGE(""https://docs.google.com/spreadsheets/d/1Kvs4KS76FHFqLFIZfrDMff4kP08nblUkihrxltoGBjg/edit#gid=934712705"",""ESENCIAL!A6:BG""),18,FALSE))"),"")</f>
        <v/>
      </c>
      <c r="BJ700" s="19" t="str">
        <f t="shared" si="43"/>
        <v/>
      </c>
      <c r="BK700" s="41"/>
      <c r="BL700" s="41"/>
    </row>
    <row r="701" spans="1:64" ht="15">
      <c r="A701" s="4"/>
      <c r="B701" s="4"/>
      <c r="G701" s="5" t="str">
        <f ca="1">IFERROR(__xludf.DUMMYFUNCTION("IFERROR(VLOOKUP(F718,IMPORTRANGE(""https://docs.google.com/spreadsheets/d/1Kvs4KS76FHFqLFIZfrDMff4kP08nblUkihrxltoGBjg/edit#gid=934712705"",""ESENCIAL!A6:BG""),3,FALSE))"),"")</f>
        <v/>
      </c>
      <c r="H701" s="5" t="str">
        <f ca="1">IFERROR(__xludf.DUMMYFUNCTION("IFERROR(VLOOKUP(F718,IMPORTRANGE(""https://docs.google.com/spreadsheets/d/1Kvs4KS76FHFqLFIZfrDMff4kP08nblUkihrxltoGBjg/edit#gid=934712705"",""ESENCIAL!A6:BG""),8,FALSE))"),"")</f>
        <v/>
      </c>
      <c r="L701" s="287"/>
      <c r="S701"/>
      <c r="AU701" s="41" t="str">
        <f t="shared" si="40"/>
        <v/>
      </c>
      <c r="AV701" s="5" t="str">
        <f ca="1">IFERROR(__xludf.DUMMYFUNCTION("IFERROR(VLOOKUP(E718&amp;F718,IMPORTRANGE(""https://docs.google.com/spreadsheets/d/1Uw7-A9f9R21vMXxHZFNpYNeKFtG8_yji4HS352LGlSQ/edit?pli=1#gid=0"",""1_ACUM!A4:S""),11,FALSE))"),"")</f>
        <v/>
      </c>
      <c r="AW701" s="42" t="str">
        <f ca="1">IFERROR(__xludf.DUMMYFUNCTION("IFERROR(VLOOKUP(F718,IMPORTRANGE(""https://docs.google.com/spreadsheets/d/1Kvs4KS76FHFqLFIZfrDMff4kP08nblUkihrxltoGBjg/edit#gid=934712705"",""ESENCIAL!A6:BG""),15,FALSE))"),"")</f>
        <v/>
      </c>
      <c r="AX701" s="21" t="str">
        <f ca="1">IFERROR(__xludf.DUMMYFUNCTION("IFERROR(VLOOKUP(E718&amp;F718,IMPORTRANGE(""https://docs.google.com/spreadsheets/d/1Uw7-A9f9R21vMXxHZFNpYNeKFtG8_yji4HS352LGlSQ/edit?pli=1#gid=0"",""1_ACUM!A4:S""),12,FALSE))"),"")</f>
        <v/>
      </c>
      <c r="AY701" s="43" t="str">
        <f ca="1">IFERROR(__xludf.DUMMYFUNCTION("IFERROR(VLOOKUP(E718&amp;F718,IMPORTRANGE(""https://docs.google.com/spreadsheets/d/1Uw7-A9f9R21vMXxHZFNpYNeKFtG8_yji4HS352LGlSQ/edit?pli=1#gid=0"",""1_ACUM!A4:S""),13,FALSE))"),"")</f>
        <v/>
      </c>
      <c r="AZ701" s="43" t="str">
        <f ca="1">IFERROR(__xludf.DUMMYFUNCTION("IFERROR(VLOOKUP(E718&amp;F718,IMPORTRANGE(""https://docs.google.com/spreadsheets/d/1Uw7-A9f9R21vMXxHZFNpYNeKFtG8_yji4HS352LGlSQ/edit?pli=1#gid=0"",""1_ACUM!A4:S""),14,FALSE))"),"")</f>
        <v/>
      </c>
      <c r="BA701" s="43" t="str">
        <f ca="1">IFERROR(__xludf.DUMMYFUNCTION("IFERROR(VLOOKUP(E718&amp;F718,IMPORTRANGE(""https://docs.google.com/spreadsheets/d/1Uw7-A9f9R21vMXxHZFNpYNeKFtG8_yji4HS352LGlSQ/edit?pli=1#gid=0"",""1_ACUM!A4:S""),15,FALSE))"),"")</f>
        <v/>
      </c>
      <c r="BB701" s="43" t="str">
        <f ca="1">IFERROR(__xludf.DUMMYFUNCTION("IFERROR(VLOOKUP(E718&amp;F718,IMPORTRANGE(""https://docs.google.com/spreadsheets/d/1Uw7-A9f9R21vMXxHZFNpYNeKFtG8_yji4HS352LGlSQ/edit?pli=1#gid=0"",""1_ACUM!A4:S""),16,FALSE))"),"")</f>
        <v/>
      </c>
      <c r="BC701" s="43" t="str">
        <f ca="1">IFERROR(__xludf.DUMMYFUNCTION("IFERROR(VLOOKUP(E718&amp;F718,IMPORTRANGE(""https://docs.google.com/spreadsheets/d/1Uw7-A9f9R21vMXxHZFNpYNeKFtG8_yji4HS352LGlSQ/edit?pli=1#gid=0"",""1_ACUM!A4:S""),17,FALSE))"),"")</f>
        <v/>
      </c>
      <c r="BD701" s="44" t="str">
        <f ca="1">IFERROR(__xludf.DUMMYFUNCTION("IFERROR(VLOOKUP(E718&amp;F718,IMPORTRANGE(""https://docs.google.com/spreadsheets/d/1Uw7-A9f9R21vMXxHZFNpYNeKFtG8_yji4HS352LGlSQ/edit?pli=1#gid=0"",""1_ACUM!A4:S""),18,FALSE))"),"")</f>
        <v/>
      </c>
      <c r="BE701" s="44" t="str">
        <f ca="1">IFERROR(__xludf.DUMMYFUNCTION("IFERROR(VLOOKUP(E718&amp;F718,IMPORTRANGE(""https://docs.google.com/spreadsheets/d/1Uw7-A9f9R21vMXxHZFNpYNeKFtG8_yji4HS352LGlSQ/edit?pli=1#gid=0"",""1_ACUM!A4:S""),19,FALSE))"),"")</f>
        <v/>
      </c>
      <c r="BF701" s="44" t="str">
        <f ca="1">IFERROR(__xludf.DUMMYFUNCTION("IFERROR(VLOOKUP(F718,IMPORTRANGE(""https://docs.google.com/spreadsheets/d/1Kvs4KS76FHFqLFIZfrDMff4kP08nblUkihrxltoGBjg/edit#gid=934712705"",""ESENCIAL!A6:BG""),5,FALSE))"),"")</f>
        <v/>
      </c>
      <c r="BG701" s="44" t="str">
        <f t="shared" si="41"/>
        <v/>
      </c>
      <c r="BH701" s="41" t="str">
        <f t="shared" si="42"/>
        <v/>
      </c>
      <c r="BI701" s="41" t="str">
        <f ca="1">IFERROR(__xludf.DUMMYFUNCTION("IFERROR(VLOOKUP(F718,IMPORTRANGE(""https://docs.google.com/spreadsheets/d/1Kvs4KS76FHFqLFIZfrDMff4kP08nblUkihrxltoGBjg/edit#gid=934712705"",""ESENCIAL!A6:BG""),18,FALSE))"),"")</f>
        <v/>
      </c>
      <c r="BJ701" s="19" t="str">
        <f t="shared" si="43"/>
        <v/>
      </c>
      <c r="BK701" s="41"/>
      <c r="BL701" s="41"/>
    </row>
    <row r="702" spans="1:64" ht="15">
      <c r="A702" s="4"/>
      <c r="B702" s="4"/>
      <c r="G702" s="5" t="str">
        <f ca="1">IFERROR(__xludf.DUMMYFUNCTION("IFERROR(VLOOKUP(F719,IMPORTRANGE(""https://docs.google.com/spreadsheets/d/1Kvs4KS76FHFqLFIZfrDMff4kP08nblUkihrxltoGBjg/edit#gid=934712705"",""ESENCIAL!A6:BG""),3,FALSE))"),"")</f>
        <v/>
      </c>
      <c r="H702" s="5" t="str">
        <f ca="1">IFERROR(__xludf.DUMMYFUNCTION("IFERROR(VLOOKUP(F719,IMPORTRANGE(""https://docs.google.com/spreadsheets/d/1Kvs4KS76FHFqLFIZfrDMff4kP08nblUkihrxltoGBjg/edit#gid=934712705"",""ESENCIAL!A6:BG""),8,FALSE))"),"")</f>
        <v/>
      </c>
      <c r="L702" s="287"/>
      <c r="S702"/>
      <c r="AU702" s="41" t="str">
        <f t="shared" si="40"/>
        <v/>
      </c>
      <c r="AV702" s="5" t="str">
        <f ca="1">IFERROR(__xludf.DUMMYFUNCTION("IFERROR(VLOOKUP(E719&amp;F719,IMPORTRANGE(""https://docs.google.com/spreadsheets/d/1Uw7-A9f9R21vMXxHZFNpYNeKFtG8_yji4HS352LGlSQ/edit?pli=1#gid=0"",""1_ACUM!A4:S""),11,FALSE))"),"")</f>
        <v/>
      </c>
      <c r="AW702" s="42" t="str">
        <f ca="1">IFERROR(__xludf.DUMMYFUNCTION("IFERROR(VLOOKUP(F719,IMPORTRANGE(""https://docs.google.com/spreadsheets/d/1Kvs4KS76FHFqLFIZfrDMff4kP08nblUkihrxltoGBjg/edit#gid=934712705"",""ESENCIAL!A6:BG""),15,FALSE))"),"")</f>
        <v/>
      </c>
      <c r="AX702" s="21" t="str">
        <f ca="1">IFERROR(__xludf.DUMMYFUNCTION("IFERROR(VLOOKUP(E719&amp;F719,IMPORTRANGE(""https://docs.google.com/spreadsheets/d/1Uw7-A9f9R21vMXxHZFNpYNeKFtG8_yji4HS352LGlSQ/edit?pli=1#gid=0"",""1_ACUM!A4:S""),12,FALSE))"),"")</f>
        <v/>
      </c>
      <c r="AY702" s="43" t="str">
        <f ca="1">IFERROR(__xludf.DUMMYFUNCTION("IFERROR(VLOOKUP(E719&amp;F719,IMPORTRANGE(""https://docs.google.com/spreadsheets/d/1Uw7-A9f9R21vMXxHZFNpYNeKFtG8_yji4HS352LGlSQ/edit?pli=1#gid=0"",""1_ACUM!A4:S""),13,FALSE))"),"")</f>
        <v/>
      </c>
      <c r="AZ702" s="43" t="str">
        <f ca="1">IFERROR(__xludf.DUMMYFUNCTION("IFERROR(VLOOKUP(E719&amp;F719,IMPORTRANGE(""https://docs.google.com/spreadsheets/d/1Uw7-A9f9R21vMXxHZFNpYNeKFtG8_yji4HS352LGlSQ/edit?pli=1#gid=0"",""1_ACUM!A4:S""),14,FALSE))"),"")</f>
        <v/>
      </c>
      <c r="BA702" s="43" t="str">
        <f ca="1">IFERROR(__xludf.DUMMYFUNCTION("IFERROR(VLOOKUP(E719&amp;F719,IMPORTRANGE(""https://docs.google.com/spreadsheets/d/1Uw7-A9f9R21vMXxHZFNpYNeKFtG8_yji4HS352LGlSQ/edit?pli=1#gid=0"",""1_ACUM!A4:S""),15,FALSE))"),"")</f>
        <v/>
      </c>
      <c r="BB702" s="43" t="str">
        <f ca="1">IFERROR(__xludf.DUMMYFUNCTION("IFERROR(VLOOKUP(E719&amp;F719,IMPORTRANGE(""https://docs.google.com/spreadsheets/d/1Uw7-A9f9R21vMXxHZFNpYNeKFtG8_yji4HS352LGlSQ/edit?pli=1#gid=0"",""1_ACUM!A4:S""),16,FALSE))"),"")</f>
        <v/>
      </c>
      <c r="BC702" s="43" t="str">
        <f ca="1">IFERROR(__xludf.DUMMYFUNCTION("IFERROR(VLOOKUP(E719&amp;F719,IMPORTRANGE(""https://docs.google.com/spreadsheets/d/1Uw7-A9f9R21vMXxHZFNpYNeKFtG8_yji4HS352LGlSQ/edit?pli=1#gid=0"",""1_ACUM!A4:S""),17,FALSE))"),"")</f>
        <v/>
      </c>
      <c r="BD702" s="44" t="str">
        <f ca="1">IFERROR(__xludf.DUMMYFUNCTION("IFERROR(VLOOKUP(E719&amp;F719,IMPORTRANGE(""https://docs.google.com/spreadsheets/d/1Uw7-A9f9R21vMXxHZFNpYNeKFtG8_yji4HS352LGlSQ/edit?pli=1#gid=0"",""1_ACUM!A4:S""),18,FALSE))"),"")</f>
        <v/>
      </c>
      <c r="BE702" s="44" t="str">
        <f ca="1">IFERROR(__xludf.DUMMYFUNCTION("IFERROR(VLOOKUP(E719&amp;F719,IMPORTRANGE(""https://docs.google.com/spreadsheets/d/1Uw7-A9f9R21vMXxHZFNpYNeKFtG8_yji4HS352LGlSQ/edit?pli=1#gid=0"",""1_ACUM!A4:S""),19,FALSE))"),"")</f>
        <v/>
      </c>
      <c r="BF702" s="44" t="str">
        <f ca="1">IFERROR(__xludf.DUMMYFUNCTION("IFERROR(VLOOKUP(F719,IMPORTRANGE(""https://docs.google.com/spreadsheets/d/1Kvs4KS76FHFqLFIZfrDMff4kP08nblUkihrxltoGBjg/edit#gid=934712705"",""ESENCIAL!A6:BG""),5,FALSE))"),"")</f>
        <v/>
      </c>
      <c r="BG702" s="44" t="str">
        <f t="shared" si="41"/>
        <v/>
      </c>
      <c r="BH702" s="41" t="str">
        <f t="shared" si="42"/>
        <v/>
      </c>
      <c r="BI702" s="41" t="str">
        <f ca="1">IFERROR(__xludf.DUMMYFUNCTION("IFERROR(VLOOKUP(F719,IMPORTRANGE(""https://docs.google.com/spreadsheets/d/1Kvs4KS76FHFqLFIZfrDMff4kP08nblUkihrxltoGBjg/edit#gid=934712705"",""ESENCIAL!A6:BG""),18,FALSE))"),"")</f>
        <v/>
      </c>
      <c r="BJ702" s="19" t="str">
        <f t="shared" si="43"/>
        <v/>
      </c>
      <c r="BK702" s="41"/>
      <c r="BL702" s="41"/>
    </row>
    <row r="703" spans="1:64" ht="15">
      <c r="A703" s="4"/>
      <c r="B703" s="4"/>
      <c r="G703" s="5" t="str">
        <f ca="1">IFERROR(__xludf.DUMMYFUNCTION("IFERROR(VLOOKUP(F720,IMPORTRANGE(""https://docs.google.com/spreadsheets/d/1Kvs4KS76FHFqLFIZfrDMff4kP08nblUkihrxltoGBjg/edit#gid=934712705"",""ESENCIAL!A6:BG""),3,FALSE))"),"")</f>
        <v/>
      </c>
      <c r="H703" s="5" t="str">
        <f ca="1">IFERROR(__xludf.DUMMYFUNCTION("IFERROR(VLOOKUP(F720,IMPORTRANGE(""https://docs.google.com/spreadsheets/d/1Kvs4KS76FHFqLFIZfrDMff4kP08nblUkihrxltoGBjg/edit#gid=934712705"",""ESENCIAL!A6:BG""),8,FALSE))"),"")</f>
        <v/>
      </c>
      <c r="L703" s="287"/>
      <c r="S703"/>
      <c r="AU703" s="41" t="str">
        <f t="shared" si="40"/>
        <v/>
      </c>
      <c r="AV703" s="5" t="str">
        <f ca="1">IFERROR(__xludf.DUMMYFUNCTION("IFERROR(VLOOKUP(E720&amp;F720,IMPORTRANGE(""https://docs.google.com/spreadsheets/d/1Uw7-A9f9R21vMXxHZFNpYNeKFtG8_yji4HS352LGlSQ/edit?pli=1#gid=0"",""1_ACUM!A4:S""),11,FALSE))"),"")</f>
        <v/>
      </c>
      <c r="AW703" s="42" t="str">
        <f ca="1">IFERROR(__xludf.DUMMYFUNCTION("IFERROR(VLOOKUP(F720,IMPORTRANGE(""https://docs.google.com/spreadsheets/d/1Kvs4KS76FHFqLFIZfrDMff4kP08nblUkihrxltoGBjg/edit#gid=934712705"",""ESENCIAL!A6:BG""),15,FALSE))"),"")</f>
        <v/>
      </c>
      <c r="AX703" s="21" t="str">
        <f ca="1">IFERROR(__xludf.DUMMYFUNCTION("IFERROR(VLOOKUP(E720&amp;F720,IMPORTRANGE(""https://docs.google.com/spreadsheets/d/1Uw7-A9f9R21vMXxHZFNpYNeKFtG8_yji4HS352LGlSQ/edit?pli=1#gid=0"",""1_ACUM!A4:S""),12,FALSE))"),"")</f>
        <v/>
      </c>
      <c r="AY703" s="43" t="str">
        <f ca="1">IFERROR(__xludf.DUMMYFUNCTION("IFERROR(VLOOKUP(E720&amp;F720,IMPORTRANGE(""https://docs.google.com/spreadsheets/d/1Uw7-A9f9R21vMXxHZFNpYNeKFtG8_yji4HS352LGlSQ/edit?pli=1#gid=0"",""1_ACUM!A4:S""),13,FALSE))"),"")</f>
        <v/>
      </c>
      <c r="AZ703" s="43" t="str">
        <f ca="1">IFERROR(__xludf.DUMMYFUNCTION("IFERROR(VLOOKUP(E720&amp;F720,IMPORTRANGE(""https://docs.google.com/spreadsheets/d/1Uw7-A9f9R21vMXxHZFNpYNeKFtG8_yji4HS352LGlSQ/edit?pli=1#gid=0"",""1_ACUM!A4:S""),14,FALSE))"),"")</f>
        <v/>
      </c>
      <c r="BA703" s="43" t="str">
        <f ca="1">IFERROR(__xludf.DUMMYFUNCTION("IFERROR(VLOOKUP(E720&amp;F720,IMPORTRANGE(""https://docs.google.com/spreadsheets/d/1Uw7-A9f9R21vMXxHZFNpYNeKFtG8_yji4HS352LGlSQ/edit?pli=1#gid=0"",""1_ACUM!A4:S""),15,FALSE))"),"")</f>
        <v/>
      </c>
      <c r="BB703" s="43" t="str">
        <f ca="1">IFERROR(__xludf.DUMMYFUNCTION("IFERROR(VLOOKUP(E720&amp;F720,IMPORTRANGE(""https://docs.google.com/spreadsheets/d/1Uw7-A9f9R21vMXxHZFNpYNeKFtG8_yji4HS352LGlSQ/edit?pli=1#gid=0"",""1_ACUM!A4:S""),16,FALSE))"),"")</f>
        <v/>
      </c>
      <c r="BC703" s="43" t="str">
        <f ca="1">IFERROR(__xludf.DUMMYFUNCTION("IFERROR(VLOOKUP(E720&amp;F720,IMPORTRANGE(""https://docs.google.com/spreadsheets/d/1Uw7-A9f9R21vMXxHZFNpYNeKFtG8_yji4HS352LGlSQ/edit?pli=1#gid=0"",""1_ACUM!A4:S""),17,FALSE))"),"")</f>
        <v/>
      </c>
      <c r="BD703" s="44" t="str">
        <f ca="1">IFERROR(__xludf.DUMMYFUNCTION("IFERROR(VLOOKUP(E720&amp;F720,IMPORTRANGE(""https://docs.google.com/spreadsheets/d/1Uw7-A9f9R21vMXxHZFNpYNeKFtG8_yji4HS352LGlSQ/edit?pli=1#gid=0"",""1_ACUM!A4:S""),18,FALSE))"),"")</f>
        <v/>
      </c>
      <c r="BE703" s="44" t="str">
        <f ca="1">IFERROR(__xludf.DUMMYFUNCTION("IFERROR(VLOOKUP(E720&amp;F720,IMPORTRANGE(""https://docs.google.com/spreadsheets/d/1Uw7-A9f9R21vMXxHZFNpYNeKFtG8_yji4HS352LGlSQ/edit?pli=1#gid=0"",""1_ACUM!A4:S""),19,FALSE))"),"")</f>
        <v/>
      </c>
      <c r="BF703" s="44" t="str">
        <f ca="1">IFERROR(__xludf.DUMMYFUNCTION("IFERROR(VLOOKUP(F720,IMPORTRANGE(""https://docs.google.com/spreadsheets/d/1Kvs4KS76FHFqLFIZfrDMff4kP08nblUkihrxltoGBjg/edit#gid=934712705"",""ESENCIAL!A6:BG""),5,FALSE))"),"")</f>
        <v/>
      </c>
      <c r="BG703" s="44" t="str">
        <f t="shared" si="41"/>
        <v/>
      </c>
      <c r="BH703" s="41" t="str">
        <f t="shared" si="42"/>
        <v/>
      </c>
      <c r="BI703" s="41" t="str">
        <f ca="1">IFERROR(__xludf.DUMMYFUNCTION("IFERROR(VLOOKUP(F720,IMPORTRANGE(""https://docs.google.com/spreadsheets/d/1Kvs4KS76FHFqLFIZfrDMff4kP08nblUkihrxltoGBjg/edit#gid=934712705"",""ESENCIAL!A6:BG""),18,FALSE))"),"")</f>
        <v/>
      </c>
      <c r="BJ703" s="19" t="str">
        <f t="shared" si="43"/>
        <v/>
      </c>
      <c r="BK703" s="41"/>
      <c r="BL703" s="41"/>
    </row>
    <row r="704" spans="1:64" ht="15">
      <c r="A704" s="4"/>
      <c r="B704" s="4"/>
      <c r="G704" s="5" t="str">
        <f ca="1">IFERROR(__xludf.DUMMYFUNCTION("IFERROR(VLOOKUP(F721,IMPORTRANGE(""https://docs.google.com/spreadsheets/d/1Kvs4KS76FHFqLFIZfrDMff4kP08nblUkihrxltoGBjg/edit#gid=934712705"",""ESENCIAL!A6:BG""),3,FALSE))"),"")</f>
        <v/>
      </c>
      <c r="H704" s="5" t="str">
        <f ca="1">IFERROR(__xludf.DUMMYFUNCTION("IFERROR(VLOOKUP(F721,IMPORTRANGE(""https://docs.google.com/spreadsheets/d/1Kvs4KS76FHFqLFIZfrDMff4kP08nblUkihrxltoGBjg/edit#gid=934712705"",""ESENCIAL!A6:BG""),8,FALSE))"),"")</f>
        <v/>
      </c>
      <c r="L704" s="287"/>
      <c r="S704"/>
      <c r="AU704" s="41" t="str">
        <f t="shared" si="40"/>
        <v/>
      </c>
      <c r="AV704" s="5" t="str">
        <f ca="1">IFERROR(__xludf.DUMMYFUNCTION("IFERROR(VLOOKUP(E721&amp;F721,IMPORTRANGE(""https://docs.google.com/spreadsheets/d/1Uw7-A9f9R21vMXxHZFNpYNeKFtG8_yji4HS352LGlSQ/edit?pli=1#gid=0"",""1_ACUM!A4:S""),11,FALSE))"),"")</f>
        <v/>
      </c>
      <c r="AW704" s="42" t="str">
        <f ca="1">IFERROR(__xludf.DUMMYFUNCTION("IFERROR(VLOOKUP(F721,IMPORTRANGE(""https://docs.google.com/spreadsheets/d/1Kvs4KS76FHFqLFIZfrDMff4kP08nblUkihrxltoGBjg/edit#gid=934712705"",""ESENCIAL!A6:BG""),15,FALSE))"),"")</f>
        <v/>
      </c>
      <c r="AX704" s="21" t="str">
        <f ca="1">IFERROR(__xludf.DUMMYFUNCTION("IFERROR(VLOOKUP(E721&amp;F721,IMPORTRANGE(""https://docs.google.com/spreadsheets/d/1Uw7-A9f9R21vMXxHZFNpYNeKFtG8_yji4HS352LGlSQ/edit?pli=1#gid=0"",""1_ACUM!A4:S""),12,FALSE))"),"")</f>
        <v/>
      </c>
      <c r="AY704" s="43" t="str">
        <f ca="1">IFERROR(__xludf.DUMMYFUNCTION("IFERROR(VLOOKUP(E721&amp;F721,IMPORTRANGE(""https://docs.google.com/spreadsheets/d/1Uw7-A9f9R21vMXxHZFNpYNeKFtG8_yji4HS352LGlSQ/edit?pli=1#gid=0"",""1_ACUM!A4:S""),13,FALSE))"),"")</f>
        <v/>
      </c>
      <c r="AZ704" s="43" t="str">
        <f ca="1">IFERROR(__xludf.DUMMYFUNCTION("IFERROR(VLOOKUP(E721&amp;F721,IMPORTRANGE(""https://docs.google.com/spreadsheets/d/1Uw7-A9f9R21vMXxHZFNpYNeKFtG8_yji4HS352LGlSQ/edit?pli=1#gid=0"",""1_ACUM!A4:S""),14,FALSE))"),"")</f>
        <v/>
      </c>
      <c r="BA704" s="43" t="str">
        <f ca="1">IFERROR(__xludf.DUMMYFUNCTION("IFERROR(VLOOKUP(E721&amp;F721,IMPORTRANGE(""https://docs.google.com/spreadsheets/d/1Uw7-A9f9R21vMXxHZFNpYNeKFtG8_yji4HS352LGlSQ/edit?pli=1#gid=0"",""1_ACUM!A4:S""),15,FALSE))"),"")</f>
        <v/>
      </c>
      <c r="BB704" s="43" t="str">
        <f ca="1">IFERROR(__xludf.DUMMYFUNCTION("IFERROR(VLOOKUP(E721&amp;F721,IMPORTRANGE(""https://docs.google.com/spreadsheets/d/1Uw7-A9f9R21vMXxHZFNpYNeKFtG8_yji4HS352LGlSQ/edit?pli=1#gid=0"",""1_ACUM!A4:S""),16,FALSE))"),"")</f>
        <v/>
      </c>
      <c r="BC704" s="43" t="str">
        <f ca="1">IFERROR(__xludf.DUMMYFUNCTION("IFERROR(VLOOKUP(E721&amp;F721,IMPORTRANGE(""https://docs.google.com/spreadsheets/d/1Uw7-A9f9R21vMXxHZFNpYNeKFtG8_yji4HS352LGlSQ/edit?pli=1#gid=0"",""1_ACUM!A4:S""),17,FALSE))"),"")</f>
        <v/>
      </c>
      <c r="BD704" s="44" t="str">
        <f ca="1">IFERROR(__xludf.DUMMYFUNCTION("IFERROR(VLOOKUP(E721&amp;F721,IMPORTRANGE(""https://docs.google.com/spreadsheets/d/1Uw7-A9f9R21vMXxHZFNpYNeKFtG8_yji4HS352LGlSQ/edit?pli=1#gid=0"",""1_ACUM!A4:S""),18,FALSE))"),"")</f>
        <v/>
      </c>
      <c r="BE704" s="44" t="str">
        <f ca="1">IFERROR(__xludf.DUMMYFUNCTION("IFERROR(VLOOKUP(E721&amp;F721,IMPORTRANGE(""https://docs.google.com/spreadsheets/d/1Uw7-A9f9R21vMXxHZFNpYNeKFtG8_yji4HS352LGlSQ/edit?pli=1#gid=0"",""1_ACUM!A4:S""),19,FALSE))"),"")</f>
        <v/>
      </c>
      <c r="BF704" s="44" t="str">
        <f ca="1">IFERROR(__xludf.DUMMYFUNCTION("IFERROR(VLOOKUP(F721,IMPORTRANGE(""https://docs.google.com/spreadsheets/d/1Kvs4KS76FHFqLFIZfrDMff4kP08nblUkihrxltoGBjg/edit#gid=934712705"",""ESENCIAL!A6:BG""),5,FALSE))"),"")</f>
        <v/>
      </c>
      <c r="BG704" s="44" t="str">
        <f t="shared" si="41"/>
        <v/>
      </c>
      <c r="BH704" s="41" t="str">
        <f t="shared" si="42"/>
        <v/>
      </c>
      <c r="BI704" s="41" t="str">
        <f ca="1">IFERROR(__xludf.DUMMYFUNCTION("IFERROR(VLOOKUP(F721,IMPORTRANGE(""https://docs.google.com/spreadsheets/d/1Kvs4KS76FHFqLFIZfrDMff4kP08nblUkihrxltoGBjg/edit#gid=934712705"",""ESENCIAL!A6:BG""),18,FALSE))"),"")</f>
        <v/>
      </c>
      <c r="BJ704" s="19" t="str">
        <f t="shared" si="43"/>
        <v/>
      </c>
      <c r="BK704" s="41"/>
      <c r="BL704" s="41"/>
    </row>
    <row r="705" spans="1:64" ht="15">
      <c r="A705" s="4"/>
      <c r="B705" s="4"/>
      <c r="G705" s="5" t="str">
        <f ca="1">IFERROR(__xludf.DUMMYFUNCTION("IFERROR(VLOOKUP(F722,IMPORTRANGE(""https://docs.google.com/spreadsheets/d/1Kvs4KS76FHFqLFIZfrDMff4kP08nblUkihrxltoGBjg/edit#gid=934712705"",""ESENCIAL!A6:BG""),3,FALSE))"),"")</f>
        <v/>
      </c>
      <c r="H705" s="5" t="str">
        <f ca="1">IFERROR(__xludf.DUMMYFUNCTION("IFERROR(VLOOKUP(F722,IMPORTRANGE(""https://docs.google.com/spreadsheets/d/1Kvs4KS76FHFqLFIZfrDMff4kP08nblUkihrxltoGBjg/edit#gid=934712705"",""ESENCIAL!A6:BG""),8,FALSE))"),"")</f>
        <v/>
      </c>
      <c r="L705" s="287"/>
      <c r="S705"/>
      <c r="AU705" s="41" t="str">
        <f t="shared" si="40"/>
        <v/>
      </c>
      <c r="AV705" s="5" t="str">
        <f ca="1">IFERROR(__xludf.DUMMYFUNCTION("IFERROR(VLOOKUP(E722&amp;F722,IMPORTRANGE(""https://docs.google.com/spreadsheets/d/1Uw7-A9f9R21vMXxHZFNpYNeKFtG8_yji4HS352LGlSQ/edit?pli=1#gid=0"",""1_ACUM!A4:S""),11,FALSE))"),"")</f>
        <v/>
      </c>
      <c r="AW705" s="42" t="str">
        <f ca="1">IFERROR(__xludf.DUMMYFUNCTION("IFERROR(VLOOKUP(F722,IMPORTRANGE(""https://docs.google.com/spreadsheets/d/1Kvs4KS76FHFqLFIZfrDMff4kP08nblUkihrxltoGBjg/edit#gid=934712705"",""ESENCIAL!A6:BG""),15,FALSE))"),"")</f>
        <v/>
      </c>
      <c r="AX705" s="21" t="str">
        <f ca="1">IFERROR(__xludf.DUMMYFUNCTION("IFERROR(VLOOKUP(E722&amp;F722,IMPORTRANGE(""https://docs.google.com/spreadsheets/d/1Uw7-A9f9R21vMXxHZFNpYNeKFtG8_yji4HS352LGlSQ/edit?pli=1#gid=0"",""1_ACUM!A4:S""),12,FALSE))"),"")</f>
        <v/>
      </c>
      <c r="AY705" s="43" t="str">
        <f ca="1">IFERROR(__xludf.DUMMYFUNCTION("IFERROR(VLOOKUP(E722&amp;F722,IMPORTRANGE(""https://docs.google.com/spreadsheets/d/1Uw7-A9f9R21vMXxHZFNpYNeKFtG8_yji4HS352LGlSQ/edit?pli=1#gid=0"",""1_ACUM!A4:S""),13,FALSE))"),"")</f>
        <v/>
      </c>
      <c r="AZ705" s="43" t="str">
        <f ca="1">IFERROR(__xludf.DUMMYFUNCTION("IFERROR(VLOOKUP(E722&amp;F722,IMPORTRANGE(""https://docs.google.com/spreadsheets/d/1Uw7-A9f9R21vMXxHZFNpYNeKFtG8_yji4HS352LGlSQ/edit?pli=1#gid=0"",""1_ACUM!A4:S""),14,FALSE))"),"")</f>
        <v/>
      </c>
      <c r="BA705" s="43" t="str">
        <f ca="1">IFERROR(__xludf.DUMMYFUNCTION("IFERROR(VLOOKUP(E722&amp;F722,IMPORTRANGE(""https://docs.google.com/spreadsheets/d/1Uw7-A9f9R21vMXxHZFNpYNeKFtG8_yji4HS352LGlSQ/edit?pli=1#gid=0"",""1_ACUM!A4:S""),15,FALSE))"),"")</f>
        <v/>
      </c>
      <c r="BB705" s="43" t="str">
        <f ca="1">IFERROR(__xludf.DUMMYFUNCTION("IFERROR(VLOOKUP(E722&amp;F722,IMPORTRANGE(""https://docs.google.com/spreadsheets/d/1Uw7-A9f9R21vMXxHZFNpYNeKFtG8_yji4HS352LGlSQ/edit?pli=1#gid=0"",""1_ACUM!A4:S""),16,FALSE))"),"")</f>
        <v/>
      </c>
      <c r="BC705" s="43" t="str">
        <f ca="1">IFERROR(__xludf.DUMMYFUNCTION("IFERROR(VLOOKUP(E722&amp;F722,IMPORTRANGE(""https://docs.google.com/spreadsheets/d/1Uw7-A9f9R21vMXxHZFNpYNeKFtG8_yji4HS352LGlSQ/edit?pli=1#gid=0"",""1_ACUM!A4:S""),17,FALSE))"),"")</f>
        <v/>
      </c>
      <c r="BD705" s="44" t="str">
        <f ca="1">IFERROR(__xludf.DUMMYFUNCTION("IFERROR(VLOOKUP(E722&amp;F722,IMPORTRANGE(""https://docs.google.com/spreadsheets/d/1Uw7-A9f9R21vMXxHZFNpYNeKFtG8_yji4HS352LGlSQ/edit?pli=1#gid=0"",""1_ACUM!A4:S""),18,FALSE))"),"")</f>
        <v/>
      </c>
      <c r="BE705" s="44" t="str">
        <f ca="1">IFERROR(__xludf.DUMMYFUNCTION("IFERROR(VLOOKUP(E722&amp;F722,IMPORTRANGE(""https://docs.google.com/spreadsheets/d/1Uw7-A9f9R21vMXxHZFNpYNeKFtG8_yji4HS352LGlSQ/edit?pli=1#gid=0"",""1_ACUM!A4:S""),19,FALSE))"),"")</f>
        <v/>
      </c>
      <c r="BF705" s="44" t="str">
        <f ca="1">IFERROR(__xludf.DUMMYFUNCTION("IFERROR(VLOOKUP(F722,IMPORTRANGE(""https://docs.google.com/spreadsheets/d/1Kvs4KS76FHFqLFIZfrDMff4kP08nblUkihrxltoGBjg/edit#gid=934712705"",""ESENCIAL!A6:BG""),5,FALSE))"),"")</f>
        <v/>
      </c>
      <c r="BG705" s="44" t="str">
        <f t="shared" si="41"/>
        <v/>
      </c>
      <c r="BH705" s="41" t="str">
        <f t="shared" si="42"/>
        <v/>
      </c>
      <c r="BI705" s="41" t="str">
        <f ca="1">IFERROR(__xludf.DUMMYFUNCTION("IFERROR(VLOOKUP(F722,IMPORTRANGE(""https://docs.google.com/spreadsheets/d/1Kvs4KS76FHFqLFIZfrDMff4kP08nblUkihrxltoGBjg/edit#gid=934712705"",""ESENCIAL!A6:BG""),18,FALSE))"),"")</f>
        <v/>
      </c>
      <c r="BJ705" s="19" t="str">
        <f t="shared" si="43"/>
        <v/>
      </c>
      <c r="BK705" s="41"/>
      <c r="BL705" s="41"/>
    </row>
    <row r="706" spans="1:64" ht="15">
      <c r="A706" s="4"/>
      <c r="B706" s="4"/>
      <c r="G706" s="5" t="str">
        <f ca="1">IFERROR(__xludf.DUMMYFUNCTION("IFERROR(VLOOKUP(F723,IMPORTRANGE(""https://docs.google.com/spreadsheets/d/1Kvs4KS76FHFqLFIZfrDMff4kP08nblUkihrxltoGBjg/edit#gid=934712705"",""ESENCIAL!A6:BG""),3,FALSE))"),"")</f>
        <v/>
      </c>
      <c r="H706" s="5" t="str">
        <f ca="1">IFERROR(__xludf.DUMMYFUNCTION("IFERROR(VLOOKUP(F723,IMPORTRANGE(""https://docs.google.com/spreadsheets/d/1Kvs4KS76FHFqLFIZfrDMff4kP08nblUkihrxltoGBjg/edit#gid=934712705"",""ESENCIAL!A6:BG""),8,FALSE))"),"")</f>
        <v/>
      </c>
      <c r="L706" s="287"/>
      <c r="S706"/>
      <c r="AU706" s="41" t="str">
        <f t="shared" si="40"/>
        <v/>
      </c>
      <c r="AV706" s="5" t="str">
        <f ca="1">IFERROR(__xludf.DUMMYFUNCTION("IFERROR(VLOOKUP(E723&amp;F723,IMPORTRANGE(""https://docs.google.com/spreadsheets/d/1Uw7-A9f9R21vMXxHZFNpYNeKFtG8_yji4HS352LGlSQ/edit?pli=1#gid=0"",""1_ACUM!A4:S""),11,FALSE))"),"")</f>
        <v/>
      </c>
      <c r="AW706" s="42" t="str">
        <f ca="1">IFERROR(__xludf.DUMMYFUNCTION("IFERROR(VLOOKUP(F723,IMPORTRANGE(""https://docs.google.com/spreadsheets/d/1Kvs4KS76FHFqLFIZfrDMff4kP08nblUkihrxltoGBjg/edit#gid=934712705"",""ESENCIAL!A6:BG""),15,FALSE))"),"")</f>
        <v/>
      </c>
      <c r="AX706" s="21" t="str">
        <f ca="1">IFERROR(__xludf.DUMMYFUNCTION("IFERROR(VLOOKUP(E723&amp;F723,IMPORTRANGE(""https://docs.google.com/spreadsheets/d/1Uw7-A9f9R21vMXxHZFNpYNeKFtG8_yji4HS352LGlSQ/edit?pli=1#gid=0"",""1_ACUM!A4:S""),12,FALSE))"),"")</f>
        <v/>
      </c>
      <c r="AY706" s="43" t="str">
        <f ca="1">IFERROR(__xludf.DUMMYFUNCTION("IFERROR(VLOOKUP(E723&amp;F723,IMPORTRANGE(""https://docs.google.com/spreadsheets/d/1Uw7-A9f9R21vMXxHZFNpYNeKFtG8_yji4HS352LGlSQ/edit?pli=1#gid=0"",""1_ACUM!A4:S""),13,FALSE))"),"")</f>
        <v/>
      </c>
      <c r="AZ706" s="43" t="str">
        <f ca="1">IFERROR(__xludf.DUMMYFUNCTION("IFERROR(VLOOKUP(E723&amp;F723,IMPORTRANGE(""https://docs.google.com/spreadsheets/d/1Uw7-A9f9R21vMXxHZFNpYNeKFtG8_yji4HS352LGlSQ/edit?pli=1#gid=0"",""1_ACUM!A4:S""),14,FALSE))"),"")</f>
        <v/>
      </c>
      <c r="BA706" s="43" t="str">
        <f ca="1">IFERROR(__xludf.DUMMYFUNCTION("IFERROR(VLOOKUP(E723&amp;F723,IMPORTRANGE(""https://docs.google.com/spreadsheets/d/1Uw7-A9f9R21vMXxHZFNpYNeKFtG8_yji4HS352LGlSQ/edit?pli=1#gid=0"",""1_ACUM!A4:S""),15,FALSE))"),"")</f>
        <v/>
      </c>
      <c r="BB706" s="43" t="str">
        <f ca="1">IFERROR(__xludf.DUMMYFUNCTION("IFERROR(VLOOKUP(E723&amp;F723,IMPORTRANGE(""https://docs.google.com/spreadsheets/d/1Uw7-A9f9R21vMXxHZFNpYNeKFtG8_yji4HS352LGlSQ/edit?pli=1#gid=0"",""1_ACUM!A4:S""),16,FALSE))"),"")</f>
        <v/>
      </c>
      <c r="BC706" s="43" t="str">
        <f ca="1">IFERROR(__xludf.DUMMYFUNCTION("IFERROR(VLOOKUP(E723&amp;F723,IMPORTRANGE(""https://docs.google.com/spreadsheets/d/1Uw7-A9f9R21vMXxHZFNpYNeKFtG8_yji4HS352LGlSQ/edit?pli=1#gid=0"",""1_ACUM!A4:S""),17,FALSE))"),"")</f>
        <v/>
      </c>
      <c r="BD706" s="44" t="str">
        <f ca="1">IFERROR(__xludf.DUMMYFUNCTION("IFERROR(VLOOKUP(E723&amp;F723,IMPORTRANGE(""https://docs.google.com/spreadsheets/d/1Uw7-A9f9R21vMXxHZFNpYNeKFtG8_yji4HS352LGlSQ/edit?pli=1#gid=0"",""1_ACUM!A4:S""),18,FALSE))"),"")</f>
        <v/>
      </c>
      <c r="BE706" s="44" t="str">
        <f ca="1">IFERROR(__xludf.DUMMYFUNCTION("IFERROR(VLOOKUP(E723&amp;F723,IMPORTRANGE(""https://docs.google.com/spreadsheets/d/1Uw7-A9f9R21vMXxHZFNpYNeKFtG8_yji4HS352LGlSQ/edit?pli=1#gid=0"",""1_ACUM!A4:S""),19,FALSE))"),"")</f>
        <v/>
      </c>
      <c r="BF706" s="44" t="str">
        <f ca="1">IFERROR(__xludf.DUMMYFUNCTION("IFERROR(VLOOKUP(F723,IMPORTRANGE(""https://docs.google.com/spreadsheets/d/1Kvs4KS76FHFqLFIZfrDMff4kP08nblUkihrxltoGBjg/edit#gid=934712705"",""ESENCIAL!A6:BG""),5,FALSE))"),"")</f>
        <v/>
      </c>
      <c r="BG706" s="44" t="str">
        <f t="shared" si="41"/>
        <v/>
      </c>
      <c r="BH706" s="41" t="str">
        <f t="shared" si="42"/>
        <v/>
      </c>
      <c r="BI706" s="41" t="str">
        <f ca="1">IFERROR(__xludf.DUMMYFUNCTION("IFERROR(VLOOKUP(F723,IMPORTRANGE(""https://docs.google.com/spreadsheets/d/1Kvs4KS76FHFqLFIZfrDMff4kP08nblUkihrxltoGBjg/edit#gid=934712705"",""ESENCIAL!A6:BG""),18,FALSE))"),"")</f>
        <v/>
      </c>
      <c r="BJ706" s="19" t="str">
        <f t="shared" si="43"/>
        <v/>
      </c>
      <c r="BK706" s="41"/>
      <c r="BL706" s="41"/>
    </row>
    <row r="707" spans="1:64" ht="15">
      <c r="A707" s="4"/>
      <c r="B707" s="4"/>
      <c r="G707" s="5" t="str">
        <f ca="1">IFERROR(__xludf.DUMMYFUNCTION("IFERROR(VLOOKUP(F724,IMPORTRANGE(""https://docs.google.com/spreadsheets/d/1Kvs4KS76FHFqLFIZfrDMff4kP08nblUkihrxltoGBjg/edit#gid=934712705"",""ESENCIAL!A6:BG""),3,FALSE))"),"")</f>
        <v/>
      </c>
      <c r="H707" s="5" t="str">
        <f ca="1">IFERROR(__xludf.DUMMYFUNCTION("IFERROR(VLOOKUP(F724,IMPORTRANGE(""https://docs.google.com/spreadsheets/d/1Kvs4KS76FHFqLFIZfrDMff4kP08nblUkihrxltoGBjg/edit#gid=934712705"",""ESENCIAL!A6:BG""),8,FALSE))"),"")</f>
        <v/>
      </c>
      <c r="L707" s="287"/>
      <c r="S707"/>
      <c r="AU707" s="41" t="str">
        <f t="shared" si="40"/>
        <v/>
      </c>
      <c r="AV707" s="5" t="str">
        <f ca="1">IFERROR(__xludf.DUMMYFUNCTION("IFERROR(VLOOKUP(E724&amp;F724,IMPORTRANGE(""https://docs.google.com/spreadsheets/d/1Uw7-A9f9R21vMXxHZFNpYNeKFtG8_yji4HS352LGlSQ/edit?pli=1#gid=0"",""1_ACUM!A4:S""),11,FALSE))"),"")</f>
        <v/>
      </c>
      <c r="AW707" s="42" t="str">
        <f ca="1">IFERROR(__xludf.DUMMYFUNCTION("IFERROR(VLOOKUP(F724,IMPORTRANGE(""https://docs.google.com/spreadsheets/d/1Kvs4KS76FHFqLFIZfrDMff4kP08nblUkihrxltoGBjg/edit#gid=934712705"",""ESENCIAL!A6:BG""),15,FALSE))"),"")</f>
        <v/>
      </c>
      <c r="AX707" s="21" t="str">
        <f ca="1">IFERROR(__xludf.DUMMYFUNCTION("IFERROR(VLOOKUP(E724&amp;F724,IMPORTRANGE(""https://docs.google.com/spreadsheets/d/1Uw7-A9f9R21vMXxHZFNpYNeKFtG8_yji4HS352LGlSQ/edit?pli=1#gid=0"",""1_ACUM!A4:S""),12,FALSE))"),"")</f>
        <v/>
      </c>
      <c r="AY707" s="43" t="str">
        <f ca="1">IFERROR(__xludf.DUMMYFUNCTION("IFERROR(VLOOKUP(E724&amp;F724,IMPORTRANGE(""https://docs.google.com/spreadsheets/d/1Uw7-A9f9R21vMXxHZFNpYNeKFtG8_yji4HS352LGlSQ/edit?pli=1#gid=0"",""1_ACUM!A4:S""),13,FALSE))"),"")</f>
        <v/>
      </c>
      <c r="AZ707" s="43" t="str">
        <f ca="1">IFERROR(__xludf.DUMMYFUNCTION("IFERROR(VLOOKUP(E724&amp;F724,IMPORTRANGE(""https://docs.google.com/spreadsheets/d/1Uw7-A9f9R21vMXxHZFNpYNeKFtG8_yji4HS352LGlSQ/edit?pli=1#gid=0"",""1_ACUM!A4:S""),14,FALSE))"),"")</f>
        <v/>
      </c>
      <c r="BA707" s="43" t="str">
        <f ca="1">IFERROR(__xludf.DUMMYFUNCTION("IFERROR(VLOOKUP(E724&amp;F724,IMPORTRANGE(""https://docs.google.com/spreadsheets/d/1Uw7-A9f9R21vMXxHZFNpYNeKFtG8_yji4HS352LGlSQ/edit?pli=1#gid=0"",""1_ACUM!A4:S""),15,FALSE))"),"")</f>
        <v/>
      </c>
      <c r="BB707" s="43" t="str">
        <f ca="1">IFERROR(__xludf.DUMMYFUNCTION("IFERROR(VLOOKUP(E724&amp;F724,IMPORTRANGE(""https://docs.google.com/spreadsheets/d/1Uw7-A9f9R21vMXxHZFNpYNeKFtG8_yji4HS352LGlSQ/edit?pli=1#gid=0"",""1_ACUM!A4:S""),16,FALSE))"),"")</f>
        <v/>
      </c>
      <c r="BC707" s="43" t="str">
        <f ca="1">IFERROR(__xludf.DUMMYFUNCTION("IFERROR(VLOOKUP(E724&amp;F724,IMPORTRANGE(""https://docs.google.com/spreadsheets/d/1Uw7-A9f9R21vMXxHZFNpYNeKFtG8_yji4HS352LGlSQ/edit?pli=1#gid=0"",""1_ACUM!A4:S""),17,FALSE))"),"")</f>
        <v/>
      </c>
      <c r="BD707" s="44" t="str">
        <f ca="1">IFERROR(__xludf.DUMMYFUNCTION("IFERROR(VLOOKUP(E724&amp;F724,IMPORTRANGE(""https://docs.google.com/spreadsheets/d/1Uw7-A9f9R21vMXxHZFNpYNeKFtG8_yji4HS352LGlSQ/edit?pli=1#gid=0"",""1_ACUM!A4:S""),18,FALSE))"),"")</f>
        <v/>
      </c>
      <c r="BE707" s="44" t="str">
        <f ca="1">IFERROR(__xludf.DUMMYFUNCTION("IFERROR(VLOOKUP(E724&amp;F724,IMPORTRANGE(""https://docs.google.com/spreadsheets/d/1Uw7-A9f9R21vMXxHZFNpYNeKFtG8_yji4HS352LGlSQ/edit?pli=1#gid=0"",""1_ACUM!A4:S""),19,FALSE))"),"")</f>
        <v/>
      </c>
      <c r="BF707" s="44" t="str">
        <f ca="1">IFERROR(__xludf.DUMMYFUNCTION("IFERROR(VLOOKUP(F724,IMPORTRANGE(""https://docs.google.com/spreadsheets/d/1Kvs4KS76FHFqLFIZfrDMff4kP08nblUkihrxltoGBjg/edit#gid=934712705"",""ESENCIAL!A6:BG""),5,FALSE))"),"")</f>
        <v/>
      </c>
      <c r="BG707" s="44" t="str">
        <f t="shared" si="41"/>
        <v/>
      </c>
      <c r="BH707" s="41" t="str">
        <f t="shared" si="42"/>
        <v/>
      </c>
      <c r="BI707" s="41" t="str">
        <f ca="1">IFERROR(__xludf.DUMMYFUNCTION("IFERROR(VLOOKUP(F724,IMPORTRANGE(""https://docs.google.com/spreadsheets/d/1Kvs4KS76FHFqLFIZfrDMff4kP08nblUkihrxltoGBjg/edit#gid=934712705"",""ESENCIAL!A6:BG""),18,FALSE))"),"")</f>
        <v/>
      </c>
      <c r="BJ707" s="19" t="str">
        <f t="shared" si="43"/>
        <v/>
      </c>
      <c r="BK707" s="41"/>
      <c r="BL707" s="41"/>
    </row>
    <row r="708" spans="1:64" ht="15">
      <c r="A708" s="4"/>
      <c r="B708" s="4"/>
      <c r="G708" s="5" t="str">
        <f ca="1">IFERROR(__xludf.DUMMYFUNCTION("IFERROR(VLOOKUP(F725,IMPORTRANGE(""https://docs.google.com/spreadsheets/d/1Kvs4KS76FHFqLFIZfrDMff4kP08nblUkihrxltoGBjg/edit#gid=934712705"",""ESENCIAL!A6:BG""),3,FALSE))"),"")</f>
        <v/>
      </c>
      <c r="H708" s="5" t="str">
        <f ca="1">IFERROR(__xludf.DUMMYFUNCTION("IFERROR(VLOOKUP(F725,IMPORTRANGE(""https://docs.google.com/spreadsheets/d/1Kvs4KS76FHFqLFIZfrDMff4kP08nblUkihrxltoGBjg/edit#gid=934712705"",""ESENCIAL!A6:BG""),8,FALSE))"),"")</f>
        <v/>
      </c>
      <c r="L708" s="287"/>
      <c r="S708"/>
      <c r="AU708" s="41" t="str">
        <f t="shared" si="40"/>
        <v/>
      </c>
      <c r="AV708" s="5" t="str">
        <f ca="1">IFERROR(__xludf.DUMMYFUNCTION("IFERROR(VLOOKUP(E725&amp;F725,IMPORTRANGE(""https://docs.google.com/spreadsheets/d/1Uw7-A9f9R21vMXxHZFNpYNeKFtG8_yji4HS352LGlSQ/edit?pli=1#gid=0"",""1_ACUM!A4:S""),11,FALSE))"),"")</f>
        <v/>
      </c>
      <c r="AW708" s="42" t="str">
        <f ca="1">IFERROR(__xludf.DUMMYFUNCTION("IFERROR(VLOOKUP(F725,IMPORTRANGE(""https://docs.google.com/spreadsheets/d/1Kvs4KS76FHFqLFIZfrDMff4kP08nblUkihrxltoGBjg/edit#gid=934712705"",""ESENCIAL!A6:BG""),15,FALSE))"),"")</f>
        <v/>
      </c>
      <c r="AX708" s="21" t="str">
        <f ca="1">IFERROR(__xludf.DUMMYFUNCTION("IFERROR(VLOOKUP(E725&amp;F725,IMPORTRANGE(""https://docs.google.com/spreadsheets/d/1Uw7-A9f9R21vMXxHZFNpYNeKFtG8_yji4HS352LGlSQ/edit?pli=1#gid=0"",""1_ACUM!A4:S""),12,FALSE))"),"")</f>
        <v/>
      </c>
      <c r="AY708" s="43" t="str">
        <f ca="1">IFERROR(__xludf.DUMMYFUNCTION("IFERROR(VLOOKUP(E725&amp;F725,IMPORTRANGE(""https://docs.google.com/spreadsheets/d/1Uw7-A9f9R21vMXxHZFNpYNeKFtG8_yji4HS352LGlSQ/edit?pli=1#gid=0"",""1_ACUM!A4:S""),13,FALSE))"),"")</f>
        <v/>
      </c>
      <c r="AZ708" s="43" t="str">
        <f ca="1">IFERROR(__xludf.DUMMYFUNCTION("IFERROR(VLOOKUP(E725&amp;F725,IMPORTRANGE(""https://docs.google.com/spreadsheets/d/1Uw7-A9f9R21vMXxHZFNpYNeKFtG8_yji4HS352LGlSQ/edit?pli=1#gid=0"",""1_ACUM!A4:S""),14,FALSE))"),"")</f>
        <v/>
      </c>
      <c r="BA708" s="43" t="str">
        <f ca="1">IFERROR(__xludf.DUMMYFUNCTION("IFERROR(VLOOKUP(E725&amp;F725,IMPORTRANGE(""https://docs.google.com/spreadsheets/d/1Uw7-A9f9R21vMXxHZFNpYNeKFtG8_yji4HS352LGlSQ/edit?pli=1#gid=0"",""1_ACUM!A4:S""),15,FALSE))"),"")</f>
        <v/>
      </c>
      <c r="BB708" s="43" t="str">
        <f ca="1">IFERROR(__xludf.DUMMYFUNCTION("IFERROR(VLOOKUP(E725&amp;F725,IMPORTRANGE(""https://docs.google.com/spreadsheets/d/1Uw7-A9f9R21vMXxHZFNpYNeKFtG8_yji4HS352LGlSQ/edit?pli=1#gid=0"",""1_ACUM!A4:S""),16,FALSE))"),"")</f>
        <v/>
      </c>
      <c r="BC708" s="43" t="str">
        <f ca="1">IFERROR(__xludf.DUMMYFUNCTION("IFERROR(VLOOKUP(E725&amp;F725,IMPORTRANGE(""https://docs.google.com/spreadsheets/d/1Uw7-A9f9R21vMXxHZFNpYNeKFtG8_yji4HS352LGlSQ/edit?pli=1#gid=0"",""1_ACUM!A4:S""),17,FALSE))"),"")</f>
        <v/>
      </c>
      <c r="BD708" s="44" t="str">
        <f ca="1">IFERROR(__xludf.DUMMYFUNCTION("IFERROR(VLOOKUP(E725&amp;F725,IMPORTRANGE(""https://docs.google.com/spreadsheets/d/1Uw7-A9f9R21vMXxHZFNpYNeKFtG8_yji4HS352LGlSQ/edit?pli=1#gid=0"",""1_ACUM!A4:S""),18,FALSE))"),"")</f>
        <v/>
      </c>
      <c r="BE708" s="44" t="str">
        <f ca="1">IFERROR(__xludf.DUMMYFUNCTION("IFERROR(VLOOKUP(E725&amp;F725,IMPORTRANGE(""https://docs.google.com/spreadsheets/d/1Uw7-A9f9R21vMXxHZFNpYNeKFtG8_yji4HS352LGlSQ/edit?pli=1#gid=0"",""1_ACUM!A4:S""),19,FALSE))"),"")</f>
        <v/>
      </c>
      <c r="BF708" s="44" t="str">
        <f ca="1">IFERROR(__xludf.DUMMYFUNCTION("IFERROR(VLOOKUP(F725,IMPORTRANGE(""https://docs.google.com/spreadsheets/d/1Kvs4KS76FHFqLFIZfrDMff4kP08nblUkihrxltoGBjg/edit#gid=934712705"",""ESENCIAL!A6:BG""),5,FALSE))"),"")</f>
        <v/>
      </c>
      <c r="BG708" s="44" t="str">
        <f t="shared" si="41"/>
        <v/>
      </c>
      <c r="BH708" s="41" t="str">
        <f t="shared" si="42"/>
        <v/>
      </c>
      <c r="BI708" s="41" t="str">
        <f ca="1">IFERROR(__xludf.DUMMYFUNCTION("IFERROR(VLOOKUP(F725,IMPORTRANGE(""https://docs.google.com/spreadsheets/d/1Kvs4KS76FHFqLFIZfrDMff4kP08nblUkihrxltoGBjg/edit#gid=934712705"",""ESENCIAL!A6:BG""),18,FALSE))"),"")</f>
        <v/>
      </c>
      <c r="BJ708" s="19" t="str">
        <f t="shared" si="43"/>
        <v/>
      </c>
      <c r="BK708" s="41"/>
      <c r="BL708" s="41"/>
    </row>
    <row r="709" spans="1:64" ht="15">
      <c r="A709" s="4"/>
      <c r="B709" s="4"/>
      <c r="G709" s="5" t="str">
        <f ca="1">IFERROR(__xludf.DUMMYFUNCTION("IFERROR(VLOOKUP(F726,IMPORTRANGE(""https://docs.google.com/spreadsheets/d/1Kvs4KS76FHFqLFIZfrDMff4kP08nblUkihrxltoGBjg/edit#gid=934712705"",""ESENCIAL!A6:BG""),3,FALSE))"),"")</f>
        <v/>
      </c>
      <c r="H709" s="5" t="str">
        <f ca="1">IFERROR(__xludf.DUMMYFUNCTION("IFERROR(VLOOKUP(F726,IMPORTRANGE(""https://docs.google.com/spreadsheets/d/1Kvs4KS76FHFqLFIZfrDMff4kP08nblUkihrxltoGBjg/edit#gid=934712705"",""ESENCIAL!A6:BG""),8,FALSE))"),"")</f>
        <v/>
      </c>
      <c r="L709" s="287"/>
      <c r="S709"/>
      <c r="AU709" s="41" t="str">
        <f t="shared" si="40"/>
        <v/>
      </c>
      <c r="AV709" s="5" t="str">
        <f ca="1">IFERROR(__xludf.DUMMYFUNCTION("IFERROR(VLOOKUP(E726&amp;F726,IMPORTRANGE(""https://docs.google.com/spreadsheets/d/1Uw7-A9f9R21vMXxHZFNpYNeKFtG8_yji4HS352LGlSQ/edit?pli=1#gid=0"",""1_ACUM!A4:S""),11,FALSE))"),"")</f>
        <v/>
      </c>
      <c r="AW709" s="42" t="str">
        <f ca="1">IFERROR(__xludf.DUMMYFUNCTION("IFERROR(VLOOKUP(F726,IMPORTRANGE(""https://docs.google.com/spreadsheets/d/1Kvs4KS76FHFqLFIZfrDMff4kP08nblUkihrxltoGBjg/edit#gid=934712705"",""ESENCIAL!A6:BG""),15,FALSE))"),"")</f>
        <v/>
      </c>
      <c r="AX709" s="21" t="str">
        <f ca="1">IFERROR(__xludf.DUMMYFUNCTION("IFERROR(VLOOKUP(E726&amp;F726,IMPORTRANGE(""https://docs.google.com/spreadsheets/d/1Uw7-A9f9R21vMXxHZFNpYNeKFtG8_yji4HS352LGlSQ/edit?pli=1#gid=0"",""1_ACUM!A4:S""),12,FALSE))"),"")</f>
        <v/>
      </c>
      <c r="AY709" s="43" t="str">
        <f ca="1">IFERROR(__xludf.DUMMYFUNCTION("IFERROR(VLOOKUP(E726&amp;F726,IMPORTRANGE(""https://docs.google.com/spreadsheets/d/1Uw7-A9f9R21vMXxHZFNpYNeKFtG8_yji4HS352LGlSQ/edit?pli=1#gid=0"",""1_ACUM!A4:S""),13,FALSE))"),"")</f>
        <v/>
      </c>
      <c r="AZ709" s="43" t="str">
        <f ca="1">IFERROR(__xludf.DUMMYFUNCTION("IFERROR(VLOOKUP(E726&amp;F726,IMPORTRANGE(""https://docs.google.com/spreadsheets/d/1Uw7-A9f9R21vMXxHZFNpYNeKFtG8_yji4HS352LGlSQ/edit?pli=1#gid=0"",""1_ACUM!A4:S""),14,FALSE))"),"")</f>
        <v/>
      </c>
      <c r="BA709" s="43" t="str">
        <f ca="1">IFERROR(__xludf.DUMMYFUNCTION("IFERROR(VLOOKUP(E726&amp;F726,IMPORTRANGE(""https://docs.google.com/spreadsheets/d/1Uw7-A9f9R21vMXxHZFNpYNeKFtG8_yji4HS352LGlSQ/edit?pli=1#gid=0"",""1_ACUM!A4:S""),15,FALSE))"),"")</f>
        <v/>
      </c>
      <c r="BB709" s="43" t="str">
        <f ca="1">IFERROR(__xludf.DUMMYFUNCTION("IFERROR(VLOOKUP(E726&amp;F726,IMPORTRANGE(""https://docs.google.com/spreadsheets/d/1Uw7-A9f9R21vMXxHZFNpYNeKFtG8_yji4HS352LGlSQ/edit?pli=1#gid=0"",""1_ACUM!A4:S""),16,FALSE))"),"")</f>
        <v/>
      </c>
      <c r="BC709" s="43" t="str">
        <f ca="1">IFERROR(__xludf.DUMMYFUNCTION("IFERROR(VLOOKUP(E726&amp;F726,IMPORTRANGE(""https://docs.google.com/spreadsheets/d/1Uw7-A9f9R21vMXxHZFNpYNeKFtG8_yji4HS352LGlSQ/edit?pli=1#gid=0"",""1_ACUM!A4:S""),17,FALSE))"),"")</f>
        <v/>
      </c>
      <c r="BD709" s="44" t="str">
        <f ca="1">IFERROR(__xludf.DUMMYFUNCTION("IFERROR(VLOOKUP(E726&amp;F726,IMPORTRANGE(""https://docs.google.com/spreadsheets/d/1Uw7-A9f9R21vMXxHZFNpYNeKFtG8_yji4HS352LGlSQ/edit?pli=1#gid=0"",""1_ACUM!A4:S""),18,FALSE))"),"")</f>
        <v/>
      </c>
      <c r="BE709" s="44" t="str">
        <f ca="1">IFERROR(__xludf.DUMMYFUNCTION("IFERROR(VLOOKUP(E726&amp;F726,IMPORTRANGE(""https://docs.google.com/spreadsheets/d/1Uw7-A9f9R21vMXxHZFNpYNeKFtG8_yji4HS352LGlSQ/edit?pli=1#gid=0"",""1_ACUM!A4:S""),19,FALSE))"),"")</f>
        <v/>
      </c>
      <c r="BF709" s="44" t="str">
        <f ca="1">IFERROR(__xludf.DUMMYFUNCTION("IFERROR(VLOOKUP(F726,IMPORTRANGE(""https://docs.google.com/spreadsheets/d/1Kvs4KS76FHFqLFIZfrDMff4kP08nblUkihrxltoGBjg/edit#gid=934712705"",""ESENCIAL!A6:BG""),5,FALSE))"),"")</f>
        <v/>
      </c>
      <c r="BG709" s="44" t="str">
        <f t="shared" si="41"/>
        <v/>
      </c>
      <c r="BH709" s="41" t="str">
        <f t="shared" si="42"/>
        <v/>
      </c>
      <c r="BI709" s="41" t="str">
        <f ca="1">IFERROR(__xludf.DUMMYFUNCTION("IFERROR(VLOOKUP(F726,IMPORTRANGE(""https://docs.google.com/spreadsheets/d/1Kvs4KS76FHFqLFIZfrDMff4kP08nblUkihrxltoGBjg/edit#gid=934712705"",""ESENCIAL!A6:BG""),18,FALSE))"),"")</f>
        <v/>
      </c>
      <c r="BJ709" s="19" t="str">
        <f t="shared" si="43"/>
        <v/>
      </c>
      <c r="BK709" s="41"/>
      <c r="BL709" s="41"/>
    </row>
    <row r="710" spans="1:64" ht="15">
      <c r="A710" s="4"/>
      <c r="B710" s="4"/>
      <c r="G710" s="5" t="str">
        <f ca="1">IFERROR(__xludf.DUMMYFUNCTION("IFERROR(VLOOKUP(F727,IMPORTRANGE(""https://docs.google.com/spreadsheets/d/1Kvs4KS76FHFqLFIZfrDMff4kP08nblUkihrxltoGBjg/edit#gid=934712705"",""ESENCIAL!A6:BG""),3,FALSE))"),"")</f>
        <v/>
      </c>
      <c r="H710" s="5" t="str">
        <f ca="1">IFERROR(__xludf.DUMMYFUNCTION("IFERROR(VLOOKUP(F727,IMPORTRANGE(""https://docs.google.com/spreadsheets/d/1Kvs4KS76FHFqLFIZfrDMff4kP08nblUkihrxltoGBjg/edit#gid=934712705"",""ESENCIAL!A6:BG""),8,FALSE))"),"")</f>
        <v/>
      </c>
      <c r="L710" s="287"/>
      <c r="S710"/>
      <c r="AU710" s="41" t="str">
        <f t="shared" si="40"/>
        <v/>
      </c>
      <c r="AV710" s="5" t="str">
        <f ca="1">IFERROR(__xludf.DUMMYFUNCTION("IFERROR(VLOOKUP(E727&amp;F727,IMPORTRANGE(""https://docs.google.com/spreadsheets/d/1Uw7-A9f9R21vMXxHZFNpYNeKFtG8_yji4HS352LGlSQ/edit?pli=1#gid=0"",""1_ACUM!A4:S""),11,FALSE))"),"")</f>
        <v/>
      </c>
      <c r="AW710" s="42" t="str">
        <f ca="1">IFERROR(__xludf.DUMMYFUNCTION("IFERROR(VLOOKUP(F727,IMPORTRANGE(""https://docs.google.com/spreadsheets/d/1Kvs4KS76FHFqLFIZfrDMff4kP08nblUkihrxltoGBjg/edit#gid=934712705"",""ESENCIAL!A6:BG""),15,FALSE))"),"")</f>
        <v/>
      </c>
      <c r="AX710" s="21" t="str">
        <f ca="1">IFERROR(__xludf.DUMMYFUNCTION("IFERROR(VLOOKUP(E727&amp;F727,IMPORTRANGE(""https://docs.google.com/spreadsheets/d/1Uw7-A9f9R21vMXxHZFNpYNeKFtG8_yji4HS352LGlSQ/edit?pli=1#gid=0"",""1_ACUM!A4:S""),12,FALSE))"),"")</f>
        <v/>
      </c>
      <c r="AY710" s="43" t="str">
        <f ca="1">IFERROR(__xludf.DUMMYFUNCTION("IFERROR(VLOOKUP(E727&amp;F727,IMPORTRANGE(""https://docs.google.com/spreadsheets/d/1Uw7-A9f9R21vMXxHZFNpYNeKFtG8_yji4HS352LGlSQ/edit?pli=1#gid=0"",""1_ACUM!A4:S""),13,FALSE))"),"")</f>
        <v/>
      </c>
      <c r="AZ710" s="43" t="str">
        <f ca="1">IFERROR(__xludf.DUMMYFUNCTION("IFERROR(VLOOKUP(E727&amp;F727,IMPORTRANGE(""https://docs.google.com/spreadsheets/d/1Uw7-A9f9R21vMXxHZFNpYNeKFtG8_yji4HS352LGlSQ/edit?pli=1#gid=0"",""1_ACUM!A4:S""),14,FALSE))"),"")</f>
        <v/>
      </c>
      <c r="BA710" s="43" t="str">
        <f ca="1">IFERROR(__xludf.DUMMYFUNCTION("IFERROR(VLOOKUP(E727&amp;F727,IMPORTRANGE(""https://docs.google.com/spreadsheets/d/1Uw7-A9f9R21vMXxHZFNpYNeKFtG8_yji4HS352LGlSQ/edit?pli=1#gid=0"",""1_ACUM!A4:S""),15,FALSE))"),"")</f>
        <v/>
      </c>
      <c r="BB710" s="43" t="str">
        <f ca="1">IFERROR(__xludf.DUMMYFUNCTION("IFERROR(VLOOKUP(E727&amp;F727,IMPORTRANGE(""https://docs.google.com/spreadsheets/d/1Uw7-A9f9R21vMXxHZFNpYNeKFtG8_yji4HS352LGlSQ/edit?pli=1#gid=0"",""1_ACUM!A4:S""),16,FALSE))"),"")</f>
        <v/>
      </c>
      <c r="BC710" s="43" t="str">
        <f ca="1">IFERROR(__xludf.DUMMYFUNCTION("IFERROR(VLOOKUP(E727&amp;F727,IMPORTRANGE(""https://docs.google.com/spreadsheets/d/1Uw7-A9f9R21vMXxHZFNpYNeKFtG8_yji4HS352LGlSQ/edit?pli=1#gid=0"",""1_ACUM!A4:S""),17,FALSE))"),"")</f>
        <v/>
      </c>
      <c r="BD710" s="44" t="str">
        <f ca="1">IFERROR(__xludf.DUMMYFUNCTION("IFERROR(VLOOKUP(E727&amp;F727,IMPORTRANGE(""https://docs.google.com/spreadsheets/d/1Uw7-A9f9R21vMXxHZFNpYNeKFtG8_yji4HS352LGlSQ/edit?pli=1#gid=0"",""1_ACUM!A4:S""),18,FALSE))"),"")</f>
        <v/>
      </c>
      <c r="BE710" s="44" t="str">
        <f ca="1">IFERROR(__xludf.DUMMYFUNCTION("IFERROR(VLOOKUP(E727&amp;F727,IMPORTRANGE(""https://docs.google.com/spreadsheets/d/1Uw7-A9f9R21vMXxHZFNpYNeKFtG8_yji4HS352LGlSQ/edit?pli=1#gid=0"",""1_ACUM!A4:S""),19,FALSE))"),"")</f>
        <v/>
      </c>
      <c r="BF710" s="44" t="str">
        <f ca="1">IFERROR(__xludf.DUMMYFUNCTION("IFERROR(VLOOKUP(F727,IMPORTRANGE(""https://docs.google.com/spreadsheets/d/1Kvs4KS76FHFqLFIZfrDMff4kP08nblUkihrxltoGBjg/edit#gid=934712705"",""ESENCIAL!A6:BG""),5,FALSE))"),"")</f>
        <v/>
      </c>
      <c r="BG710" s="44" t="str">
        <f t="shared" si="41"/>
        <v/>
      </c>
      <c r="BH710" s="41" t="str">
        <f t="shared" si="42"/>
        <v/>
      </c>
      <c r="BI710" s="41" t="str">
        <f ca="1">IFERROR(__xludf.DUMMYFUNCTION("IFERROR(VLOOKUP(F727,IMPORTRANGE(""https://docs.google.com/spreadsheets/d/1Kvs4KS76FHFqLFIZfrDMff4kP08nblUkihrxltoGBjg/edit#gid=934712705"",""ESENCIAL!A6:BG""),18,FALSE))"),"")</f>
        <v/>
      </c>
      <c r="BJ710" s="19" t="str">
        <f t="shared" si="43"/>
        <v/>
      </c>
      <c r="BK710" s="41"/>
      <c r="BL710" s="41"/>
    </row>
    <row r="711" spans="1:64" ht="15">
      <c r="A711" s="4"/>
      <c r="B711" s="4"/>
      <c r="G711" s="5" t="str">
        <f ca="1">IFERROR(__xludf.DUMMYFUNCTION("IFERROR(VLOOKUP(F728,IMPORTRANGE(""https://docs.google.com/spreadsheets/d/1Kvs4KS76FHFqLFIZfrDMff4kP08nblUkihrxltoGBjg/edit#gid=934712705"",""ESENCIAL!A6:BG""),3,FALSE))"),"")</f>
        <v/>
      </c>
      <c r="H711" s="5" t="str">
        <f ca="1">IFERROR(__xludf.DUMMYFUNCTION("IFERROR(VLOOKUP(F728,IMPORTRANGE(""https://docs.google.com/spreadsheets/d/1Kvs4KS76FHFqLFIZfrDMff4kP08nblUkihrxltoGBjg/edit#gid=934712705"",""ESENCIAL!A6:BG""),8,FALSE))"),"")</f>
        <v/>
      </c>
      <c r="L711" s="287"/>
      <c r="S711"/>
      <c r="AU711" s="41" t="str">
        <f t="shared" si="40"/>
        <v/>
      </c>
      <c r="AV711" s="5" t="str">
        <f ca="1">IFERROR(__xludf.DUMMYFUNCTION("IFERROR(VLOOKUP(E728&amp;F728,IMPORTRANGE(""https://docs.google.com/spreadsheets/d/1Uw7-A9f9R21vMXxHZFNpYNeKFtG8_yji4HS352LGlSQ/edit?pli=1#gid=0"",""1_ACUM!A4:S""),11,FALSE))"),"")</f>
        <v/>
      </c>
      <c r="AW711" s="42" t="str">
        <f ca="1">IFERROR(__xludf.DUMMYFUNCTION("IFERROR(VLOOKUP(F728,IMPORTRANGE(""https://docs.google.com/spreadsheets/d/1Kvs4KS76FHFqLFIZfrDMff4kP08nblUkihrxltoGBjg/edit#gid=934712705"",""ESENCIAL!A6:BG""),15,FALSE))"),"")</f>
        <v/>
      </c>
      <c r="AX711" s="21" t="str">
        <f ca="1">IFERROR(__xludf.DUMMYFUNCTION("IFERROR(VLOOKUP(E728&amp;F728,IMPORTRANGE(""https://docs.google.com/spreadsheets/d/1Uw7-A9f9R21vMXxHZFNpYNeKFtG8_yji4HS352LGlSQ/edit?pli=1#gid=0"",""1_ACUM!A4:S""),12,FALSE))"),"")</f>
        <v/>
      </c>
      <c r="AY711" s="43" t="str">
        <f ca="1">IFERROR(__xludf.DUMMYFUNCTION("IFERROR(VLOOKUP(E728&amp;F728,IMPORTRANGE(""https://docs.google.com/spreadsheets/d/1Uw7-A9f9R21vMXxHZFNpYNeKFtG8_yji4HS352LGlSQ/edit?pli=1#gid=0"",""1_ACUM!A4:S""),13,FALSE))"),"")</f>
        <v/>
      </c>
      <c r="AZ711" s="43" t="str">
        <f ca="1">IFERROR(__xludf.DUMMYFUNCTION("IFERROR(VLOOKUP(E728&amp;F728,IMPORTRANGE(""https://docs.google.com/spreadsheets/d/1Uw7-A9f9R21vMXxHZFNpYNeKFtG8_yji4HS352LGlSQ/edit?pli=1#gid=0"",""1_ACUM!A4:S""),14,FALSE))"),"")</f>
        <v/>
      </c>
      <c r="BA711" s="43" t="str">
        <f ca="1">IFERROR(__xludf.DUMMYFUNCTION("IFERROR(VLOOKUP(E728&amp;F728,IMPORTRANGE(""https://docs.google.com/spreadsheets/d/1Uw7-A9f9R21vMXxHZFNpYNeKFtG8_yji4HS352LGlSQ/edit?pli=1#gid=0"",""1_ACUM!A4:S""),15,FALSE))"),"")</f>
        <v/>
      </c>
      <c r="BB711" s="43" t="str">
        <f ca="1">IFERROR(__xludf.DUMMYFUNCTION("IFERROR(VLOOKUP(E728&amp;F728,IMPORTRANGE(""https://docs.google.com/spreadsheets/d/1Uw7-A9f9R21vMXxHZFNpYNeKFtG8_yji4HS352LGlSQ/edit?pli=1#gid=0"",""1_ACUM!A4:S""),16,FALSE))"),"")</f>
        <v/>
      </c>
      <c r="BC711" s="43" t="str">
        <f ca="1">IFERROR(__xludf.DUMMYFUNCTION("IFERROR(VLOOKUP(E728&amp;F728,IMPORTRANGE(""https://docs.google.com/spreadsheets/d/1Uw7-A9f9R21vMXxHZFNpYNeKFtG8_yji4HS352LGlSQ/edit?pli=1#gid=0"",""1_ACUM!A4:S""),17,FALSE))"),"")</f>
        <v/>
      </c>
      <c r="BD711" s="44" t="str">
        <f ca="1">IFERROR(__xludf.DUMMYFUNCTION("IFERROR(VLOOKUP(E728&amp;F728,IMPORTRANGE(""https://docs.google.com/spreadsheets/d/1Uw7-A9f9R21vMXxHZFNpYNeKFtG8_yji4HS352LGlSQ/edit?pli=1#gid=0"",""1_ACUM!A4:S""),18,FALSE))"),"")</f>
        <v/>
      </c>
      <c r="BE711" s="44" t="str">
        <f ca="1">IFERROR(__xludf.DUMMYFUNCTION("IFERROR(VLOOKUP(E728&amp;F728,IMPORTRANGE(""https://docs.google.com/spreadsheets/d/1Uw7-A9f9R21vMXxHZFNpYNeKFtG8_yji4HS352LGlSQ/edit?pli=1#gid=0"",""1_ACUM!A4:S""),19,FALSE))"),"")</f>
        <v/>
      </c>
      <c r="BF711" s="44" t="str">
        <f ca="1">IFERROR(__xludf.DUMMYFUNCTION("IFERROR(VLOOKUP(F728,IMPORTRANGE(""https://docs.google.com/spreadsheets/d/1Kvs4KS76FHFqLFIZfrDMff4kP08nblUkihrxltoGBjg/edit#gid=934712705"",""ESENCIAL!A6:BG""),5,FALSE))"),"")</f>
        <v/>
      </c>
      <c r="BG711" s="44" t="str">
        <f t="shared" si="41"/>
        <v/>
      </c>
      <c r="BH711" s="41" t="str">
        <f t="shared" si="42"/>
        <v/>
      </c>
      <c r="BI711" s="41" t="str">
        <f ca="1">IFERROR(__xludf.DUMMYFUNCTION("IFERROR(VLOOKUP(F728,IMPORTRANGE(""https://docs.google.com/spreadsheets/d/1Kvs4KS76FHFqLFIZfrDMff4kP08nblUkihrxltoGBjg/edit#gid=934712705"",""ESENCIAL!A6:BG""),18,FALSE))"),"")</f>
        <v/>
      </c>
      <c r="BJ711" s="19" t="str">
        <f t="shared" si="43"/>
        <v/>
      </c>
      <c r="BK711" s="41"/>
      <c r="BL711" s="41"/>
    </row>
    <row r="712" spans="1:64" ht="15">
      <c r="A712" s="4"/>
      <c r="B712" s="4"/>
      <c r="G712" s="5" t="str">
        <f ca="1">IFERROR(__xludf.DUMMYFUNCTION("IFERROR(VLOOKUP(F729,IMPORTRANGE(""https://docs.google.com/spreadsheets/d/1Kvs4KS76FHFqLFIZfrDMff4kP08nblUkihrxltoGBjg/edit#gid=934712705"",""ESENCIAL!A6:BG""),3,FALSE))"),"")</f>
        <v/>
      </c>
      <c r="H712" s="5" t="str">
        <f ca="1">IFERROR(__xludf.DUMMYFUNCTION("IFERROR(VLOOKUP(F729,IMPORTRANGE(""https://docs.google.com/spreadsheets/d/1Kvs4KS76FHFqLFIZfrDMff4kP08nblUkihrxltoGBjg/edit#gid=934712705"",""ESENCIAL!A6:BG""),8,FALSE))"),"")</f>
        <v/>
      </c>
      <c r="L712" s="287"/>
      <c r="S712"/>
      <c r="AU712" s="41" t="str">
        <f t="shared" si="40"/>
        <v/>
      </c>
      <c r="AV712" s="5" t="str">
        <f ca="1">IFERROR(__xludf.DUMMYFUNCTION("IFERROR(VLOOKUP(E729&amp;F729,IMPORTRANGE(""https://docs.google.com/spreadsheets/d/1Uw7-A9f9R21vMXxHZFNpYNeKFtG8_yji4HS352LGlSQ/edit?pli=1#gid=0"",""1_ACUM!A4:S""),11,FALSE))"),"")</f>
        <v/>
      </c>
      <c r="AW712" s="42" t="str">
        <f ca="1">IFERROR(__xludf.DUMMYFUNCTION("IFERROR(VLOOKUP(F729,IMPORTRANGE(""https://docs.google.com/spreadsheets/d/1Kvs4KS76FHFqLFIZfrDMff4kP08nblUkihrxltoGBjg/edit#gid=934712705"",""ESENCIAL!A6:BG""),15,FALSE))"),"")</f>
        <v/>
      </c>
      <c r="AX712" s="21" t="str">
        <f ca="1">IFERROR(__xludf.DUMMYFUNCTION("IFERROR(VLOOKUP(E729&amp;F729,IMPORTRANGE(""https://docs.google.com/spreadsheets/d/1Uw7-A9f9R21vMXxHZFNpYNeKFtG8_yji4HS352LGlSQ/edit?pli=1#gid=0"",""1_ACUM!A4:S""),12,FALSE))"),"")</f>
        <v/>
      </c>
      <c r="AY712" s="43" t="str">
        <f ca="1">IFERROR(__xludf.DUMMYFUNCTION("IFERROR(VLOOKUP(E729&amp;F729,IMPORTRANGE(""https://docs.google.com/spreadsheets/d/1Uw7-A9f9R21vMXxHZFNpYNeKFtG8_yji4HS352LGlSQ/edit?pli=1#gid=0"",""1_ACUM!A4:S""),13,FALSE))"),"")</f>
        <v/>
      </c>
      <c r="AZ712" s="43" t="str">
        <f ca="1">IFERROR(__xludf.DUMMYFUNCTION("IFERROR(VLOOKUP(E729&amp;F729,IMPORTRANGE(""https://docs.google.com/spreadsheets/d/1Uw7-A9f9R21vMXxHZFNpYNeKFtG8_yji4HS352LGlSQ/edit?pli=1#gid=0"",""1_ACUM!A4:S""),14,FALSE))"),"")</f>
        <v/>
      </c>
      <c r="BA712" s="43" t="str">
        <f ca="1">IFERROR(__xludf.DUMMYFUNCTION("IFERROR(VLOOKUP(E729&amp;F729,IMPORTRANGE(""https://docs.google.com/spreadsheets/d/1Uw7-A9f9R21vMXxHZFNpYNeKFtG8_yji4HS352LGlSQ/edit?pli=1#gid=0"",""1_ACUM!A4:S""),15,FALSE))"),"")</f>
        <v/>
      </c>
      <c r="BB712" s="43" t="str">
        <f ca="1">IFERROR(__xludf.DUMMYFUNCTION("IFERROR(VLOOKUP(E729&amp;F729,IMPORTRANGE(""https://docs.google.com/spreadsheets/d/1Uw7-A9f9R21vMXxHZFNpYNeKFtG8_yji4HS352LGlSQ/edit?pli=1#gid=0"",""1_ACUM!A4:S""),16,FALSE))"),"")</f>
        <v/>
      </c>
      <c r="BC712" s="43" t="str">
        <f ca="1">IFERROR(__xludf.DUMMYFUNCTION("IFERROR(VLOOKUP(E729&amp;F729,IMPORTRANGE(""https://docs.google.com/spreadsheets/d/1Uw7-A9f9R21vMXxHZFNpYNeKFtG8_yji4HS352LGlSQ/edit?pli=1#gid=0"",""1_ACUM!A4:S""),17,FALSE))"),"")</f>
        <v/>
      </c>
      <c r="BD712" s="44" t="str">
        <f ca="1">IFERROR(__xludf.DUMMYFUNCTION("IFERROR(VLOOKUP(E729&amp;F729,IMPORTRANGE(""https://docs.google.com/spreadsheets/d/1Uw7-A9f9R21vMXxHZFNpYNeKFtG8_yji4HS352LGlSQ/edit?pli=1#gid=0"",""1_ACUM!A4:S""),18,FALSE))"),"")</f>
        <v/>
      </c>
      <c r="BE712" s="44" t="str">
        <f ca="1">IFERROR(__xludf.DUMMYFUNCTION("IFERROR(VLOOKUP(E729&amp;F729,IMPORTRANGE(""https://docs.google.com/spreadsheets/d/1Uw7-A9f9R21vMXxHZFNpYNeKFtG8_yji4HS352LGlSQ/edit?pli=1#gid=0"",""1_ACUM!A4:S""),19,FALSE))"),"")</f>
        <v/>
      </c>
      <c r="BF712" s="44" t="str">
        <f ca="1">IFERROR(__xludf.DUMMYFUNCTION("IFERROR(VLOOKUP(F729,IMPORTRANGE(""https://docs.google.com/spreadsheets/d/1Kvs4KS76FHFqLFIZfrDMff4kP08nblUkihrxltoGBjg/edit#gid=934712705"",""ESENCIAL!A6:BG""),5,FALSE))"),"")</f>
        <v/>
      </c>
      <c r="BG712" s="44" t="str">
        <f t="shared" si="41"/>
        <v/>
      </c>
      <c r="BH712" s="41" t="str">
        <f t="shared" si="42"/>
        <v/>
      </c>
      <c r="BI712" s="41" t="str">
        <f ca="1">IFERROR(__xludf.DUMMYFUNCTION("IFERROR(VLOOKUP(F729,IMPORTRANGE(""https://docs.google.com/spreadsheets/d/1Kvs4KS76FHFqLFIZfrDMff4kP08nblUkihrxltoGBjg/edit#gid=934712705"",""ESENCIAL!A6:BG""),18,FALSE))"),"")</f>
        <v/>
      </c>
      <c r="BJ712" s="19" t="str">
        <f t="shared" si="43"/>
        <v/>
      </c>
      <c r="BK712" s="41"/>
      <c r="BL712" s="41"/>
    </row>
    <row r="713" spans="1:64" ht="15">
      <c r="A713" s="4"/>
      <c r="B713" s="4"/>
      <c r="G713" s="5" t="str">
        <f ca="1">IFERROR(__xludf.DUMMYFUNCTION("IFERROR(VLOOKUP(F730,IMPORTRANGE(""https://docs.google.com/spreadsheets/d/1Kvs4KS76FHFqLFIZfrDMff4kP08nblUkihrxltoGBjg/edit#gid=934712705"",""ESENCIAL!A6:BG""),3,FALSE))"),"")</f>
        <v/>
      </c>
      <c r="H713" s="5" t="str">
        <f ca="1">IFERROR(__xludf.DUMMYFUNCTION("IFERROR(VLOOKUP(F730,IMPORTRANGE(""https://docs.google.com/spreadsheets/d/1Kvs4KS76FHFqLFIZfrDMff4kP08nblUkihrxltoGBjg/edit#gid=934712705"",""ESENCIAL!A6:BG""),8,FALSE))"),"")</f>
        <v/>
      </c>
      <c r="L713" s="287"/>
      <c r="S713"/>
      <c r="AU713" s="41" t="str">
        <f t="shared" si="40"/>
        <v/>
      </c>
      <c r="AV713" s="5" t="str">
        <f ca="1">IFERROR(__xludf.DUMMYFUNCTION("IFERROR(VLOOKUP(E730&amp;F730,IMPORTRANGE(""https://docs.google.com/spreadsheets/d/1Uw7-A9f9R21vMXxHZFNpYNeKFtG8_yji4HS352LGlSQ/edit?pli=1#gid=0"",""1_ACUM!A4:S""),11,FALSE))"),"")</f>
        <v/>
      </c>
      <c r="AW713" s="42" t="str">
        <f ca="1">IFERROR(__xludf.DUMMYFUNCTION("IFERROR(VLOOKUP(F730,IMPORTRANGE(""https://docs.google.com/spreadsheets/d/1Kvs4KS76FHFqLFIZfrDMff4kP08nblUkihrxltoGBjg/edit#gid=934712705"",""ESENCIAL!A6:BG""),15,FALSE))"),"")</f>
        <v/>
      </c>
      <c r="AX713" s="21" t="str">
        <f ca="1">IFERROR(__xludf.DUMMYFUNCTION("IFERROR(VLOOKUP(E730&amp;F730,IMPORTRANGE(""https://docs.google.com/spreadsheets/d/1Uw7-A9f9R21vMXxHZFNpYNeKFtG8_yji4HS352LGlSQ/edit?pli=1#gid=0"",""1_ACUM!A4:S""),12,FALSE))"),"")</f>
        <v/>
      </c>
      <c r="AY713" s="43" t="str">
        <f ca="1">IFERROR(__xludf.DUMMYFUNCTION("IFERROR(VLOOKUP(E730&amp;F730,IMPORTRANGE(""https://docs.google.com/spreadsheets/d/1Uw7-A9f9R21vMXxHZFNpYNeKFtG8_yji4HS352LGlSQ/edit?pli=1#gid=0"",""1_ACUM!A4:S""),13,FALSE))"),"")</f>
        <v/>
      </c>
      <c r="AZ713" s="43" t="str">
        <f ca="1">IFERROR(__xludf.DUMMYFUNCTION("IFERROR(VLOOKUP(E730&amp;F730,IMPORTRANGE(""https://docs.google.com/spreadsheets/d/1Uw7-A9f9R21vMXxHZFNpYNeKFtG8_yji4HS352LGlSQ/edit?pli=1#gid=0"",""1_ACUM!A4:S""),14,FALSE))"),"")</f>
        <v/>
      </c>
      <c r="BA713" s="43" t="str">
        <f ca="1">IFERROR(__xludf.DUMMYFUNCTION("IFERROR(VLOOKUP(E730&amp;F730,IMPORTRANGE(""https://docs.google.com/spreadsheets/d/1Uw7-A9f9R21vMXxHZFNpYNeKFtG8_yji4HS352LGlSQ/edit?pli=1#gid=0"",""1_ACUM!A4:S""),15,FALSE))"),"")</f>
        <v/>
      </c>
      <c r="BB713" s="43" t="str">
        <f ca="1">IFERROR(__xludf.DUMMYFUNCTION("IFERROR(VLOOKUP(E730&amp;F730,IMPORTRANGE(""https://docs.google.com/spreadsheets/d/1Uw7-A9f9R21vMXxHZFNpYNeKFtG8_yji4HS352LGlSQ/edit?pli=1#gid=0"",""1_ACUM!A4:S""),16,FALSE))"),"")</f>
        <v/>
      </c>
      <c r="BC713" s="43" t="str">
        <f ca="1">IFERROR(__xludf.DUMMYFUNCTION("IFERROR(VLOOKUP(E730&amp;F730,IMPORTRANGE(""https://docs.google.com/spreadsheets/d/1Uw7-A9f9R21vMXxHZFNpYNeKFtG8_yji4HS352LGlSQ/edit?pli=1#gid=0"",""1_ACUM!A4:S""),17,FALSE))"),"")</f>
        <v/>
      </c>
      <c r="BD713" s="44" t="str">
        <f ca="1">IFERROR(__xludf.DUMMYFUNCTION("IFERROR(VLOOKUP(E730&amp;F730,IMPORTRANGE(""https://docs.google.com/spreadsheets/d/1Uw7-A9f9R21vMXxHZFNpYNeKFtG8_yji4HS352LGlSQ/edit?pli=1#gid=0"",""1_ACUM!A4:S""),18,FALSE))"),"")</f>
        <v/>
      </c>
      <c r="BE713" s="44" t="str">
        <f ca="1">IFERROR(__xludf.DUMMYFUNCTION("IFERROR(VLOOKUP(E730&amp;F730,IMPORTRANGE(""https://docs.google.com/spreadsheets/d/1Uw7-A9f9R21vMXxHZFNpYNeKFtG8_yji4HS352LGlSQ/edit?pli=1#gid=0"",""1_ACUM!A4:S""),19,FALSE))"),"")</f>
        <v/>
      </c>
      <c r="BF713" s="44" t="str">
        <f ca="1">IFERROR(__xludf.DUMMYFUNCTION("IFERROR(VLOOKUP(F730,IMPORTRANGE(""https://docs.google.com/spreadsheets/d/1Kvs4KS76FHFqLFIZfrDMff4kP08nblUkihrxltoGBjg/edit#gid=934712705"",""ESENCIAL!A6:BG""),5,FALSE))"),"")</f>
        <v/>
      </c>
      <c r="BG713" s="44" t="str">
        <f t="shared" si="41"/>
        <v/>
      </c>
      <c r="BH713" s="41" t="str">
        <f t="shared" si="42"/>
        <v/>
      </c>
      <c r="BI713" s="41" t="str">
        <f ca="1">IFERROR(__xludf.DUMMYFUNCTION("IFERROR(VLOOKUP(F730,IMPORTRANGE(""https://docs.google.com/spreadsheets/d/1Kvs4KS76FHFqLFIZfrDMff4kP08nblUkihrxltoGBjg/edit#gid=934712705"",""ESENCIAL!A6:BG""),18,FALSE))"),"")</f>
        <v/>
      </c>
      <c r="BJ713" s="19" t="str">
        <f t="shared" si="43"/>
        <v/>
      </c>
      <c r="BK713" s="41"/>
      <c r="BL713" s="41"/>
    </row>
    <row r="714" spans="1:64" ht="15">
      <c r="A714" s="4"/>
      <c r="B714" s="4"/>
      <c r="G714" s="5" t="str">
        <f ca="1">IFERROR(__xludf.DUMMYFUNCTION("IFERROR(VLOOKUP(F731,IMPORTRANGE(""https://docs.google.com/spreadsheets/d/1Kvs4KS76FHFqLFIZfrDMff4kP08nblUkihrxltoGBjg/edit#gid=934712705"",""ESENCIAL!A6:BG""),3,FALSE))"),"")</f>
        <v/>
      </c>
      <c r="H714" s="5" t="str">
        <f ca="1">IFERROR(__xludf.DUMMYFUNCTION("IFERROR(VLOOKUP(F731,IMPORTRANGE(""https://docs.google.com/spreadsheets/d/1Kvs4KS76FHFqLFIZfrDMff4kP08nblUkihrxltoGBjg/edit#gid=934712705"",""ESENCIAL!A6:BG""),8,FALSE))"),"")</f>
        <v/>
      </c>
      <c r="L714" s="287"/>
      <c r="S714"/>
      <c r="AU714" s="41" t="str">
        <f t="shared" si="40"/>
        <v/>
      </c>
      <c r="AV714" s="5" t="str">
        <f ca="1">IFERROR(__xludf.DUMMYFUNCTION("IFERROR(VLOOKUP(E731&amp;F731,IMPORTRANGE(""https://docs.google.com/spreadsheets/d/1Uw7-A9f9R21vMXxHZFNpYNeKFtG8_yji4HS352LGlSQ/edit?pli=1#gid=0"",""1_ACUM!A4:S""),11,FALSE))"),"")</f>
        <v/>
      </c>
      <c r="AW714" s="42" t="str">
        <f ca="1">IFERROR(__xludf.DUMMYFUNCTION("IFERROR(VLOOKUP(F731,IMPORTRANGE(""https://docs.google.com/spreadsheets/d/1Kvs4KS76FHFqLFIZfrDMff4kP08nblUkihrxltoGBjg/edit#gid=934712705"",""ESENCIAL!A6:BG""),15,FALSE))"),"")</f>
        <v/>
      </c>
      <c r="AX714" s="21" t="str">
        <f ca="1">IFERROR(__xludf.DUMMYFUNCTION("IFERROR(VLOOKUP(E731&amp;F731,IMPORTRANGE(""https://docs.google.com/spreadsheets/d/1Uw7-A9f9R21vMXxHZFNpYNeKFtG8_yji4HS352LGlSQ/edit?pli=1#gid=0"",""1_ACUM!A4:S""),12,FALSE))"),"")</f>
        <v/>
      </c>
      <c r="AY714" s="43" t="str">
        <f ca="1">IFERROR(__xludf.DUMMYFUNCTION("IFERROR(VLOOKUP(E731&amp;F731,IMPORTRANGE(""https://docs.google.com/spreadsheets/d/1Uw7-A9f9R21vMXxHZFNpYNeKFtG8_yji4HS352LGlSQ/edit?pli=1#gid=0"",""1_ACUM!A4:S""),13,FALSE))"),"")</f>
        <v/>
      </c>
      <c r="AZ714" s="43" t="str">
        <f ca="1">IFERROR(__xludf.DUMMYFUNCTION("IFERROR(VLOOKUP(E731&amp;F731,IMPORTRANGE(""https://docs.google.com/spreadsheets/d/1Uw7-A9f9R21vMXxHZFNpYNeKFtG8_yji4HS352LGlSQ/edit?pli=1#gid=0"",""1_ACUM!A4:S""),14,FALSE))"),"")</f>
        <v/>
      </c>
      <c r="BA714" s="43" t="str">
        <f ca="1">IFERROR(__xludf.DUMMYFUNCTION("IFERROR(VLOOKUP(E731&amp;F731,IMPORTRANGE(""https://docs.google.com/spreadsheets/d/1Uw7-A9f9R21vMXxHZFNpYNeKFtG8_yji4HS352LGlSQ/edit?pli=1#gid=0"",""1_ACUM!A4:S""),15,FALSE))"),"")</f>
        <v/>
      </c>
      <c r="BB714" s="43" t="str">
        <f ca="1">IFERROR(__xludf.DUMMYFUNCTION("IFERROR(VLOOKUP(E731&amp;F731,IMPORTRANGE(""https://docs.google.com/spreadsheets/d/1Uw7-A9f9R21vMXxHZFNpYNeKFtG8_yji4HS352LGlSQ/edit?pli=1#gid=0"",""1_ACUM!A4:S""),16,FALSE))"),"")</f>
        <v/>
      </c>
      <c r="BC714" s="43" t="str">
        <f ca="1">IFERROR(__xludf.DUMMYFUNCTION("IFERROR(VLOOKUP(E731&amp;F731,IMPORTRANGE(""https://docs.google.com/spreadsheets/d/1Uw7-A9f9R21vMXxHZFNpYNeKFtG8_yji4HS352LGlSQ/edit?pli=1#gid=0"",""1_ACUM!A4:S""),17,FALSE))"),"")</f>
        <v/>
      </c>
      <c r="BD714" s="44" t="str">
        <f ca="1">IFERROR(__xludf.DUMMYFUNCTION("IFERROR(VLOOKUP(E731&amp;F731,IMPORTRANGE(""https://docs.google.com/spreadsheets/d/1Uw7-A9f9R21vMXxHZFNpYNeKFtG8_yji4HS352LGlSQ/edit?pli=1#gid=0"",""1_ACUM!A4:S""),18,FALSE))"),"")</f>
        <v/>
      </c>
      <c r="BE714" s="44" t="str">
        <f ca="1">IFERROR(__xludf.DUMMYFUNCTION("IFERROR(VLOOKUP(E731&amp;F731,IMPORTRANGE(""https://docs.google.com/spreadsheets/d/1Uw7-A9f9R21vMXxHZFNpYNeKFtG8_yji4HS352LGlSQ/edit?pli=1#gid=0"",""1_ACUM!A4:S""),19,FALSE))"),"")</f>
        <v/>
      </c>
      <c r="BF714" s="44" t="str">
        <f ca="1">IFERROR(__xludf.DUMMYFUNCTION("IFERROR(VLOOKUP(F731,IMPORTRANGE(""https://docs.google.com/spreadsheets/d/1Kvs4KS76FHFqLFIZfrDMff4kP08nblUkihrxltoGBjg/edit#gid=934712705"",""ESENCIAL!A6:BG""),5,FALSE))"),"")</f>
        <v/>
      </c>
      <c r="BG714" s="44" t="str">
        <f t="shared" si="41"/>
        <v/>
      </c>
      <c r="BH714" s="41" t="str">
        <f t="shared" si="42"/>
        <v/>
      </c>
      <c r="BI714" s="41" t="str">
        <f ca="1">IFERROR(__xludf.DUMMYFUNCTION("IFERROR(VLOOKUP(F731,IMPORTRANGE(""https://docs.google.com/spreadsheets/d/1Kvs4KS76FHFqLFIZfrDMff4kP08nblUkihrxltoGBjg/edit#gid=934712705"",""ESENCIAL!A6:BG""),18,FALSE))"),"")</f>
        <v/>
      </c>
      <c r="BJ714" s="19" t="str">
        <f t="shared" si="43"/>
        <v/>
      </c>
      <c r="BK714" s="41"/>
      <c r="BL714" s="41"/>
    </row>
    <row r="715" spans="1:64" ht="15">
      <c r="A715" s="4"/>
      <c r="B715" s="4"/>
      <c r="G715" s="5" t="str">
        <f ca="1">IFERROR(__xludf.DUMMYFUNCTION("IFERROR(VLOOKUP(F732,IMPORTRANGE(""https://docs.google.com/spreadsheets/d/1Kvs4KS76FHFqLFIZfrDMff4kP08nblUkihrxltoGBjg/edit#gid=934712705"",""ESENCIAL!A6:BG""),3,FALSE))"),"")</f>
        <v/>
      </c>
      <c r="H715" s="5" t="str">
        <f ca="1">IFERROR(__xludf.DUMMYFUNCTION("IFERROR(VLOOKUP(F732,IMPORTRANGE(""https://docs.google.com/spreadsheets/d/1Kvs4KS76FHFqLFIZfrDMff4kP08nblUkihrxltoGBjg/edit#gid=934712705"",""ESENCIAL!A6:BG""),8,FALSE))"),"")</f>
        <v/>
      </c>
      <c r="L715" s="287"/>
      <c r="S715"/>
      <c r="AU715" s="41" t="str">
        <f t="shared" si="40"/>
        <v/>
      </c>
      <c r="AV715" s="5" t="str">
        <f ca="1">IFERROR(__xludf.DUMMYFUNCTION("IFERROR(VLOOKUP(E732&amp;F732,IMPORTRANGE(""https://docs.google.com/spreadsheets/d/1Uw7-A9f9R21vMXxHZFNpYNeKFtG8_yji4HS352LGlSQ/edit?pli=1#gid=0"",""1_ACUM!A4:S""),11,FALSE))"),"")</f>
        <v/>
      </c>
      <c r="AW715" s="42" t="str">
        <f ca="1">IFERROR(__xludf.DUMMYFUNCTION("IFERROR(VLOOKUP(F732,IMPORTRANGE(""https://docs.google.com/spreadsheets/d/1Kvs4KS76FHFqLFIZfrDMff4kP08nblUkihrxltoGBjg/edit#gid=934712705"",""ESENCIAL!A6:BG""),15,FALSE))"),"")</f>
        <v/>
      </c>
      <c r="AX715" s="21" t="str">
        <f ca="1">IFERROR(__xludf.DUMMYFUNCTION("IFERROR(VLOOKUP(E732&amp;F732,IMPORTRANGE(""https://docs.google.com/spreadsheets/d/1Uw7-A9f9R21vMXxHZFNpYNeKFtG8_yji4HS352LGlSQ/edit?pli=1#gid=0"",""1_ACUM!A4:S""),12,FALSE))"),"")</f>
        <v/>
      </c>
      <c r="AY715" s="43" t="str">
        <f ca="1">IFERROR(__xludf.DUMMYFUNCTION("IFERROR(VLOOKUP(E732&amp;F732,IMPORTRANGE(""https://docs.google.com/spreadsheets/d/1Uw7-A9f9R21vMXxHZFNpYNeKFtG8_yji4HS352LGlSQ/edit?pli=1#gid=0"",""1_ACUM!A4:S""),13,FALSE))"),"")</f>
        <v/>
      </c>
      <c r="AZ715" s="43" t="str">
        <f ca="1">IFERROR(__xludf.DUMMYFUNCTION("IFERROR(VLOOKUP(E732&amp;F732,IMPORTRANGE(""https://docs.google.com/spreadsheets/d/1Uw7-A9f9R21vMXxHZFNpYNeKFtG8_yji4HS352LGlSQ/edit?pli=1#gid=0"",""1_ACUM!A4:S""),14,FALSE))"),"")</f>
        <v/>
      </c>
      <c r="BA715" s="43" t="str">
        <f ca="1">IFERROR(__xludf.DUMMYFUNCTION("IFERROR(VLOOKUP(E732&amp;F732,IMPORTRANGE(""https://docs.google.com/spreadsheets/d/1Uw7-A9f9R21vMXxHZFNpYNeKFtG8_yji4HS352LGlSQ/edit?pli=1#gid=0"",""1_ACUM!A4:S""),15,FALSE))"),"")</f>
        <v/>
      </c>
      <c r="BB715" s="43" t="str">
        <f ca="1">IFERROR(__xludf.DUMMYFUNCTION("IFERROR(VLOOKUP(E732&amp;F732,IMPORTRANGE(""https://docs.google.com/spreadsheets/d/1Uw7-A9f9R21vMXxHZFNpYNeKFtG8_yji4HS352LGlSQ/edit?pli=1#gid=0"",""1_ACUM!A4:S""),16,FALSE))"),"")</f>
        <v/>
      </c>
      <c r="BC715" s="43" t="str">
        <f ca="1">IFERROR(__xludf.DUMMYFUNCTION("IFERROR(VLOOKUP(E732&amp;F732,IMPORTRANGE(""https://docs.google.com/spreadsheets/d/1Uw7-A9f9R21vMXxHZFNpYNeKFtG8_yji4HS352LGlSQ/edit?pli=1#gid=0"",""1_ACUM!A4:S""),17,FALSE))"),"")</f>
        <v/>
      </c>
      <c r="BD715" s="44" t="str">
        <f ca="1">IFERROR(__xludf.DUMMYFUNCTION("IFERROR(VLOOKUP(E732&amp;F732,IMPORTRANGE(""https://docs.google.com/spreadsheets/d/1Uw7-A9f9R21vMXxHZFNpYNeKFtG8_yji4HS352LGlSQ/edit?pli=1#gid=0"",""1_ACUM!A4:S""),18,FALSE))"),"")</f>
        <v/>
      </c>
      <c r="BE715" s="44" t="str">
        <f ca="1">IFERROR(__xludf.DUMMYFUNCTION("IFERROR(VLOOKUP(E732&amp;F732,IMPORTRANGE(""https://docs.google.com/spreadsheets/d/1Uw7-A9f9R21vMXxHZFNpYNeKFtG8_yji4HS352LGlSQ/edit?pli=1#gid=0"",""1_ACUM!A4:S""),19,FALSE))"),"")</f>
        <v/>
      </c>
      <c r="BF715" s="44" t="str">
        <f ca="1">IFERROR(__xludf.DUMMYFUNCTION("IFERROR(VLOOKUP(F732,IMPORTRANGE(""https://docs.google.com/spreadsheets/d/1Kvs4KS76FHFqLFIZfrDMff4kP08nblUkihrxltoGBjg/edit#gid=934712705"",""ESENCIAL!A6:BG""),5,FALSE))"),"")</f>
        <v/>
      </c>
      <c r="BG715" s="44" t="str">
        <f t="shared" si="41"/>
        <v/>
      </c>
      <c r="BH715" s="41" t="str">
        <f t="shared" si="42"/>
        <v/>
      </c>
      <c r="BI715" s="41" t="str">
        <f ca="1">IFERROR(__xludf.DUMMYFUNCTION("IFERROR(VLOOKUP(F732,IMPORTRANGE(""https://docs.google.com/spreadsheets/d/1Kvs4KS76FHFqLFIZfrDMff4kP08nblUkihrxltoGBjg/edit#gid=934712705"",""ESENCIAL!A6:BG""),18,FALSE))"),"")</f>
        <v/>
      </c>
      <c r="BJ715" s="19" t="str">
        <f t="shared" si="43"/>
        <v/>
      </c>
      <c r="BK715" s="41"/>
      <c r="BL715" s="41"/>
    </row>
    <row r="716" spans="1:64" ht="15">
      <c r="A716" s="4"/>
      <c r="B716" s="4"/>
      <c r="G716" s="5" t="str">
        <f ca="1">IFERROR(__xludf.DUMMYFUNCTION("IFERROR(VLOOKUP(F733,IMPORTRANGE(""https://docs.google.com/spreadsheets/d/1Kvs4KS76FHFqLFIZfrDMff4kP08nblUkihrxltoGBjg/edit#gid=934712705"",""ESENCIAL!A6:BG""),3,FALSE))"),"")</f>
        <v/>
      </c>
      <c r="H716" s="5" t="str">
        <f ca="1">IFERROR(__xludf.DUMMYFUNCTION("IFERROR(VLOOKUP(F733,IMPORTRANGE(""https://docs.google.com/spreadsheets/d/1Kvs4KS76FHFqLFIZfrDMff4kP08nblUkihrxltoGBjg/edit#gid=934712705"",""ESENCIAL!A6:BG""),8,FALSE))"),"")</f>
        <v/>
      </c>
      <c r="L716" s="287"/>
      <c r="S716"/>
      <c r="AU716" s="41" t="str">
        <f t="shared" si="40"/>
        <v/>
      </c>
      <c r="AV716" s="5" t="str">
        <f ca="1">IFERROR(__xludf.DUMMYFUNCTION("IFERROR(VLOOKUP(E733&amp;F733,IMPORTRANGE(""https://docs.google.com/spreadsheets/d/1Uw7-A9f9R21vMXxHZFNpYNeKFtG8_yji4HS352LGlSQ/edit?pli=1#gid=0"",""1_ACUM!A4:S""),11,FALSE))"),"")</f>
        <v/>
      </c>
      <c r="AW716" s="42" t="str">
        <f ca="1">IFERROR(__xludf.DUMMYFUNCTION("IFERROR(VLOOKUP(F733,IMPORTRANGE(""https://docs.google.com/spreadsheets/d/1Kvs4KS76FHFqLFIZfrDMff4kP08nblUkihrxltoGBjg/edit#gid=934712705"",""ESENCIAL!A6:BG""),15,FALSE))"),"")</f>
        <v/>
      </c>
      <c r="AX716" s="21" t="str">
        <f ca="1">IFERROR(__xludf.DUMMYFUNCTION("IFERROR(VLOOKUP(E733&amp;F733,IMPORTRANGE(""https://docs.google.com/spreadsheets/d/1Uw7-A9f9R21vMXxHZFNpYNeKFtG8_yji4HS352LGlSQ/edit?pli=1#gid=0"",""1_ACUM!A4:S""),12,FALSE))"),"")</f>
        <v/>
      </c>
      <c r="AY716" s="43" t="str">
        <f ca="1">IFERROR(__xludf.DUMMYFUNCTION("IFERROR(VLOOKUP(E733&amp;F733,IMPORTRANGE(""https://docs.google.com/spreadsheets/d/1Uw7-A9f9R21vMXxHZFNpYNeKFtG8_yji4HS352LGlSQ/edit?pli=1#gid=0"",""1_ACUM!A4:S""),13,FALSE))"),"")</f>
        <v/>
      </c>
      <c r="AZ716" s="43" t="str">
        <f ca="1">IFERROR(__xludf.DUMMYFUNCTION("IFERROR(VLOOKUP(E733&amp;F733,IMPORTRANGE(""https://docs.google.com/spreadsheets/d/1Uw7-A9f9R21vMXxHZFNpYNeKFtG8_yji4HS352LGlSQ/edit?pli=1#gid=0"",""1_ACUM!A4:S""),14,FALSE))"),"")</f>
        <v/>
      </c>
      <c r="BA716" s="43" t="str">
        <f ca="1">IFERROR(__xludf.DUMMYFUNCTION("IFERROR(VLOOKUP(E733&amp;F733,IMPORTRANGE(""https://docs.google.com/spreadsheets/d/1Uw7-A9f9R21vMXxHZFNpYNeKFtG8_yji4HS352LGlSQ/edit?pli=1#gid=0"",""1_ACUM!A4:S""),15,FALSE))"),"")</f>
        <v/>
      </c>
      <c r="BB716" s="43" t="str">
        <f ca="1">IFERROR(__xludf.DUMMYFUNCTION("IFERROR(VLOOKUP(E733&amp;F733,IMPORTRANGE(""https://docs.google.com/spreadsheets/d/1Uw7-A9f9R21vMXxHZFNpYNeKFtG8_yji4HS352LGlSQ/edit?pli=1#gid=0"",""1_ACUM!A4:S""),16,FALSE))"),"")</f>
        <v/>
      </c>
      <c r="BC716" s="43" t="str">
        <f ca="1">IFERROR(__xludf.DUMMYFUNCTION("IFERROR(VLOOKUP(E733&amp;F733,IMPORTRANGE(""https://docs.google.com/spreadsheets/d/1Uw7-A9f9R21vMXxHZFNpYNeKFtG8_yji4HS352LGlSQ/edit?pli=1#gid=0"",""1_ACUM!A4:S""),17,FALSE))"),"")</f>
        <v/>
      </c>
      <c r="BD716" s="44" t="str">
        <f ca="1">IFERROR(__xludf.DUMMYFUNCTION("IFERROR(VLOOKUP(E733&amp;F733,IMPORTRANGE(""https://docs.google.com/spreadsheets/d/1Uw7-A9f9R21vMXxHZFNpYNeKFtG8_yji4HS352LGlSQ/edit?pli=1#gid=0"",""1_ACUM!A4:S""),18,FALSE))"),"")</f>
        <v/>
      </c>
      <c r="BE716" s="44" t="str">
        <f ca="1">IFERROR(__xludf.DUMMYFUNCTION("IFERROR(VLOOKUP(E733&amp;F733,IMPORTRANGE(""https://docs.google.com/spreadsheets/d/1Uw7-A9f9R21vMXxHZFNpYNeKFtG8_yji4HS352LGlSQ/edit?pli=1#gid=0"",""1_ACUM!A4:S""),19,FALSE))"),"")</f>
        <v/>
      </c>
      <c r="BF716" s="44" t="str">
        <f ca="1">IFERROR(__xludf.DUMMYFUNCTION("IFERROR(VLOOKUP(F733,IMPORTRANGE(""https://docs.google.com/spreadsheets/d/1Kvs4KS76FHFqLFIZfrDMff4kP08nblUkihrxltoGBjg/edit#gid=934712705"",""ESENCIAL!A6:BG""),5,FALSE))"),"")</f>
        <v/>
      </c>
      <c r="BG716" s="44" t="str">
        <f t="shared" si="41"/>
        <v/>
      </c>
      <c r="BH716" s="41" t="str">
        <f t="shared" si="42"/>
        <v/>
      </c>
      <c r="BI716" s="41" t="str">
        <f ca="1">IFERROR(__xludf.DUMMYFUNCTION("IFERROR(VLOOKUP(F733,IMPORTRANGE(""https://docs.google.com/spreadsheets/d/1Kvs4KS76FHFqLFIZfrDMff4kP08nblUkihrxltoGBjg/edit#gid=934712705"",""ESENCIAL!A6:BG""),18,FALSE))"),"")</f>
        <v/>
      </c>
      <c r="BJ716" s="19" t="str">
        <f t="shared" si="43"/>
        <v/>
      </c>
      <c r="BK716" s="41"/>
      <c r="BL716" s="41"/>
    </row>
    <row r="717" spans="1:64" ht="15">
      <c r="A717" s="4"/>
      <c r="B717" s="4"/>
      <c r="G717" s="5" t="str">
        <f ca="1">IFERROR(__xludf.DUMMYFUNCTION("IFERROR(VLOOKUP(F734,IMPORTRANGE(""https://docs.google.com/spreadsheets/d/1Kvs4KS76FHFqLFIZfrDMff4kP08nblUkihrxltoGBjg/edit#gid=934712705"",""ESENCIAL!A6:BG""),3,FALSE))"),"")</f>
        <v/>
      </c>
      <c r="H717" s="5" t="str">
        <f ca="1">IFERROR(__xludf.DUMMYFUNCTION("IFERROR(VLOOKUP(F734,IMPORTRANGE(""https://docs.google.com/spreadsheets/d/1Kvs4KS76FHFqLFIZfrDMff4kP08nblUkihrxltoGBjg/edit#gid=934712705"",""ESENCIAL!A6:BG""),8,FALSE))"),"")</f>
        <v/>
      </c>
      <c r="L717" s="287"/>
      <c r="S717"/>
      <c r="AU717" s="41" t="str">
        <f t="shared" si="40"/>
        <v/>
      </c>
      <c r="AV717" s="5" t="str">
        <f ca="1">IFERROR(__xludf.DUMMYFUNCTION("IFERROR(VLOOKUP(E734&amp;F734,IMPORTRANGE(""https://docs.google.com/spreadsheets/d/1Uw7-A9f9R21vMXxHZFNpYNeKFtG8_yji4HS352LGlSQ/edit?pli=1#gid=0"",""1_ACUM!A4:S""),11,FALSE))"),"")</f>
        <v/>
      </c>
      <c r="AW717" s="42" t="str">
        <f ca="1">IFERROR(__xludf.DUMMYFUNCTION("IFERROR(VLOOKUP(F734,IMPORTRANGE(""https://docs.google.com/spreadsheets/d/1Kvs4KS76FHFqLFIZfrDMff4kP08nblUkihrxltoGBjg/edit#gid=934712705"",""ESENCIAL!A6:BG""),15,FALSE))"),"")</f>
        <v/>
      </c>
      <c r="AX717" s="21" t="str">
        <f ca="1">IFERROR(__xludf.DUMMYFUNCTION("IFERROR(VLOOKUP(E734&amp;F734,IMPORTRANGE(""https://docs.google.com/spreadsheets/d/1Uw7-A9f9R21vMXxHZFNpYNeKFtG8_yji4HS352LGlSQ/edit?pli=1#gid=0"",""1_ACUM!A4:S""),12,FALSE))"),"")</f>
        <v/>
      </c>
      <c r="AY717" s="43" t="str">
        <f ca="1">IFERROR(__xludf.DUMMYFUNCTION("IFERROR(VLOOKUP(E734&amp;F734,IMPORTRANGE(""https://docs.google.com/spreadsheets/d/1Uw7-A9f9R21vMXxHZFNpYNeKFtG8_yji4HS352LGlSQ/edit?pli=1#gid=0"",""1_ACUM!A4:S""),13,FALSE))"),"")</f>
        <v/>
      </c>
      <c r="AZ717" s="43" t="str">
        <f ca="1">IFERROR(__xludf.DUMMYFUNCTION("IFERROR(VLOOKUP(E734&amp;F734,IMPORTRANGE(""https://docs.google.com/spreadsheets/d/1Uw7-A9f9R21vMXxHZFNpYNeKFtG8_yji4HS352LGlSQ/edit?pli=1#gid=0"",""1_ACUM!A4:S""),14,FALSE))"),"")</f>
        <v/>
      </c>
      <c r="BA717" s="43" t="str">
        <f ca="1">IFERROR(__xludf.DUMMYFUNCTION("IFERROR(VLOOKUP(E734&amp;F734,IMPORTRANGE(""https://docs.google.com/spreadsheets/d/1Uw7-A9f9R21vMXxHZFNpYNeKFtG8_yji4HS352LGlSQ/edit?pli=1#gid=0"",""1_ACUM!A4:S""),15,FALSE))"),"")</f>
        <v/>
      </c>
      <c r="BB717" s="43" t="str">
        <f ca="1">IFERROR(__xludf.DUMMYFUNCTION("IFERROR(VLOOKUP(E734&amp;F734,IMPORTRANGE(""https://docs.google.com/spreadsheets/d/1Uw7-A9f9R21vMXxHZFNpYNeKFtG8_yji4HS352LGlSQ/edit?pli=1#gid=0"",""1_ACUM!A4:S""),16,FALSE))"),"")</f>
        <v/>
      </c>
      <c r="BC717" s="43" t="str">
        <f ca="1">IFERROR(__xludf.DUMMYFUNCTION("IFERROR(VLOOKUP(E734&amp;F734,IMPORTRANGE(""https://docs.google.com/spreadsheets/d/1Uw7-A9f9R21vMXxHZFNpYNeKFtG8_yji4HS352LGlSQ/edit?pli=1#gid=0"",""1_ACUM!A4:S""),17,FALSE))"),"")</f>
        <v/>
      </c>
      <c r="BD717" s="44" t="str">
        <f ca="1">IFERROR(__xludf.DUMMYFUNCTION("IFERROR(VLOOKUP(E734&amp;F734,IMPORTRANGE(""https://docs.google.com/spreadsheets/d/1Uw7-A9f9R21vMXxHZFNpYNeKFtG8_yji4HS352LGlSQ/edit?pli=1#gid=0"",""1_ACUM!A4:S""),18,FALSE))"),"")</f>
        <v/>
      </c>
      <c r="BE717" s="44" t="str">
        <f ca="1">IFERROR(__xludf.DUMMYFUNCTION("IFERROR(VLOOKUP(E734&amp;F734,IMPORTRANGE(""https://docs.google.com/spreadsheets/d/1Uw7-A9f9R21vMXxHZFNpYNeKFtG8_yji4HS352LGlSQ/edit?pli=1#gid=0"",""1_ACUM!A4:S""),19,FALSE))"),"")</f>
        <v/>
      </c>
      <c r="BF717" s="44" t="str">
        <f ca="1">IFERROR(__xludf.DUMMYFUNCTION("IFERROR(VLOOKUP(F734,IMPORTRANGE(""https://docs.google.com/spreadsheets/d/1Kvs4KS76FHFqLFIZfrDMff4kP08nblUkihrxltoGBjg/edit#gid=934712705"",""ESENCIAL!A6:BG""),5,FALSE))"),"")</f>
        <v/>
      </c>
      <c r="BG717" s="44" t="str">
        <f t="shared" si="41"/>
        <v/>
      </c>
      <c r="BH717" s="41" t="str">
        <f t="shared" si="42"/>
        <v/>
      </c>
      <c r="BI717" s="41" t="str">
        <f ca="1">IFERROR(__xludf.DUMMYFUNCTION("IFERROR(VLOOKUP(F734,IMPORTRANGE(""https://docs.google.com/spreadsheets/d/1Kvs4KS76FHFqLFIZfrDMff4kP08nblUkihrxltoGBjg/edit#gid=934712705"",""ESENCIAL!A6:BG""),18,FALSE))"),"")</f>
        <v/>
      </c>
      <c r="BJ717" s="19" t="str">
        <f t="shared" si="43"/>
        <v/>
      </c>
      <c r="BK717" s="41"/>
      <c r="BL717" s="41"/>
    </row>
    <row r="718" spans="1:64" ht="15">
      <c r="A718" s="4"/>
      <c r="B718" s="4"/>
      <c r="G718" s="5" t="str">
        <f ca="1">IFERROR(__xludf.DUMMYFUNCTION("IFERROR(VLOOKUP(F735,IMPORTRANGE(""https://docs.google.com/spreadsheets/d/1Kvs4KS76FHFqLFIZfrDMff4kP08nblUkihrxltoGBjg/edit#gid=934712705"",""ESENCIAL!A6:BG""),3,FALSE))"),"")</f>
        <v/>
      </c>
      <c r="H718" s="5" t="str">
        <f ca="1">IFERROR(__xludf.DUMMYFUNCTION("IFERROR(VLOOKUP(F735,IMPORTRANGE(""https://docs.google.com/spreadsheets/d/1Kvs4KS76FHFqLFIZfrDMff4kP08nblUkihrxltoGBjg/edit#gid=934712705"",""ESENCIAL!A6:BG""),8,FALSE))"),"")</f>
        <v/>
      </c>
      <c r="L718" s="287"/>
      <c r="S718"/>
      <c r="AU718" s="41" t="str">
        <f t="shared" si="40"/>
        <v/>
      </c>
      <c r="AV718" s="5" t="str">
        <f ca="1">IFERROR(__xludf.DUMMYFUNCTION("IFERROR(VLOOKUP(E735&amp;F735,IMPORTRANGE(""https://docs.google.com/spreadsheets/d/1Uw7-A9f9R21vMXxHZFNpYNeKFtG8_yji4HS352LGlSQ/edit?pli=1#gid=0"",""1_ACUM!A4:S""),11,FALSE))"),"")</f>
        <v/>
      </c>
      <c r="AW718" s="42" t="str">
        <f ca="1">IFERROR(__xludf.DUMMYFUNCTION("IFERROR(VLOOKUP(F735,IMPORTRANGE(""https://docs.google.com/spreadsheets/d/1Kvs4KS76FHFqLFIZfrDMff4kP08nblUkihrxltoGBjg/edit#gid=934712705"",""ESENCIAL!A6:BG""),15,FALSE))"),"")</f>
        <v/>
      </c>
      <c r="AX718" s="21" t="str">
        <f ca="1">IFERROR(__xludf.DUMMYFUNCTION("IFERROR(VLOOKUP(E735&amp;F735,IMPORTRANGE(""https://docs.google.com/spreadsheets/d/1Uw7-A9f9R21vMXxHZFNpYNeKFtG8_yji4HS352LGlSQ/edit?pli=1#gid=0"",""1_ACUM!A4:S""),12,FALSE))"),"")</f>
        <v/>
      </c>
      <c r="AY718" s="43" t="str">
        <f ca="1">IFERROR(__xludf.DUMMYFUNCTION("IFERROR(VLOOKUP(E735&amp;F735,IMPORTRANGE(""https://docs.google.com/spreadsheets/d/1Uw7-A9f9R21vMXxHZFNpYNeKFtG8_yji4HS352LGlSQ/edit?pli=1#gid=0"",""1_ACUM!A4:S""),13,FALSE))"),"")</f>
        <v/>
      </c>
      <c r="AZ718" s="43" t="str">
        <f ca="1">IFERROR(__xludf.DUMMYFUNCTION("IFERROR(VLOOKUP(E735&amp;F735,IMPORTRANGE(""https://docs.google.com/spreadsheets/d/1Uw7-A9f9R21vMXxHZFNpYNeKFtG8_yji4HS352LGlSQ/edit?pli=1#gid=0"",""1_ACUM!A4:S""),14,FALSE))"),"")</f>
        <v/>
      </c>
      <c r="BA718" s="43" t="str">
        <f ca="1">IFERROR(__xludf.DUMMYFUNCTION("IFERROR(VLOOKUP(E735&amp;F735,IMPORTRANGE(""https://docs.google.com/spreadsheets/d/1Uw7-A9f9R21vMXxHZFNpYNeKFtG8_yji4HS352LGlSQ/edit?pli=1#gid=0"",""1_ACUM!A4:S""),15,FALSE))"),"")</f>
        <v/>
      </c>
      <c r="BB718" s="43" t="str">
        <f ca="1">IFERROR(__xludf.DUMMYFUNCTION("IFERROR(VLOOKUP(E735&amp;F735,IMPORTRANGE(""https://docs.google.com/spreadsheets/d/1Uw7-A9f9R21vMXxHZFNpYNeKFtG8_yji4HS352LGlSQ/edit?pli=1#gid=0"",""1_ACUM!A4:S""),16,FALSE))"),"")</f>
        <v/>
      </c>
      <c r="BC718" s="43" t="str">
        <f ca="1">IFERROR(__xludf.DUMMYFUNCTION("IFERROR(VLOOKUP(E735&amp;F735,IMPORTRANGE(""https://docs.google.com/spreadsheets/d/1Uw7-A9f9R21vMXxHZFNpYNeKFtG8_yji4HS352LGlSQ/edit?pli=1#gid=0"",""1_ACUM!A4:S""),17,FALSE))"),"")</f>
        <v/>
      </c>
      <c r="BD718" s="44" t="str">
        <f ca="1">IFERROR(__xludf.DUMMYFUNCTION("IFERROR(VLOOKUP(E735&amp;F735,IMPORTRANGE(""https://docs.google.com/spreadsheets/d/1Uw7-A9f9R21vMXxHZFNpYNeKFtG8_yji4HS352LGlSQ/edit?pli=1#gid=0"",""1_ACUM!A4:S""),18,FALSE))"),"")</f>
        <v/>
      </c>
      <c r="BE718" s="44" t="str">
        <f ca="1">IFERROR(__xludf.DUMMYFUNCTION("IFERROR(VLOOKUP(E735&amp;F735,IMPORTRANGE(""https://docs.google.com/spreadsheets/d/1Uw7-A9f9R21vMXxHZFNpYNeKFtG8_yji4HS352LGlSQ/edit?pli=1#gid=0"",""1_ACUM!A4:S""),19,FALSE))"),"")</f>
        <v/>
      </c>
      <c r="BF718" s="44" t="str">
        <f ca="1">IFERROR(__xludf.DUMMYFUNCTION("IFERROR(VLOOKUP(F735,IMPORTRANGE(""https://docs.google.com/spreadsheets/d/1Kvs4KS76FHFqLFIZfrDMff4kP08nblUkihrxltoGBjg/edit#gid=934712705"",""ESENCIAL!A6:BG""),5,FALSE))"),"")</f>
        <v/>
      </c>
      <c r="BG718" s="44" t="str">
        <f t="shared" si="41"/>
        <v/>
      </c>
      <c r="BH718" s="41" t="str">
        <f t="shared" si="42"/>
        <v/>
      </c>
      <c r="BI718" s="41" t="str">
        <f ca="1">IFERROR(__xludf.DUMMYFUNCTION("IFERROR(VLOOKUP(F735,IMPORTRANGE(""https://docs.google.com/spreadsheets/d/1Kvs4KS76FHFqLFIZfrDMff4kP08nblUkihrxltoGBjg/edit#gid=934712705"",""ESENCIAL!A6:BG""),18,FALSE))"),"")</f>
        <v/>
      </c>
      <c r="BJ718" s="19" t="str">
        <f t="shared" si="43"/>
        <v/>
      </c>
      <c r="BK718" s="41"/>
      <c r="BL718" s="41"/>
    </row>
    <row r="719" spans="1:64" ht="15">
      <c r="A719" s="4"/>
      <c r="B719" s="4"/>
      <c r="G719" s="5" t="str">
        <f ca="1">IFERROR(__xludf.DUMMYFUNCTION("IFERROR(VLOOKUP(F736,IMPORTRANGE(""https://docs.google.com/spreadsheets/d/1Kvs4KS76FHFqLFIZfrDMff4kP08nblUkihrxltoGBjg/edit#gid=934712705"",""ESENCIAL!A6:BG""),3,FALSE))"),"")</f>
        <v/>
      </c>
      <c r="H719" s="5" t="str">
        <f ca="1">IFERROR(__xludf.DUMMYFUNCTION("IFERROR(VLOOKUP(F736,IMPORTRANGE(""https://docs.google.com/spreadsheets/d/1Kvs4KS76FHFqLFIZfrDMff4kP08nblUkihrxltoGBjg/edit#gid=934712705"",""ESENCIAL!A6:BG""),8,FALSE))"),"")</f>
        <v/>
      </c>
      <c r="L719" s="287"/>
      <c r="S719"/>
      <c r="AU719" s="41" t="str">
        <f t="shared" si="40"/>
        <v/>
      </c>
      <c r="AV719" s="5" t="str">
        <f ca="1">IFERROR(__xludf.DUMMYFUNCTION("IFERROR(VLOOKUP(E736&amp;F736,IMPORTRANGE(""https://docs.google.com/spreadsheets/d/1Uw7-A9f9R21vMXxHZFNpYNeKFtG8_yji4HS352LGlSQ/edit?pli=1#gid=0"",""1_ACUM!A4:S""),11,FALSE))"),"")</f>
        <v/>
      </c>
      <c r="AW719" s="42" t="str">
        <f ca="1">IFERROR(__xludf.DUMMYFUNCTION("IFERROR(VLOOKUP(F736,IMPORTRANGE(""https://docs.google.com/spreadsheets/d/1Kvs4KS76FHFqLFIZfrDMff4kP08nblUkihrxltoGBjg/edit#gid=934712705"",""ESENCIAL!A6:BG""),15,FALSE))"),"")</f>
        <v/>
      </c>
      <c r="AX719" s="21" t="str">
        <f ca="1">IFERROR(__xludf.DUMMYFUNCTION("IFERROR(VLOOKUP(E736&amp;F736,IMPORTRANGE(""https://docs.google.com/spreadsheets/d/1Uw7-A9f9R21vMXxHZFNpYNeKFtG8_yji4HS352LGlSQ/edit?pli=1#gid=0"",""1_ACUM!A4:S""),12,FALSE))"),"")</f>
        <v/>
      </c>
      <c r="AY719" s="43" t="str">
        <f ca="1">IFERROR(__xludf.DUMMYFUNCTION("IFERROR(VLOOKUP(E736&amp;F736,IMPORTRANGE(""https://docs.google.com/spreadsheets/d/1Uw7-A9f9R21vMXxHZFNpYNeKFtG8_yji4HS352LGlSQ/edit?pli=1#gid=0"",""1_ACUM!A4:S""),13,FALSE))"),"")</f>
        <v/>
      </c>
      <c r="AZ719" s="43" t="str">
        <f ca="1">IFERROR(__xludf.DUMMYFUNCTION("IFERROR(VLOOKUP(E736&amp;F736,IMPORTRANGE(""https://docs.google.com/spreadsheets/d/1Uw7-A9f9R21vMXxHZFNpYNeKFtG8_yji4HS352LGlSQ/edit?pli=1#gid=0"",""1_ACUM!A4:S""),14,FALSE))"),"")</f>
        <v/>
      </c>
      <c r="BA719" s="43" t="str">
        <f ca="1">IFERROR(__xludf.DUMMYFUNCTION("IFERROR(VLOOKUP(E736&amp;F736,IMPORTRANGE(""https://docs.google.com/spreadsheets/d/1Uw7-A9f9R21vMXxHZFNpYNeKFtG8_yji4HS352LGlSQ/edit?pli=1#gid=0"",""1_ACUM!A4:S""),15,FALSE))"),"")</f>
        <v/>
      </c>
      <c r="BB719" s="43" t="str">
        <f ca="1">IFERROR(__xludf.DUMMYFUNCTION("IFERROR(VLOOKUP(E736&amp;F736,IMPORTRANGE(""https://docs.google.com/spreadsheets/d/1Uw7-A9f9R21vMXxHZFNpYNeKFtG8_yji4HS352LGlSQ/edit?pli=1#gid=0"",""1_ACUM!A4:S""),16,FALSE))"),"")</f>
        <v/>
      </c>
      <c r="BC719" s="43" t="str">
        <f ca="1">IFERROR(__xludf.DUMMYFUNCTION("IFERROR(VLOOKUP(E736&amp;F736,IMPORTRANGE(""https://docs.google.com/spreadsheets/d/1Uw7-A9f9R21vMXxHZFNpYNeKFtG8_yji4HS352LGlSQ/edit?pli=1#gid=0"",""1_ACUM!A4:S""),17,FALSE))"),"")</f>
        <v/>
      </c>
      <c r="BD719" s="44" t="str">
        <f ca="1">IFERROR(__xludf.DUMMYFUNCTION("IFERROR(VLOOKUP(E736&amp;F736,IMPORTRANGE(""https://docs.google.com/spreadsheets/d/1Uw7-A9f9R21vMXxHZFNpYNeKFtG8_yji4HS352LGlSQ/edit?pli=1#gid=0"",""1_ACUM!A4:S""),18,FALSE))"),"")</f>
        <v/>
      </c>
      <c r="BE719" s="44" t="str">
        <f ca="1">IFERROR(__xludf.DUMMYFUNCTION("IFERROR(VLOOKUP(E736&amp;F736,IMPORTRANGE(""https://docs.google.com/spreadsheets/d/1Uw7-A9f9R21vMXxHZFNpYNeKFtG8_yji4HS352LGlSQ/edit?pli=1#gid=0"",""1_ACUM!A4:S""),19,FALSE))"),"")</f>
        <v/>
      </c>
      <c r="BF719" s="44" t="str">
        <f ca="1">IFERROR(__xludf.DUMMYFUNCTION("IFERROR(VLOOKUP(F736,IMPORTRANGE(""https://docs.google.com/spreadsheets/d/1Kvs4KS76FHFqLFIZfrDMff4kP08nblUkihrxltoGBjg/edit#gid=934712705"",""ESENCIAL!A6:BG""),5,FALSE))"),"")</f>
        <v/>
      </c>
      <c r="BG719" s="44" t="str">
        <f t="shared" si="41"/>
        <v/>
      </c>
      <c r="BH719" s="41" t="str">
        <f t="shared" si="42"/>
        <v/>
      </c>
      <c r="BI719" s="41" t="str">
        <f ca="1">IFERROR(__xludf.DUMMYFUNCTION("IFERROR(VLOOKUP(F736,IMPORTRANGE(""https://docs.google.com/spreadsheets/d/1Kvs4KS76FHFqLFIZfrDMff4kP08nblUkihrxltoGBjg/edit#gid=934712705"",""ESENCIAL!A6:BG""),18,FALSE))"),"")</f>
        <v/>
      </c>
      <c r="BJ719" s="19" t="str">
        <f t="shared" si="43"/>
        <v/>
      </c>
      <c r="BK719" s="41"/>
      <c r="BL719" s="41"/>
    </row>
    <row r="720" spans="1:64" ht="15">
      <c r="A720" s="4"/>
      <c r="B720" s="4"/>
      <c r="G720" s="5" t="str">
        <f ca="1">IFERROR(__xludf.DUMMYFUNCTION("IFERROR(VLOOKUP(F737,IMPORTRANGE(""https://docs.google.com/spreadsheets/d/1Kvs4KS76FHFqLFIZfrDMff4kP08nblUkihrxltoGBjg/edit#gid=934712705"",""ESENCIAL!A6:BG""),3,FALSE))"),"")</f>
        <v/>
      </c>
      <c r="H720" s="5" t="str">
        <f ca="1">IFERROR(__xludf.DUMMYFUNCTION("IFERROR(VLOOKUP(F737,IMPORTRANGE(""https://docs.google.com/spreadsheets/d/1Kvs4KS76FHFqLFIZfrDMff4kP08nblUkihrxltoGBjg/edit#gid=934712705"",""ESENCIAL!A6:BG""),8,FALSE))"),"")</f>
        <v/>
      </c>
      <c r="L720" s="287"/>
      <c r="S720"/>
      <c r="AU720" s="41" t="str">
        <f t="shared" si="40"/>
        <v/>
      </c>
      <c r="AV720" s="5" t="str">
        <f ca="1">IFERROR(__xludf.DUMMYFUNCTION("IFERROR(VLOOKUP(E737&amp;F737,IMPORTRANGE(""https://docs.google.com/spreadsheets/d/1Uw7-A9f9R21vMXxHZFNpYNeKFtG8_yji4HS352LGlSQ/edit?pli=1#gid=0"",""1_ACUM!A4:S""),11,FALSE))"),"")</f>
        <v/>
      </c>
      <c r="AW720" s="42" t="str">
        <f ca="1">IFERROR(__xludf.DUMMYFUNCTION("IFERROR(VLOOKUP(F737,IMPORTRANGE(""https://docs.google.com/spreadsheets/d/1Kvs4KS76FHFqLFIZfrDMff4kP08nblUkihrxltoGBjg/edit#gid=934712705"",""ESENCIAL!A6:BG""),15,FALSE))"),"")</f>
        <v/>
      </c>
      <c r="AX720" s="21" t="str">
        <f ca="1">IFERROR(__xludf.DUMMYFUNCTION("IFERROR(VLOOKUP(E737&amp;F737,IMPORTRANGE(""https://docs.google.com/spreadsheets/d/1Uw7-A9f9R21vMXxHZFNpYNeKFtG8_yji4HS352LGlSQ/edit?pli=1#gid=0"",""1_ACUM!A4:S""),12,FALSE))"),"")</f>
        <v/>
      </c>
      <c r="AY720" s="43" t="str">
        <f ca="1">IFERROR(__xludf.DUMMYFUNCTION("IFERROR(VLOOKUP(E737&amp;F737,IMPORTRANGE(""https://docs.google.com/spreadsheets/d/1Uw7-A9f9R21vMXxHZFNpYNeKFtG8_yji4HS352LGlSQ/edit?pli=1#gid=0"",""1_ACUM!A4:S""),13,FALSE))"),"")</f>
        <v/>
      </c>
      <c r="AZ720" s="43" t="str">
        <f ca="1">IFERROR(__xludf.DUMMYFUNCTION("IFERROR(VLOOKUP(E737&amp;F737,IMPORTRANGE(""https://docs.google.com/spreadsheets/d/1Uw7-A9f9R21vMXxHZFNpYNeKFtG8_yji4HS352LGlSQ/edit?pli=1#gid=0"",""1_ACUM!A4:S""),14,FALSE))"),"")</f>
        <v/>
      </c>
      <c r="BA720" s="43" t="str">
        <f ca="1">IFERROR(__xludf.DUMMYFUNCTION("IFERROR(VLOOKUP(E737&amp;F737,IMPORTRANGE(""https://docs.google.com/spreadsheets/d/1Uw7-A9f9R21vMXxHZFNpYNeKFtG8_yji4HS352LGlSQ/edit?pli=1#gid=0"",""1_ACUM!A4:S""),15,FALSE))"),"")</f>
        <v/>
      </c>
      <c r="BB720" s="43" t="str">
        <f ca="1">IFERROR(__xludf.DUMMYFUNCTION("IFERROR(VLOOKUP(E737&amp;F737,IMPORTRANGE(""https://docs.google.com/spreadsheets/d/1Uw7-A9f9R21vMXxHZFNpYNeKFtG8_yji4HS352LGlSQ/edit?pli=1#gid=0"",""1_ACUM!A4:S""),16,FALSE))"),"")</f>
        <v/>
      </c>
      <c r="BC720" s="43" t="str">
        <f ca="1">IFERROR(__xludf.DUMMYFUNCTION("IFERROR(VLOOKUP(E737&amp;F737,IMPORTRANGE(""https://docs.google.com/spreadsheets/d/1Uw7-A9f9R21vMXxHZFNpYNeKFtG8_yji4HS352LGlSQ/edit?pli=1#gid=0"",""1_ACUM!A4:S""),17,FALSE))"),"")</f>
        <v/>
      </c>
      <c r="BD720" s="44" t="str">
        <f ca="1">IFERROR(__xludf.DUMMYFUNCTION("IFERROR(VLOOKUP(E737&amp;F737,IMPORTRANGE(""https://docs.google.com/spreadsheets/d/1Uw7-A9f9R21vMXxHZFNpYNeKFtG8_yji4HS352LGlSQ/edit?pli=1#gid=0"",""1_ACUM!A4:S""),18,FALSE))"),"")</f>
        <v/>
      </c>
      <c r="BE720" s="44" t="str">
        <f ca="1">IFERROR(__xludf.DUMMYFUNCTION("IFERROR(VLOOKUP(E737&amp;F737,IMPORTRANGE(""https://docs.google.com/spreadsheets/d/1Uw7-A9f9R21vMXxHZFNpYNeKFtG8_yji4HS352LGlSQ/edit?pli=1#gid=0"",""1_ACUM!A4:S""),19,FALSE))"),"")</f>
        <v/>
      </c>
      <c r="BF720" s="44" t="str">
        <f ca="1">IFERROR(__xludf.DUMMYFUNCTION("IFERROR(VLOOKUP(F737,IMPORTRANGE(""https://docs.google.com/spreadsheets/d/1Kvs4KS76FHFqLFIZfrDMff4kP08nblUkihrxltoGBjg/edit#gid=934712705"",""ESENCIAL!A6:BG""),5,FALSE))"),"")</f>
        <v/>
      </c>
      <c r="BG720" s="44" t="str">
        <f t="shared" si="41"/>
        <v/>
      </c>
      <c r="BH720" s="41" t="str">
        <f t="shared" si="42"/>
        <v/>
      </c>
      <c r="BI720" s="41" t="str">
        <f ca="1">IFERROR(__xludf.DUMMYFUNCTION("IFERROR(VLOOKUP(F737,IMPORTRANGE(""https://docs.google.com/spreadsheets/d/1Kvs4KS76FHFqLFIZfrDMff4kP08nblUkihrxltoGBjg/edit#gid=934712705"",""ESENCIAL!A6:BG""),18,FALSE))"),"")</f>
        <v/>
      </c>
      <c r="BJ720" s="19" t="str">
        <f t="shared" si="43"/>
        <v/>
      </c>
      <c r="BK720" s="41"/>
      <c r="BL720" s="41"/>
    </row>
    <row r="721" spans="1:64" ht="15">
      <c r="A721" s="4"/>
      <c r="B721" s="4"/>
      <c r="G721" s="5" t="str">
        <f ca="1">IFERROR(__xludf.DUMMYFUNCTION("IFERROR(VLOOKUP(F738,IMPORTRANGE(""https://docs.google.com/spreadsheets/d/1Kvs4KS76FHFqLFIZfrDMff4kP08nblUkihrxltoGBjg/edit#gid=934712705"",""ESENCIAL!A6:BG""),3,FALSE))"),"")</f>
        <v/>
      </c>
      <c r="H721" s="5" t="str">
        <f ca="1">IFERROR(__xludf.DUMMYFUNCTION("IFERROR(VLOOKUP(F738,IMPORTRANGE(""https://docs.google.com/spreadsheets/d/1Kvs4KS76FHFqLFIZfrDMff4kP08nblUkihrxltoGBjg/edit#gid=934712705"",""ESENCIAL!A6:BG""),8,FALSE))"),"")</f>
        <v/>
      </c>
      <c r="L721" s="287"/>
      <c r="S721"/>
      <c r="AU721" s="41" t="str">
        <f t="shared" si="40"/>
        <v/>
      </c>
      <c r="AV721" s="5" t="str">
        <f ca="1">IFERROR(__xludf.DUMMYFUNCTION("IFERROR(VLOOKUP(E738&amp;F738,IMPORTRANGE(""https://docs.google.com/spreadsheets/d/1Uw7-A9f9R21vMXxHZFNpYNeKFtG8_yji4HS352LGlSQ/edit?pli=1#gid=0"",""1_ACUM!A4:S""),11,FALSE))"),"")</f>
        <v/>
      </c>
      <c r="AW721" s="42" t="str">
        <f ca="1">IFERROR(__xludf.DUMMYFUNCTION("IFERROR(VLOOKUP(F738,IMPORTRANGE(""https://docs.google.com/spreadsheets/d/1Kvs4KS76FHFqLFIZfrDMff4kP08nblUkihrxltoGBjg/edit#gid=934712705"",""ESENCIAL!A6:BG""),15,FALSE))"),"")</f>
        <v/>
      </c>
      <c r="AX721" s="21" t="str">
        <f ca="1">IFERROR(__xludf.DUMMYFUNCTION("IFERROR(VLOOKUP(E738&amp;F738,IMPORTRANGE(""https://docs.google.com/spreadsheets/d/1Uw7-A9f9R21vMXxHZFNpYNeKFtG8_yji4HS352LGlSQ/edit?pli=1#gid=0"",""1_ACUM!A4:S""),12,FALSE))"),"")</f>
        <v/>
      </c>
      <c r="AY721" s="43" t="str">
        <f ca="1">IFERROR(__xludf.DUMMYFUNCTION("IFERROR(VLOOKUP(E738&amp;F738,IMPORTRANGE(""https://docs.google.com/spreadsheets/d/1Uw7-A9f9R21vMXxHZFNpYNeKFtG8_yji4HS352LGlSQ/edit?pli=1#gid=0"",""1_ACUM!A4:S""),13,FALSE))"),"")</f>
        <v/>
      </c>
      <c r="AZ721" s="43" t="str">
        <f ca="1">IFERROR(__xludf.DUMMYFUNCTION("IFERROR(VLOOKUP(E738&amp;F738,IMPORTRANGE(""https://docs.google.com/spreadsheets/d/1Uw7-A9f9R21vMXxHZFNpYNeKFtG8_yji4HS352LGlSQ/edit?pli=1#gid=0"",""1_ACUM!A4:S""),14,FALSE))"),"")</f>
        <v/>
      </c>
      <c r="BA721" s="43" t="str">
        <f ca="1">IFERROR(__xludf.DUMMYFUNCTION("IFERROR(VLOOKUP(E738&amp;F738,IMPORTRANGE(""https://docs.google.com/spreadsheets/d/1Uw7-A9f9R21vMXxHZFNpYNeKFtG8_yji4HS352LGlSQ/edit?pli=1#gid=0"",""1_ACUM!A4:S""),15,FALSE))"),"")</f>
        <v/>
      </c>
      <c r="BB721" s="43" t="str">
        <f ca="1">IFERROR(__xludf.DUMMYFUNCTION("IFERROR(VLOOKUP(E738&amp;F738,IMPORTRANGE(""https://docs.google.com/spreadsheets/d/1Uw7-A9f9R21vMXxHZFNpYNeKFtG8_yji4HS352LGlSQ/edit?pli=1#gid=0"",""1_ACUM!A4:S""),16,FALSE))"),"")</f>
        <v/>
      </c>
      <c r="BC721" s="43" t="str">
        <f ca="1">IFERROR(__xludf.DUMMYFUNCTION("IFERROR(VLOOKUP(E738&amp;F738,IMPORTRANGE(""https://docs.google.com/spreadsheets/d/1Uw7-A9f9R21vMXxHZFNpYNeKFtG8_yji4HS352LGlSQ/edit?pli=1#gid=0"",""1_ACUM!A4:S""),17,FALSE))"),"")</f>
        <v/>
      </c>
      <c r="BD721" s="44" t="str">
        <f ca="1">IFERROR(__xludf.DUMMYFUNCTION("IFERROR(VLOOKUP(E738&amp;F738,IMPORTRANGE(""https://docs.google.com/spreadsheets/d/1Uw7-A9f9R21vMXxHZFNpYNeKFtG8_yji4HS352LGlSQ/edit?pli=1#gid=0"",""1_ACUM!A4:S""),18,FALSE))"),"")</f>
        <v/>
      </c>
      <c r="BE721" s="44" t="str">
        <f ca="1">IFERROR(__xludf.DUMMYFUNCTION("IFERROR(VLOOKUP(E738&amp;F738,IMPORTRANGE(""https://docs.google.com/spreadsheets/d/1Uw7-A9f9R21vMXxHZFNpYNeKFtG8_yji4HS352LGlSQ/edit?pli=1#gid=0"",""1_ACUM!A4:S""),19,FALSE))"),"")</f>
        <v/>
      </c>
      <c r="BF721" s="44" t="str">
        <f ca="1">IFERROR(__xludf.DUMMYFUNCTION("IFERROR(VLOOKUP(F738,IMPORTRANGE(""https://docs.google.com/spreadsheets/d/1Kvs4KS76FHFqLFIZfrDMff4kP08nblUkihrxltoGBjg/edit#gid=934712705"",""ESENCIAL!A6:BG""),5,FALSE))"),"")</f>
        <v/>
      </c>
      <c r="BG721" s="44" t="str">
        <f t="shared" si="41"/>
        <v/>
      </c>
      <c r="BH721" s="41" t="str">
        <f t="shared" si="42"/>
        <v/>
      </c>
      <c r="BI721" s="41" t="str">
        <f ca="1">IFERROR(__xludf.DUMMYFUNCTION("IFERROR(VLOOKUP(F738,IMPORTRANGE(""https://docs.google.com/spreadsheets/d/1Kvs4KS76FHFqLFIZfrDMff4kP08nblUkihrxltoGBjg/edit#gid=934712705"",""ESENCIAL!A6:BG""),18,FALSE))"),"")</f>
        <v/>
      </c>
      <c r="BJ721" s="19" t="str">
        <f t="shared" si="43"/>
        <v/>
      </c>
      <c r="BK721" s="41"/>
      <c r="BL721" s="41"/>
    </row>
    <row r="722" spans="1:64" ht="15">
      <c r="A722" s="4"/>
      <c r="B722" s="4"/>
      <c r="G722" s="5" t="str">
        <f ca="1">IFERROR(__xludf.DUMMYFUNCTION("IFERROR(VLOOKUP(F739,IMPORTRANGE(""https://docs.google.com/spreadsheets/d/1Kvs4KS76FHFqLFIZfrDMff4kP08nblUkihrxltoGBjg/edit#gid=934712705"",""ESENCIAL!A6:BG""),3,FALSE))"),"")</f>
        <v/>
      </c>
      <c r="H722" s="5" t="str">
        <f ca="1">IFERROR(__xludf.DUMMYFUNCTION("IFERROR(VLOOKUP(F739,IMPORTRANGE(""https://docs.google.com/spreadsheets/d/1Kvs4KS76FHFqLFIZfrDMff4kP08nblUkihrxltoGBjg/edit#gid=934712705"",""ESENCIAL!A6:BG""),8,FALSE))"),"")</f>
        <v/>
      </c>
      <c r="L722" s="287"/>
      <c r="S722"/>
      <c r="AU722" s="41" t="str">
        <f t="shared" si="40"/>
        <v/>
      </c>
      <c r="AV722" s="5" t="str">
        <f ca="1">IFERROR(__xludf.DUMMYFUNCTION("IFERROR(VLOOKUP(E739&amp;F739,IMPORTRANGE(""https://docs.google.com/spreadsheets/d/1Uw7-A9f9R21vMXxHZFNpYNeKFtG8_yji4HS352LGlSQ/edit?pli=1#gid=0"",""1_ACUM!A4:S""),11,FALSE))"),"")</f>
        <v/>
      </c>
      <c r="AW722" s="42" t="str">
        <f ca="1">IFERROR(__xludf.DUMMYFUNCTION("IFERROR(VLOOKUP(F739,IMPORTRANGE(""https://docs.google.com/spreadsheets/d/1Kvs4KS76FHFqLFIZfrDMff4kP08nblUkihrxltoGBjg/edit#gid=934712705"",""ESENCIAL!A6:BG""),15,FALSE))"),"")</f>
        <v/>
      </c>
      <c r="AX722" s="21" t="str">
        <f ca="1">IFERROR(__xludf.DUMMYFUNCTION("IFERROR(VLOOKUP(E739&amp;F739,IMPORTRANGE(""https://docs.google.com/spreadsheets/d/1Uw7-A9f9R21vMXxHZFNpYNeKFtG8_yji4HS352LGlSQ/edit?pli=1#gid=0"",""1_ACUM!A4:S""),12,FALSE))"),"")</f>
        <v/>
      </c>
      <c r="AY722" s="43" t="str">
        <f ca="1">IFERROR(__xludf.DUMMYFUNCTION("IFERROR(VLOOKUP(E739&amp;F739,IMPORTRANGE(""https://docs.google.com/spreadsheets/d/1Uw7-A9f9R21vMXxHZFNpYNeKFtG8_yji4HS352LGlSQ/edit?pli=1#gid=0"",""1_ACUM!A4:S""),13,FALSE))"),"")</f>
        <v/>
      </c>
      <c r="AZ722" s="43" t="str">
        <f ca="1">IFERROR(__xludf.DUMMYFUNCTION("IFERROR(VLOOKUP(E739&amp;F739,IMPORTRANGE(""https://docs.google.com/spreadsheets/d/1Uw7-A9f9R21vMXxHZFNpYNeKFtG8_yji4HS352LGlSQ/edit?pli=1#gid=0"",""1_ACUM!A4:S""),14,FALSE))"),"")</f>
        <v/>
      </c>
      <c r="BA722" s="43" t="str">
        <f ca="1">IFERROR(__xludf.DUMMYFUNCTION("IFERROR(VLOOKUP(E739&amp;F739,IMPORTRANGE(""https://docs.google.com/spreadsheets/d/1Uw7-A9f9R21vMXxHZFNpYNeKFtG8_yji4HS352LGlSQ/edit?pli=1#gid=0"",""1_ACUM!A4:S""),15,FALSE))"),"")</f>
        <v/>
      </c>
      <c r="BB722" s="43" t="str">
        <f ca="1">IFERROR(__xludf.DUMMYFUNCTION("IFERROR(VLOOKUP(E739&amp;F739,IMPORTRANGE(""https://docs.google.com/spreadsheets/d/1Uw7-A9f9R21vMXxHZFNpYNeKFtG8_yji4HS352LGlSQ/edit?pli=1#gid=0"",""1_ACUM!A4:S""),16,FALSE))"),"")</f>
        <v/>
      </c>
      <c r="BC722" s="43" t="str">
        <f ca="1">IFERROR(__xludf.DUMMYFUNCTION("IFERROR(VLOOKUP(E739&amp;F739,IMPORTRANGE(""https://docs.google.com/spreadsheets/d/1Uw7-A9f9R21vMXxHZFNpYNeKFtG8_yji4HS352LGlSQ/edit?pli=1#gid=0"",""1_ACUM!A4:S""),17,FALSE))"),"")</f>
        <v/>
      </c>
      <c r="BD722" s="44" t="str">
        <f ca="1">IFERROR(__xludf.DUMMYFUNCTION("IFERROR(VLOOKUP(E739&amp;F739,IMPORTRANGE(""https://docs.google.com/spreadsheets/d/1Uw7-A9f9R21vMXxHZFNpYNeKFtG8_yji4HS352LGlSQ/edit?pli=1#gid=0"",""1_ACUM!A4:S""),18,FALSE))"),"")</f>
        <v/>
      </c>
      <c r="BE722" s="44" t="str">
        <f ca="1">IFERROR(__xludf.DUMMYFUNCTION("IFERROR(VLOOKUP(E739&amp;F739,IMPORTRANGE(""https://docs.google.com/spreadsheets/d/1Uw7-A9f9R21vMXxHZFNpYNeKFtG8_yji4HS352LGlSQ/edit?pli=1#gid=0"",""1_ACUM!A4:S""),19,FALSE))"),"")</f>
        <v/>
      </c>
      <c r="BF722" s="44" t="str">
        <f ca="1">IFERROR(__xludf.DUMMYFUNCTION("IFERROR(VLOOKUP(F739,IMPORTRANGE(""https://docs.google.com/spreadsheets/d/1Kvs4KS76FHFqLFIZfrDMff4kP08nblUkihrxltoGBjg/edit#gid=934712705"",""ESENCIAL!A6:BG""),5,FALSE))"),"")</f>
        <v/>
      </c>
      <c r="BG722" s="44" t="str">
        <f t="shared" si="41"/>
        <v/>
      </c>
      <c r="BH722" s="41" t="str">
        <f t="shared" si="42"/>
        <v/>
      </c>
      <c r="BI722" s="41" t="str">
        <f ca="1">IFERROR(__xludf.DUMMYFUNCTION("IFERROR(VLOOKUP(F739,IMPORTRANGE(""https://docs.google.com/spreadsheets/d/1Kvs4KS76FHFqLFIZfrDMff4kP08nblUkihrxltoGBjg/edit#gid=934712705"",""ESENCIAL!A6:BG""),18,FALSE))"),"")</f>
        <v/>
      </c>
      <c r="BJ722" s="19" t="str">
        <f t="shared" si="43"/>
        <v/>
      </c>
      <c r="BK722" s="41"/>
      <c r="BL722" s="41"/>
    </row>
    <row r="723" spans="1:64" ht="15">
      <c r="A723" s="4"/>
      <c r="B723" s="4"/>
      <c r="G723" s="5" t="str">
        <f ca="1">IFERROR(__xludf.DUMMYFUNCTION("IFERROR(VLOOKUP(F740,IMPORTRANGE(""https://docs.google.com/spreadsheets/d/1Kvs4KS76FHFqLFIZfrDMff4kP08nblUkihrxltoGBjg/edit#gid=934712705"",""ESENCIAL!A6:BG""),3,FALSE))"),"")</f>
        <v/>
      </c>
      <c r="H723" s="5" t="str">
        <f ca="1">IFERROR(__xludf.DUMMYFUNCTION("IFERROR(VLOOKUP(F740,IMPORTRANGE(""https://docs.google.com/spreadsheets/d/1Kvs4KS76FHFqLFIZfrDMff4kP08nblUkihrxltoGBjg/edit#gid=934712705"",""ESENCIAL!A6:BG""),8,FALSE))"),"")</f>
        <v/>
      </c>
      <c r="L723" s="287"/>
      <c r="S723"/>
      <c r="AU723" s="41" t="str">
        <f t="shared" si="40"/>
        <v/>
      </c>
      <c r="AV723" s="5" t="str">
        <f ca="1">IFERROR(__xludf.DUMMYFUNCTION("IFERROR(VLOOKUP(E740&amp;F740,IMPORTRANGE(""https://docs.google.com/spreadsheets/d/1Uw7-A9f9R21vMXxHZFNpYNeKFtG8_yji4HS352LGlSQ/edit?pli=1#gid=0"",""1_ACUM!A4:S""),11,FALSE))"),"")</f>
        <v/>
      </c>
      <c r="AW723" s="42" t="str">
        <f ca="1">IFERROR(__xludf.DUMMYFUNCTION("IFERROR(VLOOKUP(F740,IMPORTRANGE(""https://docs.google.com/spreadsheets/d/1Kvs4KS76FHFqLFIZfrDMff4kP08nblUkihrxltoGBjg/edit#gid=934712705"",""ESENCIAL!A6:BG""),15,FALSE))"),"")</f>
        <v/>
      </c>
      <c r="AX723" s="21" t="str">
        <f ca="1">IFERROR(__xludf.DUMMYFUNCTION("IFERROR(VLOOKUP(E740&amp;F740,IMPORTRANGE(""https://docs.google.com/spreadsheets/d/1Uw7-A9f9R21vMXxHZFNpYNeKFtG8_yji4HS352LGlSQ/edit?pli=1#gid=0"",""1_ACUM!A4:S""),12,FALSE))"),"")</f>
        <v/>
      </c>
      <c r="AY723" s="43" t="str">
        <f ca="1">IFERROR(__xludf.DUMMYFUNCTION("IFERROR(VLOOKUP(E740&amp;F740,IMPORTRANGE(""https://docs.google.com/spreadsheets/d/1Uw7-A9f9R21vMXxHZFNpYNeKFtG8_yji4HS352LGlSQ/edit?pli=1#gid=0"",""1_ACUM!A4:S""),13,FALSE))"),"")</f>
        <v/>
      </c>
      <c r="AZ723" s="43" t="str">
        <f ca="1">IFERROR(__xludf.DUMMYFUNCTION("IFERROR(VLOOKUP(E740&amp;F740,IMPORTRANGE(""https://docs.google.com/spreadsheets/d/1Uw7-A9f9R21vMXxHZFNpYNeKFtG8_yji4HS352LGlSQ/edit?pli=1#gid=0"",""1_ACUM!A4:S""),14,FALSE))"),"")</f>
        <v/>
      </c>
      <c r="BA723" s="43" t="str">
        <f ca="1">IFERROR(__xludf.DUMMYFUNCTION("IFERROR(VLOOKUP(E740&amp;F740,IMPORTRANGE(""https://docs.google.com/spreadsheets/d/1Uw7-A9f9R21vMXxHZFNpYNeKFtG8_yji4HS352LGlSQ/edit?pli=1#gid=0"",""1_ACUM!A4:S""),15,FALSE))"),"")</f>
        <v/>
      </c>
      <c r="BB723" s="43" t="str">
        <f ca="1">IFERROR(__xludf.DUMMYFUNCTION("IFERROR(VLOOKUP(E740&amp;F740,IMPORTRANGE(""https://docs.google.com/spreadsheets/d/1Uw7-A9f9R21vMXxHZFNpYNeKFtG8_yji4HS352LGlSQ/edit?pli=1#gid=0"",""1_ACUM!A4:S""),16,FALSE))"),"")</f>
        <v/>
      </c>
      <c r="BC723" s="43" t="str">
        <f ca="1">IFERROR(__xludf.DUMMYFUNCTION("IFERROR(VLOOKUP(E740&amp;F740,IMPORTRANGE(""https://docs.google.com/spreadsheets/d/1Uw7-A9f9R21vMXxHZFNpYNeKFtG8_yji4HS352LGlSQ/edit?pli=1#gid=0"",""1_ACUM!A4:S""),17,FALSE))"),"")</f>
        <v/>
      </c>
      <c r="BD723" s="44" t="str">
        <f ca="1">IFERROR(__xludf.DUMMYFUNCTION("IFERROR(VLOOKUP(E740&amp;F740,IMPORTRANGE(""https://docs.google.com/spreadsheets/d/1Uw7-A9f9R21vMXxHZFNpYNeKFtG8_yji4HS352LGlSQ/edit?pli=1#gid=0"",""1_ACUM!A4:S""),18,FALSE))"),"")</f>
        <v/>
      </c>
      <c r="BE723" s="44" t="str">
        <f ca="1">IFERROR(__xludf.DUMMYFUNCTION("IFERROR(VLOOKUP(E740&amp;F740,IMPORTRANGE(""https://docs.google.com/spreadsheets/d/1Uw7-A9f9R21vMXxHZFNpYNeKFtG8_yji4HS352LGlSQ/edit?pli=1#gid=0"",""1_ACUM!A4:S""),19,FALSE))"),"")</f>
        <v/>
      </c>
      <c r="BF723" s="44" t="str">
        <f ca="1">IFERROR(__xludf.DUMMYFUNCTION("IFERROR(VLOOKUP(F740,IMPORTRANGE(""https://docs.google.com/spreadsheets/d/1Kvs4KS76FHFqLFIZfrDMff4kP08nblUkihrxltoGBjg/edit#gid=934712705"",""ESENCIAL!A6:BG""),5,FALSE))"),"")</f>
        <v/>
      </c>
      <c r="BG723" s="44" t="str">
        <f t="shared" si="41"/>
        <v/>
      </c>
      <c r="BH723" s="41" t="str">
        <f t="shared" si="42"/>
        <v/>
      </c>
      <c r="BI723" s="41" t="str">
        <f ca="1">IFERROR(__xludf.DUMMYFUNCTION("IFERROR(VLOOKUP(F740,IMPORTRANGE(""https://docs.google.com/spreadsheets/d/1Kvs4KS76FHFqLFIZfrDMff4kP08nblUkihrxltoGBjg/edit#gid=934712705"",""ESENCIAL!A6:BG""),18,FALSE))"),"")</f>
        <v/>
      </c>
      <c r="BJ723" s="19" t="str">
        <f t="shared" si="43"/>
        <v/>
      </c>
      <c r="BK723" s="41"/>
      <c r="BL723" s="41"/>
    </row>
    <row r="724" spans="1:64" ht="15">
      <c r="A724" s="4"/>
      <c r="B724" s="4"/>
      <c r="G724" s="5" t="str">
        <f ca="1">IFERROR(__xludf.DUMMYFUNCTION("IFERROR(VLOOKUP(F741,IMPORTRANGE(""https://docs.google.com/spreadsheets/d/1Kvs4KS76FHFqLFIZfrDMff4kP08nblUkihrxltoGBjg/edit#gid=934712705"",""ESENCIAL!A6:BG""),3,FALSE))"),"")</f>
        <v/>
      </c>
      <c r="H724" s="5" t="str">
        <f ca="1">IFERROR(__xludf.DUMMYFUNCTION("IFERROR(VLOOKUP(F741,IMPORTRANGE(""https://docs.google.com/spreadsheets/d/1Kvs4KS76FHFqLFIZfrDMff4kP08nblUkihrxltoGBjg/edit#gid=934712705"",""ESENCIAL!A6:BG""),8,FALSE))"),"")</f>
        <v/>
      </c>
      <c r="L724" s="287"/>
      <c r="S724"/>
      <c r="AU724" s="41" t="str">
        <f t="shared" si="40"/>
        <v/>
      </c>
      <c r="AV724" s="5" t="str">
        <f ca="1">IFERROR(__xludf.DUMMYFUNCTION("IFERROR(VLOOKUP(E741&amp;F741,IMPORTRANGE(""https://docs.google.com/spreadsheets/d/1Uw7-A9f9R21vMXxHZFNpYNeKFtG8_yji4HS352LGlSQ/edit?pli=1#gid=0"",""1_ACUM!A4:S""),11,FALSE))"),"")</f>
        <v/>
      </c>
      <c r="AW724" s="42" t="str">
        <f ca="1">IFERROR(__xludf.DUMMYFUNCTION("IFERROR(VLOOKUP(F741,IMPORTRANGE(""https://docs.google.com/spreadsheets/d/1Kvs4KS76FHFqLFIZfrDMff4kP08nblUkihrxltoGBjg/edit#gid=934712705"",""ESENCIAL!A6:BG""),15,FALSE))"),"")</f>
        <v/>
      </c>
      <c r="AX724" s="21" t="str">
        <f ca="1">IFERROR(__xludf.DUMMYFUNCTION("IFERROR(VLOOKUP(E741&amp;F741,IMPORTRANGE(""https://docs.google.com/spreadsheets/d/1Uw7-A9f9R21vMXxHZFNpYNeKFtG8_yji4HS352LGlSQ/edit?pli=1#gid=0"",""1_ACUM!A4:S""),12,FALSE))"),"")</f>
        <v/>
      </c>
      <c r="AY724" s="43" t="str">
        <f ca="1">IFERROR(__xludf.DUMMYFUNCTION("IFERROR(VLOOKUP(E741&amp;F741,IMPORTRANGE(""https://docs.google.com/spreadsheets/d/1Uw7-A9f9R21vMXxHZFNpYNeKFtG8_yji4HS352LGlSQ/edit?pli=1#gid=0"",""1_ACUM!A4:S""),13,FALSE))"),"")</f>
        <v/>
      </c>
      <c r="AZ724" s="43" t="str">
        <f ca="1">IFERROR(__xludf.DUMMYFUNCTION("IFERROR(VLOOKUP(E741&amp;F741,IMPORTRANGE(""https://docs.google.com/spreadsheets/d/1Uw7-A9f9R21vMXxHZFNpYNeKFtG8_yji4HS352LGlSQ/edit?pli=1#gid=0"",""1_ACUM!A4:S""),14,FALSE))"),"")</f>
        <v/>
      </c>
      <c r="BA724" s="43" t="str">
        <f ca="1">IFERROR(__xludf.DUMMYFUNCTION("IFERROR(VLOOKUP(E741&amp;F741,IMPORTRANGE(""https://docs.google.com/spreadsheets/d/1Uw7-A9f9R21vMXxHZFNpYNeKFtG8_yji4HS352LGlSQ/edit?pli=1#gid=0"",""1_ACUM!A4:S""),15,FALSE))"),"")</f>
        <v/>
      </c>
      <c r="BB724" s="43" t="str">
        <f ca="1">IFERROR(__xludf.DUMMYFUNCTION("IFERROR(VLOOKUP(E741&amp;F741,IMPORTRANGE(""https://docs.google.com/spreadsheets/d/1Uw7-A9f9R21vMXxHZFNpYNeKFtG8_yji4HS352LGlSQ/edit?pli=1#gid=0"",""1_ACUM!A4:S""),16,FALSE))"),"")</f>
        <v/>
      </c>
      <c r="BC724" s="43" t="str">
        <f ca="1">IFERROR(__xludf.DUMMYFUNCTION("IFERROR(VLOOKUP(E741&amp;F741,IMPORTRANGE(""https://docs.google.com/spreadsheets/d/1Uw7-A9f9R21vMXxHZFNpYNeKFtG8_yji4HS352LGlSQ/edit?pli=1#gid=0"",""1_ACUM!A4:S""),17,FALSE))"),"")</f>
        <v/>
      </c>
      <c r="BD724" s="44" t="str">
        <f ca="1">IFERROR(__xludf.DUMMYFUNCTION("IFERROR(VLOOKUP(E741&amp;F741,IMPORTRANGE(""https://docs.google.com/spreadsheets/d/1Uw7-A9f9R21vMXxHZFNpYNeKFtG8_yji4HS352LGlSQ/edit?pli=1#gid=0"",""1_ACUM!A4:S""),18,FALSE))"),"")</f>
        <v/>
      </c>
      <c r="BE724" s="44" t="str">
        <f ca="1">IFERROR(__xludf.DUMMYFUNCTION("IFERROR(VLOOKUP(E741&amp;F741,IMPORTRANGE(""https://docs.google.com/spreadsheets/d/1Uw7-A9f9R21vMXxHZFNpYNeKFtG8_yji4HS352LGlSQ/edit?pli=1#gid=0"",""1_ACUM!A4:S""),19,FALSE))"),"")</f>
        <v/>
      </c>
      <c r="BF724" s="44" t="str">
        <f ca="1">IFERROR(__xludf.DUMMYFUNCTION("IFERROR(VLOOKUP(F741,IMPORTRANGE(""https://docs.google.com/spreadsheets/d/1Kvs4KS76FHFqLFIZfrDMff4kP08nblUkihrxltoGBjg/edit#gid=934712705"",""ESENCIAL!A6:BG""),5,FALSE))"),"")</f>
        <v/>
      </c>
      <c r="BG724" s="44" t="str">
        <f t="shared" si="41"/>
        <v/>
      </c>
      <c r="BH724" s="41" t="str">
        <f t="shared" si="42"/>
        <v/>
      </c>
      <c r="BI724" s="41" t="str">
        <f ca="1">IFERROR(__xludf.DUMMYFUNCTION("IFERROR(VLOOKUP(F741,IMPORTRANGE(""https://docs.google.com/spreadsheets/d/1Kvs4KS76FHFqLFIZfrDMff4kP08nblUkihrxltoGBjg/edit#gid=934712705"",""ESENCIAL!A6:BG""),18,FALSE))"),"")</f>
        <v/>
      </c>
      <c r="BJ724" s="19" t="str">
        <f t="shared" si="43"/>
        <v/>
      </c>
      <c r="BK724" s="41"/>
      <c r="BL724" s="41"/>
    </row>
    <row r="725" spans="1:64" ht="15">
      <c r="A725" s="4"/>
      <c r="B725" s="4"/>
      <c r="G725" s="5" t="str">
        <f ca="1">IFERROR(__xludf.DUMMYFUNCTION("IFERROR(VLOOKUP(F742,IMPORTRANGE(""https://docs.google.com/spreadsheets/d/1Kvs4KS76FHFqLFIZfrDMff4kP08nblUkihrxltoGBjg/edit#gid=934712705"",""ESENCIAL!A6:BG""),3,FALSE))"),"")</f>
        <v/>
      </c>
      <c r="H725" s="5" t="str">
        <f ca="1">IFERROR(__xludf.DUMMYFUNCTION("IFERROR(VLOOKUP(F742,IMPORTRANGE(""https://docs.google.com/spreadsheets/d/1Kvs4KS76FHFqLFIZfrDMff4kP08nblUkihrxltoGBjg/edit#gid=934712705"",""ESENCIAL!A6:BG""),8,FALSE))"),"")</f>
        <v/>
      </c>
      <c r="L725" s="287"/>
      <c r="S725"/>
      <c r="AU725" s="41" t="str">
        <f t="shared" si="40"/>
        <v/>
      </c>
      <c r="AV725" s="5" t="str">
        <f ca="1">IFERROR(__xludf.DUMMYFUNCTION("IFERROR(VLOOKUP(E742&amp;F742,IMPORTRANGE(""https://docs.google.com/spreadsheets/d/1Uw7-A9f9R21vMXxHZFNpYNeKFtG8_yji4HS352LGlSQ/edit?pli=1#gid=0"",""1_ACUM!A4:S""),11,FALSE))"),"")</f>
        <v/>
      </c>
      <c r="AW725" s="42" t="str">
        <f ca="1">IFERROR(__xludf.DUMMYFUNCTION("IFERROR(VLOOKUP(F742,IMPORTRANGE(""https://docs.google.com/spreadsheets/d/1Kvs4KS76FHFqLFIZfrDMff4kP08nblUkihrxltoGBjg/edit#gid=934712705"",""ESENCIAL!A6:BG""),15,FALSE))"),"")</f>
        <v/>
      </c>
      <c r="AX725" s="21" t="str">
        <f ca="1">IFERROR(__xludf.DUMMYFUNCTION("IFERROR(VLOOKUP(E742&amp;F742,IMPORTRANGE(""https://docs.google.com/spreadsheets/d/1Uw7-A9f9R21vMXxHZFNpYNeKFtG8_yji4HS352LGlSQ/edit?pli=1#gid=0"",""1_ACUM!A4:S""),12,FALSE))"),"")</f>
        <v/>
      </c>
      <c r="AY725" s="43" t="str">
        <f ca="1">IFERROR(__xludf.DUMMYFUNCTION("IFERROR(VLOOKUP(E742&amp;F742,IMPORTRANGE(""https://docs.google.com/spreadsheets/d/1Uw7-A9f9R21vMXxHZFNpYNeKFtG8_yji4HS352LGlSQ/edit?pli=1#gid=0"",""1_ACUM!A4:S""),13,FALSE))"),"")</f>
        <v/>
      </c>
      <c r="AZ725" s="43" t="str">
        <f ca="1">IFERROR(__xludf.DUMMYFUNCTION("IFERROR(VLOOKUP(E742&amp;F742,IMPORTRANGE(""https://docs.google.com/spreadsheets/d/1Uw7-A9f9R21vMXxHZFNpYNeKFtG8_yji4HS352LGlSQ/edit?pli=1#gid=0"",""1_ACUM!A4:S""),14,FALSE))"),"")</f>
        <v/>
      </c>
      <c r="BA725" s="43" t="str">
        <f ca="1">IFERROR(__xludf.DUMMYFUNCTION("IFERROR(VLOOKUP(E742&amp;F742,IMPORTRANGE(""https://docs.google.com/spreadsheets/d/1Uw7-A9f9R21vMXxHZFNpYNeKFtG8_yji4HS352LGlSQ/edit?pli=1#gid=0"",""1_ACUM!A4:S""),15,FALSE))"),"")</f>
        <v/>
      </c>
      <c r="BB725" s="43" t="str">
        <f ca="1">IFERROR(__xludf.DUMMYFUNCTION("IFERROR(VLOOKUP(E742&amp;F742,IMPORTRANGE(""https://docs.google.com/spreadsheets/d/1Uw7-A9f9R21vMXxHZFNpYNeKFtG8_yji4HS352LGlSQ/edit?pli=1#gid=0"",""1_ACUM!A4:S""),16,FALSE))"),"")</f>
        <v/>
      </c>
      <c r="BC725" s="43" t="str">
        <f ca="1">IFERROR(__xludf.DUMMYFUNCTION("IFERROR(VLOOKUP(E742&amp;F742,IMPORTRANGE(""https://docs.google.com/spreadsheets/d/1Uw7-A9f9R21vMXxHZFNpYNeKFtG8_yji4HS352LGlSQ/edit?pli=1#gid=0"",""1_ACUM!A4:S""),17,FALSE))"),"")</f>
        <v/>
      </c>
      <c r="BD725" s="44" t="str">
        <f ca="1">IFERROR(__xludf.DUMMYFUNCTION("IFERROR(VLOOKUP(E742&amp;F742,IMPORTRANGE(""https://docs.google.com/spreadsheets/d/1Uw7-A9f9R21vMXxHZFNpYNeKFtG8_yji4HS352LGlSQ/edit?pli=1#gid=0"",""1_ACUM!A4:S""),18,FALSE))"),"")</f>
        <v/>
      </c>
      <c r="BE725" s="44" t="str">
        <f ca="1">IFERROR(__xludf.DUMMYFUNCTION("IFERROR(VLOOKUP(E742&amp;F742,IMPORTRANGE(""https://docs.google.com/spreadsheets/d/1Uw7-A9f9R21vMXxHZFNpYNeKFtG8_yji4HS352LGlSQ/edit?pli=1#gid=0"",""1_ACUM!A4:S""),19,FALSE))"),"")</f>
        <v/>
      </c>
      <c r="BF725" s="44" t="str">
        <f ca="1">IFERROR(__xludf.DUMMYFUNCTION("IFERROR(VLOOKUP(F742,IMPORTRANGE(""https://docs.google.com/spreadsheets/d/1Kvs4KS76FHFqLFIZfrDMff4kP08nblUkihrxltoGBjg/edit#gid=934712705"",""ESENCIAL!A6:BG""),5,FALSE))"),"")</f>
        <v/>
      </c>
      <c r="BG725" s="44" t="str">
        <f t="shared" si="41"/>
        <v/>
      </c>
      <c r="BH725" s="41" t="str">
        <f t="shared" si="42"/>
        <v/>
      </c>
      <c r="BI725" s="41" t="str">
        <f ca="1">IFERROR(__xludf.DUMMYFUNCTION("IFERROR(VLOOKUP(F742,IMPORTRANGE(""https://docs.google.com/spreadsheets/d/1Kvs4KS76FHFqLFIZfrDMff4kP08nblUkihrxltoGBjg/edit#gid=934712705"",""ESENCIAL!A6:BG""),18,FALSE))"),"")</f>
        <v/>
      </c>
      <c r="BJ725" s="19" t="str">
        <f t="shared" si="43"/>
        <v/>
      </c>
      <c r="BK725" s="41"/>
      <c r="BL725" s="41"/>
    </row>
    <row r="726" spans="1:64" ht="15">
      <c r="A726" s="4"/>
      <c r="B726" s="4"/>
      <c r="G726" s="5" t="str">
        <f ca="1">IFERROR(__xludf.DUMMYFUNCTION("IFERROR(VLOOKUP(F743,IMPORTRANGE(""https://docs.google.com/spreadsheets/d/1Kvs4KS76FHFqLFIZfrDMff4kP08nblUkihrxltoGBjg/edit#gid=934712705"",""ESENCIAL!A6:BG""),3,FALSE))"),"")</f>
        <v/>
      </c>
      <c r="H726" s="5" t="str">
        <f ca="1">IFERROR(__xludf.DUMMYFUNCTION("IFERROR(VLOOKUP(F743,IMPORTRANGE(""https://docs.google.com/spreadsheets/d/1Kvs4KS76FHFqLFIZfrDMff4kP08nblUkihrxltoGBjg/edit#gid=934712705"",""ESENCIAL!A6:BG""),8,FALSE))"),"")</f>
        <v/>
      </c>
      <c r="L726" s="287"/>
      <c r="S726"/>
      <c r="AU726" s="41" t="str">
        <f t="shared" si="40"/>
        <v/>
      </c>
      <c r="AV726" s="5" t="str">
        <f ca="1">IFERROR(__xludf.DUMMYFUNCTION("IFERROR(VLOOKUP(E743&amp;F743,IMPORTRANGE(""https://docs.google.com/spreadsheets/d/1Uw7-A9f9R21vMXxHZFNpYNeKFtG8_yji4HS352LGlSQ/edit?pli=1#gid=0"",""1_ACUM!A4:S""),11,FALSE))"),"")</f>
        <v/>
      </c>
      <c r="AW726" s="42" t="str">
        <f ca="1">IFERROR(__xludf.DUMMYFUNCTION("IFERROR(VLOOKUP(F743,IMPORTRANGE(""https://docs.google.com/spreadsheets/d/1Kvs4KS76FHFqLFIZfrDMff4kP08nblUkihrxltoGBjg/edit#gid=934712705"",""ESENCIAL!A6:BG""),15,FALSE))"),"")</f>
        <v/>
      </c>
      <c r="AX726" s="21" t="str">
        <f ca="1">IFERROR(__xludf.DUMMYFUNCTION("IFERROR(VLOOKUP(E743&amp;F743,IMPORTRANGE(""https://docs.google.com/spreadsheets/d/1Uw7-A9f9R21vMXxHZFNpYNeKFtG8_yji4HS352LGlSQ/edit?pli=1#gid=0"",""1_ACUM!A4:S""),12,FALSE))"),"")</f>
        <v/>
      </c>
      <c r="AY726" s="43" t="str">
        <f ca="1">IFERROR(__xludf.DUMMYFUNCTION("IFERROR(VLOOKUP(E743&amp;F743,IMPORTRANGE(""https://docs.google.com/spreadsheets/d/1Uw7-A9f9R21vMXxHZFNpYNeKFtG8_yji4HS352LGlSQ/edit?pli=1#gid=0"",""1_ACUM!A4:S""),13,FALSE))"),"")</f>
        <v/>
      </c>
      <c r="AZ726" s="43" t="str">
        <f ca="1">IFERROR(__xludf.DUMMYFUNCTION("IFERROR(VLOOKUP(E743&amp;F743,IMPORTRANGE(""https://docs.google.com/spreadsheets/d/1Uw7-A9f9R21vMXxHZFNpYNeKFtG8_yji4HS352LGlSQ/edit?pli=1#gid=0"",""1_ACUM!A4:S""),14,FALSE))"),"")</f>
        <v/>
      </c>
      <c r="BA726" s="43" t="str">
        <f ca="1">IFERROR(__xludf.DUMMYFUNCTION("IFERROR(VLOOKUP(E743&amp;F743,IMPORTRANGE(""https://docs.google.com/spreadsheets/d/1Uw7-A9f9R21vMXxHZFNpYNeKFtG8_yji4HS352LGlSQ/edit?pli=1#gid=0"",""1_ACUM!A4:S""),15,FALSE))"),"")</f>
        <v/>
      </c>
      <c r="BB726" s="43" t="str">
        <f ca="1">IFERROR(__xludf.DUMMYFUNCTION("IFERROR(VLOOKUP(E743&amp;F743,IMPORTRANGE(""https://docs.google.com/spreadsheets/d/1Uw7-A9f9R21vMXxHZFNpYNeKFtG8_yji4HS352LGlSQ/edit?pli=1#gid=0"",""1_ACUM!A4:S""),16,FALSE))"),"")</f>
        <v/>
      </c>
      <c r="BC726" s="43" t="str">
        <f ca="1">IFERROR(__xludf.DUMMYFUNCTION("IFERROR(VLOOKUP(E743&amp;F743,IMPORTRANGE(""https://docs.google.com/spreadsheets/d/1Uw7-A9f9R21vMXxHZFNpYNeKFtG8_yji4HS352LGlSQ/edit?pli=1#gid=0"",""1_ACUM!A4:S""),17,FALSE))"),"")</f>
        <v/>
      </c>
      <c r="BD726" s="44" t="str">
        <f ca="1">IFERROR(__xludf.DUMMYFUNCTION("IFERROR(VLOOKUP(E743&amp;F743,IMPORTRANGE(""https://docs.google.com/spreadsheets/d/1Uw7-A9f9R21vMXxHZFNpYNeKFtG8_yji4HS352LGlSQ/edit?pli=1#gid=0"",""1_ACUM!A4:S""),18,FALSE))"),"")</f>
        <v/>
      </c>
      <c r="BE726" s="44" t="str">
        <f ca="1">IFERROR(__xludf.DUMMYFUNCTION("IFERROR(VLOOKUP(E743&amp;F743,IMPORTRANGE(""https://docs.google.com/spreadsheets/d/1Uw7-A9f9R21vMXxHZFNpYNeKFtG8_yji4HS352LGlSQ/edit?pli=1#gid=0"",""1_ACUM!A4:S""),19,FALSE))"),"")</f>
        <v/>
      </c>
      <c r="BF726" s="44" t="str">
        <f ca="1">IFERROR(__xludf.DUMMYFUNCTION("IFERROR(VLOOKUP(F743,IMPORTRANGE(""https://docs.google.com/spreadsheets/d/1Kvs4KS76FHFqLFIZfrDMff4kP08nblUkihrxltoGBjg/edit#gid=934712705"",""ESENCIAL!A6:BG""),5,FALSE))"),"")</f>
        <v/>
      </c>
      <c r="BG726" s="44" t="str">
        <f t="shared" si="41"/>
        <v/>
      </c>
      <c r="BH726" s="41" t="str">
        <f t="shared" si="42"/>
        <v/>
      </c>
      <c r="BI726" s="41" t="str">
        <f ca="1">IFERROR(__xludf.DUMMYFUNCTION("IFERROR(VLOOKUP(F743,IMPORTRANGE(""https://docs.google.com/spreadsheets/d/1Kvs4KS76FHFqLFIZfrDMff4kP08nblUkihrxltoGBjg/edit#gid=934712705"",""ESENCIAL!A6:BG""),18,FALSE))"),"")</f>
        <v/>
      </c>
      <c r="BJ726" s="19" t="str">
        <f t="shared" si="43"/>
        <v/>
      </c>
      <c r="BK726" s="41"/>
      <c r="BL726" s="41"/>
    </row>
    <row r="727" spans="1:64" ht="15">
      <c r="A727" s="4"/>
      <c r="B727" s="4"/>
      <c r="G727" s="5" t="str">
        <f ca="1">IFERROR(__xludf.DUMMYFUNCTION("IFERROR(VLOOKUP(F744,IMPORTRANGE(""https://docs.google.com/spreadsheets/d/1Kvs4KS76FHFqLFIZfrDMff4kP08nblUkihrxltoGBjg/edit#gid=934712705"",""ESENCIAL!A6:BG""),3,FALSE))"),"")</f>
        <v/>
      </c>
      <c r="H727" s="5" t="str">
        <f ca="1">IFERROR(__xludf.DUMMYFUNCTION("IFERROR(VLOOKUP(F744,IMPORTRANGE(""https://docs.google.com/spreadsheets/d/1Kvs4KS76FHFqLFIZfrDMff4kP08nblUkihrxltoGBjg/edit#gid=934712705"",""ESENCIAL!A6:BG""),8,FALSE))"),"")</f>
        <v/>
      </c>
      <c r="L727" s="287"/>
      <c r="S727"/>
      <c r="AU727" s="41" t="str">
        <f t="shared" si="40"/>
        <v/>
      </c>
      <c r="AV727" s="5" t="str">
        <f ca="1">IFERROR(__xludf.DUMMYFUNCTION("IFERROR(VLOOKUP(E744&amp;F744,IMPORTRANGE(""https://docs.google.com/spreadsheets/d/1Uw7-A9f9R21vMXxHZFNpYNeKFtG8_yji4HS352LGlSQ/edit?pli=1#gid=0"",""1_ACUM!A4:S""),11,FALSE))"),"")</f>
        <v/>
      </c>
      <c r="AW727" s="42" t="str">
        <f ca="1">IFERROR(__xludf.DUMMYFUNCTION("IFERROR(VLOOKUP(F744,IMPORTRANGE(""https://docs.google.com/spreadsheets/d/1Kvs4KS76FHFqLFIZfrDMff4kP08nblUkihrxltoGBjg/edit#gid=934712705"",""ESENCIAL!A6:BG""),15,FALSE))"),"")</f>
        <v/>
      </c>
      <c r="AX727" s="21" t="str">
        <f ca="1">IFERROR(__xludf.DUMMYFUNCTION("IFERROR(VLOOKUP(E744&amp;F744,IMPORTRANGE(""https://docs.google.com/spreadsheets/d/1Uw7-A9f9R21vMXxHZFNpYNeKFtG8_yji4HS352LGlSQ/edit?pli=1#gid=0"",""1_ACUM!A4:S""),12,FALSE))"),"")</f>
        <v/>
      </c>
      <c r="AY727" s="43" t="str">
        <f ca="1">IFERROR(__xludf.DUMMYFUNCTION("IFERROR(VLOOKUP(E744&amp;F744,IMPORTRANGE(""https://docs.google.com/spreadsheets/d/1Uw7-A9f9R21vMXxHZFNpYNeKFtG8_yji4HS352LGlSQ/edit?pli=1#gid=0"",""1_ACUM!A4:S""),13,FALSE))"),"")</f>
        <v/>
      </c>
      <c r="AZ727" s="43" t="str">
        <f ca="1">IFERROR(__xludf.DUMMYFUNCTION("IFERROR(VLOOKUP(E744&amp;F744,IMPORTRANGE(""https://docs.google.com/spreadsheets/d/1Uw7-A9f9R21vMXxHZFNpYNeKFtG8_yji4HS352LGlSQ/edit?pli=1#gid=0"",""1_ACUM!A4:S""),14,FALSE))"),"")</f>
        <v/>
      </c>
      <c r="BA727" s="43" t="str">
        <f ca="1">IFERROR(__xludf.DUMMYFUNCTION("IFERROR(VLOOKUP(E744&amp;F744,IMPORTRANGE(""https://docs.google.com/spreadsheets/d/1Uw7-A9f9R21vMXxHZFNpYNeKFtG8_yji4HS352LGlSQ/edit?pli=1#gid=0"",""1_ACUM!A4:S""),15,FALSE))"),"")</f>
        <v/>
      </c>
      <c r="BB727" s="43" t="str">
        <f ca="1">IFERROR(__xludf.DUMMYFUNCTION("IFERROR(VLOOKUP(E744&amp;F744,IMPORTRANGE(""https://docs.google.com/spreadsheets/d/1Uw7-A9f9R21vMXxHZFNpYNeKFtG8_yji4HS352LGlSQ/edit?pli=1#gid=0"",""1_ACUM!A4:S""),16,FALSE))"),"")</f>
        <v/>
      </c>
      <c r="BC727" s="43" t="str">
        <f ca="1">IFERROR(__xludf.DUMMYFUNCTION("IFERROR(VLOOKUP(E744&amp;F744,IMPORTRANGE(""https://docs.google.com/spreadsheets/d/1Uw7-A9f9R21vMXxHZFNpYNeKFtG8_yji4HS352LGlSQ/edit?pli=1#gid=0"",""1_ACUM!A4:S""),17,FALSE))"),"")</f>
        <v/>
      </c>
      <c r="BD727" s="44" t="str">
        <f ca="1">IFERROR(__xludf.DUMMYFUNCTION("IFERROR(VLOOKUP(E744&amp;F744,IMPORTRANGE(""https://docs.google.com/spreadsheets/d/1Uw7-A9f9R21vMXxHZFNpYNeKFtG8_yji4HS352LGlSQ/edit?pli=1#gid=0"",""1_ACUM!A4:S""),18,FALSE))"),"")</f>
        <v/>
      </c>
      <c r="BE727" s="44" t="str">
        <f ca="1">IFERROR(__xludf.DUMMYFUNCTION("IFERROR(VLOOKUP(E744&amp;F744,IMPORTRANGE(""https://docs.google.com/spreadsheets/d/1Uw7-A9f9R21vMXxHZFNpYNeKFtG8_yji4HS352LGlSQ/edit?pli=1#gid=0"",""1_ACUM!A4:S""),19,FALSE))"),"")</f>
        <v/>
      </c>
      <c r="BF727" s="44" t="str">
        <f ca="1">IFERROR(__xludf.DUMMYFUNCTION("IFERROR(VLOOKUP(F744,IMPORTRANGE(""https://docs.google.com/spreadsheets/d/1Kvs4KS76FHFqLFIZfrDMff4kP08nblUkihrxltoGBjg/edit#gid=934712705"",""ESENCIAL!A6:BG""),5,FALSE))"),"")</f>
        <v/>
      </c>
      <c r="BG727" s="44" t="str">
        <f t="shared" si="41"/>
        <v/>
      </c>
      <c r="BH727" s="41" t="str">
        <f t="shared" si="42"/>
        <v/>
      </c>
      <c r="BI727" s="41" t="str">
        <f ca="1">IFERROR(__xludf.DUMMYFUNCTION("IFERROR(VLOOKUP(F744,IMPORTRANGE(""https://docs.google.com/spreadsheets/d/1Kvs4KS76FHFqLFIZfrDMff4kP08nblUkihrxltoGBjg/edit#gid=934712705"",""ESENCIAL!A6:BG""),18,FALSE))"),"")</f>
        <v/>
      </c>
      <c r="BJ727" s="19" t="str">
        <f t="shared" si="43"/>
        <v/>
      </c>
      <c r="BK727" s="41"/>
      <c r="BL727" s="41"/>
    </row>
    <row r="728" spans="1:64" ht="15">
      <c r="A728" s="4"/>
      <c r="B728" s="4"/>
      <c r="G728" s="5" t="str">
        <f ca="1">IFERROR(__xludf.DUMMYFUNCTION("IFERROR(VLOOKUP(F745,IMPORTRANGE(""https://docs.google.com/spreadsheets/d/1Kvs4KS76FHFqLFIZfrDMff4kP08nblUkihrxltoGBjg/edit#gid=934712705"",""ESENCIAL!A6:BG""),3,FALSE))"),"")</f>
        <v/>
      </c>
      <c r="H728" s="5" t="str">
        <f ca="1">IFERROR(__xludf.DUMMYFUNCTION("IFERROR(VLOOKUP(F745,IMPORTRANGE(""https://docs.google.com/spreadsheets/d/1Kvs4KS76FHFqLFIZfrDMff4kP08nblUkihrxltoGBjg/edit#gid=934712705"",""ESENCIAL!A6:BG""),8,FALSE))"),"")</f>
        <v/>
      </c>
      <c r="L728" s="287"/>
      <c r="S728"/>
      <c r="AU728" s="41" t="str">
        <f t="shared" si="40"/>
        <v/>
      </c>
      <c r="AV728" s="5" t="str">
        <f ca="1">IFERROR(__xludf.DUMMYFUNCTION("IFERROR(VLOOKUP(E745&amp;F745,IMPORTRANGE(""https://docs.google.com/spreadsheets/d/1Uw7-A9f9R21vMXxHZFNpYNeKFtG8_yji4HS352LGlSQ/edit?pli=1#gid=0"",""1_ACUM!A4:S""),11,FALSE))"),"")</f>
        <v/>
      </c>
      <c r="AW728" s="42" t="str">
        <f ca="1">IFERROR(__xludf.DUMMYFUNCTION("IFERROR(VLOOKUP(F745,IMPORTRANGE(""https://docs.google.com/spreadsheets/d/1Kvs4KS76FHFqLFIZfrDMff4kP08nblUkihrxltoGBjg/edit#gid=934712705"",""ESENCIAL!A6:BG""),15,FALSE))"),"")</f>
        <v/>
      </c>
      <c r="AX728" s="21" t="str">
        <f ca="1">IFERROR(__xludf.DUMMYFUNCTION("IFERROR(VLOOKUP(E745&amp;F745,IMPORTRANGE(""https://docs.google.com/spreadsheets/d/1Uw7-A9f9R21vMXxHZFNpYNeKFtG8_yji4HS352LGlSQ/edit?pli=1#gid=0"",""1_ACUM!A4:S""),12,FALSE))"),"")</f>
        <v/>
      </c>
      <c r="AY728" s="43" t="str">
        <f ca="1">IFERROR(__xludf.DUMMYFUNCTION("IFERROR(VLOOKUP(E745&amp;F745,IMPORTRANGE(""https://docs.google.com/spreadsheets/d/1Uw7-A9f9R21vMXxHZFNpYNeKFtG8_yji4HS352LGlSQ/edit?pli=1#gid=0"",""1_ACUM!A4:S""),13,FALSE))"),"")</f>
        <v/>
      </c>
      <c r="AZ728" s="43" t="str">
        <f ca="1">IFERROR(__xludf.DUMMYFUNCTION("IFERROR(VLOOKUP(E745&amp;F745,IMPORTRANGE(""https://docs.google.com/spreadsheets/d/1Uw7-A9f9R21vMXxHZFNpYNeKFtG8_yji4HS352LGlSQ/edit?pli=1#gid=0"",""1_ACUM!A4:S""),14,FALSE))"),"")</f>
        <v/>
      </c>
      <c r="BA728" s="43" t="str">
        <f ca="1">IFERROR(__xludf.DUMMYFUNCTION("IFERROR(VLOOKUP(E745&amp;F745,IMPORTRANGE(""https://docs.google.com/spreadsheets/d/1Uw7-A9f9R21vMXxHZFNpYNeKFtG8_yji4HS352LGlSQ/edit?pli=1#gid=0"",""1_ACUM!A4:S""),15,FALSE))"),"")</f>
        <v/>
      </c>
      <c r="BB728" s="43" t="str">
        <f ca="1">IFERROR(__xludf.DUMMYFUNCTION("IFERROR(VLOOKUP(E745&amp;F745,IMPORTRANGE(""https://docs.google.com/spreadsheets/d/1Uw7-A9f9R21vMXxHZFNpYNeKFtG8_yji4HS352LGlSQ/edit?pli=1#gid=0"",""1_ACUM!A4:S""),16,FALSE))"),"")</f>
        <v/>
      </c>
      <c r="BC728" s="43" t="str">
        <f ca="1">IFERROR(__xludf.DUMMYFUNCTION("IFERROR(VLOOKUP(E745&amp;F745,IMPORTRANGE(""https://docs.google.com/spreadsheets/d/1Uw7-A9f9R21vMXxHZFNpYNeKFtG8_yji4HS352LGlSQ/edit?pli=1#gid=0"",""1_ACUM!A4:S""),17,FALSE))"),"")</f>
        <v/>
      </c>
      <c r="BD728" s="44" t="str">
        <f ca="1">IFERROR(__xludf.DUMMYFUNCTION("IFERROR(VLOOKUP(E745&amp;F745,IMPORTRANGE(""https://docs.google.com/spreadsheets/d/1Uw7-A9f9R21vMXxHZFNpYNeKFtG8_yji4HS352LGlSQ/edit?pli=1#gid=0"",""1_ACUM!A4:S""),18,FALSE))"),"")</f>
        <v/>
      </c>
      <c r="BE728" s="44" t="str">
        <f ca="1">IFERROR(__xludf.DUMMYFUNCTION("IFERROR(VLOOKUP(E745&amp;F745,IMPORTRANGE(""https://docs.google.com/spreadsheets/d/1Uw7-A9f9R21vMXxHZFNpYNeKFtG8_yji4HS352LGlSQ/edit?pli=1#gid=0"",""1_ACUM!A4:S""),19,FALSE))"),"")</f>
        <v/>
      </c>
      <c r="BF728" s="44" t="str">
        <f ca="1">IFERROR(__xludf.DUMMYFUNCTION("IFERROR(VLOOKUP(F745,IMPORTRANGE(""https://docs.google.com/spreadsheets/d/1Kvs4KS76FHFqLFIZfrDMff4kP08nblUkihrxltoGBjg/edit#gid=934712705"",""ESENCIAL!A6:BG""),5,FALSE))"),"")</f>
        <v/>
      </c>
      <c r="BG728" s="44" t="str">
        <f t="shared" si="41"/>
        <v/>
      </c>
      <c r="BH728" s="41" t="str">
        <f t="shared" si="42"/>
        <v/>
      </c>
      <c r="BI728" s="41" t="str">
        <f ca="1">IFERROR(__xludf.DUMMYFUNCTION("IFERROR(VLOOKUP(F745,IMPORTRANGE(""https://docs.google.com/spreadsheets/d/1Kvs4KS76FHFqLFIZfrDMff4kP08nblUkihrxltoGBjg/edit#gid=934712705"",""ESENCIAL!A6:BG""),18,FALSE))"),"")</f>
        <v/>
      </c>
      <c r="BJ728" s="19" t="str">
        <f t="shared" si="43"/>
        <v/>
      </c>
      <c r="BK728" s="41"/>
      <c r="BL728" s="41"/>
    </row>
    <row r="729" spans="1:64" ht="15">
      <c r="A729" s="4"/>
      <c r="B729" s="4"/>
      <c r="G729" s="5" t="str">
        <f ca="1">IFERROR(__xludf.DUMMYFUNCTION("IFERROR(VLOOKUP(F746,IMPORTRANGE(""https://docs.google.com/spreadsheets/d/1Kvs4KS76FHFqLFIZfrDMff4kP08nblUkihrxltoGBjg/edit#gid=934712705"",""ESENCIAL!A6:BG""),3,FALSE))"),"")</f>
        <v/>
      </c>
      <c r="H729" s="5" t="str">
        <f ca="1">IFERROR(__xludf.DUMMYFUNCTION("IFERROR(VLOOKUP(F746,IMPORTRANGE(""https://docs.google.com/spreadsheets/d/1Kvs4KS76FHFqLFIZfrDMff4kP08nblUkihrxltoGBjg/edit#gid=934712705"",""ESENCIAL!A6:BG""),8,FALSE))"),"")</f>
        <v/>
      </c>
      <c r="L729" s="287"/>
      <c r="S729"/>
      <c r="AU729" s="41" t="str">
        <f t="shared" si="40"/>
        <v/>
      </c>
      <c r="AV729" s="5" t="str">
        <f ca="1">IFERROR(__xludf.DUMMYFUNCTION("IFERROR(VLOOKUP(E746&amp;F746,IMPORTRANGE(""https://docs.google.com/spreadsheets/d/1Uw7-A9f9R21vMXxHZFNpYNeKFtG8_yji4HS352LGlSQ/edit?pli=1#gid=0"",""1_ACUM!A4:S""),11,FALSE))"),"")</f>
        <v/>
      </c>
      <c r="AW729" s="42" t="str">
        <f ca="1">IFERROR(__xludf.DUMMYFUNCTION("IFERROR(VLOOKUP(F746,IMPORTRANGE(""https://docs.google.com/spreadsheets/d/1Kvs4KS76FHFqLFIZfrDMff4kP08nblUkihrxltoGBjg/edit#gid=934712705"",""ESENCIAL!A6:BG""),15,FALSE))"),"")</f>
        <v/>
      </c>
      <c r="AX729" s="21" t="str">
        <f ca="1">IFERROR(__xludf.DUMMYFUNCTION("IFERROR(VLOOKUP(E746&amp;F746,IMPORTRANGE(""https://docs.google.com/spreadsheets/d/1Uw7-A9f9R21vMXxHZFNpYNeKFtG8_yji4HS352LGlSQ/edit?pli=1#gid=0"",""1_ACUM!A4:S""),12,FALSE))"),"")</f>
        <v/>
      </c>
      <c r="AY729" s="43" t="str">
        <f ca="1">IFERROR(__xludf.DUMMYFUNCTION("IFERROR(VLOOKUP(E746&amp;F746,IMPORTRANGE(""https://docs.google.com/spreadsheets/d/1Uw7-A9f9R21vMXxHZFNpYNeKFtG8_yji4HS352LGlSQ/edit?pli=1#gid=0"",""1_ACUM!A4:S""),13,FALSE))"),"")</f>
        <v/>
      </c>
      <c r="AZ729" s="43" t="str">
        <f ca="1">IFERROR(__xludf.DUMMYFUNCTION("IFERROR(VLOOKUP(E746&amp;F746,IMPORTRANGE(""https://docs.google.com/spreadsheets/d/1Uw7-A9f9R21vMXxHZFNpYNeKFtG8_yji4HS352LGlSQ/edit?pli=1#gid=0"",""1_ACUM!A4:S""),14,FALSE))"),"")</f>
        <v/>
      </c>
      <c r="BA729" s="43" t="str">
        <f ca="1">IFERROR(__xludf.DUMMYFUNCTION("IFERROR(VLOOKUP(E746&amp;F746,IMPORTRANGE(""https://docs.google.com/spreadsheets/d/1Uw7-A9f9R21vMXxHZFNpYNeKFtG8_yji4HS352LGlSQ/edit?pli=1#gid=0"",""1_ACUM!A4:S""),15,FALSE))"),"")</f>
        <v/>
      </c>
      <c r="BB729" s="43" t="str">
        <f ca="1">IFERROR(__xludf.DUMMYFUNCTION("IFERROR(VLOOKUP(E746&amp;F746,IMPORTRANGE(""https://docs.google.com/spreadsheets/d/1Uw7-A9f9R21vMXxHZFNpYNeKFtG8_yji4HS352LGlSQ/edit?pli=1#gid=0"",""1_ACUM!A4:S""),16,FALSE))"),"")</f>
        <v/>
      </c>
      <c r="BC729" s="43" t="str">
        <f ca="1">IFERROR(__xludf.DUMMYFUNCTION("IFERROR(VLOOKUP(E746&amp;F746,IMPORTRANGE(""https://docs.google.com/spreadsheets/d/1Uw7-A9f9R21vMXxHZFNpYNeKFtG8_yji4HS352LGlSQ/edit?pli=1#gid=0"",""1_ACUM!A4:S""),17,FALSE))"),"")</f>
        <v/>
      </c>
      <c r="BD729" s="44" t="str">
        <f ca="1">IFERROR(__xludf.DUMMYFUNCTION("IFERROR(VLOOKUP(E746&amp;F746,IMPORTRANGE(""https://docs.google.com/spreadsheets/d/1Uw7-A9f9R21vMXxHZFNpYNeKFtG8_yji4HS352LGlSQ/edit?pli=1#gid=0"",""1_ACUM!A4:S""),18,FALSE))"),"")</f>
        <v/>
      </c>
      <c r="BE729" s="44" t="str">
        <f ca="1">IFERROR(__xludf.DUMMYFUNCTION("IFERROR(VLOOKUP(E746&amp;F746,IMPORTRANGE(""https://docs.google.com/spreadsheets/d/1Uw7-A9f9R21vMXxHZFNpYNeKFtG8_yji4HS352LGlSQ/edit?pli=1#gid=0"",""1_ACUM!A4:S""),19,FALSE))"),"")</f>
        <v/>
      </c>
      <c r="BF729" s="44" t="str">
        <f ca="1">IFERROR(__xludf.DUMMYFUNCTION("IFERROR(VLOOKUP(F746,IMPORTRANGE(""https://docs.google.com/spreadsheets/d/1Kvs4KS76FHFqLFIZfrDMff4kP08nblUkihrxltoGBjg/edit#gid=934712705"",""ESENCIAL!A6:BG""),5,FALSE))"),"")</f>
        <v/>
      </c>
      <c r="BG729" s="44" t="str">
        <f t="shared" si="41"/>
        <v/>
      </c>
      <c r="BH729" s="41" t="str">
        <f t="shared" si="42"/>
        <v/>
      </c>
      <c r="BI729" s="41" t="str">
        <f ca="1">IFERROR(__xludf.DUMMYFUNCTION("IFERROR(VLOOKUP(F746,IMPORTRANGE(""https://docs.google.com/spreadsheets/d/1Kvs4KS76FHFqLFIZfrDMff4kP08nblUkihrxltoGBjg/edit#gid=934712705"",""ESENCIAL!A6:BG""),18,FALSE))"),"")</f>
        <v/>
      </c>
      <c r="BJ729" s="19" t="str">
        <f t="shared" si="43"/>
        <v/>
      </c>
      <c r="BK729" s="41"/>
      <c r="BL729" s="41"/>
    </row>
    <row r="730" spans="1:64" ht="15">
      <c r="A730" s="4"/>
      <c r="B730" s="4"/>
      <c r="G730" s="5" t="str">
        <f ca="1">IFERROR(__xludf.DUMMYFUNCTION("IFERROR(VLOOKUP(F747,IMPORTRANGE(""https://docs.google.com/spreadsheets/d/1Kvs4KS76FHFqLFIZfrDMff4kP08nblUkihrxltoGBjg/edit#gid=934712705"",""ESENCIAL!A6:BG""),3,FALSE))"),"")</f>
        <v/>
      </c>
      <c r="H730" s="5" t="str">
        <f ca="1">IFERROR(__xludf.DUMMYFUNCTION("IFERROR(VLOOKUP(F747,IMPORTRANGE(""https://docs.google.com/spreadsheets/d/1Kvs4KS76FHFqLFIZfrDMff4kP08nblUkihrxltoGBjg/edit#gid=934712705"",""ESENCIAL!A6:BG""),8,FALSE))"),"")</f>
        <v/>
      </c>
      <c r="L730" s="287"/>
      <c r="S730"/>
      <c r="AU730" s="41" t="str">
        <f t="shared" si="40"/>
        <v/>
      </c>
      <c r="AV730" s="5" t="str">
        <f ca="1">IFERROR(__xludf.DUMMYFUNCTION("IFERROR(VLOOKUP(E747&amp;F747,IMPORTRANGE(""https://docs.google.com/spreadsheets/d/1Uw7-A9f9R21vMXxHZFNpYNeKFtG8_yji4HS352LGlSQ/edit?pli=1#gid=0"",""1_ACUM!A4:S""),11,FALSE))"),"")</f>
        <v/>
      </c>
      <c r="AW730" s="42" t="str">
        <f ca="1">IFERROR(__xludf.DUMMYFUNCTION("IFERROR(VLOOKUP(F747,IMPORTRANGE(""https://docs.google.com/spreadsheets/d/1Kvs4KS76FHFqLFIZfrDMff4kP08nblUkihrxltoGBjg/edit#gid=934712705"",""ESENCIAL!A6:BG""),15,FALSE))"),"")</f>
        <v/>
      </c>
      <c r="AX730" s="21" t="str">
        <f ca="1">IFERROR(__xludf.DUMMYFUNCTION("IFERROR(VLOOKUP(E747&amp;F747,IMPORTRANGE(""https://docs.google.com/spreadsheets/d/1Uw7-A9f9R21vMXxHZFNpYNeKFtG8_yji4HS352LGlSQ/edit?pli=1#gid=0"",""1_ACUM!A4:S""),12,FALSE))"),"")</f>
        <v/>
      </c>
      <c r="AY730" s="43" t="str">
        <f ca="1">IFERROR(__xludf.DUMMYFUNCTION("IFERROR(VLOOKUP(E747&amp;F747,IMPORTRANGE(""https://docs.google.com/spreadsheets/d/1Uw7-A9f9R21vMXxHZFNpYNeKFtG8_yji4HS352LGlSQ/edit?pli=1#gid=0"",""1_ACUM!A4:S""),13,FALSE))"),"")</f>
        <v/>
      </c>
      <c r="AZ730" s="43" t="str">
        <f ca="1">IFERROR(__xludf.DUMMYFUNCTION("IFERROR(VLOOKUP(E747&amp;F747,IMPORTRANGE(""https://docs.google.com/spreadsheets/d/1Uw7-A9f9R21vMXxHZFNpYNeKFtG8_yji4HS352LGlSQ/edit?pli=1#gid=0"",""1_ACUM!A4:S""),14,FALSE))"),"")</f>
        <v/>
      </c>
      <c r="BA730" s="43" t="str">
        <f ca="1">IFERROR(__xludf.DUMMYFUNCTION("IFERROR(VLOOKUP(E747&amp;F747,IMPORTRANGE(""https://docs.google.com/spreadsheets/d/1Uw7-A9f9R21vMXxHZFNpYNeKFtG8_yji4HS352LGlSQ/edit?pli=1#gid=0"",""1_ACUM!A4:S""),15,FALSE))"),"")</f>
        <v/>
      </c>
      <c r="BB730" s="43" t="str">
        <f ca="1">IFERROR(__xludf.DUMMYFUNCTION("IFERROR(VLOOKUP(E747&amp;F747,IMPORTRANGE(""https://docs.google.com/spreadsheets/d/1Uw7-A9f9R21vMXxHZFNpYNeKFtG8_yji4HS352LGlSQ/edit?pli=1#gid=0"",""1_ACUM!A4:S""),16,FALSE))"),"")</f>
        <v/>
      </c>
      <c r="BC730" s="43" t="str">
        <f ca="1">IFERROR(__xludf.DUMMYFUNCTION("IFERROR(VLOOKUP(E747&amp;F747,IMPORTRANGE(""https://docs.google.com/spreadsheets/d/1Uw7-A9f9R21vMXxHZFNpYNeKFtG8_yji4HS352LGlSQ/edit?pli=1#gid=0"",""1_ACUM!A4:S""),17,FALSE))"),"")</f>
        <v/>
      </c>
      <c r="BD730" s="44" t="str">
        <f ca="1">IFERROR(__xludf.DUMMYFUNCTION("IFERROR(VLOOKUP(E747&amp;F747,IMPORTRANGE(""https://docs.google.com/spreadsheets/d/1Uw7-A9f9R21vMXxHZFNpYNeKFtG8_yji4HS352LGlSQ/edit?pli=1#gid=0"",""1_ACUM!A4:S""),18,FALSE))"),"")</f>
        <v/>
      </c>
      <c r="BE730" s="44" t="str">
        <f ca="1">IFERROR(__xludf.DUMMYFUNCTION("IFERROR(VLOOKUP(E747&amp;F747,IMPORTRANGE(""https://docs.google.com/spreadsheets/d/1Uw7-A9f9R21vMXxHZFNpYNeKFtG8_yji4HS352LGlSQ/edit?pli=1#gid=0"",""1_ACUM!A4:S""),19,FALSE))"),"")</f>
        <v/>
      </c>
      <c r="BF730" s="44" t="str">
        <f ca="1">IFERROR(__xludf.DUMMYFUNCTION("IFERROR(VLOOKUP(F747,IMPORTRANGE(""https://docs.google.com/spreadsheets/d/1Kvs4KS76FHFqLFIZfrDMff4kP08nblUkihrxltoGBjg/edit#gid=934712705"",""ESENCIAL!A6:BG""),5,FALSE))"),"")</f>
        <v/>
      </c>
      <c r="BG730" s="44" t="str">
        <f t="shared" si="41"/>
        <v/>
      </c>
      <c r="BH730" s="41" t="str">
        <f t="shared" si="42"/>
        <v/>
      </c>
      <c r="BI730" s="41" t="str">
        <f ca="1">IFERROR(__xludf.DUMMYFUNCTION("IFERROR(VLOOKUP(F747,IMPORTRANGE(""https://docs.google.com/spreadsheets/d/1Kvs4KS76FHFqLFIZfrDMff4kP08nblUkihrxltoGBjg/edit#gid=934712705"",""ESENCIAL!A6:BG""),18,FALSE))"),"")</f>
        <v/>
      </c>
      <c r="BJ730" s="19" t="str">
        <f t="shared" si="43"/>
        <v/>
      </c>
      <c r="BK730" s="41"/>
      <c r="BL730" s="41"/>
    </row>
    <row r="731" spans="1:64" ht="15">
      <c r="A731" s="4"/>
      <c r="B731" s="4"/>
      <c r="G731" s="5" t="str">
        <f ca="1">IFERROR(__xludf.DUMMYFUNCTION("IFERROR(VLOOKUP(F748,IMPORTRANGE(""https://docs.google.com/spreadsheets/d/1Kvs4KS76FHFqLFIZfrDMff4kP08nblUkihrxltoGBjg/edit#gid=934712705"",""ESENCIAL!A6:BG""),3,FALSE))"),"")</f>
        <v/>
      </c>
      <c r="H731" s="5" t="str">
        <f ca="1">IFERROR(__xludf.DUMMYFUNCTION("IFERROR(VLOOKUP(F748,IMPORTRANGE(""https://docs.google.com/spreadsheets/d/1Kvs4KS76FHFqLFIZfrDMff4kP08nblUkihrxltoGBjg/edit#gid=934712705"",""ESENCIAL!A6:BG""),8,FALSE))"),"")</f>
        <v/>
      </c>
      <c r="L731" s="287"/>
      <c r="S731"/>
      <c r="AU731" s="41" t="str">
        <f t="shared" si="40"/>
        <v/>
      </c>
      <c r="AV731" s="5" t="str">
        <f ca="1">IFERROR(__xludf.DUMMYFUNCTION("IFERROR(VLOOKUP(E748&amp;F748,IMPORTRANGE(""https://docs.google.com/spreadsheets/d/1Uw7-A9f9R21vMXxHZFNpYNeKFtG8_yji4HS352LGlSQ/edit?pli=1#gid=0"",""1_ACUM!A4:S""),11,FALSE))"),"")</f>
        <v/>
      </c>
      <c r="AW731" s="42" t="str">
        <f ca="1">IFERROR(__xludf.DUMMYFUNCTION("IFERROR(VLOOKUP(F748,IMPORTRANGE(""https://docs.google.com/spreadsheets/d/1Kvs4KS76FHFqLFIZfrDMff4kP08nblUkihrxltoGBjg/edit#gid=934712705"",""ESENCIAL!A6:BG""),15,FALSE))"),"")</f>
        <v/>
      </c>
      <c r="AX731" s="21" t="str">
        <f ca="1">IFERROR(__xludf.DUMMYFUNCTION("IFERROR(VLOOKUP(E748&amp;F748,IMPORTRANGE(""https://docs.google.com/spreadsheets/d/1Uw7-A9f9R21vMXxHZFNpYNeKFtG8_yji4HS352LGlSQ/edit?pli=1#gid=0"",""1_ACUM!A4:S""),12,FALSE))"),"")</f>
        <v/>
      </c>
      <c r="AY731" s="43" t="str">
        <f ca="1">IFERROR(__xludf.DUMMYFUNCTION("IFERROR(VLOOKUP(E748&amp;F748,IMPORTRANGE(""https://docs.google.com/spreadsheets/d/1Uw7-A9f9R21vMXxHZFNpYNeKFtG8_yji4HS352LGlSQ/edit?pli=1#gid=0"",""1_ACUM!A4:S""),13,FALSE))"),"")</f>
        <v/>
      </c>
      <c r="AZ731" s="43" t="str">
        <f ca="1">IFERROR(__xludf.DUMMYFUNCTION("IFERROR(VLOOKUP(E748&amp;F748,IMPORTRANGE(""https://docs.google.com/spreadsheets/d/1Uw7-A9f9R21vMXxHZFNpYNeKFtG8_yji4HS352LGlSQ/edit?pli=1#gid=0"",""1_ACUM!A4:S""),14,FALSE))"),"")</f>
        <v/>
      </c>
      <c r="BA731" s="43" t="str">
        <f ca="1">IFERROR(__xludf.DUMMYFUNCTION("IFERROR(VLOOKUP(E748&amp;F748,IMPORTRANGE(""https://docs.google.com/spreadsheets/d/1Uw7-A9f9R21vMXxHZFNpYNeKFtG8_yji4HS352LGlSQ/edit?pli=1#gid=0"",""1_ACUM!A4:S""),15,FALSE))"),"")</f>
        <v/>
      </c>
      <c r="BB731" s="43" t="str">
        <f ca="1">IFERROR(__xludf.DUMMYFUNCTION("IFERROR(VLOOKUP(E748&amp;F748,IMPORTRANGE(""https://docs.google.com/spreadsheets/d/1Uw7-A9f9R21vMXxHZFNpYNeKFtG8_yji4HS352LGlSQ/edit?pli=1#gid=0"",""1_ACUM!A4:S""),16,FALSE))"),"")</f>
        <v/>
      </c>
      <c r="BC731" s="43" t="str">
        <f ca="1">IFERROR(__xludf.DUMMYFUNCTION("IFERROR(VLOOKUP(E748&amp;F748,IMPORTRANGE(""https://docs.google.com/spreadsheets/d/1Uw7-A9f9R21vMXxHZFNpYNeKFtG8_yji4HS352LGlSQ/edit?pli=1#gid=0"",""1_ACUM!A4:S""),17,FALSE))"),"")</f>
        <v/>
      </c>
      <c r="BD731" s="44" t="str">
        <f ca="1">IFERROR(__xludf.DUMMYFUNCTION("IFERROR(VLOOKUP(E748&amp;F748,IMPORTRANGE(""https://docs.google.com/spreadsheets/d/1Uw7-A9f9R21vMXxHZFNpYNeKFtG8_yji4HS352LGlSQ/edit?pli=1#gid=0"",""1_ACUM!A4:S""),18,FALSE))"),"")</f>
        <v/>
      </c>
      <c r="BE731" s="44" t="str">
        <f ca="1">IFERROR(__xludf.DUMMYFUNCTION("IFERROR(VLOOKUP(E748&amp;F748,IMPORTRANGE(""https://docs.google.com/spreadsheets/d/1Uw7-A9f9R21vMXxHZFNpYNeKFtG8_yji4HS352LGlSQ/edit?pli=1#gid=0"",""1_ACUM!A4:S""),19,FALSE))"),"")</f>
        <v/>
      </c>
      <c r="BF731" s="44" t="str">
        <f ca="1">IFERROR(__xludf.DUMMYFUNCTION("IFERROR(VLOOKUP(F748,IMPORTRANGE(""https://docs.google.com/spreadsheets/d/1Kvs4KS76FHFqLFIZfrDMff4kP08nblUkihrxltoGBjg/edit#gid=934712705"",""ESENCIAL!A6:BG""),5,FALSE))"),"")</f>
        <v/>
      </c>
      <c r="BG731" s="44" t="str">
        <f t="shared" si="41"/>
        <v/>
      </c>
      <c r="BH731" s="41" t="str">
        <f t="shared" si="42"/>
        <v/>
      </c>
      <c r="BI731" s="41" t="str">
        <f ca="1">IFERROR(__xludf.DUMMYFUNCTION("IFERROR(VLOOKUP(F748,IMPORTRANGE(""https://docs.google.com/spreadsheets/d/1Kvs4KS76FHFqLFIZfrDMff4kP08nblUkihrxltoGBjg/edit#gid=934712705"",""ESENCIAL!A6:BG""),18,FALSE))"),"")</f>
        <v/>
      </c>
      <c r="BJ731" s="19" t="str">
        <f t="shared" si="43"/>
        <v/>
      </c>
      <c r="BK731" s="41"/>
      <c r="BL731" s="41"/>
    </row>
    <row r="732" spans="1:64" ht="15">
      <c r="A732" s="4"/>
      <c r="B732" s="4"/>
      <c r="G732" s="5" t="str">
        <f ca="1">IFERROR(__xludf.DUMMYFUNCTION("IFERROR(VLOOKUP(F749,IMPORTRANGE(""https://docs.google.com/spreadsheets/d/1Kvs4KS76FHFqLFIZfrDMff4kP08nblUkihrxltoGBjg/edit#gid=934712705"",""ESENCIAL!A6:BG""),3,FALSE))"),"")</f>
        <v/>
      </c>
      <c r="H732" s="5" t="str">
        <f ca="1">IFERROR(__xludf.DUMMYFUNCTION("IFERROR(VLOOKUP(F749,IMPORTRANGE(""https://docs.google.com/spreadsheets/d/1Kvs4KS76FHFqLFIZfrDMff4kP08nblUkihrxltoGBjg/edit#gid=934712705"",""ESENCIAL!A6:BG""),8,FALSE))"),"")</f>
        <v/>
      </c>
      <c r="L732" s="287"/>
      <c r="S732"/>
      <c r="AU732" s="41" t="str">
        <f t="shared" si="40"/>
        <v/>
      </c>
      <c r="AV732" s="5" t="str">
        <f ca="1">IFERROR(__xludf.DUMMYFUNCTION("IFERROR(VLOOKUP(E749&amp;F749,IMPORTRANGE(""https://docs.google.com/spreadsheets/d/1Uw7-A9f9R21vMXxHZFNpYNeKFtG8_yji4HS352LGlSQ/edit?pli=1#gid=0"",""1_ACUM!A4:S""),11,FALSE))"),"")</f>
        <v/>
      </c>
      <c r="AW732" s="42" t="str">
        <f ca="1">IFERROR(__xludf.DUMMYFUNCTION("IFERROR(VLOOKUP(F749,IMPORTRANGE(""https://docs.google.com/spreadsheets/d/1Kvs4KS76FHFqLFIZfrDMff4kP08nblUkihrxltoGBjg/edit#gid=934712705"",""ESENCIAL!A6:BG""),15,FALSE))"),"")</f>
        <v/>
      </c>
      <c r="AX732" s="21" t="str">
        <f ca="1">IFERROR(__xludf.DUMMYFUNCTION("IFERROR(VLOOKUP(E749&amp;F749,IMPORTRANGE(""https://docs.google.com/spreadsheets/d/1Uw7-A9f9R21vMXxHZFNpYNeKFtG8_yji4HS352LGlSQ/edit?pli=1#gid=0"",""1_ACUM!A4:S""),12,FALSE))"),"")</f>
        <v/>
      </c>
      <c r="AY732" s="43" t="str">
        <f ca="1">IFERROR(__xludf.DUMMYFUNCTION("IFERROR(VLOOKUP(E749&amp;F749,IMPORTRANGE(""https://docs.google.com/spreadsheets/d/1Uw7-A9f9R21vMXxHZFNpYNeKFtG8_yji4HS352LGlSQ/edit?pli=1#gid=0"",""1_ACUM!A4:S""),13,FALSE))"),"")</f>
        <v/>
      </c>
      <c r="AZ732" s="43" t="str">
        <f ca="1">IFERROR(__xludf.DUMMYFUNCTION("IFERROR(VLOOKUP(E749&amp;F749,IMPORTRANGE(""https://docs.google.com/spreadsheets/d/1Uw7-A9f9R21vMXxHZFNpYNeKFtG8_yji4HS352LGlSQ/edit?pli=1#gid=0"",""1_ACUM!A4:S""),14,FALSE))"),"")</f>
        <v/>
      </c>
      <c r="BA732" s="43" t="str">
        <f ca="1">IFERROR(__xludf.DUMMYFUNCTION("IFERROR(VLOOKUP(E749&amp;F749,IMPORTRANGE(""https://docs.google.com/spreadsheets/d/1Uw7-A9f9R21vMXxHZFNpYNeKFtG8_yji4HS352LGlSQ/edit?pli=1#gid=0"",""1_ACUM!A4:S""),15,FALSE))"),"")</f>
        <v/>
      </c>
      <c r="BB732" s="43" t="str">
        <f ca="1">IFERROR(__xludf.DUMMYFUNCTION("IFERROR(VLOOKUP(E749&amp;F749,IMPORTRANGE(""https://docs.google.com/spreadsheets/d/1Uw7-A9f9R21vMXxHZFNpYNeKFtG8_yji4HS352LGlSQ/edit?pli=1#gid=0"",""1_ACUM!A4:S""),16,FALSE))"),"")</f>
        <v/>
      </c>
      <c r="BC732" s="43" t="str">
        <f ca="1">IFERROR(__xludf.DUMMYFUNCTION("IFERROR(VLOOKUP(E749&amp;F749,IMPORTRANGE(""https://docs.google.com/spreadsheets/d/1Uw7-A9f9R21vMXxHZFNpYNeKFtG8_yji4HS352LGlSQ/edit?pli=1#gid=0"",""1_ACUM!A4:S""),17,FALSE))"),"")</f>
        <v/>
      </c>
      <c r="BD732" s="44" t="str">
        <f ca="1">IFERROR(__xludf.DUMMYFUNCTION("IFERROR(VLOOKUP(E749&amp;F749,IMPORTRANGE(""https://docs.google.com/spreadsheets/d/1Uw7-A9f9R21vMXxHZFNpYNeKFtG8_yji4HS352LGlSQ/edit?pli=1#gid=0"",""1_ACUM!A4:S""),18,FALSE))"),"")</f>
        <v/>
      </c>
      <c r="BE732" s="44" t="str">
        <f ca="1">IFERROR(__xludf.DUMMYFUNCTION("IFERROR(VLOOKUP(E749&amp;F749,IMPORTRANGE(""https://docs.google.com/spreadsheets/d/1Uw7-A9f9R21vMXxHZFNpYNeKFtG8_yji4HS352LGlSQ/edit?pli=1#gid=0"",""1_ACUM!A4:S""),19,FALSE))"),"")</f>
        <v/>
      </c>
      <c r="BF732" s="44" t="str">
        <f ca="1">IFERROR(__xludf.DUMMYFUNCTION("IFERROR(VLOOKUP(F749,IMPORTRANGE(""https://docs.google.com/spreadsheets/d/1Kvs4KS76FHFqLFIZfrDMff4kP08nblUkihrxltoGBjg/edit#gid=934712705"",""ESENCIAL!A6:BG""),5,FALSE))"),"")</f>
        <v/>
      </c>
      <c r="BG732" s="44" t="str">
        <f t="shared" si="41"/>
        <v/>
      </c>
      <c r="BH732" s="41" t="str">
        <f t="shared" si="42"/>
        <v/>
      </c>
      <c r="BI732" s="41" t="str">
        <f ca="1">IFERROR(__xludf.DUMMYFUNCTION("IFERROR(VLOOKUP(F749,IMPORTRANGE(""https://docs.google.com/spreadsheets/d/1Kvs4KS76FHFqLFIZfrDMff4kP08nblUkihrxltoGBjg/edit#gid=934712705"",""ESENCIAL!A6:BG""),18,FALSE))"),"")</f>
        <v/>
      </c>
      <c r="BJ732" s="19" t="str">
        <f t="shared" si="43"/>
        <v/>
      </c>
      <c r="BK732" s="41"/>
      <c r="BL732" s="41"/>
    </row>
    <row r="733" spans="1:64" ht="15">
      <c r="A733" s="4"/>
      <c r="B733" s="4"/>
      <c r="G733" s="5" t="str">
        <f ca="1">IFERROR(__xludf.DUMMYFUNCTION("IFERROR(VLOOKUP(F750,IMPORTRANGE(""https://docs.google.com/spreadsheets/d/1Kvs4KS76FHFqLFIZfrDMff4kP08nblUkihrxltoGBjg/edit#gid=934712705"",""ESENCIAL!A6:BG""),3,FALSE))"),"")</f>
        <v/>
      </c>
      <c r="H733" s="5" t="str">
        <f ca="1">IFERROR(__xludf.DUMMYFUNCTION("IFERROR(VLOOKUP(F750,IMPORTRANGE(""https://docs.google.com/spreadsheets/d/1Kvs4KS76FHFqLFIZfrDMff4kP08nblUkihrxltoGBjg/edit#gid=934712705"",""ESENCIAL!A6:BG""),8,FALSE))"),"")</f>
        <v/>
      </c>
      <c r="L733" s="287"/>
      <c r="S733"/>
      <c r="AU733" s="41" t="str">
        <f t="shared" si="40"/>
        <v/>
      </c>
      <c r="AV733" s="5" t="str">
        <f ca="1">IFERROR(__xludf.DUMMYFUNCTION("IFERROR(VLOOKUP(E750&amp;F750,IMPORTRANGE(""https://docs.google.com/spreadsheets/d/1Uw7-A9f9R21vMXxHZFNpYNeKFtG8_yji4HS352LGlSQ/edit?pli=1#gid=0"",""1_ACUM!A4:S""),11,FALSE))"),"")</f>
        <v/>
      </c>
      <c r="AW733" s="42" t="str">
        <f ca="1">IFERROR(__xludf.DUMMYFUNCTION("IFERROR(VLOOKUP(F750,IMPORTRANGE(""https://docs.google.com/spreadsheets/d/1Kvs4KS76FHFqLFIZfrDMff4kP08nblUkihrxltoGBjg/edit#gid=934712705"",""ESENCIAL!A6:BG""),15,FALSE))"),"")</f>
        <v/>
      </c>
      <c r="AX733" s="21" t="str">
        <f ca="1">IFERROR(__xludf.DUMMYFUNCTION("IFERROR(VLOOKUP(E750&amp;F750,IMPORTRANGE(""https://docs.google.com/spreadsheets/d/1Uw7-A9f9R21vMXxHZFNpYNeKFtG8_yji4HS352LGlSQ/edit?pli=1#gid=0"",""1_ACUM!A4:S""),12,FALSE))"),"")</f>
        <v/>
      </c>
      <c r="AY733" s="43" t="str">
        <f ca="1">IFERROR(__xludf.DUMMYFUNCTION("IFERROR(VLOOKUP(E750&amp;F750,IMPORTRANGE(""https://docs.google.com/spreadsheets/d/1Uw7-A9f9R21vMXxHZFNpYNeKFtG8_yji4HS352LGlSQ/edit?pli=1#gid=0"",""1_ACUM!A4:S""),13,FALSE))"),"")</f>
        <v/>
      </c>
      <c r="AZ733" s="43" t="str">
        <f ca="1">IFERROR(__xludf.DUMMYFUNCTION("IFERROR(VLOOKUP(E750&amp;F750,IMPORTRANGE(""https://docs.google.com/spreadsheets/d/1Uw7-A9f9R21vMXxHZFNpYNeKFtG8_yji4HS352LGlSQ/edit?pli=1#gid=0"",""1_ACUM!A4:S""),14,FALSE))"),"")</f>
        <v/>
      </c>
      <c r="BA733" s="43" t="str">
        <f ca="1">IFERROR(__xludf.DUMMYFUNCTION("IFERROR(VLOOKUP(E750&amp;F750,IMPORTRANGE(""https://docs.google.com/spreadsheets/d/1Uw7-A9f9R21vMXxHZFNpYNeKFtG8_yji4HS352LGlSQ/edit?pli=1#gid=0"",""1_ACUM!A4:S""),15,FALSE))"),"")</f>
        <v/>
      </c>
      <c r="BB733" s="43" t="str">
        <f ca="1">IFERROR(__xludf.DUMMYFUNCTION("IFERROR(VLOOKUP(E750&amp;F750,IMPORTRANGE(""https://docs.google.com/spreadsheets/d/1Uw7-A9f9R21vMXxHZFNpYNeKFtG8_yji4HS352LGlSQ/edit?pli=1#gid=0"",""1_ACUM!A4:S""),16,FALSE))"),"")</f>
        <v/>
      </c>
      <c r="BC733" s="43" t="str">
        <f ca="1">IFERROR(__xludf.DUMMYFUNCTION("IFERROR(VLOOKUP(E750&amp;F750,IMPORTRANGE(""https://docs.google.com/spreadsheets/d/1Uw7-A9f9R21vMXxHZFNpYNeKFtG8_yji4HS352LGlSQ/edit?pli=1#gid=0"",""1_ACUM!A4:S""),17,FALSE))"),"")</f>
        <v/>
      </c>
      <c r="BD733" s="44" t="str">
        <f ca="1">IFERROR(__xludf.DUMMYFUNCTION("IFERROR(VLOOKUP(E750&amp;F750,IMPORTRANGE(""https://docs.google.com/spreadsheets/d/1Uw7-A9f9R21vMXxHZFNpYNeKFtG8_yji4HS352LGlSQ/edit?pli=1#gid=0"",""1_ACUM!A4:S""),18,FALSE))"),"")</f>
        <v/>
      </c>
      <c r="BE733" s="44" t="str">
        <f ca="1">IFERROR(__xludf.DUMMYFUNCTION("IFERROR(VLOOKUP(E750&amp;F750,IMPORTRANGE(""https://docs.google.com/spreadsheets/d/1Uw7-A9f9R21vMXxHZFNpYNeKFtG8_yji4HS352LGlSQ/edit?pli=1#gid=0"",""1_ACUM!A4:S""),19,FALSE))"),"")</f>
        <v/>
      </c>
      <c r="BF733" s="44" t="str">
        <f ca="1">IFERROR(__xludf.DUMMYFUNCTION("IFERROR(VLOOKUP(F750,IMPORTRANGE(""https://docs.google.com/spreadsheets/d/1Kvs4KS76FHFqLFIZfrDMff4kP08nblUkihrxltoGBjg/edit#gid=934712705"",""ESENCIAL!A6:BG""),5,FALSE))"),"")</f>
        <v/>
      </c>
      <c r="BG733" s="44" t="str">
        <f t="shared" si="41"/>
        <v/>
      </c>
      <c r="BH733" s="41" t="str">
        <f t="shared" si="42"/>
        <v/>
      </c>
      <c r="BI733" s="41" t="str">
        <f ca="1">IFERROR(__xludf.DUMMYFUNCTION("IFERROR(VLOOKUP(F750,IMPORTRANGE(""https://docs.google.com/spreadsheets/d/1Kvs4KS76FHFqLFIZfrDMff4kP08nblUkihrxltoGBjg/edit#gid=934712705"",""ESENCIAL!A6:BG""),18,FALSE))"),"")</f>
        <v/>
      </c>
      <c r="BJ733" s="19" t="str">
        <f t="shared" si="43"/>
        <v/>
      </c>
      <c r="BK733" s="41"/>
      <c r="BL733" s="41"/>
    </row>
    <row r="734" spans="1:64" ht="15">
      <c r="A734" s="4"/>
      <c r="B734" s="4"/>
      <c r="G734" s="5" t="str">
        <f ca="1">IFERROR(__xludf.DUMMYFUNCTION("IFERROR(VLOOKUP(F751,IMPORTRANGE(""https://docs.google.com/spreadsheets/d/1Kvs4KS76FHFqLFIZfrDMff4kP08nblUkihrxltoGBjg/edit#gid=934712705"",""ESENCIAL!A6:BG""),3,FALSE))"),"")</f>
        <v/>
      </c>
      <c r="H734" s="5" t="str">
        <f ca="1">IFERROR(__xludf.DUMMYFUNCTION("IFERROR(VLOOKUP(F751,IMPORTRANGE(""https://docs.google.com/spreadsheets/d/1Kvs4KS76FHFqLFIZfrDMff4kP08nblUkihrxltoGBjg/edit#gid=934712705"",""ESENCIAL!A6:BG""),8,FALSE))"),"")</f>
        <v/>
      </c>
      <c r="L734" s="287"/>
      <c r="S734"/>
      <c r="AU734" s="41" t="str">
        <f t="shared" si="40"/>
        <v/>
      </c>
      <c r="AV734" s="5" t="str">
        <f ca="1">IFERROR(__xludf.DUMMYFUNCTION("IFERROR(VLOOKUP(E751&amp;F751,IMPORTRANGE(""https://docs.google.com/spreadsheets/d/1Uw7-A9f9R21vMXxHZFNpYNeKFtG8_yji4HS352LGlSQ/edit?pli=1#gid=0"",""1_ACUM!A4:S""),11,FALSE))"),"")</f>
        <v/>
      </c>
      <c r="AW734" s="42" t="str">
        <f ca="1">IFERROR(__xludf.DUMMYFUNCTION("IFERROR(VLOOKUP(F751,IMPORTRANGE(""https://docs.google.com/spreadsheets/d/1Kvs4KS76FHFqLFIZfrDMff4kP08nblUkihrxltoGBjg/edit#gid=934712705"",""ESENCIAL!A6:BG""),15,FALSE))"),"")</f>
        <v/>
      </c>
      <c r="AX734" s="21" t="str">
        <f ca="1">IFERROR(__xludf.DUMMYFUNCTION("IFERROR(VLOOKUP(E751&amp;F751,IMPORTRANGE(""https://docs.google.com/spreadsheets/d/1Uw7-A9f9R21vMXxHZFNpYNeKFtG8_yji4HS352LGlSQ/edit?pli=1#gid=0"",""1_ACUM!A4:S""),12,FALSE))"),"")</f>
        <v/>
      </c>
      <c r="AY734" s="43" t="str">
        <f ca="1">IFERROR(__xludf.DUMMYFUNCTION("IFERROR(VLOOKUP(E751&amp;F751,IMPORTRANGE(""https://docs.google.com/spreadsheets/d/1Uw7-A9f9R21vMXxHZFNpYNeKFtG8_yji4HS352LGlSQ/edit?pli=1#gid=0"",""1_ACUM!A4:S""),13,FALSE))"),"")</f>
        <v/>
      </c>
      <c r="AZ734" s="43" t="str">
        <f ca="1">IFERROR(__xludf.DUMMYFUNCTION("IFERROR(VLOOKUP(E751&amp;F751,IMPORTRANGE(""https://docs.google.com/spreadsheets/d/1Uw7-A9f9R21vMXxHZFNpYNeKFtG8_yji4HS352LGlSQ/edit?pli=1#gid=0"",""1_ACUM!A4:S""),14,FALSE))"),"")</f>
        <v/>
      </c>
      <c r="BA734" s="43" t="str">
        <f ca="1">IFERROR(__xludf.DUMMYFUNCTION("IFERROR(VLOOKUP(E751&amp;F751,IMPORTRANGE(""https://docs.google.com/spreadsheets/d/1Uw7-A9f9R21vMXxHZFNpYNeKFtG8_yji4HS352LGlSQ/edit?pli=1#gid=0"",""1_ACUM!A4:S""),15,FALSE))"),"")</f>
        <v/>
      </c>
      <c r="BB734" s="43" t="str">
        <f ca="1">IFERROR(__xludf.DUMMYFUNCTION("IFERROR(VLOOKUP(E751&amp;F751,IMPORTRANGE(""https://docs.google.com/spreadsheets/d/1Uw7-A9f9R21vMXxHZFNpYNeKFtG8_yji4HS352LGlSQ/edit?pli=1#gid=0"",""1_ACUM!A4:S""),16,FALSE))"),"")</f>
        <v/>
      </c>
      <c r="BC734" s="43" t="str">
        <f ca="1">IFERROR(__xludf.DUMMYFUNCTION("IFERROR(VLOOKUP(E751&amp;F751,IMPORTRANGE(""https://docs.google.com/spreadsheets/d/1Uw7-A9f9R21vMXxHZFNpYNeKFtG8_yji4HS352LGlSQ/edit?pli=1#gid=0"",""1_ACUM!A4:S""),17,FALSE))"),"")</f>
        <v/>
      </c>
      <c r="BD734" s="44" t="str">
        <f ca="1">IFERROR(__xludf.DUMMYFUNCTION("IFERROR(VLOOKUP(E751&amp;F751,IMPORTRANGE(""https://docs.google.com/spreadsheets/d/1Uw7-A9f9R21vMXxHZFNpYNeKFtG8_yji4HS352LGlSQ/edit?pli=1#gid=0"",""1_ACUM!A4:S""),18,FALSE))"),"")</f>
        <v/>
      </c>
      <c r="BE734" s="44" t="str">
        <f ca="1">IFERROR(__xludf.DUMMYFUNCTION("IFERROR(VLOOKUP(E751&amp;F751,IMPORTRANGE(""https://docs.google.com/spreadsheets/d/1Uw7-A9f9R21vMXxHZFNpYNeKFtG8_yji4HS352LGlSQ/edit?pli=1#gid=0"",""1_ACUM!A4:S""),19,FALSE))"),"")</f>
        <v/>
      </c>
      <c r="BF734" s="44" t="str">
        <f ca="1">IFERROR(__xludf.DUMMYFUNCTION("IFERROR(VLOOKUP(F751,IMPORTRANGE(""https://docs.google.com/spreadsheets/d/1Kvs4KS76FHFqLFIZfrDMff4kP08nblUkihrxltoGBjg/edit#gid=934712705"",""ESENCIAL!A6:BG""),5,FALSE))"),"")</f>
        <v/>
      </c>
      <c r="BG734" s="44" t="str">
        <f t="shared" si="41"/>
        <v/>
      </c>
      <c r="BH734" s="41" t="str">
        <f t="shared" si="42"/>
        <v/>
      </c>
      <c r="BI734" s="41" t="str">
        <f ca="1">IFERROR(__xludf.DUMMYFUNCTION("IFERROR(VLOOKUP(F751,IMPORTRANGE(""https://docs.google.com/spreadsheets/d/1Kvs4KS76FHFqLFIZfrDMff4kP08nblUkihrxltoGBjg/edit#gid=934712705"",""ESENCIAL!A6:BG""),18,FALSE))"),"")</f>
        <v/>
      </c>
      <c r="BJ734" s="19" t="str">
        <f t="shared" si="43"/>
        <v/>
      </c>
      <c r="BK734" s="41"/>
      <c r="BL734" s="41"/>
    </row>
    <row r="735" spans="1:64" ht="15">
      <c r="A735" s="4"/>
      <c r="B735" s="4"/>
      <c r="G735" s="5" t="str">
        <f ca="1">IFERROR(__xludf.DUMMYFUNCTION("IFERROR(VLOOKUP(F752,IMPORTRANGE(""https://docs.google.com/spreadsheets/d/1Kvs4KS76FHFqLFIZfrDMff4kP08nblUkihrxltoGBjg/edit#gid=934712705"",""ESENCIAL!A6:BG""),3,FALSE))"),"")</f>
        <v/>
      </c>
      <c r="H735" s="5" t="str">
        <f ca="1">IFERROR(__xludf.DUMMYFUNCTION("IFERROR(VLOOKUP(F752,IMPORTRANGE(""https://docs.google.com/spreadsheets/d/1Kvs4KS76FHFqLFIZfrDMff4kP08nblUkihrxltoGBjg/edit#gid=934712705"",""ESENCIAL!A6:BG""),8,FALSE))"),"")</f>
        <v/>
      </c>
      <c r="L735" s="287"/>
      <c r="S735"/>
      <c r="AU735" s="41" t="str">
        <f t="shared" si="40"/>
        <v/>
      </c>
      <c r="AV735" s="5" t="str">
        <f ca="1">IFERROR(__xludf.DUMMYFUNCTION("IFERROR(VLOOKUP(E752&amp;F752,IMPORTRANGE(""https://docs.google.com/spreadsheets/d/1Uw7-A9f9R21vMXxHZFNpYNeKFtG8_yji4HS352LGlSQ/edit?pli=1#gid=0"",""1_ACUM!A4:S""),11,FALSE))"),"")</f>
        <v/>
      </c>
      <c r="AW735" s="42" t="str">
        <f ca="1">IFERROR(__xludf.DUMMYFUNCTION("IFERROR(VLOOKUP(F752,IMPORTRANGE(""https://docs.google.com/spreadsheets/d/1Kvs4KS76FHFqLFIZfrDMff4kP08nblUkihrxltoGBjg/edit#gid=934712705"",""ESENCIAL!A6:BG""),15,FALSE))"),"")</f>
        <v/>
      </c>
      <c r="AX735" s="21" t="str">
        <f ca="1">IFERROR(__xludf.DUMMYFUNCTION("IFERROR(VLOOKUP(E752&amp;F752,IMPORTRANGE(""https://docs.google.com/spreadsheets/d/1Uw7-A9f9R21vMXxHZFNpYNeKFtG8_yji4HS352LGlSQ/edit?pli=1#gid=0"",""1_ACUM!A4:S""),12,FALSE))"),"")</f>
        <v/>
      </c>
      <c r="AY735" s="43" t="str">
        <f ca="1">IFERROR(__xludf.DUMMYFUNCTION("IFERROR(VLOOKUP(E752&amp;F752,IMPORTRANGE(""https://docs.google.com/spreadsheets/d/1Uw7-A9f9R21vMXxHZFNpYNeKFtG8_yji4HS352LGlSQ/edit?pli=1#gid=0"",""1_ACUM!A4:S""),13,FALSE))"),"")</f>
        <v/>
      </c>
      <c r="AZ735" s="43" t="str">
        <f ca="1">IFERROR(__xludf.DUMMYFUNCTION("IFERROR(VLOOKUP(E752&amp;F752,IMPORTRANGE(""https://docs.google.com/spreadsheets/d/1Uw7-A9f9R21vMXxHZFNpYNeKFtG8_yji4HS352LGlSQ/edit?pli=1#gid=0"",""1_ACUM!A4:S""),14,FALSE))"),"")</f>
        <v/>
      </c>
      <c r="BA735" s="43" t="str">
        <f ca="1">IFERROR(__xludf.DUMMYFUNCTION("IFERROR(VLOOKUP(E752&amp;F752,IMPORTRANGE(""https://docs.google.com/spreadsheets/d/1Uw7-A9f9R21vMXxHZFNpYNeKFtG8_yji4HS352LGlSQ/edit?pli=1#gid=0"",""1_ACUM!A4:S""),15,FALSE))"),"")</f>
        <v/>
      </c>
      <c r="BB735" s="43" t="str">
        <f ca="1">IFERROR(__xludf.DUMMYFUNCTION("IFERROR(VLOOKUP(E752&amp;F752,IMPORTRANGE(""https://docs.google.com/spreadsheets/d/1Uw7-A9f9R21vMXxHZFNpYNeKFtG8_yji4HS352LGlSQ/edit?pli=1#gid=0"",""1_ACUM!A4:S""),16,FALSE))"),"")</f>
        <v/>
      </c>
      <c r="BC735" s="43" t="str">
        <f ca="1">IFERROR(__xludf.DUMMYFUNCTION("IFERROR(VLOOKUP(E752&amp;F752,IMPORTRANGE(""https://docs.google.com/spreadsheets/d/1Uw7-A9f9R21vMXxHZFNpYNeKFtG8_yji4HS352LGlSQ/edit?pli=1#gid=0"",""1_ACUM!A4:S""),17,FALSE))"),"")</f>
        <v/>
      </c>
      <c r="BD735" s="44" t="str">
        <f ca="1">IFERROR(__xludf.DUMMYFUNCTION("IFERROR(VLOOKUP(E752&amp;F752,IMPORTRANGE(""https://docs.google.com/spreadsheets/d/1Uw7-A9f9R21vMXxHZFNpYNeKFtG8_yji4HS352LGlSQ/edit?pli=1#gid=0"",""1_ACUM!A4:S""),18,FALSE))"),"")</f>
        <v/>
      </c>
      <c r="BE735" s="44" t="str">
        <f ca="1">IFERROR(__xludf.DUMMYFUNCTION("IFERROR(VLOOKUP(E752&amp;F752,IMPORTRANGE(""https://docs.google.com/spreadsheets/d/1Uw7-A9f9R21vMXxHZFNpYNeKFtG8_yji4HS352LGlSQ/edit?pli=1#gid=0"",""1_ACUM!A4:S""),19,FALSE))"),"")</f>
        <v/>
      </c>
      <c r="BF735" s="44" t="str">
        <f ca="1">IFERROR(__xludf.DUMMYFUNCTION("IFERROR(VLOOKUP(F752,IMPORTRANGE(""https://docs.google.com/spreadsheets/d/1Kvs4KS76FHFqLFIZfrDMff4kP08nblUkihrxltoGBjg/edit#gid=934712705"",""ESENCIAL!A6:BG""),5,FALSE))"),"")</f>
        <v/>
      </c>
      <c r="BG735" s="44" t="str">
        <f t="shared" si="41"/>
        <v/>
      </c>
      <c r="BH735" s="41" t="str">
        <f t="shared" si="42"/>
        <v/>
      </c>
      <c r="BI735" s="41" t="str">
        <f ca="1">IFERROR(__xludf.DUMMYFUNCTION("IFERROR(VLOOKUP(F752,IMPORTRANGE(""https://docs.google.com/spreadsheets/d/1Kvs4KS76FHFqLFIZfrDMff4kP08nblUkihrxltoGBjg/edit#gid=934712705"",""ESENCIAL!A6:BG""),18,FALSE))"),"")</f>
        <v/>
      </c>
      <c r="BJ735" s="19" t="str">
        <f t="shared" si="43"/>
        <v/>
      </c>
      <c r="BK735" s="41"/>
      <c r="BL735" s="41"/>
    </row>
    <row r="736" spans="1:64" ht="15">
      <c r="A736" s="4"/>
      <c r="B736" s="4"/>
      <c r="G736" s="5" t="str">
        <f ca="1">IFERROR(__xludf.DUMMYFUNCTION("IFERROR(VLOOKUP(F753,IMPORTRANGE(""https://docs.google.com/spreadsheets/d/1Kvs4KS76FHFqLFIZfrDMff4kP08nblUkihrxltoGBjg/edit#gid=934712705"",""ESENCIAL!A6:BG""),3,FALSE))"),"")</f>
        <v/>
      </c>
      <c r="H736" s="5" t="str">
        <f ca="1">IFERROR(__xludf.DUMMYFUNCTION("IFERROR(VLOOKUP(F753,IMPORTRANGE(""https://docs.google.com/spreadsheets/d/1Kvs4KS76FHFqLFIZfrDMff4kP08nblUkihrxltoGBjg/edit#gid=934712705"",""ESENCIAL!A6:BG""),8,FALSE))"),"")</f>
        <v/>
      </c>
      <c r="L736" s="287"/>
      <c r="S736"/>
      <c r="AU736" s="41" t="str">
        <f t="shared" si="40"/>
        <v/>
      </c>
      <c r="AV736" s="5" t="str">
        <f ca="1">IFERROR(__xludf.DUMMYFUNCTION("IFERROR(VLOOKUP(E753&amp;F753,IMPORTRANGE(""https://docs.google.com/spreadsheets/d/1Uw7-A9f9R21vMXxHZFNpYNeKFtG8_yji4HS352LGlSQ/edit?pli=1#gid=0"",""1_ACUM!A4:S""),11,FALSE))"),"")</f>
        <v/>
      </c>
      <c r="AW736" s="42" t="str">
        <f ca="1">IFERROR(__xludf.DUMMYFUNCTION("IFERROR(VLOOKUP(F753,IMPORTRANGE(""https://docs.google.com/spreadsheets/d/1Kvs4KS76FHFqLFIZfrDMff4kP08nblUkihrxltoGBjg/edit#gid=934712705"",""ESENCIAL!A6:BG""),15,FALSE))"),"")</f>
        <v/>
      </c>
      <c r="AX736" s="21" t="str">
        <f ca="1">IFERROR(__xludf.DUMMYFUNCTION("IFERROR(VLOOKUP(E753&amp;F753,IMPORTRANGE(""https://docs.google.com/spreadsheets/d/1Uw7-A9f9R21vMXxHZFNpYNeKFtG8_yji4HS352LGlSQ/edit?pli=1#gid=0"",""1_ACUM!A4:S""),12,FALSE))"),"")</f>
        <v/>
      </c>
      <c r="AY736" s="43" t="str">
        <f ca="1">IFERROR(__xludf.DUMMYFUNCTION("IFERROR(VLOOKUP(E753&amp;F753,IMPORTRANGE(""https://docs.google.com/spreadsheets/d/1Uw7-A9f9R21vMXxHZFNpYNeKFtG8_yji4HS352LGlSQ/edit?pli=1#gid=0"",""1_ACUM!A4:S""),13,FALSE))"),"")</f>
        <v/>
      </c>
      <c r="AZ736" s="43" t="str">
        <f ca="1">IFERROR(__xludf.DUMMYFUNCTION("IFERROR(VLOOKUP(E753&amp;F753,IMPORTRANGE(""https://docs.google.com/spreadsheets/d/1Uw7-A9f9R21vMXxHZFNpYNeKFtG8_yji4HS352LGlSQ/edit?pli=1#gid=0"",""1_ACUM!A4:S""),14,FALSE))"),"")</f>
        <v/>
      </c>
      <c r="BA736" s="43" t="str">
        <f ca="1">IFERROR(__xludf.DUMMYFUNCTION("IFERROR(VLOOKUP(E753&amp;F753,IMPORTRANGE(""https://docs.google.com/spreadsheets/d/1Uw7-A9f9R21vMXxHZFNpYNeKFtG8_yji4HS352LGlSQ/edit?pli=1#gid=0"",""1_ACUM!A4:S""),15,FALSE))"),"")</f>
        <v/>
      </c>
      <c r="BB736" s="43" t="str">
        <f ca="1">IFERROR(__xludf.DUMMYFUNCTION("IFERROR(VLOOKUP(E753&amp;F753,IMPORTRANGE(""https://docs.google.com/spreadsheets/d/1Uw7-A9f9R21vMXxHZFNpYNeKFtG8_yji4HS352LGlSQ/edit?pli=1#gid=0"",""1_ACUM!A4:S""),16,FALSE))"),"")</f>
        <v/>
      </c>
      <c r="BC736" s="43" t="str">
        <f ca="1">IFERROR(__xludf.DUMMYFUNCTION("IFERROR(VLOOKUP(E753&amp;F753,IMPORTRANGE(""https://docs.google.com/spreadsheets/d/1Uw7-A9f9R21vMXxHZFNpYNeKFtG8_yji4HS352LGlSQ/edit?pli=1#gid=0"",""1_ACUM!A4:S""),17,FALSE))"),"")</f>
        <v/>
      </c>
      <c r="BD736" s="44" t="str">
        <f ca="1">IFERROR(__xludf.DUMMYFUNCTION("IFERROR(VLOOKUP(E753&amp;F753,IMPORTRANGE(""https://docs.google.com/spreadsheets/d/1Uw7-A9f9R21vMXxHZFNpYNeKFtG8_yji4HS352LGlSQ/edit?pli=1#gid=0"",""1_ACUM!A4:S""),18,FALSE))"),"")</f>
        <v/>
      </c>
      <c r="BE736" s="44" t="str">
        <f ca="1">IFERROR(__xludf.DUMMYFUNCTION("IFERROR(VLOOKUP(E753&amp;F753,IMPORTRANGE(""https://docs.google.com/spreadsheets/d/1Uw7-A9f9R21vMXxHZFNpYNeKFtG8_yji4HS352LGlSQ/edit?pli=1#gid=0"",""1_ACUM!A4:S""),19,FALSE))"),"")</f>
        <v/>
      </c>
      <c r="BF736" s="44" t="str">
        <f ca="1">IFERROR(__xludf.DUMMYFUNCTION("IFERROR(VLOOKUP(F753,IMPORTRANGE(""https://docs.google.com/spreadsheets/d/1Kvs4KS76FHFqLFIZfrDMff4kP08nblUkihrxltoGBjg/edit#gid=934712705"",""ESENCIAL!A6:BG""),5,FALSE))"),"")</f>
        <v/>
      </c>
      <c r="BG736" s="44" t="str">
        <f t="shared" si="41"/>
        <v/>
      </c>
      <c r="BH736" s="41" t="str">
        <f t="shared" si="42"/>
        <v/>
      </c>
      <c r="BI736" s="41" t="str">
        <f ca="1">IFERROR(__xludf.DUMMYFUNCTION("IFERROR(VLOOKUP(F753,IMPORTRANGE(""https://docs.google.com/spreadsheets/d/1Kvs4KS76FHFqLFIZfrDMff4kP08nblUkihrxltoGBjg/edit#gid=934712705"",""ESENCIAL!A6:BG""),18,FALSE))"),"")</f>
        <v/>
      </c>
      <c r="BJ736" s="19" t="str">
        <f t="shared" si="43"/>
        <v/>
      </c>
      <c r="BK736" s="41"/>
      <c r="BL736" s="41"/>
    </row>
    <row r="737" spans="1:64" ht="15">
      <c r="A737" s="4"/>
      <c r="B737" s="4"/>
      <c r="G737" s="5" t="str">
        <f ca="1">IFERROR(__xludf.DUMMYFUNCTION("IFERROR(VLOOKUP(F754,IMPORTRANGE(""https://docs.google.com/spreadsheets/d/1Kvs4KS76FHFqLFIZfrDMff4kP08nblUkihrxltoGBjg/edit#gid=934712705"",""ESENCIAL!A6:BG""),3,FALSE))"),"")</f>
        <v/>
      </c>
      <c r="H737" s="5" t="str">
        <f ca="1">IFERROR(__xludf.DUMMYFUNCTION("IFERROR(VLOOKUP(F754,IMPORTRANGE(""https://docs.google.com/spreadsheets/d/1Kvs4KS76FHFqLFIZfrDMff4kP08nblUkihrxltoGBjg/edit#gid=934712705"",""ESENCIAL!A6:BG""),8,FALSE))"),"")</f>
        <v/>
      </c>
      <c r="L737" s="287"/>
      <c r="S737"/>
      <c r="AU737" s="41" t="str">
        <f t="shared" si="40"/>
        <v/>
      </c>
      <c r="AV737" s="5" t="str">
        <f ca="1">IFERROR(__xludf.DUMMYFUNCTION("IFERROR(VLOOKUP(E754&amp;F754,IMPORTRANGE(""https://docs.google.com/spreadsheets/d/1Uw7-A9f9R21vMXxHZFNpYNeKFtG8_yji4HS352LGlSQ/edit?pli=1#gid=0"",""1_ACUM!A4:S""),11,FALSE))"),"")</f>
        <v/>
      </c>
      <c r="AW737" s="42" t="str">
        <f ca="1">IFERROR(__xludf.DUMMYFUNCTION("IFERROR(VLOOKUP(F754,IMPORTRANGE(""https://docs.google.com/spreadsheets/d/1Kvs4KS76FHFqLFIZfrDMff4kP08nblUkihrxltoGBjg/edit#gid=934712705"",""ESENCIAL!A6:BG""),15,FALSE))"),"")</f>
        <v/>
      </c>
      <c r="AX737" s="21" t="str">
        <f ca="1">IFERROR(__xludf.DUMMYFUNCTION("IFERROR(VLOOKUP(E754&amp;F754,IMPORTRANGE(""https://docs.google.com/spreadsheets/d/1Uw7-A9f9R21vMXxHZFNpYNeKFtG8_yji4HS352LGlSQ/edit?pli=1#gid=0"",""1_ACUM!A4:S""),12,FALSE))"),"")</f>
        <v/>
      </c>
      <c r="AY737" s="43" t="str">
        <f ca="1">IFERROR(__xludf.DUMMYFUNCTION("IFERROR(VLOOKUP(E754&amp;F754,IMPORTRANGE(""https://docs.google.com/spreadsheets/d/1Uw7-A9f9R21vMXxHZFNpYNeKFtG8_yji4HS352LGlSQ/edit?pli=1#gid=0"",""1_ACUM!A4:S""),13,FALSE))"),"")</f>
        <v/>
      </c>
      <c r="AZ737" s="43" t="str">
        <f ca="1">IFERROR(__xludf.DUMMYFUNCTION("IFERROR(VLOOKUP(E754&amp;F754,IMPORTRANGE(""https://docs.google.com/spreadsheets/d/1Uw7-A9f9R21vMXxHZFNpYNeKFtG8_yji4HS352LGlSQ/edit?pli=1#gid=0"",""1_ACUM!A4:S""),14,FALSE))"),"")</f>
        <v/>
      </c>
      <c r="BA737" s="43" t="str">
        <f ca="1">IFERROR(__xludf.DUMMYFUNCTION("IFERROR(VLOOKUP(E754&amp;F754,IMPORTRANGE(""https://docs.google.com/spreadsheets/d/1Uw7-A9f9R21vMXxHZFNpYNeKFtG8_yji4HS352LGlSQ/edit?pli=1#gid=0"",""1_ACUM!A4:S""),15,FALSE))"),"")</f>
        <v/>
      </c>
      <c r="BB737" s="43" t="str">
        <f ca="1">IFERROR(__xludf.DUMMYFUNCTION("IFERROR(VLOOKUP(E754&amp;F754,IMPORTRANGE(""https://docs.google.com/spreadsheets/d/1Uw7-A9f9R21vMXxHZFNpYNeKFtG8_yji4HS352LGlSQ/edit?pli=1#gid=0"",""1_ACUM!A4:S""),16,FALSE))"),"")</f>
        <v/>
      </c>
      <c r="BC737" s="43" t="str">
        <f ca="1">IFERROR(__xludf.DUMMYFUNCTION("IFERROR(VLOOKUP(E754&amp;F754,IMPORTRANGE(""https://docs.google.com/spreadsheets/d/1Uw7-A9f9R21vMXxHZFNpYNeKFtG8_yji4HS352LGlSQ/edit?pli=1#gid=0"",""1_ACUM!A4:S""),17,FALSE))"),"")</f>
        <v/>
      </c>
      <c r="BD737" s="44" t="str">
        <f ca="1">IFERROR(__xludf.DUMMYFUNCTION("IFERROR(VLOOKUP(E754&amp;F754,IMPORTRANGE(""https://docs.google.com/spreadsheets/d/1Uw7-A9f9R21vMXxHZFNpYNeKFtG8_yji4HS352LGlSQ/edit?pli=1#gid=0"",""1_ACUM!A4:S""),18,FALSE))"),"")</f>
        <v/>
      </c>
      <c r="BE737" s="44" t="str">
        <f ca="1">IFERROR(__xludf.DUMMYFUNCTION("IFERROR(VLOOKUP(E754&amp;F754,IMPORTRANGE(""https://docs.google.com/spreadsheets/d/1Uw7-A9f9R21vMXxHZFNpYNeKFtG8_yji4HS352LGlSQ/edit?pli=1#gid=0"",""1_ACUM!A4:S""),19,FALSE))"),"")</f>
        <v/>
      </c>
      <c r="BF737" s="44" t="str">
        <f ca="1">IFERROR(__xludf.DUMMYFUNCTION("IFERROR(VLOOKUP(F754,IMPORTRANGE(""https://docs.google.com/spreadsheets/d/1Kvs4KS76FHFqLFIZfrDMff4kP08nblUkihrxltoGBjg/edit#gid=934712705"",""ESENCIAL!A6:BG""),5,FALSE))"),"")</f>
        <v/>
      </c>
      <c r="BG737" s="44" t="str">
        <f t="shared" si="41"/>
        <v/>
      </c>
      <c r="BH737" s="41" t="str">
        <f t="shared" si="42"/>
        <v/>
      </c>
      <c r="BI737" s="41" t="str">
        <f ca="1">IFERROR(__xludf.DUMMYFUNCTION("IFERROR(VLOOKUP(F754,IMPORTRANGE(""https://docs.google.com/spreadsheets/d/1Kvs4KS76FHFqLFIZfrDMff4kP08nblUkihrxltoGBjg/edit#gid=934712705"",""ESENCIAL!A6:BG""),18,FALSE))"),"")</f>
        <v/>
      </c>
      <c r="BJ737" s="19" t="str">
        <f t="shared" si="43"/>
        <v/>
      </c>
      <c r="BK737" s="41"/>
      <c r="BL737" s="41"/>
    </row>
    <row r="738" spans="1:64" ht="15">
      <c r="A738" s="4"/>
      <c r="B738" s="4"/>
      <c r="G738" s="5" t="str">
        <f ca="1">IFERROR(__xludf.DUMMYFUNCTION("IFERROR(VLOOKUP(F755,IMPORTRANGE(""https://docs.google.com/spreadsheets/d/1Kvs4KS76FHFqLFIZfrDMff4kP08nblUkihrxltoGBjg/edit#gid=934712705"",""ESENCIAL!A6:BG""),3,FALSE))"),"")</f>
        <v/>
      </c>
      <c r="H738" s="5" t="str">
        <f ca="1">IFERROR(__xludf.DUMMYFUNCTION("IFERROR(VLOOKUP(F755,IMPORTRANGE(""https://docs.google.com/spreadsheets/d/1Kvs4KS76FHFqLFIZfrDMff4kP08nblUkihrxltoGBjg/edit#gid=934712705"",""ESENCIAL!A6:BG""),8,FALSE))"),"")</f>
        <v/>
      </c>
      <c r="L738" s="287"/>
      <c r="S738"/>
      <c r="AU738" s="41" t="str">
        <f t="shared" si="40"/>
        <v/>
      </c>
      <c r="AV738" s="5" t="str">
        <f ca="1">IFERROR(__xludf.DUMMYFUNCTION("IFERROR(VLOOKUP(E755&amp;F755,IMPORTRANGE(""https://docs.google.com/spreadsheets/d/1Uw7-A9f9R21vMXxHZFNpYNeKFtG8_yji4HS352LGlSQ/edit?pli=1#gid=0"",""1_ACUM!A4:S""),11,FALSE))"),"")</f>
        <v/>
      </c>
      <c r="AW738" s="42" t="str">
        <f ca="1">IFERROR(__xludf.DUMMYFUNCTION("IFERROR(VLOOKUP(F755,IMPORTRANGE(""https://docs.google.com/spreadsheets/d/1Kvs4KS76FHFqLFIZfrDMff4kP08nblUkihrxltoGBjg/edit#gid=934712705"",""ESENCIAL!A6:BG""),15,FALSE))"),"")</f>
        <v/>
      </c>
      <c r="AX738" s="21" t="str">
        <f ca="1">IFERROR(__xludf.DUMMYFUNCTION("IFERROR(VLOOKUP(E755&amp;F755,IMPORTRANGE(""https://docs.google.com/spreadsheets/d/1Uw7-A9f9R21vMXxHZFNpYNeKFtG8_yji4HS352LGlSQ/edit?pli=1#gid=0"",""1_ACUM!A4:S""),12,FALSE))"),"")</f>
        <v/>
      </c>
      <c r="AY738" s="43" t="str">
        <f ca="1">IFERROR(__xludf.DUMMYFUNCTION("IFERROR(VLOOKUP(E755&amp;F755,IMPORTRANGE(""https://docs.google.com/spreadsheets/d/1Uw7-A9f9R21vMXxHZFNpYNeKFtG8_yji4HS352LGlSQ/edit?pli=1#gid=0"",""1_ACUM!A4:S""),13,FALSE))"),"")</f>
        <v/>
      </c>
      <c r="AZ738" s="43" t="str">
        <f ca="1">IFERROR(__xludf.DUMMYFUNCTION("IFERROR(VLOOKUP(E755&amp;F755,IMPORTRANGE(""https://docs.google.com/spreadsheets/d/1Uw7-A9f9R21vMXxHZFNpYNeKFtG8_yji4HS352LGlSQ/edit?pli=1#gid=0"",""1_ACUM!A4:S""),14,FALSE))"),"")</f>
        <v/>
      </c>
      <c r="BA738" s="43" t="str">
        <f ca="1">IFERROR(__xludf.DUMMYFUNCTION("IFERROR(VLOOKUP(E755&amp;F755,IMPORTRANGE(""https://docs.google.com/spreadsheets/d/1Uw7-A9f9R21vMXxHZFNpYNeKFtG8_yji4HS352LGlSQ/edit?pli=1#gid=0"",""1_ACUM!A4:S""),15,FALSE))"),"")</f>
        <v/>
      </c>
      <c r="BB738" s="43" t="str">
        <f ca="1">IFERROR(__xludf.DUMMYFUNCTION("IFERROR(VLOOKUP(E755&amp;F755,IMPORTRANGE(""https://docs.google.com/spreadsheets/d/1Uw7-A9f9R21vMXxHZFNpYNeKFtG8_yji4HS352LGlSQ/edit?pli=1#gid=0"",""1_ACUM!A4:S""),16,FALSE))"),"")</f>
        <v/>
      </c>
      <c r="BC738" s="43" t="str">
        <f ca="1">IFERROR(__xludf.DUMMYFUNCTION("IFERROR(VLOOKUP(E755&amp;F755,IMPORTRANGE(""https://docs.google.com/spreadsheets/d/1Uw7-A9f9R21vMXxHZFNpYNeKFtG8_yji4HS352LGlSQ/edit?pli=1#gid=0"",""1_ACUM!A4:S""),17,FALSE))"),"")</f>
        <v/>
      </c>
      <c r="BD738" s="44" t="str">
        <f ca="1">IFERROR(__xludf.DUMMYFUNCTION("IFERROR(VLOOKUP(E755&amp;F755,IMPORTRANGE(""https://docs.google.com/spreadsheets/d/1Uw7-A9f9R21vMXxHZFNpYNeKFtG8_yji4HS352LGlSQ/edit?pli=1#gid=0"",""1_ACUM!A4:S""),18,FALSE))"),"")</f>
        <v/>
      </c>
      <c r="BE738" s="44" t="str">
        <f ca="1">IFERROR(__xludf.DUMMYFUNCTION("IFERROR(VLOOKUP(E755&amp;F755,IMPORTRANGE(""https://docs.google.com/spreadsheets/d/1Uw7-A9f9R21vMXxHZFNpYNeKFtG8_yji4HS352LGlSQ/edit?pli=1#gid=0"",""1_ACUM!A4:S""),19,FALSE))"),"")</f>
        <v/>
      </c>
      <c r="BF738" s="44" t="str">
        <f ca="1">IFERROR(__xludf.DUMMYFUNCTION("IFERROR(VLOOKUP(F755,IMPORTRANGE(""https://docs.google.com/spreadsheets/d/1Kvs4KS76FHFqLFIZfrDMff4kP08nblUkihrxltoGBjg/edit#gid=934712705"",""ESENCIAL!A6:BG""),5,FALSE))"),"")</f>
        <v/>
      </c>
      <c r="BG738" s="44" t="str">
        <f t="shared" si="41"/>
        <v/>
      </c>
      <c r="BH738" s="41" t="str">
        <f t="shared" si="42"/>
        <v/>
      </c>
      <c r="BI738" s="41" t="str">
        <f ca="1">IFERROR(__xludf.DUMMYFUNCTION("IFERROR(VLOOKUP(F755,IMPORTRANGE(""https://docs.google.com/spreadsheets/d/1Kvs4KS76FHFqLFIZfrDMff4kP08nblUkihrxltoGBjg/edit#gid=934712705"",""ESENCIAL!A6:BG""),18,FALSE))"),"")</f>
        <v/>
      </c>
      <c r="BJ738" s="19" t="str">
        <f t="shared" si="43"/>
        <v/>
      </c>
      <c r="BK738" s="41"/>
      <c r="BL738" s="41"/>
    </row>
    <row r="739" spans="1:64" ht="15">
      <c r="A739" s="4"/>
      <c r="B739" s="4"/>
      <c r="G739" s="5" t="str">
        <f ca="1">IFERROR(__xludf.DUMMYFUNCTION("IFERROR(VLOOKUP(F756,IMPORTRANGE(""https://docs.google.com/spreadsheets/d/1Kvs4KS76FHFqLFIZfrDMff4kP08nblUkihrxltoGBjg/edit#gid=934712705"",""ESENCIAL!A6:BG""),3,FALSE))"),"")</f>
        <v/>
      </c>
      <c r="H739" s="5" t="str">
        <f ca="1">IFERROR(__xludf.DUMMYFUNCTION("IFERROR(VLOOKUP(F756,IMPORTRANGE(""https://docs.google.com/spreadsheets/d/1Kvs4KS76FHFqLFIZfrDMff4kP08nblUkihrxltoGBjg/edit#gid=934712705"",""ESENCIAL!A6:BG""),8,FALSE))"),"")</f>
        <v/>
      </c>
      <c r="L739" s="287"/>
      <c r="S739"/>
      <c r="AU739" s="41" t="str">
        <f t="shared" si="40"/>
        <v/>
      </c>
      <c r="AV739" s="5" t="str">
        <f ca="1">IFERROR(__xludf.DUMMYFUNCTION("IFERROR(VLOOKUP(E756&amp;F756,IMPORTRANGE(""https://docs.google.com/spreadsheets/d/1Uw7-A9f9R21vMXxHZFNpYNeKFtG8_yji4HS352LGlSQ/edit?pli=1#gid=0"",""1_ACUM!A4:S""),11,FALSE))"),"")</f>
        <v/>
      </c>
      <c r="AW739" s="42" t="str">
        <f ca="1">IFERROR(__xludf.DUMMYFUNCTION("IFERROR(VLOOKUP(F756,IMPORTRANGE(""https://docs.google.com/spreadsheets/d/1Kvs4KS76FHFqLFIZfrDMff4kP08nblUkihrxltoGBjg/edit#gid=934712705"",""ESENCIAL!A6:BG""),15,FALSE))"),"")</f>
        <v/>
      </c>
      <c r="AX739" s="21" t="str">
        <f ca="1">IFERROR(__xludf.DUMMYFUNCTION("IFERROR(VLOOKUP(E756&amp;F756,IMPORTRANGE(""https://docs.google.com/spreadsheets/d/1Uw7-A9f9R21vMXxHZFNpYNeKFtG8_yji4HS352LGlSQ/edit?pli=1#gid=0"",""1_ACUM!A4:S""),12,FALSE))"),"")</f>
        <v/>
      </c>
      <c r="AY739" s="43" t="str">
        <f ca="1">IFERROR(__xludf.DUMMYFUNCTION("IFERROR(VLOOKUP(E756&amp;F756,IMPORTRANGE(""https://docs.google.com/spreadsheets/d/1Uw7-A9f9R21vMXxHZFNpYNeKFtG8_yji4HS352LGlSQ/edit?pli=1#gid=0"",""1_ACUM!A4:S""),13,FALSE))"),"")</f>
        <v/>
      </c>
      <c r="AZ739" s="43" t="str">
        <f ca="1">IFERROR(__xludf.DUMMYFUNCTION("IFERROR(VLOOKUP(E756&amp;F756,IMPORTRANGE(""https://docs.google.com/spreadsheets/d/1Uw7-A9f9R21vMXxHZFNpYNeKFtG8_yji4HS352LGlSQ/edit?pli=1#gid=0"",""1_ACUM!A4:S""),14,FALSE))"),"")</f>
        <v/>
      </c>
      <c r="BA739" s="43" t="str">
        <f ca="1">IFERROR(__xludf.DUMMYFUNCTION("IFERROR(VLOOKUP(E756&amp;F756,IMPORTRANGE(""https://docs.google.com/spreadsheets/d/1Uw7-A9f9R21vMXxHZFNpYNeKFtG8_yji4HS352LGlSQ/edit?pli=1#gid=0"",""1_ACUM!A4:S""),15,FALSE))"),"")</f>
        <v/>
      </c>
      <c r="BB739" s="43" t="str">
        <f ca="1">IFERROR(__xludf.DUMMYFUNCTION("IFERROR(VLOOKUP(E756&amp;F756,IMPORTRANGE(""https://docs.google.com/spreadsheets/d/1Uw7-A9f9R21vMXxHZFNpYNeKFtG8_yji4HS352LGlSQ/edit?pli=1#gid=0"",""1_ACUM!A4:S""),16,FALSE))"),"")</f>
        <v/>
      </c>
      <c r="BC739" s="43" t="str">
        <f ca="1">IFERROR(__xludf.DUMMYFUNCTION("IFERROR(VLOOKUP(E756&amp;F756,IMPORTRANGE(""https://docs.google.com/spreadsheets/d/1Uw7-A9f9R21vMXxHZFNpYNeKFtG8_yji4HS352LGlSQ/edit?pli=1#gid=0"",""1_ACUM!A4:S""),17,FALSE))"),"")</f>
        <v/>
      </c>
      <c r="BD739" s="44" t="str">
        <f ca="1">IFERROR(__xludf.DUMMYFUNCTION("IFERROR(VLOOKUP(E756&amp;F756,IMPORTRANGE(""https://docs.google.com/spreadsheets/d/1Uw7-A9f9R21vMXxHZFNpYNeKFtG8_yji4HS352LGlSQ/edit?pli=1#gid=0"",""1_ACUM!A4:S""),18,FALSE))"),"")</f>
        <v/>
      </c>
      <c r="BE739" s="44" t="str">
        <f ca="1">IFERROR(__xludf.DUMMYFUNCTION("IFERROR(VLOOKUP(E756&amp;F756,IMPORTRANGE(""https://docs.google.com/spreadsheets/d/1Uw7-A9f9R21vMXxHZFNpYNeKFtG8_yji4HS352LGlSQ/edit?pli=1#gid=0"",""1_ACUM!A4:S""),19,FALSE))"),"")</f>
        <v/>
      </c>
      <c r="BF739" s="44" t="str">
        <f ca="1">IFERROR(__xludf.DUMMYFUNCTION("IFERROR(VLOOKUP(F756,IMPORTRANGE(""https://docs.google.com/spreadsheets/d/1Kvs4KS76FHFqLFIZfrDMff4kP08nblUkihrxltoGBjg/edit#gid=934712705"",""ESENCIAL!A6:BG""),5,FALSE))"),"")</f>
        <v/>
      </c>
      <c r="BG739" s="44" t="str">
        <f t="shared" si="41"/>
        <v/>
      </c>
      <c r="BH739" s="41" t="str">
        <f t="shared" si="42"/>
        <v/>
      </c>
      <c r="BI739" s="41" t="str">
        <f ca="1">IFERROR(__xludf.DUMMYFUNCTION("IFERROR(VLOOKUP(F756,IMPORTRANGE(""https://docs.google.com/spreadsheets/d/1Kvs4KS76FHFqLFIZfrDMff4kP08nblUkihrxltoGBjg/edit#gid=934712705"",""ESENCIAL!A6:BG""),18,FALSE))"),"")</f>
        <v/>
      </c>
      <c r="BJ739" s="19" t="str">
        <f t="shared" si="43"/>
        <v/>
      </c>
      <c r="BK739" s="41"/>
      <c r="BL739" s="41"/>
    </row>
    <row r="740" spans="1:64" ht="15">
      <c r="A740" s="4"/>
      <c r="B740" s="4"/>
      <c r="G740" s="5" t="str">
        <f ca="1">IFERROR(__xludf.DUMMYFUNCTION("IFERROR(VLOOKUP(F757,IMPORTRANGE(""https://docs.google.com/spreadsheets/d/1Kvs4KS76FHFqLFIZfrDMff4kP08nblUkihrxltoGBjg/edit#gid=934712705"",""ESENCIAL!A6:BG""),3,FALSE))"),"")</f>
        <v/>
      </c>
      <c r="H740" s="5" t="str">
        <f ca="1">IFERROR(__xludf.DUMMYFUNCTION("IFERROR(VLOOKUP(F757,IMPORTRANGE(""https://docs.google.com/spreadsheets/d/1Kvs4KS76FHFqLFIZfrDMff4kP08nblUkihrxltoGBjg/edit#gid=934712705"",""ESENCIAL!A6:BG""),8,FALSE))"),"")</f>
        <v/>
      </c>
      <c r="L740" s="287"/>
      <c r="S740"/>
      <c r="AU740" s="41" t="str">
        <f t="shared" si="40"/>
        <v/>
      </c>
      <c r="AV740" s="5" t="str">
        <f ca="1">IFERROR(__xludf.DUMMYFUNCTION("IFERROR(VLOOKUP(E757&amp;F757,IMPORTRANGE(""https://docs.google.com/spreadsheets/d/1Uw7-A9f9R21vMXxHZFNpYNeKFtG8_yji4HS352LGlSQ/edit?pli=1#gid=0"",""1_ACUM!A4:S""),11,FALSE))"),"")</f>
        <v/>
      </c>
      <c r="AW740" s="42" t="str">
        <f ca="1">IFERROR(__xludf.DUMMYFUNCTION("IFERROR(VLOOKUP(F757,IMPORTRANGE(""https://docs.google.com/spreadsheets/d/1Kvs4KS76FHFqLFIZfrDMff4kP08nblUkihrxltoGBjg/edit#gid=934712705"",""ESENCIAL!A6:BG""),15,FALSE))"),"")</f>
        <v/>
      </c>
      <c r="AX740" s="21" t="str">
        <f ca="1">IFERROR(__xludf.DUMMYFUNCTION("IFERROR(VLOOKUP(E757&amp;F757,IMPORTRANGE(""https://docs.google.com/spreadsheets/d/1Uw7-A9f9R21vMXxHZFNpYNeKFtG8_yji4HS352LGlSQ/edit?pli=1#gid=0"",""1_ACUM!A4:S""),12,FALSE))"),"")</f>
        <v/>
      </c>
      <c r="AY740" s="43" t="str">
        <f ca="1">IFERROR(__xludf.DUMMYFUNCTION("IFERROR(VLOOKUP(E757&amp;F757,IMPORTRANGE(""https://docs.google.com/spreadsheets/d/1Uw7-A9f9R21vMXxHZFNpYNeKFtG8_yji4HS352LGlSQ/edit?pli=1#gid=0"",""1_ACUM!A4:S""),13,FALSE))"),"")</f>
        <v/>
      </c>
      <c r="AZ740" s="43" t="str">
        <f ca="1">IFERROR(__xludf.DUMMYFUNCTION("IFERROR(VLOOKUP(E757&amp;F757,IMPORTRANGE(""https://docs.google.com/spreadsheets/d/1Uw7-A9f9R21vMXxHZFNpYNeKFtG8_yji4HS352LGlSQ/edit?pli=1#gid=0"",""1_ACUM!A4:S""),14,FALSE))"),"")</f>
        <v/>
      </c>
      <c r="BA740" s="43" t="str">
        <f ca="1">IFERROR(__xludf.DUMMYFUNCTION("IFERROR(VLOOKUP(E757&amp;F757,IMPORTRANGE(""https://docs.google.com/spreadsheets/d/1Uw7-A9f9R21vMXxHZFNpYNeKFtG8_yji4HS352LGlSQ/edit?pli=1#gid=0"",""1_ACUM!A4:S""),15,FALSE))"),"")</f>
        <v/>
      </c>
      <c r="BB740" s="43" t="str">
        <f ca="1">IFERROR(__xludf.DUMMYFUNCTION("IFERROR(VLOOKUP(E757&amp;F757,IMPORTRANGE(""https://docs.google.com/spreadsheets/d/1Uw7-A9f9R21vMXxHZFNpYNeKFtG8_yji4HS352LGlSQ/edit?pli=1#gid=0"",""1_ACUM!A4:S""),16,FALSE))"),"")</f>
        <v/>
      </c>
      <c r="BC740" s="43" t="str">
        <f ca="1">IFERROR(__xludf.DUMMYFUNCTION("IFERROR(VLOOKUP(E757&amp;F757,IMPORTRANGE(""https://docs.google.com/spreadsheets/d/1Uw7-A9f9R21vMXxHZFNpYNeKFtG8_yji4HS352LGlSQ/edit?pli=1#gid=0"",""1_ACUM!A4:S""),17,FALSE))"),"")</f>
        <v/>
      </c>
      <c r="BD740" s="44" t="str">
        <f ca="1">IFERROR(__xludf.DUMMYFUNCTION("IFERROR(VLOOKUP(E757&amp;F757,IMPORTRANGE(""https://docs.google.com/spreadsheets/d/1Uw7-A9f9R21vMXxHZFNpYNeKFtG8_yji4HS352LGlSQ/edit?pli=1#gid=0"",""1_ACUM!A4:S""),18,FALSE))"),"")</f>
        <v/>
      </c>
      <c r="BE740" s="44" t="str">
        <f ca="1">IFERROR(__xludf.DUMMYFUNCTION("IFERROR(VLOOKUP(E757&amp;F757,IMPORTRANGE(""https://docs.google.com/spreadsheets/d/1Uw7-A9f9R21vMXxHZFNpYNeKFtG8_yji4HS352LGlSQ/edit?pli=1#gid=0"",""1_ACUM!A4:S""),19,FALSE))"),"")</f>
        <v/>
      </c>
      <c r="BF740" s="44" t="str">
        <f ca="1">IFERROR(__xludf.DUMMYFUNCTION("IFERROR(VLOOKUP(F757,IMPORTRANGE(""https://docs.google.com/spreadsheets/d/1Kvs4KS76FHFqLFIZfrDMff4kP08nblUkihrxltoGBjg/edit#gid=934712705"",""ESENCIAL!A6:BG""),5,FALSE))"),"")</f>
        <v/>
      </c>
      <c r="BG740" s="44" t="str">
        <f t="shared" si="41"/>
        <v/>
      </c>
      <c r="BH740" s="41" t="str">
        <f t="shared" si="42"/>
        <v/>
      </c>
      <c r="BI740" s="41" t="str">
        <f ca="1">IFERROR(__xludf.DUMMYFUNCTION("IFERROR(VLOOKUP(F757,IMPORTRANGE(""https://docs.google.com/spreadsheets/d/1Kvs4KS76FHFqLFIZfrDMff4kP08nblUkihrxltoGBjg/edit#gid=934712705"",""ESENCIAL!A6:BG""),18,FALSE))"),"")</f>
        <v/>
      </c>
      <c r="BJ740" s="19" t="str">
        <f t="shared" si="43"/>
        <v/>
      </c>
      <c r="BK740" s="41"/>
      <c r="BL740" s="41"/>
    </row>
    <row r="741" spans="1:64" ht="15">
      <c r="A741" s="4"/>
      <c r="B741" s="4"/>
      <c r="G741" s="5" t="str">
        <f ca="1">IFERROR(__xludf.DUMMYFUNCTION("IFERROR(VLOOKUP(F758,IMPORTRANGE(""https://docs.google.com/spreadsheets/d/1Kvs4KS76FHFqLFIZfrDMff4kP08nblUkihrxltoGBjg/edit#gid=934712705"",""ESENCIAL!A6:BG""),3,FALSE))"),"")</f>
        <v/>
      </c>
      <c r="H741" s="5" t="str">
        <f ca="1">IFERROR(__xludf.DUMMYFUNCTION("IFERROR(VLOOKUP(F758,IMPORTRANGE(""https://docs.google.com/spreadsheets/d/1Kvs4KS76FHFqLFIZfrDMff4kP08nblUkihrxltoGBjg/edit#gid=934712705"",""ESENCIAL!A6:BG""),8,FALSE))"),"")</f>
        <v/>
      </c>
      <c r="L741" s="287"/>
      <c r="S741"/>
      <c r="AU741" s="41" t="str">
        <f t="shared" si="40"/>
        <v/>
      </c>
      <c r="AV741" s="5" t="str">
        <f ca="1">IFERROR(__xludf.DUMMYFUNCTION("IFERROR(VLOOKUP(E758&amp;F758,IMPORTRANGE(""https://docs.google.com/spreadsheets/d/1Uw7-A9f9R21vMXxHZFNpYNeKFtG8_yji4HS352LGlSQ/edit?pli=1#gid=0"",""1_ACUM!A4:S""),11,FALSE))"),"")</f>
        <v/>
      </c>
      <c r="AW741" s="42" t="str">
        <f ca="1">IFERROR(__xludf.DUMMYFUNCTION("IFERROR(VLOOKUP(F758,IMPORTRANGE(""https://docs.google.com/spreadsheets/d/1Kvs4KS76FHFqLFIZfrDMff4kP08nblUkihrxltoGBjg/edit#gid=934712705"",""ESENCIAL!A6:BG""),15,FALSE))"),"")</f>
        <v/>
      </c>
      <c r="AX741" s="21" t="str">
        <f ca="1">IFERROR(__xludf.DUMMYFUNCTION("IFERROR(VLOOKUP(E758&amp;F758,IMPORTRANGE(""https://docs.google.com/spreadsheets/d/1Uw7-A9f9R21vMXxHZFNpYNeKFtG8_yji4HS352LGlSQ/edit?pli=1#gid=0"",""1_ACUM!A4:S""),12,FALSE))"),"")</f>
        <v/>
      </c>
      <c r="AY741" s="43" t="str">
        <f ca="1">IFERROR(__xludf.DUMMYFUNCTION("IFERROR(VLOOKUP(E758&amp;F758,IMPORTRANGE(""https://docs.google.com/spreadsheets/d/1Uw7-A9f9R21vMXxHZFNpYNeKFtG8_yji4HS352LGlSQ/edit?pli=1#gid=0"",""1_ACUM!A4:S""),13,FALSE))"),"")</f>
        <v/>
      </c>
      <c r="AZ741" s="43" t="str">
        <f ca="1">IFERROR(__xludf.DUMMYFUNCTION("IFERROR(VLOOKUP(E758&amp;F758,IMPORTRANGE(""https://docs.google.com/spreadsheets/d/1Uw7-A9f9R21vMXxHZFNpYNeKFtG8_yji4HS352LGlSQ/edit?pli=1#gid=0"",""1_ACUM!A4:S""),14,FALSE))"),"")</f>
        <v/>
      </c>
      <c r="BA741" s="43" t="str">
        <f ca="1">IFERROR(__xludf.DUMMYFUNCTION("IFERROR(VLOOKUP(E758&amp;F758,IMPORTRANGE(""https://docs.google.com/spreadsheets/d/1Uw7-A9f9R21vMXxHZFNpYNeKFtG8_yji4HS352LGlSQ/edit?pli=1#gid=0"",""1_ACUM!A4:S""),15,FALSE))"),"")</f>
        <v/>
      </c>
      <c r="BB741" s="43" t="str">
        <f ca="1">IFERROR(__xludf.DUMMYFUNCTION("IFERROR(VLOOKUP(E758&amp;F758,IMPORTRANGE(""https://docs.google.com/spreadsheets/d/1Uw7-A9f9R21vMXxHZFNpYNeKFtG8_yji4HS352LGlSQ/edit?pli=1#gid=0"",""1_ACUM!A4:S""),16,FALSE))"),"")</f>
        <v/>
      </c>
      <c r="BC741" s="43" t="str">
        <f ca="1">IFERROR(__xludf.DUMMYFUNCTION("IFERROR(VLOOKUP(E758&amp;F758,IMPORTRANGE(""https://docs.google.com/spreadsheets/d/1Uw7-A9f9R21vMXxHZFNpYNeKFtG8_yji4HS352LGlSQ/edit?pli=1#gid=0"",""1_ACUM!A4:S""),17,FALSE))"),"")</f>
        <v/>
      </c>
      <c r="BD741" s="44" t="str">
        <f ca="1">IFERROR(__xludf.DUMMYFUNCTION("IFERROR(VLOOKUP(E758&amp;F758,IMPORTRANGE(""https://docs.google.com/spreadsheets/d/1Uw7-A9f9R21vMXxHZFNpYNeKFtG8_yji4HS352LGlSQ/edit?pli=1#gid=0"",""1_ACUM!A4:S""),18,FALSE))"),"")</f>
        <v/>
      </c>
      <c r="BE741" s="44" t="str">
        <f ca="1">IFERROR(__xludf.DUMMYFUNCTION("IFERROR(VLOOKUP(E758&amp;F758,IMPORTRANGE(""https://docs.google.com/spreadsheets/d/1Uw7-A9f9R21vMXxHZFNpYNeKFtG8_yji4HS352LGlSQ/edit?pli=1#gid=0"",""1_ACUM!A4:S""),19,FALSE))"),"")</f>
        <v/>
      </c>
      <c r="BF741" s="44" t="str">
        <f ca="1">IFERROR(__xludf.DUMMYFUNCTION("IFERROR(VLOOKUP(F758,IMPORTRANGE(""https://docs.google.com/spreadsheets/d/1Kvs4KS76FHFqLFIZfrDMff4kP08nblUkihrxltoGBjg/edit#gid=934712705"",""ESENCIAL!A6:BG""),5,FALSE))"),"")</f>
        <v/>
      </c>
      <c r="BG741" s="44" t="str">
        <f t="shared" si="41"/>
        <v/>
      </c>
      <c r="BH741" s="41" t="str">
        <f t="shared" si="42"/>
        <v/>
      </c>
      <c r="BI741" s="41" t="str">
        <f ca="1">IFERROR(__xludf.DUMMYFUNCTION("IFERROR(VLOOKUP(F758,IMPORTRANGE(""https://docs.google.com/spreadsheets/d/1Kvs4KS76FHFqLFIZfrDMff4kP08nblUkihrxltoGBjg/edit#gid=934712705"",""ESENCIAL!A6:BG""),18,FALSE))"),"")</f>
        <v/>
      </c>
      <c r="BJ741" s="19" t="str">
        <f t="shared" si="43"/>
        <v/>
      </c>
      <c r="BK741" s="41"/>
      <c r="BL741" s="41"/>
    </row>
    <row r="742" spans="1:64" ht="15">
      <c r="A742" s="4"/>
      <c r="B742" s="4"/>
      <c r="G742" s="5" t="str">
        <f ca="1">IFERROR(__xludf.DUMMYFUNCTION("IFERROR(VLOOKUP(F759,IMPORTRANGE(""https://docs.google.com/spreadsheets/d/1Kvs4KS76FHFqLFIZfrDMff4kP08nblUkihrxltoGBjg/edit#gid=934712705"",""ESENCIAL!A6:BG""),3,FALSE))"),"")</f>
        <v/>
      </c>
      <c r="H742" s="5" t="str">
        <f ca="1">IFERROR(__xludf.DUMMYFUNCTION("IFERROR(VLOOKUP(F759,IMPORTRANGE(""https://docs.google.com/spreadsheets/d/1Kvs4KS76FHFqLFIZfrDMff4kP08nblUkihrxltoGBjg/edit#gid=934712705"",""ESENCIAL!A6:BG""),8,FALSE))"),"")</f>
        <v/>
      </c>
      <c r="L742" s="287"/>
      <c r="S742"/>
      <c r="AU742" s="41" t="str">
        <f t="shared" si="40"/>
        <v/>
      </c>
      <c r="AV742" s="5" t="str">
        <f ca="1">IFERROR(__xludf.DUMMYFUNCTION("IFERROR(VLOOKUP(E759&amp;F759,IMPORTRANGE(""https://docs.google.com/spreadsheets/d/1Uw7-A9f9R21vMXxHZFNpYNeKFtG8_yji4HS352LGlSQ/edit?pli=1#gid=0"",""1_ACUM!A4:S""),11,FALSE))"),"")</f>
        <v/>
      </c>
      <c r="AW742" s="42" t="str">
        <f ca="1">IFERROR(__xludf.DUMMYFUNCTION("IFERROR(VLOOKUP(F759,IMPORTRANGE(""https://docs.google.com/spreadsheets/d/1Kvs4KS76FHFqLFIZfrDMff4kP08nblUkihrxltoGBjg/edit#gid=934712705"",""ESENCIAL!A6:BG""),15,FALSE))"),"")</f>
        <v/>
      </c>
      <c r="AX742" s="21" t="str">
        <f ca="1">IFERROR(__xludf.DUMMYFUNCTION("IFERROR(VLOOKUP(E759&amp;F759,IMPORTRANGE(""https://docs.google.com/spreadsheets/d/1Uw7-A9f9R21vMXxHZFNpYNeKFtG8_yji4HS352LGlSQ/edit?pli=1#gid=0"",""1_ACUM!A4:S""),12,FALSE))"),"")</f>
        <v/>
      </c>
      <c r="AY742" s="43" t="str">
        <f ca="1">IFERROR(__xludf.DUMMYFUNCTION("IFERROR(VLOOKUP(E759&amp;F759,IMPORTRANGE(""https://docs.google.com/spreadsheets/d/1Uw7-A9f9R21vMXxHZFNpYNeKFtG8_yji4HS352LGlSQ/edit?pli=1#gid=0"",""1_ACUM!A4:S""),13,FALSE))"),"")</f>
        <v/>
      </c>
      <c r="AZ742" s="43" t="str">
        <f ca="1">IFERROR(__xludf.DUMMYFUNCTION("IFERROR(VLOOKUP(E759&amp;F759,IMPORTRANGE(""https://docs.google.com/spreadsheets/d/1Uw7-A9f9R21vMXxHZFNpYNeKFtG8_yji4HS352LGlSQ/edit?pli=1#gid=0"",""1_ACUM!A4:S""),14,FALSE))"),"")</f>
        <v/>
      </c>
      <c r="BA742" s="43" t="str">
        <f ca="1">IFERROR(__xludf.DUMMYFUNCTION("IFERROR(VLOOKUP(E759&amp;F759,IMPORTRANGE(""https://docs.google.com/spreadsheets/d/1Uw7-A9f9R21vMXxHZFNpYNeKFtG8_yji4HS352LGlSQ/edit?pli=1#gid=0"",""1_ACUM!A4:S""),15,FALSE))"),"")</f>
        <v/>
      </c>
      <c r="BB742" s="43" t="str">
        <f ca="1">IFERROR(__xludf.DUMMYFUNCTION("IFERROR(VLOOKUP(E759&amp;F759,IMPORTRANGE(""https://docs.google.com/spreadsheets/d/1Uw7-A9f9R21vMXxHZFNpYNeKFtG8_yji4HS352LGlSQ/edit?pli=1#gid=0"",""1_ACUM!A4:S""),16,FALSE))"),"")</f>
        <v/>
      </c>
      <c r="BC742" s="43" t="str">
        <f ca="1">IFERROR(__xludf.DUMMYFUNCTION("IFERROR(VLOOKUP(E759&amp;F759,IMPORTRANGE(""https://docs.google.com/spreadsheets/d/1Uw7-A9f9R21vMXxHZFNpYNeKFtG8_yji4HS352LGlSQ/edit?pli=1#gid=0"",""1_ACUM!A4:S""),17,FALSE))"),"")</f>
        <v/>
      </c>
      <c r="BD742" s="44" t="str">
        <f ca="1">IFERROR(__xludf.DUMMYFUNCTION("IFERROR(VLOOKUP(E759&amp;F759,IMPORTRANGE(""https://docs.google.com/spreadsheets/d/1Uw7-A9f9R21vMXxHZFNpYNeKFtG8_yji4HS352LGlSQ/edit?pli=1#gid=0"",""1_ACUM!A4:S""),18,FALSE))"),"")</f>
        <v/>
      </c>
      <c r="BE742" s="44" t="str">
        <f ca="1">IFERROR(__xludf.DUMMYFUNCTION("IFERROR(VLOOKUP(E759&amp;F759,IMPORTRANGE(""https://docs.google.com/spreadsheets/d/1Uw7-A9f9R21vMXxHZFNpYNeKFtG8_yji4HS352LGlSQ/edit?pli=1#gid=0"",""1_ACUM!A4:S""),19,FALSE))"),"")</f>
        <v/>
      </c>
      <c r="BF742" s="44" t="str">
        <f ca="1">IFERROR(__xludf.DUMMYFUNCTION("IFERROR(VLOOKUP(F759,IMPORTRANGE(""https://docs.google.com/spreadsheets/d/1Kvs4KS76FHFqLFIZfrDMff4kP08nblUkihrxltoGBjg/edit#gid=934712705"",""ESENCIAL!A6:BG""),5,FALSE))"),"")</f>
        <v/>
      </c>
      <c r="BG742" s="44" t="str">
        <f t="shared" si="41"/>
        <v/>
      </c>
      <c r="BH742" s="41" t="str">
        <f t="shared" si="42"/>
        <v/>
      </c>
      <c r="BI742" s="41" t="str">
        <f ca="1">IFERROR(__xludf.DUMMYFUNCTION("IFERROR(VLOOKUP(F759,IMPORTRANGE(""https://docs.google.com/spreadsheets/d/1Kvs4KS76FHFqLFIZfrDMff4kP08nblUkihrxltoGBjg/edit#gid=934712705"",""ESENCIAL!A6:BG""),18,FALSE))"),"")</f>
        <v/>
      </c>
      <c r="BJ742" s="19" t="str">
        <f t="shared" si="43"/>
        <v/>
      </c>
      <c r="BK742" s="41"/>
      <c r="BL742" s="41"/>
    </row>
    <row r="743" spans="1:64" ht="15">
      <c r="A743" s="4"/>
      <c r="B743" s="4"/>
      <c r="G743" s="5" t="str">
        <f ca="1">IFERROR(__xludf.DUMMYFUNCTION("IFERROR(VLOOKUP(F760,IMPORTRANGE(""https://docs.google.com/spreadsheets/d/1Kvs4KS76FHFqLFIZfrDMff4kP08nblUkihrxltoGBjg/edit#gid=934712705"",""ESENCIAL!A6:BG""),3,FALSE))"),"")</f>
        <v/>
      </c>
      <c r="H743" s="5" t="str">
        <f ca="1">IFERROR(__xludf.DUMMYFUNCTION("IFERROR(VLOOKUP(F760,IMPORTRANGE(""https://docs.google.com/spreadsheets/d/1Kvs4KS76FHFqLFIZfrDMff4kP08nblUkihrxltoGBjg/edit#gid=934712705"",""ESENCIAL!A6:BG""),8,FALSE))"),"")</f>
        <v/>
      </c>
      <c r="L743" s="287"/>
      <c r="S743"/>
      <c r="AU743" s="41" t="str">
        <f t="shared" si="40"/>
        <v/>
      </c>
      <c r="AV743" s="5" t="str">
        <f ca="1">IFERROR(__xludf.DUMMYFUNCTION("IFERROR(VLOOKUP(E760&amp;F760,IMPORTRANGE(""https://docs.google.com/spreadsheets/d/1Uw7-A9f9R21vMXxHZFNpYNeKFtG8_yji4HS352LGlSQ/edit?pli=1#gid=0"",""1_ACUM!A4:S""),11,FALSE))"),"")</f>
        <v/>
      </c>
      <c r="AW743" s="42" t="str">
        <f ca="1">IFERROR(__xludf.DUMMYFUNCTION("IFERROR(VLOOKUP(F760,IMPORTRANGE(""https://docs.google.com/spreadsheets/d/1Kvs4KS76FHFqLFIZfrDMff4kP08nblUkihrxltoGBjg/edit#gid=934712705"",""ESENCIAL!A6:BG""),15,FALSE))"),"")</f>
        <v/>
      </c>
      <c r="AX743" s="21" t="str">
        <f ca="1">IFERROR(__xludf.DUMMYFUNCTION("IFERROR(VLOOKUP(E760&amp;F760,IMPORTRANGE(""https://docs.google.com/spreadsheets/d/1Uw7-A9f9R21vMXxHZFNpYNeKFtG8_yji4HS352LGlSQ/edit?pli=1#gid=0"",""1_ACUM!A4:S""),12,FALSE))"),"")</f>
        <v/>
      </c>
      <c r="AY743" s="43" t="str">
        <f ca="1">IFERROR(__xludf.DUMMYFUNCTION("IFERROR(VLOOKUP(E760&amp;F760,IMPORTRANGE(""https://docs.google.com/spreadsheets/d/1Uw7-A9f9R21vMXxHZFNpYNeKFtG8_yji4HS352LGlSQ/edit?pli=1#gid=0"",""1_ACUM!A4:S""),13,FALSE))"),"")</f>
        <v/>
      </c>
      <c r="AZ743" s="43" t="str">
        <f ca="1">IFERROR(__xludf.DUMMYFUNCTION("IFERROR(VLOOKUP(E760&amp;F760,IMPORTRANGE(""https://docs.google.com/spreadsheets/d/1Uw7-A9f9R21vMXxHZFNpYNeKFtG8_yji4HS352LGlSQ/edit?pli=1#gid=0"",""1_ACUM!A4:S""),14,FALSE))"),"")</f>
        <v/>
      </c>
      <c r="BA743" s="43" t="str">
        <f ca="1">IFERROR(__xludf.DUMMYFUNCTION("IFERROR(VLOOKUP(E760&amp;F760,IMPORTRANGE(""https://docs.google.com/spreadsheets/d/1Uw7-A9f9R21vMXxHZFNpYNeKFtG8_yji4HS352LGlSQ/edit?pli=1#gid=0"",""1_ACUM!A4:S""),15,FALSE))"),"")</f>
        <v/>
      </c>
      <c r="BB743" s="43" t="str">
        <f ca="1">IFERROR(__xludf.DUMMYFUNCTION("IFERROR(VLOOKUP(E760&amp;F760,IMPORTRANGE(""https://docs.google.com/spreadsheets/d/1Uw7-A9f9R21vMXxHZFNpYNeKFtG8_yji4HS352LGlSQ/edit?pli=1#gid=0"",""1_ACUM!A4:S""),16,FALSE))"),"")</f>
        <v/>
      </c>
      <c r="BC743" s="43" t="str">
        <f ca="1">IFERROR(__xludf.DUMMYFUNCTION("IFERROR(VLOOKUP(E760&amp;F760,IMPORTRANGE(""https://docs.google.com/spreadsheets/d/1Uw7-A9f9R21vMXxHZFNpYNeKFtG8_yji4HS352LGlSQ/edit?pli=1#gid=0"",""1_ACUM!A4:S""),17,FALSE))"),"")</f>
        <v/>
      </c>
      <c r="BD743" s="44" t="str">
        <f ca="1">IFERROR(__xludf.DUMMYFUNCTION("IFERROR(VLOOKUP(E760&amp;F760,IMPORTRANGE(""https://docs.google.com/spreadsheets/d/1Uw7-A9f9R21vMXxHZFNpYNeKFtG8_yji4HS352LGlSQ/edit?pli=1#gid=0"",""1_ACUM!A4:S""),18,FALSE))"),"")</f>
        <v/>
      </c>
      <c r="BE743" s="44" t="str">
        <f ca="1">IFERROR(__xludf.DUMMYFUNCTION("IFERROR(VLOOKUP(E760&amp;F760,IMPORTRANGE(""https://docs.google.com/spreadsheets/d/1Uw7-A9f9R21vMXxHZFNpYNeKFtG8_yji4HS352LGlSQ/edit?pli=1#gid=0"",""1_ACUM!A4:S""),19,FALSE))"),"")</f>
        <v/>
      </c>
      <c r="BF743" s="44" t="str">
        <f ca="1">IFERROR(__xludf.DUMMYFUNCTION("IFERROR(VLOOKUP(F760,IMPORTRANGE(""https://docs.google.com/spreadsheets/d/1Kvs4KS76FHFqLFIZfrDMff4kP08nblUkihrxltoGBjg/edit#gid=934712705"",""ESENCIAL!A6:BG""),5,FALSE))"),"")</f>
        <v/>
      </c>
      <c r="BG743" s="44" t="str">
        <f t="shared" si="41"/>
        <v/>
      </c>
      <c r="BH743" s="41" t="str">
        <f t="shared" si="42"/>
        <v/>
      </c>
      <c r="BI743" s="41" t="str">
        <f ca="1">IFERROR(__xludf.DUMMYFUNCTION("IFERROR(VLOOKUP(F760,IMPORTRANGE(""https://docs.google.com/spreadsheets/d/1Kvs4KS76FHFqLFIZfrDMff4kP08nblUkihrxltoGBjg/edit#gid=934712705"",""ESENCIAL!A6:BG""),18,FALSE))"),"")</f>
        <v/>
      </c>
      <c r="BJ743" s="19" t="str">
        <f t="shared" si="43"/>
        <v/>
      </c>
      <c r="BK743" s="41"/>
      <c r="BL743" s="41"/>
    </row>
    <row r="744" spans="1:64" ht="15">
      <c r="A744" s="4"/>
      <c r="B744" s="4"/>
      <c r="G744" s="5" t="str">
        <f ca="1">IFERROR(__xludf.DUMMYFUNCTION("IFERROR(VLOOKUP(F761,IMPORTRANGE(""https://docs.google.com/spreadsheets/d/1Kvs4KS76FHFqLFIZfrDMff4kP08nblUkihrxltoGBjg/edit#gid=934712705"",""ESENCIAL!A6:BG""),3,FALSE))"),"")</f>
        <v/>
      </c>
      <c r="H744" s="5" t="str">
        <f ca="1">IFERROR(__xludf.DUMMYFUNCTION("IFERROR(VLOOKUP(F761,IMPORTRANGE(""https://docs.google.com/spreadsheets/d/1Kvs4KS76FHFqLFIZfrDMff4kP08nblUkihrxltoGBjg/edit#gid=934712705"",""ESENCIAL!A6:BG""),8,FALSE))"),"")</f>
        <v/>
      </c>
      <c r="L744" s="287"/>
      <c r="S744"/>
      <c r="AU744" s="41" t="str">
        <f t="shared" si="40"/>
        <v/>
      </c>
      <c r="AV744" s="5" t="str">
        <f ca="1">IFERROR(__xludf.DUMMYFUNCTION("IFERROR(VLOOKUP(E761&amp;F761,IMPORTRANGE(""https://docs.google.com/spreadsheets/d/1Uw7-A9f9R21vMXxHZFNpYNeKFtG8_yji4HS352LGlSQ/edit?pli=1#gid=0"",""1_ACUM!A4:S""),11,FALSE))"),"")</f>
        <v/>
      </c>
      <c r="AW744" s="42" t="str">
        <f ca="1">IFERROR(__xludf.DUMMYFUNCTION("IFERROR(VLOOKUP(F761,IMPORTRANGE(""https://docs.google.com/spreadsheets/d/1Kvs4KS76FHFqLFIZfrDMff4kP08nblUkihrxltoGBjg/edit#gid=934712705"",""ESENCIAL!A6:BG""),15,FALSE))"),"")</f>
        <v/>
      </c>
      <c r="AX744" s="21" t="str">
        <f ca="1">IFERROR(__xludf.DUMMYFUNCTION("IFERROR(VLOOKUP(E761&amp;F761,IMPORTRANGE(""https://docs.google.com/spreadsheets/d/1Uw7-A9f9R21vMXxHZFNpYNeKFtG8_yji4HS352LGlSQ/edit?pli=1#gid=0"",""1_ACUM!A4:S""),12,FALSE))"),"")</f>
        <v/>
      </c>
      <c r="AY744" s="43" t="str">
        <f ca="1">IFERROR(__xludf.DUMMYFUNCTION("IFERROR(VLOOKUP(E761&amp;F761,IMPORTRANGE(""https://docs.google.com/spreadsheets/d/1Uw7-A9f9R21vMXxHZFNpYNeKFtG8_yji4HS352LGlSQ/edit?pli=1#gid=0"",""1_ACUM!A4:S""),13,FALSE))"),"")</f>
        <v/>
      </c>
      <c r="AZ744" s="43" t="str">
        <f ca="1">IFERROR(__xludf.DUMMYFUNCTION("IFERROR(VLOOKUP(E761&amp;F761,IMPORTRANGE(""https://docs.google.com/spreadsheets/d/1Uw7-A9f9R21vMXxHZFNpYNeKFtG8_yji4HS352LGlSQ/edit?pli=1#gid=0"",""1_ACUM!A4:S""),14,FALSE))"),"")</f>
        <v/>
      </c>
      <c r="BA744" s="43" t="str">
        <f ca="1">IFERROR(__xludf.DUMMYFUNCTION("IFERROR(VLOOKUP(E761&amp;F761,IMPORTRANGE(""https://docs.google.com/spreadsheets/d/1Uw7-A9f9R21vMXxHZFNpYNeKFtG8_yji4HS352LGlSQ/edit?pli=1#gid=0"",""1_ACUM!A4:S""),15,FALSE))"),"")</f>
        <v/>
      </c>
      <c r="BB744" s="43" t="str">
        <f ca="1">IFERROR(__xludf.DUMMYFUNCTION("IFERROR(VLOOKUP(E761&amp;F761,IMPORTRANGE(""https://docs.google.com/spreadsheets/d/1Uw7-A9f9R21vMXxHZFNpYNeKFtG8_yji4HS352LGlSQ/edit?pli=1#gid=0"",""1_ACUM!A4:S""),16,FALSE))"),"")</f>
        <v/>
      </c>
      <c r="BC744" s="43" t="str">
        <f ca="1">IFERROR(__xludf.DUMMYFUNCTION("IFERROR(VLOOKUP(E761&amp;F761,IMPORTRANGE(""https://docs.google.com/spreadsheets/d/1Uw7-A9f9R21vMXxHZFNpYNeKFtG8_yji4HS352LGlSQ/edit?pli=1#gid=0"",""1_ACUM!A4:S""),17,FALSE))"),"")</f>
        <v/>
      </c>
      <c r="BD744" s="44" t="str">
        <f ca="1">IFERROR(__xludf.DUMMYFUNCTION("IFERROR(VLOOKUP(E761&amp;F761,IMPORTRANGE(""https://docs.google.com/spreadsheets/d/1Uw7-A9f9R21vMXxHZFNpYNeKFtG8_yji4HS352LGlSQ/edit?pli=1#gid=0"",""1_ACUM!A4:S""),18,FALSE))"),"")</f>
        <v/>
      </c>
      <c r="BE744" s="44" t="str">
        <f ca="1">IFERROR(__xludf.DUMMYFUNCTION("IFERROR(VLOOKUP(E761&amp;F761,IMPORTRANGE(""https://docs.google.com/spreadsheets/d/1Uw7-A9f9R21vMXxHZFNpYNeKFtG8_yji4HS352LGlSQ/edit?pli=1#gid=0"",""1_ACUM!A4:S""),19,FALSE))"),"")</f>
        <v/>
      </c>
      <c r="BF744" s="44" t="str">
        <f ca="1">IFERROR(__xludf.DUMMYFUNCTION("IFERROR(VLOOKUP(F761,IMPORTRANGE(""https://docs.google.com/spreadsheets/d/1Kvs4KS76FHFqLFIZfrDMff4kP08nblUkihrxltoGBjg/edit#gid=934712705"",""ESENCIAL!A6:BG""),5,FALSE))"),"")</f>
        <v/>
      </c>
      <c r="BG744" s="44" t="str">
        <f t="shared" si="41"/>
        <v/>
      </c>
      <c r="BH744" s="41" t="str">
        <f t="shared" si="42"/>
        <v/>
      </c>
      <c r="BI744" s="41" t="str">
        <f ca="1">IFERROR(__xludf.DUMMYFUNCTION("IFERROR(VLOOKUP(F761,IMPORTRANGE(""https://docs.google.com/spreadsheets/d/1Kvs4KS76FHFqLFIZfrDMff4kP08nblUkihrxltoGBjg/edit#gid=934712705"",""ESENCIAL!A6:BG""),18,FALSE))"),"")</f>
        <v/>
      </c>
      <c r="BJ744" s="19" t="str">
        <f t="shared" si="43"/>
        <v/>
      </c>
      <c r="BK744" s="41"/>
      <c r="BL744" s="41"/>
    </row>
    <row r="745" spans="1:64" ht="15">
      <c r="A745" s="4"/>
      <c r="B745" s="4"/>
      <c r="G745" s="5" t="str">
        <f ca="1">IFERROR(__xludf.DUMMYFUNCTION("IFERROR(VLOOKUP(F762,IMPORTRANGE(""https://docs.google.com/spreadsheets/d/1Kvs4KS76FHFqLFIZfrDMff4kP08nblUkihrxltoGBjg/edit#gid=934712705"",""ESENCIAL!A6:BG""),3,FALSE))"),"")</f>
        <v/>
      </c>
      <c r="H745" s="5" t="str">
        <f ca="1">IFERROR(__xludf.DUMMYFUNCTION("IFERROR(VLOOKUP(F762,IMPORTRANGE(""https://docs.google.com/spreadsheets/d/1Kvs4KS76FHFqLFIZfrDMff4kP08nblUkihrxltoGBjg/edit#gid=934712705"",""ESENCIAL!A6:BG""),8,FALSE))"),"")</f>
        <v/>
      </c>
      <c r="L745" s="287"/>
      <c r="S745"/>
      <c r="AU745" s="41" t="str">
        <f t="shared" si="40"/>
        <v/>
      </c>
      <c r="AV745" s="5" t="str">
        <f ca="1">IFERROR(__xludf.DUMMYFUNCTION("IFERROR(VLOOKUP(E762&amp;F762,IMPORTRANGE(""https://docs.google.com/spreadsheets/d/1Uw7-A9f9R21vMXxHZFNpYNeKFtG8_yji4HS352LGlSQ/edit?pli=1#gid=0"",""1_ACUM!A4:S""),11,FALSE))"),"")</f>
        <v/>
      </c>
      <c r="AW745" s="42" t="str">
        <f ca="1">IFERROR(__xludf.DUMMYFUNCTION("IFERROR(VLOOKUP(F762,IMPORTRANGE(""https://docs.google.com/spreadsheets/d/1Kvs4KS76FHFqLFIZfrDMff4kP08nblUkihrxltoGBjg/edit#gid=934712705"",""ESENCIAL!A6:BG""),15,FALSE))"),"")</f>
        <v/>
      </c>
      <c r="AX745" s="21" t="str">
        <f ca="1">IFERROR(__xludf.DUMMYFUNCTION("IFERROR(VLOOKUP(E762&amp;F762,IMPORTRANGE(""https://docs.google.com/spreadsheets/d/1Uw7-A9f9R21vMXxHZFNpYNeKFtG8_yji4HS352LGlSQ/edit?pli=1#gid=0"",""1_ACUM!A4:S""),12,FALSE))"),"")</f>
        <v/>
      </c>
      <c r="AY745" s="43" t="str">
        <f ca="1">IFERROR(__xludf.DUMMYFUNCTION("IFERROR(VLOOKUP(E762&amp;F762,IMPORTRANGE(""https://docs.google.com/spreadsheets/d/1Uw7-A9f9R21vMXxHZFNpYNeKFtG8_yji4HS352LGlSQ/edit?pli=1#gid=0"",""1_ACUM!A4:S""),13,FALSE))"),"")</f>
        <v/>
      </c>
      <c r="AZ745" s="43" t="str">
        <f ca="1">IFERROR(__xludf.DUMMYFUNCTION("IFERROR(VLOOKUP(E762&amp;F762,IMPORTRANGE(""https://docs.google.com/spreadsheets/d/1Uw7-A9f9R21vMXxHZFNpYNeKFtG8_yji4HS352LGlSQ/edit?pli=1#gid=0"",""1_ACUM!A4:S""),14,FALSE))"),"")</f>
        <v/>
      </c>
      <c r="BA745" s="43" t="str">
        <f ca="1">IFERROR(__xludf.DUMMYFUNCTION("IFERROR(VLOOKUP(E762&amp;F762,IMPORTRANGE(""https://docs.google.com/spreadsheets/d/1Uw7-A9f9R21vMXxHZFNpYNeKFtG8_yji4HS352LGlSQ/edit?pli=1#gid=0"",""1_ACUM!A4:S""),15,FALSE))"),"")</f>
        <v/>
      </c>
      <c r="BB745" s="43" t="str">
        <f ca="1">IFERROR(__xludf.DUMMYFUNCTION("IFERROR(VLOOKUP(E762&amp;F762,IMPORTRANGE(""https://docs.google.com/spreadsheets/d/1Uw7-A9f9R21vMXxHZFNpYNeKFtG8_yji4HS352LGlSQ/edit?pli=1#gid=0"",""1_ACUM!A4:S""),16,FALSE))"),"")</f>
        <v/>
      </c>
      <c r="BC745" s="43" t="str">
        <f ca="1">IFERROR(__xludf.DUMMYFUNCTION("IFERROR(VLOOKUP(E762&amp;F762,IMPORTRANGE(""https://docs.google.com/spreadsheets/d/1Uw7-A9f9R21vMXxHZFNpYNeKFtG8_yji4HS352LGlSQ/edit?pli=1#gid=0"",""1_ACUM!A4:S""),17,FALSE))"),"")</f>
        <v/>
      </c>
      <c r="BD745" s="44" t="str">
        <f ca="1">IFERROR(__xludf.DUMMYFUNCTION("IFERROR(VLOOKUP(E762&amp;F762,IMPORTRANGE(""https://docs.google.com/spreadsheets/d/1Uw7-A9f9R21vMXxHZFNpYNeKFtG8_yji4HS352LGlSQ/edit?pli=1#gid=0"",""1_ACUM!A4:S""),18,FALSE))"),"")</f>
        <v/>
      </c>
      <c r="BE745" s="44" t="str">
        <f ca="1">IFERROR(__xludf.DUMMYFUNCTION("IFERROR(VLOOKUP(E762&amp;F762,IMPORTRANGE(""https://docs.google.com/spreadsheets/d/1Uw7-A9f9R21vMXxHZFNpYNeKFtG8_yji4HS352LGlSQ/edit?pli=1#gid=0"",""1_ACUM!A4:S""),19,FALSE))"),"")</f>
        <v/>
      </c>
      <c r="BF745" s="44" t="str">
        <f ca="1">IFERROR(__xludf.DUMMYFUNCTION("IFERROR(VLOOKUP(F762,IMPORTRANGE(""https://docs.google.com/spreadsheets/d/1Kvs4KS76FHFqLFIZfrDMff4kP08nblUkihrxltoGBjg/edit#gid=934712705"",""ESENCIAL!A6:BG""),5,FALSE))"),"")</f>
        <v/>
      </c>
      <c r="BG745" s="44" t="str">
        <f t="shared" si="41"/>
        <v/>
      </c>
      <c r="BH745" s="41" t="str">
        <f t="shared" si="42"/>
        <v/>
      </c>
      <c r="BI745" s="41" t="str">
        <f ca="1">IFERROR(__xludf.DUMMYFUNCTION("IFERROR(VLOOKUP(F762,IMPORTRANGE(""https://docs.google.com/spreadsheets/d/1Kvs4KS76FHFqLFIZfrDMff4kP08nblUkihrxltoGBjg/edit#gid=934712705"",""ESENCIAL!A6:BG""),18,FALSE))"),"")</f>
        <v/>
      </c>
      <c r="BJ745" s="19" t="str">
        <f t="shared" si="43"/>
        <v/>
      </c>
      <c r="BK745" s="41"/>
      <c r="BL745" s="41"/>
    </row>
    <row r="746" spans="1:64" ht="15">
      <c r="A746" s="4"/>
      <c r="B746" s="4"/>
      <c r="G746" s="5" t="str">
        <f ca="1">IFERROR(__xludf.DUMMYFUNCTION("IFERROR(VLOOKUP(F763,IMPORTRANGE(""https://docs.google.com/spreadsheets/d/1Kvs4KS76FHFqLFIZfrDMff4kP08nblUkihrxltoGBjg/edit#gid=934712705"",""ESENCIAL!A6:BG""),3,FALSE))"),"")</f>
        <v/>
      </c>
      <c r="H746" s="5" t="str">
        <f ca="1">IFERROR(__xludf.DUMMYFUNCTION("IFERROR(VLOOKUP(F763,IMPORTRANGE(""https://docs.google.com/spreadsheets/d/1Kvs4KS76FHFqLFIZfrDMff4kP08nblUkihrxltoGBjg/edit#gid=934712705"",""ESENCIAL!A6:BG""),8,FALSE))"),"")</f>
        <v/>
      </c>
      <c r="L746" s="287"/>
      <c r="S746"/>
      <c r="AU746" s="41" t="str">
        <f t="shared" si="40"/>
        <v/>
      </c>
      <c r="AV746" s="5" t="str">
        <f ca="1">IFERROR(__xludf.DUMMYFUNCTION("IFERROR(VLOOKUP(E763&amp;F763,IMPORTRANGE(""https://docs.google.com/spreadsheets/d/1Uw7-A9f9R21vMXxHZFNpYNeKFtG8_yji4HS352LGlSQ/edit?pli=1#gid=0"",""1_ACUM!A4:S""),11,FALSE))"),"")</f>
        <v/>
      </c>
      <c r="AW746" s="42" t="str">
        <f ca="1">IFERROR(__xludf.DUMMYFUNCTION("IFERROR(VLOOKUP(F763,IMPORTRANGE(""https://docs.google.com/spreadsheets/d/1Kvs4KS76FHFqLFIZfrDMff4kP08nblUkihrxltoGBjg/edit#gid=934712705"",""ESENCIAL!A6:BG""),15,FALSE))"),"")</f>
        <v/>
      </c>
      <c r="AX746" s="21" t="str">
        <f ca="1">IFERROR(__xludf.DUMMYFUNCTION("IFERROR(VLOOKUP(E763&amp;F763,IMPORTRANGE(""https://docs.google.com/spreadsheets/d/1Uw7-A9f9R21vMXxHZFNpYNeKFtG8_yji4HS352LGlSQ/edit?pli=1#gid=0"",""1_ACUM!A4:S""),12,FALSE))"),"")</f>
        <v/>
      </c>
      <c r="AY746" s="43" t="str">
        <f ca="1">IFERROR(__xludf.DUMMYFUNCTION("IFERROR(VLOOKUP(E763&amp;F763,IMPORTRANGE(""https://docs.google.com/spreadsheets/d/1Uw7-A9f9R21vMXxHZFNpYNeKFtG8_yji4HS352LGlSQ/edit?pli=1#gid=0"",""1_ACUM!A4:S""),13,FALSE))"),"")</f>
        <v/>
      </c>
      <c r="AZ746" s="43" t="str">
        <f ca="1">IFERROR(__xludf.DUMMYFUNCTION("IFERROR(VLOOKUP(E763&amp;F763,IMPORTRANGE(""https://docs.google.com/spreadsheets/d/1Uw7-A9f9R21vMXxHZFNpYNeKFtG8_yji4HS352LGlSQ/edit?pli=1#gid=0"",""1_ACUM!A4:S""),14,FALSE))"),"")</f>
        <v/>
      </c>
      <c r="BA746" s="43" t="str">
        <f ca="1">IFERROR(__xludf.DUMMYFUNCTION("IFERROR(VLOOKUP(E763&amp;F763,IMPORTRANGE(""https://docs.google.com/spreadsheets/d/1Uw7-A9f9R21vMXxHZFNpYNeKFtG8_yji4HS352LGlSQ/edit?pli=1#gid=0"",""1_ACUM!A4:S""),15,FALSE))"),"")</f>
        <v/>
      </c>
      <c r="BB746" s="43" t="str">
        <f ca="1">IFERROR(__xludf.DUMMYFUNCTION("IFERROR(VLOOKUP(E763&amp;F763,IMPORTRANGE(""https://docs.google.com/spreadsheets/d/1Uw7-A9f9R21vMXxHZFNpYNeKFtG8_yji4HS352LGlSQ/edit?pli=1#gid=0"",""1_ACUM!A4:S""),16,FALSE))"),"")</f>
        <v/>
      </c>
      <c r="BC746" s="43" t="str">
        <f ca="1">IFERROR(__xludf.DUMMYFUNCTION("IFERROR(VLOOKUP(E763&amp;F763,IMPORTRANGE(""https://docs.google.com/spreadsheets/d/1Uw7-A9f9R21vMXxHZFNpYNeKFtG8_yji4HS352LGlSQ/edit?pli=1#gid=0"",""1_ACUM!A4:S""),17,FALSE))"),"")</f>
        <v/>
      </c>
      <c r="BD746" s="44" t="str">
        <f ca="1">IFERROR(__xludf.DUMMYFUNCTION("IFERROR(VLOOKUP(E763&amp;F763,IMPORTRANGE(""https://docs.google.com/spreadsheets/d/1Uw7-A9f9R21vMXxHZFNpYNeKFtG8_yji4HS352LGlSQ/edit?pli=1#gid=0"",""1_ACUM!A4:S""),18,FALSE))"),"")</f>
        <v/>
      </c>
      <c r="BE746" s="44" t="str">
        <f ca="1">IFERROR(__xludf.DUMMYFUNCTION("IFERROR(VLOOKUP(E763&amp;F763,IMPORTRANGE(""https://docs.google.com/spreadsheets/d/1Uw7-A9f9R21vMXxHZFNpYNeKFtG8_yji4HS352LGlSQ/edit?pli=1#gid=0"",""1_ACUM!A4:S""),19,FALSE))"),"")</f>
        <v/>
      </c>
      <c r="BF746" s="44" t="str">
        <f ca="1">IFERROR(__xludf.DUMMYFUNCTION("IFERROR(VLOOKUP(F763,IMPORTRANGE(""https://docs.google.com/spreadsheets/d/1Kvs4KS76FHFqLFIZfrDMff4kP08nblUkihrxltoGBjg/edit#gid=934712705"",""ESENCIAL!A6:BG""),5,FALSE))"),"")</f>
        <v/>
      </c>
      <c r="BG746" s="44" t="str">
        <f t="shared" si="41"/>
        <v/>
      </c>
      <c r="BH746" s="41" t="str">
        <f t="shared" si="42"/>
        <v/>
      </c>
      <c r="BI746" s="41" t="str">
        <f ca="1">IFERROR(__xludf.DUMMYFUNCTION("IFERROR(VLOOKUP(F763,IMPORTRANGE(""https://docs.google.com/spreadsheets/d/1Kvs4KS76FHFqLFIZfrDMff4kP08nblUkihrxltoGBjg/edit#gid=934712705"",""ESENCIAL!A6:BG""),18,FALSE))"),"")</f>
        <v/>
      </c>
      <c r="BJ746" s="19" t="str">
        <f t="shared" si="43"/>
        <v/>
      </c>
      <c r="BK746" s="41"/>
      <c r="BL746" s="41"/>
    </row>
    <row r="747" spans="1:64" ht="15">
      <c r="A747" s="4"/>
      <c r="B747" s="4"/>
      <c r="G747" s="5" t="str">
        <f ca="1">IFERROR(__xludf.DUMMYFUNCTION("IFERROR(VLOOKUP(F764,IMPORTRANGE(""https://docs.google.com/spreadsheets/d/1Kvs4KS76FHFqLFIZfrDMff4kP08nblUkihrxltoGBjg/edit#gid=934712705"",""ESENCIAL!A6:BG""),3,FALSE))"),"")</f>
        <v/>
      </c>
      <c r="H747" s="5" t="str">
        <f ca="1">IFERROR(__xludf.DUMMYFUNCTION("IFERROR(VLOOKUP(F764,IMPORTRANGE(""https://docs.google.com/spreadsheets/d/1Kvs4KS76FHFqLFIZfrDMff4kP08nblUkihrxltoGBjg/edit#gid=934712705"",""ESENCIAL!A6:BG""),8,FALSE))"),"")</f>
        <v/>
      </c>
      <c r="L747" s="287"/>
      <c r="S747"/>
      <c r="AU747" s="41" t="str">
        <f t="shared" si="40"/>
        <v/>
      </c>
      <c r="AV747" s="5" t="str">
        <f ca="1">IFERROR(__xludf.DUMMYFUNCTION("IFERROR(VLOOKUP(E764&amp;F764,IMPORTRANGE(""https://docs.google.com/spreadsheets/d/1Uw7-A9f9R21vMXxHZFNpYNeKFtG8_yji4HS352LGlSQ/edit?pli=1#gid=0"",""1_ACUM!A4:S""),11,FALSE))"),"")</f>
        <v/>
      </c>
      <c r="AW747" s="42" t="str">
        <f ca="1">IFERROR(__xludf.DUMMYFUNCTION("IFERROR(VLOOKUP(F764,IMPORTRANGE(""https://docs.google.com/spreadsheets/d/1Kvs4KS76FHFqLFIZfrDMff4kP08nblUkihrxltoGBjg/edit#gid=934712705"",""ESENCIAL!A6:BG""),15,FALSE))"),"")</f>
        <v/>
      </c>
      <c r="AX747" s="21" t="str">
        <f ca="1">IFERROR(__xludf.DUMMYFUNCTION("IFERROR(VLOOKUP(E764&amp;F764,IMPORTRANGE(""https://docs.google.com/spreadsheets/d/1Uw7-A9f9R21vMXxHZFNpYNeKFtG8_yji4HS352LGlSQ/edit?pli=1#gid=0"",""1_ACUM!A4:S""),12,FALSE))"),"")</f>
        <v/>
      </c>
      <c r="AY747" s="43" t="str">
        <f ca="1">IFERROR(__xludf.DUMMYFUNCTION("IFERROR(VLOOKUP(E764&amp;F764,IMPORTRANGE(""https://docs.google.com/spreadsheets/d/1Uw7-A9f9R21vMXxHZFNpYNeKFtG8_yji4HS352LGlSQ/edit?pli=1#gid=0"",""1_ACUM!A4:S""),13,FALSE))"),"")</f>
        <v/>
      </c>
      <c r="AZ747" s="43" t="str">
        <f ca="1">IFERROR(__xludf.DUMMYFUNCTION("IFERROR(VLOOKUP(E764&amp;F764,IMPORTRANGE(""https://docs.google.com/spreadsheets/d/1Uw7-A9f9R21vMXxHZFNpYNeKFtG8_yji4HS352LGlSQ/edit?pli=1#gid=0"",""1_ACUM!A4:S""),14,FALSE))"),"")</f>
        <v/>
      </c>
      <c r="BA747" s="43" t="str">
        <f ca="1">IFERROR(__xludf.DUMMYFUNCTION("IFERROR(VLOOKUP(E764&amp;F764,IMPORTRANGE(""https://docs.google.com/spreadsheets/d/1Uw7-A9f9R21vMXxHZFNpYNeKFtG8_yji4HS352LGlSQ/edit?pli=1#gid=0"",""1_ACUM!A4:S""),15,FALSE))"),"")</f>
        <v/>
      </c>
      <c r="BB747" s="43" t="str">
        <f ca="1">IFERROR(__xludf.DUMMYFUNCTION("IFERROR(VLOOKUP(E764&amp;F764,IMPORTRANGE(""https://docs.google.com/spreadsheets/d/1Uw7-A9f9R21vMXxHZFNpYNeKFtG8_yji4HS352LGlSQ/edit?pli=1#gid=0"",""1_ACUM!A4:S""),16,FALSE))"),"")</f>
        <v/>
      </c>
      <c r="BC747" s="43" t="str">
        <f ca="1">IFERROR(__xludf.DUMMYFUNCTION("IFERROR(VLOOKUP(E764&amp;F764,IMPORTRANGE(""https://docs.google.com/spreadsheets/d/1Uw7-A9f9R21vMXxHZFNpYNeKFtG8_yji4HS352LGlSQ/edit?pli=1#gid=0"",""1_ACUM!A4:S""),17,FALSE))"),"")</f>
        <v/>
      </c>
      <c r="BD747" s="44" t="str">
        <f ca="1">IFERROR(__xludf.DUMMYFUNCTION("IFERROR(VLOOKUP(E764&amp;F764,IMPORTRANGE(""https://docs.google.com/spreadsheets/d/1Uw7-A9f9R21vMXxHZFNpYNeKFtG8_yji4HS352LGlSQ/edit?pli=1#gid=0"",""1_ACUM!A4:S""),18,FALSE))"),"")</f>
        <v/>
      </c>
      <c r="BE747" s="44" t="str">
        <f ca="1">IFERROR(__xludf.DUMMYFUNCTION("IFERROR(VLOOKUP(E764&amp;F764,IMPORTRANGE(""https://docs.google.com/spreadsheets/d/1Uw7-A9f9R21vMXxHZFNpYNeKFtG8_yji4HS352LGlSQ/edit?pli=1#gid=0"",""1_ACUM!A4:S""),19,FALSE))"),"")</f>
        <v/>
      </c>
      <c r="BF747" s="44" t="str">
        <f ca="1">IFERROR(__xludf.DUMMYFUNCTION("IFERROR(VLOOKUP(F764,IMPORTRANGE(""https://docs.google.com/spreadsheets/d/1Kvs4KS76FHFqLFIZfrDMff4kP08nblUkihrxltoGBjg/edit#gid=934712705"",""ESENCIAL!A6:BG""),5,FALSE))"),"")</f>
        <v/>
      </c>
      <c r="BG747" s="44" t="str">
        <f t="shared" si="41"/>
        <v/>
      </c>
      <c r="BH747" s="41" t="str">
        <f t="shared" si="42"/>
        <v/>
      </c>
      <c r="BI747" s="41" t="str">
        <f ca="1">IFERROR(__xludf.DUMMYFUNCTION("IFERROR(VLOOKUP(F764,IMPORTRANGE(""https://docs.google.com/spreadsheets/d/1Kvs4KS76FHFqLFIZfrDMff4kP08nblUkihrxltoGBjg/edit#gid=934712705"",""ESENCIAL!A6:BG""),18,FALSE))"),"")</f>
        <v/>
      </c>
      <c r="BJ747" s="19" t="str">
        <f t="shared" si="43"/>
        <v/>
      </c>
      <c r="BK747" s="41"/>
      <c r="BL747" s="41"/>
    </row>
    <row r="748" spans="1:64" ht="15">
      <c r="A748" s="4"/>
      <c r="B748" s="4"/>
      <c r="G748" s="5" t="str">
        <f ca="1">IFERROR(__xludf.DUMMYFUNCTION("IFERROR(VLOOKUP(F765,IMPORTRANGE(""https://docs.google.com/spreadsheets/d/1Kvs4KS76FHFqLFIZfrDMff4kP08nblUkihrxltoGBjg/edit#gid=934712705"",""ESENCIAL!A6:BG""),3,FALSE))"),"")</f>
        <v/>
      </c>
      <c r="H748" s="5" t="str">
        <f ca="1">IFERROR(__xludf.DUMMYFUNCTION("IFERROR(VLOOKUP(F765,IMPORTRANGE(""https://docs.google.com/spreadsheets/d/1Kvs4KS76FHFqLFIZfrDMff4kP08nblUkihrxltoGBjg/edit#gid=934712705"",""ESENCIAL!A6:BG""),8,FALSE))"),"")</f>
        <v/>
      </c>
      <c r="L748" s="287"/>
      <c r="S748"/>
      <c r="AU748" s="41" t="str">
        <f t="shared" si="40"/>
        <v/>
      </c>
      <c r="AV748" s="5" t="str">
        <f ca="1">IFERROR(__xludf.DUMMYFUNCTION("IFERROR(VLOOKUP(E765&amp;F765,IMPORTRANGE(""https://docs.google.com/spreadsheets/d/1Uw7-A9f9R21vMXxHZFNpYNeKFtG8_yji4HS352LGlSQ/edit?pli=1#gid=0"",""1_ACUM!A4:S""),11,FALSE))"),"")</f>
        <v/>
      </c>
      <c r="AW748" s="42" t="str">
        <f ca="1">IFERROR(__xludf.DUMMYFUNCTION("IFERROR(VLOOKUP(F765,IMPORTRANGE(""https://docs.google.com/spreadsheets/d/1Kvs4KS76FHFqLFIZfrDMff4kP08nblUkihrxltoGBjg/edit#gid=934712705"",""ESENCIAL!A6:BG""),15,FALSE))"),"")</f>
        <v/>
      </c>
      <c r="AX748" s="21" t="str">
        <f ca="1">IFERROR(__xludf.DUMMYFUNCTION("IFERROR(VLOOKUP(E765&amp;F765,IMPORTRANGE(""https://docs.google.com/spreadsheets/d/1Uw7-A9f9R21vMXxHZFNpYNeKFtG8_yji4HS352LGlSQ/edit?pli=1#gid=0"",""1_ACUM!A4:S""),12,FALSE))"),"")</f>
        <v/>
      </c>
      <c r="AY748" s="43" t="str">
        <f ca="1">IFERROR(__xludf.DUMMYFUNCTION("IFERROR(VLOOKUP(E765&amp;F765,IMPORTRANGE(""https://docs.google.com/spreadsheets/d/1Uw7-A9f9R21vMXxHZFNpYNeKFtG8_yji4HS352LGlSQ/edit?pli=1#gid=0"",""1_ACUM!A4:S""),13,FALSE))"),"")</f>
        <v/>
      </c>
      <c r="AZ748" s="43" t="str">
        <f ca="1">IFERROR(__xludf.DUMMYFUNCTION("IFERROR(VLOOKUP(E765&amp;F765,IMPORTRANGE(""https://docs.google.com/spreadsheets/d/1Uw7-A9f9R21vMXxHZFNpYNeKFtG8_yji4HS352LGlSQ/edit?pli=1#gid=0"",""1_ACUM!A4:S""),14,FALSE))"),"")</f>
        <v/>
      </c>
      <c r="BA748" s="43" t="str">
        <f ca="1">IFERROR(__xludf.DUMMYFUNCTION("IFERROR(VLOOKUP(E765&amp;F765,IMPORTRANGE(""https://docs.google.com/spreadsheets/d/1Uw7-A9f9R21vMXxHZFNpYNeKFtG8_yji4HS352LGlSQ/edit?pli=1#gid=0"",""1_ACUM!A4:S""),15,FALSE))"),"")</f>
        <v/>
      </c>
      <c r="BB748" s="43" t="str">
        <f ca="1">IFERROR(__xludf.DUMMYFUNCTION("IFERROR(VLOOKUP(E765&amp;F765,IMPORTRANGE(""https://docs.google.com/spreadsheets/d/1Uw7-A9f9R21vMXxHZFNpYNeKFtG8_yji4HS352LGlSQ/edit?pli=1#gid=0"",""1_ACUM!A4:S""),16,FALSE))"),"")</f>
        <v/>
      </c>
      <c r="BC748" s="43" t="str">
        <f ca="1">IFERROR(__xludf.DUMMYFUNCTION("IFERROR(VLOOKUP(E765&amp;F765,IMPORTRANGE(""https://docs.google.com/spreadsheets/d/1Uw7-A9f9R21vMXxHZFNpYNeKFtG8_yji4HS352LGlSQ/edit?pli=1#gid=0"",""1_ACUM!A4:S""),17,FALSE))"),"")</f>
        <v/>
      </c>
      <c r="BD748" s="44" t="str">
        <f ca="1">IFERROR(__xludf.DUMMYFUNCTION("IFERROR(VLOOKUP(E765&amp;F765,IMPORTRANGE(""https://docs.google.com/spreadsheets/d/1Uw7-A9f9R21vMXxHZFNpYNeKFtG8_yji4HS352LGlSQ/edit?pli=1#gid=0"",""1_ACUM!A4:S""),18,FALSE))"),"")</f>
        <v/>
      </c>
      <c r="BE748" s="44" t="str">
        <f ca="1">IFERROR(__xludf.DUMMYFUNCTION("IFERROR(VLOOKUP(E765&amp;F765,IMPORTRANGE(""https://docs.google.com/spreadsheets/d/1Uw7-A9f9R21vMXxHZFNpYNeKFtG8_yji4HS352LGlSQ/edit?pli=1#gid=0"",""1_ACUM!A4:S""),19,FALSE))"),"")</f>
        <v/>
      </c>
      <c r="BF748" s="44" t="str">
        <f ca="1">IFERROR(__xludf.DUMMYFUNCTION("IFERROR(VLOOKUP(F765,IMPORTRANGE(""https://docs.google.com/spreadsheets/d/1Kvs4KS76FHFqLFIZfrDMff4kP08nblUkihrxltoGBjg/edit#gid=934712705"",""ESENCIAL!A6:BG""),5,FALSE))"),"")</f>
        <v/>
      </c>
      <c r="BG748" s="44" t="str">
        <f t="shared" si="41"/>
        <v/>
      </c>
      <c r="BH748" s="41" t="str">
        <f t="shared" si="42"/>
        <v/>
      </c>
      <c r="BI748" s="41" t="str">
        <f ca="1">IFERROR(__xludf.DUMMYFUNCTION("IFERROR(VLOOKUP(F765,IMPORTRANGE(""https://docs.google.com/spreadsheets/d/1Kvs4KS76FHFqLFIZfrDMff4kP08nblUkihrxltoGBjg/edit#gid=934712705"",""ESENCIAL!A6:BG""),18,FALSE))"),"")</f>
        <v/>
      </c>
      <c r="BJ748" s="19" t="str">
        <f t="shared" si="43"/>
        <v/>
      </c>
      <c r="BK748" s="41"/>
      <c r="BL748" s="41"/>
    </row>
    <row r="749" spans="1:64" ht="15">
      <c r="A749" s="4"/>
      <c r="B749" s="4"/>
      <c r="G749" s="5" t="str">
        <f ca="1">IFERROR(__xludf.DUMMYFUNCTION("IFERROR(VLOOKUP(F766,IMPORTRANGE(""https://docs.google.com/spreadsheets/d/1Kvs4KS76FHFqLFIZfrDMff4kP08nblUkihrxltoGBjg/edit#gid=934712705"",""ESENCIAL!A6:BG""),3,FALSE))"),"")</f>
        <v/>
      </c>
      <c r="H749" s="5" t="str">
        <f ca="1">IFERROR(__xludf.DUMMYFUNCTION("IFERROR(VLOOKUP(F766,IMPORTRANGE(""https://docs.google.com/spreadsheets/d/1Kvs4KS76FHFqLFIZfrDMff4kP08nblUkihrxltoGBjg/edit#gid=934712705"",""ESENCIAL!A6:BG""),8,FALSE))"),"")</f>
        <v/>
      </c>
      <c r="L749" s="287"/>
      <c r="S749"/>
      <c r="AU749" s="41" t="str">
        <f t="shared" si="40"/>
        <v/>
      </c>
      <c r="AV749" s="5" t="str">
        <f ca="1">IFERROR(__xludf.DUMMYFUNCTION("IFERROR(VLOOKUP(E766&amp;F766,IMPORTRANGE(""https://docs.google.com/spreadsheets/d/1Uw7-A9f9R21vMXxHZFNpYNeKFtG8_yji4HS352LGlSQ/edit?pli=1#gid=0"",""1_ACUM!A4:S""),11,FALSE))"),"")</f>
        <v/>
      </c>
      <c r="AW749" s="42" t="str">
        <f ca="1">IFERROR(__xludf.DUMMYFUNCTION("IFERROR(VLOOKUP(F766,IMPORTRANGE(""https://docs.google.com/spreadsheets/d/1Kvs4KS76FHFqLFIZfrDMff4kP08nblUkihrxltoGBjg/edit#gid=934712705"",""ESENCIAL!A6:BG""),15,FALSE))"),"")</f>
        <v/>
      </c>
      <c r="AX749" s="21" t="str">
        <f ca="1">IFERROR(__xludf.DUMMYFUNCTION("IFERROR(VLOOKUP(E766&amp;F766,IMPORTRANGE(""https://docs.google.com/spreadsheets/d/1Uw7-A9f9R21vMXxHZFNpYNeKFtG8_yji4HS352LGlSQ/edit?pli=1#gid=0"",""1_ACUM!A4:S""),12,FALSE))"),"")</f>
        <v/>
      </c>
      <c r="AY749" s="43" t="str">
        <f ca="1">IFERROR(__xludf.DUMMYFUNCTION("IFERROR(VLOOKUP(E766&amp;F766,IMPORTRANGE(""https://docs.google.com/spreadsheets/d/1Uw7-A9f9R21vMXxHZFNpYNeKFtG8_yji4HS352LGlSQ/edit?pli=1#gid=0"",""1_ACUM!A4:S""),13,FALSE))"),"")</f>
        <v/>
      </c>
      <c r="AZ749" s="43" t="str">
        <f ca="1">IFERROR(__xludf.DUMMYFUNCTION("IFERROR(VLOOKUP(E766&amp;F766,IMPORTRANGE(""https://docs.google.com/spreadsheets/d/1Uw7-A9f9R21vMXxHZFNpYNeKFtG8_yji4HS352LGlSQ/edit?pli=1#gid=0"",""1_ACUM!A4:S""),14,FALSE))"),"")</f>
        <v/>
      </c>
      <c r="BA749" s="43" t="str">
        <f ca="1">IFERROR(__xludf.DUMMYFUNCTION("IFERROR(VLOOKUP(E766&amp;F766,IMPORTRANGE(""https://docs.google.com/spreadsheets/d/1Uw7-A9f9R21vMXxHZFNpYNeKFtG8_yji4HS352LGlSQ/edit?pli=1#gid=0"",""1_ACUM!A4:S""),15,FALSE))"),"")</f>
        <v/>
      </c>
      <c r="BB749" s="43" t="str">
        <f ca="1">IFERROR(__xludf.DUMMYFUNCTION("IFERROR(VLOOKUP(E766&amp;F766,IMPORTRANGE(""https://docs.google.com/spreadsheets/d/1Uw7-A9f9R21vMXxHZFNpYNeKFtG8_yji4HS352LGlSQ/edit?pli=1#gid=0"",""1_ACUM!A4:S""),16,FALSE))"),"")</f>
        <v/>
      </c>
      <c r="BC749" s="43" t="str">
        <f ca="1">IFERROR(__xludf.DUMMYFUNCTION("IFERROR(VLOOKUP(E766&amp;F766,IMPORTRANGE(""https://docs.google.com/spreadsheets/d/1Uw7-A9f9R21vMXxHZFNpYNeKFtG8_yji4HS352LGlSQ/edit?pli=1#gid=0"",""1_ACUM!A4:S""),17,FALSE))"),"")</f>
        <v/>
      </c>
      <c r="BD749" s="44" t="str">
        <f ca="1">IFERROR(__xludf.DUMMYFUNCTION("IFERROR(VLOOKUP(E766&amp;F766,IMPORTRANGE(""https://docs.google.com/spreadsheets/d/1Uw7-A9f9R21vMXxHZFNpYNeKFtG8_yji4HS352LGlSQ/edit?pli=1#gid=0"",""1_ACUM!A4:S""),18,FALSE))"),"")</f>
        <v/>
      </c>
      <c r="BE749" s="44" t="str">
        <f ca="1">IFERROR(__xludf.DUMMYFUNCTION("IFERROR(VLOOKUP(E766&amp;F766,IMPORTRANGE(""https://docs.google.com/spreadsheets/d/1Uw7-A9f9R21vMXxHZFNpYNeKFtG8_yji4HS352LGlSQ/edit?pli=1#gid=0"",""1_ACUM!A4:S""),19,FALSE))"),"")</f>
        <v/>
      </c>
      <c r="BF749" s="44" t="str">
        <f ca="1">IFERROR(__xludf.DUMMYFUNCTION("IFERROR(VLOOKUP(F766,IMPORTRANGE(""https://docs.google.com/spreadsheets/d/1Kvs4KS76FHFqLFIZfrDMff4kP08nblUkihrxltoGBjg/edit#gid=934712705"",""ESENCIAL!A6:BG""),5,FALSE))"),"")</f>
        <v/>
      </c>
      <c r="BG749" s="44" t="str">
        <f t="shared" si="41"/>
        <v/>
      </c>
      <c r="BH749" s="41" t="str">
        <f t="shared" si="42"/>
        <v/>
      </c>
      <c r="BI749" s="41" t="str">
        <f ca="1">IFERROR(__xludf.DUMMYFUNCTION("IFERROR(VLOOKUP(F766,IMPORTRANGE(""https://docs.google.com/spreadsheets/d/1Kvs4KS76FHFqLFIZfrDMff4kP08nblUkihrxltoGBjg/edit#gid=934712705"",""ESENCIAL!A6:BG""),18,FALSE))"),"")</f>
        <v/>
      </c>
      <c r="BJ749" s="19" t="str">
        <f t="shared" si="43"/>
        <v/>
      </c>
      <c r="BK749" s="41"/>
      <c r="BL749" s="41"/>
    </row>
    <row r="750" spans="1:64" ht="15">
      <c r="A750" s="4"/>
      <c r="B750" s="4"/>
      <c r="G750" s="5" t="str">
        <f ca="1">IFERROR(__xludf.DUMMYFUNCTION("IFERROR(VLOOKUP(F767,IMPORTRANGE(""https://docs.google.com/spreadsheets/d/1Kvs4KS76FHFqLFIZfrDMff4kP08nblUkihrxltoGBjg/edit#gid=934712705"",""ESENCIAL!A6:BG""),3,FALSE))"),"")</f>
        <v/>
      </c>
      <c r="H750" s="5" t="str">
        <f ca="1">IFERROR(__xludf.DUMMYFUNCTION("IFERROR(VLOOKUP(F767,IMPORTRANGE(""https://docs.google.com/spreadsheets/d/1Kvs4KS76FHFqLFIZfrDMff4kP08nblUkihrxltoGBjg/edit#gid=934712705"",""ESENCIAL!A6:BG""),8,FALSE))"),"")</f>
        <v/>
      </c>
      <c r="L750" s="287"/>
      <c r="S750"/>
      <c r="AU750" s="41" t="str">
        <f t="shared" si="40"/>
        <v/>
      </c>
      <c r="AV750" s="5" t="str">
        <f ca="1">IFERROR(__xludf.DUMMYFUNCTION("IFERROR(VLOOKUP(E767&amp;F767,IMPORTRANGE(""https://docs.google.com/spreadsheets/d/1Uw7-A9f9R21vMXxHZFNpYNeKFtG8_yji4HS352LGlSQ/edit?pli=1#gid=0"",""1_ACUM!A4:S""),11,FALSE))"),"")</f>
        <v/>
      </c>
      <c r="AW750" s="42" t="str">
        <f ca="1">IFERROR(__xludf.DUMMYFUNCTION("IFERROR(VLOOKUP(F767,IMPORTRANGE(""https://docs.google.com/spreadsheets/d/1Kvs4KS76FHFqLFIZfrDMff4kP08nblUkihrxltoGBjg/edit#gid=934712705"",""ESENCIAL!A6:BG""),15,FALSE))"),"")</f>
        <v/>
      </c>
      <c r="AX750" s="21" t="str">
        <f ca="1">IFERROR(__xludf.DUMMYFUNCTION("IFERROR(VLOOKUP(E767&amp;F767,IMPORTRANGE(""https://docs.google.com/spreadsheets/d/1Uw7-A9f9R21vMXxHZFNpYNeKFtG8_yji4HS352LGlSQ/edit?pli=1#gid=0"",""1_ACUM!A4:S""),12,FALSE))"),"")</f>
        <v/>
      </c>
      <c r="AY750" s="43" t="str">
        <f ca="1">IFERROR(__xludf.DUMMYFUNCTION("IFERROR(VLOOKUP(E767&amp;F767,IMPORTRANGE(""https://docs.google.com/spreadsheets/d/1Uw7-A9f9R21vMXxHZFNpYNeKFtG8_yji4HS352LGlSQ/edit?pli=1#gid=0"",""1_ACUM!A4:S""),13,FALSE))"),"")</f>
        <v/>
      </c>
      <c r="AZ750" s="43" t="str">
        <f ca="1">IFERROR(__xludf.DUMMYFUNCTION("IFERROR(VLOOKUP(E767&amp;F767,IMPORTRANGE(""https://docs.google.com/spreadsheets/d/1Uw7-A9f9R21vMXxHZFNpYNeKFtG8_yji4HS352LGlSQ/edit?pli=1#gid=0"",""1_ACUM!A4:S""),14,FALSE))"),"")</f>
        <v/>
      </c>
      <c r="BA750" s="43" t="str">
        <f ca="1">IFERROR(__xludf.DUMMYFUNCTION("IFERROR(VLOOKUP(E767&amp;F767,IMPORTRANGE(""https://docs.google.com/spreadsheets/d/1Uw7-A9f9R21vMXxHZFNpYNeKFtG8_yji4HS352LGlSQ/edit?pli=1#gid=0"",""1_ACUM!A4:S""),15,FALSE))"),"")</f>
        <v/>
      </c>
      <c r="BB750" s="43" t="str">
        <f ca="1">IFERROR(__xludf.DUMMYFUNCTION("IFERROR(VLOOKUP(E767&amp;F767,IMPORTRANGE(""https://docs.google.com/spreadsheets/d/1Uw7-A9f9R21vMXxHZFNpYNeKFtG8_yji4HS352LGlSQ/edit?pli=1#gid=0"",""1_ACUM!A4:S""),16,FALSE))"),"")</f>
        <v/>
      </c>
      <c r="BC750" s="43" t="str">
        <f ca="1">IFERROR(__xludf.DUMMYFUNCTION("IFERROR(VLOOKUP(E767&amp;F767,IMPORTRANGE(""https://docs.google.com/spreadsheets/d/1Uw7-A9f9R21vMXxHZFNpYNeKFtG8_yji4HS352LGlSQ/edit?pli=1#gid=0"",""1_ACUM!A4:S""),17,FALSE))"),"")</f>
        <v/>
      </c>
      <c r="BD750" s="44" t="str">
        <f ca="1">IFERROR(__xludf.DUMMYFUNCTION("IFERROR(VLOOKUP(E767&amp;F767,IMPORTRANGE(""https://docs.google.com/spreadsheets/d/1Uw7-A9f9R21vMXxHZFNpYNeKFtG8_yji4HS352LGlSQ/edit?pli=1#gid=0"",""1_ACUM!A4:S""),18,FALSE))"),"")</f>
        <v/>
      </c>
      <c r="BE750" s="44" t="str">
        <f ca="1">IFERROR(__xludf.DUMMYFUNCTION("IFERROR(VLOOKUP(E767&amp;F767,IMPORTRANGE(""https://docs.google.com/spreadsheets/d/1Uw7-A9f9R21vMXxHZFNpYNeKFtG8_yji4HS352LGlSQ/edit?pli=1#gid=0"",""1_ACUM!A4:S""),19,FALSE))"),"")</f>
        <v/>
      </c>
      <c r="BF750" s="44" t="str">
        <f ca="1">IFERROR(__xludf.DUMMYFUNCTION("IFERROR(VLOOKUP(F767,IMPORTRANGE(""https://docs.google.com/spreadsheets/d/1Kvs4KS76FHFqLFIZfrDMff4kP08nblUkihrxltoGBjg/edit#gid=934712705"",""ESENCIAL!A6:BG""),5,FALSE))"),"")</f>
        <v/>
      </c>
      <c r="BG750" s="44" t="str">
        <f t="shared" si="41"/>
        <v/>
      </c>
      <c r="BH750" s="41" t="str">
        <f t="shared" si="42"/>
        <v/>
      </c>
      <c r="BI750" s="41" t="str">
        <f ca="1">IFERROR(__xludf.DUMMYFUNCTION("IFERROR(VLOOKUP(F767,IMPORTRANGE(""https://docs.google.com/spreadsheets/d/1Kvs4KS76FHFqLFIZfrDMff4kP08nblUkihrxltoGBjg/edit#gid=934712705"",""ESENCIAL!A6:BG""),18,FALSE))"),"")</f>
        <v/>
      </c>
      <c r="BJ750" s="19" t="str">
        <f t="shared" si="43"/>
        <v/>
      </c>
      <c r="BK750" s="41"/>
      <c r="BL750" s="41"/>
    </row>
    <row r="751" spans="1:64" ht="15">
      <c r="A751" s="4"/>
      <c r="B751" s="4"/>
      <c r="G751" s="5" t="str">
        <f ca="1">IFERROR(__xludf.DUMMYFUNCTION("IFERROR(VLOOKUP(F768,IMPORTRANGE(""https://docs.google.com/spreadsheets/d/1Kvs4KS76FHFqLFIZfrDMff4kP08nblUkihrxltoGBjg/edit#gid=934712705"",""ESENCIAL!A6:BG""),3,FALSE))"),"")</f>
        <v/>
      </c>
      <c r="H751" s="5" t="str">
        <f ca="1">IFERROR(__xludf.DUMMYFUNCTION("IFERROR(VLOOKUP(F768,IMPORTRANGE(""https://docs.google.com/spreadsheets/d/1Kvs4KS76FHFqLFIZfrDMff4kP08nblUkihrxltoGBjg/edit#gid=934712705"",""ESENCIAL!A6:BG""),8,FALSE))"),"")</f>
        <v/>
      </c>
      <c r="L751" s="287"/>
      <c r="S751"/>
      <c r="AU751" s="41" t="str">
        <f t="shared" ref="AU751:AU881" si="44">IF(E751&gt;0,IF(AND(BC751=1,AZ751=1),"Procede_E_P","NO_CUMPLE"),"")</f>
        <v/>
      </c>
      <c r="AV751" s="5" t="str">
        <f ca="1">IFERROR(__xludf.DUMMYFUNCTION("IFERROR(VLOOKUP(E768&amp;F768,IMPORTRANGE(""https://docs.google.com/spreadsheets/d/1Uw7-A9f9R21vMXxHZFNpYNeKFtG8_yji4HS352LGlSQ/edit?pli=1#gid=0"",""1_ACUM!A4:S""),11,FALSE))"),"")</f>
        <v/>
      </c>
      <c r="AW751" s="42" t="str">
        <f ca="1">IFERROR(__xludf.DUMMYFUNCTION("IFERROR(VLOOKUP(F768,IMPORTRANGE(""https://docs.google.com/spreadsheets/d/1Kvs4KS76FHFqLFIZfrDMff4kP08nblUkihrxltoGBjg/edit#gid=934712705"",""ESENCIAL!A6:BG""),15,FALSE))"),"")</f>
        <v/>
      </c>
      <c r="AX751" s="21" t="str">
        <f ca="1">IFERROR(__xludf.DUMMYFUNCTION("IFERROR(VLOOKUP(E768&amp;F768,IMPORTRANGE(""https://docs.google.com/spreadsheets/d/1Uw7-A9f9R21vMXxHZFNpYNeKFtG8_yji4HS352LGlSQ/edit?pli=1#gid=0"",""1_ACUM!A4:S""),12,FALSE))"),"")</f>
        <v/>
      </c>
      <c r="AY751" s="43" t="str">
        <f ca="1">IFERROR(__xludf.DUMMYFUNCTION("IFERROR(VLOOKUP(E768&amp;F768,IMPORTRANGE(""https://docs.google.com/spreadsheets/d/1Uw7-A9f9R21vMXxHZFNpYNeKFtG8_yji4HS352LGlSQ/edit?pli=1#gid=0"",""1_ACUM!A4:S""),13,FALSE))"),"")</f>
        <v/>
      </c>
      <c r="AZ751" s="43" t="str">
        <f ca="1">IFERROR(__xludf.DUMMYFUNCTION("IFERROR(VLOOKUP(E768&amp;F768,IMPORTRANGE(""https://docs.google.com/spreadsheets/d/1Uw7-A9f9R21vMXxHZFNpYNeKFtG8_yji4HS352LGlSQ/edit?pli=1#gid=0"",""1_ACUM!A4:S""),14,FALSE))"),"")</f>
        <v/>
      </c>
      <c r="BA751" s="43" t="str">
        <f ca="1">IFERROR(__xludf.DUMMYFUNCTION("IFERROR(VLOOKUP(E768&amp;F768,IMPORTRANGE(""https://docs.google.com/spreadsheets/d/1Uw7-A9f9R21vMXxHZFNpYNeKFtG8_yji4HS352LGlSQ/edit?pli=1#gid=0"",""1_ACUM!A4:S""),15,FALSE))"),"")</f>
        <v/>
      </c>
      <c r="BB751" s="43" t="str">
        <f ca="1">IFERROR(__xludf.DUMMYFUNCTION("IFERROR(VLOOKUP(E768&amp;F768,IMPORTRANGE(""https://docs.google.com/spreadsheets/d/1Uw7-A9f9R21vMXxHZFNpYNeKFtG8_yji4HS352LGlSQ/edit?pli=1#gid=0"",""1_ACUM!A4:S""),16,FALSE))"),"")</f>
        <v/>
      </c>
      <c r="BC751" s="43" t="str">
        <f ca="1">IFERROR(__xludf.DUMMYFUNCTION("IFERROR(VLOOKUP(E768&amp;F768,IMPORTRANGE(""https://docs.google.com/spreadsheets/d/1Uw7-A9f9R21vMXxHZFNpYNeKFtG8_yji4HS352LGlSQ/edit?pli=1#gid=0"",""1_ACUM!A4:S""),17,FALSE))"),"")</f>
        <v/>
      </c>
      <c r="BD751" s="44" t="str">
        <f ca="1">IFERROR(__xludf.DUMMYFUNCTION("IFERROR(VLOOKUP(E768&amp;F768,IMPORTRANGE(""https://docs.google.com/spreadsheets/d/1Uw7-A9f9R21vMXxHZFNpYNeKFtG8_yji4HS352LGlSQ/edit?pli=1#gid=0"",""1_ACUM!A4:S""),18,FALSE))"),"")</f>
        <v/>
      </c>
      <c r="BE751" s="44" t="str">
        <f ca="1">IFERROR(__xludf.DUMMYFUNCTION("IFERROR(VLOOKUP(E768&amp;F768,IMPORTRANGE(""https://docs.google.com/spreadsheets/d/1Uw7-A9f9R21vMXxHZFNpYNeKFtG8_yji4HS352LGlSQ/edit?pli=1#gid=0"",""1_ACUM!A4:S""),19,FALSE))"),"")</f>
        <v/>
      </c>
      <c r="BF751" s="44" t="str">
        <f ca="1">IFERROR(__xludf.DUMMYFUNCTION("IFERROR(VLOOKUP(F768,IMPORTRANGE(""https://docs.google.com/spreadsheets/d/1Kvs4KS76FHFqLFIZfrDMff4kP08nblUkihrxltoGBjg/edit#gid=934712705"",""ESENCIAL!A6:BG""),5,FALSE))"),"")</f>
        <v/>
      </c>
      <c r="BG751" s="44" t="str">
        <f t="shared" ref="BG751:BG881" si="45">IF(F751&gt;0,EDATE(BF751,18),"")</f>
        <v/>
      </c>
      <c r="BH751" s="41" t="str">
        <f t="shared" ref="BH751:BH881" si="46">IF(F751&gt;0,IF(BG751&lt;$BH$1,"FINALIZAR FICHA","FICHA EN TIEMPO-18 MESES"),"")</f>
        <v/>
      </c>
      <c r="BI751" s="41" t="str">
        <f ca="1">IFERROR(__xludf.DUMMYFUNCTION("IFERROR(VLOOKUP(F768,IMPORTRANGE(""https://docs.google.com/spreadsheets/d/1Kvs4KS76FHFqLFIZfrDMff4kP08nblUkihrxltoGBjg/edit#gid=934712705"",""ESENCIAL!A6:BG""),18,FALSE))"),"")</f>
        <v/>
      </c>
      <c r="BJ751" s="19" t="str">
        <f t="shared" ref="BJ751:BJ881" si="47">IF(F751&gt;0,"Yamboro","")</f>
        <v/>
      </c>
      <c r="BK751" s="41"/>
      <c r="BL751" s="41"/>
    </row>
    <row r="752" spans="1:64" ht="15">
      <c r="A752" s="4"/>
      <c r="B752" s="4"/>
      <c r="G752" s="5" t="str">
        <f ca="1">IFERROR(__xludf.DUMMYFUNCTION("IFERROR(VLOOKUP(F769,IMPORTRANGE(""https://docs.google.com/spreadsheets/d/1Kvs4KS76FHFqLFIZfrDMff4kP08nblUkihrxltoGBjg/edit#gid=934712705"",""ESENCIAL!A6:BG""),3,FALSE))"),"")</f>
        <v/>
      </c>
      <c r="H752" s="5" t="str">
        <f ca="1">IFERROR(__xludf.DUMMYFUNCTION("IFERROR(VLOOKUP(F769,IMPORTRANGE(""https://docs.google.com/spreadsheets/d/1Kvs4KS76FHFqLFIZfrDMff4kP08nblUkihrxltoGBjg/edit#gid=934712705"",""ESENCIAL!A6:BG""),8,FALSE))"),"")</f>
        <v/>
      </c>
      <c r="L752" s="287"/>
      <c r="S752"/>
      <c r="AU752" s="41" t="str">
        <f t="shared" si="44"/>
        <v/>
      </c>
      <c r="AV752" s="5" t="str">
        <f ca="1">IFERROR(__xludf.DUMMYFUNCTION("IFERROR(VLOOKUP(E769&amp;F769,IMPORTRANGE(""https://docs.google.com/spreadsheets/d/1Uw7-A9f9R21vMXxHZFNpYNeKFtG8_yji4HS352LGlSQ/edit?pli=1#gid=0"",""1_ACUM!A4:S""),11,FALSE))"),"")</f>
        <v/>
      </c>
      <c r="AW752" s="42" t="str">
        <f ca="1">IFERROR(__xludf.DUMMYFUNCTION("IFERROR(VLOOKUP(F769,IMPORTRANGE(""https://docs.google.com/spreadsheets/d/1Kvs4KS76FHFqLFIZfrDMff4kP08nblUkihrxltoGBjg/edit#gid=934712705"",""ESENCIAL!A6:BG""),15,FALSE))"),"")</f>
        <v/>
      </c>
      <c r="AX752" s="21" t="str">
        <f ca="1">IFERROR(__xludf.DUMMYFUNCTION("IFERROR(VLOOKUP(E769&amp;F769,IMPORTRANGE(""https://docs.google.com/spreadsheets/d/1Uw7-A9f9R21vMXxHZFNpYNeKFtG8_yji4HS352LGlSQ/edit?pli=1#gid=0"",""1_ACUM!A4:S""),12,FALSE))"),"")</f>
        <v/>
      </c>
      <c r="AY752" s="43" t="str">
        <f ca="1">IFERROR(__xludf.DUMMYFUNCTION("IFERROR(VLOOKUP(E769&amp;F769,IMPORTRANGE(""https://docs.google.com/spreadsheets/d/1Uw7-A9f9R21vMXxHZFNpYNeKFtG8_yji4HS352LGlSQ/edit?pli=1#gid=0"",""1_ACUM!A4:S""),13,FALSE))"),"")</f>
        <v/>
      </c>
      <c r="AZ752" s="43" t="str">
        <f ca="1">IFERROR(__xludf.DUMMYFUNCTION("IFERROR(VLOOKUP(E769&amp;F769,IMPORTRANGE(""https://docs.google.com/spreadsheets/d/1Uw7-A9f9R21vMXxHZFNpYNeKFtG8_yji4HS352LGlSQ/edit?pli=1#gid=0"",""1_ACUM!A4:S""),14,FALSE))"),"")</f>
        <v/>
      </c>
      <c r="BA752" s="43" t="str">
        <f ca="1">IFERROR(__xludf.DUMMYFUNCTION("IFERROR(VLOOKUP(E769&amp;F769,IMPORTRANGE(""https://docs.google.com/spreadsheets/d/1Uw7-A9f9R21vMXxHZFNpYNeKFtG8_yji4HS352LGlSQ/edit?pli=1#gid=0"",""1_ACUM!A4:S""),15,FALSE))"),"")</f>
        <v/>
      </c>
      <c r="BB752" s="43" t="str">
        <f ca="1">IFERROR(__xludf.DUMMYFUNCTION("IFERROR(VLOOKUP(E769&amp;F769,IMPORTRANGE(""https://docs.google.com/spreadsheets/d/1Uw7-A9f9R21vMXxHZFNpYNeKFtG8_yji4HS352LGlSQ/edit?pli=1#gid=0"",""1_ACUM!A4:S""),16,FALSE))"),"")</f>
        <v/>
      </c>
      <c r="BC752" s="43" t="str">
        <f ca="1">IFERROR(__xludf.DUMMYFUNCTION("IFERROR(VLOOKUP(E769&amp;F769,IMPORTRANGE(""https://docs.google.com/spreadsheets/d/1Uw7-A9f9R21vMXxHZFNpYNeKFtG8_yji4HS352LGlSQ/edit?pli=1#gid=0"",""1_ACUM!A4:S""),17,FALSE))"),"")</f>
        <v/>
      </c>
      <c r="BD752" s="44" t="str">
        <f ca="1">IFERROR(__xludf.DUMMYFUNCTION("IFERROR(VLOOKUP(E769&amp;F769,IMPORTRANGE(""https://docs.google.com/spreadsheets/d/1Uw7-A9f9R21vMXxHZFNpYNeKFtG8_yji4HS352LGlSQ/edit?pli=1#gid=0"",""1_ACUM!A4:S""),18,FALSE))"),"")</f>
        <v/>
      </c>
      <c r="BE752" s="44" t="str">
        <f ca="1">IFERROR(__xludf.DUMMYFUNCTION("IFERROR(VLOOKUP(E769&amp;F769,IMPORTRANGE(""https://docs.google.com/spreadsheets/d/1Uw7-A9f9R21vMXxHZFNpYNeKFtG8_yji4HS352LGlSQ/edit?pli=1#gid=0"",""1_ACUM!A4:S""),19,FALSE))"),"")</f>
        <v/>
      </c>
      <c r="BF752" s="44" t="str">
        <f ca="1">IFERROR(__xludf.DUMMYFUNCTION("IFERROR(VLOOKUP(F769,IMPORTRANGE(""https://docs.google.com/spreadsheets/d/1Kvs4KS76FHFqLFIZfrDMff4kP08nblUkihrxltoGBjg/edit#gid=934712705"",""ESENCIAL!A6:BG""),5,FALSE))"),"")</f>
        <v/>
      </c>
      <c r="BG752" s="44" t="str">
        <f t="shared" si="45"/>
        <v/>
      </c>
      <c r="BH752" s="41" t="str">
        <f t="shared" si="46"/>
        <v/>
      </c>
      <c r="BI752" s="41" t="str">
        <f ca="1">IFERROR(__xludf.DUMMYFUNCTION("IFERROR(VLOOKUP(F769,IMPORTRANGE(""https://docs.google.com/spreadsheets/d/1Kvs4KS76FHFqLFIZfrDMff4kP08nblUkihrxltoGBjg/edit#gid=934712705"",""ESENCIAL!A6:BG""),18,FALSE))"),"")</f>
        <v/>
      </c>
      <c r="BJ752" s="19" t="str">
        <f t="shared" si="47"/>
        <v/>
      </c>
      <c r="BK752" s="41"/>
      <c r="BL752" s="41"/>
    </row>
    <row r="753" spans="1:64" ht="15">
      <c r="A753" s="4"/>
      <c r="B753" s="4"/>
      <c r="G753" s="5" t="str">
        <f ca="1">IFERROR(__xludf.DUMMYFUNCTION("IFERROR(VLOOKUP(F770,IMPORTRANGE(""https://docs.google.com/spreadsheets/d/1Kvs4KS76FHFqLFIZfrDMff4kP08nblUkihrxltoGBjg/edit#gid=934712705"",""ESENCIAL!A6:BG""),3,FALSE))"),"")</f>
        <v/>
      </c>
      <c r="H753" s="5" t="str">
        <f ca="1">IFERROR(__xludf.DUMMYFUNCTION("IFERROR(VLOOKUP(F770,IMPORTRANGE(""https://docs.google.com/spreadsheets/d/1Kvs4KS76FHFqLFIZfrDMff4kP08nblUkihrxltoGBjg/edit#gid=934712705"",""ESENCIAL!A6:BG""),8,FALSE))"),"")</f>
        <v/>
      </c>
      <c r="L753" s="287"/>
      <c r="S753"/>
      <c r="AU753" s="41" t="str">
        <f t="shared" si="44"/>
        <v/>
      </c>
      <c r="AV753" s="5" t="str">
        <f ca="1">IFERROR(__xludf.DUMMYFUNCTION("IFERROR(VLOOKUP(E770&amp;F770,IMPORTRANGE(""https://docs.google.com/spreadsheets/d/1Uw7-A9f9R21vMXxHZFNpYNeKFtG8_yji4HS352LGlSQ/edit?pli=1#gid=0"",""1_ACUM!A4:S""),11,FALSE))"),"")</f>
        <v/>
      </c>
      <c r="AW753" s="42" t="str">
        <f ca="1">IFERROR(__xludf.DUMMYFUNCTION("IFERROR(VLOOKUP(F770,IMPORTRANGE(""https://docs.google.com/spreadsheets/d/1Kvs4KS76FHFqLFIZfrDMff4kP08nblUkihrxltoGBjg/edit#gid=934712705"",""ESENCIAL!A6:BG""),15,FALSE))"),"")</f>
        <v/>
      </c>
      <c r="AX753" s="21" t="str">
        <f ca="1">IFERROR(__xludf.DUMMYFUNCTION("IFERROR(VLOOKUP(E770&amp;F770,IMPORTRANGE(""https://docs.google.com/spreadsheets/d/1Uw7-A9f9R21vMXxHZFNpYNeKFtG8_yji4HS352LGlSQ/edit?pli=1#gid=0"",""1_ACUM!A4:S""),12,FALSE))"),"")</f>
        <v/>
      </c>
      <c r="AY753" s="43" t="str">
        <f ca="1">IFERROR(__xludf.DUMMYFUNCTION("IFERROR(VLOOKUP(E770&amp;F770,IMPORTRANGE(""https://docs.google.com/spreadsheets/d/1Uw7-A9f9R21vMXxHZFNpYNeKFtG8_yji4HS352LGlSQ/edit?pli=1#gid=0"",""1_ACUM!A4:S""),13,FALSE))"),"")</f>
        <v/>
      </c>
      <c r="AZ753" s="43" t="str">
        <f ca="1">IFERROR(__xludf.DUMMYFUNCTION("IFERROR(VLOOKUP(E770&amp;F770,IMPORTRANGE(""https://docs.google.com/spreadsheets/d/1Uw7-A9f9R21vMXxHZFNpYNeKFtG8_yji4HS352LGlSQ/edit?pli=1#gid=0"",""1_ACUM!A4:S""),14,FALSE))"),"")</f>
        <v/>
      </c>
      <c r="BA753" s="43" t="str">
        <f ca="1">IFERROR(__xludf.DUMMYFUNCTION("IFERROR(VLOOKUP(E770&amp;F770,IMPORTRANGE(""https://docs.google.com/spreadsheets/d/1Uw7-A9f9R21vMXxHZFNpYNeKFtG8_yji4HS352LGlSQ/edit?pli=1#gid=0"",""1_ACUM!A4:S""),15,FALSE))"),"")</f>
        <v/>
      </c>
      <c r="BB753" s="43" t="str">
        <f ca="1">IFERROR(__xludf.DUMMYFUNCTION("IFERROR(VLOOKUP(E770&amp;F770,IMPORTRANGE(""https://docs.google.com/spreadsheets/d/1Uw7-A9f9R21vMXxHZFNpYNeKFtG8_yji4HS352LGlSQ/edit?pli=1#gid=0"",""1_ACUM!A4:S""),16,FALSE))"),"")</f>
        <v/>
      </c>
      <c r="BC753" s="43" t="str">
        <f ca="1">IFERROR(__xludf.DUMMYFUNCTION("IFERROR(VLOOKUP(E770&amp;F770,IMPORTRANGE(""https://docs.google.com/spreadsheets/d/1Uw7-A9f9R21vMXxHZFNpYNeKFtG8_yji4HS352LGlSQ/edit?pli=1#gid=0"",""1_ACUM!A4:S""),17,FALSE))"),"")</f>
        <v/>
      </c>
      <c r="BD753" s="44" t="str">
        <f ca="1">IFERROR(__xludf.DUMMYFUNCTION("IFERROR(VLOOKUP(E770&amp;F770,IMPORTRANGE(""https://docs.google.com/spreadsheets/d/1Uw7-A9f9R21vMXxHZFNpYNeKFtG8_yji4HS352LGlSQ/edit?pli=1#gid=0"",""1_ACUM!A4:S""),18,FALSE))"),"")</f>
        <v/>
      </c>
      <c r="BE753" s="44" t="str">
        <f ca="1">IFERROR(__xludf.DUMMYFUNCTION("IFERROR(VLOOKUP(E770&amp;F770,IMPORTRANGE(""https://docs.google.com/spreadsheets/d/1Uw7-A9f9R21vMXxHZFNpYNeKFtG8_yji4HS352LGlSQ/edit?pli=1#gid=0"",""1_ACUM!A4:S""),19,FALSE))"),"")</f>
        <v/>
      </c>
      <c r="BF753" s="44" t="str">
        <f ca="1">IFERROR(__xludf.DUMMYFUNCTION("IFERROR(VLOOKUP(F770,IMPORTRANGE(""https://docs.google.com/spreadsheets/d/1Kvs4KS76FHFqLFIZfrDMff4kP08nblUkihrxltoGBjg/edit#gid=934712705"",""ESENCIAL!A6:BG""),5,FALSE))"),"")</f>
        <v/>
      </c>
      <c r="BG753" s="44" t="str">
        <f t="shared" si="45"/>
        <v/>
      </c>
      <c r="BH753" s="41" t="str">
        <f t="shared" si="46"/>
        <v/>
      </c>
      <c r="BI753" s="41" t="str">
        <f ca="1">IFERROR(__xludf.DUMMYFUNCTION("IFERROR(VLOOKUP(F770,IMPORTRANGE(""https://docs.google.com/spreadsheets/d/1Kvs4KS76FHFqLFIZfrDMff4kP08nblUkihrxltoGBjg/edit#gid=934712705"",""ESENCIAL!A6:BG""),18,FALSE))"),"")</f>
        <v/>
      </c>
      <c r="BJ753" s="19" t="str">
        <f t="shared" si="47"/>
        <v/>
      </c>
      <c r="BK753" s="41"/>
      <c r="BL753" s="41"/>
    </row>
    <row r="754" spans="1:64" ht="15">
      <c r="A754" s="4"/>
      <c r="B754" s="4"/>
      <c r="G754" s="5" t="str">
        <f ca="1">IFERROR(__xludf.DUMMYFUNCTION("IFERROR(VLOOKUP(F771,IMPORTRANGE(""https://docs.google.com/spreadsheets/d/1Kvs4KS76FHFqLFIZfrDMff4kP08nblUkihrxltoGBjg/edit#gid=934712705"",""ESENCIAL!A6:BG""),3,FALSE))"),"")</f>
        <v/>
      </c>
      <c r="H754" s="5" t="str">
        <f ca="1">IFERROR(__xludf.DUMMYFUNCTION("IFERROR(VLOOKUP(F771,IMPORTRANGE(""https://docs.google.com/spreadsheets/d/1Kvs4KS76FHFqLFIZfrDMff4kP08nblUkihrxltoGBjg/edit#gid=934712705"",""ESENCIAL!A6:BG""),8,FALSE))"),"")</f>
        <v/>
      </c>
      <c r="L754" s="287"/>
      <c r="S754"/>
      <c r="AU754" s="41" t="str">
        <f t="shared" si="44"/>
        <v/>
      </c>
      <c r="AV754" s="5" t="str">
        <f ca="1">IFERROR(__xludf.DUMMYFUNCTION("IFERROR(VLOOKUP(E771&amp;F771,IMPORTRANGE(""https://docs.google.com/spreadsheets/d/1Uw7-A9f9R21vMXxHZFNpYNeKFtG8_yji4HS352LGlSQ/edit?pli=1#gid=0"",""1_ACUM!A4:S""),11,FALSE))"),"")</f>
        <v/>
      </c>
      <c r="AW754" s="42" t="str">
        <f ca="1">IFERROR(__xludf.DUMMYFUNCTION("IFERROR(VLOOKUP(F771,IMPORTRANGE(""https://docs.google.com/spreadsheets/d/1Kvs4KS76FHFqLFIZfrDMff4kP08nblUkihrxltoGBjg/edit#gid=934712705"",""ESENCIAL!A6:BG""),15,FALSE))"),"")</f>
        <v/>
      </c>
      <c r="AX754" s="21" t="str">
        <f ca="1">IFERROR(__xludf.DUMMYFUNCTION("IFERROR(VLOOKUP(E771&amp;F771,IMPORTRANGE(""https://docs.google.com/spreadsheets/d/1Uw7-A9f9R21vMXxHZFNpYNeKFtG8_yji4HS352LGlSQ/edit?pli=1#gid=0"",""1_ACUM!A4:S""),12,FALSE))"),"")</f>
        <v/>
      </c>
      <c r="AY754" s="43" t="str">
        <f ca="1">IFERROR(__xludf.DUMMYFUNCTION("IFERROR(VLOOKUP(E771&amp;F771,IMPORTRANGE(""https://docs.google.com/spreadsheets/d/1Uw7-A9f9R21vMXxHZFNpYNeKFtG8_yji4HS352LGlSQ/edit?pli=1#gid=0"",""1_ACUM!A4:S""),13,FALSE))"),"")</f>
        <v/>
      </c>
      <c r="AZ754" s="43" t="str">
        <f ca="1">IFERROR(__xludf.DUMMYFUNCTION("IFERROR(VLOOKUP(E771&amp;F771,IMPORTRANGE(""https://docs.google.com/spreadsheets/d/1Uw7-A9f9R21vMXxHZFNpYNeKFtG8_yji4HS352LGlSQ/edit?pli=1#gid=0"",""1_ACUM!A4:S""),14,FALSE))"),"")</f>
        <v/>
      </c>
      <c r="BA754" s="43" t="str">
        <f ca="1">IFERROR(__xludf.DUMMYFUNCTION("IFERROR(VLOOKUP(E771&amp;F771,IMPORTRANGE(""https://docs.google.com/spreadsheets/d/1Uw7-A9f9R21vMXxHZFNpYNeKFtG8_yji4HS352LGlSQ/edit?pli=1#gid=0"",""1_ACUM!A4:S""),15,FALSE))"),"")</f>
        <v/>
      </c>
      <c r="BB754" s="43" t="str">
        <f ca="1">IFERROR(__xludf.DUMMYFUNCTION("IFERROR(VLOOKUP(E771&amp;F771,IMPORTRANGE(""https://docs.google.com/spreadsheets/d/1Uw7-A9f9R21vMXxHZFNpYNeKFtG8_yji4HS352LGlSQ/edit?pli=1#gid=0"",""1_ACUM!A4:S""),16,FALSE))"),"")</f>
        <v/>
      </c>
      <c r="BC754" s="43" t="str">
        <f ca="1">IFERROR(__xludf.DUMMYFUNCTION("IFERROR(VLOOKUP(E771&amp;F771,IMPORTRANGE(""https://docs.google.com/spreadsheets/d/1Uw7-A9f9R21vMXxHZFNpYNeKFtG8_yji4HS352LGlSQ/edit?pli=1#gid=0"",""1_ACUM!A4:S""),17,FALSE))"),"")</f>
        <v/>
      </c>
      <c r="BD754" s="44" t="str">
        <f ca="1">IFERROR(__xludf.DUMMYFUNCTION("IFERROR(VLOOKUP(E771&amp;F771,IMPORTRANGE(""https://docs.google.com/spreadsheets/d/1Uw7-A9f9R21vMXxHZFNpYNeKFtG8_yji4HS352LGlSQ/edit?pli=1#gid=0"",""1_ACUM!A4:S""),18,FALSE))"),"")</f>
        <v/>
      </c>
      <c r="BE754" s="44" t="str">
        <f ca="1">IFERROR(__xludf.DUMMYFUNCTION("IFERROR(VLOOKUP(E771&amp;F771,IMPORTRANGE(""https://docs.google.com/spreadsheets/d/1Uw7-A9f9R21vMXxHZFNpYNeKFtG8_yji4HS352LGlSQ/edit?pli=1#gid=0"",""1_ACUM!A4:S""),19,FALSE))"),"")</f>
        <v/>
      </c>
      <c r="BF754" s="44" t="str">
        <f ca="1">IFERROR(__xludf.DUMMYFUNCTION("IFERROR(VLOOKUP(F771,IMPORTRANGE(""https://docs.google.com/spreadsheets/d/1Kvs4KS76FHFqLFIZfrDMff4kP08nblUkihrxltoGBjg/edit#gid=934712705"",""ESENCIAL!A6:BG""),5,FALSE))"),"")</f>
        <v/>
      </c>
      <c r="BG754" s="44" t="str">
        <f t="shared" si="45"/>
        <v/>
      </c>
      <c r="BH754" s="41" t="str">
        <f t="shared" si="46"/>
        <v/>
      </c>
      <c r="BI754" s="41" t="str">
        <f ca="1">IFERROR(__xludf.DUMMYFUNCTION("IFERROR(VLOOKUP(F771,IMPORTRANGE(""https://docs.google.com/spreadsheets/d/1Kvs4KS76FHFqLFIZfrDMff4kP08nblUkihrxltoGBjg/edit#gid=934712705"",""ESENCIAL!A6:BG""),18,FALSE))"),"")</f>
        <v/>
      </c>
      <c r="BJ754" s="19" t="str">
        <f t="shared" si="47"/>
        <v/>
      </c>
      <c r="BK754" s="41"/>
      <c r="BL754" s="41"/>
    </row>
    <row r="755" spans="1:64" ht="15">
      <c r="A755" s="4"/>
      <c r="B755" s="4"/>
      <c r="G755" s="5" t="str">
        <f ca="1">IFERROR(__xludf.DUMMYFUNCTION("IFERROR(VLOOKUP(F772,IMPORTRANGE(""https://docs.google.com/spreadsheets/d/1Kvs4KS76FHFqLFIZfrDMff4kP08nblUkihrxltoGBjg/edit#gid=934712705"",""ESENCIAL!A6:BG""),3,FALSE))"),"")</f>
        <v/>
      </c>
      <c r="H755" s="5" t="str">
        <f ca="1">IFERROR(__xludf.DUMMYFUNCTION("IFERROR(VLOOKUP(F772,IMPORTRANGE(""https://docs.google.com/spreadsheets/d/1Kvs4KS76FHFqLFIZfrDMff4kP08nblUkihrxltoGBjg/edit#gid=934712705"",""ESENCIAL!A6:BG""),8,FALSE))"),"")</f>
        <v/>
      </c>
      <c r="L755" s="287"/>
      <c r="S755"/>
      <c r="AU755" s="41" t="str">
        <f t="shared" si="44"/>
        <v/>
      </c>
      <c r="AV755" s="5" t="str">
        <f ca="1">IFERROR(__xludf.DUMMYFUNCTION("IFERROR(VLOOKUP(E772&amp;F772,IMPORTRANGE(""https://docs.google.com/spreadsheets/d/1Uw7-A9f9R21vMXxHZFNpYNeKFtG8_yji4HS352LGlSQ/edit?pli=1#gid=0"",""1_ACUM!A4:S""),11,FALSE))"),"")</f>
        <v/>
      </c>
      <c r="AW755" s="42" t="str">
        <f ca="1">IFERROR(__xludf.DUMMYFUNCTION("IFERROR(VLOOKUP(F772,IMPORTRANGE(""https://docs.google.com/spreadsheets/d/1Kvs4KS76FHFqLFIZfrDMff4kP08nblUkihrxltoGBjg/edit#gid=934712705"",""ESENCIAL!A6:BG""),15,FALSE))"),"")</f>
        <v/>
      </c>
      <c r="AX755" s="21" t="str">
        <f ca="1">IFERROR(__xludf.DUMMYFUNCTION("IFERROR(VLOOKUP(E772&amp;F772,IMPORTRANGE(""https://docs.google.com/spreadsheets/d/1Uw7-A9f9R21vMXxHZFNpYNeKFtG8_yji4HS352LGlSQ/edit?pli=1#gid=0"",""1_ACUM!A4:S""),12,FALSE))"),"")</f>
        <v/>
      </c>
      <c r="AY755" s="43" t="str">
        <f ca="1">IFERROR(__xludf.DUMMYFUNCTION("IFERROR(VLOOKUP(E772&amp;F772,IMPORTRANGE(""https://docs.google.com/spreadsheets/d/1Uw7-A9f9R21vMXxHZFNpYNeKFtG8_yji4HS352LGlSQ/edit?pli=1#gid=0"",""1_ACUM!A4:S""),13,FALSE))"),"")</f>
        <v/>
      </c>
      <c r="AZ755" s="43" t="str">
        <f ca="1">IFERROR(__xludf.DUMMYFUNCTION("IFERROR(VLOOKUP(E772&amp;F772,IMPORTRANGE(""https://docs.google.com/spreadsheets/d/1Uw7-A9f9R21vMXxHZFNpYNeKFtG8_yji4HS352LGlSQ/edit?pli=1#gid=0"",""1_ACUM!A4:S""),14,FALSE))"),"")</f>
        <v/>
      </c>
      <c r="BA755" s="43" t="str">
        <f ca="1">IFERROR(__xludf.DUMMYFUNCTION("IFERROR(VLOOKUP(E772&amp;F772,IMPORTRANGE(""https://docs.google.com/spreadsheets/d/1Uw7-A9f9R21vMXxHZFNpYNeKFtG8_yji4HS352LGlSQ/edit?pli=1#gid=0"",""1_ACUM!A4:S""),15,FALSE))"),"")</f>
        <v/>
      </c>
      <c r="BB755" s="43" t="str">
        <f ca="1">IFERROR(__xludf.DUMMYFUNCTION("IFERROR(VLOOKUP(E772&amp;F772,IMPORTRANGE(""https://docs.google.com/spreadsheets/d/1Uw7-A9f9R21vMXxHZFNpYNeKFtG8_yji4HS352LGlSQ/edit?pli=1#gid=0"",""1_ACUM!A4:S""),16,FALSE))"),"")</f>
        <v/>
      </c>
      <c r="BC755" s="43" t="str">
        <f ca="1">IFERROR(__xludf.DUMMYFUNCTION("IFERROR(VLOOKUP(E772&amp;F772,IMPORTRANGE(""https://docs.google.com/spreadsheets/d/1Uw7-A9f9R21vMXxHZFNpYNeKFtG8_yji4HS352LGlSQ/edit?pli=1#gid=0"",""1_ACUM!A4:S""),17,FALSE))"),"")</f>
        <v/>
      </c>
      <c r="BD755" s="44" t="str">
        <f ca="1">IFERROR(__xludf.DUMMYFUNCTION("IFERROR(VLOOKUP(E772&amp;F772,IMPORTRANGE(""https://docs.google.com/spreadsheets/d/1Uw7-A9f9R21vMXxHZFNpYNeKFtG8_yji4HS352LGlSQ/edit?pli=1#gid=0"",""1_ACUM!A4:S""),18,FALSE))"),"")</f>
        <v/>
      </c>
      <c r="BE755" s="44" t="str">
        <f ca="1">IFERROR(__xludf.DUMMYFUNCTION("IFERROR(VLOOKUP(E772&amp;F772,IMPORTRANGE(""https://docs.google.com/spreadsheets/d/1Uw7-A9f9R21vMXxHZFNpYNeKFtG8_yji4HS352LGlSQ/edit?pli=1#gid=0"",""1_ACUM!A4:S""),19,FALSE))"),"")</f>
        <v/>
      </c>
      <c r="BF755" s="44" t="str">
        <f ca="1">IFERROR(__xludf.DUMMYFUNCTION("IFERROR(VLOOKUP(F772,IMPORTRANGE(""https://docs.google.com/spreadsheets/d/1Kvs4KS76FHFqLFIZfrDMff4kP08nblUkihrxltoGBjg/edit#gid=934712705"",""ESENCIAL!A6:BG""),5,FALSE))"),"")</f>
        <v/>
      </c>
      <c r="BG755" s="44" t="str">
        <f t="shared" si="45"/>
        <v/>
      </c>
      <c r="BH755" s="41" t="str">
        <f t="shared" si="46"/>
        <v/>
      </c>
      <c r="BI755" s="41" t="str">
        <f ca="1">IFERROR(__xludf.DUMMYFUNCTION("IFERROR(VLOOKUP(F772,IMPORTRANGE(""https://docs.google.com/spreadsheets/d/1Kvs4KS76FHFqLFIZfrDMff4kP08nblUkihrxltoGBjg/edit#gid=934712705"",""ESENCIAL!A6:BG""),18,FALSE))"),"")</f>
        <v/>
      </c>
      <c r="BJ755" s="19" t="str">
        <f t="shared" si="47"/>
        <v/>
      </c>
      <c r="BK755" s="41"/>
      <c r="BL755" s="41"/>
    </row>
    <row r="756" spans="1:64" ht="15">
      <c r="A756" s="4"/>
      <c r="B756" s="4"/>
      <c r="G756" s="5" t="str">
        <f ca="1">IFERROR(__xludf.DUMMYFUNCTION("IFERROR(VLOOKUP(F773,IMPORTRANGE(""https://docs.google.com/spreadsheets/d/1Kvs4KS76FHFqLFIZfrDMff4kP08nblUkihrxltoGBjg/edit#gid=934712705"",""ESENCIAL!A6:BG""),3,FALSE))"),"")</f>
        <v/>
      </c>
      <c r="H756" s="5" t="str">
        <f ca="1">IFERROR(__xludf.DUMMYFUNCTION("IFERROR(VLOOKUP(F773,IMPORTRANGE(""https://docs.google.com/spreadsheets/d/1Kvs4KS76FHFqLFIZfrDMff4kP08nblUkihrxltoGBjg/edit#gid=934712705"",""ESENCIAL!A6:BG""),8,FALSE))"),"")</f>
        <v/>
      </c>
      <c r="L756" s="287"/>
      <c r="S756"/>
      <c r="AU756" s="41" t="str">
        <f t="shared" si="44"/>
        <v/>
      </c>
      <c r="AV756" s="5" t="str">
        <f ca="1">IFERROR(__xludf.DUMMYFUNCTION("IFERROR(VLOOKUP(E773&amp;F773,IMPORTRANGE(""https://docs.google.com/spreadsheets/d/1Uw7-A9f9R21vMXxHZFNpYNeKFtG8_yji4HS352LGlSQ/edit?pli=1#gid=0"",""1_ACUM!A4:S""),11,FALSE))"),"")</f>
        <v/>
      </c>
      <c r="AW756" s="42" t="str">
        <f ca="1">IFERROR(__xludf.DUMMYFUNCTION("IFERROR(VLOOKUP(F773,IMPORTRANGE(""https://docs.google.com/spreadsheets/d/1Kvs4KS76FHFqLFIZfrDMff4kP08nblUkihrxltoGBjg/edit#gid=934712705"",""ESENCIAL!A6:BG""),15,FALSE))"),"")</f>
        <v/>
      </c>
      <c r="AX756" s="21" t="str">
        <f ca="1">IFERROR(__xludf.DUMMYFUNCTION("IFERROR(VLOOKUP(E773&amp;F773,IMPORTRANGE(""https://docs.google.com/spreadsheets/d/1Uw7-A9f9R21vMXxHZFNpYNeKFtG8_yji4HS352LGlSQ/edit?pli=1#gid=0"",""1_ACUM!A4:S""),12,FALSE))"),"")</f>
        <v/>
      </c>
      <c r="AY756" s="43" t="str">
        <f ca="1">IFERROR(__xludf.DUMMYFUNCTION("IFERROR(VLOOKUP(E773&amp;F773,IMPORTRANGE(""https://docs.google.com/spreadsheets/d/1Uw7-A9f9R21vMXxHZFNpYNeKFtG8_yji4HS352LGlSQ/edit?pli=1#gid=0"",""1_ACUM!A4:S""),13,FALSE))"),"")</f>
        <v/>
      </c>
      <c r="AZ756" s="43" t="str">
        <f ca="1">IFERROR(__xludf.DUMMYFUNCTION("IFERROR(VLOOKUP(E773&amp;F773,IMPORTRANGE(""https://docs.google.com/spreadsheets/d/1Uw7-A9f9R21vMXxHZFNpYNeKFtG8_yji4HS352LGlSQ/edit?pli=1#gid=0"",""1_ACUM!A4:S""),14,FALSE))"),"")</f>
        <v/>
      </c>
      <c r="BA756" s="43" t="str">
        <f ca="1">IFERROR(__xludf.DUMMYFUNCTION("IFERROR(VLOOKUP(E773&amp;F773,IMPORTRANGE(""https://docs.google.com/spreadsheets/d/1Uw7-A9f9R21vMXxHZFNpYNeKFtG8_yji4HS352LGlSQ/edit?pli=1#gid=0"",""1_ACUM!A4:S""),15,FALSE))"),"")</f>
        <v/>
      </c>
      <c r="BB756" s="43" t="str">
        <f ca="1">IFERROR(__xludf.DUMMYFUNCTION("IFERROR(VLOOKUP(E773&amp;F773,IMPORTRANGE(""https://docs.google.com/spreadsheets/d/1Uw7-A9f9R21vMXxHZFNpYNeKFtG8_yji4HS352LGlSQ/edit?pli=1#gid=0"",""1_ACUM!A4:S""),16,FALSE))"),"")</f>
        <v/>
      </c>
      <c r="BC756" s="43" t="str">
        <f ca="1">IFERROR(__xludf.DUMMYFUNCTION("IFERROR(VLOOKUP(E773&amp;F773,IMPORTRANGE(""https://docs.google.com/spreadsheets/d/1Uw7-A9f9R21vMXxHZFNpYNeKFtG8_yji4HS352LGlSQ/edit?pli=1#gid=0"",""1_ACUM!A4:S""),17,FALSE))"),"")</f>
        <v/>
      </c>
      <c r="BD756" s="44" t="str">
        <f ca="1">IFERROR(__xludf.DUMMYFUNCTION("IFERROR(VLOOKUP(E773&amp;F773,IMPORTRANGE(""https://docs.google.com/spreadsheets/d/1Uw7-A9f9R21vMXxHZFNpYNeKFtG8_yji4HS352LGlSQ/edit?pli=1#gid=0"",""1_ACUM!A4:S""),18,FALSE))"),"")</f>
        <v/>
      </c>
      <c r="BE756" s="44" t="str">
        <f ca="1">IFERROR(__xludf.DUMMYFUNCTION("IFERROR(VLOOKUP(E773&amp;F773,IMPORTRANGE(""https://docs.google.com/spreadsheets/d/1Uw7-A9f9R21vMXxHZFNpYNeKFtG8_yji4HS352LGlSQ/edit?pli=1#gid=0"",""1_ACUM!A4:S""),19,FALSE))"),"")</f>
        <v/>
      </c>
      <c r="BF756" s="44" t="str">
        <f ca="1">IFERROR(__xludf.DUMMYFUNCTION("IFERROR(VLOOKUP(F773,IMPORTRANGE(""https://docs.google.com/spreadsheets/d/1Kvs4KS76FHFqLFIZfrDMff4kP08nblUkihrxltoGBjg/edit#gid=934712705"",""ESENCIAL!A6:BG""),5,FALSE))"),"")</f>
        <v/>
      </c>
      <c r="BG756" s="44" t="str">
        <f t="shared" si="45"/>
        <v/>
      </c>
      <c r="BH756" s="41" t="str">
        <f t="shared" si="46"/>
        <v/>
      </c>
      <c r="BI756" s="41" t="str">
        <f ca="1">IFERROR(__xludf.DUMMYFUNCTION("IFERROR(VLOOKUP(F773,IMPORTRANGE(""https://docs.google.com/spreadsheets/d/1Kvs4KS76FHFqLFIZfrDMff4kP08nblUkihrxltoGBjg/edit#gid=934712705"",""ESENCIAL!A6:BG""),18,FALSE))"),"")</f>
        <v/>
      </c>
      <c r="BJ756" s="19" t="str">
        <f t="shared" si="47"/>
        <v/>
      </c>
      <c r="BK756" s="41"/>
      <c r="BL756" s="41"/>
    </row>
    <row r="757" spans="1:64" ht="15">
      <c r="A757" s="4"/>
      <c r="B757" s="4"/>
      <c r="G757" s="5" t="str">
        <f ca="1">IFERROR(__xludf.DUMMYFUNCTION("IFERROR(VLOOKUP(F774,IMPORTRANGE(""https://docs.google.com/spreadsheets/d/1Kvs4KS76FHFqLFIZfrDMff4kP08nblUkihrxltoGBjg/edit#gid=934712705"",""ESENCIAL!A6:BG""),3,FALSE))"),"")</f>
        <v/>
      </c>
      <c r="H757" s="5" t="str">
        <f ca="1">IFERROR(__xludf.DUMMYFUNCTION("IFERROR(VLOOKUP(F774,IMPORTRANGE(""https://docs.google.com/spreadsheets/d/1Kvs4KS76FHFqLFIZfrDMff4kP08nblUkihrxltoGBjg/edit#gid=934712705"",""ESENCIAL!A6:BG""),8,FALSE))"),"")</f>
        <v/>
      </c>
      <c r="L757" s="287"/>
      <c r="S757"/>
      <c r="AU757" s="41" t="str">
        <f t="shared" si="44"/>
        <v/>
      </c>
      <c r="AV757" s="5" t="str">
        <f ca="1">IFERROR(__xludf.DUMMYFUNCTION("IFERROR(VLOOKUP(E774&amp;F774,IMPORTRANGE(""https://docs.google.com/spreadsheets/d/1Uw7-A9f9R21vMXxHZFNpYNeKFtG8_yji4HS352LGlSQ/edit?pli=1#gid=0"",""1_ACUM!A4:S""),11,FALSE))"),"")</f>
        <v/>
      </c>
      <c r="AW757" s="42" t="str">
        <f ca="1">IFERROR(__xludf.DUMMYFUNCTION("IFERROR(VLOOKUP(F774,IMPORTRANGE(""https://docs.google.com/spreadsheets/d/1Kvs4KS76FHFqLFIZfrDMff4kP08nblUkihrxltoGBjg/edit#gid=934712705"",""ESENCIAL!A6:BG""),15,FALSE))"),"")</f>
        <v/>
      </c>
      <c r="AX757" s="21" t="str">
        <f ca="1">IFERROR(__xludf.DUMMYFUNCTION("IFERROR(VLOOKUP(E774&amp;F774,IMPORTRANGE(""https://docs.google.com/spreadsheets/d/1Uw7-A9f9R21vMXxHZFNpYNeKFtG8_yji4HS352LGlSQ/edit?pli=1#gid=0"",""1_ACUM!A4:S""),12,FALSE))"),"")</f>
        <v/>
      </c>
      <c r="AY757" s="43" t="str">
        <f ca="1">IFERROR(__xludf.DUMMYFUNCTION("IFERROR(VLOOKUP(E774&amp;F774,IMPORTRANGE(""https://docs.google.com/spreadsheets/d/1Uw7-A9f9R21vMXxHZFNpYNeKFtG8_yji4HS352LGlSQ/edit?pli=1#gid=0"",""1_ACUM!A4:S""),13,FALSE))"),"")</f>
        <v/>
      </c>
      <c r="AZ757" s="43" t="str">
        <f ca="1">IFERROR(__xludf.DUMMYFUNCTION("IFERROR(VLOOKUP(E774&amp;F774,IMPORTRANGE(""https://docs.google.com/spreadsheets/d/1Uw7-A9f9R21vMXxHZFNpYNeKFtG8_yji4HS352LGlSQ/edit?pli=1#gid=0"",""1_ACUM!A4:S""),14,FALSE))"),"")</f>
        <v/>
      </c>
      <c r="BA757" s="43" t="str">
        <f ca="1">IFERROR(__xludf.DUMMYFUNCTION("IFERROR(VLOOKUP(E774&amp;F774,IMPORTRANGE(""https://docs.google.com/spreadsheets/d/1Uw7-A9f9R21vMXxHZFNpYNeKFtG8_yji4HS352LGlSQ/edit?pli=1#gid=0"",""1_ACUM!A4:S""),15,FALSE))"),"")</f>
        <v/>
      </c>
      <c r="BB757" s="43" t="str">
        <f ca="1">IFERROR(__xludf.DUMMYFUNCTION("IFERROR(VLOOKUP(E774&amp;F774,IMPORTRANGE(""https://docs.google.com/spreadsheets/d/1Uw7-A9f9R21vMXxHZFNpYNeKFtG8_yji4HS352LGlSQ/edit?pli=1#gid=0"",""1_ACUM!A4:S""),16,FALSE))"),"")</f>
        <v/>
      </c>
      <c r="BC757" s="43" t="str">
        <f ca="1">IFERROR(__xludf.DUMMYFUNCTION("IFERROR(VLOOKUP(E774&amp;F774,IMPORTRANGE(""https://docs.google.com/spreadsheets/d/1Uw7-A9f9R21vMXxHZFNpYNeKFtG8_yji4HS352LGlSQ/edit?pli=1#gid=0"",""1_ACUM!A4:S""),17,FALSE))"),"")</f>
        <v/>
      </c>
      <c r="BD757" s="44" t="str">
        <f ca="1">IFERROR(__xludf.DUMMYFUNCTION("IFERROR(VLOOKUP(E774&amp;F774,IMPORTRANGE(""https://docs.google.com/spreadsheets/d/1Uw7-A9f9R21vMXxHZFNpYNeKFtG8_yji4HS352LGlSQ/edit?pli=1#gid=0"",""1_ACUM!A4:S""),18,FALSE))"),"")</f>
        <v/>
      </c>
      <c r="BE757" s="44" t="str">
        <f ca="1">IFERROR(__xludf.DUMMYFUNCTION("IFERROR(VLOOKUP(E774&amp;F774,IMPORTRANGE(""https://docs.google.com/spreadsheets/d/1Uw7-A9f9R21vMXxHZFNpYNeKFtG8_yji4HS352LGlSQ/edit?pli=1#gid=0"",""1_ACUM!A4:S""),19,FALSE))"),"")</f>
        <v/>
      </c>
      <c r="BF757" s="44" t="str">
        <f ca="1">IFERROR(__xludf.DUMMYFUNCTION("IFERROR(VLOOKUP(F774,IMPORTRANGE(""https://docs.google.com/spreadsheets/d/1Kvs4KS76FHFqLFIZfrDMff4kP08nblUkihrxltoGBjg/edit#gid=934712705"",""ESENCIAL!A6:BG""),5,FALSE))"),"")</f>
        <v/>
      </c>
      <c r="BG757" s="44" t="str">
        <f t="shared" si="45"/>
        <v/>
      </c>
      <c r="BH757" s="41" t="str">
        <f t="shared" si="46"/>
        <v/>
      </c>
      <c r="BI757" s="41" t="str">
        <f ca="1">IFERROR(__xludf.DUMMYFUNCTION("IFERROR(VLOOKUP(F774,IMPORTRANGE(""https://docs.google.com/spreadsheets/d/1Kvs4KS76FHFqLFIZfrDMff4kP08nblUkihrxltoGBjg/edit#gid=934712705"",""ESENCIAL!A6:BG""),18,FALSE))"),"")</f>
        <v/>
      </c>
      <c r="BJ757" s="19" t="str">
        <f t="shared" si="47"/>
        <v/>
      </c>
      <c r="BK757" s="41"/>
      <c r="BL757" s="41"/>
    </row>
    <row r="758" spans="1:64" ht="15">
      <c r="A758" s="4"/>
      <c r="B758" s="4"/>
      <c r="G758" s="5" t="str">
        <f ca="1">IFERROR(__xludf.DUMMYFUNCTION("IFERROR(VLOOKUP(F775,IMPORTRANGE(""https://docs.google.com/spreadsheets/d/1Kvs4KS76FHFqLFIZfrDMff4kP08nblUkihrxltoGBjg/edit#gid=934712705"",""ESENCIAL!A6:BG""),3,FALSE))"),"")</f>
        <v/>
      </c>
      <c r="H758" s="5" t="str">
        <f ca="1">IFERROR(__xludf.DUMMYFUNCTION("IFERROR(VLOOKUP(F775,IMPORTRANGE(""https://docs.google.com/spreadsheets/d/1Kvs4KS76FHFqLFIZfrDMff4kP08nblUkihrxltoGBjg/edit#gid=934712705"",""ESENCIAL!A6:BG""),8,FALSE))"),"")</f>
        <v/>
      </c>
      <c r="L758" s="287"/>
      <c r="S758"/>
      <c r="AU758" s="41" t="str">
        <f t="shared" si="44"/>
        <v/>
      </c>
      <c r="AV758" s="5" t="str">
        <f ca="1">IFERROR(__xludf.DUMMYFUNCTION("IFERROR(VLOOKUP(E775&amp;F775,IMPORTRANGE(""https://docs.google.com/spreadsheets/d/1Uw7-A9f9R21vMXxHZFNpYNeKFtG8_yji4HS352LGlSQ/edit?pli=1#gid=0"",""1_ACUM!A4:S""),11,FALSE))"),"")</f>
        <v/>
      </c>
      <c r="AW758" s="42" t="str">
        <f ca="1">IFERROR(__xludf.DUMMYFUNCTION("IFERROR(VLOOKUP(F775,IMPORTRANGE(""https://docs.google.com/spreadsheets/d/1Kvs4KS76FHFqLFIZfrDMff4kP08nblUkihrxltoGBjg/edit#gid=934712705"",""ESENCIAL!A6:BG""),15,FALSE))"),"")</f>
        <v/>
      </c>
      <c r="AX758" s="21" t="str">
        <f ca="1">IFERROR(__xludf.DUMMYFUNCTION("IFERROR(VLOOKUP(E775&amp;F775,IMPORTRANGE(""https://docs.google.com/spreadsheets/d/1Uw7-A9f9R21vMXxHZFNpYNeKFtG8_yji4HS352LGlSQ/edit?pli=1#gid=0"",""1_ACUM!A4:S""),12,FALSE))"),"")</f>
        <v/>
      </c>
      <c r="AY758" s="43" t="str">
        <f ca="1">IFERROR(__xludf.DUMMYFUNCTION("IFERROR(VLOOKUP(E775&amp;F775,IMPORTRANGE(""https://docs.google.com/spreadsheets/d/1Uw7-A9f9R21vMXxHZFNpYNeKFtG8_yji4HS352LGlSQ/edit?pli=1#gid=0"",""1_ACUM!A4:S""),13,FALSE))"),"")</f>
        <v/>
      </c>
      <c r="AZ758" s="43" t="str">
        <f ca="1">IFERROR(__xludf.DUMMYFUNCTION("IFERROR(VLOOKUP(E775&amp;F775,IMPORTRANGE(""https://docs.google.com/spreadsheets/d/1Uw7-A9f9R21vMXxHZFNpYNeKFtG8_yji4HS352LGlSQ/edit?pli=1#gid=0"",""1_ACUM!A4:S""),14,FALSE))"),"")</f>
        <v/>
      </c>
      <c r="BA758" s="43" t="str">
        <f ca="1">IFERROR(__xludf.DUMMYFUNCTION("IFERROR(VLOOKUP(E775&amp;F775,IMPORTRANGE(""https://docs.google.com/spreadsheets/d/1Uw7-A9f9R21vMXxHZFNpYNeKFtG8_yji4HS352LGlSQ/edit?pli=1#gid=0"",""1_ACUM!A4:S""),15,FALSE))"),"")</f>
        <v/>
      </c>
      <c r="BB758" s="43" t="str">
        <f ca="1">IFERROR(__xludf.DUMMYFUNCTION("IFERROR(VLOOKUP(E775&amp;F775,IMPORTRANGE(""https://docs.google.com/spreadsheets/d/1Uw7-A9f9R21vMXxHZFNpYNeKFtG8_yji4HS352LGlSQ/edit?pli=1#gid=0"",""1_ACUM!A4:S""),16,FALSE))"),"")</f>
        <v/>
      </c>
      <c r="BC758" s="43" t="str">
        <f ca="1">IFERROR(__xludf.DUMMYFUNCTION("IFERROR(VLOOKUP(E775&amp;F775,IMPORTRANGE(""https://docs.google.com/spreadsheets/d/1Uw7-A9f9R21vMXxHZFNpYNeKFtG8_yji4HS352LGlSQ/edit?pli=1#gid=0"",""1_ACUM!A4:S""),17,FALSE))"),"")</f>
        <v/>
      </c>
      <c r="BD758" s="44" t="str">
        <f ca="1">IFERROR(__xludf.DUMMYFUNCTION("IFERROR(VLOOKUP(E775&amp;F775,IMPORTRANGE(""https://docs.google.com/spreadsheets/d/1Uw7-A9f9R21vMXxHZFNpYNeKFtG8_yji4HS352LGlSQ/edit?pli=1#gid=0"",""1_ACUM!A4:S""),18,FALSE))"),"")</f>
        <v/>
      </c>
      <c r="BE758" s="44" t="str">
        <f ca="1">IFERROR(__xludf.DUMMYFUNCTION("IFERROR(VLOOKUP(E775&amp;F775,IMPORTRANGE(""https://docs.google.com/spreadsheets/d/1Uw7-A9f9R21vMXxHZFNpYNeKFtG8_yji4HS352LGlSQ/edit?pli=1#gid=0"",""1_ACUM!A4:S""),19,FALSE))"),"")</f>
        <v/>
      </c>
      <c r="BF758" s="44" t="str">
        <f ca="1">IFERROR(__xludf.DUMMYFUNCTION("IFERROR(VLOOKUP(F775,IMPORTRANGE(""https://docs.google.com/spreadsheets/d/1Kvs4KS76FHFqLFIZfrDMff4kP08nblUkihrxltoGBjg/edit#gid=934712705"",""ESENCIAL!A6:BG""),5,FALSE))"),"")</f>
        <v/>
      </c>
      <c r="BG758" s="44" t="str">
        <f t="shared" si="45"/>
        <v/>
      </c>
      <c r="BH758" s="41" t="str">
        <f t="shared" si="46"/>
        <v/>
      </c>
      <c r="BI758" s="41" t="str">
        <f ca="1">IFERROR(__xludf.DUMMYFUNCTION("IFERROR(VLOOKUP(F775,IMPORTRANGE(""https://docs.google.com/spreadsheets/d/1Kvs4KS76FHFqLFIZfrDMff4kP08nblUkihrxltoGBjg/edit#gid=934712705"",""ESENCIAL!A6:BG""),18,FALSE))"),"")</f>
        <v/>
      </c>
      <c r="BJ758" s="19" t="str">
        <f t="shared" si="47"/>
        <v/>
      </c>
      <c r="BK758" s="41"/>
      <c r="BL758" s="41"/>
    </row>
    <row r="759" spans="1:64" ht="15">
      <c r="A759" s="4"/>
      <c r="B759" s="4"/>
      <c r="G759" s="5" t="str">
        <f ca="1">IFERROR(__xludf.DUMMYFUNCTION("IFERROR(VLOOKUP(F776,IMPORTRANGE(""https://docs.google.com/spreadsheets/d/1Kvs4KS76FHFqLFIZfrDMff4kP08nblUkihrxltoGBjg/edit#gid=934712705"",""ESENCIAL!A6:BG""),3,FALSE))"),"")</f>
        <v/>
      </c>
      <c r="H759" s="5" t="str">
        <f ca="1">IFERROR(__xludf.DUMMYFUNCTION("IFERROR(VLOOKUP(F776,IMPORTRANGE(""https://docs.google.com/spreadsheets/d/1Kvs4KS76FHFqLFIZfrDMff4kP08nblUkihrxltoGBjg/edit#gid=934712705"",""ESENCIAL!A6:BG""),8,FALSE))"),"")</f>
        <v/>
      </c>
      <c r="L759" s="287"/>
      <c r="S759"/>
      <c r="AU759" s="41" t="str">
        <f t="shared" si="44"/>
        <v/>
      </c>
      <c r="AV759" s="5" t="str">
        <f ca="1">IFERROR(__xludf.DUMMYFUNCTION("IFERROR(VLOOKUP(E776&amp;F776,IMPORTRANGE(""https://docs.google.com/spreadsheets/d/1Uw7-A9f9R21vMXxHZFNpYNeKFtG8_yji4HS352LGlSQ/edit?pli=1#gid=0"",""1_ACUM!A4:S""),11,FALSE))"),"")</f>
        <v/>
      </c>
      <c r="AW759" s="42" t="str">
        <f ca="1">IFERROR(__xludf.DUMMYFUNCTION("IFERROR(VLOOKUP(F776,IMPORTRANGE(""https://docs.google.com/spreadsheets/d/1Kvs4KS76FHFqLFIZfrDMff4kP08nblUkihrxltoGBjg/edit#gid=934712705"",""ESENCIAL!A6:BG""),15,FALSE))"),"")</f>
        <v/>
      </c>
      <c r="AX759" s="21" t="str">
        <f ca="1">IFERROR(__xludf.DUMMYFUNCTION("IFERROR(VLOOKUP(E776&amp;F776,IMPORTRANGE(""https://docs.google.com/spreadsheets/d/1Uw7-A9f9R21vMXxHZFNpYNeKFtG8_yji4HS352LGlSQ/edit?pli=1#gid=0"",""1_ACUM!A4:S""),12,FALSE))"),"")</f>
        <v/>
      </c>
      <c r="AY759" s="43" t="str">
        <f ca="1">IFERROR(__xludf.DUMMYFUNCTION("IFERROR(VLOOKUP(E776&amp;F776,IMPORTRANGE(""https://docs.google.com/spreadsheets/d/1Uw7-A9f9R21vMXxHZFNpYNeKFtG8_yji4HS352LGlSQ/edit?pli=1#gid=0"",""1_ACUM!A4:S""),13,FALSE))"),"")</f>
        <v/>
      </c>
      <c r="AZ759" s="43" t="str">
        <f ca="1">IFERROR(__xludf.DUMMYFUNCTION("IFERROR(VLOOKUP(E776&amp;F776,IMPORTRANGE(""https://docs.google.com/spreadsheets/d/1Uw7-A9f9R21vMXxHZFNpYNeKFtG8_yji4HS352LGlSQ/edit?pli=1#gid=0"",""1_ACUM!A4:S""),14,FALSE))"),"")</f>
        <v/>
      </c>
      <c r="BA759" s="43" t="str">
        <f ca="1">IFERROR(__xludf.DUMMYFUNCTION("IFERROR(VLOOKUP(E776&amp;F776,IMPORTRANGE(""https://docs.google.com/spreadsheets/d/1Uw7-A9f9R21vMXxHZFNpYNeKFtG8_yji4HS352LGlSQ/edit?pli=1#gid=0"",""1_ACUM!A4:S""),15,FALSE))"),"")</f>
        <v/>
      </c>
      <c r="BB759" s="43" t="str">
        <f ca="1">IFERROR(__xludf.DUMMYFUNCTION("IFERROR(VLOOKUP(E776&amp;F776,IMPORTRANGE(""https://docs.google.com/spreadsheets/d/1Uw7-A9f9R21vMXxHZFNpYNeKFtG8_yji4HS352LGlSQ/edit?pli=1#gid=0"",""1_ACUM!A4:S""),16,FALSE))"),"")</f>
        <v/>
      </c>
      <c r="BC759" s="43" t="str">
        <f ca="1">IFERROR(__xludf.DUMMYFUNCTION("IFERROR(VLOOKUP(E776&amp;F776,IMPORTRANGE(""https://docs.google.com/spreadsheets/d/1Uw7-A9f9R21vMXxHZFNpYNeKFtG8_yji4HS352LGlSQ/edit?pli=1#gid=0"",""1_ACUM!A4:S""),17,FALSE))"),"")</f>
        <v/>
      </c>
      <c r="BD759" s="44" t="str">
        <f ca="1">IFERROR(__xludf.DUMMYFUNCTION("IFERROR(VLOOKUP(E776&amp;F776,IMPORTRANGE(""https://docs.google.com/spreadsheets/d/1Uw7-A9f9R21vMXxHZFNpYNeKFtG8_yji4HS352LGlSQ/edit?pli=1#gid=0"",""1_ACUM!A4:S""),18,FALSE))"),"")</f>
        <v/>
      </c>
      <c r="BE759" s="44" t="str">
        <f ca="1">IFERROR(__xludf.DUMMYFUNCTION("IFERROR(VLOOKUP(E776&amp;F776,IMPORTRANGE(""https://docs.google.com/spreadsheets/d/1Uw7-A9f9R21vMXxHZFNpYNeKFtG8_yji4HS352LGlSQ/edit?pli=1#gid=0"",""1_ACUM!A4:S""),19,FALSE))"),"")</f>
        <v/>
      </c>
      <c r="BF759" s="44" t="str">
        <f ca="1">IFERROR(__xludf.DUMMYFUNCTION("IFERROR(VLOOKUP(F776,IMPORTRANGE(""https://docs.google.com/spreadsheets/d/1Kvs4KS76FHFqLFIZfrDMff4kP08nblUkihrxltoGBjg/edit#gid=934712705"",""ESENCIAL!A6:BG""),5,FALSE))"),"")</f>
        <v/>
      </c>
      <c r="BG759" s="44" t="str">
        <f t="shared" si="45"/>
        <v/>
      </c>
      <c r="BH759" s="41" t="str">
        <f t="shared" si="46"/>
        <v/>
      </c>
      <c r="BI759" s="41" t="str">
        <f ca="1">IFERROR(__xludf.DUMMYFUNCTION("IFERROR(VLOOKUP(F776,IMPORTRANGE(""https://docs.google.com/spreadsheets/d/1Kvs4KS76FHFqLFIZfrDMff4kP08nblUkihrxltoGBjg/edit#gid=934712705"",""ESENCIAL!A6:BG""),18,FALSE))"),"")</f>
        <v/>
      </c>
      <c r="BJ759" s="19" t="str">
        <f t="shared" si="47"/>
        <v/>
      </c>
      <c r="BK759" s="41"/>
      <c r="BL759" s="41"/>
    </row>
    <row r="760" spans="1:64" ht="15">
      <c r="A760" s="4"/>
      <c r="B760" s="4"/>
      <c r="G760" s="5" t="str">
        <f ca="1">IFERROR(__xludf.DUMMYFUNCTION("IFERROR(VLOOKUP(F777,IMPORTRANGE(""https://docs.google.com/spreadsheets/d/1Kvs4KS76FHFqLFIZfrDMff4kP08nblUkihrxltoGBjg/edit#gid=934712705"",""ESENCIAL!A6:BG""),3,FALSE))"),"")</f>
        <v/>
      </c>
      <c r="H760" s="5" t="str">
        <f ca="1">IFERROR(__xludf.DUMMYFUNCTION("IFERROR(VLOOKUP(F777,IMPORTRANGE(""https://docs.google.com/spreadsheets/d/1Kvs4KS76FHFqLFIZfrDMff4kP08nblUkihrxltoGBjg/edit#gid=934712705"",""ESENCIAL!A6:BG""),8,FALSE))"),"")</f>
        <v/>
      </c>
      <c r="L760" s="287"/>
      <c r="S760"/>
      <c r="AU760" s="41" t="str">
        <f t="shared" si="44"/>
        <v/>
      </c>
      <c r="AV760" s="5" t="str">
        <f ca="1">IFERROR(__xludf.DUMMYFUNCTION("IFERROR(VLOOKUP(E777&amp;F777,IMPORTRANGE(""https://docs.google.com/spreadsheets/d/1Uw7-A9f9R21vMXxHZFNpYNeKFtG8_yji4HS352LGlSQ/edit?pli=1#gid=0"",""1_ACUM!A4:S""),11,FALSE))"),"")</f>
        <v/>
      </c>
      <c r="AW760" s="42" t="str">
        <f ca="1">IFERROR(__xludf.DUMMYFUNCTION("IFERROR(VLOOKUP(F777,IMPORTRANGE(""https://docs.google.com/spreadsheets/d/1Kvs4KS76FHFqLFIZfrDMff4kP08nblUkihrxltoGBjg/edit#gid=934712705"",""ESENCIAL!A6:BG""),15,FALSE))"),"")</f>
        <v/>
      </c>
      <c r="AX760" s="21" t="str">
        <f ca="1">IFERROR(__xludf.DUMMYFUNCTION("IFERROR(VLOOKUP(E777&amp;F777,IMPORTRANGE(""https://docs.google.com/spreadsheets/d/1Uw7-A9f9R21vMXxHZFNpYNeKFtG8_yji4HS352LGlSQ/edit?pli=1#gid=0"",""1_ACUM!A4:S""),12,FALSE))"),"")</f>
        <v/>
      </c>
      <c r="AY760" s="43" t="str">
        <f ca="1">IFERROR(__xludf.DUMMYFUNCTION("IFERROR(VLOOKUP(E777&amp;F777,IMPORTRANGE(""https://docs.google.com/spreadsheets/d/1Uw7-A9f9R21vMXxHZFNpYNeKFtG8_yji4HS352LGlSQ/edit?pli=1#gid=0"",""1_ACUM!A4:S""),13,FALSE))"),"")</f>
        <v/>
      </c>
      <c r="AZ760" s="43" t="str">
        <f ca="1">IFERROR(__xludf.DUMMYFUNCTION("IFERROR(VLOOKUP(E777&amp;F777,IMPORTRANGE(""https://docs.google.com/spreadsheets/d/1Uw7-A9f9R21vMXxHZFNpYNeKFtG8_yji4HS352LGlSQ/edit?pli=1#gid=0"",""1_ACUM!A4:S""),14,FALSE))"),"")</f>
        <v/>
      </c>
      <c r="BA760" s="43" t="str">
        <f ca="1">IFERROR(__xludf.DUMMYFUNCTION("IFERROR(VLOOKUP(E777&amp;F777,IMPORTRANGE(""https://docs.google.com/spreadsheets/d/1Uw7-A9f9R21vMXxHZFNpYNeKFtG8_yji4HS352LGlSQ/edit?pli=1#gid=0"",""1_ACUM!A4:S""),15,FALSE))"),"")</f>
        <v/>
      </c>
      <c r="BB760" s="43" t="str">
        <f ca="1">IFERROR(__xludf.DUMMYFUNCTION("IFERROR(VLOOKUP(E777&amp;F777,IMPORTRANGE(""https://docs.google.com/spreadsheets/d/1Uw7-A9f9R21vMXxHZFNpYNeKFtG8_yji4HS352LGlSQ/edit?pli=1#gid=0"",""1_ACUM!A4:S""),16,FALSE))"),"")</f>
        <v/>
      </c>
      <c r="BC760" s="43" t="str">
        <f ca="1">IFERROR(__xludf.DUMMYFUNCTION("IFERROR(VLOOKUP(E777&amp;F777,IMPORTRANGE(""https://docs.google.com/spreadsheets/d/1Uw7-A9f9R21vMXxHZFNpYNeKFtG8_yji4HS352LGlSQ/edit?pli=1#gid=0"",""1_ACUM!A4:S""),17,FALSE))"),"")</f>
        <v/>
      </c>
      <c r="BD760" s="44" t="str">
        <f ca="1">IFERROR(__xludf.DUMMYFUNCTION("IFERROR(VLOOKUP(E777&amp;F777,IMPORTRANGE(""https://docs.google.com/spreadsheets/d/1Uw7-A9f9R21vMXxHZFNpYNeKFtG8_yji4HS352LGlSQ/edit?pli=1#gid=0"",""1_ACUM!A4:S""),18,FALSE))"),"")</f>
        <v/>
      </c>
      <c r="BE760" s="44" t="str">
        <f ca="1">IFERROR(__xludf.DUMMYFUNCTION("IFERROR(VLOOKUP(E777&amp;F777,IMPORTRANGE(""https://docs.google.com/spreadsheets/d/1Uw7-A9f9R21vMXxHZFNpYNeKFtG8_yji4HS352LGlSQ/edit?pli=1#gid=0"",""1_ACUM!A4:S""),19,FALSE))"),"")</f>
        <v/>
      </c>
      <c r="BF760" s="44" t="str">
        <f ca="1">IFERROR(__xludf.DUMMYFUNCTION("IFERROR(VLOOKUP(F777,IMPORTRANGE(""https://docs.google.com/spreadsheets/d/1Kvs4KS76FHFqLFIZfrDMff4kP08nblUkihrxltoGBjg/edit#gid=934712705"",""ESENCIAL!A6:BG""),5,FALSE))"),"")</f>
        <v/>
      </c>
      <c r="BG760" s="44" t="str">
        <f t="shared" si="45"/>
        <v/>
      </c>
      <c r="BH760" s="41" t="str">
        <f t="shared" si="46"/>
        <v/>
      </c>
      <c r="BI760" s="41" t="str">
        <f ca="1">IFERROR(__xludf.DUMMYFUNCTION("IFERROR(VLOOKUP(F777,IMPORTRANGE(""https://docs.google.com/spreadsheets/d/1Kvs4KS76FHFqLFIZfrDMff4kP08nblUkihrxltoGBjg/edit#gid=934712705"",""ESENCIAL!A6:BG""),18,FALSE))"),"")</f>
        <v/>
      </c>
      <c r="BJ760" s="19" t="str">
        <f t="shared" si="47"/>
        <v/>
      </c>
      <c r="BK760" s="41"/>
      <c r="BL760" s="41"/>
    </row>
    <row r="761" spans="1:64" ht="15">
      <c r="A761" s="4"/>
      <c r="B761" s="4"/>
      <c r="G761" s="5" t="str">
        <f ca="1">IFERROR(__xludf.DUMMYFUNCTION("IFERROR(VLOOKUP(F778,IMPORTRANGE(""https://docs.google.com/spreadsheets/d/1Kvs4KS76FHFqLFIZfrDMff4kP08nblUkihrxltoGBjg/edit#gid=934712705"",""ESENCIAL!A6:BG""),3,FALSE))"),"")</f>
        <v/>
      </c>
      <c r="H761" s="5" t="str">
        <f ca="1">IFERROR(__xludf.DUMMYFUNCTION("IFERROR(VLOOKUP(F778,IMPORTRANGE(""https://docs.google.com/spreadsheets/d/1Kvs4KS76FHFqLFIZfrDMff4kP08nblUkihrxltoGBjg/edit#gid=934712705"",""ESENCIAL!A6:BG""),8,FALSE))"),"")</f>
        <v/>
      </c>
      <c r="L761" s="287"/>
      <c r="S761"/>
      <c r="AU761" s="41" t="str">
        <f t="shared" si="44"/>
        <v/>
      </c>
      <c r="AV761" s="5" t="str">
        <f ca="1">IFERROR(__xludf.DUMMYFUNCTION("IFERROR(VLOOKUP(E778&amp;F778,IMPORTRANGE(""https://docs.google.com/spreadsheets/d/1Uw7-A9f9R21vMXxHZFNpYNeKFtG8_yji4HS352LGlSQ/edit?pli=1#gid=0"",""1_ACUM!A4:S""),11,FALSE))"),"")</f>
        <v/>
      </c>
      <c r="AW761" s="42" t="str">
        <f ca="1">IFERROR(__xludf.DUMMYFUNCTION("IFERROR(VLOOKUP(F778,IMPORTRANGE(""https://docs.google.com/spreadsheets/d/1Kvs4KS76FHFqLFIZfrDMff4kP08nblUkihrxltoGBjg/edit#gid=934712705"",""ESENCIAL!A6:BG""),15,FALSE))"),"")</f>
        <v/>
      </c>
      <c r="AX761" s="21" t="str">
        <f ca="1">IFERROR(__xludf.DUMMYFUNCTION("IFERROR(VLOOKUP(E778&amp;F778,IMPORTRANGE(""https://docs.google.com/spreadsheets/d/1Uw7-A9f9R21vMXxHZFNpYNeKFtG8_yji4HS352LGlSQ/edit?pli=1#gid=0"",""1_ACUM!A4:S""),12,FALSE))"),"")</f>
        <v/>
      </c>
      <c r="AY761" s="43" t="str">
        <f ca="1">IFERROR(__xludf.DUMMYFUNCTION("IFERROR(VLOOKUP(E778&amp;F778,IMPORTRANGE(""https://docs.google.com/spreadsheets/d/1Uw7-A9f9R21vMXxHZFNpYNeKFtG8_yji4HS352LGlSQ/edit?pli=1#gid=0"",""1_ACUM!A4:S""),13,FALSE))"),"")</f>
        <v/>
      </c>
      <c r="AZ761" s="43" t="str">
        <f ca="1">IFERROR(__xludf.DUMMYFUNCTION("IFERROR(VLOOKUP(E778&amp;F778,IMPORTRANGE(""https://docs.google.com/spreadsheets/d/1Uw7-A9f9R21vMXxHZFNpYNeKFtG8_yji4HS352LGlSQ/edit?pli=1#gid=0"",""1_ACUM!A4:S""),14,FALSE))"),"")</f>
        <v/>
      </c>
      <c r="BA761" s="43" t="str">
        <f ca="1">IFERROR(__xludf.DUMMYFUNCTION("IFERROR(VLOOKUP(E778&amp;F778,IMPORTRANGE(""https://docs.google.com/spreadsheets/d/1Uw7-A9f9R21vMXxHZFNpYNeKFtG8_yji4HS352LGlSQ/edit?pli=1#gid=0"",""1_ACUM!A4:S""),15,FALSE))"),"")</f>
        <v/>
      </c>
      <c r="BB761" s="43" t="str">
        <f ca="1">IFERROR(__xludf.DUMMYFUNCTION("IFERROR(VLOOKUP(E778&amp;F778,IMPORTRANGE(""https://docs.google.com/spreadsheets/d/1Uw7-A9f9R21vMXxHZFNpYNeKFtG8_yji4HS352LGlSQ/edit?pli=1#gid=0"",""1_ACUM!A4:S""),16,FALSE))"),"")</f>
        <v/>
      </c>
      <c r="BC761" s="43" t="str">
        <f ca="1">IFERROR(__xludf.DUMMYFUNCTION("IFERROR(VLOOKUP(E778&amp;F778,IMPORTRANGE(""https://docs.google.com/spreadsheets/d/1Uw7-A9f9R21vMXxHZFNpYNeKFtG8_yji4HS352LGlSQ/edit?pli=1#gid=0"",""1_ACUM!A4:S""),17,FALSE))"),"")</f>
        <v/>
      </c>
      <c r="BD761" s="44" t="str">
        <f ca="1">IFERROR(__xludf.DUMMYFUNCTION("IFERROR(VLOOKUP(E778&amp;F778,IMPORTRANGE(""https://docs.google.com/spreadsheets/d/1Uw7-A9f9R21vMXxHZFNpYNeKFtG8_yji4HS352LGlSQ/edit?pli=1#gid=0"",""1_ACUM!A4:S""),18,FALSE))"),"")</f>
        <v/>
      </c>
      <c r="BE761" s="44" t="str">
        <f ca="1">IFERROR(__xludf.DUMMYFUNCTION("IFERROR(VLOOKUP(E778&amp;F778,IMPORTRANGE(""https://docs.google.com/spreadsheets/d/1Uw7-A9f9R21vMXxHZFNpYNeKFtG8_yji4HS352LGlSQ/edit?pli=1#gid=0"",""1_ACUM!A4:S""),19,FALSE))"),"")</f>
        <v/>
      </c>
      <c r="BF761" s="44" t="str">
        <f ca="1">IFERROR(__xludf.DUMMYFUNCTION("IFERROR(VLOOKUP(F778,IMPORTRANGE(""https://docs.google.com/spreadsheets/d/1Kvs4KS76FHFqLFIZfrDMff4kP08nblUkihrxltoGBjg/edit#gid=934712705"",""ESENCIAL!A6:BG""),5,FALSE))"),"")</f>
        <v/>
      </c>
      <c r="BG761" s="44" t="str">
        <f t="shared" si="45"/>
        <v/>
      </c>
      <c r="BH761" s="41" t="str">
        <f t="shared" si="46"/>
        <v/>
      </c>
      <c r="BI761" s="41" t="str">
        <f ca="1">IFERROR(__xludf.DUMMYFUNCTION("IFERROR(VLOOKUP(F778,IMPORTRANGE(""https://docs.google.com/spreadsheets/d/1Kvs4KS76FHFqLFIZfrDMff4kP08nblUkihrxltoGBjg/edit#gid=934712705"",""ESENCIAL!A6:BG""),18,FALSE))"),"")</f>
        <v/>
      </c>
      <c r="BJ761" s="19" t="str">
        <f t="shared" si="47"/>
        <v/>
      </c>
      <c r="BK761" s="41"/>
      <c r="BL761" s="41"/>
    </row>
    <row r="762" spans="1:64" ht="15">
      <c r="A762" s="4"/>
      <c r="B762" s="4"/>
      <c r="G762" s="5" t="str">
        <f ca="1">IFERROR(__xludf.DUMMYFUNCTION("IFERROR(VLOOKUP(F779,IMPORTRANGE(""https://docs.google.com/spreadsheets/d/1Kvs4KS76FHFqLFIZfrDMff4kP08nblUkihrxltoGBjg/edit#gid=934712705"",""ESENCIAL!A6:BG""),3,FALSE))"),"")</f>
        <v/>
      </c>
      <c r="H762" s="5" t="str">
        <f ca="1">IFERROR(__xludf.DUMMYFUNCTION("IFERROR(VLOOKUP(F779,IMPORTRANGE(""https://docs.google.com/spreadsheets/d/1Kvs4KS76FHFqLFIZfrDMff4kP08nblUkihrxltoGBjg/edit#gid=934712705"",""ESENCIAL!A6:BG""),8,FALSE))"),"")</f>
        <v/>
      </c>
      <c r="L762" s="287"/>
      <c r="S762"/>
      <c r="AU762" s="41" t="str">
        <f t="shared" si="44"/>
        <v/>
      </c>
      <c r="AV762" s="5" t="str">
        <f ca="1">IFERROR(__xludf.DUMMYFUNCTION("IFERROR(VLOOKUP(E779&amp;F779,IMPORTRANGE(""https://docs.google.com/spreadsheets/d/1Uw7-A9f9R21vMXxHZFNpYNeKFtG8_yji4HS352LGlSQ/edit?pli=1#gid=0"",""1_ACUM!A4:S""),11,FALSE))"),"")</f>
        <v/>
      </c>
      <c r="AW762" s="42" t="str">
        <f ca="1">IFERROR(__xludf.DUMMYFUNCTION("IFERROR(VLOOKUP(F779,IMPORTRANGE(""https://docs.google.com/spreadsheets/d/1Kvs4KS76FHFqLFIZfrDMff4kP08nblUkihrxltoGBjg/edit#gid=934712705"",""ESENCIAL!A6:BG""),15,FALSE))"),"")</f>
        <v/>
      </c>
      <c r="AX762" s="21" t="str">
        <f ca="1">IFERROR(__xludf.DUMMYFUNCTION("IFERROR(VLOOKUP(E779&amp;F779,IMPORTRANGE(""https://docs.google.com/spreadsheets/d/1Uw7-A9f9R21vMXxHZFNpYNeKFtG8_yji4HS352LGlSQ/edit?pli=1#gid=0"",""1_ACUM!A4:S""),12,FALSE))"),"")</f>
        <v/>
      </c>
      <c r="AY762" s="43" t="str">
        <f ca="1">IFERROR(__xludf.DUMMYFUNCTION("IFERROR(VLOOKUP(E779&amp;F779,IMPORTRANGE(""https://docs.google.com/spreadsheets/d/1Uw7-A9f9R21vMXxHZFNpYNeKFtG8_yji4HS352LGlSQ/edit?pli=1#gid=0"",""1_ACUM!A4:S""),13,FALSE))"),"")</f>
        <v/>
      </c>
      <c r="AZ762" s="43" t="str">
        <f ca="1">IFERROR(__xludf.DUMMYFUNCTION("IFERROR(VLOOKUP(E779&amp;F779,IMPORTRANGE(""https://docs.google.com/spreadsheets/d/1Uw7-A9f9R21vMXxHZFNpYNeKFtG8_yji4HS352LGlSQ/edit?pli=1#gid=0"",""1_ACUM!A4:S""),14,FALSE))"),"")</f>
        <v/>
      </c>
      <c r="BA762" s="43" t="str">
        <f ca="1">IFERROR(__xludf.DUMMYFUNCTION("IFERROR(VLOOKUP(E779&amp;F779,IMPORTRANGE(""https://docs.google.com/spreadsheets/d/1Uw7-A9f9R21vMXxHZFNpYNeKFtG8_yji4HS352LGlSQ/edit?pli=1#gid=0"",""1_ACUM!A4:S""),15,FALSE))"),"")</f>
        <v/>
      </c>
      <c r="BB762" s="43" t="str">
        <f ca="1">IFERROR(__xludf.DUMMYFUNCTION("IFERROR(VLOOKUP(E779&amp;F779,IMPORTRANGE(""https://docs.google.com/spreadsheets/d/1Uw7-A9f9R21vMXxHZFNpYNeKFtG8_yji4HS352LGlSQ/edit?pli=1#gid=0"",""1_ACUM!A4:S""),16,FALSE))"),"")</f>
        <v/>
      </c>
      <c r="BC762" s="43" t="str">
        <f ca="1">IFERROR(__xludf.DUMMYFUNCTION("IFERROR(VLOOKUP(E779&amp;F779,IMPORTRANGE(""https://docs.google.com/spreadsheets/d/1Uw7-A9f9R21vMXxHZFNpYNeKFtG8_yji4HS352LGlSQ/edit?pli=1#gid=0"",""1_ACUM!A4:S""),17,FALSE))"),"")</f>
        <v/>
      </c>
      <c r="BD762" s="44" t="str">
        <f ca="1">IFERROR(__xludf.DUMMYFUNCTION("IFERROR(VLOOKUP(E779&amp;F779,IMPORTRANGE(""https://docs.google.com/spreadsheets/d/1Uw7-A9f9R21vMXxHZFNpYNeKFtG8_yji4HS352LGlSQ/edit?pli=1#gid=0"",""1_ACUM!A4:S""),18,FALSE))"),"")</f>
        <v/>
      </c>
      <c r="BE762" s="44" t="str">
        <f ca="1">IFERROR(__xludf.DUMMYFUNCTION("IFERROR(VLOOKUP(E779&amp;F779,IMPORTRANGE(""https://docs.google.com/spreadsheets/d/1Uw7-A9f9R21vMXxHZFNpYNeKFtG8_yji4HS352LGlSQ/edit?pli=1#gid=0"",""1_ACUM!A4:S""),19,FALSE))"),"")</f>
        <v/>
      </c>
      <c r="BF762" s="44" t="str">
        <f ca="1">IFERROR(__xludf.DUMMYFUNCTION("IFERROR(VLOOKUP(F779,IMPORTRANGE(""https://docs.google.com/spreadsheets/d/1Kvs4KS76FHFqLFIZfrDMff4kP08nblUkihrxltoGBjg/edit#gid=934712705"",""ESENCIAL!A6:BG""),5,FALSE))"),"")</f>
        <v/>
      </c>
      <c r="BG762" s="44" t="str">
        <f t="shared" si="45"/>
        <v/>
      </c>
      <c r="BH762" s="41" t="str">
        <f t="shared" si="46"/>
        <v/>
      </c>
      <c r="BI762" s="41" t="str">
        <f ca="1">IFERROR(__xludf.DUMMYFUNCTION("IFERROR(VLOOKUP(F779,IMPORTRANGE(""https://docs.google.com/spreadsheets/d/1Kvs4KS76FHFqLFIZfrDMff4kP08nblUkihrxltoGBjg/edit#gid=934712705"",""ESENCIAL!A6:BG""),18,FALSE))"),"")</f>
        <v/>
      </c>
      <c r="BJ762" s="19" t="str">
        <f t="shared" si="47"/>
        <v/>
      </c>
      <c r="BK762" s="41"/>
      <c r="BL762" s="41"/>
    </row>
    <row r="763" spans="1:64" ht="15">
      <c r="A763" s="4"/>
      <c r="B763" s="4"/>
      <c r="G763" s="5" t="str">
        <f ca="1">IFERROR(__xludf.DUMMYFUNCTION("IFERROR(VLOOKUP(F780,IMPORTRANGE(""https://docs.google.com/spreadsheets/d/1Kvs4KS76FHFqLFIZfrDMff4kP08nblUkihrxltoGBjg/edit#gid=934712705"",""ESENCIAL!A6:BG""),3,FALSE))"),"")</f>
        <v/>
      </c>
      <c r="H763" s="5" t="str">
        <f ca="1">IFERROR(__xludf.DUMMYFUNCTION("IFERROR(VLOOKUP(F780,IMPORTRANGE(""https://docs.google.com/spreadsheets/d/1Kvs4KS76FHFqLFIZfrDMff4kP08nblUkihrxltoGBjg/edit#gid=934712705"",""ESENCIAL!A6:BG""),8,FALSE))"),"")</f>
        <v/>
      </c>
      <c r="L763" s="287"/>
      <c r="S763"/>
      <c r="AU763" s="41" t="str">
        <f t="shared" si="44"/>
        <v/>
      </c>
      <c r="AV763" s="5" t="str">
        <f ca="1">IFERROR(__xludf.DUMMYFUNCTION("IFERROR(VLOOKUP(E780&amp;F780,IMPORTRANGE(""https://docs.google.com/spreadsheets/d/1Uw7-A9f9R21vMXxHZFNpYNeKFtG8_yji4HS352LGlSQ/edit?pli=1#gid=0"",""1_ACUM!A4:S""),11,FALSE))"),"")</f>
        <v/>
      </c>
      <c r="AW763" s="42" t="str">
        <f ca="1">IFERROR(__xludf.DUMMYFUNCTION("IFERROR(VLOOKUP(F780,IMPORTRANGE(""https://docs.google.com/spreadsheets/d/1Kvs4KS76FHFqLFIZfrDMff4kP08nblUkihrxltoGBjg/edit#gid=934712705"",""ESENCIAL!A6:BG""),15,FALSE))"),"")</f>
        <v/>
      </c>
      <c r="AX763" s="21" t="str">
        <f ca="1">IFERROR(__xludf.DUMMYFUNCTION("IFERROR(VLOOKUP(E780&amp;F780,IMPORTRANGE(""https://docs.google.com/spreadsheets/d/1Uw7-A9f9R21vMXxHZFNpYNeKFtG8_yji4HS352LGlSQ/edit?pli=1#gid=0"",""1_ACUM!A4:S""),12,FALSE))"),"")</f>
        <v/>
      </c>
      <c r="AY763" s="43" t="str">
        <f ca="1">IFERROR(__xludf.DUMMYFUNCTION("IFERROR(VLOOKUP(E780&amp;F780,IMPORTRANGE(""https://docs.google.com/spreadsheets/d/1Uw7-A9f9R21vMXxHZFNpYNeKFtG8_yji4HS352LGlSQ/edit?pli=1#gid=0"",""1_ACUM!A4:S""),13,FALSE))"),"")</f>
        <v/>
      </c>
      <c r="AZ763" s="43" t="str">
        <f ca="1">IFERROR(__xludf.DUMMYFUNCTION("IFERROR(VLOOKUP(E780&amp;F780,IMPORTRANGE(""https://docs.google.com/spreadsheets/d/1Uw7-A9f9R21vMXxHZFNpYNeKFtG8_yji4HS352LGlSQ/edit?pli=1#gid=0"",""1_ACUM!A4:S""),14,FALSE))"),"")</f>
        <v/>
      </c>
      <c r="BA763" s="43" t="str">
        <f ca="1">IFERROR(__xludf.DUMMYFUNCTION("IFERROR(VLOOKUP(E780&amp;F780,IMPORTRANGE(""https://docs.google.com/spreadsheets/d/1Uw7-A9f9R21vMXxHZFNpYNeKFtG8_yji4HS352LGlSQ/edit?pli=1#gid=0"",""1_ACUM!A4:S""),15,FALSE))"),"")</f>
        <v/>
      </c>
      <c r="BB763" s="43" t="str">
        <f ca="1">IFERROR(__xludf.DUMMYFUNCTION("IFERROR(VLOOKUP(E780&amp;F780,IMPORTRANGE(""https://docs.google.com/spreadsheets/d/1Uw7-A9f9R21vMXxHZFNpYNeKFtG8_yji4HS352LGlSQ/edit?pli=1#gid=0"",""1_ACUM!A4:S""),16,FALSE))"),"")</f>
        <v/>
      </c>
      <c r="BC763" s="43" t="str">
        <f ca="1">IFERROR(__xludf.DUMMYFUNCTION("IFERROR(VLOOKUP(E780&amp;F780,IMPORTRANGE(""https://docs.google.com/spreadsheets/d/1Uw7-A9f9R21vMXxHZFNpYNeKFtG8_yji4HS352LGlSQ/edit?pli=1#gid=0"",""1_ACUM!A4:S""),17,FALSE))"),"")</f>
        <v/>
      </c>
      <c r="BD763" s="44" t="str">
        <f ca="1">IFERROR(__xludf.DUMMYFUNCTION("IFERROR(VLOOKUP(E780&amp;F780,IMPORTRANGE(""https://docs.google.com/spreadsheets/d/1Uw7-A9f9R21vMXxHZFNpYNeKFtG8_yji4HS352LGlSQ/edit?pli=1#gid=0"",""1_ACUM!A4:S""),18,FALSE))"),"")</f>
        <v/>
      </c>
      <c r="BE763" s="44" t="str">
        <f ca="1">IFERROR(__xludf.DUMMYFUNCTION("IFERROR(VLOOKUP(E780&amp;F780,IMPORTRANGE(""https://docs.google.com/spreadsheets/d/1Uw7-A9f9R21vMXxHZFNpYNeKFtG8_yji4HS352LGlSQ/edit?pli=1#gid=0"",""1_ACUM!A4:S""),19,FALSE))"),"")</f>
        <v/>
      </c>
      <c r="BF763" s="44" t="str">
        <f ca="1">IFERROR(__xludf.DUMMYFUNCTION("IFERROR(VLOOKUP(F780,IMPORTRANGE(""https://docs.google.com/spreadsheets/d/1Kvs4KS76FHFqLFIZfrDMff4kP08nblUkihrxltoGBjg/edit#gid=934712705"",""ESENCIAL!A6:BG""),5,FALSE))"),"")</f>
        <v/>
      </c>
      <c r="BG763" s="44" t="str">
        <f t="shared" si="45"/>
        <v/>
      </c>
      <c r="BH763" s="41" t="str">
        <f t="shared" si="46"/>
        <v/>
      </c>
      <c r="BI763" s="41" t="str">
        <f ca="1">IFERROR(__xludf.DUMMYFUNCTION("IFERROR(VLOOKUP(F780,IMPORTRANGE(""https://docs.google.com/spreadsheets/d/1Kvs4KS76FHFqLFIZfrDMff4kP08nblUkihrxltoGBjg/edit#gid=934712705"",""ESENCIAL!A6:BG""),18,FALSE))"),"")</f>
        <v/>
      </c>
      <c r="BJ763" s="19" t="str">
        <f t="shared" si="47"/>
        <v/>
      </c>
      <c r="BK763" s="41"/>
      <c r="BL763" s="41"/>
    </row>
    <row r="764" spans="1:64" ht="15">
      <c r="A764" s="4"/>
      <c r="B764" s="4"/>
      <c r="G764" s="5" t="str">
        <f ca="1">IFERROR(__xludf.DUMMYFUNCTION("IFERROR(VLOOKUP(F781,IMPORTRANGE(""https://docs.google.com/spreadsheets/d/1Kvs4KS76FHFqLFIZfrDMff4kP08nblUkihrxltoGBjg/edit#gid=934712705"",""ESENCIAL!A6:BG""),3,FALSE))"),"")</f>
        <v/>
      </c>
      <c r="H764" s="5" t="str">
        <f ca="1">IFERROR(__xludf.DUMMYFUNCTION("IFERROR(VLOOKUP(F781,IMPORTRANGE(""https://docs.google.com/spreadsheets/d/1Kvs4KS76FHFqLFIZfrDMff4kP08nblUkihrxltoGBjg/edit#gid=934712705"",""ESENCIAL!A6:BG""),8,FALSE))"),"")</f>
        <v/>
      </c>
      <c r="L764" s="287"/>
      <c r="S764"/>
      <c r="AU764" s="41" t="str">
        <f t="shared" si="44"/>
        <v/>
      </c>
      <c r="AV764" s="5" t="str">
        <f ca="1">IFERROR(__xludf.DUMMYFUNCTION("IFERROR(VLOOKUP(E781&amp;F781,IMPORTRANGE(""https://docs.google.com/spreadsheets/d/1Uw7-A9f9R21vMXxHZFNpYNeKFtG8_yji4HS352LGlSQ/edit?pli=1#gid=0"",""1_ACUM!A4:S""),11,FALSE))"),"")</f>
        <v/>
      </c>
      <c r="AW764" s="42" t="str">
        <f ca="1">IFERROR(__xludf.DUMMYFUNCTION("IFERROR(VLOOKUP(F781,IMPORTRANGE(""https://docs.google.com/spreadsheets/d/1Kvs4KS76FHFqLFIZfrDMff4kP08nblUkihrxltoGBjg/edit#gid=934712705"",""ESENCIAL!A6:BG""),15,FALSE))"),"")</f>
        <v/>
      </c>
      <c r="AX764" s="21" t="str">
        <f ca="1">IFERROR(__xludf.DUMMYFUNCTION("IFERROR(VLOOKUP(E781&amp;F781,IMPORTRANGE(""https://docs.google.com/spreadsheets/d/1Uw7-A9f9R21vMXxHZFNpYNeKFtG8_yji4HS352LGlSQ/edit?pli=1#gid=0"",""1_ACUM!A4:S""),12,FALSE))"),"")</f>
        <v/>
      </c>
      <c r="AY764" s="43" t="str">
        <f ca="1">IFERROR(__xludf.DUMMYFUNCTION("IFERROR(VLOOKUP(E781&amp;F781,IMPORTRANGE(""https://docs.google.com/spreadsheets/d/1Uw7-A9f9R21vMXxHZFNpYNeKFtG8_yji4HS352LGlSQ/edit?pli=1#gid=0"",""1_ACUM!A4:S""),13,FALSE))"),"")</f>
        <v/>
      </c>
      <c r="AZ764" s="43" t="str">
        <f ca="1">IFERROR(__xludf.DUMMYFUNCTION("IFERROR(VLOOKUP(E781&amp;F781,IMPORTRANGE(""https://docs.google.com/spreadsheets/d/1Uw7-A9f9R21vMXxHZFNpYNeKFtG8_yji4HS352LGlSQ/edit?pli=1#gid=0"",""1_ACUM!A4:S""),14,FALSE))"),"")</f>
        <v/>
      </c>
      <c r="BA764" s="43" t="str">
        <f ca="1">IFERROR(__xludf.DUMMYFUNCTION("IFERROR(VLOOKUP(E781&amp;F781,IMPORTRANGE(""https://docs.google.com/spreadsheets/d/1Uw7-A9f9R21vMXxHZFNpYNeKFtG8_yji4HS352LGlSQ/edit?pli=1#gid=0"",""1_ACUM!A4:S""),15,FALSE))"),"")</f>
        <v/>
      </c>
      <c r="BB764" s="43" t="str">
        <f ca="1">IFERROR(__xludf.DUMMYFUNCTION("IFERROR(VLOOKUP(E781&amp;F781,IMPORTRANGE(""https://docs.google.com/spreadsheets/d/1Uw7-A9f9R21vMXxHZFNpYNeKFtG8_yji4HS352LGlSQ/edit?pli=1#gid=0"",""1_ACUM!A4:S""),16,FALSE))"),"")</f>
        <v/>
      </c>
      <c r="BC764" s="43" t="str">
        <f ca="1">IFERROR(__xludf.DUMMYFUNCTION("IFERROR(VLOOKUP(E781&amp;F781,IMPORTRANGE(""https://docs.google.com/spreadsheets/d/1Uw7-A9f9R21vMXxHZFNpYNeKFtG8_yji4HS352LGlSQ/edit?pli=1#gid=0"",""1_ACUM!A4:S""),17,FALSE))"),"")</f>
        <v/>
      </c>
      <c r="BD764" s="44" t="str">
        <f ca="1">IFERROR(__xludf.DUMMYFUNCTION("IFERROR(VLOOKUP(E781&amp;F781,IMPORTRANGE(""https://docs.google.com/spreadsheets/d/1Uw7-A9f9R21vMXxHZFNpYNeKFtG8_yji4HS352LGlSQ/edit?pli=1#gid=0"",""1_ACUM!A4:S""),18,FALSE))"),"")</f>
        <v/>
      </c>
      <c r="BE764" s="44" t="str">
        <f ca="1">IFERROR(__xludf.DUMMYFUNCTION("IFERROR(VLOOKUP(E781&amp;F781,IMPORTRANGE(""https://docs.google.com/spreadsheets/d/1Uw7-A9f9R21vMXxHZFNpYNeKFtG8_yji4HS352LGlSQ/edit?pli=1#gid=0"",""1_ACUM!A4:S""),19,FALSE))"),"")</f>
        <v/>
      </c>
      <c r="BF764" s="44" t="str">
        <f ca="1">IFERROR(__xludf.DUMMYFUNCTION("IFERROR(VLOOKUP(F781,IMPORTRANGE(""https://docs.google.com/spreadsheets/d/1Kvs4KS76FHFqLFIZfrDMff4kP08nblUkihrxltoGBjg/edit#gid=934712705"",""ESENCIAL!A6:BG""),5,FALSE))"),"")</f>
        <v/>
      </c>
      <c r="BG764" s="44" t="str">
        <f t="shared" si="45"/>
        <v/>
      </c>
      <c r="BH764" s="41" t="str">
        <f t="shared" si="46"/>
        <v/>
      </c>
      <c r="BI764" s="41" t="str">
        <f ca="1">IFERROR(__xludf.DUMMYFUNCTION("IFERROR(VLOOKUP(F781,IMPORTRANGE(""https://docs.google.com/spreadsheets/d/1Kvs4KS76FHFqLFIZfrDMff4kP08nblUkihrxltoGBjg/edit#gid=934712705"",""ESENCIAL!A6:BG""),18,FALSE))"),"")</f>
        <v/>
      </c>
      <c r="BJ764" s="19" t="str">
        <f t="shared" si="47"/>
        <v/>
      </c>
      <c r="BK764" s="41"/>
      <c r="BL764" s="41"/>
    </row>
    <row r="765" spans="1:64" ht="15">
      <c r="A765" s="4"/>
      <c r="B765" s="4"/>
      <c r="G765" s="5" t="str">
        <f ca="1">IFERROR(__xludf.DUMMYFUNCTION("IFERROR(VLOOKUP(F782,IMPORTRANGE(""https://docs.google.com/spreadsheets/d/1Kvs4KS76FHFqLFIZfrDMff4kP08nblUkihrxltoGBjg/edit#gid=934712705"",""ESENCIAL!A6:BG""),3,FALSE))"),"")</f>
        <v/>
      </c>
      <c r="H765" s="5" t="str">
        <f ca="1">IFERROR(__xludf.DUMMYFUNCTION("IFERROR(VLOOKUP(F782,IMPORTRANGE(""https://docs.google.com/spreadsheets/d/1Kvs4KS76FHFqLFIZfrDMff4kP08nblUkihrxltoGBjg/edit#gid=934712705"",""ESENCIAL!A6:BG""),8,FALSE))"),"")</f>
        <v/>
      </c>
      <c r="L765" s="287"/>
      <c r="S765"/>
      <c r="AU765" s="41" t="str">
        <f t="shared" si="44"/>
        <v/>
      </c>
      <c r="AV765" s="5" t="str">
        <f ca="1">IFERROR(__xludf.DUMMYFUNCTION("IFERROR(VLOOKUP(E782&amp;F782,IMPORTRANGE(""https://docs.google.com/spreadsheets/d/1Uw7-A9f9R21vMXxHZFNpYNeKFtG8_yji4HS352LGlSQ/edit?pli=1#gid=0"",""1_ACUM!A4:S""),11,FALSE))"),"")</f>
        <v/>
      </c>
      <c r="AW765" s="42" t="str">
        <f ca="1">IFERROR(__xludf.DUMMYFUNCTION("IFERROR(VLOOKUP(F782,IMPORTRANGE(""https://docs.google.com/spreadsheets/d/1Kvs4KS76FHFqLFIZfrDMff4kP08nblUkihrxltoGBjg/edit#gid=934712705"",""ESENCIAL!A6:BG""),15,FALSE))"),"")</f>
        <v/>
      </c>
      <c r="AX765" s="21" t="str">
        <f ca="1">IFERROR(__xludf.DUMMYFUNCTION("IFERROR(VLOOKUP(E782&amp;F782,IMPORTRANGE(""https://docs.google.com/spreadsheets/d/1Uw7-A9f9R21vMXxHZFNpYNeKFtG8_yji4HS352LGlSQ/edit?pli=1#gid=0"",""1_ACUM!A4:S""),12,FALSE))"),"")</f>
        <v/>
      </c>
      <c r="AY765" s="43" t="str">
        <f ca="1">IFERROR(__xludf.DUMMYFUNCTION("IFERROR(VLOOKUP(E782&amp;F782,IMPORTRANGE(""https://docs.google.com/spreadsheets/d/1Uw7-A9f9R21vMXxHZFNpYNeKFtG8_yji4HS352LGlSQ/edit?pli=1#gid=0"",""1_ACUM!A4:S""),13,FALSE))"),"")</f>
        <v/>
      </c>
      <c r="AZ765" s="43" t="str">
        <f ca="1">IFERROR(__xludf.DUMMYFUNCTION("IFERROR(VLOOKUP(E782&amp;F782,IMPORTRANGE(""https://docs.google.com/spreadsheets/d/1Uw7-A9f9R21vMXxHZFNpYNeKFtG8_yji4HS352LGlSQ/edit?pli=1#gid=0"",""1_ACUM!A4:S""),14,FALSE))"),"")</f>
        <v/>
      </c>
      <c r="BA765" s="43" t="str">
        <f ca="1">IFERROR(__xludf.DUMMYFUNCTION("IFERROR(VLOOKUP(E782&amp;F782,IMPORTRANGE(""https://docs.google.com/spreadsheets/d/1Uw7-A9f9R21vMXxHZFNpYNeKFtG8_yji4HS352LGlSQ/edit?pli=1#gid=0"",""1_ACUM!A4:S""),15,FALSE))"),"")</f>
        <v/>
      </c>
      <c r="BB765" s="43" t="str">
        <f ca="1">IFERROR(__xludf.DUMMYFUNCTION("IFERROR(VLOOKUP(E782&amp;F782,IMPORTRANGE(""https://docs.google.com/spreadsheets/d/1Uw7-A9f9R21vMXxHZFNpYNeKFtG8_yji4HS352LGlSQ/edit?pli=1#gid=0"",""1_ACUM!A4:S""),16,FALSE))"),"")</f>
        <v/>
      </c>
      <c r="BC765" s="43" t="str">
        <f ca="1">IFERROR(__xludf.DUMMYFUNCTION("IFERROR(VLOOKUP(E782&amp;F782,IMPORTRANGE(""https://docs.google.com/spreadsheets/d/1Uw7-A9f9R21vMXxHZFNpYNeKFtG8_yji4HS352LGlSQ/edit?pli=1#gid=0"",""1_ACUM!A4:S""),17,FALSE))"),"")</f>
        <v/>
      </c>
      <c r="BD765" s="44" t="str">
        <f ca="1">IFERROR(__xludf.DUMMYFUNCTION("IFERROR(VLOOKUP(E782&amp;F782,IMPORTRANGE(""https://docs.google.com/spreadsheets/d/1Uw7-A9f9R21vMXxHZFNpYNeKFtG8_yji4HS352LGlSQ/edit?pli=1#gid=0"",""1_ACUM!A4:S""),18,FALSE))"),"")</f>
        <v/>
      </c>
      <c r="BE765" s="44" t="str">
        <f ca="1">IFERROR(__xludf.DUMMYFUNCTION("IFERROR(VLOOKUP(E782&amp;F782,IMPORTRANGE(""https://docs.google.com/spreadsheets/d/1Uw7-A9f9R21vMXxHZFNpYNeKFtG8_yji4HS352LGlSQ/edit?pli=1#gid=0"",""1_ACUM!A4:S""),19,FALSE))"),"")</f>
        <v/>
      </c>
      <c r="BF765" s="44" t="str">
        <f ca="1">IFERROR(__xludf.DUMMYFUNCTION("IFERROR(VLOOKUP(F782,IMPORTRANGE(""https://docs.google.com/spreadsheets/d/1Kvs4KS76FHFqLFIZfrDMff4kP08nblUkihrxltoGBjg/edit#gid=934712705"",""ESENCIAL!A6:BG""),5,FALSE))"),"")</f>
        <v/>
      </c>
      <c r="BG765" s="44" t="str">
        <f t="shared" si="45"/>
        <v/>
      </c>
      <c r="BH765" s="41" t="str">
        <f t="shared" si="46"/>
        <v/>
      </c>
      <c r="BI765" s="41" t="str">
        <f ca="1">IFERROR(__xludf.DUMMYFUNCTION("IFERROR(VLOOKUP(F782,IMPORTRANGE(""https://docs.google.com/spreadsheets/d/1Kvs4KS76FHFqLFIZfrDMff4kP08nblUkihrxltoGBjg/edit#gid=934712705"",""ESENCIAL!A6:BG""),18,FALSE))"),"")</f>
        <v/>
      </c>
      <c r="BJ765" s="19" t="str">
        <f t="shared" si="47"/>
        <v/>
      </c>
      <c r="BK765" s="41"/>
      <c r="BL765" s="41"/>
    </row>
    <row r="766" spans="1:64" ht="15">
      <c r="A766" s="4"/>
      <c r="B766" s="4"/>
      <c r="G766" s="5" t="str">
        <f ca="1">IFERROR(__xludf.DUMMYFUNCTION("IFERROR(VLOOKUP(F783,IMPORTRANGE(""https://docs.google.com/spreadsheets/d/1Kvs4KS76FHFqLFIZfrDMff4kP08nblUkihrxltoGBjg/edit#gid=934712705"",""ESENCIAL!A6:BG""),3,FALSE))"),"")</f>
        <v/>
      </c>
      <c r="H766" s="5" t="str">
        <f ca="1">IFERROR(__xludf.DUMMYFUNCTION("IFERROR(VLOOKUP(F783,IMPORTRANGE(""https://docs.google.com/spreadsheets/d/1Kvs4KS76FHFqLFIZfrDMff4kP08nblUkihrxltoGBjg/edit#gid=934712705"",""ESENCIAL!A6:BG""),8,FALSE))"),"")</f>
        <v/>
      </c>
      <c r="L766" s="287"/>
      <c r="S766"/>
      <c r="AU766" s="41" t="str">
        <f t="shared" si="44"/>
        <v/>
      </c>
      <c r="AV766" s="5" t="str">
        <f ca="1">IFERROR(__xludf.DUMMYFUNCTION("IFERROR(VLOOKUP(E783&amp;F783,IMPORTRANGE(""https://docs.google.com/spreadsheets/d/1Uw7-A9f9R21vMXxHZFNpYNeKFtG8_yji4HS352LGlSQ/edit?pli=1#gid=0"",""1_ACUM!A4:S""),11,FALSE))"),"")</f>
        <v/>
      </c>
      <c r="AW766" s="42" t="str">
        <f ca="1">IFERROR(__xludf.DUMMYFUNCTION("IFERROR(VLOOKUP(F783,IMPORTRANGE(""https://docs.google.com/spreadsheets/d/1Kvs4KS76FHFqLFIZfrDMff4kP08nblUkihrxltoGBjg/edit#gid=934712705"",""ESENCIAL!A6:BG""),15,FALSE))"),"")</f>
        <v/>
      </c>
      <c r="AX766" s="21" t="str">
        <f ca="1">IFERROR(__xludf.DUMMYFUNCTION("IFERROR(VLOOKUP(E783&amp;F783,IMPORTRANGE(""https://docs.google.com/spreadsheets/d/1Uw7-A9f9R21vMXxHZFNpYNeKFtG8_yji4HS352LGlSQ/edit?pli=1#gid=0"",""1_ACUM!A4:S""),12,FALSE))"),"")</f>
        <v/>
      </c>
      <c r="AY766" s="43" t="str">
        <f ca="1">IFERROR(__xludf.DUMMYFUNCTION("IFERROR(VLOOKUP(E783&amp;F783,IMPORTRANGE(""https://docs.google.com/spreadsheets/d/1Uw7-A9f9R21vMXxHZFNpYNeKFtG8_yji4HS352LGlSQ/edit?pli=1#gid=0"",""1_ACUM!A4:S""),13,FALSE))"),"")</f>
        <v/>
      </c>
      <c r="AZ766" s="43" t="str">
        <f ca="1">IFERROR(__xludf.DUMMYFUNCTION("IFERROR(VLOOKUP(E783&amp;F783,IMPORTRANGE(""https://docs.google.com/spreadsheets/d/1Uw7-A9f9R21vMXxHZFNpYNeKFtG8_yji4HS352LGlSQ/edit?pli=1#gid=0"",""1_ACUM!A4:S""),14,FALSE))"),"")</f>
        <v/>
      </c>
      <c r="BA766" s="43" t="str">
        <f ca="1">IFERROR(__xludf.DUMMYFUNCTION("IFERROR(VLOOKUP(E783&amp;F783,IMPORTRANGE(""https://docs.google.com/spreadsheets/d/1Uw7-A9f9R21vMXxHZFNpYNeKFtG8_yji4HS352LGlSQ/edit?pli=1#gid=0"",""1_ACUM!A4:S""),15,FALSE))"),"")</f>
        <v/>
      </c>
      <c r="BB766" s="43" t="str">
        <f ca="1">IFERROR(__xludf.DUMMYFUNCTION("IFERROR(VLOOKUP(E783&amp;F783,IMPORTRANGE(""https://docs.google.com/spreadsheets/d/1Uw7-A9f9R21vMXxHZFNpYNeKFtG8_yji4HS352LGlSQ/edit?pli=1#gid=0"",""1_ACUM!A4:S""),16,FALSE))"),"")</f>
        <v/>
      </c>
      <c r="BC766" s="43" t="str">
        <f ca="1">IFERROR(__xludf.DUMMYFUNCTION("IFERROR(VLOOKUP(E783&amp;F783,IMPORTRANGE(""https://docs.google.com/spreadsheets/d/1Uw7-A9f9R21vMXxHZFNpYNeKFtG8_yji4HS352LGlSQ/edit?pli=1#gid=0"",""1_ACUM!A4:S""),17,FALSE))"),"")</f>
        <v/>
      </c>
      <c r="BD766" s="44" t="str">
        <f ca="1">IFERROR(__xludf.DUMMYFUNCTION("IFERROR(VLOOKUP(E783&amp;F783,IMPORTRANGE(""https://docs.google.com/spreadsheets/d/1Uw7-A9f9R21vMXxHZFNpYNeKFtG8_yji4HS352LGlSQ/edit?pli=1#gid=0"",""1_ACUM!A4:S""),18,FALSE))"),"")</f>
        <v/>
      </c>
      <c r="BE766" s="44" t="str">
        <f ca="1">IFERROR(__xludf.DUMMYFUNCTION("IFERROR(VLOOKUP(E783&amp;F783,IMPORTRANGE(""https://docs.google.com/spreadsheets/d/1Uw7-A9f9R21vMXxHZFNpYNeKFtG8_yji4HS352LGlSQ/edit?pli=1#gid=0"",""1_ACUM!A4:S""),19,FALSE))"),"")</f>
        <v/>
      </c>
      <c r="BF766" s="44" t="str">
        <f ca="1">IFERROR(__xludf.DUMMYFUNCTION("IFERROR(VLOOKUP(F783,IMPORTRANGE(""https://docs.google.com/spreadsheets/d/1Kvs4KS76FHFqLFIZfrDMff4kP08nblUkihrxltoGBjg/edit#gid=934712705"",""ESENCIAL!A6:BG""),5,FALSE))"),"")</f>
        <v/>
      </c>
      <c r="BG766" s="44" t="str">
        <f t="shared" si="45"/>
        <v/>
      </c>
      <c r="BH766" s="41" t="str">
        <f t="shared" si="46"/>
        <v/>
      </c>
      <c r="BI766" s="41" t="str">
        <f ca="1">IFERROR(__xludf.DUMMYFUNCTION("IFERROR(VLOOKUP(F783,IMPORTRANGE(""https://docs.google.com/spreadsheets/d/1Kvs4KS76FHFqLFIZfrDMff4kP08nblUkihrxltoGBjg/edit#gid=934712705"",""ESENCIAL!A6:BG""),18,FALSE))"),"")</f>
        <v/>
      </c>
      <c r="BJ766" s="19" t="str">
        <f t="shared" si="47"/>
        <v/>
      </c>
      <c r="BK766" s="41"/>
      <c r="BL766" s="41"/>
    </row>
    <row r="767" spans="1:64" ht="15">
      <c r="A767" s="4"/>
      <c r="B767" s="4"/>
      <c r="G767" s="5" t="str">
        <f ca="1">IFERROR(__xludf.DUMMYFUNCTION("IFERROR(VLOOKUP(F784,IMPORTRANGE(""https://docs.google.com/spreadsheets/d/1Kvs4KS76FHFqLFIZfrDMff4kP08nblUkihrxltoGBjg/edit#gid=934712705"",""ESENCIAL!A6:BG""),3,FALSE))"),"")</f>
        <v/>
      </c>
      <c r="H767" s="5" t="str">
        <f ca="1">IFERROR(__xludf.DUMMYFUNCTION("IFERROR(VLOOKUP(F784,IMPORTRANGE(""https://docs.google.com/spreadsheets/d/1Kvs4KS76FHFqLFIZfrDMff4kP08nblUkihrxltoGBjg/edit#gid=934712705"",""ESENCIAL!A6:BG""),8,FALSE))"),"")</f>
        <v/>
      </c>
      <c r="L767" s="287"/>
      <c r="S767"/>
      <c r="AU767" s="41" t="str">
        <f t="shared" si="44"/>
        <v/>
      </c>
      <c r="AV767" s="5" t="str">
        <f ca="1">IFERROR(__xludf.DUMMYFUNCTION("IFERROR(VLOOKUP(E784&amp;F784,IMPORTRANGE(""https://docs.google.com/spreadsheets/d/1Uw7-A9f9R21vMXxHZFNpYNeKFtG8_yji4HS352LGlSQ/edit?pli=1#gid=0"",""1_ACUM!A4:S""),11,FALSE))"),"")</f>
        <v/>
      </c>
      <c r="AW767" s="42" t="str">
        <f ca="1">IFERROR(__xludf.DUMMYFUNCTION("IFERROR(VLOOKUP(F784,IMPORTRANGE(""https://docs.google.com/spreadsheets/d/1Kvs4KS76FHFqLFIZfrDMff4kP08nblUkihrxltoGBjg/edit#gid=934712705"",""ESENCIAL!A6:BG""),15,FALSE))"),"")</f>
        <v/>
      </c>
      <c r="AX767" s="21" t="str">
        <f ca="1">IFERROR(__xludf.DUMMYFUNCTION("IFERROR(VLOOKUP(E784&amp;F784,IMPORTRANGE(""https://docs.google.com/spreadsheets/d/1Uw7-A9f9R21vMXxHZFNpYNeKFtG8_yji4HS352LGlSQ/edit?pli=1#gid=0"",""1_ACUM!A4:S""),12,FALSE))"),"")</f>
        <v/>
      </c>
      <c r="AY767" s="43" t="str">
        <f ca="1">IFERROR(__xludf.DUMMYFUNCTION("IFERROR(VLOOKUP(E784&amp;F784,IMPORTRANGE(""https://docs.google.com/spreadsheets/d/1Uw7-A9f9R21vMXxHZFNpYNeKFtG8_yji4HS352LGlSQ/edit?pli=1#gid=0"",""1_ACUM!A4:S""),13,FALSE))"),"")</f>
        <v/>
      </c>
      <c r="AZ767" s="43" t="str">
        <f ca="1">IFERROR(__xludf.DUMMYFUNCTION("IFERROR(VLOOKUP(E784&amp;F784,IMPORTRANGE(""https://docs.google.com/spreadsheets/d/1Uw7-A9f9R21vMXxHZFNpYNeKFtG8_yji4HS352LGlSQ/edit?pli=1#gid=0"",""1_ACUM!A4:S""),14,FALSE))"),"")</f>
        <v/>
      </c>
      <c r="BA767" s="43" t="str">
        <f ca="1">IFERROR(__xludf.DUMMYFUNCTION("IFERROR(VLOOKUP(E784&amp;F784,IMPORTRANGE(""https://docs.google.com/spreadsheets/d/1Uw7-A9f9R21vMXxHZFNpYNeKFtG8_yji4HS352LGlSQ/edit?pli=1#gid=0"",""1_ACUM!A4:S""),15,FALSE))"),"")</f>
        <v/>
      </c>
      <c r="BB767" s="43" t="str">
        <f ca="1">IFERROR(__xludf.DUMMYFUNCTION("IFERROR(VLOOKUP(E784&amp;F784,IMPORTRANGE(""https://docs.google.com/spreadsheets/d/1Uw7-A9f9R21vMXxHZFNpYNeKFtG8_yji4HS352LGlSQ/edit?pli=1#gid=0"",""1_ACUM!A4:S""),16,FALSE))"),"")</f>
        <v/>
      </c>
      <c r="BC767" s="43" t="str">
        <f ca="1">IFERROR(__xludf.DUMMYFUNCTION("IFERROR(VLOOKUP(E784&amp;F784,IMPORTRANGE(""https://docs.google.com/spreadsheets/d/1Uw7-A9f9R21vMXxHZFNpYNeKFtG8_yji4HS352LGlSQ/edit?pli=1#gid=0"",""1_ACUM!A4:S""),17,FALSE))"),"")</f>
        <v/>
      </c>
      <c r="BD767" s="44" t="str">
        <f ca="1">IFERROR(__xludf.DUMMYFUNCTION("IFERROR(VLOOKUP(E784&amp;F784,IMPORTRANGE(""https://docs.google.com/spreadsheets/d/1Uw7-A9f9R21vMXxHZFNpYNeKFtG8_yji4HS352LGlSQ/edit?pli=1#gid=0"",""1_ACUM!A4:S""),18,FALSE))"),"")</f>
        <v/>
      </c>
      <c r="BE767" s="44" t="str">
        <f ca="1">IFERROR(__xludf.DUMMYFUNCTION("IFERROR(VLOOKUP(E784&amp;F784,IMPORTRANGE(""https://docs.google.com/spreadsheets/d/1Uw7-A9f9R21vMXxHZFNpYNeKFtG8_yji4HS352LGlSQ/edit?pli=1#gid=0"",""1_ACUM!A4:S""),19,FALSE))"),"")</f>
        <v/>
      </c>
      <c r="BF767" s="44" t="str">
        <f ca="1">IFERROR(__xludf.DUMMYFUNCTION("IFERROR(VLOOKUP(F784,IMPORTRANGE(""https://docs.google.com/spreadsheets/d/1Kvs4KS76FHFqLFIZfrDMff4kP08nblUkihrxltoGBjg/edit#gid=934712705"",""ESENCIAL!A6:BG""),5,FALSE))"),"")</f>
        <v/>
      </c>
      <c r="BG767" s="44" t="str">
        <f t="shared" si="45"/>
        <v/>
      </c>
      <c r="BH767" s="41" t="str">
        <f t="shared" si="46"/>
        <v/>
      </c>
      <c r="BI767" s="41" t="str">
        <f ca="1">IFERROR(__xludf.DUMMYFUNCTION("IFERROR(VLOOKUP(F784,IMPORTRANGE(""https://docs.google.com/spreadsheets/d/1Kvs4KS76FHFqLFIZfrDMff4kP08nblUkihrxltoGBjg/edit#gid=934712705"",""ESENCIAL!A6:BG""),18,FALSE))"),"")</f>
        <v/>
      </c>
      <c r="BJ767" s="19" t="str">
        <f t="shared" si="47"/>
        <v/>
      </c>
      <c r="BK767" s="41"/>
      <c r="BL767" s="41"/>
    </row>
    <row r="768" spans="1:64" ht="15">
      <c r="A768" s="4"/>
      <c r="B768" s="4"/>
      <c r="G768" s="5" t="str">
        <f ca="1">IFERROR(__xludf.DUMMYFUNCTION("IFERROR(VLOOKUP(F785,IMPORTRANGE(""https://docs.google.com/spreadsheets/d/1Kvs4KS76FHFqLFIZfrDMff4kP08nblUkihrxltoGBjg/edit#gid=934712705"",""ESENCIAL!A6:BG""),3,FALSE))"),"")</f>
        <v/>
      </c>
      <c r="H768" s="5" t="str">
        <f ca="1">IFERROR(__xludf.DUMMYFUNCTION("IFERROR(VLOOKUP(F785,IMPORTRANGE(""https://docs.google.com/spreadsheets/d/1Kvs4KS76FHFqLFIZfrDMff4kP08nblUkihrxltoGBjg/edit#gid=934712705"",""ESENCIAL!A6:BG""),8,FALSE))"),"")</f>
        <v/>
      </c>
      <c r="L768" s="287"/>
      <c r="S768"/>
      <c r="AU768" s="41" t="str">
        <f t="shared" si="44"/>
        <v/>
      </c>
      <c r="AV768" s="5" t="str">
        <f ca="1">IFERROR(__xludf.DUMMYFUNCTION("IFERROR(VLOOKUP(E785&amp;F785,IMPORTRANGE(""https://docs.google.com/spreadsheets/d/1Uw7-A9f9R21vMXxHZFNpYNeKFtG8_yji4HS352LGlSQ/edit?pli=1#gid=0"",""1_ACUM!A4:S""),11,FALSE))"),"")</f>
        <v/>
      </c>
      <c r="AW768" s="42" t="str">
        <f ca="1">IFERROR(__xludf.DUMMYFUNCTION("IFERROR(VLOOKUP(F785,IMPORTRANGE(""https://docs.google.com/spreadsheets/d/1Kvs4KS76FHFqLFIZfrDMff4kP08nblUkihrxltoGBjg/edit#gid=934712705"",""ESENCIAL!A6:BG""),15,FALSE))"),"")</f>
        <v/>
      </c>
      <c r="AX768" s="21" t="str">
        <f ca="1">IFERROR(__xludf.DUMMYFUNCTION("IFERROR(VLOOKUP(E785&amp;F785,IMPORTRANGE(""https://docs.google.com/spreadsheets/d/1Uw7-A9f9R21vMXxHZFNpYNeKFtG8_yji4HS352LGlSQ/edit?pli=1#gid=0"",""1_ACUM!A4:S""),12,FALSE))"),"")</f>
        <v/>
      </c>
      <c r="AY768" s="43" t="str">
        <f ca="1">IFERROR(__xludf.DUMMYFUNCTION("IFERROR(VLOOKUP(E785&amp;F785,IMPORTRANGE(""https://docs.google.com/spreadsheets/d/1Uw7-A9f9R21vMXxHZFNpYNeKFtG8_yji4HS352LGlSQ/edit?pli=1#gid=0"",""1_ACUM!A4:S""),13,FALSE))"),"")</f>
        <v/>
      </c>
      <c r="AZ768" s="43" t="str">
        <f ca="1">IFERROR(__xludf.DUMMYFUNCTION("IFERROR(VLOOKUP(E785&amp;F785,IMPORTRANGE(""https://docs.google.com/spreadsheets/d/1Uw7-A9f9R21vMXxHZFNpYNeKFtG8_yji4HS352LGlSQ/edit?pli=1#gid=0"",""1_ACUM!A4:S""),14,FALSE))"),"")</f>
        <v/>
      </c>
      <c r="BA768" s="43" t="str">
        <f ca="1">IFERROR(__xludf.DUMMYFUNCTION("IFERROR(VLOOKUP(E785&amp;F785,IMPORTRANGE(""https://docs.google.com/spreadsheets/d/1Uw7-A9f9R21vMXxHZFNpYNeKFtG8_yji4HS352LGlSQ/edit?pli=1#gid=0"",""1_ACUM!A4:S""),15,FALSE))"),"")</f>
        <v/>
      </c>
      <c r="BB768" s="43" t="str">
        <f ca="1">IFERROR(__xludf.DUMMYFUNCTION("IFERROR(VLOOKUP(E785&amp;F785,IMPORTRANGE(""https://docs.google.com/spreadsheets/d/1Uw7-A9f9R21vMXxHZFNpYNeKFtG8_yji4HS352LGlSQ/edit?pli=1#gid=0"",""1_ACUM!A4:S""),16,FALSE))"),"")</f>
        <v/>
      </c>
      <c r="BC768" s="43" t="str">
        <f ca="1">IFERROR(__xludf.DUMMYFUNCTION("IFERROR(VLOOKUP(E785&amp;F785,IMPORTRANGE(""https://docs.google.com/spreadsheets/d/1Uw7-A9f9R21vMXxHZFNpYNeKFtG8_yji4HS352LGlSQ/edit?pli=1#gid=0"",""1_ACUM!A4:S""),17,FALSE))"),"")</f>
        <v/>
      </c>
      <c r="BD768" s="44" t="str">
        <f ca="1">IFERROR(__xludf.DUMMYFUNCTION("IFERROR(VLOOKUP(E785&amp;F785,IMPORTRANGE(""https://docs.google.com/spreadsheets/d/1Uw7-A9f9R21vMXxHZFNpYNeKFtG8_yji4HS352LGlSQ/edit?pli=1#gid=0"",""1_ACUM!A4:S""),18,FALSE))"),"")</f>
        <v/>
      </c>
      <c r="BE768" s="44" t="str">
        <f ca="1">IFERROR(__xludf.DUMMYFUNCTION("IFERROR(VLOOKUP(E785&amp;F785,IMPORTRANGE(""https://docs.google.com/spreadsheets/d/1Uw7-A9f9R21vMXxHZFNpYNeKFtG8_yji4HS352LGlSQ/edit?pli=1#gid=0"",""1_ACUM!A4:S""),19,FALSE))"),"")</f>
        <v/>
      </c>
      <c r="BF768" s="44" t="str">
        <f ca="1">IFERROR(__xludf.DUMMYFUNCTION("IFERROR(VLOOKUP(F785,IMPORTRANGE(""https://docs.google.com/spreadsheets/d/1Kvs4KS76FHFqLFIZfrDMff4kP08nblUkihrxltoGBjg/edit#gid=934712705"",""ESENCIAL!A6:BG""),5,FALSE))"),"")</f>
        <v/>
      </c>
      <c r="BG768" s="44" t="str">
        <f t="shared" si="45"/>
        <v/>
      </c>
      <c r="BH768" s="41" t="str">
        <f t="shared" si="46"/>
        <v/>
      </c>
      <c r="BI768" s="41" t="str">
        <f ca="1">IFERROR(__xludf.DUMMYFUNCTION("IFERROR(VLOOKUP(F785,IMPORTRANGE(""https://docs.google.com/spreadsheets/d/1Kvs4KS76FHFqLFIZfrDMff4kP08nblUkihrxltoGBjg/edit#gid=934712705"",""ESENCIAL!A6:BG""),18,FALSE))"),"")</f>
        <v/>
      </c>
      <c r="BJ768" s="19" t="str">
        <f t="shared" si="47"/>
        <v/>
      </c>
      <c r="BK768" s="41"/>
      <c r="BL768" s="41"/>
    </row>
    <row r="769" spans="1:64" ht="15">
      <c r="A769" s="4"/>
      <c r="B769" s="4"/>
      <c r="G769" s="5" t="str">
        <f ca="1">IFERROR(__xludf.DUMMYFUNCTION("IFERROR(VLOOKUP(F786,IMPORTRANGE(""https://docs.google.com/spreadsheets/d/1Kvs4KS76FHFqLFIZfrDMff4kP08nblUkihrxltoGBjg/edit#gid=934712705"",""ESENCIAL!A6:BG""),3,FALSE))"),"")</f>
        <v/>
      </c>
      <c r="H769" s="5" t="str">
        <f ca="1">IFERROR(__xludf.DUMMYFUNCTION("IFERROR(VLOOKUP(F786,IMPORTRANGE(""https://docs.google.com/spreadsheets/d/1Kvs4KS76FHFqLFIZfrDMff4kP08nblUkihrxltoGBjg/edit#gid=934712705"",""ESENCIAL!A6:BG""),8,FALSE))"),"")</f>
        <v/>
      </c>
      <c r="L769" s="287"/>
      <c r="S769"/>
      <c r="AU769" s="41" t="str">
        <f t="shared" si="44"/>
        <v/>
      </c>
      <c r="AV769" s="5" t="str">
        <f ca="1">IFERROR(__xludf.DUMMYFUNCTION("IFERROR(VLOOKUP(E786&amp;F786,IMPORTRANGE(""https://docs.google.com/spreadsheets/d/1Uw7-A9f9R21vMXxHZFNpYNeKFtG8_yji4HS352LGlSQ/edit?pli=1#gid=0"",""1_ACUM!A4:S""),11,FALSE))"),"")</f>
        <v/>
      </c>
      <c r="AW769" s="42" t="str">
        <f ca="1">IFERROR(__xludf.DUMMYFUNCTION("IFERROR(VLOOKUP(F786,IMPORTRANGE(""https://docs.google.com/spreadsheets/d/1Kvs4KS76FHFqLFIZfrDMff4kP08nblUkihrxltoGBjg/edit#gid=934712705"",""ESENCIAL!A6:BG""),15,FALSE))"),"")</f>
        <v/>
      </c>
      <c r="AX769" s="21" t="str">
        <f ca="1">IFERROR(__xludf.DUMMYFUNCTION("IFERROR(VLOOKUP(E786&amp;F786,IMPORTRANGE(""https://docs.google.com/spreadsheets/d/1Uw7-A9f9R21vMXxHZFNpYNeKFtG8_yji4HS352LGlSQ/edit?pli=1#gid=0"",""1_ACUM!A4:S""),12,FALSE))"),"")</f>
        <v/>
      </c>
      <c r="AY769" s="43" t="str">
        <f ca="1">IFERROR(__xludf.DUMMYFUNCTION("IFERROR(VLOOKUP(E786&amp;F786,IMPORTRANGE(""https://docs.google.com/spreadsheets/d/1Uw7-A9f9R21vMXxHZFNpYNeKFtG8_yji4HS352LGlSQ/edit?pli=1#gid=0"",""1_ACUM!A4:S""),13,FALSE))"),"")</f>
        <v/>
      </c>
      <c r="AZ769" s="43" t="str">
        <f ca="1">IFERROR(__xludf.DUMMYFUNCTION("IFERROR(VLOOKUP(E786&amp;F786,IMPORTRANGE(""https://docs.google.com/spreadsheets/d/1Uw7-A9f9R21vMXxHZFNpYNeKFtG8_yji4HS352LGlSQ/edit?pli=1#gid=0"",""1_ACUM!A4:S""),14,FALSE))"),"")</f>
        <v/>
      </c>
      <c r="BA769" s="43" t="str">
        <f ca="1">IFERROR(__xludf.DUMMYFUNCTION("IFERROR(VLOOKUP(E786&amp;F786,IMPORTRANGE(""https://docs.google.com/spreadsheets/d/1Uw7-A9f9R21vMXxHZFNpYNeKFtG8_yji4HS352LGlSQ/edit?pli=1#gid=0"",""1_ACUM!A4:S""),15,FALSE))"),"")</f>
        <v/>
      </c>
      <c r="BB769" s="43" t="str">
        <f ca="1">IFERROR(__xludf.DUMMYFUNCTION("IFERROR(VLOOKUP(E786&amp;F786,IMPORTRANGE(""https://docs.google.com/spreadsheets/d/1Uw7-A9f9R21vMXxHZFNpYNeKFtG8_yji4HS352LGlSQ/edit?pli=1#gid=0"",""1_ACUM!A4:S""),16,FALSE))"),"")</f>
        <v/>
      </c>
      <c r="BC769" s="43" t="str">
        <f ca="1">IFERROR(__xludf.DUMMYFUNCTION("IFERROR(VLOOKUP(E786&amp;F786,IMPORTRANGE(""https://docs.google.com/spreadsheets/d/1Uw7-A9f9R21vMXxHZFNpYNeKFtG8_yji4HS352LGlSQ/edit?pli=1#gid=0"",""1_ACUM!A4:S""),17,FALSE))"),"")</f>
        <v/>
      </c>
      <c r="BD769" s="44" t="str">
        <f ca="1">IFERROR(__xludf.DUMMYFUNCTION("IFERROR(VLOOKUP(E786&amp;F786,IMPORTRANGE(""https://docs.google.com/spreadsheets/d/1Uw7-A9f9R21vMXxHZFNpYNeKFtG8_yji4HS352LGlSQ/edit?pli=1#gid=0"",""1_ACUM!A4:S""),18,FALSE))"),"")</f>
        <v/>
      </c>
      <c r="BE769" s="44" t="str">
        <f ca="1">IFERROR(__xludf.DUMMYFUNCTION("IFERROR(VLOOKUP(E786&amp;F786,IMPORTRANGE(""https://docs.google.com/spreadsheets/d/1Uw7-A9f9R21vMXxHZFNpYNeKFtG8_yji4HS352LGlSQ/edit?pli=1#gid=0"",""1_ACUM!A4:S""),19,FALSE))"),"")</f>
        <v/>
      </c>
      <c r="BF769" s="44" t="str">
        <f ca="1">IFERROR(__xludf.DUMMYFUNCTION("IFERROR(VLOOKUP(F786,IMPORTRANGE(""https://docs.google.com/spreadsheets/d/1Kvs4KS76FHFqLFIZfrDMff4kP08nblUkihrxltoGBjg/edit#gid=934712705"",""ESENCIAL!A6:BG""),5,FALSE))"),"")</f>
        <v/>
      </c>
      <c r="BG769" s="44" t="str">
        <f t="shared" si="45"/>
        <v/>
      </c>
      <c r="BH769" s="41" t="str">
        <f t="shared" si="46"/>
        <v/>
      </c>
      <c r="BI769" s="41" t="str">
        <f ca="1">IFERROR(__xludf.DUMMYFUNCTION("IFERROR(VLOOKUP(F786,IMPORTRANGE(""https://docs.google.com/spreadsheets/d/1Kvs4KS76FHFqLFIZfrDMff4kP08nblUkihrxltoGBjg/edit#gid=934712705"",""ESENCIAL!A6:BG""),18,FALSE))"),"")</f>
        <v/>
      </c>
      <c r="BJ769" s="19" t="str">
        <f t="shared" si="47"/>
        <v/>
      </c>
      <c r="BK769" s="41"/>
      <c r="BL769" s="41"/>
    </row>
    <row r="770" spans="1:64" ht="15">
      <c r="A770" s="4"/>
      <c r="B770" s="4"/>
      <c r="G770" s="5" t="str">
        <f ca="1">IFERROR(__xludf.DUMMYFUNCTION("IFERROR(VLOOKUP(F787,IMPORTRANGE(""https://docs.google.com/spreadsheets/d/1Kvs4KS76FHFqLFIZfrDMff4kP08nblUkihrxltoGBjg/edit#gid=934712705"",""ESENCIAL!A6:BG""),3,FALSE))"),"")</f>
        <v/>
      </c>
      <c r="H770" s="5" t="str">
        <f ca="1">IFERROR(__xludf.DUMMYFUNCTION("IFERROR(VLOOKUP(F787,IMPORTRANGE(""https://docs.google.com/spreadsheets/d/1Kvs4KS76FHFqLFIZfrDMff4kP08nblUkihrxltoGBjg/edit#gid=934712705"",""ESENCIAL!A6:BG""),8,FALSE))"),"")</f>
        <v/>
      </c>
      <c r="L770" s="287"/>
      <c r="S770"/>
      <c r="AU770" s="41" t="str">
        <f t="shared" si="44"/>
        <v/>
      </c>
      <c r="AV770" s="5" t="str">
        <f ca="1">IFERROR(__xludf.DUMMYFUNCTION("IFERROR(VLOOKUP(E787&amp;F787,IMPORTRANGE(""https://docs.google.com/spreadsheets/d/1Uw7-A9f9R21vMXxHZFNpYNeKFtG8_yji4HS352LGlSQ/edit?pli=1#gid=0"",""1_ACUM!A4:S""),11,FALSE))"),"")</f>
        <v/>
      </c>
      <c r="AW770" s="42" t="str">
        <f ca="1">IFERROR(__xludf.DUMMYFUNCTION("IFERROR(VLOOKUP(F787,IMPORTRANGE(""https://docs.google.com/spreadsheets/d/1Kvs4KS76FHFqLFIZfrDMff4kP08nblUkihrxltoGBjg/edit#gid=934712705"",""ESENCIAL!A6:BG""),15,FALSE))"),"")</f>
        <v/>
      </c>
      <c r="AX770" s="21" t="str">
        <f ca="1">IFERROR(__xludf.DUMMYFUNCTION("IFERROR(VLOOKUP(E787&amp;F787,IMPORTRANGE(""https://docs.google.com/spreadsheets/d/1Uw7-A9f9R21vMXxHZFNpYNeKFtG8_yji4HS352LGlSQ/edit?pli=1#gid=0"",""1_ACUM!A4:S""),12,FALSE))"),"")</f>
        <v/>
      </c>
      <c r="AY770" s="43" t="str">
        <f ca="1">IFERROR(__xludf.DUMMYFUNCTION("IFERROR(VLOOKUP(E787&amp;F787,IMPORTRANGE(""https://docs.google.com/spreadsheets/d/1Uw7-A9f9R21vMXxHZFNpYNeKFtG8_yji4HS352LGlSQ/edit?pli=1#gid=0"",""1_ACUM!A4:S""),13,FALSE))"),"")</f>
        <v/>
      </c>
      <c r="AZ770" s="43" t="str">
        <f ca="1">IFERROR(__xludf.DUMMYFUNCTION("IFERROR(VLOOKUP(E787&amp;F787,IMPORTRANGE(""https://docs.google.com/spreadsheets/d/1Uw7-A9f9R21vMXxHZFNpYNeKFtG8_yji4HS352LGlSQ/edit?pli=1#gid=0"",""1_ACUM!A4:S""),14,FALSE))"),"")</f>
        <v/>
      </c>
      <c r="BA770" s="43" t="str">
        <f ca="1">IFERROR(__xludf.DUMMYFUNCTION("IFERROR(VLOOKUP(E787&amp;F787,IMPORTRANGE(""https://docs.google.com/spreadsheets/d/1Uw7-A9f9R21vMXxHZFNpYNeKFtG8_yji4HS352LGlSQ/edit?pli=1#gid=0"",""1_ACUM!A4:S""),15,FALSE))"),"")</f>
        <v/>
      </c>
      <c r="BB770" s="43" t="str">
        <f ca="1">IFERROR(__xludf.DUMMYFUNCTION("IFERROR(VLOOKUP(E787&amp;F787,IMPORTRANGE(""https://docs.google.com/spreadsheets/d/1Uw7-A9f9R21vMXxHZFNpYNeKFtG8_yji4HS352LGlSQ/edit?pli=1#gid=0"",""1_ACUM!A4:S""),16,FALSE))"),"")</f>
        <v/>
      </c>
      <c r="BC770" s="43" t="str">
        <f ca="1">IFERROR(__xludf.DUMMYFUNCTION("IFERROR(VLOOKUP(E787&amp;F787,IMPORTRANGE(""https://docs.google.com/spreadsheets/d/1Uw7-A9f9R21vMXxHZFNpYNeKFtG8_yji4HS352LGlSQ/edit?pli=1#gid=0"",""1_ACUM!A4:S""),17,FALSE))"),"")</f>
        <v/>
      </c>
      <c r="BD770" s="44" t="str">
        <f ca="1">IFERROR(__xludf.DUMMYFUNCTION("IFERROR(VLOOKUP(E787&amp;F787,IMPORTRANGE(""https://docs.google.com/spreadsheets/d/1Uw7-A9f9R21vMXxHZFNpYNeKFtG8_yji4HS352LGlSQ/edit?pli=1#gid=0"",""1_ACUM!A4:S""),18,FALSE))"),"")</f>
        <v/>
      </c>
      <c r="BE770" s="44" t="str">
        <f ca="1">IFERROR(__xludf.DUMMYFUNCTION("IFERROR(VLOOKUP(E787&amp;F787,IMPORTRANGE(""https://docs.google.com/spreadsheets/d/1Uw7-A9f9R21vMXxHZFNpYNeKFtG8_yji4HS352LGlSQ/edit?pli=1#gid=0"",""1_ACUM!A4:S""),19,FALSE))"),"")</f>
        <v/>
      </c>
      <c r="BF770" s="44" t="str">
        <f ca="1">IFERROR(__xludf.DUMMYFUNCTION("IFERROR(VLOOKUP(F787,IMPORTRANGE(""https://docs.google.com/spreadsheets/d/1Kvs4KS76FHFqLFIZfrDMff4kP08nblUkihrxltoGBjg/edit#gid=934712705"",""ESENCIAL!A6:BG""),5,FALSE))"),"")</f>
        <v/>
      </c>
      <c r="BG770" s="44" t="str">
        <f t="shared" si="45"/>
        <v/>
      </c>
      <c r="BH770" s="41" t="str">
        <f t="shared" si="46"/>
        <v/>
      </c>
      <c r="BI770" s="41" t="str">
        <f ca="1">IFERROR(__xludf.DUMMYFUNCTION("IFERROR(VLOOKUP(F787,IMPORTRANGE(""https://docs.google.com/spreadsheets/d/1Kvs4KS76FHFqLFIZfrDMff4kP08nblUkihrxltoGBjg/edit#gid=934712705"",""ESENCIAL!A6:BG""),18,FALSE))"),"")</f>
        <v/>
      </c>
      <c r="BJ770" s="19" t="str">
        <f t="shared" si="47"/>
        <v/>
      </c>
      <c r="BK770" s="41"/>
      <c r="BL770" s="41"/>
    </row>
    <row r="771" spans="1:64" ht="15">
      <c r="A771" s="4"/>
      <c r="B771" s="4"/>
      <c r="G771" s="5" t="str">
        <f ca="1">IFERROR(__xludf.DUMMYFUNCTION("IFERROR(VLOOKUP(F788,IMPORTRANGE(""https://docs.google.com/spreadsheets/d/1Kvs4KS76FHFqLFIZfrDMff4kP08nblUkihrxltoGBjg/edit#gid=934712705"",""ESENCIAL!A6:BG""),3,FALSE))"),"")</f>
        <v/>
      </c>
      <c r="H771" s="5" t="str">
        <f ca="1">IFERROR(__xludf.DUMMYFUNCTION("IFERROR(VLOOKUP(F788,IMPORTRANGE(""https://docs.google.com/spreadsheets/d/1Kvs4KS76FHFqLFIZfrDMff4kP08nblUkihrxltoGBjg/edit#gid=934712705"",""ESENCIAL!A6:BG""),8,FALSE))"),"")</f>
        <v/>
      </c>
      <c r="L771" s="287"/>
      <c r="S771"/>
      <c r="AU771" s="41" t="str">
        <f t="shared" si="44"/>
        <v/>
      </c>
      <c r="AV771" s="5" t="str">
        <f ca="1">IFERROR(__xludf.DUMMYFUNCTION("IFERROR(VLOOKUP(E788&amp;F788,IMPORTRANGE(""https://docs.google.com/spreadsheets/d/1Uw7-A9f9R21vMXxHZFNpYNeKFtG8_yji4HS352LGlSQ/edit?pli=1#gid=0"",""1_ACUM!A4:S""),11,FALSE))"),"")</f>
        <v/>
      </c>
      <c r="AW771" s="42" t="str">
        <f ca="1">IFERROR(__xludf.DUMMYFUNCTION("IFERROR(VLOOKUP(F788,IMPORTRANGE(""https://docs.google.com/spreadsheets/d/1Kvs4KS76FHFqLFIZfrDMff4kP08nblUkihrxltoGBjg/edit#gid=934712705"",""ESENCIAL!A6:BG""),15,FALSE))"),"")</f>
        <v/>
      </c>
      <c r="AX771" s="21" t="str">
        <f ca="1">IFERROR(__xludf.DUMMYFUNCTION("IFERROR(VLOOKUP(E788&amp;F788,IMPORTRANGE(""https://docs.google.com/spreadsheets/d/1Uw7-A9f9R21vMXxHZFNpYNeKFtG8_yji4HS352LGlSQ/edit?pli=1#gid=0"",""1_ACUM!A4:S""),12,FALSE))"),"")</f>
        <v/>
      </c>
      <c r="AY771" s="43" t="str">
        <f ca="1">IFERROR(__xludf.DUMMYFUNCTION("IFERROR(VLOOKUP(E788&amp;F788,IMPORTRANGE(""https://docs.google.com/spreadsheets/d/1Uw7-A9f9R21vMXxHZFNpYNeKFtG8_yji4HS352LGlSQ/edit?pli=1#gid=0"",""1_ACUM!A4:S""),13,FALSE))"),"")</f>
        <v/>
      </c>
      <c r="AZ771" s="43" t="str">
        <f ca="1">IFERROR(__xludf.DUMMYFUNCTION("IFERROR(VLOOKUP(E788&amp;F788,IMPORTRANGE(""https://docs.google.com/spreadsheets/d/1Uw7-A9f9R21vMXxHZFNpYNeKFtG8_yji4HS352LGlSQ/edit?pli=1#gid=0"",""1_ACUM!A4:S""),14,FALSE))"),"")</f>
        <v/>
      </c>
      <c r="BA771" s="43" t="str">
        <f ca="1">IFERROR(__xludf.DUMMYFUNCTION("IFERROR(VLOOKUP(E788&amp;F788,IMPORTRANGE(""https://docs.google.com/spreadsheets/d/1Uw7-A9f9R21vMXxHZFNpYNeKFtG8_yji4HS352LGlSQ/edit?pli=1#gid=0"",""1_ACUM!A4:S""),15,FALSE))"),"")</f>
        <v/>
      </c>
      <c r="BB771" s="43" t="str">
        <f ca="1">IFERROR(__xludf.DUMMYFUNCTION("IFERROR(VLOOKUP(E788&amp;F788,IMPORTRANGE(""https://docs.google.com/spreadsheets/d/1Uw7-A9f9R21vMXxHZFNpYNeKFtG8_yji4HS352LGlSQ/edit?pli=1#gid=0"",""1_ACUM!A4:S""),16,FALSE))"),"")</f>
        <v/>
      </c>
      <c r="BC771" s="43" t="str">
        <f ca="1">IFERROR(__xludf.DUMMYFUNCTION("IFERROR(VLOOKUP(E788&amp;F788,IMPORTRANGE(""https://docs.google.com/spreadsheets/d/1Uw7-A9f9R21vMXxHZFNpYNeKFtG8_yji4HS352LGlSQ/edit?pli=1#gid=0"",""1_ACUM!A4:S""),17,FALSE))"),"")</f>
        <v/>
      </c>
      <c r="BD771" s="44" t="str">
        <f ca="1">IFERROR(__xludf.DUMMYFUNCTION("IFERROR(VLOOKUP(E788&amp;F788,IMPORTRANGE(""https://docs.google.com/spreadsheets/d/1Uw7-A9f9R21vMXxHZFNpYNeKFtG8_yji4HS352LGlSQ/edit?pli=1#gid=0"",""1_ACUM!A4:S""),18,FALSE))"),"")</f>
        <v/>
      </c>
      <c r="BE771" s="44" t="str">
        <f ca="1">IFERROR(__xludf.DUMMYFUNCTION("IFERROR(VLOOKUP(E788&amp;F788,IMPORTRANGE(""https://docs.google.com/spreadsheets/d/1Uw7-A9f9R21vMXxHZFNpYNeKFtG8_yji4HS352LGlSQ/edit?pli=1#gid=0"",""1_ACUM!A4:S""),19,FALSE))"),"")</f>
        <v/>
      </c>
      <c r="BF771" s="44" t="str">
        <f ca="1">IFERROR(__xludf.DUMMYFUNCTION("IFERROR(VLOOKUP(F788,IMPORTRANGE(""https://docs.google.com/spreadsheets/d/1Kvs4KS76FHFqLFIZfrDMff4kP08nblUkihrxltoGBjg/edit#gid=934712705"",""ESENCIAL!A6:BG""),5,FALSE))"),"")</f>
        <v/>
      </c>
      <c r="BG771" s="44" t="str">
        <f t="shared" si="45"/>
        <v/>
      </c>
      <c r="BH771" s="41" t="str">
        <f t="shared" si="46"/>
        <v/>
      </c>
      <c r="BI771" s="41" t="str">
        <f ca="1">IFERROR(__xludf.DUMMYFUNCTION("IFERROR(VLOOKUP(F788,IMPORTRANGE(""https://docs.google.com/spreadsheets/d/1Kvs4KS76FHFqLFIZfrDMff4kP08nblUkihrxltoGBjg/edit#gid=934712705"",""ESENCIAL!A6:BG""),18,FALSE))"),"")</f>
        <v/>
      </c>
      <c r="BJ771" s="19" t="str">
        <f t="shared" si="47"/>
        <v/>
      </c>
      <c r="BK771" s="41"/>
      <c r="BL771" s="41"/>
    </row>
    <row r="772" spans="1:64" ht="15">
      <c r="A772" s="4"/>
      <c r="B772" s="4"/>
      <c r="G772" s="5" t="str">
        <f ca="1">IFERROR(__xludf.DUMMYFUNCTION("IFERROR(VLOOKUP(F789,IMPORTRANGE(""https://docs.google.com/spreadsheets/d/1Kvs4KS76FHFqLFIZfrDMff4kP08nblUkihrxltoGBjg/edit#gid=934712705"",""ESENCIAL!A6:BG""),3,FALSE))"),"")</f>
        <v/>
      </c>
      <c r="H772" s="5" t="str">
        <f ca="1">IFERROR(__xludf.DUMMYFUNCTION("IFERROR(VLOOKUP(F789,IMPORTRANGE(""https://docs.google.com/spreadsheets/d/1Kvs4KS76FHFqLFIZfrDMff4kP08nblUkihrxltoGBjg/edit#gid=934712705"",""ESENCIAL!A6:BG""),8,FALSE))"),"")</f>
        <v/>
      </c>
      <c r="L772" s="287"/>
      <c r="S772"/>
      <c r="AU772" s="41" t="str">
        <f t="shared" si="44"/>
        <v/>
      </c>
      <c r="AV772" s="5" t="str">
        <f ca="1">IFERROR(__xludf.DUMMYFUNCTION("IFERROR(VLOOKUP(E789&amp;F789,IMPORTRANGE(""https://docs.google.com/spreadsheets/d/1Uw7-A9f9R21vMXxHZFNpYNeKFtG8_yji4HS352LGlSQ/edit?pli=1#gid=0"",""1_ACUM!A4:S""),11,FALSE))"),"")</f>
        <v/>
      </c>
      <c r="AW772" s="42" t="str">
        <f ca="1">IFERROR(__xludf.DUMMYFUNCTION("IFERROR(VLOOKUP(F789,IMPORTRANGE(""https://docs.google.com/spreadsheets/d/1Kvs4KS76FHFqLFIZfrDMff4kP08nblUkihrxltoGBjg/edit#gid=934712705"",""ESENCIAL!A6:BG""),15,FALSE))"),"")</f>
        <v/>
      </c>
      <c r="AX772" s="21" t="str">
        <f ca="1">IFERROR(__xludf.DUMMYFUNCTION("IFERROR(VLOOKUP(E789&amp;F789,IMPORTRANGE(""https://docs.google.com/spreadsheets/d/1Uw7-A9f9R21vMXxHZFNpYNeKFtG8_yji4HS352LGlSQ/edit?pli=1#gid=0"",""1_ACUM!A4:S""),12,FALSE))"),"")</f>
        <v/>
      </c>
      <c r="AY772" s="43" t="str">
        <f ca="1">IFERROR(__xludf.DUMMYFUNCTION("IFERROR(VLOOKUP(E789&amp;F789,IMPORTRANGE(""https://docs.google.com/spreadsheets/d/1Uw7-A9f9R21vMXxHZFNpYNeKFtG8_yji4HS352LGlSQ/edit?pli=1#gid=0"",""1_ACUM!A4:S""),13,FALSE))"),"")</f>
        <v/>
      </c>
      <c r="AZ772" s="43" t="str">
        <f ca="1">IFERROR(__xludf.DUMMYFUNCTION("IFERROR(VLOOKUP(E789&amp;F789,IMPORTRANGE(""https://docs.google.com/spreadsheets/d/1Uw7-A9f9R21vMXxHZFNpYNeKFtG8_yji4HS352LGlSQ/edit?pli=1#gid=0"",""1_ACUM!A4:S""),14,FALSE))"),"")</f>
        <v/>
      </c>
      <c r="BA772" s="43" t="str">
        <f ca="1">IFERROR(__xludf.DUMMYFUNCTION("IFERROR(VLOOKUP(E789&amp;F789,IMPORTRANGE(""https://docs.google.com/spreadsheets/d/1Uw7-A9f9R21vMXxHZFNpYNeKFtG8_yji4HS352LGlSQ/edit?pli=1#gid=0"",""1_ACUM!A4:S""),15,FALSE))"),"")</f>
        <v/>
      </c>
      <c r="BB772" s="43" t="str">
        <f ca="1">IFERROR(__xludf.DUMMYFUNCTION("IFERROR(VLOOKUP(E789&amp;F789,IMPORTRANGE(""https://docs.google.com/spreadsheets/d/1Uw7-A9f9R21vMXxHZFNpYNeKFtG8_yji4HS352LGlSQ/edit?pli=1#gid=0"",""1_ACUM!A4:S""),16,FALSE))"),"")</f>
        <v/>
      </c>
      <c r="BC772" s="43" t="str">
        <f ca="1">IFERROR(__xludf.DUMMYFUNCTION("IFERROR(VLOOKUP(E789&amp;F789,IMPORTRANGE(""https://docs.google.com/spreadsheets/d/1Uw7-A9f9R21vMXxHZFNpYNeKFtG8_yji4HS352LGlSQ/edit?pli=1#gid=0"",""1_ACUM!A4:S""),17,FALSE))"),"")</f>
        <v/>
      </c>
      <c r="BD772" s="44" t="str">
        <f ca="1">IFERROR(__xludf.DUMMYFUNCTION("IFERROR(VLOOKUP(E789&amp;F789,IMPORTRANGE(""https://docs.google.com/spreadsheets/d/1Uw7-A9f9R21vMXxHZFNpYNeKFtG8_yji4HS352LGlSQ/edit?pli=1#gid=0"",""1_ACUM!A4:S""),18,FALSE))"),"")</f>
        <v/>
      </c>
      <c r="BE772" s="44" t="str">
        <f ca="1">IFERROR(__xludf.DUMMYFUNCTION("IFERROR(VLOOKUP(E789&amp;F789,IMPORTRANGE(""https://docs.google.com/spreadsheets/d/1Uw7-A9f9R21vMXxHZFNpYNeKFtG8_yji4HS352LGlSQ/edit?pli=1#gid=0"",""1_ACUM!A4:S""),19,FALSE))"),"")</f>
        <v/>
      </c>
      <c r="BF772" s="44" t="str">
        <f ca="1">IFERROR(__xludf.DUMMYFUNCTION("IFERROR(VLOOKUP(F789,IMPORTRANGE(""https://docs.google.com/spreadsheets/d/1Kvs4KS76FHFqLFIZfrDMff4kP08nblUkihrxltoGBjg/edit#gid=934712705"",""ESENCIAL!A6:BG""),5,FALSE))"),"")</f>
        <v/>
      </c>
      <c r="BG772" s="44" t="str">
        <f t="shared" si="45"/>
        <v/>
      </c>
      <c r="BH772" s="41" t="str">
        <f t="shared" si="46"/>
        <v/>
      </c>
      <c r="BI772" s="41" t="str">
        <f ca="1">IFERROR(__xludf.DUMMYFUNCTION("IFERROR(VLOOKUP(F789,IMPORTRANGE(""https://docs.google.com/spreadsheets/d/1Kvs4KS76FHFqLFIZfrDMff4kP08nblUkihrxltoGBjg/edit#gid=934712705"",""ESENCIAL!A6:BG""),18,FALSE))"),"")</f>
        <v/>
      </c>
      <c r="BJ772" s="19" t="str">
        <f t="shared" si="47"/>
        <v/>
      </c>
      <c r="BK772" s="41"/>
      <c r="BL772" s="41"/>
    </row>
    <row r="773" spans="1:64" ht="15">
      <c r="A773" s="4"/>
      <c r="B773" s="4"/>
      <c r="G773" s="5" t="str">
        <f ca="1">IFERROR(__xludf.DUMMYFUNCTION("IFERROR(VLOOKUP(F790,IMPORTRANGE(""https://docs.google.com/spreadsheets/d/1Kvs4KS76FHFqLFIZfrDMff4kP08nblUkihrxltoGBjg/edit#gid=934712705"",""ESENCIAL!A6:BG""),3,FALSE))"),"")</f>
        <v/>
      </c>
      <c r="H773" s="5" t="str">
        <f ca="1">IFERROR(__xludf.DUMMYFUNCTION("IFERROR(VLOOKUP(F790,IMPORTRANGE(""https://docs.google.com/spreadsheets/d/1Kvs4KS76FHFqLFIZfrDMff4kP08nblUkihrxltoGBjg/edit#gid=934712705"",""ESENCIAL!A6:BG""),8,FALSE))"),"")</f>
        <v/>
      </c>
      <c r="L773" s="287"/>
      <c r="S773"/>
      <c r="AU773" s="41" t="str">
        <f t="shared" si="44"/>
        <v/>
      </c>
      <c r="AV773" s="5" t="str">
        <f ca="1">IFERROR(__xludf.DUMMYFUNCTION("IFERROR(VLOOKUP(E790&amp;F790,IMPORTRANGE(""https://docs.google.com/spreadsheets/d/1Uw7-A9f9R21vMXxHZFNpYNeKFtG8_yji4HS352LGlSQ/edit?pli=1#gid=0"",""1_ACUM!A4:S""),11,FALSE))"),"")</f>
        <v/>
      </c>
      <c r="AW773" s="42" t="str">
        <f ca="1">IFERROR(__xludf.DUMMYFUNCTION("IFERROR(VLOOKUP(F790,IMPORTRANGE(""https://docs.google.com/spreadsheets/d/1Kvs4KS76FHFqLFIZfrDMff4kP08nblUkihrxltoGBjg/edit#gid=934712705"",""ESENCIAL!A6:BG""),15,FALSE))"),"")</f>
        <v/>
      </c>
      <c r="AX773" s="21" t="str">
        <f ca="1">IFERROR(__xludf.DUMMYFUNCTION("IFERROR(VLOOKUP(E790&amp;F790,IMPORTRANGE(""https://docs.google.com/spreadsheets/d/1Uw7-A9f9R21vMXxHZFNpYNeKFtG8_yji4HS352LGlSQ/edit?pli=1#gid=0"",""1_ACUM!A4:S""),12,FALSE))"),"")</f>
        <v/>
      </c>
      <c r="AY773" s="43" t="str">
        <f ca="1">IFERROR(__xludf.DUMMYFUNCTION("IFERROR(VLOOKUP(E790&amp;F790,IMPORTRANGE(""https://docs.google.com/spreadsheets/d/1Uw7-A9f9R21vMXxHZFNpYNeKFtG8_yji4HS352LGlSQ/edit?pli=1#gid=0"",""1_ACUM!A4:S""),13,FALSE))"),"")</f>
        <v/>
      </c>
      <c r="AZ773" s="43" t="str">
        <f ca="1">IFERROR(__xludf.DUMMYFUNCTION("IFERROR(VLOOKUP(E790&amp;F790,IMPORTRANGE(""https://docs.google.com/spreadsheets/d/1Uw7-A9f9R21vMXxHZFNpYNeKFtG8_yji4HS352LGlSQ/edit?pli=1#gid=0"",""1_ACUM!A4:S""),14,FALSE))"),"")</f>
        <v/>
      </c>
      <c r="BA773" s="43" t="str">
        <f ca="1">IFERROR(__xludf.DUMMYFUNCTION("IFERROR(VLOOKUP(E790&amp;F790,IMPORTRANGE(""https://docs.google.com/spreadsheets/d/1Uw7-A9f9R21vMXxHZFNpYNeKFtG8_yji4HS352LGlSQ/edit?pli=1#gid=0"",""1_ACUM!A4:S""),15,FALSE))"),"")</f>
        <v/>
      </c>
      <c r="BB773" s="43" t="str">
        <f ca="1">IFERROR(__xludf.DUMMYFUNCTION("IFERROR(VLOOKUP(E790&amp;F790,IMPORTRANGE(""https://docs.google.com/spreadsheets/d/1Uw7-A9f9R21vMXxHZFNpYNeKFtG8_yji4HS352LGlSQ/edit?pli=1#gid=0"",""1_ACUM!A4:S""),16,FALSE))"),"")</f>
        <v/>
      </c>
      <c r="BC773" s="43" t="str">
        <f ca="1">IFERROR(__xludf.DUMMYFUNCTION("IFERROR(VLOOKUP(E790&amp;F790,IMPORTRANGE(""https://docs.google.com/spreadsheets/d/1Uw7-A9f9R21vMXxHZFNpYNeKFtG8_yji4HS352LGlSQ/edit?pli=1#gid=0"",""1_ACUM!A4:S""),17,FALSE))"),"")</f>
        <v/>
      </c>
      <c r="BD773" s="44" t="str">
        <f ca="1">IFERROR(__xludf.DUMMYFUNCTION("IFERROR(VLOOKUP(E790&amp;F790,IMPORTRANGE(""https://docs.google.com/spreadsheets/d/1Uw7-A9f9R21vMXxHZFNpYNeKFtG8_yji4HS352LGlSQ/edit?pli=1#gid=0"",""1_ACUM!A4:S""),18,FALSE))"),"")</f>
        <v/>
      </c>
      <c r="BE773" s="44" t="str">
        <f ca="1">IFERROR(__xludf.DUMMYFUNCTION("IFERROR(VLOOKUP(E790&amp;F790,IMPORTRANGE(""https://docs.google.com/spreadsheets/d/1Uw7-A9f9R21vMXxHZFNpYNeKFtG8_yji4HS352LGlSQ/edit?pli=1#gid=0"",""1_ACUM!A4:S""),19,FALSE))"),"")</f>
        <v/>
      </c>
      <c r="BF773" s="44" t="str">
        <f ca="1">IFERROR(__xludf.DUMMYFUNCTION("IFERROR(VLOOKUP(F790,IMPORTRANGE(""https://docs.google.com/spreadsheets/d/1Kvs4KS76FHFqLFIZfrDMff4kP08nblUkihrxltoGBjg/edit#gid=934712705"",""ESENCIAL!A6:BG""),5,FALSE))"),"")</f>
        <v/>
      </c>
      <c r="BG773" s="44" t="str">
        <f t="shared" si="45"/>
        <v/>
      </c>
      <c r="BH773" s="41" t="str">
        <f t="shared" si="46"/>
        <v/>
      </c>
      <c r="BI773" s="41" t="str">
        <f ca="1">IFERROR(__xludf.DUMMYFUNCTION("IFERROR(VLOOKUP(F790,IMPORTRANGE(""https://docs.google.com/spreadsheets/d/1Kvs4KS76FHFqLFIZfrDMff4kP08nblUkihrxltoGBjg/edit#gid=934712705"",""ESENCIAL!A6:BG""),18,FALSE))"),"")</f>
        <v/>
      </c>
      <c r="BJ773" s="19" t="str">
        <f t="shared" si="47"/>
        <v/>
      </c>
      <c r="BK773" s="41"/>
      <c r="BL773" s="41"/>
    </row>
    <row r="774" spans="1:64" ht="15">
      <c r="A774" s="4"/>
      <c r="B774" s="4"/>
      <c r="G774" s="5" t="str">
        <f ca="1">IFERROR(__xludf.DUMMYFUNCTION("IFERROR(VLOOKUP(F791,IMPORTRANGE(""https://docs.google.com/spreadsheets/d/1Kvs4KS76FHFqLFIZfrDMff4kP08nblUkihrxltoGBjg/edit#gid=934712705"",""ESENCIAL!A6:BG""),3,FALSE))"),"")</f>
        <v/>
      </c>
      <c r="H774" s="5" t="str">
        <f ca="1">IFERROR(__xludf.DUMMYFUNCTION("IFERROR(VLOOKUP(F791,IMPORTRANGE(""https://docs.google.com/spreadsheets/d/1Kvs4KS76FHFqLFIZfrDMff4kP08nblUkihrxltoGBjg/edit#gid=934712705"",""ESENCIAL!A6:BG""),8,FALSE))"),"")</f>
        <v/>
      </c>
      <c r="L774" s="287"/>
      <c r="S774"/>
      <c r="AU774" s="41" t="str">
        <f t="shared" si="44"/>
        <v/>
      </c>
      <c r="AV774" s="5" t="str">
        <f ca="1">IFERROR(__xludf.DUMMYFUNCTION("IFERROR(VLOOKUP(E791&amp;F791,IMPORTRANGE(""https://docs.google.com/spreadsheets/d/1Uw7-A9f9R21vMXxHZFNpYNeKFtG8_yji4HS352LGlSQ/edit?pli=1#gid=0"",""1_ACUM!A4:S""),11,FALSE))"),"")</f>
        <v/>
      </c>
      <c r="AW774" s="42" t="str">
        <f ca="1">IFERROR(__xludf.DUMMYFUNCTION("IFERROR(VLOOKUP(F791,IMPORTRANGE(""https://docs.google.com/spreadsheets/d/1Kvs4KS76FHFqLFIZfrDMff4kP08nblUkihrxltoGBjg/edit#gid=934712705"",""ESENCIAL!A6:BG""),15,FALSE))"),"")</f>
        <v/>
      </c>
      <c r="AX774" s="21" t="str">
        <f ca="1">IFERROR(__xludf.DUMMYFUNCTION("IFERROR(VLOOKUP(E791&amp;F791,IMPORTRANGE(""https://docs.google.com/spreadsheets/d/1Uw7-A9f9R21vMXxHZFNpYNeKFtG8_yji4HS352LGlSQ/edit?pli=1#gid=0"",""1_ACUM!A4:S""),12,FALSE))"),"")</f>
        <v/>
      </c>
      <c r="AY774" s="43" t="str">
        <f ca="1">IFERROR(__xludf.DUMMYFUNCTION("IFERROR(VLOOKUP(E791&amp;F791,IMPORTRANGE(""https://docs.google.com/spreadsheets/d/1Uw7-A9f9R21vMXxHZFNpYNeKFtG8_yji4HS352LGlSQ/edit?pli=1#gid=0"",""1_ACUM!A4:S""),13,FALSE))"),"")</f>
        <v/>
      </c>
      <c r="AZ774" s="43" t="str">
        <f ca="1">IFERROR(__xludf.DUMMYFUNCTION("IFERROR(VLOOKUP(E791&amp;F791,IMPORTRANGE(""https://docs.google.com/spreadsheets/d/1Uw7-A9f9R21vMXxHZFNpYNeKFtG8_yji4HS352LGlSQ/edit?pli=1#gid=0"",""1_ACUM!A4:S""),14,FALSE))"),"")</f>
        <v/>
      </c>
      <c r="BA774" s="43" t="str">
        <f ca="1">IFERROR(__xludf.DUMMYFUNCTION("IFERROR(VLOOKUP(E791&amp;F791,IMPORTRANGE(""https://docs.google.com/spreadsheets/d/1Uw7-A9f9R21vMXxHZFNpYNeKFtG8_yji4HS352LGlSQ/edit?pli=1#gid=0"",""1_ACUM!A4:S""),15,FALSE))"),"")</f>
        <v/>
      </c>
      <c r="BB774" s="43" t="str">
        <f ca="1">IFERROR(__xludf.DUMMYFUNCTION("IFERROR(VLOOKUP(E791&amp;F791,IMPORTRANGE(""https://docs.google.com/spreadsheets/d/1Uw7-A9f9R21vMXxHZFNpYNeKFtG8_yji4HS352LGlSQ/edit?pli=1#gid=0"",""1_ACUM!A4:S""),16,FALSE))"),"")</f>
        <v/>
      </c>
      <c r="BC774" s="43" t="str">
        <f ca="1">IFERROR(__xludf.DUMMYFUNCTION("IFERROR(VLOOKUP(E791&amp;F791,IMPORTRANGE(""https://docs.google.com/spreadsheets/d/1Uw7-A9f9R21vMXxHZFNpYNeKFtG8_yji4HS352LGlSQ/edit?pli=1#gid=0"",""1_ACUM!A4:S""),17,FALSE))"),"")</f>
        <v/>
      </c>
      <c r="BD774" s="44" t="str">
        <f ca="1">IFERROR(__xludf.DUMMYFUNCTION("IFERROR(VLOOKUP(E791&amp;F791,IMPORTRANGE(""https://docs.google.com/spreadsheets/d/1Uw7-A9f9R21vMXxHZFNpYNeKFtG8_yji4HS352LGlSQ/edit?pli=1#gid=0"",""1_ACUM!A4:S""),18,FALSE))"),"")</f>
        <v/>
      </c>
      <c r="BE774" s="44" t="str">
        <f ca="1">IFERROR(__xludf.DUMMYFUNCTION("IFERROR(VLOOKUP(E791&amp;F791,IMPORTRANGE(""https://docs.google.com/spreadsheets/d/1Uw7-A9f9R21vMXxHZFNpYNeKFtG8_yji4HS352LGlSQ/edit?pli=1#gid=0"",""1_ACUM!A4:S""),19,FALSE))"),"")</f>
        <v/>
      </c>
      <c r="BF774" s="44" t="str">
        <f ca="1">IFERROR(__xludf.DUMMYFUNCTION("IFERROR(VLOOKUP(F791,IMPORTRANGE(""https://docs.google.com/spreadsheets/d/1Kvs4KS76FHFqLFIZfrDMff4kP08nblUkihrxltoGBjg/edit#gid=934712705"",""ESENCIAL!A6:BG""),5,FALSE))"),"")</f>
        <v/>
      </c>
      <c r="BG774" s="44" t="str">
        <f t="shared" si="45"/>
        <v/>
      </c>
      <c r="BH774" s="41" t="str">
        <f t="shared" si="46"/>
        <v/>
      </c>
      <c r="BI774" s="41" t="str">
        <f ca="1">IFERROR(__xludf.DUMMYFUNCTION("IFERROR(VLOOKUP(F791,IMPORTRANGE(""https://docs.google.com/spreadsheets/d/1Kvs4KS76FHFqLFIZfrDMff4kP08nblUkihrxltoGBjg/edit#gid=934712705"",""ESENCIAL!A6:BG""),18,FALSE))"),"")</f>
        <v/>
      </c>
      <c r="BJ774" s="19" t="str">
        <f t="shared" si="47"/>
        <v/>
      </c>
      <c r="BK774" s="41"/>
      <c r="BL774" s="41"/>
    </row>
    <row r="775" spans="1:64" ht="15">
      <c r="A775" s="4"/>
      <c r="B775" s="4"/>
      <c r="G775" s="5" t="str">
        <f ca="1">IFERROR(__xludf.DUMMYFUNCTION("IFERROR(VLOOKUP(F792,IMPORTRANGE(""https://docs.google.com/spreadsheets/d/1Kvs4KS76FHFqLFIZfrDMff4kP08nblUkihrxltoGBjg/edit#gid=934712705"",""ESENCIAL!A6:BG""),3,FALSE))"),"")</f>
        <v/>
      </c>
      <c r="H775" s="5" t="str">
        <f ca="1">IFERROR(__xludf.DUMMYFUNCTION("IFERROR(VLOOKUP(F792,IMPORTRANGE(""https://docs.google.com/spreadsheets/d/1Kvs4KS76FHFqLFIZfrDMff4kP08nblUkihrxltoGBjg/edit#gid=934712705"",""ESENCIAL!A6:BG""),8,FALSE))"),"")</f>
        <v/>
      </c>
      <c r="L775" s="287"/>
      <c r="S775"/>
      <c r="AU775" s="41" t="str">
        <f t="shared" si="44"/>
        <v/>
      </c>
      <c r="AV775" s="5" t="str">
        <f ca="1">IFERROR(__xludf.DUMMYFUNCTION("IFERROR(VLOOKUP(E792&amp;F792,IMPORTRANGE(""https://docs.google.com/spreadsheets/d/1Uw7-A9f9R21vMXxHZFNpYNeKFtG8_yji4HS352LGlSQ/edit?pli=1#gid=0"",""1_ACUM!A4:S""),11,FALSE))"),"")</f>
        <v/>
      </c>
      <c r="AW775" s="42" t="str">
        <f ca="1">IFERROR(__xludf.DUMMYFUNCTION("IFERROR(VLOOKUP(F792,IMPORTRANGE(""https://docs.google.com/spreadsheets/d/1Kvs4KS76FHFqLFIZfrDMff4kP08nblUkihrxltoGBjg/edit#gid=934712705"",""ESENCIAL!A6:BG""),15,FALSE))"),"")</f>
        <v/>
      </c>
      <c r="AX775" s="21" t="str">
        <f ca="1">IFERROR(__xludf.DUMMYFUNCTION("IFERROR(VLOOKUP(E792&amp;F792,IMPORTRANGE(""https://docs.google.com/spreadsheets/d/1Uw7-A9f9R21vMXxHZFNpYNeKFtG8_yji4HS352LGlSQ/edit?pli=1#gid=0"",""1_ACUM!A4:S""),12,FALSE))"),"")</f>
        <v/>
      </c>
      <c r="AY775" s="43" t="str">
        <f ca="1">IFERROR(__xludf.DUMMYFUNCTION("IFERROR(VLOOKUP(E792&amp;F792,IMPORTRANGE(""https://docs.google.com/spreadsheets/d/1Uw7-A9f9R21vMXxHZFNpYNeKFtG8_yji4HS352LGlSQ/edit?pli=1#gid=0"",""1_ACUM!A4:S""),13,FALSE))"),"")</f>
        <v/>
      </c>
      <c r="AZ775" s="43" t="str">
        <f ca="1">IFERROR(__xludf.DUMMYFUNCTION("IFERROR(VLOOKUP(E792&amp;F792,IMPORTRANGE(""https://docs.google.com/spreadsheets/d/1Uw7-A9f9R21vMXxHZFNpYNeKFtG8_yji4HS352LGlSQ/edit?pli=1#gid=0"",""1_ACUM!A4:S""),14,FALSE))"),"")</f>
        <v/>
      </c>
      <c r="BA775" s="43" t="str">
        <f ca="1">IFERROR(__xludf.DUMMYFUNCTION("IFERROR(VLOOKUP(E792&amp;F792,IMPORTRANGE(""https://docs.google.com/spreadsheets/d/1Uw7-A9f9R21vMXxHZFNpYNeKFtG8_yji4HS352LGlSQ/edit?pli=1#gid=0"",""1_ACUM!A4:S""),15,FALSE))"),"")</f>
        <v/>
      </c>
      <c r="BB775" s="43" t="str">
        <f ca="1">IFERROR(__xludf.DUMMYFUNCTION("IFERROR(VLOOKUP(E792&amp;F792,IMPORTRANGE(""https://docs.google.com/spreadsheets/d/1Uw7-A9f9R21vMXxHZFNpYNeKFtG8_yji4HS352LGlSQ/edit?pli=1#gid=0"",""1_ACUM!A4:S""),16,FALSE))"),"")</f>
        <v/>
      </c>
      <c r="BC775" s="43" t="str">
        <f ca="1">IFERROR(__xludf.DUMMYFUNCTION("IFERROR(VLOOKUP(E792&amp;F792,IMPORTRANGE(""https://docs.google.com/spreadsheets/d/1Uw7-A9f9R21vMXxHZFNpYNeKFtG8_yji4HS352LGlSQ/edit?pli=1#gid=0"",""1_ACUM!A4:S""),17,FALSE))"),"")</f>
        <v/>
      </c>
      <c r="BD775" s="44" t="str">
        <f ca="1">IFERROR(__xludf.DUMMYFUNCTION("IFERROR(VLOOKUP(E792&amp;F792,IMPORTRANGE(""https://docs.google.com/spreadsheets/d/1Uw7-A9f9R21vMXxHZFNpYNeKFtG8_yji4HS352LGlSQ/edit?pli=1#gid=0"",""1_ACUM!A4:S""),18,FALSE))"),"")</f>
        <v/>
      </c>
      <c r="BE775" s="44" t="str">
        <f ca="1">IFERROR(__xludf.DUMMYFUNCTION("IFERROR(VLOOKUP(E792&amp;F792,IMPORTRANGE(""https://docs.google.com/spreadsheets/d/1Uw7-A9f9R21vMXxHZFNpYNeKFtG8_yji4HS352LGlSQ/edit?pli=1#gid=0"",""1_ACUM!A4:S""),19,FALSE))"),"")</f>
        <v/>
      </c>
      <c r="BF775" s="44" t="str">
        <f ca="1">IFERROR(__xludf.DUMMYFUNCTION("IFERROR(VLOOKUP(F792,IMPORTRANGE(""https://docs.google.com/spreadsheets/d/1Kvs4KS76FHFqLFIZfrDMff4kP08nblUkihrxltoGBjg/edit#gid=934712705"",""ESENCIAL!A6:BG""),5,FALSE))"),"")</f>
        <v/>
      </c>
      <c r="BG775" s="44" t="str">
        <f t="shared" si="45"/>
        <v/>
      </c>
      <c r="BH775" s="41" t="str">
        <f t="shared" si="46"/>
        <v/>
      </c>
      <c r="BI775" s="41" t="str">
        <f ca="1">IFERROR(__xludf.DUMMYFUNCTION("IFERROR(VLOOKUP(F792,IMPORTRANGE(""https://docs.google.com/spreadsheets/d/1Kvs4KS76FHFqLFIZfrDMff4kP08nblUkihrxltoGBjg/edit#gid=934712705"",""ESENCIAL!A6:BG""),18,FALSE))"),"")</f>
        <v/>
      </c>
      <c r="BJ775" s="19" t="str">
        <f t="shared" si="47"/>
        <v/>
      </c>
      <c r="BK775" s="41"/>
      <c r="BL775" s="41"/>
    </row>
    <row r="776" spans="1:64" ht="15">
      <c r="A776" s="4"/>
      <c r="B776" s="4"/>
      <c r="G776" s="5" t="str">
        <f ca="1">IFERROR(__xludf.DUMMYFUNCTION("IFERROR(VLOOKUP(F793,IMPORTRANGE(""https://docs.google.com/spreadsheets/d/1Kvs4KS76FHFqLFIZfrDMff4kP08nblUkihrxltoGBjg/edit#gid=934712705"",""ESENCIAL!A6:BG""),3,FALSE))"),"")</f>
        <v/>
      </c>
      <c r="H776" s="5" t="str">
        <f ca="1">IFERROR(__xludf.DUMMYFUNCTION("IFERROR(VLOOKUP(F793,IMPORTRANGE(""https://docs.google.com/spreadsheets/d/1Kvs4KS76FHFqLFIZfrDMff4kP08nblUkihrxltoGBjg/edit#gid=934712705"",""ESENCIAL!A6:BG""),8,FALSE))"),"")</f>
        <v/>
      </c>
      <c r="L776" s="287"/>
      <c r="S776"/>
      <c r="AU776" s="41" t="str">
        <f t="shared" si="44"/>
        <v/>
      </c>
      <c r="AV776" s="5" t="str">
        <f ca="1">IFERROR(__xludf.DUMMYFUNCTION("IFERROR(VLOOKUP(E793&amp;F793,IMPORTRANGE(""https://docs.google.com/spreadsheets/d/1Uw7-A9f9R21vMXxHZFNpYNeKFtG8_yji4HS352LGlSQ/edit?pli=1#gid=0"",""1_ACUM!A4:S""),11,FALSE))"),"")</f>
        <v/>
      </c>
      <c r="AW776" s="42" t="str">
        <f ca="1">IFERROR(__xludf.DUMMYFUNCTION("IFERROR(VLOOKUP(F793,IMPORTRANGE(""https://docs.google.com/spreadsheets/d/1Kvs4KS76FHFqLFIZfrDMff4kP08nblUkihrxltoGBjg/edit#gid=934712705"",""ESENCIAL!A6:BG""),15,FALSE))"),"")</f>
        <v/>
      </c>
      <c r="AX776" s="21" t="str">
        <f ca="1">IFERROR(__xludf.DUMMYFUNCTION("IFERROR(VLOOKUP(E793&amp;F793,IMPORTRANGE(""https://docs.google.com/spreadsheets/d/1Uw7-A9f9R21vMXxHZFNpYNeKFtG8_yji4HS352LGlSQ/edit?pli=1#gid=0"",""1_ACUM!A4:S""),12,FALSE))"),"")</f>
        <v/>
      </c>
      <c r="AY776" s="43" t="str">
        <f ca="1">IFERROR(__xludf.DUMMYFUNCTION("IFERROR(VLOOKUP(E793&amp;F793,IMPORTRANGE(""https://docs.google.com/spreadsheets/d/1Uw7-A9f9R21vMXxHZFNpYNeKFtG8_yji4HS352LGlSQ/edit?pli=1#gid=0"",""1_ACUM!A4:S""),13,FALSE))"),"")</f>
        <v/>
      </c>
      <c r="AZ776" s="43" t="str">
        <f ca="1">IFERROR(__xludf.DUMMYFUNCTION("IFERROR(VLOOKUP(E793&amp;F793,IMPORTRANGE(""https://docs.google.com/spreadsheets/d/1Uw7-A9f9R21vMXxHZFNpYNeKFtG8_yji4HS352LGlSQ/edit?pli=1#gid=0"",""1_ACUM!A4:S""),14,FALSE))"),"")</f>
        <v/>
      </c>
      <c r="BA776" s="43" t="str">
        <f ca="1">IFERROR(__xludf.DUMMYFUNCTION("IFERROR(VLOOKUP(E793&amp;F793,IMPORTRANGE(""https://docs.google.com/spreadsheets/d/1Uw7-A9f9R21vMXxHZFNpYNeKFtG8_yji4HS352LGlSQ/edit?pli=1#gid=0"",""1_ACUM!A4:S""),15,FALSE))"),"")</f>
        <v/>
      </c>
      <c r="BB776" s="43" t="str">
        <f ca="1">IFERROR(__xludf.DUMMYFUNCTION("IFERROR(VLOOKUP(E793&amp;F793,IMPORTRANGE(""https://docs.google.com/spreadsheets/d/1Uw7-A9f9R21vMXxHZFNpYNeKFtG8_yji4HS352LGlSQ/edit?pli=1#gid=0"",""1_ACUM!A4:S""),16,FALSE))"),"")</f>
        <v/>
      </c>
      <c r="BC776" s="43" t="str">
        <f ca="1">IFERROR(__xludf.DUMMYFUNCTION("IFERROR(VLOOKUP(E793&amp;F793,IMPORTRANGE(""https://docs.google.com/spreadsheets/d/1Uw7-A9f9R21vMXxHZFNpYNeKFtG8_yji4HS352LGlSQ/edit?pli=1#gid=0"",""1_ACUM!A4:S""),17,FALSE))"),"")</f>
        <v/>
      </c>
      <c r="BD776" s="44" t="str">
        <f ca="1">IFERROR(__xludf.DUMMYFUNCTION("IFERROR(VLOOKUP(E793&amp;F793,IMPORTRANGE(""https://docs.google.com/spreadsheets/d/1Uw7-A9f9R21vMXxHZFNpYNeKFtG8_yji4HS352LGlSQ/edit?pli=1#gid=0"",""1_ACUM!A4:S""),18,FALSE))"),"")</f>
        <v/>
      </c>
      <c r="BE776" s="44" t="str">
        <f ca="1">IFERROR(__xludf.DUMMYFUNCTION("IFERROR(VLOOKUP(E793&amp;F793,IMPORTRANGE(""https://docs.google.com/spreadsheets/d/1Uw7-A9f9R21vMXxHZFNpYNeKFtG8_yji4HS352LGlSQ/edit?pli=1#gid=0"",""1_ACUM!A4:S""),19,FALSE))"),"")</f>
        <v/>
      </c>
      <c r="BF776" s="44" t="str">
        <f ca="1">IFERROR(__xludf.DUMMYFUNCTION("IFERROR(VLOOKUP(F793,IMPORTRANGE(""https://docs.google.com/spreadsheets/d/1Kvs4KS76FHFqLFIZfrDMff4kP08nblUkihrxltoGBjg/edit#gid=934712705"",""ESENCIAL!A6:BG""),5,FALSE))"),"")</f>
        <v/>
      </c>
      <c r="BG776" s="44" t="str">
        <f t="shared" si="45"/>
        <v/>
      </c>
      <c r="BH776" s="41" t="str">
        <f t="shared" si="46"/>
        <v/>
      </c>
      <c r="BI776" s="41" t="str">
        <f ca="1">IFERROR(__xludf.DUMMYFUNCTION("IFERROR(VLOOKUP(F793,IMPORTRANGE(""https://docs.google.com/spreadsheets/d/1Kvs4KS76FHFqLFIZfrDMff4kP08nblUkihrxltoGBjg/edit#gid=934712705"",""ESENCIAL!A6:BG""),18,FALSE))"),"")</f>
        <v/>
      </c>
      <c r="BJ776" s="19" t="str">
        <f t="shared" si="47"/>
        <v/>
      </c>
      <c r="BK776" s="41"/>
      <c r="BL776" s="41"/>
    </row>
    <row r="777" spans="1:64" ht="15">
      <c r="A777" s="4"/>
      <c r="B777" s="4"/>
      <c r="G777" s="5" t="str">
        <f ca="1">IFERROR(__xludf.DUMMYFUNCTION("IFERROR(VLOOKUP(F794,IMPORTRANGE(""https://docs.google.com/spreadsheets/d/1Kvs4KS76FHFqLFIZfrDMff4kP08nblUkihrxltoGBjg/edit#gid=934712705"",""ESENCIAL!A6:BG""),3,FALSE))"),"")</f>
        <v/>
      </c>
      <c r="H777" s="5" t="str">
        <f ca="1">IFERROR(__xludf.DUMMYFUNCTION("IFERROR(VLOOKUP(F794,IMPORTRANGE(""https://docs.google.com/spreadsheets/d/1Kvs4KS76FHFqLFIZfrDMff4kP08nblUkihrxltoGBjg/edit#gid=934712705"",""ESENCIAL!A6:BG""),8,FALSE))"),"")</f>
        <v/>
      </c>
      <c r="L777" s="287"/>
      <c r="S777"/>
      <c r="AU777" s="41" t="str">
        <f t="shared" si="44"/>
        <v/>
      </c>
      <c r="AV777" s="5" t="str">
        <f ca="1">IFERROR(__xludf.DUMMYFUNCTION("IFERROR(VLOOKUP(E794&amp;F794,IMPORTRANGE(""https://docs.google.com/spreadsheets/d/1Uw7-A9f9R21vMXxHZFNpYNeKFtG8_yji4HS352LGlSQ/edit?pli=1#gid=0"",""1_ACUM!A4:S""),11,FALSE))"),"")</f>
        <v/>
      </c>
      <c r="AW777" s="42" t="str">
        <f ca="1">IFERROR(__xludf.DUMMYFUNCTION("IFERROR(VLOOKUP(F794,IMPORTRANGE(""https://docs.google.com/spreadsheets/d/1Kvs4KS76FHFqLFIZfrDMff4kP08nblUkihrxltoGBjg/edit#gid=934712705"",""ESENCIAL!A6:BG""),15,FALSE))"),"")</f>
        <v/>
      </c>
      <c r="AX777" s="21" t="str">
        <f ca="1">IFERROR(__xludf.DUMMYFUNCTION("IFERROR(VLOOKUP(E794&amp;F794,IMPORTRANGE(""https://docs.google.com/spreadsheets/d/1Uw7-A9f9R21vMXxHZFNpYNeKFtG8_yji4HS352LGlSQ/edit?pli=1#gid=0"",""1_ACUM!A4:S""),12,FALSE))"),"")</f>
        <v/>
      </c>
      <c r="AY777" s="43" t="str">
        <f ca="1">IFERROR(__xludf.DUMMYFUNCTION("IFERROR(VLOOKUP(E794&amp;F794,IMPORTRANGE(""https://docs.google.com/spreadsheets/d/1Uw7-A9f9R21vMXxHZFNpYNeKFtG8_yji4HS352LGlSQ/edit?pli=1#gid=0"",""1_ACUM!A4:S""),13,FALSE))"),"")</f>
        <v/>
      </c>
      <c r="AZ777" s="43" t="str">
        <f ca="1">IFERROR(__xludf.DUMMYFUNCTION("IFERROR(VLOOKUP(E794&amp;F794,IMPORTRANGE(""https://docs.google.com/spreadsheets/d/1Uw7-A9f9R21vMXxHZFNpYNeKFtG8_yji4HS352LGlSQ/edit?pli=1#gid=0"",""1_ACUM!A4:S""),14,FALSE))"),"")</f>
        <v/>
      </c>
      <c r="BA777" s="43" t="str">
        <f ca="1">IFERROR(__xludf.DUMMYFUNCTION("IFERROR(VLOOKUP(E794&amp;F794,IMPORTRANGE(""https://docs.google.com/spreadsheets/d/1Uw7-A9f9R21vMXxHZFNpYNeKFtG8_yji4HS352LGlSQ/edit?pli=1#gid=0"",""1_ACUM!A4:S""),15,FALSE))"),"")</f>
        <v/>
      </c>
      <c r="BB777" s="43" t="str">
        <f ca="1">IFERROR(__xludf.DUMMYFUNCTION("IFERROR(VLOOKUP(E794&amp;F794,IMPORTRANGE(""https://docs.google.com/spreadsheets/d/1Uw7-A9f9R21vMXxHZFNpYNeKFtG8_yji4HS352LGlSQ/edit?pli=1#gid=0"",""1_ACUM!A4:S""),16,FALSE))"),"")</f>
        <v/>
      </c>
      <c r="BC777" s="43" t="str">
        <f ca="1">IFERROR(__xludf.DUMMYFUNCTION("IFERROR(VLOOKUP(E794&amp;F794,IMPORTRANGE(""https://docs.google.com/spreadsheets/d/1Uw7-A9f9R21vMXxHZFNpYNeKFtG8_yji4HS352LGlSQ/edit?pli=1#gid=0"",""1_ACUM!A4:S""),17,FALSE))"),"")</f>
        <v/>
      </c>
      <c r="BD777" s="44" t="str">
        <f ca="1">IFERROR(__xludf.DUMMYFUNCTION("IFERROR(VLOOKUP(E794&amp;F794,IMPORTRANGE(""https://docs.google.com/spreadsheets/d/1Uw7-A9f9R21vMXxHZFNpYNeKFtG8_yji4HS352LGlSQ/edit?pli=1#gid=0"",""1_ACUM!A4:S""),18,FALSE))"),"")</f>
        <v/>
      </c>
      <c r="BE777" s="44" t="str">
        <f ca="1">IFERROR(__xludf.DUMMYFUNCTION("IFERROR(VLOOKUP(E794&amp;F794,IMPORTRANGE(""https://docs.google.com/spreadsheets/d/1Uw7-A9f9R21vMXxHZFNpYNeKFtG8_yji4HS352LGlSQ/edit?pli=1#gid=0"",""1_ACUM!A4:S""),19,FALSE))"),"")</f>
        <v/>
      </c>
      <c r="BF777" s="44" t="str">
        <f ca="1">IFERROR(__xludf.DUMMYFUNCTION("IFERROR(VLOOKUP(F794,IMPORTRANGE(""https://docs.google.com/spreadsheets/d/1Kvs4KS76FHFqLFIZfrDMff4kP08nblUkihrxltoGBjg/edit#gid=934712705"",""ESENCIAL!A6:BG""),5,FALSE))"),"")</f>
        <v/>
      </c>
      <c r="BG777" s="44" t="str">
        <f t="shared" si="45"/>
        <v/>
      </c>
      <c r="BH777" s="41" t="str">
        <f t="shared" si="46"/>
        <v/>
      </c>
      <c r="BI777" s="41" t="str">
        <f ca="1">IFERROR(__xludf.DUMMYFUNCTION("IFERROR(VLOOKUP(F794,IMPORTRANGE(""https://docs.google.com/spreadsheets/d/1Kvs4KS76FHFqLFIZfrDMff4kP08nblUkihrxltoGBjg/edit#gid=934712705"",""ESENCIAL!A6:BG""),18,FALSE))"),"")</f>
        <v/>
      </c>
      <c r="BJ777" s="19" t="str">
        <f t="shared" si="47"/>
        <v/>
      </c>
      <c r="BK777" s="41"/>
      <c r="BL777" s="41"/>
    </row>
    <row r="778" spans="1:64" ht="15">
      <c r="A778" s="4"/>
      <c r="B778" s="4"/>
      <c r="G778" s="5" t="str">
        <f ca="1">IFERROR(__xludf.DUMMYFUNCTION("IFERROR(VLOOKUP(F795,IMPORTRANGE(""https://docs.google.com/spreadsheets/d/1Kvs4KS76FHFqLFIZfrDMff4kP08nblUkihrxltoGBjg/edit#gid=934712705"",""ESENCIAL!A6:BG""),3,FALSE))"),"")</f>
        <v/>
      </c>
      <c r="H778" s="5" t="str">
        <f ca="1">IFERROR(__xludf.DUMMYFUNCTION("IFERROR(VLOOKUP(F795,IMPORTRANGE(""https://docs.google.com/spreadsheets/d/1Kvs4KS76FHFqLFIZfrDMff4kP08nblUkihrxltoGBjg/edit#gid=934712705"",""ESENCIAL!A6:BG""),8,FALSE))"),"")</f>
        <v/>
      </c>
      <c r="L778" s="287"/>
      <c r="S778"/>
      <c r="AU778" s="41" t="str">
        <f t="shared" si="44"/>
        <v/>
      </c>
      <c r="AV778" s="5" t="str">
        <f ca="1">IFERROR(__xludf.DUMMYFUNCTION("IFERROR(VLOOKUP(E795&amp;F795,IMPORTRANGE(""https://docs.google.com/spreadsheets/d/1Uw7-A9f9R21vMXxHZFNpYNeKFtG8_yji4HS352LGlSQ/edit?pli=1#gid=0"",""1_ACUM!A4:S""),11,FALSE))"),"")</f>
        <v/>
      </c>
      <c r="AW778" s="42" t="str">
        <f ca="1">IFERROR(__xludf.DUMMYFUNCTION("IFERROR(VLOOKUP(F795,IMPORTRANGE(""https://docs.google.com/spreadsheets/d/1Kvs4KS76FHFqLFIZfrDMff4kP08nblUkihrxltoGBjg/edit#gid=934712705"",""ESENCIAL!A6:BG""),15,FALSE))"),"")</f>
        <v/>
      </c>
      <c r="AX778" s="21" t="str">
        <f ca="1">IFERROR(__xludf.DUMMYFUNCTION("IFERROR(VLOOKUP(E795&amp;F795,IMPORTRANGE(""https://docs.google.com/spreadsheets/d/1Uw7-A9f9R21vMXxHZFNpYNeKFtG8_yji4HS352LGlSQ/edit?pli=1#gid=0"",""1_ACUM!A4:S""),12,FALSE))"),"")</f>
        <v/>
      </c>
      <c r="AY778" s="43" t="str">
        <f ca="1">IFERROR(__xludf.DUMMYFUNCTION("IFERROR(VLOOKUP(E795&amp;F795,IMPORTRANGE(""https://docs.google.com/spreadsheets/d/1Uw7-A9f9R21vMXxHZFNpYNeKFtG8_yji4HS352LGlSQ/edit?pli=1#gid=0"",""1_ACUM!A4:S""),13,FALSE))"),"")</f>
        <v/>
      </c>
      <c r="AZ778" s="43" t="str">
        <f ca="1">IFERROR(__xludf.DUMMYFUNCTION("IFERROR(VLOOKUP(E795&amp;F795,IMPORTRANGE(""https://docs.google.com/spreadsheets/d/1Uw7-A9f9R21vMXxHZFNpYNeKFtG8_yji4HS352LGlSQ/edit?pli=1#gid=0"",""1_ACUM!A4:S""),14,FALSE))"),"")</f>
        <v/>
      </c>
      <c r="BA778" s="43" t="str">
        <f ca="1">IFERROR(__xludf.DUMMYFUNCTION("IFERROR(VLOOKUP(E795&amp;F795,IMPORTRANGE(""https://docs.google.com/spreadsheets/d/1Uw7-A9f9R21vMXxHZFNpYNeKFtG8_yji4HS352LGlSQ/edit?pli=1#gid=0"",""1_ACUM!A4:S""),15,FALSE))"),"")</f>
        <v/>
      </c>
      <c r="BB778" s="43" t="str">
        <f ca="1">IFERROR(__xludf.DUMMYFUNCTION("IFERROR(VLOOKUP(E795&amp;F795,IMPORTRANGE(""https://docs.google.com/spreadsheets/d/1Uw7-A9f9R21vMXxHZFNpYNeKFtG8_yji4HS352LGlSQ/edit?pli=1#gid=0"",""1_ACUM!A4:S""),16,FALSE))"),"")</f>
        <v/>
      </c>
      <c r="BC778" s="43" t="str">
        <f ca="1">IFERROR(__xludf.DUMMYFUNCTION("IFERROR(VLOOKUP(E795&amp;F795,IMPORTRANGE(""https://docs.google.com/spreadsheets/d/1Uw7-A9f9R21vMXxHZFNpYNeKFtG8_yji4HS352LGlSQ/edit?pli=1#gid=0"",""1_ACUM!A4:S""),17,FALSE))"),"")</f>
        <v/>
      </c>
      <c r="BD778" s="44" t="str">
        <f ca="1">IFERROR(__xludf.DUMMYFUNCTION("IFERROR(VLOOKUP(E795&amp;F795,IMPORTRANGE(""https://docs.google.com/spreadsheets/d/1Uw7-A9f9R21vMXxHZFNpYNeKFtG8_yji4HS352LGlSQ/edit?pli=1#gid=0"",""1_ACUM!A4:S""),18,FALSE))"),"")</f>
        <v/>
      </c>
      <c r="BE778" s="44" t="str">
        <f ca="1">IFERROR(__xludf.DUMMYFUNCTION("IFERROR(VLOOKUP(E795&amp;F795,IMPORTRANGE(""https://docs.google.com/spreadsheets/d/1Uw7-A9f9R21vMXxHZFNpYNeKFtG8_yji4HS352LGlSQ/edit?pli=1#gid=0"",""1_ACUM!A4:S""),19,FALSE))"),"")</f>
        <v/>
      </c>
      <c r="BF778" s="44" t="str">
        <f ca="1">IFERROR(__xludf.DUMMYFUNCTION("IFERROR(VLOOKUP(F795,IMPORTRANGE(""https://docs.google.com/spreadsheets/d/1Kvs4KS76FHFqLFIZfrDMff4kP08nblUkihrxltoGBjg/edit#gid=934712705"",""ESENCIAL!A6:BG""),5,FALSE))"),"")</f>
        <v/>
      </c>
      <c r="BG778" s="44" t="str">
        <f t="shared" si="45"/>
        <v/>
      </c>
      <c r="BH778" s="41" t="str">
        <f t="shared" si="46"/>
        <v/>
      </c>
      <c r="BI778" s="41" t="str">
        <f ca="1">IFERROR(__xludf.DUMMYFUNCTION("IFERROR(VLOOKUP(F795,IMPORTRANGE(""https://docs.google.com/spreadsheets/d/1Kvs4KS76FHFqLFIZfrDMff4kP08nblUkihrxltoGBjg/edit#gid=934712705"",""ESENCIAL!A6:BG""),18,FALSE))"),"")</f>
        <v/>
      </c>
      <c r="BJ778" s="19" t="str">
        <f t="shared" si="47"/>
        <v/>
      </c>
      <c r="BK778" s="41"/>
      <c r="BL778" s="41"/>
    </row>
    <row r="779" spans="1:64" ht="15">
      <c r="A779" s="4"/>
      <c r="B779" s="4"/>
      <c r="G779" s="5" t="str">
        <f ca="1">IFERROR(__xludf.DUMMYFUNCTION("IFERROR(VLOOKUP(F796,IMPORTRANGE(""https://docs.google.com/spreadsheets/d/1Kvs4KS76FHFqLFIZfrDMff4kP08nblUkihrxltoGBjg/edit#gid=934712705"",""ESENCIAL!A6:BG""),3,FALSE))"),"")</f>
        <v/>
      </c>
      <c r="H779" s="5" t="str">
        <f ca="1">IFERROR(__xludf.DUMMYFUNCTION("IFERROR(VLOOKUP(F796,IMPORTRANGE(""https://docs.google.com/spreadsheets/d/1Kvs4KS76FHFqLFIZfrDMff4kP08nblUkihrxltoGBjg/edit#gid=934712705"",""ESENCIAL!A6:BG""),8,FALSE))"),"")</f>
        <v/>
      </c>
      <c r="L779" s="287"/>
      <c r="S779"/>
      <c r="AU779" s="41" t="str">
        <f t="shared" si="44"/>
        <v/>
      </c>
      <c r="AV779" s="5" t="str">
        <f ca="1">IFERROR(__xludf.DUMMYFUNCTION("IFERROR(VLOOKUP(E796&amp;F796,IMPORTRANGE(""https://docs.google.com/spreadsheets/d/1Uw7-A9f9R21vMXxHZFNpYNeKFtG8_yji4HS352LGlSQ/edit?pli=1#gid=0"",""1_ACUM!A4:S""),11,FALSE))"),"")</f>
        <v/>
      </c>
      <c r="AW779" s="42" t="str">
        <f ca="1">IFERROR(__xludf.DUMMYFUNCTION("IFERROR(VLOOKUP(F796,IMPORTRANGE(""https://docs.google.com/spreadsheets/d/1Kvs4KS76FHFqLFIZfrDMff4kP08nblUkihrxltoGBjg/edit#gid=934712705"",""ESENCIAL!A6:BG""),15,FALSE))"),"")</f>
        <v/>
      </c>
      <c r="AX779" s="21" t="str">
        <f ca="1">IFERROR(__xludf.DUMMYFUNCTION("IFERROR(VLOOKUP(E796&amp;F796,IMPORTRANGE(""https://docs.google.com/spreadsheets/d/1Uw7-A9f9R21vMXxHZFNpYNeKFtG8_yji4HS352LGlSQ/edit?pli=1#gid=0"",""1_ACUM!A4:S""),12,FALSE))"),"")</f>
        <v/>
      </c>
      <c r="AY779" s="43" t="str">
        <f ca="1">IFERROR(__xludf.DUMMYFUNCTION("IFERROR(VLOOKUP(E796&amp;F796,IMPORTRANGE(""https://docs.google.com/spreadsheets/d/1Uw7-A9f9R21vMXxHZFNpYNeKFtG8_yji4HS352LGlSQ/edit?pli=1#gid=0"",""1_ACUM!A4:S""),13,FALSE))"),"")</f>
        <v/>
      </c>
      <c r="AZ779" s="43" t="str">
        <f ca="1">IFERROR(__xludf.DUMMYFUNCTION("IFERROR(VLOOKUP(E796&amp;F796,IMPORTRANGE(""https://docs.google.com/spreadsheets/d/1Uw7-A9f9R21vMXxHZFNpYNeKFtG8_yji4HS352LGlSQ/edit?pli=1#gid=0"",""1_ACUM!A4:S""),14,FALSE))"),"")</f>
        <v/>
      </c>
      <c r="BA779" s="43" t="str">
        <f ca="1">IFERROR(__xludf.DUMMYFUNCTION("IFERROR(VLOOKUP(E796&amp;F796,IMPORTRANGE(""https://docs.google.com/spreadsheets/d/1Uw7-A9f9R21vMXxHZFNpYNeKFtG8_yji4HS352LGlSQ/edit?pli=1#gid=0"",""1_ACUM!A4:S""),15,FALSE))"),"")</f>
        <v/>
      </c>
      <c r="BB779" s="43" t="str">
        <f ca="1">IFERROR(__xludf.DUMMYFUNCTION("IFERROR(VLOOKUP(E796&amp;F796,IMPORTRANGE(""https://docs.google.com/spreadsheets/d/1Uw7-A9f9R21vMXxHZFNpYNeKFtG8_yji4HS352LGlSQ/edit?pli=1#gid=0"",""1_ACUM!A4:S""),16,FALSE))"),"")</f>
        <v/>
      </c>
      <c r="BC779" s="43" t="str">
        <f ca="1">IFERROR(__xludf.DUMMYFUNCTION("IFERROR(VLOOKUP(E796&amp;F796,IMPORTRANGE(""https://docs.google.com/spreadsheets/d/1Uw7-A9f9R21vMXxHZFNpYNeKFtG8_yji4HS352LGlSQ/edit?pli=1#gid=0"",""1_ACUM!A4:S""),17,FALSE))"),"")</f>
        <v/>
      </c>
      <c r="BD779" s="44" t="str">
        <f ca="1">IFERROR(__xludf.DUMMYFUNCTION("IFERROR(VLOOKUP(E796&amp;F796,IMPORTRANGE(""https://docs.google.com/spreadsheets/d/1Uw7-A9f9R21vMXxHZFNpYNeKFtG8_yji4HS352LGlSQ/edit?pli=1#gid=0"",""1_ACUM!A4:S""),18,FALSE))"),"")</f>
        <v/>
      </c>
      <c r="BE779" s="44" t="str">
        <f ca="1">IFERROR(__xludf.DUMMYFUNCTION("IFERROR(VLOOKUP(E796&amp;F796,IMPORTRANGE(""https://docs.google.com/spreadsheets/d/1Uw7-A9f9R21vMXxHZFNpYNeKFtG8_yji4HS352LGlSQ/edit?pli=1#gid=0"",""1_ACUM!A4:S""),19,FALSE))"),"")</f>
        <v/>
      </c>
      <c r="BF779" s="44" t="str">
        <f ca="1">IFERROR(__xludf.DUMMYFUNCTION("IFERROR(VLOOKUP(F796,IMPORTRANGE(""https://docs.google.com/spreadsheets/d/1Kvs4KS76FHFqLFIZfrDMff4kP08nblUkihrxltoGBjg/edit#gid=934712705"",""ESENCIAL!A6:BG""),5,FALSE))"),"")</f>
        <v/>
      </c>
      <c r="BG779" s="44" t="str">
        <f t="shared" si="45"/>
        <v/>
      </c>
      <c r="BH779" s="41" t="str">
        <f t="shared" si="46"/>
        <v/>
      </c>
      <c r="BI779" s="41" t="str">
        <f ca="1">IFERROR(__xludf.DUMMYFUNCTION("IFERROR(VLOOKUP(F796,IMPORTRANGE(""https://docs.google.com/spreadsheets/d/1Kvs4KS76FHFqLFIZfrDMff4kP08nblUkihrxltoGBjg/edit#gid=934712705"",""ESENCIAL!A6:BG""),18,FALSE))"),"")</f>
        <v/>
      </c>
      <c r="BJ779" s="19" t="str">
        <f t="shared" si="47"/>
        <v/>
      </c>
      <c r="BK779" s="41"/>
      <c r="BL779" s="41"/>
    </row>
    <row r="780" spans="1:64" ht="15">
      <c r="A780" s="4"/>
      <c r="B780" s="4"/>
      <c r="G780" s="5" t="str">
        <f ca="1">IFERROR(__xludf.DUMMYFUNCTION("IFERROR(VLOOKUP(F797,IMPORTRANGE(""https://docs.google.com/spreadsheets/d/1Kvs4KS76FHFqLFIZfrDMff4kP08nblUkihrxltoGBjg/edit#gid=934712705"",""ESENCIAL!A6:BG""),3,FALSE))"),"")</f>
        <v/>
      </c>
      <c r="H780" s="5" t="str">
        <f ca="1">IFERROR(__xludf.DUMMYFUNCTION("IFERROR(VLOOKUP(F797,IMPORTRANGE(""https://docs.google.com/spreadsheets/d/1Kvs4KS76FHFqLFIZfrDMff4kP08nblUkihrxltoGBjg/edit#gid=934712705"",""ESENCIAL!A6:BG""),8,FALSE))"),"")</f>
        <v/>
      </c>
      <c r="L780" s="287"/>
      <c r="S780"/>
      <c r="AU780" s="41" t="str">
        <f t="shared" si="44"/>
        <v/>
      </c>
      <c r="AV780" s="5" t="str">
        <f ca="1">IFERROR(__xludf.DUMMYFUNCTION("IFERROR(VLOOKUP(E797&amp;F797,IMPORTRANGE(""https://docs.google.com/spreadsheets/d/1Uw7-A9f9R21vMXxHZFNpYNeKFtG8_yji4HS352LGlSQ/edit?pli=1#gid=0"",""1_ACUM!A4:S""),11,FALSE))"),"")</f>
        <v/>
      </c>
      <c r="AW780" s="42" t="str">
        <f ca="1">IFERROR(__xludf.DUMMYFUNCTION("IFERROR(VLOOKUP(F797,IMPORTRANGE(""https://docs.google.com/spreadsheets/d/1Kvs4KS76FHFqLFIZfrDMff4kP08nblUkihrxltoGBjg/edit#gid=934712705"",""ESENCIAL!A6:BG""),15,FALSE))"),"")</f>
        <v/>
      </c>
      <c r="AX780" s="21" t="str">
        <f ca="1">IFERROR(__xludf.DUMMYFUNCTION("IFERROR(VLOOKUP(E797&amp;F797,IMPORTRANGE(""https://docs.google.com/spreadsheets/d/1Uw7-A9f9R21vMXxHZFNpYNeKFtG8_yji4HS352LGlSQ/edit?pli=1#gid=0"",""1_ACUM!A4:S""),12,FALSE))"),"")</f>
        <v/>
      </c>
      <c r="AY780" s="43" t="str">
        <f ca="1">IFERROR(__xludf.DUMMYFUNCTION("IFERROR(VLOOKUP(E797&amp;F797,IMPORTRANGE(""https://docs.google.com/spreadsheets/d/1Uw7-A9f9R21vMXxHZFNpYNeKFtG8_yji4HS352LGlSQ/edit?pli=1#gid=0"",""1_ACUM!A4:S""),13,FALSE))"),"")</f>
        <v/>
      </c>
      <c r="AZ780" s="43" t="str">
        <f ca="1">IFERROR(__xludf.DUMMYFUNCTION("IFERROR(VLOOKUP(E797&amp;F797,IMPORTRANGE(""https://docs.google.com/spreadsheets/d/1Uw7-A9f9R21vMXxHZFNpYNeKFtG8_yji4HS352LGlSQ/edit?pli=1#gid=0"",""1_ACUM!A4:S""),14,FALSE))"),"")</f>
        <v/>
      </c>
      <c r="BA780" s="43" t="str">
        <f ca="1">IFERROR(__xludf.DUMMYFUNCTION("IFERROR(VLOOKUP(E797&amp;F797,IMPORTRANGE(""https://docs.google.com/spreadsheets/d/1Uw7-A9f9R21vMXxHZFNpYNeKFtG8_yji4HS352LGlSQ/edit?pli=1#gid=0"",""1_ACUM!A4:S""),15,FALSE))"),"")</f>
        <v/>
      </c>
      <c r="BB780" s="43" t="str">
        <f ca="1">IFERROR(__xludf.DUMMYFUNCTION("IFERROR(VLOOKUP(E797&amp;F797,IMPORTRANGE(""https://docs.google.com/spreadsheets/d/1Uw7-A9f9R21vMXxHZFNpYNeKFtG8_yji4HS352LGlSQ/edit?pli=1#gid=0"",""1_ACUM!A4:S""),16,FALSE))"),"")</f>
        <v/>
      </c>
      <c r="BC780" s="43" t="str">
        <f ca="1">IFERROR(__xludf.DUMMYFUNCTION("IFERROR(VLOOKUP(E797&amp;F797,IMPORTRANGE(""https://docs.google.com/spreadsheets/d/1Uw7-A9f9R21vMXxHZFNpYNeKFtG8_yji4HS352LGlSQ/edit?pli=1#gid=0"",""1_ACUM!A4:S""),17,FALSE))"),"")</f>
        <v/>
      </c>
      <c r="BD780" s="44" t="str">
        <f ca="1">IFERROR(__xludf.DUMMYFUNCTION("IFERROR(VLOOKUP(E797&amp;F797,IMPORTRANGE(""https://docs.google.com/spreadsheets/d/1Uw7-A9f9R21vMXxHZFNpYNeKFtG8_yji4HS352LGlSQ/edit?pli=1#gid=0"",""1_ACUM!A4:S""),18,FALSE))"),"")</f>
        <v/>
      </c>
      <c r="BE780" s="44" t="str">
        <f ca="1">IFERROR(__xludf.DUMMYFUNCTION("IFERROR(VLOOKUP(E797&amp;F797,IMPORTRANGE(""https://docs.google.com/spreadsheets/d/1Uw7-A9f9R21vMXxHZFNpYNeKFtG8_yji4HS352LGlSQ/edit?pli=1#gid=0"",""1_ACUM!A4:S""),19,FALSE))"),"")</f>
        <v/>
      </c>
      <c r="BF780" s="44" t="str">
        <f ca="1">IFERROR(__xludf.DUMMYFUNCTION("IFERROR(VLOOKUP(F797,IMPORTRANGE(""https://docs.google.com/spreadsheets/d/1Kvs4KS76FHFqLFIZfrDMff4kP08nblUkihrxltoGBjg/edit#gid=934712705"",""ESENCIAL!A6:BG""),5,FALSE))"),"")</f>
        <v/>
      </c>
      <c r="BG780" s="44" t="str">
        <f t="shared" si="45"/>
        <v/>
      </c>
      <c r="BH780" s="41" t="str">
        <f t="shared" si="46"/>
        <v/>
      </c>
      <c r="BI780" s="41" t="str">
        <f ca="1">IFERROR(__xludf.DUMMYFUNCTION("IFERROR(VLOOKUP(F797,IMPORTRANGE(""https://docs.google.com/spreadsheets/d/1Kvs4KS76FHFqLFIZfrDMff4kP08nblUkihrxltoGBjg/edit#gid=934712705"",""ESENCIAL!A6:BG""),18,FALSE))"),"")</f>
        <v/>
      </c>
      <c r="BJ780" s="19" t="str">
        <f t="shared" si="47"/>
        <v/>
      </c>
      <c r="BK780" s="41"/>
      <c r="BL780" s="41"/>
    </row>
    <row r="781" spans="1:64" ht="15">
      <c r="A781" s="4"/>
      <c r="B781" s="4"/>
      <c r="G781" s="5" t="str">
        <f ca="1">IFERROR(__xludf.DUMMYFUNCTION("IFERROR(VLOOKUP(F798,IMPORTRANGE(""https://docs.google.com/spreadsheets/d/1Kvs4KS76FHFqLFIZfrDMff4kP08nblUkihrxltoGBjg/edit#gid=934712705"",""ESENCIAL!A6:BG""),3,FALSE))"),"")</f>
        <v/>
      </c>
      <c r="H781" s="5" t="str">
        <f ca="1">IFERROR(__xludf.DUMMYFUNCTION("IFERROR(VLOOKUP(F798,IMPORTRANGE(""https://docs.google.com/spreadsheets/d/1Kvs4KS76FHFqLFIZfrDMff4kP08nblUkihrxltoGBjg/edit#gid=934712705"",""ESENCIAL!A6:BG""),8,FALSE))"),"")</f>
        <v/>
      </c>
      <c r="L781" s="287"/>
      <c r="S781"/>
      <c r="AU781" s="41" t="str">
        <f t="shared" si="44"/>
        <v/>
      </c>
      <c r="AV781" s="5" t="str">
        <f ca="1">IFERROR(__xludf.DUMMYFUNCTION("IFERROR(VLOOKUP(E798&amp;F798,IMPORTRANGE(""https://docs.google.com/spreadsheets/d/1Uw7-A9f9R21vMXxHZFNpYNeKFtG8_yji4HS352LGlSQ/edit?pli=1#gid=0"",""1_ACUM!A4:S""),11,FALSE))"),"")</f>
        <v/>
      </c>
      <c r="AW781" s="42" t="str">
        <f ca="1">IFERROR(__xludf.DUMMYFUNCTION("IFERROR(VLOOKUP(F798,IMPORTRANGE(""https://docs.google.com/spreadsheets/d/1Kvs4KS76FHFqLFIZfrDMff4kP08nblUkihrxltoGBjg/edit#gid=934712705"",""ESENCIAL!A6:BG""),15,FALSE))"),"")</f>
        <v/>
      </c>
      <c r="AX781" s="21" t="str">
        <f ca="1">IFERROR(__xludf.DUMMYFUNCTION("IFERROR(VLOOKUP(E798&amp;F798,IMPORTRANGE(""https://docs.google.com/spreadsheets/d/1Uw7-A9f9R21vMXxHZFNpYNeKFtG8_yji4HS352LGlSQ/edit?pli=1#gid=0"",""1_ACUM!A4:S""),12,FALSE))"),"")</f>
        <v/>
      </c>
      <c r="AY781" s="43" t="str">
        <f ca="1">IFERROR(__xludf.DUMMYFUNCTION("IFERROR(VLOOKUP(E798&amp;F798,IMPORTRANGE(""https://docs.google.com/spreadsheets/d/1Uw7-A9f9R21vMXxHZFNpYNeKFtG8_yji4HS352LGlSQ/edit?pli=1#gid=0"",""1_ACUM!A4:S""),13,FALSE))"),"")</f>
        <v/>
      </c>
      <c r="AZ781" s="43" t="str">
        <f ca="1">IFERROR(__xludf.DUMMYFUNCTION("IFERROR(VLOOKUP(E798&amp;F798,IMPORTRANGE(""https://docs.google.com/spreadsheets/d/1Uw7-A9f9R21vMXxHZFNpYNeKFtG8_yji4HS352LGlSQ/edit?pli=1#gid=0"",""1_ACUM!A4:S""),14,FALSE))"),"")</f>
        <v/>
      </c>
      <c r="BA781" s="43" t="str">
        <f ca="1">IFERROR(__xludf.DUMMYFUNCTION("IFERROR(VLOOKUP(E798&amp;F798,IMPORTRANGE(""https://docs.google.com/spreadsheets/d/1Uw7-A9f9R21vMXxHZFNpYNeKFtG8_yji4HS352LGlSQ/edit?pli=1#gid=0"",""1_ACUM!A4:S""),15,FALSE))"),"")</f>
        <v/>
      </c>
      <c r="BB781" s="43" t="str">
        <f ca="1">IFERROR(__xludf.DUMMYFUNCTION("IFERROR(VLOOKUP(E798&amp;F798,IMPORTRANGE(""https://docs.google.com/spreadsheets/d/1Uw7-A9f9R21vMXxHZFNpYNeKFtG8_yji4HS352LGlSQ/edit?pli=1#gid=0"",""1_ACUM!A4:S""),16,FALSE))"),"")</f>
        <v/>
      </c>
      <c r="BC781" s="43" t="str">
        <f ca="1">IFERROR(__xludf.DUMMYFUNCTION("IFERROR(VLOOKUP(E798&amp;F798,IMPORTRANGE(""https://docs.google.com/spreadsheets/d/1Uw7-A9f9R21vMXxHZFNpYNeKFtG8_yji4HS352LGlSQ/edit?pli=1#gid=0"",""1_ACUM!A4:S""),17,FALSE))"),"")</f>
        <v/>
      </c>
      <c r="BD781" s="44" t="str">
        <f ca="1">IFERROR(__xludf.DUMMYFUNCTION("IFERROR(VLOOKUP(E798&amp;F798,IMPORTRANGE(""https://docs.google.com/spreadsheets/d/1Uw7-A9f9R21vMXxHZFNpYNeKFtG8_yji4HS352LGlSQ/edit?pli=1#gid=0"",""1_ACUM!A4:S""),18,FALSE))"),"")</f>
        <v/>
      </c>
      <c r="BE781" s="44" t="str">
        <f ca="1">IFERROR(__xludf.DUMMYFUNCTION("IFERROR(VLOOKUP(E798&amp;F798,IMPORTRANGE(""https://docs.google.com/spreadsheets/d/1Uw7-A9f9R21vMXxHZFNpYNeKFtG8_yji4HS352LGlSQ/edit?pli=1#gid=0"",""1_ACUM!A4:S""),19,FALSE))"),"")</f>
        <v/>
      </c>
      <c r="BF781" s="44" t="str">
        <f ca="1">IFERROR(__xludf.DUMMYFUNCTION("IFERROR(VLOOKUP(F798,IMPORTRANGE(""https://docs.google.com/spreadsheets/d/1Kvs4KS76FHFqLFIZfrDMff4kP08nblUkihrxltoGBjg/edit#gid=934712705"",""ESENCIAL!A6:BG""),5,FALSE))"),"")</f>
        <v/>
      </c>
      <c r="BG781" s="44" t="str">
        <f t="shared" si="45"/>
        <v/>
      </c>
      <c r="BH781" s="41" t="str">
        <f t="shared" si="46"/>
        <v/>
      </c>
      <c r="BI781" s="41" t="str">
        <f ca="1">IFERROR(__xludf.DUMMYFUNCTION("IFERROR(VLOOKUP(F798,IMPORTRANGE(""https://docs.google.com/spreadsheets/d/1Kvs4KS76FHFqLFIZfrDMff4kP08nblUkihrxltoGBjg/edit#gid=934712705"",""ESENCIAL!A6:BG""),18,FALSE))"),"")</f>
        <v/>
      </c>
      <c r="BJ781" s="19" t="str">
        <f t="shared" si="47"/>
        <v/>
      </c>
      <c r="BK781" s="41"/>
      <c r="BL781" s="41"/>
    </row>
    <row r="782" spans="1:64" ht="15">
      <c r="A782" s="4"/>
      <c r="B782" s="4"/>
      <c r="G782" s="5" t="str">
        <f ca="1">IFERROR(__xludf.DUMMYFUNCTION("IFERROR(VLOOKUP(F799,IMPORTRANGE(""https://docs.google.com/spreadsheets/d/1Kvs4KS76FHFqLFIZfrDMff4kP08nblUkihrxltoGBjg/edit#gid=934712705"",""ESENCIAL!A6:BG""),3,FALSE))"),"")</f>
        <v/>
      </c>
      <c r="H782" s="5" t="str">
        <f ca="1">IFERROR(__xludf.DUMMYFUNCTION("IFERROR(VLOOKUP(F799,IMPORTRANGE(""https://docs.google.com/spreadsheets/d/1Kvs4KS76FHFqLFIZfrDMff4kP08nblUkihrxltoGBjg/edit#gid=934712705"",""ESENCIAL!A6:BG""),8,FALSE))"),"")</f>
        <v/>
      </c>
      <c r="L782" s="287"/>
      <c r="S782"/>
      <c r="AU782" s="41" t="str">
        <f t="shared" si="44"/>
        <v/>
      </c>
      <c r="AV782" s="5" t="str">
        <f ca="1">IFERROR(__xludf.DUMMYFUNCTION("IFERROR(VLOOKUP(E799&amp;F799,IMPORTRANGE(""https://docs.google.com/spreadsheets/d/1Uw7-A9f9R21vMXxHZFNpYNeKFtG8_yji4HS352LGlSQ/edit?pli=1#gid=0"",""1_ACUM!A4:S""),11,FALSE))"),"")</f>
        <v/>
      </c>
      <c r="AW782" s="42" t="str">
        <f ca="1">IFERROR(__xludf.DUMMYFUNCTION("IFERROR(VLOOKUP(F799,IMPORTRANGE(""https://docs.google.com/spreadsheets/d/1Kvs4KS76FHFqLFIZfrDMff4kP08nblUkihrxltoGBjg/edit#gid=934712705"",""ESENCIAL!A6:BG""),15,FALSE))"),"")</f>
        <v/>
      </c>
      <c r="AX782" s="21" t="str">
        <f ca="1">IFERROR(__xludf.DUMMYFUNCTION("IFERROR(VLOOKUP(E799&amp;F799,IMPORTRANGE(""https://docs.google.com/spreadsheets/d/1Uw7-A9f9R21vMXxHZFNpYNeKFtG8_yji4HS352LGlSQ/edit?pli=1#gid=0"",""1_ACUM!A4:S""),12,FALSE))"),"")</f>
        <v/>
      </c>
      <c r="AY782" s="43" t="str">
        <f ca="1">IFERROR(__xludf.DUMMYFUNCTION("IFERROR(VLOOKUP(E799&amp;F799,IMPORTRANGE(""https://docs.google.com/spreadsheets/d/1Uw7-A9f9R21vMXxHZFNpYNeKFtG8_yji4HS352LGlSQ/edit?pli=1#gid=0"",""1_ACUM!A4:S""),13,FALSE))"),"")</f>
        <v/>
      </c>
      <c r="AZ782" s="43" t="str">
        <f ca="1">IFERROR(__xludf.DUMMYFUNCTION("IFERROR(VLOOKUP(E799&amp;F799,IMPORTRANGE(""https://docs.google.com/spreadsheets/d/1Uw7-A9f9R21vMXxHZFNpYNeKFtG8_yji4HS352LGlSQ/edit?pli=1#gid=0"",""1_ACUM!A4:S""),14,FALSE))"),"")</f>
        <v/>
      </c>
      <c r="BA782" s="43" t="str">
        <f ca="1">IFERROR(__xludf.DUMMYFUNCTION("IFERROR(VLOOKUP(E799&amp;F799,IMPORTRANGE(""https://docs.google.com/spreadsheets/d/1Uw7-A9f9R21vMXxHZFNpYNeKFtG8_yji4HS352LGlSQ/edit?pli=1#gid=0"",""1_ACUM!A4:S""),15,FALSE))"),"")</f>
        <v/>
      </c>
      <c r="BB782" s="43" t="str">
        <f ca="1">IFERROR(__xludf.DUMMYFUNCTION("IFERROR(VLOOKUP(E799&amp;F799,IMPORTRANGE(""https://docs.google.com/spreadsheets/d/1Uw7-A9f9R21vMXxHZFNpYNeKFtG8_yji4HS352LGlSQ/edit?pli=1#gid=0"",""1_ACUM!A4:S""),16,FALSE))"),"")</f>
        <v/>
      </c>
      <c r="BC782" s="43" t="str">
        <f ca="1">IFERROR(__xludf.DUMMYFUNCTION("IFERROR(VLOOKUP(E799&amp;F799,IMPORTRANGE(""https://docs.google.com/spreadsheets/d/1Uw7-A9f9R21vMXxHZFNpYNeKFtG8_yji4HS352LGlSQ/edit?pli=1#gid=0"",""1_ACUM!A4:S""),17,FALSE))"),"")</f>
        <v/>
      </c>
      <c r="BD782" s="44" t="str">
        <f ca="1">IFERROR(__xludf.DUMMYFUNCTION("IFERROR(VLOOKUP(E799&amp;F799,IMPORTRANGE(""https://docs.google.com/spreadsheets/d/1Uw7-A9f9R21vMXxHZFNpYNeKFtG8_yji4HS352LGlSQ/edit?pli=1#gid=0"",""1_ACUM!A4:S""),18,FALSE))"),"")</f>
        <v/>
      </c>
      <c r="BE782" s="44" t="str">
        <f ca="1">IFERROR(__xludf.DUMMYFUNCTION("IFERROR(VLOOKUP(E799&amp;F799,IMPORTRANGE(""https://docs.google.com/spreadsheets/d/1Uw7-A9f9R21vMXxHZFNpYNeKFtG8_yji4HS352LGlSQ/edit?pli=1#gid=0"",""1_ACUM!A4:S""),19,FALSE))"),"")</f>
        <v/>
      </c>
      <c r="BF782" s="44" t="str">
        <f ca="1">IFERROR(__xludf.DUMMYFUNCTION("IFERROR(VLOOKUP(F799,IMPORTRANGE(""https://docs.google.com/spreadsheets/d/1Kvs4KS76FHFqLFIZfrDMff4kP08nblUkihrxltoGBjg/edit#gid=934712705"",""ESENCIAL!A6:BG""),5,FALSE))"),"")</f>
        <v/>
      </c>
      <c r="BG782" s="44" t="str">
        <f t="shared" si="45"/>
        <v/>
      </c>
      <c r="BH782" s="41" t="str">
        <f t="shared" si="46"/>
        <v/>
      </c>
      <c r="BI782" s="41" t="str">
        <f ca="1">IFERROR(__xludf.DUMMYFUNCTION("IFERROR(VLOOKUP(F799,IMPORTRANGE(""https://docs.google.com/spreadsheets/d/1Kvs4KS76FHFqLFIZfrDMff4kP08nblUkihrxltoGBjg/edit#gid=934712705"",""ESENCIAL!A6:BG""),18,FALSE))"),"")</f>
        <v/>
      </c>
      <c r="BJ782" s="19" t="str">
        <f t="shared" si="47"/>
        <v/>
      </c>
      <c r="BK782" s="41"/>
      <c r="BL782" s="41"/>
    </row>
    <row r="783" spans="1:64" ht="15">
      <c r="A783" s="4"/>
      <c r="B783" s="4"/>
      <c r="G783" s="5" t="str">
        <f ca="1">IFERROR(__xludf.DUMMYFUNCTION("IFERROR(VLOOKUP(F800,IMPORTRANGE(""https://docs.google.com/spreadsheets/d/1Kvs4KS76FHFqLFIZfrDMff4kP08nblUkihrxltoGBjg/edit#gid=934712705"",""ESENCIAL!A6:BG""),3,FALSE))"),"")</f>
        <v/>
      </c>
      <c r="H783" s="5" t="str">
        <f ca="1">IFERROR(__xludf.DUMMYFUNCTION("IFERROR(VLOOKUP(F800,IMPORTRANGE(""https://docs.google.com/spreadsheets/d/1Kvs4KS76FHFqLFIZfrDMff4kP08nblUkihrxltoGBjg/edit#gid=934712705"",""ESENCIAL!A6:BG""),8,FALSE))"),"")</f>
        <v/>
      </c>
      <c r="L783" s="287"/>
      <c r="S783"/>
      <c r="AU783" s="41" t="str">
        <f t="shared" si="44"/>
        <v/>
      </c>
      <c r="AV783" s="5" t="str">
        <f ca="1">IFERROR(__xludf.DUMMYFUNCTION("IFERROR(VLOOKUP(E800&amp;F800,IMPORTRANGE(""https://docs.google.com/spreadsheets/d/1Uw7-A9f9R21vMXxHZFNpYNeKFtG8_yji4HS352LGlSQ/edit?pli=1#gid=0"",""1_ACUM!A4:S""),11,FALSE))"),"")</f>
        <v/>
      </c>
      <c r="AW783" s="42" t="str">
        <f ca="1">IFERROR(__xludf.DUMMYFUNCTION("IFERROR(VLOOKUP(F800,IMPORTRANGE(""https://docs.google.com/spreadsheets/d/1Kvs4KS76FHFqLFIZfrDMff4kP08nblUkihrxltoGBjg/edit#gid=934712705"",""ESENCIAL!A6:BG""),15,FALSE))"),"")</f>
        <v/>
      </c>
      <c r="AX783" s="21" t="str">
        <f ca="1">IFERROR(__xludf.DUMMYFUNCTION("IFERROR(VLOOKUP(E800&amp;F800,IMPORTRANGE(""https://docs.google.com/spreadsheets/d/1Uw7-A9f9R21vMXxHZFNpYNeKFtG8_yji4HS352LGlSQ/edit?pli=1#gid=0"",""1_ACUM!A4:S""),12,FALSE))"),"")</f>
        <v/>
      </c>
      <c r="AY783" s="43" t="str">
        <f ca="1">IFERROR(__xludf.DUMMYFUNCTION("IFERROR(VLOOKUP(E800&amp;F800,IMPORTRANGE(""https://docs.google.com/spreadsheets/d/1Uw7-A9f9R21vMXxHZFNpYNeKFtG8_yji4HS352LGlSQ/edit?pli=1#gid=0"",""1_ACUM!A4:S""),13,FALSE))"),"")</f>
        <v/>
      </c>
      <c r="AZ783" s="43" t="str">
        <f ca="1">IFERROR(__xludf.DUMMYFUNCTION("IFERROR(VLOOKUP(E800&amp;F800,IMPORTRANGE(""https://docs.google.com/spreadsheets/d/1Uw7-A9f9R21vMXxHZFNpYNeKFtG8_yji4HS352LGlSQ/edit?pli=1#gid=0"",""1_ACUM!A4:S""),14,FALSE))"),"")</f>
        <v/>
      </c>
      <c r="BA783" s="43" t="str">
        <f ca="1">IFERROR(__xludf.DUMMYFUNCTION("IFERROR(VLOOKUP(E800&amp;F800,IMPORTRANGE(""https://docs.google.com/spreadsheets/d/1Uw7-A9f9R21vMXxHZFNpYNeKFtG8_yji4HS352LGlSQ/edit?pli=1#gid=0"",""1_ACUM!A4:S""),15,FALSE))"),"")</f>
        <v/>
      </c>
      <c r="BB783" s="43" t="str">
        <f ca="1">IFERROR(__xludf.DUMMYFUNCTION("IFERROR(VLOOKUP(E800&amp;F800,IMPORTRANGE(""https://docs.google.com/spreadsheets/d/1Uw7-A9f9R21vMXxHZFNpYNeKFtG8_yji4HS352LGlSQ/edit?pli=1#gid=0"",""1_ACUM!A4:S""),16,FALSE))"),"")</f>
        <v/>
      </c>
      <c r="BC783" s="43" t="str">
        <f ca="1">IFERROR(__xludf.DUMMYFUNCTION("IFERROR(VLOOKUP(E800&amp;F800,IMPORTRANGE(""https://docs.google.com/spreadsheets/d/1Uw7-A9f9R21vMXxHZFNpYNeKFtG8_yji4HS352LGlSQ/edit?pli=1#gid=0"",""1_ACUM!A4:S""),17,FALSE))"),"")</f>
        <v/>
      </c>
      <c r="BD783" s="44" t="str">
        <f ca="1">IFERROR(__xludf.DUMMYFUNCTION("IFERROR(VLOOKUP(E800&amp;F800,IMPORTRANGE(""https://docs.google.com/spreadsheets/d/1Uw7-A9f9R21vMXxHZFNpYNeKFtG8_yji4HS352LGlSQ/edit?pli=1#gid=0"",""1_ACUM!A4:S""),18,FALSE))"),"")</f>
        <v/>
      </c>
      <c r="BE783" s="44" t="str">
        <f ca="1">IFERROR(__xludf.DUMMYFUNCTION("IFERROR(VLOOKUP(E800&amp;F800,IMPORTRANGE(""https://docs.google.com/spreadsheets/d/1Uw7-A9f9R21vMXxHZFNpYNeKFtG8_yji4HS352LGlSQ/edit?pli=1#gid=0"",""1_ACUM!A4:S""),19,FALSE))"),"")</f>
        <v/>
      </c>
      <c r="BF783" s="44" t="str">
        <f ca="1">IFERROR(__xludf.DUMMYFUNCTION("IFERROR(VLOOKUP(F800,IMPORTRANGE(""https://docs.google.com/spreadsheets/d/1Kvs4KS76FHFqLFIZfrDMff4kP08nblUkihrxltoGBjg/edit#gid=934712705"",""ESENCIAL!A6:BG""),5,FALSE))"),"")</f>
        <v/>
      </c>
      <c r="BG783" s="44" t="str">
        <f t="shared" si="45"/>
        <v/>
      </c>
      <c r="BH783" s="41" t="str">
        <f t="shared" si="46"/>
        <v/>
      </c>
      <c r="BI783" s="41" t="str">
        <f ca="1">IFERROR(__xludf.DUMMYFUNCTION("IFERROR(VLOOKUP(F800,IMPORTRANGE(""https://docs.google.com/spreadsheets/d/1Kvs4KS76FHFqLFIZfrDMff4kP08nblUkihrxltoGBjg/edit#gid=934712705"",""ESENCIAL!A6:BG""),18,FALSE))"),"")</f>
        <v/>
      </c>
      <c r="BJ783" s="19" t="str">
        <f t="shared" si="47"/>
        <v/>
      </c>
      <c r="BK783" s="41"/>
      <c r="BL783" s="41"/>
    </row>
    <row r="784" spans="1:64" ht="15">
      <c r="A784" s="4"/>
      <c r="B784" s="4"/>
      <c r="G784" s="5" t="str">
        <f ca="1">IFERROR(__xludf.DUMMYFUNCTION("IFERROR(VLOOKUP(F801,IMPORTRANGE(""https://docs.google.com/spreadsheets/d/1Kvs4KS76FHFqLFIZfrDMff4kP08nblUkihrxltoGBjg/edit#gid=934712705"",""ESENCIAL!A6:BG""),3,FALSE))"),"")</f>
        <v/>
      </c>
      <c r="H784" s="5" t="str">
        <f ca="1">IFERROR(__xludf.DUMMYFUNCTION("IFERROR(VLOOKUP(F801,IMPORTRANGE(""https://docs.google.com/spreadsheets/d/1Kvs4KS76FHFqLFIZfrDMff4kP08nblUkihrxltoGBjg/edit#gid=934712705"",""ESENCIAL!A6:BG""),8,FALSE))"),"")</f>
        <v/>
      </c>
      <c r="L784" s="287"/>
      <c r="S784"/>
      <c r="AU784" s="41" t="str">
        <f t="shared" si="44"/>
        <v/>
      </c>
      <c r="AV784" s="5" t="str">
        <f ca="1">IFERROR(__xludf.DUMMYFUNCTION("IFERROR(VLOOKUP(E801&amp;F801,IMPORTRANGE(""https://docs.google.com/spreadsheets/d/1Uw7-A9f9R21vMXxHZFNpYNeKFtG8_yji4HS352LGlSQ/edit?pli=1#gid=0"",""1_ACUM!A4:S""),11,FALSE))"),"")</f>
        <v/>
      </c>
      <c r="AW784" s="42" t="str">
        <f ca="1">IFERROR(__xludf.DUMMYFUNCTION("IFERROR(VLOOKUP(F801,IMPORTRANGE(""https://docs.google.com/spreadsheets/d/1Kvs4KS76FHFqLFIZfrDMff4kP08nblUkihrxltoGBjg/edit#gid=934712705"",""ESENCIAL!A6:BG""),15,FALSE))"),"")</f>
        <v/>
      </c>
      <c r="AX784" s="21" t="str">
        <f ca="1">IFERROR(__xludf.DUMMYFUNCTION("IFERROR(VLOOKUP(E801&amp;F801,IMPORTRANGE(""https://docs.google.com/spreadsheets/d/1Uw7-A9f9R21vMXxHZFNpYNeKFtG8_yji4HS352LGlSQ/edit?pli=1#gid=0"",""1_ACUM!A4:S""),12,FALSE))"),"")</f>
        <v/>
      </c>
      <c r="AY784" s="43" t="str">
        <f ca="1">IFERROR(__xludf.DUMMYFUNCTION("IFERROR(VLOOKUP(E801&amp;F801,IMPORTRANGE(""https://docs.google.com/spreadsheets/d/1Uw7-A9f9R21vMXxHZFNpYNeKFtG8_yji4HS352LGlSQ/edit?pli=1#gid=0"",""1_ACUM!A4:S""),13,FALSE))"),"")</f>
        <v/>
      </c>
      <c r="AZ784" s="43" t="str">
        <f ca="1">IFERROR(__xludf.DUMMYFUNCTION("IFERROR(VLOOKUP(E801&amp;F801,IMPORTRANGE(""https://docs.google.com/spreadsheets/d/1Uw7-A9f9R21vMXxHZFNpYNeKFtG8_yji4HS352LGlSQ/edit?pli=1#gid=0"",""1_ACUM!A4:S""),14,FALSE))"),"")</f>
        <v/>
      </c>
      <c r="BA784" s="43" t="str">
        <f ca="1">IFERROR(__xludf.DUMMYFUNCTION("IFERROR(VLOOKUP(E801&amp;F801,IMPORTRANGE(""https://docs.google.com/spreadsheets/d/1Uw7-A9f9R21vMXxHZFNpYNeKFtG8_yji4HS352LGlSQ/edit?pli=1#gid=0"",""1_ACUM!A4:S""),15,FALSE))"),"")</f>
        <v/>
      </c>
      <c r="BB784" s="43" t="str">
        <f ca="1">IFERROR(__xludf.DUMMYFUNCTION("IFERROR(VLOOKUP(E801&amp;F801,IMPORTRANGE(""https://docs.google.com/spreadsheets/d/1Uw7-A9f9R21vMXxHZFNpYNeKFtG8_yji4HS352LGlSQ/edit?pli=1#gid=0"",""1_ACUM!A4:S""),16,FALSE))"),"")</f>
        <v/>
      </c>
      <c r="BC784" s="43" t="str">
        <f ca="1">IFERROR(__xludf.DUMMYFUNCTION("IFERROR(VLOOKUP(E801&amp;F801,IMPORTRANGE(""https://docs.google.com/spreadsheets/d/1Uw7-A9f9R21vMXxHZFNpYNeKFtG8_yji4HS352LGlSQ/edit?pli=1#gid=0"",""1_ACUM!A4:S""),17,FALSE))"),"")</f>
        <v/>
      </c>
      <c r="BD784" s="44" t="str">
        <f ca="1">IFERROR(__xludf.DUMMYFUNCTION("IFERROR(VLOOKUP(E801&amp;F801,IMPORTRANGE(""https://docs.google.com/spreadsheets/d/1Uw7-A9f9R21vMXxHZFNpYNeKFtG8_yji4HS352LGlSQ/edit?pli=1#gid=0"",""1_ACUM!A4:S""),18,FALSE))"),"")</f>
        <v/>
      </c>
      <c r="BE784" s="44" t="str">
        <f ca="1">IFERROR(__xludf.DUMMYFUNCTION("IFERROR(VLOOKUP(E801&amp;F801,IMPORTRANGE(""https://docs.google.com/spreadsheets/d/1Uw7-A9f9R21vMXxHZFNpYNeKFtG8_yji4HS352LGlSQ/edit?pli=1#gid=0"",""1_ACUM!A4:S""),19,FALSE))"),"")</f>
        <v/>
      </c>
      <c r="BF784" s="44" t="str">
        <f ca="1">IFERROR(__xludf.DUMMYFUNCTION("IFERROR(VLOOKUP(F801,IMPORTRANGE(""https://docs.google.com/spreadsheets/d/1Kvs4KS76FHFqLFIZfrDMff4kP08nblUkihrxltoGBjg/edit#gid=934712705"",""ESENCIAL!A6:BG""),5,FALSE))"),"")</f>
        <v/>
      </c>
      <c r="BG784" s="44" t="str">
        <f t="shared" si="45"/>
        <v/>
      </c>
      <c r="BH784" s="41" t="str">
        <f t="shared" si="46"/>
        <v/>
      </c>
      <c r="BI784" s="41" t="str">
        <f ca="1">IFERROR(__xludf.DUMMYFUNCTION("IFERROR(VLOOKUP(F801,IMPORTRANGE(""https://docs.google.com/spreadsheets/d/1Kvs4KS76FHFqLFIZfrDMff4kP08nblUkihrxltoGBjg/edit#gid=934712705"",""ESENCIAL!A6:BG""),18,FALSE))"),"")</f>
        <v/>
      </c>
      <c r="BJ784" s="19" t="str">
        <f t="shared" si="47"/>
        <v/>
      </c>
      <c r="BK784" s="41"/>
      <c r="BL784" s="41"/>
    </row>
    <row r="785" spans="1:64" ht="15">
      <c r="A785" s="4"/>
      <c r="B785" s="4"/>
      <c r="G785" s="5" t="str">
        <f ca="1">IFERROR(__xludf.DUMMYFUNCTION("IFERROR(VLOOKUP(F802,IMPORTRANGE(""https://docs.google.com/spreadsheets/d/1Kvs4KS76FHFqLFIZfrDMff4kP08nblUkihrxltoGBjg/edit#gid=934712705"",""ESENCIAL!A6:BG""),3,FALSE))"),"")</f>
        <v/>
      </c>
      <c r="H785" s="5" t="str">
        <f ca="1">IFERROR(__xludf.DUMMYFUNCTION("IFERROR(VLOOKUP(F802,IMPORTRANGE(""https://docs.google.com/spreadsheets/d/1Kvs4KS76FHFqLFIZfrDMff4kP08nblUkihrxltoGBjg/edit#gid=934712705"",""ESENCIAL!A6:BG""),8,FALSE))"),"")</f>
        <v/>
      </c>
      <c r="L785" s="287"/>
      <c r="S785"/>
      <c r="AU785" s="41" t="str">
        <f t="shared" si="44"/>
        <v/>
      </c>
      <c r="AV785" s="5" t="str">
        <f ca="1">IFERROR(__xludf.DUMMYFUNCTION("IFERROR(VLOOKUP(E802&amp;F802,IMPORTRANGE(""https://docs.google.com/spreadsheets/d/1Uw7-A9f9R21vMXxHZFNpYNeKFtG8_yji4HS352LGlSQ/edit?pli=1#gid=0"",""1_ACUM!A4:S""),11,FALSE))"),"")</f>
        <v/>
      </c>
      <c r="AW785" s="42" t="str">
        <f ca="1">IFERROR(__xludf.DUMMYFUNCTION("IFERROR(VLOOKUP(F802,IMPORTRANGE(""https://docs.google.com/spreadsheets/d/1Kvs4KS76FHFqLFIZfrDMff4kP08nblUkihrxltoGBjg/edit#gid=934712705"",""ESENCIAL!A6:BG""),15,FALSE))"),"")</f>
        <v/>
      </c>
      <c r="AX785" s="21" t="str">
        <f ca="1">IFERROR(__xludf.DUMMYFUNCTION("IFERROR(VLOOKUP(E802&amp;F802,IMPORTRANGE(""https://docs.google.com/spreadsheets/d/1Uw7-A9f9R21vMXxHZFNpYNeKFtG8_yji4HS352LGlSQ/edit?pli=1#gid=0"",""1_ACUM!A4:S""),12,FALSE))"),"")</f>
        <v/>
      </c>
      <c r="AY785" s="43" t="str">
        <f ca="1">IFERROR(__xludf.DUMMYFUNCTION("IFERROR(VLOOKUP(E802&amp;F802,IMPORTRANGE(""https://docs.google.com/spreadsheets/d/1Uw7-A9f9R21vMXxHZFNpYNeKFtG8_yji4HS352LGlSQ/edit?pli=1#gid=0"",""1_ACUM!A4:S""),13,FALSE))"),"")</f>
        <v/>
      </c>
      <c r="AZ785" s="43" t="str">
        <f ca="1">IFERROR(__xludf.DUMMYFUNCTION("IFERROR(VLOOKUP(E802&amp;F802,IMPORTRANGE(""https://docs.google.com/spreadsheets/d/1Uw7-A9f9R21vMXxHZFNpYNeKFtG8_yji4HS352LGlSQ/edit?pli=1#gid=0"",""1_ACUM!A4:S""),14,FALSE))"),"")</f>
        <v/>
      </c>
      <c r="BA785" s="43" t="str">
        <f ca="1">IFERROR(__xludf.DUMMYFUNCTION("IFERROR(VLOOKUP(E802&amp;F802,IMPORTRANGE(""https://docs.google.com/spreadsheets/d/1Uw7-A9f9R21vMXxHZFNpYNeKFtG8_yji4HS352LGlSQ/edit?pli=1#gid=0"",""1_ACUM!A4:S""),15,FALSE))"),"")</f>
        <v/>
      </c>
      <c r="BB785" s="43" t="str">
        <f ca="1">IFERROR(__xludf.DUMMYFUNCTION("IFERROR(VLOOKUP(E802&amp;F802,IMPORTRANGE(""https://docs.google.com/spreadsheets/d/1Uw7-A9f9R21vMXxHZFNpYNeKFtG8_yji4HS352LGlSQ/edit?pli=1#gid=0"",""1_ACUM!A4:S""),16,FALSE))"),"")</f>
        <v/>
      </c>
      <c r="BC785" s="43" t="str">
        <f ca="1">IFERROR(__xludf.DUMMYFUNCTION("IFERROR(VLOOKUP(E802&amp;F802,IMPORTRANGE(""https://docs.google.com/spreadsheets/d/1Uw7-A9f9R21vMXxHZFNpYNeKFtG8_yji4HS352LGlSQ/edit?pli=1#gid=0"",""1_ACUM!A4:S""),17,FALSE))"),"")</f>
        <v/>
      </c>
      <c r="BD785" s="44" t="str">
        <f ca="1">IFERROR(__xludf.DUMMYFUNCTION("IFERROR(VLOOKUP(E802&amp;F802,IMPORTRANGE(""https://docs.google.com/spreadsheets/d/1Uw7-A9f9R21vMXxHZFNpYNeKFtG8_yji4HS352LGlSQ/edit?pli=1#gid=0"",""1_ACUM!A4:S""),18,FALSE))"),"")</f>
        <v/>
      </c>
      <c r="BE785" s="44" t="str">
        <f ca="1">IFERROR(__xludf.DUMMYFUNCTION("IFERROR(VLOOKUP(E802&amp;F802,IMPORTRANGE(""https://docs.google.com/spreadsheets/d/1Uw7-A9f9R21vMXxHZFNpYNeKFtG8_yji4HS352LGlSQ/edit?pli=1#gid=0"",""1_ACUM!A4:S""),19,FALSE))"),"")</f>
        <v/>
      </c>
      <c r="BF785" s="44" t="str">
        <f ca="1">IFERROR(__xludf.DUMMYFUNCTION("IFERROR(VLOOKUP(F802,IMPORTRANGE(""https://docs.google.com/spreadsheets/d/1Kvs4KS76FHFqLFIZfrDMff4kP08nblUkihrxltoGBjg/edit#gid=934712705"",""ESENCIAL!A6:BG""),5,FALSE))"),"")</f>
        <v/>
      </c>
      <c r="BG785" s="44" t="str">
        <f t="shared" si="45"/>
        <v/>
      </c>
      <c r="BH785" s="41" t="str">
        <f t="shared" si="46"/>
        <v/>
      </c>
      <c r="BI785" s="41" t="str">
        <f ca="1">IFERROR(__xludf.DUMMYFUNCTION("IFERROR(VLOOKUP(F802,IMPORTRANGE(""https://docs.google.com/spreadsheets/d/1Kvs4KS76FHFqLFIZfrDMff4kP08nblUkihrxltoGBjg/edit#gid=934712705"",""ESENCIAL!A6:BG""),18,FALSE))"),"")</f>
        <v/>
      </c>
      <c r="BJ785" s="19" t="str">
        <f t="shared" si="47"/>
        <v/>
      </c>
      <c r="BK785" s="41"/>
      <c r="BL785" s="41"/>
    </row>
    <row r="786" spans="1:64" ht="15">
      <c r="A786" s="4"/>
      <c r="B786" s="4"/>
      <c r="G786" s="5" t="str">
        <f ca="1">IFERROR(__xludf.DUMMYFUNCTION("IFERROR(VLOOKUP(F803,IMPORTRANGE(""https://docs.google.com/spreadsheets/d/1Kvs4KS76FHFqLFIZfrDMff4kP08nblUkihrxltoGBjg/edit#gid=934712705"",""ESENCIAL!A6:BG""),3,FALSE))"),"")</f>
        <v/>
      </c>
      <c r="H786" s="5" t="str">
        <f ca="1">IFERROR(__xludf.DUMMYFUNCTION("IFERROR(VLOOKUP(F803,IMPORTRANGE(""https://docs.google.com/spreadsheets/d/1Kvs4KS76FHFqLFIZfrDMff4kP08nblUkihrxltoGBjg/edit#gid=934712705"",""ESENCIAL!A6:BG""),8,FALSE))"),"")</f>
        <v/>
      </c>
      <c r="L786" s="287"/>
      <c r="S786"/>
      <c r="AU786" s="41" t="str">
        <f t="shared" si="44"/>
        <v/>
      </c>
      <c r="AV786" s="5" t="str">
        <f ca="1">IFERROR(__xludf.DUMMYFUNCTION("IFERROR(VLOOKUP(E803&amp;F803,IMPORTRANGE(""https://docs.google.com/spreadsheets/d/1Uw7-A9f9R21vMXxHZFNpYNeKFtG8_yji4HS352LGlSQ/edit?pli=1#gid=0"",""1_ACUM!A4:S""),11,FALSE))"),"")</f>
        <v/>
      </c>
      <c r="AW786" s="42" t="str">
        <f ca="1">IFERROR(__xludf.DUMMYFUNCTION("IFERROR(VLOOKUP(F803,IMPORTRANGE(""https://docs.google.com/spreadsheets/d/1Kvs4KS76FHFqLFIZfrDMff4kP08nblUkihrxltoGBjg/edit#gid=934712705"",""ESENCIAL!A6:BG""),15,FALSE))"),"")</f>
        <v/>
      </c>
      <c r="AX786" s="21" t="str">
        <f ca="1">IFERROR(__xludf.DUMMYFUNCTION("IFERROR(VLOOKUP(E803&amp;F803,IMPORTRANGE(""https://docs.google.com/spreadsheets/d/1Uw7-A9f9R21vMXxHZFNpYNeKFtG8_yji4HS352LGlSQ/edit?pli=1#gid=0"",""1_ACUM!A4:S""),12,FALSE))"),"")</f>
        <v/>
      </c>
      <c r="AY786" s="43" t="str">
        <f ca="1">IFERROR(__xludf.DUMMYFUNCTION("IFERROR(VLOOKUP(E803&amp;F803,IMPORTRANGE(""https://docs.google.com/spreadsheets/d/1Uw7-A9f9R21vMXxHZFNpYNeKFtG8_yji4HS352LGlSQ/edit?pli=1#gid=0"",""1_ACUM!A4:S""),13,FALSE))"),"")</f>
        <v/>
      </c>
      <c r="AZ786" s="43" t="str">
        <f ca="1">IFERROR(__xludf.DUMMYFUNCTION("IFERROR(VLOOKUP(E803&amp;F803,IMPORTRANGE(""https://docs.google.com/spreadsheets/d/1Uw7-A9f9R21vMXxHZFNpYNeKFtG8_yji4HS352LGlSQ/edit?pli=1#gid=0"",""1_ACUM!A4:S""),14,FALSE))"),"")</f>
        <v/>
      </c>
      <c r="BA786" s="43" t="str">
        <f ca="1">IFERROR(__xludf.DUMMYFUNCTION("IFERROR(VLOOKUP(E803&amp;F803,IMPORTRANGE(""https://docs.google.com/spreadsheets/d/1Uw7-A9f9R21vMXxHZFNpYNeKFtG8_yji4HS352LGlSQ/edit?pli=1#gid=0"",""1_ACUM!A4:S""),15,FALSE))"),"")</f>
        <v/>
      </c>
      <c r="BB786" s="43" t="str">
        <f ca="1">IFERROR(__xludf.DUMMYFUNCTION("IFERROR(VLOOKUP(E803&amp;F803,IMPORTRANGE(""https://docs.google.com/spreadsheets/d/1Uw7-A9f9R21vMXxHZFNpYNeKFtG8_yji4HS352LGlSQ/edit?pli=1#gid=0"",""1_ACUM!A4:S""),16,FALSE))"),"")</f>
        <v/>
      </c>
      <c r="BC786" s="43" t="str">
        <f ca="1">IFERROR(__xludf.DUMMYFUNCTION("IFERROR(VLOOKUP(E803&amp;F803,IMPORTRANGE(""https://docs.google.com/spreadsheets/d/1Uw7-A9f9R21vMXxHZFNpYNeKFtG8_yji4HS352LGlSQ/edit?pli=1#gid=0"",""1_ACUM!A4:S""),17,FALSE))"),"")</f>
        <v/>
      </c>
      <c r="BD786" s="44" t="str">
        <f ca="1">IFERROR(__xludf.DUMMYFUNCTION("IFERROR(VLOOKUP(E803&amp;F803,IMPORTRANGE(""https://docs.google.com/spreadsheets/d/1Uw7-A9f9R21vMXxHZFNpYNeKFtG8_yji4HS352LGlSQ/edit?pli=1#gid=0"",""1_ACUM!A4:S""),18,FALSE))"),"")</f>
        <v/>
      </c>
      <c r="BE786" s="44" t="str">
        <f ca="1">IFERROR(__xludf.DUMMYFUNCTION("IFERROR(VLOOKUP(E803&amp;F803,IMPORTRANGE(""https://docs.google.com/spreadsheets/d/1Uw7-A9f9R21vMXxHZFNpYNeKFtG8_yji4HS352LGlSQ/edit?pli=1#gid=0"",""1_ACUM!A4:S""),19,FALSE))"),"")</f>
        <v/>
      </c>
      <c r="BF786" s="44" t="str">
        <f ca="1">IFERROR(__xludf.DUMMYFUNCTION("IFERROR(VLOOKUP(F803,IMPORTRANGE(""https://docs.google.com/spreadsheets/d/1Kvs4KS76FHFqLFIZfrDMff4kP08nblUkihrxltoGBjg/edit#gid=934712705"",""ESENCIAL!A6:BG""),5,FALSE))"),"")</f>
        <v/>
      </c>
      <c r="BG786" s="44" t="str">
        <f t="shared" si="45"/>
        <v/>
      </c>
      <c r="BH786" s="41" t="str">
        <f t="shared" si="46"/>
        <v/>
      </c>
      <c r="BI786" s="41" t="str">
        <f ca="1">IFERROR(__xludf.DUMMYFUNCTION("IFERROR(VLOOKUP(F803,IMPORTRANGE(""https://docs.google.com/spreadsheets/d/1Kvs4KS76FHFqLFIZfrDMff4kP08nblUkihrxltoGBjg/edit#gid=934712705"",""ESENCIAL!A6:BG""),18,FALSE))"),"")</f>
        <v/>
      </c>
      <c r="BJ786" s="19" t="str">
        <f t="shared" si="47"/>
        <v/>
      </c>
      <c r="BK786" s="41"/>
      <c r="BL786" s="41"/>
    </row>
    <row r="787" spans="1:64" ht="15">
      <c r="A787" s="4"/>
      <c r="B787" s="4"/>
      <c r="G787" s="5" t="str">
        <f ca="1">IFERROR(__xludf.DUMMYFUNCTION("IFERROR(VLOOKUP(F804,IMPORTRANGE(""https://docs.google.com/spreadsheets/d/1Kvs4KS76FHFqLFIZfrDMff4kP08nblUkihrxltoGBjg/edit#gid=934712705"",""ESENCIAL!A6:BG""),3,FALSE))"),"")</f>
        <v/>
      </c>
      <c r="H787" s="5" t="str">
        <f ca="1">IFERROR(__xludf.DUMMYFUNCTION("IFERROR(VLOOKUP(F804,IMPORTRANGE(""https://docs.google.com/spreadsheets/d/1Kvs4KS76FHFqLFIZfrDMff4kP08nblUkihrxltoGBjg/edit#gid=934712705"",""ESENCIAL!A6:BG""),8,FALSE))"),"")</f>
        <v/>
      </c>
      <c r="L787" s="287"/>
      <c r="S787"/>
      <c r="AU787" s="41" t="str">
        <f t="shared" si="44"/>
        <v/>
      </c>
      <c r="AV787" s="5" t="str">
        <f ca="1">IFERROR(__xludf.DUMMYFUNCTION("IFERROR(VLOOKUP(E804&amp;F804,IMPORTRANGE(""https://docs.google.com/spreadsheets/d/1Uw7-A9f9R21vMXxHZFNpYNeKFtG8_yji4HS352LGlSQ/edit?pli=1#gid=0"",""1_ACUM!A4:S""),11,FALSE))"),"")</f>
        <v/>
      </c>
      <c r="AW787" s="42" t="str">
        <f ca="1">IFERROR(__xludf.DUMMYFUNCTION("IFERROR(VLOOKUP(F804,IMPORTRANGE(""https://docs.google.com/spreadsheets/d/1Kvs4KS76FHFqLFIZfrDMff4kP08nblUkihrxltoGBjg/edit#gid=934712705"",""ESENCIAL!A6:BG""),15,FALSE))"),"")</f>
        <v/>
      </c>
      <c r="AX787" s="21" t="str">
        <f ca="1">IFERROR(__xludf.DUMMYFUNCTION("IFERROR(VLOOKUP(E804&amp;F804,IMPORTRANGE(""https://docs.google.com/spreadsheets/d/1Uw7-A9f9R21vMXxHZFNpYNeKFtG8_yji4HS352LGlSQ/edit?pli=1#gid=0"",""1_ACUM!A4:S""),12,FALSE))"),"")</f>
        <v/>
      </c>
      <c r="AY787" s="43" t="str">
        <f ca="1">IFERROR(__xludf.DUMMYFUNCTION("IFERROR(VLOOKUP(E804&amp;F804,IMPORTRANGE(""https://docs.google.com/spreadsheets/d/1Uw7-A9f9R21vMXxHZFNpYNeKFtG8_yji4HS352LGlSQ/edit?pli=1#gid=0"",""1_ACUM!A4:S""),13,FALSE))"),"")</f>
        <v/>
      </c>
      <c r="AZ787" s="43" t="str">
        <f ca="1">IFERROR(__xludf.DUMMYFUNCTION("IFERROR(VLOOKUP(E804&amp;F804,IMPORTRANGE(""https://docs.google.com/spreadsheets/d/1Uw7-A9f9R21vMXxHZFNpYNeKFtG8_yji4HS352LGlSQ/edit?pli=1#gid=0"",""1_ACUM!A4:S""),14,FALSE))"),"")</f>
        <v/>
      </c>
      <c r="BA787" s="43" t="str">
        <f ca="1">IFERROR(__xludf.DUMMYFUNCTION("IFERROR(VLOOKUP(E804&amp;F804,IMPORTRANGE(""https://docs.google.com/spreadsheets/d/1Uw7-A9f9R21vMXxHZFNpYNeKFtG8_yji4HS352LGlSQ/edit?pli=1#gid=0"",""1_ACUM!A4:S""),15,FALSE))"),"")</f>
        <v/>
      </c>
      <c r="BB787" s="43" t="str">
        <f ca="1">IFERROR(__xludf.DUMMYFUNCTION("IFERROR(VLOOKUP(E804&amp;F804,IMPORTRANGE(""https://docs.google.com/spreadsheets/d/1Uw7-A9f9R21vMXxHZFNpYNeKFtG8_yji4HS352LGlSQ/edit?pli=1#gid=0"",""1_ACUM!A4:S""),16,FALSE))"),"")</f>
        <v/>
      </c>
      <c r="BC787" s="43" t="str">
        <f ca="1">IFERROR(__xludf.DUMMYFUNCTION("IFERROR(VLOOKUP(E804&amp;F804,IMPORTRANGE(""https://docs.google.com/spreadsheets/d/1Uw7-A9f9R21vMXxHZFNpYNeKFtG8_yji4HS352LGlSQ/edit?pli=1#gid=0"",""1_ACUM!A4:S""),17,FALSE))"),"")</f>
        <v/>
      </c>
      <c r="BD787" s="44" t="str">
        <f ca="1">IFERROR(__xludf.DUMMYFUNCTION("IFERROR(VLOOKUP(E804&amp;F804,IMPORTRANGE(""https://docs.google.com/spreadsheets/d/1Uw7-A9f9R21vMXxHZFNpYNeKFtG8_yji4HS352LGlSQ/edit?pli=1#gid=0"",""1_ACUM!A4:S""),18,FALSE))"),"")</f>
        <v/>
      </c>
      <c r="BE787" s="44" t="str">
        <f ca="1">IFERROR(__xludf.DUMMYFUNCTION("IFERROR(VLOOKUP(E804&amp;F804,IMPORTRANGE(""https://docs.google.com/spreadsheets/d/1Uw7-A9f9R21vMXxHZFNpYNeKFtG8_yji4HS352LGlSQ/edit?pli=1#gid=0"",""1_ACUM!A4:S""),19,FALSE))"),"")</f>
        <v/>
      </c>
      <c r="BF787" s="44" t="str">
        <f ca="1">IFERROR(__xludf.DUMMYFUNCTION("IFERROR(VLOOKUP(F804,IMPORTRANGE(""https://docs.google.com/spreadsheets/d/1Kvs4KS76FHFqLFIZfrDMff4kP08nblUkihrxltoGBjg/edit#gid=934712705"",""ESENCIAL!A6:BG""),5,FALSE))"),"")</f>
        <v/>
      </c>
      <c r="BG787" s="44" t="str">
        <f t="shared" si="45"/>
        <v/>
      </c>
      <c r="BH787" s="41" t="str">
        <f t="shared" si="46"/>
        <v/>
      </c>
      <c r="BI787" s="41" t="str">
        <f ca="1">IFERROR(__xludf.DUMMYFUNCTION("IFERROR(VLOOKUP(F804,IMPORTRANGE(""https://docs.google.com/spreadsheets/d/1Kvs4KS76FHFqLFIZfrDMff4kP08nblUkihrxltoGBjg/edit#gid=934712705"",""ESENCIAL!A6:BG""),18,FALSE))"),"")</f>
        <v/>
      </c>
      <c r="BJ787" s="19" t="str">
        <f t="shared" si="47"/>
        <v/>
      </c>
      <c r="BK787" s="41"/>
      <c r="BL787" s="41"/>
    </row>
    <row r="788" spans="1:64" ht="15">
      <c r="A788" s="4"/>
      <c r="B788" s="4"/>
      <c r="G788" s="5" t="str">
        <f ca="1">IFERROR(__xludf.DUMMYFUNCTION("IFERROR(VLOOKUP(F805,IMPORTRANGE(""https://docs.google.com/spreadsheets/d/1Kvs4KS76FHFqLFIZfrDMff4kP08nblUkihrxltoGBjg/edit#gid=934712705"",""ESENCIAL!A6:BG""),3,FALSE))"),"")</f>
        <v/>
      </c>
      <c r="H788" s="5" t="str">
        <f ca="1">IFERROR(__xludf.DUMMYFUNCTION("IFERROR(VLOOKUP(F805,IMPORTRANGE(""https://docs.google.com/spreadsheets/d/1Kvs4KS76FHFqLFIZfrDMff4kP08nblUkihrxltoGBjg/edit#gid=934712705"",""ESENCIAL!A6:BG""),8,FALSE))"),"")</f>
        <v/>
      </c>
      <c r="L788" s="287"/>
      <c r="S788"/>
      <c r="AU788" s="41" t="str">
        <f t="shared" si="44"/>
        <v/>
      </c>
      <c r="AV788" s="5" t="str">
        <f ca="1">IFERROR(__xludf.DUMMYFUNCTION("IFERROR(VLOOKUP(E805&amp;F805,IMPORTRANGE(""https://docs.google.com/spreadsheets/d/1Uw7-A9f9R21vMXxHZFNpYNeKFtG8_yji4HS352LGlSQ/edit?pli=1#gid=0"",""1_ACUM!A4:S""),11,FALSE))"),"")</f>
        <v/>
      </c>
      <c r="AW788" s="42" t="str">
        <f ca="1">IFERROR(__xludf.DUMMYFUNCTION("IFERROR(VLOOKUP(F805,IMPORTRANGE(""https://docs.google.com/spreadsheets/d/1Kvs4KS76FHFqLFIZfrDMff4kP08nblUkihrxltoGBjg/edit#gid=934712705"",""ESENCIAL!A6:BG""),15,FALSE))"),"")</f>
        <v/>
      </c>
      <c r="AX788" s="21" t="str">
        <f ca="1">IFERROR(__xludf.DUMMYFUNCTION("IFERROR(VLOOKUP(E805&amp;F805,IMPORTRANGE(""https://docs.google.com/spreadsheets/d/1Uw7-A9f9R21vMXxHZFNpYNeKFtG8_yji4HS352LGlSQ/edit?pli=1#gid=0"",""1_ACUM!A4:S""),12,FALSE))"),"")</f>
        <v/>
      </c>
      <c r="AY788" s="43" t="str">
        <f ca="1">IFERROR(__xludf.DUMMYFUNCTION("IFERROR(VLOOKUP(E805&amp;F805,IMPORTRANGE(""https://docs.google.com/spreadsheets/d/1Uw7-A9f9R21vMXxHZFNpYNeKFtG8_yji4HS352LGlSQ/edit?pli=1#gid=0"",""1_ACUM!A4:S""),13,FALSE))"),"")</f>
        <v/>
      </c>
      <c r="AZ788" s="43" t="str">
        <f ca="1">IFERROR(__xludf.DUMMYFUNCTION("IFERROR(VLOOKUP(E805&amp;F805,IMPORTRANGE(""https://docs.google.com/spreadsheets/d/1Uw7-A9f9R21vMXxHZFNpYNeKFtG8_yji4HS352LGlSQ/edit?pli=1#gid=0"",""1_ACUM!A4:S""),14,FALSE))"),"")</f>
        <v/>
      </c>
      <c r="BA788" s="43" t="str">
        <f ca="1">IFERROR(__xludf.DUMMYFUNCTION("IFERROR(VLOOKUP(E805&amp;F805,IMPORTRANGE(""https://docs.google.com/spreadsheets/d/1Uw7-A9f9R21vMXxHZFNpYNeKFtG8_yji4HS352LGlSQ/edit?pli=1#gid=0"",""1_ACUM!A4:S""),15,FALSE))"),"")</f>
        <v/>
      </c>
      <c r="BB788" s="43" t="str">
        <f ca="1">IFERROR(__xludf.DUMMYFUNCTION("IFERROR(VLOOKUP(E805&amp;F805,IMPORTRANGE(""https://docs.google.com/spreadsheets/d/1Uw7-A9f9R21vMXxHZFNpYNeKFtG8_yji4HS352LGlSQ/edit?pli=1#gid=0"",""1_ACUM!A4:S""),16,FALSE))"),"")</f>
        <v/>
      </c>
      <c r="BC788" s="43" t="str">
        <f ca="1">IFERROR(__xludf.DUMMYFUNCTION("IFERROR(VLOOKUP(E805&amp;F805,IMPORTRANGE(""https://docs.google.com/spreadsheets/d/1Uw7-A9f9R21vMXxHZFNpYNeKFtG8_yji4HS352LGlSQ/edit?pli=1#gid=0"",""1_ACUM!A4:S""),17,FALSE))"),"")</f>
        <v/>
      </c>
      <c r="BD788" s="44" t="str">
        <f ca="1">IFERROR(__xludf.DUMMYFUNCTION("IFERROR(VLOOKUP(E805&amp;F805,IMPORTRANGE(""https://docs.google.com/spreadsheets/d/1Uw7-A9f9R21vMXxHZFNpYNeKFtG8_yji4HS352LGlSQ/edit?pli=1#gid=0"",""1_ACUM!A4:S""),18,FALSE))"),"")</f>
        <v/>
      </c>
      <c r="BE788" s="44" t="str">
        <f ca="1">IFERROR(__xludf.DUMMYFUNCTION("IFERROR(VLOOKUP(E805&amp;F805,IMPORTRANGE(""https://docs.google.com/spreadsheets/d/1Uw7-A9f9R21vMXxHZFNpYNeKFtG8_yji4HS352LGlSQ/edit?pli=1#gid=0"",""1_ACUM!A4:S""),19,FALSE))"),"")</f>
        <v/>
      </c>
      <c r="BF788" s="44" t="str">
        <f ca="1">IFERROR(__xludf.DUMMYFUNCTION("IFERROR(VLOOKUP(F805,IMPORTRANGE(""https://docs.google.com/spreadsheets/d/1Kvs4KS76FHFqLFIZfrDMff4kP08nblUkihrxltoGBjg/edit#gid=934712705"",""ESENCIAL!A6:BG""),5,FALSE))"),"")</f>
        <v/>
      </c>
      <c r="BG788" s="44" t="str">
        <f t="shared" si="45"/>
        <v/>
      </c>
      <c r="BH788" s="41" t="str">
        <f t="shared" si="46"/>
        <v/>
      </c>
      <c r="BI788" s="41" t="str">
        <f ca="1">IFERROR(__xludf.DUMMYFUNCTION("IFERROR(VLOOKUP(F805,IMPORTRANGE(""https://docs.google.com/spreadsheets/d/1Kvs4KS76FHFqLFIZfrDMff4kP08nblUkihrxltoGBjg/edit#gid=934712705"",""ESENCIAL!A6:BG""),18,FALSE))"),"")</f>
        <v/>
      </c>
      <c r="BJ788" s="19" t="str">
        <f t="shared" si="47"/>
        <v/>
      </c>
      <c r="BK788" s="41"/>
      <c r="BL788" s="41"/>
    </row>
    <row r="789" spans="1:64" ht="15">
      <c r="A789" s="4"/>
      <c r="B789" s="4"/>
      <c r="G789" s="5" t="str">
        <f ca="1">IFERROR(__xludf.DUMMYFUNCTION("IFERROR(VLOOKUP(F806,IMPORTRANGE(""https://docs.google.com/spreadsheets/d/1Kvs4KS76FHFqLFIZfrDMff4kP08nblUkihrxltoGBjg/edit#gid=934712705"",""ESENCIAL!A6:BG""),3,FALSE))"),"")</f>
        <v/>
      </c>
      <c r="H789" s="5" t="str">
        <f ca="1">IFERROR(__xludf.DUMMYFUNCTION("IFERROR(VLOOKUP(F806,IMPORTRANGE(""https://docs.google.com/spreadsheets/d/1Kvs4KS76FHFqLFIZfrDMff4kP08nblUkihrxltoGBjg/edit#gid=934712705"",""ESENCIAL!A6:BG""),8,FALSE))"),"")</f>
        <v/>
      </c>
      <c r="L789" s="287"/>
      <c r="S789"/>
      <c r="AU789" s="41" t="str">
        <f t="shared" si="44"/>
        <v/>
      </c>
      <c r="AV789" s="5" t="str">
        <f ca="1">IFERROR(__xludf.DUMMYFUNCTION("IFERROR(VLOOKUP(E806&amp;F806,IMPORTRANGE(""https://docs.google.com/spreadsheets/d/1Uw7-A9f9R21vMXxHZFNpYNeKFtG8_yji4HS352LGlSQ/edit?pli=1#gid=0"",""1_ACUM!A4:S""),11,FALSE))"),"")</f>
        <v/>
      </c>
      <c r="AW789" s="42" t="str">
        <f ca="1">IFERROR(__xludf.DUMMYFUNCTION("IFERROR(VLOOKUP(F806,IMPORTRANGE(""https://docs.google.com/spreadsheets/d/1Kvs4KS76FHFqLFIZfrDMff4kP08nblUkihrxltoGBjg/edit#gid=934712705"",""ESENCIAL!A6:BG""),15,FALSE))"),"")</f>
        <v/>
      </c>
      <c r="AX789" s="21" t="str">
        <f ca="1">IFERROR(__xludf.DUMMYFUNCTION("IFERROR(VLOOKUP(E806&amp;F806,IMPORTRANGE(""https://docs.google.com/spreadsheets/d/1Uw7-A9f9R21vMXxHZFNpYNeKFtG8_yji4HS352LGlSQ/edit?pli=1#gid=0"",""1_ACUM!A4:S""),12,FALSE))"),"")</f>
        <v/>
      </c>
      <c r="AY789" s="43" t="str">
        <f ca="1">IFERROR(__xludf.DUMMYFUNCTION("IFERROR(VLOOKUP(E806&amp;F806,IMPORTRANGE(""https://docs.google.com/spreadsheets/d/1Uw7-A9f9R21vMXxHZFNpYNeKFtG8_yji4HS352LGlSQ/edit?pli=1#gid=0"",""1_ACUM!A4:S""),13,FALSE))"),"")</f>
        <v/>
      </c>
      <c r="AZ789" s="43" t="str">
        <f ca="1">IFERROR(__xludf.DUMMYFUNCTION("IFERROR(VLOOKUP(E806&amp;F806,IMPORTRANGE(""https://docs.google.com/spreadsheets/d/1Uw7-A9f9R21vMXxHZFNpYNeKFtG8_yji4HS352LGlSQ/edit?pli=1#gid=0"",""1_ACUM!A4:S""),14,FALSE))"),"")</f>
        <v/>
      </c>
      <c r="BA789" s="43" t="str">
        <f ca="1">IFERROR(__xludf.DUMMYFUNCTION("IFERROR(VLOOKUP(E806&amp;F806,IMPORTRANGE(""https://docs.google.com/spreadsheets/d/1Uw7-A9f9R21vMXxHZFNpYNeKFtG8_yji4HS352LGlSQ/edit?pli=1#gid=0"",""1_ACUM!A4:S""),15,FALSE))"),"")</f>
        <v/>
      </c>
      <c r="BB789" s="43" t="str">
        <f ca="1">IFERROR(__xludf.DUMMYFUNCTION("IFERROR(VLOOKUP(E806&amp;F806,IMPORTRANGE(""https://docs.google.com/spreadsheets/d/1Uw7-A9f9R21vMXxHZFNpYNeKFtG8_yji4HS352LGlSQ/edit?pli=1#gid=0"",""1_ACUM!A4:S""),16,FALSE))"),"")</f>
        <v/>
      </c>
      <c r="BC789" s="43" t="str">
        <f ca="1">IFERROR(__xludf.DUMMYFUNCTION("IFERROR(VLOOKUP(E806&amp;F806,IMPORTRANGE(""https://docs.google.com/spreadsheets/d/1Uw7-A9f9R21vMXxHZFNpYNeKFtG8_yji4HS352LGlSQ/edit?pli=1#gid=0"",""1_ACUM!A4:S""),17,FALSE))"),"")</f>
        <v/>
      </c>
      <c r="BD789" s="44" t="str">
        <f ca="1">IFERROR(__xludf.DUMMYFUNCTION("IFERROR(VLOOKUP(E806&amp;F806,IMPORTRANGE(""https://docs.google.com/spreadsheets/d/1Uw7-A9f9R21vMXxHZFNpYNeKFtG8_yji4HS352LGlSQ/edit?pli=1#gid=0"",""1_ACUM!A4:S""),18,FALSE))"),"")</f>
        <v/>
      </c>
      <c r="BE789" s="44" t="str">
        <f ca="1">IFERROR(__xludf.DUMMYFUNCTION("IFERROR(VLOOKUP(E806&amp;F806,IMPORTRANGE(""https://docs.google.com/spreadsheets/d/1Uw7-A9f9R21vMXxHZFNpYNeKFtG8_yji4HS352LGlSQ/edit?pli=1#gid=0"",""1_ACUM!A4:S""),19,FALSE))"),"")</f>
        <v/>
      </c>
      <c r="BF789" s="44" t="str">
        <f ca="1">IFERROR(__xludf.DUMMYFUNCTION("IFERROR(VLOOKUP(F806,IMPORTRANGE(""https://docs.google.com/spreadsheets/d/1Kvs4KS76FHFqLFIZfrDMff4kP08nblUkihrxltoGBjg/edit#gid=934712705"",""ESENCIAL!A6:BG""),5,FALSE))"),"")</f>
        <v/>
      </c>
      <c r="BG789" s="44" t="str">
        <f t="shared" si="45"/>
        <v/>
      </c>
      <c r="BH789" s="41" t="str">
        <f t="shared" si="46"/>
        <v/>
      </c>
      <c r="BI789" s="41" t="str">
        <f ca="1">IFERROR(__xludf.DUMMYFUNCTION("IFERROR(VLOOKUP(F806,IMPORTRANGE(""https://docs.google.com/spreadsheets/d/1Kvs4KS76FHFqLFIZfrDMff4kP08nblUkihrxltoGBjg/edit#gid=934712705"",""ESENCIAL!A6:BG""),18,FALSE))"),"")</f>
        <v/>
      </c>
      <c r="BJ789" s="19" t="str">
        <f t="shared" si="47"/>
        <v/>
      </c>
      <c r="BK789" s="41"/>
      <c r="BL789" s="41"/>
    </row>
    <row r="790" spans="1:64" ht="15">
      <c r="A790" s="4"/>
      <c r="B790" s="4"/>
      <c r="G790" s="5" t="str">
        <f ca="1">IFERROR(__xludf.DUMMYFUNCTION("IFERROR(VLOOKUP(F807,IMPORTRANGE(""https://docs.google.com/spreadsheets/d/1Kvs4KS76FHFqLFIZfrDMff4kP08nblUkihrxltoGBjg/edit#gid=934712705"",""ESENCIAL!A6:BG""),3,FALSE))"),"")</f>
        <v/>
      </c>
      <c r="H790" s="5" t="str">
        <f ca="1">IFERROR(__xludf.DUMMYFUNCTION("IFERROR(VLOOKUP(F807,IMPORTRANGE(""https://docs.google.com/spreadsheets/d/1Kvs4KS76FHFqLFIZfrDMff4kP08nblUkihrxltoGBjg/edit#gid=934712705"",""ESENCIAL!A6:BG""),8,FALSE))"),"")</f>
        <v/>
      </c>
      <c r="L790" s="287"/>
      <c r="S790"/>
      <c r="AU790" s="41" t="str">
        <f t="shared" si="44"/>
        <v/>
      </c>
      <c r="AV790" s="5" t="str">
        <f ca="1">IFERROR(__xludf.DUMMYFUNCTION("IFERROR(VLOOKUP(E807&amp;F807,IMPORTRANGE(""https://docs.google.com/spreadsheets/d/1Uw7-A9f9R21vMXxHZFNpYNeKFtG8_yji4HS352LGlSQ/edit?pli=1#gid=0"",""1_ACUM!A4:S""),11,FALSE))"),"")</f>
        <v/>
      </c>
      <c r="AW790" s="42" t="str">
        <f ca="1">IFERROR(__xludf.DUMMYFUNCTION("IFERROR(VLOOKUP(F807,IMPORTRANGE(""https://docs.google.com/spreadsheets/d/1Kvs4KS76FHFqLFIZfrDMff4kP08nblUkihrxltoGBjg/edit#gid=934712705"",""ESENCIAL!A6:BG""),15,FALSE))"),"")</f>
        <v/>
      </c>
      <c r="AX790" s="21" t="str">
        <f ca="1">IFERROR(__xludf.DUMMYFUNCTION("IFERROR(VLOOKUP(E807&amp;F807,IMPORTRANGE(""https://docs.google.com/spreadsheets/d/1Uw7-A9f9R21vMXxHZFNpYNeKFtG8_yji4HS352LGlSQ/edit?pli=1#gid=0"",""1_ACUM!A4:S""),12,FALSE))"),"")</f>
        <v/>
      </c>
      <c r="AY790" s="43" t="str">
        <f ca="1">IFERROR(__xludf.DUMMYFUNCTION("IFERROR(VLOOKUP(E807&amp;F807,IMPORTRANGE(""https://docs.google.com/spreadsheets/d/1Uw7-A9f9R21vMXxHZFNpYNeKFtG8_yji4HS352LGlSQ/edit?pli=1#gid=0"",""1_ACUM!A4:S""),13,FALSE))"),"")</f>
        <v/>
      </c>
      <c r="AZ790" s="43" t="str">
        <f ca="1">IFERROR(__xludf.DUMMYFUNCTION("IFERROR(VLOOKUP(E807&amp;F807,IMPORTRANGE(""https://docs.google.com/spreadsheets/d/1Uw7-A9f9R21vMXxHZFNpYNeKFtG8_yji4HS352LGlSQ/edit?pli=1#gid=0"",""1_ACUM!A4:S""),14,FALSE))"),"")</f>
        <v/>
      </c>
      <c r="BA790" s="43" t="str">
        <f ca="1">IFERROR(__xludf.DUMMYFUNCTION("IFERROR(VLOOKUP(E807&amp;F807,IMPORTRANGE(""https://docs.google.com/spreadsheets/d/1Uw7-A9f9R21vMXxHZFNpYNeKFtG8_yji4HS352LGlSQ/edit?pli=1#gid=0"",""1_ACUM!A4:S""),15,FALSE))"),"")</f>
        <v/>
      </c>
      <c r="BB790" s="43" t="str">
        <f ca="1">IFERROR(__xludf.DUMMYFUNCTION("IFERROR(VLOOKUP(E807&amp;F807,IMPORTRANGE(""https://docs.google.com/spreadsheets/d/1Uw7-A9f9R21vMXxHZFNpYNeKFtG8_yji4HS352LGlSQ/edit?pli=1#gid=0"",""1_ACUM!A4:S""),16,FALSE))"),"")</f>
        <v/>
      </c>
      <c r="BC790" s="43" t="str">
        <f ca="1">IFERROR(__xludf.DUMMYFUNCTION("IFERROR(VLOOKUP(E807&amp;F807,IMPORTRANGE(""https://docs.google.com/spreadsheets/d/1Uw7-A9f9R21vMXxHZFNpYNeKFtG8_yji4HS352LGlSQ/edit?pli=1#gid=0"",""1_ACUM!A4:S""),17,FALSE))"),"")</f>
        <v/>
      </c>
      <c r="BD790" s="44" t="str">
        <f ca="1">IFERROR(__xludf.DUMMYFUNCTION("IFERROR(VLOOKUP(E807&amp;F807,IMPORTRANGE(""https://docs.google.com/spreadsheets/d/1Uw7-A9f9R21vMXxHZFNpYNeKFtG8_yji4HS352LGlSQ/edit?pli=1#gid=0"",""1_ACUM!A4:S""),18,FALSE))"),"")</f>
        <v/>
      </c>
      <c r="BE790" s="44" t="str">
        <f ca="1">IFERROR(__xludf.DUMMYFUNCTION("IFERROR(VLOOKUP(E807&amp;F807,IMPORTRANGE(""https://docs.google.com/spreadsheets/d/1Uw7-A9f9R21vMXxHZFNpYNeKFtG8_yji4HS352LGlSQ/edit?pli=1#gid=0"",""1_ACUM!A4:S""),19,FALSE))"),"")</f>
        <v/>
      </c>
      <c r="BF790" s="44" t="str">
        <f ca="1">IFERROR(__xludf.DUMMYFUNCTION("IFERROR(VLOOKUP(F807,IMPORTRANGE(""https://docs.google.com/spreadsheets/d/1Kvs4KS76FHFqLFIZfrDMff4kP08nblUkihrxltoGBjg/edit#gid=934712705"",""ESENCIAL!A6:BG""),5,FALSE))"),"")</f>
        <v/>
      </c>
      <c r="BG790" s="44" t="str">
        <f t="shared" si="45"/>
        <v/>
      </c>
      <c r="BH790" s="41" t="str">
        <f t="shared" si="46"/>
        <v/>
      </c>
      <c r="BI790" s="41" t="str">
        <f ca="1">IFERROR(__xludf.DUMMYFUNCTION("IFERROR(VLOOKUP(F807,IMPORTRANGE(""https://docs.google.com/spreadsheets/d/1Kvs4KS76FHFqLFIZfrDMff4kP08nblUkihrxltoGBjg/edit#gid=934712705"",""ESENCIAL!A6:BG""),18,FALSE))"),"")</f>
        <v/>
      </c>
      <c r="BJ790" s="19" t="str">
        <f t="shared" si="47"/>
        <v/>
      </c>
      <c r="BK790" s="41"/>
      <c r="BL790" s="41"/>
    </row>
    <row r="791" spans="1:64" ht="15">
      <c r="A791" s="4"/>
      <c r="B791" s="4"/>
      <c r="G791" s="5" t="str">
        <f ca="1">IFERROR(__xludf.DUMMYFUNCTION("IFERROR(VLOOKUP(F808,IMPORTRANGE(""https://docs.google.com/spreadsheets/d/1Kvs4KS76FHFqLFIZfrDMff4kP08nblUkihrxltoGBjg/edit#gid=934712705"",""ESENCIAL!A6:BG""),3,FALSE))"),"")</f>
        <v/>
      </c>
      <c r="H791" s="5" t="str">
        <f ca="1">IFERROR(__xludf.DUMMYFUNCTION("IFERROR(VLOOKUP(F808,IMPORTRANGE(""https://docs.google.com/spreadsheets/d/1Kvs4KS76FHFqLFIZfrDMff4kP08nblUkihrxltoGBjg/edit#gid=934712705"",""ESENCIAL!A6:BG""),8,FALSE))"),"")</f>
        <v/>
      </c>
      <c r="L791" s="287"/>
      <c r="S791"/>
      <c r="AU791" s="41" t="str">
        <f t="shared" si="44"/>
        <v/>
      </c>
      <c r="AV791" s="5" t="str">
        <f ca="1">IFERROR(__xludf.DUMMYFUNCTION("IFERROR(VLOOKUP(E808&amp;F808,IMPORTRANGE(""https://docs.google.com/spreadsheets/d/1Uw7-A9f9R21vMXxHZFNpYNeKFtG8_yji4HS352LGlSQ/edit?pli=1#gid=0"",""1_ACUM!A4:S""),11,FALSE))"),"")</f>
        <v/>
      </c>
      <c r="AW791" s="42" t="str">
        <f ca="1">IFERROR(__xludf.DUMMYFUNCTION("IFERROR(VLOOKUP(F808,IMPORTRANGE(""https://docs.google.com/spreadsheets/d/1Kvs4KS76FHFqLFIZfrDMff4kP08nblUkihrxltoGBjg/edit#gid=934712705"",""ESENCIAL!A6:BG""),15,FALSE))"),"")</f>
        <v/>
      </c>
      <c r="AX791" s="21" t="str">
        <f ca="1">IFERROR(__xludf.DUMMYFUNCTION("IFERROR(VLOOKUP(E808&amp;F808,IMPORTRANGE(""https://docs.google.com/spreadsheets/d/1Uw7-A9f9R21vMXxHZFNpYNeKFtG8_yji4HS352LGlSQ/edit?pli=1#gid=0"",""1_ACUM!A4:S""),12,FALSE))"),"")</f>
        <v/>
      </c>
      <c r="AY791" s="43" t="str">
        <f ca="1">IFERROR(__xludf.DUMMYFUNCTION("IFERROR(VLOOKUP(E808&amp;F808,IMPORTRANGE(""https://docs.google.com/spreadsheets/d/1Uw7-A9f9R21vMXxHZFNpYNeKFtG8_yji4HS352LGlSQ/edit?pli=1#gid=0"",""1_ACUM!A4:S""),13,FALSE))"),"")</f>
        <v/>
      </c>
      <c r="AZ791" s="43" t="str">
        <f ca="1">IFERROR(__xludf.DUMMYFUNCTION("IFERROR(VLOOKUP(E808&amp;F808,IMPORTRANGE(""https://docs.google.com/spreadsheets/d/1Uw7-A9f9R21vMXxHZFNpYNeKFtG8_yji4HS352LGlSQ/edit?pli=1#gid=0"",""1_ACUM!A4:S""),14,FALSE))"),"")</f>
        <v/>
      </c>
      <c r="BA791" s="43" t="str">
        <f ca="1">IFERROR(__xludf.DUMMYFUNCTION("IFERROR(VLOOKUP(E808&amp;F808,IMPORTRANGE(""https://docs.google.com/spreadsheets/d/1Uw7-A9f9R21vMXxHZFNpYNeKFtG8_yji4HS352LGlSQ/edit?pli=1#gid=0"",""1_ACUM!A4:S""),15,FALSE))"),"")</f>
        <v/>
      </c>
      <c r="BB791" s="43" t="str">
        <f ca="1">IFERROR(__xludf.DUMMYFUNCTION("IFERROR(VLOOKUP(E808&amp;F808,IMPORTRANGE(""https://docs.google.com/spreadsheets/d/1Uw7-A9f9R21vMXxHZFNpYNeKFtG8_yji4HS352LGlSQ/edit?pli=1#gid=0"",""1_ACUM!A4:S""),16,FALSE))"),"")</f>
        <v/>
      </c>
      <c r="BC791" s="43" t="str">
        <f ca="1">IFERROR(__xludf.DUMMYFUNCTION("IFERROR(VLOOKUP(E808&amp;F808,IMPORTRANGE(""https://docs.google.com/spreadsheets/d/1Uw7-A9f9R21vMXxHZFNpYNeKFtG8_yji4HS352LGlSQ/edit?pli=1#gid=0"",""1_ACUM!A4:S""),17,FALSE))"),"")</f>
        <v/>
      </c>
      <c r="BD791" s="44" t="str">
        <f ca="1">IFERROR(__xludf.DUMMYFUNCTION("IFERROR(VLOOKUP(E808&amp;F808,IMPORTRANGE(""https://docs.google.com/spreadsheets/d/1Uw7-A9f9R21vMXxHZFNpYNeKFtG8_yji4HS352LGlSQ/edit?pli=1#gid=0"",""1_ACUM!A4:S""),18,FALSE))"),"")</f>
        <v/>
      </c>
      <c r="BE791" s="44" t="str">
        <f ca="1">IFERROR(__xludf.DUMMYFUNCTION("IFERROR(VLOOKUP(E808&amp;F808,IMPORTRANGE(""https://docs.google.com/spreadsheets/d/1Uw7-A9f9R21vMXxHZFNpYNeKFtG8_yji4HS352LGlSQ/edit?pli=1#gid=0"",""1_ACUM!A4:S""),19,FALSE))"),"")</f>
        <v/>
      </c>
      <c r="BF791" s="44" t="str">
        <f ca="1">IFERROR(__xludf.DUMMYFUNCTION("IFERROR(VLOOKUP(F808,IMPORTRANGE(""https://docs.google.com/spreadsheets/d/1Kvs4KS76FHFqLFIZfrDMff4kP08nblUkihrxltoGBjg/edit#gid=934712705"",""ESENCIAL!A6:BG""),5,FALSE))"),"")</f>
        <v/>
      </c>
      <c r="BG791" s="44" t="str">
        <f t="shared" si="45"/>
        <v/>
      </c>
      <c r="BH791" s="41" t="str">
        <f t="shared" si="46"/>
        <v/>
      </c>
      <c r="BI791" s="41" t="str">
        <f ca="1">IFERROR(__xludf.DUMMYFUNCTION("IFERROR(VLOOKUP(F808,IMPORTRANGE(""https://docs.google.com/spreadsheets/d/1Kvs4KS76FHFqLFIZfrDMff4kP08nblUkihrxltoGBjg/edit#gid=934712705"",""ESENCIAL!A6:BG""),18,FALSE))"),"")</f>
        <v/>
      </c>
      <c r="BJ791" s="19" t="str">
        <f t="shared" si="47"/>
        <v/>
      </c>
      <c r="BK791" s="41"/>
      <c r="BL791" s="41"/>
    </row>
    <row r="792" spans="1:64" ht="15">
      <c r="A792" s="4"/>
      <c r="B792" s="4"/>
      <c r="G792" s="5" t="str">
        <f ca="1">IFERROR(__xludf.DUMMYFUNCTION("IFERROR(VLOOKUP(F809,IMPORTRANGE(""https://docs.google.com/spreadsheets/d/1Kvs4KS76FHFqLFIZfrDMff4kP08nblUkihrxltoGBjg/edit#gid=934712705"",""ESENCIAL!A6:BG""),3,FALSE))"),"")</f>
        <v/>
      </c>
      <c r="H792" s="5" t="str">
        <f ca="1">IFERROR(__xludf.DUMMYFUNCTION("IFERROR(VLOOKUP(F809,IMPORTRANGE(""https://docs.google.com/spreadsheets/d/1Kvs4KS76FHFqLFIZfrDMff4kP08nblUkihrxltoGBjg/edit#gid=934712705"",""ESENCIAL!A6:BG""),8,FALSE))"),"")</f>
        <v/>
      </c>
      <c r="L792" s="287"/>
      <c r="S792"/>
      <c r="AU792" s="41" t="str">
        <f t="shared" si="44"/>
        <v/>
      </c>
      <c r="AV792" s="5" t="str">
        <f ca="1">IFERROR(__xludf.DUMMYFUNCTION("IFERROR(VLOOKUP(E809&amp;F809,IMPORTRANGE(""https://docs.google.com/spreadsheets/d/1Uw7-A9f9R21vMXxHZFNpYNeKFtG8_yji4HS352LGlSQ/edit?pli=1#gid=0"",""1_ACUM!A4:S""),11,FALSE))"),"")</f>
        <v/>
      </c>
      <c r="AW792" s="42" t="str">
        <f ca="1">IFERROR(__xludf.DUMMYFUNCTION("IFERROR(VLOOKUP(F809,IMPORTRANGE(""https://docs.google.com/spreadsheets/d/1Kvs4KS76FHFqLFIZfrDMff4kP08nblUkihrxltoGBjg/edit#gid=934712705"",""ESENCIAL!A6:BG""),15,FALSE))"),"")</f>
        <v/>
      </c>
      <c r="AX792" s="21" t="str">
        <f ca="1">IFERROR(__xludf.DUMMYFUNCTION("IFERROR(VLOOKUP(E809&amp;F809,IMPORTRANGE(""https://docs.google.com/spreadsheets/d/1Uw7-A9f9R21vMXxHZFNpYNeKFtG8_yji4HS352LGlSQ/edit?pli=1#gid=0"",""1_ACUM!A4:S""),12,FALSE))"),"")</f>
        <v/>
      </c>
      <c r="AY792" s="43" t="str">
        <f ca="1">IFERROR(__xludf.DUMMYFUNCTION("IFERROR(VLOOKUP(E809&amp;F809,IMPORTRANGE(""https://docs.google.com/spreadsheets/d/1Uw7-A9f9R21vMXxHZFNpYNeKFtG8_yji4HS352LGlSQ/edit?pli=1#gid=0"",""1_ACUM!A4:S""),13,FALSE))"),"")</f>
        <v/>
      </c>
      <c r="AZ792" s="43" t="str">
        <f ca="1">IFERROR(__xludf.DUMMYFUNCTION("IFERROR(VLOOKUP(E809&amp;F809,IMPORTRANGE(""https://docs.google.com/spreadsheets/d/1Uw7-A9f9R21vMXxHZFNpYNeKFtG8_yji4HS352LGlSQ/edit?pli=1#gid=0"",""1_ACUM!A4:S""),14,FALSE))"),"")</f>
        <v/>
      </c>
      <c r="BA792" s="43" t="str">
        <f ca="1">IFERROR(__xludf.DUMMYFUNCTION("IFERROR(VLOOKUP(E809&amp;F809,IMPORTRANGE(""https://docs.google.com/spreadsheets/d/1Uw7-A9f9R21vMXxHZFNpYNeKFtG8_yji4HS352LGlSQ/edit?pli=1#gid=0"",""1_ACUM!A4:S""),15,FALSE))"),"")</f>
        <v/>
      </c>
      <c r="BB792" s="43" t="str">
        <f ca="1">IFERROR(__xludf.DUMMYFUNCTION("IFERROR(VLOOKUP(E809&amp;F809,IMPORTRANGE(""https://docs.google.com/spreadsheets/d/1Uw7-A9f9R21vMXxHZFNpYNeKFtG8_yji4HS352LGlSQ/edit?pli=1#gid=0"",""1_ACUM!A4:S""),16,FALSE))"),"")</f>
        <v/>
      </c>
      <c r="BC792" s="43" t="str">
        <f ca="1">IFERROR(__xludf.DUMMYFUNCTION("IFERROR(VLOOKUP(E809&amp;F809,IMPORTRANGE(""https://docs.google.com/spreadsheets/d/1Uw7-A9f9R21vMXxHZFNpYNeKFtG8_yji4HS352LGlSQ/edit?pli=1#gid=0"",""1_ACUM!A4:S""),17,FALSE))"),"")</f>
        <v/>
      </c>
      <c r="BD792" s="44" t="str">
        <f ca="1">IFERROR(__xludf.DUMMYFUNCTION("IFERROR(VLOOKUP(E809&amp;F809,IMPORTRANGE(""https://docs.google.com/spreadsheets/d/1Uw7-A9f9R21vMXxHZFNpYNeKFtG8_yji4HS352LGlSQ/edit?pli=1#gid=0"",""1_ACUM!A4:S""),18,FALSE))"),"")</f>
        <v/>
      </c>
      <c r="BE792" s="44" t="str">
        <f ca="1">IFERROR(__xludf.DUMMYFUNCTION("IFERROR(VLOOKUP(E809&amp;F809,IMPORTRANGE(""https://docs.google.com/spreadsheets/d/1Uw7-A9f9R21vMXxHZFNpYNeKFtG8_yji4HS352LGlSQ/edit?pli=1#gid=0"",""1_ACUM!A4:S""),19,FALSE))"),"")</f>
        <v/>
      </c>
      <c r="BF792" s="44" t="str">
        <f ca="1">IFERROR(__xludf.DUMMYFUNCTION("IFERROR(VLOOKUP(F809,IMPORTRANGE(""https://docs.google.com/spreadsheets/d/1Kvs4KS76FHFqLFIZfrDMff4kP08nblUkihrxltoGBjg/edit#gid=934712705"",""ESENCIAL!A6:BG""),5,FALSE))"),"")</f>
        <v/>
      </c>
      <c r="BG792" s="44" t="str">
        <f t="shared" si="45"/>
        <v/>
      </c>
      <c r="BH792" s="41" t="str">
        <f t="shared" si="46"/>
        <v/>
      </c>
      <c r="BI792" s="41" t="str">
        <f ca="1">IFERROR(__xludf.DUMMYFUNCTION("IFERROR(VLOOKUP(F809,IMPORTRANGE(""https://docs.google.com/spreadsheets/d/1Kvs4KS76FHFqLFIZfrDMff4kP08nblUkihrxltoGBjg/edit#gid=934712705"",""ESENCIAL!A6:BG""),18,FALSE))"),"")</f>
        <v/>
      </c>
      <c r="BJ792" s="19" t="str">
        <f t="shared" si="47"/>
        <v/>
      </c>
      <c r="BK792" s="41"/>
      <c r="BL792" s="41"/>
    </row>
    <row r="793" spans="1:64" ht="15">
      <c r="A793" s="4"/>
      <c r="B793" s="4"/>
      <c r="G793" s="5" t="str">
        <f ca="1">IFERROR(__xludf.DUMMYFUNCTION("IFERROR(VLOOKUP(F810,IMPORTRANGE(""https://docs.google.com/spreadsheets/d/1Kvs4KS76FHFqLFIZfrDMff4kP08nblUkihrxltoGBjg/edit#gid=934712705"",""ESENCIAL!A6:BG""),3,FALSE))"),"")</f>
        <v/>
      </c>
      <c r="H793" s="5" t="str">
        <f ca="1">IFERROR(__xludf.DUMMYFUNCTION("IFERROR(VLOOKUP(F810,IMPORTRANGE(""https://docs.google.com/spreadsheets/d/1Kvs4KS76FHFqLFIZfrDMff4kP08nblUkihrxltoGBjg/edit#gid=934712705"",""ESENCIAL!A6:BG""),8,FALSE))"),"")</f>
        <v/>
      </c>
      <c r="L793" s="287"/>
      <c r="S793"/>
      <c r="AU793" s="41" t="str">
        <f t="shared" si="44"/>
        <v/>
      </c>
      <c r="AV793" s="5" t="str">
        <f ca="1">IFERROR(__xludf.DUMMYFUNCTION("IFERROR(VLOOKUP(E810&amp;F810,IMPORTRANGE(""https://docs.google.com/spreadsheets/d/1Uw7-A9f9R21vMXxHZFNpYNeKFtG8_yji4HS352LGlSQ/edit?pli=1#gid=0"",""1_ACUM!A4:S""),11,FALSE))"),"")</f>
        <v/>
      </c>
      <c r="AW793" s="42" t="str">
        <f ca="1">IFERROR(__xludf.DUMMYFUNCTION("IFERROR(VLOOKUP(F810,IMPORTRANGE(""https://docs.google.com/spreadsheets/d/1Kvs4KS76FHFqLFIZfrDMff4kP08nblUkihrxltoGBjg/edit#gid=934712705"",""ESENCIAL!A6:BG""),15,FALSE))"),"")</f>
        <v/>
      </c>
      <c r="AX793" s="21" t="str">
        <f ca="1">IFERROR(__xludf.DUMMYFUNCTION("IFERROR(VLOOKUP(E810&amp;F810,IMPORTRANGE(""https://docs.google.com/spreadsheets/d/1Uw7-A9f9R21vMXxHZFNpYNeKFtG8_yji4HS352LGlSQ/edit?pli=1#gid=0"",""1_ACUM!A4:S""),12,FALSE))"),"")</f>
        <v/>
      </c>
      <c r="AY793" s="43" t="str">
        <f ca="1">IFERROR(__xludf.DUMMYFUNCTION("IFERROR(VLOOKUP(E810&amp;F810,IMPORTRANGE(""https://docs.google.com/spreadsheets/d/1Uw7-A9f9R21vMXxHZFNpYNeKFtG8_yji4HS352LGlSQ/edit?pli=1#gid=0"",""1_ACUM!A4:S""),13,FALSE))"),"")</f>
        <v/>
      </c>
      <c r="AZ793" s="43" t="str">
        <f ca="1">IFERROR(__xludf.DUMMYFUNCTION("IFERROR(VLOOKUP(E810&amp;F810,IMPORTRANGE(""https://docs.google.com/spreadsheets/d/1Uw7-A9f9R21vMXxHZFNpYNeKFtG8_yji4HS352LGlSQ/edit?pli=1#gid=0"",""1_ACUM!A4:S""),14,FALSE))"),"")</f>
        <v/>
      </c>
      <c r="BA793" s="43" t="str">
        <f ca="1">IFERROR(__xludf.DUMMYFUNCTION("IFERROR(VLOOKUP(E810&amp;F810,IMPORTRANGE(""https://docs.google.com/spreadsheets/d/1Uw7-A9f9R21vMXxHZFNpYNeKFtG8_yji4HS352LGlSQ/edit?pli=1#gid=0"",""1_ACUM!A4:S""),15,FALSE))"),"")</f>
        <v/>
      </c>
      <c r="BB793" s="43" t="str">
        <f ca="1">IFERROR(__xludf.DUMMYFUNCTION("IFERROR(VLOOKUP(E810&amp;F810,IMPORTRANGE(""https://docs.google.com/spreadsheets/d/1Uw7-A9f9R21vMXxHZFNpYNeKFtG8_yji4HS352LGlSQ/edit?pli=1#gid=0"",""1_ACUM!A4:S""),16,FALSE))"),"")</f>
        <v/>
      </c>
      <c r="BC793" s="43" t="str">
        <f ca="1">IFERROR(__xludf.DUMMYFUNCTION("IFERROR(VLOOKUP(E810&amp;F810,IMPORTRANGE(""https://docs.google.com/spreadsheets/d/1Uw7-A9f9R21vMXxHZFNpYNeKFtG8_yji4HS352LGlSQ/edit?pli=1#gid=0"",""1_ACUM!A4:S""),17,FALSE))"),"")</f>
        <v/>
      </c>
      <c r="BD793" s="44" t="str">
        <f ca="1">IFERROR(__xludf.DUMMYFUNCTION("IFERROR(VLOOKUP(E810&amp;F810,IMPORTRANGE(""https://docs.google.com/spreadsheets/d/1Uw7-A9f9R21vMXxHZFNpYNeKFtG8_yji4HS352LGlSQ/edit?pli=1#gid=0"",""1_ACUM!A4:S""),18,FALSE))"),"")</f>
        <v/>
      </c>
      <c r="BE793" s="44" t="str">
        <f ca="1">IFERROR(__xludf.DUMMYFUNCTION("IFERROR(VLOOKUP(E810&amp;F810,IMPORTRANGE(""https://docs.google.com/spreadsheets/d/1Uw7-A9f9R21vMXxHZFNpYNeKFtG8_yji4HS352LGlSQ/edit?pli=1#gid=0"",""1_ACUM!A4:S""),19,FALSE))"),"")</f>
        <v/>
      </c>
      <c r="BF793" s="44" t="str">
        <f ca="1">IFERROR(__xludf.DUMMYFUNCTION("IFERROR(VLOOKUP(F810,IMPORTRANGE(""https://docs.google.com/spreadsheets/d/1Kvs4KS76FHFqLFIZfrDMff4kP08nblUkihrxltoGBjg/edit#gid=934712705"",""ESENCIAL!A6:BG""),5,FALSE))"),"")</f>
        <v/>
      </c>
      <c r="BG793" s="44" t="str">
        <f t="shared" si="45"/>
        <v/>
      </c>
      <c r="BH793" s="41" t="str">
        <f t="shared" si="46"/>
        <v/>
      </c>
      <c r="BI793" s="41" t="str">
        <f ca="1">IFERROR(__xludf.DUMMYFUNCTION("IFERROR(VLOOKUP(F810,IMPORTRANGE(""https://docs.google.com/spreadsheets/d/1Kvs4KS76FHFqLFIZfrDMff4kP08nblUkihrxltoGBjg/edit#gid=934712705"",""ESENCIAL!A6:BG""),18,FALSE))"),"")</f>
        <v/>
      </c>
      <c r="BJ793" s="19" t="str">
        <f t="shared" si="47"/>
        <v/>
      </c>
      <c r="BK793" s="41"/>
      <c r="BL793" s="41"/>
    </row>
    <row r="794" spans="1:64" ht="15">
      <c r="A794" s="4"/>
      <c r="B794" s="4"/>
      <c r="G794" s="5" t="str">
        <f ca="1">IFERROR(__xludf.DUMMYFUNCTION("IFERROR(VLOOKUP(F811,IMPORTRANGE(""https://docs.google.com/spreadsheets/d/1Kvs4KS76FHFqLFIZfrDMff4kP08nblUkihrxltoGBjg/edit#gid=934712705"",""ESENCIAL!A6:BG""),3,FALSE))"),"")</f>
        <v/>
      </c>
      <c r="H794" s="5" t="str">
        <f ca="1">IFERROR(__xludf.DUMMYFUNCTION("IFERROR(VLOOKUP(F811,IMPORTRANGE(""https://docs.google.com/spreadsheets/d/1Kvs4KS76FHFqLFIZfrDMff4kP08nblUkihrxltoGBjg/edit#gid=934712705"",""ESENCIAL!A6:BG""),8,FALSE))"),"")</f>
        <v/>
      </c>
      <c r="L794" s="287"/>
      <c r="S794"/>
      <c r="AU794" s="41" t="str">
        <f t="shared" si="44"/>
        <v/>
      </c>
      <c r="AV794" s="5" t="str">
        <f ca="1">IFERROR(__xludf.DUMMYFUNCTION("IFERROR(VLOOKUP(E811&amp;F811,IMPORTRANGE(""https://docs.google.com/spreadsheets/d/1Uw7-A9f9R21vMXxHZFNpYNeKFtG8_yji4HS352LGlSQ/edit?pli=1#gid=0"",""1_ACUM!A4:S""),11,FALSE))"),"")</f>
        <v/>
      </c>
      <c r="AW794" s="42" t="str">
        <f ca="1">IFERROR(__xludf.DUMMYFUNCTION("IFERROR(VLOOKUP(F811,IMPORTRANGE(""https://docs.google.com/spreadsheets/d/1Kvs4KS76FHFqLFIZfrDMff4kP08nblUkihrxltoGBjg/edit#gid=934712705"",""ESENCIAL!A6:BG""),15,FALSE))"),"")</f>
        <v/>
      </c>
      <c r="AX794" s="21" t="str">
        <f ca="1">IFERROR(__xludf.DUMMYFUNCTION("IFERROR(VLOOKUP(E811&amp;F811,IMPORTRANGE(""https://docs.google.com/spreadsheets/d/1Uw7-A9f9R21vMXxHZFNpYNeKFtG8_yji4HS352LGlSQ/edit?pli=1#gid=0"",""1_ACUM!A4:S""),12,FALSE))"),"")</f>
        <v/>
      </c>
      <c r="AY794" s="43" t="str">
        <f ca="1">IFERROR(__xludf.DUMMYFUNCTION("IFERROR(VLOOKUP(E811&amp;F811,IMPORTRANGE(""https://docs.google.com/spreadsheets/d/1Uw7-A9f9R21vMXxHZFNpYNeKFtG8_yji4HS352LGlSQ/edit?pli=1#gid=0"",""1_ACUM!A4:S""),13,FALSE))"),"")</f>
        <v/>
      </c>
      <c r="AZ794" s="43" t="str">
        <f ca="1">IFERROR(__xludf.DUMMYFUNCTION("IFERROR(VLOOKUP(E811&amp;F811,IMPORTRANGE(""https://docs.google.com/spreadsheets/d/1Uw7-A9f9R21vMXxHZFNpYNeKFtG8_yji4HS352LGlSQ/edit?pli=1#gid=0"",""1_ACUM!A4:S""),14,FALSE))"),"")</f>
        <v/>
      </c>
      <c r="BA794" s="43" t="str">
        <f ca="1">IFERROR(__xludf.DUMMYFUNCTION("IFERROR(VLOOKUP(E811&amp;F811,IMPORTRANGE(""https://docs.google.com/spreadsheets/d/1Uw7-A9f9R21vMXxHZFNpYNeKFtG8_yji4HS352LGlSQ/edit?pli=1#gid=0"",""1_ACUM!A4:S""),15,FALSE))"),"")</f>
        <v/>
      </c>
      <c r="BB794" s="43" t="str">
        <f ca="1">IFERROR(__xludf.DUMMYFUNCTION("IFERROR(VLOOKUP(E811&amp;F811,IMPORTRANGE(""https://docs.google.com/spreadsheets/d/1Uw7-A9f9R21vMXxHZFNpYNeKFtG8_yji4HS352LGlSQ/edit?pli=1#gid=0"",""1_ACUM!A4:S""),16,FALSE))"),"")</f>
        <v/>
      </c>
      <c r="BC794" s="43" t="str">
        <f ca="1">IFERROR(__xludf.DUMMYFUNCTION("IFERROR(VLOOKUP(E811&amp;F811,IMPORTRANGE(""https://docs.google.com/spreadsheets/d/1Uw7-A9f9R21vMXxHZFNpYNeKFtG8_yji4HS352LGlSQ/edit?pli=1#gid=0"",""1_ACUM!A4:S""),17,FALSE))"),"")</f>
        <v/>
      </c>
      <c r="BD794" s="44" t="str">
        <f ca="1">IFERROR(__xludf.DUMMYFUNCTION("IFERROR(VLOOKUP(E811&amp;F811,IMPORTRANGE(""https://docs.google.com/spreadsheets/d/1Uw7-A9f9R21vMXxHZFNpYNeKFtG8_yji4HS352LGlSQ/edit?pli=1#gid=0"",""1_ACUM!A4:S""),18,FALSE))"),"")</f>
        <v/>
      </c>
      <c r="BE794" s="44" t="str">
        <f ca="1">IFERROR(__xludf.DUMMYFUNCTION("IFERROR(VLOOKUP(E811&amp;F811,IMPORTRANGE(""https://docs.google.com/spreadsheets/d/1Uw7-A9f9R21vMXxHZFNpYNeKFtG8_yji4HS352LGlSQ/edit?pli=1#gid=0"",""1_ACUM!A4:S""),19,FALSE))"),"")</f>
        <v/>
      </c>
      <c r="BF794" s="44" t="str">
        <f ca="1">IFERROR(__xludf.DUMMYFUNCTION("IFERROR(VLOOKUP(F811,IMPORTRANGE(""https://docs.google.com/spreadsheets/d/1Kvs4KS76FHFqLFIZfrDMff4kP08nblUkihrxltoGBjg/edit#gid=934712705"",""ESENCIAL!A6:BG""),5,FALSE))"),"")</f>
        <v/>
      </c>
      <c r="BG794" s="44" t="str">
        <f t="shared" si="45"/>
        <v/>
      </c>
      <c r="BH794" s="41" t="str">
        <f t="shared" si="46"/>
        <v/>
      </c>
      <c r="BI794" s="41" t="str">
        <f ca="1">IFERROR(__xludf.DUMMYFUNCTION("IFERROR(VLOOKUP(F811,IMPORTRANGE(""https://docs.google.com/spreadsheets/d/1Kvs4KS76FHFqLFIZfrDMff4kP08nblUkihrxltoGBjg/edit#gid=934712705"",""ESENCIAL!A6:BG""),18,FALSE))"),"")</f>
        <v/>
      </c>
      <c r="BJ794" s="19" t="str">
        <f t="shared" si="47"/>
        <v/>
      </c>
      <c r="BK794" s="41"/>
      <c r="BL794" s="41"/>
    </row>
    <row r="795" spans="1:64" ht="15">
      <c r="A795" s="4"/>
      <c r="B795" s="4"/>
      <c r="G795" s="5" t="str">
        <f ca="1">IFERROR(__xludf.DUMMYFUNCTION("IFERROR(VLOOKUP(F812,IMPORTRANGE(""https://docs.google.com/spreadsheets/d/1Kvs4KS76FHFqLFIZfrDMff4kP08nblUkihrxltoGBjg/edit#gid=934712705"",""ESENCIAL!A6:BG""),3,FALSE))"),"")</f>
        <v/>
      </c>
      <c r="H795" s="5" t="str">
        <f ca="1">IFERROR(__xludf.DUMMYFUNCTION("IFERROR(VLOOKUP(F812,IMPORTRANGE(""https://docs.google.com/spreadsheets/d/1Kvs4KS76FHFqLFIZfrDMff4kP08nblUkihrxltoGBjg/edit#gid=934712705"",""ESENCIAL!A6:BG""),8,FALSE))"),"")</f>
        <v/>
      </c>
      <c r="L795" s="287"/>
      <c r="S795"/>
      <c r="AU795" s="41" t="str">
        <f t="shared" si="44"/>
        <v/>
      </c>
      <c r="AV795" s="5" t="str">
        <f ca="1">IFERROR(__xludf.DUMMYFUNCTION("IFERROR(VLOOKUP(E812&amp;F812,IMPORTRANGE(""https://docs.google.com/spreadsheets/d/1Uw7-A9f9R21vMXxHZFNpYNeKFtG8_yji4HS352LGlSQ/edit?pli=1#gid=0"",""1_ACUM!A4:S""),11,FALSE))"),"")</f>
        <v/>
      </c>
      <c r="AW795" s="42" t="str">
        <f ca="1">IFERROR(__xludf.DUMMYFUNCTION("IFERROR(VLOOKUP(F812,IMPORTRANGE(""https://docs.google.com/spreadsheets/d/1Kvs4KS76FHFqLFIZfrDMff4kP08nblUkihrxltoGBjg/edit#gid=934712705"",""ESENCIAL!A6:BG""),15,FALSE))"),"")</f>
        <v/>
      </c>
      <c r="AX795" s="21" t="str">
        <f ca="1">IFERROR(__xludf.DUMMYFUNCTION("IFERROR(VLOOKUP(E812&amp;F812,IMPORTRANGE(""https://docs.google.com/spreadsheets/d/1Uw7-A9f9R21vMXxHZFNpYNeKFtG8_yji4HS352LGlSQ/edit?pli=1#gid=0"",""1_ACUM!A4:S""),12,FALSE))"),"")</f>
        <v/>
      </c>
      <c r="AY795" s="43" t="str">
        <f ca="1">IFERROR(__xludf.DUMMYFUNCTION("IFERROR(VLOOKUP(E812&amp;F812,IMPORTRANGE(""https://docs.google.com/spreadsheets/d/1Uw7-A9f9R21vMXxHZFNpYNeKFtG8_yji4HS352LGlSQ/edit?pli=1#gid=0"",""1_ACUM!A4:S""),13,FALSE))"),"")</f>
        <v/>
      </c>
      <c r="AZ795" s="43" t="str">
        <f ca="1">IFERROR(__xludf.DUMMYFUNCTION("IFERROR(VLOOKUP(E812&amp;F812,IMPORTRANGE(""https://docs.google.com/spreadsheets/d/1Uw7-A9f9R21vMXxHZFNpYNeKFtG8_yji4HS352LGlSQ/edit?pli=1#gid=0"",""1_ACUM!A4:S""),14,FALSE))"),"")</f>
        <v/>
      </c>
      <c r="BA795" s="43" t="str">
        <f ca="1">IFERROR(__xludf.DUMMYFUNCTION("IFERROR(VLOOKUP(E812&amp;F812,IMPORTRANGE(""https://docs.google.com/spreadsheets/d/1Uw7-A9f9R21vMXxHZFNpYNeKFtG8_yji4HS352LGlSQ/edit?pli=1#gid=0"",""1_ACUM!A4:S""),15,FALSE))"),"")</f>
        <v/>
      </c>
      <c r="BB795" s="43" t="str">
        <f ca="1">IFERROR(__xludf.DUMMYFUNCTION("IFERROR(VLOOKUP(E812&amp;F812,IMPORTRANGE(""https://docs.google.com/spreadsheets/d/1Uw7-A9f9R21vMXxHZFNpYNeKFtG8_yji4HS352LGlSQ/edit?pli=1#gid=0"",""1_ACUM!A4:S""),16,FALSE))"),"")</f>
        <v/>
      </c>
      <c r="BC795" s="43" t="str">
        <f ca="1">IFERROR(__xludf.DUMMYFUNCTION("IFERROR(VLOOKUP(E812&amp;F812,IMPORTRANGE(""https://docs.google.com/spreadsheets/d/1Uw7-A9f9R21vMXxHZFNpYNeKFtG8_yji4HS352LGlSQ/edit?pli=1#gid=0"",""1_ACUM!A4:S""),17,FALSE))"),"")</f>
        <v/>
      </c>
      <c r="BD795" s="44" t="str">
        <f ca="1">IFERROR(__xludf.DUMMYFUNCTION("IFERROR(VLOOKUP(E812&amp;F812,IMPORTRANGE(""https://docs.google.com/spreadsheets/d/1Uw7-A9f9R21vMXxHZFNpYNeKFtG8_yji4HS352LGlSQ/edit?pli=1#gid=0"",""1_ACUM!A4:S""),18,FALSE))"),"")</f>
        <v/>
      </c>
      <c r="BE795" s="44" t="str">
        <f ca="1">IFERROR(__xludf.DUMMYFUNCTION("IFERROR(VLOOKUP(E812&amp;F812,IMPORTRANGE(""https://docs.google.com/spreadsheets/d/1Uw7-A9f9R21vMXxHZFNpYNeKFtG8_yji4HS352LGlSQ/edit?pli=1#gid=0"",""1_ACUM!A4:S""),19,FALSE))"),"")</f>
        <v/>
      </c>
      <c r="BF795" s="44" t="str">
        <f ca="1">IFERROR(__xludf.DUMMYFUNCTION("IFERROR(VLOOKUP(F812,IMPORTRANGE(""https://docs.google.com/spreadsheets/d/1Kvs4KS76FHFqLFIZfrDMff4kP08nblUkihrxltoGBjg/edit#gid=934712705"",""ESENCIAL!A6:BG""),5,FALSE))"),"")</f>
        <v/>
      </c>
      <c r="BG795" s="44" t="str">
        <f t="shared" si="45"/>
        <v/>
      </c>
      <c r="BH795" s="41" t="str">
        <f t="shared" si="46"/>
        <v/>
      </c>
      <c r="BI795" s="41" t="str">
        <f ca="1">IFERROR(__xludf.DUMMYFUNCTION("IFERROR(VLOOKUP(F812,IMPORTRANGE(""https://docs.google.com/spreadsheets/d/1Kvs4KS76FHFqLFIZfrDMff4kP08nblUkihrxltoGBjg/edit#gid=934712705"",""ESENCIAL!A6:BG""),18,FALSE))"),"")</f>
        <v/>
      </c>
      <c r="BJ795" s="19" t="str">
        <f t="shared" si="47"/>
        <v/>
      </c>
      <c r="BK795" s="41"/>
      <c r="BL795" s="41"/>
    </row>
    <row r="796" spans="1:64" ht="15">
      <c r="A796" s="4"/>
      <c r="B796" s="4"/>
      <c r="G796" s="5" t="str">
        <f ca="1">IFERROR(__xludf.DUMMYFUNCTION("IFERROR(VLOOKUP(F813,IMPORTRANGE(""https://docs.google.com/spreadsheets/d/1Kvs4KS76FHFqLFIZfrDMff4kP08nblUkihrxltoGBjg/edit#gid=934712705"",""ESENCIAL!A6:BG""),3,FALSE))"),"")</f>
        <v/>
      </c>
      <c r="H796" s="5" t="str">
        <f ca="1">IFERROR(__xludf.DUMMYFUNCTION("IFERROR(VLOOKUP(F813,IMPORTRANGE(""https://docs.google.com/spreadsheets/d/1Kvs4KS76FHFqLFIZfrDMff4kP08nblUkihrxltoGBjg/edit#gid=934712705"",""ESENCIAL!A6:BG""),8,FALSE))"),"")</f>
        <v/>
      </c>
      <c r="L796" s="287"/>
      <c r="S796"/>
      <c r="AU796" s="41" t="str">
        <f t="shared" si="44"/>
        <v/>
      </c>
      <c r="AV796" s="5" t="str">
        <f ca="1">IFERROR(__xludf.DUMMYFUNCTION("IFERROR(VLOOKUP(E813&amp;F813,IMPORTRANGE(""https://docs.google.com/spreadsheets/d/1Uw7-A9f9R21vMXxHZFNpYNeKFtG8_yji4HS352LGlSQ/edit?pli=1#gid=0"",""1_ACUM!A4:S""),11,FALSE))"),"")</f>
        <v/>
      </c>
      <c r="AW796" s="42" t="str">
        <f ca="1">IFERROR(__xludf.DUMMYFUNCTION("IFERROR(VLOOKUP(F813,IMPORTRANGE(""https://docs.google.com/spreadsheets/d/1Kvs4KS76FHFqLFIZfrDMff4kP08nblUkihrxltoGBjg/edit#gid=934712705"",""ESENCIAL!A6:BG""),15,FALSE))"),"")</f>
        <v/>
      </c>
      <c r="AX796" s="21" t="str">
        <f ca="1">IFERROR(__xludf.DUMMYFUNCTION("IFERROR(VLOOKUP(E813&amp;F813,IMPORTRANGE(""https://docs.google.com/spreadsheets/d/1Uw7-A9f9R21vMXxHZFNpYNeKFtG8_yji4HS352LGlSQ/edit?pli=1#gid=0"",""1_ACUM!A4:S""),12,FALSE))"),"")</f>
        <v/>
      </c>
      <c r="AY796" s="43" t="str">
        <f ca="1">IFERROR(__xludf.DUMMYFUNCTION("IFERROR(VLOOKUP(E813&amp;F813,IMPORTRANGE(""https://docs.google.com/spreadsheets/d/1Uw7-A9f9R21vMXxHZFNpYNeKFtG8_yji4HS352LGlSQ/edit?pli=1#gid=0"",""1_ACUM!A4:S""),13,FALSE))"),"")</f>
        <v/>
      </c>
      <c r="AZ796" s="43" t="str">
        <f ca="1">IFERROR(__xludf.DUMMYFUNCTION("IFERROR(VLOOKUP(E813&amp;F813,IMPORTRANGE(""https://docs.google.com/spreadsheets/d/1Uw7-A9f9R21vMXxHZFNpYNeKFtG8_yji4HS352LGlSQ/edit?pli=1#gid=0"",""1_ACUM!A4:S""),14,FALSE))"),"")</f>
        <v/>
      </c>
      <c r="BA796" s="43" t="str">
        <f ca="1">IFERROR(__xludf.DUMMYFUNCTION("IFERROR(VLOOKUP(E813&amp;F813,IMPORTRANGE(""https://docs.google.com/spreadsheets/d/1Uw7-A9f9R21vMXxHZFNpYNeKFtG8_yji4HS352LGlSQ/edit?pli=1#gid=0"",""1_ACUM!A4:S""),15,FALSE))"),"")</f>
        <v/>
      </c>
      <c r="BB796" s="43" t="str">
        <f ca="1">IFERROR(__xludf.DUMMYFUNCTION("IFERROR(VLOOKUP(E813&amp;F813,IMPORTRANGE(""https://docs.google.com/spreadsheets/d/1Uw7-A9f9R21vMXxHZFNpYNeKFtG8_yji4HS352LGlSQ/edit?pli=1#gid=0"",""1_ACUM!A4:S""),16,FALSE))"),"")</f>
        <v/>
      </c>
      <c r="BC796" s="43" t="str">
        <f ca="1">IFERROR(__xludf.DUMMYFUNCTION("IFERROR(VLOOKUP(E813&amp;F813,IMPORTRANGE(""https://docs.google.com/spreadsheets/d/1Uw7-A9f9R21vMXxHZFNpYNeKFtG8_yji4HS352LGlSQ/edit?pli=1#gid=0"",""1_ACUM!A4:S""),17,FALSE))"),"")</f>
        <v/>
      </c>
      <c r="BD796" s="44" t="str">
        <f ca="1">IFERROR(__xludf.DUMMYFUNCTION("IFERROR(VLOOKUP(E813&amp;F813,IMPORTRANGE(""https://docs.google.com/spreadsheets/d/1Uw7-A9f9R21vMXxHZFNpYNeKFtG8_yji4HS352LGlSQ/edit?pli=1#gid=0"",""1_ACUM!A4:S""),18,FALSE))"),"")</f>
        <v/>
      </c>
      <c r="BE796" s="44" t="str">
        <f ca="1">IFERROR(__xludf.DUMMYFUNCTION("IFERROR(VLOOKUP(E813&amp;F813,IMPORTRANGE(""https://docs.google.com/spreadsheets/d/1Uw7-A9f9R21vMXxHZFNpYNeKFtG8_yji4HS352LGlSQ/edit?pli=1#gid=0"",""1_ACUM!A4:S""),19,FALSE))"),"")</f>
        <v/>
      </c>
      <c r="BF796" s="44" t="str">
        <f ca="1">IFERROR(__xludf.DUMMYFUNCTION("IFERROR(VLOOKUP(F813,IMPORTRANGE(""https://docs.google.com/spreadsheets/d/1Kvs4KS76FHFqLFIZfrDMff4kP08nblUkihrxltoGBjg/edit#gid=934712705"",""ESENCIAL!A6:BG""),5,FALSE))"),"")</f>
        <v/>
      </c>
      <c r="BG796" s="44" t="str">
        <f t="shared" si="45"/>
        <v/>
      </c>
      <c r="BH796" s="41" t="str">
        <f t="shared" si="46"/>
        <v/>
      </c>
      <c r="BI796" s="41" t="str">
        <f ca="1">IFERROR(__xludf.DUMMYFUNCTION("IFERROR(VLOOKUP(F813,IMPORTRANGE(""https://docs.google.com/spreadsheets/d/1Kvs4KS76FHFqLFIZfrDMff4kP08nblUkihrxltoGBjg/edit#gid=934712705"",""ESENCIAL!A6:BG""),18,FALSE))"),"")</f>
        <v/>
      </c>
      <c r="BJ796" s="19" t="str">
        <f t="shared" si="47"/>
        <v/>
      </c>
      <c r="BK796" s="41"/>
      <c r="BL796" s="41"/>
    </row>
    <row r="797" spans="1:64" ht="15">
      <c r="A797" s="4"/>
      <c r="B797" s="4"/>
      <c r="G797" s="5" t="str">
        <f ca="1">IFERROR(__xludf.DUMMYFUNCTION("IFERROR(VLOOKUP(F814,IMPORTRANGE(""https://docs.google.com/spreadsheets/d/1Kvs4KS76FHFqLFIZfrDMff4kP08nblUkihrxltoGBjg/edit#gid=934712705"",""ESENCIAL!A6:BG""),3,FALSE))"),"")</f>
        <v/>
      </c>
      <c r="H797" s="5" t="str">
        <f ca="1">IFERROR(__xludf.DUMMYFUNCTION("IFERROR(VLOOKUP(F814,IMPORTRANGE(""https://docs.google.com/spreadsheets/d/1Kvs4KS76FHFqLFIZfrDMff4kP08nblUkihrxltoGBjg/edit#gid=934712705"",""ESENCIAL!A6:BG""),8,FALSE))"),"")</f>
        <v/>
      </c>
      <c r="L797" s="287"/>
      <c r="S797"/>
      <c r="AU797" s="41" t="str">
        <f t="shared" si="44"/>
        <v/>
      </c>
      <c r="AV797" s="5" t="str">
        <f ca="1">IFERROR(__xludf.DUMMYFUNCTION("IFERROR(VLOOKUP(E814&amp;F814,IMPORTRANGE(""https://docs.google.com/spreadsheets/d/1Uw7-A9f9R21vMXxHZFNpYNeKFtG8_yji4HS352LGlSQ/edit?pli=1#gid=0"",""1_ACUM!A4:S""),11,FALSE))"),"")</f>
        <v/>
      </c>
      <c r="AW797" s="42" t="str">
        <f ca="1">IFERROR(__xludf.DUMMYFUNCTION("IFERROR(VLOOKUP(F814,IMPORTRANGE(""https://docs.google.com/spreadsheets/d/1Kvs4KS76FHFqLFIZfrDMff4kP08nblUkihrxltoGBjg/edit#gid=934712705"",""ESENCIAL!A6:BG""),15,FALSE))"),"")</f>
        <v/>
      </c>
      <c r="AX797" s="21" t="str">
        <f ca="1">IFERROR(__xludf.DUMMYFUNCTION("IFERROR(VLOOKUP(E814&amp;F814,IMPORTRANGE(""https://docs.google.com/spreadsheets/d/1Uw7-A9f9R21vMXxHZFNpYNeKFtG8_yji4HS352LGlSQ/edit?pli=1#gid=0"",""1_ACUM!A4:S""),12,FALSE))"),"")</f>
        <v/>
      </c>
      <c r="AY797" s="43" t="str">
        <f ca="1">IFERROR(__xludf.DUMMYFUNCTION("IFERROR(VLOOKUP(E814&amp;F814,IMPORTRANGE(""https://docs.google.com/spreadsheets/d/1Uw7-A9f9R21vMXxHZFNpYNeKFtG8_yji4HS352LGlSQ/edit?pli=1#gid=0"",""1_ACUM!A4:S""),13,FALSE))"),"")</f>
        <v/>
      </c>
      <c r="AZ797" s="43" t="str">
        <f ca="1">IFERROR(__xludf.DUMMYFUNCTION("IFERROR(VLOOKUP(E814&amp;F814,IMPORTRANGE(""https://docs.google.com/spreadsheets/d/1Uw7-A9f9R21vMXxHZFNpYNeKFtG8_yji4HS352LGlSQ/edit?pli=1#gid=0"",""1_ACUM!A4:S""),14,FALSE))"),"")</f>
        <v/>
      </c>
      <c r="BA797" s="43" t="str">
        <f ca="1">IFERROR(__xludf.DUMMYFUNCTION("IFERROR(VLOOKUP(E814&amp;F814,IMPORTRANGE(""https://docs.google.com/spreadsheets/d/1Uw7-A9f9R21vMXxHZFNpYNeKFtG8_yji4HS352LGlSQ/edit?pli=1#gid=0"",""1_ACUM!A4:S""),15,FALSE))"),"")</f>
        <v/>
      </c>
      <c r="BB797" s="43" t="str">
        <f ca="1">IFERROR(__xludf.DUMMYFUNCTION("IFERROR(VLOOKUP(E814&amp;F814,IMPORTRANGE(""https://docs.google.com/spreadsheets/d/1Uw7-A9f9R21vMXxHZFNpYNeKFtG8_yji4HS352LGlSQ/edit?pli=1#gid=0"",""1_ACUM!A4:S""),16,FALSE))"),"")</f>
        <v/>
      </c>
      <c r="BC797" s="43" t="str">
        <f ca="1">IFERROR(__xludf.DUMMYFUNCTION("IFERROR(VLOOKUP(E814&amp;F814,IMPORTRANGE(""https://docs.google.com/spreadsheets/d/1Uw7-A9f9R21vMXxHZFNpYNeKFtG8_yji4HS352LGlSQ/edit?pli=1#gid=0"",""1_ACUM!A4:S""),17,FALSE))"),"")</f>
        <v/>
      </c>
      <c r="BD797" s="44" t="str">
        <f ca="1">IFERROR(__xludf.DUMMYFUNCTION("IFERROR(VLOOKUP(E814&amp;F814,IMPORTRANGE(""https://docs.google.com/spreadsheets/d/1Uw7-A9f9R21vMXxHZFNpYNeKFtG8_yji4HS352LGlSQ/edit?pli=1#gid=0"",""1_ACUM!A4:S""),18,FALSE))"),"")</f>
        <v/>
      </c>
      <c r="BE797" s="44" t="str">
        <f ca="1">IFERROR(__xludf.DUMMYFUNCTION("IFERROR(VLOOKUP(E814&amp;F814,IMPORTRANGE(""https://docs.google.com/spreadsheets/d/1Uw7-A9f9R21vMXxHZFNpYNeKFtG8_yji4HS352LGlSQ/edit?pli=1#gid=0"",""1_ACUM!A4:S""),19,FALSE))"),"")</f>
        <v/>
      </c>
      <c r="BF797" s="44" t="str">
        <f ca="1">IFERROR(__xludf.DUMMYFUNCTION("IFERROR(VLOOKUP(F814,IMPORTRANGE(""https://docs.google.com/spreadsheets/d/1Kvs4KS76FHFqLFIZfrDMff4kP08nblUkihrxltoGBjg/edit#gid=934712705"",""ESENCIAL!A6:BG""),5,FALSE))"),"")</f>
        <v/>
      </c>
      <c r="BG797" s="44" t="str">
        <f t="shared" si="45"/>
        <v/>
      </c>
      <c r="BH797" s="41" t="str">
        <f t="shared" si="46"/>
        <v/>
      </c>
      <c r="BI797" s="41" t="str">
        <f ca="1">IFERROR(__xludf.DUMMYFUNCTION("IFERROR(VLOOKUP(F814,IMPORTRANGE(""https://docs.google.com/spreadsheets/d/1Kvs4KS76FHFqLFIZfrDMff4kP08nblUkihrxltoGBjg/edit#gid=934712705"",""ESENCIAL!A6:BG""),18,FALSE))"),"")</f>
        <v/>
      </c>
      <c r="BJ797" s="19" t="str">
        <f t="shared" si="47"/>
        <v/>
      </c>
      <c r="BK797" s="41"/>
      <c r="BL797" s="41"/>
    </row>
    <row r="798" spans="1:64" ht="15">
      <c r="A798" s="4"/>
      <c r="B798" s="4"/>
      <c r="G798" s="5" t="str">
        <f ca="1">IFERROR(__xludf.DUMMYFUNCTION("IFERROR(VLOOKUP(F815,IMPORTRANGE(""https://docs.google.com/spreadsheets/d/1Kvs4KS76FHFqLFIZfrDMff4kP08nblUkihrxltoGBjg/edit#gid=934712705"",""ESENCIAL!A6:BG""),3,FALSE))"),"")</f>
        <v/>
      </c>
      <c r="H798" s="5" t="str">
        <f ca="1">IFERROR(__xludf.DUMMYFUNCTION("IFERROR(VLOOKUP(F815,IMPORTRANGE(""https://docs.google.com/spreadsheets/d/1Kvs4KS76FHFqLFIZfrDMff4kP08nblUkihrxltoGBjg/edit#gid=934712705"",""ESENCIAL!A6:BG""),8,FALSE))"),"")</f>
        <v/>
      </c>
      <c r="L798" s="287"/>
      <c r="S798"/>
      <c r="AU798" s="41" t="str">
        <f t="shared" si="44"/>
        <v/>
      </c>
      <c r="AV798" s="5" t="str">
        <f ca="1">IFERROR(__xludf.DUMMYFUNCTION("IFERROR(VLOOKUP(E815&amp;F815,IMPORTRANGE(""https://docs.google.com/spreadsheets/d/1Uw7-A9f9R21vMXxHZFNpYNeKFtG8_yji4HS352LGlSQ/edit?pli=1#gid=0"",""1_ACUM!A4:S""),11,FALSE))"),"")</f>
        <v/>
      </c>
      <c r="AW798" s="42" t="str">
        <f ca="1">IFERROR(__xludf.DUMMYFUNCTION("IFERROR(VLOOKUP(F815,IMPORTRANGE(""https://docs.google.com/spreadsheets/d/1Kvs4KS76FHFqLFIZfrDMff4kP08nblUkihrxltoGBjg/edit#gid=934712705"",""ESENCIAL!A6:BG""),15,FALSE))"),"")</f>
        <v/>
      </c>
      <c r="AX798" s="21" t="str">
        <f ca="1">IFERROR(__xludf.DUMMYFUNCTION("IFERROR(VLOOKUP(E815&amp;F815,IMPORTRANGE(""https://docs.google.com/spreadsheets/d/1Uw7-A9f9R21vMXxHZFNpYNeKFtG8_yji4HS352LGlSQ/edit?pli=1#gid=0"",""1_ACUM!A4:S""),12,FALSE))"),"")</f>
        <v/>
      </c>
      <c r="AY798" s="43" t="str">
        <f ca="1">IFERROR(__xludf.DUMMYFUNCTION("IFERROR(VLOOKUP(E815&amp;F815,IMPORTRANGE(""https://docs.google.com/spreadsheets/d/1Uw7-A9f9R21vMXxHZFNpYNeKFtG8_yji4HS352LGlSQ/edit?pli=1#gid=0"",""1_ACUM!A4:S""),13,FALSE))"),"")</f>
        <v/>
      </c>
      <c r="AZ798" s="43" t="str">
        <f ca="1">IFERROR(__xludf.DUMMYFUNCTION("IFERROR(VLOOKUP(E815&amp;F815,IMPORTRANGE(""https://docs.google.com/spreadsheets/d/1Uw7-A9f9R21vMXxHZFNpYNeKFtG8_yji4HS352LGlSQ/edit?pli=1#gid=0"",""1_ACUM!A4:S""),14,FALSE))"),"")</f>
        <v/>
      </c>
      <c r="BA798" s="43" t="str">
        <f ca="1">IFERROR(__xludf.DUMMYFUNCTION("IFERROR(VLOOKUP(E815&amp;F815,IMPORTRANGE(""https://docs.google.com/spreadsheets/d/1Uw7-A9f9R21vMXxHZFNpYNeKFtG8_yji4HS352LGlSQ/edit?pli=1#gid=0"",""1_ACUM!A4:S""),15,FALSE))"),"")</f>
        <v/>
      </c>
      <c r="BB798" s="43" t="str">
        <f ca="1">IFERROR(__xludf.DUMMYFUNCTION("IFERROR(VLOOKUP(E815&amp;F815,IMPORTRANGE(""https://docs.google.com/spreadsheets/d/1Uw7-A9f9R21vMXxHZFNpYNeKFtG8_yji4HS352LGlSQ/edit?pli=1#gid=0"",""1_ACUM!A4:S""),16,FALSE))"),"")</f>
        <v/>
      </c>
      <c r="BC798" s="43" t="str">
        <f ca="1">IFERROR(__xludf.DUMMYFUNCTION("IFERROR(VLOOKUP(E815&amp;F815,IMPORTRANGE(""https://docs.google.com/spreadsheets/d/1Uw7-A9f9R21vMXxHZFNpYNeKFtG8_yji4HS352LGlSQ/edit?pli=1#gid=0"",""1_ACUM!A4:S""),17,FALSE))"),"")</f>
        <v/>
      </c>
      <c r="BD798" s="44" t="str">
        <f ca="1">IFERROR(__xludf.DUMMYFUNCTION("IFERROR(VLOOKUP(E815&amp;F815,IMPORTRANGE(""https://docs.google.com/spreadsheets/d/1Uw7-A9f9R21vMXxHZFNpYNeKFtG8_yji4HS352LGlSQ/edit?pli=1#gid=0"",""1_ACUM!A4:S""),18,FALSE))"),"")</f>
        <v/>
      </c>
      <c r="BE798" s="44" t="str">
        <f ca="1">IFERROR(__xludf.DUMMYFUNCTION("IFERROR(VLOOKUP(E815&amp;F815,IMPORTRANGE(""https://docs.google.com/spreadsheets/d/1Uw7-A9f9R21vMXxHZFNpYNeKFtG8_yji4HS352LGlSQ/edit?pli=1#gid=0"",""1_ACUM!A4:S""),19,FALSE))"),"")</f>
        <v/>
      </c>
      <c r="BF798" s="44" t="str">
        <f ca="1">IFERROR(__xludf.DUMMYFUNCTION("IFERROR(VLOOKUP(F815,IMPORTRANGE(""https://docs.google.com/spreadsheets/d/1Kvs4KS76FHFqLFIZfrDMff4kP08nblUkihrxltoGBjg/edit#gid=934712705"",""ESENCIAL!A6:BG""),5,FALSE))"),"")</f>
        <v/>
      </c>
      <c r="BG798" s="44" t="str">
        <f t="shared" si="45"/>
        <v/>
      </c>
      <c r="BH798" s="41" t="str">
        <f t="shared" si="46"/>
        <v/>
      </c>
      <c r="BI798" s="41" t="str">
        <f ca="1">IFERROR(__xludf.DUMMYFUNCTION("IFERROR(VLOOKUP(F815,IMPORTRANGE(""https://docs.google.com/spreadsheets/d/1Kvs4KS76FHFqLFIZfrDMff4kP08nblUkihrxltoGBjg/edit#gid=934712705"",""ESENCIAL!A6:BG""),18,FALSE))"),"")</f>
        <v/>
      </c>
      <c r="BJ798" s="19" t="str">
        <f t="shared" si="47"/>
        <v/>
      </c>
      <c r="BK798" s="41"/>
      <c r="BL798" s="41"/>
    </row>
    <row r="799" spans="1:64" ht="15">
      <c r="A799" s="4"/>
      <c r="B799" s="4"/>
      <c r="G799" s="5" t="str">
        <f ca="1">IFERROR(__xludf.DUMMYFUNCTION("IFERROR(VLOOKUP(F816,IMPORTRANGE(""https://docs.google.com/spreadsheets/d/1Kvs4KS76FHFqLFIZfrDMff4kP08nblUkihrxltoGBjg/edit#gid=934712705"",""ESENCIAL!A6:BG""),3,FALSE))"),"")</f>
        <v/>
      </c>
      <c r="H799" s="5" t="str">
        <f ca="1">IFERROR(__xludf.DUMMYFUNCTION("IFERROR(VLOOKUP(F816,IMPORTRANGE(""https://docs.google.com/spreadsheets/d/1Kvs4KS76FHFqLFIZfrDMff4kP08nblUkihrxltoGBjg/edit#gid=934712705"",""ESENCIAL!A6:BG""),8,FALSE))"),"")</f>
        <v/>
      </c>
      <c r="L799" s="287"/>
      <c r="S799"/>
      <c r="AU799" s="41" t="str">
        <f t="shared" si="44"/>
        <v/>
      </c>
      <c r="AV799" s="5" t="str">
        <f ca="1">IFERROR(__xludf.DUMMYFUNCTION("IFERROR(VLOOKUP(E816&amp;F816,IMPORTRANGE(""https://docs.google.com/spreadsheets/d/1Uw7-A9f9R21vMXxHZFNpYNeKFtG8_yji4HS352LGlSQ/edit?pli=1#gid=0"",""1_ACUM!A4:S""),11,FALSE))"),"")</f>
        <v/>
      </c>
      <c r="AW799" s="42" t="str">
        <f ca="1">IFERROR(__xludf.DUMMYFUNCTION("IFERROR(VLOOKUP(F816,IMPORTRANGE(""https://docs.google.com/spreadsheets/d/1Kvs4KS76FHFqLFIZfrDMff4kP08nblUkihrxltoGBjg/edit#gid=934712705"",""ESENCIAL!A6:BG""),15,FALSE))"),"")</f>
        <v/>
      </c>
      <c r="AX799" s="21" t="str">
        <f ca="1">IFERROR(__xludf.DUMMYFUNCTION("IFERROR(VLOOKUP(E816&amp;F816,IMPORTRANGE(""https://docs.google.com/spreadsheets/d/1Uw7-A9f9R21vMXxHZFNpYNeKFtG8_yji4HS352LGlSQ/edit?pli=1#gid=0"",""1_ACUM!A4:S""),12,FALSE))"),"")</f>
        <v/>
      </c>
      <c r="AY799" s="43" t="str">
        <f ca="1">IFERROR(__xludf.DUMMYFUNCTION("IFERROR(VLOOKUP(E816&amp;F816,IMPORTRANGE(""https://docs.google.com/spreadsheets/d/1Uw7-A9f9R21vMXxHZFNpYNeKFtG8_yji4HS352LGlSQ/edit?pli=1#gid=0"",""1_ACUM!A4:S""),13,FALSE))"),"")</f>
        <v/>
      </c>
      <c r="AZ799" s="43" t="str">
        <f ca="1">IFERROR(__xludf.DUMMYFUNCTION("IFERROR(VLOOKUP(E816&amp;F816,IMPORTRANGE(""https://docs.google.com/spreadsheets/d/1Uw7-A9f9R21vMXxHZFNpYNeKFtG8_yji4HS352LGlSQ/edit?pli=1#gid=0"",""1_ACUM!A4:S""),14,FALSE))"),"")</f>
        <v/>
      </c>
      <c r="BA799" s="43" t="str">
        <f ca="1">IFERROR(__xludf.DUMMYFUNCTION("IFERROR(VLOOKUP(E816&amp;F816,IMPORTRANGE(""https://docs.google.com/spreadsheets/d/1Uw7-A9f9R21vMXxHZFNpYNeKFtG8_yji4HS352LGlSQ/edit?pli=1#gid=0"",""1_ACUM!A4:S""),15,FALSE))"),"")</f>
        <v/>
      </c>
      <c r="BB799" s="43" t="str">
        <f ca="1">IFERROR(__xludf.DUMMYFUNCTION("IFERROR(VLOOKUP(E816&amp;F816,IMPORTRANGE(""https://docs.google.com/spreadsheets/d/1Uw7-A9f9R21vMXxHZFNpYNeKFtG8_yji4HS352LGlSQ/edit?pli=1#gid=0"",""1_ACUM!A4:S""),16,FALSE))"),"")</f>
        <v/>
      </c>
      <c r="BC799" s="43" t="str">
        <f ca="1">IFERROR(__xludf.DUMMYFUNCTION("IFERROR(VLOOKUP(E816&amp;F816,IMPORTRANGE(""https://docs.google.com/spreadsheets/d/1Uw7-A9f9R21vMXxHZFNpYNeKFtG8_yji4HS352LGlSQ/edit?pli=1#gid=0"",""1_ACUM!A4:S""),17,FALSE))"),"")</f>
        <v/>
      </c>
      <c r="BD799" s="44" t="str">
        <f ca="1">IFERROR(__xludf.DUMMYFUNCTION("IFERROR(VLOOKUP(E816&amp;F816,IMPORTRANGE(""https://docs.google.com/spreadsheets/d/1Uw7-A9f9R21vMXxHZFNpYNeKFtG8_yji4HS352LGlSQ/edit?pli=1#gid=0"",""1_ACUM!A4:S""),18,FALSE))"),"")</f>
        <v/>
      </c>
      <c r="BE799" s="44" t="str">
        <f ca="1">IFERROR(__xludf.DUMMYFUNCTION("IFERROR(VLOOKUP(E816&amp;F816,IMPORTRANGE(""https://docs.google.com/spreadsheets/d/1Uw7-A9f9R21vMXxHZFNpYNeKFtG8_yji4HS352LGlSQ/edit?pli=1#gid=0"",""1_ACUM!A4:S""),19,FALSE))"),"")</f>
        <v/>
      </c>
      <c r="BF799" s="44" t="str">
        <f ca="1">IFERROR(__xludf.DUMMYFUNCTION("IFERROR(VLOOKUP(F816,IMPORTRANGE(""https://docs.google.com/spreadsheets/d/1Kvs4KS76FHFqLFIZfrDMff4kP08nblUkihrxltoGBjg/edit#gid=934712705"",""ESENCIAL!A6:BG""),5,FALSE))"),"")</f>
        <v/>
      </c>
      <c r="BG799" s="44" t="str">
        <f t="shared" si="45"/>
        <v/>
      </c>
      <c r="BH799" s="41" t="str">
        <f t="shared" si="46"/>
        <v/>
      </c>
      <c r="BI799" s="41" t="str">
        <f ca="1">IFERROR(__xludf.DUMMYFUNCTION("IFERROR(VLOOKUP(F816,IMPORTRANGE(""https://docs.google.com/spreadsheets/d/1Kvs4KS76FHFqLFIZfrDMff4kP08nblUkihrxltoGBjg/edit#gid=934712705"",""ESENCIAL!A6:BG""),18,FALSE))"),"")</f>
        <v/>
      </c>
      <c r="BJ799" s="19" t="str">
        <f t="shared" si="47"/>
        <v/>
      </c>
      <c r="BK799" s="41"/>
      <c r="BL799" s="41"/>
    </row>
    <row r="800" spans="1:64" ht="15">
      <c r="A800" s="4"/>
      <c r="B800" s="4"/>
      <c r="G800" s="5" t="str">
        <f ca="1">IFERROR(__xludf.DUMMYFUNCTION("IFERROR(VLOOKUP(F817,IMPORTRANGE(""https://docs.google.com/spreadsheets/d/1Kvs4KS76FHFqLFIZfrDMff4kP08nblUkihrxltoGBjg/edit#gid=934712705"",""ESENCIAL!A6:BG""),3,FALSE))"),"")</f>
        <v/>
      </c>
      <c r="H800" s="5" t="str">
        <f ca="1">IFERROR(__xludf.DUMMYFUNCTION("IFERROR(VLOOKUP(F817,IMPORTRANGE(""https://docs.google.com/spreadsheets/d/1Kvs4KS76FHFqLFIZfrDMff4kP08nblUkihrxltoGBjg/edit#gid=934712705"",""ESENCIAL!A6:BG""),8,FALSE))"),"")</f>
        <v/>
      </c>
      <c r="L800" s="287"/>
      <c r="S800"/>
      <c r="AU800" s="41" t="str">
        <f t="shared" si="44"/>
        <v/>
      </c>
      <c r="AV800" s="5" t="str">
        <f ca="1">IFERROR(__xludf.DUMMYFUNCTION("IFERROR(VLOOKUP(E817&amp;F817,IMPORTRANGE(""https://docs.google.com/spreadsheets/d/1Uw7-A9f9R21vMXxHZFNpYNeKFtG8_yji4HS352LGlSQ/edit?pli=1#gid=0"",""1_ACUM!A4:S""),11,FALSE))"),"")</f>
        <v/>
      </c>
      <c r="AW800" s="42" t="str">
        <f ca="1">IFERROR(__xludf.DUMMYFUNCTION("IFERROR(VLOOKUP(F817,IMPORTRANGE(""https://docs.google.com/spreadsheets/d/1Kvs4KS76FHFqLFIZfrDMff4kP08nblUkihrxltoGBjg/edit#gid=934712705"",""ESENCIAL!A6:BG""),15,FALSE))"),"")</f>
        <v/>
      </c>
      <c r="AX800" s="21" t="str">
        <f ca="1">IFERROR(__xludf.DUMMYFUNCTION("IFERROR(VLOOKUP(E817&amp;F817,IMPORTRANGE(""https://docs.google.com/spreadsheets/d/1Uw7-A9f9R21vMXxHZFNpYNeKFtG8_yji4HS352LGlSQ/edit?pli=1#gid=0"",""1_ACUM!A4:S""),12,FALSE))"),"")</f>
        <v/>
      </c>
      <c r="AY800" s="43" t="str">
        <f ca="1">IFERROR(__xludf.DUMMYFUNCTION("IFERROR(VLOOKUP(E817&amp;F817,IMPORTRANGE(""https://docs.google.com/spreadsheets/d/1Uw7-A9f9R21vMXxHZFNpYNeKFtG8_yji4HS352LGlSQ/edit?pli=1#gid=0"",""1_ACUM!A4:S""),13,FALSE))"),"")</f>
        <v/>
      </c>
      <c r="AZ800" s="43" t="str">
        <f ca="1">IFERROR(__xludf.DUMMYFUNCTION("IFERROR(VLOOKUP(E817&amp;F817,IMPORTRANGE(""https://docs.google.com/spreadsheets/d/1Uw7-A9f9R21vMXxHZFNpYNeKFtG8_yji4HS352LGlSQ/edit?pli=1#gid=0"",""1_ACUM!A4:S""),14,FALSE))"),"")</f>
        <v/>
      </c>
      <c r="BA800" s="43" t="str">
        <f ca="1">IFERROR(__xludf.DUMMYFUNCTION("IFERROR(VLOOKUP(E817&amp;F817,IMPORTRANGE(""https://docs.google.com/spreadsheets/d/1Uw7-A9f9R21vMXxHZFNpYNeKFtG8_yji4HS352LGlSQ/edit?pli=1#gid=0"",""1_ACUM!A4:S""),15,FALSE))"),"")</f>
        <v/>
      </c>
      <c r="BB800" s="43" t="str">
        <f ca="1">IFERROR(__xludf.DUMMYFUNCTION("IFERROR(VLOOKUP(E817&amp;F817,IMPORTRANGE(""https://docs.google.com/spreadsheets/d/1Uw7-A9f9R21vMXxHZFNpYNeKFtG8_yji4HS352LGlSQ/edit?pli=1#gid=0"",""1_ACUM!A4:S""),16,FALSE))"),"")</f>
        <v/>
      </c>
      <c r="BC800" s="43" t="str">
        <f ca="1">IFERROR(__xludf.DUMMYFUNCTION("IFERROR(VLOOKUP(E817&amp;F817,IMPORTRANGE(""https://docs.google.com/spreadsheets/d/1Uw7-A9f9R21vMXxHZFNpYNeKFtG8_yji4HS352LGlSQ/edit?pli=1#gid=0"",""1_ACUM!A4:S""),17,FALSE))"),"")</f>
        <v/>
      </c>
      <c r="BD800" s="44" t="str">
        <f ca="1">IFERROR(__xludf.DUMMYFUNCTION("IFERROR(VLOOKUP(E817&amp;F817,IMPORTRANGE(""https://docs.google.com/spreadsheets/d/1Uw7-A9f9R21vMXxHZFNpYNeKFtG8_yji4HS352LGlSQ/edit?pli=1#gid=0"",""1_ACUM!A4:S""),18,FALSE))"),"")</f>
        <v/>
      </c>
      <c r="BE800" s="44" t="str">
        <f ca="1">IFERROR(__xludf.DUMMYFUNCTION("IFERROR(VLOOKUP(E817&amp;F817,IMPORTRANGE(""https://docs.google.com/spreadsheets/d/1Uw7-A9f9R21vMXxHZFNpYNeKFtG8_yji4HS352LGlSQ/edit?pli=1#gid=0"",""1_ACUM!A4:S""),19,FALSE))"),"")</f>
        <v/>
      </c>
      <c r="BF800" s="44" t="str">
        <f ca="1">IFERROR(__xludf.DUMMYFUNCTION("IFERROR(VLOOKUP(F817,IMPORTRANGE(""https://docs.google.com/spreadsheets/d/1Kvs4KS76FHFqLFIZfrDMff4kP08nblUkihrxltoGBjg/edit#gid=934712705"",""ESENCIAL!A6:BG""),5,FALSE))"),"")</f>
        <v/>
      </c>
      <c r="BG800" s="44" t="str">
        <f t="shared" si="45"/>
        <v/>
      </c>
      <c r="BH800" s="41" t="str">
        <f t="shared" si="46"/>
        <v/>
      </c>
      <c r="BI800" s="41" t="str">
        <f ca="1">IFERROR(__xludf.DUMMYFUNCTION("IFERROR(VLOOKUP(F817,IMPORTRANGE(""https://docs.google.com/spreadsheets/d/1Kvs4KS76FHFqLFIZfrDMff4kP08nblUkihrxltoGBjg/edit#gid=934712705"",""ESENCIAL!A6:BG""),18,FALSE))"),"")</f>
        <v/>
      </c>
      <c r="BJ800" s="19" t="str">
        <f t="shared" si="47"/>
        <v/>
      </c>
      <c r="BK800" s="41"/>
      <c r="BL800" s="41"/>
    </row>
    <row r="801" spans="1:64" ht="15">
      <c r="A801" s="4"/>
      <c r="B801" s="4"/>
      <c r="G801" s="5" t="str">
        <f ca="1">IFERROR(__xludf.DUMMYFUNCTION("IFERROR(VLOOKUP(F818,IMPORTRANGE(""https://docs.google.com/spreadsheets/d/1Kvs4KS76FHFqLFIZfrDMff4kP08nblUkihrxltoGBjg/edit#gid=934712705"",""ESENCIAL!A6:BG""),3,FALSE))"),"")</f>
        <v/>
      </c>
      <c r="H801" s="5" t="str">
        <f ca="1">IFERROR(__xludf.DUMMYFUNCTION("IFERROR(VLOOKUP(F818,IMPORTRANGE(""https://docs.google.com/spreadsheets/d/1Kvs4KS76FHFqLFIZfrDMff4kP08nblUkihrxltoGBjg/edit#gid=934712705"",""ESENCIAL!A6:BG""),8,FALSE))"),"")</f>
        <v/>
      </c>
      <c r="L801" s="287"/>
      <c r="S801"/>
      <c r="AU801" s="41" t="str">
        <f t="shared" si="44"/>
        <v/>
      </c>
      <c r="AV801" s="5" t="str">
        <f ca="1">IFERROR(__xludf.DUMMYFUNCTION("IFERROR(VLOOKUP(E818&amp;F818,IMPORTRANGE(""https://docs.google.com/spreadsheets/d/1Uw7-A9f9R21vMXxHZFNpYNeKFtG8_yji4HS352LGlSQ/edit?pli=1#gid=0"",""1_ACUM!A4:S""),11,FALSE))"),"")</f>
        <v/>
      </c>
      <c r="AW801" s="42" t="str">
        <f ca="1">IFERROR(__xludf.DUMMYFUNCTION("IFERROR(VLOOKUP(F818,IMPORTRANGE(""https://docs.google.com/spreadsheets/d/1Kvs4KS76FHFqLFIZfrDMff4kP08nblUkihrxltoGBjg/edit#gid=934712705"",""ESENCIAL!A6:BG""),15,FALSE))"),"")</f>
        <v/>
      </c>
      <c r="AX801" s="21" t="str">
        <f ca="1">IFERROR(__xludf.DUMMYFUNCTION("IFERROR(VLOOKUP(E818&amp;F818,IMPORTRANGE(""https://docs.google.com/spreadsheets/d/1Uw7-A9f9R21vMXxHZFNpYNeKFtG8_yji4HS352LGlSQ/edit?pli=1#gid=0"",""1_ACUM!A4:S""),12,FALSE))"),"")</f>
        <v/>
      </c>
      <c r="AY801" s="43" t="str">
        <f ca="1">IFERROR(__xludf.DUMMYFUNCTION("IFERROR(VLOOKUP(E818&amp;F818,IMPORTRANGE(""https://docs.google.com/spreadsheets/d/1Uw7-A9f9R21vMXxHZFNpYNeKFtG8_yji4HS352LGlSQ/edit?pli=1#gid=0"",""1_ACUM!A4:S""),13,FALSE))"),"")</f>
        <v/>
      </c>
      <c r="AZ801" s="43" t="str">
        <f ca="1">IFERROR(__xludf.DUMMYFUNCTION("IFERROR(VLOOKUP(E818&amp;F818,IMPORTRANGE(""https://docs.google.com/spreadsheets/d/1Uw7-A9f9R21vMXxHZFNpYNeKFtG8_yji4HS352LGlSQ/edit?pli=1#gid=0"",""1_ACUM!A4:S""),14,FALSE))"),"")</f>
        <v/>
      </c>
      <c r="BA801" s="43" t="str">
        <f ca="1">IFERROR(__xludf.DUMMYFUNCTION("IFERROR(VLOOKUP(E818&amp;F818,IMPORTRANGE(""https://docs.google.com/spreadsheets/d/1Uw7-A9f9R21vMXxHZFNpYNeKFtG8_yji4HS352LGlSQ/edit?pli=1#gid=0"",""1_ACUM!A4:S""),15,FALSE))"),"")</f>
        <v/>
      </c>
      <c r="BB801" s="43" t="str">
        <f ca="1">IFERROR(__xludf.DUMMYFUNCTION("IFERROR(VLOOKUP(E818&amp;F818,IMPORTRANGE(""https://docs.google.com/spreadsheets/d/1Uw7-A9f9R21vMXxHZFNpYNeKFtG8_yji4HS352LGlSQ/edit?pli=1#gid=0"",""1_ACUM!A4:S""),16,FALSE))"),"")</f>
        <v/>
      </c>
      <c r="BC801" s="43" t="str">
        <f ca="1">IFERROR(__xludf.DUMMYFUNCTION("IFERROR(VLOOKUP(E818&amp;F818,IMPORTRANGE(""https://docs.google.com/spreadsheets/d/1Uw7-A9f9R21vMXxHZFNpYNeKFtG8_yji4HS352LGlSQ/edit?pli=1#gid=0"",""1_ACUM!A4:S""),17,FALSE))"),"")</f>
        <v/>
      </c>
      <c r="BD801" s="44" t="str">
        <f ca="1">IFERROR(__xludf.DUMMYFUNCTION("IFERROR(VLOOKUP(E818&amp;F818,IMPORTRANGE(""https://docs.google.com/spreadsheets/d/1Uw7-A9f9R21vMXxHZFNpYNeKFtG8_yji4HS352LGlSQ/edit?pli=1#gid=0"",""1_ACUM!A4:S""),18,FALSE))"),"")</f>
        <v/>
      </c>
      <c r="BE801" s="44" t="str">
        <f ca="1">IFERROR(__xludf.DUMMYFUNCTION("IFERROR(VLOOKUP(E818&amp;F818,IMPORTRANGE(""https://docs.google.com/spreadsheets/d/1Uw7-A9f9R21vMXxHZFNpYNeKFtG8_yji4HS352LGlSQ/edit?pli=1#gid=0"",""1_ACUM!A4:S""),19,FALSE))"),"")</f>
        <v/>
      </c>
      <c r="BF801" s="44" t="str">
        <f ca="1">IFERROR(__xludf.DUMMYFUNCTION("IFERROR(VLOOKUP(F818,IMPORTRANGE(""https://docs.google.com/spreadsheets/d/1Kvs4KS76FHFqLFIZfrDMff4kP08nblUkihrxltoGBjg/edit#gid=934712705"",""ESENCIAL!A6:BG""),5,FALSE))"),"")</f>
        <v/>
      </c>
      <c r="BG801" s="44" t="str">
        <f t="shared" si="45"/>
        <v/>
      </c>
      <c r="BH801" s="41" t="str">
        <f t="shared" si="46"/>
        <v/>
      </c>
      <c r="BI801" s="41" t="str">
        <f ca="1">IFERROR(__xludf.DUMMYFUNCTION("IFERROR(VLOOKUP(F818,IMPORTRANGE(""https://docs.google.com/spreadsheets/d/1Kvs4KS76FHFqLFIZfrDMff4kP08nblUkihrxltoGBjg/edit#gid=934712705"",""ESENCIAL!A6:BG""),18,FALSE))"),"")</f>
        <v/>
      </c>
      <c r="BJ801" s="19" t="str">
        <f t="shared" si="47"/>
        <v/>
      </c>
      <c r="BK801" s="41"/>
      <c r="BL801" s="41"/>
    </row>
    <row r="802" spans="1:64" ht="15">
      <c r="A802" s="4"/>
      <c r="B802" s="4"/>
      <c r="G802" s="5" t="str">
        <f ca="1">IFERROR(__xludf.DUMMYFUNCTION("IFERROR(VLOOKUP(F819,IMPORTRANGE(""https://docs.google.com/spreadsheets/d/1Kvs4KS76FHFqLFIZfrDMff4kP08nblUkihrxltoGBjg/edit#gid=934712705"",""ESENCIAL!A6:BG""),3,FALSE))"),"")</f>
        <v/>
      </c>
      <c r="H802" s="5" t="str">
        <f ca="1">IFERROR(__xludf.DUMMYFUNCTION("IFERROR(VLOOKUP(F819,IMPORTRANGE(""https://docs.google.com/spreadsheets/d/1Kvs4KS76FHFqLFIZfrDMff4kP08nblUkihrxltoGBjg/edit#gid=934712705"",""ESENCIAL!A6:BG""),8,FALSE))"),"")</f>
        <v/>
      </c>
      <c r="L802" s="287"/>
      <c r="S802"/>
      <c r="AU802" s="41" t="str">
        <f t="shared" si="44"/>
        <v/>
      </c>
      <c r="AV802" s="5" t="str">
        <f ca="1">IFERROR(__xludf.DUMMYFUNCTION("IFERROR(VLOOKUP(E819&amp;F819,IMPORTRANGE(""https://docs.google.com/spreadsheets/d/1Uw7-A9f9R21vMXxHZFNpYNeKFtG8_yji4HS352LGlSQ/edit?pli=1#gid=0"",""1_ACUM!A4:S""),11,FALSE))"),"")</f>
        <v/>
      </c>
      <c r="AW802" s="42" t="str">
        <f ca="1">IFERROR(__xludf.DUMMYFUNCTION("IFERROR(VLOOKUP(F819,IMPORTRANGE(""https://docs.google.com/spreadsheets/d/1Kvs4KS76FHFqLFIZfrDMff4kP08nblUkihrxltoGBjg/edit#gid=934712705"",""ESENCIAL!A6:BG""),15,FALSE))"),"")</f>
        <v/>
      </c>
      <c r="AX802" s="21" t="str">
        <f ca="1">IFERROR(__xludf.DUMMYFUNCTION("IFERROR(VLOOKUP(E819&amp;F819,IMPORTRANGE(""https://docs.google.com/spreadsheets/d/1Uw7-A9f9R21vMXxHZFNpYNeKFtG8_yji4HS352LGlSQ/edit?pli=1#gid=0"",""1_ACUM!A4:S""),12,FALSE))"),"")</f>
        <v/>
      </c>
      <c r="AY802" s="43" t="str">
        <f ca="1">IFERROR(__xludf.DUMMYFUNCTION("IFERROR(VLOOKUP(E819&amp;F819,IMPORTRANGE(""https://docs.google.com/spreadsheets/d/1Uw7-A9f9R21vMXxHZFNpYNeKFtG8_yji4HS352LGlSQ/edit?pli=1#gid=0"",""1_ACUM!A4:S""),13,FALSE))"),"")</f>
        <v/>
      </c>
      <c r="AZ802" s="43" t="str">
        <f ca="1">IFERROR(__xludf.DUMMYFUNCTION("IFERROR(VLOOKUP(E819&amp;F819,IMPORTRANGE(""https://docs.google.com/spreadsheets/d/1Uw7-A9f9R21vMXxHZFNpYNeKFtG8_yji4HS352LGlSQ/edit?pli=1#gid=0"",""1_ACUM!A4:S""),14,FALSE))"),"")</f>
        <v/>
      </c>
      <c r="BA802" s="43" t="str">
        <f ca="1">IFERROR(__xludf.DUMMYFUNCTION("IFERROR(VLOOKUP(E819&amp;F819,IMPORTRANGE(""https://docs.google.com/spreadsheets/d/1Uw7-A9f9R21vMXxHZFNpYNeKFtG8_yji4HS352LGlSQ/edit?pli=1#gid=0"",""1_ACUM!A4:S""),15,FALSE))"),"")</f>
        <v/>
      </c>
      <c r="BB802" s="43" t="str">
        <f ca="1">IFERROR(__xludf.DUMMYFUNCTION("IFERROR(VLOOKUP(E819&amp;F819,IMPORTRANGE(""https://docs.google.com/spreadsheets/d/1Uw7-A9f9R21vMXxHZFNpYNeKFtG8_yji4HS352LGlSQ/edit?pli=1#gid=0"",""1_ACUM!A4:S""),16,FALSE))"),"")</f>
        <v/>
      </c>
      <c r="BC802" s="43" t="str">
        <f ca="1">IFERROR(__xludf.DUMMYFUNCTION("IFERROR(VLOOKUP(E819&amp;F819,IMPORTRANGE(""https://docs.google.com/spreadsheets/d/1Uw7-A9f9R21vMXxHZFNpYNeKFtG8_yji4HS352LGlSQ/edit?pli=1#gid=0"",""1_ACUM!A4:S""),17,FALSE))"),"")</f>
        <v/>
      </c>
      <c r="BD802" s="44" t="str">
        <f ca="1">IFERROR(__xludf.DUMMYFUNCTION("IFERROR(VLOOKUP(E819&amp;F819,IMPORTRANGE(""https://docs.google.com/spreadsheets/d/1Uw7-A9f9R21vMXxHZFNpYNeKFtG8_yji4HS352LGlSQ/edit?pli=1#gid=0"",""1_ACUM!A4:S""),18,FALSE))"),"")</f>
        <v/>
      </c>
      <c r="BE802" s="44" t="str">
        <f ca="1">IFERROR(__xludf.DUMMYFUNCTION("IFERROR(VLOOKUP(E819&amp;F819,IMPORTRANGE(""https://docs.google.com/spreadsheets/d/1Uw7-A9f9R21vMXxHZFNpYNeKFtG8_yji4HS352LGlSQ/edit?pli=1#gid=0"",""1_ACUM!A4:S""),19,FALSE))"),"")</f>
        <v/>
      </c>
      <c r="BF802" s="44" t="str">
        <f ca="1">IFERROR(__xludf.DUMMYFUNCTION("IFERROR(VLOOKUP(F819,IMPORTRANGE(""https://docs.google.com/spreadsheets/d/1Kvs4KS76FHFqLFIZfrDMff4kP08nblUkihrxltoGBjg/edit#gid=934712705"",""ESENCIAL!A6:BG""),5,FALSE))"),"")</f>
        <v/>
      </c>
      <c r="BG802" s="44" t="str">
        <f t="shared" si="45"/>
        <v/>
      </c>
      <c r="BH802" s="41" t="str">
        <f t="shared" si="46"/>
        <v/>
      </c>
      <c r="BI802" s="41" t="str">
        <f ca="1">IFERROR(__xludf.DUMMYFUNCTION("IFERROR(VLOOKUP(F819,IMPORTRANGE(""https://docs.google.com/spreadsheets/d/1Kvs4KS76FHFqLFIZfrDMff4kP08nblUkihrxltoGBjg/edit#gid=934712705"",""ESENCIAL!A6:BG""),18,FALSE))"),"")</f>
        <v/>
      </c>
      <c r="BJ802" s="19" t="str">
        <f t="shared" si="47"/>
        <v/>
      </c>
      <c r="BK802" s="41"/>
      <c r="BL802" s="41"/>
    </row>
    <row r="803" spans="1:64" ht="15">
      <c r="A803" s="4"/>
      <c r="B803" s="4"/>
      <c r="G803" s="5" t="str">
        <f ca="1">IFERROR(__xludf.DUMMYFUNCTION("IFERROR(VLOOKUP(F820,IMPORTRANGE(""https://docs.google.com/spreadsheets/d/1Kvs4KS76FHFqLFIZfrDMff4kP08nblUkihrxltoGBjg/edit#gid=934712705"",""ESENCIAL!A6:BG""),3,FALSE))"),"")</f>
        <v/>
      </c>
      <c r="H803" s="5" t="str">
        <f ca="1">IFERROR(__xludf.DUMMYFUNCTION("IFERROR(VLOOKUP(F820,IMPORTRANGE(""https://docs.google.com/spreadsheets/d/1Kvs4KS76FHFqLFIZfrDMff4kP08nblUkihrxltoGBjg/edit#gid=934712705"",""ESENCIAL!A6:BG""),8,FALSE))"),"")</f>
        <v/>
      </c>
      <c r="L803" s="287"/>
      <c r="S803"/>
      <c r="AU803" s="41" t="str">
        <f t="shared" si="44"/>
        <v/>
      </c>
      <c r="AV803" s="5" t="str">
        <f ca="1">IFERROR(__xludf.DUMMYFUNCTION("IFERROR(VLOOKUP(E820&amp;F820,IMPORTRANGE(""https://docs.google.com/spreadsheets/d/1Uw7-A9f9R21vMXxHZFNpYNeKFtG8_yji4HS352LGlSQ/edit?pli=1#gid=0"",""1_ACUM!A4:S""),11,FALSE))"),"")</f>
        <v/>
      </c>
      <c r="AW803" s="42" t="str">
        <f ca="1">IFERROR(__xludf.DUMMYFUNCTION("IFERROR(VLOOKUP(F820,IMPORTRANGE(""https://docs.google.com/spreadsheets/d/1Kvs4KS76FHFqLFIZfrDMff4kP08nblUkihrxltoGBjg/edit#gid=934712705"",""ESENCIAL!A6:BG""),15,FALSE))"),"")</f>
        <v/>
      </c>
      <c r="AX803" s="21" t="str">
        <f ca="1">IFERROR(__xludf.DUMMYFUNCTION("IFERROR(VLOOKUP(E820&amp;F820,IMPORTRANGE(""https://docs.google.com/spreadsheets/d/1Uw7-A9f9R21vMXxHZFNpYNeKFtG8_yji4HS352LGlSQ/edit?pli=1#gid=0"",""1_ACUM!A4:S""),12,FALSE))"),"")</f>
        <v/>
      </c>
      <c r="AY803" s="43" t="str">
        <f ca="1">IFERROR(__xludf.DUMMYFUNCTION("IFERROR(VLOOKUP(E820&amp;F820,IMPORTRANGE(""https://docs.google.com/spreadsheets/d/1Uw7-A9f9R21vMXxHZFNpYNeKFtG8_yji4HS352LGlSQ/edit?pli=1#gid=0"",""1_ACUM!A4:S""),13,FALSE))"),"")</f>
        <v/>
      </c>
      <c r="AZ803" s="43" t="str">
        <f ca="1">IFERROR(__xludf.DUMMYFUNCTION("IFERROR(VLOOKUP(E820&amp;F820,IMPORTRANGE(""https://docs.google.com/spreadsheets/d/1Uw7-A9f9R21vMXxHZFNpYNeKFtG8_yji4HS352LGlSQ/edit?pli=1#gid=0"",""1_ACUM!A4:S""),14,FALSE))"),"")</f>
        <v/>
      </c>
      <c r="BA803" s="43" t="str">
        <f ca="1">IFERROR(__xludf.DUMMYFUNCTION("IFERROR(VLOOKUP(E820&amp;F820,IMPORTRANGE(""https://docs.google.com/spreadsheets/d/1Uw7-A9f9R21vMXxHZFNpYNeKFtG8_yji4HS352LGlSQ/edit?pli=1#gid=0"",""1_ACUM!A4:S""),15,FALSE))"),"")</f>
        <v/>
      </c>
      <c r="BB803" s="43" t="str">
        <f ca="1">IFERROR(__xludf.DUMMYFUNCTION("IFERROR(VLOOKUP(E820&amp;F820,IMPORTRANGE(""https://docs.google.com/spreadsheets/d/1Uw7-A9f9R21vMXxHZFNpYNeKFtG8_yji4HS352LGlSQ/edit?pli=1#gid=0"",""1_ACUM!A4:S""),16,FALSE))"),"")</f>
        <v/>
      </c>
      <c r="BC803" s="43" t="str">
        <f ca="1">IFERROR(__xludf.DUMMYFUNCTION("IFERROR(VLOOKUP(E820&amp;F820,IMPORTRANGE(""https://docs.google.com/spreadsheets/d/1Uw7-A9f9R21vMXxHZFNpYNeKFtG8_yji4HS352LGlSQ/edit?pli=1#gid=0"",""1_ACUM!A4:S""),17,FALSE))"),"")</f>
        <v/>
      </c>
      <c r="BD803" s="44" t="str">
        <f ca="1">IFERROR(__xludf.DUMMYFUNCTION("IFERROR(VLOOKUP(E820&amp;F820,IMPORTRANGE(""https://docs.google.com/spreadsheets/d/1Uw7-A9f9R21vMXxHZFNpYNeKFtG8_yji4HS352LGlSQ/edit?pli=1#gid=0"",""1_ACUM!A4:S""),18,FALSE))"),"")</f>
        <v/>
      </c>
      <c r="BE803" s="44" t="str">
        <f ca="1">IFERROR(__xludf.DUMMYFUNCTION("IFERROR(VLOOKUP(E820&amp;F820,IMPORTRANGE(""https://docs.google.com/spreadsheets/d/1Uw7-A9f9R21vMXxHZFNpYNeKFtG8_yji4HS352LGlSQ/edit?pli=1#gid=0"",""1_ACUM!A4:S""),19,FALSE))"),"")</f>
        <v/>
      </c>
      <c r="BF803" s="44" t="str">
        <f ca="1">IFERROR(__xludf.DUMMYFUNCTION("IFERROR(VLOOKUP(F820,IMPORTRANGE(""https://docs.google.com/spreadsheets/d/1Kvs4KS76FHFqLFIZfrDMff4kP08nblUkihrxltoGBjg/edit#gid=934712705"",""ESENCIAL!A6:BG""),5,FALSE))"),"")</f>
        <v/>
      </c>
      <c r="BG803" s="44" t="str">
        <f t="shared" si="45"/>
        <v/>
      </c>
      <c r="BH803" s="41" t="str">
        <f t="shared" si="46"/>
        <v/>
      </c>
      <c r="BI803" s="41" t="str">
        <f ca="1">IFERROR(__xludf.DUMMYFUNCTION("IFERROR(VLOOKUP(F820,IMPORTRANGE(""https://docs.google.com/spreadsheets/d/1Kvs4KS76FHFqLFIZfrDMff4kP08nblUkihrxltoGBjg/edit#gid=934712705"",""ESENCIAL!A6:BG""),18,FALSE))"),"")</f>
        <v/>
      </c>
      <c r="BJ803" s="19" t="str">
        <f t="shared" si="47"/>
        <v/>
      </c>
      <c r="BK803" s="41"/>
      <c r="BL803" s="41"/>
    </row>
    <row r="804" spans="1:64" ht="15">
      <c r="A804" s="4"/>
      <c r="B804" s="4"/>
      <c r="G804" s="5" t="str">
        <f ca="1">IFERROR(__xludf.DUMMYFUNCTION("IFERROR(VLOOKUP(F821,IMPORTRANGE(""https://docs.google.com/spreadsheets/d/1Kvs4KS76FHFqLFIZfrDMff4kP08nblUkihrxltoGBjg/edit#gid=934712705"",""ESENCIAL!A6:BG""),3,FALSE))"),"")</f>
        <v/>
      </c>
      <c r="H804" s="5" t="str">
        <f ca="1">IFERROR(__xludf.DUMMYFUNCTION("IFERROR(VLOOKUP(F821,IMPORTRANGE(""https://docs.google.com/spreadsheets/d/1Kvs4KS76FHFqLFIZfrDMff4kP08nblUkihrxltoGBjg/edit#gid=934712705"",""ESENCIAL!A6:BG""),8,FALSE))"),"")</f>
        <v/>
      </c>
      <c r="L804" s="287"/>
      <c r="S804"/>
      <c r="AU804" s="41" t="str">
        <f t="shared" si="44"/>
        <v/>
      </c>
      <c r="AV804" s="5" t="str">
        <f ca="1">IFERROR(__xludf.DUMMYFUNCTION("IFERROR(VLOOKUP(E821&amp;F821,IMPORTRANGE(""https://docs.google.com/spreadsheets/d/1Uw7-A9f9R21vMXxHZFNpYNeKFtG8_yji4HS352LGlSQ/edit?pli=1#gid=0"",""1_ACUM!A4:S""),11,FALSE))"),"")</f>
        <v/>
      </c>
      <c r="AW804" s="42" t="str">
        <f ca="1">IFERROR(__xludf.DUMMYFUNCTION("IFERROR(VLOOKUP(F821,IMPORTRANGE(""https://docs.google.com/spreadsheets/d/1Kvs4KS76FHFqLFIZfrDMff4kP08nblUkihrxltoGBjg/edit#gid=934712705"",""ESENCIAL!A6:BG""),15,FALSE))"),"")</f>
        <v/>
      </c>
      <c r="AX804" s="21" t="str">
        <f ca="1">IFERROR(__xludf.DUMMYFUNCTION("IFERROR(VLOOKUP(E821&amp;F821,IMPORTRANGE(""https://docs.google.com/spreadsheets/d/1Uw7-A9f9R21vMXxHZFNpYNeKFtG8_yji4HS352LGlSQ/edit?pli=1#gid=0"",""1_ACUM!A4:S""),12,FALSE))"),"")</f>
        <v/>
      </c>
      <c r="AY804" s="43" t="str">
        <f ca="1">IFERROR(__xludf.DUMMYFUNCTION("IFERROR(VLOOKUP(E821&amp;F821,IMPORTRANGE(""https://docs.google.com/spreadsheets/d/1Uw7-A9f9R21vMXxHZFNpYNeKFtG8_yji4HS352LGlSQ/edit?pli=1#gid=0"",""1_ACUM!A4:S""),13,FALSE))"),"")</f>
        <v/>
      </c>
      <c r="AZ804" s="43" t="str">
        <f ca="1">IFERROR(__xludf.DUMMYFUNCTION("IFERROR(VLOOKUP(E821&amp;F821,IMPORTRANGE(""https://docs.google.com/spreadsheets/d/1Uw7-A9f9R21vMXxHZFNpYNeKFtG8_yji4HS352LGlSQ/edit?pli=1#gid=0"",""1_ACUM!A4:S""),14,FALSE))"),"")</f>
        <v/>
      </c>
      <c r="BA804" s="43" t="str">
        <f ca="1">IFERROR(__xludf.DUMMYFUNCTION("IFERROR(VLOOKUP(E821&amp;F821,IMPORTRANGE(""https://docs.google.com/spreadsheets/d/1Uw7-A9f9R21vMXxHZFNpYNeKFtG8_yji4HS352LGlSQ/edit?pli=1#gid=0"",""1_ACUM!A4:S""),15,FALSE))"),"")</f>
        <v/>
      </c>
      <c r="BB804" s="43" t="str">
        <f ca="1">IFERROR(__xludf.DUMMYFUNCTION("IFERROR(VLOOKUP(E821&amp;F821,IMPORTRANGE(""https://docs.google.com/spreadsheets/d/1Uw7-A9f9R21vMXxHZFNpYNeKFtG8_yji4HS352LGlSQ/edit?pli=1#gid=0"",""1_ACUM!A4:S""),16,FALSE))"),"")</f>
        <v/>
      </c>
      <c r="BC804" s="43" t="str">
        <f ca="1">IFERROR(__xludf.DUMMYFUNCTION("IFERROR(VLOOKUP(E821&amp;F821,IMPORTRANGE(""https://docs.google.com/spreadsheets/d/1Uw7-A9f9R21vMXxHZFNpYNeKFtG8_yji4HS352LGlSQ/edit?pli=1#gid=0"",""1_ACUM!A4:S""),17,FALSE))"),"")</f>
        <v/>
      </c>
      <c r="BD804" s="44" t="str">
        <f ca="1">IFERROR(__xludf.DUMMYFUNCTION("IFERROR(VLOOKUP(E821&amp;F821,IMPORTRANGE(""https://docs.google.com/spreadsheets/d/1Uw7-A9f9R21vMXxHZFNpYNeKFtG8_yji4HS352LGlSQ/edit?pli=1#gid=0"",""1_ACUM!A4:S""),18,FALSE))"),"")</f>
        <v/>
      </c>
      <c r="BE804" s="44" t="str">
        <f ca="1">IFERROR(__xludf.DUMMYFUNCTION("IFERROR(VLOOKUP(E821&amp;F821,IMPORTRANGE(""https://docs.google.com/spreadsheets/d/1Uw7-A9f9R21vMXxHZFNpYNeKFtG8_yji4HS352LGlSQ/edit?pli=1#gid=0"",""1_ACUM!A4:S""),19,FALSE))"),"")</f>
        <v/>
      </c>
      <c r="BF804" s="44" t="str">
        <f ca="1">IFERROR(__xludf.DUMMYFUNCTION("IFERROR(VLOOKUP(F821,IMPORTRANGE(""https://docs.google.com/spreadsheets/d/1Kvs4KS76FHFqLFIZfrDMff4kP08nblUkihrxltoGBjg/edit#gid=934712705"",""ESENCIAL!A6:BG""),5,FALSE))"),"")</f>
        <v/>
      </c>
      <c r="BG804" s="44" t="str">
        <f t="shared" si="45"/>
        <v/>
      </c>
      <c r="BH804" s="41" t="str">
        <f t="shared" si="46"/>
        <v/>
      </c>
      <c r="BI804" s="41" t="str">
        <f ca="1">IFERROR(__xludf.DUMMYFUNCTION("IFERROR(VLOOKUP(F821,IMPORTRANGE(""https://docs.google.com/spreadsheets/d/1Kvs4KS76FHFqLFIZfrDMff4kP08nblUkihrxltoGBjg/edit#gid=934712705"",""ESENCIAL!A6:BG""),18,FALSE))"),"")</f>
        <v/>
      </c>
      <c r="BJ804" s="19" t="str">
        <f t="shared" si="47"/>
        <v/>
      </c>
      <c r="BK804" s="41"/>
      <c r="BL804" s="41"/>
    </row>
    <row r="805" spans="1:64" ht="15">
      <c r="A805" s="4"/>
      <c r="B805" s="4"/>
      <c r="G805" s="5" t="str">
        <f ca="1">IFERROR(__xludf.DUMMYFUNCTION("IFERROR(VLOOKUP(F822,IMPORTRANGE(""https://docs.google.com/spreadsheets/d/1Kvs4KS76FHFqLFIZfrDMff4kP08nblUkihrxltoGBjg/edit#gid=934712705"",""ESENCIAL!A6:BG""),3,FALSE))"),"")</f>
        <v/>
      </c>
      <c r="H805" s="5" t="str">
        <f ca="1">IFERROR(__xludf.DUMMYFUNCTION("IFERROR(VLOOKUP(F822,IMPORTRANGE(""https://docs.google.com/spreadsheets/d/1Kvs4KS76FHFqLFIZfrDMff4kP08nblUkihrxltoGBjg/edit#gid=934712705"",""ESENCIAL!A6:BG""),8,FALSE))"),"")</f>
        <v/>
      </c>
      <c r="L805" s="287"/>
      <c r="S805"/>
      <c r="AU805" s="41" t="str">
        <f t="shared" si="44"/>
        <v/>
      </c>
      <c r="AV805" s="5" t="str">
        <f ca="1">IFERROR(__xludf.DUMMYFUNCTION("IFERROR(VLOOKUP(E822&amp;F822,IMPORTRANGE(""https://docs.google.com/spreadsheets/d/1Uw7-A9f9R21vMXxHZFNpYNeKFtG8_yji4HS352LGlSQ/edit?pli=1#gid=0"",""1_ACUM!A4:S""),11,FALSE))"),"")</f>
        <v/>
      </c>
      <c r="AW805" s="42" t="str">
        <f ca="1">IFERROR(__xludf.DUMMYFUNCTION("IFERROR(VLOOKUP(F822,IMPORTRANGE(""https://docs.google.com/spreadsheets/d/1Kvs4KS76FHFqLFIZfrDMff4kP08nblUkihrxltoGBjg/edit#gid=934712705"",""ESENCIAL!A6:BG""),15,FALSE))"),"")</f>
        <v/>
      </c>
      <c r="AX805" s="21" t="str">
        <f ca="1">IFERROR(__xludf.DUMMYFUNCTION("IFERROR(VLOOKUP(E822&amp;F822,IMPORTRANGE(""https://docs.google.com/spreadsheets/d/1Uw7-A9f9R21vMXxHZFNpYNeKFtG8_yji4HS352LGlSQ/edit?pli=1#gid=0"",""1_ACUM!A4:S""),12,FALSE))"),"")</f>
        <v/>
      </c>
      <c r="AY805" s="43" t="str">
        <f ca="1">IFERROR(__xludf.DUMMYFUNCTION("IFERROR(VLOOKUP(E822&amp;F822,IMPORTRANGE(""https://docs.google.com/spreadsheets/d/1Uw7-A9f9R21vMXxHZFNpYNeKFtG8_yji4HS352LGlSQ/edit?pli=1#gid=0"",""1_ACUM!A4:S""),13,FALSE))"),"")</f>
        <v/>
      </c>
      <c r="AZ805" s="43" t="str">
        <f ca="1">IFERROR(__xludf.DUMMYFUNCTION("IFERROR(VLOOKUP(E822&amp;F822,IMPORTRANGE(""https://docs.google.com/spreadsheets/d/1Uw7-A9f9R21vMXxHZFNpYNeKFtG8_yji4HS352LGlSQ/edit?pli=1#gid=0"",""1_ACUM!A4:S""),14,FALSE))"),"")</f>
        <v/>
      </c>
      <c r="BA805" s="43" t="str">
        <f ca="1">IFERROR(__xludf.DUMMYFUNCTION("IFERROR(VLOOKUP(E822&amp;F822,IMPORTRANGE(""https://docs.google.com/spreadsheets/d/1Uw7-A9f9R21vMXxHZFNpYNeKFtG8_yji4HS352LGlSQ/edit?pli=1#gid=0"",""1_ACUM!A4:S""),15,FALSE))"),"")</f>
        <v/>
      </c>
      <c r="BB805" s="43" t="str">
        <f ca="1">IFERROR(__xludf.DUMMYFUNCTION("IFERROR(VLOOKUP(E822&amp;F822,IMPORTRANGE(""https://docs.google.com/spreadsheets/d/1Uw7-A9f9R21vMXxHZFNpYNeKFtG8_yji4HS352LGlSQ/edit?pli=1#gid=0"",""1_ACUM!A4:S""),16,FALSE))"),"")</f>
        <v/>
      </c>
      <c r="BC805" s="43" t="str">
        <f ca="1">IFERROR(__xludf.DUMMYFUNCTION("IFERROR(VLOOKUP(E822&amp;F822,IMPORTRANGE(""https://docs.google.com/spreadsheets/d/1Uw7-A9f9R21vMXxHZFNpYNeKFtG8_yji4HS352LGlSQ/edit?pli=1#gid=0"",""1_ACUM!A4:S""),17,FALSE))"),"")</f>
        <v/>
      </c>
      <c r="BD805" s="44" t="str">
        <f ca="1">IFERROR(__xludf.DUMMYFUNCTION("IFERROR(VLOOKUP(E822&amp;F822,IMPORTRANGE(""https://docs.google.com/spreadsheets/d/1Uw7-A9f9R21vMXxHZFNpYNeKFtG8_yji4HS352LGlSQ/edit?pli=1#gid=0"",""1_ACUM!A4:S""),18,FALSE))"),"")</f>
        <v/>
      </c>
      <c r="BE805" s="44" t="str">
        <f ca="1">IFERROR(__xludf.DUMMYFUNCTION("IFERROR(VLOOKUP(E822&amp;F822,IMPORTRANGE(""https://docs.google.com/spreadsheets/d/1Uw7-A9f9R21vMXxHZFNpYNeKFtG8_yji4HS352LGlSQ/edit?pli=1#gid=0"",""1_ACUM!A4:S""),19,FALSE))"),"")</f>
        <v/>
      </c>
      <c r="BF805" s="44" t="str">
        <f ca="1">IFERROR(__xludf.DUMMYFUNCTION("IFERROR(VLOOKUP(F822,IMPORTRANGE(""https://docs.google.com/spreadsheets/d/1Kvs4KS76FHFqLFIZfrDMff4kP08nblUkihrxltoGBjg/edit#gid=934712705"",""ESENCIAL!A6:BG""),5,FALSE))"),"")</f>
        <v/>
      </c>
      <c r="BG805" s="44" t="str">
        <f t="shared" si="45"/>
        <v/>
      </c>
      <c r="BH805" s="41" t="str">
        <f t="shared" si="46"/>
        <v/>
      </c>
      <c r="BI805" s="41" t="str">
        <f ca="1">IFERROR(__xludf.DUMMYFUNCTION("IFERROR(VLOOKUP(F822,IMPORTRANGE(""https://docs.google.com/spreadsheets/d/1Kvs4KS76FHFqLFIZfrDMff4kP08nblUkihrxltoGBjg/edit#gid=934712705"",""ESENCIAL!A6:BG""),18,FALSE))"),"")</f>
        <v/>
      </c>
      <c r="BJ805" s="19" t="str">
        <f t="shared" si="47"/>
        <v/>
      </c>
      <c r="BK805" s="41"/>
      <c r="BL805" s="41"/>
    </row>
    <row r="806" spans="1:64" ht="15">
      <c r="A806" s="4"/>
      <c r="B806" s="4"/>
      <c r="G806" s="5" t="str">
        <f ca="1">IFERROR(__xludf.DUMMYFUNCTION("IFERROR(VLOOKUP(F823,IMPORTRANGE(""https://docs.google.com/spreadsheets/d/1Kvs4KS76FHFqLFIZfrDMff4kP08nblUkihrxltoGBjg/edit#gid=934712705"",""ESENCIAL!A6:BG""),3,FALSE))"),"")</f>
        <v/>
      </c>
      <c r="H806" s="5" t="str">
        <f ca="1">IFERROR(__xludf.DUMMYFUNCTION("IFERROR(VLOOKUP(F823,IMPORTRANGE(""https://docs.google.com/spreadsheets/d/1Kvs4KS76FHFqLFIZfrDMff4kP08nblUkihrxltoGBjg/edit#gid=934712705"",""ESENCIAL!A6:BG""),8,FALSE))"),"")</f>
        <v/>
      </c>
      <c r="L806" s="287"/>
      <c r="S806"/>
      <c r="AU806" s="41" t="str">
        <f t="shared" si="44"/>
        <v/>
      </c>
      <c r="AV806" s="5" t="str">
        <f ca="1">IFERROR(__xludf.DUMMYFUNCTION("IFERROR(VLOOKUP(E823&amp;F823,IMPORTRANGE(""https://docs.google.com/spreadsheets/d/1Uw7-A9f9R21vMXxHZFNpYNeKFtG8_yji4HS352LGlSQ/edit?pli=1#gid=0"",""1_ACUM!A4:S""),11,FALSE))"),"")</f>
        <v/>
      </c>
      <c r="AW806" s="42" t="str">
        <f ca="1">IFERROR(__xludf.DUMMYFUNCTION("IFERROR(VLOOKUP(F823,IMPORTRANGE(""https://docs.google.com/spreadsheets/d/1Kvs4KS76FHFqLFIZfrDMff4kP08nblUkihrxltoGBjg/edit#gid=934712705"",""ESENCIAL!A6:BG""),15,FALSE))"),"")</f>
        <v/>
      </c>
      <c r="AX806" s="21" t="str">
        <f ca="1">IFERROR(__xludf.DUMMYFUNCTION("IFERROR(VLOOKUP(E823&amp;F823,IMPORTRANGE(""https://docs.google.com/spreadsheets/d/1Uw7-A9f9R21vMXxHZFNpYNeKFtG8_yji4HS352LGlSQ/edit?pli=1#gid=0"",""1_ACUM!A4:S""),12,FALSE))"),"")</f>
        <v/>
      </c>
      <c r="AY806" s="43" t="str">
        <f ca="1">IFERROR(__xludf.DUMMYFUNCTION("IFERROR(VLOOKUP(E823&amp;F823,IMPORTRANGE(""https://docs.google.com/spreadsheets/d/1Uw7-A9f9R21vMXxHZFNpYNeKFtG8_yji4HS352LGlSQ/edit?pli=1#gid=0"",""1_ACUM!A4:S""),13,FALSE))"),"")</f>
        <v/>
      </c>
      <c r="AZ806" s="43" t="str">
        <f ca="1">IFERROR(__xludf.DUMMYFUNCTION("IFERROR(VLOOKUP(E823&amp;F823,IMPORTRANGE(""https://docs.google.com/spreadsheets/d/1Uw7-A9f9R21vMXxHZFNpYNeKFtG8_yji4HS352LGlSQ/edit?pli=1#gid=0"",""1_ACUM!A4:S""),14,FALSE))"),"")</f>
        <v/>
      </c>
      <c r="BA806" s="43" t="str">
        <f ca="1">IFERROR(__xludf.DUMMYFUNCTION("IFERROR(VLOOKUP(E823&amp;F823,IMPORTRANGE(""https://docs.google.com/spreadsheets/d/1Uw7-A9f9R21vMXxHZFNpYNeKFtG8_yji4HS352LGlSQ/edit?pli=1#gid=0"",""1_ACUM!A4:S""),15,FALSE))"),"")</f>
        <v/>
      </c>
      <c r="BB806" s="43" t="str">
        <f ca="1">IFERROR(__xludf.DUMMYFUNCTION("IFERROR(VLOOKUP(E823&amp;F823,IMPORTRANGE(""https://docs.google.com/spreadsheets/d/1Uw7-A9f9R21vMXxHZFNpYNeKFtG8_yji4HS352LGlSQ/edit?pli=1#gid=0"",""1_ACUM!A4:S""),16,FALSE))"),"")</f>
        <v/>
      </c>
      <c r="BC806" s="43" t="str">
        <f ca="1">IFERROR(__xludf.DUMMYFUNCTION("IFERROR(VLOOKUP(E823&amp;F823,IMPORTRANGE(""https://docs.google.com/spreadsheets/d/1Uw7-A9f9R21vMXxHZFNpYNeKFtG8_yji4HS352LGlSQ/edit?pli=1#gid=0"",""1_ACUM!A4:S""),17,FALSE))"),"")</f>
        <v/>
      </c>
      <c r="BD806" s="44" t="str">
        <f ca="1">IFERROR(__xludf.DUMMYFUNCTION("IFERROR(VLOOKUP(E823&amp;F823,IMPORTRANGE(""https://docs.google.com/spreadsheets/d/1Uw7-A9f9R21vMXxHZFNpYNeKFtG8_yji4HS352LGlSQ/edit?pli=1#gid=0"",""1_ACUM!A4:S""),18,FALSE))"),"")</f>
        <v/>
      </c>
      <c r="BE806" s="44" t="str">
        <f ca="1">IFERROR(__xludf.DUMMYFUNCTION("IFERROR(VLOOKUP(E823&amp;F823,IMPORTRANGE(""https://docs.google.com/spreadsheets/d/1Uw7-A9f9R21vMXxHZFNpYNeKFtG8_yji4HS352LGlSQ/edit?pli=1#gid=0"",""1_ACUM!A4:S""),19,FALSE))"),"")</f>
        <v/>
      </c>
      <c r="BF806" s="44" t="str">
        <f ca="1">IFERROR(__xludf.DUMMYFUNCTION("IFERROR(VLOOKUP(F823,IMPORTRANGE(""https://docs.google.com/spreadsheets/d/1Kvs4KS76FHFqLFIZfrDMff4kP08nblUkihrxltoGBjg/edit#gid=934712705"",""ESENCIAL!A6:BG""),5,FALSE))"),"")</f>
        <v/>
      </c>
      <c r="BG806" s="44" t="str">
        <f t="shared" si="45"/>
        <v/>
      </c>
      <c r="BH806" s="41" t="str">
        <f t="shared" si="46"/>
        <v/>
      </c>
      <c r="BI806" s="41" t="str">
        <f ca="1">IFERROR(__xludf.DUMMYFUNCTION("IFERROR(VLOOKUP(F823,IMPORTRANGE(""https://docs.google.com/spreadsheets/d/1Kvs4KS76FHFqLFIZfrDMff4kP08nblUkihrxltoGBjg/edit#gid=934712705"",""ESENCIAL!A6:BG""),18,FALSE))"),"")</f>
        <v/>
      </c>
      <c r="BJ806" s="19" t="str">
        <f t="shared" si="47"/>
        <v/>
      </c>
      <c r="BK806" s="41"/>
      <c r="BL806" s="41"/>
    </row>
    <row r="807" spans="1:64" ht="15">
      <c r="A807" s="4"/>
      <c r="B807" s="4"/>
      <c r="G807" s="5" t="str">
        <f ca="1">IFERROR(__xludf.DUMMYFUNCTION("IFERROR(VLOOKUP(F824,IMPORTRANGE(""https://docs.google.com/spreadsheets/d/1Kvs4KS76FHFqLFIZfrDMff4kP08nblUkihrxltoGBjg/edit#gid=934712705"",""ESENCIAL!A6:BG""),3,FALSE))"),"")</f>
        <v/>
      </c>
      <c r="H807" s="5" t="str">
        <f ca="1">IFERROR(__xludf.DUMMYFUNCTION("IFERROR(VLOOKUP(F824,IMPORTRANGE(""https://docs.google.com/spreadsheets/d/1Kvs4KS76FHFqLFIZfrDMff4kP08nblUkihrxltoGBjg/edit#gid=934712705"",""ESENCIAL!A6:BG""),8,FALSE))"),"")</f>
        <v/>
      </c>
      <c r="L807" s="287"/>
      <c r="S807"/>
      <c r="AU807" s="41" t="str">
        <f t="shared" si="44"/>
        <v/>
      </c>
      <c r="AV807" s="5" t="str">
        <f ca="1">IFERROR(__xludf.DUMMYFUNCTION("IFERROR(VLOOKUP(E824&amp;F824,IMPORTRANGE(""https://docs.google.com/spreadsheets/d/1Uw7-A9f9R21vMXxHZFNpYNeKFtG8_yji4HS352LGlSQ/edit?pli=1#gid=0"",""1_ACUM!A4:S""),11,FALSE))"),"")</f>
        <v/>
      </c>
      <c r="AW807" s="42" t="str">
        <f ca="1">IFERROR(__xludf.DUMMYFUNCTION("IFERROR(VLOOKUP(F824,IMPORTRANGE(""https://docs.google.com/spreadsheets/d/1Kvs4KS76FHFqLFIZfrDMff4kP08nblUkihrxltoGBjg/edit#gid=934712705"",""ESENCIAL!A6:BG""),15,FALSE))"),"")</f>
        <v/>
      </c>
      <c r="AX807" s="21" t="str">
        <f ca="1">IFERROR(__xludf.DUMMYFUNCTION("IFERROR(VLOOKUP(E824&amp;F824,IMPORTRANGE(""https://docs.google.com/spreadsheets/d/1Uw7-A9f9R21vMXxHZFNpYNeKFtG8_yji4HS352LGlSQ/edit?pli=1#gid=0"",""1_ACUM!A4:S""),12,FALSE))"),"")</f>
        <v/>
      </c>
      <c r="AY807" s="43" t="str">
        <f ca="1">IFERROR(__xludf.DUMMYFUNCTION("IFERROR(VLOOKUP(E824&amp;F824,IMPORTRANGE(""https://docs.google.com/spreadsheets/d/1Uw7-A9f9R21vMXxHZFNpYNeKFtG8_yji4HS352LGlSQ/edit?pli=1#gid=0"",""1_ACUM!A4:S""),13,FALSE))"),"")</f>
        <v/>
      </c>
      <c r="AZ807" s="43" t="str">
        <f ca="1">IFERROR(__xludf.DUMMYFUNCTION("IFERROR(VLOOKUP(E824&amp;F824,IMPORTRANGE(""https://docs.google.com/spreadsheets/d/1Uw7-A9f9R21vMXxHZFNpYNeKFtG8_yji4HS352LGlSQ/edit?pli=1#gid=0"",""1_ACUM!A4:S""),14,FALSE))"),"")</f>
        <v/>
      </c>
      <c r="BA807" s="43" t="str">
        <f ca="1">IFERROR(__xludf.DUMMYFUNCTION("IFERROR(VLOOKUP(E824&amp;F824,IMPORTRANGE(""https://docs.google.com/spreadsheets/d/1Uw7-A9f9R21vMXxHZFNpYNeKFtG8_yji4HS352LGlSQ/edit?pli=1#gid=0"",""1_ACUM!A4:S""),15,FALSE))"),"")</f>
        <v/>
      </c>
      <c r="BB807" s="43" t="str">
        <f ca="1">IFERROR(__xludf.DUMMYFUNCTION("IFERROR(VLOOKUP(E824&amp;F824,IMPORTRANGE(""https://docs.google.com/spreadsheets/d/1Uw7-A9f9R21vMXxHZFNpYNeKFtG8_yji4HS352LGlSQ/edit?pli=1#gid=0"",""1_ACUM!A4:S""),16,FALSE))"),"")</f>
        <v/>
      </c>
      <c r="BC807" s="43" t="str">
        <f ca="1">IFERROR(__xludf.DUMMYFUNCTION("IFERROR(VLOOKUP(E824&amp;F824,IMPORTRANGE(""https://docs.google.com/spreadsheets/d/1Uw7-A9f9R21vMXxHZFNpYNeKFtG8_yji4HS352LGlSQ/edit?pli=1#gid=0"",""1_ACUM!A4:S""),17,FALSE))"),"")</f>
        <v/>
      </c>
      <c r="BD807" s="44" t="str">
        <f ca="1">IFERROR(__xludf.DUMMYFUNCTION("IFERROR(VLOOKUP(E824&amp;F824,IMPORTRANGE(""https://docs.google.com/spreadsheets/d/1Uw7-A9f9R21vMXxHZFNpYNeKFtG8_yji4HS352LGlSQ/edit?pli=1#gid=0"",""1_ACUM!A4:S""),18,FALSE))"),"")</f>
        <v/>
      </c>
      <c r="BE807" s="44" t="str">
        <f ca="1">IFERROR(__xludf.DUMMYFUNCTION("IFERROR(VLOOKUP(E824&amp;F824,IMPORTRANGE(""https://docs.google.com/spreadsheets/d/1Uw7-A9f9R21vMXxHZFNpYNeKFtG8_yji4HS352LGlSQ/edit?pli=1#gid=0"",""1_ACUM!A4:S""),19,FALSE))"),"")</f>
        <v/>
      </c>
      <c r="BF807" s="44" t="str">
        <f ca="1">IFERROR(__xludf.DUMMYFUNCTION("IFERROR(VLOOKUP(F824,IMPORTRANGE(""https://docs.google.com/spreadsheets/d/1Kvs4KS76FHFqLFIZfrDMff4kP08nblUkihrxltoGBjg/edit#gid=934712705"",""ESENCIAL!A6:BG""),5,FALSE))"),"")</f>
        <v/>
      </c>
      <c r="BG807" s="44" t="str">
        <f t="shared" si="45"/>
        <v/>
      </c>
      <c r="BH807" s="41" t="str">
        <f t="shared" si="46"/>
        <v/>
      </c>
      <c r="BI807" s="41" t="str">
        <f ca="1">IFERROR(__xludf.DUMMYFUNCTION("IFERROR(VLOOKUP(F824,IMPORTRANGE(""https://docs.google.com/spreadsheets/d/1Kvs4KS76FHFqLFIZfrDMff4kP08nblUkihrxltoGBjg/edit#gid=934712705"",""ESENCIAL!A6:BG""),18,FALSE))"),"")</f>
        <v/>
      </c>
      <c r="BJ807" s="19" t="str">
        <f t="shared" si="47"/>
        <v/>
      </c>
      <c r="BK807" s="41"/>
      <c r="BL807" s="41"/>
    </row>
    <row r="808" spans="1:64" ht="15">
      <c r="A808" s="4"/>
      <c r="B808" s="4"/>
      <c r="G808" s="5" t="str">
        <f ca="1">IFERROR(__xludf.DUMMYFUNCTION("IFERROR(VLOOKUP(F825,IMPORTRANGE(""https://docs.google.com/spreadsheets/d/1Kvs4KS76FHFqLFIZfrDMff4kP08nblUkihrxltoGBjg/edit#gid=934712705"",""ESENCIAL!A6:BG""),3,FALSE))"),"")</f>
        <v/>
      </c>
      <c r="H808" s="5" t="str">
        <f ca="1">IFERROR(__xludf.DUMMYFUNCTION("IFERROR(VLOOKUP(F825,IMPORTRANGE(""https://docs.google.com/spreadsheets/d/1Kvs4KS76FHFqLFIZfrDMff4kP08nblUkihrxltoGBjg/edit#gid=934712705"",""ESENCIAL!A6:BG""),8,FALSE))"),"")</f>
        <v/>
      </c>
      <c r="L808" s="287"/>
      <c r="S808"/>
      <c r="AU808" s="41" t="str">
        <f t="shared" si="44"/>
        <v/>
      </c>
      <c r="AV808" s="5" t="str">
        <f ca="1">IFERROR(__xludf.DUMMYFUNCTION("IFERROR(VLOOKUP(E825&amp;F825,IMPORTRANGE(""https://docs.google.com/spreadsheets/d/1Uw7-A9f9R21vMXxHZFNpYNeKFtG8_yji4HS352LGlSQ/edit?pli=1#gid=0"",""1_ACUM!A4:S""),11,FALSE))"),"")</f>
        <v/>
      </c>
      <c r="AW808" s="42" t="str">
        <f ca="1">IFERROR(__xludf.DUMMYFUNCTION("IFERROR(VLOOKUP(F825,IMPORTRANGE(""https://docs.google.com/spreadsheets/d/1Kvs4KS76FHFqLFIZfrDMff4kP08nblUkihrxltoGBjg/edit#gid=934712705"",""ESENCIAL!A6:BG""),15,FALSE))"),"")</f>
        <v/>
      </c>
      <c r="AX808" s="21" t="str">
        <f ca="1">IFERROR(__xludf.DUMMYFUNCTION("IFERROR(VLOOKUP(E825&amp;F825,IMPORTRANGE(""https://docs.google.com/spreadsheets/d/1Uw7-A9f9R21vMXxHZFNpYNeKFtG8_yji4HS352LGlSQ/edit?pli=1#gid=0"",""1_ACUM!A4:S""),12,FALSE))"),"")</f>
        <v/>
      </c>
      <c r="AY808" s="43" t="str">
        <f ca="1">IFERROR(__xludf.DUMMYFUNCTION("IFERROR(VLOOKUP(E825&amp;F825,IMPORTRANGE(""https://docs.google.com/spreadsheets/d/1Uw7-A9f9R21vMXxHZFNpYNeKFtG8_yji4HS352LGlSQ/edit?pli=1#gid=0"",""1_ACUM!A4:S""),13,FALSE))"),"")</f>
        <v/>
      </c>
      <c r="AZ808" s="43" t="str">
        <f ca="1">IFERROR(__xludf.DUMMYFUNCTION("IFERROR(VLOOKUP(E825&amp;F825,IMPORTRANGE(""https://docs.google.com/spreadsheets/d/1Uw7-A9f9R21vMXxHZFNpYNeKFtG8_yji4HS352LGlSQ/edit?pli=1#gid=0"",""1_ACUM!A4:S""),14,FALSE))"),"")</f>
        <v/>
      </c>
      <c r="BA808" s="43" t="str">
        <f ca="1">IFERROR(__xludf.DUMMYFUNCTION("IFERROR(VLOOKUP(E825&amp;F825,IMPORTRANGE(""https://docs.google.com/spreadsheets/d/1Uw7-A9f9R21vMXxHZFNpYNeKFtG8_yji4HS352LGlSQ/edit?pli=1#gid=0"",""1_ACUM!A4:S""),15,FALSE))"),"")</f>
        <v/>
      </c>
      <c r="BB808" s="43" t="str">
        <f ca="1">IFERROR(__xludf.DUMMYFUNCTION("IFERROR(VLOOKUP(E825&amp;F825,IMPORTRANGE(""https://docs.google.com/spreadsheets/d/1Uw7-A9f9R21vMXxHZFNpYNeKFtG8_yji4HS352LGlSQ/edit?pli=1#gid=0"",""1_ACUM!A4:S""),16,FALSE))"),"")</f>
        <v/>
      </c>
      <c r="BC808" s="43" t="str">
        <f ca="1">IFERROR(__xludf.DUMMYFUNCTION("IFERROR(VLOOKUP(E825&amp;F825,IMPORTRANGE(""https://docs.google.com/spreadsheets/d/1Uw7-A9f9R21vMXxHZFNpYNeKFtG8_yji4HS352LGlSQ/edit?pli=1#gid=0"",""1_ACUM!A4:S""),17,FALSE))"),"")</f>
        <v/>
      </c>
      <c r="BD808" s="44" t="str">
        <f ca="1">IFERROR(__xludf.DUMMYFUNCTION("IFERROR(VLOOKUP(E825&amp;F825,IMPORTRANGE(""https://docs.google.com/spreadsheets/d/1Uw7-A9f9R21vMXxHZFNpYNeKFtG8_yji4HS352LGlSQ/edit?pli=1#gid=0"",""1_ACUM!A4:S""),18,FALSE))"),"")</f>
        <v/>
      </c>
      <c r="BE808" s="44" t="str">
        <f ca="1">IFERROR(__xludf.DUMMYFUNCTION("IFERROR(VLOOKUP(E825&amp;F825,IMPORTRANGE(""https://docs.google.com/spreadsheets/d/1Uw7-A9f9R21vMXxHZFNpYNeKFtG8_yji4HS352LGlSQ/edit?pli=1#gid=0"",""1_ACUM!A4:S""),19,FALSE))"),"")</f>
        <v/>
      </c>
      <c r="BF808" s="44" t="str">
        <f ca="1">IFERROR(__xludf.DUMMYFUNCTION("IFERROR(VLOOKUP(F825,IMPORTRANGE(""https://docs.google.com/spreadsheets/d/1Kvs4KS76FHFqLFIZfrDMff4kP08nblUkihrxltoGBjg/edit#gid=934712705"",""ESENCIAL!A6:BG""),5,FALSE))"),"")</f>
        <v/>
      </c>
      <c r="BG808" s="44" t="str">
        <f t="shared" si="45"/>
        <v/>
      </c>
      <c r="BH808" s="41" t="str">
        <f t="shared" si="46"/>
        <v/>
      </c>
      <c r="BI808" s="41" t="str">
        <f ca="1">IFERROR(__xludf.DUMMYFUNCTION("IFERROR(VLOOKUP(F825,IMPORTRANGE(""https://docs.google.com/spreadsheets/d/1Kvs4KS76FHFqLFIZfrDMff4kP08nblUkihrxltoGBjg/edit#gid=934712705"",""ESENCIAL!A6:BG""),18,FALSE))"),"")</f>
        <v/>
      </c>
      <c r="BJ808" s="19" t="str">
        <f t="shared" si="47"/>
        <v/>
      </c>
      <c r="BK808" s="41"/>
      <c r="BL808" s="41"/>
    </row>
    <row r="809" spans="1:64" ht="15">
      <c r="A809" s="4"/>
      <c r="B809" s="4"/>
      <c r="G809" s="5" t="str">
        <f ca="1">IFERROR(__xludf.DUMMYFUNCTION("IFERROR(VLOOKUP(F826,IMPORTRANGE(""https://docs.google.com/spreadsheets/d/1Kvs4KS76FHFqLFIZfrDMff4kP08nblUkihrxltoGBjg/edit#gid=934712705"",""ESENCIAL!A6:BG""),3,FALSE))"),"")</f>
        <v/>
      </c>
      <c r="H809" s="5" t="str">
        <f ca="1">IFERROR(__xludf.DUMMYFUNCTION("IFERROR(VLOOKUP(F826,IMPORTRANGE(""https://docs.google.com/spreadsheets/d/1Kvs4KS76FHFqLFIZfrDMff4kP08nblUkihrxltoGBjg/edit#gid=934712705"",""ESENCIAL!A6:BG""),8,FALSE))"),"")</f>
        <v/>
      </c>
      <c r="L809" s="287"/>
      <c r="S809"/>
      <c r="AU809" s="41" t="str">
        <f t="shared" si="44"/>
        <v/>
      </c>
      <c r="AV809" s="5" t="str">
        <f ca="1">IFERROR(__xludf.DUMMYFUNCTION("IFERROR(VLOOKUP(E826&amp;F826,IMPORTRANGE(""https://docs.google.com/spreadsheets/d/1Uw7-A9f9R21vMXxHZFNpYNeKFtG8_yji4HS352LGlSQ/edit?pli=1#gid=0"",""1_ACUM!A4:S""),11,FALSE))"),"")</f>
        <v/>
      </c>
      <c r="AW809" s="42" t="str">
        <f ca="1">IFERROR(__xludf.DUMMYFUNCTION("IFERROR(VLOOKUP(F826,IMPORTRANGE(""https://docs.google.com/spreadsheets/d/1Kvs4KS76FHFqLFIZfrDMff4kP08nblUkihrxltoGBjg/edit#gid=934712705"",""ESENCIAL!A6:BG""),15,FALSE))"),"")</f>
        <v/>
      </c>
      <c r="AX809" s="21" t="str">
        <f ca="1">IFERROR(__xludf.DUMMYFUNCTION("IFERROR(VLOOKUP(E826&amp;F826,IMPORTRANGE(""https://docs.google.com/spreadsheets/d/1Uw7-A9f9R21vMXxHZFNpYNeKFtG8_yji4HS352LGlSQ/edit?pli=1#gid=0"",""1_ACUM!A4:S""),12,FALSE))"),"")</f>
        <v/>
      </c>
      <c r="AY809" s="43" t="str">
        <f ca="1">IFERROR(__xludf.DUMMYFUNCTION("IFERROR(VLOOKUP(E826&amp;F826,IMPORTRANGE(""https://docs.google.com/spreadsheets/d/1Uw7-A9f9R21vMXxHZFNpYNeKFtG8_yji4HS352LGlSQ/edit?pli=1#gid=0"",""1_ACUM!A4:S""),13,FALSE))"),"")</f>
        <v/>
      </c>
      <c r="AZ809" s="43" t="str">
        <f ca="1">IFERROR(__xludf.DUMMYFUNCTION("IFERROR(VLOOKUP(E826&amp;F826,IMPORTRANGE(""https://docs.google.com/spreadsheets/d/1Uw7-A9f9R21vMXxHZFNpYNeKFtG8_yji4HS352LGlSQ/edit?pli=1#gid=0"",""1_ACUM!A4:S""),14,FALSE))"),"")</f>
        <v/>
      </c>
      <c r="BA809" s="43" t="str">
        <f ca="1">IFERROR(__xludf.DUMMYFUNCTION("IFERROR(VLOOKUP(E826&amp;F826,IMPORTRANGE(""https://docs.google.com/spreadsheets/d/1Uw7-A9f9R21vMXxHZFNpYNeKFtG8_yji4HS352LGlSQ/edit?pli=1#gid=0"",""1_ACUM!A4:S""),15,FALSE))"),"")</f>
        <v/>
      </c>
      <c r="BB809" s="43" t="str">
        <f ca="1">IFERROR(__xludf.DUMMYFUNCTION("IFERROR(VLOOKUP(E826&amp;F826,IMPORTRANGE(""https://docs.google.com/spreadsheets/d/1Uw7-A9f9R21vMXxHZFNpYNeKFtG8_yji4HS352LGlSQ/edit?pli=1#gid=0"",""1_ACUM!A4:S""),16,FALSE))"),"")</f>
        <v/>
      </c>
      <c r="BC809" s="43" t="str">
        <f ca="1">IFERROR(__xludf.DUMMYFUNCTION("IFERROR(VLOOKUP(E826&amp;F826,IMPORTRANGE(""https://docs.google.com/spreadsheets/d/1Uw7-A9f9R21vMXxHZFNpYNeKFtG8_yji4HS352LGlSQ/edit?pli=1#gid=0"",""1_ACUM!A4:S""),17,FALSE))"),"")</f>
        <v/>
      </c>
      <c r="BD809" s="44" t="str">
        <f ca="1">IFERROR(__xludf.DUMMYFUNCTION("IFERROR(VLOOKUP(E826&amp;F826,IMPORTRANGE(""https://docs.google.com/spreadsheets/d/1Uw7-A9f9R21vMXxHZFNpYNeKFtG8_yji4HS352LGlSQ/edit?pli=1#gid=0"",""1_ACUM!A4:S""),18,FALSE))"),"")</f>
        <v/>
      </c>
      <c r="BE809" s="44" t="str">
        <f ca="1">IFERROR(__xludf.DUMMYFUNCTION("IFERROR(VLOOKUP(E826&amp;F826,IMPORTRANGE(""https://docs.google.com/spreadsheets/d/1Uw7-A9f9R21vMXxHZFNpYNeKFtG8_yji4HS352LGlSQ/edit?pli=1#gid=0"",""1_ACUM!A4:S""),19,FALSE))"),"")</f>
        <v/>
      </c>
      <c r="BF809" s="44" t="str">
        <f ca="1">IFERROR(__xludf.DUMMYFUNCTION("IFERROR(VLOOKUP(F826,IMPORTRANGE(""https://docs.google.com/spreadsheets/d/1Kvs4KS76FHFqLFIZfrDMff4kP08nblUkihrxltoGBjg/edit#gid=934712705"",""ESENCIAL!A6:BG""),5,FALSE))"),"")</f>
        <v/>
      </c>
      <c r="BG809" s="44" t="str">
        <f t="shared" si="45"/>
        <v/>
      </c>
      <c r="BH809" s="41" t="str">
        <f t="shared" si="46"/>
        <v/>
      </c>
      <c r="BI809" s="41" t="str">
        <f ca="1">IFERROR(__xludf.DUMMYFUNCTION("IFERROR(VLOOKUP(F826,IMPORTRANGE(""https://docs.google.com/spreadsheets/d/1Kvs4KS76FHFqLFIZfrDMff4kP08nblUkihrxltoGBjg/edit#gid=934712705"",""ESENCIAL!A6:BG""),18,FALSE))"),"")</f>
        <v/>
      </c>
      <c r="BJ809" s="19" t="str">
        <f t="shared" si="47"/>
        <v/>
      </c>
      <c r="BK809" s="41"/>
      <c r="BL809" s="41"/>
    </row>
    <row r="810" spans="1:64" ht="15">
      <c r="A810" s="4"/>
      <c r="B810" s="4"/>
      <c r="G810" s="5" t="str">
        <f ca="1">IFERROR(__xludf.DUMMYFUNCTION("IFERROR(VLOOKUP(F827,IMPORTRANGE(""https://docs.google.com/spreadsheets/d/1Kvs4KS76FHFqLFIZfrDMff4kP08nblUkihrxltoGBjg/edit#gid=934712705"",""ESENCIAL!A6:BG""),3,FALSE))"),"")</f>
        <v/>
      </c>
      <c r="H810" s="5" t="str">
        <f ca="1">IFERROR(__xludf.DUMMYFUNCTION("IFERROR(VLOOKUP(F827,IMPORTRANGE(""https://docs.google.com/spreadsheets/d/1Kvs4KS76FHFqLFIZfrDMff4kP08nblUkihrxltoGBjg/edit#gid=934712705"",""ESENCIAL!A6:BG""),8,FALSE))"),"")</f>
        <v/>
      </c>
      <c r="L810" s="287"/>
      <c r="S810"/>
      <c r="AU810" s="41" t="str">
        <f t="shared" si="44"/>
        <v/>
      </c>
      <c r="AV810" s="5" t="str">
        <f ca="1">IFERROR(__xludf.DUMMYFUNCTION("IFERROR(VLOOKUP(E827&amp;F827,IMPORTRANGE(""https://docs.google.com/spreadsheets/d/1Uw7-A9f9R21vMXxHZFNpYNeKFtG8_yji4HS352LGlSQ/edit?pli=1#gid=0"",""1_ACUM!A4:S""),11,FALSE))"),"")</f>
        <v/>
      </c>
      <c r="AW810" s="42" t="str">
        <f ca="1">IFERROR(__xludf.DUMMYFUNCTION("IFERROR(VLOOKUP(F827,IMPORTRANGE(""https://docs.google.com/spreadsheets/d/1Kvs4KS76FHFqLFIZfrDMff4kP08nblUkihrxltoGBjg/edit#gid=934712705"",""ESENCIAL!A6:BG""),15,FALSE))"),"")</f>
        <v/>
      </c>
      <c r="AX810" s="21" t="str">
        <f ca="1">IFERROR(__xludf.DUMMYFUNCTION("IFERROR(VLOOKUP(E827&amp;F827,IMPORTRANGE(""https://docs.google.com/spreadsheets/d/1Uw7-A9f9R21vMXxHZFNpYNeKFtG8_yji4HS352LGlSQ/edit?pli=1#gid=0"",""1_ACUM!A4:S""),12,FALSE))"),"")</f>
        <v/>
      </c>
      <c r="AY810" s="43" t="str">
        <f ca="1">IFERROR(__xludf.DUMMYFUNCTION("IFERROR(VLOOKUP(E827&amp;F827,IMPORTRANGE(""https://docs.google.com/spreadsheets/d/1Uw7-A9f9R21vMXxHZFNpYNeKFtG8_yji4HS352LGlSQ/edit?pli=1#gid=0"",""1_ACUM!A4:S""),13,FALSE))"),"")</f>
        <v/>
      </c>
      <c r="AZ810" s="43" t="str">
        <f ca="1">IFERROR(__xludf.DUMMYFUNCTION("IFERROR(VLOOKUP(E827&amp;F827,IMPORTRANGE(""https://docs.google.com/spreadsheets/d/1Uw7-A9f9R21vMXxHZFNpYNeKFtG8_yji4HS352LGlSQ/edit?pli=1#gid=0"",""1_ACUM!A4:S""),14,FALSE))"),"")</f>
        <v/>
      </c>
      <c r="BA810" s="43" t="str">
        <f ca="1">IFERROR(__xludf.DUMMYFUNCTION("IFERROR(VLOOKUP(E827&amp;F827,IMPORTRANGE(""https://docs.google.com/spreadsheets/d/1Uw7-A9f9R21vMXxHZFNpYNeKFtG8_yji4HS352LGlSQ/edit?pli=1#gid=0"",""1_ACUM!A4:S""),15,FALSE))"),"")</f>
        <v/>
      </c>
      <c r="BB810" s="43" t="str">
        <f ca="1">IFERROR(__xludf.DUMMYFUNCTION("IFERROR(VLOOKUP(E827&amp;F827,IMPORTRANGE(""https://docs.google.com/spreadsheets/d/1Uw7-A9f9R21vMXxHZFNpYNeKFtG8_yji4HS352LGlSQ/edit?pli=1#gid=0"",""1_ACUM!A4:S""),16,FALSE))"),"")</f>
        <v/>
      </c>
      <c r="BC810" s="43" t="str">
        <f ca="1">IFERROR(__xludf.DUMMYFUNCTION("IFERROR(VLOOKUP(E827&amp;F827,IMPORTRANGE(""https://docs.google.com/spreadsheets/d/1Uw7-A9f9R21vMXxHZFNpYNeKFtG8_yji4HS352LGlSQ/edit?pli=1#gid=0"",""1_ACUM!A4:S""),17,FALSE))"),"")</f>
        <v/>
      </c>
      <c r="BD810" s="44" t="str">
        <f ca="1">IFERROR(__xludf.DUMMYFUNCTION("IFERROR(VLOOKUP(E827&amp;F827,IMPORTRANGE(""https://docs.google.com/spreadsheets/d/1Uw7-A9f9R21vMXxHZFNpYNeKFtG8_yji4HS352LGlSQ/edit?pli=1#gid=0"",""1_ACUM!A4:S""),18,FALSE))"),"")</f>
        <v/>
      </c>
      <c r="BE810" s="44" t="str">
        <f ca="1">IFERROR(__xludf.DUMMYFUNCTION("IFERROR(VLOOKUP(E827&amp;F827,IMPORTRANGE(""https://docs.google.com/spreadsheets/d/1Uw7-A9f9R21vMXxHZFNpYNeKFtG8_yji4HS352LGlSQ/edit?pli=1#gid=0"",""1_ACUM!A4:S""),19,FALSE))"),"")</f>
        <v/>
      </c>
      <c r="BF810" s="44" t="str">
        <f ca="1">IFERROR(__xludf.DUMMYFUNCTION("IFERROR(VLOOKUP(F827,IMPORTRANGE(""https://docs.google.com/spreadsheets/d/1Kvs4KS76FHFqLFIZfrDMff4kP08nblUkihrxltoGBjg/edit#gid=934712705"",""ESENCIAL!A6:BG""),5,FALSE))"),"")</f>
        <v/>
      </c>
      <c r="BG810" s="44" t="str">
        <f t="shared" si="45"/>
        <v/>
      </c>
      <c r="BH810" s="41" t="str">
        <f t="shared" si="46"/>
        <v/>
      </c>
      <c r="BI810" s="41" t="str">
        <f ca="1">IFERROR(__xludf.DUMMYFUNCTION("IFERROR(VLOOKUP(F827,IMPORTRANGE(""https://docs.google.com/spreadsheets/d/1Kvs4KS76FHFqLFIZfrDMff4kP08nblUkihrxltoGBjg/edit#gid=934712705"",""ESENCIAL!A6:BG""),18,FALSE))"),"")</f>
        <v/>
      </c>
      <c r="BJ810" s="19" t="str">
        <f t="shared" si="47"/>
        <v/>
      </c>
      <c r="BK810" s="41"/>
      <c r="BL810" s="41"/>
    </row>
    <row r="811" spans="1:64" ht="15">
      <c r="A811" s="4"/>
      <c r="B811" s="4"/>
      <c r="G811" s="5" t="str">
        <f ca="1">IFERROR(__xludf.DUMMYFUNCTION("IFERROR(VLOOKUP(F828,IMPORTRANGE(""https://docs.google.com/spreadsheets/d/1Kvs4KS76FHFqLFIZfrDMff4kP08nblUkihrxltoGBjg/edit#gid=934712705"",""ESENCIAL!A6:BG""),3,FALSE))"),"")</f>
        <v/>
      </c>
      <c r="H811" s="5" t="str">
        <f ca="1">IFERROR(__xludf.DUMMYFUNCTION("IFERROR(VLOOKUP(F828,IMPORTRANGE(""https://docs.google.com/spreadsheets/d/1Kvs4KS76FHFqLFIZfrDMff4kP08nblUkihrxltoGBjg/edit#gid=934712705"",""ESENCIAL!A6:BG""),8,FALSE))"),"")</f>
        <v/>
      </c>
      <c r="L811" s="287"/>
      <c r="S811"/>
      <c r="AU811" s="41" t="str">
        <f t="shared" si="44"/>
        <v/>
      </c>
      <c r="AV811" s="5" t="str">
        <f ca="1">IFERROR(__xludf.DUMMYFUNCTION("IFERROR(VLOOKUP(E828&amp;F828,IMPORTRANGE(""https://docs.google.com/spreadsheets/d/1Uw7-A9f9R21vMXxHZFNpYNeKFtG8_yji4HS352LGlSQ/edit?pli=1#gid=0"",""1_ACUM!A4:S""),11,FALSE))"),"")</f>
        <v/>
      </c>
      <c r="AW811" s="42" t="str">
        <f ca="1">IFERROR(__xludf.DUMMYFUNCTION("IFERROR(VLOOKUP(F828,IMPORTRANGE(""https://docs.google.com/spreadsheets/d/1Kvs4KS76FHFqLFIZfrDMff4kP08nblUkihrxltoGBjg/edit#gid=934712705"",""ESENCIAL!A6:BG""),15,FALSE))"),"")</f>
        <v/>
      </c>
      <c r="AX811" s="21" t="str">
        <f ca="1">IFERROR(__xludf.DUMMYFUNCTION("IFERROR(VLOOKUP(E828&amp;F828,IMPORTRANGE(""https://docs.google.com/spreadsheets/d/1Uw7-A9f9R21vMXxHZFNpYNeKFtG8_yji4HS352LGlSQ/edit?pli=1#gid=0"",""1_ACUM!A4:S""),12,FALSE))"),"")</f>
        <v/>
      </c>
      <c r="AY811" s="43" t="str">
        <f ca="1">IFERROR(__xludf.DUMMYFUNCTION("IFERROR(VLOOKUP(E828&amp;F828,IMPORTRANGE(""https://docs.google.com/spreadsheets/d/1Uw7-A9f9R21vMXxHZFNpYNeKFtG8_yji4HS352LGlSQ/edit?pli=1#gid=0"",""1_ACUM!A4:S""),13,FALSE))"),"")</f>
        <v/>
      </c>
      <c r="AZ811" s="43" t="str">
        <f ca="1">IFERROR(__xludf.DUMMYFUNCTION("IFERROR(VLOOKUP(E828&amp;F828,IMPORTRANGE(""https://docs.google.com/spreadsheets/d/1Uw7-A9f9R21vMXxHZFNpYNeKFtG8_yji4HS352LGlSQ/edit?pli=1#gid=0"",""1_ACUM!A4:S""),14,FALSE))"),"")</f>
        <v/>
      </c>
      <c r="BA811" s="43" t="str">
        <f ca="1">IFERROR(__xludf.DUMMYFUNCTION("IFERROR(VLOOKUP(E828&amp;F828,IMPORTRANGE(""https://docs.google.com/spreadsheets/d/1Uw7-A9f9R21vMXxHZFNpYNeKFtG8_yji4HS352LGlSQ/edit?pli=1#gid=0"",""1_ACUM!A4:S""),15,FALSE))"),"")</f>
        <v/>
      </c>
      <c r="BB811" s="43" t="str">
        <f ca="1">IFERROR(__xludf.DUMMYFUNCTION("IFERROR(VLOOKUP(E828&amp;F828,IMPORTRANGE(""https://docs.google.com/spreadsheets/d/1Uw7-A9f9R21vMXxHZFNpYNeKFtG8_yji4HS352LGlSQ/edit?pli=1#gid=0"",""1_ACUM!A4:S""),16,FALSE))"),"")</f>
        <v/>
      </c>
      <c r="BC811" s="43" t="str">
        <f ca="1">IFERROR(__xludf.DUMMYFUNCTION("IFERROR(VLOOKUP(E828&amp;F828,IMPORTRANGE(""https://docs.google.com/spreadsheets/d/1Uw7-A9f9R21vMXxHZFNpYNeKFtG8_yji4HS352LGlSQ/edit?pli=1#gid=0"",""1_ACUM!A4:S""),17,FALSE))"),"")</f>
        <v/>
      </c>
      <c r="BD811" s="44" t="str">
        <f ca="1">IFERROR(__xludf.DUMMYFUNCTION("IFERROR(VLOOKUP(E828&amp;F828,IMPORTRANGE(""https://docs.google.com/spreadsheets/d/1Uw7-A9f9R21vMXxHZFNpYNeKFtG8_yji4HS352LGlSQ/edit?pli=1#gid=0"",""1_ACUM!A4:S""),18,FALSE))"),"")</f>
        <v/>
      </c>
      <c r="BE811" s="44" t="str">
        <f ca="1">IFERROR(__xludf.DUMMYFUNCTION("IFERROR(VLOOKUP(E828&amp;F828,IMPORTRANGE(""https://docs.google.com/spreadsheets/d/1Uw7-A9f9R21vMXxHZFNpYNeKFtG8_yji4HS352LGlSQ/edit?pli=1#gid=0"",""1_ACUM!A4:S""),19,FALSE))"),"")</f>
        <v/>
      </c>
      <c r="BF811" s="44" t="str">
        <f ca="1">IFERROR(__xludf.DUMMYFUNCTION("IFERROR(VLOOKUP(F828,IMPORTRANGE(""https://docs.google.com/spreadsheets/d/1Kvs4KS76FHFqLFIZfrDMff4kP08nblUkihrxltoGBjg/edit#gid=934712705"",""ESENCIAL!A6:BG""),5,FALSE))"),"")</f>
        <v/>
      </c>
      <c r="BG811" s="44" t="str">
        <f t="shared" si="45"/>
        <v/>
      </c>
      <c r="BH811" s="41" t="str">
        <f t="shared" si="46"/>
        <v/>
      </c>
      <c r="BI811" s="41" t="str">
        <f ca="1">IFERROR(__xludf.DUMMYFUNCTION("IFERROR(VLOOKUP(F828,IMPORTRANGE(""https://docs.google.com/spreadsheets/d/1Kvs4KS76FHFqLFIZfrDMff4kP08nblUkihrxltoGBjg/edit#gid=934712705"",""ESENCIAL!A6:BG""),18,FALSE))"),"")</f>
        <v/>
      </c>
      <c r="BJ811" s="19" t="str">
        <f t="shared" si="47"/>
        <v/>
      </c>
      <c r="BK811" s="41"/>
      <c r="BL811" s="41"/>
    </row>
    <row r="812" spans="1:64" ht="15">
      <c r="A812" s="4"/>
      <c r="B812" s="4"/>
      <c r="G812" s="5" t="str">
        <f ca="1">IFERROR(__xludf.DUMMYFUNCTION("IFERROR(VLOOKUP(F829,IMPORTRANGE(""https://docs.google.com/spreadsheets/d/1Kvs4KS76FHFqLFIZfrDMff4kP08nblUkihrxltoGBjg/edit#gid=934712705"",""ESENCIAL!A6:BG""),3,FALSE))"),"")</f>
        <v/>
      </c>
      <c r="H812" s="5" t="str">
        <f ca="1">IFERROR(__xludf.DUMMYFUNCTION("IFERROR(VLOOKUP(F829,IMPORTRANGE(""https://docs.google.com/spreadsheets/d/1Kvs4KS76FHFqLFIZfrDMff4kP08nblUkihrxltoGBjg/edit#gid=934712705"",""ESENCIAL!A6:BG""),8,FALSE))"),"")</f>
        <v/>
      </c>
      <c r="L812" s="287"/>
      <c r="S812"/>
      <c r="AU812" s="41" t="str">
        <f t="shared" si="44"/>
        <v/>
      </c>
      <c r="AV812" s="5" t="str">
        <f ca="1">IFERROR(__xludf.DUMMYFUNCTION("IFERROR(VLOOKUP(E829&amp;F829,IMPORTRANGE(""https://docs.google.com/spreadsheets/d/1Uw7-A9f9R21vMXxHZFNpYNeKFtG8_yji4HS352LGlSQ/edit?pli=1#gid=0"",""1_ACUM!A4:S""),11,FALSE))"),"")</f>
        <v/>
      </c>
      <c r="AW812" s="42" t="str">
        <f ca="1">IFERROR(__xludf.DUMMYFUNCTION("IFERROR(VLOOKUP(F829,IMPORTRANGE(""https://docs.google.com/spreadsheets/d/1Kvs4KS76FHFqLFIZfrDMff4kP08nblUkihrxltoGBjg/edit#gid=934712705"",""ESENCIAL!A6:BG""),15,FALSE))"),"")</f>
        <v/>
      </c>
      <c r="AX812" s="21" t="str">
        <f ca="1">IFERROR(__xludf.DUMMYFUNCTION("IFERROR(VLOOKUP(E829&amp;F829,IMPORTRANGE(""https://docs.google.com/spreadsheets/d/1Uw7-A9f9R21vMXxHZFNpYNeKFtG8_yji4HS352LGlSQ/edit?pli=1#gid=0"",""1_ACUM!A4:S""),12,FALSE))"),"")</f>
        <v/>
      </c>
      <c r="AY812" s="43" t="str">
        <f ca="1">IFERROR(__xludf.DUMMYFUNCTION("IFERROR(VLOOKUP(E829&amp;F829,IMPORTRANGE(""https://docs.google.com/spreadsheets/d/1Uw7-A9f9R21vMXxHZFNpYNeKFtG8_yji4HS352LGlSQ/edit?pli=1#gid=0"",""1_ACUM!A4:S""),13,FALSE))"),"")</f>
        <v/>
      </c>
      <c r="AZ812" s="43" t="str">
        <f ca="1">IFERROR(__xludf.DUMMYFUNCTION("IFERROR(VLOOKUP(E829&amp;F829,IMPORTRANGE(""https://docs.google.com/spreadsheets/d/1Uw7-A9f9R21vMXxHZFNpYNeKFtG8_yji4HS352LGlSQ/edit?pli=1#gid=0"",""1_ACUM!A4:S""),14,FALSE))"),"")</f>
        <v/>
      </c>
      <c r="BA812" s="43" t="str">
        <f ca="1">IFERROR(__xludf.DUMMYFUNCTION("IFERROR(VLOOKUP(E829&amp;F829,IMPORTRANGE(""https://docs.google.com/spreadsheets/d/1Uw7-A9f9R21vMXxHZFNpYNeKFtG8_yji4HS352LGlSQ/edit?pli=1#gid=0"",""1_ACUM!A4:S""),15,FALSE))"),"")</f>
        <v/>
      </c>
      <c r="BB812" s="43" t="str">
        <f ca="1">IFERROR(__xludf.DUMMYFUNCTION("IFERROR(VLOOKUP(E829&amp;F829,IMPORTRANGE(""https://docs.google.com/spreadsheets/d/1Uw7-A9f9R21vMXxHZFNpYNeKFtG8_yji4HS352LGlSQ/edit?pli=1#gid=0"",""1_ACUM!A4:S""),16,FALSE))"),"")</f>
        <v/>
      </c>
      <c r="BC812" s="43" t="str">
        <f ca="1">IFERROR(__xludf.DUMMYFUNCTION("IFERROR(VLOOKUP(E829&amp;F829,IMPORTRANGE(""https://docs.google.com/spreadsheets/d/1Uw7-A9f9R21vMXxHZFNpYNeKFtG8_yji4HS352LGlSQ/edit?pli=1#gid=0"",""1_ACUM!A4:S""),17,FALSE))"),"")</f>
        <v/>
      </c>
      <c r="BD812" s="44" t="str">
        <f ca="1">IFERROR(__xludf.DUMMYFUNCTION("IFERROR(VLOOKUP(E829&amp;F829,IMPORTRANGE(""https://docs.google.com/spreadsheets/d/1Uw7-A9f9R21vMXxHZFNpYNeKFtG8_yji4HS352LGlSQ/edit?pli=1#gid=0"",""1_ACUM!A4:S""),18,FALSE))"),"")</f>
        <v/>
      </c>
      <c r="BE812" s="44" t="str">
        <f ca="1">IFERROR(__xludf.DUMMYFUNCTION("IFERROR(VLOOKUP(E829&amp;F829,IMPORTRANGE(""https://docs.google.com/spreadsheets/d/1Uw7-A9f9R21vMXxHZFNpYNeKFtG8_yji4HS352LGlSQ/edit?pli=1#gid=0"",""1_ACUM!A4:S""),19,FALSE))"),"")</f>
        <v/>
      </c>
      <c r="BF812" s="44" t="str">
        <f ca="1">IFERROR(__xludf.DUMMYFUNCTION("IFERROR(VLOOKUP(F829,IMPORTRANGE(""https://docs.google.com/spreadsheets/d/1Kvs4KS76FHFqLFIZfrDMff4kP08nblUkihrxltoGBjg/edit#gid=934712705"",""ESENCIAL!A6:BG""),5,FALSE))"),"")</f>
        <v/>
      </c>
      <c r="BG812" s="44" t="str">
        <f t="shared" si="45"/>
        <v/>
      </c>
      <c r="BH812" s="41" t="str">
        <f t="shared" si="46"/>
        <v/>
      </c>
      <c r="BI812" s="41" t="str">
        <f ca="1">IFERROR(__xludf.DUMMYFUNCTION("IFERROR(VLOOKUP(F829,IMPORTRANGE(""https://docs.google.com/spreadsheets/d/1Kvs4KS76FHFqLFIZfrDMff4kP08nblUkihrxltoGBjg/edit#gid=934712705"",""ESENCIAL!A6:BG""),18,FALSE))"),"")</f>
        <v/>
      </c>
      <c r="BJ812" s="19" t="str">
        <f t="shared" si="47"/>
        <v/>
      </c>
      <c r="BK812" s="41"/>
      <c r="BL812" s="41"/>
    </row>
    <row r="813" spans="1:64" ht="15">
      <c r="A813" s="4"/>
      <c r="B813" s="4"/>
      <c r="G813" s="5" t="str">
        <f ca="1">IFERROR(__xludf.DUMMYFUNCTION("IFERROR(VLOOKUP(F830,IMPORTRANGE(""https://docs.google.com/spreadsheets/d/1Kvs4KS76FHFqLFIZfrDMff4kP08nblUkihrxltoGBjg/edit#gid=934712705"",""ESENCIAL!A6:BG""),3,FALSE))"),"")</f>
        <v/>
      </c>
      <c r="H813" s="5" t="str">
        <f ca="1">IFERROR(__xludf.DUMMYFUNCTION("IFERROR(VLOOKUP(F830,IMPORTRANGE(""https://docs.google.com/spreadsheets/d/1Kvs4KS76FHFqLFIZfrDMff4kP08nblUkihrxltoGBjg/edit#gid=934712705"",""ESENCIAL!A6:BG""),8,FALSE))"),"")</f>
        <v/>
      </c>
      <c r="L813" s="287"/>
      <c r="S813"/>
      <c r="AU813" s="41" t="str">
        <f t="shared" si="44"/>
        <v/>
      </c>
      <c r="AV813" s="5" t="str">
        <f ca="1">IFERROR(__xludf.DUMMYFUNCTION("IFERROR(VLOOKUP(E830&amp;F830,IMPORTRANGE(""https://docs.google.com/spreadsheets/d/1Uw7-A9f9R21vMXxHZFNpYNeKFtG8_yji4HS352LGlSQ/edit?pli=1#gid=0"",""1_ACUM!A4:S""),11,FALSE))"),"")</f>
        <v/>
      </c>
      <c r="AW813" s="42" t="str">
        <f ca="1">IFERROR(__xludf.DUMMYFUNCTION("IFERROR(VLOOKUP(F830,IMPORTRANGE(""https://docs.google.com/spreadsheets/d/1Kvs4KS76FHFqLFIZfrDMff4kP08nblUkihrxltoGBjg/edit#gid=934712705"",""ESENCIAL!A6:BG""),15,FALSE))"),"")</f>
        <v/>
      </c>
      <c r="AX813" s="21" t="str">
        <f ca="1">IFERROR(__xludf.DUMMYFUNCTION("IFERROR(VLOOKUP(E830&amp;F830,IMPORTRANGE(""https://docs.google.com/spreadsheets/d/1Uw7-A9f9R21vMXxHZFNpYNeKFtG8_yji4HS352LGlSQ/edit?pli=1#gid=0"",""1_ACUM!A4:S""),12,FALSE))"),"")</f>
        <v/>
      </c>
      <c r="AY813" s="43" t="str">
        <f ca="1">IFERROR(__xludf.DUMMYFUNCTION("IFERROR(VLOOKUP(E830&amp;F830,IMPORTRANGE(""https://docs.google.com/spreadsheets/d/1Uw7-A9f9R21vMXxHZFNpYNeKFtG8_yji4HS352LGlSQ/edit?pli=1#gid=0"",""1_ACUM!A4:S""),13,FALSE))"),"")</f>
        <v/>
      </c>
      <c r="AZ813" s="43" t="str">
        <f ca="1">IFERROR(__xludf.DUMMYFUNCTION("IFERROR(VLOOKUP(E830&amp;F830,IMPORTRANGE(""https://docs.google.com/spreadsheets/d/1Uw7-A9f9R21vMXxHZFNpYNeKFtG8_yji4HS352LGlSQ/edit?pli=1#gid=0"",""1_ACUM!A4:S""),14,FALSE))"),"")</f>
        <v/>
      </c>
      <c r="BA813" s="43" t="str">
        <f ca="1">IFERROR(__xludf.DUMMYFUNCTION("IFERROR(VLOOKUP(E830&amp;F830,IMPORTRANGE(""https://docs.google.com/spreadsheets/d/1Uw7-A9f9R21vMXxHZFNpYNeKFtG8_yji4HS352LGlSQ/edit?pli=1#gid=0"",""1_ACUM!A4:S""),15,FALSE))"),"")</f>
        <v/>
      </c>
      <c r="BB813" s="43" t="str">
        <f ca="1">IFERROR(__xludf.DUMMYFUNCTION("IFERROR(VLOOKUP(E830&amp;F830,IMPORTRANGE(""https://docs.google.com/spreadsheets/d/1Uw7-A9f9R21vMXxHZFNpYNeKFtG8_yji4HS352LGlSQ/edit?pli=1#gid=0"",""1_ACUM!A4:S""),16,FALSE))"),"")</f>
        <v/>
      </c>
      <c r="BC813" s="43" t="str">
        <f ca="1">IFERROR(__xludf.DUMMYFUNCTION("IFERROR(VLOOKUP(E830&amp;F830,IMPORTRANGE(""https://docs.google.com/spreadsheets/d/1Uw7-A9f9R21vMXxHZFNpYNeKFtG8_yji4HS352LGlSQ/edit?pli=1#gid=0"",""1_ACUM!A4:S""),17,FALSE))"),"")</f>
        <v/>
      </c>
      <c r="BD813" s="44" t="str">
        <f ca="1">IFERROR(__xludf.DUMMYFUNCTION("IFERROR(VLOOKUP(E830&amp;F830,IMPORTRANGE(""https://docs.google.com/spreadsheets/d/1Uw7-A9f9R21vMXxHZFNpYNeKFtG8_yji4HS352LGlSQ/edit?pli=1#gid=0"",""1_ACUM!A4:S""),18,FALSE))"),"")</f>
        <v/>
      </c>
      <c r="BE813" s="44" t="str">
        <f ca="1">IFERROR(__xludf.DUMMYFUNCTION("IFERROR(VLOOKUP(E830&amp;F830,IMPORTRANGE(""https://docs.google.com/spreadsheets/d/1Uw7-A9f9R21vMXxHZFNpYNeKFtG8_yji4HS352LGlSQ/edit?pli=1#gid=0"",""1_ACUM!A4:S""),19,FALSE))"),"")</f>
        <v/>
      </c>
      <c r="BF813" s="44" t="str">
        <f ca="1">IFERROR(__xludf.DUMMYFUNCTION("IFERROR(VLOOKUP(F830,IMPORTRANGE(""https://docs.google.com/spreadsheets/d/1Kvs4KS76FHFqLFIZfrDMff4kP08nblUkihrxltoGBjg/edit#gid=934712705"",""ESENCIAL!A6:BG""),5,FALSE))"),"")</f>
        <v/>
      </c>
      <c r="BG813" s="44" t="str">
        <f t="shared" si="45"/>
        <v/>
      </c>
      <c r="BH813" s="41" t="str">
        <f t="shared" si="46"/>
        <v/>
      </c>
      <c r="BI813" s="41" t="str">
        <f ca="1">IFERROR(__xludf.DUMMYFUNCTION("IFERROR(VLOOKUP(F830,IMPORTRANGE(""https://docs.google.com/spreadsheets/d/1Kvs4KS76FHFqLFIZfrDMff4kP08nblUkihrxltoGBjg/edit#gid=934712705"",""ESENCIAL!A6:BG""),18,FALSE))"),"")</f>
        <v/>
      </c>
      <c r="BJ813" s="19" t="str">
        <f t="shared" si="47"/>
        <v/>
      </c>
      <c r="BK813" s="41"/>
      <c r="BL813" s="41"/>
    </row>
    <row r="814" spans="1:64" ht="15">
      <c r="A814" s="4"/>
      <c r="B814" s="4"/>
      <c r="G814" s="5" t="str">
        <f ca="1">IFERROR(__xludf.DUMMYFUNCTION("IFERROR(VLOOKUP(F831,IMPORTRANGE(""https://docs.google.com/spreadsheets/d/1Kvs4KS76FHFqLFIZfrDMff4kP08nblUkihrxltoGBjg/edit#gid=934712705"",""ESENCIAL!A6:BG""),3,FALSE))"),"")</f>
        <v/>
      </c>
      <c r="H814" s="5" t="str">
        <f ca="1">IFERROR(__xludf.DUMMYFUNCTION("IFERROR(VLOOKUP(F831,IMPORTRANGE(""https://docs.google.com/spreadsheets/d/1Kvs4KS76FHFqLFIZfrDMff4kP08nblUkihrxltoGBjg/edit#gid=934712705"",""ESENCIAL!A6:BG""),8,FALSE))"),"")</f>
        <v/>
      </c>
      <c r="L814" s="287"/>
      <c r="S814"/>
      <c r="AU814" s="41" t="str">
        <f t="shared" si="44"/>
        <v/>
      </c>
      <c r="AV814" s="5" t="str">
        <f ca="1">IFERROR(__xludf.DUMMYFUNCTION("IFERROR(VLOOKUP(E831&amp;F831,IMPORTRANGE(""https://docs.google.com/spreadsheets/d/1Uw7-A9f9R21vMXxHZFNpYNeKFtG8_yji4HS352LGlSQ/edit?pli=1#gid=0"",""1_ACUM!A4:S""),11,FALSE))"),"")</f>
        <v/>
      </c>
      <c r="AW814" s="42" t="str">
        <f ca="1">IFERROR(__xludf.DUMMYFUNCTION("IFERROR(VLOOKUP(F831,IMPORTRANGE(""https://docs.google.com/spreadsheets/d/1Kvs4KS76FHFqLFIZfrDMff4kP08nblUkihrxltoGBjg/edit#gid=934712705"",""ESENCIAL!A6:BG""),15,FALSE))"),"")</f>
        <v/>
      </c>
      <c r="AX814" s="21" t="str">
        <f ca="1">IFERROR(__xludf.DUMMYFUNCTION("IFERROR(VLOOKUP(E831&amp;F831,IMPORTRANGE(""https://docs.google.com/spreadsheets/d/1Uw7-A9f9R21vMXxHZFNpYNeKFtG8_yji4HS352LGlSQ/edit?pli=1#gid=0"",""1_ACUM!A4:S""),12,FALSE))"),"")</f>
        <v/>
      </c>
      <c r="AY814" s="43" t="str">
        <f ca="1">IFERROR(__xludf.DUMMYFUNCTION("IFERROR(VLOOKUP(E831&amp;F831,IMPORTRANGE(""https://docs.google.com/spreadsheets/d/1Uw7-A9f9R21vMXxHZFNpYNeKFtG8_yji4HS352LGlSQ/edit?pli=1#gid=0"",""1_ACUM!A4:S""),13,FALSE))"),"")</f>
        <v/>
      </c>
      <c r="AZ814" s="43" t="str">
        <f ca="1">IFERROR(__xludf.DUMMYFUNCTION("IFERROR(VLOOKUP(E831&amp;F831,IMPORTRANGE(""https://docs.google.com/spreadsheets/d/1Uw7-A9f9R21vMXxHZFNpYNeKFtG8_yji4HS352LGlSQ/edit?pli=1#gid=0"",""1_ACUM!A4:S""),14,FALSE))"),"")</f>
        <v/>
      </c>
      <c r="BA814" s="43" t="str">
        <f ca="1">IFERROR(__xludf.DUMMYFUNCTION("IFERROR(VLOOKUP(E831&amp;F831,IMPORTRANGE(""https://docs.google.com/spreadsheets/d/1Uw7-A9f9R21vMXxHZFNpYNeKFtG8_yji4HS352LGlSQ/edit?pli=1#gid=0"",""1_ACUM!A4:S""),15,FALSE))"),"")</f>
        <v/>
      </c>
      <c r="BB814" s="43" t="str">
        <f ca="1">IFERROR(__xludf.DUMMYFUNCTION("IFERROR(VLOOKUP(E831&amp;F831,IMPORTRANGE(""https://docs.google.com/spreadsheets/d/1Uw7-A9f9R21vMXxHZFNpYNeKFtG8_yji4HS352LGlSQ/edit?pli=1#gid=0"",""1_ACUM!A4:S""),16,FALSE))"),"")</f>
        <v/>
      </c>
      <c r="BC814" s="43" t="str">
        <f ca="1">IFERROR(__xludf.DUMMYFUNCTION("IFERROR(VLOOKUP(E831&amp;F831,IMPORTRANGE(""https://docs.google.com/spreadsheets/d/1Uw7-A9f9R21vMXxHZFNpYNeKFtG8_yji4HS352LGlSQ/edit?pli=1#gid=0"",""1_ACUM!A4:S""),17,FALSE))"),"")</f>
        <v/>
      </c>
      <c r="BD814" s="44" t="str">
        <f ca="1">IFERROR(__xludf.DUMMYFUNCTION("IFERROR(VLOOKUP(E831&amp;F831,IMPORTRANGE(""https://docs.google.com/spreadsheets/d/1Uw7-A9f9R21vMXxHZFNpYNeKFtG8_yji4HS352LGlSQ/edit?pli=1#gid=0"",""1_ACUM!A4:S""),18,FALSE))"),"")</f>
        <v/>
      </c>
      <c r="BE814" s="44" t="str">
        <f ca="1">IFERROR(__xludf.DUMMYFUNCTION("IFERROR(VLOOKUP(E831&amp;F831,IMPORTRANGE(""https://docs.google.com/spreadsheets/d/1Uw7-A9f9R21vMXxHZFNpYNeKFtG8_yji4HS352LGlSQ/edit?pli=1#gid=0"",""1_ACUM!A4:S""),19,FALSE))"),"")</f>
        <v/>
      </c>
      <c r="BF814" s="44" t="str">
        <f ca="1">IFERROR(__xludf.DUMMYFUNCTION("IFERROR(VLOOKUP(F831,IMPORTRANGE(""https://docs.google.com/spreadsheets/d/1Kvs4KS76FHFqLFIZfrDMff4kP08nblUkihrxltoGBjg/edit#gid=934712705"",""ESENCIAL!A6:BG""),5,FALSE))"),"")</f>
        <v/>
      </c>
      <c r="BG814" s="44" t="str">
        <f t="shared" si="45"/>
        <v/>
      </c>
      <c r="BH814" s="41" t="str">
        <f t="shared" si="46"/>
        <v/>
      </c>
      <c r="BI814" s="41" t="str">
        <f ca="1">IFERROR(__xludf.DUMMYFUNCTION("IFERROR(VLOOKUP(F831,IMPORTRANGE(""https://docs.google.com/spreadsheets/d/1Kvs4KS76FHFqLFIZfrDMff4kP08nblUkihrxltoGBjg/edit#gid=934712705"",""ESENCIAL!A6:BG""),18,FALSE))"),"")</f>
        <v/>
      </c>
      <c r="BJ814" s="19" t="str">
        <f t="shared" si="47"/>
        <v/>
      </c>
      <c r="BK814" s="41"/>
      <c r="BL814" s="41"/>
    </row>
    <row r="815" spans="1:64" ht="15">
      <c r="A815" s="4"/>
      <c r="B815" s="4"/>
      <c r="G815" s="5" t="str">
        <f ca="1">IFERROR(__xludf.DUMMYFUNCTION("IFERROR(VLOOKUP(F832,IMPORTRANGE(""https://docs.google.com/spreadsheets/d/1Kvs4KS76FHFqLFIZfrDMff4kP08nblUkihrxltoGBjg/edit#gid=934712705"",""ESENCIAL!A6:BG""),3,FALSE))"),"")</f>
        <v/>
      </c>
      <c r="H815" s="5" t="str">
        <f ca="1">IFERROR(__xludf.DUMMYFUNCTION("IFERROR(VLOOKUP(F832,IMPORTRANGE(""https://docs.google.com/spreadsheets/d/1Kvs4KS76FHFqLFIZfrDMff4kP08nblUkihrxltoGBjg/edit#gid=934712705"",""ESENCIAL!A6:BG""),8,FALSE))"),"")</f>
        <v/>
      </c>
      <c r="L815" s="287"/>
      <c r="S815"/>
      <c r="AU815" s="41" t="str">
        <f t="shared" si="44"/>
        <v/>
      </c>
      <c r="AV815" s="5" t="str">
        <f ca="1">IFERROR(__xludf.DUMMYFUNCTION("IFERROR(VLOOKUP(E832&amp;F832,IMPORTRANGE(""https://docs.google.com/spreadsheets/d/1Uw7-A9f9R21vMXxHZFNpYNeKFtG8_yji4HS352LGlSQ/edit?pli=1#gid=0"",""1_ACUM!A4:S""),11,FALSE))"),"")</f>
        <v/>
      </c>
      <c r="AW815" s="42" t="str">
        <f ca="1">IFERROR(__xludf.DUMMYFUNCTION("IFERROR(VLOOKUP(F832,IMPORTRANGE(""https://docs.google.com/spreadsheets/d/1Kvs4KS76FHFqLFIZfrDMff4kP08nblUkihrxltoGBjg/edit#gid=934712705"",""ESENCIAL!A6:BG""),15,FALSE))"),"")</f>
        <v/>
      </c>
      <c r="AX815" s="21" t="str">
        <f ca="1">IFERROR(__xludf.DUMMYFUNCTION("IFERROR(VLOOKUP(E832&amp;F832,IMPORTRANGE(""https://docs.google.com/spreadsheets/d/1Uw7-A9f9R21vMXxHZFNpYNeKFtG8_yji4HS352LGlSQ/edit?pli=1#gid=0"",""1_ACUM!A4:S""),12,FALSE))"),"")</f>
        <v/>
      </c>
      <c r="AY815" s="43" t="str">
        <f ca="1">IFERROR(__xludf.DUMMYFUNCTION("IFERROR(VLOOKUP(E832&amp;F832,IMPORTRANGE(""https://docs.google.com/spreadsheets/d/1Uw7-A9f9R21vMXxHZFNpYNeKFtG8_yji4HS352LGlSQ/edit?pli=1#gid=0"",""1_ACUM!A4:S""),13,FALSE))"),"")</f>
        <v/>
      </c>
      <c r="AZ815" s="43" t="str">
        <f ca="1">IFERROR(__xludf.DUMMYFUNCTION("IFERROR(VLOOKUP(E832&amp;F832,IMPORTRANGE(""https://docs.google.com/spreadsheets/d/1Uw7-A9f9R21vMXxHZFNpYNeKFtG8_yji4HS352LGlSQ/edit?pli=1#gid=0"",""1_ACUM!A4:S""),14,FALSE))"),"")</f>
        <v/>
      </c>
      <c r="BA815" s="43" t="str">
        <f ca="1">IFERROR(__xludf.DUMMYFUNCTION("IFERROR(VLOOKUP(E832&amp;F832,IMPORTRANGE(""https://docs.google.com/spreadsheets/d/1Uw7-A9f9R21vMXxHZFNpYNeKFtG8_yji4HS352LGlSQ/edit?pli=1#gid=0"",""1_ACUM!A4:S""),15,FALSE))"),"")</f>
        <v/>
      </c>
      <c r="BB815" s="43" t="str">
        <f ca="1">IFERROR(__xludf.DUMMYFUNCTION("IFERROR(VLOOKUP(E832&amp;F832,IMPORTRANGE(""https://docs.google.com/spreadsheets/d/1Uw7-A9f9R21vMXxHZFNpYNeKFtG8_yji4HS352LGlSQ/edit?pli=1#gid=0"",""1_ACUM!A4:S""),16,FALSE))"),"")</f>
        <v/>
      </c>
      <c r="BC815" s="43" t="str">
        <f ca="1">IFERROR(__xludf.DUMMYFUNCTION("IFERROR(VLOOKUP(E832&amp;F832,IMPORTRANGE(""https://docs.google.com/spreadsheets/d/1Uw7-A9f9R21vMXxHZFNpYNeKFtG8_yji4HS352LGlSQ/edit?pli=1#gid=0"",""1_ACUM!A4:S""),17,FALSE))"),"")</f>
        <v/>
      </c>
      <c r="BD815" s="44" t="str">
        <f ca="1">IFERROR(__xludf.DUMMYFUNCTION("IFERROR(VLOOKUP(E832&amp;F832,IMPORTRANGE(""https://docs.google.com/spreadsheets/d/1Uw7-A9f9R21vMXxHZFNpYNeKFtG8_yji4HS352LGlSQ/edit?pli=1#gid=0"",""1_ACUM!A4:S""),18,FALSE))"),"")</f>
        <v/>
      </c>
      <c r="BE815" s="44" t="str">
        <f ca="1">IFERROR(__xludf.DUMMYFUNCTION("IFERROR(VLOOKUP(E832&amp;F832,IMPORTRANGE(""https://docs.google.com/spreadsheets/d/1Uw7-A9f9R21vMXxHZFNpYNeKFtG8_yji4HS352LGlSQ/edit?pli=1#gid=0"",""1_ACUM!A4:S""),19,FALSE))"),"")</f>
        <v/>
      </c>
      <c r="BF815" s="44" t="str">
        <f ca="1">IFERROR(__xludf.DUMMYFUNCTION("IFERROR(VLOOKUP(F832,IMPORTRANGE(""https://docs.google.com/spreadsheets/d/1Kvs4KS76FHFqLFIZfrDMff4kP08nblUkihrxltoGBjg/edit#gid=934712705"",""ESENCIAL!A6:BG""),5,FALSE))"),"")</f>
        <v/>
      </c>
      <c r="BG815" s="44" t="str">
        <f t="shared" si="45"/>
        <v/>
      </c>
      <c r="BH815" s="41" t="str">
        <f t="shared" si="46"/>
        <v/>
      </c>
      <c r="BI815" s="41" t="str">
        <f ca="1">IFERROR(__xludf.DUMMYFUNCTION("IFERROR(VLOOKUP(F832,IMPORTRANGE(""https://docs.google.com/spreadsheets/d/1Kvs4KS76FHFqLFIZfrDMff4kP08nblUkihrxltoGBjg/edit#gid=934712705"",""ESENCIAL!A6:BG""),18,FALSE))"),"")</f>
        <v/>
      </c>
      <c r="BJ815" s="19" t="str">
        <f t="shared" si="47"/>
        <v/>
      </c>
      <c r="BK815" s="41"/>
      <c r="BL815" s="41"/>
    </row>
    <row r="816" spans="1:64" ht="15">
      <c r="A816" s="4"/>
      <c r="B816" s="4"/>
      <c r="G816" s="5" t="str">
        <f ca="1">IFERROR(__xludf.DUMMYFUNCTION("IFERROR(VLOOKUP(F833,IMPORTRANGE(""https://docs.google.com/spreadsheets/d/1Kvs4KS76FHFqLFIZfrDMff4kP08nblUkihrxltoGBjg/edit#gid=934712705"",""ESENCIAL!A6:BG""),3,FALSE))"),"")</f>
        <v/>
      </c>
      <c r="H816" s="5" t="str">
        <f ca="1">IFERROR(__xludf.DUMMYFUNCTION("IFERROR(VLOOKUP(F833,IMPORTRANGE(""https://docs.google.com/spreadsheets/d/1Kvs4KS76FHFqLFIZfrDMff4kP08nblUkihrxltoGBjg/edit#gid=934712705"",""ESENCIAL!A6:BG""),8,FALSE))"),"")</f>
        <v/>
      </c>
      <c r="L816" s="287"/>
      <c r="S816"/>
      <c r="AU816" s="41" t="str">
        <f t="shared" si="44"/>
        <v/>
      </c>
      <c r="AV816" s="5" t="str">
        <f ca="1">IFERROR(__xludf.DUMMYFUNCTION("IFERROR(VLOOKUP(E833&amp;F833,IMPORTRANGE(""https://docs.google.com/spreadsheets/d/1Uw7-A9f9R21vMXxHZFNpYNeKFtG8_yji4HS352LGlSQ/edit?pli=1#gid=0"",""1_ACUM!A4:S""),11,FALSE))"),"")</f>
        <v/>
      </c>
      <c r="AW816" s="42" t="str">
        <f ca="1">IFERROR(__xludf.DUMMYFUNCTION("IFERROR(VLOOKUP(F833,IMPORTRANGE(""https://docs.google.com/spreadsheets/d/1Kvs4KS76FHFqLFIZfrDMff4kP08nblUkihrxltoGBjg/edit#gid=934712705"",""ESENCIAL!A6:BG""),15,FALSE))"),"")</f>
        <v/>
      </c>
      <c r="AX816" s="21" t="str">
        <f ca="1">IFERROR(__xludf.DUMMYFUNCTION("IFERROR(VLOOKUP(E833&amp;F833,IMPORTRANGE(""https://docs.google.com/spreadsheets/d/1Uw7-A9f9R21vMXxHZFNpYNeKFtG8_yji4HS352LGlSQ/edit?pli=1#gid=0"",""1_ACUM!A4:S""),12,FALSE))"),"")</f>
        <v/>
      </c>
      <c r="AY816" s="43" t="str">
        <f ca="1">IFERROR(__xludf.DUMMYFUNCTION("IFERROR(VLOOKUP(E833&amp;F833,IMPORTRANGE(""https://docs.google.com/spreadsheets/d/1Uw7-A9f9R21vMXxHZFNpYNeKFtG8_yji4HS352LGlSQ/edit?pli=1#gid=0"",""1_ACUM!A4:S""),13,FALSE))"),"")</f>
        <v/>
      </c>
      <c r="AZ816" s="43" t="str">
        <f ca="1">IFERROR(__xludf.DUMMYFUNCTION("IFERROR(VLOOKUP(E833&amp;F833,IMPORTRANGE(""https://docs.google.com/spreadsheets/d/1Uw7-A9f9R21vMXxHZFNpYNeKFtG8_yji4HS352LGlSQ/edit?pli=1#gid=0"",""1_ACUM!A4:S""),14,FALSE))"),"")</f>
        <v/>
      </c>
      <c r="BA816" s="43" t="str">
        <f ca="1">IFERROR(__xludf.DUMMYFUNCTION("IFERROR(VLOOKUP(E833&amp;F833,IMPORTRANGE(""https://docs.google.com/spreadsheets/d/1Uw7-A9f9R21vMXxHZFNpYNeKFtG8_yji4HS352LGlSQ/edit?pli=1#gid=0"",""1_ACUM!A4:S""),15,FALSE))"),"")</f>
        <v/>
      </c>
      <c r="BB816" s="43" t="str">
        <f ca="1">IFERROR(__xludf.DUMMYFUNCTION("IFERROR(VLOOKUP(E833&amp;F833,IMPORTRANGE(""https://docs.google.com/spreadsheets/d/1Uw7-A9f9R21vMXxHZFNpYNeKFtG8_yji4HS352LGlSQ/edit?pli=1#gid=0"",""1_ACUM!A4:S""),16,FALSE))"),"")</f>
        <v/>
      </c>
      <c r="BC816" s="43" t="str">
        <f ca="1">IFERROR(__xludf.DUMMYFUNCTION("IFERROR(VLOOKUP(E833&amp;F833,IMPORTRANGE(""https://docs.google.com/spreadsheets/d/1Uw7-A9f9R21vMXxHZFNpYNeKFtG8_yji4HS352LGlSQ/edit?pli=1#gid=0"",""1_ACUM!A4:S""),17,FALSE))"),"")</f>
        <v/>
      </c>
      <c r="BD816" s="44" t="str">
        <f ca="1">IFERROR(__xludf.DUMMYFUNCTION("IFERROR(VLOOKUP(E833&amp;F833,IMPORTRANGE(""https://docs.google.com/spreadsheets/d/1Uw7-A9f9R21vMXxHZFNpYNeKFtG8_yji4HS352LGlSQ/edit?pli=1#gid=0"",""1_ACUM!A4:S""),18,FALSE))"),"")</f>
        <v/>
      </c>
      <c r="BE816" s="44" t="str">
        <f ca="1">IFERROR(__xludf.DUMMYFUNCTION("IFERROR(VLOOKUP(E833&amp;F833,IMPORTRANGE(""https://docs.google.com/spreadsheets/d/1Uw7-A9f9R21vMXxHZFNpYNeKFtG8_yji4HS352LGlSQ/edit?pli=1#gid=0"",""1_ACUM!A4:S""),19,FALSE))"),"")</f>
        <v/>
      </c>
      <c r="BF816" s="44" t="str">
        <f ca="1">IFERROR(__xludf.DUMMYFUNCTION("IFERROR(VLOOKUP(F833,IMPORTRANGE(""https://docs.google.com/spreadsheets/d/1Kvs4KS76FHFqLFIZfrDMff4kP08nblUkihrxltoGBjg/edit#gid=934712705"",""ESENCIAL!A6:BG""),5,FALSE))"),"")</f>
        <v/>
      </c>
      <c r="BG816" s="44" t="str">
        <f t="shared" si="45"/>
        <v/>
      </c>
      <c r="BH816" s="41" t="str">
        <f t="shared" si="46"/>
        <v/>
      </c>
      <c r="BI816" s="41" t="str">
        <f ca="1">IFERROR(__xludf.DUMMYFUNCTION("IFERROR(VLOOKUP(F833,IMPORTRANGE(""https://docs.google.com/spreadsheets/d/1Kvs4KS76FHFqLFIZfrDMff4kP08nblUkihrxltoGBjg/edit#gid=934712705"",""ESENCIAL!A6:BG""),18,FALSE))"),"")</f>
        <v/>
      </c>
      <c r="BJ816" s="19" t="str">
        <f t="shared" si="47"/>
        <v/>
      </c>
      <c r="BK816" s="41"/>
      <c r="BL816" s="41"/>
    </row>
    <row r="817" spans="1:64" ht="15">
      <c r="A817" s="4"/>
      <c r="B817" s="4"/>
      <c r="G817" s="5" t="str">
        <f ca="1">IFERROR(__xludf.DUMMYFUNCTION("IFERROR(VLOOKUP(F834,IMPORTRANGE(""https://docs.google.com/spreadsheets/d/1Kvs4KS76FHFqLFIZfrDMff4kP08nblUkihrxltoGBjg/edit#gid=934712705"",""ESENCIAL!A6:BG""),3,FALSE))"),"")</f>
        <v/>
      </c>
      <c r="H817" s="5" t="str">
        <f ca="1">IFERROR(__xludf.DUMMYFUNCTION("IFERROR(VLOOKUP(F834,IMPORTRANGE(""https://docs.google.com/spreadsheets/d/1Kvs4KS76FHFqLFIZfrDMff4kP08nblUkihrxltoGBjg/edit#gid=934712705"",""ESENCIAL!A6:BG""),8,FALSE))"),"")</f>
        <v/>
      </c>
      <c r="L817" s="287"/>
      <c r="S817"/>
      <c r="AU817" s="41" t="str">
        <f t="shared" si="44"/>
        <v/>
      </c>
      <c r="AV817" s="5" t="str">
        <f ca="1">IFERROR(__xludf.DUMMYFUNCTION("IFERROR(VLOOKUP(E834&amp;F834,IMPORTRANGE(""https://docs.google.com/spreadsheets/d/1Uw7-A9f9R21vMXxHZFNpYNeKFtG8_yji4HS352LGlSQ/edit?pli=1#gid=0"",""1_ACUM!A4:S""),11,FALSE))"),"")</f>
        <v/>
      </c>
      <c r="AW817" s="42" t="str">
        <f ca="1">IFERROR(__xludf.DUMMYFUNCTION("IFERROR(VLOOKUP(F834,IMPORTRANGE(""https://docs.google.com/spreadsheets/d/1Kvs4KS76FHFqLFIZfrDMff4kP08nblUkihrxltoGBjg/edit#gid=934712705"",""ESENCIAL!A6:BG""),15,FALSE))"),"")</f>
        <v/>
      </c>
      <c r="AX817" s="21" t="str">
        <f ca="1">IFERROR(__xludf.DUMMYFUNCTION("IFERROR(VLOOKUP(E834&amp;F834,IMPORTRANGE(""https://docs.google.com/spreadsheets/d/1Uw7-A9f9R21vMXxHZFNpYNeKFtG8_yji4HS352LGlSQ/edit?pli=1#gid=0"",""1_ACUM!A4:S""),12,FALSE))"),"")</f>
        <v/>
      </c>
      <c r="AY817" s="43" t="str">
        <f ca="1">IFERROR(__xludf.DUMMYFUNCTION("IFERROR(VLOOKUP(E834&amp;F834,IMPORTRANGE(""https://docs.google.com/spreadsheets/d/1Uw7-A9f9R21vMXxHZFNpYNeKFtG8_yji4HS352LGlSQ/edit?pli=1#gid=0"",""1_ACUM!A4:S""),13,FALSE))"),"")</f>
        <v/>
      </c>
      <c r="AZ817" s="43" t="str">
        <f ca="1">IFERROR(__xludf.DUMMYFUNCTION("IFERROR(VLOOKUP(E834&amp;F834,IMPORTRANGE(""https://docs.google.com/spreadsheets/d/1Uw7-A9f9R21vMXxHZFNpYNeKFtG8_yji4HS352LGlSQ/edit?pli=1#gid=0"",""1_ACUM!A4:S""),14,FALSE))"),"")</f>
        <v/>
      </c>
      <c r="BA817" s="43" t="str">
        <f ca="1">IFERROR(__xludf.DUMMYFUNCTION("IFERROR(VLOOKUP(E834&amp;F834,IMPORTRANGE(""https://docs.google.com/spreadsheets/d/1Uw7-A9f9R21vMXxHZFNpYNeKFtG8_yji4HS352LGlSQ/edit?pli=1#gid=0"",""1_ACUM!A4:S""),15,FALSE))"),"")</f>
        <v/>
      </c>
      <c r="BB817" s="43" t="str">
        <f ca="1">IFERROR(__xludf.DUMMYFUNCTION("IFERROR(VLOOKUP(E834&amp;F834,IMPORTRANGE(""https://docs.google.com/spreadsheets/d/1Uw7-A9f9R21vMXxHZFNpYNeKFtG8_yji4HS352LGlSQ/edit?pli=1#gid=0"",""1_ACUM!A4:S""),16,FALSE))"),"")</f>
        <v/>
      </c>
      <c r="BC817" s="43" t="str">
        <f ca="1">IFERROR(__xludf.DUMMYFUNCTION("IFERROR(VLOOKUP(E834&amp;F834,IMPORTRANGE(""https://docs.google.com/spreadsheets/d/1Uw7-A9f9R21vMXxHZFNpYNeKFtG8_yji4HS352LGlSQ/edit?pli=1#gid=0"",""1_ACUM!A4:S""),17,FALSE))"),"")</f>
        <v/>
      </c>
      <c r="BD817" s="44" t="str">
        <f ca="1">IFERROR(__xludf.DUMMYFUNCTION("IFERROR(VLOOKUP(E834&amp;F834,IMPORTRANGE(""https://docs.google.com/spreadsheets/d/1Uw7-A9f9R21vMXxHZFNpYNeKFtG8_yji4HS352LGlSQ/edit?pli=1#gid=0"",""1_ACUM!A4:S""),18,FALSE))"),"")</f>
        <v/>
      </c>
      <c r="BE817" s="44" t="str">
        <f ca="1">IFERROR(__xludf.DUMMYFUNCTION("IFERROR(VLOOKUP(E834&amp;F834,IMPORTRANGE(""https://docs.google.com/spreadsheets/d/1Uw7-A9f9R21vMXxHZFNpYNeKFtG8_yji4HS352LGlSQ/edit?pli=1#gid=0"",""1_ACUM!A4:S""),19,FALSE))"),"")</f>
        <v/>
      </c>
      <c r="BF817" s="44" t="str">
        <f ca="1">IFERROR(__xludf.DUMMYFUNCTION("IFERROR(VLOOKUP(F834,IMPORTRANGE(""https://docs.google.com/spreadsheets/d/1Kvs4KS76FHFqLFIZfrDMff4kP08nblUkihrxltoGBjg/edit#gid=934712705"",""ESENCIAL!A6:BG""),5,FALSE))"),"")</f>
        <v/>
      </c>
      <c r="BG817" s="44" t="str">
        <f t="shared" si="45"/>
        <v/>
      </c>
      <c r="BH817" s="41" t="str">
        <f t="shared" si="46"/>
        <v/>
      </c>
      <c r="BI817" s="41" t="str">
        <f ca="1">IFERROR(__xludf.DUMMYFUNCTION("IFERROR(VLOOKUP(F834,IMPORTRANGE(""https://docs.google.com/spreadsheets/d/1Kvs4KS76FHFqLFIZfrDMff4kP08nblUkihrxltoGBjg/edit#gid=934712705"",""ESENCIAL!A6:BG""),18,FALSE))"),"")</f>
        <v/>
      </c>
      <c r="BJ817" s="19" t="str">
        <f t="shared" si="47"/>
        <v/>
      </c>
      <c r="BK817" s="41"/>
      <c r="BL817" s="41"/>
    </row>
    <row r="818" spans="1:64" ht="15">
      <c r="A818" s="4"/>
      <c r="B818" s="4"/>
      <c r="G818" s="5" t="str">
        <f ca="1">IFERROR(__xludf.DUMMYFUNCTION("IFERROR(VLOOKUP(F835,IMPORTRANGE(""https://docs.google.com/spreadsheets/d/1Kvs4KS76FHFqLFIZfrDMff4kP08nblUkihrxltoGBjg/edit#gid=934712705"",""ESENCIAL!A6:BG""),3,FALSE))"),"")</f>
        <v/>
      </c>
      <c r="H818" s="5" t="str">
        <f ca="1">IFERROR(__xludf.DUMMYFUNCTION("IFERROR(VLOOKUP(F835,IMPORTRANGE(""https://docs.google.com/spreadsheets/d/1Kvs4KS76FHFqLFIZfrDMff4kP08nblUkihrxltoGBjg/edit#gid=934712705"",""ESENCIAL!A6:BG""),8,FALSE))"),"")</f>
        <v/>
      </c>
      <c r="L818" s="287"/>
      <c r="S818"/>
      <c r="AU818" s="41" t="str">
        <f t="shared" si="44"/>
        <v/>
      </c>
      <c r="AV818" s="5" t="str">
        <f ca="1">IFERROR(__xludf.DUMMYFUNCTION("IFERROR(VLOOKUP(E835&amp;F835,IMPORTRANGE(""https://docs.google.com/spreadsheets/d/1Uw7-A9f9R21vMXxHZFNpYNeKFtG8_yji4HS352LGlSQ/edit?pli=1#gid=0"",""1_ACUM!A4:S""),11,FALSE))"),"")</f>
        <v/>
      </c>
      <c r="AW818" s="42" t="str">
        <f ca="1">IFERROR(__xludf.DUMMYFUNCTION("IFERROR(VLOOKUP(F835,IMPORTRANGE(""https://docs.google.com/spreadsheets/d/1Kvs4KS76FHFqLFIZfrDMff4kP08nblUkihrxltoGBjg/edit#gid=934712705"",""ESENCIAL!A6:BG""),15,FALSE))"),"")</f>
        <v/>
      </c>
      <c r="AX818" s="21" t="str">
        <f ca="1">IFERROR(__xludf.DUMMYFUNCTION("IFERROR(VLOOKUP(E835&amp;F835,IMPORTRANGE(""https://docs.google.com/spreadsheets/d/1Uw7-A9f9R21vMXxHZFNpYNeKFtG8_yji4HS352LGlSQ/edit?pli=1#gid=0"",""1_ACUM!A4:S""),12,FALSE))"),"")</f>
        <v/>
      </c>
      <c r="AY818" s="43" t="str">
        <f ca="1">IFERROR(__xludf.DUMMYFUNCTION("IFERROR(VLOOKUP(E835&amp;F835,IMPORTRANGE(""https://docs.google.com/spreadsheets/d/1Uw7-A9f9R21vMXxHZFNpYNeKFtG8_yji4HS352LGlSQ/edit?pli=1#gid=0"",""1_ACUM!A4:S""),13,FALSE))"),"")</f>
        <v/>
      </c>
      <c r="AZ818" s="43" t="str">
        <f ca="1">IFERROR(__xludf.DUMMYFUNCTION("IFERROR(VLOOKUP(E835&amp;F835,IMPORTRANGE(""https://docs.google.com/spreadsheets/d/1Uw7-A9f9R21vMXxHZFNpYNeKFtG8_yji4HS352LGlSQ/edit?pli=1#gid=0"",""1_ACUM!A4:S""),14,FALSE))"),"")</f>
        <v/>
      </c>
      <c r="BA818" s="43" t="str">
        <f ca="1">IFERROR(__xludf.DUMMYFUNCTION("IFERROR(VLOOKUP(E835&amp;F835,IMPORTRANGE(""https://docs.google.com/spreadsheets/d/1Uw7-A9f9R21vMXxHZFNpYNeKFtG8_yji4HS352LGlSQ/edit?pli=1#gid=0"",""1_ACUM!A4:S""),15,FALSE))"),"")</f>
        <v/>
      </c>
      <c r="BB818" s="43" t="str">
        <f ca="1">IFERROR(__xludf.DUMMYFUNCTION("IFERROR(VLOOKUP(E835&amp;F835,IMPORTRANGE(""https://docs.google.com/spreadsheets/d/1Uw7-A9f9R21vMXxHZFNpYNeKFtG8_yji4HS352LGlSQ/edit?pli=1#gid=0"",""1_ACUM!A4:S""),16,FALSE))"),"")</f>
        <v/>
      </c>
      <c r="BC818" s="43" t="str">
        <f ca="1">IFERROR(__xludf.DUMMYFUNCTION("IFERROR(VLOOKUP(E835&amp;F835,IMPORTRANGE(""https://docs.google.com/spreadsheets/d/1Uw7-A9f9R21vMXxHZFNpYNeKFtG8_yji4HS352LGlSQ/edit?pli=1#gid=0"",""1_ACUM!A4:S""),17,FALSE))"),"")</f>
        <v/>
      </c>
      <c r="BD818" s="44" t="str">
        <f ca="1">IFERROR(__xludf.DUMMYFUNCTION("IFERROR(VLOOKUP(E835&amp;F835,IMPORTRANGE(""https://docs.google.com/spreadsheets/d/1Uw7-A9f9R21vMXxHZFNpYNeKFtG8_yji4HS352LGlSQ/edit?pli=1#gid=0"",""1_ACUM!A4:S""),18,FALSE))"),"")</f>
        <v/>
      </c>
      <c r="BE818" s="44" t="str">
        <f ca="1">IFERROR(__xludf.DUMMYFUNCTION("IFERROR(VLOOKUP(E835&amp;F835,IMPORTRANGE(""https://docs.google.com/spreadsheets/d/1Uw7-A9f9R21vMXxHZFNpYNeKFtG8_yji4HS352LGlSQ/edit?pli=1#gid=0"",""1_ACUM!A4:S""),19,FALSE))"),"")</f>
        <v/>
      </c>
      <c r="BF818" s="44" t="str">
        <f ca="1">IFERROR(__xludf.DUMMYFUNCTION("IFERROR(VLOOKUP(F835,IMPORTRANGE(""https://docs.google.com/spreadsheets/d/1Kvs4KS76FHFqLFIZfrDMff4kP08nblUkihrxltoGBjg/edit#gid=934712705"",""ESENCIAL!A6:BG""),5,FALSE))"),"")</f>
        <v/>
      </c>
      <c r="BG818" s="44" t="str">
        <f t="shared" si="45"/>
        <v/>
      </c>
      <c r="BH818" s="41" t="str">
        <f t="shared" si="46"/>
        <v/>
      </c>
      <c r="BI818" s="41" t="str">
        <f ca="1">IFERROR(__xludf.DUMMYFUNCTION("IFERROR(VLOOKUP(F835,IMPORTRANGE(""https://docs.google.com/spreadsheets/d/1Kvs4KS76FHFqLFIZfrDMff4kP08nblUkihrxltoGBjg/edit#gid=934712705"",""ESENCIAL!A6:BG""),18,FALSE))"),"")</f>
        <v/>
      </c>
      <c r="BJ818" s="19" t="str">
        <f t="shared" si="47"/>
        <v/>
      </c>
      <c r="BK818" s="41"/>
      <c r="BL818" s="41"/>
    </row>
    <row r="819" spans="1:64" ht="15">
      <c r="A819" s="4"/>
      <c r="B819" s="4"/>
      <c r="G819" s="5" t="str">
        <f ca="1">IFERROR(__xludf.DUMMYFUNCTION("IFERROR(VLOOKUP(F836,IMPORTRANGE(""https://docs.google.com/spreadsheets/d/1Kvs4KS76FHFqLFIZfrDMff4kP08nblUkihrxltoGBjg/edit#gid=934712705"",""ESENCIAL!A6:BG""),3,FALSE))"),"")</f>
        <v/>
      </c>
      <c r="H819" s="5" t="str">
        <f ca="1">IFERROR(__xludf.DUMMYFUNCTION("IFERROR(VLOOKUP(F836,IMPORTRANGE(""https://docs.google.com/spreadsheets/d/1Kvs4KS76FHFqLFIZfrDMff4kP08nblUkihrxltoGBjg/edit#gid=934712705"",""ESENCIAL!A6:BG""),8,FALSE))"),"")</f>
        <v/>
      </c>
      <c r="L819" s="287"/>
      <c r="S819"/>
      <c r="AU819" s="41" t="str">
        <f t="shared" si="44"/>
        <v/>
      </c>
      <c r="AV819" s="5" t="str">
        <f ca="1">IFERROR(__xludf.DUMMYFUNCTION("IFERROR(VLOOKUP(E836&amp;F836,IMPORTRANGE(""https://docs.google.com/spreadsheets/d/1Uw7-A9f9R21vMXxHZFNpYNeKFtG8_yji4HS352LGlSQ/edit?pli=1#gid=0"",""1_ACUM!A4:S""),11,FALSE))"),"")</f>
        <v/>
      </c>
      <c r="AW819" s="42" t="str">
        <f ca="1">IFERROR(__xludf.DUMMYFUNCTION("IFERROR(VLOOKUP(F836,IMPORTRANGE(""https://docs.google.com/spreadsheets/d/1Kvs4KS76FHFqLFIZfrDMff4kP08nblUkihrxltoGBjg/edit#gid=934712705"",""ESENCIAL!A6:BG""),15,FALSE))"),"")</f>
        <v/>
      </c>
      <c r="AX819" s="21" t="str">
        <f ca="1">IFERROR(__xludf.DUMMYFUNCTION("IFERROR(VLOOKUP(E836&amp;F836,IMPORTRANGE(""https://docs.google.com/spreadsheets/d/1Uw7-A9f9R21vMXxHZFNpYNeKFtG8_yji4HS352LGlSQ/edit?pli=1#gid=0"",""1_ACUM!A4:S""),12,FALSE))"),"")</f>
        <v/>
      </c>
      <c r="AY819" s="43" t="str">
        <f ca="1">IFERROR(__xludf.DUMMYFUNCTION("IFERROR(VLOOKUP(E836&amp;F836,IMPORTRANGE(""https://docs.google.com/spreadsheets/d/1Uw7-A9f9R21vMXxHZFNpYNeKFtG8_yji4HS352LGlSQ/edit?pli=1#gid=0"",""1_ACUM!A4:S""),13,FALSE))"),"")</f>
        <v/>
      </c>
      <c r="AZ819" s="43" t="str">
        <f ca="1">IFERROR(__xludf.DUMMYFUNCTION("IFERROR(VLOOKUP(E836&amp;F836,IMPORTRANGE(""https://docs.google.com/spreadsheets/d/1Uw7-A9f9R21vMXxHZFNpYNeKFtG8_yji4HS352LGlSQ/edit?pli=1#gid=0"",""1_ACUM!A4:S""),14,FALSE))"),"")</f>
        <v/>
      </c>
      <c r="BA819" s="43" t="str">
        <f ca="1">IFERROR(__xludf.DUMMYFUNCTION("IFERROR(VLOOKUP(E836&amp;F836,IMPORTRANGE(""https://docs.google.com/spreadsheets/d/1Uw7-A9f9R21vMXxHZFNpYNeKFtG8_yji4HS352LGlSQ/edit?pli=1#gid=0"",""1_ACUM!A4:S""),15,FALSE))"),"")</f>
        <v/>
      </c>
      <c r="BB819" s="43" t="str">
        <f ca="1">IFERROR(__xludf.DUMMYFUNCTION("IFERROR(VLOOKUP(E836&amp;F836,IMPORTRANGE(""https://docs.google.com/spreadsheets/d/1Uw7-A9f9R21vMXxHZFNpYNeKFtG8_yji4HS352LGlSQ/edit?pli=1#gid=0"",""1_ACUM!A4:S""),16,FALSE))"),"")</f>
        <v/>
      </c>
      <c r="BC819" s="43" t="str">
        <f ca="1">IFERROR(__xludf.DUMMYFUNCTION("IFERROR(VLOOKUP(E836&amp;F836,IMPORTRANGE(""https://docs.google.com/spreadsheets/d/1Uw7-A9f9R21vMXxHZFNpYNeKFtG8_yji4HS352LGlSQ/edit?pli=1#gid=0"",""1_ACUM!A4:S""),17,FALSE))"),"")</f>
        <v/>
      </c>
      <c r="BD819" s="44" t="str">
        <f ca="1">IFERROR(__xludf.DUMMYFUNCTION("IFERROR(VLOOKUP(E836&amp;F836,IMPORTRANGE(""https://docs.google.com/spreadsheets/d/1Uw7-A9f9R21vMXxHZFNpYNeKFtG8_yji4HS352LGlSQ/edit?pli=1#gid=0"",""1_ACUM!A4:S""),18,FALSE))"),"")</f>
        <v/>
      </c>
      <c r="BE819" s="44" t="str">
        <f ca="1">IFERROR(__xludf.DUMMYFUNCTION("IFERROR(VLOOKUP(E836&amp;F836,IMPORTRANGE(""https://docs.google.com/spreadsheets/d/1Uw7-A9f9R21vMXxHZFNpYNeKFtG8_yji4HS352LGlSQ/edit?pli=1#gid=0"",""1_ACUM!A4:S""),19,FALSE))"),"")</f>
        <v/>
      </c>
      <c r="BF819" s="44" t="str">
        <f ca="1">IFERROR(__xludf.DUMMYFUNCTION("IFERROR(VLOOKUP(F836,IMPORTRANGE(""https://docs.google.com/spreadsheets/d/1Kvs4KS76FHFqLFIZfrDMff4kP08nblUkihrxltoGBjg/edit#gid=934712705"",""ESENCIAL!A6:BG""),5,FALSE))"),"")</f>
        <v/>
      </c>
      <c r="BG819" s="44" t="str">
        <f t="shared" si="45"/>
        <v/>
      </c>
      <c r="BH819" s="41" t="str">
        <f t="shared" si="46"/>
        <v/>
      </c>
      <c r="BI819" s="41" t="str">
        <f ca="1">IFERROR(__xludf.DUMMYFUNCTION("IFERROR(VLOOKUP(F836,IMPORTRANGE(""https://docs.google.com/spreadsheets/d/1Kvs4KS76FHFqLFIZfrDMff4kP08nblUkihrxltoGBjg/edit#gid=934712705"",""ESENCIAL!A6:BG""),18,FALSE))"),"")</f>
        <v/>
      </c>
      <c r="BJ819" s="19" t="str">
        <f t="shared" si="47"/>
        <v/>
      </c>
      <c r="BK819" s="41"/>
      <c r="BL819" s="41"/>
    </row>
    <row r="820" spans="1:64" ht="15">
      <c r="A820" s="4"/>
      <c r="B820" s="4"/>
      <c r="G820" s="5" t="str">
        <f ca="1">IFERROR(__xludf.DUMMYFUNCTION("IFERROR(VLOOKUP(F837,IMPORTRANGE(""https://docs.google.com/spreadsheets/d/1Kvs4KS76FHFqLFIZfrDMff4kP08nblUkihrxltoGBjg/edit#gid=934712705"",""ESENCIAL!A6:BG""),3,FALSE))"),"")</f>
        <v/>
      </c>
      <c r="H820" s="5" t="str">
        <f ca="1">IFERROR(__xludf.DUMMYFUNCTION("IFERROR(VLOOKUP(F837,IMPORTRANGE(""https://docs.google.com/spreadsheets/d/1Kvs4KS76FHFqLFIZfrDMff4kP08nblUkihrxltoGBjg/edit#gid=934712705"",""ESENCIAL!A6:BG""),8,FALSE))"),"")</f>
        <v/>
      </c>
      <c r="L820" s="287"/>
      <c r="S820"/>
      <c r="AU820" s="41" t="str">
        <f t="shared" si="44"/>
        <v/>
      </c>
      <c r="AV820" s="5" t="str">
        <f ca="1">IFERROR(__xludf.DUMMYFUNCTION("IFERROR(VLOOKUP(E837&amp;F837,IMPORTRANGE(""https://docs.google.com/spreadsheets/d/1Uw7-A9f9R21vMXxHZFNpYNeKFtG8_yji4HS352LGlSQ/edit?pli=1#gid=0"",""1_ACUM!A4:S""),11,FALSE))"),"")</f>
        <v/>
      </c>
      <c r="AW820" s="42" t="str">
        <f ca="1">IFERROR(__xludf.DUMMYFUNCTION("IFERROR(VLOOKUP(F837,IMPORTRANGE(""https://docs.google.com/spreadsheets/d/1Kvs4KS76FHFqLFIZfrDMff4kP08nblUkihrxltoGBjg/edit#gid=934712705"",""ESENCIAL!A6:BG""),15,FALSE))"),"")</f>
        <v/>
      </c>
      <c r="AX820" s="21" t="str">
        <f ca="1">IFERROR(__xludf.DUMMYFUNCTION("IFERROR(VLOOKUP(E837&amp;F837,IMPORTRANGE(""https://docs.google.com/spreadsheets/d/1Uw7-A9f9R21vMXxHZFNpYNeKFtG8_yji4HS352LGlSQ/edit?pli=1#gid=0"",""1_ACUM!A4:S""),12,FALSE))"),"")</f>
        <v/>
      </c>
      <c r="AY820" s="43" t="str">
        <f ca="1">IFERROR(__xludf.DUMMYFUNCTION("IFERROR(VLOOKUP(E837&amp;F837,IMPORTRANGE(""https://docs.google.com/spreadsheets/d/1Uw7-A9f9R21vMXxHZFNpYNeKFtG8_yji4HS352LGlSQ/edit?pli=1#gid=0"",""1_ACUM!A4:S""),13,FALSE))"),"")</f>
        <v/>
      </c>
      <c r="AZ820" s="43" t="str">
        <f ca="1">IFERROR(__xludf.DUMMYFUNCTION("IFERROR(VLOOKUP(E837&amp;F837,IMPORTRANGE(""https://docs.google.com/spreadsheets/d/1Uw7-A9f9R21vMXxHZFNpYNeKFtG8_yji4HS352LGlSQ/edit?pli=1#gid=0"",""1_ACUM!A4:S""),14,FALSE))"),"")</f>
        <v/>
      </c>
      <c r="BA820" s="43" t="str">
        <f ca="1">IFERROR(__xludf.DUMMYFUNCTION("IFERROR(VLOOKUP(E837&amp;F837,IMPORTRANGE(""https://docs.google.com/spreadsheets/d/1Uw7-A9f9R21vMXxHZFNpYNeKFtG8_yji4HS352LGlSQ/edit?pli=1#gid=0"",""1_ACUM!A4:S""),15,FALSE))"),"")</f>
        <v/>
      </c>
      <c r="BB820" s="43" t="str">
        <f ca="1">IFERROR(__xludf.DUMMYFUNCTION("IFERROR(VLOOKUP(E837&amp;F837,IMPORTRANGE(""https://docs.google.com/spreadsheets/d/1Uw7-A9f9R21vMXxHZFNpYNeKFtG8_yji4HS352LGlSQ/edit?pli=1#gid=0"",""1_ACUM!A4:S""),16,FALSE))"),"")</f>
        <v/>
      </c>
      <c r="BC820" s="43" t="str">
        <f ca="1">IFERROR(__xludf.DUMMYFUNCTION("IFERROR(VLOOKUP(E837&amp;F837,IMPORTRANGE(""https://docs.google.com/spreadsheets/d/1Uw7-A9f9R21vMXxHZFNpYNeKFtG8_yji4HS352LGlSQ/edit?pli=1#gid=0"",""1_ACUM!A4:S""),17,FALSE))"),"")</f>
        <v/>
      </c>
      <c r="BD820" s="44" t="str">
        <f ca="1">IFERROR(__xludf.DUMMYFUNCTION("IFERROR(VLOOKUP(E837&amp;F837,IMPORTRANGE(""https://docs.google.com/spreadsheets/d/1Uw7-A9f9R21vMXxHZFNpYNeKFtG8_yji4HS352LGlSQ/edit?pli=1#gid=0"",""1_ACUM!A4:S""),18,FALSE))"),"")</f>
        <v/>
      </c>
      <c r="BE820" s="44" t="str">
        <f ca="1">IFERROR(__xludf.DUMMYFUNCTION("IFERROR(VLOOKUP(E837&amp;F837,IMPORTRANGE(""https://docs.google.com/spreadsheets/d/1Uw7-A9f9R21vMXxHZFNpYNeKFtG8_yji4HS352LGlSQ/edit?pli=1#gid=0"",""1_ACUM!A4:S""),19,FALSE))"),"")</f>
        <v/>
      </c>
      <c r="BF820" s="44" t="str">
        <f ca="1">IFERROR(__xludf.DUMMYFUNCTION("IFERROR(VLOOKUP(F837,IMPORTRANGE(""https://docs.google.com/spreadsheets/d/1Kvs4KS76FHFqLFIZfrDMff4kP08nblUkihrxltoGBjg/edit#gid=934712705"",""ESENCIAL!A6:BG""),5,FALSE))"),"")</f>
        <v/>
      </c>
      <c r="BG820" s="44" t="str">
        <f t="shared" si="45"/>
        <v/>
      </c>
      <c r="BH820" s="41" t="str">
        <f t="shared" si="46"/>
        <v/>
      </c>
      <c r="BI820" s="41" t="str">
        <f ca="1">IFERROR(__xludf.DUMMYFUNCTION("IFERROR(VLOOKUP(F837,IMPORTRANGE(""https://docs.google.com/spreadsheets/d/1Kvs4KS76FHFqLFIZfrDMff4kP08nblUkihrxltoGBjg/edit#gid=934712705"",""ESENCIAL!A6:BG""),18,FALSE))"),"")</f>
        <v/>
      </c>
      <c r="BJ820" s="19" t="str">
        <f t="shared" si="47"/>
        <v/>
      </c>
      <c r="BK820" s="41"/>
      <c r="BL820" s="41"/>
    </row>
    <row r="821" spans="1:64" ht="15">
      <c r="A821" s="4"/>
      <c r="B821" s="4"/>
      <c r="G821" s="5" t="str">
        <f ca="1">IFERROR(__xludf.DUMMYFUNCTION("IFERROR(VLOOKUP(F838,IMPORTRANGE(""https://docs.google.com/spreadsheets/d/1Kvs4KS76FHFqLFIZfrDMff4kP08nblUkihrxltoGBjg/edit#gid=934712705"",""ESENCIAL!A6:BG""),3,FALSE))"),"")</f>
        <v/>
      </c>
      <c r="H821" s="5" t="str">
        <f ca="1">IFERROR(__xludf.DUMMYFUNCTION("IFERROR(VLOOKUP(F838,IMPORTRANGE(""https://docs.google.com/spreadsheets/d/1Kvs4KS76FHFqLFIZfrDMff4kP08nblUkihrxltoGBjg/edit#gid=934712705"",""ESENCIAL!A6:BG""),8,FALSE))"),"")</f>
        <v/>
      </c>
      <c r="L821" s="287"/>
      <c r="S821"/>
      <c r="AU821" s="41" t="str">
        <f t="shared" si="44"/>
        <v/>
      </c>
      <c r="AV821" s="5" t="str">
        <f ca="1">IFERROR(__xludf.DUMMYFUNCTION("IFERROR(VLOOKUP(E838&amp;F838,IMPORTRANGE(""https://docs.google.com/spreadsheets/d/1Uw7-A9f9R21vMXxHZFNpYNeKFtG8_yji4HS352LGlSQ/edit?pli=1#gid=0"",""1_ACUM!A4:S""),11,FALSE))"),"")</f>
        <v/>
      </c>
      <c r="AW821" s="42" t="str">
        <f ca="1">IFERROR(__xludf.DUMMYFUNCTION("IFERROR(VLOOKUP(F838,IMPORTRANGE(""https://docs.google.com/spreadsheets/d/1Kvs4KS76FHFqLFIZfrDMff4kP08nblUkihrxltoGBjg/edit#gid=934712705"",""ESENCIAL!A6:BG""),15,FALSE))"),"")</f>
        <v/>
      </c>
      <c r="AX821" s="21" t="str">
        <f ca="1">IFERROR(__xludf.DUMMYFUNCTION("IFERROR(VLOOKUP(E838&amp;F838,IMPORTRANGE(""https://docs.google.com/spreadsheets/d/1Uw7-A9f9R21vMXxHZFNpYNeKFtG8_yji4HS352LGlSQ/edit?pli=1#gid=0"",""1_ACUM!A4:S""),12,FALSE))"),"")</f>
        <v/>
      </c>
      <c r="AY821" s="43" t="str">
        <f ca="1">IFERROR(__xludf.DUMMYFUNCTION("IFERROR(VLOOKUP(E838&amp;F838,IMPORTRANGE(""https://docs.google.com/spreadsheets/d/1Uw7-A9f9R21vMXxHZFNpYNeKFtG8_yji4HS352LGlSQ/edit?pli=1#gid=0"",""1_ACUM!A4:S""),13,FALSE))"),"")</f>
        <v/>
      </c>
      <c r="AZ821" s="43" t="str">
        <f ca="1">IFERROR(__xludf.DUMMYFUNCTION("IFERROR(VLOOKUP(E838&amp;F838,IMPORTRANGE(""https://docs.google.com/spreadsheets/d/1Uw7-A9f9R21vMXxHZFNpYNeKFtG8_yji4HS352LGlSQ/edit?pli=1#gid=0"",""1_ACUM!A4:S""),14,FALSE))"),"")</f>
        <v/>
      </c>
      <c r="BA821" s="43" t="str">
        <f ca="1">IFERROR(__xludf.DUMMYFUNCTION("IFERROR(VLOOKUP(E838&amp;F838,IMPORTRANGE(""https://docs.google.com/spreadsheets/d/1Uw7-A9f9R21vMXxHZFNpYNeKFtG8_yji4HS352LGlSQ/edit?pli=1#gid=0"",""1_ACUM!A4:S""),15,FALSE))"),"")</f>
        <v/>
      </c>
      <c r="BB821" s="43" t="str">
        <f ca="1">IFERROR(__xludf.DUMMYFUNCTION("IFERROR(VLOOKUP(E838&amp;F838,IMPORTRANGE(""https://docs.google.com/spreadsheets/d/1Uw7-A9f9R21vMXxHZFNpYNeKFtG8_yji4HS352LGlSQ/edit?pli=1#gid=0"",""1_ACUM!A4:S""),16,FALSE))"),"")</f>
        <v/>
      </c>
      <c r="BC821" s="43" t="str">
        <f ca="1">IFERROR(__xludf.DUMMYFUNCTION("IFERROR(VLOOKUP(E838&amp;F838,IMPORTRANGE(""https://docs.google.com/spreadsheets/d/1Uw7-A9f9R21vMXxHZFNpYNeKFtG8_yji4HS352LGlSQ/edit?pli=1#gid=0"",""1_ACUM!A4:S""),17,FALSE))"),"")</f>
        <v/>
      </c>
      <c r="BD821" s="44" t="str">
        <f ca="1">IFERROR(__xludf.DUMMYFUNCTION("IFERROR(VLOOKUP(E838&amp;F838,IMPORTRANGE(""https://docs.google.com/spreadsheets/d/1Uw7-A9f9R21vMXxHZFNpYNeKFtG8_yji4HS352LGlSQ/edit?pli=1#gid=0"",""1_ACUM!A4:S""),18,FALSE))"),"")</f>
        <v/>
      </c>
      <c r="BE821" s="44" t="str">
        <f ca="1">IFERROR(__xludf.DUMMYFUNCTION("IFERROR(VLOOKUP(E838&amp;F838,IMPORTRANGE(""https://docs.google.com/spreadsheets/d/1Uw7-A9f9R21vMXxHZFNpYNeKFtG8_yji4HS352LGlSQ/edit?pli=1#gid=0"",""1_ACUM!A4:S""),19,FALSE))"),"")</f>
        <v/>
      </c>
      <c r="BF821" s="44" t="str">
        <f ca="1">IFERROR(__xludf.DUMMYFUNCTION("IFERROR(VLOOKUP(F838,IMPORTRANGE(""https://docs.google.com/spreadsheets/d/1Kvs4KS76FHFqLFIZfrDMff4kP08nblUkihrxltoGBjg/edit#gid=934712705"",""ESENCIAL!A6:BG""),5,FALSE))"),"")</f>
        <v/>
      </c>
      <c r="BG821" s="44" t="str">
        <f t="shared" si="45"/>
        <v/>
      </c>
      <c r="BH821" s="41" t="str">
        <f t="shared" si="46"/>
        <v/>
      </c>
      <c r="BI821" s="41" t="str">
        <f ca="1">IFERROR(__xludf.DUMMYFUNCTION("IFERROR(VLOOKUP(F838,IMPORTRANGE(""https://docs.google.com/spreadsheets/d/1Kvs4KS76FHFqLFIZfrDMff4kP08nblUkihrxltoGBjg/edit#gid=934712705"",""ESENCIAL!A6:BG""),18,FALSE))"),"")</f>
        <v/>
      </c>
      <c r="BJ821" s="19" t="str">
        <f t="shared" si="47"/>
        <v/>
      </c>
      <c r="BK821" s="41"/>
      <c r="BL821" s="41"/>
    </row>
    <row r="822" spans="1:64" ht="15">
      <c r="A822" s="4"/>
      <c r="B822" s="4"/>
      <c r="G822" s="5" t="str">
        <f ca="1">IFERROR(__xludf.DUMMYFUNCTION("IFERROR(VLOOKUP(F839,IMPORTRANGE(""https://docs.google.com/spreadsheets/d/1Kvs4KS76FHFqLFIZfrDMff4kP08nblUkihrxltoGBjg/edit#gid=934712705"",""ESENCIAL!A6:BG""),3,FALSE))"),"")</f>
        <v/>
      </c>
      <c r="H822" s="5" t="str">
        <f ca="1">IFERROR(__xludf.DUMMYFUNCTION("IFERROR(VLOOKUP(F839,IMPORTRANGE(""https://docs.google.com/spreadsheets/d/1Kvs4KS76FHFqLFIZfrDMff4kP08nblUkihrxltoGBjg/edit#gid=934712705"",""ESENCIAL!A6:BG""),8,FALSE))"),"")</f>
        <v/>
      </c>
      <c r="L822" s="287"/>
      <c r="S822"/>
      <c r="AU822" s="41" t="str">
        <f t="shared" si="44"/>
        <v/>
      </c>
      <c r="AV822" s="5" t="str">
        <f ca="1">IFERROR(__xludf.DUMMYFUNCTION("IFERROR(VLOOKUP(E839&amp;F839,IMPORTRANGE(""https://docs.google.com/spreadsheets/d/1Uw7-A9f9R21vMXxHZFNpYNeKFtG8_yji4HS352LGlSQ/edit?pli=1#gid=0"",""1_ACUM!A4:S""),11,FALSE))"),"")</f>
        <v/>
      </c>
      <c r="AW822" s="42" t="str">
        <f ca="1">IFERROR(__xludf.DUMMYFUNCTION("IFERROR(VLOOKUP(F839,IMPORTRANGE(""https://docs.google.com/spreadsheets/d/1Kvs4KS76FHFqLFIZfrDMff4kP08nblUkihrxltoGBjg/edit#gid=934712705"",""ESENCIAL!A6:BG""),15,FALSE))"),"")</f>
        <v/>
      </c>
      <c r="AX822" s="21" t="str">
        <f ca="1">IFERROR(__xludf.DUMMYFUNCTION("IFERROR(VLOOKUP(E839&amp;F839,IMPORTRANGE(""https://docs.google.com/spreadsheets/d/1Uw7-A9f9R21vMXxHZFNpYNeKFtG8_yji4HS352LGlSQ/edit?pli=1#gid=0"",""1_ACUM!A4:S""),12,FALSE))"),"")</f>
        <v/>
      </c>
      <c r="AY822" s="43" t="str">
        <f ca="1">IFERROR(__xludf.DUMMYFUNCTION("IFERROR(VLOOKUP(E839&amp;F839,IMPORTRANGE(""https://docs.google.com/spreadsheets/d/1Uw7-A9f9R21vMXxHZFNpYNeKFtG8_yji4HS352LGlSQ/edit?pli=1#gid=0"",""1_ACUM!A4:S""),13,FALSE))"),"")</f>
        <v/>
      </c>
      <c r="AZ822" s="43" t="str">
        <f ca="1">IFERROR(__xludf.DUMMYFUNCTION("IFERROR(VLOOKUP(E839&amp;F839,IMPORTRANGE(""https://docs.google.com/spreadsheets/d/1Uw7-A9f9R21vMXxHZFNpYNeKFtG8_yji4HS352LGlSQ/edit?pli=1#gid=0"",""1_ACUM!A4:S""),14,FALSE))"),"")</f>
        <v/>
      </c>
      <c r="BA822" s="43" t="str">
        <f ca="1">IFERROR(__xludf.DUMMYFUNCTION("IFERROR(VLOOKUP(E839&amp;F839,IMPORTRANGE(""https://docs.google.com/spreadsheets/d/1Uw7-A9f9R21vMXxHZFNpYNeKFtG8_yji4HS352LGlSQ/edit?pli=1#gid=0"",""1_ACUM!A4:S""),15,FALSE))"),"")</f>
        <v/>
      </c>
      <c r="BB822" s="43" t="str">
        <f ca="1">IFERROR(__xludf.DUMMYFUNCTION("IFERROR(VLOOKUP(E839&amp;F839,IMPORTRANGE(""https://docs.google.com/spreadsheets/d/1Uw7-A9f9R21vMXxHZFNpYNeKFtG8_yji4HS352LGlSQ/edit?pli=1#gid=0"",""1_ACUM!A4:S""),16,FALSE))"),"")</f>
        <v/>
      </c>
      <c r="BC822" s="43" t="str">
        <f ca="1">IFERROR(__xludf.DUMMYFUNCTION("IFERROR(VLOOKUP(E839&amp;F839,IMPORTRANGE(""https://docs.google.com/spreadsheets/d/1Uw7-A9f9R21vMXxHZFNpYNeKFtG8_yji4HS352LGlSQ/edit?pli=1#gid=0"",""1_ACUM!A4:S""),17,FALSE))"),"")</f>
        <v/>
      </c>
      <c r="BD822" s="44" t="str">
        <f ca="1">IFERROR(__xludf.DUMMYFUNCTION("IFERROR(VLOOKUP(E839&amp;F839,IMPORTRANGE(""https://docs.google.com/spreadsheets/d/1Uw7-A9f9R21vMXxHZFNpYNeKFtG8_yji4HS352LGlSQ/edit?pli=1#gid=0"",""1_ACUM!A4:S""),18,FALSE))"),"")</f>
        <v/>
      </c>
      <c r="BE822" s="44" t="str">
        <f ca="1">IFERROR(__xludf.DUMMYFUNCTION("IFERROR(VLOOKUP(E839&amp;F839,IMPORTRANGE(""https://docs.google.com/spreadsheets/d/1Uw7-A9f9R21vMXxHZFNpYNeKFtG8_yji4HS352LGlSQ/edit?pli=1#gid=0"",""1_ACUM!A4:S""),19,FALSE))"),"")</f>
        <v/>
      </c>
      <c r="BF822" s="44" t="str">
        <f ca="1">IFERROR(__xludf.DUMMYFUNCTION("IFERROR(VLOOKUP(F839,IMPORTRANGE(""https://docs.google.com/spreadsheets/d/1Kvs4KS76FHFqLFIZfrDMff4kP08nblUkihrxltoGBjg/edit#gid=934712705"",""ESENCIAL!A6:BG""),5,FALSE))"),"")</f>
        <v/>
      </c>
      <c r="BG822" s="44" t="str">
        <f t="shared" si="45"/>
        <v/>
      </c>
      <c r="BH822" s="41" t="str">
        <f t="shared" si="46"/>
        <v/>
      </c>
      <c r="BI822" s="41" t="str">
        <f ca="1">IFERROR(__xludf.DUMMYFUNCTION("IFERROR(VLOOKUP(F839,IMPORTRANGE(""https://docs.google.com/spreadsheets/d/1Kvs4KS76FHFqLFIZfrDMff4kP08nblUkihrxltoGBjg/edit#gid=934712705"",""ESENCIAL!A6:BG""),18,FALSE))"),"")</f>
        <v/>
      </c>
      <c r="BJ822" s="19" t="str">
        <f t="shared" si="47"/>
        <v/>
      </c>
      <c r="BK822" s="41"/>
      <c r="BL822" s="41"/>
    </row>
    <row r="823" spans="1:64" ht="15">
      <c r="A823" s="4"/>
      <c r="B823" s="4"/>
      <c r="G823" s="5" t="str">
        <f ca="1">IFERROR(__xludf.DUMMYFUNCTION("IFERROR(VLOOKUP(F840,IMPORTRANGE(""https://docs.google.com/spreadsheets/d/1Kvs4KS76FHFqLFIZfrDMff4kP08nblUkihrxltoGBjg/edit#gid=934712705"",""ESENCIAL!A6:BG""),3,FALSE))"),"")</f>
        <v/>
      </c>
      <c r="H823" s="5" t="str">
        <f ca="1">IFERROR(__xludf.DUMMYFUNCTION("IFERROR(VLOOKUP(F840,IMPORTRANGE(""https://docs.google.com/spreadsheets/d/1Kvs4KS76FHFqLFIZfrDMff4kP08nblUkihrxltoGBjg/edit#gid=934712705"",""ESENCIAL!A6:BG""),8,FALSE))"),"")</f>
        <v/>
      </c>
      <c r="L823" s="287"/>
      <c r="S823"/>
      <c r="AU823" s="41" t="str">
        <f t="shared" si="44"/>
        <v/>
      </c>
      <c r="AV823" s="5" t="str">
        <f ca="1">IFERROR(__xludf.DUMMYFUNCTION("IFERROR(VLOOKUP(E840&amp;F840,IMPORTRANGE(""https://docs.google.com/spreadsheets/d/1Uw7-A9f9R21vMXxHZFNpYNeKFtG8_yji4HS352LGlSQ/edit?pli=1#gid=0"",""1_ACUM!A4:S""),11,FALSE))"),"")</f>
        <v/>
      </c>
      <c r="AW823" s="42" t="str">
        <f ca="1">IFERROR(__xludf.DUMMYFUNCTION("IFERROR(VLOOKUP(F840,IMPORTRANGE(""https://docs.google.com/spreadsheets/d/1Kvs4KS76FHFqLFIZfrDMff4kP08nblUkihrxltoGBjg/edit#gid=934712705"",""ESENCIAL!A6:BG""),15,FALSE))"),"")</f>
        <v/>
      </c>
      <c r="AX823" s="21" t="str">
        <f ca="1">IFERROR(__xludf.DUMMYFUNCTION("IFERROR(VLOOKUP(E840&amp;F840,IMPORTRANGE(""https://docs.google.com/spreadsheets/d/1Uw7-A9f9R21vMXxHZFNpYNeKFtG8_yji4HS352LGlSQ/edit?pli=1#gid=0"",""1_ACUM!A4:S""),12,FALSE))"),"")</f>
        <v/>
      </c>
      <c r="AY823" s="43" t="str">
        <f ca="1">IFERROR(__xludf.DUMMYFUNCTION("IFERROR(VLOOKUP(E840&amp;F840,IMPORTRANGE(""https://docs.google.com/spreadsheets/d/1Uw7-A9f9R21vMXxHZFNpYNeKFtG8_yji4HS352LGlSQ/edit?pli=1#gid=0"",""1_ACUM!A4:S""),13,FALSE))"),"")</f>
        <v/>
      </c>
      <c r="AZ823" s="43" t="str">
        <f ca="1">IFERROR(__xludf.DUMMYFUNCTION("IFERROR(VLOOKUP(E840&amp;F840,IMPORTRANGE(""https://docs.google.com/spreadsheets/d/1Uw7-A9f9R21vMXxHZFNpYNeKFtG8_yji4HS352LGlSQ/edit?pli=1#gid=0"",""1_ACUM!A4:S""),14,FALSE))"),"")</f>
        <v/>
      </c>
      <c r="BA823" s="43" t="str">
        <f ca="1">IFERROR(__xludf.DUMMYFUNCTION("IFERROR(VLOOKUP(E840&amp;F840,IMPORTRANGE(""https://docs.google.com/spreadsheets/d/1Uw7-A9f9R21vMXxHZFNpYNeKFtG8_yji4HS352LGlSQ/edit?pli=1#gid=0"",""1_ACUM!A4:S""),15,FALSE))"),"")</f>
        <v/>
      </c>
      <c r="BB823" s="43" t="str">
        <f ca="1">IFERROR(__xludf.DUMMYFUNCTION("IFERROR(VLOOKUP(E840&amp;F840,IMPORTRANGE(""https://docs.google.com/spreadsheets/d/1Uw7-A9f9R21vMXxHZFNpYNeKFtG8_yji4HS352LGlSQ/edit?pli=1#gid=0"",""1_ACUM!A4:S""),16,FALSE))"),"")</f>
        <v/>
      </c>
      <c r="BC823" s="43" t="str">
        <f ca="1">IFERROR(__xludf.DUMMYFUNCTION("IFERROR(VLOOKUP(E840&amp;F840,IMPORTRANGE(""https://docs.google.com/spreadsheets/d/1Uw7-A9f9R21vMXxHZFNpYNeKFtG8_yji4HS352LGlSQ/edit?pli=1#gid=0"",""1_ACUM!A4:S""),17,FALSE))"),"")</f>
        <v/>
      </c>
      <c r="BD823" s="44" t="str">
        <f ca="1">IFERROR(__xludf.DUMMYFUNCTION("IFERROR(VLOOKUP(E840&amp;F840,IMPORTRANGE(""https://docs.google.com/spreadsheets/d/1Uw7-A9f9R21vMXxHZFNpYNeKFtG8_yji4HS352LGlSQ/edit?pli=1#gid=0"",""1_ACUM!A4:S""),18,FALSE))"),"")</f>
        <v/>
      </c>
      <c r="BE823" s="44" t="str">
        <f ca="1">IFERROR(__xludf.DUMMYFUNCTION("IFERROR(VLOOKUP(E840&amp;F840,IMPORTRANGE(""https://docs.google.com/spreadsheets/d/1Uw7-A9f9R21vMXxHZFNpYNeKFtG8_yji4HS352LGlSQ/edit?pli=1#gid=0"",""1_ACUM!A4:S""),19,FALSE))"),"")</f>
        <v/>
      </c>
      <c r="BF823" s="44" t="str">
        <f ca="1">IFERROR(__xludf.DUMMYFUNCTION("IFERROR(VLOOKUP(F840,IMPORTRANGE(""https://docs.google.com/spreadsheets/d/1Kvs4KS76FHFqLFIZfrDMff4kP08nblUkihrxltoGBjg/edit#gid=934712705"",""ESENCIAL!A6:BG""),5,FALSE))"),"")</f>
        <v/>
      </c>
      <c r="BG823" s="44" t="str">
        <f t="shared" si="45"/>
        <v/>
      </c>
      <c r="BH823" s="41" t="str">
        <f t="shared" si="46"/>
        <v/>
      </c>
      <c r="BI823" s="41" t="str">
        <f ca="1">IFERROR(__xludf.DUMMYFUNCTION("IFERROR(VLOOKUP(F840,IMPORTRANGE(""https://docs.google.com/spreadsheets/d/1Kvs4KS76FHFqLFIZfrDMff4kP08nblUkihrxltoGBjg/edit#gid=934712705"",""ESENCIAL!A6:BG""),18,FALSE))"),"")</f>
        <v/>
      </c>
      <c r="BJ823" s="19" t="str">
        <f t="shared" si="47"/>
        <v/>
      </c>
      <c r="BK823" s="41"/>
      <c r="BL823" s="41"/>
    </row>
    <row r="824" spans="1:64" ht="15">
      <c r="A824" s="4"/>
      <c r="B824" s="4"/>
      <c r="G824" s="5" t="str">
        <f ca="1">IFERROR(__xludf.DUMMYFUNCTION("IFERROR(VLOOKUP(F841,IMPORTRANGE(""https://docs.google.com/spreadsheets/d/1Kvs4KS76FHFqLFIZfrDMff4kP08nblUkihrxltoGBjg/edit#gid=934712705"",""ESENCIAL!A6:BG""),3,FALSE))"),"")</f>
        <v/>
      </c>
      <c r="H824" s="5" t="str">
        <f ca="1">IFERROR(__xludf.DUMMYFUNCTION("IFERROR(VLOOKUP(F841,IMPORTRANGE(""https://docs.google.com/spreadsheets/d/1Kvs4KS76FHFqLFIZfrDMff4kP08nblUkihrxltoGBjg/edit#gid=934712705"",""ESENCIAL!A6:BG""),8,FALSE))"),"")</f>
        <v/>
      </c>
      <c r="L824" s="287"/>
      <c r="S824"/>
      <c r="AU824" s="41" t="str">
        <f t="shared" si="44"/>
        <v/>
      </c>
      <c r="AV824" s="5" t="str">
        <f ca="1">IFERROR(__xludf.DUMMYFUNCTION("IFERROR(VLOOKUP(E841&amp;F841,IMPORTRANGE(""https://docs.google.com/spreadsheets/d/1Uw7-A9f9R21vMXxHZFNpYNeKFtG8_yji4HS352LGlSQ/edit?pli=1#gid=0"",""1_ACUM!A4:S""),11,FALSE))"),"")</f>
        <v/>
      </c>
      <c r="AW824" s="42" t="str">
        <f ca="1">IFERROR(__xludf.DUMMYFUNCTION("IFERROR(VLOOKUP(F841,IMPORTRANGE(""https://docs.google.com/spreadsheets/d/1Kvs4KS76FHFqLFIZfrDMff4kP08nblUkihrxltoGBjg/edit#gid=934712705"",""ESENCIAL!A6:BG""),15,FALSE))"),"")</f>
        <v/>
      </c>
      <c r="AX824" s="21" t="str">
        <f ca="1">IFERROR(__xludf.DUMMYFUNCTION("IFERROR(VLOOKUP(E841&amp;F841,IMPORTRANGE(""https://docs.google.com/spreadsheets/d/1Uw7-A9f9R21vMXxHZFNpYNeKFtG8_yji4HS352LGlSQ/edit?pli=1#gid=0"",""1_ACUM!A4:S""),12,FALSE))"),"")</f>
        <v/>
      </c>
      <c r="AY824" s="43" t="str">
        <f ca="1">IFERROR(__xludf.DUMMYFUNCTION("IFERROR(VLOOKUP(E841&amp;F841,IMPORTRANGE(""https://docs.google.com/spreadsheets/d/1Uw7-A9f9R21vMXxHZFNpYNeKFtG8_yji4HS352LGlSQ/edit?pli=1#gid=0"",""1_ACUM!A4:S""),13,FALSE))"),"")</f>
        <v/>
      </c>
      <c r="AZ824" s="43" t="str">
        <f ca="1">IFERROR(__xludf.DUMMYFUNCTION("IFERROR(VLOOKUP(E841&amp;F841,IMPORTRANGE(""https://docs.google.com/spreadsheets/d/1Uw7-A9f9R21vMXxHZFNpYNeKFtG8_yji4HS352LGlSQ/edit?pli=1#gid=0"",""1_ACUM!A4:S""),14,FALSE))"),"")</f>
        <v/>
      </c>
      <c r="BA824" s="43" t="str">
        <f ca="1">IFERROR(__xludf.DUMMYFUNCTION("IFERROR(VLOOKUP(E841&amp;F841,IMPORTRANGE(""https://docs.google.com/spreadsheets/d/1Uw7-A9f9R21vMXxHZFNpYNeKFtG8_yji4HS352LGlSQ/edit?pli=1#gid=0"",""1_ACUM!A4:S""),15,FALSE))"),"")</f>
        <v/>
      </c>
      <c r="BB824" s="43" t="str">
        <f ca="1">IFERROR(__xludf.DUMMYFUNCTION("IFERROR(VLOOKUP(E841&amp;F841,IMPORTRANGE(""https://docs.google.com/spreadsheets/d/1Uw7-A9f9R21vMXxHZFNpYNeKFtG8_yji4HS352LGlSQ/edit?pli=1#gid=0"",""1_ACUM!A4:S""),16,FALSE))"),"")</f>
        <v/>
      </c>
      <c r="BC824" s="43" t="str">
        <f ca="1">IFERROR(__xludf.DUMMYFUNCTION("IFERROR(VLOOKUP(E841&amp;F841,IMPORTRANGE(""https://docs.google.com/spreadsheets/d/1Uw7-A9f9R21vMXxHZFNpYNeKFtG8_yji4HS352LGlSQ/edit?pli=1#gid=0"",""1_ACUM!A4:S""),17,FALSE))"),"")</f>
        <v/>
      </c>
      <c r="BD824" s="44" t="str">
        <f ca="1">IFERROR(__xludf.DUMMYFUNCTION("IFERROR(VLOOKUP(E841&amp;F841,IMPORTRANGE(""https://docs.google.com/spreadsheets/d/1Uw7-A9f9R21vMXxHZFNpYNeKFtG8_yji4HS352LGlSQ/edit?pli=1#gid=0"",""1_ACUM!A4:S""),18,FALSE))"),"")</f>
        <v/>
      </c>
      <c r="BE824" s="44" t="str">
        <f ca="1">IFERROR(__xludf.DUMMYFUNCTION("IFERROR(VLOOKUP(E841&amp;F841,IMPORTRANGE(""https://docs.google.com/spreadsheets/d/1Uw7-A9f9R21vMXxHZFNpYNeKFtG8_yji4HS352LGlSQ/edit?pli=1#gid=0"",""1_ACUM!A4:S""),19,FALSE))"),"")</f>
        <v/>
      </c>
      <c r="BF824" s="44" t="str">
        <f ca="1">IFERROR(__xludf.DUMMYFUNCTION("IFERROR(VLOOKUP(F841,IMPORTRANGE(""https://docs.google.com/spreadsheets/d/1Kvs4KS76FHFqLFIZfrDMff4kP08nblUkihrxltoGBjg/edit#gid=934712705"",""ESENCIAL!A6:BG""),5,FALSE))"),"")</f>
        <v/>
      </c>
      <c r="BG824" s="44" t="str">
        <f t="shared" si="45"/>
        <v/>
      </c>
      <c r="BH824" s="41" t="str">
        <f t="shared" si="46"/>
        <v/>
      </c>
      <c r="BI824" s="41" t="str">
        <f ca="1">IFERROR(__xludf.DUMMYFUNCTION("IFERROR(VLOOKUP(F841,IMPORTRANGE(""https://docs.google.com/spreadsheets/d/1Kvs4KS76FHFqLFIZfrDMff4kP08nblUkihrxltoGBjg/edit#gid=934712705"",""ESENCIAL!A6:BG""),18,FALSE))"),"")</f>
        <v/>
      </c>
      <c r="BJ824" s="19" t="str">
        <f t="shared" si="47"/>
        <v/>
      </c>
      <c r="BK824" s="41"/>
      <c r="BL824" s="41"/>
    </row>
    <row r="825" spans="1:64" ht="15">
      <c r="A825" s="4"/>
      <c r="B825" s="4"/>
      <c r="G825" s="5" t="str">
        <f ca="1">IFERROR(__xludf.DUMMYFUNCTION("IFERROR(VLOOKUP(F842,IMPORTRANGE(""https://docs.google.com/spreadsheets/d/1Kvs4KS76FHFqLFIZfrDMff4kP08nblUkihrxltoGBjg/edit#gid=934712705"",""ESENCIAL!A6:BG""),3,FALSE))"),"")</f>
        <v/>
      </c>
      <c r="H825" s="5" t="str">
        <f ca="1">IFERROR(__xludf.DUMMYFUNCTION("IFERROR(VLOOKUP(F842,IMPORTRANGE(""https://docs.google.com/spreadsheets/d/1Kvs4KS76FHFqLFIZfrDMff4kP08nblUkihrxltoGBjg/edit#gid=934712705"",""ESENCIAL!A6:BG""),8,FALSE))"),"")</f>
        <v/>
      </c>
      <c r="L825" s="287"/>
      <c r="S825"/>
      <c r="AU825" s="41" t="str">
        <f t="shared" si="44"/>
        <v/>
      </c>
      <c r="AV825" s="5" t="str">
        <f ca="1">IFERROR(__xludf.DUMMYFUNCTION("IFERROR(VLOOKUP(E842&amp;F842,IMPORTRANGE(""https://docs.google.com/spreadsheets/d/1Uw7-A9f9R21vMXxHZFNpYNeKFtG8_yji4HS352LGlSQ/edit?pli=1#gid=0"",""1_ACUM!A4:S""),11,FALSE))"),"")</f>
        <v/>
      </c>
      <c r="AW825" s="42" t="str">
        <f ca="1">IFERROR(__xludf.DUMMYFUNCTION("IFERROR(VLOOKUP(F842,IMPORTRANGE(""https://docs.google.com/spreadsheets/d/1Kvs4KS76FHFqLFIZfrDMff4kP08nblUkihrxltoGBjg/edit#gid=934712705"",""ESENCIAL!A6:BG""),15,FALSE))"),"")</f>
        <v/>
      </c>
      <c r="AX825" s="21" t="str">
        <f ca="1">IFERROR(__xludf.DUMMYFUNCTION("IFERROR(VLOOKUP(E842&amp;F842,IMPORTRANGE(""https://docs.google.com/spreadsheets/d/1Uw7-A9f9R21vMXxHZFNpYNeKFtG8_yji4HS352LGlSQ/edit?pli=1#gid=0"",""1_ACUM!A4:S""),12,FALSE))"),"")</f>
        <v/>
      </c>
      <c r="AY825" s="43" t="str">
        <f ca="1">IFERROR(__xludf.DUMMYFUNCTION("IFERROR(VLOOKUP(E842&amp;F842,IMPORTRANGE(""https://docs.google.com/spreadsheets/d/1Uw7-A9f9R21vMXxHZFNpYNeKFtG8_yji4HS352LGlSQ/edit?pli=1#gid=0"",""1_ACUM!A4:S""),13,FALSE))"),"")</f>
        <v/>
      </c>
      <c r="AZ825" s="43" t="str">
        <f ca="1">IFERROR(__xludf.DUMMYFUNCTION("IFERROR(VLOOKUP(E842&amp;F842,IMPORTRANGE(""https://docs.google.com/spreadsheets/d/1Uw7-A9f9R21vMXxHZFNpYNeKFtG8_yji4HS352LGlSQ/edit?pli=1#gid=0"",""1_ACUM!A4:S""),14,FALSE))"),"")</f>
        <v/>
      </c>
      <c r="BA825" s="43" t="str">
        <f ca="1">IFERROR(__xludf.DUMMYFUNCTION("IFERROR(VLOOKUP(E842&amp;F842,IMPORTRANGE(""https://docs.google.com/spreadsheets/d/1Uw7-A9f9R21vMXxHZFNpYNeKFtG8_yji4HS352LGlSQ/edit?pli=1#gid=0"",""1_ACUM!A4:S""),15,FALSE))"),"")</f>
        <v/>
      </c>
      <c r="BB825" s="43" t="str">
        <f ca="1">IFERROR(__xludf.DUMMYFUNCTION("IFERROR(VLOOKUP(E842&amp;F842,IMPORTRANGE(""https://docs.google.com/spreadsheets/d/1Uw7-A9f9R21vMXxHZFNpYNeKFtG8_yji4HS352LGlSQ/edit?pli=1#gid=0"",""1_ACUM!A4:S""),16,FALSE))"),"")</f>
        <v/>
      </c>
      <c r="BC825" s="43" t="str">
        <f ca="1">IFERROR(__xludf.DUMMYFUNCTION("IFERROR(VLOOKUP(E842&amp;F842,IMPORTRANGE(""https://docs.google.com/spreadsheets/d/1Uw7-A9f9R21vMXxHZFNpYNeKFtG8_yji4HS352LGlSQ/edit?pli=1#gid=0"",""1_ACUM!A4:S""),17,FALSE))"),"")</f>
        <v/>
      </c>
      <c r="BD825" s="44" t="str">
        <f ca="1">IFERROR(__xludf.DUMMYFUNCTION("IFERROR(VLOOKUP(E842&amp;F842,IMPORTRANGE(""https://docs.google.com/spreadsheets/d/1Uw7-A9f9R21vMXxHZFNpYNeKFtG8_yji4HS352LGlSQ/edit?pli=1#gid=0"",""1_ACUM!A4:S""),18,FALSE))"),"")</f>
        <v/>
      </c>
      <c r="BE825" s="44" t="str">
        <f ca="1">IFERROR(__xludf.DUMMYFUNCTION("IFERROR(VLOOKUP(E842&amp;F842,IMPORTRANGE(""https://docs.google.com/spreadsheets/d/1Uw7-A9f9R21vMXxHZFNpYNeKFtG8_yji4HS352LGlSQ/edit?pli=1#gid=0"",""1_ACUM!A4:S""),19,FALSE))"),"")</f>
        <v/>
      </c>
      <c r="BF825" s="44" t="str">
        <f ca="1">IFERROR(__xludf.DUMMYFUNCTION("IFERROR(VLOOKUP(F842,IMPORTRANGE(""https://docs.google.com/spreadsheets/d/1Kvs4KS76FHFqLFIZfrDMff4kP08nblUkihrxltoGBjg/edit#gid=934712705"",""ESENCIAL!A6:BG""),5,FALSE))"),"")</f>
        <v/>
      </c>
      <c r="BG825" s="44" t="str">
        <f t="shared" si="45"/>
        <v/>
      </c>
      <c r="BH825" s="41" t="str">
        <f t="shared" si="46"/>
        <v/>
      </c>
      <c r="BI825" s="41" t="str">
        <f ca="1">IFERROR(__xludf.DUMMYFUNCTION("IFERROR(VLOOKUP(F842,IMPORTRANGE(""https://docs.google.com/spreadsheets/d/1Kvs4KS76FHFqLFIZfrDMff4kP08nblUkihrxltoGBjg/edit#gid=934712705"",""ESENCIAL!A6:BG""),18,FALSE))"),"")</f>
        <v/>
      </c>
      <c r="BJ825" s="19" t="str">
        <f t="shared" si="47"/>
        <v/>
      </c>
      <c r="BK825" s="41"/>
      <c r="BL825" s="41"/>
    </row>
    <row r="826" spans="1:64" ht="15">
      <c r="A826" s="4"/>
      <c r="B826" s="4"/>
      <c r="G826" s="5" t="str">
        <f ca="1">IFERROR(__xludf.DUMMYFUNCTION("IFERROR(VLOOKUP(F843,IMPORTRANGE(""https://docs.google.com/spreadsheets/d/1Kvs4KS76FHFqLFIZfrDMff4kP08nblUkihrxltoGBjg/edit#gid=934712705"",""ESENCIAL!A6:BG""),3,FALSE))"),"")</f>
        <v/>
      </c>
      <c r="H826" s="5" t="str">
        <f ca="1">IFERROR(__xludf.DUMMYFUNCTION("IFERROR(VLOOKUP(F843,IMPORTRANGE(""https://docs.google.com/spreadsheets/d/1Kvs4KS76FHFqLFIZfrDMff4kP08nblUkihrxltoGBjg/edit#gid=934712705"",""ESENCIAL!A6:BG""),8,FALSE))"),"")</f>
        <v/>
      </c>
      <c r="L826" s="287"/>
      <c r="S826"/>
      <c r="AU826" s="41" t="str">
        <f t="shared" si="44"/>
        <v/>
      </c>
      <c r="AV826" s="5" t="str">
        <f ca="1">IFERROR(__xludf.DUMMYFUNCTION("IFERROR(VLOOKUP(E843&amp;F843,IMPORTRANGE(""https://docs.google.com/spreadsheets/d/1Uw7-A9f9R21vMXxHZFNpYNeKFtG8_yji4HS352LGlSQ/edit?pli=1#gid=0"",""1_ACUM!A4:S""),11,FALSE))"),"")</f>
        <v/>
      </c>
      <c r="AW826" s="42" t="str">
        <f ca="1">IFERROR(__xludf.DUMMYFUNCTION("IFERROR(VLOOKUP(F843,IMPORTRANGE(""https://docs.google.com/spreadsheets/d/1Kvs4KS76FHFqLFIZfrDMff4kP08nblUkihrxltoGBjg/edit#gid=934712705"",""ESENCIAL!A6:BG""),15,FALSE))"),"")</f>
        <v/>
      </c>
      <c r="AX826" s="21" t="str">
        <f ca="1">IFERROR(__xludf.DUMMYFUNCTION("IFERROR(VLOOKUP(E843&amp;F843,IMPORTRANGE(""https://docs.google.com/spreadsheets/d/1Uw7-A9f9R21vMXxHZFNpYNeKFtG8_yji4HS352LGlSQ/edit?pli=1#gid=0"",""1_ACUM!A4:S""),12,FALSE))"),"")</f>
        <v/>
      </c>
      <c r="AY826" s="43" t="str">
        <f ca="1">IFERROR(__xludf.DUMMYFUNCTION("IFERROR(VLOOKUP(E843&amp;F843,IMPORTRANGE(""https://docs.google.com/spreadsheets/d/1Uw7-A9f9R21vMXxHZFNpYNeKFtG8_yji4HS352LGlSQ/edit?pli=1#gid=0"",""1_ACUM!A4:S""),13,FALSE))"),"")</f>
        <v/>
      </c>
      <c r="AZ826" s="43" t="str">
        <f ca="1">IFERROR(__xludf.DUMMYFUNCTION("IFERROR(VLOOKUP(E843&amp;F843,IMPORTRANGE(""https://docs.google.com/spreadsheets/d/1Uw7-A9f9R21vMXxHZFNpYNeKFtG8_yji4HS352LGlSQ/edit?pli=1#gid=0"",""1_ACUM!A4:S""),14,FALSE))"),"")</f>
        <v/>
      </c>
      <c r="BA826" s="43" t="str">
        <f ca="1">IFERROR(__xludf.DUMMYFUNCTION("IFERROR(VLOOKUP(E843&amp;F843,IMPORTRANGE(""https://docs.google.com/spreadsheets/d/1Uw7-A9f9R21vMXxHZFNpYNeKFtG8_yji4HS352LGlSQ/edit?pli=1#gid=0"",""1_ACUM!A4:S""),15,FALSE))"),"")</f>
        <v/>
      </c>
      <c r="BB826" s="43" t="str">
        <f ca="1">IFERROR(__xludf.DUMMYFUNCTION("IFERROR(VLOOKUP(E843&amp;F843,IMPORTRANGE(""https://docs.google.com/spreadsheets/d/1Uw7-A9f9R21vMXxHZFNpYNeKFtG8_yji4HS352LGlSQ/edit?pli=1#gid=0"",""1_ACUM!A4:S""),16,FALSE))"),"")</f>
        <v/>
      </c>
      <c r="BC826" s="43" t="str">
        <f ca="1">IFERROR(__xludf.DUMMYFUNCTION("IFERROR(VLOOKUP(E843&amp;F843,IMPORTRANGE(""https://docs.google.com/spreadsheets/d/1Uw7-A9f9R21vMXxHZFNpYNeKFtG8_yji4HS352LGlSQ/edit?pli=1#gid=0"",""1_ACUM!A4:S""),17,FALSE))"),"")</f>
        <v/>
      </c>
      <c r="BD826" s="44" t="str">
        <f ca="1">IFERROR(__xludf.DUMMYFUNCTION("IFERROR(VLOOKUP(E843&amp;F843,IMPORTRANGE(""https://docs.google.com/spreadsheets/d/1Uw7-A9f9R21vMXxHZFNpYNeKFtG8_yji4HS352LGlSQ/edit?pli=1#gid=0"",""1_ACUM!A4:S""),18,FALSE))"),"")</f>
        <v/>
      </c>
      <c r="BE826" s="44" t="str">
        <f ca="1">IFERROR(__xludf.DUMMYFUNCTION("IFERROR(VLOOKUP(E843&amp;F843,IMPORTRANGE(""https://docs.google.com/spreadsheets/d/1Uw7-A9f9R21vMXxHZFNpYNeKFtG8_yji4HS352LGlSQ/edit?pli=1#gid=0"",""1_ACUM!A4:S""),19,FALSE))"),"")</f>
        <v/>
      </c>
      <c r="BF826" s="44" t="str">
        <f ca="1">IFERROR(__xludf.DUMMYFUNCTION("IFERROR(VLOOKUP(F843,IMPORTRANGE(""https://docs.google.com/spreadsheets/d/1Kvs4KS76FHFqLFIZfrDMff4kP08nblUkihrxltoGBjg/edit#gid=934712705"",""ESENCIAL!A6:BG""),5,FALSE))"),"")</f>
        <v/>
      </c>
      <c r="BG826" s="44" t="str">
        <f t="shared" si="45"/>
        <v/>
      </c>
      <c r="BH826" s="41" t="str">
        <f t="shared" si="46"/>
        <v/>
      </c>
      <c r="BI826" s="41" t="str">
        <f ca="1">IFERROR(__xludf.DUMMYFUNCTION("IFERROR(VLOOKUP(F843,IMPORTRANGE(""https://docs.google.com/spreadsheets/d/1Kvs4KS76FHFqLFIZfrDMff4kP08nblUkihrxltoGBjg/edit#gid=934712705"",""ESENCIAL!A6:BG""),18,FALSE))"),"")</f>
        <v/>
      </c>
      <c r="BJ826" s="19" t="str">
        <f t="shared" si="47"/>
        <v/>
      </c>
      <c r="BK826" s="41"/>
      <c r="BL826" s="41"/>
    </row>
    <row r="827" spans="1:64" ht="15">
      <c r="A827" s="4"/>
      <c r="B827" s="4"/>
      <c r="G827" s="5" t="str">
        <f ca="1">IFERROR(__xludf.DUMMYFUNCTION("IFERROR(VLOOKUP(F844,IMPORTRANGE(""https://docs.google.com/spreadsheets/d/1Kvs4KS76FHFqLFIZfrDMff4kP08nblUkihrxltoGBjg/edit#gid=934712705"",""ESENCIAL!A6:BG""),3,FALSE))"),"")</f>
        <v/>
      </c>
      <c r="H827" s="5" t="str">
        <f ca="1">IFERROR(__xludf.DUMMYFUNCTION("IFERROR(VLOOKUP(F844,IMPORTRANGE(""https://docs.google.com/spreadsheets/d/1Kvs4KS76FHFqLFIZfrDMff4kP08nblUkihrxltoGBjg/edit#gid=934712705"",""ESENCIAL!A6:BG""),8,FALSE))"),"")</f>
        <v/>
      </c>
      <c r="L827" s="287"/>
      <c r="S827"/>
      <c r="AU827" s="41" t="str">
        <f t="shared" si="44"/>
        <v/>
      </c>
      <c r="AV827" s="5" t="str">
        <f ca="1">IFERROR(__xludf.DUMMYFUNCTION("IFERROR(VLOOKUP(E844&amp;F844,IMPORTRANGE(""https://docs.google.com/spreadsheets/d/1Uw7-A9f9R21vMXxHZFNpYNeKFtG8_yji4HS352LGlSQ/edit?pli=1#gid=0"",""1_ACUM!A4:S""),11,FALSE))"),"")</f>
        <v/>
      </c>
      <c r="AW827" s="42" t="str">
        <f ca="1">IFERROR(__xludf.DUMMYFUNCTION("IFERROR(VLOOKUP(F844,IMPORTRANGE(""https://docs.google.com/spreadsheets/d/1Kvs4KS76FHFqLFIZfrDMff4kP08nblUkihrxltoGBjg/edit#gid=934712705"",""ESENCIAL!A6:BG""),15,FALSE))"),"")</f>
        <v/>
      </c>
      <c r="AX827" s="21" t="str">
        <f ca="1">IFERROR(__xludf.DUMMYFUNCTION("IFERROR(VLOOKUP(E844&amp;F844,IMPORTRANGE(""https://docs.google.com/spreadsheets/d/1Uw7-A9f9R21vMXxHZFNpYNeKFtG8_yji4HS352LGlSQ/edit?pli=1#gid=0"",""1_ACUM!A4:S""),12,FALSE))"),"")</f>
        <v/>
      </c>
      <c r="AY827" s="43" t="str">
        <f ca="1">IFERROR(__xludf.DUMMYFUNCTION("IFERROR(VLOOKUP(E844&amp;F844,IMPORTRANGE(""https://docs.google.com/spreadsheets/d/1Uw7-A9f9R21vMXxHZFNpYNeKFtG8_yji4HS352LGlSQ/edit?pli=1#gid=0"",""1_ACUM!A4:S""),13,FALSE))"),"")</f>
        <v/>
      </c>
      <c r="AZ827" s="43" t="str">
        <f ca="1">IFERROR(__xludf.DUMMYFUNCTION("IFERROR(VLOOKUP(E844&amp;F844,IMPORTRANGE(""https://docs.google.com/spreadsheets/d/1Uw7-A9f9R21vMXxHZFNpYNeKFtG8_yji4HS352LGlSQ/edit?pli=1#gid=0"",""1_ACUM!A4:S""),14,FALSE))"),"")</f>
        <v/>
      </c>
      <c r="BA827" s="43" t="str">
        <f ca="1">IFERROR(__xludf.DUMMYFUNCTION("IFERROR(VLOOKUP(E844&amp;F844,IMPORTRANGE(""https://docs.google.com/spreadsheets/d/1Uw7-A9f9R21vMXxHZFNpYNeKFtG8_yji4HS352LGlSQ/edit?pli=1#gid=0"",""1_ACUM!A4:S""),15,FALSE))"),"")</f>
        <v/>
      </c>
      <c r="BB827" s="43" t="str">
        <f ca="1">IFERROR(__xludf.DUMMYFUNCTION("IFERROR(VLOOKUP(E844&amp;F844,IMPORTRANGE(""https://docs.google.com/spreadsheets/d/1Uw7-A9f9R21vMXxHZFNpYNeKFtG8_yji4HS352LGlSQ/edit?pli=1#gid=0"",""1_ACUM!A4:S""),16,FALSE))"),"")</f>
        <v/>
      </c>
      <c r="BC827" s="43" t="str">
        <f ca="1">IFERROR(__xludf.DUMMYFUNCTION("IFERROR(VLOOKUP(E844&amp;F844,IMPORTRANGE(""https://docs.google.com/spreadsheets/d/1Uw7-A9f9R21vMXxHZFNpYNeKFtG8_yji4HS352LGlSQ/edit?pli=1#gid=0"",""1_ACUM!A4:S""),17,FALSE))"),"")</f>
        <v/>
      </c>
      <c r="BD827" s="44" t="str">
        <f ca="1">IFERROR(__xludf.DUMMYFUNCTION("IFERROR(VLOOKUP(E844&amp;F844,IMPORTRANGE(""https://docs.google.com/spreadsheets/d/1Uw7-A9f9R21vMXxHZFNpYNeKFtG8_yji4HS352LGlSQ/edit?pli=1#gid=0"",""1_ACUM!A4:S""),18,FALSE))"),"")</f>
        <v/>
      </c>
      <c r="BE827" s="44" t="str">
        <f ca="1">IFERROR(__xludf.DUMMYFUNCTION("IFERROR(VLOOKUP(E844&amp;F844,IMPORTRANGE(""https://docs.google.com/spreadsheets/d/1Uw7-A9f9R21vMXxHZFNpYNeKFtG8_yji4HS352LGlSQ/edit?pli=1#gid=0"",""1_ACUM!A4:S""),19,FALSE))"),"")</f>
        <v/>
      </c>
      <c r="BF827" s="44" t="str">
        <f ca="1">IFERROR(__xludf.DUMMYFUNCTION("IFERROR(VLOOKUP(F844,IMPORTRANGE(""https://docs.google.com/spreadsheets/d/1Kvs4KS76FHFqLFIZfrDMff4kP08nblUkihrxltoGBjg/edit#gid=934712705"",""ESENCIAL!A6:BG""),5,FALSE))"),"")</f>
        <v/>
      </c>
      <c r="BG827" s="44" t="str">
        <f t="shared" si="45"/>
        <v/>
      </c>
      <c r="BH827" s="41" t="str">
        <f t="shared" si="46"/>
        <v/>
      </c>
      <c r="BI827" s="41" t="str">
        <f ca="1">IFERROR(__xludf.DUMMYFUNCTION("IFERROR(VLOOKUP(F844,IMPORTRANGE(""https://docs.google.com/spreadsheets/d/1Kvs4KS76FHFqLFIZfrDMff4kP08nblUkihrxltoGBjg/edit#gid=934712705"",""ESENCIAL!A6:BG""),18,FALSE))"),"")</f>
        <v/>
      </c>
      <c r="BJ827" s="19" t="str">
        <f t="shared" si="47"/>
        <v/>
      </c>
      <c r="BK827" s="41"/>
      <c r="BL827" s="41"/>
    </row>
    <row r="828" spans="1:64" ht="15">
      <c r="A828" s="4"/>
      <c r="B828" s="4"/>
      <c r="G828" s="5" t="str">
        <f ca="1">IFERROR(__xludf.DUMMYFUNCTION("IFERROR(VLOOKUP(F845,IMPORTRANGE(""https://docs.google.com/spreadsheets/d/1Kvs4KS76FHFqLFIZfrDMff4kP08nblUkihrxltoGBjg/edit#gid=934712705"",""ESENCIAL!A6:BG""),3,FALSE))"),"")</f>
        <v/>
      </c>
      <c r="H828" s="5" t="str">
        <f ca="1">IFERROR(__xludf.DUMMYFUNCTION("IFERROR(VLOOKUP(F845,IMPORTRANGE(""https://docs.google.com/spreadsheets/d/1Kvs4KS76FHFqLFIZfrDMff4kP08nblUkihrxltoGBjg/edit#gid=934712705"",""ESENCIAL!A6:BG""),8,FALSE))"),"")</f>
        <v/>
      </c>
      <c r="L828" s="287"/>
      <c r="S828"/>
      <c r="AU828" s="41" t="str">
        <f t="shared" si="44"/>
        <v/>
      </c>
      <c r="AV828" s="5" t="str">
        <f ca="1">IFERROR(__xludf.DUMMYFUNCTION("IFERROR(VLOOKUP(E845&amp;F845,IMPORTRANGE(""https://docs.google.com/spreadsheets/d/1Uw7-A9f9R21vMXxHZFNpYNeKFtG8_yji4HS352LGlSQ/edit?pli=1#gid=0"",""1_ACUM!A4:S""),11,FALSE))"),"")</f>
        <v/>
      </c>
      <c r="AW828" s="42" t="str">
        <f ca="1">IFERROR(__xludf.DUMMYFUNCTION("IFERROR(VLOOKUP(F845,IMPORTRANGE(""https://docs.google.com/spreadsheets/d/1Kvs4KS76FHFqLFIZfrDMff4kP08nblUkihrxltoGBjg/edit#gid=934712705"",""ESENCIAL!A6:BG""),15,FALSE))"),"")</f>
        <v/>
      </c>
      <c r="AX828" s="21" t="str">
        <f ca="1">IFERROR(__xludf.DUMMYFUNCTION("IFERROR(VLOOKUP(E845&amp;F845,IMPORTRANGE(""https://docs.google.com/spreadsheets/d/1Uw7-A9f9R21vMXxHZFNpYNeKFtG8_yji4HS352LGlSQ/edit?pli=1#gid=0"",""1_ACUM!A4:S""),12,FALSE))"),"")</f>
        <v/>
      </c>
      <c r="AY828" s="43" t="str">
        <f ca="1">IFERROR(__xludf.DUMMYFUNCTION("IFERROR(VLOOKUP(E845&amp;F845,IMPORTRANGE(""https://docs.google.com/spreadsheets/d/1Uw7-A9f9R21vMXxHZFNpYNeKFtG8_yji4HS352LGlSQ/edit?pli=1#gid=0"",""1_ACUM!A4:S""),13,FALSE))"),"")</f>
        <v/>
      </c>
      <c r="AZ828" s="43" t="str">
        <f ca="1">IFERROR(__xludf.DUMMYFUNCTION("IFERROR(VLOOKUP(E845&amp;F845,IMPORTRANGE(""https://docs.google.com/spreadsheets/d/1Uw7-A9f9R21vMXxHZFNpYNeKFtG8_yji4HS352LGlSQ/edit?pli=1#gid=0"",""1_ACUM!A4:S""),14,FALSE))"),"")</f>
        <v/>
      </c>
      <c r="BA828" s="43" t="str">
        <f ca="1">IFERROR(__xludf.DUMMYFUNCTION("IFERROR(VLOOKUP(E845&amp;F845,IMPORTRANGE(""https://docs.google.com/spreadsheets/d/1Uw7-A9f9R21vMXxHZFNpYNeKFtG8_yji4HS352LGlSQ/edit?pli=1#gid=0"",""1_ACUM!A4:S""),15,FALSE))"),"")</f>
        <v/>
      </c>
      <c r="BB828" s="43" t="str">
        <f ca="1">IFERROR(__xludf.DUMMYFUNCTION("IFERROR(VLOOKUP(E845&amp;F845,IMPORTRANGE(""https://docs.google.com/spreadsheets/d/1Uw7-A9f9R21vMXxHZFNpYNeKFtG8_yji4HS352LGlSQ/edit?pli=1#gid=0"",""1_ACUM!A4:S""),16,FALSE))"),"")</f>
        <v/>
      </c>
      <c r="BC828" s="43" t="str">
        <f ca="1">IFERROR(__xludf.DUMMYFUNCTION("IFERROR(VLOOKUP(E845&amp;F845,IMPORTRANGE(""https://docs.google.com/spreadsheets/d/1Uw7-A9f9R21vMXxHZFNpYNeKFtG8_yji4HS352LGlSQ/edit?pli=1#gid=0"",""1_ACUM!A4:S""),17,FALSE))"),"")</f>
        <v/>
      </c>
      <c r="BD828" s="44" t="str">
        <f ca="1">IFERROR(__xludf.DUMMYFUNCTION("IFERROR(VLOOKUP(E845&amp;F845,IMPORTRANGE(""https://docs.google.com/spreadsheets/d/1Uw7-A9f9R21vMXxHZFNpYNeKFtG8_yji4HS352LGlSQ/edit?pli=1#gid=0"",""1_ACUM!A4:S""),18,FALSE))"),"")</f>
        <v/>
      </c>
      <c r="BE828" s="44" t="str">
        <f ca="1">IFERROR(__xludf.DUMMYFUNCTION("IFERROR(VLOOKUP(E845&amp;F845,IMPORTRANGE(""https://docs.google.com/spreadsheets/d/1Uw7-A9f9R21vMXxHZFNpYNeKFtG8_yji4HS352LGlSQ/edit?pli=1#gid=0"",""1_ACUM!A4:S""),19,FALSE))"),"")</f>
        <v/>
      </c>
      <c r="BF828" s="44" t="str">
        <f ca="1">IFERROR(__xludf.DUMMYFUNCTION("IFERROR(VLOOKUP(F845,IMPORTRANGE(""https://docs.google.com/spreadsheets/d/1Kvs4KS76FHFqLFIZfrDMff4kP08nblUkihrxltoGBjg/edit#gid=934712705"",""ESENCIAL!A6:BG""),5,FALSE))"),"")</f>
        <v/>
      </c>
      <c r="BG828" s="44" t="str">
        <f t="shared" si="45"/>
        <v/>
      </c>
      <c r="BH828" s="41" t="str">
        <f t="shared" si="46"/>
        <v/>
      </c>
      <c r="BI828" s="41" t="str">
        <f ca="1">IFERROR(__xludf.DUMMYFUNCTION("IFERROR(VLOOKUP(F845,IMPORTRANGE(""https://docs.google.com/spreadsheets/d/1Kvs4KS76FHFqLFIZfrDMff4kP08nblUkihrxltoGBjg/edit#gid=934712705"",""ESENCIAL!A6:BG""),18,FALSE))"),"")</f>
        <v/>
      </c>
      <c r="BJ828" s="19" t="str">
        <f t="shared" si="47"/>
        <v/>
      </c>
      <c r="BK828" s="41"/>
      <c r="BL828" s="41"/>
    </row>
    <row r="829" spans="1:64" ht="15">
      <c r="A829" s="4"/>
      <c r="B829" s="4"/>
      <c r="G829" s="5" t="str">
        <f ca="1">IFERROR(__xludf.DUMMYFUNCTION("IFERROR(VLOOKUP(F846,IMPORTRANGE(""https://docs.google.com/spreadsheets/d/1Kvs4KS76FHFqLFIZfrDMff4kP08nblUkihrxltoGBjg/edit#gid=934712705"",""ESENCIAL!A6:BG""),3,FALSE))"),"")</f>
        <v/>
      </c>
      <c r="H829" s="5" t="str">
        <f ca="1">IFERROR(__xludf.DUMMYFUNCTION("IFERROR(VLOOKUP(F846,IMPORTRANGE(""https://docs.google.com/spreadsheets/d/1Kvs4KS76FHFqLFIZfrDMff4kP08nblUkihrxltoGBjg/edit#gid=934712705"",""ESENCIAL!A6:BG""),8,FALSE))"),"")</f>
        <v/>
      </c>
      <c r="L829" s="287"/>
      <c r="S829"/>
      <c r="AU829" s="41" t="str">
        <f t="shared" si="44"/>
        <v/>
      </c>
      <c r="AV829" s="5" t="str">
        <f ca="1">IFERROR(__xludf.DUMMYFUNCTION("IFERROR(VLOOKUP(E846&amp;F846,IMPORTRANGE(""https://docs.google.com/spreadsheets/d/1Uw7-A9f9R21vMXxHZFNpYNeKFtG8_yji4HS352LGlSQ/edit?pli=1#gid=0"",""1_ACUM!A4:S""),11,FALSE))"),"")</f>
        <v/>
      </c>
      <c r="AW829" s="42" t="str">
        <f ca="1">IFERROR(__xludf.DUMMYFUNCTION("IFERROR(VLOOKUP(F846,IMPORTRANGE(""https://docs.google.com/spreadsheets/d/1Kvs4KS76FHFqLFIZfrDMff4kP08nblUkihrxltoGBjg/edit#gid=934712705"",""ESENCIAL!A6:BG""),15,FALSE))"),"")</f>
        <v/>
      </c>
      <c r="AX829" s="21" t="str">
        <f ca="1">IFERROR(__xludf.DUMMYFUNCTION("IFERROR(VLOOKUP(E846&amp;F846,IMPORTRANGE(""https://docs.google.com/spreadsheets/d/1Uw7-A9f9R21vMXxHZFNpYNeKFtG8_yji4HS352LGlSQ/edit?pli=1#gid=0"",""1_ACUM!A4:S""),12,FALSE))"),"")</f>
        <v/>
      </c>
      <c r="AY829" s="43" t="str">
        <f ca="1">IFERROR(__xludf.DUMMYFUNCTION("IFERROR(VLOOKUP(E846&amp;F846,IMPORTRANGE(""https://docs.google.com/spreadsheets/d/1Uw7-A9f9R21vMXxHZFNpYNeKFtG8_yji4HS352LGlSQ/edit?pli=1#gid=0"",""1_ACUM!A4:S""),13,FALSE))"),"")</f>
        <v/>
      </c>
      <c r="AZ829" s="43" t="str">
        <f ca="1">IFERROR(__xludf.DUMMYFUNCTION("IFERROR(VLOOKUP(E846&amp;F846,IMPORTRANGE(""https://docs.google.com/spreadsheets/d/1Uw7-A9f9R21vMXxHZFNpYNeKFtG8_yji4HS352LGlSQ/edit?pli=1#gid=0"",""1_ACUM!A4:S""),14,FALSE))"),"")</f>
        <v/>
      </c>
      <c r="BA829" s="43" t="str">
        <f ca="1">IFERROR(__xludf.DUMMYFUNCTION("IFERROR(VLOOKUP(E846&amp;F846,IMPORTRANGE(""https://docs.google.com/spreadsheets/d/1Uw7-A9f9R21vMXxHZFNpYNeKFtG8_yji4HS352LGlSQ/edit?pli=1#gid=0"",""1_ACUM!A4:S""),15,FALSE))"),"")</f>
        <v/>
      </c>
      <c r="BB829" s="43" t="str">
        <f ca="1">IFERROR(__xludf.DUMMYFUNCTION("IFERROR(VLOOKUP(E846&amp;F846,IMPORTRANGE(""https://docs.google.com/spreadsheets/d/1Uw7-A9f9R21vMXxHZFNpYNeKFtG8_yji4HS352LGlSQ/edit?pli=1#gid=0"",""1_ACUM!A4:S""),16,FALSE))"),"")</f>
        <v/>
      </c>
      <c r="BC829" s="43" t="str">
        <f ca="1">IFERROR(__xludf.DUMMYFUNCTION("IFERROR(VLOOKUP(E846&amp;F846,IMPORTRANGE(""https://docs.google.com/spreadsheets/d/1Uw7-A9f9R21vMXxHZFNpYNeKFtG8_yji4HS352LGlSQ/edit?pli=1#gid=0"",""1_ACUM!A4:S""),17,FALSE))"),"")</f>
        <v/>
      </c>
      <c r="BD829" s="44" t="str">
        <f ca="1">IFERROR(__xludf.DUMMYFUNCTION("IFERROR(VLOOKUP(E846&amp;F846,IMPORTRANGE(""https://docs.google.com/spreadsheets/d/1Uw7-A9f9R21vMXxHZFNpYNeKFtG8_yji4HS352LGlSQ/edit?pli=1#gid=0"",""1_ACUM!A4:S""),18,FALSE))"),"")</f>
        <v/>
      </c>
      <c r="BE829" s="44" t="str">
        <f ca="1">IFERROR(__xludf.DUMMYFUNCTION("IFERROR(VLOOKUP(E846&amp;F846,IMPORTRANGE(""https://docs.google.com/spreadsheets/d/1Uw7-A9f9R21vMXxHZFNpYNeKFtG8_yji4HS352LGlSQ/edit?pli=1#gid=0"",""1_ACUM!A4:S""),19,FALSE))"),"")</f>
        <v/>
      </c>
      <c r="BF829" s="44" t="str">
        <f ca="1">IFERROR(__xludf.DUMMYFUNCTION("IFERROR(VLOOKUP(F846,IMPORTRANGE(""https://docs.google.com/spreadsheets/d/1Kvs4KS76FHFqLFIZfrDMff4kP08nblUkihrxltoGBjg/edit#gid=934712705"",""ESENCIAL!A6:BG""),5,FALSE))"),"")</f>
        <v/>
      </c>
      <c r="BG829" s="44" t="str">
        <f t="shared" si="45"/>
        <v/>
      </c>
      <c r="BH829" s="41" t="str">
        <f t="shared" si="46"/>
        <v/>
      </c>
      <c r="BI829" s="41" t="str">
        <f ca="1">IFERROR(__xludf.DUMMYFUNCTION("IFERROR(VLOOKUP(F846,IMPORTRANGE(""https://docs.google.com/spreadsheets/d/1Kvs4KS76FHFqLFIZfrDMff4kP08nblUkihrxltoGBjg/edit#gid=934712705"",""ESENCIAL!A6:BG""),18,FALSE))"),"")</f>
        <v/>
      </c>
      <c r="BJ829" s="19" t="str">
        <f t="shared" si="47"/>
        <v/>
      </c>
      <c r="BK829" s="41"/>
      <c r="BL829" s="41"/>
    </row>
    <row r="830" spans="1:64" ht="15">
      <c r="A830" s="4"/>
      <c r="B830" s="4"/>
      <c r="G830" s="5" t="str">
        <f ca="1">IFERROR(__xludf.DUMMYFUNCTION("IFERROR(VLOOKUP(F847,IMPORTRANGE(""https://docs.google.com/spreadsheets/d/1Kvs4KS76FHFqLFIZfrDMff4kP08nblUkihrxltoGBjg/edit#gid=934712705"",""ESENCIAL!A6:BG""),3,FALSE))"),"")</f>
        <v/>
      </c>
      <c r="H830" s="5" t="str">
        <f ca="1">IFERROR(__xludf.DUMMYFUNCTION("IFERROR(VLOOKUP(F847,IMPORTRANGE(""https://docs.google.com/spreadsheets/d/1Kvs4KS76FHFqLFIZfrDMff4kP08nblUkihrxltoGBjg/edit#gid=934712705"",""ESENCIAL!A6:BG""),8,FALSE))"),"")</f>
        <v/>
      </c>
      <c r="L830" s="287"/>
      <c r="S830"/>
      <c r="AU830" s="41" t="str">
        <f t="shared" si="44"/>
        <v/>
      </c>
      <c r="AV830" s="5" t="str">
        <f ca="1">IFERROR(__xludf.DUMMYFUNCTION("IFERROR(VLOOKUP(E847&amp;F847,IMPORTRANGE(""https://docs.google.com/spreadsheets/d/1Uw7-A9f9R21vMXxHZFNpYNeKFtG8_yji4HS352LGlSQ/edit?pli=1#gid=0"",""1_ACUM!A4:S""),11,FALSE))"),"")</f>
        <v/>
      </c>
      <c r="AW830" s="42" t="str">
        <f ca="1">IFERROR(__xludf.DUMMYFUNCTION("IFERROR(VLOOKUP(F847,IMPORTRANGE(""https://docs.google.com/spreadsheets/d/1Kvs4KS76FHFqLFIZfrDMff4kP08nblUkihrxltoGBjg/edit#gid=934712705"",""ESENCIAL!A6:BG""),15,FALSE))"),"")</f>
        <v/>
      </c>
      <c r="AX830" s="21" t="str">
        <f ca="1">IFERROR(__xludf.DUMMYFUNCTION("IFERROR(VLOOKUP(E847&amp;F847,IMPORTRANGE(""https://docs.google.com/spreadsheets/d/1Uw7-A9f9R21vMXxHZFNpYNeKFtG8_yji4HS352LGlSQ/edit?pli=1#gid=0"",""1_ACUM!A4:S""),12,FALSE))"),"")</f>
        <v/>
      </c>
      <c r="AY830" s="43" t="str">
        <f ca="1">IFERROR(__xludf.DUMMYFUNCTION("IFERROR(VLOOKUP(E847&amp;F847,IMPORTRANGE(""https://docs.google.com/spreadsheets/d/1Uw7-A9f9R21vMXxHZFNpYNeKFtG8_yji4HS352LGlSQ/edit?pli=1#gid=0"",""1_ACUM!A4:S""),13,FALSE))"),"")</f>
        <v/>
      </c>
      <c r="AZ830" s="43" t="str">
        <f ca="1">IFERROR(__xludf.DUMMYFUNCTION("IFERROR(VLOOKUP(E847&amp;F847,IMPORTRANGE(""https://docs.google.com/spreadsheets/d/1Uw7-A9f9R21vMXxHZFNpYNeKFtG8_yji4HS352LGlSQ/edit?pli=1#gid=0"",""1_ACUM!A4:S""),14,FALSE))"),"")</f>
        <v/>
      </c>
      <c r="BA830" s="43" t="str">
        <f ca="1">IFERROR(__xludf.DUMMYFUNCTION("IFERROR(VLOOKUP(E847&amp;F847,IMPORTRANGE(""https://docs.google.com/spreadsheets/d/1Uw7-A9f9R21vMXxHZFNpYNeKFtG8_yji4HS352LGlSQ/edit?pli=1#gid=0"",""1_ACUM!A4:S""),15,FALSE))"),"")</f>
        <v/>
      </c>
      <c r="BB830" s="43" t="str">
        <f ca="1">IFERROR(__xludf.DUMMYFUNCTION("IFERROR(VLOOKUP(E847&amp;F847,IMPORTRANGE(""https://docs.google.com/spreadsheets/d/1Uw7-A9f9R21vMXxHZFNpYNeKFtG8_yji4HS352LGlSQ/edit?pli=1#gid=0"",""1_ACUM!A4:S""),16,FALSE))"),"")</f>
        <v/>
      </c>
      <c r="BC830" s="43" t="str">
        <f ca="1">IFERROR(__xludf.DUMMYFUNCTION("IFERROR(VLOOKUP(E847&amp;F847,IMPORTRANGE(""https://docs.google.com/spreadsheets/d/1Uw7-A9f9R21vMXxHZFNpYNeKFtG8_yji4HS352LGlSQ/edit?pli=1#gid=0"",""1_ACUM!A4:S""),17,FALSE))"),"")</f>
        <v/>
      </c>
      <c r="BD830" s="44" t="str">
        <f ca="1">IFERROR(__xludf.DUMMYFUNCTION("IFERROR(VLOOKUP(E847&amp;F847,IMPORTRANGE(""https://docs.google.com/spreadsheets/d/1Uw7-A9f9R21vMXxHZFNpYNeKFtG8_yji4HS352LGlSQ/edit?pli=1#gid=0"",""1_ACUM!A4:S""),18,FALSE))"),"")</f>
        <v/>
      </c>
      <c r="BE830" s="44" t="str">
        <f ca="1">IFERROR(__xludf.DUMMYFUNCTION("IFERROR(VLOOKUP(E847&amp;F847,IMPORTRANGE(""https://docs.google.com/spreadsheets/d/1Uw7-A9f9R21vMXxHZFNpYNeKFtG8_yji4HS352LGlSQ/edit?pli=1#gid=0"",""1_ACUM!A4:S""),19,FALSE))"),"")</f>
        <v/>
      </c>
      <c r="BF830" s="44" t="str">
        <f ca="1">IFERROR(__xludf.DUMMYFUNCTION("IFERROR(VLOOKUP(F847,IMPORTRANGE(""https://docs.google.com/spreadsheets/d/1Kvs4KS76FHFqLFIZfrDMff4kP08nblUkihrxltoGBjg/edit#gid=934712705"",""ESENCIAL!A6:BG""),5,FALSE))"),"")</f>
        <v/>
      </c>
      <c r="BG830" s="44" t="str">
        <f t="shared" si="45"/>
        <v/>
      </c>
      <c r="BH830" s="41" t="str">
        <f t="shared" si="46"/>
        <v/>
      </c>
      <c r="BI830" s="41" t="str">
        <f ca="1">IFERROR(__xludf.DUMMYFUNCTION("IFERROR(VLOOKUP(F847,IMPORTRANGE(""https://docs.google.com/spreadsheets/d/1Kvs4KS76FHFqLFIZfrDMff4kP08nblUkihrxltoGBjg/edit#gid=934712705"",""ESENCIAL!A6:BG""),18,FALSE))"),"")</f>
        <v/>
      </c>
      <c r="BJ830" s="19" t="str">
        <f t="shared" si="47"/>
        <v/>
      </c>
      <c r="BK830" s="41"/>
      <c r="BL830" s="41"/>
    </row>
    <row r="831" spans="1:64" ht="15">
      <c r="A831" s="4"/>
      <c r="B831" s="4"/>
      <c r="G831" s="5" t="str">
        <f ca="1">IFERROR(__xludf.DUMMYFUNCTION("IFERROR(VLOOKUP(F848,IMPORTRANGE(""https://docs.google.com/spreadsheets/d/1Kvs4KS76FHFqLFIZfrDMff4kP08nblUkihrxltoGBjg/edit#gid=934712705"",""ESENCIAL!A6:BG""),3,FALSE))"),"")</f>
        <v/>
      </c>
      <c r="H831" s="5" t="str">
        <f ca="1">IFERROR(__xludf.DUMMYFUNCTION("IFERROR(VLOOKUP(F848,IMPORTRANGE(""https://docs.google.com/spreadsheets/d/1Kvs4KS76FHFqLFIZfrDMff4kP08nblUkihrxltoGBjg/edit#gid=934712705"",""ESENCIAL!A6:BG""),8,FALSE))"),"")</f>
        <v/>
      </c>
      <c r="L831" s="287"/>
      <c r="S831"/>
      <c r="AU831" s="41" t="str">
        <f t="shared" si="44"/>
        <v/>
      </c>
      <c r="AV831" s="5" t="str">
        <f ca="1">IFERROR(__xludf.DUMMYFUNCTION("IFERROR(VLOOKUP(E848&amp;F848,IMPORTRANGE(""https://docs.google.com/spreadsheets/d/1Uw7-A9f9R21vMXxHZFNpYNeKFtG8_yji4HS352LGlSQ/edit?pli=1#gid=0"",""1_ACUM!A4:S""),11,FALSE))"),"")</f>
        <v/>
      </c>
      <c r="AW831" s="42" t="str">
        <f ca="1">IFERROR(__xludf.DUMMYFUNCTION("IFERROR(VLOOKUP(F848,IMPORTRANGE(""https://docs.google.com/spreadsheets/d/1Kvs4KS76FHFqLFIZfrDMff4kP08nblUkihrxltoGBjg/edit#gid=934712705"",""ESENCIAL!A6:BG""),15,FALSE))"),"")</f>
        <v/>
      </c>
      <c r="AX831" s="21" t="str">
        <f ca="1">IFERROR(__xludf.DUMMYFUNCTION("IFERROR(VLOOKUP(E848&amp;F848,IMPORTRANGE(""https://docs.google.com/spreadsheets/d/1Uw7-A9f9R21vMXxHZFNpYNeKFtG8_yji4HS352LGlSQ/edit?pli=1#gid=0"",""1_ACUM!A4:S""),12,FALSE))"),"")</f>
        <v/>
      </c>
      <c r="AY831" s="43" t="str">
        <f ca="1">IFERROR(__xludf.DUMMYFUNCTION("IFERROR(VLOOKUP(E848&amp;F848,IMPORTRANGE(""https://docs.google.com/spreadsheets/d/1Uw7-A9f9R21vMXxHZFNpYNeKFtG8_yji4HS352LGlSQ/edit?pli=1#gid=0"",""1_ACUM!A4:S""),13,FALSE))"),"")</f>
        <v/>
      </c>
      <c r="AZ831" s="43" t="str">
        <f ca="1">IFERROR(__xludf.DUMMYFUNCTION("IFERROR(VLOOKUP(E848&amp;F848,IMPORTRANGE(""https://docs.google.com/spreadsheets/d/1Uw7-A9f9R21vMXxHZFNpYNeKFtG8_yji4HS352LGlSQ/edit?pli=1#gid=0"",""1_ACUM!A4:S""),14,FALSE))"),"")</f>
        <v/>
      </c>
      <c r="BA831" s="43" t="str">
        <f ca="1">IFERROR(__xludf.DUMMYFUNCTION("IFERROR(VLOOKUP(E848&amp;F848,IMPORTRANGE(""https://docs.google.com/spreadsheets/d/1Uw7-A9f9R21vMXxHZFNpYNeKFtG8_yji4HS352LGlSQ/edit?pli=1#gid=0"",""1_ACUM!A4:S""),15,FALSE))"),"")</f>
        <v/>
      </c>
      <c r="BB831" s="43" t="str">
        <f ca="1">IFERROR(__xludf.DUMMYFUNCTION("IFERROR(VLOOKUP(E848&amp;F848,IMPORTRANGE(""https://docs.google.com/spreadsheets/d/1Uw7-A9f9R21vMXxHZFNpYNeKFtG8_yji4HS352LGlSQ/edit?pli=1#gid=0"",""1_ACUM!A4:S""),16,FALSE))"),"")</f>
        <v/>
      </c>
      <c r="BC831" s="43" t="str">
        <f ca="1">IFERROR(__xludf.DUMMYFUNCTION("IFERROR(VLOOKUP(E848&amp;F848,IMPORTRANGE(""https://docs.google.com/spreadsheets/d/1Uw7-A9f9R21vMXxHZFNpYNeKFtG8_yji4HS352LGlSQ/edit?pli=1#gid=0"",""1_ACUM!A4:S""),17,FALSE))"),"")</f>
        <v/>
      </c>
      <c r="BD831" s="44" t="str">
        <f ca="1">IFERROR(__xludf.DUMMYFUNCTION("IFERROR(VLOOKUP(E848&amp;F848,IMPORTRANGE(""https://docs.google.com/spreadsheets/d/1Uw7-A9f9R21vMXxHZFNpYNeKFtG8_yji4HS352LGlSQ/edit?pli=1#gid=0"",""1_ACUM!A4:S""),18,FALSE))"),"")</f>
        <v/>
      </c>
      <c r="BE831" s="44" t="str">
        <f ca="1">IFERROR(__xludf.DUMMYFUNCTION("IFERROR(VLOOKUP(E848&amp;F848,IMPORTRANGE(""https://docs.google.com/spreadsheets/d/1Uw7-A9f9R21vMXxHZFNpYNeKFtG8_yji4HS352LGlSQ/edit?pli=1#gid=0"",""1_ACUM!A4:S""),19,FALSE))"),"")</f>
        <v/>
      </c>
      <c r="BF831" s="44" t="str">
        <f ca="1">IFERROR(__xludf.DUMMYFUNCTION("IFERROR(VLOOKUP(F848,IMPORTRANGE(""https://docs.google.com/spreadsheets/d/1Kvs4KS76FHFqLFIZfrDMff4kP08nblUkihrxltoGBjg/edit#gid=934712705"",""ESENCIAL!A6:BG""),5,FALSE))"),"")</f>
        <v/>
      </c>
      <c r="BG831" s="44" t="str">
        <f t="shared" si="45"/>
        <v/>
      </c>
      <c r="BH831" s="41" t="str">
        <f t="shared" si="46"/>
        <v/>
      </c>
      <c r="BI831" s="41" t="str">
        <f ca="1">IFERROR(__xludf.DUMMYFUNCTION("IFERROR(VLOOKUP(F848,IMPORTRANGE(""https://docs.google.com/spreadsheets/d/1Kvs4KS76FHFqLFIZfrDMff4kP08nblUkihrxltoGBjg/edit#gid=934712705"",""ESENCIAL!A6:BG""),18,FALSE))"),"")</f>
        <v/>
      </c>
      <c r="BJ831" s="19" t="str">
        <f t="shared" si="47"/>
        <v/>
      </c>
      <c r="BK831" s="41"/>
      <c r="BL831" s="41"/>
    </row>
    <row r="832" spans="1:64" ht="15">
      <c r="A832" s="4"/>
      <c r="B832" s="4"/>
      <c r="G832" s="5" t="str">
        <f ca="1">IFERROR(__xludf.DUMMYFUNCTION("IFERROR(VLOOKUP(F849,IMPORTRANGE(""https://docs.google.com/spreadsheets/d/1Kvs4KS76FHFqLFIZfrDMff4kP08nblUkihrxltoGBjg/edit#gid=934712705"",""ESENCIAL!A6:BG""),3,FALSE))"),"")</f>
        <v/>
      </c>
      <c r="H832" s="5" t="str">
        <f ca="1">IFERROR(__xludf.DUMMYFUNCTION("IFERROR(VLOOKUP(F849,IMPORTRANGE(""https://docs.google.com/spreadsheets/d/1Kvs4KS76FHFqLFIZfrDMff4kP08nblUkihrxltoGBjg/edit#gid=934712705"",""ESENCIAL!A6:BG""),8,FALSE))"),"")</f>
        <v/>
      </c>
      <c r="L832" s="287"/>
      <c r="S832"/>
      <c r="AU832" s="41" t="str">
        <f t="shared" si="44"/>
        <v/>
      </c>
      <c r="AV832" s="5" t="str">
        <f ca="1">IFERROR(__xludf.DUMMYFUNCTION("IFERROR(VLOOKUP(E849&amp;F849,IMPORTRANGE(""https://docs.google.com/spreadsheets/d/1Uw7-A9f9R21vMXxHZFNpYNeKFtG8_yji4HS352LGlSQ/edit?pli=1#gid=0"",""1_ACUM!A4:S""),11,FALSE))"),"")</f>
        <v/>
      </c>
      <c r="AW832" s="42" t="str">
        <f ca="1">IFERROR(__xludf.DUMMYFUNCTION("IFERROR(VLOOKUP(F849,IMPORTRANGE(""https://docs.google.com/spreadsheets/d/1Kvs4KS76FHFqLFIZfrDMff4kP08nblUkihrxltoGBjg/edit#gid=934712705"",""ESENCIAL!A6:BG""),15,FALSE))"),"")</f>
        <v/>
      </c>
      <c r="AX832" s="21" t="str">
        <f ca="1">IFERROR(__xludf.DUMMYFUNCTION("IFERROR(VLOOKUP(E849&amp;F849,IMPORTRANGE(""https://docs.google.com/spreadsheets/d/1Uw7-A9f9R21vMXxHZFNpYNeKFtG8_yji4HS352LGlSQ/edit?pli=1#gid=0"",""1_ACUM!A4:S""),12,FALSE))"),"")</f>
        <v/>
      </c>
      <c r="AY832" s="43" t="str">
        <f ca="1">IFERROR(__xludf.DUMMYFUNCTION("IFERROR(VLOOKUP(E849&amp;F849,IMPORTRANGE(""https://docs.google.com/spreadsheets/d/1Uw7-A9f9R21vMXxHZFNpYNeKFtG8_yji4HS352LGlSQ/edit?pli=1#gid=0"",""1_ACUM!A4:S""),13,FALSE))"),"")</f>
        <v/>
      </c>
      <c r="AZ832" s="43" t="str">
        <f ca="1">IFERROR(__xludf.DUMMYFUNCTION("IFERROR(VLOOKUP(E849&amp;F849,IMPORTRANGE(""https://docs.google.com/spreadsheets/d/1Uw7-A9f9R21vMXxHZFNpYNeKFtG8_yji4HS352LGlSQ/edit?pli=1#gid=0"",""1_ACUM!A4:S""),14,FALSE))"),"")</f>
        <v/>
      </c>
      <c r="BA832" s="43" t="str">
        <f ca="1">IFERROR(__xludf.DUMMYFUNCTION("IFERROR(VLOOKUP(E849&amp;F849,IMPORTRANGE(""https://docs.google.com/spreadsheets/d/1Uw7-A9f9R21vMXxHZFNpYNeKFtG8_yji4HS352LGlSQ/edit?pli=1#gid=0"",""1_ACUM!A4:S""),15,FALSE))"),"")</f>
        <v/>
      </c>
      <c r="BB832" s="43" t="str">
        <f ca="1">IFERROR(__xludf.DUMMYFUNCTION("IFERROR(VLOOKUP(E849&amp;F849,IMPORTRANGE(""https://docs.google.com/spreadsheets/d/1Uw7-A9f9R21vMXxHZFNpYNeKFtG8_yji4HS352LGlSQ/edit?pli=1#gid=0"",""1_ACUM!A4:S""),16,FALSE))"),"")</f>
        <v/>
      </c>
      <c r="BC832" s="43" t="str">
        <f ca="1">IFERROR(__xludf.DUMMYFUNCTION("IFERROR(VLOOKUP(E849&amp;F849,IMPORTRANGE(""https://docs.google.com/spreadsheets/d/1Uw7-A9f9R21vMXxHZFNpYNeKFtG8_yji4HS352LGlSQ/edit?pli=1#gid=0"",""1_ACUM!A4:S""),17,FALSE))"),"")</f>
        <v/>
      </c>
      <c r="BD832" s="44" t="str">
        <f ca="1">IFERROR(__xludf.DUMMYFUNCTION("IFERROR(VLOOKUP(E849&amp;F849,IMPORTRANGE(""https://docs.google.com/spreadsheets/d/1Uw7-A9f9R21vMXxHZFNpYNeKFtG8_yji4HS352LGlSQ/edit?pli=1#gid=0"",""1_ACUM!A4:S""),18,FALSE))"),"")</f>
        <v/>
      </c>
      <c r="BE832" s="44" t="str">
        <f ca="1">IFERROR(__xludf.DUMMYFUNCTION("IFERROR(VLOOKUP(E849&amp;F849,IMPORTRANGE(""https://docs.google.com/spreadsheets/d/1Uw7-A9f9R21vMXxHZFNpYNeKFtG8_yji4HS352LGlSQ/edit?pli=1#gid=0"",""1_ACUM!A4:S""),19,FALSE))"),"")</f>
        <v/>
      </c>
      <c r="BF832" s="44" t="str">
        <f ca="1">IFERROR(__xludf.DUMMYFUNCTION("IFERROR(VLOOKUP(F849,IMPORTRANGE(""https://docs.google.com/spreadsheets/d/1Kvs4KS76FHFqLFIZfrDMff4kP08nblUkihrxltoGBjg/edit#gid=934712705"",""ESENCIAL!A6:BG""),5,FALSE))"),"")</f>
        <v/>
      </c>
      <c r="BG832" s="44" t="str">
        <f t="shared" si="45"/>
        <v/>
      </c>
      <c r="BH832" s="41" t="str">
        <f t="shared" si="46"/>
        <v/>
      </c>
      <c r="BI832" s="41" t="str">
        <f ca="1">IFERROR(__xludf.DUMMYFUNCTION("IFERROR(VLOOKUP(F849,IMPORTRANGE(""https://docs.google.com/spreadsheets/d/1Kvs4KS76FHFqLFIZfrDMff4kP08nblUkihrxltoGBjg/edit#gid=934712705"",""ESENCIAL!A6:BG""),18,FALSE))"),"")</f>
        <v/>
      </c>
      <c r="BJ832" s="19" t="str">
        <f t="shared" si="47"/>
        <v/>
      </c>
      <c r="BK832" s="41"/>
      <c r="BL832" s="41"/>
    </row>
    <row r="833" spans="1:64" ht="15">
      <c r="A833" s="4"/>
      <c r="B833" s="4"/>
      <c r="G833" s="5" t="str">
        <f ca="1">IFERROR(__xludf.DUMMYFUNCTION("IFERROR(VLOOKUP(F850,IMPORTRANGE(""https://docs.google.com/spreadsheets/d/1Kvs4KS76FHFqLFIZfrDMff4kP08nblUkihrxltoGBjg/edit#gid=934712705"",""ESENCIAL!A6:BG""),3,FALSE))"),"")</f>
        <v/>
      </c>
      <c r="H833" s="5" t="str">
        <f ca="1">IFERROR(__xludf.DUMMYFUNCTION("IFERROR(VLOOKUP(F850,IMPORTRANGE(""https://docs.google.com/spreadsheets/d/1Kvs4KS76FHFqLFIZfrDMff4kP08nblUkihrxltoGBjg/edit#gid=934712705"",""ESENCIAL!A6:BG""),8,FALSE))"),"")</f>
        <v/>
      </c>
      <c r="L833" s="287"/>
      <c r="S833"/>
      <c r="AU833" s="41" t="str">
        <f t="shared" si="44"/>
        <v/>
      </c>
      <c r="AV833" s="5" t="str">
        <f ca="1">IFERROR(__xludf.DUMMYFUNCTION("IFERROR(VLOOKUP(E850&amp;F850,IMPORTRANGE(""https://docs.google.com/spreadsheets/d/1Uw7-A9f9R21vMXxHZFNpYNeKFtG8_yji4HS352LGlSQ/edit?pli=1#gid=0"",""1_ACUM!A4:S""),11,FALSE))"),"")</f>
        <v/>
      </c>
      <c r="AW833" s="42" t="str">
        <f ca="1">IFERROR(__xludf.DUMMYFUNCTION("IFERROR(VLOOKUP(F850,IMPORTRANGE(""https://docs.google.com/spreadsheets/d/1Kvs4KS76FHFqLFIZfrDMff4kP08nblUkihrxltoGBjg/edit#gid=934712705"",""ESENCIAL!A6:BG""),15,FALSE))"),"")</f>
        <v/>
      </c>
      <c r="AX833" s="21" t="str">
        <f ca="1">IFERROR(__xludf.DUMMYFUNCTION("IFERROR(VLOOKUP(E850&amp;F850,IMPORTRANGE(""https://docs.google.com/spreadsheets/d/1Uw7-A9f9R21vMXxHZFNpYNeKFtG8_yji4HS352LGlSQ/edit?pli=1#gid=0"",""1_ACUM!A4:S""),12,FALSE))"),"")</f>
        <v/>
      </c>
      <c r="AY833" s="43" t="str">
        <f ca="1">IFERROR(__xludf.DUMMYFUNCTION("IFERROR(VLOOKUP(E850&amp;F850,IMPORTRANGE(""https://docs.google.com/spreadsheets/d/1Uw7-A9f9R21vMXxHZFNpYNeKFtG8_yji4HS352LGlSQ/edit?pli=1#gid=0"",""1_ACUM!A4:S""),13,FALSE))"),"")</f>
        <v/>
      </c>
      <c r="AZ833" s="43" t="str">
        <f ca="1">IFERROR(__xludf.DUMMYFUNCTION("IFERROR(VLOOKUP(E850&amp;F850,IMPORTRANGE(""https://docs.google.com/spreadsheets/d/1Uw7-A9f9R21vMXxHZFNpYNeKFtG8_yji4HS352LGlSQ/edit?pli=1#gid=0"",""1_ACUM!A4:S""),14,FALSE))"),"")</f>
        <v/>
      </c>
      <c r="BA833" s="43" t="str">
        <f ca="1">IFERROR(__xludf.DUMMYFUNCTION("IFERROR(VLOOKUP(E850&amp;F850,IMPORTRANGE(""https://docs.google.com/spreadsheets/d/1Uw7-A9f9R21vMXxHZFNpYNeKFtG8_yji4HS352LGlSQ/edit?pli=1#gid=0"",""1_ACUM!A4:S""),15,FALSE))"),"")</f>
        <v/>
      </c>
      <c r="BB833" s="43" t="str">
        <f ca="1">IFERROR(__xludf.DUMMYFUNCTION("IFERROR(VLOOKUP(E850&amp;F850,IMPORTRANGE(""https://docs.google.com/spreadsheets/d/1Uw7-A9f9R21vMXxHZFNpYNeKFtG8_yji4HS352LGlSQ/edit?pli=1#gid=0"",""1_ACUM!A4:S""),16,FALSE))"),"")</f>
        <v/>
      </c>
      <c r="BC833" s="43" t="str">
        <f ca="1">IFERROR(__xludf.DUMMYFUNCTION("IFERROR(VLOOKUP(E850&amp;F850,IMPORTRANGE(""https://docs.google.com/spreadsheets/d/1Uw7-A9f9R21vMXxHZFNpYNeKFtG8_yji4HS352LGlSQ/edit?pli=1#gid=0"",""1_ACUM!A4:S""),17,FALSE))"),"")</f>
        <v/>
      </c>
      <c r="BD833" s="44" t="str">
        <f ca="1">IFERROR(__xludf.DUMMYFUNCTION("IFERROR(VLOOKUP(E850&amp;F850,IMPORTRANGE(""https://docs.google.com/spreadsheets/d/1Uw7-A9f9R21vMXxHZFNpYNeKFtG8_yji4HS352LGlSQ/edit?pli=1#gid=0"",""1_ACUM!A4:S""),18,FALSE))"),"")</f>
        <v/>
      </c>
      <c r="BE833" s="44" t="str">
        <f ca="1">IFERROR(__xludf.DUMMYFUNCTION("IFERROR(VLOOKUP(E850&amp;F850,IMPORTRANGE(""https://docs.google.com/spreadsheets/d/1Uw7-A9f9R21vMXxHZFNpYNeKFtG8_yji4HS352LGlSQ/edit?pli=1#gid=0"",""1_ACUM!A4:S""),19,FALSE))"),"")</f>
        <v/>
      </c>
      <c r="BF833" s="44" t="str">
        <f ca="1">IFERROR(__xludf.DUMMYFUNCTION("IFERROR(VLOOKUP(F850,IMPORTRANGE(""https://docs.google.com/spreadsheets/d/1Kvs4KS76FHFqLFIZfrDMff4kP08nblUkihrxltoGBjg/edit#gid=934712705"",""ESENCIAL!A6:BG""),5,FALSE))"),"")</f>
        <v/>
      </c>
      <c r="BG833" s="44" t="str">
        <f t="shared" si="45"/>
        <v/>
      </c>
      <c r="BH833" s="41" t="str">
        <f t="shared" si="46"/>
        <v/>
      </c>
      <c r="BI833" s="41" t="str">
        <f ca="1">IFERROR(__xludf.DUMMYFUNCTION("IFERROR(VLOOKUP(F850,IMPORTRANGE(""https://docs.google.com/spreadsheets/d/1Kvs4KS76FHFqLFIZfrDMff4kP08nblUkihrxltoGBjg/edit#gid=934712705"",""ESENCIAL!A6:BG""),18,FALSE))"),"")</f>
        <v/>
      </c>
      <c r="BJ833" s="19" t="str">
        <f t="shared" si="47"/>
        <v/>
      </c>
      <c r="BK833" s="41"/>
      <c r="BL833" s="41"/>
    </row>
    <row r="834" spans="1:64" ht="15">
      <c r="A834" s="4"/>
      <c r="B834" s="4"/>
      <c r="G834" s="5" t="str">
        <f ca="1">IFERROR(__xludf.DUMMYFUNCTION("IFERROR(VLOOKUP(F851,IMPORTRANGE(""https://docs.google.com/spreadsheets/d/1Kvs4KS76FHFqLFIZfrDMff4kP08nblUkihrxltoGBjg/edit#gid=934712705"",""ESENCIAL!A6:BG""),3,FALSE))"),"")</f>
        <v/>
      </c>
      <c r="H834" s="5" t="str">
        <f ca="1">IFERROR(__xludf.DUMMYFUNCTION("IFERROR(VLOOKUP(F851,IMPORTRANGE(""https://docs.google.com/spreadsheets/d/1Kvs4KS76FHFqLFIZfrDMff4kP08nblUkihrxltoGBjg/edit#gid=934712705"",""ESENCIAL!A6:BG""),8,FALSE))"),"")</f>
        <v/>
      </c>
      <c r="L834" s="287"/>
      <c r="S834"/>
      <c r="AU834" s="41" t="str">
        <f t="shared" si="44"/>
        <v/>
      </c>
      <c r="AV834" s="5" t="str">
        <f ca="1">IFERROR(__xludf.DUMMYFUNCTION("IFERROR(VLOOKUP(E851&amp;F851,IMPORTRANGE(""https://docs.google.com/spreadsheets/d/1Uw7-A9f9R21vMXxHZFNpYNeKFtG8_yji4HS352LGlSQ/edit?pli=1#gid=0"",""1_ACUM!A4:S""),11,FALSE))"),"")</f>
        <v/>
      </c>
      <c r="AW834" s="42" t="str">
        <f ca="1">IFERROR(__xludf.DUMMYFUNCTION("IFERROR(VLOOKUP(F851,IMPORTRANGE(""https://docs.google.com/spreadsheets/d/1Kvs4KS76FHFqLFIZfrDMff4kP08nblUkihrxltoGBjg/edit#gid=934712705"",""ESENCIAL!A6:BG""),15,FALSE))"),"")</f>
        <v/>
      </c>
      <c r="AX834" s="21" t="str">
        <f ca="1">IFERROR(__xludf.DUMMYFUNCTION("IFERROR(VLOOKUP(E851&amp;F851,IMPORTRANGE(""https://docs.google.com/spreadsheets/d/1Uw7-A9f9R21vMXxHZFNpYNeKFtG8_yji4HS352LGlSQ/edit?pli=1#gid=0"",""1_ACUM!A4:S""),12,FALSE))"),"")</f>
        <v/>
      </c>
      <c r="AY834" s="43" t="str">
        <f ca="1">IFERROR(__xludf.DUMMYFUNCTION("IFERROR(VLOOKUP(E851&amp;F851,IMPORTRANGE(""https://docs.google.com/spreadsheets/d/1Uw7-A9f9R21vMXxHZFNpYNeKFtG8_yji4HS352LGlSQ/edit?pli=1#gid=0"",""1_ACUM!A4:S""),13,FALSE))"),"")</f>
        <v/>
      </c>
      <c r="AZ834" s="43" t="str">
        <f ca="1">IFERROR(__xludf.DUMMYFUNCTION("IFERROR(VLOOKUP(E851&amp;F851,IMPORTRANGE(""https://docs.google.com/spreadsheets/d/1Uw7-A9f9R21vMXxHZFNpYNeKFtG8_yji4HS352LGlSQ/edit?pli=1#gid=0"",""1_ACUM!A4:S""),14,FALSE))"),"")</f>
        <v/>
      </c>
      <c r="BA834" s="43" t="str">
        <f ca="1">IFERROR(__xludf.DUMMYFUNCTION("IFERROR(VLOOKUP(E851&amp;F851,IMPORTRANGE(""https://docs.google.com/spreadsheets/d/1Uw7-A9f9R21vMXxHZFNpYNeKFtG8_yji4HS352LGlSQ/edit?pli=1#gid=0"",""1_ACUM!A4:S""),15,FALSE))"),"")</f>
        <v/>
      </c>
      <c r="BB834" s="43" t="str">
        <f ca="1">IFERROR(__xludf.DUMMYFUNCTION("IFERROR(VLOOKUP(E851&amp;F851,IMPORTRANGE(""https://docs.google.com/spreadsheets/d/1Uw7-A9f9R21vMXxHZFNpYNeKFtG8_yji4HS352LGlSQ/edit?pli=1#gid=0"",""1_ACUM!A4:S""),16,FALSE))"),"")</f>
        <v/>
      </c>
      <c r="BC834" s="43" t="str">
        <f ca="1">IFERROR(__xludf.DUMMYFUNCTION("IFERROR(VLOOKUP(E851&amp;F851,IMPORTRANGE(""https://docs.google.com/spreadsheets/d/1Uw7-A9f9R21vMXxHZFNpYNeKFtG8_yji4HS352LGlSQ/edit?pli=1#gid=0"",""1_ACUM!A4:S""),17,FALSE))"),"")</f>
        <v/>
      </c>
      <c r="BD834" s="44" t="str">
        <f ca="1">IFERROR(__xludf.DUMMYFUNCTION("IFERROR(VLOOKUP(E851&amp;F851,IMPORTRANGE(""https://docs.google.com/spreadsheets/d/1Uw7-A9f9R21vMXxHZFNpYNeKFtG8_yji4HS352LGlSQ/edit?pli=1#gid=0"",""1_ACUM!A4:S""),18,FALSE))"),"")</f>
        <v/>
      </c>
      <c r="BE834" s="44" t="str">
        <f ca="1">IFERROR(__xludf.DUMMYFUNCTION("IFERROR(VLOOKUP(E851&amp;F851,IMPORTRANGE(""https://docs.google.com/spreadsheets/d/1Uw7-A9f9R21vMXxHZFNpYNeKFtG8_yji4HS352LGlSQ/edit?pli=1#gid=0"",""1_ACUM!A4:S""),19,FALSE))"),"")</f>
        <v/>
      </c>
      <c r="BF834" s="44" t="str">
        <f ca="1">IFERROR(__xludf.DUMMYFUNCTION("IFERROR(VLOOKUP(F851,IMPORTRANGE(""https://docs.google.com/spreadsheets/d/1Kvs4KS76FHFqLFIZfrDMff4kP08nblUkihrxltoGBjg/edit#gid=934712705"",""ESENCIAL!A6:BG""),5,FALSE))"),"")</f>
        <v/>
      </c>
      <c r="BG834" s="44" t="str">
        <f t="shared" si="45"/>
        <v/>
      </c>
      <c r="BH834" s="41" t="str">
        <f t="shared" si="46"/>
        <v/>
      </c>
      <c r="BI834" s="41" t="str">
        <f ca="1">IFERROR(__xludf.DUMMYFUNCTION("IFERROR(VLOOKUP(F851,IMPORTRANGE(""https://docs.google.com/spreadsheets/d/1Kvs4KS76FHFqLFIZfrDMff4kP08nblUkihrxltoGBjg/edit#gid=934712705"",""ESENCIAL!A6:BG""),18,FALSE))"),"")</f>
        <v/>
      </c>
      <c r="BJ834" s="19" t="str">
        <f t="shared" si="47"/>
        <v/>
      </c>
      <c r="BK834" s="41"/>
      <c r="BL834" s="41"/>
    </row>
    <row r="835" spans="1:64" ht="15">
      <c r="A835" s="4"/>
      <c r="B835" s="4"/>
      <c r="G835" s="5" t="str">
        <f ca="1">IFERROR(__xludf.DUMMYFUNCTION("IFERROR(VLOOKUP(F852,IMPORTRANGE(""https://docs.google.com/spreadsheets/d/1Kvs4KS76FHFqLFIZfrDMff4kP08nblUkihrxltoGBjg/edit#gid=934712705"",""ESENCIAL!A6:BG""),3,FALSE))"),"")</f>
        <v/>
      </c>
      <c r="H835" s="5" t="str">
        <f ca="1">IFERROR(__xludf.DUMMYFUNCTION("IFERROR(VLOOKUP(F852,IMPORTRANGE(""https://docs.google.com/spreadsheets/d/1Kvs4KS76FHFqLFIZfrDMff4kP08nblUkihrxltoGBjg/edit#gid=934712705"",""ESENCIAL!A6:BG""),8,FALSE))"),"")</f>
        <v/>
      </c>
      <c r="L835" s="287"/>
      <c r="S835"/>
      <c r="AU835" s="41" t="str">
        <f t="shared" si="44"/>
        <v/>
      </c>
      <c r="AV835" s="5" t="str">
        <f ca="1">IFERROR(__xludf.DUMMYFUNCTION("IFERROR(VLOOKUP(E852&amp;F852,IMPORTRANGE(""https://docs.google.com/spreadsheets/d/1Uw7-A9f9R21vMXxHZFNpYNeKFtG8_yji4HS352LGlSQ/edit?pli=1#gid=0"",""1_ACUM!A4:S""),11,FALSE))"),"")</f>
        <v/>
      </c>
      <c r="AW835" s="42" t="str">
        <f ca="1">IFERROR(__xludf.DUMMYFUNCTION("IFERROR(VLOOKUP(F852,IMPORTRANGE(""https://docs.google.com/spreadsheets/d/1Kvs4KS76FHFqLFIZfrDMff4kP08nblUkihrxltoGBjg/edit#gid=934712705"",""ESENCIAL!A6:BG""),15,FALSE))"),"")</f>
        <v/>
      </c>
      <c r="AX835" s="21" t="str">
        <f ca="1">IFERROR(__xludf.DUMMYFUNCTION("IFERROR(VLOOKUP(E852&amp;F852,IMPORTRANGE(""https://docs.google.com/spreadsheets/d/1Uw7-A9f9R21vMXxHZFNpYNeKFtG8_yji4HS352LGlSQ/edit?pli=1#gid=0"",""1_ACUM!A4:S""),12,FALSE))"),"")</f>
        <v/>
      </c>
      <c r="AY835" s="43" t="str">
        <f ca="1">IFERROR(__xludf.DUMMYFUNCTION("IFERROR(VLOOKUP(E852&amp;F852,IMPORTRANGE(""https://docs.google.com/spreadsheets/d/1Uw7-A9f9R21vMXxHZFNpYNeKFtG8_yji4HS352LGlSQ/edit?pli=1#gid=0"",""1_ACUM!A4:S""),13,FALSE))"),"")</f>
        <v/>
      </c>
      <c r="AZ835" s="43" t="str">
        <f ca="1">IFERROR(__xludf.DUMMYFUNCTION("IFERROR(VLOOKUP(E852&amp;F852,IMPORTRANGE(""https://docs.google.com/spreadsheets/d/1Uw7-A9f9R21vMXxHZFNpYNeKFtG8_yji4HS352LGlSQ/edit?pli=1#gid=0"",""1_ACUM!A4:S""),14,FALSE))"),"")</f>
        <v/>
      </c>
      <c r="BA835" s="43" t="str">
        <f ca="1">IFERROR(__xludf.DUMMYFUNCTION("IFERROR(VLOOKUP(E852&amp;F852,IMPORTRANGE(""https://docs.google.com/spreadsheets/d/1Uw7-A9f9R21vMXxHZFNpYNeKFtG8_yji4HS352LGlSQ/edit?pli=1#gid=0"",""1_ACUM!A4:S""),15,FALSE))"),"")</f>
        <v/>
      </c>
      <c r="BB835" s="43" t="str">
        <f ca="1">IFERROR(__xludf.DUMMYFUNCTION("IFERROR(VLOOKUP(E852&amp;F852,IMPORTRANGE(""https://docs.google.com/spreadsheets/d/1Uw7-A9f9R21vMXxHZFNpYNeKFtG8_yji4HS352LGlSQ/edit?pli=1#gid=0"",""1_ACUM!A4:S""),16,FALSE))"),"")</f>
        <v/>
      </c>
      <c r="BC835" s="43" t="str">
        <f ca="1">IFERROR(__xludf.DUMMYFUNCTION("IFERROR(VLOOKUP(E852&amp;F852,IMPORTRANGE(""https://docs.google.com/spreadsheets/d/1Uw7-A9f9R21vMXxHZFNpYNeKFtG8_yji4HS352LGlSQ/edit?pli=1#gid=0"",""1_ACUM!A4:S""),17,FALSE))"),"")</f>
        <v/>
      </c>
      <c r="BD835" s="44" t="str">
        <f ca="1">IFERROR(__xludf.DUMMYFUNCTION("IFERROR(VLOOKUP(E852&amp;F852,IMPORTRANGE(""https://docs.google.com/spreadsheets/d/1Uw7-A9f9R21vMXxHZFNpYNeKFtG8_yji4HS352LGlSQ/edit?pli=1#gid=0"",""1_ACUM!A4:S""),18,FALSE))"),"")</f>
        <v/>
      </c>
      <c r="BE835" s="44" t="str">
        <f ca="1">IFERROR(__xludf.DUMMYFUNCTION("IFERROR(VLOOKUP(E852&amp;F852,IMPORTRANGE(""https://docs.google.com/spreadsheets/d/1Uw7-A9f9R21vMXxHZFNpYNeKFtG8_yji4HS352LGlSQ/edit?pli=1#gid=0"",""1_ACUM!A4:S""),19,FALSE))"),"")</f>
        <v/>
      </c>
      <c r="BF835" s="44" t="str">
        <f ca="1">IFERROR(__xludf.DUMMYFUNCTION("IFERROR(VLOOKUP(F852,IMPORTRANGE(""https://docs.google.com/spreadsheets/d/1Kvs4KS76FHFqLFIZfrDMff4kP08nblUkihrxltoGBjg/edit#gid=934712705"",""ESENCIAL!A6:BG""),5,FALSE))"),"")</f>
        <v/>
      </c>
      <c r="BG835" s="44" t="str">
        <f t="shared" si="45"/>
        <v/>
      </c>
      <c r="BH835" s="41" t="str">
        <f t="shared" si="46"/>
        <v/>
      </c>
      <c r="BI835" s="41" t="str">
        <f ca="1">IFERROR(__xludf.DUMMYFUNCTION("IFERROR(VLOOKUP(F852,IMPORTRANGE(""https://docs.google.com/spreadsheets/d/1Kvs4KS76FHFqLFIZfrDMff4kP08nblUkihrxltoGBjg/edit#gid=934712705"",""ESENCIAL!A6:BG""),18,FALSE))"),"")</f>
        <v/>
      </c>
      <c r="BJ835" s="19" t="str">
        <f t="shared" si="47"/>
        <v/>
      </c>
      <c r="BK835" s="41"/>
      <c r="BL835" s="41"/>
    </row>
    <row r="836" spans="1:64" ht="15">
      <c r="A836" s="4"/>
      <c r="B836" s="4"/>
      <c r="G836" s="5" t="str">
        <f ca="1">IFERROR(__xludf.DUMMYFUNCTION("IFERROR(VLOOKUP(F853,IMPORTRANGE(""https://docs.google.com/spreadsheets/d/1Kvs4KS76FHFqLFIZfrDMff4kP08nblUkihrxltoGBjg/edit#gid=934712705"",""ESENCIAL!A6:BG""),3,FALSE))"),"")</f>
        <v/>
      </c>
      <c r="H836" s="5" t="str">
        <f ca="1">IFERROR(__xludf.DUMMYFUNCTION("IFERROR(VLOOKUP(F853,IMPORTRANGE(""https://docs.google.com/spreadsheets/d/1Kvs4KS76FHFqLFIZfrDMff4kP08nblUkihrxltoGBjg/edit#gid=934712705"",""ESENCIAL!A6:BG""),8,FALSE))"),"")</f>
        <v/>
      </c>
      <c r="L836" s="287"/>
      <c r="S836"/>
      <c r="AU836" s="41" t="str">
        <f t="shared" si="44"/>
        <v/>
      </c>
      <c r="AV836" s="5" t="str">
        <f ca="1">IFERROR(__xludf.DUMMYFUNCTION("IFERROR(VLOOKUP(E853&amp;F853,IMPORTRANGE(""https://docs.google.com/spreadsheets/d/1Uw7-A9f9R21vMXxHZFNpYNeKFtG8_yji4HS352LGlSQ/edit?pli=1#gid=0"",""1_ACUM!A4:S""),11,FALSE))"),"")</f>
        <v/>
      </c>
      <c r="AW836" s="42" t="str">
        <f ca="1">IFERROR(__xludf.DUMMYFUNCTION("IFERROR(VLOOKUP(F853,IMPORTRANGE(""https://docs.google.com/spreadsheets/d/1Kvs4KS76FHFqLFIZfrDMff4kP08nblUkihrxltoGBjg/edit#gid=934712705"",""ESENCIAL!A6:BG""),15,FALSE))"),"")</f>
        <v/>
      </c>
      <c r="AX836" s="21" t="str">
        <f ca="1">IFERROR(__xludf.DUMMYFUNCTION("IFERROR(VLOOKUP(E853&amp;F853,IMPORTRANGE(""https://docs.google.com/spreadsheets/d/1Uw7-A9f9R21vMXxHZFNpYNeKFtG8_yji4HS352LGlSQ/edit?pli=1#gid=0"",""1_ACUM!A4:S""),12,FALSE))"),"")</f>
        <v/>
      </c>
      <c r="AY836" s="43" t="str">
        <f ca="1">IFERROR(__xludf.DUMMYFUNCTION("IFERROR(VLOOKUP(E853&amp;F853,IMPORTRANGE(""https://docs.google.com/spreadsheets/d/1Uw7-A9f9R21vMXxHZFNpYNeKFtG8_yji4HS352LGlSQ/edit?pli=1#gid=0"",""1_ACUM!A4:S""),13,FALSE))"),"")</f>
        <v/>
      </c>
      <c r="AZ836" s="43" t="str">
        <f ca="1">IFERROR(__xludf.DUMMYFUNCTION("IFERROR(VLOOKUP(E853&amp;F853,IMPORTRANGE(""https://docs.google.com/spreadsheets/d/1Uw7-A9f9R21vMXxHZFNpYNeKFtG8_yji4HS352LGlSQ/edit?pli=1#gid=0"",""1_ACUM!A4:S""),14,FALSE))"),"")</f>
        <v/>
      </c>
      <c r="BA836" s="43" t="str">
        <f ca="1">IFERROR(__xludf.DUMMYFUNCTION("IFERROR(VLOOKUP(E853&amp;F853,IMPORTRANGE(""https://docs.google.com/spreadsheets/d/1Uw7-A9f9R21vMXxHZFNpYNeKFtG8_yji4HS352LGlSQ/edit?pli=1#gid=0"",""1_ACUM!A4:S""),15,FALSE))"),"")</f>
        <v/>
      </c>
      <c r="BB836" s="43" t="str">
        <f ca="1">IFERROR(__xludf.DUMMYFUNCTION("IFERROR(VLOOKUP(E853&amp;F853,IMPORTRANGE(""https://docs.google.com/spreadsheets/d/1Uw7-A9f9R21vMXxHZFNpYNeKFtG8_yji4HS352LGlSQ/edit?pli=1#gid=0"",""1_ACUM!A4:S""),16,FALSE))"),"")</f>
        <v/>
      </c>
      <c r="BC836" s="43" t="str">
        <f ca="1">IFERROR(__xludf.DUMMYFUNCTION("IFERROR(VLOOKUP(E853&amp;F853,IMPORTRANGE(""https://docs.google.com/spreadsheets/d/1Uw7-A9f9R21vMXxHZFNpYNeKFtG8_yji4HS352LGlSQ/edit?pli=1#gid=0"",""1_ACUM!A4:S""),17,FALSE))"),"")</f>
        <v/>
      </c>
      <c r="BD836" s="44" t="str">
        <f ca="1">IFERROR(__xludf.DUMMYFUNCTION("IFERROR(VLOOKUP(E853&amp;F853,IMPORTRANGE(""https://docs.google.com/spreadsheets/d/1Uw7-A9f9R21vMXxHZFNpYNeKFtG8_yji4HS352LGlSQ/edit?pli=1#gid=0"",""1_ACUM!A4:S""),18,FALSE))"),"")</f>
        <v/>
      </c>
      <c r="BE836" s="44" t="str">
        <f ca="1">IFERROR(__xludf.DUMMYFUNCTION("IFERROR(VLOOKUP(E853&amp;F853,IMPORTRANGE(""https://docs.google.com/spreadsheets/d/1Uw7-A9f9R21vMXxHZFNpYNeKFtG8_yji4HS352LGlSQ/edit?pli=1#gid=0"",""1_ACUM!A4:S""),19,FALSE))"),"")</f>
        <v/>
      </c>
      <c r="BF836" s="44" t="str">
        <f ca="1">IFERROR(__xludf.DUMMYFUNCTION("IFERROR(VLOOKUP(F853,IMPORTRANGE(""https://docs.google.com/spreadsheets/d/1Kvs4KS76FHFqLFIZfrDMff4kP08nblUkihrxltoGBjg/edit#gid=934712705"",""ESENCIAL!A6:BG""),5,FALSE))"),"")</f>
        <v/>
      </c>
      <c r="BG836" s="44" t="str">
        <f t="shared" si="45"/>
        <v/>
      </c>
      <c r="BH836" s="41" t="str">
        <f t="shared" si="46"/>
        <v/>
      </c>
      <c r="BI836" s="41" t="str">
        <f ca="1">IFERROR(__xludf.DUMMYFUNCTION("IFERROR(VLOOKUP(F853,IMPORTRANGE(""https://docs.google.com/spreadsheets/d/1Kvs4KS76FHFqLFIZfrDMff4kP08nblUkihrxltoGBjg/edit#gid=934712705"",""ESENCIAL!A6:BG""),18,FALSE))"),"")</f>
        <v/>
      </c>
      <c r="BJ836" s="19" t="str">
        <f t="shared" si="47"/>
        <v/>
      </c>
      <c r="BK836" s="41"/>
      <c r="BL836" s="41"/>
    </row>
    <row r="837" spans="1:64" ht="15">
      <c r="A837" s="4"/>
      <c r="B837" s="4"/>
      <c r="G837" s="5" t="str">
        <f ca="1">IFERROR(__xludf.DUMMYFUNCTION("IFERROR(VLOOKUP(F854,IMPORTRANGE(""https://docs.google.com/spreadsheets/d/1Kvs4KS76FHFqLFIZfrDMff4kP08nblUkihrxltoGBjg/edit#gid=934712705"",""ESENCIAL!A6:BG""),3,FALSE))"),"")</f>
        <v/>
      </c>
      <c r="H837" s="5" t="str">
        <f ca="1">IFERROR(__xludf.DUMMYFUNCTION("IFERROR(VLOOKUP(F854,IMPORTRANGE(""https://docs.google.com/spreadsheets/d/1Kvs4KS76FHFqLFIZfrDMff4kP08nblUkihrxltoGBjg/edit#gid=934712705"",""ESENCIAL!A6:BG""),8,FALSE))"),"")</f>
        <v/>
      </c>
      <c r="L837" s="287"/>
      <c r="S837"/>
      <c r="AU837" s="41" t="str">
        <f t="shared" si="44"/>
        <v/>
      </c>
      <c r="AV837" s="5" t="str">
        <f ca="1">IFERROR(__xludf.DUMMYFUNCTION("IFERROR(VLOOKUP(E854&amp;F854,IMPORTRANGE(""https://docs.google.com/spreadsheets/d/1Uw7-A9f9R21vMXxHZFNpYNeKFtG8_yji4HS352LGlSQ/edit?pli=1#gid=0"",""1_ACUM!A4:S""),11,FALSE))"),"")</f>
        <v/>
      </c>
      <c r="AW837" s="42" t="str">
        <f ca="1">IFERROR(__xludf.DUMMYFUNCTION("IFERROR(VLOOKUP(F854,IMPORTRANGE(""https://docs.google.com/spreadsheets/d/1Kvs4KS76FHFqLFIZfrDMff4kP08nblUkihrxltoGBjg/edit#gid=934712705"",""ESENCIAL!A6:BG""),15,FALSE))"),"")</f>
        <v/>
      </c>
      <c r="AX837" s="21" t="str">
        <f ca="1">IFERROR(__xludf.DUMMYFUNCTION("IFERROR(VLOOKUP(E854&amp;F854,IMPORTRANGE(""https://docs.google.com/spreadsheets/d/1Uw7-A9f9R21vMXxHZFNpYNeKFtG8_yji4HS352LGlSQ/edit?pli=1#gid=0"",""1_ACUM!A4:S""),12,FALSE))"),"")</f>
        <v/>
      </c>
      <c r="AY837" s="43" t="str">
        <f ca="1">IFERROR(__xludf.DUMMYFUNCTION("IFERROR(VLOOKUP(E854&amp;F854,IMPORTRANGE(""https://docs.google.com/spreadsheets/d/1Uw7-A9f9R21vMXxHZFNpYNeKFtG8_yji4HS352LGlSQ/edit?pli=1#gid=0"",""1_ACUM!A4:S""),13,FALSE))"),"")</f>
        <v/>
      </c>
      <c r="AZ837" s="43" t="str">
        <f ca="1">IFERROR(__xludf.DUMMYFUNCTION("IFERROR(VLOOKUP(E854&amp;F854,IMPORTRANGE(""https://docs.google.com/spreadsheets/d/1Uw7-A9f9R21vMXxHZFNpYNeKFtG8_yji4HS352LGlSQ/edit?pli=1#gid=0"",""1_ACUM!A4:S""),14,FALSE))"),"")</f>
        <v/>
      </c>
      <c r="BA837" s="43" t="str">
        <f ca="1">IFERROR(__xludf.DUMMYFUNCTION("IFERROR(VLOOKUP(E854&amp;F854,IMPORTRANGE(""https://docs.google.com/spreadsheets/d/1Uw7-A9f9R21vMXxHZFNpYNeKFtG8_yji4HS352LGlSQ/edit?pli=1#gid=0"",""1_ACUM!A4:S""),15,FALSE))"),"")</f>
        <v/>
      </c>
      <c r="BB837" s="43" t="str">
        <f ca="1">IFERROR(__xludf.DUMMYFUNCTION("IFERROR(VLOOKUP(E854&amp;F854,IMPORTRANGE(""https://docs.google.com/spreadsheets/d/1Uw7-A9f9R21vMXxHZFNpYNeKFtG8_yji4HS352LGlSQ/edit?pli=1#gid=0"",""1_ACUM!A4:S""),16,FALSE))"),"")</f>
        <v/>
      </c>
      <c r="BC837" s="43" t="str">
        <f ca="1">IFERROR(__xludf.DUMMYFUNCTION("IFERROR(VLOOKUP(E854&amp;F854,IMPORTRANGE(""https://docs.google.com/spreadsheets/d/1Uw7-A9f9R21vMXxHZFNpYNeKFtG8_yji4HS352LGlSQ/edit?pli=1#gid=0"",""1_ACUM!A4:S""),17,FALSE))"),"")</f>
        <v/>
      </c>
      <c r="BD837" s="44" t="str">
        <f ca="1">IFERROR(__xludf.DUMMYFUNCTION("IFERROR(VLOOKUP(E854&amp;F854,IMPORTRANGE(""https://docs.google.com/spreadsheets/d/1Uw7-A9f9R21vMXxHZFNpYNeKFtG8_yji4HS352LGlSQ/edit?pli=1#gid=0"",""1_ACUM!A4:S""),18,FALSE))"),"")</f>
        <v/>
      </c>
      <c r="BE837" s="44" t="str">
        <f ca="1">IFERROR(__xludf.DUMMYFUNCTION("IFERROR(VLOOKUP(E854&amp;F854,IMPORTRANGE(""https://docs.google.com/spreadsheets/d/1Uw7-A9f9R21vMXxHZFNpYNeKFtG8_yji4HS352LGlSQ/edit?pli=1#gid=0"",""1_ACUM!A4:S""),19,FALSE))"),"")</f>
        <v/>
      </c>
      <c r="BF837" s="44" t="str">
        <f ca="1">IFERROR(__xludf.DUMMYFUNCTION("IFERROR(VLOOKUP(F854,IMPORTRANGE(""https://docs.google.com/spreadsheets/d/1Kvs4KS76FHFqLFIZfrDMff4kP08nblUkihrxltoGBjg/edit#gid=934712705"",""ESENCIAL!A6:BG""),5,FALSE))"),"")</f>
        <v/>
      </c>
      <c r="BG837" s="44" t="str">
        <f t="shared" si="45"/>
        <v/>
      </c>
      <c r="BH837" s="41" t="str">
        <f t="shared" si="46"/>
        <v/>
      </c>
      <c r="BI837" s="41" t="str">
        <f ca="1">IFERROR(__xludf.DUMMYFUNCTION("IFERROR(VLOOKUP(F854,IMPORTRANGE(""https://docs.google.com/spreadsheets/d/1Kvs4KS76FHFqLFIZfrDMff4kP08nblUkihrxltoGBjg/edit#gid=934712705"",""ESENCIAL!A6:BG""),18,FALSE))"),"")</f>
        <v/>
      </c>
      <c r="BJ837" s="19" t="str">
        <f t="shared" si="47"/>
        <v/>
      </c>
      <c r="BK837" s="41"/>
      <c r="BL837" s="41"/>
    </row>
    <row r="838" spans="1:64" ht="15">
      <c r="A838" s="4"/>
      <c r="B838" s="4"/>
      <c r="G838" s="5" t="str">
        <f ca="1">IFERROR(__xludf.DUMMYFUNCTION("IFERROR(VLOOKUP(F855,IMPORTRANGE(""https://docs.google.com/spreadsheets/d/1Kvs4KS76FHFqLFIZfrDMff4kP08nblUkihrxltoGBjg/edit#gid=934712705"",""ESENCIAL!A6:BG""),3,FALSE))"),"")</f>
        <v/>
      </c>
      <c r="H838" s="5" t="str">
        <f ca="1">IFERROR(__xludf.DUMMYFUNCTION("IFERROR(VLOOKUP(F855,IMPORTRANGE(""https://docs.google.com/spreadsheets/d/1Kvs4KS76FHFqLFIZfrDMff4kP08nblUkihrxltoGBjg/edit#gid=934712705"",""ESENCIAL!A6:BG""),8,FALSE))"),"")</f>
        <v/>
      </c>
      <c r="L838" s="287"/>
      <c r="S838"/>
      <c r="AU838" s="41" t="str">
        <f t="shared" si="44"/>
        <v/>
      </c>
      <c r="AV838" s="5" t="str">
        <f ca="1">IFERROR(__xludf.DUMMYFUNCTION("IFERROR(VLOOKUP(E855&amp;F855,IMPORTRANGE(""https://docs.google.com/spreadsheets/d/1Uw7-A9f9R21vMXxHZFNpYNeKFtG8_yji4HS352LGlSQ/edit?pli=1#gid=0"",""1_ACUM!A4:S""),11,FALSE))"),"")</f>
        <v/>
      </c>
      <c r="AW838" s="42" t="str">
        <f ca="1">IFERROR(__xludf.DUMMYFUNCTION("IFERROR(VLOOKUP(F855,IMPORTRANGE(""https://docs.google.com/spreadsheets/d/1Kvs4KS76FHFqLFIZfrDMff4kP08nblUkihrxltoGBjg/edit#gid=934712705"",""ESENCIAL!A6:BG""),15,FALSE))"),"")</f>
        <v/>
      </c>
      <c r="AX838" s="21" t="str">
        <f ca="1">IFERROR(__xludf.DUMMYFUNCTION("IFERROR(VLOOKUP(E855&amp;F855,IMPORTRANGE(""https://docs.google.com/spreadsheets/d/1Uw7-A9f9R21vMXxHZFNpYNeKFtG8_yji4HS352LGlSQ/edit?pli=1#gid=0"",""1_ACUM!A4:S""),12,FALSE))"),"")</f>
        <v/>
      </c>
      <c r="AY838" s="43" t="str">
        <f ca="1">IFERROR(__xludf.DUMMYFUNCTION("IFERROR(VLOOKUP(E855&amp;F855,IMPORTRANGE(""https://docs.google.com/spreadsheets/d/1Uw7-A9f9R21vMXxHZFNpYNeKFtG8_yji4HS352LGlSQ/edit?pli=1#gid=0"",""1_ACUM!A4:S""),13,FALSE))"),"")</f>
        <v/>
      </c>
      <c r="AZ838" s="43" t="str">
        <f ca="1">IFERROR(__xludf.DUMMYFUNCTION("IFERROR(VLOOKUP(E855&amp;F855,IMPORTRANGE(""https://docs.google.com/spreadsheets/d/1Uw7-A9f9R21vMXxHZFNpYNeKFtG8_yji4HS352LGlSQ/edit?pli=1#gid=0"",""1_ACUM!A4:S""),14,FALSE))"),"")</f>
        <v/>
      </c>
      <c r="BA838" s="43" t="str">
        <f ca="1">IFERROR(__xludf.DUMMYFUNCTION("IFERROR(VLOOKUP(E855&amp;F855,IMPORTRANGE(""https://docs.google.com/spreadsheets/d/1Uw7-A9f9R21vMXxHZFNpYNeKFtG8_yji4HS352LGlSQ/edit?pli=1#gid=0"",""1_ACUM!A4:S""),15,FALSE))"),"")</f>
        <v/>
      </c>
      <c r="BB838" s="43" t="str">
        <f ca="1">IFERROR(__xludf.DUMMYFUNCTION("IFERROR(VLOOKUP(E855&amp;F855,IMPORTRANGE(""https://docs.google.com/spreadsheets/d/1Uw7-A9f9R21vMXxHZFNpYNeKFtG8_yji4HS352LGlSQ/edit?pli=1#gid=0"",""1_ACUM!A4:S""),16,FALSE))"),"")</f>
        <v/>
      </c>
      <c r="BC838" s="43" t="str">
        <f ca="1">IFERROR(__xludf.DUMMYFUNCTION("IFERROR(VLOOKUP(E855&amp;F855,IMPORTRANGE(""https://docs.google.com/spreadsheets/d/1Uw7-A9f9R21vMXxHZFNpYNeKFtG8_yji4HS352LGlSQ/edit?pli=1#gid=0"",""1_ACUM!A4:S""),17,FALSE))"),"")</f>
        <v/>
      </c>
      <c r="BD838" s="44" t="str">
        <f ca="1">IFERROR(__xludf.DUMMYFUNCTION("IFERROR(VLOOKUP(E855&amp;F855,IMPORTRANGE(""https://docs.google.com/spreadsheets/d/1Uw7-A9f9R21vMXxHZFNpYNeKFtG8_yji4HS352LGlSQ/edit?pli=1#gid=0"",""1_ACUM!A4:S""),18,FALSE))"),"")</f>
        <v/>
      </c>
      <c r="BE838" s="44" t="str">
        <f ca="1">IFERROR(__xludf.DUMMYFUNCTION("IFERROR(VLOOKUP(E855&amp;F855,IMPORTRANGE(""https://docs.google.com/spreadsheets/d/1Uw7-A9f9R21vMXxHZFNpYNeKFtG8_yji4HS352LGlSQ/edit?pli=1#gid=0"",""1_ACUM!A4:S""),19,FALSE))"),"")</f>
        <v/>
      </c>
      <c r="BF838" s="44" t="str">
        <f ca="1">IFERROR(__xludf.DUMMYFUNCTION("IFERROR(VLOOKUP(F855,IMPORTRANGE(""https://docs.google.com/spreadsheets/d/1Kvs4KS76FHFqLFIZfrDMff4kP08nblUkihrxltoGBjg/edit#gid=934712705"",""ESENCIAL!A6:BG""),5,FALSE))"),"")</f>
        <v/>
      </c>
      <c r="BG838" s="44" t="str">
        <f t="shared" si="45"/>
        <v/>
      </c>
      <c r="BH838" s="41" t="str">
        <f t="shared" si="46"/>
        <v/>
      </c>
      <c r="BI838" s="41" t="str">
        <f ca="1">IFERROR(__xludf.DUMMYFUNCTION("IFERROR(VLOOKUP(F855,IMPORTRANGE(""https://docs.google.com/spreadsheets/d/1Kvs4KS76FHFqLFIZfrDMff4kP08nblUkihrxltoGBjg/edit#gid=934712705"",""ESENCIAL!A6:BG""),18,FALSE))"),"")</f>
        <v/>
      </c>
      <c r="BJ838" s="19" t="str">
        <f t="shared" si="47"/>
        <v/>
      </c>
      <c r="BK838" s="41"/>
      <c r="BL838" s="41"/>
    </row>
    <row r="839" spans="1:64" ht="15">
      <c r="A839" s="4"/>
      <c r="B839" s="4"/>
      <c r="G839" s="5" t="str">
        <f ca="1">IFERROR(__xludf.DUMMYFUNCTION("IFERROR(VLOOKUP(F856,IMPORTRANGE(""https://docs.google.com/spreadsheets/d/1Kvs4KS76FHFqLFIZfrDMff4kP08nblUkihrxltoGBjg/edit#gid=934712705"",""ESENCIAL!A6:BG""),3,FALSE))"),"")</f>
        <v/>
      </c>
      <c r="H839" s="5" t="str">
        <f ca="1">IFERROR(__xludf.DUMMYFUNCTION("IFERROR(VLOOKUP(F856,IMPORTRANGE(""https://docs.google.com/spreadsheets/d/1Kvs4KS76FHFqLFIZfrDMff4kP08nblUkihrxltoGBjg/edit#gid=934712705"",""ESENCIAL!A6:BG""),8,FALSE))"),"")</f>
        <v/>
      </c>
      <c r="L839" s="287"/>
      <c r="S839"/>
      <c r="AU839" s="41" t="str">
        <f t="shared" si="44"/>
        <v/>
      </c>
      <c r="AV839" s="5" t="str">
        <f ca="1">IFERROR(__xludf.DUMMYFUNCTION("IFERROR(VLOOKUP(E856&amp;F856,IMPORTRANGE(""https://docs.google.com/spreadsheets/d/1Uw7-A9f9R21vMXxHZFNpYNeKFtG8_yji4HS352LGlSQ/edit?pli=1#gid=0"",""1_ACUM!A4:S""),11,FALSE))"),"")</f>
        <v/>
      </c>
      <c r="AW839" s="42" t="str">
        <f ca="1">IFERROR(__xludf.DUMMYFUNCTION("IFERROR(VLOOKUP(F856,IMPORTRANGE(""https://docs.google.com/spreadsheets/d/1Kvs4KS76FHFqLFIZfrDMff4kP08nblUkihrxltoGBjg/edit#gid=934712705"",""ESENCIAL!A6:BG""),15,FALSE))"),"")</f>
        <v/>
      </c>
      <c r="AX839" s="21" t="str">
        <f ca="1">IFERROR(__xludf.DUMMYFUNCTION("IFERROR(VLOOKUP(E856&amp;F856,IMPORTRANGE(""https://docs.google.com/spreadsheets/d/1Uw7-A9f9R21vMXxHZFNpYNeKFtG8_yji4HS352LGlSQ/edit?pli=1#gid=0"",""1_ACUM!A4:S""),12,FALSE))"),"")</f>
        <v/>
      </c>
      <c r="AY839" s="43" t="str">
        <f ca="1">IFERROR(__xludf.DUMMYFUNCTION("IFERROR(VLOOKUP(E856&amp;F856,IMPORTRANGE(""https://docs.google.com/spreadsheets/d/1Uw7-A9f9R21vMXxHZFNpYNeKFtG8_yji4HS352LGlSQ/edit?pli=1#gid=0"",""1_ACUM!A4:S""),13,FALSE))"),"")</f>
        <v/>
      </c>
      <c r="AZ839" s="43" t="str">
        <f ca="1">IFERROR(__xludf.DUMMYFUNCTION("IFERROR(VLOOKUP(E856&amp;F856,IMPORTRANGE(""https://docs.google.com/spreadsheets/d/1Uw7-A9f9R21vMXxHZFNpYNeKFtG8_yji4HS352LGlSQ/edit?pli=1#gid=0"",""1_ACUM!A4:S""),14,FALSE))"),"")</f>
        <v/>
      </c>
      <c r="BA839" s="43" t="str">
        <f ca="1">IFERROR(__xludf.DUMMYFUNCTION("IFERROR(VLOOKUP(E856&amp;F856,IMPORTRANGE(""https://docs.google.com/spreadsheets/d/1Uw7-A9f9R21vMXxHZFNpYNeKFtG8_yji4HS352LGlSQ/edit?pli=1#gid=0"",""1_ACUM!A4:S""),15,FALSE))"),"")</f>
        <v/>
      </c>
      <c r="BB839" s="43" t="str">
        <f ca="1">IFERROR(__xludf.DUMMYFUNCTION("IFERROR(VLOOKUP(E856&amp;F856,IMPORTRANGE(""https://docs.google.com/spreadsheets/d/1Uw7-A9f9R21vMXxHZFNpYNeKFtG8_yji4HS352LGlSQ/edit?pli=1#gid=0"",""1_ACUM!A4:S""),16,FALSE))"),"")</f>
        <v/>
      </c>
      <c r="BC839" s="43" t="str">
        <f ca="1">IFERROR(__xludf.DUMMYFUNCTION("IFERROR(VLOOKUP(E856&amp;F856,IMPORTRANGE(""https://docs.google.com/spreadsheets/d/1Uw7-A9f9R21vMXxHZFNpYNeKFtG8_yji4HS352LGlSQ/edit?pli=1#gid=0"",""1_ACUM!A4:S""),17,FALSE))"),"")</f>
        <v/>
      </c>
      <c r="BD839" s="44" t="str">
        <f ca="1">IFERROR(__xludf.DUMMYFUNCTION("IFERROR(VLOOKUP(E856&amp;F856,IMPORTRANGE(""https://docs.google.com/spreadsheets/d/1Uw7-A9f9R21vMXxHZFNpYNeKFtG8_yji4HS352LGlSQ/edit?pli=1#gid=0"",""1_ACUM!A4:S""),18,FALSE))"),"")</f>
        <v/>
      </c>
      <c r="BE839" s="44" t="str">
        <f ca="1">IFERROR(__xludf.DUMMYFUNCTION("IFERROR(VLOOKUP(E856&amp;F856,IMPORTRANGE(""https://docs.google.com/spreadsheets/d/1Uw7-A9f9R21vMXxHZFNpYNeKFtG8_yji4HS352LGlSQ/edit?pli=1#gid=0"",""1_ACUM!A4:S""),19,FALSE))"),"")</f>
        <v/>
      </c>
      <c r="BF839" s="44" t="str">
        <f ca="1">IFERROR(__xludf.DUMMYFUNCTION("IFERROR(VLOOKUP(F856,IMPORTRANGE(""https://docs.google.com/spreadsheets/d/1Kvs4KS76FHFqLFIZfrDMff4kP08nblUkihrxltoGBjg/edit#gid=934712705"",""ESENCIAL!A6:BG""),5,FALSE))"),"")</f>
        <v/>
      </c>
      <c r="BG839" s="44" t="str">
        <f t="shared" si="45"/>
        <v/>
      </c>
      <c r="BH839" s="41" t="str">
        <f t="shared" si="46"/>
        <v/>
      </c>
      <c r="BI839" s="41" t="str">
        <f ca="1">IFERROR(__xludf.DUMMYFUNCTION("IFERROR(VLOOKUP(F856,IMPORTRANGE(""https://docs.google.com/spreadsheets/d/1Kvs4KS76FHFqLFIZfrDMff4kP08nblUkihrxltoGBjg/edit#gid=934712705"",""ESENCIAL!A6:BG""),18,FALSE))"),"")</f>
        <v/>
      </c>
      <c r="BJ839" s="19" t="str">
        <f t="shared" si="47"/>
        <v/>
      </c>
      <c r="BK839" s="41"/>
      <c r="BL839" s="41"/>
    </row>
    <row r="840" spans="1:64" ht="15">
      <c r="A840" s="4"/>
      <c r="B840" s="4"/>
      <c r="G840" s="5" t="str">
        <f ca="1">IFERROR(__xludf.DUMMYFUNCTION("IFERROR(VLOOKUP(F857,IMPORTRANGE(""https://docs.google.com/spreadsheets/d/1Kvs4KS76FHFqLFIZfrDMff4kP08nblUkihrxltoGBjg/edit#gid=934712705"",""ESENCIAL!A6:BG""),3,FALSE))"),"")</f>
        <v/>
      </c>
      <c r="H840" s="5" t="str">
        <f ca="1">IFERROR(__xludf.DUMMYFUNCTION("IFERROR(VLOOKUP(F857,IMPORTRANGE(""https://docs.google.com/spreadsheets/d/1Kvs4KS76FHFqLFIZfrDMff4kP08nblUkihrxltoGBjg/edit#gid=934712705"",""ESENCIAL!A6:BG""),8,FALSE))"),"")</f>
        <v/>
      </c>
      <c r="L840" s="287"/>
      <c r="S840"/>
      <c r="AU840" s="41" t="str">
        <f t="shared" si="44"/>
        <v/>
      </c>
      <c r="AV840" s="5" t="str">
        <f ca="1">IFERROR(__xludf.DUMMYFUNCTION("IFERROR(VLOOKUP(E857&amp;F857,IMPORTRANGE(""https://docs.google.com/spreadsheets/d/1Uw7-A9f9R21vMXxHZFNpYNeKFtG8_yji4HS352LGlSQ/edit?pli=1#gid=0"",""1_ACUM!A4:S""),11,FALSE))"),"")</f>
        <v/>
      </c>
      <c r="AW840" s="42" t="str">
        <f ca="1">IFERROR(__xludf.DUMMYFUNCTION("IFERROR(VLOOKUP(F857,IMPORTRANGE(""https://docs.google.com/spreadsheets/d/1Kvs4KS76FHFqLFIZfrDMff4kP08nblUkihrxltoGBjg/edit#gid=934712705"",""ESENCIAL!A6:BG""),15,FALSE))"),"")</f>
        <v/>
      </c>
      <c r="AX840" s="21" t="str">
        <f ca="1">IFERROR(__xludf.DUMMYFUNCTION("IFERROR(VLOOKUP(E857&amp;F857,IMPORTRANGE(""https://docs.google.com/spreadsheets/d/1Uw7-A9f9R21vMXxHZFNpYNeKFtG8_yji4HS352LGlSQ/edit?pli=1#gid=0"",""1_ACUM!A4:S""),12,FALSE))"),"")</f>
        <v/>
      </c>
      <c r="AY840" s="43" t="str">
        <f ca="1">IFERROR(__xludf.DUMMYFUNCTION("IFERROR(VLOOKUP(E857&amp;F857,IMPORTRANGE(""https://docs.google.com/spreadsheets/d/1Uw7-A9f9R21vMXxHZFNpYNeKFtG8_yji4HS352LGlSQ/edit?pli=1#gid=0"",""1_ACUM!A4:S""),13,FALSE))"),"")</f>
        <v/>
      </c>
      <c r="AZ840" s="43" t="str">
        <f ca="1">IFERROR(__xludf.DUMMYFUNCTION("IFERROR(VLOOKUP(E857&amp;F857,IMPORTRANGE(""https://docs.google.com/spreadsheets/d/1Uw7-A9f9R21vMXxHZFNpYNeKFtG8_yji4HS352LGlSQ/edit?pli=1#gid=0"",""1_ACUM!A4:S""),14,FALSE))"),"")</f>
        <v/>
      </c>
      <c r="BA840" s="43" t="str">
        <f ca="1">IFERROR(__xludf.DUMMYFUNCTION("IFERROR(VLOOKUP(E857&amp;F857,IMPORTRANGE(""https://docs.google.com/spreadsheets/d/1Uw7-A9f9R21vMXxHZFNpYNeKFtG8_yji4HS352LGlSQ/edit?pli=1#gid=0"",""1_ACUM!A4:S""),15,FALSE))"),"")</f>
        <v/>
      </c>
      <c r="BB840" s="43" t="str">
        <f ca="1">IFERROR(__xludf.DUMMYFUNCTION("IFERROR(VLOOKUP(E857&amp;F857,IMPORTRANGE(""https://docs.google.com/spreadsheets/d/1Uw7-A9f9R21vMXxHZFNpYNeKFtG8_yji4HS352LGlSQ/edit?pli=1#gid=0"",""1_ACUM!A4:S""),16,FALSE))"),"")</f>
        <v/>
      </c>
      <c r="BC840" s="43" t="str">
        <f ca="1">IFERROR(__xludf.DUMMYFUNCTION("IFERROR(VLOOKUP(E857&amp;F857,IMPORTRANGE(""https://docs.google.com/spreadsheets/d/1Uw7-A9f9R21vMXxHZFNpYNeKFtG8_yji4HS352LGlSQ/edit?pli=1#gid=0"",""1_ACUM!A4:S""),17,FALSE))"),"")</f>
        <v/>
      </c>
      <c r="BD840" s="44" t="str">
        <f ca="1">IFERROR(__xludf.DUMMYFUNCTION("IFERROR(VLOOKUP(E857&amp;F857,IMPORTRANGE(""https://docs.google.com/spreadsheets/d/1Uw7-A9f9R21vMXxHZFNpYNeKFtG8_yji4HS352LGlSQ/edit?pli=1#gid=0"",""1_ACUM!A4:S""),18,FALSE))"),"")</f>
        <v/>
      </c>
      <c r="BE840" s="44" t="str">
        <f ca="1">IFERROR(__xludf.DUMMYFUNCTION("IFERROR(VLOOKUP(E857&amp;F857,IMPORTRANGE(""https://docs.google.com/spreadsheets/d/1Uw7-A9f9R21vMXxHZFNpYNeKFtG8_yji4HS352LGlSQ/edit?pli=1#gid=0"",""1_ACUM!A4:S""),19,FALSE))"),"")</f>
        <v/>
      </c>
      <c r="BF840" s="44" t="str">
        <f ca="1">IFERROR(__xludf.DUMMYFUNCTION("IFERROR(VLOOKUP(F857,IMPORTRANGE(""https://docs.google.com/spreadsheets/d/1Kvs4KS76FHFqLFIZfrDMff4kP08nblUkihrxltoGBjg/edit#gid=934712705"",""ESENCIAL!A6:BG""),5,FALSE))"),"")</f>
        <v/>
      </c>
      <c r="BG840" s="44" t="str">
        <f t="shared" si="45"/>
        <v/>
      </c>
      <c r="BH840" s="41" t="str">
        <f t="shared" si="46"/>
        <v/>
      </c>
      <c r="BI840" s="41" t="str">
        <f ca="1">IFERROR(__xludf.DUMMYFUNCTION("IFERROR(VLOOKUP(F857,IMPORTRANGE(""https://docs.google.com/spreadsheets/d/1Kvs4KS76FHFqLFIZfrDMff4kP08nblUkihrxltoGBjg/edit#gid=934712705"",""ESENCIAL!A6:BG""),18,FALSE))"),"")</f>
        <v/>
      </c>
      <c r="BJ840" s="19" t="str">
        <f t="shared" si="47"/>
        <v/>
      </c>
      <c r="BK840" s="41"/>
      <c r="BL840" s="41"/>
    </row>
    <row r="841" spans="1:64" ht="15">
      <c r="A841" s="4"/>
      <c r="B841" s="4"/>
      <c r="G841" s="5" t="str">
        <f ca="1">IFERROR(__xludf.DUMMYFUNCTION("IFERROR(VLOOKUP(F858,IMPORTRANGE(""https://docs.google.com/spreadsheets/d/1Kvs4KS76FHFqLFIZfrDMff4kP08nblUkihrxltoGBjg/edit#gid=934712705"",""ESENCIAL!A6:BG""),3,FALSE))"),"")</f>
        <v/>
      </c>
      <c r="H841" s="5" t="str">
        <f ca="1">IFERROR(__xludf.DUMMYFUNCTION("IFERROR(VLOOKUP(F858,IMPORTRANGE(""https://docs.google.com/spreadsheets/d/1Kvs4KS76FHFqLFIZfrDMff4kP08nblUkihrxltoGBjg/edit#gid=934712705"",""ESENCIAL!A6:BG""),8,FALSE))"),"")</f>
        <v/>
      </c>
      <c r="L841" s="287"/>
      <c r="S841"/>
      <c r="AU841" s="41" t="str">
        <f t="shared" si="44"/>
        <v/>
      </c>
      <c r="AV841" s="5" t="str">
        <f ca="1">IFERROR(__xludf.DUMMYFUNCTION("IFERROR(VLOOKUP(E858&amp;F858,IMPORTRANGE(""https://docs.google.com/spreadsheets/d/1Uw7-A9f9R21vMXxHZFNpYNeKFtG8_yji4HS352LGlSQ/edit?pli=1#gid=0"",""1_ACUM!A4:S""),11,FALSE))"),"")</f>
        <v/>
      </c>
      <c r="AW841" s="42" t="str">
        <f ca="1">IFERROR(__xludf.DUMMYFUNCTION("IFERROR(VLOOKUP(F858,IMPORTRANGE(""https://docs.google.com/spreadsheets/d/1Kvs4KS76FHFqLFIZfrDMff4kP08nblUkihrxltoGBjg/edit#gid=934712705"",""ESENCIAL!A6:BG""),15,FALSE))"),"")</f>
        <v/>
      </c>
      <c r="AX841" s="21" t="str">
        <f ca="1">IFERROR(__xludf.DUMMYFUNCTION("IFERROR(VLOOKUP(E858&amp;F858,IMPORTRANGE(""https://docs.google.com/spreadsheets/d/1Uw7-A9f9R21vMXxHZFNpYNeKFtG8_yji4HS352LGlSQ/edit?pli=1#gid=0"",""1_ACUM!A4:S""),12,FALSE))"),"")</f>
        <v/>
      </c>
      <c r="AY841" s="43" t="str">
        <f ca="1">IFERROR(__xludf.DUMMYFUNCTION("IFERROR(VLOOKUP(E858&amp;F858,IMPORTRANGE(""https://docs.google.com/spreadsheets/d/1Uw7-A9f9R21vMXxHZFNpYNeKFtG8_yji4HS352LGlSQ/edit?pli=1#gid=0"",""1_ACUM!A4:S""),13,FALSE))"),"")</f>
        <v/>
      </c>
      <c r="AZ841" s="43" t="str">
        <f ca="1">IFERROR(__xludf.DUMMYFUNCTION("IFERROR(VLOOKUP(E858&amp;F858,IMPORTRANGE(""https://docs.google.com/spreadsheets/d/1Uw7-A9f9R21vMXxHZFNpYNeKFtG8_yji4HS352LGlSQ/edit?pli=1#gid=0"",""1_ACUM!A4:S""),14,FALSE))"),"")</f>
        <v/>
      </c>
      <c r="BA841" s="43" t="str">
        <f ca="1">IFERROR(__xludf.DUMMYFUNCTION("IFERROR(VLOOKUP(E858&amp;F858,IMPORTRANGE(""https://docs.google.com/spreadsheets/d/1Uw7-A9f9R21vMXxHZFNpYNeKFtG8_yji4HS352LGlSQ/edit?pli=1#gid=0"",""1_ACUM!A4:S""),15,FALSE))"),"")</f>
        <v/>
      </c>
      <c r="BB841" s="43" t="str">
        <f ca="1">IFERROR(__xludf.DUMMYFUNCTION("IFERROR(VLOOKUP(E858&amp;F858,IMPORTRANGE(""https://docs.google.com/spreadsheets/d/1Uw7-A9f9R21vMXxHZFNpYNeKFtG8_yji4HS352LGlSQ/edit?pli=1#gid=0"",""1_ACUM!A4:S""),16,FALSE))"),"")</f>
        <v/>
      </c>
      <c r="BC841" s="43" t="str">
        <f ca="1">IFERROR(__xludf.DUMMYFUNCTION("IFERROR(VLOOKUP(E858&amp;F858,IMPORTRANGE(""https://docs.google.com/spreadsheets/d/1Uw7-A9f9R21vMXxHZFNpYNeKFtG8_yji4HS352LGlSQ/edit?pli=1#gid=0"",""1_ACUM!A4:S""),17,FALSE))"),"")</f>
        <v/>
      </c>
      <c r="BD841" s="44" t="str">
        <f ca="1">IFERROR(__xludf.DUMMYFUNCTION("IFERROR(VLOOKUP(E858&amp;F858,IMPORTRANGE(""https://docs.google.com/spreadsheets/d/1Uw7-A9f9R21vMXxHZFNpYNeKFtG8_yji4HS352LGlSQ/edit?pli=1#gid=0"",""1_ACUM!A4:S""),18,FALSE))"),"")</f>
        <v/>
      </c>
      <c r="BE841" s="44" t="str">
        <f ca="1">IFERROR(__xludf.DUMMYFUNCTION("IFERROR(VLOOKUP(E858&amp;F858,IMPORTRANGE(""https://docs.google.com/spreadsheets/d/1Uw7-A9f9R21vMXxHZFNpYNeKFtG8_yji4HS352LGlSQ/edit?pli=1#gid=0"",""1_ACUM!A4:S""),19,FALSE))"),"")</f>
        <v/>
      </c>
      <c r="BF841" s="44" t="str">
        <f ca="1">IFERROR(__xludf.DUMMYFUNCTION("IFERROR(VLOOKUP(F858,IMPORTRANGE(""https://docs.google.com/spreadsheets/d/1Kvs4KS76FHFqLFIZfrDMff4kP08nblUkihrxltoGBjg/edit#gid=934712705"",""ESENCIAL!A6:BG""),5,FALSE))"),"")</f>
        <v/>
      </c>
      <c r="BG841" s="44" t="str">
        <f t="shared" si="45"/>
        <v/>
      </c>
      <c r="BH841" s="41" t="str">
        <f t="shared" si="46"/>
        <v/>
      </c>
      <c r="BI841" s="41" t="str">
        <f ca="1">IFERROR(__xludf.DUMMYFUNCTION("IFERROR(VLOOKUP(F858,IMPORTRANGE(""https://docs.google.com/spreadsheets/d/1Kvs4KS76FHFqLFIZfrDMff4kP08nblUkihrxltoGBjg/edit#gid=934712705"",""ESENCIAL!A6:BG""),18,FALSE))"),"")</f>
        <v/>
      </c>
      <c r="BJ841" s="19" t="str">
        <f t="shared" si="47"/>
        <v/>
      </c>
      <c r="BK841" s="41"/>
      <c r="BL841" s="41"/>
    </row>
    <row r="842" spans="1:64" ht="15">
      <c r="A842" s="4"/>
      <c r="B842" s="4"/>
      <c r="G842" s="5" t="str">
        <f ca="1">IFERROR(__xludf.DUMMYFUNCTION("IFERROR(VLOOKUP(F859,IMPORTRANGE(""https://docs.google.com/spreadsheets/d/1Kvs4KS76FHFqLFIZfrDMff4kP08nblUkihrxltoGBjg/edit#gid=934712705"",""ESENCIAL!A6:BG""),3,FALSE))"),"")</f>
        <v/>
      </c>
      <c r="H842" s="5" t="str">
        <f ca="1">IFERROR(__xludf.DUMMYFUNCTION("IFERROR(VLOOKUP(F859,IMPORTRANGE(""https://docs.google.com/spreadsheets/d/1Kvs4KS76FHFqLFIZfrDMff4kP08nblUkihrxltoGBjg/edit#gid=934712705"",""ESENCIAL!A6:BG""),8,FALSE))"),"")</f>
        <v/>
      </c>
      <c r="L842" s="287"/>
      <c r="S842"/>
      <c r="AU842" s="41" t="str">
        <f t="shared" si="44"/>
        <v/>
      </c>
      <c r="AV842" s="5" t="str">
        <f ca="1">IFERROR(__xludf.DUMMYFUNCTION("IFERROR(VLOOKUP(E859&amp;F859,IMPORTRANGE(""https://docs.google.com/spreadsheets/d/1Uw7-A9f9R21vMXxHZFNpYNeKFtG8_yji4HS352LGlSQ/edit?pli=1#gid=0"",""1_ACUM!A4:S""),11,FALSE))"),"")</f>
        <v/>
      </c>
      <c r="AW842" s="42" t="str">
        <f ca="1">IFERROR(__xludf.DUMMYFUNCTION("IFERROR(VLOOKUP(F859,IMPORTRANGE(""https://docs.google.com/spreadsheets/d/1Kvs4KS76FHFqLFIZfrDMff4kP08nblUkihrxltoGBjg/edit#gid=934712705"",""ESENCIAL!A6:BG""),15,FALSE))"),"")</f>
        <v/>
      </c>
      <c r="AX842" s="21" t="str">
        <f ca="1">IFERROR(__xludf.DUMMYFUNCTION("IFERROR(VLOOKUP(E859&amp;F859,IMPORTRANGE(""https://docs.google.com/spreadsheets/d/1Uw7-A9f9R21vMXxHZFNpYNeKFtG8_yji4HS352LGlSQ/edit?pli=1#gid=0"",""1_ACUM!A4:S""),12,FALSE))"),"")</f>
        <v/>
      </c>
      <c r="AY842" s="43" t="str">
        <f ca="1">IFERROR(__xludf.DUMMYFUNCTION("IFERROR(VLOOKUP(E859&amp;F859,IMPORTRANGE(""https://docs.google.com/spreadsheets/d/1Uw7-A9f9R21vMXxHZFNpYNeKFtG8_yji4HS352LGlSQ/edit?pli=1#gid=0"",""1_ACUM!A4:S""),13,FALSE))"),"")</f>
        <v/>
      </c>
      <c r="AZ842" s="43" t="str">
        <f ca="1">IFERROR(__xludf.DUMMYFUNCTION("IFERROR(VLOOKUP(E859&amp;F859,IMPORTRANGE(""https://docs.google.com/spreadsheets/d/1Uw7-A9f9R21vMXxHZFNpYNeKFtG8_yji4HS352LGlSQ/edit?pli=1#gid=0"",""1_ACUM!A4:S""),14,FALSE))"),"")</f>
        <v/>
      </c>
      <c r="BA842" s="43" t="str">
        <f ca="1">IFERROR(__xludf.DUMMYFUNCTION("IFERROR(VLOOKUP(E859&amp;F859,IMPORTRANGE(""https://docs.google.com/spreadsheets/d/1Uw7-A9f9R21vMXxHZFNpYNeKFtG8_yji4HS352LGlSQ/edit?pli=1#gid=0"",""1_ACUM!A4:S""),15,FALSE))"),"")</f>
        <v/>
      </c>
      <c r="BB842" s="43" t="str">
        <f ca="1">IFERROR(__xludf.DUMMYFUNCTION("IFERROR(VLOOKUP(E859&amp;F859,IMPORTRANGE(""https://docs.google.com/spreadsheets/d/1Uw7-A9f9R21vMXxHZFNpYNeKFtG8_yji4HS352LGlSQ/edit?pli=1#gid=0"",""1_ACUM!A4:S""),16,FALSE))"),"")</f>
        <v/>
      </c>
      <c r="BC842" s="43" t="str">
        <f ca="1">IFERROR(__xludf.DUMMYFUNCTION("IFERROR(VLOOKUP(E859&amp;F859,IMPORTRANGE(""https://docs.google.com/spreadsheets/d/1Uw7-A9f9R21vMXxHZFNpYNeKFtG8_yji4HS352LGlSQ/edit?pli=1#gid=0"",""1_ACUM!A4:S""),17,FALSE))"),"")</f>
        <v/>
      </c>
      <c r="BD842" s="44" t="str">
        <f ca="1">IFERROR(__xludf.DUMMYFUNCTION("IFERROR(VLOOKUP(E859&amp;F859,IMPORTRANGE(""https://docs.google.com/spreadsheets/d/1Uw7-A9f9R21vMXxHZFNpYNeKFtG8_yji4HS352LGlSQ/edit?pli=1#gid=0"",""1_ACUM!A4:S""),18,FALSE))"),"")</f>
        <v/>
      </c>
      <c r="BE842" s="44" t="str">
        <f ca="1">IFERROR(__xludf.DUMMYFUNCTION("IFERROR(VLOOKUP(E859&amp;F859,IMPORTRANGE(""https://docs.google.com/spreadsheets/d/1Uw7-A9f9R21vMXxHZFNpYNeKFtG8_yji4HS352LGlSQ/edit?pli=1#gid=0"",""1_ACUM!A4:S""),19,FALSE))"),"")</f>
        <v/>
      </c>
      <c r="BF842" s="44" t="str">
        <f ca="1">IFERROR(__xludf.DUMMYFUNCTION("IFERROR(VLOOKUP(F859,IMPORTRANGE(""https://docs.google.com/spreadsheets/d/1Kvs4KS76FHFqLFIZfrDMff4kP08nblUkihrxltoGBjg/edit#gid=934712705"",""ESENCIAL!A6:BG""),5,FALSE))"),"")</f>
        <v/>
      </c>
      <c r="BG842" s="44" t="str">
        <f t="shared" si="45"/>
        <v/>
      </c>
      <c r="BH842" s="41" t="str">
        <f t="shared" si="46"/>
        <v/>
      </c>
      <c r="BI842" s="41" t="str">
        <f ca="1">IFERROR(__xludf.DUMMYFUNCTION("IFERROR(VLOOKUP(F859,IMPORTRANGE(""https://docs.google.com/spreadsheets/d/1Kvs4KS76FHFqLFIZfrDMff4kP08nblUkihrxltoGBjg/edit#gid=934712705"",""ESENCIAL!A6:BG""),18,FALSE))"),"")</f>
        <v/>
      </c>
      <c r="BJ842" s="19" t="str">
        <f t="shared" si="47"/>
        <v/>
      </c>
      <c r="BK842" s="41"/>
      <c r="BL842" s="41"/>
    </row>
    <row r="843" spans="1:64" ht="15">
      <c r="A843" s="4"/>
      <c r="B843" s="4"/>
      <c r="G843" s="5" t="str">
        <f ca="1">IFERROR(__xludf.DUMMYFUNCTION("IFERROR(VLOOKUP(F860,IMPORTRANGE(""https://docs.google.com/spreadsheets/d/1Kvs4KS76FHFqLFIZfrDMff4kP08nblUkihrxltoGBjg/edit#gid=934712705"",""ESENCIAL!A6:BG""),3,FALSE))"),"")</f>
        <v/>
      </c>
      <c r="H843" s="5" t="str">
        <f ca="1">IFERROR(__xludf.DUMMYFUNCTION("IFERROR(VLOOKUP(F860,IMPORTRANGE(""https://docs.google.com/spreadsheets/d/1Kvs4KS76FHFqLFIZfrDMff4kP08nblUkihrxltoGBjg/edit#gid=934712705"",""ESENCIAL!A6:BG""),8,FALSE))"),"")</f>
        <v/>
      </c>
      <c r="L843" s="287"/>
      <c r="S843"/>
      <c r="AU843" s="41" t="str">
        <f t="shared" si="44"/>
        <v/>
      </c>
      <c r="AV843" s="5" t="str">
        <f ca="1">IFERROR(__xludf.DUMMYFUNCTION("IFERROR(VLOOKUP(E860&amp;F860,IMPORTRANGE(""https://docs.google.com/spreadsheets/d/1Uw7-A9f9R21vMXxHZFNpYNeKFtG8_yji4HS352LGlSQ/edit?pli=1#gid=0"",""1_ACUM!A4:S""),11,FALSE))"),"")</f>
        <v/>
      </c>
      <c r="AW843" s="42" t="str">
        <f ca="1">IFERROR(__xludf.DUMMYFUNCTION("IFERROR(VLOOKUP(F860,IMPORTRANGE(""https://docs.google.com/spreadsheets/d/1Kvs4KS76FHFqLFIZfrDMff4kP08nblUkihrxltoGBjg/edit#gid=934712705"",""ESENCIAL!A6:BG""),15,FALSE))"),"")</f>
        <v/>
      </c>
      <c r="AX843" s="21" t="str">
        <f ca="1">IFERROR(__xludf.DUMMYFUNCTION("IFERROR(VLOOKUP(E860&amp;F860,IMPORTRANGE(""https://docs.google.com/spreadsheets/d/1Uw7-A9f9R21vMXxHZFNpYNeKFtG8_yji4HS352LGlSQ/edit?pli=1#gid=0"",""1_ACUM!A4:S""),12,FALSE))"),"")</f>
        <v/>
      </c>
      <c r="AY843" s="43" t="str">
        <f ca="1">IFERROR(__xludf.DUMMYFUNCTION("IFERROR(VLOOKUP(E860&amp;F860,IMPORTRANGE(""https://docs.google.com/spreadsheets/d/1Uw7-A9f9R21vMXxHZFNpYNeKFtG8_yji4HS352LGlSQ/edit?pli=1#gid=0"",""1_ACUM!A4:S""),13,FALSE))"),"")</f>
        <v/>
      </c>
      <c r="AZ843" s="43" t="str">
        <f ca="1">IFERROR(__xludf.DUMMYFUNCTION("IFERROR(VLOOKUP(E860&amp;F860,IMPORTRANGE(""https://docs.google.com/spreadsheets/d/1Uw7-A9f9R21vMXxHZFNpYNeKFtG8_yji4HS352LGlSQ/edit?pli=1#gid=0"",""1_ACUM!A4:S""),14,FALSE))"),"")</f>
        <v/>
      </c>
      <c r="BA843" s="43" t="str">
        <f ca="1">IFERROR(__xludf.DUMMYFUNCTION("IFERROR(VLOOKUP(E860&amp;F860,IMPORTRANGE(""https://docs.google.com/spreadsheets/d/1Uw7-A9f9R21vMXxHZFNpYNeKFtG8_yji4HS352LGlSQ/edit?pli=1#gid=0"",""1_ACUM!A4:S""),15,FALSE))"),"")</f>
        <v/>
      </c>
      <c r="BB843" s="43" t="str">
        <f ca="1">IFERROR(__xludf.DUMMYFUNCTION("IFERROR(VLOOKUP(E860&amp;F860,IMPORTRANGE(""https://docs.google.com/spreadsheets/d/1Uw7-A9f9R21vMXxHZFNpYNeKFtG8_yji4HS352LGlSQ/edit?pli=1#gid=0"",""1_ACUM!A4:S""),16,FALSE))"),"")</f>
        <v/>
      </c>
      <c r="BC843" s="43" t="str">
        <f ca="1">IFERROR(__xludf.DUMMYFUNCTION("IFERROR(VLOOKUP(E860&amp;F860,IMPORTRANGE(""https://docs.google.com/spreadsheets/d/1Uw7-A9f9R21vMXxHZFNpYNeKFtG8_yji4HS352LGlSQ/edit?pli=1#gid=0"",""1_ACUM!A4:S""),17,FALSE))"),"")</f>
        <v/>
      </c>
      <c r="BD843" s="44" t="str">
        <f ca="1">IFERROR(__xludf.DUMMYFUNCTION("IFERROR(VLOOKUP(E860&amp;F860,IMPORTRANGE(""https://docs.google.com/spreadsheets/d/1Uw7-A9f9R21vMXxHZFNpYNeKFtG8_yji4HS352LGlSQ/edit?pli=1#gid=0"",""1_ACUM!A4:S""),18,FALSE))"),"")</f>
        <v/>
      </c>
      <c r="BE843" s="44" t="str">
        <f ca="1">IFERROR(__xludf.DUMMYFUNCTION("IFERROR(VLOOKUP(E860&amp;F860,IMPORTRANGE(""https://docs.google.com/spreadsheets/d/1Uw7-A9f9R21vMXxHZFNpYNeKFtG8_yji4HS352LGlSQ/edit?pli=1#gid=0"",""1_ACUM!A4:S""),19,FALSE))"),"")</f>
        <v/>
      </c>
      <c r="BF843" s="44" t="str">
        <f ca="1">IFERROR(__xludf.DUMMYFUNCTION("IFERROR(VLOOKUP(F860,IMPORTRANGE(""https://docs.google.com/spreadsheets/d/1Kvs4KS76FHFqLFIZfrDMff4kP08nblUkihrxltoGBjg/edit#gid=934712705"",""ESENCIAL!A6:BG""),5,FALSE))"),"")</f>
        <v/>
      </c>
      <c r="BG843" s="44" t="str">
        <f t="shared" si="45"/>
        <v/>
      </c>
      <c r="BH843" s="41" t="str">
        <f t="shared" si="46"/>
        <v/>
      </c>
      <c r="BI843" s="41" t="str">
        <f ca="1">IFERROR(__xludf.DUMMYFUNCTION("IFERROR(VLOOKUP(F860,IMPORTRANGE(""https://docs.google.com/spreadsheets/d/1Kvs4KS76FHFqLFIZfrDMff4kP08nblUkihrxltoGBjg/edit#gid=934712705"",""ESENCIAL!A6:BG""),18,FALSE))"),"")</f>
        <v/>
      </c>
      <c r="BJ843" s="19" t="str">
        <f t="shared" si="47"/>
        <v/>
      </c>
      <c r="BK843" s="41"/>
      <c r="BL843" s="41"/>
    </row>
    <row r="844" spans="1:64" ht="15">
      <c r="A844" s="4"/>
      <c r="B844" s="4"/>
      <c r="G844" s="5" t="str">
        <f ca="1">IFERROR(__xludf.DUMMYFUNCTION("IFERROR(VLOOKUP(F861,IMPORTRANGE(""https://docs.google.com/spreadsheets/d/1Kvs4KS76FHFqLFIZfrDMff4kP08nblUkihrxltoGBjg/edit#gid=934712705"",""ESENCIAL!A6:BG""),3,FALSE))"),"")</f>
        <v/>
      </c>
      <c r="H844" s="5" t="str">
        <f ca="1">IFERROR(__xludf.DUMMYFUNCTION("IFERROR(VLOOKUP(F861,IMPORTRANGE(""https://docs.google.com/spreadsheets/d/1Kvs4KS76FHFqLFIZfrDMff4kP08nblUkihrxltoGBjg/edit#gid=934712705"",""ESENCIAL!A6:BG""),8,FALSE))"),"")</f>
        <v/>
      </c>
      <c r="L844" s="287"/>
      <c r="S844"/>
      <c r="AU844" s="41" t="str">
        <f t="shared" si="44"/>
        <v/>
      </c>
      <c r="AV844" s="5" t="str">
        <f ca="1">IFERROR(__xludf.DUMMYFUNCTION("IFERROR(VLOOKUP(E861&amp;F861,IMPORTRANGE(""https://docs.google.com/spreadsheets/d/1Uw7-A9f9R21vMXxHZFNpYNeKFtG8_yji4HS352LGlSQ/edit?pli=1#gid=0"",""1_ACUM!A4:S""),11,FALSE))"),"")</f>
        <v/>
      </c>
      <c r="AW844" s="42" t="str">
        <f ca="1">IFERROR(__xludf.DUMMYFUNCTION("IFERROR(VLOOKUP(F861,IMPORTRANGE(""https://docs.google.com/spreadsheets/d/1Kvs4KS76FHFqLFIZfrDMff4kP08nblUkihrxltoGBjg/edit#gid=934712705"",""ESENCIAL!A6:BG""),15,FALSE))"),"")</f>
        <v/>
      </c>
      <c r="AX844" s="21" t="str">
        <f ca="1">IFERROR(__xludf.DUMMYFUNCTION("IFERROR(VLOOKUP(E861&amp;F861,IMPORTRANGE(""https://docs.google.com/spreadsheets/d/1Uw7-A9f9R21vMXxHZFNpYNeKFtG8_yji4HS352LGlSQ/edit?pli=1#gid=0"",""1_ACUM!A4:S""),12,FALSE))"),"")</f>
        <v/>
      </c>
      <c r="AY844" s="43" t="str">
        <f ca="1">IFERROR(__xludf.DUMMYFUNCTION("IFERROR(VLOOKUP(E861&amp;F861,IMPORTRANGE(""https://docs.google.com/spreadsheets/d/1Uw7-A9f9R21vMXxHZFNpYNeKFtG8_yji4HS352LGlSQ/edit?pli=1#gid=0"",""1_ACUM!A4:S""),13,FALSE))"),"")</f>
        <v/>
      </c>
      <c r="AZ844" s="43" t="str">
        <f ca="1">IFERROR(__xludf.DUMMYFUNCTION("IFERROR(VLOOKUP(E861&amp;F861,IMPORTRANGE(""https://docs.google.com/spreadsheets/d/1Uw7-A9f9R21vMXxHZFNpYNeKFtG8_yji4HS352LGlSQ/edit?pli=1#gid=0"",""1_ACUM!A4:S""),14,FALSE))"),"")</f>
        <v/>
      </c>
      <c r="BA844" s="43" t="str">
        <f ca="1">IFERROR(__xludf.DUMMYFUNCTION("IFERROR(VLOOKUP(E861&amp;F861,IMPORTRANGE(""https://docs.google.com/spreadsheets/d/1Uw7-A9f9R21vMXxHZFNpYNeKFtG8_yji4HS352LGlSQ/edit?pli=1#gid=0"",""1_ACUM!A4:S""),15,FALSE))"),"")</f>
        <v/>
      </c>
      <c r="BB844" s="43" t="str">
        <f ca="1">IFERROR(__xludf.DUMMYFUNCTION("IFERROR(VLOOKUP(E861&amp;F861,IMPORTRANGE(""https://docs.google.com/spreadsheets/d/1Uw7-A9f9R21vMXxHZFNpYNeKFtG8_yji4HS352LGlSQ/edit?pli=1#gid=0"",""1_ACUM!A4:S""),16,FALSE))"),"")</f>
        <v/>
      </c>
      <c r="BC844" s="43" t="str">
        <f ca="1">IFERROR(__xludf.DUMMYFUNCTION("IFERROR(VLOOKUP(E861&amp;F861,IMPORTRANGE(""https://docs.google.com/spreadsheets/d/1Uw7-A9f9R21vMXxHZFNpYNeKFtG8_yji4HS352LGlSQ/edit?pli=1#gid=0"",""1_ACUM!A4:S""),17,FALSE))"),"")</f>
        <v/>
      </c>
      <c r="BD844" s="44" t="str">
        <f ca="1">IFERROR(__xludf.DUMMYFUNCTION("IFERROR(VLOOKUP(E861&amp;F861,IMPORTRANGE(""https://docs.google.com/spreadsheets/d/1Uw7-A9f9R21vMXxHZFNpYNeKFtG8_yji4HS352LGlSQ/edit?pli=1#gid=0"",""1_ACUM!A4:S""),18,FALSE))"),"")</f>
        <v/>
      </c>
      <c r="BE844" s="44" t="str">
        <f ca="1">IFERROR(__xludf.DUMMYFUNCTION("IFERROR(VLOOKUP(E861&amp;F861,IMPORTRANGE(""https://docs.google.com/spreadsheets/d/1Uw7-A9f9R21vMXxHZFNpYNeKFtG8_yji4HS352LGlSQ/edit?pli=1#gid=0"",""1_ACUM!A4:S""),19,FALSE))"),"")</f>
        <v/>
      </c>
      <c r="BF844" s="44" t="str">
        <f ca="1">IFERROR(__xludf.DUMMYFUNCTION("IFERROR(VLOOKUP(F861,IMPORTRANGE(""https://docs.google.com/spreadsheets/d/1Kvs4KS76FHFqLFIZfrDMff4kP08nblUkihrxltoGBjg/edit#gid=934712705"",""ESENCIAL!A6:BG""),5,FALSE))"),"")</f>
        <v/>
      </c>
      <c r="BG844" s="44" t="str">
        <f t="shared" si="45"/>
        <v/>
      </c>
      <c r="BH844" s="41" t="str">
        <f t="shared" si="46"/>
        <v/>
      </c>
      <c r="BI844" s="41" t="str">
        <f ca="1">IFERROR(__xludf.DUMMYFUNCTION("IFERROR(VLOOKUP(F861,IMPORTRANGE(""https://docs.google.com/spreadsheets/d/1Kvs4KS76FHFqLFIZfrDMff4kP08nblUkihrxltoGBjg/edit#gid=934712705"",""ESENCIAL!A6:BG""),18,FALSE))"),"")</f>
        <v/>
      </c>
      <c r="BJ844" s="19" t="str">
        <f t="shared" si="47"/>
        <v/>
      </c>
      <c r="BK844" s="41"/>
      <c r="BL844" s="41"/>
    </row>
    <row r="845" spans="1:64" ht="15">
      <c r="A845" s="4"/>
      <c r="B845" s="4"/>
      <c r="G845" s="5" t="str">
        <f ca="1">IFERROR(__xludf.DUMMYFUNCTION("IFERROR(VLOOKUP(F862,IMPORTRANGE(""https://docs.google.com/spreadsheets/d/1Kvs4KS76FHFqLFIZfrDMff4kP08nblUkihrxltoGBjg/edit#gid=934712705"",""ESENCIAL!A6:BG""),3,FALSE))"),"")</f>
        <v/>
      </c>
      <c r="H845" s="5" t="str">
        <f ca="1">IFERROR(__xludf.DUMMYFUNCTION("IFERROR(VLOOKUP(F862,IMPORTRANGE(""https://docs.google.com/spreadsheets/d/1Kvs4KS76FHFqLFIZfrDMff4kP08nblUkihrxltoGBjg/edit#gid=934712705"",""ESENCIAL!A6:BG""),8,FALSE))"),"")</f>
        <v/>
      </c>
      <c r="L845" s="287"/>
      <c r="S845"/>
      <c r="AU845" s="41" t="str">
        <f t="shared" si="44"/>
        <v/>
      </c>
      <c r="AV845" s="5" t="str">
        <f ca="1">IFERROR(__xludf.DUMMYFUNCTION("IFERROR(VLOOKUP(E862&amp;F862,IMPORTRANGE(""https://docs.google.com/spreadsheets/d/1Uw7-A9f9R21vMXxHZFNpYNeKFtG8_yji4HS352LGlSQ/edit?pli=1#gid=0"",""1_ACUM!A4:S""),11,FALSE))"),"")</f>
        <v/>
      </c>
      <c r="AW845" s="42" t="str">
        <f ca="1">IFERROR(__xludf.DUMMYFUNCTION("IFERROR(VLOOKUP(F862,IMPORTRANGE(""https://docs.google.com/spreadsheets/d/1Kvs4KS76FHFqLFIZfrDMff4kP08nblUkihrxltoGBjg/edit#gid=934712705"",""ESENCIAL!A6:BG""),15,FALSE))"),"")</f>
        <v/>
      </c>
      <c r="AX845" s="21" t="str">
        <f ca="1">IFERROR(__xludf.DUMMYFUNCTION("IFERROR(VLOOKUP(E862&amp;F862,IMPORTRANGE(""https://docs.google.com/spreadsheets/d/1Uw7-A9f9R21vMXxHZFNpYNeKFtG8_yji4HS352LGlSQ/edit?pli=1#gid=0"",""1_ACUM!A4:S""),12,FALSE))"),"")</f>
        <v/>
      </c>
      <c r="AY845" s="43" t="str">
        <f ca="1">IFERROR(__xludf.DUMMYFUNCTION("IFERROR(VLOOKUP(E862&amp;F862,IMPORTRANGE(""https://docs.google.com/spreadsheets/d/1Uw7-A9f9R21vMXxHZFNpYNeKFtG8_yji4HS352LGlSQ/edit?pli=1#gid=0"",""1_ACUM!A4:S""),13,FALSE))"),"")</f>
        <v/>
      </c>
      <c r="AZ845" s="43" t="str">
        <f ca="1">IFERROR(__xludf.DUMMYFUNCTION("IFERROR(VLOOKUP(E862&amp;F862,IMPORTRANGE(""https://docs.google.com/spreadsheets/d/1Uw7-A9f9R21vMXxHZFNpYNeKFtG8_yji4HS352LGlSQ/edit?pli=1#gid=0"",""1_ACUM!A4:S""),14,FALSE))"),"")</f>
        <v/>
      </c>
      <c r="BA845" s="43" t="str">
        <f ca="1">IFERROR(__xludf.DUMMYFUNCTION("IFERROR(VLOOKUP(E862&amp;F862,IMPORTRANGE(""https://docs.google.com/spreadsheets/d/1Uw7-A9f9R21vMXxHZFNpYNeKFtG8_yji4HS352LGlSQ/edit?pli=1#gid=0"",""1_ACUM!A4:S""),15,FALSE))"),"")</f>
        <v/>
      </c>
      <c r="BB845" s="43" t="str">
        <f ca="1">IFERROR(__xludf.DUMMYFUNCTION("IFERROR(VLOOKUP(E862&amp;F862,IMPORTRANGE(""https://docs.google.com/spreadsheets/d/1Uw7-A9f9R21vMXxHZFNpYNeKFtG8_yji4HS352LGlSQ/edit?pli=1#gid=0"",""1_ACUM!A4:S""),16,FALSE))"),"")</f>
        <v/>
      </c>
      <c r="BC845" s="43" t="str">
        <f ca="1">IFERROR(__xludf.DUMMYFUNCTION("IFERROR(VLOOKUP(E862&amp;F862,IMPORTRANGE(""https://docs.google.com/spreadsheets/d/1Uw7-A9f9R21vMXxHZFNpYNeKFtG8_yji4HS352LGlSQ/edit?pli=1#gid=0"",""1_ACUM!A4:S""),17,FALSE))"),"")</f>
        <v/>
      </c>
      <c r="BD845" s="44" t="str">
        <f ca="1">IFERROR(__xludf.DUMMYFUNCTION("IFERROR(VLOOKUP(E862&amp;F862,IMPORTRANGE(""https://docs.google.com/spreadsheets/d/1Uw7-A9f9R21vMXxHZFNpYNeKFtG8_yji4HS352LGlSQ/edit?pli=1#gid=0"",""1_ACUM!A4:S""),18,FALSE))"),"")</f>
        <v/>
      </c>
      <c r="BE845" s="44" t="str">
        <f ca="1">IFERROR(__xludf.DUMMYFUNCTION("IFERROR(VLOOKUP(E862&amp;F862,IMPORTRANGE(""https://docs.google.com/spreadsheets/d/1Uw7-A9f9R21vMXxHZFNpYNeKFtG8_yji4HS352LGlSQ/edit?pli=1#gid=0"",""1_ACUM!A4:S""),19,FALSE))"),"")</f>
        <v/>
      </c>
      <c r="BF845" s="44" t="str">
        <f ca="1">IFERROR(__xludf.DUMMYFUNCTION("IFERROR(VLOOKUP(F862,IMPORTRANGE(""https://docs.google.com/spreadsheets/d/1Kvs4KS76FHFqLFIZfrDMff4kP08nblUkihrxltoGBjg/edit#gid=934712705"",""ESENCIAL!A6:BG""),5,FALSE))"),"")</f>
        <v/>
      </c>
      <c r="BG845" s="44" t="str">
        <f t="shared" si="45"/>
        <v/>
      </c>
      <c r="BH845" s="41" t="str">
        <f t="shared" si="46"/>
        <v/>
      </c>
      <c r="BI845" s="41" t="str">
        <f ca="1">IFERROR(__xludf.DUMMYFUNCTION("IFERROR(VLOOKUP(F862,IMPORTRANGE(""https://docs.google.com/spreadsheets/d/1Kvs4KS76FHFqLFIZfrDMff4kP08nblUkihrxltoGBjg/edit#gid=934712705"",""ESENCIAL!A6:BG""),18,FALSE))"),"")</f>
        <v/>
      </c>
      <c r="BJ845" s="19" t="str">
        <f t="shared" si="47"/>
        <v/>
      </c>
      <c r="BK845" s="41"/>
      <c r="BL845" s="41"/>
    </row>
    <row r="846" spans="1:64" ht="15">
      <c r="A846" s="4"/>
      <c r="B846" s="4"/>
      <c r="G846" s="5" t="str">
        <f ca="1">IFERROR(__xludf.DUMMYFUNCTION("IFERROR(VLOOKUP(F863,IMPORTRANGE(""https://docs.google.com/spreadsheets/d/1Kvs4KS76FHFqLFIZfrDMff4kP08nblUkihrxltoGBjg/edit#gid=934712705"",""ESENCIAL!A6:BG""),3,FALSE))"),"")</f>
        <v/>
      </c>
      <c r="H846" s="5" t="str">
        <f ca="1">IFERROR(__xludf.DUMMYFUNCTION("IFERROR(VLOOKUP(F863,IMPORTRANGE(""https://docs.google.com/spreadsheets/d/1Kvs4KS76FHFqLFIZfrDMff4kP08nblUkihrxltoGBjg/edit#gid=934712705"",""ESENCIAL!A6:BG""),8,FALSE))"),"")</f>
        <v/>
      </c>
      <c r="L846" s="287"/>
      <c r="S846"/>
      <c r="AU846" s="41" t="str">
        <f t="shared" si="44"/>
        <v/>
      </c>
      <c r="AV846" s="5" t="str">
        <f ca="1">IFERROR(__xludf.DUMMYFUNCTION("IFERROR(VLOOKUP(E863&amp;F863,IMPORTRANGE(""https://docs.google.com/spreadsheets/d/1Uw7-A9f9R21vMXxHZFNpYNeKFtG8_yji4HS352LGlSQ/edit?pli=1#gid=0"",""1_ACUM!A4:S""),11,FALSE))"),"")</f>
        <v/>
      </c>
      <c r="AW846" s="42" t="str">
        <f ca="1">IFERROR(__xludf.DUMMYFUNCTION("IFERROR(VLOOKUP(F863,IMPORTRANGE(""https://docs.google.com/spreadsheets/d/1Kvs4KS76FHFqLFIZfrDMff4kP08nblUkihrxltoGBjg/edit#gid=934712705"",""ESENCIAL!A6:BG""),15,FALSE))"),"")</f>
        <v/>
      </c>
      <c r="AX846" s="21" t="str">
        <f ca="1">IFERROR(__xludf.DUMMYFUNCTION("IFERROR(VLOOKUP(E863&amp;F863,IMPORTRANGE(""https://docs.google.com/spreadsheets/d/1Uw7-A9f9R21vMXxHZFNpYNeKFtG8_yji4HS352LGlSQ/edit?pli=1#gid=0"",""1_ACUM!A4:S""),12,FALSE))"),"")</f>
        <v/>
      </c>
      <c r="AY846" s="43" t="str">
        <f ca="1">IFERROR(__xludf.DUMMYFUNCTION("IFERROR(VLOOKUP(E863&amp;F863,IMPORTRANGE(""https://docs.google.com/spreadsheets/d/1Uw7-A9f9R21vMXxHZFNpYNeKFtG8_yji4HS352LGlSQ/edit?pli=1#gid=0"",""1_ACUM!A4:S""),13,FALSE))"),"")</f>
        <v/>
      </c>
      <c r="AZ846" s="43" t="str">
        <f ca="1">IFERROR(__xludf.DUMMYFUNCTION("IFERROR(VLOOKUP(E863&amp;F863,IMPORTRANGE(""https://docs.google.com/spreadsheets/d/1Uw7-A9f9R21vMXxHZFNpYNeKFtG8_yji4HS352LGlSQ/edit?pli=1#gid=0"",""1_ACUM!A4:S""),14,FALSE))"),"")</f>
        <v/>
      </c>
      <c r="BA846" s="43" t="str">
        <f ca="1">IFERROR(__xludf.DUMMYFUNCTION("IFERROR(VLOOKUP(E863&amp;F863,IMPORTRANGE(""https://docs.google.com/spreadsheets/d/1Uw7-A9f9R21vMXxHZFNpYNeKFtG8_yji4HS352LGlSQ/edit?pli=1#gid=0"",""1_ACUM!A4:S""),15,FALSE))"),"")</f>
        <v/>
      </c>
      <c r="BB846" s="43" t="str">
        <f ca="1">IFERROR(__xludf.DUMMYFUNCTION("IFERROR(VLOOKUP(E863&amp;F863,IMPORTRANGE(""https://docs.google.com/spreadsheets/d/1Uw7-A9f9R21vMXxHZFNpYNeKFtG8_yji4HS352LGlSQ/edit?pli=1#gid=0"",""1_ACUM!A4:S""),16,FALSE))"),"")</f>
        <v/>
      </c>
      <c r="BC846" s="43" t="str">
        <f ca="1">IFERROR(__xludf.DUMMYFUNCTION("IFERROR(VLOOKUP(E863&amp;F863,IMPORTRANGE(""https://docs.google.com/spreadsheets/d/1Uw7-A9f9R21vMXxHZFNpYNeKFtG8_yji4HS352LGlSQ/edit?pli=1#gid=0"",""1_ACUM!A4:S""),17,FALSE))"),"")</f>
        <v/>
      </c>
      <c r="BD846" s="44" t="str">
        <f ca="1">IFERROR(__xludf.DUMMYFUNCTION("IFERROR(VLOOKUP(E863&amp;F863,IMPORTRANGE(""https://docs.google.com/spreadsheets/d/1Uw7-A9f9R21vMXxHZFNpYNeKFtG8_yji4HS352LGlSQ/edit?pli=1#gid=0"",""1_ACUM!A4:S""),18,FALSE))"),"")</f>
        <v/>
      </c>
      <c r="BE846" s="44" t="str">
        <f ca="1">IFERROR(__xludf.DUMMYFUNCTION("IFERROR(VLOOKUP(E863&amp;F863,IMPORTRANGE(""https://docs.google.com/spreadsheets/d/1Uw7-A9f9R21vMXxHZFNpYNeKFtG8_yji4HS352LGlSQ/edit?pli=1#gid=0"",""1_ACUM!A4:S""),19,FALSE))"),"")</f>
        <v/>
      </c>
      <c r="BF846" s="44" t="str">
        <f ca="1">IFERROR(__xludf.DUMMYFUNCTION("IFERROR(VLOOKUP(F863,IMPORTRANGE(""https://docs.google.com/spreadsheets/d/1Kvs4KS76FHFqLFIZfrDMff4kP08nblUkihrxltoGBjg/edit#gid=934712705"",""ESENCIAL!A6:BG""),5,FALSE))"),"")</f>
        <v/>
      </c>
      <c r="BG846" s="44" t="str">
        <f t="shared" si="45"/>
        <v/>
      </c>
      <c r="BH846" s="41" t="str">
        <f t="shared" si="46"/>
        <v/>
      </c>
      <c r="BI846" s="41" t="str">
        <f ca="1">IFERROR(__xludf.DUMMYFUNCTION("IFERROR(VLOOKUP(F863,IMPORTRANGE(""https://docs.google.com/spreadsheets/d/1Kvs4KS76FHFqLFIZfrDMff4kP08nblUkihrxltoGBjg/edit#gid=934712705"",""ESENCIAL!A6:BG""),18,FALSE))"),"")</f>
        <v/>
      </c>
      <c r="BJ846" s="19" t="str">
        <f t="shared" si="47"/>
        <v/>
      </c>
      <c r="BK846" s="41"/>
      <c r="BL846" s="41"/>
    </row>
    <row r="847" spans="1:64" ht="15">
      <c r="A847" s="4"/>
      <c r="B847" s="4"/>
      <c r="G847" s="5" t="str">
        <f ca="1">IFERROR(__xludf.DUMMYFUNCTION("IFERROR(VLOOKUP(F864,IMPORTRANGE(""https://docs.google.com/spreadsheets/d/1Kvs4KS76FHFqLFIZfrDMff4kP08nblUkihrxltoGBjg/edit#gid=934712705"",""ESENCIAL!A6:BG""),3,FALSE))"),"")</f>
        <v/>
      </c>
      <c r="H847" s="5" t="str">
        <f ca="1">IFERROR(__xludf.DUMMYFUNCTION("IFERROR(VLOOKUP(F864,IMPORTRANGE(""https://docs.google.com/spreadsheets/d/1Kvs4KS76FHFqLFIZfrDMff4kP08nblUkihrxltoGBjg/edit#gid=934712705"",""ESENCIAL!A6:BG""),8,FALSE))"),"")</f>
        <v/>
      </c>
      <c r="L847" s="287"/>
      <c r="S847"/>
      <c r="AU847" s="41" t="str">
        <f t="shared" si="44"/>
        <v/>
      </c>
      <c r="AV847" s="5" t="str">
        <f ca="1">IFERROR(__xludf.DUMMYFUNCTION("IFERROR(VLOOKUP(E864&amp;F864,IMPORTRANGE(""https://docs.google.com/spreadsheets/d/1Uw7-A9f9R21vMXxHZFNpYNeKFtG8_yji4HS352LGlSQ/edit?pli=1#gid=0"",""1_ACUM!A4:S""),11,FALSE))"),"")</f>
        <v/>
      </c>
      <c r="AW847" s="42" t="str">
        <f ca="1">IFERROR(__xludf.DUMMYFUNCTION("IFERROR(VLOOKUP(F864,IMPORTRANGE(""https://docs.google.com/spreadsheets/d/1Kvs4KS76FHFqLFIZfrDMff4kP08nblUkihrxltoGBjg/edit#gid=934712705"",""ESENCIAL!A6:BG""),15,FALSE))"),"")</f>
        <v/>
      </c>
      <c r="AX847" s="21" t="str">
        <f ca="1">IFERROR(__xludf.DUMMYFUNCTION("IFERROR(VLOOKUP(E864&amp;F864,IMPORTRANGE(""https://docs.google.com/spreadsheets/d/1Uw7-A9f9R21vMXxHZFNpYNeKFtG8_yji4HS352LGlSQ/edit?pli=1#gid=0"",""1_ACUM!A4:S""),12,FALSE))"),"")</f>
        <v/>
      </c>
      <c r="AY847" s="43" t="str">
        <f ca="1">IFERROR(__xludf.DUMMYFUNCTION("IFERROR(VLOOKUP(E864&amp;F864,IMPORTRANGE(""https://docs.google.com/spreadsheets/d/1Uw7-A9f9R21vMXxHZFNpYNeKFtG8_yji4HS352LGlSQ/edit?pli=1#gid=0"",""1_ACUM!A4:S""),13,FALSE))"),"")</f>
        <v/>
      </c>
      <c r="AZ847" s="43" t="str">
        <f ca="1">IFERROR(__xludf.DUMMYFUNCTION("IFERROR(VLOOKUP(E864&amp;F864,IMPORTRANGE(""https://docs.google.com/spreadsheets/d/1Uw7-A9f9R21vMXxHZFNpYNeKFtG8_yji4HS352LGlSQ/edit?pli=1#gid=0"",""1_ACUM!A4:S""),14,FALSE))"),"")</f>
        <v/>
      </c>
      <c r="BA847" s="43" t="str">
        <f ca="1">IFERROR(__xludf.DUMMYFUNCTION("IFERROR(VLOOKUP(E864&amp;F864,IMPORTRANGE(""https://docs.google.com/spreadsheets/d/1Uw7-A9f9R21vMXxHZFNpYNeKFtG8_yji4HS352LGlSQ/edit?pli=1#gid=0"",""1_ACUM!A4:S""),15,FALSE))"),"")</f>
        <v/>
      </c>
      <c r="BB847" s="43" t="str">
        <f ca="1">IFERROR(__xludf.DUMMYFUNCTION("IFERROR(VLOOKUP(E864&amp;F864,IMPORTRANGE(""https://docs.google.com/spreadsheets/d/1Uw7-A9f9R21vMXxHZFNpYNeKFtG8_yji4HS352LGlSQ/edit?pli=1#gid=0"",""1_ACUM!A4:S""),16,FALSE))"),"")</f>
        <v/>
      </c>
      <c r="BC847" s="43" t="str">
        <f ca="1">IFERROR(__xludf.DUMMYFUNCTION("IFERROR(VLOOKUP(E864&amp;F864,IMPORTRANGE(""https://docs.google.com/spreadsheets/d/1Uw7-A9f9R21vMXxHZFNpYNeKFtG8_yji4HS352LGlSQ/edit?pli=1#gid=0"",""1_ACUM!A4:S""),17,FALSE))"),"")</f>
        <v/>
      </c>
      <c r="BD847" s="44" t="str">
        <f ca="1">IFERROR(__xludf.DUMMYFUNCTION("IFERROR(VLOOKUP(E864&amp;F864,IMPORTRANGE(""https://docs.google.com/spreadsheets/d/1Uw7-A9f9R21vMXxHZFNpYNeKFtG8_yji4HS352LGlSQ/edit?pli=1#gid=0"",""1_ACUM!A4:S""),18,FALSE))"),"")</f>
        <v/>
      </c>
      <c r="BE847" s="44" t="str">
        <f ca="1">IFERROR(__xludf.DUMMYFUNCTION("IFERROR(VLOOKUP(E864&amp;F864,IMPORTRANGE(""https://docs.google.com/spreadsheets/d/1Uw7-A9f9R21vMXxHZFNpYNeKFtG8_yji4HS352LGlSQ/edit?pli=1#gid=0"",""1_ACUM!A4:S""),19,FALSE))"),"")</f>
        <v/>
      </c>
      <c r="BF847" s="44" t="str">
        <f ca="1">IFERROR(__xludf.DUMMYFUNCTION("IFERROR(VLOOKUP(F864,IMPORTRANGE(""https://docs.google.com/spreadsheets/d/1Kvs4KS76FHFqLFIZfrDMff4kP08nblUkihrxltoGBjg/edit#gid=934712705"",""ESENCIAL!A6:BG""),5,FALSE))"),"")</f>
        <v/>
      </c>
      <c r="BG847" s="44" t="str">
        <f t="shared" si="45"/>
        <v/>
      </c>
      <c r="BH847" s="41" t="str">
        <f t="shared" si="46"/>
        <v/>
      </c>
      <c r="BI847" s="41" t="str">
        <f ca="1">IFERROR(__xludf.DUMMYFUNCTION("IFERROR(VLOOKUP(F864,IMPORTRANGE(""https://docs.google.com/spreadsheets/d/1Kvs4KS76FHFqLFIZfrDMff4kP08nblUkihrxltoGBjg/edit#gid=934712705"",""ESENCIAL!A6:BG""),18,FALSE))"),"")</f>
        <v/>
      </c>
      <c r="BJ847" s="19" t="str">
        <f t="shared" si="47"/>
        <v/>
      </c>
      <c r="BK847" s="41"/>
      <c r="BL847" s="41"/>
    </row>
    <row r="848" spans="1:64" ht="15">
      <c r="A848" s="4"/>
      <c r="B848" s="4"/>
      <c r="G848" s="5" t="str">
        <f ca="1">IFERROR(__xludf.DUMMYFUNCTION("IFERROR(VLOOKUP(F865,IMPORTRANGE(""https://docs.google.com/spreadsheets/d/1Kvs4KS76FHFqLFIZfrDMff4kP08nblUkihrxltoGBjg/edit#gid=934712705"",""ESENCIAL!A6:BG""),3,FALSE))"),"")</f>
        <v/>
      </c>
      <c r="H848" s="5" t="str">
        <f ca="1">IFERROR(__xludf.DUMMYFUNCTION("IFERROR(VLOOKUP(F865,IMPORTRANGE(""https://docs.google.com/spreadsheets/d/1Kvs4KS76FHFqLFIZfrDMff4kP08nblUkihrxltoGBjg/edit#gid=934712705"",""ESENCIAL!A6:BG""),8,FALSE))"),"")</f>
        <v/>
      </c>
      <c r="L848" s="287"/>
      <c r="S848"/>
      <c r="AU848" s="41" t="str">
        <f t="shared" si="44"/>
        <v/>
      </c>
      <c r="AV848" s="5" t="str">
        <f ca="1">IFERROR(__xludf.DUMMYFUNCTION("IFERROR(VLOOKUP(E865&amp;F865,IMPORTRANGE(""https://docs.google.com/spreadsheets/d/1Uw7-A9f9R21vMXxHZFNpYNeKFtG8_yji4HS352LGlSQ/edit?pli=1#gid=0"",""1_ACUM!A4:S""),11,FALSE))"),"")</f>
        <v/>
      </c>
      <c r="AW848" s="42" t="str">
        <f ca="1">IFERROR(__xludf.DUMMYFUNCTION("IFERROR(VLOOKUP(F865,IMPORTRANGE(""https://docs.google.com/spreadsheets/d/1Kvs4KS76FHFqLFIZfrDMff4kP08nblUkihrxltoGBjg/edit#gid=934712705"",""ESENCIAL!A6:BG""),15,FALSE))"),"")</f>
        <v/>
      </c>
      <c r="AX848" s="21" t="str">
        <f ca="1">IFERROR(__xludf.DUMMYFUNCTION("IFERROR(VLOOKUP(E865&amp;F865,IMPORTRANGE(""https://docs.google.com/spreadsheets/d/1Uw7-A9f9R21vMXxHZFNpYNeKFtG8_yji4HS352LGlSQ/edit?pli=1#gid=0"",""1_ACUM!A4:S""),12,FALSE))"),"")</f>
        <v/>
      </c>
      <c r="AY848" s="43" t="str">
        <f ca="1">IFERROR(__xludf.DUMMYFUNCTION("IFERROR(VLOOKUP(E865&amp;F865,IMPORTRANGE(""https://docs.google.com/spreadsheets/d/1Uw7-A9f9R21vMXxHZFNpYNeKFtG8_yji4HS352LGlSQ/edit?pli=1#gid=0"",""1_ACUM!A4:S""),13,FALSE))"),"")</f>
        <v/>
      </c>
      <c r="AZ848" s="43" t="str">
        <f ca="1">IFERROR(__xludf.DUMMYFUNCTION("IFERROR(VLOOKUP(E865&amp;F865,IMPORTRANGE(""https://docs.google.com/spreadsheets/d/1Uw7-A9f9R21vMXxHZFNpYNeKFtG8_yji4HS352LGlSQ/edit?pli=1#gid=0"",""1_ACUM!A4:S""),14,FALSE))"),"")</f>
        <v/>
      </c>
      <c r="BA848" s="43" t="str">
        <f ca="1">IFERROR(__xludf.DUMMYFUNCTION("IFERROR(VLOOKUP(E865&amp;F865,IMPORTRANGE(""https://docs.google.com/spreadsheets/d/1Uw7-A9f9R21vMXxHZFNpYNeKFtG8_yji4HS352LGlSQ/edit?pli=1#gid=0"",""1_ACUM!A4:S""),15,FALSE))"),"")</f>
        <v/>
      </c>
      <c r="BB848" s="43" t="str">
        <f ca="1">IFERROR(__xludf.DUMMYFUNCTION("IFERROR(VLOOKUP(E865&amp;F865,IMPORTRANGE(""https://docs.google.com/spreadsheets/d/1Uw7-A9f9R21vMXxHZFNpYNeKFtG8_yji4HS352LGlSQ/edit?pli=1#gid=0"",""1_ACUM!A4:S""),16,FALSE))"),"")</f>
        <v/>
      </c>
      <c r="BC848" s="43" t="str">
        <f ca="1">IFERROR(__xludf.DUMMYFUNCTION("IFERROR(VLOOKUP(E865&amp;F865,IMPORTRANGE(""https://docs.google.com/spreadsheets/d/1Uw7-A9f9R21vMXxHZFNpYNeKFtG8_yji4HS352LGlSQ/edit?pli=1#gid=0"",""1_ACUM!A4:S""),17,FALSE))"),"")</f>
        <v/>
      </c>
      <c r="BD848" s="44" t="str">
        <f ca="1">IFERROR(__xludf.DUMMYFUNCTION("IFERROR(VLOOKUP(E865&amp;F865,IMPORTRANGE(""https://docs.google.com/spreadsheets/d/1Uw7-A9f9R21vMXxHZFNpYNeKFtG8_yji4HS352LGlSQ/edit?pli=1#gid=0"",""1_ACUM!A4:S""),18,FALSE))"),"")</f>
        <v/>
      </c>
      <c r="BE848" s="44" t="str">
        <f ca="1">IFERROR(__xludf.DUMMYFUNCTION("IFERROR(VLOOKUP(E865&amp;F865,IMPORTRANGE(""https://docs.google.com/spreadsheets/d/1Uw7-A9f9R21vMXxHZFNpYNeKFtG8_yji4HS352LGlSQ/edit?pli=1#gid=0"",""1_ACUM!A4:S""),19,FALSE))"),"")</f>
        <v/>
      </c>
      <c r="BF848" s="44" t="str">
        <f ca="1">IFERROR(__xludf.DUMMYFUNCTION("IFERROR(VLOOKUP(F865,IMPORTRANGE(""https://docs.google.com/spreadsheets/d/1Kvs4KS76FHFqLFIZfrDMff4kP08nblUkihrxltoGBjg/edit#gid=934712705"",""ESENCIAL!A6:BG""),5,FALSE))"),"")</f>
        <v/>
      </c>
      <c r="BG848" s="44" t="str">
        <f t="shared" si="45"/>
        <v/>
      </c>
      <c r="BH848" s="41" t="str">
        <f t="shared" si="46"/>
        <v/>
      </c>
      <c r="BI848" s="41" t="str">
        <f ca="1">IFERROR(__xludf.DUMMYFUNCTION("IFERROR(VLOOKUP(F865,IMPORTRANGE(""https://docs.google.com/spreadsheets/d/1Kvs4KS76FHFqLFIZfrDMff4kP08nblUkihrxltoGBjg/edit#gid=934712705"",""ESENCIAL!A6:BG""),18,FALSE))"),"")</f>
        <v/>
      </c>
      <c r="BJ848" s="19" t="str">
        <f t="shared" si="47"/>
        <v/>
      </c>
      <c r="BK848" s="41"/>
      <c r="BL848" s="41"/>
    </row>
    <row r="849" spans="1:64" ht="15">
      <c r="A849" s="4"/>
      <c r="B849" s="4"/>
      <c r="G849" s="5" t="str">
        <f ca="1">IFERROR(__xludf.DUMMYFUNCTION("IFERROR(VLOOKUP(F866,IMPORTRANGE(""https://docs.google.com/spreadsheets/d/1Kvs4KS76FHFqLFIZfrDMff4kP08nblUkihrxltoGBjg/edit#gid=934712705"",""ESENCIAL!A6:BG""),3,FALSE))"),"")</f>
        <v/>
      </c>
      <c r="H849" s="5" t="str">
        <f ca="1">IFERROR(__xludf.DUMMYFUNCTION("IFERROR(VLOOKUP(F866,IMPORTRANGE(""https://docs.google.com/spreadsheets/d/1Kvs4KS76FHFqLFIZfrDMff4kP08nblUkihrxltoGBjg/edit#gid=934712705"",""ESENCIAL!A6:BG""),8,FALSE))"),"")</f>
        <v/>
      </c>
      <c r="L849" s="287"/>
      <c r="S849"/>
      <c r="AU849" s="41" t="str">
        <f t="shared" si="44"/>
        <v/>
      </c>
      <c r="AV849" s="5" t="str">
        <f ca="1">IFERROR(__xludf.DUMMYFUNCTION("IFERROR(VLOOKUP(E866&amp;F866,IMPORTRANGE(""https://docs.google.com/spreadsheets/d/1Uw7-A9f9R21vMXxHZFNpYNeKFtG8_yji4HS352LGlSQ/edit?pli=1#gid=0"",""1_ACUM!A4:S""),11,FALSE))"),"")</f>
        <v/>
      </c>
      <c r="AW849" s="42" t="str">
        <f ca="1">IFERROR(__xludf.DUMMYFUNCTION("IFERROR(VLOOKUP(F866,IMPORTRANGE(""https://docs.google.com/spreadsheets/d/1Kvs4KS76FHFqLFIZfrDMff4kP08nblUkihrxltoGBjg/edit#gid=934712705"",""ESENCIAL!A6:BG""),15,FALSE))"),"")</f>
        <v/>
      </c>
      <c r="AX849" s="21" t="str">
        <f ca="1">IFERROR(__xludf.DUMMYFUNCTION("IFERROR(VLOOKUP(E866&amp;F866,IMPORTRANGE(""https://docs.google.com/spreadsheets/d/1Uw7-A9f9R21vMXxHZFNpYNeKFtG8_yji4HS352LGlSQ/edit?pli=1#gid=0"",""1_ACUM!A4:S""),12,FALSE))"),"")</f>
        <v/>
      </c>
      <c r="AY849" s="43" t="str">
        <f ca="1">IFERROR(__xludf.DUMMYFUNCTION("IFERROR(VLOOKUP(E866&amp;F866,IMPORTRANGE(""https://docs.google.com/spreadsheets/d/1Uw7-A9f9R21vMXxHZFNpYNeKFtG8_yji4HS352LGlSQ/edit?pli=1#gid=0"",""1_ACUM!A4:S""),13,FALSE))"),"")</f>
        <v/>
      </c>
      <c r="AZ849" s="43" t="str">
        <f ca="1">IFERROR(__xludf.DUMMYFUNCTION("IFERROR(VLOOKUP(E866&amp;F866,IMPORTRANGE(""https://docs.google.com/spreadsheets/d/1Uw7-A9f9R21vMXxHZFNpYNeKFtG8_yji4HS352LGlSQ/edit?pli=1#gid=0"",""1_ACUM!A4:S""),14,FALSE))"),"")</f>
        <v/>
      </c>
      <c r="BA849" s="43" t="str">
        <f ca="1">IFERROR(__xludf.DUMMYFUNCTION("IFERROR(VLOOKUP(E866&amp;F866,IMPORTRANGE(""https://docs.google.com/spreadsheets/d/1Uw7-A9f9R21vMXxHZFNpYNeKFtG8_yji4HS352LGlSQ/edit?pli=1#gid=0"",""1_ACUM!A4:S""),15,FALSE))"),"")</f>
        <v/>
      </c>
      <c r="BB849" s="43" t="str">
        <f ca="1">IFERROR(__xludf.DUMMYFUNCTION("IFERROR(VLOOKUP(E866&amp;F866,IMPORTRANGE(""https://docs.google.com/spreadsheets/d/1Uw7-A9f9R21vMXxHZFNpYNeKFtG8_yji4HS352LGlSQ/edit?pli=1#gid=0"",""1_ACUM!A4:S""),16,FALSE))"),"")</f>
        <v/>
      </c>
      <c r="BC849" s="43" t="str">
        <f ca="1">IFERROR(__xludf.DUMMYFUNCTION("IFERROR(VLOOKUP(E866&amp;F866,IMPORTRANGE(""https://docs.google.com/spreadsheets/d/1Uw7-A9f9R21vMXxHZFNpYNeKFtG8_yji4HS352LGlSQ/edit?pli=1#gid=0"",""1_ACUM!A4:S""),17,FALSE))"),"")</f>
        <v/>
      </c>
      <c r="BD849" s="44" t="str">
        <f ca="1">IFERROR(__xludf.DUMMYFUNCTION("IFERROR(VLOOKUP(E866&amp;F866,IMPORTRANGE(""https://docs.google.com/spreadsheets/d/1Uw7-A9f9R21vMXxHZFNpYNeKFtG8_yji4HS352LGlSQ/edit?pli=1#gid=0"",""1_ACUM!A4:S""),18,FALSE))"),"")</f>
        <v/>
      </c>
      <c r="BE849" s="44" t="str">
        <f ca="1">IFERROR(__xludf.DUMMYFUNCTION("IFERROR(VLOOKUP(E866&amp;F866,IMPORTRANGE(""https://docs.google.com/spreadsheets/d/1Uw7-A9f9R21vMXxHZFNpYNeKFtG8_yji4HS352LGlSQ/edit?pli=1#gid=0"",""1_ACUM!A4:S""),19,FALSE))"),"")</f>
        <v/>
      </c>
      <c r="BF849" s="44" t="str">
        <f ca="1">IFERROR(__xludf.DUMMYFUNCTION("IFERROR(VLOOKUP(F866,IMPORTRANGE(""https://docs.google.com/spreadsheets/d/1Kvs4KS76FHFqLFIZfrDMff4kP08nblUkihrxltoGBjg/edit#gid=934712705"",""ESENCIAL!A6:BG""),5,FALSE))"),"")</f>
        <v/>
      </c>
      <c r="BG849" s="44" t="str">
        <f t="shared" si="45"/>
        <v/>
      </c>
      <c r="BH849" s="41" t="str">
        <f t="shared" si="46"/>
        <v/>
      </c>
      <c r="BI849" s="41" t="str">
        <f ca="1">IFERROR(__xludf.DUMMYFUNCTION("IFERROR(VLOOKUP(F866,IMPORTRANGE(""https://docs.google.com/spreadsheets/d/1Kvs4KS76FHFqLFIZfrDMff4kP08nblUkihrxltoGBjg/edit#gid=934712705"",""ESENCIAL!A6:BG""),18,FALSE))"),"")</f>
        <v/>
      </c>
      <c r="BJ849" s="19" t="str">
        <f t="shared" si="47"/>
        <v/>
      </c>
      <c r="BK849" s="41"/>
      <c r="BL849" s="41"/>
    </row>
    <row r="850" spans="1:64" ht="15">
      <c r="A850" s="4"/>
      <c r="B850" s="4"/>
      <c r="G850" s="5" t="str">
        <f ca="1">IFERROR(__xludf.DUMMYFUNCTION("IFERROR(VLOOKUP(F867,IMPORTRANGE(""https://docs.google.com/spreadsheets/d/1Kvs4KS76FHFqLFIZfrDMff4kP08nblUkihrxltoGBjg/edit#gid=934712705"",""ESENCIAL!A6:BG""),3,FALSE))"),"")</f>
        <v/>
      </c>
      <c r="H850" s="5" t="str">
        <f ca="1">IFERROR(__xludf.DUMMYFUNCTION("IFERROR(VLOOKUP(F867,IMPORTRANGE(""https://docs.google.com/spreadsheets/d/1Kvs4KS76FHFqLFIZfrDMff4kP08nblUkihrxltoGBjg/edit#gid=934712705"",""ESENCIAL!A6:BG""),8,FALSE))"),"")</f>
        <v/>
      </c>
      <c r="L850" s="287"/>
      <c r="S850"/>
      <c r="AU850" s="41" t="str">
        <f t="shared" si="44"/>
        <v/>
      </c>
      <c r="AV850" s="5" t="str">
        <f ca="1">IFERROR(__xludf.DUMMYFUNCTION("IFERROR(VLOOKUP(E867&amp;F867,IMPORTRANGE(""https://docs.google.com/spreadsheets/d/1Uw7-A9f9R21vMXxHZFNpYNeKFtG8_yji4HS352LGlSQ/edit?pli=1#gid=0"",""1_ACUM!A4:S""),11,FALSE))"),"")</f>
        <v/>
      </c>
      <c r="AW850" s="42" t="str">
        <f ca="1">IFERROR(__xludf.DUMMYFUNCTION("IFERROR(VLOOKUP(F867,IMPORTRANGE(""https://docs.google.com/spreadsheets/d/1Kvs4KS76FHFqLFIZfrDMff4kP08nblUkihrxltoGBjg/edit#gid=934712705"",""ESENCIAL!A6:BG""),15,FALSE))"),"")</f>
        <v/>
      </c>
      <c r="AX850" s="21" t="str">
        <f ca="1">IFERROR(__xludf.DUMMYFUNCTION("IFERROR(VLOOKUP(E867&amp;F867,IMPORTRANGE(""https://docs.google.com/spreadsheets/d/1Uw7-A9f9R21vMXxHZFNpYNeKFtG8_yji4HS352LGlSQ/edit?pli=1#gid=0"",""1_ACUM!A4:S""),12,FALSE))"),"")</f>
        <v/>
      </c>
      <c r="AY850" s="43" t="str">
        <f ca="1">IFERROR(__xludf.DUMMYFUNCTION("IFERROR(VLOOKUP(E867&amp;F867,IMPORTRANGE(""https://docs.google.com/spreadsheets/d/1Uw7-A9f9R21vMXxHZFNpYNeKFtG8_yji4HS352LGlSQ/edit?pli=1#gid=0"",""1_ACUM!A4:S""),13,FALSE))"),"")</f>
        <v/>
      </c>
      <c r="AZ850" s="43" t="str">
        <f ca="1">IFERROR(__xludf.DUMMYFUNCTION("IFERROR(VLOOKUP(E867&amp;F867,IMPORTRANGE(""https://docs.google.com/spreadsheets/d/1Uw7-A9f9R21vMXxHZFNpYNeKFtG8_yji4HS352LGlSQ/edit?pli=1#gid=0"",""1_ACUM!A4:S""),14,FALSE))"),"")</f>
        <v/>
      </c>
      <c r="BA850" s="43" t="str">
        <f ca="1">IFERROR(__xludf.DUMMYFUNCTION("IFERROR(VLOOKUP(E867&amp;F867,IMPORTRANGE(""https://docs.google.com/spreadsheets/d/1Uw7-A9f9R21vMXxHZFNpYNeKFtG8_yji4HS352LGlSQ/edit?pli=1#gid=0"",""1_ACUM!A4:S""),15,FALSE))"),"")</f>
        <v/>
      </c>
      <c r="BB850" s="43" t="str">
        <f ca="1">IFERROR(__xludf.DUMMYFUNCTION("IFERROR(VLOOKUP(E867&amp;F867,IMPORTRANGE(""https://docs.google.com/spreadsheets/d/1Uw7-A9f9R21vMXxHZFNpYNeKFtG8_yji4HS352LGlSQ/edit?pli=1#gid=0"",""1_ACUM!A4:S""),16,FALSE))"),"")</f>
        <v/>
      </c>
      <c r="BC850" s="43" t="str">
        <f ca="1">IFERROR(__xludf.DUMMYFUNCTION("IFERROR(VLOOKUP(E867&amp;F867,IMPORTRANGE(""https://docs.google.com/spreadsheets/d/1Uw7-A9f9R21vMXxHZFNpYNeKFtG8_yji4HS352LGlSQ/edit?pli=1#gid=0"",""1_ACUM!A4:S""),17,FALSE))"),"")</f>
        <v/>
      </c>
      <c r="BD850" s="44" t="str">
        <f ca="1">IFERROR(__xludf.DUMMYFUNCTION("IFERROR(VLOOKUP(E867&amp;F867,IMPORTRANGE(""https://docs.google.com/spreadsheets/d/1Uw7-A9f9R21vMXxHZFNpYNeKFtG8_yji4HS352LGlSQ/edit?pli=1#gid=0"",""1_ACUM!A4:S""),18,FALSE))"),"")</f>
        <v/>
      </c>
      <c r="BE850" s="44" t="str">
        <f ca="1">IFERROR(__xludf.DUMMYFUNCTION("IFERROR(VLOOKUP(E867&amp;F867,IMPORTRANGE(""https://docs.google.com/spreadsheets/d/1Uw7-A9f9R21vMXxHZFNpYNeKFtG8_yji4HS352LGlSQ/edit?pli=1#gid=0"",""1_ACUM!A4:S""),19,FALSE))"),"")</f>
        <v/>
      </c>
      <c r="BF850" s="44" t="str">
        <f ca="1">IFERROR(__xludf.DUMMYFUNCTION("IFERROR(VLOOKUP(F867,IMPORTRANGE(""https://docs.google.com/spreadsheets/d/1Kvs4KS76FHFqLFIZfrDMff4kP08nblUkihrxltoGBjg/edit#gid=934712705"",""ESENCIAL!A6:BG""),5,FALSE))"),"")</f>
        <v/>
      </c>
      <c r="BG850" s="44" t="str">
        <f t="shared" si="45"/>
        <v/>
      </c>
      <c r="BH850" s="41" t="str">
        <f t="shared" si="46"/>
        <v/>
      </c>
      <c r="BI850" s="41" t="str">
        <f ca="1">IFERROR(__xludf.DUMMYFUNCTION("IFERROR(VLOOKUP(F867,IMPORTRANGE(""https://docs.google.com/spreadsheets/d/1Kvs4KS76FHFqLFIZfrDMff4kP08nblUkihrxltoGBjg/edit#gid=934712705"",""ESENCIAL!A6:BG""),18,FALSE))"),"")</f>
        <v/>
      </c>
      <c r="BJ850" s="19" t="str">
        <f t="shared" si="47"/>
        <v/>
      </c>
      <c r="BK850" s="41"/>
      <c r="BL850" s="41"/>
    </row>
    <row r="851" spans="1:64" ht="15">
      <c r="A851" s="4"/>
      <c r="B851" s="4"/>
      <c r="G851" s="5" t="str">
        <f ca="1">IFERROR(__xludf.DUMMYFUNCTION("IFERROR(VLOOKUP(F868,IMPORTRANGE(""https://docs.google.com/spreadsheets/d/1Kvs4KS76FHFqLFIZfrDMff4kP08nblUkihrxltoGBjg/edit#gid=934712705"",""ESENCIAL!A6:BG""),3,FALSE))"),"")</f>
        <v/>
      </c>
      <c r="H851" s="5" t="str">
        <f ca="1">IFERROR(__xludf.DUMMYFUNCTION("IFERROR(VLOOKUP(F868,IMPORTRANGE(""https://docs.google.com/spreadsheets/d/1Kvs4KS76FHFqLFIZfrDMff4kP08nblUkihrxltoGBjg/edit#gid=934712705"",""ESENCIAL!A6:BG""),8,FALSE))"),"")</f>
        <v/>
      </c>
      <c r="L851" s="287"/>
      <c r="S851"/>
      <c r="AU851" s="41" t="str">
        <f t="shared" si="44"/>
        <v/>
      </c>
      <c r="AV851" s="5" t="str">
        <f ca="1">IFERROR(__xludf.DUMMYFUNCTION("IFERROR(VLOOKUP(E868&amp;F868,IMPORTRANGE(""https://docs.google.com/spreadsheets/d/1Uw7-A9f9R21vMXxHZFNpYNeKFtG8_yji4HS352LGlSQ/edit?pli=1#gid=0"",""1_ACUM!A4:S""),11,FALSE))"),"")</f>
        <v/>
      </c>
      <c r="AW851" s="42" t="str">
        <f ca="1">IFERROR(__xludf.DUMMYFUNCTION("IFERROR(VLOOKUP(F868,IMPORTRANGE(""https://docs.google.com/spreadsheets/d/1Kvs4KS76FHFqLFIZfrDMff4kP08nblUkihrxltoGBjg/edit#gid=934712705"",""ESENCIAL!A6:BG""),15,FALSE))"),"")</f>
        <v/>
      </c>
      <c r="AX851" s="21" t="str">
        <f ca="1">IFERROR(__xludf.DUMMYFUNCTION("IFERROR(VLOOKUP(E868&amp;F868,IMPORTRANGE(""https://docs.google.com/spreadsheets/d/1Uw7-A9f9R21vMXxHZFNpYNeKFtG8_yji4HS352LGlSQ/edit?pli=1#gid=0"",""1_ACUM!A4:S""),12,FALSE))"),"")</f>
        <v/>
      </c>
      <c r="AY851" s="43" t="str">
        <f ca="1">IFERROR(__xludf.DUMMYFUNCTION("IFERROR(VLOOKUP(E868&amp;F868,IMPORTRANGE(""https://docs.google.com/spreadsheets/d/1Uw7-A9f9R21vMXxHZFNpYNeKFtG8_yji4HS352LGlSQ/edit?pli=1#gid=0"",""1_ACUM!A4:S""),13,FALSE))"),"")</f>
        <v/>
      </c>
      <c r="AZ851" s="43" t="str">
        <f ca="1">IFERROR(__xludf.DUMMYFUNCTION("IFERROR(VLOOKUP(E868&amp;F868,IMPORTRANGE(""https://docs.google.com/spreadsheets/d/1Uw7-A9f9R21vMXxHZFNpYNeKFtG8_yji4HS352LGlSQ/edit?pli=1#gid=0"",""1_ACUM!A4:S""),14,FALSE))"),"")</f>
        <v/>
      </c>
      <c r="BA851" s="43" t="str">
        <f ca="1">IFERROR(__xludf.DUMMYFUNCTION("IFERROR(VLOOKUP(E868&amp;F868,IMPORTRANGE(""https://docs.google.com/spreadsheets/d/1Uw7-A9f9R21vMXxHZFNpYNeKFtG8_yji4HS352LGlSQ/edit?pli=1#gid=0"",""1_ACUM!A4:S""),15,FALSE))"),"")</f>
        <v/>
      </c>
      <c r="BB851" s="43" t="str">
        <f ca="1">IFERROR(__xludf.DUMMYFUNCTION("IFERROR(VLOOKUP(E868&amp;F868,IMPORTRANGE(""https://docs.google.com/spreadsheets/d/1Uw7-A9f9R21vMXxHZFNpYNeKFtG8_yji4HS352LGlSQ/edit?pli=1#gid=0"",""1_ACUM!A4:S""),16,FALSE))"),"")</f>
        <v/>
      </c>
      <c r="BC851" s="43" t="str">
        <f ca="1">IFERROR(__xludf.DUMMYFUNCTION("IFERROR(VLOOKUP(E868&amp;F868,IMPORTRANGE(""https://docs.google.com/spreadsheets/d/1Uw7-A9f9R21vMXxHZFNpYNeKFtG8_yji4HS352LGlSQ/edit?pli=1#gid=0"",""1_ACUM!A4:S""),17,FALSE))"),"")</f>
        <v/>
      </c>
      <c r="BD851" s="44" t="str">
        <f ca="1">IFERROR(__xludf.DUMMYFUNCTION("IFERROR(VLOOKUP(E868&amp;F868,IMPORTRANGE(""https://docs.google.com/spreadsheets/d/1Uw7-A9f9R21vMXxHZFNpYNeKFtG8_yji4HS352LGlSQ/edit?pli=1#gid=0"",""1_ACUM!A4:S""),18,FALSE))"),"")</f>
        <v/>
      </c>
      <c r="BE851" s="44" t="str">
        <f ca="1">IFERROR(__xludf.DUMMYFUNCTION("IFERROR(VLOOKUP(E868&amp;F868,IMPORTRANGE(""https://docs.google.com/spreadsheets/d/1Uw7-A9f9R21vMXxHZFNpYNeKFtG8_yji4HS352LGlSQ/edit?pli=1#gid=0"",""1_ACUM!A4:S""),19,FALSE))"),"")</f>
        <v/>
      </c>
      <c r="BF851" s="44" t="str">
        <f ca="1">IFERROR(__xludf.DUMMYFUNCTION("IFERROR(VLOOKUP(F868,IMPORTRANGE(""https://docs.google.com/spreadsheets/d/1Kvs4KS76FHFqLFIZfrDMff4kP08nblUkihrxltoGBjg/edit#gid=934712705"",""ESENCIAL!A6:BG""),5,FALSE))"),"")</f>
        <v/>
      </c>
      <c r="BG851" s="44" t="str">
        <f t="shared" si="45"/>
        <v/>
      </c>
      <c r="BH851" s="41" t="str">
        <f t="shared" si="46"/>
        <v/>
      </c>
      <c r="BI851" s="41" t="str">
        <f ca="1">IFERROR(__xludf.DUMMYFUNCTION("IFERROR(VLOOKUP(F868,IMPORTRANGE(""https://docs.google.com/spreadsheets/d/1Kvs4KS76FHFqLFIZfrDMff4kP08nblUkihrxltoGBjg/edit#gid=934712705"",""ESENCIAL!A6:BG""),18,FALSE))"),"")</f>
        <v/>
      </c>
      <c r="BJ851" s="19" t="str">
        <f t="shared" si="47"/>
        <v/>
      </c>
      <c r="BK851" s="41"/>
      <c r="BL851" s="41"/>
    </row>
    <row r="852" spans="1:64" ht="15">
      <c r="A852" s="4"/>
      <c r="B852" s="4"/>
      <c r="G852" s="5" t="str">
        <f ca="1">IFERROR(__xludf.DUMMYFUNCTION("IFERROR(VLOOKUP(F869,IMPORTRANGE(""https://docs.google.com/spreadsheets/d/1Kvs4KS76FHFqLFIZfrDMff4kP08nblUkihrxltoGBjg/edit#gid=934712705"",""ESENCIAL!A6:BG""),3,FALSE))"),"")</f>
        <v/>
      </c>
      <c r="H852" s="5" t="str">
        <f ca="1">IFERROR(__xludf.DUMMYFUNCTION("IFERROR(VLOOKUP(F869,IMPORTRANGE(""https://docs.google.com/spreadsheets/d/1Kvs4KS76FHFqLFIZfrDMff4kP08nblUkihrxltoGBjg/edit#gid=934712705"",""ESENCIAL!A6:BG""),8,FALSE))"),"")</f>
        <v/>
      </c>
      <c r="L852" s="287"/>
      <c r="S852"/>
      <c r="AU852" s="41" t="str">
        <f t="shared" si="44"/>
        <v/>
      </c>
      <c r="AV852" s="5" t="str">
        <f ca="1">IFERROR(__xludf.DUMMYFUNCTION("IFERROR(VLOOKUP(E869&amp;F869,IMPORTRANGE(""https://docs.google.com/spreadsheets/d/1Uw7-A9f9R21vMXxHZFNpYNeKFtG8_yji4HS352LGlSQ/edit?pli=1#gid=0"",""1_ACUM!A4:S""),11,FALSE))"),"")</f>
        <v/>
      </c>
      <c r="AW852" s="42" t="str">
        <f ca="1">IFERROR(__xludf.DUMMYFUNCTION("IFERROR(VLOOKUP(F869,IMPORTRANGE(""https://docs.google.com/spreadsheets/d/1Kvs4KS76FHFqLFIZfrDMff4kP08nblUkihrxltoGBjg/edit#gid=934712705"",""ESENCIAL!A6:BG""),15,FALSE))"),"")</f>
        <v/>
      </c>
      <c r="AX852" s="21" t="str">
        <f ca="1">IFERROR(__xludf.DUMMYFUNCTION("IFERROR(VLOOKUP(E869&amp;F869,IMPORTRANGE(""https://docs.google.com/spreadsheets/d/1Uw7-A9f9R21vMXxHZFNpYNeKFtG8_yji4HS352LGlSQ/edit?pli=1#gid=0"",""1_ACUM!A4:S""),12,FALSE))"),"")</f>
        <v/>
      </c>
      <c r="AY852" s="43" t="str">
        <f ca="1">IFERROR(__xludf.DUMMYFUNCTION("IFERROR(VLOOKUP(E869&amp;F869,IMPORTRANGE(""https://docs.google.com/spreadsheets/d/1Uw7-A9f9R21vMXxHZFNpYNeKFtG8_yji4HS352LGlSQ/edit?pli=1#gid=0"",""1_ACUM!A4:S""),13,FALSE))"),"")</f>
        <v/>
      </c>
      <c r="AZ852" s="43" t="str">
        <f ca="1">IFERROR(__xludf.DUMMYFUNCTION("IFERROR(VLOOKUP(E869&amp;F869,IMPORTRANGE(""https://docs.google.com/spreadsheets/d/1Uw7-A9f9R21vMXxHZFNpYNeKFtG8_yji4HS352LGlSQ/edit?pli=1#gid=0"",""1_ACUM!A4:S""),14,FALSE))"),"")</f>
        <v/>
      </c>
      <c r="BA852" s="43" t="str">
        <f ca="1">IFERROR(__xludf.DUMMYFUNCTION("IFERROR(VLOOKUP(E869&amp;F869,IMPORTRANGE(""https://docs.google.com/spreadsheets/d/1Uw7-A9f9R21vMXxHZFNpYNeKFtG8_yji4HS352LGlSQ/edit?pli=1#gid=0"",""1_ACUM!A4:S""),15,FALSE))"),"")</f>
        <v/>
      </c>
      <c r="BB852" s="43" t="str">
        <f ca="1">IFERROR(__xludf.DUMMYFUNCTION("IFERROR(VLOOKUP(E869&amp;F869,IMPORTRANGE(""https://docs.google.com/spreadsheets/d/1Uw7-A9f9R21vMXxHZFNpYNeKFtG8_yji4HS352LGlSQ/edit?pli=1#gid=0"",""1_ACUM!A4:S""),16,FALSE))"),"")</f>
        <v/>
      </c>
      <c r="BC852" s="43" t="str">
        <f ca="1">IFERROR(__xludf.DUMMYFUNCTION("IFERROR(VLOOKUP(E869&amp;F869,IMPORTRANGE(""https://docs.google.com/spreadsheets/d/1Uw7-A9f9R21vMXxHZFNpYNeKFtG8_yji4HS352LGlSQ/edit?pli=1#gid=0"",""1_ACUM!A4:S""),17,FALSE))"),"")</f>
        <v/>
      </c>
      <c r="BD852" s="44" t="str">
        <f ca="1">IFERROR(__xludf.DUMMYFUNCTION("IFERROR(VLOOKUP(E869&amp;F869,IMPORTRANGE(""https://docs.google.com/spreadsheets/d/1Uw7-A9f9R21vMXxHZFNpYNeKFtG8_yji4HS352LGlSQ/edit?pli=1#gid=0"",""1_ACUM!A4:S""),18,FALSE))"),"")</f>
        <v/>
      </c>
      <c r="BE852" s="44" t="str">
        <f ca="1">IFERROR(__xludf.DUMMYFUNCTION("IFERROR(VLOOKUP(E869&amp;F869,IMPORTRANGE(""https://docs.google.com/spreadsheets/d/1Uw7-A9f9R21vMXxHZFNpYNeKFtG8_yji4HS352LGlSQ/edit?pli=1#gid=0"",""1_ACUM!A4:S""),19,FALSE))"),"")</f>
        <v/>
      </c>
      <c r="BF852" s="44" t="str">
        <f ca="1">IFERROR(__xludf.DUMMYFUNCTION("IFERROR(VLOOKUP(F869,IMPORTRANGE(""https://docs.google.com/spreadsheets/d/1Kvs4KS76FHFqLFIZfrDMff4kP08nblUkihrxltoGBjg/edit#gid=934712705"",""ESENCIAL!A6:BG""),5,FALSE))"),"")</f>
        <v/>
      </c>
      <c r="BG852" s="44" t="str">
        <f t="shared" si="45"/>
        <v/>
      </c>
      <c r="BH852" s="41" t="str">
        <f t="shared" si="46"/>
        <v/>
      </c>
      <c r="BI852" s="41" t="str">
        <f ca="1">IFERROR(__xludf.DUMMYFUNCTION("IFERROR(VLOOKUP(F869,IMPORTRANGE(""https://docs.google.com/spreadsheets/d/1Kvs4KS76FHFqLFIZfrDMff4kP08nblUkihrxltoGBjg/edit#gid=934712705"",""ESENCIAL!A6:BG""),18,FALSE))"),"")</f>
        <v/>
      </c>
      <c r="BJ852" s="19" t="str">
        <f t="shared" si="47"/>
        <v/>
      </c>
      <c r="BK852" s="41"/>
      <c r="BL852" s="41"/>
    </row>
    <row r="853" spans="1:64" ht="15">
      <c r="A853" s="4"/>
      <c r="B853" s="4"/>
      <c r="G853" s="5" t="str">
        <f ca="1">IFERROR(__xludf.DUMMYFUNCTION("IFERROR(VLOOKUP(F870,IMPORTRANGE(""https://docs.google.com/spreadsheets/d/1Kvs4KS76FHFqLFIZfrDMff4kP08nblUkihrxltoGBjg/edit#gid=934712705"",""ESENCIAL!A6:BG""),3,FALSE))"),"")</f>
        <v/>
      </c>
      <c r="H853" s="5" t="str">
        <f ca="1">IFERROR(__xludf.DUMMYFUNCTION("IFERROR(VLOOKUP(F870,IMPORTRANGE(""https://docs.google.com/spreadsheets/d/1Kvs4KS76FHFqLFIZfrDMff4kP08nblUkihrxltoGBjg/edit#gid=934712705"",""ESENCIAL!A6:BG""),8,FALSE))"),"")</f>
        <v/>
      </c>
      <c r="L853" s="287"/>
      <c r="S853"/>
      <c r="AU853" s="41" t="str">
        <f t="shared" si="44"/>
        <v/>
      </c>
      <c r="AV853" s="5" t="str">
        <f ca="1">IFERROR(__xludf.DUMMYFUNCTION("IFERROR(VLOOKUP(E870&amp;F870,IMPORTRANGE(""https://docs.google.com/spreadsheets/d/1Uw7-A9f9R21vMXxHZFNpYNeKFtG8_yji4HS352LGlSQ/edit?pli=1#gid=0"",""1_ACUM!A4:S""),11,FALSE))"),"")</f>
        <v/>
      </c>
      <c r="AW853" s="42" t="str">
        <f ca="1">IFERROR(__xludf.DUMMYFUNCTION("IFERROR(VLOOKUP(F870,IMPORTRANGE(""https://docs.google.com/spreadsheets/d/1Kvs4KS76FHFqLFIZfrDMff4kP08nblUkihrxltoGBjg/edit#gid=934712705"",""ESENCIAL!A6:BG""),15,FALSE))"),"")</f>
        <v/>
      </c>
      <c r="AX853" s="21" t="str">
        <f ca="1">IFERROR(__xludf.DUMMYFUNCTION("IFERROR(VLOOKUP(E870&amp;F870,IMPORTRANGE(""https://docs.google.com/spreadsheets/d/1Uw7-A9f9R21vMXxHZFNpYNeKFtG8_yji4HS352LGlSQ/edit?pli=1#gid=0"",""1_ACUM!A4:S""),12,FALSE))"),"")</f>
        <v/>
      </c>
      <c r="AY853" s="43" t="str">
        <f ca="1">IFERROR(__xludf.DUMMYFUNCTION("IFERROR(VLOOKUP(E870&amp;F870,IMPORTRANGE(""https://docs.google.com/spreadsheets/d/1Uw7-A9f9R21vMXxHZFNpYNeKFtG8_yji4HS352LGlSQ/edit?pli=1#gid=0"",""1_ACUM!A4:S""),13,FALSE))"),"")</f>
        <v/>
      </c>
      <c r="AZ853" s="43" t="str">
        <f ca="1">IFERROR(__xludf.DUMMYFUNCTION("IFERROR(VLOOKUP(E870&amp;F870,IMPORTRANGE(""https://docs.google.com/spreadsheets/d/1Uw7-A9f9R21vMXxHZFNpYNeKFtG8_yji4HS352LGlSQ/edit?pli=1#gid=0"",""1_ACUM!A4:S""),14,FALSE))"),"")</f>
        <v/>
      </c>
      <c r="BA853" s="43" t="str">
        <f ca="1">IFERROR(__xludf.DUMMYFUNCTION("IFERROR(VLOOKUP(E870&amp;F870,IMPORTRANGE(""https://docs.google.com/spreadsheets/d/1Uw7-A9f9R21vMXxHZFNpYNeKFtG8_yji4HS352LGlSQ/edit?pli=1#gid=0"",""1_ACUM!A4:S""),15,FALSE))"),"")</f>
        <v/>
      </c>
      <c r="BB853" s="43" t="str">
        <f ca="1">IFERROR(__xludf.DUMMYFUNCTION("IFERROR(VLOOKUP(E870&amp;F870,IMPORTRANGE(""https://docs.google.com/spreadsheets/d/1Uw7-A9f9R21vMXxHZFNpYNeKFtG8_yji4HS352LGlSQ/edit?pli=1#gid=0"",""1_ACUM!A4:S""),16,FALSE))"),"")</f>
        <v/>
      </c>
      <c r="BC853" s="43" t="str">
        <f ca="1">IFERROR(__xludf.DUMMYFUNCTION("IFERROR(VLOOKUP(E870&amp;F870,IMPORTRANGE(""https://docs.google.com/spreadsheets/d/1Uw7-A9f9R21vMXxHZFNpYNeKFtG8_yji4HS352LGlSQ/edit?pli=1#gid=0"",""1_ACUM!A4:S""),17,FALSE))"),"")</f>
        <v/>
      </c>
      <c r="BD853" s="44" t="str">
        <f ca="1">IFERROR(__xludf.DUMMYFUNCTION("IFERROR(VLOOKUP(E870&amp;F870,IMPORTRANGE(""https://docs.google.com/spreadsheets/d/1Uw7-A9f9R21vMXxHZFNpYNeKFtG8_yji4HS352LGlSQ/edit?pli=1#gid=0"",""1_ACUM!A4:S""),18,FALSE))"),"")</f>
        <v/>
      </c>
      <c r="BE853" s="44" t="str">
        <f ca="1">IFERROR(__xludf.DUMMYFUNCTION("IFERROR(VLOOKUP(E870&amp;F870,IMPORTRANGE(""https://docs.google.com/spreadsheets/d/1Uw7-A9f9R21vMXxHZFNpYNeKFtG8_yji4HS352LGlSQ/edit?pli=1#gid=0"",""1_ACUM!A4:S""),19,FALSE))"),"")</f>
        <v/>
      </c>
      <c r="BF853" s="44" t="str">
        <f ca="1">IFERROR(__xludf.DUMMYFUNCTION("IFERROR(VLOOKUP(F870,IMPORTRANGE(""https://docs.google.com/spreadsheets/d/1Kvs4KS76FHFqLFIZfrDMff4kP08nblUkihrxltoGBjg/edit#gid=934712705"",""ESENCIAL!A6:BG""),5,FALSE))"),"")</f>
        <v/>
      </c>
      <c r="BG853" s="44" t="str">
        <f t="shared" si="45"/>
        <v/>
      </c>
      <c r="BH853" s="41" t="str">
        <f t="shared" si="46"/>
        <v/>
      </c>
      <c r="BI853" s="41" t="str">
        <f ca="1">IFERROR(__xludf.DUMMYFUNCTION("IFERROR(VLOOKUP(F870,IMPORTRANGE(""https://docs.google.com/spreadsheets/d/1Kvs4KS76FHFqLFIZfrDMff4kP08nblUkihrxltoGBjg/edit#gid=934712705"",""ESENCIAL!A6:BG""),18,FALSE))"),"")</f>
        <v/>
      </c>
      <c r="BJ853" s="19" t="str">
        <f t="shared" si="47"/>
        <v/>
      </c>
      <c r="BK853" s="41"/>
      <c r="BL853" s="41"/>
    </row>
    <row r="854" spans="1:64" ht="15">
      <c r="A854" s="4"/>
      <c r="B854" s="4"/>
      <c r="G854" s="5" t="str">
        <f ca="1">IFERROR(__xludf.DUMMYFUNCTION("IFERROR(VLOOKUP(F871,IMPORTRANGE(""https://docs.google.com/spreadsheets/d/1Kvs4KS76FHFqLFIZfrDMff4kP08nblUkihrxltoGBjg/edit#gid=934712705"",""ESENCIAL!A6:BG""),3,FALSE))"),"")</f>
        <v/>
      </c>
      <c r="H854" s="5" t="str">
        <f ca="1">IFERROR(__xludf.DUMMYFUNCTION("IFERROR(VLOOKUP(F871,IMPORTRANGE(""https://docs.google.com/spreadsheets/d/1Kvs4KS76FHFqLFIZfrDMff4kP08nblUkihrxltoGBjg/edit#gid=934712705"",""ESENCIAL!A6:BG""),8,FALSE))"),"")</f>
        <v/>
      </c>
      <c r="L854" s="287"/>
      <c r="S854"/>
      <c r="AU854" s="41" t="str">
        <f t="shared" si="44"/>
        <v/>
      </c>
      <c r="AV854" s="5" t="str">
        <f ca="1">IFERROR(__xludf.DUMMYFUNCTION("IFERROR(VLOOKUP(E871&amp;F871,IMPORTRANGE(""https://docs.google.com/spreadsheets/d/1Uw7-A9f9R21vMXxHZFNpYNeKFtG8_yji4HS352LGlSQ/edit?pli=1#gid=0"",""1_ACUM!A4:S""),11,FALSE))"),"")</f>
        <v/>
      </c>
      <c r="AW854" s="42" t="str">
        <f ca="1">IFERROR(__xludf.DUMMYFUNCTION("IFERROR(VLOOKUP(F871,IMPORTRANGE(""https://docs.google.com/spreadsheets/d/1Kvs4KS76FHFqLFIZfrDMff4kP08nblUkihrxltoGBjg/edit#gid=934712705"",""ESENCIAL!A6:BG""),15,FALSE))"),"")</f>
        <v/>
      </c>
      <c r="AX854" s="21" t="str">
        <f ca="1">IFERROR(__xludf.DUMMYFUNCTION("IFERROR(VLOOKUP(E871&amp;F871,IMPORTRANGE(""https://docs.google.com/spreadsheets/d/1Uw7-A9f9R21vMXxHZFNpYNeKFtG8_yji4HS352LGlSQ/edit?pli=1#gid=0"",""1_ACUM!A4:S""),12,FALSE))"),"")</f>
        <v/>
      </c>
      <c r="AY854" s="43" t="str">
        <f ca="1">IFERROR(__xludf.DUMMYFUNCTION("IFERROR(VLOOKUP(E871&amp;F871,IMPORTRANGE(""https://docs.google.com/spreadsheets/d/1Uw7-A9f9R21vMXxHZFNpYNeKFtG8_yji4HS352LGlSQ/edit?pli=1#gid=0"",""1_ACUM!A4:S""),13,FALSE))"),"")</f>
        <v/>
      </c>
      <c r="AZ854" s="43" t="str">
        <f ca="1">IFERROR(__xludf.DUMMYFUNCTION("IFERROR(VLOOKUP(E871&amp;F871,IMPORTRANGE(""https://docs.google.com/spreadsheets/d/1Uw7-A9f9R21vMXxHZFNpYNeKFtG8_yji4HS352LGlSQ/edit?pli=1#gid=0"",""1_ACUM!A4:S""),14,FALSE))"),"")</f>
        <v/>
      </c>
      <c r="BA854" s="43" t="str">
        <f ca="1">IFERROR(__xludf.DUMMYFUNCTION("IFERROR(VLOOKUP(E871&amp;F871,IMPORTRANGE(""https://docs.google.com/spreadsheets/d/1Uw7-A9f9R21vMXxHZFNpYNeKFtG8_yji4HS352LGlSQ/edit?pli=1#gid=0"",""1_ACUM!A4:S""),15,FALSE))"),"")</f>
        <v/>
      </c>
      <c r="BB854" s="43" t="str">
        <f ca="1">IFERROR(__xludf.DUMMYFUNCTION("IFERROR(VLOOKUP(E871&amp;F871,IMPORTRANGE(""https://docs.google.com/spreadsheets/d/1Uw7-A9f9R21vMXxHZFNpYNeKFtG8_yji4HS352LGlSQ/edit?pli=1#gid=0"",""1_ACUM!A4:S""),16,FALSE))"),"")</f>
        <v/>
      </c>
      <c r="BC854" s="43" t="str">
        <f ca="1">IFERROR(__xludf.DUMMYFUNCTION("IFERROR(VLOOKUP(E871&amp;F871,IMPORTRANGE(""https://docs.google.com/spreadsheets/d/1Uw7-A9f9R21vMXxHZFNpYNeKFtG8_yji4HS352LGlSQ/edit?pli=1#gid=0"",""1_ACUM!A4:S""),17,FALSE))"),"")</f>
        <v/>
      </c>
      <c r="BD854" s="44" t="str">
        <f ca="1">IFERROR(__xludf.DUMMYFUNCTION("IFERROR(VLOOKUP(E871&amp;F871,IMPORTRANGE(""https://docs.google.com/spreadsheets/d/1Uw7-A9f9R21vMXxHZFNpYNeKFtG8_yji4HS352LGlSQ/edit?pli=1#gid=0"",""1_ACUM!A4:S""),18,FALSE))"),"")</f>
        <v/>
      </c>
      <c r="BE854" s="44" t="str">
        <f ca="1">IFERROR(__xludf.DUMMYFUNCTION("IFERROR(VLOOKUP(E871&amp;F871,IMPORTRANGE(""https://docs.google.com/spreadsheets/d/1Uw7-A9f9R21vMXxHZFNpYNeKFtG8_yji4HS352LGlSQ/edit?pli=1#gid=0"",""1_ACUM!A4:S""),19,FALSE))"),"")</f>
        <v/>
      </c>
      <c r="BF854" s="44" t="str">
        <f ca="1">IFERROR(__xludf.DUMMYFUNCTION("IFERROR(VLOOKUP(F871,IMPORTRANGE(""https://docs.google.com/spreadsheets/d/1Kvs4KS76FHFqLFIZfrDMff4kP08nblUkihrxltoGBjg/edit#gid=934712705"",""ESENCIAL!A6:BG""),5,FALSE))"),"")</f>
        <v/>
      </c>
      <c r="BG854" s="44" t="str">
        <f t="shared" si="45"/>
        <v/>
      </c>
      <c r="BH854" s="41" t="str">
        <f t="shared" si="46"/>
        <v/>
      </c>
      <c r="BI854" s="41" t="str">
        <f ca="1">IFERROR(__xludf.DUMMYFUNCTION("IFERROR(VLOOKUP(F871,IMPORTRANGE(""https://docs.google.com/spreadsheets/d/1Kvs4KS76FHFqLFIZfrDMff4kP08nblUkihrxltoGBjg/edit#gid=934712705"",""ESENCIAL!A6:BG""),18,FALSE))"),"")</f>
        <v/>
      </c>
      <c r="BJ854" s="19" t="str">
        <f t="shared" si="47"/>
        <v/>
      </c>
      <c r="BK854" s="41"/>
      <c r="BL854" s="41"/>
    </row>
    <row r="855" spans="1:64" ht="15">
      <c r="A855" s="4"/>
      <c r="B855" s="4"/>
      <c r="G855" s="5" t="str">
        <f ca="1">IFERROR(__xludf.DUMMYFUNCTION("IFERROR(VLOOKUP(F872,IMPORTRANGE(""https://docs.google.com/spreadsheets/d/1Kvs4KS76FHFqLFIZfrDMff4kP08nblUkihrxltoGBjg/edit#gid=934712705"",""ESENCIAL!A6:BG""),3,FALSE))"),"")</f>
        <v/>
      </c>
      <c r="H855" s="5" t="str">
        <f ca="1">IFERROR(__xludf.DUMMYFUNCTION("IFERROR(VLOOKUP(F872,IMPORTRANGE(""https://docs.google.com/spreadsheets/d/1Kvs4KS76FHFqLFIZfrDMff4kP08nblUkihrxltoGBjg/edit#gid=934712705"",""ESENCIAL!A6:BG""),8,FALSE))"),"")</f>
        <v/>
      </c>
      <c r="L855" s="287"/>
      <c r="S855"/>
      <c r="AU855" s="41" t="str">
        <f t="shared" si="44"/>
        <v/>
      </c>
      <c r="AV855" s="5" t="str">
        <f ca="1">IFERROR(__xludf.DUMMYFUNCTION("IFERROR(VLOOKUP(E872&amp;F872,IMPORTRANGE(""https://docs.google.com/spreadsheets/d/1Uw7-A9f9R21vMXxHZFNpYNeKFtG8_yji4HS352LGlSQ/edit?pli=1#gid=0"",""1_ACUM!A4:S""),11,FALSE))"),"")</f>
        <v/>
      </c>
      <c r="AW855" s="42" t="str">
        <f ca="1">IFERROR(__xludf.DUMMYFUNCTION("IFERROR(VLOOKUP(F872,IMPORTRANGE(""https://docs.google.com/spreadsheets/d/1Kvs4KS76FHFqLFIZfrDMff4kP08nblUkihrxltoGBjg/edit#gid=934712705"",""ESENCIAL!A6:BG""),15,FALSE))"),"")</f>
        <v/>
      </c>
      <c r="AX855" s="21" t="str">
        <f ca="1">IFERROR(__xludf.DUMMYFUNCTION("IFERROR(VLOOKUP(E872&amp;F872,IMPORTRANGE(""https://docs.google.com/spreadsheets/d/1Uw7-A9f9R21vMXxHZFNpYNeKFtG8_yji4HS352LGlSQ/edit?pli=1#gid=0"",""1_ACUM!A4:S""),12,FALSE))"),"")</f>
        <v/>
      </c>
      <c r="AY855" s="43" t="str">
        <f ca="1">IFERROR(__xludf.DUMMYFUNCTION("IFERROR(VLOOKUP(E872&amp;F872,IMPORTRANGE(""https://docs.google.com/spreadsheets/d/1Uw7-A9f9R21vMXxHZFNpYNeKFtG8_yji4HS352LGlSQ/edit?pli=1#gid=0"",""1_ACUM!A4:S""),13,FALSE))"),"")</f>
        <v/>
      </c>
      <c r="AZ855" s="43" t="str">
        <f ca="1">IFERROR(__xludf.DUMMYFUNCTION("IFERROR(VLOOKUP(E872&amp;F872,IMPORTRANGE(""https://docs.google.com/spreadsheets/d/1Uw7-A9f9R21vMXxHZFNpYNeKFtG8_yji4HS352LGlSQ/edit?pli=1#gid=0"",""1_ACUM!A4:S""),14,FALSE))"),"")</f>
        <v/>
      </c>
      <c r="BA855" s="43" t="str">
        <f ca="1">IFERROR(__xludf.DUMMYFUNCTION("IFERROR(VLOOKUP(E872&amp;F872,IMPORTRANGE(""https://docs.google.com/spreadsheets/d/1Uw7-A9f9R21vMXxHZFNpYNeKFtG8_yji4HS352LGlSQ/edit?pli=1#gid=0"",""1_ACUM!A4:S""),15,FALSE))"),"")</f>
        <v/>
      </c>
      <c r="BB855" s="43" t="str">
        <f ca="1">IFERROR(__xludf.DUMMYFUNCTION("IFERROR(VLOOKUP(E872&amp;F872,IMPORTRANGE(""https://docs.google.com/spreadsheets/d/1Uw7-A9f9R21vMXxHZFNpYNeKFtG8_yji4HS352LGlSQ/edit?pli=1#gid=0"",""1_ACUM!A4:S""),16,FALSE))"),"")</f>
        <v/>
      </c>
      <c r="BC855" s="43" t="str">
        <f ca="1">IFERROR(__xludf.DUMMYFUNCTION("IFERROR(VLOOKUP(E872&amp;F872,IMPORTRANGE(""https://docs.google.com/spreadsheets/d/1Uw7-A9f9R21vMXxHZFNpYNeKFtG8_yji4HS352LGlSQ/edit?pli=1#gid=0"",""1_ACUM!A4:S""),17,FALSE))"),"")</f>
        <v/>
      </c>
      <c r="BD855" s="44" t="str">
        <f ca="1">IFERROR(__xludf.DUMMYFUNCTION("IFERROR(VLOOKUP(E872&amp;F872,IMPORTRANGE(""https://docs.google.com/spreadsheets/d/1Uw7-A9f9R21vMXxHZFNpYNeKFtG8_yji4HS352LGlSQ/edit?pli=1#gid=0"",""1_ACUM!A4:S""),18,FALSE))"),"")</f>
        <v/>
      </c>
      <c r="BE855" s="44" t="str">
        <f ca="1">IFERROR(__xludf.DUMMYFUNCTION("IFERROR(VLOOKUP(E872&amp;F872,IMPORTRANGE(""https://docs.google.com/spreadsheets/d/1Uw7-A9f9R21vMXxHZFNpYNeKFtG8_yji4HS352LGlSQ/edit?pli=1#gid=0"",""1_ACUM!A4:S""),19,FALSE))"),"")</f>
        <v/>
      </c>
      <c r="BF855" s="44" t="str">
        <f ca="1">IFERROR(__xludf.DUMMYFUNCTION("IFERROR(VLOOKUP(F872,IMPORTRANGE(""https://docs.google.com/spreadsheets/d/1Kvs4KS76FHFqLFIZfrDMff4kP08nblUkihrxltoGBjg/edit#gid=934712705"",""ESENCIAL!A6:BG""),5,FALSE))"),"")</f>
        <v/>
      </c>
      <c r="BG855" s="44" t="str">
        <f t="shared" si="45"/>
        <v/>
      </c>
      <c r="BH855" s="41" t="str">
        <f t="shared" si="46"/>
        <v/>
      </c>
      <c r="BI855" s="41" t="str">
        <f ca="1">IFERROR(__xludf.DUMMYFUNCTION("IFERROR(VLOOKUP(F872,IMPORTRANGE(""https://docs.google.com/spreadsheets/d/1Kvs4KS76FHFqLFIZfrDMff4kP08nblUkihrxltoGBjg/edit#gid=934712705"",""ESENCIAL!A6:BG""),18,FALSE))"),"")</f>
        <v/>
      </c>
      <c r="BJ855" s="19" t="str">
        <f t="shared" si="47"/>
        <v/>
      </c>
      <c r="BK855" s="41"/>
      <c r="BL855" s="41"/>
    </row>
    <row r="856" spans="1:64" ht="15">
      <c r="A856" s="4"/>
      <c r="B856" s="4"/>
      <c r="G856" s="5" t="str">
        <f ca="1">IFERROR(__xludf.DUMMYFUNCTION("IFERROR(VLOOKUP(F873,IMPORTRANGE(""https://docs.google.com/spreadsheets/d/1Kvs4KS76FHFqLFIZfrDMff4kP08nblUkihrxltoGBjg/edit#gid=934712705"",""ESENCIAL!A6:BG""),3,FALSE))"),"")</f>
        <v/>
      </c>
      <c r="H856" s="5" t="str">
        <f ca="1">IFERROR(__xludf.DUMMYFUNCTION("IFERROR(VLOOKUP(F873,IMPORTRANGE(""https://docs.google.com/spreadsheets/d/1Kvs4KS76FHFqLFIZfrDMff4kP08nblUkihrxltoGBjg/edit#gid=934712705"",""ESENCIAL!A6:BG""),8,FALSE))"),"")</f>
        <v/>
      </c>
      <c r="L856" s="287"/>
      <c r="S856"/>
      <c r="AU856" s="41" t="str">
        <f t="shared" si="44"/>
        <v/>
      </c>
      <c r="AV856" s="5" t="str">
        <f ca="1">IFERROR(__xludf.DUMMYFUNCTION("IFERROR(VLOOKUP(E873&amp;F873,IMPORTRANGE(""https://docs.google.com/spreadsheets/d/1Uw7-A9f9R21vMXxHZFNpYNeKFtG8_yji4HS352LGlSQ/edit?pli=1#gid=0"",""1_ACUM!A4:S""),11,FALSE))"),"")</f>
        <v/>
      </c>
      <c r="AW856" s="42" t="str">
        <f ca="1">IFERROR(__xludf.DUMMYFUNCTION("IFERROR(VLOOKUP(F873,IMPORTRANGE(""https://docs.google.com/spreadsheets/d/1Kvs4KS76FHFqLFIZfrDMff4kP08nblUkihrxltoGBjg/edit#gid=934712705"",""ESENCIAL!A6:BG""),15,FALSE))"),"")</f>
        <v/>
      </c>
      <c r="AX856" s="21" t="str">
        <f ca="1">IFERROR(__xludf.DUMMYFUNCTION("IFERROR(VLOOKUP(E873&amp;F873,IMPORTRANGE(""https://docs.google.com/spreadsheets/d/1Uw7-A9f9R21vMXxHZFNpYNeKFtG8_yji4HS352LGlSQ/edit?pli=1#gid=0"",""1_ACUM!A4:S""),12,FALSE))"),"")</f>
        <v/>
      </c>
      <c r="AY856" s="43" t="str">
        <f ca="1">IFERROR(__xludf.DUMMYFUNCTION("IFERROR(VLOOKUP(E873&amp;F873,IMPORTRANGE(""https://docs.google.com/spreadsheets/d/1Uw7-A9f9R21vMXxHZFNpYNeKFtG8_yji4HS352LGlSQ/edit?pli=1#gid=0"",""1_ACUM!A4:S""),13,FALSE))"),"")</f>
        <v/>
      </c>
      <c r="AZ856" s="43" t="str">
        <f ca="1">IFERROR(__xludf.DUMMYFUNCTION("IFERROR(VLOOKUP(E873&amp;F873,IMPORTRANGE(""https://docs.google.com/spreadsheets/d/1Uw7-A9f9R21vMXxHZFNpYNeKFtG8_yji4HS352LGlSQ/edit?pli=1#gid=0"",""1_ACUM!A4:S""),14,FALSE))"),"")</f>
        <v/>
      </c>
      <c r="BA856" s="43" t="str">
        <f ca="1">IFERROR(__xludf.DUMMYFUNCTION("IFERROR(VLOOKUP(E873&amp;F873,IMPORTRANGE(""https://docs.google.com/spreadsheets/d/1Uw7-A9f9R21vMXxHZFNpYNeKFtG8_yji4HS352LGlSQ/edit?pli=1#gid=0"",""1_ACUM!A4:S""),15,FALSE))"),"")</f>
        <v/>
      </c>
      <c r="BB856" s="43" t="str">
        <f ca="1">IFERROR(__xludf.DUMMYFUNCTION("IFERROR(VLOOKUP(E873&amp;F873,IMPORTRANGE(""https://docs.google.com/spreadsheets/d/1Uw7-A9f9R21vMXxHZFNpYNeKFtG8_yji4HS352LGlSQ/edit?pli=1#gid=0"",""1_ACUM!A4:S""),16,FALSE))"),"")</f>
        <v/>
      </c>
      <c r="BC856" s="43" t="str">
        <f ca="1">IFERROR(__xludf.DUMMYFUNCTION("IFERROR(VLOOKUP(E873&amp;F873,IMPORTRANGE(""https://docs.google.com/spreadsheets/d/1Uw7-A9f9R21vMXxHZFNpYNeKFtG8_yji4HS352LGlSQ/edit?pli=1#gid=0"",""1_ACUM!A4:S""),17,FALSE))"),"")</f>
        <v/>
      </c>
      <c r="BD856" s="44" t="str">
        <f ca="1">IFERROR(__xludf.DUMMYFUNCTION("IFERROR(VLOOKUP(E873&amp;F873,IMPORTRANGE(""https://docs.google.com/spreadsheets/d/1Uw7-A9f9R21vMXxHZFNpYNeKFtG8_yji4HS352LGlSQ/edit?pli=1#gid=0"",""1_ACUM!A4:S""),18,FALSE))"),"")</f>
        <v/>
      </c>
      <c r="BE856" s="44" t="str">
        <f ca="1">IFERROR(__xludf.DUMMYFUNCTION("IFERROR(VLOOKUP(E873&amp;F873,IMPORTRANGE(""https://docs.google.com/spreadsheets/d/1Uw7-A9f9R21vMXxHZFNpYNeKFtG8_yji4HS352LGlSQ/edit?pli=1#gid=0"",""1_ACUM!A4:S""),19,FALSE))"),"")</f>
        <v/>
      </c>
      <c r="BF856" s="44" t="str">
        <f ca="1">IFERROR(__xludf.DUMMYFUNCTION("IFERROR(VLOOKUP(F873,IMPORTRANGE(""https://docs.google.com/spreadsheets/d/1Kvs4KS76FHFqLFIZfrDMff4kP08nblUkihrxltoGBjg/edit#gid=934712705"",""ESENCIAL!A6:BG""),5,FALSE))"),"")</f>
        <v/>
      </c>
      <c r="BG856" s="44" t="str">
        <f t="shared" si="45"/>
        <v/>
      </c>
      <c r="BH856" s="41" t="str">
        <f t="shared" si="46"/>
        <v/>
      </c>
      <c r="BI856" s="41" t="str">
        <f ca="1">IFERROR(__xludf.DUMMYFUNCTION("IFERROR(VLOOKUP(F873,IMPORTRANGE(""https://docs.google.com/spreadsheets/d/1Kvs4KS76FHFqLFIZfrDMff4kP08nblUkihrxltoGBjg/edit#gid=934712705"",""ESENCIAL!A6:BG""),18,FALSE))"),"")</f>
        <v/>
      </c>
      <c r="BJ856" s="19" t="str">
        <f t="shared" si="47"/>
        <v/>
      </c>
      <c r="BK856" s="41"/>
      <c r="BL856" s="41"/>
    </row>
    <row r="857" spans="1:64" ht="15">
      <c r="A857" s="4"/>
      <c r="B857" s="4"/>
      <c r="G857" s="5" t="str">
        <f ca="1">IFERROR(__xludf.DUMMYFUNCTION("IFERROR(VLOOKUP(F874,IMPORTRANGE(""https://docs.google.com/spreadsheets/d/1Kvs4KS76FHFqLFIZfrDMff4kP08nblUkihrxltoGBjg/edit#gid=934712705"",""ESENCIAL!A6:BG""),3,FALSE))"),"")</f>
        <v/>
      </c>
      <c r="H857" s="5" t="str">
        <f ca="1">IFERROR(__xludf.DUMMYFUNCTION("IFERROR(VLOOKUP(F874,IMPORTRANGE(""https://docs.google.com/spreadsheets/d/1Kvs4KS76FHFqLFIZfrDMff4kP08nblUkihrxltoGBjg/edit#gid=934712705"",""ESENCIAL!A6:BG""),8,FALSE))"),"")</f>
        <v/>
      </c>
      <c r="L857" s="287"/>
      <c r="S857"/>
      <c r="AU857" s="41" t="str">
        <f t="shared" si="44"/>
        <v/>
      </c>
      <c r="AV857" s="5" t="str">
        <f ca="1">IFERROR(__xludf.DUMMYFUNCTION("IFERROR(VLOOKUP(E874&amp;F874,IMPORTRANGE(""https://docs.google.com/spreadsheets/d/1Uw7-A9f9R21vMXxHZFNpYNeKFtG8_yji4HS352LGlSQ/edit?pli=1#gid=0"",""1_ACUM!A4:S""),11,FALSE))"),"")</f>
        <v/>
      </c>
      <c r="AW857" s="42" t="str">
        <f ca="1">IFERROR(__xludf.DUMMYFUNCTION("IFERROR(VLOOKUP(F874,IMPORTRANGE(""https://docs.google.com/spreadsheets/d/1Kvs4KS76FHFqLFIZfrDMff4kP08nblUkihrxltoGBjg/edit#gid=934712705"",""ESENCIAL!A6:BG""),15,FALSE))"),"")</f>
        <v/>
      </c>
      <c r="AX857" s="21" t="str">
        <f ca="1">IFERROR(__xludf.DUMMYFUNCTION("IFERROR(VLOOKUP(E874&amp;F874,IMPORTRANGE(""https://docs.google.com/spreadsheets/d/1Uw7-A9f9R21vMXxHZFNpYNeKFtG8_yji4HS352LGlSQ/edit?pli=1#gid=0"",""1_ACUM!A4:S""),12,FALSE))"),"")</f>
        <v/>
      </c>
      <c r="AY857" s="43" t="str">
        <f ca="1">IFERROR(__xludf.DUMMYFUNCTION("IFERROR(VLOOKUP(E874&amp;F874,IMPORTRANGE(""https://docs.google.com/spreadsheets/d/1Uw7-A9f9R21vMXxHZFNpYNeKFtG8_yji4HS352LGlSQ/edit?pli=1#gid=0"",""1_ACUM!A4:S""),13,FALSE))"),"")</f>
        <v/>
      </c>
      <c r="AZ857" s="43" t="str">
        <f ca="1">IFERROR(__xludf.DUMMYFUNCTION("IFERROR(VLOOKUP(E874&amp;F874,IMPORTRANGE(""https://docs.google.com/spreadsheets/d/1Uw7-A9f9R21vMXxHZFNpYNeKFtG8_yji4HS352LGlSQ/edit?pli=1#gid=0"",""1_ACUM!A4:S""),14,FALSE))"),"")</f>
        <v/>
      </c>
      <c r="BA857" s="43" t="str">
        <f ca="1">IFERROR(__xludf.DUMMYFUNCTION("IFERROR(VLOOKUP(E874&amp;F874,IMPORTRANGE(""https://docs.google.com/spreadsheets/d/1Uw7-A9f9R21vMXxHZFNpYNeKFtG8_yji4HS352LGlSQ/edit?pli=1#gid=0"",""1_ACUM!A4:S""),15,FALSE))"),"")</f>
        <v/>
      </c>
      <c r="BB857" s="43" t="str">
        <f ca="1">IFERROR(__xludf.DUMMYFUNCTION("IFERROR(VLOOKUP(E874&amp;F874,IMPORTRANGE(""https://docs.google.com/spreadsheets/d/1Uw7-A9f9R21vMXxHZFNpYNeKFtG8_yji4HS352LGlSQ/edit?pli=1#gid=0"",""1_ACUM!A4:S""),16,FALSE))"),"")</f>
        <v/>
      </c>
      <c r="BC857" s="43" t="str">
        <f ca="1">IFERROR(__xludf.DUMMYFUNCTION("IFERROR(VLOOKUP(E874&amp;F874,IMPORTRANGE(""https://docs.google.com/spreadsheets/d/1Uw7-A9f9R21vMXxHZFNpYNeKFtG8_yji4HS352LGlSQ/edit?pli=1#gid=0"",""1_ACUM!A4:S""),17,FALSE))"),"")</f>
        <v/>
      </c>
      <c r="BD857" s="44" t="str">
        <f ca="1">IFERROR(__xludf.DUMMYFUNCTION("IFERROR(VLOOKUP(E874&amp;F874,IMPORTRANGE(""https://docs.google.com/spreadsheets/d/1Uw7-A9f9R21vMXxHZFNpYNeKFtG8_yji4HS352LGlSQ/edit?pli=1#gid=0"",""1_ACUM!A4:S""),18,FALSE))"),"")</f>
        <v/>
      </c>
      <c r="BE857" s="44" t="str">
        <f ca="1">IFERROR(__xludf.DUMMYFUNCTION("IFERROR(VLOOKUP(E874&amp;F874,IMPORTRANGE(""https://docs.google.com/spreadsheets/d/1Uw7-A9f9R21vMXxHZFNpYNeKFtG8_yji4HS352LGlSQ/edit?pli=1#gid=0"",""1_ACUM!A4:S""),19,FALSE))"),"")</f>
        <v/>
      </c>
      <c r="BF857" s="44" t="str">
        <f ca="1">IFERROR(__xludf.DUMMYFUNCTION("IFERROR(VLOOKUP(F874,IMPORTRANGE(""https://docs.google.com/spreadsheets/d/1Kvs4KS76FHFqLFIZfrDMff4kP08nblUkihrxltoGBjg/edit#gid=934712705"",""ESENCIAL!A6:BG""),5,FALSE))"),"")</f>
        <v/>
      </c>
      <c r="BG857" s="44" t="str">
        <f t="shared" si="45"/>
        <v/>
      </c>
      <c r="BH857" s="41" t="str">
        <f t="shared" si="46"/>
        <v/>
      </c>
      <c r="BI857" s="41" t="str">
        <f ca="1">IFERROR(__xludf.DUMMYFUNCTION("IFERROR(VLOOKUP(F874,IMPORTRANGE(""https://docs.google.com/spreadsheets/d/1Kvs4KS76FHFqLFIZfrDMff4kP08nblUkihrxltoGBjg/edit#gid=934712705"",""ESENCIAL!A6:BG""),18,FALSE))"),"")</f>
        <v/>
      </c>
      <c r="BJ857" s="19" t="str">
        <f t="shared" si="47"/>
        <v/>
      </c>
      <c r="BK857" s="41"/>
      <c r="BL857" s="41"/>
    </row>
    <row r="858" spans="1:64" ht="15">
      <c r="A858" s="4"/>
      <c r="B858" s="4"/>
      <c r="G858" s="5" t="str">
        <f ca="1">IFERROR(__xludf.DUMMYFUNCTION("IFERROR(VLOOKUP(F875,IMPORTRANGE(""https://docs.google.com/spreadsheets/d/1Kvs4KS76FHFqLFIZfrDMff4kP08nblUkihrxltoGBjg/edit#gid=934712705"",""ESENCIAL!A6:BG""),3,FALSE))"),"")</f>
        <v/>
      </c>
      <c r="H858" s="5" t="str">
        <f ca="1">IFERROR(__xludf.DUMMYFUNCTION("IFERROR(VLOOKUP(F875,IMPORTRANGE(""https://docs.google.com/spreadsheets/d/1Kvs4KS76FHFqLFIZfrDMff4kP08nblUkihrxltoGBjg/edit#gid=934712705"",""ESENCIAL!A6:BG""),8,FALSE))"),"")</f>
        <v/>
      </c>
      <c r="L858" s="287"/>
      <c r="S858"/>
      <c r="AU858" s="41" t="str">
        <f t="shared" si="44"/>
        <v/>
      </c>
      <c r="AV858" s="5" t="str">
        <f ca="1">IFERROR(__xludf.DUMMYFUNCTION("IFERROR(VLOOKUP(E875&amp;F875,IMPORTRANGE(""https://docs.google.com/spreadsheets/d/1Uw7-A9f9R21vMXxHZFNpYNeKFtG8_yji4HS352LGlSQ/edit?pli=1#gid=0"",""1_ACUM!A4:S""),11,FALSE))"),"")</f>
        <v/>
      </c>
      <c r="AW858" s="42" t="str">
        <f ca="1">IFERROR(__xludf.DUMMYFUNCTION("IFERROR(VLOOKUP(F875,IMPORTRANGE(""https://docs.google.com/spreadsheets/d/1Kvs4KS76FHFqLFIZfrDMff4kP08nblUkihrxltoGBjg/edit#gid=934712705"",""ESENCIAL!A6:BG""),15,FALSE))"),"")</f>
        <v/>
      </c>
      <c r="AX858" s="21" t="str">
        <f ca="1">IFERROR(__xludf.DUMMYFUNCTION("IFERROR(VLOOKUP(E875&amp;F875,IMPORTRANGE(""https://docs.google.com/spreadsheets/d/1Uw7-A9f9R21vMXxHZFNpYNeKFtG8_yji4HS352LGlSQ/edit?pli=1#gid=0"",""1_ACUM!A4:S""),12,FALSE))"),"")</f>
        <v/>
      </c>
      <c r="AY858" s="43" t="str">
        <f ca="1">IFERROR(__xludf.DUMMYFUNCTION("IFERROR(VLOOKUP(E875&amp;F875,IMPORTRANGE(""https://docs.google.com/spreadsheets/d/1Uw7-A9f9R21vMXxHZFNpYNeKFtG8_yji4HS352LGlSQ/edit?pli=1#gid=0"",""1_ACUM!A4:S""),13,FALSE))"),"")</f>
        <v/>
      </c>
      <c r="AZ858" s="43" t="str">
        <f ca="1">IFERROR(__xludf.DUMMYFUNCTION("IFERROR(VLOOKUP(E875&amp;F875,IMPORTRANGE(""https://docs.google.com/spreadsheets/d/1Uw7-A9f9R21vMXxHZFNpYNeKFtG8_yji4HS352LGlSQ/edit?pli=1#gid=0"",""1_ACUM!A4:S""),14,FALSE))"),"")</f>
        <v/>
      </c>
      <c r="BA858" s="43" t="str">
        <f ca="1">IFERROR(__xludf.DUMMYFUNCTION("IFERROR(VLOOKUP(E875&amp;F875,IMPORTRANGE(""https://docs.google.com/spreadsheets/d/1Uw7-A9f9R21vMXxHZFNpYNeKFtG8_yji4HS352LGlSQ/edit?pli=1#gid=0"",""1_ACUM!A4:S""),15,FALSE))"),"")</f>
        <v/>
      </c>
      <c r="BB858" s="43" t="str">
        <f ca="1">IFERROR(__xludf.DUMMYFUNCTION("IFERROR(VLOOKUP(E875&amp;F875,IMPORTRANGE(""https://docs.google.com/spreadsheets/d/1Uw7-A9f9R21vMXxHZFNpYNeKFtG8_yji4HS352LGlSQ/edit?pli=1#gid=0"",""1_ACUM!A4:S""),16,FALSE))"),"")</f>
        <v/>
      </c>
      <c r="BC858" s="43" t="str">
        <f ca="1">IFERROR(__xludf.DUMMYFUNCTION("IFERROR(VLOOKUP(E875&amp;F875,IMPORTRANGE(""https://docs.google.com/spreadsheets/d/1Uw7-A9f9R21vMXxHZFNpYNeKFtG8_yji4HS352LGlSQ/edit?pli=1#gid=0"",""1_ACUM!A4:S""),17,FALSE))"),"")</f>
        <v/>
      </c>
      <c r="BD858" s="44" t="str">
        <f ca="1">IFERROR(__xludf.DUMMYFUNCTION("IFERROR(VLOOKUP(E875&amp;F875,IMPORTRANGE(""https://docs.google.com/spreadsheets/d/1Uw7-A9f9R21vMXxHZFNpYNeKFtG8_yji4HS352LGlSQ/edit?pli=1#gid=0"",""1_ACUM!A4:S""),18,FALSE))"),"")</f>
        <v/>
      </c>
      <c r="BE858" s="44" t="str">
        <f ca="1">IFERROR(__xludf.DUMMYFUNCTION("IFERROR(VLOOKUP(E875&amp;F875,IMPORTRANGE(""https://docs.google.com/spreadsheets/d/1Uw7-A9f9R21vMXxHZFNpYNeKFtG8_yji4HS352LGlSQ/edit?pli=1#gid=0"",""1_ACUM!A4:S""),19,FALSE))"),"")</f>
        <v/>
      </c>
      <c r="BF858" s="44" t="str">
        <f ca="1">IFERROR(__xludf.DUMMYFUNCTION("IFERROR(VLOOKUP(F875,IMPORTRANGE(""https://docs.google.com/spreadsheets/d/1Kvs4KS76FHFqLFIZfrDMff4kP08nblUkihrxltoGBjg/edit#gid=934712705"",""ESENCIAL!A6:BG""),5,FALSE))"),"")</f>
        <v/>
      </c>
      <c r="BG858" s="44" t="str">
        <f t="shared" si="45"/>
        <v/>
      </c>
      <c r="BH858" s="41" t="str">
        <f t="shared" si="46"/>
        <v/>
      </c>
      <c r="BI858" s="41" t="str">
        <f ca="1">IFERROR(__xludf.DUMMYFUNCTION("IFERROR(VLOOKUP(F875,IMPORTRANGE(""https://docs.google.com/spreadsheets/d/1Kvs4KS76FHFqLFIZfrDMff4kP08nblUkihrxltoGBjg/edit#gid=934712705"",""ESENCIAL!A6:BG""),18,FALSE))"),"")</f>
        <v/>
      </c>
      <c r="BJ858" s="19" t="str">
        <f t="shared" si="47"/>
        <v/>
      </c>
      <c r="BK858" s="41"/>
      <c r="BL858" s="41"/>
    </row>
    <row r="859" spans="1:64" ht="15">
      <c r="A859" s="4"/>
      <c r="B859" s="4"/>
      <c r="G859" s="5" t="str">
        <f ca="1">IFERROR(__xludf.DUMMYFUNCTION("IFERROR(VLOOKUP(F876,IMPORTRANGE(""https://docs.google.com/spreadsheets/d/1Kvs4KS76FHFqLFIZfrDMff4kP08nblUkihrxltoGBjg/edit#gid=934712705"",""ESENCIAL!A6:BG""),3,FALSE))"),"")</f>
        <v/>
      </c>
      <c r="H859" s="5" t="str">
        <f ca="1">IFERROR(__xludf.DUMMYFUNCTION("IFERROR(VLOOKUP(F876,IMPORTRANGE(""https://docs.google.com/spreadsheets/d/1Kvs4KS76FHFqLFIZfrDMff4kP08nblUkihrxltoGBjg/edit#gid=934712705"",""ESENCIAL!A6:BG""),8,FALSE))"),"")</f>
        <v/>
      </c>
      <c r="L859" s="287"/>
      <c r="S859"/>
      <c r="AU859" s="41" t="str">
        <f t="shared" si="44"/>
        <v/>
      </c>
      <c r="AV859" s="5" t="str">
        <f ca="1">IFERROR(__xludf.DUMMYFUNCTION("IFERROR(VLOOKUP(E876&amp;F876,IMPORTRANGE(""https://docs.google.com/spreadsheets/d/1Uw7-A9f9R21vMXxHZFNpYNeKFtG8_yji4HS352LGlSQ/edit?pli=1#gid=0"",""1_ACUM!A4:S""),11,FALSE))"),"")</f>
        <v/>
      </c>
      <c r="AW859" s="42" t="str">
        <f ca="1">IFERROR(__xludf.DUMMYFUNCTION("IFERROR(VLOOKUP(F876,IMPORTRANGE(""https://docs.google.com/spreadsheets/d/1Kvs4KS76FHFqLFIZfrDMff4kP08nblUkihrxltoGBjg/edit#gid=934712705"",""ESENCIAL!A6:BG""),15,FALSE))"),"")</f>
        <v/>
      </c>
      <c r="AX859" s="21" t="str">
        <f ca="1">IFERROR(__xludf.DUMMYFUNCTION("IFERROR(VLOOKUP(E876&amp;F876,IMPORTRANGE(""https://docs.google.com/spreadsheets/d/1Uw7-A9f9R21vMXxHZFNpYNeKFtG8_yji4HS352LGlSQ/edit?pli=1#gid=0"",""1_ACUM!A4:S""),12,FALSE))"),"")</f>
        <v/>
      </c>
      <c r="AY859" s="43" t="str">
        <f ca="1">IFERROR(__xludf.DUMMYFUNCTION("IFERROR(VLOOKUP(E876&amp;F876,IMPORTRANGE(""https://docs.google.com/spreadsheets/d/1Uw7-A9f9R21vMXxHZFNpYNeKFtG8_yji4HS352LGlSQ/edit?pli=1#gid=0"",""1_ACUM!A4:S""),13,FALSE))"),"")</f>
        <v/>
      </c>
      <c r="AZ859" s="43" t="str">
        <f ca="1">IFERROR(__xludf.DUMMYFUNCTION("IFERROR(VLOOKUP(E876&amp;F876,IMPORTRANGE(""https://docs.google.com/spreadsheets/d/1Uw7-A9f9R21vMXxHZFNpYNeKFtG8_yji4HS352LGlSQ/edit?pli=1#gid=0"",""1_ACUM!A4:S""),14,FALSE))"),"")</f>
        <v/>
      </c>
      <c r="BA859" s="43" t="str">
        <f ca="1">IFERROR(__xludf.DUMMYFUNCTION("IFERROR(VLOOKUP(E876&amp;F876,IMPORTRANGE(""https://docs.google.com/spreadsheets/d/1Uw7-A9f9R21vMXxHZFNpYNeKFtG8_yji4HS352LGlSQ/edit?pli=1#gid=0"",""1_ACUM!A4:S""),15,FALSE))"),"")</f>
        <v/>
      </c>
      <c r="BB859" s="43" t="str">
        <f ca="1">IFERROR(__xludf.DUMMYFUNCTION("IFERROR(VLOOKUP(E876&amp;F876,IMPORTRANGE(""https://docs.google.com/spreadsheets/d/1Uw7-A9f9R21vMXxHZFNpYNeKFtG8_yji4HS352LGlSQ/edit?pli=1#gid=0"",""1_ACUM!A4:S""),16,FALSE))"),"")</f>
        <v/>
      </c>
      <c r="BC859" s="43" t="str">
        <f ca="1">IFERROR(__xludf.DUMMYFUNCTION("IFERROR(VLOOKUP(E876&amp;F876,IMPORTRANGE(""https://docs.google.com/spreadsheets/d/1Uw7-A9f9R21vMXxHZFNpYNeKFtG8_yji4HS352LGlSQ/edit?pli=1#gid=0"",""1_ACUM!A4:S""),17,FALSE))"),"")</f>
        <v/>
      </c>
      <c r="BD859" s="44" t="str">
        <f ca="1">IFERROR(__xludf.DUMMYFUNCTION("IFERROR(VLOOKUP(E876&amp;F876,IMPORTRANGE(""https://docs.google.com/spreadsheets/d/1Uw7-A9f9R21vMXxHZFNpYNeKFtG8_yji4HS352LGlSQ/edit?pli=1#gid=0"",""1_ACUM!A4:S""),18,FALSE))"),"")</f>
        <v/>
      </c>
      <c r="BE859" s="44" t="str">
        <f ca="1">IFERROR(__xludf.DUMMYFUNCTION("IFERROR(VLOOKUP(E876&amp;F876,IMPORTRANGE(""https://docs.google.com/spreadsheets/d/1Uw7-A9f9R21vMXxHZFNpYNeKFtG8_yji4HS352LGlSQ/edit?pli=1#gid=0"",""1_ACUM!A4:S""),19,FALSE))"),"")</f>
        <v/>
      </c>
      <c r="BF859" s="44" t="str">
        <f ca="1">IFERROR(__xludf.DUMMYFUNCTION("IFERROR(VLOOKUP(F876,IMPORTRANGE(""https://docs.google.com/spreadsheets/d/1Kvs4KS76FHFqLFIZfrDMff4kP08nblUkihrxltoGBjg/edit#gid=934712705"",""ESENCIAL!A6:BG""),5,FALSE))"),"")</f>
        <v/>
      </c>
      <c r="BG859" s="44" t="str">
        <f t="shared" si="45"/>
        <v/>
      </c>
      <c r="BH859" s="41" t="str">
        <f t="shared" si="46"/>
        <v/>
      </c>
      <c r="BI859" s="41" t="str">
        <f ca="1">IFERROR(__xludf.DUMMYFUNCTION("IFERROR(VLOOKUP(F876,IMPORTRANGE(""https://docs.google.com/spreadsheets/d/1Kvs4KS76FHFqLFIZfrDMff4kP08nblUkihrxltoGBjg/edit#gid=934712705"",""ESENCIAL!A6:BG""),18,FALSE))"),"")</f>
        <v/>
      </c>
      <c r="BJ859" s="19" t="str">
        <f t="shared" si="47"/>
        <v/>
      </c>
      <c r="BK859" s="41"/>
      <c r="BL859" s="41"/>
    </row>
    <row r="860" spans="1:64" ht="15">
      <c r="A860" s="4"/>
      <c r="B860" s="4"/>
      <c r="G860" s="5" t="str">
        <f ca="1">IFERROR(__xludf.DUMMYFUNCTION("IFERROR(VLOOKUP(F877,IMPORTRANGE(""https://docs.google.com/spreadsheets/d/1Kvs4KS76FHFqLFIZfrDMff4kP08nblUkihrxltoGBjg/edit#gid=934712705"",""ESENCIAL!A6:BG""),3,FALSE))"),"")</f>
        <v/>
      </c>
      <c r="H860" s="5" t="str">
        <f ca="1">IFERROR(__xludf.DUMMYFUNCTION("IFERROR(VLOOKUP(F877,IMPORTRANGE(""https://docs.google.com/spreadsheets/d/1Kvs4KS76FHFqLFIZfrDMff4kP08nblUkihrxltoGBjg/edit#gid=934712705"",""ESENCIAL!A6:BG""),8,FALSE))"),"")</f>
        <v/>
      </c>
      <c r="L860" s="287"/>
      <c r="S860"/>
      <c r="AU860" s="41" t="str">
        <f t="shared" si="44"/>
        <v/>
      </c>
      <c r="AV860" s="5" t="str">
        <f ca="1">IFERROR(__xludf.DUMMYFUNCTION("IFERROR(VLOOKUP(E877&amp;F877,IMPORTRANGE(""https://docs.google.com/spreadsheets/d/1Uw7-A9f9R21vMXxHZFNpYNeKFtG8_yji4HS352LGlSQ/edit?pli=1#gid=0"",""1_ACUM!A4:S""),11,FALSE))"),"")</f>
        <v/>
      </c>
      <c r="AW860" s="42" t="str">
        <f ca="1">IFERROR(__xludf.DUMMYFUNCTION("IFERROR(VLOOKUP(F877,IMPORTRANGE(""https://docs.google.com/spreadsheets/d/1Kvs4KS76FHFqLFIZfrDMff4kP08nblUkihrxltoGBjg/edit#gid=934712705"",""ESENCIAL!A6:BG""),15,FALSE))"),"")</f>
        <v/>
      </c>
      <c r="AX860" s="21" t="str">
        <f ca="1">IFERROR(__xludf.DUMMYFUNCTION("IFERROR(VLOOKUP(E877&amp;F877,IMPORTRANGE(""https://docs.google.com/spreadsheets/d/1Uw7-A9f9R21vMXxHZFNpYNeKFtG8_yji4HS352LGlSQ/edit?pli=1#gid=0"",""1_ACUM!A4:S""),12,FALSE))"),"")</f>
        <v/>
      </c>
      <c r="AY860" s="43" t="str">
        <f ca="1">IFERROR(__xludf.DUMMYFUNCTION("IFERROR(VLOOKUP(E877&amp;F877,IMPORTRANGE(""https://docs.google.com/spreadsheets/d/1Uw7-A9f9R21vMXxHZFNpYNeKFtG8_yji4HS352LGlSQ/edit?pli=1#gid=0"",""1_ACUM!A4:S""),13,FALSE))"),"")</f>
        <v/>
      </c>
      <c r="AZ860" s="43" t="str">
        <f ca="1">IFERROR(__xludf.DUMMYFUNCTION("IFERROR(VLOOKUP(E877&amp;F877,IMPORTRANGE(""https://docs.google.com/spreadsheets/d/1Uw7-A9f9R21vMXxHZFNpYNeKFtG8_yji4HS352LGlSQ/edit?pli=1#gid=0"",""1_ACUM!A4:S""),14,FALSE))"),"")</f>
        <v/>
      </c>
      <c r="BA860" s="43" t="str">
        <f ca="1">IFERROR(__xludf.DUMMYFUNCTION("IFERROR(VLOOKUP(E877&amp;F877,IMPORTRANGE(""https://docs.google.com/spreadsheets/d/1Uw7-A9f9R21vMXxHZFNpYNeKFtG8_yji4HS352LGlSQ/edit?pli=1#gid=0"",""1_ACUM!A4:S""),15,FALSE))"),"")</f>
        <v/>
      </c>
      <c r="BB860" s="43" t="str">
        <f ca="1">IFERROR(__xludf.DUMMYFUNCTION("IFERROR(VLOOKUP(E877&amp;F877,IMPORTRANGE(""https://docs.google.com/spreadsheets/d/1Uw7-A9f9R21vMXxHZFNpYNeKFtG8_yji4HS352LGlSQ/edit?pli=1#gid=0"",""1_ACUM!A4:S""),16,FALSE))"),"")</f>
        <v/>
      </c>
      <c r="BC860" s="43" t="str">
        <f ca="1">IFERROR(__xludf.DUMMYFUNCTION("IFERROR(VLOOKUP(E877&amp;F877,IMPORTRANGE(""https://docs.google.com/spreadsheets/d/1Uw7-A9f9R21vMXxHZFNpYNeKFtG8_yji4HS352LGlSQ/edit?pli=1#gid=0"",""1_ACUM!A4:S""),17,FALSE))"),"")</f>
        <v/>
      </c>
      <c r="BD860" s="44" t="str">
        <f ca="1">IFERROR(__xludf.DUMMYFUNCTION("IFERROR(VLOOKUP(E877&amp;F877,IMPORTRANGE(""https://docs.google.com/spreadsheets/d/1Uw7-A9f9R21vMXxHZFNpYNeKFtG8_yji4HS352LGlSQ/edit?pli=1#gid=0"",""1_ACUM!A4:S""),18,FALSE))"),"")</f>
        <v/>
      </c>
      <c r="BE860" s="44" t="str">
        <f ca="1">IFERROR(__xludf.DUMMYFUNCTION("IFERROR(VLOOKUP(E877&amp;F877,IMPORTRANGE(""https://docs.google.com/spreadsheets/d/1Uw7-A9f9R21vMXxHZFNpYNeKFtG8_yji4HS352LGlSQ/edit?pli=1#gid=0"",""1_ACUM!A4:S""),19,FALSE))"),"")</f>
        <v/>
      </c>
      <c r="BF860" s="44" t="str">
        <f ca="1">IFERROR(__xludf.DUMMYFUNCTION("IFERROR(VLOOKUP(F877,IMPORTRANGE(""https://docs.google.com/spreadsheets/d/1Kvs4KS76FHFqLFIZfrDMff4kP08nblUkihrxltoGBjg/edit#gid=934712705"",""ESENCIAL!A6:BG""),5,FALSE))"),"")</f>
        <v/>
      </c>
      <c r="BG860" s="44" t="str">
        <f t="shared" si="45"/>
        <v/>
      </c>
      <c r="BH860" s="41" t="str">
        <f t="shared" si="46"/>
        <v/>
      </c>
      <c r="BI860" s="41" t="str">
        <f ca="1">IFERROR(__xludf.DUMMYFUNCTION("IFERROR(VLOOKUP(F877,IMPORTRANGE(""https://docs.google.com/spreadsheets/d/1Kvs4KS76FHFqLFIZfrDMff4kP08nblUkihrxltoGBjg/edit#gid=934712705"",""ESENCIAL!A6:BG""),18,FALSE))"),"")</f>
        <v/>
      </c>
      <c r="BJ860" s="19" t="str">
        <f t="shared" si="47"/>
        <v/>
      </c>
      <c r="BK860" s="41"/>
      <c r="BL860" s="41"/>
    </row>
    <row r="861" spans="1:64" ht="15">
      <c r="A861" s="4"/>
      <c r="B861" s="4"/>
      <c r="G861" s="5" t="str">
        <f ca="1">IFERROR(__xludf.DUMMYFUNCTION("IFERROR(VLOOKUP(F878,IMPORTRANGE(""https://docs.google.com/spreadsheets/d/1Kvs4KS76FHFqLFIZfrDMff4kP08nblUkihrxltoGBjg/edit#gid=934712705"",""ESENCIAL!A6:BG""),3,FALSE))"),"")</f>
        <v/>
      </c>
      <c r="H861" s="5" t="str">
        <f ca="1">IFERROR(__xludf.DUMMYFUNCTION("IFERROR(VLOOKUP(F878,IMPORTRANGE(""https://docs.google.com/spreadsheets/d/1Kvs4KS76FHFqLFIZfrDMff4kP08nblUkihrxltoGBjg/edit#gid=934712705"",""ESENCIAL!A6:BG""),8,FALSE))"),"")</f>
        <v/>
      </c>
      <c r="L861" s="287"/>
      <c r="S861"/>
      <c r="AU861" s="41" t="str">
        <f t="shared" si="44"/>
        <v/>
      </c>
      <c r="AV861" s="5" t="str">
        <f ca="1">IFERROR(__xludf.DUMMYFUNCTION("IFERROR(VLOOKUP(E878&amp;F878,IMPORTRANGE(""https://docs.google.com/spreadsheets/d/1Uw7-A9f9R21vMXxHZFNpYNeKFtG8_yji4HS352LGlSQ/edit?pli=1#gid=0"",""1_ACUM!A4:S""),11,FALSE))"),"")</f>
        <v/>
      </c>
      <c r="AW861" s="42" t="str">
        <f ca="1">IFERROR(__xludf.DUMMYFUNCTION("IFERROR(VLOOKUP(F878,IMPORTRANGE(""https://docs.google.com/spreadsheets/d/1Kvs4KS76FHFqLFIZfrDMff4kP08nblUkihrxltoGBjg/edit#gid=934712705"",""ESENCIAL!A6:BG""),15,FALSE))"),"")</f>
        <v/>
      </c>
      <c r="AX861" s="21" t="str">
        <f ca="1">IFERROR(__xludf.DUMMYFUNCTION("IFERROR(VLOOKUP(E878&amp;F878,IMPORTRANGE(""https://docs.google.com/spreadsheets/d/1Uw7-A9f9R21vMXxHZFNpYNeKFtG8_yji4HS352LGlSQ/edit?pli=1#gid=0"",""1_ACUM!A4:S""),12,FALSE))"),"")</f>
        <v/>
      </c>
      <c r="AY861" s="43" t="str">
        <f ca="1">IFERROR(__xludf.DUMMYFUNCTION("IFERROR(VLOOKUP(E878&amp;F878,IMPORTRANGE(""https://docs.google.com/spreadsheets/d/1Uw7-A9f9R21vMXxHZFNpYNeKFtG8_yji4HS352LGlSQ/edit?pli=1#gid=0"",""1_ACUM!A4:S""),13,FALSE))"),"")</f>
        <v/>
      </c>
      <c r="AZ861" s="43" t="str">
        <f ca="1">IFERROR(__xludf.DUMMYFUNCTION("IFERROR(VLOOKUP(E878&amp;F878,IMPORTRANGE(""https://docs.google.com/spreadsheets/d/1Uw7-A9f9R21vMXxHZFNpYNeKFtG8_yji4HS352LGlSQ/edit?pli=1#gid=0"",""1_ACUM!A4:S""),14,FALSE))"),"")</f>
        <v/>
      </c>
      <c r="BA861" s="43" t="str">
        <f ca="1">IFERROR(__xludf.DUMMYFUNCTION("IFERROR(VLOOKUP(E878&amp;F878,IMPORTRANGE(""https://docs.google.com/spreadsheets/d/1Uw7-A9f9R21vMXxHZFNpYNeKFtG8_yji4HS352LGlSQ/edit?pli=1#gid=0"",""1_ACUM!A4:S""),15,FALSE))"),"")</f>
        <v/>
      </c>
      <c r="BB861" s="43" t="str">
        <f ca="1">IFERROR(__xludf.DUMMYFUNCTION("IFERROR(VLOOKUP(E878&amp;F878,IMPORTRANGE(""https://docs.google.com/spreadsheets/d/1Uw7-A9f9R21vMXxHZFNpYNeKFtG8_yji4HS352LGlSQ/edit?pli=1#gid=0"",""1_ACUM!A4:S""),16,FALSE))"),"")</f>
        <v/>
      </c>
      <c r="BC861" s="43" t="str">
        <f ca="1">IFERROR(__xludf.DUMMYFUNCTION("IFERROR(VLOOKUP(E878&amp;F878,IMPORTRANGE(""https://docs.google.com/spreadsheets/d/1Uw7-A9f9R21vMXxHZFNpYNeKFtG8_yji4HS352LGlSQ/edit?pli=1#gid=0"",""1_ACUM!A4:S""),17,FALSE))"),"")</f>
        <v/>
      </c>
      <c r="BD861" s="44" t="str">
        <f ca="1">IFERROR(__xludf.DUMMYFUNCTION("IFERROR(VLOOKUP(E878&amp;F878,IMPORTRANGE(""https://docs.google.com/spreadsheets/d/1Uw7-A9f9R21vMXxHZFNpYNeKFtG8_yji4HS352LGlSQ/edit?pli=1#gid=0"",""1_ACUM!A4:S""),18,FALSE))"),"")</f>
        <v/>
      </c>
      <c r="BE861" s="44" t="str">
        <f ca="1">IFERROR(__xludf.DUMMYFUNCTION("IFERROR(VLOOKUP(E878&amp;F878,IMPORTRANGE(""https://docs.google.com/spreadsheets/d/1Uw7-A9f9R21vMXxHZFNpYNeKFtG8_yji4HS352LGlSQ/edit?pli=1#gid=0"",""1_ACUM!A4:S""),19,FALSE))"),"")</f>
        <v/>
      </c>
      <c r="BF861" s="44" t="str">
        <f ca="1">IFERROR(__xludf.DUMMYFUNCTION("IFERROR(VLOOKUP(F878,IMPORTRANGE(""https://docs.google.com/spreadsheets/d/1Kvs4KS76FHFqLFIZfrDMff4kP08nblUkihrxltoGBjg/edit#gid=934712705"",""ESENCIAL!A6:BG""),5,FALSE))"),"")</f>
        <v/>
      </c>
      <c r="BG861" s="44" t="str">
        <f t="shared" si="45"/>
        <v/>
      </c>
      <c r="BH861" s="41" t="str">
        <f t="shared" si="46"/>
        <v/>
      </c>
      <c r="BI861" s="41" t="str">
        <f ca="1">IFERROR(__xludf.DUMMYFUNCTION("IFERROR(VLOOKUP(F878,IMPORTRANGE(""https://docs.google.com/spreadsheets/d/1Kvs4KS76FHFqLFIZfrDMff4kP08nblUkihrxltoGBjg/edit#gid=934712705"",""ESENCIAL!A6:BG""),18,FALSE))"),"")</f>
        <v/>
      </c>
      <c r="BJ861" s="19" t="str">
        <f t="shared" si="47"/>
        <v/>
      </c>
      <c r="BK861" s="41"/>
      <c r="BL861" s="41"/>
    </row>
    <row r="862" spans="1:64" ht="15">
      <c r="A862" s="4"/>
      <c r="B862" s="4"/>
      <c r="G862" s="5" t="str">
        <f ca="1">IFERROR(__xludf.DUMMYFUNCTION("IFERROR(VLOOKUP(F879,IMPORTRANGE(""https://docs.google.com/spreadsheets/d/1Kvs4KS76FHFqLFIZfrDMff4kP08nblUkihrxltoGBjg/edit#gid=934712705"",""ESENCIAL!A6:BG""),3,FALSE))"),"")</f>
        <v/>
      </c>
      <c r="H862" s="5" t="str">
        <f ca="1">IFERROR(__xludf.DUMMYFUNCTION("IFERROR(VLOOKUP(F879,IMPORTRANGE(""https://docs.google.com/spreadsheets/d/1Kvs4KS76FHFqLFIZfrDMff4kP08nblUkihrxltoGBjg/edit#gid=934712705"",""ESENCIAL!A6:BG""),8,FALSE))"),"")</f>
        <v/>
      </c>
      <c r="L862" s="287"/>
      <c r="S862"/>
      <c r="AU862" s="41" t="str">
        <f t="shared" si="44"/>
        <v/>
      </c>
      <c r="AV862" s="5" t="str">
        <f ca="1">IFERROR(__xludf.DUMMYFUNCTION("IFERROR(VLOOKUP(E879&amp;F879,IMPORTRANGE(""https://docs.google.com/spreadsheets/d/1Uw7-A9f9R21vMXxHZFNpYNeKFtG8_yji4HS352LGlSQ/edit?pli=1#gid=0"",""1_ACUM!A4:S""),11,FALSE))"),"")</f>
        <v/>
      </c>
      <c r="AW862" s="42" t="str">
        <f ca="1">IFERROR(__xludf.DUMMYFUNCTION("IFERROR(VLOOKUP(F879,IMPORTRANGE(""https://docs.google.com/spreadsheets/d/1Kvs4KS76FHFqLFIZfrDMff4kP08nblUkihrxltoGBjg/edit#gid=934712705"",""ESENCIAL!A6:BG""),15,FALSE))"),"")</f>
        <v/>
      </c>
      <c r="AX862" s="21" t="str">
        <f ca="1">IFERROR(__xludf.DUMMYFUNCTION("IFERROR(VLOOKUP(E879&amp;F879,IMPORTRANGE(""https://docs.google.com/spreadsheets/d/1Uw7-A9f9R21vMXxHZFNpYNeKFtG8_yji4HS352LGlSQ/edit?pli=1#gid=0"",""1_ACUM!A4:S""),12,FALSE))"),"")</f>
        <v/>
      </c>
      <c r="AY862" s="43" t="str">
        <f ca="1">IFERROR(__xludf.DUMMYFUNCTION("IFERROR(VLOOKUP(E879&amp;F879,IMPORTRANGE(""https://docs.google.com/spreadsheets/d/1Uw7-A9f9R21vMXxHZFNpYNeKFtG8_yji4HS352LGlSQ/edit?pli=1#gid=0"",""1_ACUM!A4:S""),13,FALSE))"),"")</f>
        <v/>
      </c>
      <c r="AZ862" s="43" t="str">
        <f ca="1">IFERROR(__xludf.DUMMYFUNCTION("IFERROR(VLOOKUP(E879&amp;F879,IMPORTRANGE(""https://docs.google.com/spreadsheets/d/1Uw7-A9f9R21vMXxHZFNpYNeKFtG8_yji4HS352LGlSQ/edit?pli=1#gid=0"",""1_ACUM!A4:S""),14,FALSE))"),"")</f>
        <v/>
      </c>
      <c r="BA862" s="43" t="str">
        <f ca="1">IFERROR(__xludf.DUMMYFUNCTION("IFERROR(VLOOKUP(E879&amp;F879,IMPORTRANGE(""https://docs.google.com/spreadsheets/d/1Uw7-A9f9R21vMXxHZFNpYNeKFtG8_yji4HS352LGlSQ/edit?pli=1#gid=0"",""1_ACUM!A4:S""),15,FALSE))"),"")</f>
        <v/>
      </c>
      <c r="BB862" s="43" t="str">
        <f ca="1">IFERROR(__xludf.DUMMYFUNCTION("IFERROR(VLOOKUP(E879&amp;F879,IMPORTRANGE(""https://docs.google.com/spreadsheets/d/1Uw7-A9f9R21vMXxHZFNpYNeKFtG8_yji4HS352LGlSQ/edit?pli=1#gid=0"",""1_ACUM!A4:S""),16,FALSE))"),"")</f>
        <v/>
      </c>
      <c r="BC862" s="43" t="str">
        <f ca="1">IFERROR(__xludf.DUMMYFUNCTION("IFERROR(VLOOKUP(E879&amp;F879,IMPORTRANGE(""https://docs.google.com/spreadsheets/d/1Uw7-A9f9R21vMXxHZFNpYNeKFtG8_yji4HS352LGlSQ/edit?pli=1#gid=0"",""1_ACUM!A4:S""),17,FALSE))"),"")</f>
        <v/>
      </c>
      <c r="BD862" s="44" t="str">
        <f ca="1">IFERROR(__xludf.DUMMYFUNCTION("IFERROR(VLOOKUP(E879&amp;F879,IMPORTRANGE(""https://docs.google.com/spreadsheets/d/1Uw7-A9f9R21vMXxHZFNpYNeKFtG8_yji4HS352LGlSQ/edit?pli=1#gid=0"",""1_ACUM!A4:S""),18,FALSE))"),"")</f>
        <v/>
      </c>
      <c r="BE862" s="44" t="str">
        <f ca="1">IFERROR(__xludf.DUMMYFUNCTION("IFERROR(VLOOKUP(E879&amp;F879,IMPORTRANGE(""https://docs.google.com/spreadsheets/d/1Uw7-A9f9R21vMXxHZFNpYNeKFtG8_yji4HS352LGlSQ/edit?pli=1#gid=0"",""1_ACUM!A4:S""),19,FALSE))"),"")</f>
        <v/>
      </c>
      <c r="BF862" s="44" t="str">
        <f ca="1">IFERROR(__xludf.DUMMYFUNCTION("IFERROR(VLOOKUP(F879,IMPORTRANGE(""https://docs.google.com/spreadsheets/d/1Kvs4KS76FHFqLFIZfrDMff4kP08nblUkihrxltoGBjg/edit#gid=934712705"",""ESENCIAL!A6:BG""),5,FALSE))"),"")</f>
        <v/>
      </c>
      <c r="BG862" s="44" t="str">
        <f t="shared" si="45"/>
        <v/>
      </c>
      <c r="BH862" s="41" t="str">
        <f t="shared" si="46"/>
        <v/>
      </c>
      <c r="BI862" s="41" t="str">
        <f ca="1">IFERROR(__xludf.DUMMYFUNCTION("IFERROR(VLOOKUP(F879,IMPORTRANGE(""https://docs.google.com/spreadsheets/d/1Kvs4KS76FHFqLFIZfrDMff4kP08nblUkihrxltoGBjg/edit#gid=934712705"",""ESENCIAL!A6:BG""),18,FALSE))"),"")</f>
        <v/>
      </c>
      <c r="BJ862" s="19" t="str">
        <f t="shared" si="47"/>
        <v/>
      </c>
      <c r="BK862" s="41"/>
      <c r="BL862" s="41"/>
    </row>
    <row r="863" spans="1:64" ht="15">
      <c r="A863" s="4"/>
      <c r="B863" s="4"/>
      <c r="G863" s="5" t="str">
        <f ca="1">IFERROR(__xludf.DUMMYFUNCTION("IFERROR(VLOOKUP(F880,IMPORTRANGE(""https://docs.google.com/spreadsheets/d/1Kvs4KS76FHFqLFIZfrDMff4kP08nblUkihrxltoGBjg/edit#gid=934712705"",""ESENCIAL!A6:BG""),3,FALSE))"),"")</f>
        <v/>
      </c>
      <c r="H863" s="5" t="str">
        <f ca="1">IFERROR(__xludf.DUMMYFUNCTION("IFERROR(VLOOKUP(F880,IMPORTRANGE(""https://docs.google.com/spreadsheets/d/1Kvs4KS76FHFqLFIZfrDMff4kP08nblUkihrxltoGBjg/edit#gid=934712705"",""ESENCIAL!A6:BG""),8,FALSE))"),"")</f>
        <v/>
      </c>
      <c r="L863" s="287"/>
      <c r="S863"/>
      <c r="AU863" s="41" t="str">
        <f t="shared" si="44"/>
        <v/>
      </c>
      <c r="AV863" s="5" t="str">
        <f ca="1">IFERROR(__xludf.DUMMYFUNCTION("IFERROR(VLOOKUP(E880&amp;F880,IMPORTRANGE(""https://docs.google.com/spreadsheets/d/1Uw7-A9f9R21vMXxHZFNpYNeKFtG8_yji4HS352LGlSQ/edit?pli=1#gid=0"",""1_ACUM!A4:S""),11,FALSE))"),"")</f>
        <v/>
      </c>
      <c r="AW863" s="42" t="str">
        <f ca="1">IFERROR(__xludf.DUMMYFUNCTION("IFERROR(VLOOKUP(F880,IMPORTRANGE(""https://docs.google.com/spreadsheets/d/1Kvs4KS76FHFqLFIZfrDMff4kP08nblUkihrxltoGBjg/edit#gid=934712705"",""ESENCIAL!A6:BG""),15,FALSE))"),"")</f>
        <v/>
      </c>
      <c r="AX863" s="21" t="str">
        <f ca="1">IFERROR(__xludf.DUMMYFUNCTION("IFERROR(VLOOKUP(E880&amp;F880,IMPORTRANGE(""https://docs.google.com/spreadsheets/d/1Uw7-A9f9R21vMXxHZFNpYNeKFtG8_yji4HS352LGlSQ/edit?pli=1#gid=0"",""1_ACUM!A4:S""),12,FALSE))"),"")</f>
        <v/>
      </c>
      <c r="AY863" s="43" t="str">
        <f ca="1">IFERROR(__xludf.DUMMYFUNCTION("IFERROR(VLOOKUP(E880&amp;F880,IMPORTRANGE(""https://docs.google.com/spreadsheets/d/1Uw7-A9f9R21vMXxHZFNpYNeKFtG8_yji4HS352LGlSQ/edit?pli=1#gid=0"",""1_ACUM!A4:S""),13,FALSE))"),"")</f>
        <v/>
      </c>
      <c r="AZ863" s="43" t="str">
        <f ca="1">IFERROR(__xludf.DUMMYFUNCTION("IFERROR(VLOOKUP(E880&amp;F880,IMPORTRANGE(""https://docs.google.com/spreadsheets/d/1Uw7-A9f9R21vMXxHZFNpYNeKFtG8_yji4HS352LGlSQ/edit?pli=1#gid=0"",""1_ACUM!A4:S""),14,FALSE))"),"")</f>
        <v/>
      </c>
      <c r="BA863" s="43" t="str">
        <f ca="1">IFERROR(__xludf.DUMMYFUNCTION("IFERROR(VLOOKUP(E880&amp;F880,IMPORTRANGE(""https://docs.google.com/spreadsheets/d/1Uw7-A9f9R21vMXxHZFNpYNeKFtG8_yji4HS352LGlSQ/edit?pli=1#gid=0"",""1_ACUM!A4:S""),15,FALSE))"),"")</f>
        <v/>
      </c>
      <c r="BB863" s="43" t="str">
        <f ca="1">IFERROR(__xludf.DUMMYFUNCTION("IFERROR(VLOOKUP(E880&amp;F880,IMPORTRANGE(""https://docs.google.com/spreadsheets/d/1Uw7-A9f9R21vMXxHZFNpYNeKFtG8_yji4HS352LGlSQ/edit?pli=1#gid=0"",""1_ACUM!A4:S""),16,FALSE))"),"")</f>
        <v/>
      </c>
      <c r="BC863" s="43" t="str">
        <f ca="1">IFERROR(__xludf.DUMMYFUNCTION("IFERROR(VLOOKUP(E880&amp;F880,IMPORTRANGE(""https://docs.google.com/spreadsheets/d/1Uw7-A9f9R21vMXxHZFNpYNeKFtG8_yji4HS352LGlSQ/edit?pli=1#gid=0"",""1_ACUM!A4:S""),17,FALSE))"),"")</f>
        <v/>
      </c>
      <c r="BD863" s="44" t="str">
        <f ca="1">IFERROR(__xludf.DUMMYFUNCTION("IFERROR(VLOOKUP(E880&amp;F880,IMPORTRANGE(""https://docs.google.com/spreadsheets/d/1Uw7-A9f9R21vMXxHZFNpYNeKFtG8_yji4HS352LGlSQ/edit?pli=1#gid=0"",""1_ACUM!A4:S""),18,FALSE))"),"")</f>
        <v/>
      </c>
      <c r="BE863" s="44" t="str">
        <f ca="1">IFERROR(__xludf.DUMMYFUNCTION("IFERROR(VLOOKUP(E880&amp;F880,IMPORTRANGE(""https://docs.google.com/spreadsheets/d/1Uw7-A9f9R21vMXxHZFNpYNeKFtG8_yji4HS352LGlSQ/edit?pli=1#gid=0"",""1_ACUM!A4:S""),19,FALSE))"),"")</f>
        <v/>
      </c>
      <c r="BF863" s="44" t="str">
        <f ca="1">IFERROR(__xludf.DUMMYFUNCTION("IFERROR(VLOOKUP(F880,IMPORTRANGE(""https://docs.google.com/spreadsheets/d/1Kvs4KS76FHFqLFIZfrDMff4kP08nblUkihrxltoGBjg/edit#gid=934712705"",""ESENCIAL!A6:BG""),5,FALSE))"),"")</f>
        <v/>
      </c>
      <c r="BG863" s="44" t="str">
        <f t="shared" si="45"/>
        <v/>
      </c>
      <c r="BH863" s="41" t="str">
        <f t="shared" si="46"/>
        <v/>
      </c>
      <c r="BI863" s="41" t="str">
        <f ca="1">IFERROR(__xludf.DUMMYFUNCTION("IFERROR(VLOOKUP(F880,IMPORTRANGE(""https://docs.google.com/spreadsheets/d/1Kvs4KS76FHFqLFIZfrDMff4kP08nblUkihrxltoGBjg/edit#gid=934712705"",""ESENCIAL!A6:BG""),18,FALSE))"),"")</f>
        <v/>
      </c>
      <c r="BJ863" s="19" t="str">
        <f t="shared" si="47"/>
        <v/>
      </c>
      <c r="BK863" s="41"/>
      <c r="BL863" s="41"/>
    </row>
    <row r="864" spans="1:64" ht="15">
      <c r="A864" s="4"/>
      <c r="B864" s="4"/>
      <c r="G864" s="5" t="str">
        <f ca="1">IFERROR(__xludf.DUMMYFUNCTION("IFERROR(VLOOKUP(F881,IMPORTRANGE(""https://docs.google.com/spreadsheets/d/1Kvs4KS76FHFqLFIZfrDMff4kP08nblUkihrxltoGBjg/edit#gid=934712705"",""ESENCIAL!A6:BG""),3,FALSE))"),"")</f>
        <v/>
      </c>
      <c r="H864" s="5" t="str">
        <f ca="1">IFERROR(__xludf.DUMMYFUNCTION("IFERROR(VLOOKUP(F881,IMPORTRANGE(""https://docs.google.com/spreadsheets/d/1Kvs4KS76FHFqLFIZfrDMff4kP08nblUkihrxltoGBjg/edit#gid=934712705"",""ESENCIAL!A6:BG""),8,FALSE))"),"")</f>
        <v/>
      </c>
      <c r="L864" s="287"/>
      <c r="S864"/>
      <c r="AU864" s="41" t="str">
        <f t="shared" si="44"/>
        <v/>
      </c>
      <c r="AV864" s="5" t="str">
        <f ca="1">IFERROR(__xludf.DUMMYFUNCTION("IFERROR(VLOOKUP(E881&amp;F881,IMPORTRANGE(""https://docs.google.com/spreadsheets/d/1Uw7-A9f9R21vMXxHZFNpYNeKFtG8_yji4HS352LGlSQ/edit?pli=1#gid=0"",""1_ACUM!A4:S""),11,FALSE))"),"")</f>
        <v/>
      </c>
      <c r="AW864" s="42" t="str">
        <f ca="1">IFERROR(__xludf.DUMMYFUNCTION("IFERROR(VLOOKUP(F881,IMPORTRANGE(""https://docs.google.com/spreadsheets/d/1Kvs4KS76FHFqLFIZfrDMff4kP08nblUkihrxltoGBjg/edit#gid=934712705"",""ESENCIAL!A6:BG""),15,FALSE))"),"")</f>
        <v/>
      </c>
      <c r="AX864" s="21" t="str">
        <f ca="1">IFERROR(__xludf.DUMMYFUNCTION("IFERROR(VLOOKUP(E881&amp;F881,IMPORTRANGE(""https://docs.google.com/spreadsheets/d/1Uw7-A9f9R21vMXxHZFNpYNeKFtG8_yji4HS352LGlSQ/edit?pli=1#gid=0"",""1_ACUM!A4:S""),12,FALSE))"),"")</f>
        <v/>
      </c>
      <c r="AY864" s="43" t="str">
        <f ca="1">IFERROR(__xludf.DUMMYFUNCTION("IFERROR(VLOOKUP(E881&amp;F881,IMPORTRANGE(""https://docs.google.com/spreadsheets/d/1Uw7-A9f9R21vMXxHZFNpYNeKFtG8_yji4HS352LGlSQ/edit?pli=1#gid=0"",""1_ACUM!A4:S""),13,FALSE))"),"")</f>
        <v/>
      </c>
      <c r="AZ864" s="43" t="str">
        <f ca="1">IFERROR(__xludf.DUMMYFUNCTION("IFERROR(VLOOKUP(E881&amp;F881,IMPORTRANGE(""https://docs.google.com/spreadsheets/d/1Uw7-A9f9R21vMXxHZFNpYNeKFtG8_yji4HS352LGlSQ/edit?pli=1#gid=0"",""1_ACUM!A4:S""),14,FALSE))"),"")</f>
        <v/>
      </c>
      <c r="BA864" s="43" t="str">
        <f ca="1">IFERROR(__xludf.DUMMYFUNCTION("IFERROR(VLOOKUP(E881&amp;F881,IMPORTRANGE(""https://docs.google.com/spreadsheets/d/1Uw7-A9f9R21vMXxHZFNpYNeKFtG8_yji4HS352LGlSQ/edit?pli=1#gid=0"",""1_ACUM!A4:S""),15,FALSE))"),"")</f>
        <v/>
      </c>
      <c r="BB864" s="43" t="str">
        <f ca="1">IFERROR(__xludf.DUMMYFUNCTION("IFERROR(VLOOKUP(E881&amp;F881,IMPORTRANGE(""https://docs.google.com/spreadsheets/d/1Uw7-A9f9R21vMXxHZFNpYNeKFtG8_yji4HS352LGlSQ/edit?pli=1#gid=0"",""1_ACUM!A4:S""),16,FALSE))"),"")</f>
        <v/>
      </c>
      <c r="BC864" s="43" t="str">
        <f ca="1">IFERROR(__xludf.DUMMYFUNCTION("IFERROR(VLOOKUP(E881&amp;F881,IMPORTRANGE(""https://docs.google.com/spreadsheets/d/1Uw7-A9f9R21vMXxHZFNpYNeKFtG8_yji4HS352LGlSQ/edit?pli=1#gid=0"",""1_ACUM!A4:S""),17,FALSE))"),"")</f>
        <v/>
      </c>
      <c r="BD864" s="44" t="str">
        <f ca="1">IFERROR(__xludf.DUMMYFUNCTION("IFERROR(VLOOKUP(E881&amp;F881,IMPORTRANGE(""https://docs.google.com/spreadsheets/d/1Uw7-A9f9R21vMXxHZFNpYNeKFtG8_yji4HS352LGlSQ/edit?pli=1#gid=0"",""1_ACUM!A4:S""),18,FALSE))"),"")</f>
        <v/>
      </c>
      <c r="BE864" s="44" t="str">
        <f ca="1">IFERROR(__xludf.DUMMYFUNCTION("IFERROR(VLOOKUP(E881&amp;F881,IMPORTRANGE(""https://docs.google.com/spreadsheets/d/1Uw7-A9f9R21vMXxHZFNpYNeKFtG8_yji4HS352LGlSQ/edit?pli=1#gid=0"",""1_ACUM!A4:S""),19,FALSE))"),"")</f>
        <v/>
      </c>
      <c r="BF864" s="44" t="str">
        <f ca="1">IFERROR(__xludf.DUMMYFUNCTION("IFERROR(VLOOKUP(F881,IMPORTRANGE(""https://docs.google.com/spreadsheets/d/1Kvs4KS76FHFqLFIZfrDMff4kP08nblUkihrxltoGBjg/edit#gid=934712705"",""ESENCIAL!A6:BG""),5,FALSE))"),"")</f>
        <v/>
      </c>
      <c r="BG864" s="44" t="str">
        <f t="shared" si="45"/>
        <v/>
      </c>
      <c r="BH864" s="41" t="str">
        <f t="shared" si="46"/>
        <v/>
      </c>
      <c r="BI864" s="41" t="str">
        <f ca="1">IFERROR(__xludf.DUMMYFUNCTION("IFERROR(VLOOKUP(F881,IMPORTRANGE(""https://docs.google.com/spreadsheets/d/1Kvs4KS76FHFqLFIZfrDMff4kP08nblUkihrxltoGBjg/edit#gid=934712705"",""ESENCIAL!A6:BG""),18,FALSE))"),"")</f>
        <v/>
      </c>
      <c r="BJ864" s="19" t="str">
        <f t="shared" si="47"/>
        <v/>
      </c>
      <c r="BK864" s="41"/>
      <c r="BL864" s="41"/>
    </row>
    <row r="865" spans="1:64" ht="15">
      <c r="A865" s="4"/>
      <c r="B865" s="4"/>
      <c r="G865" s="5" t="str">
        <f ca="1">IFERROR(__xludf.DUMMYFUNCTION("IFERROR(VLOOKUP(F882,IMPORTRANGE(""https://docs.google.com/spreadsheets/d/1Kvs4KS76FHFqLFIZfrDMff4kP08nblUkihrxltoGBjg/edit#gid=934712705"",""ESENCIAL!A6:BG""),3,FALSE))"),"")</f>
        <v/>
      </c>
      <c r="H865" s="5" t="str">
        <f ca="1">IFERROR(__xludf.DUMMYFUNCTION("IFERROR(VLOOKUP(F882,IMPORTRANGE(""https://docs.google.com/spreadsheets/d/1Kvs4KS76FHFqLFIZfrDMff4kP08nblUkihrxltoGBjg/edit#gid=934712705"",""ESENCIAL!A6:BG""),8,FALSE))"),"")</f>
        <v/>
      </c>
      <c r="L865" s="287"/>
      <c r="S865"/>
      <c r="AU865" s="41" t="str">
        <f t="shared" si="44"/>
        <v/>
      </c>
      <c r="AV865" s="5" t="str">
        <f ca="1">IFERROR(__xludf.DUMMYFUNCTION("IFERROR(VLOOKUP(E882&amp;F882,IMPORTRANGE(""https://docs.google.com/spreadsheets/d/1Uw7-A9f9R21vMXxHZFNpYNeKFtG8_yji4HS352LGlSQ/edit?pli=1#gid=0"",""1_ACUM!A4:S""),11,FALSE))"),"")</f>
        <v/>
      </c>
      <c r="AW865" s="42" t="str">
        <f ca="1">IFERROR(__xludf.DUMMYFUNCTION("IFERROR(VLOOKUP(F882,IMPORTRANGE(""https://docs.google.com/spreadsheets/d/1Kvs4KS76FHFqLFIZfrDMff4kP08nblUkihrxltoGBjg/edit#gid=934712705"",""ESENCIAL!A6:BG""),15,FALSE))"),"")</f>
        <v/>
      </c>
      <c r="AX865" s="21" t="str">
        <f ca="1">IFERROR(__xludf.DUMMYFUNCTION("IFERROR(VLOOKUP(E882&amp;F882,IMPORTRANGE(""https://docs.google.com/spreadsheets/d/1Uw7-A9f9R21vMXxHZFNpYNeKFtG8_yji4HS352LGlSQ/edit?pli=1#gid=0"",""1_ACUM!A4:S""),12,FALSE))"),"")</f>
        <v/>
      </c>
      <c r="AY865" s="43" t="str">
        <f ca="1">IFERROR(__xludf.DUMMYFUNCTION("IFERROR(VLOOKUP(E882&amp;F882,IMPORTRANGE(""https://docs.google.com/spreadsheets/d/1Uw7-A9f9R21vMXxHZFNpYNeKFtG8_yji4HS352LGlSQ/edit?pli=1#gid=0"",""1_ACUM!A4:S""),13,FALSE))"),"")</f>
        <v/>
      </c>
      <c r="AZ865" s="43" t="str">
        <f ca="1">IFERROR(__xludf.DUMMYFUNCTION("IFERROR(VLOOKUP(E882&amp;F882,IMPORTRANGE(""https://docs.google.com/spreadsheets/d/1Uw7-A9f9R21vMXxHZFNpYNeKFtG8_yji4HS352LGlSQ/edit?pli=1#gid=0"",""1_ACUM!A4:S""),14,FALSE))"),"")</f>
        <v/>
      </c>
      <c r="BA865" s="43" t="str">
        <f ca="1">IFERROR(__xludf.DUMMYFUNCTION("IFERROR(VLOOKUP(E882&amp;F882,IMPORTRANGE(""https://docs.google.com/spreadsheets/d/1Uw7-A9f9R21vMXxHZFNpYNeKFtG8_yji4HS352LGlSQ/edit?pli=1#gid=0"",""1_ACUM!A4:S""),15,FALSE))"),"")</f>
        <v/>
      </c>
      <c r="BB865" s="43" t="str">
        <f ca="1">IFERROR(__xludf.DUMMYFUNCTION("IFERROR(VLOOKUP(E882&amp;F882,IMPORTRANGE(""https://docs.google.com/spreadsheets/d/1Uw7-A9f9R21vMXxHZFNpYNeKFtG8_yji4HS352LGlSQ/edit?pli=1#gid=0"",""1_ACUM!A4:S""),16,FALSE))"),"")</f>
        <v/>
      </c>
      <c r="BC865" s="43" t="str">
        <f ca="1">IFERROR(__xludf.DUMMYFUNCTION("IFERROR(VLOOKUP(E882&amp;F882,IMPORTRANGE(""https://docs.google.com/spreadsheets/d/1Uw7-A9f9R21vMXxHZFNpYNeKFtG8_yji4HS352LGlSQ/edit?pli=1#gid=0"",""1_ACUM!A4:S""),17,FALSE))"),"")</f>
        <v/>
      </c>
      <c r="BD865" s="44" t="str">
        <f ca="1">IFERROR(__xludf.DUMMYFUNCTION("IFERROR(VLOOKUP(E882&amp;F882,IMPORTRANGE(""https://docs.google.com/spreadsheets/d/1Uw7-A9f9R21vMXxHZFNpYNeKFtG8_yji4HS352LGlSQ/edit?pli=1#gid=0"",""1_ACUM!A4:S""),18,FALSE))"),"")</f>
        <v/>
      </c>
      <c r="BE865" s="44" t="str">
        <f ca="1">IFERROR(__xludf.DUMMYFUNCTION("IFERROR(VLOOKUP(E882&amp;F882,IMPORTRANGE(""https://docs.google.com/spreadsheets/d/1Uw7-A9f9R21vMXxHZFNpYNeKFtG8_yji4HS352LGlSQ/edit?pli=1#gid=0"",""1_ACUM!A4:S""),19,FALSE))"),"")</f>
        <v/>
      </c>
      <c r="BF865" s="44" t="str">
        <f ca="1">IFERROR(__xludf.DUMMYFUNCTION("IFERROR(VLOOKUP(F882,IMPORTRANGE(""https://docs.google.com/spreadsheets/d/1Kvs4KS76FHFqLFIZfrDMff4kP08nblUkihrxltoGBjg/edit#gid=934712705"",""ESENCIAL!A6:BG""),5,FALSE))"),"")</f>
        <v/>
      </c>
      <c r="BG865" s="44" t="str">
        <f t="shared" si="45"/>
        <v/>
      </c>
      <c r="BH865" s="41" t="str">
        <f t="shared" si="46"/>
        <v/>
      </c>
      <c r="BI865" s="41" t="str">
        <f ca="1">IFERROR(__xludf.DUMMYFUNCTION("IFERROR(VLOOKUP(F882,IMPORTRANGE(""https://docs.google.com/spreadsheets/d/1Kvs4KS76FHFqLFIZfrDMff4kP08nblUkihrxltoGBjg/edit#gid=934712705"",""ESENCIAL!A6:BG""),18,FALSE))"),"")</f>
        <v/>
      </c>
      <c r="BJ865" s="19" t="str">
        <f t="shared" si="47"/>
        <v/>
      </c>
      <c r="BK865" s="41"/>
      <c r="BL865" s="41"/>
    </row>
    <row r="866" spans="1:64" ht="15">
      <c r="A866" s="4"/>
      <c r="B866" s="4"/>
      <c r="G866" s="5" t="str">
        <f ca="1">IFERROR(__xludf.DUMMYFUNCTION("IFERROR(VLOOKUP(F883,IMPORTRANGE(""https://docs.google.com/spreadsheets/d/1Kvs4KS76FHFqLFIZfrDMff4kP08nblUkihrxltoGBjg/edit#gid=934712705"",""ESENCIAL!A6:BG""),3,FALSE))"),"")</f>
        <v/>
      </c>
      <c r="H866" s="5" t="str">
        <f ca="1">IFERROR(__xludf.DUMMYFUNCTION("IFERROR(VLOOKUP(F883,IMPORTRANGE(""https://docs.google.com/spreadsheets/d/1Kvs4KS76FHFqLFIZfrDMff4kP08nblUkihrxltoGBjg/edit#gid=934712705"",""ESENCIAL!A6:BG""),8,FALSE))"),"")</f>
        <v/>
      </c>
      <c r="L866" s="287"/>
      <c r="S866"/>
      <c r="AU866" s="41" t="str">
        <f t="shared" si="44"/>
        <v/>
      </c>
      <c r="AV866" s="5" t="str">
        <f ca="1">IFERROR(__xludf.DUMMYFUNCTION("IFERROR(VLOOKUP(E883&amp;F883,IMPORTRANGE(""https://docs.google.com/spreadsheets/d/1Uw7-A9f9R21vMXxHZFNpYNeKFtG8_yji4HS352LGlSQ/edit?pli=1#gid=0"",""1_ACUM!A4:S""),11,FALSE))"),"")</f>
        <v/>
      </c>
      <c r="AW866" s="42" t="str">
        <f ca="1">IFERROR(__xludf.DUMMYFUNCTION("IFERROR(VLOOKUP(F883,IMPORTRANGE(""https://docs.google.com/spreadsheets/d/1Kvs4KS76FHFqLFIZfrDMff4kP08nblUkihrxltoGBjg/edit#gid=934712705"",""ESENCIAL!A6:BG""),15,FALSE))"),"")</f>
        <v/>
      </c>
      <c r="AX866" s="21" t="str">
        <f ca="1">IFERROR(__xludf.DUMMYFUNCTION("IFERROR(VLOOKUP(E883&amp;F883,IMPORTRANGE(""https://docs.google.com/spreadsheets/d/1Uw7-A9f9R21vMXxHZFNpYNeKFtG8_yji4HS352LGlSQ/edit?pli=1#gid=0"",""1_ACUM!A4:S""),12,FALSE))"),"")</f>
        <v/>
      </c>
      <c r="AY866" s="43" t="str">
        <f ca="1">IFERROR(__xludf.DUMMYFUNCTION("IFERROR(VLOOKUP(E883&amp;F883,IMPORTRANGE(""https://docs.google.com/spreadsheets/d/1Uw7-A9f9R21vMXxHZFNpYNeKFtG8_yji4HS352LGlSQ/edit?pli=1#gid=0"",""1_ACUM!A4:S""),13,FALSE))"),"")</f>
        <v/>
      </c>
      <c r="AZ866" s="43" t="str">
        <f ca="1">IFERROR(__xludf.DUMMYFUNCTION("IFERROR(VLOOKUP(E883&amp;F883,IMPORTRANGE(""https://docs.google.com/spreadsheets/d/1Uw7-A9f9R21vMXxHZFNpYNeKFtG8_yji4HS352LGlSQ/edit?pli=1#gid=0"",""1_ACUM!A4:S""),14,FALSE))"),"")</f>
        <v/>
      </c>
      <c r="BA866" s="43" t="str">
        <f ca="1">IFERROR(__xludf.DUMMYFUNCTION("IFERROR(VLOOKUP(E883&amp;F883,IMPORTRANGE(""https://docs.google.com/spreadsheets/d/1Uw7-A9f9R21vMXxHZFNpYNeKFtG8_yji4HS352LGlSQ/edit?pli=1#gid=0"",""1_ACUM!A4:S""),15,FALSE))"),"")</f>
        <v/>
      </c>
      <c r="BB866" s="43" t="str">
        <f ca="1">IFERROR(__xludf.DUMMYFUNCTION("IFERROR(VLOOKUP(E883&amp;F883,IMPORTRANGE(""https://docs.google.com/spreadsheets/d/1Uw7-A9f9R21vMXxHZFNpYNeKFtG8_yji4HS352LGlSQ/edit?pli=1#gid=0"",""1_ACUM!A4:S""),16,FALSE))"),"")</f>
        <v/>
      </c>
      <c r="BC866" s="43" t="str">
        <f ca="1">IFERROR(__xludf.DUMMYFUNCTION("IFERROR(VLOOKUP(E883&amp;F883,IMPORTRANGE(""https://docs.google.com/spreadsheets/d/1Uw7-A9f9R21vMXxHZFNpYNeKFtG8_yji4HS352LGlSQ/edit?pli=1#gid=0"",""1_ACUM!A4:S""),17,FALSE))"),"")</f>
        <v/>
      </c>
      <c r="BD866" s="44" t="str">
        <f ca="1">IFERROR(__xludf.DUMMYFUNCTION("IFERROR(VLOOKUP(E883&amp;F883,IMPORTRANGE(""https://docs.google.com/spreadsheets/d/1Uw7-A9f9R21vMXxHZFNpYNeKFtG8_yji4HS352LGlSQ/edit?pli=1#gid=0"",""1_ACUM!A4:S""),18,FALSE))"),"")</f>
        <v/>
      </c>
      <c r="BE866" s="44" t="str">
        <f ca="1">IFERROR(__xludf.DUMMYFUNCTION("IFERROR(VLOOKUP(E883&amp;F883,IMPORTRANGE(""https://docs.google.com/spreadsheets/d/1Uw7-A9f9R21vMXxHZFNpYNeKFtG8_yji4HS352LGlSQ/edit?pli=1#gid=0"",""1_ACUM!A4:S""),19,FALSE))"),"")</f>
        <v/>
      </c>
      <c r="BF866" s="44" t="str">
        <f ca="1">IFERROR(__xludf.DUMMYFUNCTION("IFERROR(VLOOKUP(F883,IMPORTRANGE(""https://docs.google.com/spreadsheets/d/1Kvs4KS76FHFqLFIZfrDMff4kP08nblUkihrxltoGBjg/edit#gid=934712705"",""ESENCIAL!A6:BG""),5,FALSE))"),"")</f>
        <v/>
      </c>
      <c r="BG866" s="44" t="str">
        <f t="shared" si="45"/>
        <v/>
      </c>
      <c r="BH866" s="41" t="str">
        <f t="shared" si="46"/>
        <v/>
      </c>
      <c r="BI866" s="41" t="str">
        <f ca="1">IFERROR(__xludf.DUMMYFUNCTION("IFERROR(VLOOKUP(F883,IMPORTRANGE(""https://docs.google.com/spreadsheets/d/1Kvs4KS76FHFqLFIZfrDMff4kP08nblUkihrxltoGBjg/edit#gid=934712705"",""ESENCIAL!A6:BG""),18,FALSE))"),"")</f>
        <v/>
      </c>
      <c r="BJ866" s="19" t="str">
        <f t="shared" si="47"/>
        <v/>
      </c>
      <c r="BK866" s="41"/>
      <c r="BL866" s="41"/>
    </row>
    <row r="867" spans="1:64" ht="15">
      <c r="A867" s="4"/>
      <c r="B867" s="4"/>
      <c r="G867" s="5" t="str">
        <f ca="1">IFERROR(__xludf.DUMMYFUNCTION("IFERROR(VLOOKUP(F884,IMPORTRANGE(""https://docs.google.com/spreadsheets/d/1Kvs4KS76FHFqLFIZfrDMff4kP08nblUkihrxltoGBjg/edit#gid=934712705"",""ESENCIAL!A6:BG""),3,FALSE))"),"")</f>
        <v/>
      </c>
      <c r="H867" s="5" t="str">
        <f ca="1">IFERROR(__xludf.DUMMYFUNCTION("IFERROR(VLOOKUP(F884,IMPORTRANGE(""https://docs.google.com/spreadsheets/d/1Kvs4KS76FHFqLFIZfrDMff4kP08nblUkihrxltoGBjg/edit#gid=934712705"",""ESENCIAL!A6:BG""),8,FALSE))"),"")</f>
        <v/>
      </c>
      <c r="L867" s="287"/>
      <c r="S867"/>
      <c r="AU867" s="41" t="str">
        <f t="shared" si="44"/>
        <v/>
      </c>
      <c r="AV867" s="5" t="str">
        <f ca="1">IFERROR(__xludf.DUMMYFUNCTION("IFERROR(VLOOKUP(E884&amp;F884,IMPORTRANGE(""https://docs.google.com/spreadsheets/d/1Uw7-A9f9R21vMXxHZFNpYNeKFtG8_yji4HS352LGlSQ/edit?pli=1#gid=0"",""1_ACUM!A4:S""),11,FALSE))"),"")</f>
        <v/>
      </c>
      <c r="AW867" s="42" t="str">
        <f ca="1">IFERROR(__xludf.DUMMYFUNCTION("IFERROR(VLOOKUP(F884,IMPORTRANGE(""https://docs.google.com/spreadsheets/d/1Kvs4KS76FHFqLFIZfrDMff4kP08nblUkihrxltoGBjg/edit#gid=934712705"",""ESENCIAL!A6:BG""),15,FALSE))"),"")</f>
        <v/>
      </c>
      <c r="AX867" s="21" t="str">
        <f ca="1">IFERROR(__xludf.DUMMYFUNCTION("IFERROR(VLOOKUP(E884&amp;F884,IMPORTRANGE(""https://docs.google.com/spreadsheets/d/1Uw7-A9f9R21vMXxHZFNpYNeKFtG8_yji4HS352LGlSQ/edit?pli=1#gid=0"",""1_ACUM!A4:S""),12,FALSE))"),"")</f>
        <v/>
      </c>
      <c r="AY867" s="43" t="str">
        <f ca="1">IFERROR(__xludf.DUMMYFUNCTION("IFERROR(VLOOKUP(E884&amp;F884,IMPORTRANGE(""https://docs.google.com/spreadsheets/d/1Uw7-A9f9R21vMXxHZFNpYNeKFtG8_yji4HS352LGlSQ/edit?pli=1#gid=0"",""1_ACUM!A4:S""),13,FALSE))"),"")</f>
        <v/>
      </c>
      <c r="AZ867" s="43" t="str">
        <f ca="1">IFERROR(__xludf.DUMMYFUNCTION("IFERROR(VLOOKUP(E884&amp;F884,IMPORTRANGE(""https://docs.google.com/spreadsheets/d/1Uw7-A9f9R21vMXxHZFNpYNeKFtG8_yji4HS352LGlSQ/edit?pli=1#gid=0"",""1_ACUM!A4:S""),14,FALSE))"),"")</f>
        <v/>
      </c>
      <c r="BA867" s="43" t="str">
        <f ca="1">IFERROR(__xludf.DUMMYFUNCTION("IFERROR(VLOOKUP(E884&amp;F884,IMPORTRANGE(""https://docs.google.com/spreadsheets/d/1Uw7-A9f9R21vMXxHZFNpYNeKFtG8_yji4HS352LGlSQ/edit?pli=1#gid=0"",""1_ACUM!A4:S""),15,FALSE))"),"")</f>
        <v/>
      </c>
      <c r="BB867" s="43" t="str">
        <f ca="1">IFERROR(__xludf.DUMMYFUNCTION("IFERROR(VLOOKUP(E884&amp;F884,IMPORTRANGE(""https://docs.google.com/spreadsheets/d/1Uw7-A9f9R21vMXxHZFNpYNeKFtG8_yji4HS352LGlSQ/edit?pli=1#gid=0"",""1_ACUM!A4:S""),16,FALSE))"),"")</f>
        <v/>
      </c>
      <c r="BC867" s="43" t="str">
        <f ca="1">IFERROR(__xludf.DUMMYFUNCTION("IFERROR(VLOOKUP(E884&amp;F884,IMPORTRANGE(""https://docs.google.com/spreadsheets/d/1Uw7-A9f9R21vMXxHZFNpYNeKFtG8_yji4HS352LGlSQ/edit?pli=1#gid=0"",""1_ACUM!A4:S""),17,FALSE))"),"")</f>
        <v/>
      </c>
      <c r="BD867" s="44" t="str">
        <f ca="1">IFERROR(__xludf.DUMMYFUNCTION("IFERROR(VLOOKUP(E884&amp;F884,IMPORTRANGE(""https://docs.google.com/spreadsheets/d/1Uw7-A9f9R21vMXxHZFNpYNeKFtG8_yji4HS352LGlSQ/edit?pli=1#gid=0"",""1_ACUM!A4:S""),18,FALSE))"),"")</f>
        <v/>
      </c>
      <c r="BE867" s="44" t="str">
        <f ca="1">IFERROR(__xludf.DUMMYFUNCTION("IFERROR(VLOOKUP(E884&amp;F884,IMPORTRANGE(""https://docs.google.com/spreadsheets/d/1Uw7-A9f9R21vMXxHZFNpYNeKFtG8_yji4HS352LGlSQ/edit?pli=1#gid=0"",""1_ACUM!A4:S""),19,FALSE))"),"")</f>
        <v/>
      </c>
      <c r="BF867" s="44" t="str">
        <f ca="1">IFERROR(__xludf.DUMMYFUNCTION("IFERROR(VLOOKUP(F884,IMPORTRANGE(""https://docs.google.com/spreadsheets/d/1Kvs4KS76FHFqLFIZfrDMff4kP08nblUkihrxltoGBjg/edit#gid=934712705"",""ESENCIAL!A6:BG""),5,FALSE))"),"")</f>
        <v/>
      </c>
      <c r="BG867" s="44" t="str">
        <f t="shared" si="45"/>
        <v/>
      </c>
      <c r="BH867" s="41" t="str">
        <f t="shared" si="46"/>
        <v/>
      </c>
      <c r="BI867" s="41" t="str">
        <f ca="1">IFERROR(__xludf.DUMMYFUNCTION("IFERROR(VLOOKUP(F884,IMPORTRANGE(""https://docs.google.com/spreadsheets/d/1Kvs4KS76FHFqLFIZfrDMff4kP08nblUkihrxltoGBjg/edit#gid=934712705"",""ESENCIAL!A6:BG""),18,FALSE))"),"")</f>
        <v/>
      </c>
      <c r="BJ867" s="19" t="str">
        <f t="shared" si="47"/>
        <v/>
      </c>
      <c r="BK867" s="41"/>
      <c r="BL867" s="41"/>
    </row>
    <row r="868" spans="1:64" ht="15">
      <c r="A868" s="4"/>
      <c r="B868" s="4"/>
      <c r="G868" s="5" t="str">
        <f ca="1">IFERROR(__xludf.DUMMYFUNCTION("IFERROR(VLOOKUP(F885,IMPORTRANGE(""https://docs.google.com/spreadsheets/d/1Kvs4KS76FHFqLFIZfrDMff4kP08nblUkihrxltoGBjg/edit#gid=934712705"",""ESENCIAL!A6:BG""),3,FALSE))"),"")</f>
        <v/>
      </c>
      <c r="H868" s="5" t="str">
        <f ca="1">IFERROR(__xludf.DUMMYFUNCTION("IFERROR(VLOOKUP(F885,IMPORTRANGE(""https://docs.google.com/spreadsheets/d/1Kvs4KS76FHFqLFIZfrDMff4kP08nblUkihrxltoGBjg/edit#gid=934712705"",""ESENCIAL!A6:BG""),8,FALSE))"),"")</f>
        <v/>
      </c>
      <c r="L868" s="287"/>
      <c r="S868"/>
      <c r="AU868" s="41" t="str">
        <f t="shared" si="44"/>
        <v/>
      </c>
      <c r="AV868" s="5" t="str">
        <f ca="1">IFERROR(__xludf.DUMMYFUNCTION("IFERROR(VLOOKUP(E885&amp;F885,IMPORTRANGE(""https://docs.google.com/spreadsheets/d/1Uw7-A9f9R21vMXxHZFNpYNeKFtG8_yji4HS352LGlSQ/edit?pli=1#gid=0"",""1_ACUM!A4:S""),11,FALSE))"),"")</f>
        <v/>
      </c>
      <c r="AW868" s="42" t="str">
        <f ca="1">IFERROR(__xludf.DUMMYFUNCTION("IFERROR(VLOOKUP(F885,IMPORTRANGE(""https://docs.google.com/spreadsheets/d/1Kvs4KS76FHFqLFIZfrDMff4kP08nblUkihrxltoGBjg/edit#gid=934712705"",""ESENCIAL!A6:BG""),15,FALSE))"),"")</f>
        <v/>
      </c>
      <c r="AX868" s="21" t="str">
        <f ca="1">IFERROR(__xludf.DUMMYFUNCTION("IFERROR(VLOOKUP(E885&amp;F885,IMPORTRANGE(""https://docs.google.com/spreadsheets/d/1Uw7-A9f9R21vMXxHZFNpYNeKFtG8_yji4HS352LGlSQ/edit?pli=1#gid=0"",""1_ACUM!A4:S""),12,FALSE))"),"")</f>
        <v/>
      </c>
      <c r="AY868" s="43" t="str">
        <f ca="1">IFERROR(__xludf.DUMMYFUNCTION("IFERROR(VLOOKUP(E885&amp;F885,IMPORTRANGE(""https://docs.google.com/spreadsheets/d/1Uw7-A9f9R21vMXxHZFNpYNeKFtG8_yji4HS352LGlSQ/edit?pli=1#gid=0"",""1_ACUM!A4:S""),13,FALSE))"),"")</f>
        <v/>
      </c>
      <c r="AZ868" s="43" t="str">
        <f ca="1">IFERROR(__xludf.DUMMYFUNCTION("IFERROR(VLOOKUP(E885&amp;F885,IMPORTRANGE(""https://docs.google.com/spreadsheets/d/1Uw7-A9f9R21vMXxHZFNpYNeKFtG8_yji4HS352LGlSQ/edit?pli=1#gid=0"",""1_ACUM!A4:S""),14,FALSE))"),"")</f>
        <v/>
      </c>
      <c r="BA868" s="43" t="str">
        <f ca="1">IFERROR(__xludf.DUMMYFUNCTION("IFERROR(VLOOKUP(E885&amp;F885,IMPORTRANGE(""https://docs.google.com/spreadsheets/d/1Uw7-A9f9R21vMXxHZFNpYNeKFtG8_yji4HS352LGlSQ/edit?pli=1#gid=0"",""1_ACUM!A4:S""),15,FALSE))"),"")</f>
        <v/>
      </c>
      <c r="BB868" s="43" t="str">
        <f ca="1">IFERROR(__xludf.DUMMYFUNCTION("IFERROR(VLOOKUP(E885&amp;F885,IMPORTRANGE(""https://docs.google.com/spreadsheets/d/1Uw7-A9f9R21vMXxHZFNpYNeKFtG8_yji4HS352LGlSQ/edit?pli=1#gid=0"",""1_ACUM!A4:S""),16,FALSE))"),"")</f>
        <v/>
      </c>
      <c r="BC868" s="43" t="str">
        <f ca="1">IFERROR(__xludf.DUMMYFUNCTION("IFERROR(VLOOKUP(E885&amp;F885,IMPORTRANGE(""https://docs.google.com/spreadsheets/d/1Uw7-A9f9R21vMXxHZFNpYNeKFtG8_yji4HS352LGlSQ/edit?pli=1#gid=0"",""1_ACUM!A4:S""),17,FALSE))"),"")</f>
        <v/>
      </c>
      <c r="BD868" s="44" t="str">
        <f ca="1">IFERROR(__xludf.DUMMYFUNCTION("IFERROR(VLOOKUP(E885&amp;F885,IMPORTRANGE(""https://docs.google.com/spreadsheets/d/1Uw7-A9f9R21vMXxHZFNpYNeKFtG8_yji4HS352LGlSQ/edit?pli=1#gid=0"",""1_ACUM!A4:S""),18,FALSE))"),"")</f>
        <v/>
      </c>
      <c r="BE868" s="44" t="str">
        <f ca="1">IFERROR(__xludf.DUMMYFUNCTION("IFERROR(VLOOKUP(E885&amp;F885,IMPORTRANGE(""https://docs.google.com/spreadsheets/d/1Uw7-A9f9R21vMXxHZFNpYNeKFtG8_yji4HS352LGlSQ/edit?pli=1#gid=0"",""1_ACUM!A4:S""),19,FALSE))"),"")</f>
        <v/>
      </c>
      <c r="BF868" s="44" t="str">
        <f ca="1">IFERROR(__xludf.DUMMYFUNCTION("IFERROR(VLOOKUP(F885,IMPORTRANGE(""https://docs.google.com/spreadsheets/d/1Kvs4KS76FHFqLFIZfrDMff4kP08nblUkihrxltoGBjg/edit#gid=934712705"",""ESENCIAL!A6:BG""),5,FALSE))"),"")</f>
        <v/>
      </c>
      <c r="BG868" s="44" t="str">
        <f t="shared" si="45"/>
        <v/>
      </c>
      <c r="BH868" s="41" t="str">
        <f t="shared" si="46"/>
        <v/>
      </c>
      <c r="BI868" s="41" t="str">
        <f ca="1">IFERROR(__xludf.DUMMYFUNCTION("IFERROR(VLOOKUP(F885,IMPORTRANGE(""https://docs.google.com/spreadsheets/d/1Kvs4KS76FHFqLFIZfrDMff4kP08nblUkihrxltoGBjg/edit#gid=934712705"",""ESENCIAL!A6:BG""),18,FALSE))"),"")</f>
        <v/>
      </c>
      <c r="BJ868" s="19" t="str">
        <f t="shared" si="47"/>
        <v/>
      </c>
      <c r="BK868" s="41"/>
      <c r="BL868" s="41"/>
    </row>
    <row r="869" spans="1:64" ht="15">
      <c r="A869" s="4"/>
      <c r="B869" s="4"/>
      <c r="G869" s="5" t="str">
        <f ca="1">IFERROR(__xludf.DUMMYFUNCTION("IFERROR(VLOOKUP(F886,IMPORTRANGE(""https://docs.google.com/spreadsheets/d/1Kvs4KS76FHFqLFIZfrDMff4kP08nblUkihrxltoGBjg/edit#gid=934712705"",""ESENCIAL!A6:BG""),3,FALSE))"),"")</f>
        <v/>
      </c>
      <c r="H869" s="5" t="str">
        <f ca="1">IFERROR(__xludf.DUMMYFUNCTION("IFERROR(VLOOKUP(F886,IMPORTRANGE(""https://docs.google.com/spreadsheets/d/1Kvs4KS76FHFqLFIZfrDMff4kP08nblUkihrxltoGBjg/edit#gid=934712705"",""ESENCIAL!A6:BG""),8,FALSE))"),"")</f>
        <v/>
      </c>
      <c r="L869" s="287"/>
      <c r="S869"/>
      <c r="AU869" s="41" t="str">
        <f t="shared" si="44"/>
        <v/>
      </c>
      <c r="AV869" s="5" t="str">
        <f ca="1">IFERROR(__xludf.DUMMYFUNCTION("IFERROR(VLOOKUP(E886&amp;F886,IMPORTRANGE(""https://docs.google.com/spreadsheets/d/1Uw7-A9f9R21vMXxHZFNpYNeKFtG8_yji4HS352LGlSQ/edit?pli=1#gid=0"",""1_ACUM!A4:S""),11,FALSE))"),"")</f>
        <v/>
      </c>
      <c r="AW869" s="42" t="str">
        <f ca="1">IFERROR(__xludf.DUMMYFUNCTION("IFERROR(VLOOKUP(F886,IMPORTRANGE(""https://docs.google.com/spreadsheets/d/1Kvs4KS76FHFqLFIZfrDMff4kP08nblUkihrxltoGBjg/edit#gid=934712705"",""ESENCIAL!A6:BG""),15,FALSE))"),"")</f>
        <v/>
      </c>
      <c r="AX869" s="21" t="str">
        <f ca="1">IFERROR(__xludf.DUMMYFUNCTION("IFERROR(VLOOKUP(E886&amp;F886,IMPORTRANGE(""https://docs.google.com/spreadsheets/d/1Uw7-A9f9R21vMXxHZFNpYNeKFtG8_yji4HS352LGlSQ/edit?pli=1#gid=0"",""1_ACUM!A4:S""),12,FALSE))"),"")</f>
        <v/>
      </c>
      <c r="AY869" s="43" t="str">
        <f ca="1">IFERROR(__xludf.DUMMYFUNCTION("IFERROR(VLOOKUP(E886&amp;F886,IMPORTRANGE(""https://docs.google.com/spreadsheets/d/1Uw7-A9f9R21vMXxHZFNpYNeKFtG8_yji4HS352LGlSQ/edit?pli=1#gid=0"",""1_ACUM!A4:S""),13,FALSE))"),"")</f>
        <v/>
      </c>
      <c r="AZ869" s="43" t="str">
        <f ca="1">IFERROR(__xludf.DUMMYFUNCTION("IFERROR(VLOOKUP(E886&amp;F886,IMPORTRANGE(""https://docs.google.com/spreadsheets/d/1Uw7-A9f9R21vMXxHZFNpYNeKFtG8_yji4HS352LGlSQ/edit?pli=1#gid=0"",""1_ACUM!A4:S""),14,FALSE))"),"")</f>
        <v/>
      </c>
      <c r="BA869" s="43" t="str">
        <f ca="1">IFERROR(__xludf.DUMMYFUNCTION("IFERROR(VLOOKUP(E886&amp;F886,IMPORTRANGE(""https://docs.google.com/spreadsheets/d/1Uw7-A9f9R21vMXxHZFNpYNeKFtG8_yji4HS352LGlSQ/edit?pli=1#gid=0"",""1_ACUM!A4:S""),15,FALSE))"),"")</f>
        <v/>
      </c>
      <c r="BB869" s="43" t="str">
        <f ca="1">IFERROR(__xludf.DUMMYFUNCTION("IFERROR(VLOOKUP(E886&amp;F886,IMPORTRANGE(""https://docs.google.com/spreadsheets/d/1Uw7-A9f9R21vMXxHZFNpYNeKFtG8_yji4HS352LGlSQ/edit?pli=1#gid=0"",""1_ACUM!A4:S""),16,FALSE))"),"")</f>
        <v/>
      </c>
      <c r="BC869" s="43" t="str">
        <f ca="1">IFERROR(__xludf.DUMMYFUNCTION("IFERROR(VLOOKUP(E886&amp;F886,IMPORTRANGE(""https://docs.google.com/spreadsheets/d/1Uw7-A9f9R21vMXxHZFNpYNeKFtG8_yji4HS352LGlSQ/edit?pli=1#gid=0"",""1_ACUM!A4:S""),17,FALSE))"),"")</f>
        <v/>
      </c>
      <c r="BD869" s="44" t="str">
        <f ca="1">IFERROR(__xludf.DUMMYFUNCTION("IFERROR(VLOOKUP(E886&amp;F886,IMPORTRANGE(""https://docs.google.com/spreadsheets/d/1Uw7-A9f9R21vMXxHZFNpYNeKFtG8_yji4HS352LGlSQ/edit?pli=1#gid=0"",""1_ACUM!A4:S""),18,FALSE))"),"")</f>
        <v/>
      </c>
      <c r="BE869" s="44" t="str">
        <f ca="1">IFERROR(__xludf.DUMMYFUNCTION("IFERROR(VLOOKUP(E886&amp;F886,IMPORTRANGE(""https://docs.google.com/spreadsheets/d/1Uw7-A9f9R21vMXxHZFNpYNeKFtG8_yji4HS352LGlSQ/edit?pli=1#gid=0"",""1_ACUM!A4:S""),19,FALSE))"),"")</f>
        <v/>
      </c>
      <c r="BF869" s="44" t="str">
        <f ca="1">IFERROR(__xludf.DUMMYFUNCTION("IFERROR(VLOOKUP(F886,IMPORTRANGE(""https://docs.google.com/spreadsheets/d/1Kvs4KS76FHFqLFIZfrDMff4kP08nblUkihrxltoGBjg/edit#gid=934712705"",""ESENCIAL!A6:BG""),5,FALSE))"),"")</f>
        <v/>
      </c>
      <c r="BG869" s="44" t="str">
        <f t="shared" si="45"/>
        <v/>
      </c>
      <c r="BH869" s="41" t="str">
        <f t="shared" si="46"/>
        <v/>
      </c>
      <c r="BI869" s="41" t="str">
        <f ca="1">IFERROR(__xludf.DUMMYFUNCTION("IFERROR(VLOOKUP(F886,IMPORTRANGE(""https://docs.google.com/spreadsheets/d/1Kvs4KS76FHFqLFIZfrDMff4kP08nblUkihrxltoGBjg/edit#gid=934712705"",""ESENCIAL!A6:BG""),18,FALSE))"),"")</f>
        <v/>
      </c>
      <c r="BJ869" s="19" t="str">
        <f t="shared" si="47"/>
        <v/>
      </c>
      <c r="BK869" s="41"/>
      <c r="BL869" s="41"/>
    </row>
    <row r="870" spans="1:64" ht="15">
      <c r="A870" s="4"/>
      <c r="B870" s="4"/>
      <c r="G870" s="5" t="str">
        <f ca="1">IFERROR(__xludf.DUMMYFUNCTION("IFERROR(VLOOKUP(F887,IMPORTRANGE(""https://docs.google.com/spreadsheets/d/1Kvs4KS76FHFqLFIZfrDMff4kP08nblUkihrxltoGBjg/edit#gid=934712705"",""ESENCIAL!A6:BG""),3,FALSE))"),"")</f>
        <v/>
      </c>
      <c r="H870" s="5" t="str">
        <f ca="1">IFERROR(__xludf.DUMMYFUNCTION("IFERROR(VLOOKUP(F887,IMPORTRANGE(""https://docs.google.com/spreadsheets/d/1Kvs4KS76FHFqLFIZfrDMff4kP08nblUkihrxltoGBjg/edit#gid=934712705"",""ESENCIAL!A6:BG""),8,FALSE))"),"")</f>
        <v/>
      </c>
      <c r="L870" s="287"/>
      <c r="S870"/>
      <c r="AU870" s="41" t="str">
        <f t="shared" si="44"/>
        <v/>
      </c>
      <c r="AV870" s="5" t="str">
        <f ca="1">IFERROR(__xludf.DUMMYFUNCTION("IFERROR(VLOOKUP(E887&amp;F887,IMPORTRANGE(""https://docs.google.com/spreadsheets/d/1Uw7-A9f9R21vMXxHZFNpYNeKFtG8_yji4HS352LGlSQ/edit?pli=1#gid=0"",""1_ACUM!A4:S""),11,FALSE))"),"")</f>
        <v/>
      </c>
      <c r="AW870" s="42" t="str">
        <f ca="1">IFERROR(__xludf.DUMMYFUNCTION("IFERROR(VLOOKUP(F887,IMPORTRANGE(""https://docs.google.com/spreadsheets/d/1Kvs4KS76FHFqLFIZfrDMff4kP08nblUkihrxltoGBjg/edit#gid=934712705"",""ESENCIAL!A6:BG""),15,FALSE))"),"")</f>
        <v/>
      </c>
      <c r="AX870" s="21" t="str">
        <f ca="1">IFERROR(__xludf.DUMMYFUNCTION("IFERROR(VLOOKUP(E887&amp;F887,IMPORTRANGE(""https://docs.google.com/spreadsheets/d/1Uw7-A9f9R21vMXxHZFNpYNeKFtG8_yji4HS352LGlSQ/edit?pli=1#gid=0"",""1_ACUM!A4:S""),12,FALSE))"),"")</f>
        <v/>
      </c>
      <c r="AY870" s="43" t="str">
        <f ca="1">IFERROR(__xludf.DUMMYFUNCTION("IFERROR(VLOOKUP(E887&amp;F887,IMPORTRANGE(""https://docs.google.com/spreadsheets/d/1Uw7-A9f9R21vMXxHZFNpYNeKFtG8_yji4HS352LGlSQ/edit?pli=1#gid=0"",""1_ACUM!A4:S""),13,FALSE))"),"")</f>
        <v/>
      </c>
      <c r="AZ870" s="43" t="str">
        <f ca="1">IFERROR(__xludf.DUMMYFUNCTION("IFERROR(VLOOKUP(E887&amp;F887,IMPORTRANGE(""https://docs.google.com/spreadsheets/d/1Uw7-A9f9R21vMXxHZFNpYNeKFtG8_yji4HS352LGlSQ/edit?pli=1#gid=0"",""1_ACUM!A4:S""),14,FALSE))"),"")</f>
        <v/>
      </c>
      <c r="BA870" s="43" t="str">
        <f ca="1">IFERROR(__xludf.DUMMYFUNCTION("IFERROR(VLOOKUP(E887&amp;F887,IMPORTRANGE(""https://docs.google.com/spreadsheets/d/1Uw7-A9f9R21vMXxHZFNpYNeKFtG8_yji4HS352LGlSQ/edit?pli=1#gid=0"",""1_ACUM!A4:S""),15,FALSE))"),"")</f>
        <v/>
      </c>
      <c r="BB870" s="43" t="str">
        <f ca="1">IFERROR(__xludf.DUMMYFUNCTION("IFERROR(VLOOKUP(E887&amp;F887,IMPORTRANGE(""https://docs.google.com/spreadsheets/d/1Uw7-A9f9R21vMXxHZFNpYNeKFtG8_yji4HS352LGlSQ/edit?pli=1#gid=0"",""1_ACUM!A4:S""),16,FALSE))"),"")</f>
        <v/>
      </c>
      <c r="BC870" s="43" t="str">
        <f ca="1">IFERROR(__xludf.DUMMYFUNCTION("IFERROR(VLOOKUP(E887&amp;F887,IMPORTRANGE(""https://docs.google.com/spreadsheets/d/1Uw7-A9f9R21vMXxHZFNpYNeKFtG8_yji4HS352LGlSQ/edit?pli=1#gid=0"",""1_ACUM!A4:S""),17,FALSE))"),"")</f>
        <v/>
      </c>
      <c r="BD870" s="44" t="str">
        <f ca="1">IFERROR(__xludf.DUMMYFUNCTION("IFERROR(VLOOKUP(E887&amp;F887,IMPORTRANGE(""https://docs.google.com/spreadsheets/d/1Uw7-A9f9R21vMXxHZFNpYNeKFtG8_yji4HS352LGlSQ/edit?pli=1#gid=0"",""1_ACUM!A4:S""),18,FALSE))"),"")</f>
        <v/>
      </c>
      <c r="BE870" s="44" t="str">
        <f ca="1">IFERROR(__xludf.DUMMYFUNCTION("IFERROR(VLOOKUP(E887&amp;F887,IMPORTRANGE(""https://docs.google.com/spreadsheets/d/1Uw7-A9f9R21vMXxHZFNpYNeKFtG8_yji4HS352LGlSQ/edit?pli=1#gid=0"",""1_ACUM!A4:S""),19,FALSE))"),"")</f>
        <v/>
      </c>
      <c r="BF870" s="44" t="str">
        <f ca="1">IFERROR(__xludf.DUMMYFUNCTION("IFERROR(VLOOKUP(F887,IMPORTRANGE(""https://docs.google.com/spreadsheets/d/1Kvs4KS76FHFqLFIZfrDMff4kP08nblUkihrxltoGBjg/edit#gid=934712705"",""ESENCIAL!A6:BG""),5,FALSE))"),"")</f>
        <v/>
      </c>
      <c r="BG870" s="44" t="str">
        <f t="shared" si="45"/>
        <v/>
      </c>
      <c r="BH870" s="41" t="str">
        <f t="shared" si="46"/>
        <v/>
      </c>
      <c r="BI870" s="41" t="str">
        <f ca="1">IFERROR(__xludf.DUMMYFUNCTION("IFERROR(VLOOKUP(F887,IMPORTRANGE(""https://docs.google.com/spreadsheets/d/1Kvs4KS76FHFqLFIZfrDMff4kP08nblUkihrxltoGBjg/edit#gid=934712705"",""ESENCIAL!A6:BG""),18,FALSE))"),"")</f>
        <v/>
      </c>
      <c r="BJ870" s="19" t="str">
        <f t="shared" si="47"/>
        <v/>
      </c>
      <c r="BK870" s="41"/>
      <c r="BL870" s="41"/>
    </row>
    <row r="871" spans="1:64" ht="15">
      <c r="A871" s="4"/>
      <c r="B871" s="4"/>
      <c r="G871" s="5" t="str">
        <f ca="1">IFERROR(__xludf.DUMMYFUNCTION("IFERROR(VLOOKUP(F888,IMPORTRANGE(""https://docs.google.com/spreadsheets/d/1Kvs4KS76FHFqLFIZfrDMff4kP08nblUkihrxltoGBjg/edit#gid=934712705"",""ESENCIAL!A6:BG""),3,FALSE))"),"")</f>
        <v/>
      </c>
      <c r="H871" s="5" t="str">
        <f ca="1">IFERROR(__xludf.DUMMYFUNCTION("IFERROR(VLOOKUP(F888,IMPORTRANGE(""https://docs.google.com/spreadsheets/d/1Kvs4KS76FHFqLFIZfrDMff4kP08nblUkihrxltoGBjg/edit#gid=934712705"",""ESENCIAL!A6:BG""),8,FALSE))"),"")</f>
        <v/>
      </c>
      <c r="L871" s="287"/>
      <c r="S871"/>
      <c r="AU871" s="41" t="str">
        <f t="shared" si="44"/>
        <v/>
      </c>
      <c r="AV871" s="5" t="str">
        <f ca="1">IFERROR(__xludf.DUMMYFUNCTION("IFERROR(VLOOKUP(E888&amp;F888,IMPORTRANGE(""https://docs.google.com/spreadsheets/d/1Uw7-A9f9R21vMXxHZFNpYNeKFtG8_yji4HS352LGlSQ/edit?pli=1#gid=0"",""1_ACUM!A4:S""),11,FALSE))"),"")</f>
        <v/>
      </c>
      <c r="AW871" s="42" t="str">
        <f ca="1">IFERROR(__xludf.DUMMYFUNCTION("IFERROR(VLOOKUP(F888,IMPORTRANGE(""https://docs.google.com/spreadsheets/d/1Kvs4KS76FHFqLFIZfrDMff4kP08nblUkihrxltoGBjg/edit#gid=934712705"",""ESENCIAL!A6:BG""),15,FALSE))"),"")</f>
        <v/>
      </c>
      <c r="AX871" s="21" t="str">
        <f ca="1">IFERROR(__xludf.DUMMYFUNCTION("IFERROR(VLOOKUP(E888&amp;F888,IMPORTRANGE(""https://docs.google.com/spreadsheets/d/1Uw7-A9f9R21vMXxHZFNpYNeKFtG8_yji4HS352LGlSQ/edit?pli=1#gid=0"",""1_ACUM!A4:S""),12,FALSE))"),"")</f>
        <v/>
      </c>
      <c r="AY871" s="43" t="str">
        <f ca="1">IFERROR(__xludf.DUMMYFUNCTION("IFERROR(VLOOKUP(E888&amp;F888,IMPORTRANGE(""https://docs.google.com/spreadsheets/d/1Uw7-A9f9R21vMXxHZFNpYNeKFtG8_yji4HS352LGlSQ/edit?pli=1#gid=0"",""1_ACUM!A4:S""),13,FALSE))"),"")</f>
        <v/>
      </c>
      <c r="AZ871" s="43" t="str">
        <f ca="1">IFERROR(__xludf.DUMMYFUNCTION("IFERROR(VLOOKUP(E888&amp;F888,IMPORTRANGE(""https://docs.google.com/spreadsheets/d/1Uw7-A9f9R21vMXxHZFNpYNeKFtG8_yji4HS352LGlSQ/edit?pli=1#gid=0"",""1_ACUM!A4:S""),14,FALSE))"),"")</f>
        <v/>
      </c>
      <c r="BA871" s="43" t="str">
        <f ca="1">IFERROR(__xludf.DUMMYFUNCTION("IFERROR(VLOOKUP(E888&amp;F888,IMPORTRANGE(""https://docs.google.com/spreadsheets/d/1Uw7-A9f9R21vMXxHZFNpYNeKFtG8_yji4HS352LGlSQ/edit?pli=1#gid=0"",""1_ACUM!A4:S""),15,FALSE))"),"")</f>
        <v/>
      </c>
      <c r="BB871" s="43" t="str">
        <f ca="1">IFERROR(__xludf.DUMMYFUNCTION("IFERROR(VLOOKUP(E888&amp;F888,IMPORTRANGE(""https://docs.google.com/spreadsheets/d/1Uw7-A9f9R21vMXxHZFNpYNeKFtG8_yji4HS352LGlSQ/edit?pli=1#gid=0"",""1_ACUM!A4:S""),16,FALSE))"),"")</f>
        <v/>
      </c>
      <c r="BC871" s="43" t="str">
        <f ca="1">IFERROR(__xludf.DUMMYFUNCTION("IFERROR(VLOOKUP(E888&amp;F888,IMPORTRANGE(""https://docs.google.com/spreadsheets/d/1Uw7-A9f9R21vMXxHZFNpYNeKFtG8_yji4HS352LGlSQ/edit?pli=1#gid=0"",""1_ACUM!A4:S""),17,FALSE))"),"")</f>
        <v/>
      </c>
      <c r="BD871" s="44" t="str">
        <f ca="1">IFERROR(__xludf.DUMMYFUNCTION("IFERROR(VLOOKUP(E888&amp;F888,IMPORTRANGE(""https://docs.google.com/spreadsheets/d/1Uw7-A9f9R21vMXxHZFNpYNeKFtG8_yji4HS352LGlSQ/edit?pli=1#gid=0"",""1_ACUM!A4:S""),18,FALSE))"),"")</f>
        <v/>
      </c>
      <c r="BE871" s="44" t="str">
        <f ca="1">IFERROR(__xludf.DUMMYFUNCTION("IFERROR(VLOOKUP(E888&amp;F888,IMPORTRANGE(""https://docs.google.com/spreadsheets/d/1Uw7-A9f9R21vMXxHZFNpYNeKFtG8_yji4HS352LGlSQ/edit?pli=1#gid=0"",""1_ACUM!A4:S""),19,FALSE))"),"")</f>
        <v/>
      </c>
      <c r="BF871" s="44" t="str">
        <f ca="1">IFERROR(__xludf.DUMMYFUNCTION("IFERROR(VLOOKUP(F888,IMPORTRANGE(""https://docs.google.com/spreadsheets/d/1Kvs4KS76FHFqLFIZfrDMff4kP08nblUkihrxltoGBjg/edit#gid=934712705"",""ESENCIAL!A6:BG""),5,FALSE))"),"")</f>
        <v/>
      </c>
      <c r="BG871" s="44" t="str">
        <f t="shared" si="45"/>
        <v/>
      </c>
      <c r="BH871" s="41" t="str">
        <f t="shared" si="46"/>
        <v/>
      </c>
      <c r="BI871" s="41" t="str">
        <f ca="1">IFERROR(__xludf.DUMMYFUNCTION("IFERROR(VLOOKUP(F888,IMPORTRANGE(""https://docs.google.com/spreadsheets/d/1Kvs4KS76FHFqLFIZfrDMff4kP08nblUkihrxltoGBjg/edit#gid=934712705"",""ESENCIAL!A6:BG""),18,FALSE))"),"")</f>
        <v/>
      </c>
      <c r="BJ871" s="19" t="str">
        <f t="shared" si="47"/>
        <v/>
      </c>
      <c r="BK871" s="41"/>
      <c r="BL871" s="41"/>
    </row>
    <row r="872" spans="1:64" ht="15">
      <c r="A872" s="4"/>
      <c r="B872" s="4"/>
      <c r="G872" s="5" t="str">
        <f ca="1">IFERROR(__xludf.DUMMYFUNCTION("IFERROR(VLOOKUP(F889,IMPORTRANGE(""https://docs.google.com/spreadsheets/d/1Kvs4KS76FHFqLFIZfrDMff4kP08nblUkihrxltoGBjg/edit#gid=934712705"",""ESENCIAL!A6:BG""),3,FALSE))"),"")</f>
        <v/>
      </c>
      <c r="H872" s="5" t="str">
        <f ca="1">IFERROR(__xludf.DUMMYFUNCTION("IFERROR(VLOOKUP(F889,IMPORTRANGE(""https://docs.google.com/spreadsheets/d/1Kvs4KS76FHFqLFIZfrDMff4kP08nblUkihrxltoGBjg/edit#gid=934712705"",""ESENCIAL!A6:BG""),8,FALSE))"),"")</f>
        <v/>
      </c>
      <c r="L872" s="287"/>
      <c r="S872"/>
      <c r="AU872" s="41" t="str">
        <f t="shared" si="44"/>
        <v/>
      </c>
      <c r="AV872" s="5" t="str">
        <f ca="1">IFERROR(__xludf.DUMMYFUNCTION("IFERROR(VLOOKUP(E889&amp;F889,IMPORTRANGE(""https://docs.google.com/spreadsheets/d/1Uw7-A9f9R21vMXxHZFNpYNeKFtG8_yji4HS352LGlSQ/edit?pli=1#gid=0"",""1_ACUM!A4:S""),11,FALSE))"),"")</f>
        <v/>
      </c>
      <c r="AW872" s="42" t="str">
        <f ca="1">IFERROR(__xludf.DUMMYFUNCTION("IFERROR(VLOOKUP(F889,IMPORTRANGE(""https://docs.google.com/spreadsheets/d/1Kvs4KS76FHFqLFIZfrDMff4kP08nblUkihrxltoGBjg/edit#gid=934712705"",""ESENCIAL!A6:BG""),15,FALSE))"),"")</f>
        <v/>
      </c>
      <c r="AX872" s="21" t="str">
        <f ca="1">IFERROR(__xludf.DUMMYFUNCTION("IFERROR(VLOOKUP(E889&amp;F889,IMPORTRANGE(""https://docs.google.com/spreadsheets/d/1Uw7-A9f9R21vMXxHZFNpYNeKFtG8_yji4HS352LGlSQ/edit?pli=1#gid=0"",""1_ACUM!A4:S""),12,FALSE))"),"")</f>
        <v/>
      </c>
      <c r="AY872" s="43" t="str">
        <f ca="1">IFERROR(__xludf.DUMMYFUNCTION("IFERROR(VLOOKUP(E889&amp;F889,IMPORTRANGE(""https://docs.google.com/spreadsheets/d/1Uw7-A9f9R21vMXxHZFNpYNeKFtG8_yji4HS352LGlSQ/edit?pli=1#gid=0"",""1_ACUM!A4:S""),13,FALSE))"),"")</f>
        <v/>
      </c>
      <c r="AZ872" s="43" t="str">
        <f ca="1">IFERROR(__xludf.DUMMYFUNCTION("IFERROR(VLOOKUP(E889&amp;F889,IMPORTRANGE(""https://docs.google.com/spreadsheets/d/1Uw7-A9f9R21vMXxHZFNpYNeKFtG8_yji4HS352LGlSQ/edit?pli=1#gid=0"",""1_ACUM!A4:S""),14,FALSE))"),"")</f>
        <v/>
      </c>
      <c r="BA872" s="43" t="str">
        <f ca="1">IFERROR(__xludf.DUMMYFUNCTION("IFERROR(VLOOKUP(E889&amp;F889,IMPORTRANGE(""https://docs.google.com/spreadsheets/d/1Uw7-A9f9R21vMXxHZFNpYNeKFtG8_yji4HS352LGlSQ/edit?pli=1#gid=0"",""1_ACUM!A4:S""),15,FALSE))"),"")</f>
        <v/>
      </c>
      <c r="BB872" s="43" t="str">
        <f ca="1">IFERROR(__xludf.DUMMYFUNCTION("IFERROR(VLOOKUP(E889&amp;F889,IMPORTRANGE(""https://docs.google.com/spreadsheets/d/1Uw7-A9f9R21vMXxHZFNpYNeKFtG8_yji4HS352LGlSQ/edit?pli=1#gid=0"",""1_ACUM!A4:S""),16,FALSE))"),"")</f>
        <v/>
      </c>
      <c r="BC872" s="43" t="str">
        <f ca="1">IFERROR(__xludf.DUMMYFUNCTION("IFERROR(VLOOKUP(E889&amp;F889,IMPORTRANGE(""https://docs.google.com/spreadsheets/d/1Uw7-A9f9R21vMXxHZFNpYNeKFtG8_yji4HS352LGlSQ/edit?pli=1#gid=0"",""1_ACUM!A4:S""),17,FALSE))"),"")</f>
        <v/>
      </c>
      <c r="BD872" s="44" t="str">
        <f ca="1">IFERROR(__xludf.DUMMYFUNCTION("IFERROR(VLOOKUP(E889&amp;F889,IMPORTRANGE(""https://docs.google.com/spreadsheets/d/1Uw7-A9f9R21vMXxHZFNpYNeKFtG8_yji4HS352LGlSQ/edit?pli=1#gid=0"",""1_ACUM!A4:S""),18,FALSE))"),"")</f>
        <v/>
      </c>
      <c r="BE872" s="44" t="str">
        <f ca="1">IFERROR(__xludf.DUMMYFUNCTION("IFERROR(VLOOKUP(E889&amp;F889,IMPORTRANGE(""https://docs.google.com/spreadsheets/d/1Uw7-A9f9R21vMXxHZFNpYNeKFtG8_yji4HS352LGlSQ/edit?pli=1#gid=0"",""1_ACUM!A4:S""),19,FALSE))"),"")</f>
        <v/>
      </c>
      <c r="BF872" s="44" t="str">
        <f ca="1">IFERROR(__xludf.DUMMYFUNCTION("IFERROR(VLOOKUP(F889,IMPORTRANGE(""https://docs.google.com/spreadsheets/d/1Kvs4KS76FHFqLFIZfrDMff4kP08nblUkihrxltoGBjg/edit#gid=934712705"",""ESENCIAL!A6:BG""),5,FALSE))"),"")</f>
        <v/>
      </c>
      <c r="BG872" s="44" t="str">
        <f t="shared" si="45"/>
        <v/>
      </c>
      <c r="BH872" s="41" t="str">
        <f t="shared" si="46"/>
        <v/>
      </c>
      <c r="BI872" s="41" t="str">
        <f ca="1">IFERROR(__xludf.DUMMYFUNCTION("IFERROR(VLOOKUP(F889,IMPORTRANGE(""https://docs.google.com/spreadsheets/d/1Kvs4KS76FHFqLFIZfrDMff4kP08nblUkihrxltoGBjg/edit#gid=934712705"",""ESENCIAL!A6:BG""),18,FALSE))"),"")</f>
        <v/>
      </c>
      <c r="BJ872" s="19" t="str">
        <f t="shared" si="47"/>
        <v/>
      </c>
      <c r="BK872" s="41"/>
      <c r="BL872" s="41"/>
    </row>
    <row r="873" spans="1:64" ht="15">
      <c r="A873" s="4"/>
      <c r="B873" s="4"/>
      <c r="G873" s="5" t="str">
        <f ca="1">IFERROR(__xludf.DUMMYFUNCTION("IFERROR(VLOOKUP(F890,IMPORTRANGE(""https://docs.google.com/spreadsheets/d/1Kvs4KS76FHFqLFIZfrDMff4kP08nblUkihrxltoGBjg/edit#gid=934712705"",""ESENCIAL!A6:BG""),3,FALSE))"),"")</f>
        <v/>
      </c>
      <c r="H873" s="5" t="str">
        <f ca="1">IFERROR(__xludf.DUMMYFUNCTION("IFERROR(VLOOKUP(F890,IMPORTRANGE(""https://docs.google.com/spreadsheets/d/1Kvs4KS76FHFqLFIZfrDMff4kP08nblUkihrxltoGBjg/edit#gid=934712705"",""ESENCIAL!A6:BG""),8,FALSE))"),"")</f>
        <v/>
      </c>
      <c r="L873" s="287"/>
      <c r="S873"/>
      <c r="AU873" s="41" t="str">
        <f t="shared" si="44"/>
        <v/>
      </c>
      <c r="AV873" s="5" t="str">
        <f ca="1">IFERROR(__xludf.DUMMYFUNCTION("IFERROR(VLOOKUP(E890&amp;F890,IMPORTRANGE(""https://docs.google.com/spreadsheets/d/1Uw7-A9f9R21vMXxHZFNpYNeKFtG8_yji4HS352LGlSQ/edit?pli=1#gid=0"",""1_ACUM!A4:S""),11,FALSE))"),"")</f>
        <v/>
      </c>
      <c r="AW873" s="42" t="str">
        <f ca="1">IFERROR(__xludf.DUMMYFUNCTION("IFERROR(VLOOKUP(F890,IMPORTRANGE(""https://docs.google.com/spreadsheets/d/1Kvs4KS76FHFqLFIZfrDMff4kP08nblUkihrxltoGBjg/edit#gid=934712705"",""ESENCIAL!A6:BG""),15,FALSE))"),"")</f>
        <v/>
      </c>
      <c r="AX873" s="21" t="str">
        <f ca="1">IFERROR(__xludf.DUMMYFUNCTION("IFERROR(VLOOKUP(E890&amp;F890,IMPORTRANGE(""https://docs.google.com/spreadsheets/d/1Uw7-A9f9R21vMXxHZFNpYNeKFtG8_yji4HS352LGlSQ/edit?pli=1#gid=0"",""1_ACUM!A4:S""),12,FALSE))"),"")</f>
        <v/>
      </c>
      <c r="AY873" s="43" t="str">
        <f ca="1">IFERROR(__xludf.DUMMYFUNCTION("IFERROR(VLOOKUP(E890&amp;F890,IMPORTRANGE(""https://docs.google.com/spreadsheets/d/1Uw7-A9f9R21vMXxHZFNpYNeKFtG8_yji4HS352LGlSQ/edit?pli=1#gid=0"",""1_ACUM!A4:S""),13,FALSE))"),"")</f>
        <v/>
      </c>
      <c r="AZ873" s="43" t="str">
        <f ca="1">IFERROR(__xludf.DUMMYFUNCTION("IFERROR(VLOOKUP(E890&amp;F890,IMPORTRANGE(""https://docs.google.com/spreadsheets/d/1Uw7-A9f9R21vMXxHZFNpYNeKFtG8_yji4HS352LGlSQ/edit?pli=1#gid=0"",""1_ACUM!A4:S""),14,FALSE))"),"")</f>
        <v/>
      </c>
      <c r="BA873" s="43" t="str">
        <f ca="1">IFERROR(__xludf.DUMMYFUNCTION("IFERROR(VLOOKUP(E890&amp;F890,IMPORTRANGE(""https://docs.google.com/spreadsheets/d/1Uw7-A9f9R21vMXxHZFNpYNeKFtG8_yji4HS352LGlSQ/edit?pli=1#gid=0"",""1_ACUM!A4:S""),15,FALSE))"),"")</f>
        <v/>
      </c>
      <c r="BB873" s="43" t="str">
        <f ca="1">IFERROR(__xludf.DUMMYFUNCTION("IFERROR(VLOOKUP(E890&amp;F890,IMPORTRANGE(""https://docs.google.com/spreadsheets/d/1Uw7-A9f9R21vMXxHZFNpYNeKFtG8_yji4HS352LGlSQ/edit?pli=1#gid=0"",""1_ACUM!A4:S""),16,FALSE))"),"")</f>
        <v/>
      </c>
      <c r="BC873" s="43" t="str">
        <f ca="1">IFERROR(__xludf.DUMMYFUNCTION("IFERROR(VLOOKUP(E890&amp;F890,IMPORTRANGE(""https://docs.google.com/spreadsheets/d/1Uw7-A9f9R21vMXxHZFNpYNeKFtG8_yji4HS352LGlSQ/edit?pli=1#gid=0"",""1_ACUM!A4:S""),17,FALSE))"),"")</f>
        <v/>
      </c>
      <c r="BD873" s="44" t="str">
        <f ca="1">IFERROR(__xludf.DUMMYFUNCTION("IFERROR(VLOOKUP(E890&amp;F890,IMPORTRANGE(""https://docs.google.com/spreadsheets/d/1Uw7-A9f9R21vMXxHZFNpYNeKFtG8_yji4HS352LGlSQ/edit?pli=1#gid=0"",""1_ACUM!A4:S""),18,FALSE))"),"")</f>
        <v/>
      </c>
      <c r="BE873" s="44" t="str">
        <f ca="1">IFERROR(__xludf.DUMMYFUNCTION("IFERROR(VLOOKUP(E890&amp;F890,IMPORTRANGE(""https://docs.google.com/spreadsheets/d/1Uw7-A9f9R21vMXxHZFNpYNeKFtG8_yji4HS352LGlSQ/edit?pli=1#gid=0"",""1_ACUM!A4:S""),19,FALSE))"),"")</f>
        <v/>
      </c>
      <c r="BF873" s="44" t="str">
        <f ca="1">IFERROR(__xludf.DUMMYFUNCTION("IFERROR(VLOOKUP(F890,IMPORTRANGE(""https://docs.google.com/spreadsheets/d/1Kvs4KS76FHFqLFIZfrDMff4kP08nblUkihrxltoGBjg/edit#gid=934712705"",""ESENCIAL!A6:BG""),5,FALSE))"),"")</f>
        <v/>
      </c>
      <c r="BG873" s="44" t="str">
        <f t="shared" si="45"/>
        <v/>
      </c>
      <c r="BH873" s="41" t="str">
        <f t="shared" si="46"/>
        <v/>
      </c>
      <c r="BI873" s="41" t="str">
        <f ca="1">IFERROR(__xludf.DUMMYFUNCTION("IFERROR(VLOOKUP(F890,IMPORTRANGE(""https://docs.google.com/spreadsheets/d/1Kvs4KS76FHFqLFIZfrDMff4kP08nblUkihrxltoGBjg/edit#gid=934712705"",""ESENCIAL!A6:BG""),18,FALSE))"),"")</f>
        <v/>
      </c>
      <c r="BJ873" s="19" t="str">
        <f t="shared" si="47"/>
        <v/>
      </c>
      <c r="BK873" s="41"/>
      <c r="BL873" s="41"/>
    </row>
    <row r="874" spans="1:64" ht="15">
      <c r="A874" s="4"/>
      <c r="B874" s="4"/>
      <c r="G874" s="5" t="str">
        <f ca="1">IFERROR(__xludf.DUMMYFUNCTION("IFERROR(VLOOKUP(F891,IMPORTRANGE(""https://docs.google.com/spreadsheets/d/1Kvs4KS76FHFqLFIZfrDMff4kP08nblUkihrxltoGBjg/edit#gid=934712705"",""ESENCIAL!A6:BG""),3,FALSE))"),"")</f>
        <v/>
      </c>
      <c r="H874" s="5" t="str">
        <f ca="1">IFERROR(__xludf.DUMMYFUNCTION("IFERROR(VLOOKUP(F891,IMPORTRANGE(""https://docs.google.com/spreadsheets/d/1Kvs4KS76FHFqLFIZfrDMff4kP08nblUkihrxltoGBjg/edit#gid=934712705"",""ESENCIAL!A6:BG""),8,FALSE))"),"")</f>
        <v/>
      </c>
      <c r="L874" s="287"/>
      <c r="S874"/>
      <c r="AU874" s="41" t="str">
        <f t="shared" si="44"/>
        <v/>
      </c>
      <c r="AV874" s="5" t="str">
        <f ca="1">IFERROR(__xludf.DUMMYFUNCTION("IFERROR(VLOOKUP(E891&amp;F891,IMPORTRANGE(""https://docs.google.com/spreadsheets/d/1Uw7-A9f9R21vMXxHZFNpYNeKFtG8_yji4HS352LGlSQ/edit?pli=1#gid=0"",""1_ACUM!A4:S""),11,FALSE))"),"")</f>
        <v/>
      </c>
      <c r="AW874" s="42" t="str">
        <f ca="1">IFERROR(__xludf.DUMMYFUNCTION("IFERROR(VLOOKUP(F891,IMPORTRANGE(""https://docs.google.com/spreadsheets/d/1Kvs4KS76FHFqLFIZfrDMff4kP08nblUkihrxltoGBjg/edit#gid=934712705"",""ESENCIAL!A6:BG""),15,FALSE))"),"")</f>
        <v/>
      </c>
      <c r="AX874" s="21" t="str">
        <f ca="1">IFERROR(__xludf.DUMMYFUNCTION("IFERROR(VLOOKUP(E891&amp;F891,IMPORTRANGE(""https://docs.google.com/spreadsheets/d/1Uw7-A9f9R21vMXxHZFNpYNeKFtG8_yji4HS352LGlSQ/edit?pli=1#gid=0"",""1_ACUM!A4:S""),12,FALSE))"),"")</f>
        <v/>
      </c>
      <c r="AY874" s="43" t="str">
        <f ca="1">IFERROR(__xludf.DUMMYFUNCTION("IFERROR(VLOOKUP(E891&amp;F891,IMPORTRANGE(""https://docs.google.com/spreadsheets/d/1Uw7-A9f9R21vMXxHZFNpYNeKFtG8_yji4HS352LGlSQ/edit?pli=1#gid=0"",""1_ACUM!A4:S""),13,FALSE))"),"")</f>
        <v/>
      </c>
      <c r="AZ874" s="43" t="str">
        <f ca="1">IFERROR(__xludf.DUMMYFUNCTION("IFERROR(VLOOKUP(E891&amp;F891,IMPORTRANGE(""https://docs.google.com/spreadsheets/d/1Uw7-A9f9R21vMXxHZFNpYNeKFtG8_yji4HS352LGlSQ/edit?pli=1#gid=0"",""1_ACUM!A4:S""),14,FALSE))"),"")</f>
        <v/>
      </c>
      <c r="BA874" s="43" t="str">
        <f ca="1">IFERROR(__xludf.DUMMYFUNCTION("IFERROR(VLOOKUP(E891&amp;F891,IMPORTRANGE(""https://docs.google.com/spreadsheets/d/1Uw7-A9f9R21vMXxHZFNpYNeKFtG8_yji4HS352LGlSQ/edit?pli=1#gid=0"",""1_ACUM!A4:S""),15,FALSE))"),"")</f>
        <v/>
      </c>
      <c r="BB874" s="43" t="str">
        <f ca="1">IFERROR(__xludf.DUMMYFUNCTION("IFERROR(VLOOKUP(E891&amp;F891,IMPORTRANGE(""https://docs.google.com/spreadsheets/d/1Uw7-A9f9R21vMXxHZFNpYNeKFtG8_yji4HS352LGlSQ/edit?pli=1#gid=0"",""1_ACUM!A4:S""),16,FALSE))"),"")</f>
        <v/>
      </c>
      <c r="BC874" s="43" t="str">
        <f ca="1">IFERROR(__xludf.DUMMYFUNCTION("IFERROR(VLOOKUP(E891&amp;F891,IMPORTRANGE(""https://docs.google.com/spreadsheets/d/1Uw7-A9f9R21vMXxHZFNpYNeKFtG8_yji4HS352LGlSQ/edit?pli=1#gid=0"",""1_ACUM!A4:S""),17,FALSE))"),"")</f>
        <v/>
      </c>
      <c r="BD874" s="44" t="str">
        <f ca="1">IFERROR(__xludf.DUMMYFUNCTION("IFERROR(VLOOKUP(E891&amp;F891,IMPORTRANGE(""https://docs.google.com/spreadsheets/d/1Uw7-A9f9R21vMXxHZFNpYNeKFtG8_yji4HS352LGlSQ/edit?pli=1#gid=0"",""1_ACUM!A4:S""),18,FALSE))"),"")</f>
        <v/>
      </c>
      <c r="BE874" s="44" t="str">
        <f ca="1">IFERROR(__xludf.DUMMYFUNCTION("IFERROR(VLOOKUP(E891&amp;F891,IMPORTRANGE(""https://docs.google.com/spreadsheets/d/1Uw7-A9f9R21vMXxHZFNpYNeKFtG8_yji4HS352LGlSQ/edit?pli=1#gid=0"",""1_ACUM!A4:S""),19,FALSE))"),"")</f>
        <v/>
      </c>
      <c r="BF874" s="44" t="str">
        <f ca="1">IFERROR(__xludf.DUMMYFUNCTION("IFERROR(VLOOKUP(F891,IMPORTRANGE(""https://docs.google.com/spreadsheets/d/1Kvs4KS76FHFqLFIZfrDMff4kP08nblUkihrxltoGBjg/edit#gid=934712705"",""ESENCIAL!A6:BG""),5,FALSE))"),"")</f>
        <v/>
      </c>
      <c r="BG874" s="44" t="str">
        <f t="shared" si="45"/>
        <v/>
      </c>
      <c r="BH874" s="41" t="str">
        <f t="shared" si="46"/>
        <v/>
      </c>
      <c r="BI874" s="41" t="str">
        <f ca="1">IFERROR(__xludf.DUMMYFUNCTION("IFERROR(VLOOKUP(F891,IMPORTRANGE(""https://docs.google.com/spreadsheets/d/1Kvs4KS76FHFqLFIZfrDMff4kP08nblUkihrxltoGBjg/edit#gid=934712705"",""ESENCIAL!A6:BG""),18,FALSE))"),"")</f>
        <v/>
      </c>
      <c r="BJ874" s="19" t="str">
        <f t="shared" si="47"/>
        <v/>
      </c>
      <c r="BK874" s="41"/>
      <c r="BL874" s="41"/>
    </row>
    <row r="875" spans="1:64" ht="15">
      <c r="A875" s="4"/>
      <c r="B875" s="4"/>
      <c r="G875" s="5" t="str">
        <f ca="1">IFERROR(__xludf.DUMMYFUNCTION("IFERROR(VLOOKUP(F892,IMPORTRANGE(""https://docs.google.com/spreadsheets/d/1Kvs4KS76FHFqLFIZfrDMff4kP08nblUkihrxltoGBjg/edit#gid=934712705"",""ESENCIAL!A6:BG""),3,FALSE))"),"")</f>
        <v/>
      </c>
      <c r="H875" s="5" t="str">
        <f ca="1">IFERROR(__xludf.DUMMYFUNCTION("IFERROR(VLOOKUP(F892,IMPORTRANGE(""https://docs.google.com/spreadsheets/d/1Kvs4KS76FHFqLFIZfrDMff4kP08nblUkihrxltoGBjg/edit#gid=934712705"",""ESENCIAL!A6:BG""),8,FALSE))"),"")</f>
        <v/>
      </c>
      <c r="L875" s="287"/>
      <c r="S875"/>
      <c r="AU875" s="41" t="str">
        <f t="shared" si="44"/>
        <v/>
      </c>
      <c r="AV875" s="5" t="str">
        <f ca="1">IFERROR(__xludf.DUMMYFUNCTION("IFERROR(VLOOKUP(E892&amp;F892,IMPORTRANGE(""https://docs.google.com/spreadsheets/d/1Uw7-A9f9R21vMXxHZFNpYNeKFtG8_yji4HS352LGlSQ/edit?pli=1#gid=0"",""1_ACUM!A4:S""),11,FALSE))"),"")</f>
        <v/>
      </c>
      <c r="AW875" s="42" t="str">
        <f ca="1">IFERROR(__xludf.DUMMYFUNCTION("IFERROR(VLOOKUP(F892,IMPORTRANGE(""https://docs.google.com/spreadsheets/d/1Kvs4KS76FHFqLFIZfrDMff4kP08nblUkihrxltoGBjg/edit#gid=934712705"",""ESENCIAL!A6:BG""),15,FALSE))"),"")</f>
        <v/>
      </c>
      <c r="AX875" s="21" t="str">
        <f ca="1">IFERROR(__xludf.DUMMYFUNCTION("IFERROR(VLOOKUP(E892&amp;F892,IMPORTRANGE(""https://docs.google.com/spreadsheets/d/1Uw7-A9f9R21vMXxHZFNpYNeKFtG8_yji4HS352LGlSQ/edit?pli=1#gid=0"",""1_ACUM!A4:S""),12,FALSE))"),"")</f>
        <v/>
      </c>
      <c r="AY875" s="43" t="str">
        <f ca="1">IFERROR(__xludf.DUMMYFUNCTION("IFERROR(VLOOKUP(E892&amp;F892,IMPORTRANGE(""https://docs.google.com/spreadsheets/d/1Uw7-A9f9R21vMXxHZFNpYNeKFtG8_yji4HS352LGlSQ/edit?pli=1#gid=0"",""1_ACUM!A4:S""),13,FALSE))"),"")</f>
        <v/>
      </c>
      <c r="AZ875" s="43" t="str">
        <f ca="1">IFERROR(__xludf.DUMMYFUNCTION("IFERROR(VLOOKUP(E892&amp;F892,IMPORTRANGE(""https://docs.google.com/spreadsheets/d/1Uw7-A9f9R21vMXxHZFNpYNeKFtG8_yji4HS352LGlSQ/edit?pli=1#gid=0"",""1_ACUM!A4:S""),14,FALSE))"),"")</f>
        <v/>
      </c>
      <c r="BA875" s="43" t="str">
        <f ca="1">IFERROR(__xludf.DUMMYFUNCTION("IFERROR(VLOOKUP(E892&amp;F892,IMPORTRANGE(""https://docs.google.com/spreadsheets/d/1Uw7-A9f9R21vMXxHZFNpYNeKFtG8_yji4HS352LGlSQ/edit?pli=1#gid=0"",""1_ACUM!A4:S""),15,FALSE))"),"")</f>
        <v/>
      </c>
      <c r="BB875" s="43" t="str">
        <f ca="1">IFERROR(__xludf.DUMMYFUNCTION("IFERROR(VLOOKUP(E892&amp;F892,IMPORTRANGE(""https://docs.google.com/spreadsheets/d/1Uw7-A9f9R21vMXxHZFNpYNeKFtG8_yji4HS352LGlSQ/edit?pli=1#gid=0"",""1_ACUM!A4:S""),16,FALSE))"),"")</f>
        <v/>
      </c>
      <c r="BC875" s="43" t="str">
        <f ca="1">IFERROR(__xludf.DUMMYFUNCTION("IFERROR(VLOOKUP(E892&amp;F892,IMPORTRANGE(""https://docs.google.com/spreadsheets/d/1Uw7-A9f9R21vMXxHZFNpYNeKFtG8_yji4HS352LGlSQ/edit?pli=1#gid=0"",""1_ACUM!A4:S""),17,FALSE))"),"")</f>
        <v/>
      </c>
      <c r="BD875" s="44" t="str">
        <f ca="1">IFERROR(__xludf.DUMMYFUNCTION("IFERROR(VLOOKUP(E892&amp;F892,IMPORTRANGE(""https://docs.google.com/spreadsheets/d/1Uw7-A9f9R21vMXxHZFNpYNeKFtG8_yji4HS352LGlSQ/edit?pli=1#gid=0"",""1_ACUM!A4:S""),18,FALSE))"),"")</f>
        <v/>
      </c>
      <c r="BE875" s="44" t="str">
        <f ca="1">IFERROR(__xludf.DUMMYFUNCTION("IFERROR(VLOOKUP(E892&amp;F892,IMPORTRANGE(""https://docs.google.com/spreadsheets/d/1Uw7-A9f9R21vMXxHZFNpYNeKFtG8_yji4HS352LGlSQ/edit?pli=1#gid=0"",""1_ACUM!A4:S""),19,FALSE))"),"")</f>
        <v/>
      </c>
      <c r="BF875" s="44" t="str">
        <f ca="1">IFERROR(__xludf.DUMMYFUNCTION("IFERROR(VLOOKUP(F892,IMPORTRANGE(""https://docs.google.com/spreadsheets/d/1Kvs4KS76FHFqLFIZfrDMff4kP08nblUkihrxltoGBjg/edit#gid=934712705"",""ESENCIAL!A6:BG""),5,FALSE))"),"")</f>
        <v/>
      </c>
      <c r="BG875" s="44" t="str">
        <f t="shared" si="45"/>
        <v/>
      </c>
      <c r="BH875" s="41" t="str">
        <f t="shared" si="46"/>
        <v/>
      </c>
      <c r="BI875" s="41" t="str">
        <f ca="1">IFERROR(__xludf.DUMMYFUNCTION("IFERROR(VLOOKUP(F892,IMPORTRANGE(""https://docs.google.com/spreadsheets/d/1Kvs4KS76FHFqLFIZfrDMff4kP08nblUkihrxltoGBjg/edit#gid=934712705"",""ESENCIAL!A6:BG""),18,FALSE))"),"")</f>
        <v/>
      </c>
      <c r="BJ875" s="19" t="str">
        <f t="shared" si="47"/>
        <v/>
      </c>
      <c r="BK875" s="41"/>
      <c r="BL875" s="41"/>
    </row>
    <row r="876" spans="1:64" ht="15">
      <c r="A876" s="4"/>
      <c r="B876" s="4"/>
      <c r="G876" s="5" t="str">
        <f ca="1">IFERROR(__xludf.DUMMYFUNCTION("IFERROR(VLOOKUP(F893,IMPORTRANGE(""https://docs.google.com/spreadsheets/d/1Kvs4KS76FHFqLFIZfrDMff4kP08nblUkihrxltoGBjg/edit#gid=934712705"",""ESENCIAL!A6:BG""),3,FALSE))"),"")</f>
        <v/>
      </c>
      <c r="H876" s="5" t="str">
        <f ca="1">IFERROR(__xludf.DUMMYFUNCTION("IFERROR(VLOOKUP(F893,IMPORTRANGE(""https://docs.google.com/spreadsheets/d/1Kvs4KS76FHFqLFIZfrDMff4kP08nblUkihrxltoGBjg/edit#gid=934712705"",""ESENCIAL!A6:BG""),8,FALSE))"),"")</f>
        <v/>
      </c>
      <c r="L876" s="287"/>
      <c r="S876"/>
      <c r="AU876" s="41" t="str">
        <f t="shared" si="44"/>
        <v/>
      </c>
      <c r="AV876" s="5" t="str">
        <f ca="1">IFERROR(__xludf.DUMMYFUNCTION("IFERROR(VLOOKUP(E893&amp;F893,IMPORTRANGE(""https://docs.google.com/spreadsheets/d/1Uw7-A9f9R21vMXxHZFNpYNeKFtG8_yji4HS352LGlSQ/edit?pli=1#gid=0"",""1_ACUM!A4:S""),11,FALSE))"),"")</f>
        <v/>
      </c>
      <c r="AW876" s="42" t="str">
        <f ca="1">IFERROR(__xludf.DUMMYFUNCTION("IFERROR(VLOOKUP(F893,IMPORTRANGE(""https://docs.google.com/spreadsheets/d/1Kvs4KS76FHFqLFIZfrDMff4kP08nblUkihrxltoGBjg/edit#gid=934712705"",""ESENCIAL!A6:BG""),15,FALSE))"),"")</f>
        <v/>
      </c>
      <c r="AX876" s="21" t="str">
        <f ca="1">IFERROR(__xludf.DUMMYFUNCTION("IFERROR(VLOOKUP(E893&amp;F893,IMPORTRANGE(""https://docs.google.com/spreadsheets/d/1Uw7-A9f9R21vMXxHZFNpYNeKFtG8_yji4HS352LGlSQ/edit?pli=1#gid=0"",""1_ACUM!A4:S""),12,FALSE))"),"")</f>
        <v/>
      </c>
      <c r="AY876" s="43" t="str">
        <f ca="1">IFERROR(__xludf.DUMMYFUNCTION("IFERROR(VLOOKUP(E893&amp;F893,IMPORTRANGE(""https://docs.google.com/spreadsheets/d/1Uw7-A9f9R21vMXxHZFNpYNeKFtG8_yji4HS352LGlSQ/edit?pli=1#gid=0"",""1_ACUM!A4:S""),13,FALSE))"),"")</f>
        <v/>
      </c>
      <c r="AZ876" s="43" t="str">
        <f ca="1">IFERROR(__xludf.DUMMYFUNCTION("IFERROR(VLOOKUP(E893&amp;F893,IMPORTRANGE(""https://docs.google.com/spreadsheets/d/1Uw7-A9f9R21vMXxHZFNpYNeKFtG8_yji4HS352LGlSQ/edit?pli=1#gid=0"",""1_ACUM!A4:S""),14,FALSE))"),"")</f>
        <v/>
      </c>
      <c r="BA876" s="43" t="str">
        <f ca="1">IFERROR(__xludf.DUMMYFUNCTION("IFERROR(VLOOKUP(E893&amp;F893,IMPORTRANGE(""https://docs.google.com/spreadsheets/d/1Uw7-A9f9R21vMXxHZFNpYNeKFtG8_yji4HS352LGlSQ/edit?pli=1#gid=0"",""1_ACUM!A4:S""),15,FALSE))"),"")</f>
        <v/>
      </c>
      <c r="BB876" s="43" t="str">
        <f ca="1">IFERROR(__xludf.DUMMYFUNCTION("IFERROR(VLOOKUP(E893&amp;F893,IMPORTRANGE(""https://docs.google.com/spreadsheets/d/1Uw7-A9f9R21vMXxHZFNpYNeKFtG8_yji4HS352LGlSQ/edit?pli=1#gid=0"",""1_ACUM!A4:S""),16,FALSE))"),"")</f>
        <v/>
      </c>
      <c r="BC876" s="43" t="str">
        <f ca="1">IFERROR(__xludf.DUMMYFUNCTION("IFERROR(VLOOKUP(E893&amp;F893,IMPORTRANGE(""https://docs.google.com/spreadsheets/d/1Uw7-A9f9R21vMXxHZFNpYNeKFtG8_yji4HS352LGlSQ/edit?pli=1#gid=0"",""1_ACUM!A4:S""),17,FALSE))"),"")</f>
        <v/>
      </c>
      <c r="BD876" s="44" t="str">
        <f ca="1">IFERROR(__xludf.DUMMYFUNCTION("IFERROR(VLOOKUP(E893&amp;F893,IMPORTRANGE(""https://docs.google.com/spreadsheets/d/1Uw7-A9f9R21vMXxHZFNpYNeKFtG8_yji4HS352LGlSQ/edit?pli=1#gid=0"",""1_ACUM!A4:S""),18,FALSE))"),"")</f>
        <v/>
      </c>
      <c r="BE876" s="44" t="str">
        <f ca="1">IFERROR(__xludf.DUMMYFUNCTION("IFERROR(VLOOKUP(E893&amp;F893,IMPORTRANGE(""https://docs.google.com/spreadsheets/d/1Uw7-A9f9R21vMXxHZFNpYNeKFtG8_yji4HS352LGlSQ/edit?pli=1#gid=0"",""1_ACUM!A4:S""),19,FALSE))"),"")</f>
        <v/>
      </c>
      <c r="BF876" s="44" t="str">
        <f ca="1">IFERROR(__xludf.DUMMYFUNCTION("IFERROR(VLOOKUP(F893,IMPORTRANGE(""https://docs.google.com/spreadsheets/d/1Kvs4KS76FHFqLFIZfrDMff4kP08nblUkihrxltoGBjg/edit#gid=934712705"",""ESENCIAL!A6:BG""),5,FALSE))"),"")</f>
        <v/>
      </c>
      <c r="BG876" s="44" t="str">
        <f t="shared" si="45"/>
        <v/>
      </c>
      <c r="BH876" s="41" t="str">
        <f t="shared" si="46"/>
        <v/>
      </c>
      <c r="BI876" s="41" t="str">
        <f ca="1">IFERROR(__xludf.DUMMYFUNCTION("IFERROR(VLOOKUP(F893,IMPORTRANGE(""https://docs.google.com/spreadsheets/d/1Kvs4KS76FHFqLFIZfrDMff4kP08nblUkihrxltoGBjg/edit#gid=934712705"",""ESENCIAL!A6:BG""),18,FALSE))"),"")</f>
        <v/>
      </c>
      <c r="BJ876" s="19" t="str">
        <f t="shared" si="47"/>
        <v/>
      </c>
      <c r="BK876" s="41"/>
      <c r="BL876" s="41"/>
    </row>
    <row r="877" spans="1:64" ht="15">
      <c r="A877" s="4"/>
      <c r="B877" s="4"/>
      <c r="G877" s="5" t="str">
        <f ca="1">IFERROR(__xludf.DUMMYFUNCTION("IFERROR(VLOOKUP(F894,IMPORTRANGE(""https://docs.google.com/spreadsheets/d/1Kvs4KS76FHFqLFIZfrDMff4kP08nblUkihrxltoGBjg/edit#gid=934712705"",""ESENCIAL!A6:BG""),3,FALSE))"),"")</f>
        <v/>
      </c>
      <c r="H877" s="5" t="str">
        <f ca="1">IFERROR(__xludf.DUMMYFUNCTION("IFERROR(VLOOKUP(F894,IMPORTRANGE(""https://docs.google.com/spreadsheets/d/1Kvs4KS76FHFqLFIZfrDMff4kP08nblUkihrxltoGBjg/edit#gid=934712705"",""ESENCIAL!A6:BG""),8,FALSE))"),"")</f>
        <v/>
      </c>
      <c r="L877" s="287"/>
      <c r="S877"/>
      <c r="AU877" s="41" t="str">
        <f t="shared" si="44"/>
        <v/>
      </c>
      <c r="AV877" s="5" t="str">
        <f ca="1">IFERROR(__xludf.DUMMYFUNCTION("IFERROR(VLOOKUP(E894&amp;F894,IMPORTRANGE(""https://docs.google.com/spreadsheets/d/1Uw7-A9f9R21vMXxHZFNpYNeKFtG8_yji4HS352LGlSQ/edit?pli=1#gid=0"",""1_ACUM!A4:S""),11,FALSE))"),"")</f>
        <v/>
      </c>
      <c r="AW877" s="42" t="str">
        <f ca="1">IFERROR(__xludf.DUMMYFUNCTION("IFERROR(VLOOKUP(F894,IMPORTRANGE(""https://docs.google.com/spreadsheets/d/1Kvs4KS76FHFqLFIZfrDMff4kP08nblUkihrxltoGBjg/edit#gid=934712705"",""ESENCIAL!A6:BG""),15,FALSE))"),"")</f>
        <v/>
      </c>
      <c r="AX877" s="21" t="str">
        <f ca="1">IFERROR(__xludf.DUMMYFUNCTION("IFERROR(VLOOKUP(E894&amp;F894,IMPORTRANGE(""https://docs.google.com/spreadsheets/d/1Uw7-A9f9R21vMXxHZFNpYNeKFtG8_yji4HS352LGlSQ/edit?pli=1#gid=0"",""1_ACUM!A4:S""),12,FALSE))"),"")</f>
        <v/>
      </c>
      <c r="AY877" s="43" t="str">
        <f ca="1">IFERROR(__xludf.DUMMYFUNCTION("IFERROR(VLOOKUP(E894&amp;F894,IMPORTRANGE(""https://docs.google.com/spreadsheets/d/1Uw7-A9f9R21vMXxHZFNpYNeKFtG8_yji4HS352LGlSQ/edit?pli=1#gid=0"",""1_ACUM!A4:S""),13,FALSE))"),"")</f>
        <v/>
      </c>
      <c r="AZ877" s="43" t="str">
        <f ca="1">IFERROR(__xludf.DUMMYFUNCTION("IFERROR(VLOOKUP(E894&amp;F894,IMPORTRANGE(""https://docs.google.com/spreadsheets/d/1Uw7-A9f9R21vMXxHZFNpYNeKFtG8_yji4HS352LGlSQ/edit?pli=1#gid=0"",""1_ACUM!A4:S""),14,FALSE))"),"")</f>
        <v/>
      </c>
      <c r="BA877" s="43" t="str">
        <f ca="1">IFERROR(__xludf.DUMMYFUNCTION("IFERROR(VLOOKUP(E894&amp;F894,IMPORTRANGE(""https://docs.google.com/spreadsheets/d/1Uw7-A9f9R21vMXxHZFNpYNeKFtG8_yji4HS352LGlSQ/edit?pli=1#gid=0"",""1_ACUM!A4:S""),15,FALSE))"),"")</f>
        <v/>
      </c>
      <c r="BB877" s="43" t="str">
        <f ca="1">IFERROR(__xludf.DUMMYFUNCTION("IFERROR(VLOOKUP(E894&amp;F894,IMPORTRANGE(""https://docs.google.com/spreadsheets/d/1Uw7-A9f9R21vMXxHZFNpYNeKFtG8_yji4HS352LGlSQ/edit?pli=1#gid=0"",""1_ACUM!A4:S""),16,FALSE))"),"")</f>
        <v/>
      </c>
      <c r="BC877" s="43" t="str">
        <f ca="1">IFERROR(__xludf.DUMMYFUNCTION("IFERROR(VLOOKUP(E894&amp;F894,IMPORTRANGE(""https://docs.google.com/spreadsheets/d/1Uw7-A9f9R21vMXxHZFNpYNeKFtG8_yji4HS352LGlSQ/edit?pli=1#gid=0"",""1_ACUM!A4:S""),17,FALSE))"),"")</f>
        <v/>
      </c>
      <c r="BD877" s="44" t="str">
        <f ca="1">IFERROR(__xludf.DUMMYFUNCTION("IFERROR(VLOOKUP(E894&amp;F894,IMPORTRANGE(""https://docs.google.com/spreadsheets/d/1Uw7-A9f9R21vMXxHZFNpYNeKFtG8_yji4HS352LGlSQ/edit?pli=1#gid=0"",""1_ACUM!A4:S""),18,FALSE))"),"")</f>
        <v/>
      </c>
      <c r="BE877" s="44" t="str">
        <f ca="1">IFERROR(__xludf.DUMMYFUNCTION("IFERROR(VLOOKUP(E894&amp;F894,IMPORTRANGE(""https://docs.google.com/spreadsheets/d/1Uw7-A9f9R21vMXxHZFNpYNeKFtG8_yji4HS352LGlSQ/edit?pli=1#gid=0"",""1_ACUM!A4:S""),19,FALSE))"),"")</f>
        <v/>
      </c>
      <c r="BF877" s="44" t="str">
        <f ca="1">IFERROR(__xludf.DUMMYFUNCTION("IFERROR(VLOOKUP(F894,IMPORTRANGE(""https://docs.google.com/spreadsheets/d/1Kvs4KS76FHFqLFIZfrDMff4kP08nblUkihrxltoGBjg/edit#gid=934712705"",""ESENCIAL!A6:BG""),5,FALSE))"),"")</f>
        <v/>
      </c>
      <c r="BG877" s="44" t="str">
        <f t="shared" si="45"/>
        <v/>
      </c>
      <c r="BH877" s="41" t="str">
        <f t="shared" si="46"/>
        <v/>
      </c>
      <c r="BI877" s="41" t="str">
        <f ca="1">IFERROR(__xludf.DUMMYFUNCTION("IFERROR(VLOOKUP(F894,IMPORTRANGE(""https://docs.google.com/spreadsheets/d/1Kvs4KS76FHFqLFIZfrDMff4kP08nblUkihrxltoGBjg/edit#gid=934712705"",""ESENCIAL!A6:BG""),18,FALSE))"),"")</f>
        <v/>
      </c>
      <c r="BJ877" s="19" t="str">
        <f t="shared" si="47"/>
        <v/>
      </c>
      <c r="BK877" s="41"/>
      <c r="BL877" s="41"/>
    </row>
    <row r="878" spans="1:64" ht="15">
      <c r="A878" s="4"/>
      <c r="B878" s="4"/>
      <c r="G878" s="5" t="str">
        <f ca="1">IFERROR(__xludf.DUMMYFUNCTION("IFERROR(VLOOKUP(F895,IMPORTRANGE(""https://docs.google.com/spreadsheets/d/1Kvs4KS76FHFqLFIZfrDMff4kP08nblUkihrxltoGBjg/edit#gid=934712705"",""ESENCIAL!A6:BG""),3,FALSE))"),"")</f>
        <v/>
      </c>
      <c r="H878" s="5" t="str">
        <f ca="1">IFERROR(__xludf.DUMMYFUNCTION("IFERROR(VLOOKUP(F895,IMPORTRANGE(""https://docs.google.com/spreadsheets/d/1Kvs4KS76FHFqLFIZfrDMff4kP08nblUkihrxltoGBjg/edit#gid=934712705"",""ESENCIAL!A6:BG""),8,FALSE))"),"")</f>
        <v/>
      </c>
      <c r="L878" s="287"/>
      <c r="S878"/>
      <c r="AU878" s="41" t="str">
        <f t="shared" si="44"/>
        <v/>
      </c>
      <c r="AV878" s="5" t="str">
        <f ca="1">IFERROR(__xludf.DUMMYFUNCTION("IFERROR(VLOOKUP(E895&amp;F895,IMPORTRANGE(""https://docs.google.com/spreadsheets/d/1Uw7-A9f9R21vMXxHZFNpYNeKFtG8_yji4HS352LGlSQ/edit?pli=1#gid=0"",""1_ACUM!A4:S""),11,FALSE))"),"")</f>
        <v/>
      </c>
      <c r="AW878" s="42" t="str">
        <f ca="1">IFERROR(__xludf.DUMMYFUNCTION("IFERROR(VLOOKUP(F895,IMPORTRANGE(""https://docs.google.com/spreadsheets/d/1Kvs4KS76FHFqLFIZfrDMff4kP08nblUkihrxltoGBjg/edit#gid=934712705"",""ESENCIAL!A6:BG""),15,FALSE))"),"")</f>
        <v/>
      </c>
      <c r="AX878" s="21" t="str">
        <f ca="1">IFERROR(__xludf.DUMMYFUNCTION("IFERROR(VLOOKUP(E895&amp;F895,IMPORTRANGE(""https://docs.google.com/spreadsheets/d/1Uw7-A9f9R21vMXxHZFNpYNeKFtG8_yji4HS352LGlSQ/edit?pli=1#gid=0"",""1_ACUM!A4:S""),12,FALSE))"),"")</f>
        <v/>
      </c>
      <c r="AY878" s="43" t="str">
        <f ca="1">IFERROR(__xludf.DUMMYFUNCTION("IFERROR(VLOOKUP(E895&amp;F895,IMPORTRANGE(""https://docs.google.com/spreadsheets/d/1Uw7-A9f9R21vMXxHZFNpYNeKFtG8_yji4HS352LGlSQ/edit?pli=1#gid=0"",""1_ACUM!A4:S""),13,FALSE))"),"")</f>
        <v/>
      </c>
      <c r="AZ878" s="43" t="str">
        <f ca="1">IFERROR(__xludf.DUMMYFUNCTION("IFERROR(VLOOKUP(E895&amp;F895,IMPORTRANGE(""https://docs.google.com/spreadsheets/d/1Uw7-A9f9R21vMXxHZFNpYNeKFtG8_yji4HS352LGlSQ/edit?pli=1#gid=0"",""1_ACUM!A4:S""),14,FALSE))"),"")</f>
        <v/>
      </c>
      <c r="BA878" s="43" t="str">
        <f ca="1">IFERROR(__xludf.DUMMYFUNCTION("IFERROR(VLOOKUP(E895&amp;F895,IMPORTRANGE(""https://docs.google.com/spreadsheets/d/1Uw7-A9f9R21vMXxHZFNpYNeKFtG8_yji4HS352LGlSQ/edit?pli=1#gid=0"",""1_ACUM!A4:S""),15,FALSE))"),"")</f>
        <v/>
      </c>
      <c r="BB878" s="43" t="str">
        <f ca="1">IFERROR(__xludf.DUMMYFUNCTION("IFERROR(VLOOKUP(E895&amp;F895,IMPORTRANGE(""https://docs.google.com/spreadsheets/d/1Uw7-A9f9R21vMXxHZFNpYNeKFtG8_yji4HS352LGlSQ/edit?pli=1#gid=0"",""1_ACUM!A4:S""),16,FALSE))"),"")</f>
        <v/>
      </c>
      <c r="BC878" s="43" t="str">
        <f ca="1">IFERROR(__xludf.DUMMYFUNCTION("IFERROR(VLOOKUP(E895&amp;F895,IMPORTRANGE(""https://docs.google.com/spreadsheets/d/1Uw7-A9f9R21vMXxHZFNpYNeKFtG8_yji4HS352LGlSQ/edit?pli=1#gid=0"",""1_ACUM!A4:S""),17,FALSE))"),"")</f>
        <v/>
      </c>
      <c r="BD878" s="44" t="str">
        <f ca="1">IFERROR(__xludf.DUMMYFUNCTION("IFERROR(VLOOKUP(E895&amp;F895,IMPORTRANGE(""https://docs.google.com/spreadsheets/d/1Uw7-A9f9R21vMXxHZFNpYNeKFtG8_yji4HS352LGlSQ/edit?pli=1#gid=0"",""1_ACUM!A4:S""),18,FALSE))"),"")</f>
        <v/>
      </c>
      <c r="BE878" s="44" t="str">
        <f ca="1">IFERROR(__xludf.DUMMYFUNCTION("IFERROR(VLOOKUP(E895&amp;F895,IMPORTRANGE(""https://docs.google.com/spreadsheets/d/1Uw7-A9f9R21vMXxHZFNpYNeKFtG8_yji4HS352LGlSQ/edit?pli=1#gid=0"",""1_ACUM!A4:S""),19,FALSE))"),"")</f>
        <v/>
      </c>
      <c r="BF878" s="44" t="str">
        <f ca="1">IFERROR(__xludf.DUMMYFUNCTION("IFERROR(VLOOKUP(F895,IMPORTRANGE(""https://docs.google.com/spreadsheets/d/1Kvs4KS76FHFqLFIZfrDMff4kP08nblUkihrxltoGBjg/edit#gid=934712705"",""ESENCIAL!A6:BG""),5,FALSE))"),"")</f>
        <v/>
      </c>
      <c r="BG878" s="44" t="str">
        <f t="shared" si="45"/>
        <v/>
      </c>
      <c r="BH878" s="41" t="str">
        <f t="shared" si="46"/>
        <v/>
      </c>
      <c r="BI878" s="41" t="str">
        <f ca="1">IFERROR(__xludf.DUMMYFUNCTION("IFERROR(VLOOKUP(F895,IMPORTRANGE(""https://docs.google.com/spreadsheets/d/1Kvs4KS76FHFqLFIZfrDMff4kP08nblUkihrxltoGBjg/edit#gid=934712705"",""ESENCIAL!A6:BG""),18,FALSE))"),"")</f>
        <v/>
      </c>
      <c r="BJ878" s="19" t="str">
        <f t="shared" si="47"/>
        <v/>
      </c>
      <c r="BK878" s="41"/>
      <c r="BL878" s="41"/>
    </row>
    <row r="879" spans="1:64" ht="15">
      <c r="A879" s="4"/>
      <c r="B879" s="4"/>
      <c r="G879" s="5" t="str">
        <f ca="1">IFERROR(__xludf.DUMMYFUNCTION("IFERROR(VLOOKUP(F896,IMPORTRANGE(""https://docs.google.com/spreadsheets/d/1Kvs4KS76FHFqLFIZfrDMff4kP08nblUkihrxltoGBjg/edit#gid=934712705"",""ESENCIAL!A6:BG""),3,FALSE))"),"")</f>
        <v/>
      </c>
      <c r="H879" s="5" t="str">
        <f ca="1">IFERROR(__xludf.DUMMYFUNCTION("IFERROR(VLOOKUP(F896,IMPORTRANGE(""https://docs.google.com/spreadsheets/d/1Kvs4KS76FHFqLFIZfrDMff4kP08nblUkihrxltoGBjg/edit#gid=934712705"",""ESENCIAL!A6:BG""),8,FALSE))"),"")</f>
        <v/>
      </c>
      <c r="L879" s="287"/>
      <c r="S879"/>
      <c r="AU879" s="41" t="str">
        <f t="shared" si="44"/>
        <v/>
      </c>
      <c r="AV879" s="5" t="str">
        <f ca="1">IFERROR(__xludf.DUMMYFUNCTION("IFERROR(VLOOKUP(E896&amp;F896,IMPORTRANGE(""https://docs.google.com/spreadsheets/d/1Uw7-A9f9R21vMXxHZFNpYNeKFtG8_yji4HS352LGlSQ/edit?pli=1#gid=0"",""1_ACUM!A4:S""),11,FALSE))"),"")</f>
        <v/>
      </c>
      <c r="AW879" s="42" t="str">
        <f ca="1">IFERROR(__xludf.DUMMYFUNCTION("IFERROR(VLOOKUP(F896,IMPORTRANGE(""https://docs.google.com/spreadsheets/d/1Kvs4KS76FHFqLFIZfrDMff4kP08nblUkihrxltoGBjg/edit#gid=934712705"",""ESENCIAL!A6:BG""),15,FALSE))"),"")</f>
        <v/>
      </c>
      <c r="AX879" s="21" t="str">
        <f ca="1">IFERROR(__xludf.DUMMYFUNCTION("IFERROR(VLOOKUP(E896&amp;F896,IMPORTRANGE(""https://docs.google.com/spreadsheets/d/1Uw7-A9f9R21vMXxHZFNpYNeKFtG8_yji4HS352LGlSQ/edit?pli=1#gid=0"",""1_ACUM!A4:S""),12,FALSE))"),"")</f>
        <v/>
      </c>
      <c r="AY879" s="43" t="str">
        <f ca="1">IFERROR(__xludf.DUMMYFUNCTION("IFERROR(VLOOKUP(E896&amp;F896,IMPORTRANGE(""https://docs.google.com/spreadsheets/d/1Uw7-A9f9R21vMXxHZFNpYNeKFtG8_yji4HS352LGlSQ/edit?pli=1#gid=0"",""1_ACUM!A4:S""),13,FALSE))"),"")</f>
        <v/>
      </c>
      <c r="AZ879" s="43" t="str">
        <f ca="1">IFERROR(__xludf.DUMMYFUNCTION("IFERROR(VLOOKUP(E896&amp;F896,IMPORTRANGE(""https://docs.google.com/spreadsheets/d/1Uw7-A9f9R21vMXxHZFNpYNeKFtG8_yji4HS352LGlSQ/edit?pli=1#gid=0"",""1_ACUM!A4:S""),14,FALSE))"),"")</f>
        <v/>
      </c>
      <c r="BA879" s="43" t="str">
        <f ca="1">IFERROR(__xludf.DUMMYFUNCTION("IFERROR(VLOOKUP(E896&amp;F896,IMPORTRANGE(""https://docs.google.com/spreadsheets/d/1Uw7-A9f9R21vMXxHZFNpYNeKFtG8_yji4HS352LGlSQ/edit?pli=1#gid=0"",""1_ACUM!A4:S""),15,FALSE))"),"")</f>
        <v/>
      </c>
      <c r="BB879" s="43" t="str">
        <f ca="1">IFERROR(__xludf.DUMMYFUNCTION("IFERROR(VLOOKUP(E896&amp;F896,IMPORTRANGE(""https://docs.google.com/spreadsheets/d/1Uw7-A9f9R21vMXxHZFNpYNeKFtG8_yji4HS352LGlSQ/edit?pli=1#gid=0"",""1_ACUM!A4:S""),16,FALSE))"),"")</f>
        <v/>
      </c>
      <c r="BC879" s="43" t="str">
        <f ca="1">IFERROR(__xludf.DUMMYFUNCTION("IFERROR(VLOOKUP(E896&amp;F896,IMPORTRANGE(""https://docs.google.com/spreadsheets/d/1Uw7-A9f9R21vMXxHZFNpYNeKFtG8_yji4HS352LGlSQ/edit?pli=1#gid=0"",""1_ACUM!A4:S""),17,FALSE))"),"")</f>
        <v/>
      </c>
      <c r="BD879" s="44" t="str">
        <f ca="1">IFERROR(__xludf.DUMMYFUNCTION("IFERROR(VLOOKUP(E896&amp;F896,IMPORTRANGE(""https://docs.google.com/spreadsheets/d/1Uw7-A9f9R21vMXxHZFNpYNeKFtG8_yji4HS352LGlSQ/edit?pli=1#gid=0"",""1_ACUM!A4:S""),18,FALSE))"),"")</f>
        <v/>
      </c>
      <c r="BE879" s="44" t="str">
        <f ca="1">IFERROR(__xludf.DUMMYFUNCTION("IFERROR(VLOOKUP(E896&amp;F896,IMPORTRANGE(""https://docs.google.com/spreadsheets/d/1Uw7-A9f9R21vMXxHZFNpYNeKFtG8_yji4HS352LGlSQ/edit?pli=1#gid=0"",""1_ACUM!A4:S""),19,FALSE))"),"")</f>
        <v/>
      </c>
      <c r="BF879" s="44" t="str">
        <f ca="1">IFERROR(__xludf.DUMMYFUNCTION("IFERROR(VLOOKUP(F896,IMPORTRANGE(""https://docs.google.com/spreadsheets/d/1Kvs4KS76FHFqLFIZfrDMff4kP08nblUkihrxltoGBjg/edit#gid=934712705"",""ESENCIAL!A6:BG""),5,FALSE))"),"")</f>
        <v/>
      </c>
      <c r="BG879" s="44" t="str">
        <f t="shared" si="45"/>
        <v/>
      </c>
      <c r="BH879" s="41" t="str">
        <f t="shared" si="46"/>
        <v/>
      </c>
      <c r="BI879" s="41" t="str">
        <f ca="1">IFERROR(__xludf.DUMMYFUNCTION("IFERROR(VLOOKUP(F896,IMPORTRANGE(""https://docs.google.com/spreadsheets/d/1Kvs4KS76FHFqLFIZfrDMff4kP08nblUkihrxltoGBjg/edit#gid=934712705"",""ESENCIAL!A6:BG""),18,FALSE))"),"")</f>
        <v/>
      </c>
      <c r="BJ879" s="19" t="str">
        <f t="shared" si="47"/>
        <v/>
      </c>
      <c r="BK879" s="41"/>
      <c r="BL879" s="41"/>
    </row>
    <row r="880" spans="1:64" ht="15">
      <c r="A880" s="4"/>
      <c r="B880" s="4"/>
      <c r="G880" s="5" t="str">
        <f ca="1">IFERROR(__xludf.DUMMYFUNCTION("IFERROR(VLOOKUP(F897,IMPORTRANGE(""https://docs.google.com/spreadsheets/d/1Kvs4KS76FHFqLFIZfrDMff4kP08nblUkihrxltoGBjg/edit#gid=934712705"",""ESENCIAL!A6:BG""),3,FALSE))"),"")</f>
        <v/>
      </c>
      <c r="H880" s="5" t="str">
        <f ca="1">IFERROR(__xludf.DUMMYFUNCTION("IFERROR(VLOOKUP(F897,IMPORTRANGE(""https://docs.google.com/spreadsheets/d/1Kvs4KS76FHFqLFIZfrDMff4kP08nblUkihrxltoGBjg/edit#gid=934712705"",""ESENCIAL!A6:BG""),8,FALSE))"),"")</f>
        <v/>
      </c>
      <c r="L880" s="287"/>
      <c r="S880"/>
      <c r="AU880" s="41" t="str">
        <f t="shared" si="44"/>
        <v/>
      </c>
      <c r="AV880" s="5" t="str">
        <f ca="1">IFERROR(__xludf.DUMMYFUNCTION("IFERROR(VLOOKUP(E897&amp;F897,IMPORTRANGE(""https://docs.google.com/spreadsheets/d/1Uw7-A9f9R21vMXxHZFNpYNeKFtG8_yji4HS352LGlSQ/edit?pli=1#gid=0"",""1_ACUM!A4:S""),11,FALSE))"),"")</f>
        <v/>
      </c>
      <c r="AW880" s="42" t="str">
        <f ca="1">IFERROR(__xludf.DUMMYFUNCTION("IFERROR(VLOOKUP(F897,IMPORTRANGE(""https://docs.google.com/spreadsheets/d/1Kvs4KS76FHFqLFIZfrDMff4kP08nblUkihrxltoGBjg/edit#gid=934712705"",""ESENCIAL!A6:BG""),15,FALSE))"),"")</f>
        <v/>
      </c>
      <c r="AX880" s="21" t="str">
        <f ca="1">IFERROR(__xludf.DUMMYFUNCTION("IFERROR(VLOOKUP(E897&amp;F897,IMPORTRANGE(""https://docs.google.com/spreadsheets/d/1Uw7-A9f9R21vMXxHZFNpYNeKFtG8_yji4HS352LGlSQ/edit?pli=1#gid=0"",""1_ACUM!A4:S""),12,FALSE))"),"")</f>
        <v/>
      </c>
      <c r="AY880" s="43" t="str">
        <f ca="1">IFERROR(__xludf.DUMMYFUNCTION("IFERROR(VLOOKUP(E897&amp;F897,IMPORTRANGE(""https://docs.google.com/spreadsheets/d/1Uw7-A9f9R21vMXxHZFNpYNeKFtG8_yji4HS352LGlSQ/edit?pli=1#gid=0"",""1_ACUM!A4:S""),13,FALSE))"),"")</f>
        <v/>
      </c>
      <c r="AZ880" s="43" t="str">
        <f ca="1">IFERROR(__xludf.DUMMYFUNCTION("IFERROR(VLOOKUP(E897&amp;F897,IMPORTRANGE(""https://docs.google.com/spreadsheets/d/1Uw7-A9f9R21vMXxHZFNpYNeKFtG8_yji4HS352LGlSQ/edit?pli=1#gid=0"",""1_ACUM!A4:S""),14,FALSE))"),"")</f>
        <v/>
      </c>
      <c r="BA880" s="43" t="str">
        <f ca="1">IFERROR(__xludf.DUMMYFUNCTION("IFERROR(VLOOKUP(E897&amp;F897,IMPORTRANGE(""https://docs.google.com/spreadsheets/d/1Uw7-A9f9R21vMXxHZFNpYNeKFtG8_yji4HS352LGlSQ/edit?pli=1#gid=0"",""1_ACUM!A4:S""),15,FALSE))"),"")</f>
        <v/>
      </c>
      <c r="BB880" s="43" t="str">
        <f ca="1">IFERROR(__xludf.DUMMYFUNCTION("IFERROR(VLOOKUP(E897&amp;F897,IMPORTRANGE(""https://docs.google.com/spreadsheets/d/1Uw7-A9f9R21vMXxHZFNpYNeKFtG8_yji4HS352LGlSQ/edit?pli=1#gid=0"",""1_ACUM!A4:S""),16,FALSE))"),"")</f>
        <v/>
      </c>
      <c r="BC880" s="43" t="str">
        <f ca="1">IFERROR(__xludf.DUMMYFUNCTION("IFERROR(VLOOKUP(E897&amp;F897,IMPORTRANGE(""https://docs.google.com/spreadsheets/d/1Uw7-A9f9R21vMXxHZFNpYNeKFtG8_yji4HS352LGlSQ/edit?pli=1#gid=0"",""1_ACUM!A4:S""),17,FALSE))"),"")</f>
        <v/>
      </c>
      <c r="BD880" s="44" t="str">
        <f ca="1">IFERROR(__xludf.DUMMYFUNCTION("IFERROR(VLOOKUP(E897&amp;F897,IMPORTRANGE(""https://docs.google.com/spreadsheets/d/1Uw7-A9f9R21vMXxHZFNpYNeKFtG8_yji4HS352LGlSQ/edit?pli=1#gid=0"",""1_ACUM!A4:S""),18,FALSE))"),"")</f>
        <v/>
      </c>
      <c r="BE880" s="44" t="str">
        <f ca="1">IFERROR(__xludf.DUMMYFUNCTION("IFERROR(VLOOKUP(E897&amp;F897,IMPORTRANGE(""https://docs.google.com/spreadsheets/d/1Uw7-A9f9R21vMXxHZFNpYNeKFtG8_yji4HS352LGlSQ/edit?pli=1#gid=0"",""1_ACUM!A4:S""),19,FALSE))"),"")</f>
        <v/>
      </c>
      <c r="BF880" s="44" t="str">
        <f ca="1">IFERROR(__xludf.DUMMYFUNCTION("IFERROR(VLOOKUP(F897,IMPORTRANGE(""https://docs.google.com/spreadsheets/d/1Kvs4KS76FHFqLFIZfrDMff4kP08nblUkihrxltoGBjg/edit#gid=934712705"",""ESENCIAL!A6:BG""),5,FALSE))"),"")</f>
        <v/>
      </c>
      <c r="BG880" s="44" t="str">
        <f t="shared" si="45"/>
        <v/>
      </c>
      <c r="BH880" s="41" t="str">
        <f t="shared" si="46"/>
        <v/>
      </c>
      <c r="BI880" s="41" t="str">
        <f ca="1">IFERROR(__xludf.DUMMYFUNCTION("IFERROR(VLOOKUP(F897,IMPORTRANGE(""https://docs.google.com/spreadsheets/d/1Kvs4KS76FHFqLFIZfrDMff4kP08nblUkihrxltoGBjg/edit#gid=934712705"",""ESENCIAL!A6:BG""),18,FALSE))"),"")</f>
        <v/>
      </c>
      <c r="BJ880" s="19" t="str">
        <f t="shared" si="47"/>
        <v/>
      </c>
      <c r="BK880" s="41"/>
      <c r="BL880" s="41"/>
    </row>
    <row r="881" spans="1:64" ht="15">
      <c r="A881" s="4"/>
      <c r="B881" s="4"/>
      <c r="G881" s="5" t="str">
        <f ca="1">IFERROR(__xludf.DUMMYFUNCTION("IFERROR(VLOOKUP(F898,IMPORTRANGE(""https://docs.google.com/spreadsheets/d/1Kvs4KS76FHFqLFIZfrDMff4kP08nblUkihrxltoGBjg/edit#gid=934712705"",""ESENCIAL!A6:BG""),3,FALSE))"),"")</f>
        <v/>
      </c>
      <c r="H881" s="5" t="str">
        <f ca="1">IFERROR(__xludf.DUMMYFUNCTION("IFERROR(VLOOKUP(F898,IMPORTRANGE(""https://docs.google.com/spreadsheets/d/1Kvs4KS76FHFqLFIZfrDMff4kP08nblUkihrxltoGBjg/edit#gid=934712705"",""ESENCIAL!A6:BG""),8,FALSE))"),"")</f>
        <v/>
      </c>
      <c r="L881" s="287"/>
      <c r="S881"/>
      <c r="AU881" s="41" t="str">
        <f t="shared" si="44"/>
        <v/>
      </c>
      <c r="AV881" s="5" t="str">
        <f ca="1">IFERROR(__xludf.DUMMYFUNCTION("IFERROR(VLOOKUP(E898&amp;F898,IMPORTRANGE(""https://docs.google.com/spreadsheets/d/1Uw7-A9f9R21vMXxHZFNpYNeKFtG8_yji4HS352LGlSQ/edit?pli=1#gid=0"",""1_ACUM!A4:S""),11,FALSE))"),"")</f>
        <v/>
      </c>
      <c r="AW881" s="42" t="str">
        <f ca="1">IFERROR(__xludf.DUMMYFUNCTION("IFERROR(VLOOKUP(F898,IMPORTRANGE(""https://docs.google.com/spreadsheets/d/1Kvs4KS76FHFqLFIZfrDMff4kP08nblUkihrxltoGBjg/edit#gid=934712705"",""ESENCIAL!A6:BG""),15,FALSE))"),"")</f>
        <v/>
      </c>
      <c r="AX881" s="21" t="str">
        <f ca="1">IFERROR(__xludf.DUMMYFUNCTION("IFERROR(VLOOKUP(E898&amp;F898,IMPORTRANGE(""https://docs.google.com/spreadsheets/d/1Uw7-A9f9R21vMXxHZFNpYNeKFtG8_yji4HS352LGlSQ/edit?pli=1#gid=0"",""1_ACUM!A4:S""),12,FALSE))"),"")</f>
        <v/>
      </c>
      <c r="AY881" s="43" t="str">
        <f ca="1">IFERROR(__xludf.DUMMYFUNCTION("IFERROR(VLOOKUP(E898&amp;F898,IMPORTRANGE(""https://docs.google.com/spreadsheets/d/1Uw7-A9f9R21vMXxHZFNpYNeKFtG8_yji4HS352LGlSQ/edit?pli=1#gid=0"",""1_ACUM!A4:S""),13,FALSE))"),"")</f>
        <v/>
      </c>
      <c r="AZ881" s="43" t="str">
        <f ca="1">IFERROR(__xludf.DUMMYFUNCTION("IFERROR(VLOOKUP(E898&amp;F898,IMPORTRANGE(""https://docs.google.com/spreadsheets/d/1Uw7-A9f9R21vMXxHZFNpYNeKFtG8_yji4HS352LGlSQ/edit?pli=1#gid=0"",""1_ACUM!A4:S""),14,FALSE))"),"")</f>
        <v/>
      </c>
      <c r="BA881" s="43" t="str">
        <f ca="1">IFERROR(__xludf.DUMMYFUNCTION("IFERROR(VLOOKUP(E898&amp;F898,IMPORTRANGE(""https://docs.google.com/spreadsheets/d/1Uw7-A9f9R21vMXxHZFNpYNeKFtG8_yji4HS352LGlSQ/edit?pli=1#gid=0"",""1_ACUM!A4:S""),15,FALSE))"),"")</f>
        <v/>
      </c>
      <c r="BB881" s="43" t="str">
        <f ca="1">IFERROR(__xludf.DUMMYFUNCTION("IFERROR(VLOOKUP(E898&amp;F898,IMPORTRANGE(""https://docs.google.com/spreadsheets/d/1Uw7-A9f9R21vMXxHZFNpYNeKFtG8_yji4HS352LGlSQ/edit?pli=1#gid=0"",""1_ACUM!A4:S""),16,FALSE))"),"")</f>
        <v/>
      </c>
      <c r="BC881" s="43" t="str">
        <f ca="1">IFERROR(__xludf.DUMMYFUNCTION("IFERROR(VLOOKUP(E898&amp;F898,IMPORTRANGE(""https://docs.google.com/spreadsheets/d/1Uw7-A9f9R21vMXxHZFNpYNeKFtG8_yji4HS352LGlSQ/edit?pli=1#gid=0"",""1_ACUM!A4:S""),17,FALSE))"),"")</f>
        <v/>
      </c>
      <c r="BD881" s="44" t="str">
        <f ca="1">IFERROR(__xludf.DUMMYFUNCTION("IFERROR(VLOOKUP(E898&amp;F898,IMPORTRANGE(""https://docs.google.com/spreadsheets/d/1Uw7-A9f9R21vMXxHZFNpYNeKFtG8_yji4HS352LGlSQ/edit?pli=1#gid=0"",""1_ACUM!A4:S""),18,FALSE))"),"")</f>
        <v/>
      </c>
      <c r="BE881" s="44" t="str">
        <f ca="1">IFERROR(__xludf.DUMMYFUNCTION("IFERROR(VLOOKUP(E898&amp;F898,IMPORTRANGE(""https://docs.google.com/spreadsheets/d/1Uw7-A9f9R21vMXxHZFNpYNeKFtG8_yji4HS352LGlSQ/edit?pli=1#gid=0"",""1_ACUM!A4:S""),19,FALSE))"),"")</f>
        <v/>
      </c>
      <c r="BF881" s="44" t="str">
        <f ca="1">IFERROR(__xludf.DUMMYFUNCTION("IFERROR(VLOOKUP(F898,IMPORTRANGE(""https://docs.google.com/spreadsheets/d/1Kvs4KS76FHFqLFIZfrDMff4kP08nblUkihrxltoGBjg/edit#gid=934712705"",""ESENCIAL!A6:BG""),5,FALSE))"),"")</f>
        <v/>
      </c>
      <c r="BG881" s="44" t="str">
        <f t="shared" si="45"/>
        <v/>
      </c>
      <c r="BH881" s="41" t="str">
        <f t="shared" si="46"/>
        <v/>
      </c>
      <c r="BI881" s="41" t="str">
        <f ca="1">IFERROR(__xludf.DUMMYFUNCTION("IFERROR(VLOOKUP(F898,IMPORTRANGE(""https://docs.google.com/spreadsheets/d/1Kvs4KS76FHFqLFIZfrDMff4kP08nblUkihrxltoGBjg/edit#gid=934712705"",""ESENCIAL!A6:BG""),18,FALSE))"),"")</f>
        <v/>
      </c>
      <c r="BJ881" s="19" t="str">
        <f t="shared" si="47"/>
        <v/>
      </c>
      <c r="BK881" s="41"/>
      <c r="BL881" s="41"/>
    </row>
    <row r="882" spans="1:64" ht="15.75" customHeight="1">
      <c r="L882" s="287"/>
    </row>
    <row r="883" spans="1:64" ht="15.75" customHeight="1">
      <c r="L883" s="287"/>
    </row>
    <row r="884" spans="1:64" ht="15.75" customHeight="1">
      <c r="L884" s="287"/>
    </row>
    <row r="885" spans="1:64" ht="15.75" customHeight="1">
      <c r="L885" s="287"/>
    </row>
    <row r="886" spans="1:64" ht="15.75" customHeight="1">
      <c r="L886" s="287"/>
    </row>
    <row r="887" spans="1:64" ht="15.75" customHeight="1">
      <c r="L887" s="287"/>
    </row>
    <row r="888" spans="1:64" ht="15.75" customHeight="1">
      <c r="L888" s="287"/>
    </row>
    <row r="889" spans="1:64" ht="15.75" customHeight="1">
      <c r="L889" s="287"/>
    </row>
    <row r="890" spans="1:64" ht="15.75" customHeight="1">
      <c r="L890" s="287"/>
    </row>
    <row r="891" spans="1:64" ht="15.75" customHeight="1">
      <c r="L891" s="287"/>
    </row>
    <row r="892" spans="1:64" ht="15.75" customHeight="1">
      <c r="L892" s="287"/>
    </row>
    <row r="893" spans="1:64" ht="15.75" customHeight="1">
      <c r="L893" s="287"/>
    </row>
    <row r="894" spans="1:64" ht="15.75" customHeight="1">
      <c r="L894" s="287"/>
    </row>
    <row r="895" spans="1:64" ht="15.75" customHeight="1">
      <c r="L895" s="287"/>
    </row>
    <row r="896" spans="1:64" ht="15.75" customHeight="1">
      <c r="L896" s="287"/>
    </row>
    <row r="897" spans="12:12" ht="15.75" customHeight="1">
      <c r="L897" s="287"/>
    </row>
    <row r="898" spans="12:12" ht="15.75" customHeight="1">
      <c r="L898" s="287"/>
    </row>
    <row r="899" spans="12:12" ht="15.75" customHeight="1">
      <c r="L899" s="287"/>
    </row>
    <row r="900" spans="12:12" ht="15.75" customHeight="1">
      <c r="L900" s="287"/>
    </row>
    <row r="901" spans="12:12" ht="15.75" customHeight="1">
      <c r="L901" s="287"/>
    </row>
    <row r="902" spans="12:12" ht="15.75" customHeight="1">
      <c r="L902" s="287"/>
    </row>
    <row r="903" spans="12:12" ht="15.75" customHeight="1">
      <c r="L903" s="287"/>
    </row>
    <row r="904" spans="12:12" ht="15.75" customHeight="1">
      <c r="L904" s="287"/>
    </row>
    <row r="905" spans="12:12" ht="15.75" customHeight="1">
      <c r="L905" s="287"/>
    </row>
    <row r="906" spans="12:12" ht="15.75" customHeight="1">
      <c r="L906" s="287"/>
    </row>
    <row r="907" spans="12:12" ht="15.75" customHeight="1">
      <c r="L907" s="287"/>
    </row>
    <row r="908" spans="12:12" ht="15.75" customHeight="1">
      <c r="L908" s="287"/>
    </row>
    <row r="909" spans="12:12" ht="15.75" customHeight="1">
      <c r="L909" s="287"/>
    </row>
    <row r="910" spans="12:12" ht="15.75" customHeight="1">
      <c r="L910" s="287"/>
    </row>
    <row r="911" spans="12:12" ht="15.75" customHeight="1">
      <c r="L911" s="287"/>
    </row>
    <row r="912" spans="12:12" ht="15.75" customHeight="1">
      <c r="L912" s="287"/>
    </row>
    <row r="913" spans="12:12" ht="15.75" customHeight="1">
      <c r="L913" s="287"/>
    </row>
    <row r="914" spans="12:12" ht="15.75" customHeight="1">
      <c r="L914" s="287"/>
    </row>
    <row r="915" spans="12:12" ht="15.75" customHeight="1">
      <c r="L915" s="287"/>
    </row>
    <row r="916" spans="12:12" ht="15.75" customHeight="1">
      <c r="L916" s="287"/>
    </row>
    <row r="917" spans="12:12" ht="15.75" customHeight="1">
      <c r="L917" s="287"/>
    </row>
    <row r="918" spans="12:12" ht="15.75" customHeight="1">
      <c r="L918" s="287"/>
    </row>
    <row r="919" spans="12:12" ht="15.75" customHeight="1">
      <c r="L919" s="287"/>
    </row>
    <row r="920" spans="12:12" ht="15.75" customHeight="1">
      <c r="L920" s="287"/>
    </row>
    <row r="921" spans="12:12" ht="15.75" customHeight="1">
      <c r="L921" s="287"/>
    </row>
    <row r="922" spans="12:12" ht="15.75" customHeight="1">
      <c r="L922" s="287"/>
    </row>
    <row r="923" spans="12:12" ht="15.75" customHeight="1">
      <c r="L923" s="287"/>
    </row>
    <row r="924" spans="12:12" ht="15.75" customHeight="1">
      <c r="L924" s="287"/>
    </row>
    <row r="925" spans="12:12" ht="15.75" customHeight="1">
      <c r="L925" s="287"/>
    </row>
    <row r="926" spans="12:12" ht="15.75" customHeight="1">
      <c r="L926" s="287"/>
    </row>
    <row r="927" spans="12:12" ht="15.75" customHeight="1">
      <c r="L927" s="287"/>
    </row>
    <row r="928" spans="12:12" ht="15.75" customHeight="1">
      <c r="L928" s="287"/>
    </row>
    <row r="929" spans="12:12" ht="15.75" customHeight="1">
      <c r="L929" s="287"/>
    </row>
    <row r="930" spans="12:12" ht="15.75" customHeight="1">
      <c r="L930" s="287"/>
    </row>
    <row r="931" spans="12:12" ht="15.75" customHeight="1">
      <c r="L931" s="287"/>
    </row>
    <row r="932" spans="12:12" ht="15.75" customHeight="1">
      <c r="L932" s="287"/>
    </row>
    <row r="933" spans="12:12" ht="15.75" customHeight="1">
      <c r="L933" s="287"/>
    </row>
    <row r="934" spans="12:12" ht="15.75" customHeight="1">
      <c r="L934" s="287"/>
    </row>
    <row r="935" spans="12:12" ht="15.75" customHeight="1">
      <c r="L935" s="287"/>
    </row>
    <row r="936" spans="12:12" ht="15.75" customHeight="1">
      <c r="L936" s="287"/>
    </row>
    <row r="937" spans="12:12" ht="15.75" customHeight="1">
      <c r="L937" s="287"/>
    </row>
    <row r="938" spans="12:12" ht="15.75" customHeight="1">
      <c r="L938" s="287"/>
    </row>
    <row r="939" spans="12:12" ht="15.75" customHeight="1">
      <c r="L939" s="287"/>
    </row>
    <row r="940" spans="12:12" ht="15.75" customHeight="1">
      <c r="L940" s="287"/>
    </row>
    <row r="941" spans="12:12" ht="15.75" customHeight="1">
      <c r="L941" s="287"/>
    </row>
    <row r="942" spans="12:12" ht="15.75" customHeight="1">
      <c r="L942" s="287"/>
    </row>
    <row r="943" spans="12:12" ht="15.75" customHeight="1">
      <c r="L943" s="287"/>
    </row>
    <row r="944" spans="12:12" ht="15.75" customHeight="1">
      <c r="L944" s="287"/>
    </row>
    <row r="945" spans="12:12" ht="15.75" customHeight="1">
      <c r="L945" s="287"/>
    </row>
    <row r="946" spans="12:12" ht="15.75" customHeight="1">
      <c r="L946" s="287"/>
    </row>
    <row r="947" spans="12:12" ht="15.75" customHeight="1">
      <c r="L947" s="287"/>
    </row>
    <row r="948" spans="12:12" ht="15.75" customHeight="1">
      <c r="L948" s="287"/>
    </row>
    <row r="949" spans="12:12" ht="15.75" customHeight="1">
      <c r="L949" s="287"/>
    </row>
    <row r="950" spans="12:12" ht="15.75" customHeight="1">
      <c r="L950" s="287"/>
    </row>
    <row r="951" spans="12:12" ht="15.75" customHeight="1">
      <c r="L951" s="287"/>
    </row>
    <row r="952" spans="12:12" ht="15.75" customHeight="1">
      <c r="L952" s="287"/>
    </row>
    <row r="953" spans="12:12" ht="15.75" customHeight="1">
      <c r="L953" s="287"/>
    </row>
    <row r="954" spans="12:12" ht="15.75" customHeight="1">
      <c r="L954" s="287"/>
    </row>
    <row r="955" spans="12:12" ht="15.75" customHeight="1">
      <c r="L955" s="287"/>
    </row>
    <row r="956" spans="12:12" ht="15.75" customHeight="1">
      <c r="L956" s="287"/>
    </row>
    <row r="957" spans="12:12" ht="15.75" customHeight="1">
      <c r="L957" s="287"/>
    </row>
    <row r="958" spans="12:12" ht="15.75" customHeight="1">
      <c r="L958" s="287"/>
    </row>
    <row r="959" spans="12:12" ht="15.75" customHeight="1">
      <c r="L959" s="287"/>
    </row>
    <row r="960" spans="12:12" ht="15.75" customHeight="1">
      <c r="L960" s="287"/>
    </row>
    <row r="961" spans="12:12" ht="15.75" customHeight="1">
      <c r="L961" s="287"/>
    </row>
    <row r="962" spans="12:12" ht="15.75" customHeight="1">
      <c r="L962" s="287"/>
    </row>
    <row r="963" spans="12:12" ht="15.75" customHeight="1">
      <c r="L963" s="287"/>
    </row>
    <row r="964" spans="12:12" ht="15.75" customHeight="1">
      <c r="L964" s="287"/>
    </row>
    <row r="965" spans="12:12" ht="15.75" customHeight="1">
      <c r="L965" s="287"/>
    </row>
    <row r="966" spans="12:12" ht="15.75" customHeight="1">
      <c r="L966" s="287"/>
    </row>
    <row r="967" spans="12:12" ht="15.75" customHeight="1">
      <c r="L967" s="287"/>
    </row>
    <row r="968" spans="12:12" ht="15.75" customHeight="1">
      <c r="L968" s="287"/>
    </row>
    <row r="969" spans="12:12" ht="15.75" customHeight="1">
      <c r="L969" s="287"/>
    </row>
    <row r="970" spans="12:12" ht="15.75" customHeight="1">
      <c r="L970" s="287"/>
    </row>
    <row r="971" spans="12:12" ht="15.75" customHeight="1">
      <c r="L971" s="287"/>
    </row>
    <row r="972" spans="12:12" ht="15.75" customHeight="1">
      <c r="L972" s="287"/>
    </row>
    <row r="973" spans="12:12" ht="15.75" customHeight="1">
      <c r="L973" s="287"/>
    </row>
    <row r="974" spans="12:12" ht="15.75" customHeight="1">
      <c r="L974" s="287"/>
    </row>
    <row r="975" spans="12:12" ht="15.75" customHeight="1">
      <c r="L975" s="287"/>
    </row>
    <row r="976" spans="12:12" ht="15.75" customHeight="1">
      <c r="L976" s="287"/>
    </row>
    <row r="977" spans="12:12" ht="15.75" customHeight="1">
      <c r="L977" s="287"/>
    </row>
    <row r="978" spans="12:12" ht="15.75" customHeight="1">
      <c r="L978" s="287"/>
    </row>
    <row r="979" spans="12:12" ht="15.75" customHeight="1">
      <c r="L979" s="287"/>
    </row>
    <row r="980" spans="12:12" ht="15.75" customHeight="1">
      <c r="L980" s="287"/>
    </row>
    <row r="981" spans="12:12" ht="15.75" customHeight="1">
      <c r="L981" s="287"/>
    </row>
    <row r="982" spans="12:12" ht="15.75" customHeight="1">
      <c r="L982" s="287"/>
    </row>
    <row r="983" spans="12:12" ht="15.75" customHeight="1">
      <c r="L983" s="287"/>
    </row>
    <row r="984" spans="12:12" ht="15.75" customHeight="1">
      <c r="L984" s="287"/>
    </row>
    <row r="985" spans="12:12" ht="15.75" customHeight="1">
      <c r="L985" s="287"/>
    </row>
    <row r="986" spans="12:12" ht="15.75" customHeight="1">
      <c r="L986" s="287"/>
    </row>
    <row r="987" spans="12:12" ht="15.75" customHeight="1">
      <c r="L987" s="287"/>
    </row>
    <row r="988" spans="12:12" ht="15.75" customHeight="1">
      <c r="L988" s="287"/>
    </row>
    <row r="989" spans="12:12" ht="15.75" customHeight="1">
      <c r="L989" s="287"/>
    </row>
    <row r="990" spans="12:12" ht="15.75" customHeight="1">
      <c r="L990" s="287"/>
    </row>
    <row r="991" spans="12:12" ht="15.75" customHeight="1">
      <c r="L991" s="287"/>
    </row>
    <row r="992" spans="12:12" ht="15.75" customHeight="1">
      <c r="L992" s="287"/>
    </row>
    <row r="993" spans="12:12" ht="15.75" customHeight="1">
      <c r="L993" s="287"/>
    </row>
    <row r="994" spans="12:12" ht="15.75" customHeight="1">
      <c r="L994" s="287"/>
    </row>
    <row r="995" spans="12:12" ht="15.75" customHeight="1">
      <c r="L995" s="287"/>
    </row>
    <row r="996" spans="12:12" ht="15.75" customHeight="1">
      <c r="L996" s="287"/>
    </row>
    <row r="997" spans="12:12" ht="15.75" customHeight="1">
      <c r="L997" s="287"/>
    </row>
    <row r="998" spans="12:12" ht="15.75" customHeight="1">
      <c r="L998" s="287"/>
    </row>
    <row r="999" spans="12:12" ht="15.75" customHeight="1">
      <c r="L999" s="287"/>
    </row>
    <row r="1000" spans="12:12" ht="15.75" customHeight="1">
      <c r="L1000" s="287"/>
    </row>
    <row r="1001" spans="12:12" ht="15.75" customHeight="1">
      <c r="L1001" s="287"/>
    </row>
    <row r="1002" spans="12:12" ht="15.75" customHeight="1">
      <c r="L1002" s="287"/>
    </row>
    <row r="1003" spans="12:12" ht="15.75" customHeight="1">
      <c r="L1003" s="287"/>
    </row>
    <row r="1004" spans="12:12" ht="15.75" customHeight="1">
      <c r="L1004" s="287"/>
    </row>
    <row r="1005" spans="12:12" ht="15.75" customHeight="1">
      <c r="L1005" s="287"/>
    </row>
    <row r="1006" spans="12:12" ht="15.75" customHeight="1">
      <c r="L1006" s="287"/>
    </row>
    <row r="1007" spans="12:12" ht="15.75" customHeight="1">
      <c r="L1007" s="287"/>
    </row>
    <row r="1008" spans="12:12" ht="15.75" customHeight="1">
      <c r="L1008" s="287"/>
    </row>
    <row r="1009" spans="12:12" ht="15.75" customHeight="1">
      <c r="L1009" s="287"/>
    </row>
    <row r="1010" spans="12:12" ht="15.75" customHeight="1">
      <c r="L1010" s="287"/>
    </row>
    <row r="1011" spans="12:12" ht="15.75" customHeight="1">
      <c r="L1011" s="287"/>
    </row>
    <row r="1012" spans="12:12" ht="15.75" customHeight="1">
      <c r="L1012" s="287"/>
    </row>
    <row r="1013" spans="12:12" ht="15.75" customHeight="1">
      <c r="L1013" s="287"/>
    </row>
    <row r="1014" spans="12:12" ht="15.75" customHeight="1">
      <c r="L1014" s="287"/>
    </row>
    <row r="1015" spans="12:12" ht="15.75" customHeight="1">
      <c r="L1015" s="287"/>
    </row>
    <row r="1016" spans="12:12" ht="15.75" customHeight="1">
      <c r="L1016" s="287"/>
    </row>
    <row r="1017" spans="12:12" ht="15.75" customHeight="1">
      <c r="L1017" s="287"/>
    </row>
    <row r="1018" spans="12:12" ht="15.75" customHeight="1">
      <c r="L1018" s="287"/>
    </row>
    <row r="1019" spans="12:12" ht="15.75" customHeight="1">
      <c r="L1019" s="287"/>
    </row>
    <row r="1020" spans="12:12" ht="15.75" customHeight="1">
      <c r="L1020" s="287"/>
    </row>
    <row r="1021" spans="12:12" ht="15.75" customHeight="1">
      <c r="L1021" s="287"/>
    </row>
    <row r="1022" spans="12:12" ht="15.75" customHeight="1">
      <c r="L1022" s="287"/>
    </row>
    <row r="1023" spans="12:12" ht="15.75" customHeight="1">
      <c r="L1023" s="287"/>
    </row>
    <row r="1024" spans="12:12" ht="15.75" customHeight="1">
      <c r="L1024" s="287"/>
    </row>
    <row r="1025" spans="12:12" ht="15.75" customHeight="1">
      <c r="L1025" s="287"/>
    </row>
    <row r="1026" spans="12:12" ht="15.75" customHeight="1">
      <c r="L1026" s="287"/>
    </row>
    <row r="1027" spans="12:12" ht="15.75" customHeight="1">
      <c r="L1027" s="287"/>
    </row>
    <row r="1028" spans="12:12" ht="15.75" customHeight="1">
      <c r="L1028" s="287"/>
    </row>
    <row r="1029" spans="12:12" ht="15.75" customHeight="1">
      <c r="L1029" s="287"/>
    </row>
    <row r="1030" spans="12:12" ht="15.75" customHeight="1">
      <c r="L1030" s="287"/>
    </row>
    <row r="1031" spans="12:12" ht="15.75" customHeight="1">
      <c r="L1031" s="287"/>
    </row>
    <row r="1032" spans="12:12" ht="15.75" customHeight="1">
      <c r="L1032" s="287"/>
    </row>
    <row r="1033" spans="12:12" ht="15.75" customHeight="1">
      <c r="L1033" s="287"/>
    </row>
    <row r="1034" spans="12:12" ht="15.75" customHeight="1">
      <c r="L1034" s="287"/>
    </row>
    <row r="1035" spans="12:12" ht="15.75" customHeight="1">
      <c r="L1035" s="287"/>
    </row>
    <row r="1036" spans="12:12" ht="15.75" customHeight="1">
      <c r="L1036" s="287"/>
    </row>
    <row r="1037" spans="12:12" ht="15.75" customHeight="1">
      <c r="L1037" s="287"/>
    </row>
    <row r="1038" spans="12:12" ht="15.75" customHeight="1">
      <c r="L1038" s="287"/>
    </row>
    <row r="1039" spans="12:12" ht="15.75" customHeight="1">
      <c r="L1039" s="287"/>
    </row>
    <row r="1040" spans="12:12" ht="15.75" customHeight="1">
      <c r="L1040" s="287"/>
    </row>
    <row r="1041" spans="12:12" ht="15.75" customHeight="1">
      <c r="L1041" s="287"/>
    </row>
    <row r="1042" spans="12:12" ht="15.75" customHeight="1">
      <c r="L1042" s="287"/>
    </row>
    <row r="1043" spans="12:12" ht="15.75" customHeight="1">
      <c r="L1043" s="287"/>
    </row>
    <row r="1044" spans="12:12" ht="15.75" customHeight="1">
      <c r="L1044" s="287"/>
    </row>
    <row r="1045" spans="12:12" ht="15.75" customHeight="1">
      <c r="L1045" s="287"/>
    </row>
    <row r="1046" spans="12:12" ht="15.75" customHeight="1">
      <c r="L1046" s="287"/>
    </row>
    <row r="1047" spans="12:12" ht="15.75" customHeight="1">
      <c r="L1047" s="287"/>
    </row>
    <row r="1048" spans="12:12" ht="15.75" customHeight="1">
      <c r="L1048" s="287"/>
    </row>
    <row r="1049" spans="12:12" ht="15.75" customHeight="1">
      <c r="L1049" s="287"/>
    </row>
    <row r="1050" spans="12:12" ht="15.75" customHeight="1">
      <c r="L1050" s="287"/>
    </row>
    <row r="1051" spans="12:12" ht="15.75" customHeight="1">
      <c r="L1051" s="287"/>
    </row>
    <row r="1052" spans="12:12" ht="15.75" customHeight="1">
      <c r="L1052" s="287"/>
    </row>
    <row r="1053" spans="12:12" ht="15.75" customHeight="1">
      <c r="L1053" s="287"/>
    </row>
    <row r="1054" spans="12:12" ht="15.75" customHeight="1">
      <c r="L1054" s="287"/>
    </row>
    <row r="1055" spans="12:12" ht="15.75" customHeight="1">
      <c r="L1055" s="287"/>
    </row>
    <row r="1056" spans="12:12" ht="15.75" customHeight="1">
      <c r="L1056" s="287"/>
    </row>
    <row r="1057" spans="12:12" ht="15.75" customHeight="1">
      <c r="L1057" s="287"/>
    </row>
    <row r="1058" spans="12:12" ht="15.75" customHeight="1">
      <c r="L1058" s="287"/>
    </row>
    <row r="1059" spans="12:12" ht="15.75" customHeight="1">
      <c r="L1059" s="287"/>
    </row>
    <row r="1060" spans="12:12" ht="15.75" customHeight="1">
      <c r="L1060" s="287"/>
    </row>
    <row r="1061" spans="12:12" ht="15.75" customHeight="1">
      <c r="L1061" s="287"/>
    </row>
    <row r="1062" spans="12:12" ht="15.75" customHeight="1">
      <c r="L1062" s="287"/>
    </row>
    <row r="1063" spans="12:12" ht="15.75" customHeight="1">
      <c r="L1063" s="287"/>
    </row>
    <row r="1064" spans="12:12" ht="15.75" customHeight="1">
      <c r="L1064" s="287"/>
    </row>
    <row r="1065" spans="12:12" ht="15.75" customHeight="1">
      <c r="L1065" s="287"/>
    </row>
    <row r="1066" spans="12:12" ht="15.75" customHeight="1">
      <c r="L1066" s="287"/>
    </row>
    <row r="1067" spans="12:12" ht="15.75" customHeight="1">
      <c r="L1067" s="287"/>
    </row>
    <row r="1068" spans="12:12" ht="15.75" customHeight="1">
      <c r="L1068" s="287"/>
    </row>
    <row r="1069" spans="12:12" ht="15.75" customHeight="1">
      <c r="L1069" s="287"/>
    </row>
    <row r="1070" spans="12:12" ht="15.75" customHeight="1">
      <c r="L1070" s="287"/>
    </row>
    <row r="1071" spans="12:12" ht="15.75" customHeight="1">
      <c r="L1071" s="287"/>
    </row>
    <row r="1072" spans="12:12" ht="15.75" customHeight="1">
      <c r="L1072" s="287"/>
    </row>
    <row r="1073" spans="12:12" ht="15.75" customHeight="1">
      <c r="L1073" s="287"/>
    </row>
    <row r="1074" spans="12:12" ht="15.75" customHeight="1">
      <c r="L1074" s="287"/>
    </row>
    <row r="1075" spans="12:12" ht="15.75" customHeight="1">
      <c r="L1075" s="287"/>
    </row>
    <row r="1076" spans="12:12" ht="15.75" customHeight="1">
      <c r="L1076" s="287"/>
    </row>
    <row r="1077" spans="12:12" ht="15.75" customHeight="1">
      <c r="L1077" s="287"/>
    </row>
    <row r="1078" spans="12:12" ht="15.75" customHeight="1">
      <c r="L1078" s="287"/>
    </row>
    <row r="1079" spans="12:12" ht="15.75" customHeight="1">
      <c r="L1079" s="287"/>
    </row>
    <row r="1080" spans="12:12" ht="15.75" customHeight="1">
      <c r="L1080" s="287"/>
    </row>
    <row r="1081" spans="12:12" ht="15.75" customHeight="1">
      <c r="L1081" s="287"/>
    </row>
    <row r="1082" spans="12:12" ht="15.75" customHeight="1">
      <c r="L1082" s="287"/>
    </row>
    <row r="1083" spans="12:12" ht="15.75" customHeight="1">
      <c r="L1083" s="287"/>
    </row>
    <row r="1084" spans="12:12" ht="15.75" customHeight="1">
      <c r="L1084" s="287"/>
    </row>
    <row r="1085" spans="12:12" ht="15.75" customHeight="1">
      <c r="L1085" s="287"/>
    </row>
    <row r="1086" spans="12:12" ht="15.75" customHeight="1">
      <c r="L1086" s="287"/>
    </row>
    <row r="1087" spans="12:12" ht="15.75" customHeight="1">
      <c r="L1087" s="287"/>
    </row>
    <row r="1088" spans="12:12" ht="15.75" customHeight="1">
      <c r="L1088" s="287"/>
    </row>
    <row r="1089" spans="12:12" ht="15.75" customHeight="1">
      <c r="L1089" s="287"/>
    </row>
    <row r="1090" spans="12:12" ht="15.75" customHeight="1">
      <c r="L1090" s="287"/>
    </row>
    <row r="1091" spans="12:12" ht="15.75" customHeight="1">
      <c r="L1091" s="287"/>
    </row>
    <row r="1092" spans="12:12" ht="15.75" customHeight="1">
      <c r="L1092" s="287"/>
    </row>
    <row r="1093" spans="12:12" ht="15.75" customHeight="1">
      <c r="L1093" s="287"/>
    </row>
    <row r="1094" spans="12:12" ht="15.75" customHeight="1">
      <c r="L1094" s="287"/>
    </row>
    <row r="1095" spans="12:12" ht="15.75" customHeight="1">
      <c r="L1095" s="287"/>
    </row>
    <row r="1096" spans="12:12" ht="15.75" customHeight="1">
      <c r="L1096" s="287"/>
    </row>
    <row r="1097" spans="12:12" ht="15.75" customHeight="1">
      <c r="L1097" s="287"/>
    </row>
    <row r="1098" spans="12:12" ht="15.75" customHeight="1">
      <c r="L1098" s="287"/>
    </row>
    <row r="1099" spans="12:12" ht="15.75" customHeight="1">
      <c r="L1099" s="287"/>
    </row>
    <row r="1100" spans="12:12" ht="15.75" customHeight="1">
      <c r="L1100" s="287"/>
    </row>
    <row r="1101" spans="12:12" ht="15.75" customHeight="1">
      <c r="L1101" s="287"/>
    </row>
    <row r="1102" spans="12:12" ht="15.75" customHeight="1">
      <c r="L1102" s="287"/>
    </row>
    <row r="1103" spans="12:12" ht="15.75" customHeight="1">
      <c r="L1103" s="287"/>
    </row>
  </sheetData>
  <customSheetViews>
    <customSheetView guid="{EAC82E0D-75FA-41B7-8B62-97FB6A6849EA}" filter="1" showAutoFilter="1">
      <pageMargins left="0" right="0" top="0" bottom="0" header="0" footer="0"/>
      <autoFilter ref="A2:AH898" xr:uid="{18BB7069-FA05-5949-8709-D5DF7BF2DEA4}">
        <filterColumn colId="1">
          <filters blank="1">
            <filter val="APLAZADO  18/10/2022"/>
            <filter val="FORMACIÓN 18/10/2022"/>
          </filters>
        </filterColumn>
      </autoFilter>
    </customSheetView>
    <customSheetView guid="{84E55A85-4999-488C-B8FB-CF76BA148A0B}" filter="1" showAutoFilter="1">
      <pageMargins left="0" right="0" top="0" bottom="0" header="0" footer="0"/>
      <autoFilter ref="A2:BA898" xr:uid="{FEEC3948-7EF4-874B-B64A-B23F76FBEF7F}">
        <filterColumn colId="11">
          <filters>
            <filter val="CONTRATO DE APRENDIZAJE"/>
            <filter val="NO HA INICIADO ETAPA PRODUCTIVA"/>
            <filter val="VINCULACIÓN LABORAL"/>
          </filters>
        </filterColumn>
      </autoFilter>
    </customSheetView>
    <customSheetView guid="{F538DE6E-16F6-4729-8AE2-7E15099C785E}" filter="1" showAutoFilter="1">
      <pageMargins left="0" right="0" top="0" bottom="0" header="0" footer="0"/>
      <autoFilter ref="A2:BA898" xr:uid="{14072DEB-B48A-9A49-B97C-38619A3AF379}">
        <filterColumn colId="3">
          <filters>
            <filter val="CC"/>
            <filter val="TI"/>
          </filters>
        </filterColumn>
        <filterColumn colId="11">
          <filters blank="1">
            <filter val="NO HA INICIADO ETAPA PRODUCTIVA"/>
            <filter val="VINCULACIÓN LABORAL"/>
          </filters>
        </filterColumn>
      </autoFilter>
    </customSheetView>
    <customSheetView guid="{1595741D-5B83-4B67-A5B8-38E51C4A1B31}" filter="1" showAutoFilter="1">
      <pageMargins left="0" right="0" top="0" bottom="0" header="0" footer="0"/>
      <autoFilter ref="A2:BA898" xr:uid="{7F5186E8-5DE8-D64C-B63F-030D514E1716}">
        <filterColumn colId="5">
          <filters blank="1">
            <filter val="1832952"/>
            <filter val="1835249"/>
            <filter val="1972886"/>
            <filter val="2056447"/>
            <filter val="2166550"/>
            <filter val="2205580"/>
            <filter val="2236073"/>
            <filter val="2252427"/>
            <filter val="2280135"/>
            <filter val="2280193"/>
            <filter val="2327533"/>
            <filter val="2356780"/>
          </filters>
        </filterColumn>
        <filterColumn colId="7">
          <filters blank="1">
            <filter val="PRODUCCION DE CAFE"/>
            <filter val="PRODUCCIÓN DE CAFÉS ESPECIALES"/>
            <filter val="SERVICIOS DE BARISMO"/>
          </filters>
        </filterColumn>
        <filterColumn colId="11">
          <filters>
            <filter val="NO HA INICIADO ETAPA PRODUCTIVA"/>
            <filter val="VINCULACIÓN LABORAL"/>
          </filters>
        </filterColumn>
      </autoFilter>
    </customSheetView>
    <customSheetView guid="{58B89FF3-C647-47FD-9CC2-FAEF34225D14}" filter="1" showAutoFilter="1">
      <pageMargins left="0" right="0" top="0" bottom="0" header="0" footer="0"/>
      <autoFilter ref="A2:BA898" xr:uid="{E303B83B-483C-F543-997E-68D3CE69094C}"/>
    </customSheetView>
  </customSheetViews>
  <mergeCells count="3">
    <mergeCell ref="C1:L1"/>
    <mergeCell ref="M1:Q1"/>
    <mergeCell ref="R1:T1"/>
  </mergeCells>
  <conditionalFormatting sqref="L205:L1103">
    <cfRule type="notContainsBlanks" dxfId="130" priority="2">
      <formula>LEN(TRIM(L205))&gt;0</formula>
    </cfRule>
  </conditionalFormatting>
  <dataValidations count="2">
    <dataValidation type="list" allowBlank="1" showInputMessage="1" showErrorMessage="1" prompt="Haz clic e introduce un valor de la lista de elementos" sqref="L34:L35 L154 L104:L112 L143:L151 L124:L129 L64 L121 L140:L141 L132:L134 L136:L138 L114:L119 L61 L66 L10 L14 L31:L32 L40 L46 L54 L56" xr:uid="{00000000-0002-0000-0400-000000000000}">
      <formula1>"UNIDAD PRODUCTIVA,CONTRATO DE APRENDIZAJE,NO HA INICIADO ETAPA PRODUCTIVA,NO TIENE LEGALIZACIÓN,NO VA A RELIZAR ETAPA PRODUCTIVA,PASANTÍAS,PENDIENTE,PROYECTO PRODUCTIVO,PRODUCTIVO,RENUNCIO A CONTRATO DE APRENDIZAJE,RETIRO DE SU ETAPA PRODUCTIVA,RETIRO VOL"&amp;"UNTARIO,SI REALIZO PRACTICAS,TERMINADO,TERMINO CONTRATO DE APRENDIZAJE,TRABAJADOR(A) INDEPENDIENTE,VINCULACIÓN LABORAL"</formula1>
    </dataValidation>
    <dataValidation type="list" allowBlank="1" showInputMessage="1" showErrorMessage="1" sqref="L3:L9 L33 L37:L39 L41:L45 L47:L53 L55 L57:L60 L62:L63 L65 L67:L103 L113 L120 L122:L123 L130 L135 L142 L153 L155 L157:L158 L161 L165:L167 L170:L171 L174:L177 L180:L181 L184:L188 L190:L196 L198:L1103 L11:L13 L15:L30" xr:uid="{07995A8A-B7DD-4C27-A49C-C087647FCCE2}">
      <formula1>"CONTRATO DE APRENDIZAJE,NO HA INICIADO ETAPA PRODUCTIVA,PASANTÍAS,PROYECTO PRODUCTIVO,RENUNCIO A CONTRATO DE APRENDIZAJE,TERMINADO,TERMINADO EL CONTRATO,VINCULACIÓN LABORAL"</formula1>
    </dataValidation>
  </dataValidations>
  <hyperlinks>
    <hyperlink ref="J4" r:id="rId1" xr:uid="{00000000-0004-0000-0400-000000000000}"/>
    <hyperlink ref="Q4" r:id="rId2" xr:uid="{00000000-0004-0000-0400-000001000000}"/>
    <hyperlink ref="J6" r:id="rId3" xr:uid="{00000000-0004-0000-0400-000002000000}"/>
    <hyperlink ref="Q6" r:id="rId4" xr:uid="{00000000-0004-0000-0400-000003000000}"/>
    <hyperlink ref="J19" r:id="rId5" xr:uid="{00000000-0004-0000-0400-000004000000}"/>
    <hyperlink ref="Q133" r:id="rId6" xr:uid="{5DD70702-1E71-4A67-BAC0-3706B35F6D82}"/>
    <hyperlink ref="J156" r:id="rId7" xr:uid="{2AF5EFF0-EC18-4021-A807-D8F63E5B79D8}"/>
    <hyperlink ref="Q156" r:id="rId8" xr:uid="{3E066EA8-B1BE-453D-BE50-01897139C80E}"/>
    <hyperlink ref="J159" r:id="rId9" xr:uid="{5F75F804-2CB1-4D38-9980-99E4CED6F6A6}"/>
    <hyperlink ref="J162" r:id="rId10" xr:uid="{8260C3D4-BE70-4DB0-9314-320D3DA4D377}"/>
    <hyperlink ref="J168" r:id="rId11" xr:uid="{BE128A38-E612-450D-97DB-3CEC7FAE6BEE}"/>
    <hyperlink ref="J178" r:id="rId12" xr:uid="{4A9FFED6-09F1-4307-986F-272B03DC7AA0}"/>
    <hyperlink ref="Q149" r:id="rId13" xr:uid="{28D4355E-8A29-4253-B563-E4EA464CE803}"/>
    <hyperlink ref="Q139" r:id="rId14" xr:uid="{F23D27FA-7450-4A8C-80D8-AD3000E35D46}"/>
    <hyperlink ref="J145" r:id="rId15" xr:uid="{F020732C-A186-4525-92DF-D1E8CB8EC611}"/>
    <hyperlink ref="Q145" r:id="rId16" xr:uid="{2C896D77-D2C5-40E3-9FE4-95F6CB56FB09}"/>
    <hyperlink ref="J146" r:id="rId17" xr:uid="{DC41BA4E-7B49-4B8C-AE3C-6BBD96F67A8E}"/>
    <hyperlink ref="Q146" r:id="rId18" xr:uid="{59595742-2B73-43DE-A016-ACF6E0FBE8F5}"/>
    <hyperlink ref="Q183" r:id="rId19" xr:uid="{5A643E32-4240-4343-809B-0CA652EDF725}"/>
    <hyperlink ref="Q197" r:id="rId20" xr:uid="{3FA5A6F8-9696-4EB1-BA3E-3A5B982E8C43}"/>
    <hyperlink ref="J164" r:id="rId21" xr:uid="{6476D977-D467-4006-9B02-56B62A89E78C}"/>
    <hyperlink ref="Q164" r:id="rId22" xr:uid="{D8AD2217-D348-4CA7-9439-B418A33C2C1E}"/>
    <hyperlink ref="J152" r:id="rId23" xr:uid="{EFC6D7C5-3EC5-40BA-A10C-A821A6B4FDE1}"/>
    <hyperlink ref="Q172" r:id="rId24" xr:uid="{C0F65CFA-A497-4015-87BC-805F4D8F0430}"/>
    <hyperlink ref="J160" r:id="rId25" xr:uid="{3A45E17D-B45E-4CB9-81E8-D43BE9C031C4}"/>
    <hyperlink ref="Q160" r:id="rId26" xr:uid="{108C1DE7-8DBF-41E4-9AD5-73125E5A428A}"/>
    <hyperlink ref="J163" r:id="rId27" xr:uid="{A6D54A54-C673-4CCA-A93E-03188C29BC91}"/>
    <hyperlink ref="Q163" r:id="rId28" xr:uid="{1B6471A9-82AB-42E2-A2CC-EB6C681344B1}"/>
    <hyperlink ref="J179" r:id="rId29" xr:uid="{347DDD68-028E-4D2E-AD2F-81CD06F06D6F}"/>
    <hyperlink ref="Q179" r:id="rId30" xr:uid="{A0F44679-185F-43CE-AEDF-5450C4FAC128}"/>
    <hyperlink ref="Q182" r:id="rId31" xr:uid="{78DD81B2-0B14-4669-8585-50E143E52F28}"/>
    <hyperlink ref="Q189" r:id="rId32" xr:uid="{A610EB76-2F75-40D8-ABD1-043C46325E4B}"/>
    <hyperlink ref="Q169" r:id="rId33" xr:uid="{3B2C2916-35FB-42F1-8B42-878704D03CB9}"/>
    <hyperlink ref="J173" r:id="rId34" xr:uid="{20185354-DBF0-436B-A34E-D82A4634EF21}"/>
    <hyperlink ref="J202" r:id="rId35" xr:uid="{387A9C76-91DC-41FD-8ADF-7096E316FEC0}"/>
    <hyperlink ref="Q202" r:id="rId36" xr:uid="{506C1C91-E67D-4C82-936B-E13937C710D4}"/>
    <hyperlink ref="J166" r:id="rId37" xr:uid="{F2FC3A81-9A14-49AA-A141-F5B5DB434CF4}"/>
    <hyperlink ref="Q166" r:id="rId38" xr:uid="{32ABF632-527E-4153-8F22-C8034F3827E1}"/>
    <hyperlink ref="J161" r:id="rId39" xr:uid="{76F10871-96F3-47E9-B032-3508FC6332EC}"/>
    <hyperlink ref="J171" r:id="rId40" xr:uid="{7CF17118-E907-4195-A199-5D6B8462DF7C}"/>
  </hyperlinks>
  <pageMargins left="0" right="0" top="0" bottom="0" header="0" footer="0"/>
  <tableParts count="1">
    <tablePart r:id="rId4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L1163"/>
  <sheetViews>
    <sheetView tabSelected="1" topLeftCell="A16" workbookViewId="0">
      <selection activeCell="J3" sqref="J3"/>
    </sheetView>
  </sheetViews>
  <sheetFormatPr baseColWidth="10" defaultColWidth="12.5" defaultRowHeight="15.75" customHeight="1"/>
  <cols>
    <col min="1" max="1" width="23.5" customWidth="1"/>
    <col min="2" max="2" width="12.5" customWidth="1"/>
    <col min="3" max="3" width="32.5" customWidth="1"/>
    <col min="4" max="4" width="9" customWidth="1"/>
    <col min="5" max="5" width="17.5" customWidth="1"/>
    <col min="7" max="7" width="12.5" customWidth="1"/>
    <col min="8" max="8" width="39.1640625" customWidth="1"/>
    <col min="9" max="9" width="21.83203125" customWidth="1"/>
    <col min="10" max="10" width="12.6640625" customWidth="1"/>
    <col min="11" max="11" width="27.33203125" customWidth="1"/>
    <col min="12" max="12" width="29" customWidth="1"/>
    <col min="13" max="13" width="12.5" customWidth="1"/>
    <col min="14" max="14" width="15.33203125" customWidth="1"/>
    <col min="15" max="15" width="15" customWidth="1"/>
    <col min="16" max="16" width="12.5" customWidth="1"/>
    <col min="17" max="17" width="46.83203125" customWidth="1"/>
    <col min="18" max="18" width="26.83203125" customWidth="1"/>
    <col min="19" max="19" width="24.5" customWidth="1"/>
    <col min="20" max="20" width="22.1640625" customWidth="1"/>
    <col min="21" max="21" width="20.5" customWidth="1"/>
    <col min="22" max="22" width="26.5" customWidth="1"/>
    <col min="23" max="23" width="19" customWidth="1"/>
    <col min="24" max="24" width="25.5" customWidth="1"/>
    <col min="25" max="25" width="17.83203125" customWidth="1"/>
    <col min="26" max="26" width="24.5" customWidth="1"/>
    <col min="27" max="27" width="18" customWidth="1"/>
    <col min="28" max="28" width="24.1640625" customWidth="1"/>
    <col min="30" max="30" width="24.1640625" customWidth="1"/>
    <col min="31" max="31" width="20" customWidth="1"/>
    <col min="32" max="32" width="24.33203125" customWidth="1"/>
    <col min="33" max="33" width="22.5" customWidth="1"/>
    <col min="34" max="34" width="26.83203125" customWidth="1"/>
    <col min="35" max="35" width="24.5" customWidth="1"/>
    <col min="36" max="36" width="29.6640625" customWidth="1"/>
    <col min="37" max="37" width="22.6640625" customWidth="1"/>
    <col min="38" max="38" width="27.5" customWidth="1"/>
    <col min="39" max="39" width="24.5" customWidth="1"/>
    <col min="40" max="40" width="29.1640625" customWidth="1"/>
    <col min="41" max="41" width="23.33203125" customWidth="1"/>
    <col min="42" max="42" width="28.5" customWidth="1"/>
    <col min="47" max="47" width="16.6640625" customWidth="1"/>
    <col min="48" max="48" width="30.83203125" customWidth="1"/>
    <col min="49" max="49" width="16.5" customWidth="1"/>
    <col min="50" max="50" width="23" customWidth="1"/>
    <col min="51" max="51" width="39.33203125" customWidth="1"/>
    <col min="52" max="52" width="41.1640625" customWidth="1"/>
    <col min="53" max="53" width="34.5" customWidth="1"/>
    <col min="54" max="54" width="36.33203125" customWidth="1"/>
    <col min="55" max="55" width="35.5" customWidth="1"/>
    <col min="56" max="56" width="25.6640625" customWidth="1"/>
    <col min="57" max="57" width="22.33203125" customWidth="1"/>
    <col min="58" max="58" width="21.5" customWidth="1"/>
    <col min="59" max="59" width="22" customWidth="1"/>
    <col min="60" max="60" width="40.5" customWidth="1"/>
    <col min="61" max="61" width="21.1640625" customWidth="1"/>
  </cols>
  <sheetData>
    <row r="1" spans="1:64" ht="15">
      <c r="A1" s="46"/>
      <c r="B1" s="46"/>
      <c r="C1" s="633" t="s">
        <v>0</v>
      </c>
      <c r="D1" s="623"/>
      <c r="E1" s="623"/>
      <c r="F1" s="623"/>
      <c r="G1" s="623"/>
      <c r="H1" s="623"/>
      <c r="I1" s="623"/>
      <c r="J1" s="623"/>
      <c r="K1" s="623"/>
      <c r="L1" s="621"/>
      <c r="M1" s="628" t="s">
        <v>1</v>
      </c>
      <c r="N1" s="623"/>
      <c r="O1" s="623"/>
      <c r="P1" s="623"/>
      <c r="Q1" s="621"/>
      <c r="R1" s="634" t="s">
        <v>2</v>
      </c>
      <c r="S1" s="623"/>
      <c r="T1" s="621"/>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6" t="s">
        <v>540</v>
      </c>
      <c r="BH1" s="7">
        <f ca="1">TODAY()</f>
        <v>45028</v>
      </c>
      <c r="BI1" s="5"/>
      <c r="BJ1" s="5"/>
      <c r="BK1" s="5"/>
      <c r="BL1" s="5"/>
    </row>
    <row r="2" spans="1:64" ht="46">
      <c r="A2" s="297" t="s">
        <v>3</v>
      </c>
      <c r="B2" s="47" t="s">
        <v>4</v>
      </c>
      <c r="C2" s="47" t="s">
        <v>182</v>
      </c>
      <c r="D2" s="47" t="s">
        <v>6</v>
      </c>
      <c r="E2" s="47" t="s">
        <v>7</v>
      </c>
      <c r="F2" s="47" t="s">
        <v>8</v>
      </c>
      <c r="G2" s="9" t="s">
        <v>9</v>
      </c>
      <c r="H2" s="9" t="s">
        <v>10</v>
      </c>
      <c r="I2" s="47" t="s">
        <v>11</v>
      </c>
      <c r="J2" s="47" t="s">
        <v>12</v>
      </c>
      <c r="K2" s="47" t="s">
        <v>13</v>
      </c>
      <c r="L2" s="47" t="s">
        <v>14</v>
      </c>
      <c r="M2" s="48" t="s">
        <v>15</v>
      </c>
      <c r="N2" s="48" t="s">
        <v>16</v>
      </c>
      <c r="O2" s="48" t="s">
        <v>17</v>
      </c>
      <c r="P2" s="48" t="s">
        <v>18</v>
      </c>
      <c r="Q2" s="48" t="s">
        <v>19</v>
      </c>
      <c r="R2" s="49" t="s">
        <v>20</v>
      </c>
      <c r="S2" s="49" t="s">
        <v>21</v>
      </c>
      <c r="T2" s="9" t="s">
        <v>22</v>
      </c>
      <c r="U2" s="9" t="s">
        <v>183</v>
      </c>
      <c r="V2" s="9" t="s">
        <v>24</v>
      </c>
      <c r="W2" s="9" t="s">
        <v>184</v>
      </c>
      <c r="X2" s="9" t="s">
        <v>185</v>
      </c>
      <c r="Y2" s="9" t="s">
        <v>186</v>
      </c>
      <c r="Z2" s="9" t="s">
        <v>187</v>
      </c>
      <c r="AA2" s="9" t="s">
        <v>188</v>
      </c>
      <c r="AB2" s="9" t="s">
        <v>189</v>
      </c>
      <c r="AC2" s="9" t="s">
        <v>190</v>
      </c>
      <c r="AD2" s="9" t="s">
        <v>191</v>
      </c>
      <c r="AE2" s="9" t="s">
        <v>192</v>
      </c>
      <c r="AF2" s="10" t="s">
        <v>193</v>
      </c>
      <c r="AG2" s="9" t="s">
        <v>194</v>
      </c>
      <c r="AH2" s="10" t="s">
        <v>195</v>
      </c>
      <c r="AI2" s="9" t="s">
        <v>196</v>
      </c>
      <c r="AJ2" s="10" t="s">
        <v>197</v>
      </c>
      <c r="AK2" s="9" t="s">
        <v>198</v>
      </c>
      <c r="AL2" s="10" t="s">
        <v>199</v>
      </c>
      <c r="AM2" s="9" t="s">
        <v>200</v>
      </c>
      <c r="AN2" s="10" t="s">
        <v>201</v>
      </c>
      <c r="AO2" s="9" t="s">
        <v>202</v>
      </c>
      <c r="AP2" s="10" t="s">
        <v>203</v>
      </c>
      <c r="AQ2" s="11" t="s">
        <v>1648</v>
      </c>
      <c r="AR2" s="11" t="s">
        <v>1649</v>
      </c>
      <c r="AS2" s="11" t="s">
        <v>988</v>
      </c>
      <c r="AT2" s="11" t="s">
        <v>989</v>
      </c>
      <c r="AU2" s="12" t="s">
        <v>546</v>
      </c>
      <c r="AV2" s="12" t="s">
        <v>547</v>
      </c>
      <c r="AW2" s="12" t="s">
        <v>548</v>
      </c>
      <c r="AX2" s="12" t="s">
        <v>549</v>
      </c>
      <c r="AY2" s="12" t="s">
        <v>550</v>
      </c>
      <c r="AZ2" s="12" t="s">
        <v>551</v>
      </c>
      <c r="BA2" s="12" t="s">
        <v>552</v>
      </c>
      <c r="BB2" s="12" t="s">
        <v>553</v>
      </c>
      <c r="BC2" s="12" t="s">
        <v>554</v>
      </c>
      <c r="BD2" s="12" t="s">
        <v>204</v>
      </c>
      <c r="BE2" s="12" t="s">
        <v>205</v>
      </c>
      <c r="BF2" s="13" t="s">
        <v>206</v>
      </c>
      <c r="BG2" s="13" t="s">
        <v>207</v>
      </c>
      <c r="BH2" s="14" t="s">
        <v>208</v>
      </c>
      <c r="BI2" s="14" t="s">
        <v>209</v>
      </c>
      <c r="BJ2" s="15" t="s">
        <v>555</v>
      </c>
      <c r="BK2" s="294"/>
      <c r="BL2" s="14"/>
    </row>
    <row r="3" spans="1:64" ht="18" customHeight="1">
      <c r="A3" s="289"/>
      <c r="B3" s="145" t="s">
        <v>25</v>
      </c>
      <c r="C3" s="24" t="s">
        <v>1650</v>
      </c>
      <c r="D3" s="24" t="s">
        <v>27</v>
      </c>
      <c r="E3" s="119">
        <v>1083909212</v>
      </c>
      <c r="F3" s="119">
        <v>2205577</v>
      </c>
      <c r="G3" s="11" t="str">
        <f ca="1">IFERROR(__xludf.DUMMYFUNCTION("IFERROR(VLOOKUP(F16,IMPORTRANGE(""https://docs.google.com/spreadsheets/d/1Kvs4KS76FHFqLFIZfrDMff4kP08nblUkihrxltoGBjg/edit#gid=934712705"",""ESENCIAL!A6:BG""),3,FALSE))"),"TÉCNICO")</f>
        <v>TÉCNICO</v>
      </c>
      <c r="H3" s="11" t="str">
        <f ca="1">IFERROR(__xludf.DUMMYFUNCTION("IFERROR(VLOOKUP(F16,IMPORTRANGE(""https://docs.google.com/spreadsheets/d/1Kvs4KS76FHFqLFIZfrDMff4kP08nblUkihrxltoGBjg/edit#gid=934712705"",""ESENCIAL!A6:BG""),8,FALSE))"),"EJECUCION DE PROGRAMAS DEPORTIVOS")</f>
        <v>EJECUCION DE PROGRAMAS DEPORTIVOS</v>
      </c>
      <c r="I3" s="24"/>
      <c r="J3" s="120" t="s">
        <v>1651</v>
      </c>
      <c r="K3" s="120" t="s">
        <v>421</v>
      </c>
      <c r="L3" s="120" t="s">
        <v>37</v>
      </c>
      <c r="M3" s="120" t="s">
        <v>1652</v>
      </c>
      <c r="N3" s="120" t="s">
        <v>73</v>
      </c>
      <c r="O3" s="121">
        <v>3115242803</v>
      </c>
      <c r="P3" s="120" t="s">
        <v>84</v>
      </c>
      <c r="Q3" s="120" t="s">
        <v>1653</v>
      </c>
      <c r="R3" s="122">
        <v>44831</v>
      </c>
      <c r="S3" s="122">
        <v>45011</v>
      </c>
      <c r="T3" s="120"/>
      <c r="U3" s="120"/>
      <c r="V3" s="120"/>
      <c r="W3" s="24"/>
      <c r="X3" s="24"/>
      <c r="Y3" s="24"/>
      <c r="Z3" s="24"/>
      <c r="AA3" s="24"/>
      <c r="AB3" s="24"/>
      <c r="AC3" s="24"/>
      <c r="AD3" s="24"/>
      <c r="AE3" s="24"/>
      <c r="AF3" s="24"/>
      <c r="AG3" s="24"/>
      <c r="AH3" s="24"/>
      <c r="AI3" s="24"/>
      <c r="AJ3" s="24"/>
      <c r="AK3" s="24"/>
      <c r="AL3" s="24"/>
      <c r="AM3" s="24"/>
      <c r="AN3" s="24"/>
      <c r="AO3" s="24"/>
      <c r="AP3" s="24"/>
      <c r="AQ3" s="24"/>
      <c r="AR3" s="24"/>
      <c r="AS3" s="24"/>
      <c r="AT3" s="24"/>
      <c r="AU3" s="19" t="str">
        <f t="shared" ref="AU3:AU67" ca="1" si="0">IF(E3&gt;0,IF(AND(BC3=1,AZ3=1),"Procede_E_P","NO_CUMPLE"),"")</f>
        <v>NO_CUMPLE</v>
      </c>
      <c r="AV3" s="11" t="str">
        <f ca="1">IFERROR(__xludf.DUMMYFUNCTION("IFERROR(VLOOKUP(E16&amp;F16,IMPORTRANGE(""https://docs.google.com/spreadsheets/d/1Uw7-A9f9R21vMXxHZFNpYNeKFtG8_yji4HS352LGlSQ/edit?pli=1#gid=0"",""1_ACUM!A4:S""),11,FALSE))"),"EN FORMACION")</f>
        <v>EN FORMACION</v>
      </c>
      <c r="AW3" s="20" t="str">
        <f ca="1">IFERROR(__xludf.DUMMYFUNCTION("IFERROR(VLOOKUP(F16,IMPORTRANGE(""https://docs.google.com/spreadsheets/d/1Kvs4KS76FHFqLFIZfrDMff4kP08nblUkihrxltoGBjg/edit#gid=934712705"",""ESENCIAL!A6:BG""),15,FALSE))"),"TURISMO")</f>
        <v>TURISMO</v>
      </c>
      <c r="AX3" s="21">
        <f ca="1">IFERROR(__xludf.DUMMYFUNCTION("IFERROR(VLOOKUP(E16&amp;F16,IMPORTRANGE(""https://docs.google.com/spreadsheets/d/1Uw7-A9f9R21vMXxHZFNpYNeKFtG8_yji4HS352LGlSQ/edit?pli=1#gid=0"",""1_ACUM!A4:S""),12,FALSE))"),44839)</f>
        <v>44839</v>
      </c>
      <c r="AY3" s="22">
        <f ca="1">IFERROR(__xludf.DUMMYFUNCTION("IFERROR(VLOOKUP(E16&amp;F16,IMPORTRANGE(""https://docs.google.com/spreadsheets/d/1Uw7-A9f9R21vMXxHZFNpYNeKFtG8_yji4HS352LGlSQ/edit?pli=1#gid=0"",""1_ACUM!A4:S""),13,FALSE))"),3)</f>
        <v>3</v>
      </c>
      <c r="AZ3" s="22">
        <f ca="1">IFERROR(__xludf.DUMMYFUNCTION("IFERROR(VLOOKUP(E16&amp;F16,IMPORTRANGE(""https://docs.google.com/spreadsheets/d/1Uw7-A9f9R21vMXxHZFNpYNeKFtG8_yji4HS352LGlSQ/edit?pli=1#gid=0"",""1_ACUM!A4:S""),14,FALSE))"),1)</f>
        <v>1</v>
      </c>
      <c r="BA3" s="22">
        <f ca="1">IFERROR(__xludf.DUMMYFUNCTION("IFERROR(VLOOKUP(E16&amp;F16,IMPORTRANGE(""https://docs.google.com/spreadsheets/d/1Uw7-A9f9R21vMXxHZFNpYNeKFtG8_yji4HS352LGlSQ/edit?pli=1#gid=0"",""1_ACUM!A4:S""),15,FALSE))"),0)</f>
        <v>0</v>
      </c>
      <c r="BB3" s="22">
        <f ca="1">IFERROR(__xludf.DUMMYFUNCTION("IFERROR(VLOOKUP(E16&amp;F16,IMPORTRANGE(""https://docs.google.com/spreadsheets/d/1Uw7-A9f9R21vMXxHZFNpYNeKFtG8_yji4HS352LGlSQ/edit?pli=1#gid=0"",""1_ACUM!A4:S""),16,FALSE))"),4)</f>
        <v>4</v>
      </c>
      <c r="BC3" s="22">
        <f ca="1">IFERROR(__xludf.DUMMYFUNCTION("IFERROR(VLOOKUP(E16&amp;F16,IMPORTRANGE(""https://docs.google.com/spreadsheets/d/1Uw7-A9f9R21vMXxHZFNpYNeKFtG8_yji4HS352LGlSQ/edit?pli=1#gid=0"",""1_ACUM!A4:S""),17,FALSE))"),8)</f>
        <v>8</v>
      </c>
      <c r="BD3" s="23">
        <f ca="1">IFERROR(__xludf.DUMMYFUNCTION("IFERROR(VLOOKUP(E16&amp;F16,IMPORTRANGE(""https://docs.google.com/spreadsheets/d/1Uw7-A9f9R21vMXxHZFNpYNeKFtG8_yji4HS352LGlSQ/edit?pli=1#gid=0"",""1_ACUM!A4:S""),18,FALSE))"),44138)</f>
        <v>44138</v>
      </c>
      <c r="BE3" s="23">
        <f ca="1">IFERROR(__xludf.DUMMYFUNCTION("IFERROR(VLOOKUP(E16&amp;F16,IMPORTRANGE(""https://docs.google.com/spreadsheets/d/1Uw7-A9f9R21vMXxHZFNpYNeKFtG8_yji4HS352LGlSQ/edit?pli=1#gid=0"",""1_ACUM!A4:S""),19,FALSE))"),44410)</f>
        <v>44410</v>
      </c>
      <c r="BF3" s="68">
        <f ca="1">IFERROR(__xludf.DUMMYFUNCTION("IFERROR(VLOOKUP(F16,IMPORTRANGE(""https://docs.google.com/spreadsheets/d/1Kvs4KS76FHFqLFIZfrDMff4kP08nblUkihrxltoGBjg/edit#gid=934712705"",""ESENCIAL!A6:BG""),5,FALSE))"),44594)</f>
        <v>44594</v>
      </c>
      <c r="BG3" s="68">
        <f t="shared" ref="BG3:BG67" ca="1" si="1">IF(F3&gt;0,EDATE(BF3,18),"")</f>
        <v>45140</v>
      </c>
      <c r="BH3" s="17" t="str">
        <f t="shared" ref="BH3:BH67" ca="1" si="2">IF(F3&gt;0,IF(BG3&lt;$BH$1,"FINALIZAR FICHA","FICHA EN TIEMPO-18 MESES"),"")</f>
        <v>FICHA EN TIEMPO-18 MESES</v>
      </c>
      <c r="BI3" s="38" t="str">
        <f ca="1">IFERROR(__xludf.DUMMYFUNCTION("IFERROR(VLOOKUP(F16,IMPORTRANGE(""https://docs.google.com/spreadsheets/d/1Kvs4KS76FHFqLFIZfrDMff4kP08nblUkihrxltoGBjg/edit#gid=934712705"",""ESENCIAL!A6:BG""),2,FALSE))"),"Terminada por fecha")</f>
        <v>Terminada por fecha</v>
      </c>
      <c r="BJ3" s="19" t="str">
        <f t="shared" ref="BJ3:BJ67" si="3">IF(F3&gt;0,"Yamboro","")</f>
        <v>Yamboro</v>
      </c>
      <c r="BK3" s="292"/>
      <c r="BL3" s="38"/>
    </row>
    <row r="4" spans="1:64" s="180" customFormat="1" ht="18" customHeight="1">
      <c r="A4" s="293"/>
      <c r="B4" s="167" t="s">
        <v>25</v>
      </c>
      <c r="C4" s="168" t="s">
        <v>1654</v>
      </c>
      <c r="D4" s="168" t="s">
        <v>67</v>
      </c>
      <c r="E4" s="168">
        <v>1083868232</v>
      </c>
      <c r="F4" s="168">
        <v>2322828</v>
      </c>
      <c r="G4" s="166" t="str">
        <f ca="1">IFERROR(__xludf.DUMMYFUNCTION("IFERROR(VLOOKUP(F18,IMPORTRANGE(""https://docs.google.com/spreadsheets/d/1Kvs4KS76FHFqLFIZfrDMff4kP08nblUkihrxltoGBjg/edit#gid=934712705"",""ESENCIAL!A6:BG""),3,FALSE))"),"TÉCNICO")</f>
        <v>TÉCNICO</v>
      </c>
      <c r="H4" s="166" t="str">
        <f ca="1">IFERROR(__xludf.DUMMYFUNCTION("IFERROR(VLOOKUP(F18,IMPORTRANGE(""https://docs.google.com/spreadsheets/d/1Kvs4KS76FHFqLFIZfrDMff4kP08nblUkihrxltoGBjg/edit#gid=934712705"",""ESENCIAL!A6:BG""),8,FALSE))"),"EJECUCION DE PROGRAMAS DEPORTIVOS")</f>
        <v>EJECUCION DE PROGRAMAS DEPORTIVOS</v>
      </c>
      <c r="I4" s="168">
        <v>3155332177</v>
      </c>
      <c r="J4" s="212" t="s">
        <v>1655</v>
      </c>
      <c r="K4" s="213" t="s">
        <v>937</v>
      </c>
      <c r="L4" s="213" t="s">
        <v>37</v>
      </c>
      <c r="M4" s="213" t="s">
        <v>1656</v>
      </c>
      <c r="N4" s="213"/>
      <c r="O4" s="213">
        <v>3118833170</v>
      </c>
      <c r="P4" s="213"/>
      <c r="Q4" s="213"/>
      <c r="R4" s="214">
        <v>44645</v>
      </c>
      <c r="S4" s="214">
        <v>44829</v>
      </c>
      <c r="T4" s="213"/>
      <c r="U4" s="215" t="s">
        <v>1657</v>
      </c>
      <c r="V4" s="185" t="s">
        <v>225</v>
      </c>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3" t="str">
        <f t="shared" ca="1" si="0"/>
        <v>Procede_E_P</v>
      </c>
      <c r="AV4" s="166" t="str">
        <f ca="1">IFERROR(__xludf.DUMMYFUNCTION("IFERROR(VLOOKUP(E18&amp;F18,IMPORTRANGE(""https://docs.google.com/spreadsheets/d/1Uw7-A9f9R21vMXxHZFNpYNeKFtG8_yji4HS352LGlSQ/edit?pli=1#gid=0"",""1_ACUM!A4:S""),11,FALSE))"),"EN FORMACION")</f>
        <v>EN FORMACION</v>
      </c>
      <c r="AW4" s="174" t="str">
        <f ca="1">IFERROR(__xludf.DUMMYFUNCTION("IFERROR(VLOOKUP(F18,IMPORTRANGE(""https://docs.google.com/spreadsheets/d/1Kvs4KS76FHFqLFIZfrDMff4kP08nblUkihrxltoGBjg/edit#gid=934712705"",""ESENCIAL!A6:BG""),15,FALSE))"),"TURISMO")</f>
        <v>TURISMO</v>
      </c>
      <c r="AX4" s="175">
        <f ca="1">IFERROR(__xludf.DUMMYFUNCTION("IFERROR(VLOOKUP(E18&amp;F18,IMPORTRANGE(""https://docs.google.com/spreadsheets/d/1Uw7-A9f9R21vMXxHZFNpYNeKFtG8_yji4HS352LGlSQ/edit?pli=1#gid=0"",""1_ACUM!A4:S""),12,FALSE))"),44839)</f>
        <v>44839</v>
      </c>
      <c r="AY4" s="176">
        <f ca="1">IFERROR(__xludf.DUMMYFUNCTION("IFERROR(VLOOKUP(E18&amp;F18,IMPORTRANGE(""https://docs.google.com/spreadsheets/d/1Uw7-A9f9R21vMXxHZFNpYNeKFtG8_yji4HS352LGlSQ/edit?pli=1#gid=0"",""1_ACUM!A4:S""),13,FALSE))"),0)</f>
        <v>0</v>
      </c>
      <c r="AZ4" s="176">
        <f ca="1">IFERROR(__xludf.DUMMYFUNCTION("IFERROR(VLOOKUP(E18&amp;F18,IMPORTRANGE(""https://docs.google.com/spreadsheets/d/1Uw7-A9f9R21vMXxHZFNpYNeKFtG8_yji4HS352LGlSQ/edit?pli=1#gid=0"",""1_ACUM!A4:S""),14,FALSE))"),1)</f>
        <v>1</v>
      </c>
      <c r="BA4" s="176">
        <f ca="1">IFERROR(__xludf.DUMMYFUNCTION("IFERROR(VLOOKUP(E18&amp;F18,IMPORTRANGE(""https://docs.google.com/spreadsheets/d/1Uw7-A9f9R21vMXxHZFNpYNeKFtG8_yji4HS352LGlSQ/edit?pli=1#gid=0"",""1_ACUM!A4:S""),15,FALSE))"),0)</f>
        <v>0</v>
      </c>
      <c r="BB4" s="176">
        <f ca="1">IFERROR(__xludf.DUMMYFUNCTION("IFERROR(VLOOKUP(E18&amp;F18,IMPORTRANGE(""https://docs.google.com/spreadsheets/d/1Uw7-A9f9R21vMXxHZFNpYNeKFtG8_yji4HS352LGlSQ/edit?pli=1#gid=0"",""1_ACUM!A4:S""),16,FALSE))"),0)</f>
        <v>0</v>
      </c>
      <c r="BC4" s="176">
        <f ca="1">IFERROR(__xludf.DUMMYFUNCTION("IFERROR(VLOOKUP(E18&amp;F18,IMPORTRANGE(""https://docs.google.com/spreadsheets/d/1Uw7-A9f9R21vMXxHZFNpYNeKFtG8_yji4HS352LGlSQ/edit?pli=1#gid=0"",""1_ACUM!A4:S""),17,FALSE))"),1)</f>
        <v>1</v>
      </c>
      <c r="BD4" s="177">
        <f ca="1">IFERROR(__xludf.DUMMYFUNCTION("IFERROR(VLOOKUP(E18&amp;F18,IMPORTRANGE(""https://docs.google.com/spreadsheets/d/1Uw7-A9f9R21vMXxHZFNpYNeKFtG8_yji4HS352LGlSQ/edit?pli=1#gid=0"",""1_ACUM!A4:S""),18,FALSE))"),44348)</f>
        <v>44348</v>
      </c>
      <c r="BE4" s="177">
        <f ca="1">IFERROR(__xludf.DUMMYFUNCTION("IFERROR(VLOOKUP(E18&amp;F18,IMPORTRANGE(""https://docs.google.com/spreadsheets/d/1Uw7-A9f9R21vMXxHZFNpYNeKFtG8_yji4HS352LGlSQ/edit?pli=1#gid=0"",""1_ACUM!A4:S""),19,FALSE))"),44620)</f>
        <v>44620</v>
      </c>
      <c r="BF4" s="178">
        <f ca="1">IFERROR(__xludf.DUMMYFUNCTION("IFERROR(VLOOKUP(F18,IMPORTRANGE(""https://docs.google.com/spreadsheets/d/1Kvs4KS76FHFqLFIZfrDMff4kP08nblUkihrxltoGBjg/edit#gid=934712705"",""ESENCIAL!A6:BG""),5,FALSE))"),44804)</f>
        <v>44804</v>
      </c>
      <c r="BG4" s="178">
        <f t="shared" ca="1" si="1"/>
        <v>45351</v>
      </c>
      <c r="BH4" s="179" t="str">
        <f t="shared" ca="1" si="2"/>
        <v>FICHA EN TIEMPO-18 MESES</v>
      </c>
      <c r="BI4" s="173" t="str">
        <f ca="1">IFERROR(__xludf.DUMMYFUNCTION("IFERROR(VLOOKUP(F18,IMPORTRANGE(""https://docs.google.com/spreadsheets/d/1Kvs4KS76FHFqLFIZfrDMff4kP08nblUkihrxltoGBjg/edit#gid=934712705"",""ESENCIAL!A6:BG""),2,FALSE))"),"Terminada por fecha")</f>
        <v>Terminada por fecha</v>
      </c>
      <c r="BJ4" s="173" t="str">
        <f t="shared" si="3"/>
        <v>Yamboro</v>
      </c>
      <c r="BK4" s="295"/>
      <c r="BL4" s="173"/>
    </row>
    <row r="5" spans="1:64" ht="18" customHeight="1">
      <c r="A5" s="290"/>
      <c r="B5" s="145" t="s">
        <v>25</v>
      </c>
      <c r="C5" s="25" t="s">
        <v>1658</v>
      </c>
      <c r="D5" s="25" t="s">
        <v>27</v>
      </c>
      <c r="E5" s="25">
        <v>4720781</v>
      </c>
      <c r="F5" s="25">
        <v>2322828</v>
      </c>
      <c r="G5" s="11" t="str">
        <f ca="1">IFERROR(__xludf.DUMMYFUNCTION("IFERROR(VLOOKUP(F19,IMPORTRANGE(""https://docs.google.com/spreadsheets/d/1Kvs4KS76FHFqLFIZfrDMff4kP08nblUkihrxltoGBjg/edit#gid=934712705"",""ESENCIAL!A6:BG""),3,FALSE))"),"TÉCNICO")</f>
        <v>TÉCNICO</v>
      </c>
      <c r="H5" s="11" t="str">
        <f ca="1">IFERROR(__xludf.DUMMYFUNCTION("IFERROR(VLOOKUP(F19,IMPORTRANGE(""https://docs.google.com/spreadsheets/d/1Kvs4KS76FHFqLFIZfrDMff4kP08nblUkihrxltoGBjg/edit#gid=934712705"",""ESENCIAL!A6:BG""),8,FALSE))"),"EJECUCION DE PROGRAMAS DEPORTIVOS")</f>
        <v>EJECUCION DE PROGRAMAS DEPORTIVOS</v>
      </c>
      <c r="I5" s="25">
        <v>3173594080</v>
      </c>
      <c r="J5" s="143" t="s">
        <v>1659</v>
      </c>
      <c r="K5" s="328" t="s">
        <v>84</v>
      </c>
      <c r="L5" s="329" t="s">
        <v>44</v>
      </c>
      <c r="M5" s="34"/>
      <c r="N5" s="34"/>
      <c r="O5" s="34"/>
      <c r="P5" s="34"/>
      <c r="Q5" s="34"/>
      <c r="R5" s="35"/>
      <c r="S5" s="35"/>
      <c r="T5" s="34"/>
      <c r="U5" s="36"/>
      <c r="V5" s="37"/>
      <c r="W5" s="28"/>
      <c r="X5" s="28"/>
      <c r="Y5" s="28"/>
      <c r="Z5" s="28"/>
      <c r="AA5" s="28"/>
      <c r="AB5" s="28"/>
      <c r="AC5" s="28"/>
      <c r="AD5" s="28"/>
      <c r="AE5" s="28"/>
      <c r="AF5" s="28"/>
      <c r="AG5" s="28"/>
      <c r="AH5" s="28"/>
      <c r="AI5" s="28"/>
      <c r="AJ5" s="28"/>
      <c r="AK5" s="28"/>
      <c r="AL5" s="28"/>
      <c r="AM5" s="28"/>
      <c r="AN5" s="28"/>
      <c r="AO5" s="28"/>
      <c r="AP5" s="28"/>
      <c r="AQ5" s="28"/>
      <c r="AR5" s="28"/>
      <c r="AS5" s="28"/>
      <c r="AT5" s="28"/>
      <c r="AU5" s="19" t="str">
        <f t="shared" ca="1" si="0"/>
        <v>Procede_E_P</v>
      </c>
      <c r="AV5" s="11" t="str">
        <f ca="1">IFERROR(__xludf.DUMMYFUNCTION("IFERROR(VLOOKUP(E19&amp;F19,IMPORTRANGE(""https://docs.google.com/spreadsheets/d/1Uw7-A9f9R21vMXxHZFNpYNeKFtG8_yji4HS352LGlSQ/edit?pli=1#gid=0"",""1_ACUM!A4:S""),11,FALSE))"),"EN FORMACION")</f>
        <v>EN FORMACION</v>
      </c>
      <c r="AW5" s="20" t="str">
        <f ca="1">IFERROR(__xludf.DUMMYFUNCTION("IFERROR(VLOOKUP(F19,IMPORTRANGE(""https://docs.google.com/spreadsheets/d/1Kvs4KS76FHFqLFIZfrDMff4kP08nblUkihrxltoGBjg/edit#gid=934712705"",""ESENCIAL!A6:BG""),15,FALSE))"),"TURISMO")</f>
        <v>TURISMO</v>
      </c>
      <c r="AX5" s="21">
        <f ca="1">IFERROR(__xludf.DUMMYFUNCTION("IFERROR(VLOOKUP(E19&amp;F19,IMPORTRANGE(""https://docs.google.com/spreadsheets/d/1Uw7-A9f9R21vMXxHZFNpYNeKFtG8_yji4HS352LGlSQ/edit?pli=1#gid=0"",""1_ACUM!A4:S""),12,FALSE))"),44839)</f>
        <v>44839</v>
      </c>
      <c r="AY5" s="22">
        <f ca="1">IFERROR(__xludf.DUMMYFUNCTION("IFERROR(VLOOKUP(E19&amp;F19,IMPORTRANGE(""https://docs.google.com/spreadsheets/d/1Uw7-A9f9R21vMXxHZFNpYNeKFtG8_yji4HS352LGlSQ/edit?pli=1#gid=0"",""1_ACUM!A4:S""),13,FALSE))"),0)</f>
        <v>0</v>
      </c>
      <c r="AZ5" s="22">
        <f ca="1">IFERROR(__xludf.DUMMYFUNCTION("IFERROR(VLOOKUP(E19&amp;F19,IMPORTRANGE(""https://docs.google.com/spreadsheets/d/1Uw7-A9f9R21vMXxHZFNpYNeKFtG8_yji4HS352LGlSQ/edit?pli=1#gid=0"",""1_ACUM!A4:S""),14,FALSE))"),1)</f>
        <v>1</v>
      </c>
      <c r="BA5" s="22">
        <f ca="1">IFERROR(__xludf.DUMMYFUNCTION("IFERROR(VLOOKUP(E19&amp;F19,IMPORTRANGE(""https://docs.google.com/spreadsheets/d/1Uw7-A9f9R21vMXxHZFNpYNeKFtG8_yji4HS352LGlSQ/edit?pli=1#gid=0"",""1_ACUM!A4:S""),15,FALSE))"),0)</f>
        <v>0</v>
      </c>
      <c r="BB5" s="22">
        <f ca="1">IFERROR(__xludf.DUMMYFUNCTION("IFERROR(VLOOKUP(E19&amp;F19,IMPORTRANGE(""https://docs.google.com/spreadsheets/d/1Uw7-A9f9R21vMXxHZFNpYNeKFtG8_yji4HS352LGlSQ/edit?pli=1#gid=0"",""1_ACUM!A4:S""),16,FALSE))"),0)</f>
        <v>0</v>
      </c>
      <c r="BC5" s="22">
        <f ca="1">IFERROR(__xludf.DUMMYFUNCTION("IFERROR(VLOOKUP(E19&amp;F19,IMPORTRANGE(""https://docs.google.com/spreadsheets/d/1Uw7-A9f9R21vMXxHZFNpYNeKFtG8_yji4HS352LGlSQ/edit?pli=1#gid=0"",""1_ACUM!A4:S""),17,FALSE))"),1)</f>
        <v>1</v>
      </c>
      <c r="BD5" s="23">
        <f ca="1">IFERROR(__xludf.DUMMYFUNCTION("IFERROR(VLOOKUP(E19&amp;F19,IMPORTRANGE(""https://docs.google.com/spreadsheets/d/1Uw7-A9f9R21vMXxHZFNpYNeKFtG8_yji4HS352LGlSQ/edit?pli=1#gid=0"",""1_ACUM!A4:S""),18,FALSE))"),44348)</f>
        <v>44348</v>
      </c>
      <c r="BE5" s="23">
        <f ca="1">IFERROR(__xludf.DUMMYFUNCTION("IFERROR(VLOOKUP(E19&amp;F19,IMPORTRANGE(""https://docs.google.com/spreadsheets/d/1Uw7-A9f9R21vMXxHZFNpYNeKFtG8_yji4HS352LGlSQ/edit?pli=1#gid=0"",""1_ACUM!A4:S""),19,FALSE))"),44620)</f>
        <v>44620</v>
      </c>
      <c r="BF5" s="68">
        <f ca="1">IFERROR(__xludf.DUMMYFUNCTION("IFERROR(VLOOKUP(F19,IMPORTRANGE(""https://docs.google.com/spreadsheets/d/1Kvs4KS76FHFqLFIZfrDMff4kP08nblUkihrxltoGBjg/edit#gid=934712705"",""ESENCIAL!A6:BG""),5,FALSE))"),44804)</f>
        <v>44804</v>
      </c>
      <c r="BG5" s="68">
        <f t="shared" ca="1" si="1"/>
        <v>45351</v>
      </c>
      <c r="BH5" s="17" t="str">
        <f t="shared" ca="1" si="2"/>
        <v>FICHA EN TIEMPO-18 MESES</v>
      </c>
      <c r="BI5" s="38" t="str">
        <f ca="1">IFERROR(__xludf.DUMMYFUNCTION("IFERROR(VLOOKUP(F19,IMPORTRANGE(""https://docs.google.com/spreadsheets/d/1Kvs4KS76FHFqLFIZfrDMff4kP08nblUkihrxltoGBjg/edit#gid=934712705"",""ESENCIAL!A6:BG""),2,FALSE))"),"Terminada por fecha")</f>
        <v>Terminada por fecha</v>
      </c>
      <c r="BJ5" s="19" t="str">
        <f t="shared" si="3"/>
        <v>Yamboro</v>
      </c>
      <c r="BK5" s="292"/>
      <c r="BL5" s="38"/>
    </row>
    <row r="6" spans="1:64" ht="18" customHeight="1">
      <c r="A6" s="289"/>
      <c r="B6" s="145" t="s">
        <v>25</v>
      </c>
      <c r="C6" s="25" t="s">
        <v>1660</v>
      </c>
      <c r="D6" s="25" t="s">
        <v>27</v>
      </c>
      <c r="E6" s="25">
        <v>1000624844</v>
      </c>
      <c r="F6" s="25">
        <v>2322828</v>
      </c>
      <c r="G6" s="11" t="str">
        <f ca="1">IFERROR(__xludf.DUMMYFUNCTION("IFERROR(VLOOKUP(F21,IMPORTRANGE(""https://docs.google.com/spreadsheets/d/1Kvs4KS76FHFqLFIZfrDMff4kP08nblUkihrxltoGBjg/edit#gid=934712705"",""ESENCIAL!A6:BG""),3,FALSE))"),"TÉCNICO")</f>
        <v>TÉCNICO</v>
      </c>
      <c r="H6" s="11" t="str">
        <f ca="1">IFERROR(__xludf.DUMMYFUNCTION("IFERROR(VLOOKUP(F21,IMPORTRANGE(""https://docs.google.com/spreadsheets/d/1Kvs4KS76FHFqLFIZfrDMff4kP08nblUkihrxltoGBjg/edit#gid=934712705"",""ESENCIAL!A6:BG""),8,FALSE))"),"EJECUCION DE PROGRAMAS DEPORTIVOS")</f>
        <v>EJECUCION DE PROGRAMAS DEPORTIVOS</v>
      </c>
      <c r="I6" s="25">
        <v>3187017844</v>
      </c>
      <c r="J6" s="143" t="s">
        <v>1661</v>
      </c>
      <c r="K6" s="34" t="s">
        <v>1472</v>
      </c>
      <c r="L6" s="329" t="s">
        <v>44</v>
      </c>
      <c r="M6" s="34"/>
      <c r="N6" s="34"/>
      <c r="O6" s="34"/>
      <c r="P6" s="34"/>
      <c r="Q6" s="34"/>
      <c r="R6" s="35"/>
      <c r="S6" s="35"/>
      <c r="T6" s="34"/>
      <c r="U6" s="36"/>
      <c r="V6" s="37"/>
      <c r="W6" s="28"/>
      <c r="X6" s="28"/>
      <c r="Y6" s="28"/>
      <c r="Z6" s="28"/>
      <c r="AA6" s="28"/>
      <c r="AB6" s="28"/>
      <c r="AC6" s="28"/>
      <c r="AD6" s="28"/>
      <c r="AE6" s="28"/>
      <c r="AF6" s="28"/>
      <c r="AG6" s="28"/>
      <c r="AH6" s="28"/>
      <c r="AI6" s="28"/>
      <c r="AJ6" s="28"/>
      <c r="AK6" s="28"/>
      <c r="AL6" s="28"/>
      <c r="AM6" s="28"/>
      <c r="AN6" s="28"/>
      <c r="AO6" s="28"/>
      <c r="AP6" s="28"/>
      <c r="AQ6" s="28"/>
      <c r="AR6" s="28"/>
      <c r="AS6" s="28"/>
      <c r="AT6" s="28"/>
      <c r="AU6" s="19" t="str">
        <f t="shared" ca="1" si="0"/>
        <v>Procede_E_P</v>
      </c>
      <c r="AV6" s="11" t="str">
        <f ca="1">IFERROR(__xludf.DUMMYFUNCTION("IFERROR(VLOOKUP(E21&amp;F21,IMPORTRANGE(""https://docs.google.com/spreadsheets/d/1Uw7-A9f9R21vMXxHZFNpYNeKFtG8_yji4HS352LGlSQ/edit?pli=1#gid=0"",""1_ACUM!A4:S""),11,FALSE))"),"EN FORMACION")</f>
        <v>EN FORMACION</v>
      </c>
      <c r="AW6" s="20" t="str">
        <f ca="1">IFERROR(__xludf.DUMMYFUNCTION("IFERROR(VLOOKUP(F21,IMPORTRANGE(""https://docs.google.com/spreadsheets/d/1Kvs4KS76FHFqLFIZfrDMff4kP08nblUkihrxltoGBjg/edit#gid=934712705"",""ESENCIAL!A6:BG""),15,FALSE))"),"TURISMO")</f>
        <v>TURISMO</v>
      </c>
      <c r="AX6" s="21">
        <f ca="1">IFERROR(__xludf.DUMMYFUNCTION("IFERROR(VLOOKUP(E21&amp;F21,IMPORTRANGE(""https://docs.google.com/spreadsheets/d/1Uw7-A9f9R21vMXxHZFNpYNeKFtG8_yji4HS352LGlSQ/edit?pli=1#gid=0"",""1_ACUM!A4:S""),12,FALSE))"),44839)</f>
        <v>44839</v>
      </c>
      <c r="AY6" s="22">
        <f ca="1">IFERROR(__xludf.DUMMYFUNCTION("IFERROR(VLOOKUP(E21&amp;F21,IMPORTRANGE(""https://docs.google.com/spreadsheets/d/1Uw7-A9f9R21vMXxHZFNpYNeKFtG8_yji4HS352LGlSQ/edit?pli=1#gid=0"",""1_ACUM!A4:S""),13,FALSE))"),0)</f>
        <v>0</v>
      </c>
      <c r="AZ6" s="22">
        <f ca="1">IFERROR(__xludf.DUMMYFUNCTION("IFERROR(VLOOKUP(E21&amp;F21,IMPORTRANGE(""https://docs.google.com/spreadsheets/d/1Uw7-A9f9R21vMXxHZFNpYNeKFtG8_yji4HS352LGlSQ/edit?pli=1#gid=0"",""1_ACUM!A4:S""),14,FALSE))"),1)</f>
        <v>1</v>
      </c>
      <c r="BA6" s="22">
        <f ca="1">IFERROR(__xludf.DUMMYFUNCTION("IFERROR(VLOOKUP(E21&amp;F21,IMPORTRANGE(""https://docs.google.com/spreadsheets/d/1Uw7-A9f9R21vMXxHZFNpYNeKFtG8_yji4HS352LGlSQ/edit?pli=1#gid=0"",""1_ACUM!A4:S""),15,FALSE))"),0)</f>
        <v>0</v>
      </c>
      <c r="BB6" s="22">
        <f ca="1">IFERROR(__xludf.DUMMYFUNCTION("IFERROR(VLOOKUP(E21&amp;F21,IMPORTRANGE(""https://docs.google.com/spreadsheets/d/1Uw7-A9f9R21vMXxHZFNpYNeKFtG8_yji4HS352LGlSQ/edit?pli=1#gid=0"",""1_ACUM!A4:S""),16,FALSE))"),0)</f>
        <v>0</v>
      </c>
      <c r="BC6" s="22">
        <f ca="1">IFERROR(__xludf.DUMMYFUNCTION("IFERROR(VLOOKUP(E21&amp;F21,IMPORTRANGE(""https://docs.google.com/spreadsheets/d/1Uw7-A9f9R21vMXxHZFNpYNeKFtG8_yji4HS352LGlSQ/edit?pli=1#gid=0"",""1_ACUM!A4:S""),17,FALSE))"),1)</f>
        <v>1</v>
      </c>
      <c r="BD6" s="23">
        <f ca="1">IFERROR(__xludf.DUMMYFUNCTION("IFERROR(VLOOKUP(E21&amp;F21,IMPORTRANGE(""https://docs.google.com/spreadsheets/d/1Uw7-A9f9R21vMXxHZFNpYNeKFtG8_yji4HS352LGlSQ/edit?pli=1#gid=0"",""1_ACUM!A4:S""),18,FALSE))"),44348)</f>
        <v>44348</v>
      </c>
      <c r="BE6" s="23">
        <f ca="1">IFERROR(__xludf.DUMMYFUNCTION("IFERROR(VLOOKUP(E21&amp;F21,IMPORTRANGE(""https://docs.google.com/spreadsheets/d/1Uw7-A9f9R21vMXxHZFNpYNeKFtG8_yji4HS352LGlSQ/edit?pli=1#gid=0"",""1_ACUM!A4:S""),19,FALSE))"),44620)</f>
        <v>44620</v>
      </c>
      <c r="BF6" s="68">
        <f ca="1">IFERROR(__xludf.DUMMYFUNCTION("IFERROR(VLOOKUP(F21,IMPORTRANGE(""https://docs.google.com/spreadsheets/d/1Kvs4KS76FHFqLFIZfrDMff4kP08nblUkihrxltoGBjg/edit#gid=934712705"",""ESENCIAL!A6:BG""),5,FALSE))"),44804)</f>
        <v>44804</v>
      </c>
      <c r="BG6" s="68">
        <f t="shared" ca="1" si="1"/>
        <v>45351</v>
      </c>
      <c r="BH6" s="17" t="str">
        <f t="shared" ca="1" si="2"/>
        <v>FICHA EN TIEMPO-18 MESES</v>
      </c>
      <c r="BI6" s="38" t="str">
        <f ca="1">IFERROR(__xludf.DUMMYFUNCTION("IFERROR(VLOOKUP(F21,IMPORTRANGE(""https://docs.google.com/spreadsheets/d/1Kvs4KS76FHFqLFIZfrDMff4kP08nblUkihrxltoGBjg/edit#gid=934712705"",""ESENCIAL!A6:BG""),2,FALSE))"),"Terminada por fecha")</f>
        <v>Terminada por fecha</v>
      </c>
      <c r="BJ6" s="19" t="str">
        <f t="shared" si="3"/>
        <v>Yamboro</v>
      </c>
      <c r="BK6" s="292"/>
      <c r="BL6" s="38"/>
    </row>
    <row r="7" spans="1:64" s="180" customFormat="1" ht="18" customHeight="1">
      <c r="A7" s="289"/>
      <c r="B7" s="145"/>
      <c r="C7" s="25" t="s">
        <v>1662</v>
      </c>
      <c r="D7" s="53" t="s">
        <v>27</v>
      </c>
      <c r="E7">
        <v>1081733744</v>
      </c>
      <c r="F7" s="25">
        <v>2322828</v>
      </c>
      <c r="G7" s="11" t="str">
        <f ca="1">IFERROR(__xludf.DUMMYFUNCTION("IFERROR(VLOOKUP(F21,IMPORTRANGE(""https://docs.google.com/spreadsheets/d/1Kvs4KS76FHFqLFIZfrDMff4kP08nblUkihrxltoGBjg/edit#gid=934712705"",""ESENCIAL!A6:BG""),3,FALSE))"),"TÉCNICO")</f>
        <v>TÉCNICO</v>
      </c>
      <c r="H7" s="11" t="str">
        <f ca="1">IFERROR(__xludf.DUMMYFUNCTION("IFERROR(VLOOKUP(F21,IMPORTRANGE(""https://docs.google.com/spreadsheets/d/1Kvs4KS76FHFqLFIZfrDMff4kP08nblUkihrxltoGBjg/edit#gid=934712705"",""ESENCIAL!A6:BG""),8,FALSE))"),"EJECUCION DE PROGRAMAS DEPORTIVOS")</f>
        <v>EJECUCION DE PROGRAMAS DEPORTIVOS</v>
      </c>
      <c r="I7" s="25">
        <v>3219935412</v>
      </c>
      <c r="J7" s="341" t="s">
        <v>1663</v>
      </c>
      <c r="K7" s="34" t="s">
        <v>421</v>
      </c>
      <c r="L7" s="329" t="s">
        <v>37</v>
      </c>
      <c r="M7" s="34" t="s">
        <v>1664</v>
      </c>
      <c r="N7" s="34"/>
      <c r="O7" s="34">
        <v>3115367939</v>
      </c>
      <c r="P7" s="34" t="s">
        <v>73</v>
      </c>
      <c r="Q7" s="341" t="s">
        <v>1665</v>
      </c>
      <c r="R7" s="35" t="s">
        <v>1666</v>
      </c>
      <c r="S7" s="35" t="s">
        <v>1667</v>
      </c>
      <c r="T7" s="65" t="s">
        <v>1668</v>
      </c>
      <c r="U7" s="36"/>
      <c r="V7" s="601"/>
      <c r="W7" s="28"/>
      <c r="X7" s="28"/>
      <c r="Y7" s="28"/>
      <c r="Z7" s="28"/>
      <c r="AA7" s="28"/>
      <c r="AB7" s="28"/>
      <c r="AC7" s="28"/>
      <c r="AD7" s="28"/>
      <c r="AE7" s="28"/>
      <c r="AF7" s="28"/>
      <c r="AG7" s="28"/>
      <c r="AH7" s="28"/>
      <c r="AI7" s="28"/>
      <c r="AJ7" s="28"/>
      <c r="AK7" s="28"/>
      <c r="AL7" s="28"/>
      <c r="AM7" s="28"/>
      <c r="AN7" s="28"/>
      <c r="AO7" s="28"/>
      <c r="AP7" s="28"/>
      <c r="AQ7" s="28"/>
      <c r="AR7" s="28"/>
      <c r="AS7" s="28"/>
      <c r="AT7" s="28"/>
      <c r="AU7" s="19" t="str">
        <f>IF(E7&gt;0,IF(AND(BC7=1,AZ7=1),"Procede_E_P","NO_CUMPLE"),"")</f>
        <v>NO_CUMPLE</v>
      </c>
      <c r="AV7" s="11"/>
      <c r="AW7" s="602"/>
      <c r="AX7" s="603"/>
      <c r="AY7" s="22"/>
      <c r="AZ7" s="22"/>
      <c r="BA7" s="22"/>
      <c r="BB7" s="22"/>
      <c r="BC7" s="22"/>
      <c r="BD7" s="604"/>
      <c r="BE7" s="604"/>
      <c r="BF7" s="605"/>
      <c r="BG7" s="605">
        <f>IF(F7&gt;0,EDATE(BF7,18),"")</f>
        <v>547</v>
      </c>
      <c r="BH7" s="17" t="str">
        <f ca="1">IF(F7&gt;0,IF(BG7&lt;$BH$1,"FINALIZAR FICHA","FICHA EN TIEMPO-18 MESES"),"")</f>
        <v>FINALIZAR FICHA</v>
      </c>
      <c r="BI7" s="38"/>
      <c r="BJ7" s="19" t="str">
        <f>IF(F7&gt;0,"Yamboro","")</f>
        <v>Yamboro</v>
      </c>
      <c r="BK7" s="295"/>
      <c r="BL7" s="173"/>
    </row>
    <row r="8" spans="1:64" ht="18" customHeight="1">
      <c r="A8" s="293" t="s">
        <v>557</v>
      </c>
      <c r="B8" s="167" t="s">
        <v>25</v>
      </c>
      <c r="C8" s="168" t="s">
        <v>1669</v>
      </c>
      <c r="D8" s="168" t="s">
        <v>27</v>
      </c>
      <c r="E8" s="168">
        <v>1006416216</v>
      </c>
      <c r="F8" s="168">
        <v>2322828</v>
      </c>
      <c r="G8" s="166" t="str">
        <f ca="1">IFERROR(__xludf.DUMMYFUNCTION("IFERROR(VLOOKUP(F22,IMPORTRANGE(""https://docs.google.com/spreadsheets/d/1Kvs4KS76FHFqLFIZfrDMff4kP08nblUkihrxltoGBjg/edit#gid=934712705"",""ESENCIAL!A6:BG""),3,FALSE))"),"TÉCNICO")</f>
        <v>TÉCNICO</v>
      </c>
      <c r="H8" s="166" t="str">
        <f ca="1">IFERROR(__xludf.DUMMYFUNCTION("IFERROR(VLOOKUP(F22,IMPORTRANGE(""https://docs.google.com/spreadsheets/d/1Kvs4KS76FHFqLFIZfrDMff4kP08nblUkihrxltoGBjg/edit#gid=934712705"",""ESENCIAL!A6:BG""),8,FALSE))"),"EJECUCION DE PROGRAMAS DEPORTIVOS")</f>
        <v>EJECUCION DE PROGRAMAS DEPORTIVOS</v>
      </c>
      <c r="I8" s="168">
        <v>3502194207</v>
      </c>
      <c r="J8" s="212" t="s">
        <v>1670</v>
      </c>
      <c r="K8" s="213" t="s">
        <v>84</v>
      </c>
      <c r="L8" s="213" t="s">
        <v>37</v>
      </c>
      <c r="M8" s="213" t="s">
        <v>1671</v>
      </c>
      <c r="N8" s="213"/>
      <c r="O8" s="213"/>
      <c r="P8" s="213"/>
      <c r="Q8" s="213"/>
      <c r="R8" s="214">
        <v>44629</v>
      </c>
      <c r="S8" s="214">
        <v>44814</v>
      </c>
      <c r="T8" s="213"/>
      <c r="U8" s="215" t="s">
        <v>1657</v>
      </c>
      <c r="V8" s="185" t="s">
        <v>225</v>
      </c>
      <c r="W8" s="172"/>
      <c r="X8" s="172"/>
      <c r="Y8" s="172"/>
      <c r="Z8" s="172"/>
      <c r="AA8" s="172"/>
      <c r="AB8" s="172"/>
      <c r="AC8" s="172"/>
      <c r="AD8" s="172"/>
      <c r="AE8" s="172"/>
      <c r="AF8" s="172"/>
      <c r="AG8" s="172"/>
      <c r="AH8" s="172"/>
      <c r="AI8" s="172"/>
      <c r="AJ8" s="172"/>
      <c r="AK8" s="172"/>
      <c r="AL8" s="172"/>
      <c r="AM8" s="172"/>
      <c r="AN8" s="172"/>
      <c r="AO8" s="172"/>
      <c r="AP8" s="172"/>
      <c r="AQ8" s="172"/>
      <c r="AR8" s="172"/>
      <c r="AS8" s="172"/>
      <c r="AT8" s="172"/>
      <c r="AU8" s="173" t="str">
        <f t="shared" ca="1" si="0"/>
        <v>Procede_E_P</v>
      </c>
      <c r="AV8" s="166" t="str">
        <f ca="1">IFERROR(__xludf.DUMMYFUNCTION("IFERROR(VLOOKUP(E22&amp;F22,IMPORTRANGE(""https://docs.google.com/spreadsheets/d/1Uw7-A9f9R21vMXxHZFNpYNeKFtG8_yji4HS352LGlSQ/edit?pli=1#gid=0"",""1_ACUM!A4:S""),11,FALSE))"),"EN FORMACION")</f>
        <v>EN FORMACION</v>
      </c>
      <c r="AW8" s="174" t="str">
        <f ca="1">IFERROR(__xludf.DUMMYFUNCTION("IFERROR(VLOOKUP(F22,IMPORTRANGE(""https://docs.google.com/spreadsheets/d/1Kvs4KS76FHFqLFIZfrDMff4kP08nblUkihrxltoGBjg/edit#gid=934712705"",""ESENCIAL!A6:BG""),15,FALSE))"),"TURISMO")</f>
        <v>TURISMO</v>
      </c>
      <c r="AX8" s="175">
        <f ca="1">IFERROR(__xludf.DUMMYFUNCTION("IFERROR(VLOOKUP(E22&amp;F22,IMPORTRANGE(""https://docs.google.com/spreadsheets/d/1Uw7-A9f9R21vMXxHZFNpYNeKFtG8_yji4HS352LGlSQ/edit?pli=1#gid=0"",""1_ACUM!A4:S""),12,FALSE))"),44839)</f>
        <v>44839</v>
      </c>
      <c r="AY8" s="176">
        <f ca="1">IFERROR(__xludf.DUMMYFUNCTION("IFERROR(VLOOKUP(E22&amp;F22,IMPORTRANGE(""https://docs.google.com/spreadsheets/d/1Uw7-A9f9R21vMXxHZFNpYNeKFtG8_yji4HS352LGlSQ/edit?pli=1#gid=0"",""1_ACUM!A4:S""),13,FALSE))"),0)</f>
        <v>0</v>
      </c>
      <c r="AZ8" s="176">
        <f ca="1">IFERROR(__xludf.DUMMYFUNCTION("IFERROR(VLOOKUP(E22&amp;F22,IMPORTRANGE(""https://docs.google.com/spreadsheets/d/1Uw7-A9f9R21vMXxHZFNpYNeKFtG8_yji4HS352LGlSQ/edit?pli=1#gid=0"",""1_ACUM!A4:S""),14,FALSE))"),1)</f>
        <v>1</v>
      </c>
      <c r="BA8" s="176">
        <f ca="1">IFERROR(__xludf.DUMMYFUNCTION("IFERROR(VLOOKUP(E22&amp;F22,IMPORTRANGE(""https://docs.google.com/spreadsheets/d/1Uw7-A9f9R21vMXxHZFNpYNeKFtG8_yji4HS352LGlSQ/edit?pli=1#gid=0"",""1_ACUM!A4:S""),15,FALSE))"),0)</f>
        <v>0</v>
      </c>
      <c r="BB8" s="176">
        <f ca="1">IFERROR(__xludf.DUMMYFUNCTION("IFERROR(VLOOKUP(E22&amp;F22,IMPORTRANGE(""https://docs.google.com/spreadsheets/d/1Uw7-A9f9R21vMXxHZFNpYNeKFtG8_yji4HS352LGlSQ/edit?pli=1#gid=0"",""1_ACUM!A4:S""),16,FALSE))"),0)</f>
        <v>0</v>
      </c>
      <c r="BC8" s="176">
        <f ca="1">IFERROR(__xludf.DUMMYFUNCTION("IFERROR(VLOOKUP(E22&amp;F22,IMPORTRANGE(""https://docs.google.com/spreadsheets/d/1Uw7-A9f9R21vMXxHZFNpYNeKFtG8_yji4HS352LGlSQ/edit?pli=1#gid=0"",""1_ACUM!A4:S""),17,FALSE))"),1)</f>
        <v>1</v>
      </c>
      <c r="BD8" s="177">
        <f ca="1">IFERROR(__xludf.DUMMYFUNCTION("IFERROR(VLOOKUP(E22&amp;F22,IMPORTRANGE(""https://docs.google.com/spreadsheets/d/1Uw7-A9f9R21vMXxHZFNpYNeKFtG8_yji4HS352LGlSQ/edit?pli=1#gid=0"",""1_ACUM!A4:S""),18,FALSE))"),44348)</f>
        <v>44348</v>
      </c>
      <c r="BE8" s="177">
        <f ca="1">IFERROR(__xludf.DUMMYFUNCTION("IFERROR(VLOOKUP(E22&amp;F22,IMPORTRANGE(""https://docs.google.com/spreadsheets/d/1Uw7-A9f9R21vMXxHZFNpYNeKFtG8_yji4HS352LGlSQ/edit?pli=1#gid=0"",""1_ACUM!A4:S""),19,FALSE))"),44620)</f>
        <v>44620</v>
      </c>
      <c r="BF8" s="178">
        <f ca="1">IFERROR(__xludf.DUMMYFUNCTION("IFERROR(VLOOKUP(F22,IMPORTRANGE(""https://docs.google.com/spreadsheets/d/1Kvs4KS76FHFqLFIZfrDMff4kP08nblUkihrxltoGBjg/edit#gid=934712705"",""ESENCIAL!A6:BG""),5,FALSE))"),44804)</f>
        <v>44804</v>
      </c>
      <c r="BG8" s="178">
        <f t="shared" ca="1" si="1"/>
        <v>45351</v>
      </c>
      <c r="BH8" s="179" t="str">
        <f t="shared" ca="1" si="2"/>
        <v>FICHA EN TIEMPO-18 MESES</v>
      </c>
      <c r="BI8" s="173" t="str">
        <f ca="1">IFERROR(__xludf.DUMMYFUNCTION("IFERROR(VLOOKUP(F22,IMPORTRANGE(""https://docs.google.com/spreadsheets/d/1Kvs4KS76FHFqLFIZfrDMff4kP08nblUkihrxltoGBjg/edit#gid=934712705"",""ESENCIAL!A6:BG""),2,FALSE))"),"Terminada por fecha")</f>
        <v>Terminada por fecha</v>
      </c>
      <c r="BJ8" s="173" t="str">
        <f t="shared" si="3"/>
        <v>Yamboro</v>
      </c>
      <c r="BK8" s="292"/>
      <c r="BL8" s="38"/>
    </row>
    <row r="9" spans="1:64" ht="18" customHeight="1">
      <c r="A9" s="289"/>
      <c r="B9" s="145" t="s">
        <v>25</v>
      </c>
      <c r="C9" s="25" t="s">
        <v>1672</v>
      </c>
      <c r="D9" s="25" t="s">
        <v>27</v>
      </c>
      <c r="E9" s="57">
        <v>1000158452</v>
      </c>
      <c r="F9" s="25">
        <v>2469966</v>
      </c>
      <c r="G9" s="11" t="str">
        <f ca="1">IFERROR(__xludf.DUMMYFUNCTION("IFERROR(VLOOKUP(F23,IMPORTRANGE(""https://docs.google.com/spreadsheets/d/1Kvs4KS76FHFqLFIZfrDMff4kP08nblUkihrxltoGBjg/edit#gid=934712705"",""ESENCIAL!A6:BG""),3,FALSE))"),"TÉCNICO")</f>
        <v>TÉCNICO</v>
      </c>
      <c r="H9" s="11" t="str">
        <f ca="1">IFERROR(__xludf.DUMMYFUNCTION("IFERROR(VLOOKUP(F23,IMPORTRANGE(""https://docs.google.com/spreadsheets/d/1Kvs4KS76FHFqLFIZfrDMff4kP08nblUkihrxltoGBjg/edit#gid=934712705"",""ESENCIAL!A6:BG""),8,FALSE))"),"EJECUCION DE PROGRAMAS DEPORTIVOS")</f>
        <v>EJECUCION DE PROGRAMAS DEPORTIVOS</v>
      </c>
      <c r="I9" s="25"/>
      <c r="J9" s="34"/>
      <c r="K9" s="34"/>
      <c r="L9" s="329" t="s">
        <v>44</v>
      </c>
      <c r="M9" s="34"/>
      <c r="N9" s="34"/>
      <c r="O9" s="34"/>
      <c r="P9" s="34"/>
      <c r="Q9" s="34"/>
      <c r="R9" s="35"/>
      <c r="S9" s="35"/>
      <c r="T9" s="34"/>
      <c r="U9" s="36"/>
      <c r="V9" s="30"/>
      <c r="W9" s="28"/>
      <c r="X9" s="28"/>
      <c r="Y9" s="28"/>
      <c r="Z9" s="28"/>
      <c r="AA9" s="28"/>
      <c r="AB9" s="28"/>
      <c r="AC9" s="28"/>
      <c r="AD9" s="28"/>
      <c r="AE9" s="28"/>
      <c r="AF9" s="28"/>
      <c r="AG9" s="28"/>
      <c r="AH9" s="28"/>
      <c r="AI9" s="28"/>
      <c r="AJ9" s="28"/>
      <c r="AK9" s="28"/>
      <c r="AL9" s="28"/>
      <c r="AM9" s="28"/>
      <c r="AN9" s="28"/>
      <c r="AO9" s="28"/>
      <c r="AP9" s="28"/>
      <c r="AQ9" s="28"/>
      <c r="AR9" s="28"/>
      <c r="AS9" s="28"/>
      <c r="AT9" s="28"/>
      <c r="AU9" s="19" t="str">
        <f t="shared" ca="1" si="0"/>
        <v>NO_CUMPLE</v>
      </c>
      <c r="AV9" s="11" t="str">
        <f ca="1">IFERROR(__xludf.DUMMYFUNCTION("IFERROR(VLOOKUP(E23&amp;F23,IMPORTRANGE(""https://docs.google.com/spreadsheets/d/1Uw7-A9f9R21vMXxHZFNpYNeKFtG8_yji4HS352LGlSQ/edit?pli=1#gid=0"",""1_ACUM!A4:S""),11,FALSE))"),"EN FORMACION")</f>
        <v>EN FORMACION</v>
      </c>
      <c r="AW9" s="20" t="str">
        <f ca="1">IFERROR(__xludf.DUMMYFUNCTION("IFERROR(VLOOKUP(F23,IMPORTRANGE(""https://docs.google.com/spreadsheets/d/1Kvs4KS76FHFqLFIZfrDMff4kP08nblUkihrxltoGBjg/edit#gid=934712705"",""ESENCIAL!A6:BG""),15,FALSE))"),"TURISMO")</f>
        <v>TURISMO</v>
      </c>
      <c r="AX9" s="21">
        <f ca="1">IFERROR(__xludf.DUMMYFUNCTION("IFERROR(VLOOKUP(E23&amp;F23,IMPORTRANGE(""https://docs.google.com/spreadsheets/d/1Uw7-A9f9R21vMXxHZFNpYNeKFtG8_yji4HS352LGlSQ/edit?pli=1#gid=0"",""1_ACUM!A4:S""),12,FALSE))"),44839)</f>
        <v>44839</v>
      </c>
      <c r="AY9" s="22">
        <f ca="1">IFERROR(__xludf.DUMMYFUNCTION("IFERROR(VLOOKUP(E23&amp;F23,IMPORTRANGE(""https://docs.google.com/spreadsheets/d/1Uw7-A9f9R21vMXxHZFNpYNeKFtG8_yji4HS352LGlSQ/edit?pli=1#gid=0"",""1_ACUM!A4:S""),13,FALSE))"),6)</f>
        <v>6</v>
      </c>
      <c r="AZ9" s="22">
        <f ca="1">IFERROR(__xludf.DUMMYFUNCTION("IFERROR(VLOOKUP(E23&amp;F23,IMPORTRANGE(""https://docs.google.com/spreadsheets/d/1Uw7-A9f9R21vMXxHZFNpYNeKFtG8_yji4HS352LGlSQ/edit?pli=1#gid=0"",""1_ACUM!A4:S""),14,FALSE))"),1)</f>
        <v>1</v>
      </c>
      <c r="BA9" s="22">
        <f ca="1">IFERROR(__xludf.DUMMYFUNCTION("IFERROR(VLOOKUP(E23&amp;F23,IMPORTRANGE(""https://docs.google.com/spreadsheets/d/1Uw7-A9f9R21vMXxHZFNpYNeKFtG8_yji4HS352LGlSQ/edit?pli=1#gid=0"",""1_ACUM!A4:S""),15,FALSE))"),7)</f>
        <v>7</v>
      </c>
      <c r="BB9" s="22">
        <f ca="1">IFERROR(__xludf.DUMMYFUNCTION("IFERROR(VLOOKUP(E23&amp;F23,IMPORTRANGE(""https://docs.google.com/spreadsheets/d/1Uw7-A9f9R21vMXxHZFNpYNeKFtG8_yji4HS352LGlSQ/edit?pli=1#gid=0"",""1_ACUM!A4:S""),16,FALSE))"),15)</f>
        <v>15</v>
      </c>
      <c r="BC9" s="22">
        <f ca="1">IFERROR(__xludf.DUMMYFUNCTION("IFERROR(VLOOKUP(E23&amp;F23,IMPORTRANGE(""https://docs.google.com/spreadsheets/d/1Uw7-A9f9R21vMXxHZFNpYNeKFtG8_yji4HS352LGlSQ/edit?pli=1#gid=0"",""1_ACUM!A4:S""),17,FALSE))"),29)</f>
        <v>29</v>
      </c>
      <c r="BD9" s="23">
        <f ca="1">IFERROR(__xludf.DUMMYFUNCTION("IFERROR(VLOOKUP(E23&amp;F23,IMPORTRANGE(""https://docs.google.com/spreadsheets/d/1Uw7-A9f9R21vMXxHZFNpYNeKFtG8_yji4HS352LGlSQ/edit?pli=1#gid=0"",""1_ACUM!A4:S""),18,FALSE))"),44552)</f>
        <v>44552</v>
      </c>
      <c r="BE9" s="23">
        <f ca="1">IFERROR(__xludf.DUMMYFUNCTION("IFERROR(VLOOKUP(E23&amp;F23,IMPORTRANGE(""https://docs.google.com/spreadsheets/d/1Uw7-A9f9R21vMXxHZFNpYNeKFtG8_yji4HS352LGlSQ/edit?pli=1#gid=0"",""1_ACUM!A4:S""),19,FALSE))"),44825)</f>
        <v>44825</v>
      </c>
      <c r="BF9" s="68">
        <f ca="1">IFERROR(__xludf.DUMMYFUNCTION("IFERROR(VLOOKUP(F23,IMPORTRANGE(""https://docs.google.com/spreadsheets/d/1Kvs4KS76FHFqLFIZfrDMff4kP08nblUkihrxltoGBjg/edit#gid=934712705"",""ESENCIAL!A6:BG""),5,FALSE))"),45006)</f>
        <v>45006</v>
      </c>
      <c r="BG9" s="68">
        <f t="shared" ca="1" si="1"/>
        <v>45556</v>
      </c>
      <c r="BH9" s="17" t="str">
        <f t="shared" ca="1" si="2"/>
        <v>FICHA EN TIEMPO-18 MESES</v>
      </c>
      <c r="BI9" s="38" t="str">
        <f ca="1">IFERROR(__xludf.DUMMYFUNCTION("IFERROR(VLOOKUP(F23,IMPORTRANGE(""https://docs.google.com/spreadsheets/d/1Kvs4KS76FHFqLFIZfrDMff4kP08nblUkihrxltoGBjg/edit#gid=934712705"",""ESENCIAL!A6:BG""),2,FALSE))"),"En ejecucion")</f>
        <v>En ejecucion</v>
      </c>
      <c r="BJ9" s="19" t="str">
        <f t="shared" si="3"/>
        <v>Yamboro</v>
      </c>
      <c r="BK9" s="292"/>
      <c r="BL9" s="38"/>
    </row>
    <row r="10" spans="1:64" ht="18" customHeight="1">
      <c r="A10" s="289"/>
      <c r="B10" s="145" t="s">
        <v>25</v>
      </c>
      <c r="C10" s="25" t="s">
        <v>1673</v>
      </c>
      <c r="D10" s="57" t="s">
        <v>27</v>
      </c>
      <c r="E10" s="57">
        <v>1003820025</v>
      </c>
      <c r="F10" s="25">
        <v>2469966</v>
      </c>
      <c r="G10" s="11" t="str">
        <f ca="1">IFERROR(__xludf.DUMMYFUNCTION("IFERROR(VLOOKUP(F24,IMPORTRANGE(""https://docs.google.com/spreadsheets/d/1Kvs4KS76FHFqLFIZfrDMff4kP08nblUkihrxltoGBjg/edit#gid=934712705"",""ESENCIAL!A6:BG""),3,FALSE))"),"TÉCNICO")</f>
        <v>TÉCNICO</v>
      </c>
      <c r="H10" s="11" t="str">
        <f ca="1">IFERROR(__xludf.DUMMYFUNCTION("IFERROR(VLOOKUP(F24,IMPORTRANGE(""https://docs.google.com/spreadsheets/d/1Kvs4KS76FHFqLFIZfrDMff4kP08nblUkihrxltoGBjg/edit#gid=934712705"",""ESENCIAL!A6:BG""),8,FALSE))"),"EJECUCION DE PROGRAMAS DEPORTIVOS")</f>
        <v>EJECUCION DE PROGRAMAS DEPORTIVOS</v>
      </c>
      <c r="I10" s="25"/>
      <c r="J10" s="34"/>
      <c r="K10" s="34"/>
      <c r="L10" s="329" t="s">
        <v>44</v>
      </c>
      <c r="M10" s="34"/>
      <c r="N10" s="34"/>
      <c r="O10" s="34"/>
      <c r="P10" s="34"/>
      <c r="Q10" s="34"/>
      <c r="R10" s="35"/>
      <c r="S10" s="35"/>
      <c r="T10" s="34"/>
      <c r="U10" s="36"/>
      <c r="V10" s="30"/>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19" t="str">
        <f t="shared" ca="1" si="0"/>
        <v>NO_CUMPLE</v>
      </c>
      <c r="AV10" s="11" t="str">
        <f ca="1">IFERROR(__xludf.DUMMYFUNCTION("IFERROR(VLOOKUP(E24&amp;F24,IMPORTRANGE(""https://docs.google.com/spreadsheets/d/1Uw7-A9f9R21vMXxHZFNpYNeKFtG8_yji4HS352LGlSQ/edit?pli=1#gid=0"",""1_ACUM!A4:S""),11,FALSE))"),"EN FORMACION")</f>
        <v>EN FORMACION</v>
      </c>
      <c r="AW10" s="20" t="str">
        <f ca="1">IFERROR(__xludf.DUMMYFUNCTION("IFERROR(VLOOKUP(F24,IMPORTRANGE(""https://docs.google.com/spreadsheets/d/1Kvs4KS76FHFqLFIZfrDMff4kP08nblUkihrxltoGBjg/edit#gid=934712705"",""ESENCIAL!A6:BG""),15,FALSE))"),"TURISMO")</f>
        <v>TURISMO</v>
      </c>
      <c r="AX10" s="21">
        <f ca="1">IFERROR(__xludf.DUMMYFUNCTION("IFERROR(VLOOKUP(E24&amp;F24,IMPORTRANGE(""https://docs.google.com/spreadsheets/d/1Uw7-A9f9R21vMXxHZFNpYNeKFtG8_yji4HS352LGlSQ/edit?pli=1#gid=0"",""1_ACUM!A4:S""),12,FALSE))"),44839)</f>
        <v>44839</v>
      </c>
      <c r="AY10" s="22">
        <f ca="1">IFERROR(__xludf.DUMMYFUNCTION("IFERROR(VLOOKUP(E24&amp;F24,IMPORTRANGE(""https://docs.google.com/spreadsheets/d/1Uw7-A9f9R21vMXxHZFNpYNeKFtG8_yji4HS352LGlSQ/edit?pli=1#gid=0"",""1_ACUM!A4:S""),13,FALSE))"),6)</f>
        <v>6</v>
      </c>
      <c r="AZ10" s="22">
        <f ca="1">IFERROR(__xludf.DUMMYFUNCTION("IFERROR(VLOOKUP(E24&amp;F24,IMPORTRANGE(""https://docs.google.com/spreadsheets/d/1Uw7-A9f9R21vMXxHZFNpYNeKFtG8_yji4HS352LGlSQ/edit?pli=1#gid=0"",""1_ACUM!A4:S""),14,FALSE))"),1)</f>
        <v>1</v>
      </c>
      <c r="BA10" s="22">
        <f ca="1">IFERROR(__xludf.DUMMYFUNCTION("IFERROR(VLOOKUP(E24&amp;F24,IMPORTRANGE(""https://docs.google.com/spreadsheets/d/1Uw7-A9f9R21vMXxHZFNpYNeKFtG8_yji4HS352LGlSQ/edit?pli=1#gid=0"",""1_ACUM!A4:S""),15,FALSE))"),7)</f>
        <v>7</v>
      </c>
      <c r="BB10" s="22">
        <f ca="1">IFERROR(__xludf.DUMMYFUNCTION("IFERROR(VLOOKUP(E24&amp;F24,IMPORTRANGE(""https://docs.google.com/spreadsheets/d/1Uw7-A9f9R21vMXxHZFNpYNeKFtG8_yji4HS352LGlSQ/edit?pli=1#gid=0"",""1_ACUM!A4:S""),16,FALSE))"),15)</f>
        <v>15</v>
      </c>
      <c r="BC10" s="22">
        <f ca="1">IFERROR(__xludf.DUMMYFUNCTION("IFERROR(VLOOKUP(E24&amp;F24,IMPORTRANGE(""https://docs.google.com/spreadsheets/d/1Uw7-A9f9R21vMXxHZFNpYNeKFtG8_yji4HS352LGlSQ/edit?pli=1#gid=0"",""1_ACUM!A4:S""),17,FALSE))"),29)</f>
        <v>29</v>
      </c>
      <c r="BD10" s="23">
        <f ca="1">IFERROR(__xludf.DUMMYFUNCTION("IFERROR(VLOOKUP(E24&amp;F24,IMPORTRANGE(""https://docs.google.com/spreadsheets/d/1Uw7-A9f9R21vMXxHZFNpYNeKFtG8_yji4HS352LGlSQ/edit?pli=1#gid=0"",""1_ACUM!A4:S""),18,FALSE))"),44552)</f>
        <v>44552</v>
      </c>
      <c r="BE10" s="23">
        <f ca="1">IFERROR(__xludf.DUMMYFUNCTION("IFERROR(VLOOKUP(E24&amp;F24,IMPORTRANGE(""https://docs.google.com/spreadsheets/d/1Uw7-A9f9R21vMXxHZFNpYNeKFtG8_yji4HS352LGlSQ/edit?pli=1#gid=0"",""1_ACUM!A4:S""),19,FALSE))"),44825)</f>
        <v>44825</v>
      </c>
      <c r="BF10" s="68">
        <f ca="1">IFERROR(__xludf.DUMMYFUNCTION("IFERROR(VLOOKUP(F24,IMPORTRANGE(""https://docs.google.com/spreadsheets/d/1Kvs4KS76FHFqLFIZfrDMff4kP08nblUkihrxltoGBjg/edit#gid=934712705"",""ESENCIAL!A6:BG""),5,FALSE))"),45006)</f>
        <v>45006</v>
      </c>
      <c r="BG10" s="68">
        <f t="shared" ca="1" si="1"/>
        <v>45556</v>
      </c>
      <c r="BH10" s="17" t="str">
        <f t="shared" ca="1" si="2"/>
        <v>FICHA EN TIEMPO-18 MESES</v>
      </c>
      <c r="BI10" s="38" t="str">
        <f ca="1">IFERROR(__xludf.DUMMYFUNCTION("IFERROR(VLOOKUP(F24,IMPORTRANGE(""https://docs.google.com/spreadsheets/d/1Kvs4KS76FHFqLFIZfrDMff4kP08nblUkihrxltoGBjg/edit#gid=934712705"",""ESENCIAL!A6:BG""),2,FALSE))"),"En ejecucion")</f>
        <v>En ejecucion</v>
      </c>
      <c r="BJ10" s="19" t="str">
        <f t="shared" si="3"/>
        <v>Yamboro</v>
      </c>
      <c r="BK10" s="292"/>
      <c r="BL10" s="38"/>
    </row>
    <row r="11" spans="1:64" ht="18" customHeight="1">
      <c r="A11" s="289"/>
      <c r="B11" s="145" t="s">
        <v>25</v>
      </c>
      <c r="C11" s="25" t="s">
        <v>1674</v>
      </c>
      <c r="D11" s="57" t="s">
        <v>27</v>
      </c>
      <c r="E11" s="57">
        <v>1004033637</v>
      </c>
      <c r="F11" s="25">
        <v>2469966</v>
      </c>
      <c r="G11" s="11" t="str">
        <f ca="1">IFERROR(__xludf.DUMMYFUNCTION("IFERROR(VLOOKUP(F25,IMPORTRANGE(""https://docs.google.com/spreadsheets/d/1Kvs4KS76FHFqLFIZfrDMff4kP08nblUkihrxltoGBjg/edit#gid=934712705"",""ESENCIAL!A6:BG""),3,FALSE))"),"TÉCNICO")</f>
        <v>TÉCNICO</v>
      </c>
      <c r="H11" s="11" t="str">
        <f ca="1">IFERROR(__xludf.DUMMYFUNCTION("IFERROR(VLOOKUP(F25,IMPORTRANGE(""https://docs.google.com/spreadsheets/d/1Kvs4KS76FHFqLFIZfrDMff4kP08nblUkihrxltoGBjg/edit#gid=934712705"",""ESENCIAL!A6:BG""),8,FALSE))"),"EJECUCION DE PROGRAMAS DEPORTIVOS")</f>
        <v>EJECUCION DE PROGRAMAS DEPORTIVOS</v>
      </c>
      <c r="I11" s="25"/>
      <c r="J11" s="34"/>
      <c r="K11" s="34"/>
      <c r="L11" s="34" t="s">
        <v>37</v>
      </c>
      <c r="M11" s="34" t="s">
        <v>1675</v>
      </c>
      <c r="N11" s="34" t="s">
        <v>1676</v>
      </c>
      <c r="O11" s="34">
        <v>3228635356</v>
      </c>
      <c r="P11" s="34" t="s">
        <v>84</v>
      </c>
      <c r="Q11" s="34" t="s">
        <v>1677</v>
      </c>
      <c r="R11" s="35">
        <v>44832</v>
      </c>
      <c r="S11" s="35">
        <v>45012</v>
      </c>
      <c r="T11" s="34"/>
      <c r="U11" s="36"/>
      <c r="V11" s="30"/>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19" t="str">
        <f t="shared" ca="1" si="0"/>
        <v>Procede_E_P</v>
      </c>
      <c r="AV11" s="11" t="str">
        <f ca="1">IFERROR(__xludf.DUMMYFUNCTION("IFERROR(VLOOKUP(E25&amp;F25,IMPORTRANGE(""https://docs.google.com/spreadsheets/d/1Uw7-A9f9R21vMXxHZFNpYNeKFtG8_yji4HS352LGlSQ/edit?pli=1#gid=0"",""1_ACUM!A4:S""),11,FALSE))"),"EN FORMACION")</f>
        <v>EN FORMACION</v>
      </c>
      <c r="AW11" s="20" t="str">
        <f ca="1">IFERROR(__xludf.DUMMYFUNCTION("IFERROR(VLOOKUP(F25,IMPORTRANGE(""https://docs.google.com/spreadsheets/d/1Kvs4KS76FHFqLFIZfrDMff4kP08nblUkihrxltoGBjg/edit#gid=934712705"",""ESENCIAL!A6:BG""),15,FALSE))"),"TURISMO")</f>
        <v>TURISMO</v>
      </c>
      <c r="AX11" s="21">
        <f ca="1">IFERROR(__xludf.DUMMYFUNCTION("IFERROR(VLOOKUP(E25&amp;F25,IMPORTRANGE(""https://docs.google.com/spreadsheets/d/1Uw7-A9f9R21vMXxHZFNpYNeKFtG8_yji4HS352LGlSQ/edit?pli=1#gid=0"",""1_ACUM!A4:S""),12,FALSE))"),44839)</f>
        <v>44839</v>
      </c>
      <c r="AY11" s="22">
        <f ca="1">IFERROR(__xludf.DUMMYFUNCTION("IFERROR(VLOOKUP(E25&amp;F25,IMPORTRANGE(""https://docs.google.com/spreadsheets/d/1Uw7-A9f9R21vMXxHZFNpYNeKFtG8_yji4HS352LGlSQ/edit?pli=1#gid=0"",""1_ACUM!A4:S""),13,FALSE))"),0)</f>
        <v>0</v>
      </c>
      <c r="AZ11" s="22">
        <f ca="1">IFERROR(__xludf.DUMMYFUNCTION("IFERROR(VLOOKUP(E25&amp;F25,IMPORTRANGE(""https://docs.google.com/spreadsheets/d/1Uw7-A9f9R21vMXxHZFNpYNeKFtG8_yji4HS352LGlSQ/edit?pli=1#gid=0"",""1_ACUM!A4:S""),14,FALSE))"),1)</f>
        <v>1</v>
      </c>
      <c r="BA11" s="22">
        <f ca="1">IFERROR(__xludf.DUMMYFUNCTION("IFERROR(VLOOKUP(E25&amp;F25,IMPORTRANGE(""https://docs.google.com/spreadsheets/d/1Uw7-A9f9R21vMXxHZFNpYNeKFtG8_yji4HS352LGlSQ/edit?pli=1#gid=0"",""1_ACUM!A4:S""),15,FALSE))"),0)</f>
        <v>0</v>
      </c>
      <c r="BB11" s="22">
        <f ca="1">IFERROR(__xludf.DUMMYFUNCTION("IFERROR(VLOOKUP(E25&amp;F25,IMPORTRANGE(""https://docs.google.com/spreadsheets/d/1Uw7-A9f9R21vMXxHZFNpYNeKFtG8_yji4HS352LGlSQ/edit?pli=1#gid=0"",""1_ACUM!A4:S""),16,FALSE))"),0)</f>
        <v>0</v>
      </c>
      <c r="BC11" s="22">
        <f ca="1">IFERROR(__xludf.DUMMYFUNCTION("IFERROR(VLOOKUP(E25&amp;F25,IMPORTRANGE(""https://docs.google.com/spreadsheets/d/1Uw7-A9f9R21vMXxHZFNpYNeKFtG8_yji4HS352LGlSQ/edit?pli=1#gid=0"",""1_ACUM!A4:S""),17,FALSE))"),1)</f>
        <v>1</v>
      </c>
      <c r="BD11" s="23">
        <f ca="1">IFERROR(__xludf.DUMMYFUNCTION("IFERROR(VLOOKUP(E25&amp;F25,IMPORTRANGE(""https://docs.google.com/spreadsheets/d/1Uw7-A9f9R21vMXxHZFNpYNeKFtG8_yji4HS352LGlSQ/edit?pli=1#gid=0"",""1_ACUM!A4:S""),18,FALSE))"),44552)</f>
        <v>44552</v>
      </c>
      <c r="BE11" s="23">
        <f ca="1">IFERROR(__xludf.DUMMYFUNCTION("IFERROR(VLOOKUP(E25&amp;F25,IMPORTRANGE(""https://docs.google.com/spreadsheets/d/1Uw7-A9f9R21vMXxHZFNpYNeKFtG8_yji4HS352LGlSQ/edit?pli=1#gid=0"",""1_ACUM!A4:S""),19,FALSE))"),44825)</f>
        <v>44825</v>
      </c>
      <c r="BF11" s="68">
        <f ca="1">IFERROR(__xludf.DUMMYFUNCTION("IFERROR(VLOOKUP(F25,IMPORTRANGE(""https://docs.google.com/spreadsheets/d/1Kvs4KS76FHFqLFIZfrDMff4kP08nblUkihrxltoGBjg/edit#gid=934712705"",""ESENCIAL!A6:BG""),5,FALSE))"),45006)</f>
        <v>45006</v>
      </c>
      <c r="BG11" s="68">
        <f t="shared" ca="1" si="1"/>
        <v>45556</v>
      </c>
      <c r="BH11" s="17" t="str">
        <f t="shared" ca="1" si="2"/>
        <v>FICHA EN TIEMPO-18 MESES</v>
      </c>
      <c r="BI11" s="38" t="str">
        <f ca="1">IFERROR(__xludf.DUMMYFUNCTION("IFERROR(VLOOKUP(F25,IMPORTRANGE(""https://docs.google.com/spreadsheets/d/1Kvs4KS76FHFqLFIZfrDMff4kP08nblUkihrxltoGBjg/edit#gid=934712705"",""ESENCIAL!A6:BG""),2,FALSE))"),"En ejecucion")</f>
        <v>En ejecucion</v>
      </c>
      <c r="BJ11" s="19" t="str">
        <f t="shared" si="3"/>
        <v>Yamboro</v>
      </c>
      <c r="BK11" s="292"/>
      <c r="BL11" s="38"/>
    </row>
    <row r="12" spans="1:64" ht="18" customHeight="1">
      <c r="A12" s="289"/>
      <c r="B12" s="145" t="s">
        <v>25</v>
      </c>
      <c r="C12" s="25" t="s">
        <v>1678</v>
      </c>
      <c r="D12" s="57" t="s">
        <v>67</v>
      </c>
      <c r="E12" s="57">
        <v>1004034518</v>
      </c>
      <c r="F12" s="25">
        <v>2469966</v>
      </c>
      <c r="G12" s="11" t="str">
        <f ca="1">IFERROR(__xludf.DUMMYFUNCTION("IFERROR(VLOOKUP(F26,IMPORTRANGE(""https://docs.google.com/spreadsheets/d/1Kvs4KS76FHFqLFIZfrDMff4kP08nblUkihrxltoGBjg/edit#gid=934712705"",""ESENCIAL!A6:BG""),3,FALSE))"),"TÉCNICO")</f>
        <v>TÉCNICO</v>
      </c>
      <c r="H12" s="11" t="str">
        <f ca="1">IFERROR(__xludf.DUMMYFUNCTION("IFERROR(VLOOKUP(F26,IMPORTRANGE(""https://docs.google.com/spreadsheets/d/1Kvs4KS76FHFqLFIZfrDMff4kP08nblUkihrxltoGBjg/edit#gid=934712705"",""ESENCIAL!A6:BG""),8,FALSE))"),"EJECUCION DE PROGRAMAS DEPORTIVOS")</f>
        <v>EJECUCION DE PROGRAMAS DEPORTIVOS</v>
      </c>
      <c r="I12" s="25"/>
      <c r="J12" s="34"/>
      <c r="K12" s="34"/>
      <c r="L12" s="329" t="s">
        <v>44</v>
      </c>
      <c r="M12" s="34"/>
      <c r="N12" s="34"/>
      <c r="O12" s="34"/>
      <c r="P12" s="34"/>
      <c r="Q12" s="34"/>
      <c r="R12" s="35"/>
      <c r="S12" s="35"/>
      <c r="T12" s="34"/>
      <c r="U12" s="36"/>
      <c r="V12" s="30"/>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19" t="str">
        <f t="shared" ca="1" si="0"/>
        <v>NO_CUMPLE</v>
      </c>
      <c r="AV12" s="11" t="str">
        <f ca="1">IFERROR(__xludf.DUMMYFUNCTION("IFERROR(VLOOKUP(E26&amp;F26,IMPORTRANGE(""https://docs.google.com/spreadsheets/d/1Uw7-A9f9R21vMXxHZFNpYNeKFtG8_yji4HS352LGlSQ/edit?pli=1#gid=0"",""1_ACUM!A4:S""),11,FALSE))"),"EN FORMACION")</f>
        <v>EN FORMACION</v>
      </c>
      <c r="AW12" s="20" t="str">
        <f ca="1">IFERROR(__xludf.DUMMYFUNCTION("IFERROR(VLOOKUP(F26,IMPORTRANGE(""https://docs.google.com/spreadsheets/d/1Kvs4KS76FHFqLFIZfrDMff4kP08nblUkihrxltoGBjg/edit#gid=934712705"",""ESENCIAL!A6:BG""),15,FALSE))"),"TURISMO")</f>
        <v>TURISMO</v>
      </c>
      <c r="AX12" s="21">
        <f ca="1">IFERROR(__xludf.DUMMYFUNCTION("IFERROR(VLOOKUP(E26&amp;F26,IMPORTRANGE(""https://docs.google.com/spreadsheets/d/1Uw7-A9f9R21vMXxHZFNpYNeKFtG8_yji4HS352LGlSQ/edit?pli=1#gid=0"",""1_ACUM!A4:S""),12,FALSE))"),44839)</f>
        <v>44839</v>
      </c>
      <c r="AY12" s="22">
        <f ca="1">IFERROR(__xludf.DUMMYFUNCTION("IFERROR(VLOOKUP(E26&amp;F26,IMPORTRANGE(""https://docs.google.com/spreadsheets/d/1Uw7-A9f9R21vMXxHZFNpYNeKFtG8_yji4HS352LGlSQ/edit?pli=1#gid=0"",""1_ACUM!A4:S""),13,FALSE))"),14)</f>
        <v>14</v>
      </c>
      <c r="AZ12" s="22">
        <f ca="1">IFERROR(__xludf.DUMMYFUNCTION("IFERROR(VLOOKUP(E26&amp;F26,IMPORTRANGE(""https://docs.google.com/spreadsheets/d/1Uw7-A9f9R21vMXxHZFNpYNeKFtG8_yji4HS352LGlSQ/edit?pli=1#gid=0"",""1_ACUM!A4:S""),14,FALSE))"),1)</f>
        <v>1</v>
      </c>
      <c r="BA12" s="22">
        <f ca="1">IFERROR(__xludf.DUMMYFUNCTION("IFERROR(VLOOKUP(E26&amp;F26,IMPORTRANGE(""https://docs.google.com/spreadsheets/d/1Uw7-A9f9R21vMXxHZFNpYNeKFtG8_yji4HS352LGlSQ/edit?pli=1#gid=0"",""1_ACUM!A4:S""),15,FALSE))"),7)</f>
        <v>7</v>
      </c>
      <c r="BB12" s="22">
        <f ca="1">IFERROR(__xludf.DUMMYFUNCTION("IFERROR(VLOOKUP(E26&amp;F26,IMPORTRANGE(""https://docs.google.com/spreadsheets/d/1Uw7-A9f9R21vMXxHZFNpYNeKFtG8_yji4HS352LGlSQ/edit?pli=1#gid=0"",""1_ACUM!A4:S""),16,FALSE))"),20)</f>
        <v>20</v>
      </c>
      <c r="BC12" s="22">
        <f ca="1">IFERROR(__xludf.DUMMYFUNCTION("IFERROR(VLOOKUP(E26&amp;F26,IMPORTRANGE(""https://docs.google.com/spreadsheets/d/1Uw7-A9f9R21vMXxHZFNpYNeKFtG8_yji4HS352LGlSQ/edit?pli=1#gid=0"",""1_ACUM!A4:S""),17,FALSE))"),42)</f>
        <v>42</v>
      </c>
      <c r="BD12" s="23">
        <f ca="1">IFERROR(__xludf.DUMMYFUNCTION("IFERROR(VLOOKUP(E26&amp;F26,IMPORTRANGE(""https://docs.google.com/spreadsheets/d/1Uw7-A9f9R21vMXxHZFNpYNeKFtG8_yji4HS352LGlSQ/edit?pli=1#gid=0"",""1_ACUM!A4:S""),18,FALSE))"),44552)</f>
        <v>44552</v>
      </c>
      <c r="BE12" s="23">
        <f ca="1">IFERROR(__xludf.DUMMYFUNCTION("IFERROR(VLOOKUP(E26&amp;F26,IMPORTRANGE(""https://docs.google.com/spreadsheets/d/1Uw7-A9f9R21vMXxHZFNpYNeKFtG8_yji4HS352LGlSQ/edit?pli=1#gid=0"",""1_ACUM!A4:S""),19,FALSE))"),44825)</f>
        <v>44825</v>
      </c>
      <c r="BF12" s="68">
        <f ca="1">IFERROR(__xludf.DUMMYFUNCTION("IFERROR(VLOOKUP(F26,IMPORTRANGE(""https://docs.google.com/spreadsheets/d/1Kvs4KS76FHFqLFIZfrDMff4kP08nblUkihrxltoGBjg/edit#gid=934712705"",""ESENCIAL!A6:BG""),5,FALSE))"),45006)</f>
        <v>45006</v>
      </c>
      <c r="BG12" s="68">
        <f t="shared" ca="1" si="1"/>
        <v>45556</v>
      </c>
      <c r="BH12" s="17" t="str">
        <f t="shared" ca="1" si="2"/>
        <v>FICHA EN TIEMPO-18 MESES</v>
      </c>
      <c r="BI12" s="38" t="str">
        <f ca="1">IFERROR(__xludf.DUMMYFUNCTION("IFERROR(VLOOKUP(F26,IMPORTRANGE(""https://docs.google.com/spreadsheets/d/1Kvs4KS76FHFqLFIZfrDMff4kP08nblUkihrxltoGBjg/edit#gid=934712705"",""ESENCIAL!A6:BG""),2,FALSE))"),"En ejecucion")</f>
        <v>En ejecucion</v>
      </c>
      <c r="BJ12" s="19" t="str">
        <f t="shared" si="3"/>
        <v>Yamboro</v>
      </c>
      <c r="BK12" s="292"/>
      <c r="BL12" s="38"/>
    </row>
    <row r="13" spans="1:64" ht="18" customHeight="1">
      <c r="A13" s="289"/>
      <c r="B13" s="145" t="s">
        <v>25</v>
      </c>
      <c r="C13" s="25" t="s">
        <v>1679</v>
      </c>
      <c r="D13" s="57" t="s">
        <v>27</v>
      </c>
      <c r="E13" s="57">
        <v>1004719962</v>
      </c>
      <c r="F13" s="25">
        <v>2469966</v>
      </c>
      <c r="G13" s="11" t="str">
        <f ca="1">IFERROR(__xludf.DUMMYFUNCTION("IFERROR(VLOOKUP(F27,IMPORTRANGE(""https://docs.google.com/spreadsheets/d/1Kvs4KS76FHFqLFIZfrDMff4kP08nblUkihrxltoGBjg/edit#gid=934712705"",""ESENCIAL!A6:BG""),3,FALSE))"),"TÉCNICO")</f>
        <v>TÉCNICO</v>
      </c>
      <c r="H13" s="11" t="str">
        <f ca="1">IFERROR(__xludf.DUMMYFUNCTION("IFERROR(VLOOKUP(F27,IMPORTRANGE(""https://docs.google.com/spreadsheets/d/1Kvs4KS76FHFqLFIZfrDMff4kP08nblUkihrxltoGBjg/edit#gid=934712705"",""ESENCIAL!A6:BG""),8,FALSE))"),"EJECUCION DE PROGRAMAS DEPORTIVOS")</f>
        <v>EJECUCION DE PROGRAMAS DEPORTIVOS</v>
      </c>
      <c r="I13" s="25"/>
      <c r="J13" s="34"/>
      <c r="K13" s="34"/>
      <c r="L13" s="329" t="s">
        <v>44</v>
      </c>
      <c r="M13" s="34"/>
      <c r="N13" s="34"/>
      <c r="O13" s="34"/>
      <c r="P13" s="34"/>
      <c r="Q13" s="34"/>
      <c r="R13" s="35"/>
      <c r="S13" s="35"/>
      <c r="T13" s="34"/>
      <c r="U13" s="36"/>
      <c r="V13" s="30"/>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19" t="str">
        <f t="shared" ca="1" si="0"/>
        <v>NO_CUMPLE</v>
      </c>
      <c r="AV13" s="11" t="str">
        <f ca="1">IFERROR(__xludf.DUMMYFUNCTION("IFERROR(VLOOKUP(E27&amp;F27,IMPORTRANGE(""https://docs.google.com/spreadsheets/d/1Uw7-A9f9R21vMXxHZFNpYNeKFtG8_yji4HS352LGlSQ/edit?pli=1#gid=0"",""1_ACUM!A4:S""),11,FALSE))"),"EN FORMACION")</f>
        <v>EN FORMACION</v>
      </c>
      <c r="AW13" s="20" t="str">
        <f ca="1">IFERROR(__xludf.DUMMYFUNCTION("IFERROR(VLOOKUP(F27,IMPORTRANGE(""https://docs.google.com/spreadsheets/d/1Kvs4KS76FHFqLFIZfrDMff4kP08nblUkihrxltoGBjg/edit#gid=934712705"",""ESENCIAL!A6:BG""),15,FALSE))"),"TURISMO")</f>
        <v>TURISMO</v>
      </c>
      <c r="AX13" s="21">
        <f ca="1">IFERROR(__xludf.DUMMYFUNCTION("IFERROR(VLOOKUP(E27&amp;F27,IMPORTRANGE(""https://docs.google.com/spreadsheets/d/1Uw7-A9f9R21vMXxHZFNpYNeKFtG8_yji4HS352LGlSQ/edit?pli=1#gid=0"",""1_ACUM!A4:S""),12,FALSE))"),44839)</f>
        <v>44839</v>
      </c>
      <c r="AY13" s="22">
        <f ca="1">IFERROR(__xludf.DUMMYFUNCTION("IFERROR(VLOOKUP(E27&amp;F27,IMPORTRANGE(""https://docs.google.com/spreadsheets/d/1Uw7-A9f9R21vMXxHZFNpYNeKFtG8_yji4HS352LGlSQ/edit?pli=1#gid=0"",""1_ACUM!A4:S""),13,FALSE))"),14)</f>
        <v>14</v>
      </c>
      <c r="AZ13" s="22">
        <f ca="1">IFERROR(__xludf.DUMMYFUNCTION("IFERROR(VLOOKUP(E27&amp;F27,IMPORTRANGE(""https://docs.google.com/spreadsheets/d/1Uw7-A9f9R21vMXxHZFNpYNeKFtG8_yji4HS352LGlSQ/edit?pli=1#gid=0"",""1_ACUM!A4:S""),14,FALSE))"),1)</f>
        <v>1</v>
      </c>
      <c r="BA13" s="22">
        <f ca="1">IFERROR(__xludf.DUMMYFUNCTION("IFERROR(VLOOKUP(E27&amp;F27,IMPORTRANGE(""https://docs.google.com/spreadsheets/d/1Uw7-A9f9R21vMXxHZFNpYNeKFtG8_yji4HS352LGlSQ/edit?pli=1#gid=0"",""1_ACUM!A4:S""),15,FALSE))"),7)</f>
        <v>7</v>
      </c>
      <c r="BB13" s="22">
        <f ca="1">IFERROR(__xludf.DUMMYFUNCTION("IFERROR(VLOOKUP(E27&amp;F27,IMPORTRANGE(""https://docs.google.com/spreadsheets/d/1Uw7-A9f9R21vMXxHZFNpYNeKFtG8_yji4HS352LGlSQ/edit?pli=1#gid=0"",""1_ACUM!A4:S""),16,FALSE))"),20)</f>
        <v>20</v>
      </c>
      <c r="BC13" s="22">
        <f ca="1">IFERROR(__xludf.DUMMYFUNCTION("IFERROR(VLOOKUP(E27&amp;F27,IMPORTRANGE(""https://docs.google.com/spreadsheets/d/1Uw7-A9f9R21vMXxHZFNpYNeKFtG8_yji4HS352LGlSQ/edit?pli=1#gid=0"",""1_ACUM!A4:S""),17,FALSE))"),42)</f>
        <v>42</v>
      </c>
      <c r="BD13" s="23">
        <f ca="1">IFERROR(__xludf.DUMMYFUNCTION("IFERROR(VLOOKUP(E27&amp;F27,IMPORTRANGE(""https://docs.google.com/spreadsheets/d/1Uw7-A9f9R21vMXxHZFNpYNeKFtG8_yji4HS352LGlSQ/edit?pli=1#gid=0"",""1_ACUM!A4:S""),18,FALSE))"),44552)</f>
        <v>44552</v>
      </c>
      <c r="BE13" s="23">
        <f ca="1">IFERROR(__xludf.DUMMYFUNCTION("IFERROR(VLOOKUP(E27&amp;F27,IMPORTRANGE(""https://docs.google.com/spreadsheets/d/1Uw7-A9f9R21vMXxHZFNpYNeKFtG8_yji4HS352LGlSQ/edit?pli=1#gid=0"",""1_ACUM!A4:S""),19,FALSE))"),44825)</f>
        <v>44825</v>
      </c>
      <c r="BF13" s="68">
        <f ca="1">IFERROR(__xludf.DUMMYFUNCTION("IFERROR(VLOOKUP(F27,IMPORTRANGE(""https://docs.google.com/spreadsheets/d/1Kvs4KS76FHFqLFIZfrDMff4kP08nblUkihrxltoGBjg/edit#gid=934712705"",""ESENCIAL!A6:BG""),5,FALSE))"),45006)</f>
        <v>45006</v>
      </c>
      <c r="BG13" s="68">
        <f t="shared" ca="1" si="1"/>
        <v>45556</v>
      </c>
      <c r="BH13" s="17" t="str">
        <f t="shared" ca="1" si="2"/>
        <v>FICHA EN TIEMPO-18 MESES</v>
      </c>
      <c r="BI13" s="38" t="str">
        <f ca="1">IFERROR(__xludf.DUMMYFUNCTION("IFERROR(VLOOKUP(F27,IMPORTRANGE(""https://docs.google.com/spreadsheets/d/1Kvs4KS76FHFqLFIZfrDMff4kP08nblUkihrxltoGBjg/edit#gid=934712705"",""ESENCIAL!A6:BG""),2,FALSE))"),"En ejecucion")</f>
        <v>En ejecucion</v>
      </c>
      <c r="BJ13" s="19" t="str">
        <f t="shared" si="3"/>
        <v>Yamboro</v>
      </c>
      <c r="BK13" s="292"/>
      <c r="BL13" s="38"/>
    </row>
    <row r="14" spans="1:64" ht="18" customHeight="1">
      <c r="A14" s="289"/>
      <c r="B14" s="145" t="s">
        <v>25</v>
      </c>
      <c r="C14" s="25" t="s">
        <v>1680</v>
      </c>
      <c r="D14" s="57" t="s">
        <v>27</v>
      </c>
      <c r="E14" s="57">
        <v>1004720037</v>
      </c>
      <c r="F14" s="25">
        <v>2469966</v>
      </c>
      <c r="G14" s="11" t="str">
        <f ca="1">IFERROR(__xludf.DUMMYFUNCTION("IFERROR(VLOOKUP(F28,IMPORTRANGE(""https://docs.google.com/spreadsheets/d/1Kvs4KS76FHFqLFIZfrDMff4kP08nblUkihrxltoGBjg/edit#gid=934712705"",""ESENCIAL!A6:BG""),3,FALSE))"),"TÉCNICO")</f>
        <v>TÉCNICO</v>
      </c>
      <c r="H14" s="11" t="str">
        <f ca="1">IFERROR(__xludf.DUMMYFUNCTION("IFERROR(VLOOKUP(F28,IMPORTRANGE(""https://docs.google.com/spreadsheets/d/1Kvs4KS76FHFqLFIZfrDMff4kP08nblUkihrxltoGBjg/edit#gid=934712705"",""ESENCIAL!A6:BG""),8,FALSE))"),"EJECUCION DE PROGRAMAS DEPORTIVOS")</f>
        <v>EJECUCION DE PROGRAMAS DEPORTIVOS</v>
      </c>
      <c r="I14" s="25"/>
      <c r="J14" s="34"/>
      <c r="K14" s="34"/>
      <c r="L14" s="329" t="s">
        <v>44</v>
      </c>
      <c r="M14" s="34"/>
      <c r="N14" s="34"/>
      <c r="O14" s="34"/>
      <c r="P14" s="34"/>
      <c r="Q14" s="34"/>
      <c r="R14" s="35"/>
      <c r="S14" s="35"/>
      <c r="T14" s="34"/>
      <c r="U14" s="36"/>
      <c r="V14" s="30"/>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19" t="str">
        <f t="shared" ca="1" si="0"/>
        <v>NO_CUMPLE</v>
      </c>
      <c r="AV14" s="11" t="str">
        <f ca="1">IFERROR(__xludf.DUMMYFUNCTION("IFERROR(VLOOKUP(E28&amp;F28,IMPORTRANGE(""https://docs.google.com/spreadsheets/d/1Uw7-A9f9R21vMXxHZFNpYNeKFtG8_yji4HS352LGlSQ/edit?pli=1#gid=0"",""1_ACUM!A4:S""),11,FALSE))"),"EN FORMACION")</f>
        <v>EN FORMACION</v>
      </c>
      <c r="AW14" s="20" t="str">
        <f ca="1">IFERROR(__xludf.DUMMYFUNCTION("IFERROR(VLOOKUP(F28,IMPORTRANGE(""https://docs.google.com/spreadsheets/d/1Kvs4KS76FHFqLFIZfrDMff4kP08nblUkihrxltoGBjg/edit#gid=934712705"",""ESENCIAL!A6:BG""),15,FALSE))"),"TURISMO")</f>
        <v>TURISMO</v>
      </c>
      <c r="AX14" s="21">
        <f ca="1">IFERROR(__xludf.DUMMYFUNCTION("IFERROR(VLOOKUP(E28&amp;F28,IMPORTRANGE(""https://docs.google.com/spreadsheets/d/1Uw7-A9f9R21vMXxHZFNpYNeKFtG8_yji4HS352LGlSQ/edit?pli=1#gid=0"",""1_ACUM!A4:S""),12,FALSE))"),44839)</f>
        <v>44839</v>
      </c>
      <c r="AY14" s="22">
        <f ca="1">IFERROR(__xludf.DUMMYFUNCTION("IFERROR(VLOOKUP(E28&amp;F28,IMPORTRANGE(""https://docs.google.com/spreadsheets/d/1Uw7-A9f9R21vMXxHZFNpYNeKFtG8_yji4HS352LGlSQ/edit?pli=1#gid=0"",""1_ACUM!A4:S""),13,FALSE))"),4)</f>
        <v>4</v>
      </c>
      <c r="AZ14" s="22">
        <f ca="1">IFERROR(__xludf.DUMMYFUNCTION("IFERROR(VLOOKUP(E28&amp;F28,IMPORTRANGE(""https://docs.google.com/spreadsheets/d/1Uw7-A9f9R21vMXxHZFNpYNeKFtG8_yji4HS352LGlSQ/edit?pli=1#gid=0"",""1_ACUM!A4:S""),14,FALSE))"),1)</f>
        <v>1</v>
      </c>
      <c r="BA14" s="22">
        <f ca="1">IFERROR(__xludf.DUMMYFUNCTION("IFERROR(VLOOKUP(E28&amp;F28,IMPORTRANGE(""https://docs.google.com/spreadsheets/d/1Uw7-A9f9R21vMXxHZFNpYNeKFtG8_yji4HS352LGlSQ/edit?pli=1#gid=0"",""1_ACUM!A4:S""),15,FALSE))"),4)</f>
        <v>4</v>
      </c>
      <c r="BB14" s="22">
        <f ca="1">IFERROR(__xludf.DUMMYFUNCTION("IFERROR(VLOOKUP(E28&amp;F28,IMPORTRANGE(""https://docs.google.com/spreadsheets/d/1Uw7-A9f9R21vMXxHZFNpYNeKFtG8_yji4HS352LGlSQ/edit?pli=1#gid=0"",""1_ACUM!A4:S""),16,FALSE))"),6)</f>
        <v>6</v>
      </c>
      <c r="BC14" s="22">
        <f ca="1">IFERROR(__xludf.DUMMYFUNCTION("IFERROR(VLOOKUP(E28&amp;F28,IMPORTRANGE(""https://docs.google.com/spreadsheets/d/1Uw7-A9f9R21vMXxHZFNpYNeKFtG8_yji4HS352LGlSQ/edit?pli=1#gid=0"",""1_ACUM!A4:S""),17,FALSE))"),15)</f>
        <v>15</v>
      </c>
      <c r="BD14" s="23">
        <f ca="1">IFERROR(__xludf.DUMMYFUNCTION("IFERROR(VLOOKUP(E28&amp;F28,IMPORTRANGE(""https://docs.google.com/spreadsheets/d/1Uw7-A9f9R21vMXxHZFNpYNeKFtG8_yji4HS352LGlSQ/edit?pli=1#gid=0"",""1_ACUM!A4:S""),18,FALSE))"),44552)</f>
        <v>44552</v>
      </c>
      <c r="BE14" s="23">
        <f ca="1">IFERROR(__xludf.DUMMYFUNCTION("IFERROR(VLOOKUP(E28&amp;F28,IMPORTRANGE(""https://docs.google.com/spreadsheets/d/1Uw7-A9f9R21vMXxHZFNpYNeKFtG8_yji4HS352LGlSQ/edit?pli=1#gid=0"",""1_ACUM!A4:S""),19,FALSE))"),44825)</f>
        <v>44825</v>
      </c>
      <c r="BF14" s="68">
        <f ca="1">IFERROR(__xludf.DUMMYFUNCTION("IFERROR(VLOOKUP(F28,IMPORTRANGE(""https://docs.google.com/spreadsheets/d/1Kvs4KS76FHFqLFIZfrDMff4kP08nblUkihrxltoGBjg/edit#gid=934712705"",""ESENCIAL!A6:BG""),5,FALSE))"),45006)</f>
        <v>45006</v>
      </c>
      <c r="BG14" s="68">
        <f t="shared" ca="1" si="1"/>
        <v>45556</v>
      </c>
      <c r="BH14" s="17" t="str">
        <f t="shared" ca="1" si="2"/>
        <v>FICHA EN TIEMPO-18 MESES</v>
      </c>
      <c r="BI14" s="38" t="str">
        <f ca="1">IFERROR(__xludf.DUMMYFUNCTION("IFERROR(VLOOKUP(F28,IMPORTRANGE(""https://docs.google.com/spreadsheets/d/1Kvs4KS76FHFqLFIZfrDMff4kP08nblUkihrxltoGBjg/edit#gid=934712705"",""ESENCIAL!A6:BG""),2,FALSE))"),"En ejecucion")</f>
        <v>En ejecucion</v>
      </c>
      <c r="BJ14" s="19" t="str">
        <f t="shared" si="3"/>
        <v>Yamboro</v>
      </c>
      <c r="BK14" s="292"/>
      <c r="BL14" s="38"/>
    </row>
    <row r="15" spans="1:64" ht="18" customHeight="1">
      <c r="A15" s="289"/>
      <c r="B15" s="145" t="s">
        <v>25</v>
      </c>
      <c r="C15" s="25" t="s">
        <v>1681</v>
      </c>
      <c r="D15" s="57" t="s">
        <v>27</v>
      </c>
      <c r="E15" s="57">
        <v>1007353960</v>
      </c>
      <c r="F15" s="25">
        <v>2469966</v>
      </c>
      <c r="G15" s="11" t="str">
        <f ca="1">IFERROR(__xludf.DUMMYFUNCTION("IFERROR(VLOOKUP(F29,IMPORTRANGE(""https://docs.google.com/spreadsheets/d/1Kvs4KS76FHFqLFIZfrDMff4kP08nblUkihrxltoGBjg/edit#gid=934712705"",""ESENCIAL!A6:BG""),3,FALSE))"),"TÉCNICO")</f>
        <v>TÉCNICO</v>
      </c>
      <c r="H15" s="11" t="str">
        <f ca="1">IFERROR(__xludf.DUMMYFUNCTION("IFERROR(VLOOKUP(F29,IMPORTRANGE(""https://docs.google.com/spreadsheets/d/1Kvs4KS76FHFqLFIZfrDMff4kP08nblUkihrxltoGBjg/edit#gid=934712705"",""ESENCIAL!A6:BG""),8,FALSE))"),"EJECUCION DE PROGRAMAS DEPORTIVOS")</f>
        <v>EJECUCION DE PROGRAMAS DEPORTIVOS</v>
      </c>
      <c r="I15" s="25"/>
      <c r="J15" s="34"/>
      <c r="K15" s="34"/>
      <c r="L15" s="34" t="s">
        <v>37</v>
      </c>
      <c r="M15" s="34" t="s">
        <v>1682</v>
      </c>
      <c r="N15" s="34" t="s">
        <v>937</v>
      </c>
      <c r="O15" s="34">
        <v>88317006</v>
      </c>
      <c r="P15" s="34" t="s">
        <v>937</v>
      </c>
      <c r="Q15" s="34" t="s">
        <v>1683</v>
      </c>
      <c r="R15" s="35">
        <v>44839</v>
      </c>
      <c r="S15" s="35">
        <v>45020</v>
      </c>
      <c r="T15" s="34"/>
      <c r="U15" s="36" t="s">
        <v>1657</v>
      </c>
      <c r="V15" s="30"/>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19" t="str">
        <f t="shared" ca="1" si="0"/>
        <v>Procede_E_P</v>
      </c>
      <c r="AV15" s="11" t="str">
        <f ca="1">IFERROR(__xludf.DUMMYFUNCTION("IFERROR(VLOOKUP(E29&amp;F29,IMPORTRANGE(""https://docs.google.com/spreadsheets/d/1Uw7-A9f9R21vMXxHZFNpYNeKFtG8_yji4HS352LGlSQ/edit?pli=1#gid=0"",""1_ACUM!A4:S""),11,FALSE))"),"EN FORMACION")</f>
        <v>EN FORMACION</v>
      </c>
      <c r="AW15" s="20" t="str">
        <f ca="1">IFERROR(__xludf.DUMMYFUNCTION("IFERROR(VLOOKUP(F29,IMPORTRANGE(""https://docs.google.com/spreadsheets/d/1Kvs4KS76FHFqLFIZfrDMff4kP08nblUkihrxltoGBjg/edit#gid=934712705"",""ESENCIAL!A6:BG""),15,FALSE))"),"TURISMO")</f>
        <v>TURISMO</v>
      </c>
      <c r="AX15" s="21">
        <f ca="1">IFERROR(__xludf.DUMMYFUNCTION("IFERROR(VLOOKUP(E29&amp;F29,IMPORTRANGE(""https://docs.google.com/spreadsheets/d/1Uw7-A9f9R21vMXxHZFNpYNeKFtG8_yji4HS352LGlSQ/edit?pli=1#gid=0"",""1_ACUM!A4:S""),12,FALSE))"),44839)</f>
        <v>44839</v>
      </c>
      <c r="AY15" s="22">
        <f ca="1">IFERROR(__xludf.DUMMYFUNCTION("IFERROR(VLOOKUP(E29&amp;F29,IMPORTRANGE(""https://docs.google.com/spreadsheets/d/1Uw7-A9f9R21vMXxHZFNpYNeKFtG8_yji4HS352LGlSQ/edit?pli=1#gid=0"",""1_ACUM!A4:S""),13,FALSE))"),0)</f>
        <v>0</v>
      </c>
      <c r="AZ15" s="22">
        <f ca="1">IFERROR(__xludf.DUMMYFUNCTION("IFERROR(VLOOKUP(E29&amp;F29,IMPORTRANGE(""https://docs.google.com/spreadsheets/d/1Uw7-A9f9R21vMXxHZFNpYNeKFtG8_yji4HS352LGlSQ/edit?pli=1#gid=0"",""1_ACUM!A4:S""),14,FALSE))"),1)</f>
        <v>1</v>
      </c>
      <c r="BA15" s="22">
        <f ca="1">IFERROR(__xludf.DUMMYFUNCTION("IFERROR(VLOOKUP(E29&amp;F29,IMPORTRANGE(""https://docs.google.com/spreadsheets/d/1Uw7-A9f9R21vMXxHZFNpYNeKFtG8_yji4HS352LGlSQ/edit?pli=1#gid=0"",""1_ACUM!A4:S""),15,FALSE))"),0)</f>
        <v>0</v>
      </c>
      <c r="BB15" s="22">
        <f ca="1">IFERROR(__xludf.DUMMYFUNCTION("IFERROR(VLOOKUP(E29&amp;F29,IMPORTRANGE(""https://docs.google.com/spreadsheets/d/1Uw7-A9f9R21vMXxHZFNpYNeKFtG8_yji4HS352LGlSQ/edit?pli=1#gid=0"",""1_ACUM!A4:S""),16,FALSE))"),0)</f>
        <v>0</v>
      </c>
      <c r="BC15" s="22">
        <f ca="1">IFERROR(__xludf.DUMMYFUNCTION("IFERROR(VLOOKUP(E29&amp;F29,IMPORTRANGE(""https://docs.google.com/spreadsheets/d/1Uw7-A9f9R21vMXxHZFNpYNeKFtG8_yji4HS352LGlSQ/edit?pli=1#gid=0"",""1_ACUM!A4:S""),17,FALSE))"),1)</f>
        <v>1</v>
      </c>
      <c r="BD15" s="23">
        <f ca="1">IFERROR(__xludf.DUMMYFUNCTION("IFERROR(VLOOKUP(E29&amp;F29,IMPORTRANGE(""https://docs.google.com/spreadsheets/d/1Uw7-A9f9R21vMXxHZFNpYNeKFtG8_yji4HS352LGlSQ/edit?pli=1#gid=0"",""1_ACUM!A4:S""),18,FALSE))"),44552)</f>
        <v>44552</v>
      </c>
      <c r="BE15" s="23">
        <f ca="1">IFERROR(__xludf.DUMMYFUNCTION("IFERROR(VLOOKUP(E29&amp;F29,IMPORTRANGE(""https://docs.google.com/spreadsheets/d/1Uw7-A9f9R21vMXxHZFNpYNeKFtG8_yji4HS352LGlSQ/edit?pli=1#gid=0"",""1_ACUM!A4:S""),19,FALSE))"),44825)</f>
        <v>44825</v>
      </c>
      <c r="BF15" s="68">
        <f ca="1">IFERROR(__xludf.DUMMYFUNCTION("IFERROR(VLOOKUP(F29,IMPORTRANGE(""https://docs.google.com/spreadsheets/d/1Kvs4KS76FHFqLFIZfrDMff4kP08nblUkihrxltoGBjg/edit#gid=934712705"",""ESENCIAL!A6:BG""),5,FALSE))"),45006)</f>
        <v>45006</v>
      </c>
      <c r="BG15" s="68">
        <f t="shared" ca="1" si="1"/>
        <v>45556</v>
      </c>
      <c r="BH15" s="17" t="str">
        <f t="shared" ca="1" si="2"/>
        <v>FICHA EN TIEMPO-18 MESES</v>
      </c>
      <c r="BI15" s="38" t="str">
        <f ca="1">IFERROR(__xludf.DUMMYFUNCTION("IFERROR(VLOOKUP(F29,IMPORTRANGE(""https://docs.google.com/spreadsheets/d/1Kvs4KS76FHFqLFIZfrDMff4kP08nblUkihrxltoGBjg/edit#gid=934712705"",""ESENCIAL!A6:BG""),2,FALSE))"),"En ejecucion")</f>
        <v>En ejecucion</v>
      </c>
      <c r="BJ15" s="19" t="str">
        <f t="shared" si="3"/>
        <v>Yamboro</v>
      </c>
      <c r="BK15" s="292"/>
      <c r="BL15" s="38"/>
    </row>
    <row r="16" spans="1:64" ht="18" customHeight="1">
      <c r="A16" s="289"/>
      <c r="B16" s="145" t="s">
        <v>25</v>
      </c>
      <c r="C16" s="25" t="s">
        <v>1684</v>
      </c>
      <c r="D16" s="57" t="s">
        <v>27</v>
      </c>
      <c r="E16" s="57">
        <v>1007389965</v>
      </c>
      <c r="F16" s="25">
        <v>2469966</v>
      </c>
      <c r="G16" s="11" t="str">
        <f ca="1">IFERROR(__xludf.DUMMYFUNCTION("IFERROR(VLOOKUP(F30,IMPORTRANGE(""https://docs.google.com/spreadsheets/d/1Kvs4KS76FHFqLFIZfrDMff4kP08nblUkihrxltoGBjg/edit#gid=934712705"",""ESENCIAL!A6:BG""),3,FALSE))"),"TÉCNICO")</f>
        <v>TÉCNICO</v>
      </c>
      <c r="H16" s="11" t="str">
        <f ca="1">IFERROR(__xludf.DUMMYFUNCTION("IFERROR(VLOOKUP(F30,IMPORTRANGE(""https://docs.google.com/spreadsheets/d/1Kvs4KS76FHFqLFIZfrDMff4kP08nblUkihrxltoGBjg/edit#gid=934712705"",""ESENCIAL!A6:BG""),8,FALSE))"),"EJECUCION DE PROGRAMAS DEPORTIVOS")</f>
        <v>EJECUCION DE PROGRAMAS DEPORTIVOS</v>
      </c>
      <c r="I16" s="25"/>
      <c r="J16" s="34"/>
      <c r="K16" s="34"/>
      <c r="L16" s="329" t="s">
        <v>44</v>
      </c>
      <c r="M16" s="34"/>
      <c r="N16" s="34"/>
      <c r="O16" s="34"/>
      <c r="P16" s="34"/>
      <c r="Q16" s="34"/>
      <c r="R16" s="35"/>
      <c r="S16" s="35"/>
      <c r="T16" s="34"/>
      <c r="U16" s="36"/>
      <c r="V16" s="30"/>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19" t="str">
        <f t="shared" ca="1" si="0"/>
        <v>NO_CUMPLE</v>
      </c>
      <c r="AV16" s="11" t="str">
        <f ca="1">IFERROR(__xludf.DUMMYFUNCTION("IFERROR(VLOOKUP(E30&amp;F30,IMPORTRANGE(""https://docs.google.com/spreadsheets/d/1Uw7-A9f9R21vMXxHZFNpYNeKFtG8_yji4HS352LGlSQ/edit?pli=1#gid=0"",""1_ACUM!A4:S""),11,FALSE))"),"EN FORMACION")</f>
        <v>EN FORMACION</v>
      </c>
      <c r="AW16" s="20" t="str">
        <f ca="1">IFERROR(__xludf.DUMMYFUNCTION("IFERROR(VLOOKUP(F30,IMPORTRANGE(""https://docs.google.com/spreadsheets/d/1Kvs4KS76FHFqLFIZfrDMff4kP08nblUkihrxltoGBjg/edit#gid=934712705"",""ESENCIAL!A6:BG""),15,FALSE))"),"TURISMO")</f>
        <v>TURISMO</v>
      </c>
      <c r="AX16" s="21">
        <f ca="1">IFERROR(__xludf.DUMMYFUNCTION("IFERROR(VLOOKUP(E30&amp;F30,IMPORTRANGE(""https://docs.google.com/spreadsheets/d/1Uw7-A9f9R21vMXxHZFNpYNeKFtG8_yji4HS352LGlSQ/edit?pli=1#gid=0"",""1_ACUM!A4:S""),12,FALSE))"),44839)</f>
        <v>44839</v>
      </c>
      <c r="AY16" s="22">
        <f ca="1">IFERROR(__xludf.DUMMYFUNCTION("IFERROR(VLOOKUP(E30&amp;F30,IMPORTRANGE(""https://docs.google.com/spreadsheets/d/1Uw7-A9f9R21vMXxHZFNpYNeKFtG8_yji4HS352LGlSQ/edit?pli=1#gid=0"",""1_ACUM!A4:S""),13,FALSE))"),6)</f>
        <v>6</v>
      </c>
      <c r="AZ16" s="22">
        <f ca="1">IFERROR(__xludf.DUMMYFUNCTION("IFERROR(VLOOKUP(E30&amp;F30,IMPORTRANGE(""https://docs.google.com/spreadsheets/d/1Uw7-A9f9R21vMXxHZFNpYNeKFtG8_yji4HS352LGlSQ/edit?pli=1#gid=0"",""1_ACUM!A4:S""),14,FALSE))"),1)</f>
        <v>1</v>
      </c>
      <c r="BA16" s="22">
        <f ca="1">IFERROR(__xludf.DUMMYFUNCTION("IFERROR(VLOOKUP(E30&amp;F30,IMPORTRANGE(""https://docs.google.com/spreadsheets/d/1Uw7-A9f9R21vMXxHZFNpYNeKFtG8_yji4HS352LGlSQ/edit?pli=1#gid=0"",""1_ACUM!A4:S""),15,FALSE))"),7)</f>
        <v>7</v>
      </c>
      <c r="BB16" s="22">
        <f ca="1">IFERROR(__xludf.DUMMYFUNCTION("IFERROR(VLOOKUP(E30&amp;F30,IMPORTRANGE(""https://docs.google.com/spreadsheets/d/1Uw7-A9f9R21vMXxHZFNpYNeKFtG8_yji4HS352LGlSQ/edit?pli=1#gid=0"",""1_ACUM!A4:S""),16,FALSE))"),15)</f>
        <v>15</v>
      </c>
      <c r="BC16" s="22">
        <f ca="1">IFERROR(__xludf.DUMMYFUNCTION("IFERROR(VLOOKUP(E30&amp;F30,IMPORTRANGE(""https://docs.google.com/spreadsheets/d/1Uw7-A9f9R21vMXxHZFNpYNeKFtG8_yji4HS352LGlSQ/edit?pli=1#gid=0"",""1_ACUM!A4:S""),17,FALSE))"),29)</f>
        <v>29</v>
      </c>
      <c r="BD16" s="23">
        <f ca="1">IFERROR(__xludf.DUMMYFUNCTION("IFERROR(VLOOKUP(E30&amp;F30,IMPORTRANGE(""https://docs.google.com/spreadsheets/d/1Uw7-A9f9R21vMXxHZFNpYNeKFtG8_yji4HS352LGlSQ/edit?pli=1#gid=0"",""1_ACUM!A4:S""),18,FALSE))"),44552)</f>
        <v>44552</v>
      </c>
      <c r="BE16" s="23">
        <f ca="1">IFERROR(__xludf.DUMMYFUNCTION("IFERROR(VLOOKUP(E30&amp;F30,IMPORTRANGE(""https://docs.google.com/spreadsheets/d/1Uw7-A9f9R21vMXxHZFNpYNeKFtG8_yji4HS352LGlSQ/edit?pli=1#gid=0"",""1_ACUM!A4:S""),19,FALSE))"),44825)</f>
        <v>44825</v>
      </c>
      <c r="BF16" s="68">
        <f ca="1">IFERROR(__xludf.DUMMYFUNCTION("IFERROR(VLOOKUP(F30,IMPORTRANGE(""https://docs.google.com/spreadsheets/d/1Kvs4KS76FHFqLFIZfrDMff4kP08nblUkihrxltoGBjg/edit#gid=934712705"",""ESENCIAL!A6:BG""),5,FALSE))"),45006)</f>
        <v>45006</v>
      </c>
      <c r="BG16" s="68">
        <f t="shared" ca="1" si="1"/>
        <v>45556</v>
      </c>
      <c r="BH16" s="17" t="str">
        <f t="shared" ca="1" si="2"/>
        <v>FICHA EN TIEMPO-18 MESES</v>
      </c>
      <c r="BI16" s="38" t="str">
        <f ca="1">IFERROR(__xludf.DUMMYFUNCTION("IFERROR(VLOOKUP(F30,IMPORTRANGE(""https://docs.google.com/spreadsheets/d/1Kvs4KS76FHFqLFIZfrDMff4kP08nblUkihrxltoGBjg/edit#gid=934712705"",""ESENCIAL!A6:BG""),2,FALSE))"),"En ejecucion")</f>
        <v>En ejecucion</v>
      </c>
      <c r="BJ16" s="19" t="str">
        <f t="shared" si="3"/>
        <v>Yamboro</v>
      </c>
      <c r="BK16" s="292"/>
      <c r="BL16" s="38"/>
    </row>
    <row r="17" spans="1:64" ht="18" customHeight="1">
      <c r="A17" s="289"/>
      <c r="B17" s="145" t="s">
        <v>25</v>
      </c>
      <c r="C17" s="25" t="s">
        <v>1685</v>
      </c>
      <c r="D17" s="57" t="s">
        <v>27</v>
      </c>
      <c r="E17" s="56">
        <v>1007531396</v>
      </c>
      <c r="F17" s="25">
        <v>2469966</v>
      </c>
      <c r="G17" s="11" t="str">
        <f ca="1">IFERROR(__xludf.DUMMYFUNCTION("IFERROR(VLOOKUP(F31,IMPORTRANGE(""https://docs.google.com/spreadsheets/d/1Kvs4KS76FHFqLFIZfrDMff4kP08nblUkihrxltoGBjg/edit#gid=934712705"",""ESENCIAL!A6:BG""),3,FALSE))"),"TÉCNICO")</f>
        <v>TÉCNICO</v>
      </c>
      <c r="H17" s="11" t="str">
        <f ca="1">IFERROR(__xludf.DUMMYFUNCTION("IFERROR(VLOOKUP(F31,IMPORTRANGE(""https://docs.google.com/spreadsheets/d/1Kvs4KS76FHFqLFIZfrDMff4kP08nblUkihrxltoGBjg/edit#gid=934712705"",""ESENCIAL!A6:BG""),8,FALSE))"),"EJECUCION DE PROGRAMAS DEPORTIVOS")</f>
        <v>EJECUCION DE PROGRAMAS DEPORTIVOS</v>
      </c>
      <c r="I17" s="25"/>
      <c r="J17" s="34"/>
      <c r="K17" s="34"/>
      <c r="L17" s="34" t="s">
        <v>37</v>
      </c>
      <c r="M17" s="34" t="s">
        <v>1682</v>
      </c>
      <c r="N17" s="34" t="s">
        <v>937</v>
      </c>
      <c r="O17" s="34">
        <v>88317006</v>
      </c>
      <c r="P17" s="34" t="s">
        <v>937</v>
      </c>
      <c r="Q17" s="34" t="s">
        <v>1683</v>
      </c>
      <c r="R17" s="35">
        <v>44838</v>
      </c>
      <c r="S17" s="35">
        <v>45021</v>
      </c>
      <c r="T17" s="34"/>
      <c r="U17" s="36" t="s">
        <v>1657</v>
      </c>
      <c r="V17" s="30" t="s">
        <v>1686</v>
      </c>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19" t="str">
        <f t="shared" ca="1" si="0"/>
        <v>Procede_E_P</v>
      </c>
      <c r="AV17" s="11" t="str">
        <f ca="1">IFERROR(__xludf.DUMMYFUNCTION("IFERROR(VLOOKUP(E31&amp;F31,IMPORTRANGE(""https://docs.google.com/spreadsheets/d/1Uw7-A9f9R21vMXxHZFNpYNeKFtG8_yji4HS352LGlSQ/edit?pli=1#gid=0"",""1_ACUM!A4:S""),11,FALSE))"),"EN FORMACION")</f>
        <v>EN FORMACION</v>
      </c>
      <c r="AW17" s="20" t="str">
        <f ca="1">IFERROR(__xludf.DUMMYFUNCTION("IFERROR(VLOOKUP(F31,IMPORTRANGE(""https://docs.google.com/spreadsheets/d/1Kvs4KS76FHFqLFIZfrDMff4kP08nblUkihrxltoGBjg/edit#gid=934712705"",""ESENCIAL!A6:BG""),15,FALSE))"),"TURISMO")</f>
        <v>TURISMO</v>
      </c>
      <c r="AX17" s="21">
        <f ca="1">IFERROR(__xludf.DUMMYFUNCTION("IFERROR(VLOOKUP(E31&amp;F31,IMPORTRANGE(""https://docs.google.com/spreadsheets/d/1Uw7-A9f9R21vMXxHZFNpYNeKFtG8_yji4HS352LGlSQ/edit?pli=1#gid=0"",""1_ACUM!A4:S""),12,FALSE))"),44839)</f>
        <v>44839</v>
      </c>
      <c r="AY17" s="22">
        <f ca="1">IFERROR(__xludf.DUMMYFUNCTION("IFERROR(VLOOKUP(E31&amp;F31,IMPORTRANGE(""https://docs.google.com/spreadsheets/d/1Uw7-A9f9R21vMXxHZFNpYNeKFtG8_yji4HS352LGlSQ/edit?pli=1#gid=0"",""1_ACUM!A4:S""),13,FALSE))"),0)</f>
        <v>0</v>
      </c>
      <c r="AZ17" s="22">
        <f ca="1">IFERROR(__xludf.DUMMYFUNCTION("IFERROR(VLOOKUP(E31&amp;F31,IMPORTRANGE(""https://docs.google.com/spreadsheets/d/1Uw7-A9f9R21vMXxHZFNpYNeKFtG8_yji4HS352LGlSQ/edit?pli=1#gid=0"",""1_ACUM!A4:S""),14,FALSE))"),1)</f>
        <v>1</v>
      </c>
      <c r="BA17" s="22">
        <f ca="1">IFERROR(__xludf.DUMMYFUNCTION("IFERROR(VLOOKUP(E31&amp;F31,IMPORTRANGE(""https://docs.google.com/spreadsheets/d/1Uw7-A9f9R21vMXxHZFNpYNeKFtG8_yji4HS352LGlSQ/edit?pli=1#gid=0"",""1_ACUM!A4:S""),15,FALSE))"),0)</f>
        <v>0</v>
      </c>
      <c r="BB17" s="22">
        <f ca="1">IFERROR(__xludf.DUMMYFUNCTION("IFERROR(VLOOKUP(E31&amp;F31,IMPORTRANGE(""https://docs.google.com/spreadsheets/d/1Uw7-A9f9R21vMXxHZFNpYNeKFtG8_yji4HS352LGlSQ/edit?pli=1#gid=0"",""1_ACUM!A4:S""),16,FALSE))"),0)</f>
        <v>0</v>
      </c>
      <c r="BC17" s="22">
        <f ca="1">IFERROR(__xludf.DUMMYFUNCTION("IFERROR(VLOOKUP(E31&amp;F31,IMPORTRANGE(""https://docs.google.com/spreadsheets/d/1Uw7-A9f9R21vMXxHZFNpYNeKFtG8_yji4HS352LGlSQ/edit?pli=1#gid=0"",""1_ACUM!A4:S""),17,FALSE))"),1)</f>
        <v>1</v>
      </c>
      <c r="BD17" s="23">
        <f ca="1">IFERROR(__xludf.DUMMYFUNCTION("IFERROR(VLOOKUP(E31&amp;F31,IMPORTRANGE(""https://docs.google.com/spreadsheets/d/1Uw7-A9f9R21vMXxHZFNpYNeKFtG8_yji4HS352LGlSQ/edit?pli=1#gid=0"",""1_ACUM!A4:S""),18,FALSE))"),44552)</f>
        <v>44552</v>
      </c>
      <c r="BE17" s="23">
        <f ca="1">IFERROR(__xludf.DUMMYFUNCTION("IFERROR(VLOOKUP(E31&amp;F31,IMPORTRANGE(""https://docs.google.com/spreadsheets/d/1Uw7-A9f9R21vMXxHZFNpYNeKFtG8_yji4HS352LGlSQ/edit?pli=1#gid=0"",""1_ACUM!A4:S""),19,FALSE))"),44825)</f>
        <v>44825</v>
      </c>
      <c r="BF17" s="68">
        <f ca="1">IFERROR(__xludf.DUMMYFUNCTION("IFERROR(VLOOKUP(F31,IMPORTRANGE(""https://docs.google.com/spreadsheets/d/1Kvs4KS76FHFqLFIZfrDMff4kP08nblUkihrxltoGBjg/edit#gid=934712705"",""ESENCIAL!A6:BG""),5,FALSE))"),45006)</f>
        <v>45006</v>
      </c>
      <c r="BG17" s="68">
        <f t="shared" ca="1" si="1"/>
        <v>45556</v>
      </c>
      <c r="BH17" s="17" t="str">
        <f t="shared" ca="1" si="2"/>
        <v>FICHA EN TIEMPO-18 MESES</v>
      </c>
      <c r="BI17" s="38" t="str">
        <f ca="1">IFERROR(__xludf.DUMMYFUNCTION("IFERROR(VLOOKUP(F31,IMPORTRANGE(""https://docs.google.com/spreadsheets/d/1Kvs4KS76FHFqLFIZfrDMff4kP08nblUkihrxltoGBjg/edit#gid=934712705"",""ESENCIAL!A6:BG""),2,FALSE))"),"En ejecucion")</f>
        <v>En ejecucion</v>
      </c>
      <c r="BJ17" s="19" t="str">
        <f t="shared" si="3"/>
        <v>Yamboro</v>
      </c>
      <c r="BK17" s="292"/>
      <c r="BL17" s="38"/>
    </row>
    <row r="18" spans="1:64" ht="18" customHeight="1">
      <c r="A18" s="289"/>
      <c r="B18" s="145" t="s">
        <v>25</v>
      </c>
      <c r="C18" s="25" t="s">
        <v>1687</v>
      </c>
      <c r="D18" s="57" t="s">
        <v>27</v>
      </c>
      <c r="E18" s="57">
        <v>1022425485</v>
      </c>
      <c r="F18" s="25">
        <v>2469966</v>
      </c>
      <c r="G18" s="11" t="str">
        <f ca="1">IFERROR(__xludf.DUMMYFUNCTION("IFERROR(VLOOKUP(F32,IMPORTRANGE(""https://docs.google.com/spreadsheets/d/1Kvs4KS76FHFqLFIZfrDMff4kP08nblUkihrxltoGBjg/edit#gid=934712705"",""ESENCIAL!A6:BG""),3,FALSE))"),"TÉCNICO")</f>
        <v>TÉCNICO</v>
      </c>
      <c r="H18" s="11" t="str">
        <f ca="1">IFERROR(__xludf.DUMMYFUNCTION("IFERROR(VLOOKUP(F32,IMPORTRANGE(""https://docs.google.com/spreadsheets/d/1Kvs4KS76FHFqLFIZfrDMff4kP08nblUkihrxltoGBjg/edit#gid=934712705"",""ESENCIAL!A6:BG""),8,FALSE))"),"EJECUCION DE PROGRAMAS DEPORTIVOS")</f>
        <v>EJECUCION DE PROGRAMAS DEPORTIVOS</v>
      </c>
      <c r="I18" s="25"/>
      <c r="J18" s="34"/>
      <c r="K18" s="34"/>
      <c r="L18" s="34" t="s">
        <v>161</v>
      </c>
      <c r="M18" s="34" t="s">
        <v>1682</v>
      </c>
      <c r="N18" s="34" t="s">
        <v>1688</v>
      </c>
      <c r="O18" s="34">
        <v>8317019</v>
      </c>
      <c r="P18" s="34" t="s">
        <v>937</v>
      </c>
      <c r="Q18" s="34" t="s">
        <v>1683</v>
      </c>
      <c r="R18" s="35">
        <v>44831</v>
      </c>
      <c r="S18" s="35">
        <v>45011</v>
      </c>
      <c r="T18" s="34"/>
      <c r="U18" s="36"/>
      <c r="V18" s="30"/>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19" t="str">
        <f t="shared" ca="1" si="0"/>
        <v>NO_CUMPLE</v>
      </c>
      <c r="AV18" s="11" t="str">
        <f ca="1">IFERROR(__xludf.DUMMYFUNCTION("IFERROR(VLOOKUP(E32&amp;F32,IMPORTRANGE(""https://docs.google.com/spreadsheets/d/1Uw7-A9f9R21vMXxHZFNpYNeKFtG8_yji4HS352LGlSQ/edit?pli=1#gid=0"",""1_ACUM!A4:S""),11,FALSE))"),"EN FORMACION")</f>
        <v>EN FORMACION</v>
      </c>
      <c r="AW18" s="20" t="str">
        <f ca="1">IFERROR(__xludf.DUMMYFUNCTION("IFERROR(VLOOKUP(F32,IMPORTRANGE(""https://docs.google.com/spreadsheets/d/1Kvs4KS76FHFqLFIZfrDMff4kP08nblUkihrxltoGBjg/edit#gid=934712705"",""ESENCIAL!A6:BG""),15,FALSE))"),"TURISMO")</f>
        <v>TURISMO</v>
      </c>
      <c r="AX18" s="21">
        <f ca="1">IFERROR(__xludf.DUMMYFUNCTION("IFERROR(VLOOKUP(E32&amp;F32,IMPORTRANGE(""https://docs.google.com/spreadsheets/d/1Uw7-A9f9R21vMXxHZFNpYNeKFtG8_yji4HS352LGlSQ/edit?pli=1#gid=0"",""1_ACUM!A4:S""),12,FALSE))"),44839)</f>
        <v>44839</v>
      </c>
      <c r="AY18" s="22">
        <f ca="1">IFERROR(__xludf.DUMMYFUNCTION("IFERROR(VLOOKUP(E32&amp;F32,IMPORTRANGE(""https://docs.google.com/spreadsheets/d/1Uw7-A9f9R21vMXxHZFNpYNeKFtG8_yji4HS352LGlSQ/edit?pli=1#gid=0"",""1_ACUM!A4:S""),13,FALSE))"),0)</f>
        <v>0</v>
      </c>
      <c r="AZ18" s="22">
        <f ca="1">IFERROR(__xludf.DUMMYFUNCTION("IFERROR(VLOOKUP(E32&amp;F32,IMPORTRANGE(""https://docs.google.com/spreadsheets/d/1Uw7-A9f9R21vMXxHZFNpYNeKFtG8_yji4HS352LGlSQ/edit?pli=1#gid=0"",""1_ACUM!A4:S""),14,FALSE))"),1)</f>
        <v>1</v>
      </c>
      <c r="BA18" s="22">
        <f ca="1">IFERROR(__xludf.DUMMYFUNCTION("IFERROR(VLOOKUP(E32&amp;F32,IMPORTRANGE(""https://docs.google.com/spreadsheets/d/1Uw7-A9f9R21vMXxHZFNpYNeKFtG8_yji4HS352LGlSQ/edit?pli=1#gid=0"",""1_ACUM!A4:S""),15,FALSE))"),5)</f>
        <v>5</v>
      </c>
      <c r="BB18" s="22">
        <f ca="1">IFERROR(__xludf.DUMMYFUNCTION("IFERROR(VLOOKUP(E32&amp;F32,IMPORTRANGE(""https://docs.google.com/spreadsheets/d/1Uw7-A9f9R21vMXxHZFNpYNeKFtG8_yji4HS352LGlSQ/edit?pli=1#gid=0"",""1_ACUM!A4:S""),16,FALSE))"),0)</f>
        <v>0</v>
      </c>
      <c r="BC18" s="22">
        <f ca="1">IFERROR(__xludf.DUMMYFUNCTION("IFERROR(VLOOKUP(E32&amp;F32,IMPORTRANGE(""https://docs.google.com/spreadsheets/d/1Uw7-A9f9R21vMXxHZFNpYNeKFtG8_yji4HS352LGlSQ/edit?pli=1#gid=0"",""1_ACUM!A4:S""),17,FALSE))"),6)</f>
        <v>6</v>
      </c>
      <c r="BD18" s="23">
        <f ca="1">IFERROR(__xludf.DUMMYFUNCTION("IFERROR(VLOOKUP(E32&amp;F32,IMPORTRANGE(""https://docs.google.com/spreadsheets/d/1Uw7-A9f9R21vMXxHZFNpYNeKFtG8_yji4HS352LGlSQ/edit?pli=1#gid=0"",""1_ACUM!A4:S""),18,FALSE))"),44552)</f>
        <v>44552</v>
      </c>
      <c r="BE18" s="23">
        <f ca="1">IFERROR(__xludf.DUMMYFUNCTION("IFERROR(VLOOKUP(E32&amp;F32,IMPORTRANGE(""https://docs.google.com/spreadsheets/d/1Uw7-A9f9R21vMXxHZFNpYNeKFtG8_yji4HS352LGlSQ/edit?pli=1#gid=0"",""1_ACUM!A4:S""),19,FALSE))"),44825)</f>
        <v>44825</v>
      </c>
      <c r="BF18" s="68">
        <f ca="1">IFERROR(__xludf.DUMMYFUNCTION("IFERROR(VLOOKUP(F32,IMPORTRANGE(""https://docs.google.com/spreadsheets/d/1Kvs4KS76FHFqLFIZfrDMff4kP08nblUkihrxltoGBjg/edit#gid=934712705"",""ESENCIAL!A6:BG""),5,FALSE))"),45006)</f>
        <v>45006</v>
      </c>
      <c r="BG18" s="68">
        <f t="shared" ca="1" si="1"/>
        <v>45556</v>
      </c>
      <c r="BH18" s="17" t="str">
        <f t="shared" ca="1" si="2"/>
        <v>FICHA EN TIEMPO-18 MESES</v>
      </c>
      <c r="BI18" s="38" t="str">
        <f ca="1">IFERROR(__xludf.DUMMYFUNCTION("IFERROR(VLOOKUP(F32,IMPORTRANGE(""https://docs.google.com/spreadsheets/d/1Kvs4KS76FHFqLFIZfrDMff4kP08nblUkihrxltoGBjg/edit#gid=934712705"",""ESENCIAL!A6:BG""),2,FALSE))"),"En ejecucion")</f>
        <v>En ejecucion</v>
      </c>
      <c r="BJ18" s="19" t="str">
        <f t="shared" si="3"/>
        <v>Yamboro</v>
      </c>
      <c r="BK18" s="292"/>
      <c r="BL18" s="38"/>
    </row>
    <row r="19" spans="1:64" ht="18" customHeight="1">
      <c r="A19" s="289"/>
      <c r="B19" s="145" t="s">
        <v>25</v>
      </c>
      <c r="C19" s="25" t="s">
        <v>1689</v>
      </c>
      <c r="D19" s="57" t="s">
        <v>27</v>
      </c>
      <c r="E19" s="57">
        <v>1030680000</v>
      </c>
      <c r="F19" s="25">
        <v>2469966</v>
      </c>
      <c r="G19" s="11" t="str">
        <f ca="1">IFERROR(__xludf.DUMMYFUNCTION("IFERROR(VLOOKUP(F33,IMPORTRANGE(""https://docs.google.com/spreadsheets/d/1Kvs4KS76FHFqLFIZfrDMff4kP08nblUkihrxltoGBjg/edit#gid=934712705"",""ESENCIAL!A6:BG""),3,FALSE))"),"TÉCNICO")</f>
        <v>TÉCNICO</v>
      </c>
      <c r="H19" s="11" t="str">
        <f ca="1">IFERROR(__xludf.DUMMYFUNCTION("IFERROR(VLOOKUP(F33,IMPORTRANGE(""https://docs.google.com/spreadsheets/d/1Kvs4KS76FHFqLFIZfrDMff4kP08nblUkihrxltoGBjg/edit#gid=934712705"",""ESENCIAL!A6:BG""),8,FALSE))"),"EJECUCION DE PROGRAMAS DEPORTIVOS")</f>
        <v>EJECUCION DE PROGRAMAS DEPORTIVOS</v>
      </c>
      <c r="I19" s="25"/>
      <c r="J19" s="34"/>
      <c r="K19" s="34"/>
      <c r="L19" s="329" t="s">
        <v>44</v>
      </c>
      <c r="M19" s="34"/>
      <c r="N19" s="34"/>
      <c r="O19" s="34"/>
      <c r="P19" s="34"/>
      <c r="Q19" s="34"/>
      <c r="R19" s="35"/>
      <c r="S19" s="35"/>
      <c r="T19" s="34"/>
      <c r="U19" s="36"/>
      <c r="V19" s="30"/>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19" t="str">
        <f t="shared" ca="1" si="0"/>
        <v>NO_CUMPLE</v>
      </c>
      <c r="AV19" s="11" t="str">
        <f ca="1">IFERROR(__xludf.DUMMYFUNCTION("IFERROR(VLOOKUP(E33&amp;F33,IMPORTRANGE(""https://docs.google.com/spreadsheets/d/1Uw7-A9f9R21vMXxHZFNpYNeKFtG8_yji4HS352LGlSQ/edit?pli=1#gid=0"",""1_ACUM!A4:S""),11,FALSE))"),"EN FORMACION")</f>
        <v>EN FORMACION</v>
      </c>
      <c r="AW19" s="20" t="str">
        <f ca="1">IFERROR(__xludf.DUMMYFUNCTION("IFERROR(VLOOKUP(F33,IMPORTRANGE(""https://docs.google.com/spreadsheets/d/1Kvs4KS76FHFqLFIZfrDMff4kP08nblUkihrxltoGBjg/edit#gid=934712705"",""ESENCIAL!A6:BG""),15,FALSE))"),"TURISMO")</f>
        <v>TURISMO</v>
      </c>
      <c r="AX19" s="21">
        <f ca="1">IFERROR(__xludf.DUMMYFUNCTION("IFERROR(VLOOKUP(E33&amp;F33,IMPORTRANGE(""https://docs.google.com/spreadsheets/d/1Uw7-A9f9R21vMXxHZFNpYNeKFtG8_yji4HS352LGlSQ/edit?pli=1#gid=0"",""1_ACUM!A4:S""),12,FALSE))"),44839)</f>
        <v>44839</v>
      </c>
      <c r="AY19" s="22">
        <f ca="1">IFERROR(__xludf.DUMMYFUNCTION("IFERROR(VLOOKUP(E33&amp;F33,IMPORTRANGE(""https://docs.google.com/spreadsheets/d/1Uw7-A9f9R21vMXxHZFNpYNeKFtG8_yji4HS352LGlSQ/edit?pli=1#gid=0"",""1_ACUM!A4:S""),13,FALSE))"),6)</f>
        <v>6</v>
      </c>
      <c r="AZ19" s="22">
        <f ca="1">IFERROR(__xludf.DUMMYFUNCTION("IFERROR(VLOOKUP(E33&amp;F33,IMPORTRANGE(""https://docs.google.com/spreadsheets/d/1Uw7-A9f9R21vMXxHZFNpYNeKFtG8_yji4HS352LGlSQ/edit?pli=1#gid=0"",""1_ACUM!A4:S""),14,FALSE))"),1)</f>
        <v>1</v>
      </c>
      <c r="BA19" s="22">
        <f ca="1">IFERROR(__xludf.DUMMYFUNCTION("IFERROR(VLOOKUP(E33&amp;F33,IMPORTRANGE(""https://docs.google.com/spreadsheets/d/1Uw7-A9f9R21vMXxHZFNpYNeKFtG8_yji4HS352LGlSQ/edit?pli=1#gid=0"",""1_ACUM!A4:S""),15,FALSE))"),7)</f>
        <v>7</v>
      </c>
      <c r="BB19" s="22">
        <f ca="1">IFERROR(__xludf.DUMMYFUNCTION("IFERROR(VLOOKUP(E33&amp;F33,IMPORTRANGE(""https://docs.google.com/spreadsheets/d/1Uw7-A9f9R21vMXxHZFNpYNeKFtG8_yji4HS352LGlSQ/edit?pli=1#gid=0"",""1_ACUM!A4:S""),16,FALSE))"),15)</f>
        <v>15</v>
      </c>
      <c r="BC19" s="22">
        <f ca="1">IFERROR(__xludf.DUMMYFUNCTION("IFERROR(VLOOKUP(E33&amp;F33,IMPORTRANGE(""https://docs.google.com/spreadsheets/d/1Uw7-A9f9R21vMXxHZFNpYNeKFtG8_yji4HS352LGlSQ/edit?pli=1#gid=0"",""1_ACUM!A4:S""),17,FALSE))"),29)</f>
        <v>29</v>
      </c>
      <c r="BD19" s="23">
        <f ca="1">IFERROR(__xludf.DUMMYFUNCTION("IFERROR(VLOOKUP(E33&amp;F33,IMPORTRANGE(""https://docs.google.com/spreadsheets/d/1Uw7-A9f9R21vMXxHZFNpYNeKFtG8_yji4HS352LGlSQ/edit?pli=1#gid=0"",""1_ACUM!A4:S""),18,FALSE))"),44552)</f>
        <v>44552</v>
      </c>
      <c r="BE19" s="23">
        <f ca="1">IFERROR(__xludf.DUMMYFUNCTION("IFERROR(VLOOKUP(E33&amp;F33,IMPORTRANGE(""https://docs.google.com/spreadsheets/d/1Uw7-A9f9R21vMXxHZFNpYNeKFtG8_yji4HS352LGlSQ/edit?pli=1#gid=0"",""1_ACUM!A4:S""),19,FALSE))"),44825)</f>
        <v>44825</v>
      </c>
      <c r="BF19" s="68">
        <f ca="1">IFERROR(__xludf.DUMMYFUNCTION("IFERROR(VLOOKUP(F33,IMPORTRANGE(""https://docs.google.com/spreadsheets/d/1Kvs4KS76FHFqLFIZfrDMff4kP08nblUkihrxltoGBjg/edit#gid=934712705"",""ESENCIAL!A6:BG""),5,FALSE))"),45006)</f>
        <v>45006</v>
      </c>
      <c r="BG19" s="68">
        <f t="shared" ca="1" si="1"/>
        <v>45556</v>
      </c>
      <c r="BH19" s="17" t="str">
        <f t="shared" ca="1" si="2"/>
        <v>FICHA EN TIEMPO-18 MESES</v>
      </c>
      <c r="BI19" s="38" t="str">
        <f ca="1">IFERROR(__xludf.DUMMYFUNCTION("IFERROR(VLOOKUP(F33,IMPORTRANGE(""https://docs.google.com/spreadsheets/d/1Kvs4KS76FHFqLFIZfrDMff4kP08nblUkihrxltoGBjg/edit#gid=934712705"",""ESENCIAL!A6:BG""),2,FALSE))"),"En ejecucion")</f>
        <v>En ejecucion</v>
      </c>
      <c r="BJ19" s="19" t="str">
        <f t="shared" si="3"/>
        <v>Yamboro</v>
      </c>
      <c r="BK19" s="292"/>
      <c r="BL19" s="38"/>
    </row>
    <row r="20" spans="1:64" ht="18" customHeight="1">
      <c r="A20" s="289"/>
      <c r="B20" s="145" t="s">
        <v>25</v>
      </c>
      <c r="C20" s="25" t="s">
        <v>1690</v>
      </c>
      <c r="D20" s="57" t="s">
        <v>67</v>
      </c>
      <c r="E20" s="57">
        <v>1059901015</v>
      </c>
      <c r="F20" s="25">
        <v>2469966</v>
      </c>
      <c r="G20" s="11" t="str">
        <f ca="1">IFERROR(__xludf.DUMMYFUNCTION("IFERROR(VLOOKUP(F34,IMPORTRANGE(""https://docs.google.com/spreadsheets/d/1Kvs4KS76FHFqLFIZfrDMff4kP08nblUkihrxltoGBjg/edit#gid=934712705"",""ESENCIAL!A6:BG""),3,FALSE))"),"TÉCNICO")</f>
        <v>TÉCNICO</v>
      </c>
      <c r="H20" s="11" t="str">
        <f ca="1">IFERROR(__xludf.DUMMYFUNCTION("IFERROR(VLOOKUP(F34,IMPORTRANGE(""https://docs.google.com/spreadsheets/d/1Kvs4KS76FHFqLFIZfrDMff4kP08nblUkihrxltoGBjg/edit#gid=934712705"",""ESENCIAL!A6:BG""),8,FALSE))"),"EJECUCION DE PROGRAMAS DEPORTIVOS")</f>
        <v>EJECUCION DE PROGRAMAS DEPORTIVOS</v>
      </c>
      <c r="I20" s="25"/>
      <c r="J20" s="34"/>
      <c r="K20" s="34"/>
      <c r="L20" s="329" t="s">
        <v>44</v>
      </c>
      <c r="M20" s="34"/>
      <c r="N20" s="34"/>
      <c r="O20" s="34"/>
      <c r="P20" s="34"/>
      <c r="Q20" s="34"/>
      <c r="R20" s="35"/>
      <c r="S20" s="35"/>
      <c r="T20" s="34"/>
      <c r="U20" s="36"/>
      <c r="V20" s="30"/>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19" t="str">
        <f t="shared" ca="1" si="0"/>
        <v>NO_CUMPLE</v>
      </c>
      <c r="AV20" s="11" t="str">
        <f ca="1">IFERROR(__xludf.DUMMYFUNCTION("IFERROR(VLOOKUP(E34&amp;F34,IMPORTRANGE(""https://docs.google.com/spreadsheets/d/1Uw7-A9f9R21vMXxHZFNpYNeKFtG8_yji4HS352LGlSQ/edit?pli=1#gid=0"",""1_ACUM!A4:S""),11,FALSE))"),"EN FORMACION")</f>
        <v>EN FORMACION</v>
      </c>
      <c r="AW20" s="20" t="str">
        <f ca="1">IFERROR(__xludf.DUMMYFUNCTION("IFERROR(VLOOKUP(F34,IMPORTRANGE(""https://docs.google.com/spreadsheets/d/1Kvs4KS76FHFqLFIZfrDMff4kP08nblUkihrxltoGBjg/edit#gid=934712705"",""ESENCIAL!A6:BG""),15,FALSE))"),"TURISMO")</f>
        <v>TURISMO</v>
      </c>
      <c r="AX20" s="21">
        <f ca="1">IFERROR(__xludf.DUMMYFUNCTION("IFERROR(VLOOKUP(E34&amp;F34,IMPORTRANGE(""https://docs.google.com/spreadsheets/d/1Uw7-A9f9R21vMXxHZFNpYNeKFtG8_yji4HS352LGlSQ/edit?pli=1#gid=0"",""1_ACUM!A4:S""),12,FALSE))"),44839)</f>
        <v>44839</v>
      </c>
      <c r="AY20" s="22">
        <f ca="1">IFERROR(__xludf.DUMMYFUNCTION("IFERROR(VLOOKUP(E34&amp;F34,IMPORTRANGE(""https://docs.google.com/spreadsheets/d/1Uw7-A9f9R21vMXxHZFNpYNeKFtG8_yji4HS352LGlSQ/edit?pli=1#gid=0"",""1_ACUM!A4:S""),13,FALSE))"),14)</f>
        <v>14</v>
      </c>
      <c r="AZ20" s="22">
        <f ca="1">IFERROR(__xludf.DUMMYFUNCTION("IFERROR(VLOOKUP(E34&amp;F34,IMPORTRANGE(""https://docs.google.com/spreadsheets/d/1Uw7-A9f9R21vMXxHZFNpYNeKFtG8_yji4HS352LGlSQ/edit?pli=1#gid=0"",""1_ACUM!A4:S""),14,FALSE))"),1)</f>
        <v>1</v>
      </c>
      <c r="BA20" s="22">
        <f ca="1">IFERROR(__xludf.DUMMYFUNCTION("IFERROR(VLOOKUP(E34&amp;F34,IMPORTRANGE(""https://docs.google.com/spreadsheets/d/1Uw7-A9f9R21vMXxHZFNpYNeKFtG8_yji4HS352LGlSQ/edit?pli=1#gid=0"",""1_ACUM!A4:S""),15,FALSE))"),7)</f>
        <v>7</v>
      </c>
      <c r="BB20" s="22">
        <f ca="1">IFERROR(__xludf.DUMMYFUNCTION("IFERROR(VLOOKUP(E34&amp;F34,IMPORTRANGE(""https://docs.google.com/spreadsheets/d/1Uw7-A9f9R21vMXxHZFNpYNeKFtG8_yji4HS352LGlSQ/edit?pli=1#gid=0"",""1_ACUM!A4:S""),16,FALSE))"),20)</f>
        <v>20</v>
      </c>
      <c r="BC20" s="22">
        <f ca="1">IFERROR(__xludf.DUMMYFUNCTION("IFERROR(VLOOKUP(E34&amp;F34,IMPORTRANGE(""https://docs.google.com/spreadsheets/d/1Uw7-A9f9R21vMXxHZFNpYNeKFtG8_yji4HS352LGlSQ/edit?pli=1#gid=0"",""1_ACUM!A4:S""),17,FALSE))"),42)</f>
        <v>42</v>
      </c>
      <c r="BD20" s="23">
        <f ca="1">IFERROR(__xludf.DUMMYFUNCTION("IFERROR(VLOOKUP(E34&amp;F34,IMPORTRANGE(""https://docs.google.com/spreadsheets/d/1Uw7-A9f9R21vMXxHZFNpYNeKFtG8_yji4HS352LGlSQ/edit?pli=1#gid=0"",""1_ACUM!A4:S""),18,FALSE))"),44552)</f>
        <v>44552</v>
      </c>
      <c r="BE20" s="23">
        <f ca="1">IFERROR(__xludf.DUMMYFUNCTION("IFERROR(VLOOKUP(E34&amp;F34,IMPORTRANGE(""https://docs.google.com/spreadsheets/d/1Uw7-A9f9R21vMXxHZFNpYNeKFtG8_yji4HS352LGlSQ/edit?pli=1#gid=0"",""1_ACUM!A4:S""),19,FALSE))"),44825)</f>
        <v>44825</v>
      </c>
      <c r="BF20" s="68">
        <f ca="1">IFERROR(__xludf.DUMMYFUNCTION("IFERROR(VLOOKUP(F34,IMPORTRANGE(""https://docs.google.com/spreadsheets/d/1Kvs4KS76FHFqLFIZfrDMff4kP08nblUkihrxltoGBjg/edit#gid=934712705"",""ESENCIAL!A6:BG""),5,FALSE))"),45006)</f>
        <v>45006</v>
      </c>
      <c r="BG20" s="68">
        <f t="shared" ca="1" si="1"/>
        <v>45556</v>
      </c>
      <c r="BH20" s="17" t="str">
        <f t="shared" ca="1" si="2"/>
        <v>FICHA EN TIEMPO-18 MESES</v>
      </c>
      <c r="BI20" s="38" t="str">
        <f ca="1">IFERROR(__xludf.DUMMYFUNCTION("IFERROR(VLOOKUP(F34,IMPORTRANGE(""https://docs.google.com/spreadsheets/d/1Kvs4KS76FHFqLFIZfrDMff4kP08nblUkihrxltoGBjg/edit#gid=934712705"",""ESENCIAL!A6:BG""),2,FALSE))"),"En ejecucion")</f>
        <v>En ejecucion</v>
      </c>
      <c r="BJ20" s="19" t="str">
        <f t="shared" si="3"/>
        <v>Yamboro</v>
      </c>
      <c r="BK20" s="292"/>
      <c r="BL20" s="38"/>
    </row>
    <row r="21" spans="1:64" ht="18" customHeight="1">
      <c r="A21" s="289"/>
      <c r="B21" s="145" t="s">
        <v>25</v>
      </c>
      <c r="C21" s="25" t="s">
        <v>1691</v>
      </c>
      <c r="D21" s="57" t="s">
        <v>27</v>
      </c>
      <c r="E21" s="57">
        <v>1077876896</v>
      </c>
      <c r="F21" s="25">
        <v>2469966</v>
      </c>
      <c r="G21" s="11" t="str">
        <f ca="1">IFERROR(__xludf.DUMMYFUNCTION("IFERROR(VLOOKUP(F35,IMPORTRANGE(""https://docs.google.com/spreadsheets/d/1Kvs4KS76FHFqLFIZfrDMff4kP08nblUkihrxltoGBjg/edit#gid=934712705"",""ESENCIAL!A6:BG""),3,FALSE))"),"TÉCNICO")</f>
        <v>TÉCNICO</v>
      </c>
      <c r="H21" s="11" t="str">
        <f ca="1">IFERROR(__xludf.DUMMYFUNCTION("IFERROR(VLOOKUP(F35,IMPORTRANGE(""https://docs.google.com/spreadsheets/d/1Kvs4KS76FHFqLFIZfrDMff4kP08nblUkihrxltoGBjg/edit#gid=934712705"",""ESENCIAL!A6:BG""),8,FALSE))"),"EJECUCION DE PROGRAMAS DEPORTIVOS")</f>
        <v>EJECUCION DE PROGRAMAS DEPORTIVOS</v>
      </c>
      <c r="I21" s="25"/>
      <c r="J21" s="34"/>
      <c r="K21" s="34"/>
      <c r="L21" s="329" t="s">
        <v>44</v>
      </c>
      <c r="M21" s="34"/>
      <c r="N21" s="34"/>
      <c r="O21" s="34"/>
      <c r="P21" s="34"/>
      <c r="Q21" s="34"/>
      <c r="R21" s="35"/>
      <c r="S21" s="35"/>
      <c r="T21" s="34"/>
      <c r="U21" s="36"/>
      <c r="V21" s="30"/>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19" t="str">
        <f t="shared" ca="1" si="0"/>
        <v>NO_CUMPLE</v>
      </c>
      <c r="AV21" s="11" t="str">
        <f ca="1">IFERROR(__xludf.DUMMYFUNCTION("IFERROR(VLOOKUP(E35&amp;F35,IMPORTRANGE(""https://docs.google.com/spreadsheets/d/1Uw7-A9f9R21vMXxHZFNpYNeKFtG8_yji4HS352LGlSQ/edit?pli=1#gid=0"",""1_ACUM!A4:S""),11,FALSE))"),"EN FORMACION")</f>
        <v>EN FORMACION</v>
      </c>
      <c r="AW21" s="20" t="str">
        <f ca="1">IFERROR(__xludf.DUMMYFUNCTION("IFERROR(VLOOKUP(F35,IMPORTRANGE(""https://docs.google.com/spreadsheets/d/1Kvs4KS76FHFqLFIZfrDMff4kP08nblUkihrxltoGBjg/edit#gid=934712705"",""ESENCIAL!A6:BG""),15,FALSE))"),"TURISMO")</f>
        <v>TURISMO</v>
      </c>
      <c r="AX21" s="21">
        <f ca="1">IFERROR(__xludf.DUMMYFUNCTION("IFERROR(VLOOKUP(E35&amp;F35,IMPORTRANGE(""https://docs.google.com/spreadsheets/d/1Uw7-A9f9R21vMXxHZFNpYNeKFtG8_yji4HS352LGlSQ/edit?pli=1#gid=0"",""1_ACUM!A4:S""),12,FALSE))"),44839)</f>
        <v>44839</v>
      </c>
      <c r="AY21" s="22">
        <f ca="1">IFERROR(__xludf.DUMMYFUNCTION("IFERROR(VLOOKUP(E35&amp;F35,IMPORTRANGE(""https://docs.google.com/spreadsheets/d/1Uw7-A9f9R21vMXxHZFNpYNeKFtG8_yji4HS352LGlSQ/edit?pli=1#gid=0"",""1_ACUM!A4:S""),13,FALSE))"),6)</f>
        <v>6</v>
      </c>
      <c r="AZ21" s="22">
        <f ca="1">IFERROR(__xludf.DUMMYFUNCTION("IFERROR(VLOOKUP(E35&amp;F35,IMPORTRANGE(""https://docs.google.com/spreadsheets/d/1Uw7-A9f9R21vMXxHZFNpYNeKFtG8_yji4HS352LGlSQ/edit?pli=1#gid=0"",""1_ACUM!A4:S""),14,FALSE))"),1)</f>
        <v>1</v>
      </c>
      <c r="BA21" s="22">
        <f ca="1">IFERROR(__xludf.DUMMYFUNCTION("IFERROR(VLOOKUP(E35&amp;F35,IMPORTRANGE(""https://docs.google.com/spreadsheets/d/1Uw7-A9f9R21vMXxHZFNpYNeKFtG8_yji4HS352LGlSQ/edit?pli=1#gid=0"",""1_ACUM!A4:S""),15,FALSE))"),7)</f>
        <v>7</v>
      </c>
      <c r="BB21" s="22">
        <f ca="1">IFERROR(__xludf.DUMMYFUNCTION("IFERROR(VLOOKUP(E35&amp;F35,IMPORTRANGE(""https://docs.google.com/spreadsheets/d/1Uw7-A9f9R21vMXxHZFNpYNeKFtG8_yji4HS352LGlSQ/edit?pli=1#gid=0"",""1_ACUM!A4:S""),16,FALSE))"),15)</f>
        <v>15</v>
      </c>
      <c r="BC21" s="22">
        <f ca="1">IFERROR(__xludf.DUMMYFUNCTION("IFERROR(VLOOKUP(E35&amp;F35,IMPORTRANGE(""https://docs.google.com/spreadsheets/d/1Uw7-A9f9R21vMXxHZFNpYNeKFtG8_yji4HS352LGlSQ/edit?pli=1#gid=0"",""1_ACUM!A4:S""),17,FALSE))"),29)</f>
        <v>29</v>
      </c>
      <c r="BD21" s="23">
        <f ca="1">IFERROR(__xludf.DUMMYFUNCTION("IFERROR(VLOOKUP(E35&amp;F35,IMPORTRANGE(""https://docs.google.com/spreadsheets/d/1Uw7-A9f9R21vMXxHZFNpYNeKFtG8_yji4HS352LGlSQ/edit?pli=1#gid=0"",""1_ACUM!A4:S""),18,FALSE))"),44552)</f>
        <v>44552</v>
      </c>
      <c r="BE21" s="23">
        <f ca="1">IFERROR(__xludf.DUMMYFUNCTION("IFERROR(VLOOKUP(E35&amp;F35,IMPORTRANGE(""https://docs.google.com/spreadsheets/d/1Uw7-A9f9R21vMXxHZFNpYNeKFtG8_yji4HS352LGlSQ/edit?pli=1#gid=0"",""1_ACUM!A4:S""),19,FALSE))"),44825)</f>
        <v>44825</v>
      </c>
      <c r="BF21" s="68">
        <f ca="1">IFERROR(__xludf.DUMMYFUNCTION("IFERROR(VLOOKUP(F35,IMPORTRANGE(""https://docs.google.com/spreadsheets/d/1Kvs4KS76FHFqLFIZfrDMff4kP08nblUkihrxltoGBjg/edit#gid=934712705"",""ESENCIAL!A6:BG""),5,FALSE))"),45006)</f>
        <v>45006</v>
      </c>
      <c r="BG21" s="68">
        <f t="shared" ca="1" si="1"/>
        <v>45556</v>
      </c>
      <c r="BH21" s="17" t="str">
        <f t="shared" ca="1" si="2"/>
        <v>FICHA EN TIEMPO-18 MESES</v>
      </c>
      <c r="BI21" s="38" t="str">
        <f ca="1">IFERROR(__xludf.DUMMYFUNCTION("IFERROR(VLOOKUP(F35,IMPORTRANGE(""https://docs.google.com/spreadsheets/d/1Kvs4KS76FHFqLFIZfrDMff4kP08nblUkihrxltoGBjg/edit#gid=934712705"",""ESENCIAL!A6:BG""),2,FALSE))"),"En ejecucion")</f>
        <v>En ejecucion</v>
      </c>
      <c r="BJ21" s="19" t="str">
        <f t="shared" si="3"/>
        <v>Yamboro</v>
      </c>
      <c r="BK21" s="292"/>
      <c r="BL21" s="38"/>
    </row>
    <row r="22" spans="1:64" ht="18" customHeight="1">
      <c r="A22" s="289"/>
      <c r="B22" s="145" t="s">
        <v>25</v>
      </c>
      <c r="C22" s="25" t="s">
        <v>1692</v>
      </c>
      <c r="D22" s="57" t="s">
        <v>67</v>
      </c>
      <c r="E22" s="57">
        <v>1078746004</v>
      </c>
      <c r="F22" s="25">
        <v>2469966</v>
      </c>
      <c r="G22" s="11" t="str">
        <f ca="1">IFERROR(__xludf.DUMMYFUNCTION("IFERROR(VLOOKUP(F36,IMPORTRANGE(""https://docs.google.com/spreadsheets/d/1Kvs4KS76FHFqLFIZfrDMff4kP08nblUkihrxltoGBjg/edit#gid=934712705"",""ESENCIAL!A6:BG""),3,FALSE))"),"TÉCNICO")</f>
        <v>TÉCNICO</v>
      </c>
      <c r="H22" s="11" t="str">
        <f ca="1">IFERROR(__xludf.DUMMYFUNCTION("IFERROR(VLOOKUP(F36,IMPORTRANGE(""https://docs.google.com/spreadsheets/d/1Kvs4KS76FHFqLFIZfrDMff4kP08nblUkihrxltoGBjg/edit#gid=934712705"",""ESENCIAL!A6:BG""),8,FALSE))"),"EJECUCION DE PROGRAMAS DEPORTIVOS")</f>
        <v>EJECUCION DE PROGRAMAS DEPORTIVOS</v>
      </c>
      <c r="I22" s="25"/>
      <c r="J22" s="34"/>
      <c r="K22" s="34"/>
      <c r="L22" s="329" t="s">
        <v>44</v>
      </c>
      <c r="M22" s="34"/>
      <c r="N22" s="34"/>
      <c r="O22" s="34"/>
      <c r="P22" s="34"/>
      <c r="Q22" s="34"/>
      <c r="R22" s="35"/>
      <c r="S22" s="35"/>
      <c r="T22" s="34"/>
      <c r="U22" s="36"/>
      <c r="V22" s="30"/>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19" t="str">
        <f t="shared" ca="1" si="0"/>
        <v>NO_CUMPLE</v>
      </c>
      <c r="AV22" s="11" t="str">
        <f ca="1">IFERROR(__xludf.DUMMYFUNCTION("IFERROR(VLOOKUP(E36&amp;F36,IMPORTRANGE(""https://docs.google.com/spreadsheets/d/1Uw7-A9f9R21vMXxHZFNpYNeKFtG8_yji4HS352LGlSQ/edit?pli=1#gid=0"",""1_ACUM!A4:S""),11,FALSE))"),"EN FORMACION")</f>
        <v>EN FORMACION</v>
      </c>
      <c r="AW22" s="20" t="str">
        <f ca="1">IFERROR(__xludf.DUMMYFUNCTION("IFERROR(VLOOKUP(F36,IMPORTRANGE(""https://docs.google.com/spreadsheets/d/1Kvs4KS76FHFqLFIZfrDMff4kP08nblUkihrxltoGBjg/edit#gid=934712705"",""ESENCIAL!A6:BG""),15,FALSE))"),"TURISMO")</f>
        <v>TURISMO</v>
      </c>
      <c r="AX22" s="21">
        <f ca="1">IFERROR(__xludf.DUMMYFUNCTION("IFERROR(VLOOKUP(E36&amp;F36,IMPORTRANGE(""https://docs.google.com/spreadsheets/d/1Uw7-A9f9R21vMXxHZFNpYNeKFtG8_yji4HS352LGlSQ/edit?pli=1#gid=0"",""1_ACUM!A4:S""),12,FALSE))"),44839)</f>
        <v>44839</v>
      </c>
      <c r="AY22" s="22">
        <f ca="1">IFERROR(__xludf.DUMMYFUNCTION("IFERROR(VLOOKUP(E36&amp;F36,IMPORTRANGE(""https://docs.google.com/spreadsheets/d/1Uw7-A9f9R21vMXxHZFNpYNeKFtG8_yji4HS352LGlSQ/edit?pli=1#gid=0"",""1_ACUM!A4:S""),13,FALSE))"),6)</f>
        <v>6</v>
      </c>
      <c r="AZ22" s="22">
        <f ca="1">IFERROR(__xludf.DUMMYFUNCTION("IFERROR(VLOOKUP(E36&amp;F36,IMPORTRANGE(""https://docs.google.com/spreadsheets/d/1Uw7-A9f9R21vMXxHZFNpYNeKFtG8_yji4HS352LGlSQ/edit?pli=1#gid=0"",""1_ACUM!A4:S""),14,FALSE))"),1)</f>
        <v>1</v>
      </c>
      <c r="BA22" s="22">
        <f ca="1">IFERROR(__xludf.DUMMYFUNCTION("IFERROR(VLOOKUP(E36&amp;F36,IMPORTRANGE(""https://docs.google.com/spreadsheets/d/1Uw7-A9f9R21vMXxHZFNpYNeKFtG8_yji4HS352LGlSQ/edit?pli=1#gid=0"",""1_ACUM!A4:S""),15,FALSE))"),7)</f>
        <v>7</v>
      </c>
      <c r="BB22" s="22">
        <f ca="1">IFERROR(__xludf.DUMMYFUNCTION("IFERROR(VLOOKUP(E36&amp;F36,IMPORTRANGE(""https://docs.google.com/spreadsheets/d/1Uw7-A9f9R21vMXxHZFNpYNeKFtG8_yji4HS352LGlSQ/edit?pli=1#gid=0"",""1_ACUM!A4:S""),16,FALSE))"),15)</f>
        <v>15</v>
      </c>
      <c r="BC22" s="22">
        <f ca="1">IFERROR(__xludf.DUMMYFUNCTION("IFERROR(VLOOKUP(E36&amp;F36,IMPORTRANGE(""https://docs.google.com/spreadsheets/d/1Uw7-A9f9R21vMXxHZFNpYNeKFtG8_yji4HS352LGlSQ/edit?pli=1#gid=0"",""1_ACUM!A4:S""),17,FALSE))"),29)</f>
        <v>29</v>
      </c>
      <c r="BD22" s="23">
        <f ca="1">IFERROR(__xludf.DUMMYFUNCTION("IFERROR(VLOOKUP(E36&amp;F36,IMPORTRANGE(""https://docs.google.com/spreadsheets/d/1Uw7-A9f9R21vMXxHZFNpYNeKFtG8_yji4HS352LGlSQ/edit?pli=1#gid=0"",""1_ACUM!A4:S""),18,FALSE))"),44552)</f>
        <v>44552</v>
      </c>
      <c r="BE22" s="23">
        <f ca="1">IFERROR(__xludf.DUMMYFUNCTION("IFERROR(VLOOKUP(E36&amp;F36,IMPORTRANGE(""https://docs.google.com/spreadsheets/d/1Uw7-A9f9R21vMXxHZFNpYNeKFtG8_yji4HS352LGlSQ/edit?pli=1#gid=0"",""1_ACUM!A4:S""),19,FALSE))"),44825)</f>
        <v>44825</v>
      </c>
      <c r="BF22" s="68">
        <f ca="1">IFERROR(__xludf.DUMMYFUNCTION("IFERROR(VLOOKUP(F36,IMPORTRANGE(""https://docs.google.com/spreadsheets/d/1Kvs4KS76FHFqLFIZfrDMff4kP08nblUkihrxltoGBjg/edit#gid=934712705"",""ESENCIAL!A6:BG""),5,FALSE))"),45006)</f>
        <v>45006</v>
      </c>
      <c r="BG22" s="68">
        <f t="shared" ca="1" si="1"/>
        <v>45556</v>
      </c>
      <c r="BH22" s="17" t="str">
        <f t="shared" ca="1" si="2"/>
        <v>FICHA EN TIEMPO-18 MESES</v>
      </c>
      <c r="BI22" s="38" t="str">
        <f ca="1">IFERROR(__xludf.DUMMYFUNCTION("IFERROR(VLOOKUP(F36,IMPORTRANGE(""https://docs.google.com/spreadsheets/d/1Kvs4KS76FHFqLFIZfrDMff4kP08nblUkihrxltoGBjg/edit#gid=934712705"",""ESENCIAL!A6:BG""),2,FALSE))"),"En ejecucion")</f>
        <v>En ejecucion</v>
      </c>
      <c r="BJ22" s="19" t="str">
        <f t="shared" si="3"/>
        <v>Yamboro</v>
      </c>
      <c r="BK22" s="292"/>
      <c r="BL22" s="38"/>
    </row>
    <row r="23" spans="1:64" ht="18" customHeight="1">
      <c r="A23" s="289"/>
      <c r="B23" s="145" t="s">
        <v>25</v>
      </c>
      <c r="C23" s="25" t="s">
        <v>1693</v>
      </c>
      <c r="D23" s="57" t="s">
        <v>27</v>
      </c>
      <c r="E23" s="57">
        <v>1078750336</v>
      </c>
      <c r="F23" s="25">
        <v>2469966</v>
      </c>
      <c r="G23" s="11" t="str">
        <f ca="1">IFERROR(__xludf.DUMMYFUNCTION("IFERROR(VLOOKUP(F37,IMPORTRANGE(""https://docs.google.com/spreadsheets/d/1Kvs4KS76FHFqLFIZfrDMff4kP08nblUkihrxltoGBjg/edit#gid=934712705"",""ESENCIAL!A6:BG""),3,FALSE))"),"TÉCNICO")</f>
        <v>TÉCNICO</v>
      </c>
      <c r="H23" s="11" t="str">
        <f ca="1">IFERROR(__xludf.DUMMYFUNCTION("IFERROR(VLOOKUP(F37,IMPORTRANGE(""https://docs.google.com/spreadsheets/d/1Kvs4KS76FHFqLFIZfrDMff4kP08nblUkihrxltoGBjg/edit#gid=934712705"",""ESENCIAL!A6:BG""),8,FALSE))"),"EJECUCION DE PROGRAMAS DEPORTIVOS")</f>
        <v>EJECUCION DE PROGRAMAS DEPORTIVOS</v>
      </c>
      <c r="I23" s="25"/>
      <c r="J23" s="34"/>
      <c r="K23" s="34"/>
      <c r="L23" s="329" t="s">
        <v>44</v>
      </c>
      <c r="M23" s="34"/>
      <c r="N23" s="34"/>
      <c r="O23" s="34"/>
      <c r="P23" s="34"/>
      <c r="Q23" s="34"/>
      <c r="R23" s="35"/>
      <c r="S23" s="35"/>
      <c r="T23" s="34"/>
      <c r="U23" s="36"/>
      <c r="V23" s="30"/>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19" t="str">
        <f t="shared" ca="1" si="0"/>
        <v>NO_CUMPLE</v>
      </c>
      <c r="AV23" s="11" t="str">
        <f ca="1">IFERROR(__xludf.DUMMYFUNCTION("IFERROR(VLOOKUP(E37&amp;F37,IMPORTRANGE(""https://docs.google.com/spreadsheets/d/1Uw7-A9f9R21vMXxHZFNpYNeKFtG8_yji4HS352LGlSQ/edit?pli=1#gid=0"",""1_ACUM!A4:S""),11,FALSE))"),"EN FORMACION")</f>
        <v>EN FORMACION</v>
      </c>
      <c r="AW23" s="20" t="str">
        <f ca="1">IFERROR(__xludf.DUMMYFUNCTION("IFERROR(VLOOKUP(F37,IMPORTRANGE(""https://docs.google.com/spreadsheets/d/1Kvs4KS76FHFqLFIZfrDMff4kP08nblUkihrxltoGBjg/edit#gid=934712705"",""ESENCIAL!A6:BG""),15,FALSE))"),"TURISMO")</f>
        <v>TURISMO</v>
      </c>
      <c r="AX23" s="21">
        <f ca="1">IFERROR(__xludf.DUMMYFUNCTION("IFERROR(VLOOKUP(E37&amp;F37,IMPORTRANGE(""https://docs.google.com/spreadsheets/d/1Uw7-A9f9R21vMXxHZFNpYNeKFtG8_yji4HS352LGlSQ/edit?pli=1#gid=0"",""1_ACUM!A4:S""),12,FALSE))"),44839)</f>
        <v>44839</v>
      </c>
      <c r="AY23" s="22">
        <f ca="1">IFERROR(__xludf.DUMMYFUNCTION("IFERROR(VLOOKUP(E37&amp;F37,IMPORTRANGE(""https://docs.google.com/spreadsheets/d/1Uw7-A9f9R21vMXxHZFNpYNeKFtG8_yji4HS352LGlSQ/edit?pli=1#gid=0"",""1_ACUM!A4:S""),13,FALSE))"),14)</f>
        <v>14</v>
      </c>
      <c r="AZ23" s="22">
        <f ca="1">IFERROR(__xludf.DUMMYFUNCTION("IFERROR(VLOOKUP(E37&amp;F37,IMPORTRANGE(""https://docs.google.com/spreadsheets/d/1Uw7-A9f9R21vMXxHZFNpYNeKFtG8_yji4HS352LGlSQ/edit?pli=1#gid=0"",""1_ACUM!A4:S""),14,FALSE))"),1)</f>
        <v>1</v>
      </c>
      <c r="BA23" s="22">
        <f ca="1">IFERROR(__xludf.DUMMYFUNCTION("IFERROR(VLOOKUP(E37&amp;F37,IMPORTRANGE(""https://docs.google.com/spreadsheets/d/1Uw7-A9f9R21vMXxHZFNpYNeKFtG8_yji4HS352LGlSQ/edit?pli=1#gid=0"",""1_ACUM!A4:S""),15,FALSE))"),5)</f>
        <v>5</v>
      </c>
      <c r="BB23" s="22">
        <f ca="1">IFERROR(__xludf.DUMMYFUNCTION("IFERROR(VLOOKUP(E37&amp;F37,IMPORTRANGE(""https://docs.google.com/spreadsheets/d/1Uw7-A9f9R21vMXxHZFNpYNeKFtG8_yji4HS352LGlSQ/edit?pli=1#gid=0"",""1_ACUM!A4:S""),16,FALSE))"),20)</f>
        <v>20</v>
      </c>
      <c r="BC23" s="22">
        <f ca="1">IFERROR(__xludf.DUMMYFUNCTION("IFERROR(VLOOKUP(E37&amp;F37,IMPORTRANGE(""https://docs.google.com/spreadsheets/d/1Uw7-A9f9R21vMXxHZFNpYNeKFtG8_yji4HS352LGlSQ/edit?pli=1#gid=0"",""1_ACUM!A4:S""),17,FALSE))"),40)</f>
        <v>40</v>
      </c>
      <c r="BD23" s="23">
        <f ca="1">IFERROR(__xludf.DUMMYFUNCTION("IFERROR(VLOOKUP(E37&amp;F37,IMPORTRANGE(""https://docs.google.com/spreadsheets/d/1Uw7-A9f9R21vMXxHZFNpYNeKFtG8_yji4HS352LGlSQ/edit?pli=1#gid=0"",""1_ACUM!A4:S""),18,FALSE))"),44552)</f>
        <v>44552</v>
      </c>
      <c r="BE23" s="23">
        <f ca="1">IFERROR(__xludf.DUMMYFUNCTION("IFERROR(VLOOKUP(E37&amp;F37,IMPORTRANGE(""https://docs.google.com/spreadsheets/d/1Uw7-A9f9R21vMXxHZFNpYNeKFtG8_yji4HS352LGlSQ/edit?pli=1#gid=0"",""1_ACUM!A4:S""),19,FALSE))"),44825)</f>
        <v>44825</v>
      </c>
      <c r="BF23" s="68">
        <f ca="1">IFERROR(__xludf.DUMMYFUNCTION("IFERROR(VLOOKUP(F37,IMPORTRANGE(""https://docs.google.com/spreadsheets/d/1Kvs4KS76FHFqLFIZfrDMff4kP08nblUkihrxltoGBjg/edit#gid=934712705"",""ESENCIAL!A6:BG""),5,FALSE))"),45006)</f>
        <v>45006</v>
      </c>
      <c r="BG23" s="68">
        <f t="shared" ca="1" si="1"/>
        <v>45556</v>
      </c>
      <c r="BH23" s="17" t="str">
        <f t="shared" ca="1" si="2"/>
        <v>FICHA EN TIEMPO-18 MESES</v>
      </c>
      <c r="BI23" s="38" t="str">
        <f ca="1">IFERROR(__xludf.DUMMYFUNCTION("IFERROR(VLOOKUP(F37,IMPORTRANGE(""https://docs.google.com/spreadsheets/d/1Kvs4KS76FHFqLFIZfrDMff4kP08nblUkihrxltoGBjg/edit#gid=934712705"",""ESENCIAL!A6:BG""),2,FALSE))"),"En ejecucion")</f>
        <v>En ejecucion</v>
      </c>
      <c r="BJ23" s="19" t="str">
        <f t="shared" si="3"/>
        <v>Yamboro</v>
      </c>
      <c r="BK23" s="292"/>
      <c r="BL23" s="38"/>
    </row>
    <row r="24" spans="1:64" ht="18" customHeight="1">
      <c r="A24" s="289"/>
      <c r="B24" s="145" t="s">
        <v>25</v>
      </c>
      <c r="C24" s="25" t="s">
        <v>1694</v>
      </c>
      <c r="D24" s="57" t="s">
        <v>27</v>
      </c>
      <c r="E24" s="57">
        <v>1078753590</v>
      </c>
      <c r="F24" s="25">
        <v>2469966</v>
      </c>
      <c r="G24" s="11" t="str">
        <f ca="1">IFERROR(__xludf.DUMMYFUNCTION("IFERROR(VLOOKUP(F38,IMPORTRANGE(""https://docs.google.com/spreadsheets/d/1Kvs4KS76FHFqLFIZfrDMff4kP08nblUkihrxltoGBjg/edit#gid=934712705"",""ESENCIAL!A6:BG""),3,FALSE))"),"TÉCNICO")</f>
        <v>TÉCNICO</v>
      </c>
      <c r="H24" s="11" t="str">
        <f ca="1">IFERROR(__xludf.DUMMYFUNCTION("IFERROR(VLOOKUP(F38,IMPORTRANGE(""https://docs.google.com/spreadsheets/d/1Kvs4KS76FHFqLFIZfrDMff4kP08nblUkihrxltoGBjg/edit#gid=934712705"",""ESENCIAL!A6:BG""),8,FALSE))"),"EJECUCION DE PROGRAMAS DEPORTIVOS")</f>
        <v>EJECUCION DE PROGRAMAS DEPORTIVOS</v>
      </c>
      <c r="I24" s="25"/>
      <c r="J24" s="34"/>
      <c r="K24" s="34"/>
      <c r="L24" s="329" t="s">
        <v>44</v>
      </c>
      <c r="M24" s="34"/>
      <c r="N24" s="34"/>
      <c r="O24" s="34"/>
      <c r="P24" s="34"/>
      <c r="Q24" s="34"/>
      <c r="R24" s="35"/>
      <c r="S24" s="35"/>
      <c r="T24" s="34"/>
      <c r="U24" s="36"/>
      <c r="V24" s="30"/>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19" t="str">
        <f t="shared" ca="1" si="0"/>
        <v>NO_CUMPLE</v>
      </c>
      <c r="AV24" s="11" t="str">
        <f ca="1">IFERROR(__xludf.DUMMYFUNCTION("IFERROR(VLOOKUP(E38&amp;F38,IMPORTRANGE(""https://docs.google.com/spreadsheets/d/1Uw7-A9f9R21vMXxHZFNpYNeKFtG8_yji4HS352LGlSQ/edit?pli=1#gid=0"",""1_ACUM!A4:S""),11,FALSE))"),"EN FORMACION")</f>
        <v>EN FORMACION</v>
      </c>
      <c r="AW24" s="20" t="str">
        <f ca="1">IFERROR(__xludf.DUMMYFUNCTION("IFERROR(VLOOKUP(F38,IMPORTRANGE(""https://docs.google.com/spreadsheets/d/1Kvs4KS76FHFqLFIZfrDMff4kP08nblUkihrxltoGBjg/edit#gid=934712705"",""ESENCIAL!A6:BG""),15,FALSE))"),"TURISMO")</f>
        <v>TURISMO</v>
      </c>
      <c r="AX24" s="21">
        <f ca="1">IFERROR(__xludf.DUMMYFUNCTION("IFERROR(VLOOKUP(E38&amp;F38,IMPORTRANGE(""https://docs.google.com/spreadsheets/d/1Uw7-A9f9R21vMXxHZFNpYNeKFtG8_yji4HS352LGlSQ/edit?pli=1#gid=0"",""1_ACUM!A4:S""),12,FALSE))"),44839)</f>
        <v>44839</v>
      </c>
      <c r="AY24" s="22">
        <f ca="1">IFERROR(__xludf.DUMMYFUNCTION("IFERROR(VLOOKUP(E38&amp;F38,IMPORTRANGE(""https://docs.google.com/spreadsheets/d/1Uw7-A9f9R21vMXxHZFNpYNeKFtG8_yji4HS352LGlSQ/edit?pli=1#gid=0"",""1_ACUM!A4:S""),13,FALSE))"),6)</f>
        <v>6</v>
      </c>
      <c r="AZ24" s="22">
        <f ca="1">IFERROR(__xludf.DUMMYFUNCTION("IFERROR(VLOOKUP(E38&amp;F38,IMPORTRANGE(""https://docs.google.com/spreadsheets/d/1Uw7-A9f9R21vMXxHZFNpYNeKFtG8_yji4HS352LGlSQ/edit?pli=1#gid=0"",""1_ACUM!A4:S""),14,FALSE))"),1)</f>
        <v>1</v>
      </c>
      <c r="BA24" s="22">
        <f ca="1">IFERROR(__xludf.DUMMYFUNCTION("IFERROR(VLOOKUP(E38&amp;F38,IMPORTRANGE(""https://docs.google.com/spreadsheets/d/1Uw7-A9f9R21vMXxHZFNpYNeKFtG8_yji4HS352LGlSQ/edit?pli=1#gid=0"",""1_ACUM!A4:S""),15,FALSE))"),7)</f>
        <v>7</v>
      </c>
      <c r="BB24" s="22">
        <f ca="1">IFERROR(__xludf.DUMMYFUNCTION("IFERROR(VLOOKUP(E38&amp;F38,IMPORTRANGE(""https://docs.google.com/spreadsheets/d/1Uw7-A9f9R21vMXxHZFNpYNeKFtG8_yji4HS352LGlSQ/edit?pli=1#gid=0"",""1_ACUM!A4:S""),16,FALSE))"),15)</f>
        <v>15</v>
      </c>
      <c r="BC24" s="22">
        <f ca="1">IFERROR(__xludf.DUMMYFUNCTION("IFERROR(VLOOKUP(E38&amp;F38,IMPORTRANGE(""https://docs.google.com/spreadsheets/d/1Uw7-A9f9R21vMXxHZFNpYNeKFtG8_yji4HS352LGlSQ/edit?pli=1#gid=0"",""1_ACUM!A4:S""),17,FALSE))"),29)</f>
        <v>29</v>
      </c>
      <c r="BD24" s="23">
        <f ca="1">IFERROR(__xludf.DUMMYFUNCTION("IFERROR(VLOOKUP(E38&amp;F38,IMPORTRANGE(""https://docs.google.com/spreadsheets/d/1Uw7-A9f9R21vMXxHZFNpYNeKFtG8_yji4HS352LGlSQ/edit?pli=1#gid=0"",""1_ACUM!A4:S""),18,FALSE))"),44552)</f>
        <v>44552</v>
      </c>
      <c r="BE24" s="23">
        <f ca="1">IFERROR(__xludf.DUMMYFUNCTION("IFERROR(VLOOKUP(E38&amp;F38,IMPORTRANGE(""https://docs.google.com/spreadsheets/d/1Uw7-A9f9R21vMXxHZFNpYNeKFtG8_yji4HS352LGlSQ/edit?pli=1#gid=0"",""1_ACUM!A4:S""),19,FALSE))"),44825)</f>
        <v>44825</v>
      </c>
      <c r="BF24" s="68">
        <f ca="1">IFERROR(__xludf.DUMMYFUNCTION("IFERROR(VLOOKUP(F38,IMPORTRANGE(""https://docs.google.com/spreadsheets/d/1Kvs4KS76FHFqLFIZfrDMff4kP08nblUkihrxltoGBjg/edit#gid=934712705"",""ESENCIAL!A6:BG""),5,FALSE))"),45006)</f>
        <v>45006</v>
      </c>
      <c r="BG24" s="68">
        <f t="shared" ca="1" si="1"/>
        <v>45556</v>
      </c>
      <c r="BH24" s="17" t="str">
        <f t="shared" ca="1" si="2"/>
        <v>FICHA EN TIEMPO-18 MESES</v>
      </c>
      <c r="BI24" s="38" t="str">
        <f ca="1">IFERROR(__xludf.DUMMYFUNCTION("IFERROR(VLOOKUP(F38,IMPORTRANGE(""https://docs.google.com/spreadsheets/d/1Kvs4KS76FHFqLFIZfrDMff4kP08nblUkihrxltoGBjg/edit#gid=934712705"",""ESENCIAL!A6:BG""),2,FALSE))"),"En ejecucion")</f>
        <v>En ejecucion</v>
      </c>
      <c r="BJ24" s="19" t="str">
        <f t="shared" si="3"/>
        <v>Yamboro</v>
      </c>
      <c r="BK24" s="292"/>
      <c r="BL24" s="38"/>
    </row>
    <row r="25" spans="1:64" ht="18" customHeight="1">
      <c r="A25" s="289"/>
      <c r="B25" s="145" t="s">
        <v>25</v>
      </c>
      <c r="C25" s="25" t="s">
        <v>1695</v>
      </c>
      <c r="D25" s="57" t="s">
        <v>27</v>
      </c>
      <c r="E25" s="57">
        <v>1078755096</v>
      </c>
      <c r="F25" s="25">
        <v>2469966</v>
      </c>
      <c r="G25" s="11" t="str">
        <f ca="1">IFERROR(__xludf.DUMMYFUNCTION("IFERROR(VLOOKUP(F39,IMPORTRANGE(""https://docs.google.com/spreadsheets/d/1Kvs4KS76FHFqLFIZfrDMff4kP08nblUkihrxltoGBjg/edit#gid=934712705"",""ESENCIAL!A6:BG""),3,FALSE))"),"TÉCNICO")</f>
        <v>TÉCNICO</v>
      </c>
      <c r="H25" s="11" t="str">
        <f ca="1">IFERROR(__xludf.DUMMYFUNCTION("IFERROR(VLOOKUP(F39,IMPORTRANGE(""https://docs.google.com/spreadsheets/d/1Kvs4KS76FHFqLFIZfrDMff4kP08nblUkihrxltoGBjg/edit#gid=934712705"",""ESENCIAL!A6:BG""),8,FALSE))"),"EJECUCION DE PROGRAMAS DEPORTIVOS")</f>
        <v>EJECUCION DE PROGRAMAS DEPORTIVOS</v>
      </c>
      <c r="I25" s="25"/>
      <c r="J25" s="34"/>
      <c r="K25" s="34"/>
      <c r="L25" s="329" t="s">
        <v>44</v>
      </c>
      <c r="M25" s="34"/>
      <c r="N25" s="34"/>
      <c r="O25" s="34"/>
      <c r="P25" s="34"/>
      <c r="Q25" s="34"/>
      <c r="R25" s="35"/>
      <c r="S25" s="35"/>
      <c r="T25" s="34"/>
      <c r="U25" s="36"/>
      <c r="V25" s="30"/>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19" t="str">
        <f t="shared" ca="1" si="0"/>
        <v>NO_CUMPLE</v>
      </c>
      <c r="AV25" s="11" t="str">
        <f ca="1">IFERROR(__xludf.DUMMYFUNCTION("IFERROR(VLOOKUP(E39&amp;F39,IMPORTRANGE(""https://docs.google.com/spreadsheets/d/1Uw7-A9f9R21vMXxHZFNpYNeKFtG8_yji4HS352LGlSQ/edit?pli=1#gid=0"",""1_ACUM!A4:S""),11,FALSE))"),"EN FORMACION")</f>
        <v>EN FORMACION</v>
      </c>
      <c r="AW25" s="20" t="str">
        <f ca="1">IFERROR(__xludf.DUMMYFUNCTION("IFERROR(VLOOKUP(F39,IMPORTRANGE(""https://docs.google.com/spreadsheets/d/1Kvs4KS76FHFqLFIZfrDMff4kP08nblUkihrxltoGBjg/edit#gid=934712705"",""ESENCIAL!A6:BG""),15,FALSE))"),"TURISMO")</f>
        <v>TURISMO</v>
      </c>
      <c r="AX25" s="21">
        <f ca="1">IFERROR(__xludf.DUMMYFUNCTION("IFERROR(VLOOKUP(E39&amp;F39,IMPORTRANGE(""https://docs.google.com/spreadsheets/d/1Uw7-A9f9R21vMXxHZFNpYNeKFtG8_yji4HS352LGlSQ/edit?pli=1#gid=0"",""1_ACUM!A4:S""),12,FALSE))"),44839)</f>
        <v>44839</v>
      </c>
      <c r="AY25" s="22">
        <f ca="1">IFERROR(__xludf.DUMMYFUNCTION("IFERROR(VLOOKUP(E39&amp;F39,IMPORTRANGE(""https://docs.google.com/spreadsheets/d/1Uw7-A9f9R21vMXxHZFNpYNeKFtG8_yji4HS352LGlSQ/edit?pli=1#gid=0"",""1_ACUM!A4:S""),13,FALSE))"),14)</f>
        <v>14</v>
      </c>
      <c r="AZ25" s="22">
        <f ca="1">IFERROR(__xludf.DUMMYFUNCTION("IFERROR(VLOOKUP(E39&amp;F39,IMPORTRANGE(""https://docs.google.com/spreadsheets/d/1Uw7-A9f9R21vMXxHZFNpYNeKFtG8_yji4HS352LGlSQ/edit?pli=1#gid=0"",""1_ACUM!A4:S""),14,FALSE))"),1)</f>
        <v>1</v>
      </c>
      <c r="BA25" s="22">
        <f ca="1">IFERROR(__xludf.DUMMYFUNCTION("IFERROR(VLOOKUP(E39&amp;F39,IMPORTRANGE(""https://docs.google.com/spreadsheets/d/1Uw7-A9f9R21vMXxHZFNpYNeKFtG8_yji4HS352LGlSQ/edit?pli=1#gid=0"",""1_ACUM!A4:S""),15,FALSE))"),7)</f>
        <v>7</v>
      </c>
      <c r="BB25" s="22">
        <f ca="1">IFERROR(__xludf.DUMMYFUNCTION("IFERROR(VLOOKUP(E39&amp;F39,IMPORTRANGE(""https://docs.google.com/spreadsheets/d/1Uw7-A9f9R21vMXxHZFNpYNeKFtG8_yji4HS352LGlSQ/edit?pli=1#gid=0"",""1_ACUM!A4:S""),16,FALSE))"),20)</f>
        <v>20</v>
      </c>
      <c r="BC25" s="22">
        <f ca="1">IFERROR(__xludf.DUMMYFUNCTION("IFERROR(VLOOKUP(E39&amp;F39,IMPORTRANGE(""https://docs.google.com/spreadsheets/d/1Uw7-A9f9R21vMXxHZFNpYNeKFtG8_yji4HS352LGlSQ/edit?pli=1#gid=0"",""1_ACUM!A4:S""),17,FALSE))"),42)</f>
        <v>42</v>
      </c>
      <c r="BD25" s="23">
        <f ca="1">IFERROR(__xludf.DUMMYFUNCTION("IFERROR(VLOOKUP(E39&amp;F39,IMPORTRANGE(""https://docs.google.com/spreadsheets/d/1Uw7-A9f9R21vMXxHZFNpYNeKFtG8_yji4HS352LGlSQ/edit?pli=1#gid=0"",""1_ACUM!A4:S""),18,FALSE))"),44552)</f>
        <v>44552</v>
      </c>
      <c r="BE25" s="23">
        <f ca="1">IFERROR(__xludf.DUMMYFUNCTION("IFERROR(VLOOKUP(E39&amp;F39,IMPORTRANGE(""https://docs.google.com/spreadsheets/d/1Uw7-A9f9R21vMXxHZFNpYNeKFtG8_yji4HS352LGlSQ/edit?pli=1#gid=0"",""1_ACUM!A4:S""),19,FALSE))"),44825)</f>
        <v>44825</v>
      </c>
      <c r="BF25" s="68">
        <f ca="1">IFERROR(__xludf.DUMMYFUNCTION("IFERROR(VLOOKUP(F39,IMPORTRANGE(""https://docs.google.com/spreadsheets/d/1Kvs4KS76FHFqLFIZfrDMff4kP08nblUkihrxltoGBjg/edit#gid=934712705"",""ESENCIAL!A6:BG""),5,FALSE))"),45006)</f>
        <v>45006</v>
      </c>
      <c r="BG25" s="68">
        <f t="shared" ca="1" si="1"/>
        <v>45556</v>
      </c>
      <c r="BH25" s="17" t="str">
        <f t="shared" ca="1" si="2"/>
        <v>FICHA EN TIEMPO-18 MESES</v>
      </c>
      <c r="BI25" s="38" t="str">
        <f ca="1">IFERROR(__xludf.DUMMYFUNCTION("IFERROR(VLOOKUP(F39,IMPORTRANGE(""https://docs.google.com/spreadsheets/d/1Kvs4KS76FHFqLFIZfrDMff4kP08nblUkihrxltoGBjg/edit#gid=934712705"",""ESENCIAL!A6:BG""),2,FALSE))"),"En ejecucion")</f>
        <v>En ejecucion</v>
      </c>
      <c r="BJ25" s="19" t="str">
        <f t="shared" si="3"/>
        <v>Yamboro</v>
      </c>
      <c r="BK25" s="292"/>
      <c r="BL25" s="38"/>
    </row>
    <row r="26" spans="1:64" ht="18" customHeight="1">
      <c r="A26" s="289"/>
      <c r="B26" s="145" t="s">
        <v>25</v>
      </c>
      <c r="C26" s="25" t="s">
        <v>1696</v>
      </c>
      <c r="D26" s="57" t="s">
        <v>27</v>
      </c>
      <c r="E26" s="57">
        <v>1078755383</v>
      </c>
      <c r="F26" s="25">
        <v>2469966</v>
      </c>
      <c r="G26" s="11" t="str">
        <f ca="1">IFERROR(__xludf.DUMMYFUNCTION("IFERROR(VLOOKUP(F40,IMPORTRANGE(""https://docs.google.com/spreadsheets/d/1Kvs4KS76FHFqLFIZfrDMff4kP08nblUkihrxltoGBjg/edit#gid=934712705"",""ESENCIAL!A6:BG""),3,FALSE))"),"TÉCNICO")</f>
        <v>TÉCNICO</v>
      </c>
      <c r="H26" s="11" t="str">
        <f ca="1">IFERROR(__xludf.DUMMYFUNCTION("IFERROR(VLOOKUP(F40,IMPORTRANGE(""https://docs.google.com/spreadsheets/d/1Kvs4KS76FHFqLFIZfrDMff4kP08nblUkihrxltoGBjg/edit#gid=934712705"",""ESENCIAL!A6:BG""),8,FALSE))"),"EJECUCION DE PROGRAMAS DEPORTIVOS")</f>
        <v>EJECUCION DE PROGRAMAS DEPORTIVOS</v>
      </c>
      <c r="I26" s="25"/>
      <c r="J26" s="34"/>
      <c r="K26" s="34"/>
      <c r="L26" s="329" t="s">
        <v>44</v>
      </c>
      <c r="M26" s="34"/>
      <c r="N26" s="34"/>
      <c r="O26" s="34"/>
      <c r="P26" s="34"/>
      <c r="Q26" s="34"/>
      <c r="R26" s="35"/>
      <c r="S26" s="35"/>
      <c r="T26" s="34"/>
      <c r="U26" s="36"/>
      <c r="V26" s="30"/>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19" t="str">
        <f t="shared" ca="1" si="0"/>
        <v>NO_CUMPLE</v>
      </c>
      <c r="AV26" s="11" t="str">
        <f ca="1">IFERROR(__xludf.DUMMYFUNCTION("IFERROR(VLOOKUP(E40&amp;F40,IMPORTRANGE(""https://docs.google.com/spreadsheets/d/1Uw7-A9f9R21vMXxHZFNpYNeKFtG8_yji4HS352LGlSQ/edit?pli=1#gid=0"",""1_ACUM!A4:S""),11,FALSE))"),"EN FORMACION")</f>
        <v>EN FORMACION</v>
      </c>
      <c r="AW26" s="20" t="str">
        <f ca="1">IFERROR(__xludf.DUMMYFUNCTION("IFERROR(VLOOKUP(F40,IMPORTRANGE(""https://docs.google.com/spreadsheets/d/1Kvs4KS76FHFqLFIZfrDMff4kP08nblUkihrxltoGBjg/edit#gid=934712705"",""ESENCIAL!A6:BG""),15,FALSE))"),"TURISMO")</f>
        <v>TURISMO</v>
      </c>
      <c r="AX26" s="21">
        <f ca="1">IFERROR(__xludf.DUMMYFUNCTION("IFERROR(VLOOKUP(E40&amp;F40,IMPORTRANGE(""https://docs.google.com/spreadsheets/d/1Uw7-A9f9R21vMXxHZFNpYNeKFtG8_yji4HS352LGlSQ/edit?pli=1#gid=0"",""1_ACUM!A4:S""),12,FALSE))"),44839)</f>
        <v>44839</v>
      </c>
      <c r="AY26" s="22">
        <f ca="1">IFERROR(__xludf.DUMMYFUNCTION("IFERROR(VLOOKUP(E40&amp;F40,IMPORTRANGE(""https://docs.google.com/spreadsheets/d/1Uw7-A9f9R21vMXxHZFNpYNeKFtG8_yji4HS352LGlSQ/edit?pli=1#gid=0"",""1_ACUM!A4:S""),13,FALSE))"),7)</f>
        <v>7</v>
      </c>
      <c r="AZ26" s="22">
        <f ca="1">IFERROR(__xludf.DUMMYFUNCTION("IFERROR(VLOOKUP(E40&amp;F40,IMPORTRANGE(""https://docs.google.com/spreadsheets/d/1Uw7-A9f9R21vMXxHZFNpYNeKFtG8_yji4HS352LGlSQ/edit?pli=1#gid=0"",""1_ACUM!A4:S""),14,FALSE))"),1)</f>
        <v>1</v>
      </c>
      <c r="BA26" s="22">
        <f ca="1">IFERROR(__xludf.DUMMYFUNCTION("IFERROR(VLOOKUP(E40&amp;F40,IMPORTRANGE(""https://docs.google.com/spreadsheets/d/1Uw7-A9f9R21vMXxHZFNpYNeKFtG8_yji4HS352LGlSQ/edit?pli=1#gid=0"",""1_ACUM!A4:S""),15,FALSE))"),3)</f>
        <v>3</v>
      </c>
      <c r="BB26" s="22">
        <f ca="1">IFERROR(__xludf.DUMMYFUNCTION("IFERROR(VLOOKUP(E40&amp;F40,IMPORTRANGE(""https://docs.google.com/spreadsheets/d/1Uw7-A9f9R21vMXxHZFNpYNeKFtG8_yji4HS352LGlSQ/edit?pli=1#gid=0"",""1_ACUM!A4:S""),16,FALSE))"),13)</f>
        <v>13</v>
      </c>
      <c r="BC26" s="22">
        <f ca="1">IFERROR(__xludf.DUMMYFUNCTION("IFERROR(VLOOKUP(E40&amp;F40,IMPORTRANGE(""https://docs.google.com/spreadsheets/d/1Uw7-A9f9R21vMXxHZFNpYNeKFtG8_yji4HS352LGlSQ/edit?pli=1#gid=0"",""1_ACUM!A4:S""),17,FALSE))"),24)</f>
        <v>24</v>
      </c>
      <c r="BD26" s="23">
        <f ca="1">IFERROR(__xludf.DUMMYFUNCTION("IFERROR(VLOOKUP(E40&amp;F40,IMPORTRANGE(""https://docs.google.com/spreadsheets/d/1Uw7-A9f9R21vMXxHZFNpYNeKFtG8_yji4HS352LGlSQ/edit?pli=1#gid=0"",""1_ACUM!A4:S""),18,FALSE))"),44552)</f>
        <v>44552</v>
      </c>
      <c r="BE26" s="23">
        <f ca="1">IFERROR(__xludf.DUMMYFUNCTION("IFERROR(VLOOKUP(E40&amp;F40,IMPORTRANGE(""https://docs.google.com/spreadsheets/d/1Uw7-A9f9R21vMXxHZFNpYNeKFtG8_yji4HS352LGlSQ/edit?pli=1#gid=0"",""1_ACUM!A4:S""),19,FALSE))"),44825)</f>
        <v>44825</v>
      </c>
      <c r="BF26" s="68">
        <f ca="1">IFERROR(__xludf.DUMMYFUNCTION("IFERROR(VLOOKUP(F40,IMPORTRANGE(""https://docs.google.com/spreadsheets/d/1Kvs4KS76FHFqLFIZfrDMff4kP08nblUkihrxltoGBjg/edit#gid=934712705"",""ESENCIAL!A6:BG""),5,FALSE))"),45006)</f>
        <v>45006</v>
      </c>
      <c r="BG26" s="68">
        <f t="shared" ca="1" si="1"/>
        <v>45556</v>
      </c>
      <c r="BH26" s="17" t="str">
        <f t="shared" ca="1" si="2"/>
        <v>FICHA EN TIEMPO-18 MESES</v>
      </c>
      <c r="BI26" s="38" t="str">
        <f ca="1">IFERROR(__xludf.DUMMYFUNCTION("IFERROR(VLOOKUP(F40,IMPORTRANGE(""https://docs.google.com/spreadsheets/d/1Kvs4KS76FHFqLFIZfrDMff4kP08nblUkihrxltoGBjg/edit#gid=934712705"",""ESENCIAL!A6:BG""),2,FALSE))"),"En ejecucion")</f>
        <v>En ejecucion</v>
      </c>
      <c r="BJ26" s="19" t="str">
        <f t="shared" si="3"/>
        <v>Yamboro</v>
      </c>
      <c r="BK26" s="292"/>
      <c r="BL26" s="38"/>
    </row>
    <row r="27" spans="1:64" ht="18" customHeight="1">
      <c r="A27" s="289"/>
      <c r="B27" s="145" t="s">
        <v>25</v>
      </c>
      <c r="C27" s="25" t="s">
        <v>1697</v>
      </c>
      <c r="D27" s="57" t="s">
        <v>27</v>
      </c>
      <c r="E27" s="57">
        <v>1078755612</v>
      </c>
      <c r="F27" s="25">
        <v>2469966</v>
      </c>
      <c r="G27" s="11" t="str">
        <f ca="1">IFERROR(__xludf.DUMMYFUNCTION("IFERROR(VLOOKUP(F41,IMPORTRANGE(""https://docs.google.com/spreadsheets/d/1Kvs4KS76FHFqLFIZfrDMff4kP08nblUkihrxltoGBjg/edit#gid=934712705"",""ESENCIAL!A6:BG""),3,FALSE))"),"TÉCNICO")</f>
        <v>TÉCNICO</v>
      </c>
      <c r="H27" s="11" t="str">
        <f ca="1">IFERROR(__xludf.DUMMYFUNCTION("IFERROR(VLOOKUP(F41,IMPORTRANGE(""https://docs.google.com/spreadsheets/d/1Kvs4KS76FHFqLFIZfrDMff4kP08nblUkihrxltoGBjg/edit#gid=934712705"",""ESENCIAL!A6:BG""),8,FALSE))"),"EJECUCION DE PROGRAMAS DEPORTIVOS")</f>
        <v>EJECUCION DE PROGRAMAS DEPORTIVOS</v>
      </c>
      <c r="I27" s="25"/>
      <c r="J27" s="34"/>
      <c r="K27" s="34"/>
      <c r="L27" s="34" t="s">
        <v>161</v>
      </c>
      <c r="M27" s="34"/>
      <c r="N27" s="34"/>
      <c r="O27" s="34"/>
      <c r="P27" s="34"/>
      <c r="Q27" s="34"/>
      <c r="R27" s="35">
        <v>44786</v>
      </c>
      <c r="S27" s="35">
        <v>44969</v>
      </c>
      <c r="T27" s="34"/>
      <c r="U27" s="36" t="s">
        <v>1698</v>
      </c>
      <c r="V27" s="30" t="s">
        <v>1699</v>
      </c>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19" t="str">
        <f t="shared" ca="1" si="0"/>
        <v>Procede_E_P</v>
      </c>
      <c r="AV27" s="11" t="str">
        <f ca="1">IFERROR(__xludf.DUMMYFUNCTION("IFERROR(VLOOKUP(E41&amp;F41,IMPORTRANGE(""https://docs.google.com/spreadsheets/d/1Uw7-A9f9R21vMXxHZFNpYNeKFtG8_yji4HS352LGlSQ/edit?pli=1#gid=0"",""1_ACUM!A4:S""),11,FALSE))"),"EN FORMACION")</f>
        <v>EN FORMACION</v>
      </c>
      <c r="AW27" s="20" t="str">
        <f ca="1">IFERROR(__xludf.DUMMYFUNCTION("IFERROR(VLOOKUP(F41,IMPORTRANGE(""https://docs.google.com/spreadsheets/d/1Kvs4KS76FHFqLFIZfrDMff4kP08nblUkihrxltoGBjg/edit#gid=934712705"",""ESENCIAL!A6:BG""),15,FALSE))"),"TURISMO")</f>
        <v>TURISMO</v>
      </c>
      <c r="AX27" s="21">
        <f ca="1">IFERROR(__xludf.DUMMYFUNCTION("IFERROR(VLOOKUP(E41&amp;F41,IMPORTRANGE(""https://docs.google.com/spreadsheets/d/1Uw7-A9f9R21vMXxHZFNpYNeKFtG8_yji4HS352LGlSQ/edit?pli=1#gid=0"",""1_ACUM!A4:S""),12,FALSE))"),44839)</f>
        <v>44839</v>
      </c>
      <c r="AY27" s="22">
        <f ca="1">IFERROR(__xludf.DUMMYFUNCTION("IFERROR(VLOOKUP(E41&amp;F41,IMPORTRANGE(""https://docs.google.com/spreadsheets/d/1Uw7-A9f9R21vMXxHZFNpYNeKFtG8_yji4HS352LGlSQ/edit?pli=1#gid=0"",""1_ACUM!A4:S""),13,FALSE))"),0)</f>
        <v>0</v>
      </c>
      <c r="AZ27" s="22">
        <f ca="1">IFERROR(__xludf.DUMMYFUNCTION("IFERROR(VLOOKUP(E41&amp;F41,IMPORTRANGE(""https://docs.google.com/spreadsheets/d/1Uw7-A9f9R21vMXxHZFNpYNeKFtG8_yji4HS352LGlSQ/edit?pli=1#gid=0"",""1_ACUM!A4:S""),14,FALSE))"),1)</f>
        <v>1</v>
      </c>
      <c r="BA27" s="22">
        <f ca="1">IFERROR(__xludf.DUMMYFUNCTION("IFERROR(VLOOKUP(E41&amp;F41,IMPORTRANGE(""https://docs.google.com/spreadsheets/d/1Uw7-A9f9R21vMXxHZFNpYNeKFtG8_yji4HS352LGlSQ/edit?pli=1#gid=0"",""1_ACUM!A4:S""),15,FALSE))"),0)</f>
        <v>0</v>
      </c>
      <c r="BB27" s="22">
        <f ca="1">IFERROR(__xludf.DUMMYFUNCTION("IFERROR(VLOOKUP(E41&amp;F41,IMPORTRANGE(""https://docs.google.com/spreadsheets/d/1Uw7-A9f9R21vMXxHZFNpYNeKFtG8_yji4HS352LGlSQ/edit?pli=1#gid=0"",""1_ACUM!A4:S""),16,FALSE))"),0)</f>
        <v>0</v>
      </c>
      <c r="BC27" s="22">
        <f ca="1">IFERROR(__xludf.DUMMYFUNCTION("IFERROR(VLOOKUP(E41&amp;F41,IMPORTRANGE(""https://docs.google.com/spreadsheets/d/1Uw7-A9f9R21vMXxHZFNpYNeKFtG8_yji4HS352LGlSQ/edit?pli=1#gid=0"",""1_ACUM!A4:S""),17,FALSE))"),1)</f>
        <v>1</v>
      </c>
      <c r="BD27" s="23">
        <f ca="1">IFERROR(__xludf.DUMMYFUNCTION("IFERROR(VLOOKUP(E41&amp;F41,IMPORTRANGE(""https://docs.google.com/spreadsheets/d/1Uw7-A9f9R21vMXxHZFNpYNeKFtG8_yji4HS352LGlSQ/edit?pli=1#gid=0"",""1_ACUM!A4:S""),18,FALSE))"),44552)</f>
        <v>44552</v>
      </c>
      <c r="BE27" s="23">
        <f ca="1">IFERROR(__xludf.DUMMYFUNCTION("IFERROR(VLOOKUP(E41&amp;F41,IMPORTRANGE(""https://docs.google.com/spreadsheets/d/1Uw7-A9f9R21vMXxHZFNpYNeKFtG8_yji4HS352LGlSQ/edit?pli=1#gid=0"",""1_ACUM!A4:S""),19,FALSE))"),44825)</f>
        <v>44825</v>
      </c>
      <c r="BF27" s="68">
        <f ca="1">IFERROR(__xludf.DUMMYFUNCTION("IFERROR(VLOOKUP(F41,IMPORTRANGE(""https://docs.google.com/spreadsheets/d/1Kvs4KS76FHFqLFIZfrDMff4kP08nblUkihrxltoGBjg/edit#gid=934712705"",""ESENCIAL!A6:BG""),5,FALSE))"),45006)</f>
        <v>45006</v>
      </c>
      <c r="BG27" s="68">
        <f t="shared" ca="1" si="1"/>
        <v>45556</v>
      </c>
      <c r="BH27" s="17" t="str">
        <f t="shared" ca="1" si="2"/>
        <v>FICHA EN TIEMPO-18 MESES</v>
      </c>
      <c r="BI27" s="38" t="str">
        <f ca="1">IFERROR(__xludf.DUMMYFUNCTION("IFERROR(VLOOKUP(F41,IMPORTRANGE(""https://docs.google.com/spreadsheets/d/1Kvs4KS76FHFqLFIZfrDMff4kP08nblUkihrxltoGBjg/edit#gid=934712705"",""ESENCIAL!A6:BG""),2,FALSE))"),"En ejecucion")</f>
        <v>En ejecucion</v>
      </c>
      <c r="BJ27" s="19" t="str">
        <f t="shared" si="3"/>
        <v>Yamboro</v>
      </c>
      <c r="BK27" s="292"/>
      <c r="BL27" s="38"/>
    </row>
    <row r="28" spans="1:64" ht="18" customHeight="1">
      <c r="A28" s="289"/>
      <c r="B28" s="145" t="s">
        <v>25</v>
      </c>
      <c r="C28" s="25" t="s">
        <v>1700</v>
      </c>
      <c r="D28" s="57" t="s">
        <v>27</v>
      </c>
      <c r="E28" s="57">
        <v>1080366355</v>
      </c>
      <c r="F28" s="25">
        <v>2469966</v>
      </c>
      <c r="G28" s="11" t="str">
        <f ca="1">IFERROR(__xludf.DUMMYFUNCTION("IFERROR(VLOOKUP(F42,IMPORTRANGE(""https://docs.google.com/spreadsheets/d/1Kvs4KS76FHFqLFIZfrDMff4kP08nblUkihrxltoGBjg/edit#gid=934712705"",""ESENCIAL!A6:BG""),3,FALSE))"),"TÉCNICO")</f>
        <v>TÉCNICO</v>
      </c>
      <c r="H28" s="11" t="str">
        <f ca="1">IFERROR(__xludf.DUMMYFUNCTION("IFERROR(VLOOKUP(F42,IMPORTRANGE(""https://docs.google.com/spreadsheets/d/1Kvs4KS76FHFqLFIZfrDMff4kP08nblUkihrxltoGBjg/edit#gid=934712705"",""ESENCIAL!A6:BG""),8,FALSE))"),"EJECUCION DE PROGRAMAS DEPORTIVOS")</f>
        <v>EJECUCION DE PROGRAMAS DEPORTIVOS</v>
      </c>
      <c r="I28" s="25"/>
      <c r="J28" s="34"/>
      <c r="K28" s="34"/>
      <c r="L28" s="329" t="s">
        <v>44</v>
      </c>
      <c r="M28" s="34"/>
      <c r="N28" s="34"/>
      <c r="O28" s="34"/>
      <c r="P28" s="34"/>
      <c r="Q28" s="34"/>
      <c r="R28" s="35"/>
      <c r="S28" s="35"/>
      <c r="T28" s="34"/>
      <c r="U28" s="36"/>
      <c r="V28" s="30"/>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19" t="str">
        <f t="shared" ca="1" si="0"/>
        <v>NO_CUMPLE</v>
      </c>
      <c r="AV28" s="11" t="str">
        <f ca="1">IFERROR(__xludf.DUMMYFUNCTION("IFERROR(VLOOKUP(E42&amp;F42,IMPORTRANGE(""https://docs.google.com/spreadsheets/d/1Uw7-A9f9R21vMXxHZFNpYNeKFtG8_yji4HS352LGlSQ/edit?pli=1#gid=0"",""1_ACUM!A4:S""),11,FALSE))"),"EN FORMACION")</f>
        <v>EN FORMACION</v>
      </c>
      <c r="AW28" s="20" t="str">
        <f ca="1">IFERROR(__xludf.DUMMYFUNCTION("IFERROR(VLOOKUP(F42,IMPORTRANGE(""https://docs.google.com/spreadsheets/d/1Kvs4KS76FHFqLFIZfrDMff4kP08nblUkihrxltoGBjg/edit#gid=934712705"",""ESENCIAL!A6:BG""),15,FALSE))"),"TURISMO")</f>
        <v>TURISMO</v>
      </c>
      <c r="AX28" s="21">
        <f ca="1">IFERROR(__xludf.DUMMYFUNCTION("IFERROR(VLOOKUP(E42&amp;F42,IMPORTRANGE(""https://docs.google.com/spreadsheets/d/1Uw7-A9f9R21vMXxHZFNpYNeKFtG8_yji4HS352LGlSQ/edit?pli=1#gid=0"",""1_ACUM!A4:S""),12,FALSE))"),44839)</f>
        <v>44839</v>
      </c>
      <c r="AY28" s="22">
        <f ca="1">IFERROR(__xludf.DUMMYFUNCTION("IFERROR(VLOOKUP(E42&amp;F42,IMPORTRANGE(""https://docs.google.com/spreadsheets/d/1Uw7-A9f9R21vMXxHZFNpYNeKFtG8_yji4HS352LGlSQ/edit?pli=1#gid=0"",""1_ACUM!A4:S""),13,FALSE))"),6)</f>
        <v>6</v>
      </c>
      <c r="AZ28" s="22">
        <f ca="1">IFERROR(__xludf.DUMMYFUNCTION("IFERROR(VLOOKUP(E42&amp;F42,IMPORTRANGE(""https://docs.google.com/spreadsheets/d/1Uw7-A9f9R21vMXxHZFNpYNeKFtG8_yji4HS352LGlSQ/edit?pli=1#gid=0"",""1_ACUM!A4:S""),14,FALSE))"),1)</f>
        <v>1</v>
      </c>
      <c r="BA28" s="22">
        <f ca="1">IFERROR(__xludf.DUMMYFUNCTION("IFERROR(VLOOKUP(E42&amp;F42,IMPORTRANGE(""https://docs.google.com/spreadsheets/d/1Uw7-A9f9R21vMXxHZFNpYNeKFtG8_yji4HS352LGlSQ/edit?pli=1#gid=0"",""1_ACUM!A4:S""),15,FALSE))"),7)</f>
        <v>7</v>
      </c>
      <c r="BB28" s="22">
        <f ca="1">IFERROR(__xludf.DUMMYFUNCTION("IFERROR(VLOOKUP(E42&amp;F42,IMPORTRANGE(""https://docs.google.com/spreadsheets/d/1Uw7-A9f9R21vMXxHZFNpYNeKFtG8_yji4HS352LGlSQ/edit?pli=1#gid=0"",""1_ACUM!A4:S""),16,FALSE))"),15)</f>
        <v>15</v>
      </c>
      <c r="BC28" s="22">
        <f ca="1">IFERROR(__xludf.DUMMYFUNCTION("IFERROR(VLOOKUP(E42&amp;F42,IMPORTRANGE(""https://docs.google.com/spreadsheets/d/1Uw7-A9f9R21vMXxHZFNpYNeKFtG8_yji4HS352LGlSQ/edit?pli=1#gid=0"",""1_ACUM!A4:S""),17,FALSE))"),29)</f>
        <v>29</v>
      </c>
      <c r="BD28" s="23">
        <f ca="1">IFERROR(__xludf.DUMMYFUNCTION("IFERROR(VLOOKUP(E42&amp;F42,IMPORTRANGE(""https://docs.google.com/spreadsheets/d/1Uw7-A9f9R21vMXxHZFNpYNeKFtG8_yji4HS352LGlSQ/edit?pli=1#gid=0"",""1_ACUM!A4:S""),18,FALSE))"),44552)</f>
        <v>44552</v>
      </c>
      <c r="BE28" s="23">
        <f ca="1">IFERROR(__xludf.DUMMYFUNCTION("IFERROR(VLOOKUP(E42&amp;F42,IMPORTRANGE(""https://docs.google.com/spreadsheets/d/1Uw7-A9f9R21vMXxHZFNpYNeKFtG8_yji4HS352LGlSQ/edit?pli=1#gid=0"",""1_ACUM!A4:S""),19,FALSE))"),44825)</f>
        <v>44825</v>
      </c>
      <c r="BF28" s="68">
        <f ca="1">IFERROR(__xludf.DUMMYFUNCTION("IFERROR(VLOOKUP(F42,IMPORTRANGE(""https://docs.google.com/spreadsheets/d/1Kvs4KS76FHFqLFIZfrDMff4kP08nblUkihrxltoGBjg/edit#gid=934712705"",""ESENCIAL!A6:BG""),5,FALSE))"),45006)</f>
        <v>45006</v>
      </c>
      <c r="BG28" s="68">
        <f t="shared" ca="1" si="1"/>
        <v>45556</v>
      </c>
      <c r="BH28" s="17" t="str">
        <f t="shared" ca="1" si="2"/>
        <v>FICHA EN TIEMPO-18 MESES</v>
      </c>
      <c r="BI28" s="38" t="str">
        <f ca="1">IFERROR(__xludf.DUMMYFUNCTION("IFERROR(VLOOKUP(F42,IMPORTRANGE(""https://docs.google.com/spreadsheets/d/1Kvs4KS76FHFqLFIZfrDMff4kP08nblUkihrxltoGBjg/edit#gid=934712705"",""ESENCIAL!A6:BG""),2,FALSE))"),"En ejecucion")</f>
        <v>En ejecucion</v>
      </c>
      <c r="BJ28" s="19" t="str">
        <f t="shared" si="3"/>
        <v>Yamboro</v>
      </c>
      <c r="BK28" s="292"/>
      <c r="BL28" s="38"/>
    </row>
    <row r="29" spans="1:64" ht="18" customHeight="1">
      <c r="A29" s="289"/>
      <c r="B29" s="145" t="s">
        <v>25</v>
      </c>
      <c r="C29" s="25" t="s">
        <v>1701</v>
      </c>
      <c r="D29" s="57" t="s">
        <v>27</v>
      </c>
      <c r="E29" s="57">
        <v>1083869937</v>
      </c>
      <c r="F29" s="25">
        <v>2469966</v>
      </c>
      <c r="G29" s="11" t="str">
        <f ca="1">IFERROR(__xludf.DUMMYFUNCTION("IFERROR(VLOOKUP(F43,IMPORTRANGE(""https://docs.google.com/spreadsheets/d/1Kvs4KS76FHFqLFIZfrDMff4kP08nblUkihrxltoGBjg/edit#gid=934712705"",""ESENCIAL!A6:BG""),3,FALSE))"),"TÉCNICO")</f>
        <v>TÉCNICO</v>
      </c>
      <c r="H29" s="11" t="str">
        <f ca="1">IFERROR(__xludf.DUMMYFUNCTION("IFERROR(VLOOKUP(F43,IMPORTRANGE(""https://docs.google.com/spreadsheets/d/1Kvs4KS76FHFqLFIZfrDMff4kP08nblUkihrxltoGBjg/edit#gid=934712705"",""ESENCIAL!A6:BG""),8,FALSE))"),"EJECUCION DE PROGRAMAS DEPORTIVOS")</f>
        <v>EJECUCION DE PROGRAMAS DEPORTIVOS</v>
      </c>
      <c r="I29" s="25"/>
      <c r="J29" s="34"/>
      <c r="K29" s="34"/>
      <c r="L29" s="329" t="s">
        <v>44</v>
      </c>
      <c r="M29" s="34"/>
      <c r="N29" s="34"/>
      <c r="O29" s="34"/>
      <c r="P29" s="34"/>
      <c r="Q29" s="34"/>
      <c r="R29" s="35"/>
      <c r="S29" s="35"/>
      <c r="T29" s="34"/>
      <c r="U29" s="36"/>
      <c r="V29" s="30"/>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19" t="str">
        <f t="shared" ca="1" si="0"/>
        <v>NO_CUMPLE</v>
      </c>
      <c r="AV29" s="11" t="str">
        <f ca="1">IFERROR(__xludf.DUMMYFUNCTION("IFERROR(VLOOKUP(E43&amp;F43,IMPORTRANGE(""https://docs.google.com/spreadsheets/d/1Uw7-A9f9R21vMXxHZFNpYNeKFtG8_yji4HS352LGlSQ/edit?pli=1#gid=0"",""1_ACUM!A4:S""),11,FALSE))"),"EN FORMACION")</f>
        <v>EN FORMACION</v>
      </c>
      <c r="AW29" s="20" t="str">
        <f ca="1">IFERROR(__xludf.DUMMYFUNCTION("IFERROR(VLOOKUP(F43,IMPORTRANGE(""https://docs.google.com/spreadsheets/d/1Kvs4KS76FHFqLFIZfrDMff4kP08nblUkihrxltoGBjg/edit#gid=934712705"",""ESENCIAL!A6:BG""),15,FALSE))"),"TURISMO")</f>
        <v>TURISMO</v>
      </c>
      <c r="AX29" s="21">
        <f ca="1">IFERROR(__xludf.DUMMYFUNCTION("IFERROR(VLOOKUP(E43&amp;F43,IMPORTRANGE(""https://docs.google.com/spreadsheets/d/1Uw7-A9f9R21vMXxHZFNpYNeKFtG8_yji4HS352LGlSQ/edit?pli=1#gid=0"",""1_ACUM!A4:S""),12,FALSE))"),44839)</f>
        <v>44839</v>
      </c>
      <c r="AY29" s="22">
        <f ca="1">IFERROR(__xludf.DUMMYFUNCTION("IFERROR(VLOOKUP(E43&amp;F43,IMPORTRANGE(""https://docs.google.com/spreadsheets/d/1Uw7-A9f9R21vMXxHZFNpYNeKFtG8_yji4HS352LGlSQ/edit?pli=1#gid=0"",""1_ACUM!A4:S""),13,FALSE))"),6)</f>
        <v>6</v>
      </c>
      <c r="AZ29" s="22">
        <f ca="1">IFERROR(__xludf.DUMMYFUNCTION("IFERROR(VLOOKUP(E43&amp;F43,IMPORTRANGE(""https://docs.google.com/spreadsheets/d/1Uw7-A9f9R21vMXxHZFNpYNeKFtG8_yji4HS352LGlSQ/edit?pli=1#gid=0"",""1_ACUM!A4:S""),14,FALSE))"),1)</f>
        <v>1</v>
      </c>
      <c r="BA29" s="22">
        <f ca="1">IFERROR(__xludf.DUMMYFUNCTION("IFERROR(VLOOKUP(E43&amp;F43,IMPORTRANGE(""https://docs.google.com/spreadsheets/d/1Uw7-A9f9R21vMXxHZFNpYNeKFtG8_yji4HS352LGlSQ/edit?pli=1#gid=0"",""1_ACUM!A4:S""),15,FALSE))"),7)</f>
        <v>7</v>
      </c>
      <c r="BB29" s="22">
        <f ca="1">IFERROR(__xludf.DUMMYFUNCTION("IFERROR(VLOOKUP(E43&amp;F43,IMPORTRANGE(""https://docs.google.com/spreadsheets/d/1Uw7-A9f9R21vMXxHZFNpYNeKFtG8_yji4HS352LGlSQ/edit?pli=1#gid=0"",""1_ACUM!A4:S""),16,FALSE))"),15)</f>
        <v>15</v>
      </c>
      <c r="BC29" s="22">
        <f ca="1">IFERROR(__xludf.DUMMYFUNCTION("IFERROR(VLOOKUP(E43&amp;F43,IMPORTRANGE(""https://docs.google.com/spreadsheets/d/1Uw7-A9f9R21vMXxHZFNpYNeKFtG8_yji4HS352LGlSQ/edit?pli=1#gid=0"",""1_ACUM!A4:S""),17,FALSE))"),29)</f>
        <v>29</v>
      </c>
      <c r="BD29" s="23">
        <f ca="1">IFERROR(__xludf.DUMMYFUNCTION("IFERROR(VLOOKUP(E43&amp;F43,IMPORTRANGE(""https://docs.google.com/spreadsheets/d/1Uw7-A9f9R21vMXxHZFNpYNeKFtG8_yji4HS352LGlSQ/edit?pli=1#gid=0"",""1_ACUM!A4:S""),18,FALSE))"),44552)</f>
        <v>44552</v>
      </c>
      <c r="BE29" s="23">
        <f ca="1">IFERROR(__xludf.DUMMYFUNCTION("IFERROR(VLOOKUP(E43&amp;F43,IMPORTRANGE(""https://docs.google.com/spreadsheets/d/1Uw7-A9f9R21vMXxHZFNpYNeKFtG8_yji4HS352LGlSQ/edit?pli=1#gid=0"",""1_ACUM!A4:S""),19,FALSE))"),44825)</f>
        <v>44825</v>
      </c>
      <c r="BF29" s="68">
        <f ca="1">IFERROR(__xludf.DUMMYFUNCTION("IFERROR(VLOOKUP(F43,IMPORTRANGE(""https://docs.google.com/spreadsheets/d/1Kvs4KS76FHFqLFIZfrDMff4kP08nblUkihrxltoGBjg/edit#gid=934712705"",""ESENCIAL!A6:BG""),5,FALSE))"),45006)</f>
        <v>45006</v>
      </c>
      <c r="BG29" s="68">
        <f t="shared" ca="1" si="1"/>
        <v>45556</v>
      </c>
      <c r="BH29" s="17" t="str">
        <f t="shared" ca="1" si="2"/>
        <v>FICHA EN TIEMPO-18 MESES</v>
      </c>
      <c r="BI29" s="38" t="str">
        <f ca="1">IFERROR(__xludf.DUMMYFUNCTION("IFERROR(VLOOKUP(F43,IMPORTRANGE(""https://docs.google.com/spreadsheets/d/1Kvs4KS76FHFqLFIZfrDMff4kP08nblUkihrxltoGBjg/edit#gid=934712705"",""ESENCIAL!A6:BG""),2,FALSE))"),"En ejecucion")</f>
        <v>En ejecucion</v>
      </c>
      <c r="BJ29" s="19" t="str">
        <f t="shared" si="3"/>
        <v>Yamboro</v>
      </c>
      <c r="BK29" s="292"/>
      <c r="BL29" s="38"/>
    </row>
    <row r="30" spans="1:64" ht="18" customHeight="1">
      <c r="A30" s="289"/>
      <c r="B30" s="145" t="s">
        <v>25</v>
      </c>
      <c r="C30" s="25" t="s">
        <v>1702</v>
      </c>
      <c r="D30" s="57" t="s">
        <v>67</v>
      </c>
      <c r="E30" s="57">
        <v>1083877022</v>
      </c>
      <c r="F30" s="25">
        <v>2469966</v>
      </c>
      <c r="G30" s="11" t="str">
        <f ca="1">IFERROR(__xludf.DUMMYFUNCTION("IFERROR(VLOOKUP(F44,IMPORTRANGE(""https://docs.google.com/spreadsheets/d/1Kvs4KS76FHFqLFIZfrDMff4kP08nblUkihrxltoGBjg/edit#gid=934712705"",""ESENCIAL!A6:BG""),3,FALSE))"),"TÉCNICO")</f>
        <v>TÉCNICO</v>
      </c>
      <c r="H30" s="11" t="str">
        <f ca="1">IFERROR(__xludf.DUMMYFUNCTION("IFERROR(VLOOKUP(F44,IMPORTRANGE(""https://docs.google.com/spreadsheets/d/1Kvs4KS76FHFqLFIZfrDMff4kP08nblUkihrxltoGBjg/edit#gid=934712705"",""ESENCIAL!A6:BG""),8,FALSE))"),"EJECUCION DE PROGRAMAS DEPORTIVOS")</f>
        <v>EJECUCION DE PROGRAMAS DEPORTIVOS</v>
      </c>
      <c r="I30" s="25"/>
      <c r="J30" s="34"/>
      <c r="K30" s="34"/>
      <c r="L30" s="329" t="s">
        <v>44</v>
      </c>
      <c r="M30" s="34"/>
      <c r="N30" s="34"/>
      <c r="O30" s="34"/>
      <c r="P30" s="34"/>
      <c r="Q30" s="34"/>
      <c r="R30" s="35"/>
      <c r="S30" s="35"/>
      <c r="T30" s="34"/>
      <c r="U30" s="36"/>
      <c r="V30" s="30"/>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19" t="str">
        <f t="shared" ca="1" si="0"/>
        <v>NO_CUMPLE</v>
      </c>
      <c r="AV30" s="11" t="str">
        <f ca="1">IFERROR(__xludf.DUMMYFUNCTION("IFERROR(VLOOKUP(E44&amp;F44,IMPORTRANGE(""https://docs.google.com/spreadsheets/d/1Uw7-A9f9R21vMXxHZFNpYNeKFtG8_yji4HS352LGlSQ/edit?pli=1#gid=0"",""1_ACUM!A4:S""),11,FALSE))"),"EN FORMACION")</f>
        <v>EN FORMACION</v>
      </c>
      <c r="AW30" s="20" t="str">
        <f ca="1">IFERROR(__xludf.DUMMYFUNCTION("IFERROR(VLOOKUP(F44,IMPORTRANGE(""https://docs.google.com/spreadsheets/d/1Kvs4KS76FHFqLFIZfrDMff4kP08nblUkihrxltoGBjg/edit#gid=934712705"",""ESENCIAL!A6:BG""),15,FALSE))"),"TURISMO")</f>
        <v>TURISMO</v>
      </c>
      <c r="AX30" s="21">
        <f ca="1">IFERROR(__xludf.DUMMYFUNCTION("IFERROR(VLOOKUP(E44&amp;F44,IMPORTRANGE(""https://docs.google.com/spreadsheets/d/1Uw7-A9f9R21vMXxHZFNpYNeKFtG8_yji4HS352LGlSQ/edit?pli=1#gid=0"",""1_ACUM!A4:S""),12,FALSE))"),44839)</f>
        <v>44839</v>
      </c>
      <c r="AY30" s="22">
        <f ca="1">IFERROR(__xludf.DUMMYFUNCTION("IFERROR(VLOOKUP(E44&amp;F44,IMPORTRANGE(""https://docs.google.com/spreadsheets/d/1Uw7-A9f9R21vMXxHZFNpYNeKFtG8_yji4HS352LGlSQ/edit?pli=1#gid=0"",""1_ACUM!A4:S""),13,FALSE))"),14)</f>
        <v>14</v>
      </c>
      <c r="AZ30" s="22">
        <f ca="1">IFERROR(__xludf.DUMMYFUNCTION("IFERROR(VLOOKUP(E44&amp;F44,IMPORTRANGE(""https://docs.google.com/spreadsheets/d/1Uw7-A9f9R21vMXxHZFNpYNeKFtG8_yji4HS352LGlSQ/edit?pli=1#gid=0"",""1_ACUM!A4:S""),14,FALSE))"),1)</f>
        <v>1</v>
      </c>
      <c r="BA30" s="22">
        <f ca="1">IFERROR(__xludf.DUMMYFUNCTION("IFERROR(VLOOKUP(E44&amp;F44,IMPORTRANGE(""https://docs.google.com/spreadsheets/d/1Uw7-A9f9R21vMXxHZFNpYNeKFtG8_yji4HS352LGlSQ/edit?pli=1#gid=0"",""1_ACUM!A4:S""),15,FALSE))"),7)</f>
        <v>7</v>
      </c>
      <c r="BB30" s="22">
        <f ca="1">IFERROR(__xludf.DUMMYFUNCTION("IFERROR(VLOOKUP(E44&amp;F44,IMPORTRANGE(""https://docs.google.com/spreadsheets/d/1Uw7-A9f9R21vMXxHZFNpYNeKFtG8_yji4HS352LGlSQ/edit?pli=1#gid=0"",""1_ACUM!A4:S""),16,FALSE))"),20)</f>
        <v>20</v>
      </c>
      <c r="BC30" s="22">
        <f ca="1">IFERROR(__xludf.DUMMYFUNCTION("IFERROR(VLOOKUP(E44&amp;F44,IMPORTRANGE(""https://docs.google.com/spreadsheets/d/1Uw7-A9f9R21vMXxHZFNpYNeKFtG8_yji4HS352LGlSQ/edit?pli=1#gid=0"",""1_ACUM!A4:S""),17,FALSE))"),42)</f>
        <v>42</v>
      </c>
      <c r="BD30" s="23">
        <f ca="1">IFERROR(__xludf.DUMMYFUNCTION("IFERROR(VLOOKUP(E44&amp;F44,IMPORTRANGE(""https://docs.google.com/spreadsheets/d/1Uw7-A9f9R21vMXxHZFNpYNeKFtG8_yji4HS352LGlSQ/edit?pli=1#gid=0"",""1_ACUM!A4:S""),18,FALSE))"),44552)</f>
        <v>44552</v>
      </c>
      <c r="BE30" s="23">
        <f ca="1">IFERROR(__xludf.DUMMYFUNCTION("IFERROR(VLOOKUP(E44&amp;F44,IMPORTRANGE(""https://docs.google.com/spreadsheets/d/1Uw7-A9f9R21vMXxHZFNpYNeKFtG8_yji4HS352LGlSQ/edit?pli=1#gid=0"",""1_ACUM!A4:S""),19,FALSE))"),44825)</f>
        <v>44825</v>
      </c>
      <c r="BF30" s="68">
        <f ca="1">IFERROR(__xludf.DUMMYFUNCTION("IFERROR(VLOOKUP(F44,IMPORTRANGE(""https://docs.google.com/spreadsheets/d/1Kvs4KS76FHFqLFIZfrDMff4kP08nblUkihrxltoGBjg/edit#gid=934712705"",""ESENCIAL!A6:BG""),5,FALSE))"),45006)</f>
        <v>45006</v>
      </c>
      <c r="BG30" s="68">
        <f t="shared" ca="1" si="1"/>
        <v>45556</v>
      </c>
      <c r="BH30" s="17" t="str">
        <f t="shared" ca="1" si="2"/>
        <v>FICHA EN TIEMPO-18 MESES</v>
      </c>
      <c r="BI30" s="38" t="str">
        <f ca="1">IFERROR(__xludf.DUMMYFUNCTION("IFERROR(VLOOKUP(F44,IMPORTRANGE(""https://docs.google.com/spreadsheets/d/1Kvs4KS76FHFqLFIZfrDMff4kP08nblUkihrxltoGBjg/edit#gid=934712705"",""ESENCIAL!A6:BG""),2,FALSE))"),"En ejecucion")</f>
        <v>En ejecucion</v>
      </c>
      <c r="BJ30" s="19" t="str">
        <f t="shared" si="3"/>
        <v>Yamboro</v>
      </c>
      <c r="BK30" s="292"/>
      <c r="BL30" s="38"/>
    </row>
    <row r="31" spans="1:64" ht="18" customHeight="1">
      <c r="A31" s="289"/>
      <c r="B31" s="145" t="s">
        <v>25</v>
      </c>
      <c r="C31" s="25" t="s">
        <v>1703</v>
      </c>
      <c r="D31" s="57" t="s">
        <v>67</v>
      </c>
      <c r="E31" s="57">
        <v>1084330596</v>
      </c>
      <c r="F31" s="25">
        <v>2469966</v>
      </c>
      <c r="G31" s="11" t="str">
        <f ca="1">IFERROR(__xludf.DUMMYFUNCTION("IFERROR(VLOOKUP(F45,IMPORTRANGE(""https://docs.google.com/spreadsheets/d/1Kvs4KS76FHFqLFIZfrDMff4kP08nblUkihrxltoGBjg/edit#gid=934712705"",""ESENCIAL!A6:BG""),3,FALSE))"),"TÉCNICO")</f>
        <v>TÉCNICO</v>
      </c>
      <c r="H31" s="11" t="str">
        <f ca="1">IFERROR(__xludf.DUMMYFUNCTION("IFERROR(VLOOKUP(F45,IMPORTRANGE(""https://docs.google.com/spreadsheets/d/1Kvs4KS76FHFqLFIZfrDMff4kP08nblUkihrxltoGBjg/edit#gid=934712705"",""ESENCIAL!A6:BG""),8,FALSE))"),"EJECUCION DE PROGRAMAS DEPORTIVOS")</f>
        <v>EJECUCION DE PROGRAMAS DEPORTIVOS</v>
      </c>
      <c r="I31" s="25"/>
      <c r="J31" s="34"/>
      <c r="K31" s="34"/>
      <c r="L31" s="329" t="s">
        <v>44</v>
      </c>
      <c r="M31" s="34"/>
      <c r="N31" s="34"/>
      <c r="O31" s="34"/>
      <c r="P31" s="34"/>
      <c r="Q31" s="34"/>
      <c r="R31" s="35"/>
      <c r="S31" s="35"/>
      <c r="T31" s="34"/>
      <c r="U31" s="36"/>
      <c r="V31" s="30"/>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19" t="str">
        <f t="shared" ca="1" si="0"/>
        <v>NO_CUMPLE</v>
      </c>
      <c r="AV31" s="11" t="str">
        <f ca="1">IFERROR(__xludf.DUMMYFUNCTION("IFERROR(VLOOKUP(E45&amp;F45,IMPORTRANGE(""https://docs.google.com/spreadsheets/d/1Uw7-A9f9R21vMXxHZFNpYNeKFtG8_yji4HS352LGlSQ/edit?pli=1#gid=0"",""1_ACUM!A4:S""),11,FALSE))"),"EN FORMACION")</f>
        <v>EN FORMACION</v>
      </c>
      <c r="AW31" s="20" t="str">
        <f ca="1">IFERROR(__xludf.DUMMYFUNCTION("IFERROR(VLOOKUP(F45,IMPORTRANGE(""https://docs.google.com/spreadsheets/d/1Kvs4KS76FHFqLFIZfrDMff4kP08nblUkihrxltoGBjg/edit#gid=934712705"",""ESENCIAL!A6:BG""),15,FALSE))"),"TURISMO")</f>
        <v>TURISMO</v>
      </c>
      <c r="AX31" s="21">
        <f ca="1">IFERROR(__xludf.DUMMYFUNCTION("IFERROR(VLOOKUP(E45&amp;F45,IMPORTRANGE(""https://docs.google.com/spreadsheets/d/1Uw7-A9f9R21vMXxHZFNpYNeKFtG8_yji4HS352LGlSQ/edit?pli=1#gid=0"",""1_ACUM!A4:S""),12,FALSE))"),44839)</f>
        <v>44839</v>
      </c>
      <c r="AY31" s="22">
        <f ca="1">IFERROR(__xludf.DUMMYFUNCTION("IFERROR(VLOOKUP(E45&amp;F45,IMPORTRANGE(""https://docs.google.com/spreadsheets/d/1Uw7-A9f9R21vMXxHZFNpYNeKFtG8_yji4HS352LGlSQ/edit?pli=1#gid=0"",""1_ACUM!A4:S""),13,FALSE))"),14)</f>
        <v>14</v>
      </c>
      <c r="AZ31" s="22">
        <f ca="1">IFERROR(__xludf.DUMMYFUNCTION("IFERROR(VLOOKUP(E45&amp;F45,IMPORTRANGE(""https://docs.google.com/spreadsheets/d/1Uw7-A9f9R21vMXxHZFNpYNeKFtG8_yji4HS352LGlSQ/edit?pli=1#gid=0"",""1_ACUM!A4:S""),14,FALSE))"),1)</f>
        <v>1</v>
      </c>
      <c r="BA31" s="22">
        <f ca="1">IFERROR(__xludf.DUMMYFUNCTION("IFERROR(VLOOKUP(E45&amp;F45,IMPORTRANGE(""https://docs.google.com/spreadsheets/d/1Uw7-A9f9R21vMXxHZFNpYNeKFtG8_yji4HS352LGlSQ/edit?pli=1#gid=0"",""1_ACUM!A4:S""),15,FALSE))"),7)</f>
        <v>7</v>
      </c>
      <c r="BB31" s="22">
        <f ca="1">IFERROR(__xludf.DUMMYFUNCTION("IFERROR(VLOOKUP(E45&amp;F45,IMPORTRANGE(""https://docs.google.com/spreadsheets/d/1Uw7-A9f9R21vMXxHZFNpYNeKFtG8_yji4HS352LGlSQ/edit?pli=1#gid=0"",""1_ACUM!A4:S""),16,FALSE))"),20)</f>
        <v>20</v>
      </c>
      <c r="BC31" s="22">
        <f ca="1">IFERROR(__xludf.DUMMYFUNCTION("IFERROR(VLOOKUP(E45&amp;F45,IMPORTRANGE(""https://docs.google.com/spreadsheets/d/1Uw7-A9f9R21vMXxHZFNpYNeKFtG8_yji4HS352LGlSQ/edit?pli=1#gid=0"",""1_ACUM!A4:S""),17,FALSE))"),42)</f>
        <v>42</v>
      </c>
      <c r="BD31" s="23">
        <f ca="1">IFERROR(__xludf.DUMMYFUNCTION("IFERROR(VLOOKUP(E45&amp;F45,IMPORTRANGE(""https://docs.google.com/spreadsheets/d/1Uw7-A9f9R21vMXxHZFNpYNeKFtG8_yji4HS352LGlSQ/edit?pli=1#gid=0"",""1_ACUM!A4:S""),18,FALSE))"),44552)</f>
        <v>44552</v>
      </c>
      <c r="BE31" s="23">
        <f ca="1">IFERROR(__xludf.DUMMYFUNCTION("IFERROR(VLOOKUP(E45&amp;F45,IMPORTRANGE(""https://docs.google.com/spreadsheets/d/1Uw7-A9f9R21vMXxHZFNpYNeKFtG8_yji4HS352LGlSQ/edit?pli=1#gid=0"",""1_ACUM!A4:S""),19,FALSE))"),44825)</f>
        <v>44825</v>
      </c>
      <c r="BF31" s="68">
        <f ca="1">IFERROR(__xludf.DUMMYFUNCTION("IFERROR(VLOOKUP(F45,IMPORTRANGE(""https://docs.google.com/spreadsheets/d/1Kvs4KS76FHFqLFIZfrDMff4kP08nblUkihrxltoGBjg/edit#gid=934712705"",""ESENCIAL!A6:BG""),5,FALSE))"),45006)</f>
        <v>45006</v>
      </c>
      <c r="BG31" s="68">
        <f t="shared" ca="1" si="1"/>
        <v>45556</v>
      </c>
      <c r="BH31" s="17" t="str">
        <f t="shared" ca="1" si="2"/>
        <v>FICHA EN TIEMPO-18 MESES</v>
      </c>
      <c r="BI31" s="38" t="str">
        <f ca="1">IFERROR(__xludf.DUMMYFUNCTION("IFERROR(VLOOKUP(F45,IMPORTRANGE(""https://docs.google.com/spreadsheets/d/1Kvs4KS76FHFqLFIZfrDMff4kP08nblUkihrxltoGBjg/edit#gid=934712705"",""ESENCIAL!A6:BG""),2,FALSE))"),"En ejecucion")</f>
        <v>En ejecucion</v>
      </c>
      <c r="BJ31" s="19" t="str">
        <f t="shared" si="3"/>
        <v>Yamboro</v>
      </c>
      <c r="BK31" s="292"/>
      <c r="BL31" s="38"/>
    </row>
    <row r="32" spans="1:64" ht="18" customHeight="1">
      <c r="A32" s="289"/>
      <c r="B32" s="145" t="s">
        <v>25</v>
      </c>
      <c r="C32" s="25" t="s">
        <v>1704</v>
      </c>
      <c r="D32" s="57" t="s">
        <v>27</v>
      </c>
      <c r="E32" s="57">
        <v>1117807030</v>
      </c>
      <c r="F32" s="25">
        <v>2469966</v>
      </c>
      <c r="G32" s="11" t="str">
        <f ca="1">IFERROR(__xludf.DUMMYFUNCTION("IFERROR(VLOOKUP(F46,IMPORTRANGE(""https://docs.google.com/spreadsheets/d/1Kvs4KS76FHFqLFIZfrDMff4kP08nblUkihrxltoGBjg/edit#gid=934712705"",""ESENCIAL!A6:BG""),3,FALSE))"),"TÉCNICO")</f>
        <v>TÉCNICO</v>
      </c>
      <c r="H32" s="11" t="str">
        <f ca="1">IFERROR(__xludf.DUMMYFUNCTION("IFERROR(VLOOKUP(F46,IMPORTRANGE(""https://docs.google.com/spreadsheets/d/1Kvs4KS76FHFqLFIZfrDMff4kP08nblUkihrxltoGBjg/edit#gid=934712705"",""ESENCIAL!A6:BG""),8,FALSE))"),"EJECUCION DE PROGRAMAS DEPORTIVOS")</f>
        <v>EJECUCION DE PROGRAMAS DEPORTIVOS</v>
      </c>
      <c r="I32" s="25"/>
      <c r="J32" s="34"/>
      <c r="K32" s="34"/>
      <c r="L32" s="329" t="s">
        <v>44</v>
      </c>
      <c r="M32" s="34"/>
      <c r="N32" s="34"/>
      <c r="O32" s="34"/>
      <c r="P32" s="34"/>
      <c r="Q32" s="34"/>
      <c r="R32" s="35"/>
      <c r="S32" s="35"/>
      <c r="T32" s="34"/>
      <c r="U32" s="36"/>
      <c r="V32" s="30"/>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19" t="str">
        <f t="shared" ca="1" si="0"/>
        <v>NO_CUMPLE</v>
      </c>
      <c r="AV32" s="11" t="str">
        <f ca="1">IFERROR(__xludf.DUMMYFUNCTION("IFERROR(VLOOKUP(E46&amp;F46,IMPORTRANGE(""https://docs.google.com/spreadsheets/d/1Uw7-A9f9R21vMXxHZFNpYNeKFtG8_yji4HS352LGlSQ/edit?pli=1#gid=0"",""1_ACUM!A4:S""),11,FALSE))"),"EN FORMACION")</f>
        <v>EN FORMACION</v>
      </c>
      <c r="AW32" s="20" t="str">
        <f ca="1">IFERROR(__xludf.DUMMYFUNCTION("IFERROR(VLOOKUP(F46,IMPORTRANGE(""https://docs.google.com/spreadsheets/d/1Kvs4KS76FHFqLFIZfrDMff4kP08nblUkihrxltoGBjg/edit#gid=934712705"",""ESENCIAL!A6:BG""),15,FALSE))"),"TURISMO")</f>
        <v>TURISMO</v>
      </c>
      <c r="AX32" s="21">
        <f ca="1">IFERROR(__xludf.DUMMYFUNCTION("IFERROR(VLOOKUP(E46&amp;F46,IMPORTRANGE(""https://docs.google.com/spreadsheets/d/1Uw7-A9f9R21vMXxHZFNpYNeKFtG8_yji4HS352LGlSQ/edit?pli=1#gid=0"",""1_ACUM!A4:S""),12,FALSE))"),44839)</f>
        <v>44839</v>
      </c>
      <c r="AY32" s="22">
        <f ca="1">IFERROR(__xludf.DUMMYFUNCTION("IFERROR(VLOOKUP(E46&amp;F46,IMPORTRANGE(""https://docs.google.com/spreadsheets/d/1Uw7-A9f9R21vMXxHZFNpYNeKFtG8_yji4HS352LGlSQ/edit?pli=1#gid=0"",""1_ACUM!A4:S""),13,FALSE))"),14)</f>
        <v>14</v>
      </c>
      <c r="AZ32" s="22">
        <f ca="1">IFERROR(__xludf.DUMMYFUNCTION("IFERROR(VLOOKUP(E46&amp;F46,IMPORTRANGE(""https://docs.google.com/spreadsheets/d/1Uw7-A9f9R21vMXxHZFNpYNeKFtG8_yji4HS352LGlSQ/edit?pli=1#gid=0"",""1_ACUM!A4:S""),14,FALSE))"),1)</f>
        <v>1</v>
      </c>
      <c r="BA32" s="22">
        <f ca="1">IFERROR(__xludf.DUMMYFUNCTION("IFERROR(VLOOKUP(E46&amp;F46,IMPORTRANGE(""https://docs.google.com/spreadsheets/d/1Uw7-A9f9R21vMXxHZFNpYNeKFtG8_yji4HS352LGlSQ/edit?pli=1#gid=0"",""1_ACUM!A4:S""),15,FALSE))"),7)</f>
        <v>7</v>
      </c>
      <c r="BB32" s="22">
        <f ca="1">IFERROR(__xludf.DUMMYFUNCTION("IFERROR(VLOOKUP(E46&amp;F46,IMPORTRANGE(""https://docs.google.com/spreadsheets/d/1Uw7-A9f9R21vMXxHZFNpYNeKFtG8_yji4HS352LGlSQ/edit?pli=1#gid=0"",""1_ACUM!A4:S""),16,FALSE))"),20)</f>
        <v>20</v>
      </c>
      <c r="BC32" s="22">
        <f ca="1">IFERROR(__xludf.DUMMYFUNCTION("IFERROR(VLOOKUP(E46&amp;F46,IMPORTRANGE(""https://docs.google.com/spreadsheets/d/1Uw7-A9f9R21vMXxHZFNpYNeKFtG8_yji4HS352LGlSQ/edit?pli=1#gid=0"",""1_ACUM!A4:S""),17,FALSE))"),42)</f>
        <v>42</v>
      </c>
      <c r="BD32" s="23">
        <f ca="1">IFERROR(__xludf.DUMMYFUNCTION("IFERROR(VLOOKUP(E46&amp;F46,IMPORTRANGE(""https://docs.google.com/spreadsheets/d/1Uw7-A9f9R21vMXxHZFNpYNeKFtG8_yji4HS352LGlSQ/edit?pli=1#gid=0"",""1_ACUM!A4:S""),18,FALSE))"),44552)</f>
        <v>44552</v>
      </c>
      <c r="BE32" s="23">
        <f ca="1">IFERROR(__xludf.DUMMYFUNCTION("IFERROR(VLOOKUP(E46&amp;F46,IMPORTRANGE(""https://docs.google.com/spreadsheets/d/1Uw7-A9f9R21vMXxHZFNpYNeKFtG8_yji4HS352LGlSQ/edit?pli=1#gid=0"",""1_ACUM!A4:S""),19,FALSE))"),44825)</f>
        <v>44825</v>
      </c>
      <c r="BF32" s="68">
        <f ca="1">IFERROR(__xludf.DUMMYFUNCTION("IFERROR(VLOOKUP(F46,IMPORTRANGE(""https://docs.google.com/spreadsheets/d/1Kvs4KS76FHFqLFIZfrDMff4kP08nblUkihrxltoGBjg/edit#gid=934712705"",""ESENCIAL!A6:BG""),5,FALSE))"),45006)</f>
        <v>45006</v>
      </c>
      <c r="BG32" s="68">
        <f t="shared" ca="1" si="1"/>
        <v>45556</v>
      </c>
      <c r="BH32" s="17" t="str">
        <f t="shared" ca="1" si="2"/>
        <v>FICHA EN TIEMPO-18 MESES</v>
      </c>
      <c r="BI32" s="38" t="str">
        <f ca="1">IFERROR(__xludf.DUMMYFUNCTION("IFERROR(VLOOKUP(F46,IMPORTRANGE(""https://docs.google.com/spreadsheets/d/1Kvs4KS76FHFqLFIZfrDMff4kP08nblUkihrxltoGBjg/edit#gid=934712705"",""ESENCIAL!A6:BG""),2,FALSE))"),"En ejecucion")</f>
        <v>En ejecucion</v>
      </c>
      <c r="BJ32" s="19" t="str">
        <f t="shared" si="3"/>
        <v>Yamboro</v>
      </c>
      <c r="BK32" s="292"/>
      <c r="BL32" s="38"/>
    </row>
    <row r="33" spans="1:64" ht="18" customHeight="1">
      <c r="A33" s="289"/>
      <c r="B33" s="145" t="s">
        <v>25</v>
      </c>
      <c r="C33" s="25" t="s">
        <v>1705</v>
      </c>
      <c r="D33" s="57" t="s">
        <v>27</v>
      </c>
      <c r="E33" s="57">
        <v>1118027875</v>
      </c>
      <c r="F33" s="25">
        <v>2469966</v>
      </c>
      <c r="G33" s="11" t="str">
        <f ca="1">IFERROR(__xludf.DUMMYFUNCTION("IFERROR(VLOOKUP(F47,IMPORTRANGE(""https://docs.google.com/spreadsheets/d/1Kvs4KS76FHFqLFIZfrDMff4kP08nblUkihrxltoGBjg/edit#gid=934712705"",""ESENCIAL!A6:BG""),3,FALSE))"),"TÉCNICO")</f>
        <v>TÉCNICO</v>
      </c>
      <c r="H33" s="11" t="str">
        <f ca="1">IFERROR(__xludf.DUMMYFUNCTION("IFERROR(VLOOKUP(F47,IMPORTRANGE(""https://docs.google.com/spreadsheets/d/1Kvs4KS76FHFqLFIZfrDMff4kP08nblUkihrxltoGBjg/edit#gid=934712705"",""ESENCIAL!A6:BG""),8,FALSE))"),"EJECUCION DE PROGRAMAS DEPORTIVOS")</f>
        <v>EJECUCION DE PROGRAMAS DEPORTIVOS</v>
      </c>
      <c r="I33" s="25"/>
      <c r="J33" s="34"/>
      <c r="K33" s="34"/>
      <c r="L33" s="34" t="s">
        <v>37</v>
      </c>
      <c r="M33" s="34" t="s">
        <v>1706</v>
      </c>
      <c r="N33" s="34" t="s">
        <v>1676</v>
      </c>
      <c r="O33" s="34">
        <v>3228635356</v>
      </c>
      <c r="P33" s="34" t="s">
        <v>937</v>
      </c>
      <c r="Q33" s="34" t="s">
        <v>1683</v>
      </c>
      <c r="R33" s="35">
        <v>44826</v>
      </c>
      <c r="S33" s="35">
        <v>45008</v>
      </c>
      <c r="T33" s="34"/>
      <c r="U33" s="36"/>
      <c r="V33" s="30"/>
      <c r="W33" s="64" t="s">
        <v>1707</v>
      </c>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19" t="str">
        <f t="shared" ca="1" si="0"/>
        <v>Procede_E_P</v>
      </c>
      <c r="AV33" s="11" t="str">
        <f ca="1">IFERROR(__xludf.DUMMYFUNCTION("IFERROR(VLOOKUP(E47&amp;F47,IMPORTRANGE(""https://docs.google.com/spreadsheets/d/1Uw7-A9f9R21vMXxHZFNpYNeKFtG8_yji4HS352LGlSQ/edit?pli=1#gid=0"",""1_ACUM!A4:S""),11,FALSE))"),"EN FORMACION")</f>
        <v>EN FORMACION</v>
      </c>
      <c r="AW33" s="20" t="str">
        <f ca="1">IFERROR(__xludf.DUMMYFUNCTION("IFERROR(VLOOKUP(F47,IMPORTRANGE(""https://docs.google.com/spreadsheets/d/1Kvs4KS76FHFqLFIZfrDMff4kP08nblUkihrxltoGBjg/edit#gid=934712705"",""ESENCIAL!A6:BG""),15,FALSE))"),"TURISMO")</f>
        <v>TURISMO</v>
      </c>
      <c r="AX33" s="21">
        <f ca="1">IFERROR(__xludf.DUMMYFUNCTION("IFERROR(VLOOKUP(E47&amp;F47,IMPORTRANGE(""https://docs.google.com/spreadsheets/d/1Uw7-A9f9R21vMXxHZFNpYNeKFtG8_yji4HS352LGlSQ/edit?pli=1#gid=0"",""1_ACUM!A4:S""),12,FALSE))"),44839)</f>
        <v>44839</v>
      </c>
      <c r="AY33" s="22">
        <f ca="1">IFERROR(__xludf.DUMMYFUNCTION("IFERROR(VLOOKUP(E47&amp;F47,IMPORTRANGE(""https://docs.google.com/spreadsheets/d/1Uw7-A9f9R21vMXxHZFNpYNeKFtG8_yji4HS352LGlSQ/edit?pli=1#gid=0"",""1_ACUM!A4:S""),13,FALSE))"),0)</f>
        <v>0</v>
      </c>
      <c r="AZ33" s="22">
        <f ca="1">IFERROR(__xludf.DUMMYFUNCTION("IFERROR(VLOOKUP(E47&amp;F47,IMPORTRANGE(""https://docs.google.com/spreadsheets/d/1Uw7-A9f9R21vMXxHZFNpYNeKFtG8_yji4HS352LGlSQ/edit?pli=1#gid=0"",""1_ACUM!A4:S""),14,FALSE))"),1)</f>
        <v>1</v>
      </c>
      <c r="BA33" s="22">
        <f ca="1">IFERROR(__xludf.DUMMYFUNCTION("IFERROR(VLOOKUP(E47&amp;F47,IMPORTRANGE(""https://docs.google.com/spreadsheets/d/1Uw7-A9f9R21vMXxHZFNpYNeKFtG8_yji4HS352LGlSQ/edit?pli=1#gid=0"",""1_ACUM!A4:S""),15,FALSE))"),0)</f>
        <v>0</v>
      </c>
      <c r="BB33" s="22">
        <f ca="1">IFERROR(__xludf.DUMMYFUNCTION("IFERROR(VLOOKUP(E47&amp;F47,IMPORTRANGE(""https://docs.google.com/spreadsheets/d/1Uw7-A9f9R21vMXxHZFNpYNeKFtG8_yji4HS352LGlSQ/edit?pli=1#gid=0"",""1_ACUM!A4:S""),16,FALSE))"),0)</f>
        <v>0</v>
      </c>
      <c r="BC33" s="22">
        <f ca="1">IFERROR(__xludf.DUMMYFUNCTION("IFERROR(VLOOKUP(E47&amp;F47,IMPORTRANGE(""https://docs.google.com/spreadsheets/d/1Uw7-A9f9R21vMXxHZFNpYNeKFtG8_yji4HS352LGlSQ/edit?pli=1#gid=0"",""1_ACUM!A4:S""),17,FALSE))"),1)</f>
        <v>1</v>
      </c>
      <c r="BD33" s="23">
        <f ca="1">IFERROR(__xludf.DUMMYFUNCTION("IFERROR(VLOOKUP(E47&amp;F47,IMPORTRANGE(""https://docs.google.com/spreadsheets/d/1Uw7-A9f9R21vMXxHZFNpYNeKFtG8_yji4HS352LGlSQ/edit?pli=1#gid=0"",""1_ACUM!A4:S""),18,FALSE))"),44552)</f>
        <v>44552</v>
      </c>
      <c r="BE33" s="23">
        <f ca="1">IFERROR(__xludf.DUMMYFUNCTION("IFERROR(VLOOKUP(E47&amp;F47,IMPORTRANGE(""https://docs.google.com/spreadsheets/d/1Uw7-A9f9R21vMXxHZFNpYNeKFtG8_yji4HS352LGlSQ/edit?pli=1#gid=0"",""1_ACUM!A4:S""),19,FALSE))"),44825)</f>
        <v>44825</v>
      </c>
      <c r="BF33" s="68">
        <f ca="1">IFERROR(__xludf.DUMMYFUNCTION("IFERROR(VLOOKUP(F47,IMPORTRANGE(""https://docs.google.com/spreadsheets/d/1Kvs4KS76FHFqLFIZfrDMff4kP08nblUkihrxltoGBjg/edit#gid=934712705"",""ESENCIAL!A6:BG""),5,FALSE))"),45006)</f>
        <v>45006</v>
      </c>
      <c r="BG33" s="68">
        <f t="shared" ca="1" si="1"/>
        <v>45556</v>
      </c>
      <c r="BH33" s="17" t="str">
        <f t="shared" ca="1" si="2"/>
        <v>FICHA EN TIEMPO-18 MESES</v>
      </c>
      <c r="BI33" s="38" t="str">
        <f ca="1">IFERROR(__xludf.DUMMYFUNCTION("IFERROR(VLOOKUP(F47,IMPORTRANGE(""https://docs.google.com/spreadsheets/d/1Kvs4KS76FHFqLFIZfrDMff4kP08nblUkihrxltoGBjg/edit#gid=934712705"",""ESENCIAL!A6:BG""),2,FALSE))"),"En ejecucion")</f>
        <v>En ejecucion</v>
      </c>
      <c r="BJ33" s="19" t="str">
        <f t="shared" si="3"/>
        <v>Yamboro</v>
      </c>
      <c r="BK33" s="292"/>
      <c r="BL33" s="38"/>
    </row>
    <row r="34" spans="1:64" ht="18" customHeight="1">
      <c r="A34" s="289"/>
      <c r="B34" s="145" t="s">
        <v>25</v>
      </c>
      <c r="C34" s="25" t="s">
        <v>1708</v>
      </c>
      <c r="D34" s="57" t="s">
        <v>27</v>
      </c>
      <c r="E34" s="57">
        <v>1126456187</v>
      </c>
      <c r="F34" s="25">
        <v>2469966</v>
      </c>
      <c r="G34" s="11" t="str">
        <f ca="1">IFERROR(__xludf.DUMMYFUNCTION("IFERROR(VLOOKUP(F48,IMPORTRANGE(""https://docs.google.com/spreadsheets/d/1Kvs4KS76FHFqLFIZfrDMff4kP08nblUkihrxltoGBjg/edit#gid=934712705"",""ESENCIAL!A6:BG""),3,FALSE))"),"TÉCNICO")</f>
        <v>TÉCNICO</v>
      </c>
      <c r="H34" s="11" t="str">
        <f ca="1">IFERROR(__xludf.DUMMYFUNCTION("IFERROR(VLOOKUP(F48,IMPORTRANGE(""https://docs.google.com/spreadsheets/d/1Kvs4KS76FHFqLFIZfrDMff4kP08nblUkihrxltoGBjg/edit#gid=934712705"",""ESENCIAL!A6:BG""),8,FALSE))"),"EJECUCION DE PROGRAMAS DEPORTIVOS")</f>
        <v>EJECUCION DE PROGRAMAS DEPORTIVOS</v>
      </c>
      <c r="I34" s="25"/>
      <c r="J34" s="34"/>
      <c r="K34" s="34"/>
      <c r="L34" s="34" t="s">
        <v>37</v>
      </c>
      <c r="M34" s="34" t="s">
        <v>1682</v>
      </c>
      <c r="N34" s="34" t="s">
        <v>937</v>
      </c>
      <c r="O34" s="34">
        <v>88317006</v>
      </c>
      <c r="P34" s="34" t="s">
        <v>937</v>
      </c>
      <c r="Q34" s="34" t="s">
        <v>1683</v>
      </c>
      <c r="R34" s="35">
        <v>44838</v>
      </c>
      <c r="S34" s="35">
        <v>45021</v>
      </c>
      <c r="T34" s="34"/>
      <c r="U34" s="36" t="s">
        <v>1657</v>
      </c>
      <c r="V34" s="30"/>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19" t="str">
        <f t="shared" ca="1" si="0"/>
        <v>Procede_E_P</v>
      </c>
      <c r="AV34" s="11" t="str">
        <f ca="1">IFERROR(__xludf.DUMMYFUNCTION("IFERROR(VLOOKUP(E48&amp;F48,IMPORTRANGE(""https://docs.google.com/spreadsheets/d/1Uw7-A9f9R21vMXxHZFNpYNeKFtG8_yji4HS352LGlSQ/edit?pli=1#gid=0"",""1_ACUM!A4:S""),11,FALSE))"),"EN FORMACION")</f>
        <v>EN FORMACION</v>
      </c>
      <c r="AW34" s="20" t="str">
        <f ca="1">IFERROR(__xludf.DUMMYFUNCTION("IFERROR(VLOOKUP(F48,IMPORTRANGE(""https://docs.google.com/spreadsheets/d/1Kvs4KS76FHFqLFIZfrDMff4kP08nblUkihrxltoGBjg/edit#gid=934712705"",""ESENCIAL!A6:BG""),15,FALSE))"),"TURISMO")</f>
        <v>TURISMO</v>
      </c>
      <c r="AX34" s="21">
        <f ca="1">IFERROR(__xludf.DUMMYFUNCTION("IFERROR(VLOOKUP(E48&amp;F48,IMPORTRANGE(""https://docs.google.com/spreadsheets/d/1Uw7-A9f9R21vMXxHZFNpYNeKFtG8_yji4HS352LGlSQ/edit?pli=1#gid=0"",""1_ACUM!A4:S""),12,FALSE))"),44839)</f>
        <v>44839</v>
      </c>
      <c r="AY34" s="22">
        <f ca="1">IFERROR(__xludf.DUMMYFUNCTION("IFERROR(VLOOKUP(E48&amp;F48,IMPORTRANGE(""https://docs.google.com/spreadsheets/d/1Uw7-A9f9R21vMXxHZFNpYNeKFtG8_yji4HS352LGlSQ/edit?pli=1#gid=0"",""1_ACUM!A4:S""),13,FALSE))"),0)</f>
        <v>0</v>
      </c>
      <c r="AZ34" s="22">
        <f ca="1">IFERROR(__xludf.DUMMYFUNCTION("IFERROR(VLOOKUP(E48&amp;F48,IMPORTRANGE(""https://docs.google.com/spreadsheets/d/1Uw7-A9f9R21vMXxHZFNpYNeKFtG8_yji4HS352LGlSQ/edit?pli=1#gid=0"",""1_ACUM!A4:S""),14,FALSE))"),1)</f>
        <v>1</v>
      </c>
      <c r="BA34" s="22">
        <f ca="1">IFERROR(__xludf.DUMMYFUNCTION("IFERROR(VLOOKUP(E48&amp;F48,IMPORTRANGE(""https://docs.google.com/spreadsheets/d/1Uw7-A9f9R21vMXxHZFNpYNeKFtG8_yji4HS352LGlSQ/edit?pli=1#gid=0"",""1_ACUM!A4:S""),15,FALSE))"),0)</f>
        <v>0</v>
      </c>
      <c r="BB34" s="22">
        <f ca="1">IFERROR(__xludf.DUMMYFUNCTION("IFERROR(VLOOKUP(E48&amp;F48,IMPORTRANGE(""https://docs.google.com/spreadsheets/d/1Uw7-A9f9R21vMXxHZFNpYNeKFtG8_yji4HS352LGlSQ/edit?pli=1#gid=0"",""1_ACUM!A4:S""),16,FALSE))"),0)</f>
        <v>0</v>
      </c>
      <c r="BC34" s="22">
        <f ca="1">IFERROR(__xludf.DUMMYFUNCTION("IFERROR(VLOOKUP(E48&amp;F48,IMPORTRANGE(""https://docs.google.com/spreadsheets/d/1Uw7-A9f9R21vMXxHZFNpYNeKFtG8_yji4HS352LGlSQ/edit?pli=1#gid=0"",""1_ACUM!A4:S""),17,FALSE))"),1)</f>
        <v>1</v>
      </c>
      <c r="BD34" s="23">
        <f ca="1">IFERROR(__xludf.DUMMYFUNCTION("IFERROR(VLOOKUP(E48&amp;F48,IMPORTRANGE(""https://docs.google.com/spreadsheets/d/1Uw7-A9f9R21vMXxHZFNpYNeKFtG8_yji4HS352LGlSQ/edit?pli=1#gid=0"",""1_ACUM!A4:S""),18,FALSE))"),44552)</f>
        <v>44552</v>
      </c>
      <c r="BE34" s="23">
        <f ca="1">IFERROR(__xludf.DUMMYFUNCTION("IFERROR(VLOOKUP(E48&amp;F48,IMPORTRANGE(""https://docs.google.com/spreadsheets/d/1Uw7-A9f9R21vMXxHZFNpYNeKFtG8_yji4HS352LGlSQ/edit?pli=1#gid=0"",""1_ACUM!A4:S""),19,FALSE))"),44825)</f>
        <v>44825</v>
      </c>
      <c r="BF34" s="68">
        <f ca="1">IFERROR(__xludf.DUMMYFUNCTION("IFERROR(VLOOKUP(F48,IMPORTRANGE(""https://docs.google.com/spreadsheets/d/1Kvs4KS76FHFqLFIZfrDMff4kP08nblUkihrxltoGBjg/edit#gid=934712705"",""ESENCIAL!A6:BG""),5,FALSE))"),45006)</f>
        <v>45006</v>
      </c>
      <c r="BG34" s="68">
        <f t="shared" ca="1" si="1"/>
        <v>45556</v>
      </c>
      <c r="BH34" s="17" t="str">
        <f t="shared" ca="1" si="2"/>
        <v>FICHA EN TIEMPO-18 MESES</v>
      </c>
      <c r="BI34" s="38" t="str">
        <f ca="1">IFERROR(__xludf.DUMMYFUNCTION("IFERROR(VLOOKUP(F48,IMPORTRANGE(""https://docs.google.com/spreadsheets/d/1Kvs4KS76FHFqLFIZfrDMff4kP08nblUkihrxltoGBjg/edit#gid=934712705"",""ESENCIAL!A6:BG""),2,FALSE))"),"En ejecucion")</f>
        <v>En ejecucion</v>
      </c>
      <c r="BJ34" s="19" t="str">
        <f t="shared" si="3"/>
        <v>Yamboro</v>
      </c>
      <c r="BK34" s="292"/>
      <c r="BL34" s="38"/>
    </row>
    <row r="35" spans="1:64" ht="18" customHeight="1">
      <c r="A35" s="289"/>
      <c r="B35" s="145" t="s">
        <v>25</v>
      </c>
      <c r="C35" s="25" t="s">
        <v>1709</v>
      </c>
      <c r="D35" s="57" t="s">
        <v>27</v>
      </c>
      <c r="E35" s="57">
        <v>55207876</v>
      </c>
      <c r="F35" s="25">
        <v>2469966</v>
      </c>
      <c r="G35" s="11" t="str">
        <f ca="1">IFERROR(__xludf.DUMMYFUNCTION("IFERROR(VLOOKUP(F49,IMPORTRANGE(""https://docs.google.com/spreadsheets/d/1Kvs4KS76FHFqLFIZfrDMff4kP08nblUkihrxltoGBjg/edit#gid=934712705"",""ESENCIAL!A6:BG""),3,FALSE))"),"TÉCNICO")</f>
        <v>TÉCNICO</v>
      </c>
      <c r="H35" s="11" t="str">
        <f ca="1">IFERROR(__xludf.DUMMYFUNCTION("IFERROR(VLOOKUP(F49,IMPORTRANGE(""https://docs.google.com/spreadsheets/d/1Kvs4KS76FHFqLFIZfrDMff4kP08nblUkihrxltoGBjg/edit#gid=934712705"",""ESENCIAL!A6:BG""),8,FALSE))"),"EJECUCION DE PROGRAMAS DEPORTIVOS")</f>
        <v>EJECUCION DE PROGRAMAS DEPORTIVOS</v>
      </c>
      <c r="I35" s="25"/>
      <c r="J35" s="34"/>
      <c r="K35" s="34"/>
      <c r="L35" s="329" t="s">
        <v>44</v>
      </c>
      <c r="M35" s="34"/>
      <c r="N35" s="34"/>
      <c r="O35" s="34"/>
      <c r="P35" s="34"/>
      <c r="Q35" s="34"/>
      <c r="R35" s="35"/>
      <c r="S35" s="35"/>
      <c r="T35" s="34"/>
      <c r="U35" s="36"/>
      <c r="V35" s="30"/>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19" t="str">
        <f t="shared" ca="1" si="0"/>
        <v>NO_CUMPLE</v>
      </c>
      <c r="AV35" s="11" t="str">
        <f ca="1">IFERROR(__xludf.DUMMYFUNCTION("IFERROR(VLOOKUP(E49&amp;F49,IMPORTRANGE(""https://docs.google.com/spreadsheets/d/1Uw7-A9f9R21vMXxHZFNpYNeKFtG8_yji4HS352LGlSQ/edit?pli=1#gid=0"",""1_ACUM!A4:S""),11,FALSE))"),"EN FORMACION")</f>
        <v>EN FORMACION</v>
      </c>
      <c r="AW35" s="20" t="str">
        <f ca="1">IFERROR(__xludf.DUMMYFUNCTION("IFERROR(VLOOKUP(F49,IMPORTRANGE(""https://docs.google.com/spreadsheets/d/1Kvs4KS76FHFqLFIZfrDMff4kP08nblUkihrxltoGBjg/edit#gid=934712705"",""ESENCIAL!A6:BG""),15,FALSE))"),"TURISMO")</f>
        <v>TURISMO</v>
      </c>
      <c r="AX35" s="21">
        <f ca="1">IFERROR(__xludf.DUMMYFUNCTION("IFERROR(VLOOKUP(E49&amp;F49,IMPORTRANGE(""https://docs.google.com/spreadsheets/d/1Uw7-A9f9R21vMXxHZFNpYNeKFtG8_yji4HS352LGlSQ/edit?pli=1#gid=0"",""1_ACUM!A4:S""),12,FALSE))"),44839)</f>
        <v>44839</v>
      </c>
      <c r="AY35" s="22">
        <f ca="1">IFERROR(__xludf.DUMMYFUNCTION("IFERROR(VLOOKUP(E49&amp;F49,IMPORTRANGE(""https://docs.google.com/spreadsheets/d/1Uw7-A9f9R21vMXxHZFNpYNeKFtG8_yji4HS352LGlSQ/edit?pli=1#gid=0"",""1_ACUM!A4:S""),13,FALSE))"),14)</f>
        <v>14</v>
      </c>
      <c r="AZ35" s="22">
        <f ca="1">IFERROR(__xludf.DUMMYFUNCTION("IFERROR(VLOOKUP(E49&amp;F49,IMPORTRANGE(""https://docs.google.com/spreadsheets/d/1Uw7-A9f9R21vMXxHZFNpYNeKFtG8_yji4HS352LGlSQ/edit?pli=1#gid=0"",""1_ACUM!A4:S""),14,FALSE))"),1)</f>
        <v>1</v>
      </c>
      <c r="BA35" s="22">
        <f ca="1">IFERROR(__xludf.DUMMYFUNCTION("IFERROR(VLOOKUP(E49&amp;F49,IMPORTRANGE(""https://docs.google.com/spreadsheets/d/1Uw7-A9f9R21vMXxHZFNpYNeKFtG8_yji4HS352LGlSQ/edit?pli=1#gid=0"",""1_ACUM!A4:S""),15,FALSE))"),7)</f>
        <v>7</v>
      </c>
      <c r="BB35" s="22">
        <f ca="1">IFERROR(__xludf.DUMMYFUNCTION("IFERROR(VLOOKUP(E49&amp;F49,IMPORTRANGE(""https://docs.google.com/spreadsheets/d/1Uw7-A9f9R21vMXxHZFNpYNeKFtG8_yji4HS352LGlSQ/edit?pli=1#gid=0"",""1_ACUM!A4:S""),16,FALSE))"),20)</f>
        <v>20</v>
      </c>
      <c r="BC35" s="22">
        <f ca="1">IFERROR(__xludf.DUMMYFUNCTION("IFERROR(VLOOKUP(E49&amp;F49,IMPORTRANGE(""https://docs.google.com/spreadsheets/d/1Uw7-A9f9R21vMXxHZFNpYNeKFtG8_yji4HS352LGlSQ/edit?pli=1#gid=0"",""1_ACUM!A4:S""),17,FALSE))"),42)</f>
        <v>42</v>
      </c>
      <c r="BD35" s="23">
        <f ca="1">IFERROR(__xludf.DUMMYFUNCTION("IFERROR(VLOOKUP(E49&amp;F49,IMPORTRANGE(""https://docs.google.com/spreadsheets/d/1Uw7-A9f9R21vMXxHZFNpYNeKFtG8_yji4HS352LGlSQ/edit?pli=1#gid=0"",""1_ACUM!A4:S""),18,FALSE))"),44552)</f>
        <v>44552</v>
      </c>
      <c r="BE35" s="23">
        <f ca="1">IFERROR(__xludf.DUMMYFUNCTION("IFERROR(VLOOKUP(E49&amp;F49,IMPORTRANGE(""https://docs.google.com/spreadsheets/d/1Uw7-A9f9R21vMXxHZFNpYNeKFtG8_yji4HS352LGlSQ/edit?pli=1#gid=0"",""1_ACUM!A4:S""),19,FALSE))"),44825)</f>
        <v>44825</v>
      </c>
      <c r="BF35" s="68">
        <f ca="1">IFERROR(__xludf.DUMMYFUNCTION("IFERROR(VLOOKUP(F49,IMPORTRANGE(""https://docs.google.com/spreadsheets/d/1Kvs4KS76FHFqLFIZfrDMff4kP08nblUkihrxltoGBjg/edit#gid=934712705"",""ESENCIAL!A6:BG""),5,FALSE))"),45006)</f>
        <v>45006</v>
      </c>
      <c r="BG35" s="68">
        <f t="shared" ca="1" si="1"/>
        <v>45556</v>
      </c>
      <c r="BH35" s="17" t="str">
        <f t="shared" ca="1" si="2"/>
        <v>FICHA EN TIEMPO-18 MESES</v>
      </c>
      <c r="BI35" s="38" t="str">
        <f ca="1">IFERROR(__xludf.DUMMYFUNCTION("IFERROR(VLOOKUP(F49,IMPORTRANGE(""https://docs.google.com/spreadsheets/d/1Kvs4KS76FHFqLFIZfrDMff4kP08nblUkihrxltoGBjg/edit#gid=934712705"",""ESENCIAL!A6:BG""),2,FALSE))"),"En ejecucion")</f>
        <v>En ejecucion</v>
      </c>
      <c r="BJ35" s="19" t="str">
        <f t="shared" si="3"/>
        <v>Yamboro</v>
      </c>
      <c r="BK35" s="292"/>
      <c r="BL35" s="38"/>
    </row>
    <row r="36" spans="1:64" ht="18" customHeight="1">
      <c r="A36" s="289"/>
      <c r="B36" s="145" t="s">
        <v>25</v>
      </c>
      <c r="C36" s="25" t="s">
        <v>1710</v>
      </c>
      <c r="D36" s="57" t="s">
        <v>27</v>
      </c>
      <c r="E36" s="57">
        <v>83182655</v>
      </c>
      <c r="F36" s="25">
        <v>2469966</v>
      </c>
      <c r="G36" s="11" t="str">
        <f ca="1">IFERROR(__xludf.DUMMYFUNCTION("IFERROR(VLOOKUP(F50,IMPORTRANGE(""https://docs.google.com/spreadsheets/d/1Kvs4KS76FHFqLFIZfrDMff4kP08nblUkihrxltoGBjg/edit#gid=934712705"",""ESENCIAL!A6:BG""),3,FALSE))"),"TÉCNICO")</f>
        <v>TÉCNICO</v>
      </c>
      <c r="H36" s="11" t="str">
        <f ca="1">IFERROR(__xludf.DUMMYFUNCTION("IFERROR(VLOOKUP(F50,IMPORTRANGE(""https://docs.google.com/spreadsheets/d/1Kvs4KS76FHFqLFIZfrDMff4kP08nblUkihrxltoGBjg/edit#gid=934712705"",""ESENCIAL!A6:BG""),8,FALSE))"),"EJECUCION DE PROGRAMAS DEPORTIVOS")</f>
        <v>EJECUCION DE PROGRAMAS DEPORTIVOS</v>
      </c>
      <c r="I36" s="25"/>
      <c r="J36" s="34"/>
      <c r="K36" s="34"/>
      <c r="L36" s="329" t="s">
        <v>44</v>
      </c>
      <c r="M36" s="34"/>
      <c r="N36" s="34"/>
      <c r="O36" s="34"/>
      <c r="P36" s="34"/>
      <c r="Q36" s="34"/>
      <c r="R36" s="35"/>
      <c r="S36" s="35"/>
      <c r="T36" s="34"/>
      <c r="U36" s="36"/>
      <c r="V36" s="30"/>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19" t="str">
        <f t="shared" ca="1" si="0"/>
        <v>NO_CUMPLE</v>
      </c>
      <c r="AV36" s="11" t="str">
        <f ca="1">IFERROR(__xludf.DUMMYFUNCTION("IFERROR(VLOOKUP(E50&amp;F50,IMPORTRANGE(""https://docs.google.com/spreadsheets/d/1Uw7-A9f9R21vMXxHZFNpYNeKFtG8_yji4HS352LGlSQ/edit?pli=1#gid=0"",""1_ACUM!A4:S""),11,FALSE))"),"EN FORMACION")</f>
        <v>EN FORMACION</v>
      </c>
      <c r="AW36" s="20" t="str">
        <f ca="1">IFERROR(__xludf.DUMMYFUNCTION("IFERROR(VLOOKUP(F50,IMPORTRANGE(""https://docs.google.com/spreadsheets/d/1Kvs4KS76FHFqLFIZfrDMff4kP08nblUkihrxltoGBjg/edit#gid=934712705"",""ESENCIAL!A6:BG""),15,FALSE))"),"TURISMO")</f>
        <v>TURISMO</v>
      </c>
      <c r="AX36" s="21">
        <f ca="1">IFERROR(__xludf.DUMMYFUNCTION("IFERROR(VLOOKUP(E50&amp;F50,IMPORTRANGE(""https://docs.google.com/spreadsheets/d/1Uw7-A9f9R21vMXxHZFNpYNeKFtG8_yji4HS352LGlSQ/edit?pli=1#gid=0"",""1_ACUM!A4:S""),12,FALSE))"),44839)</f>
        <v>44839</v>
      </c>
      <c r="AY36" s="22">
        <f ca="1">IFERROR(__xludf.DUMMYFUNCTION("IFERROR(VLOOKUP(E50&amp;F50,IMPORTRANGE(""https://docs.google.com/spreadsheets/d/1Uw7-A9f9R21vMXxHZFNpYNeKFtG8_yji4HS352LGlSQ/edit?pli=1#gid=0"",""1_ACUM!A4:S""),13,FALSE))"),6)</f>
        <v>6</v>
      </c>
      <c r="AZ36" s="22">
        <f ca="1">IFERROR(__xludf.DUMMYFUNCTION("IFERROR(VLOOKUP(E50&amp;F50,IMPORTRANGE(""https://docs.google.com/spreadsheets/d/1Uw7-A9f9R21vMXxHZFNpYNeKFtG8_yji4HS352LGlSQ/edit?pli=1#gid=0"",""1_ACUM!A4:S""),14,FALSE))"),1)</f>
        <v>1</v>
      </c>
      <c r="BA36" s="22">
        <f ca="1">IFERROR(__xludf.DUMMYFUNCTION("IFERROR(VLOOKUP(E50&amp;F50,IMPORTRANGE(""https://docs.google.com/spreadsheets/d/1Uw7-A9f9R21vMXxHZFNpYNeKFtG8_yji4HS352LGlSQ/edit?pli=1#gid=0"",""1_ACUM!A4:S""),15,FALSE))"),7)</f>
        <v>7</v>
      </c>
      <c r="BB36" s="22">
        <f ca="1">IFERROR(__xludf.DUMMYFUNCTION("IFERROR(VLOOKUP(E50&amp;F50,IMPORTRANGE(""https://docs.google.com/spreadsheets/d/1Uw7-A9f9R21vMXxHZFNpYNeKFtG8_yji4HS352LGlSQ/edit?pli=1#gid=0"",""1_ACUM!A4:S""),16,FALSE))"),15)</f>
        <v>15</v>
      </c>
      <c r="BC36" s="22">
        <f ca="1">IFERROR(__xludf.DUMMYFUNCTION("IFERROR(VLOOKUP(E50&amp;F50,IMPORTRANGE(""https://docs.google.com/spreadsheets/d/1Uw7-A9f9R21vMXxHZFNpYNeKFtG8_yji4HS352LGlSQ/edit?pli=1#gid=0"",""1_ACUM!A4:S""),17,FALSE))"),29)</f>
        <v>29</v>
      </c>
      <c r="BD36" s="23">
        <f ca="1">IFERROR(__xludf.DUMMYFUNCTION("IFERROR(VLOOKUP(E50&amp;F50,IMPORTRANGE(""https://docs.google.com/spreadsheets/d/1Uw7-A9f9R21vMXxHZFNpYNeKFtG8_yji4HS352LGlSQ/edit?pli=1#gid=0"",""1_ACUM!A4:S""),18,FALSE))"),44552)</f>
        <v>44552</v>
      </c>
      <c r="BE36" s="23">
        <f ca="1">IFERROR(__xludf.DUMMYFUNCTION("IFERROR(VLOOKUP(E50&amp;F50,IMPORTRANGE(""https://docs.google.com/spreadsheets/d/1Uw7-A9f9R21vMXxHZFNpYNeKFtG8_yji4HS352LGlSQ/edit?pli=1#gid=0"",""1_ACUM!A4:S""),19,FALSE))"),44825)</f>
        <v>44825</v>
      </c>
      <c r="BF36" s="68">
        <f ca="1">IFERROR(__xludf.DUMMYFUNCTION("IFERROR(VLOOKUP(F50,IMPORTRANGE(""https://docs.google.com/spreadsheets/d/1Kvs4KS76FHFqLFIZfrDMff4kP08nblUkihrxltoGBjg/edit#gid=934712705"",""ESENCIAL!A6:BG""),5,FALSE))"),45006)</f>
        <v>45006</v>
      </c>
      <c r="BG36" s="68">
        <f t="shared" ca="1" si="1"/>
        <v>45556</v>
      </c>
      <c r="BH36" s="17" t="str">
        <f t="shared" ca="1" si="2"/>
        <v>FICHA EN TIEMPO-18 MESES</v>
      </c>
      <c r="BI36" s="38" t="str">
        <f ca="1">IFERROR(__xludf.DUMMYFUNCTION("IFERROR(VLOOKUP(F50,IMPORTRANGE(""https://docs.google.com/spreadsheets/d/1Kvs4KS76FHFqLFIZfrDMff4kP08nblUkihrxltoGBjg/edit#gid=934712705"",""ESENCIAL!A6:BG""),2,FALSE))"),"En ejecucion")</f>
        <v>En ejecucion</v>
      </c>
      <c r="BJ36" s="19" t="str">
        <f t="shared" si="3"/>
        <v>Yamboro</v>
      </c>
      <c r="BK36" s="292"/>
      <c r="BL36" s="38"/>
    </row>
    <row r="37" spans="1:64" ht="18" customHeight="1">
      <c r="A37" s="289"/>
      <c r="B37" s="145" t="s">
        <v>25</v>
      </c>
      <c r="C37" s="25" t="s">
        <v>1711</v>
      </c>
      <c r="D37" s="57" t="s">
        <v>27</v>
      </c>
      <c r="E37" s="57">
        <v>83239699</v>
      </c>
      <c r="F37" s="25">
        <v>2469966</v>
      </c>
      <c r="G37" s="11" t="str">
        <f ca="1">IFERROR(__xludf.DUMMYFUNCTION("IFERROR(VLOOKUP(F51,IMPORTRANGE(""https://docs.google.com/spreadsheets/d/1Kvs4KS76FHFqLFIZfrDMff4kP08nblUkihrxltoGBjg/edit#gid=934712705"",""ESENCIAL!A6:BG""),3,FALSE))"),"TÉCNICO")</f>
        <v>TÉCNICO</v>
      </c>
      <c r="H37" s="11" t="str">
        <f ca="1">IFERROR(__xludf.DUMMYFUNCTION("IFERROR(VLOOKUP(F51,IMPORTRANGE(""https://docs.google.com/spreadsheets/d/1Kvs4KS76FHFqLFIZfrDMff4kP08nblUkihrxltoGBjg/edit#gid=934712705"",""ESENCIAL!A6:BG""),8,FALSE))"),"EJECUCION DE PROGRAMAS DEPORTIVOS")</f>
        <v>EJECUCION DE PROGRAMAS DEPORTIVOS</v>
      </c>
      <c r="I37" s="25"/>
      <c r="J37" s="34"/>
      <c r="K37" s="34"/>
      <c r="L37" s="329" t="s">
        <v>44</v>
      </c>
      <c r="M37" s="34"/>
      <c r="N37" s="34"/>
      <c r="O37" s="34"/>
      <c r="P37" s="34"/>
      <c r="Q37" s="34"/>
      <c r="R37" s="35"/>
      <c r="S37" s="35"/>
      <c r="T37" s="34"/>
      <c r="U37" s="36"/>
      <c r="V37" s="30"/>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19" t="str">
        <f t="shared" ca="1" si="0"/>
        <v>NO_CUMPLE</v>
      </c>
      <c r="AV37" s="11" t="str">
        <f ca="1">IFERROR(__xludf.DUMMYFUNCTION("IFERROR(VLOOKUP(E51&amp;F51,IMPORTRANGE(""https://docs.google.com/spreadsheets/d/1Uw7-A9f9R21vMXxHZFNpYNeKFtG8_yji4HS352LGlSQ/edit?pli=1#gid=0"",""1_ACUM!A4:S""),11,FALSE))"),"EN FORMACION")</f>
        <v>EN FORMACION</v>
      </c>
      <c r="AW37" s="20" t="str">
        <f ca="1">IFERROR(__xludf.DUMMYFUNCTION("IFERROR(VLOOKUP(F51,IMPORTRANGE(""https://docs.google.com/spreadsheets/d/1Kvs4KS76FHFqLFIZfrDMff4kP08nblUkihrxltoGBjg/edit#gid=934712705"",""ESENCIAL!A6:BG""),15,FALSE))"),"TURISMO")</f>
        <v>TURISMO</v>
      </c>
      <c r="AX37" s="21">
        <f ca="1">IFERROR(__xludf.DUMMYFUNCTION("IFERROR(VLOOKUP(E51&amp;F51,IMPORTRANGE(""https://docs.google.com/spreadsheets/d/1Uw7-A9f9R21vMXxHZFNpYNeKFtG8_yji4HS352LGlSQ/edit?pli=1#gid=0"",""1_ACUM!A4:S""),12,FALSE))"),44839)</f>
        <v>44839</v>
      </c>
      <c r="AY37" s="22">
        <f ca="1">IFERROR(__xludf.DUMMYFUNCTION("IFERROR(VLOOKUP(E51&amp;F51,IMPORTRANGE(""https://docs.google.com/spreadsheets/d/1Uw7-A9f9R21vMXxHZFNpYNeKFtG8_yji4HS352LGlSQ/edit?pli=1#gid=0"",""1_ACUM!A4:S""),13,FALSE))"),6)</f>
        <v>6</v>
      </c>
      <c r="AZ37" s="22">
        <f ca="1">IFERROR(__xludf.DUMMYFUNCTION("IFERROR(VLOOKUP(E51&amp;F51,IMPORTRANGE(""https://docs.google.com/spreadsheets/d/1Uw7-A9f9R21vMXxHZFNpYNeKFtG8_yji4HS352LGlSQ/edit?pli=1#gid=0"",""1_ACUM!A4:S""),14,FALSE))"),1)</f>
        <v>1</v>
      </c>
      <c r="BA37" s="22">
        <f ca="1">IFERROR(__xludf.DUMMYFUNCTION("IFERROR(VLOOKUP(E51&amp;F51,IMPORTRANGE(""https://docs.google.com/spreadsheets/d/1Uw7-A9f9R21vMXxHZFNpYNeKFtG8_yji4HS352LGlSQ/edit?pli=1#gid=0"",""1_ACUM!A4:S""),15,FALSE))"),7)</f>
        <v>7</v>
      </c>
      <c r="BB37" s="22">
        <f ca="1">IFERROR(__xludf.DUMMYFUNCTION("IFERROR(VLOOKUP(E51&amp;F51,IMPORTRANGE(""https://docs.google.com/spreadsheets/d/1Uw7-A9f9R21vMXxHZFNpYNeKFtG8_yji4HS352LGlSQ/edit?pli=1#gid=0"",""1_ACUM!A4:S""),16,FALSE))"),15)</f>
        <v>15</v>
      </c>
      <c r="BC37" s="22">
        <f ca="1">IFERROR(__xludf.DUMMYFUNCTION("IFERROR(VLOOKUP(E51&amp;F51,IMPORTRANGE(""https://docs.google.com/spreadsheets/d/1Uw7-A9f9R21vMXxHZFNpYNeKFtG8_yji4HS352LGlSQ/edit?pli=1#gid=0"",""1_ACUM!A4:S""),17,FALSE))"),29)</f>
        <v>29</v>
      </c>
      <c r="BD37" s="23">
        <f ca="1">IFERROR(__xludf.DUMMYFUNCTION("IFERROR(VLOOKUP(E51&amp;F51,IMPORTRANGE(""https://docs.google.com/spreadsheets/d/1Uw7-A9f9R21vMXxHZFNpYNeKFtG8_yji4HS352LGlSQ/edit?pli=1#gid=0"",""1_ACUM!A4:S""),18,FALSE))"),44552)</f>
        <v>44552</v>
      </c>
      <c r="BE37" s="23">
        <f ca="1">IFERROR(__xludf.DUMMYFUNCTION("IFERROR(VLOOKUP(E51&amp;F51,IMPORTRANGE(""https://docs.google.com/spreadsheets/d/1Uw7-A9f9R21vMXxHZFNpYNeKFtG8_yji4HS352LGlSQ/edit?pli=1#gid=0"",""1_ACUM!A4:S""),19,FALSE))"),44825)</f>
        <v>44825</v>
      </c>
      <c r="BF37" s="68">
        <f ca="1">IFERROR(__xludf.DUMMYFUNCTION("IFERROR(VLOOKUP(F51,IMPORTRANGE(""https://docs.google.com/spreadsheets/d/1Kvs4KS76FHFqLFIZfrDMff4kP08nblUkihrxltoGBjg/edit#gid=934712705"",""ESENCIAL!A6:BG""),5,FALSE))"),45006)</f>
        <v>45006</v>
      </c>
      <c r="BG37" s="68">
        <f t="shared" ca="1" si="1"/>
        <v>45556</v>
      </c>
      <c r="BH37" s="17" t="str">
        <f t="shared" ca="1" si="2"/>
        <v>FICHA EN TIEMPO-18 MESES</v>
      </c>
      <c r="BI37" s="38" t="str">
        <f ca="1">IFERROR(__xludf.DUMMYFUNCTION("IFERROR(VLOOKUP(F51,IMPORTRANGE(""https://docs.google.com/spreadsheets/d/1Kvs4KS76FHFqLFIZfrDMff4kP08nblUkihrxltoGBjg/edit#gid=934712705"",""ESENCIAL!A6:BG""),2,FALSE))"),"En ejecucion")</f>
        <v>En ejecucion</v>
      </c>
      <c r="BJ37" s="19" t="str">
        <f t="shared" si="3"/>
        <v>Yamboro</v>
      </c>
      <c r="BK37" s="292"/>
      <c r="BL37" s="38"/>
    </row>
    <row r="38" spans="1:64" ht="18" customHeight="1">
      <c r="A38" s="289"/>
      <c r="B38" s="145" t="s">
        <v>25</v>
      </c>
      <c r="C38" s="25" t="s">
        <v>1712</v>
      </c>
      <c r="D38" s="57" t="s">
        <v>27</v>
      </c>
      <c r="E38" s="57">
        <v>1004083042</v>
      </c>
      <c r="F38" s="25">
        <v>2500070</v>
      </c>
      <c r="G38" s="11" t="s">
        <v>508</v>
      </c>
      <c r="H38" s="11" t="s">
        <v>1713</v>
      </c>
      <c r="I38" s="25"/>
      <c r="J38" s="34"/>
      <c r="K38" s="34"/>
      <c r="L38" s="329" t="s">
        <v>44</v>
      </c>
      <c r="M38" s="34"/>
      <c r="N38" s="34"/>
      <c r="O38" s="34"/>
      <c r="P38" s="34"/>
      <c r="Q38" s="34"/>
      <c r="R38" s="35"/>
      <c r="S38" s="35"/>
      <c r="T38" s="65" t="s">
        <v>459</v>
      </c>
      <c r="U38" s="36"/>
      <c r="V38" s="30"/>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19" t="str">
        <f t="shared" ca="1" si="0"/>
        <v>NO_CUMPLE</v>
      </c>
      <c r="AV38" s="11" t="str">
        <f ca="1">IFERROR(__xludf.DUMMYFUNCTION("IFERROR(VLOOKUP(E52&amp;F52,IMPORTRANGE(""https://docs.google.com/spreadsheets/d/1Uw7-A9f9R21vMXxHZFNpYNeKFtG8_yji4HS352LGlSQ/edit?pli=1#gid=0"",""1_ACUM!A4:S""),11,FALSE))"),"")</f>
        <v/>
      </c>
      <c r="AW38" s="20" t="str">
        <f ca="1">IFERROR(__xludf.DUMMYFUNCTION("IFERROR(VLOOKUP(F52,IMPORTRANGE(""https://docs.google.com/spreadsheets/d/1Kvs4KS76FHFqLFIZfrDMff4kP08nblUkihrxltoGBjg/edit#gid=934712705"",""ESENCIAL!A6:BG""),15,FALSE))"),"")</f>
        <v/>
      </c>
      <c r="AX38" s="21" t="str">
        <f ca="1">IFERROR(__xludf.DUMMYFUNCTION("IFERROR(VLOOKUP(E52&amp;F52,IMPORTRANGE(""https://docs.google.com/spreadsheets/d/1Uw7-A9f9R21vMXxHZFNpYNeKFtG8_yji4HS352LGlSQ/edit?pli=1#gid=0"",""1_ACUM!A4:S""),12,FALSE))"),"")</f>
        <v/>
      </c>
      <c r="AY38" s="22" t="str">
        <f ca="1">IFERROR(__xludf.DUMMYFUNCTION("IFERROR(VLOOKUP(E52&amp;F52,IMPORTRANGE(""https://docs.google.com/spreadsheets/d/1Uw7-A9f9R21vMXxHZFNpYNeKFtG8_yji4HS352LGlSQ/edit?pli=1#gid=0"",""1_ACUM!A4:S""),13,FALSE))"),"")</f>
        <v/>
      </c>
      <c r="AZ38" s="22" t="str">
        <f ca="1">IFERROR(__xludf.DUMMYFUNCTION("IFERROR(VLOOKUP(E52&amp;F52,IMPORTRANGE(""https://docs.google.com/spreadsheets/d/1Uw7-A9f9R21vMXxHZFNpYNeKFtG8_yji4HS352LGlSQ/edit?pli=1#gid=0"",""1_ACUM!A4:S""),14,FALSE))"),"")</f>
        <v/>
      </c>
      <c r="BA38" s="22" t="str">
        <f ca="1">IFERROR(__xludf.DUMMYFUNCTION("IFERROR(VLOOKUP(E52&amp;F52,IMPORTRANGE(""https://docs.google.com/spreadsheets/d/1Uw7-A9f9R21vMXxHZFNpYNeKFtG8_yji4HS352LGlSQ/edit?pli=1#gid=0"",""1_ACUM!A4:S""),15,FALSE))"),"")</f>
        <v/>
      </c>
      <c r="BB38" s="22" t="str">
        <f ca="1">IFERROR(__xludf.DUMMYFUNCTION("IFERROR(VLOOKUP(E52&amp;F52,IMPORTRANGE(""https://docs.google.com/spreadsheets/d/1Uw7-A9f9R21vMXxHZFNpYNeKFtG8_yji4HS352LGlSQ/edit?pli=1#gid=0"",""1_ACUM!A4:S""),16,FALSE))"),"")</f>
        <v/>
      </c>
      <c r="BC38" s="22" t="str">
        <f ca="1">IFERROR(__xludf.DUMMYFUNCTION("IFERROR(VLOOKUP(E52&amp;F52,IMPORTRANGE(""https://docs.google.com/spreadsheets/d/1Uw7-A9f9R21vMXxHZFNpYNeKFtG8_yji4HS352LGlSQ/edit?pli=1#gid=0"",""1_ACUM!A4:S""),17,FALSE))"),"")</f>
        <v/>
      </c>
      <c r="BD38" s="23" t="str">
        <f ca="1">IFERROR(__xludf.DUMMYFUNCTION("IFERROR(VLOOKUP(E52&amp;F52,IMPORTRANGE(""https://docs.google.com/spreadsheets/d/1Uw7-A9f9R21vMXxHZFNpYNeKFtG8_yji4HS352LGlSQ/edit?pli=1#gid=0"",""1_ACUM!A4:S""),18,FALSE))"),"")</f>
        <v/>
      </c>
      <c r="BE38" s="23" t="str">
        <f ca="1">IFERROR(__xludf.DUMMYFUNCTION("IFERROR(VLOOKUP(E52&amp;F52,IMPORTRANGE(""https://docs.google.com/spreadsheets/d/1Uw7-A9f9R21vMXxHZFNpYNeKFtG8_yji4HS352LGlSQ/edit?pli=1#gid=0"",""1_ACUM!A4:S""),19,FALSE))"),"")</f>
        <v/>
      </c>
      <c r="BF38" s="68" t="str">
        <f ca="1">IFERROR(__xludf.DUMMYFUNCTION("IFERROR(VLOOKUP(F52,IMPORTRANGE(""https://docs.google.com/spreadsheets/d/1Kvs4KS76FHFqLFIZfrDMff4kP08nblUkihrxltoGBjg/edit#gid=934712705"",""ESENCIAL!A6:BG""),5,FALSE))"),"")</f>
        <v/>
      </c>
      <c r="BG38" s="68" t="e">
        <f t="shared" ca="1" si="1"/>
        <v>#VALUE!</v>
      </c>
      <c r="BH38" s="17" t="e">
        <f t="shared" ca="1" si="2"/>
        <v>#VALUE!</v>
      </c>
      <c r="BI38" s="38" t="str">
        <f ca="1">IFERROR(__xludf.DUMMYFUNCTION("IFERROR(VLOOKUP(F52,IMPORTRANGE(""https://docs.google.com/spreadsheets/d/1Kvs4KS76FHFqLFIZfrDMff4kP08nblUkihrxltoGBjg/edit#gid=934712705"",""ESENCIAL!A6:BG""),2,FALSE))"),"")</f>
        <v/>
      </c>
      <c r="BJ38" s="19" t="str">
        <f t="shared" si="3"/>
        <v>Yamboro</v>
      </c>
      <c r="BK38" s="292"/>
      <c r="BL38" s="38"/>
    </row>
    <row r="39" spans="1:64" ht="18" customHeight="1">
      <c r="A39" s="289"/>
      <c r="B39" s="145" t="s">
        <v>25</v>
      </c>
      <c r="C39" s="25" t="s">
        <v>1714</v>
      </c>
      <c r="D39" s="57" t="s">
        <v>27</v>
      </c>
      <c r="E39" s="57">
        <v>1004083234</v>
      </c>
      <c r="F39" s="25">
        <v>2500070</v>
      </c>
      <c r="G39" s="11" t="s">
        <v>508</v>
      </c>
      <c r="H39" s="11" t="s">
        <v>1713</v>
      </c>
      <c r="I39" s="25"/>
      <c r="J39" s="34"/>
      <c r="K39" s="34"/>
      <c r="L39" s="329" t="s">
        <v>44</v>
      </c>
      <c r="M39" s="34"/>
      <c r="N39" s="34"/>
      <c r="O39" s="34"/>
      <c r="P39" s="34"/>
      <c r="Q39" s="34"/>
      <c r="R39" s="35"/>
      <c r="S39" s="35"/>
      <c r="T39" s="65"/>
      <c r="U39" s="36"/>
      <c r="V39" s="30"/>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19" t="str">
        <f t="shared" ca="1" si="0"/>
        <v>NO_CUMPLE</v>
      </c>
      <c r="AV39" s="11" t="str">
        <f ca="1">IFERROR(__xludf.DUMMYFUNCTION("IFERROR(VLOOKUP(E53&amp;F53,IMPORTRANGE(""https://docs.google.com/spreadsheets/d/1Uw7-A9f9R21vMXxHZFNpYNeKFtG8_yji4HS352LGlSQ/edit?pli=1#gid=0"",""1_ACUM!A4:S""),11,FALSE))"),"")</f>
        <v/>
      </c>
      <c r="AW39" s="20" t="str">
        <f ca="1">IFERROR(__xludf.DUMMYFUNCTION("IFERROR(VLOOKUP(F53,IMPORTRANGE(""https://docs.google.com/spreadsheets/d/1Kvs4KS76FHFqLFIZfrDMff4kP08nblUkihrxltoGBjg/edit#gid=934712705"",""ESENCIAL!A6:BG""),15,FALSE))"),"")</f>
        <v/>
      </c>
      <c r="AX39" s="21" t="str">
        <f ca="1">IFERROR(__xludf.DUMMYFUNCTION("IFERROR(VLOOKUP(E53&amp;F53,IMPORTRANGE(""https://docs.google.com/spreadsheets/d/1Uw7-A9f9R21vMXxHZFNpYNeKFtG8_yji4HS352LGlSQ/edit?pli=1#gid=0"",""1_ACUM!A4:S""),12,FALSE))"),"")</f>
        <v/>
      </c>
      <c r="AY39" s="22" t="str">
        <f ca="1">IFERROR(__xludf.DUMMYFUNCTION("IFERROR(VLOOKUP(E53&amp;F53,IMPORTRANGE(""https://docs.google.com/spreadsheets/d/1Uw7-A9f9R21vMXxHZFNpYNeKFtG8_yji4HS352LGlSQ/edit?pli=1#gid=0"",""1_ACUM!A4:S""),13,FALSE))"),"")</f>
        <v/>
      </c>
      <c r="AZ39" s="22" t="str">
        <f ca="1">IFERROR(__xludf.DUMMYFUNCTION("IFERROR(VLOOKUP(E53&amp;F53,IMPORTRANGE(""https://docs.google.com/spreadsheets/d/1Uw7-A9f9R21vMXxHZFNpYNeKFtG8_yji4HS352LGlSQ/edit?pli=1#gid=0"",""1_ACUM!A4:S""),14,FALSE))"),"")</f>
        <v/>
      </c>
      <c r="BA39" s="22" t="str">
        <f ca="1">IFERROR(__xludf.DUMMYFUNCTION("IFERROR(VLOOKUP(E53&amp;F53,IMPORTRANGE(""https://docs.google.com/spreadsheets/d/1Uw7-A9f9R21vMXxHZFNpYNeKFtG8_yji4HS352LGlSQ/edit?pli=1#gid=0"",""1_ACUM!A4:S""),15,FALSE))"),"")</f>
        <v/>
      </c>
      <c r="BB39" s="22" t="str">
        <f ca="1">IFERROR(__xludf.DUMMYFUNCTION("IFERROR(VLOOKUP(E53&amp;F53,IMPORTRANGE(""https://docs.google.com/spreadsheets/d/1Uw7-A9f9R21vMXxHZFNpYNeKFtG8_yji4HS352LGlSQ/edit?pli=1#gid=0"",""1_ACUM!A4:S""),16,FALSE))"),"")</f>
        <v/>
      </c>
      <c r="BC39" s="22" t="str">
        <f ca="1">IFERROR(__xludf.DUMMYFUNCTION("IFERROR(VLOOKUP(E53&amp;F53,IMPORTRANGE(""https://docs.google.com/spreadsheets/d/1Uw7-A9f9R21vMXxHZFNpYNeKFtG8_yji4HS352LGlSQ/edit?pli=1#gid=0"",""1_ACUM!A4:S""),17,FALSE))"),"")</f>
        <v/>
      </c>
      <c r="BD39" s="23" t="str">
        <f ca="1">IFERROR(__xludf.DUMMYFUNCTION("IFERROR(VLOOKUP(E53&amp;F53,IMPORTRANGE(""https://docs.google.com/spreadsheets/d/1Uw7-A9f9R21vMXxHZFNpYNeKFtG8_yji4HS352LGlSQ/edit?pli=1#gid=0"",""1_ACUM!A4:S""),18,FALSE))"),"")</f>
        <v/>
      </c>
      <c r="BE39" s="23" t="str">
        <f ca="1">IFERROR(__xludf.DUMMYFUNCTION("IFERROR(VLOOKUP(E53&amp;F53,IMPORTRANGE(""https://docs.google.com/spreadsheets/d/1Uw7-A9f9R21vMXxHZFNpYNeKFtG8_yji4HS352LGlSQ/edit?pli=1#gid=0"",""1_ACUM!A4:S""),19,FALSE))"),"")</f>
        <v/>
      </c>
      <c r="BF39" s="68" t="str">
        <f ca="1">IFERROR(__xludf.DUMMYFUNCTION("IFERROR(VLOOKUP(F53,IMPORTRANGE(""https://docs.google.com/spreadsheets/d/1Kvs4KS76FHFqLFIZfrDMff4kP08nblUkihrxltoGBjg/edit#gid=934712705"",""ESENCIAL!A6:BG""),5,FALSE))"),"")</f>
        <v/>
      </c>
      <c r="BG39" s="68" t="e">
        <f t="shared" ca="1" si="1"/>
        <v>#VALUE!</v>
      </c>
      <c r="BH39" s="17" t="e">
        <f t="shared" ca="1" si="2"/>
        <v>#VALUE!</v>
      </c>
      <c r="BI39" s="38" t="str">
        <f ca="1">IFERROR(__xludf.DUMMYFUNCTION("IFERROR(VLOOKUP(F53,IMPORTRANGE(""https://docs.google.com/spreadsheets/d/1Kvs4KS76FHFqLFIZfrDMff4kP08nblUkihrxltoGBjg/edit#gid=934712705"",""ESENCIAL!A6:BG""),2,FALSE))"),"")</f>
        <v/>
      </c>
      <c r="BJ39" s="19" t="str">
        <f t="shared" si="3"/>
        <v>Yamboro</v>
      </c>
      <c r="BK39" s="292"/>
      <c r="BL39" s="38"/>
    </row>
    <row r="40" spans="1:64" ht="18" customHeight="1">
      <c r="A40" s="289"/>
      <c r="B40" s="145" t="s">
        <v>25</v>
      </c>
      <c r="C40" s="25" t="s">
        <v>1715</v>
      </c>
      <c r="D40" s="57" t="s">
        <v>27</v>
      </c>
      <c r="E40" s="57">
        <v>1004253201</v>
      </c>
      <c r="F40" s="25">
        <v>2500070</v>
      </c>
      <c r="G40" s="11" t="s">
        <v>508</v>
      </c>
      <c r="H40" s="11" t="s">
        <v>1713</v>
      </c>
      <c r="I40" s="25"/>
      <c r="J40" s="34"/>
      <c r="K40" s="34"/>
      <c r="L40" s="329" t="s">
        <v>44</v>
      </c>
      <c r="M40" s="34"/>
      <c r="N40" s="34"/>
      <c r="O40" s="34"/>
      <c r="P40" s="34"/>
      <c r="Q40" s="34"/>
      <c r="R40" s="35"/>
      <c r="S40" s="35"/>
      <c r="T40" s="65" t="s">
        <v>1716</v>
      </c>
      <c r="U40" s="36"/>
      <c r="V40" s="30"/>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19" t="str">
        <f t="shared" ca="1" si="0"/>
        <v>NO_CUMPLE</v>
      </c>
      <c r="AV40" s="11" t="str">
        <f ca="1">IFERROR(__xludf.DUMMYFUNCTION("IFERROR(VLOOKUP(E54&amp;F54,IMPORTRANGE(""https://docs.google.com/spreadsheets/d/1Uw7-A9f9R21vMXxHZFNpYNeKFtG8_yji4HS352LGlSQ/edit?pli=1#gid=0"",""1_ACUM!A4:S""),11,FALSE))"),"")</f>
        <v/>
      </c>
      <c r="AW40" s="20" t="str">
        <f ca="1">IFERROR(__xludf.DUMMYFUNCTION("IFERROR(VLOOKUP(F54,IMPORTRANGE(""https://docs.google.com/spreadsheets/d/1Kvs4KS76FHFqLFIZfrDMff4kP08nblUkihrxltoGBjg/edit#gid=934712705"",""ESENCIAL!A6:BG""),15,FALSE))"),"")</f>
        <v/>
      </c>
      <c r="AX40" s="21" t="str">
        <f ca="1">IFERROR(__xludf.DUMMYFUNCTION("IFERROR(VLOOKUP(E54&amp;F54,IMPORTRANGE(""https://docs.google.com/spreadsheets/d/1Uw7-A9f9R21vMXxHZFNpYNeKFtG8_yji4HS352LGlSQ/edit?pli=1#gid=0"",""1_ACUM!A4:S""),12,FALSE))"),"")</f>
        <v/>
      </c>
      <c r="AY40" s="22" t="str">
        <f ca="1">IFERROR(__xludf.DUMMYFUNCTION("IFERROR(VLOOKUP(E54&amp;F54,IMPORTRANGE(""https://docs.google.com/spreadsheets/d/1Uw7-A9f9R21vMXxHZFNpYNeKFtG8_yji4HS352LGlSQ/edit?pli=1#gid=0"",""1_ACUM!A4:S""),13,FALSE))"),"")</f>
        <v/>
      </c>
      <c r="AZ40" s="22" t="str">
        <f ca="1">IFERROR(__xludf.DUMMYFUNCTION("IFERROR(VLOOKUP(E54&amp;F54,IMPORTRANGE(""https://docs.google.com/spreadsheets/d/1Uw7-A9f9R21vMXxHZFNpYNeKFtG8_yji4HS352LGlSQ/edit?pli=1#gid=0"",""1_ACUM!A4:S""),14,FALSE))"),"")</f>
        <v/>
      </c>
      <c r="BA40" s="22" t="str">
        <f ca="1">IFERROR(__xludf.DUMMYFUNCTION("IFERROR(VLOOKUP(E54&amp;F54,IMPORTRANGE(""https://docs.google.com/spreadsheets/d/1Uw7-A9f9R21vMXxHZFNpYNeKFtG8_yji4HS352LGlSQ/edit?pli=1#gid=0"",""1_ACUM!A4:S""),15,FALSE))"),"")</f>
        <v/>
      </c>
      <c r="BB40" s="22" t="str">
        <f ca="1">IFERROR(__xludf.DUMMYFUNCTION("IFERROR(VLOOKUP(E54&amp;F54,IMPORTRANGE(""https://docs.google.com/spreadsheets/d/1Uw7-A9f9R21vMXxHZFNpYNeKFtG8_yji4HS352LGlSQ/edit?pli=1#gid=0"",""1_ACUM!A4:S""),16,FALSE))"),"")</f>
        <v/>
      </c>
      <c r="BC40" s="22" t="str">
        <f ca="1">IFERROR(__xludf.DUMMYFUNCTION("IFERROR(VLOOKUP(E54&amp;F54,IMPORTRANGE(""https://docs.google.com/spreadsheets/d/1Uw7-A9f9R21vMXxHZFNpYNeKFtG8_yji4HS352LGlSQ/edit?pli=1#gid=0"",""1_ACUM!A4:S""),17,FALSE))"),"")</f>
        <v/>
      </c>
      <c r="BD40" s="23" t="str">
        <f ca="1">IFERROR(__xludf.DUMMYFUNCTION("IFERROR(VLOOKUP(E54&amp;F54,IMPORTRANGE(""https://docs.google.com/spreadsheets/d/1Uw7-A9f9R21vMXxHZFNpYNeKFtG8_yji4HS352LGlSQ/edit?pli=1#gid=0"",""1_ACUM!A4:S""),18,FALSE))"),"")</f>
        <v/>
      </c>
      <c r="BE40" s="23" t="str">
        <f ca="1">IFERROR(__xludf.DUMMYFUNCTION("IFERROR(VLOOKUP(E54&amp;F54,IMPORTRANGE(""https://docs.google.com/spreadsheets/d/1Uw7-A9f9R21vMXxHZFNpYNeKFtG8_yji4HS352LGlSQ/edit?pli=1#gid=0"",""1_ACUM!A4:S""),19,FALSE))"),"")</f>
        <v/>
      </c>
      <c r="BF40" s="68" t="str">
        <f ca="1">IFERROR(__xludf.DUMMYFUNCTION("IFERROR(VLOOKUP(F54,IMPORTRANGE(""https://docs.google.com/spreadsheets/d/1Kvs4KS76FHFqLFIZfrDMff4kP08nblUkihrxltoGBjg/edit#gid=934712705"",""ESENCIAL!A6:BG""),5,FALSE))"),"")</f>
        <v/>
      </c>
      <c r="BG40" s="68" t="e">
        <f t="shared" ca="1" si="1"/>
        <v>#VALUE!</v>
      </c>
      <c r="BH40" s="17" t="e">
        <f t="shared" ca="1" si="2"/>
        <v>#VALUE!</v>
      </c>
      <c r="BI40" s="38" t="str">
        <f ca="1">IFERROR(__xludf.DUMMYFUNCTION("IFERROR(VLOOKUP(F54,IMPORTRANGE(""https://docs.google.com/spreadsheets/d/1Kvs4KS76FHFqLFIZfrDMff4kP08nblUkihrxltoGBjg/edit#gid=934712705"",""ESENCIAL!A6:BG""),2,FALSE))"),"")</f>
        <v/>
      </c>
      <c r="BJ40" s="19" t="str">
        <f t="shared" si="3"/>
        <v>Yamboro</v>
      </c>
      <c r="BK40" s="292"/>
      <c r="BL40" s="38"/>
    </row>
    <row r="41" spans="1:64" ht="18" customHeight="1">
      <c r="A41" s="289"/>
      <c r="B41" s="145" t="s">
        <v>25</v>
      </c>
      <c r="C41" s="25" t="s">
        <v>1717</v>
      </c>
      <c r="D41" s="57" t="s">
        <v>27</v>
      </c>
      <c r="E41" s="57">
        <v>1004418004</v>
      </c>
      <c r="F41" s="25">
        <v>2500070</v>
      </c>
      <c r="G41" s="11" t="s">
        <v>508</v>
      </c>
      <c r="H41" s="11" t="s">
        <v>1713</v>
      </c>
      <c r="I41" s="25"/>
      <c r="J41" s="34"/>
      <c r="K41" s="34"/>
      <c r="L41" s="329" t="s">
        <v>44</v>
      </c>
      <c r="M41" s="34"/>
      <c r="N41" s="34"/>
      <c r="O41" s="34"/>
      <c r="P41" s="34"/>
      <c r="Q41" s="34"/>
      <c r="R41" s="35"/>
      <c r="S41" s="35"/>
      <c r="T41" s="65"/>
      <c r="U41" s="36"/>
      <c r="V41" s="30"/>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19" t="str">
        <f t="shared" ca="1" si="0"/>
        <v>NO_CUMPLE</v>
      </c>
      <c r="AV41" s="11" t="str">
        <f ca="1">IFERROR(__xludf.DUMMYFUNCTION("IFERROR(VLOOKUP(E55&amp;F55,IMPORTRANGE(""https://docs.google.com/spreadsheets/d/1Uw7-A9f9R21vMXxHZFNpYNeKFtG8_yji4HS352LGlSQ/edit?pli=1#gid=0"",""1_ACUM!A4:S""),11,FALSE))"),"")</f>
        <v/>
      </c>
      <c r="AW41" s="20" t="str">
        <f ca="1">IFERROR(__xludf.DUMMYFUNCTION("IFERROR(VLOOKUP(F55,IMPORTRANGE(""https://docs.google.com/spreadsheets/d/1Kvs4KS76FHFqLFIZfrDMff4kP08nblUkihrxltoGBjg/edit#gid=934712705"",""ESENCIAL!A6:BG""),15,FALSE))"),"")</f>
        <v/>
      </c>
      <c r="AX41" s="21" t="str">
        <f ca="1">IFERROR(__xludf.DUMMYFUNCTION("IFERROR(VLOOKUP(E55&amp;F55,IMPORTRANGE(""https://docs.google.com/spreadsheets/d/1Uw7-A9f9R21vMXxHZFNpYNeKFtG8_yji4HS352LGlSQ/edit?pli=1#gid=0"",""1_ACUM!A4:S""),12,FALSE))"),"")</f>
        <v/>
      </c>
      <c r="AY41" s="22" t="str">
        <f ca="1">IFERROR(__xludf.DUMMYFUNCTION("IFERROR(VLOOKUP(E55&amp;F55,IMPORTRANGE(""https://docs.google.com/spreadsheets/d/1Uw7-A9f9R21vMXxHZFNpYNeKFtG8_yji4HS352LGlSQ/edit?pli=1#gid=0"",""1_ACUM!A4:S""),13,FALSE))"),"")</f>
        <v/>
      </c>
      <c r="AZ41" s="22" t="str">
        <f ca="1">IFERROR(__xludf.DUMMYFUNCTION("IFERROR(VLOOKUP(E55&amp;F55,IMPORTRANGE(""https://docs.google.com/spreadsheets/d/1Uw7-A9f9R21vMXxHZFNpYNeKFtG8_yji4HS352LGlSQ/edit?pli=1#gid=0"",""1_ACUM!A4:S""),14,FALSE))"),"")</f>
        <v/>
      </c>
      <c r="BA41" s="22" t="str">
        <f ca="1">IFERROR(__xludf.DUMMYFUNCTION("IFERROR(VLOOKUP(E55&amp;F55,IMPORTRANGE(""https://docs.google.com/spreadsheets/d/1Uw7-A9f9R21vMXxHZFNpYNeKFtG8_yji4HS352LGlSQ/edit?pli=1#gid=0"",""1_ACUM!A4:S""),15,FALSE))"),"")</f>
        <v/>
      </c>
      <c r="BB41" s="22" t="str">
        <f ca="1">IFERROR(__xludf.DUMMYFUNCTION("IFERROR(VLOOKUP(E55&amp;F55,IMPORTRANGE(""https://docs.google.com/spreadsheets/d/1Uw7-A9f9R21vMXxHZFNpYNeKFtG8_yji4HS352LGlSQ/edit?pli=1#gid=0"",""1_ACUM!A4:S""),16,FALSE))"),"")</f>
        <v/>
      </c>
      <c r="BC41" s="22" t="str">
        <f ca="1">IFERROR(__xludf.DUMMYFUNCTION("IFERROR(VLOOKUP(E55&amp;F55,IMPORTRANGE(""https://docs.google.com/spreadsheets/d/1Uw7-A9f9R21vMXxHZFNpYNeKFtG8_yji4HS352LGlSQ/edit?pli=1#gid=0"",""1_ACUM!A4:S""),17,FALSE))"),"")</f>
        <v/>
      </c>
      <c r="BD41" s="23" t="str">
        <f ca="1">IFERROR(__xludf.DUMMYFUNCTION("IFERROR(VLOOKUP(E55&amp;F55,IMPORTRANGE(""https://docs.google.com/spreadsheets/d/1Uw7-A9f9R21vMXxHZFNpYNeKFtG8_yji4HS352LGlSQ/edit?pli=1#gid=0"",""1_ACUM!A4:S""),18,FALSE))"),"")</f>
        <v/>
      </c>
      <c r="BE41" s="23" t="str">
        <f ca="1">IFERROR(__xludf.DUMMYFUNCTION("IFERROR(VLOOKUP(E55&amp;F55,IMPORTRANGE(""https://docs.google.com/spreadsheets/d/1Uw7-A9f9R21vMXxHZFNpYNeKFtG8_yji4HS352LGlSQ/edit?pli=1#gid=0"",""1_ACUM!A4:S""),19,FALSE))"),"")</f>
        <v/>
      </c>
      <c r="BF41" s="68" t="str">
        <f ca="1">IFERROR(__xludf.DUMMYFUNCTION("IFERROR(VLOOKUP(F55,IMPORTRANGE(""https://docs.google.com/spreadsheets/d/1Kvs4KS76FHFqLFIZfrDMff4kP08nblUkihrxltoGBjg/edit#gid=934712705"",""ESENCIAL!A6:BG""),5,FALSE))"),"")</f>
        <v/>
      </c>
      <c r="BG41" s="68" t="e">
        <f t="shared" ca="1" si="1"/>
        <v>#VALUE!</v>
      </c>
      <c r="BH41" s="17" t="e">
        <f t="shared" ca="1" si="2"/>
        <v>#VALUE!</v>
      </c>
      <c r="BI41" s="38" t="str">
        <f ca="1">IFERROR(__xludf.DUMMYFUNCTION("IFERROR(VLOOKUP(F55,IMPORTRANGE(""https://docs.google.com/spreadsheets/d/1Kvs4KS76FHFqLFIZfrDMff4kP08nblUkihrxltoGBjg/edit#gid=934712705"",""ESENCIAL!A6:BG""),2,FALSE))"),"")</f>
        <v/>
      </c>
      <c r="BJ41" s="19" t="str">
        <f t="shared" si="3"/>
        <v>Yamboro</v>
      </c>
      <c r="BK41" s="292"/>
      <c r="BL41" s="38"/>
    </row>
    <row r="42" spans="1:64" ht="18" customHeight="1">
      <c r="A42" s="289"/>
      <c r="B42" s="145" t="s">
        <v>25</v>
      </c>
      <c r="C42" s="25" t="s">
        <v>1718</v>
      </c>
      <c r="D42" s="57" t="s">
        <v>27</v>
      </c>
      <c r="E42" s="57">
        <v>1004440257</v>
      </c>
      <c r="F42" s="25">
        <v>2500070</v>
      </c>
      <c r="G42" s="11" t="s">
        <v>508</v>
      </c>
      <c r="H42" s="11" t="s">
        <v>1713</v>
      </c>
      <c r="I42" s="25"/>
      <c r="J42" s="34"/>
      <c r="K42" s="34"/>
      <c r="L42" s="329" t="s">
        <v>37</v>
      </c>
      <c r="M42" s="34"/>
      <c r="N42" s="34"/>
      <c r="O42" s="34"/>
      <c r="P42" s="34"/>
      <c r="Q42" s="34"/>
      <c r="R42" s="35" t="s">
        <v>1719</v>
      </c>
      <c r="S42" s="366">
        <v>45269</v>
      </c>
      <c r="T42" s="65"/>
      <c r="U42" s="36"/>
      <c r="V42" s="30"/>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19" t="str">
        <f t="shared" ca="1" si="0"/>
        <v>NO_CUMPLE</v>
      </c>
      <c r="AV42" s="11" t="str">
        <f ca="1">IFERROR(__xludf.DUMMYFUNCTION("IFERROR(VLOOKUP(E56&amp;F56,IMPORTRANGE(""https://docs.google.com/spreadsheets/d/1Uw7-A9f9R21vMXxHZFNpYNeKFtG8_yji4HS352LGlSQ/edit?pli=1#gid=0"",""1_ACUM!A4:S""),11,FALSE))"),"")</f>
        <v/>
      </c>
      <c r="AW42" s="20" t="str">
        <f ca="1">IFERROR(__xludf.DUMMYFUNCTION("IFERROR(VLOOKUP(F56,IMPORTRANGE(""https://docs.google.com/spreadsheets/d/1Kvs4KS76FHFqLFIZfrDMff4kP08nblUkihrxltoGBjg/edit#gid=934712705"",""ESENCIAL!A6:BG""),15,FALSE))"),"")</f>
        <v/>
      </c>
      <c r="AX42" s="21" t="str">
        <f ca="1">IFERROR(__xludf.DUMMYFUNCTION("IFERROR(VLOOKUP(E56&amp;F56,IMPORTRANGE(""https://docs.google.com/spreadsheets/d/1Uw7-A9f9R21vMXxHZFNpYNeKFtG8_yji4HS352LGlSQ/edit?pli=1#gid=0"",""1_ACUM!A4:S""),12,FALSE))"),"")</f>
        <v/>
      </c>
      <c r="AY42" s="22" t="str">
        <f ca="1">IFERROR(__xludf.DUMMYFUNCTION("IFERROR(VLOOKUP(E56&amp;F56,IMPORTRANGE(""https://docs.google.com/spreadsheets/d/1Uw7-A9f9R21vMXxHZFNpYNeKFtG8_yji4HS352LGlSQ/edit?pli=1#gid=0"",""1_ACUM!A4:S""),13,FALSE))"),"")</f>
        <v/>
      </c>
      <c r="AZ42" s="22" t="str">
        <f ca="1">IFERROR(__xludf.DUMMYFUNCTION("IFERROR(VLOOKUP(E56&amp;F56,IMPORTRANGE(""https://docs.google.com/spreadsheets/d/1Uw7-A9f9R21vMXxHZFNpYNeKFtG8_yji4HS352LGlSQ/edit?pli=1#gid=0"",""1_ACUM!A4:S""),14,FALSE))"),"")</f>
        <v/>
      </c>
      <c r="BA42" s="22" t="str">
        <f ca="1">IFERROR(__xludf.DUMMYFUNCTION("IFERROR(VLOOKUP(E56&amp;F56,IMPORTRANGE(""https://docs.google.com/spreadsheets/d/1Uw7-A9f9R21vMXxHZFNpYNeKFtG8_yji4HS352LGlSQ/edit?pli=1#gid=0"",""1_ACUM!A4:S""),15,FALSE))"),"")</f>
        <v/>
      </c>
      <c r="BB42" s="22" t="str">
        <f ca="1">IFERROR(__xludf.DUMMYFUNCTION("IFERROR(VLOOKUP(E56&amp;F56,IMPORTRANGE(""https://docs.google.com/spreadsheets/d/1Uw7-A9f9R21vMXxHZFNpYNeKFtG8_yji4HS352LGlSQ/edit?pli=1#gid=0"",""1_ACUM!A4:S""),16,FALSE))"),"")</f>
        <v/>
      </c>
      <c r="BC42" s="22" t="str">
        <f ca="1">IFERROR(__xludf.DUMMYFUNCTION("IFERROR(VLOOKUP(E56&amp;F56,IMPORTRANGE(""https://docs.google.com/spreadsheets/d/1Uw7-A9f9R21vMXxHZFNpYNeKFtG8_yji4HS352LGlSQ/edit?pli=1#gid=0"",""1_ACUM!A4:S""),17,FALSE))"),"")</f>
        <v/>
      </c>
      <c r="BD42" s="23" t="str">
        <f ca="1">IFERROR(__xludf.DUMMYFUNCTION("IFERROR(VLOOKUP(E56&amp;F56,IMPORTRANGE(""https://docs.google.com/spreadsheets/d/1Uw7-A9f9R21vMXxHZFNpYNeKFtG8_yji4HS352LGlSQ/edit?pli=1#gid=0"",""1_ACUM!A4:S""),18,FALSE))"),"")</f>
        <v/>
      </c>
      <c r="BE42" s="23" t="str">
        <f ca="1">IFERROR(__xludf.DUMMYFUNCTION("IFERROR(VLOOKUP(E56&amp;F56,IMPORTRANGE(""https://docs.google.com/spreadsheets/d/1Uw7-A9f9R21vMXxHZFNpYNeKFtG8_yji4HS352LGlSQ/edit?pli=1#gid=0"",""1_ACUM!A4:S""),19,FALSE))"),"")</f>
        <v/>
      </c>
      <c r="BF42" s="68" t="str">
        <f ca="1">IFERROR(__xludf.DUMMYFUNCTION("IFERROR(VLOOKUP(F56,IMPORTRANGE(""https://docs.google.com/spreadsheets/d/1Kvs4KS76FHFqLFIZfrDMff4kP08nblUkihrxltoGBjg/edit#gid=934712705"",""ESENCIAL!A6:BG""),5,FALSE))"),"")</f>
        <v/>
      </c>
      <c r="BG42" s="68" t="e">
        <f t="shared" ca="1" si="1"/>
        <v>#VALUE!</v>
      </c>
      <c r="BH42" s="17" t="e">
        <f t="shared" ca="1" si="2"/>
        <v>#VALUE!</v>
      </c>
      <c r="BI42" s="38" t="str">
        <f ca="1">IFERROR(__xludf.DUMMYFUNCTION("IFERROR(VLOOKUP(F56,IMPORTRANGE(""https://docs.google.com/spreadsheets/d/1Kvs4KS76FHFqLFIZfrDMff4kP08nblUkihrxltoGBjg/edit#gid=934712705"",""ESENCIAL!A6:BG""),2,FALSE))"),"")</f>
        <v/>
      </c>
      <c r="BJ42" s="19" t="str">
        <f t="shared" si="3"/>
        <v>Yamboro</v>
      </c>
      <c r="BK42" s="292"/>
      <c r="BL42" s="38"/>
    </row>
    <row r="43" spans="1:64" ht="18" customHeight="1">
      <c r="A43" s="289"/>
      <c r="B43" s="145" t="s">
        <v>25</v>
      </c>
      <c r="C43" s="25" t="s">
        <v>1720</v>
      </c>
      <c r="D43" s="57" t="s">
        <v>27</v>
      </c>
      <c r="E43" s="57">
        <v>1007600688</v>
      </c>
      <c r="F43" s="25">
        <v>2500070</v>
      </c>
      <c r="G43" s="11" t="s">
        <v>508</v>
      </c>
      <c r="H43" s="11" t="s">
        <v>1713</v>
      </c>
      <c r="I43" s="25"/>
      <c r="J43" s="34"/>
      <c r="K43" s="34"/>
      <c r="L43" s="329" t="s">
        <v>44</v>
      </c>
      <c r="M43" s="34"/>
      <c r="N43" s="34"/>
      <c r="O43" s="34"/>
      <c r="P43" s="34"/>
      <c r="Q43" s="34"/>
      <c r="R43" s="35"/>
      <c r="S43" s="35"/>
      <c r="T43" s="65"/>
      <c r="U43" s="36"/>
      <c r="V43" s="30"/>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19" t="str">
        <f t="shared" ca="1" si="0"/>
        <v>NO_CUMPLE</v>
      </c>
      <c r="AV43" s="11" t="str">
        <f ca="1">IFERROR(__xludf.DUMMYFUNCTION("IFERROR(VLOOKUP(E57&amp;F57,IMPORTRANGE(""https://docs.google.com/spreadsheets/d/1Uw7-A9f9R21vMXxHZFNpYNeKFtG8_yji4HS352LGlSQ/edit?pli=1#gid=0"",""1_ACUM!A4:S""),11,FALSE))"),"")</f>
        <v/>
      </c>
      <c r="AW43" s="20" t="str">
        <f ca="1">IFERROR(__xludf.DUMMYFUNCTION("IFERROR(VLOOKUP(F57,IMPORTRANGE(""https://docs.google.com/spreadsheets/d/1Kvs4KS76FHFqLFIZfrDMff4kP08nblUkihrxltoGBjg/edit#gid=934712705"",""ESENCIAL!A6:BG""),15,FALSE))"),"")</f>
        <v/>
      </c>
      <c r="AX43" s="21" t="str">
        <f ca="1">IFERROR(__xludf.DUMMYFUNCTION("IFERROR(VLOOKUP(E57&amp;F57,IMPORTRANGE(""https://docs.google.com/spreadsheets/d/1Uw7-A9f9R21vMXxHZFNpYNeKFtG8_yji4HS352LGlSQ/edit?pli=1#gid=0"",""1_ACUM!A4:S""),12,FALSE))"),"")</f>
        <v/>
      </c>
      <c r="AY43" s="22" t="str">
        <f ca="1">IFERROR(__xludf.DUMMYFUNCTION("IFERROR(VLOOKUP(E57&amp;F57,IMPORTRANGE(""https://docs.google.com/spreadsheets/d/1Uw7-A9f9R21vMXxHZFNpYNeKFtG8_yji4HS352LGlSQ/edit?pli=1#gid=0"",""1_ACUM!A4:S""),13,FALSE))"),"")</f>
        <v/>
      </c>
      <c r="AZ43" s="22" t="str">
        <f ca="1">IFERROR(__xludf.DUMMYFUNCTION("IFERROR(VLOOKUP(E57&amp;F57,IMPORTRANGE(""https://docs.google.com/spreadsheets/d/1Uw7-A9f9R21vMXxHZFNpYNeKFtG8_yji4HS352LGlSQ/edit?pli=1#gid=0"",""1_ACUM!A4:S""),14,FALSE))"),"")</f>
        <v/>
      </c>
      <c r="BA43" s="22" t="str">
        <f ca="1">IFERROR(__xludf.DUMMYFUNCTION("IFERROR(VLOOKUP(E57&amp;F57,IMPORTRANGE(""https://docs.google.com/spreadsheets/d/1Uw7-A9f9R21vMXxHZFNpYNeKFtG8_yji4HS352LGlSQ/edit?pli=1#gid=0"",""1_ACUM!A4:S""),15,FALSE))"),"")</f>
        <v/>
      </c>
      <c r="BB43" s="22" t="str">
        <f ca="1">IFERROR(__xludf.DUMMYFUNCTION("IFERROR(VLOOKUP(E57&amp;F57,IMPORTRANGE(""https://docs.google.com/spreadsheets/d/1Uw7-A9f9R21vMXxHZFNpYNeKFtG8_yji4HS352LGlSQ/edit?pli=1#gid=0"",""1_ACUM!A4:S""),16,FALSE))"),"")</f>
        <v/>
      </c>
      <c r="BC43" s="22" t="str">
        <f ca="1">IFERROR(__xludf.DUMMYFUNCTION("IFERROR(VLOOKUP(E57&amp;F57,IMPORTRANGE(""https://docs.google.com/spreadsheets/d/1Uw7-A9f9R21vMXxHZFNpYNeKFtG8_yji4HS352LGlSQ/edit?pli=1#gid=0"",""1_ACUM!A4:S""),17,FALSE))"),"")</f>
        <v/>
      </c>
      <c r="BD43" s="23" t="str">
        <f ca="1">IFERROR(__xludf.DUMMYFUNCTION("IFERROR(VLOOKUP(E57&amp;F57,IMPORTRANGE(""https://docs.google.com/spreadsheets/d/1Uw7-A9f9R21vMXxHZFNpYNeKFtG8_yji4HS352LGlSQ/edit?pli=1#gid=0"",""1_ACUM!A4:S""),18,FALSE))"),"")</f>
        <v/>
      </c>
      <c r="BE43" s="23" t="str">
        <f ca="1">IFERROR(__xludf.DUMMYFUNCTION("IFERROR(VLOOKUP(E57&amp;F57,IMPORTRANGE(""https://docs.google.com/spreadsheets/d/1Uw7-A9f9R21vMXxHZFNpYNeKFtG8_yji4HS352LGlSQ/edit?pli=1#gid=0"",""1_ACUM!A4:S""),19,FALSE))"),"")</f>
        <v/>
      </c>
      <c r="BF43" s="68" t="str">
        <f ca="1">IFERROR(__xludf.DUMMYFUNCTION("IFERROR(VLOOKUP(F57,IMPORTRANGE(""https://docs.google.com/spreadsheets/d/1Kvs4KS76FHFqLFIZfrDMff4kP08nblUkihrxltoGBjg/edit#gid=934712705"",""ESENCIAL!A6:BG""),5,FALSE))"),"")</f>
        <v/>
      </c>
      <c r="BG43" s="68" t="e">
        <f t="shared" ca="1" si="1"/>
        <v>#VALUE!</v>
      </c>
      <c r="BH43" s="17" t="e">
        <f t="shared" ca="1" si="2"/>
        <v>#VALUE!</v>
      </c>
      <c r="BI43" s="38" t="str">
        <f ca="1">IFERROR(__xludf.DUMMYFUNCTION("IFERROR(VLOOKUP(F57,IMPORTRANGE(""https://docs.google.com/spreadsheets/d/1Kvs4KS76FHFqLFIZfrDMff4kP08nblUkihrxltoGBjg/edit#gid=934712705"",""ESENCIAL!A6:BG""),2,FALSE))"),"")</f>
        <v/>
      </c>
      <c r="BJ43" s="19" t="str">
        <f t="shared" si="3"/>
        <v>Yamboro</v>
      </c>
      <c r="BK43" s="292"/>
      <c r="BL43" s="38"/>
    </row>
    <row r="44" spans="1:64" ht="18" customHeight="1">
      <c r="A44" s="289"/>
      <c r="B44" s="145" t="s">
        <v>25</v>
      </c>
      <c r="C44" s="25" t="s">
        <v>1721</v>
      </c>
      <c r="D44" s="57" t="s">
        <v>27</v>
      </c>
      <c r="E44" s="57">
        <v>1007659332</v>
      </c>
      <c r="F44" s="25">
        <v>2500070</v>
      </c>
      <c r="G44" s="11" t="s">
        <v>508</v>
      </c>
      <c r="H44" s="11" t="s">
        <v>1713</v>
      </c>
      <c r="I44" s="25"/>
      <c r="J44" s="34"/>
      <c r="K44" s="34"/>
      <c r="L44" s="329" t="s">
        <v>44</v>
      </c>
      <c r="M44" s="34"/>
      <c r="N44" s="34"/>
      <c r="O44" s="34"/>
      <c r="P44" s="34"/>
      <c r="Q44" s="34"/>
      <c r="R44" s="35"/>
      <c r="S44" s="35"/>
      <c r="T44" s="65"/>
      <c r="U44" s="36"/>
      <c r="V44" s="30"/>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19" t="str">
        <f t="shared" ca="1" si="0"/>
        <v>NO_CUMPLE</v>
      </c>
      <c r="AV44" s="11" t="str">
        <f ca="1">IFERROR(__xludf.DUMMYFUNCTION("IFERROR(VLOOKUP(E58&amp;F58,IMPORTRANGE(""https://docs.google.com/spreadsheets/d/1Uw7-A9f9R21vMXxHZFNpYNeKFtG8_yji4HS352LGlSQ/edit?pli=1#gid=0"",""1_ACUM!A4:S""),11,FALSE))"),"")</f>
        <v/>
      </c>
      <c r="AW44" s="20" t="str">
        <f ca="1">IFERROR(__xludf.DUMMYFUNCTION("IFERROR(VLOOKUP(F58,IMPORTRANGE(""https://docs.google.com/spreadsheets/d/1Kvs4KS76FHFqLFIZfrDMff4kP08nblUkihrxltoGBjg/edit#gid=934712705"",""ESENCIAL!A6:BG""),15,FALSE))"),"")</f>
        <v/>
      </c>
      <c r="AX44" s="21" t="str">
        <f ca="1">IFERROR(__xludf.DUMMYFUNCTION("IFERROR(VLOOKUP(E58&amp;F58,IMPORTRANGE(""https://docs.google.com/spreadsheets/d/1Uw7-A9f9R21vMXxHZFNpYNeKFtG8_yji4HS352LGlSQ/edit?pli=1#gid=0"",""1_ACUM!A4:S""),12,FALSE))"),"")</f>
        <v/>
      </c>
      <c r="AY44" s="22" t="str">
        <f ca="1">IFERROR(__xludf.DUMMYFUNCTION("IFERROR(VLOOKUP(E58&amp;F58,IMPORTRANGE(""https://docs.google.com/spreadsheets/d/1Uw7-A9f9R21vMXxHZFNpYNeKFtG8_yji4HS352LGlSQ/edit?pli=1#gid=0"",""1_ACUM!A4:S""),13,FALSE))"),"")</f>
        <v/>
      </c>
      <c r="AZ44" s="22" t="str">
        <f ca="1">IFERROR(__xludf.DUMMYFUNCTION("IFERROR(VLOOKUP(E58&amp;F58,IMPORTRANGE(""https://docs.google.com/spreadsheets/d/1Uw7-A9f9R21vMXxHZFNpYNeKFtG8_yji4HS352LGlSQ/edit?pli=1#gid=0"",""1_ACUM!A4:S""),14,FALSE))"),"")</f>
        <v/>
      </c>
      <c r="BA44" s="22" t="str">
        <f ca="1">IFERROR(__xludf.DUMMYFUNCTION("IFERROR(VLOOKUP(E58&amp;F58,IMPORTRANGE(""https://docs.google.com/spreadsheets/d/1Uw7-A9f9R21vMXxHZFNpYNeKFtG8_yji4HS352LGlSQ/edit?pli=1#gid=0"",""1_ACUM!A4:S""),15,FALSE))"),"")</f>
        <v/>
      </c>
      <c r="BB44" s="22" t="str">
        <f ca="1">IFERROR(__xludf.DUMMYFUNCTION("IFERROR(VLOOKUP(E58&amp;F58,IMPORTRANGE(""https://docs.google.com/spreadsheets/d/1Uw7-A9f9R21vMXxHZFNpYNeKFtG8_yji4HS352LGlSQ/edit?pli=1#gid=0"",""1_ACUM!A4:S""),16,FALSE))"),"")</f>
        <v/>
      </c>
      <c r="BC44" s="22" t="str">
        <f ca="1">IFERROR(__xludf.DUMMYFUNCTION("IFERROR(VLOOKUP(E58&amp;F58,IMPORTRANGE(""https://docs.google.com/spreadsheets/d/1Uw7-A9f9R21vMXxHZFNpYNeKFtG8_yji4HS352LGlSQ/edit?pli=1#gid=0"",""1_ACUM!A4:S""),17,FALSE))"),"")</f>
        <v/>
      </c>
      <c r="BD44" s="23" t="str">
        <f ca="1">IFERROR(__xludf.DUMMYFUNCTION("IFERROR(VLOOKUP(E58&amp;F58,IMPORTRANGE(""https://docs.google.com/spreadsheets/d/1Uw7-A9f9R21vMXxHZFNpYNeKFtG8_yji4HS352LGlSQ/edit?pli=1#gid=0"",""1_ACUM!A4:S""),18,FALSE))"),"")</f>
        <v/>
      </c>
      <c r="BE44" s="23" t="str">
        <f ca="1">IFERROR(__xludf.DUMMYFUNCTION("IFERROR(VLOOKUP(E58&amp;F58,IMPORTRANGE(""https://docs.google.com/spreadsheets/d/1Uw7-A9f9R21vMXxHZFNpYNeKFtG8_yji4HS352LGlSQ/edit?pli=1#gid=0"",""1_ACUM!A4:S""),19,FALSE))"),"")</f>
        <v/>
      </c>
      <c r="BF44" s="68" t="str">
        <f ca="1">IFERROR(__xludf.DUMMYFUNCTION("IFERROR(VLOOKUP(F58,IMPORTRANGE(""https://docs.google.com/spreadsheets/d/1Kvs4KS76FHFqLFIZfrDMff4kP08nblUkihrxltoGBjg/edit#gid=934712705"",""ESENCIAL!A6:BG""),5,FALSE))"),"")</f>
        <v/>
      </c>
      <c r="BG44" s="68" t="e">
        <f t="shared" ca="1" si="1"/>
        <v>#VALUE!</v>
      </c>
      <c r="BH44" s="17" t="e">
        <f t="shared" ca="1" si="2"/>
        <v>#VALUE!</v>
      </c>
      <c r="BI44" s="38" t="str">
        <f ca="1">IFERROR(__xludf.DUMMYFUNCTION("IFERROR(VLOOKUP(F58,IMPORTRANGE(""https://docs.google.com/spreadsheets/d/1Kvs4KS76FHFqLFIZfrDMff4kP08nblUkihrxltoGBjg/edit#gid=934712705"",""ESENCIAL!A6:BG""),2,FALSE))"),"")</f>
        <v/>
      </c>
      <c r="BJ44" s="19" t="str">
        <f t="shared" si="3"/>
        <v>Yamboro</v>
      </c>
      <c r="BK44" s="292"/>
      <c r="BL44" s="38"/>
    </row>
    <row r="45" spans="1:64" ht="18" customHeight="1">
      <c r="A45" s="289"/>
      <c r="B45" s="145" t="s">
        <v>25</v>
      </c>
      <c r="C45" s="25" t="s">
        <v>1722</v>
      </c>
      <c r="D45" s="57" t="s">
        <v>27</v>
      </c>
      <c r="E45" s="57">
        <v>1007745282</v>
      </c>
      <c r="F45" s="25">
        <v>2500070</v>
      </c>
      <c r="G45" s="11" t="s">
        <v>508</v>
      </c>
      <c r="H45" s="11" t="s">
        <v>1713</v>
      </c>
      <c r="I45" s="25"/>
      <c r="J45" s="34"/>
      <c r="K45" s="34"/>
      <c r="L45" s="329" t="s">
        <v>44</v>
      </c>
      <c r="M45" s="34"/>
      <c r="N45" s="34"/>
      <c r="O45" s="34"/>
      <c r="P45" s="34"/>
      <c r="Q45" s="34"/>
      <c r="R45" s="35"/>
      <c r="S45" s="35"/>
      <c r="T45" s="65" t="s">
        <v>459</v>
      </c>
      <c r="U45" s="36"/>
      <c r="V45" s="30"/>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19" t="str">
        <f t="shared" ca="1" si="0"/>
        <v>NO_CUMPLE</v>
      </c>
      <c r="AV45" s="11" t="str">
        <f ca="1">IFERROR(__xludf.DUMMYFUNCTION("IFERROR(VLOOKUP(E59&amp;F59,IMPORTRANGE(""https://docs.google.com/spreadsheets/d/1Uw7-A9f9R21vMXxHZFNpYNeKFtG8_yji4HS352LGlSQ/edit?pli=1#gid=0"",""1_ACUM!A4:S""),11,FALSE))"),"")</f>
        <v/>
      </c>
      <c r="AW45" s="20" t="str">
        <f ca="1">IFERROR(__xludf.DUMMYFUNCTION("IFERROR(VLOOKUP(F59,IMPORTRANGE(""https://docs.google.com/spreadsheets/d/1Kvs4KS76FHFqLFIZfrDMff4kP08nblUkihrxltoGBjg/edit#gid=934712705"",""ESENCIAL!A6:BG""),15,FALSE))"),"")</f>
        <v/>
      </c>
      <c r="AX45" s="21" t="str">
        <f ca="1">IFERROR(__xludf.DUMMYFUNCTION("IFERROR(VLOOKUP(E59&amp;F59,IMPORTRANGE(""https://docs.google.com/spreadsheets/d/1Uw7-A9f9R21vMXxHZFNpYNeKFtG8_yji4HS352LGlSQ/edit?pli=1#gid=0"",""1_ACUM!A4:S""),12,FALSE))"),"")</f>
        <v/>
      </c>
      <c r="AY45" s="22" t="str">
        <f ca="1">IFERROR(__xludf.DUMMYFUNCTION("IFERROR(VLOOKUP(E59&amp;F59,IMPORTRANGE(""https://docs.google.com/spreadsheets/d/1Uw7-A9f9R21vMXxHZFNpYNeKFtG8_yji4HS352LGlSQ/edit?pli=1#gid=0"",""1_ACUM!A4:S""),13,FALSE))"),"")</f>
        <v/>
      </c>
      <c r="AZ45" s="22" t="str">
        <f ca="1">IFERROR(__xludf.DUMMYFUNCTION("IFERROR(VLOOKUP(E59&amp;F59,IMPORTRANGE(""https://docs.google.com/spreadsheets/d/1Uw7-A9f9R21vMXxHZFNpYNeKFtG8_yji4HS352LGlSQ/edit?pli=1#gid=0"",""1_ACUM!A4:S""),14,FALSE))"),"")</f>
        <v/>
      </c>
      <c r="BA45" s="22" t="str">
        <f ca="1">IFERROR(__xludf.DUMMYFUNCTION("IFERROR(VLOOKUP(E59&amp;F59,IMPORTRANGE(""https://docs.google.com/spreadsheets/d/1Uw7-A9f9R21vMXxHZFNpYNeKFtG8_yji4HS352LGlSQ/edit?pli=1#gid=0"",""1_ACUM!A4:S""),15,FALSE))"),"")</f>
        <v/>
      </c>
      <c r="BB45" s="22" t="str">
        <f ca="1">IFERROR(__xludf.DUMMYFUNCTION("IFERROR(VLOOKUP(E59&amp;F59,IMPORTRANGE(""https://docs.google.com/spreadsheets/d/1Uw7-A9f9R21vMXxHZFNpYNeKFtG8_yji4HS352LGlSQ/edit?pli=1#gid=0"",""1_ACUM!A4:S""),16,FALSE))"),"")</f>
        <v/>
      </c>
      <c r="BC45" s="22" t="str">
        <f ca="1">IFERROR(__xludf.DUMMYFUNCTION("IFERROR(VLOOKUP(E59&amp;F59,IMPORTRANGE(""https://docs.google.com/spreadsheets/d/1Uw7-A9f9R21vMXxHZFNpYNeKFtG8_yji4HS352LGlSQ/edit?pli=1#gid=0"",""1_ACUM!A4:S""),17,FALSE))"),"")</f>
        <v/>
      </c>
      <c r="BD45" s="23" t="str">
        <f ca="1">IFERROR(__xludf.DUMMYFUNCTION("IFERROR(VLOOKUP(E59&amp;F59,IMPORTRANGE(""https://docs.google.com/spreadsheets/d/1Uw7-A9f9R21vMXxHZFNpYNeKFtG8_yji4HS352LGlSQ/edit?pli=1#gid=0"",""1_ACUM!A4:S""),18,FALSE))"),"")</f>
        <v/>
      </c>
      <c r="BE45" s="23" t="str">
        <f ca="1">IFERROR(__xludf.DUMMYFUNCTION("IFERROR(VLOOKUP(E59&amp;F59,IMPORTRANGE(""https://docs.google.com/spreadsheets/d/1Uw7-A9f9R21vMXxHZFNpYNeKFtG8_yji4HS352LGlSQ/edit?pli=1#gid=0"",""1_ACUM!A4:S""),19,FALSE))"),"")</f>
        <v/>
      </c>
      <c r="BF45" s="68" t="str">
        <f ca="1">IFERROR(__xludf.DUMMYFUNCTION("IFERROR(VLOOKUP(F59,IMPORTRANGE(""https://docs.google.com/spreadsheets/d/1Kvs4KS76FHFqLFIZfrDMff4kP08nblUkihrxltoGBjg/edit#gid=934712705"",""ESENCIAL!A6:BG""),5,FALSE))"),"")</f>
        <v/>
      </c>
      <c r="BG45" s="68" t="e">
        <f t="shared" ca="1" si="1"/>
        <v>#VALUE!</v>
      </c>
      <c r="BH45" s="17" t="e">
        <f t="shared" ca="1" si="2"/>
        <v>#VALUE!</v>
      </c>
      <c r="BI45" s="38" t="str">
        <f ca="1">IFERROR(__xludf.DUMMYFUNCTION("IFERROR(VLOOKUP(F59,IMPORTRANGE(""https://docs.google.com/spreadsheets/d/1Kvs4KS76FHFqLFIZfrDMff4kP08nblUkihrxltoGBjg/edit#gid=934712705"",""ESENCIAL!A6:BG""),2,FALSE))"),"")</f>
        <v/>
      </c>
      <c r="BJ45" s="19" t="str">
        <f t="shared" si="3"/>
        <v>Yamboro</v>
      </c>
      <c r="BK45" s="292"/>
      <c r="BL45" s="38"/>
    </row>
    <row r="46" spans="1:64" ht="18" customHeight="1">
      <c r="A46" s="289"/>
      <c r="B46" s="145" t="s">
        <v>25</v>
      </c>
      <c r="C46" s="25" t="s">
        <v>1723</v>
      </c>
      <c r="D46" s="57" t="s">
        <v>67</v>
      </c>
      <c r="E46" s="57">
        <v>1058547250</v>
      </c>
      <c r="F46" s="25">
        <v>2500070</v>
      </c>
      <c r="G46" s="11" t="s">
        <v>508</v>
      </c>
      <c r="H46" s="11" t="s">
        <v>1713</v>
      </c>
      <c r="I46" s="25"/>
      <c r="J46" s="34"/>
      <c r="K46" s="34"/>
      <c r="L46" s="329" t="s">
        <v>44</v>
      </c>
      <c r="M46" s="34"/>
      <c r="N46" s="34"/>
      <c r="O46" s="34"/>
      <c r="P46" s="34"/>
      <c r="Q46" s="34"/>
      <c r="R46" s="35"/>
      <c r="S46" s="35"/>
      <c r="T46" s="65"/>
      <c r="U46" s="36"/>
      <c r="V46" s="30"/>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19" t="str">
        <f t="shared" ca="1" si="0"/>
        <v>NO_CUMPLE</v>
      </c>
      <c r="AV46" s="11" t="str">
        <f ca="1">IFERROR(__xludf.DUMMYFUNCTION("IFERROR(VLOOKUP(E60&amp;F60,IMPORTRANGE(""https://docs.google.com/spreadsheets/d/1Uw7-A9f9R21vMXxHZFNpYNeKFtG8_yji4HS352LGlSQ/edit?pli=1#gid=0"",""1_ACUM!A4:S""),11,FALSE))"),"")</f>
        <v/>
      </c>
      <c r="AW46" s="20" t="str">
        <f ca="1">IFERROR(__xludf.DUMMYFUNCTION("IFERROR(VLOOKUP(F60,IMPORTRANGE(""https://docs.google.com/spreadsheets/d/1Kvs4KS76FHFqLFIZfrDMff4kP08nblUkihrxltoGBjg/edit#gid=934712705"",""ESENCIAL!A6:BG""),15,FALSE))"),"")</f>
        <v/>
      </c>
      <c r="AX46" s="21" t="str">
        <f ca="1">IFERROR(__xludf.DUMMYFUNCTION("IFERROR(VLOOKUP(E60&amp;F60,IMPORTRANGE(""https://docs.google.com/spreadsheets/d/1Uw7-A9f9R21vMXxHZFNpYNeKFtG8_yji4HS352LGlSQ/edit?pli=1#gid=0"",""1_ACUM!A4:S""),12,FALSE))"),"")</f>
        <v/>
      </c>
      <c r="AY46" s="22" t="str">
        <f ca="1">IFERROR(__xludf.DUMMYFUNCTION("IFERROR(VLOOKUP(E60&amp;F60,IMPORTRANGE(""https://docs.google.com/spreadsheets/d/1Uw7-A9f9R21vMXxHZFNpYNeKFtG8_yji4HS352LGlSQ/edit?pli=1#gid=0"",""1_ACUM!A4:S""),13,FALSE))"),"")</f>
        <v/>
      </c>
      <c r="AZ46" s="22" t="str">
        <f ca="1">IFERROR(__xludf.DUMMYFUNCTION("IFERROR(VLOOKUP(E60&amp;F60,IMPORTRANGE(""https://docs.google.com/spreadsheets/d/1Uw7-A9f9R21vMXxHZFNpYNeKFtG8_yji4HS352LGlSQ/edit?pli=1#gid=0"",""1_ACUM!A4:S""),14,FALSE))"),"")</f>
        <v/>
      </c>
      <c r="BA46" s="22" t="str">
        <f ca="1">IFERROR(__xludf.DUMMYFUNCTION("IFERROR(VLOOKUP(E60&amp;F60,IMPORTRANGE(""https://docs.google.com/spreadsheets/d/1Uw7-A9f9R21vMXxHZFNpYNeKFtG8_yji4HS352LGlSQ/edit?pli=1#gid=0"",""1_ACUM!A4:S""),15,FALSE))"),"")</f>
        <v/>
      </c>
      <c r="BB46" s="22" t="str">
        <f ca="1">IFERROR(__xludf.DUMMYFUNCTION("IFERROR(VLOOKUP(E60&amp;F60,IMPORTRANGE(""https://docs.google.com/spreadsheets/d/1Uw7-A9f9R21vMXxHZFNpYNeKFtG8_yji4HS352LGlSQ/edit?pli=1#gid=0"",""1_ACUM!A4:S""),16,FALSE))"),"")</f>
        <v/>
      </c>
      <c r="BC46" s="22" t="str">
        <f ca="1">IFERROR(__xludf.DUMMYFUNCTION("IFERROR(VLOOKUP(E60&amp;F60,IMPORTRANGE(""https://docs.google.com/spreadsheets/d/1Uw7-A9f9R21vMXxHZFNpYNeKFtG8_yji4HS352LGlSQ/edit?pli=1#gid=0"",""1_ACUM!A4:S""),17,FALSE))"),"")</f>
        <v/>
      </c>
      <c r="BD46" s="23" t="str">
        <f ca="1">IFERROR(__xludf.DUMMYFUNCTION("IFERROR(VLOOKUP(E60&amp;F60,IMPORTRANGE(""https://docs.google.com/spreadsheets/d/1Uw7-A9f9R21vMXxHZFNpYNeKFtG8_yji4HS352LGlSQ/edit?pli=1#gid=0"",""1_ACUM!A4:S""),18,FALSE))"),"")</f>
        <v/>
      </c>
      <c r="BE46" s="23" t="str">
        <f ca="1">IFERROR(__xludf.DUMMYFUNCTION("IFERROR(VLOOKUP(E60&amp;F60,IMPORTRANGE(""https://docs.google.com/spreadsheets/d/1Uw7-A9f9R21vMXxHZFNpYNeKFtG8_yji4HS352LGlSQ/edit?pli=1#gid=0"",""1_ACUM!A4:S""),19,FALSE))"),"")</f>
        <v/>
      </c>
      <c r="BF46" s="68" t="str">
        <f ca="1">IFERROR(__xludf.DUMMYFUNCTION("IFERROR(VLOOKUP(F60,IMPORTRANGE(""https://docs.google.com/spreadsheets/d/1Kvs4KS76FHFqLFIZfrDMff4kP08nblUkihrxltoGBjg/edit#gid=934712705"",""ESENCIAL!A6:BG""),5,FALSE))"),"")</f>
        <v/>
      </c>
      <c r="BG46" s="68" t="e">
        <f t="shared" ca="1" si="1"/>
        <v>#VALUE!</v>
      </c>
      <c r="BH46" s="17" t="e">
        <f t="shared" ca="1" si="2"/>
        <v>#VALUE!</v>
      </c>
      <c r="BI46" s="38" t="str">
        <f ca="1">IFERROR(__xludf.DUMMYFUNCTION("IFERROR(VLOOKUP(F60,IMPORTRANGE(""https://docs.google.com/spreadsheets/d/1Kvs4KS76FHFqLFIZfrDMff4kP08nblUkihrxltoGBjg/edit#gid=934712705"",""ESENCIAL!A6:BG""),2,FALSE))"),"")</f>
        <v/>
      </c>
      <c r="BJ46" s="19" t="str">
        <f t="shared" si="3"/>
        <v>Yamboro</v>
      </c>
      <c r="BK46" s="292"/>
      <c r="BL46" s="38"/>
    </row>
    <row r="47" spans="1:64" ht="18" customHeight="1">
      <c r="A47" s="289"/>
      <c r="B47" s="145" t="s">
        <v>25</v>
      </c>
      <c r="C47" s="25" t="s">
        <v>1724</v>
      </c>
      <c r="D47" s="57" t="s">
        <v>27</v>
      </c>
      <c r="E47" s="57">
        <v>1081517311</v>
      </c>
      <c r="F47" s="25">
        <v>2500070</v>
      </c>
      <c r="G47" s="11" t="s">
        <v>508</v>
      </c>
      <c r="H47" s="11" t="s">
        <v>1713</v>
      </c>
      <c r="I47" s="25"/>
      <c r="J47" s="34"/>
      <c r="K47" s="34"/>
      <c r="L47" s="329" t="s">
        <v>44</v>
      </c>
      <c r="M47" s="34"/>
      <c r="N47" s="34"/>
      <c r="O47" s="34"/>
      <c r="P47" s="34"/>
      <c r="Q47" s="34"/>
      <c r="R47" s="35"/>
      <c r="S47" s="35"/>
      <c r="T47" s="65"/>
      <c r="U47" s="36"/>
      <c r="V47" s="30"/>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19" t="str">
        <f t="shared" ca="1" si="0"/>
        <v>NO_CUMPLE</v>
      </c>
      <c r="AV47" s="11" t="str">
        <f ca="1">IFERROR(__xludf.DUMMYFUNCTION("IFERROR(VLOOKUP(E61&amp;F61,IMPORTRANGE(""https://docs.google.com/spreadsheets/d/1Uw7-A9f9R21vMXxHZFNpYNeKFtG8_yji4HS352LGlSQ/edit?pli=1#gid=0"",""1_ACUM!A4:S""),11,FALSE))"),"")</f>
        <v/>
      </c>
      <c r="AW47" s="20" t="str">
        <f ca="1">IFERROR(__xludf.DUMMYFUNCTION("IFERROR(VLOOKUP(F61,IMPORTRANGE(""https://docs.google.com/spreadsheets/d/1Kvs4KS76FHFqLFIZfrDMff4kP08nblUkihrxltoGBjg/edit#gid=934712705"",""ESENCIAL!A6:BG""),15,FALSE))"),"")</f>
        <v/>
      </c>
      <c r="AX47" s="21" t="str">
        <f ca="1">IFERROR(__xludf.DUMMYFUNCTION("IFERROR(VLOOKUP(E61&amp;F61,IMPORTRANGE(""https://docs.google.com/spreadsheets/d/1Uw7-A9f9R21vMXxHZFNpYNeKFtG8_yji4HS352LGlSQ/edit?pli=1#gid=0"",""1_ACUM!A4:S""),12,FALSE))"),"")</f>
        <v/>
      </c>
      <c r="AY47" s="22" t="str">
        <f ca="1">IFERROR(__xludf.DUMMYFUNCTION("IFERROR(VLOOKUP(E61&amp;F61,IMPORTRANGE(""https://docs.google.com/spreadsheets/d/1Uw7-A9f9R21vMXxHZFNpYNeKFtG8_yji4HS352LGlSQ/edit?pli=1#gid=0"",""1_ACUM!A4:S""),13,FALSE))"),"")</f>
        <v/>
      </c>
      <c r="AZ47" s="22" t="str">
        <f ca="1">IFERROR(__xludf.DUMMYFUNCTION("IFERROR(VLOOKUP(E61&amp;F61,IMPORTRANGE(""https://docs.google.com/spreadsheets/d/1Uw7-A9f9R21vMXxHZFNpYNeKFtG8_yji4HS352LGlSQ/edit?pli=1#gid=0"",""1_ACUM!A4:S""),14,FALSE))"),"")</f>
        <v/>
      </c>
      <c r="BA47" s="22" t="str">
        <f ca="1">IFERROR(__xludf.DUMMYFUNCTION("IFERROR(VLOOKUP(E61&amp;F61,IMPORTRANGE(""https://docs.google.com/spreadsheets/d/1Uw7-A9f9R21vMXxHZFNpYNeKFtG8_yji4HS352LGlSQ/edit?pli=1#gid=0"",""1_ACUM!A4:S""),15,FALSE))"),"")</f>
        <v/>
      </c>
      <c r="BB47" s="22" t="str">
        <f ca="1">IFERROR(__xludf.DUMMYFUNCTION("IFERROR(VLOOKUP(E61&amp;F61,IMPORTRANGE(""https://docs.google.com/spreadsheets/d/1Uw7-A9f9R21vMXxHZFNpYNeKFtG8_yji4HS352LGlSQ/edit?pli=1#gid=0"",""1_ACUM!A4:S""),16,FALSE))"),"")</f>
        <v/>
      </c>
      <c r="BC47" s="22" t="str">
        <f ca="1">IFERROR(__xludf.DUMMYFUNCTION("IFERROR(VLOOKUP(E61&amp;F61,IMPORTRANGE(""https://docs.google.com/spreadsheets/d/1Uw7-A9f9R21vMXxHZFNpYNeKFtG8_yji4HS352LGlSQ/edit?pli=1#gid=0"",""1_ACUM!A4:S""),17,FALSE))"),"")</f>
        <v/>
      </c>
      <c r="BD47" s="23" t="str">
        <f ca="1">IFERROR(__xludf.DUMMYFUNCTION("IFERROR(VLOOKUP(E61&amp;F61,IMPORTRANGE(""https://docs.google.com/spreadsheets/d/1Uw7-A9f9R21vMXxHZFNpYNeKFtG8_yji4HS352LGlSQ/edit?pli=1#gid=0"",""1_ACUM!A4:S""),18,FALSE))"),"")</f>
        <v/>
      </c>
      <c r="BE47" s="23" t="str">
        <f ca="1">IFERROR(__xludf.DUMMYFUNCTION("IFERROR(VLOOKUP(E61&amp;F61,IMPORTRANGE(""https://docs.google.com/spreadsheets/d/1Uw7-A9f9R21vMXxHZFNpYNeKFtG8_yji4HS352LGlSQ/edit?pli=1#gid=0"",""1_ACUM!A4:S""),19,FALSE))"),"")</f>
        <v/>
      </c>
      <c r="BF47" s="68" t="str">
        <f ca="1">IFERROR(__xludf.DUMMYFUNCTION("IFERROR(VLOOKUP(F61,IMPORTRANGE(""https://docs.google.com/spreadsheets/d/1Kvs4KS76FHFqLFIZfrDMff4kP08nblUkihrxltoGBjg/edit#gid=934712705"",""ESENCIAL!A6:BG""),5,FALSE))"),"")</f>
        <v/>
      </c>
      <c r="BG47" s="68" t="e">
        <f t="shared" ca="1" si="1"/>
        <v>#VALUE!</v>
      </c>
      <c r="BH47" s="17" t="e">
        <f t="shared" ca="1" si="2"/>
        <v>#VALUE!</v>
      </c>
      <c r="BI47" s="38" t="str">
        <f ca="1">IFERROR(__xludf.DUMMYFUNCTION("IFERROR(VLOOKUP(F61,IMPORTRANGE(""https://docs.google.com/spreadsheets/d/1Kvs4KS76FHFqLFIZfrDMff4kP08nblUkihrxltoGBjg/edit#gid=934712705"",""ESENCIAL!A6:BG""),2,FALSE))"),"")</f>
        <v/>
      </c>
      <c r="BJ47" s="19" t="str">
        <f t="shared" si="3"/>
        <v>Yamboro</v>
      </c>
      <c r="BK47" s="292"/>
      <c r="BL47" s="38"/>
    </row>
    <row r="48" spans="1:64" ht="18" customHeight="1">
      <c r="A48" s="289"/>
      <c r="B48" s="145" t="s">
        <v>25</v>
      </c>
      <c r="C48" s="25" t="s">
        <v>1725</v>
      </c>
      <c r="D48" s="57" t="s">
        <v>27</v>
      </c>
      <c r="E48" s="57">
        <v>1082772142</v>
      </c>
      <c r="F48" s="25">
        <v>2500070</v>
      </c>
      <c r="G48" s="11" t="s">
        <v>508</v>
      </c>
      <c r="H48" s="11" t="s">
        <v>1713</v>
      </c>
      <c r="I48" s="25"/>
      <c r="J48" s="34"/>
      <c r="K48" s="34"/>
      <c r="L48" s="329" t="s">
        <v>44</v>
      </c>
      <c r="M48" s="34"/>
      <c r="N48" s="34"/>
      <c r="O48" s="34"/>
      <c r="P48" s="34"/>
      <c r="Q48" s="34"/>
      <c r="R48" s="35"/>
      <c r="S48" s="35"/>
      <c r="T48" s="65"/>
      <c r="U48" s="36"/>
      <c r="V48" s="30"/>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19" t="str">
        <f t="shared" ca="1" si="0"/>
        <v>NO_CUMPLE</v>
      </c>
      <c r="AV48" s="11" t="str">
        <f ca="1">IFERROR(__xludf.DUMMYFUNCTION("IFERROR(VLOOKUP(E62&amp;F62,IMPORTRANGE(""https://docs.google.com/spreadsheets/d/1Uw7-A9f9R21vMXxHZFNpYNeKFtG8_yji4HS352LGlSQ/edit?pli=1#gid=0"",""1_ACUM!A4:S""),11,FALSE))"),"")</f>
        <v/>
      </c>
      <c r="AW48" s="20" t="str">
        <f ca="1">IFERROR(__xludf.DUMMYFUNCTION("IFERROR(VLOOKUP(F62,IMPORTRANGE(""https://docs.google.com/spreadsheets/d/1Kvs4KS76FHFqLFIZfrDMff4kP08nblUkihrxltoGBjg/edit#gid=934712705"",""ESENCIAL!A6:BG""),15,FALSE))"),"")</f>
        <v/>
      </c>
      <c r="AX48" s="21" t="str">
        <f ca="1">IFERROR(__xludf.DUMMYFUNCTION("IFERROR(VLOOKUP(E62&amp;F62,IMPORTRANGE(""https://docs.google.com/spreadsheets/d/1Uw7-A9f9R21vMXxHZFNpYNeKFtG8_yji4HS352LGlSQ/edit?pli=1#gid=0"",""1_ACUM!A4:S""),12,FALSE))"),"")</f>
        <v/>
      </c>
      <c r="AY48" s="22" t="str">
        <f ca="1">IFERROR(__xludf.DUMMYFUNCTION("IFERROR(VLOOKUP(E62&amp;F62,IMPORTRANGE(""https://docs.google.com/spreadsheets/d/1Uw7-A9f9R21vMXxHZFNpYNeKFtG8_yji4HS352LGlSQ/edit?pli=1#gid=0"",""1_ACUM!A4:S""),13,FALSE))"),"")</f>
        <v/>
      </c>
      <c r="AZ48" s="22" t="str">
        <f ca="1">IFERROR(__xludf.DUMMYFUNCTION("IFERROR(VLOOKUP(E62&amp;F62,IMPORTRANGE(""https://docs.google.com/spreadsheets/d/1Uw7-A9f9R21vMXxHZFNpYNeKFtG8_yji4HS352LGlSQ/edit?pli=1#gid=0"",""1_ACUM!A4:S""),14,FALSE))"),"")</f>
        <v/>
      </c>
      <c r="BA48" s="22" t="str">
        <f ca="1">IFERROR(__xludf.DUMMYFUNCTION("IFERROR(VLOOKUP(E62&amp;F62,IMPORTRANGE(""https://docs.google.com/spreadsheets/d/1Uw7-A9f9R21vMXxHZFNpYNeKFtG8_yji4HS352LGlSQ/edit?pli=1#gid=0"",""1_ACUM!A4:S""),15,FALSE))"),"")</f>
        <v/>
      </c>
      <c r="BB48" s="22" t="str">
        <f ca="1">IFERROR(__xludf.DUMMYFUNCTION("IFERROR(VLOOKUP(E62&amp;F62,IMPORTRANGE(""https://docs.google.com/spreadsheets/d/1Uw7-A9f9R21vMXxHZFNpYNeKFtG8_yji4HS352LGlSQ/edit?pli=1#gid=0"",""1_ACUM!A4:S""),16,FALSE))"),"")</f>
        <v/>
      </c>
      <c r="BC48" s="22" t="str">
        <f ca="1">IFERROR(__xludf.DUMMYFUNCTION("IFERROR(VLOOKUP(E62&amp;F62,IMPORTRANGE(""https://docs.google.com/spreadsheets/d/1Uw7-A9f9R21vMXxHZFNpYNeKFtG8_yji4HS352LGlSQ/edit?pli=1#gid=0"",""1_ACUM!A4:S""),17,FALSE))"),"")</f>
        <v/>
      </c>
      <c r="BD48" s="23" t="str">
        <f ca="1">IFERROR(__xludf.DUMMYFUNCTION("IFERROR(VLOOKUP(E62&amp;F62,IMPORTRANGE(""https://docs.google.com/spreadsheets/d/1Uw7-A9f9R21vMXxHZFNpYNeKFtG8_yji4HS352LGlSQ/edit?pli=1#gid=0"",""1_ACUM!A4:S""),18,FALSE))"),"")</f>
        <v/>
      </c>
      <c r="BE48" s="23" t="str">
        <f ca="1">IFERROR(__xludf.DUMMYFUNCTION("IFERROR(VLOOKUP(E62&amp;F62,IMPORTRANGE(""https://docs.google.com/spreadsheets/d/1Uw7-A9f9R21vMXxHZFNpYNeKFtG8_yji4HS352LGlSQ/edit?pli=1#gid=0"",""1_ACUM!A4:S""),19,FALSE))"),"")</f>
        <v/>
      </c>
      <c r="BF48" s="68" t="str">
        <f ca="1">IFERROR(__xludf.DUMMYFUNCTION("IFERROR(VLOOKUP(F62,IMPORTRANGE(""https://docs.google.com/spreadsheets/d/1Kvs4KS76FHFqLFIZfrDMff4kP08nblUkihrxltoGBjg/edit#gid=934712705"",""ESENCIAL!A6:BG""),5,FALSE))"),"")</f>
        <v/>
      </c>
      <c r="BG48" s="68" t="e">
        <f t="shared" ca="1" si="1"/>
        <v>#VALUE!</v>
      </c>
      <c r="BH48" s="17" t="e">
        <f t="shared" ca="1" si="2"/>
        <v>#VALUE!</v>
      </c>
      <c r="BI48" s="38" t="str">
        <f ca="1">IFERROR(__xludf.DUMMYFUNCTION("IFERROR(VLOOKUP(F62,IMPORTRANGE(""https://docs.google.com/spreadsheets/d/1Kvs4KS76FHFqLFIZfrDMff4kP08nblUkihrxltoGBjg/edit#gid=934712705"",""ESENCIAL!A6:BG""),2,FALSE))"),"")</f>
        <v/>
      </c>
      <c r="BJ48" s="19" t="str">
        <f t="shared" si="3"/>
        <v>Yamboro</v>
      </c>
      <c r="BK48" s="292"/>
      <c r="BL48" s="38"/>
    </row>
    <row r="49" spans="1:64" ht="18" customHeight="1">
      <c r="A49" s="289"/>
      <c r="B49" s="145" t="s">
        <v>25</v>
      </c>
      <c r="C49" s="25" t="s">
        <v>1726</v>
      </c>
      <c r="D49" s="57" t="s">
        <v>27</v>
      </c>
      <c r="E49" s="57">
        <v>1083927443</v>
      </c>
      <c r="F49" s="25">
        <v>2500070</v>
      </c>
      <c r="G49" s="11" t="s">
        <v>508</v>
      </c>
      <c r="H49" s="11" t="s">
        <v>1713</v>
      </c>
      <c r="I49" s="25"/>
      <c r="J49" s="34"/>
      <c r="K49" s="34"/>
      <c r="L49" s="34" t="s">
        <v>37</v>
      </c>
      <c r="M49" s="34" t="s">
        <v>1727</v>
      </c>
      <c r="N49" s="34" t="s">
        <v>73</v>
      </c>
      <c r="O49" s="34">
        <v>3208730518</v>
      </c>
      <c r="P49" s="34" t="s">
        <v>73</v>
      </c>
      <c r="Q49" s="341" t="s">
        <v>1728</v>
      </c>
      <c r="R49" s="35"/>
      <c r="S49" s="35"/>
      <c r="T49" s="65"/>
      <c r="U49" s="36"/>
      <c r="V49" s="30"/>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19" t="str">
        <f t="shared" ca="1" si="0"/>
        <v>NO_CUMPLE</v>
      </c>
      <c r="AV49" s="11" t="str">
        <f ca="1">IFERROR(__xludf.DUMMYFUNCTION("IFERROR(VLOOKUP(E63&amp;F63,IMPORTRANGE(""https://docs.google.com/spreadsheets/d/1Uw7-A9f9R21vMXxHZFNpYNeKFtG8_yji4HS352LGlSQ/edit?pli=1#gid=0"",""1_ACUM!A4:S""),11,FALSE))"),"")</f>
        <v/>
      </c>
      <c r="AW49" s="20" t="str">
        <f ca="1">IFERROR(__xludf.DUMMYFUNCTION("IFERROR(VLOOKUP(F63,IMPORTRANGE(""https://docs.google.com/spreadsheets/d/1Kvs4KS76FHFqLFIZfrDMff4kP08nblUkihrxltoGBjg/edit#gid=934712705"",""ESENCIAL!A6:BG""),15,FALSE))"),"")</f>
        <v/>
      </c>
      <c r="AX49" s="21" t="str">
        <f ca="1">IFERROR(__xludf.DUMMYFUNCTION("IFERROR(VLOOKUP(E63&amp;F63,IMPORTRANGE(""https://docs.google.com/spreadsheets/d/1Uw7-A9f9R21vMXxHZFNpYNeKFtG8_yji4HS352LGlSQ/edit?pli=1#gid=0"",""1_ACUM!A4:S""),12,FALSE))"),"")</f>
        <v/>
      </c>
      <c r="AY49" s="22" t="str">
        <f ca="1">IFERROR(__xludf.DUMMYFUNCTION("IFERROR(VLOOKUP(E63&amp;F63,IMPORTRANGE(""https://docs.google.com/spreadsheets/d/1Uw7-A9f9R21vMXxHZFNpYNeKFtG8_yji4HS352LGlSQ/edit?pli=1#gid=0"",""1_ACUM!A4:S""),13,FALSE))"),"")</f>
        <v/>
      </c>
      <c r="AZ49" s="22" t="str">
        <f ca="1">IFERROR(__xludf.DUMMYFUNCTION("IFERROR(VLOOKUP(E63&amp;F63,IMPORTRANGE(""https://docs.google.com/spreadsheets/d/1Uw7-A9f9R21vMXxHZFNpYNeKFtG8_yji4HS352LGlSQ/edit?pli=1#gid=0"",""1_ACUM!A4:S""),14,FALSE))"),"")</f>
        <v/>
      </c>
      <c r="BA49" s="22" t="str">
        <f ca="1">IFERROR(__xludf.DUMMYFUNCTION("IFERROR(VLOOKUP(E63&amp;F63,IMPORTRANGE(""https://docs.google.com/spreadsheets/d/1Uw7-A9f9R21vMXxHZFNpYNeKFtG8_yji4HS352LGlSQ/edit?pli=1#gid=0"",""1_ACUM!A4:S""),15,FALSE))"),"")</f>
        <v/>
      </c>
      <c r="BB49" s="22" t="str">
        <f ca="1">IFERROR(__xludf.DUMMYFUNCTION("IFERROR(VLOOKUP(E63&amp;F63,IMPORTRANGE(""https://docs.google.com/spreadsheets/d/1Uw7-A9f9R21vMXxHZFNpYNeKFtG8_yji4HS352LGlSQ/edit?pli=1#gid=0"",""1_ACUM!A4:S""),16,FALSE))"),"")</f>
        <v/>
      </c>
      <c r="BC49" s="22" t="str">
        <f ca="1">IFERROR(__xludf.DUMMYFUNCTION("IFERROR(VLOOKUP(E63&amp;F63,IMPORTRANGE(""https://docs.google.com/spreadsheets/d/1Uw7-A9f9R21vMXxHZFNpYNeKFtG8_yji4HS352LGlSQ/edit?pli=1#gid=0"",""1_ACUM!A4:S""),17,FALSE))"),"")</f>
        <v/>
      </c>
      <c r="BD49" s="23" t="str">
        <f ca="1">IFERROR(__xludf.DUMMYFUNCTION("IFERROR(VLOOKUP(E63&amp;F63,IMPORTRANGE(""https://docs.google.com/spreadsheets/d/1Uw7-A9f9R21vMXxHZFNpYNeKFtG8_yji4HS352LGlSQ/edit?pli=1#gid=0"",""1_ACUM!A4:S""),18,FALSE))"),"")</f>
        <v/>
      </c>
      <c r="BE49" s="23" t="str">
        <f ca="1">IFERROR(__xludf.DUMMYFUNCTION("IFERROR(VLOOKUP(E63&amp;F63,IMPORTRANGE(""https://docs.google.com/spreadsheets/d/1Uw7-A9f9R21vMXxHZFNpYNeKFtG8_yji4HS352LGlSQ/edit?pli=1#gid=0"",""1_ACUM!A4:S""),19,FALSE))"),"")</f>
        <v/>
      </c>
      <c r="BF49" s="68" t="str">
        <f ca="1">IFERROR(__xludf.DUMMYFUNCTION("IFERROR(VLOOKUP(F63,IMPORTRANGE(""https://docs.google.com/spreadsheets/d/1Kvs4KS76FHFqLFIZfrDMff4kP08nblUkihrxltoGBjg/edit#gid=934712705"",""ESENCIAL!A6:BG""),5,FALSE))"),"")</f>
        <v/>
      </c>
      <c r="BG49" s="68" t="e">
        <f t="shared" ca="1" si="1"/>
        <v>#VALUE!</v>
      </c>
      <c r="BH49" s="17" t="e">
        <f t="shared" ca="1" si="2"/>
        <v>#VALUE!</v>
      </c>
      <c r="BI49" s="38" t="str">
        <f ca="1">IFERROR(__xludf.DUMMYFUNCTION("IFERROR(VLOOKUP(F63,IMPORTRANGE(""https://docs.google.com/spreadsheets/d/1Kvs4KS76FHFqLFIZfrDMff4kP08nblUkihrxltoGBjg/edit#gid=934712705"",""ESENCIAL!A6:BG""),2,FALSE))"),"")</f>
        <v/>
      </c>
      <c r="BJ49" s="19" t="str">
        <f t="shared" si="3"/>
        <v>Yamboro</v>
      </c>
      <c r="BK49" s="292"/>
      <c r="BL49" s="38"/>
    </row>
    <row r="50" spans="1:64" ht="18" customHeight="1">
      <c r="A50" s="289"/>
      <c r="B50" s="145" t="s">
        <v>25</v>
      </c>
      <c r="C50" s="25" t="s">
        <v>1729</v>
      </c>
      <c r="D50" s="57" t="s">
        <v>27</v>
      </c>
      <c r="E50" s="57">
        <v>1083928150</v>
      </c>
      <c r="F50" s="25">
        <v>2500070</v>
      </c>
      <c r="G50" s="11" t="s">
        <v>508</v>
      </c>
      <c r="H50" s="11" t="s">
        <v>1713</v>
      </c>
      <c r="I50" s="25"/>
      <c r="J50" s="34"/>
      <c r="K50" s="34"/>
      <c r="L50" s="329" t="s">
        <v>44</v>
      </c>
      <c r="M50" s="34"/>
      <c r="N50" s="34"/>
      <c r="O50" s="34"/>
      <c r="P50" s="34"/>
      <c r="Q50" s="34"/>
      <c r="R50" s="35"/>
      <c r="S50" s="35"/>
      <c r="T50" s="65" t="s">
        <v>1730</v>
      </c>
      <c r="U50" s="36"/>
      <c r="V50" s="30"/>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19" t="str">
        <f t="shared" ca="1" si="0"/>
        <v>NO_CUMPLE</v>
      </c>
      <c r="AV50" s="11" t="str">
        <f ca="1">IFERROR(__xludf.DUMMYFUNCTION("IFERROR(VLOOKUP(E64&amp;F64,IMPORTRANGE(""https://docs.google.com/spreadsheets/d/1Uw7-A9f9R21vMXxHZFNpYNeKFtG8_yji4HS352LGlSQ/edit?pli=1#gid=0"",""1_ACUM!A4:S""),11,FALSE))"),"")</f>
        <v/>
      </c>
      <c r="AW50" s="20" t="str">
        <f ca="1">IFERROR(__xludf.DUMMYFUNCTION("IFERROR(VLOOKUP(F64,IMPORTRANGE(""https://docs.google.com/spreadsheets/d/1Kvs4KS76FHFqLFIZfrDMff4kP08nblUkihrxltoGBjg/edit#gid=934712705"",""ESENCIAL!A6:BG""),15,FALSE))"),"")</f>
        <v/>
      </c>
      <c r="AX50" s="21" t="str">
        <f ca="1">IFERROR(__xludf.DUMMYFUNCTION("IFERROR(VLOOKUP(E64&amp;F64,IMPORTRANGE(""https://docs.google.com/spreadsheets/d/1Uw7-A9f9R21vMXxHZFNpYNeKFtG8_yji4HS352LGlSQ/edit?pli=1#gid=0"",""1_ACUM!A4:S""),12,FALSE))"),"")</f>
        <v/>
      </c>
      <c r="AY50" s="22" t="str">
        <f ca="1">IFERROR(__xludf.DUMMYFUNCTION("IFERROR(VLOOKUP(E64&amp;F64,IMPORTRANGE(""https://docs.google.com/spreadsheets/d/1Uw7-A9f9R21vMXxHZFNpYNeKFtG8_yji4HS352LGlSQ/edit?pli=1#gid=0"",""1_ACUM!A4:S""),13,FALSE))"),"")</f>
        <v/>
      </c>
      <c r="AZ50" s="22" t="str">
        <f ca="1">IFERROR(__xludf.DUMMYFUNCTION("IFERROR(VLOOKUP(E64&amp;F64,IMPORTRANGE(""https://docs.google.com/spreadsheets/d/1Uw7-A9f9R21vMXxHZFNpYNeKFtG8_yji4HS352LGlSQ/edit?pli=1#gid=0"",""1_ACUM!A4:S""),14,FALSE))"),"")</f>
        <v/>
      </c>
      <c r="BA50" s="22" t="str">
        <f ca="1">IFERROR(__xludf.DUMMYFUNCTION("IFERROR(VLOOKUP(E64&amp;F64,IMPORTRANGE(""https://docs.google.com/spreadsheets/d/1Uw7-A9f9R21vMXxHZFNpYNeKFtG8_yji4HS352LGlSQ/edit?pli=1#gid=0"",""1_ACUM!A4:S""),15,FALSE))"),"")</f>
        <v/>
      </c>
      <c r="BB50" s="22" t="str">
        <f ca="1">IFERROR(__xludf.DUMMYFUNCTION("IFERROR(VLOOKUP(E64&amp;F64,IMPORTRANGE(""https://docs.google.com/spreadsheets/d/1Uw7-A9f9R21vMXxHZFNpYNeKFtG8_yji4HS352LGlSQ/edit?pli=1#gid=0"",""1_ACUM!A4:S""),16,FALSE))"),"")</f>
        <v/>
      </c>
      <c r="BC50" s="22" t="str">
        <f ca="1">IFERROR(__xludf.DUMMYFUNCTION("IFERROR(VLOOKUP(E64&amp;F64,IMPORTRANGE(""https://docs.google.com/spreadsheets/d/1Uw7-A9f9R21vMXxHZFNpYNeKFtG8_yji4HS352LGlSQ/edit?pli=1#gid=0"",""1_ACUM!A4:S""),17,FALSE))"),"")</f>
        <v/>
      </c>
      <c r="BD50" s="23" t="str">
        <f ca="1">IFERROR(__xludf.DUMMYFUNCTION("IFERROR(VLOOKUP(E64&amp;F64,IMPORTRANGE(""https://docs.google.com/spreadsheets/d/1Uw7-A9f9R21vMXxHZFNpYNeKFtG8_yji4HS352LGlSQ/edit?pli=1#gid=0"",""1_ACUM!A4:S""),18,FALSE))"),"")</f>
        <v/>
      </c>
      <c r="BE50" s="23" t="str">
        <f ca="1">IFERROR(__xludf.DUMMYFUNCTION("IFERROR(VLOOKUP(E64&amp;F64,IMPORTRANGE(""https://docs.google.com/spreadsheets/d/1Uw7-A9f9R21vMXxHZFNpYNeKFtG8_yji4HS352LGlSQ/edit?pli=1#gid=0"",""1_ACUM!A4:S""),19,FALSE))"),"")</f>
        <v/>
      </c>
      <c r="BF50" s="68" t="str">
        <f ca="1">IFERROR(__xludf.DUMMYFUNCTION("IFERROR(VLOOKUP(F64,IMPORTRANGE(""https://docs.google.com/spreadsheets/d/1Kvs4KS76FHFqLFIZfrDMff4kP08nblUkihrxltoGBjg/edit#gid=934712705"",""ESENCIAL!A6:BG""),5,FALSE))"),"")</f>
        <v/>
      </c>
      <c r="BG50" s="68" t="e">
        <f t="shared" ca="1" si="1"/>
        <v>#VALUE!</v>
      </c>
      <c r="BH50" s="17" t="e">
        <f t="shared" ca="1" si="2"/>
        <v>#VALUE!</v>
      </c>
      <c r="BI50" s="38" t="str">
        <f ca="1">IFERROR(__xludf.DUMMYFUNCTION("IFERROR(VLOOKUP(F64,IMPORTRANGE(""https://docs.google.com/spreadsheets/d/1Kvs4KS76FHFqLFIZfrDMff4kP08nblUkihrxltoGBjg/edit#gid=934712705"",""ESENCIAL!A6:BG""),2,FALSE))"),"")</f>
        <v/>
      </c>
      <c r="BJ50" s="19" t="str">
        <f t="shared" si="3"/>
        <v>Yamboro</v>
      </c>
      <c r="BK50" s="292"/>
      <c r="BL50" s="38"/>
    </row>
    <row r="51" spans="1:64" ht="18" customHeight="1">
      <c r="A51" s="289"/>
      <c r="B51" s="145" t="s">
        <v>25</v>
      </c>
      <c r="C51" s="25" t="s">
        <v>1731</v>
      </c>
      <c r="D51" s="57" t="s">
        <v>27</v>
      </c>
      <c r="E51" s="57">
        <v>1084250695</v>
      </c>
      <c r="F51" s="25">
        <v>2500070</v>
      </c>
      <c r="G51" s="11" t="s">
        <v>508</v>
      </c>
      <c r="H51" s="11" t="s">
        <v>1713</v>
      </c>
      <c r="I51" s="25"/>
      <c r="J51" s="34"/>
      <c r="K51" s="34"/>
      <c r="L51" s="329" t="s">
        <v>44</v>
      </c>
      <c r="M51" s="34"/>
      <c r="N51" s="34"/>
      <c r="O51" s="34"/>
      <c r="P51" s="34"/>
      <c r="Q51" s="34"/>
      <c r="R51" s="35"/>
      <c r="S51" s="35"/>
      <c r="T51" s="65"/>
      <c r="U51" s="36"/>
      <c r="V51" s="30"/>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19" t="str">
        <f t="shared" ca="1" si="0"/>
        <v>NO_CUMPLE</v>
      </c>
      <c r="AV51" s="11" t="str">
        <f ca="1">IFERROR(__xludf.DUMMYFUNCTION("IFERROR(VLOOKUP(E65&amp;F65,IMPORTRANGE(""https://docs.google.com/spreadsheets/d/1Uw7-A9f9R21vMXxHZFNpYNeKFtG8_yji4HS352LGlSQ/edit?pli=1#gid=0"",""1_ACUM!A4:S""),11,FALSE))"),"")</f>
        <v/>
      </c>
      <c r="AW51" s="20" t="str">
        <f ca="1">IFERROR(__xludf.DUMMYFUNCTION("IFERROR(VLOOKUP(F65,IMPORTRANGE(""https://docs.google.com/spreadsheets/d/1Kvs4KS76FHFqLFIZfrDMff4kP08nblUkihrxltoGBjg/edit#gid=934712705"",""ESENCIAL!A6:BG""),15,FALSE))"),"")</f>
        <v/>
      </c>
      <c r="AX51" s="21" t="str">
        <f ca="1">IFERROR(__xludf.DUMMYFUNCTION("IFERROR(VLOOKUP(E65&amp;F65,IMPORTRANGE(""https://docs.google.com/spreadsheets/d/1Uw7-A9f9R21vMXxHZFNpYNeKFtG8_yji4HS352LGlSQ/edit?pli=1#gid=0"",""1_ACUM!A4:S""),12,FALSE))"),"")</f>
        <v/>
      </c>
      <c r="AY51" s="22" t="str">
        <f ca="1">IFERROR(__xludf.DUMMYFUNCTION("IFERROR(VLOOKUP(E65&amp;F65,IMPORTRANGE(""https://docs.google.com/spreadsheets/d/1Uw7-A9f9R21vMXxHZFNpYNeKFtG8_yji4HS352LGlSQ/edit?pli=1#gid=0"",""1_ACUM!A4:S""),13,FALSE))"),"")</f>
        <v/>
      </c>
      <c r="AZ51" s="22" t="str">
        <f ca="1">IFERROR(__xludf.DUMMYFUNCTION("IFERROR(VLOOKUP(E65&amp;F65,IMPORTRANGE(""https://docs.google.com/spreadsheets/d/1Uw7-A9f9R21vMXxHZFNpYNeKFtG8_yji4HS352LGlSQ/edit?pli=1#gid=0"",""1_ACUM!A4:S""),14,FALSE))"),"")</f>
        <v/>
      </c>
      <c r="BA51" s="22" t="str">
        <f ca="1">IFERROR(__xludf.DUMMYFUNCTION("IFERROR(VLOOKUP(E65&amp;F65,IMPORTRANGE(""https://docs.google.com/spreadsheets/d/1Uw7-A9f9R21vMXxHZFNpYNeKFtG8_yji4HS352LGlSQ/edit?pli=1#gid=0"",""1_ACUM!A4:S""),15,FALSE))"),"")</f>
        <v/>
      </c>
      <c r="BB51" s="22" t="str">
        <f ca="1">IFERROR(__xludf.DUMMYFUNCTION("IFERROR(VLOOKUP(E65&amp;F65,IMPORTRANGE(""https://docs.google.com/spreadsheets/d/1Uw7-A9f9R21vMXxHZFNpYNeKFtG8_yji4HS352LGlSQ/edit?pli=1#gid=0"",""1_ACUM!A4:S""),16,FALSE))"),"")</f>
        <v/>
      </c>
      <c r="BC51" s="22" t="str">
        <f ca="1">IFERROR(__xludf.DUMMYFUNCTION("IFERROR(VLOOKUP(E65&amp;F65,IMPORTRANGE(""https://docs.google.com/spreadsheets/d/1Uw7-A9f9R21vMXxHZFNpYNeKFtG8_yji4HS352LGlSQ/edit?pli=1#gid=0"",""1_ACUM!A4:S""),17,FALSE))"),"")</f>
        <v/>
      </c>
      <c r="BD51" s="23" t="str">
        <f ca="1">IFERROR(__xludf.DUMMYFUNCTION("IFERROR(VLOOKUP(E65&amp;F65,IMPORTRANGE(""https://docs.google.com/spreadsheets/d/1Uw7-A9f9R21vMXxHZFNpYNeKFtG8_yji4HS352LGlSQ/edit?pli=1#gid=0"",""1_ACUM!A4:S""),18,FALSE))"),"")</f>
        <v/>
      </c>
      <c r="BE51" s="23" t="str">
        <f ca="1">IFERROR(__xludf.DUMMYFUNCTION("IFERROR(VLOOKUP(E65&amp;F65,IMPORTRANGE(""https://docs.google.com/spreadsheets/d/1Uw7-A9f9R21vMXxHZFNpYNeKFtG8_yji4HS352LGlSQ/edit?pli=1#gid=0"",""1_ACUM!A4:S""),19,FALSE))"),"")</f>
        <v/>
      </c>
      <c r="BF51" s="68" t="str">
        <f ca="1">IFERROR(__xludf.DUMMYFUNCTION("IFERROR(VLOOKUP(F65,IMPORTRANGE(""https://docs.google.com/spreadsheets/d/1Kvs4KS76FHFqLFIZfrDMff4kP08nblUkihrxltoGBjg/edit#gid=934712705"",""ESENCIAL!A6:BG""),5,FALSE))"),"")</f>
        <v/>
      </c>
      <c r="BG51" s="68" t="e">
        <f t="shared" ca="1" si="1"/>
        <v>#VALUE!</v>
      </c>
      <c r="BH51" s="17" t="e">
        <f t="shared" ca="1" si="2"/>
        <v>#VALUE!</v>
      </c>
      <c r="BI51" s="38" t="str">
        <f ca="1">IFERROR(__xludf.DUMMYFUNCTION("IFERROR(VLOOKUP(F65,IMPORTRANGE(""https://docs.google.com/spreadsheets/d/1Kvs4KS76FHFqLFIZfrDMff4kP08nblUkihrxltoGBjg/edit#gid=934712705"",""ESENCIAL!A6:BG""),2,FALSE))"),"")</f>
        <v/>
      </c>
      <c r="BJ51" s="19" t="str">
        <f t="shared" si="3"/>
        <v>Yamboro</v>
      </c>
      <c r="BK51" s="292"/>
      <c r="BL51" s="38"/>
    </row>
    <row r="52" spans="1:64" ht="18" customHeight="1">
      <c r="A52" s="289"/>
      <c r="B52" s="145" t="s">
        <v>25</v>
      </c>
      <c r="C52" s="25" t="s">
        <v>1732</v>
      </c>
      <c r="D52" s="57" t="s">
        <v>27</v>
      </c>
      <c r="E52" s="57">
        <v>1119580199</v>
      </c>
      <c r="F52" s="25">
        <v>2500070</v>
      </c>
      <c r="G52" s="11" t="s">
        <v>508</v>
      </c>
      <c r="H52" s="11" t="s">
        <v>1713</v>
      </c>
      <c r="I52" s="25">
        <v>3212798526</v>
      </c>
      <c r="J52" s="341" t="s">
        <v>1733</v>
      </c>
      <c r="K52" s="34" t="s">
        <v>421</v>
      </c>
      <c r="L52" s="34" t="s">
        <v>37</v>
      </c>
      <c r="M52" t="s">
        <v>1734</v>
      </c>
      <c r="N52" s="34" t="s">
        <v>73</v>
      </c>
      <c r="O52" s="34"/>
      <c r="P52" s="34" t="s">
        <v>73</v>
      </c>
      <c r="Q52" s="34" t="s">
        <v>1735</v>
      </c>
      <c r="R52" s="35">
        <v>45080</v>
      </c>
      <c r="S52" s="35">
        <v>44966</v>
      </c>
      <c r="T52" s="65"/>
      <c r="U52" s="36"/>
      <c r="V52" s="30"/>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19" t="str">
        <f t="shared" ca="1" si="0"/>
        <v>NO_CUMPLE</v>
      </c>
      <c r="AV52" s="11" t="str">
        <f ca="1">IFERROR(__xludf.DUMMYFUNCTION("IFERROR(VLOOKUP(E66&amp;F66,IMPORTRANGE(""https://docs.google.com/spreadsheets/d/1Uw7-A9f9R21vMXxHZFNpYNeKFtG8_yji4HS352LGlSQ/edit?pli=1#gid=0"",""1_ACUM!A4:S""),11,FALSE))"),"")</f>
        <v/>
      </c>
      <c r="AW52" s="20" t="str">
        <f ca="1">IFERROR(__xludf.DUMMYFUNCTION("IFERROR(VLOOKUP(F66,IMPORTRANGE(""https://docs.google.com/spreadsheets/d/1Kvs4KS76FHFqLFIZfrDMff4kP08nblUkihrxltoGBjg/edit#gid=934712705"",""ESENCIAL!A6:BG""),15,FALSE))"),"")</f>
        <v/>
      </c>
      <c r="AX52" s="21" t="str">
        <f ca="1">IFERROR(__xludf.DUMMYFUNCTION("IFERROR(VLOOKUP(E66&amp;F66,IMPORTRANGE(""https://docs.google.com/spreadsheets/d/1Uw7-A9f9R21vMXxHZFNpYNeKFtG8_yji4HS352LGlSQ/edit?pli=1#gid=0"",""1_ACUM!A4:S""),12,FALSE))"),"")</f>
        <v/>
      </c>
      <c r="AY52" s="22" t="str">
        <f ca="1">IFERROR(__xludf.DUMMYFUNCTION("IFERROR(VLOOKUP(E66&amp;F66,IMPORTRANGE(""https://docs.google.com/spreadsheets/d/1Uw7-A9f9R21vMXxHZFNpYNeKFtG8_yji4HS352LGlSQ/edit?pli=1#gid=0"",""1_ACUM!A4:S""),13,FALSE))"),"")</f>
        <v/>
      </c>
      <c r="AZ52" s="22" t="str">
        <f ca="1">IFERROR(__xludf.DUMMYFUNCTION("IFERROR(VLOOKUP(E66&amp;F66,IMPORTRANGE(""https://docs.google.com/spreadsheets/d/1Uw7-A9f9R21vMXxHZFNpYNeKFtG8_yji4HS352LGlSQ/edit?pli=1#gid=0"",""1_ACUM!A4:S""),14,FALSE))"),"")</f>
        <v/>
      </c>
      <c r="BA52" s="22" t="str">
        <f ca="1">IFERROR(__xludf.DUMMYFUNCTION("IFERROR(VLOOKUP(E66&amp;F66,IMPORTRANGE(""https://docs.google.com/spreadsheets/d/1Uw7-A9f9R21vMXxHZFNpYNeKFtG8_yji4HS352LGlSQ/edit?pli=1#gid=0"",""1_ACUM!A4:S""),15,FALSE))"),"")</f>
        <v/>
      </c>
      <c r="BB52" s="22" t="str">
        <f ca="1">IFERROR(__xludf.DUMMYFUNCTION("IFERROR(VLOOKUP(E66&amp;F66,IMPORTRANGE(""https://docs.google.com/spreadsheets/d/1Uw7-A9f9R21vMXxHZFNpYNeKFtG8_yji4HS352LGlSQ/edit?pli=1#gid=0"",""1_ACUM!A4:S""),16,FALSE))"),"")</f>
        <v/>
      </c>
      <c r="BC52" s="22" t="str">
        <f ca="1">IFERROR(__xludf.DUMMYFUNCTION("IFERROR(VLOOKUP(E66&amp;F66,IMPORTRANGE(""https://docs.google.com/spreadsheets/d/1Uw7-A9f9R21vMXxHZFNpYNeKFtG8_yji4HS352LGlSQ/edit?pli=1#gid=0"",""1_ACUM!A4:S""),17,FALSE))"),"")</f>
        <v/>
      </c>
      <c r="BD52" s="23" t="str">
        <f ca="1">IFERROR(__xludf.DUMMYFUNCTION("IFERROR(VLOOKUP(E66&amp;F66,IMPORTRANGE(""https://docs.google.com/spreadsheets/d/1Uw7-A9f9R21vMXxHZFNpYNeKFtG8_yji4HS352LGlSQ/edit?pli=1#gid=0"",""1_ACUM!A4:S""),18,FALSE))"),"")</f>
        <v/>
      </c>
      <c r="BE52" s="23" t="str">
        <f ca="1">IFERROR(__xludf.DUMMYFUNCTION("IFERROR(VLOOKUP(E66&amp;F66,IMPORTRANGE(""https://docs.google.com/spreadsheets/d/1Uw7-A9f9R21vMXxHZFNpYNeKFtG8_yji4HS352LGlSQ/edit?pli=1#gid=0"",""1_ACUM!A4:S""),19,FALSE))"),"")</f>
        <v/>
      </c>
      <c r="BF52" s="68" t="str">
        <f ca="1">IFERROR(__xludf.DUMMYFUNCTION("IFERROR(VLOOKUP(F66,IMPORTRANGE(""https://docs.google.com/spreadsheets/d/1Kvs4KS76FHFqLFIZfrDMff4kP08nblUkihrxltoGBjg/edit#gid=934712705"",""ESENCIAL!A6:BG""),5,FALSE))"),"")</f>
        <v/>
      </c>
      <c r="BG52" s="68" t="e">
        <f t="shared" ca="1" si="1"/>
        <v>#VALUE!</v>
      </c>
      <c r="BH52" s="17" t="e">
        <f t="shared" ca="1" si="2"/>
        <v>#VALUE!</v>
      </c>
      <c r="BI52" s="38" t="str">
        <f ca="1">IFERROR(__xludf.DUMMYFUNCTION("IFERROR(VLOOKUP(F66,IMPORTRANGE(""https://docs.google.com/spreadsheets/d/1Kvs4KS76FHFqLFIZfrDMff4kP08nblUkihrxltoGBjg/edit#gid=934712705"",""ESENCIAL!A6:BG""),2,FALSE))"),"")</f>
        <v/>
      </c>
      <c r="BJ52" s="19" t="str">
        <f t="shared" si="3"/>
        <v>Yamboro</v>
      </c>
      <c r="BK52" s="292"/>
      <c r="BL52" s="38"/>
    </row>
    <row r="53" spans="1:64" ht="24">
      <c r="A53" s="330"/>
      <c r="B53" s="298" t="s">
        <v>25</v>
      </c>
      <c r="C53" s="305" t="s">
        <v>1736</v>
      </c>
      <c r="D53" s="322" t="s">
        <v>27</v>
      </c>
      <c r="E53" s="322">
        <v>1125178767</v>
      </c>
      <c r="F53" s="305">
        <v>2500070</v>
      </c>
      <c r="G53" s="306" t="s">
        <v>508</v>
      </c>
      <c r="H53" s="306" t="s">
        <v>1713</v>
      </c>
      <c r="I53" s="305"/>
      <c r="J53" s="331"/>
      <c r="K53" s="331"/>
      <c r="L53" s="332" t="s">
        <v>44</v>
      </c>
      <c r="M53" s="331"/>
      <c r="N53" s="331"/>
      <c r="O53" s="331"/>
      <c r="P53" s="331"/>
      <c r="Q53" s="331"/>
      <c r="R53" s="333"/>
      <c r="S53" s="333"/>
      <c r="T53" s="310"/>
      <c r="U53" s="334"/>
      <c r="V53" s="325"/>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c r="AS53" s="311"/>
      <c r="AT53" s="311"/>
      <c r="AU53" s="312" t="str">
        <f t="shared" ca="1" si="0"/>
        <v>NO_CUMPLE</v>
      </c>
      <c r="AV53" s="306" t="str">
        <f ca="1">IFERROR(__xludf.DUMMYFUNCTION("IFERROR(VLOOKUP(E67&amp;F67,IMPORTRANGE(""https://docs.google.com/spreadsheets/d/1Uw7-A9f9R21vMXxHZFNpYNeKFtG8_yji4HS352LGlSQ/edit?pli=1#gid=0"",""1_ACUM!A4:S""),11,FALSE))"),"")</f>
        <v/>
      </c>
      <c r="AW53" s="313" t="str">
        <f ca="1">IFERROR(__xludf.DUMMYFUNCTION("IFERROR(VLOOKUP(F67,IMPORTRANGE(""https://docs.google.com/spreadsheets/d/1Kvs4KS76FHFqLFIZfrDMff4kP08nblUkihrxltoGBjg/edit#gid=934712705"",""ESENCIAL!A6:BG""),15,FALSE))"),"")</f>
        <v/>
      </c>
      <c r="AX53" s="314" t="str">
        <f ca="1">IFERROR(__xludf.DUMMYFUNCTION("IFERROR(VLOOKUP(E67&amp;F67,IMPORTRANGE(""https://docs.google.com/spreadsheets/d/1Uw7-A9f9R21vMXxHZFNpYNeKFtG8_yji4HS352LGlSQ/edit?pli=1#gid=0"",""1_ACUM!A4:S""),12,FALSE))"),"")</f>
        <v/>
      </c>
      <c r="AY53" s="315" t="str">
        <f ca="1">IFERROR(__xludf.DUMMYFUNCTION("IFERROR(VLOOKUP(E67&amp;F67,IMPORTRANGE(""https://docs.google.com/spreadsheets/d/1Uw7-A9f9R21vMXxHZFNpYNeKFtG8_yji4HS352LGlSQ/edit?pli=1#gid=0"",""1_ACUM!A4:S""),13,FALSE))"),"")</f>
        <v/>
      </c>
      <c r="AZ53" s="315" t="str">
        <f ca="1">IFERROR(__xludf.DUMMYFUNCTION("IFERROR(VLOOKUP(E67&amp;F67,IMPORTRANGE(""https://docs.google.com/spreadsheets/d/1Uw7-A9f9R21vMXxHZFNpYNeKFtG8_yji4HS352LGlSQ/edit?pli=1#gid=0"",""1_ACUM!A4:S""),14,FALSE))"),"")</f>
        <v/>
      </c>
      <c r="BA53" s="315" t="str">
        <f ca="1">IFERROR(__xludf.DUMMYFUNCTION("IFERROR(VLOOKUP(E67&amp;F67,IMPORTRANGE(""https://docs.google.com/spreadsheets/d/1Uw7-A9f9R21vMXxHZFNpYNeKFtG8_yji4HS352LGlSQ/edit?pli=1#gid=0"",""1_ACUM!A4:S""),15,FALSE))"),"")</f>
        <v/>
      </c>
      <c r="BB53" s="315" t="str">
        <f ca="1">IFERROR(__xludf.DUMMYFUNCTION("IFERROR(VLOOKUP(E67&amp;F67,IMPORTRANGE(""https://docs.google.com/spreadsheets/d/1Uw7-A9f9R21vMXxHZFNpYNeKFtG8_yji4HS352LGlSQ/edit?pli=1#gid=0"",""1_ACUM!A4:S""),16,FALSE))"),"")</f>
        <v/>
      </c>
      <c r="BC53" s="315" t="str">
        <f ca="1">IFERROR(__xludf.DUMMYFUNCTION("IFERROR(VLOOKUP(E67&amp;F67,IMPORTRANGE(""https://docs.google.com/spreadsheets/d/1Uw7-A9f9R21vMXxHZFNpYNeKFtG8_yji4HS352LGlSQ/edit?pli=1#gid=0"",""1_ACUM!A4:S""),17,FALSE))"),"")</f>
        <v/>
      </c>
      <c r="BD53" s="316" t="str">
        <f ca="1">IFERROR(__xludf.DUMMYFUNCTION("IFERROR(VLOOKUP(E67&amp;F67,IMPORTRANGE(""https://docs.google.com/spreadsheets/d/1Uw7-A9f9R21vMXxHZFNpYNeKFtG8_yji4HS352LGlSQ/edit?pli=1#gid=0"",""1_ACUM!A4:S""),18,FALSE))"),"")</f>
        <v/>
      </c>
      <c r="BE53" s="316" t="str">
        <f ca="1">IFERROR(__xludf.DUMMYFUNCTION("IFERROR(VLOOKUP(E67&amp;F67,IMPORTRANGE(""https://docs.google.com/spreadsheets/d/1Uw7-A9f9R21vMXxHZFNpYNeKFtG8_yji4HS352LGlSQ/edit?pli=1#gid=0"",""1_ACUM!A4:S""),19,FALSE))"),"")</f>
        <v/>
      </c>
      <c r="BF53" s="317" t="str">
        <f ca="1">IFERROR(__xludf.DUMMYFUNCTION("IFERROR(VLOOKUP(F67,IMPORTRANGE(""https://docs.google.com/spreadsheets/d/1Kvs4KS76FHFqLFIZfrDMff4kP08nblUkihrxltoGBjg/edit#gid=934712705"",""ESENCIAL!A6:BG""),5,FALSE))"),"")</f>
        <v/>
      </c>
      <c r="BG53" s="317" t="e">
        <f t="shared" ca="1" si="1"/>
        <v>#VALUE!</v>
      </c>
      <c r="BH53" s="318" t="e">
        <f t="shared" ca="1" si="2"/>
        <v>#VALUE!</v>
      </c>
      <c r="BI53" s="319" t="str">
        <f ca="1">IFERROR(__xludf.DUMMYFUNCTION("IFERROR(VLOOKUP(F67,IMPORTRANGE(""https://docs.google.com/spreadsheets/d/1Kvs4KS76FHFqLFIZfrDMff4kP08nblUkihrxltoGBjg/edit#gid=934712705"",""ESENCIAL!A6:BG""),2,FALSE))"),"")</f>
        <v/>
      </c>
      <c r="BJ53" s="312" t="str">
        <f t="shared" si="3"/>
        <v>Yamboro</v>
      </c>
      <c r="BK53" s="100"/>
      <c r="BL53" s="100"/>
    </row>
    <row r="54" spans="1:64" ht="15">
      <c r="A54" s="101"/>
      <c r="B54" s="101"/>
      <c r="G54" s="5" t="str">
        <f ca="1">IFERROR(__xludf.DUMMYFUNCTION("IFERROR(VLOOKUP(F68,IMPORTRANGE(""https://docs.google.com/spreadsheets/d/1Kvs4KS76FHFqLFIZfrDMff4kP08nblUkihrxltoGBjg/edit#gid=934712705"",""ESENCIAL!A6:BG""),3,FALSE))"),"")</f>
        <v/>
      </c>
      <c r="H54" s="5" t="str">
        <f ca="1">IFERROR(__xludf.DUMMYFUNCTION("IFERROR(VLOOKUP(F68,IMPORTRANGE(""https://docs.google.com/spreadsheets/d/1Kvs4KS76FHFqLFIZfrDMff4kP08nblUkihrxltoGBjg/edit#gid=934712705"",""ESENCIAL!A6:BG""),8,FALSE))"),"")</f>
        <v/>
      </c>
      <c r="L54" s="287"/>
      <c r="U54" s="40"/>
      <c r="AU54" s="41" t="str">
        <f t="shared" si="0"/>
        <v/>
      </c>
      <c r="AV54" s="5" t="str">
        <f ca="1">IFERROR(__xludf.DUMMYFUNCTION("IFERROR(VLOOKUP(E68&amp;F68,IMPORTRANGE(""https://docs.google.com/spreadsheets/d/1Uw7-A9f9R21vMXxHZFNpYNeKFtG8_yji4HS352LGlSQ/edit?pli=1#gid=0"",""1_ACUM!A4:S""),11,FALSE))"),"")</f>
        <v/>
      </c>
      <c r="AW54" s="42" t="str">
        <f ca="1">IFERROR(__xludf.DUMMYFUNCTION("IFERROR(VLOOKUP(F68,IMPORTRANGE(""https://docs.google.com/spreadsheets/d/1Kvs4KS76FHFqLFIZfrDMff4kP08nblUkihrxltoGBjg/edit#gid=934712705"",""ESENCIAL!A6:BG""),15,FALSE))"),"")</f>
        <v/>
      </c>
      <c r="AX54" s="21" t="str">
        <f ca="1">IFERROR(__xludf.DUMMYFUNCTION("IFERROR(VLOOKUP(E68&amp;F68,IMPORTRANGE(""https://docs.google.com/spreadsheets/d/1Uw7-A9f9R21vMXxHZFNpYNeKFtG8_yji4HS352LGlSQ/edit?pli=1#gid=0"",""1_ACUM!A4:S""),12,FALSE))"),"")</f>
        <v/>
      </c>
      <c r="AY54" s="43" t="str">
        <f ca="1">IFERROR(__xludf.DUMMYFUNCTION("IFERROR(VLOOKUP(E68&amp;F68,IMPORTRANGE(""https://docs.google.com/spreadsheets/d/1Uw7-A9f9R21vMXxHZFNpYNeKFtG8_yji4HS352LGlSQ/edit?pli=1#gid=0"",""1_ACUM!A4:S""),13,FALSE))"),"")</f>
        <v/>
      </c>
      <c r="AZ54" s="43" t="str">
        <f ca="1">IFERROR(__xludf.DUMMYFUNCTION("IFERROR(VLOOKUP(E68&amp;F68,IMPORTRANGE(""https://docs.google.com/spreadsheets/d/1Uw7-A9f9R21vMXxHZFNpYNeKFtG8_yji4HS352LGlSQ/edit?pli=1#gid=0"",""1_ACUM!A4:S""),14,FALSE))"),"")</f>
        <v/>
      </c>
      <c r="BA54" s="43" t="str">
        <f ca="1">IFERROR(__xludf.DUMMYFUNCTION("IFERROR(VLOOKUP(E68&amp;F68,IMPORTRANGE(""https://docs.google.com/spreadsheets/d/1Uw7-A9f9R21vMXxHZFNpYNeKFtG8_yji4HS352LGlSQ/edit?pli=1#gid=0"",""1_ACUM!A4:S""),15,FALSE))"),"")</f>
        <v/>
      </c>
      <c r="BB54" s="43" t="str">
        <f ca="1">IFERROR(__xludf.DUMMYFUNCTION("IFERROR(VLOOKUP(E68&amp;F68,IMPORTRANGE(""https://docs.google.com/spreadsheets/d/1Uw7-A9f9R21vMXxHZFNpYNeKFtG8_yji4HS352LGlSQ/edit?pli=1#gid=0"",""1_ACUM!A4:S""),16,FALSE))"),"")</f>
        <v/>
      </c>
      <c r="BC54" s="43" t="str">
        <f ca="1">IFERROR(__xludf.DUMMYFUNCTION("IFERROR(VLOOKUP(E68&amp;F68,IMPORTRANGE(""https://docs.google.com/spreadsheets/d/1Uw7-A9f9R21vMXxHZFNpYNeKFtG8_yji4HS352LGlSQ/edit?pli=1#gid=0"",""1_ACUM!A4:S""),17,FALSE))"),"")</f>
        <v/>
      </c>
      <c r="BD54" s="44" t="str">
        <f ca="1">IFERROR(__xludf.DUMMYFUNCTION("IFERROR(VLOOKUP(E68&amp;F68,IMPORTRANGE(""https://docs.google.com/spreadsheets/d/1Uw7-A9f9R21vMXxHZFNpYNeKFtG8_yji4HS352LGlSQ/edit?pli=1#gid=0"",""1_ACUM!A4:S""),18,FALSE))"),"")</f>
        <v/>
      </c>
      <c r="BE54" s="44" t="str">
        <f ca="1">IFERROR(__xludf.DUMMYFUNCTION("IFERROR(VLOOKUP(E68&amp;F68,IMPORTRANGE(""https://docs.google.com/spreadsheets/d/1Uw7-A9f9R21vMXxHZFNpYNeKFtG8_yji4HS352LGlSQ/edit?pli=1#gid=0"",""1_ACUM!A4:S""),19,FALSE))"),"")</f>
        <v/>
      </c>
      <c r="BF54" s="98" t="str">
        <f ca="1">IFERROR(__xludf.DUMMYFUNCTION("IFERROR(VLOOKUP(F68,IMPORTRANGE(""https://docs.google.com/spreadsheets/d/1Kvs4KS76FHFqLFIZfrDMff4kP08nblUkihrxltoGBjg/edit#gid=934712705"",""ESENCIAL!A6:BG""),5,FALSE))"),"")</f>
        <v/>
      </c>
      <c r="BG54" s="98" t="str">
        <f t="shared" si="1"/>
        <v/>
      </c>
      <c r="BH54" s="99" t="str">
        <f t="shared" si="2"/>
        <v/>
      </c>
      <c r="BI54" s="100" t="str">
        <f ca="1">IFERROR(__xludf.DUMMYFUNCTION("IFERROR(VLOOKUP(F68,IMPORTRANGE(""https://docs.google.com/spreadsheets/d/1Kvs4KS76FHFqLFIZfrDMff4kP08nblUkihrxltoGBjg/edit#gid=934712705"",""ESENCIAL!A6:BG""),2,FALSE))"),"")</f>
        <v/>
      </c>
      <c r="BJ54" s="19" t="str">
        <f t="shared" si="3"/>
        <v/>
      </c>
      <c r="BK54" s="100"/>
      <c r="BL54" s="100"/>
    </row>
    <row r="55" spans="1:64" ht="15">
      <c r="A55" s="101"/>
      <c r="B55" s="101"/>
      <c r="G55" s="5" t="str">
        <f ca="1">IFERROR(__xludf.DUMMYFUNCTION("IFERROR(VLOOKUP(F69,IMPORTRANGE(""https://docs.google.com/spreadsheets/d/1Kvs4KS76FHFqLFIZfrDMff4kP08nblUkihrxltoGBjg/edit#gid=934712705"",""ESENCIAL!A6:BG""),3,FALSE))"),"")</f>
        <v/>
      </c>
      <c r="H55" s="5" t="str">
        <f ca="1">IFERROR(__xludf.DUMMYFUNCTION("IFERROR(VLOOKUP(F69,IMPORTRANGE(""https://docs.google.com/spreadsheets/d/1Kvs4KS76FHFqLFIZfrDMff4kP08nblUkihrxltoGBjg/edit#gid=934712705"",""ESENCIAL!A6:BG""),8,FALSE))"),"")</f>
        <v/>
      </c>
      <c r="L55" s="287"/>
      <c r="U55" s="40"/>
      <c r="AU55" s="41" t="str">
        <f t="shared" si="0"/>
        <v/>
      </c>
      <c r="AV55" s="5" t="str">
        <f ca="1">IFERROR(__xludf.DUMMYFUNCTION("IFERROR(VLOOKUP(E69&amp;F69,IMPORTRANGE(""https://docs.google.com/spreadsheets/d/1Uw7-A9f9R21vMXxHZFNpYNeKFtG8_yji4HS352LGlSQ/edit?pli=1#gid=0"",""1_ACUM!A4:S""),11,FALSE))"),"")</f>
        <v/>
      </c>
      <c r="AW55" s="42" t="str">
        <f ca="1">IFERROR(__xludf.DUMMYFUNCTION("IFERROR(VLOOKUP(F69,IMPORTRANGE(""https://docs.google.com/spreadsheets/d/1Kvs4KS76FHFqLFIZfrDMff4kP08nblUkihrxltoGBjg/edit#gid=934712705"",""ESENCIAL!A6:BG""),15,FALSE))"),"")</f>
        <v/>
      </c>
      <c r="AX55" s="21" t="str">
        <f ca="1">IFERROR(__xludf.DUMMYFUNCTION("IFERROR(VLOOKUP(E69&amp;F69,IMPORTRANGE(""https://docs.google.com/spreadsheets/d/1Uw7-A9f9R21vMXxHZFNpYNeKFtG8_yji4HS352LGlSQ/edit?pli=1#gid=0"",""1_ACUM!A4:S""),12,FALSE))"),"")</f>
        <v/>
      </c>
      <c r="AY55" s="43" t="str">
        <f ca="1">IFERROR(__xludf.DUMMYFUNCTION("IFERROR(VLOOKUP(E69&amp;F69,IMPORTRANGE(""https://docs.google.com/spreadsheets/d/1Uw7-A9f9R21vMXxHZFNpYNeKFtG8_yji4HS352LGlSQ/edit?pli=1#gid=0"",""1_ACUM!A4:S""),13,FALSE))"),"")</f>
        <v/>
      </c>
      <c r="AZ55" s="43" t="str">
        <f ca="1">IFERROR(__xludf.DUMMYFUNCTION("IFERROR(VLOOKUP(E69&amp;F69,IMPORTRANGE(""https://docs.google.com/spreadsheets/d/1Uw7-A9f9R21vMXxHZFNpYNeKFtG8_yji4HS352LGlSQ/edit?pli=1#gid=0"",""1_ACUM!A4:S""),14,FALSE))"),"")</f>
        <v/>
      </c>
      <c r="BA55" s="43" t="str">
        <f ca="1">IFERROR(__xludf.DUMMYFUNCTION("IFERROR(VLOOKUP(E69&amp;F69,IMPORTRANGE(""https://docs.google.com/spreadsheets/d/1Uw7-A9f9R21vMXxHZFNpYNeKFtG8_yji4HS352LGlSQ/edit?pli=1#gid=0"",""1_ACUM!A4:S""),15,FALSE))"),"")</f>
        <v/>
      </c>
      <c r="BB55" s="43" t="str">
        <f ca="1">IFERROR(__xludf.DUMMYFUNCTION("IFERROR(VLOOKUP(E69&amp;F69,IMPORTRANGE(""https://docs.google.com/spreadsheets/d/1Uw7-A9f9R21vMXxHZFNpYNeKFtG8_yji4HS352LGlSQ/edit?pli=1#gid=0"",""1_ACUM!A4:S""),16,FALSE))"),"")</f>
        <v/>
      </c>
      <c r="BC55" s="43" t="str">
        <f ca="1">IFERROR(__xludf.DUMMYFUNCTION("IFERROR(VLOOKUP(E69&amp;F69,IMPORTRANGE(""https://docs.google.com/spreadsheets/d/1Uw7-A9f9R21vMXxHZFNpYNeKFtG8_yji4HS352LGlSQ/edit?pli=1#gid=0"",""1_ACUM!A4:S""),17,FALSE))"),"")</f>
        <v/>
      </c>
      <c r="BD55" s="44" t="str">
        <f ca="1">IFERROR(__xludf.DUMMYFUNCTION("IFERROR(VLOOKUP(E69&amp;F69,IMPORTRANGE(""https://docs.google.com/spreadsheets/d/1Uw7-A9f9R21vMXxHZFNpYNeKFtG8_yji4HS352LGlSQ/edit?pli=1#gid=0"",""1_ACUM!A4:S""),18,FALSE))"),"")</f>
        <v/>
      </c>
      <c r="BE55" s="44" t="str">
        <f ca="1">IFERROR(__xludf.DUMMYFUNCTION("IFERROR(VLOOKUP(E69&amp;F69,IMPORTRANGE(""https://docs.google.com/spreadsheets/d/1Uw7-A9f9R21vMXxHZFNpYNeKFtG8_yji4HS352LGlSQ/edit?pli=1#gid=0"",""1_ACUM!A4:S""),19,FALSE))"),"")</f>
        <v/>
      </c>
      <c r="BF55" s="98" t="str">
        <f ca="1">IFERROR(__xludf.DUMMYFUNCTION("IFERROR(VLOOKUP(F69,IMPORTRANGE(""https://docs.google.com/spreadsheets/d/1Kvs4KS76FHFqLFIZfrDMff4kP08nblUkihrxltoGBjg/edit#gid=934712705"",""ESENCIAL!A6:BG""),5,FALSE))"),"")</f>
        <v/>
      </c>
      <c r="BG55" s="98" t="str">
        <f t="shared" si="1"/>
        <v/>
      </c>
      <c r="BH55" s="99" t="str">
        <f t="shared" si="2"/>
        <v/>
      </c>
      <c r="BI55" s="100" t="str">
        <f ca="1">IFERROR(__xludf.DUMMYFUNCTION("IFERROR(VLOOKUP(F69,IMPORTRANGE(""https://docs.google.com/spreadsheets/d/1Kvs4KS76FHFqLFIZfrDMff4kP08nblUkihrxltoGBjg/edit#gid=934712705"",""ESENCIAL!A6:BG""),2,FALSE))"),"")</f>
        <v/>
      </c>
      <c r="BJ55" s="19" t="str">
        <f t="shared" si="3"/>
        <v/>
      </c>
      <c r="BK55" s="100"/>
      <c r="BL55" s="100"/>
    </row>
    <row r="56" spans="1:64" ht="15">
      <c r="A56" s="101"/>
      <c r="B56" s="101"/>
      <c r="G56" s="5" t="str">
        <f ca="1">IFERROR(__xludf.DUMMYFUNCTION("IFERROR(VLOOKUP(F70,IMPORTRANGE(""https://docs.google.com/spreadsheets/d/1Kvs4KS76FHFqLFIZfrDMff4kP08nblUkihrxltoGBjg/edit#gid=934712705"",""ESENCIAL!A6:BG""),3,FALSE))"),"")</f>
        <v/>
      </c>
      <c r="H56" s="5" t="str">
        <f ca="1">IFERROR(__xludf.DUMMYFUNCTION("IFERROR(VLOOKUP(F70,IMPORTRANGE(""https://docs.google.com/spreadsheets/d/1Kvs4KS76FHFqLFIZfrDMff4kP08nblUkihrxltoGBjg/edit#gid=934712705"",""ESENCIAL!A6:BG""),8,FALSE))"),"")</f>
        <v/>
      </c>
      <c r="L56" s="287"/>
      <c r="U56" s="40"/>
      <c r="AU56" s="41" t="str">
        <f t="shared" si="0"/>
        <v/>
      </c>
      <c r="AV56" s="5" t="str">
        <f ca="1">IFERROR(__xludf.DUMMYFUNCTION("IFERROR(VLOOKUP(E70&amp;F70,IMPORTRANGE(""https://docs.google.com/spreadsheets/d/1Uw7-A9f9R21vMXxHZFNpYNeKFtG8_yji4HS352LGlSQ/edit?pli=1#gid=0"",""1_ACUM!A4:S""),11,FALSE))"),"")</f>
        <v/>
      </c>
      <c r="AW56" s="42" t="str">
        <f ca="1">IFERROR(__xludf.DUMMYFUNCTION("IFERROR(VLOOKUP(F70,IMPORTRANGE(""https://docs.google.com/spreadsheets/d/1Kvs4KS76FHFqLFIZfrDMff4kP08nblUkihrxltoGBjg/edit#gid=934712705"",""ESENCIAL!A6:BG""),15,FALSE))"),"")</f>
        <v/>
      </c>
      <c r="AX56" s="21" t="str">
        <f ca="1">IFERROR(__xludf.DUMMYFUNCTION("IFERROR(VLOOKUP(E70&amp;F70,IMPORTRANGE(""https://docs.google.com/spreadsheets/d/1Uw7-A9f9R21vMXxHZFNpYNeKFtG8_yji4HS352LGlSQ/edit?pli=1#gid=0"",""1_ACUM!A4:S""),12,FALSE))"),"")</f>
        <v/>
      </c>
      <c r="AY56" s="43" t="str">
        <f ca="1">IFERROR(__xludf.DUMMYFUNCTION("IFERROR(VLOOKUP(E70&amp;F70,IMPORTRANGE(""https://docs.google.com/spreadsheets/d/1Uw7-A9f9R21vMXxHZFNpYNeKFtG8_yji4HS352LGlSQ/edit?pli=1#gid=0"",""1_ACUM!A4:S""),13,FALSE))"),"")</f>
        <v/>
      </c>
      <c r="AZ56" s="43" t="str">
        <f ca="1">IFERROR(__xludf.DUMMYFUNCTION("IFERROR(VLOOKUP(E70&amp;F70,IMPORTRANGE(""https://docs.google.com/spreadsheets/d/1Uw7-A9f9R21vMXxHZFNpYNeKFtG8_yji4HS352LGlSQ/edit?pli=1#gid=0"",""1_ACUM!A4:S""),14,FALSE))"),"")</f>
        <v/>
      </c>
      <c r="BA56" s="43" t="str">
        <f ca="1">IFERROR(__xludf.DUMMYFUNCTION("IFERROR(VLOOKUP(E70&amp;F70,IMPORTRANGE(""https://docs.google.com/spreadsheets/d/1Uw7-A9f9R21vMXxHZFNpYNeKFtG8_yji4HS352LGlSQ/edit?pli=1#gid=0"",""1_ACUM!A4:S""),15,FALSE))"),"")</f>
        <v/>
      </c>
      <c r="BB56" s="43" t="str">
        <f ca="1">IFERROR(__xludf.DUMMYFUNCTION("IFERROR(VLOOKUP(E70&amp;F70,IMPORTRANGE(""https://docs.google.com/spreadsheets/d/1Uw7-A9f9R21vMXxHZFNpYNeKFtG8_yji4HS352LGlSQ/edit?pli=1#gid=0"",""1_ACUM!A4:S""),16,FALSE))"),"")</f>
        <v/>
      </c>
      <c r="BC56" s="43" t="str">
        <f ca="1">IFERROR(__xludf.DUMMYFUNCTION("IFERROR(VLOOKUP(E70&amp;F70,IMPORTRANGE(""https://docs.google.com/spreadsheets/d/1Uw7-A9f9R21vMXxHZFNpYNeKFtG8_yji4HS352LGlSQ/edit?pli=1#gid=0"",""1_ACUM!A4:S""),17,FALSE))"),"")</f>
        <v/>
      </c>
      <c r="BD56" s="44" t="str">
        <f ca="1">IFERROR(__xludf.DUMMYFUNCTION("IFERROR(VLOOKUP(E70&amp;F70,IMPORTRANGE(""https://docs.google.com/spreadsheets/d/1Uw7-A9f9R21vMXxHZFNpYNeKFtG8_yji4HS352LGlSQ/edit?pli=1#gid=0"",""1_ACUM!A4:S""),18,FALSE))"),"")</f>
        <v/>
      </c>
      <c r="BE56" s="44" t="str">
        <f ca="1">IFERROR(__xludf.DUMMYFUNCTION("IFERROR(VLOOKUP(E70&amp;F70,IMPORTRANGE(""https://docs.google.com/spreadsheets/d/1Uw7-A9f9R21vMXxHZFNpYNeKFtG8_yji4HS352LGlSQ/edit?pli=1#gid=0"",""1_ACUM!A4:S""),19,FALSE))"),"")</f>
        <v/>
      </c>
      <c r="BF56" s="98" t="str">
        <f ca="1">IFERROR(__xludf.DUMMYFUNCTION("IFERROR(VLOOKUP(F70,IMPORTRANGE(""https://docs.google.com/spreadsheets/d/1Kvs4KS76FHFqLFIZfrDMff4kP08nblUkihrxltoGBjg/edit#gid=934712705"",""ESENCIAL!A6:BG""),5,FALSE))"),"")</f>
        <v/>
      </c>
      <c r="BG56" s="98" t="str">
        <f t="shared" si="1"/>
        <v/>
      </c>
      <c r="BH56" s="99" t="str">
        <f t="shared" si="2"/>
        <v/>
      </c>
      <c r="BI56" s="100" t="str">
        <f ca="1">IFERROR(__xludf.DUMMYFUNCTION("IFERROR(VLOOKUP(F70,IMPORTRANGE(""https://docs.google.com/spreadsheets/d/1Kvs4KS76FHFqLFIZfrDMff4kP08nblUkihrxltoGBjg/edit#gid=934712705"",""ESENCIAL!A6:BG""),2,FALSE))"),"")</f>
        <v/>
      </c>
      <c r="BJ56" s="19" t="str">
        <f t="shared" si="3"/>
        <v/>
      </c>
      <c r="BK56" s="100"/>
      <c r="BL56" s="100"/>
    </row>
    <row r="57" spans="1:64" ht="15">
      <c r="A57" s="101"/>
      <c r="B57" s="101"/>
      <c r="G57" s="5" t="str">
        <f ca="1">IFERROR(__xludf.DUMMYFUNCTION("IFERROR(VLOOKUP(F71,IMPORTRANGE(""https://docs.google.com/spreadsheets/d/1Kvs4KS76FHFqLFIZfrDMff4kP08nblUkihrxltoGBjg/edit#gid=934712705"",""ESENCIAL!A6:BG""),3,FALSE))"),"")</f>
        <v/>
      </c>
      <c r="H57" s="5" t="str">
        <f ca="1">IFERROR(__xludf.DUMMYFUNCTION("IFERROR(VLOOKUP(F71,IMPORTRANGE(""https://docs.google.com/spreadsheets/d/1Kvs4KS76FHFqLFIZfrDMff4kP08nblUkihrxltoGBjg/edit#gid=934712705"",""ESENCIAL!A6:BG""),8,FALSE))"),"")</f>
        <v/>
      </c>
      <c r="L57" s="287"/>
      <c r="U57" s="40"/>
      <c r="AU57" s="41" t="str">
        <f t="shared" si="0"/>
        <v/>
      </c>
      <c r="AV57" s="5" t="str">
        <f ca="1">IFERROR(__xludf.DUMMYFUNCTION("IFERROR(VLOOKUP(E71&amp;F71,IMPORTRANGE(""https://docs.google.com/spreadsheets/d/1Uw7-A9f9R21vMXxHZFNpYNeKFtG8_yji4HS352LGlSQ/edit?pli=1#gid=0"",""1_ACUM!A4:S""),11,FALSE))"),"")</f>
        <v/>
      </c>
      <c r="AW57" s="42" t="str">
        <f ca="1">IFERROR(__xludf.DUMMYFUNCTION("IFERROR(VLOOKUP(F71,IMPORTRANGE(""https://docs.google.com/spreadsheets/d/1Kvs4KS76FHFqLFIZfrDMff4kP08nblUkihrxltoGBjg/edit#gid=934712705"",""ESENCIAL!A6:BG""),15,FALSE))"),"")</f>
        <v/>
      </c>
      <c r="AX57" s="21" t="str">
        <f ca="1">IFERROR(__xludf.DUMMYFUNCTION("IFERROR(VLOOKUP(E71&amp;F71,IMPORTRANGE(""https://docs.google.com/spreadsheets/d/1Uw7-A9f9R21vMXxHZFNpYNeKFtG8_yji4HS352LGlSQ/edit?pli=1#gid=0"",""1_ACUM!A4:S""),12,FALSE))"),"")</f>
        <v/>
      </c>
      <c r="AY57" s="43" t="str">
        <f ca="1">IFERROR(__xludf.DUMMYFUNCTION("IFERROR(VLOOKUP(E71&amp;F71,IMPORTRANGE(""https://docs.google.com/spreadsheets/d/1Uw7-A9f9R21vMXxHZFNpYNeKFtG8_yji4HS352LGlSQ/edit?pli=1#gid=0"",""1_ACUM!A4:S""),13,FALSE))"),"")</f>
        <v/>
      </c>
      <c r="AZ57" s="43" t="str">
        <f ca="1">IFERROR(__xludf.DUMMYFUNCTION("IFERROR(VLOOKUP(E71&amp;F71,IMPORTRANGE(""https://docs.google.com/spreadsheets/d/1Uw7-A9f9R21vMXxHZFNpYNeKFtG8_yji4HS352LGlSQ/edit?pli=1#gid=0"",""1_ACUM!A4:S""),14,FALSE))"),"")</f>
        <v/>
      </c>
      <c r="BA57" s="43" t="str">
        <f ca="1">IFERROR(__xludf.DUMMYFUNCTION("IFERROR(VLOOKUP(E71&amp;F71,IMPORTRANGE(""https://docs.google.com/spreadsheets/d/1Uw7-A9f9R21vMXxHZFNpYNeKFtG8_yji4HS352LGlSQ/edit?pli=1#gid=0"",""1_ACUM!A4:S""),15,FALSE))"),"")</f>
        <v/>
      </c>
      <c r="BB57" s="43" t="str">
        <f ca="1">IFERROR(__xludf.DUMMYFUNCTION("IFERROR(VLOOKUP(E71&amp;F71,IMPORTRANGE(""https://docs.google.com/spreadsheets/d/1Uw7-A9f9R21vMXxHZFNpYNeKFtG8_yji4HS352LGlSQ/edit?pli=1#gid=0"",""1_ACUM!A4:S""),16,FALSE))"),"")</f>
        <v/>
      </c>
      <c r="BC57" s="43" t="str">
        <f ca="1">IFERROR(__xludf.DUMMYFUNCTION("IFERROR(VLOOKUP(E71&amp;F71,IMPORTRANGE(""https://docs.google.com/spreadsheets/d/1Uw7-A9f9R21vMXxHZFNpYNeKFtG8_yji4HS352LGlSQ/edit?pli=1#gid=0"",""1_ACUM!A4:S""),17,FALSE))"),"")</f>
        <v/>
      </c>
      <c r="BD57" s="44" t="str">
        <f ca="1">IFERROR(__xludf.DUMMYFUNCTION("IFERROR(VLOOKUP(E71&amp;F71,IMPORTRANGE(""https://docs.google.com/spreadsheets/d/1Uw7-A9f9R21vMXxHZFNpYNeKFtG8_yji4HS352LGlSQ/edit?pli=1#gid=0"",""1_ACUM!A4:S""),18,FALSE))"),"")</f>
        <v/>
      </c>
      <c r="BE57" s="44" t="str">
        <f ca="1">IFERROR(__xludf.DUMMYFUNCTION("IFERROR(VLOOKUP(E71&amp;F71,IMPORTRANGE(""https://docs.google.com/spreadsheets/d/1Uw7-A9f9R21vMXxHZFNpYNeKFtG8_yji4HS352LGlSQ/edit?pli=1#gid=0"",""1_ACUM!A4:S""),19,FALSE))"),"")</f>
        <v/>
      </c>
      <c r="BF57" s="98" t="str">
        <f ca="1">IFERROR(__xludf.DUMMYFUNCTION("IFERROR(VLOOKUP(F71,IMPORTRANGE(""https://docs.google.com/spreadsheets/d/1Kvs4KS76FHFqLFIZfrDMff4kP08nblUkihrxltoGBjg/edit#gid=934712705"",""ESENCIAL!A6:BG""),5,FALSE))"),"")</f>
        <v/>
      </c>
      <c r="BG57" s="98" t="str">
        <f t="shared" si="1"/>
        <v/>
      </c>
      <c r="BH57" s="99" t="str">
        <f t="shared" si="2"/>
        <v/>
      </c>
      <c r="BI57" s="100" t="str">
        <f ca="1">IFERROR(__xludf.DUMMYFUNCTION("IFERROR(VLOOKUP(F71,IMPORTRANGE(""https://docs.google.com/spreadsheets/d/1Kvs4KS76FHFqLFIZfrDMff4kP08nblUkihrxltoGBjg/edit#gid=934712705"",""ESENCIAL!A6:BG""),2,FALSE))"),"")</f>
        <v/>
      </c>
      <c r="BJ57" s="19" t="str">
        <f t="shared" si="3"/>
        <v/>
      </c>
      <c r="BK57" s="100"/>
      <c r="BL57" s="100"/>
    </row>
    <row r="58" spans="1:64" ht="15">
      <c r="A58" s="101"/>
      <c r="B58" s="101"/>
      <c r="G58" s="5" t="str">
        <f ca="1">IFERROR(__xludf.DUMMYFUNCTION("IFERROR(VLOOKUP(F72,IMPORTRANGE(""https://docs.google.com/spreadsheets/d/1Kvs4KS76FHFqLFIZfrDMff4kP08nblUkihrxltoGBjg/edit#gid=934712705"",""ESENCIAL!A6:BG""),3,FALSE))"),"")</f>
        <v/>
      </c>
      <c r="H58" s="5" t="str">
        <f ca="1">IFERROR(__xludf.DUMMYFUNCTION("IFERROR(VLOOKUP(F72,IMPORTRANGE(""https://docs.google.com/spreadsheets/d/1Kvs4KS76FHFqLFIZfrDMff4kP08nblUkihrxltoGBjg/edit#gid=934712705"",""ESENCIAL!A6:BG""),8,FALSE))"),"")</f>
        <v/>
      </c>
      <c r="L58" s="287"/>
      <c r="U58" s="40"/>
      <c r="AU58" s="41" t="str">
        <f t="shared" si="0"/>
        <v/>
      </c>
      <c r="AV58" s="5" t="str">
        <f ca="1">IFERROR(__xludf.DUMMYFUNCTION("IFERROR(VLOOKUP(E72&amp;F72,IMPORTRANGE(""https://docs.google.com/spreadsheets/d/1Uw7-A9f9R21vMXxHZFNpYNeKFtG8_yji4HS352LGlSQ/edit?pli=1#gid=0"",""1_ACUM!A4:S""),11,FALSE))"),"")</f>
        <v/>
      </c>
      <c r="AW58" s="42" t="str">
        <f ca="1">IFERROR(__xludf.DUMMYFUNCTION("IFERROR(VLOOKUP(F72,IMPORTRANGE(""https://docs.google.com/spreadsheets/d/1Kvs4KS76FHFqLFIZfrDMff4kP08nblUkihrxltoGBjg/edit#gid=934712705"",""ESENCIAL!A6:BG""),15,FALSE))"),"")</f>
        <v/>
      </c>
      <c r="AX58" s="21" t="str">
        <f ca="1">IFERROR(__xludf.DUMMYFUNCTION("IFERROR(VLOOKUP(E72&amp;F72,IMPORTRANGE(""https://docs.google.com/spreadsheets/d/1Uw7-A9f9R21vMXxHZFNpYNeKFtG8_yji4HS352LGlSQ/edit?pli=1#gid=0"",""1_ACUM!A4:S""),12,FALSE))"),"")</f>
        <v/>
      </c>
      <c r="AY58" s="43" t="str">
        <f ca="1">IFERROR(__xludf.DUMMYFUNCTION("IFERROR(VLOOKUP(E72&amp;F72,IMPORTRANGE(""https://docs.google.com/spreadsheets/d/1Uw7-A9f9R21vMXxHZFNpYNeKFtG8_yji4HS352LGlSQ/edit?pli=1#gid=0"",""1_ACUM!A4:S""),13,FALSE))"),"")</f>
        <v/>
      </c>
      <c r="AZ58" s="43" t="str">
        <f ca="1">IFERROR(__xludf.DUMMYFUNCTION("IFERROR(VLOOKUP(E72&amp;F72,IMPORTRANGE(""https://docs.google.com/spreadsheets/d/1Uw7-A9f9R21vMXxHZFNpYNeKFtG8_yji4HS352LGlSQ/edit?pli=1#gid=0"",""1_ACUM!A4:S""),14,FALSE))"),"")</f>
        <v/>
      </c>
      <c r="BA58" s="43" t="str">
        <f ca="1">IFERROR(__xludf.DUMMYFUNCTION("IFERROR(VLOOKUP(E72&amp;F72,IMPORTRANGE(""https://docs.google.com/spreadsheets/d/1Uw7-A9f9R21vMXxHZFNpYNeKFtG8_yji4HS352LGlSQ/edit?pli=1#gid=0"",""1_ACUM!A4:S""),15,FALSE))"),"")</f>
        <v/>
      </c>
      <c r="BB58" s="43" t="str">
        <f ca="1">IFERROR(__xludf.DUMMYFUNCTION("IFERROR(VLOOKUP(E72&amp;F72,IMPORTRANGE(""https://docs.google.com/spreadsheets/d/1Uw7-A9f9R21vMXxHZFNpYNeKFtG8_yji4HS352LGlSQ/edit?pli=1#gid=0"",""1_ACUM!A4:S""),16,FALSE))"),"")</f>
        <v/>
      </c>
      <c r="BC58" s="43" t="str">
        <f ca="1">IFERROR(__xludf.DUMMYFUNCTION("IFERROR(VLOOKUP(E72&amp;F72,IMPORTRANGE(""https://docs.google.com/spreadsheets/d/1Uw7-A9f9R21vMXxHZFNpYNeKFtG8_yji4HS352LGlSQ/edit?pli=1#gid=0"",""1_ACUM!A4:S""),17,FALSE))"),"")</f>
        <v/>
      </c>
      <c r="BD58" s="44" t="str">
        <f ca="1">IFERROR(__xludf.DUMMYFUNCTION("IFERROR(VLOOKUP(E72&amp;F72,IMPORTRANGE(""https://docs.google.com/spreadsheets/d/1Uw7-A9f9R21vMXxHZFNpYNeKFtG8_yji4HS352LGlSQ/edit?pli=1#gid=0"",""1_ACUM!A4:S""),18,FALSE))"),"")</f>
        <v/>
      </c>
      <c r="BE58" s="44" t="str">
        <f ca="1">IFERROR(__xludf.DUMMYFUNCTION("IFERROR(VLOOKUP(E72&amp;F72,IMPORTRANGE(""https://docs.google.com/spreadsheets/d/1Uw7-A9f9R21vMXxHZFNpYNeKFtG8_yji4HS352LGlSQ/edit?pli=1#gid=0"",""1_ACUM!A4:S""),19,FALSE))"),"")</f>
        <v/>
      </c>
      <c r="BF58" s="98" t="str">
        <f ca="1">IFERROR(__xludf.DUMMYFUNCTION("IFERROR(VLOOKUP(F72,IMPORTRANGE(""https://docs.google.com/spreadsheets/d/1Kvs4KS76FHFqLFIZfrDMff4kP08nblUkihrxltoGBjg/edit#gid=934712705"",""ESENCIAL!A6:BG""),5,FALSE))"),"")</f>
        <v/>
      </c>
      <c r="BG58" s="98" t="str">
        <f t="shared" si="1"/>
        <v/>
      </c>
      <c r="BH58" s="99" t="str">
        <f t="shared" si="2"/>
        <v/>
      </c>
      <c r="BI58" s="100" t="str">
        <f ca="1">IFERROR(__xludf.DUMMYFUNCTION("IFERROR(VLOOKUP(F72,IMPORTRANGE(""https://docs.google.com/spreadsheets/d/1Kvs4KS76FHFqLFIZfrDMff4kP08nblUkihrxltoGBjg/edit#gid=934712705"",""ESENCIAL!A6:BG""),2,FALSE))"),"")</f>
        <v/>
      </c>
      <c r="BJ58" s="19" t="str">
        <f t="shared" si="3"/>
        <v/>
      </c>
      <c r="BK58" s="100"/>
      <c r="BL58" s="100"/>
    </row>
    <row r="59" spans="1:64" ht="15">
      <c r="A59" s="101"/>
      <c r="B59" s="5"/>
      <c r="G59" s="5" t="str">
        <f ca="1">IFERROR(__xludf.DUMMYFUNCTION("IFERROR(VLOOKUP(F73,IMPORTRANGE(""https://docs.google.com/spreadsheets/d/1Kvs4KS76FHFqLFIZfrDMff4kP08nblUkihrxltoGBjg/edit#gid=934712705"",""ESENCIAL!A6:BG""),3,FALSE))"),"")</f>
        <v/>
      </c>
      <c r="H59" s="5" t="str">
        <f ca="1">IFERROR(__xludf.DUMMYFUNCTION("IFERROR(VLOOKUP(F73,IMPORTRANGE(""https://docs.google.com/spreadsheets/d/1Kvs4KS76FHFqLFIZfrDMff4kP08nblUkihrxltoGBjg/edit#gid=934712705"",""ESENCIAL!A6:BG""),8,FALSE))"),"")</f>
        <v/>
      </c>
      <c r="L59" s="287"/>
      <c r="U59" s="40"/>
      <c r="AU59" s="41" t="str">
        <f t="shared" si="0"/>
        <v/>
      </c>
      <c r="AV59" s="5" t="str">
        <f ca="1">IFERROR(__xludf.DUMMYFUNCTION("IFERROR(VLOOKUP(E73&amp;F73,IMPORTRANGE(""https://docs.google.com/spreadsheets/d/1Uw7-A9f9R21vMXxHZFNpYNeKFtG8_yji4HS352LGlSQ/edit?pli=1#gid=0"",""1_ACUM!A4:S""),11,FALSE))"),"")</f>
        <v/>
      </c>
      <c r="AW59" s="42" t="str">
        <f ca="1">IFERROR(__xludf.DUMMYFUNCTION("IFERROR(VLOOKUP(F73,IMPORTRANGE(""https://docs.google.com/spreadsheets/d/1Kvs4KS76FHFqLFIZfrDMff4kP08nblUkihrxltoGBjg/edit#gid=934712705"",""ESENCIAL!A6:BG""),15,FALSE))"),"")</f>
        <v/>
      </c>
      <c r="AX59" s="21" t="str">
        <f ca="1">IFERROR(__xludf.DUMMYFUNCTION("IFERROR(VLOOKUP(E73&amp;F73,IMPORTRANGE(""https://docs.google.com/spreadsheets/d/1Uw7-A9f9R21vMXxHZFNpYNeKFtG8_yji4HS352LGlSQ/edit?pli=1#gid=0"",""1_ACUM!A4:S""),12,FALSE))"),"")</f>
        <v/>
      </c>
      <c r="AY59" s="43" t="str">
        <f ca="1">IFERROR(__xludf.DUMMYFUNCTION("IFERROR(VLOOKUP(E73&amp;F73,IMPORTRANGE(""https://docs.google.com/spreadsheets/d/1Uw7-A9f9R21vMXxHZFNpYNeKFtG8_yji4HS352LGlSQ/edit?pli=1#gid=0"",""1_ACUM!A4:S""),13,FALSE))"),"")</f>
        <v/>
      </c>
      <c r="AZ59" s="43" t="str">
        <f ca="1">IFERROR(__xludf.DUMMYFUNCTION("IFERROR(VLOOKUP(E73&amp;F73,IMPORTRANGE(""https://docs.google.com/spreadsheets/d/1Uw7-A9f9R21vMXxHZFNpYNeKFtG8_yji4HS352LGlSQ/edit?pli=1#gid=0"",""1_ACUM!A4:S""),14,FALSE))"),"")</f>
        <v/>
      </c>
      <c r="BA59" s="43" t="str">
        <f ca="1">IFERROR(__xludf.DUMMYFUNCTION("IFERROR(VLOOKUP(E73&amp;F73,IMPORTRANGE(""https://docs.google.com/spreadsheets/d/1Uw7-A9f9R21vMXxHZFNpYNeKFtG8_yji4HS352LGlSQ/edit?pli=1#gid=0"",""1_ACUM!A4:S""),15,FALSE))"),"")</f>
        <v/>
      </c>
      <c r="BB59" s="43" t="str">
        <f ca="1">IFERROR(__xludf.DUMMYFUNCTION("IFERROR(VLOOKUP(E73&amp;F73,IMPORTRANGE(""https://docs.google.com/spreadsheets/d/1Uw7-A9f9R21vMXxHZFNpYNeKFtG8_yji4HS352LGlSQ/edit?pli=1#gid=0"",""1_ACUM!A4:S""),16,FALSE))"),"")</f>
        <v/>
      </c>
      <c r="BC59" s="43" t="str">
        <f ca="1">IFERROR(__xludf.DUMMYFUNCTION("IFERROR(VLOOKUP(E73&amp;F73,IMPORTRANGE(""https://docs.google.com/spreadsheets/d/1Uw7-A9f9R21vMXxHZFNpYNeKFtG8_yji4HS352LGlSQ/edit?pli=1#gid=0"",""1_ACUM!A4:S""),17,FALSE))"),"")</f>
        <v/>
      </c>
      <c r="BD59" s="44" t="str">
        <f ca="1">IFERROR(__xludf.DUMMYFUNCTION("IFERROR(VLOOKUP(E73&amp;F73,IMPORTRANGE(""https://docs.google.com/spreadsheets/d/1Uw7-A9f9R21vMXxHZFNpYNeKFtG8_yji4HS352LGlSQ/edit?pli=1#gid=0"",""1_ACUM!A4:S""),18,FALSE))"),"")</f>
        <v/>
      </c>
      <c r="BE59" s="44" t="str">
        <f ca="1">IFERROR(__xludf.DUMMYFUNCTION("IFERROR(VLOOKUP(E73&amp;F73,IMPORTRANGE(""https://docs.google.com/spreadsheets/d/1Uw7-A9f9R21vMXxHZFNpYNeKFtG8_yji4HS352LGlSQ/edit?pli=1#gid=0"",""1_ACUM!A4:S""),19,FALSE))"),"")</f>
        <v/>
      </c>
      <c r="BF59" s="98" t="str">
        <f ca="1">IFERROR(__xludf.DUMMYFUNCTION("IFERROR(VLOOKUP(F73,IMPORTRANGE(""https://docs.google.com/spreadsheets/d/1Kvs4KS76FHFqLFIZfrDMff4kP08nblUkihrxltoGBjg/edit#gid=934712705"",""ESENCIAL!A6:BG""),5,FALSE))"),"")</f>
        <v/>
      </c>
      <c r="BG59" s="98" t="str">
        <f t="shared" si="1"/>
        <v/>
      </c>
      <c r="BH59" s="99" t="str">
        <f t="shared" si="2"/>
        <v/>
      </c>
      <c r="BI59" s="100" t="str">
        <f ca="1">IFERROR(__xludf.DUMMYFUNCTION("IFERROR(VLOOKUP(F73,IMPORTRANGE(""https://docs.google.com/spreadsheets/d/1Kvs4KS76FHFqLFIZfrDMff4kP08nblUkihrxltoGBjg/edit#gid=934712705"",""ESENCIAL!A6:BG""),2,FALSE))"),"")</f>
        <v/>
      </c>
      <c r="BJ59" s="19" t="str">
        <f t="shared" si="3"/>
        <v/>
      </c>
      <c r="BK59" s="100"/>
      <c r="BL59" s="100"/>
    </row>
    <row r="60" spans="1:64" ht="15">
      <c r="A60" s="101"/>
      <c r="B60" s="101"/>
      <c r="G60" s="5" t="str">
        <f ca="1">IFERROR(__xludf.DUMMYFUNCTION("IFERROR(VLOOKUP(F74,IMPORTRANGE(""https://docs.google.com/spreadsheets/d/1Kvs4KS76FHFqLFIZfrDMff4kP08nblUkihrxltoGBjg/edit#gid=934712705"",""ESENCIAL!A6:BG""),3,FALSE))"),"")</f>
        <v/>
      </c>
      <c r="H60" s="5" t="str">
        <f ca="1">IFERROR(__xludf.DUMMYFUNCTION("IFERROR(VLOOKUP(F74,IMPORTRANGE(""https://docs.google.com/spreadsheets/d/1Kvs4KS76FHFqLFIZfrDMff4kP08nblUkihrxltoGBjg/edit#gid=934712705"",""ESENCIAL!A6:BG""),8,FALSE))"),"")</f>
        <v/>
      </c>
      <c r="L60" s="287"/>
      <c r="U60" s="40"/>
      <c r="AU60" s="41" t="str">
        <f t="shared" si="0"/>
        <v/>
      </c>
      <c r="AV60" s="5" t="str">
        <f ca="1">IFERROR(__xludf.DUMMYFUNCTION("IFERROR(VLOOKUP(E74&amp;F74,IMPORTRANGE(""https://docs.google.com/spreadsheets/d/1Uw7-A9f9R21vMXxHZFNpYNeKFtG8_yji4HS352LGlSQ/edit?pli=1#gid=0"",""1_ACUM!A4:S""),11,FALSE))"),"")</f>
        <v/>
      </c>
      <c r="AW60" s="42" t="str">
        <f ca="1">IFERROR(__xludf.DUMMYFUNCTION("IFERROR(VLOOKUP(F74,IMPORTRANGE(""https://docs.google.com/spreadsheets/d/1Kvs4KS76FHFqLFIZfrDMff4kP08nblUkihrxltoGBjg/edit#gid=934712705"",""ESENCIAL!A6:BG""),15,FALSE))"),"")</f>
        <v/>
      </c>
      <c r="AX60" s="21" t="str">
        <f ca="1">IFERROR(__xludf.DUMMYFUNCTION("IFERROR(VLOOKUP(E74&amp;F74,IMPORTRANGE(""https://docs.google.com/spreadsheets/d/1Uw7-A9f9R21vMXxHZFNpYNeKFtG8_yji4HS352LGlSQ/edit?pli=1#gid=0"",""1_ACUM!A4:S""),12,FALSE))"),"")</f>
        <v/>
      </c>
      <c r="AY60" s="43" t="str">
        <f ca="1">IFERROR(__xludf.DUMMYFUNCTION("IFERROR(VLOOKUP(E74&amp;F74,IMPORTRANGE(""https://docs.google.com/spreadsheets/d/1Uw7-A9f9R21vMXxHZFNpYNeKFtG8_yji4HS352LGlSQ/edit?pli=1#gid=0"",""1_ACUM!A4:S""),13,FALSE))"),"")</f>
        <v/>
      </c>
      <c r="AZ60" s="43" t="str">
        <f ca="1">IFERROR(__xludf.DUMMYFUNCTION("IFERROR(VLOOKUP(E74&amp;F74,IMPORTRANGE(""https://docs.google.com/spreadsheets/d/1Uw7-A9f9R21vMXxHZFNpYNeKFtG8_yji4HS352LGlSQ/edit?pli=1#gid=0"",""1_ACUM!A4:S""),14,FALSE))"),"")</f>
        <v/>
      </c>
      <c r="BA60" s="43" t="str">
        <f ca="1">IFERROR(__xludf.DUMMYFUNCTION("IFERROR(VLOOKUP(E74&amp;F74,IMPORTRANGE(""https://docs.google.com/spreadsheets/d/1Uw7-A9f9R21vMXxHZFNpYNeKFtG8_yji4HS352LGlSQ/edit?pli=1#gid=0"",""1_ACUM!A4:S""),15,FALSE))"),"")</f>
        <v/>
      </c>
      <c r="BB60" s="43" t="str">
        <f ca="1">IFERROR(__xludf.DUMMYFUNCTION("IFERROR(VLOOKUP(E74&amp;F74,IMPORTRANGE(""https://docs.google.com/spreadsheets/d/1Uw7-A9f9R21vMXxHZFNpYNeKFtG8_yji4HS352LGlSQ/edit?pli=1#gid=0"",""1_ACUM!A4:S""),16,FALSE))"),"")</f>
        <v/>
      </c>
      <c r="BC60" s="43" t="str">
        <f ca="1">IFERROR(__xludf.DUMMYFUNCTION("IFERROR(VLOOKUP(E74&amp;F74,IMPORTRANGE(""https://docs.google.com/spreadsheets/d/1Uw7-A9f9R21vMXxHZFNpYNeKFtG8_yji4HS352LGlSQ/edit?pli=1#gid=0"",""1_ACUM!A4:S""),17,FALSE))"),"")</f>
        <v/>
      </c>
      <c r="BD60" s="44" t="str">
        <f ca="1">IFERROR(__xludf.DUMMYFUNCTION("IFERROR(VLOOKUP(E74&amp;F74,IMPORTRANGE(""https://docs.google.com/spreadsheets/d/1Uw7-A9f9R21vMXxHZFNpYNeKFtG8_yji4HS352LGlSQ/edit?pli=1#gid=0"",""1_ACUM!A4:S""),18,FALSE))"),"")</f>
        <v/>
      </c>
      <c r="BE60" s="44" t="str">
        <f ca="1">IFERROR(__xludf.DUMMYFUNCTION("IFERROR(VLOOKUP(E74&amp;F74,IMPORTRANGE(""https://docs.google.com/spreadsheets/d/1Uw7-A9f9R21vMXxHZFNpYNeKFtG8_yji4HS352LGlSQ/edit?pli=1#gid=0"",""1_ACUM!A4:S""),19,FALSE))"),"")</f>
        <v/>
      </c>
      <c r="BF60" s="98" t="str">
        <f ca="1">IFERROR(__xludf.DUMMYFUNCTION("IFERROR(VLOOKUP(F74,IMPORTRANGE(""https://docs.google.com/spreadsheets/d/1Kvs4KS76FHFqLFIZfrDMff4kP08nblUkihrxltoGBjg/edit#gid=934712705"",""ESENCIAL!A6:BG""),5,FALSE))"),"")</f>
        <v/>
      </c>
      <c r="BG60" s="98" t="str">
        <f t="shared" si="1"/>
        <v/>
      </c>
      <c r="BH60" s="99" t="str">
        <f t="shared" si="2"/>
        <v/>
      </c>
      <c r="BI60" s="100" t="str">
        <f ca="1">IFERROR(__xludf.DUMMYFUNCTION("IFERROR(VLOOKUP(F74,IMPORTRANGE(""https://docs.google.com/spreadsheets/d/1Kvs4KS76FHFqLFIZfrDMff4kP08nblUkihrxltoGBjg/edit#gid=934712705"",""ESENCIAL!A6:BG""),2,FALSE))"),"")</f>
        <v/>
      </c>
      <c r="BJ60" s="19" t="str">
        <f t="shared" si="3"/>
        <v/>
      </c>
      <c r="BK60" s="100"/>
      <c r="BL60" s="100"/>
    </row>
    <row r="61" spans="1:64" ht="15">
      <c r="A61" s="101"/>
      <c r="B61" s="101"/>
      <c r="G61" s="5" t="str">
        <f ca="1">IFERROR(__xludf.DUMMYFUNCTION("IFERROR(VLOOKUP(F75,IMPORTRANGE(""https://docs.google.com/spreadsheets/d/1Kvs4KS76FHFqLFIZfrDMff4kP08nblUkihrxltoGBjg/edit#gid=934712705"",""ESENCIAL!A6:BG""),3,FALSE))"),"")</f>
        <v/>
      </c>
      <c r="H61" s="5" t="str">
        <f ca="1">IFERROR(__xludf.DUMMYFUNCTION("IFERROR(VLOOKUP(F75,IMPORTRANGE(""https://docs.google.com/spreadsheets/d/1Kvs4KS76FHFqLFIZfrDMff4kP08nblUkihrxltoGBjg/edit#gid=934712705"",""ESENCIAL!A6:BG""),8,FALSE))"),"")</f>
        <v/>
      </c>
      <c r="L61" s="287"/>
      <c r="U61" s="40"/>
      <c r="AU61" s="41" t="str">
        <f t="shared" si="0"/>
        <v/>
      </c>
      <c r="AV61" s="5" t="str">
        <f ca="1">IFERROR(__xludf.DUMMYFUNCTION("IFERROR(VLOOKUP(E75&amp;F75,IMPORTRANGE(""https://docs.google.com/spreadsheets/d/1Uw7-A9f9R21vMXxHZFNpYNeKFtG8_yji4HS352LGlSQ/edit?pli=1#gid=0"",""1_ACUM!A4:S""),11,FALSE))"),"")</f>
        <v/>
      </c>
      <c r="AW61" s="42" t="str">
        <f ca="1">IFERROR(__xludf.DUMMYFUNCTION("IFERROR(VLOOKUP(F75,IMPORTRANGE(""https://docs.google.com/spreadsheets/d/1Kvs4KS76FHFqLFIZfrDMff4kP08nblUkihrxltoGBjg/edit#gid=934712705"",""ESENCIAL!A6:BG""),15,FALSE))"),"")</f>
        <v/>
      </c>
      <c r="AX61" s="21" t="str">
        <f ca="1">IFERROR(__xludf.DUMMYFUNCTION("IFERROR(VLOOKUP(E75&amp;F75,IMPORTRANGE(""https://docs.google.com/spreadsheets/d/1Uw7-A9f9R21vMXxHZFNpYNeKFtG8_yji4HS352LGlSQ/edit?pli=1#gid=0"",""1_ACUM!A4:S""),12,FALSE))"),"")</f>
        <v/>
      </c>
      <c r="AY61" s="43" t="str">
        <f ca="1">IFERROR(__xludf.DUMMYFUNCTION("IFERROR(VLOOKUP(E75&amp;F75,IMPORTRANGE(""https://docs.google.com/spreadsheets/d/1Uw7-A9f9R21vMXxHZFNpYNeKFtG8_yji4HS352LGlSQ/edit?pli=1#gid=0"",""1_ACUM!A4:S""),13,FALSE))"),"")</f>
        <v/>
      </c>
      <c r="AZ61" s="43" t="str">
        <f ca="1">IFERROR(__xludf.DUMMYFUNCTION("IFERROR(VLOOKUP(E75&amp;F75,IMPORTRANGE(""https://docs.google.com/spreadsheets/d/1Uw7-A9f9R21vMXxHZFNpYNeKFtG8_yji4HS352LGlSQ/edit?pli=1#gid=0"",""1_ACUM!A4:S""),14,FALSE))"),"")</f>
        <v/>
      </c>
      <c r="BA61" s="43" t="str">
        <f ca="1">IFERROR(__xludf.DUMMYFUNCTION("IFERROR(VLOOKUP(E75&amp;F75,IMPORTRANGE(""https://docs.google.com/spreadsheets/d/1Uw7-A9f9R21vMXxHZFNpYNeKFtG8_yji4HS352LGlSQ/edit?pli=1#gid=0"",""1_ACUM!A4:S""),15,FALSE))"),"")</f>
        <v/>
      </c>
      <c r="BB61" s="43" t="str">
        <f ca="1">IFERROR(__xludf.DUMMYFUNCTION("IFERROR(VLOOKUP(E75&amp;F75,IMPORTRANGE(""https://docs.google.com/spreadsheets/d/1Uw7-A9f9R21vMXxHZFNpYNeKFtG8_yji4HS352LGlSQ/edit?pli=1#gid=0"",""1_ACUM!A4:S""),16,FALSE))"),"")</f>
        <v/>
      </c>
      <c r="BC61" s="43" t="str">
        <f ca="1">IFERROR(__xludf.DUMMYFUNCTION("IFERROR(VLOOKUP(E75&amp;F75,IMPORTRANGE(""https://docs.google.com/spreadsheets/d/1Uw7-A9f9R21vMXxHZFNpYNeKFtG8_yji4HS352LGlSQ/edit?pli=1#gid=0"",""1_ACUM!A4:S""),17,FALSE))"),"")</f>
        <v/>
      </c>
      <c r="BD61" s="44" t="str">
        <f ca="1">IFERROR(__xludf.DUMMYFUNCTION("IFERROR(VLOOKUP(E75&amp;F75,IMPORTRANGE(""https://docs.google.com/spreadsheets/d/1Uw7-A9f9R21vMXxHZFNpYNeKFtG8_yji4HS352LGlSQ/edit?pli=1#gid=0"",""1_ACUM!A4:S""),18,FALSE))"),"")</f>
        <v/>
      </c>
      <c r="BE61" s="44" t="str">
        <f ca="1">IFERROR(__xludf.DUMMYFUNCTION("IFERROR(VLOOKUP(E75&amp;F75,IMPORTRANGE(""https://docs.google.com/spreadsheets/d/1Uw7-A9f9R21vMXxHZFNpYNeKFtG8_yji4HS352LGlSQ/edit?pli=1#gid=0"",""1_ACUM!A4:S""),19,FALSE))"),"")</f>
        <v/>
      </c>
      <c r="BF61" s="98" t="str">
        <f ca="1">IFERROR(__xludf.DUMMYFUNCTION("IFERROR(VLOOKUP(F75,IMPORTRANGE(""https://docs.google.com/spreadsheets/d/1Kvs4KS76FHFqLFIZfrDMff4kP08nblUkihrxltoGBjg/edit#gid=934712705"",""ESENCIAL!A6:BG""),5,FALSE))"),"")</f>
        <v/>
      </c>
      <c r="BG61" s="98" t="str">
        <f t="shared" si="1"/>
        <v/>
      </c>
      <c r="BH61" s="99" t="str">
        <f t="shared" si="2"/>
        <v/>
      </c>
      <c r="BI61" s="100" t="str">
        <f ca="1">IFERROR(__xludf.DUMMYFUNCTION("IFERROR(VLOOKUP(F75,IMPORTRANGE(""https://docs.google.com/spreadsheets/d/1Kvs4KS76FHFqLFIZfrDMff4kP08nblUkihrxltoGBjg/edit#gid=934712705"",""ESENCIAL!A6:BG""),2,FALSE))"),"")</f>
        <v/>
      </c>
      <c r="BJ61" s="19" t="str">
        <f t="shared" si="3"/>
        <v/>
      </c>
      <c r="BK61" s="100"/>
      <c r="BL61" s="100"/>
    </row>
    <row r="62" spans="1:64" ht="15">
      <c r="A62" s="101"/>
      <c r="B62" s="101"/>
      <c r="G62" s="5" t="str">
        <f ca="1">IFERROR(__xludf.DUMMYFUNCTION("IFERROR(VLOOKUP(F76,IMPORTRANGE(""https://docs.google.com/spreadsheets/d/1Kvs4KS76FHFqLFIZfrDMff4kP08nblUkihrxltoGBjg/edit#gid=934712705"",""ESENCIAL!A6:BG""),3,FALSE))"),"")</f>
        <v/>
      </c>
      <c r="H62" s="5" t="str">
        <f ca="1">IFERROR(__xludf.DUMMYFUNCTION("IFERROR(VLOOKUP(F76,IMPORTRANGE(""https://docs.google.com/spreadsheets/d/1Kvs4KS76FHFqLFIZfrDMff4kP08nblUkihrxltoGBjg/edit#gid=934712705"",""ESENCIAL!A6:BG""),8,FALSE))"),"")</f>
        <v/>
      </c>
      <c r="L62" s="287"/>
      <c r="U62" s="40"/>
      <c r="AU62" s="41" t="str">
        <f t="shared" si="0"/>
        <v/>
      </c>
      <c r="AV62" s="5" t="str">
        <f ca="1">IFERROR(__xludf.DUMMYFUNCTION("IFERROR(VLOOKUP(E76&amp;F76,IMPORTRANGE(""https://docs.google.com/spreadsheets/d/1Uw7-A9f9R21vMXxHZFNpYNeKFtG8_yji4HS352LGlSQ/edit?pli=1#gid=0"",""1_ACUM!A4:S""),11,FALSE))"),"")</f>
        <v/>
      </c>
      <c r="AW62" s="42" t="str">
        <f ca="1">IFERROR(__xludf.DUMMYFUNCTION("IFERROR(VLOOKUP(F76,IMPORTRANGE(""https://docs.google.com/spreadsheets/d/1Kvs4KS76FHFqLFIZfrDMff4kP08nblUkihrxltoGBjg/edit#gid=934712705"",""ESENCIAL!A6:BG""),15,FALSE))"),"")</f>
        <v/>
      </c>
      <c r="AX62" s="21" t="str">
        <f ca="1">IFERROR(__xludf.DUMMYFUNCTION("IFERROR(VLOOKUP(E76&amp;F76,IMPORTRANGE(""https://docs.google.com/spreadsheets/d/1Uw7-A9f9R21vMXxHZFNpYNeKFtG8_yji4HS352LGlSQ/edit?pli=1#gid=0"",""1_ACUM!A4:S""),12,FALSE))"),"")</f>
        <v/>
      </c>
      <c r="AY62" s="43" t="str">
        <f ca="1">IFERROR(__xludf.DUMMYFUNCTION("IFERROR(VLOOKUP(E76&amp;F76,IMPORTRANGE(""https://docs.google.com/spreadsheets/d/1Uw7-A9f9R21vMXxHZFNpYNeKFtG8_yji4HS352LGlSQ/edit?pli=1#gid=0"",""1_ACUM!A4:S""),13,FALSE))"),"")</f>
        <v/>
      </c>
      <c r="AZ62" s="43" t="str">
        <f ca="1">IFERROR(__xludf.DUMMYFUNCTION("IFERROR(VLOOKUP(E76&amp;F76,IMPORTRANGE(""https://docs.google.com/spreadsheets/d/1Uw7-A9f9R21vMXxHZFNpYNeKFtG8_yji4HS352LGlSQ/edit?pli=1#gid=0"",""1_ACUM!A4:S""),14,FALSE))"),"")</f>
        <v/>
      </c>
      <c r="BA62" s="43" t="str">
        <f ca="1">IFERROR(__xludf.DUMMYFUNCTION("IFERROR(VLOOKUP(E76&amp;F76,IMPORTRANGE(""https://docs.google.com/spreadsheets/d/1Uw7-A9f9R21vMXxHZFNpYNeKFtG8_yji4HS352LGlSQ/edit?pli=1#gid=0"",""1_ACUM!A4:S""),15,FALSE))"),"")</f>
        <v/>
      </c>
      <c r="BB62" s="43" t="str">
        <f ca="1">IFERROR(__xludf.DUMMYFUNCTION("IFERROR(VLOOKUP(E76&amp;F76,IMPORTRANGE(""https://docs.google.com/spreadsheets/d/1Uw7-A9f9R21vMXxHZFNpYNeKFtG8_yji4HS352LGlSQ/edit?pli=1#gid=0"",""1_ACUM!A4:S""),16,FALSE))"),"")</f>
        <v/>
      </c>
      <c r="BC62" s="43" t="str">
        <f ca="1">IFERROR(__xludf.DUMMYFUNCTION("IFERROR(VLOOKUP(E76&amp;F76,IMPORTRANGE(""https://docs.google.com/spreadsheets/d/1Uw7-A9f9R21vMXxHZFNpYNeKFtG8_yji4HS352LGlSQ/edit?pli=1#gid=0"",""1_ACUM!A4:S""),17,FALSE))"),"")</f>
        <v/>
      </c>
      <c r="BD62" s="44" t="str">
        <f ca="1">IFERROR(__xludf.DUMMYFUNCTION("IFERROR(VLOOKUP(E76&amp;F76,IMPORTRANGE(""https://docs.google.com/spreadsheets/d/1Uw7-A9f9R21vMXxHZFNpYNeKFtG8_yji4HS352LGlSQ/edit?pli=1#gid=0"",""1_ACUM!A4:S""),18,FALSE))"),"")</f>
        <v/>
      </c>
      <c r="BE62" s="44" t="str">
        <f ca="1">IFERROR(__xludf.DUMMYFUNCTION("IFERROR(VLOOKUP(E76&amp;F76,IMPORTRANGE(""https://docs.google.com/spreadsheets/d/1Uw7-A9f9R21vMXxHZFNpYNeKFtG8_yji4HS352LGlSQ/edit?pli=1#gid=0"",""1_ACUM!A4:S""),19,FALSE))"),"")</f>
        <v/>
      </c>
      <c r="BF62" s="98" t="str">
        <f ca="1">IFERROR(__xludf.DUMMYFUNCTION("IFERROR(VLOOKUP(F76,IMPORTRANGE(""https://docs.google.com/spreadsheets/d/1Kvs4KS76FHFqLFIZfrDMff4kP08nblUkihrxltoGBjg/edit#gid=934712705"",""ESENCIAL!A6:BG""),5,FALSE))"),"")</f>
        <v/>
      </c>
      <c r="BG62" s="98" t="str">
        <f t="shared" si="1"/>
        <v/>
      </c>
      <c r="BH62" s="99" t="str">
        <f t="shared" si="2"/>
        <v/>
      </c>
      <c r="BI62" s="100" t="str">
        <f ca="1">IFERROR(__xludf.DUMMYFUNCTION("IFERROR(VLOOKUP(F76,IMPORTRANGE(""https://docs.google.com/spreadsheets/d/1Kvs4KS76FHFqLFIZfrDMff4kP08nblUkihrxltoGBjg/edit#gid=934712705"",""ESENCIAL!A6:BG""),2,FALSE))"),"")</f>
        <v/>
      </c>
      <c r="BJ62" s="19" t="str">
        <f t="shared" si="3"/>
        <v/>
      </c>
      <c r="BK62" s="100"/>
      <c r="BL62" s="100"/>
    </row>
    <row r="63" spans="1:64" ht="15">
      <c r="A63" s="101"/>
      <c r="B63" s="101"/>
      <c r="G63" s="5" t="str">
        <f ca="1">IFERROR(__xludf.DUMMYFUNCTION("IFERROR(VLOOKUP(F77,IMPORTRANGE(""https://docs.google.com/spreadsheets/d/1Kvs4KS76FHFqLFIZfrDMff4kP08nblUkihrxltoGBjg/edit#gid=934712705"",""ESENCIAL!A6:BG""),3,FALSE))"),"")</f>
        <v/>
      </c>
      <c r="H63" s="5" t="str">
        <f ca="1">IFERROR(__xludf.DUMMYFUNCTION("IFERROR(VLOOKUP(F77,IMPORTRANGE(""https://docs.google.com/spreadsheets/d/1Kvs4KS76FHFqLFIZfrDMff4kP08nblUkihrxltoGBjg/edit#gid=934712705"",""ESENCIAL!A6:BG""),8,FALSE))"),"")</f>
        <v/>
      </c>
      <c r="L63" s="287"/>
      <c r="U63" s="40"/>
      <c r="AU63" s="41" t="str">
        <f t="shared" si="0"/>
        <v/>
      </c>
      <c r="AV63" s="5" t="str">
        <f ca="1">IFERROR(__xludf.DUMMYFUNCTION("IFERROR(VLOOKUP(E77&amp;F77,IMPORTRANGE(""https://docs.google.com/spreadsheets/d/1Uw7-A9f9R21vMXxHZFNpYNeKFtG8_yji4HS352LGlSQ/edit?pli=1#gid=0"",""1_ACUM!A4:S""),11,FALSE))"),"")</f>
        <v/>
      </c>
      <c r="AW63" s="42" t="str">
        <f ca="1">IFERROR(__xludf.DUMMYFUNCTION("IFERROR(VLOOKUP(F77,IMPORTRANGE(""https://docs.google.com/spreadsheets/d/1Kvs4KS76FHFqLFIZfrDMff4kP08nblUkihrxltoGBjg/edit#gid=934712705"",""ESENCIAL!A6:BG""),15,FALSE))"),"")</f>
        <v/>
      </c>
      <c r="AX63" s="21" t="str">
        <f ca="1">IFERROR(__xludf.DUMMYFUNCTION("IFERROR(VLOOKUP(E77&amp;F77,IMPORTRANGE(""https://docs.google.com/spreadsheets/d/1Uw7-A9f9R21vMXxHZFNpYNeKFtG8_yji4HS352LGlSQ/edit?pli=1#gid=0"",""1_ACUM!A4:S""),12,FALSE))"),"")</f>
        <v/>
      </c>
      <c r="AY63" s="43" t="str">
        <f ca="1">IFERROR(__xludf.DUMMYFUNCTION("IFERROR(VLOOKUP(E77&amp;F77,IMPORTRANGE(""https://docs.google.com/spreadsheets/d/1Uw7-A9f9R21vMXxHZFNpYNeKFtG8_yji4HS352LGlSQ/edit?pli=1#gid=0"",""1_ACUM!A4:S""),13,FALSE))"),"")</f>
        <v/>
      </c>
      <c r="AZ63" s="43" t="str">
        <f ca="1">IFERROR(__xludf.DUMMYFUNCTION("IFERROR(VLOOKUP(E77&amp;F77,IMPORTRANGE(""https://docs.google.com/spreadsheets/d/1Uw7-A9f9R21vMXxHZFNpYNeKFtG8_yji4HS352LGlSQ/edit?pli=1#gid=0"",""1_ACUM!A4:S""),14,FALSE))"),"")</f>
        <v/>
      </c>
      <c r="BA63" s="43" t="str">
        <f ca="1">IFERROR(__xludf.DUMMYFUNCTION("IFERROR(VLOOKUP(E77&amp;F77,IMPORTRANGE(""https://docs.google.com/spreadsheets/d/1Uw7-A9f9R21vMXxHZFNpYNeKFtG8_yji4HS352LGlSQ/edit?pli=1#gid=0"",""1_ACUM!A4:S""),15,FALSE))"),"")</f>
        <v/>
      </c>
      <c r="BB63" s="43" t="str">
        <f ca="1">IFERROR(__xludf.DUMMYFUNCTION("IFERROR(VLOOKUP(E77&amp;F77,IMPORTRANGE(""https://docs.google.com/spreadsheets/d/1Uw7-A9f9R21vMXxHZFNpYNeKFtG8_yji4HS352LGlSQ/edit?pli=1#gid=0"",""1_ACUM!A4:S""),16,FALSE))"),"")</f>
        <v/>
      </c>
      <c r="BC63" s="43" t="str">
        <f ca="1">IFERROR(__xludf.DUMMYFUNCTION("IFERROR(VLOOKUP(E77&amp;F77,IMPORTRANGE(""https://docs.google.com/spreadsheets/d/1Uw7-A9f9R21vMXxHZFNpYNeKFtG8_yji4HS352LGlSQ/edit?pli=1#gid=0"",""1_ACUM!A4:S""),17,FALSE))"),"")</f>
        <v/>
      </c>
      <c r="BD63" s="44" t="str">
        <f ca="1">IFERROR(__xludf.DUMMYFUNCTION("IFERROR(VLOOKUP(E77&amp;F77,IMPORTRANGE(""https://docs.google.com/spreadsheets/d/1Uw7-A9f9R21vMXxHZFNpYNeKFtG8_yji4HS352LGlSQ/edit?pli=1#gid=0"",""1_ACUM!A4:S""),18,FALSE))"),"")</f>
        <v/>
      </c>
      <c r="BE63" s="44" t="str">
        <f ca="1">IFERROR(__xludf.DUMMYFUNCTION("IFERROR(VLOOKUP(E77&amp;F77,IMPORTRANGE(""https://docs.google.com/spreadsheets/d/1Uw7-A9f9R21vMXxHZFNpYNeKFtG8_yji4HS352LGlSQ/edit?pli=1#gid=0"",""1_ACUM!A4:S""),19,FALSE))"),"")</f>
        <v/>
      </c>
      <c r="BF63" s="98" t="str">
        <f ca="1">IFERROR(__xludf.DUMMYFUNCTION("IFERROR(VLOOKUP(F77,IMPORTRANGE(""https://docs.google.com/spreadsheets/d/1Kvs4KS76FHFqLFIZfrDMff4kP08nblUkihrxltoGBjg/edit#gid=934712705"",""ESENCIAL!A6:BG""),5,FALSE))"),"")</f>
        <v/>
      </c>
      <c r="BG63" s="98" t="str">
        <f t="shared" si="1"/>
        <v/>
      </c>
      <c r="BH63" s="99" t="str">
        <f t="shared" si="2"/>
        <v/>
      </c>
      <c r="BI63" s="100" t="str">
        <f ca="1">IFERROR(__xludf.DUMMYFUNCTION("IFERROR(VLOOKUP(F77,IMPORTRANGE(""https://docs.google.com/spreadsheets/d/1Kvs4KS76FHFqLFIZfrDMff4kP08nblUkihrxltoGBjg/edit#gid=934712705"",""ESENCIAL!A6:BG""),2,FALSE))"),"")</f>
        <v/>
      </c>
      <c r="BJ63" s="19" t="str">
        <f t="shared" si="3"/>
        <v/>
      </c>
      <c r="BK63" s="100"/>
      <c r="BL63" s="100"/>
    </row>
    <row r="64" spans="1:64" ht="15">
      <c r="A64" s="101"/>
      <c r="B64" s="101"/>
      <c r="G64" s="5" t="str">
        <f ca="1">IFERROR(__xludf.DUMMYFUNCTION("IFERROR(VLOOKUP(F78,IMPORTRANGE(""https://docs.google.com/spreadsheets/d/1Kvs4KS76FHFqLFIZfrDMff4kP08nblUkihrxltoGBjg/edit#gid=934712705"",""ESENCIAL!A6:BG""),3,FALSE))"),"")</f>
        <v/>
      </c>
      <c r="H64" s="5" t="str">
        <f ca="1">IFERROR(__xludf.DUMMYFUNCTION("IFERROR(VLOOKUP(F78,IMPORTRANGE(""https://docs.google.com/spreadsheets/d/1Kvs4KS76FHFqLFIZfrDMff4kP08nblUkihrxltoGBjg/edit#gid=934712705"",""ESENCIAL!A6:BG""),8,FALSE))"),"")</f>
        <v/>
      </c>
      <c r="L64" s="287"/>
      <c r="U64" s="40"/>
      <c r="AU64" s="41" t="str">
        <f t="shared" si="0"/>
        <v/>
      </c>
      <c r="AV64" s="5" t="str">
        <f ca="1">IFERROR(__xludf.DUMMYFUNCTION("IFERROR(VLOOKUP(E78&amp;F78,IMPORTRANGE(""https://docs.google.com/spreadsheets/d/1Uw7-A9f9R21vMXxHZFNpYNeKFtG8_yji4HS352LGlSQ/edit?pli=1#gid=0"",""1_ACUM!A4:S""),11,FALSE))"),"")</f>
        <v/>
      </c>
      <c r="AW64" s="42" t="str">
        <f ca="1">IFERROR(__xludf.DUMMYFUNCTION("IFERROR(VLOOKUP(F78,IMPORTRANGE(""https://docs.google.com/spreadsheets/d/1Kvs4KS76FHFqLFIZfrDMff4kP08nblUkihrxltoGBjg/edit#gid=934712705"",""ESENCIAL!A6:BG""),15,FALSE))"),"")</f>
        <v/>
      </c>
      <c r="AX64" s="21" t="str">
        <f ca="1">IFERROR(__xludf.DUMMYFUNCTION("IFERROR(VLOOKUP(E78&amp;F78,IMPORTRANGE(""https://docs.google.com/spreadsheets/d/1Uw7-A9f9R21vMXxHZFNpYNeKFtG8_yji4HS352LGlSQ/edit?pli=1#gid=0"",""1_ACUM!A4:S""),12,FALSE))"),"")</f>
        <v/>
      </c>
      <c r="AY64" s="43" t="str">
        <f ca="1">IFERROR(__xludf.DUMMYFUNCTION("IFERROR(VLOOKUP(E78&amp;F78,IMPORTRANGE(""https://docs.google.com/spreadsheets/d/1Uw7-A9f9R21vMXxHZFNpYNeKFtG8_yji4HS352LGlSQ/edit?pli=1#gid=0"",""1_ACUM!A4:S""),13,FALSE))"),"")</f>
        <v/>
      </c>
      <c r="AZ64" s="43" t="str">
        <f ca="1">IFERROR(__xludf.DUMMYFUNCTION("IFERROR(VLOOKUP(E78&amp;F78,IMPORTRANGE(""https://docs.google.com/spreadsheets/d/1Uw7-A9f9R21vMXxHZFNpYNeKFtG8_yji4HS352LGlSQ/edit?pli=1#gid=0"",""1_ACUM!A4:S""),14,FALSE))"),"")</f>
        <v/>
      </c>
      <c r="BA64" s="43" t="str">
        <f ca="1">IFERROR(__xludf.DUMMYFUNCTION("IFERROR(VLOOKUP(E78&amp;F78,IMPORTRANGE(""https://docs.google.com/spreadsheets/d/1Uw7-A9f9R21vMXxHZFNpYNeKFtG8_yji4HS352LGlSQ/edit?pli=1#gid=0"",""1_ACUM!A4:S""),15,FALSE))"),"")</f>
        <v/>
      </c>
      <c r="BB64" s="43" t="str">
        <f ca="1">IFERROR(__xludf.DUMMYFUNCTION("IFERROR(VLOOKUP(E78&amp;F78,IMPORTRANGE(""https://docs.google.com/spreadsheets/d/1Uw7-A9f9R21vMXxHZFNpYNeKFtG8_yji4HS352LGlSQ/edit?pli=1#gid=0"",""1_ACUM!A4:S""),16,FALSE))"),"")</f>
        <v/>
      </c>
      <c r="BC64" s="43" t="str">
        <f ca="1">IFERROR(__xludf.DUMMYFUNCTION("IFERROR(VLOOKUP(E78&amp;F78,IMPORTRANGE(""https://docs.google.com/spreadsheets/d/1Uw7-A9f9R21vMXxHZFNpYNeKFtG8_yji4HS352LGlSQ/edit?pli=1#gid=0"",""1_ACUM!A4:S""),17,FALSE))"),"")</f>
        <v/>
      </c>
      <c r="BD64" s="44" t="str">
        <f ca="1">IFERROR(__xludf.DUMMYFUNCTION("IFERROR(VLOOKUP(E78&amp;F78,IMPORTRANGE(""https://docs.google.com/spreadsheets/d/1Uw7-A9f9R21vMXxHZFNpYNeKFtG8_yji4HS352LGlSQ/edit?pli=1#gid=0"",""1_ACUM!A4:S""),18,FALSE))"),"")</f>
        <v/>
      </c>
      <c r="BE64" s="44" t="str">
        <f ca="1">IFERROR(__xludf.DUMMYFUNCTION("IFERROR(VLOOKUP(E78&amp;F78,IMPORTRANGE(""https://docs.google.com/spreadsheets/d/1Uw7-A9f9R21vMXxHZFNpYNeKFtG8_yji4HS352LGlSQ/edit?pli=1#gid=0"",""1_ACUM!A4:S""),19,FALSE))"),"")</f>
        <v/>
      </c>
      <c r="BF64" s="98" t="str">
        <f ca="1">IFERROR(__xludf.DUMMYFUNCTION("IFERROR(VLOOKUP(F78,IMPORTRANGE(""https://docs.google.com/spreadsheets/d/1Kvs4KS76FHFqLFIZfrDMff4kP08nblUkihrxltoGBjg/edit#gid=934712705"",""ESENCIAL!A6:BG""),5,FALSE))"),"")</f>
        <v/>
      </c>
      <c r="BG64" s="98" t="str">
        <f t="shared" si="1"/>
        <v/>
      </c>
      <c r="BH64" s="99" t="str">
        <f t="shared" si="2"/>
        <v/>
      </c>
      <c r="BI64" s="100" t="str">
        <f ca="1">IFERROR(__xludf.DUMMYFUNCTION("IFERROR(VLOOKUP(F78,IMPORTRANGE(""https://docs.google.com/spreadsheets/d/1Kvs4KS76FHFqLFIZfrDMff4kP08nblUkihrxltoGBjg/edit#gid=934712705"",""ESENCIAL!A6:BG""),2,FALSE))"),"")</f>
        <v/>
      </c>
      <c r="BJ64" s="19" t="str">
        <f t="shared" si="3"/>
        <v/>
      </c>
      <c r="BK64" s="100"/>
      <c r="BL64" s="100"/>
    </row>
    <row r="65" spans="1:64" ht="15">
      <c r="A65" s="101"/>
      <c r="B65" s="101"/>
      <c r="G65" s="5" t="str">
        <f ca="1">IFERROR(__xludf.DUMMYFUNCTION("IFERROR(VLOOKUP(F79,IMPORTRANGE(""https://docs.google.com/spreadsheets/d/1Kvs4KS76FHFqLFIZfrDMff4kP08nblUkihrxltoGBjg/edit#gid=934712705"",""ESENCIAL!A6:BG""),3,FALSE))"),"")</f>
        <v/>
      </c>
      <c r="H65" s="5" t="str">
        <f ca="1">IFERROR(__xludf.DUMMYFUNCTION("IFERROR(VLOOKUP(F79,IMPORTRANGE(""https://docs.google.com/spreadsheets/d/1Kvs4KS76FHFqLFIZfrDMff4kP08nblUkihrxltoGBjg/edit#gid=934712705"",""ESENCIAL!A6:BG""),8,FALSE))"),"")</f>
        <v/>
      </c>
      <c r="L65" s="287"/>
      <c r="U65" s="40"/>
      <c r="AU65" s="41" t="str">
        <f t="shared" si="0"/>
        <v/>
      </c>
      <c r="AV65" s="5" t="str">
        <f ca="1">IFERROR(__xludf.DUMMYFUNCTION("IFERROR(VLOOKUP(E79&amp;F79,IMPORTRANGE(""https://docs.google.com/spreadsheets/d/1Uw7-A9f9R21vMXxHZFNpYNeKFtG8_yji4HS352LGlSQ/edit?pli=1#gid=0"",""1_ACUM!A4:S""),11,FALSE))"),"")</f>
        <v/>
      </c>
      <c r="AW65" s="42" t="str">
        <f ca="1">IFERROR(__xludf.DUMMYFUNCTION("IFERROR(VLOOKUP(F79,IMPORTRANGE(""https://docs.google.com/spreadsheets/d/1Kvs4KS76FHFqLFIZfrDMff4kP08nblUkihrxltoGBjg/edit#gid=934712705"",""ESENCIAL!A6:BG""),15,FALSE))"),"")</f>
        <v/>
      </c>
      <c r="AX65" s="21" t="str">
        <f ca="1">IFERROR(__xludf.DUMMYFUNCTION("IFERROR(VLOOKUP(E79&amp;F79,IMPORTRANGE(""https://docs.google.com/spreadsheets/d/1Uw7-A9f9R21vMXxHZFNpYNeKFtG8_yji4HS352LGlSQ/edit?pli=1#gid=0"",""1_ACUM!A4:S""),12,FALSE))"),"")</f>
        <v/>
      </c>
      <c r="AY65" s="43" t="str">
        <f ca="1">IFERROR(__xludf.DUMMYFUNCTION("IFERROR(VLOOKUP(E79&amp;F79,IMPORTRANGE(""https://docs.google.com/spreadsheets/d/1Uw7-A9f9R21vMXxHZFNpYNeKFtG8_yji4HS352LGlSQ/edit?pli=1#gid=0"",""1_ACUM!A4:S""),13,FALSE))"),"")</f>
        <v/>
      </c>
      <c r="AZ65" s="43" t="str">
        <f ca="1">IFERROR(__xludf.DUMMYFUNCTION("IFERROR(VLOOKUP(E79&amp;F79,IMPORTRANGE(""https://docs.google.com/spreadsheets/d/1Uw7-A9f9R21vMXxHZFNpYNeKFtG8_yji4HS352LGlSQ/edit?pli=1#gid=0"",""1_ACUM!A4:S""),14,FALSE))"),"")</f>
        <v/>
      </c>
      <c r="BA65" s="43" t="str">
        <f ca="1">IFERROR(__xludf.DUMMYFUNCTION("IFERROR(VLOOKUP(E79&amp;F79,IMPORTRANGE(""https://docs.google.com/spreadsheets/d/1Uw7-A9f9R21vMXxHZFNpYNeKFtG8_yji4HS352LGlSQ/edit?pli=1#gid=0"",""1_ACUM!A4:S""),15,FALSE))"),"")</f>
        <v/>
      </c>
      <c r="BB65" s="43" t="str">
        <f ca="1">IFERROR(__xludf.DUMMYFUNCTION("IFERROR(VLOOKUP(E79&amp;F79,IMPORTRANGE(""https://docs.google.com/spreadsheets/d/1Uw7-A9f9R21vMXxHZFNpYNeKFtG8_yji4HS352LGlSQ/edit?pli=1#gid=0"",""1_ACUM!A4:S""),16,FALSE))"),"")</f>
        <v/>
      </c>
      <c r="BC65" s="43" t="str">
        <f ca="1">IFERROR(__xludf.DUMMYFUNCTION("IFERROR(VLOOKUP(E79&amp;F79,IMPORTRANGE(""https://docs.google.com/spreadsheets/d/1Uw7-A9f9R21vMXxHZFNpYNeKFtG8_yji4HS352LGlSQ/edit?pli=1#gid=0"",""1_ACUM!A4:S""),17,FALSE))"),"")</f>
        <v/>
      </c>
      <c r="BD65" s="44" t="str">
        <f ca="1">IFERROR(__xludf.DUMMYFUNCTION("IFERROR(VLOOKUP(E79&amp;F79,IMPORTRANGE(""https://docs.google.com/spreadsheets/d/1Uw7-A9f9R21vMXxHZFNpYNeKFtG8_yji4HS352LGlSQ/edit?pli=1#gid=0"",""1_ACUM!A4:S""),18,FALSE))"),"")</f>
        <v/>
      </c>
      <c r="BE65" s="44" t="str">
        <f ca="1">IFERROR(__xludf.DUMMYFUNCTION("IFERROR(VLOOKUP(E79&amp;F79,IMPORTRANGE(""https://docs.google.com/spreadsheets/d/1Uw7-A9f9R21vMXxHZFNpYNeKFtG8_yji4HS352LGlSQ/edit?pli=1#gid=0"",""1_ACUM!A4:S""),19,FALSE))"),"")</f>
        <v/>
      </c>
      <c r="BF65" s="98" t="str">
        <f ca="1">IFERROR(__xludf.DUMMYFUNCTION("IFERROR(VLOOKUP(F79,IMPORTRANGE(""https://docs.google.com/spreadsheets/d/1Kvs4KS76FHFqLFIZfrDMff4kP08nblUkihrxltoGBjg/edit#gid=934712705"",""ESENCIAL!A6:BG""),5,FALSE))"),"")</f>
        <v/>
      </c>
      <c r="BG65" s="98" t="str">
        <f t="shared" si="1"/>
        <v/>
      </c>
      <c r="BH65" s="99" t="str">
        <f t="shared" si="2"/>
        <v/>
      </c>
      <c r="BI65" s="100" t="str">
        <f ca="1">IFERROR(__xludf.DUMMYFUNCTION("IFERROR(VLOOKUP(F79,IMPORTRANGE(""https://docs.google.com/spreadsheets/d/1Kvs4KS76FHFqLFIZfrDMff4kP08nblUkihrxltoGBjg/edit#gid=934712705"",""ESENCIAL!A6:BG""),2,FALSE))"),"")</f>
        <v/>
      </c>
      <c r="BJ65" s="19" t="str">
        <f t="shared" si="3"/>
        <v/>
      </c>
      <c r="BK65" s="100"/>
      <c r="BL65" s="100"/>
    </row>
    <row r="66" spans="1:64" ht="15">
      <c r="A66" s="101"/>
      <c r="B66" s="101"/>
      <c r="G66" s="5" t="str">
        <f ca="1">IFERROR(__xludf.DUMMYFUNCTION("IFERROR(VLOOKUP(F80,IMPORTRANGE(""https://docs.google.com/spreadsheets/d/1Kvs4KS76FHFqLFIZfrDMff4kP08nblUkihrxltoGBjg/edit#gid=934712705"",""ESENCIAL!A6:BG""),3,FALSE))"),"")</f>
        <v/>
      </c>
      <c r="H66" s="5" t="str">
        <f ca="1">IFERROR(__xludf.DUMMYFUNCTION("IFERROR(VLOOKUP(F80,IMPORTRANGE(""https://docs.google.com/spreadsheets/d/1Kvs4KS76FHFqLFIZfrDMff4kP08nblUkihrxltoGBjg/edit#gid=934712705"",""ESENCIAL!A6:BG""),8,FALSE))"),"")</f>
        <v/>
      </c>
      <c r="L66" s="287"/>
      <c r="U66" s="40"/>
      <c r="AU66" s="41" t="str">
        <f t="shared" si="0"/>
        <v/>
      </c>
      <c r="AV66" s="5" t="str">
        <f ca="1">IFERROR(__xludf.DUMMYFUNCTION("IFERROR(VLOOKUP(E80&amp;F80,IMPORTRANGE(""https://docs.google.com/spreadsheets/d/1Uw7-A9f9R21vMXxHZFNpYNeKFtG8_yji4HS352LGlSQ/edit?pli=1#gid=0"",""1_ACUM!A4:S""),11,FALSE))"),"")</f>
        <v/>
      </c>
      <c r="AW66" s="42" t="str">
        <f ca="1">IFERROR(__xludf.DUMMYFUNCTION("IFERROR(VLOOKUP(F80,IMPORTRANGE(""https://docs.google.com/spreadsheets/d/1Kvs4KS76FHFqLFIZfrDMff4kP08nblUkihrxltoGBjg/edit#gid=934712705"",""ESENCIAL!A6:BG""),15,FALSE))"),"")</f>
        <v/>
      </c>
      <c r="AX66" s="21" t="str">
        <f ca="1">IFERROR(__xludf.DUMMYFUNCTION("IFERROR(VLOOKUP(E80&amp;F80,IMPORTRANGE(""https://docs.google.com/spreadsheets/d/1Uw7-A9f9R21vMXxHZFNpYNeKFtG8_yji4HS352LGlSQ/edit?pli=1#gid=0"",""1_ACUM!A4:S""),12,FALSE))"),"")</f>
        <v/>
      </c>
      <c r="AY66" s="43" t="str">
        <f ca="1">IFERROR(__xludf.DUMMYFUNCTION("IFERROR(VLOOKUP(E80&amp;F80,IMPORTRANGE(""https://docs.google.com/spreadsheets/d/1Uw7-A9f9R21vMXxHZFNpYNeKFtG8_yji4HS352LGlSQ/edit?pli=1#gid=0"",""1_ACUM!A4:S""),13,FALSE))"),"")</f>
        <v/>
      </c>
      <c r="AZ66" s="43" t="str">
        <f ca="1">IFERROR(__xludf.DUMMYFUNCTION("IFERROR(VLOOKUP(E80&amp;F80,IMPORTRANGE(""https://docs.google.com/spreadsheets/d/1Uw7-A9f9R21vMXxHZFNpYNeKFtG8_yji4HS352LGlSQ/edit?pli=1#gid=0"",""1_ACUM!A4:S""),14,FALSE))"),"")</f>
        <v/>
      </c>
      <c r="BA66" s="43" t="str">
        <f ca="1">IFERROR(__xludf.DUMMYFUNCTION("IFERROR(VLOOKUP(E80&amp;F80,IMPORTRANGE(""https://docs.google.com/spreadsheets/d/1Uw7-A9f9R21vMXxHZFNpYNeKFtG8_yji4HS352LGlSQ/edit?pli=1#gid=0"",""1_ACUM!A4:S""),15,FALSE))"),"")</f>
        <v/>
      </c>
      <c r="BB66" s="43" t="str">
        <f ca="1">IFERROR(__xludf.DUMMYFUNCTION("IFERROR(VLOOKUP(E80&amp;F80,IMPORTRANGE(""https://docs.google.com/spreadsheets/d/1Uw7-A9f9R21vMXxHZFNpYNeKFtG8_yji4HS352LGlSQ/edit?pli=1#gid=0"",""1_ACUM!A4:S""),16,FALSE))"),"")</f>
        <v/>
      </c>
      <c r="BC66" s="43" t="str">
        <f ca="1">IFERROR(__xludf.DUMMYFUNCTION("IFERROR(VLOOKUP(E80&amp;F80,IMPORTRANGE(""https://docs.google.com/spreadsheets/d/1Uw7-A9f9R21vMXxHZFNpYNeKFtG8_yji4HS352LGlSQ/edit?pli=1#gid=0"",""1_ACUM!A4:S""),17,FALSE))"),"")</f>
        <v/>
      </c>
      <c r="BD66" s="44" t="str">
        <f ca="1">IFERROR(__xludf.DUMMYFUNCTION("IFERROR(VLOOKUP(E80&amp;F80,IMPORTRANGE(""https://docs.google.com/spreadsheets/d/1Uw7-A9f9R21vMXxHZFNpYNeKFtG8_yji4HS352LGlSQ/edit?pli=1#gid=0"",""1_ACUM!A4:S""),18,FALSE))"),"")</f>
        <v/>
      </c>
      <c r="BE66" s="44" t="str">
        <f ca="1">IFERROR(__xludf.DUMMYFUNCTION("IFERROR(VLOOKUP(E80&amp;F80,IMPORTRANGE(""https://docs.google.com/spreadsheets/d/1Uw7-A9f9R21vMXxHZFNpYNeKFtG8_yji4HS352LGlSQ/edit?pli=1#gid=0"",""1_ACUM!A4:S""),19,FALSE))"),"")</f>
        <v/>
      </c>
      <c r="BF66" s="98" t="str">
        <f ca="1">IFERROR(__xludf.DUMMYFUNCTION("IFERROR(VLOOKUP(F80,IMPORTRANGE(""https://docs.google.com/spreadsheets/d/1Kvs4KS76FHFqLFIZfrDMff4kP08nblUkihrxltoGBjg/edit#gid=934712705"",""ESENCIAL!A6:BG""),5,FALSE))"),"")</f>
        <v/>
      </c>
      <c r="BG66" s="98" t="str">
        <f t="shared" si="1"/>
        <v/>
      </c>
      <c r="BH66" s="99" t="str">
        <f t="shared" si="2"/>
        <v/>
      </c>
      <c r="BI66" s="100" t="str">
        <f ca="1">IFERROR(__xludf.DUMMYFUNCTION("IFERROR(VLOOKUP(F80,IMPORTRANGE(""https://docs.google.com/spreadsheets/d/1Kvs4KS76FHFqLFIZfrDMff4kP08nblUkihrxltoGBjg/edit#gid=934712705"",""ESENCIAL!A6:BG""),2,FALSE))"),"")</f>
        <v/>
      </c>
      <c r="BJ66" s="19" t="str">
        <f t="shared" si="3"/>
        <v/>
      </c>
      <c r="BK66" s="100"/>
      <c r="BL66" s="100"/>
    </row>
    <row r="67" spans="1:64" ht="15">
      <c r="A67" s="101"/>
      <c r="B67" s="101"/>
      <c r="G67" s="5" t="str">
        <f ca="1">IFERROR(__xludf.DUMMYFUNCTION("IFERROR(VLOOKUP(F81,IMPORTRANGE(""https://docs.google.com/spreadsheets/d/1Kvs4KS76FHFqLFIZfrDMff4kP08nblUkihrxltoGBjg/edit#gid=934712705"",""ESENCIAL!A6:BG""),3,FALSE))"),"")</f>
        <v/>
      </c>
      <c r="H67" s="5" t="str">
        <f ca="1">IFERROR(__xludf.DUMMYFUNCTION("IFERROR(VLOOKUP(F81,IMPORTRANGE(""https://docs.google.com/spreadsheets/d/1Kvs4KS76FHFqLFIZfrDMff4kP08nblUkihrxltoGBjg/edit#gid=934712705"",""ESENCIAL!A6:BG""),8,FALSE))"),"")</f>
        <v/>
      </c>
      <c r="L67" s="287"/>
      <c r="U67" s="40"/>
      <c r="AU67" s="41" t="str">
        <f t="shared" si="0"/>
        <v/>
      </c>
      <c r="AV67" s="5" t="str">
        <f ca="1">IFERROR(__xludf.DUMMYFUNCTION("IFERROR(VLOOKUP(E81&amp;F81,IMPORTRANGE(""https://docs.google.com/spreadsheets/d/1Uw7-A9f9R21vMXxHZFNpYNeKFtG8_yji4HS352LGlSQ/edit?pli=1#gid=0"",""1_ACUM!A4:S""),11,FALSE))"),"")</f>
        <v/>
      </c>
      <c r="AW67" s="42" t="str">
        <f ca="1">IFERROR(__xludf.DUMMYFUNCTION("IFERROR(VLOOKUP(F81,IMPORTRANGE(""https://docs.google.com/spreadsheets/d/1Kvs4KS76FHFqLFIZfrDMff4kP08nblUkihrxltoGBjg/edit#gid=934712705"",""ESENCIAL!A6:BG""),15,FALSE))"),"")</f>
        <v/>
      </c>
      <c r="AX67" s="21" t="str">
        <f ca="1">IFERROR(__xludf.DUMMYFUNCTION("IFERROR(VLOOKUP(E81&amp;F81,IMPORTRANGE(""https://docs.google.com/spreadsheets/d/1Uw7-A9f9R21vMXxHZFNpYNeKFtG8_yji4HS352LGlSQ/edit?pli=1#gid=0"",""1_ACUM!A4:S""),12,FALSE))"),"")</f>
        <v/>
      </c>
      <c r="AY67" s="43" t="str">
        <f ca="1">IFERROR(__xludf.DUMMYFUNCTION("IFERROR(VLOOKUP(E81&amp;F81,IMPORTRANGE(""https://docs.google.com/spreadsheets/d/1Uw7-A9f9R21vMXxHZFNpYNeKFtG8_yji4HS352LGlSQ/edit?pli=1#gid=0"",""1_ACUM!A4:S""),13,FALSE))"),"")</f>
        <v/>
      </c>
      <c r="AZ67" s="43" t="str">
        <f ca="1">IFERROR(__xludf.DUMMYFUNCTION("IFERROR(VLOOKUP(E81&amp;F81,IMPORTRANGE(""https://docs.google.com/spreadsheets/d/1Uw7-A9f9R21vMXxHZFNpYNeKFtG8_yji4HS352LGlSQ/edit?pli=1#gid=0"",""1_ACUM!A4:S""),14,FALSE))"),"")</f>
        <v/>
      </c>
      <c r="BA67" s="43" t="str">
        <f ca="1">IFERROR(__xludf.DUMMYFUNCTION("IFERROR(VLOOKUP(E81&amp;F81,IMPORTRANGE(""https://docs.google.com/spreadsheets/d/1Uw7-A9f9R21vMXxHZFNpYNeKFtG8_yji4HS352LGlSQ/edit?pli=1#gid=0"",""1_ACUM!A4:S""),15,FALSE))"),"")</f>
        <v/>
      </c>
      <c r="BB67" s="43" t="str">
        <f ca="1">IFERROR(__xludf.DUMMYFUNCTION("IFERROR(VLOOKUP(E81&amp;F81,IMPORTRANGE(""https://docs.google.com/spreadsheets/d/1Uw7-A9f9R21vMXxHZFNpYNeKFtG8_yji4HS352LGlSQ/edit?pli=1#gid=0"",""1_ACUM!A4:S""),16,FALSE))"),"")</f>
        <v/>
      </c>
      <c r="BC67" s="43" t="str">
        <f ca="1">IFERROR(__xludf.DUMMYFUNCTION("IFERROR(VLOOKUP(E81&amp;F81,IMPORTRANGE(""https://docs.google.com/spreadsheets/d/1Uw7-A9f9R21vMXxHZFNpYNeKFtG8_yji4HS352LGlSQ/edit?pli=1#gid=0"",""1_ACUM!A4:S""),17,FALSE))"),"")</f>
        <v/>
      </c>
      <c r="BD67" s="44" t="str">
        <f ca="1">IFERROR(__xludf.DUMMYFUNCTION("IFERROR(VLOOKUP(E81&amp;F81,IMPORTRANGE(""https://docs.google.com/spreadsheets/d/1Uw7-A9f9R21vMXxHZFNpYNeKFtG8_yji4HS352LGlSQ/edit?pli=1#gid=0"",""1_ACUM!A4:S""),18,FALSE))"),"")</f>
        <v/>
      </c>
      <c r="BE67" s="44" t="str">
        <f ca="1">IFERROR(__xludf.DUMMYFUNCTION("IFERROR(VLOOKUP(E81&amp;F81,IMPORTRANGE(""https://docs.google.com/spreadsheets/d/1Uw7-A9f9R21vMXxHZFNpYNeKFtG8_yji4HS352LGlSQ/edit?pli=1#gid=0"",""1_ACUM!A4:S""),19,FALSE))"),"")</f>
        <v/>
      </c>
      <c r="BF67" s="98" t="str">
        <f ca="1">IFERROR(__xludf.DUMMYFUNCTION("IFERROR(VLOOKUP(F81,IMPORTRANGE(""https://docs.google.com/spreadsheets/d/1Kvs4KS76FHFqLFIZfrDMff4kP08nblUkihrxltoGBjg/edit#gid=934712705"",""ESENCIAL!A6:BG""),5,FALSE))"),"")</f>
        <v/>
      </c>
      <c r="BG67" s="98" t="str">
        <f t="shared" si="1"/>
        <v/>
      </c>
      <c r="BH67" s="99" t="str">
        <f t="shared" si="2"/>
        <v/>
      </c>
      <c r="BI67" s="100" t="str">
        <f ca="1">IFERROR(__xludf.DUMMYFUNCTION("IFERROR(VLOOKUP(F81,IMPORTRANGE(""https://docs.google.com/spreadsheets/d/1Kvs4KS76FHFqLFIZfrDMff4kP08nblUkihrxltoGBjg/edit#gid=934712705"",""ESENCIAL!A6:BG""),2,FALSE))"),"")</f>
        <v/>
      </c>
      <c r="BJ67" s="19" t="str">
        <f t="shared" si="3"/>
        <v/>
      </c>
      <c r="BK67" s="100"/>
      <c r="BL67" s="100"/>
    </row>
    <row r="68" spans="1:64" ht="15">
      <c r="A68" s="101"/>
      <c r="B68" s="101"/>
      <c r="G68" s="5" t="str">
        <f ca="1">IFERROR(__xludf.DUMMYFUNCTION("IFERROR(VLOOKUP(F82,IMPORTRANGE(""https://docs.google.com/spreadsheets/d/1Kvs4KS76FHFqLFIZfrDMff4kP08nblUkihrxltoGBjg/edit#gid=934712705"",""ESENCIAL!A6:BG""),3,FALSE))"),"")</f>
        <v/>
      </c>
      <c r="H68" s="5" t="str">
        <f ca="1">IFERROR(__xludf.DUMMYFUNCTION("IFERROR(VLOOKUP(F82,IMPORTRANGE(""https://docs.google.com/spreadsheets/d/1Kvs4KS76FHFqLFIZfrDMff4kP08nblUkihrxltoGBjg/edit#gid=934712705"",""ESENCIAL!A6:BG""),8,FALSE))"),"")</f>
        <v/>
      </c>
      <c r="L68" s="287"/>
      <c r="U68" s="40"/>
      <c r="AU68" s="41" t="str">
        <f t="shared" ref="AU68:AU131" si="4">IF(E68&gt;0,IF(AND(BC68=1,AZ68=1),"Procede_E_P","NO_CUMPLE"),"")</f>
        <v/>
      </c>
      <c r="AV68" s="5" t="str">
        <f ca="1">IFERROR(__xludf.DUMMYFUNCTION("IFERROR(VLOOKUP(E82&amp;F82,IMPORTRANGE(""https://docs.google.com/spreadsheets/d/1Uw7-A9f9R21vMXxHZFNpYNeKFtG8_yji4HS352LGlSQ/edit?pli=1#gid=0"",""1_ACUM!A4:S""),11,FALSE))"),"")</f>
        <v/>
      </c>
      <c r="AW68" s="42" t="str">
        <f ca="1">IFERROR(__xludf.DUMMYFUNCTION("IFERROR(VLOOKUP(F82,IMPORTRANGE(""https://docs.google.com/spreadsheets/d/1Kvs4KS76FHFqLFIZfrDMff4kP08nblUkihrxltoGBjg/edit#gid=934712705"",""ESENCIAL!A6:BG""),15,FALSE))"),"")</f>
        <v/>
      </c>
      <c r="AX68" s="21" t="str">
        <f ca="1">IFERROR(__xludf.DUMMYFUNCTION("IFERROR(VLOOKUP(E82&amp;F82,IMPORTRANGE(""https://docs.google.com/spreadsheets/d/1Uw7-A9f9R21vMXxHZFNpYNeKFtG8_yji4HS352LGlSQ/edit?pli=1#gid=0"",""1_ACUM!A4:S""),12,FALSE))"),"")</f>
        <v/>
      </c>
      <c r="AY68" s="43" t="str">
        <f ca="1">IFERROR(__xludf.DUMMYFUNCTION("IFERROR(VLOOKUP(E82&amp;F82,IMPORTRANGE(""https://docs.google.com/spreadsheets/d/1Uw7-A9f9R21vMXxHZFNpYNeKFtG8_yji4HS352LGlSQ/edit?pli=1#gid=0"",""1_ACUM!A4:S""),13,FALSE))"),"")</f>
        <v/>
      </c>
      <c r="AZ68" s="43" t="str">
        <f ca="1">IFERROR(__xludf.DUMMYFUNCTION("IFERROR(VLOOKUP(E82&amp;F82,IMPORTRANGE(""https://docs.google.com/spreadsheets/d/1Uw7-A9f9R21vMXxHZFNpYNeKFtG8_yji4HS352LGlSQ/edit?pli=1#gid=0"",""1_ACUM!A4:S""),14,FALSE))"),"")</f>
        <v/>
      </c>
      <c r="BA68" s="43" t="str">
        <f ca="1">IFERROR(__xludf.DUMMYFUNCTION("IFERROR(VLOOKUP(E82&amp;F82,IMPORTRANGE(""https://docs.google.com/spreadsheets/d/1Uw7-A9f9R21vMXxHZFNpYNeKFtG8_yji4HS352LGlSQ/edit?pli=1#gid=0"",""1_ACUM!A4:S""),15,FALSE))"),"")</f>
        <v/>
      </c>
      <c r="BB68" s="43" t="str">
        <f ca="1">IFERROR(__xludf.DUMMYFUNCTION("IFERROR(VLOOKUP(E82&amp;F82,IMPORTRANGE(""https://docs.google.com/spreadsheets/d/1Uw7-A9f9R21vMXxHZFNpYNeKFtG8_yji4HS352LGlSQ/edit?pli=1#gid=0"",""1_ACUM!A4:S""),16,FALSE))"),"")</f>
        <v/>
      </c>
      <c r="BC68" s="43" t="str">
        <f ca="1">IFERROR(__xludf.DUMMYFUNCTION("IFERROR(VLOOKUP(E82&amp;F82,IMPORTRANGE(""https://docs.google.com/spreadsheets/d/1Uw7-A9f9R21vMXxHZFNpYNeKFtG8_yji4HS352LGlSQ/edit?pli=1#gid=0"",""1_ACUM!A4:S""),17,FALSE))"),"")</f>
        <v/>
      </c>
      <c r="BD68" s="44" t="str">
        <f ca="1">IFERROR(__xludf.DUMMYFUNCTION("IFERROR(VLOOKUP(E82&amp;F82,IMPORTRANGE(""https://docs.google.com/spreadsheets/d/1Uw7-A9f9R21vMXxHZFNpYNeKFtG8_yji4HS352LGlSQ/edit?pli=1#gid=0"",""1_ACUM!A4:S""),18,FALSE))"),"")</f>
        <v/>
      </c>
      <c r="BE68" s="44" t="str">
        <f ca="1">IFERROR(__xludf.DUMMYFUNCTION("IFERROR(VLOOKUP(E82&amp;F82,IMPORTRANGE(""https://docs.google.com/spreadsheets/d/1Uw7-A9f9R21vMXxHZFNpYNeKFtG8_yji4HS352LGlSQ/edit?pli=1#gid=0"",""1_ACUM!A4:S""),19,FALSE))"),"")</f>
        <v/>
      </c>
      <c r="BF68" s="98" t="str">
        <f ca="1">IFERROR(__xludf.DUMMYFUNCTION("IFERROR(VLOOKUP(F82,IMPORTRANGE(""https://docs.google.com/spreadsheets/d/1Kvs4KS76FHFqLFIZfrDMff4kP08nblUkihrxltoGBjg/edit#gid=934712705"",""ESENCIAL!A6:BG""),5,FALSE))"),"")</f>
        <v/>
      </c>
      <c r="BG68" s="98" t="str">
        <f t="shared" ref="BG68:BG131" si="5">IF(F68&gt;0,EDATE(BF68,18),"")</f>
        <v/>
      </c>
      <c r="BH68" s="99" t="str">
        <f t="shared" ref="BH68:BH131" si="6">IF(F68&gt;0,IF(BG68&lt;$BH$1,"FINALIZAR FICHA","FICHA EN TIEMPO-18 MESES"),"")</f>
        <v/>
      </c>
      <c r="BI68" s="100" t="str">
        <f ca="1">IFERROR(__xludf.DUMMYFUNCTION("IFERROR(VLOOKUP(F82,IMPORTRANGE(""https://docs.google.com/spreadsheets/d/1Kvs4KS76FHFqLFIZfrDMff4kP08nblUkihrxltoGBjg/edit#gid=934712705"",""ESENCIAL!A6:BG""),2,FALSE))"),"")</f>
        <v/>
      </c>
      <c r="BJ68" s="19" t="str">
        <f t="shared" ref="BJ68:BJ131" si="7">IF(F68&gt;0,"Yamboro","")</f>
        <v/>
      </c>
      <c r="BK68" s="100"/>
      <c r="BL68" s="100"/>
    </row>
    <row r="69" spans="1:64" ht="15">
      <c r="A69" s="101"/>
      <c r="B69" s="101"/>
      <c r="G69" s="5" t="str">
        <f ca="1">IFERROR(__xludf.DUMMYFUNCTION("IFERROR(VLOOKUP(F83,IMPORTRANGE(""https://docs.google.com/spreadsheets/d/1Kvs4KS76FHFqLFIZfrDMff4kP08nblUkihrxltoGBjg/edit#gid=934712705"",""ESENCIAL!A6:BG""),3,FALSE))"),"")</f>
        <v/>
      </c>
      <c r="H69" s="5" t="str">
        <f ca="1">IFERROR(__xludf.DUMMYFUNCTION("IFERROR(VLOOKUP(F83,IMPORTRANGE(""https://docs.google.com/spreadsheets/d/1Kvs4KS76FHFqLFIZfrDMff4kP08nblUkihrxltoGBjg/edit#gid=934712705"",""ESENCIAL!A6:BG""),8,FALSE))"),"")</f>
        <v/>
      </c>
      <c r="L69" s="287"/>
      <c r="U69" s="40"/>
      <c r="AU69" s="41" t="str">
        <f t="shared" si="4"/>
        <v/>
      </c>
      <c r="AV69" s="5" t="str">
        <f ca="1">IFERROR(__xludf.DUMMYFUNCTION("IFERROR(VLOOKUP(E83&amp;F83,IMPORTRANGE(""https://docs.google.com/spreadsheets/d/1Uw7-A9f9R21vMXxHZFNpYNeKFtG8_yji4HS352LGlSQ/edit?pli=1#gid=0"",""1_ACUM!A4:S""),11,FALSE))"),"")</f>
        <v/>
      </c>
      <c r="AW69" s="42" t="str">
        <f ca="1">IFERROR(__xludf.DUMMYFUNCTION("IFERROR(VLOOKUP(F83,IMPORTRANGE(""https://docs.google.com/spreadsheets/d/1Kvs4KS76FHFqLFIZfrDMff4kP08nblUkihrxltoGBjg/edit#gid=934712705"",""ESENCIAL!A6:BG""),15,FALSE))"),"")</f>
        <v/>
      </c>
      <c r="AX69" s="21" t="str">
        <f ca="1">IFERROR(__xludf.DUMMYFUNCTION("IFERROR(VLOOKUP(E83&amp;F83,IMPORTRANGE(""https://docs.google.com/spreadsheets/d/1Uw7-A9f9R21vMXxHZFNpYNeKFtG8_yji4HS352LGlSQ/edit?pli=1#gid=0"",""1_ACUM!A4:S""),12,FALSE))"),"")</f>
        <v/>
      </c>
      <c r="AY69" s="43" t="str">
        <f ca="1">IFERROR(__xludf.DUMMYFUNCTION("IFERROR(VLOOKUP(E83&amp;F83,IMPORTRANGE(""https://docs.google.com/spreadsheets/d/1Uw7-A9f9R21vMXxHZFNpYNeKFtG8_yji4HS352LGlSQ/edit?pli=1#gid=0"",""1_ACUM!A4:S""),13,FALSE))"),"")</f>
        <v/>
      </c>
      <c r="AZ69" s="43" t="str">
        <f ca="1">IFERROR(__xludf.DUMMYFUNCTION("IFERROR(VLOOKUP(E83&amp;F83,IMPORTRANGE(""https://docs.google.com/spreadsheets/d/1Uw7-A9f9R21vMXxHZFNpYNeKFtG8_yji4HS352LGlSQ/edit?pli=1#gid=0"",""1_ACUM!A4:S""),14,FALSE))"),"")</f>
        <v/>
      </c>
      <c r="BA69" s="43" t="str">
        <f ca="1">IFERROR(__xludf.DUMMYFUNCTION("IFERROR(VLOOKUP(E83&amp;F83,IMPORTRANGE(""https://docs.google.com/spreadsheets/d/1Uw7-A9f9R21vMXxHZFNpYNeKFtG8_yji4HS352LGlSQ/edit?pli=1#gid=0"",""1_ACUM!A4:S""),15,FALSE))"),"")</f>
        <v/>
      </c>
      <c r="BB69" s="43" t="str">
        <f ca="1">IFERROR(__xludf.DUMMYFUNCTION("IFERROR(VLOOKUP(E83&amp;F83,IMPORTRANGE(""https://docs.google.com/spreadsheets/d/1Uw7-A9f9R21vMXxHZFNpYNeKFtG8_yji4HS352LGlSQ/edit?pli=1#gid=0"",""1_ACUM!A4:S""),16,FALSE))"),"")</f>
        <v/>
      </c>
      <c r="BC69" s="43" t="str">
        <f ca="1">IFERROR(__xludf.DUMMYFUNCTION("IFERROR(VLOOKUP(E83&amp;F83,IMPORTRANGE(""https://docs.google.com/spreadsheets/d/1Uw7-A9f9R21vMXxHZFNpYNeKFtG8_yji4HS352LGlSQ/edit?pli=1#gid=0"",""1_ACUM!A4:S""),17,FALSE))"),"")</f>
        <v/>
      </c>
      <c r="BD69" s="44" t="str">
        <f ca="1">IFERROR(__xludf.DUMMYFUNCTION("IFERROR(VLOOKUP(E83&amp;F83,IMPORTRANGE(""https://docs.google.com/spreadsheets/d/1Uw7-A9f9R21vMXxHZFNpYNeKFtG8_yji4HS352LGlSQ/edit?pli=1#gid=0"",""1_ACUM!A4:S""),18,FALSE))"),"")</f>
        <v/>
      </c>
      <c r="BE69" s="44" t="str">
        <f ca="1">IFERROR(__xludf.DUMMYFUNCTION("IFERROR(VLOOKUP(E83&amp;F83,IMPORTRANGE(""https://docs.google.com/spreadsheets/d/1Uw7-A9f9R21vMXxHZFNpYNeKFtG8_yji4HS352LGlSQ/edit?pli=1#gid=0"",""1_ACUM!A4:S""),19,FALSE))"),"")</f>
        <v/>
      </c>
      <c r="BF69" s="98" t="str">
        <f ca="1">IFERROR(__xludf.DUMMYFUNCTION("IFERROR(VLOOKUP(F83,IMPORTRANGE(""https://docs.google.com/spreadsheets/d/1Kvs4KS76FHFqLFIZfrDMff4kP08nblUkihrxltoGBjg/edit#gid=934712705"",""ESENCIAL!A6:BG""),5,FALSE))"),"")</f>
        <v/>
      </c>
      <c r="BG69" s="98" t="str">
        <f t="shared" si="5"/>
        <v/>
      </c>
      <c r="BH69" s="99" t="str">
        <f t="shared" si="6"/>
        <v/>
      </c>
      <c r="BI69" s="100" t="str">
        <f ca="1">IFERROR(__xludf.DUMMYFUNCTION("IFERROR(VLOOKUP(F83,IMPORTRANGE(""https://docs.google.com/spreadsheets/d/1Kvs4KS76FHFqLFIZfrDMff4kP08nblUkihrxltoGBjg/edit#gid=934712705"",""ESENCIAL!A6:BG""),2,FALSE))"),"")</f>
        <v/>
      </c>
      <c r="BJ69" s="19" t="str">
        <f t="shared" si="7"/>
        <v/>
      </c>
      <c r="BK69" s="100"/>
      <c r="BL69" s="100"/>
    </row>
    <row r="70" spans="1:64" ht="15">
      <c r="A70" s="101"/>
      <c r="B70" s="101"/>
      <c r="G70" s="5" t="str">
        <f ca="1">IFERROR(__xludf.DUMMYFUNCTION("IFERROR(VLOOKUP(F84,IMPORTRANGE(""https://docs.google.com/spreadsheets/d/1Kvs4KS76FHFqLFIZfrDMff4kP08nblUkihrxltoGBjg/edit#gid=934712705"",""ESENCIAL!A6:BG""),3,FALSE))"),"")</f>
        <v/>
      </c>
      <c r="H70" s="5" t="str">
        <f ca="1">IFERROR(__xludf.DUMMYFUNCTION("IFERROR(VLOOKUP(F84,IMPORTRANGE(""https://docs.google.com/spreadsheets/d/1Kvs4KS76FHFqLFIZfrDMff4kP08nblUkihrxltoGBjg/edit#gid=934712705"",""ESENCIAL!A6:BG""),8,FALSE))"),"")</f>
        <v/>
      </c>
      <c r="L70" s="287"/>
      <c r="U70" s="40"/>
      <c r="AU70" s="41" t="str">
        <f t="shared" si="4"/>
        <v/>
      </c>
      <c r="AV70" s="5" t="str">
        <f ca="1">IFERROR(__xludf.DUMMYFUNCTION("IFERROR(VLOOKUP(E84&amp;F84,IMPORTRANGE(""https://docs.google.com/spreadsheets/d/1Uw7-A9f9R21vMXxHZFNpYNeKFtG8_yji4HS352LGlSQ/edit?pli=1#gid=0"",""1_ACUM!A4:S""),11,FALSE))"),"")</f>
        <v/>
      </c>
      <c r="AW70" s="42" t="str">
        <f ca="1">IFERROR(__xludf.DUMMYFUNCTION("IFERROR(VLOOKUP(F84,IMPORTRANGE(""https://docs.google.com/spreadsheets/d/1Kvs4KS76FHFqLFIZfrDMff4kP08nblUkihrxltoGBjg/edit#gid=934712705"",""ESENCIAL!A6:BG""),15,FALSE))"),"")</f>
        <v/>
      </c>
      <c r="AX70" s="21" t="str">
        <f ca="1">IFERROR(__xludf.DUMMYFUNCTION("IFERROR(VLOOKUP(E84&amp;F84,IMPORTRANGE(""https://docs.google.com/spreadsheets/d/1Uw7-A9f9R21vMXxHZFNpYNeKFtG8_yji4HS352LGlSQ/edit?pli=1#gid=0"",""1_ACUM!A4:S""),12,FALSE))"),"")</f>
        <v/>
      </c>
      <c r="AY70" s="43" t="str">
        <f ca="1">IFERROR(__xludf.DUMMYFUNCTION("IFERROR(VLOOKUP(E84&amp;F84,IMPORTRANGE(""https://docs.google.com/spreadsheets/d/1Uw7-A9f9R21vMXxHZFNpYNeKFtG8_yji4HS352LGlSQ/edit?pli=1#gid=0"",""1_ACUM!A4:S""),13,FALSE))"),"")</f>
        <v/>
      </c>
      <c r="AZ70" s="43" t="str">
        <f ca="1">IFERROR(__xludf.DUMMYFUNCTION("IFERROR(VLOOKUP(E84&amp;F84,IMPORTRANGE(""https://docs.google.com/spreadsheets/d/1Uw7-A9f9R21vMXxHZFNpYNeKFtG8_yji4HS352LGlSQ/edit?pli=1#gid=0"",""1_ACUM!A4:S""),14,FALSE))"),"")</f>
        <v/>
      </c>
      <c r="BA70" s="43" t="str">
        <f ca="1">IFERROR(__xludf.DUMMYFUNCTION("IFERROR(VLOOKUP(E84&amp;F84,IMPORTRANGE(""https://docs.google.com/spreadsheets/d/1Uw7-A9f9R21vMXxHZFNpYNeKFtG8_yji4HS352LGlSQ/edit?pli=1#gid=0"",""1_ACUM!A4:S""),15,FALSE))"),"")</f>
        <v/>
      </c>
      <c r="BB70" s="43" t="str">
        <f ca="1">IFERROR(__xludf.DUMMYFUNCTION("IFERROR(VLOOKUP(E84&amp;F84,IMPORTRANGE(""https://docs.google.com/spreadsheets/d/1Uw7-A9f9R21vMXxHZFNpYNeKFtG8_yji4HS352LGlSQ/edit?pli=1#gid=0"",""1_ACUM!A4:S""),16,FALSE))"),"")</f>
        <v/>
      </c>
      <c r="BC70" s="43" t="str">
        <f ca="1">IFERROR(__xludf.DUMMYFUNCTION("IFERROR(VLOOKUP(E84&amp;F84,IMPORTRANGE(""https://docs.google.com/spreadsheets/d/1Uw7-A9f9R21vMXxHZFNpYNeKFtG8_yji4HS352LGlSQ/edit?pli=1#gid=0"",""1_ACUM!A4:S""),17,FALSE))"),"")</f>
        <v/>
      </c>
      <c r="BD70" s="44" t="str">
        <f ca="1">IFERROR(__xludf.DUMMYFUNCTION("IFERROR(VLOOKUP(E84&amp;F84,IMPORTRANGE(""https://docs.google.com/spreadsheets/d/1Uw7-A9f9R21vMXxHZFNpYNeKFtG8_yji4HS352LGlSQ/edit?pli=1#gid=0"",""1_ACUM!A4:S""),18,FALSE))"),"")</f>
        <v/>
      </c>
      <c r="BE70" s="44" t="str">
        <f ca="1">IFERROR(__xludf.DUMMYFUNCTION("IFERROR(VLOOKUP(E84&amp;F84,IMPORTRANGE(""https://docs.google.com/spreadsheets/d/1Uw7-A9f9R21vMXxHZFNpYNeKFtG8_yji4HS352LGlSQ/edit?pli=1#gid=0"",""1_ACUM!A4:S""),19,FALSE))"),"")</f>
        <v/>
      </c>
      <c r="BF70" s="98" t="str">
        <f ca="1">IFERROR(__xludf.DUMMYFUNCTION("IFERROR(VLOOKUP(F84,IMPORTRANGE(""https://docs.google.com/spreadsheets/d/1Kvs4KS76FHFqLFIZfrDMff4kP08nblUkihrxltoGBjg/edit#gid=934712705"",""ESENCIAL!A6:BG""),5,FALSE))"),"")</f>
        <v/>
      </c>
      <c r="BG70" s="98" t="str">
        <f t="shared" si="5"/>
        <v/>
      </c>
      <c r="BH70" s="99" t="str">
        <f t="shared" si="6"/>
        <v/>
      </c>
      <c r="BI70" s="100" t="str">
        <f ca="1">IFERROR(__xludf.DUMMYFUNCTION("IFERROR(VLOOKUP(F84,IMPORTRANGE(""https://docs.google.com/spreadsheets/d/1Kvs4KS76FHFqLFIZfrDMff4kP08nblUkihrxltoGBjg/edit#gid=934712705"",""ESENCIAL!A6:BG""),2,FALSE))"),"")</f>
        <v/>
      </c>
      <c r="BJ70" s="19" t="str">
        <f t="shared" si="7"/>
        <v/>
      </c>
      <c r="BK70" s="100"/>
      <c r="BL70" s="100"/>
    </row>
    <row r="71" spans="1:64" ht="15">
      <c r="A71" s="101"/>
      <c r="B71" s="101"/>
      <c r="G71" s="5" t="str">
        <f ca="1">IFERROR(__xludf.DUMMYFUNCTION("IFERROR(VLOOKUP(F85,IMPORTRANGE(""https://docs.google.com/spreadsheets/d/1Kvs4KS76FHFqLFIZfrDMff4kP08nblUkihrxltoGBjg/edit#gid=934712705"",""ESENCIAL!A6:BG""),3,FALSE))"),"")</f>
        <v/>
      </c>
      <c r="H71" s="5" t="str">
        <f ca="1">IFERROR(__xludf.DUMMYFUNCTION("IFERROR(VLOOKUP(F85,IMPORTRANGE(""https://docs.google.com/spreadsheets/d/1Kvs4KS76FHFqLFIZfrDMff4kP08nblUkihrxltoGBjg/edit#gid=934712705"",""ESENCIAL!A6:BG""),8,FALSE))"),"")</f>
        <v/>
      </c>
      <c r="L71" s="287"/>
      <c r="U71" s="40"/>
      <c r="AU71" s="41" t="str">
        <f t="shared" si="4"/>
        <v/>
      </c>
      <c r="AV71" s="5" t="str">
        <f ca="1">IFERROR(__xludf.DUMMYFUNCTION("IFERROR(VLOOKUP(E85&amp;F85,IMPORTRANGE(""https://docs.google.com/spreadsheets/d/1Uw7-A9f9R21vMXxHZFNpYNeKFtG8_yji4HS352LGlSQ/edit?pli=1#gid=0"",""1_ACUM!A4:S""),11,FALSE))"),"")</f>
        <v/>
      </c>
      <c r="AW71" s="42" t="str">
        <f ca="1">IFERROR(__xludf.DUMMYFUNCTION("IFERROR(VLOOKUP(F85,IMPORTRANGE(""https://docs.google.com/spreadsheets/d/1Kvs4KS76FHFqLFIZfrDMff4kP08nblUkihrxltoGBjg/edit#gid=934712705"",""ESENCIAL!A6:BG""),15,FALSE))"),"")</f>
        <v/>
      </c>
      <c r="AX71" s="21" t="str">
        <f ca="1">IFERROR(__xludf.DUMMYFUNCTION("IFERROR(VLOOKUP(E85&amp;F85,IMPORTRANGE(""https://docs.google.com/spreadsheets/d/1Uw7-A9f9R21vMXxHZFNpYNeKFtG8_yji4HS352LGlSQ/edit?pli=1#gid=0"",""1_ACUM!A4:S""),12,FALSE))"),"")</f>
        <v/>
      </c>
      <c r="AY71" s="43" t="str">
        <f ca="1">IFERROR(__xludf.DUMMYFUNCTION("IFERROR(VLOOKUP(E85&amp;F85,IMPORTRANGE(""https://docs.google.com/spreadsheets/d/1Uw7-A9f9R21vMXxHZFNpYNeKFtG8_yji4HS352LGlSQ/edit?pli=1#gid=0"",""1_ACUM!A4:S""),13,FALSE))"),"")</f>
        <v/>
      </c>
      <c r="AZ71" s="43" t="str">
        <f ca="1">IFERROR(__xludf.DUMMYFUNCTION("IFERROR(VLOOKUP(E85&amp;F85,IMPORTRANGE(""https://docs.google.com/spreadsheets/d/1Uw7-A9f9R21vMXxHZFNpYNeKFtG8_yji4HS352LGlSQ/edit?pli=1#gid=0"",""1_ACUM!A4:S""),14,FALSE))"),"")</f>
        <v/>
      </c>
      <c r="BA71" s="43" t="str">
        <f ca="1">IFERROR(__xludf.DUMMYFUNCTION("IFERROR(VLOOKUP(E85&amp;F85,IMPORTRANGE(""https://docs.google.com/spreadsheets/d/1Uw7-A9f9R21vMXxHZFNpYNeKFtG8_yji4HS352LGlSQ/edit?pli=1#gid=0"",""1_ACUM!A4:S""),15,FALSE))"),"")</f>
        <v/>
      </c>
      <c r="BB71" s="43" t="str">
        <f ca="1">IFERROR(__xludf.DUMMYFUNCTION("IFERROR(VLOOKUP(E85&amp;F85,IMPORTRANGE(""https://docs.google.com/spreadsheets/d/1Uw7-A9f9R21vMXxHZFNpYNeKFtG8_yji4HS352LGlSQ/edit?pli=1#gid=0"",""1_ACUM!A4:S""),16,FALSE))"),"")</f>
        <v/>
      </c>
      <c r="BC71" s="43" t="str">
        <f ca="1">IFERROR(__xludf.DUMMYFUNCTION("IFERROR(VLOOKUP(E85&amp;F85,IMPORTRANGE(""https://docs.google.com/spreadsheets/d/1Uw7-A9f9R21vMXxHZFNpYNeKFtG8_yji4HS352LGlSQ/edit?pli=1#gid=0"",""1_ACUM!A4:S""),17,FALSE))"),"")</f>
        <v/>
      </c>
      <c r="BD71" s="44" t="str">
        <f ca="1">IFERROR(__xludf.DUMMYFUNCTION("IFERROR(VLOOKUP(E85&amp;F85,IMPORTRANGE(""https://docs.google.com/spreadsheets/d/1Uw7-A9f9R21vMXxHZFNpYNeKFtG8_yji4HS352LGlSQ/edit?pli=1#gid=0"",""1_ACUM!A4:S""),18,FALSE))"),"")</f>
        <v/>
      </c>
      <c r="BE71" s="44" t="str">
        <f ca="1">IFERROR(__xludf.DUMMYFUNCTION("IFERROR(VLOOKUP(E85&amp;F85,IMPORTRANGE(""https://docs.google.com/spreadsheets/d/1Uw7-A9f9R21vMXxHZFNpYNeKFtG8_yji4HS352LGlSQ/edit?pli=1#gid=0"",""1_ACUM!A4:S""),19,FALSE))"),"")</f>
        <v/>
      </c>
      <c r="BF71" s="98" t="str">
        <f ca="1">IFERROR(__xludf.DUMMYFUNCTION("IFERROR(VLOOKUP(F85,IMPORTRANGE(""https://docs.google.com/spreadsheets/d/1Kvs4KS76FHFqLFIZfrDMff4kP08nblUkihrxltoGBjg/edit#gid=934712705"",""ESENCIAL!A6:BG""),5,FALSE))"),"")</f>
        <v/>
      </c>
      <c r="BG71" s="98" t="str">
        <f t="shared" si="5"/>
        <v/>
      </c>
      <c r="BH71" s="99" t="str">
        <f t="shared" si="6"/>
        <v/>
      </c>
      <c r="BI71" s="100" t="str">
        <f ca="1">IFERROR(__xludf.DUMMYFUNCTION("IFERROR(VLOOKUP(F85,IMPORTRANGE(""https://docs.google.com/spreadsheets/d/1Kvs4KS76FHFqLFIZfrDMff4kP08nblUkihrxltoGBjg/edit#gid=934712705"",""ESENCIAL!A6:BG""),2,FALSE))"),"")</f>
        <v/>
      </c>
      <c r="BJ71" s="19" t="str">
        <f t="shared" si="7"/>
        <v/>
      </c>
      <c r="BK71" s="100"/>
      <c r="BL71" s="100"/>
    </row>
    <row r="72" spans="1:64" ht="15">
      <c r="A72" s="101"/>
      <c r="B72" s="101"/>
      <c r="G72" s="5" t="str">
        <f ca="1">IFERROR(__xludf.DUMMYFUNCTION("IFERROR(VLOOKUP(F86,IMPORTRANGE(""https://docs.google.com/spreadsheets/d/1Kvs4KS76FHFqLFIZfrDMff4kP08nblUkihrxltoGBjg/edit#gid=934712705"",""ESENCIAL!A6:BG""),3,FALSE))"),"")</f>
        <v/>
      </c>
      <c r="H72" s="5" t="str">
        <f ca="1">IFERROR(__xludf.DUMMYFUNCTION("IFERROR(VLOOKUP(F86,IMPORTRANGE(""https://docs.google.com/spreadsheets/d/1Kvs4KS76FHFqLFIZfrDMff4kP08nblUkihrxltoGBjg/edit#gid=934712705"",""ESENCIAL!A6:BG""),8,FALSE))"),"")</f>
        <v/>
      </c>
      <c r="L72" s="287"/>
      <c r="U72" s="40"/>
      <c r="AU72" s="41" t="str">
        <f t="shared" si="4"/>
        <v/>
      </c>
      <c r="AV72" s="5" t="str">
        <f ca="1">IFERROR(__xludf.DUMMYFUNCTION("IFERROR(VLOOKUP(E86&amp;F86,IMPORTRANGE(""https://docs.google.com/spreadsheets/d/1Uw7-A9f9R21vMXxHZFNpYNeKFtG8_yji4HS352LGlSQ/edit?pli=1#gid=0"",""1_ACUM!A4:S""),11,FALSE))"),"")</f>
        <v/>
      </c>
      <c r="AW72" s="42" t="str">
        <f ca="1">IFERROR(__xludf.DUMMYFUNCTION("IFERROR(VLOOKUP(F86,IMPORTRANGE(""https://docs.google.com/spreadsheets/d/1Kvs4KS76FHFqLFIZfrDMff4kP08nblUkihrxltoGBjg/edit#gid=934712705"",""ESENCIAL!A6:BG""),15,FALSE))"),"")</f>
        <v/>
      </c>
      <c r="AX72" s="21" t="str">
        <f ca="1">IFERROR(__xludf.DUMMYFUNCTION("IFERROR(VLOOKUP(E86&amp;F86,IMPORTRANGE(""https://docs.google.com/spreadsheets/d/1Uw7-A9f9R21vMXxHZFNpYNeKFtG8_yji4HS352LGlSQ/edit?pli=1#gid=0"",""1_ACUM!A4:S""),12,FALSE))"),"")</f>
        <v/>
      </c>
      <c r="AY72" s="43" t="str">
        <f ca="1">IFERROR(__xludf.DUMMYFUNCTION("IFERROR(VLOOKUP(E86&amp;F86,IMPORTRANGE(""https://docs.google.com/spreadsheets/d/1Uw7-A9f9R21vMXxHZFNpYNeKFtG8_yji4HS352LGlSQ/edit?pli=1#gid=0"",""1_ACUM!A4:S""),13,FALSE))"),"")</f>
        <v/>
      </c>
      <c r="AZ72" s="43" t="str">
        <f ca="1">IFERROR(__xludf.DUMMYFUNCTION("IFERROR(VLOOKUP(E86&amp;F86,IMPORTRANGE(""https://docs.google.com/spreadsheets/d/1Uw7-A9f9R21vMXxHZFNpYNeKFtG8_yji4HS352LGlSQ/edit?pli=1#gid=0"",""1_ACUM!A4:S""),14,FALSE))"),"")</f>
        <v/>
      </c>
      <c r="BA72" s="43" t="str">
        <f ca="1">IFERROR(__xludf.DUMMYFUNCTION("IFERROR(VLOOKUP(E86&amp;F86,IMPORTRANGE(""https://docs.google.com/spreadsheets/d/1Uw7-A9f9R21vMXxHZFNpYNeKFtG8_yji4HS352LGlSQ/edit?pli=1#gid=0"",""1_ACUM!A4:S""),15,FALSE))"),"")</f>
        <v/>
      </c>
      <c r="BB72" s="43" t="str">
        <f ca="1">IFERROR(__xludf.DUMMYFUNCTION("IFERROR(VLOOKUP(E86&amp;F86,IMPORTRANGE(""https://docs.google.com/spreadsheets/d/1Uw7-A9f9R21vMXxHZFNpYNeKFtG8_yji4HS352LGlSQ/edit?pli=1#gid=0"",""1_ACUM!A4:S""),16,FALSE))"),"")</f>
        <v/>
      </c>
      <c r="BC72" s="43" t="str">
        <f ca="1">IFERROR(__xludf.DUMMYFUNCTION("IFERROR(VLOOKUP(E86&amp;F86,IMPORTRANGE(""https://docs.google.com/spreadsheets/d/1Uw7-A9f9R21vMXxHZFNpYNeKFtG8_yji4HS352LGlSQ/edit?pli=1#gid=0"",""1_ACUM!A4:S""),17,FALSE))"),"")</f>
        <v/>
      </c>
      <c r="BD72" s="44" t="str">
        <f ca="1">IFERROR(__xludf.DUMMYFUNCTION("IFERROR(VLOOKUP(E86&amp;F86,IMPORTRANGE(""https://docs.google.com/spreadsheets/d/1Uw7-A9f9R21vMXxHZFNpYNeKFtG8_yji4HS352LGlSQ/edit?pli=1#gid=0"",""1_ACUM!A4:S""),18,FALSE))"),"")</f>
        <v/>
      </c>
      <c r="BE72" s="44" t="str">
        <f ca="1">IFERROR(__xludf.DUMMYFUNCTION("IFERROR(VLOOKUP(E86&amp;F86,IMPORTRANGE(""https://docs.google.com/spreadsheets/d/1Uw7-A9f9R21vMXxHZFNpYNeKFtG8_yji4HS352LGlSQ/edit?pli=1#gid=0"",""1_ACUM!A4:S""),19,FALSE))"),"")</f>
        <v/>
      </c>
      <c r="BF72" s="98" t="str">
        <f ca="1">IFERROR(__xludf.DUMMYFUNCTION("IFERROR(VLOOKUP(F86,IMPORTRANGE(""https://docs.google.com/spreadsheets/d/1Kvs4KS76FHFqLFIZfrDMff4kP08nblUkihrxltoGBjg/edit#gid=934712705"",""ESENCIAL!A6:BG""),5,FALSE))"),"")</f>
        <v/>
      </c>
      <c r="BG72" s="98" t="str">
        <f t="shared" si="5"/>
        <v/>
      </c>
      <c r="BH72" s="99" t="str">
        <f t="shared" si="6"/>
        <v/>
      </c>
      <c r="BI72" s="100" t="str">
        <f ca="1">IFERROR(__xludf.DUMMYFUNCTION("IFERROR(VLOOKUP(F86,IMPORTRANGE(""https://docs.google.com/spreadsheets/d/1Kvs4KS76FHFqLFIZfrDMff4kP08nblUkihrxltoGBjg/edit#gid=934712705"",""ESENCIAL!A6:BG""),2,FALSE))"),"")</f>
        <v/>
      </c>
      <c r="BJ72" s="19" t="str">
        <f t="shared" si="7"/>
        <v/>
      </c>
      <c r="BK72" s="100"/>
      <c r="BL72" s="100"/>
    </row>
    <row r="73" spans="1:64" ht="15">
      <c r="A73" s="101"/>
      <c r="B73" s="101"/>
      <c r="G73" s="5" t="str">
        <f ca="1">IFERROR(__xludf.DUMMYFUNCTION("IFERROR(VLOOKUP(F87,IMPORTRANGE(""https://docs.google.com/spreadsheets/d/1Kvs4KS76FHFqLFIZfrDMff4kP08nblUkihrxltoGBjg/edit#gid=934712705"",""ESENCIAL!A6:BG""),3,FALSE))"),"")</f>
        <v/>
      </c>
      <c r="H73" s="5" t="str">
        <f ca="1">IFERROR(__xludf.DUMMYFUNCTION("IFERROR(VLOOKUP(F87,IMPORTRANGE(""https://docs.google.com/spreadsheets/d/1Kvs4KS76FHFqLFIZfrDMff4kP08nblUkihrxltoGBjg/edit#gid=934712705"",""ESENCIAL!A6:BG""),8,FALSE))"),"")</f>
        <v/>
      </c>
      <c r="L73" s="287"/>
      <c r="U73" s="40"/>
      <c r="AU73" s="41" t="str">
        <f t="shared" si="4"/>
        <v/>
      </c>
      <c r="AV73" s="5" t="str">
        <f ca="1">IFERROR(__xludf.DUMMYFUNCTION("IFERROR(VLOOKUP(E87&amp;F87,IMPORTRANGE(""https://docs.google.com/spreadsheets/d/1Uw7-A9f9R21vMXxHZFNpYNeKFtG8_yji4HS352LGlSQ/edit?pli=1#gid=0"",""1_ACUM!A4:S""),11,FALSE))"),"")</f>
        <v/>
      </c>
      <c r="AW73" s="42" t="str">
        <f ca="1">IFERROR(__xludf.DUMMYFUNCTION("IFERROR(VLOOKUP(F87,IMPORTRANGE(""https://docs.google.com/spreadsheets/d/1Kvs4KS76FHFqLFIZfrDMff4kP08nblUkihrxltoGBjg/edit#gid=934712705"",""ESENCIAL!A6:BG""),15,FALSE))"),"")</f>
        <v/>
      </c>
      <c r="AX73" s="21" t="str">
        <f ca="1">IFERROR(__xludf.DUMMYFUNCTION("IFERROR(VLOOKUP(E87&amp;F87,IMPORTRANGE(""https://docs.google.com/spreadsheets/d/1Uw7-A9f9R21vMXxHZFNpYNeKFtG8_yji4HS352LGlSQ/edit?pli=1#gid=0"",""1_ACUM!A4:S""),12,FALSE))"),"")</f>
        <v/>
      </c>
      <c r="AY73" s="43" t="str">
        <f ca="1">IFERROR(__xludf.DUMMYFUNCTION("IFERROR(VLOOKUP(E87&amp;F87,IMPORTRANGE(""https://docs.google.com/spreadsheets/d/1Uw7-A9f9R21vMXxHZFNpYNeKFtG8_yji4HS352LGlSQ/edit?pli=1#gid=0"",""1_ACUM!A4:S""),13,FALSE))"),"")</f>
        <v/>
      </c>
      <c r="AZ73" s="43" t="str">
        <f ca="1">IFERROR(__xludf.DUMMYFUNCTION("IFERROR(VLOOKUP(E87&amp;F87,IMPORTRANGE(""https://docs.google.com/spreadsheets/d/1Uw7-A9f9R21vMXxHZFNpYNeKFtG8_yji4HS352LGlSQ/edit?pli=1#gid=0"",""1_ACUM!A4:S""),14,FALSE))"),"")</f>
        <v/>
      </c>
      <c r="BA73" s="43" t="str">
        <f ca="1">IFERROR(__xludf.DUMMYFUNCTION("IFERROR(VLOOKUP(E87&amp;F87,IMPORTRANGE(""https://docs.google.com/spreadsheets/d/1Uw7-A9f9R21vMXxHZFNpYNeKFtG8_yji4HS352LGlSQ/edit?pli=1#gid=0"",""1_ACUM!A4:S""),15,FALSE))"),"")</f>
        <v/>
      </c>
      <c r="BB73" s="43" t="str">
        <f ca="1">IFERROR(__xludf.DUMMYFUNCTION("IFERROR(VLOOKUP(E87&amp;F87,IMPORTRANGE(""https://docs.google.com/spreadsheets/d/1Uw7-A9f9R21vMXxHZFNpYNeKFtG8_yji4HS352LGlSQ/edit?pli=1#gid=0"",""1_ACUM!A4:S""),16,FALSE))"),"")</f>
        <v/>
      </c>
      <c r="BC73" s="43" t="str">
        <f ca="1">IFERROR(__xludf.DUMMYFUNCTION("IFERROR(VLOOKUP(E87&amp;F87,IMPORTRANGE(""https://docs.google.com/spreadsheets/d/1Uw7-A9f9R21vMXxHZFNpYNeKFtG8_yji4HS352LGlSQ/edit?pli=1#gid=0"",""1_ACUM!A4:S""),17,FALSE))"),"")</f>
        <v/>
      </c>
      <c r="BD73" s="44" t="str">
        <f ca="1">IFERROR(__xludf.DUMMYFUNCTION("IFERROR(VLOOKUP(E87&amp;F87,IMPORTRANGE(""https://docs.google.com/spreadsheets/d/1Uw7-A9f9R21vMXxHZFNpYNeKFtG8_yji4HS352LGlSQ/edit?pli=1#gid=0"",""1_ACUM!A4:S""),18,FALSE))"),"")</f>
        <v/>
      </c>
      <c r="BE73" s="44" t="str">
        <f ca="1">IFERROR(__xludf.DUMMYFUNCTION("IFERROR(VLOOKUP(E87&amp;F87,IMPORTRANGE(""https://docs.google.com/spreadsheets/d/1Uw7-A9f9R21vMXxHZFNpYNeKFtG8_yji4HS352LGlSQ/edit?pli=1#gid=0"",""1_ACUM!A4:S""),19,FALSE))"),"")</f>
        <v/>
      </c>
      <c r="BF73" s="98" t="str">
        <f ca="1">IFERROR(__xludf.DUMMYFUNCTION("IFERROR(VLOOKUP(F87,IMPORTRANGE(""https://docs.google.com/spreadsheets/d/1Kvs4KS76FHFqLFIZfrDMff4kP08nblUkihrxltoGBjg/edit#gid=934712705"",""ESENCIAL!A6:BG""),5,FALSE))"),"")</f>
        <v/>
      </c>
      <c r="BG73" s="98" t="str">
        <f t="shared" si="5"/>
        <v/>
      </c>
      <c r="BH73" s="99" t="str">
        <f t="shared" si="6"/>
        <v/>
      </c>
      <c r="BI73" s="100" t="str">
        <f ca="1">IFERROR(__xludf.DUMMYFUNCTION("IFERROR(VLOOKUP(F87,IMPORTRANGE(""https://docs.google.com/spreadsheets/d/1Kvs4KS76FHFqLFIZfrDMff4kP08nblUkihrxltoGBjg/edit#gid=934712705"",""ESENCIAL!A6:BG""),2,FALSE))"),"")</f>
        <v/>
      </c>
      <c r="BJ73" s="19" t="str">
        <f t="shared" si="7"/>
        <v/>
      </c>
      <c r="BK73" s="100"/>
      <c r="BL73" s="100"/>
    </row>
    <row r="74" spans="1:64" ht="15">
      <c r="A74" s="101"/>
      <c r="B74" s="101"/>
      <c r="G74" s="5" t="str">
        <f ca="1">IFERROR(__xludf.DUMMYFUNCTION("IFERROR(VLOOKUP(F88,IMPORTRANGE(""https://docs.google.com/spreadsheets/d/1Kvs4KS76FHFqLFIZfrDMff4kP08nblUkihrxltoGBjg/edit#gid=934712705"",""ESENCIAL!A6:BG""),3,FALSE))"),"")</f>
        <v/>
      </c>
      <c r="H74" s="5" t="str">
        <f ca="1">IFERROR(__xludf.DUMMYFUNCTION("IFERROR(VLOOKUP(F88,IMPORTRANGE(""https://docs.google.com/spreadsheets/d/1Kvs4KS76FHFqLFIZfrDMff4kP08nblUkihrxltoGBjg/edit#gid=934712705"",""ESENCIAL!A6:BG""),8,FALSE))"),"")</f>
        <v/>
      </c>
      <c r="L74" s="287"/>
      <c r="U74" s="40"/>
      <c r="AU74" s="41" t="str">
        <f t="shared" si="4"/>
        <v/>
      </c>
      <c r="AV74" s="5" t="str">
        <f ca="1">IFERROR(__xludf.DUMMYFUNCTION("IFERROR(VLOOKUP(E88&amp;F88,IMPORTRANGE(""https://docs.google.com/spreadsheets/d/1Uw7-A9f9R21vMXxHZFNpYNeKFtG8_yji4HS352LGlSQ/edit?pli=1#gid=0"",""1_ACUM!A4:S""),11,FALSE))"),"")</f>
        <v/>
      </c>
      <c r="AW74" s="42" t="str">
        <f ca="1">IFERROR(__xludf.DUMMYFUNCTION("IFERROR(VLOOKUP(F88,IMPORTRANGE(""https://docs.google.com/spreadsheets/d/1Kvs4KS76FHFqLFIZfrDMff4kP08nblUkihrxltoGBjg/edit#gid=934712705"",""ESENCIAL!A6:BG""),15,FALSE))"),"")</f>
        <v/>
      </c>
      <c r="AX74" s="21" t="str">
        <f ca="1">IFERROR(__xludf.DUMMYFUNCTION("IFERROR(VLOOKUP(E88&amp;F88,IMPORTRANGE(""https://docs.google.com/spreadsheets/d/1Uw7-A9f9R21vMXxHZFNpYNeKFtG8_yji4HS352LGlSQ/edit?pli=1#gid=0"",""1_ACUM!A4:S""),12,FALSE))"),"")</f>
        <v/>
      </c>
      <c r="AY74" s="43" t="str">
        <f ca="1">IFERROR(__xludf.DUMMYFUNCTION("IFERROR(VLOOKUP(E88&amp;F88,IMPORTRANGE(""https://docs.google.com/spreadsheets/d/1Uw7-A9f9R21vMXxHZFNpYNeKFtG8_yji4HS352LGlSQ/edit?pli=1#gid=0"",""1_ACUM!A4:S""),13,FALSE))"),"")</f>
        <v/>
      </c>
      <c r="AZ74" s="43" t="str">
        <f ca="1">IFERROR(__xludf.DUMMYFUNCTION("IFERROR(VLOOKUP(E88&amp;F88,IMPORTRANGE(""https://docs.google.com/spreadsheets/d/1Uw7-A9f9R21vMXxHZFNpYNeKFtG8_yji4HS352LGlSQ/edit?pli=1#gid=0"",""1_ACUM!A4:S""),14,FALSE))"),"")</f>
        <v/>
      </c>
      <c r="BA74" s="43" t="str">
        <f ca="1">IFERROR(__xludf.DUMMYFUNCTION("IFERROR(VLOOKUP(E88&amp;F88,IMPORTRANGE(""https://docs.google.com/spreadsheets/d/1Uw7-A9f9R21vMXxHZFNpYNeKFtG8_yji4HS352LGlSQ/edit?pli=1#gid=0"",""1_ACUM!A4:S""),15,FALSE))"),"")</f>
        <v/>
      </c>
      <c r="BB74" s="43" t="str">
        <f ca="1">IFERROR(__xludf.DUMMYFUNCTION("IFERROR(VLOOKUP(E88&amp;F88,IMPORTRANGE(""https://docs.google.com/spreadsheets/d/1Uw7-A9f9R21vMXxHZFNpYNeKFtG8_yji4HS352LGlSQ/edit?pli=1#gid=0"",""1_ACUM!A4:S""),16,FALSE))"),"")</f>
        <v/>
      </c>
      <c r="BC74" s="43" t="str">
        <f ca="1">IFERROR(__xludf.DUMMYFUNCTION("IFERROR(VLOOKUP(E88&amp;F88,IMPORTRANGE(""https://docs.google.com/spreadsheets/d/1Uw7-A9f9R21vMXxHZFNpYNeKFtG8_yji4HS352LGlSQ/edit?pli=1#gid=0"",""1_ACUM!A4:S""),17,FALSE))"),"")</f>
        <v/>
      </c>
      <c r="BD74" s="44" t="str">
        <f ca="1">IFERROR(__xludf.DUMMYFUNCTION("IFERROR(VLOOKUP(E88&amp;F88,IMPORTRANGE(""https://docs.google.com/spreadsheets/d/1Uw7-A9f9R21vMXxHZFNpYNeKFtG8_yji4HS352LGlSQ/edit?pli=1#gid=0"",""1_ACUM!A4:S""),18,FALSE))"),"")</f>
        <v/>
      </c>
      <c r="BE74" s="44" t="str">
        <f ca="1">IFERROR(__xludf.DUMMYFUNCTION("IFERROR(VLOOKUP(E88&amp;F88,IMPORTRANGE(""https://docs.google.com/spreadsheets/d/1Uw7-A9f9R21vMXxHZFNpYNeKFtG8_yji4HS352LGlSQ/edit?pli=1#gid=0"",""1_ACUM!A4:S""),19,FALSE))"),"")</f>
        <v/>
      </c>
      <c r="BF74" s="98" t="str">
        <f ca="1">IFERROR(__xludf.DUMMYFUNCTION("IFERROR(VLOOKUP(F88,IMPORTRANGE(""https://docs.google.com/spreadsheets/d/1Kvs4KS76FHFqLFIZfrDMff4kP08nblUkihrxltoGBjg/edit#gid=934712705"",""ESENCIAL!A6:BG""),5,FALSE))"),"")</f>
        <v/>
      </c>
      <c r="BG74" s="98" t="str">
        <f t="shared" si="5"/>
        <v/>
      </c>
      <c r="BH74" s="99" t="str">
        <f t="shared" si="6"/>
        <v/>
      </c>
      <c r="BI74" s="100" t="str">
        <f ca="1">IFERROR(__xludf.DUMMYFUNCTION("IFERROR(VLOOKUP(F88,IMPORTRANGE(""https://docs.google.com/spreadsheets/d/1Kvs4KS76FHFqLFIZfrDMff4kP08nblUkihrxltoGBjg/edit#gid=934712705"",""ESENCIAL!A6:BG""),2,FALSE))"),"")</f>
        <v/>
      </c>
      <c r="BJ74" s="19" t="str">
        <f t="shared" si="7"/>
        <v/>
      </c>
      <c r="BK74" s="100"/>
      <c r="BL74" s="100"/>
    </row>
    <row r="75" spans="1:64" ht="15">
      <c r="A75" s="101"/>
      <c r="B75" s="101"/>
      <c r="G75" s="5" t="str">
        <f ca="1">IFERROR(__xludf.DUMMYFUNCTION("IFERROR(VLOOKUP(F89,IMPORTRANGE(""https://docs.google.com/spreadsheets/d/1Kvs4KS76FHFqLFIZfrDMff4kP08nblUkihrxltoGBjg/edit#gid=934712705"",""ESENCIAL!A6:BG""),3,FALSE))"),"")</f>
        <v/>
      </c>
      <c r="H75" s="5" t="str">
        <f ca="1">IFERROR(__xludf.DUMMYFUNCTION("IFERROR(VLOOKUP(F89,IMPORTRANGE(""https://docs.google.com/spreadsheets/d/1Kvs4KS76FHFqLFIZfrDMff4kP08nblUkihrxltoGBjg/edit#gid=934712705"",""ESENCIAL!A6:BG""),8,FALSE))"),"")</f>
        <v/>
      </c>
      <c r="L75" s="287"/>
      <c r="U75" s="40"/>
      <c r="AU75" s="41" t="str">
        <f t="shared" si="4"/>
        <v/>
      </c>
      <c r="AV75" s="5" t="str">
        <f ca="1">IFERROR(__xludf.DUMMYFUNCTION("IFERROR(VLOOKUP(E89&amp;F89,IMPORTRANGE(""https://docs.google.com/spreadsheets/d/1Uw7-A9f9R21vMXxHZFNpYNeKFtG8_yji4HS352LGlSQ/edit?pli=1#gid=0"",""1_ACUM!A4:S""),11,FALSE))"),"")</f>
        <v/>
      </c>
      <c r="AW75" s="42" t="str">
        <f ca="1">IFERROR(__xludf.DUMMYFUNCTION("IFERROR(VLOOKUP(F89,IMPORTRANGE(""https://docs.google.com/spreadsheets/d/1Kvs4KS76FHFqLFIZfrDMff4kP08nblUkihrxltoGBjg/edit#gid=934712705"",""ESENCIAL!A6:BG""),15,FALSE))"),"")</f>
        <v/>
      </c>
      <c r="AX75" s="21" t="str">
        <f ca="1">IFERROR(__xludf.DUMMYFUNCTION("IFERROR(VLOOKUP(E89&amp;F89,IMPORTRANGE(""https://docs.google.com/spreadsheets/d/1Uw7-A9f9R21vMXxHZFNpYNeKFtG8_yji4HS352LGlSQ/edit?pli=1#gid=0"",""1_ACUM!A4:S""),12,FALSE))"),"")</f>
        <v/>
      </c>
      <c r="AY75" s="43" t="str">
        <f ca="1">IFERROR(__xludf.DUMMYFUNCTION("IFERROR(VLOOKUP(E89&amp;F89,IMPORTRANGE(""https://docs.google.com/spreadsheets/d/1Uw7-A9f9R21vMXxHZFNpYNeKFtG8_yji4HS352LGlSQ/edit?pli=1#gid=0"",""1_ACUM!A4:S""),13,FALSE))"),"")</f>
        <v/>
      </c>
      <c r="AZ75" s="43" t="str">
        <f ca="1">IFERROR(__xludf.DUMMYFUNCTION("IFERROR(VLOOKUP(E89&amp;F89,IMPORTRANGE(""https://docs.google.com/spreadsheets/d/1Uw7-A9f9R21vMXxHZFNpYNeKFtG8_yji4HS352LGlSQ/edit?pli=1#gid=0"",""1_ACUM!A4:S""),14,FALSE))"),"")</f>
        <v/>
      </c>
      <c r="BA75" s="43" t="str">
        <f ca="1">IFERROR(__xludf.DUMMYFUNCTION("IFERROR(VLOOKUP(E89&amp;F89,IMPORTRANGE(""https://docs.google.com/spreadsheets/d/1Uw7-A9f9R21vMXxHZFNpYNeKFtG8_yji4HS352LGlSQ/edit?pli=1#gid=0"",""1_ACUM!A4:S""),15,FALSE))"),"")</f>
        <v/>
      </c>
      <c r="BB75" s="43" t="str">
        <f ca="1">IFERROR(__xludf.DUMMYFUNCTION("IFERROR(VLOOKUP(E89&amp;F89,IMPORTRANGE(""https://docs.google.com/spreadsheets/d/1Uw7-A9f9R21vMXxHZFNpYNeKFtG8_yji4HS352LGlSQ/edit?pli=1#gid=0"",""1_ACUM!A4:S""),16,FALSE))"),"")</f>
        <v/>
      </c>
      <c r="BC75" s="43" t="str">
        <f ca="1">IFERROR(__xludf.DUMMYFUNCTION("IFERROR(VLOOKUP(E89&amp;F89,IMPORTRANGE(""https://docs.google.com/spreadsheets/d/1Uw7-A9f9R21vMXxHZFNpYNeKFtG8_yji4HS352LGlSQ/edit?pli=1#gid=0"",""1_ACUM!A4:S""),17,FALSE))"),"")</f>
        <v/>
      </c>
      <c r="BD75" s="44" t="str">
        <f ca="1">IFERROR(__xludf.DUMMYFUNCTION("IFERROR(VLOOKUP(E89&amp;F89,IMPORTRANGE(""https://docs.google.com/spreadsheets/d/1Uw7-A9f9R21vMXxHZFNpYNeKFtG8_yji4HS352LGlSQ/edit?pli=1#gid=0"",""1_ACUM!A4:S""),18,FALSE))"),"")</f>
        <v/>
      </c>
      <c r="BE75" s="44" t="str">
        <f ca="1">IFERROR(__xludf.DUMMYFUNCTION("IFERROR(VLOOKUP(E89&amp;F89,IMPORTRANGE(""https://docs.google.com/spreadsheets/d/1Uw7-A9f9R21vMXxHZFNpYNeKFtG8_yji4HS352LGlSQ/edit?pli=1#gid=0"",""1_ACUM!A4:S""),19,FALSE))"),"")</f>
        <v/>
      </c>
      <c r="BF75" s="98" t="str">
        <f ca="1">IFERROR(__xludf.DUMMYFUNCTION("IFERROR(VLOOKUP(F89,IMPORTRANGE(""https://docs.google.com/spreadsheets/d/1Kvs4KS76FHFqLFIZfrDMff4kP08nblUkihrxltoGBjg/edit#gid=934712705"",""ESENCIAL!A6:BG""),5,FALSE))"),"")</f>
        <v/>
      </c>
      <c r="BG75" s="98" t="str">
        <f t="shared" si="5"/>
        <v/>
      </c>
      <c r="BH75" s="99" t="str">
        <f t="shared" si="6"/>
        <v/>
      </c>
      <c r="BI75" s="100" t="str">
        <f ca="1">IFERROR(__xludf.DUMMYFUNCTION("IFERROR(VLOOKUP(F89,IMPORTRANGE(""https://docs.google.com/spreadsheets/d/1Kvs4KS76FHFqLFIZfrDMff4kP08nblUkihrxltoGBjg/edit#gid=934712705"",""ESENCIAL!A6:BG""),2,FALSE))"),"")</f>
        <v/>
      </c>
      <c r="BJ75" s="19" t="str">
        <f t="shared" si="7"/>
        <v/>
      </c>
      <c r="BK75" s="100"/>
      <c r="BL75" s="100"/>
    </row>
    <row r="76" spans="1:64" ht="15">
      <c r="A76" s="101"/>
      <c r="B76" s="101"/>
      <c r="G76" s="5" t="str">
        <f ca="1">IFERROR(__xludf.DUMMYFUNCTION("IFERROR(VLOOKUP(F90,IMPORTRANGE(""https://docs.google.com/spreadsheets/d/1Kvs4KS76FHFqLFIZfrDMff4kP08nblUkihrxltoGBjg/edit#gid=934712705"",""ESENCIAL!A6:BG""),3,FALSE))"),"")</f>
        <v/>
      </c>
      <c r="H76" s="5" t="str">
        <f ca="1">IFERROR(__xludf.DUMMYFUNCTION("IFERROR(VLOOKUP(F90,IMPORTRANGE(""https://docs.google.com/spreadsheets/d/1Kvs4KS76FHFqLFIZfrDMff4kP08nblUkihrxltoGBjg/edit#gid=934712705"",""ESENCIAL!A6:BG""),8,FALSE))"),"")</f>
        <v/>
      </c>
      <c r="L76" s="287"/>
      <c r="U76" s="40"/>
      <c r="AU76" s="41" t="str">
        <f t="shared" si="4"/>
        <v/>
      </c>
      <c r="AV76" s="5" t="str">
        <f ca="1">IFERROR(__xludf.DUMMYFUNCTION("IFERROR(VLOOKUP(E90&amp;F90,IMPORTRANGE(""https://docs.google.com/spreadsheets/d/1Uw7-A9f9R21vMXxHZFNpYNeKFtG8_yji4HS352LGlSQ/edit?pli=1#gid=0"",""1_ACUM!A4:S""),11,FALSE))"),"")</f>
        <v/>
      </c>
      <c r="AW76" s="42" t="str">
        <f ca="1">IFERROR(__xludf.DUMMYFUNCTION("IFERROR(VLOOKUP(F90,IMPORTRANGE(""https://docs.google.com/spreadsheets/d/1Kvs4KS76FHFqLFIZfrDMff4kP08nblUkihrxltoGBjg/edit#gid=934712705"",""ESENCIAL!A6:BG""),15,FALSE))"),"")</f>
        <v/>
      </c>
      <c r="AX76" s="21" t="str">
        <f ca="1">IFERROR(__xludf.DUMMYFUNCTION("IFERROR(VLOOKUP(E90&amp;F90,IMPORTRANGE(""https://docs.google.com/spreadsheets/d/1Uw7-A9f9R21vMXxHZFNpYNeKFtG8_yji4HS352LGlSQ/edit?pli=1#gid=0"",""1_ACUM!A4:S""),12,FALSE))"),"")</f>
        <v/>
      </c>
      <c r="AY76" s="43" t="str">
        <f ca="1">IFERROR(__xludf.DUMMYFUNCTION("IFERROR(VLOOKUP(E90&amp;F90,IMPORTRANGE(""https://docs.google.com/spreadsheets/d/1Uw7-A9f9R21vMXxHZFNpYNeKFtG8_yji4HS352LGlSQ/edit?pli=1#gid=0"",""1_ACUM!A4:S""),13,FALSE))"),"")</f>
        <v/>
      </c>
      <c r="AZ76" s="43" t="str">
        <f ca="1">IFERROR(__xludf.DUMMYFUNCTION("IFERROR(VLOOKUP(E90&amp;F90,IMPORTRANGE(""https://docs.google.com/spreadsheets/d/1Uw7-A9f9R21vMXxHZFNpYNeKFtG8_yji4HS352LGlSQ/edit?pli=1#gid=0"",""1_ACUM!A4:S""),14,FALSE))"),"")</f>
        <v/>
      </c>
      <c r="BA76" s="43" t="str">
        <f ca="1">IFERROR(__xludf.DUMMYFUNCTION("IFERROR(VLOOKUP(E90&amp;F90,IMPORTRANGE(""https://docs.google.com/spreadsheets/d/1Uw7-A9f9R21vMXxHZFNpYNeKFtG8_yji4HS352LGlSQ/edit?pli=1#gid=0"",""1_ACUM!A4:S""),15,FALSE))"),"")</f>
        <v/>
      </c>
      <c r="BB76" s="43" t="str">
        <f ca="1">IFERROR(__xludf.DUMMYFUNCTION("IFERROR(VLOOKUP(E90&amp;F90,IMPORTRANGE(""https://docs.google.com/spreadsheets/d/1Uw7-A9f9R21vMXxHZFNpYNeKFtG8_yji4HS352LGlSQ/edit?pli=1#gid=0"",""1_ACUM!A4:S""),16,FALSE))"),"")</f>
        <v/>
      </c>
      <c r="BC76" s="43" t="str">
        <f ca="1">IFERROR(__xludf.DUMMYFUNCTION("IFERROR(VLOOKUP(E90&amp;F90,IMPORTRANGE(""https://docs.google.com/spreadsheets/d/1Uw7-A9f9R21vMXxHZFNpYNeKFtG8_yji4HS352LGlSQ/edit?pli=1#gid=0"",""1_ACUM!A4:S""),17,FALSE))"),"")</f>
        <v/>
      </c>
      <c r="BD76" s="44" t="str">
        <f ca="1">IFERROR(__xludf.DUMMYFUNCTION("IFERROR(VLOOKUP(E90&amp;F90,IMPORTRANGE(""https://docs.google.com/spreadsheets/d/1Uw7-A9f9R21vMXxHZFNpYNeKFtG8_yji4HS352LGlSQ/edit?pli=1#gid=0"",""1_ACUM!A4:S""),18,FALSE))"),"")</f>
        <v/>
      </c>
      <c r="BE76" s="44" t="str">
        <f ca="1">IFERROR(__xludf.DUMMYFUNCTION("IFERROR(VLOOKUP(E90&amp;F90,IMPORTRANGE(""https://docs.google.com/spreadsheets/d/1Uw7-A9f9R21vMXxHZFNpYNeKFtG8_yji4HS352LGlSQ/edit?pli=1#gid=0"",""1_ACUM!A4:S""),19,FALSE))"),"")</f>
        <v/>
      </c>
      <c r="BF76" s="98" t="str">
        <f ca="1">IFERROR(__xludf.DUMMYFUNCTION("IFERROR(VLOOKUP(F90,IMPORTRANGE(""https://docs.google.com/spreadsheets/d/1Kvs4KS76FHFqLFIZfrDMff4kP08nblUkihrxltoGBjg/edit#gid=934712705"",""ESENCIAL!A6:BG""),5,FALSE))"),"")</f>
        <v/>
      </c>
      <c r="BG76" s="98" t="str">
        <f t="shared" si="5"/>
        <v/>
      </c>
      <c r="BH76" s="99" t="str">
        <f t="shared" si="6"/>
        <v/>
      </c>
      <c r="BI76" s="100" t="str">
        <f ca="1">IFERROR(__xludf.DUMMYFUNCTION("IFERROR(VLOOKUP(F90,IMPORTRANGE(""https://docs.google.com/spreadsheets/d/1Kvs4KS76FHFqLFIZfrDMff4kP08nblUkihrxltoGBjg/edit#gid=934712705"",""ESENCIAL!A6:BG""),2,FALSE))"),"")</f>
        <v/>
      </c>
      <c r="BJ76" s="19" t="str">
        <f t="shared" si="7"/>
        <v/>
      </c>
      <c r="BK76" s="100"/>
      <c r="BL76" s="100"/>
    </row>
    <row r="77" spans="1:64" ht="15">
      <c r="A77" s="101"/>
      <c r="B77" s="101"/>
      <c r="G77" s="5" t="str">
        <f ca="1">IFERROR(__xludf.DUMMYFUNCTION("IFERROR(VLOOKUP(F91,IMPORTRANGE(""https://docs.google.com/spreadsheets/d/1Kvs4KS76FHFqLFIZfrDMff4kP08nblUkihrxltoGBjg/edit#gid=934712705"",""ESENCIAL!A6:BG""),3,FALSE))"),"")</f>
        <v/>
      </c>
      <c r="H77" s="5" t="str">
        <f ca="1">IFERROR(__xludf.DUMMYFUNCTION("IFERROR(VLOOKUP(F91,IMPORTRANGE(""https://docs.google.com/spreadsheets/d/1Kvs4KS76FHFqLFIZfrDMff4kP08nblUkihrxltoGBjg/edit#gid=934712705"",""ESENCIAL!A6:BG""),8,FALSE))"),"")</f>
        <v/>
      </c>
      <c r="L77" s="287"/>
      <c r="U77" s="40"/>
      <c r="AU77" s="41" t="str">
        <f t="shared" si="4"/>
        <v/>
      </c>
      <c r="AV77" s="5" t="str">
        <f ca="1">IFERROR(__xludf.DUMMYFUNCTION("IFERROR(VLOOKUP(E91&amp;F91,IMPORTRANGE(""https://docs.google.com/spreadsheets/d/1Uw7-A9f9R21vMXxHZFNpYNeKFtG8_yji4HS352LGlSQ/edit?pli=1#gid=0"",""1_ACUM!A4:S""),11,FALSE))"),"")</f>
        <v/>
      </c>
      <c r="AW77" s="42" t="str">
        <f ca="1">IFERROR(__xludf.DUMMYFUNCTION("IFERROR(VLOOKUP(F91,IMPORTRANGE(""https://docs.google.com/spreadsheets/d/1Kvs4KS76FHFqLFIZfrDMff4kP08nblUkihrxltoGBjg/edit#gid=934712705"",""ESENCIAL!A6:BG""),15,FALSE))"),"")</f>
        <v/>
      </c>
      <c r="AX77" s="21" t="str">
        <f ca="1">IFERROR(__xludf.DUMMYFUNCTION("IFERROR(VLOOKUP(E91&amp;F91,IMPORTRANGE(""https://docs.google.com/spreadsheets/d/1Uw7-A9f9R21vMXxHZFNpYNeKFtG8_yji4HS352LGlSQ/edit?pli=1#gid=0"",""1_ACUM!A4:S""),12,FALSE))"),"")</f>
        <v/>
      </c>
      <c r="AY77" s="43" t="str">
        <f ca="1">IFERROR(__xludf.DUMMYFUNCTION("IFERROR(VLOOKUP(E91&amp;F91,IMPORTRANGE(""https://docs.google.com/spreadsheets/d/1Uw7-A9f9R21vMXxHZFNpYNeKFtG8_yji4HS352LGlSQ/edit?pli=1#gid=0"",""1_ACUM!A4:S""),13,FALSE))"),"")</f>
        <v/>
      </c>
      <c r="AZ77" s="43" t="str">
        <f ca="1">IFERROR(__xludf.DUMMYFUNCTION("IFERROR(VLOOKUP(E91&amp;F91,IMPORTRANGE(""https://docs.google.com/spreadsheets/d/1Uw7-A9f9R21vMXxHZFNpYNeKFtG8_yji4HS352LGlSQ/edit?pli=1#gid=0"",""1_ACUM!A4:S""),14,FALSE))"),"")</f>
        <v/>
      </c>
      <c r="BA77" s="43" t="str">
        <f ca="1">IFERROR(__xludf.DUMMYFUNCTION("IFERROR(VLOOKUP(E91&amp;F91,IMPORTRANGE(""https://docs.google.com/spreadsheets/d/1Uw7-A9f9R21vMXxHZFNpYNeKFtG8_yji4HS352LGlSQ/edit?pli=1#gid=0"",""1_ACUM!A4:S""),15,FALSE))"),"")</f>
        <v/>
      </c>
      <c r="BB77" s="43" t="str">
        <f ca="1">IFERROR(__xludf.DUMMYFUNCTION("IFERROR(VLOOKUP(E91&amp;F91,IMPORTRANGE(""https://docs.google.com/spreadsheets/d/1Uw7-A9f9R21vMXxHZFNpYNeKFtG8_yji4HS352LGlSQ/edit?pli=1#gid=0"",""1_ACUM!A4:S""),16,FALSE))"),"")</f>
        <v/>
      </c>
      <c r="BC77" s="43" t="str">
        <f ca="1">IFERROR(__xludf.DUMMYFUNCTION("IFERROR(VLOOKUP(E91&amp;F91,IMPORTRANGE(""https://docs.google.com/spreadsheets/d/1Uw7-A9f9R21vMXxHZFNpYNeKFtG8_yji4HS352LGlSQ/edit?pli=1#gid=0"",""1_ACUM!A4:S""),17,FALSE))"),"")</f>
        <v/>
      </c>
      <c r="BD77" s="44" t="str">
        <f ca="1">IFERROR(__xludf.DUMMYFUNCTION("IFERROR(VLOOKUP(E91&amp;F91,IMPORTRANGE(""https://docs.google.com/spreadsheets/d/1Uw7-A9f9R21vMXxHZFNpYNeKFtG8_yji4HS352LGlSQ/edit?pli=1#gid=0"",""1_ACUM!A4:S""),18,FALSE))"),"")</f>
        <v/>
      </c>
      <c r="BE77" s="44" t="str">
        <f ca="1">IFERROR(__xludf.DUMMYFUNCTION("IFERROR(VLOOKUP(E91&amp;F91,IMPORTRANGE(""https://docs.google.com/spreadsheets/d/1Uw7-A9f9R21vMXxHZFNpYNeKFtG8_yji4HS352LGlSQ/edit?pli=1#gid=0"",""1_ACUM!A4:S""),19,FALSE))"),"")</f>
        <v/>
      </c>
      <c r="BF77" s="98" t="str">
        <f ca="1">IFERROR(__xludf.DUMMYFUNCTION("IFERROR(VLOOKUP(F91,IMPORTRANGE(""https://docs.google.com/spreadsheets/d/1Kvs4KS76FHFqLFIZfrDMff4kP08nblUkihrxltoGBjg/edit#gid=934712705"",""ESENCIAL!A6:BG""),5,FALSE))"),"")</f>
        <v/>
      </c>
      <c r="BG77" s="98" t="str">
        <f t="shared" si="5"/>
        <v/>
      </c>
      <c r="BH77" s="99" t="str">
        <f t="shared" si="6"/>
        <v/>
      </c>
      <c r="BI77" s="100" t="str">
        <f ca="1">IFERROR(__xludf.DUMMYFUNCTION("IFERROR(VLOOKUP(F91,IMPORTRANGE(""https://docs.google.com/spreadsheets/d/1Kvs4KS76FHFqLFIZfrDMff4kP08nblUkihrxltoGBjg/edit#gid=934712705"",""ESENCIAL!A6:BG""),2,FALSE))"),"")</f>
        <v/>
      </c>
      <c r="BJ77" s="19" t="str">
        <f t="shared" si="7"/>
        <v/>
      </c>
      <c r="BK77" s="100"/>
      <c r="BL77" s="100"/>
    </row>
    <row r="78" spans="1:64" ht="15">
      <c r="A78" s="101"/>
      <c r="B78" s="101"/>
      <c r="G78" s="5" t="str">
        <f ca="1">IFERROR(__xludf.DUMMYFUNCTION("IFERROR(VLOOKUP(F92,IMPORTRANGE(""https://docs.google.com/spreadsheets/d/1Kvs4KS76FHFqLFIZfrDMff4kP08nblUkihrxltoGBjg/edit#gid=934712705"",""ESENCIAL!A6:BG""),3,FALSE))"),"")</f>
        <v/>
      </c>
      <c r="H78" s="5" t="str">
        <f ca="1">IFERROR(__xludf.DUMMYFUNCTION("IFERROR(VLOOKUP(F92,IMPORTRANGE(""https://docs.google.com/spreadsheets/d/1Kvs4KS76FHFqLFIZfrDMff4kP08nblUkihrxltoGBjg/edit#gid=934712705"",""ESENCIAL!A6:BG""),8,FALSE))"),"")</f>
        <v/>
      </c>
      <c r="L78" s="287"/>
      <c r="U78" s="40"/>
      <c r="AU78" s="41" t="str">
        <f t="shared" si="4"/>
        <v/>
      </c>
      <c r="AV78" s="5" t="str">
        <f ca="1">IFERROR(__xludf.DUMMYFUNCTION("IFERROR(VLOOKUP(E92&amp;F92,IMPORTRANGE(""https://docs.google.com/spreadsheets/d/1Uw7-A9f9R21vMXxHZFNpYNeKFtG8_yji4HS352LGlSQ/edit?pli=1#gid=0"",""1_ACUM!A4:S""),11,FALSE))"),"")</f>
        <v/>
      </c>
      <c r="AW78" s="42" t="str">
        <f ca="1">IFERROR(__xludf.DUMMYFUNCTION("IFERROR(VLOOKUP(F92,IMPORTRANGE(""https://docs.google.com/spreadsheets/d/1Kvs4KS76FHFqLFIZfrDMff4kP08nblUkihrxltoGBjg/edit#gid=934712705"",""ESENCIAL!A6:BG""),15,FALSE))"),"")</f>
        <v/>
      </c>
      <c r="AX78" s="21" t="str">
        <f ca="1">IFERROR(__xludf.DUMMYFUNCTION("IFERROR(VLOOKUP(E92&amp;F92,IMPORTRANGE(""https://docs.google.com/spreadsheets/d/1Uw7-A9f9R21vMXxHZFNpYNeKFtG8_yji4HS352LGlSQ/edit?pli=1#gid=0"",""1_ACUM!A4:S""),12,FALSE))"),"")</f>
        <v/>
      </c>
      <c r="AY78" s="43" t="str">
        <f ca="1">IFERROR(__xludf.DUMMYFUNCTION("IFERROR(VLOOKUP(E92&amp;F92,IMPORTRANGE(""https://docs.google.com/spreadsheets/d/1Uw7-A9f9R21vMXxHZFNpYNeKFtG8_yji4HS352LGlSQ/edit?pli=1#gid=0"",""1_ACUM!A4:S""),13,FALSE))"),"")</f>
        <v/>
      </c>
      <c r="AZ78" s="43" t="str">
        <f ca="1">IFERROR(__xludf.DUMMYFUNCTION("IFERROR(VLOOKUP(E92&amp;F92,IMPORTRANGE(""https://docs.google.com/spreadsheets/d/1Uw7-A9f9R21vMXxHZFNpYNeKFtG8_yji4HS352LGlSQ/edit?pli=1#gid=0"",""1_ACUM!A4:S""),14,FALSE))"),"")</f>
        <v/>
      </c>
      <c r="BA78" s="43" t="str">
        <f ca="1">IFERROR(__xludf.DUMMYFUNCTION("IFERROR(VLOOKUP(E92&amp;F92,IMPORTRANGE(""https://docs.google.com/spreadsheets/d/1Uw7-A9f9R21vMXxHZFNpYNeKFtG8_yji4HS352LGlSQ/edit?pli=1#gid=0"",""1_ACUM!A4:S""),15,FALSE))"),"")</f>
        <v/>
      </c>
      <c r="BB78" s="43" t="str">
        <f ca="1">IFERROR(__xludf.DUMMYFUNCTION("IFERROR(VLOOKUP(E92&amp;F92,IMPORTRANGE(""https://docs.google.com/spreadsheets/d/1Uw7-A9f9R21vMXxHZFNpYNeKFtG8_yji4HS352LGlSQ/edit?pli=1#gid=0"",""1_ACUM!A4:S""),16,FALSE))"),"")</f>
        <v/>
      </c>
      <c r="BC78" s="43" t="str">
        <f ca="1">IFERROR(__xludf.DUMMYFUNCTION("IFERROR(VLOOKUP(E92&amp;F92,IMPORTRANGE(""https://docs.google.com/spreadsheets/d/1Uw7-A9f9R21vMXxHZFNpYNeKFtG8_yji4HS352LGlSQ/edit?pli=1#gid=0"",""1_ACUM!A4:S""),17,FALSE))"),"")</f>
        <v/>
      </c>
      <c r="BD78" s="44" t="str">
        <f ca="1">IFERROR(__xludf.DUMMYFUNCTION("IFERROR(VLOOKUP(E92&amp;F92,IMPORTRANGE(""https://docs.google.com/spreadsheets/d/1Uw7-A9f9R21vMXxHZFNpYNeKFtG8_yji4HS352LGlSQ/edit?pli=1#gid=0"",""1_ACUM!A4:S""),18,FALSE))"),"")</f>
        <v/>
      </c>
      <c r="BE78" s="44" t="str">
        <f ca="1">IFERROR(__xludf.DUMMYFUNCTION("IFERROR(VLOOKUP(E92&amp;F92,IMPORTRANGE(""https://docs.google.com/spreadsheets/d/1Uw7-A9f9R21vMXxHZFNpYNeKFtG8_yji4HS352LGlSQ/edit?pli=1#gid=0"",""1_ACUM!A4:S""),19,FALSE))"),"")</f>
        <v/>
      </c>
      <c r="BF78" s="98" t="str">
        <f ca="1">IFERROR(__xludf.DUMMYFUNCTION("IFERROR(VLOOKUP(F92,IMPORTRANGE(""https://docs.google.com/spreadsheets/d/1Kvs4KS76FHFqLFIZfrDMff4kP08nblUkihrxltoGBjg/edit#gid=934712705"",""ESENCIAL!A6:BG""),5,FALSE))"),"")</f>
        <v/>
      </c>
      <c r="BG78" s="98" t="str">
        <f t="shared" si="5"/>
        <v/>
      </c>
      <c r="BH78" s="99" t="str">
        <f t="shared" si="6"/>
        <v/>
      </c>
      <c r="BI78" s="100" t="str">
        <f ca="1">IFERROR(__xludf.DUMMYFUNCTION("IFERROR(VLOOKUP(F92,IMPORTRANGE(""https://docs.google.com/spreadsheets/d/1Kvs4KS76FHFqLFIZfrDMff4kP08nblUkihrxltoGBjg/edit#gid=934712705"",""ESENCIAL!A6:BG""),2,FALSE))"),"")</f>
        <v/>
      </c>
      <c r="BJ78" s="19" t="str">
        <f t="shared" si="7"/>
        <v/>
      </c>
      <c r="BK78" s="100"/>
      <c r="BL78" s="100"/>
    </row>
    <row r="79" spans="1:64" ht="15">
      <c r="A79" s="101"/>
      <c r="B79" s="101"/>
      <c r="G79" s="5" t="str">
        <f ca="1">IFERROR(__xludf.DUMMYFUNCTION("IFERROR(VLOOKUP(F93,IMPORTRANGE(""https://docs.google.com/spreadsheets/d/1Kvs4KS76FHFqLFIZfrDMff4kP08nblUkihrxltoGBjg/edit#gid=934712705"",""ESENCIAL!A6:BG""),3,FALSE))"),"")</f>
        <v/>
      </c>
      <c r="H79" s="5" t="str">
        <f ca="1">IFERROR(__xludf.DUMMYFUNCTION("IFERROR(VLOOKUP(F93,IMPORTRANGE(""https://docs.google.com/spreadsheets/d/1Kvs4KS76FHFqLFIZfrDMff4kP08nblUkihrxltoGBjg/edit#gid=934712705"",""ESENCIAL!A6:BG""),8,FALSE))"),"")</f>
        <v/>
      </c>
      <c r="L79" s="287"/>
      <c r="U79" s="40"/>
      <c r="AU79" s="41" t="str">
        <f t="shared" si="4"/>
        <v/>
      </c>
      <c r="AV79" s="5" t="str">
        <f ca="1">IFERROR(__xludf.DUMMYFUNCTION("IFERROR(VLOOKUP(E93&amp;F93,IMPORTRANGE(""https://docs.google.com/spreadsheets/d/1Uw7-A9f9R21vMXxHZFNpYNeKFtG8_yji4HS352LGlSQ/edit?pli=1#gid=0"",""1_ACUM!A4:S""),11,FALSE))"),"")</f>
        <v/>
      </c>
      <c r="AW79" s="42" t="str">
        <f ca="1">IFERROR(__xludf.DUMMYFUNCTION("IFERROR(VLOOKUP(F93,IMPORTRANGE(""https://docs.google.com/spreadsheets/d/1Kvs4KS76FHFqLFIZfrDMff4kP08nblUkihrxltoGBjg/edit#gid=934712705"",""ESENCIAL!A6:BG""),15,FALSE))"),"")</f>
        <v/>
      </c>
      <c r="AX79" s="21" t="str">
        <f ca="1">IFERROR(__xludf.DUMMYFUNCTION("IFERROR(VLOOKUP(E93&amp;F93,IMPORTRANGE(""https://docs.google.com/spreadsheets/d/1Uw7-A9f9R21vMXxHZFNpYNeKFtG8_yji4HS352LGlSQ/edit?pli=1#gid=0"",""1_ACUM!A4:S""),12,FALSE))"),"")</f>
        <v/>
      </c>
      <c r="AY79" s="43" t="str">
        <f ca="1">IFERROR(__xludf.DUMMYFUNCTION("IFERROR(VLOOKUP(E93&amp;F93,IMPORTRANGE(""https://docs.google.com/spreadsheets/d/1Uw7-A9f9R21vMXxHZFNpYNeKFtG8_yji4HS352LGlSQ/edit?pli=1#gid=0"",""1_ACUM!A4:S""),13,FALSE))"),"")</f>
        <v/>
      </c>
      <c r="AZ79" s="43" t="str">
        <f ca="1">IFERROR(__xludf.DUMMYFUNCTION("IFERROR(VLOOKUP(E93&amp;F93,IMPORTRANGE(""https://docs.google.com/spreadsheets/d/1Uw7-A9f9R21vMXxHZFNpYNeKFtG8_yji4HS352LGlSQ/edit?pli=1#gid=0"",""1_ACUM!A4:S""),14,FALSE))"),"")</f>
        <v/>
      </c>
      <c r="BA79" s="43" t="str">
        <f ca="1">IFERROR(__xludf.DUMMYFUNCTION("IFERROR(VLOOKUP(E93&amp;F93,IMPORTRANGE(""https://docs.google.com/spreadsheets/d/1Uw7-A9f9R21vMXxHZFNpYNeKFtG8_yji4HS352LGlSQ/edit?pli=1#gid=0"",""1_ACUM!A4:S""),15,FALSE))"),"")</f>
        <v/>
      </c>
      <c r="BB79" s="43" t="str">
        <f ca="1">IFERROR(__xludf.DUMMYFUNCTION("IFERROR(VLOOKUP(E93&amp;F93,IMPORTRANGE(""https://docs.google.com/spreadsheets/d/1Uw7-A9f9R21vMXxHZFNpYNeKFtG8_yji4HS352LGlSQ/edit?pli=1#gid=0"",""1_ACUM!A4:S""),16,FALSE))"),"")</f>
        <v/>
      </c>
      <c r="BC79" s="43" t="str">
        <f ca="1">IFERROR(__xludf.DUMMYFUNCTION("IFERROR(VLOOKUP(E93&amp;F93,IMPORTRANGE(""https://docs.google.com/spreadsheets/d/1Uw7-A9f9R21vMXxHZFNpYNeKFtG8_yji4HS352LGlSQ/edit?pli=1#gid=0"",""1_ACUM!A4:S""),17,FALSE))"),"")</f>
        <v/>
      </c>
      <c r="BD79" s="44" t="str">
        <f ca="1">IFERROR(__xludf.DUMMYFUNCTION("IFERROR(VLOOKUP(E93&amp;F93,IMPORTRANGE(""https://docs.google.com/spreadsheets/d/1Uw7-A9f9R21vMXxHZFNpYNeKFtG8_yji4HS352LGlSQ/edit?pli=1#gid=0"",""1_ACUM!A4:S""),18,FALSE))"),"")</f>
        <v/>
      </c>
      <c r="BE79" s="44" t="str">
        <f ca="1">IFERROR(__xludf.DUMMYFUNCTION("IFERROR(VLOOKUP(E93&amp;F93,IMPORTRANGE(""https://docs.google.com/spreadsheets/d/1Uw7-A9f9R21vMXxHZFNpYNeKFtG8_yji4HS352LGlSQ/edit?pli=1#gid=0"",""1_ACUM!A4:S""),19,FALSE))"),"")</f>
        <v/>
      </c>
      <c r="BF79" s="98" t="str">
        <f ca="1">IFERROR(__xludf.DUMMYFUNCTION("IFERROR(VLOOKUP(F93,IMPORTRANGE(""https://docs.google.com/spreadsheets/d/1Kvs4KS76FHFqLFIZfrDMff4kP08nblUkihrxltoGBjg/edit#gid=934712705"",""ESENCIAL!A6:BG""),5,FALSE))"),"")</f>
        <v/>
      </c>
      <c r="BG79" s="98" t="str">
        <f t="shared" si="5"/>
        <v/>
      </c>
      <c r="BH79" s="99" t="str">
        <f t="shared" si="6"/>
        <v/>
      </c>
      <c r="BI79" s="100" t="str">
        <f ca="1">IFERROR(__xludf.DUMMYFUNCTION("IFERROR(VLOOKUP(F93,IMPORTRANGE(""https://docs.google.com/spreadsheets/d/1Kvs4KS76FHFqLFIZfrDMff4kP08nblUkihrxltoGBjg/edit#gid=934712705"",""ESENCIAL!A6:BG""),2,FALSE))"),"")</f>
        <v/>
      </c>
      <c r="BJ79" s="19" t="str">
        <f t="shared" si="7"/>
        <v/>
      </c>
      <c r="BK79" s="100"/>
      <c r="BL79" s="100"/>
    </row>
    <row r="80" spans="1:64" ht="15">
      <c r="A80" s="101"/>
      <c r="B80" s="101"/>
      <c r="G80" s="5" t="str">
        <f ca="1">IFERROR(__xludf.DUMMYFUNCTION("IFERROR(VLOOKUP(F94,IMPORTRANGE(""https://docs.google.com/spreadsheets/d/1Kvs4KS76FHFqLFIZfrDMff4kP08nblUkihrxltoGBjg/edit#gid=934712705"",""ESENCIAL!A6:BG""),3,FALSE))"),"")</f>
        <v/>
      </c>
      <c r="H80" s="5" t="str">
        <f ca="1">IFERROR(__xludf.DUMMYFUNCTION("IFERROR(VLOOKUP(F94,IMPORTRANGE(""https://docs.google.com/spreadsheets/d/1Kvs4KS76FHFqLFIZfrDMff4kP08nblUkihrxltoGBjg/edit#gid=934712705"",""ESENCIAL!A6:BG""),8,FALSE))"),"")</f>
        <v/>
      </c>
      <c r="L80" s="287"/>
      <c r="U80" s="40"/>
      <c r="AU80" s="41" t="str">
        <f t="shared" si="4"/>
        <v/>
      </c>
      <c r="AV80" s="5" t="str">
        <f ca="1">IFERROR(__xludf.DUMMYFUNCTION("IFERROR(VLOOKUP(E94&amp;F94,IMPORTRANGE(""https://docs.google.com/spreadsheets/d/1Uw7-A9f9R21vMXxHZFNpYNeKFtG8_yji4HS352LGlSQ/edit?pli=1#gid=0"",""1_ACUM!A4:S""),11,FALSE))"),"")</f>
        <v/>
      </c>
      <c r="AW80" s="42" t="str">
        <f ca="1">IFERROR(__xludf.DUMMYFUNCTION("IFERROR(VLOOKUP(F94,IMPORTRANGE(""https://docs.google.com/spreadsheets/d/1Kvs4KS76FHFqLFIZfrDMff4kP08nblUkihrxltoGBjg/edit#gid=934712705"",""ESENCIAL!A6:BG""),15,FALSE))"),"")</f>
        <v/>
      </c>
      <c r="AX80" s="21" t="str">
        <f ca="1">IFERROR(__xludf.DUMMYFUNCTION("IFERROR(VLOOKUP(E94&amp;F94,IMPORTRANGE(""https://docs.google.com/spreadsheets/d/1Uw7-A9f9R21vMXxHZFNpYNeKFtG8_yji4HS352LGlSQ/edit?pli=1#gid=0"",""1_ACUM!A4:S""),12,FALSE))"),"")</f>
        <v/>
      </c>
      <c r="AY80" s="43" t="str">
        <f ca="1">IFERROR(__xludf.DUMMYFUNCTION("IFERROR(VLOOKUP(E94&amp;F94,IMPORTRANGE(""https://docs.google.com/spreadsheets/d/1Uw7-A9f9R21vMXxHZFNpYNeKFtG8_yji4HS352LGlSQ/edit?pli=1#gid=0"",""1_ACUM!A4:S""),13,FALSE))"),"")</f>
        <v/>
      </c>
      <c r="AZ80" s="43" t="str">
        <f ca="1">IFERROR(__xludf.DUMMYFUNCTION("IFERROR(VLOOKUP(E94&amp;F94,IMPORTRANGE(""https://docs.google.com/spreadsheets/d/1Uw7-A9f9R21vMXxHZFNpYNeKFtG8_yji4HS352LGlSQ/edit?pli=1#gid=0"",""1_ACUM!A4:S""),14,FALSE))"),"")</f>
        <v/>
      </c>
      <c r="BA80" s="43" t="str">
        <f ca="1">IFERROR(__xludf.DUMMYFUNCTION("IFERROR(VLOOKUP(E94&amp;F94,IMPORTRANGE(""https://docs.google.com/spreadsheets/d/1Uw7-A9f9R21vMXxHZFNpYNeKFtG8_yji4HS352LGlSQ/edit?pli=1#gid=0"",""1_ACUM!A4:S""),15,FALSE))"),"")</f>
        <v/>
      </c>
      <c r="BB80" s="43" t="str">
        <f ca="1">IFERROR(__xludf.DUMMYFUNCTION("IFERROR(VLOOKUP(E94&amp;F94,IMPORTRANGE(""https://docs.google.com/spreadsheets/d/1Uw7-A9f9R21vMXxHZFNpYNeKFtG8_yji4HS352LGlSQ/edit?pli=1#gid=0"",""1_ACUM!A4:S""),16,FALSE))"),"")</f>
        <v/>
      </c>
      <c r="BC80" s="43" t="str">
        <f ca="1">IFERROR(__xludf.DUMMYFUNCTION("IFERROR(VLOOKUP(E94&amp;F94,IMPORTRANGE(""https://docs.google.com/spreadsheets/d/1Uw7-A9f9R21vMXxHZFNpYNeKFtG8_yji4HS352LGlSQ/edit?pli=1#gid=0"",""1_ACUM!A4:S""),17,FALSE))"),"")</f>
        <v/>
      </c>
      <c r="BD80" s="44" t="str">
        <f ca="1">IFERROR(__xludf.DUMMYFUNCTION("IFERROR(VLOOKUP(E94&amp;F94,IMPORTRANGE(""https://docs.google.com/spreadsheets/d/1Uw7-A9f9R21vMXxHZFNpYNeKFtG8_yji4HS352LGlSQ/edit?pli=1#gid=0"",""1_ACUM!A4:S""),18,FALSE))"),"")</f>
        <v/>
      </c>
      <c r="BE80" s="44" t="str">
        <f ca="1">IFERROR(__xludf.DUMMYFUNCTION("IFERROR(VLOOKUP(E94&amp;F94,IMPORTRANGE(""https://docs.google.com/spreadsheets/d/1Uw7-A9f9R21vMXxHZFNpYNeKFtG8_yji4HS352LGlSQ/edit?pli=1#gid=0"",""1_ACUM!A4:S""),19,FALSE))"),"")</f>
        <v/>
      </c>
      <c r="BF80" s="98" t="str">
        <f ca="1">IFERROR(__xludf.DUMMYFUNCTION("IFERROR(VLOOKUP(F94,IMPORTRANGE(""https://docs.google.com/spreadsheets/d/1Kvs4KS76FHFqLFIZfrDMff4kP08nblUkihrxltoGBjg/edit#gid=934712705"",""ESENCIAL!A6:BG""),5,FALSE))"),"")</f>
        <v/>
      </c>
      <c r="BG80" s="98" t="str">
        <f t="shared" si="5"/>
        <v/>
      </c>
      <c r="BH80" s="99" t="str">
        <f t="shared" si="6"/>
        <v/>
      </c>
      <c r="BI80" s="100" t="str">
        <f ca="1">IFERROR(__xludf.DUMMYFUNCTION("IFERROR(VLOOKUP(F94,IMPORTRANGE(""https://docs.google.com/spreadsheets/d/1Kvs4KS76FHFqLFIZfrDMff4kP08nblUkihrxltoGBjg/edit#gid=934712705"",""ESENCIAL!A6:BG""),2,FALSE))"),"")</f>
        <v/>
      </c>
      <c r="BJ80" s="19" t="str">
        <f t="shared" si="7"/>
        <v/>
      </c>
      <c r="BK80" s="100"/>
      <c r="BL80" s="100"/>
    </row>
    <row r="81" spans="1:64" ht="15">
      <c r="A81" s="101"/>
      <c r="B81" s="101"/>
      <c r="G81" s="5" t="str">
        <f ca="1">IFERROR(__xludf.DUMMYFUNCTION("IFERROR(VLOOKUP(F95,IMPORTRANGE(""https://docs.google.com/spreadsheets/d/1Kvs4KS76FHFqLFIZfrDMff4kP08nblUkihrxltoGBjg/edit#gid=934712705"",""ESENCIAL!A6:BG""),3,FALSE))"),"")</f>
        <v/>
      </c>
      <c r="H81" s="5" t="str">
        <f ca="1">IFERROR(__xludf.DUMMYFUNCTION("IFERROR(VLOOKUP(F95,IMPORTRANGE(""https://docs.google.com/spreadsheets/d/1Kvs4KS76FHFqLFIZfrDMff4kP08nblUkihrxltoGBjg/edit#gid=934712705"",""ESENCIAL!A6:BG""),8,FALSE))"),"")</f>
        <v/>
      </c>
      <c r="L81" s="287"/>
      <c r="U81" s="40"/>
      <c r="AU81" s="41" t="str">
        <f t="shared" si="4"/>
        <v/>
      </c>
      <c r="AV81" s="5" t="str">
        <f ca="1">IFERROR(__xludf.DUMMYFUNCTION("IFERROR(VLOOKUP(E95&amp;F95,IMPORTRANGE(""https://docs.google.com/spreadsheets/d/1Uw7-A9f9R21vMXxHZFNpYNeKFtG8_yji4HS352LGlSQ/edit?pli=1#gid=0"",""1_ACUM!A4:S""),11,FALSE))"),"")</f>
        <v/>
      </c>
      <c r="AW81" s="42" t="str">
        <f ca="1">IFERROR(__xludf.DUMMYFUNCTION("IFERROR(VLOOKUP(F95,IMPORTRANGE(""https://docs.google.com/spreadsheets/d/1Kvs4KS76FHFqLFIZfrDMff4kP08nblUkihrxltoGBjg/edit#gid=934712705"",""ESENCIAL!A6:BG""),15,FALSE))"),"")</f>
        <v/>
      </c>
      <c r="AX81" s="21" t="str">
        <f ca="1">IFERROR(__xludf.DUMMYFUNCTION("IFERROR(VLOOKUP(E95&amp;F95,IMPORTRANGE(""https://docs.google.com/spreadsheets/d/1Uw7-A9f9R21vMXxHZFNpYNeKFtG8_yji4HS352LGlSQ/edit?pli=1#gid=0"",""1_ACUM!A4:S""),12,FALSE))"),"")</f>
        <v/>
      </c>
      <c r="AY81" s="43" t="str">
        <f ca="1">IFERROR(__xludf.DUMMYFUNCTION("IFERROR(VLOOKUP(E95&amp;F95,IMPORTRANGE(""https://docs.google.com/spreadsheets/d/1Uw7-A9f9R21vMXxHZFNpYNeKFtG8_yji4HS352LGlSQ/edit?pli=1#gid=0"",""1_ACUM!A4:S""),13,FALSE))"),"")</f>
        <v/>
      </c>
      <c r="AZ81" s="43" t="str">
        <f ca="1">IFERROR(__xludf.DUMMYFUNCTION("IFERROR(VLOOKUP(E95&amp;F95,IMPORTRANGE(""https://docs.google.com/spreadsheets/d/1Uw7-A9f9R21vMXxHZFNpYNeKFtG8_yji4HS352LGlSQ/edit?pli=1#gid=0"",""1_ACUM!A4:S""),14,FALSE))"),"")</f>
        <v/>
      </c>
      <c r="BA81" s="43" t="str">
        <f ca="1">IFERROR(__xludf.DUMMYFUNCTION("IFERROR(VLOOKUP(E95&amp;F95,IMPORTRANGE(""https://docs.google.com/spreadsheets/d/1Uw7-A9f9R21vMXxHZFNpYNeKFtG8_yji4HS352LGlSQ/edit?pli=1#gid=0"",""1_ACUM!A4:S""),15,FALSE))"),"")</f>
        <v/>
      </c>
      <c r="BB81" s="43" t="str">
        <f ca="1">IFERROR(__xludf.DUMMYFUNCTION("IFERROR(VLOOKUP(E95&amp;F95,IMPORTRANGE(""https://docs.google.com/spreadsheets/d/1Uw7-A9f9R21vMXxHZFNpYNeKFtG8_yji4HS352LGlSQ/edit?pli=1#gid=0"",""1_ACUM!A4:S""),16,FALSE))"),"")</f>
        <v/>
      </c>
      <c r="BC81" s="43" t="str">
        <f ca="1">IFERROR(__xludf.DUMMYFUNCTION("IFERROR(VLOOKUP(E95&amp;F95,IMPORTRANGE(""https://docs.google.com/spreadsheets/d/1Uw7-A9f9R21vMXxHZFNpYNeKFtG8_yji4HS352LGlSQ/edit?pli=1#gid=0"",""1_ACUM!A4:S""),17,FALSE))"),"")</f>
        <v/>
      </c>
      <c r="BD81" s="44" t="str">
        <f ca="1">IFERROR(__xludf.DUMMYFUNCTION("IFERROR(VLOOKUP(E95&amp;F95,IMPORTRANGE(""https://docs.google.com/spreadsheets/d/1Uw7-A9f9R21vMXxHZFNpYNeKFtG8_yji4HS352LGlSQ/edit?pli=1#gid=0"",""1_ACUM!A4:S""),18,FALSE))"),"")</f>
        <v/>
      </c>
      <c r="BE81" s="44" t="str">
        <f ca="1">IFERROR(__xludf.DUMMYFUNCTION("IFERROR(VLOOKUP(E95&amp;F95,IMPORTRANGE(""https://docs.google.com/spreadsheets/d/1Uw7-A9f9R21vMXxHZFNpYNeKFtG8_yji4HS352LGlSQ/edit?pli=1#gid=0"",""1_ACUM!A4:S""),19,FALSE))"),"")</f>
        <v/>
      </c>
      <c r="BF81" s="98" t="str">
        <f ca="1">IFERROR(__xludf.DUMMYFUNCTION("IFERROR(VLOOKUP(F95,IMPORTRANGE(""https://docs.google.com/spreadsheets/d/1Kvs4KS76FHFqLFIZfrDMff4kP08nblUkihrxltoGBjg/edit#gid=934712705"",""ESENCIAL!A6:BG""),5,FALSE))"),"")</f>
        <v/>
      </c>
      <c r="BG81" s="98" t="str">
        <f t="shared" si="5"/>
        <v/>
      </c>
      <c r="BH81" s="99" t="str">
        <f t="shared" si="6"/>
        <v/>
      </c>
      <c r="BI81" s="100" t="str">
        <f ca="1">IFERROR(__xludf.DUMMYFUNCTION("IFERROR(VLOOKUP(F95,IMPORTRANGE(""https://docs.google.com/spreadsheets/d/1Kvs4KS76FHFqLFIZfrDMff4kP08nblUkihrxltoGBjg/edit#gid=934712705"",""ESENCIAL!A6:BG""),2,FALSE))"),"")</f>
        <v/>
      </c>
      <c r="BJ81" s="19" t="str">
        <f t="shared" si="7"/>
        <v/>
      </c>
      <c r="BK81" s="100"/>
      <c r="BL81" s="100"/>
    </row>
    <row r="82" spans="1:64" ht="15">
      <c r="A82" s="101"/>
      <c r="B82" s="101"/>
      <c r="G82" s="5" t="str">
        <f ca="1">IFERROR(__xludf.DUMMYFUNCTION("IFERROR(VLOOKUP(F96,IMPORTRANGE(""https://docs.google.com/spreadsheets/d/1Kvs4KS76FHFqLFIZfrDMff4kP08nblUkihrxltoGBjg/edit#gid=934712705"",""ESENCIAL!A6:BG""),3,FALSE))"),"")</f>
        <v/>
      </c>
      <c r="H82" s="5" t="str">
        <f ca="1">IFERROR(__xludf.DUMMYFUNCTION("IFERROR(VLOOKUP(F96,IMPORTRANGE(""https://docs.google.com/spreadsheets/d/1Kvs4KS76FHFqLFIZfrDMff4kP08nblUkihrxltoGBjg/edit#gid=934712705"",""ESENCIAL!A6:BG""),8,FALSE))"),"")</f>
        <v/>
      </c>
      <c r="L82" s="287"/>
      <c r="U82" s="40"/>
      <c r="AU82" s="41" t="str">
        <f t="shared" si="4"/>
        <v/>
      </c>
      <c r="AV82" s="5" t="str">
        <f ca="1">IFERROR(__xludf.DUMMYFUNCTION("IFERROR(VLOOKUP(E96&amp;F96,IMPORTRANGE(""https://docs.google.com/spreadsheets/d/1Uw7-A9f9R21vMXxHZFNpYNeKFtG8_yji4HS352LGlSQ/edit?pli=1#gid=0"",""1_ACUM!A4:S""),11,FALSE))"),"")</f>
        <v/>
      </c>
      <c r="AW82" s="42" t="str">
        <f ca="1">IFERROR(__xludf.DUMMYFUNCTION("IFERROR(VLOOKUP(F96,IMPORTRANGE(""https://docs.google.com/spreadsheets/d/1Kvs4KS76FHFqLFIZfrDMff4kP08nblUkihrxltoGBjg/edit#gid=934712705"",""ESENCIAL!A6:BG""),15,FALSE))"),"")</f>
        <v/>
      </c>
      <c r="AX82" s="21" t="str">
        <f ca="1">IFERROR(__xludf.DUMMYFUNCTION("IFERROR(VLOOKUP(E96&amp;F96,IMPORTRANGE(""https://docs.google.com/spreadsheets/d/1Uw7-A9f9R21vMXxHZFNpYNeKFtG8_yji4HS352LGlSQ/edit?pli=1#gid=0"",""1_ACUM!A4:S""),12,FALSE))"),"")</f>
        <v/>
      </c>
      <c r="AY82" s="43" t="str">
        <f ca="1">IFERROR(__xludf.DUMMYFUNCTION("IFERROR(VLOOKUP(E96&amp;F96,IMPORTRANGE(""https://docs.google.com/spreadsheets/d/1Uw7-A9f9R21vMXxHZFNpYNeKFtG8_yji4HS352LGlSQ/edit?pli=1#gid=0"",""1_ACUM!A4:S""),13,FALSE))"),"")</f>
        <v/>
      </c>
      <c r="AZ82" s="43" t="str">
        <f ca="1">IFERROR(__xludf.DUMMYFUNCTION("IFERROR(VLOOKUP(E96&amp;F96,IMPORTRANGE(""https://docs.google.com/spreadsheets/d/1Uw7-A9f9R21vMXxHZFNpYNeKFtG8_yji4HS352LGlSQ/edit?pli=1#gid=0"",""1_ACUM!A4:S""),14,FALSE))"),"")</f>
        <v/>
      </c>
      <c r="BA82" s="43" t="str">
        <f ca="1">IFERROR(__xludf.DUMMYFUNCTION("IFERROR(VLOOKUP(E96&amp;F96,IMPORTRANGE(""https://docs.google.com/spreadsheets/d/1Uw7-A9f9R21vMXxHZFNpYNeKFtG8_yji4HS352LGlSQ/edit?pli=1#gid=0"",""1_ACUM!A4:S""),15,FALSE))"),"")</f>
        <v/>
      </c>
      <c r="BB82" s="43" t="str">
        <f ca="1">IFERROR(__xludf.DUMMYFUNCTION("IFERROR(VLOOKUP(E96&amp;F96,IMPORTRANGE(""https://docs.google.com/spreadsheets/d/1Uw7-A9f9R21vMXxHZFNpYNeKFtG8_yji4HS352LGlSQ/edit?pli=1#gid=0"",""1_ACUM!A4:S""),16,FALSE))"),"")</f>
        <v/>
      </c>
      <c r="BC82" s="43" t="str">
        <f ca="1">IFERROR(__xludf.DUMMYFUNCTION("IFERROR(VLOOKUP(E96&amp;F96,IMPORTRANGE(""https://docs.google.com/spreadsheets/d/1Uw7-A9f9R21vMXxHZFNpYNeKFtG8_yji4HS352LGlSQ/edit?pli=1#gid=0"",""1_ACUM!A4:S""),17,FALSE))"),"")</f>
        <v/>
      </c>
      <c r="BD82" s="44" t="str">
        <f ca="1">IFERROR(__xludf.DUMMYFUNCTION("IFERROR(VLOOKUP(E96&amp;F96,IMPORTRANGE(""https://docs.google.com/spreadsheets/d/1Uw7-A9f9R21vMXxHZFNpYNeKFtG8_yji4HS352LGlSQ/edit?pli=1#gid=0"",""1_ACUM!A4:S""),18,FALSE))"),"")</f>
        <v/>
      </c>
      <c r="BE82" s="44" t="str">
        <f ca="1">IFERROR(__xludf.DUMMYFUNCTION("IFERROR(VLOOKUP(E96&amp;F96,IMPORTRANGE(""https://docs.google.com/spreadsheets/d/1Uw7-A9f9R21vMXxHZFNpYNeKFtG8_yji4HS352LGlSQ/edit?pli=1#gid=0"",""1_ACUM!A4:S""),19,FALSE))"),"")</f>
        <v/>
      </c>
      <c r="BF82" s="98" t="str">
        <f ca="1">IFERROR(__xludf.DUMMYFUNCTION("IFERROR(VLOOKUP(F96,IMPORTRANGE(""https://docs.google.com/spreadsheets/d/1Kvs4KS76FHFqLFIZfrDMff4kP08nblUkihrxltoGBjg/edit#gid=934712705"",""ESENCIAL!A6:BG""),5,FALSE))"),"")</f>
        <v/>
      </c>
      <c r="BG82" s="98" t="str">
        <f t="shared" si="5"/>
        <v/>
      </c>
      <c r="BH82" s="99" t="str">
        <f t="shared" si="6"/>
        <v/>
      </c>
      <c r="BI82" s="100" t="str">
        <f ca="1">IFERROR(__xludf.DUMMYFUNCTION("IFERROR(VLOOKUP(F96,IMPORTRANGE(""https://docs.google.com/spreadsheets/d/1Kvs4KS76FHFqLFIZfrDMff4kP08nblUkihrxltoGBjg/edit#gid=934712705"",""ESENCIAL!A6:BG""),2,FALSE))"),"")</f>
        <v/>
      </c>
      <c r="BJ82" s="19" t="str">
        <f t="shared" si="7"/>
        <v/>
      </c>
      <c r="BK82" s="100"/>
      <c r="BL82" s="100"/>
    </row>
    <row r="83" spans="1:64" ht="15">
      <c r="A83" s="101"/>
      <c r="B83" s="101"/>
      <c r="G83" s="5" t="str">
        <f ca="1">IFERROR(__xludf.DUMMYFUNCTION("IFERROR(VLOOKUP(F97,IMPORTRANGE(""https://docs.google.com/spreadsheets/d/1Kvs4KS76FHFqLFIZfrDMff4kP08nblUkihrxltoGBjg/edit#gid=934712705"",""ESENCIAL!A6:BG""),3,FALSE))"),"")</f>
        <v/>
      </c>
      <c r="H83" s="5" t="str">
        <f ca="1">IFERROR(__xludf.DUMMYFUNCTION("IFERROR(VLOOKUP(F97,IMPORTRANGE(""https://docs.google.com/spreadsheets/d/1Kvs4KS76FHFqLFIZfrDMff4kP08nblUkihrxltoGBjg/edit#gid=934712705"",""ESENCIAL!A6:BG""),8,FALSE))"),"")</f>
        <v/>
      </c>
      <c r="L83" s="287"/>
      <c r="U83" s="40"/>
      <c r="AU83" s="41" t="str">
        <f t="shared" si="4"/>
        <v/>
      </c>
      <c r="AV83" s="5" t="str">
        <f ca="1">IFERROR(__xludf.DUMMYFUNCTION("IFERROR(VLOOKUP(E97&amp;F97,IMPORTRANGE(""https://docs.google.com/spreadsheets/d/1Uw7-A9f9R21vMXxHZFNpYNeKFtG8_yji4HS352LGlSQ/edit?pli=1#gid=0"",""1_ACUM!A4:S""),11,FALSE))"),"")</f>
        <v/>
      </c>
      <c r="AW83" s="42" t="str">
        <f ca="1">IFERROR(__xludf.DUMMYFUNCTION("IFERROR(VLOOKUP(F97,IMPORTRANGE(""https://docs.google.com/spreadsheets/d/1Kvs4KS76FHFqLFIZfrDMff4kP08nblUkihrxltoGBjg/edit#gid=934712705"",""ESENCIAL!A6:BG""),15,FALSE))"),"")</f>
        <v/>
      </c>
      <c r="AX83" s="21" t="str">
        <f ca="1">IFERROR(__xludf.DUMMYFUNCTION("IFERROR(VLOOKUP(E97&amp;F97,IMPORTRANGE(""https://docs.google.com/spreadsheets/d/1Uw7-A9f9R21vMXxHZFNpYNeKFtG8_yji4HS352LGlSQ/edit?pli=1#gid=0"",""1_ACUM!A4:S""),12,FALSE))"),"")</f>
        <v/>
      </c>
      <c r="AY83" s="43" t="str">
        <f ca="1">IFERROR(__xludf.DUMMYFUNCTION("IFERROR(VLOOKUP(E97&amp;F97,IMPORTRANGE(""https://docs.google.com/spreadsheets/d/1Uw7-A9f9R21vMXxHZFNpYNeKFtG8_yji4HS352LGlSQ/edit?pli=1#gid=0"",""1_ACUM!A4:S""),13,FALSE))"),"")</f>
        <v/>
      </c>
      <c r="AZ83" s="43" t="str">
        <f ca="1">IFERROR(__xludf.DUMMYFUNCTION("IFERROR(VLOOKUP(E97&amp;F97,IMPORTRANGE(""https://docs.google.com/spreadsheets/d/1Uw7-A9f9R21vMXxHZFNpYNeKFtG8_yji4HS352LGlSQ/edit?pli=1#gid=0"",""1_ACUM!A4:S""),14,FALSE))"),"")</f>
        <v/>
      </c>
      <c r="BA83" s="43" t="str">
        <f ca="1">IFERROR(__xludf.DUMMYFUNCTION("IFERROR(VLOOKUP(E97&amp;F97,IMPORTRANGE(""https://docs.google.com/spreadsheets/d/1Uw7-A9f9R21vMXxHZFNpYNeKFtG8_yji4HS352LGlSQ/edit?pli=1#gid=0"",""1_ACUM!A4:S""),15,FALSE))"),"")</f>
        <v/>
      </c>
      <c r="BB83" s="43" t="str">
        <f ca="1">IFERROR(__xludf.DUMMYFUNCTION("IFERROR(VLOOKUP(E97&amp;F97,IMPORTRANGE(""https://docs.google.com/spreadsheets/d/1Uw7-A9f9R21vMXxHZFNpYNeKFtG8_yji4HS352LGlSQ/edit?pli=1#gid=0"",""1_ACUM!A4:S""),16,FALSE))"),"")</f>
        <v/>
      </c>
      <c r="BC83" s="43" t="str">
        <f ca="1">IFERROR(__xludf.DUMMYFUNCTION("IFERROR(VLOOKUP(E97&amp;F97,IMPORTRANGE(""https://docs.google.com/spreadsheets/d/1Uw7-A9f9R21vMXxHZFNpYNeKFtG8_yji4HS352LGlSQ/edit?pli=1#gid=0"",""1_ACUM!A4:S""),17,FALSE))"),"")</f>
        <v/>
      </c>
      <c r="BD83" s="44" t="str">
        <f ca="1">IFERROR(__xludf.DUMMYFUNCTION("IFERROR(VLOOKUP(E97&amp;F97,IMPORTRANGE(""https://docs.google.com/spreadsheets/d/1Uw7-A9f9R21vMXxHZFNpYNeKFtG8_yji4HS352LGlSQ/edit?pli=1#gid=0"",""1_ACUM!A4:S""),18,FALSE))"),"")</f>
        <v/>
      </c>
      <c r="BE83" s="44" t="str">
        <f ca="1">IFERROR(__xludf.DUMMYFUNCTION("IFERROR(VLOOKUP(E97&amp;F97,IMPORTRANGE(""https://docs.google.com/spreadsheets/d/1Uw7-A9f9R21vMXxHZFNpYNeKFtG8_yji4HS352LGlSQ/edit?pli=1#gid=0"",""1_ACUM!A4:S""),19,FALSE))"),"")</f>
        <v/>
      </c>
      <c r="BF83" s="98" t="str">
        <f ca="1">IFERROR(__xludf.DUMMYFUNCTION("IFERROR(VLOOKUP(F97,IMPORTRANGE(""https://docs.google.com/spreadsheets/d/1Kvs4KS76FHFqLFIZfrDMff4kP08nblUkihrxltoGBjg/edit#gid=934712705"",""ESENCIAL!A6:BG""),5,FALSE))"),"")</f>
        <v/>
      </c>
      <c r="BG83" s="98" t="str">
        <f t="shared" si="5"/>
        <v/>
      </c>
      <c r="BH83" s="99" t="str">
        <f t="shared" si="6"/>
        <v/>
      </c>
      <c r="BI83" s="100" t="str">
        <f ca="1">IFERROR(__xludf.DUMMYFUNCTION("IFERROR(VLOOKUP(F97,IMPORTRANGE(""https://docs.google.com/spreadsheets/d/1Kvs4KS76FHFqLFIZfrDMff4kP08nblUkihrxltoGBjg/edit#gid=934712705"",""ESENCIAL!A6:BG""),2,FALSE))"),"")</f>
        <v/>
      </c>
      <c r="BJ83" s="19" t="str">
        <f t="shared" si="7"/>
        <v/>
      </c>
      <c r="BK83" s="100"/>
      <c r="BL83" s="100"/>
    </row>
    <row r="84" spans="1:64" ht="15">
      <c r="A84" s="101"/>
      <c r="B84" s="101"/>
      <c r="G84" s="5" t="str">
        <f ca="1">IFERROR(__xludf.DUMMYFUNCTION("IFERROR(VLOOKUP(F98,IMPORTRANGE(""https://docs.google.com/spreadsheets/d/1Kvs4KS76FHFqLFIZfrDMff4kP08nblUkihrxltoGBjg/edit#gid=934712705"",""ESENCIAL!A6:BG""),3,FALSE))"),"")</f>
        <v/>
      </c>
      <c r="H84" s="5" t="str">
        <f ca="1">IFERROR(__xludf.DUMMYFUNCTION("IFERROR(VLOOKUP(F98,IMPORTRANGE(""https://docs.google.com/spreadsheets/d/1Kvs4KS76FHFqLFIZfrDMff4kP08nblUkihrxltoGBjg/edit#gid=934712705"",""ESENCIAL!A6:BG""),8,FALSE))"),"")</f>
        <v/>
      </c>
      <c r="L84" s="287"/>
      <c r="U84" s="40"/>
      <c r="AU84" s="41" t="str">
        <f t="shared" si="4"/>
        <v/>
      </c>
      <c r="AV84" s="5" t="str">
        <f ca="1">IFERROR(__xludf.DUMMYFUNCTION("IFERROR(VLOOKUP(E98&amp;F98,IMPORTRANGE(""https://docs.google.com/spreadsheets/d/1Uw7-A9f9R21vMXxHZFNpYNeKFtG8_yji4HS352LGlSQ/edit?pli=1#gid=0"",""1_ACUM!A4:S""),11,FALSE))"),"")</f>
        <v/>
      </c>
      <c r="AW84" s="42" t="str">
        <f ca="1">IFERROR(__xludf.DUMMYFUNCTION("IFERROR(VLOOKUP(F98,IMPORTRANGE(""https://docs.google.com/spreadsheets/d/1Kvs4KS76FHFqLFIZfrDMff4kP08nblUkihrxltoGBjg/edit#gid=934712705"",""ESENCIAL!A6:BG""),15,FALSE))"),"")</f>
        <v/>
      </c>
      <c r="AX84" s="21" t="str">
        <f ca="1">IFERROR(__xludf.DUMMYFUNCTION("IFERROR(VLOOKUP(E98&amp;F98,IMPORTRANGE(""https://docs.google.com/spreadsheets/d/1Uw7-A9f9R21vMXxHZFNpYNeKFtG8_yji4HS352LGlSQ/edit?pli=1#gid=0"",""1_ACUM!A4:S""),12,FALSE))"),"")</f>
        <v/>
      </c>
      <c r="AY84" s="43" t="str">
        <f ca="1">IFERROR(__xludf.DUMMYFUNCTION("IFERROR(VLOOKUP(E98&amp;F98,IMPORTRANGE(""https://docs.google.com/spreadsheets/d/1Uw7-A9f9R21vMXxHZFNpYNeKFtG8_yji4HS352LGlSQ/edit?pli=1#gid=0"",""1_ACUM!A4:S""),13,FALSE))"),"")</f>
        <v/>
      </c>
      <c r="AZ84" s="43" t="str">
        <f ca="1">IFERROR(__xludf.DUMMYFUNCTION("IFERROR(VLOOKUP(E98&amp;F98,IMPORTRANGE(""https://docs.google.com/spreadsheets/d/1Uw7-A9f9R21vMXxHZFNpYNeKFtG8_yji4HS352LGlSQ/edit?pli=1#gid=0"",""1_ACUM!A4:S""),14,FALSE))"),"")</f>
        <v/>
      </c>
      <c r="BA84" s="43" t="str">
        <f ca="1">IFERROR(__xludf.DUMMYFUNCTION("IFERROR(VLOOKUP(E98&amp;F98,IMPORTRANGE(""https://docs.google.com/spreadsheets/d/1Uw7-A9f9R21vMXxHZFNpYNeKFtG8_yji4HS352LGlSQ/edit?pli=1#gid=0"",""1_ACUM!A4:S""),15,FALSE))"),"")</f>
        <v/>
      </c>
      <c r="BB84" s="43" t="str">
        <f ca="1">IFERROR(__xludf.DUMMYFUNCTION("IFERROR(VLOOKUP(E98&amp;F98,IMPORTRANGE(""https://docs.google.com/spreadsheets/d/1Uw7-A9f9R21vMXxHZFNpYNeKFtG8_yji4HS352LGlSQ/edit?pli=1#gid=0"",""1_ACUM!A4:S""),16,FALSE))"),"")</f>
        <v/>
      </c>
      <c r="BC84" s="43" t="str">
        <f ca="1">IFERROR(__xludf.DUMMYFUNCTION("IFERROR(VLOOKUP(E98&amp;F98,IMPORTRANGE(""https://docs.google.com/spreadsheets/d/1Uw7-A9f9R21vMXxHZFNpYNeKFtG8_yji4HS352LGlSQ/edit?pli=1#gid=0"",""1_ACUM!A4:S""),17,FALSE))"),"")</f>
        <v/>
      </c>
      <c r="BD84" s="44" t="str">
        <f ca="1">IFERROR(__xludf.DUMMYFUNCTION("IFERROR(VLOOKUP(E98&amp;F98,IMPORTRANGE(""https://docs.google.com/spreadsheets/d/1Uw7-A9f9R21vMXxHZFNpYNeKFtG8_yji4HS352LGlSQ/edit?pli=1#gid=0"",""1_ACUM!A4:S""),18,FALSE))"),"")</f>
        <v/>
      </c>
      <c r="BE84" s="44" t="str">
        <f ca="1">IFERROR(__xludf.DUMMYFUNCTION("IFERROR(VLOOKUP(E98&amp;F98,IMPORTRANGE(""https://docs.google.com/spreadsheets/d/1Uw7-A9f9R21vMXxHZFNpYNeKFtG8_yji4HS352LGlSQ/edit?pli=1#gid=0"",""1_ACUM!A4:S""),19,FALSE))"),"")</f>
        <v/>
      </c>
      <c r="BF84" s="98" t="str">
        <f ca="1">IFERROR(__xludf.DUMMYFUNCTION("IFERROR(VLOOKUP(F98,IMPORTRANGE(""https://docs.google.com/spreadsheets/d/1Kvs4KS76FHFqLFIZfrDMff4kP08nblUkihrxltoGBjg/edit#gid=934712705"",""ESENCIAL!A6:BG""),5,FALSE))"),"")</f>
        <v/>
      </c>
      <c r="BG84" s="98" t="str">
        <f t="shared" si="5"/>
        <v/>
      </c>
      <c r="BH84" s="99" t="str">
        <f t="shared" si="6"/>
        <v/>
      </c>
      <c r="BI84" s="100" t="str">
        <f ca="1">IFERROR(__xludf.DUMMYFUNCTION("IFERROR(VLOOKUP(F98,IMPORTRANGE(""https://docs.google.com/spreadsheets/d/1Kvs4KS76FHFqLFIZfrDMff4kP08nblUkihrxltoGBjg/edit#gid=934712705"",""ESENCIAL!A6:BG""),2,FALSE))"),"")</f>
        <v/>
      </c>
      <c r="BJ84" s="19" t="str">
        <f t="shared" si="7"/>
        <v/>
      </c>
      <c r="BK84" s="100"/>
      <c r="BL84" s="100"/>
    </row>
    <row r="85" spans="1:64" ht="15">
      <c r="A85" s="101"/>
      <c r="B85" s="101"/>
      <c r="G85" s="5" t="str">
        <f ca="1">IFERROR(__xludf.DUMMYFUNCTION("IFERROR(VLOOKUP(F99,IMPORTRANGE(""https://docs.google.com/spreadsheets/d/1Kvs4KS76FHFqLFIZfrDMff4kP08nblUkihrxltoGBjg/edit#gid=934712705"",""ESENCIAL!A6:BG""),3,FALSE))"),"")</f>
        <v/>
      </c>
      <c r="H85" s="5" t="str">
        <f ca="1">IFERROR(__xludf.DUMMYFUNCTION("IFERROR(VLOOKUP(F99,IMPORTRANGE(""https://docs.google.com/spreadsheets/d/1Kvs4KS76FHFqLFIZfrDMff4kP08nblUkihrxltoGBjg/edit#gid=934712705"",""ESENCIAL!A6:BG""),8,FALSE))"),"")</f>
        <v/>
      </c>
      <c r="L85" s="287"/>
      <c r="U85" s="40"/>
      <c r="AU85" s="41" t="str">
        <f t="shared" si="4"/>
        <v/>
      </c>
      <c r="AV85" s="5" t="str">
        <f ca="1">IFERROR(__xludf.DUMMYFUNCTION("IFERROR(VLOOKUP(E99&amp;F99,IMPORTRANGE(""https://docs.google.com/spreadsheets/d/1Uw7-A9f9R21vMXxHZFNpYNeKFtG8_yji4HS352LGlSQ/edit?pli=1#gid=0"",""1_ACUM!A4:S""),11,FALSE))"),"")</f>
        <v/>
      </c>
      <c r="AW85" s="42" t="str">
        <f ca="1">IFERROR(__xludf.DUMMYFUNCTION("IFERROR(VLOOKUP(F99,IMPORTRANGE(""https://docs.google.com/spreadsheets/d/1Kvs4KS76FHFqLFIZfrDMff4kP08nblUkihrxltoGBjg/edit#gid=934712705"",""ESENCIAL!A6:BG""),15,FALSE))"),"")</f>
        <v/>
      </c>
      <c r="AX85" s="21" t="str">
        <f ca="1">IFERROR(__xludf.DUMMYFUNCTION("IFERROR(VLOOKUP(E99&amp;F99,IMPORTRANGE(""https://docs.google.com/spreadsheets/d/1Uw7-A9f9R21vMXxHZFNpYNeKFtG8_yji4HS352LGlSQ/edit?pli=1#gid=0"",""1_ACUM!A4:S""),12,FALSE))"),"")</f>
        <v/>
      </c>
      <c r="AY85" s="43" t="str">
        <f ca="1">IFERROR(__xludf.DUMMYFUNCTION("IFERROR(VLOOKUP(E99&amp;F99,IMPORTRANGE(""https://docs.google.com/spreadsheets/d/1Uw7-A9f9R21vMXxHZFNpYNeKFtG8_yji4HS352LGlSQ/edit?pli=1#gid=0"",""1_ACUM!A4:S""),13,FALSE))"),"")</f>
        <v/>
      </c>
      <c r="AZ85" s="43" t="str">
        <f ca="1">IFERROR(__xludf.DUMMYFUNCTION("IFERROR(VLOOKUP(E99&amp;F99,IMPORTRANGE(""https://docs.google.com/spreadsheets/d/1Uw7-A9f9R21vMXxHZFNpYNeKFtG8_yji4HS352LGlSQ/edit?pli=1#gid=0"",""1_ACUM!A4:S""),14,FALSE))"),"")</f>
        <v/>
      </c>
      <c r="BA85" s="43" t="str">
        <f ca="1">IFERROR(__xludf.DUMMYFUNCTION("IFERROR(VLOOKUP(E99&amp;F99,IMPORTRANGE(""https://docs.google.com/spreadsheets/d/1Uw7-A9f9R21vMXxHZFNpYNeKFtG8_yji4HS352LGlSQ/edit?pli=1#gid=0"",""1_ACUM!A4:S""),15,FALSE))"),"")</f>
        <v/>
      </c>
      <c r="BB85" s="43" t="str">
        <f ca="1">IFERROR(__xludf.DUMMYFUNCTION("IFERROR(VLOOKUP(E99&amp;F99,IMPORTRANGE(""https://docs.google.com/spreadsheets/d/1Uw7-A9f9R21vMXxHZFNpYNeKFtG8_yji4HS352LGlSQ/edit?pli=1#gid=0"",""1_ACUM!A4:S""),16,FALSE))"),"")</f>
        <v/>
      </c>
      <c r="BC85" s="43" t="str">
        <f ca="1">IFERROR(__xludf.DUMMYFUNCTION("IFERROR(VLOOKUP(E99&amp;F99,IMPORTRANGE(""https://docs.google.com/spreadsheets/d/1Uw7-A9f9R21vMXxHZFNpYNeKFtG8_yji4HS352LGlSQ/edit?pli=1#gid=0"",""1_ACUM!A4:S""),17,FALSE))"),"")</f>
        <v/>
      </c>
      <c r="BD85" s="44" t="str">
        <f ca="1">IFERROR(__xludf.DUMMYFUNCTION("IFERROR(VLOOKUP(E99&amp;F99,IMPORTRANGE(""https://docs.google.com/spreadsheets/d/1Uw7-A9f9R21vMXxHZFNpYNeKFtG8_yji4HS352LGlSQ/edit?pli=1#gid=0"",""1_ACUM!A4:S""),18,FALSE))"),"")</f>
        <v/>
      </c>
      <c r="BE85" s="44" t="str">
        <f ca="1">IFERROR(__xludf.DUMMYFUNCTION("IFERROR(VLOOKUP(E99&amp;F99,IMPORTRANGE(""https://docs.google.com/spreadsheets/d/1Uw7-A9f9R21vMXxHZFNpYNeKFtG8_yji4HS352LGlSQ/edit?pli=1#gid=0"",""1_ACUM!A4:S""),19,FALSE))"),"")</f>
        <v/>
      </c>
      <c r="BF85" s="98" t="str">
        <f ca="1">IFERROR(__xludf.DUMMYFUNCTION("IFERROR(VLOOKUP(F99,IMPORTRANGE(""https://docs.google.com/spreadsheets/d/1Kvs4KS76FHFqLFIZfrDMff4kP08nblUkihrxltoGBjg/edit#gid=934712705"",""ESENCIAL!A6:BG""),5,FALSE))"),"")</f>
        <v/>
      </c>
      <c r="BG85" s="98" t="str">
        <f t="shared" si="5"/>
        <v/>
      </c>
      <c r="BH85" s="99" t="str">
        <f t="shared" si="6"/>
        <v/>
      </c>
      <c r="BI85" s="100" t="str">
        <f ca="1">IFERROR(__xludf.DUMMYFUNCTION("IFERROR(VLOOKUP(F99,IMPORTRANGE(""https://docs.google.com/spreadsheets/d/1Kvs4KS76FHFqLFIZfrDMff4kP08nblUkihrxltoGBjg/edit#gid=934712705"",""ESENCIAL!A6:BG""),2,FALSE))"),"")</f>
        <v/>
      </c>
      <c r="BJ85" s="19" t="str">
        <f t="shared" si="7"/>
        <v/>
      </c>
      <c r="BK85" s="100"/>
      <c r="BL85" s="100"/>
    </row>
    <row r="86" spans="1:64" ht="15">
      <c r="A86" s="101"/>
      <c r="B86" s="101"/>
      <c r="G86" s="5" t="str">
        <f ca="1">IFERROR(__xludf.DUMMYFUNCTION("IFERROR(VLOOKUP(F100,IMPORTRANGE(""https://docs.google.com/spreadsheets/d/1Kvs4KS76FHFqLFIZfrDMff4kP08nblUkihrxltoGBjg/edit#gid=934712705"",""ESENCIAL!A6:BG""),3,FALSE))"),"")</f>
        <v/>
      </c>
      <c r="H86" s="5" t="str">
        <f ca="1">IFERROR(__xludf.DUMMYFUNCTION("IFERROR(VLOOKUP(F100,IMPORTRANGE(""https://docs.google.com/spreadsheets/d/1Kvs4KS76FHFqLFIZfrDMff4kP08nblUkihrxltoGBjg/edit#gid=934712705"",""ESENCIAL!A6:BG""),8,FALSE))"),"")</f>
        <v/>
      </c>
      <c r="L86" s="287"/>
      <c r="U86" s="40"/>
      <c r="AU86" s="41" t="str">
        <f t="shared" si="4"/>
        <v/>
      </c>
      <c r="AV86" s="5" t="str">
        <f ca="1">IFERROR(__xludf.DUMMYFUNCTION("IFERROR(VLOOKUP(E100&amp;F100,IMPORTRANGE(""https://docs.google.com/spreadsheets/d/1Uw7-A9f9R21vMXxHZFNpYNeKFtG8_yji4HS352LGlSQ/edit?pli=1#gid=0"",""1_ACUM!A4:S""),11,FALSE))"),"")</f>
        <v/>
      </c>
      <c r="AW86" s="42" t="str">
        <f ca="1">IFERROR(__xludf.DUMMYFUNCTION("IFERROR(VLOOKUP(F100,IMPORTRANGE(""https://docs.google.com/spreadsheets/d/1Kvs4KS76FHFqLFIZfrDMff4kP08nblUkihrxltoGBjg/edit#gid=934712705"",""ESENCIAL!A6:BG""),15,FALSE))"),"")</f>
        <v/>
      </c>
      <c r="AX86" s="21" t="str">
        <f ca="1">IFERROR(__xludf.DUMMYFUNCTION("IFERROR(VLOOKUP(E100&amp;F100,IMPORTRANGE(""https://docs.google.com/spreadsheets/d/1Uw7-A9f9R21vMXxHZFNpYNeKFtG8_yji4HS352LGlSQ/edit?pli=1#gid=0"",""1_ACUM!A4:S""),12,FALSE))"),"")</f>
        <v/>
      </c>
      <c r="AY86" s="43" t="str">
        <f ca="1">IFERROR(__xludf.DUMMYFUNCTION("IFERROR(VLOOKUP(E100&amp;F100,IMPORTRANGE(""https://docs.google.com/spreadsheets/d/1Uw7-A9f9R21vMXxHZFNpYNeKFtG8_yji4HS352LGlSQ/edit?pli=1#gid=0"",""1_ACUM!A4:S""),13,FALSE))"),"")</f>
        <v/>
      </c>
      <c r="AZ86" s="43" t="str">
        <f ca="1">IFERROR(__xludf.DUMMYFUNCTION("IFERROR(VLOOKUP(E100&amp;F100,IMPORTRANGE(""https://docs.google.com/spreadsheets/d/1Uw7-A9f9R21vMXxHZFNpYNeKFtG8_yji4HS352LGlSQ/edit?pli=1#gid=0"",""1_ACUM!A4:S""),14,FALSE))"),"")</f>
        <v/>
      </c>
      <c r="BA86" s="43" t="str">
        <f ca="1">IFERROR(__xludf.DUMMYFUNCTION("IFERROR(VLOOKUP(E100&amp;F100,IMPORTRANGE(""https://docs.google.com/spreadsheets/d/1Uw7-A9f9R21vMXxHZFNpYNeKFtG8_yji4HS352LGlSQ/edit?pli=1#gid=0"",""1_ACUM!A4:S""),15,FALSE))"),"")</f>
        <v/>
      </c>
      <c r="BB86" s="43" t="str">
        <f ca="1">IFERROR(__xludf.DUMMYFUNCTION("IFERROR(VLOOKUP(E100&amp;F100,IMPORTRANGE(""https://docs.google.com/spreadsheets/d/1Uw7-A9f9R21vMXxHZFNpYNeKFtG8_yji4HS352LGlSQ/edit?pli=1#gid=0"",""1_ACUM!A4:S""),16,FALSE))"),"")</f>
        <v/>
      </c>
      <c r="BC86" s="43" t="str">
        <f ca="1">IFERROR(__xludf.DUMMYFUNCTION("IFERROR(VLOOKUP(E100&amp;F100,IMPORTRANGE(""https://docs.google.com/spreadsheets/d/1Uw7-A9f9R21vMXxHZFNpYNeKFtG8_yji4HS352LGlSQ/edit?pli=1#gid=0"",""1_ACUM!A4:S""),17,FALSE))"),"")</f>
        <v/>
      </c>
      <c r="BD86" s="44" t="str">
        <f ca="1">IFERROR(__xludf.DUMMYFUNCTION("IFERROR(VLOOKUP(E100&amp;F100,IMPORTRANGE(""https://docs.google.com/spreadsheets/d/1Uw7-A9f9R21vMXxHZFNpYNeKFtG8_yji4HS352LGlSQ/edit?pli=1#gid=0"",""1_ACUM!A4:S""),18,FALSE))"),"")</f>
        <v/>
      </c>
      <c r="BE86" s="44" t="str">
        <f ca="1">IFERROR(__xludf.DUMMYFUNCTION("IFERROR(VLOOKUP(E100&amp;F100,IMPORTRANGE(""https://docs.google.com/spreadsheets/d/1Uw7-A9f9R21vMXxHZFNpYNeKFtG8_yji4HS352LGlSQ/edit?pli=1#gid=0"",""1_ACUM!A4:S""),19,FALSE))"),"")</f>
        <v/>
      </c>
      <c r="BF86" s="98" t="str">
        <f ca="1">IFERROR(__xludf.DUMMYFUNCTION("IFERROR(VLOOKUP(F100,IMPORTRANGE(""https://docs.google.com/spreadsheets/d/1Kvs4KS76FHFqLFIZfrDMff4kP08nblUkihrxltoGBjg/edit#gid=934712705"",""ESENCIAL!A6:BG""),5,FALSE))"),"")</f>
        <v/>
      </c>
      <c r="BG86" s="98" t="str">
        <f t="shared" si="5"/>
        <v/>
      </c>
      <c r="BH86" s="99" t="str">
        <f t="shared" si="6"/>
        <v/>
      </c>
      <c r="BI86" s="100" t="str">
        <f ca="1">IFERROR(__xludf.DUMMYFUNCTION("IFERROR(VLOOKUP(F100,IMPORTRANGE(""https://docs.google.com/spreadsheets/d/1Kvs4KS76FHFqLFIZfrDMff4kP08nblUkihrxltoGBjg/edit#gid=934712705"",""ESENCIAL!A6:BG""),2,FALSE))"),"")</f>
        <v/>
      </c>
      <c r="BJ86" s="19" t="str">
        <f t="shared" si="7"/>
        <v/>
      </c>
      <c r="BK86" s="100"/>
      <c r="BL86" s="100"/>
    </row>
    <row r="87" spans="1:64" ht="15">
      <c r="A87" s="101"/>
      <c r="B87" s="101"/>
      <c r="G87" s="5" t="str">
        <f ca="1">IFERROR(__xludf.DUMMYFUNCTION("IFERROR(VLOOKUP(F101,IMPORTRANGE(""https://docs.google.com/spreadsheets/d/1Kvs4KS76FHFqLFIZfrDMff4kP08nblUkihrxltoGBjg/edit#gid=934712705"",""ESENCIAL!A6:BG""),3,FALSE))"),"")</f>
        <v/>
      </c>
      <c r="H87" s="5" t="str">
        <f ca="1">IFERROR(__xludf.DUMMYFUNCTION("IFERROR(VLOOKUP(F101,IMPORTRANGE(""https://docs.google.com/spreadsheets/d/1Kvs4KS76FHFqLFIZfrDMff4kP08nblUkihrxltoGBjg/edit#gid=934712705"",""ESENCIAL!A6:BG""),8,FALSE))"),"")</f>
        <v/>
      </c>
      <c r="L87" s="287"/>
      <c r="U87" s="40"/>
      <c r="AU87" s="41" t="str">
        <f t="shared" si="4"/>
        <v/>
      </c>
      <c r="AV87" s="5" t="str">
        <f ca="1">IFERROR(__xludf.DUMMYFUNCTION("IFERROR(VLOOKUP(E101&amp;F101,IMPORTRANGE(""https://docs.google.com/spreadsheets/d/1Uw7-A9f9R21vMXxHZFNpYNeKFtG8_yji4HS352LGlSQ/edit?pli=1#gid=0"",""1_ACUM!A4:S""),11,FALSE))"),"")</f>
        <v/>
      </c>
      <c r="AW87" s="42" t="str">
        <f ca="1">IFERROR(__xludf.DUMMYFUNCTION("IFERROR(VLOOKUP(F101,IMPORTRANGE(""https://docs.google.com/spreadsheets/d/1Kvs4KS76FHFqLFIZfrDMff4kP08nblUkihrxltoGBjg/edit#gid=934712705"",""ESENCIAL!A6:BG""),15,FALSE))"),"")</f>
        <v/>
      </c>
      <c r="AX87" s="21" t="str">
        <f ca="1">IFERROR(__xludf.DUMMYFUNCTION("IFERROR(VLOOKUP(E101&amp;F101,IMPORTRANGE(""https://docs.google.com/spreadsheets/d/1Uw7-A9f9R21vMXxHZFNpYNeKFtG8_yji4HS352LGlSQ/edit?pli=1#gid=0"",""1_ACUM!A4:S""),12,FALSE))"),"")</f>
        <v/>
      </c>
      <c r="AY87" s="43" t="str">
        <f ca="1">IFERROR(__xludf.DUMMYFUNCTION("IFERROR(VLOOKUP(E101&amp;F101,IMPORTRANGE(""https://docs.google.com/spreadsheets/d/1Uw7-A9f9R21vMXxHZFNpYNeKFtG8_yji4HS352LGlSQ/edit?pli=1#gid=0"",""1_ACUM!A4:S""),13,FALSE))"),"")</f>
        <v/>
      </c>
      <c r="AZ87" s="43" t="str">
        <f ca="1">IFERROR(__xludf.DUMMYFUNCTION("IFERROR(VLOOKUP(E101&amp;F101,IMPORTRANGE(""https://docs.google.com/spreadsheets/d/1Uw7-A9f9R21vMXxHZFNpYNeKFtG8_yji4HS352LGlSQ/edit?pli=1#gid=0"",""1_ACUM!A4:S""),14,FALSE))"),"")</f>
        <v/>
      </c>
      <c r="BA87" s="43" t="str">
        <f ca="1">IFERROR(__xludf.DUMMYFUNCTION("IFERROR(VLOOKUP(E101&amp;F101,IMPORTRANGE(""https://docs.google.com/spreadsheets/d/1Uw7-A9f9R21vMXxHZFNpYNeKFtG8_yji4HS352LGlSQ/edit?pli=1#gid=0"",""1_ACUM!A4:S""),15,FALSE))"),"")</f>
        <v/>
      </c>
      <c r="BB87" s="43" t="str">
        <f ca="1">IFERROR(__xludf.DUMMYFUNCTION("IFERROR(VLOOKUP(E101&amp;F101,IMPORTRANGE(""https://docs.google.com/spreadsheets/d/1Uw7-A9f9R21vMXxHZFNpYNeKFtG8_yji4HS352LGlSQ/edit?pli=1#gid=0"",""1_ACUM!A4:S""),16,FALSE))"),"")</f>
        <v/>
      </c>
      <c r="BC87" s="43" t="str">
        <f ca="1">IFERROR(__xludf.DUMMYFUNCTION("IFERROR(VLOOKUP(E101&amp;F101,IMPORTRANGE(""https://docs.google.com/spreadsheets/d/1Uw7-A9f9R21vMXxHZFNpYNeKFtG8_yji4HS352LGlSQ/edit?pli=1#gid=0"",""1_ACUM!A4:S""),17,FALSE))"),"")</f>
        <v/>
      </c>
      <c r="BD87" s="44" t="str">
        <f ca="1">IFERROR(__xludf.DUMMYFUNCTION("IFERROR(VLOOKUP(E101&amp;F101,IMPORTRANGE(""https://docs.google.com/spreadsheets/d/1Uw7-A9f9R21vMXxHZFNpYNeKFtG8_yji4HS352LGlSQ/edit?pli=1#gid=0"",""1_ACUM!A4:S""),18,FALSE))"),"")</f>
        <v/>
      </c>
      <c r="BE87" s="44" t="str">
        <f ca="1">IFERROR(__xludf.DUMMYFUNCTION("IFERROR(VLOOKUP(E101&amp;F101,IMPORTRANGE(""https://docs.google.com/spreadsheets/d/1Uw7-A9f9R21vMXxHZFNpYNeKFtG8_yji4HS352LGlSQ/edit?pli=1#gid=0"",""1_ACUM!A4:S""),19,FALSE))"),"")</f>
        <v/>
      </c>
      <c r="BF87" s="98" t="str">
        <f ca="1">IFERROR(__xludf.DUMMYFUNCTION("IFERROR(VLOOKUP(F101,IMPORTRANGE(""https://docs.google.com/spreadsheets/d/1Kvs4KS76FHFqLFIZfrDMff4kP08nblUkihrxltoGBjg/edit#gid=934712705"",""ESENCIAL!A6:BG""),5,FALSE))"),"")</f>
        <v/>
      </c>
      <c r="BG87" s="98" t="str">
        <f t="shared" si="5"/>
        <v/>
      </c>
      <c r="BH87" s="99" t="str">
        <f t="shared" si="6"/>
        <v/>
      </c>
      <c r="BI87" s="100" t="str">
        <f ca="1">IFERROR(__xludf.DUMMYFUNCTION("IFERROR(VLOOKUP(F101,IMPORTRANGE(""https://docs.google.com/spreadsheets/d/1Kvs4KS76FHFqLFIZfrDMff4kP08nblUkihrxltoGBjg/edit#gid=934712705"",""ESENCIAL!A6:BG""),2,FALSE))"),"")</f>
        <v/>
      </c>
      <c r="BJ87" s="19" t="str">
        <f t="shared" si="7"/>
        <v/>
      </c>
      <c r="BK87" s="100"/>
      <c r="BL87" s="100"/>
    </row>
    <row r="88" spans="1:64" ht="15">
      <c r="A88" s="101"/>
      <c r="B88" s="101"/>
      <c r="G88" s="5" t="str">
        <f ca="1">IFERROR(__xludf.DUMMYFUNCTION("IFERROR(VLOOKUP(F102,IMPORTRANGE(""https://docs.google.com/spreadsheets/d/1Kvs4KS76FHFqLFIZfrDMff4kP08nblUkihrxltoGBjg/edit#gid=934712705"",""ESENCIAL!A6:BG""),3,FALSE))"),"")</f>
        <v/>
      </c>
      <c r="H88" s="5" t="str">
        <f ca="1">IFERROR(__xludf.DUMMYFUNCTION("IFERROR(VLOOKUP(F102,IMPORTRANGE(""https://docs.google.com/spreadsheets/d/1Kvs4KS76FHFqLFIZfrDMff4kP08nblUkihrxltoGBjg/edit#gid=934712705"",""ESENCIAL!A6:BG""),8,FALSE))"),"")</f>
        <v/>
      </c>
      <c r="L88" s="287"/>
      <c r="U88" s="40"/>
      <c r="AU88" s="41" t="str">
        <f t="shared" si="4"/>
        <v/>
      </c>
      <c r="AV88" s="5" t="str">
        <f ca="1">IFERROR(__xludf.DUMMYFUNCTION("IFERROR(VLOOKUP(E102&amp;F102,IMPORTRANGE(""https://docs.google.com/spreadsheets/d/1Uw7-A9f9R21vMXxHZFNpYNeKFtG8_yji4HS352LGlSQ/edit?pli=1#gid=0"",""1_ACUM!A4:S""),11,FALSE))"),"")</f>
        <v/>
      </c>
      <c r="AW88" s="42" t="str">
        <f ca="1">IFERROR(__xludf.DUMMYFUNCTION("IFERROR(VLOOKUP(F102,IMPORTRANGE(""https://docs.google.com/spreadsheets/d/1Kvs4KS76FHFqLFIZfrDMff4kP08nblUkihrxltoGBjg/edit#gid=934712705"",""ESENCIAL!A6:BG""),15,FALSE))"),"")</f>
        <v/>
      </c>
      <c r="AX88" s="21" t="str">
        <f ca="1">IFERROR(__xludf.DUMMYFUNCTION("IFERROR(VLOOKUP(E102&amp;F102,IMPORTRANGE(""https://docs.google.com/spreadsheets/d/1Uw7-A9f9R21vMXxHZFNpYNeKFtG8_yji4HS352LGlSQ/edit?pli=1#gid=0"",""1_ACUM!A4:S""),12,FALSE))"),"")</f>
        <v/>
      </c>
      <c r="AY88" s="43" t="str">
        <f ca="1">IFERROR(__xludf.DUMMYFUNCTION("IFERROR(VLOOKUP(E102&amp;F102,IMPORTRANGE(""https://docs.google.com/spreadsheets/d/1Uw7-A9f9R21vMXxHZFNpYNeKFtG8_yji4HS352LGlSQ/edit?pli=1#gid=0"",""1_ACUM!A4:S""),13,FALSE))"),"")</f>
        <v/>
      </c>
      <c r="AZ88" s="43" t="str">
        <f ca="1">IFERROR(__xludf.DUMMYFUNCTION("IFERROR(VLOOKUP(E102&amp;F102,IMPORTRANGE(""https://docs.google.com/spreadsheets/d/1Uw7-A9f9R21vMXxHZFNpYNeKFtG8_yji4HS352LGlSQ/edit?pli=1#gid=0"",""1_ACUM!A4:S""),14,FALSE))"),"")</f>
        <v/>
      </c>
      <c r="BA88" s="43" t="str">
        <f ca="1">IFERROR(__xludf.DUMMYFUNCTION("IFERROR(VLOOKUP(E102&amp;F102,IMPORTRANGE(""https://docs.google.com/spreadsheets/d/1Uw7-A9f9R21vMXxHZFNpYNeKFtG8_yji4HS352LGlSQ/edit?pli=1#gid=0"",""1_ACUM!A4:S""),15,FALSE))"),"")</f>
        <v/>
      </c>
      <c r="BB88" s="43" t="str">
        <f ca="1">IFERROR(__xludf.DUMMYFUNCTION("IFERROR(VLOOKUP(E102&amp;F102,IMPORTRANGE(""https://docs.google.com/spreadsheets/d/1Uw7-A9f9R21vMXxHZFNpYNeKFtG8_yji4HS352LGlSQ/edit?pli=1#gid=0"",""1_ACUM!A4:S""),16,FALSE))"),"")</f>
        <v/>
      </c>
      <c r="BC88" s="43" t="str">
        <f ca="1">IFERROR(__xludf.DUMMYFUNCTION("IFERROR(VLOOKUP(E102&amp;F102,IMPORTRANGE(""https://docs.google.com/spreadsheets/d/1Uw7-A9f9R21vMXxHZFNpYNeKFtG8_yji4HS352LGlSQ/edit?pli=1#gid=0"",""1_ACUM!A4:S""),17,FALSE))"),"")</f>
        <v/>
      </c>
      <c r="BD88" s="44" t="str">
        <f ca="1">IFERROR(__xludf.DUMMYFUNCTION("IFERROR(VLOOKUP(E102&amp;F102,IMPORTRANGE(""https://docs.google.com/spreadsheets/d/1Uw7-A9f9R21vMXxHZFNpYNeKFtG8_yji4HS352LGlSQ/edit?pli=1#gid=0"",""1_ACUM!A4:S""),18,FALSE))"),"")</f>
        <v/>
      </c>
      <c r="BE88" s="44" t="str">
        <f ca="1">IFERROR(__xludf.DUMMYFUNCTION("IFERROR(VLOOKUP(E102&amp;F102,IMPORTRANGE(""https://docs.google.com/spreadsheets/d/1Uw7-A9f9R21vMXxHZFNpYNeKFtG8_yji4HS352LGlSQ/edit?pli=1#gid=0"",""1_ACUM!A4:S""),19,FALSE))"),"")</f>
        <v/>
      </c>
      <c r="BF88" s="98" t="str">
        <f ca="1">IFERROR(__xludf.DUMMYFUNCTION("IFERROR(VLOOKUP(F102,IMPORTRANGE(""https://docs.google.com/spreadsheets/d/1Kvs4KS76FHFqLFIZfrDMff4kP08nblUkihrxltoGBjg/edit#gid=934712705"",""ESENCIAL!A6:BG""),5,FALSE))"),"")</f>
        <v/>
      </c>
      <c r="BG88" s="98" t="str">
        <f t="shared" si="5"/>
        <v/>
      </c>
      <c r="BH88" s="99" t="str">
        <f t="shared" si="6"/>
        <v/>
      </c>
      <c r="BI88" s="100" t="str">
        <f ca="1">IFERROR(__xludf.DUMMYFUNCTION("IFERROR(VLOOKUP(F102,IMPORTRANGE(""https://docs.google.com/spreadsheets/d/1Kvs4KS76FHFqLFIZfrDMff4kP08nblUkihrxltoGBjg/edit#gid=934712705"",""ESENCIAL!A6:BG""),2,FALSE))"),"")</f>
        <v/>
      </c>
      <c r="BJ88" s="19" t="str">
        <f t="shared" si="7"/>
        <v/>
      </c>
      <c r="BK88" s="100"/>
      <c r="BL88" s="100"/>
    </row>
    <row r="89" spans="1:64" ht="15">
      <c r="A89" s="101"/>
      <c r="B89" s="101"/>
      <c r="G89" s="5" t="str">
        <f ca="1">IFERROR(__xludf.DUMMYFUNCTION("IFERROR(VLOOKUP(F103,IMPORTRANGE(""https://docs.google.com/spreadsheets/d/1Kvs4KS76FHFqLFIZfrDMff4kP08nblUkihrxltoGBjg/edit#gid=934712705"",""ESENCIAL!A6:BG""),3,FALSE))"),"")</f>
        <v/>
      </c>
      <c r="H89" s="5" t="str">
        <f ca="1">IFERROR(__xludf.DUMMYFUNCTION("IFERROR(VLOOKUP(F103,IMPORTRANGE(""https://docs.google.com/spreadsheets/d/1Kvs4KS76FHFqLFIZfrDMff4kP08nblUkihrxltoGBjg/edit#gid=934712705"",""ESENCIAL!A6:BG""),8,FALSE))"),"")</f>
        <v/>
      </c>
      <c r="L89" s="287"/>
      <c r="U89" s="40"/>
      <c r="AU89" s="41" t="str">
        <f t="shared" si="4"/>
        <v/>
      </c>
      <c r="AV89" s="5" t="str">
        <f ca="1">IFERROR(__xludf.DUMMYFUNCTION("IFERROR(VLOOKUP(E103&amp;F103,IMPORTRANGE(""https://docs.google.com/spreadsheets/d/1Uw7-A9f9R21vMXxHZFNpYNeKFtG8_yji4HS352LGlSQ/edit?pli=1#gid=0"",""1_ACUM!A4:S""),11,FALSE))"),"")</f>
        <v/>
      </c>
      <c r="AW89" s="42" t="str">
        <f ca="1">IFERROR(__xludf.DUMMYFUNCTION("IFERROR(VLOOKUP(F103,IMPORTRANGE(""https://docs.google.com/spreadsheets/d/1Kvs4KS76FHFqLFIZfrDMff4kP08nblUkihrxltoGBjg/edit#gid=934712705"",""ESENCIAL!A6:BG""),15,FALSE))"),"")</f>
        <v/>
      </c>
      <c r="AX89" s="21" t="str">
        <f ca="1">IFERROR(__xludf.DUMMYFUNCTION("IFERROR(VLOOKUP(E103&amp;F103,IMPORTRANGE(""https://docs.google.com/spreadsheets/d/1Uw7-A9f9R21vMXxHZFNpYNeKFtG8_yji4HS352LGlSQ/edit?pli=1#gid=0"",""1_ACUM!A4:S""),12,FALSE))"),"")</f>
        <v/>
      </c>
      <c r="AY89" s="43" t="str">
        <f ca="1">IFERROR(__xludf.DUMMYFUNCTION("IFERROR(VLOOKUP(E103&amp;F103,IMPORTRANGE(""https://docs.google.com/spreadsheets/d/1Uw7-A9f9R21vMXxHZFNpYNeKFtG8_yji4HS352LGlSQ/edit?pli=1#gid=0"",""1_ACUM!A4:S""),13,FALSE))"),"")</f>
        <v/>
      </c>
      <c r="AZ89" s="43" t="str">
        <f ca="1">IFERROR(__xludf.DUMMYFUNCTION("IFERROR(VLOOKUP(E103&amp;F103,IMPORTRANGE(""https://docs.google.com/spreadsheets/d/1Uw7-A9f9R21vMXxHZFNpYNeKFtG8_yji4HS352LGlSQ/edit?pli=1#gid=0"",""1_ACUM!A4:S""),14,FALSE))"),"")</f>
        <v/>
      </c>
      <c r="BA89" s="43" t="str">
        <f ca="1">IFERROR(__xludf.DUMMYFUNCTION("IFERROR(VLOOKUP(E103&amp;F103,IMPORTRANGE(""https://docs.google.com/spreadsheets/d/1Uw7-A9f9R21vMXxHZFNpYNeKFtG8_yji4HS352LGlSQ/edit?pli=1#gid=0"",""1_ACUM!A4:S""),15,FALSE))"),"")</f>
        <v/>
      </c>
      <c r="BB89" s="43" t="str">
        <f ca="1">IFERROR(__xludf.DUMMYFUNCTION("IFERROR(VLOOKUP(E103&amp;F103,IMPORTRANGE(""https://docs.google.com/spreadsheets/d/1Uw7-A9f9R21vMXxHZFNpYNeKFtG8_yji4HS352LGlSQ/edit?pli=1#gid=0"",""1_ACUM!A4:S""),16,FALSE))"),"")</f>
        <v/>
      </c>
      <c r="BC89" s="43" t="str">
        <f ca="1">IFERROR(__xludf.DUMMYFUNCTION("IFERROR(VLOOKUP(E103&amp;F103,IMPORTRANGE(""https://docs.google.com/spreadsheets/d/1Uw7-A9f9R21vMXxHZFNpYNeKFtG8_yji4HS352LGlSQ/edit?pli=1#gid=0"",""1_ACUM!A4:S""),17,FALSE))"),"")</f>
        <v/>
      </c>
      <c r="BD89" s="44" t="str">
        <f ca="1">IFERROR(__xludf.DUMMYFUNCTION("IFERROR(VLOOKUP(E103&amp;F103,IMPORTRANGE(""https://docs.google.com/spreadsheets/d/1Uw7-A9f9R21vMXxHZFNpYNeKFtG8_yji4HS352LGlSQ/edit?pli=1#gid=0"",""1_ACUM!A4:S""),18,FALSE))"),"")</f>
        <v/>
      </c>
      <c r="BE89" s="44" t="str">
        <f ca="1">IFERROR(__xludf.DUMMYFUNCTION("IFERROR(VLOOKUP(E103&amp;F103,IMPORTRANGE(""https://docs.google.com/spreadsheets/d/1Uw7-A9f9R21vMXxHZFNpYNeKFtG8_yji4HS352LGlSQ/edit?pli=1#gid=0"",""1_ACUM!A4:S""),19,FALSE))"),"")</f>
        <v/>
      </c>
      <c r="BF89" s="98" t="str">
        <f ca="1">IFERROR(__xludf.DUMMYFUNCTION("IFERROR(VLOOKUP(F103,IMPORTRANGE(""https://docs.google.com/spreadsheets/d/1Kvs4KS76FHFqLFIZfrDMff4kP08nblUkihrxltoGBjg/edit#gid=934712705"",""ESENCIAL!A6:BG""),5,FALSE))"),"")</f>
        <v/>
      </c>
      <c r="BG89" s="98" t="str">
        <f t="shared" si="5"/>
        <v/>
      </c>
      <c r="BH89" s="99" t="str">
        <f t="shared" si="6"/>
        <v/>
      </c>
      <c r="BI89" s="100" t="str">
        <f ca="1">IFERROR(__xludf.DUMMYFUNCTION("IFERROR(VLOOKUP(F103,IMPORTRANGE(""https://docs.google.com/spreadsheets/d/1Kvs4KS76FHFqLFIZfrDMff4kP08nblUkihrxltoGBjg/edit#gid=934712705"",""ESENCIAL!A6:BG""),2,FALSE))"),"")</f>
        <v/>
      </c>
      <c r="BJ89" s="19" t="str">
        <f t="shared" si="7"/>
        <v/>
      </c>
      <c r="BK89" s="100"/>
      <c r="BL89" s="100"/>
    </row>
    <row r="90" spans="1:64" ht="15">
      <c r="A90" s="101"/>
      <c r="B90" s="101"/>
      <c r="G90" s="5" t="str">
        <f ca="1">IFERROR(__xludf.DUMMYFUNCTION("IFERROR(VLOOKUP(F104,IMPORTRANGE(""https://docs.google.com/spreadsheets/d/1Kvs4KS76FHFqLFIZfrDMff4kP08nblUkihrxltoGBjg/edit#gid=934712705"",""ESENCIAL!A6:BG""),3,FALSE))"),"")</f>
        <v/>
      </c>
      <c r="H90" s="5" t="str">
        <f ca="1">IFERROR(__xludf.DUMMYFUNCTION("IFERROR(VLOOKUP(F104,IMPORTRANGE(""https://docs.google.com/spreadsheets/d/1Kvs4KS76FHFqLFIZfrDMff4kP08nblUkihrxltoGBjg/edit#gid=934712705"",""ESENCIAL!A6:BG""),8,FALSE))"),"")</f>
        <v/>
      </c>
      <c r="L90" s="287"/>
      <c r="U90" s="40"/>
      <c r="AU90" s="41" t="str">
        <f t="shared" si="4"/>
        <v/>
      </c>
      <c r="AV90" s="5" t="str">
        <f ca="1">IFERROR(__xludf.DUMMYFUNCTION("IFERROR(VLOOKUP(E104&amp;F104,IMPORTRANGE(""https://docs.google.com/spreadsheets/d/1Uw7-A9f9R21vMXxHZFNpYNeKFtG8_yji4HS352LGlSQ/edit?pli=1#gid=0"",""1_ACUM!A4:S""),11,FALSE))"),"")</f>
        <v/>
      </c>
      <c r="AW90" s="42" t="str">
        <f ca="1">IFERROR(__xludf.DUMMYFUNCTION("IFERROR(VLOOKUP(F104,IMPORTRANGE(""https://docs.google.com/spreadsheets/d/1Kvs4KS76FHFqLFIZfrDMff4kP08nblUkihrxltoGBjg/edit#gid=934712705"",""ESENCIAL!A6:BG""),15,FALSE))"),"")</f>
        <v/>
      </c>
      <c r="AX90" s="21" t="str">
        <f ca="1">IFERROR(__xludf.DUMMYFUNCTION("IFERROR(VLOOKUP(E104&amp;F104,IMPORTRANGE(""https://docs.google.com/spreadsheets/d/1Uw7-A9f9R21vMXxHZFNpYNeKFtG8_yji4HS352LGlSQ/edit?pli=1#gid=0"",""1_ACUM!A4:S""),12,FALSE))"),"")</f>
        <v/>
      </c>
      <c r="AY90" s="43" t="str">
        <f ca="1">IFERROR(__xludf.DUMMYFUNCTION("IFERROR(VLOOKUP(E104&amp;F104,IMPORTRANGE(""https://docs.google.com/spreadsheets/d/1Uw7-A9f9R21vMXxHZFNpYNeKFtG8_yji4HS352LGlSQ/edit?pli=1#gid=0"",""1_ACUM!A4:S""),13,FALSE))"),"")</f>
        <v/>
      </c>
      <c r="AZ90" s="43" t="str">
        <f ca="1">IFERROR(__xludf.DUMMYFUNCTION("IFERROR(VLOOKUP(E104&amp;F104,IMPORTRANGE(""https://docs.google.com/spreadsheets/d/1Uw7-A9f9R21vMXxHZFNpYNeKFtG8_yji4HS352LGlSQ/edit?pli=1#gid=0"",""1_ACUM!A4:S""),14,FALSE))"),"")</f>
        <v/>
      </c>
      <c r="BA90" s="43" t="str">
        <f ca="1">IFERROR(__xludf.DUMMYFUNCTION("IFERROR(VLOOKUP(E104&amp;F104,IMPORTRANGE(""https://docs.google.com/spreadsheets/d/1Uw7-A9f9R21vMXxHZFNpYNeKFtG8_yji4HS352LGlSQ/edit?pli=1#gid=0"",""1_ACUM!A4:S""),15,FALSE))"),"")</f>
        <v/>
      </c>
      <c r="BB90" s="43" t="str">
        <f ca="1">IFERROR(__xludf.DUMMYFUNCTION("IFERROR(VLOOKUP(E104&amp;F104,IMPORTRANGE(""https://docs.google.com/spreadsheets/d/1Uw7-A9f9R21vMXxHZFNpYNeKFtG8_yji4HS352LGlSQ/edit?pli=1#gid=0"",""1_ACUM!A4:S""),16,FALSE))"),"")</f>
        <v/>
      </c>
      <c r="BC90" s="43" t="str">
        <f ca="1">IFERROR(__xludf.DUMMYFUNCTION("IFERROR(VLOOKUP(E104&amp;F104,IMPORTRANGE(""https://docs.google.com/spreadsheets/d/1Uw7-A9f9R21vMXxHZFNpYNeKFtG8_yji4HS352LGlSQ/edit?pli=1#gid=0"",""1_ACUM!A4:S""),17,FALSE))"),"")</f>
        <v/>
      </c>
      <c r="BD90" s="44" t="str">
        <f ca="1">IFERROR(__xludf.DUMMYFUNCTION("IFERROR(VLOOKUP(E104&amp;F104,IMPORTRANGE(""https://docs.google.com/spreadsheets/d/1Uw7-A9f9R21vMXxHZFNpYNeKFtG8_yji4HS352LGlSQ/edit?pli=1#gid=0"",""1_ACUM!A4:S""),18,FALSE))"),"")</f>
        <v/>
      </c>
      <c r="BE90" s="44" t="str">
        <f ca="1">IFERROR(__xludf.DUMMYFUNCTION("IFERROR(VLOOKUP(E104&amp;F104,IMPORTRANGE(""https://docs.google.com/spreadsheets/d/1Uw7-A9f9R21vMXxHZFNpYNeKFtG8_yji4HS352LGlSQ/edit?pli=1#gid=0"",""1_ACUM!A4:S""),19,FALSE))"),"")</f>
        <v/>
      </c>
      <c r="BF90" s="98" t="str">
        <f ca="1">IFERROR(__xludf.DUMMYFUNCTION("IFERROR(VLOOKUP(F104,IMPORTRANGE(""https://docs.google.com/spreadsheets/d/1Kvs4KS76FHFqLFIZfrDMff4kP08nblUkihrxltoGBjg/edit#gid=934712705"",""ESENCIAL!A6:BG""),5,FALSE))"),"")</f>
        <v/>
      </c>
      <c r="BG90" s="98" t="str">
        <f t="shared" si="5"/>
        <v/>
      </c>
      <c r="BH90" s="99" t="str">
        <f t="shared" si="6"/>
        <v/>
      </c>
      <c r="BI90" s="100" t="str">
        <f ca="1">IFERROR(__xludf.DUMMYFUNCTION("IFERROR(VLOOKUP(F104,IMPORTRANGE(""https://docs.google.com/spreadsheets/d/1Kvs4KS76FHFqLFIZfrDMff4kP08nblUkihrxltoGBjg/edit#gid=934712705"",""ESENCIAL!A6:BG""),2,FALSE))"),"")</f>
        <v/>
      </c>
      <c r="BJ90" s="19" t="str">
        <f t="shared" si="7"/>
        <v/>
      </c>
      <c r="BK90" s="100"/>
      <c r="BL90" s="100"/>
    </row>
    <row r="91" spans="1:64" ht="15">
      <c r="A91" s="101"/>
      <c r="B91" s="101"/>
      <c r="G91" s="5" t="str">
        <f ca="1">IFERROR(__xludf.DUMMYFUNCTION("IFERROR(VLOOKUP(F105,IMPORTRANGE(""https://docs.google.com/spreadsheets/d/1Kvs4KS76FHFqLFIZfrDMff4kP08nblUkihrxltoGBjg/edit#gid=934712705"",""ESENCIAL!A6:BG""),3,FALSE))"),"")</f>
        <v/>
      </c>
      <c r="H91" s="5" t="str">
        <f ca="1">IFERROR(__xludf.DUMMYFUNCTION("IFERROR(VLOOKUP(F105,IMPORTRANGE(""https://docs.google.com/spreadsheets/d/1Kvs4KS76FHFqLFIZfrDMff4kP08nblUkihrxltoGBjg/edit#gid=934712705"",""ESENCIAL!A6:BG""),8,FALSE))"),"")</f>
        <v/>
      </c>
      <c r="L91" s="287"/>
      <c r="U91" s="40"/>
      <c r="AU91" s="41" t="str">
        <f t="shared" si="4"/>
        <v/>
      </c>
      <c r="AV91" s="5" t="str">
        <f ca="1">IFERROR(__xludf.DUMMYFUNCTION("IFERROR(VLOOKUP(E105&amp;F105,IMPORTRANGE(""https://docs.google.com/spreadsheets/d/1Uw7-A9f9R21vMXxHZFNpYNeKFtG8_yji4HS352LGlSQ/edit?pli=1#gid=0"",""1_ACUM!A4:S""),11,FALSE))"),"")</f>
        <v/>
      </c>
      <c r="AW91" s="42" t="str">
        <f ca="1">IFERROR(__xludf.DUMMYFUNCTION("IFERROR(VLOOKUP(F105,IMPORTRANGE(""https://docs.google.com/spreadsheets/d/1Kvs4KS76FHFqLFIZfrDMff4kP08nblUkihrxltoGBjg/edit#gid=934712705"",""ESENCIAL!A6:BG""),15,FALSE))"),"")</f>
        <v/>
      </c>
      <c r="AX91" s="21" t="str">
        <f ca="1">IFERROR(__xludf.DUMMYFUNCTION("IFERROR(VLOOKUP(E105&amp;F105,IMPORTRANGE(""https://docs.google.com/spreadsheets/d/1Uw7-A9f9R21vMXxHZFNpYNeKFtG8_yji4HS352LGlSQ/edit?pli=1#gid=0"",""1_ACUM!A4:S""),12,FALSE))"),"")</f>
        <v/>
      </c>
      <c r="AY91" s="43" t="str">
        <f ca="1">IFERROR(__xludf.DUMMYFUNCTION("IFERROR(VLOOKUP(E105&amp;F105,IMPORTRANGE(""https://docs.google.com/spreadsheets/d/1Uw7-A9f9R21vMXxHZFNpYNeKFtG8_yji4HS352LGlSQ/edit?pli=1#gid=0"",""1_ACUM!A4:S""),13,FALSE))"),"")</f>
        <v/>
      </c>
      <c r="AZ91" s="43" t="str">
        <f ca="1">IFERROR(__xludf.DUMMYFUNCTION("IFERROR(VLOOKUP(E105&amp;F105,IMPORTRANGE(""https://docs.google.com/spreadsheets/d/1Uw7-A9f9R21vMXxHZFNpYNeKFtG8_yji4HS352LGlSQ/edit?pli=1#gid=0"",""1_ACUM!A4:S""),14,FALSE))"),"")</f>
        <v/>
      </c>
      <c r="BA91" s="43" t="str">
        <f ca="1">IFERROR(__xludf.DUMMYFUNCTION("IFERROR(VLOOKUP(E105&amp;F105,IMPORTRANGE(""https://docs.google.com/spreadsheets/d/1Uw7-A9f9R21vMXxHZFNpYNeKFtG8_yji4HS352LGlSQ/edit?pli=1#gid=0"",""1_ACUM!A4:S""),15,FALSE))"),"")</f>
        <v/>
      </c>
      <c r="BB91" s="43" t="str">
        <f ca="1">IFERROR(__xludf.DUMMYFUNCTION("IFERROR(VLOOKUP(E105&amp;F105,IMPORTRANGE(""https://docs.google.com/spreadsheets/d/1Uw7-A9f9R21vMXxHZFNpYNeKFtG8_yji4HS352LGlSQ/edit?pli=1#gid=0"",""1_ACUM!A4:S""),16,FALSE))"),"")</f>
        <v/>
      </c>
      <c r="BC91" s="43" t="str">
        <f ca="1">IFERROR(__xludf.DUMMYFUNCTION("IFERROR(VLOOKUP(E105&amp;F105,IMPORTRANGE(""https://docs.google.com/spreadsheets/d/1Uw7-A9f9R21vMXxHZFNpYNeKFtG8_yji4HS352LGlSQ/edit?pli=1#gid=0"",""1_ACUM!A4:S""),17,FALSE))"),"")</f>
        <v/>
      </c>
      <c r="BD91" s="44" t="str">
        <f ca="1">IFERROR(__xludf.DUMMYFUNCTION("IFERROR(VLOOKUP(E105&amp;F105,IMPORTRANGE(""https://docs.google.com/spreadsheets/d/1Uw7-A9f9R21vMXxHZFNpYNeKFtG8_yji4HS352LGlSQ/edit?pli=1#gid=0"",""1_ACUM!A4:S""),18,FALSE))"),"")</f>
        <v/>
      </c>
      <c r="BE91" s="44" t="str">
        <f ca="1">IFERROR(__xludf.DUMMYFUNCTION("IFERROR(VLOOKUP(E105&amp;F105,IMPORTRANGE(""https://docs.google.com/spreadsheets/d/1Uw7-A9f9R21vMXxHZFNpYNeKFtG8_yji4HS352LGlSQ/edit?pli=1#gid=0"",""1_ACUM!A4:S""),19,FALSE))"),"")</f>
        <v/>
      </c>
      <c r="BF91" s="98" t="str">
        <f ca="1">IFERROR(__xludf.DUMMYFUNCTION("IFERROR(VLOOKUP(F105,IMPORTRANGE(""https://docs.google.com/spreadsheets/d/1Kvs4KS76FHFqLFIZfrDMff4kP08nblUkihrxltoGBjg/edit#gid=934712705"",""ESENCIAL!A6:BG""),5,FALSE))"),"")</f>
        <v/>
      </c>
      <c r="BG91" s="98" t="str">
        <f t="shared" si="5"/>
        <v/>
      </c>
      <c r="BH91" s="99" t="str">
        <f t="shared" si="6"/>
        <v/>
      </c>
      <c r="BI91" s="100" t="str">
        <f ca="1">IFERROR(__xludf.DUMMYFUNCTION("IFERROR(VLOOKUP(F105,IMPORTRANGE(""https://docs.google.com/spreadsheets/d/1Kvs4KS76FHFqLFIZfrDMff4kP08nblUkihrxltoGBjg/edit#gid=934712705"",""ESENCIAL!A6:BG""),2,FALSE))"),"")</f>
        <v/>
      </c>
      <c r="BJ91" s="19" t="str">
        <f t="shared" si="7"/>
        <v/>
      </c>
      <c r="BK91" s="100"/>
      <c r="BL91" s="100"/>
    </row>
    <row r="92" spans="1:64" ht="15">
      <c r="A92" s="101"/>
      <c r="B92" s="101"/>
      <c r="G92" s="5" t="str">
        <f ca="1">IFERROR(__xludf.DUMMYFUNCTION("IFERROR(VLOOKUP(F106,IMPORTRANGE(""https://docs.google.com/spreadsheets/d/1Kvs4KS76FHFqLFIZfrDMff4kP08nblUkihrxltoGBjg/edit#gid=934712705"",""ESENCIAL!A6:BG""),3,FALSE))"),"")</f>
        <v/>
      </c>
      <c r="H92" s="5" t="str">
        <f ca="1">IFERROR(__xludf.DUMMYFUNCTION("IFERROR(VLOOKUP(F106,IMPORTRANGE(""https://docs.google.com/spreadsheets/d/1Kvs4KS76FHFqLFIZfrDMff4kP08nblUkihrxltoGBjg/edit#gid=934712705"",""ESENCIAL!A6:BG""),8,FALSE))"),"")</f>
        <v/>
      </c>
      <c r="L92" s="287"/>
      <c r="U92" s="40"/>
      <c r="AU92" s="41" t="str">
        <f t="shared" si="4"/>
        <v/>
      </c>
      <c r="AV92" s="5" t="str">
        <f ca="1">IFERROR(__xludf.DUMMYFUNCTION("IFERROR(VLOOKUP(E106&amp;F106,IMPORTRANGE(""https://docs.google.com/spreadsheets/d/1Uw7-A9f9R21vMXxHZFNpYNeKFtG8_yji4HS352LGlSQ/edit?pli=1#gid=0"",""1_ACUM!A4:S""),11,FALSE))"),"")</f>
        <v/>
      </c>
      <c r="AW92" s="42" t="str">
        <f ca="1">IFERROR(__xludf.DUMMYFUNCTION("IFERROR(VLOOKUP(F106,IMPORTRANGE(""https://docs.google.com/spreadsheets/d/1Kvs4KS76FHFqLFIZfrDMff4kP08nblUkihrxltoGBjg/edit#gid=934712705"",""ESENCIAL!A6:BG""),15,FALSE))"),"")</f>
        <v/>
      </c>
      <c r="AX92" s="21" t="str">
        <f ca="1">IFERROR(__xludf.DUMMYFUNCTION("IFERROR(VLOOKUP(E106&amp;F106,IMPORTRANGE(""https://docs.google.com/spreadsheets/d/1Uw7-A9f9R21vMXxHZFNpYNeKFtG8_yji4HS352LGlSQ/edit?pli=1#gid=0"",""1_ACUM!A4:S""),12,FALSE))"),"")</f>
        <v/>
      </c>
      <c r="AY92" s="43" t="str">
        <f ca="1">IFERROR(__xludf.DUMMYFUNCTION("IFERROR(VLOOKUP(E106&amp;F106,IMPORTRANGE(""https://docs.google.com/spreadsheets/d/1Uw7-A9f9R21vMXxHZFNpYNeKFtG8_yji4HS352LGlSQ/edit?pli=1#gid=0"",""1_ACUM!A4:S""),13,FALSE))"),"")</f>
        <v/>
      </c>
      <c r="AZ92" s="43" t="str">
        <f ca="1">IFERROR(__xludf.DUMMYFUNCTION("IFERROR(VLOOKUP(E106&amp;F106,IMPORTRANGE(""https://docs.google.com/spreadsheets/d/1Uw7-A9f9R21vMXxHZFNpYNeKFtG8_yji4HS352LGlSQ/edit?pli=1#gid=0"",""1_ACUM!A4:S""),14,FALSE))"),"")</f>
        <v/>
      </c>
      <c r="BA92" s="43" t="str">
        <f ca="1">IFERROR(__xludf.DUMMYFUNCTION("IFERROR(VLOOKUP(E106&amp;F106,IMPORTRANGE(""https://docs.google.com/spreadsheets/d/1Uw7-A9f9R21vMXxHZFNpYNeKFtG8_yji4HS352LGlSQ/edit?pli=1#gid=0"",""1_ACUM!A4:S""),15,FALSE))"),"")</f>
        <v/>
      </c>
      <c r="BB92" s="43" t="str">
        <f ca="1">IFERROR(__xludf.DUMMYFUNCTION("IFERROR(VLOOKUP(E106&amp;F106,IMPORTRANGE(""https://docs.google.com/spreadsheets/d/1Uw7-A9f9R21vMXxHZFNpYNeKFtG8_yji4HS352LGlSQ/edit?pli=1#gid=0"",""1_ACUM!A4:S""),16,FALSE))"),"")</f>
        <v/>
      </c>
      <c r="BC92" s="43" t="str">
        <f ca="1">IFERROR(__xludf.DUMMYFUNCTION("IFERROR(VLOOKUP(E106&amp;F106,IMPORTRANGE(""https://docs.google.com/spreadsheets/d/1Uw7-A9f9R21vMXxHZFNpYNeKFtG8_yji4HS352LGlSQ/edit?pli=1#gid=0"",""1_ACUM!A4:S""),17,FALSE))"),"")</f>
        <v/>
      </c>
      <c r="BD92" s="44" t="str">
        <f ca="1">IFERROR(__xludf.DUMMYFUNCTION("IFERROR(VLOOKUP(E106&amp;F106,IMPORTRANGE(""https://docs.google.com/spreadsheets/d/1Uw7-A9f9R21vMXxHZFNpYNeKFtG8_yji4HS352LGlSQ/edit?pli=1#gid=0"",""1_ACUM!A4:S""),18,FALSE))"),"")</f>
        <v/>
      </c>
      <c r="BE92" s="44" t="str">
        <f ca="1">IFERROR(__xludf.DUMMYFUNCTION("IFERROR(VLOOKUP(E106&amp;F106,IMPORTRANGE(""https://docs.google.com/spreadsheets/d/1Uw7-A9f9R21vMXxHZFNpYNeKFtG8_yji4HS352LGlSQ/edit?pli=1#gid=0"",""1_ACUM!A4:S""),19,FALSE))"),"")</f>
        <v/>
      </c>
      <c r="BF92" s="98" t="str">
        <f ca="1">IFERROR(__xludf.DUMMYFUNCTION("IFERROR(VLOOKUP(F106,IMPORTRANGE(""https://docs.google.com/spreadsheets/d/1Kvs4KS76FHFqLFIZfrDMff4kP08nblUkihrxltoGBjg/edit#gid=934712705"",""ESENCIAL!A6:BG""),5,FALSE))"),"")</f>
        <v/>
      </c>
      <c r="BG92" s="98" t="str">
        <f t="shared" si="5"/>
        <v/>
      </c>
      <c r="BH92" s="99" t="str">
        <f t="shared" si="6"/>
        <v/>
      </c>
      <c r="BI92" s="100" t="str">
        <f ca="1">IFERROR(__xludf.DUMMYFUNCTION("IFERROR(VLOOKUP(F106,IMPORTRANGE(""https://docs.google.com/spreadsheets/d/1Kvs4KS76FHFqLFIZfrDMff4kP08nblUkihrxltoGBjg/edit#gid=934712705"",""ESENCIAL!A6:BG""),2,FALSE))"),"")</f>
        <v/>
      </c>
      <c r="BJ92" s="19" t="str">
        <f t="shared" si="7"/>
        <v/>
      </c>
      <c r="BK92" s="100"/>
      <c r="BL92" s="100"/>
    </row>
    <row r="93" spans="1:64" ht="15">
      <c r="A93" s="101"/>
      <c r="B93" s="101"/>
      <c r="G93" s="5" t="str">
        <f ca="1">IFERROR(__xludf.DUMMYFUNCTION("IFERROR(VLOOKUP(F107,IMPORTRANGE(""https://docs.google.com/spreadsheets/d/1Kvs4KS76FHFqLFIZfrDMff4kP08nblUkihrxltoGBjg/edit#gid=934712705"",""ESENCIAL!A6:BG""),3,FALSE))"),"")</f>
        <v/>
      </c>
      <c r="H93" s="5" t="str">
        <f ca="1">IFERROR(__xludf.DUMMYFUNCTION("IFERROR(VLOOKUP(F107,IMPORTRANGE(""https://docs.google.com/spreadsheets/d/1Kvs4KS76FHFqLFIZfrDMff4kP08nblUkihrxltoGBjg/edit#gid=934712705"",""ESENCIAL!A6:BG""),8,FALSE))"),"")</f>
        <v/>
      </c>
      <c r="L93" s="287"/>
      <c r="U93" s="40"/>
      <c r="AU93" s="41" t="str">
        <f t="shared" si="4"/>
        <v/>
      </c>
      <c r="AV93" s="5" t="str">
        <f ca="1">IFERROR(__xludf.DUMMYFUNCTION("IFERROR(VLOOKUP(E107&amp;F107,IMPORTRANGE(""https://docs.google.com/spreadsheets/d/1Uw7-A9f9R21vMXxHZFNpYNeKFtG8_yji4HS352LGlSQ/edit?pli=1#gid=0"",""1_ACUM!A4:S""),11,FALSE))"),"")</f>
        <v/>
      </c>
      <c r="AW93" s="42" t="str">
        <f ca="1">IFERROR(__xludf.DUMMYFUNCTION("IFERROR(VLOOKUP(F107,IMPORTRANGE(""https://docs.google.com/spreadsheets/d/1Kvs4KS76FHFqLFIZfrDMff4kP08nblUkihrxltoGBjg/edit#gid=934712705"",""ESENCIAL!A6:BG""),15,FALSE))"),"")</f>
        <v/>
      </c>
      <c r="AX93" s="21" t="str">
        <f ca="1">IFERROR(__xludf.DUMMYFUNCTION("IFERROR(VLOOKUP(E107&amp;F107,IMPORTRANGE(""https://docs.google.com/spreadsheets/d/1Uw7-A9f9R21vMXxHZFNpYNeKFtG8_yji4HS352LGlSQ/edit?pli=1#gid=0"",""1_ACUM!A4:S""),12,FALSE))"),"")</f>
        <v/>
      </c>
      <c r="AY93" s="43" t="str">
        <f ca="1">IFERROR(__xludf.DUMMYFUNCTION("IFERROR(VLOOKUP(E107&amp;F107,IMPORTRANGE(""https://docs.google.com/spreadsheets/d/1Uw7-A9f9R21vMXxHZFNpYNeKFtG8_yji4HS352LGlSQ/edit?pli=1#gid=0"",""1_ACUM!A4:S""),13,FALSE))"),"")</f>
        <v/>
      </c>
      <c r="AZ93" s="43" t="str">
        <f ca="1">IFERROR(__xludf.DUMMYFUNCTION("IFERROR(VLOOKUP(E107&amp;F107,IMPORTRANGE(""https://docs.google.com/spreadsheets/d/1Uw7-A9f9R21vMXxHZFNpYNeKFtG8_yji4HS352LGlSQ/edit?pli=1#gid=0"",""1_ACUM!A4:S""),14,FALSE))"),"")</f>
        <v/>
      </c>
      <c r="BA93" s="43" t="str">
        <f ca="1">IFERROR(__xludf.DUMMYFUNCTION("IFERROR(VLOOKUP(E107&amp;F107,IMPORTRANGE(""https://docs.google.com/spreadsheets/d/1Uw7-A9f9R21vMXxHZFNpYNeKFtG8_yji4HS352LGlSQ/edit?pli=1#gid=0"",""1_ACUM!A4:S""),15,FALSE))"),"")</f>
        <v/>
      </c>
      <c r="BB93" s="43" t="str">
        <f ca="1">IFERROR(__xludf.DUMMYFUNCTION("IFERROR(VLOOKUP(E107&amp;F107,IMPORTRANGE(""https://docs.google.com/spreadsheets/d/1Uw7-A9f9R21vMXxHZFNpYNeKFtG8_yji4HS352LGlSQ/edit?pli=1#gid=0"",""1_ACUM!A4:S""),16,FALSE))"),"")</f>
        <v/>
      </c>
      <c r="BC93" s="43" t="str">
        <f ca="1">IFERROR(__xludf.DUMMYFUNCTION("IFERROR(VLOOKUP(E107&amp;F107,IMPORTRANGE(""https://docs.google.com/spreadsheets/d/1Uw7-A9f9R21vMXxHZFNpYNeKFtG8_yji4HS352LGlSQ/edit?pli=1#gid=0"",""1_ACUM!A4:S""),17,FALSE))"),"")</f>
        <v/>
      </c>
      <c r="BD93" s="44" t="str">
        <f ca="1">IFERROR(__xludf.DUMMYFUNCTION("IFERROR(VLOOKUP(E107&amp;F107,IMPORTRANGE(""https://docs.google.com/spreadsheets/d/1Uw7-A9f9R21vMXxHZFNpYNeKFtG8_yji4HS352LGlSQ/edit?pli=1#gid=0"",""1_ACUM!A4:S""),18,FALSE))"),"")</f>
        <v/>
      </c>
      <c r="BE93" s="44" t="str">
        <f ca="1">IFERROR(__xludf.DUMMYFUNCTION("IFERROR(VLOOKUP(E107&amp;F107,IMPORTRANGE(""https://docs.google.com/spreadsheets/d/1Uw7-A9f9R21vMXxHZFNpYNeKFtG8_yji4HS352LGlSQ/edit?pli=1#gid=0"",""1_ACUM!A4:S""),19,FALSE))"),"")</f>
        <v/>
      </c>
      <c r="BF93" s="98" t="str">
        <f ca="1">IFERROR(__xludf.DUMMYFUNCTION("IFERROR(VLOOKUP(F107,IMPORTRANGE(""https://docs.google.com/spreadsheets/d/1Kvs4KS76FHFqLFIZfrDMff4kP08nblUkihrxltoGBjg/edit#gid=934712705"",""ESENCIAL!A6:BG""),5,FALSE))"),"")</f>
        <v/>
      </c>
      <c r="BG93" s="98" t="str">
        <f t="shared" si="5"/>
        <v/>
      </c>
      <c r="BH93" s="99" t="str">
        <f t="shared" si="6"/>
        <v/>
      </c>
      <c r="BI93" s="100" t="str">
        <f ca="1">IFERROR(__xludf.DUMMYFUNCTION("IFERROR(VLOOKUP(F107,IMPORTRANGE(""https://docs.google.com/spreadsheets/d/1Kvs4KS76FHFqLFIZfrDMff4kP08nblUkihrxltoGBjg/edit#gid=934712705"",""ESENCIAL!A6:BG""),2,FALSE))"),"")</f>
        <v/>
      </c>
      <c r="BJ93" s="19" t="str">
        <f t="shared" si="7"/>
        <v/>
      </c>
      <c r="BK93" s="100"/>
      <c r="BL93" s="100"/>
    </row>
    <row r="94" spans="1:64" ht="15">
      <c r="A94" s="101"/>
      <c r="B94" s="101"/>
      <c r="G94" s="5" t="str">
        <f ca="1">IFERROR(__xludf.DUMMYFUNCTION("IFERROR(VLOOKUP(F108,IMPORTRANGE(""https://docs.google.com/spreadsheets/d/1Kvs4KS76FHFqLFIZfrDMff4kP08nblUkihrxltoGBjg/edit#gid=934712705"",""ESENCIAL!A6:BG""),3,FALSE))"),"")</f>
        <v/>
      </c>
      <c r="H94" s="5" t="str">
        <f ca="1">IFERROR(__xludf.DUMMYFUNCTION("IFERROR(VLOOKUP(F108,IMPORTRANGE(""https://docs.google.com/spreadsheets/d/1Kvs4KS76FHFqLFIZfrDMff4kP08nblUkihrxltoGBjg/edit#gid=934712705"",""ESENCIAL!A6:BG""),8,FALSE))"),"")</f>
        <v/>
      </c>
      <c r="L94" s="287"/>
      <c r="U94" s="40"/>
      <c r="AU94" s="41" t="str">
        <f t="shared" si="4"/>
        <v/>
      </c>
      <c r="AV94" s="5" t="str">
        <f ca="1">IFERROR(__xludf.DUMMYFUNCTION("IFERROR(VLOOKUP(E108&amp;F108,IMPORTRANGE(""https://docs.google.com/spreadsheets/d/1Uw7-A9f9R21vMXxHZFNpYNeKFtG8_yji4HS352LGlSQ/edit?pli=1#gid=0"",""1_ACUM!A4:S""),11,FALSE))"),"")</f>
        <v/>
      </c>
      <c r="AW94" s="42" t="str">
        <f ca="1">IFERROR(__xludf.DUMMYFUNCTION("IFERROR(VLOOKUP(F108,IMPORTRANGE(""https://docs.google.com/spreadsheets/d/1Kvs4KS76FHFqLFIZfrDMff4kP08nblUkihrxltoGBjg/edit#gid=934712705"",""ESENCIAL!A6:BG""),15,FALSE))"),"")</f>
        <v/>
      </c>
      <c r="AX94" s="21" t="str">
        <f ca="1">IFERROR(__xludf.DUMMYFUNCTION("IFERROR(VLOOKUP(E108&amp;F108,IMPORTRANGE(""https://docs.google.com/spreadsheets/d/1Uw7-A9f9R21vMXxHZFNpYNeKFtG8_yji4HS352LGlSQ/edit?pli=1#gid=0"",""1_ACUM!A4:S""),12,FALSE))"),"")</f>
        <v/>
      </c>
      <c r="AY94" s="43" t="str">
        <f ca="1">IFERROR(__xludf.DUMMYFUNCTION("IFERROR(VLOOKUP(E108&amp;F108,IMPORTRANGE(""https://docs.google.com/spreadsheets/d/1Uw7-A9f9R21vMXxHZFNpYNeKFtG8_yji4HS352LGlSQ/edit?pli=1#gid=0"",""1_ACUM!A4:S""),13,FALSE))"),"")</f>
        <v/>
      </c>
      <c r="AZ94" s="43" t="str">
        <f ca="1">IFERROR(__xludf.DUMMYFUNCTION("IFERROR(VLOOKUP(E108&amp;F108,IMPORTRANGE(""https://docs.google.com/spreadsheets/d/1Uw7-A9f9R21vMXxHZFNpYNeKFtG8_yji4HS352LGlSQ/edit?pli=1#gid=0"",""1_ACUM!A4:S""),14,FALSE))"),"")</f>
        <v/>
      </c>
      <c r="BA94" s="43" t="str">
        <f ca="1">IFERROR(__xludf.DUMMYFUNCTION("IFERROR(VLOOKUP(E108&amp;F108,IMPORTRANGE(""https://docs.google.com/spreadsheets/d/1Uw7-A9f9R21vMXxHZFNpYNeKFtG8_yji4HS352LGlSQ/edit?pli=1#gid=0"",""1_ACUM!A4:S""),15,FALSE))"),"")</f>
        <v/>
      </c>
      <c r="BB94" s="43" t="str">
        <f ca="1">IFERROR(__xludf.DUMMYFUNCTION("IFERROR(VLOOKUP(E108&amp;F108,IMPORTRANGE(""https://docs.google.com/spreadsheets/d/1Uw7-A9f9R21vMXxHZFNpYNeKFtG8_yji4HS352LGlSQ/edit?pli=1#gid=0"",""1_ACUM!A4:S""),16,FALSE))"),"")</f>
        <v/>
      </c>
      <c r="BC94" s="43" t="str">
        <f ca="1">IFERROR(__xludf.DUMMYFUNCTION("IFERROR(VLOOKUP(E108&amp;F108,IMPORTRANGE(""https://docs.google.com/spreadsheets/d/1Uw7-A9f9R21vMXxHZFNpYNeKFtG8_yji4HS352LGlSQ/edit?pli=1#gid=0"",""1_ACUM!A4:S""),17,FALSE))"),"")</f>
        <v/>
      </c>
      <c r="BD94" s="44" t="str">
        <f ca="1">IFERROR(__xludf.DUMMYFUNCTION("IFERROR(VLOOKUP(E108&amp;F108,IMPORTRANGE(""https://docs.google.com/spreadsheets/d/1Uw7-A9f9R21vMXxHZFNpYNeKFtG8_yji4HS352LGlSQ/edit?pli=1#gid=0"",""1_ACUM!A4:S""),18,FALSE))"),"")</f>
        <v/>
      </c>
      <c r="BE94" s="44" t="str">
        <f ca="1">IFERROR(__xludf.DUMMYFUNCTION("IFERROR(VLOOKUP(E108&amp;F108,IMPORTRANGE(""https://docs.google.com/spreadsheets/d/1Uw7-A9f9R21vMXxHZFNpYNeKFtG8_yji4HS352LGlSQ/edit?pli=1#gid=0"",""1_ACUM!A4:S""),19,FALSE))"),"")</f>
        <v/>
      </c>
      <c r="BF94" s="98" t="str">
        <f ca="1">IFERROR(__xludf.DUMMYFUNCTION("IFERROR(VLOOKUP(F108,IMPORTRANGE(""https://docs.google.com/spreadsheets/d/1Kvs4KS76FHFqLFIZfrDMff4kP08nblUkihrxltoGBjg/edit#gid=934712705"",""ESENCIAL!A6:BG""),5,FALSE))"),"")</f>
        <v/>
      </c>
      <c r="BG94" s="98" t="str">
        <f t="shared" si="5"/>
        <v/>
      </c>
      <c r="BH94" s="99" t="str">
        <f t="shared" si="6"/>
        <v/>
      </c>
      <c r="BI94" s="100" t="str">
        <f ca="1">IFERROR(__xludf.DUMMYFUNCTION("IFERROR(VLOOKUP(F108,IMPORTRANGE(""https://docs.google.com/spreadsheets/d/1Kvs4KS76FHFqLFIZfrDMff4kP08nblUkihrxltoGBjg/edit#gid=934712705"",""ESENCIAL!A6:BG""),2,FALSE))"),"")</f>
        <v/>
      </c>
      <c r="BJ94" s="19" t="str">
        <f t="shared" si="7"/>
        <v/>
      </c>
      <c r="BK94" s="100"/>
      <c r="BL94" s="100"/>
    </row>
    <row r="95" spans="1:64" ht="15">
      <c r="A95" s="101"/>
      <c r="B95" s="101"/>
      <c r="G95" s="5" t="str">
        <f ca="1">IFERROR(__xludf.DUMMYFUNCTION("IFERROR(VLOOKUP(F109,IMPORTRANGE(""https://docs.google.com/spreadsheets/d/1Kvs4KS76FHFqLFIZfrDMff4kP08nblUkihrxltoGBjg/edit#gid=934712705"",""ESENCIAL!A6:BG""),3,FALSE))"),"")</f>
        <v/>
      </c>
      <c r="H95" s="5" t="str">
        <f ca="1">IFERROR(__xludf.DUMMYFUNCTION("IFERROR(VLOOKUP(F109,IMPORTRANGE(""https://docs.google.com/spreadsheets/d/1Kvs4KS76FHFqLFIZfrDMff4kP08nblUkihrxltoGBjg/edit#gid=934712705"",""ESENCIAL!A6:BG""),8,FALSE))"),"")</f>
        <v/>
      </c>
      <c r="L95" s="287"/>
      <c r="U95" s="40"/>
      <c r="AU95" s="41" t="str">
        <f t="shared" si="4"/>
        <v/>
      </c>
      <c r="AV95" s="5" t="str">
        <f ca="1">IFERROR(__xludf.DUMMYFUNCTION("IFERROR(VLOOKUP(E109&amp;F109,IMPORTRANGE(""https://docs.google.com/spreadsheets/d/1Uw7-A9f9R21vMXxHZFNpYNeKFtG8_yji4HS352LGlSQ/edit?pli=1#gid=0"",""1_ACUM!A4:S""),11,FALSE))"),"")</f>
        <v/>
      </c>
      <c r="AW95" s="42" t="str">
        <f ca="1">IFERROR(__xludf.DUMMYFUNCTION("IFERROR(VLOOKUP(F109,IMPORTRANGE(""https://docs.google.com/spreadsheets/d/1Kvs4KS76FHFqLFIZfrDMff4kP08nblUkihrxltoGBjg/edit#gid=934712705"",""ESENCIAL!A6:BG""),15,FALSE))"),"")</f>
        <v/>
      </c>
      <c r="AX95" s="21" t="str">
        <f ca="1">IFERROR(__xludf.DUMMYFUNCTION("IFERROR(VLOOKUP(E109&amp;F109,IMPORTRANGE(""https://docs.google.com/spreadsheets/d/1Uw7-A9f9R21vMXxHZFNpYNeKFtG8_yji4HS352LGlSQ/edit?pli=1#gid=0"",""1_ACUM!A4:S""),12,FALSE))"),"")</f>
        <v/>
      </c>
      <c r="AY95" s="43" t="str">
        <f ca="1">IFERROR(__xludf.DUMMYFUNCTION("IFERROR(VLOOKUP(E109&amp;F109,IMPORTRANGE(""https://docs.google.com/spreadsheets/d/1Uw7-A9f9R21vMXxHZFNpYNeKFtG8_yji4HS352LGlSQ/edit?pli=1#gid=0"",""1_ACUM!A4:S""),13,FALSE))"),"")</f>
        <v/>
      </c>
      <c r="AZ95" s="43" t="str">
        <f ca="1">IFERROR(__xludf.DUMMYFUNCTION("IFERROR(VLOOKUP(E109&amp;F109,IMPORTRANGE(""https://docs.google.com/spreadsheets/d/1Uw7-A9f9R21vMXxHZFNpYNeKFtG8_yji4HS352LGlSQ/edit?pli=1#gid=0"",""1_ACUM!A4:S""),14,FALSE))"),"")</f>
        <v/>
      </c>
      <c r="BA95" s="43" t="str">
        <f ca="1">IFERROR(__xludf.DUMMYFUNCTION("IFERROR(VLOOKUP(E109&amp;F109,IMPORTRANGE(""https://docs.google.com/spreadsheets/d/1Uw7-A9f9R21vMXxHZFNpYNeKFtG8_yji4HS352LGlSQ/edit?pli=1#gid=0"",""1_ACUM!A4:S""),15,FALSE))"),"")</f>
        <v/>
      </c>
      <c r="BB95" s="43" t="str">
        <f ca="1">IFERROR(__xludf.DUMMYFUNCTION("IFERROR(VLOOKUP(E109&amp;F109,IMPORTRANGE(""https://docs.google.com/spreadsheets/d/1Uw7-A9f9R21vMXxHZFNpYNeKFtG8_yji4HS352LGlSQ/edit?pli=1#gid=0"",""1_ACUM!A4:S""),16,FALSE))"),"")</f>
        <v/>
      </c>
      <c r="BC95" s="43" t="str">
        <f ca="1">IFERROR(__xludf.DUMMYFUNCTION("IFERROR(VLOOKUP(E109&amp;F109,IMPORTRANGE(""https://docs.google.com/spreadsheets/d/1Uw7-A9f9R21vMXxHZFNpYNeKFtG8_yji4HS352LGlSQ/edit?pli=1#gid=0"",""1_ACUM!A4:S""),17,FALSE))"),"")</f>
        <v/>
      </c>
      <c r="BD95" s="44" t="str">
        <f ca="1">IFERROR(__xludf.DUMMYFUNCTION("IFERROR(VLOOKUP(E109&amp;F109,IMPORTRANGE(""https://docs.google.com/spreadsheets/d/1Uw7-A9f9R21vMXxHZFNpYNeKFtG8_yji4HS352LGlSQ/edit?pli=1#gid=0"",""1_ACUM!A4:S""),18,FALSE))"),"")</f>
        <v/>
      </c>
      <c r="BE95" s="44" t="str">
        <f ca="1">IFERROR(__xludf.DUMMYFUNCTION("IFERROR(VLOOKUP(E109&amp;F109,IMPORTRANGE(""https://docs.google.com/spreadsheets/d/1Uw7-A9f9R21vMXxHZFNpYNeKFtG8_yji4HS352LGlSQ/edit?pli=1#gid=0"",""1_ACUM!A4:S""),19,FALSE))"),"")</f>
        <v/>
      </c>
      <c r="BF95" s="98" t="str">
        <f ca="1">IFERROR(__xludf.DUMMYFUNCTION("IFERROR(VLOOKUP(F109,IMPORTRANGE(""https://docs.google.com/spreadsheets/d/1Kvs4KS76FHFqLFIZfrDMff4kP08nblUkihrxltoGBjg/edit#gid=934712705"",""ESENCIAL!A6:BG""),5,FALSE))"),"")</f>
        <v/>
      </c>
      <c r="BG95" s="98" t="str">
        <f t="shared" si="5"/>
        <v/>
      </c>
      <c r="BH95" s="99" t="str">
        <f t="shared" si="6"/>
        <v/>
      </c>
      <c r="BI95" s="100" t="str">
        <f ca="1">IFERROR(__xludf.DUMMYFUNCTION("IFERROR(VLOOKUP(F109,IMPORTRANGE(""https://docs.google.com/spreadsheets/d/1Kvs4KS76FHFqLFIZfrDMff4kP08nblUkihrxltoGBjg/edit#gid=934712705"",""ESENCIAL!A6:BG""),2,FALSE))"),"")</f>
        <v/>
      </c>
      <c r="BJ95" s="19" t="str">
        <f t="shared" si="7"/>
        <v/>
      </c>
      <c r="BK95" s="100"/>
      <c r="BL95" s="100"/>
    </row>
    <row r="96" spans="1:64" ht="15">
      <c r="A96" s="101"/>
      <c r="B96" s="101"/>
      <c r="G96" s="5" t="str">
        <f ca="1">IFERROR(__xludf.DUMMYFUNCTION("IFERROR(VLOOKUP(F110,IMPORTRANGE(""https://docs.google.com/spreadsheets/d/1Kvs4KS76FHFqLFIZfrDMff4kP08nblUkihrxltoGBjg/edit#gid=934712705"",""ESENCIAL!A6:BG""),3,FALSE))"),"")</f>
        <v/>
      </c>
      <c r="H96" s="5" t="str">
        <f ca="1">IFERROR(__xludf.DUMMYFUNCTION("IFERROR(VLOOKUP(F110,IMPORTRANGE(""https://docs.google.com/spreadsheets/d/1Kvs4KS76FHFqLFIZfrDMff4kP08nblUkihrxltoGBjg/edit#gid=934712705"",""ESENCIAL!A6:BG""),8,FALSE))"),"")</f>
        <v/>
      </c>
      <c r="L96" s="287"/>
      <c r="U96" s="40"/>
      <c r="AU96" s="41" t="str">
        <f t="shared" si="4"/>
        <v/>
      </c>
      <c r="AV96" s="5" t="str">
        <f ca="1">IFERROR(__xludf.DUMMYFUNCTION("IFERROR(VLOOKUP(E110&amp;F110,IMPORTRANGE(""https://docs.google.com/spreadsheets/d/1Uw7-A9f9R21vMXxHZFNpYNeKFtG8_yji4HS352LGlSQ/edit?pli=1#gid=0"",""1_ACUM!A4:S""),11,FALSE))"),"")</f>
        <v/>
      </c>
      <c r="AW96" s="42" t="str">
        <f ca="1">IFERROR(__xludf.DUMMYFUNCTION("IFERROR(VLOOKUP(F110,IMPORTRANGE(""https://docs.google.com/spreadsheets/d/1Kvs4KS76FHFqLFIZfrDMff4kP08nblUkihrxltoGBjg/edit#gid=934712705"",""ESENCIAL!A6:BG""),15,FALSE))"),"")</f>
        <v/>
      </c>
      <c r="AX96" s="21" t="str">
        <f ca="1">IFERROR(__xludf.DUMMYFUNCTION("IFERROR(VLOOKUP(E110&amp;F110,IMPORTRANGE(""https://docs.google.com/spreadsheets/d/1Uw7-A9f9R21vMXxHZFNpYNeKFtG8_yji4HS352LGlSQ/edit?pli=1#gid=0"",""1_ACUM!A4:S""),12,FALSE))"),"")</f>
        <v/>
      </c>
      <c r="AY96" s="43" t="str">
        <f ca="1">IFERROR(__xludf.DUMMYFUNCTION("IFERROR(VLOOKUP(E110&amp;F110,IMPORTRANGE(""https://docs.google.com/spreadsheets/d/1Uw7-A9f9R21vMXxHZFNpYNeKFtG8_yji4HS352LGlSQ/edit?pli=1#gid=0"",""1_ACUM!A4:S""),13,FALSE))"),"")</f>
        <v/>
      </c>
      <c r="AZ96" s="43" t="str">
        <f ca="1">IFERROR(__xludf.DUMMYFUNCTION("IFERROR(VLOOKUP(E110&amp;F110,IMPORTRANGE(""https://docs.google.com/spreadsheets/d/1Uw7-A9f9R21vMXxHZFNpYNeKFtG8_yji4HS352LGlSQ/edit?pli=1#gid=0"",""1_ACUM!A4:S""),14,FALSE))"),"")</f>
        <v/>
      </c>
      <c r="BA96" s="43" t="str">
        <f ca="1">IFERROR(__xludf.DUMMYFUNCTION("IFERROR(VLOOKUP(E110&amp;F110,IMPORTRANGE(""https://docs.google.com/spreadsheets/d/1Uw7-A9f9R21vMXxHZFNpYNeKFtG8_yji4HS352LGlSQ/edit?pli=1#gid=0"",""1_ACUM!A4:S""),15,FALSE))"),"")</f>
        <v/>
      </c>
      <c r="BB96" s="43" t="str">
        <f ca="1">IFERROR(__xludf.DUMMYFUNCTION("IFERROR(VLOOKUP(E110&amp;F110,IMPORTRANGE(""https://docs.google.com/spreadsheets/d/1Uw7-A9f9R21vMXxHZFNpYNeKFtG8_yji4HS352LGlSQ/edit?pli=1#gid=0"",""1_ACUM!A4:S""),16,FALSE))"),"")</f>
        <v/>
      </c>
      <c r="BC96" s="43" t="str">
        <f ca="1">IFERROR(__xludf.DUMMYFUNCTION("IFERROR(VLOOKUP(E110&amp;F110,IMPORTRANGE(""https://docs.google.com/spreadsheets/d/1Uw7-A9f9R21vMXxHZFNpYNeKFtG8_yji4HS352LGlSQ/edit?pli=1#gid=0"",""1_ACUM!A4:S""),17,FALSE))"),"")</f>
        <v/>
      </c>
      <c r="BD96" s="44" t="str">
        <f ca="1">IFERROR(__xludf.DUMMYFUNCTION("IFERROR(VLOOKUP(E110&amp;F110,IMPORTRANGE(""https://docs.google.com/spreadsheets/d/1Uw7-A9f9R21vMXxHZFNpYNeKFtG8_yji4HS352LGlSQ/edit?pli=1#gid=0"",""1_ACUM!A4:S""),18,FALSE))"),"")</f>
        <v/>
      </c>
      <c r="BE96" s="44" t="str">
        <f ca="1">IFERROR(__xludf.DUMMYFUNCTION("IFERROR(VLOOKUP(E110&amp;F110,IMPORTRANGE(""https://docs.google.com/spreadsheets/d/1Uw7-A9f9R21vMXxHZFNpYNeKFtG8_yji4HS352LGlSQ/edit?pli=1#gid=0"",""1_ACUM!A4:S""),19,FALSE))"),"")</f>
        <v/>
      </c>
      <c r="BF96" s="98" t="str">
        <f ca="1">IFERROR(__xludf.DUMMYFUNCTION("IFERROR(VLOOKUP(F110,IMPORTRANGE(""https://docs.google.com/spreadsheets/d/1Kvs4KS76FHFqLFIZfrDMff4kP08nblUkihrxltoGBjg/edit#gid=934712705"",""ESENCIAL!A6:BG""),5,FALSE))"),"")</f>
        <v/>
      </c>
      <c r="BG96" s="98" t="str">
        <f t="shared" si="5"/>
        <v/>
      </c>
      <c r="BH96" s="99" t="str">
        <f t="shared" si="6"/>
        <v/>
      </c>
      <c r="BI96" s="100" t="str">
        <f ca="1">IFERROR(__xludf.DUMMYFUNCTION("IFERROR(VLOOKUP(F110,IMPORTRANGE(""https://docs.google.com/spreadsheets/d/1Kvs4KS76FHFqLFIZfrDMff4kP08nblUkihrxltoGBjg/edit#gid=934712705"",""ESENCIAL!A6:BG""),2,FALSE))"),"")</f>
        <v/>
      </c>
      <c r="BJ96" s="19" t="str">
        <f t="shared" si="7"/>
        <v/>
      </c>
      <c r="BK96" s="100"/>
      <c r="BL96" s="100"/>
    </row>
    <row r="97" spans="1:64" ht="15">
      <c r="A97" s="101"/>
      <c r="B97" s="101"/>
      <c r="G97" s="5" t="str">
        <f ca="1">IFERROR(__xludf.DUMMYFUNCTION("IFERROR(VLOOKUP(F111,IMPORTRANGE(""https://docs.google.com/spreadsheets/d/1Kvs4KS76FHFqLFIZfrDMff4kP08nblUkihrxltoGBjg/edit#gid=934712705"",""ESENCIAL!A6:BG""),3,FALSE))"),"")</f>
        <v/>
      </c>
      <c r="H97" s="5" t="str">
        <f ca="1">IFERROR(__xludf.DUMMYFUNCTION("IFERROR(VLOOKUP(F111,IMPORTRANGE(""https://docs.google.com/spreadsheets/d/1Kvs4KS76FHFqLFIZfrDMff4kP08nblUkihrxltoGBjg/edit#gid=934712705"",""ESENCIAL!A6:BG""),8,FALSE))"),"")</f>
        <v/>
      </c>
      <c r="L97" s="287"/>
      <c r="U97" s="40"/>
      <c r="AU97" s="41" t="str">
        <f t="shared" si="4"/>
        <v/>
      </c>
      <c r="AV97" s="5" t="str">
        <f ca="1">IFERROR(__xludf.DUMMYFUNCTION("IFERROR(VLOOKUP(E111&amp;F111,IMPORTRANGE(""https://docs.google.com/spreadsheets/d/1Uw7-A9f9R21vMXxHZFNpYNeKFtG8_yji4HS352LGlSQ/edit?pli=1#gid=0"",""1_ACUM!A4:S""),11,FALSE))"),"")</f>
        <v/>
      </c>
      <c r="AW97" s="42" t="str">
        <f ca="1">IFERROR(__xludf.DUMMYFUNCTION("IFERROR(VLOOKUP(F111,IMPORTRANGE(""https://docs.google.com/spreadsheets/d/1Kvs4KS76FHFqLFIZfrDMff4kP08nblUkihrxltoGBjg/edit#gid=934712705"",""ESENCIAL!A6:BG""),15,FALSE))"),"")</f>
        <v/>
      </c>
      <c r="AX97" s="21" t="str">
        <f ca="1">IFERROR(__xludf.DUMMYFUNCTION("IFERROR(VLOOKUP(E111&amp;F111,IMPORTRANGE(""https://docs.google.com/spreadsheets/d/1Uw7-A9f9R21vMXxHZFNpYNeKFtG8_yji4HS352LGlSQ/edit?pli=1#gid=0"",""1_ACUM!A4:S""),12,FALSE))"),"")</f>
        <v/>
      </c>
      <c r="AY97" s="43" t="str">
        <f ca="1">IFERROR(__xludf.DUMMYFUNCTION("IFERROR(VLOOKUP(E111&amp;F111,IMPORTRANGE(""https://docs.google.com/spreadsheets/d/1Uw7-A9f9R21vMXxHZFNpYNeKFtG8_yji4HS352LGlSQ/edit?pli=1#gid=0"",""1_ACUM!A4:S""),13,FALSE))"),"")</f>
        <v/>
      </c>
      <c r="AZ97" s="43" t="str">
        <f ca="1">IFERROR(__xludf.DUMMYFUNCTION("IFERROR(VLOOKUP(E111&amp;F111,IMPORTRANGE(""https://docs.google.com/spreadsheets/d/1Uw7-A9f9R21vMXxHZFNpYNeKFtG8_yji4HS352LGlSQ/edit?pli=1#gid=0"",""1_ACUM!A4:S""),14,FALSE))"),"")</f>
        <v/>
      </c>
      <c r="BA97" s="43" t="str">
        <f ca="1">IFERROR(__xludf.DUMMYFUNCTION("IFERROR(VLOOKUP(E111&amp;F111,IMPORTRANGE(""https://docs.google.com/spreadsheets/d/1Uw7-A9f9R21vMXxHZFNpYNeKFtG8_yji4HS352LGlSQ/edit?pli=1#gid=0"",""1_ACUM!A4:S""),15,FALSE))"),"")</f>
        <v/>
      </c>
      <c r="BB97" s="43" t="str">
        <f ca="1">IFERROR(__xludf.DUMMYFUNCTION("IFERROR(VLOOKUP(E111&amp;F111,IMPORTRANGE(""https://docs.google.com/spreadsheets/d/1Uw7-A9f9R21vMXxHZFNpYNeKFtG8_yji4HS352LGlSQ/edit?pli=1#gid=0"",""1_ACUM!A4:S""),16,FALSE))"),"")</f>
        <v/>
      </c>
      <c r="BC97" s="43" t="str">
        <f ca="1">IFERROR(__xludf.DUMMYFUNCTION("IFERROR(VLOOKUP(E111&amp;F111,IMPORTRANGE(""https://docs.google.com/spreadsheets/d/1Uw7-A9f9R21vMXxHZFNpYNeKFtG8_yji4HS352LGlSQ/edit?pli=1#gid=0"",""1_ACUM!A4:S""),17,FALSE))"),"")</f>
        <v/>
      </c>
      <c r="BD97" s="44" t="str">
        <f ca="1">IFERROR(__xludf.DUMMYFUNCTION("IFERROR(VLOOKUP(E111&amp;F111,IMPORTRANGE(""https://docs.google.com/spreadsheets/d/1Uw7-A9f9R21vMXxHZFNpYNeKFtG8_yji4HS352LGlSQ/edit?pli=1#gid=0"",""1_ACUM!A4:S""),18,FALSE))"),"")</f>
        <v/>
      </c>
      <c r="BE97" s="44" t="str">
        <f ca="1">IFERROR(__xludf.DUMMYFUNCTION("IFERROR(VLOOKUP(E111&amp;F111,IMPORTRANGE(""https://docs.google.com/spreadsheets/d/1Uw7-A9f9R21vMXxHZFNpYNeKFtG8_yji4HS352LGlSQ/edit?pli=1#gid=0"",""1_ACUM!A4:S""),19,FALSE))"),"")</f>
        <v/>
      </c>
      <c r="BF97" s="98" t="str">
        <f ca="1">IFERROR(__xludf.DUMMYFUNCTION("IFERROR(VLOOKUP(F111,IMPORTRANGE(""https://docs.google.com/spreadsheets/d/1Kvs4KS76FHFqLFIZfrDMff4kP08nblUkihrxltoGBjg/edit#gid=934712705"",""ESENCIAL!A6:BG""),5,FALSE))"),"")</f>
        <v/>
      </c>
      <c r="BG97" s="98" t="str">
        <f t="shared" si="5"/>
        <v/>
      </c>
      <c r="BH97" s="99" t="str">
        <f t="shared" si="6"/>
        <v/>
      </c>
      <c r="BI97" s="100" t="str">
        <f ca="1">IFERROR(__xludf.DUMMYFUNCTION("IFERROR(VLOOKUP(F111,IMPORTRANGE(""https://docs.google.com/spreadsheets/d/1Kvs4KS76FHFqLFIZfrDMff4kP08nblUkihrxltoGBjg/edit#gid=934712705"",""ESENCIAL!A6:BG""),2,FALSE))"),"")</f>
        <v/>
      </c>
      <c r="BJ97" s="19" t="str">
        <f t="shared" si="7"/>
        <v/>
      </c>
      <c r="BK97" s="100"/>
      <c r="BL97" s="100"/>
    </row>
    <row r="98" spans="1:64" ht="15">
      <c r="A98" s="101"/>
      <c r="B98" s="101"/>
      <c r="G98" s="5" t="str">
        <f ca="1">IFERROR(__xludf.DUMMYFUNCTION("IFERROR(VLOOKUP(F112,IMPORTRANGE(""https://docs.google.com/spreadsheets/d/1Kvs4KS76FHFqLFIZfrDMff4kP08nblUkihrxltoGBjg/edit#gid=934712705"",""ESENCIAL!A6:BG""),3,FALSE))"),"")</f>
        <v/>
      </c>
      <c r="H98" s="5" t="str">
        <f ca="1">IFERROR(__xludf.DUMMYFUNCTION("IFERROR(VLOOKUP(F112,IMPORTRANGE(""https://docs.google.com/spreadsheets/d/1Kvs4KS76FHFqLFIZfrDMff4kP08nblUkihrxltoGBjg/edit#gid=934712705"",""ESENCIAL!A6:BG""),8,FALSE))"),"")</f>
        <v/>
      </c>
      <c r="L98" s="287"/>
      <c r="U98" s="40"/>
      <c r="AU98" s="41" t="str">
        <f t="shared" si="4"/>
        <v/>
      </c>
      <c r="AV98" s="5" t="str">
        <f ca="1">IFERROR(__xludf.DUMMYFUNCTION("IFERROR(VLOOKUP(E112&amp;F112,IMPORTRANGE(""https://docs.google.com/spreadsheets/d/1Uw7-A9f9R21vMXxHZFNpYNeKFtG8_yji4HS352LGlSQ/edit?pli=1#gid=0"",""1_ACUM!A4:S""),11,FALSE))"),"")</f>
        <v/>
      </c>
      <c r="AW98" s="42" t="str">
        <f ca="1">IFERROR(__xludf.DUMMYFUNCTION("IFERROR(VLOOKUP(F112,IMPORTRANGE(""https://docs.google.com/spreadsheets/d/1Kvs4KS76FHFqLFIZfrDMff4kP08nblUkihrxltoGBjg/edit#gid=934712705"",""ESENCIAL!A6:BG""),15,FALSE))"),"")</f>
        <v/>
      </c>
      <c r="AX98" s="21" t="str">
        <f ca="1">IFERROR(__xludf.DUMMYFUNCTION("IFERROR(VLOOKUP(E112&amp;F112,IMPORTRANGE(""https://docs.google.com/spreadsheets/d/1Uw7-A9f9R21vMXxHZFNpYNeKFtG8_yji4HS352LGlSQ/edit?pli=1#gid=0"",""1_ACUM!A4:S""),12,FALSE))"),"")</f>
        <v/>
      </c>
      <c r="AY98" s="43" t="str">
        <f ca="1">IFERROR(__xludf.DUMMYFUNCTION("IFERROR(VLOOKUP(E112&amp;F112,IMPORTRANGE(""https://docs.google.com/spreadsheets/d/1Uw7-A9f9R21vMXxHZFNpYNeKFtG8_yji4HS352LGlSQ/edit?pli=1#gid=0"",""1_ACUM!A4:S""),13,FALSE))"),"")</f>
        <v/>
      </c>
      <c r="AZ98" s="43" t="str">
        <f ca="1">IFERROR(__xludf.DUMMYFUNCTION("IFERROR(VLOOKUP(E112&amp;F112,IMPORTRANGE(""https://docs.google.com/spreadsheets/d/1Uw7-A9f9R21vMXxHZFNpYNeKFtG8_yji4HS352LGlSQ/edit?pli=1#gid=0"",""1_ACUM!A4:S""),14,FALSE))"),"")</f>
        <v/>
      </c>
      <c r="BA98" s="43" t="str">
        <f ca="1">IFERROR(__xludf.DUMMYFUNCTION("IFERROR(VLOOKUP(E112&amp;F112,IMPORTRANGE(""https://docs.google.com/spreadsheets/d/1Uw7-A9f9R21vMXxHZFNpYNeKFtG8_yji4HS352LGlSQ/edit?pli=1#gid=0"",""1_ACUM!A4:S""),15,FALSE))"),"")</f>
        <v/>
      </c>
      <c r="BB98" s="43" t="str">
        <f ca="1">IFERROR(__xludf.DUMMYFUNCTION("IFERROR(VLOOKUP(E112&amp;F112,IMPORTRANGE(""https://docs.google.com/spreadsheets/d/1Uw7-A9f9R21vMXxHZFNpYNeKFtG8_yji4HS352LGlSQ/edit?pli=1#gid=0"",""1_ACUM!A4:S""),16,FALSE))"),"")</f>
        <v/>
      </c>
      <c r="BC98" s="43" t="str">
        <f ca="1">IFERROR(__xludf.DUMMYFUNCTION("IFERROR(VLOOKUP(E112&amp;F112,IMPORTRANGE(""https://docs.google.com/spreadsheets/d/1Uw7-A9f9R21vMXxHZFNpYNeKFtG8_yji4HS352LGlSQ/edit?pli=1#gid=0"",""1_ACUM!A4:S""),17,FALSE))"),"")</f>
        <v/>
      </c>
      <c r="BD98" s="44" t="str">
        <f ca="1">IFERROR(__xludf.DUMMYFUNCTION("IFERROR(VLOOKUP(E112&amp;F112,IMPORTRANGE(""https://docs.google.com/spreadsheets/d/1Uw7-A9f9R21vMXxHZFNpYNeKFtG8_yji4HS352LGlSQ/edit?pli=1#gid=0"",""1_ACUM!A4:S""),18,FALSE))"),"")</f>
        <v/>
      </c>
      <c r="BE98" s="44" t="str">
        <f ca="1">IFERROR(__xludf.DUMMYFUNCTION("IFERROR(VLOOKUP(E112&amp;F112,IMPORTRANGE(""https://docs.google.com/spreadsheets/d/1Uw7-A9f9R21vMXxHZFNpYNeKFtG8_yji4HS352LGlSQ/edit?pli=1#gid=0"",""1_ACUM!A4:S""),19,FALSE))"),"")</f>
        <v/>
      </c>
      <c r="BF98" s="98" t="str">
        <f ca="1">IFERROR(__xludf.DUMMYFUNCTION("IFERROR(VLOOKUP(F112,IMPORTRANGE(""https://docs.google.com/spreadsheets/d/1Kvs4KS76FHFqLFIZfrDMff4kP08nblUkihrxltoGBjg/edit#gid=934712705"",""ESENCIAL!A6:BG""),5,FALSE))"),"")</f>
        <v/>
      </c>
      <c r="BG98" s="98" t="str">
        <f t="shared" si="5"/>
        <v/>
      </c>
      <c r="BH98" s="99" t="str">
        <f t="shared" si="6"/>
        <v/>
      </c>
      <c r="BI98" s="100" t="str">
        <f ca="1">IFERROR(__xludf.DUMMYFUNCTION("IFERROR(VLOOKUP(F112,IMPORTRANGE(""https://docs.google.com/spreadsheets/d/1Kvs4KS76FHFqLFIZfrDMff4kP08nblUkihrxltoGBjg/edit#gid=934712705"",""ESENCIAL!A6:BG""),2,FALSE))"),"")</f>
        <v/>
      </c>
      <c r="BJ98" s="19" t="str">
        <f t="shared" si="7"/>
        <v/>
      </c>
      <c r="BK98" s="100"/>
      <c r="BL98" s="100"/>
    </row>
    <row r="99" spans="1:64" ht="15">
      <c r="A99" s="101"/>
      <c r="B99" s="101"/>
      <c r="G99" s="5" t="str">
        <f ca="1">IFERROR(__xludf.DUMMYFUNCTION("IFERROR(VLOOKUP(F113,IMPORTRANGE(""https://docs.google.com/spreadsheets/d/1Kvs4KS76FHFqLFIZfrDMff4kP08nblUkihrxltoGBjg/edit#gid=934712705"",""ESENCIAL!A6:BG""),3,FALSE))"),"")</f>
        <v/>
      </c>
      <c r="H99" s="5" t="str">
        <f ca="1">IFERROR(__xludf.DUMMYFUNCTION("IFERROR(VLOOKUP(F113,IMPORTRANGE(""https://docs.google.com/spreadsheets/d/1Kvs4KS76FHFqLFIZfrDMff4kP08nblUkihrxltoGBjg/edit#gid=934712705"",""ESENCIAL!A6:BG""),8,FALSE))"),"")</f>
        <v/>
      </c>
      <c r="L99" s="287"/>
      <c r="U99" s="40"/>
      <c r="AU99" s="41" t="str">
        <f t="shared" si="4"/>
        <v/>
      </c>
      <c r="AV99" s="5" t="str">
        <f ca="1">IFERROR(__xludf.DUMMYFUNCTION("IFERROR(VLOOKUP(E113&amp;F113,IMPORTRANGE(""https://docs.google.com/spreadsheets/d/1Uw7-A9f9R21vMXxHZFNpYNeKFtG8_yji4HS352LGlSQ/edit?pli=1#gid=0"",""1_ACUM!A4:S""),11,FALSE))"),"")</f>
        <v/>
      </c>
      <c r="AW99" s="42" t="str">
        <f ca="1">IFERROR(__xludf.DUMMYFUNCTION("IFERROR(VLOOKUP(F113,IMPORTRANGE(""https://docs.google.com/spreadsheets/d/1Kvs4KS76FHFqLFIZfrDMff4kP08nblUkihrxltoGBjg/edit#gid=934712705"",""ESENCIAL!A6:BG""),15,FALSE))"),"")</f>
        <v/>
      </c>
      <c r="AX99" s="21" t="str">
        <f ca="1">IFERROR(__xludf.DUMMYFUNCTION("IFERROR(VLOOKUP(E113&amp;F113,IMPORTRANGE(""https://docs.google.com/spreadsheets/d/1Uw7-A9f9R21vMXxHZFNpYNeKFtG8_yji4HS352LGlSQ/edit?pli=1#gid=0"",""1_ACUM!A4:S""),12,FALSE))"),"")</f>
        <v/>
      </c>
      <c r="AY99" s="43" t="str">
        <f ca="1">IFERROR(__xludf.DUMMYFUNCTION("IFERROR(VLOOKUP(E113&amp;F113,IMPORTRANGE(""https://docs.google.com/spreadsheets/d/1Uw7-A9f9R21vMXxHZFNpYNeKFtG8_yji4HS352LGlSQ/edit?pli=1#gid=0"",""1_ACUM!A4:S""),13,FALSE))"),"")</f>
        <v/>
      </c>
      <c r="AZ99" s="43" t="str">
        <f ca="1">IFERROR(__xludf.DUMMYFUNCTION("IFERROR(VLOOKUP(E113&amp;F113,IMPORTRANGE(""https://docs.google.com/spreadsheets/d/1Uw7-A9f9R21vMXxHZFNpYNeKFtG8_yji4HS352LGlSQ/edit?pli=1#gid=0"",""1_ACUM!A4:S""),14,FALSE))"),"")</f>
        <v/>
      </c>
      <c r="BA99" s="43" t="str">
        <f ca="1">IFERROR(__xludf.DUMMYFUNCTION("IFERROR(VLOOKUP(E113&amp;F113,IMPORTRANGE(""https://docs.google.com/spreadsheets/d/1Uw7-A9f9R21vMXxHZFNpYNeKFtG8_yji4HS352LGlSQ/edit?pli=1#gid=0"",""1_ACUM!A4:S""),15,FALSE))"),"")</f>
        <v/>
      </c>
      <c r="BB99" s="43" t="str">
        <f ca="1">IFERROR(__xludf.DUMMYFUNCTION("IFERROR(VLOOKUP(E113&amp;F113,IMPORTRANGE(""https://docs.google.com/spreadsheets/d/1Uw7-A9f9R21vMXxHZFNpYNeKFtG8_yji4HS352LGlSQ/edit?pli=1#gid=0"",""1_ACUM!A4:S""),16,FALSE))"),"")</f>
        <v/>
      </c>
      <c r="BC99" s="43" t="str">
        <f ca="1">IFERROR(__xludf.DUMMYFUNCTION("IFERROR(VLOOKUP(E113&amp;F113,IMPORTRANGE(""https://docs.google.com/spreadsheets/d/1Uw7-A9f9R21vMXxHZFNpYNeKFtG8_yji4HS352LGlSQ/edit?pli=1#gid=0"",""1_ACUM!A4:S""),17,FALSE))"),"")</f>
        <v/>
      </c>
      <c r="BD99" s="44" t="str">
        <f ca="1">IFERROR(__xludf.DUMMYFUNCTION("IFERROR(VLOOKUP(E113&amp;F113,IMPORTRANGE(""https://docs.google.com/spreadsheets/d/1Uw7-A9f9R21vMXxHZFNpYNeKFtG8_yji4HS352LGlSQ/edit?pli=1#gid=0"",""1_ACUM!A4:S""),18,FALSE))"),"")</f>
        <v/>
      </c>
      <c r="BE99" s="44" t="str">
        <f ca="1">IFERROR(__xludf.DUMMYFUNCTION("IFERROR(VLOOKUP(E113&amp;F113,IMPORTRANGE(""https://docs.google.com/spreadsheets/d/1Uw7-A9f9R21vMXxHZFNpYNeKFtG8_yji4HS352LGlSQ/edit?pli=1#gid=0"",""1_ACUM!A4:S""),19,FALSE))"),"")</f>
        <v/>
      </c>
      <c r="BF99" s="98" t="str">
        <f ca="1">IFERROR(__xludf.DUMMYFUNCTION("IFERROR(VLOOKUP(F113,IMPORTRANGE(""https://docs.google.com/spreadsheets/d/1Kvs4KS76FHFqLFIZfrDMff4kP08nblUkihrxltoGBjg/edit#gid=934712705"",""ESENCIAL!A6:BG""),5,FALSE))"),"")</f>
        <v/>
      </c>
      <c r="BG99" s="98" t="str">
        <f t="shared" si="5"/>
        <v/>
      </c>
      <c r="BH99" s="99" t="str">
        <f t="shared" si="6"/>
        <v/>
      </c>
      <c r="BI99" s="100" t="str">
        <f ca="1">IFERROR(__xludf.DUMMYFUNCTION("IFERROR(VLOOKUP(F113,IMPORTRANGE(""https://docs.google.com/spreadsheets/d/1Kvs4KS76FHFqLFIZfrDMff4kP08nblUkihrxltoGBjg/edit#gid=934712705"",""ESENCIAL!A6:BG""),2,FALSE))"),"")</f>
        <v/>
      </c>
      <c r="BJ99" s="19" t="str">
        <f t="shared" si="7"/>
        <v/>
      </c>
      <c r="BK99" s="100"/>
      <c r="BL99" s="100"/>
    </row>
    <row r="100" spans="1:64" ht="15">
      <c r="A100" s="101"/>
      <c r="B100" s="101"/>
      <c r="G100" s="5" t="str">
        <f ca="1">IFERROR(__xludf.DUMMYFUNCTION("IFERROR(VLOOKUP(F114,IMPORTRANGE(""https://docs.google.com/spreadsheets/d/1Kvs4KS76FHFqLFIZfrDMff4kP08nblUkihrxltoGBjg/edit#gid=934712705"",""ESENCIAL!A6:BG""),3,FALSE))"),"")</f>
        <v/>
      </c>
      <c r="H100" s="5" t="str">
        <f ca="1">IFERROR(__xludf.DUMMYFUNCTION("IFERROR(VLOOKUP(F114,IMPORTRANGE(""https://docs.google.com/spreadsheets/d/1Kvs4KS76FHFqLFIZfrDMff4kP08nblUkihrxltoGBjg/edit#gid=934712705"",""ESENCIAL!A6:BG""),8,FALSE))"),"")</f>
        <v/>
      </c>
      <c r="L100" s="287"/>
      <c r="U100" s="40"/>
      <c r="AU100" s="41" t="str">
        <f t="shared" si="4"/>
        <v/>
      </c>
      <c r="AV100" s="5" t="str">
        <f ca="1">IFERROR(__xludf.DUMMYFUNCTION("IFERROR(VLOOKUP(E114&amp;F114,IMPORTRANGE(""https://docs.google.com/spreadsheets/d/1Uw7-A9f9R21vMXxHZFNpYNeKFtG8_yji4HS352LGlSQ/edit?pli=1#gid=0"",""1_ACUM!A4:S""),11,FALSE))"),"")</f>
        <v/>
      </c>
      <c r="AW100" s="42" t="str">
        <f ca="1">IFERROR(__xludf.DUMMYFUNCTION("IFERROR(VLOOKUP(F114,IMPORTRANGE(""https://docs.google.com/spreadsheets/d/1Kvs4KS76FHFqLFIZfrDMff4kP08nblUkihrxltoGBjg/edit#gid=934712705"",""ESENCIAL!A6:BG""),15,FALSE))"),"")</f>
        <v/>
      </c>
      <c r="AX100" s="21" t="str">
        <f ca="1">IFERROR(__xludf.DUMMYFUNCTION("IFERROR(VLOOKUP(E114&amp;F114,IMPORTRANGE(""https://docs.google.com/spreadsheets/d/1Uw7-A9f9R21vMXxHZFNpYNeKFtG8_yji4HS352LGlSQ/edit?pli=1#gid=0"",""1_ACUM!A4:S""),12,FALSE))"),"")</f>
        <v/>
      </c>
      <c r="AY100" s="43" t="str">
        <f ca="1">IFERROR(__xludf.DUMMYFUNCTION("IFERROR(VLOOKUP(E114&amp;F114,IMPORTRANGE(""https://docs.google.com/spreadsheets/d/1Uw7-A9f9R21vMXxHZFNpYNeKFtG8_yji4HS352LGlSQ/edit?pli=1#gid=0"",""1_ACUM!A4:S""),13,FALSE))"),"")</f>
        <v/>
      </c>
      <c r="AZ100" s="43" t="str">
        <f ca="1">IFERROR(__xludf.DUMMYFUNCTION("IFERROR(VLOOKUP(E114&amp;F114,IMPORTRANGE(""https://docs.google.com/spreadsheets/d/1Uw7-A9f9R21vMXxHZFNpYNeKFtG8_yji4HS352LGlSQ/edit?pli=1#gid=0"",""1_ACUM!A4:S""),14,FALSE))"),"")</f>
        <v/>
      </c>
      <c r="BA100" s="43" t="str">
        <f ca="1">IFERROR(__xludf.DUMMYFUNCTION("IFERROR(VLOOKUP(E114&amp;F114,IMPORTRANGE(""https://docs.google.com/spreadsheets/d/1Uw7-A9f9R21vMXxHZFNpYNeKFtG8_yji4HS352LGlSQ/edit?pli=1#gid=0"",""1_ACUM!A4:S""),15,FALSE))"),"")</f>
        <v/>
      </c>
      <c r="BB100" s="43" t="str">
        <f ca="1">IFERROR(__xludf.DUMMYFUNCTION("IFERROR(VLOOKUP(E114&amp;F114,IMPORTRANGE(""https://docs.google.com/spreadsheets/d/1Uw7-A9f9R21vMXxHZFNpYNeKFtG8_yji4HS352LGlSQ/edit?pli=1#gid=0"",""1_ACUM!A4:S""),16,FALSE))"),"")</f>
        <v/>
      </c>
      <c r="BC100" s="43" t="str">
        <f ca="1">IFERROR(__xludf.DUMMYFUNCTION("IFERROR(VLOOKUP(E114&amp;F114,IMPORTRANGE(""https://docs.google.com/spreadsheets/d/1Uw7-A9f9R21vMXxHZFNpYNeKFtG8_yji4HS352LGlSQ/edit?pli=1#gid=0"",""1_ACUM!A4:S""),17,FALSE))"),"")</f>
        <v/>
      </c>
      <c r="BD100" s="44" t="str">
        <f ca="1">IFERROR(__xludf.DUMMYFUNCTION("IFERROR(VLOOKUP(E114&amp;F114,IMPORTRANGE(""https://docs.google.com/spreadsheets/d/1Uw7-A9f9R21vMXxHZFNpYNeKFtG8_yji4HS352LGlSQ/edit?pli=1#gid=0"",""1_ACUM!A4:S""),18,FALSE))"),"")</f>
        <v/>
      </c>
      <c r="BE100" s="44" t="str">
        <f ca="1">IFERROR(__xludf.DUMMYFUNCTION("IFERROR(VLOOKUP(E114&amp;F114,IMPORTRANGE(""https://docs.google.com/spreadsheets/d/1Uw7-A9f9R21vMXxHZFNpYNeKFtG8_yji4HS352LGlSQ/edit?pli=1#gid=0"",""1_ACUM!A4:S""),19,FALSE))"),"")</f>
        <v/>
      </c>
      <c r="BF100" s="98" t="str">
        <f ca="1">IFERROR(__xludf.DUMMYFUNCTION("IFERROR(VLOOKUP(F114,IMPORTRANGE(""https://docs.google.com/spreadsheets/d/1Kvs4KS76FHFqLFIZfrDMff4kP08nblUkihrxltoGBjg/edit#gid=934712705"",""ESENCIAL!A6:BG""),5,FALSE))"),"")</f>
        <v/>
      </c>
      <c r="BG100" s="98" t="str">
        <f t="shared" si="5"/>
        <v/>
      </c>
      <c r="BH100" s="99" t="str">
        <f t="shared" si="6"/>
        <v/>
      </c>
      <c r="BI100" s="100" t="str">
        <f ca="1">IFERROR(__xludf.DUMMYFUNCTION("IFERROR(VLOOKUP(F114,IMPORTRANGE(""https://docs.google.com/spreadsheets/d/1Kvs4KS76FHFqLFIZfrDMff4kP08nblUkihrxltoGBjg/edit#gid=934712705"",""ESENCIAL!A6:BG""),2,FALSE))"),"")</f>
        <v/>
      </c>
      <c r="BJ100" s="19" t="str">
        <f t="shared" si="7"/>
        <v/>
      </c>
      <c r="BK100" s="100"/>
      <c r="BL100" s="100"/>
    </row>
    <row r="101" spans="1:64" ht="15">
      <c r="A101" s="101"/>
      <c r="B101" s="101"/>
      <c r="G101" s="5" t="str">
        <f ca="1">IFERROR(__xludf.DUMMYFUNCTION("IFERROR(VLOOKUP(F115,IMPORTRANGE(""https://docs.google.com/spreadsheets/d/1Kvs4KS76FHFqLFIZfrDMff4kP08nblUkihrxltoGBjg/edit#gid=934712705"",""ESENCIAL!A6:BG""),3,FALSE))"),"")</f>
        <v/>
      </c>
      <c r="H101" s="5" t="str">
        <f ca="1">IFERROR(__xludf.DUMMYFUNCTION("IFERROR(VLOOKUP(F115,IMPORTRANGE(""https://docs.google.com/spreadsheets/d/1Kvs4KS76FHFqLFIZfrDMff4kP08nblUkihrxltoGBjg/edit#gid=934712705"",""ESENCIAL!A6:BG""),8,FALSE))"),"")</f>
        <v/>
      </c>
      <c r="L101" s="287"/>
      <c r="U101" s="40"/>
      <c r="AU101" s="41" t="str">
        <f t="shared" si="4"/>
        <v/>
      </c>
      <c r="AV101" s="5" t="str">
        <f ca="1">IFERROR(__xludf.DUMMYFUNCTION("IFERROR(VLOOKUP(E115&amp;F115,IMPORTRANGE(""https://docs.google.com/spreadsheets/d/1Uw7-A9f9R21vMXxHZFNpYNeKFtG8_yji4HS352LGlSQ/edit?pli=1#gid=0"",""1_ACUM!A4:S""),11,FALSE))"),"")</f>
        <v/>
      </c>
      <c r="AW101" s="42" t="str">
        <f ca="1">IFERROR(__xludf.DUMMYFUNCTION("IFERROR(VLOOKUP(F115,IMPORTRANGE(""https://docs.google.com/spreadsheets/d/1Kvs4KS76FHFqLFIZfrDMff4kP08nblUkihrxltoGBjg/edit#gid=934712705"",""ESENCIAL!A6:BG""),15,FALSE))"),"")</f>
        <v/>
      </c>
      <c r="AX101" s="21" t="str">
        <f ca="1">IFERROR(__xludf.DUMMYFUNCTION("IFERROR(VLOOKUP(E115&amp;F115,IMPORTRANGE(""https://docs.google.com/spreadsheets/d/1Uw7-A9f9R21vMXxHZFNpYNeKFtG8_yji4HS352LGlSQ/edit?pli=1#gid=0"",""1_ACUM!A4:S""),12,FALSE))"),"")</f>
        <v/>
      </c>
      <c r="AY101" s="43" t="str">
        <f ca="1">IFERROR(__xludf.DUMMYFUNCTION("IFERROR(VLOOKUP(E115&amp;F115,IMPORTRANGE(""https://docs.google.com/spreadsheets/d/1Uw7-A9f9R21vMXxHZFNpYNeKFtG8_yji4HS352LGlSQ/edit?pli=1#gid=0"",""1_ACUM!A4:S""),13,FALSE))"),"")</f>
        <v/>
      </c>
      <c r="AZ101" s="43" t="str">
        <f ca="1">IFERROR(__xludf.DUMMYFUNCTION("IFERROR(VLOOKUP(E115&amp;F115,IMPORTRANGE(""https://docs.google.com/spreadsheets/d/1Uw7-A9f9R21vMXxHZFNpYNeKFtG8_yji4HS352LGlSQ/edit?pli=1#gid=0"",""1_ACUM!A4:S""),14,FALSE))"),"")</f>
        <v/>
      </c>
      <c r="BA101" s="43" t="str">
        <f ca="1">IFERROR(__xludf.DUMMYFUNCTION("IFERROR(VLOOKUP(E115&amp;F115,IMPORTRANGE(""https://docs.google.com/spreadsheets/d/1Uw7-A9f9R21vMXxHZFNpYNeKFtG8_yji4HS352LGlSQ/edit?pli=1#gid=0"",""1_ACUM!A4:S""),15,FALSE))"),"")</f>
        <v/>
      </c>
      <c r="BB101" s="43" t="str">
        <f ca="1">IFERROR(__xludf.DUMMYFUNCTION("IFERROR(VLOOKUP(E115&amp;F115,IMPORTRANGE(""https://docs.google.com/spreadsheets/d/1Uw7-A9f9R21vMXxHZFNpYNeKFtG8_yji4HS352LGlSQ/edit?pli=1#gid=0"",""1_ACUM!A4:S""),16,FALSE))"),"")</f>
        <v/>
      </c>
      <c r="BC101" s="43" t="str">
        <f ca="1">IFERROR(__xludf.DUMMYFUNCTION("IFERROR(VLOOKUP(E115&amp;F115,IMPORTRANGE(""https://docs.google.com/spreadsheets/d/1Uw7-A9f9R21vMXxHZFNpYNeKFtG8_yji4HS352LGlSQ/edit?pli=1#gid=0"",""1_ACUM!A4:S""),17,FALSE))"),"")</f>
        <v/>
      </c>
      <c r="BD101" s="44" t="str">
        <f ca="1">IFERROR(__xludf.DUMMYFUNCTION("IFERROR(VLOOKUP(E115&amp;F115,IMPORTRANGE(""https://docs.google.com/spreadsheets/d/1Uw7-A9f9R21vMXxHZFNpYNeKFtG8_yji4HS352LGlSQ/edit?pli=1#gid=0"",""1_ACUM!A4:S""),18,FALSE))"),"")</f>
        <v/>
      </c>
      <c r="BE101" s="44" t="str">
        <f ca="1">IFERROR(__xludf.DUMMYFUNCTION("IFERROR(VLOOKUP(E115&amp;F115,IMPORTRANGE(""https://docs.google.com/spreadsheets/d/1Uw7-A9f9R21vMXxHZFNpYNeKFtG8_yji4HS352LGlSQ/edit?pli=1#gid=0"",""1_ACUM!A4:S""),19,FALSE))"),"")</f>
        <v/>
      </c>
      <c r="BF101" s="98" t="str">
        <f ca="1">IFERROR(__xludf.DUMMYFUNCTION("IFERROR(VLOOKUP(F115,IMPORTRANGE(""https://docs.google.com/spreadsheets/d/1Kvs4KS76FHFqLFIZfrDMff4kP08nblUkihrxltoGBjg/edit#gid=934712705"",""ESENCIAL!A6:BG""),5,FALSE))"),"")</f>
        <v/>
      </c>
      <c r="BG101" s="98" t="str">
        <f t="shared" si="5"/>
        <v/>
      </c>
      <c r="BH101" s="99" t="str">
        <f t="shared" si="6"/>
        <v/>
      </c>
      <c r="BI101" s="100" t="str">
        <f ca="1">IFERROR(__xludf.DUMMYFUNCTION("IFERROR(VLOOKUP(F115,IMPORTRANGE(""https://docs.google.com/spreadsheets/d/1Kvs4KS76FHFqLFIZfrDMff4kP08nblUkihrxltoGBjg/edit#gid=934712705"",""ESENCIAL!A6:BG""),2,FALSE))"),"")</f>
        <v/>
      </c>
      <c r="BJ101" s="19" t="str">
        <f t="shared" si="7"/>
        <v/>
      </c>
      <c r="BK101" s="100"/>
      <c r="BL101" s="100"/>
    </row>
    <row r="102" spans="1:64" ht="15">
      <c r="A102" s="101"/>
      <c r="B102" s="101"/>
      <c r="G102" s="5" t="str">
        <f ca="1">IFERROR(__xludf.DUMMYFUNCTION("IFERROR(VLOOKUP(F116,IMPORTRANGE(""https://docs.google.com/spreadsheets/d/1Kvs4KS76FHFqLFIZfrDMff4kP08nblUkihrxltoGBjg/edit#gid=934712705"",""ESENCIAL!A6:BG""),3,FALSE))"),"")</f>
        <v/>
      </c>
      <c r="H102" s="5" t="str">
        <f ca="1">IFERROR(__xludf.DUMMYFUNCTION("IFERROR(VLOOKUP(F116,IMPORTRANGE(""https://docs.google.com/spreadsheets/d/1Kvs4KS76FHFqLFIZfrDMff4kP08nblUkihrxltoGBjg/edit#gid=934712705"",""ESENCIAL!A6:BG""),8,FALSE))"),"")</f>
        <v/>
      </c>
      <c r="L102" s="287"/>
      <c r="U102" s="40"/>
      <c r="AU102" s="41" t="str">
        <f t="shared" si="4"/>
        <v/>
      </c>
      <c r="AV102" s="5" t="str">
        <f ca="1">IFERROR(__xludf.DUMMYFUNCTION("IFERROR(VLOOKUP(E116&amp;F116,IMPORTRANGE(""https://docs.google.com/spreadsheets/d/1Uw7-A9f9R21vMXxHZFNpYNeKFtG8_yji4HS352LGlSQ/edit?pli=1#gid=0"",""1_ACUM!A4:S""),11,FALSE))"),"")</f>
        <v/>
      </c>
      <c r="AW102" s="42" t="str">
        <f ca="1">IFERROR(__xludf.DUMMYFUNCTION("IFERROR(VLOOKUP(F116,IMPORTRANGE(""https://docs.google.com/spreadsheets/d/1Kvs4KS76FHFqLFIZfrDMff4kP08nblUkihrxltoGBjg/edit#gid=934712705"",""ESENCIAL!A6:BG""),15,FALSE))"),"")</f>
        <v/>
      </c>
      <c r="AX102" s="21" t="str">
        <f ca="1">IFERROR(__xludf.DUMMYFUNCTION("IFERROR(VLOOKUP(E116&amp;F116,IMPORTRANGE(""https://docs.google.com/spreadsheets/d/1Uw7-A9f9R21vMXxHZFNpYNeKFtG8_yji4HS352LGlSQ/edit?pli=1#gid=0"",""1_ACUM!A4:S""),12,FALSE))"),"")</f>
        <v/>
      </c>
      <c r="AY102" s="43" t="str">
        <f ca="1">IFERROR(__xludf.DUMMYFUNCTION("IFERROR(VLOOKUP(E116&amp;F116,IMPORTRANGE(""https://docs.google.com/spreadsheets/d/1Uw7-A9f9R21vMXxHZFNpYNeKFtG8_yji4HS352LGlSQ/edit?pli=1#gid=0"",""1_ACUM!A4:S""),13,FALSE))"),"")</f>
        <v/>
      </c>
      <c r="AZ102" s="43" t="str">
        <f ca="1">IFERROR(__xludf.DUMMYFUNCTION("IFERROR(VLOOKUP(E116&amp;F116,IMPORTRANGE(""https://docs.google.com/spreadsheets/d/1Uw7-A9f9R21vMXxHZFNpYNeKFtG8_yji4HS352LGlSQ/edit?pli=1#gid=0"",""1_ACUM!A4:S""),14,FALSE))"),"")</f>
        <v/>
      </c>
      <c r="BA102" s="43" t="str">
        <f ca="1">IFERROR(__xludf.DUMMYFUNCTION("IFERROR(VLOOKUP(E116&amp;F116,IMPORTRANGE(""https://docs.google.com/spreadsheets/d/1Uw7-A9f9R21vMXxHZFNpYNeKFtG8_yji4HS352LGlSQ/edit?pli=1#gid=0"",""1_ACUM!A4:S""),15,FALSE))"),"")</f>
        <v/>
      </c>
      <c r="BB102" s="43" t="str">
        <f ca="1">IFERROR(__xludf.DUMMYFUNCTION("IFERROR(VLOOKUP(E116&amp;F116,IMPORTRANGE(""https://docs.google.com/spreadsheets/d/1Uw7-A9f9R21vMXxHZFNpYNeKFtG8_yji4HS352LGlSQ/edit?pli=1#gid=0"",""1_ACUM!A4:S""),16,FALSE))"),"")</f>
        <v/>
      </c>
      <c r="BC102" s="43" t="str">
        <f ca="1">IFERROR(__xludf.DUMMYFUNCTION("IFERROR(VLOOKUP(E116&amp;F116,IMPORTRANGE(""https://docs.google.com/spreadsheets/d/1Uw7-A9f9R21vMXxHZFNpYNeKFtG8_yji4HS352LGlSQ/edit?pli=1#gid=0"",""1_ACUM!A4:S""),17,FALSE))"),"")</f>
        <v/>
      </c>
      <c r="BD102" s="44" t="str">
        <f ca="1">IFERROR(__xludf.DUMMYFUNCTION("IFERROR(VLOOKUP(E116&amp;F116,IMPORTRANGE(""https://docs.google.com/spreadsheets/d/1Uw7-A9f9R21vMXxHZFNpYNeKFtG8_yji4HS352LGlSQ/edit?pli=1#gid=0"",""1_ACUM!A4:S""),18,FALSE))"),"")</f>
        <v/>
      </c>
      <c r="BE102" s="44" t="str">
        <f ca="1">IFERROR(__xludf.DUMMYFUNCTION("IFERROR(VLOOKUP(E116&amp;F116,IMPORTRANGE(""https://docs.google.com/spreadsheets/d/1Uw7-A9f9R21vMXxHZFNpYNeKFtG8_yji4HS352LGlSQ/edit?pli=1#gid=0"",""1_ACUM!A4:S""),19,FALSE))"),"")</f>
        <v/>
      </c>
      <c r="BF102" s="98" t="str">
        <f ca="1">IFERROR(__xludf.DUMMYFUNCTION("IFERROR(VLOOKUP(F116,IMPORTRANGE(""https://docs.google.com/spreadsheets/d/1Kvs4KS76FHFqLFIZfrDMff4kP08nblUkihrxltoGBjg/edit#gid=934712705"",""ESENCIAL!A6:BG""),5,FALSE))"),"")</f>
        <v/>
      </c>
      <c r="BG102" s="98" t="str">
        <f t="shared" si="5"/>
        <v/>
      </c>
      <c r="BH102" s="99" t="str">
        <f t="shared" si="6"/>
        <v/>
      </c>
      <c r="BI102" s="100" t="str">
        <f ca="1">IFERROR(__xludf.DUMMYFUNCTION("IFERROR(VLOOKUP(F116,IMPORTRANGE(""https://docs.google.com/spreadsheets/d/1Kvs4KS76FHFqLFIZfrDMff4kP08nblUkihrxltoGBjg/edit#gid=934712705"",""ESENCIAL!A6:BG""),2,FALSE))"),"")</f>
        <v/>
      </c>
      <c r="BJ102" s="19" t="str">
        <f t="shared" si="7"/>
        <v/>
      </c>
      <c r="BK102" s="100"/>
      <c r="BL102" s="100"/>
    </row>
    <row r="103" spans="1:64" ht="15">
      <c r="A103" s="101"/>
      <c r="B103" s="101"/>
      <c r="G103" s="5" t="str">
        <f ca="1">IFERROR(__xludf.DUMMYFUNCTION("IFERROR(VLOOKUP(F117,IMPORTRANGE(""https://docs.google.com/spreadsheets/d/1Kvs4KS76FHFqLFIZfrDMff4kP08nblUkihrxltoGBjg/edit#gid=934712705"",""ESENCIAL!A6:BG""),3,FALSE))"),"")</f>
        <v/>
      </c>
      <c r="H103" s="5" t="str">
        <f ca="1">IFERROR(__xludf.DUMMYFUNCTION("IFERROR(VLOOKUP(F117,IMPORTRANGE(""https://docs.google.com/spreadsheets/d/1Kvs4KS76FHFqLFIZfrDMff4kP08nblUkihrxltoGBjg/edit#gid=934712705"",""ESENCIAL!A6:BG""),8,FALSE))"),"")</f>
        <v/>
      </c>
      <c r="L103" s="287"/>
      <c r="U103" s="40"/>
      <c r="AU103" s="41" t="str">
        <f t="shared" si="4"/>
        <v/>
      </c>
      <c r="AV103" s="5" t="str">
        <f ca="1">IFERROR(__xludf.DUMMYFUNCTION("IFERROR(VLOOKUP(E117&amp;F117,IMPORTRANGE(""https://docs.google.com/spreadsheets/d/1Uw7-A9f9R21vMXxHZFNpYNeKFtG8_yji4HS352LGlSQ/edit?pli=1#gid=0"",""1_ACUM!A4:S""),11,FALSE))"),"")</f>
        <v/>
      </c>
      <c r="AW103" s="42" t="str">
        <f ca="1">IFERROR(__xludf.DUMMYFUNCTION("IFERROR(VLOOKUP(F117,IMPORTRANGE(""https://docs.google.com/spreadsheets/d/1Kvs4KS76FHFqLFIZfrDMff4kP08nblUkihrxltoGBjg/edit#gid=934712705"",""ESENCIAL!A6:BG""),15,FALSE))"),"")</f>
        <v/>
      </c>
      <c r="AX103" s="21" t="str">
        <f ca="1">IFERROR(__xludf.DUMMYFUNCTION("IFERROR(VLOOKUP(E117&amp;F117,IMPORTRANGE(""https://docs.google.com/spreadsheets/d/1Uw7-A9f9R21vMXxHZFNpYNeKFtG8_yji4HS352LGlSQ/edit?pli=1#gid=0"",""1_ACUM!A4:S""),12,FALSE))"),"")</f>
        <v/>
      </c>
      <c r="AY103" s="43" t="str">
        <f ca="1">IFERROR(__xludf.DUMMYFUNCTION("IFERROR(VLOOKUP(E117&amp;F117,IMPORTRANGE(""https://docs.google.com/spreadsheets/d/1Uw7-A9f9R21vMXxHZFNpYNeKFtG8_yji4HS352LGlSQ/edit?pli=1#gid=0"",""1_ACUM!A4:S""),13,FALSE))"),"")</f>
        <v/>
      </c>
      <c r="AZ103" s="43" t="str">
        <f ca="1">IFERROR(__xludf.DUMMYFUNCTION("IFERROR(VLOOKUP(E117&amp;F117,IMPORTRANGE(""https://docs.google.com/spreadsheets/d/1Uw7-A9f9R21vMXxHZFNpYNeKFtG8_yji4HS352LGlSQ/edit?pli=1#gid=0"",""1_ACUM!A4:S""),14,FALSE))"),"")</f>
        <v/>
      </c>
      <c r="BA103" s="43" t="str">
        <f ca="1">IFERROR(__xludf.DUMMYFUNCTION("IFERROR(VLOOKUP(E117&amp;F117,IMPORTRANGE(""https://docs.google.com/spreadsheets/d/1Uw7-A9f9R21vMXxHZFNpYNeKFtG8_yji4HS352LGlSQ/edit?pli=1#gid=0"",""1_ACUM!A4:S""),15,FALSE))"),"")</f>
        <v/>
      </c>
      <c r="BB103" s="43" t="str">
        <f ca="1">IFERROR(__xludf.DUMMYFUNCTION("IFERROR(VLOOKUP(E117&amp;F117,IMPORTRANGE(""https://docs.google.com/spreadsheets/d/1Uw7-A9f9R21vMXxHZFNpYNeKFtG8_yji4HS352LGlSQ/edit?pli=1#gid=0"",""1_ACUM!A4:S""),16,FALSE))"),"")</f>
        <v/>
      </c>
      <c r="BC103" s="43" t="str">
        <f ca="1">IFERROR(__xludf.DUMMYFUNCTION("IFERROR(VLOOKUP(E117&amp;F117,IMPORTRANGE(""https://docs.google.com/spreadsheets/d/1Uw7-A9f9R21vMXxHZFNpYNeKFtG8_yji4HS352LGlSQ/edit?pli=1#gid=0"",""1_ACUM!A4:S""),17,FALSE))"),"")</f>
        <v/>
      </c>
      <c r="BD103" s="44" t="str">
        <f ca="1">IFERROR(__xludf.DUMMYFUNCTION("IFERROR(VLOOKUP(E117&amp;F117,IMPORTRANGE(""https://docs.google.com/spreadsheets/d/1Uw7-A9f9R21vMXxHZFNpYNeKFtG8_yji4HS352LGlSQ/edit?pli=1#gid=0"",""1_ACUM!A4:S""),18,FALSE))"),"")</f>
        <v/>
      </c>
      <c r="BE103" s="44" t="str">
        <f ca="1">IFERROR(__xludf.DUMMYFUNCTION("IFERROR(VLOOKUP(E117&amp;F117,IMPORTRANGE(""https://docs.google.com/spreadsheets/d/1Uw7-A9f9R21vMXxHZFNpYNeKFtG8_yji4HS352LGlSQ/edit?pli=1#gid=0"",""1_ACUM!A4:S""),19,FALSE))"),"")</f>
        <v/>
      </c>
      <c r="BF103" s="98" t="str">
        <f ca="1">IFERROR(__xludf.DUMMYFUNCTION("IFERROR(VLOOKUP(F117,IMPORTRANGE(""https://docs.google.com/spreadsheets/d/1Kvs4KS76FHFqLFIZfrDMff4kP08nblUkihrxltoGBjg/edit#gid=934712705"",""ESENCIAL!A6:BG""),5,FALSE))"),"")</f>
        <v/>
      </c>
      <c r="BG103" s="98" t="str">
        <f t="shared" si="5"/>
        <v/>
      </c>
      <c r="BH103" s="99" t="str">
        <f t="shared" si="6"/>
        <v/>
      </c>
      <c r="BI103" s="100" t="str">
        <f ca="1">IFERROR(__xludf.DUMMYFUNCTION("IFERROR(VLOOKUP(F117,IMPORTRANGE(""https://docs.google.com/spreadsheets/d/1Kvs4KS76FHFqLFIZfrDMff4kP08nblUkihrxltoGBjg/edit#gid=934712705"",""ESENCIAL!A6:BG""),2,FALSE))"),"")</f>
        <v/>
      </c>
      <c r="BJ103" s="19" t="str">
        <f t="shared" si="7"/>
        <v/>
      </c>
      <c r="BK103" s="100"/>
      <c r="BL103" s="100"/>
    </row>
    <row r="104" spans="1:64" ht="15">
      <c r="A104" s="101"/>
      <c r="B104" s="101"/>
      <c r="G104" s="5" t="str">
        <f ca="1">IFERROR(__xludf.DUMMYFUNCTION("IFERROR(VLOOKUP(F118,IMPORTRANGE(""https://docs.google.com/spreadsheets/d/1Kvs4KS76FHFqLFIZfrDMff4kP08nblUkihrxltoGBjg/edit#gid=934712705"",""ESENCIAL!A6:BG""),3,FALSE))"),"")</f>
        <v/>
      </c>
      <c r="H104" s="5" t="str">
        <f ca="1">IFERROR(__xludf.DUMMYFUNCTION("IFERROR(VLOOKUP(F118,IMPORTRANGE(""https://docs.google.com/spreadsheets/d/1Kvs4KS76FHFqLFIZfrDMff4kP08nblUkihrxltoGBjg/edit#gid=934712705"",""ESENCIAL!A6:BG""),8,FALSE))"),"")</f>
        <v/>
      </c>
      <c r="L104" s="287"/>
      <c r="U104" s="40"/>
      <c r="AU104" s="41" t="str">
        <f t="shared" si="4"/>
        <v/>
      </c>
      <c r="AV104" s="5" t="str">
        <f ca="1">IFERROR(__xludf.DUMMYFUNCTION("IFERROR(VLOOKUP(E118&amp;F118,IMPORTRANGE(""https://docs.google.com/spreadsheets/d/1Uw7-A9f9R21vMXxHZFNpYNeKFtG8_yji4HS352LGlSQ/edit?pli=1#gid=0"",""1_ACUM!A4:S""),11,FALSE))"),"")</f>
        <v/>
      </c>
      <c r="AW104" s="42" t="str">
        <f ca="1">IFERROR(__xludf.DUMMYFUNCTION("IFERROR(VLOOKUP(F118,IMPORTRANGE(""https://docs.google.com/spreadsheets/d/1Kvs4KS76FHFqLFIZfrDMff4kP08nblUkihrxltoGBjg/edit#gid=934712705"",""ESENCIAL!A6:BG""),15,FALSE))"),"")</f>
        <v/>
      </c>
      <c r="AX104" s="21" t="str">
        <f ca="1">IFERROR(__xludf.DUMMYFUNCTION("IFERROR(VLOOKUP(E118&amp;F118,IMPORTRANGE(""https://docs.google.com/spreadsheets/d/1Uw7-A9f9R21vMXxHZFNpYNeKFtG8_yji4HS352LGlSQ/edit?pli=1#gid=0"",""1_ACUM!A4:S""),12,FALSE))"),"")</f>
        <v/>
      </c>
      <c r="AY104" s="43" t="str">
        <f ca="1">IFERROR(__xludf.DUMMYFUNCTION("IFERROR(VLOOKUP(E118&amp;F118,IMPORTRANGE(""https://docs.google.com/spreadsheets/d/1Uw7-A9f9R21vMXxHZFNpYNeKFtG8_yji4HS352LGlSQ/edit?pli=1#gid=0"",""1_ACUM!A4:S""),13,FALSE))"),"")</f>
        <v/>
      </c>
      <c r="AZ104" s="43" t="str">
        <f ca="1">IFERROR(__xludf.DUMMYFUNCTION("IFERROR(VLOOKUP(E118&amp;F118,IMPORTRANGE(""https://docs.google.com/spreadsheets/d/1Uw7-A9f9R21vMXxHZFNpYNeKFtG8_yji4HS352LGlSQ/edit?pli=1#gid=0"",""1_ACUM!A4:S""),14,FALSE))"),"")</f>
        <v/>
      </c>
      <c r="BA104" s="43" t="str">
        <f ca="1">IFERROR(__xludf.DUMMYFUNCTION("IFERROR(VLOOKUP(E118&amp;F118,IMPORTRANGE(""https://docs.google.com/spreadsheets/d/1Uw7-A9f9R21vMXxHZFNpYNeKFtG8_yji4HS352LGlSQ/edit?pli=1#gid=0"",""1_ACUM!A4:S""),15,FALSE))"),"")</f>
        <v/>
      </c>
      <c r="BB104" s="43" t="str">
        <f ca="1">IFERROR(__xludf.DUMMYFUNCTION("IFERROR(VLOOKUP(E118&amp;F118,IMPORTRANGE(""https://docs.google.com/spreadsheets/d/1Uw7-A9f9R21vMXxHZFNpYNeKFtG8_yji4HS352LGlSQ/edit?pli=1#gid=0"",""1_ACUM!A4:S""),16,FALSE))"),"")</f>
        <v/>
      </c>
      <c r="BC104" s="43" t="str">
        <f ca="1">IFERROR(__xludf.DUMMYFUNCTION("IFERROR(VLOOKUP(E118&amp;F118,IMPORTRANGE(""https://docs.google.com/spreadsheets/d/1Uw7-A9f9R21vMXxHZFNpYNeKFtG8_yji4HS352LGlSQ/edit?pli=1#gid=0"",""1_ACUM!A4:S""),17,FALSE))"),"")</f>
        <v/>
      </c>
      <c r="BD104" s="44" t="str">
        <f ca="1">IFERROR(__xludf.DUMMYFUNCTION("IFERROR(VLOOKUP(E118&amp;F118,IMPORTRANGE(""https://docs.google.com/spreadsheets/d/1Uw7-A9f9R21vMXxHZFNpYNeKFtG8_yji4HS352LGlSQ/edit?pli=1#gid=0"",""1_ACUM!A4:S""),18,FALSE))"),"")</f>
        <v/>
      </c>
      <c r="BE104" s="44" t="str">
        <f ca="1">IFERROR(__xludf.DUMMYFUNCTION("IFERROR(VLOOKUP(E118&amp;F118,IMPORTRANGE(""https://docs.google.com/spreadsheets/d/1Uw7-A9f9R21vMXxHZFNpYNeKFtG8_yji4HS352LGlSQ/edit?pli=1#gid=0"",""1_ACUM!A4:S""),19,FALSE))"),"")</f>
        <v/>
      </c>
      <c r="BF104" s="98" t="str">
        <f ca="1">IFERROR(__xludf.DUMMYFUNCTION("IFERROR(VLOOKUP(F118,IMPORTRANGE(""https://docs.google.com/spreadsheets/d/1Kvs4KS76FHFqLFIZfrDMff4kP08nblUkihrxltoGBjg/edit#gid=934712705"",""ESENCIAL!A6:BG""),5,FALSE))"),"")</f>
        <v/>
      </c>
      <c r="BG104" s="98" t="str">
        <f t="shared" si="5"/>
        <v/>
      </c>
      <c r="BH104" s="99" t="str">
        <f t="shared" si="6"/>
        <v/>
      </c>
      <c r="BI104" s="100" t="str">
        <f ca="1">IFERROR(__xludf.DUMMYFUNCTION("IFERROR(VLOOKUP(F118,IMPORTRANGE(""https://docs.google.com/spreadsheets/d/1Kvs4KS76FHFqLFIZfrDMff4kP08nblUkihrxltoGBjg/edit#gid=934712705"",""ESENCIAL!A6:BG""),2,FALSE))"),"")</f>
        <v/>
      </c>
      <c r="BJ104" s="19" t="str">
        <f t="shared" si="7"/>
        <v/>
      </c>
      <c r="BK104" s="100"/>
      <c r="BL104" s="100"/>
    </row>
    <row r="105" spans="1:64" ht="15">
      <c r="A105" s="101"/>
      <c r="B105" s="101"/>
      <c r="G105" s="5" t="str">
        <f ca="1">IFERROR(__xludf.DUMMYFUNCTION("IFERROR(VLOOKUP(F119,IMPORTRANGE(""https://docs.google.com/spreadsheets/d/1Kvs4KS76FHFqLFIZfrDMff4kP08nblUkihrxltoGBjg/edit#gid=934712705"",""ESENCIAL!A6:BG""),3,FALSE))"),"")</f>
        <v/>
      </c>
      <c r="H105" s="5" t="str">
        <f ca="1">IFERROR(__xludf.DUMMYFUNCTION("IFERROR(VLOOKUP(F119,IMPORTRANGE(""https://docs.google.com/spreadsheets/d/1Kvs4KS76FHFqLFIZfrDMff4kP08nblUkihrxltoGBjg/edit#gid=934712705"",""ESENCIAL!A6:BG""),8,FALSE))"),"")</f>
        <v/>
      </c>
      <c r="L105" s="287"/>
      <c r="U105" s="40"/>
      <c r="AU105" s="41" t="str">
        <f t="shared" si="4"/>
        <v/>
      </c>
      <c r="AV105" s="5" t="str">
        <f ca="1">IFERROR(__xludf.DUMMYFUNCTION("IFERROR(VLOOKUP(E119&amp;F119,IMPORTRANGE(""https://docs.google.com/spreadsheets/d/1Uw7-A9f9R21vMXxHZFNpYNeKFtG8_yji4HS352LGlSQ/edit?pli=1#gid=0"",""1_ACUM!A4:S""),11,FALSE))"),"")</f>
        <v/>
      </c>
      <c r="AW105" s="42" t="str">
        <f ca="1">IFERROR(__xludf.DUMMYFUNCTION("IFERROR(VLOOKUP(F119,IMPORTRANGE(""https://docs.google.com/spreadsheets/d/1Kvs4KS76FHFqLFIZfrDMff4kP08nblUkihrxltoGBjg/edit#gid=934712705"",""ESENCIAL!A6:BG""),15,FALSE))"),"")</f>
        <v/>
      </c>
      <c r="AX105" s="21" t="str">
        <f ca="1">IFERROR(__xludf.DUMMYFUNCTION("IFERROR(VLOOKUP(E119&amp;F119,IMPORTRANGE(""https://docs.google.com/spreadsheets/d/1Uw7-A9f9R21vMXxHZFNpYNeKFtG8_yji4HS352LGlSQ/edit?pli=1#gid=0"",""1_ACUM!A4:S""),12,FALSE))"),"")</f>
        <v/>
      </c>
      <c r="AY105" s="43" t="str">
        <f ca="1">IFERROR(__xludf.DUMMYFUNCTION("IFERROR(VLOOKUP(E119&amp;F119,IMPORTRANGE(""https://docs.google.com/spreadsheets/d/1Uw7-A9f9R21vMXxHZFNpYNeKFtG8_yji4HS352LGlSQ/edit?pli=1#gid=0"",""1_ACUM!A4:S""),13,FALSE))"),"")</f>
        <v/>
      </c>
      <c r="AZ105" s="43" t="str">
        <f ca="1">IFERROR(__xludf.DUMMYFUNCTION("IFERROR(VLOOKUP(E119&amp;F119,IMPORTRANGE(""https://docs.google.com/spreadsheets/d/1Uw7-A9f9R21vMXxHZFNpYNeKFtG8_yji4HS352LGlSQ/edit?pli=1#gid=0"",""1_ACUM!A4:S""),14,FALSE))"),"")</f>
        <v/>
      </c>
      <c r="BA105" s="43" t="str">
        <f ca="1">IFERROR(__xludf.DUMMYFUNCTION("IFERROR(VLOOKUP(E119&amp;F119,IMPORTRANGE(""https://docs.google.com/spreadsheets/d/1Uw7-A9f9R21vMXxHZFNpYNeKFtG8_yji4HS352LGlSQ/edit?pli=1#gid=0"",""1_ACUM!A4:S""),15,FALSE))"),"")</f>
        <v/>
      </c>
      <c r="BB105" s="43" t="str">
        <f ca="1">IFERROR(__xludf.DUMMYFUNCTION("IFERROR(VLOOKUP(E119&amp;F119,IMPORTRANGE(""https://docs.google.com/spreadsheets/d/1Uw7-A9f9R21vMXxHZFNpYNeKFtG8_yji4HS352LGlSQ/edit?pli=1#gid=0"",""1_ACUM!A4:S""),16,FALSE))"),"")</f>
        <v/>
      </c>
      <c r="BC105" s="43" t="str">
        <f ca="1">IFERROR(__xludf.DUMMYFUNCTION("IFERROR(VLOOKUP(E119&amp;F119,IMPORTRANGE(""https://docs.google.com/spreadsheets/d/1Uw7-A9f9R21vMXxHZFNpYNeKFtG8_yji4HS352LGlSQ/edit?pli=1#gid=0"",""1_ACUM!A4:S""),17,FALSE))"),"")</f>
        <v/>
      </c>
      <c r="BD105" s="44" t="str">
        <f ca="1">IFERROR(__xludf.DUMMYFUNCTION("IFERROR(VLOOKUP(E119&amp;F119,IMPORTRANGE(""https://docs.google.com/spreadsheets/d/1Uw7-A9f9R21vMXxHZFNpYNeKFtG8_yji4HS352LGlSQ/edit?pli=1#gid=0"",""1_ACUM!A4:S""),18,FALSE))"),"")</f>
        <v/>
      </c>
      <c r="BE105" s="44" t="str">
        <f ca="1">IFERROR(__xludf.DUMMYFUNCTION("IFERROR(VLOOKUP(E119&amp;F119,IMPORTRANGE(""https://docs.google.com/spreadsheets/d/1Uw7-A9f9R21vMXxHZFNpYNeKFtG8_yji4HS352LGlSQ/edit?pli=1#gid=0"",""1_ACUM!A4:S""),19,FALSE))"),"")</f>
        <v/>
      </c>
      <c r="BF105" s="98" t="str">
        <f ca="1">IFERROR(__xludf.DUMMYFUNCTION("IFERROR(VLOOKUP(F119,IMPORTRANGE(""https://docs.google.com/spreadsheets/d/1Kvs4KS76FHFqLFIZfrDMff4kP08nblUkihrxltoGBjg/edit#gid=934712705"",""ESENCIAL!A6:BG""),5,FALSE))"),"")</f>
        <v/>
      </c>
      <c r="BG105" s="98" t="str">
        <f t="shared" si="5"/>
        <v/>
      </c>
      <c r="BH105" s="99" t="str">
        <f t="shared" si="6"/>
        <v/>
      </c>
      <c r="BI105" s="100" t="str">
        <f ca="1">IFERROR(__xludf.DUMMYFUNCTION("IFERROR(VLOOKUP(F119,IMPORTRANGE(""https://docs.google.com/spreadsheets/d/1Kvs4KS76FHFqLFIZfrDMff4kP08nblUkihrxltoGBjg/edit#gid=934712705"",""ESENCIAL!A6:BG""),2,FALSE))"),"")</f>
        <v/>
      </c>
      <c r="BJ105" s="19" t="str">
        <f t="shared" si="7"/>
        <v/>
      </c>
      <c r="BK105" s="100"/>
      <c r="BL105" s="100"/>
    </row>
    <row r="106" spans="1:64" ht="15">
      <c r="A106" s="101"/>
      <c r="B106" s="101"/>
      <c r="G106" s="5" t="str">
        <f ca="1">IFERROR(__xludf.DUMMYFUNCTION("IFERROR(VLOOKUP(F120,IMPORTRANGE(""https://docs.google.com/spreadsheets/d/1Kvs4KS76FHFqLFIZfrDMff4kP08nblUkihrxltoGBjg/edit#gid=934712705"",""ESENCIAL!A6:BG""),3,FALSE))"),"")</f>
        <v/>
      </c>
      <c r="H106" s="5" t="str">
        <f ca="1">IFERROR(__xludf.DUMMYFUNCTION("IFERROR(VLOOKUP(F120,IMPORTRANGE(""https://docs.google.com/spreadsheets/d/1Kvs4KS76FHFqLFIZfrDMff4kP08nblUkihrxltoGBjg/edit#gid=934712705"",""ESENCIAL!A6:BG""),8,FALSE))"),"")</f>
        <v/>
      </c>
      <c r="L106" s="287"/>
      <c r="U106" s="40"/>
      <c r="AU106" s="41" t="str">
        <f t="shared" si="4"/>
        <v/>
      </c>
      <c r="AV106" s="5" t="str">
        <f ca="1">IFERROR(__xludf.DUMMYFUNCTION("IFERROR(VLOOKUP(E120&amp;F120,IMPORTRANGE(""https://docs.google.com/spreadsheets/d/1Uw7-A9f9R21vMXxHZFNpYNeKFtG8_yji4HS352LGlSQ/edit?pli=1#gid=0"",""1_ACUM!A4:S""),11,FALSE))"),"")</f>
        <v/>
      </c>
      <c r="AW106" s="42" t="str">
        <f ca="1">IFERROR(__xludf.DUMMYFUNCTION("IFERROR(VLOOKUP(F120,IMPORTRANGE(""https://docs.google.com/spreadsheets/d/1Kvs4KS76FHFqLFIZfrDMff4kP08nblUkihrxltoGBjg/edit#gid=934712705"",""ESENCIAL!A6:BG""),15,FALSE))"),"")</f>
        <v/>
      </c>
      <c r="AX106" s="21" t="str">
        <f ca="1">IFERROR(__xludf.DUMMYFUNCTION("IFERROR(VLOOKUP(E120&amp;F120,IMPORTRANGE(""https://docs.google.com/spreadsheets/d/1Uw7-A9f9R21vMXxHZFNpYNeKFtG8_yji4HS352LGlSQ/edit?pli=1#gid=0"",""1_ACUM!A4:S""),12,FALSE))"),"")</f>
        <v/>
      </c>
      <c r="AY106" s="43" t="str">
        <f ca="1">IFERROR(__xludf.DUMMYFUNCTION("IFERROR(VLOOKUP(E120&amp;F120,IMPORTRANGE(""https://docs.google.com/spreadsheets/d/1Uw7-A9f9R21vMXxHZFNpYNeKFtG8_yji4HS352LGlSQ/edit?pli=1#gid=0"",""1_ACUM!A4:S""),13,FALSE))"),"")</f>
        <v/>
      </c>
      <c r="AZ106" s="43" t="str">
        <f ca="1">IFERROR(__xludf.DUMMYFUNCTION("IFERROR(VLOOKUP(E120&amp;F120,IMPORTRANGE(""https://docs.google.com/spreadsheets/d/1Uw7-A9f9R21vMXxHZFNpYNeKFtG8_yji4HS352LGlSQ/edit?pli=1#gid=0"",""1_ACUM!A4:S""),14,FALSE))"),"")</f>
        <v/>
      </c>
      <c r="BA106" s="43" t="str">
        <f ca="1">IFERROR(__xludf.DUMMYFUNCTION("IFERROR(VLOOKUP(E120&amp;F120,IMPORTRANGE(""https://docs.google.com/spreadsheets/d/1Uw7-A9f9R21vMXxHZFNpYNeKFtG8_yji4HS352LGlSQ/edit?pli=1#gid=0"",""1_ACUM!A4:S""),15,FALSE))"),"")</f>
        <v/>
      </c>
      <c r="BB106" s="43" t="str">
        <f ca="1">IFERROR(__xludf.DUMMYFUNCTION("IFERROR(VLOOKUP(E120&amp;F120,IMPORTRANGE(""https://docs.google.com/spreadsheets/d/1Uw7-A9f9R21vMXxHZFNpYNeKFtG8_yji4HS352LGlSQ/edit?pli=1#gid=0"",""1_ACUM!A4:S""),16,FALSE))"),"")</f>
        <v/>
      </c>
      <c r="BC106" s="43" t="str">
        <f ca="1">IFERROR(__xludf.DUMMYFUNCTION("IFERROR(VLOOKUP(E120&amp;F120,IMPORTRANGE(""https://docs.google.com/spreadsheets/d/1Uw7-A9f9R21vMXxHZFNpYNeKFtG8_yji4HS352LGlSQ/edit?pli=1#gid=0"",""1_ACUM!A4:S""),17,FALSE))"),"")</f>
        <v/>
      </c>
      <c r="BD106" s="44" t="str">
        <f ca="1">IFERROR(__xludf.DUMMYFUNCTION("IFERROR(VLOOKUP(E120&amp;F120,IMPORTRANGE(""https://docs.google.com/spreadsheets/d/1Uw7-A9f9R21vMXxHZFNpYNeKFtG8_yji4HS352LGlSQ/edit?pli=1#gid=0"",""1_ACUM!A4:S""),18,FALSE))"),"")</f>
        <v/>
      </c>
      <c r="BE106" s="44" t="str">
        <f ca="1">IFERROR(__xludf.DUMMYFUNCTION("IFERROR(VLOOKUP(E120&amp;F120,IMPORTRANGE(""https://docs.google.com/spreadsheets/d/1Uw7-A9f9R21vMXxHZFNpYNeKFtG8_yji4HS352LGlSQ/edit?pli=1#gid=0"",""1_ACUM!A4:S""),19,FALSE))"),"")</f>
        <v/>
      </c>
      <c r="BF106" s="98" t="str">
        <f ca="1">IFERROR(__xludf.DUMMYFUNCTION("IFERROR(VLOOKUP(F120,IMPORTRANGE(""https://docs.google.com/spreadsheets/d/1Kvs4KS76FHFqLFIZfrDMff4kP08nblUkihrxltoGBjg/edit#gid=934712705"",""ESENCIAL!A6:BG""),5,FALSE))"),"")</f>
        <v/>
      </c>
      <c r="BG106" s="98" t="str">
        <f t="shared" si="5"/>
        <v/>
      </c>
      <c r="BH106" s="99" t="str">
        <f t="shared" si="6"/>
        <v/>
      </c>
      <c r="BI106" s="100" t="str">
        <f ca="1">IFERROR(__xludf.DUMMYFUNCTION("IFERROR(VLOOKUP(F120,IMPORTRANGE(""https://docs.google.com/spreadsheets/d/1Kvs4KS76FHFqLFIZfrDMff4kP08nblUkihrxltoGBjg/edit#gid=934712705"",""ESENCIAL!A6:BG""),2,FALSE))"),"")</f>
        <v/>
      </c>
      <c r="BJ106" s="19" t="str">
        <f t="shared" si="7"/>
        <v/>
      </c>
      <c r="BK106" s="100"/>
      <c r="BL106" s="100"/>
    </row>
    <row r="107" spans="1:64" ht="15">
      <c r="A107" s="101"/>
      <c r="B107" s="101"/>
      <c r="G107" s="5" t="str">
        <f ca="1">IFERROR(__xludf.DUMMYFUNCTION("IFERROR(VLOOKUP(F121,IMPORTRANGE(""https://docs.google.com/spreadsheets/d/1Kvs4KS76FHFqLFIZfrDMff4kP08nblUkihrxltoGBjg/edit#gid=934712705"",""ESENCIAL!A6:BG""),3,FALSE))"),"")</f>
        <v/>
      </c>
      <c r="H107" s="5" t="str">
        <f ca="1">IFERROR(__xludf.DUMMYFUNCTION("IFERROR(VLOOKUP(F121,IMPORTRANGE(""https://docs.google.com/spreadsheets/d/1Kvs4KS76FHFqLFIZfrDMff4kP08nblUkihrxltoGBjg/edit#gid=934712705"",""ESENCIAL!A6:BG""),8,FALSE))"),"")</f>
        <v/>
      </c>
      <c r="L107" s="287"/>
      <c r="U107" s="40"/>
      <c r="AU107" s="41" t="str">
        <f t="shared" si="4"/>
        <v/>
      </c>
      <c r="AV107" s="5" t="str">
        <f ca="1">IFERROR(__xludf.DUMMYFUNCTION("IFERROR(VLOOKUP(E121&amp;F121,IMPORTRANGE(""https://docs.google.com/spreadsheets/d/1Uw7-A9f9R21vMXxHZFNpYNeKFtG8_yji4HS352LGlSQ/edit?pli=1#gid=0"",""1_ACUM!A4:S""),11,FALSE))"),"")</f>
        <v/>
      </c>
      <c r="AW107" s="42" t="str">
        <f ca="1">IFERROR(__xludf.DUMMYFUNCTION("IFERROR(VLOOKUP(F121,IMPORTRANGE(""https://docs.google.com/spreadsheets/d/1Kvs4KS76FHFqLFIZfrDMff4kP08nblUkihrxltoGBjg/edit#gid=934712705"",""ESENCIAL!A6:BG""),15,FALSE))"),"")</f>
        <v/>
      </c>
      <c r="AX107" s="21" t="str">
        <f ca="1">IFERROR(__xludf.DUMMYFUNCTION("IFERROR(VLOOKUP(E121&amp;F121,IMPORTRANGE(""https://docs.google.com/spreadsheets/d/1Uw7-A9f9R21vMXxHZFNpYNeKFtG8_yji4HS352LGlSQ/edit?pli=1#gid=0"",""1_ACUM!A4:S""),12,FALSE))"),"")</f>
        <v/>
      </c>
      <c r="AY107" s="43" t="str">
        <f ca="1">IFERROR(__xludf.DUMMYFUNCTION("IFERROR(VLOOKUP(E121&amp;F121,IMPORTRANGE(""https://docs.google.com/spreadsheets/d/1Uw7-A9f9R21vMXxHZFNpYNeKFtG8_yji4HS352LGlSQ/edit?pli=1#gid=0"",""1_ACUM!A4:S""),13,FALSE))"),"")</f>
        <v/>
      </c>
      <c r="AZ107" s="43" t="str">
        <f ca="1">IFERROR(__xludf.DUMMYFUNCTION("IFERROR(VLOOKUP(E121&amp;F121,IMPORTRANGE(""https://docs.google.com/spreadsheets/d/1Uw7-A9f9R21vMXxHZFNpYNeKFtG8_yji4HS352LGlSQ/edit?pli=1#gid=0"",""1_ACUM!A4:S""),14,FALSE))"),"")</f>
        <v/>
      </c>
      <c r="BA107" s="43" t="str">
        <f ca="1">IFERROR(__xludf.DUMMYFUNCTION("IFERROR(VLOOKUP(E121&amp;F121,IMPORTRANGE(""https://docs.google.com/spreadsheets/d/1Uw7-A9f9R21vMXxHZFNpYNeKFtG8_yji4HS352LGlSQ/edit?pli=1#gid=0"",""1_ACUM!A4:S""),15,FALSE))"),"")</f>
        <v/>
      </c>
      <c r="BB107" s="43" t="str">
        <f ca="1">IFERROR(__xludf.DUMMYFUNCTION("IFERROR(VLOOKUP(E121&amp;F121,IMPORTRANGE(""https://docs.google.com/spreadsheets/d/1Uw7-A9f9R21vMXxHZFNpYNeKFtG8_yji4HS352LGlSQ/edit?pli=1#gid=0"",""1_ACUM!A4:S""),16,FALSE))"),"")</f>
        <v/>
      </c>
      <c r="BC107" s="43" t="str">
        <f ca="1">IFERROR(__xludf.DUMMYFUNCTION("IFERROR(VLOOKUP(E121&amp;F121,IMPORTRANGE(""https://docs.google.com/spreadsheets/d/1Uw7-A9f9R21vMXxHZFNpYNeKFtG8_yji4HS352LGlSQ/edit?pli=1#gid=0"",""1_ACUM!A4:S""),17,FALSE))"),"")</f>
        <v/>
      </c>
      <c r="BD107" s="44" t="str">
        <f ca="1">IFERROR(__xludf.DUMMYFUNCTION("IFERROR(VLOOKUP(E121&amp;F121,IMPORTRANGE(""https://docs.google.com/spreadsheets/d/1Uw7-A9f9R21vMXxHZFNpYNeKFtG8_yji4HS352LGlSQ/edit?pli=1#gid=0"",""1_ACUM!A4:S""),18,FALSE))"),"")</f>
        <v/>
      </c>
      <c r="BE107" s="44" t="str">
        <f ca="1">IFERROR(__xludf.DUMMYFUNCTION("IFERROR(VLOOKUP(E121&amp;F121,IMPORTRANGE(""https://docs.google.com/spreadsheets/d/1Uw7-A9f9R21vMXxHZFNpYNeKFtG8_yji4HS352LGlSQ/edit?pli=1#gid=0"",""1_ACUM!A4:S""),19,FALSE))"),"")</f>
        <v/>
      </c>
      <c r="BF107" s="98" t="str">
        <f ca="1">IFERROR(__xludf.DUMMYFUNCTION("IFERROR(VLOOKUP(F121,IMPORTRANGE(""https://docs.google.com/spreadsheets/d/1Kvs4KS76FHFqLFIZfrDMff4kP08nblUkihrxltoGBjg/edit#gid=934712705"",""ESENCIAL!A6:BG""),5,FALSE))"),"")</f>
        <v/>
      </c>
      <c r="BG107" s="98" t="str">
        <f t="shared" si="5"/>
        <v/>
      </c>
      <c r="BH107" s="99" t="str">
        <f t="shared" si="6"/>
        <v/>
      </c>
      <c r="BI107" s="100" t="str">
        <f ca="1">IFERROR(__xludf.DUMMYFUNCTION("IFERROR(VLOOKUP(F121,IMPORTRANGE(""https://docs.google.com/spreadsheets/d/1Kvs4KS76FHFqLFIZfrDMff4kP08nblUkihrxltoGBjg/edit#gid=934712705"",""ESENCIAL!A6:BG""),2,FALSE))"),"")</f>
        <v/>
      </c>
      <c r="BJ107" s="19" t="str">
        <f t="shared" si="7"/>
        <v/>
      </c>
      <c r="BK107" s="100"/>
      <c r="BL107" s="100"/>
    </row>
    <row r="108" spans="1:64" ht="15">
      <c r="A108" s="101"/>
      <c r="B108" s="101"/>
      <c r="G108" s="5" t="str">
        <f ca="1">IFERROR(__xludf.DUMMYFUNCTION("IFERROR(VLOOKUP(F122,IMPORTRANGE(""https://docs.google.com/spreadsheets/d/1Kvs4KS76FHFqLFIZfrDMff4kP08nblUkihrxltoGBjg/edit#gid=934712705"",""ESENCIAL!A6:BG""),3,FALSE))"),"")</f>
        <v/>
      </c>
      <c r="H108" s="5" t="str">
        <f ca="1">IFERROR(__xludf.DUMMYFUNCTION("IFERROR(VLOOKUP(F122,IMPORTRANGE(""https://docs.google.com/spreadsheets/d/1Kvs4KS76FHFqLFIZfrDMff4kP08nblUkihrxltoGBjg/edit#gid=934712705"",""ESENCIAL!A6:BG""),8,FALSE))"),"")</f>
        <v/>
      </c>
      <c r="L108" s="287"/>
      <c r="U108" s="40"/>
      <c r="AU108" s="41" t="str">
        <f t="shared" si="4"/>
        <v/>
      </c>
      <c r="AV108" s="5" t="str">
        <f ca="1">IFERROR(__xludf.DUMMYFUNCTION("IFERROR(VLOOKUP(E122&amp;F122,IMPORTRANGE(""https://docs.google.com/spreadsheets/d/1Uw7-A9f9R21vMXxHZFNpYNeKFtG8_yji4HS352LGlSQ/edit?pli=1#gid=0"",""1_ACUM!A4:S""),11,FALSE))"),"")</f>
        <v/>
      </c>
      <c r="AW108" s="42" t="str">
        <f ca="1">IFERROR(__xludf.DUMMYFUNCTION("IFERROR(VLOOKUP(F122,IMPORTRANGE(""https://docs.google.com/spreadsheets/d/1Kvs4KS76FHFqLFIZfrDMff4kP08nblUkihrxltoGBjg/edit#gid=934712705"",""ESENCIAL!A6:BG""),15,FALSE))"),"")</f>
        <v/>
      </c>
      <c r="AX108" s="21" t="str">
        <f ca="1">IFERROR(__xludf.DUMMYFUNCTION("IFERROR(VLOOKUP(E122&amp;F122,IMPORTRANGE(""https://docs.google.com/spreadsheets/d/1Uw7-A9f9R21vMXxHZFNpYNeKFtG8_yji4HS352LGlSQ/edit?pli=1#gid=0"",""1_ACUM!A4:S""),12,FALSE))"),"")</f>
        <v/>
      </c>
      <c r="AY108" s="43" t="str">
        <f ca="1">IFERROR(__xludf.DUMMYFUNCTION("IFERROR(VLOOKUP(E122&amp;F122,IMPORTRANGE(""https://docs.google.com/spreadsheets/d/1Uw7-A9f9R21vMXxHZFNpYNeKFtG8_yji4HS352LGlSQ/edit?pli=1#gid=0"",""1_ACUM!A4:S""),13,FALSE))"),"")</f>
        <v/>
      </c>
      <c r="AZ108" s="43" t="str">
        <f ca="1">IFERROR(__xludf.DUMMYFUNCTION("IFERROR(VLOOKUP(E122&amp;F122,IMPORTRANGE(""https://docs.google.com/spreadsheets/d/1Uw7-A9f9R21vMXxHZFNpYNeKFtG8_yji4HS352LGlSQ/edit?pli=1#gid=0"",""1_ACUM!A4:S""),14,FALSE))"),"")</f>
        <v/>
      </c>
      <c r="BA108" s="43" t="str">
        <f ca="1">IFERROR(__xludf.DUMMYFUNCTION("IFERROR(VLOOKUP(E122&amp;F122,IMPORTRANGE(""https://docs.google.com/spreadsheets/d/1Uw7-A9f9R21vMXxHZFNpYNeKFtG8_yji4HS352LGlSQ/edit?pli=1#gid=0"",""1_ACUM!A4:S""),15,FALSE))"),"")</f>
        <v/>
      </c>
      <c r="BB108" s="43" t="str">
        <f ca="1">IFERROR(__xludf.DUMMYFUNCTION("IFERROR(VLOOKUP(E122&amp;F122,IMPORTRANGE(""https://docs.google.com/spreadsheets/d/1Uw7-A9f9R21vMXxHZFNpYNeKFtG8_yji4HS352LGlSQ/edit?pli=1#gid=0"",""1_ACUM!A4:S""),16,FALSE))"),"")</f>
        <v/>
      </c>
      <c r="BC108" s="43" t="str">
        <f ca="1">IFERROR(__xludf.DUMMYFUNCTION("IFERROR(VLOOKUP(E122&amp;F122,IMPORTRANGE(""https://docs.google.com/spreadsheets/d/1Uw7-A9f9R21vMXxHZFNpYNeKFtG8_yji4HS352LGlSQ/edit?pli=1#gid=0"",""1_ACUM!A4:S""),17,FALSE))"),"")</f>
        <v/>
      </c>
      <c r="BD108" s="44" t="str">
        <f ca="1">IFERROR(__xludf.DUMMYFUNCTION("IFERROR(VLOOKUP(E122&amp;F122,IMPORTRANGE(""https://docs.google.com/spreadsheets/d/1Uw7-A9f9R21vMXxHZFNpYNeKFtG8_yji4HS352LGlSQ/edit?pli=1#gid=0"",""1_ACUM!A4:S""),18,FALSE))"),"")</f>
        <v/>
      </c>
      <c r="BE108" s="44" t="str">
        <f ca="1">IFERROR(__xludf.DUMMYFUNCTION("IFERROR(VLOOKUP(E122&amp;F122,IMPORTRANGE(""https://docs.google.com/spreadsheets/d/1Uw7-A9f9R21vMXxHZFNpYNeKFtG8_yji4HS352LGlSQ/edit?pli=1#gid=0"",""1_ACUM!A4:S""),19,FALSE))"),"")</f>
        <v/>
      </c>
      <c r="BF108" s="98" t="str">
        <f ca="1">IFERROR(__xludf.DUMMYFUNCTION("IFERROR(VLOOKUP(F122,IMPORTRANGE(""https://docs.google.com/spreadsheets/d/1Kvs4KS76FHFqLFIZfrDMff4kP08nblUkihrxltoGBjg/edit#gid=934712705"",""ESENCIAL!A6:BG""),5,FALSE))"),"")</f>
        <v/>
      </c>
      <c r="BG108" s="98" t="str">
        <f t="shared" si="5"/>
        <v/>
      </c>
      <c r="BH108" s="99" t="str">
        <f t="shared" si="6"/>
        <v/>
      </c>
      <c r="BI108" s="100" t="str">
        <f ca="1">IFERROR(__xludf.DUMMYFUNCTION("IFERROR(VLOOKUP(F122,IMPORTRANGE(""https://docs.google.com/spreadsheets/d/1Kvs4KS76FHFqLFIZfrDMff4kP08nblUkihrxltoGBjg/edit#gid=934712705"",""ESENCIAL!A6:BG""),2,FALSE))"),"")</f>
        <v/>
      </c>
      <c r="BJ108" s="19" t="str">
        <f t="shared" si="7"/>
        <v/>
      </c>
      <c r="BK108" s="100"/>
      <c r="BL108" s="100"/>
    </row>
    <row r="109" spans="1:64" ht="15">
      <c r="A109" s="101"/>
      <c r="B109" s="101"/>
      <c r="G109" s="5" t="str">
        <f ca="1">IFERROR(__xludf.DUMMYFUNCTION("IFERROR(VLOOKUP(F123,IMPORTRANGE(""https://docs.google.com/spreadsheets/d/1Kvs4KS76FHFqLFIZfrDMff4kP08nblUkihrxltoGBjg/edit#gid=934712705"",""ESENCIAL!A6:BG""),3,FALSE))"),"")</f>
        <v/>
      </c>
      <c r="H109" s="5" t="str">
        <f ca="1">IFERROR(__xludf.DUMMYFUNCTION("IFERROR(VLOOKUP(F123,IMPORTRANGE(""https://docs.google.com/spreadsheets/d/1Kvs4KS76FHFqLFIZfrDMff4kP08nblUkihrxltoGBjg/edit#gid=934712705"",""ESENCIAL!A6:BG""),8,FALSE))"),"")</f>
        <v/>
      </c>
      <c r="L109" s="287"/>
      <c r="U109" s="40"/>
      <c r="AU109" s="41" t="str">
        <f t="shared" si="4"/>
        <v/>
      </c>
      <c r="AV109" s="5" t="str">
        <f ca="1">IFERROR(__xludf.DUMMYFUNCTION("IFERROR(VLOOKUP(E123&amp;F123,IMPORTRANGE(""https://docs.google.com/spreadsheets/d/1Uw7-A9f9R21vMXxHZFNpYNeKFtG8_yji4HS352LGlSQ/edit?pli=1#gid=0"",""1_ACUM!A4:S""),11,FALSE))"),"")</f>
        <v/>
      </c>
      <c r="AW109" s="42" t="str">
        <f ca="1">IFERROR(__xludf.DUMMYFUNCTION("IFERROR(VLOOKUP(F123,IMPORTRANGE(""https://docs.google.com/spreadsheets/d/1Kvs4KS76FHFqLFIZfrDMff4kP08nblUkihrxltoGBjg/edit#gid=934712705"",""ESENCIAL!A6:BG""),15,FALSE))"),"")</f>
        <v/>
      </c>
      <c r="AX109" s="21" t="str">
        <f ca="1">IFERROR(__xludf.DUMMYFUNCTION("IFERROR(VLOOKUP(E123&amp;F123,IMPORTRANGE(""https://docs.google.com/spreadsheets/d/1Uw7-A9f9R21vMXxHZFNpYNeKFtG8_yji4HS352LGlSQ/edit?pli=1#gid=0"",""1_ACUM!A4:S""),12,FALSE))"),"")</f>
        <v/>
      </c>
      <c r="AY109" s="43" t="str">
        <f ca="1">IFERROR(__xludf.DUMMYFUNCTION("IFERROR(VLOOKUP(E123&amp;F123,IMPORTRANGE(""https://docs.google.com/spreadsheets/d/1Uw7-A9f9R21vMXxHZFNpYNeKFtG8_yji4HS352LGlSQ/edit?pli=1#gid=0"",""1_ACUM!A4:S""),13,FALSE))"),"")</f>
        <v/>
      </c>
      <c r="AZ109" s="43" t="str">
        <f ca="1">IFERROR(__xludf.DUMMYFUNCTION("IFERROR(VLOOKUP(E123&amp;F123,IMPORTRANGE(""https://docs.google.com/spreadsheets/d/1Uw7-A9f9R21vMXxHZFNpYNeKFtG8_yji4HS352LGlSQ/edit?pli=1#gid=0"",""1_ACUM!A4:S""),14,FALSE))"),"")</f>
        <v/>
      </c>
      <c r="BA109" s="43" t="str">
        <f ca="1">IFERROR(__xludf.DUMMYFUNCTION("IFERROR(VLOOKUP(E123&amp;F123,IMPORTRANGE(""https://docs.google.com/spreadsheets/d/1Uw7-A9f9R21vMXxHZFNpYNeKFtG8_yji4HS352LGlSQ/edit?pli=1#gid=0"",""1_ACUM!A4:S""),15,FALSE))"),"")</f>
        <v/>
      </c>
      <c r="BB109" s="43" t="str">
        <f ca="1">IFERROR(__xludf.DUMMYFUNCTION("IFERROR(VLOOKUP(E123&amp;F123,IMPORTRANGE(""https://docs.google.com/spreadsheets/d/1Uw7-A9f9R21vMXxHZFNpYNeKFtG8_yji4HS352LGlSQ/edit?pli=1#gid=0"",""1_ACUM!A4:S""),16,FALSE))"),"")</f>
        <v/>
      </c>
      <c r="BC109" s="43" t="str">
        <f ca="1">IFERROR(__xludf.DUMMYFUNCTION("IFERROR(VLOOKUP(E123&amp;F123,IMPORTRANGE(""https://docs.google.com/spreadsheets/d/1Uw7-A9f9R21vMXxHZFNpYNeKFtG8_yji4HS352LGlSQ/edit?pli=1#gid=0"",""1_ACUM!A4:S""),17,FALSE))"),"")</f>
        <v/>
      </c>
      <c r="BD109" s="44" t="str">
        <f ca="1">IFERROR(__xludf.DUMMYFUNCTION("IFERROR(VLOOKUP(E123&amp;F123,IMPORTRANGE(""https://docs.google.com/spreadsheets/d/1Uw7-A9f9R21vMXxHZFNpYNeKFtG8_yji4HS352LGlSQ/edit?pli=1#gid=0"",""1_ACUM!A4:S""),18,FALSE))"),"")</f>
        <v/>
      </c>
      <c r="BE109" s="44" t="str">
        <f ca="1">IFERROR(__xludf.DUMMYFUNCTION("IFERROR(VLOOKUP(E123&amp;F123,IMPORTRANGE(""https://docs.google.com/spreadsheets/d/1Uw7-A9f9R21vMXxHZFNpYNeKFtG8_yji4HS352LGlSQ/edit?pli=1#gid=0"",""1_ACUM!A4:S""),19,FALSE))"),"")</f>
        <v/>
      </c>
      <c r="BF109" s="98" t="str">
        <f ca="1">IFERROR(__xludf.DUMMYFUNCTION("IFERROR(VLOOKUP(F123,IMPORTRANGE(""https://docs.google.com/spreadsheets/d/1Kvs4KS76FHFqLFIZfrDMff4kP08nblUkihrxltoGBjg/edit#gid=934712705"",""ESENCIAL!A6:BG""),5,FALSE))"),"")</f>
        <v/>
      </c>
      <c r="BG109" s="98" t="str">
        <f t="shared" si="5"/>
        <v/>
      </c>
      <c r="BH109" s="99" t="str">
        <f t="shared" si="6"/>
        <v/>
      </c>
      <c r="BI109" s="100" t="str">
        <f ca="1">IFERROR(__xludf.DUMMYFUNCTION("IFERROR(VLOOKUP(F123,IMPORTRANGE(""https://docs.google.com/spreadsheets/d/1Kvs4KS76FHFqLFIZfrDMff4kP08nblUkihrxltoGBjg/edit#gid=934712705"",""ESENCIAL!A6:BG""),2,FALSE))"),"")</f>
        <v/>
      </c>
      <c r="BJ109" s="19" t="str">
        <f t="shared" si="7"/>
        <v/>
      </c>
      <c r="BK109" s="100"/>
      <c r="BL109" s="100"/>
    </row>
    <row r="110" spans="1:64" ht="15">
      <c r="A110" s="101"/>
      <c r="B110" s="101"/>
      <c r="G110" s="5" t="str">
        <f ca="1">IFERROR(__xludf.DUMMYFUNCTION("IFERROR(VLOOKUP(F124,IMPORTRANGE(""https://docs.google.com/spreadsheets/d/1Kvs4KS76FHFqLFIZfrDMff4kP08nblUkihrxltoGBjg/edit#gid=934712705"",""ESENCIAL!A6:BG""),3,FALSE))"),"")</f>
        <v/>
      </c>
      <c r="H110" s="5" t="str">
        <f ca="1">IFERROR(__xludf.DUMMYFUNCTION("IFERROR(VLOOKUP(F124,IMPORTRANGE(""https://docs.google.com/spreadsheets/d/1Kvs4KS76FHFqLFIZfrDMff4kP08nblUkihrxltoGBjg/edit#gid=934712705"",""ESENCIAL!A6:BG""),8,FALSE))"),"")</f>
        <v/>
      </c>
      <c r="L110" s="287"/>
      <c r="U110" s="40"/>
      <c r="AU110" s="41" t="str">
        <f t="shared" si="4"/>
        <v/>
      </c>
      <c r="AV110" s="5" t="str">
        <f ca="1">IFERROR(__xludf.DUMMYFUNCTION("IFERROR(VLOOKUP(E124&amp;F124,IMPORTRANGE(""https://docs.google.com/spreadsheets/d/1Uw7-A9f9R21vMXxHZFNpYNeKFtG8_yji4HS352LGlSQ/edit?pli=1#gid=0"",""1_ACUM!A4:S""),11,FALSE))"),"")</f>
        <v/>
      </c>
      <c r="AW110" s="42" t="str">
        <f ca="1">IFERROR(__xludf.DUMMYFUNCTION("IFERROR(VLOOKUP(F124,IMPORTRANGE(""https://docs.google.com/spreadsheets/d/1Kvs4KS76FHFqLFIZfrDMff4kP08nblUkihrxltoGBjg/edit#gid=934712705"",""ESENCIAL!A6:BG""),15,FALSE))"),"")</f>
        <v/>
      </c>
      <c r="AX110" s="21" t="str">
        <f ca="1">IFERROR(__xludf.DUMMYFUNCTION("IFERROR(VLOOKUP(E124&amp;F124,IMPORTRANGE(""https://docs.google.com/spreadsheets/d/1Uw7-A9f9R21vMXxHZFNpYNeKFtG8_yji4HS352LGlSQ/edit?pli=1#gid=0"",""1_ACUM!A4:S""),12,FALSE))"),"")</f>
        <v/>
      </c>
      <c r="AY110" s="43" t="str">
        <f ca="1">IFERROR(__xludf.DUMMYFUNCTION("IFERROR(VLOOKUP(E124&amp;F124,IMPORTRANGE(""https://docs.google.com/spreadsheets/d/1Uw7-A9f9R21vMXxHZFNpYNeKFtG8_yji4HS352LGlSQ/edit?pli=1#gid=0"",""1_ACUM!A4:S""),13,FALSE))"),"")</f>
        <v/>
      </c>
      <c r="AZ110" s="43" t="str">
        <f ca="1">IFERROR(__xludf.DUMMYFUNCTION("IFERROR(VLOOKUP(E124&amp;F124,IMPORTRANGE(""https://docs.google.com/spreadsheets/d/1Uw7-A9f9R21vMXxHZFNpYNeKFtG8_yji4HS352LGlSQ/edit?pli=1#gid=0"",""1_ACUM!A4:S""),14,FALSE))"),"")</f>
        <v/>
      </c>
      <c r="BA110" s="43" t="str">
        <f ca="1">IFERROR(__xludf.DUMMYFUNCTION("IFERROR(VLOOKUP(E124&amp;F124,IMPORTRANGE(""https://docs.google.com/spreadsheets/d/1Uw7-A9f9R21vMXxHZFNpYNeKFtG8_yji4HS352LGlSQ/edit?pli=1#gid=0"",""1_ACUM!A4:S""),15,FALSE))"),"")</f>
        <v/>
      </c>
      <c r="BB110" s="43" t="str">
        <f ca="1">IFERROR(__xludf.DUMMYFUNCTION("IFERROR(VLOOKUP(E124&amp;F124,IMPORTRANGE(""https://docs.google.com/spreadsheets/d/1Uw7-A9f9R21vMXxHZFNpYNeKFtG8_yji4HS352LGlSQ/edit?pli=1#gid=0"",""1_ACUM!A4:S""),16,FALSE))"),"")</f>
        <v/>
      </c>
      <c r="BC110" s="43" t="str">
        <f ca="1">IFERROR(__xludf.DUMMYFUNCTION("IFERROR(VLOOKUP(E124&amp;F124,IMPORTRANGE(""https://docs.google.com/spreadsheets/d/1Uw7-A9f9R21vMXxHZFNpYNeKFtG8_yji4HS352LGlSQ/edit?pli=1#gid=0"",""1_ACUM!A4:S""),17,FALSE))"),"")</f>
        <v/>
      </c>
      <c r="BD110" s="44" t="str">
        <f ca="1">IFERROR(__xludf.DUMMYFUNCTION("IFERROR(VLOOKUP(E124&amp;F124,IMPORTRANGE(""https://docs.google.com/spreadsheets/d/1Uw7-A9f9R21vMXxHZFNpYNeKFtG8_yji4HS352LGlSQ/edit?pli=1#gid=0"",""1_ACUM!A4:S""),18,FALSE))"),"")</f>
        <v/>
      </c>
      <c r="BE110" s="44" t="str">
        <f ca="1">IFERROR(__xludf.DUMMYFUNCTION("IFERROR(VLOOKUP(E124&amp;F124,IMPORTRANGE(""https://docs.google.com/spreadsheets/d/1Uw7-A9f9R21vMXxHZFNpYNeKFtG8_yji4HS352LGlSQ/edit?pli=1#gid=0"",""1_ACUM!A4:S""),19,FALSE))"),"")</f>
        <v/>
      </c>
      <c r="BF110" s="98" t="str">
        <f ca="1">IFERROR(__xludf.DUMMYFUNCTION("IFERROR(VLOOKUP(F124,IMPORTRANGE(""https://docs.google.com/spreadsheets/d/1Kvs4KS76FHFqLFIZfrDMff4kP08nblUkihrxltoGBjg/edit#gid=934712705"",""ESENCIAL!A6:BG""),5,FALSE))"),"")</f>
        <v/>
      </c>
      <c r="BG110" s="98" t="str">
        <f t="shared" si="5"/>
        <v/>
      </c>
      <c r="BH110" s="99" t="str">
        <f t="shared" si="6"/>
        <v/>
      </c>
      <c r="BI110" s="100" t="str">
        <f ca="1">IFERROR(__xludf.DUMMYFUNCTION("IFERROR(VLOOKUP(F124,IMPORTRANGE(""https://docs.google.com/spreadsheets/d/1Kvs4KS76FHFqLFIZfrDMff4kP08nblUkihrxltoGBjg/edit#gid=934712705"",""ESENCIAL!A6:BG""),2,FALSE))"),"")</f>
        <v/>
      </c>
      <c r="BJ110" s="19" t="str">
        <f t="shared" si="7"/>
        <v/>
      </c>
      <c r="BK110" s="100"/>
      <c r="BL110" s="100"/>
    </row>
    <row r="111" spans="1:64" ht="15">
      <c r="A111" s="101"/>
      <c r="B111" s="101"/>
      <c r="G111" s="5" t="str">
        <f ca="1">IFERROR(__xludf.DUMMYFUNCTION("IFERROR(VLOOKUP(F125,IMPORTRANGE(""https://docs.google.com/spreadsheets/d/1Kvs4KS76FHFqLFIZfrDMff4kP08nblUkihrxltoGBjg/edit#gid=934712705"",""ESENCIAL!A6:BG""),3,FALSE))"),"")</f>
        <v/>
      </c>
      <c r="H111" s="5" t="str">
        <f ca="1">IFERROR(__xludf.DUMMYFUNCTION("IFERROR(VLOOKUP(F125,IMPORTRANGE(""https://docs.google.com/spreadsheets/d/1Kvs4KS76FHFqLFIZfrDMff4kP08nblUkihrxltoGBjg/edit#gid=934712705"",""ESENCIAL!A6:BG""),8,FALSE))"),"")</f>
        <v/>
      </c>
      <c r="L111" s="287"/>
      <c r="U111" s="40"/>
      <c r="AU111" s="41" t="str">
        <f t="shared" si="4"/>
        <v/>
      </c>
      <c r="AV111" s="5" t="str">
        <f ca="1">IFERROR(__xludf.DUMMYFUNCTION("IFERROR(VLOOKUP(E125&amp;F125,IMPORTRANGE(""https://docs.google.com/spreadsheets/d/1Uw7-A9f9R21vMXxHZFNpYNeKFtG8_yji4HS352LGlSQ/edit?pli=1#gid=0"",""1_ACUM!A4:S""),11,FALSE))"),"")</f>
        <v/>
      </c>
      <c r="AW111" s="42" t="str">
        <f ca="1">IFERROR(__xludf.DUMMYFUNCTION("IFERROR(VLOOKUP(F125,IMPORTRANGE(""https://docs.google.com/spreadsheets/d/1Kvs4KS76FHFqLFIZfrDMff4kP08nblUkihrxltoGBjg/edit#gid=934712705"",""ESENCIAL!A6:BG""),15,FALSE))"),"")</f>
        <v/>
      </c>
      <c r="AX111" s="21" t="str">
        <f ca="1">IFERROR(__xludf.DUMMYFUNCTION("IFERROR(VLOOKUP(E125&amp;F125,IMPORTRANGE(""https://docs.google.com/spreadsheets/d/1Uw7-A9f9R21vMXxHZFNpYNeKFtG8_yji4HS352LGlSQ/edit?pli=1#gid=0"",""1_ACUM!A4:S""),12,FALSE))"),"")</f>
        <v/>
      </c>
      <c r="AY111" s="43" t="str">
        <f ca="1">IFERROR(__xludf.DUMMYFUNCTION("IFERROR(VLOOKUP(E125&amp;F125,IMPORTRANGE(""https://docs.google.com/spreadsheets/d/1Uw7-A9f9R21vMXxHZFNpYNeKFtG8_yji4HS352LGlSQ/edit?pli=1#gid=0"",""1_ACUM!A4:S""),13,FALSE))"),"")</f>
        <v/>
      </c>
      <c r="AZ111" s="43" t="str">
        <f ca="1">IFERROR(__xludf.DUMMYFUNCTION("IFERROR(VLOOKUP(E125&amp;F125,IMPORTRANGE(""https://docs.google.com/spreadsheets/d/1Uw7-A9f9R21vMXxHZFNpYNeKFtG8_yji4HS352LGlSQ/edit?pli=1#gid=0"",""1_ACUM!A4:S""),14,FALSE))"),"")</f>
        <v/>
      </c>
      <c r="BA111" s="43" t="str">
        <f ca="1">IFERROR(__xludf.DUMMYFUNCTION("IFERROR(VLOOKUP(E125&amp;F125,IMPORTRANGE(""https://docs.google.com/spreadsheets/d/1Uw7-A9f9R21vMXxHZFNpYNeKFtG8_yji4HS352LGlSQ/edit?pli=1#gid=0"",""1_ACUM!A4:S""),15,FALSE))"),"")</f>
        <v/>
      </c>
      <c r="BB111" s="43" t="str">
        <f ca="1">IFERROR(__xludf.DUMMYFUNCTION("IFERROR(VLOOKUP(E125&amp;F125,IMPORTRANGE(""https://docs.google.com/spreadsheets/d/1Uw7-A9f9R21vMXxHZFNpYNeKFtG8_yji4HS352LGlSQ/edit?pli=1#gid=0"",""1_ACUM!A4:S""),16,FALSE))"),"")</f>
        <v/>
      </c>
      <c r="BC111" s="43" t="str">
        <f ca="1">IFERROR(__xludf.DUMMYFUNCTION("IFERROR(VLOOKUP(E125&amp;F125,IMPORTRANGE(""https://docs.google.com/spreadsheets/d/1Uw7-A9f9R21vMXxHZFNpYNeKFtG8_yji4HS352LGlSQ/edit?pli=1#gid=0"",""1_ACUM!A4:S""),17,FALSE))"),"")</f>
        <v/>
      </c>
      <c r="BD111" s="44" t="str">
        <f ca="1">IFERROR(__xludf.DUMMYFUNCTION("IFERROR(VLOOKUP(E125&amp;F125,IMPORTRANGE(""https://docs.google.com/spreadsheets/d/1Uw7-A9f9R21vMXxHZFNpYNeKFtG8_yji4HS352LGlSQ/edit?pli=1#gid=0"",""1_ACUM!A4:S""),18,FALSE))"),"")</f>
        <v/>
      </c>
      <c r="BE111" s="44" t="str">
        <f ca="1">IFERROR(__xludf.DUMMYFUNCTION("IFERROR(VLOOKUP(E125&amp;F125,IMPORTRANGE(""https://docs.google.com/spreadsheets/d/1Uw7-A9f9R21vMXxHZFNpYNeKFtG8_yji4HS352LGlSQ/edit?pli=1#gid=0"",""1_ACUM!A4:S""),19,FALSE))"),"")</f>
        <v/>
      </c>
      <c r="BF111" s="98" t="str">
        <f ca="1">IFERROR(__xludf.DUMMYFUNCTION("IFERROR(VLOOKUP(F125,IMPORTRANGE(""https://docs.google.com/spreadsheets/d/1Kvs4KS76FHFqLFIZfrDMff4kP08nblUkihrxltoGBjg/edit#gid=934712705"",""ESENCIAL!A6:BG""),5,FALSE))"),"")</f>
        <v/>
      </c>
      <c r="BG111" s="98" t="str">
        <f t="shared" si="5"/>
        <v/>
      </c>
      <c r="BH111" s="99" t="str">
        <f t="shared" si="6"/>
        <v/>
      </c>
      <c r="BI111" s="100" t="str">
        <f ca="1">IFERROR(__xludf.DUMMYFUNCTION("IFERROR(VLOOKUP(F125,IMPORTRANGE(""https://docs.google.com/spreadsheets/d/1Kvs4KS76FHFqLFIZfrDMff4kP08nblUkihrxltoGBjg/edit#gid=934712705"",""ESENCIAL!A6:BG""),2,FALSE))"),"")</f>
        <v/>
      </c>
      <c r="BJ111" s="19" t="str">
        <f t="shared" si="7"/>
        <v/>
      </c>
      <c r="BK111" s="100"/>
      <c r="BL111" s="100"/>
    </row>
    <row r="112" spans="1:64" ht="15">
      <c r="A112" s="101"/>
      <c r="B112" s="101"/>
      <c r="G112" s="5" t="str">
        <f ca="1">IFERROR(__xludf.DUMMYFUNCTION("IFERROR(VLOOKUP(F126,IMPORTRANGE(""https://docs.google.com/spreadsheets/d/1Kvs4KS76FHFqLFIZfrDMff4kP08nblUkihrxltoGBjg/edit#gid=934712705"",""ESENCIAL!A6:BG""),3,FALSE))"),"")</f>
        <v/>
      </c>
      <c r="H112" s="5" t="str">
        <f ca="1">IFERROR(__xludf.DUMMYFUNCTION("IFERROR(VLOOKUP(F126,IMPORTRANGE(""https://docs.google.com/spreadsheets/d/1Kvs4KS76FHFqLFIZfrDMff4kP08nblUkihrxltoGBjg/edit#gid=934712705"",""ESENCIAL!A6:BG""),8,FALSE))"),"")</f>
        <v/>
      </c>
      <c r="L112" s="287"/>
      <c r="U112" s="40"/>
      <c r="AU112" s="41" t="str">
        <f t="shared" si="4"/>
        <v/>
      </c>
      <c r="AV112" s="5" t="str">
        <f ca="1">IFERROR(__xludf.DUMMYFUNCTION("IFERROR(VLOOKUP(E126&amp;F126,IMPORTRANGE(""https://docs.google.com/spreadsheets/d/1Uw7-A9f9R21vMXxHZFNpYNeKFtG8_yji4HS352LGlSQ/edit?pli=1#gid=0"",""1_ACUM!A4:S""),11,FALSE))"),"")</f>
        <v/>
      </c>
      <c r="AW112" s="42" t="str">
        <f ca="1">IFERROR(__xludf.DUMMYFUNCTION("IFERROR(VLOOKUP(F126,IMPORTRANGE(""https://docs.google.com/spreadsheets/d/1Kvs4KS76FHFqLFIZfrDMff4kP08nblUkihrxltoGBjg/edit#gid=934712705"",""ESENCIAL!A6:BG""),15,FALSE))"),"")</f>
        <v/>
      </c>
      <c r="AX112" s="21" t="str">
        <f ca="1">IFERROR(__xludf.DUMMYFUNCTION("IFERROR(VLOOKUP(E126&amp;F126,IMPORTRANGE(""https://docs.google.com/spreadsheets/d/1Uw7-A9f9R21vMXxHZFNpYNeKFtG8_yji4HS352LGlSQ/edit?pli=1#gid=0"",""1_ACUM!A4:S""),12,FALSE))"),"")</f>
        <v/>
      </c>
      <c r="AY112" s="43" t="str">
        <f ca="1">IFERROR(__xludf.DUMMYFUNCTION("IFERROR(VLOOKUP(E126&amp;F126,IMPORTRANGE(""https://docs.google.com/spreadsheets/d/1Uw7-A9f9R21vMXxHZFNpYNeKFtG8_yji4HS352LGlSQ/edit?pli=1#gid=0"",""1_ACUM!A4:S""),13,FALSE))"),"")</f>
        <v/>
      </c>
      <c r="AZ112" s="43" t="str">
        <f ca="1">IFERROR(__xludf.DUMMYFUNCTION("IFERROR(VLOOKUP(E126&amp;F126,IMPORTRANGE(""https://docs.google.com/spreadsheets/d/1Uw7-A9f9R21vMXxHZFNpYNeKFtG8_yji4HS352LGlSQ/edit?pli=1#gid=0"",""1_ACUM!A4:S""),14,FALSE))"),"")</f>
        <v/>
      </c>
      <c r="BA112" s="43" t="str">
        <f ca="1">IFERROR(__xludf.DUMMYFUNCTION("IFERROR(VLOOKUP(E126&amp;F126,IMPORTRANGE(""https://docs.google.com/spreadsheets/d/1Uw7-A9f9R21vMXxHZFNpYNeKFtG8_yji4HS352LGlSQ/edit?pli=1#gid=0"",""1_ACUM!A4:S""),15,FALSE))"),"")</f>
        <v/>
      </c>
      <c r="BB112" s="43" t="str">
        <f ca="1">IFERROR(__xludf.DUMMYFUNCTION("IFERROR(VLOOKUP(E126&amp;F126,IMPORTRANGE(""https://docs.google.com/spreadsheets/d/1Uw7-A9f9R21vMXxHZFNpYNeKFtG8_yji4HS352LGlSQ/edit?pli=1#gid=0"",""1_ACUM!A4:S""),16,FALSE))"),"")</f>
        <v/>
      </c>
      <c r="BC112" s="43" t="str">
        <f ca="1">IFERROR(__xludf.DUMMYFUNCTION("IFERROR(VLOOKUP(E126&amp;F126,IMPORTRANGE(""https://docs.google.com/spreadsheets/d/1Uw7-A9f9R21vMXxHZFNpYNeKFtG8_yji4HS352LGlSQ/edit?pli=1#gid=0"",""1_ACUM!A4:S""),17,FALSE))"),"")</f>
        <v/>
      </c>
      <c r="BD112" s="44" t="str">
        <f ca="1">IFERROR(__xludf.DUMMYFUNCTION("IFERROR(VLOOKUP(E126&amp;F126,IMPORTRANGE(""https://docs.google.com/spreadsheets/d/1Uw7-A9f9R21vMXxHZFNpYNeKFtG8_yji4HS352LGlSQ/edit?pli=1#gid=0"",""1_ACUM!A4:S""),18,FALSE))"),"")</f>
        <v/>
      </c>
      <c r="BE112" s="44" t="str">
        <f ca="1">IFERROR(__xludf.DUMMYFUNCTION("IFERROR(VLOOKUP(E126&amp;F126,IMPORTRANGE(""https://docs.google.com/spreadsheets/d/1Uw7-A9f9R21vMXxHZFNpYNeKFtG8_yji4HS352LGlSQ/edit?pli=1#gid=0"",""1_ACUM!A4:S""),19,FALSE))"),"")</f>
        <v/>
      </c>
      <c r="BF112" s="98" t="str">
        <f ca="1">IFERROR(__xludf.DUMMYFUNCTION("IFERROR(VLOOKUP(F126,IMPORTRANGE(""https://docs.google.com/spreadsheets/d/1Kvs4KS76FHFqLFIZfrDMff4kP08nblUkihrxltoGBjg/edit#gid=934712705"",""ESENCIAL!A6:BG""),5,FALSE))"),"")</f>
        <v/>
      </c>
      <c r="BG112" s="98" t="str">
        <f t="shared" si="5"/>
        <v/>
      </c>
      <c r="BH112" s="99" t="str">
        <f t="shared" si="6"/>
        <v/>
      </c>
      <c r="BI112" s="100" t="str">
        <f ca="1">IFERROR(__xludf.DUMMYFUNCTION("IFERROR(VLOOKUP(F126,IMPORTRANGE(""https://docs.google.com/spreadsheets/d/1Kvs4KS76FHFqLFIZfrDMff4kP08nblUkihrxltoGBjg/edit#gid=934712705"",""ESENCIAL!A6:BG""),2,FALSE))"),"")</f>
        <v/>
      </c>
      <c r="BJ112" s="19" t="str">
        <f t="shared" si="7"/>
        <v/>
      </c>
      <c r="BK112" s="100"/>
      <c r="BL112" s="100"/>
    </row>
    <row r="113" spans="1:64" ht="15">
      <c r="A113" s="101"/>
      <c r="B113" s="24"/>
      <c r="G113" s="5" t="str">
        <f ca="1">IFERROR(__xludf.DUMMYFUNCTION("IFERROR(VLOOKUP(F127,IMPORTRANGE(""https://docs.google.com/spreadsheets/d/1Kvs4KS76FHFqLFIZfrDMff4kP08nblUkihrxltoGBjg/edit#gid=934712705"",""ESENCIAL!A6:BG""),3,FALSE))"),"")</f>
        <v/>
      </c>
      <c r="H113" s="5" t="str">
        <f ca="1">IFERROR(__xludf.DUMMYFUNCTION("IFERROR(VLOOKUP(F127,IMPORTRANGE(""https://docs.google.com/spreadsheets/d/1Kvs4KS76FHFqLFIZfrDMff4kP08nblUkihrxltoGBjg/edit#gid=934712705"",""ESENCIAL!A6:BG""),8,FALSE))"),"")</f>
        <v/>
      </c>
      <c r="L113" s="287"/>
      <c r="U113" s="40"/>
      <c r="AU113" s="41" t="str">
        <f t="shared" si="4"/>
        <v/>
      </c>
      <c r="AV113" s="5" t="str">
        <f ca="1">IFERROR(__xludf.DUMMYFUNCTION("IFERROR(VLOOKUP(E127&amp;F127,IMPORTRANGE(""https://docs.google.com/spreadsheets/d/1Uw7-A9f9R21vMXxHZFNpYNeKFtG8_yji4HS352LGlSQ/edit?pli=1#gid=0"",""1_ACUM!A4:S""),11,FALSE))"),"")</f>
        <v/>
      </c>
      <c r="AW113" s="42" t="str">
        <f ca="1">IFERROR(__xludf.DUMMYFUNCTION("IFERROR(VLOOKUP(F127,IMPORTRANGE(""https://docs.google.com/spreadsheets/d/1Kvs4KS76FHFqLFIZfrDMff4kP08nblUkihrxltoGBjg/edit#gid=934712705"",""ESENCIAL!A6:BG""),15,FALSE))"),"")</f>
        <v/>
      </c>
      <c r="AX113" s="21" t="str">
        <f ca="1">IFERROR(__xludf.DUMMYFUNCTION("IFERROR(VLOOKUP(E127&amp;F127,IMPORTRANGE(""https://docs.google.com/spreadsheets/d/1Uw7-A9f9R21vMXxHZFNpYNeKFtG8_yji4HS352LGlSQ/edit?pli=1#gid=0"",""1_ACUM!A4:S""),12,FALSE))"),"")</f>
        <v/>
      </c>
      <c r="AY113" s="43" t="str">
        <f ca="1">IFERROR(__xludf.DUMMYFUNCTION("IFERROR(VLOOKUP(E127&amp;F127,IMPORTRANGE(""https://docs.google.com/spreadsheets/d/1Uw7-A9f9R21vMXxHZFNpYNeKFtG8_yji4HS352LGlSQ/edit?pli=1#gid=0"",""1_ACUM!A4:S""),13,FALSE))"),"")</f>
        <v/>
      </c>
      <c r="AZ113" s="43" t="str">
        <f ca="1">IFERROR(__xludf.DUMMYFUNCTION("IFERROR(VLOOKUP(E127&amp;F127,IMPORTRANGE(""https://docs.google.com/spreadsheets/d/1Uw7-A9f9R21vMXxHZFNpYNeKFtG8_yji4HS352LGlSQ/edit?pli=1#gid=0"",""1_ACUM!A4:S""),14,FALSE))"),"")</f>
        <v/>
      </c>
      <c r="BA113" s="43" t="str">
        <f ca="1">IFERROR(__xludf.DUMMYFUNCTION("IFERROR(VLOOKUP(E127&amp;F127,IMPORTRANGE(""https://docs.google.com/spreadsheets/d/1Uw7-A9f9R21vMXxHZFNpYNeKFtG8_yji4HS352LGlSQ/edit?pli=1#gid=0"",""1_ACUM!A4:S""),15,FALSE))"),"")</f>
        <v/>
      </c>
      <c r="BB113" s="43" t="str">
        <f ca="1">IFERROR(__xludf.DUMMYFUNCTION("IFERROR(VLOOKUP(E127&amp;F127,IMPORTRANGE(""https://docs.google.com/spreadsheets/d/1Uw7-A9f9R21vMXxHZFNpYNeKFtG8_yji4HS352LGlSQ/edit?pli=1#gid=0"",""1_ACUM!A4:S""),16,FALSE))"),"")</f>
        <v/>
      </c>
      <c r="BC113" s="43" t="str">
        <f ca="1">IFERROR(__xludf.DUMMYFUNCTION("IFERROR(VLOOKUP(E127&amp;F127,IMPORTRANGE(""https://docs.google.com/spreadsheets/d/1Uw7-A9f9R21vMXxHZFNpYNeKFtG8_yji4HS352LGlSQ/edit?pli=1#gid=0"",""1_ACUM!A4:S""),17,FALSE))"),"")</f>
        <v/>
      </c>
      <c r="BD113" s="44" t="str">
        <f ca="1">IFERROR(__xludf.DUMMYFUNCTION("IFERROR(VLOOKUP(E127&amp;F127,IMPORTRANGE(""https://docs.google.com/spreadsheets/d/1Uw7-A9f9R21vMXxHZFNpYNeKFtG8_yji4HS352LGlSQ/edit?pli=1#gid=0"",""1_ACUM!A4:S""),18,FALSE))"),"")</f>
        <v/>
      </c>
      <c r="BE113" s="44" t="str">
        <f ca="1">IFERROR(__xludf.DUMMYFUNCTION("IFERROR(VLOOKUP(E127&amp;F127,IMPORTRANGE(""https://docs.google.com/spreadsheets/d/1Uw7-A9f9R21vMXxHZFNpYNeKFtG8_yji4HS352LGlSQ/edit?pli=1#gid=0"",""1_ACUM!A4:S""),19,FALSE))"),"")</f>
        <v/>
      </c>
      <c r="BF113" s="98" t="str">
        <f ca="1">IFERROR(__xludf.DUMMYFUNCTION("IFERROR(VLOOKUP(F127,IMPORTRANGE(""https://docs.google.com/spreadsheets/d/1Kvs4KS76FHFqLFIZfrDMff4kP08nblUkihrxltoGBjg/edit#gid=934712705"",""ESENCIAL!A6:BG""),5,FALSE))"),"")</f>
        <v/>
      </c>
      <c r="BG113" s="98" t="str">
        <f t="shared" si="5"/>
        <v/>
      </c>
      <c r="BH113" s="99" t="str">
        <f t="shared" si="6"/>
        <v/>
      </c>
      <c r="BI113" s="100" t="str">
        <f ca="1">IFERROR(__xludf.DUMMYFUNCTION("IFERROR(VLOOKUP(F127,IMPORTRANGE(""https://docs.google.com/spreadsheets/d/1Kvs4KS76FHFqLFIZfrDMff4kP08nblUkihrxltoGBjg/edit#gid=934712705"",""ESENCIAL!A6:BG""),2,FALSE))"),"")</f>
        <v/>
      </c>
      <c r="BJ113" s="19" t="str">
        <f t="shared" si="7"/>
        <v/>
      </c>
      <c r="BK113" s="100"/>
      <c r="BL113" s="100"/>
    </row>
    <row r="114" spans="1:64" ht="15">
      <c r="A114" s="101"/>
      <c r="B114" s="111"/>
      <c r="G114" s="5" t="str">
        <f ca="1">IFERROR(__xludf.DUMMYFUNCTION("IFERROR(VLOOKUP(F128,IMPORTRANGE(""https://docs.google.com/spreadsheets/d/1Kvs4KS76FHFqLFIZfrDMff4kP08nblUkihrxltoGBjg/edit#gid=934712705"",""ESENCIAL!A6:BG""),3,FALSE))"),"")</f>
        <v/>
      </c>
      <c r="H114" s="5" t="str">
        <f ca="1">IFERROR(__xludf.DUMMYFUNCTION("IFERROR(VLOOKUP(F128,IMPORTRANGE(""https://docs.google.com/spreadsheets/d/1Kvs4KS76FHFqLFIZfrDMff4kP08nblUkihrxltoGBjg/edit#gid=934712705"",""ESENCIAL!A6:BG""),8,FALSE))"),"")</f>
        <v/>
      </c>
      <c r="L114" s="287"/>
      <c r="U114" s="40"/>
      <c r="AU114" s="41" t="str">
        <f t="shared" si="4"/>
        <v/>
      </c>
      <c r="AV114" s="5" t="str">
        <f ca="1">IFERROR(__xludf.DUMMYFUNCTION("IFERROR(VLOOKUP(E128&amp;F128,IMPORTRANGE(""https://docs.google.com/spreadsheets/d/1Uw7-A9f9R21vMXxHZFNpYNeKFtG8_yji4HS352LGlSQ/edit?pli=1#gid=0"",""1_ACUM!A4:S""),11,FALSE))"),"")</f>
        <v/>
      </c>
      <c r="AW114" s="42" t="str">
        <f ca="1">IFERROR(__xludf.DUMMYFUNCTION("IFERROR(VLOOKUP(F128,IMPORTRANGE(""https://docs.google.com/spreadsheets/d/1Kvs4KS76FHFqLFIZfrDMff4kP08nblUkihrxltoGBjg/edit#gid=934712705"",""ESENCIAL!A6:BG""),15,FALSE))"),"")</f>
        <v/>
      </c>
      <c r="AX114" s="21" t="str">
        <f ca="1">IFERROR(__xludf.DUMMYFUNCTION("IFERROR(VLOOKUP(E128&amp;F128,IMPORTRANGE(""https://docs.google.com/spreadsheets/d/1Uw7-A9f9R21vMXxHZFNpYNeKFtG8_yji4HS352LGlSQ/edit?pli=1#gid=0"",""1_ACUM!A4:S""),12,FALSE))"),"")</f>
        <v/>
      </c>
      <c r="AY114" s="43" t="str">
        <f ca="1">IFERROR(__xludf.DUMMYFUNCTION("IFERROR(VLOOKUP(E128&amp;F128,IMPORTRANGE(""https://docs.google.com/spreadsheets/d/1Uw7-A9f9R21vMXxHZFNpYNeKFtG8_yji4HS352LGlSQ/edit?pli=1#gid=0"",""1_ACUM!A4:S""),13,FALSE))"),"")</f>
        <v/>
      </c>
      <c r="AZ114" s="43" t="str">
        <f ca="1">IFERROR(__xludf.DUMMYFUNCTION("IFERROR(VLOOKUP(E128&amp;F128,IMPORTRANGE(""https://docs.google.com/spreadsheets/d/1Uw7-A9f9R21vMXxHZFNpYNeKFtG8_yji4HS352LGlSQ/edit?pli=1#gid=0"",""1_ACUM!A4:S""),14,FALSE))"),"")</f>
        <v/>
      </c>
      <c r="BA114" s="43" t="str">
        <f ca="1">IFERROR(__xludf.DUMMYFUNCTION("IFERROR(VLOOKUP(E128&amp;F128,IMPORTRANGE(""https://docs.google.com/spreadsheets/d/1Uw7-A9f9R21vMXxHZFNpYNeKFtG8_yji4HS352LGlSQ/edit?pli=1#gid=0"",""1_ACUM!A4:S""),15,FALSE))"),"")</f>
        <v/>
      </c>
      <c r="BB114" s="43" t="str">
        <f ca="1">IFERROR(__xludf.DUMMYFUNCTION("IFERROR(VLOOKUP(E128&amp;F128,IMPORTRANGE(""https://docs.google.com/spreadsheets/d/1Uw7-A9f9R21vMXxHZFNpYNeKFtG8_yji4HS352LGlSQ/edit?pli=1#gid=0"",""1_ACUM!A4:S""),16,FALSE))"),"")</f>
        <v/>
      </c>
      <c r="BC114" s="43" t="str">
        <f ca="1">IFERROR(__xludf.DUMMYFUNCTION("IFERROR(VLOOKUP(E128&amp;F128,IMPORTRANGE(""https://docs.google.com/spreadsheets/d/1Uw7-A9f9R21vMXxHZFNpYNeKFtG8_yji4HS352LGlSQ/edit?pli=1#gid=0"",""1_ACUM!A4:S""),17,FALSE))"),"")</f>
        <v/>
      </c>
      <c r="BD114" s="44" t="str">
        <f ca="1">IFERROR(__xludf.DUMMYFUNCTION("IFERROR(VLOOKUP(E128&amp;F128,IMPORTRANGE(""https://docs.google.com/spreadsheets/d/1Uw7-A9f9R21vMXxHZFNpYNeKFtG8_yji4HS352LGlSQ/edit?pli=1#gid=0"",""1_ACUM!A4:S""),18,FALSE))"),"")</f>
        <v/>
      </c>
      <c r="BE114" s="44" t="str">
        <f ca="1">IFERROR(__xludf.DUMMYFUNCTION("IFERROR(VLOOKUP(E128&amp;F128,IMPORTRANGE(""https://docs.google.com/spreadsheets/d/1Uw7-A9f9R21vMXxHZFNpYNeKFtG8_yji4HS352LGlSQ/edit?pli=1#gid=0"",""1_ACUM!A4:S""),19,FALSE))"),"")</f>
        <v/>
      </c>
      <c r="BF114" s="98" t="str">
        <f ca="1">IFERROR(__xludf.DUMMYFUNCTION("IFERROR(VLOOKUP(F128,IMPORTRANGE(""https://docs.google.com/spreadsheets/d/1Kvs4KS76FHFqLFIZfrDMff4kP08nblUkihrxltoGBjg/edit#gid=934712705"",""ESENCIAL!A6:BG""),5,FALSE))"),"")</f>
        <v/>
      </c>
      <c r="BG114" s="98" t="str">
        <f t="shared" si="5"/>
        <v/>
      </c>
      <c r="BH114" s="99" t="str">
        <f t="shared" si="6"/>
        <v/>
      </c>
      <c r="BI114" s="100" t="str">
        <f ca="1">IFERROR(__xludf.DUMMYFUNCTION("IFERROR(VLOOKUP(F128,IMPORTRANGE(""https://docs.google.com/spreadsheets/d/1Kvs4KS76FHFqLFIZfrDMff4kP08nblUkihrxltoGBjg/edit#gid=934712705"",""ESENCIAL!A6:BG""),2,FALSE))"),"")</f>
        <v/>
      </c>
      <c r="BJ114" s="19" t="str">
        <f t="shared" si="7"/>
        <v/>
      </c>
      <c r="BK114" s="100"/>
      <c r="BL114" s="100"/>
    </row>
    <row r="115" spans="1:64" ht="15">
      <c r="A115" s="101"/>
      <c r="B115" s="101"/>
      <c r="G115" s="5" t="str">
        <f ca="1">IFERROR(__xludf.DUMMYFUNCTION("IFERROR(VLOOKUP(F129,IMPORTRANGE(""https://docs.google.com/spreadsheets/d/1Kvs4KS76FHFqLFIZfrDMff4kP08nblUkihrxltoGBjg/edit#gid=934712705"",""ESENCIAL!A6:BG""),3,FALSE))"),"")</f>
        <v/>
      </c>
      <c r="H115" s="5" t="str">
        <f ca="1">IFERROR(__xludf.DUMMYFUNCTION("IFERROR(VLOOKUP(F129,IMPORTRANGE(""https://docs.google.com/spreadsheets/d/1Kvs4KS76FHFqLFIZfrDMff4kP08nblUkihrxltoGBjg/edit#gid=934712705"",""ESENCIAL!A6:BG""),8,FALSE))"),"")</f>
        <v/>
      </c>
      <c r="L115" s="287"/>
      <c r="U115" s="40"/>
      <c r="AU115" s="41" t="str">
        <f t="shared" si="4"/>
        <v/>
      </c>
      <c r="AV115" s="5" t="str">
        <f ca="1">IFERROR(__xludf.DUMMYFUNCTION("IFERROR(VLOOKUP(E129&amp;F129,IMPORTRANGE(""https://docs.google.com/spreadsheets/d/1Uw7-A9f9R21vMXxHZFNpYNeKFtG8_yji4HS352LGlSQ/edit?pli=1#gid=0"",""1_ACUM!A4:S""),11,FALSE))"),"")</f>
        <v/>
      </c>
      <c r="AW115" s="42" t="str">
        <f ca="1">IFERROR(__xludf.DUMMYFUNCTION("IFERROR(VLOOKUP(F129,IMPORTRANGE(""https://docs.google.com/spreadsheets/d/1Kvs4KS76FHFqLFIZfrDMff4kP08nblUkihrxltoGBjg/edit#gid=934712705"",""ESENCIAL!A6:BG""),15,FALSE))"),"")</f>
        <v/>
      </c>
      <c r="AX115" s="21" t="str">
        <f ca="1">IFERROR(__xludf.DUMMYFUNCTION("IFERROR(VLOOKUP(E129&amp;F129,IMPORTRANGE(""https://docs.google.com/spreadsheets/d/1Uw7-A9f9R21vMXxHZFNpYNeKFtG8_yji4HS352LGlSQ/edit?pli=1#gid=0"",""1_ACUM!A4:S""),12,FALSE))"),"")</f>
        <v/>
      </c>
      <c r="AY115" s="43" t="str">
        <f ca="1">IFERROR(__xludf.DUMMYFUNCTION("IFERROR(VLOOKUP(E129&amp;F129,IMPORTRANGE(""https://docs.google.com/spreadsheets/d/1Uw7-A9f9R21vMXxHZFNpYNeKFtG8_yji4HS352LGlSQ/edit?pli=1#gid=0"",""1_ACUM!A4:S""),13,FALSE))"),"")</f>
        <v/>
      </c>
      <c r="AZ115" s="43" t="str">
        <f ca="1">IFERROR(__xludf.DUMMYFUNCTION("IFERROR(VLOOKUP(E129&amp;F129,IMPORTRANGE(""https://docs.google.com/spreadsheets/d/1Uw7-A9f9R21vMXxHZFNpYNeKFtG8_yji4HS352LGlSQ/edit?pli=1#gid=0"",""1_ACUM!A4:S""),14,FALSE))"),"")</f>
        <v/>
      </c>
      <c r="BA115" s="43" t="str">
        <f ca="1">IFERROR(__xludf.DUMMYFUNCTION("IFERROR(VLOOKUP(E129&amp;F129,IMPORTRANGE(""https://docs.google.com/spreadsheets/d/1Uw7-A9f9R21vMXxHZFNpYNeKFtG8_yji4HS352LGlSQ/edit?pli=1#gid=0"",""1_ACUM!A4:S""),15,FALSE))"),"")</f>
        <v/>
      </c>
      <c r="BB115" s="43" t="str">
        <f ca="1">IFERROR(__xludf.DUMMYFUNCTION("IFERROR(VLOOKUP(E129&amp;F129,IMPORTRANGE(""https://docs.google.com/spreadsheets/d/1Uw7-A9f9R21vMXxHZFNpYNeKFtG8_yji4HS352LGlSQ/edit?pli=1#gid=0"",""1_ACUM!A4:S""),16,FALSE))"),"")</f>
        <v/>
      </c>
      <c r="BC115" s="43" t="str">
        <f ca="1">IFERROR(__xludf.DUMMYFUNCTION("IFERROR(VLOOKUP(E129&amp;F129,IMPORTRANGE(""https://docs.google.com/spreadsheets/d/1Uw7-A9f9R21vMXxHZFNpYNeKFtG8_yji4HS352LGlSQ/edit?pli=1#gid=0"",""1_ACUM!A4:S""),17,FALSE))"),"")</f>
        <v/>
      </c>
      <c r="BD115" s="44" t="str">
        <f ca="1">IFERROR(__xludf.DUMMYFUNCTION("IFERROR(VLOOKUP(E129&amp;F129,IMPORTRANGE(""https://docs.google.com/spreadsheets/d/1Uw7-A9f9R21vMXxHZFNpYNeKFtG8_yji4HS352LGlSQ/edit?pli=1#gid=0"",""1_ACUM!A4:S""),18,FALSE))"),"")</f>
        <v/>
      </c>
      <c r="BE115" s="44" t="str">
        <f ca="1">IFERROR(__xludf.DUMMYFUNCTION("IFERROR(VLOOKUP(E129&amp;F129,IMPORTRANGE(""https://docs.google.com/spreadsheets/d/1Uw7-A9f9R21vMXxHZFNpYNeKFtG8_yji4HS352LGlSQ/edit?pli=1#gid=0"",""1_ACUM!A4:S""),19,FALSE))"),"")</f>
        <v/>
      </c>
      <c r="BF115" s="98" t="str">
        <f ca="1">IFERROR(__xludf.DUMMYFUNCTION("IFERROR(VLOOKUP(F129,IMPORTRANGE(""https://docs.google.com/spreadsheets/d/1Kvs4KS76FHFqLFIZfrDMff4kP08nblUkihrxltoGBjg/edit#gid=934712705"",""ESENCIAL!A6:BG""),5,FALSE))"),"")</f>
        <v/>
      </c>
      <c r="BG115" s="98" t="str">
        <f t="shared" si="5"/>
        <v/>
      </c>
      <c r="BH115" s="99" t="str">
        <f t="shared" si="6"/>
        <v/>
      </c>
      <c r="BI115" s="100" t="str">
        <f ca="1">IFERROR(__xludf.DUMMYFUNCTION("IFERROR(VLOOKUP(F129,IMPORTRANGE(""https://docs.google.com/spreadsheets/d/1Kvs4KS76FHFqLFIZfrDMff4kP08nblUkihrxltoGBjg/edit#gid=934712705"",""ESENCIAL!A6:BG""),2,FALSE))"),"")</f>
        <v/>
      </c>
      <c r="BJ115" s="19" t="str">
        <f t="shared" si="7"/>
        <v/>
      </c>
      <c r="BK115" s="100"/>
      <c r="BL115" s="100"/>
    </row>
    <row r="116" spans="1:64" ht="15">
      <c r="A116" s="101"/>
      <c r="B116" s="101"/>
      <c r="G116" s="5" t="str">
        <f ca="1">IFERROR(__xludf.DUMMYFUNCTION("IFERROR(VLOOKUP(F130,IMPORTRANGE(""https://docs.google.com/spreadsheets/d/1Kvs4KS76FHFqLFIZfrDMff4kP08nblUkihrxltoGBjg/edit#gid=934712705"",""ESENCIAL!A6:BG""),3,FALSE))"),"")</f>
        <v/>
      </c>
      <c r="H116" s="5" t="str">
        <f ca="1">IFERROR(__xludf.DUMMYFUNCTION("IFERROR(VLOOKUP(F130,IMPORTRANGE(""https://docs.google.com/spreadsheets/d/1Kvs4KS76FHFqLFIZfrDMff4kP08nblUkihrxltoGBjg/edit#gid=934712705"",""ESENCIAL!A6:BG""),8,FALSE))"),"")</f>
        <v/>
      </c>
      <c r="L116" s="287"/>
      <c r="U116" s="40"/>
      <c r="AU116" s="41" t="str">
        <f t="shared" si="4"/>
        <v/>
      </c>
      <c r="AV116" s="5" t="str">
        <f ca="1">IFERROR(__xludf.DUMMYFUNCTION("IFERROR(VLOOKUP(E130&amp;F130,IMPORTRANGE(""https://docs.google.com/spreadsheets/d/1Uw7-A9f9R21vMXxHZFNpYNeKFtG8_yji4HS352LGlSQ/edit?pli=1#gid=0"",""1_ACUM!A4:S""),11,FALSE))"),"")</f>
        <v/>
      </c>
      <c r="AW116" s="42" t="str">
        <f ca="1">IFERROR(__xludf.DUMMYFUNCTION("IFERROR(VLOOKUP(F130,IMPORTRANGE(""https://docs.google.com/spreadsheets/d/1Kvs4KS76FHFqLFIZfrDMff4kP08nblUkihrxltoGBjg/edit#gid=934712705"",""ESENCIAL!A6:BG""),15,FALSE))"),"")</f>
        <v/>
      </c>
      <c r="AX116" s="21" t="str">
        <f ca="1">IFERROR(__xludf.DUMMYFUNCTION("IFERROR(VLOOKUP(E130&amp;F130,IMPORTRANGE(""https://docs.google.com/spreadsheets/d/1Uw7-A9f9R21vMXxHZFNpYNeKFtG8_yji4HS352LGlSQ/edit?pli=1#gid=0"",""1_ACUM!A4:S""),12,FALSE))"),"")</f>
        <v/>
      </c>
      <c r="AY116" s="43" t="str">
        <f ca="1">IFERROR(__xludf.DUMMYFUNCTION("IFERROR(VLOOKUP(E130&amp;F130,IMPORTRANGE(""https://docs.google.com/spreadsheets/d/1Uw7-A9f9R21vMXxHZFNpYNeKFtG8_yji4HS352LGlSQ/edit?pli=1#gid=0"",""1_ACUM!A4:S""),13,FALSE))"),"")</f>
        <v/>
      </c>
      <c r="AZ116" s="43" t="str">
        <f ca="1">IFERROR(__xludf.DUMMYFUNCTION("IFERROR(VLOOKUP(E130&amp;F130,IMPORTRANGE(""https://docs.google.com/spreadsheets/d/1Uw7-A9f9R21vMXxHZFNpYNeKFtG8_yji4HS352LGlSQ/edit?pli=1#gid=0"",""1_ACUM!A4:S""),14,FALSE))"),"")</f>
        <v/>
      </c>
      <c r="BA116" s="43" t="str">
        <f ca="1">IFERROR(__xludf.DUMMYFUNCTION("IFERROR(VLOOKUP(E130&amp;F130,IMPORTRANGE(""https://docs.google.com/spreadsheets/d/1Uw7-A9f9R21vMXxHZFNpYNeKFtG8_yji4HS352LGlSQ/edit?pli=1#gid=0"",""1_ACUM!A4:S""),15,FALSE))"),"")</f>
        <v/>
      </c>
      <c r="BB116" s="43" t="str">
        <f ca="1">IFERROR(__xludf.DUMMYFUNCTION("IFERROR(VLOOKUP(E130&amp;F130,IMPORTRANGE(""https://docs.google.com/spreadsheets/d/1Uw7-A9f9R21vMXxHZFNpYNeKFtG8_yji4HS352LGlSQ/edit?pli=1#gid=0"",""1_ACUM!A4:S""),16,FALSE))"),"")</f>
        <v/>
      </c>
      <c r="BC116" s="43" t="str">
        <f ca="1">IFERROR(__xludf.DUMMYFUNCTION("IFERROR(VLOOKUP(E130&amp;F130,IMPORTRANGE(""https://docs.google.com/spreadsheets/d/1Uw7-A9f9R21vMXxHZFNpYNeKFtG8_yji4HS352LGlSQ/edit?pli=1#gid=0"",""1_ACUM!A4:S""),17,FALSE))"),"")</f>
        <v/>
      </c>
      <c r="BD116" s="44" t="str">
        <f ca="1">IFERROR(__xludf.DUMMYFUNCTION("IFERROR(VLOOKUP(E130&amp;F130,IMPORTRANGE(""https://docs.google.com/spreadsheets/d/1Uw7-A9f9R21vMXxHZFNpYNeKFtG8_yji4HS352LGlSQ/edit?pli=1#gid=0"",""1_ACUM!A4:S""),18,FALSE))"),"")</f>
        <v/>
      </c>
      <c r="BE116" s="44" t="str">
        <f ca="1">IFERROR(__xludf.DUMMYFUNCTION("IFERROR(VLOOKUP(E130&amp;F130,IMPORTRANGE(""https://docs.google.com/spreadsheets/d/1Uw7-A9f9R21vMXxHZFNpYNeKFtG8_yji4HS352LGlSQ/edit?pli=1#gid=0"",""1_ACUM!A4:S""),19,FALSE))"),"")</f>
        <v/>
      </c>
      <c r="BF116" s="98" t="str">
        <f ca="1">IFERROR(__xludf.DUMMYFUNCTION("IFERROR(VLOOKUP(F130,IMPORTRANGE(""https://docs.google.com/spreadsheets/d/1Kvs4KS76FHFqLFIZfrDMff4kP08nblUkihrxltoGBjg/edit#gid=934712705"",""ESENCIAL!A6:BG""),5,FALSE))"),"")</f>
        <v/>
      </c>
      <c r="BG116" s="98" t="str">
        <f t="shared" si="5"/>
        <v/>
      </c>
      <c r="BH116" s="99" t="str">
        <f t="shared" si="6"/>
        <v/>
      </c>
      <c r="BI116" s="100" t="str">
        <f ca="1">IFERROR(__xludf.DUMMYFUNCTION("IFERROR(VLOOKUP(F130,IMPORTRANGE(""https://docs.google.com/spreadsheets/d/1Kvs4KS76FHFqLFIZfrDMff4kP08nblUkihrxltoGBjg/edit#gid=934712705"",""ESENCIAL!A6:BG""),2,FALSE))"),"")</f>
        <v/>
      </c>
      <c r="BJ116" s="19" t="str">
        <f t="shared" si="7"/>
        <v/>
      </c>
      <c r="BK116" s="100"/>
      <c r="BL116" s="100"/>
    </row>
    <row r="117" spans="1:64" ht="15">
      <c r="A117" s="101"/>
      <c r="B117" s="101"/>
      <c r="G117" s="5" t="str">
        <f ca="1">IFERROR(__xludf.DUMMYFUNCTION("IFERROR(VLOOKUP(F131,IMPORTRANGE(""https://docs.google.com/spreadsheets/d/1Kvs4KS76FHFqLFIZfrDMff4kP08nblUkihrxltoGBjg/edit#gid=934712705"",""ESENCIAL!A6:BG""),3,FALSE))"),"")</f>
        <v/>
      </c>
      <c r="H117" s="5" t="str">
        <f ca="1">IFERROR(__xludf.DUMMYFUNCTION("IFERROR(VLOOKUP(F131,IMPORTRANGE(""https://docs.google.com/spreadsheets/d/1Kvs4KS76FHFqLFIZfrDMff4kP08nblUkihrxltoGBjg/edit#gid=934712705"",""ESENCIAL!A6:BG""),8,FALSE))"),"")</f>
        <v/>
      </c>
      <c r="L117" s="287"/>
      <c r="U117" s="40"/>
      <c r="AU117" s="41" t="str">
        <f t="shared" si="4"/>
        <v/>
      </c>
      <c r="AV117" s="5" t="str">
        <f ca="1">IFERROR(__xludf.DUMMYFUNCTION("IFERROR(VLOOKUP(E131&amp;F131,IMPORTRANGE(""https://docs.google.com/spreadsheets/d/1Uw7-A9f9R21vMXxHZFNpYNeKFtG8_yji4HS352LGlSQ/edit?pli=1#gid=0"",""1_ACUM!A4:S""),11,FALSE))"),"")</f>
        <v/>
      </c>
      <c r="AW117" s="42" t="str">
        <f ca="1">IFERROR(__xludf.DUMMYFUNCTION("IFERROR(VLOOKUP(F131,IMPORTRANGE(""https://docs.google.com/spreadsheets/d/1Kvs4KS76FHFqLFIZfrDMff4kP08nblUkihrxltoGBjg/edit#gid=934712705"",""ESENCIAL!A6:BG""),15,FALSE))"),"")</f>
        <v/>
      </c>
      <c r="AX117" s="21" t="str">
        <f ca="1">IFERROR(__xludf.DUMMYFUNCTION("IFERROR(VLOOKUP(E131&amp;F131,IMPORTRANGE(""https://docs.google.com/spreadsheets/d/1Uw7-A9f9R21vMXxHZFNpYNeKFtG8_yji4HS352LGlSQ/edit?pli=1#gid=0"",""1_ACUM!A4:S""),12,FALSE))"),"")</f>
        <v/>
      </c>
      <c r="AY117" s="43" t="str">
        <f ca="1">IFERROR(__xludf.DUMMYFUNCTION("IFERROR(VLOOKUP(E131&amp;F131,IMPORTRANGE(""https://docs.google.com/spreadsheets/d/1Uw7-A9f9R21vMXxHZFNpYNeKFtG8_yji4HS352LGlSQ/edit?pli=1#gid=0"",""1_ACUM!A4:S""),13,FALSE))"),"")</f>
        <v/>
      </c>
      <c r="AZ117" s="43" t="str">
        <f ca="1">IFERROR(__xludf.DUMMYFUNCTION("IFERROR(VLOOKUP(E131&amp;F131,IMPORTRANGE(""https://docs.google.com/spreadsheets/d/1Uw7-A9f9R21vMXxHZFNpYNeKFtG8_yji4HS352LGlSQ/edit?pli=1#gid=0"",""1_ACUM!A4:S""),14,FALSE))"),"")</f>
        <v/>
      </c>
      <c r="BA117" s="43" t="str">
        <f ca="1">IFERROR(__xludf.DUMMYFUNCTION("IFERROR(VLOOKUP(E131&amp;F131,IMPORTRANGE(""https://docs.google.com/spreadsheets/d/1Uw7-A9f9R21vMXxHZFNpYNeKFtG8_yji4HS352LGlSQ/edit?pli=1#gid=0"",""1_ACUM!A4:S""),15,FALSE))"),"")</f>
        <v/>
      </c>
      <c r="BB117" s="43" t="str">
        <f ca="1">IFERROR(__xludf.DUMMYFUNCTION("IFERROR(VLOOKUP(E131&amp;F131,IMPORTRANGE(""https://docs.google.com/spreadsheets/d/1Uw7-A9f9R21vMXxHZFNpYNeKFtG8_yji4HS352LGlSQ/edit?pli=1#gid=0"",""1_ACUM!A4:S""),16,FALSE))"),"")</f>
        <v/>
      </c>
      <c r="BC117" s="43" t="str">
        <f ca="1">IFERROR(__xludf.DUMMYFUNCTION("IFERROR(VLOOKUP(E131&amp;F131,IMPORTRANGE(""https://docs.google.com/spreadsheets/d/1Uw7-A9f9R21vMXxHZFNpYNeKFtG8_yji4HS352LGlSQ/edit?pli=1#gid=0"",""1_ACUM!A4:S""),17,FALSE))"),"")</f>
        <v/>
      </c>
      <c r="BD117" s="44" t="str">
        <f ca="1">IFERROR(__xludf.DUMMYFUNCTION("IFERROR(VLOOKUP(E131&amp;F131,IMPORTRANGE(""https://docs.google.com/spreadsheets/d/1Uw7-A9f9R21vMXxHZFNpYNeKFtG8_yji4HS352LGlSQ/edit?pli=1#gid=0"",""1_ACUM!A4:S""),18,FALSE))"),"")</f>
        <v/>
      </c>
      <c r="BE117" s="44" t="str">
        <f ca="1">IFERROR(__xludf.DUMMYFUNCTION("IFERROR(VLOOKUP(E131&amp;F131,IMPORTRANGE(""https://docs.google.com/spreadsheets/d/1Uw7-A9f9R21vMXxHZFNpYNeKFtG8_yji4HS352LGlSQ/edit?pli=1#gid=0"",""1_ACUM!A4:S""),19,FALSE))"),"")</f>
        <v/>
      </c>
      <c r="BF117" s="98" t="str">
        <f ca="1">IFERROR(__xludf.DUMMYFUNCTION("IFERROR(VLOOKUP(F131,IMPORTRANGE(""https://docs.google.com/spreadsheets/d/1Kvs4KS76FHFqLFIZfrDMff4kP08nblUkihrxltoGBjg/edit#gid=934712705"",""ESENCIAL!A6:BG""),5,FALSE))"),"")</f>
        <v/>
      </c>
      <c r="BG117" s="98" t="str">
        <f t="shared" si="5"/>
        <v/>
      </c>
      <c r="BH117" s="99" t="str">
        <f t="shared" si="6"/>
        <v/>
      </c>
      <c r="BI117" s="100" t="str">
        <f ca="1">IFERROR(__xludf.DUMMYFUNCTION("IFERROR(VLOOKUP(F131,IMPORTRANGE(""https://docs.google.com/spreadsheets/d/1Kvs4KS76FHFqLFIZfrDMff4kP08nblUkihrxltoGBjg/edit#gid=934712705"",""ESENCIAL!A6:BG""),2,FALSE))"),"")</f>
        <v/>
      </c>
      <c r="BJ117" s="19" t="str">
        <f t="shared" si="7"/>
        <v/>
      </c>
      <c r="BK117" s="100"/>
      <c r="BL117" s="100"/>
    </row>
    <row r="118" spans="1:64" ht="15">
      <c r="A118" s="103"/>
      <c r="B118" s="101"/>
      <c r="G118" s="5" t="str">
        <f ca="1">IFERROR(__xludf.DUMMYFUNCTION("IFERROR(VLOOKUP(F132,IMPORTRANGE(""https://docs.google.com/spreadsheets/d/1Kvs4KS76FHFqLFIZfrDMff4kP08nblUkihrxltoGBjg/edit#gid=934712705"",""ESENCIAL!A6:BG""),3,FALSE))"),"")</f>
        <v/>
      </c>
      <c r="H118" s="5" t="str">
        <f ca="1">IFERROR(__xludf.DUMMYFUNCTION("IFERROR(VLOOKUP(F132,IMPORTRANGE(""https://docs.google.com/spreadsheets/d/1Kvs4KS76FHFqLFIZfrDMff4kP08nblUkihrxltoGBjg/edit#gid=934712705"",""ESENCIAL!A6:BG""),8,FALSE))"),"")</f>
        <v/>
      </c>
      <c r="L118" s="287"/>
      <c r="U118" s="40"/>
      <c r="AU118" s="41" t="str">
        <f t="shared" si="4"/>
        <v/>
      </c>
      <c r="AV118" s="5" t="str">
        <f ca="1">IFERROR(__xludf.DUMMYFUNCTION("IFERROR(VLOOKUP(E132&amp;F132,IMPORTRANGE(""https://docs.google.com/spreadsheets/d/1Uw7-A9f9R21vMXxHZFNpYNeKFtG8_yji4HS352LGlSQ/edit?pli=1#gid=0"",""1_ACUM!A4:S""),11,FALSE))"),"")</f>
        <v/>
      </c>
      <c r="AW118" s="42" t="str">
        <f ca="1">IFERROR(__xludf.DUMMYFUNCTION("IFERROR(VLOOKUP(F132,IMPORTRANGE(""https://docs.google.com/spreadsheets/d/1Kvs4KS76FHFqLFIZfrDMff4kP08nblUkihrxltoGBjg/edit#gid=934712705"",""ESENCIAL!A6:BG""),15,FALSE))"),"")</f>
        <v/>
      </c>
      <c r="AX118" s="21" t="str">
        <f ca="1">IFERROR(__xludf.DUMMYFUNCTION("IFERROR(VLOOKUP(E132&amp;F132,IMPORTRANGE(""https://docs.google.com/spreadsheets/d/1Uw7-A9f9R21vMXxHZFNpYNeKFtG8_yji4HS352LGlSQ/edit?pli=1#gid=0"",""1_ACUM!A4:S""),12,FALSE))"),"")</f>
        <v/>
      </c>
      <c r="AY118" s="43" t="str">
        <f ca="1">IFERROR(__xludf.DUMMYFUNCTION("IFERROR(VLOOKUP(E132&amp;F132,IMPORTRANGE(""https://docs.google.com/spreadsheets/d/1Uw7-A9f9R21vMXxHZFNpYNeKFtG8_yji4HS352LGlSQ/edit?pli=1#gid=0"",""1_ACUM!A4:S""),13,FALSE))"),"")</f>
        <v/>
      </c>
      <c r="AZ118" s="43" t="str">
        <f ca="1">IFERROR(__xludf.DUMMYFUNCTION("IFERROR(VLOOKUP(E132&amp;F132,IMPORTRANGE(""https://docs.google.com/spreadsheets/d/1Uw7-A9f9R21vMXxHZFNpYNeKFtG8_yji4HS352LGlSQ/edit?pli=1#gid=0"",""1_ACUM!A4:S""),14,FALSE))"),"")</f>
        <v/>
      </c>
      <c r="BA118" s="43" t="str">
        <f ca="1">IFERROR(__xludf.DUMMYFUNCTION("IFERROR(VLOOKUP(E132&amp;F132,IMPORTRANGE(""https://docs.google.com/spreadsheets/d/1Uw7-A9f9R21vMXxHZFNpYNeKFtG8_yji4HS352LGlSQ/edit?pli=1#gid=0"",""1_ACUM!A4:S""),15,FALSE))"),"")</f>
        <v/>
      </c>
      <c r="BB118" s="43" t="str">
        <f ca="1">IFERROR(__xludf.DUMMYFUNCTION("IFERROR(VLOOKUP(E132&amp;F132,IMPORTRANGE(""https://docs.google.com/spreadsheets/d/1Uw7-A9f9R21vMXxHZFNpYNeKFtG8_yji4HS352LGlSQ/edit?pli=1#gid=0"",""1_ACUM!A4:S""),16,FALSE))"),"")</f>
        <v/>
      </c>
      <c r="BC118" s="43" t="str">
        <f ca="1">IFERROR(__xludf.DUMMYFUNCTION("IFERROR(VLOOKUP(E132&amp;F132,IMPORTRANGE(""https://docs.google.com/spreadsheets/d/1Uw7-A9f9R21vMXxHZFNpYNeKFtG8_yji4HS352LGlSQ/edit?pli=1#gid=0"",""1_ACUM!A4:S""),17,FALSE))"),"")</f>
        <v/>
      </c>
      <c r="BD118" s="44" t="str">
        <f ca="1">IFERROR(__xludf.DUMMYFUNCTION("IFERROR(VLOOKUP(E132&amp;F132,IMPORTRANGE(""https://docs.google.com/spreadsheets/d/1Uw7-A9f9R21vMXxHZFNpYNeKFtG8_yji4HS352LGlSQ/edit?pli=1#gid=0"",""1_ACUM!A4:S""),18,FALSE))"),"")</f>
        <v/>
      </c>
      <c r="BE118" s="44" t="str">
        <f ca="1">IFERROR(__xludf.DUMMYFUNCTION("IFERROR(VLOOKUP(E132&amp;F132,IMPORTRANGE(""https://docs.google.com/spreadsheets/d/1Uw7-A9f9R21vMXxHZFNpYNeKFtG8_yji4HS352LGlSQ/edit?pli=1#gid=0"",""1_ACUM!A4:S""),19,FALSE))"),"")</f>
        <v/>
      </c>
      <c r="BF118" s="98" t="str">
        <f ca="1">IFERROR(__xludf.DUMMYFUNCTION("IFERROR(VLOOKUP(F132,IMPORTRANGE(""https://docs.google.com/spreadsheets/d/1Kvs4KS76FHFqLFIZfrDMff4kP08nblUkihrxltoGBjg/edit#gid=934712705"",""ESENCIAL!A6:BG""),5,FALSE))"),"")</f>
        <v/>
      </c>
      <c r="BG118" s="98" t="str">
        <f t="shared" si="5"/>
        <v/>
      </c>
      <c r="BH118" s="99" t="str">
        <f t="shared" si="6"/>
        <v/>
      </c>
      <c r="BI118" s="100" t="str">
        <f ca="1">IFERROR(__xludf.DUMMYFUNCTION("IFERROR(VLOOKUP(F132,IMPORTRANGE(""https://docs.google.com/spreadsheets/d/1Kvs4KS76FHFqLFIZfrDMff4kP08nblUkihrxltoGBjg/edit#gid=934712705"",""ESENCIAL!A6:BG""),2,FALSE))"),"")</f>
        <v/>
      </c>
      <c r="BJ118" s="19" t="str">
        <f t="shared" si="7"/>
        <v/>
      </c>
      <c r="BK118" s="100"/>
      <c r="BL118" s="100"/>
    </row>
    <row r="119" spans="1:64" ht="15">
      <c r="A119" s="101"/>
      <c r="B119" s="101"/>
      <c r="G119" s="5" t="str">
        <f ca="1">IFERROR(__xludf.DUMMYFUNCTION("IFERROR(VLOOKUP(F133,IMPORTRANGE(""https://docs.google.com/spreadsheets/d/1Kvs4KS76FHFqLFIZfrDMff4kP08nblUkihrxltoGBjg/edit#gid=934712705"",""ESENCIAL!A6:BG""),3,FALSE))"),"")</f>
        <v/>
      </c>
      <c r="H119" s="5" t="str">
        <f ca="1">IFERROR(__xludf.DUMMYFUNCTION("IFERROR(VLOOKUP(F133,IMPORTRANGE(""https://docs.google.com/spreadsheets/d/1Kvs4KS76FHFqLFIZfrDMff4kP08nblUkihrxltoGBjg/edit#gid=934712705"",""ESENCIAL!A6:BG""),8,FALSE))"),"")</f>
        <v/>
      </c>
      <c r="L119" s="287"/>
      <c r="U119" s="40"/>
      <c r="AU119" s="41" t="str">
        <f t="shared" si="4"/>
        <v/>
      </c>
      <c r="AV119" s="5" t="str">
        <f ca="1">IFERROR(__xludf.DUMMYFUNCTION("IFERROR(VLOOKUP(E133&amp;F133,IMPORTRANGE(""https://docs.google.com/spreadsheets/d/1Uw7-A9f9R21vMXxHZFNpYNeKFtG8_yji4HS352LGlSQ/edit?pli=1#gid=0"",""1_ACUM!A4:S""),11,FALSE))"),"")</f>
        <v/>
      </c>
      <c r="AW119" s="42" t="str">
        <f ca="1">IFERROR(__xludf.DUMMYFUNCTION("IFERROR(VLOOKUP(F133,IMPORTRANGE(""https://docs.google.com/spreadsheets/d/1Kvs4KS76FHFqLFIZfrDMff4kP08nblUkihrxltoGBjg/edit#gid=934712705"",""ESENCIAL!A6:BG""),15,FALSE))"),"")</f>
        <v/>
      </c>
      <c r="AX119" s="21" t="str">
        <f ca="1">IFERROR(__xludf.DUMMYFUNCTION("IFERROR(VLOOKUP(E133&amp;F133,IMPORTRANGE(""https://docs.google.com/spreadsheets/d/1Uw7-A9f9R21vMXxHZFNpYNeKFtG8_yji4HS352LGlSQ/edit?pli=1#gid=0"",""1_ACUM!A4:S""),12,FALSE))"),"")</f>
        <v/>
      </c>
      <c r="AY119" s="43" t="str">
        <f ca="1">IFERROR(__xludf.DUMMYFUNCTION("IFERROR(VLOOKUP(E133&amp;F133,IMPORTRANGE(""https://docs.google.com/spreadsheets/d/1Uw7-A9f9R21vMXxHZFNpYNeKFtG8_yji4HS352LGlSQ/edit?pli=1#gid=0"",""1_ACUM!A4:S""),13,FALSE))"),"")</f>
        <v/>
      </c>
      <c r="AZ119" s="43" t="str">
        <f ca="1">IFERROR(__xludf.DUMMYFUNCTION("IFERROR(VLOOKUP(E133&amp;F133,IMPORTRANGE(""https://docs.google.com/spreadsheets/d/1Uw7-A9f9R21vMXxHZFNpYNeKFtG8_yji4HS352LGlSQ/edit?pli=1#gid=0"",""1_ACUM!A4:S""),14,FALSE))"),"")</f>
        <v/>
      </c>
      <c r="BA119" s="43" t="str">
        <f ca="1">IFERROR(__xludf.DUMMYFUNCTION("IFERROR(VLOOKUP(E133&amp;F133,IMPORTRANGE(""https://docs.google.com/spreadsheets/d/1Uw7-A9f9R21vMXxHZFNpYNeKFtG8_yji4HS352LGlSQ/edit?pli=1#gid=0"",""1_ACUM!A4:S""),15,FALSE))"),"")</f>
        <v/>
      </c>
      <c r="BB119" s="43" t="str">
        <f ca="1">IFERROR(__xludf.DUMMYFUNCTION("IFERROR(VLOOKUP(E133&amp;F133,IMPORTRANGE(""https://docs.google.com/spreadsheets/d/1Uw7-A9f9R21vMXxHZFNpYNeKFtG8_yji4HS352LGlSQ/edit?pli=1#gid=0"",""1_ACUM!A4:S""),16,FALSE))"),"")</f>
        <v/>
      </c>
      <c r="BC119" s="43" t="str">
        <f ca="1">IFERROR(__xludf.DUMMYFUNCTION("IFERROR(VLOOKUP(E133&amp;F133,IMPORTRANGE(""https://docs.google.com/spreadsheets/d/1Uw7-A9f9R21vMXxHZFNpYNeKFtG8_yji4HS352LGlSQ/edit?pli=1#gid=0"",""1_ACUM!A4:S""),17,FALSE))"),"")</f>
        <v/>
      </c>
      <c r="BD119" s="44" t="str">
        <f ca="1">IFERROR(__xludf.DUMMYFUNCTION("IFERROR(VLOOKUP(E133&amp;F133,IMPORTRANGE(""https://docs.google.com/spreadsheets/d/1Uw7-A9f9R21vMXxHZFNpYNeKFtG8_yji4HS352LGlSQ/edit?pli=1#gid=0"",""1_ACUM!A4:S""),18,FALSE))"),"")</f>
        <v/>
      </c>
      <c r="BE119" s="44" t="str">
        <f ca="1">IFERROR(__xludf.DUMMYFUNCTION("IFERROR(VLOOKUP(E133&amp;F133,IMPORTRANGE(""https://docs.google.com/spreadsheets/d/1Uw7-A9f9R21vMXxHZFNpYNeKFtG8_yji4HS352LGlSQ/edit?pli=1#gid=0"",""1_ACUM!A4:S""),19,FALSE))"),"")</f>
        <v/>
      </c>
      <c r="BF119" s="98" t="str">
        <f ca="1">IFERROR(__xludf.DUMMYFUNCTION("IFERROR(VLOOKUP(F133,IMPORTRANGE(""https://docs.google.com/spreadsheets/d/1Kvs4KS76FHFqLFIZfrDMff4kP08nblUkihrxltoGBjg/edit#gid=934712705"",""ESENCIAL!A6:BG""),5,FALSE))"),"")</f>
        <v/>
      </c>
      <c r="BG119" s="98" t="str">
        <f t="shared" si="5"/>
        <v/>
      </c>
      <c r="BH119" s="99" t="str">
        <f t="shared" si="6"/>
        <v/>
      </c>
      <c r="BI119" s="100" t="str">
        <f ca="1">IFERROR(__xludf.DUMMYFUNCTION("IFERROR(VLOOKUP(F133,IMPORTRANGE(""https://docs.google.com/spreadsheets/d/1Kvs4KS76FHFqLFIZfrDMff4kP08nblUkihrxltoGBjg/edit#gid=934712705"",""ESENCIAL!A6:BG""),2,FALSE))"),"")</f>
        <v/>
      </c>
      <c r="BJ119" s="19" t="str">
        <f t="shared" si="7"/>
        <v/>
      </c>
      <c r="BK119" s="100"/>
      <c r="BL119" s="100"/>
    </row>
    <row r="120" spans="1:64" ht="15">
      <c r="A120" s="101"/>
      <c r="B120" s="101"/>
      <c r="G120" s="5" t="str">
        <f ca="1">IFERROR(__xludf.DUMMYFUNCTION("IFERROR(VLOOKUP(F134,IMPORTRANGE(""https://docs.google.com/spreadsheets/d/1Kvs4KS76FHFqLFIZfrDMff4kP08nblUkihrxltoGBjg/edit#gid=934712705"",""ESENCIAL!A6:BG""),3,FALSE))"),"")</f>
        <v/>
      </c>
      <c r="H120" s="5" t="str">
        <f ca="1">IFERROR(__xludf.DUMMYFUNCTION("IFERROR(VLOOKUP(F134,IMPORTRANGE(""https://docs.google.com/spreadsheets/d/1Kvs4KS76FHFqLFIZfrDMff4kP08nblUkihrxltoGBjg/edit#gid=934712705"",""ESENCIAL!A6:BG""),8,FALSE))"),"")</f>
        <v/>
      </c>
      <c r="L120" s="287"/>
      <c r="U120" s="40"/>
      <c r="AU120" s="41" t="str">
        <f t="shared" si="4"/>
        <v/>
      </c>
      <c r="AV120" s="5" t="str">
        <f ca="1">IFERROR(__xludf.DUMMYFUNCTION("IFERROR(VLOOKUP(E134&amp;F134,IMPORTRANGE(""https://docs.google.com/spreadsheets/d/1Uw7-A9f9R21vMXxHZFNpYNeKFtG8_yji4HS352LGlSQ/edit?pli=1#gid=0"",""1_ACUM!A4:S""),11,FALSE))"),"")</f>
        <v/>
      </c>
      <c r="AW120" s="42" t="str">
        <f ca="1">IFERROR(__xludf.DUMMYFUNCTION("IFERROR(VLOOKUP(F134,IMPORTRANGE(""https://docs.google.com/spreadsheets/d/1Kvs4KS76FHFqLFIZfrDMff4kP08nblUkihrxltoGBjg/edit#gid=934712705"",""ESENCIAL!A6:BG""),15,FALSE))"),"")</f>
        <v/>
      </c>
      <c r="AX120" s="21" t="str">
        <f ca="1">IFERROR(__xludf.DUMMYFUNCTION("IFERROR(VLOOKUP(E134&amp;F134,IMPORTRANGE(""https://docs.google.com/spreadsheets/d/1Uw7-A9f9R21vMXxHZFNpYNeKFtG8_yji4HS352LGlSQ/edit?pli=1#gid=0"",""1_ACUM!A4:S""),12,FALSE))"),"")</f>
        <v/>
      </c>
      <c r="AY120" s="43" t="str">
        <f ca="1">IFERROR(__xludf.DUMMYFUNCTION("IFERROR(VLOOKUP(E134&amp;F134,IMPORTRANGE(""https://docs.google.com/spreadsheets/d/1Uw7-A9f9R21vMXxHZFNpYNeKFtG8_yji4HS352LGlSQ/edit?pli=1#gid=0"",""1_ACUM!A4:S""),13,FALSE))"),"")</f>
        <v/>
      </c>
      <c r="AZ120" s="43" t="str">
        <f ca="1">IFERROR(__xludf.DUMMYFUNCTION("IFERROR(VLOOKUP(E134&amp;F134,IMPORTRANGE(""https://docs.google.com/spreadsheets/d/1Uw7-A9f9R21vMXxHZFNpYNeKFtG8_yji4HS352LGlSQ/edit?pli=1#gid=0"",""1_ACUM!A4:S""),14,FALSE))"),"")</f>
        <v/>
      </c>
      <c r="BA120" s="43" t="str">
        <f ca="1">IFERROR(__xludf.DUMMYFUNCTION("IFERROR(VLOOKUP(E134&amp;F134,IMPORTRANGE(""https://docs.google.com/spreadsheets/d/1Uw7-A9f9R21vMXxHZFNpYNeKFtG8_yji4HS352LGlSQ/edit?pli=1#gid=0"",""1_ACUM!A4:S""),15,FALSE))"),"")</f>
        <v/>
      </c>
      <c r="BB120" s="43" t="str">
        <f ca="1">IFERROR(__xludf.DUMMYFUNCTION("IFERROR(VLOOKUP(E134&amp;F134,IMPORTRANGE(""https://docs.google.com/spreadsheets/d/1Uw7-A9f9R21vMXxHZFNpYNeKFtG8_yji4HS352LGlSQ/edit?pli=1#gid=0"",""1_ACUM!A4:S""),16,FALSE))"),"")</f>
        <v/>
      </c>
      <c r="BC120" s="43" t="str">
        <f ca="1">IFERROR(__xludf.DUMMYFUNCTION("IFERROR(VLOOKUP(E134&amp;F134,IMPORTRANGE(""https://docs.google.com/spreadsheets/d/1Uw7-A9f9R21vMXxHZFNpYNeKFtG8_yji4HS352LGlSQ/edit?pli=1#gid=0"",""1_ACUM!A4:S""),17,FALSE))"),"")</f>
        <v/>
      </c>
      <c r="BD120" s="44" t="str">
        <f ca="1">IFERROR(__xludf.DUMMYFUNCTION("IFERROR(VLOOKUP(E134&amp;F134,IMPORTRANGE(""https://docs.google.com/spreadsheets/d/1Uw7-A9f9R21vMXxHZFNpYNeKFtG8_yji4HS352LGlSQ/edit?pli=1#gid=0"",""1_ACUM!A4:S""),18,FALSE))"),"")</f>
        <v/>
      </c>
      <c r="BE120" s="44" t="str">
        <f ca="1">IFERROR(__xludf.DUMMYFUNCTION("IFERROR(VLOOKUP(E134&amp;F134,IMPORTRANGE(""https://docs.google.com/spreadsheets/d/1Uw7-A9f9R21vMXxHZFNpYNeKFtG8_yji4HS352LGlSQ/edit?pli=1#gid=0"",""1_ACUM!A4:S""),19,FALSE))"),"")</f>
        <v/>
      </c>
      <c r="BF120" s="98" t="str">
        <f ca="1">IFERROR(__xludf.DUMMYFUNCTION("IFERROR(VLOOKUP(F134,IMPORTRANGE(""https://docs.google.com/spreadsheets/d/1Kvs4KS76FHFqLFIZfrDMff4kP08nblUkihrxltoGBjg/edit#gid=934712705"",""ESENCIAL!A6:BG""),5,FALSE))"),"")</f>
        <v/>
      </c>
      <c r="BG120" s="98" t="str">
        <f t="shared" si="5"/>
        <v/>
      </c>
      <c r="BH120" s="99" t="str">
        <f t="shared" si="6"/>
        <v/>
      </c>
      <c r="BI120" s="100" t="str">
        <f ca="1">IFERROR(__xludf.DUMMYFUNCTION("IFERROR(VLOOKUP(F134,IMPORTRANGE(""https://docs.google.com/spreadsheets/d/1Kvs4KS76FHFqLFIZfrDMff4kP08nblUkihrxltoGBjg/edit#gid=934712705"",""ESENCIAL!A6:BG""),2,FALSE))"),"")</f>
        <v/>
      </c>
      <c r="BJ120" s="19" t="str">
        <f t="shared" si="7"/>
        <v/>
      </c>
      <c r="BK120" s="100"/>
      <c r="BL120" s="100"/>
    </row>
    <row r="121" spans="1:64" ht="15">
      <c r="A121" s="101"/>
      <c r="B121" s="101"/>
      <c r="G121" s="5" t="str">
        <f ca="1">IFERROR(__xludf.DUMMYFUNCTION("IFERROR(VLOOKUP(F135,IMPORTRANGE(""https://docs.google.com/spreadsheets/d/1Kvs4KS76FHFqLFIZfrDMff4kP08nblUkihrxltoGBjg/edit#gid=934712705"",""ESENCIAL!A6:BG""),3,FALSE))"),"")</f>
        <v/>
      </c>
      <c r="H121" s="5" t="str">
        <f ca="1">IFERROR(__xludf.DUMMYFUNCTION("IFERROR(VLOOKUP(F135,IMPORTRANGE(""https://docs.google.com/spreadsheets/d/1Kvs4KS76FHFqLFIZfrDMff4kP08nblUkihrxltoGBjg/edit#gid=934712705"",""ESENCIAL!A6:BG""),8,FALSE))"),"")</f>
        <v/>
      </c>
      <c r="L121" s="287"/>
      <c r="U121" s="40"/>
      <c r="AU121" s="41" t="str">
        <f t="shared" si="4"/>
        <v/>
      </c>
      <c r="AV121" s="5" t="str">
        <f ca="1">IFERROR(__xludf.DUMMYFUNCTION("IFERROR(VLOOKUP(E135&amp;F135,IMPORTRANGE(""https://docs.google.com/spreadsheets/d/1Uw7-A9f9R21vMXxHZFNpYNeKFtG8_yji4HS352LGlSQ/edit?pli=1#gid=0"",""1_ACUM!A4:S""),11,FALSE))"),"")</f>
        <v/>
      </c>
      <c r="AW121" s="42" t="str">
        <f ca="1">IFERROR(__xludf.DUMMYFUNCTION("IFERROR(VLOOKUP(F135,IMPORTRANGE(""https://docs.google.com/spreadsheets/d/1Kvs4KS76FHFqLFIZfrDMff4kP08nblUkihrxltoGBjg/edit#gid=934712705"",""ESENCIAL!A6:BG""),15,FALSE))"),"")</f>
        <v/>
      </c>
      <c r="AX121" s="21" t="str">
        <f ca="1">IFERROR(__xludf.DUMMYFUNCTION("IFERROR(VLOOKUP(E135&amp;F135,IMPORTRANGE(""https://docs.google.com/spreadsheets/d/1Uw7-A9f9R21vMXxHZFNpYNeKFtG8_yji4HS352LGlSQ/edit?pli=1#gid=0"",""1_ACUM!A4:S""),12,FALSE))"),"")</f>
        <v/>
      </c>
      <c r="AY121" s="43" t="str">
        <f ca="1">IFERROR(__xludf.DUMMYFUNCTION("IFERROR(VLOOKUP(E135&amp;F135,IMPORTRANGE(""https://docs.google.com/spreadsheets/d/1Uw7-A9f9R21vMXxHZFNpYNeKFtG8_yji4HS352LGlSQ/edit?pli=1#gid=0"",""1_ACUM!A4:S""),13,FALSE))"),"")</f>
        <v/>
      </c>
      <c r="AZ121" s="43" t="str">
        <f ca="1">IFERROR(__xludf.DUMMYFUNCTION("IFERROR(VLOOKUP(E135&amp;F135,IMPORTRANGE(""https://docs.google.com/spreadsheets/d/1Uw7-A9f9R21vMXxHZFNpYNeKFtG8_yji4HS352LGlSQ/edit?pli=1#gid=0"",""1_ACUM!A4:S""),14,FALSE))"),"")</f>
        <v/>
      </c>
      <c r="BA121" s="43" t="str">
        <f ca="1">IFERROR(__xludf.DUMMYFUNCTION("IFERROR(VLOOKUP(E135&amp;F135,IMPORTRANGE(""https://docs.google.com/spreadsheets/d/1Uw7-A9f9R21vMXxHZFNpYNeKFtG8_yji4HS352LGlSQ/edit?pli=1#gid=0"",""1_ACUM!A4:S""),15,FALSE))"),"")</f>
        <v/>
      </c>
      <c r="BB121" s="43" t="str">
        <f ca="1">IFERROR(__xludf.DUMMYFUNCTION("IFERROR(VLOOKUP(E135&amp;F135,IMPORTRANGE(""https://docs.google.com/spreadsheets/d/1Uw7-A9f9R21vMXxHZFNpYNeKFtG8_yji4HS352LGlSQ/edit?pli=1#gid=0"",""1_ACUM!A4:S""),16,FALSE))"),"")</f>
        <v/>
      </c>
      <c r="BC121" s="43" t="str">
        <f ca="1">IFERROR(__xludf.DUMMYFUNCTION("IFERROR(VLOOKUP(E135&amp;F135,IMPORTRANGE(""https://docs.google.com/spreadsheets/d/1Uw7-A9f9R21vMXxHZFNpYNeKFtG8_yji4HS352LGlSQ/edit?pli=1#gid=0"",""1_ACUM!A4:S""),17,FALSE))"),"")</f>
        <v/>
      </c>
      <c r="BD121" s="44" t="str">
        <f ca="1">IFERROR(__xludf.DUMMYFUNCTION("IFERROR(VLOOKUP(E135&amp;F135,IMPORTRANGE(""https://docs.google.com/spreadsheets/d/1Uw7-A9f9R21vMXxHZFNpYNeKFtG8_yji4HS352LGlSQ/edit?pli=1#gid=0"",""1_ACUM!A4:S""),18,FALSE))"),"")</f>
        <v/>
      </c>
      <c r="BE121" s="44" t="str">
        <f ca="1">IFERROR(__xludf.DUMMYFUNCTION("IFERROR(VLOOKUP(E135&amp;F135,IMPORTRANGE(""https://docs.google.com/spreadsheets/d/1Uw7-A9f9R21vMXxHZFNpYNeKFtG8_yji4HS352LGlSQ/edit?pli=1#gid=0"",""1_ACUM!A4:S""),19,FALSE))"),"")</f>
        <v/>
      </c>
      <c r="BF121" s="98" t="str">
        <f ca="1">IFERROR(__xludf.DUMMYFUNCTION("IFERROR(VLOOKUP(F135,IMPORTRANGE(""https://docs.google.com/spreadsheets/d/1Kvs4KS76FHFqLFIZfrDMff4kP08nblUkihrxltoGBjg/edit#gid=934712705"",""ESENCIAL!A6:BG""),5,FALSE))"),"")</f>
        <v/>
      </c>
      <c r="BG121" s="98" t="str">
        <f t="shared" si="5"/>
        <v/>
      </c>
      <c r="BH121" s="99" t="str">
        <f t="shared" si="6"/>
        <v/>
      </c>
      <c r="BI121" s="100" t="str">
        <f ca="1">IFERROR(__xludf.DUMMYFUNCTION("IFERROR(VLOOKUP(F135,IMPORTRANGE(""https://docs.google.com/spreadsheets/d/1Kvs4KS76FHFqLFIZfrDMff4kP08nblUkihrxltoGBjg/edit#gid=934712705"",""ESENCIAL!A6:BG""),2,FALSE))"),"")</f>
        <v/>
      </c>
      <c r="BJ121" s="19" t="str">
        <f t="shared" si="7"/>
        <v/>
      </c>
      <c r="BK121" s="100"/>
      <c r="BL121" s="100"/>
    </row>
    <row r="122" spans="1:64" ht="15">
      <c r="A122" s="101"/>
      <c r="B122" s="101"/>
      <c r="G122" s="5" t="str">
        <f ca="1">IFERROR(__xludf.DUMMYFUNCTION("IFERROR(VLOOKUP(F136,IMPORTRANGE(""https://docs.google.com/spreadsheets/d/1Kvs4KS76FHFqLFIZfrDMff4kP08nblUkihrxltoGBjg/edit#gid=934712705"",""ESENCIAL!A6:BG""),3,FALSE))"),"")</f>
        <v/>
      </c>
      <c r="H122" s="5" t="str">
        <f ca="1">IFERROR(__xludf.DUMMYFUNCTION("IFERROR(VLOOKUP(F136,IMPORTRANGE(""https://docs.google.com/spreadsheets/d/1Kvs4KS76FHFqLFIZfrDMff4kP08nblUkihrxltoGBjg/edit#gid=934712705"",""ESENCIAL!A6:BG""),8,FALSE))"),"")</f>
        <v/>
      </c>
      <c r="L122" s="287"/>
      <c r="U122" s="40"/>
      <c r="AU122" s="41" t="str">
        <f t="shared" si="4"/>
        <v/>
      </c>
      <c r="AV122" s="5" t="str">
        <f ca="1">IFERROR(__xludf.DUMMYFUNCTION("IFERROR(VLOOKUP(E136&amp;F136,IMPORTRANGE(""https://docs.google.com/spreadsheets/d/1Uw7-A9f9R21vMXxHZFNpYNeKFtG8_yji4HS352LGlSQ/edit?pli=1#gid=0"",""1_ACUM!A4:S""),11,FALSE))"),"")</f>
        <v/>
      </c>
      <c r="AW122" s="42" t="str">
        <f ca="1">IFERROR(__xludf.DUMMYFUNCTION("IFERROR(VLOOKUP(F136,IMPORTRANGE(""https://docs.google.com/spreadsheets/d/1Kvs4KS76FHFqLFIZfrDMff4kP08nblUkihrxltoGBjg/edit#gid=934712705"",""ESENCIAL!A6:BG""),15,FALSE))"),"")</f>
        <v/>
      </c>
      <c r="AX122" s="21" t="str">
        <f ca="1">IFERROR(__xludf.DUMMYFUNCTION("IFERROR(VLOOKUP(E136&amp;F136,IMPORTRANGE(""https://docs.google.com/spreadsheets/d/1Uw7-A9f9R21vMXxHZFNpYNeKFtG8_yji4HS352LGlSQ/edit?pli=1#gid=0"",""1_ACUM!A4:S""),12,FALSE))"),"")</f>
        <v/>
      </c>
      <c r="AY122" s="43" t="str">
        <f ca="1">IFERROR(__xludf.DUMMYFUNCTION("IFERROR(VLOOKUP(E136&amp;F136,IMPORTRANGE(""https://docs.google.com/spreadsheets/d/1Uw7-A9f9R21vMXxHZFNpYNeKFtG8_yji4HS352LGlSQ/edit?pli=1#gid=0"",""1_ACUM!A4:S""),13,FALSE))"),"")</f>
        <v/>
      </c>
      <c r="AZ122" s="43" t="str">
        <f ca="1">IFERROR(__xludf.DUMMYFUNCTION("IFERROR(VLOOKUP(E136&amp;F136,IMPORTRANGE(""https://docs.google.com/spreadsheets/d/1Uw7-A9f9R21vMXxHZFNpYNeKFtG8_yji4HS352LGlSQ/edit?pli=1#gid=0"",""1_ACUM!A4:S""),14,FALSE))"),"")</f>
        <v/>
      </c>
      <c r="BA122" s="43" t="str">
        <f ca="1">IFERROR(__xludf.DUMMYFUNCTION("IFERROR(VLOOKUP(E136&amp;F136,IMPORTRANGE(""https://docs.google.com/spreadsheets/d/1Uw7-A9f9R21vMXxHZFNpYNeKFtG8_yji4HS352LGlSQ/edit?pli=1#gid=0"",""1_ACUM!A4:S""),15,FALSE))"),"")</f>
        <v/>
      </c>
      <c r="BB122" s="43" t="str">
        <f ca="1">IFERROR(__xludf.DUMMYFUNCTION("IFERROR(VLOOKUP(E136&amp;F136,IMPORTRANGE(""https://docs.google.com/spreadsheets/d/1Uw7-A9f9R21vMXxHZFNpYNeKFtG8_yji4HS352LGlSQ/edit?pli=1#gid=0"",""1_ACUM!A4:S""),16,FALSE))"),"")</f>
        <v/>
      </c>
      <c r="BC122" s="43" t="str">
        <f ca="1">IFERROR(__xludf.DUMMYFUNCTION("IFERROR(VLOOKUP(E136&amp;F136,IMPORTRANGE(""https://docs.google.com/spreadsheets/d/1Uw7-A9f9R21vMXxHZFNpYNeKFtG8_yji4HS352LGlSQ/edit?pli=1#gid=0"",""1_ACUM!A4:S""),17,FALSE))"),"")</f>
        <v/>
      </c>
      <c r="BD122" s="44" t="str">
        <f ca="1">IFERROR(__xludf.DUMMYFUNCTION("IFERROR(VLOOKUP(E136&amp;F136,IMPORTRANGE(""https://docs.google.com/spreadsheets/d/1Uw7-A9f9R21vMXxHZFNpYNeKFtG8_yji4HS352LGlSQ/edit?pli=1#gid=0"",""1_ACUM!A4:S""),18,FALSE))"),"")</f>
        <v/>
      </c>
      <c r="BE122" s="44" t="str">
        <f ca="1">IFERROR(__xludf.DUMMYFUNCTION("IFERROR(VLOOKUP(E136&amp;F136,IMPORTRANGE(""https://docs.google.com/spreadsheets/d/1Uw7-A9f9R21vMXxHZFNpYNeKFtG8_yji4HS352LGlSQ/edit?pli=1#gid=0"",""1_ACUM!A4:S""),19,FALSE))"),"")</f>
        <v/>
      </c>
      <c r="BF122" s="98" t="str">
        <f ca="1">IFERROR(__xludf.DUMMYFUNCTION("IFERROR(VLOOKUP(F136,IMPORTRANGE(""https://docs.google.com/spreadsheets/d/1Kvs4KS76FHFqLFIZfrDMff4kP08nblUkihrxltoGBjg/edit#gid=934712705"",""ESENCIAL!A6:BG""),5,FALSE))"),"")</f>
        <v/>
      </c>
      <c r="BG122" s="98" t="str">
        <f t="shared" si="5"/>
        <v/>
      </c>
      <c r="BH122" s="99" t="str">
        <f t="shared" si="6"/>
        <v/>
      </c>
      <c r="BI122" s="100" t="str">
        <f ca="1">IFERROR(__xludf.DUMMYFUNCTION("IFERROR(VLOOKUP(F136,IMPORTRANGE(""https://docs.google.com/spreadsheets/d/1Kvs4KS76FHFqLFIZfrDMff4kP08nblUkihrxltoGBjg/edit#gid=934712705"",""ESENCIAL!A6:BG""),2,FALSE))"),"")</f>
        <v/>
      </c>
      <c r="BJ122" s="19" t="str">
        <f t="shared" si="7"/>
        <v/>
      </c>
      <c r="BK122" s="100"/>
      <c r="BL122" s="100"/>
    </row>
    <row r="123" spans="1:64" ht="15">
      <c r="A123" s="101"/>
      <c r="B123" s="101"/>
      <c r="G123" s="5" t="str">
        <f ca="1">IFERROR(__xludf.DUMMYFUNCTION("IFERROR(VLOOKUP(F137,IMPORTRANGE(""https://docs.google.com/spreadsheets/d/1Kvs4KS76FHFqLFIZfrDMff4kP08nblUkihrxltoGBjg/edit#gid=934712705"",""ESENCIAL!A6:BG""),3,FALSE))"),"")</f>
        <v/>
      </c>
      <c r="H123" s="5" t="str">
        <f ca="1">IFERROR(__xludf.DUMMYFUNCTION("IFERROR(VLOOKUP(F137,IMPORTRANGE(""https://docs.google.com/spreadsheets/d/1Kvs4KS76FHFqLFIZfrDMff4kP08nblUkihrxltoGBjg/edit#gid=934712705"",""ESENCIAL!A6:BG""),8,FALSE))"),"")</f>
        <v/>
      </c>
      <c r="L123" s="287"/>
      <c r="U123" s="40"/>
      <c r="AU123" s="41" t="str">
        <f t="shared" si="4"/>
        <v/>
      </c>
      <c r="AV123" s="5" t="str">
        <f ca="1">IFERROR(__xludf.DUMMYFUNCTION("IFERROR(VLOOKUP(E137&amp;F137,IMPORTRANGE(""https://docs.google.com/spreadsheets/d/1Uw7-A9f9R21vMXxHZFNpYNeKFtG8_yji4HS352LGlSQ/edit?pli=1#gid=0"",""1_ACUM!A4:S""),11,FALSE))"),"")</f>
        <v/>
      </c>
      <c r="AW123" s="42" t="str">
        <f ca="1">IFERROR(__xludf.DUMMYFUNCTION("IFERROR(VLOOKUP(F137,IMPORTRANGE(""https://docs.google.com/spreadsheets/d/1Kvs4KS76FHFqLFIZfrDMff4kP08nblUkihrxltoGBjg/edit#gid=934712705"",""ESENCIAL!A6:BG""),15,FALSE))"),"")</f>
        <v/>
      </c>
      <c r="AX123" s="21" t="str">
        <f ca="1">IFERROR(__xludf.DUMMYFUNCTION("IFERROR(VLOOKUP(E137&amp;F137,IMPORTRANGE(""https://docs.google.com/spreadsheets/d/1Uw7-A9f9R21vMXxHZFNpYNeKFtG8_yji4HS352LGlSQ/edit?pli=1#gid=0"",""1_ACUM!A4:S""),12,FALSE))"),"")</f>
        <v/>
      </c>
      <c r="AY123" s="43" t="str">
        <f ca="1">IFERROR(__xludf.DUMMYFUNCTION("IFERROR(VLOOKUP(E137&amp;F137,IMPORTRANGE(""https://docs.google.com/spreadsheets/d/1Uw7-A9f9R21vMXxHZFNpYNeKFtG8_yji4HS352LGlSQ/edit?pli=1#gid=0"",""1_ACUM!A4:S""),13,FALSE))"),"")</f>
        <v/>
      </c>
      <c r="AZ123" s="43" t="str">
        <f ca="1">IFERROR(__xludf.DUMMYFUNCTION("IFERROR(VLOOKUP(E137&amp;F137,IMPORTRANGE(""https://docs.google.com/spreadsheets/d/1Uw7-A9f9R21vMXxHZFNpYNeKFtG8_yji4HS352LGlSQ/edit?pli=1#gid=0"",""1_ACUM!A4:S""),14,FALSE))"),"")</f>
        <v/>
      </c>
      <c r="BA123" s="43" t="str">
        <f ca="1">IFERROR(__xludf.DUMMYFUNCTION("IFERROR(VLOOKUP(E137&amp;F137,IMPORTRANGE(""https://docs.google.com/spreadsheets/d/1Uw7-A9f9R21vMXxHZFNpYNeKFtG8_yji4HS352LGlSQ/edit?pli=1#gid=0"",""1_ACUM!A4:S""),15,FALSE))"),"")</f>
        <v/>
      </c>
      <c r="BB123" s="43" t="str">
        <f ca="1">IFERROR(__xludf.DUMMYFUNCTION("IFERROR(VLOOKUP(E137&amp;F137,IMPORTRANGE(""https://docs.google.com/spreadsheets/d/1Uw7-A9f9R21vMXxHZFNpYNeKFtG8_yji4HS352LGlSQ/edit?pli=1#gid=0"",""1_ACUM!A4:S""),16,FALSE))"),"")</f>
        <v/>
      </c>
      <c r="BC123" s="43" t="str">
        <f ca="1">IFERROR(__xludf.DUMMYFUNCTION("IFERROR(VLOOKUP(E137&amp;F137,IMPORTRANGE(""https://docs.google.com/spreadsheets/d/1Uw7-A9f9R21vMXxHZFNpYNeKFtG8_yji4HS352LGlSQ/edit?pli=1#gid=0"",""1_ACUM!A4:S""),17,FALSE))"),"")</f>
        <v/>
      </c>
      <c r="BD123" s="44" t="str">
        <f ca="1">IFERROR(__xludf.DUMMYFUNCTION("IFERROR(VLOOKUP(E137&amp;F137,IMPORTRANGE(""https://docs.google.com/spreadsheets/d/1Uw7-A9f9R21vMXxHZFNpYNeKFtG8_yji4HS352LGlSQ/edit?pli=1#gid=0"",""1_ACUM!A4:S""),18,FALSE))"),"")</f>
        <v/>
      </c>
      <c r="BE123" s="44" t="str">
        <f ca="1">IFERROR(__xludf.DUMMYFUNCTION("IFERROR(VLOOKUP(E137&amp;F137,IMPORTRANGE(""https://docs.google.com/spreadsheets/d/1Uw7-A9f9R21vMXxHZFNpYNeKFtG8_yji4HS352LGlSQ/edit?pli=1#gid=0"",""1_ACUM!A4:S""),19,FALSE))"),"")</f>
        <v/>
      </c>
      <c r="BF123" s="98" t="str">
        <f ca="1">IFERROR(__xludf.DUMMYFUNCTION("IFERROR(VLOOKUP(F137,IMPORTRANGE(""https://docs.google.com/spreadsheets/d/1Kvs4KS76FHFqLFIZfrDMff4kP08nblUkihrxltoGBjg/edit#gid=934712705"",""ESENCIAL!A6:BG""),5,FALSE))"),"")</f>
        <v/>
      </c>
      <c r="BG123" s="98" t="str">
        <f t="shared" si="5"/>
        <v/>
      </c>
      <c r="BH123" s="99" t="str">
        <f t="shared" si="6"/>
        <v/>
      </c>
      <c r="BI123" s="100" t="str">
        <f ca="1">IFERROR(__xludf.DUMMYFUNCTION("IFERROR(VLOOKUP(F137,IMPORTRANGE(""https://docs.google.com/spreadsheets/d/1Kvs4KS76FHFqLFIZfrDMff4kP08nblUkihrxltoGBjg/edit#gid=934712705"",""ESENCIAL!A6:BG""),2,FALSE))"),"")</f>
        <v/>
      </c>
      <c r="BJ123" s="19" t="str">
        <f t="shared" si="7"/>
        <v/>
      </c>
      <c r="BK123" s="100"/>
      <c r="BL123" s="100"/>
    </row>
    <row r="124" spans="1:64" ht="15">
      <c r="A124" s="101"/>
      <c r="B124" s="101"/>
      <c r="G124" s="5" t="str">
        <f ca="1">IFERROR(__xludf.DUMMYFUNCTION("IFERROR(VLOOKUP(F138,IMPORTRANGE(""https://docs.google.com/spreadsheets/d/1Kvs4KS76FHFqLFIZfrDMff4kP08nblUkihrxltoGBjg/edit#gid=934712705"",""ESENCIAL!A6:BG""),3,FALSE))"),"")</f>
        <v/>
      </c>
      <c r="H124" s="5" t="str">
        <f ca="1">IFERROR(__xludf.DUMMYFUNCTION("IFERROR(VLOOKUP(F138,IMPORTRANGE(""https://docs.google.com/spreadsheets/d/1Kvs4KS76FHFqLFIZfrDMff4kP08nblUkihrxltoGBjg/edit#gid=934712705"",""ESENCIAL!A6:BG""),8,FALSE))"),"")</f>
        <v/>
      </c>
      <c r="L124" s="287"/>
      <c r="U124" s="40"/>
      <c r="AU124" s="41" t="str">
        <f t="shared" si="4"/>
        <v/>
      </c>
      <c r="AV124" s="5" t="str">
        <f ca="1">IFERROR(__xludf.DUMMYFUNCTION("IFERROR(VLOOKUP(E138&amp;F138,IMPORTRANGE(""https://docs.google.com/spreadsheets/d/1Uw7-A9f9R21vMXxHZFNpYNeKFtG8_yji4HS352LGlSQ/edit?pli=1#gid=0"",""1_ACUM!A4:S""),11,FALSE))"),"")</f>
        <v/>
      </c>
      <c r="AW124" s="42" t="str">
        <f ca="1">IFERROR(__xludf.DUMMYFUNCTION("IFERROR(VLOOKUP(F138,IMPORTRANGE(""https://docs.google.com/spreadsheets/d/1Kvs4KS76FHFqLFIZfrDMff4kP08nblUkihrxltoGBjg/edit#gid=934712705"",""ESENCIAL!A6:BG""),15,FALSE))"),"")</f>
        <v/>
      </c>
      <c r="AX124" s="21" t="str">
        <f ca="1">IFERROR(__xludf.DUMMYFUNCTION("IFERROR(VLOOKUP(E138&amp;F138,IMPORTRANGE(""https://docs.google.com/spreadsheets/d/1Uw7-A9f9R21vMXxHZFNpYNeKFtG8_yji4HS352LGlSQ/edit?pli=1#gid=0"",""1_ACUM!A4:S""),12,FALSE))"),"")</f>
        <v/>
      </c>
      <c r="AY124" s="43" t="str">
        <f ca="1">IFERROR(__xludf.DUMMYFUNCTION("IFERROR(VLOOKUP(E138&amp;F138,IMPORTRANGE(""https://docs.google.com/spreadsheets/d/1Uw7-A9f9R21vMXxHZFNpYNeKFtG8_yji4HS352LGlSQ/edit?pli=1#gid=0"",""1_ACUM!A4:S""),13,FALSE))"),"")</f>
        <v/>
      </c>
      <c r="AZ124" s="43" t="str">
        <f ca="1">IFERROR(__xludf.DUMMYFUNCTION("IFERROR(VLOOKUP(E138&amp;F138,IMPORTRANGE(""https://docs.google.com/spreadsheets/d/1Uw7-A9f9R21vMXxHZFNpYNeKFtG8_yji4HS352LGlSQ/edit?pli=1#gid=0"",""1_ACUM!A4:S""),14,FALSE))"),"")</f>
        <v/>
      </c>
      <c r="BA124" s="43" t="str">
        <f ca="1">IFERROR(__xludf.DUMMYFUNCTION("IFERROR(VLOOKUP(E138&amp;F138,IMPORTRANGE(""https://docs.google.com/spreadsheets/d/1Uw7-A9f9R21vMXxHZFNpYNeKFtG8_yji4HS352LGlSQ/edit?pli=1#gid=0"",""1_ACUM!A4:S""),15,FALSE))"),"")</f>
        <v/>
      </c>
      <c r="BB124" s="43" t="str">
        <f ca="1">IFERROR(__xludf.DUMMYFUNCTION("IFERROR(VLOOKUP(E138&amp;F138,IMPORTRANGE(""https://docs.google.com/spreadsheets/d/1Uw7-A9f9R21vMXxHZFNpYNeKFtG8_yji4HS352LGlSQ/edit?pli=1#gid=0"",""1_ACUM!A4:S""),16,FALSE))"),"")</f>
        <v/>
      </c>
      <c r="BC124" s="43" t="str">
        <f ca="1">IFERROR(__xludf.DUMMYFUNCTION("IFERROR(VLOOKUP(E138&amp;F138,IMPORTRANGE(""https://docs.google.com/spreadsheets/d/1Uw7-A9f9R21vMXxHZFNpYNeKFtG8_yji4HS352LGlSQ/edit?pli=1#gid=0"",""1_ACUM!A4:S""),17,FALSE))"),"")</f>
        <v/>
      </c>
      <c r="BD124" s="44" t="str">
        <f ca="1">IFERROR(__xludf.DUMMYFUNCTION("IFERROR(VLOOKUP(E138&amp;F138,IMPORTRANGE(""https://docs.google.com/spreadsheets/d/1Uw7-A9f9R21vMXxHZFNpYNeKFtG8_yji4HS352LGlSQ/edit?pli=1#gid=0"",""1_ACUM!A4:S""),18,FALSE))"),"")</f>
        <v/>
      </c>
      <c r="BE124" s="44" t="str">
        <f ca="1">IFERROR(__xludf.DUMMYFUNCTION("IFERROR(VLOOKUP(E138&amp;F138,IMPORTRANGE(""https://docs.google.com/spreadsheets/d/1Uw7-A9f9R21vMXxHZFNpYNeKFtG8_yji4HS352LGlSQ/edit?pli=1#gid=0"",""1_ACUM!A4:S""),19,FALSE))"),"")</f>
        <v/>
      </c>
      <c r="BF124" s="98" t="str">
        <f ca="1">IFERROR(__xludf.DUMMYFUNCTION("IFERROR(VLOOKUP(F138,IMPORTRANGE(""https://docs.google.com/spreadsheets/d/1Kvs4KS76FHFqLFIZfrDMff4kP08nblUkihrxltoGBjg/edit#gid=934712705"",""ESENCIAL!A6:BG""),5,FALSE))"),"")</f>
        <v/>
      </c>
      <c r="BG124" s="98" t="str">
        <f t="shared" si="5"/>
        <v/>
      </c>
      <c r="BH124" s="99" t="str">
        <f t="shared" si="6"/>
        <v/>
      </c>
      <c r="BI124" s="100" t="str">
        <f ca="1">IFERROR(__xludf.DUMMYFUNCTION("IFERROR(VLOOKUP(F138,IMPORTRANGE(""https://docs.google.com/spreadsheets/d/1Kvs4KS76FHFqLFIZfrDMff4kP08nblUkihrxltoGBjg/edit#gid=934712705"",""ESENCIAL!A6:BG""),2,FALSE))"),"")</f>
        <v/>
      </c>
      <c r="BJ124" s="19" t="str">
        <f t="shared" si="7"/>
        <v/>
      </c>
      <c r="BK124" s="100"/>
      <c r="BL124" s="100"/>
    </row>
    <row r="125" spans="1:64" ht="15">
      <c r="A125" s="101"/>
      <c r="B125" s="101"/>
      <c r="G125" s="5" t="str">
        <f ca="1">IFERROR(__xludf.DUMMYFUNCTION("IFERROR(VLOOKUP(F139,IMPORTRANGE(""https://docs.google.com/spreadsheets/d/1Kvs4KS76FHFqLFIZfrDMff4kP08nblUkihrxltoGBjg/edit#gid=934712705"",""ESENCIAL!A6:BG""),3,FALSE))"),"")</f>
        <v/>
      </c>
      <c r="H125" s="5" t="str">
        <f ca="1">IFERROR(__xludf.DUMMYFUNCTION("IFERROR(VLOOKUP(F139,IMPORTRANGE(""https://docs.google.com/spreadsheets/d/1Kvs4KS76FHFqLFIZfrDMff4kP08nblUkihrxltoGBjg/edit#gid=934712705"",""ESENCIAL!A6:BG""),8,FALSE))"),"")</f>
        <v/>
      </c>
      <c r="L125" s="287"/>
      <c r="U125" s="40"/>
      <c r="AU125" s="41" t="str">
        <f t="shared" si="4"/>
        <v/>
      </c>
      <c r="AV125" s="5" t="str">
        <f ca="1">IFERROR(__xludf.DUMMYFUNCTION("IFERROR(VLOOKUP(E139&amp;F139,IMPORTRANGE(""https://docs.google.com/spreadsheets/d/1Uw7-A9f9R21vMXxHZFNpYNeKFtG8_yji4HS352LGlSQ/edit?pli=1#gid=0"",""1_ACUM!A4:S""),11,FALSE))"),"")</f>
        <v/>
      </c>
      <c r="AW125" s="42" t="str">
        <f ca="1">IFERROR(__xludf.DUMMYFUNCTION("IFERROR(VLOOKUP(F139,IMPORTRANGE(""https://docs.google.com/spreadsheets/d/1Kvs4KS76FHFqLFIZfrDMff4kP08nblUkihrxltoGBjg/edit#gid=934712705"",""ESENCIAL!A6:BG""),15,FALSE))"),"")</f>
        <v/>
      </c>
      <c r="AX125" s="21" t="str">
        <f ca="1">IFERROR(__xludf.DUMMYFUNCTION("IFERROR(VLOOKUP(E139&amp;F139,IMPORTRANGE(""https://docs.google.com/spreadsheets/d/1Uw7-A9f9R21vMXxHZFNpYNeKFtG8_yji4HS352LGlSQ/edit?pli=1#gid=0"",""1_ACUM!A4:S""),12,FALSE))"),"")</f>
        <v/>
      </c>
      <c r="AY125" s="43" t="str">
        <f ca="1">IFERROR(__xludf.DUMMYFUNCTION("IFERROR(VLOOKUP(E139&amp;F139,IMPORTRANGE(""https://docs.google.com/spreadsheets/d/1Uw7-A9f9R21vMXxHZFNpYNeKFtG8_yji4HS352LGlSQ/edit?pli=1#gid=0"",""1_ACUM!A4:S""),13,FALSE))"),"")</f>
        <v/>
      </c>
      <c r="AZ125" s="43" t="str">
        <f ca="1">IFERROR(__xludf.DUMMYFUNCTION("IFERROR(VLOOKUP(E139&amp;F139,IMPORTRANGE(""https://docs.google.com/spreadsheets/d/1Uw7-A9f9R21vMXxHZFNpYNeKFtG8_yji4HS352LGlSQ/edit?pli=1#gid=0"",""1_ACUM!A4:S""),14,FALSE))"),"")</f>
        <v/>
      </c>
      <c r="BA125" s="43" t="str">
        <f ca="1">IFERROR(__xludf.DUMMYFUNCTION("IFERROR(VLOOKUP(E139&amp;F139,IMPORTRANGE(""https://docs.google.com/spreadsheets/d/1Uw7-A9f9R21vMXxHZFNpYNeKFtG8_yji4HS352LGlSQ/edit?pli=1#gid=0"",""1_ACUM!A4:S""),15,FALSE))"),"")</f>
        <v/>
      </c>
      <c r="BB125" s="43" t="str">
        <f ca="1">IFERROR(__xludf.DUMMYFUNCTION("IFERROR(VLOOKUP(E139&amp;F139,IMPORTRANGE(""https://docs.google.com/spreadsheets/d/1Uw7-A9f9R21vMXxHZFNpYNeKFtG8_yji4HS352LGlSQ/edit?pli=1#gid=0"",""1_ACUM!A4:S""),16,FALSE))"),"")</f>
        <v/>
      </c>
      <c r="BC125" s="43" t="str">
        <f ca="1">IFERROR(__xludf.DUMMYFUNCTION("IFERROR(VLOOKUP(E139&amp;F139,IMPORTRANGE(""https://docs.google.com/spreadsheets/d/1Uw7-A9f9R21vMXxHZFNpYNeKFtG8_yji4HS352LGlSQ/edit?pli=1#gid=0"",""1_ACUM!A4:S""),17,FALSE))"),"")</f>
        <v/>
      </c>
      <c r="BD125" s="44" t="str">
        <f ca="1">IFERROR(__xludf.DUMMYFUNCTION("IFERROR(VLOOKUP(E139&amp;F139,IMPORTRANGE(""https://docs.google.com/spreadsheets/d/1Uw7-A9f9R21vMXxHZFNpYNeKFtG8_yji4HS352LGlSQ/edit?pli=1#gid=0"",""1_ACUM!A4:S""),18,FALSE))"),"")</f>
        <v/>
      </c>
      <c r="BE125" s="44" t="str">
        <f ca="1">IFERROR(__xludf.DUMMYFUNCTION("IFERROR(VLOOKUP(E139&amp;F139,IMPORTRANGE(""https://docs.google.com/spreadsheets/d/1Uw7-A9f9R21vMXxHZFNpYNeKFtG8_yji4HS352LGlSQ/edit?pli=1#gid=0"",""1_ACUM!A4:S""),19,FALSE))"),"")</f>
        <v/>
      </c>
      <c r="BF125" s="98" t="str">
        <f ca="1">IFERROR(__xludf.DUMMYFUNCTION("IFERROR(VLOOKUP(F139,IMPORTRANGE(""https://docs.google.com/spreadsheets/d/1Kvs4KS76FHFqLFIZfrDMff4kP08nblUkihrxltoGBjg/edit#gid=934712705"",""ESENCIAL!A6:BG""),5,FALSE))"),"")</f>
        <v/>
      </c>
      <c r="BG125" s="98" t="str">
        <f t="shared" si="5"/>
        <v/>
      </c>
      <c r="BH125" s="99" t="str">
        <f t="shared" si="6"/>
        <v/>
      </c>
      <c r="BI125" s="100" t="str">
        <f ca="1">IFERROR(__xludf.DUMMYFUNCTION("IFERROR(VLOOKUP(F139,IMPORTRANGE(""https://docs.google.com/spreadsheets/d/1Kvs4KS76FHFqLFIZfrDMff4kP08nblUkihrxltoGBjg/edit#gid=934712705"",""ESENCIAL!A6:BG""),2,FALSE))"),"")</f>
        <v/>
      </c>
      <c r="BJ125" s="19" t="str">
        <f t="shared" si="7"/>
        <v/>
      </c>
      <c r="BK125" s="100"/>
      <c r="BL125" s="100"/>
    </row>
    <row r="126" spans="1:64" ht="15">
      <c r="A126" s="101"/>
      <c r="B126" s="101"/>
      <c r="G126" s="5" t="str">
        <f ca="1">IFERROR(__xludf.DUMMYFUNCTION("IFERROR(VLOOKUP(F140,IMPORTRANGE(""https://docs.google.com/spreadsheets/d/1Kvs4KS76FHFqLFIZfrDMff4kP08nblUkihrxltoGBjg/edit#gid=934712705"",""ESENCIAL!A6:BG""),3,FALSE))"),"")</f>
        <v/>
      </c>
      <c r="H126" s="5" t="str">
        <f ca="1">IFERROR(__xludf.DUMMYFUNCTION("IFERROR(VLOOKUP(F140,IMPORTRANGE(""https://docs.google.com/spreadsheets/d/1Kvs4KS76FHFqLFIZfrDMff4kP08nblUkihrxltoGBjg/edit#gid=934712705"",""ESENCIAL!A6:BG""),8,FALSE))"),"")</f>
        <v/>
      </c>
      <c r="L126" s="287"/>
      <c r="U126" s="40"/>
      <c r="AU126" s="41" t="str">
        <f t="shared" si="4"/>
        <v/>
      </c>
      <c r="AV126" s="5" t="str">
        <f ca="1">IFERROR(__xludf.DUMMYFUNCTION("IFERROR(VLOOKUP(E140&amp;F140,IMPORTRANGE(""https://docs.google.com/spreadsheets/d/1Uw7-A9f9R21vMXxHZFNpYNeKFtG8_yji4HS352LGlSQ/edit?pli=1#gid=0"",""1_ACUM!A4:S""),11,FALSE))"),"")</f>
        <v/>
      </c>
      <c r="AW126" s="42" t="str">
        <f ca="1">IFERROR(__xludf.DUMMYFUNCTION("IFERROR(VLOOKUP(F140,IMPORTRANGE(""https://docs.google.com/spreadsheets/d/1Kvs4KS76FHFqLFIZfrDMff4kP08nblUkihrxltoGBjg/edit#gid=934712705"",""ESENCIAL!A6:BG""),15,FALSE))"),"")</f>
        <v/>
      </c>
      <c r="AX126" s="21" t="str">
        <f ca="1">IFERROR(__xludf.DUMMYFUNCTION("IFERROR(VLOOKUP(E140&amp;F140,IMPORTRANGE(""https://docs.google.com/spreadsheets/d/1Uw7-A9f9R21vMXxHZFNpYNeKFtG8_yji4HS352LGlSQ/edit?pli=1#gid=0"",""1_ACUM!A4:S""),12,FALSE))"),"")</f>
        <v/>
      </c>
      <c r="AY126" s="43" t="str">
        <f ca="1">IFERROR(__xludf.DUMMYFUNCTION("IFERROR(VLOOKUP(E140&amp;F140,IMPORTRANGE(""https://docs.google.com/spreadsheets/d/1Uw7-A9f9R21vMXxHZFNpYNeKFtG8_yji4HS352LGlSQ/edit?pli=1#gid=0"",""1_ACUM!A4:S""),13,FALSE))"),"")</f>
        <v/>
      </c>
      <c r="AZ126" s="43" t="str">
        <f ca="1">IFERROR(__xludf.DUMMYFUNCTION("IFERROR(VLOOKUP(E140&amp;F140,IMPORTRANGE(""https://docs.google.com/spreadsheets/d/1Uw7-A9f9R21vMXxHZFNpYNeKFtG8_yji4HS352LGlSQ/edit?pli=1#gid=0"",""1_ACUM!A4:S""),14,FALSE))"),"")</f>
        <v/>
      </c>
      <c r="BA126" s="43" t="str">
        <f ca="1">IFERROR(__xludf.DUMMYFUNCTION("IFERROR(VLOOKUP(E140&amp;F140,IMPORTRANGE(""https://docs.google.com/spreadsheets/d/1Uw7-A9f9R21vMXxHZFNpYNeKFtG8_yji4HS352LGlSQ/edit?pli=1#gid=0"",""1_ACUM!A4:S""),15,FALSE))"),"")</f>
        <v/>
      </c>
      <c r="BB126" s="43" t="str">
        <f ca="1">IFERROR(__xludf.DUMMYFUNCTION("IFERROR(VLOOKUP(E140&amp;F140,IMPORTRANGE(""https://docs.google.com/spreadsheets/d/1Uw7-A9f9R21vMXxHZFNpYNeKFtG8_yji4HS352LGlSQ/edit?pli=1#gid=0"",""1_ACUM!A4:S""),16,FALSE))"),"")</f>
        <v/>
      </c>
      <c r="BC126" s="43" t="str">
        <f ca="1">IFERROR(__xludf.DUMMYFUNCTION("IFERROR(VLOOKUP(E140&amp;F140,IMPORTRANGE(""https://docs.google.com/spreadsheets/d/1Uw7-A9f9R21vMXxHZFNpYNeKFtG8_yji4HS352LGlSQ/edit?pli=1#gid=0"",""1_ACUM!A4:S""),17,FALSE))"),"")</f>
        <v/>
      </c>
      <c r="BD126" s="44" t="str">
        <f ca="1">IFERROR(__xludf.DUMMYFUNCTION("IFERROR(VLOOKUP(E140&amp;F140,IMPORTRANGE(""https://docs.google.com/spreadsheets/d/1Uw7-A9f9R21vMXxHZFNpYNeKFtG8_yji4HS352LGlSQ/edit?pli=1#gid=0"",""1_ACUM!A4:S""),18,FALSE))"),"")</f>
        <v/>
      </c>
      <c r="BE126" s="44" t="str">
        <f ca="1">IFERROR(__xludf.DUMMYFUNCTION("IFERROR(VLOOKUP(E140&amp;F140,IMPORTRANGE(""https://docs.google.com/spreadsheets/d/1Uw7-A9f9R21vMXxHZFNpYNeKFtG8_yji4HS352LGlSQ/edit?pli=1#gid=0"",""1_ACUM!A4:S""),19,FALSE))"),"")</f>
        <v/>
      </c>
      <c r="BF126" s="98" t="str">
        <f ca="1">IFERROR(__xludf.DUMMYFUNCTION("IFERROR(VLOOKUP(F140,IMPORTRANGE(""https://docs.google.com/spreadsheets/d/1Kvs4KS76FHFqLFIZfrDMff4kP08nblUkihrxltoGBjg/edit#gid=934712705"",""ESENCIAL!A6:BG""),5,FALSE))"),"")</f>
        <v/>
      </c>
      <c r="BG126" s="98" t="str">
        <f t="shared" si="5"/>
        <v/>
      </c>
      <c r="BH126" s="99" t="str">
        <f t="shared" si="6"/>
        <v/>
      </c>
      <c r="BI126" s="100" t="str">
        <f ca="1">IFERROR(__xludf.DUMMYFUNCTION("IFERROR(VLOOKUP(F140,IMPORTRANGE(""https://docs.google.com/spreadsheets/d/1Kvs4KS76FHFqLFIZfrDMff4kP08nblUkihrxltoGBjg/edit#gid=934712705"",""ESENCIAL!A6:BG""),2,FALSE))"),"")</f>
        <v/>
      </c>
      <c r="BJ126" s="19" t="str">
        <f t="shared" si="7"/>
        <v/>
      </c>
      <c r="BK126" s="100"/>
      <c r="BL126" s="100"/>
    </row>
    <row r="127" spans="1:64" ht="15">
      <c r="A127" s="101"/>
      <c r="B127" s="101"/>
      <c r="G127" s="5" t="str">
        <f ca="1">IFERROR(__xludf.DUMMYFUNCTION("IFERROR(VLOOKUP(F141,IMPORTRANGE(""https://docs.google.com/spreadsheets/d/1Kvs4KS76FHFqLFIZfrDMff4kP08nblUkihrxltoGBjg/edit#gid=934712705"",""ESENCIAL!A6:BG""),3,FALSE))"),"")</f>
        <v/>
      </c>
      <c r="H127" s="5" t="str">
        <f ca="1">IFERROR(__xludf.DUMMYFUNCTION("IFERROR(VLOOKUP(F141,IMPORTRANGE(""https://docs.google.com/spreadsheets/d/1Kvs4KS76FHFqLFIZfrDMff4kP08nblUkihrxltoGBjg/edit#gid=934712705"",""ESENCIAL!A6:BG""),8,FALSE))"),"")</f>
        <v/>
      </c>
      <c r="L127" s="287"/>
      <c r="U127" s="40"/>
      <c r="AU127" s="41" t="str">
        <f t="shared" si="4"/>
        <v/>
      </c>
      <c r="AV127" s="5" t="str">
        <f ca="1">IFERROR(__xludf.DUMMYFUNCTION("IFERROR(VLOOKUP(E141&amp;F141,IMPORTRANGE(""https://docs.google.com/spreadsheets/d/1Uw7-A9f9R21vMXxHZFNpYNeKFtG8_yji4HS352LGlSQ/edit?pli=1#gid=0"",""1_ACUM!A4:S""),11,FALSE))"),"")</f>
        <v/>
      </c>
      <c r="AW127" s="42" t="str">
        <f ca="1">IFERROR(__xludf.DUMMYFUNCTION("IFERROR(VLOOKUP(F141,IMPORTRANGE(""https://docs.google.com/spreadsheets/d/1Kvs4KS76FHFqLFIZfrDMff4kP08nblUkihrxltoGBjg/edit#gid=934712705"",""ESENCIAL!A6:BG""),15,FALSE))"),"")</f>
        <v/>
      </c>
      <c r="AX127" s="21" t="str">
        <f ca="1">IFERROR(__xludf.DUMMYFUNCTION("IFERROR(VLOOKUP(E141&amp;F141,IMPORTRANGE(""https://docs.google.com/spreadsheets/d/1Uw7-A9f9R21vMXxHZFNpYNeKFtG8_yji4HS352LGlSQ/edit?pli=1#gid=0"",""1_ACUM!A4:S""),12,FALSE))"),"")</f>
        <v/>
      </c>
      <c r="AY127" s="43" t="str">
        <f ca="1">IFERROR(__xludf.DUMMYFUNCTION("IFERROR(VLOOKUP(E141&amp;F141,IMPORTRANGE(""https://docs.google.com/spreadsheets/d/1Uw7-A9f9R21vMXxHZFNpYNeKFtG8_yji4HS352LGlSQ/edit?pli=1#gid=0"",""1_ACUM!A4:S""),13,FALSE))"),"")</f>
        <v/>
      </c>
      <c r="AZ127" s="43" t="str">
        <f ca="1">IFERROR(__xludf.DUMMYFUNCTION("IFERROR(VLOOKUP(E141&amp;F141,IMPORTRANGE(""https://docs.google.com/spreadsheets/d/1Uw7-A9f9R21vMXxHZFNpYNeKFtG8_yji4HS352LGlSQ/edit?pli=1#gid=0"",""1_ACUM!A4:S""),14,FALSE))"),"")</f>
        <v/>
      </c>
      <c r="BA127" s="43" t="str">
        <f ca="1">IFERROR(__xludf.DUMMYFUNCTION("IFERROR(VLOOKUP(E141&amp;F141,IMPORTRANGE(""https://docs.google.com/spreadsheets/d/1Uw7-A9f9R21vMXxHZFNpYNeKFtG8_yji4HS352LGlSQ/edit?pli=1#gid=0"",""1_ACUM!A4:S""),15,FALSE))"),"")</f>
        <v/>
      </c>
      <c r="BB127" s="43" t="str">
        <f ca="1">IFERROR(__xludf.DUMMYFUNCTION("IFERROR(VLOOKUP(E141&amp;F141,IMPORTRANGE(""https://docs.google.com/spreadsheets/d/1Uw7-A9f9R21vMXxHZFNpYNeKFtG8_yji4HS352LGlSQ/edit?pli=1#gid=0"",""1_ACUM!A4:S""),16,FALSE))"),"")</f>
        <v/>
      </c>
      <c r="BC127" s="43" t="str">
        <f ca="1">IFERROR(__xludf.DUMMYFUNCTION("IFERROR(VLOOKUP(E141&amp;F141,IMPORTRANGE(""https://docs.google.com/spreadsheets/d/1Uw7-A9f9R21vMXxHZFNpYNeKFtG8_yji4HS352LGlSQ/edit?pli=1#gid=0"",""1_ACUM!A4:S""),17,FALSE))"),"")</f>
        <v/>
      </c>
      <c r="BD127" s="44" t="str">
        <f ca="1">IFERROR(__xludf.DUMMYFUNCTION("IFERROR(VLOOKUP(E141&amp;F141,IMPORTRANGE(""https://docs.google.com/spreadsheets/d/1Uw7-A9f9R21vMXxHZFNpYNeKFtG8_yji4HS352LGlSQ/edit?pli=1#gid=0"",""1_ACUM!A4:S""),18,FALSE))"),"")</f>
        <v/>
      </c>
      <c r="BE127" s="44" t="str">
        <f ca="1">IFERROR(__xludf.DUMMYFUNCTION("IFERROR(VLOOKUP(E141&amp;F141,IMPORTRANGE(""https://docs.google.com/spreadsheets/d/1Uw7-A9f9R21vMXxHZFNpYNeKFtG8_yji4HS352LGlSQ/edit?pli=1#gid=0"",""1_ACUM!A4:S""),19,FALSE))"),"")</f>
        <v/>
      </c>
      <c r="BF127" s="98" t="str">
        <f ca="1">IFERROR(__xludf.DUMMYFUNCTION("IFERROR(VLOOKUP(F141,IMPORTRANGE(""https://docs.google.com/spreadsheets/d/1Kvs4KS76FHFqLFIZfrDMff4kP08nblUkihrxltoGBjg/edit#gid=934712705"",""ESENCIAL!A6:BG""),5,FALSE))"),"")</f>
        <v/>
      </c>
      <c r="BG127" s="98" t="str">
        <f t="shared" si="5"/>
        <v/>
      </c>
      <c r="BH127" s="99" t="str">
        <f t="shared" si="6"/>
        <v/>
      </c>
      <c r="BI127" s="100" t="str">
        <f ca="1">IFERROR(__xludf.DUMMYFUNCTION("IFERROR(VLOOKUP(F141,IMPORTRANGE(""https://docs.google.com/spreadsheets/d/1Kvs4KS76FHFqLFIZfrDMff4kP08nblUkihrxltoGBjg/edit#gid=934712705"",""ESENCIAL!A6:BG""),2,FALSE))"),"")</f>
        <v/>
      </c>
      <c r="BJ127" s="19" t="str">
        <f t="shared" si="7"/>
        <v/>
      </c>
      <c r="BK127" s="100"/>
      <c r="BL127" s="100"/>
    </row>
    <row r="128" spans="1:64" ht="15">
      <c r="A128" s="101"/>
      <c r="B128" s="101"/>
      <c r="G128" s="5" t="str">
        <f ca="1">IFERROR(__xludf.DUMMYFUNCTION("IFERROR(VLOOKUP(F142,IMPORTRANGE(""https://docs.google.com/spreadsheets/d/1Kvs4KS76FHFqLFIZfrDMff4kP08nblUkihrxltoGBjg/edit#gid=934712705"",""ESENCIAL!A6:BG""),3,FALSE))"),"")</f>
        <v/>
      </c>
      <c r="H128" s="5" t="str">
        <f ca="1">IFERROR(__xludf.DUMMYFUNCTION("IFERROR(VLOOKUP(F142,IMPORTRANGE(""https://docs.google.com/spreadsheets/d/1Kvs4KS76FHFqLFIZfrDMff4kP08nblUkihrxltoGBjg/edit#gid=934712705"",""ESENCIAL!A6:BG""),8,FALSE))"),"")</f>
        <v/>
      </c>
      <c r="L128" s="287"/>
      <c r="U128" s="40"/>
      <c r="AU128" s="41" t="str">
        <f t="shared" si="4"/>
        <v/>
      </c>
      <c r="AV128" s="5" t="str">
        <f ca="1">IFERROR(__xludf.DUMMYFUNCTION("IFERROR(VLOOKUP(E142&amp;F142,IMPORTRANGE(""https://docs.google.com/spreadsheets/d/1Uw7-A9f9R21vMXxHZFNpYNeKFtG8_yji4HS352LGlSQ/edit?pli=1#gid=0"",""1_ACUM!A4:S""),11,FALSE))"),"")</f>
        <v/>
      </c>
      <c r="AW128" s="42" t="str">
        <f ca="1">IFERROR(__xludf.DUMMYFUNCTION("IFERROR(VLOOKUP(F142,IMPORTRANGE(""https://docs.google.com/spreadsheets/d/1Kvs4KS76FHFqLFIZfrDMff4kP08nblUkihrxltoGBjg/edit#gid=934712705"",""ESENCIAL!A6:BG""),15,FALSE))"),"")</f>
        <v/>
      </c>
      <c r="AX128" s="21" t="str">
        <f ca="1">IFERROR(__xludf.DUMMYFUNCTION("IFERROR(VLOOKUP(E142&amp;F142,IMPORTRANGE(""https://docs.google.com/spreadsheets/d/1Uw7-A9f9R21vMXxHZFNpYNeKFtG8_yji4HS352LGlSQ/edit?pli=1#gid=0"",""1_ACUM!A4:S""),12,FALSE))"),"")</f>
        <v/>
      </c>
      <c r="AY128" s="43" t="str">
        <f ca="1">IFERROR(__xludf.DUMMYFUNCTION("IFERROR(VLOOKUP(E142&amp;F142,IMPORTRANGE(""https://docs.google.com/spreadsheets/d/1Uw7-A9f9R21vMXxHZFNpYNeKFtG8_yji4HS352LGlSQ/edit?pli=1#gid=0"",""1_ACUM!A4:S""),13,FALSE))"),"")</f>
        <v/>
      </c>
      <c r="AZ128" s="43" t="str">
        <f ca="1">IFERROR(__xludf.DUMMYFUNCTION("IFERROR(VLOOKUP(E142&amp;F142,IMPORTRANGE(""https://docs.google.com/spreadsheets/d/1Uw7-A9f9R21vMXxHZFNpYNeKFtG8_yji4HS352LGlSQ/edit?pli=1#gid=0"",""1_ACUM!A4:S""),14,FALSE))"),"")</f>
        <v/>
      </c>
      <c r="BA128" s="43" t="str">
        <f ca="1">IFERROR(__xludf.DUMMYFUNCTION("IFERROR(VLOOKUP(E142&amp;F142,IMPORTRANGE(""https://docs.google.com/spreadsheets/d/1Uw7-A9f9R21vMXxHZFNpYNeKFtG8_yji4HS352LGlSQ/edit?pli=1#gid=0"",""1_ACUM!A4:S""),15,FALSE))"),"")</f>
        <v/>
      </c>
      <c r="BB128" s="43" t="str">
        <f ca="1">IFERROR(__xludf.DUMMYFUNCTION("IFERROR(VLOOKUP(E142&amp;F142,IMPORTRANGE(""https://docs.google.com/spreadsheets/d/1Uw7-A9f9R21vMXxHZFNpYNeKFtG8_yji4HS352LGlSQ/edit?pli=1#gid=0"",""1_ACUM!A4:S""),16,FALSE))"),"")</f>
        <v/>
      </c>
      <c r="BC128" s="43" t="str">
        <f ca="1">IFERROR(__xludf.DUMMYFUNCTION("IFERROR(VLOOKUP(E142&amp;F142,IMPORTRANGE(""https://docs.google.com/spreadsheets/d/1Uw7-A9f9R21vMXxHZFNpYNeKFtG8_yji4HS352LGlSQ/edit?pli=1#gid=0"",""1_ACUM!A4:S""),17,FALSE))"),"")</f>
        <v/>
      </c>
      <c r="BD128" s="44" t="str">
        <f ca="1">IFERROR(__xludf.DUMMYFUNCTION("IFERROR(VLOOKUP(E142&amp;F142,IMPORTRANGE(""https://docs.google.com/spreadsheets/d/1Uw7-A9f9R21vMXxHZFNpYNeKFtG8_yji4HS352LGlSQ/edit?pli=1#gid=0"",""1_ACUM!A4:S""),18,FALSE))"),"")</f>
        <v/>
      </c>
      <c r="BE128" s="44" t="str">
        <f ca="1">IFERROR(__xludf.DUMMYFUNCTION("IFERROR(VLOOKUP(E142&amp;F142,IMPORTRANGE(""https://docs.google.com/spreadsheets/d/1Uw7-A9f9R21vMXxHZFNpYNeKFtG8_yji4HS352LGlSQ/edit?pli=1#gid=0"",""1_ACUM!A4:S""),19,FALSE))"),"")</f>
        <v/>
      </c>
      <c r="BF128" s="98" t="str">
        <f ca="1">IFERROR(__xludf.DUMMYFUNCTION("IFERROR(VLOOKUP(F142,IMPORTRANGE(""https://docs.google.com/spreadsheets/d/1Kvs4KS76FHFqLFIZfrDMff4kP08nblUkihrxltoGBjg/edit#gid=934712705"",""ESENCIAL!A6:BG""),5,FALSE))"),"")</f>
        <v/>
      </c>
      <c r="BG128" s="98" t="str">
        <f t="shared" si="5"/>
        <v/>
      </c>
      <c r="BH128" s="99" t="str">
        <f t="shared" si="6"/>
        <v/>
      </c>
      <c r="BI128" s="100" t="str">
        <f ca="1">IFERROR(__xludf.DUMMYFUNCTION("IFERROR(VLOOKUP(F142,IMPORTRANGE(""https://docs.google.com/spreadsheets/d/1Kvs4KS76FHFqLFIZfrDMff4kP08nblUkihrxltoGBjg/edit#gid=934712705"",""ESENCIAL!A6:BG""),2,FALSE))"),"")</f>
        <v/>
      </c>
      <c r="BJ128" s="19" t="str">
        <f t="shared" si="7"/>
        <v/>
      </c>
      <c r="BK128" s="100"/>
      <c r="BL128" s="100"/>
    </row>
    <row r="129" spans="1:64" ht="15">
      <c r="A129" s="112"/>
      <c r="B129" s="101"/>
      <c r="G129" s="5" t="str">
        <f ca="1">IFERROR(__xludf.DUMMYFUNCTION("IFERROR(VLOOKUP(F143,IMPORTRANGE(""https://docs.google.com/spreadsheets/d/1Kvs4KS76FHFqLFIZfrDMff4kP08nblUkihrxltoGBjg/edit#gid=934712705"",""ESENCIAL!A6:BG""),3,FALSE))"),"")</f>
        <v/>
      </c>
      <c r="H129" s="5" t="str">
        <f ca="1">IFERROR(__xludf.DUMMYFUNCTION("IFERROR(VLOOKUP(F143,IMPORTRANGE(""https://docs.google.com/spreadsheets/d/1Kvs4KS76FHFqLFIZfrDMff4kP08nblUkihrxltoGBjg/edit#gid=934712705"",""ESENCIAL!A6:BG""),8,FALSE))"),"")</f>
        <v/>
      </c>
      <c r="L129" s="287"/>
      <c r="U129" s="40"/>
      <c r="AU129" s="41" t="str">
        <f t="shared" si="4"/>
        <v/>
      </c>
      <c r="AV129" s="5" t="str">
        <f ca="1">IFERROR(__xludf.DUMMYFUNCTION("IFERROR(VLOOKUP(E143&amp;F143,IMPORTRANGE(""https://docs.google.com/spreadsheets/d/1Uw7-A9f9R21vMXxHZFNpYNeKFtG8_yji4HS352LGlSQ/edit?pli=1#gid=0"",""1_ACUM!A4:S""),11,FALSE))"),"")</f>
        <v/>
      </c>
      <c r="AW129" s="42" t="str">
        <f ca="1">IFERROR(__xludf.DUMMYFUNCTION("IFERROR(VLOOKUP(F143,IMPORTRANGE(""https://docs.google.com/spreadsheets/d/1Kvs4KS76FHFqLFIZfrDMff4kP08nblUkihrxltoGBjg/edit#gid=934712705"",""ESENCIAL!A6:BG""),15,FALSE))"),"")</f>
        <v/>
      </c>
      <c r="AX129" s="21" t="str">
        <f ca="1">IFERROR(__xludf.DUMMYFUNCTION("IFERROR(VLOOKUP(E143&amp;F143,IMPORTRANGE(""https://docs.google.com/spreadsheets/d/1Uw7-A9f9R21vMXxHZFNpYNeKFtG8_yji4HS352LGlSQ/edit?pli=1#gid=0"",""1_ACUM!A4:S""),12,FALSE))"),"")</f>
        <v/>
      </c>
      <c r="AY129" s="43" t="str">
        <f ca="1">IFERROR(__xludf.DUMMYFUNCTION("IFERROR(VLOOKUP(E143&amp;F143,IMPORTRANGE(""https://docs.google.com/spreadsheets/d/1Uw7-A9f9R21vMXxHZFNpYNeKFtG8_yji4HS352LGlSQ/edit?pli=1#gid=0"",""1_ACUM!A4:S""),13,FALSE))"),"")</f>
        <v/>
      </c>
      <c r="AZ129" s="43" t="str">
        <f ca="1">IFERROR(__xludf.DUMMYFUNCTION("IFERROR(VLOOKUP(E143&amp;F143,IMPORTRANGE(""https://docs.google.com/spreadsheets/d/1Uw7-A9f9R21vMXxHZFNpYNeKFtG8_yji4HS352LGlSQ/edit?pli=1#gid=0"",""1_ACUM!A4:S""),14,FALSE))"),"")</f>
        <v/>
      </c>
      <c r="BA129" s="43" t="str">
        <f ca="1">IFERROR(__xludf.DUMMYFUNCTION("IFERROR(VLOOKUP(E143&amp;F143,IMPORTRANGE(""https://docs.google.com/spreadsheets/d/1Uw7-A9f9R21vMXxHZFNpYNeKFtG8_yji4HS352LGlSQ/edit?pli=1#gid=0"",""1_ACUM!A4:S""),15,FALSE))"),"")</f>
        <v/>
      </c>
      <c r="BB129" s="43" t="str">
        <f ca="1">IFERROR(__xludf.DUMMYFUNCTION("IFERROR(VLOOKUP(E143&amp;F143,IMPORTRANGE(""https://docs.google.com/spreadsheets/d/1Uw7-A9f9R21vMXxHZFNpYNeKFtG8_yji4HS352LGlSQ/edit?pli=1#gid=0"",""1_ACUM!A4:S""),16,FALSE))"),"")</f>
        <v/>
      </c>
      <c r="BC129" s="43" t="str">
        <f ca="1">IFERROR(__xludf.DUMMYFUNCTION("IFERROR(VLOOKUP(E143&amp;F143,IMPORTRANGE(""https://docs.google.com/spreadsheets/d/1Uw7-A9f9R21vMXxHZFNpYNeKFtG8_yji4HS352LGlSQ/edit?pli=1#gid=0"",""1_ACUM!A4:S""),17,FALSE))"),"")</f>
        <v/>
      </c>
      <c r="BD129" s="44" t="str">
        <f ca="1">IFERROR(__xludf.DUMMYFUNCTION("IFERROR(VLOOKUP(E143&amp;F143,IMPORTRANGE(""https://docs.google.com/spreadsheets/d/1Uw7-A9f9R21vMXxHZFNpYNeKFtG8_yji4HS352LGlSQ/edit?pli=1#gid=0"",""1_ACUM!A4:S""),18,FALSE))"),"")</f>
        <v/>
      </c>
      <c r="BE129" s="44" t="str">
        <f ca="1">IFERROR(__xludf.DUMMYFUNCTION("IFERROR(VLOOKUP(E143&amp;F143,IMPORTRANGE(""https://docs.google.com/spreadsheets/d/1Uw7-A9f9R21vMXxHZFNpYNeKFtG8_yji4HS352LGlSQ/edit?pli=1#gid=0"",""1_ACUM!A4:S""),19,FALSE))"),"")</f>
        <v/>
      </c>
      <c r="BF129" s="98" t="str">
        <f ca="1">IFERROR(__xludf.DUMMYFUNCTION("IFERROR(VLOOKUP(F143,IMPORTRANGE(""https://docs.google.com/spreadsheets/d/1Kvs4KS76FHFqLFIZfrDMff4kP08nblUkihrxltoGBjg/edit#gid=934712705"",""ESENCIAL!A6:BG""),5,FALSE))"),"")</f>
        <v/>
      </c>
      <c r="BG129" s="98" t="str">
        <f t="shared" si="5"/>
        <v/>
      </c>
      <c r="BH129" s="99" t="str">
        <f t="shared" si="6"/>
        <v/>
      </c>
      <c r="BI129" s="100" t="str">
        <f ca="1">IFERROR(__xludf.DUMMYFUNCTION("IFERROR(VLOOKUP(F143,IMPORTRANGE(""https://docs.google.com/spreadsheets/d/1Kvs4KS76FHFqLFIZfrDMff4kP08nblUkihrxltoGBjg/edit#gid=934712705"",""ESENCIAL!A6:BG""),2,FALSE))"),"")</f>
        <v/>
      </c>
      <c r="BJ129" s="19" t="str">
        <f t="shared" si="7"/>
        <v/>
      </c>
      <c r="BK129" s="100"/>
      <c r="BL129" s="100"/>
    </row>
    <row r="130" spans="1:64" ht="15">
      <c r="A130" s="101"/>
      <c r="B130" s="101"/>
      <c r="G130" s="5" t="str">
        <f ca="1">IFERROR(__xludf.DUMMYFUNCTION("IFERROR(VLOOKUP(F144,IMPORTRANGE(""https://docs.google.com/spreadsheets/d/1Kvs4KS76FHFqLFIZfrDMff4kP08nblUkihrxltoGBjg/edit#gid=934712705"",""ESENCIAL!A6:BG""),3,FALSE))"),"")</f>
        <v/>
      </c>
      <c r="H130" s="5" t="str">
        <f ca="1">IFERROR(__xludf.DUMMYFUNCTION("IFERROR(VLOOKUP(F144,IMPORTRANGE(""https://docs.google.com/spreadsheets/d/1Kvs4KS76FHFqLFIZfrDMff4kP08nblUkihrxltoGBjg/edit#gid=934712705"",""ESENCIAL!A6:BG""),8,FALSE))"),"")</f>
        <v/>
      </c>
      <c r="L130" s="287"/>
      <c r="U130" s="40"/>
      <c r="AU130" s="41" t="str">
        <f t="shared" si="4"/>
        <v/>
      </c>
      <c r="AV130" s="5" t="str">
        <f ca="1">IFERROR(__xludf.DUMMYFUNCTION("IFERROR(VLOOKUP(E144&amp;F144,IMPORTRANGE(""https://docs.google.com/spreadsheets/d/1Uw7-A9f9R21vMXxHZFNpYNeKFtG8_yji4HS352LGlSQ/edit?pli=1#gid=0"",""1_ACUM!A4:S""),11,FALSE))"),"")</f>
        <v/>
      </c>
      <c r="AW130" s="42" t="str">
        <f ca="1">IFERROR(__xludf.DUMMYFUNCTION("IFERROR(VLOOKUP(F144,IMPORTRANGE(""https://docs.google.com/spreadsheets/d/1Kvs4KS76FHFqLFIZfrDMff4kP08nblUkihrxltoGBjg/edit#gid=934712705"",""ESENCIAL!A6:BG""),15,FALSE))"),"")</f>
        <v/>
      </c>
      <c r="AX130" s="21" t="str">
        <f ca="1">IFERROR(__xludf.DUMMYFUNCTION("IFERROR(VLOOKUP(E144&amp;F144,IMPORTRANGE(""https://docs.google.com/spreadsheets/d/1Uw7-A9f9R21vMXxHZFNpYNeKFtG8_yji4HS352LGlSQ/edit?pli=1#gid=0"",""1_ACUM!A4:S""),12,FALSE))"),"")</f>
        <v/>
      </c>
      <c r="AY130" s="43" t="str">
        <f ca="1">IFERROR(__xludf.DUMMYFUNCTION("IFERROR(VLOOKUP(E144&amp;F144,IMPORTRANGE(""https://docs.google.com/spreadsheets/d/1Uw7-A9f9R21vMXxHZFNpYNeKFtG8_yji4HS352LGlSQ/edit?pli=1#gid=0"",""1_ACUM!A4:S""),13,FALSE))"),"")</f>
        <v/>
      </c>
      <c r="AZ130" s="43" t="str">
        <f ca="1">IFERROR(__xludf.DUMMYFUNCTION("IFERROR(VLOOKUP(E144&amp;F144,IMPORTRANGE(""https://docs.google.com/spreadsheets/d/1Uw7-A9f9R21vMXxHZFNpYNeKFtG8_yji4HS352LGlSQ/edit?pli=1#gid=0"",""1_ACUM!A4:S""),14,FALSE))"),"")</f>
        <v/>
      </c>
      <c r="BA130" s="43" t="str">
        <f ca="1">IFERROR(__xludf.DUMMYFUNCTION("IFERROR(VLOOKUP(E144&amp;F144,IMPORTRANGE(""https://docs.google.com/spreadsheets/d/1Uw7-A9f9R21vMXxHZFNpYNeKFtG8_yji4HS352LGlSQ/edit?pli=1#gid=0"",""1_ACUM!A4:S""),15,FALSE))"),"")</f>
        <v/>
      </c>
      <c r="BB130" s="43" t="str">
        <f ca="1">IFERROR(__xludf.DUMMYFUNCTION("IFERROR(VLOOKUP(E144&amp;F144,IMPORTRANGE(""https://docs.google.com/spreadsheets/d/1Uw7-A9f9R21vMXxHZFNpYNeKFtG8_yji4HS352LGlSQ/edit?pli=1#gid=0"",""1_ACUM!A4:S""),16,FALSE))"),"")</f>
        <v/>
      </c>
      <c r="BC130" s="43" t="str">
        <f ca="1">IFERROR(__xludf.DUMMYFUNCTION("IFERROR(VLOOKUP(E144&amp;F144,IMPORTRANGE(""https://docs.google.com/spreadsheets/d/1Uw7-A9f9R21vMXxHZFNpYNeKFtG8_yji4HS352LGlSQ/edit?pli=1#gid=0"",""1_ACUM!A4:S""),17,FALSE))"),"")</f>
        <v/>
      </c>
      <c r="BD130" s="44" t="str">
        <f ca="1">IFERROR(__xludf.DUMMYFUNCTION("IFERROR(VLOOKUP(E144&amp;F144,IMPORTRANGE(""https://docs.google.com/spreadsheets/d/1Uw7-A9f9R21vMXxHZFNpYNeKFtG8_yji4HS352LGlSQ/edit?pli=1#gid=0"",""1_ACUM!A4:S""),18,FALSE))"),"")</f>
        <v/>
      </c>
      <c r="BE130" s="44" t="str">
        <f ca="1">IFERROR(__xludf.DUMMYFUNCTION("IFERROR(VLOOKUP(E144&amp;F144,IMPORTRANGE(""https://docs.google.com/spreadsheets/d/1Uw7-A9f9R21vMXxHZFNpYNeKFtG8_yji4HS352LGlSQ/edit?pli=1#gid=0"",""1_ACUM!A4:S""),19,FALSE))"),"")</f>
        <v/>
      </c>
      <c r="BF130" s="98" t="str">
        <f ca="1">IFERROR(__xludf.DUMMYFUNCTION("IFERROR(VLOOKUP(F144,IMPORTRANGE(""https://docs.google.com/spreadsheets/d/1Kvs4KS76FHFqLFIZfrDMff4kP08nblUkihrxltoGBjg/edit#gid=934712705"",""ESENCIAL!A6:BG""),5,FALSE))"),"")</f>
        <v/>
      </c>
      <c r="BG130" s="98" t="str">
        <f t="shared" si="5"/>
        <v/>
      </c>
      <c r="BH130" s="99" t="str">
        <f t="shared" si="6"/>
        <v/>
      </c>
      <c r="BI130" s="100" t="str">
        <f ca="1">IFERROR(__xludf.DUMMYFUNCTION("IFERROR(VLOOKUP(F144,IMPORTRANGE(""https://docs.google.com/spreadsheets/d/1Kvs4KS76FHFqLFIZfrDMff4kP08nblUkihrxltoGBjg/edit#gid=934712705"",""ESENCIAL!A6:BG""),2,FALSE))"),"")</f>
        <v/>
      </c>
      <c r="BJ130" s="19" t="str">
        <f t="shared" si="7"/>
        <v/>
      </c>
      <c r="BK130" s="100"/>
      <c r="BL130" s="100"/>
    </row>
    <row r="131" spans="1:64" ht="15">
      <c r="A131" s="101"/>
      <c r="B131" s="101"/>
      <c r="G131" s="5" t="str">
        <f ca="1">IFERROR(__xludf.DUMMYFUNCTION("IFERROR(VLOOKUP(F145,IMPORTRANGE(""https://docs.google.com/spreadsheets/d/1Kvs4KS76FHFqLFIZfrDMff4kP08nblUkihrxltoGBjg/edit#gid=934712705"",""ESENCIAL!A6:BG""),3,FALSE))"),"")</f>
        <v/>
      </c>
      <c r="H131" s="5" t="str">
        <f ca="1">IFERROR(__xludf.DUMMYFUNCTION("IFERROR(VLOOKUP(F145,IMPORTRANGE(""https://docs.google.com/spreadsheets/d/1Kvs4KS76FHFqLFIZfrDMff4kP08nblUkihrxltoGBjg/edit#gid=934712705"",""ESENCIAL!A6:BG""),8,FALSE))"),"")</f>
        <v/>
      </c>
      <c r="L131" s="287"/>
      <c r="U131" s="40"/>
      <c r="AU131" s="41" t="str">
        <f t="shared" si="4"/>
        <v/>
      </c>
      <c r="AV131" s="5" t="str">
        <f ca="1">IFERROR(__xludf.DUMMYFUNCTION("IFERROR(VLOOKUP(E145&amp;F145,IMPORTRANGE(""https://docs.google.com/spreadsheets/d/1Uw7-A9f9R21vMXxHZFNpYNeKFtG8_yji4HS352LGlSQ/edit?pli=1#gid=0"",""1_ACUM!A4:S""),11,FALSE))"),"")</f>
        <v/>
      </c>
      <c r="AW131" s="42" t="str">
        <f ca="1">IFERROR(__xludf.DUMMYFUNCTION("IFERROR(VLOOKUP(F145,IMPORTRANGE(""https://docs.google.com/spreadsheets/d/1Kvs4KS76FHFqLFIZfrDMff4kP08nblUkihrxltoGBjg/edit#gid=934712705"",""ESENCIAL!A6:BG""),15,FALSE))"),"")</f>
        <v/>
      </c>
      <c r="AX131" s="21" t="str">
        <f ca="1">IFERROR(__xludf.DUMMYFUNCTION("IFERROR(VLOOKUP(E145&amp;F145,IMPORTRANGE(""https://docs.google.com/spreadsheets/d/1Uw7-A9f9R21vMXxHZFNpYNeKFtG8_yji4HS352LGlSQ/edit?pli=1#gid=0"",""1_ACUM!A4:S""),12,FALSE))"),"")</f>
        <v/>
      </c>
      <c r="AY131" s="43" t="str">
        <f ca="1">IFERROR(__xludf.DUMMYFUNCTION("IFERROR(VLOOKUP(E145&amp;F145,IMPORTRANGE(""https://docs.google.com/spreadsheets/d/1Uw7-A9f9R21vMXxHZFNpYNeKFtG8_yji4HS352LGlSQ/edit?pli=1#gid=0"",""1_ACUM!A4:S""),13,FALSE))"),"")</f>
        <v/>
      </c>
      <c r="AZ131" s="43" t="str">
        <f ca="1">IFERROR(__xludf.DUMMYFUNCTION("IFERROR(VLOOKUP(E145&amp;F145,IMPORTRANGE(""https://docs.google.com/spreadsheets/d/1Uw7-A9f9R21vMXxHZFNpYNeKFtG8_yji4HS352LGlSQ/edit?pli=1#gid=0"",""1_ACUM!A4:S""),14,FALSE))"),"")</f>
        <v/>
      </c>
      <c r="BA131" s="43" t="str">
        <f ca="1">IFERROR(__xludf.DUMMYFUNCTION("IFERROR(VLOOKUP(E145&amp;F145,IMPORTRANGE(""https://docs.google.com/spreadsheets/d/1Uw7-A9f9R21vMXxHZFNpYNeKFtG8_yji4HS352LGlSQ/edit?pli=1#gid=0"",""1_ACUM!A4:S""),15,FALSE))"),"")</f>
        <v/>
      </c>
      <c r="BB131" s="43" t="str">
        <f ca="1">IFERROR(__xludf.DUMMYFUNCTION("IFERROR(VLOOKUP(E145&amp;F145,IMPORTRANGE(""https://docs.google.com/spreadsheets/d/1Uw7-A9f9R21vMXxHZFNpYNeKFtG8_yji4HS352LGlSQ/edit?pli=1#gid=0"",""1_ACUM!A4:S""),16,FALSE))"),"")</f>
        <v/>
      </c>
      <c r="BC131" s="43" t="str">
        <f ca="1">IFERROR(__xludf.DUMMYFUNCTION("IFERROR(VLOOKUP(E145&amp;F145,IMPORTRANGE(""https://docs.google.com/spreadsheets/d/1Uw7-A9f9R21vMXxHZFNpYNeKFtG8_yji4HS352LGlSQ/edit?pli=1#gid=0"",""1_ACUM!A4:S""),17,FALSE))"),"")</f>
        <v/>
      </c>
      <c r="BD131" s="44" t="str">
        <f ca="1">IFERROR(__xludf.DUMMYFUNCTION("IFERROR(VLOOKUP(E145&amp;F145,IMPORTRANGE(""https://docs.google.com/spreadsheets/d/1Uw7-A9f9R21vMXxHZFNpYNeKFtG8_yji4HS352LGlSQ/edit?pli=1#gid=0"",""1_ACUM!A4:S""),18,FALSE))"),"")</f>
        <v/>
      </c>
      <c r="BE131" s="44" t="str">
        <f ca="1">IFERROR(__xludf.DUMMYFUNCTION("IFERROR(VLOOKUP(E145&amp;F145,IMPORTRANGE(""https://docs.google.com/spreadsheets/d/1Uw7-A9f9R21vMXxHZFNpYNeKFtG8_yji4HS352LGlSQ/edit?pli=1#gid=0"",""1_ACUM!A4:S""),19,FALSE))"),"")</f>
        <v/>
      </c>
      <c r="BF131" s="98" t="str">
        <f ca="1">IFERROR(__xludf.DUMMYFUNCTION("IFERROR(VLOOKUP(F145,IMPORTRANGE(""https://docs.google.com/spreadsheets/d/1Kvs4KS76FHFqLFIZfrDMff4kP08nblUkihrxltoGBjg/edit#gid=934712705"",""ESENCIAL!A6:BG""),5,FALSE))"),"")</f>
        <v/>
      </c>
      <c r="BG131" s="98" t="str">
        <f t="shared" si="5"/>
        <v/>
      </c>
      <c r="BH131" s="99" t="str">
        <f t="shared" si="6"/>
        <v/>
      </c>
      <c r="BI131" s="100" t="str">
        <f ca="1">IFERROR(__xludf.DUMMYFUNCTION("IFERROR(VLOOKUP(F145,IMPORTRANGE(""https://docs.google.com/spreadsheets/d/1Kvs4KS76FHFqLFIZfrDMff4kP08nblUkihrxltoGBjg/edit#gid=934712705"",""ESENCIAL!A6:BG""),2,FALSE))"),"")</f>
        <v/>
      </c>
      <c r="BJ131" s="19" t="str">
        <f t="shared" si="7"/>
        <v/>
      </c>
      <c r="BK131" s="100"/>
      <c r="BL131" s="100"/>
    </row>
    <row r="132" spans="1:64" ht="15">
      <c r="A132" s="101"/>
      <c r="B132" s="101"/>
      <c r="G132" s="5" t="str">
        <f ca="1">IFERROR(__xludf.DUMMYFUNCTION("IFERROR(VLOOKUP(F146,IMPORTRANGE(""https://docs.google.com/spreadsheets/d/1Kvs4KS76FHFqLFIZfrDMff4kP08nblUkihrxltoGBjg/edit#gid=934712705"",""ESENCIAL!A6:BG""),3,FALSE))"),"")</f>
        <v/>
      </c>
      <c r="H132" s="5" t="str">
        <f ca="1">IFERROR(__xludf.DUMMYFUNCTION("IFERROR(VLOOKUP(F146,IMPORTRANGE(""https://docs.google.com/spreadsheets/d/1Kvs4KS76FHFqLFIZfrDMff4kP08nblUkihrxltoGBjg/edit#gid=934712705"",""ESENCIAL!A6:BG""),8,FALSE))"),"")</f>
        <v/>
      </c>
      <c r="L132" s="287"/>
      <c r="U132" s="40"/>
      <c r="AU132" s="41" t="str">
        <f t="shared" ref="AU132:AU195" si="8">IF(E132&gt;0,IF(AND(BC132=1,AZ132=1),"Procede_E_P","NO_CUMPLE"),"")</f>
        <v/>
      </c>
      <c r="AV132" s="5" t="str">
        <f ca="1">IFERROR(__xludf.DUMMYFUNCTION("IFERROR(VLOOKUP(E146&amp;F146,IMPORTRANGE(""https://docs.google.com/spreadsheets/d/1Uw7-A9f9R21vMXxHZFNpYNeKFtG8_yji4HS352LGlSQ/edit?pli=1#gid=0"",""1_ACUM!A4:S""),11,FALSE))"),"")</f>
        <v/>
      </c>
      <c r="AW132" s="42" t="str">
        <f ca="1">IFERROR(__xludf.DUMMYFUNCTION("IFERROR(VLOOKUP(F146,IMPORTRANGE(""https://docs.google.com/spreadsheets/d/1Kvs4KS76FHFqLFIZfrDMff4kP08nblUkihrxltoGBjg/edit#gid=934712705"",""ESENCIAL!A6:BG""),15,FALSE))"),"")</f>
        <v/>
      </c>
      <c r="AX132" s="21" t="str">
        <f ca="1">IFERROR(__xludf.DUMMYFUNCTION("IFERROR(VLOOKUP(E146&amp;F146,IMPORTRANGE(""https://docs.google.com/spreadsheets/d/1Uw7-A9f9R21vMXxHZFNpYNeKFtG8_yji4HS352LGlSQ/edit?pli=1#gid=0"",""1_ACUM!A4:S""),12,FALSE))"),"")</f>
        <v/>
      </c>
      <c r="AY132" s="43" t="str">
        <f ca="1">IFERROR(__xludf.DUMMYFUNCTION("IFERROR(VLOOKUP(E146&amp;F146,IMPORTRANGE(""https://docs.google.com/spreadsheets/d/1Uw7-A9f9R21vMXxHZFNpYNeKFtG8_yji4HS352LGlSQ/edit?pli=1#gid=0"",""1_ACUM!A4:S""),13,FALSE))"),"")</f>
        <v/>
      </c>
      <c r="AZ132" s="43" t="str">
        <f ca="1">IFERROR(__xludf.DUMMYFUNCTION("IFERROR(VLOOKUP(E146&amp;F146,IMPORTRANGE(""https://docs.google.com/spreadsheets/d/1Uw7-A9f9R21vMXxHZFNpYNeKFtG8_yji4HS352LGlSQ/edit?pli=1#gid=0"",""1_ACUM!A4:S""),14,FALSE))"),"")</f>
        <v/>
      </c>
      <c r="BA132" s="43" t="str">
        <f ca="1">IFERROR(__xludf.DUMMYFUNCTION("IFERROR(VLOOKUP(E146&amp;F146,IMPORTRANGE(""https://docs.google.com/spreadsheets/d/1Uw7-A9f9R21vMXxHZFNpYNeKFtG8_yji4HS352LGlSQ/edit?pli=1#gid=0"",""1_ACUM!A4:S""),15,FALSE))"),"")</f>
        <v/>
      </c>
      <c r="BB132" s="43" t="str">
        <f ca="1">IFERROR(__xludf.DUMMYFUNCTION("IFERROR(VLOOKUP(E146&amp;F146,IMPORTRANGE(""https://docs.google.com/spreadsheets/d/1Uw7-A9f9R21vMXxHZFNpYNeKFtG8_yji4HS352LGlSQ/edit?pli=1#gid=0"",""1_ACUM!A4:S""),16,FALSE))"),"")</f>
        <v/>
      </c>
      <c r="BC132" s="43" t="str">
        <f ca="1">IFERROR(__xludf.DUMMYFUNCTION("IFERROR(VLOOKUP(E146&amp;F146,IMPORTRANGE(""https://docs.google.com/spreadsheets/d/1Uw7-A9f9R21vMXxHZFNpYNeKFtG8_yji4HS352LGlSQ/edit?pli=1#gid=0"",""1_ACUM!A4:S""),17,FALSE))"),"")</f>
        <v/>
      </c>
      <c r="BD132" s="44" t="str">
        <f ca="1">IFERROR(__xludf.DUMMYFUNCTION("IFERROR(VLOOKUP(E146&amp;F146,IMPORTRANGE(""https://docs.google.com/spreadsheets/d/1Uw7-A9f9R21vMXxHZFNpYNeKFtG8_yji4HS352LGlSQ/edit?pli=1#gid=0"",""1_ACUM!A4:S""),18,FALSE))"),"")</f>
        <v/>
      </c>
      <c r="BE132" s="44" t="str">
        <f ca="1">IFERROR(__xludf.DUMMYFUNCTION("IFERROR(VLOOKUP(E146&amp;F146,IMPORTRANGE(""https://docs.google.com/spreadsheets/d/1Uw7-A9f9R21vMXxHZFNpYNeKFtG8_yji4HS352LGlSQ/edit?pli=1#gid=0"",""1_ACUM!A4:S""),19,FALSE))"),"")</f>
        <v/>
      </c>
      <c r="BF132" s="98" t="str">
        <f ca="1">IFERROR(__xludf.DUMMYFUNCTION("IFERROR(VLOOKUP(F146,IMPORTRANGE(""https://docs.google.com/spreadsheets/d/1Kvs4KS76FHFqLFIZfrDMff4kP08nblUkihrxltoGBjg/edit#gid=934712705"",""ESENCIAL!A6:BG""),5,FALSE))"),"")</f>
        <v/>
      </c>
      <c r="BG132" s="98" t="str">
        <f t="shared" ref="BG132:BG195" si="9">IF(F132&gt;0,EDATE(BF132,18),"")</f>
        <v/>
      </c>
      <c r="BH132" s="99" t="str">
        <f t="shared" ref="BH132:BH195" si="10">IF(F132&gt;0,IF(BG132&lt;$BH$1,"FINALIZAR FICHA","FICHA EN TIEMPO-18 MESES"),"")</f>
        <v/>
      </c>
      <c r="BI132" s="100" t="str">
        <f ca="1">IFERROR(__xludf.DUMMYFUNCTION("IFERROR(VLOOKUP(F146,IMPORTRANGE(""https://docs.google.com/spreadsheets/d/1Kvs4KS76FHFqLFIZfrDMff4kP08nblUkihrxltoGBjg/edit#gid=934712705"",""ESENCIAL!A6:BG""),2,FALSE))"),"")</f>
        <v/>
      </c>
      <c r="BJ132" s="19" t="str">
        <f t="shared" ref="BJ132:BJ195" si="11">IF(F132&gt;0,"Yamboro","")</f>
        <v/>
      </c>
      <c r="BK132" s="100"/>
      <c r="BL132" s="100"/>
    </row>
    <row r="133" spans="1:64" ht="15">
      <c r="A133" s="101"/>
      <c r="B133" s="101"/>
      <c r="G133" s="5" t="str">
        <f ca="1">IFERROR(__xludf.DUMMYFUNCTION("IFERROR(VLOOKUP(F147,IMPORTRANGE(""https://docs.google.com/spreadsheets/d/1Kvs4KS76FHFqLFIZfrDMff4kP08nblUkihrxltoGBjg/edit#gid=934712705"",""ESENCIAL!A6:BG""),3,FALSE))"),"")</f>
        <v/>
      </c>
      <c r="H133" s="5" t="str">
        <f ca="1">IFERROR(__xludf.DUMMYFUNCTION("IFERROR(VLOOKUP(F147,IMPORTRANGE(""https://docs.google.com/spreadsheets/d/1Kvs4KS76FHFqLFIZfrDMff4kP08nblUkihrxltoGBjg/edit#gid=934712705"",""ESENCIAL!A6:BG""),8,FALSE))"),"")</f>
        <v/>
      </c>
      <c r="L133" s="287"/>
      <c r="U133" s="40"/>
      <c r="AU133" s="41" t="str">
        <f t="shared" si="8"/>
        <v/>
      </c>
      <c r="AV133" s="5" t="str">
        <f ca="1">IFERROR(__xludf.DUMMYFUNCTION("IFERROR(VLOOKUP(E147&amp;F147,IMPORTRANGE(""https://docs.google.com/spreadsheets/d/1Uw7-A9f9R21vMXxHZFNpYNeKFtG8_yji4HS352LGlSQ/edit?pli=1#gid=0"",""1_ACUM!A4:S""),11,FALSE))"),"")</f>
        <v/>
      </c>
      <c r="AW133" s="42" t="str">
        <f ca="1">IFERROR(__xludf.DUMMYFUNCTION("IFERROR(VLOOKUP(F147,IMPORTRANGE(""https://docs.google.com/spreadsheets/d/1Kvs4KS76FHFqLFIZfrDMff4kP08nblUkihrxltoGBjg/edit#gid=934712705"",""ESENCIAL!A6:BG""),15,FALSE))"),"")</f>
        <v/>
      </c>
      <c r="AX133" s="21" t="str">
        <f ca="1">IFERROR(__xludf.DUMMYFUNCTION("IFERROR(VLOOKUP(E147&amp;F147,IMPORTRANGE(""https://docs.google.com/spreadsheets/d/1Uw7-A9f9R21vMXxHZFNpYNeKFtG8_yji4HS352LGlSQ/edit?pli=1#gid=0"",""1_ACUM!A4:S""),12,FALSE))"),"")</f>
        <v/>
      </c>
      <c r="AY133" s="43" t="str">
        <f ca="1">IFERROR(__xludf.DUMMYFUNCTION("IFERROR(VLOOKUP(E147&amp;F147,IMPORTRANGE(""https://docs.google.com/spreadsheets/d/1Uw7-A9f9R21vMXxHZFNpYNeKFtG8_yji4HS352LGlSQ/edit?pli=1#gid=0"",""1_ACUM!A4:S""),13,FALSE))"),"")</f>
        <v/>
      </c>
      <c r="AZ133" s="43" t="str">
        <f ca="1">IFERROR(__xludf.DUMMYFUNCTION("IFERROR(VLOOKUP(E147&amp;F147,IMPORTRANGE(""https://docs.google.com/spreadsheets/d/1Uw7-A9f9R21vMXxHZFNpYNeKFtG8_yji4HS352LGlSQ/edit?pli=1#gid=0"",""1_ACUM!A4:S""),14,FALSE))"),"")</f>
        <v/>
      </c>
      <c r="BA133" s="43" t="str">
        <f ca="1">IFERROR(__xludf.DUMMYFUNCTION("IFERROR(VLOOKUP(E147&amp;F147,IMPORTRANGE(""https://docs.google.com/spreadsheets/d/1Uw7-A9f9R21vMXxHZFNpYNeKFtG8_yji4HS352LGlSQ/edit?pli=1#gid=0"",""1_ACUM!A4:S""),15,FALSE))"),"")</f>
        <v/>
      </c>
      <c r="BB133" s="43" t="str">
        <f ca="1">IFERROR(__xludf.DUMMYFUNCTION("IFERROR(VLOOKUP(E147&amp;F147,IMPORTRANGE(""https://docs.google.com/spreadsheets/d/1Uw7-A9f9R21vMXxHZFNpYNeKFtG8_yji4HS352LGlSQ/edit?pli=1#gid=0"",""1_ACUM!A4:S""),16,FALSE))"),"")</f>
        <v/>
      </c>
      <c r="BC133" s="43" t="str">
        <f ca="1">IFERROR(__xludf.DUMMYFUNCTION("IFERROR(VLOOKUP(E147&amp;F147,IMPORTRANGE(""https://docs.google.com/spreadsheets/d/1Uw7-A9f9R21vMXxHZFNpYNeKFtG8_yji4HS352LGlSQ/edit?pli=1#gid=0"",""1_ACUM!A4:S""),17,FALSE))"),"")</f>
        <v/>
      </c>
      <c r="BD133" s="44" t="str">
        <f ca="1">IFERROR(__xludf.DUMMYFUNCTION("IFERROR(VLOOKUP(E147&amp;F147,IMPORTRANGE(""https://docs.google.com/spreadsheets/d/1Uw7-A9f9R21vMXxHZFNpYNeKFtG8_yji4HS352LGlSQ/edit?pli=1#gid=0"",""1_ACUM!A4:S""),18,FALSE))"),"")</f>
        <v/>
      </c>
      <c r="BE133" s="44" t="str">
        <f ca="1">IFERROR(__xludf.DUMMYFUNCTION("IFERROR(VLOOKUP(E147&amp;F147,IMPORTRANGE(""https://docs.google.com/spreadsheets/d/1Uw7-A9f9R21vMXxHZFNpYNeKFtG8_yji4HS352LGlSQ/edit?pli=1#gid=0"",""1_ACUM!A4:S""),19,FALSE))"),"")</f>
        <v/>
      </c>
      <c r="BF133" s="98" t="str">
        <f ca="1">IFERROR(__xludf.DUMMYFUNCTION("IFERROR(VLOOKUP(F147,IMPORTRANGE(""https://docs.google.com/spreadsheets/d/1Kvs4KS76FHFqLFIZfrDMff4kP08nblUkihrxltoGBjg/edit#gid=934712705"",""ESENCIAL!A6:BG""),5,FALSE))"),"")</f>
        <v/>
      </c>
      <c r="BG133" s="98" t="str">
        <f t="shared" si="9"/>
        <v/>
      </c>
      <c r="BH133" s="99" t="str">
        <f t="shared" si="10"/>
        <v/>
      </c>
      <c r="BI133" s="100" t="str">
        <f ca="1">IFERROR(__xludf.DUMMYFUNCTION("IFERROR(VLOOKUP(F147,IMPORTRANGE(""https://docs.google.com/spreadsheets/d/1Kvs4KS76FHFqLFIZfrDMff4kP08nblUkihrxltoGBjg/edit#gid=934712705"",""ESENCIAL!A6:BG""),2,FALSE))"),"")</f>
        <v/>
      </c>
      <c r="BJ133" s="19" t="str">
        <f t="shared" si="11"/>
        <v/>
      </c>
      <c r="BK133" s="100"/>
      <c r="BL133" s="100"/>
    </row>
    <row r="134" spans="1:64" ht="15">
      <c r="A134" s="101"/>
      <c r="B134" s="101"/>
      <c r="G134" s="5" t="str">
        <f ca="1">IFERROR(__xludf.DUMMYFUNCTION("IFERROR(VLOOKUP(F148,IMPORTRANGE(""https://docs.google.com/spreadsheets/d/1Kvs4KS76FHFqLFIZfrDMff4kP08nblUkihrxltoGBjg/edit#gid=934712705"",""ESENCIAL!A6:BG""),3,FALSE))"),"")</f>
        <v/>
      </c>
      <c r="H134" s="5" t="str">
        <f ca="1">IFERROR(__xludf.DUMMYFUNCTION("IFERROR(VLOOKUP(F148,IMPORTRANGE(""https://docs.google.com/spreadsheets/d/1Kvs4KS76FHFqLFIZfrDMff4kP08nblUkihrxltoGBjg/edit#gid=934712705"",""ESENCIAL!A6:BG""),8,FALSE))"),"")</f>
        <v/>
      </c>
      <c r="L134" s="287"/>
      <c r="U134" s="40"/>
      <c r="AU134" s="41" t="str">
        <f t="shared" si="8"/>
        <v/>
      </c>
      <c r="AV134" s="5" t="str">
        <f ca="1">IFERROR(__xludf.DUMMYFUNCTION("IFERROR(VLOOKUP(E148&amp;F148,IMPORTRANGE(""https://docs.google.com/spreadsheets/d/1Uw7-A9f9R21vMXxHZFNpYNeKFtG8_yji4HS352LGlSQ/edit?pli=1#gid=0"",""1_ACUM!A4:S""),11,FALSE))"),"")</f>
        <v/>
      </c>
      <c r="AW134" s="42" t="str">
        <f ca="1">IFERROR(__xludf.DUMMYFUNCTION("IFERROR(VLOOKUP(F148,IMPORTRANGE(""https://docs.google.com/spreadsheets/d/1Kvs4KS76FHFqLFIZfrDMff4kP08nblUkihrxltoGBjg/edit#gid=934712705"",""ESENCIAL!A6:BG""),15,FALSE))"),"")</f>
        <v/>
      </c>
      <c r="AX134" s="21" t="str">
        <f ca="1">IFERROR(__xludf.DUMMYFUNCTION("IFERROR(VLOOKUP(E148&amp;F148,IMPORTRANGE(""https://docs.google.com/spreadsheets/d/1Uw7-A9f9R21vMXxHZFNpYNeKFtG8_yji4HS352LGlSQ/edit?pli=1#gid=0"",""1_ACUM!A4:S""),12,FALSE))"),"")</f>
        <v/>
      </c>
      <c r="AY134" s="43" t="str">
        <f ca="1">IFERROR(__xludf.DUMMYFUNCTION("IFERROR(VLOOKUP(E148&amp;F148,IMPORTRANGE(""https://docs.google.com/spreadsheets/d/1Uw7-A9f9R21vMXxHZFNpYNeKFtG8_yji4HS352LGlSQ/edit?pli=1#gid=0"",""1_ACUM!A4:S""),13,FALSE))"),"")</f>
        <v/>
      </c>
      <c r="AZ134" s="43" t="str">
        <f ca="1">IFERROR(__xludf.DUMMYFUNCTION("IFERROR(VLOOKUP(E148&amp;F148,IMPORTRANGE(""https://docs.google.com/spreadsheets/d/1Uw7-A9f9R21vMXxHZFNpYNeKFtG8_yji4HS352LGlSQ/edit?pli=1#gid=0"",""1_ACUM!A4:S""),14,FALSE))"),"")</f>
        <v/>
      </c>
      <c r="BA134" s="43" t="str">
        <f ca="1">IFERROR(__xludf.DUMMYFUNCTION("IFERROR(VLOOKUP(E148&amp;F148,IMPORTRANGE(""https://docs.google.com/spreadsheets/d/1Uw7-A9f9R21vMXxHZFNpYNeKFtG8_yji4HS352LGlSQ/edit?pli=1#gid=0"",""1_ACUM!A4:S""),15,FALSE))"),"")</f>
        <v/>
      </c>
      <c r="BB134" s="43" t="str">
        <f ca="1">IFERROR(__xludf.DUMMYFUNCTION("IFERROR(VLOOKUP(E148&amp;F148,IMPORTRANGE(""https://docs.google.com/spreadsheets/d/1Uw7-A9f9R21vMXxHZFNpYNeKFtG8_yji4HS352LGlSQ/edit?pli=1#gid=0"",""1_ACUM!A4:S""),16,FALSE))"),"")</f>
        <v/>
      </c>
      <c r="BC134" s="43" t="str">
        <f ca="1">IFERROR(__xludf.DUMMYFUNCTION("IFERROR(VLOOKUP(E148&amp;F148,IMPORTRANGE(""https://docs.google.com/spreadsheets/d/1Uw7-A9f9R21vMXxHZFNpYNeKFtG8_yji4HS352LGlSQ/edit?pli=1#gid=0"",""1_ACUM!A4:S""),17,FALSE))"),"")</f>
        <v/>
      </c>
      <c r="BD134" s="44" t="str">
        <f ca="1">IFERROR(__xludf.DUMMYFUNCTION("IFERROR(VLOOKUP(E148&amp;F148,IMPORTRANGE(""https://docs.google.com/spreadsheets/d/1Uw7-A9f9R21vMXxHZFNpYNeKFtG8_yji4HS352LGlSQ/edit?pli=1#gid=0"",""1_ACUM!A4:S""),18,FALSE))"),"")</f>
        <v/>
      </c>
      <c r="BE134" s="44" t="str">
        <f ca="1">IFERROR(__xludf.DUMMYFUNCTION("IFERROR(VLOOKUP(E148&amp;F148,IMPORTRANGE(""https://docs.google.com/spreadsheets/d/1Uw7-A9f9R21vMXxHZFNpYNeKFtG8_yji4HS352LGlSQ/edit?pli=1#gid=0"",""1_ACUM!A4:S""),19,FALSE))"),"")</f>
        <v/>
      </c>
      <c r="BF134" s="98" t="str">
        <f ca="1">IFERROR(__xludf.DUMMYFUNCTION("IFERROR(VLOOKUP(F148,IMPORTRANGE(""https://docs.google.com/spreadsheets/d/1Kvs4KS76FHFqLFIZfrDMff4kP08nblUkihrxltoGBjg/edit#gid=934712705"",""ESENCIAL!A6:BG""),5,FALSE))"),"")</f>
        <v/>
      </c>
      <c r="BG134" s="98" t="str">
        <f t="shared" si="9"/>
        <v/>
      </c>
      <c r="BH134" s="99" t="str">
        <f t="shared" si="10"/>
        <v/>
      </c>
      <c r="BI134" s="100" t="str">
        <f ca="1">IFERROR(__xludf.DUMMYFUNCTION("IFERROR(VLOOKUP(F148,IMPORTRANGE(""https://docs.google.com/spreadsheets/d/1Kvs4KS76FHFqLFIZfrDMff4kP08nblUkihrxltoGBjg/edit#gid=934712705"",""ESENCIAL!A6:BG""),2,FALSE))"),"")</f>
        <v/>
      </c>
      <c r="BJ134" s="19" t="str">
        <f t="shared" si="11"/>
        <v/>
      </c>
      <c r="BK134" s="100"/>
      <c r="BL134" s="100"/>
    </row>
    <row r="135" spans="1:64" ht="15">
      <c r="A135" s="101"/>
      <c r="B135" s="101"/>
      <c r="G135" s="5" t="str">
        <f ca="1">IFERROR(__xludf.DUMMYFUNCTION("IFERROR(VLOOKUP(F149,IMPORTRANGE(""https://docs.google.com/spreadsheets/d/1Kvs4KS76FHFqLFIZfrDMff4kP08nblUkihrxltoGBjg/edit#gid=934712705"",""ESENCIAL!A6:BG""),3,FALSE))"),"")</f>
        <v/>
      </c>
      <c r="H135" s="5" t="str">
        <f ca="1">IFERROR(__xludf.DUMMYFUNCTION("IFERROR(VLOOKUP(F149,IMPORTRANGE(""https://docs.google.com/spreadsheets/d/1Kvs4KS76FHFqLFIZfrDMff4kP08nblUkihrxltoGBjg/edit#gid=934712705"",""ESENCIAL!A6:BG""),8,FALSE))"),"")</f>
        <v/>
      </c>
      <c r="L135" s="287"/>
      <c r="U135" s="40"/>
      <c r="AU135" s="41" t="str">
        <f t="shared" si="8"/>
        <v/>
      </c>
      <c r="AV135" s="5" t="str">
        <f ca="1">IFERROR(__xludf.DUMMYFUNCTION("IFERROR(VLOOKUP(E149&amp;F149,IMPORTRANGE(""https://docs.google.com/spreadsheets/d/1Uw7-A9f9R21vMXxHZFNpYNeKFtG8_yji4HS352LGlSQ/edit?pli=1#gid=0"",""1_ACUM!A4:S""),11,FALSE))"),"")</f>
        <v/>
      </c>
      <c r="AW135" s="42" t="str">
        <f ca="1">IFERROR(__xludf.DUMMYFUNCTION("IFERROR(VLOOKUP(F149,IMPORTRANGE(""https://docs.google.com/spreadsheets/d/1Kvs4KS76FHFqLFIZfrDMff4kP08nblUkihrxltoGBjg/edit#gid=934712705"",""ESENCIAL!A6:BG""),15,FALSE))"),"")</f>
        <v/>
      </c>
      <c r="AX135" s="21" t="str">
        <f ca="1">IFERROR(__xludf.DUMMYFUNCTION("IFERROR(VLOOKUP(E149&amp;F149,IMPORTRANGE(""https://docs.google.com/spreadsheets/d/1Uw7-A9f9R21vMXxHZFNpYNeKFtG8_yji4HS352LGlSQ/edit?pli=1#gid=0"",""1_ACUM!A4:S""),12,FALSE))"),"")</f>
        <v/>
      </c>
      <c r="AY135" s="43" t="str">
        <f ca="1">IFERROR(__xludf.DUMMYFUNCTION("IFERROR(VLOOKUP(E149&amp;F149,IMPORTRANGE(""https://docs.google.com/spreadsheets/d/1Uw7-A9f9R21vMXxHZFNpYNeKFtG8_yji4HS352LGlSQ/edit?pli=1#gid=0"",""1_ACUM!A4:S""),13,FALSE))"),"")</f>
        <v/>
      </c>
      <c r="AZ135" s="43" t="str">
        <f ca="1">IFERROR(__xludf.DUMMYFUNCTION("IFERROR(VLOOKUP(E149&amp;F149,IMPORTRANGE(""https://docs.google.com/spreadsheets/d/1Uw7-A9f9R21vMXxHZFNpYNeKFtG8_yji4HS352LGlSQ/edit?pli=1#gid=0"",""1_ACUM!A4:S""),14,FALSE))"),"")</f>
        <v/>
      </c>
      <c r="BA135" s="43" t="str">
        <f ca="1">IFERROR(__xludf.DUMMYFUNCTION("IFERROR(VLOOKUP(E149&amp;F149,IMPORTRANGE(""https://docs.google.com/spreadsheets/d/1Uw7-A9f9R21vMXxHZFNpYNeKFtG8_yji4HS352LGlSQ/edit?pli=1#gid=0"",""1_ACUM!A4:S""),15,FALSE))"),"")</f>
        <v/>
      </c>
      <c r="BB135" s="43" t="str">
        <f ca="1">IFERROR(__xludf.DUMMYFUNCTION("IFERROR(VLOOKUP(E149&amp;F149,IMPORTRANGE(""https://docs.google.com/spreadsheets/d/1Uw7-A9f9R21vMXxHZFNpYNeKFtG8_yji4HS352LGlSQ/edit?pli=1#gid=0"",""1_ACUM!A4:S""),16,FALSE))"),"")</f>
        <v/>
      </c>
      <c r="BC135" s="43" t="str">
        <f ca="1">IFERROR(__xludf.DUMMYFUNCTION("IFERROR(VLOOKUP(E149&amp;F149,IMPORTRANGE(""https://docs.google.com/spreadsheets/d/1Uw7-A9f9R21vMXxHZFNpYNeKFtG8_yji4HS352LGlSQ/edit?pli=1#gid=0"",""1_ACUM!A4:S""),17,FALSE))"),"")</f>
        <v/>
      </c>
      <c r="BD135" s="44" t="str">
        <f ca="1">IFERROR(__xludf.DUMMYFUNCTION("IFERROR(VLOOKUP(E149&amp;F149,IMPORTRANGE(""https://docs.google.com/spreadsheets/d/1Uw7-A9f9R21vMXxHZFNpYNeKFtG8_yji4HS352LGlSQ/edit?pli=1#gid=0"",""1_ACUM!A4:S""),18,FALSE))"),"")</f>
        <v/>
      </c>
      <c r="BE135" s="44" t="str">
        <f ca="1">IFERROR(__xludf.DUMMYFUNCTION("IFERROR(VLOOKUP(E149&amp;F149,IMPORTRANGE(""https://docs.google.com/spreadsheets/d/1Uw7-A9f9R21vMXxHZFNpYNeKFtG8_yji4HS352LGlSQ/edit?pli=1#gid=0"",""1_ACUM!A4:S""),19,FALSE))"),"")</f>
        <v/>
      </c>
      <c r="BF135" s="98" t="str">
        <f ca="1">IFERROR(__xludf.DUMMYFUNCTION("IFERROR(VLOOKUP(F149,IMPORTRANGE(""https://docs.google.com/spreadsheets/d/1Kvs4KS76FHFqLFIZfrDMff4kP08nblUkihrxltoGBjg/edit#gid=934712705"",""ESENCIAL!A6:BG""),5,FALSE))"),"")</f>
        <v/>
      </c>
      <c r="BG135" s="98" t="str">
        <f t="shared" si="9"/>
        <v/>
      </c>
      <c r="BH135" s="99" t="str">
        <f t="shared" si="10"/>
        <v/>
      </c>
      <c r="BI135" s="100" t="str">
        <f ca="1">IFERROR(__xludf.DUMMYFUNCTION("IFERROR(VLOOKUP(F149,IMPORTRANGE(""https://docs.google.com/spreadsheets/d/1Kvs4KS76FHFqLFIZfrDMff4kP08nblUkihrxltoGBjg/edit#gid=934712705"",""ESENCIAL!A6:BG""),2,FALSE))"),"")</f>
        <v/>
      </c>
      <c r="BJ135" s="19" t="str">
        <f t="shared" si="11"/>
        <v/>
      </c>
      <c r="BK135" s="100"/>
      <c r="BL135" s="100"/>
    </row>
    <row r="136" spans="1:64" ht="15">
      <c r="A136" s="101"/>
      <c r="B136" s="101"/>
      <c r="G136" s="5" t="str">
        <f ca="1">IFERROR(__xludf.DUMMYFUNCTION("IFERROR(VLOOKUP(F150,IMPORTRANGE(""https://docs.google.com/spreadsheets/d/1Kvs4KS76FHFqLFIZfrDMff4kP08nblUkihrxltoGBjg/edit#gid=934712705"",""ESENCIAL!A6:BG""),3,FALSE))"),"")</f>
        <v/>
      </c>
      <c r="H136" s="5" t="str">
        <f ca="1">IFERROR(__xludf.DUMMYFUNCTION("IFERROR(VLOOKUP(F150,IMPORTRANGE(""https://docs.google.com/spreadsheets/d/1Kvs4KS76FHFqLFIZfrDMff4kP08nblUkihrxltoGBjg/edit#gid=934712705"",""ESENCIAL!A6:BG""),8,FALSE))"),"")</f>
        <v/>
      </c>
      <c r="L136" s="287"/>
      <c r="U136" s="40"/>
      <c r="AU136" s="41" t="str">
        <f t="shared" si="8"/>
        <v/>
      </c>
      <c r="AV136" s="5" t="str">
        <f ca="1">IFERROR(__xludf.DUMMYFUNCTION("IFERROR(VLOOKUP(E150&amp;F150,IMPORTRANGE(""https://docs.google.com/spreadsheets/d/1Uw7-A9f9R21vMXxHZFNpYNeKFtG8_yji4HS352LGlSQ/edit?pli=1#gid=0"",""1_ACUM!A4:S""),11,FALSE))"),"")</f>
        <v/>
      </c>
      <c r="AW136" s="42" t="str">
        <f ca="1">IFERROR(__xludf.DUMMYFUNCTION("IFERROR(VLOOKUP(F150,IMPORTRANGE(""https://docs.google.com/spreadsheets/d/1Kvs4KS76FHFqLFIZfrDMff4kP08nblUkihrxltoGBjg/edit#gid=934712705"",""ESENCIAL!A6:BG""),15,FALSE))"),"")</f>
        <v/>
      </c>
      <c r="AX136" s="21" t="str">
        <f ca="1">IFERROR(__xludf.DUMMYFUNCTION("IFERROR(VLOOKUP(E150&amp;F150,IMPORTRANGE(""https://docs.google.com/spreadsheets/d/1Uw7-A9f9R21vMXxHZFNpYNeKFtG8_yji4HS352LGlSQ/edit?pli=1#gid=0"",""1_ACUM!A4:S""),12,FALSE))"),"")</f>
        <v/>
      </c>
      <c r="AY136" s="43" t="str">
        <f ca="1">IFERROR(__xludf.DUMMYFUNCTION("IFERROR(VLOOKUP(E150&amp;F150,IMPORTRANGE(""https://docs.google.com/spreadsheets/d/1Uw7-A9f9R21vMXxHZFNpYNeKFtG8_yji4HS352LGlSQ/edit?pli=1#gid=0"",""1_ACUM!A4:S""),13,FALSE))"),"")</f>
        <v/>
      </c>
      <c r="AZ136" s="43" t="str">
        <f ca="1">IFERROR(__xludf.DUMMYFUNCTION("IFERROR(VLOOKUP(E150&amp;F150,IMPORTRANGE(""https://docs.google.com/spreadsheets/d/1Uw7-A9f9R21vMXxHZFNpYNeKFtG8_yji4HS352LGlSQ/edit?pli=1#gid=0"",""1_ACUM!A4:S""),14,FALSE))"),"")</f>
        <v/>
      </c>
      <c r="BA136" s="43" t="str">
        <f ca="1">IFERROR(__xludf.DUMMYFUNCTION("IFERROR(VLOOKUP(E150&amp;F150,IMPORTRANGE(""https://docs.google.com/spreadsheets/d/1Uw7-A9f9R21vMXxHZFNpYNeKFtG8_yji4HS352LGlSQ/edit?pli=1#gid=0"",""1_ACUM!A4:S""),15,FALSE))"),"")</f>
        <v/>
      </c>
      <c r="BB136" s="43" t="str">
        <f ca="1">IFERROR(__xludf.DUMMYFUNCTION("IFERROR(VLOOKUP(E150&amp;F150,IMPORTRANGE(""https://docs.google.com/spreadsheets/d/1Uw7-A9f9R21vMXxHZFNpYNeKFtG8_yji4HS352LGlSQ/edit?pli=1#gid=0"",""1_ACUM!A4:S""),16,FALSE))"),"")</f>
        <v/>
      </c>
      <c r="BC136" s="43" t="str">
        <f ca="1">IFERROR(__xludf.DUMMYFUNCTION("IFERROR(VLOOKUP(E150&amp;F150,IMPORTRANGE(""https://docs.google.com/spreadsheets/d/1Uw7-A9f9R21vMXxHZFNpYNeKFtG8_yji4HS352LGlSQ/edit?pli=1#gid=0"",""1_ACUM!A4:S""),17,FALSE))"),"")</f>
        <v/>
      </c>
      <c r="BD136" s="44" t="str">
        <f ca="1">IFERROR(__xludf.DUMMYFUNCTION("IFERROR(VLOOKUP(E150&amp;F150,IMPORTRANGE(""https://docs.google.com/spreadsheets/d/1Uw7-A9f9R21vMXxHZFNpYNeKFtG8_yji4HS352LGlSQ/edit?pli=1#gid=0"",""1_ACUM!A4:S""),18,FALSE))"),"")</f>
        <v/>
      </c>
      <c r="BE136" s="44" t="str">
        <f ca="1">IFERROR(__xludf.DUMMYFUNCTION("IFERROR(VLOOKUP(E150&amp;F150,IMPORTRANGE(""https://docs.google.com/spreadsheets/d/1Uw7-A9f9R21vMXxHZFNpYNeKFtG8_yji4HS352LGlSQ/edit?pli=1#gid=0"",""1_ACUM!A4:S""),19,FALSE))"),"")</f>
        <v/>
      </c>
      <c r="BF136" s="98" t="str">
        <f ca="1">IFERROR(__xludf.DUMMYFUNCTION("IFERROR(VLOOKUP(F150,IMPORTRANGE(""https://docs.google.com/spreadsheets/d/1Kvs4KS76FHFqLFIZfrDMff4kP08nblUkihrxltoGBjg/edit#gid=934712705"",""ESENCIAL!A6:BG""),5,FALSE))"),"")</f>
        <v/>
      </c>
      <c r="BG136" s="98" t="str">
        <f t="shared" si="9"/>
        <v/>
      </c>
      <c r="BH136" s="99" t="str">
        <f t="shared" si="10"/>
        <v/>
      </c>
      <c r="BI136" s="100" t="str">
        <f ca="1">IFERROR(__xludf.DUMMYFUNCTION("IFERROR(VLOOKUP(F150,IMPORTRANGE(""https://docs.google.com/spreadsheets/d/1Kvs4KS76FHFqLFIZfrDMff4kP08nblUkihrxltoGBjg/edit#gid=934712705"",""ESENCIAL!A6:BG""),2,FALSE))"),"")</f>
        <v/>
      </c>
      <c r="BJ136" s="19" t="str">
        <f t="shared" si="11"/>
        <v/>
      </c>
      <c r="BK136" s="100"/>
      <c r="BL136" s="100"/>
    </row>
    <row r="137" spans="1:64" ht="15">
      <c r="A137" s="101"/>
      <c r="B137" s="101"/>
      <c r="G137" s="5" t="str">
        <f ca="1">IFERROR(__xludf.DUMMYFUNCTION("IFERROR(VLOOKUP(F151,IMPORTRANGE(""https://docs.google.com/spreadsheets/d/1Kvs4KS76FHFqLFIZfrDMff4kP08nblUkihrxltoGBjg/edit#gid=934712705"",""ESENCIAL!A6:BG""),3,FALSE))"),"")</f>
        <v/>
      </c>
      <c r="H137" s="5" t="str">
        <f ca="1">IFERROR(__xludf.DUMMYFUNCTION("IFERROR(VLOOKUP(F151,IMPORTRANGE(""https://docs.google.com/spreadsheets/d/1Kvs4KS76FHFqLFIZfrDMff4kP08nblUkihrxltoGBjg/edit#gid=934712705"",""ESENCIAL!A6:BG""),8,FALSE))"),"")</f>
        <v/>
      </c>
      <c r="L137" s="287"/>
      <c r="U137" s="40"/>
      <c r="AU137" s="41" t="str">
        <f t="shared" si="8"/>
        <v/>
      </c>
      <c r="AV137" s="5" t="str">
        <f ca="1">IFERROR(__xludf.DUMMYFUNCTION("IFERROR(VLOOKUP(E151&amp;F151,IMPORTRANGE(""https://docs.google.com/spreadsheets/d/1Uw7-A9f9R21vMXxHZFNpYNeKFtG8_yji4HS352LGlSQ/edit?pli=1#gid=0"",""1_ACUM!A4:S""),11,FALSE))"),"")</f>
        <v/>
      </c>
      <c r="AW137" s="42" t="str">
        <f ca="1">IFERROR(__xludf.DUMMYFUNCTION("IFERROR(VLOOKUP(F151,IMPORTRANGE(""https://docs.google.com/spreadsheets/d/1Kvs4KS76FHFqLFIZfrDMff4kP08nblUkihrxltoGBjg/edit#gid=934712705"",""ESENCIAL!A6:BG""),15,FALSE))"),"")</f>
        <v/>
      </c>
      <c r="AX137" s="21" t="str">
        <f ca="1">IFERROR(__xludf.DUMMYFUNCTION("IFERROR(VLOOKUP(E151&amp;F151,IMPORTRANGE(""https://docs.google.com/spreadsheets/d/1Uw7-A9f9R21vMXxHZFNpYNeKFtG8_yji4HS352LGlSQ/edit?pli=1#gid=0"",""1_ACUM!A4:S""),12,FALSE))"),"")</f>
        <v/>
      </c>
      <c r="AY137" s="43" t="str">
        <f ca="1">IFERROR(__xludf.DUMMYFUNCTION("IFERROR(VLOOKUP(E151&amp;F151,IMPORTRANGE(""https://docs.google.com/spreadsheets/d/1Uw7-A9f9R21vMXxHZFNpYNeKFtG8_yji4HS352LGlSQ/edit?pli=1#gid=0"",""1_ACUM!A4:S""),13,FALSE))"),"")</f>
        <v/>
      </c>
      <c r="AZ137" s="43" t="str">
        <f ca="1">IFERROR(__xludf.DUMMYFUNCTION("IFERROR(VLOOKUP(E151&amp;F151,IMPORTRANGE(""https://docs.google.com/spreadsheets/d/1Uw7-A9f9R21vMXxHZFNpYNeKFtG8_yji4HS352LGlSQ/edit?pli=1#gid=0"",""1_ACUM!A4:S""),14,FALSE))"),"")</f>
        <v/>
      </c>
      <c r="BA137" s="43" t="str">
        <f ca="1">IFERROR(__xludf.DUMMYFUNCTION("IFERROR(VLOOKUP(E151&amp;F151,IMPORTRANGE(""https://docs.google.com/spreadsheets/d/1Uw7-A9f9R21vMXxHZFNpYNeKFtG8_yji4HS352LGlSQ/edit?pli=1#gid=0"",""1_ACUM!A4:S""),15,FALSE))"),"")</f>
        <v/>
      </c>
      <c r="BB137" s="43" t="str">
        <f ca="1">IFERROR(__xludf.DUMMYFUNCTION("IFERROR(VLOOKUP(E151&amp;F151,IMPORTRANGE(""https://docs.google.com/spreadsheets/d/1Uw7-A9f9R21vMXxHZFNpYNeKFtG8_yji4HS352LGlSQ/edit?pli=1#gid=0"",""1_ACUM!A4:S""),16,FALSE))"),"")</f>
        <v/>
      </c>
      <c r="BC137" s="43" t="str">
        <f ca="1">IFERROR(__xludf.DUMMYFUNCTION("IFERROR(VLOOKUP(E151&amp;F151,IMPORTRANGE(""https://docs.google.com/spreadsheets/d/1Uw7-A9f9R21vMXxHZFNpYNeKFtG8_yji4HS352LGlSQ/edit?pli=1#gid=0"",""1_ACUM!A4:S""),17,FALSE))"),"")</f>
        <v/>
      </c>
      <c r="BD137" s="44" t="str">
        <f ca="1">IFERROR(__xludf.DUMMYFUNCTION("IFERROR(VLOOKUP(E151&amp;F151,IMPORTRANGE(""https://docs.google.com/spreadsheets/d/1Uw7-A9f9R21vMXxHZFNpYNeKFtG8_yji4HS352LGlSQ/edit?pli=1#gid=0"",""1_ACUM!A4:S""),18,FALSE))"),"")</f>
        <v/>
      </c>
      <c r="BE137" s="44" t="str">
        <f ca="1">IFERROR(__xludf.DUMMYFUNCTION("IFERROR(VLOOKUP(E151&amp;F151,IMPORTRANGE(""https://docs.google.com/spreadsheets/d/1Uw7-A9f9R21vMXxHZFNpYNeKFtG8_yji4HS352LGlSQ/edit?pli=1#gid=0"",""1_ACUM!A4:S""),19,FALSE))"),"")</f>
        <v/>
      </c>
      <c r="BF137" s="98" t="str">
        <f ca="1">IFERROR(__xludf.DUMMYFUNCTION("IFERROR(VLOOKUP(F151,IMPORTRANGE(""https://docs.google.com/spreadsheets/d/1Kvs4KS76FHFqLFIZfrDMff4kP08nblUkihrxltoGBjg/edit#gid=934712705"",""ESENCIAL!A6:BG""),5,FALSE))"),"")</f>
        <v/>
      </c>
      <c r="BG137" s="98" t="str">
        <f t="shared" si="9"/>
        <v/>
      </c>
      <c r="BH137" s="99" t="str">
        <f t="shared" si="10"/>
        <v/>
      </c>
      <c r="BI137" s="100" t="str">
        <f ca="1">IFERROR(__xludf.DUMMYFUNCTION("IFERROR(VLOOKUP(F151,IMPORTRANGE(""https://docs.google.com/spreadsheets/d/1Kvs4KS76FHFqLFIZfrDMff4kP08nblUkihrxltoGBjg/edit#gid=934712705"",""ESENCIAL!A6:BG""),2,FALSE))"),"")</f>
        <v/>
      </c>
      <c r="BJ137" s="19" t="str">
        <f t="shared" si="11"/>
        <v/>
      </c>
      <c r="BK137" s="100"/>
      <c r="BL137" s="100"/>
    </row>
    <row r="138" spans="1:64" ht="15">
      <c r="A138" s="101"/>
      <c r="B138" s="101"/>
      <c r="G138" s="5" t="str">
        <f ca="1">IFERROR(__xludf.DUMMYFUNCTION("IFERROR(VLOOKUP(F152,IMPORTRANGE(""https://docs.google.com/spreadsheets/d/1Kvs4KS76FHFqLFIZfrDMff4kP08nblUkihrxltoGBjg/edit#gid=934712705"",""ESENCIAL!A6:BG""),3,FALSE))"),"")</f>
        <v/>
      </c>
      <c r="H138" s="5" t="str">
        <f ca="1">IFERROR(__xludf.DUMMYFUNCTION("IFERROR(VLOOKUP(F152,IMPORTRANGE(""https://docs.google.com/spreadsheets/d/1Kvs4KS76FHFqLFIZfrDMff4kP08nblUkihrxltoGBjg/edit#gid=934712705"",""ESENCIAL!A6:BG""),8,FALSE))"),"")</f>
        <v/>
      </c>
      <c r="L138" s="287"/>
      <c r="U138" s="40"/>
      <c r="AU138" s="41" t="str">
        <f t="shared" si="8"/>
        <v/>
      </c>
      <c r="AV138" s="5" t="str">
        <f ca="1">IFERROR(__xludf.DUMMYFUNCTION("IFERROR(VLOOKUP(E152&amp;F152,IMPORTRANGE(""https://docs.google.com/spreadsheets/d/1Uw7-A9f9R21vMXxHZFNpYNeKFtG8_yji4HS352LGlSQ/edit?pli=1#gid=0"",""1_ACUM!A4:S""),11,FALSE))"),"")</f>
        <v/>
      </c>
      <c r="AW138" s="42" t="str">
        <f ca="1">IFERROR(__xludf.DUMMYFUNCTION("IFERROR(VLOOKUP(F152,IMPORTRANGE(""https://docs.google.com/spreadsheets/d/1Kvs4KS76FHFqLFIZfrDMff4kP08nblUkihrxltoGBjg/edit#gid=934712705"",""ESENCIAL!A6:BG""),15,FALSE))"),"")</f>
        <v/>
      </c>
      <c r="AX138" s="21" t="str">
        <f ca="1">IFERROR(__xludf.DUMMYFUNCTION("IFERROR(VLOOKUP(E152&amp;F152,IMPORTRANGE(""https://docs.google.com/spreadsheets/d/1Uw7-A9f9R21vMXxHZFNpYNeKFtG8_yji4HS352LGlSQ/edit?pli=1#gid=0"",""1_ACUM!A4:S""),12,FALSE))"),"")</f>
        <v/>
      </c>
      <c r="AY138" s="43" t="str">
        <f ca="1">IFERROR(__xludf.DUMMYFUNCTION("IFERROR(VLOOKUP(E152&amp;F152,IMPORTRANGE(""https://docs.google.com/spreadsheets/d/1Uw7-A9f9R21vMXxHZFNpYNeKFtG8_yji4HS352LGlSQ/edit?pli=1#gid=0"",""1_ACUM!A4:S""),13,FALSE))"),"")</f>
        <v/>
      </c>
      <c r="AZ138" s="43" t="str">
        <f ca="1">IFERROR(__xludf.DUMMYFUNCTION("IFERROR(VLOOKUP(E152&amp;F152,IMPORTRANGE(""https://docs.google.com/spreadsheets/d/1Uw7-A9f9R21vMXxHZFNpYNeKFtG8_yji4HS352LGlSQ/edit?pli=1#gid=0"",""1_ACUM!A4:S""),14,FALSE))"),"")</f>
        <v/>
      </c>
      <c r="BA138" s="43" t="str">
        <f ca="1">IFERROR(__xludf.DUMMYFUNCTION("IFERROR(VLOOKUP(E152&amp;F152,IMPORTRANGE(""https://docs.google.com/spreadsheets/d/1Uw7-A9f9R21vMXxHZFNpYNeKFtG8_yji4HS352LGlSQ/edit?pli=1#gid=0"",""1_ACUM!A4:S""),15,FALSE))"),"")</f>
        <v/>
      </c>
      <c r="BB138" s="43" t="str">
        <f ca="1">IFERROR(__xludf.DUMMYFUNCTION("IFERROR(VLOOKUP(E152&amp;F152,IMPORTRANGE(""https://docs.google.com/spreadsheets/d/1Uw7-A9f9R21vMXxHZFNpYNeKFtG8_yji4HS352LGlSQ/edit?pli=1#gid=0"",""1_ACUM!A4:S""),16,FALSE))"),"")</f>
        <v/>
      </c>
      <c r="BC138" s="43" t="str">
        <f ca="1">IFERROR(__xludf.DUMMYFUNCTION("IFERROR(VLOOKUP(E152&amp;F152,IMPORTRANGE(""https://docs.google.com/spreadsheets/d/1Uw7-A9f9R21vMXxHZFNpYNeKFtG8_yji4HS352LGlSQ/edit?pli=1#gid=0"",""1_ACUM!A4:S""),17,FALSE))"),"")</f>
        <v/>
      </c>
      <c r="BD138" s="44" t="str">
        <f ca="1">IFERROR(__xludf.DUMMYFUNCTION("IFERROR(VLOOKUP(E152&amp;F152,IMPORTRANGE(""https://docs.google.com/spreadsheets/d/1Uw7-A9f9R21vMXxHZFNpYNeKFtG8_yji4HS352LGlSQ/edit?pli=1#gid=0"",""1_ACUM!A4:S""),18,FALSE))"),"")</f>
        <v/>
      </c>
      <c r="BE138" s="44" t="str">
        <f ca="1">IFERROR(__xludf.DUMMYFUNCTION("IFERROR(VLOOKUP(E152&amp;F152,IMPORTRANGE(""https://docs.google.com/spreadsheets/d/1Uw7-A9f9R21vMXxHZFNpYNeKFtG8_yji4HS352LGlSQ/edit?pli=1#gid=0"",""1_ACUM!A4:S""),19,FALSE))"),"")</f>
        <v/>
      </c>
      <c r="BF138" s="98" t="str">
        <f ca="1">IFERROR(__xludf.DUMMYFUNCTION("IFERROR(VLOOKUP(F152,IMPORTRANGE(""https://docs.google.com/spreadsheets/d/1Kvs4KS76FHFqLFIZfrDMff4kP08nblUkihrxltoGBjg/edit#gid=934712705"",""ESENCIAL!A6:BG""),5,FALSE))"),"")</f>
        <v/>
      </c>
      <c r="BG138" s="98" t="str">
        <f t="shared" si="9"/>
        <v/>
      </c>
      <c r="BH138" s="99" t="str">
        <f t="shared" si="10"/>
        <v/>
      </c>
      <c r="BI138" s="100" t="str">
        <f ca="1">IFERROR(__xludf.DUMMYFUNCTION("IFERROR(VLOOKUP(F152,IMPORTRANGE(""https://docs.google.com/spreadsheets/d/1Kvs4KS76FHFqLFIZfrDMff4kP08nblUkihrxltoGBjg/edit#gid=934712705"",""ESENCIAL!A6:BG""),2,FALSE))"),"")</f>
        <v/>
      </c>
      <c r="BJ138" s="19" t="str">
        <f t="shared" si="11"/>
        <v/>
      </c>
      <c r="BK138" s="100"/>
      <c r="BL138" s="100"/>
    </row>
    <row r="139" spans="1:64" ht="15">
      <c r="A139" s="101"/>
      <c r="B139" s="101"/>
      <c r="G139" s="5" t="str">
        <f ca="1">IFERROR(__xludf.DUMMYFUNCTION("IFERROR(VLOOKUP(F153,IMPORTRANGE(""https://docs.google.com/spreadsheets/d/1Kvs4KS76FHFqLFIZfrDMff4kP08nblUkihrxltoGBjg/edit#gid=934712705"",""ESENCIAL!A6:BG""),3,FALSE))"),"")</f>
        <v/>
      </c>
      <c r="H139" s="5" t="str">
        <f ca="1">IFERROR(__xludf.DUMMYFUNCTION("IFERROR(VLOOKUP(F153,IMPORTRANGE(""https://docs.google.com/spreadsheets/d/1Kvs4KS76FHFqLFIZfrDMff4kP08nblUkihrxltoGBjg/edit#gid=934712705"",""ESENCIAL!A6:BG""),8,FALSE))"),"")</f>
        <v/>
      </c>
      <c r="L139" s="287"/>
      <c r="U139" s="40"/>
      <c r="AU139" s="41" t="str">
        <f t="shared" si="8"/>
        <v/>
      </c>
      <c r="AV139" s="5" t="str">
        <f ca="1">IFERROR(__xludf.DUMMYFUNCTION("IFERROR(VLOOKUP(E153&amp;F153,IMPORTRANGE(""https://docs.google.com/spreadsheets/d/1Uw7-A9f9R21vMXxHZFNpYNeKFtG8_yji4HS352LGlSQ/edit?pli=1#gid=0"",""1_ACUM!A4:S""),11,FALSE))"),"")</f>
        <v/>
      </c>
      <c r="AW139" s="42" t="str">
        <f ca="1">IFERROR(__xludf.DUMMYFUNCTION("IFERROR(VLOOKUP(F153,IMPORTRANGE(""https://docs.google.com/spreadsheets/d/1Kvs4KS76FHFqLFIZfrDMff4kP08nblUkihrxltoGBjg/edit#gid=934712705"",""ESENCIAL!A6:BG""),15,FALSE))"),"")</f>
        <v/>
      </c>
      <c r="AX139" s="21" t="str">
        <f ca="1">IFERROR(__xludf.DUMMYFUNCTION("IFERROR(VLOOKUP(E153&amp;F153,IMPORTRANGE(""https://docs.google.com/spreadsheets/d/1Uw7-A9f9R21vMXxHZFNpYNeKFtG8_yji4HS352LGlSQ/edit?pli=1#gid=0"",""1_ACUM!A4:S""),12,FALSE))"),"")</f>
        <v/>
      </c>
      <c r="AY139" s="43" t="str">
        <f ca="1">IFERROR(__xludf.DUMMYFUNCTION("IFERROR(VLOOKUP(E153&amp;F153,IMPORTRANGE(""https://docs.google.com/spreadsheets/d/1Uw7-A9f9R21vMXxHZFNpYNeKFtG8_yji4HS352LGlSQ/edit?pli=1#gid=0"",""1_ACUM!A4:S""),13,FALSE))"),"")</f>
        <v/>
      </c>
      <c r="AZ139" s="43" t="str">
        <f ca="1">IFERROR(__xludf.DUMMYFUNCTION("IFERROR(VLOOKUP(E153&amp;F153,IMPORTRANGE(""https://docs.google.com/spreadsheets/d/1Uw7-A9f9R21vMXxHZFNpYNeKFtG8_yji4HS352LGlSQ/edit?pli=1#gid=0"",""1_ACUM!A4:S""),14,FALSE))"),"")</f>
        <v/>
      </c>
      <c r="BA139" s="43" t="str">
        <f ca="1">IFERROR(__xludf.DUMMYFUNCTION("IFERROR(VLOOKUP(E153&amp;F153,IMPORTRANGE(""https://docs.google.com/spreadsheets/d/1Uw7-A9f9R21vMXxHZFNpYNeKFtG8_yji4HS352LGlSQ/edit?pli=1#gid=0"",""1_ACUM!A4:S""),15,FALSE))"),"")</f>
        <v/>
      </c>
      <c r="BB139" s="43" t="str">
        <f ca="1">IFERROR(__xludf.DUMMYFUNCTION("IFERROR(VLOOKUP(E153&amp;F153,IMPORTRANGE(""https://docs.google.com/spreadsheets/d/1Uw7-A9f9R21vMXxHZFNpYNeKFtG8_yji4HS352LGlSQ/edit?pli=1#gid=0"",""1_ACUM!A4:S""),16,FALSE))"),"")</f>
        <v/>
      </c>
      <c r="BC139" s="43" t="str">
        <f ca="1">IFERROR(__xludf.DUMMYFUNCTION("IFERROR(VLOOKUP(E153&amp;F153,IMPORTRANGE(""https://docs.google.com/spreadsheets/d/1Uw7-A9f9R21vMXxHZFNpYNeKFtG8_yji4HS352LGlSQ/edit?pli=1#gid=0"",""1_ACUM!A4:S""),17,FALSE))"),"")</f>
        <v/>
      </c>
      <c r="BD139" s="44" t="str">
        <f ca="1">IFERROR(__xludf.DUMMYFUNCTION("IFERROR(VLOOKUP(E153&amp;F153,IMPORTRANGE(""https://docs.google.com/spreadsheets/d/1Uw7-A9f9R21vMXxHZFNpYNeKFtG8_yji4HS352LGlSQ/edit?pli=1#gid=0"",""1_ACUM!A4:S""),18,FALSE))"),"")</f>
        <v/>
      </c>
      <c r="BE139" s="44" t="str">
        <f ca="1">IFERROR(__xludf.DUMMYFUNCTION("IFERROR(VLOOKUP(E153&amp;F153,IMPORTRANGE(""https://docs.google.com/spreadsheets/d/1Uw7-A9f9R21vMXxHZFNpYNeKFtG8_yji4HS352LGlSQ/edit?pli=1#gid=0"",""1_ACUM!A4:S""),19,FALSE))"),"")</f>
        <v/>
      </c>
      <c r="BF139" s="98" t="str">
        <f ca="1">IFERROR(__xludf.DUMMYFUNCTION("IFERROR(VLOOKUP(F153,IMPORTRANGE(""https://docs.google.com/spreadsheets/d/1Kvs4KS76FHFqLFIZfrDMff4kP08nblUkihrxltoGBjg/edit#gid=934712705"",""ESENCIAL!A6:BG""),5,FALSE))"),"")</f>
        <v/>
      </c>
      <c r="BG139" s="98" t="str">
        <f t="shared" si="9"/>
        <v/>
      </c>
      <c r="BH139" s="99" t="str">
        <f t="shared" si="10"/>
        <v/>
      </c>
      <c r="BI139" s="100" t="str">
        <f ca="1">IFERROR(__xludf.DUMMYFUNCTION("IFERROR(VLOOKUP(F153,IMPORTRANGE(""https://docs.google.com/spreadsheets/d/1Kvs4KS76FHFqLFIZfrDMff4kP08nblUkihrxltoGBjg/edit#gid=934712705"",""ESENCIAL!A6:BG""),2,FALSE))"),"")</f>
        <v/>
      </c>
      <c r="BJ139" s="19" t="str">
        <f t="shared" si="11"/>
        <v/>
      </c>
      <c r="BK139" s="100"/>
      <c r="BL139" s="100"/>
    </row>
    <row r="140" spans="1:64" ht="15">
      <c r="A140" s="101"/>
      <c r="B140" s="101"/>
      <c r="G140" s="5" t="str">
        <f ca="1">IFERROR(__xludf.DUMMYFUNCTION("IFERROR(VLOOKUP(F154,IMPORTRANGE(""https://docs.google.com/spreadsheets/d/1Kvs4KS76FHFqLFIZfrDMff4kP08nblUkihrxltoGBjg/edit#gid=934712705"",""ESENCIAL!A6:BG""),3,FALSE))"),"")</f>
        <v/>
      </c>
      <c r="H140" s="5" t="str">
        <f ca="1">IFERROR(__xludf.DUMMYFUNCTION("IFERROR(VLOOKUP(F154,IMPORTRANGE(""https://docs.google.com/spreadsheets/d/1Kvs4KS76FHFqLFIZfrDMff4kP08nblUkihrxltoGBjg/edit#gid=934712705"",""ESENCIAL!A6:BG""),8,FALSE))"),"")</f>
        <v/>
      </c>
      <c r="L140" s="287"/>
      <c r="U140" s="40"/>
      <c r="AU140" s="41" t="str">
        <f t="shared" si="8"/>
        <v/>
      </c>
      <c r="AV140" s="5" t="str">
        <f ca="1">IFERROR(__xludf.DUMMYFUNCTION("IFERROR(VLOOKUP(E154&amp;F154,IMPORTRANGE(""https://docs.google.com/spreadsheets/d/1Uw7-A9f9R21vMXxHZFNpYNeKFtG8_yji4HS352LGlSQ/edit?pli=1#gid=0"",""1_ACUM!A4:S""),11,FALSE))"),"")</f>
        <v/>
      </c>
      <c r="AW140" s="42" t="str">
        <f ca="1">IFERROR(__xludf.DUMMYFUNCTION("IFERROR(VLOOKUP(F154,IMPORTRANGE(""https://docs.google.com/spreadsheets/d/1Kvs4KS76FHFqLFIZfrDMff4kP08nblUkihrxltoGBjg/edit#gid=934712705"",""ESENCIAL!A6:BG""),15,FALSE))"),"")</f>
        <v/>
      </c>
      <c r="AX140" s="21" t="str">
        <f ca="1">IFERROR(__xludf.DUMMYFUNCTION("IFERROR(VLOOKUP(E154&amp;F154,IMPORTRANGE(""https://docs.google.com/spreadsheets/d/1Uw7-A9f9R21vMXxHZFNpYNeKFtG8_yji4HS352LGlSQ/edit?pli=1#gid=0"",""1_ACUM!A4:S""),12,FALSE))"),"")</f>
        <v/>
      </c>
      <c r="AY140" s="43" t="str">
        <f ca="1">IFERROR(__xludf.DUMMYFUNCTION("IFERROR(VLOOKUP(E154&amp;F154,IMPORTRANGE(""https://docs.google.com/spreadsheets/d/1Uw7-A9f9R21vMXxHZFNpYNeKFtG8_yji4HS352LGlSQ/edit?pli=1#gid=0"",""1_ACUM!A4:S""),13,FALSE))"),"")</f>
        <v/>
      </c>
      <c r="AZ140" s="43" t="str">
        <f ca="1">IFERROR(__xludf.DUMMYFUNCTION("IFERROR(VLOOKUP(E154&amp;F154,IMPORTRANGE(""https://docs.google.com/spreadsheets/d/1Uw7-A9f9R21vMXxHZFNpYNeKFtG8_yji4HS352LGlSQ/edit?pli=1#gid=0"",""1_ACUM!A4:S""),14,FALSE))"),"")</f>
        <v/>
      </c>
      <c r="BA140" s="43" t="str">
        <f ca="1">IFERROR(__xludf.DUMMYFUNCTION("IFERROR(VLOOKUP(E154&amp;F154,IMPORTRANGE(""https://docs.google.com/spreadsheets/d/1Uw7-A9f9R21vMXxHZFNpYNeKFtG8_yji4HS352LGlSQ/edit?pli=1#gid=0"",""1_ACUM!A4:S""),15,FALSE))"),"")</f>
        <v/>
      </c>
      <c r="BB140" s="43" t="str">
        <f ca="1">IFERROR(__xludf.DUMMYFUNCTION("IFERROR(VLOOKUP(E154&amp;F154,IMPORTRANGE(""https://docs.google.com/spreadsheets/d/1Uw7-A9f9R21vMXxHZFNpYNeKFtG8_yji4HS352LGlSQ/edit?pli=1#gid=0"",""1_ACUM!A4:S""),16,FALSE))"),"")</f>
        <v/>
      </c>
      <c r="BC140" s="43" t="str">
        <f ca="1">IFERROR(__xludf.DUMMYFUNCTION("IFERROR(VLOOKUP(E154&amp;F154,IMPORTRANGE(""https://docs.google.com/spreadsheets/d/1Uw7-A9f9R21vMXxHZFNpYNeKFtG8_yji4HS352LGlSQ/edit?pli=1#gid=0"",""1_ACUM!A4:S""),17,FALSE))"),"")</f>
        <v/>
      </c>
      <c r="BD140" s="44" t="str">
        <f ca="1">IFERROR(__xludf.DUMMYFUNCTION("IFERROR(VLOOKUP(E154&amp;F154,IMPORTRANGE(""https://docs.google.com/spreadsheets/d/1Uw7-A9f9R21vMXxHZFNpYNeKFtG8_yji4HS352LGlSQ/edit?pli=1#gid=0"",""1_ACUM!A4:S""),18,FALSE))"),"")</f>
        <v/>
      </c>
      <c r="BE140" s="44" t="str">
        <f ca="1">IFERROR(__xludf.DUMMYFUNCTION("IFERROR(VLOOKUP(E154&amp;F154,IMPORTRANGE(""https://docs.google.com/spreadsheets/d/1Uw7-A9f9R21vMXxHZFNpYNeKFtG8_yji4HS352LGlSQ/edit?pli=1#gid=0"",""1_ACUM!A4:S""),19,FALSE))"),"")</f>
        <v/>
      </c>
      <c r="BF140" s="98" t="str">
        <f ca="1">IFERROR(__xludf.DUMMYFUNCTION("IFERROR(VLOOKUP(F154,IMPORTRANGE(""https://docs.google.com/spreadsheets/d/1Kvs4KS76FHFqLFIZfrDMff4kP08nblUkihrxltoGBjg/edit#gid=934712705"",""ESENCIAL!A6:BG""),5,FALSE))"),"")</f>
        <v/>
      </c>
      <c r="BG140" s="98" t="str">
        <f t="shared" si="9"/>
        <v/>
      </c>
      <c r="BH140" s="99" t="str">
        <f t="shared" si="10"/>
        <v/>
      </c>
      <c r="BI140" s="100" t="str">
        <f ca="1">IFERROR(__xludf.DUMMYFUNCTION("IFERROR(VLOOKUP(F154,IMPORTRANGE(""https://docs.google.com/spreadsheets/d/1Kvs4KS76FHFqLFIZfrDMff4kP08nblUkihrxltoGBjg/edit#gid=934712705"",""ESENCIAL!A6:BG""),2,FALSE))"),"")</f>
        <v/>
      </c>
      <c r="BJ140" s="19" t="str">
        <f t="shared" si="11"/>
        <v/>
      </c>
      <c r="BK140" s="100"/>
      <c r="BL140" s="100"/>
    </row>
    <row r="141" spans="1:64" ht="15">
      <c r="A141" s="101"/>
      <c r="B141" s="101"/>
      <c r="G141" s="5" t="str">
        <f ca="1">IFERROR(__xludf.DUMMYFUNCTION("IFERROR(VLOOKUP(F155,IMPORTRANGE(""https://docs.google.com/spreadsheets/d/1Kvs4KS76FHFqLFIZfrDMff4kP08nblUkihrxltoGBjg/edit#gid=934712705"",""ESENCIAL!A6:BG""),3,FALSE))"),"")</f>
        <v/>
      </c>
      <c r="H141" s="5" t="str">
        <f ca="1">IFERROR(__xludf.DUMMYFUNCTION("IFERROR(VLOOKUP(F155,IMPORTRANGE(""https://docs.google.com/spreadsheets/d/1Kvs4KS76FHFqLFIZfrDMff4kP08nblUkihrxltoGBjg/edit#gid=934712705"",""ESENCIAL!A6:BG""),8,FALSE))"),"")</f>
        <v/>
      </c>
      <c r="L141" s="287"/>
      <c r="U141" s="40"/>
      <c r="AU141" s="41" t="str">
        <f t="shared" si="8"/>
        <v/>
      </c>
      <c r="AV141" s="5" t="str">
        <f ca="1">IFERROR(__xludf.DUMMYFUNCTION("IFERROR(VLOOKUP(E155&amp;F155,IMPORTRANGE(""https://docs.google.com/spreadsheets/d/1Uw7-A9f9R21vMXxHZFNpYNeKFtG8_yji4HS352LGlSQ/edit?pli=1#gid=0"",""1_ACUM!A4:S""),11,FALSE))"),"")</f>
        <v/>
      </c>
      <c r="AW141" s="42" t="str">
        <f ca="1">IFERROR(__xludf.DUMMYFUNCTION("IFERROR(VLOOKUP(F155,IMPORTRANGE(""https://docs.google.com/spreadsheets/d/1Kvs4KS76FHFqLFIZfrDMff4kP08nblUkihrxltoGBjg/edit#gid=934712705"",""ESENCIAL!A6:BG""),15,FALSE))"),"")</f>
        <v/>
      </c>
      <c r="AX141" s="21" t="str">
        <f ca="1">IFERROR(__xludf.DUMMYFUNCTION("IFERROR(VLOOKUP(E155&amp;F155,IMPORTRANGE(""https://docs.google.com/spreadsheets/d/1Uw7-A9f9R21vMXxHZFNpYNeKFtG8_yji4HS352LGlSQ/edit?pli=1#gid=0"",""1_ACUM!A4:S""),12,FALSE))"),"")</f>
        <v/>
      </c>
      <c r="AY141" s="43" t="str">
        <f ca="1">IFERROR(__xludf.DUMMYFUNCTION("IFERROR(VLOOKUP(E155&amp;F155,IMPORTRANGE(""https://docs.google.com/spreadsheets/d/1Uw7-A9f9R21vMXxHZFNpYNeKFtG8_yji4HS352LGlSQ/edit?pli=1#gid=0"",""1_ACUM!A4:S""),13,FALSE))"),"")</f>
        <v/>
      </c>
      <c r="AZ141" s="43" t="str">
        <f ca="1">IFERROR(__xludf.DUMMYFUNCTION("IFERROR(VLOOKUP(E155&amp;F155,IMPORTRANGE(""https://docs.google.com/spreadsheets/d/1Uw7-A9f9R21vMXxHZFNpYNeKFtG8_yji4HS352LGlSQ/edit?pli=1#gid=0"",""1_ACUM!A4:S""),14,FALSE))"),"")</f>
        <v/>
      </c>
      <c r="BA141" s="43" t="str">
        <f ca="1">IFERROR(__xludf.DUMMYFUNCTION("IFERROR(VLOOKUP(E155&amp;F155,IMPORTRANGE(""https://docs.google.com/spreadsheets/d/1Uw7-A9f9R21vMXxHZFNpYNeKFtG8_yji4HS352LGlSQ/edit?pli=1#gid=0"",""1_ACUM!A4:S""),15,FALSE))"),"")</f>
        <v/>
      </c>
      <c r="BB141" s="43" t="str">
        <f ca="1">IFERROR(__xludf.DUMMYFUNCTION("IFERROR(VLOOKUP(E155&amp;F155,IMPORTRANGE(""https://docs.google.com/spreadsheets/d/1Uw7-A9f9R21vMXxHZFNpYNeKFtG8_yji4HS352LGlSQ/edit?pli=1#gid=0"",""1_ACUM!A4:S""),16,FALSE))"),"")</f>
        <v/>
      </c>
      <c r="BC141" s="43" t="str">
        <f ca="1">IFERROR(__xludf.DUMMYFUNCTION("IFERROR(VLOOKUP(E155&amp;F155,IMPORTRANGE(""https://docs.google.com/spreadsheets/d/1Uw7-A9f9R21vMXxHZFNpYNeKFtG8_yji4HS352LGlSQ/edit?pli=1#gid=0"",""1_ACUM!A4:S""),17,FALSE))"),"")</f>
        <v/>
      </c>
      <c r="BD141" s="44" t="str">
        <f ca="1">IFERROR(__xludf.DUMMYFUNCTION("IFERROR(VLOOKUP(E155&amp;F155,IMPORTRANGE(""https://docs.google.com/spreadsheets/d/1Uw7-A9f9R21vMXxHZFNpYNeKFtG8_yji4HS352LGlSQ/edit?pli=1#gid=0"",""1_ACUM!A4:S""),18,FALSE))"),"")</f>
        <v/>
      </c>
      <c r="BE141" s="44" t="str">
        <f ca="1">IFERROR(__xludf.DUMMYFUNCTION("IFERROR(VLOOKUP(E155&amp;F155,IMPORTRANGE(""https://docs.google.com/spreadsheets/d/1Uw7-A9f9R21vMXxHZFNpYNeKFtG8_yji4HS352LGlSQ/edit?pli=1#gid=0"",""1_ACUM!A4:S""),19,FALSE))"),"")</f>
        <v/>
      </c>
      <c r="BF141" s="98" t="str">
        <f ca="1">IFERROR(__xludf.DUMMYFUNCTION("IFERROR(VLOOKUP(F155,IMPORTRANGE(""https://docs.google.com/spreadsheets/d/1Kvs4KS76FHFqLFIZfrDMff4kP08nblUkihrxltoGBjg/edit#gid=934712705"",""ESENCIAL!A6:BG""),5,FALSE))"),"")</f>
        <v/>
      </c>
      <c r="BG141" s="98" t="str">
        <f t="shared" si="9"/>
        <v/>
      </c>
      <c r="BH141" s="99" t="str">
        <f t="shared" si="10"/>
        <v/>
      </c>
      <c r="BI141" s="100" t="str">
        <f ca="1">IFERROR(__xludf.DUMMYFUNCTION("IFERROR(VLOOKUP(F155,IMPORTRANGE(""https://docs.google.com/spreadsheets/d/1Kvs4KS76FHFqLFIZfrDMff4kP08nblUkihrxltoGBjg/edit#gid=934712705"",""ESENCIAL!A6:BG""),2,FALSE))"),"")</f>
        <v/>
      </c>
      <c r="BJ141" s="19" t="str">
        <f t="shared" si="11"/>
        <v/>
      </c>
      <c r="BK141" s="100"/>
      <c r="BL141" s="100"/>
    </row>
    <row r="142" spans="1:64" ht="15">
      <c r="A142" s="101"/>
      <c r="B142" s="101"/>
      <c r="G142" s="5" t="str">
        <f ca="1">IFERROR(__xludf.DUMMYFUNCTION("IFERROR(VLOOKUP(F156,IMPORTRANGE(""https://docs.google.com/spreadsheets/d/1Kvs4KS76FHFqLFIZfrDMff4kP08nblUkihrxltoGBjg/edit#gid=934712705"",""ESENCIAL!A6:BG""),3,FALSE))"),"")</f>
        <v/>
      </c>
      <c r="H142" s="5" t="str">
        <f ca="1">IFERROR(__xludf.DUMMYFUNCTION("IFERROR(VLOOKUP(F156,IMPORTRANGE(""https://docs.google.com/spreadsheets/d/1Kvs4KS76FHFqLFIZfrDMff4kP08nblUkihrxltoGBjg/edit#gid=934712705"",""ESENCIAL!A6:BG""),8,FALSE))"),"")</f>
        <v/>
      </c>
      <c r="L142" s="287"/>
      <c r="U142" s="40"/>
      <c r="AU142" s="41" t="str">
        <f t="shared" si="8"/>
        <v/>
      </c>
      <c r="AV142" s="5" t="str">
        <f ca="1">IFERROR(__xludf.DUMMYFUNCTION("IFERROR(VLOOKUP(E156&amp;F156,IMPORTRANGE(""https://docs.google.com/spreadsheets/d/1Uw7-A9f9R21vMXxHZFNpYNeKFtG8_yji4HS352LGlSQ/edit?pli=1#gid=0"",""1_ACUM!A4:S""),11,FALSE))"),"")</f>
        <v/>
      </c>
      <c r="AW142" s="42" t="str">
        <f ca="1">IFERROR(__xludf.DUMMYFUNCTION("IFERROR(VLOOKUP(F156,IMPORTRANGE(""https://docs.google.com/spreadsheets/d/1Kvs4KS76FHFqLFIZfrDMff4kP08nblUkihrxltoGBjg/edit#gid=934712705"",""ESENCIAL!A6:BG""),15,FALSE))"),"")</f>
        <v/>
      </c>
      <c r="AX142" s="21" t="str">
        <f ca="1">IFERROR(__xludf.DUMMYFUNCTION("IFERROR(VLOOKUP(E156&amp;F156,IMPORTRANGE(""https://docs.google.com/spreadsheets/d/1Uw7-A9f9R21vMXxHZFNpYNeKFtG8_yji4HS352LGlSQ/edit?pli=1#gid=0"",""1_ACUM!A4:S""),12,FALSE))"),"")</f>
        <v/>
      </c>
      <c r="AY142" s="43" t="str">
        <f ca="1">IFERROR(__xludf.DUMMYFUNCTION("IFERROR(VLOOKUP(E156&amp;F156,IMPORTRANGE(""https://docs.google.com/spreadsheets/d/1Uw7-A9f9R21vMXxHZFNpYNeKFtG8_yji4HS352LGlSQ/edit?pli=1#gid=0"",""1_ACUM!A4:S""),13,FALSE))"),"")</f>
        <v/>
      </c>
      <c r="AZ142" s="43" t="str">
        <f ca="1">IFERROR(__xludf.DUMMYFUNCTION("IFERROR(VLOOKUP(E156&amp;F156,IMPORTRANGE(""https://docs.google.com/spreadsheets/d/1Uw7-A9f9R21vMXxHZFNpYNeKFtG8_yji4HS352LGlSQ/edit?pli=1#gid=0"",""1_ACUM!A4:S""),14,FALSE))"),"")</f>
        <v/>
      </c>
      <c r="BA142" s="43" t="str">
        <f ca="1">IFERROR(__xludf.DUMMYFUNCTION("IFERROR(VLOOKUP(E156&amp;F156,IMPORTRANGE(""https://docs.google.com/spreadsheets/d/1Uw7-A9f9R21vMXxHZFNpYNeKFtG8_yji4HS352LGlSQ/edit?pli=1#gid=0"",""1_ACUM!A4:S""),15,FALSE))"),"")</f>
        <v/>
      </c>
      <c r="BB142" s="43" t="str">
        <f ca="1">IFERROR(__xludf.DUMMYFUNCTION("IFERROR(VLOOKUP(E156&amp;F156,IMPORTRANGE(""https://docs.google.com/spreadsheets/d/1Uw7-A9f9R21vMXxHZFNpYNeKFtG8_yji4HS352LGlSQ/edit?pli=1#gid=0"",""1_ACUM!A4:S""),16,FALSE))"),"")</f>
        <v/>
      </c>
      <c r="BC142" s="43" t="str">
        <f ca="1">IFERROR(__xludf.DUMMYFUNCTION("IFERROR(VLOOKUP(E156&amp;F156,IMPORTRANGE(""https://docs.google.com/spreadsheets/d/1Uw7-A9f9R21vMXxHZFNpYNeKFtG8_yji4HS352LGlSQ/edit?pli=1#gid=0"",""1_ACUM!A4:S""),17,FALSE))"),"")</f>
        <v/>
      </c>
      <c r="BD142" s="44" t="str">
        <f ca="1">IFERROR(__xludf.DUMMYFUNCTION("IFERROR(VLOOKUP(E156&amp;F156,IMPORTRANGE(""https://docs.google.com/spreadsheets/d/1Uw7-A9f9R21vMXxHZFNpYNeKFtG8_yji4HS352LGlSQ/edit?pli=1#gid=0"",""1_ACUM!A4:S""),18,FALSE))"),"")</f>
        <v/>
      </c>
      <c r="BE142" s="44" t="str">
        <f ca="1">IFERROR(__xludf.DUMMYFUNCTION("IFERROR(VLOOKUP(E156&amp;F156,IMPORTRANGE(""https://docs.google.com/spreadsheets/d/1Uw7-A9f9R21vMXxHZFNpYNeKFtG8_yji4HS352LGlSQ/edit?pli=1#gid=0"",""1_ACUM!A4:S""),19,FALSE))"),"")</f>
        <v/>
      </c>
      <c r="BF142" s="98" t="str">
        <f ca="1">IFERROR(__xludf.DUMMYFUNCTION("IFERROR(VLOOKUP(F156,IMPORTRANGE(""https://docs.google.com/spreadsheets/d/1Kvs4KS76FHFqLFIZfrDMff4kP08nblUkihrxltoGBjg/edit#gid=934712705"",""ESENCIAL!A6:BG""),5,FALSE))"),"")</f>
        <v/>
      </c>
      <c r="BG142" s="98" t="str">
        <f t="shared" si="9"/>
        <v/>
      </c>
      <c r="BH142" s="99" t="str">
        <f t="shared" si="10"/>
        <v/>
      </c>
      <c r="BI142" s="100" t="str">
        <f ca="1">IFERROR(__xludf.DUMMYFUNCTION("IFERROR(VLOOKUP(F156,IMPORTRANGE(""https://docs.google.com/spreadsheets/d/1Kvs4KS76FHFqLFIZfrDMff4kP08nblUkihrxltoGBjg/edit#gid=934712705"",""ESENCIAL!A6:BG""),2,FALSE))"),"")</f>
        <v/>
      </c>
      <c r="BJ142" s="19" t="str">
        <f t="shared" si="11"/>
        <v/>
      </c>
      <c r="BK142" s="100"/>
      <c r="BL142" s="100"/>
    </row>
    <row r="143" spans="1:64" ht="15">
      <c r="A143" s="101"/>
      <c r="B143" s="101"/>
      <c r="G143" s="5" t="str">
        <f ca="1">IFERROR(__xludf.DUMMYFUNCTION("IFERROR(VLOOKUP(F157,IMPORTRANGE(""https://docs.google.com/spreadsheets/d/1Kvs4KS76FHFqLFIZfrDMff4kP08nblUkihrxltoGBjg/edit#gid=934712705"",""ESENCIAL!A6:BG""),3,FALSE))"),"")</f>
        <v/>
      </c>
      <c r="H143" s="5" t="str">
        <f ca="1">IFERROR(__xludf.DUMMYFUNCTION("IFERROR(VLOOKUP(F157,IMPORTRANGE(""https://docs.google.com/spreadsheets/d/1Kvs4KS76FHFqLFIZfrDMff4kP08nblUkihrxltoGBjg/edit#gid=934712705"",""ESENCIAL!A6:BG""),8,FALSE))"),"")</f>
        <v/>
      </c>
      <c r="L143" s="287"/>
      <c r="U143" s="40"/>
      <c r="AU143" s="41" t="str">
        <f t="shared" si="8"/>
        <v/>
      </c>
      <c r="AV143" s="5" t="str">
        <f ca="1">IFERROR(__xludf.DUMMYFUNCTION("IFERROR(VLOOKUP(E157&amp;F157,IMPORTRANGE(""https://docs.google.com/spreadsheets/d/1Uw7-A9f9R21vMXxHZFNpYNeKFtG8_yji4HS352LGlSQ/edit?pli=1#gid=0"",""1_ACUM!A4:S""),11,FALSE))"),"")</f>
        <v/>
      </c>
      <c r="AW143" s="42" t="str">
        <f ca="1">IFERROR(__xludf.DUMMYFUNCTION("IFERROR(VLOOKUP(F157,IMPORTRANGE(""https://docs.google.com/spreadsheets/d/1Kvs4KS76FHFqLFIZfrDMff4kP08nblUkihrxltoGBjg/edit#gid=934712705"",""ESENCIAL!A6:BG""),15,FALSE))"),"")</f>
        <v/>
      </c>
      <c r="AX143" s="21" t="str">
        <f ca="1">IFERROR(__xludf.DUMMYFUNCTION("IFERROR(VLOOKUP(E157&amp;F157,IMPORTRANGE(""https://docs.google.com/spreadsheets/d/1Uw7-A9f9R21vMXxHZFNpYNeKFtG8_yji4HS352LGlSQ/edit?pli=1#gid=0"",""1_ACUM!A4:S""),12,FALSE))"),"")</f>
        <v/>
      </c>
      <c r="AY143" s="43" t="str">
        <f ca="1">IFERROR(__xludf.DUMMYFUNCTION("IFERROR(VLOOKUP(E157&amp;F157,IMPORTRANGE(""https://docs.google.com/spreadsheets/d/1Uw7-A9f9R21vMXxHZFNpYNeKFtG8_yji4HS352LGlSQ/edit?pli=1#gid=0"",""1_ACUM!A4:S""),13,FALSE))"),"")</f>
        <v/>
      </c>
      <c r="AZ143" s="43" t="str">
        <f ca="1">IFERROR(__xludf.DUMMYFUNCTION("IFERROR(VLOOKUP(E157&amp;F157,IMPORTRANGE(""https://docs.google.com/spreadsheets/d/1Uw7-A9f9R21vMXxHZFNpYNeKFtG8_yji4HS352LGlSQ/edit?pli=1#gid=0"",""1_ACUM!A4:S""),14,FALSE))"),"")</f>
        <v/>
      </c>
      <c r="BA143" s="43" t="str">
        <f ca="1">IFERROR(__xludf.DUMMYFUNCTION("IFERROR(VLOOKUP(E157&amp;F157,IMPORTRANGE(""https://docs.google.com/spreadsheets/d/1Uw7-A9f9R21vMXxHZFNpYNeKFtG8_yji4HS352LGlSQ/edit?pli=1#gid=0"",""1_ACUM!A4:S""),15,FALSE))"),"")</f>
        <v/>
      </c>
      <c r="BB143" s="43" t="str">
        <f ca="1">IFERROR(__xludf.DUMMYFUNCTION("IFERROR(VLOOKUP(E157&amp;F157,IMPORTRANGE(""https://docs.google.com/spreadsheets/d/1Uw7-A9f9R21vMXxHZFNpYNeKFtG8_yji4HS352LGlSQ/edit?pli=1#gid=0"",""1_ACUM!A4:S""),16,FALSE))"),"")</f>
        <v/>
      </c>
      <c r="BC143" s="43" t="str">
        <f ca="1">IFERROR(__xludf.DUMMYFUNCTION("IFERROR(VLOOKUP(E157&amp;F157,IMPORTRANGE(""https://docs.google.com/spreadsheets/d/1Uw7-A9f9R21vMXxHZFNpYNeKFtG8_yji4HS352LGlSQ/edit?pli=1#gid=0"",""1_ACUM!A4:S""),17,FALSE))"),"")</f>
        <v/>
      </c>
      <c r="BD143" s="44" t="str">
        <f ca="1">IFERROR(__xludf.DUMMYFUNCTION("IFERROR(VLOOKUP(E157&amp;F157,IMPORTRANGE(""https://docs.google.com/spreadsheets/d/1Uw7-A9f9R21vMXxHZFNpYNeKFtG8_yji4HS352LGlSQ/edit?pli=1#gid=0"",""1_ACUM!A4:S""),18,FALSE))"),"")</f>
        <v/>
      </c>
      <c r="BE143" s="44" t="str">
        <f ca="1">IFERROR(__xludf.DUMMYFUNCTION("IFERROR(VLOOKUP(E157&amp;F157,IMPORTRANGE(""https://docs.google.com/spreadsheets/d/1Uw7-A9f9R21vMXxHZFNpYNeKFtG8_yji4HS352LGlSQ/edit?pli=1#gid=0"",""1_ACUM!A4:S""),19,FALSE))"),"")</f>
        <v/>
      </c>
      <c r="BF143" s="98" t="str">
        <f ca="1">IFERROR(__xludf.DUMMYFUNCTION("IFERROR(VLOOKUP(F157,IMPORTRANGE(""https://docs.google.com/spreadsheets/d/1Kvs4KS76FHFqLFIZfrDMff4kP08nblUkihrxltoGBjg/edit#gid=934712705"",""ESENCIAL!A6:BG""),5,FALSE))"),"")</f>
        <v/>
      </c>
      <c r="BG143" s="98" t="str">
        <f t="shared" si="9"/>
        <v/>
      </c>
      <c r="BH143" s="99" t="str">
        <f t="shared" si="10"/>
        <v/>
      </c>
      <c r="BI143" s="100" t="str">
        <f ca="1">IFERROR(__xludf.DUMMYFUNCTION("IFERROR(VLOOKUP(F157,IMPORTRANGE(""https://docs.google.com/spreadsheets/d/1Kvs4KS76FHFqLFIZfrDMff4kP08nblUkihrxltoGBjg/edit#gid=934712705"",""ESENCIAL!A6:BG""),2,FALSE))"),"")</f>
        <v/>
      </c>
      <c r="BJ143" s="19" t="str">
        <f t="shared" si="11"/>
        <v/>
      </c>
      <c r="BK143" s="100"/>
      <c r="BL143" s="100"/>
    </row>
    <row r="144" spans="1:64" ht="15">
      <c r="A144" s="101"/>
      <c r="B144" s="101"/>
      <c r="G144" s="5" t="str">
        <f ca="1">IFERROR(__xludf.DUMMYFUNCTION("IFERROR(VLOOKUP(F158,IMPORTRANGE(""https://docs.google.com/spreadsheets/d/1Kvs4KS76FHFqLFIZfrDMff4kP08nblUkihrxltoGBjg/edit#gid=934712705"",""ESENCIAL!A6:BG""),3,FALSE))"),"")</f>
        <v/>
      </c>
      <c r="H144" s="5" t="str">
        <f ca="1">IFERROR(__xludf.DUMMYFUNCTION("IFERROR(VLOOKUP(F158,IMPORTRANGE(""https://docs.google.com/spreadsheets/d/1Kvs4KS76FHFqLFIZfrDMff4kP08nblUkihrxltoGBjg/edit#gid=934712705"",""ESENCIAL!A6:BG""),8,FALSE))"),"")</f>
        <v/>
      </c>
      <c r="L144" s="287"/>
      <c r="U144" s="40"/>
      <c r="AU144" s="41" t="str">
        <f t="shared" si="8"/>
        <v/>
      </c>
      <c r="AV144" s="5" t="str">
        <f ca="1">IFERROR(__xludf.DUMMYFUNCTION("IFERROR(VLOOKUP(E158&amp;F158,IMPORTRANGE(""https://docs.google.com/spreadsheets/d/1Uw7-A9f9R21vMXxHZFNpYNeKFtG8_yji4HS352LGlSQ/edit?pli=1#gid=0"",""1_ACUM!A4:S""),11,FALSE))"),"")</f>
        <v/>
      </c>
      <c r="AW144" s="42" t="str">
        <f ca="1">IFERROR(__xludf.DUMMYFUNCTION("IFERROR(VLOOKUP(F158,IMPORTRANGE(""https://docs.google.com/spreadsheets/d/1Kvs4KS76FHFqLFIZfrDMff4kP08nblUkihrxltoGBjg/edit#gid=934712705"",""ESENCIAL!A6:BG""),15,FALSE))"),"")</f>
        <v/>
      </c>
      <c r="AX144" s="21" t="str">
        <f ca="1">IFERROR(__xludf.DUMMYFUNCTION("IFERROR(VLOOKUP(E158&amp;F158,IMPORTRANGE(""https://docs.google.com/spreadsheets/d/1Uw7-A9f9R21vMXxHZFNpYNeKFtG8_yji4HS352LGlSQ/edit?pli=1#gid=0"",""1_ACUM!A4:S""),12,FALSE))"),"")</f>
        <v/>
      </c>
      <c r="AY144" s="43" t="str">
        <f ca="1">IFERROR(__xludf.DUMMYFUNCTION("IFERROR(VLOOKUP(E158&amp;F158,IMPORTRANGE(""https://docs.google.com/spreadsheets/d/1Uw7-A9f9R21vMXxHZFNpYNeKFtG8_yji4HS352LGlSQ/edit?pli=1#gid=0"",""1_ACUM!A4:S""),13,FALSE))"),"")</f>
        <v/>
      </c>
      <c r="AZ144" s="43" t="str">
        <f ca="1">IFERROR(__xludf.DUMMYFUNCTION("IFERROR(VLOOKUP(E158&amp;F158,IMPORTRANGE(""https://docs.google.com/spreadsheets/d/1Uw7-A9f9R21vMXxHZFNpYNeKFtG8_yji4HS352LGlSQ/edit?pli=1#gid=0"",""1_ACUM!A4:S""),14,FALSE))"),"")</f>
        <v/>
      </c>
      <c r="BA144" s="43" t="str">
        <f ca="1">IFERROR(__xludf.DUMMYFUNCTION("IFERROR(VLOOKUP(E158&amp;F158,IMPORTRANGE(""https://docs.google.com/spreadsheets/d/1Uw7-A9f9R21vMXxHZFNpYNeKFtG8_yji4HS352LGlSQ/edit?pli=1#gid=0"",""1_ACUM!A4:S""),15,FALSE))"),"")</f>
        <v/>
      </c>
      <c r="BB144" s="43" t="str">
        <f ca="1">IFERROR(__xludf.DUMMYFUNCTION("IFERROR(VLOOKUP(E158&amp;F158,IMPORTRANGE(""https://docs.google.com/spreadsheets/d/1Uw7-A9f9R21vMXxHZFNpYNeKFtG8_yji4HS352LGlSQ/edit?pli=1#gid=0"",""1_ACUM!A4:S""),16,FALSE))"),"")</f>
        <v/>
      </c>
      <c r="BC144" s="43" t="str">
        <f ca="1">IFERROR(__xludf.DUMMYFUNCTION("IFERROR(VLOOKUP(E158&amp;F158,IMPORTRANGE(""https://docs.google.com/spreadsheets/d/1Uw7-A9f9R21vMXxHZFNpYNeKFtG8_yji4HS352LGlSQ/edit?pli=1#gid=0"",""1_ACUM!A4:S""),17,FALSE))"),"")</f>
        <v/>
      </c>
      <c r="BD144" s="44" t="str">
        <f ca="1">IFERROR(__xludf.DUMMYFUNCTION("IFERROR(VLOOKUP(E158&amp;F158,IMPORTRANGE(""https://docs.google.com/spreadsheets/d/1Uw7-A9f9R21vMXxHZFNpYNeKFtG8_yji4HS352LGlSQ/edit?pli=1#gid=0"",""1_ACUM!A4:S""),18,FALSE))"),"")</f>
        <v/>
      </c>
      <c r="BE144" s="44" t="str">
        <f ca="1">IFERROR(__xludf.DUMMYFUNCTION("IFERROR(VLOOKUP(E158&amp;F158,IMPORTRANGE(""https://docs.google.com/spreadsheets/d/1Uw7-A9f9R21vMXxHZFNpYNeKFtG8_yji4HS352LGlSQ/edit?pli=1#gid=0"",""1_ACUM!A4:S""),19,FALSE))"),"")</f>
        <v/>
      </c>
      <c r="BF144" s="98" t="str">
        <f ca="1">IFERROR(__xludf.DUMMYFUNCTION("IFERROR(VLOOKUP(F158,IMPORTRANGE(""https://docs.google.com/spreadsheets/d/1Kvs4KS76FHFqLFIZfrDMff4kP08nblUkihrxltoGBjg/edit#gid=934712705"",""ESENCIAL!A6:BG""),5,FALSE))"),"")</f>
        <v/>
      </c>
      <c r="BG144" s="98" t="str">
        <f t="shared" si="9"/>
        <v/>
      </c>
      <c r="BH144" s="99" t="str">
        <f t="shared" si="10"/>
        <v/>
      </c>
      <c r="BI144" s="100" t="str">
        <f ca="1">IFERROR(__xludf.DUMMYFUNCTION("IFERROR(VLOOKUP(F158,IMPORTRANGE(""https://docs.google.com/spreadsheets/d/1Kvs4KS76FHFqLFIZfrDMff4kP08nblUkihrxltoGBjg/edit#gid=934712705"",""ESENCIAL!A6:BG""),2,FALSE))"),"")</f>
        <v/>
      </c>
      <c r="BJ144" s="19" t="str">
        <f t="shared" si="11"/>
        <v/>
      </c>
      <c r="BK144" s="100"/>
      <c r="BL144" s="100"/>
    </row>
    <row r="145" spans="1:64" ht="15">
      <c r="A145" s="101"/>
      <c r="B145" s="101"/>
      <c r="G145" s="5" t="str">
        <f ca="1">IFERROR(__xludf.DUMMYFUNCTION("IFERROR(VLOOKUP(F159,IMPORTRANGE(""https://docs.google.com/spreadsheets/d/1Kvs4KS76FHFqLFIZfrDMff4kP08nblUkihrxltoGBjg/edit#gid=934712705"",""ESENCIAL!A6:BG""),3,FALSE))"),"")</f>
        <v/>
      </c>
      <c r="H145" s="5" t="str">
        <f ca="1">IFERROR(__xludf.DUMMYFUNCTION("IFERROR(VLOOKUP(F159,IMPORTRANGE(""https://docs.google.com/spreadsheets/d/1Kvs4KS76FHFqLFIZfrDMff4kP08nblUkihrxltoGBjg/edit#gid=934712705"",""ESENCIAL!A6:BG""),8,FALSE))"),"")</f>
        <v/>
      </c>
      <c r="L145" s="287"/>
      <c r="U145" s="40"/>
      <c r="AU145" s="41" t="str">
        <f t="shared" si="8"/>
        <v/>
      </c>
      <c r="AV145" s="5" t="str">
        <f ca="1">IFERROR(__xludf.DUMMYFUNCTION("IFERROR(VLOOKUP(E159&amp;F159,IMPORTRANGE(""https://docs.google.com/spreadsheets/d/1Uw7-A9f9R21vMXxHZFNpYNeKFtG8_yji4HS352LGlSQ/edit?pli=1#gid=0"",""1_ACUM!A4:S""),11,FALSE))"),"")</f>
        <v/>
      </c>
      <c r="AW145" s="42" t="str">
        <f ca="1">IFERROR(__xludf.DUMMYFUNCTION("IFERROR(VLOOKUP(F159,IMPORTRANGE(""https://docs.google.com/spreadsheets/d/1Kvs4KS76FHFqLFIZfrDMff4kP08nblUkihrxltoGBjg/edit#gid=934712705"",""ESENCIAL!A6:BG""),15,FALSE))"),"")</f>
        <v/>
      </c>
      <c r="AX145" s="21" t="str">
        <f ca="1">IFERROR(__xludf.DUMMYFUNCTION("IFERROR(VLOOKUP(E159&amp;F159,IMPORTRANGE(""https://docs.google.com/spreadsheets/d/1Uw7-A9f9R21vMXxHZFNpYNeKFtG8_yji4HS352LGlSQ/edit?pli=1#gid=0"",""1_ACUM!A4:S""),12,FALSE))"),"")</f>
        <v/>
      </c>
      <c r="AY145" s="43" t="str">
        <f ca="1">IFERROR(__xludf.DUMMYFUNCTION("IFERROR(VLOOKUP(E159&amp;F159,IMPORTRANGE(""https://docs.google.com/spreadsheets/d/1Uw7-A9f9R21vMXxHZFNpYNeKFtG8_yji4HS352LGlSQ/edit?pli=1#gid=0"",""1_ACUM!A4:S""),13,FALSE))"),"")</f>
        <v/>
      </c>
      <c r="AZ145" s="43" t="str">
        <f ca="1">IFERROR(__xludf.DUMMYFUNCTION("IFERROR(VLOOKUP(E159&amp;F159,IMPORTRANGE(""https://docs.google.com/spreadsheets/d/1Uw7-A9f9R21vMXxHZFNpYNeKFtG8_yji4HS352LGlSQ/edit?pli=1#gid=0"",""1_ACUM!A4:S""),14,FALSE))"),"")</f>
        <v/>
      </c>
      <c r="BA145" s="43" t="str">
        <f ca="1">IFERROR(__xludf.DUMMYFUNCTION("IFERROR(VLOOKUP(E159&amp;F159,IMPORTRANGE(""https://docs.google.com/spreadsheets/d/1Uw7-A9f9R21vMXxHZFNpYNeKFtG8_yji4HS352LGlSQ/edit?pli=1#gid=0"",""1_ACUM!A4:S""),15,FALSE))"),"")</f>
        <v/>
      </c>
      <c r="BB145" s="43" t="str">
        <f ca="1">IFERROR(__xludf.DUMMYFUNCTION("IFERROR(VLOOKUP(E159&amp;F159,IMPORTRANGE(""https://docs.google.com/spreadsheets/d/1Uw7-A9f9R21vMXxHZFNpYNeKFtG8_yji4HS352LGlSQ/edit?pli=1#gid=0"",""1_ACUM!A4:S""),16,FALSE))"),"")</f>
        <v/>
      </c>
      <c r="BC145" s="43" t="str">
        <f ca="1">IFERROR(__xludf.DUMMYFUNCTION("IFERROR(VLOOKUP(E159&amp;F159,IMPORTRANGE(""https://docs.google.com/spreadsheets/d/1Uw7-A9f9R21vMXxHZFNpYNeKFtG8_yji4HS352LGlSQ/edit?pli=1#gid=0"",""1_ACUM!A4:S""),17,FALSE))"),"")</f>
        <v/>
      </c>
      <c r="BD145" s="44" t="str">
        <f ca="1">IFERROR(__xludf.DUMMYFUNCTION("IFERROR(VLOOKUP(E159&amp;F159,IMPORTRANGE(""https://docs.google.com/spreadsheets/d/1Uw7-A9f9R21vMXxHZFNpYNeKFtG8_yji4HS352LGlSQ/edit?pli=1#gid=0"",""1_ACUM!A4:S""),18,FALSE))"),"")</f>
        <v/>
      </c>
      <c r="BE145" s="44" t="str">
        <f ca="1">IFERROR(__xludf.DUMMYFUNCTION("IFERROR(VLOOKUP(E159&amp;F159,IMPORTRANGE(""https://docs.google.com/spreadsheets/d/1Uw7-A9f9R21vMXxHZFNpYNeKFtG8_yji4HS352LGlSQ/edit?pli=1#gid=0"",""1_ACUM!A4:S""),19,FALSE))"),"")</f>
        <v/>
      </c>
      <c r="BF145" s="98" t="str">
        <f ca="1">IFERROR(__xludf.DUMMYFUNCTION("IFERROR(VLOOKUP(F159,IMPORTRANGE(""https://docs.google.com/spreadsheets/d/1Kvs4KS76FHFqLFIZfrDMff4kP08nblUkihrxltoGBjg/edit#gid=934712705"",""ESENCIAL!A6:BG""),5,FALSE))"),"")</f>
        <v/>
      </c>
      <c r="BG145" s="98" t="str">
        <f t="shared" si="9"/>
        <v/>
      </c>
      <c r="BH145" s="99" t="str">
        <f t="shared" si="10"/>
        <v/>
      </c>
      <c r="BI145" s="100" t="str">
        <f ca="1">IFERROR(__xludf.DUMMYFUNCTION("IFERROR(VLOOKUP(F159,IMPORTRANGE(""https://docs.google.com/spreadsheets/d/1Kvs4KS76FHFqLFIZfrDMff4kP08nblUkihrxltoGBjg/edit#gid=934712705"",""ESENCIAL!A6:BG""),2,FALSE))"),"")</f>
        <v/>
      </c>
      <c r="BJ145" s="19" t="str">
        <f t="shared" si="11"/>
        <v/>
      </c>
      <c r="BK145" s="100"/>
      <c r="BL145" s="100"/>
    </row>
    <row r="146" spans="1:64" ht="15">
      <c r="A146" s="101"/>
      <c r="B146" s="101"/>
      <c r="G146" s="5" t="str">
        <f ca="1">IFERROR(__xludf.DUMMYFUNCTION("IFERROR(VLOOKUP(F160,IMPORTRANGE(""https://docs.google.com/spreadsheets/d/1Kvs4KS76FHFqLFIZfrDMff4kP08nblUkihrxltoGBjg/edit#gid=934712705"",""ESENCIAL!A6:BG""),3,FALSE))"),"")</f>
        <v/>
      </c>
      <c r="H146" s="5" t="str">
        <f ca="1">IFERROR(__xludf.DUMMYFUNCTION("IFERROR(VLOOKUP(F160,IMPORTRANGE(""https://docs.google.com/spreadsheets/d/1Kvs4KS76FHFqLFIZfrDMff4kP08nblUkihrxltoGBjg/edit#gid=934712705"",""ESENCIAL!A6:BG""),8,FALSE))"),"")</f>
        <v/>
      </c>
      <c r="L146" s="287"/>
      <c r="U146" s="40"/>
      <c r="AU146" s="41" t="str">
        <f t="shared" si="8"/>
        <v/>
      </c>
      <c r="AV146" s="5" t="str">
        <f ca="1">IFERROR(__xludf.DUMMYFUNCTION("IFERROR(VLOOKUP(E160&amp;F160,IMPORTRANGE(""https://docs.google.com/spreadsheets/d/1Uw7-A9f9R21vMXxHZFNpYNeKFtG8_yji4HS352LGlSQ/edit?pli=1#gid=0"",""1_ACUM!A4:S""),11,FALSE))"),"")</f>
        <v/>
      </c>
      <c r="AW146" s="42" t="str">
        <f ca="1">IFERROR(__xludf.DUMMYFUNCTION("IFERROR(VLOOKUP(F160,IMPORTRANGE(""https://docs.google.com/spreadsheets/d/1Kvs4KS76FHFqLFIZfrDMff4kP08nblUkihrxltoGBjg/edit#gid=934712705"",""ESENCIAL!A6:BG""),15,FALSE))"),"")</f>
        <v/>
      </c>
      <c r="AX146" s="21" t="str">
        <f ca="1">IFERROR(__xludf.DUMMYFUNCTION("IFERROR(VLOOKUP(E160&amp;F160,IMPORTRANGE(""https://docs.google.com/spreadsheets/d/1Uw7-A9f9R21vMXxHZFNpYNeKFtG8_yji4HS352LGlSQ/edit?pli=1#gid=0"",""1_ACUM!A4:S""),12,FALSE))"),"")</f>
        <v/>
      </c>
      <c r="AY146" s="43" t="str">
        <f ca="1">IFERROR(__xludf.DUMMYFUNCTION("IFERROR(VLOOKUP(E160&amp;F160,IMPORTRANGE(""https://docs.google.com/spreadsheets/d/1Uw7-A9f9R21vMXxHZFNpYNeKFtG8_yji4HS352LGlSQ/edit?pli=1#gid=0"",""1_ACUM!A4:S""),13,FALSE))"),"")</f>
        <v/>
      </c>
      <c r="AZ146" s="43" t="str">
        <f ca="1">IFERROR(__xludf.DUMMYFUNCTION("IFERROR(VLOOKUP(E160&amp;F160,IMPORTRANGE(""https://docs.google.com/spreadsheets/d/1Uw7-A9f9R21vMXxHZFNpYNeKFtG8_yji4HS352LGlSQ/edit?pli=1#gid=0"",""1_ACUM!A4:S""),14,FALSE))"),"")</f>
        <v/>
      </c>
      <c r="BA146" s="43" t="str">
        <f ca="1">IFERROR(__xludf.DUMMYFUNCTION("IFERROR(VLOOKUP(E160&amp;F160,IMPORTRANGE(""https://docs.google.com/spreadsheets/d/1Uw7-A9f9R21vMXxHZFNpYNeKFtG8_yji4HS352LGlSQ/edit?pli=1#gid=0"",""1_ACUM!A4:S""),15,FALSE))"),"")</f>
        <v/>
      </c>
      <c r="BB146" s="43" t="str">
        <f ca="1">IFERROR(__xludf.DUMMYFUNCTION("IFERROR(VLOOKUP(E160&amp;F160,IMPORTRANGE(""https://docs.google.com/spreadsheets/d/1Uw7-A9f9R21vMXxHZFNpYNeKFtG8_yji4HS352LGlSQ/edit?pli=1#gid=0"",""1_ACUM!A4:S""),16,FALSE))"),"")</f>
        <v/>
      </c>
      <c r="BC146" s="43" t="str">
        <f ca="1">IFERROR(__xludf.DUMMYFUNCTION("IFERROR(VLOOKUP(E160&amp;F160,IMPORTRANGE(""https://docs.google.com/spreadsheets/d/1Uw7-A9f9R21vMXxHZFNpYNeKFtG8_yji4HS352LGlSQ/edit?pli=1#gid=0"",""1_ACUM!A4:S""),17,FALSE))"),"")</f>
        <v/>
      </c>
      <c r="BD146" s="44" t="str">
        <f ca="1">IFERROR(__xludf.DUMMYFUNCTION("IFERROR(VLOOKUP(E160&amp;F160,IMPORTRANGE(""https://docs.google.com/spreadsheets/d/1Uw7-A9f9R21vMXxHZFNpYNeKFtG8_yji4HS352LGlSQ/edit?pli=1#gid=0"",""1_ACUM!A4:S""),18,FALSE))"),"")</f>
        <v/>
      </c>
      <c r="BE146" s="44" t="str">
        <f ca="1">IFERROR(__xludf.DUMMYFUNCTION("IFERROR(VLOOKUP(E160&amp;F160,IMPORTRANGE(""https://docs.google.com/spreadsheets/d/1Uw7-A9f9R21vMXxHZFNpYNeKFtG8_yji4HS352LGlSQ/edit?pli=1#gid=0"",""1_ACUM!A4:S""),19,FALSE))"),"")</f>
        <v/>
      </c>
      <c r="BF146" s="98" t="str">
        <f ca="1">IFERROR(__xludf.DUMMYFUNCTION("IFERROR(VLOOKUP(F160,IMPORTRANGE(""https://docs.google.com/spreadsheets/d/1Kvs4KS76FHFqLFIZfrDMff4kP08nblUkihrxltoGBjg/edit#gid=934712705"",""ESENCIAL!A6:BG""),5,FALSE))"),"")</f>
        <v/>
      </c>
      <c r="BG146" s="98" t="str">
        <f t="shared" si="9"/>
        <v/>
      </c>
      <c r="BH146" s="99" t="str">
        <f t="shared" si="10"/>
        <v/>
      </c>
      <c r="BI146" s="100" t="str">
        <f ca="1">IFERROR(__xludf.DUMMYFUNCTION("IFERROR(VLOOKUP(F160,IMPORTRANGE(""https://docs.google.com/spreadsheets/d/1Kvs4KS76FHFqLFIZfrDMff4kP08nblUkihrxltoGBjg/edit#gid=934712705"",""ESENCIAL!A6:BG""),2,FALSE))"),"")</f>
        <v/>
      </c>
      <c r="BJ146" s="19" t="str">
        <f t="shared" si="11"/>
        <v/>
      </c>
      <c r="BK146" s="100"/>
      <c r="BL146" s="100"/>
    </row>
    <row r="147" spans="1:64" ht="15">
      <c r="A147" s="101"/>
      <c r="B147" s="101"/>
      <c r="G147" s="5" t="str">
        <f ca="1">IFERROR(__xludf.DUMMYFUNCTION("IFERROR(VLOOKUP(F161,IMPORTRANGE(""https://docs.google.com/spreadsheets/d/1Kvs4KS76FHFqLFIZfrDMff4kP08nblUkihrxltoGBjg/edit#gid=934712705"",""ESENCIAL!A6:BG""),3,FALSE))"),"")</f>
        <v/>
      </c>
      <c r="H147" s="5" t="str">
        <f ca="1">IFERROR(__xludf.DUMMYFUNCTION("IFERROR(VLOOKUP(F161,IMPORTRANGE(""https://docs.google.com/spreadsheets/d/1Kvs4KS76FHFqLFIZfrDMff4kP08nblUkihrxltoGBjg/edit#gid=934712705"",""ESENCIAL!A6:BG""),8,FALSE))"),"")</f>
        <v/>
      </c>
      <c r="L147" s="287"/>
      <c r="U147" s="40"/>
      <c r="AU147" s="41" t="str">
        <f t="shared" si="8"/>
        <v/>
      </c>
      <c r="AV147" s="5" t="str">
        <f ca="1">IFERROR(__xludf.DUMMYFUNCTION("IFERROR(VLOOKUP(E161&amp;F161,IMPORTRANGE(""https://docs.google.com/spreadsheets/d/1Uw7-A9f9R21vMXxHZFNpYNeKFtG8_yji4HS352LGlSQ/edit?pli=1#gid=0"",""1_ACUM!A4:S""),11,FALSE))"),"")</f>
        <v/>
      </c>
      <c r="AW147" s="42" t="str">
        <f ca="1">IFERROR(__xludf.DUMMYFUNCTION("IFERROR(VLOOKUP(F161,IMPORTRANGE(""https://docs.google.com/spreadsheets/d/1Kvs4KS76FHFqLFIZfrDMff4kP08nblUkihrxltoGBjg/edit#gid=934712705"",""ESENCIAL!A6:BG""),15,FALSE))"),"")</f>
        <v/>
      </c>
      <c r="AX147" s="21" t="str">
        <f ca="1">IFERROR(__xludf.DUMMYFUNCTION("IFERROR(VLOOKUP(E161&amp;F161,IMPORTRANGE(""https://docs.google.com/spreadsheets/d/1Uw7-A9f9R21vMXxHZFNpYNeKFtG8_yji4HS352LGlSQ/edit?pli=1#gid=0"",""1_ACUM!A4:S""),12,FALSE))"),"")</f>
        <v/>
      </c>
      <c r="AY147" s="43" t="str">
        <f ca="1">IFERROR(__xludf.DUMMYFUNCTION("IFERROR(VLOOKUP(E161&amp;F161,IMPORTRANGE(""https://docs.google.com/spreadsheets/d/1Uw7-A9f9R21vMXxHZFNpYNeKFtG8_yji4HS352LGlSQ/edit?pli=1#gid=0"",""1_ACUM!A4:S""),13,FALSE))"),"")</f>
        <v/>
      </c>
      <c r="AZ147" s="43" t="str">
        <f ca="1">IFERROR(__xludf.DUMMYFUNCTION("IFERROR(VLOOKUP(E161&amp;F161,IMPORTRANGE(""https://docs.google.com/spreadsheets/d/1Uw7-A9f9R21vMXxHZFNpYNeKFtG8_yji4HS352LGlSQ/edit?pli=1#gid=0"",""1_ACUM!A4:S""),14,FALSE))"),"")</f>
        <v/>
      </c>
      <c r="BA147" s="43" t="str">
        <f ca="1">IFERROR(__xludf.DUMMYFUNCTION("IFERROR(VLOOKUP(E161&amp;F161,IMPORTRANGE(""https://docs.google.com/spreadsheets/d/1Uw7-A9f9R21vMXxHZFNpYNeKFtG8_yji4HS352LGlSQ/edit?pli=1#gid=0"",""1_ACUM!A4:S""),15,FALSE))"),"")</f>
        <v/>
      </c>
      <c r="BB147" s="43" t="str">
        <f ca="1">IFERROR(__xludf.DUMMYFUNCTION("IFERROR(VLOOKUP(E161&amp;F161,IMPORTRANGE(""https://docs.google.com/spreadsheets/d/1Uw7-A9f9R21vMXxHZFNpYNeKFtG8_yji4HS352LGlSQ/edit?pli=1#gid=0"",""1_ACUM!A4:S""),16,FALSE))"),"")</f>
        <v/>
      </c>
      <c r="BC147" s="43" t="str">
        <f ca="1">IFERROR(__xludf.DUMMYFUNCTION("IFERROR(VLOOKUP(E161&amp;F161,IMPORTRANGE(""https://docs.google.com/spreadsheets/d/1Uw7-A9f9R21vMXxHZFNpYNeKFtG8_yji4HS352LGlSQ/edit?pli=1#gid=0"",""1_ACUM!A4:S""),17,FALSE))"),"")</f>
        <v/>
      </c>
      <c r="BD147" s="44" t="str">
        <f ca="1">IFERROR(__xludf.DUMMYFUNCTION("IFERROR(VLOOKUP(E161&amp;F161,IMPORTRANGE(""https://docs.google.com/spreadsheets/d/1Uw7-A9f9R21vMXxHZFNpYNeKFtG8_yji4HS352LGlSQ/edit?pli=1#gid=0"",""1_ACUM!A4:S""),18,FALSE))"),"")</f>
        <v/>
      </c>
      <c r="BE147" s="44" t="str">
        <f ca="1">IFERROR(__xludf.DUMMYFUNCTION("IFERROR(VLOOKUP(E161&amp;F161,IMPORTRANGE(""https://docs.google.com/spreadsheets/d/1Uw7-A9f9R21vMXxHZFNpYNeKFtG8_yji4HS352LGlSQ/edit?pli=1#gid=0"",""1_ACUM!A4:S""),19,FALSE))"),"")</f>
        <v/>
      </c>
      <c r="BF147" s="98" t="str">
        <f ca="1">IFERROR(__xludf.DUMMYFUNCTION("IFERROR(VLOOKUP(F161,IMPORTRANGE(""https://docs.google.com/spreadsheets/d/1Kvs4KS76FHFqLFIZfrDMff4kP08nblUkihrxltoGBjg/edit#gid=934712705"",""ESENCIAL!A6:BG""),5,FALSE))"),"")</f>
        <v/>
      </c>
      <c r="BG147" s="98" t="str">
        <f t="shared" si="9"/>
        <v/>
      </c>
      <c r="BH147" s="99" t="str">
        <f t="shared" si="10"/>
        <v/>
      </c>
      <c r="BI147" s="100" t="str">
        <f ca="1">IFERROR(__xludf.DUMMYFUNCTION("IFERROR(VLOOKUP(F161,IMPORTRANGE(""https://docs.google.com/spreadsheets/d/1Kvs4KS76FHFqLFIZfrDMff4kP08nblUkihrxltoGBjg/edit#gid=934712705"",""ESENCIAL!A6:BG""),2,FALSE))"),"")</f>
        <v/>
      </c>
      <c r="BJ147" s="19" t="str">
        <f t="shared" si="11"/>
        <v/>
      </c>
      <c r="BK147" s="100"/>
      <c r="BL147" s="100"/>
    </row>
    <row r="148" spans="1:64" ht="15">
      <c r="A148" s="101"/>
      <c r="B148" s="101"/>
      <c r="G148" s="5" t="str">
        <f ca="1">IFERROR(__xludf.DUMMYFUNCTION("IFERROR(VLOOKUP(F162,IMPORTRANGE(""https://docs.google.com/spreadsheets/d/1Kvs4KS76FHFqLFIZfrDMff4kP08nblUkihrxltoGBjg/edit#gid=934712705"",""ESENCIAL!A6:BG""),3,FALSE))"),"")</f>
        <v/>
      </c>
      <c r="H148" s="5" t="str">
        <f ca="1">IFERROR(__xludf.DUMMYFUNCTION("IFERROR(VLOOKUP(F162,IMPORTRANGE(""https://docs.google.com/spreadsheets/d/1Kvs4KS76FHFqLFIZfrDMff4kP08nblUkihrxltoGBjg/edit#gid=934712705"",""ESENCIAL!A6:BG""),8,FALSE))"),"")</f>
        <v/>
      </c>
      <c r="L148" s="287"/>
      <c r="U148" s="40"/>
      <c r="AU148" s="41" t="str">
        <f t="shared" si="8"/>
        <v/>
      </c>
      <c r="AV148" s="5" t="str">
        <f ca="1">IFERROR(__xludf.DUMMYFUNCTION("IFERROR(VLOOKUP(E162&amp;F162,IMPORTRANGE(""https://docs.google.com/spreadsheets/d/1Uw7-A9f9R21vMXxHZFNpYNeKFtG8_yji4HS352LGlSQ/edit?pli=1#gid=0"",""1_ACUM!A4:S""),11,FALSE))"),"")</f>
        <v/>
      </c>
      <c r="AW148" s="42" t="str">
        <f ca="1">IFERROR(__xludf.DUMMYFUNCTION("IFERROR(VLOOKUP(F162,IMPORTRANGE(""https://docs.google.com/spreadsheets/d/1Kvs4KS76FHFqLFIZfrDMff4kP08nblUkihrxltoGBjg/edit#gid=934712705"",""ESENCIAL!A6:BG""),15,FALSE))"),"")</f>
        <v/>
      </c>
      <c r="AX148" s="21" t="str">
        <f ca="1">IFERROR(__xludf.DUMMYFUNCTION("IFERROR(VLOOKUP(E162&amp;F162,IMPORTRANGE(""https://docs.google.com/spreadsheets/d/1Uw7-A9f9R21vMXxHZFNpYNeKFtG8_yji4HS352LGlSQ/edit?pli=1#gid=0"",""1_ACUM!A4:S""),12,FALSE))"),"")</f>
        <v/>
      </c>
      <c r="AY148" s="43" t="str">
        <f ca="1">IFERROR(__xludf.DUMMYFUNCTION("IFERROR(VLOOKUP(E162&amp;F162,IMPORTRANGE(""https://docs.google.com/spreadsheets/d/1Uw7-A9f9R21vMXxHZFNpYNeKFtG8_yji4HS352LGlSQ/edit?pli=1#gid=0"",""1_ACUM!A4:S""),13,FALSE))"),"")</f>
        <v/>
      </c>
      <c r="AZ148" s="43" t="str">
        <f ca="1">IFERROR(__xludf.DUMMYFUNCTION("IFERROR(VLOOKUP(E162&amp;F162,IMPORTRANGE(""https://docs.google.com/spreadsheets/d/1Uw7-A9f9R21vMXxHZFNpYNeKFtG8_yji4HS352LGlSQ/edit?pli=1#gid=0"",""1_ACUM!A4:S""),14,FALSE))"),"")</f>
        <v/>
      </c>
      <c r="BA148" s="43" t="str">
        <f ca="1">IFERROR(__xludf.DUMMYFUNCTION("IFERROR(VLOOKUP(E162&amp;F162,IMPORTRANGE(""https://docs.google.com/spreadsheets/d/1Uw7-A9f9R21vMXxHZFNpYNeKFtG8_yji4HS352LGlSQ/edit?pli=1#gid=0"",""1_ACUM!A4:S""),15,FALSE))"),"")</f>
        <v/>
      </c>
      <c r="BB148" s="43" t="str">
        <f ca="1">IFERROR(__xludf.DUMMYFUNCTION("IFERROR(VLOOKUP(E162&amp;F162,IMPORTRANGE(""https://docs.google.com/spreadsheets/d/1Uw7-A9f9R21vMXxHZFNpYNeKFtG8_yji4HS352LGlSQ/edit?pli=1#gid=0"",""1_ACUM!A4:S""),16,FALSE))"),"")</f>
        <v/>
      </c>
      <c r="BC148" s="43" t="str">
        <f ca="1">IFERROR(__xludf.DUMMYFUNCTION("IFERROR(VLOOKUP(E162&amp;F162,IMPORTRANGE(""https://docs.google.com/spreadsheets/d/1Uw7-A9f9R21vMXxHZFNpYNeKFtG8_yji4HS352LGlSQ/edit?pli=1#gid=0"",""1_ACUM!A4:S""),17,FALSE))"),"")</f>
        <v/>
      </c>
      <c r="BD148" s="44" t="str">
        <f ca="1">IFERROR(__xludf.DUMMYFUNCTION("IFERROR(VLOOKUP(E162&amp;F162,IMPORTRANGE(""https://docs.google.com/spreadsheets/d/1Uw7-A9f9R21vMXxHZFNpYNeKFtG8_yji4HS352LGlSQ/edit?pli=1#gid=0"",""1_ACUM!A4:S""),18,FALSE))"),"")</f>
        <v/>
      </c>
      <c r="BE148" s="44" t="str">
        <f ca="1">IFERROR(__xludf.DUMMYFUNCTION("IFERROR(VLOOKUP(E162&amp;F162,IMPORTRANGE(""https://docs.google.com/spreadsheets/d/1Uw7-A9f9R21vMXxHZFNpYNeKFtG8_yji4HS352LGlSQ/edit?pli=1#gid=0"",""1_ACUM!A4:S""),19,FALSE))"),"")</f>
        <v/>
      </c>
      <c r="BF148" s="98" t="str">
        <f ca="1">IFERROR(__xludf.DUMMYFUNCTION("IFERROR(VLOOKUP(F162,IMPORTRANGE(""https://docs.google.com/spreadsheets/d/1Kvs4KS76FHFqLFIZfrDMff4kP08nblUkihrxltoGBjg/edit#gid=934712705"",""ESENCIAL!A6:BG""),5,FALSE))"),"")</f>
        <v/>
      </c>
      <c r="BG148" s="98" t="str">
        <f t="shared" si="9"/>
        <v/>
      </c>
      <c r="BH148" s="99" t="str">
        <f t="shared" si="10"/>
        <v/>
      </c>
      <c r="BI148" s="100" t="str">
        <f ca="1">IFERROR(__xludf.DUMMYFUNCTION("IFERROR(VLOOKUP(F162,IMPORTRANGE(""https://docs.google.com/spreadsheets/d/1Kvs4KS76FHFqLFIZfrDMff4kP08nblUkihrxltoGBjg/edit#gid=934712705"",""ESENCIAL!A6:BG""),2,FALSE))"),"")</f>
        <v/>
      </c>
      <c r="BJ148" s="19" t="str">
        <f t="shared" si="11"/>
        <v/>
      </c>
      <c r="BK148" s="100"/>
      <c r="BL148" s="100"/>
    </row>
    <row r="149" spans="1:64" ht="15">
      <c r="A149" s="101"/>
      <c r="B149" s="101"/>
      <c r="G149" s="5" t="str">
        <f ca="1">IFERROR(__xludf.DUMMYFUNCTION("IFERROR(VLOOKUP(F163,IMPORTRANGE(""https://docs.google.com/spreadsheets/d/1Kvs4KS76FHFqLFIZfrDMff4kP08nblUkihrxltoGBjg/edit#gid=934712705"",""ESENCIAL!A6:BG""),3,FALSE))"),"")</f>
        <v/>
      </c>
      <c r="H149" s="5" t="str">
        <f ca="1">IFERROR(__xludf.DUMMYFUNCTION("IFERROR(VLOOKUP(F163,IMPORTRANGE(""https://docs.google.com/spreadsheets/d/1Kvs4KS76FHFqLFIZfrDMff4kP08nblUkihrxltoGBjg/edit#gid=934712705"",""ESENCIAL!A6:BG""),8,FALSE))"),"")</f>
        <v/>
      </c>
      <c r="L149" s="287"/>
      <c r="U149" s="40"/>
      <c r="AU149" s="41" t="str">
        <f t="shared" si="8"/>
        <v/>
      </c>
      <c r="AV149" s="5" t="str">
        <f ca="1">IFERROR(__xludf.DUMMYFUNCTION("IFERROR(VLOOKUP(E163&amp;F163,IMPORTRANGE(""https://docs.google.com/spreadsheets/d/1Uw7-A9f9R21vMXxHZFNpYNeKFtG8_yji4HS352LGlSQ/edit?pli=1#gid=0"",""1_ACUM!A4:S""),11,FALSE))"),"")</f>
        <v/>
      </c>
      <c r="AW149" s="42" t="str">
        <f ca="1">IFERROR(__xludf.DUMMYFUNCTION("IFERROR(VLOOKUP(F163,IMPORTRANGE(""https://docs.google.com/spreadsheets/d/1Kvs4KS76FHFqLFIZfrDMff4kP08nblUkihrxltoGBjg/edit#gid=934712705"",""ESENCIAL!A6:BG""),15,FALSE))"),"")</f>
        <v/>
      </c>
      <c r="AX149" s="21" t="str">
        <f ca="1">IFERROR(__xludf.DUMMYFUNCTION("IFERROR(VLOOKUP(E163&amp;F163,IMPORTRANGE(""https://docs.google.com/spreadsheets/d/1Uw7-A9f9R21vMXxHZFNpYNeKFtG8_yji4HS352LGlSQ/edit?pli=1#gid=0"",""1_ACUM!A4:S""),12,FALSE))"),"")</f>
        <v/>
      </c>
      <c r="AY149" s="43" t="str">
        <f ca="1">IFERROR(__xludf.DUMMYFUNCTION("IFERROR(VLOOKUP(E163&amp;F163,IMPORTRANGE(""https://docs.google.com/spreadsheets/d/1Uw7-A9f9R21vMXxHZFNpYNeKFtG8_yji4HS352LGlSQ/edit?pli=1#gid=0"",""1_ACUM!A4:S""),13,FALSE))"),"")</f>
        <v/>
      </c>
      <c r="AZ149" s="43" t="str">
        <f ca="1">IFERROR(__xludf.DUMMYFUNCTION("IFERROR(VLOOKUP(E163&amp;F163,IMPORTRANGE(""https://docs.google.com/spreadsheets/d/1Uw7-A9f9R21vMXxHZFNpYNeKFtG8_yji4HS352LGlSQ/edit?pli=1#gid=0"",""1_ACUM!A4:S""),14,FALSE))"),"")</f>
        <v/>
      </c>
      <c r="BA149" s="43" t="str">
        <f ca="1">IFERROR(__xludf.DUMMYFUNCTION("IFERROR(VLOOKUP(E163&amp;F163,IMPORTRANGE(""https://docs.google.com/spreadsheets/d/1Uw7-A9f9R21vMXxHZFNpYNeKFtG8_yji4HS352LGlSQ/edit?pli=1#gid=0"",""1_ACUM!A4:S""),15,FALSE))"),"")</f>
        <v/>
      </c>
      <c r="BB149" s="43" t="str">
        <f ca="1">IFERROR(__xludf.DUMMYFUNCTION("IFERROR(VLOOKUP(E163&amp;F163,IMPORTRANGE(""https://docs.google.com/spreadsheets/d/1Uw7-A9f9R21vMXxHZFNpYNeKFtG8_yji4HS352LGlSQ/edit?pli=1#gid=0"",""1_ACUM!A4:S""),16,FALSE))"),"")</f>
        <v/>
      </c>
      <c r="BC149" s="43" t="str">
        <f ca="1">IFERROR(__xludf.DUMMYFUNCTION("IFERROR(VLOOKUP(E163&amp;F163,IMPORTRANGE(""https://docs.google.com/spreadsheets/d/1Uw7-A9f9R21vMXxHZFNpYNeKFtG8_yji4HS352LGlSQ/edit?pli=1#gid=0"",""1_ACUM!A4:S""),17,FALSE))"),"")</f>
        <v/>
      </c>
      <c r="BD149" s="44" t="str">
        <f ca="1">IFERROR(__xludf.DUMMYFUNCTION("IFERROR(VLOOKUP(E163&amp;F163,IMPORTRANGE(""https://docs.google.com/spreadsheets/d/1Uw7-A9f9R21vMXxHZFNpYNeKFtG8_yji4HS352LGlSQ/edit?pli=1#gid=0"",""1_ACUM!A4:S""),18,FALSE))"),"")</f>
        <v/>
      </c>
      <c r="BE149" s="44" t="str">
        <f ca="1">IFERROR(__xludf.DUMMYFUNCTION("IFERROR(VLOOKUP(E163&amp;F163,IMPORTRANGE(""https://docs.google.com/spreadsheets/d/1Uw7-A9f9R21vMXxHZFNpYNeKFtG8_yji4HS352LGlSQ/edit?pli=1#gid=0"",""1_ACUM!A4:S""),19,FALSE))"),"")</f>
        <v/>
      </c>
      <c r="BF149" s="98" t="str">
        <f ca="1">IFERROR(__xludf.DUMMYFUNCTION("IFERROR(VLOOKUP(F163,IMPORTRANGE(""https://docs.google.com/spreadsheets/d/1Kvs4KS76FHFqLFIZfrDMff4kP08nblUkihrxltoGBjg/edit#gid=934712705"",""ESENCIAL!A6:BG""),5,FALSE))"),"")</f>
        <v/>
      </c>
      <c r="BG149" s="98" t="str">
        <f t="shared" si="9"/>
        <v/>
      </c>
      <c r="BH149" s="99" t="str">
        <f t="shared" si="10"/>
        <v/>
      </c>
      <c r="BI149" s="100" t="str">
        <f ca="1">IFERROR(__xludf.DUMMYFUNCTION("IFERROR(VLOOKUP(F163,IMPORTRANGE(""https://docs.google.com/spreadsheets/d/1Kvs4KS76FHFqLFIZfrDMff4kP08nblUkihrxltoGBjg/edit#gid=934712705"",""ESENCIAL!A6:BG""),2,FALSE))"),"")</f>
        <v/>
      </c>
      <c r="BJ149" s="19" t="str">
        <f t="shared" si="11"/>
        <v/>
      </c>
      <c r="BK149" s="100"/>
      <c r="BL149" s="100"/>
    </row>
    <row r="150" spans="1:64" ht="15">
      <c r="A150" s="101"/>
      <c r="B150" s="101"/>
      <c r="G150" s="5" t="str">
        <f ca="1">IFERROR(__xludf.DUMMYFUNCTION("IFERROR(VLOOKUP(F164,IMPORTRANGE(""https://docs.google.com/spreadsheets/d/1Kvs4KS76FHFqLFIZfrDMff4kP08nblUkihrxltoGBjg/edit#gid=934712705"",""ESENCIAL!A6:BG""),3,FALSE))"),"")</f>
        <v/>
      </c>
      <c r="H150" s="5" t="str">
        <f ca="1">IFERROR(__xludf.DUMMYFUNCTION("IFERROR(VLOOKUP(F164,IMPORTRANGE(""https://docs.google.com/spreadsheets/d/1Kvs4KS76FHFqLFIZfrDMff4kP08nblUkihrxltoGBjg/edit#gid=934712705"",""ESENCIAL!A6:BG""),8,FALSE))"),"")</f>
        <v/>
      </c>
      <c r="L150" s="287"/>
      <c r="U150" s="40"/>
      <c r="AU150" s="41" t="str">
        <f t="shared" si="8"/>
        <v/>
      </c>
      <c r="AV150" s="5" t="str">
        <f ca="1">IFERROR(__xludf.DUMMYFUNCTION("IFERROR(VLOOKUP(E164&amp;F164,IMPORTRANGE(""https://docs.google.com/spreadsheets/d/1Uw7-A9f9R21vMXxHZFNpYNeKFtG8_yji4HS352LGlSQ/edit?pli=1#gid=0"",""1_ACUM!A4:S""),11,FALSE))"),"")</f>
        <v/>
      </c>
      <c r="AW150" s="42" t="str">
        <f ca="1">IFERROR(__xludf.DUMMYFUNCTION("IFERROR(VLOOKUP(F164,IMPORTRANGE(""https://docs.google.com/spreadsheets/d/1Kvs4KS76FHFqLFIZfrDMff4kP08nblUkihrxltoGBjg/edit#gid=934712705"",""ESENCIAL!A6:BG""),15,FALSE))"),"")</f>
        <v/>
      </c>
      <c r="AX150" s="21" t="str">
        <f ca="1">IFERROR(__xludf.DUMMYFUNCTION("IFERROR(VLOOKUP(E164&amp;F164,IMPORTRANGE(""https://docs.google.com/spreadsheets/d/1Uw7-A9f9R21vMXxHZFNpYNeKFtG8_yji4HS352LGlSQ/edit?pli=1#gid=0"",""1_ACUM!A4:S""),12,FALSE))"),"")</f>
        <v/>
      </c>
      <c r="AY150" s="43" t="str">
        <f ca="1">IFERROR(__xludf.DUMMYFUNCTION("IFERROR(VLOOKUP(E164&amp;F164,IMPORTRANGE(""https://docs.google.com/spreadsheets/d/1Uw7-A9f9R21vMXxHZFNpYNeKFtG8_yji4HS352LGlSQ/edit?pli=1#gid=0"",""1_ACUM!A4:S""),13,FALSE))"),"")</f>
        <v/>
      </c>
      <c r="AZ150" s="43" t="str">
        <f ca="1">IFERROR(__xludf.DUMMYFUNCTION("IFERROR(VLOOKUP(E164&amp;F164,IMPORTRANGE(""https://docs.google.com/spreadsheets/d/1Uw7-A9f9R21vMXxHZFNpYNeKFtG8_yji4HS352LGlSQ/edit?pli=1#gid=0"",""1_ACUM!A4:S""),14,FALSE))"),"")</f>
        <v/>
      </c>
      <c r="BA150" s="43" t="str">
        <f ca="1">IFERROR(__xludf.DUMMYFUNCTION("IFERROR(VLOOKUP(E164&amp;F164,IMPORTRANGE(""https://docs.google.com/spreadsheets/d/1Uw7-A9f9R21vMXxHZFNpYNeKFtG8_yji4HS352LGlSQ/edit?pli=1#gid=0"",""1_ACUM!A4:S""),15,FALSE))"),"")</f>
        <v/>
      </c>
      <c r="BB150" s="43" t="str">
        <f ca="1">IFERROR(__xludf.DUMMYFUNCTION("IFERROR(VLOOKUP(E164&amp;F164,IMPORTRANGE(""https://docs.google.com/spreadsheets/d/1Uw7-A9f9R21vMXxHZFNpYNeKFtG8_yji4HS352LGlSQ/edit?pli=1#gid=0"",""1_ACUM!A4:S""),16,FALSE))"),"")</f>
        <v/>
      </c>
      <c r="BC150" s="43" t="str">
        <f ca="1">IFERROR(__xludf.DUMMYFUNCTION("IFERROR(VLOOKUP(E164&amp;F164,IMPORTRANGE(""https://docs.google.com/spreadsheets/d/1Uw7-A9f9R21vMXxHZFNpYNeKFtG8_yji4HS352LGlSQ/edit?pli=1#gid=0"",""1_ACUM!A4:S""),17,FALSE))"),"")</f>
        <v/>
      </c>
      <c r="BD150" s="44" t="str">
        <f ca="1">IFERROR(__xludf.DUMMYFUNCTION("IFERROR(VLOOKUP(E164&amp;F164,IMPORTRANGE(""https://docs.google.com/spreadsheets/d/1Uw7-A9f9R21vMXxHZFNpYNeKFtG8_yji4HS352LGlSQ/edit?pli=1#gid=0"",""1_ACUM!A4:S""),18,FALSE))"),"")</f>
        <v/>
      </c>
      <c r="BE150" s="44" t="str">
        <f ca="1">IFERROR(__xludf.DUMMYFUNCTION("IFERROR(VLOOKUP(E164&amp;F164,IMPORTRANGE(""https://docs.google.com/spreadsheets/d/1Uw7-A9f9R21vMXxHZFNpYNeKFtG8_yji4HS352LGlSQ/edit?pli=1#gid=0"",""1_ACUM!A4:S""),19,FALSE))"),"")</f>
        <v/>
      </c>
      <c r="BF150" s="98" t="str">
        <f ca="1">IFERROR(__xludf.DUMMYFUNCTION("IFERROR(VLOOKUP(F164,IMPORTRANGE(""https://docs.google.com/spreadsheets/d/1Kvs4KS76FHFqLFIZfrDMff4kP08nblUkihrxltoGBjg/edit#gid=934712705"",""ESENCIAL!A6:BG""),5,FALSE))"),"")</f>
        <v/>
      </c>
      <c r="BG150" s="98" t="str">
        <f t="shared" si="9"/>
        <v/>
      </c>
      <c r="BH150" s="99" t="str">
        <f t="shared" si="10"/>
        <v/>
      </c>
      <c r="BI150" s="100" t="str">
        <f ca="1">IFERROR(__xludf.DUMMYFUNCTION("IFERROR(VLOOKUP(F164,IMPORTRANGE(""https://docs.google.com/spreadsheets/d/1Kvs4KS76FHFqLFIZfrDMff4kP08nblUkihrxltoGBjg/edit#gid=934712705"",""ESENCIAL!A6:BG""),2,FALSE))"),"")</f>
        <v/>
      </c>
      <c r="BJ150" s="19" t="str">
        <f t="shared" si="11"/>
        <v/>
      </c>
      <c r="BK150" s="100"/>
      <c r="BL150" s="100"/>
    </row>
    <row r="151" spans="1:64" ht="15">
      <c r="A151" s="101"/>
      <c r="B151" s="101"/>
      <c r="G151" s="5" t="str">
        <f ca="1">IFERROR(__xludf.DUMMYFUNCTION("IFERROR(VLOOKUP(F165,IMPORTRANGE(""https://docs.google.com/spreadsheets/d/1Kvs4KS76FHFqLFIZfrDMff4kP08nblUkihrxltoGBjg/edit#gid=934712705"",""ESENCIAL!A6:BG""),3,FALSE))"),"")</f>
        <v/>
      </c>
      <c r="H151" s="5" t="str">
        <f ca="1">IFERROR(__xludf.DUMMYFUNCTION("IFERROR(VLOOKUP(F165,IMPORTRANGE(""https://docs.google.com/spreadsheets/d/1Kvs4KS76FHFqLFIZfrDMff4kP08nblUkihrxltoGBjg/edit#gid=934712705"",""ESENCIAL!A6:BG""),8,FALSE))"),"")</f>
        <v/>
      </c>
      <c r="L151" s="287"/>
      <c r="U151" s="40"/>
      <c r="AU151" s="41" t="str">
        <f t="shared" si="8"/>
        <v/>
      </c>
      <c r="AV151" s="5" t="str">
        <f ca="1">IFERROR(__xludf.DUMMYFUNCTION("IFERROR(VLOOKUP(E165&amp;F165,IMPORTRANGE(""https://docs.google.com/spreadsheets/d/1Uw7-A9f9R21vMXxHZFNpYNeKFtG8_yji4HS352LGlSQ/edit?pli=1#gid=0"",""1_ACUM!A4:S""),11,FALSE))"),"")</f>
        <v/>
      </c>
      <c r="AW151" s="42" t="str">
        <f ca="1">IFERROR(__xludf.DUMMYFUNCTION("IFERROR(VLOOKUP(F165,IMPORTRANGE(""https://docs.google.com/spreadsheets/d/1Kvs4KS76FHFqLFIZfrDMff4kP08nblUkihrxltoGBjg/edit#gid=934712705"",""ESENCIAL!A6:BG""),15,FALSE))"),"")</f>
        <v/>
      </c>
      <c r="AX151" s="21" t="str">
        <f ca="1">IFERROR(__xludf.DUMMYFUNCTION("IFERROR(VLOOKUP(E165&amp;F165,IMPORTRANGE(""https://docs.google.com/spreadsheets/d/1Uw7-A9f9R21vMXxHZFNpYNeKFtG8_yji4HS352LGlSQ/edit?pli=1#gid=0"",""1_ACUM!A4:S""),12,FALSE))"),"")</f>
        <v/>
      </c>
      <c r="AY151" s="43" t="str">
        <f ca="1">IFERROR(__xludf.DUMMYFUNCTION("IFERROR(VLOOKUP(E165&amp;F165,IMPORTRANGE(""https://docs.google.com/spreadsheets/d/1Uw7-A9f9R21vMXxHZFNpYNeKFtG8_yji4HS352LGlSQ/edit?pli=1#gid=0"",""1_ACUM!A4:S""),13,FALSE))"),"")</f>
        <v/>
      </c>
      <c r="AZ151" s="43" t="str">
        <f ca="1">IFERROR(__xludf.DUMMYFUNCTION("IFERROR(VLOOKUP(E165&amp;F165,IMPORTRANGE(""https://docs.google.com/spreadsheets/d/1Uw7-A9f9R21vMXxHZFNpYNeKFtG8_yji4HS352LGlSQ/edit?pli=1#gid=0"",""1_ACUM!A4:S""),14,FALSE))"),"")</f>
        <v/>
      </c>
      <c r="BA151" s="43" t="str">
        <f ca="1">IFERROR(__xludf.DUMMYFUNCTION("IFERROR(VLOOKUP(E165&amp;F165,IMPORTRANGE(""https://docs.google.com/spreadsheets/d/1Uw7-A9f9R21vMXxHZFNpYNeKFtG8_yji4HS352LGlSQ/edit?pli=1#gid=0"",""1_ACUM!A4:S""),15,FALSE))"),"")</f>
        <v/>
      </c>
      <c r="BB151" s="43" t="str">
        <f ca="1">IFERROR(__xludf.DUMMYFUNCTION("IFERROR(VLOOKUP(E165&amp;F165,IMPORTRANGE(""https://docs.google.com/spreadsheets/d/1Uw7-A9f9R21vMXxHZFNpYNeKFtG8_yji4HS352LGlSQ/edit?pli=1#gid=0"",""1_ACUM!A4:S""),16,FALSE))"),"")</f>
        <v/>
      </c>
      <c r="BC151" s="43" t="str">
        <f ca="1">IFERROR(__xludf.DUMMYFUNCTION("IFERROR(VLOOKUP(E165&amp;F165,IMPORTRANGE(""https://docs.google.com/spreadsheets/d/1Uw7-A9f9R21vMXxHZFNpYNeKFtG8_yji4HS352LGlSQ/edit?pli=1#gid=0"",""1_ACUM!A4:S""),17,FALSE))"),"")</f>
        <v/>
      </c>
      <c r="BD151" s="44" t="str">
        <f ca="1">IFERROR(__xludf.DUMMYFUNCTION("IFERROR(VLOOKUP(E165&amp;F165,IMPORTRANGE(""https://docs.google.com/spreadsheets/d/1Uw7-A9f9R21vMXxHZFNpYNeKFtG8_yji4HS352LGlSQ/edit?pli=1#gid=0"",""1_ACUM!A4:S""),18,FALSE))"),"")</f>
        <v/>
      </c>
      <c r="BE151" s="44" t="str">
        <f ca="1">IFERROR(__xludf.DUMMYFUNCTION("IFERROR(VLOOKUP(E165&amp;F165,IMPORTRANGE(""https://docs.google.com/spreadsheets/d/1Uw7-A9f9R21vMXxHZFNpYNeKFtG8_yji4HS352LGlSQ/edit?pli=1#gid=0"",""1_ACUM!A4:S""),19,FALSE))"),"")</f>
        <v/>
      </c>
      <c r="BF151" s="98" t="str">
        <f ca="1">IFERROR(__xludf.DUMMYFUNCTION("IFERROR(VLOOKUP(F165,IMPORTRANGE(""https://docs.google.com/spreadsheets/d/1Kvs4KS76FHFqLFIZfrDMff4kP08nblUkihrxltoGBjg/edit#gid=934712705"",""ESENCIAL!A6:BG""),5,FALSE))"),"")</f>
        <v/>
      </c>
      <c r="BG151" s="98" t="str">
        <f t="shared" si="9"/>
        <v/>
      </c>
      <c r="BH151" s="99" t="str">
        <f t="shared" si="10"/>
        <v/>
      </c>
      <c r="BI151" s="100" t="str">
        <f ca="1">IFERROR(__xludf.DUMMYFUNCTION("IFERROR(VLOOKUP(F165,IMPORTRANGE(""https://docs.google.com/spreadsheets/d/1Kvs4KS76FHFqLFIZfrDMff4kP08nblUkihrxltoGBjg/edit#gid=934712705"",""ESENCIAL!A6:BG""),2,FALSE))"),"")</f>
        <v/>
      </c>
      <c r="BJ151" s="19" t="str">
        <f t="shared" si="11"/>
        <v/>
      </c>
      <c r="BK151" s="100"/>
      <c r="BL151" s="100"/>
    </row>
    <row r="152" spans="1:64" ht="15">
      <c r="A152" s="101"/>
      <c r="B152" s="101"/>
      <c r="G152" s="5" t="str">
        <f ca="1">IFERROR(__xludf.DUMMYFUNCTION("IFERROR(VLOOKUP(F166,IMPORTRANGE(""https://docs.google.com/spreadsheets/d/1Kvs4KS76FHFqLFIZfrDMff4kP08nblUkihrxltoGBjg/edit#gid=934712705"",""ESENCIAL!A6:BG""),3,FALSE))"),"")</f>
        <v/>
      </c>
      <c r="H152" s="5" t="str">
        <f ca="1">IFERROR(__xludf.DUMMYFUNCTION("IFERROR(VLOOKUP(F166,IMPORTRANGE(""https://docs.google.com/spreadsheets/d/1Kvs4KS76FHFqLFIZfrDMff4kP08nblUkihrxltoGBjg/edit#gid=934712705"",""ESENCIAL!A6:BG""),8,FALSE))"),"")</f>
        <v/>
      </c>
      <c r="L152" s="287"/>
      <c r="U152" s="40"/>
      <c r="AU152" s="41" t="str">
        <f t="shared" si="8"/>
        <v/>
      </c>
      <c r="AV152" s="5" t="str">
        <f ca="1">IFERROR(__xludf.DUMMYFUNCTION("IFERROR(VLOOKUP(E166&amp;F166,IMPORTRANGE(""https://docs.google.com/spreadsheets/d/1Uw7-A9f9R21vMXxHZFNpYNeKFtG8_yji4HS352LGlSQ/edit?pli=1#gid=0"",""1_ACUM!A4:S""),11,FALSE))"),"")</f>
        <v/>
      </c>
      <c r="AW152" s="42" t="str">
        <f ca="1">IFERROR(__xludf.DUMMYFUNCTION("IFERROR(VLOOKUP(F166,IMPORTRANGE(""https://docs.google.com/spreadsheets/d/1Kvs4KS76FHFqLFIZfrDMff4kP08nblUkihrxltoGBjg/edit#gid=934712705"",""ESENCIAL!A6:BG""),15,FALSE))"),"")</f>
        <v/>
      </c>
      <c r="AX152" s="21" t="str">
        <f ca="1">IFERROR(__xludf.DUMMYFUNCTION("IFERROR(VLOOKUP(E166&amp;F166,IMPORTRANGE(""https://docs.google.com/spreadsheets/d/1Uw7-A9f9R21vMXxHZFNpYNeKFtG8_yji4HS352LGlSQ/edit?pli=1#gid=0"",""1_ACUM!A4:S""),12,FALSE))"),"")</f>
        <v/>
      </c>
      <c r="AY152" s="43" t="str">
        <f ca="1">IFERROR(__xludf.DUMMYFUNCTION("IFERROR(VLOOKUP(E166&amp;F166,IMPORTRANGE(""https://docs.google.com/spreadsheets/d/1Uw7-A9f9R21vMXxHZFNpYNeKFtG8_yji4HS352LGlSQ/edit?pli=1#gid=0"",""1_ACUM!A4:S""),13,FALSE))"),"")</f>
        <v/>
      </c>
      <c r="AZ152" s="43" t="str">
        <f ca="1">IFERROR(__xludf.DUMMYFUNCTION("IFERROR(VLOOKUP(E166&amp;F166,IMPORTRANGE(""https://docs.google.com/spreadsheets/d/1Uw7-A9f9R21vMXxHZFNpYNeKFtG8_yji4HS352LGlSQ/edit?pli=1#gid=0"",""1_ACUM!A4:S""),14,FALSE))"),"")</f>
        <v/>
      </c>
      <c r="BA152" s="43" t="str">
        <f ca="1">IFERROR(__xludf.DUMMYFUNCTION("IFERROR(VLOOKUP(E166&amp;F166,IMPORTRANGE(""https://docs.google.com/spreadsheets/d/1Uw7-A9f9R21vMXxHZFNpYNeKFtG8_yji4HS352LGlSQ/edit?pli=1#gid=0"",""1_ACUM!A4:S""),15,FALSE))"),"")</f>
        <v/>
      </c>
      <c r="BB152" s="43" t="str">
        <f ca="1">IFERROR(__xludf.DUMMYFUNCTION("IFERROR(VLOOKUP(E166&amp;F166,IMPORTRANGE(""https://docs.google.com/spreadsheets/d/1Uw7-A9f9R21vMXxHZFNpYNeKFtG8_yji4HS352LGlSQ/edit?pli=1#gid=0"",""1_ACUM!A4:S""),16,FALSE))"),"")</f>
        <v/>
      </c>
      <c r="BC152" s="43" t="str">
        <f ca="1">IFERROR(__xludf.DUMMYFUNCTION("IFERROR(VLOOKUP(E166&amp;F166,IMPORTRANGE(""https://docs.google.com/spreadsheets/d/1Uw7-A9f9R21vMXxHZFNpYNeKFtG8_yji4HS352LGlSQ/edit?pli=1#gid=0"",""1_ACUM!A4:S""),17,FALSE))"),"")</f>
        <v/>
      </c>
      <c r="BD152" s="44" t="str">
        <f ca="1">IFERROR(__xludf.DUMMYFUNCTION("IFERROR(VLOOKUP(E166&amp;F166,IMPORTRANGE(""https://docs.google.com/spreadsheets/d/1Uw7-A9f9R21vMXxHZFNpYNeKFtG8_yji4HS352LGlSQ/edit?pli=1#gid=0"",""1_ACUM!A4:S""),18,FALSE))"),"")</f>
        <v/>
      </c>
      <c r="BE152" s="44" t="str">
        <f ca="1">IFERROR(__xludf.DUMMYFUNCTION("IFERROR(VLOOKUP(E166&amp;F166,IMPORTRANGE(""https://docs.google.com/spreadsheets/d/1Uw7-A9f9R21vMXxHZFNpYNeKFtG8_yji4HS352LGlSQ/edit?pli=1#gid=0"",""1_ACUM!A4:S""),19,FALSE))"),"")</f>
        <v/>
      </c>
      <c r="BF152" s="98" t="str">
        <f ca="1">IFERROR(__xludf.DUMMYFUNCTION("IFERROR(VLOOKUP(F166,IMPORTRANGE(""https://docs.google.com/spreadsheets/d/1Kvs4KS76FHFqLFIZfrDMff4kP08nblUkihrxltoGBjg/edit#gid=934712705"",""ESENCIAL!A6:BG""),5,FALSE))"),"")</f>
        <v/>
      </c>
      <c r="BG152" s="98" t="str">
        <f t="shared" si="9"/>
        <v/>
      </c>
      <c r="BH152" s="99" t="str">
        <f t="shared" si="10"/>
        <v/>
      </c>
      <c r="BI152" s="100" t="str">
        <f ca="1">IFERROR(__xludf.DUMMYFUNCTION("IFERROR(VLOOKUP(F166,IMPORTRANGE(""https://docs.google.com/spreadsheets/d/1Kvs4KS76FHFqLFIZfrDMff4kP08nblUkihrxltoGBjg/edit#gid=934712705"",""ESENCIAL!A6:BG""),2,FALSE))"),"")</f>
        <v/>
      </c>
      <c r="BJ152" s="19" t="str">
        <f t="shared" si="11"/>
        <v/>
      </c>
      <c r="BK152" s="100"/>
      <c r="BL152" s="100"/>
    </row>
    <row r="153" spans="1:64" ht="15">
      <c r="A153" s="101"/>
      <c r="B153" s="101"/>
      <c r="G153" s="5" t="str">
        <f ca="1">IFERROR(__xludf.DUMMYFUNCTION("IFERROR(VLOOKUP(F167,IMPORTRANGE(""https://docs.google.com/spreadsheets/d/1Kvs4KS76FHFqLFIZfrDMff4kP08nblUkihrxltoGBjg/edit#gid=934712705"",""ESENCIAL!A6:BG""),3,FALSE))"),"")</f>
        <v/>
      </c>
      <c r="H153" s="5" t="str">
        <f ca="1">IFERROR(__xludf.DUMMYFUNCTION("IFERROR(VLOOKUP(F167,IMPORTRANGE(""https://docs.google.com/spreadsheets/d/1Kvs4KS76FHFqLFIZfrDMff4kP08nblUkihrxltoGBjg/edit#gid=934712705"",""ESENCIAL!A6:BG""),8,FALSE))"),"")</f>
        <v/>
      </c>
      <c r="L153" s="287"/>
      <c r="U153" s="40"/>
      <c r="AU153" s="41" t="str">
        <f t="shared" si="8"/>
        <v/>
      </c>
      <c r="AV153" s="5" t="str">
        <f ca="1">IFERROR(__xludf.DUMMYFUNCTION("IFERROR(VLOOKUP(E167&amp;F167,IMPORTRANGE(""https://docs.google.com/spreadsheets/d/1Uw7-A9f9R21vMXxHZFNpYNeKFtG8_yji4HS352LGlSQ/edit?pli=1#gid=0"",""1_ACUM!A4:S""),11,FALSE))"),"")</f>
        <v/>
      </c>
      <c r="AW153" s="42" t="str">
        <f ca="1">IFERROR(__xludf.DUMMYFUNCTION("IFERROR(VLOOKUP(F167,IMPORTRANGE(""https://docs.google.com/spreadsheets/d/1Kvs4KS76FHFqLFIZfrDMff4kP08nblUkihrxltoGBjg/edit#gid=934712705"",""ESENCIAL!A6:BG""),15,FALSE))"),"")</f>
        <v/>
      </c>
      <c r="AX153" s="21" t="str">
        <f ca="1">IFERROR(__xludf.DUMMYFUNCTION("IFERROR(VLOOKUP(E167&amp;F167,IMPORTRANGE(""https://docs.google.com/spreadsheets/d/1Uw7-A9f9R21vMXxHZFNpYNeKFtG8_yji4HS352LGlSQ/edit?pli=1#gid=0"",""1_ACUM!A4:S""),12,FALSE))"),"")</f>
        <v/>
      </c>
      <c r="AY153" s="43" t="str">
        <f ca="1">IFERROR(__xludf.DUMMYFUNCTION("IFERROR(VLOOKUP(E167&amp;F167,IMPORTRANGE(""https://docs.google.com/spreadsheets/d/1Uw7-A9f9R21vMXxHZFNpYNeKFtG8_yji4HS352LGlSQ/edit?pli=1#gid=0"",""1_ACUM!A4:S""),13,FALSE))"),"")</f>
        <v/>
      </c>
      <c r="AZ153" s="43" t="str">
        <f ca="1">IFERROR(__xludf.DUMMYFUNCTION("IFERROR(VLOOKUP(E167&amp;F167,IMPORTRANGE(""https://docs.google.com/spreadsheets/d/1Uw7-A9f9R21vMXxHZFNpYNeKFtG8_yji4HS352LGlSQ/edit?pli=1#gid=0"",""1_ACUM!A4:S""),14,FALSE))"),"")</f>
        <v/>
      </c>
      <c r="BA153" s="43" t="str">
        <f ca="1">IFERROR(__xludf.DUMMYFUNCTION("IFERROR(VLOOKUP(E167&amp;F167,IMPORTRANGE(""https://docs.google.com/spreadsheets/d/1Uw7-A9f9R21vMXxHZFNpYNeKFtG8_yji4HS352LGlSQ/edit?pli=1#gid=0"",""1_ACUM!A4:S""),15,FALSE))"),"")</f>
        <v/>
      </c>
      <c r="BB153" s="43" t="str">
        <f ca="1">IFERROR(__xludf.DUMMYFUNCTION("IFERROR(VLOOKUP(E167&amp;F167,IMPORTRANGE(""https://docs.google.com/spreadsheets/d/1Uw7-A9f9R21vMXxHZFNpYNeKFtG8_yji4HS352LGlSQ/edit?pli=1#gid=0"",""1_ACUM!A4:S""),16,FALSE))"),"")</f>
        <v/>
      </c>
      <c r="BC153" s="43" t="str">
        <f ca="1">IFERROR(__xludf.DUMMYFUNCTION("IFERROR(VLOOKUP(E167&amp;F167,IMPORTRANGE(""https://docs.google.com/spreadsheets/d/1Uw7-A9f9R21vMXxHZFNpYNeKFtG8_yji4HS352LGlSQ/edit?pli=1#gid=0"",""1_ACUM!A4:S""),17,FALSE))"),"")</f>
        <v/>
      </c>
      <c r="BD153" s="44" t="str">
        <f ca="1">IFERROR(__xludf.DUMMYFUNCTION("IFERROR(VLOOKUP(E167&amp;F167,IMPORTRANGE(""https://docs.google.com/spreadsheets/d/1Uw7-A9f9R21vMXxHZFNpYNeKFtG8_yji4HS352LGlSQ/edit?pli=1#gid=0"",""1_ACUM!A4:S""),18,FALSE))"),"")</f>
        <v/>
      </c>
      <c r="BE153" s="44" t="str">
        <f ca="1">IFERROR(__xludf.DUMMYFUNCTION("IFERROR(VLOOKUP(E167&amp;F167,IMPORTRANGE(""https://docs.google.com/spreadsheets/d/1Uw7-A9f9R21vMXxHZFNpYNeKFtG8_yji4HS352LGlSQ/edit?pli=1#gid=0"",""1_ACUM!A4:S""),19,FALSE))"),"")</f>
        <v/>
      </c>
      <c r="BF153" s="98" t="str">
        <f ca="1">IFERROR(__xludf.DUMMYFUNCTION("IFERROR(VLOOKUP(F167,IMPORTRANGE(""https://docs.google.com/spreadsheets/d/1Kvs4KS76FHFqLFIZfrDMff4kP08nblUkihrxltoGBjg/edit#gid=934712705"",""ESENCIAL!A6:BG""),5,FALSE))"),"")</f>
        <v/>
      </c>
      <c r="BG153" s="98" t="str">
        <f t="shared" si="9"/>
        <v/>
      </c>
      <c r="BH153" s="99" t="str">
        <f t="shared" si="10"/>
        <v/>
      </c>
      <c r="BI153" s="100" t="str">
        <f ca="1">IFERROR(__xludf.DUMMYFUNCTION("IFERROR(VLOOKUP(F167,IMPORTRANGE(""https://docs.google.com/spreadsheets/d/1Kvs4KS76FHFqLFIZfrDMff4kP08nblUkihrxltoGBjg/edit#gid=934712705"",""ESENCIAL!A6:BG""),2,FALSE))"),"")</f>
        <v/>
      </c>
      <c r="BJ153" s="19" t="str">
        <f t="shared" si="11"/>
        <v/>
      </c>
      <c r="BK153" s="100"/>
      <c r="BL153" s="100"/>
    </row>
    <row r="154" spans="1:64" ht="15">
      <c r="A154" s="101"/>
      <c r="B154" s="101"/>
      <c r="G154" s="5" t="str">
        <f ca="1">IFERROR(__xludf.DUMMYFUNCTION("IFERROR(VLOOKUP(F168,IMPORTRANGE(""https://docs.google.com/spreadsheets/d/1Kvs4KS76FHFqLFIZfrDMff4kP08nblUkihrxltoGBjg/edit#gid=934712705"",""ESENCIAL!A6:BG""),3,FALSE))"),"")</f>
        <v/>
      </c>
      <c r="H154" s="5" t="str">
        <f ca="1">IFERROR(__xludf.DUMMYFUNCTION("IFERROR(VLOOKUP(F168,IMPORTRANGE(""https://docs.google.com/spreadsheets/d/1Kvs4KS76FHFqLFIZfrDMff4kP08nblUkihrxltoGBjg/edit#gid=934712705"",""ESENCIAL!A6:BG""),8,FALSE))"),"")</f>
        <v/>
      </c>
      <c r="L154" s="287"/>
      <c r="U154" s="40"/>
      <c r="AU154" s="41" t="str">
        <f t="shared" si="8"/>
        <v/>
      </c>
      <c r="AV154" s="5" t="str">
        <f ca="1">IFERROR(__xludf.DUMMYFUNCTION("IFERROR(VLOOKUP(E168&amp;F168,IMPORTRANGE(""https://docs.google.com/spreadsheets/d/1Uw7-A9f9R21vMXxHZFNpYNeKFtG8_yji4HS352LGlSQ/edit?pli=1#gid=0"",""1_ACUM!A4:S""),11,FALSE))"),"")</f>
        <v/>
      </c>
      <c r="AW154" s="42" t="str">
        <f ca="1">IFERROR(__xludf.DUMMYFUNCTION("IFERROR(VLOOKUP(F168,IMPORTRANGE(""https://docs.google.com/spreadsheets/d/1Kvs4KS76FHFqLFIZfrDMff4kP08nblUkihrxltoGBjg/edit#gid=934712705"",""ESENCIAL!A6:BG""),15,FALSE))"),"")</f>
        <v/>
      </c>
      <c r="AX154" s="21" t="str">
        <f ca="1">IFERROR(__xludf.DUMMYFUNCTION("IFERROR(VLOOKUP(E168&amp;F168,IMPORTRANGE(""https://docs.google.com/spreadsheets/d/1Uw7-A9f9R21vMXxHZFNpYNeKFtG8_yji4HS352LGlSQ/edit?pli=1#gid=0"",""1_ACUM!A4:S""),12,FALSE))"),"")</f>
        <v/>
      </c>
      <c r="AY154" s="43" t="str">
        <f ca="1">IFERROR(__xludf.DUMMYFUNCTION("IFERROR(VLOOKUP(E168&amp;F168,IMPORTRANGE(""https://docs.google.com/spreadsheets/d/1Uw7-A9f9R21vMXxHZFNpYNeKFtG8_yji4HS352LGlSQ/edit?pli=1#gid=0"",""1_ACUM!A4:S""),13,FALSE))"),"")</f>
        <v/>
      </c>
      <c r="AZ154" s="43" t="str">
        <f ca="1">IFERROR(__xludf.DUMMYFUNCTION("IFERROR(VLOOKUP(E168&amp;F168,IMPORTRANGE(""https://docs.google.com/spreadsheets/d/1Uw7-A9f9R21vMXxHZFNpYNeKFtG8_yji4HS352LGlSQ/edit?pli=1#gid=0"",""1_ACUM!A4:S""),14,FALSE))"),"")</f>
        <v/>
      </c>
      <c r="BA154" s="43" t="str">
        <f ca="1">IFERROR(__xludf.DUMMYFUNCTION("IFERROR(VLOOKUP(E168&amp;F168,IMPORTRANGE(""https://docs.google.com/spreadsheets/d/1Uw7-A9f9R21vMXxHZFNpYNeKFtG8_yji4HS352LGlSQ/edit?pli=1#gid=0"",""1_ACUM!A4:S""),15,FALSE))"),"")</f>
        <v/>
      </c>
      <c r="BB154" s="43" t="str">
        <f ca="1">IFERROR(__xludf.DUMMYFUNCTION("IFERROR(VLOOKUP(E168&amp;F168,IMPORTRANGE(""https://docs.google.com/spreadsheets/d/1Uw7-A9f9R21vMXxHZFNpYNeKFtG8_yji4HS352LGlSQ/edit?pli=1#gid=0"",""1_ACUM!A4:S""),16,FALSE))"),"")</f>
        <v/>
      </c>
      <c r="BC154" s="43" t="str">
        <f ca="1">IFERROR(__xludf.DUMMYFUNCTION("IFERROR(VLOOKUP(E168&amp;F168,IMPORTRANGE(""https://docs.google.com/spreadsheets/d/1Uw7-A9f9R21vMXxHZFNpYNeKFtG8_yji4HS352LGlSQ/edit?pli=1#gid=0"",""1_ACUM!A4:S""),17,FALSE))"),"")</f>
        <v/>
      </c>
      <c r="BD154" s="44" t="str">
        <f ca="1">IFERROR(__xludf.DUMMYFUNCTION("IFERROR(VLOOKUP(E168&amp;F168,IMPORTRANGE(""https://docs.google.com/spreadsheets/d/1Uw7-A9f9R21vMXxHZFNpYNeKFtG8_yji4HS352LGlSQ/edit?pli=1#gid=0"",""1_ACUM!A4:S""),18,FALSE))"),"")</f>
        <v/>
      </c>
      <c r="BE154" s="44" t="str">
        <f ca="1">IFERROR(__xludf.DUMMYFUNCTION("IFERROR(VLOOKUP(E168&amp;F168,IMPORTRANGE(""https://docs.google.com/spreadsheets/d/1Uw7-A9f9R21vMXxHZFNpYNeKFtG8_yji4HS352LGlSQ/edit?pli=1#gid=0"",""1_ACUM!A4:S""),19,FALSE))"),"")</f>
        <v/>
      </c>
      <c r="BF154" s="98" t="str">
        <f ca="1">IFERROR(__xludf.DUMMYFUNCTION("IFERROR(VLOOKUP(F168,IMPORTRANGE(""https://docs.google.com/spreadsheets/d/1Kvs4KS76FHFqLFIZfrDMff4kP08nblUkihrxltoGBjg/edit#gid=934712705"",""ESENCIAL!A6:BG""),5,FALSE))"),"")</f>
        <v/>
      </c>
      <c r="BG154" s="98" t="str">
        <f t="shared" si="9"/>
        <v/>
      </c>
      <c r="BH154" s="99" t="str">
        <f t="shared" si="10"/>
        <v/>
      </c>
      <c r="BI154" s="100" t="str">
        <f ca="1">IFERROR(__xludf.DUMMYFUNCTION("IFERROR(VLOOKUP(F168,IMPORTRANGE(""https://docs.google.com/spreadsheets/d/1Kvs4KS76FHFqLFIZfrDMff4kP08nblUkihrxltoGBjg/edit#gid=934712705"",""ESENCIAL!A6:BG""),2,FALSE))"),"")</f>
        <v/>
      </c>
      <c r="BJ154" s="19" t="str">
        <f t="shared" si="11"/>
        <v/>
      </c>
      <c r="BK154" s="100"/>
      <c r="BL154" s="100"/>
    </row>
    <row r="155" spans="1:64" ht="15">
      <c r="A155" s="101"/>
      <c r="B155" s="101"/>
      <c r="G155" s="5" t="str">
        <f ca="1">IFERROR(__xludf.DUMMYFUNCTION("IFERROR(VLOOKUP(F169,IMPORTRANGE(""https://docs.google.com/spreadsheets/d/1Kvs4KS76FHFqLFIZfrDMff4kP08nblUkihrxltoGBjg/edit#gid=934712705"",""ESENCIAL!A6:BG""),3,FALSE))"),"")</f>
        <v/>
      </c>
      <c r="H155" s="5" t="str">
        <f ca="1">IFERROR(__xludf.DUMMYFUNCTION("IFERROR(VLOOKUP(F169,IMPORTRANGE(""https://docs.google.com/spreadsheets/d/1Kvs4KS76FHFqLFIZfrDMff4kP08nblUkihrxltoGBjg/edit#gid=934712705"",""ESENCIAL!A6:BG""),8,FALSE))"),"")</f>
        <v/>
      </c>
      <c r="L155" s="287"/>
      <c r="U155" s="40"/>
      <c r="AU155" s="41" t="str">
        <f t="shared" si="8"/>
        <v/>
      </c>
      <c r="AV155" s="5" t="str">
        <f ca="1">IFERROR(__xludf.DUMMYFUNCTION("IFERROR(VLOOKUP(E169&amp;F169,IMPORTRANGE(""https://docs.google.com/spreadsheets/d/1Uw7-A9f9R21vMXxHZFNpYNeKFtG8_yji4HS352LGlSQ/edit?pli=1#gid=0"",""1_ACUM!A4:S""),11,FALSE))"),"")</f>
        <v/>
      </c>
      <c r="AW155" s="42" t="str">
        <f ca="1">IFERROR(__xludf.DUMMYFUNCTION("IFERROR(VLOOKUP(F169,IMPORTRANGE(""https://docs.google.com/spreadsheets/d/1Kvs4KS76FHFqLFIZfrDMff4kP08nblUkihrxltoGBjg/edit#gid=934712705"",""ESENCIAL!A6:BG""),15,FALSE))"),"")</f>
        <v/>
      </c>
      <c r="AX155" s="21" t="str">
        <f ca="1">IFERROR(__xludf.DUMMYFUNCTION("IFERROR(VLOOKUP(E169&amp;F169,IMPORTRANGE(""https://docs.google.com/spreadsheets/d/1Uw7-A9f9R21vMXxHZFNpYNeKFtG8_yji4HS352LGlSQ/edit?pli=1#gid=0"",""1_ACUM!A4:S""),12,FALSE))"),"")</f>
        <v/>
      </c>
      <c r="AY155" s="43" t="str">
        <f ca="1">IFERROR(__xludf.DUMMYFUNCTION("IFERROR(VLOOKUP(E169&amp;F169,IMPORTRANGE(""https://docs.google.com/spreadsheets/d/1Uw7-A9f9R21vMXxHZFNpYNeKFtG8_yji4HS352LGlSQ/edit?pli=1#gid=0"",""1_ACUM!A4:S""),13,FALSE))"),"")</f>
        <v/>
      </c>
      <c r="AZ155" s="43" t="str">
        <f ca="1">IFERROR(__xludf.DUMMYFUNCTION("IFERROR(VLOOKUP(E169&amp;F169,IMPORTRANGE(""https://docs.google.com/spreadsheets/d/1Uw7-A9f9R21vMXxHZFNpYNeKFtG8_yji4HS352LGlSQ/edit?pli=1#gid=0"",""1_ACUM!A4:S""),14,FALSE))"),"")</f>
        <v/>
      </c>
      <c r="BA155" s="43" t="str">
        <f ca="1">IFERROR(__xludf.DUMMYFUNCTION("IFERROR(VLOOKUP(E169&amp;F169,IMPORTRANGE(""https://docs.google.com/spreadsheets/d/1Uw7-A9f9R21vMXxHZFNpYNeKFtG8_yji4HS352LGlSQ/edit?pli=1#gid=0"",""1_ACUM!A4:S""),15,FALSE))"),"")</f>
        <v/>
      </c>
      <c r="BB155" s="43" t="str">
        <f ca="1">IFERROR(__xludf.DUMMYFUNCTION("IFERROR(VLOOKUP(E169&amp;F169,IMPORTRANGE(""https://docs.google.com/spreadsheets/d/1Uw7-A9f9R21vMXxHZFNpYNeKFtG8_yji4HS352LGlSQ/edit?pli=1#gid=0"",""1_ACUM!A4:S""),16,FALSE))"),"")</f>
        <v/>
      </c>
      <c r="BC155" s="43" t="str">
        <f ca="1">IFERROR(__xludf.DUMMYFUNCTION("IFERROR(VLOOKUP(E169&amp;F169,IMPORTRANGE(""https://docs.google.com/spreadsheets/d/1Uw7-A9f9R21vMXxHZFNpYNeKFtG8_yji4HS352LGlSQ/edit?pli=1#gid=0"",""1_ACUM!A4:S""),17,FALSE))"),"")</f>
        <v/>
      </c>
      <c r="BD155" s="44" t="str">
        <f ca="1">IFERROR(__xludf.DUMMYFUNCTION("IFERROR(VLOOKUP(E169&amp;F169,IMPORTRANGE(""https://docs.google.com/spreadsheets/d/1Uw7-A9f9R21vMXxHZFNpYNeKFtG8_yji4HS352LGlSQ/edit?pli=1#gid=0"",""1_ACUM!A4:S""),18,FALSE))"),"")</f>
        <v/>
      </c>
      <c r="BE155" s="44" t="str">
        <f ca="1">IFERROR(__xludf.DUMMYFUNCTION("IFERROR(VLOOKUP(E169&amp;F169,IMPORTRANGE(""https://docs.google.com/spreadsheets/d/1Uw7-A9f9R21vMXxHZFNpYNeKFtG8_yji4HS352LGlSQ/edit?pli=1#gid=0"",""1_ACUM!A4:S""),19,FALSE))"),"")</f>
        <v/>
      </c>
      <c r="BF155" s="98" t="str">
        <f ca="1">IFERROR(__xludf.DUMMYFUNCTION("IFERROR(VLOOKUP(F169,IMPORTRANGE(""https://docs.google.com/spreadsheets/d/1Kvs4KS76FHFqLFIZfrDMff4kP08nblUkihrxltoGBjg/edit#gid=934712705"",""ESENCIAL!A6:BG""),5,FALSE))"),"")</f>
        <v/>
      </c>
      <c r="BG155" s="98" t="str">
        <f t="shared" si="9"/>
        <v/>
      </c>
      <c r="BH155" s="99" t="str">
        <f t="shared" si="10"/>
        <v/>
      </c>
      <c r="BI155" s="100" t="str">
        <f ca="1">IFERROR(__xludf.DUMMYFUNCTION("IFERROR(VLOOKUP(F169,IMPORTRANGE(""https://docs.google.com/spreadsheets/d/1Kvs4KS76FHFqLFIZfrDMff4kP08nblUkihrxltoGBjg/edit#gid=934712705"",""ESENCIAL!A6:BG""),2,FALSE))"),"")</f>
        <v/>
      </c>
      <c r="BJ155" s="19" t="str">
        <f t="shared" si="11"/>
        <v/>
      </c>
      <c r="BK155" s="100"/>
      <c r="BL155" s="100"/>
    </row>
    <row r="156" spans="1:64" ht="15">
      <c r="A156" s="101"/>
      <c r="B156" s="101"/>
      <c r="G156" s="5" t="str">
        <f ca="1">IFERROR(__xludf.DUMMYFUNCTION("IFERROR(VLOOKUP(F170,IMPORTRANGE(""https://docs.google.com/spreadsheets/d/1Kvs4KS76FHFqLFIZfrDMff4kP08nblUkihrxltoGBjg/edit#gid=934712705"",""ESENCIAL!A6:BG""),3,FALSE))"),"")</f>
        <v/>
      </c>
      <c r="H156" s="5" t="str">
        <f ca="1">IFERROR(__xludf.DUMMYFUNCTION("IFERROR(VLOOKUP(F170,IMPORTRANGE(""https://docs.google.com/spreadsheets/d/1Kvs4KS76FHFqLFIZfrDMff4kP08nblUkihrxltoGBjg/edit#gid=934712705"",""ESENCIAL!A6:BG""),8,FALSE))"),"")</f>
        <v/>
      </c>
      <c r="L156" s="287"/>
      <c r="U156" s="40"/>
      <c r="AU156" s="41" t="str">
        <f t="shared" si="8"/>
        <v/>
      </c>
      <c r="AV156" s="5" t="str">
        <f ca="1">IFERROR(__xludf.DUMMYFUNCTION("IFERROR(VLOOKUP(E170&amp;F170,IMPORTRANGE(""https://docs.google.com/spreadsheets/d/1Uw7-A9f9R21vMXxHZFNpYNeKFtG8_yji4HS352LGlSQ/edit?pli=1#gid=0"",""1_ACUM!A4:S""),11,FALSE))"),"")</f>
        <v/>
      </c>
      <c r="AW156" s="42" t="str">
        <f ca="1">IFERROR(__xludf.DUMMYFUNCTION("IFERROR(VLOOKUP(F170,IMPORTRANGE(""https://docs.google.com/spreadsheets/d/1Kvs4KS76FHFqLFIZfrDMff4kP08nblUkihrxltoGBjg/edit#gid=934712705"",""ESENCIAL!A6:BG""),15,FALSE))"),"")</f>
        <v/>
      </c>
      <c r="AX156" s="21" t="str">
        <f ca="1">IFERROR(__xludf.DUMMYFUNCTION("IFERROR(VLOOKUP(E170&amp;F170,IMPORTRANGE(""https://docs.google.com/spreadsheets/d/1Uw7-A9f9R21vMXxHZFNpYNeKFtG8_yji4HS352LGlSQ/edit?pli=1#gid=0"",""1_ACUM!A4:S""),12,FALSE))"),"")</f>
        <v/>
      </c>
      <c r="AY156" s="43" t="str">
        <f ca="1">IFERROR(__xludf.DUMMYFUNCTION("IFERROR(VLOOKUP(E170&amp;F170,IMPORTRANGE(""https://docs.google.com/spreadsheets/d/1Uw7-A9f9R21vMXxHZFNpYNeKFtG8_yji4HS352LGlSQ/edit?pli=1#gid=0"",""1_ACUM!A4:S""),13,FALSE))"),"")</f>
        <v/>
      </c>
      <c r="AZ156" s="43" t="str">
        <f ca="1">IFERROR(__xludf.DUMMYFUNCTION("IFERROR(VLOOKUP(E170&amp;F170,IMPORTRANGE(""https://docs.google.com/spreadsheets/d/1Uw7-A9f9R21vMXxHZFNpYNeKFtG8_yji4HS352LGlSQ/edit?pli=1#gid=0"",""1_ACUM!A4:S""),14,FALSE))"),"")</f>
        <v/>
      </c>
      <c r="BA156" s="43" t="str">
        <f ca="1">IFERROR(__xludf.DUMMYFUNCTION("IFERROR(VLOOKUP(E170&amp;F170,IMPORTRANGE(""https://docs.google.com/spreadsheets/d/1Uw7-A9f9R21vMXxHZFNpYNeKFtG8_yji4HS352LGlSQ/edit?pli=1#gid=0"",""1_ACUM!A4:S""),15,FALSE))"),"")</f>
        <v/>
      </c>
      <c r="BB156" s="43" t="str">
        <f ca="1">IFERROR(__xludf.DUMMYFUNCTION("IFERROR(VLOOKUP(E170&amp;F170,IMPORTRANGE(""https://docs.google.com/spreadsheets/d/1Uw7-A9f9R21vMXxHZFNpYNeKFtG8_yji4HS352LGlSQ/edit?pli=1#gid=0"",""1_ACUM!A4:S""),16,FALSE))"),"")</f>
        <v/>
      </c>
      <c r="BC156" s="43" t="str">
        <f ca="1">IFERROR(__xludf.DUMMYFUNCTION("IFERROR(VLOOKUP(E170&amp;F170,IMPORTRANGE(""https://docs.google.com/spreadsheets/d/1Uw7-A9f9R21vMXxHZFNpYNeKFtG8_yji4HS352LGlSQ/edit?pli=1#gid=0"",""1_ACUM!A4:S""),17,FALSE))"),"")</f>
        <v/>
      </c>
      <c r="BD156" s="44" t="str">
        <f ca="1">IFERROR(__xludf.DUMMYFUNCTION("IFERROR(VLOOKUP(E170&amp;F170,IMPORTRANGE(""https://docs.google.com/spreadsheets/d/1Uw7-A9f9R21vMXxHZFNpYNeKFtG8_yji4HS352LGlSQ/edit?pli=1#gid=0"",""1_ACUM!A4:S""),18,FALSE))"),"")</f>
        <v/>
      </c>
      <c r="BE156" s="44" t="str">
        <f ca="1">IFERROR(__xludf.DUMMYFUNCTION("IFERROR(VLOOKUP(E170&amp;F170,IMPORTRANGE(""https://docs.google.com/spreadsheets/d/1Uw7-A9f9R21vMXxHZFNpYNeKFtG8_yji4HS352LGlSQ/edit?pli=1#gid=0"",""1_ACUM!A4:S""),19,FALSE))"),"")</f>
        <v/>
      </c>
      <c r="BF156" s="98" t="str">
        <f ca="1">IFERROR(__xludf.DUMMYFUNCTION("IFERROR(VLOOKUP(F170,IMPORTRANGE(""https://docs.google.com/spreadsheets/d/1Kvs4KS76FHFqLFIZfrDMff4kP08nblUkihrxltoGBjg/edit#gid=934712705"",""ESENCIAL!A6:BG""),5,FALSE))"),"")</f>
        <v/>
      </c>
      <c r="BG156" s="98" t="str">
        <f t="shared" si="9"/>
        <v/>
      </c>
      <c r="BH156" s="99" t="str">
        <f t="shared" si="10"/>
        <v/>
      </c>
      <c r="BI156" s="100" t="str">
        <f ca="1">IFERROR(__xludf.DUMMYFUNCTION("IFERROR(VLOOKUP(F170,IMPORTRANGE(""https://docs.google.com/spreadsheets/d/1Kvs4KS76FHFqLFIZfrDMff4kP08nblUkihrxltoGBjg/edit#gid=934712705"",""ESENCIAL!A6:BG""),2,FALSE))"),"")</f>
        <v/>
      </c>
      <c r="BJ156" s="19" t="str">
        <f t="shared" si="11"/>
        <v/>
      </c>
      <c r="BK156" s="100"/>
      <c r="BL156" s="100"/>
    </row>
    <row r="157" spans="1:64" ht="15">
      <c r="A157" s="101"/>
      <c r="B157" s="101"/>
      <c r="G157" s="5" t="str">
        <f ca="1">IFERROR(__xludf.DUMMYFUNCTION("IFERROR(VLOOKUP(F171,IMPORTRANGE(""https://docs.google.com/spreadsheets/d/1Kvs4KS76FHFqLFIZfrDMff4kP08nblUkihrxltoGBjg/edit#gid=934712705"",""ESENCIAL!A6:BG""),3,FALSE))"),"")</f>
        <v/>
      </c>
      <c r="H157" s="5" t="str">
        <f ca="1">IFERROR(__xludf.DUMMYFUNCTION("IFERROR(VLOOKUP(F171,IMPORTRANGE(""https://docs.google.com/spreadsheets/d/1Kvs4KS76FHFqLFIZfrDMff4kP08nblUkihrxltoGBjg/edit#gid=934712705"",""ESENCIAL!A6:BG""),8,FALSE))"),"")</f>
        <v/>
      </c>
      <c r="L157" s="287"/>
      <c r="U157" s="40"/>
      <c r="AU157" s="41" t="str">
        <f t="shared" si="8"/>
        <v/>
      </c>
      <c r="AV157" s="5" t="str">
        <f ca="1">IFERROR(__xludf.DUMMYFUNCTION("IFERROR(VLOOKUP(E171&amp;F171,IMPORTRANGE(""https://docs.google.com/spreadsheets/d/1Uw7-A9f9R21vMXxHZFNpYNeKFtG8_yji4HS352LGlSQ/edit?pli=1#gid=0"",""1_ACUM!A4:S""),11,FALSE))"),"")</f>
        <v/>
      </c>
      <c r="AW157" s="42" t="str">
        <f ca="1">IFERROR(__xludf.DUMMYFUNCTION("IFERROR(VLOOKUP(F171,IMPORTRANGE(""https://docs.google.com/spreadsheets/d/1Kvs4KS76FHFqLFIZfrDMff4kP08nblUkihrxltoGBjg/edit#gid=934712705"",""ESENCIAL!A6:BG""),15,FALSE))"),"")</f>
        <v/>
      </c>
      <c r="AX157" s="21" t="str">
        <f ca="1">IFERROR(__xludf.DUMMYFUNCTION("IFERROR(VLOOKUP(E171&amp;F171,IMPORTRANGE(""https://docs.google.com/spreadsheets/d/1Uw7-A9f9R21vMXxHZFNpYNeKFtG8_yji4HS352LGlSQ/edit?pli=1#gid=0"",""1_ACUM!A4:S""),12,FALSE))"),"")</f>
        <v/>
      </c>
      <c r="AY157" s="43" t="str">
        <f ca="1">IFERROR(__xludf.DUMMYFUNCTION("IFERROR(VLOOKUP(E171&amp;F171,IMPORTRANGE(""https://docs.google.com/spreadsheets/d/1Uw7-A9f9R21vMXxHZFNpYNeKFtG8_yji4HS352LGlSQ/edit?pli=1#gid=0"",""1_ACUM!A4:S""),13,FALSE))"),"")</f>
        <v/>
      </c>
      <c r="AZ157" s="43" t="str">
        <f ca="1">IFERROR(__xludf.DUMMYFUNCTION("IFERROR(VLOOKUP(E171&amp;F171,IMPORTRANGE(""https://docs.google.com/spreadsheets/d/1Uw7-A9f9R21vMXxHZFNpYNeKFtG8_yji4HS352LGlSQ/edit?pli=1#gid=0"",""1_ACUM!A4:S""),14,FALSE))"),"")</f>
        <v/>
      </c>
      <c r="BA157" s="43" t="str">
        <f ca="1">IFERROR(__xludf.DUMMYFUNCTION("IFERROR(VLOOKUP(E171&amp;F171,IMPORTRANGE(""https://docs.google.com/spreadsheets/d/1Uw7-A9f9R21vMXxHZFNpYNeKFtG8_yji4HS352LGlSQ/edit?pli=1#gid=0"",""1_ACUM!A4:S""),15,FALSE))"),"")</f>
        <v/>
      </c>
      <c r="BB157" s="43" t="str">
        <f ca="1">IFERROR(__xludf.DUMMYFUNCTION("IFERROR(VLOOKUP(E171&amp;F171,IMPORTRANGE(""https://docs.google.com/spreadsheets/d/1Uw7-A9f9R21vMXxHZFNpYNeKFtG8_yji4HS352LGlSQ/edit?pli=1#gid=0"",""1_ACUM!A4:S""),16,FALSE))"),"")</f>
        <v/>
      </c>
      <c r="BC157" s="43" t="str">
        <f ca="1">IFERROR(__xludf.DUMMYFUNCTION("IFERROR(VLOOKUP(E171&amp;F171,IMPORTRANGE(""https://docs.google.com/spreadsheets/d/1Uw7-A9f9R21vMXxHZFNpYNeKFtG8_yji4HS352LGlSQ/edit?pli=1#gid=0"",""1_ACUM!A4:S""),17,FALSE))"),"")</f>
        <v/>
      </c>
      <c r="BD157" s="44" t="str">
        <f ca="1">IFERROR(__xludf.DUMMYFUNCTION("IFERROR(VLOOKUP(E171&amp;F171,IMPORTRANGE(""https://docs.google.com/spreadsheets/d/1Uw7-A9f9R21vMXxHZFNpYNeKFtG8_yji4HS352LGlSQ/edit?pli=1#gid=0"",""1_ACUM!A4:S""),18,FALSE))"),"")</f>
        <v/>
      </c>
      <c r="BE157" s="44" t="str">
        <f ca="1">IFERROR(__xludf.DUMMYFUNCTION("IFERROR(VLOOKUP(E171&amp;F171,IMPORTRANGE(""https://docs.google.com/spreadsheets/d/1Uw7-A9f9R21vMXxHZFNpYNeKFtG8_yji4HS352LGlSQ/edit?pli=1#gid=0"",""1_ACUM!A4:S""),19,FALSE))"),"")</f>
        <v/>
      </c>
      <c r="BF157" s="98" t="str">
        <f ca="1">IFERROR(__xludf.DUMMYFUNCTION("IFERROR(VLOOKUP(F171,IMPORTRANGE(""https://docs.google.com/spreadsheets/d/1Kvs4KS76FHFqLFIZfrDMff4kP08nblUkihrxltoGBjg/edit#gid=934712705"",""ESENCIAL!A6:BG""),5,FALSE))"),"")</f>
        <v/>
      </c>
      <c r="BG157" s="98" t="str">
        <f t="shared" si="9"/>
        <v/>
      </c>
      <c r="BH157" s="99" t="str">
        <f t="shared" si="10"/>
        <v/>
      </c>
      <c r="BI157" s="100" t="str">
        <f ca="1">IFERROR(__xludf.DUMMYFUNCTION("IFERROR(VLOOKUP(F171,IMPORTRANGE(""https://docs.google.com/spreadsheets/d/1Kvs4KS76FHFqLFIZfrDMff4kP08nblUkihrxltoGBjg/edit#gid=934712705"",""ESENCIAL!A6:BG""),2,FALSE))"),"")</f>
        <v/>
      </c>
      <c r="BJ157" s="19" t="str">
        <f t="shared" si="11"/>
        <v/>
      </c>
      <c r="BK157" s="100"/>
      <c r="BL157" s="100"/>
    </row>
    <row r="158" spans="1:64" ht="15">
      <c r="A158" s="101"/>
      <c r="B158" s="101"/>
      <c r="G158" s="5" t="str">
        <f ca="1">IFERROR(__xludf.DUMMYFUNCTION("IFERROR(VLOOKUP(F172,IMPORTRANGE(""https://docs.google.com/spreadsheets/d/1Kvs4KS76FHFqLFIZfrDMff4kP08nblUkihrxltoGBjg/edit#gid=934712705"",""ESENCIAL!A6:BG""),3,FALSE))"),"")</f>
        <v/>
      </c>
      <c r="H158" s="5" t="str">
        <f ca="1">IFERROR(__xludf.DUMMYFUNCTION("IFERROR(VLOOKUP(F172,IMPORTRANGE(""https://docs.google.com/spreadsheets/d/1Kvs4KS76FHFqLFIZfrDMff4kP08nblUkihrxltoGBjg/edit#gid=934712705"",""ESENCIAL!A6:BG""),8,FALSE))"),"")</f>
        <v/>
      </c>
      <c r="L158" s="287"/>
      <c r="U158" s="40"/>
      <c r="AU158" s="41" t="str">
        <f t="shared" si="8"/>
        <v/>
      </c>
      <c r="AV158" s="5" t="str">
        <f ca="1">IFERROR(__xludf.DUMMYFUNCTION("IFERROR(VLOOKUP(E172&amp;F172,IMPORTRANGE(""https://docs.google.com/spreadsheets/d/1Uw7-A9f9R21vMXxHZFNpYNeKFtG8_yji4HS352LGlSQ/edit?pli=1#gid=0"",""1_ACUM!A4:S""),11,FALSE))"),"")</f>
        <v/>
      </c>
      <c r="AW158" s="42" t="str">
        <f ca="1">IFERROR(__xludf.DUMMYFUNCTION("IFERROR(VLOOKUP(F172,IMPORTRANGE(""https://docs.google.com/spreadsheets/d/1Kvs4KS76FHFqLFIZfrDMff4kP08nblUkihrxltoGBjg/edit#gid=934712705"",""ESENCIAL!A6:BG""),15,FALSE))"),"")</f>
        <v/>
      </c>
      <c r="AX158" s="21" t="str">
        <f ca="1">IFERROR(__xludf.DUMMYFUNCTION("IFERROR(VLOOKUP(E172&amp;F172,IMPORTRANGE(""https://docs.google.com/spreadsheets/d/1Uw7-A9f9R21vMXxHZFNpYNeKFtG8_yji4HS352LGlSQ/edit?pli=1#gid=0"",""1_ACUM!A4:S""),12,FALSE))"),"")</f>
        <v/>
      </c>
      <c r="AY158" s="43" t="str">
        <f ca="1">IFERROR(__xludf.DUMMYFUNCTION("IFERROR(VLOOKUP(E172&amp;F172,IMPORTRANGE(""https://docs.google.com/spreadsheets/d/1Uw7-A9f9R21vMXxHZFNpYNeKFtG8_yji4HS352LGlSQ/edit?pli=1#gid=0"",""1_ACUM!A4:S""),13,FALSE))"),"")</f>
        <v/>
      </c>
      <c r="AZ158" s="43" t="str">
        <f ca="1">IFERROR(__xludf.DUMMYFUNCTION("IFERROR(VLOOKUP(E172&amp;F172,IMPORTRANGE(""https://docs.google.com/spreadsheets/d/1Uw7-A9f9R21vMXxHZFNpYNeKFtG8_yji4HS352LGlSQ/edit?pli=1#gid=0"",""1_ACUM!A4:S""),14,FALSE))"),"")</f>
        <v/>
      </c>
      <c r="BA158" s="43" t="str">
        <f ca="1">IFERROR(__xludf.DUMMYFUNCTION("IFERROR(VLOOKUP(E172&amp;F172,IMPORTRANGE(""https://docs.google.com/spreadsheets/d/1Uw7-A9f9R21vMXxHZFNpYNeKFtG8_yji4HS352LGlSQ/edit?pli=1#gid=0"",""1_ACUM!A4:S""),15,FALSE))"),"")</f>
        <v/>
      </c>
      <c r="BB158" s="43" t="str">
        <f ca="1">IFERROR(__xludf.DUMMYFUNCTION("IFERROR(VLOOKUP(E172&amp;F172,IMPORTRANGE(""https://docs.google.com/spreadsheets/d/1Uw7-A9f9R21vMXxHZFNpYNeKFtG8_yji4HS352LGlSQ/edit?pli=1#gid=0"",""1_ACUM!A4:S""),16,FALSE))"),"")</f>
        <v/>
      </c>
      <c r="BC158" s="43" t="str">
        <f ca="1">IFERROR(__xludf.DUMMYFUNCTION("IFERROR(VLOOKUP(E172&amp;F172,IMPORTRANGE(""https://docs.google.com/spreadsheets/d/1Uw7-A9f9R21vMXxHZFNpYNeKFtG8_yji4HS352LGlSQ/edit?pli=1#gid=0"",""1_ACUM!A4:S""),17,FALSE))"),"")</f>
        <v/>
      </c>
      <c r="BD158" s="44" t="str">
        <f ca="1">IFERROR(__xludf.DUMMYFUNCTION("IFERROR(VLOOKUP(E172&amp;F172,IMPORTRANGE(""https://docs.google.com/spreadsheets/d/1Uw7-A9f9R21vMXxHZFNpYNeKFtG8_yji4HS352LGlSQ/edit?pli=1#gid=0"",""1_ACUM!A4:S""),18,FALSE))"),"")</f>
        <v/>
      </c>
      <c r="BE158" s="44" t="str">
        <f ca="1">IFERROR(__xludf.DUMMYFUNCTION("IFERROR(VLOOKUP(E172&amp;F172,IMPORTRANGE(""https://docs.google.com/spreadsheets/d/1Uw7-A9f9R21vMXxHZFNpYNeKFtG8_yji4HS352LGlSQ/edit?pli=1#gid=0"",""1_ACUM!A4:S""),19,FALSE))"),"")</f>
        <v/>
      </c>
      <c r="BF158" s="98" t="str">
        <f ca="1">IFERROR(__xludf.DUMMYFUNCTION("IFERROR(VLOOKUP(F172,IMPORTRANGE(""https://docs.google.com/spreadsheets/d/1Kvs4KS76FHFqLFIZfrDMff4kP08nblUkihrxltoGBjg/edit#gid=934712705"",""ESENCIAL!A6:BG""),5,FALSE))"),"")</f>
        <v/>
      </c>
      <c r="BG158" s="98" t="str">
        <f t="shared" si="9"/>
        <v/>
      </c>
      <c r="BH158" s="99" t="str">
        <f t="shared" si="10"/>
        <v/>
      </c>
      <c r="BI158" s="100" t="str">
        <f ca="1">IFERROR(__xludf.DUMMYFUNCTION("IFERROR(VLOOKUP(F172,IMPORTRANGE(""https://docs.google.com/spreadsheets/d/1Kvs4KS76FHFqLFIZfrDMff4kP08nblUkihrxltoGBjg/edit#gid=934712705"",""ESENCIAL!A6:BG""),2,FALSE))"),"")</f>
        <v/>
      </c>
      <c r="BJ158" s="19" t="str">
        <f t="shared" si="11"/>
        <v/>
      </c>
      <c r="BK158" s="100"/>
      <c r="BL158" s="100"/>
    </row>
    <row r="159" spans="1:64" ht="15">
      <c r="A159" s="101"/>
      <c r="B159" s="101"/>
      <c r="G159" s="5" t="str">
        <f ca="1">IFERROR(__xludf.DUMMYFUNCTION("IFERROR(VLOOKUP(F173,IMPORTRANGE(""https://docs.google.com/spreadsheets/d/1Kvs4KS76FHFqLFIZfrDMff4kP08nblUkihrxltoGBjg/edit#gid=934712705"",""ESENCIAL!A6:BG""),3,FALSE))"),"")</f>
        <v/>
      </c>
      <c r="H159" s="5" t="str">
        <f ca="1">IFERROR(__xludf.DUMMYFUNCTION("IFERROR(VLOOKUP(F173,IMPORTRANGE(""https://docs.google.com/spreadsheets/d/1Kvs4KS76FHFqLFIZfrDMff4kP08nblUkihrxltoGBjg/edit#gid=934712705"",""ESENCIAL!A6:BG""),8,FALSE))"),"")</f>
        <v/>
      </c>
      <c r="L159" s="287"/>
      <c r="U159" s="40"/>
      <c r="AU159" s="41" t="str">
        <f t="shared" si="8"/>
        <v/>
      </c>
      <c r="AV159" s="5" t="str">
        <f ca="1">IFERROR(__xludf.DUMMYFUNCTION("IFERROR(VLOOKUP(E173&amp;F173,IMPORTRANGE(""https://docs.google.com/spreadsheets/d/1Uw7-A9f9R21vMXxHZFNpYNeKFtG8_yji4HS352LGlSQ/edit?pli=1#gid=0"",""1_ACUM!A4:S""),11,FALSE))"),"")</f>
        <v/>
      </c>
      <c r="AW159" s="42" t="str">
        <f ca="1">IFERROR(__xludf.DUMMYFUNCTION("IFERROR(VLOOKUP(F173,IMPORTRANGE(""https://docs.google.com/spreadsheets/d/1Kvs4KS76FHFqLFIZfrDMff4kP08nblUkihrxltoGBjg/edit#gid=934712705"",""ESENCIAL!A6:BG""),15,FALSE))"),"")</f>
        <v/>
      </c>
      <c r="AX159" s="21" t="str">
        <f ca="1">IFERROR(__xludf.DUMMYFUNCTION("IFERROR(VLOOKUP(E173&amp;F173,IMPORTRANGE(""https://docs.google.com/spreadsheets/d/1Uw7-A9f9R21vMXxHZFNpYNeKFtG8_yji4HS352LGlSQ/edit?pli=1#gid=0"",""1_ACUM!A4:S""),12,FALSE))"),"")</f>
        <v/>
      </c>
      <c r="AY159" s="43" t="str">
        <f ca="1">IFERROR(__xludf.DUMMYFUNCTION("IFERROR(VLOOKUP(E173&amp;F173,IMPORTRANGE(""https://docs.google.com/spreadsheets/d/1Uw7-A9f9R21vMXxHZFNpYNeKFtG8_yji4HS352LGlSQ/edit?pli=1#gid=0"",""1_ACUM!A4:S""),13,FALSE))"),"")</f>
        <v/>
      </c>
      <c r="AZ159" s="43" t="str">
        <f ca="1">IFERROR(__xludf.DUMMYFUNCTION("IFERROR(VLOOKUP(E173&amp;F173,IMPORTRANGE(""https://docs.google.com/spreadsheets/d/1Uw7-A9f9R21vMXxHZFNpYNeKFtG8_yji4HS352LGlSQ/edit?pli=1#gid=0"",""1_ACUM!A4:S""),14,FALSE))"),"")</f>
        <v/>
      </c>
      <c r="BA159" s="43" t="str">
        <f ca="1">IFERROR(__xludf.DUMMYFUNCTION("IFERROR(VLOOKUP(E173&amp;F173,IMPORTRANGE(""https://docs.google.com/spreadsheets/d/1Uw7-A9f9R21vMXxHZFNpYNeKFtG8_yji4HS352LGlSQ/edit?pli=1#gid=0"",""1_ACUM!A4:S""),15,FALSE))"),"")</f>
        <v/>
      </c>
      <c r="BB159" s="43" t="str">
        <f ca="1">IFERROR(__xludf.DUMMYFUNCTION("IFERROR(VLOOKUP(E173&amp;F173,IMPORTRANGE(""https://docs.google.com/spreadsheets/d/1Uw7-A9f9R21vMXxHZFNpYNeKFtG8_yji4HS352LGlSQ/edit?pli=1#gid=0"",""1_ACUM!A4:S""),16,FALSE))"),"")</f>
        <v/>
      </c>
      <c r="BC159" s="43" t="str">
        <f ca="1">IFERROR(__xludf.DUMMYFUNCTION("IFERROR(VLOOKUP(E173&amp;F173,IMPORTRANGE(""https://docs.google.com/spreadsheets/d/1Uw7-A9f9R21vMXxHZFNpYNeKFtG8_yji4HS352LGlSQ/edit?pli=1#gid=0"",""1_ACUM!A4:S""),17,FALSE))"),"")</f>
        <v/>
      </c>
      <c r="BD159" s="44" t="str">
        <f ca="1">IFERROR(__xludf.DUMMYFUNCTION("IFERROR(VLOOKUP(E173&amp;F173,IMPORTRANGE(""https://docs.google.com/spreadsheets/d/1Uw7-A9f9R21vMXxHZFNpYNeKFtG8_yji4HS352LGlSQ/edit?pli=1#gid=0"",""1_ACUM!A4:S""),18,FALSE))"),"")</f>
        <v/>
      </c>
      <c r="BE159" s="44" t="str">
        <f ca="1">IFERROR(__xludf.DUMMYFUNCTION("IFERROR(VLOOKUP(E173&amp;F173,IMPORTRANGE(""https://docs.google.com/spreadsheets/d/1Uw7-A9f9R21vMXxHZFNpYNeKFtG8_yji4HS352LGlSQ/edit?pli=1#gid=0"",""1_ACUM!A4:S""),19,FALSE))"),"")</f>
        <v/>
      </c>
      <c r="BF159" s="98" t="str">
        <f ca="1">IFERROR(__xludf.DUMMYFUNCTION("IFERROR(VLOOKUP(F173,IMPORTRANGE(""https://docs.google.com/spreadsheets/d/1Kvs4KS76FHFqLFIZfrDMff4kP08nblUkihrxltoGBjg/edit#gid=934712705"",""ESENCIAL!A6:BG""),5,FALSE))"),"")</f>
        <v/>
      </c>
      <c r="BG159" s="98" t="str">
        <f t="shared" si="9"/>
        <v/>
      </c>
      <c r="BH159" s="99" t="str">
        <f t="shared" si="10"/>
        <v/>
      </c>
      <c r="BI159" s="100" t="str">
        <f ca="1">IFERROR(__xludf.DUMMYFUNCTION("IFERROR(VLOOKUP(F173,IMPORTRANGE(""https://docs.google.com/spreadsheets/d/1Kvs4KS76FHFqLFIZfrDMff4kP08nblUkihrxltoGBjg/edit#gid=934712705"",""ESENCIAL!A6:BG""),2,FALSE))"),"")</f>
        <v/>
      </c>
      <c r="BJ159" s="19" t="str">
        <f t="shared" si="11"/>
        <v/>
      </c>
      <c r="BK159" s="100"/>
      <c r="BL159" s="100"/>
    </row>
    <row r="160" spans="1:64" ht="15">
      <c r="A160" s="101"/>
      <c r="B160" s="101"/>
      <c r="G160" s="5" t="str">
        <f ca="1">IFERROR(__xludf.DUMMYFUNCTION("IFERROR(VLOOKUP(F174,IMPORTRANGE(""https://docs.google.com/spreadsheets/d/1Kvs4KS76FHFqLFIZfrDMff4kP08nblUkihrxltoGBjg/edit#gid=934712705"",""ESENCIAL!A6:BG""),3,FALSE))"),"")</f>
        <v/>
      </c>
      <c r="H160" s="5" t="str">
        <f ca="1">IFERROR(__xludf.DUMMYFUNCTION("IFERROR(VLOOKUP(F174,IMPORTRANGE(""https://docs.google.com/spreadsheets/d/1Kvs4KS76FHFqLFIZfrDMff4kP08nblUkihrxltoGBjg/edit#gid=934712705"",""ESENCIAL!A6:BG""),8,FALSE))"),"")</f>
        <v/>
      </c>
      <c r="L160" s="287"/>
      <c r="U160" s="40"/>
      <c r="AU160" s="41" t="str">
        <f t="shared" si="8"/>
        <v/>
      </c>
      <c r="AV160" s="5" t="str">
        <f ca="1">IFERROR(__xludf.DUMMYFUNCTION("IFERROR(VLOOKUP(E174&amp;F174,IMPORTRANGE(""https://docs.google.com/spreadsheets/d/1Uw7-A9f9R21vMXxHZFNpYNeKFtG8_yji4HS352LGlSQ/edit?pli=1#gid=0"",""1_ACUM!A4:S""),11,FALSE))"),"")</f>
        <v/>
      </c>
      <c r="AW160" s="42" t="str">
        <f ca="1">IFERROR(__xludf.DUMMYFUNCTION("IFERROR(VLOOKUP(F174,IMPORTRANGE(""https://docs.google.com/spreadsheets/d/1Kvs4KS76FHFqLFIZfrDMff4kP08nblUkihrxltoGBjg/edit#gid=934712705"",""ESENCIAL!A6:BG""),15,FALSE))"),"")</f>
        <v/>
      </c>
      <c r="AX160" s="21" t="str">
        <f ca="1">IFERROR(__xludf.DUMMYFUNCTION("IFERROR(VLOOKUP(E174&amp;F174,IMPORTRANGE(""https://docs.google.com/spreadsheets/d/1Uw7-A9f9R21vMXxHZFNpYNeKFtG8_yji4HS352LGlSQ/edit?pli=1#gid=0"",""1_ACUM!A4:S""),12,FALSE))"),"")</f>
        <v/>
      </c>
      <c r="AY160" s="43" t="str">
        <f ca="1">IFERROR(__xludf.DUMMYFUNCTION("IFERROR(VLOOKUP(E174&amp;F174,IMPORTRANGE(""https://docs.google.com/spreadsheets/d/1Uw7-A9f9R21vMXxHZFNpYNeKFtG8_yji4HS352LGlSQ/edit?pli=1#gid=0"",""1_ACUM!A4:S""),13,FALSE))"),"")</f>
        <v/>
      </c>
      <c r="AZ160" s="43" t="str">
        <f ca="1">IFERROR(__xludf.DUMMYFUNCTION("IFERROR(VLOOKUP(E174&amp;F174,IMPORTRANGE(""https://docs.google.com/spreadsheets/d/1Uw7-A9f9R21vMXxHZFNpYNeKFtG8_yji4HS352LGlSQ/edit?pli=1#gid=0"",""1_ACUM!A4:S""),14,FALSE))"),"")</f>
        <v/>
      </c>
      <c r="BA160" s="43" t="str">
        <f ca="1">IFERROR(__xludf.DUMMYFUNCTION("IFERROR(VLOOKUP(E174&amp;F174,IMPORTRANGE(""https://docs.google.com/spreadsheets/d/1Uw7-A9f9R21vMXxHZFNpYNeKFtG8_yji4HS352LGlSQ/edit?pli=1#gid=0"",""1_ACUM!A4:S""),15,FALSE))"),"")</f>
        <v/>
      </c>
      <c r="BB160" s="43" t="str">
        <f ca="1">IFERROR(__xludf.DUMMYFUNCTION("IFERROR(VLOOKUP(E174&amp;F174,IMPORTRANGE(""https://docs.google.com/spreadsheets/d/1Uw7-A9f9R21vMXxHZFNpYNeKFtG8_yji4HS352LGlSQ/edit?pli=1#gid=0"",""1_ACUM!A4:S""),16,FALSE))"),"")</f>
        <v/>
      </c>
      <c r="BC160" s="43" t="str">
        <f ca="1">IFERROR(__xludf.DUMMYFUNCTION("IFERROR(VLOOKUP(E174&amp;F174,IMPORTRANGE(""https://docs.google.com/spreadsheets/d/1Uw7-A9f9R21vMXxHZFNpYNeKFtG8_yji4HS352LGlSQ/edit?pli=1#gid=0"",""1_ACUM!A4:S""),17,FALSE))"),"")</f>
        <v/>
      </c>
      <c r="BD160" s="44" t="str">
        <f ca="1">IFERROR(__xludf.DUMMYFUNCTION("IFERROR(VLOOKUP(E174&amp;F174,IMPORTRANGE(""https://docs.google.com/spreadsheets/d/1Uw7-A9f9R21vMXxHZFNpYNeKFtG8_yji4HS352LGlSQ/edit?pli=1#gid=0"",""1_ACUM!A4:S""),18,FALSE))"),"")</f>
        <v/>
      </c>
      <c r="BE160" s="44" t="str">
        <f ca="1">IFERROR(__xludf.DUMMYFUNCTION("IFERROR(VLOOKUP(E174&amp;F174,IMPORTRANGE(""https://docs.google.com/spreadsheets/d/1Uw7-A9f9R21vMXxHZFNpYNeKFtG8_yji4HS352LGlSQ/edit?pli=1#gid=0"",""1_ACUM!A4:S""),19,FALSE))"),"")</f>
        <v/>
      </c>
      <c r="BF160" s="98" t="str">
        <f ca="1">IFERROR(__xludf.DUMMYFUNCTION("IFERROR(VLOOKUP(F174,IMPORTRANGE(""https://docs.google.com/spreadsheets/d/1Kvs4KS76FHFqLFIZfrDMff4kP08nblUkihrxltoGBjg/edit#gid=934712705"",""ESENCIAL!A6:BG""),5,FALSE))"),"")</f>
        <v/>
      </c>
      <c r="BG160" s="98" t="str">
        <f t="shared" si="9"/>
        <v/>
      </c>
      <c r="BH160" s="99" t="str">
        <f t="shared" si="10"/>
        <v/>
      </c>
      <c r="BI160" s="100" t="str">
        <f ca="1">IFERROR(__xludf.DUMMYFUNCTION("IFERROR(VLOOKUP(F174,IMPORTRANGE(""https://docs.google.com/spreadsheets/d/1Kvs4KS76FHFqLFIZfrDMff4kP08nblUkihrxltoGBjg/edit#gid=934712705"",""ESENCIAL!A6:BG""),2,FALSE))"),"")</f>
        <v/>
      </c>
      <c r="BJ160" s="19" t="str">
        <f t="shared" si="11"/>
        <v/>
      </c>
      <c r="BK160" s="100"/>
      <c r="BL160" s="100"/>
    </row>
    <row r="161" spans="1:64" ht="15">
      <c r="A161" s="101"/>
      <c r="B161" s="101"/>
      <c r="G161" s="5" t="str">
        <f ca="1">IFERROR(__xludf.DUMMYFUNCTION("IFERROR(VLOOKUP(F175,IMPORTRANGE(""https://docs.google.com/spreadsheets/d/1Kvs4KS76FHFqLFIZfrDMff4kP08nblUkihrxltoGBjg/edit#gid=934712705"",""ESENCIAL!A6:BG""),3,FALSE))"),"")</f>
        <v/>
      </c>
      <c r="H161" s="5" t="str">
        <f ca="1">IFERROR(__xludf.DUMMYFUNCTION("IFERROR(VLOOKUP(F175,IMPORTRANGE(""https://docs.google.com/spreadsheets/d/1Kvs4KS76FHFqLFIZfrDMff4kP08nblUkihrxltoGBjg/edit#gid=934712705"",""ESENCIAL!A6:BG""),8,FALSE))"),"")</f>
        <v/>
      </c>
      <c r="L161" s="287"/>
      <c r="U161" s="40"/>
      <c r="AU161" s="41" t="str">
        <f t="shared" si="8"/>
        <v/>
      </c>
      <c r="AV161" s="5" t="str">
        <f ca="1">IFERROR(__xludf.DUMMYFUNCTION("IFERROR(VLOOKUP(E175&amp;F175,IMPORTRANGE(""https://docs.google.com/spreadsheets/d/1Uw7-A9f9R21vMXxHZFNpYNeKFtG8_yji4HS352LGlSQ/edit?pli=1#gid=0"",""1_ACUM!A4:S""),11,FALSE))"),"")</f>
        <v/>
      </c>
      <c r="AW161" s="42" t="str">
        <f ca="1">IFERROR(__xludf.DUMMYFUNCTION("IFERROR(VLOOKUP(F175,IMPORTRANGE(""https://docs.google.com/spreadsheets/d/1Kvs4KS76FHFqLFIZfrDMff4kP08nblUkihrxltoGBjg/edit#gid=934712705"",""ESENCIAL!A6:BG""),15,FALSE))"),"")</f>
        <v/>
      </c>
      <c r="AX161" s="21" t="str">
        <f ca="1">IFERROR(__xludf.DUMMYFUNCTION("IFERROR(VLOOKUP(E175&amp;F175,IMPORTRANGE(""https://docs.google.com/spreadsheets/d/1Uw7-A9f9R21vMXxHZFNpYNeKFtG8_yji4HS352LGlSQ/edit?pli=1#gid=0"",""1_ACUM!A4:S""),12,FALSE))"),"")</f>
        <v/>
      </c>
      <c r="AY161" s="43" t="str">
        <f ca="1">IFERROR(__xludf.DUMMYFUNCTION("IFERROR(VLOOKUP(E175&amp;F175,IMPORTRANGE(""https://docs.google.com/spreadsheets/d/1Uw7-A9f9R21vMXxHZFNpYNeKFtG8_yji4HS352LGlSQ/edit?pli=1#gid=0"",""1_ACUM!A4:S""),13,FALSE))"),"")</f>
        <v/>
      </c>
      <c r="AZ161" s="43" t="str">
        <f ca="1">IFERROR(__xludf.DUMMYFUNCTION("IFERROR(VLOOKUP(E175&amp;F175,IMPORTRANGE(""https://docs.google.com/spreadsheets/d/1Uw7-A9f9R21vMXxHZFNpYNeKFtG8_yji4HS352LGlSQ/edit?pli=1#gid=0"",""1_ACUM!A4:S""),14,FALSE))"),"")</f>
        <v/>
      </c>
      <c r="BA161" s="43" t="str">
        <f ca="1">IFERROR(__xludf.DUMMYFUNCTION("IFERROR(VLOOKUP(E175&amp;F175,IMPORTRANGE(""https://docs.google.com/spreadsheets/d/1Uw7-A9f9R21vMXxHZFNpYNeKFtG8_yji4HS352LGlSQ/edit?pli=1#gid=0"",""1_ACUM!A4:S""),15,FALSE))"),"")</f>
        <v/>
      </c>
      <c r="BB161" s="43" t="str">
        <f ca="1">IFERROR(__xludf.DUMMYFUNCTION("IFERROR(VLOOKUP(E175&amp;F175,IMPORTRANGE(""https://docs.google.com/spreadsheets/d/1Uw7-A9f9R21vMXxHZFNpYNeKFtG8_yji4HS352LGlSQ/edit?pli=1#gid=0"",""1_ACUM!A4:S""),16,FALSE))"),"")</f>
        <v/>
      </c>
      <c r="BC161" s="43" t="str">
        <f ca="1">IFERROR(__xludf.DUMMYFUNCTION("IFERROR(VLOOKUP(E175&amp;F175,IMPORTRANGE(""https://docs.google.com/spreadsheets/d/1Uw7-A9f9R21vMXxHZFNpYNeKFtG8_yji4HS352LGlSQ/edit?pli=1#gid=0"",""1_ACUM!A4:S""),17,FALSE))"),"")</f>
        <v/>
      </c>
      <c r="BD161" s="44" t="str">
        <f ca="1">IFERROR(__xludf.DUMMYFUNCTION("IFERROR(VLOOKUP(E175&amp;F175,IMPORTRANGE(""https://docs.google.com/spreadsheets/d/1Uw7-A9f9R21vMXxHZFNpYNeKFtG8_yji4HS352LGlSQ/edit?pli=1#gid=0"",""1_ACUM!A4:S""),18,FALSE))"),"")</f>
        <v/>
      </c>
      <c r="BE161" s="44" t="str">
        <f ca="1">IFERROR(__xludf.DUMMYFUNCTION("IFERROR(VLOOKUP(E175&amp;F175,IMPORTRANGE(""https://docs.google.com/spreadsheets/d/1Uw7-A9f9R21vMXxHZFNpYNeKFtG8_yji4HS352LGlSQ/edit?pli=1#gid=0"",""1_ACUM!A4:S""),19,FALSE))"),"")</f>
        <v/>
      </c>
      <c r="BF161" s="98" t="str">
        <f ca="1">IFERROR(__xludf.DUMMYFUNCTION("IFERROR(VLOOKUP(F175,IMPORTRANGE(""https://docs.google.com/spreadsheets/d/1Kvs4KS76FHFqLFIZfrDMff4kP08nblUkihrxltoGBjg/edit#gid=934712705"",""ESENCIAL!A6:BG""),5,FALSE))"),"")</f>
        <v/>
      </c>
      <c r="BG161" s="98" t="str">
        <f t="shared" si="9"/>
        <v/>
      </c>
      <c r="BH161" s="99" t="str">
        <f t="shared" si="10"/>
        <v/>
      </c>
      <c r="BI161" s="100" t="str">
        <f ca="1">IFERROR(__xludf.DUMMYFUNCTION("IFERROR(VLOOKUP(F175,IMPORTRANGE(""https://docs.google.com/spreadsheets/d/1Kvs4KS76FHFqLFIZfrDMff4kP08nblUkihrxltoGBjg/edit#gid=934712705"",""ESENCIAL!A6:BG""),2,FALSE))"),"")</f>
        <v/>
      </c>
      <c r="BJ161" s="19" t="str">
        <f t="shared" si="11"/>
        <v/>
      </c>
      <c r="BK161" s="100"/>
      <c r="BL161" s="100"/>
    </row>
    <row r="162" spans="1:64" ht="15">
      <c r="A162" s="101"/>
      <c r="B162" s="101"/>
      <c r="G162" s="5" t="str">
        <f ca="1">IFERROR(__xludf.DUMMYFUNCTION("IFERROR(VLOOKUP(F176,IMPORTRANGE(""https://docs.google.com/spreadsheets/d/1Kvs4KS76FHFqLFIZfrDMff4kP08nblUkihrxltoGBjg/edit#gid=934712705"",""ESENCIAL!A6:BG""),3,FALSE))"),"")</f>
        <v/>
      </c>
      <c r="H162" s="5" t="str">
        <f ca="1">IFERROR(__xludf.DUMMYFUNCTION("IFERROR(VLOOKUP(F176,IMPORTRANGE(""https://docs.google.com/spreadsheets/d/1Kvs4KS76FHFqLFIZfrDMff4kP08nblUkihrxltoGBjg/edit#gid=934712705"",""ESENCIAL!A6:BG""),8,FALSE))"),"")</f>
        <v/>
      </c>
      <c r="L162" s="287"/>
      <c r="U162" s="40"/>
      <c r="AU162" s="41" t="str">
        <f t="shared" si="8"/>
        <v/>
      </c>
      <c r="AV162" s="5" t="str">
        <f ca="1">IFERROR(__xludf.DUMMYFUNCTION("IFERROR(VLOOKUP(E176&amp;F176,IMPORTRANGE(""https://docs.google.com/spreadsheets/d/1Uw7-A9f9R21vMXxHZFNpYNeKFtG8_yji4HS352LGlSQ/edit?pli=1#gid=0"",""1_ACUM!A4:S""),11,FALSE))"),"")</f>
        <v/>
      </c>
      <c r="AW162" s="42" t="str">
        <f ca="1">IFERROR(__xludf.DUMMYFUNCTION("IFERROR(VLOOKUP(F176,IMPORTRANGE(""https://docs.google.com/spreadsheets/d/1Kvs4KS76FHFqLFIZfrDMff4kP08nblUkihrxltoGBjg/edit#gid=934712705"",""ESENCIAL!A6:BG""),15,FALSE))"),"")</f>
        <v/>
      </c>
      <c r="AX162" s="21" t="str">
        <f ca="1">IFERROR(__xludf.DUMMYFUNCTION("IFERROR(VLOOKUP(E176&amp;F176,IMPORTRANGE(""https://docs.google.com/spreadsheets/d/1Uw7-A9f9R21vMXxHZFNpYNeKFtG8_yji4HS352LGlSQ/edit?pli=1#gid=0"",""1_ACUM!A4:S""),12,FALSE))"),"")</f>
        <v/>
      </c>
      <c r="AY162" s="43" t="str">
        <f ca="1">IFERROR(__xludf.DUMMYFUNCTION("IFERROR(VLOOKUP(E176&amp;F176,IMPORTRANGE(""https://docs.google.com/spreadsheets/d/1Uw7-A9f9R21vMXxHZFNpYNeKFtG8_yji4HS352LGlSQ/edit?pli=1#gid=0"",""1_ACUM!A4:S""),13,FALSE))"),"")</f>
        <v/>
      </c>
      <c r="AZ162" s="43" t="str">
        <f ca="1">IFERROR(__xludf.DUMMYFUNCTION("IFERROR(VLOOKUP(E176&amp;F176,IMPORTRANGE(""https://docs.google.com/spreadsheets/d/1Uw7-A9f9R21vMXxHZFNpYNeKFtG8_yji4HS352LGlSQ/edit?pli=1#gid=0"",""1_ACUM!A4:S""),14,FALSE))"),"")</f>
        <v/>
      </c>
      <c r="BA162" s="43" t="str">
        <f ca="1">IFERROR(__xludf.DUMMYFUNCTION("IFERROR(VLOOKUP(E176&amp;F176,IMPORTRANGE(""https://docs.google.com/spreadsheets/d/1Uw7-A9f9R21vMXxHZFNpYNeKFtG8_yji4HS352LGlSQ/edit?pli=1#gid=0"",""1_ACUM!A4:S""),15,FALSE))"),"")</f>
        <v/>
      </c>
      <c r="BB162" s="43" t="str">
        <f ca="1">IFERROR(__xludf.DUMMYFUNCTION("IFERROR(VLOOKUP(E176&amp;F176,IMPORTRANGE(""https://docs.google.com/spreadsheets/d/1Uw7-A9f9R21vMXxHZFNpYNeKFtG8_yji4HS352LGlSQ/edit?pli=1#gid=0"",""1_ACUM!A4:S""),16,FALSE))"),"")</f>
        <v/>
      </c>
      <c r="BC162" s="43" t="str">
        <f ca="1">IFERROR(__xludf.DUMMYFUNCTION("IFERROR(VLOOKUP(E176&amp;F176,IMPORTRANGE(""https://docs.google.com/spreadsheets/d/1Uw7-A9f9R21vMXxHZFNpYNeKFtG8_yji4HS352LGlSQ/edit?pli=1#gid=0"",""1_ACUM!A4:S""),17,FALSE))"),"")</f>
        <v/>
      </c>
      <c r="BD162" s="44" t="str">
        <f ca="1">IFERROR(__xludf.DUMMYFUNCTION("IFERROR(VLOOKUP(E176&amp;F176,IMPORTRANGE(""https://docs.google.com/spreadsheets/d/1Uw7-A9f9R21vMXxHZFNpYNeKFtG8_yji4HS352LGlSQ/edit?pli=1#gid=0"",""1_ACUM!A4:S""),18,FALSE))"),"")</f>
        <v/>
      </c>
      <c r="BE162" s="44" t="str">
        <f ca="1">IFERROR(__xludf.DUMMYFUNCTION("IFERROR(VLOOKUP(E176&amp;F176,IMPORTRANGE(""https://docs.google.com/spreadsheets/d/1Uw7-A9f9R21vMXxHZFNpYNeKFtG8_yji4HS352LGlSQ/edit?pli=1#gid=0"",""1_ACUM!A4:S""),19,FALSE))"),"")</f>
        <v/>
      </c>
      <c r="BF162" s="98" t="str">
        <f ca="1">IFERROR(__xludf.DUMMYFUNCTION("IFERROR(VLOOKUP(F176,IMPORTRANGE(""https://docs.google.com/spreadsheets/d/1Kvs4KS76FHFqLFIZfrDMff4kP08nblUkihrxltoGBjg/edit#gid=934712705"",""ESENCIAL!A6:BG""),5,FALSE))"),"")</f>
        <v/>
      </c>
      <c r="BG162" s="98" t="str">
        <f t="shared" si="9"/>
        <v/>
      </c>
      <c r="BH162" s="99" t="str">
        <f t="shared" si="10"/>
        <v/>
      </c>
      <c r="BI162" s="100" t="str">
        <f ca="1">IFERROR(__xludf.DUMMYFUNCTION("IFERROR(VLOOKUP(F176,IMPORTRANGE(""https://docs.google.com/spreadsheets/d/1Kvs4KS76FHFqLFIZfrDMff4kP08nblUkihrxltoGBjg/edit#gid=934712705"",""ESENCIAL!A6:BG""),2,FALSE))"),"")</f>
        <v/>
      </c>
      <c r="BJ162" s="19" t="str">
        <f t="shared" si="11"/>
        <v/>
      </c>
      <c r="BK162" s="100"/>
      <c r="BL162" s="100"/>
    </row>
    <row r="163" spans="1:64" ht="15">
      <c r="A163" s="101"/>
      <c r="B163" s="101"/>
      <c r="G163" s="5" t="str">
        <f ca="1">IFERROR(__xludf.DUMMYFUNCTION("IFERROR(VLOOKUP(F177,IMPORTRANGE(""https://docs.google.com/spreadsheets/d/1Kvs4KS76FHFqLFIZfrDMff4kP08nblUkihrxltoGBjg/edit#gid=934712705"",""ESENCIAL!A6:BG""),3,FALSE))"),"")</f>
        <v/>
      </c>
      <c r="H163" s="5" t="str">
        <f ca="1">IFERROR(__xludf.DUMMYFUNCTION("IFERROR(VLOOKUP(F177,IMPORTRANGE(""https://docs.google.com/spreadsheets/d/1Kvs4KS76FHFqLFIZfrDMff4kP08nblUkihrxltoGBjg/edit#gid=934712705"",""ESENCIAL!A6:BG""),8,FALSE))"),"")</f>
        <v/>
      </c>
      <c r="L163" s="287"/>
      <c r="U163" s="40"/>
      <c r="AU163" s="41" t="str">
        <f t="shared" si="8"/>
        <v/>
      </c>
      <c r="AV163" s="5" t="str">
        <f ca="1">IFERROR(__xludf.DUMMYFUNCTION("IFERROR(VLOOKUP(E177&amp;F177,IMPORTRANGE(""https://docs.google.com/spreadsheets/d/1Uw7-A9f9R21vMXxHZFNpYNeKFtG8_yji4HS352LGlSQ/edit?pli=1#gid=0"",""1_ACUM!A4:S""),11,FALSE))"),"")</f>
        <v/>
      </c>
      <c r="AW163" s="42" t="str">
        <f ca="1">IFERROR(__xludf.DUMMYFUNCTION("IFERROR(VLOOKUP(F177,IMPORTRANGE(""https://docs.google.com/spreadsheets/d/1Kvs4KS76FHFqLFIZfrDMff4kP08nblUkihrxltoGBjg/edit#gid=934712705"",""ESENCIAL!A6:BG""),15,FALSE))"),"")</f>
        <v/>
      </c>
      <c r="AX163" s="21" t="str">
        <f ca="1">IFERROR(__xludf.DUMMYFUNCTION("IFERROR(VLOOKUP(E177&amp;F177,IMPORTRANGE(""https://docs.google.com/spreadsheets/d/1Uw7-A9f9R21vMXxHZFNpYNeKFtG8_yji4HS352LGlSQ/edit?pli=1#gid=0"",""1_ACUM!A4:S""),12,FALSE))"),"")</f>
        <v/>
      </c>
      <c r="AY163" s="43" t="str">
        <f ca="1">IFERROR(__xludf.DUMMYFUNCTION("IFERROR(VLOOKUP(E177&amp;F177,IMPORTRANGE(""https://docs.google.com/spreadsheets/d/1Uw7-A9f9R21vMXxHZFNpYNeKFtG8_yji4HS352LGlSQ/edit?pli=1#gid=0"",""1_ACUM!A4:S""),13,FALSE))"),"")</f>
        <v/>
      </c>
      <c r="AZ163" s="43" t="str">
        <f ca="1">IFERROR(__xludf.DUMMYFUNCTION("IFERROR(VLOOKUP(E177&amp;F177,IMPORTRANGE(""https://docs.google.com/spreadsheets/d/1Uw7-A9f9R21vMXxHZFNpYNeKFtG8_yji4HS352LGlSQ/edit?pli=1#gid=0"",""1_ACUM!A4:S""),14,FALSE))"),"")</f>
        <v/>
      </c>
      <c r="BA163" s="43" t="str">
        <f ca="1">IFERROR(__xludf.DUMMYFUNCTION("IFERROR(VLOOKUP(E177&amp;F177,IMPORTRANGE(""https://docs.google.com/spreadsheets/d/1Uw7-A9f9R21vMXxHZFNpYNeKFtG8_yji4HS352LGlSQ/edit?pli=1#gid=0"",""1_ACUM!A4:S""),15,FALSE))"),"")</f>
        <v/>
      </c>
      <c r="BB163" s="43" t="str">
        <f ca="1">IFERROR(__xludf.DUMMYFUNCTION("IFERROR(VLOOKUP(E177&amp;F177,IMPORTRANGE(""https://docs.google.com/spreadsheets/d/1Uw7-A9f9R21vMXxHZFNpYNeKFtG8_yji4HS352LGlSQ/edit?pli=1#gid=0"",""1_ACUM!A4:S""),16,FALSE))"),"")</f>
        <v/>
      </c>
      <c r="BC163" s="43" t="str">
        <f ca="1">IFERROR(__xludf.DUMMYFUNCTION("IFERROR(VLOOKUP(E177&amp;F177,IMPORTRANGE(""https://docs.google.com/spreadsheets/d/1Uw7-A9f9R21vMXxHZFNpYNeKFtG8_yji4HS352LGlSQ/edit?pli=1#gid=0"",""1_ACUM!A4:S""),17,FALSE))"),"")</f>
        <v/>
      </c>
      <c r="BD163" s="44" t="str">
        <f ca="1">IFERROR(__xludf.DUMMYFUNCTION("IFERROR(VLOOKUP(E177&amp;F177,IMPORTRANGE(""https://docs.google.com/spreadsheets/d/1Uw7-A9f9R21vMXxHZFNpYNeKFtG8_yji4HS352LGlSQ/edit?pli=1#gid=0"",""1_ACUM!A4:S""),18,FALSE))"),"")</f>
        <v/>
      </c>
      <c r="BE163" s="44" t="str">
        <f ca="1">IFERROR(__xludf.DUMMYFUNCTION("IFERROR(VLOOKUP(E177&amp;F177,IMPORTRANGE(""https://docs.google.com/spreadsheets/d/1Uw7-A9f9R21vMXxHZFNpYNeKFtG8_yji4HS352LGlSQ/edit?pli=1#gid=0"",""1_ACUM!A4:S""),19,FALSE))"),"")</f>
        <v/>
      </c>
      <c r="BF163" s="98" t="str">
        <f ca="1">IFERROR(__xludf.DUMMYFUNCTION("IFERROR(VLOOKUP(F177,IMPORTRANGE(""https://docs.google.com/spreadsheets/d/1Kvs4KS76FHFqLFIZfrDMff4kP08nblUkihrxltoGBjg/edit#gid=934712705"",""ESENCIAL!A6:BG""),5,FALSE))"),"")</f>
        <v/>
      </c>
      <c r="BG163" s="98" t="str">
        <f t="shared" si="9"/>
        <v/>
      </c>
      <c r="BH163" s="99" t="str">
        <f t="shared" si="10"/>
        <v/>
      </c>
      <c r="BI163" s="100" t="str">
        <f ca="1">IFERROR(__xludf.DUMMYFUNCTION("IFERROR(VLOOKUP(F177,IMPORTRANGE(""https://docs.google.com/spreadsheets/d/1Kvs4KS76FHFqLFIZfrDMff4kP08nblUkihrxltoGBjg/edit#gid=934712705"",""ESENCIAL!A6:BG""),2,FALSE))"),"")</f>
        <v/>
      </c>
      <c r="BJ163" s="19" t="str">
        <f t="shared" si="11"/>
        <v/>
      </c>
      <c r="BK163" s="100"/>
      <c r="BL163" s="100"/>
    </row>
    <row r="164" spans="1:64" ht="15">
      <c r="A164" s="101"/>
      <c r="B164" s="101"/>
      <c r="G164" s="5" t="str">
        <f ca="1">IFERROR(__xludf.DUMMYFUNCTION("IFERROR(VLOOKUP(F178,IMPORTRANGE(""https://docs.google.com/spreadsheets/d/1Kvs4KS76FHFqLFIZfrDMff4kP08nblUkihrxltoGBjg/edit#gid=934712705"",""ESENCIAL!A6:BG""),3,FALSE))"),"")</f>
        <v/>
      </c>
      <c r="H164" s="5" t="str">
        <f ca="1">IFERROR(__xludf.DUMMYFUNCTION("IFERROR(VLOOKUP(F178,IMPORTRANGE(""https://docs.google.com/spreadsheets/d/1Kvs4KS76FHFqLFIZfrDMff4kP08nblUkihrxltoGBjg/edit#gid=934712705"",""ESENCIAL!A6:BG""),8,FALSE))"),"")</f>
        <v/>
      </c>
      <c r="L164" s="287"/>
      <c r="U164" s="40"/>
      <c r="AU164" s="41" t="str">
        <f t="shared" si="8"/>
        <v/>
      </c>
      <c r="AV164" s="5" t="str">
        <f ca="1">IFERROR(__xludf.DUMMYFUNCTION("IFERROR(VLOOKUP(E178&amp;F178,IMPORTRANGE(""https://docs.google.com/spreadsheets/d/1Uw7-A9f9R21vMXxHZFNpYNeKFtG8_yji4HS352LGlSQ/edit?pli=1#gid=0"",""1_ACUM!A4:S""),11,FALSE))"),"")</f>
        <v/>
      </c>
      <c r="AW164" s="42" t="str">
        <f ca="1">IFERROR(__xludf.DUMMYFUNCTION("IFERROR(VLOOKUP(F178,IMPORTRANGE(""https://docs.google.com/spreadsheets/d/1Kvs4KS76FHFqLFIZfrDMff4kP08nblUkihrxltoGBjg/edit#gid=934712705"",""ESENCIAL!A6:BG""),15,FALSE))"),"")</f>
        <v/>
      </c>
      <c r="AX164" s="21" t="str">
        <f ca="1">IFERROR(__xludf.DUMMYFUNCTION("IFERROR(VLOOKUP(E178&amp;F178,IMPORTRANGE(""https://docs.google.com/spreadsheets/d/1Uw7-A9f9R21vMXxHZFNpYNeKFtG8_yji4HS352LGlSQ/edit?pli=1#gid=0"",""1_ACUM!A4:S""),12,FALSE))"),"")</f>
        <v/>
      </c>
      <c r="AY164" s="43" t="str">
        <f ca="1">IFERROR(__xludf.DUMMYFUNCTION("IFERROR(VLOOKUP(E178&amp;F178,IMPORTRANGE(""https://docs.google.com/spreadsheets/d/1Uw7-A9f9R21vMXxHZFNpYNeKFtG8_yji4HS352LGlSQ/edit?pli=1#gid=0"",""1_ACUM!A4:S""),13,FALSE))"),"")</f>
        <v/>
      </c>
      <c r="AZ164" s="43" t="str">
        <f ca="1">IFERROR(__xludf.DUMMYFUNCTION("IFERROR(VLOOKUP(E178&amp;F178,IMPORTRANGE(""https://docs.google.com/spreadsheets/d/1Uw7-A9f9R21vMXxHZFNpYNeKFtG8_yji4HS352LGlSQ/edit?pli=1#gid=0"",""1_ACUM!A4:S""),14,FALSE))"),"")</f>
        <v/>
      </c>
      <c r="BA164" s="43" t="str">
        <f ca="1">IFERROR(__xludf.DUMMYFUNCTION("IFERROR(VLOOKUP(E178&amp;F178,IMPORTRANGE(""https://docs.google.com/spreadsheets/d/1Uw7-A9f9R21vMXxHZFNpYNeKFtG8_yji4HS352LGlSQ/edit?pli=1#gid=0"",""1_ACUM!A4:S""),15,FALSE))"),"")</f>
        <v/>
      </c>
      <c r="BB164" s="43" t="str">
        <f ca="1">IFERROR(__xludf.DUMMYFUNCTION("IFERROR(VLOOKUP(E178&amp;F178,IMPORTRANGE(""https://docs.google.com/spreadsheets/d/1Uw7-A9f9R21vMXxHZFNpYNeKFtG8_yji4HS352LGlSQ/edit?pli=1#gid=0"",""1_ACUM!A4:S""),16,FALSE))"),"")</f>
        <v/>
      </c>
      <c r="BC164" s="43" t="str">
        <f ca="1">IFERROR(__xludf.DUMMYFUNCTION("IFERROR(VLOOKUP(E178&amp;F178,IMPORTRANGE(""https://docs.google.com/spreadsheets/d/1Uw7-A9f9R21vMXxHZFNpYNeKFtG8_yji4HS352LGlSQ/edit?pli=1#gid=0"",""1_ACUM!A4:S""),17,FALSE))"),"")</f>
        <v/>
      </c>
      <c r="BD164" s="44" t="str">
        <f ca="1">IFERROR(__xludf.DUMMYFUNCTION("IFERROR(VLOOKUP(E178&amp;F178,IMPORTRANGE(""https://docs.google.com/spreadsheets/d/1Uw7-A9f9R21vMXxHZFNpYNeKFtG8_yji4HS352LGlSQ/edit?pli=1#gid=0"",""1_ACUM!A4:S""),18,FALSE))"),"")</f>
        <v/>
      </c>
      <c r="BE164" s="44" t="str">
        <f ca="1">IFERROR(__xludf.DUMMYFUNCTION("IFERROR(VLOOKUP(E178&amp;F178,IMPORTRANGE(""https://docs.google.com/spreadsheets/d/1Uw7-A9f9R21vMXxHZFNpYNeKFtG8_yji4HS352LGlSQ/edit?pli=1#gid=0"",""1_ACUM!A4:S""),19,FALSE))"),"")</f>
        <v/>
      </c>
      <c r="BF164" s="98" t="str">
        <f ca="1">IFERROR(__xludf.DUMMYFUNCTION("IFERROR(VLOOKUP(F178,IMPORTRANGE(""https://docs.google.com/spreadsheets/d/1Kvs4KS76FHFqLFIZfrDMff4kP08nblUkihrxltoGBjg/edit#gid=934712705"",""ESENCIAL!A6:BG""),5,FALSE))"),"")</f>
        <v/>
      </c>
      <c r="BG164" s="98" t="str">
        <f t="shared" si="9"/>
        <v/>
      </c>
      <c r="BH164" s="99" t="str">
        <f t="shared" si="10"/>
        <v/>
      </c>
      <c r="BI164" s="100" t="str">
        <f ca="1">IFERROR(__xludf.DUMMYFUNCTION("IFERROR(VLOOKUP(F178,IMPORTRANGE(""https://docs.google.com/spreadsheets/d/1Kvs4KS76FHFqLFIZfrDMff4kP08nblUkihrxltoGBjg/edit#gid=934712705"",""ESENCIAL!A6:BG""),2,FALSE))"),"")</f>
        <v/>
      </c>
      <c r="BJ164" s="19" t="str">
        <f t="shared" si="11"/>
        <v/>
      </c>
      <c r="BK164" s="100"/>
      <c r="BL164" s="100"/>
    </row>
    <row r="165" spans="1:64" ht="15">
      <c r="A165" s="101"/>
      <c r="B165" s="101"/>
      <c r="G165" s="5" t="str">
        <f ca="1">IFERROR(__xludf.DUMMYFUNCTION("IFERROR(VLOOKUP(F179,IMPORTRANGE(""https://docs.google.com/spreadsheets/d/1Kvs4KS76FHFqLFIZfrDMff4kP08nblUkihrxltoGBjg/edit#gid=934712705"",""ESENCIAL!A6:BG""),3,FALSE))"),"")</f>
        <v/>
      </c>
      <c r="H165" s="5" t="str">
        <f ca="1">IFERROR(__xludf.DUMMYFUNCTION("IFERROR(VLOOKUP(F179,IMPORTRANGE(""https://docs.google.com/spreadsheets/d/1Kvs4KS76FHFqLFIZfrDMff4kP08nblUkihrxltoGBjg/edit#gid=934712705"",""ESENCIAL!A6:BG""),8,FALSE))"),"")</f>
        <v/>
      </c>
      <c r="L165" s="287"/>
      <c r="U165" s="40"/>
      <c r="AU165" s="41" t="str">
        <f t="shared" si="8"/>
        <v/>
      </c>
      <c r="AV165" s="5" t="str">
        <f ca="1">IFERROR(__xludf.DUMMYFUNCTION("IFERROR(VLOOKUP(E179&amp;F179,IMPORTRANGE(""https://docs.google.com/spreadsheets/d/1Uw7-A9f9R21vMXxHZFNpYNeKFtG8_yji4HS352LGlSQ/edit?pli=1#gid=0"",""1_ACUM!A4:S""),11,FALSE))"),"")</f>
        <v/>
      </c>
      <c r="AW165" s="42" t="str">
        <f ca="1">IFERROR(__xludf.DUMMYFUNCTION("IFERROR(VLOOKUP(F179,IMPORTRANGE(""https://docs.google.com/spreadsheets/d/1Kvs4KS76FHFqLFIZfrDMff4kP08nblUkihrxltoGBjg/edit#gid=934712705"",""ESENCIAL!A6:BG""),15,FALSE))"),"")</f>
        <v/>
      </c>
      <c r="AX165" s="21" t="str">
        <f ca="1">IFERROR(__xludf.DUMMYFUNCTION("IFERROR(VLOOKUP(E179&amp;F179,IMPORTRANGE(""https://docs.google.com/spreadsheets/d/1Uw7-A9f9R21vMXxHZFNpYNeKFtG8_yji4HS352LGlSQ/edit?pli=1#gid=0"",""1_ACUM!A4:S""),12,FALSE))"),"")</f>
        <v/>
      </c>
      <c r="AY165" s="43" t="str">
        <f ca="1">IFERROR(__xludf.DUMMYFUNCTION("IFERROR(VLOOKUP(E179&amp;F179,IMPORTRANGE(""https://docs.google.com/spreadsheets/d/1Uw7-A9f9R21vMXxHZFNpYNeKFtG8_yji4HS352LGlSQ/edit?pli=1#gid=0"",""1_ACUM!A4:S""),13,FALSE))"),"")</f>
        <v/>
      </c>
      <c r="AZ165" s="43" t="str">
        <f ca="1">IFERROR(__xludf.DUMMYFUNCTION("IFERROR(VLOOKUP(E179&amp;F179,IMPORTRANGE(""https://docs.google.com/spreadsheets/d/1Uw7-A9f9R21vMXxHZFNpYNeKFtG8_yji4HS352LGlSQ/edit?pli=1#gid=0"",""1_ACUM!A4:S""),14,FALSE))"),"")</f>
        <v/>
      </c>
      <c r="BA165" s="43" t="str">
        <f ca="1">IFERROR(__xludf.DUMMYFUNCTION("IFERROR(VLOOKUP(E179&amp;F179,IMPORTRANGE(""https://docs.google.com/spreadsheets/d/1Uw7-A9f9R21vMXxHZFNpYNeKFtG8_yji4HS352LGlSQ/edit?pli=1#gid=0"",""1_ACUM!A4:S""),15,FALSE))"),"")</f>
        <v/>
      </c>
      <c r="BB165" s="43" t="str">
        <f ca="1">IFERROR(__xludf.DUMMYFUNCTION("IFERROR(VLOOKUP(E179&amp;F179,IMPORTRANGE(""https://docs.google.com/spreadsheets/d/1Uw7-A9f9R21vMXxHZFNpYNeKFtG8_yji4HS352LGlSQ/edit?pli=1#gid=0"",""1_ACUM!A4:S""),16,FALSE))"),"")</f>
        <v/>
      </c>
      <c r="BC165" s="43" t="str">
        <f ca="1">IFERROR(__xludf.DUMMYFUNCTION("IFERROR(VLOOKUP(E179&amp;F179,IMPORTRANGE(""https://docs.google.com/spreadsheets/d/1Uw7-A9f9R21vMXxHZFNpYNeKFtG8_yji4HS352LGlSQ/edit?pli=1#gid=0"",""1_ACUM!A4:S""),17,FALSE))"),"")</f>
        <v/>
      </c>
      <c r="BD165" s="44" t="str">
        <f ca="1">IFERROR(__xludf.DUMMYFUNCTION("IFERROR(VLOOKUP(E179&amp;F179,IMPORTRANGE(""https://docs.google.com/spreadsheets/d/1Uw7-A9f9R21vMXxHZFNpYNeKFtG8_yji4HS352LGlSQ/edit?pli=1#gid=0"",""1_ACUM!A4:S""),18,FALSE))"),"")</f>
        <v/>
      </c>
      <c r="BE165" s="44" t="str">
        <f ca="1">IFERROR(__xludf.DUMMYFUNCTION("IFERROR(VLOOKUP(E179&amp;F179,IMPORTRANGE(""https://docs.google.com/spreadsheets/d/1Uw7-A9f9R21vMXxHZFNpYNeKFtG8_yji4HS352LGlSQ/edit?pli=1#gid=0"",""1_ACUM!A4:S""),19,FALSE))"),"")</f>
        <v/>
      </c>
      <c r="BF165" s="98" t="str">
        <f ca="1">IFERROR(__xludf.DUMMYFUNCTION("IFERROR(VLOOKUP(F179,IMPORTRANGE(""https://docs.google.com/spreadsheets/d/1Kvs4KS76FHFqLFIZfrDMff4kP08nblUkihrxltoGBjg/edit#gid=934712705"",""ESENCIAL!A6:BG""),5,FALSE))"),"")</f>
        <v/>
      </c>
      <c r="BG165" s="98" t="str">
        <f t="shared" si="9"/>
        <v/>
      </c>
      <c r="BH165" s="99" t="str">
        <f t="shared" si="10"/>
        <v/>
      </c>
      <c r="BI165" s="100" t="str">
        <f ca="1">IFERROR(__xludf.DUMMYFUNCTION("IFERROR(VLOOKUP(F179,IMPORTRANGE(""https://docs.google.com/spreadsheets/d/1Kvs4KS76FHFqLFIZfrDMff4kP08nblUkihrxltoGBjg/edit#gid=934712705"",""ESENCIAL!A6:BG""),2,FALSE))"),"")</f>
        <v/>
      </c>
      <c r="BJ165" s="19" t="str">
        <f t="shared" si="11"/>
        <v/>
      </c>
      <c r="BK165" s="100"/>
      <c r="BL165" s="100"/>
    </row>
    <row r="166" spans="1:64" ht="15">
      <c r="A166" s="101"/>
      <c r="B166" s="101"/>
      <c r="G166" s="5" t="str">
        <f ca="1">IFERROR(__xludf.DUMMYFUNCTION("IFERROR(VLOOKUP(F180,IMPORTRANGE(""https://docs.google.com/spreadsheets/d/1Kvs4KS76FHFqLFIZfrDMff4kP08nblUkihrxltoGBjg/edit#gid=934712705"",""ESENCIAL!A6:BG""),3,FALSE))"),"")</f>
        <v/>
      </c>
      <c r="H166" s="5" t="str">
        <f ca="1">IFERROR(__xludf.DUMMYFUNCTION("IFERROR(VLOOKUP(F180,IMPORTRANGE(""https://docs.google.com/spreadsheets/d/1Kvs4KS76FHFqLFIZfrDMff4kP08nblUkihrxltoGBjg/edit#gid=934712705"",""ESENCIAL!A6:BG""),8,FALSE))"),"")</f>
        <v/>
      </c>
      <c r="L166" s="287"/>
      <c r="U166" s="40"/>
      <c r="AU166" s="41" t="str">
        <f t="shared" si="8"/>
        <v/>
      </c>
      <c r="AV166" s="5" t="str">
        <f ca="1">IFERROR(__xludf.DUMMYFUNCTION("IFERROR(VLOOKUP(E180&amp;F180,IMPORTRANGE(""https://docs.google.com/spreadsheets/d/1Uw7-A9f9R21vMXxHZFNpYNeKFtG8_yji4HS352LGlSQ/edit?pli=1#gid=0"",""1_ACUM!A4:S""),11,FALSE))"),"")</f>
        <v/>
      </c>
      <c r="AW166" s="42" t="str">
        <f ca="1">IFERROR(__xludf.DUMMYFUNCTION("IFERROR(VLOOKUP(F180,IMPORTRANGE(""https://docs.google.com/spreadsheets/d/1Kvs4KS76FHFqLFIZfrDMff4kP08nblUkihrxltoGBjg/edit#gid=934712705"",""ESENCIAL!A6:BG""),15,FALSE))"),"")</f>
        <v/>
      </c>
      <c r="AX166" s="21" t="str">
        <f ca="1">IFERROR(__xludf.DUMMYFUNCTION("IFERROR(VLOOKUP(E180&amp;F180,IMPORTRANGE(""https://docs.google.com/spreadsheets/d/1Uw7-A9f9R21vMXxHZFNpYNeKFtG8_yji4HS352LGlSQ/edit?pli=1#gid=0"",""1_ACUM!A4:S""),12,FALSE))"),"")</f>
        <v/>
      </c>
      <c r="AY166" s="43" t="str">
        <f ca="1">IFERROR(__xludf.DUMMYFUNCTION("IFERROR(VLOOKUP(E180&amp;F180,IMPORTRANGE(""https://docs.google.com/spreadsheets/d/1Uw7-A9f9R21vMXxHZFNpYNeKFtG8_yji4HS352LGlSQ/edit?pli=1#gid=0"",""1_ACUM!A4:S""),13,FALSE))"),"")</f>
        <v/>
      </c>
      <c r="AZ166" s="43" t="str">
        <f ca="1">IFERROR(__xludf.DUMMYFUNCTION("IFERROR(VLOOKUP(E180&amp;F180,IMPORTRANGE(""https://docs.google.com/spreadsheets/d/1Uw7-A9f9R21vMXxHZFNpYNeKFtG8_yji4HS352LGlSQ/edit?pli=1#gid=0"",""1_ACUM!A4:S""),14,FALSE))"),"")</f>
        <v/>
      </c>
      <c r="BA166" s="43" t="str">
        <f ca="1">IFERROR(__xludf.DUMMYFUNCTION("IFERROR(VLOOKUP(E180&amp;F180,IMPORTRANGE(""https://docs.google.com/spreadsheets/d/1Uw7-A9f9R21vMXxHZFNpYNeKFtG8_yji4HS352LGlSQ/edit?pli=1#gid=0"",""1_ACUM!A4:S""),15,FALSE))"),"")</f>
        <v/>
      </c>
      <c r="BB166" s="43" t="str">
        <f ca="1">IFERROR(__xludf.DUMMYFUNCTION("IFERROR(VLOOKUP(E180&amp;F180,IMPORTRANGE(""https://docs.google.com/spreadsheets/d/1Uw7-A9f9R21vMXxHZFNpYNeKFtG8_yji4HS352LGlSQ/edit?pli=1#gid=0"",""1_ACUM!A4:S""),16,FALSE))"),"")</f>
        <v/>
      </c>
      <c r="BC166" s="43" t="str">
        <f ca="1">IFERROR(__xludf.DUMMYFUNCTION("IFERROR(VLOOKUP(E180&amp;F180,IMPORTRANGE(""https://docs.google.com/spreadsheets/d/1Uw7-A9f9R21vMXxHZFNpYNeKFtG8_yji4HS352LGlSQ/edit?pli=1#gid=0"",""1_ACUM!A4:S""),17,FALSE))"),"")</f>
        <v/>
      </c>
      <c r="BD166" s="44" t="str">
        <f ca="1">IFERROR(__xludf.DUMMYFUNCTION("IFERROR(VLOOKUP(E180&amp;F180,IMPORTRANGE(""https://docs.google.com/spreadsheets/d/1Uw7-A9f9R21vMXxHZFNpYNeKFtG8_yji4HS352LGlSQ/edit?pli=1#gid=0"",""1_ACUM!A4:S""),18,FALSE))"),"")</f>
        <v/>
      </c>
      <c r="BE166" s="44" t="str">
        <f ca="1">IFERROR(__xludf.DUMMYFUNCTION("IFERROR(VLOOKUP(E180&amp;F180,IMPORTRANGE(""https://docs.google.com/spreadsheets/d/1Uw7-A9f9R21vMXxHZFNpYNeKFtG8_yji4HS352LGlSQ/edit?pli=1#gid=0"",""1_ACUM!A4:S""),19,FALSE))"),"")</f>
        <v/>
      </c>
      <c r="BF166" s="98" t="str">
        <f ca="1">IFERROR(__xludf.DUMMYFUNCTION("IFERROR(VLOOKUP(F180,IMPORTRANGE(""https://docs.google.com/spreadsheets/d/1Kvs4KS76FHFqLFIZfrDMff4kP08nblUkihrxltoGBjg/edit#gid=934712705"",""ESENCIAL!A6:BG""),5,FALSE))"),"")</f>
        <v/>
      </c>
      <c r="BG166" s="98" t="str">
        <f t="shared" si="9"/>
        <v/>
      </c>
      <c r="BH166" s="99" t="str">
        <f t="shared" si="10"/>
        <v/>
      </c>
      <c r="BI166" s="100" t="str">
        <f ca="1">IFERROR(__xludf.DUMMYFUNCTION("IFERROR(VLOOKUP(F180,IMPORTRANGE(""https://docs.google.com/spreadsheets/d/1Kvs4KS76FHFqLFIZfrDMff4kP08nblUkihrxltoGBjg/edit#gid=934712705"",""ESENCIAL!A6:BG""),2,FALSE))"),"")</f>
        <v/>
      </c>
      <c r="BJ166" s="19" t="str">
        <f t="shared" si="11"/>
        <v/>
      </c>
      <c r="BK166" s="100"/>
      <c r="BL166" s="100"/>
    </row>
    <row r="167" spans="1:64" ht="15">
      <c r="A167" s="101"/>
      <c r="B167" s="101"/>
      <c r="G167" s="5" t="str">
        <f ca="1">IFERROR(__xludf.DUMMYFUNCTION("IFERROR(VLOOKUP(F181,IMPORTRANGE(""https://docs.google.com/spreadsheets/d/1Kvs4KS76FHFqLFIZfrDMff4kP08nblUkihrxltoGBjg/edit#gid=934712705"",""ESENCIAL!A6:BG""),3,FALSE))"),"")</f>
        <v/>
      </c>
      <c r="H167" s="5" t="str">
        <f ca="1">IFERROR(__xludf.DUMMYFUNCTION("IFERROR(VLOOKUP(F181,IMPORTRANGE(""https://docs.google.com/spreadsheets/d/1Kvs4KS76FHFqLFIZfrDMff4kP08nblUkihrxltoGBjg/edit#gid=934712705"",""ESENCIAL!A6:BG""),8,FALSE))"),"")</f>
        <v/>
      </c>
      <c r="L167" s="287"/>
      <c r="U167" s="40"/>
      <c r="AU167" s="41" t="str">
        <f t="shared" si="8"/>
        <v/>
      </c>
      <c r="AV167" s="5" t="str">
        <f ca="1">IFERROR(__xludf.DUMMYFUNCTION("IFERROR(VLOOKUP(E181&amp;F181,IMPORTRANGE(""https://docs.google.com/spreadsheets/d/1Uw7-A9f9R21vMXxHZFNpYNeKFtG8_yji4HS352LGlSQ/edit?pli=1#gid=0"",""1_ACUM!A4:S""),11,FALSE))"),"")</f>
        <v/>
      </c>
      <c r="AW167" s="42" t="str">
        <f ca="1">IFERROR(__xludf.DUMMYFUNCTION("IFERROR(VLOOKUP(F181,IMPORTRANGE(""https://docs.google.com/spreadsheets/d/1Kvs4KS76FHFqLFIZfrDMff4kP08nblUkihrxltoGBjg/edit#gid=934712705"",""ESENCIAL!A6:BG""),15,FALSE))"),"")</f>
        <v/>
      </c>
      <c r="AX167" s="21" t="str">
        <f ca="1">IFERROR(__xludf.DUMMYFUNCTION("IFERROR(VLOOKUP(E181&amp;F181,IMPORTRANGE(""https://docs.google.com/spreadsheets/d/1Uw7-A9f9R21vMXxHZFNpYNeKFtG8_yji4HS352LGlSQ/edit?pli=1#gid=0"",""1_ACUM!A4:S""),12,FALSE))"),"")</f>
        <v/>
      </c>
      <c r="AY167" s="43" t="str">
        <f ca="1">IFERROR(__xludf.DUMMYFUNCTION("IFERROR(VLOOKUP(E181&amp;F181,IMPORTRANGE(""https://docs.google.com/spreadsheets/d/1Uw7-A9f9R21vMXxHZFNpYNeKFtG8_yji4HS352LGlSQ/edit?pli=1#gid=0"",""1_ACUM!A4:S""),13,FALSE))"),"")</f>
        <v/>
      </c>
      <c r="AZ167" s="43" t="str">
        <f ca="1">IFERROR(__xludf.DUMMYFUNCTION("IFERROR(VLOOKUP(E181&amp;F181,IMPORTRANGE(""https://docs.google.com/spreadsheets/d/1Uw7-A9f9R21vMXxHZFNpYNeKFtG8_yji4HS352LGlSQ/edit?pli=1#gid=0"",""1_ACUM!A4:S""),14,FALSE))"),"")</f>
        <v/>
      </c>
      <c r="BA167" s="43" t="str">
        <f ca="1">IFERROR(__xludf.DUMMYFUNCTION("IFERROR(VLOOKUP(E181&amp;F181,IMPORTRANGE(""https://docs.google.com/spreadsheets/d/1Uw7-A9f9R21vMXxHZFNpYNeKFtG8_yji4HS352LGlSQ/edit?pli=1#gid=0"",""1_ACUM!A4:S""),15,FALSE))"),"")</f>
        <v/>
      </c>
      <c r="BB167" s="43" t="str">
        <f ca="1">IFERROR(__xludf.DUMMYFUNCTION("IFERROR(VLOOKUP(E181&amp;F181,IMPORTRANGE(""https://docs.google.com/spreadsheets/d/1Uw7-A9f9R21vMXxHZFNpYNeKFtG8_yji4HS352LGlSQ/edit?pli=1#gid=0"",""1_ACUM!A4:S""),16,FALSE))"),"")</f>
        <v/>
      </c>
      <c r="BC167" s="43" t="str">
        <f ca="1">IFERROR(__xludf.DUMMYFUNCTION("IFERROR(VLOOKUP(E181&amp;F181,IMPORTRANGE(""https://docs.google.com/spreadsheets/d/1Uw7-A9f9R21vMXxHZFNpYNeKFtG8_yji4HS352LGlSQ/edit?pli=1#gid=0"",""1_ACUM!A4:S""),17,FALSE))"),"")</f>
        <v/>
      </c>
      <c r="BD167" s="44" t="str">
        <f ca="1">IFERROR(__xludf.DUMMYFUNCTION("IFERROR(VLOOKUP(E181&amp;F181,IMPORTRANGE(""https://docs.google.com/spreadsheets/d/1Uw7-A9f9R21vMXxHZFNpYNeKFtG8_yji4HS352LGlSQ/edit?pli=1#gid=0"",""1_ACUM!A4:S""),18,FALSE))"),"")</f>
        <v/>
      </c>
      <c r="BE167" s="44" t="str">
        <f ca="1">IFERROR(__xludf.DUMMYFUNCTION("IFERROR(VLOOKUP(E181&amp;F181,IMPORTRANGE(""https://docs.google.com/spreadsheets/d/1Uw7-A9f9R21vMXxHZFNpYNeKFtG8_yji4HS352LGlSQ/edit?pli=1#gid=0"",""1_ACUM!A4:S""),19,FALSE))"),"")</f>
        <v/>
      </c>
      <c r="BF167" s="98" t="str">
        <f ca="1">IFERROR(__xludf.DUMMYFUNCTION("IFERROR(VLOOKUP(F181,IMPORTRANGE(""https://docs.google.com/spreadsheets/d/1Kvs4KS76FHFqLFIZfrDMff4kP08nblUkihrxltoGBjg/edit#gid=934712705"",""ESENCIAL!A6:BG""),5,FALSE))"),"")</f>
        <v/>
      </c>
      <c r="BG167" s="98" t="str">
        <f t="shared" si="9"/>
        <v/>
      </c>
      <c r="BH167" s="99" t="str">
        <f t="shared" si="10"/>
        <v/>
      </c>
      <c r="BI167" s="100" t="str">
        <f ca="1">IFERROR(__xludf.DUMMYFUNCTION("IFERROR(VLOOKUP(F181,IMPORTRANGE(""https://docs.google.com/spreadsheets/d/1Kvs4KS76FHFqLFIZfrDMff4kP08nblUkihrxltoGBjg/edit#gid=934712705"",""ESENCIAL!A6:BG""),2,FALSE))"),"")</f>
        <v/>
      </c>
      <c r="BJ167" s="19" t="str">
        <f t="shared" si="11"/>
        <v/>
      </c>
      <c r="BK167" s="100"/>
      <c r="BL167" s="100"/>
    </row>
    <row r="168" spans="1:64" ht="15">
      <c r="A168" s="101"/>
      <c r="B168" s="101"/>
      <c r="G168" s="5" t="str">
        <f ca="1">IFERROR(__xludf.DUMMYFUNCTION("IFERROR(VLOOKUP(F182,IMPORTRANGE(""https://docs.google.com/spreadsheets/d/1Kvs4KS76FHFqLFIZfrDMff4kP08nblUkihrxltoGBjg/edit#gid=934712705"",""ESENCIAL!A6:BG""),3,FALSE))"),"")</f>
        <v/>
      </c>
      <c r="H168" s="5" t="str">
        <f ca="1">IFERROR(__xludf.DUMMYFUNCTION("IFERROR(VLOOKUP(F182,IMPORTRANGE(""https://docs.google.com/spreadsheets/d/1Kvs4KS76FHFqLFIZfrDMff4kP08nblUkihrxltoGBjg/edit#gid=934712705"",""ESENCIAL!A6:BG""),8,FALSE))"),"")</f>
        <v/>
      </c>
      <c r="L168" s="287"/>
      <c r="U168" s="40"/>
      <c r="AU168" s="41" t="str">
        <f t="shared" si="8"/>
        <v/>
      </c>
      <c r="AV168" s="5" t="str">
        <f ca="1">IFERROR(__xludf.DUMMYFUNCTION("IFERROR(VLOOKUP(E182&amp;F182,IMPORTRANGE(""https://docs.google.com/spreadsheets/d/1Uw7-A9f9R21vMXxHZFNpYNeKFtG8_yji4HS352LGlSQ/edit?pli=1#gid=0"",""1_ACUM!A4:S""),11,FALSE))"),"")</f>
        <v/>
      </c>
      <c r="AW168" s="42" t="str">
        <f ca="1">IFERROR(__xludf.DUMMYFUNCTION("IFERROR(VLOOKUP(F182,IMPORTRANGE(""https://docs.google.com/spreadsheets/d/1Kvs4KS76FHFqLFIZfrDMff4kP08nblUkihrxltoGBjg/edit#gid=934712705"",""ESENCIAL!A6:BG""),15,FALSE))"),"")</f>
        <v/>
      </c>
      <c r="AX168" s="21" t="str">
        <f ca="1">IFERROR(__xludf.DUMMYFUNCTION("IFERROR(VLOOKUP(E182&amp;F182,IMPORTRANGE(""https://docs.google.com/spreadsheets/d/1Uw7-A9f9R21vMXxHZFNpYNeKFtG8_yji4HS352LGlSQ/edit?pli=1#gid=0"",""1_ACUM!A4:S""),12,FALSE))"),"")</f>
        <v/>
      </c>
      <c r="AY168" s="43" t="str">
        <f ca="1">IFERROR(__xludf.DUMMYFUNCTION("IFERROR(VLOOKUP(E182&amp;F182,IMPORTRANGE(""https://docs.google.com/spreadsheets/d/1Uw7-A9f9R21vMXxHZFNpYNeKFtG8_yji4HS352LGlSQ/edit?pli=1#gid=0"",""1_ACUM!A4:S""),13,FALSE))"),"")</f>
        <v/>
      </c>
      <c r="AZ168" s="43" t="str">
        <f ca="1">IFERROR(__xludf.DUMMYFUNCTION("IFERROR(VLOOKUP(E182&amp;F182,IMPORTRANGE(""https://docs.google.com/spreadsheets/d/1Uw7-A9f9R21vMXxHZFNpYNeKFtG8_yji4HS352LGlSQ/edit?pli=1#gid=0"",""1_ACUM!A4:S""),14,FALSE))"),"")</f>
        <v/>
      </c>
      <c r="BA168" s="43" t="str">
        <f ca="1">IFERROR(__xludf.DUMMYFUNCTION("IFERROR(VLOOKUP(E182&amp;F182,IMPORTRANGE(""https://docs.google.com/spreadsheets/d/1Uw7-A9f9R21vMXxHZFNpYNeKFtG8_yji4HS352LGlSQ/edit?pli=1#gid=0"",""1_ACUM!A4:S""),15,FALSE))"),"")</f>
        <v/>
      </c>
      <c r="BB168" s="43" t="str">
        <f ca="1">IFERROR(__xludf.DUMMYFUNCTION("IFERROR(VLOOKUP(E182&amp;F182,IMPORTRANGE(""https://docs.google.com/spreadsheets/d/1Uw7-A9f9R21vMXxHZFNpYNeKFtG8_yji4HS352LGlSQ/edit?pli=1#gid=0"",""1_ACUM!A4:S""),16,FALSE))"),"")</f>
        <v/>
      </c>
      <c r="BC168" s="43" t="str">
        <f ca="1">IFERROR(__xludf.DUMMYFUNCTION("IFERROR(VLOOKUP(E182&amp;F182,IMPORTRANGE(""https://docs.google.com/spreadsheets/d/1Uw7-A9f9R21vMXxHZFNpYNeKFtG8_yji4HS352LGlSQ/edit?pli=1#gid=0"",""1_ACUM!A4:S""),17,FALSE))"),"")</f>
        <v/>
      </c>
      <c r="BD168" s="44" t="str">
        <f ca="1">IFERROR(__xludf.DUMMYFUNCTION("IFERROR(VLOOKUP(E182&amp;F182,IMPORTRANGE(""https://docs.google.com/spreadsheets/d/1Uw7-A9f9R21vMXxHZFNpYNeKFtG8_yji4HS352LGlSQ/edit?pli=1#gid=0"",""1_ACUM!A4:S""),18,FALSE))"),"")</f>
        <v/>
      </c>
      <c r="BE168" s="44" t="str">
        <f ca="1">IFERROR(__xludf.DUMMYFUNCTION("IFERROR(VLOOKUP(E182&amp;F182,IMPORTRANGE(""https://docs.google.com/spreadsheets/d/1Uw7-A9f9R21vMXxHZFNpYNeKFtG8_yji4HS352LGlSQ/edit?pli=1#gid=0"",""1_ACUM!A4:S""),19,FALSE))"),"")</f>
        <v/>
      </c>
      <c r="BF168" s="98" t="str">
        <f ca="1">IFERROR(__xludf.DUMMYFUNCTION("IFERROR(VLOOKUP(F182,IMPORTRANGE(""https://docs.google.com/spreadsheets/d/1Kvs4KS76FHFqLFIZfrDMff4kP08nblUkihrxltoGBjg/edit#gid=934712705"",""ESENCIAL!A6:BG""),5,FALSE))"),"")</f>
        <v/>
      </c>
      <c r="BG168" s="98" t="str">
        <f t="shared" si="9"/>
        <v/>
      </c>
      <c r="BH168" s="99" t="str">
        <f t="shared" si="10"/>
        <v/>
      </c>
      <c r="BI168" s="100" t="str">
        <f ca="1">IFERROR(__xludf.DUMMYFUNCTION("IFERROR(VLOOKUP(F182,IMPORTRANGE(""https://docs.google.com/spreadsheets/d/1Kvs4KS76FHFqLFIZfrDMff4kP08nblUkihrxltoGBjg/edit#gid=934712705"",""ESENCIAL!A6:BG""),2,FALSE))"),"")</f>
        <v/>
      </c>
      <c r="BJ168" s="19" t="str">
        <f t="shared" si="11"/>
        <v/>
      </c>
      <c r="BK168" s="100"/>
      <c r="BL168" s="100"/>
    </row>
    <row r="169" spans="1:64" ht="15">
      <c r="A169" s="101"/>
      <c r="B169" s="101"/>
      <c r="G169" s="5" t="str">
        <f ca="1">IFERROR(__xludf.DUMMYFUNCTION("IFERROR(VLOOKUP(F183,IMPORTRANGE(""https://docs.google.com/spreadsheets/d/1Kvs4KS76FHFqLFIZfrDMff4kP08nblUkihrxltoGBjg/edit#gid=934712705"",""ESENCIAL!A6:BG""),3,FALSE))"),"")</f>
        <v/>
      </c>
      <c r="H169" s="5" t="str">
        <f ca="1">IFERROR(__xludf.DUMMYFUNCTION("IFERROR(VLOOKUP(F183,IMPORTRANGE(""https://docs.google.com/spreadsheets/d/1Kvs4KS76FHFqLFIZfrDMff4kP08nblUkihrxltoGBjg/edit#gid=934712705"",""ESENCIAL!A6:BG""),8,FALSE))"),"")</f>
        <v/>
      </c>
      <c r="L169" s="287"/>
      <c r="U169" s="40"/>
      <c r="AU169" s="41" t="str">
        <f t="shared" si="8"/>
        <v/>
      </c>
      <c r="AV169" s="5" t="str">
        <f ca="1">IFERROR(__xludf.DUMMYFUNCTION("IFERROR(VLOOKUP(E183&amp;F183,IMPORTRANGE(""https://docs.google.com/spreadsheets/d/1Uw7-A9f9R21vMXxHZFNpYNeKFtG8_yji4HS352LGlSQ/edit?pli=1#gid=0"",""1_ACUM!A4:S""),11,FALSE))"),"")</f>
        <v/>
      </c>
      <c r="AW169" s="42" t="str">
        <f ca="1">IFERROR(__xludf.DUMMYFUNCTION("IFERROR(VLOOKUP(F183,IMPORTRANGE(""https://docs.google.com/spreadsheets/d/1Kvs4KS76FHFqLFIZfrDMff4kP08nblUkihrxltoGBjg/edit#gid=934712705"",""ESENCIAL!A6:BG""),15,FALSE))"),"")</f>
        <v/>
      </c>
      <c r="AX169" s="21" t="str">
        <f ca="1">IFERROR(__xludf.DUMMYFUNCTION("IFERROR(VLOOKUP(E183&amp;F183,IMPORTRANGE(""https://docs.google.com/spreadsheets/d/1Uw7-A9f9R21vMXxHZFNpYNeKFtG8_yji4HS352LGlSQ/edit?pli=1#gid=0"",""1_ACUM!A4:S""),12,FALSE))"),"")</f>
        <v/>
      </c>
      <c r="AY169" s="43" t="str">
        <f ca="1">IFERROR(__xludf.DUMMYFUNCTION("IFERROR(VLOOKUP(E183&amp;F183,IMPORTRANGE(""https://docs.google.com/spreadsheets/d/1Uw7-A9f9R21vMXxHZFNpYNeKFtG8_yji4HS352LGlSQ/edit?pli=1#gid=0"",""1_ACUM!A4:S""),13,FALSE))"),"")</f>
        <v/>
      </c>
      <c r="AZ169" s="43" t="str">
        <f ca="1">IFERROR(__xludf.DUMMYFUNCTION("IFERROR(VLOOKUP(E183&amp;F183,IMPORTRANGE(""https://docs.google.com/spreadsheets/d/1Uw7-A9f9R21vMXxHZFNpYNeKFtG8_yji4HS352LGlSQ/edit?pli=1#gid=0"",""1_ACUM!A4:S""),14,FALSE))"),"")</f>
        <v/>
      </c>
      <c r="BA169" s="43" t="str">
        <f ca="1">IFERROR(__xludf.DUMMYFUNCTION("IFERROR(VLOOKUP(E183&amp;F183,IMPORTRANGE(""https://docs.google.com/spreadsheets/d/1Uw7-A9f9R21vMXxHZFNpYNeKFtG8_yji4HS352LGlSQ/edit?pli=1#gid=0"",""1_ACUM!A4:S""),15,FALSE))"),"")</f>
        <v/>
      </c>
      <c r="BB169" s="43" t="str">
        <f ca="1">IFERROR(__xludf.DUMMYFUNCTION("IFERROR(VLOOKUP(E183&amp;F183,IMPORTRANGE(""https://docs.google.com/spreadsheets/d/1Uw7-A9f9R21vMXxHZFNpYNeKFtG8_yji4HS352LGlSQ/edit?pli=1#gid=0"",""1_ACUM!A4:S""),16,FALSE))"),"")</f>
        <v/>
      </c>
      <c r="BC169" s="43" t="str">
        <f ca="1">IFERROR(__xludf.DUMMYFUNCTION("IFERROR(VLOOKUP(E183&amp;F183,IMPORTRANGE(""https://docs.google.com/spreadsheets/d/1Uw7-A9f9R21vMXxHZFNpYNeKFtG8_yji4HS352LGlSQ/edit?pli=1#gid=0"",""1_ACUM!A4:S""),17,FALSE))"),"")</f>
        <v/>
      </c>
      <c r="BD169" s="44" t="str">
        <f ca="1">IFERROR(__xludf.DUMMYFUNCTION("IFERROR(VLOOKUP(E183&amp;F183,IMPORTRANGE(""https://docs.google.com/spreadsheets/d/1Uw7-A9f9R21vMXxHZFNpYNeKFtG8_yji4HS352LGlSQ/edit?pli=1#gid=0"",""1_ACUM!A4:S""),18,FALSE))"),"")</f>
        <v/>
      </c>
      <c r="BE169" s="44" t="str">
        <f ca="1">IFERROR(__xludf.DUMMYFUNCTION("IFERROR(VLOOKUP(E183&amp;F183,IMPORTRANGE(""https://docs.google.com/spreadsheets/d/1Uw7-A9f9R21vMXxHZFNpYNeKFtG8_yji4HS352LGlSQ/edit?pli=1#gid=0"",""1_ACUM!A4:S""),19,FALSE))"),"")</f>
        <v/>
      </c>
      <c r="BF169" s="98" t="str">
        <f ca="1">IFERROR(__xludf.DUMMYFUNCTION("IFERROR(VLOOKUP(F183,IMPORTRANGE(""https://docs.google.com/spreadsheets/d/1Kvs4KS76FHFqLFIZfrDMff4kP08nblUkihrxltoGBjg/edit#gid=934712705"",""ESENCIAL!A6:BG""),5,FALSE))"),"")</f>
        <v/>
      </c>
      <c r="BG169" s="98" t="str">
        <f t="shared" si="9"/>
        <v/>
      </c>
      <c r="BH169" s="99" t="str">
        <f t="shared" si="10"/>
        <v/>
      </c>
      <c r="BI169" s="100" t="str">
        <f ca="1">IFERROR(__xludf.DUMMYFUNCTION("IFERROR(VLOOKUP(F183,IMPORTRANGE(""https://docs.google.com/spreadsheets/d/1Kvs4KS76FHFqLFIZfrDMff4kP08nblUkihrxltoGBjg/edit#gid=934712705"",""ESENCIAL!A6:BG""),2,FALSE))"),"")</f>
        <v/>
      </c>
      <c r="BJ169" s="19" t="str">
        <f t="shared" si="11"/>
        <v/>
      </c>
      <c r="BK169" s="100"/>
      <c r="BL169" s="100"/>
    </row>
    <row r="170" spans="1:64" ht="15">
      <c r="A170" s="101"/>
      <c r="B170" s="101"/>
      <c r="G170" s="5" t="str">
        <f ca="1">IFERROR(__xludf.DUMMYFUNCTION("IFERROR(VLOOKUP(F184,IMPORTRANGE(""https://docs.google.com/spreadsheets/d/1Kvs4KS76FHFqLFIZfrDMff4kP08nblUkihrxltoGBjg/edit#gid=934712705"",""ESENCIAL!A6:BG""),3,FALSE))"),"")</f>
        <v/>
      </c>
      <c r="H170" s="5" t="str">
        <f ca="1">IFERROR(__xludf.DUMMYFUNCTION("IFERROR(VLOOKUP(F184,IMPORTRANGE(""https://docs.google.com/spreadsheets/d/1Kvs4KS76FHFqLFIZfrDMff4kP08nblUkihrxltoGBjg/edit#gid=934712705"",""ESENCIAL!A6:BG""),8,FALSE))"),"")</f>
        <v/>
      </c>
      <c r="L170" s="287"/>
      <c r="U170" s="40"/>
      <c r="AU170" s="41" t="str">
        <f t="shared" si="8"/>
        <v/>
      </c>
      <c r="AV170" s="5" t="str">
        <f ca="1">IFERROR(__xludf.DUMMYFUNCTION("IFERROR(VLOOKUP(E184&amp;F184,IMPORTRANGE(""https://docs.google.com/spreadsheets/d/1Uw7-A9f9R21vMXxHZFNpYNeKFtG8_yji4HS352LGlSQ/edit?pli=1#gid=0"",""1_ACUM!A4:S""),11,FALSE))"),"")</f>
        <v/>
      </c>
      <c r="AW170" s="42" t="str">
        <f ca="1">IFERROR(__xludf.DUMMYFUNCTION("IFERROR(VLOOKUP(F184,IMPORTRANGE(""https://docs.google.com/spreadsheets/d/1Kvs4KS76FHFqLFIZfrDMff4kP08nblUkihrxltoGBjg/edit#gid=934712705"",""ESENCIAL!A6:BG""),15,FALSE))"),"")</f>
        <v/>
      </c>
      <c r="AX170" s="21" t="str">
        <f ca="1">IFERROR(__xludf.DUMMYFUNCTION("IFERROR(VLOOKUP(E184&amp;F184,IMPORTRANGE(""https://docs.google.com/spreadsheets/d/1Uw7-A9f9R21vMXxHZFNpYNeKFtG8_yji4HS352LGlSQ/edit?pli=1#gid=0"",""1_ACUM!A4:S""),12,FALSE))"),"")</f>
        <v/>
      </c>
      <c r="AY170" s="43" t="str">
        <f ca="1">IFERROR(__xludf.DUMMYFUNCTION("IFERROR(VLOOKUP(E184&amp;F184,IMPORTRANGE(""https://docs.google.com/spreadsheets/d/1Uw7-A9f9R21vMXxHZFNpYNeKFtG8_yji4HS352LGlSQ/edit?pli=1#gid=0"",""1_ACUM!A4:S""),13,FALSE))"),"")</f>
        <v/>
      </c>
      <c r="AZ170" s="43" t="str">
        <f ca="1">IFERROR(__xludf.DUMMYFUNCTION("IFERROR(VLOOKUP(E184&amp;F184,IMPORTRANGE(""https://docs.google.com/spreadsheets/d/1Uw7-A9f9R21vMXxHZFNpYNeKFtG8_yji4HS352LGlSQ/edit?pli=1#gid=0"",""1_ACUM!A4:S""),14,FALSE))"),"")</f>
        <v/>
      </c>
      <c r="BA170" s="43" t="str">
        <f ca="1">IFERROR(__xludf.DUMMYFUNCTION("IFERROR(VLOOKUP(E184&amp;F184,IMPORTRANGE(""https://docs.google.com/spreadsheets/d/1Uw7-A9f9R21vMXxHZFNpYNeKFtG8_yji4HS352LGlSQ/edit?pli=1#gid=0"",""1_ACUM!A4:S""),15,FALSE))"),"")</f>
        <v/>
      </c>
      <c r="BB170" s="43" t="str">
        <f ca="1">IFERROR(__xludf.DUMMYFUNCTION("IFERROR(VLOOKUP(E184&amp;F184,IMPORTRANGE(""https://docs.google.com/spreadsheets/d/1Uw7-A9f9R21vMXxHZFNpYNeKFtG8_yji4HS352LGlSQ/edit?pli=1#gid=0"",""1_ACUM!A4:S""),16,FALSE))"),"")</f>
        <v/>
      </c>
      <c r="BC170" s="43" t="str">
        <f ca="1">IFERROR(__xludf.DUMMYFUNCTION("IFERROR(VLOOKUP(E184&amp;F184,IMPORTRANGE(""https://docs.google.com/spreadsheets/d/1Uw7-A9f9R21vMXxHZFNpYNeKFtG8_yji4HS352LGlSQ/edit?pli=1#gid=0"",""1_ACUM!A4:S""),17,FALSE))"),"")</f>
        <v/>
      </c>
      <c r="BD170" s="44" t="str">
        <f ca="1">IFERROR(__xludf.DUMMYFUNCTION("IFERROR(VLOOKUP(E184&amp;F184,IMPORTRANGE(""https://docs.google.com/spreadsheets/d/1Uw7-A9f9R21vMXxHZFNpYNeKFtG8_yji4HS352LGlSQ/edit?pli=1#gid=0"",""1_ACUM!A4:S""),18,FALSE))"),"")</f>
        <v/>
      </c>
      <c r="BE170" s="44" t="str">
        <f ca="1">IFERROR(__xludf.DUMMYFUNCTION("IFERROR(VLOOKUP(E184&amp;F184,IMPORTRANGE(""https://docs.google.com/spreadsheets/d/1Uw7-A9f9R21vMXxHZFNpYNeKFtG8_yji4HS352LGlSQ/edit?pli=1#gid=0"",""1_ACUM!A4:S""),19,FALSE))"),"")</f>
        <v/>
      </c>
      <c r="BF170" s="98" t="str">
        <f ca="1">IFERROR(__xludf.DUMMYFUNCTION("IFERROR(VLOOKUP(F184,IMPORTRANGE(""https://docs.google.com/spreadsheets/d/1Kvs4KS76FHFqLFIZfrDMff4kP08nblUkihrxltoGBjg/edit#gid=934712705"",""ESENCIAL!A6:BG""),5,FALSE))"),"")</f>
        <v/>
      </c>
      <c r="BG170" s="98" t="str">
        <f t="shared" si="9"/>
        <v/>
      </c>
      <c r="BH170" s="99" t="str">
        <f t="shared" si="10"/>
        <v/>
      </c>
      <c r="BI170" s="100" t="str">
        <f ca="1">IFERROR(__xludf.DUMMYFUNCTION("IFERROR(VLOOKUP(F184,IMPORTRANGE(""https://docs.google.com/spreadsheets/d/1Kvs4KS76FHFqLFIZfrDMff4kP08nblUkihrxltoGBjg/edit#gid=934712705"",""ESENCIAL!A6:BG""),2,FALSE))"),"")</f>
        <v/>
      </c>
      <c r="BJ170" s="19" t="str">
        <f t="shared" si="11"/>
        <v/>
      </c>
      <c r="BK170" s="100"/>
      <c r="BL170" s="100"/>
    </row>
    <row r="171" spans="1:64" ht="15">
      <c r="A171" s="101"/>
      <c r="B171" s="101"/>
      <c r="G171" s="5" t="str">
        <f ca="1">IFERROR(__xludf.DUMMYFUNCTION("IFERROR(VLOOKUP(F185,IMPORTRANGE(""https://docs.google.com/spreadsheets/d/1Kvs4KS76FHFqLFIZfrDMff4kP08nblUkihrxltoGBjg/edit#gid=934712705"",""ESENCIAL!A6:BG""),3,FALSE))"),"")</f>
        <v/>
      </c>
      <c r="H171" s="5" t="str">
        <f ca="1">IFERROR(__xludf.DUMMYFUNCTION("IFERROR(VLOOKUP(F185,IMPORTRANGE(""https://docs.google.com/spreadsheets/d/1Kvs4KS76FHFqLFIZfrDMff4kP08nblUkihrxltoGBjg/edit#gid=934712705"",""ESENCIAL!A6:BG""),8,FALSE))"),"")</f>
        <v/>
      </c>
      <c r="L171" s="287"/>
      <c r="U171" s="40"/>
      <c r="AU171" s="41" t="str">
        <f t="shared" si="8"/>
        <v/>
      </c>
      <c r="AV171" s="5" t="str">
        <f ca="1">IFERROR(__xludf.DUMMYFUNCTION("IFERROR(VLOOKUP(E185&amp;F185,IMPORTRANGE(""https://docs.google.com/spreadsheets/d/1Uw7-A9f9R21vMXxHZFNpYNeKFtG8_yji4HS352LGlSQ/edit?pli=1#gid=0"",""1_ACUM!A4:S""),11,FALSE))"),"")</f>
        <v/>
      </c>
      <c r="AW171" s="42" t="str">
        <f ca="1">IFERROR(__xludf.DUMMYFUNCTION("IFERROR(VLOOKUP(F185,IMPORTRANGE(""https://docs.google.com/spreadsheets/d/1Kvs4KS76FHFqLFIZfrDMff4kP08nblUkihrxltoGBjg/edit#gid=934712705"",""ESENCIAL!A6:BG""),15,FALSE))"),"")</f>
        <v/>
      </c>
      <c r="AX171" s="21" t="str">
        <f ca="1">IFERROR(__xludf.DUMMYFUNCTION("IFERROR(VLOOKUP(E185&amp;F185,IMPORTRANGE(""https://docs.google.com/spreadsheets/d/1Uw7-A9f9R21vMXxHZFNpYNeKFtG8_yji4HS352LGlSQ/edit?pli=1#gid=0"",""1_ACUM!A4:S""),12,FALSE))"),"")</f>
        <v/>
      </c>
      <c r="AY171" s="43" t="str">
        <f ca="1">IFERROR(__xludf.DUMMYFUNCTION("IFERROR(VLOOKUP(E185&amp;F185,IMPORTRANGE(""https://docs.google.com/spreadsheets/d/1Uw7-A9f9R21vMXxHZFNpYNeKFtG8_yji4HS352LGlSQ/edit?pli=1#gid=0"",""1_ACUM!A4:S""),13,FALSE))"),"")</f>
        <v/>
      </c>
      <c r="AZ171" s="43" t="str">
        <f ca="1">IFERROR(__xludf.DUMMYFUNCTION("IFERROR(VLOOKUP(E185&amp;F185,IMPORTRANGE(""https://docs.google.com/spreadsheets/d/1Uw7-A9f9R21vMXxHZFNpYNeKFtG8_yji4HS352LGlSQ/edit?pli=1#gid=0"",""1_ACUM!A4:S""),14,FALSE))"),"")</f>
        <v/>
      </c>
      <c r="BA171" s="43" t="str">
        <f ca="1">IFERROR(__xludf.DUMMYFUNCTION("IFERROR(VLOOKUP(E185&amp;F185,IMPORTRANGE(""https://docs.google.com/spreadsheets/d/1Uw7-A9f9R21vMXxHZFNpYNeKFtG8_yji4HS352LGlSQ/edit?pli=1#gid=0"",""1_ACUM!A4:S""),15,FALSE))"),"")</f>
        <v/>
      </c>
      <c r="BB171" s="43" t="str">
        <f ca="1">IFERROR(__xludf.DUMMYFUNCTION("IFERROR(VLOOKUP(E185&amp;F185,IMPORTRANGE(""https://docs.google.com/spreadsheets/d/1Uw7-A9f9R21vMXxHZFNpYNeKFtG8_yji4HS352LGlSQ/edit?pli=1#gid=0"",""1_ACUM!A4:S""),16,FALSE))"),"")</f>
        <v/>
      </c>
      <c r="BC171" s="43" t="str">
        <f ca="1">IFERROR(__xludf.DUMMYFUNCTION("IFERROR(VLOOKUP(E185&amp;F185,IMPORTRANGE(""https://docs.google.com/spreadsheets/d/1Uw7-A9f9R21vMXxHZFNpYNeKFtG8_yji4HS352LGlSQ/edit?pli=1#gid=0"",""1_ACUM!A4:S""),17,FALSE))"),"")</f>
        <v/>
      </c>
      <c r="BD171" s="44" t="str">
        <f ca="1">IFERROR(__xludf.DUMMYFUNCTION("IFERROR(VLOOKUP(E185&amp;F185,IMPORTRANGE(""https://docs.google.com/spreadsheets/d/1Uw7-A9f9R21vMXxHZFNpYNeKFtG8_yji4HS352LGlSQ/edit?pli=1#gid=0"",""1_ACUM!A4:S""),18,FALSE))"),"")</f>
        <v/>
      </c>
      <c r="BE171" s="44" t="str">
        <f ca="1">IFERROR(__xludf.DUMMYFUNCTION("IFERROR(VLOOKUP(E185&amp;F185,IMPORTRANGE(""https://docs.google.com/spreadsheets/d/1Uw7-A9f9R21vMXxHZFNpYNeKFtG8_yji4HS352LGlSQ/edit?pli=1#gid=0"",""1_ACUM!A4:S""),19,FALSE))"),"")</f>
        <v/>
      </c>
      <c r="BF171" s="98" t="str">
        <f ca="1">IFERROR(__xludf.DUMMYFUNCTION("IFERROR(VLOOKUP(F185,IMPORTRANGE(""https://docs.google.com/spreadsheets/d/1Kvs4KS76FHFqLFIZfrDMff4kP08nblUkihrxltoGBjg/edit#gid=934712705"",""ESENCIAL!A6:BG""),5,FALSE))"),"")</f>
        <v/>
      </c>
      <c r="BG171" s="98" t="str">
        <f t="shared" si="9"/>
        <v/>
      </c>
      <c r="BH171" s="99" t="str">
        <f t="shared" si="10"/>
        <v/>
      </c>
      <c r="BI171" s="100" t="str">
        <f ca="1">IFERROR(__xludf.DUMMYFUNCTION("IFERROR(VLOOKUP(F185,IMPORTRANGE(""https://docs.google.com/spreadsheets/d/1Kvs4KS76FHFqLFIZfrDMff4kP08nblUkihrxltoGBjg/edit#gid=934712705"",""ESENCIAL!A6:BG""),2,FALSE))"),"")</f>
        <v/>
      </c>
      <c r="BJ171" s="19" t="str">
        <f t="shared" si="11"/>
        <v/>
      </c>
      <c r="BK171" s="100"/>
      <c r="BL171" s="100"/>
    </row>
    <row r="172" spans="1:64" ht="15">
      <c r="A172" s="101"/>
      <c r="B172" s="101"/>
      <c r="G172" s="5" t="str">
        <f ca="1">IFERROR(__xludf.DUMMYFUNCTION("IFERROR(VLOOKUP(F186,IMPORTRANGE(""https://docs.google.com/spreadsheets/d/1Kvs4KS76FHFqLFIZfrDMff4kP08nblUkihrxltoGBjg/edit#gid=934712705"",""ESENCIAL!A6:BG""),3,FALSE))"),"")</f>
        <v/>
      </c>
      <c r="H172" s="5" t="str">
        <f ca="1">IFERROR(__xludf.DUMMYFUNCTION("IFERROR(VLOOKUP(F186,IMPORTRANGE(""https://docs.google.com/spreadsheets/d/1Kvs4KS76FHFqLFIZfrDMff4kP08nblUkihrxltoGBjg/edit#gid=934712705"",""ESENCIAL!A6:BG""),8,FALSE))"),"")</f>
        <v/>
      </c>
      <c r="L172" s="287"/>
      <c r="U172" s="40"/>
      <c r="AU172" s="41" t="str">
        <f t="shared" si="8"/>
        <v/>
      </c>
      <c r="AV172" s="5" t="str">
        <f ca="1">IFERROR(__xludf.DUMMYFUNCTION("IFERROR(VLOOKUP(E186&amp;F186,IMPORTRANGE(""https://docs.google.com/spreadsheets/d/1Uw7-A9f9R21vMXxHZFNpYNeKFtG8_yji4HS352LGlSQ/edit?pli=1#gid=0"",""1_ACUM!A4:S""),11,FALSE))"),"")</f>
        <v/>
      </c>
      <c r="AW172" s="42" t="str">
        <f ca="1">IFERROR(__xludf.DUMMYFUNCTION("IFERROR(VLOOKUP(F186,IMPORTRANGE(""https://docs.google.com/spreadsheets/d/1Kvs4KS76FHFqLFIZfrDMff4kP08nblUkihrxltoGBjg/edit#gid=934712705"",""ESENCIAL!A6:BG""),15,FALSE))"),"")</f>
        <v/>
      </c>
      <c r="AX172" s="21" t="str">
        <f ca="1">IFERROR(__xludf.DUMMYFUNCTION("IFERROR(VLOOKUP(E186&amp;F186,IMPORTRANGE(""https://docs.google.com/spreadsheets/d/1Uw7-A9f9R21vMXxHZFNpYNeKFtG8_yji4HS352LGlSQ/edit?pli=1#gid=0"",""1_ACUM!A4:S""),12,FALSE))"),"")</f>
        <v/>
      </c>
      <c r="AY172" s="43" t="str">
        <f ca="1">IFERROR(__xludf.DUMMYFUNCTION("IFERROR(VLOOKUP(E186&amp;F186,IMPORTRANGE(""https://docs.google.com/spreadsheets/d/1Uw7-A9f9R21vMXxHZFNpYNeKFtG8_yji4HS352LGlSQ/edit?pli=1#gid=0"",""1_ACUM!A4:S""),13,FALSE))"),"")</f>
        <v/>
      </c>
      <c r="AZ172" s="43" t="str">
        <f ca="1">IFERROR(__xludf.DUMMYFUNCTION("IFERROR(VLOOKUP(E186&amp;F186,IMPORTRANGE(""https://docs.google.com/spreadsheets/d/1Uw7-A9f9R21vMXxHZFNpYNeKFtG8_yji4HS352LGlSQ/edit?pli=1#gid=0"",""1_ACUM!A4:S""),14,FALSE))"),"")</f>
        <v/>
      </c>
      <c r="BA172" s="43" t="str">
        <f ca="1">IFERROR(__xludf.DUMMYFUNCTION("IFERROR(VLOOKUP(E186&amp;F186,IMPORTRANGE(""https://docs.google.com/spreadsheets/d/1Uw7-A9f9R21vMXxHZFNpYNeKFtG8_yji4HS352LGlSQ/edit?pli=1#gid=0"",""1_ACUM!A4:S""),15,FALSE))"),"")</f>
        <v/>
      </c>
      <c r="BB172" s="43" t="str">
        <f ca="1">IFERROR(__xludf.DUMMYFUNCTION("IFERROR(VLOOKUP(E186&amp;F186,IMPORTRANGE(""https://docs.google.com/spreadsheets/d/1Uw7-A9f9R21vMXxHZFNpYNeKFtG8_yji4HS352LGlSQ/edit?pli=1#gid=0"",""1_ACUM!A4:S""),16,FALSE))"),"")</f>
        <v/>
      </c>
      <c r="BC172" s="43" t="str">
        <f ca="1">IFERROR(__xludf.DUMMYFUNCTION("IFERROR(VLOOKUP(E186&amp;F186,IMPORTRANGE(""https://docs.google.com/spreadsheets/d/1Uw7-A9f9R21vMXxHZFNpYNeKFtG8_yji4HS352LGlSQ/edit?pli=1#gid=0"",""1_ACUM!A4:S""),17,FALSE))"),"")</f>
        <v/>
      </c>
      <c r="BD172" s="44" t="str">
        <f ca="1">IFERROR(__xludf.DUMMYFUNCTION("IFERROR(VLOOKUP(E186&amp;F186,IMPORTRANGE(""https://docs.google.com/spreadsheets/d/1Uw7-A9f9R21vMXxHZFNpYNeKFtG8_yji4HS352LGlSQ/edit?pli=1#gid=0"",""1_ACUM!A4:S""),18,FALSE))"),"")</f>
        <v/>
      </c>
      <c r="BE172" s="44" t="str">
        <f ca="1">IFERROR(__xludf.DUMMYFUNCTION("IFERROR(VLOOKUP(E186&amp;F186,IMPORTRANGE(""https://docs.google.com/spreadsheets/d/1Uw7-A9f9R21vMXxHZFNpYNeKFtG8_yji4HS352LGlSQ/edit?pli=1#gid=0"",""1_ACUM!A4:S""),19,FALSE))"),"")</f>
        <v/>
      </c>
      <c r="BF172" s="98" t="str">
        <f ca="1">IFERROR(__xludf.DUMMYFUNCTION("IFERROR(VLOOKUP(F186,IMPORTRANGE(""https://docs.google.com/spreadsheets/d/1Kvs4KS76FHFqLFIZfrDMff4kP08nblUkihrxltoGBjg/edit#gid=934712705"",""ESENCIAL!A6:BG""),5,FALSE))"),"")</f>
        <v/>
      </c>
      <c r="BG172" s="98" t="str">
        <f t="shared" si="9"/>
        <v/>
      </c>
      <c r="BH172" s="99" t="str">
        <f t="shared" si="10"/>
        <v/>
      </c>
      <c r="BI172" s="100" t="str">
        <f ca="1">IFERROR(__xludf.DUMMYFUNCTION("IFERROR(VLOOKUP(F186,IMPORTRANGE(""https://docs.google.com/spreadsheets/d/1Kvs4KS76FHFqLFIZfrDMff4kP08nblUkihrxltoGBjg/edit#gid=934712705"",""ESENCIAL!A6:BG""),2,FALSE))"),"")</f>
        <v/>
      </c>
      <c r="BJ172" s="19" t="str">
        <f t="shared" si="11"/>
        <v/>
      </c>
      <c r="BK172" s="100"/>
      <c r="BL172" s="100"/>
    </row>
    <row r="173" spans="1:64" ht="15">
      <c r="A173" s="102"/>
      <c r="B173" s="101"/>
      <c r="G173" s="5" t="str">
        <f ca="1">IFERROR(__xludf.DUMMYFUNCTION("IFERROR(VLOOKUP(F187,IMPORTRANGE(""https://docs.google.com/spreadsheets/d/1Kvs4KS76FHFqLFIZfrDMff4kP08nblUkihrxltoGBjg/edit#gid=934712705"",""ESENCIAL!A6:BG""),3,FALSE))"),"")</f>
        <v/>
      </c>
      <c r="H173" s="5" t="str">
        <f ca="1">IFERROR(__xludf.DUMMYFUNCTION("IFERROR(VLOOKUP(F187,IMPORTRANGE(""https://docs.google.com/spreadsheets/d/1Kvs4KS76FHFqLFIZfrDMff4kP08nblUkihrxltoGBjg/edit#gid=934712705"",""ESENCIAL!A6:BG""),8,FALSE))"),"")</f>
        <v/>
      </c>
      <c r="L173" s="287"/>
      <c r="U173" s="40"/>
      <c r="AU173" s="41" t="str">
        <f t="shared" si="8"/>
        <v/>
      </c>
      <c r="AV173" s="5" t="str">
        <f ca="1">IFERROR(__xludf.DUMMYFUNCTION("IFERROR(VLOOKUP(E187&amp;F187,IMPORTRANGE(""https://docs.google.com/spreadsheets/d/1Uw7-A9f9R21vMXxHZFNpYNeKFtG8_yji4HS352LGlSQ/edit?pli=1#gid=0"",""1_ACUM!A4:S""),11,FALSE))"),"")</f>
        <v/>
      </c>
      <c r="AW173" s="42" t="str">
        <f ca="1">IFERROR(__xludf.DUMMYFUNCTION("IFERROR(VLOOKUP(F187,IMPORTRANGE(""https://docs.google.com/spreadsheets/d/1Kvs4KS76FHFqLFIZfrDMff4kP08nblUkihrxltoGBjg/edit#gid=934712705"",""ESENCIAL!A6:BG""),15,FALSE))"),"")</f>
        <v/>
      </c>
      <c r="AX173" s="21" t="str">
        <f ca="1">IFERROR(__xludf.DUMMYFUNCTION("IFERROR(VLOOKUP(E187&amp;F187,IMPORTRANGE(""https://docs.google.com/spreadsheets/d/1Uw7-A9f9R21vMXxHZFNpYNeKFtG8_yji4HS352LGlSQ/edit?pli=1#gid=0"",""1_ACUM!A4:S""),12,FALSE))"),"")</f>
        <v/>
      </c>
      <c r="AY173" s="43" t="str">
        <f ca="1">IFERROR(__xludf.DUMMYFUNCTION("IFERROR(VLOOKUP(E187&amp;F187,IMPORTRANGE(""https://docs.google.com/spreadsheets/d/1Uw7-A9f9R21vMXxHZFNpYNeKFtG8_yji4HS352LGlSQ/edit?pli=1#gid=0"",""1_ACUM!A4:S""),13,FALSE))"),"")</f>
        <v/>
      </c>
      <c r="AZ173" s="43" t="str">
        <f ca="1">IFERROR(__xludf.DUMMYFUNCTION("IFERROR(VLOOKUP(E187&amp;F187,IMPORTRANGE(""https://docs.google.com/spreadsheets/d/1Uw7-A9f9R21vMXxHZFNpYNeKFtG8_yji4HS352LGlSQ/edit?pli=1#gid=0"",""1_ACUM!A4:S""),14,FALSE))"),"")</f>
        <v/>
      </c>
      <c r="BA173" s="43" t="str">
        <f ca="1">IFERROR(__xludf.DUMMYFUNCTION("IFERROR(VLOOKUP(E187&amp;F187,IMPORTRANGE(""https://docs.google.com/spreadsheets/d/1Uw7-A9f9R21vMXxHZFNpYNeKFtG8_yji4HS352LGlSQ/edit?pli=1#gid=0"",""1_ACUM!A4:S""),15,FALSE))"),"")</f>
        <v/>
      </c>
      <c r="BB173" s="43" t="str">
        <f ca="1">IFERROR(__xludf.DUMMYFUNCTION("IFERROR(VLOOKUP(E187&amp;F187,IMPORTRANGE(""https://docs.google.com/spreadsheets/d/1Uw7-A9f9R21vMXxHZFNpYNeKFtG8_yji4HS352LGlSQ/edit?pli=1#gid=0"",""1_ACUM!A4:S""),16,FALSE))"),"")</f>
        <v/>
      </c>
      <c r="BC173" s="43" t="str">
        <f ca="1">IFERROR(__xludf.DUMMYFUNCTION("IFERROR(VLOOKUP(E187&amp;F187,IMPORTRANGE(""https://docs.google.com/spreadsheets/d/1Uw7-A9f9R21vMXxHZFNpYNeKFtG8_yji4HS352LGlSQ/edit?pli=1#gid=0"",""1_ACUM!A4:S""),17,FALSE))"),"")</f>
        <v/>
      </c>
      <c r="BD173" s="44" t="str">
        <f ca="1">IFERROR(__xludf.DUMMYFUNCTION("IFERROR(VLOOKUP(E187&amp;F187,IMPORTRANGE(""https://docs.google.com/spreadsheets/d/1Uw7-A9f9R21vMXxHZFNpYNeKFtG8_yji4HS352LGlSQ/edit?pli=1#gid=0"",""1_ACUM!A4:S""),18,FALSE))"),"")</f>
        <v/>
      </c>
      <c r="BE173" s="44" t="str">
        <f ca="1">IFERROR(__xludf.DUMMYFUNCTION("IFERROR(VLOOKUP(E187&amp;F187,IMPORTRANGE(""https://docs.google.com/spreadsheets/d/1Uw7-A9f9R21vMXxHZFNpYNeKFtG8_yji4HS352LGlSQ/edit?pli=1#gid=0"",""1_ACUM!A4:S""),19,FALSE))"),"")</f>
        <v/>
      </c>
      <c r="BF173" s="98" t="str">
        <f ca="1">IFERROR(__xludf.DUMMYFUNCTION("IFERROR(VLOOKUP(F187,IMPORTRANGE(""https://docs.google.com/spreadsheets/d/1Kvs4KS76FHFqLFIZfrDMff4kP08nblUkihrxltoGBjg/edit#gid=934712705"",""ESENCIAL!A6:BG""),5,FALSE))"),"")</f>
        <v/>
      </c>
      <c r="BG173" s="98" t="str">
        <f t="shared" si="9"/>
        <v/>
      </c>
      <c r="BH173" s="99" t="str">
        <f t="shared" si="10"/>
        <v/>
      </c>
      <c r="BI173" s="100" t="str">
        <f ca="1">IFERROR(__xludf.DUMMYFUNCTION("IFERROR(VLOOKUP(F187,IMPORTRANGE(""https://docs.google.com/spreadsheets/d/1Kvs4KS76FHFqLFIZfrDMff4kP08nblUkihrxltoGBjg/edit#gid=934712705"",""ESENCIAL!A6:BG""),2,FALSE))"),"")</f>
        <v/>
      </c>
      <c r="BJ173" s="19" t="str">
        <f t="shared" si="11"/>
        <v/>
      </c>
      <c r="BK173" s="100"/>
      <c r="BL173" s="100"/>
    </row>
    <row r="174" spans="1:64" ht="15">
      <c r="A174" s="101"/>
      <c r="B174" s="101"/>
      <c r="G174" s="5" t="str">
        <f ca="1">IFERROR(__xludf.DUMMYFUNCTION("IFERROR(VLOOKUP(F188,IMPORTRANGE(""https://docs.google.com/spreadsheets/d/1Kvs4KS76FHFqLFIZfrDMff4kP08nblUkihrxltoGBjg/edit#gid=934712705"",""ESENCIAL!A6:BG""),3,FALSE))"),"")</f>
        <v/>
      </c>
      <c r="H174" s="5" t="str">
        <f ca="1">IFERROR(__xludf.DUMMYFUNCTION("IFERROR(VLOOKUP(F188,IMPORTRANGE(""https://docs.google.com/spreadsheets/d/1Kvs4KS76FHFqLFIZfrDMff4kP08nblUkihrxltoGBjg/edit#gid=934712705"",""ESENCIAL!A6:BG""),8,FALSE))"),"")</f>
        <v/>
      </c>
      <c r="L174" s="287"/>
      <c r="U174" s="40"/>
      <c r="AU174" s="41" t="str">
        <f t="shared" si="8"/>
        <v/>
      </c>
      <c r="AV174" s="5" t="str">
        <f ca="1">IFERROR(__xludf.DUMMYFUNCTION("IFERROR(VLOOKUP(E188&amp;F188,IMPORTRANGE(""https://docs.google.com/spreadsheets/d/1Uw7-A9f9R21vMXxHZFNpYNeKFtG8_yji4HS352LGlSQ/edit?pli=1#gid=0"",""1_ACUM!A4:S""),11,FALSE))"),"")</f>
        <v/>
      </c>
      <c r="AW174" s="42" t="str">
        <f ca="1">IFERROR(__xludf.DUMMYFUNCTION("IFERROR(VLOOKUP(F188,IMPORTRANGE(""https://docs.google.com/spreadsheets/d/1Kvs4KS76FHFqLFIZfrDMff4kP08nblUkihrxltoGBjg/edit#gid=934712705"",""ESENCIAL!A6:BG""),15,FALSE))"),"")</f>
        <v/>
      </c>
      <c r="AX174" s="21" t="str">
        <f ca="1">IFERROR(__xludf.DUMMYFUNCTION("IFERROR(VLOOKUP(E188&amp;F188,IMPORTRANGE(""https://docs.google.com/spreadsheets/d/1Uw7-A9f9R21vMXxHZFNpYNeKFtG8_yji4HS352LGlSQ/edit?pli=1#gid=0"",""1_ACUM!A4:S""),12,FALSE))"),"")</f>
        <v/>
      </c>
      <c r="AY174" s="43" t="str">
        <f ca="1">IFERROR(__xludf.DUMMYFUNCTION("IFERROR(VLOOKUP(E188&amp;F188,IMPORTRANGE(""https://docs.google.com/spreadsheets/d/1Uw7-A9f9R21vMXxHZFNpYNeKFtG8_yji4HS352LGlSQ/edit?pli=1#gid=0"",""1_ACUM!A4:S""),13,FALSE))"),"")</f>
        <v/>
      </c>
      <c r="AZ174" s="43" t="str">
        <f ca="1">IFERROR(__xludf.DUMMYFUNCTION("IFERROR(VLOOKUP(E188&amp;F188,IMPORTRANGE(""https://docs.google.com/spreadsheets/d/1Uw7-A9f9R21vMXxHZFNpYNeKFtG8_yji4HS352LGlSQ/edit?pli=1#gid=0"",""1_ACUM!A4:S""),14,FALSE))"),"")</f>
        <v/>
      </c>
      <c r="BA174" s="43" t="str">
        <f ca="1">IFERROR(__xludf.DUMMYFUNCTION("IFERROR(VLOOKUP(E188&amp;F188,IMPORTRANGE(""https://docs.google.com/spreadsheets/d/1Uw7-A9f9R21vMXxHZFNpYNeKFtG8_yji4HS352LGlSQ/edit?pli=1#gid=0"",""1_ACUM!A4:S""),15,FALSE))"),"")</f>
        <v/>
      </c>
      <c r="BB174" s="43" t="str">
        <f ca="1">IFERROR(__xludf.DUMMYFUNCTION("IFERROR(VLOOKUP(E188&amp;F188,IMPORTRANGE(""https://docs.google.com/spreadsheets/d/1Uw7-A9f9R21vMXxHZFNpYNeKFtG8_yji4HS352LGlSQ/edit?pli=1#gid=0"",""1_ACUM!A4:S""),16,FALSE))"),"")</f>
        <v/>
      </c>
      <c r="BC174" s="43" t="str">
        <f ca="1">IFERROR(__xludf.DUMMYFUNCTION("IFERROR(VLOOKUP(E188&amp;F188,IMPORTRANGE(""https://docs.google.com/spreadsheets/d/1Uw7-A9f9R21vMXxHZFNpYNeKFtG8_yji4HS352LGlSQ/edit?pli=1#gid=0"",""1_ACUM!A4:S""),17,FALSE))"),"")</f>
        <v/>
      </c>
      <c r="BD174" s="44" t="str">
        <f ca="1">IFERROR(__xludf.DUMMYFUNCTION("IFERROR(VLOOKUP(E188&amp;F188,IMPORTRANGE(""https://docs.google.com/spreadsheets/d/1Uw7-A9f9R21vMXxHZFNpYNeKFtG8_yji4HS352LGlSQ/edit?pli=1#gid=0"",""1_ACUM!A4:S""),18,FALSE))"),"")</f>
        <v/>
      </c>
      <c r="BE174" s="44" t="str">
        <f ca="1">IFERROR(__xludf.DUMMYFUNCTION("IFERROR(VLOOKUP(E188&amp;F188,IMPORTRANGE(""https://docs.google.com/spreadsheets/d/1Uw7-A9f9R21vMXxHZFNpYNeKFtG8_yji4HS352LGlSQ/edit?pli=1#gid=0"",""1_ACUM!A4:S""),19,FALSE))"),"")</f>
        <v/>
      </c>
      <c r="BF174" s="98" t="str">
        <f ca="1">IFERROR(__xludf.DUMMYFUNCTION("IFERROR(VLOOKUP(F188,IMPORTRANGE(""https://docs.google.com/spreadsheets/d/1Kvs4KS76FHFqLFIZfrDMff4kP08nblUkihrxltoGBjg/edit#gid=934712705"",""ESENCIAL!A6:BG""),5,FALSE))"),"")</f>
        <v/>
      </c>
      <c r="BG174" s="98" t="str">
        <f t="shared" si="9"/>
        <v/>
      </c>
      <c r="BH174" s="99" t="str">
        <f t="shared" si="10"/>
        <v/>
      </c>
      <c r="BI174" s="100" t="str">
        <f ca="1">IFERROR(__xludf.DUMMYFUNCTION("IFERROR(VLOOKUP(F188,IMPORTRANGE(""https://docs.google.com/spreadsheets/d/1Kvs4KS76FHFqLFIZfrDMff4kP08nblUkihrxltoGBjg/edit#gid=934712705"",""ESENCIAL!A6:BG""),2,FALSE))"),"")</f>
        <v/>
      </c>
      <c r="BJ174" s="19" t="str">
        <f t="shared" si="11"/>
        <v/>
      </c>
      <c r="BK174" s="100"/>
      <c r="BL174" s="100"/>
    </row>
    <row r="175" spans="1:64" ht="15">
      <c r="A175" s="101"/>
      <c r="B175" s="101"/>
      <c r="G175" s="5" t="str">
        <f ca="1">IFERROR(__xludf.DUMMYFUNCTION("IFERROR(VLOOKUP(F189,IMPORTRANGE(""https://docs.google.com/spreadsheets/d/1Kvs4KS76FHFqLFIZfrDMff4kP08nblUkihrxltoGBjg/edit#gid=934712705"",""ESENCIAL!A6:BG""),3,FALSE))"),"")</f>
        <v/>
      </c>
      <c r="H175" s="5" t="str">
        <f ca="1">IFERROR(__xludf.DUMMYFUNCTION("IFERROR(VLOOKUP(F189,IMPORTRANGE(""https://docs.google.com/spreadsheets/d/1Kvs4KS76FHFqLFIZfrDMff4kP08nblUkihrxltoGBjg/edit#gid=934712705"",""ESENCIAL!A6:BG""),8,FALSE))"),"")</f>
        <v/>
      </c>
      <c r="L175" s="287"/>
      <c r="U175" s="40"/>
      <c r="AU175" s="41" t="str">
        <f t="shared" si="8"/>
        <v/>
      </c>
      <c r="AV175" s="5" t="str">
        <f ca="1">IFERROR(__xludf.DUMMYFUNCTION("IFERROR(VLOOKUP(E189&amp;F189,IMPORTRANGE(""https://docs.google.com/spreadsheets/d/1Uw7-A9f9R21vMXxHZFNpYNeKFtG8_yji4HS352LGlSQ/edit?pli=1#gid=0"",""1_ACUM!A4:S""),11,FALSE))"),"")</f>
        <v/>
      </c>
      <c r="AW175" s="42" t="str">
        <f ca="1">IFERROR(__xludf.DUMMYFUNCTION("IFERROR(VLOOKUP(F189,IMPORTRANGE(""https://docs.google.com/spreadsheets/d/1Kvs4KS76FHFqLFIZfrDMff4kP08nblUkihrxltoGBjg/edit#gid=934712705"",""ESENCIAL!A6:BG""),15,FALSE))"),"")</f>
        <v/>
      </c>
      <c r="AX175" s="21" t="str">
        <f ca="1">IFERROR(__xludf.DUMMYFUNCTION("IFERROR(VLOOKUP(E189&amp;F189,IMPORTRANGE(""https://docs.google.com/spreadsheets/d/1Uw7-A9f9R21vMXxHZFNpYNeKFtG8_yji4HS352LGlSQ/edit?pli=1#gid=0"",""1_ACUM!A4:S""),12,FALSE))"),"")</f>
        <v/>
      </c>
      <c r="AY175" s="43" t="str">
        <f ca="1">IFERROR(__xludf.DUMMYFUNCTION("IFERROR(VLOOKUP(E189&amp;F189,IMPORTRANGE(""https://docs.google.com/spreadsheets/d/1Uw7-A9f9R21vMXxHZFNpYNeKFtG8_yji4HS352LGlSQ/edit?pli=1#gid=0"",""1_ACUM!A4:S""),13,FALSE))"),"")</f>
        <v/>
      </c>
      <c r="AZ175" s="43" t="str">
        <f ca="1">IFERROR(__xludf.DUMMYFUNCTION("IFERROR(VLOOKUP(E189&amp;F189,IMPORTRANGE(""https://docs.google.com/spreadsheets/d/1Uw7-A9f9R21vMXxHZFNpYNeKFtG8_yji4HS352LGlSQ/edit?pli=1#gid=0"",""1_ACUM!A4:S""),14,FALSE))"),"")</f>
        <v/>
      </c>
      <c r="BA175" s="43" t="str">
        <f ca="1">IFERROR(__xludf.DUMMYFUNCTION("IFERROR(VLOOKUP(E189&amp;F189,IMPORTRANGE(""https://docs.google.com/spreadsheets/d/1Uw7-A9f9R21vMXxHZFNpYNeKFtG8_yji4HS352LGlSQ/edit?pli=1#gid=0"",""1_ACUM!A4:S""),15,FALSE))"),"")</f>
        <v/>
      </c>
      <c r="BB175" s="43" t="str">
        <f ca="1">IFERROR(__xludf.DUMMYFUNCTION("IFERROR(VLOOKUP(E189&amp;F189,IMPORTRANGE(""https://docs.google.com/spreadsheets/d/1Uw7-A9f9R21vMXxHZFNpYNeKFtG8_yji4HS352LGlSQ/edit?pli=1#gid=0"",""1_ACUM!A4:S""),16,FALSE))"),"")</f>
        <v/>
      </c>
      <c r="BC175" s="43" t="str">
        <f ca="1">IFERROR(__xludf.DUMMYFUNCTION("IFERROR(VLOOKUP(E189&amp;F189,IMPORTRANGE(""https://docs.google.com/spreadsheets/d/1Uw7-A9f9R21vMXxHZFNpYNeKFtG8_yji4HS352LGlSQ/edit?pli=1#gid=0"",""1_ACUM!A4:S""),17,FALSE))"),"")</f>
        <v/>
      </c>
      <c r="BD175" s="44" t="str">
        <f ca="1">IFERROR(__xludf.DUMMYFUNCTION("IFERROR(VLOOKUP(E189&amp;F189,IMPORTRANGE(""https://docs.google.com/spreadsheets/d/1Uw7-A9f9R21vMXxHZFNpYNeKFtG8_yji4HS352LGlSQ/edit?pli=1#gid=0"",""1_ACUM!A4:S""),18,FALSE))"),"")</f>
        <v/>
      </c>
      <c r="BE175" s="44" t="str">
        <f ca="1">IFERROR(__xludf.DUMMYFUNCTION("IFERROR(VLOOKUP(E189&amp;F189,IMPORTRANGE(""https://docs.google.com/spreadsheets/d/1Uw7-A9f9R21vMXxHZFNpYNeKFtG8_yji4HS352LGlSQ/edit?pli=1#gid=0"",""1_ACUM!A4:S""),19,FALSE))"),"")</f>
        <v/>
      </c>
      <c r="BF175" s="98" t="str">
        <f ca="1">IFERROR(__xludf.DUMMYFUNCTION("IFERROR(VLOOKUP(F189,IMPORTRANGE(""https://docs.google.com/spreadsheets/d/1Kvs4KS76FHFqLFIZfrDMff4kP08nblUkihrxltoGBjg/edit#gid=934712705"",""ESENCIAL!A6:BG""),5,FALSE))"),"")</f>
        <v/>
      </c>
      <c r="BG175" s="98" t="str">
        <f t="shared" si="9"/>
        <v/>
      </c>
      <c r="BH175" s="99" t="str">
        <f t="shared" si="10"/>
        <v/>
      </c>
      <c r="BI175" s="100" t="str">
        <f ca="1">IFERROR(__xludf.DUMMYFUNCTION("IFERROR(VLOOKUP(F189,IMPORTRANGE(""https://docs.google.com/spreadsheets/d/1Kvs4KS76FHFqLFIZfrDMff4kP08nblUkihrxltoGBjg/edit#gid=934712705"",""ESENCIAL!A6:BG""),2,FALSE))"),"")</f>
        <v/>
      </c>
      <c r="BJ175" s="19" t="str">
        <f t="shared" si="11"/>
        <v/>
      </c>
      <c r="BK175" s="100"/>
      <c r="BL175" s="100"/>
    </row>
    <row r="176" spans="1:64" ht="15">
      <c r="A176" s="101"/>
      <c r="B176" s="101"/>
      <c r="G176" s="5" t="str">
        <f ca="1">IFERROR(__xludf.DUMMYFUNCTION("IFERROR(VLOOKUP(F190,IMPORTRANGE(""https://docs.google.com/spreadsheets/d/1Kvs4KS76FHFqLFIZfrDMff4kP08nblUkihrxltoGBjg/edit#gid=934712705"",""ESENCIAL!A6:BG""),3,FALSE))"),"")</f>
        <v/>
      </c>
      <c r="H176" s="5" t="str">
        <f ca="1">IFERROR(__xludf.DUMMYFUNCTION("IFERROR(VLOOKUP(F190,IMPORTRANGE(""https://docs.google.com/spreadsheets/d/1Kvs4KS76FHFqLFIZfrDMff4kP08nblUkihrxltoGBjg/edit#gid=934712705"",""ESENCIAL!A6:BG""),8,FALSE))"),"")</f>
        <v/>
      </c>
      <c r="L176" s="287"/>
      <c r="U176" s="40"/>
      <c r="AU176" s="41" t="str">
        <f t="shared" si="8"/>
        <v/>
      </c>
      <c r="AV176" s="5" t="str">
        <f ca="1">IFERROR(__xludf.DUMMYFUNCTION("IFERROR(VLOOKUP(E190&amp;F190,IMPORTRANGE(""https://docs.google.com/spreadsheets/d/1Uw7-A9f9R21vMXxHZFNpYNeKFtG8_yji4HS352LGlSQ/edit?pli=1#gid=0"",""1_ACUM!A4:S""),11,FALSE))"),"")</f>
        <v/>
      </c>
      <c r="AW176" s="42" t="str">
        <f ca="1">IFERROR(__xludf.DUMMYFUNCTION("IFERROR(VLOOKUP(F190,IMPORTRANGE(""https://docs.google.com/spreadsheets/d/1Kvs4KS76FHFqLFIZfrDMff4kP08nblUkihrxltoGBjg/edit#gid=934712705"",""ESENCIAL!A6:BG""),15,FALSE))"),"")</f>
        <v/>
      </c>
      <c r="AX176" s="21" t="str">
        <f ca="1">IFERROR(__xludf.DUMMYFUNCTION("IFERROR(VLOOKUP(E190&amp;F190,IMPORTRANGE(""https://docs.google.com/spreadsheets/d/1Uw7-A9f9R21vMXxHZFNpYNeKFtG8_yji4HS352LGlSQ/edit?pli=1#gid=0"",""1_ACUM!A4:S""),12,FALSE))"),"")</f>
        <v/>
      </c>
      <c r="AY176" s="43" t="str">
        <f ca="1">IFERROR(__xludf.DUMMYFUNCTION("IFERROR(VLOOKUP(E190&amp;F190,IMPORTRANGE(""https://docs.google.com/spreadsheets/d/1Uw7-A9f9R21vMXxHZFNpYNeKFtG8_yji4HS352LGlSQ/edit?pli=1#gid=0"",""1_ACUM!A4:S""),13,FALSE))"),"")</f>
        <v/>
      </c>
      <c r="AZ176" s="43" t="str">
        <f ca="1">IFERROR(__xludf.DUMMYFUNCTION("IFERROR(VLOOKUP(E190&amp;F190,IMPORTRANGE(""https://docs.google.com/spreadsheets/d/1Uw7-A9f9R21vMXxHZFNpYNeKFtG8_yji4HS352LGlSQ/edit?pli=1#gid=0"",""1_ACUM!A4:S""),14,FALSE))"),"")</f>
        <v/>
      </c>
      <c r="BA176" s="43" t="str">
        <f ca="1">IFERROR(__xludf.DUMMYFUNCTION("IFERROR(VLOOKUP(E190&amp;F190,IMPORTRANGE(""https://docs.google.com/spreadsheets/d/1Uw7-A9f9R21vMXxHZFNpYNeKFtG8_yji4HS352LGlSQ/edit?pli=1#gid=0"",""1_ACUM!A4:S""),15,FALSE))"),"")</f>
        <v/>
      </c>
      <c r="BB176" s="43" t="str">
        <f ca="1">IFERROR(__xludf.DUMMYFUNCTION("IFERROR(VLOOKUP(E190&amp;F190,IMPORTRANGE(""https://docs.google.com/spreadsheets/d/1Uw7-A9f9R21vMXxHZFNpYNeKFtG8_yji4HS352LGlSQ/edit?pli=1#gid=0"",""1_ACUM!A4:S""),16,FALSE))"),"")</f>
        <v/>
      </c>
      <c r="BC176" s="43" t="str">
        <f ca="1">IFERROR(__xludf.DUMMYFUNCTION("IFERROR(VLOOKUP(E190&amp;F190,IMPORTRANGE(""https://docs.google.com/spreadsheets/d/1Uw7-A9f9R21vMXxHZFNpYNeKFtG8_yji4HS352LGlSQ/edit?pli=1#gid=0"",""1_ACUM!A4:S""),17,FALSE))"),"")</f>
        <v/>
      </c>
      <c r="BD176" s="44" t="str">
        <f ca="1">IFERROR(__xludf.DUMMYFUNCTION("IFERROR(VLOOKUP(E190&amp;F190,IMPORTRANGE(""https://docs.google.com/spreadsheets/d/1Uw7-A9f9R21vMXxHZFNpYNeKFtG8_yji4HS352LGlSQ/edit?pli=1#gid=0"",""1_ACUM!A4:S""),18,FALSE))"),"")</f>
        <v/>
      </c>
      <c r="BE176" s="44" t="str">
        <f ca="1">IFERROR(__xludf.DUMMYFUNCTION("IFERROR(VLOOKUP(E190&amp;F190,IMPORTRANGE(""https://docs.google.com/spreadsheets/d/1Uw7-A9f9R21vMXxHZFNpYNeKFtG8_yji4HS352LGlSQ/edit?pli=1#gid=0"",""1_ACUM!A4:S""),19,FALSE))"),"")</f>
        <v/>
      </c>
      <c r="BF176" s="98" t="str">
        <f ca="1">IFERROR(__xludf.DUMMYFUNCTION("IFERROR(VLOOKUP(F190,IMPORTRANGE(""https://docs.google.com/spreadsheets/d/1Kvs4KS76FHFqLFIZfrDMff4kP08nblUkihrxltoGBjg/edit#gid=934712705"",""ESENCIAL!A6:BG""),5,FALSE))"),"")</f>
        <v/>
      </c>
      <c r="BG176" s="98" t="str">
        <f t="shared" si="9"/>
        <v/>
      </c>
      <c r="BH176" s="99" t="str">
        <f t="shared" si="10"/>
        <v/>
      </c>
      <c r="BI176" s="100" t="str">
        <f ca="1">IFERROR(__xludf.DUMMYFUNCTION("IFERROR(VLOOKUP(F190,IMPORTRANGE(""https://docs.google.com/spreadsheets/d/1Kvs4KS76FHFqLFIZfrDMff4kP08nblUkihrxltoGBjg/edit#gid=934712705"",""ESENCIAL!A6:BG""),2,FALSE))"),"")</f>
        <v/>
      </c>
      <c r="BJ176" s="19" t="str">
        <f t="shared" si="11"/>
        <v/>
      </c>
      <c r="BK176" s="100"/>
      <c r="BL176" s="100"/>
    </row>
    <row r="177" spans="1:64" ht="15">
      <c r="A177" s="101"/>
      <c r="B177" s="101"/>
      <c r="G177" s="5" t="str">
        <f ca="1">IFERROR(__xludf.DUMMYFUNCTION("IFERROR(VLOOKUP(F191,IMPORTRANGE(""https://docs.google.com/spreadsheets/d/1Kvs4KS76FHFqLFIZfrDMff4kP08nblUkihrxltoGBjg/edit#gid=934712705"",""ESENCIAL!A6:BG""),3,FALSE))"),"")</f>
        <v/>
      </c>
      <c r="H177" s="5" t="str">
        <f ca="1">IFERROR(__xludf.DUMMYFUNCTION("IFERROR(VLOOKUP(F191,IMPORTRANGE(""https://docs.google.com/spreadsheets/d/1Kvs4KS76FHFqLFIZfrDMff4kP08nblUkihrxltoGBjg/edit#gid=934712705"",""ESENCIAL!A6:BG""),8,FALSE))"),"")</f>
        <v/>
      </c>
      <c r="L177" s="287"/>
      <c r="U177" s="40"/>
      <c r="AU177" s="41" t="str">
        <f t="shared" si="8"/>
        <v/>
      </c>
      <c r="AV177" s="5" t="str">
        <f ca="1">IFERROR(__xludf.DUMMYFUNCTION("IFERROR(VLOOKUP(E191&amp;F191,IMPORTRANGE(""https://docs.google.com/spreadsheets/d/1Uw7-A9f9R21vMXxHZFNpYNeKFtG8_yji4HS352LGlSQ/edit?pli=1#gid=0"",""1_ACUM!A4:S""),11,FALSE))"),"")</f>
        <v/>
      </c>
      <c r="AW177" s="42" t="str">
        <f ca="1">IFERROR(__xludf.DUMMYFUNCTION("IFERROR(VLOOKUP(F191,IMPORTRANGE(""https://docs.google.com/spreadsheets/d/1Kvs4KS76FHFqLFIZfrDMff4kP08nblUkihrxltoGBjg/edit#gid=934712705"",""ESENCIAL!A6:BG""),15,FALSE))"),"")</f>
        <v/>
      </c>
      <c r="AX177" s="21" t="str">
        <f ca="1">IFERROR(__xludf.DUMMYFUNCTION("IFERROR(VLOOKUP(E191&amp;F191,IMPORTRANGE(""https://docs.google.com/spreadsheets/d/1Uw7-A9f9R21vMXxHZFNpYNeKFtG8_yji4HS352LGlSQ/edit?pli=1#gid=0"",""1_ACUM!A4:S""),12,FALSE))"),"")</f>
        <v/>
      </c>
      <c r="AY177" s="43" t="str">
        <f ca="1">IFERROR(__xludf.DUMMYFUNCTION("IFERROR(VLOOKUP(E191&amp;F191,IMPORTRANGE(""https://docs.google.com/spreadsheets/d/1Uw7-A9f9R21vMXxHZFNpYNeKFtG8_yji4HS352LGlSQ/edit?pli=1#gid=0"",""1_ACUM!A4:S""),13,FALSE))"),"")</f>
        <v/>
      </c>
      <c r="AZ177" s="43" t="str">
        <f ca="1">IFERROR(__xludf.DUMMYFUNCTION("IFERROR(VLOOKUP(E191&amp;F191,IMPORTRANGE(""https://docs.google.com/spreadsheets/d/1Uw7-A9f9R21vMXxHZFNpYNeKFtG8_yji4HS352LGlSQ/edit?pli=1#gid=0"",""1_ACUM!A4:S""),14,FALSE))"),"")</f>
        <v/>
      </c>
      <c r="BA177" s="43" t="str">
        <f ca="1">IFERROR(__xludf.DUMMYFUNCTION("IFERROR(VLOOKUP(E191&amp;F191,IMPORTRANGE(""https://docs.google.com/spreadsheets/d/1Uw7-A9f9R21vMXxHZFNpYNeKFtG8_yji4HS352LGlSQ/edit?pli=1#gid=0"",""1_ACUM!A4:S""),15,FALSE))"),"")</f>
        <v/>
      </c>
      <c r="BB177" s="43" t="str">
        <f ca="1">IFERROR(__xludf.DUMMYFUNCTION("IFERROR(VLOOKUP(E191&amp;F191,IMPORTRANGE(""https://docs.google.com/spreadsheets/d/1Uw7-A9f9R21vMXxHZFNpYNeKFtG8_yji4HS352LGlSQ/edit?pli=1#gid=0"",""1_ACUM!A4:S""),16,FALSE))"),"")</f>
        <v/>
      </c>
      <c r="BC177" s="43" t="str">
        <f ca="1">IFERROR(__xludf.DUMMYFUNCTION("IFERROR(VLOOKUP(E191&amp;F191,IMPORTRANGE(""https://docs.google.com/spreadsheets/d/1Uw7-A9f9R21vMXxHZFNpYNeKFtG8_yji4HS352LGlSQ/edit?pli=1#gid=0"",""1_ACUM!A4:S""),17,FALSE))"),"")</f>
        <v/>
      </c>
      <c r="BD177" s="44" t="str">
        <f ca="1">IFERROR(__xludf.DUMMYFUNCTION("IFERROR(VLOOKUP(E191&amp;F191,IMPORTRANGE(""https://docs.google.com/spreadsheets/d/1Uw7-A9f9R21vMXxHZFNpYNeKFtG8_yji4HS352LGlSQ/edit?pli=1#gid=0"",""1_ACUM!A4:S""),18,FALSE))"),"")</f>
        <v/>
      </c>
      <c r="BE177" s="44" t="str">
        <f ca="1">IFERROR(__xludf.DUMMYFUNCTION("IFERROR(VLOOKUP(E191&amp;F191,IMPORTRANGE(""https://docs.google.com/spreadsheets/d/1Uw7-A9f9R21vMXxHZFNpYNeKFtG8_yji4HS352LGlSQ/edit?pli=1#gid=0"",""1_ACUM!A4:S""),19,FALSE))"),"")</f>
        <v/>
      </c>
      <c r="BF177" s="98" t="str">
        <f ca="1">IFERROR(__xludf.DUMMYFUNCTION("IFERROR(VLOOKUP(F191,IMPORTRANGE(""https://docs.google.com/spreadsheets/d/1Kvs4KS76FHFqLFIZfrDMff4kP08nblUkihrxltoGBjg/edit#gid=934712705"",""ESENCIAL!A6:BG""),5,FALSE))"),"")</f>
        <v/>
      </c>
      <c r="BG177" s="98" t="str">
        <f t="shared" si="9"/>
        <v/>
      </c>
      <c r="BH177" s="99" t="str">
        <f t="shared" si="10"/>
        <v/>
      </c>
      <c r="BI177" s="100" t="str">
        <f ca="1">IFERROR(__xludf.DUMMYFUNCTION("IFERROR(VLOOKUP(F191,IMPORTRANGE(""https://docs.google.com/spreadsheets/d/1Kvs4KS76FHFqLFIZfrDMff4kP08nblUkihrxltoGBjg/edit#gid=934712705"",""ESENCIAL!A6:BG""),2,FALSE))"),"")</f>
        <v/>
      </c>
      <c r="BJ177" s="19" t="str">
        <f t="shared" si="11"/>
        <v/>
      </c>
      <c r="BK177" s="100"/>
      <c r="BL177" s="100"/>
    </row>
    <row r="178" spans="1:64" ht="15">
      <c r="A178" s="101"/>
      <c r="B178" s="101"/>
      <c r="G178" s="5" t="str">
        <f ca="1">IFERROR(__xludf.DUMMYFUNCTION("IFERROR(VLOOKUP(F192,IMPORTRANGE(""https://docs.google.com/spreadsheets/d/1Kvs4KS76FHFqLFIZfrDMff4kP08nblUkihrxltoGBjg/edit#gid=934712705"",""ESENCIAL!A6:BG""),3,FALSE))"),"")</f>
        <v/>
      </c>
      <c r="H178" s="5" t="str">
        <f ca="1">IFERROR(__xludf.DUMMYFUNCTION("IFERROR(VLOOKUP(F192,IMPORTRANGE(""https://docs.google.com/spreadsheets/d/1Kvs4KS76FHFqLFIZfrDMff4kP08nblUkihrxltoGBjg/edit#gid=934712705"",""ESENCIAL!A6:BG""),8,FALSE))"),"")</f>
        <v/>
      </c>
      <c r="L178" s="287"/>
      <c r="U178" s="40"/>
      <c r="AU178" s="41" t="str">
        <f t="shared" si="8"/>
        <v/>
      </c>
      <c r="AV178" s="5" t="str">
        <f ca="1">IFERROR(__xludf.DUMMYFUNCTION("IFERROR(VLOOKUP(E192&amp;F192,IMPORTRANGE(""https://docs.google.com/spreadsheets/d/1Uw7-A9f9R21vMXxHZFNpYNeKFtG8_yji4HS352LGlSQ/edit?pli=1#gid=0"",""1_ACUM!A4:S""),11,FALSE))"),"")</f>
        <v/>
      </c>
      <c r="AW178" s="42" t="str">
        <f ca="1">IFERROR(__xludf.DUMMYFUNCTION("IFERROR(VLOOKUP(F192,IMPORTRANGE(""https://docs.google.com/spreadsheets/d/1Kvs4KS76FHFqLFIZfrDMff4kP08nblUkihrxltoGBjg/edit#gid=934712705"",""ESENCIAL!A6:BG""),15,FALSE))"),"")</f>
        <v/>
      </c>
      <c r="AX178" s="21" t="str">
        <f ca="1">IFERROR(__xludf.DUMMYFUNCTION("IFERROR(VLOOKUP(E192&amp;F192,IMPORTRANGE(""https://docs.google.com/spreadsheets/d/1Uw7-A9f9R21vMXxHZFNpYNeKFtG8_yji4HS352LGlSQ/edit?pli=1#gid=0"",""1_ACUM!A4:S""),12,FALSE))"),"")</f>
        <v/>
      </c>
      <c r="AY178" s="43" t="str">
        <f ca="1">IFERROR(__xludf.DUMMYFUNCTION("IFERROR(VLOOKUP(E192&amp;F192,IMPORTRANGE(""https://docs.google.com/spreadsheets/d/1Uw7-A9f9R21vMXxHZFNpYNeKFtG8_yji4HS352LGlSQ/edit?pli=1#gid=0"",""1_ACUM!A4:S""),13,FALSE))"),"")</f>
        <v/>
      </c>
      <c r="AZ178" s="43" t="str">
        <f ca="1">IFERROR(__xludf.DUMMYFUNCTION("IFERROR(VLOOKUP(E192&amp;F192,IMPORTRANGE(""https://docs.google.com/spreadsheets/d/1Uw7-A9f9R21vMXxHZFNpYNeKFtG8_yji4HS352LGlSQ/edit?pli=1#gid=0"",""1_ACUM!A4:S""),14,FALSE))"),"")</f>
        <v/>
      </c>
      <c r="BA178" s="43" t="str">
        <f ca="1">IFERROR(__xludf.DUMMYFUNCTION("IFERROR(VLOOKUP(E192&amp;F192,IMPORTRANGE(""https://docs.google.com/spreadsheets/d/1Uw7-A9f9R21vMXxHZFNpYNeKFtG8_yji4HS352LGlSQ/edit?pli=1#gid=0"",""1_ACUM!A4:S""),15,FALSE))"),"")</f>
        <v/>
      </c>
      <c r="BB178" s="43" t="str">
        <f ca="1">IFERROR(__xludf.DUMMYFUNCTION("IFERROR(VLOOKUP(E192&amp;F192,IMPORTRANGE(""https://docs.google.com/spreadsheets/d/1Uw7-A9f9R21vMXxHZFNpYNeKFtG8_yji4HS352LGlSQ/edit?pli=1#gid=0"",""1_ACUM!A4:S""),16,FALSE))"),"")</f>
        <v/>
      </c>
      <c r="BC178" s="43" t="str">
        <f ca="1">IFERROR(__xludf.DUMMYFUNCTION("IFERROR(VLOOKUP(E192&amp;F192,IMPORTRANGE(""https://docs.google.com/spreadsheets/d/1Uw7-A9f9R21vMXxHZFNpYNeKFtG8_yji4HS352LGlSQ/edit?pli=1#gid=0"",""1_ACUM!A4:S""),17,FALSE))"),"")</f>
        <v/>
      </c>
      <c r="BD178" s="44" t="str">
        <f ca="1">IFERROR(__xludf.DUMMYFUNCTION("IFERROR(VLOOKUP(E192&amp;F192,IMPORTRANGE(""https://docs.google.com/spreadsheets/d/1Uw7-A9f9R21vMXxHZFNpYNeKFtG8_yji4HS352LGlSQ/edit?pli=1#gid=0"",""1_ACUM!A4:S""),18,FALSE))"),"")</f>
        <v/>
      </c>
      <c r="BE178" s="44" t="str">
        <f ca="1">IFERROR(__xludf.DUMMYFUNCTION("IFERROR(VLOOKUP(E192&amp;F192,IMPORTRANGE(""https://docs.google.com/spreadsheets/d/1Uw7-A9f9R21vMXxHZFNpYNeKFtG8_yji4HS352LGlSQ/edit?pli=1#gid=0"",""1_ACUM!A4:S""),19,FALSE))"),"")</f>
        <v/>
      </c>
      <c r="BF178" s="98" t="str">
        <f ca="1">IFERROR(__xludf.DUMMYFUNCTION("IFERROR(VLOOKUP(F192,IMPORTRANGE(""https://docs.google.com/spreadsheets/d/1Kvs4KS76FHFqLFIZfrDMff4kP08nblUkihrxltoGBjg/edit#gid=934712705"",""ESENCIAL!A6:BG""),5,FALSE))"),"")</f>
        <v/>
      </c>
      <c r="BG178" s="98" t="str">
        <f t="shared" si="9"/>
        <v/>
      </c>
      <c r="BH178" s="99" t="str">
        <f t="shared" si="10"/>
        <v/>
      </c>
      <c r="BI178" s="100" t="str">
        <f ca="1">IFERROR(__xludf.DUMMYFUNCTION("IFERROR(VLOOKUP(F192,IMPORTRANGE(""https://docs.google.com/spreadsheets/d/1Kvs4KS76FHFqLFIZfrDMff4kP08nblUkihrxltoGBjg/edit#gid=934712705"",""ESENCIAL!A6:BG""),2,FALSE))"),"")</f>
        <v/>
      </c>
      <c r="BJ178" s="19" t="str">
        <f t="shared" si="11"/>
        <v/>
      </c>
      <c r="BK178" s="100"/>
      <c r="BL178" s="100"/>
    </row>
    <row r="179" spans="1:64" ht="15">
      <c r="A179" s="101"/>
      <c r="B179" s="101"/>
      <c r="G179" s="5" t="str">
        <f ca="1">IFERROR(__xludf.DUMMYFUNCTION("IFERROR(VLOOKUP(F193,IMPORTRANGE(""https://docs.google.com/spreadsheets/d/1Kvs4KS76FHFqLFIZfrDMff4kP08nblUkihrxltoGBjg/edit#gid=934712705"",""ESENCIAL!A6:BG""),3,FALSE))"),"")</f>
        <v/>
      </c>
      <c r="H179" s="5" t="str">
        <f ca="1">IFERROR(__xludf.DUMMYFUNCTION("IFERROR(VLOOKUP(F193,IMPORTRANGE(""https://docs.google.com/spreadsheets/d/1Kvs4KS76FHFqLFIZfrDMff4kP08nblUkihrxltoGBjg/edit#gid=934712705"",""ESENCIAL!A6:BG""),8,FALSE))"),"")</f>
        <v/>
      </c>
      <c r="L179" s="287"/>
      <c r="U179" s="40"/>
      <c r="AU179" s="41" t="str">
        <f t="shared" si="8"/>
        <v/>
      </c>
      <c r="AV179" s="5" t="str">
        <f ca="1">IFERROR(__xludf.DUMMYFUNCTION("IFERROR(VLOOKUP(E193&amp;F193,IMPORTRANGE(""https://docs.google.com/spreadsheets/d/1Uw7-A9f9R21vMXxHZFNpYNeKFtG8_yji4HS352LGlSQ/edit?pli=1#gid=0"",""1_ACUM!A4:S""),11,FALSE))"),"")</f>
        <v/>
      </c>
      <c r="AW179" s="42" t="str">
        <f ca="1">IFERROR(__xludf.DUMMYFUNCTION("IFERROR(VLOOKUP(F193,IMPORTRANGE(""https://docs.google.com/spreadsheets/d/1Kvs4KS76FHFqLFIZfrDMff4kP08nblUkihrxltoGBjg/edit#gid=934712705"",""ESENCIAL!A6:BG""),15,FALSE))"),"")</f>
        <v/>
      </c>
      <c r="AX179" s="21" t="str">
        <f ca="1">IFERROR(__xludf.DUMMYFUNCTION("IFERROR(VLOOKUP(E193&amp;F193,IMPORTRANGE(""https://docs.google.com/spreadsheets/d/1Uw7-A9f9R21vMXxHZFNpYNeKFtG8_yji4HS352LGlSQ/edit?pli=1#gid=0"",""1_ACUM!A4:S""),12,FALSE))"),"")</f>
        <v/>
      </c>
      <c r="AY179" s="43" t="str">
        <f ca="1">IFERROR(__xludf.DUMMYFUNCTION("IFERROR(VLOOKUP(E193&amp;F193,IMPORTRANGE(""https://docs.google.com/spreadsheets/d/1Uw7-A9f9R21vMXxHZFNpYNeKFtG8_yji4HS352LGlSQ/edit?pli=1#gid=0"",""1_ACUM!A4:S""),13,FALSE))"),"")</f>
        <v/>
      </c>
      <c r="AZ179" s="43" t="str">
        <f ca="1">IFERROR(__xludf.DUMMYFUNCTION("IFERROR(VLOOKUP(E193&amp;F193,IMPORTRANGE(""https://docs.google.com/spreadsheets/d/1Uw7-A9f9R21vMXxHZFNpYNeKFtG8_yji4HS352LGlSQ/edit?pli=1#gid=0"",""1_ACUM!A4:S""),14,FALSE))"),"")</f>
        <v/>
      </c>
      <c r="BA179" s="43" t="str">
        <f ca="1">IFERROR(__xludf.DUMMYFUNCTION("IFERROR(VLOOKUP(E193&amp;F193,IMPORTRANGE(""https://docs.google.com/spreadsheets/d/1Uw7-A9f9R21vMXxHZFNpYNeKFtG8_yji4HS352LGlSQ/edit?pli=1#gid=0"",""1_ACUM!A4:S""),15,FALSE))"),"")</f>
        <v/>
      </c>
      <c r="BB179" s="43" t="str">
        <f ca="1">IFERROR(__xludf.DUMMYFUNCTION("IFERROR(VLOOKUP(E193&amp;F193,IMPORTRANGE(""https://docs.google.com/spreadsheets/d/1Uw7-A9f9R21vMXxHZFNpYNeKFtG8_yji4HS352LGlSQ/edit?pli=1#gid=0"",""1_ACUM!A4:S""),16,FALSE))"),"")</f>
        <v/>
      </c>
      <c r="BC179" s="43" t="str">
        <f ca="1">IFERROR(__xludf.DUMMYFUNCTION("IFERROR(VLOOKUP(E193&amp;F193,IMPORTRANGE(""https://docs.google.com/spreadsheets/d/1Uw7-A9f9R21vMXxHZFNpYNeKFtG8_yji4HS352LGlSQ/edit?pli=1#gid=0"",""1_ACUM!A4:S""),17,FALSE))"),"")</f>
        <v/>
      </c>
      <c r="BD179" s="44" t="str">
        <f ca="1">IFERROR(__xludf.DUMMYFUNCTION("IFERROR(VLOOKUP(E193&amp;F193,IMPORTRANGE(""https://docs.google.com/spreadsheets/d/1Uw7-A9f9R21vMXxHZFNpYNeKFtG8_yji4HS352LGlSQ/edit?pli=1#gid=0"",""1_ACUM!A4:S""),18,FALSE))"),"")</f>
        <v/>
      </c>
      <c r="BE179" s="44" t="str">
        <f ca="1">IFERROR(__xludf.DUMMYFUNCTION("IFERROR(VLOOKUP(E193&amp;F193,IMPORTRANGE(""https://docs.google.com/spreadsheets/d/1Uw7-A9f9R21vMXxHZFNpYNeKFtG8_yji4HS352LGlSQ/edit?pli=1#gid=0"",""1_ACUM!A4:S""),19,FALSE))"),"")</f>
        <v/>
      </c>
      <c r="BF179" s="98" t="str">
        <f ca="1">IFERROR(__xludf.DUMMYFUNCTION("IFERROR(VLOOKUP(F193,IMPORTRANGE(""https://docs.google.com/spreadsheets/d/1Kvs4KS76FHFqLFIZfrDMff4kP08nblUkihrxltoGBjg/edit#gid=934712705"",""ESENCIAL!A6:BG""),5,FALSE))"),"")</f>
        <v/>
      </c>
      <c r="BG179" s="98" t="str">
        <f t="shared" si="9"/>
        <v/>
      </c>
      <c r="BH179" s="99" t="str">
        <f t="shared" si="10"/>
        <v/>
      </c>
      <c r="BI179" s="100" t="str">
        <f ca="1">IFERROR(__xludf.DUMMYFUNCTION("IFERROR(VLOOKUP(F193,IMPORTRANGE(""https://docs.google.com/spreadsheets/d/1Kvs4KS76FHFqLFIZfrDMff4kP08nblUkihrxltoGBjg/edit#gid=934712705"",""ESENCIAL!A6:BG""),2,FALSE))"),"")</f>
        <v/>
      </c>
      <c r="BJ179" s="19" t="str">
        <f t="shared" si="11"/>
        <v/>
      </c>
      <c r="BK179" s="100"/>
      <c r="BL179" s="100"/>
    </row>
    <row r="180" spans="1:64" ht="15">
      <c r="A180" s="101"/>
      <c r="B180" s="101"/>
      <c r="G180" s="5" t="str">
        <f ca="1">IFERROR(__xludf.DUMMYFUNCTION("IFERROR(VLOOKUP(F194,IMPORTRANGE(""https://docs.google.com/spreadsheets/d/1Kvs4KS76FHFqLFIZfrDMff4kP08nblUkihrxltoGBjg/edit#gid=934712705"",""ESENCIAL!A6:BG""),3,FALSE))"),"")</f>
        <v/>
      </c>
      <c r="H180" s="5" t="str">
        <f ca="1">IFERROR(__xludf.DUMMYFUNCTION("IFERROR(VLOOKUP(F194,IMPORTRANGE(""https://docs.google.com/spreadsheets/d/1Kvs4KS76FHFqLFIZfrDMff4kP08nblUkihrxltoGBjg/edit#gid=934712705"",""ESENCIAL!A6:BG""),8,FALSE))"),"")</f>
        <v/>
      </c>
      <c r="L180" s="287"/>
      <c r="U180" s="40"/>
      <c r="AU180" s="41" t="str">
        <f t="shared" si="8"/>
        <v/>
      </c>
      <c r="AV180" s="5" t="str">
        <f ca="1">IFERROR(__xludf.DUMMYFUNCTION("IFERROR(VLOOKUP(E194&amp;F194,IMPORTRANGE(""https://docs.google.com/spreadsheets/d/1Uw7-A9f9R21vMXxHZFNpYNeKFtG8_yji4HS352LGlSQ/edit?pli=1#gid=0"",""1_ACUM!A4:S""),11,FALSE))"),"")</f>
        <v/>
      </c>
      <c r="AW180" s="42" t="str">
        <f ca="1">IFERROR(__xludf.DUMMYFUNCTION("IFERROR(VLOOKUP(F194,IMPORTRANGE(""https://docs.google.com/spreadsheets/d/1Kvs4KS76FHFqLFIZfrDMff4kP08nblUkihrxltoGBjg/edit#gid=934712705"",""ESENCIAL!A6:BG""),15,FALSE))"),"")</f>
        <v/>
      </c>
      <c r="AX180" s="21" t="str">
        <f ca="1">IFERROR(__xludf.DUMMYFUNCTION("IFERROR(VLOOKUP(E194&amp;F194,IMPORTRANGE(""https://docs.google.com/spreadsheets/d/1Uw7-A9f9R21vMXxHZFNpYNeKFtG8_yji4HS352LGlSQ/edit?pli=1#gid=0"",""1_ACUM!A4:S""),12,FALSE))"),"")</f>
        <v/>
      </c>
      <c r="AY180" s="43" t="str">
        <f ca="1">IFERROR(__xludf.DUMMYFUNCTION("IFERROR(VLOOKUP(E194&amp;F194,IMPORTRANGE(""https://docs.google.com/spreadsheets/d/1Uw7-A9f9R21vMXxHZFNpYNeKFtG8_yji4HS352LGlSQ/edit?pli=1#gid=0"",""1_ACUM!A4:S""),13,FALSE))"),"")</f>
        <v/>
      </c>
      <c r="AZ180" s="43" t="str">
        <f ca="1">IFERROR(__xludf.DUMMYFUNCTION("IFERROR(VLOOKUP(E194&amp;F194,IMPORTRANGE(""https://docs.google.com/spreadsheets/d/1Uw7-A9f9R21vMXxHZFNpYNeKFtG8_yji4HS352LGlSQ/edit?pli=1#gid=0"",""1_ACUM!A4:S""),14,FALSE))"),"")</f>
        <v/>
      </c>
      <c r="BA180" s="43" t="str">
        <f ca="1">IFERROR(__xludf.DUMMYFUNCTION("IFERROR(VLOOKUP(E194&amp;F194,IMPORTRANGE(""https://docs.google.com/spreadsheets/d/1Uw7-A9f9R21vMXxHZFNpYNeKFtG8_yji4HS352LGlSQ/edit?pli=1#gid=0"",""1_ACUM!A4:S""),15,FALSE))"),"")</f>
        <v/>
      </c>
      <c r="BB180" s="43" t="str">
        <f ca="1">IFERROR(__xludf.DUMMYFUNCTION("IFERROR(VLOOKUP(E194&amp;F194,IMPORTRANGE(""https://docs.google.com/spreadsheets/d/1Uw7-A9f9R21vMXxHZFNpYNeKFtG8_yji4HS352LGlSQ/edit?pli=1#gid=0"",""1_ACUM!A4:S""),16,FALSE))"),"")</f>
        <v/>
      </c>
      <c r="BC180" s="43" t="str">
        <f ca="1">IFERROR(__xludf.DUMMYFUNCTION("IFERROR(VLOOKUP(E194&amp;F194,IMPORTRANGE(""https://docs.google.com/spreadsheets/d/1Uw7-A9f9R21vMXxHZFNpYNeKFtG8_yji4HS352LGlSQ/edit?pli=1#gid=0"",""1_ACUM!A4:S""),17,FALSE))"),"")</f>
        <v/>
      </c>
      <c r="BD180" s="44" t="str">
        <f ca="1">IFERROR(__xludf.DUMMYFUNCTION("IFERROR(VLOOKUP(E194&amp;F194,IMPORTRANGE(""https://docs.google.com/spreadsheets/d/1Uw7-A9f9R21vMXxHZFNpYNeKFtG8_yji4HS352LGlSQ/edit?pli=1#gid=0"",""1_ACUM!A4:S""),18,FALSE))"),"")</f>
        <v/>
      </c>
      <c r="BE180" s="44" t="str">
        <f ca="1">IFERROR(__xludf.DUMMYFUNCTION("IFERROR(VLOOKUP(E194&amp;F194,IMPORTRANGE(""https://docs.google.com/spreadsheets/d/1Uw7-A9f9R21vMXxHZFNpYNeKFtG8_yji4HS352LGlSQ/edit?pli=1#gid=0"",""1_ACUM!A4:S""),19,FALSE))"),"")</f>
        <v/>
      </c>
      <c r="BF180" s="98" t="str">
        <f ca="1">IFERROR(__xludf.DUMMYFUNCTION("IFERROR(VLOOKUP(F194,IMPORTRANGE(""https://docs.google.com/spreadsheets/d/1Kvs4KS76FHFqLFIZfrDMff4kP08nblUkihrxltoGBjg/edit#gid=934712705"",""ESENCIAL!A6:BG""),5,FALSE))"),"")</f>
        <v/>
      </c>
      <c r="BG180" s="98" t="str">
        <f t="shared" si="9"/>
        <v/>
      </c>
      <c r="BH180" s="99" t="str">
        <f t="shared" si="10"/>
        <v/>
      </c>
      <c r="BI180" s="100" t="str">
        <f ca="1">IFERROR(__xludf.DUMMYFUNCTION("IFERROR(VLOOKUP(F194,IMPORTRANGE(""https://docs.google.com/spreadsheets/d/1Kvs4KS76FHFqLFIZfrDMff4kP08nblUkihrxltoGBjg/edit#gid=934712705"",""ESENCIAL!A6:BG""),2,FALSE))"),"")</f>
        <v/>
      </c>
      <c r="BJ180" s="19" t="str">
        <f t="shared" si="11"/>
        <v/>
      </c>
      <c r="BK180" s="100"/>
      <c r="BL180" s="100"/>
    </row>
    <row r="181" spans="1:64" ht="15">
      <c r="A181" s="101"/>
      <c r="B181" s="101"/>
      <c r="G181" s="5" t="str">
        <f ca="1">IFERROR(__xludf.DUMMYFUNCTION("IFERROR(VLOOKUP(F195,IMPORTRANGE(""https://docs.google.com/spreadsheets/d/1Kvs4KS76FHFqLFIZfrDMff4kP08nblUkihrxltoGBjg/edit#gid=934712705"",""ESENCIAL!A6:BG""),3,FALSE))"),"")</f>
        <v/>
      </c>
      <c r="H181" s="5" t="str">
        <f ca="1">IFERROR(__xludf.DUMMYFUNCTION("IFERROR(VLOOKUP(F195,IMPORTRANGE(""https://docs.google.com/spreadsheets/d/1Kvs4KS76FHFqLFIZfrDMff4kP08nblUkihrxltoGBjg/edit#gid=934712705"",""ESENCIAL!A6:BG""),8,FALSE))"),"")</f>
        <v/>
      </c>
      <c r="L181" s="287"/>
      <c r="U181" s="40"/>
      <c r="AU181" s="41" t="str">
        <f t="shared" si="8"/>
        <v/>
      </c>
      <c r="AV181" s="5" t="str">
        <f ca="1">IFERROR(__xludf.DUMMYFUNCTION("IFERROR(VLOOKUP(E195&amp;F195,IMPORTRANGE(""https://docs.google.com/spreadsheets/d/1Uw7-A9f9R21vMXxHZFNpYNeKFtG8_yji4HS352LGlSQ/edit?pli=1#gid=0"",""1_ACUM!A4:S""),11,FALSE))"),"")</f>
        <v/>
      </c>
      <c r="AW181" s="42" t="str">
        <f ca="1">IFERROR(__xludf.DUMMYFUNCTION("IFERROR(VLOOKUP(F195,IMPORTRANGE(""https://docs.google.com/spreadsheets/d/1Kvs4KS76FHFqLFIZfrDMff4kP08nblUkihrxltoGBjg/edit#gid=934712705"",""ESENCIAL!A6:BG""),15,FALSE))"),"")</f>
        <v/>
      </c>
      <c r="AX181" s="21" t="str">
        <f ca="1">IFERROR(__xludf.DUMMYFUNCTION("IFERROR(VLOOKUP(E195&amp;F195,IMPORTRANGE(""https://docs.google.com/spreadsheets/d/1Uw7-A9f9R21vMXxHZFNpYNeKFtG8_yji4HS352LGlSQ/edit?pli=1#gid=0"",""1_ACUM!A4:S""),12,FALSE))"),"")</f>
        <v/>
      </c>
      <c r="AY181" s="43" t="str">
        <f ca="1">IFERROR(__xludf.DUMMYFUNCTION("IFERROR(VLOOKUP(E195&amp;F195,IMPORTRANGE(""https://docs.google.com/spreadsheets/d/1Uw7-A9f9R21vMXxHZFNpYNeKFtG8_yji4HS352LGlSQ/edit?pli=1#gid=0"",""1_ACUM!A4:S""),13,FALSE))"),"")</f>
        <v/>
      </c>
      <c r="AZ181" s="43" t="str">
        <f ca="1">IFERROR(__xludf.DUMMYFUNCTION("IFERROR(VLOOKUP(E195&amp;F195,IMPORTRANGE(""https://docs.google.com/spreadsheets/d/1Uw7-A9f9R21vMXxHZFNpYNeKFtG8_yji4HS352LGlSQ/edit?pli=1#gid=0"",""1_ACUM!A4:S""),14,FALSE))"),"")</f>
        <v/>
      </c>
      <c r="BA181" s="43" t="str">
        <f ca="1">IFERROR(__xludf.DUMMYFUNCTION("IFERROR(VLOOKUP(E195&amp;F195,IMPORTRANGE(""https://docs.google.com/spreadsheets/d/1Uw7-A9f9R21vMXxHZFNpYNeKFtG8_yji4HS352LGlSQ/edit?pli=1#gid=0"",""1_ACUM!A4:S""),15,FALSE))"),"")</f>
        <v/>
      </c>
      <c r="BB181" s="43" t="str">
        <f ca="1">IFERROR(__xludf.DUMMYFUNCTION("IFERROR(VLOOKUP(E195&amp;F195,IMPORTRANGE(""https://docs.google.com/spreadsheets/d/1Uw7-A9f9R21vMXxHZFNpYNeKFtG8_yji4HS352LGlSQ/edit?pli=1#gid=0"",""1_ACUM!A4:S""),16,FALSE))"),"")</f>
        <v/>
      </c>
      <c r="BC181" s="43" t="str">
        <f ca="1">IFERROR(__xludf.DUMMYFUNCTION("IFERROR(VLOOKUP(E195&amp;F195,IMPORTRANGE(""https://docs.google.com/spreadsheets/d/1Uw7-A9f9R21vMXxHZFNpYNeKFtG8_yji4HS352LGlSQ/edit?pli=1#gid=0"",""1_ACUM!A4:S""),17,FALSE))"),"")</f>
        <v/>
      </c>
      <c r="BD181" s="44" t="str">
        <f ca="1">IFERROR(__xludf.DUMMYFUNCTION("IFERROR(VLOOKUP(E195&amp;F195,IMPORTRANGE(""https://docs.google.com/spreadsheets/d/1Uw7-A9f9R21vMXxHZFNpYNeKFtG8_yji4HS352LGlSQ/edit?pli=1#gid=0"",""1_ACUM!A4:S""),18,FALSE))"),"")</f>
        <v/>
      </c>
      <c r="BE181" s="44" t="str">
        <f ca="1">IFERROR(__xludf.DUMMYFUNCTION("IFERROR(VLOOKUP(E195&amp;F195,IMPORTRANGE(""https://docs.google.com/spreadsheets/d/1Uw7-A9f9R21vMXxHZFNpYNeKFtG8_yji4HS352LGlSQ/edit?pli=1#gid=0"",""1_ACUM!A4:S""),19,FALSE))"),"")</f>
        <v/>
      </c>
      <c r="BF181" s="98" t="str">
        <f ca="1">IFERROR(__xludf.DUMMYFUNCTION("IFERROR(VLOOKUP(F195,IMPORTRANGE(""https://docs.google.com/spreadsheets/d/1Kvs4KS76FHFqLFIZfrDMff4kP08nblUkihrxltoGBjg/edit#gid=934712705"",""ESENCIAL!A6:BG""),5,FALSE))"),"")</f>
        <v/>
      </c>
      <c r="BG181" s="98" t="str">
        <f t="shared" si="9"/>
        <v/>
      </c>
      <c r="BH181" s="99" t="str">
        <f t="shared" si="10"/>
        <v/>
      </c>
      <c r="BI181" s="100" t="str">
        <f ca="1">IFERROR(__xludf.DUMMYFUNCTION("IFERROR(VLOOKUP(F195,IMPORTRANGE(""https://docs.google.com/spreadsheets/d/1Kvs4KS76FHFqLFIZfrDMff4kP08nblUkihrxltoGBjg/edit#gid=934712705"",""ESENCIAL!A6:BG""),2,FALSE))"),"")</f>
        <v/>
      </c>
      <c r="BJ181" s="19" t="str">
        <f t="shared" si="11"/>
        <v/>
      </c>
      <c r="BK181" s="100"/>
      <c r="BL181" s="100"/>
    </row>
    <row r="182" spans="1:64" ht="15">
      <c r="A182" s="101"/>
      <c r="B182" s="101"/>
      <c r="G182" s="5" t="str">
        <f ca="1">IFERROR(__xludf.DUMMYFUNCTION("IFERROR(VLOOKUP(F196,IMPORTRANGE(""https://docs.google.com/spreadsheets/d/1Kvs4KS76FHFqLFIZfrDMff4kP08nblUkihrxltoGBjg/edit#gid=934712705"",""ESENCIAL!A6:BG""),3,FALSE))"),"")</f>
        <v/>
      </c>
      <c r="H182" s="5" t="str">
        <f ca="1">IFERROR(__xludf.DUMMYFUNCTION("IFERROR(VLOOKUP(F196,IMPORTRANGE(""https://docs.google.com/spreadsheets/d/1Kvs4KS76FHFqLFIZfrDMff4kP08nblUkihrxltoGBjg/edit#gid=934712705"",""ESENCIAL!A6:BG""),8,FALSE))"),"")</f>
        <v/>
      </c>
      <c r="L182" s="287"/>
      <c r="U182" s="40"/>
      <c r="AU182" s="41" t="str">
        <f t="shared" si="8"/>
        <v/>
      </c>
      <c r="AV182" s="5" t="str">
        <f ca="1">IFERROR(__xludf.DUMMYFUNCTION("IFERROR(VLOOKUP(E196&amp;F196,IMPORTRANGE(""https://docs.google.com/spreadsheets/d/1Uw7-A9f9R21vMXxHZFNpYNeKFtG8_yji4HS352LGlSQ/edit?pli=1#gid=0"",""1_ACUM!A4:S""),11,FALSE))"),"")</f>
        <v/>
      </c>
      <c r="AW182" s="42" t="str">
        <f ca="1">IFERROR(__xludf.DUMMYFUNCTION("IFERROR(VLOOKUP(F196,IMPORTRANGE(""https://docs.google.com/spreadsheets/d/1Kvs4KS76FHFqLFIZfrDMff4kP08nblUkihrxltoGBjg/edit#gid=934712705"",""ESENCIAL!A6:BG""),15,FALSE))"),"")</f>
        <v/>
      </c>
      <c r="AX182" s="21" t="str">
        <f ca="1">IFERROR(__xludf.DUMMYFUNCTION("IFERROR(VLOOKUP(E196&amp;F196,IMPORTRANGE(""https://docs.google.com/spreadsheets/d/1Uw7-A9f9R21vMXxHZFNpYNeKFtG8_yji4HS352LGlSQ/edit?pli=1#gid=0"",""1_ACUM!A4:S""),12,FALSE))"),"")</f>
        <v/>
      </c>
      <c r="AY182" s="43" t="str">
        <f ca="1">IFERROR(__xludf.DUMMYFUNCTION("IFERROR(VLOOKUP(E196&amp;F196,IMPORTRANGE(""https://docs.google.com/spreadsheets/d/1Uw7-A9f9R21vMXxHZFNpYNeKFtG8_yji4HS352LGlSQ/edit?pli=1#gid=0"",""1_ACUM!A4:S""),13,FALSE))"),"")</f>
        <v/>
      </c>
      <c r="AZ182" s="43" t="str">
        <f ca="1">IFERROR(__xludf.DUMMYFUNCTION("IFERROR(VLOOKUP(E196&amp;F196,IMPORTRANGE(""https://docs.google.com/spreadsheets/d/1Uw7-A9f9R21vMXxHZFNpYNeKFtG8_yji4HS352LGlSQ/edit?pli=1#gid=0"",""1_ACUM!A4:S""),14,FALSE))"),"")</f>
        <v/>
      </c>
      <c r="BA182" s="43" t="str">
        <f ca="1">IFERROR(__xludf.DUMMYFUNCTION("IFERROR(VLOOKUP(E196&amp;F196,IMPORTRANGE(""https://docs.google.com/spreadsheets/d/1Uw7-A9f9R21vMXxHZFNpYNeKFtG8_yji4HS352LGlSQ/edit?pli=1#gid=0"",""1_ACUM!A4:S""),15,FALSE))"),"")</f>
        <v/>
      </c>
      <c r="BB182" s="43" t="str">
        <f ca="1">IFERROR(__xludf.DUMMYFUNCTION("IFERROR(VLOOKUP(E196&amp;F196,IMPORTRANGE(""https://docs.google.com/spreadsheets/d/1Uw7-A9f9R21vMXxHZFNpYNeKFtG8_yji4HS352LGlSQ/edit?pli=1#gid=0"",""1_ACUM!A4:S""),16,FALSE))"),"")</f>
        <v/>
      </c>
      <c r="BC182" s="43" t="str">
        <f ca="1">IFERROR(__xludf.DUMMYFUNCTION("IFERROR(VLOOKUP(E196&amp;F196,IMPORTRANGE(""https://docs.google.com/spreadsheets/d/1Uw7-A9f9R21vMXxHZFNpYNeKFtG8_yji4HS352LGlSQ/edit?pli=1#gid=0"",""1_ACUM!A4:S""),17,FALSE))"),"")</f>
        <v/>
      </c>
      <c r="BD182" s="44" t="str">
        <f ca="1">IFERROR(__xludf.DUMMYFUNCTION("IFERROR(VLOOKUP(E196&amp;F196,IMPORTRANGE(""https://docs.google.com/spreadsheets/d/1Uw7-A9f9R21vMXxHZFNpYNeKFtG8_yji4HS352LGlSQ/edit?pli=1#gid=0"",""1_ACUM!A4:S""),18,FALSE))"),"")</f>
        <v/>
      </c>
      <c r="BE182" s="44" t="str">
        <f ca="1">IFERROR(__xludf.DUMMYFUNCTION("IFERROR(VLOOKUP(E196&amp;F196,IMPORTRANGE(""https://docs.google.com/spreadsheets/d/1Uw7-A9f9R21vMXxHZFNpYNeKFtG8_yji4HS352LGlSQ/edit?pli=1#gid=0"",""1_ACUM!A4:S""),19,FALSE))"),"")</f>
        <v/>
      </c>
      <c r="BF182" s="98" t="str">
        <f ca="1">IFERROR(__xludf.DUMMYFUNCTION("IFERROR(VLOOKUP(F196,IMPORTRANGE(""https://docs.google.com/spreadsheets/d/1Kvs4KS76FHFqLFIZfrDMff4kP08nblUkihrxltoGBjg/edit#gid=934712705"",""ESENCIAL!A6:BG""),5,FALSE))"),"")</f>
        <v/>
      </c>
      <c r="BG182" s="98" t="str">
        <f t="shared" si="9"/>
        <v/>
      </c>
      <c r="BH182" s="99" t="str">
        <f t="shared" si="10"/>
        <v/>
      </c>
      <c r="BI182" s="100" t="str">
        <f ca="1">IFERROR(__xludf.DUMMYFUNCTION("IFERROR(VLOOKUP(F196,IMPORTRANGE(""https://docs.google.com/spreadsheets/d/1Kvs4KS76FHFqLFIZfrDMff4kP08nblUkihrxltoGBjg/edit#gid=934712705"",""ESENCIAL!A6:BG""),2,FALSE))"),"")</f>
        <v/>
      </c>
      <c r="BJ182" s="19" t="str">
        <f t="shared" si="11"/>
        <v/>
      </c>
      <c r="BK182" s="100"/>
      <c r="BL182" s="100"/>
    </row>
    <row r="183" spans="1:64" ht="15">
      <c r="A183" s="101"/>
      <c r="B183" s="101"/>
      <c r="G183" s="5" t="str">
        <f ca="1">IFERROR(__xludf.DUMMYFUNCTION("IFERROR(VLOOKUP(F197,IMPORTRANGE(""https://docs.google.com/spreadsheets/d/1Kvs4KS76FHFqLFIZfrDMff4kP08nblUkihrxltoGBjg/edit#gid=934712705"",""ESENCIAL!A6:BG""),3,FALSE))"),"")</f>
        <v/>
      </c>
      <c r="H183" s="5" t="str">
        <f ca="1">IFERROR(__xludf.DUMMYFUNCTION("IFERROR(VLOOKUP(F197,IMPORTRANGE(""https://docs.google.com/spreadsheets/d/1Kvs4KS76FHFqLFIZfrDMff4kP08nblUkihrxltoGBjg/edit#gid=934712705"",""ESENCIAL!A6:BG""),8,FALSE))"),"")</f>
        <v/>
      </c>
      <c r="L183" s="287"/>
      <c r="U183" s="40"/>
      <c r="AU183" s="41" t="str">
        <f t="shared" si="8"/>
        <v/>
      </c>
      <c r="AV183" s="5" t="str">
        <f ca="1">IFERROR(__xludf.DUMMYFUNCTION("IFERROR(VLOOKUP(E197&amp;F197,IMPORTRANGE(""https://docs.google.com/spreadsheets/d/1Uw7-A9f9R21vMXxHZFNpYNeKFtG8_yji4HS352LGlSQ/edit?pli=1#gid=0"",""1_ACUM!A4:S""),11,FALSE))"),"")</f>
        <v/>
      </c>
      <c r="AW183" s="42" t="str">
        <f ca="1">IFERROR(__xludf.DUMMYFUNCTION("IFERROR(VLOOKUP(F197,IMPORTRANGE(""https://docs.google.com/spreadsheets/d/1Kvs4KS76FHFqLFIZfrDMff4kP08nblUkihrxltoGBjg/edit#gid=934712705"",""ESENCIAL!A6:BG""),15,FALSE))"),"")</f>
        <v/>
      </c>
      <c r="AX183" s="21" t="str">
        <f ca="1">IFERROR(__xludf.DUMMYFUNCTION("IFERROR(VLOOKUP(E197&amp;F197,IMPORTRANGE(""https://docs.google.com/spreadsheets/d/1Uw7-A9f9R21vMXxHZFNpYNeKFtG8_yji4HS352LGlSQ/edit?pli=1#gid=0"",""1_ACUM!A4:S""),12,FALSE))"),"")</f>
        <v/>
      </c>
      <c r="AY183" s="43" t="str">
        <f ca="1">IFERROR(__xludf.DUMMYFUNCTION("IFERROR(VLOOKUP(E197&amp;F197,IMPORTRANGE(""https://docs.google.com/spreadsheets/d/1Uw7-A9f9R21vMXxHZFNpYNeKFtG8_yji4HS352LGlSQ/edit?pli=1#gid=0"",""1_ACUM!A4:S""),13,FALSE))"),"")</f>
        <v/>
      </c>
      <c r="AZ183" s="43" t="str">
        <f ca="1">IFERROR(__xludf.DUMMYFUNCTION("IFERROR(VLOOKUP(E197&amp;F197,IMPORTRANGE(""https://docs.google.com/spreadsheets/d/1Uw7-A9f9R21vMXxHZFNpYNeKFtG8_yji4HS352LGlSQ/edit?pli=1#gid=0"",""1_ACUM!A4:S""),14,FALSE))"),"")</f>
        <v/>
      </c>
      <c r="BA183" s="43" t="str">
        <f ca="1">IFERROR(__xludf.DUMMYFUNCTION("IFERROR(VLOOKUP(E197&amp;F197,IMPORTRANGE(""https://docs.google.com/spreadsheets/d/1Uw7-A9f9R21vMXxHZFNpYNeKFtG8_yji4HS352LGlSQ/edit?pli=1#gid=0"",""1_ACUM!A4:S""),15,FALSE))"),"")</f>
        <v/>
      </c>
      <c r="BB183" s="43" t="str">
        <f ca="1">IFERROR(__xludf.DUMMYFUNCTION("IFERROR(VLOOKUP(E197&amp;F197,IMPORTRANGE(""https://docs.google.com/spreadsheets/d/1Uw7-A9f9R21vMXxHZFNpYNeKFtG8_yji4HS352LGlSQ/edit?pli=1#gid=0"",""1_ACUM!A4:S""),16,FALSE))"),"")</f>
        <v/>
      </c>
      <c r="BC183" s="43" t="str">
        <f ca="1">IFERROR(__xludf.DUMMYFUNCTION("IFERROR(VLOOKUP(E197&amp;F197,IMPORTRANGE(""https://docs.google.com/spreadsheets/d/1Uw7-A9f9R21vMXxHZFNpYNeKFtG8_yji4HS352LGlSQ/edit?pli=1#gid=0"",""1_ACUM!A4:S""),17,FALSE))"),"")</f>
        <v/>
      </c>
      <c r="BD183" s="44" t="str">
        <f ca="1">IFERROR(__xludf.DUMMYFUNCTION("IFERROR(VLOOKUP(E197&amp;F197,IMPORTRANGE(""https://docs.google.com/spreadsheets/d/1Uw7-A9f9R21vMXxHZFNpYNeKFtG8_yji4HS352LGlSQ/edit?pli=1#gid=0"",""1_ACUM!A4:S""),18,FALSE))"),"")</f>
        <v/>
      </c>
      <c r="BE183" s="44" t="str">
        <f ca="1">IFERROR(__xludf.DUMMYFUNCTION("IFERROR(VLOOKUP(E197&amp;F197,IMPORTRANGE(""https://docs.google.com/spreadsheets/d/1Uw7-A9f9R21vMXxHZFNpYNeKFtG8_yji4HS352LGlSQ/edit?pli=1#gid=0"",""1_ACUM!A4:S""),19,FALSE))"),"")</f>
        <v/>
      </c>
      <c r="BF183" s="98" t="str">
        <f ca="1">IFERROR(__xludf.DUMMYFUNCTION("IFERROR(VLOOKUP(F197,IMPORTRANGE(""https://docs.google.com/spreadsheets/d/1Kvs4KS76FHFqLFIZfrDMff4kP08nblUkihrxltoGBjg/edit#gid=934712705"",""ESENCIAL!A6:BG""),5,FALSE))"),"")</f>
        <v/>
      </c>
      <c r="BG183" s="98" t="str">
        <f t="shared" si="9"/>
        <v/>
      </c>
      <c r="BH183" s="99" t="str">
        <f t="shared" si="10"/>
        <v/>
      </c>
      <c r="BI183" s="100" t="str">
        <f ca="1">IFERROR(__xludf.DUMMYFUNCTION("IFERROR(VLOOKUP(F197,IMPORTRANGE(""https://docs.google.com/spreadsheets/d/1Kvs4KS76FHFqLFIZfrDMff4kP08nblUkihrxltoGBjg/edit#gid=934712705"",""ESENCIAL!A6:BG""),2,FALSE))"),"")</f>
        <v/>
      </c>
      <c r="BJ183" s="19" t="str">
        <f t="shared" si="11"/>
        <v/>
      </c>
      <c r="BK183" s="100"/>
      <c r="BL183" s="100"/>
    </row>
    <row r="184" spans="1:64" ht="15">
      <c r="A184" s="101"/>
      <c r="B184" s="101"/>
      <c r="G184" s="5" t="str">
        <f ca="1">IFERROR(__xludf.DUMMYFUNCTION("IFERROR(VLOOKUP(F198,IMPORTRANGE(""https://docs.google.com/spreadsheets/d/1Kvs4KS76FHFqLFIZfrDMff4kP08nblUkihrxltoGBjg/edit#gid=934712705"",""ESENCIAL!A6:BG""),3,FALSE))"),"")</f>
        <v/>
      </c>
      <c r="H184" s="5" t="str">
        <f ca="1">IFERROR(__xludf.DUMMYFUNCTION("IFERROR(VLOOKUP(F198,IMPORTRANGE(""https://docs.google.com/spreadsheets/d/1Kvs4KS76FHFqLFIZfrDMff4kP08nblUkihrxltoGBjg/edit#gid=934712705"",""ESENCIAL!A6:BG""),8,FALSE))"),"")</f>
        <v/>
      </c>
      <c r="L184" s="287"/>
      <c r="U184" s="40"/>
      <c r="AU184" s="41" t="str">
        <f t="shared" si="8"/>
        <v/>
      </c>
      <c r="AV184" s="5" t="str">
        <f ca="1">IFERROR(__xludf.DUMMYFUNCTION("IFERROR(VLOOKUP(E198&amp;F198,IMPORTRANGE(""https://docs.google.com/spreadsheets/d/1Uw7-A9f9R21vMXxHZFNpYNeKFtG8_yji4HS352LGlSQ/edit?pli=1#gid=0"",""1_ACUM!A4:S""),11,FALSE))"),"")</f>
        <v/>
      </c>
      <c r="AW184" s="42" t="str">
        <f ca="1">IFERROR(__xludf.DUMMYFUNCTION("IFERROR(VLOOKUP(F198,IMPORTRANGE(""https://docs.google.com/spreadsheets/d/1Kvs4KS76FHFqLFIZfrDMff4kP08nblUkihrxltoGBjg/edit#gid=934712705"",""ESENCIAL!A6:BG""),15,FALSE))"),"")</f>
        <v/>
      </c>
      <c r="AX184" s="21" t="str">
        <f ca="1">IFERROR(__xludf.DUMMYFUNCTION("IFERROR(VLOOKUP(E198&amp;F198,IMPORTRANGE(""https://docs.google.com/spreadsheets/d/1Uw7-A9f9R21vMXxHZFNpYNeKFtG8_yji4HS352LGlSQ/edit?pli=1#gid=0"",""1_ACUM!A4:S""),12,FALSE))"),"")</f>
        <v/>
      </c>
      <c r="AY184" s="43" t="str">
        <f ca="1">IFERROR(__xludf.DUMMYFUNCTION("IFERROR(VLOOKUP(E198&amp;F198,IMPORTRANGE(""https://docs.google.com/spreadsheets/d/1Uw7-A9f9R21vMXxHZFNpYNeKFtG8_yji4HS352LGlSQ/edit?pli=1#gid=0"",""1_ACUM!A4:S""),13,FALSE))"),"")</f>
        <v/>
      </c>
      <c r="AZ184" s="43" t="str">
        <f ca="1">IFERROR(__xludf.DUMMYFUNCTION("IFERROR(VLOOKUP(E198&amp;F198,IMPORTRANGE(""https://docs.google.com/spreadsheets/d/1Uw7-A9f9R21vMXxHZFNpYNeKFtG8_yji4HS352LGlSQ/edit?pli=1#gid=0"",""1_ACUM!A4:S""),14,FALSE))"),"")</f>
        <v/>
      </c>
      <c r="BA184" s="43" t="str">
        <f ca="1">IFERROR(__xludf.DUMMYFUNCTION("IFERROR(VLOOKUP(E198&amp;F198,IMPORTRANGE(""https://docs.google.com/spreadsheets/d/1Uw7-A9f9R21vMXxHZFNpYNeKFtG8_yji4HS352LGlSQ/edit?pli=1#gid=0"",""1_ACUM!A4:S""),15,FALSE))"),"")</f>
        <v/>
      </c>
      <c r="BB184" s="43" t="str">
        <f ca="1">IFERROR(__xludf.DUMMYFUNCTION("IFERROR(VLOOKUP(E198&amp;F198,IMPORTRANGE(""https://docs.google.com/spreadsheets/d/1Uw7-A9f9R21vMXxHZFNpYNeKFtG8_yji4HS352LGlSQ/edit?pli=1#gid=0"",""1_ACUM!A4:S""),16,FALSE))"),"")</f>
        <v/>
      </c>
      <c r="BC184" s="43" t="str">
        <f ca="1">IFERROR(__xludf.DUMMYFUNCTION("IFERROR(VLOOKUP(E198&amp;F198,IMPORTRANGE(""https://docs.google.com/spreadsheets/d/1Uw7-A9f9R21vMXxHZFNpYNeKFtG8_yji4HS352LGlSQ/edit?pli=1#gid=0"",""1_ACUM!A4:S""),17,FALSE))"),"")</f>
        <v/>
      </c>
      <c r="BD184" s="44" t="str">
        <f ca="1">IFERROR(__xludf.DUMMYFUNCTION("IFERROR(VLOOKUP(E198&amp;F198,IMPORTRANGE(""https://docs.google.com/spreadsheets/d/1Uw7-A9f9R21vMXxHZFNpYNeKFtG8_yji4HS352LGlSQ/edit?pli=1#gid=0"",""1_ACUM!A4:S""),18,FALSE))"),"")</f>
        <v/>
      </c>
      <c r="BE184" s="44" t="str">
        <f ca="1">IFERROR(__xludf.DUMMYFUNCTION("IFERROR(VLOOKUP(E198&amp;F198,IMPORTRANGE(""https://docs.google.com/spreadsheets/d/1Uw7-A9f9R21vMXxHZFNpYNeKFtG8_yji4HS352LGlSQ/edit?pli=1#gid=0"",""1_ACUM!A4:S""),19,FALSE))"),"")</f>
        <v/>
      </c>
      <c r="BF184" s="98" t="str">
        <f ca="1">IFERROR(__xludf.DUMMYFUNCTION("IFERROR(VLOOKUP(F198,IMPORTRANGE(""https://docs.google.com/spreadsheets/d/1Kvs4KS76FHFqLFIZfrDMff4kP08nblUkihrxltoGBjg/edit#gid=934712705"",""ESENCIAL!A6:BG""),5,FALSE))"),"")</f>
        <v/>
      </c>
      <c r="BG184" s="98" t="str">
        <f t="shared" si="9"/>
        <v/>
      </c>
      <c r="BH184" s="99" t="str">
        <f t="shared" si="10"/>
        <v/>
      </c>
      <c r="BI184" s="100" t="str">
        <f ca="1">IFERROR(__xludf.DUMMYFUNCTION("IFERROR(VLOOKUP(F198,IMPORTRANGE(""https://docs.google.com/spreadsheets/d/1Kvs4KS76FHFqLFIZfrDMff4kP08nblUkihrxltoGBjg/edit#gid=934712705"",""ESENCIAL!A6:BG""),2,FALSE))"),"")</f>
        <v/>
      </c>
      <c r="BJ184" s="19" t="str">
        <f t="shared" si="11"/>
        <v/>
      </c>
      <c r="BK184" s="100"/>
      <c r="BL184" s="100"/>
    </row>
    <row r="185" spans="1:64" ht="15">
      <c r="A185" s="101"/>
      <c r="B185" s="101"/>
      <c r="G185" s="5" t="str">
        <f ca="1">IFERROR(__xludf.DUMMYFUNCTION("IFERROR(VLOOKUP(F199,IMPORTRANGE(""https://docs.google.com/spreadsheets/d/1Kvs4KS76FHFqLFIZfrDMff4kP08nblUkihrxltoGBjg/edit#gid=934712705"",""ESENCIAL!A6:BG""),3,FALSE))"),"")</f>
        <v/>
      </c>
      <c r="H185" s="5" t="str">
        <f ca="1">IFERROR(__xludf.DUMMYFUNCTION("IFERROR(VLOOKUP(F199,IMPORTRANGE(""https://docs.google.com/spreadsheets/d/1Kvs4KS76FHFqLFIZfrDMff4kP08nblUkihrxltoGBjg/edit#gid=934712705"",""ESENCIAL!A6:BG""),8,FALSE))"),"")</f>
        <v/>
      </c>
      <c r="L185" s="287"/>
      <c r="U185" s="40"/>
      <c r="AU185" s="41" t="str">
        <f t="shared" si="8"/>
        <v/>
      </c>
      <c r="AV185" s="5" t="str">
        <f ca="1">IFERROR(__xludf.DUMMYFUNCTION("IFERROR(VLOOKUP(E199&amp;F199,IMPORTRANGE(""https://docs.google.com/spreadsheets/d/1Uw7-A9f9R21vMXxHZFNpYNeKFtG8_yji4HS352LGlSQ/edit?pli=1#gid=0"",""1_ACUM!A4:S""),11,FALSE))"),"")</f>
        <v/>
      </c>
      <c r="AW185" s="42" t="str">
        <f ca="1">IFERROR(__xludf.DUMMYFUNCTION("IFERROR(VLOOKUP(F199,IMPORTRANGE(""https://docs.google.com/spreadsheets/d/1Kvs4KS76FHFqLFIZfrDMff4kP08nblUkihrxltoGBjg/edit#gid=934712705"",""ESENCIAL!A6:BG""),15,FALSE))"),"")</f>
        <v/>
      </c>
      <c r="AX185" s="21" t="str">
        <f ca="1">IFERROR(__xludf.DUMMYFUNCTION("IFERROR(VLOOKUP(E199&amp;F199,IMPORTRANGE(""https://docs.google.com/spreadsheets/d/1Uw7-A9f9R21vMXxHZFNpYNeKFtG8_yji4HS352LGlSQ/edit?pli=1#gid=0"",""1_ACUM!A4:S""),12,FALSE))"),"")</f>
        <v/>
      </c>
      <c r="AY185" s="43" t="str">
        <f ca="1">IFERROR(__xludf.DUMMYFUNCTION("IFERROR(VLOOKUP(E199&amp;F199,IMPORTRANGE(""https://docs.google.com/spreadsheets/d/1Uw7-A9f9R21vMXxHZFNpYNeKFtG8_yji4HS352LGlSQ/edit?pli=1#gid=0"",""1_ACUM!A4:S""),13,FALSE))"),"")</f>
        <v/>
      </c>
      <c r="AZ185" s="43" t="str">
        <f ca="1">IFERROR(__xludf.DUMMYFUNCTION("IFERROR(VLOOKUP(E199&amp;F199,IMPORTRANGE(""https://docs.google.com/spreadsheets/d/1Uw7-A9f9R21vMXxHZFNpYNeKFtG8_yji4HS352LGlSQ/edit?pli=1#gid=0"",""1_ACUM!A4:S""),14,FALSE))"),"")</f>
        <v/>
      </c>
      <c r="BA185" s="43" t="str">
        <f ca="1">IFERROR(__xludf.DUMMYFUNCTION("IFERROR(VLOOKUP(E199&amp;F199,IMPORTRANGE(""https://docs.google.com/spreadsheets/d/1Uw7-A9f9R21vMXxHZFNpYNeKFtG8_yji4HS352LGlSQ/edit?pli=1#gid=0"",""1_ACUM!A4:S""),15,FALSE))"),"")</f>
        <v/>
      </c>
      <c r="BB185" s="43" t="str">
        <f ca="1">IFERROR(__xludf.DUMMYFUNCTION("IFERROR(VLOOKUP(E199&amp;F199,IMPORTRANGE(""https://docs.google.com/spreadsheets/d/1Uw7-A9f9R21vMXxHZFNpYNeKFtG8_yji4HS352LGlSQ/edit?pli=1#gid=0"",""1_ACUM!A4:S""),16,FALSE))"),"")</f>
        <v/>
      </c>
      <c r="BC185" s="43" t="str">
        <f ca="1">IFERROR(__xludf.DUMMYFUNCTION("IFERROR(VLOOKUP(E199&amp;F199,IMPORTRANGE(""https://docs.google.com/spreadsheets/d/1Uw7-A9f9R21vMXxHZFNpYNeKFtG8_yji4HS352LGlSQ/edit?pli=1#gid=0"",""1_ACUM!A4:S""),17,FALSE))"),"")</f>
        <v/>
      </c>
      <c r="BD185" s="44" t="str">
        <f ca="1">IFERROR(__xludf.DUMMYFUNCTION("IFERROR(VLOOKUP(E199&amp;F199,IMPORTRANGE(""https://docs.google.com/spreadsheets/d/1Uw7-A9f9R21vMXxHZFNpYNeKFtG8_yji4HS352LGlSQ/edit?pli=1#gid=0"",""1_ACUM!A4:S""),18,FALSE))"),"")</f>
        <v/>
      </c>
      <c r="BE185" s="44" t="str">
        <f ca="1">IFERROR(__xludf.DUMMYFUNCTION("IFERROR(VLOOKUP(E199&amp;F199,IMPORTRANGE(""https://docs.google.com/spreadsheets/d/1Uw7-A9f9R21vMXxHZFNpYNeKFtG8_yji4HS352LGlSQ/edit?pli=1#gid=0"",""1_ACUM!A4:S""),19,FALSE))"),"")</f>
        <v/>
      </c>
      <c r="BF185" s="98" t="str">
        <f ca="1">IFERROR(__xludf.DUMMYFUNCTION("IFERROR(VLOOKUP(F199,IMPORTRANGE(""https://docs.google.com/spreadsheets/d/1Kvs4KS76FHFqLFIZfrDMff4kP08nblUkihrxltoGBjg/edit#gid=934712705"",""ESENCIAL!A6:BG""),5,FALSE))"),"")</f>
        <v/>
      </c>
      <c r="BG185" s="98" t="str">
        <f t="shared" si="9"/>
        <v/>
      </c>
      <c r="BH185" s="99" t="str">
        <f t="shared" si="10"/>
        <v/>
      </c>
      <c r="BI185" s="100" t="str">
        <f ca="1">IFERROR(__xludf.DUMMYFUNCTION("IFERROR(VLOOKUP(F199,IMPORTRANGE(""https://docs.google.com/spreadsheets/d/1Kvs4KS76FHFqLFIZfrDMff4kP08nblUkihrxltoGBjg/edit#gid=934712705"",""ESENCIAL!A6:BG""),2,FALSE))"),"")</f>
        <v/>
      </c>
      <c r="BJ185" s="19" t="str">
        <f t="shared" si="11"/>
        <v/>
      </c>
      <c r="BK185" s="100"/>
      <c r="BL185" s="100"/>
    </row>
    <row r="186" spans="1:64" ht="15">
      <c r="A186" s="101"/>
      <c r="B186" s="101"/>
      <c r="G186" s="5" t="str">
        <f ca="1">IFERROR(__xludf.DUMMYFUNCTION("IFERROR(VLOOKUP(F200,IMPORTRANGE(""https://docs.google.com/spreadsheets/d/1Kvs4KS76FHFqLFIZfrDMff4kP08nblUkihrxltoGBjg/edit#gid=934712705"",""ESENCIAL!A6:BG""),3,FALSE))"),"")</f>
        <v/>
      </c>
      <c r="H186" s="5" t="str">
        <f ca="1">IFERROR(__xludf.DUMMYFUNCTION("IFERROR(VLOOKUP(F200,IMPORTRANGE(""https://docs.google.com/spreadsheets/d/1Kvs4KS76FHFqLFIZfrDMff4kP08nblUkihrxltoGBjg/edit#gid=934712705"",""ESENCIAL!A6:BG""),8,FALSE))"),"")</f>
        <v/>
      </c>
      <c r="L186" s="287"/>
      <c r="U186" s="40"/>
      <c r="AU186" s="41" t="str">
        <f t="shared" si="8"/>
        <v/>
      </c>
      <c r="AV186" s="5" t="str">
        <f ca="1">IFERROR(__xludf.DUMMYFUNCTION("IFERROR(VLOOKUP(E200&amp;F200,IMPORTRANGE(""https://docs.google.com/spreadsheets/d/1Uw7-A9f9R21vMXxHZFNpYNeKFtG8_yji4HS352LGlSQ/edit?pli=1#gid=0"",""1_ACUM!A4:S""),11,FALSE))"),"")</f>
        <v/>
      </c>
      <c r="AW186" s="42" t="str">
        <f ca="1">IFERROR(__xludf.DUMMYFUNCTION("IFERROR(VLOOKUP(F200,IMPORTRANGE(""https://docs.google.com/spreadsheets/d/1Kvs4KS76FHFqLFIZfrDMff4kP08nblUkihrxltoGBjg/edit#gid=934712705"",""ESENCIAL!A6:BG""),15,FALSE))"),"")</f>
        <v/>
      </c>
      <c r="AX186" s="21" t="str">
        <f ca="1">IFERROR(__xludf.DUMMYFUNCTION("IFERROR(VLOOKUP(E200&amp;F200,IMPORTRANGE(""https://docs.google.com/spreadsheets/d/1Uw7-A9f9R21vMXxHZFNpYNeKFtG8_yji4HS352LGlSQ/edit?pli=1#gid=0"",""1_ACUM!A4:S""),12,FALSE))"),"")</f>
        <v/>
      </c>
      <c r="AY186" s="43" t="str">
        <f ca="1">IFERROR(__xludf.DUMMYFUNCTION("IFERROR(VLOOKUP(E200&amp;F200,IMPORTRANGE(""https://docs.google.com/spreadsheets/d/1Uw7-A9f9R21vMXxHZFNpYNeKFtG8_yji4HS352LGlSQ/edit?pli=1#gid=0"",""1_ACUM!A4:S""),13,FALSE))"),"")</f>
        <v/>
      </c>
      <c r="AZ186" s="43" t="str">
        <f ca="1">IFERROR(__xludf.DUMMYFUNCTION("IFERROR(VLOOKUP(E200&amp;F200,IMPORTRANGE(""https://docs.google.com/spreadsheets/d/1Uw7-A9f9R21vMXxHZFNpYNeKFtG8_yji4HS352LGlSQ/edit?pli=1#gid=0"",""1_ACUM!A4:S""),14,FALSE))"),"")</f>
        <v/>
      </c>
      <c r="BA186" s="43" t="str">
        <f ca="1">IFERROR(__xludf.DUMMYFUNCTION("IFERROR(VLOOKUP(E200&amp;F200,IMPORTRANGE(""https://docs.google.com/spreadsheets/d/1Uw7-A9f9R21vMXxHZFNpYNeKFtG8_yji4HS352LGlSQ/edit?pli=1#gid=0"",""1_ACUM!A4:S""),15,FALSE))"),"")</f>
        <v/>
      </c>
      <c r="BB186" s="43" t="str">
        <f ca="1">IFERROR(__xludf.DUMMYFUNCTION("IFERROR(VLOOKUP(E200&amp;F200,IMPORTRANGE(""https://docs.google.com/spreadsheets/d/1Uw7-A9f9R21vMXxHZFNpYNeKFtG8_yji4HS352LGlSQ/edit?pli=1#gid=0"",""1_ACUM!A4:S""),16,FALSE))"),"")</f>
        <v/>
      </c>
      <c r="BC186" s="43" t="str">
        <f ca="1">IFERROR(__xludf.DUMMYFUNCTION("IFERROR(VLOOKUP(E200&amp;F200,IMPORTRANGE(""https://docs.google.com/spreadsheets/d/1Uw7-A9f9R21vMXxHZFNpYNeKFtG8_yji4HS352LGlSQ/edit?pli=1#gid=0"",""1_ACUM!A4:S""),17,FALSE))"),"")</f>
        <v/>
      </c>
      <c r="BD186" s="44" t="str">
        <f ca="1">IFERROR(__xludf.DUMMYFUNCTION("IFERROR(VLOOKUP(E200&amp;F200,IMPORTRANGE(""https://docs.google.com/spreadsheets/d/1Uw7-A9f9R21vMXxHZFNpYNeKFtG8_yji4HS352LGlSQ/edit?pli=1#gid=0"",""1_ACUM!A4:S""),18,FALSE))"),"")</f>
        <v/>
      </c>
      <c r="BE186" s="44" t="str">
        <f ca="1">IFERROR(__xludf.DUMMYFUNCTION("IFERROR(VLOOKUP(E200&amp;F200,IMPORTRANGE(""https://docs.google.com/spreadsheets/d/1Uw7-A9f9R21vMXxHZFNpYNeKFtG8_yji4HS352LGlSQ/edit?pli=1#gid=0"",""1_ACUM!A4:S""),19,FALSE))"),"")</f>
        <v/>
      </c>
      <c r="BF186" s="98" t="str">
        <f ca="1">IFERROR(__xludf.DUMMYFUNCTION("IFERROR(VLOOKUP(F200,IMPORTRANGE(""https://docs.google.com/spreadsheets/d/1Kvs4KS76FHFqLFIZfrDMff4kP08nblUkihrxltoGBjg/edit#gid=934712705"",""ESENCIAL!A6:BG""),5,FALSE))"),"")</f>
        <v/>
      </c>
      <c r="BG186" s="98" t="str">
        <f t="shared" si="9"/>
        <v/>
      </c>
      <c r="BH186" s="99" t="str">
        <f t="shared" si="10"/>
        <v/>
      </c>
      <c r="BI186" s="100" t="str">
        <f ca="1">IFERROR(__xludf.DUMMYFUNCTION("IFERROR(VLOOKUP(F200,IMPORTRANGE(""https://docs.google.com/spreadsheets/d/1Kvs4KS76FHFqLFIZfrDMff4kP08nblUkihrxltoGBjg/edit#gid=934712705"",""ESENCIAL!A6:BG""),2,FALSE))"),"")</f>
        <v/>
      </c>
      <c r="BJ186" s="19" t="str">
        <f t="shared" si="11"/>
        <v/>
      </c>
      <c r="BK186" s="100"/>
      <c r="BL186" s="100"/>
    </row>
    <row r="187" spans="1:64" ht="15">
      <c r="A187" s="101"/>
      <c r="B187" s="101"/>
      <c r="G187" s="5" t="str">
        <f ca="1">IFERROR(__xludf.DUMMYFUNCTION("IFERROR(VLOOKUP(F201,IMPORTRANGE(""https://docs.google.com/spreadsheets/d/1Kvs4KS76FHFqLFIZfrDMff4kP08nblUkihrxltoGBjg/edit#gid=934712705"",""ESENCIAL!A6:BG""),3,FALSE))"),"")</f>
        <v/>
      </c>
      <c r="H187" s="5" t="str">
        <f ca="1">IFERROR(__xludf.DUMMYFUNCTION("IFERROR(VLOOKUP(F201,IMPORTRANGE(""https://docs.google.com/spreadsheets/d/1Kvs4KS76FHFqLFIZfrDMff4kP08nblUkihrxltoGBjg/edit#gid=934712705"",""ESENCIAL!A6:BG""),8,FALSE))"),"")</f>
        <v/>
      </c>
      <c r="L187" s="287"/>
      <c r="U187" s="40"/>
      <c r="AU187" s="41" t="str">
        <f t="shared" si="8"/>
        <v/>
      </c>
      <c r="AV187" s="5" t="str">
        <f ca="1">IFERROR(__xludf.DUMMYFUNCTION("IFERROR(VLOOKUP(E201&amp;F201,IMPORTRANGE(""https://docs.google.com/spreadsheets/d/1Uw7-A9f9R21vMXxHZFNpYNeKFtG8_yji4HS352LGlSQ/edit?pli=1#gid=0"",""1_ACUM!A4:S""),11,FALSE))"),"")</f>
        <v/>
      </c>
      <c r="AW187" s="42" t="str">
        <f ca="1">IFERROR(__xludf.DUMMYFUNCTION("IFERROR(VLOOKUP(F201,IMPORTRANGE(""https://docs.google.com/spreadsheets/d/1Kvs4KS76FHFqLFIZfrDMff4kP08nblUkihrxltoGBjg/edit#gid=934712705"",""ESENCIAL!A6:BG""),15,FALSE))"),"")</f>
        <v/>
      </c>
      <c r="AX187" s="21" t="str">
        <f ca="1">IFERROR(__xludf.DUMMYFUNCTION("IFERROR(VLOOKUP(E201&amp;F201,IMPORTRANGE(""https://docs.google.com/spreadsheets/d/1Uw7-A9f9R21vMXxHZFNpYNeKFtG8_yji4HS352LGlSQ/edit?pli=1#gid=0"",""1_ACUM!A4:S""),12,FALSE))"),"")</f>
        <v/>
      </c>
      <c r="AY187" s="43" t="str">
        <f ca="1">IFERROR(__xludf.DUMMYFUNCTION("IFERROR(VLOOKUP(E201&amp;F201,IMPORTRANGE(""https://docs.google.com/spreadsheets/d/1Uw7-A9f9R21vMXxHZFNpYNeKFtG8_yji4HS352LGlSQ/edit?pli=1#gid=0"",""1_ACUM!A4:S""),13,FALSE))"),"")</f>
        <v/>
      </c>
      <c r="AZ187" s="43" t="str">
        <f ca="1">IFERROR(__xludf.DUMMYFUNCTION("IFERROR(VLOOKUP(E201&amp;F201,IMPORTRANGE(""https://docs.google.com/spreadsheets/d/1Uw7-A9f9R21vMXxHZFNpYNeKFtG8_yji4HS352LGlSQ/edit?pli=1#gid=0"",""1_ACUM!A4:S""),14,FALSE))"),"")</f>
        <v/>
      </c>
      <c r="BA187" s="43" t="str">
        <f ca="1">IFERROR(__xludf.DUMMYFUNCTION("IFERROR(VLOOKUP(E201&amp;F201,IMPORTRANGE(""https://docs.google.com/spreadsheets/d/1Uw7-A9f9R21vMXxHZFNpYNeKFtG8_yji4HS352LGlSQ/edit?pli=1#gid=0"",""1_ACUM!A4:S""),15,FALSE))"),"")</f>
        <v/>
      </c>
      <c r="BB187" s="43" t="str">
        <f ca="1">IFERROR(__xludf.DUMMYFUNCTION("IFERROR(VLOOKUP(E201&amp;F201,IMPORTRANGE(""https://docs.google.com/spreadsheets/d/1Uw7-A9f9R21vMXxHZFNpYNeKFtG8_yji4HS352LGlSQ/edit?pli=1#gid=0"",""1_ACUM!A4:S""),16,FALSE))"),"")</f>
        <v/>
      </c>
      <c r="BC187" s="43" t="str">
        <f ca="1">IFERROR(__xludf.DUMMYFUNCTION("IFERROR(VLOOKUP(E201&amp;F201,IMPORTRANGE(""https://docs.google.com/spreadsheets/d/1Uw7-A9f9R21vMXxHZFNpYNeKFtG8_yji4HS352LGlSQ/edit?pli=1#gid=0"",""1_ACUM!A4:S""),17,FALSE))"),"")</f>
        <v/>
      </c>
      <c r="BD187" s="44" t="str">
        <f ca="1">IFERROR(__xludf.DUMMYFUNCTION("IFERROR(VLOOKUP(E201&amp;F201,IMPORTRANGE(""https://docs.google.com/spreadsheets/d/1Uw7-A9f9R21vMXxHZFNpYNeKFtG8_yji4HS352LGlSQ/edit?pli=1#gid=0"",""1_ACUM!A4:S""),18,FALSE))"),"")</f>
        <v/>
      </c>
      <c r="BE187" s="44" t="str">
        <f ca="1">IFERROR(__xludf.DUMMYFUNCTION("IFERROR(VLOOKUP(E201&amp;F201,IMPORTRANGE(""https://docs.google.com/spreadsheets/d/1Uw7-A9f9R21vMXxHZFNpYNeKFtG8_yji4HS352LGlSQ/edit?pli=1#gid=0"",""1_ACUM!A4:S""),19,FALSE))"),"")</f>
        <v/>
      </c>
      <c r="BF187" s="98" t="str">
        <f ca="1">IFERROR(__xludf.DUMMYFUNCTION("IFERROR(VLOOKUP(F201,IMPORTRANGE(""https://docs.google.com/spreadsheets/d/1Kvs4KS76FHFqLFIZfrDMff4kP08nblUkihrxltoGBjg/edit#gid=934712705"",""ESENCIAL!A6:BG""),5,FALSE))"),"")</f>
        <v/>
      </c>
      <c r="BG187" s="98" t="str">
        <f t="shared" si="9"/>
        <v/>
      </c>
      <c r="BH187" s="99" t="str">
        <f t="shared" si="10"/>
        <v/>
      </c>
      <c r="BI187" s="100" t="str">
        <f ca="1">IFERROR(__xludf.DUMMYFUNCTION("IFERROR(VLOOKUP(F201,IMPORTRANGE(""https://docs.google.com/spreadsheets/d/1Kvs4KS76FHFqLFIZfrDMff4kP08nblUkihrxltoGBjg/edit#gid=934712705"",""ESENCIAL!A6:BG""),2,FALSE))"),"")</f>
        <v/>
      </c>
      <c r="BJ187" s="19" t="str">
        <f t="shared" si="11"/>
        <v/>
      </c>
      <c r="BK187" s="100"/>
      <c r="BL187" s="100"/>
    </row>
    <row r="188" spans="1:64" ht="15">
      <c r="A188" s="101"/>
      <c r="B188" s="101"/>
      <c r="G188" s="5" t="str">
        <f ca="1">IFERROR(__xludf.DUMMYFUNCTION("IFERROR(VLOOKUP(F202,IMPORTRANGE(""https://docs.google.com/spreadsheets/d/1Kvs4KS76FHFqLFIZfrDMff4kP08nblUkihrxltoGBjg/edit#gid=934712705"",""ESENCIAL!A6:BG""),3,FALSE))"),"")</f>
        <v/>
      </c>
      <c r="H188" s="5" t="str">
        <f ca="1">IFERROR(__xludf.DUMMYFUNCTION("IFERROR(VLOOKUP(F202,IMPORTRANGE(""https://docs.google.com/spreadsheets/d/1Kvs4KS76FHFqLFIZfrDMff4kP08nblUkihrxltoGBjg/edit#gid=934712705"",""ESENCIAL!A6:BG""),8,FALSE))"),"")</f>
        <v/>
      </c>
      <c r="L188" s="287"/>
      <c r="U188" s="40"/>
      <c r="AU188" s="41" t="str">
        <f t="shared" si="8"/>
        <v/>
      </c>
      <c r="AV188" s="5" t="str">
        <f ca="1">IFERROR(__xludf.DUMMYFUNCTION("IFERROR(VLOOKUP(E202&amp;F202,IMPORTRANGE(""https://docs.google.com/spreadsheets/d/1Uw7-A9f9R21vMXxHZFNpYNeKFtG8_yji4HS352LGlSQ/edit?pli=1#gid=0"",""1_ACUM!A4:S""),11,FALSE))"),"")</f>
        <v/>
      </c>
      <c r="AW188" s="42" t="str">
        <f ca="1">IFERROR(__xludf.DUMMYFUNCTION("IFERROR(VLOOKUP(F202,IMPORTRANGE(""https://docs.google.com/spreadsheets/d/1Kvs4KS76FHFqLFIZfrDMff4kP08nblUkihrxltoGBjg/edit#gid=934712705"",""ESENCIAL!A6:BG""),15,FALSE))"),"")</f>
        <v/>
      </c>
      <c r="AX188" s="21" t="str">
        <f ca="1">IFERROR(__xludf.DUMMYFUNCTION("IFERROR(VLOOKUP(E202&amp;F202,IMPORTRANGE(""https://docs.google.com/spreadsheets/d/1Uw7-A9f9R21vMXxHZFNpYNeKFtG8_yji4HS352LGlSQ/edit?pli=1#gid=0"",""1_ACUM!A4:S""),12,FALSE))"),"")</f>
        <v/>
      </c>
      <c r="AY188" s="43" t="str">
        <f ca="1">IFERROR(__xludf.DUMMYFUNCTION("IFERROR(VLOOKUP(E202&amp;F202,IMPORTRANGE(""https://docs.google.com/spreadsheets/d/1Uw7-A9f9R21vMXxHZFNpYNeKFtG8_yji4HS352LGlSQ/edit?pli=1#gid=0"",""1_ACUM!A4:S""),13,FALSE))"),"")</f>
        <v/>
      </c>
      <c r="AZ188" s="43" t="str">
        <f ca="1">IFERROR(__xludf.DUMMYFUNCTION("IFERROR(VLOOKUP(E202&amp;F202,IMPORTRANGE(""https://docs.google.com/spreadsheets/d/1Uw7-A9f9R21vMXxHZFNpYNeKFtG8_yji4HS352LGlSQ/edit?pli=1#gid=0"",""1_ACUM!A4:S""),14,FALSE))"),"")</f>
        <v/>
      </c>
      <c r="BA188" s="43" t="str">
        <f ca="1">IFERROR(__xludf.DUMMYFUNCTION("IFERROR(VLOOKUP(E202&amp;F202,IMPORTRANGE(""https://docs.google.com/spreadsheets/d/1Uw7-A9f9R21vMXxHZFNpYNeKFtG8_yji4HS352LGlSQ/edit?pli=1#gid=0"",""1_ACUM!A4:S""),15,FALSE))"),"")</f>
        <v/>
      </c>
      <c r="BB188" s="43" t="str">
        <f ca="1">IFERROR(__xludf.DUMMYFUNCTION("IFERROR(VLOOKUP(E202&amp;F202,IMPORTRANGE(""https://docs.google.com/spreadsheets/d/1Uw7-A9f9R21vMXxHZFNpYNeKFtG8_yji4HS352LGlSQ/edit?pli=1#gid=0"",""1_ACUM!A4:S""),16,FALSE))"),"")</f>
        <v/>
      </c>
      <c r="BC188" s="43" t="str">
        <f ca="1">IFERROR(__xludf.DUMMYFUNCTION("IFERROR(VLOOKUP(E202&amp;F202,IMPORTRANGE(""https://docs.google.com/spreadsheets/d/1Uw7-A9f9R21vMXxHZFNpYNeKFtG8_yji4HS352LGlSQ/edit?pli=1#gid=0"",""1_ACUM!A4:S""),17,FALSE))"),"")</f>
        <v/>
      </c>
      <c r="BD188" s="44" t="str">
        <f ca="1">IFERROR(__xludf.DUMMYFUNCTION("IFERROR(VLOOKUP(E202&amp;F202,IMPORTRANGE(""https://docs.google.com/spreadsheets/d/1Uw7-A9f9R21vMXxHZFNpYNeKFtG8_yji4HS352LGlSQ/edit?pli=1#gid=0"",""1_ACUM!A4:S""),18,FALSE))"),"")</f>
        <v/>
      </c>
      <c r="BE188" s="44" t="str">
        <f ca="1">IFERROR(__xludf.DUMMYFUNCTION("IFERROR(VLOOKUP(E202&amp;F202,IMPORTRANGE(""https://docs.google.com/spreadsheets/d/1Uw7-A9f9R21vMXxHZFNpYNeKFtG8_yji4HS352LGlSQ/edit?pli=1#gid=0"",""1_ACUM!A4:S""),19,FALSE))"),"")</f>
        <v/>
      </c>
      <c r="BF188" s="98" t="str">
        <f ca="1">IFERROR(__xludf.DUMMYFUNCTION("IFERROR(VLOOKUP(F202,IMPORTRANGE(""https://docs.google.com/spreadsheets/d/1Kvs4KS76FHFqLFIZfrDMff4kP08nblUkihrxltoGBjg/edit#gid=934712705"",""ESENCIAL!A6:BG""),5,FALSE))"),"")</f>
        <v/>
      </c>
      <c r="BG188" s="98" t="str">
        <f t="shared" si="9"/>
        <v/>
      </c>
      <c r="BH188" s="99" t="str">
        <f t="shared" si="10"/>
        <v/>
      </c>
      <c r="BI188" s="100" t="str">
        <f ca="1">IFERROR(__xludf.DUMMYFUNCTION("IFERROR(VLOOKUP(F202,IMPORTRANGE(""https://docs.google.com/spreadsheets/d/1Kvs4KS76FHFqLFIZfrDMff4kP08nblUkihrxltoGBjg/edit#gid=934712705"",""ESENCIAL!A6:BG""),2,FALSE))"),"")</f>
        <v/>
      </c>
      <c r="BJ188" s="19" t="str">
        <f t="shared" si="11"/>
        <v/>
      </c>
      <c r="BK188" s="100"/>
      <c r="BL188" s="100"/>
    </row>
    <row r="189" spans="1:64" ht="15">
      <c r="A189" s="101"/>
      <c r="B189" s="101"/>
      <c r="G189" s="5" t="str">
        <f ca="1">IFERROR(__xludf.DUMMYFUNCTION("IFERROR(VLOOKUP(F203,IMPORTRANGE(""https://docs.google.com/spreadsheets/d/1Kvs4KS76FHFqLFIZfrDMff4kP08nblUkihrxltoGBjg/edit#gid=934712705"",""ESENCIAL!A6:BG""),3,FALSE))"),"")</f>
        <v/>
      </c>
      <c r="H189" s="5" t="str">
        <f ca="1">IFERROR(__xludf.DUMMYFUNCTION("IFERROR(VLOOKUP(F203,IMPORTRANGE(""https://docs.google.com/spreadsheets/d/1Kvs4KS76FHFqLFIZfrDMff4kP08nblUkihrxltoGBjg/edit#gid=934712705"",""ESENCIAL!A6:BG""),8,FALSE))"),"")</f>
        <v/>
      </c>
      <c r="L189" s="287"/>
      <c r="U189" s="40"/>
      <c r="AU189" s="41" t="str">
        <f t="shared" si="8"/>
        <v/>
      </c>
      <c r="AV189" s="5" t="str">
        <f ca="1">IFERROR(__xludf.DUMMYFUNCTION("IFERROR(VLOOKUP(E203&amp;F203,IMPORTRANGE(""https://docs.google.com/spreadsheets/d/1Uw7-A9f9R21vMXxHZFNpYNeKFtG8_yji4HS352LGlSQ/edit?pli=1#gid=0"",""1_ACUM!A4:S""),11,FALSE))"),"")</f>
        <v/>
      </c>
      <c r="AW189" s="42" t="str">
        <f ca="1">IFERROR(__xludf.DUMMYFUNCTION("IFERROR(VLOOKUP(F203,IMPORTRANGE(""https://docs.google.com/spreadsheets/d/1Kvs4KS76FHFqLFIZfrDMff4kP08nblUkihrxltoGBjg/edit#gid=934712705"",""ESENCIAL!A6:BG""),15,FALSE))"),"")</f>
        <v/>
      </c>
      <c r="AX189" s="21" t="str">
        <f ca="1">IFERROR(__xludf.DUMMYFUNCTION("IFERROR(VLOOKUP(E203&amp;F203,IMPORTRANGE(""https://docs.google.com/spreadsheets/d/1Uw7-A9f9R21vMXxHZFNpYNeKFtG8_yji4HS352LGlSQ/edit?pli=1#gid=0"",""1_ACUM!A4:S""),12,FALSE))"),"")</f>
        <v/>
      </c>
      <c r="AY189" s="43" t="str">
        <f ca="1">IFERROR(__xludf.DUMMYFUNCTION("IFERROR(VLOOKUP(E203&amp;F203,IMPORTRANGE(""https://docs.google.com/spreadsheets/d/1Uw7-A9f9R21vMXxHZFNpYNeKFtG8_yji4HS352LGlSQ/edit?pli=1#gid=0"",""1_ACUM!A4:S""),13,FALSE))"),"")</f>
        <v/>
      </c>
      <c r="AZ189" s="43" t="str">
        <f ca="1">IFERROR(__xludf.DUMMYFUNCTION("IFERROR(VLOOKUP(E203&amp;F203,IMPORTRANGE(""https://docs.google.com/spreadsheets/d/1Uw7-A9f9R21vMXxHZFNpYNeKFtG8_yji4HS352LGlSQ/edit?pli=1#gid=0"",""1_ACUM!A4:S""),14,FALSE))"),"")</f>
        <v/>
      </c>
      <c r="BA189" s="43" t="str">
        <f ca="1">IFERROR(__xludf.DUMMYFUNCTION("IFERROR(VLOOKUP(E203&amp;F203,IMPORTRANGE(""https://docs.google.com/spreadsheets/d/1Uw7-A9f9R21vMXxHZFNpYNeKFtG8_yji4HS352LGlSQ/edit?pli=1#gid=0"",""1_ACUM!A4:S""),15,FALSE))"),"")</f>
        <v/>
      </c>
      <c r="BB189" s="43" t="str">
        <f ca="1">IFERROR(__xludf.DUMMYFUNCTION("IFERROR(VLOOKUP(E203&amp;F203,IMPORTRANGE(""https://docs.google.com/spreadsheets/d/1Uw7-A9f9R21vMXxHZFNpYNeKFtG8_yji4HS352LGlSQ/edit?pli=1#gid=0"",""1_ACUM!A4:S""),16,FALSE))"),"")</f>
        <v/>
      </c>
      <c r="BC189" s="43" t="str">
        <f ca="1">IFERROR(__xludf.DUMMYFUNCTION("IFERROR(VLOOKUP(E203&amp;F203,IMPORTRANGE(""https://docs.google.com/spreadsheets/d/1Uw7-A9f9R21vMXxHZFNpYNeKFtG8_yji4HS352LGlSQ/edit?pli=1#gid=0"",""1_ACUM!A4:S""),17,FALSE))"),"")</f>
        <v/>
      </c>
      <c r="BD189" s="44" t="str">
        <f ca="1">IFERROR(__xludf.DUMMYFUNCTION("IFERROR(VLOOKUP(E203&amp;F203,IMPORTRANGE(""https://docs.google.com/spreadsheets/d/1Uw7-A9f9R21vMXxHZFNpYNeKFtG8_yji4HS352LGlSQ/edit?pli=1#gid=0"",""1_ACUM!A4:S""),18,FALSE))"),"")</f>
        <v/>
      </c>
      <c r="BE189" s="44" t="str">
        <f ca="1">IFERROR(__xludf.DUMMYFUNCTION("IFERROR(VLOOKUP(E203&amp;F203,IMPORTRANGE(""https://docs.google.com/spreadsheets/d/1Uw7-A9f9R21vMXxHZFNpYNeKFtG8_yji4HS352LGlSQ/edit?pli=1#gid=0"",""1_ACUM!A4:S""),19,FALSE))"),"")</f>
        <v/>
      </c>
      <c r="BF189" s="98" t="str">
        <f ca="1">IFERROR(__xludf.DUMMYFUNCTION("IFERROR(VLOOKUP(F203,IMPORTRANGE(""https://docs.google.com/spreadsheets/d/1Kvs4KS76FHFqLFIZfrDMff4kP08nblUkihrxltoGBjg/edit#gid=934712705"",""ESENCIAL!A6:BG""),5,FALSE))"),"")</f>
        <v/>
      </c>
      <c r="BG189" s="98" t="str">
        <f t="shared" si="9"/>
        <v/>
      </c>
      <c r="BH189" s="99" t="str">
        <f t="shared" si="10"/>
        <v/>
      </c>
      <c r="BI189" s="100" t="str">
        <f ca="1">IFERROR(__xludf.DUMMYFUNCTION("IFERROR(VLOOKUP(F203,IMPORTRANGE(""https://docs.google.com/spreadsheets/d/1Kvs4KS76FHFqLFIZfrDMff4kP08nblUkihrxltoGBjg/edit#gid=934712705"",""ESENCIAL!A6:BG""),2,FALSE))"),"")</f>
        <v/>
      </c>
      <c r="BJ189" s="19" t="str">
        <f t="shared" si="11"/>
        <v/>
      </c>
      <c r="BK189" s="100"/>
      <c r="BL189" s="100"/>
    </row>
    <row r="190" spans="1:64" ht="15">
      <c r="A190" s="101"/>
      <c r="B190" s="101"/>
      <c r="G190" s="5" t="str">
        <f ca="1">IFERROR(__xludf.DUMMYFUNCTION("IFERROR(VLOOKUP(F204,IMPORTRANGE(""https://docs.google.com/spreadsheets/d/1Kvs4KS76FHFqLFIZfrDMff4kP08nblUkihrxltoGBjg/edit#gid=934712705"",""ESENCIAL!A6:BG""),3,FALSE))"),"")</f>
        <v/>
      </c>
      <c r="H190" s="5" t="str">
        <f ca="1">IFERROR(__xludf.DUMMYFUNCTION("IFERROR(VLOOKUP(F204,IMPORTRANGE(""https://docs.google.com/spreadsheets/d/1Kvs4KS76FHFqLFIZfrDMff4kP08nblUkihrxltoGBjg/edit#gid=934712705"",""ESENCIAL!A6:BG""),8,FALSE))"),"")</f>
        <v/>
      </c>
      <c r="L190" s="287"/>
      <c r="U190" s="40"/>
      <c r="AU190" s="41" t="str">
        <f t="shared" si="8"/>
        <v/>
      </c>
      <c r="AV190" s="5" t="str">
        <f ca="1">IFERROR(__xludf.DUMMYFUNCTION("IFERROR(VLOOKUP(E204&amp;F204,IMPORTRANGE(""https://docs.google.com/spreadsheets/d/1Uw7-A9f9R21vMXxHZFNpYNeKFtG8_yji4HS352LGlSQ/edit?pli=1#gid=0"",""1_ACUM!A4:S""),11,FALSE))"),"")</f>
        <v/>
      </c>
      <c r="AW190" s="42" t="str">
        <f ca="1">IFERROR(__xludf.DUMMYFUNCTION("IFERROR(VLOOKUP(F204,IMPORTRANGE(""https://docs.google.com/spreadsheets/d/1Kvs4KS76FHFqLFIZfrDMff4kP08nblUkihrxltoGBjg/edit#gid=934712705"",""ESENCIAL!A6:BG""),15,FALSE))"),"")</f>
        <v/>
      </c>
      <c r="AX190" s="21" t="str">
        <f ca="1">IFERROR(__xludf.DUMMYFUNCTION("IFERROR(VLOOKUP(E204&amp;F204,IMPORTRANGE(""https://docs.google.com/spreadsheets/d/1Uw7-A9f9R21vMXxHZFNpYNeKFtG8_yji4HS352LGlSQ/edit?pli=1#gid=0"",""1_ACUM!A4:S""),12,FALSE))"),"")</f>
        <v/>
      </c>
      <c r="AY190" s="43" t="str">
        <f ca="1">IFERROR(__xludf.DUMMYFUNCTION("IFERROR(VLOOKUP(E204&amp;F204,IMPORTRANGE(""https://docs.google.com/spreadsheets/d/1Uw7-A9f9R21vMXxHZFNpYNeKFtG8_yji4HS352LGlSQ/edit?pli=1#gid=0"",""1_ACUM!A4:S""),13,FALSE))"),"")</f>
        <v/>
      </c>
      <c r="AZ190" s="43" t="str">
        <f ca="1">IFERROR(__xludf.DUMMYFUNCTION("IFERROR(VLOOKUP(E204&amp;F204,IMPORTRANGE(""https://docs.google.com/spreadsheets/d/1Uw7-A9f9R21vMXxHZFNpYNeKFtG8_yji4HS352LGlSQ/edit?pli=1#gid=0"",""1_ACUM!A4:S""),14,FALSE))"),"")</f>
        <v/>
      </c>
      <c r="BA190" s="43" t="str">
        <f ca="1">IFERROR(__xludf.DUMMYFUNCTION("IFERROR(VLOOKUP(E204&amp;F204,IMPORTRANGE(""https://docs.google.com/spreadsheets/d/1Uw7-A9f9R21vMXxHZFNpYNeKFtG8_yji4HS352LGlSQ/edit?pli=1#gid=0"",""1_ACUM!A4:S""),15,FALSE))"),"")</f>
        <v/>
      </c>
      <c r="BB190" s="43" t="str">
        <f ca="1">IFERROR(__xludf.DUMMYFUNCTION("IFERROR(VLOOKUP(E204&amp;F204,IMPORTRANGE(""https://docs.google.com/spreadsheets/d/1Uw7-A9f9R21vMXxHZFNpYNeKFtG8_yji4HS352LGlSQ/edit?pli=1#gid=0"",""1_ACUM!A4:S""),16,FALSE))"),"")</f>
        <v/>
      </c>
      <c r="BC190" s="43" t="str">
        <f ca="1">IFERROR(__xludf.DUMMYFUNCTION("IFERROR(VLOOKUP(E204&amp;F204,IMPORTRANGE(""https://docs.google.com/spreadsheets/d/1Uw7-A9f9R21vMXxHZFNpYNeKFtG8_yji4HS352LGlSQ/edit?pli=1#gid=0"",""1_ACUM!A4:S""),17,FALSE))"),"")</f>
        <v/>
      </c>
      <c r="BD190" s="44" t="str">
        <f ca="1">IFERROR(__xludf.DUMMYFUNCTION("IFERROR(VLOOKUP(E204&amp;F204,IMPORTRANGE(""https://docs.google.com/spreadsheets/d/1Uw7-A9f9R21vMXxHZFNpYNeKFtG8_yji4HS352LGlSQ/edit?pli=1#gid=0"",""1_ACUM!A4:S""),18,FALSE))"),"")</f>
        <v/>
      </c>
      <c r="BE190" s="44" t="str">
        <f ca="1">IFERROR(__xludf.DUMMYFUNCTION("IFERROR(VLOOKUP(E204&amp;F204,IMPORTRANGE(""https://docs.google.com/spreadsheets/d/1Uw7-A9f9R21vMXxHZFNpYNeKFtG8_yji4HS352LGlSQ/edit?pli=1#gid=0"",""1_ACUM!A4:S""),19,FALSE))"),"")</f>
        <v/>
      </c>
      <c r="BF190" s="98" t="str">
        <f ca="1">IFERROR(__xludf.DUMMYFUNCTION("IFERROR(VLOOKUP(F204,IMPORTRANGE(""https://docs.google.com/spreadsheets/d/1Kvs4KS76FHFqLFIZfrDMff4kP08nblUkihrxltoGBjg/edit#gid=934712705"",""ESENCIAL!A6:BG""),5,FALSE))"),"")</f>
        <v/>
      </c>
      <c r="BG190" s="98" t="str">
        <f t="shared" si="9"/>
        <v/>
      </c>
      <c r="BH190" s="99" t="str">
        <f t="shared" si="10"/>
        <v/>
      </c>
      <c r="BI190" s="100" t="str">
        <f ca="1">IFERROR(__xludf.DUMMYFUNCTION("IFERROR(VLOOKUP(F204,IMPORTRANGE(""https://docs.google.com/spreadsheets/d/1Kvs4KS76FHFqLFIZfrDMff4kP08nblUkihrxltoGBjg/edit#gid=934712705"",""ESENCIAL!A6:BG""),2,FALSE))"),"")</f>
        <v/>
      </c>
      <c r="BJ190" s="19" t="str">
        <f t="shared" si="11"/>
        <v/>
      </c>
      <c r="BK190" s="100"/>
      <c r="BL190" s="100"/>
    </row>
    <row r="191" spans="1:64" ht="15">
      <c r="A191" s="101"/>
      <c r="B191" s="101"/>
      <c r="G191" s="5" t="str">
        <f ca="1">IFERROR(__xludf.DUMMYFUNCTION("IFERROR(VLOOKUP(F205,IMPORTRANGE(""https://docs.google.com/spreadsheets/d/1Kvs4KS76FHFqLFIZfrDMff4kP08nblUkihrxltoGBjg/edit#gid=934712705"",""ESENCIAL!A6:BG""),3,FALSE))"),"")</f>
        <v/>
      </c>
      <c r="H191" s="5" t="str">
        <f ca="1">IFERROR(__xludf.DUMMYFUNCTION("IFERROR(VLOOKUP(F205,IMPORTRANGE(""https://docs.google.com/spreadsheets/d/1Kvs4KS76FHFqLFIZfrDMff4kP08nblUkihrxltoGBjg/edit#gid=934712705"",""ESENCIAL!A6:BG""),8,FALSE))"),"")</f>
        <v/>
      </c>
      <c r="L191" s="287"/>
      <c r="U191" s="40"/>
      <c r="AU191" s="41" t="str">
        <f t="shared" si="8"/>
        <v/>
      </c>
      <c r="AV191" s="5" t="str">
        <f ca="1">IFERROR(__xludf.DUMMYFUNCTION("IFERROR(VLOOKUP(E205&amp;F205,IMPORTRANGE(""https://docs.google.com/spreadsheets/d/1Uw7-A9f9R21vMXxHZFNpYNeKFtG8_yji4HS352LGlSQ/edit?pli=1#gid=0"",""1_ACUM!A4:S""),11,FALSE))"),"")</f>
        <v/>
      </c>
      <c r="AW191" s="42" t="str">
        <f ca="1">IFERROR(__xludf.DUMMYFUNCTION("IFERROR(VLOOKUP(F205,IMPORTRANGE(""https://docs.google.com/spreadsheets/d/1Kvs4KS76FHFqLFIZfrDMff4kP08nblUkihrxltoGBjg/edit#gid=934712705"",""ESENCIAL!A6:BG""),15,FALSE))"),"")</f>
        <v/>
      </c>
      <c r="AX191" s="21" t="str">
        <f ca="1">IFERROR(__xludf.DUMMYFUNCTION("IFERROR(VLOOKUP(E205&amp;F205,IMPORTRANGE(""https://docs.google.com/spreadsheets/d/1Uw7-A9f9R21vMXxHZFNpYNeKFtG8_yji4HS352LGlSQ/edit?pli=1#gid=0"",""1_ACUM!A4:S""),12,FALSE))"),"")</f>
        <v/>
      </c>
      <c r="AY191" s="43" t="str">
        <f ca="1">IFERROR(__xludf.DUMMYFUNCTION("IFERROR(VLOOKUP(E205&amp;F205,IMPORTRANGE(""https://docs.google.com/spreadsheets/d/1Uw7-A9f9R21vMXxHZFNpYNeKFtG8_yji4HS352LGlSQ/edit?pli=1#gid=0"",""1_ACUM!A4:S""),13,FALSE))"),"")</f>
        <v/>
      </c>
      <c r="AZ191" s="43" t="str">
        <f ca="1">IFERROR(__xludf.DUMMYFUNCTION("IFERROR(VLOOKUP(E205&amp;F205,IMPORTRANGE(""https://docs.google.com/spreadsheets/d/1Uw7-A9f9R21vMXxHZFNpYNeKFtG8_yji4HS352LGlSQ/edit?pli=1#gid=0"",""1_ACUM!A4:S""),14,FALSE))"),"")</f>
        <v/>
      </c>
      <c r="BA191" s="43" t="str">
        <f ca="1">IFERROR(__xludf.DUMMYFUNCTION("IFERROR(VLOOKUP(E205&amp;F205,IMPORTRANGE(""https://docs.google.com/spreadsheets/d/1Uw7-A9f9R21vMXxHZFNpYNeKFtG8_yji4HS352LGlSQ/edit?pli=1#gid=0"",""1_ACUM!A4:S""),15,FALSE))"),"")</f>
        <v/>
      </c>
      <c r="BB191" s="43" t="str">
        <f ca="1">IFERROR(__xludf.DUMMYFUNCTION("IFERROR(VLOOKUP(E205&amp;F205,IMPORTRANGE(""https://docs.google.com/spreadsheets/d/1Uw7-A9f9R21vMXxHZFNpYNeKFtG8_yji4HS352LGlSQ/edit?pli=1#gid=0"",""1_ACUM!A4:S""),16,FALSE))"),"")</f>
        <v/>
      </c>
      <c r="BC191" s="43" t="str">
        <f ca="1">IFERROR(__xludf.DUMMYFUNCTION("IFERROR(VLOOKUP(E205&amp;F205,IMPORTRANGE(""https://docs.google.com/spreadsheets/d/1Uw7-A9f9R21vMXxHZFNpYNeKFtG8_yji4HS352LGlSQ/edit?pli=1#gid=0"",""1_ACUM!A4:S""),17,FALSE))"),"")</f>
        <v/>
      </c>
      <c r="BD191" s="44" t="str">
        <f ca="1">IFERROR(__xludf.DUMMYFUNCTION("IFERROR(VLOOKUP(E205&amp;F205,IMPORTRANGE(""https://docs.google.com/spreadsheets/d/1Uw7-A9f9R21vMXxHZFNpYNeKFtG8_yji4HS352LGlSQ/edit?pli=1#gid=0"",""1_ACUM!A4:S""),18,FALSE))"),"")</f>
        <v/>
      </c>
      <c r="BE191" s="44" t="str">
        <f ca="1">IFERROR(__xludf.DUMMYFUNCTION("IFERROR(VLOOKUP(E205&amp;F205,IMPORTRANGE(""https://docs.google.com/spreadsheets/d/1Uw7-A9f9R21vMXxHZFNpYNeKFtG8_yji4HS352LGlSQ/edit?pli=1#gid=0"",""1_ACUM!A4:S""),19,FALSE))"),"")</f>
        <v/>
      </c>
      <c r="BF191" s="98" t="str">
        <f ca="1">IFERROR(__xludf.DUMMYFUNCTION("IFERROR(VLOOKUP(F205,IMPORTRANGE(""https://docs.google.com/spreadsheets/d/1Kvs4KS76FHFqLFIZfrDMff4kP08nblUkihrxltoGBjg/edit#gid=934712705"",""ESENCIAL!A6:BG""),5,FALSE))"),"")</f>
        <v/>
      </c>
      <c r="BG191" s="98" t="str">
        <f t="shared" si="9"/>
        <v/>
      </c>
      <c r="BH191" s="99" t="str">
        <f t="shared" si="10"/>
        <v/>
      </c>
      <c r="BI191" s="100" t="str">
        <f ca="1">IFERROR(__xludf.DUMMYFUNCTION("IFERROR(VLOOKUP(F205,IMPORTRANGE(""https://docs.google.com/spreadsheets/d/1Kvs4KS76FHFqLFIZfrDMff4kP08nblUkihrxltoGBjg/edit#gid=934712705"",""ESENCIAL!A6:BG""),2,FALSE))"),"")</f>
        <v/>
      </c>
      <c r="BJ191" s="19" t="str">
        <f t="shared" si="11"/>
        <v/>
      </c>
      <c r="BK191" s="100"/>
      <c r="BL191" s="100"/>
    </row>
    <row r="192" spans="1:64" ht="15">
      <c r="A192" s="101"/>
      <c r="B192" s="101"/>
      <c r="G192" s="5" t="str">
        <f ca="1">IFERROR(__xludf.DUMMYFUNCTION("IFERROR(VLOOKUP(F206,IMPORTRANGE(""https://docs.google.com/spreadsheets/d/1Kvs4KS76FHFqLFIZfrDMff4kP08nblUkihrxltoGBjg/edit#gid=934712705"",""ESENCIAL!A6:BG""),3,FALSE))"),"")</f>
        <v/>
      </c>
      <c r="H192" s="5" t="str">
        <f ca="1">IFERROR(__xludf.DUMMYFUNCTION("IFERROR(VLOOKUP(F206,IMPORTRANGE(""https://docs.google.com/spreadsheets/d/1Kvs4KS76FHFqLFIZfrDMff4kP08nblUkihrxltoGBjg/edit#gid=934712705"",""ESENCIAL!A6:BG""),8,FALSE))"),"")</f>
        <v/>
      </c>
      <c r="L192" s="287"/>
      <c r="U192" s="40"/>
      <c r="AU192" s="41" t="str">
        <f t="shared" si="8"/>
        <v/>
      </c>
      <c r="AV192" s="5" t="str">
        <f ca="1">IFERROR(__xludf.DUMMYFUNCTION("IFERROR(VLOOKUP(E206&amp;F206,IMPORTRANGE(""https://docs.google.com/spreadsheets/d/1Uw7-A9f9R21vMXxHZFNpYNeKFtG8_yji4HS352LGlSQ/edit?pli=1#gid=0"",""1_ACUM!A4:S""),11,FALSE))"),"")</f>
        <v/>
      </c>
      <c r="AW192" s="42" t="str">
        <f ca="1">IFERROR(__xludf.DUMMYFUNCTION("IFERROR(VLOOKUP(F206,IMPORTRANGE(""https://docs.google.com/spreadsheets/d/1Kvs4KS76FHFqLFIZfrDMff4kP08nblUkihrxltoGBjg/edit#gid=934712705"",""ESENCIAL!A6:BG""),15,FALSE))"),"")</f>
        <v/>
      </c>
      <c r="AX192" s="21" t="str">
        <f ca="1">IFERROR(__xludf.DUMMYFUNCTION("IFERROR(VLOOKUP(E206&amp;F206,IMPORTRANGE(""https://docs.google.com/spreadsheets/d/1Uw7-A9f9R21vMXxHZFNpYNeKFtG8_yji4HS352LGlSQ/edit?pli=1#gid=0"",""1_ACUM!A4:S""),12,FALSE))"),"")</f>
        <v/>
      </c>
      <c r="AY192" s="43" t="str">
        <f ca="1">IFERROR(__xludf.DUMMYFUNCTION("IFERROR(VLOOKUP(E206&amp;F206,IMPORTRANGE(""https://docs.google.com/spreadsheets/d/1Uw7-A9f9R21vMXxHZFNpYNeKFtG8_yji4HS352LGlSQ/edit?pli=1#gid=0"",""1_ACUM!A4:S""),13,FALSE))"),"")</f>
        <v/>
      </c>
      <c r="AZ192" s="43" t="str">
        <f ca="1">IFERROR(__xludf.DUMMYFUNCTION("IFERROR(VLOOKUP(E206&amp;F206,IMPORTRANGE(""https://docs.google.com/spreadsheets/d/1Uw7-A9f9R21vMXxHZFNpYNeKFtG8_yji4HS352LGlSQ/edit?pli=1#gid=0"",""1_ACUM!A4:S""),14,FALSE))"),"")</f>
        <v/>
      </c>
      <c r="BA192" s="43" t="str">
        <f ca="1">IFERROR(__xludf.DUMMYFUNCTION("IFERROR(VLOOKUP(E206&amp;F206,IMPORTRANGE(""https://docs.google.com/spreadsheets/d/1Uw7-A9f9R21vMXxHZFNpYNeKFtG8_yji4HS352LGlSQ/edit?pli=1#gid=0"",""1_ACUM!A4:S""),15,FALSE))"),"")</f>
        <v/>
      </c>
      <c r="BB192" s="43" t="str">
        <f ca="1">IFERROR(__xludf.DUMMYFUNCTION("IFERROR(VLOOKUP(E206&amp;F206,IMPORTRANGE(""https://docs.google.com/spreadsheets/d/1Uw7-A9f9R21vMXxHZFNpYNeKFtG8_yji4HS352LGlSQ/edit?pli=1#gid=0"",""1_ACUM!A4:S""),16,FALSE))"),"")</f>
        <v/>
      </c>
      <c r="BC192" s="43" t="str">
        <f ca="1">IFERROR(__xludf.DUMMYFUNCTION("IFERROR(VLOOKUP(E206&amp;F206,IMPORTRANGE(""https://docs.google.com/spreadsheets/d/1Uw7-A9f9R21vMXxHZFNpYNeKFtG8_yji4HS352LGlSQ/edit?pli=1#gid=0"",""1_ACUM!A4:S""),17,FALSE))"),"")</f>
        <v/>
      </c>
      <c r="BD192" s="44" t="str">
        <f ca="1">IFERROR(__xludf.DUMMYFUNCTION("IFERROR(VLOOKUP(E206&amp;F206,IMPORTRANGE(""https://docs.google.com/spreadsheets/d/1Uw7-A9f9R21vMXxHZFNpYNeKFtG8_yji4HS352LGlSQ/edit?pli=1#gid=0"",""1_ACUM!A4:S""),18,FALSE))"),"")</f>
        <v/>
      </c>
      <c r="BE192" s="44" t="str">
        <f ca="1">IFERROR(__xludf.DUMMYFUNCTION("IFERROR(VLOOKUP(E206&amp;F206,IMPORTRANGE(""https://docs.google.com/spreadsheets/d/1Uw7-A9f9R21vMXxHZFNpYNeKFtG8_yji4HS352LGlSQ/edit?pli=1#gid=0"",""1_ACUM!A4:S""),19,FALSE))"),"")</f>
        <v/>
      </c>
      <c r="BF192" s="98" t="str">
        <f ca="1">IFERROR(__xludf.DUMMYFUNCTION("IFERROR(VLOOKUP(F206,IMPORTRANGE(""https://docs.google.com/spreadsheets/d/1Kvs4KS76FHFqLFIZfrDMff4kP08nblUkihrxltoGBjg/edit#gid=934712705"",""ESENCIAL!A6:BG""),5,FALSE))"),"")</f>
        <v/>
      </c>
      <c r="BG192" s="98" t="str">
        <f t="shared" si="9"/>
        <v/>
      </c>
      <c r="BH192" s="99" t="str">
        <f t="shared" si="10"/>
        <v/>
      </c>
      <c r="BI192" s="100" t="str">
        <f ca="1">IFERROR(__xludf.DUMMYFUNCTION("IFERROR(VLOOKUP(F206,IMPORTRANGE(""https://docs.google.com/spreadsheets/d/1Kvs4KS76FHFqLFIZfrDMff4kP08nblUkihrxltoGBjg/edit#gid=934712705"",""ESENCIAL!A6:BG""),2,FALSE))"),"")</f>
        <v/>
      </c>
      <c r="BJ192" s="19" t="str">
        <f t="shared" si="11"/>
        <v/>
      </c>
      <c r="BK192" s="100"/>
      <c r="BL192" s="100"/>
    </row>
    <row r="193" spans="1:64" ht="15">
      <c r="A193" s="103"/>
      <c r="B193" s="101"/>
      <c r="G193" s="5" t="str">
        <f ca="1">IFERROR(__xludf.DUMMYFUNCTION("IFERROR(VLOOKUP(F207,IMPORTRANGE(""https://docs.google.com/spreadsheets/d/1Kvs4KS76FHFqLFIZfrDMff4kP08nblUkihrxltoGBjg/edit#gid=934712705"",""ESENCIAL!A6:BG""),3,FALSE))"),"")</f>
        <v/>
      </c>
      <c r="H193" s="5" t="str">
        <f ca="1">IFERROR(__xludf.DUMMYFUNCTION("IFERROR(VLOOKUP(F207,IMPORTRANGE(""https://docs.google.com/spreadsheets/d/1Kvs4KS76FHFqLFIZfrDMff4kP08nblUkihrxltoGBjg/edit#gid=934712705"",""ESENCIAL!A6:BG""),8,FALSE))"),"")</f>
        <v/>
      </c>
      <c r="L193" s="287"/>
      <c r="U193" s="40"/>
      <c r="AU193" s="41" t="str">
        <f t="shared" si="8"/>
        <v/>
      </c>
      <c r="AV193" s="5" t="str">
        <f ca="1">IFERROR(__xludf.DUMMYFUNCTION("IFERROR(VLOOKUP(E207&amp;F207,IMPORTRANGE(""https://docs.google.com/spreadsheets/d/1Uw7-A9f9R21vMXxHZFNpYNeKFtG8_yji4HS352LGlSQ/edit?pli=1#gid=0"",""1_ACUM!A4:S""),11,FALSE))"),"")</f>
        <v/>
      </c>
      <c r="AW193" s="42" t="str">
        <f ca="1">IFERROR(__xludf.DUMMYFUNCTION("IFERROR(VLOOKUP(F207,IMPORTRANGE(""https://docs.google.com/spreadsheets/d/1Kvs4KS76FHFqLFIZfrDMff4kP08nblUkihrxltoGBjg/edit#gid=934712705"",""ESENCIAL!A6:BG""),15,FALSE))"),"")</f>
        <v/>
      </c>
      <c r="AX193" s="21" t="str">
        <f ca="1">IFERROR(__xludf.DUMMYFUNCTION("IFERROR(VLOOKUP(E207&amp;F207,IMPORTRANGE(""https://docs.google.com/spreadsheets/d/1Uw7-A9f9R21vMXxHZFNpYNeKFtG8_yji4HS352LGlSQ/edit?pli=1#gid=0"",""1_ACUM!A4:S""),12,FALSE))"),"")</f>
        <v/>
      </c>
      <c r="AY193" s="43" t="str">
        <f ca="1">IFERROR(__xludf.DUMMYFUNCTION("IFERROR(VLOOKUP(E207&amp;F207,IMPORTRANGE(""https://docs.google.com/spreadsheets/d/1Uw7-A9f9R21vMXxHZFNpYNeKFtG8_yji4HS352LGlSQ/edit?pli=1#gid=0"",""1_ACUM!A4:S""),13,FALSE))"),"")</f>
        <v/>
      </c>
      <c r="AZ193" s="43" t="str">
        <f ca="1">IFERROR(__xludf.DUMMYFUNCTION("IFERROR(VLOOKUP(E207&amp;F207,IMPORTRANGE(""https://docs.google.com/spreadsheets/d/1Uw7-A9f9R21vMXxHZFNpYNeKFtG8_yji4HS352LGlSQ/edit?pli=1#gid=0"",""1_ACUM!A4:S""),14,FALSE))"),"")</f>
        <v/>
      </c>
      <c r="BA193" s="43" t="str">
        <f ca="1">IFERROR(__xludf.DUMMYFUNCTION("IFERROR(VLOOKUP(E207&amp;F207,IMPORTRANGE(""https://docs.google.com/spreadsheets/d/1Uw7-A9f9R21vMXxHZFNpYNeKFtG8_yji4HS352LGlSQ/edit?pli=1#gid=0"",""1_ACUM!A4:S""),15,FALSE))"),"")</f>
        <v/>
      </c>
      <c r="BB193" s="43" t="str">
        <f ca="1">IFERROR(__xludf.DUMMYFUNCTION("IFERROR(VLOOKUP(E207&amp;F207,IMPORTRANGE(""https://docs.google.com/spreadsheets/d/1Uw7-A9f9R21vMXxHZFNpYNeKFtG8_yji4HS352LGlSQ/edit?pli=1#gid=0"",""1_ACUM!A4:S""),16,FALSE))"),"")</f>
        <v/>
      </c>
      <c r="BC193" s="43" t="str">
        <f ca="1">IFERROR(__xludf.DUMMYFUNCTION("IFERROR(VLOOKUP(E207&amp;F207,IMPORTRANGE(""https://docs.google.com/spreadsheets/d/1Uw7-A9f9R21vMXxHZFNpYNeKFtG8_yji4HS352LGlSQ/edit?pli=1#gid=0"",""1_ACUM!A4:S""),17,FALSE))"),"")</f>
        <v/>
      </c>
      <c r="BD193" s="44" t="str">
        <f ca="1">IFERROR(__xludf.DUMMYFUNCTION("IFERROR(VLOOKUP(E207&amp;F207,IMPORTRANGE(""https://docs.google.com/spreadsheets/d/1Uw7-A9f9R21vMXxHZFNpYNeKFtG8_yji4HS352LGlSQ/edit?pli=1#gid=0"",""1_ACUM!A4:S""),18,FALSE))"),"")</f>
        <v/>
      </c>
      <c r="BE193" s="44" t="str">
        <f ca="1">IFERROR(__xludf.DUMMYFUNCTION("IFERROR(VLOOKUP(E207&amp;F207,IMPORTRANGE(""https://docs.google.com/spreadsheets/d/1Uw7-A9f9R21vMXxHZFNpYNeKFtG8_yji4HS352LGlSQ/edit?pli=1#gid=0"",""1_ACUM!A4:S""),19,FALSE))"),"")</f>
        <v/>
      </c>
      <c r="BF193" s="98" t="str">
        <f ca="1">IFERROR(__xludf.DUMMYFUNCTION("IFERROR(VLOOKUP(F207,IMPORTRANGE(""https://docs.google.com/spreadsheets/d/1Kvs4KS76FHFqLFIZfrDMff4kP08nblUkihrxltoGBjg/edit#gid=934712705"",""ESENCIAL!A6:BG""),5,FALSE))"),"")</f>
        <v/>
      </c>
      <c r="BG193" s="98" t="str">
        <f t="shared" si="9"/>
        <v/>
      </c>
      <c r="BH193" s="99" t="str">
        <f t="shared" si="10"/>
        <v/>
      </c>
      <c r="BI193" s="100" t="str">
        <f ca="1">IFERROR(__xludf.DUMMYFUNCTION("IFERROR(VLOOKUP(F207,IMPORTRANGE(""https://docs.google.com/spreadsheets/d/1Kvs4KS76FHFqLFIZfrDMff4kP08nblUkihrxltoGBjg/edit#gid=934712705"",""ESENCIAL!A6:BG""),2,FALSE))"),"")</f>
        <v/>
      </c>
      <c r="BJ193" s="19" t="str">
        <f t="shared" si="11"/>
        <v/>
      </c>
      <c r="BK193" s="100"/>
      <c r="BL193" s="100"/>
    </row>
    <row r="194" spans="1:64" ht="15">
      <c r="A194" s="101"/>
      <c r="B194" s="101"/>
      <c r="G194" s="5" t="str">
        <f ca="1">IFERROR(__xludf.DUMMYFUNCTION("IFERROR(VLOOKUP(F208,IMPORTRANGE(""https://docs.google.com/spreadsheets/d/1Kvs4KS76FHFqLFIZfrDMff4kP08nblUkihrxltoGBjg/edit#gid=934712705"",""ESENCIAL!A6:BG""),3,FALSE))"),"")</f>
        <v/>
      </c>
      <c r="H194" s="5" t="str">
        <f ca="1">IFERROR(__xludf.DUMMYFUNCTION("IFERROR(VLOOKUP(F208,IMPORTRANGE(""https://docs.google.com/spreadsheets/d/1Kvs4KS76FHFqLFIZfrDMff4kP08nblUkihrxltoGBjg/edit#gid=934712705"",""ESENCIAL!A6:BG""),8,FALSE))"),"")</f>
        <v/>
      </c>
      <c r="L194" s="287"/>
      <c r="U194" s="40"/>
      <c r="AU194" s="41" t="str">
        <f t="shared" si="8"/>
        <v/>
      </c>
      <c r="AV194" s="5" t="str">
        <f ca="1">IFERROR(__xludf.DUMMYFUNCTION("IFERROR(VLOOKUP(E208&amp;F208,IMPORTRANGE(""https://docs.google.com/spreadsheets/d/1Uw7-A9f9R21vMXxHZFNpYNeKFtG8_yji4HS352LGlSQ/edit?pli=1#gid=0"",""1_ACUM!A4:S""),11,FALSE))"),"")</f>
        <v/>
      </c>
      <c r="AW194" s="42" t="str">
        <f ca="1">IFERROR(__xludf.DUMMYFUNCTION("IFERROR(VLOOKUP(F208,IMPORTRANGE(""https://docs.google.com/spreadsheets/d/1Kvs4KS76FHFqLFIZfrDMff4kP08nblUkihrxltoGBjg/edit#gid=934712705"",""ESENCIAL!A6:BG""),15,FALSE))"),"")</f>
        <v/>
      </c>
      <c r="AX194" s="21" t="str">
        <f ca="1">IFERROR(__xludf.DUMMYFUNCTION("IFERROR(VLOOKUP(E208&amp;F208,IMPORTRANGE(""https://docs.google.com/spreadsheets/d/1Uw7-A9f9R21vMXxHZFNpYNeKFtG8_yji4HS352LGlSQ/edit?pli=1#gid=0"",""1_ACUM!A4:S""),12,FALSE))"),"")</f>
        <v/>
      </c>
      <c r="AY194" s="43" t="str">
        <f ca="1">IFERROR(__xludf.DUMMYFUNCTION("IFERROR(VLOOKUP(E208&amp;F208,IMPORTRANGE(""https://docs.google.com/spreadsheets/d/1Uw7-A9f9R21vMXxHZFNpYNeKFtG8_yji4HS352LGlSQ/edit?pli=1#gid=0"",""1_ACUM!A4:S""),13,FALSE))"),"")</f>
        <v/>
      </c>
      <c r="AZ194" s="43" t="str">
        <f ca="1">IFERROR(__xludf.DUMMYFUNCTION("IFERROR(VLOOKUP(E208&amp;F208,IMPORTRANGE(""https://docs.google.com/spreadsheets/d/1Uw7-A9f9R21vMXxHZFNpYNeKFtG8_yji4HS352LGlSQ/edit?pli=1#gid=0"",""1_ACUM!A4:S""),14,FALSE))"),"")</f>
        <v/>
      </c>
      <c r="BA194" s="43" t="str">
        <f ca="1">IFERROR(__xludf.DUMMYFUNCTION("IFERROR(VLOOKUP(E208&amp;F208,IMPORTRANGE(""https://docs.google.com/spreadsheets/d/1Uw7-A9f9R21vMXxHZFNpYNeKFtG8_yji4HS352LGlSQ/edit?pli=1#gid=0"",""1_ACUM!A4:S""),15,FALSE))"),"")</f>
        <v/>
      </c>
      <c r="BB194" s="43" t="str">
        <f ca="1">IFERROR(__xludf.DUMMYFUNCTION("IFERROR(VLOOKUP(E208&amp;F208,IMPORTRANGE(""https://docs.google.com/spreadsheets/d/1Uw7-A9f9R21vMXxHZFNpYNeKFtG8_yji4HS352LGlSQ/edit?pli=1#gid=0"",""1_ACUM!A4:S""),16,FALSE))"),"")</f>
        <v/>
      </c>
      <c r="BC194" s="43" t="str">
        <f ca="1">IFERROR(__xludf.DUMMYFUNCTION("IFERROR(VLOOKUP(E208&amp;F208,IMPORTRANGE(""https://docs.google.com/spreadsheets/d/1Uw7-A9f9R21vMXxHZFNpYNeKFtG8_yji4HS352LGlSQ/edit?pli=1#gid=0"",""1_ACUM!A4:S""),17,FALSE))"),"")</f>
        <v/>
      </c>
      <c r="BD194" s="44" t="str">
        <f ca="1">IFERROR(__xludf.DUMMYFUNCTION("IFERROR(VLOOKUP(E208&amp;F208,IMPORTRANGE(""https://docs.google.com/spreadsheets/d/1Uw7-A9f9R21vMXxHZFNpYNeKFtG8_yji4HS352LGlSQ/edit?pli=1#gid=0"",""1_ACUM!A4:S""),18,FALSE))"),"")</f>
        <v/>
      </c>
      <c r="BE194" s="44" t="str">
        <f ca="1">IFERROR(__xludf.DUMMYFUNCTION("IFERROR(VLOOKUP(E208&amp;F208,IMPORTRANGE(""https://docs.google.com/spreadsheets/d/1Uw7-A9f9R21vMXxHZFNpYNeKFtG8_yji4HS352LGlSQ/edit?pli=1#gid=0"",""1_ACUM!A4:S""),19,FALSE))"),"")</f>
        <v/>
      </c>
      <c r="BF194" s="98" t="str">
        <f ca="1">IFERROR(__xludf.DUMMYFUNCTION("IFERROR(VLOOKUP(F208,IMPORTRANGE(""https://docs.google.com/spreadsheets/d/1Kvs4KS76FHFqLFIZfrDMff4kP08nblUkihrxltoGBjg/edit#gid=934712705"",""ESENCIAL!A6:BG""),5,FALSE))"),"")</f>
        <v/>
      </c>
      <c r="BG194" s="98" t="str">
        <f t="shared" si="9"/>
        <v/>
      </c>
      <c r="BH194" s="99" t="str">
        <f t="shared" si="10"/>
        <v/>
      </c>
      <c r="BI194" s="100" t="str">
        <f ca="1">IFERROR(__xludf.DUMMYFUNCTION("IFERROR(VLOOKUP(F208,IMPORTRANGE(""https://docs.google.com/spreadsheets/d/1Kvs4KS76FHFqLFIZfrDMff4kP08nblUkihrxltoGBjg/edit#gid=934712705"",""ESENCIAL!A6:BG""),2,FALSE))"),"")</f>
        <v/>
      </c>
      <c r="BJ194" s="19" t="str">
        <f t="shared" si="11"/>
        <v/>
      </c>
      <c r="BK194" s="100"/>
      <c r="BL194" s="100"/>
    </row>
    <row r="195" spans="1:64" ht="15">
      <c r="A195" s="101"/>
      <c r="B195" s="101"/>
      <c r="G195" s="5" t="str">
        <f ca="1">IFERROR(__xludf.DUMMYFUNCTION("IFERROR(VLOOKUP(F209,IMPORTRANGE(""https://docs.google.com/spreadsheets/d/1Kvs4KS76FHFqLFIZfrDMff4kP08nblUkihrxltoGBjg/edit#gid=934712705"",""ESENCIAL!A6:BG""),3,FALSE))"),"")</f>
        <v/>
      </c>
      <c r="H195" s="5" t="str">
        <f ca="1">IFERROR(__xludf.DUMMYFUNCTION("IFERROR(VLOOKUP(F209,IMPORTRANGE(""https://docs.google.com/spreadsheets/d/1Kvs4KS76FHFqLFIZfrDMff4kP08nblUkihrxltoGBjg/edit#gid=934712705"",""ESENCIAL!A6:BG""),8,FALSE))"),"")</f>
        <v/>
      </c>
      <c r="L195" s="287"/>
      <c r="U195" s="40"/>
      <c r="AU195" s="41" t="str">
        <f t="shared" si="8"/>
        <v/>
      </c>
      <c r="AV195" s="5" t="str">
        <f ca="1">IFERROR(__xludf.DUMMYFUNCTION("IFERROR(VLOOKUP(E209&amp;F209,IMPORTRANGE(""https://docs.google.com/spreadsheets/d/1Uw7-A9f9R21vMXxHZFNpYNeKFtG8_yji4HS352LGlSQ/edit?pli=1#gid=0"",""1_ACUM!A4:S""),11,FALSE))"),"")</f>
        <v/>
      </c>
      <c r="AW195" s="42" t="str">
        <f ca="1">IFERROR(__xludf.DUMMYFUNCTION("IFERROR(VLOOKUP(F209,IMPORTRANGE(""https://docs.google.com/spreadsheets/d/1Kvs4KS76FHFqLFIZfrDMff4kP08nblUkihrxltoGBjg/edit#gid=934712705"",""ESENCIAL!A6:BG""),15,FALSE))"),"")</f>
        <v/>
      </c>
      <c r="AX195" s="21" t="str">
        <f ca="1">IFERROR(__xludf.DUMMYFUNCTION("IFERROR(VLOOKUP(E209&amp;F209,IMPORTRANGE(""https://docs.google.com/spreadsheets/d/1Uw7-A9f9R21vMXxHZFNpYNeKFtG8_yji4HS352LGlSQ/edit?pli=1#gid=0"",""1_ACUM!A4:S""),12,FALSE))"),"")</f>
        <v/>
      </c>
      <c r="AY195" s="43" t="str">
        <f ca="1">IFERROR(__xludf.DUMMYFUNCTION("IFERROR(VLOOKUP(E209&amp;F209,IMPORTRANGE(""https://docs.google.com/spreadsheets/d/1Uw7-A9f9R21vMXxHZFNpYNeKFtG8_yji4HS352LGlSQ/edit?pli=1#gid=0"",""1_ACUM!A4:S""),13,FALSE))"),"")</f>
        <v/>
      </c>
      <c r="AZ195" s="43" t="str">
        <f ca="1">IFERROR(__xludf.DUMMYFUNCTION("IFERROR(VLOOKUP(E209&amp;F209,IMPORTRANGE(""https://docs.google.com/spreadsheets/d/1Uw7-A9f9R21vMXxHZFNpYNeKFtG8_yji4HS352LGlSQ/edit?pli=1#gid=0"",""1_ACUM!A4:S""),14,FALSE))"),"")</f>
        <v/>
      </c>
      <c r="BA195" s="43" t="str">
        <f ca="1">IFERROR(__xludf.DUMMYFUNCTION("IFERROR(VLOOKUP(E209&amp;F209,IMPORTRANGE(""https://docs.google.com/spreadsheets/d/1Uw7-A9f9R21vMXxHZFNpYNeKFtG8_yji4HS352LGlSQ/edit?pli=1#gid=0"",""1_ACUM!A4:S""),15,FALSE))"),"")</f>
        <v/>
      </c>
      <c r="BB195" s="43" t="str">
        <f ca="1">IFERROR(__xludf.DUMMYFUNCTION("IFERROR(VLOOKUP(E209&amp;F209,IMPORTRANGE(""https://docs.google.com/spreadsheets/d/1Uw7-A9f9R21vMXxHZFNpYNeKFtG8_yji4HS352LGlSQ/edit?pli=1#gid=0"",""1_ACUM!A4:S""),16,FALSE))"),"")</f>
        <v/>
      </c>
      <c r="BC195" s="43" t="str">
        <f ca="1">IFERROR(__xludf.DUMMYFUNCTION("IFERROR(VLOOKUP(E209&amp;F209,IMPORTRANGE(""https://docs.google.com/spreadsheets/d/1Uw7-A9f9R21vMXxHZFNpYNeKFtG8_yji4HS352LGlSQ/edit?pli=1#gid=0"",""1_ACUM!A4:S""),17,FALSE))"),"")</f>
        <v/>
      </c>
      <c r="BD195" s="44" t="str">
        <f ca="1">IFERROR(__xludf.DUMMYFUNCTION("IFERROR(VLOOKUP(E209&amp;F209,IMPORTRANGE(""https://docs.google.com/spreadsheets/d/1Uw7-A9f9R21vMXxHZFNpYNeKFtG8_yji4HS352LGlSQ/edit?pli=1#gid=0"",""1_ACUM!A4:S""),18,FALSE))"),"")</f>
        <v/>
      </c>
      <c r="BE195" s="44" t="str">
        <f ca="1">IFERROR(__xludf.DUMMYFUNCTION("IFERROR(VLOOKUP(E209&amp;F209,IMPORTRANGE(""https://docs.google.com/spreadsheets/d/1Uw7-A9f9R21vMXxHZFNpYNeKFtG8_yji4HS352LGlSQ/edit?pli=1#gid=0"",""1_ACUM!A4:S""),19,FALSE))"),"")</f>
        <v/>
      </c>
      <c r="BF195" s="98" t="str">
        <f ca="1">IFERROR(__xludf.DUMMYFUNCTION("IFERROR(VLOOKUP(F209,IMPORTRANGE(""https://docs.google.com/spreadsheets/d/1Kvs4KS76FHFqLFIZfrDMff4kP08nblUkihrxltoGBjg/edit#gid=934712705"",""ESENCIAL!A6:BG""),5,FALSE))"),"")</f>
        <v/>
      </c>
      <c r="BG195" s="98" t="str">
        <f t="shared" si="9"/>
        <v/>
      </c>
      <c r="BH195" s="99" t="str">
        <f t="shared" si="10"/>
        <v/>
      </c>
      <c r="BI195" s="100" t="str">
        <f ca="1">IFERROR(__xludf.DUMMYFUNCTION("IFERROR(VLOOKUP(F209,IMPORTRANGE(""https://docs.google.com/spreadsheets/d/1Kvs4KS76FHFqLFIZfrDMff4kP08nblUkihrxltoGBjg/edit#gid=934712705"",""ESENCIAL!A6:BG""),2,FALSE))"),"")</f>
        <v/>
      </c>
      <c r="BJ195" s="19" t="str">
        <f t="shared" si="11"/>
        <v/>
      </c>
      <c r="BK195" s="100"/>
      <c r="BL195" s="100"/>
    </row>
    <row r="196" spans="1:64" ht="15">
      <c r="A196" s="101"/>
      <c r="B196" s="101"/>
      <c r="G196" s="5" t="str">
        <f ca="1">IFERROR(__xludf.DUMMYFUNCTION("IFERROR(VLOOKUP(F210,IMPORTRANGE(""https://docs.google.com/spreadsheets/d/1Kvs4KS76FHFqLFIZfrDMff4kP08nblUkihrxltoGBjg/edit#gid=934712705"",""ESENCIAL!A6:BG""),3,FALSE))"),"")</f>
        <v/>
      </c>
      <c r="H196" s="5" t="str">
        <f ca="1">IFERROR(__xludf.DUMMYFUNCTION("IFERROR(VLOOKUP(F210,IMPORTRANGE(""https://docs.google.com/spreadsheets/d/1Kvs4KS76FHFqLFIZfrDMff4kP08nblUkihrxltoGBjg/edit#gid=934712705"",""ESENCIAL!A6:BG""),8,FALSE))"),"")</f>
        <v/>
      </c>
      <c r="L196" s="287"/>
      <c r="U196" s="40"/>
      <c r="AU196" s="41" t="str">
        <f t="shared" ref="AU196:AU243" si="12">IF(E196&gt;0,IF(AND(BC196=1,AZ196=1),"Procede_E_P","NO_CUMPLE"),"")</f>
        <v/>
      </c>
      <c r="AV196" s="5" t="str">
        <f ca="1">IFERROR(__xludf.DUMMYFUNCTION("IFERROR(VLOOKUP(E210&amp;F210,IMPORTRANGE(""https://docs.google.com/spreadsheets/d/1Uw7-A9f9R21vMXxHZFNpYNeKFtG8_yji4HS352LGlSQ/edit?pli=1#gid=0"",""1_ACUM!A4:S""),11,FALSE))"),"")</f>
        <v/>
      </c>
      <c r="AW196" s="42" t="str">
        <f ca="1">IFERROR(__xludf.DUMMYFUNCTION("IFERROR(VLOOKUP(F210,IMPORTRANGE(""https://docs.google.com/spreadsheets/d/1Kvs4KS76FHFqLFIZfrDMff4kP08nblUkihrxltoGBjg/edit#gid=934712705"",""ESENCIAL!A6:BG""),15,FALSE))"),"")</f>
        <v/>
      </c>
      <c r="AX196" s="21" t="str">
        <f ca="1">IFERROR(__xludf.DUMMYFUNCTION("IFERROR(VLOOKUP(E210&amp;F210,IMPORTRANGE(""https://docs.google.com/spreadsheets/d/1Uw7-A9f9R21vMXxHZFNpYNeKFtG8_yji4HS352LGlSQ/edit?pli=1#gid=0"",""1_ACUM!A4:S""),12,FALSE))"),"")</f>
        <v/>
      </c>
      <c r="AY196" s="43" t="str">
        <f ca="1">IFERROR(__xludf.DUMMYFUNCTION("IFERROR(VLOOKUP(E210&amp;F210,IMPORTRANGE(""https://docs.google.com/spreadsheets/d/1Uw7-A9f9R21vMXxHZFNpYNeKFtG8_yji4HS352LGlSQ/edit?pli=1#gid=0"",""1_ACUM!A4:S""),13,FALSE))"),"")</f>
        <v/>
      </c>
      <c r="AZ196" s="43" t="str">
        <f ca="1">IFERROR(__xludf.DUMMYFUNCTION("IFERROR(VLOOKUP(E210&amp;F210,IMPORTRANGE(""https://docs.google.com/spreadsheets/d/1Uw7-A9f9R21vMXxHZFNpYNeKFtG8_yji4HS352LGlSQ/edit?pli=1#gid=0"",""1_ACUM!A4:S""),14,FALSE))"),"")</f>
        <v/>
      </c>
      <c r="BA196" s="43" t="str">
        <f ca="1">IFERROR(__xludf.DUMMYFUNCTION("IFERROR(VLOOKUP(E210&amp;F210,IMPORTRANGE(""https://docs.google.com/spreadsheets/d/1Uw7-A9f9R21vMXxHZFNpYNeKFtG8_yji4HS352LGlSQ/edit?pli=1#gid=0"",""1_ACUM!A4:S""),15,FALSE))"),"")</f>
        <v/>
      </c>
      <c r="BB196" s="43" t="str">
        <f ca="1">IFERROR(__xludf.DUMMYFUNCTION("IFERROR(VLOOKUP(E210&amp;F210,IMPORTRANGE(""https://docs.google.com/spreadsheets/d/1Uw7-A9f9R21vMXxHZFNpYNeKFtG8_yji4HS352LGlSQ/edit?pli=1#gid=0"",""1_ACUM!A4:S""),16,FALSE))"),"")</f>
        <v/>
      </c>
      <c r="BC196" s="43" t="str">
        <f ca="1">IFERROR(__xludf.DUMMYFUNCTION("IFERROR(VLOOKUP(E210&amp;F210,IMPORTRANGE(""https://docs.google.com/spreadsheets/d/1Uw7-A9f9R21vMXxHZFNpYNeKFtG8_yji4HS352LGlSQ/edit?pli=1#gid=0"",""1_ACUM!A4:S""),17,FALSE))"),"")</f>
        <v/>
      </c>
      <c r="BD196" s="44" t="str">
        <f ca="1">IFERROR(__xludf.DUMMYFUNCTION("IFERROR(VLOOKUP(E210&amp;F210,IMPORTRANGE(""https://docs.google.com/spreadsheets/d/1Uw7-A9f9R21vMXxHZFNpYNeKFtG8_yji4HS352LGlSQ/edit?pli=1#gid=0"",""1_ACUM!A4:S""),18,FALSE))"),"")</f>
        <v/>
      </c>
      <c r="BE196" s="44" t="str">
        <f ca="1">IFERROR(__xludf.DUMMYFUNCTION("IFERROR(VLOOKUP(E210&amp;F210,IMPORTRANGE(""https://docs.google.com/spreadsheets/d/1Uw7-A9f9R21vMXxHZFNpYNeKFtG8_yji4HS352LGlSQ/edit?pli=1#gid=0"",""1_ACUM!A4:S""),19,FALSE))"),"")</f>
        <v/>
      </c>
      <c r="BF196" s="98" t="str">
        <f ca="1">IFERROR(__xludf.DUMMYFUNCTION("IFERROR(VLOOKUP(F210,IMPORTRANGE(""https://docs.google.com/spreadsheets/d/1Kvs4KS76FHFqLFIZfrDMff4kP08nblUkihrxltoGBjg/edit#gid=934712705"",""ESENCIAL!A6:BG""),5,FALSE))"),"")</f>
        <v/>
      </c>
      <c r="BG196" s="98" t="str">
        <f t="shared" ref="BG196:BG243" si="13">IF(F196&gt;0,EDATE(BF196,18),"")</f>
        <v/>
      </c>
      <c r="BH196" s="99" t="str">
        <f t="shared" ref="BH196:BH243" si="14">IF(F196&gt;0,IF(BG196&lt;$BH$1,"FINALIZAR FICHA","FICHA EN TIEMPO-18 MESES"),"")</f>
        <v/>
      </c>
      <c r="BI196" s="100" t="str">
        <f ca="1">IFERROR(__xludf.DUMMYFUNCTION("IFERROR(VLOOKUP(F210,IMPORTRANGE(""https://docs.google.com/spreadsheets/d/1Kvs4KS76FHFqLFIZfrDMff4kP08nblUkihrxltoGBjg/edit#gid=934712705"",""ESENCIAL!A6:BG""),2,FALSE))"),"")</f>
        <v/>
      </c>
      <c r="BJ196" s="19" t="str">
        <f t="shared" ref="BJ196:BJ243" si="15">IF(F196&gt;0,"Yamboro","")</f>
        <v/>
      </c>
      <c r="BK196" s="100"/>
      <c r="BL196" s="100"/>
    </row>
    <row r="197" spans="1:64" ht="15">
      <c r="A197" s="101"/>
      <c r="B197" s="101"/>
      <c r="G197" s="5" t="str">
        <f ca="1">IFERROR(__xludf.DUMMYFUNCTION("IFERROR(VLOOKUP(F211,IMPORTRANGE(""https://docs.google.com/spreadsheets/d/1Kvs4KS76FHFqLFIZfrDMff4kP08nblUkihrxltoGBjg/edit#gid=934712705"",""ESENCIAL!A6:BG""),3,FALSE))"),"")</f>
        <v/>
      </c>
      <c r="H197" s="5" t="str">
        <f ca="1">IFERROR(__xludf.DUMMYFUNCTION("IFERROR(VLOOKUP(F211,IMPORTRANGE(""https://docs.google.com/spreadsheets/d/1Kvs4KS76FHFqLFIZfrDMff4kP08nblUkihrxltoGBjg/edit#gid=934712705"",""ESENCIAL!A6:BG""),8,FALSE))"),"")</f>
        <v/>
      </c>
      <c r="L197" s="287"/>
      <c r="U197" s="40"/>
      <c r="AU197" s="41" t="str">
        <f t="shared" si="12"/>
        <v/>
      </c>
      <c r="AV197" s="5" t="str">
        <f ca="1">IFERROR(__xludf.DUMMYFUNCTION("IFERROR(VLOOKUP(E211&amp;F211,IMPORTRANGE(""https://docs.google.com/spreadsheets/d/1Uw7-A9f9R21vMXxHZFNpYNeKFtG8_yji4HS352LGlSQ/edit?pli=1#gid=0"",""1_ACUM!A4:S""),11,FALSE))"),"")</f>
        <v/>
      </c>
      <c r="AW197" s="42" t="str">
        <f ca="1">IFERROR(__xludf.DUMMYFUNCTION("IFERROR(VLOOKUP(F211,IMPORTRANGE(""https://docs.google.com/spreadsheets/d/1Kvs4KS76FHFqLFIZfrDMff4kP08nblUkihrxltoGBjg/edit#gid=934712705"",""ESENCIAL!A6:BG""),15,FALSE))"),"")</f>
        <v/>
      </c>
      <c r="AX197" s="21" t="str">
        <f ca="1">IFERROR(__xludf.DUMMYFUNCTION("IFERROR(VLOOKUP(E211&amp;F211,IMPORTRANGE(""https://docs.google.com/spreadsheets/d/1Uw7-A9f9R21vMXxHZFNpYNeKFtG8_yji4HS352LGlSQ/edit?pli=1#gid=0"",""1_ACUM!A4:S""),12,FALSE))"),"")</f>
        <v/>
      </c>
      <c r="AY197" s="43" t="str">
        <f ca="1">IFERROR(__xludf.DUMMYFUNCTION("IFERROR(VLOOKUP(E211&amp;F211,IMPORTRANGE(""https://docs.google.com/spreadsheets/d/1Uw7-A9f9R21vMXxHZFNpYNeKFtG8_yji4HS352LGlSQ/edit?pli=1#gid=0"",""1_ACUM!A4:S""),13,FALSE))"),"")</f>
        <v/>
      </c>
      <c r="AZ197" s="43" t="str">
        <f ca="1">IFERROR(__xludf.DUMMYFUNCTION("IFERROR(VLOOKUP(E211&amp;F211,IMPORTRANGE(""https://docs.google.com/spreadsheets/d/1Uw7-A9f9R21vMXxHZFNpYNeKFtG8_yji4HS352LGlSQ/edit?pli=1#gid=0"",""1_ACUM!A4:S""),14,FALSE))"),"")</f>
        <v/>
      </c>
      <c r="BA197" s="43" t="str">
        <f ca="1">IFERROR(__xludf.DUMMYFUNCTION("IFERROR(VLOOKUP(E211&amp;F211,IMPORTRANGE(""https://docs.google.com/spreadsheets/d/1Uw7-A9f9R21vMXxHZFNpYNeKFtG8_yji4HS352LGlSQ/edit?pli=1#gid=0"",""1_ACUM!A4:S""),15,FALSE))"),"")</f>
        <v/>
      </c>
      <c r="BB197" s="43" t="str">
        <f ca="1">IFERROR(__xludf.DUMMYFUNCTION("IFERROR(VLOOKUP(E211&amp;F211,IMPORTRANGE(""https://docs.google.com/spreadsheets/d/1Uw7-A9f9R21vMXxHZFNpYNeKFtG8_yji4HS352LGlSQ/edit?pli=1#gid=0"",""1_ACUM!A4:S""),16,FALSE))"),"")</f>
        <v/>
      </c>
      <c r="BC197" s="43" t="str">
        <f ca="1">IFERROR(__xludf.DUMMYFUNCTION("IFERROR(VLOOKUP(E211&amp;F211,IMPORTRANGE(""https://docs.google.com/spreadsheets/d/1Uw7-A9f9R21vMXxHZFNpYNeKFtG8_yji4HS352LGlSQ/edit?pli=1#gid=0"",""1_ACUM!A4:S""),17,FALSE))"),"")</f>
        <v/>
      </c>
      <c r="BD197" s="44" t="str">
        <f ca="1">IFERROR(__xludf.DUMMYFUNCTION("IFERROR(VLOOKUP(E211&amp;F211,IMPORTRANGE(""https://docs.google.com/spreadsheets/d/1Uw7-A9f9R21vMXxHZFNpYNeKFtG8_yji4HS352LGlSQ/edit?pli=1#gid=0"",""1_ACUM!A4:S""),18,FALSE))"),"")</f>
        <v/>
      </c>
      <c r="BE197" s="44" t="str">
        <f ca="1">IFERROR(__xludf.DUMMYFUNCTION("IFERROR(VLOOKUP(E211&amp;F211,IMPORTRANGE(""https://docs.google.com/spreadsheets/d/1Uw7-A9f9R21vMXxHZFNpYNeKFtG8_yji4HS352LGlSQ/edit?pli=1#gid=0"",""1_ACUM!A4:S""),19,FALSE))"),"")</f>
        <v/>
      </c>
      <c r="BF197" s="98" t="str">
        <f ca="1">IFERROR(__xludf.DUMMYFUNCTION("IFERROR(VLOOKUP(F211,IMPORTRANGE(""https://docs.google.com/spreadsheets/d/1Kvs4KS76FHFqLFIZfrDMff4kP08nblUkihrxltoGBjg/edit#gid=934712705"",""ESENCIAL!A6:BG""),5,FALSE))"),"")</f>
        <v/>
      </c>
      <c r="BG197" s="98" t="str">
        <f t="shared" si="13"/>
        <v/>
      </c>
      <c r="BH197" s="99" t="str">
        <f t="shared" si="14"/>
        <v/>
      </c>
      <c r="BI197" s="100" t="str">
        <f ca="1">IFERROR(__xludf.DUMMYFUNCTION("IFERROR(VLOOKUP(F211,IMPORTRANGE(""https://docs.google.com/spreadsheets/d/1Kvs4KS76FHFqLFIZfrDMff4kP08nblUkihrxltoGBjg/edit#gid=934712705"",""ESENCIAL!A6:BG""),2,FALSE))"),"")</f>
        <v/>
      </c>
      <c r="BJ197" s="19" t="str">
        <f t="shared" si="15"/>
        <v/>
      </c>
      <c r="BK197" s="100"/>
      <c r="BL197" s="100"/>
    </row>
    <row r="198" spans="1:64" ht="15">
      <c r="A198" s="101"/>
      <c r="B198" s="101"/>
      <c r="G198" s="5" t="str">
        <f ca="1">IFERROR(__xludf.DUMMYFUNCTION("IFERROR(VLOOKUP(F212,IMPORTRANGE(""https://docs.google.com/spreadsheets/d/1Kvs4KS76FHFqLFIZfrDMff4kP08nblUkihrxltoGBjg/edit#gid=934712705"",""ESENCIAL!A6:BG""),3,FALSE))"),"")</f>
        <v/>
      </c>
      <c r="H198" s="5" t="str">
        <f ca="1">IFERROR(__xludf.DUMMYFUNCTION("IFERROR(VLOOKUP(F212,IMPORTRANGE(""https://docs.google.com/spreadsheets/d/1Kvs4KS76FHFqLFIZfrDMff4kP08nblUkihrxltoGBjg/edit#gid=934712705"",""ESENCIAL!A6:BG""),8,FALSE))"),"")</f>
        <v/>
      </c>
      <c r="L198" s="287"/>
      <c r="U198" s="40"/>
      <c r="AU198" s="41" t="str">
        <f t="shared" si="12"/>
        <v/>
      </c>
      <c r="AV198" s="5" t="str">
        <f ca="1">IFERROR(__xludf.DUMMYFUNCTION("IFERROR(VLOOKUP(E212&amp;F212,IMPORTRANGE(""https://docs.google.com/spreadsheets/d/1Uw7-A9f9R21vMXxHZFNpYNeKFtG8_yji4HS352LGlSQ/edit?pli=1#gid=0"",""1_ACUM!A4:S""),11,FALSE))"),"")</f>
        <v/>
      </c>
      <c r="AW198" s="42" t="str">
        <f ca="1">IFERROR(__xludf.DUMMYFUNCTION("IFERROR(VLOOKUP(F212,IMPORTRANGE(""https://docs.google.com/spreadsheets/d/1Kvs4KS76FHFqLFIZfrDMff4kP08nblUkihrxltoGBjg/edit#gid=934712705"",""ESENCIAL!A6:BG""),15,FALSE))"),"")</f>
        <v/>
      </c>
      <c r="AX198" s="21" t="str">
        <f ca="1">IFERROR(__xludf.DUMMYFUNCTION("IFERROR(VLOOKUP(E212&amp;F212,IMPORTRANGE(""https://docs.google.com/spreadsheets/d/1Uw7-A9f9R21vMXxHZFNpYNeKFtG8_yji4HS352LGlSQ/edit?pli=1#gid=0"",""1_ACUM!A4:S""),12,FALSE))"),"")</f>
        <v/>
      </c>
      <c r="AY198" s="43" t="str">
        <f ca="1">IFERROR(__xludf.DUMMYFUNCTION("IFERROR(VLOOKUP(E212&amp;F212,IMPORTRANGE(""https://docs.google.com/spreadsheets/d/1Uw7-A9f9R21vMXxHZFNpYNeKFtG8_yji4HS352LGlSQ/edit?pli=1#gid=0"",""1_ACUM!A4:S""),13,FALSE))"),"")</f>
        <v/>
      </c>
      <c r="AZ198" s="43" t="str">
        <f ca="1">IFERROR(__xludf.DUMMYFUNCTION("IFERROR(VLOOKUP(E212&amp;F212,IMPORTRANGE(""https://docs.google.com/spreadsheets/d/1Uw7-A9f9R21vMXxHZFNpYNeKFtG8_yji4HS352LGlSQ/edit?pli=1#gid=0"",""1_ACUM!A4:S""),14,FALSE))"),"")</f>
        <v/>
      </c>
      <c r="BA198" s="43" t="str">
        <f ca="1">IFERROR(__xludf.DUMMYFUNCTION("IFERROR(VLOOKUP(E212&amp;F212,IMPORTRANGE(""https://docs.google.com/spreadsheets/d/1Uw7-A9f9R21vMXxHZFNpYNeKFtG8_yji4HS352LGlSQ/edit?pli=1#gid=0"",""1_ACUM!A4:S""),15,FALSE))"),"")</f>
        <v/>
      </c>
      <c r="BB198" s="43" t="str">
        <f ca="1">IFERROR(__xludf.DUMMYFUNCTION("IFERROR(VLOOKUP(E212&amp;F212,IMPORTRANGE(""https://docs.google.com/spreadsheets/d/1Uw7-A9f9R21vMXxHZFNpYNeKFtG8_yji4HS352LGlSQ/edit?pli=1#gid=0"",""1_ACUM!A4:S""),16,FALSE))"),"")</f>
        <v/>
      </c>
      <c r="BC198" s="43" t="str">
        <f ca="1">IFERROR(__xludf.DUMMYFUNCTION("IFERROR(VLOOKUP(E212&amp;F212,IMPORTRANGE(""https://docs.google.com/spreadsheets/d/1Uw7-A9f9R21vMXxHZFNpYNeKFtG8_yji4HS352LGlSQ/edit?pli=1#gid=0"",""1_ACUM!A4:S""),17,FALSE))"),"")</f>
        <v/>
      </c>
      <c r="BD198" s="44" t="str">
        <f ca="1">IFERROR(__xludf.DUMMYFUNCTION("IFERROR(VLOOKUP(E212&amp;F212,IMPORTRANGE(""https://docs.google.com/spreadsheets/d/1Uw7-A9f9R21vMXxHZFNpYNeKFtG8_yji4HS352LGlSQ/edit?pli=1#gid=0"",""1_ACUM!A4:S""),18,FALSE))"),"")</f>
        <v/>
      </c>
      <c r="BE198" s="44" t="str">
        <f ca="1">IFERROR(__xludf.DUMMYFUNCTION("IFERROR(VLOOKUP(E212&amp;F212,IMPORTRANGE(""https://docs.google.com/spreadsheets/d/1Uw7-A9f9R21vMXxHZFNpYNeKFtG8_yji4HS352LGlSQ/edit?pli=1#gid=0"",""1_ACUM!A4:S""),19,FALSE))"),"")</f>
        <v/>
      </c>
      <c r="BF198" s="98" t="str">
        <f ca="1">IFERROR(__xludf.DUMMYFUNCTION("IFERROR(VLOOKUP(F212,IMPORTRANGE(""https://docs.google.com/spreadsheets/d/1Kvs4KS76FHFqLFIZfrDMff4kP08nblUkihrxltoGBjg/edit#gid=934712705"",""ESENCIAL!A6:BG""),5,FALSE))"),"")</f>
        <v/>
      </c>
      <c r="BG198" s="98" t="str">
        <f t="shared" si="13"/>
        <v/>
      </c>
      <c r="BH198" s="99" t="str">
        <f t="shared" si="14"/>
        <v/>
      </c>
      <c r="BI198" s="100" t="str">
        <f ca="1">IFERROR(__xludf.DUMMYFUNCTION("IFERROR(VLOOKUP(F212,IMPORTRANGE(""https://docs.google.com/spreadsheets/d/1Kvs4KS76FHFqLFIZfrDMff4kP08nblUkihrxltoGBjg/edit#gid=934712705"",""ESENCIAL!A6:BG""),2,FALSE))"),"")</f>
        <v/>
      </c>
      <c r="BJ198" s="19" t="str">
        <f t="shared" si="15"/>
        <v/>
      </c>
      <c r="BK198" s="100"/>
      <c r="BL198" s="100"/>
    </row>
    <row r="199" spans="1:64" ht="15">
      <c r="A199" s="101"/>
      <c r="B199" s="101"/>
      <c r="G199" s="5" t="str">
        <f ca="1">IFERROR(__xludf.DUMMYFUNCTION("IFERROR(VLOOKUP(F213,IMPORTRANGE(""https://docs.google.com/spreadsheets/d/1Kvs4KS76FHFqLFIZfrDMff4kP08nblUkihrxltoGBjg/edit#gid=934712705"",""ESENCIAL!A6:BG""),3,FALSE))"),"")</f>
        <v/>
      </c>
      <c r="H199" s="5" t="str">
        <f ca="1">IFERROR(__xludf.DUMMYFUNCTION("IFERROR(VLOOKUP(F213,IMPORTRANGE(""https://docs.google.com/spreadsheets/d/1Kvs4KS76FHFqLFIZfrDMff4kP08nblUkihrxltoGBjg/edit#gid=934712705"",""ESENCIAL!A6:BG""),8,FALSE))"),"")</f>
        <v/>
      </c>
      <c r="L199" s="287"/>
      <c r="U199" s="40"/>
      <c r="AU199" s="41" t="str">
        <f t="shared" si="12"/>
        <v/>
      </c>
      <c r="AV199" s="5" t="str">
        <f ca="1">IFERROR(__xludf.DUMMYFUNCTION("IFERROR(VLOOKUP(E213&amp;F213,IMPORTRANGE(""https://docs.google.com/spreadsheets/d/1Uw7-A9f9R21vMXxHZFNpYNeKFtG8_yji4HS352LGlSQ/edit?pli=1#gid=0"",""1_ACUM!A4:S""),11,FALSE))"),"")</f>
        <v/>
      </c>
      <c r="AW199" s="42" t="str">
        <f ca="1">IFERROR(__xludf.DUMMYFUNCTION("IFERROR(VLOOKUP(F213,IMPORTRANGE(""https://docs.google.com/spreadsheets/d/1Kvs4KS76FHFqLFIZfrDMff4kP08nblUkihrxltoGBjg/edit#gid=934712705"",""ESENCIAL!A6:BG""),15,FALSE))"),"")</f>
        <v/>
      </c>
      <c r="AX199" s="21" t="str">
        <f ca="1">IFERROR(__xludf.DUMMYFUNCTION("IFERROR(VLOOKUP(E213&amp;F213,IMPORTRANGE(""https://docs.google.com/spreadsheets/d/1Uw7-A9f9R21vMXxHZFNpYNeKFtG8_yji4HS352LGlSQ/edit?pli=1#gid=0"",""1_ACUM!A4:S""),12,FALSE))"),"")</f>
        <v/>
      </c>
      <c r="AY199" s="43" t="str">
        <f ca="1">IFERROR(__xludf.DUMMYFUNCTION("IFERROR(VLOOKUP(E213&amp;F213,IMPORTRANGE(""https://docs.google.com/spreadsheets/d/1Uw7-A9f9R21vMXxHZFNpYNeKFtG8_yji4HS352LGlSQ/edit?pli=1#gid=0"",""1_ACUM!A4:S""),13,FALSE))"),"")</f>
        <v/>
      </c>
      <c r="AZ199" s="43" t="str">
        <f ca="1">IFERROR(__xludf.DUMMYFUNCTION("IFERROR(VLOOKUP(E213&amp;F213,IMPORTRANGE(""https://docs.google.com/spreadsheets/d/1Uw7-A9f9R21vMXxHZFNpYNeKFtG8_yji4HS352LGlSQ/edit?pli=1#gid=0"",""1_ACUM!A4:S""),14,FALSE))"),"")</f>
        <v/>
      </c>
      <c r="BA199" s="43" t="str">
        <f ca="1">IFERROR(__xludf.DUMMYFUNCTION("IFERROR(VLOOKUP(E213&amp;F213,IMPORTRANGE(""https://docs.google.com/spreadsheets/d/1Uw7-A9f9R21vMXxHZFNpYNeKFtG8_yji4HS352LGlSQ/edit?pli=1#gid=0"",""1_ACUM!A4:S""),15,FALSE))"),"")</f>
        <v/>
      </c>
      <c r="BB199" s="43" t="str">
        <f ca="1">IFERROR(__xludf.DUMMYFUNCTION("IFERROR(VLOOKUP(E213&amp;F213,IMPORTRANGE(""https://docs.google.com/spreadsheets/d/1Uw7-A9f9R21vMXxHZFNpYNeKFtG8_yji4HS352LGlSQ/edit?pli=1#gid=0"",""1_ACUM!A4:S""),16,FALSE))"),"")</f>
        <v/>
      </c>
      <c r="BC199" s="43" t="str">
        <f ca="1">IFERROR(__xludf.DUMMYFUNCTION("IFERROR(VLOOKUP(E213&amp;F213,IMPORTRANGE(""https://docs.google.com/spreadsheets/d/1Uw7-A9f9R21vMXxHZFNpYNeKFtG8_yji4HS352LGlSQ/edit?pli=1#gid=0"",""1_ACUM!A4:S""),17,FALSE))"),"")</f>
        <v/>
      </c>
      <c r="BD199" s="44" t="str">
        <f ca="1">IFERROR(__xludf.DUMMYFUNCTION("IFERROR(VLOOKUP(E213&amp;F213,IMPORTRANGE(""https://docs.google.com/spreadsheets/d/1Uw7-A9f9R21vMXxHZFNpYNeKFtG8_yji4HS352LGlSQ/edit?pli=1#gid=0"",""1_ACUM!A4:S""),18,FALSE))"),"")</f>
        <v/>
      </c>
      <c r="BE199" s="44" t="str">
        <f ca="1">IFERROR(__xludf.DUMMYFUNCTION("IFERROR(VLOOKUP(E213&amp;F213,IMPORTRANGE(""https://docs.google.com/spreadsheets/d/1Uw7-A9f9R21vMXxHZFNpYNeKFtG8_yji4HS352LGlSQ/edit?pli=1#gid=0"",""1_ACUM!A4:S""),19,FALSE))"),"")</f>
        <v/>
      </c>
      <c r="BF199" s="98" t="str">
        <f ca="1">IFERROR(__xludf.DUMMYFUNCTION("IFERROR(VLOOKUP(F213,IMPORTRANGE(""https://docs.google.com/spreadsheets/d/1Kvs4KS76FHFqLFIZfrDMff4kP08nblUkihrxltoGBjg/edit#gid=934712705"",""ESENCIAL!A6:BG""),5,FALSE))"),"")</f>
        <v/>
      </c>
      <c r="BG199" s="98" t="str">
        <f t="shared" si="13"/>
        <v/>
      </c>
      <c r="BH199" s="99" t="str">
        <f t="shared" si="14"/>
        <v/>
      </c>
      <c r="BI199" s="100" t="str">
        <f ca="1">IFERROR(__xludf.DUMMYFUNCTION("IFERROR(VLOOKUP(F213,IMPORTRANGE(""https://docs.google.com/spreadsheets/d/1Kvs4KS76FHFqLFIZfrDMff4kP08nblUkihrxltoGBjg/edit#gid=934712705"",""ESENCIAL!A6:BG""),2,FALSE))"),"")</f>
        <v/>
      </c>
      <c r="BJ199" s="19" t="str">
        <f t="shared" si="15"/>
        <v/>
      </c>
      <c r="BK199" s="100"/>
      <c r="BL199" s="100"/>
    </row>
    <row r="200" spans="1:64" ht="15">
      <c r="A200" s="101"/>
      <c r="B200" s="101"/>
      <c r="G200" s="5" t="str">
        <f ca="1">IFERROR(__xludf.DUMMYFUNCTION("IFERROR(VLOOKUP(F214,IMPORTRANGE(""https://docs.google.com/spreadsheets/d/1Kvs4KS76FHFqLFIZfrDMff4kP08nblUkihrxltoGBjg/edit#gid=934712705"",""ESENCIAL!A6:BG""),3,FALSE))"),"")</f>
        <v/>
      </c>
      <c r="H200" s="5" t="str">
        <f ca="1">IFERROR(__xludf.DUMMYFUNCTION("IFERROR(VLOOKUP(F214,IMPORTRANGE(""https://docs.google.com/spreadsheets/d/1Kvs4KS76FHFqLFIZfrDMff4kP08nblUkihrxltoGBjg/edit#gid=934712705"",""ESENCIAL!A6:BG""),8,FALSE))"),"")</f>
        <v/>
      </c>
      <c r="L200" s="287"/>
      <c r="U200" s="40"/>
      <c r="AU200" s="41" t="str">
        <f t="shared" si="12"/>
        <v/>
      </c>
      <c r="AV200" s="5" t="str">
        <f ca="1">IFERROR(__xludf.DUMMYFUNCTION("IFERROR(VLOOKUP(E214&amp;F214,IMPORTRANGE(""https://docs.google.com/spreadsheets/d/1Uw7-A9f9R21vMXxHZFNpYNeKFtG8_yji4HS352LGlSQ/edit?pli=1#gid=0"",""1_ACUM!A4:S""),11,FALSE))"),"")</f>
        <v/>
      </c>
      <c r="AW200" s="42" t="str">
        <f ca="1">IFERROR(__xludf.DUMMYFUNCTION("IFERROR(VLOOKUP(F214,IMPORTRANGE(""https://docs.google.com/spreadsheets/d/1Kvs4KS76FHFqLFIZfrDMff4kP08nblUkihrxltoGBjg/edit#gid=934712705"",""ESENCIAL!A6:BG""),15,FALSE))"),"")</f>
        <v/>
      </c>
      <c r="AX200" s="21" t="str">
        <f ca="1">IFERROR(__xludf.DUMMYFUNCTION("IFERROR(VLOOKUP(E214&amp;F214,IMPORTRANGE(""https://docs.google.com/spreadsheets/d/1Uw7-A9f9R21vMXxHZFNpYNeKFtG8_yji4HS352LGlSQ/edit?pli=1#gid=0"",""1_ACUM!A4:S""),12,FALSE))"),"")</f>
        <v/>
      </c>
      <c r="AY200" s="43" t="str">
        <f ca="1">IFERROR(__xludf.DUMMYFUNCTION("IFERROR(VLOOKUP(E214&amp;F214,IMPORTRANGE(""https://docs.google.com/spreadsheets/d/1Uw7-A9f9R21vMXxHZFNpYNeKFtG8_yji4HS352LGlSQ/edit?pli=1#gid=0"",""1_ACUM!A4:S""),13,FALSE))"),"")</f>
        <v/>
      </c>
      <c r="AZ200" s="43" t="str">
        <f ca="1">IFERROR(__xludf.DUMMYFUNCTION("IFERROR(VLOOKUP(E214&amp;F214,IMPORTRANGE(""https://docs.google.com/spreadsheets/d/1Uw7-A9f9R21vMXxHZFNpYNeKFtG8_yji4HS352LGlSQ/edit?pli=1#gid=0"",""1_ACUM!A4:S""),14,FALSE))"),"")</f>
        <v/>
      </c>
      <c r="BA200" s="43" t="str">
        <f ca="1">IFERROR(__xludf.DUMMYFUNCTION("IFERROR(VLOOKUP(E214&amp;F214,IMPORTRANGE(""https://docs.google.com/spreadsheets/d/1Uw7-A9f9R21vMXxHZFNpYNeKFtG8_yji4HS352LGlSQ/edit?pli=1#gid=0"",""1_ACUM!A4:S""),15,FALSE))"),"")</f>
        <v/>
      </c>
      <c r="BB200" s="43" t="str">
        <f ca="1">IFERROR(__xludf.DUMMYFUNCTION("IFERROR(VLOOKUP(E214&amp;F214,IMPORTRANGE(""https://docs.google.com/spreadsheets/d/1Uw7-A9f9R21vMXxHZFNpYNeKFtG8_yji4HS352LGlSQ/edit?pli=1#gid=0"",""1_ACUM!A4:S""),16,FALSE))"),"")</f>
        <v/>
      </c>
      <c r="BC200" s="43" t="str">
        <f ca="1">IFERROR(__xludf.DUMMYFUNCTION("IFERROR(VLOOKUP(E214&amp;F214,IMPORTRANGE(""https://docs.google.com/spreadsheets/d/1Uw7-A9f9R21vMXxHZFNpYNeKFtG8_yji4HS352LGlSQ/edit?pli=1#gid=0"",""1_ACUM!A4:S""),17,FALSE))"),"")</f>
        <v/>
      </c>
      <c r="BD200" s="44" t="str">
        <f ca="1">IFERROR(__xludf.DUMMYFUNCTION("IFERROR(VLOOKUP(E214&amp;F214,IMPORTRANGE(""https://docs.google.com/spreadsheets/d/1Uw7-A9f9R21vMXxHZFNpYNeKFtG8_yji4HS352LGlSQ/edit?pli=1#gid=0"",""1_ACUM!A4:S""),18,FALSE))"),"")</f>
        <v/>
      </c>
      <c r="BE200" s="44" t="str">
        <f ca="1">IFERROR(__xludf.DUMMYFUNCTION("IFERROR(VLOOKUP(E214&amp;F214,IMPORTRANGE(""https://docs.google.com/spreadsheets/d/1Uw7-A9f9R21vMXxHZFNpYNeKFtG8_yji4HS352LGlSQ/edit?pli=1#gid=0"",""1_ACUM!A4:S""),19,FALSE))"),"")</f>
        <v/>
      </c>
      <c r="BF200" s="98" t="str">
        <f ca="1">IFERROR(__xludf.DUMMYFUNCTION("IFERROR(VLOOKUP(F214,IMPORTRANGE(""https://docs.google.com/spreadsheets/d/1Kvs4KS76FHFqLFIZfrDMff4kP08nblUkihrxltoGBjg/edit#gid=934712705"",""ESENCIAL!A6:BG""),5,FALSE))"),"")</f>
        <v/>
      </c>
      <c r="BG200" s="98" t="str">
        <f t="shared" si="13"/>
        <v/>
      </c>
      <c r="BH200" s="99" t="str">
        <f t="shared" si="14"/>
        <v/>
      </c>
      <c r="BI200" s="100" t="str">
        <f ca="1">IFERROR(__xludf.DUMMYFUNCTION("IFERROR(VLOOKUP(F214,IMPORTRANGE(""https://docs.google.com/spreadsheets/d/1Kvs4KS76FHFqLFIZfrDMff4kP08nblUkihrxltoGBjg/edit#gid=934712705"",""ESENCIAL!A6:BG""),2,FALSE))"),"")</f>
        <v/>
      </c>
      <c r="BJ200" s="19" t="str">
        <f t="shared" si="15"/>
        <v/>
      </c>
      <c r="BK200" s="100"/>
      <c r="BL200" s="100"/>
    </row>
    <row r="201" spans="1:64" ht="15">
      <c r="A201" s="101"/>
      <c r="B201" s="101"/>
      <c r="G201" s="5" t="str">
        <f ca="1">IFERROR(__xludf.DUMMYFUNCTION("IFERROR(VLOOKUP(F215,IMPORTRANGE(""https://docs.google.com/spreadsheets/d/1Kvs4KS76FHFqLFIZfrDMff4kP08nblUkihrxltoGBjg/edit#gid=934712705"",""ESENCIAL!A6:BG""),3,FALSE))"),"")</f>
        <v/>
      </c>
      <c r="H201" s="5" t="str">
        <f ca="1">IFERROR(__xludf.DUMMYFUNCTION("IFERROR(VLOOKUP(F215,IMPORTRANGE(""https://docs.google.com/spreadsheets/d/1Kvs4KS76FHFqLFIZfrDMff4kP08nblUkihrxltoGBjg/edit#gid=934712705"",""ESENCIAL!A6:BG""),8,FALSE))"),"")</f>
        <v/>
      </c>
      <c r="L201" s="287"/>
      <c r="U201" s="40"/>
      <c r="AU201" s="41" t="str">
        <f t="shared" si="12"/>
        <v/>
      </c>
      <c r="AV201" s="5" t="str">
        <f ca="1">IFERROR(__xludf.DUMMYFUNCTION("IFERROR(VLOOKUP(E215&amp;F215,IMPORTRANGE(""https://docs.google.com/spreadsheets/d/1Uw7-A9f9R21vMXxHZFNpYNeKFtG8_yji4HS352LGlSQ/edit?pli=1#gid=0"",""1_ACUM!A4:S""),11,FALSE))"),"")</f>
        <v/>
      </c>
      <c r="AW201" s="42" t="str">
        <f ca="1">IFERROR(__xludf.DUMMYFUNCTION("IFERROR(VLOOKUP(F215,IMPORTRANGE(""https://docs.google.com/spreadsheets/d/1Kvs4KS76FHFqLFIZfrDMff4kP08nblUkihrxltoGBjg/edit#gid=934712705"",""ESENCIAL!A6:BG""),15,FALSE))"),"")</f>
        <v/>
      </c>
      <c r="AX201" s="21" t="str">
        <f ca="1">IFERROR(__xludf.DUMMYFUNCTION("IFERROR(VLOOKUP(E215&amp;F215,IMPORTRANGE(""https://docs.google.com/spreadsheets/d/1Uw7-A9f9R21vMXxHZFNpYNeKFtG8_yji4HS352LGlSQ/edit?pli=1#gid=0"",""1_ACUM!A4:S""),12,FALSE))"),"")</f>
        <v/>
      </c>
      <c r="AY201" s="43" t="str">
        <f ca="1">IFERROR(__xludf.DUMMYFUNCTION("IFERROR(VLOOKUP(E215&amp;F215,IMPORTRANGE(""https://docs.google.com/spreadsheets/d/1Uw7-A9f9R21vMXxHZFNpYNeKFtG8_yji4HS352LGlSQ/edit?pli=1#gid=0"",""1_ACUM!A4:S""),13,FALSE))"),"")</f>
        <v/>
      </c>
      <c r="AZ201" s="43" t="str">
        <f ca="1">IFERROR(__xludf.DUMMYFUNCTION("IFERROR(VLOOKUP(E215&amp;F215,IMPORTRANGE(""https://docs.google.com/spreadsheets/d/1Uw7-A9f9R21vMXxHZFNpYNeKFtG8_yji4HS352LGlSQ/edit?pli=1#gid=0"",""1_ACUM!A4:S""),14,FALSE))"),"")</f>
        <v/>
      </c>
      <c r="BA201" s="43" t="str">
        <f ca="1">IFERROR(__xludf.DUMMYFUNCTION("IFERROR(VLOOKUP(E215&amp;F215,IMPORTRANGE(""https://docs.google.com/spreadsheets/d/1Uw7-A9f9R21vMXxHZFNpYNeKFtG8_yji4HS352LGlSQ/edit?pli=1#gid=0"",""1_ACUM!A4:S""),15,FALSE))"),"")</f>
        <v/>
      </c>
      <c r="BB201" s="43" t="str">
        <f ca="1">IFERROR(__xludf.DUMMYFUNCTION("IFERROR(VLOOKUP(E215&amp;F215,IMPORTRANGE(""https://docs.google.com/spreadsheets/d/1Uw7-A9f9R21vMXxHZFNpYNeKFtG8_yji4HS352LGlSQ/edit?pli=1#gid=0"",""1_ACUM!A4:S""),16,FALSE))"),"")</f>
        <v/>
      </c>
      <c r="BC201" s="43" t="str">
        <f ca="1">IFERROR(__xludf.DUMMYFUNCTION("IFERROR(VLOOKUP(E215&amp;F215,IMPORTRANGE(""https://docs.google.com/spreadsheets/d/1Uw7-A9f9R21vMXxHZFNpYNeKFtG8_yji4HS352LGlSQ/edit?pli=1#gid=0"",""1_ACUM!A4:S""),17,FALSE))"),"")</f>
        <v/>
      </c>
      <c r="BD201" s="44" t="str">
        <f ca="1">IFERROR(__xludf.DUMMYFUNCTION("IFERROR(VLOOKUP(E215&amp;F215,IMPORTRANGE(""https://docs.google.com/spreadsheets/d/1Uw7-A9f9R21vMXxHZFNpYNeKFtG8_yji4HS352LGlSQ/edit?pli=1#gid=0"",""1_ACUM!A4:S""),18,FALSE))"),"")</f>
        <v/>
      </c>
      <c r="BE201" s="44" t="str">
        <f ca="1">IFERROR(__xludf.DUMMYFUNCTION("IFERROR(VLOOKUP(E215&amp;F215,IMPORTRANGE(""https://docs.google.com/spreadsheets/d/1Uw7-A9f9R21vMXxHZFNpYNeKFtG8_yji4HS352LGlSQ/edit?pli=1#gid=0"",""1_ACUM!A4:S""),19,FALSE))"),"")</f>
        <v/>
      </c>
      <c r="BF201" s="98" t="str">
        <f ca="1">IFERROR(__xludf.DUMMYFUNCTION("IFERROR(VLOOKUP(F215,IMPORTRANGE(""https://docs.google.com/spreadsheets/d/1Kvs4KS76FHFqLFIZfrDMff4kP08nblUkihrxltoGBjg/edit#gid=934712705"",""ESENCIAL!A6:BG""),5,FALSE))"),"")</f>
        <v/>
      </c>
      <c r="BG201" s="98" t="str">
        <f t="shared" si="13"/>
        <v/>
      </c>
      <c r="BH201" s="99" t="str">
        <f t="shared" si="14"/>
        <v/>
      </c>
      <c r="BI201" s="100" t="str">
        <f ca="1">IFERROR(__xludf.DUMMYFUNCTION("IFERROR(VLOOKUP(F215,IMPORTRANGE(""https://docs.google.com/spreadsheets/d/1Kvs4KS76FHFqLFIZfrDMff4kP08nblUkihrxltoGBjg/edit#gid=934712705"",""ESENCIAL!A6:BG""),2,FALSE))"),"")</f>
        <v/>
      </c>
      <c r="BJ201" s="19" t="str">
        <f t="shared" si="15"/>
        <v/>
      </c>
      <c r="BK201" s="100"/>
      <c r="BL201" s="100"/>
    </row>
    <row r="202" spans="1:64" ht="15">
      <c r="A202" s="101"/>
      <c r="B202" s="101"/>
      <c r="G202" s="5" t="str">
        <f ca="1">IFERROR(__xludf.DUMMYFUNCTION("IFERROR(VLOOKUP(F216,IMPORTRANGE(""https://docs.google.com/spreadsheets/d/1Kvs4KS76FHFqLFIZfrDMff4kP08nblUkihrxltoGBjg/edit#gid=934712705"",""ESENCIAL!A6:BG""),3,FALSE))"),"")</f>
        <v/>
      </c>
      <c r="H202" s="5" t="str">
        <f ca="1">IFERROR(__xludf.DUMMYFUNCTION("IFERROR(VLOOKUP(F216,IMPORTRANGE(""https://docs.google.com/spreadsheets/d/1Kvs4KS76FHFqLFIZfrDMff4kP08nblUkihrxltoGBjg/edit#gid=934712705"",""ESENCIAL!A6:BG""),8,FALSE))"),"")</f>
        <v/>
      </c>
      <c r="L202" s="287"/>
      <c r="U202" s="40"/>
      <c r="AU202" s="41" t="str">
        <f t="shared" si="12"/>
        <v/>
      </c>
      <c r="AV202" s="5" t="str">
        <f ca="1">IFERROR(__xludf.DUMMYFUNCTION("IFERROR(VLOOKUP(E216&amp;F216,IMPORTRANGE(""https://docs.google.com/spreadsheets/d/1Uw7-A9f9R21vMXxHZFNpYNeKFtG8_yji4HS352LGlSQ/edit?pli=1#gid=0"",""1_ACUM!A4:S""),11,FALSE))"),"")</f>
        <v/>
      </c>
      <c r="AW202" s="42" t="str">
        <f ca="1">IFERROR(__xludf.DUMMYFUNCTION("IFERROR(VLOOKUP(F216,IMPORTRANGE(""https://docs.google.com/spreadsheets/d/1Kvs4KS76FHFqLFIZfrDMff4kP08nblUkihrxltoGBjg/edit#gid=934712705"",""ESENCIAL!A6:BG""),15,FALSE))"),"")</f>
        <v/>
      </c>
      <c r="AX202" s="21" t="str">
        <f ca="1">IFERROR(__xludf.DUMMYFUNCTION("IFERROR(VLOOKUP(E216&amp;F216,IMPORTRANGE(""https://docs.google.com/spreadsheets/d/1Uw7-A9f9R21vMXxHZFNpYNeKFtG8_yji4HS352LGlSQ/edit?pli=1#gid=0"",""1_ACUM!A4:S""),12,FALSE))"),"")</f>
        <v/>
      </c>
      <c r="AY202" s="43" t="str">
        <f ca="1">IFERROR(__xludf.DUMMYFUNCTION("IFERROR(VLOOKUP(E216&amp;F216,IMPORTRANGE(""https://docs.google.com/spreadsheets/d/1Uw7-A9f9R21vMXxHZFNpYNeKFtG8_yji4HS352LGlSQ/edit?pli=1#gid=0"",""1_ACUM!A4:S""),13,FALSE))"),"")</f>
        <v/>
      </c>
      <c r="AZ202" s="43" t="str">
        <f ca="1">IFERROR(__xludf.DUMMYFUNCTION("IFERROR(VLOOKUP(E216&amp;F216,IMPORTRANGE(""https://docs.google.com/spreadsheets/d/1Uw7-A9f9R21vMXxHZFNpYNeKFtG8_yji4HS352LGlSQ/edit?pli=1#gid=0"",""1_ACUM!A4:S""),14,FALSE))"),"")</f>
        <v/>
      </c>
      <c r="BA202" s="43" t="str">
        <f ca="1">IFERROR(__xludf.DUMMYFUNCTION("IFERROR(VLOOKUP(E216&amp;F216,IMPORTRANGE(""https://docs.google.com/spreadsheets/d/1Uw7-A9f9R21vMXxHZFNpYNeKFtG8_yji4HS352LGlSQ/edit?pli=1#gid=0"",""1_ACUM!A4:S""),15,FALSE))"),"")</f>
        <v/>
      </c>
      <c r="BB202" s="43" t="str">
        <f ca="1">IFERROR(__xludf.DUMMYFUNCTION("IFERROR(VLOOKUP(E216&amp;F216,IMPORTRANGE(""https://docs.google.com/spreadsheets/d/1Uw7-A9f9R21vMXxHZFNpYNeKFtG8_yji4HS352LGlSQ/edit?pli=1#gid=0"",""1_ACUM!A4:S""),16,FALSE))"),"")</f>
        <v/>
      </c>
      <c r="BC202" s="43" t="str">
        <f ca="1">IFERROR(__xludf.DUMMYFUNCTION("IFERROR(VLOOKUP(E216&amp;F216,IMPORTRANGE(""https://docs.google.com/spreadsheets/d/1Uw7-A9f9R21vMXxHZFNpYNeKFtG8_yji4HS352LGlSQ/edit?pli=1#gid=0"",""1_ACUM!A4:S""),17,FALSE))"),"")</f>
        <v/>
      </c>
      <c r="BD202" s="44" t="str">
        <f ca="1">IFERROR(__xludf.DUMMYFUNCTION("IFERROR(VLOOKUP(E216&amp;F216,IMPORTRANGE(""https://docs.google.com/spreadsheets/d/1Uw7-A9f9R21vMXxHZFNpYNeKFtG8_yji4HS352LGlSQ/edit?pli=1#gid=0"",""1_ACUM!A4:S""),18,FALSE))"),"")</f>
        <v/>
      </c>
      <c r="BE202" s="44" t="str">
        <f ca="1">IFERROR(__xludf.DUMMYFUNCTION("IFERROR(VLOOKUP(E216&amp;F216,IMPORTRANGE(""https://docs.google.com/spreadsheets/d/1Uw7-A9f9R21vMXxHZFNpYNeKFtG8_yji4HS352LGlSQ/edit?pli=1#gid=0"",""1_ACUM!A4:S""),19,FALSE))"),"")</f>
        <v/>
      </c>
      <c r="BF202" s="98" t="str">
        <f ca="1">IFERROR(__xludf.DUMMYFUNCTION("IFERROR(VLOOKUP(F216,IMPORTRANGE(""https://docs.google.com/spreadsheets/d/1Kvs4KS76FHFqLFIZfrDMff4kP08nblUkihrxltoGBjg/edit#gid=934712705"",""ESENCIAL!A6:BG""),5,FALSE))"),"")</f>
        <v/>
      </c>
      <c r="BG202" s="98" t="str">
        <f t="shared" si="13"/>
        <v/>
      </c>
      <c r="BH202" s="99" t="str">
        <f t="shared" si="14"/>
        <v/>
      </c>
      <c r="BI202" s="100" t="str">
        <f ca="1">IFERROR(__xludf.DUMMYFUNCTION("IFERROR(VLOOKUP(F216,IMPORTRANGE(""https://docs.google.com/spreadsheets/d/1Kvs4KS76FHFqLFIZfrDMff4kP08nblUkihrxltoGBjg/edit#gid=934712705"",""ESENCIAL!A6:BG""),2,FALSE))"),"")</f>
        <v/>
      </c>
      <c r="BJ202" s="19" t="str">
        <f t="shared" si="15"/>
        <v/>
      </c>
      <c r="BK202" s="100"/>
      <c r="BL202" s="100"/>
    </row>
    <row r="203" spans="1:64" ht="15">
      <c r="A203" s="101"/>
      <c r="B203" s="101"/>
      <c r="G203" s="5" t="str">
        <f ca="1">IFERROR(__xludf.DUMMYFUNCTION("IFERROR(VLOOKUP(F217,IMPORTRANGE(""https://docs.google.com/spreadsheets/d/1Kvs4KS76FHFqLFIZfrDMff4kP08nblUkihrxltoGBjg/edit#gid=934712705"",""ESENCIAL!A6:BG""),3,FALSE))"),"")</f>
        <v/>
      </c>
      <c r="H203" s="5" t="str">
        <f ca="1">IFERROR(__xludf.DUMMYFUNCTION("IFERROR(VLOOKUP(F217,IMPORTRANGE(""https://docs.google.com/spreadsheets/d/1Kvs4KS76FHFqLFIZfrDMff4kP08nblUkihrxltoGBjg/edit#gid=934712705"",""ESENCIAL!A6:BG""),8,FALSE))"),"")</f>
        <v/>
      </c>
      <c r="L203" s="287"/>
      <c r="U203" s="40"/>
      <c r="AU203" s="41" t="str">
        <f t="shared" si="12"/>
        <v/>
      </c>
      <c r="AV203" s="5" t="str">
        <f ca="1">IFERROR(__xludf.DUMMYFUNCTION("IFERROR(VLOOKUP(E217&amp;F217,IMPORTRANGE(""https://docs.google.com/spreadsheets/d/1Uw7-A9f9R21vMXxHZFNpYNeKFtG8_yji4HS352LGlSQ/edit?pli=1#gid=0"",""1_ACUM!A4:S""),11,FALSE))"),"")</f>
        <v/>
      </c>
      <c r="AW203" s="42" t="str">
        <f ca="1">IFERROR(__xludf.DUMMYFUNCTION("IFERROR(VLOOKUP(F217,IMPORTRANGE(""https://docs.google.com/spreadsheets/d/1Kvs4KS76FHFqLFIZfrDMff4kP08nblUkihrxltoGBjg/edit#gid=934712705"",""ESENCIAL!A6:BG""),15,FALSE))"),"")</f>
        <v/>
      </c>
      <c r="AX203" s="21" t="str">
        <f ca="1">IFERROR(__xludf.DUMMYFUNCTION("IFERROR(VLOOKUP(E217&amp;F217,IMPORTRANGE(""https://docs.google.com/spreadsheets/d/1Uw7-A9f9R21vMXxHZFNpYNeKFtG8_yji4HS352LGlSQ/edit?pli=1#gid=0"",""1_ACUM!A4:S""),12,FALSE))"),"")</f>
        <v/>
      </c>
      <c r="AY203" s="43" t="str">
        <f ca="1">IFERROR(__xludf.DUMMYFUNCTION("IFERROR(VLOOKUP(E217&amp;F217,IMPORTRANGE(""https://docs.google.com/spreadsheets/d/1Uw7-A9f9R21vMXxHZFNpYNeKFtG8_yji4HS352LGlSQ/edit?pli=1#gid=0"",""1_ACUM!A4:S""),13,FALSE))"),"")</f>
        <v/>
      </c>
      <c r="AZ203" s="43" t="str">
        <f ca="1">IFERROR(__xludf.DUMMYFUNCTION("IFERROR(VLOOKUP(E217&amp;F217,IMPORTRANGE(""https://docs.google.com/spreadsheets/d/1Uw7-A9f9R21vMXxHZFNpYNeKFtG8_yji4HS352LGlSQ/edit?pli=1#gid=0"",""1_ACUM!A4:S""),14,FALSE))"),"")</f>
        <v/>
      </c>
      <c r="BA203" s="43" t="str">
        <f ca="1">IFERROR(__xludf.DUMMYFUNCTION("IFERROR(VLOOKUP(E217&amp;F217,IMPORTRANGE(""https://docs.google.com/spreadsheets/d/1Uw7-A9f9R21vMXxHZFNpYNeKFtG8_yji4HS352LGlSQ/edit?pli=1#gid=0"",""1_ACUM!A4:S""),15,FALSE))"),"")</f>
        <v/>
      </c>
      <c r="BB203" s="43" t="str">
        <f ca="1">IFERROR(__xludf.DUMMYFUNCTION("IFERROR(VLOOKUP(E217&amp;F217,IMPORTRANGE(""https://docs.google.com/spreadsheets/d/1Uw7-A9f9R21vMXxHZFNpYNeKFtG8_yji4HS352LGlSQ/edit?pli=1#gid=0"",""1_ACUM!A4:S""),16,FALSE))"),"")</f>
        <v/>
      </c>
      <c r="BC203" s="43" t="str">
        <f ca="1">IFERROR(__xludf.DUMMYFUNCTION("IFERROR(VLOOKUP(E217&amp;F217,IMPORTRANGE(""https://docs.google.com/spreadsheets/d/1Uw7-A9f9R21vMXxHZFNpYNeKFtG8_yji4HS352LGlSQ/edit?pli=1#gid=0"",""1_ACUM!A4:S""),17,FALSE))"),"")</f>
        <v/>
      </c>
      <c r="BD203" s="44" t="str">
        <f ca="1">IFERROR(__xludf.DUMMYFUNCTION("IFERROR(VLOOKUP(E217&amp;F217,IMPORTRANGE(""https://docs.google.com/spreadsheets/d/1Uw7-A9f9R21vMXxHZFNpYNeKFtG8_yji4HS352LGlSQ/edit?pli=1#gid=0"",""1_ACUM!A4:S""),18,FALSE))"),"")</f>
        <v/>
      </c>
      <c r="BE203" s="44" t="str">
        <f ca="1">IFERROR(__xludf.DUMMYFUNCTION("IFERROR(VLOOKUP(E217&amp;F217,IMPORTRANGE(""https://docs.google.com/spreadsheets/d/1Uw7-A9f9R21vMXxHZFNpYNeKFtG8_yji4HS352LGlSQ/edit?pli=1#gid=0"",""1_ACUM!A4:S""),19,FALSE))"),"")</f>
        <v/>
      </c>
      <c r="BF203" s="98" t="str">
        <f ca="1">IFERROR(__xludf.DUMMYFUNCTION("IFERROR(VLOOKUP(F217,IMPORTRANGE(""https://docs.google.com/spreadsheets/d/1Kvs4KS76FHFqLFIZfrDMff4kP08nblUkihrxltoGBjg/edit#gid=934712705"",""ESENCIAL!A6:BG""),5,FALSE))"),"")</f>
        <v/>
      </c>
      <c r="BG203" s="98" t="str">
        <f t="shared" si="13"/>
        <v/>
      </c>
      <c r="BH203" s="99" t="str">
        <f t="shared" si="14"/>
        <v/>
      </c>
      <c r="BI203" s="100" t="str">
        <f ca="1">IFERROR(__xludf.DUMMYFUNCTION("IFERROR(VLOOKUP(F217,IMPORTRANGE(""https://docs.google.com/spreadsheets/d/1Kvs4KS76FHFqLFIZfrDMff4kP08nblUkihrxltoGBjg/edit#gid=934712705"",""ESENCIAL!A6:BG""),2,FALSE))"),"")</f>
        <v/>
      </c>
      <c r="BJ203" s="19" t="str">
        <f t="shared" si="15"/>
        <v/>
      </c>
      <c r="BK203" s="100"/>
      <c r="BL203" s="100"/>
    </row>
    <row r="204" spans="1:64" ht="15">
      <c r="A204" s="101"/>
      <c r="B204" s="101"/>
      <c r="G204" s="5" t="str">
        <f ca="1">IFERROR(__xludf.DUMMYFUNCTION("IFERROR(VLOOKUP(F218,IMPORTRANGE(""https://docs.google.com/spreadsheets/d/1Kvs4KS76FHFqLFIZfrDMff4kP08nblUkihrxltoGBjg/edit#gid=934712705"",""ESENCIAL!A6:BG""),3,FALSE))"),"")</f>
        <v/>
      </c>
      <c r="H204" s="5" t="str">
        <f ca="1">IFERROR(__xludf.DUMMYFUNCTION("IFERROR(VLOOKUP(F218,IMPORTRANGE(""https://docs.google.com/spreadsheets/d/1Kvs4KS76FHFqLFIZfrDMff4kP08nblUkihrxltoGBjg/edit#gid=934712705"",""ESENCIAL!A6:BG""),8,FALSE))"),"")</f>
        <v/>
      </c>
      <c r="L204" s="287"/>
      <c r="U204" s="40"/>
      <c r="AU204" s="41" t="str">
        <f t="shared" si="12"/>
        <v/>
      </c>
      <c r="AV204" s="5" t="str">
        <f ca="1">IFERROR(__xludf.DUMMYFUNCTION("IFERROR(VLOOKUP(E218&amp;F218,IMPORTRANGE(""https://docs.google.com/spreadsheets/d/1Uw7-A9f9R21vMXxHZFNpYNeKFtG8_yji4HS352LGlSQ/edit?pli=1#gid=0"",""1_ACUM!A4:S""),11,FALSE))"),"")</f>
        <v/>
      </c>
      <c r="AW204" s="42" t="str">
        <f ca="1">IFERROR(__xludf.DUMMYFUNCTION("IFERROR(VLOOKUP(F218,IMPORTRANGE(""https://docs.google.com/spreadsheets/d/1Kvs4KS76FHFqLFIZfrDMff4kP08nblUkihrxltoGBjg/edit#gid=934712705"",""ESENCIAL!A6:BG""),15,FALSE))"),"")</f>
        <v/>
      </c>
      <c r="AX204" s="21" t="str">
        <f ca="1">IFERROR(__xludf.DUMMYFUNCTION("IFERROR(VLOOKUP(E218&amp;F218,IMPORTRANGE(""https://docs.google.com/spreadsheets/d/1Uw7-A9f9R21vMXxHZFNpYNeKFtG8_yji4HS352LGlSQ/edit?pli=1#gid=0"",""1_ACUM!A4:S""),12,FALSE))"),"")</f>
        <v/>
      </c>
      <c r="AY204" s="43" t="str">
        <f ca="1">IFERROR(__xludf.DUMMYFUNCTION("IFERROR(VLOOKUP(E218&amp;F218,IMPORTRANGE(""https://docs.google.com/spreadsheets/d/1Uw7-A9f9R21vMXxHZFNpYNeKFtG8_yji4HS352LGlSQ/edit?pli=1#gid=0"",""1_ACUM!A4:S""),13,FALSE))"),"")</f>
        <v/>
      </c>
      <c r="AZ204" s="43" t="str">
        <f ca="1">IFERROR(__xludf.DUMMYFUNCTION("IFERROR(VLOOKUP(E218&amp;F218,IMPORTRANGE(""https://docs.google.com/spreadsheets/d/1Uw7-A9f9R21vMXxHZFNpYNeKFtG8_yji4HS352LGlSQ/edit?pli=1#gid=0"",""1_ACUM!A4:S""),14,FALSE))"),"")</f>
        <v/>
      </c>
      <c r="BA204" s="43" t="str">
        <f ca="1">IFERROR(__xludf.DUMMYFUNCTION("IFERROR(VLOOKUP(E218&amp;F218,IMPORTRANGE(""https://docs.google.com/spreadsheets/d/1Uw7-A9f9R21vMXxHZFNpYNeKFtG8_yji4HS352LGlSQ/edit?pli=1#gid=0"",""1_ACUM!A4:S""),15,FALSE))"),"")</f>
        <v/>
      </c>
      <c r="BB204" s="43" t="str">
        <f ca="1">IFERROR(__xludf.DUMMYFUNCTION("IFERROR(VLOOKUP(E218&amp;F218,IMPORTRANGE(""https://docs.google.com/spreadsheets/d/1Uw7-A9f9R21vMXxHZFNpYNeKFtG8_yji4HS352LGlSQ/edit?pli=1#gid=0"",""1_ACUM!A4:S""),16,FALSE))"),"")</f>
        <v/>
      </c>
      <c r="BC204" s="43" t="str">
        <f ca="1">IFERROR(__xludf.DUMMYFUNCTION("IFERROR(VLOOKUP(E218&amp;F218,IMPORTRANGE(""https://docs.google.com/spreadsheets/d/1Uw7-A9f9R21vMXxHZFNpYNeKFtG8_yji4HS352LGlSQ/edit?pli=1#gid=0"",""1_ACUM!A4:S""),17,FALSE))"),"")</f>
        <v/>
      </c>
      <c r="BD204" s="44" t="str">
        <f ca="1">IFERROR(__xludf.DUMMYFUNCTION("IFERROR(VLOOKUP(E218&amp;F218,IMPORTRANGE(""https://docs.google.com/spreadsheets/d/1Uw7-A9f9R21vMXxHZFNpYNeKFtG8_yji4HS352LGlSQ/edit?pli=1#gid=0"",""1_ACUM!A4:S""),18,FALSE))"),"")</f>
        <v/>
      </c>
      <c r="BE204" s="44" t="str">
        <f ca="1">IFERROR(__xludf.DUMMYFUNCTION("IFERROR(VLOOKUP(E218&amp;F218,IMPORTRANGE(""https://docs.google.com/spreadsheets/d/1Uw7-A9f9R21vMXxHZFNpYNeKFtG8_yji4HS352LGlSQ/edit?pli=1#gid=0"",""1_ACUM!A4:S""),19,FALSE))"),"")</f>
        <v/>
      </c>
      <c r="BF204" s="98" t="str">
        <f ca="1">IFERROR(__xludf.DUMMYFUNCTION("IFERROR(VLOOKUP(F218,IMPORTRANGE(""https://docs.google.com/spreadsheets/d/1Kvs4KS76FHFqLFIZfrDMff4kP08nblUkihrxltoGBjg/edit#gid=934712705"",""ESENCIAL!A6:BG""),5,FALSE))"),"")</f>
        <v/>
      </c>
      <c r="BG204" s="98" t="str">
        <f t="shared" si="13"/>
        <v/>
      </c>
      <c r="BH204" s="99" t="str">
        <f t="shared" si="14"/>
        <v/>
      </c>
      <c r="BI204" s="100" t="str">
        <f ca="1">IFERROR(__xludf.DUMMYFUNCTION("IFERROR(VLOOKUP(F218,IMPORTRANGE(""https://docs.google.com/spreadsheets/d/1Kvs4KS76FHFqLFIZfrDMff4kP08nblUkihrxltoGBjg/edit#gid=934712705"",""ESENCIAL!A6:BG""),2,FALSE))"),"")</f>
        <v/>
      </c>
      <c r="BJ204" s="19" t="str">
        <f t="shared" si="15"/>
        <v/>
      </c>
      <c r="BK204" s="100"/>
      <c r="BL204" s="100"/>
    </row>
    <row r="205" spans="1:64" ht="15">
      <c r="A205" s="101"/>
      <c r="B205" s="101"/>
      <c r="G205" s="5" t="str">
        <f ca="1">IFERROR(__xludf.DUMMYFUNCTION("IFERROR(VLOOKUP(F219,IMPORTRANGE(""https://docs.google.com/spreadsheets/d/1Kvs4KS76FHFqLFIZfrDMff4kP08nblUkihrxltoGBjg/edit#gid=934712705"",""ESENCIAL!A6:BG""),3,FALSE))"),"")</f>
        <v/>
      </c>
      <c r="H205" s="5" t="str">
        <f ca="1">IFERROR(__xludf.DUMMYFUNCTION("IFERROR(VLOOKUP(F219,IMPORTRANGE(""https://docs.google.com/spreadsheets/d/1Kvs4KS76FHFqLFIZfrDMff4kP08nblUkihrxltoGBjg/edit#gid=934712705"",""ESENCIAL!A6:BG""),8,FALSE))"),"")</f>
        <v/>
      </c>
      <c r="L205" s="287"/>
      <c r="U205" s="40"/>
      <c r="AU205" s="41" t="str">
        <f t="shared" si="12"/>
        <v/>
      </c>
      <c r="AV205" s="5" t="str">
        <f ca="1">IFERROR(__xludf.DUMMYFUNCTION("IFERROR(VLOOKUP(E219&amp;F219,IMPORTRANGE(""https://docs.google.com/spreadsheets/d/1Uw7-A9f9R21vMXxHZFNpYNeKFtG8_yji4HS352LGlSQ/edit?pli=1#gid=0"",""1_ACUM!A4:S""),11,FALSE))"),"")</f>
        <v/>
      </c>
      <c r="AW205" s="42" t="str">
        <f ca="1">IFERROR(__xludf.DUMMYFUNCTION("IFERROR(VLOOKUP(F219,IMPORTRANGE(""https://docs.google.com/spreadsheets/d/1Kvs4KS76FHFqLFIZfrDMff4kP08nblUkihrxltoGBjg/edit#gid=934712705"",""ESENCIAL!A6:BG""),15,FALSE))"),"")</f>
        <v/>
      </c>
      <c r="AX205" s="21" t="str">
        <f ca="1">IFERROR(__xludf.DUMMYFUNCTION("IFERROR(VLOOKUP(E219&amp;F219,IMPORTRANGE(""https://docs.google.com/spreadsheets/d/1Uw7-A9f9R21vMXxHZFNpYNeKFtG8_yji4HS352LGlSQ/edit?pli=1#gid=0"",""1_ACUM!A4:S""),12,FALSE))"),"")</f>
        <v/>
      </c>
      <c r="AY205" s="43" t="str">
        <f ca="1">IFERROR(__xludf.DUMMYFUNCTION("IFERROR(VLOOKUP(E219&amp;F219,IMPORTRANGE(""https://docs.google.com/spreadsheets/d/1Uw7-A9f9R21vMXxHZFNpYNeKFtG8_yji4HS352LGlSQ/edit?pli=1#gid=0"",""1_ACUM!A4:S""),13,FALSE))"),"")</f>
        <v/>
      </c>
      <c r="AZ205" s="43" t="str">
        <f ca="1">IFERROR(__xludf.DUMMYFUNCTION("IFERROR(VLOOKUP(E219&amp;F219,IMPORTRANGE(""https://docs.google.com/spreadsheets/d/1Uw7-A9f9R21vMXxHZFNpYNeKFtG8_yji4HS352LGlSQ/edit?pli=1#gid=0"",""1_ACUM!A4:S""),14,FALSE))"),"")</f>
        <v/>
      </c>
      <c r="BA205" s="43" t="str">
        <f ca="1">IFERROR(__xludf.DUMMYFUNCTION("IFERROR(VLOOKUP(E219&amp;F219,IMPORTRANGE(""https://docs.google.com/spreadsheets/d/1Uw7-A9f9R21vMXxHZFNpYNeKFtG8_yji4HS352LGlSQ/edit?pli=1#gid=0"",""1_ACUM!A4:S""),15,FALSE))"),"")</f>
        <v/>
      </c>
      <c r="BB205" s="43" t="str">
        <f ca="1">IFERROR(__xludf.DUMMYFUNCTION("IFERROR(VLOOKUP(E219&amp;F219,IMPORTRANGE(""https://docs.google.com/spreadsheets/d/1Uw7-A9f9R21vMXxHZFNpYNeKFtG8_yji4HS352LGlSQ/edit?pli=1#gid=0"",""1_ACUM!A4:S""),16,FALSE))"),"")</f>
        <v/>
      </c>
      <c r="BC205" s="43" t="str">
        <f ca="1">IFERROR(__xludf.DUMMYFUNCTION("IFERROR(VLOOKUP(E219&amp;F219,IMPORTRANGE(""https://docs.google.com/spreadsheets/d/1Uw7-A9f9R21vMXxHZFNpYNeKFtG8_yji4HS352LGlSQ/edit?pli=1#gid=0"",""1_ACUM!A4:S""),17,FALSE))"),"")</f>
        <v/>
      </c>
      <c r="BD205" s="44" t="str">
        <f ca="1">IFERROR(__xludf.DUMMYFUNCTION("IFERROR(VLOOKUP(E219&amp;F219,IMPORTRANGE(""https://docs.google.com/spreadsheets/d/1Uw7-A9f9R21vMXxHZFNpYNeKFtG8_yji4HS352LGlSQ/edit?pli=1#gid=0"",""1_ACUM!A4:S""),18,FALSE))"),"")</f>
        <v/>
      </c>
      <c r="BE205" s="44" t="str">
        <f ca="1">IFERROR(__xludf.DUMMYFUNCTION("IFERROR(VLOOKUP(E219&amp;F219,IMPORTRANGE(""https://docs.google.com/spreadsheets/d/1Uw7-A9f9R21vMXxHZFNpYNeKFtG8_yji4HS352LGlSQ/edit?pli=1#gid=0"",""1_ACUM!A4:S""),19,FALSE))"),"")</f>
        <v/>
      </c>
      <c r="BF205" s="98" t="str">
        <f ca="1">IFERROR(__xludf.DUMMYFUNCTION("IFERROR(VLOOKUP(F219,IMPORTRANGE(""https://docs.google.com/spreadsheets/d/1Kvs4KS76FHFqLFIZfrDMff4kP08nblUkihrxltoGBjg/edit#gid=934712705"",""ESENCIAL!A6:BG""),5,FALSE))"),"")</f>
        <v/>
      </c>
      <c r="BG205" s="98" t="str">
        <f t="shared" si="13"/>
        <v/>
      </c>
      <c r="BH205" s="99" t="str">
        <f t="shared" si="14"/>
        <v/>
      </c>
      <c r="BI205" s="100" t="str">
        <f ca="1">IFERROR(__xludf.DUMMYFUNCTION("IFERROR(VLOOKUP(F219,IMPORTRANGE(""https://docs.google.com/spreadsheets/d/1Kvs4KS76FHFqLFIZfrDMff4kP08nblUkihrxltoGBjg/edit#gid=934712705"",""ESENCIAL!A6:BG""),2,FALSE))"),"")</f>
        <v/>
      </c>
      <c r="BJ205" s="19" t="str">
        <f t="shared" si="15"/>
        <v/>
      </c>
      <c r="BK205" s="100"/>
      <c r="BL205" s="100"/>
    </row>
    <row r="206" spans="1:64" ht="15">
      <c r="A206" s="101"/>
      <c r="B206" s="101"/>
      <c r="G206" s="5" t="str">
        <f ca="1">IFERROR(__xludf.DUMMYFUNCTION("IFERROR(VLOOKUP(F220,IMPORTRANGE(""https://docs.google.com/spreadsheets/d/1Kvs4KS76FHFqLFIZfrDMff4kP08nblUkihrxltoGBjg/edit#gid=934712705"",""ESENCIAL!A6:BG""),3,FALSE))"),"")</f>
        <v/>
      </c>
      <c r="H206" s="5" t="str">
        <f ca="1">IFERROR(__xludf.DUMMYFUNCTION("IFERROR(VLOOKUP(F220,IMPORTRANGE(""https://docs.google.com/spreadsheets/d/1Kvs4KS76FHFqLFIZfrDMff4kP08nblUkihrxltoGBjg/edit#gid=934712705"",""ESENCIAL!A6:BG""),8,FALSE))"),"")</f>
        <v/>
      </c>
      <c r="L206" s="287"/>
      <c r="U206" s="40"/>
      <c r="AU206" s="41" t="str">
        <f t="shared" si="12"/>
        <v/>
      </c>
      <c r="AV206" s="5" t="str">
        <f ca="1">IFERROR(__xludf.DUMMYFUNCTION("IFERROR(VLOOKUP(E220&amp;F220,IMPORTRANGE(""https://docs.google.com/spreadsheets/d/1Uw7-A9f9R21vMXxHZFNpYNeKFtG8_yji4HS352LGlSQ/edit?pli=1#gid=0"",""1_ACUM!A4:S""),11,FALSE))"),"")</f>
        <v/>
      </c>
      <c r="AW206" s="42" t="str">
        <f ca="1">IFERROR(__xludf.DUMMYFUNCTION("IFERROR(VLOOKUP(F220,IMPORTRANGE(""https://docs.google.com/spreadsheets/d/1Kvs4KS76FHFqLFIZfrDMff4kP08nblUkihrxltoGBjg/edit#gid=934712705"",""ESENCIAL!A6:BG""),15,FALSE))"),"")</f>
        <v/>
      </c>
      <c r="AX206" s="21" t="str">
        <f ca="1">IFERROR(__xludf.DUMMYFUNCTION("IFERROR(VLOOKUP(E220&amp;F220,IMPORTRANGE(""https://docs.google.com/spreadsheets/d/1Uw7-A9f9R21vMXxHZFNpYNeKFtG8_yji4HS352LGlSQ/edit?pli=1#gid=0"",""1_ACUM!A4:S""),12,FALSE))"),"")</f>
        <v/>
      </c>
      <c r="AY206" s="43" t="str">
        <f ca="1">IFERROR(__xludf.DUMMYFUNCTION("IFERROR(VLOOKUP(E220&amp;F220,IMPORTRANGE(""https://docs.google.com/spreadsheets/d/1Uw7-A9f9R21vMXxHZFNpYNeKFtG8_yji4HS352LGlSQ/edit?pli=1#gid=0"",""1_ACUM!A4:S""),13,FALSE))"),"")</f>
        <v/>
      </c>
      <c r="AZ206" s="43" t="str">
        <f ca="1">IFERROR(__xludf.DUMMYFUNCTION("IFERROR(VLOOKUP(E220&amp;F220,IMPORTRANGE(""https://docs.google.com/spreadsheets/d/1Uw7-A9f9R21vMXxHZFNpYNeKFtG8_yji4HS352LGlSQ/edit?pli=1#gid=0"",""1_ACUM!A4:S""),14,FALSE))"),"")</f>
        <v/>
      </c>
      <c r="BA206" s="43" t="str">
        <f ca="1">IFERROR(__xludf.DUMMYFUNCTION("IFERROR(VLOOKUP(E220&amp;F220,IMPORTRANGE(""https://docs.google.com/spreadsheets/d/1Uw7-A9f9R21vMXxHZFNpYNeKFtG8_yji4HS352LGlSQ/edit?pli=1#gid=0"",""1_ACUM!A4:S""),15,FALSE))"),"")</f>
        <v/>
      </c>
      <c r="BB206" s="43" t="str">
        <f ca="1">IFERROR(__xludf.DUMMYFUNCTION("IFERROR(VLOOKUP(E220&amp;F220,IMPORTRANGE(""https://docs.google.com/spreadsheets/d/1Uw7-A9f9R21vMXxHZFNpYNeKFtG8_yji4HS352LGlSQ/edit?pli=1#gid=0"",""1_ACUM!A4:S""),16,FALSE))"),"")</f>
        <v/>
      </c>
      <c r="BC206" s="43" t="str">
        <f ca="1">IFERROR(__xludf.DUMMYFUNCTION("IFERROR(VLOOKUP(E220&amp;F220,IMPORTRANGE(""https://docs.google.com/spreadsheets/d/1Uw7-A9f9R21vMXxHZFNpYNeKFtG8_yji4HS352LGlSQ/edit?pli=1#gid=0"",""1_ACUM!A4:S""),17,FALSE))"),"")</f>
        <v/>
      </c>
      <c r="BD206" s="44" t="str">
        <f ca="1">IFERROR(__xludf.DUMMYFUNCTION("IFERROR(VLOOKUP(E220&amp;F220,IMPORTRANGE(""https://docs.google.com/spreadsheets/d/1Uw7-A9f9R21vMXxHZFNpYNeKFtG8_yji4HS352LGlSQ/edit?pli=1#gid=0"",""1_ACUM!A4:S""),18,FALSE))"),"")</f>
        <v/>
      </c>
      <c r="BE206" s="44" t="str">
        <f ca="1">IFERROR(__xludf.DUMMYFUNCTION("IFERROR(VLOOKUP(E220&amp;F220,IMPORTRANGE(""https://docs.google.com/spreadsheets/d/1Uw7-A9f9R21vMXxHZFNpYNeKFtG8_yji4HS352LGlSQ/edit?pli=1#gid=0"",""1_ACUM!A4:S""),19,FALSE))"),"")</f>
        <v/>
      </c>
      <c r="BF206" s="98" t="str">
        <f ca="1">IFERROR(__xludf.DUMMYFUNCTION("IFERROR(VLOOKUP(F220,IMPORTRANGE(""https://docs.google.com/spreadsheets/d/1Kvs4KS76FHFqLFIZfrDMff4kP08nblUkihrxltoGBjg/edit#gid=934712705"",""ESENCIAL!A6:BG""),5,FALSE))"),"")</f>
        <v/>
      </c>
      <c r="BG206" s="98" t="str">
        <f t="shared" si="13"/>
        <v/>
      </c>
      <c r="BH206" s="99" t="str">
        <f t="shared" si="14"/>
        <v/>
      </c>
      <c r="BI206" s="100" t="str">
        <f ca="1">IFERROR(__xludf.DUMMYFUNCTION("IFERROR(VLOOKUP(F220,IMPORTRANGE(""https://docs.google.com/spreadsheets/d/1Kvs4KS76FHFqLFIZfrDMff4kP08nblUkihrxltoGBjg/edit#gid=934712705"",""ESENCIAL!A6:BG""),2,FALSE))"),"")</f>
        <v/>
      </c>
      <c r="BJ206" s="19" t="str">
        <f t="shared" si="15"/>
        <v/>
      </c>
      <c r="BK206" s="100"/>
      <c r="BL206" s="100"/>
    </row>
    <row r="207" spans="1:64" ht="15">
      <c r="A207" s="101"/>
      <c r="B207" s="101"/>
      <c r="G207" s="5" t="str">
        <f ca="1">IFERROR(__xludf.DUMMYFUNCTION("IFERROR(VLOOKUP(F221,IMPORTRANGE(""https://docs.google.com/spreadsheets/d/1Kvs4KS76FHFqLFIZfrDMff4kP08nblUkihrxltoGBjg/edit#gid=934712705"",""ESENCIAL!A6:BG""),3,FALSE))"),"")</f>
        <v/>
      </c>
      <c r="H207" s="5" t="str">
        <f ca="1">IFERROR(__xludf.DUMMYFUNCTION("IFERROR(VLOOKUP(F221,IMPORTRANGE(""https://docs.google.com/spreadsheets/d/1Kvs4KS76FHFqLFIZfrDMff4kP08nblUkihrxltoGBjg/edit#gid=934712705"",""ESENCIAL!A6:BG""),8,FALSE))"),"")</f>
        <v/>
      </c>
      <c r="L207" s="287"/>
      <c r="U207" s="40"/>
      <c r="AU207" s="41" t="str">
        <f t="shared" si="12"/>
        <v/>
      </c>
      <c r="AV207" s="5" t="str">
        <f ca="1">IFERROR(__xludf.DUMMYFUNCTION("IFERROR(VLOOKUP(E221&amp;F221,IMPORTRANGE(""https://docs.google.com/spreadsheets/d/1Uw7-A9f9R21vMXxHZFNpYNeKFtG8_yji4HS352LGlSQ/edit?pli=1#gid=0"",""1_ACUM!A4:S""),11,FALSE))"),"")</f>
        <v/>
      </c>
      <c r="AW207" s="42" t="str">
        <f ca="1">IFERROR(__xludf.DUMMYFUNCTION("IFERROR(VLOOKUP(F221,IMPORTRANGE(""https://docs.google.com/spreadsheets/d/1Kvs4KS76FHFqLFIZfrDMff4kP08nblUkihrxltoGBjg/edit#gid=934712705"",""ESENCIAL!A6:BG""),15,FALSE))"),"")</f>
        <v/>
      </c>
      <c r="AX207" s="21" t="str">
        <f ca="1">IFERROR(__xludf.DUMMYFUNCTION("IFERROR(VLOOKUP(E221&amp;F221,IMPORTRANGE(""https://docs.google.com/spreadsheets/d/1Uw7-A9f9R21vMXxHZFNpYNeKFtG8_yji4HS352LGlSQ/edit?pli=1#gid=0"",""1_ACUM!A4:S""),12,FALSE))"),"")</f>
        <v/>
      </c>
      <c r="AY207" s="43" t="str">
        <f ca="1">IFERROR(__xludf.DUMMYFUNCTION("IFERROR(VLOOKUP(E221&amp;F221,IMPORTRANGE(""https://docs.google.com/spreadsheets/d/1Uw7-A9f9R21vMXxHZFNpYNeKFtG8_yji4HS352LGlSQ/edit?pli=1#gid=0"",""1_ACUM!A4:S""),13,FALSE))"),"")</f>
        <v/>
      </c>
      <c r="AZ207" s="43" t="str">
        <f ca="1">IFERROR(__xludf.DUMMYFUNCTION("IFERROR(VLOOKUP(E221&amp;F221,IMPORTRANGE(""https://docs.google.com/spreadsheets/d/1Uw7-A9f9R21vMXxHZFNpYNeKFtG8_yji4HS352LGlSQ/edit?pli=1#gid=0"",""1_ACUM!A4:S""),14,FALSE))"),"")</f>
        <v/>
      </c>
      <c r="BA207" s="43" t="str">
        <f ca="1">IFERROR(__xludf.DUMMYFUNCTION("IFERROR(VLOOKUP(E221&amp;F221,IMPORTRANGE(""https://docs.google.com/spreadsheets/d/1Uw7-A9f9R21vMXxHZFNpYNeKFtG8_yji4HS352LGlSQ/edit?pli=1#gid=0"",""1_ACUM!A4:S""),15,FALSE))"),"")</f>
        <v/>
      </c>
      <c r="BB207" s="43" t="str">
        <f ca="1">IFERROR(__xludf.DUMMYFUNCTION("IFERROR(VLOOKUP(E221&amp;F221,IMPORTRANGE(""https://docs.google.com/spreadsheets/d/1Uw7-A9f9R21vMXxHZFNpYNeKFtG8_yji4HS352LGlSQ/edit?pli=1#gid=0"",""1_ACUM!A4:S""),16,FALSE))"),"")</f>
        <v/>
      </c>
      <c r="BC207" s="43" t="str">
        <f ca="1">IFERROR(__xludf.DUMMYFUNCTION("IFERROR(VLOOKUP(E221&amp;F221,IMPORTRANGE(""https://docs.google.com/spreadsheets/d/1Uw7-A9f9R21vMXxHZFNpYNeKFtG8_yji4HS352LGlSQ/edit?pli=1#gid=0"",""1_ACUM!A4:S""),17,FALSE))"),"")</f>
        <v/>
      </c>
      <c r="BD207" s="44" t="str">
        <f ca="1">IFERROR(__xludf.DUMMYFUNCTION("IFERROR(VLOOKUP(E221&amp;F221,IMPORTRANGE(""https://docs.google.com/spreadsheets/d/1Uw7-A9f9R21vMXxHZFNpYNeKFtG8_yji4HS352LGlSQ/edit?pli=1#gid=0"",""1_ACUM!A4:S""),18,FALSE))"),"")</f>
        <v/>
      </c>
      <c r="BE207" s="44" t="str">
        <f ca="1">IFERROR(__xludf.DUMMYFUNCTION("IFERROR(VLOOKUP(E221&amp;F221,IMPORTRANGE(""https://docs.google.com/spreadsheets/d/1Uw7-A9f9R21vMXxHZFNpYNeKFtG8_yji4HS352LGlSQ/edit?pli=1#gid=0"",""1_ACUM!A4:S""),19,FALSE))"),"")</f>
        <v/>
      </c>
      <c r="BF207" s="98" t="str">
        <f ca="1">IFERROR(__xludf.DUMMYFUNCTION("IFERROR(VLOOKUP(F221,IMPORTRANGE(""https://docs.google.com/spreadsheets/d/1Kvs4KS76FHFqLFIZfrDMff4kP08nblUkihrxltoGBjg/edit#gid=934712705"",""ESENCIAL!A6:BG""),5,FALSE))"),"")</f>
        <v/>
      </c>
      <c r="BG207" s="98" t="str">
        <f t="shared" si="13"/>
        <v/>
      </c>
      <c r="BH207" s="99" t="str">
        <f t="shared" si="14"/>
        <v/>
      </c>
      <c r="BI207" s="100" t="str">
        <f ca="1">IFERROR(__xludf.DUMMYFUNCTION("IFERROR(VLOOKUP(F221,IMPORTRANGE(""https://docs.google.com/spreadsheets/d/1Kvs4KS76FHFqLFIZfrDMff4kP08nblUkihrxltoGBjg/edit#gid=934712705"",""ESENCIAL!A6:BG""),2,FALSE))"),"")</f>
        <v/>
      </c>
      <c r="BJ207" s="19" t="str">
        <f t="shared" si="15"/>
        <v/>
      </c>
      <c r="BK207" s="100"/>
      <c r="BL207" s="100"/>
    </row>
    <row r="208" spans="1:64" ht="15">
      <c r="A208" s="101"/>
      <c r="B208" s="101"/>
      <c r="G208" s="5" t="str">
        <f ca="1">IFERROR(__xludf.DUMMYFUNCTION("IFERROR(VLOOKUP(F222,IMPORTRANGE(""https://docs.google.com/spreadsheets/d/1Kvs4KS76FHFqLFIZfrDMff4kP08nblUkihrxltoGBjg/edit#gid=934712705"",""ESENCIAL!A6:BG""),3,FALSE))"),"")</f>
        <v/>
      </c>
      <c r="H208" s="5" t="str">
        <f ca="1">IFERROR(__xludf.DUMMYFUNCTION("IFERROR(VLOOKUP(F222,IMPORTRANGE(""https://docs.google.com/spreadsheets/d/1Kvs4KS76FHFqLFIZfrDMff4kP08nblUkihrxltoGBjg/edit#gid=934712705"",""ESENCIAL!A6:BG""),8,FALSE))"),"")</f>
        <v/>
      </c>
      <c r="L208" s="287"/>
      <c r="U208" s="40"/>
      <c r="AU208" s="41" t="str">
        <f t="shared" si="12"/>
        <v/>
      </c>
      <c r="AV208" s="5" t="str">
        <f ca="1">IFERROR(__xludf.DUMMYFUNCTION("IFERROR(VLOOKUP(E222&amp;F222,IMPORTRANGE(""https://docs.google.com/spreadsheets/d/1Uw7-A9f9R21vMXxHZFNpYNeKFtG8_yji4HS352LGlSQ/edit?pli=1#gid=0"",""1_ACUM!A4:S""),11,FALSE))"),"")</f>
        <v/>
      </c>
      <c r="AW208" s="42" t="str">
        <f ca="1">IFERROR(__xludf.DUMMYFUNCTION("IFERROR(VLOOKUP(F222,IMPORTRANGE(""https://docs.google.com/spreadsheets/d/1Kvs4KS76FHFqLFIZfrDMff4kP08nblUkihrxltoGBjg/edit#gid=934712705"",""ESENCIAL!A6:BG""),15,FALSE))"),"")</f>
        <v/>
      </c>
      <c r="AX208" s="21" t="str">
        <f ca="1">IFERROR(__xludf.DUMMYFUNCTION("IFERROR(VLOOKUP(E222&amp;F222,IMPORTRANGE(""https://docs.google.com/spreadsheets/d/1Uw7-A9f9R21vMXxHZFNpYNeKFtG8_yji4HS352LGlSQ/edit?pli=1#gid=0"",""1_ACUM!A4:S""),12,FALSE))"),"")</f>
        <v/>
      </c>
      <c r="AY208" s="43" t="str">
        <f ca="1">IFERROR(__xludf.DUMMYFUNCTION("IFERROR(VLOOKUP(E222&amp;F222,IMPORTRANGE(""https://docs.google.com/spreadsheets/d/1Uw7-A9f9R21vMXxHZFNpYNeKFtG8_yji4HS352LGlSQ/edit?pli=1#gid=0"",""1_ACUM!A4:S""),13,FALSE))"),"")</f>
        <v/>
      </c>
      <c r="AZ208" s="43" t="str">
        <f ca="1">IFERROR(__xludf.DUMMYFUNCTION("IFERROR(VLOOKUP(E222&amp;F222,IMPORTRANGE(""https://docs.google.com/spreadsheets/d/1Uw7-A9f9R21vMXxHZFNpYNeKFtG8_yji4HS352LGlSQ/edit?pli=1#gid=0"",""1_ACUM!A4:S""),14,FALSE))"),"")</f>
        <v/>
      </c>
      <c r="BA208" s="43" t="str">
        <f ca="1">IFERROR(__xludf.DUMMYFUNCTION("IFERROR(VLOOKUP(E222&amp;F222,IMPORTRANGE(""https://docs.google.com/spreadsheets/d/1Uw7-A9f9R21vMXxHZFNpYNeKFtG8_yji4HS352LGlSQ/edit?pli=1#gid=0"",""1_ACUM!A4:S""),15,FALSE))"),"")</f>
        <v/>
      </c>
      <c r="BB208" s="43" t="str">
        <f ca="1">IFERROR(__xludf.DUMMYFUNCTION("IFERROR(VLOOKUP(E222&amp;F222,IMPORTRANGE(""https://docs.google.com/spreadsheets/d/1Uw7-A9f9R21vMXxHZFNpYNeKFtG8_yji4HS352LGlSQ/edit?pli=1#gid=0"",""1_ACUM!A4:S""),16,FALSE))"),"")</f>
        <v/>
      </c>
      <c r="BC208" s="43" t="str">
        <f ca="1">IFERROR(__xludf.DUMMYFUNCTION("IFERROR(VLOOKUP(E222&amp;F222,IMPORTRANGE(""https://docs.google.com/spreadsheets/d/1Uw7-A9f9R21vMXxHZFNpYNeKFtG8_yji4HS352LGlSQ/edit?pli=1#gid=0"",""1_ACUM!A4:S""),17,FALSE))"),"")</f>
        <v/>
      </c>
      <c r="BD208" s="44" t="str">
        <f ca="1">IFERROR(__xludf.DUMMYFUNCTION("IFERROR(VLOOKUP(E222&amp;F222,IMPORTRANGE(""https://docs.google.com/spreadsheets/d/1Uw7-A9f9R21vMXxHZFNpYNeKFtG8_yji4HS352LGlSQ/edit?pli=1#gid=0"",""1_ACUM!A4:S""),18,FALSE))"),"")</f>
        <v/>
      </c>
      <c r="BE208" s="44" t="str">
        <f ca="1">IFERROR(__xludf.DUMMYFUNCTION("IFERROR(VLOOKUP(E222&amp;F222,IMPORTRANGE(""https://docs.google.com/spreadsheets/d/1Uw7-A9f9R21vMXxHZFNpYNeKFtG8_yji4HS352LGlSQ/edit?pli=1#gid=0"",""1_ACUM!A4:S""),19,FALSE))"),"")</f>
        <v/>
      </c>
      <c r="BF208" s="98" t="str">
        <f ca="1">IFERROR(__xludf.DUMMYFUNCTION("IFERROR(VLOOKUP(F222,IMPORTRANGE(""https://docs.google.com/spreadsheets/d/1Kvs4KS76FHFqLFIZfrDMff4kP08nblUkihrxltoGBjg/edit#gid=934712705"",""ESENCIAL!A6:BG""),5,FALSE))"),"")</f>
        <v/>
      </c>
      <c r="BG208" s="98" t="str">
        <f t="shared" si="13"/>
        <v/>
      </c>
      <c r="BH208" s="99" t="str">
        <f t="shared" si="14"/>
        <v/>
      </c>
      <c r="BI208" s="100" t="str">
        <f ca="1">IFERROR(__xludf.DUMMYFUNCTION("IFERROR(VLOOKUP(F222,IMPORTRANGE(""https://docs.google.com/spreadsheets/d/1Kvs4KS76FHFqLFIZfrDMff4kP08nblUkihrxltoGBjg/edit#gid=934712705"",""ESENCIAL!A6:BG""),2,FALSE))"),"")</f>
        <v/>
      </c>
      <c r="BJ208" s="19" t="str">
        <f t="shared" si="15"/>
        <v/>
      </c>
      <c r="BK208" s="100"/>
      <c r="BL208" s="100"/>
    </row>
    <row r="209" spans="1:64" ht="15">
      <c r="A209" s="101"/>
      <c r="B209" s="101"/>
      <c r="G209" s="5" t="str">
        <f ca="1">IFERROR(__xludf.DUMMYFUNCTION("IFERROR(VLOOKUP(F223,IMPORTRANGE(""https://docs.google.com/spreadsheets/d/1Kvs4KS76FHFqLFIZfrDMff4kP08nblUkihrxltoGBjg/edit#gid=934712705"",""ESENCIAL!A6:BG""),3,FALSE))"),"")</f>
        <v/>
      </c>
      <c r="H209" s="5" t="str">
        <f ca="1">IFERROR(__xludf.DUMMYFUNCTION("IFERROR(VLOOKUP(F223,IMPORTRANGE(""https://docs.google.com/spreadsheets/d/1Kvs4KS76FHFqLFIZfrDMff4kP08nblUkihrxltoGBjg/edit#gid=934712705"",""ESENCIAL!A6:BG""),8,FALSE))"),"")</f>
        <v/>
      </c>
      <c r="L209" s="287"/>
      <c r="U209" s="40"/>
      <c r="AU209" s="41" t="str">
        <f t="shared" si="12"/>
        <v/>
      </c>
      <c r="AV209" s="5" t="str">
        <f ca="1">IFERROR(__xludf.DUMMYFUNCTION("IFERROR(VLOOKUP(E223&amp;F223,IMPORTRANGE(""https://docs.google.com/spreadsheets/d/1Uw7-A9f9R21vMXxHZFNpYNeKFtG8_yji4HS352LGlSQ/edit?pli=1#gid=0"",""1_ACUM!A4:S""),11,FALSE))"),"")</f>
        <v/>
      </c>
      <c r="AW209" s="42" t="str">
        <f ca="1">IFERROR(__xludf.DUMMYFUNCTION("IFERROR(VLOOKUP(F223,IMPORTRANGE(""https://docs.google.com/spreadsheets/d/1Kvs4KS76FHFqLFIZfrDMff4kP08nblUkihrxltoGBjg/edit#gid=934712705"",""ESENCIAL!A6:BG""),15,FALSE))"),"")</f>
        <v/>
      </c>
      <c r="AX209" s="21" t="str">
        <f ca="1">IFERROR(__xludf.DUMMYFUNCTION("IFERROR(VLOOKUP(E223&amp;F223,IMPORTRANGE(""https://docs.google.com/spreadsheets/d/1Uw7-A9f9R21vMXxHZFNpYNeKFtG8_yji4HS352LGlSQ/edit?pli=1#gid=0"",""1_ACUM!A4:S""),12,FALSE))"),"")</f>
        <v/>
      </c>
      <c r="AY209" s="43" t="str">
        <f ca="1">IFERROR(__xludf.DUMMYFUNCTION("IFERROR(VLOOKUP(E223&amp;F223,IMPORTRANGE(""https://docs.google.com/spreadsheets/d/1Uw7-A9f9R21vMXxHZFNpYNeKFtG8_yji4HS352LGlSQ/edit?pli=1#gid=0"",""1_ACUM!A4:S""),13,FALSE))"),"")</f>
        <v/>
      </c>
      <c r="AZ209" s="43" t="str">
        <f ca="1">IFERROR(__xludf.DUMMYFUNCTION("IFERROR(VLOOKUP(E223&amp;F223,IMPORTRANGE(""https://docs.google.com/spreadsheets/d/1Uw7-A9f9R21vMXxHZFNpYNeKFtG8_yji4HS352LGlSQ/edit?pli=1#gid=0"",""1_ACUM!A4:S""),14,FALSE))"),"")</f>
        <v/>
      </c>
      <c r="BA209" s="43" t="str">
        <f ca="1">IFERROR(__xludf.DUMMYFUNCTION("IFERROR(VLOOKUP(E223&amp;F223,IMPORTRANGE(""https://docs.google.com/spreadsheets/d/1Uw7-A9f9R21vMXxHZFNpYNeKFtG8_yji4HS352LGlSQ/edit?pli=1#gid=0"",""1_ACUM!A4:S""),15,FALSE))"),"")</f>
        <v/>
      </c>
      <c r="BB209" s="43" t="str">
        <f ca="1">IFERROR(__xludf.DUMMYFUNCTION("IFERROR(VLOOKUP(E223&amp;F223,IMPORTRANGE(""https://docs.google.com/spreadsheets/d/1Uw7-A9f9R21vMXxHZFNpYNeKFtG8_yji4HS352LGlSQ/edit?pli=1#gid=0"",""1_ACUM!A4:S""),16,FALSE))"),"")</f>
        <v/>
      </c>
      <c r="BC209" s="43" t="str">
        <f ca="1">IFERROR(__xludf.DUMMYFUNCTION("IFERROR(VLOOKUP(E223&amp;F223,IMPORTRANGE(""https://docs.google.com/spreadsheets/d/1Uw7-A9f9R21vMXxHZFNpYNeKFtG8_yji4HS352LGlSQ/edit?pli=1#gid=0"",""1_ACUM!A4:S""),17,FALSE))"),"")</f>
        <v/>
      </c>
      <c r="BD209" s="44" t="str">
        <f ca="1">IFERROR(__xludf.DUMMYFUNCTION("IFERROR(VLOOKUP(E223&amp;F223,IMPORTRANGE(""https://docs.google.com/spreadsheets/d/1Uw7-A9f9R21vMXxHZFNpYNeKFtG8_yji4HS352LGlSQ/edit?pli=1#gid=0"",""1_ACUM!A4:S""),18,FALSE))"),"")</f>
        <v/>
      </c>
      <c r="BE209" s="44" t="str">
        <f ca="1">IFERROR(__xludf.DUMMYFUNCTION("IFERROR(VLOOKUP(E223&amp;F223,IMPORTRANGE(""https://docs.google.com/spreadsheets/d/1Uw7-A9f9R21vMXxHZFNpYNeKFtG8_yji4HS352LGlSQ/edit?pli=1#gid=0"",""1_ACUM!A4:S""),19,FALSE))"),"")</f>
        <v/>
      </c>
      <c r="BF209" s="98" t="str">
        <f ca="1">IFERROR(__xludf.DUMMYFUNCTION("IFERROR(VLOOKUP(F223,IMPORTRANGE(""https://docs.google.com/spreadsheets/d/1Kvs4KS76FHFqLFIZfrDMff4kP08nblUkihrxltoGBjg/edit#gid=934712705"",""ESENCIAL!A6:BG""),5,FALSE))"),"")</f>
        <v/>
      </c>
      <c r="BG209" s="98" t="str">
        <f t="shared" si="13"/>
        <v/>
      </c>
      <c r="BH209" s="99" t="str">
        <f t="shared" si="14"/>
        <v/>
      </c>
      <c r="BI209" s="100" t="str">
        <f ca="1">IFERROR(__xludf.DUMMYFUNCTION("IFERROR(VLOOKUP(F223,IMPORTRANGE(""https://docs.google.com/spreadsheets/d/1Kvs4KS76FHFqLFIZfrDMff4kP08nblUkihrxltoGBjg/edit#gid=934712705"",""ESENCIAL!A6:BG""),2,FALSE))"),"")</f>
        <v/>
      </c>
      <c r="BJ209" s="19" t="str">
        <f t="shared" si="15"/>
        <v/>
      </c>
      <c r="BK209" s="100"/>
      <c r="BL209" s="100"/>
    </row>
    <row r="210" spans="1:64" ht="15">
      <c r="A210" s="101"/>
      <c r="B210" s="101"/>
      <c r="G210" s="5" t="str">
        <f ca="1">IFERROR(__xludf.DUMMYFUNCTION("IFERROR(VLOOKUP(F224,IMPORTRANGE(""https://docs.google.com/spreadsheets/d/1Kvs4KS76FHFqLFIZfrDMff4kP08nblUkihrxltoGBjg/edit#gid=934712705"",""ESENCIAL!A6:BG""),3,FALSE))"),"")</f>
        <v/>
      </c>
      <c r="H210" s="5" t="str">
        <f ca="1">IFERROR(__xludf.DUMMYFUNCTION("IFERROR(VLOOKUP(F224,IMPORTRANGE(""https://docs.google.com/spreadsheets/d/1Kvs4KS76FHFqLFIZfrDMff4kP08nblUkihrxltoGBjg/edit#gid=934712705"",""ESENCIAL!A6:BG""),8,FALSE))"),"")</f>
        <v/>
      </c>
      <c r="L210" s="287"/>
      <c r="U210" s="40"/>
      <c r="AU210" s="41" t="str">
        <f t="shared" si="12"/>
        <v/>
      </c>
      <c r="AV210" s="5" t="str">
        <f ca="1">IFERROR(__xludf.DUMMYFUNCTION("IFERROR(VLOOKUP(E224&amp;F224,IMPORTRANGE(""https://docs.google.com/spreadsheets/d/1Uw7-A9f9R21vMXxHZFNpYNeKFtG8_yji4HS352LGlSQ/edit?pli=1#gid=0"",""1_ACUM!A4:S""),11,FALSE))"),"")</f>
        <v/>
      </c>
      <c r="AW210" s="42" t="str">
        <f ca="1">IFERROR(__xludf.DUMMYFUNCTION("IFERROR(VLOOKUP(F224,IMPORTRANGE(""https://docs.google.com/spreadsheets/d/1Kvs4KS76FHFqLFIZfrDMff4kP08nblUkihrxltoGBjg/edit#gid=934712705"",""ESENCIAL!A6:BG""),15,FALSE))"),"")</f>
        <v/>
      </c>
      <c r="AX210" s="21" t="str">
        <f ca="1">IFERROR(__xludf.DUMMYFUNCTION("IFERROR(VLOOKUP(E224&amp;F224,IMPORTRANGE(""https://docs.google.com/spreadsheets/d/1Uw7-A9f9R21vMXxHZFNpYNeKFtG8_yji4HS352LGlSQ/edit?pli=1#gid=0"",""1_ACUM!A4:S""),12,FALSE))"),"")</f>
        <v/>
      </c>
      <c r="AY210" s="43" t="str">
        <f ca="1">IFERROR(__xludf.DUMMYFUNCTION("IFERROR(VLOOKUP(E224&amp;F224,IMPORTRANGE(""https://docs.google.com/spreadsheets/d/1Uw7-A9f9R21vMXxHZFNpYNeKFtG8_yji4HS352LGlSQ/edit?pli=1#gid=0"",""1_ACUM!A4:S""),13,FALSE))"),"")</f>
        <v/>
      </c>
      <c r="AZ210" s="43" t="str">
        <f ca="1">IFERROR(__xludf.DUMMYFUNCTION("IFERROR(VLOOKUP(E224&amp;F224,IMPORTRANGE(""https://docs.google.com/spreadsheets/d/1Uw7-A9f9R21vMXxHZFNpYNeKFtG8_yji4HS352LGlSQ/edit?pli=1#gid=0"",""1_ACUM!A4:S""),14,FALSE))"),"")</f>
        <v/>
      </c>
      <c r="BA210" s="43" t="str">
        <f ca="1">IFERROR(__xludf.DUMMYFUNCTION("IFERROR(VLOOKUP(E224&amp;F224,IMPORTRANGE(""https://docs.google.com/spreadsheets/d/1Uw7-A9f9R21vMXxHZFNpYNeKFtG8_yji4HS352LGlSQ/edit?pli=1#gid=0"",""1_ACUM!A4:S""),15,FALSE))"),"")</f>
        <v/>
      </c>
      <c r="BB210" s="43" t="str">
        <f ca="1">IFERROR(__xludf.DUMMYFUNCTION("IFERROR(VLOOKUP(E224&amp;F224,IMPORTRANGE(""https://docs.google.com/spreadsheets/d/1Uw7-A9f9R21vMXxHZFNpYNeKFtG8_yji4HS352LGlSQ/edit?pli=1#gid=0"",""1_ACUM!A4:S""),16,FALSE))"),"")</f>
        <v/>
      </c>
      <c r="BC210" s="43" t="str">
        <f ca="1">IFERROR(__xludf.DUMMYFUNCTION("IFERROR(VLOOKUP(E224&amp;F224,IMPORTRANGE(""https://docs.google.com/spreadsheets/d/1Uw7-A9f9R21vMXxHZFNpYNeKFtG8_yji4HS352LGlSQ/edit?pli=1#gid=0"",""1_ACUM!A4:S""),17,FALSE))"),"")</f>
        <v/>
      </c>
      <c r="BD210" s="44" t="str">
        <f ca="1">IFERROR(__xludf.DUMMYFUNCTION("IFERROR(VLOOKUP(E224&amp;F224,IMPORTRANGE(""https://docs.google.com/spreadsheets/d/1Uw7-A9f9R21vMXxHZFNpYNeKFtG8_yji4HS352LGlSQ/edit?pli=1#gid=0"",""1_ACUM!A4:S""),18,FALSE))"),"")</f>
        <v/>
      </c>
      <c r="BE210" s="44" t="str">
        <f ca="1">IFERROR(__xludf.DUMMYFUNCTION("IFERROR(VLOOKUP(E224&amp;F224,IMPORTRANGE(""https://docs.google.com/spreadsheets/d/1Uw7-A9f9R21vMXxHZFNpYNeKFtG8_yji4HS352LGlSQ/edit?pli=1#gid=0"",""1_ACUM!A4:S""),19,FALSE))"),"")</f>
        <v/>
      </c>
      <c r="BF210" s="98" t="str">
        <f ca="1">IFERROR(__xludf.DUMMYFUNCTION("IFERROR(VLOOKUP(F224,IMPORTRANGE(""https://docs.google.com/spreadsheets/d/1Kvs4KS76FHFqLFIZfrDMff4kP08nblUkihrxltoGBjg/edit#gid=934712705"",""ESENCIAL!A6:BG""),5,FALSE))"),"")</f>
        <v/>
      </c>
      <c r="BG210" s="98" t="str">
        <f t="shared" si="13"/>
        <v/>
      </c>
      <c r="BH210" s="99" t="str">
        <f t="shared" si="14"/>
        <v/>
      </c>
      <c r="BI210" s="100" t="str">
        <f ca="1">IFERROR(__xludf.DUMMYFUNCTION("IFERROR(VLOOKUP(F224,IMPORTRANGE(""https://docs.google.com/spreadsheets/d/1Kvs4KS76FHFqLFIZfrDMff4kP08nblUkihrxltoGBjg/edit#gid=934712705"",""ESENCIAL!A6:BG""),2,FALSE))"),"")</f>
        <v/>
      </c>
      <c r="BJ210" s="19" t="str">
        <f t="shared" si="15"/>
        <v/>
      </c>
      <c r="BK210" s="100"/>
      <c r="BL210" s="100"/>
    </row>
    <row r="211" spans="1:64" ht="15">
      <c r="A211" s="101"/>
      <c r="B211" s="101"/>
      <c r="G211" s="5" t="str">
        <f ca="1">IFERROR(__xludf.DUMMYFUNCTION("IFERROR(VLOOKUP(F225,IMPORTRANGE(""https://docs.google.com/spreadsheets/d/1Kvs4KS76FHFqLFIZfrDMff4kP08nblUkihrxltoGBjg/edit#gid=934712705"",""ESENCIAL!A6:BG""),3,FALSE))"),"")</f>
        <v/>
      </c>
      <c r="H211" s="5" t="str">
        <f ca="1">IFERROR(__xludf.DUMMYFUNCTION("IFERROR(VLOOKUP(F225,IMPORTRANGE(""https://docs.google.com/spreadsheets/d/1Kvs4KS76FHFqLFIZfrDMff4kP08nblUkihrxltoGBjg/edit#gid=934712705"",""ESENCIAL!A6:BG""),8,FALSE))"),"")</f>
        <v/>
      </c>
      <c r="L211" s="287"/>
      <c r="U211" s="40"/>
      <c r="AU211" s="41" t="str">
        <f t="shared" si="12"/>
        <v/>
      </c>
      <c r="AV211" s="5" t="str">
        <f ca="1">IFERROR(__xludf.DUMMYFUNCTION("IFERROR(VLOOKUP(E225&amp;F225,IMPORTRANGE(""https://docs.google.com/spreadsheets/d/1Uw7-A9f9R21vMXxHZFNpYNeKFtG8_yji4HS352LGlSQ/edit?pli=1#gid=0"",""1_ACUM!A4:S""),11,FALSE))"),"")</f>
        <v/>
      </c>
      <c r="AW211" s="42" t="str">
        <f ca="1">IFERROR(__xludf.DUMMYFUNCTION("IFERROR(VLOOKUP(F225,IMPORTRANGE(""https://docs.google.com/spreadsheets/d/1Kvs4KS76FHFqLFIZfrDMff4kP08nblUkihrxltoGBjg/edit#gid=934712705"",""ESENCIAL!A6:BG""),15,FALSE))"),"")</f>
        <v/>
      </c>
      <c r="AX211" s="21" t="str">
        <f ca="1">IFERROR(__xludf.DUMMYFUNCTION("IFERROR(VLOOKUP(E225&amp;F225,IMPORTRANGE(""https://docs.google.com/spreadsheets/d/1Uw7-A9f9R21vMXxHZFNpYNeKFtG8_yji4HS352LGlSQ/edit?pli=1#gid=0"",""1_ACUM!A4:S""),12,FALSE))"),"")</f>
        <v/>
      </c>
      <c r="AY211" s="43" t="str">
        <f ca="1">IFERROR(__xludf.DUMMYFUNCTION("IFERROR(VLOOKUP(E225&amp;F225,IMPORTRANGE(""https://docs.google.com/spreadsheets/d/1Uw7-A9f9R21vMXxHZFNpYNeKFtG8_yji4HS352LGlSQ/edit?pli=1#gid=0"",""1_ACUM!A4:S""),13,FALSE))"),"")</f>
        <v/>
      </c>
      <c r="AZ211" s="43" t="str">
        <f ca="1">IFERROR(__xludf.DUMMYFUNCTION("IFERROR(VLOOKUP(E225&amp;F225,IMPORTRANGE(""https://docs.google.com/spreadsheets/d/1Uw7-A9f9R21vMXxHZFNpYNeKFtG8_yji4HS352LGlSQ/edit?pli=1#gid=0"",""1_ACUM!A4:S""),14,FALSE))"),"")</f>
        <v/>
      </c>
      <c r="BA211" s="43" t="str">
        <f ca="1">IFERROR(__xludf.DUMMYFUNCTION("IFERROR(VLOOKUP(E225&amp;F225,IMPORTRANGE(""https://docs.google.com/spreadsheets/d/1Uw7-A9f9R21vMXxHZFNpYNeKFtG8_yji4HS352LGlSQ/edit?pli=1#gid=0"",""1_ACUM!A4:S""),15,FALSE))"),"")</f>
        <v/>
      </c>
      <c r="BB211" s="43" t="str">
        <f ca="1">IFERROR(__xludf.DUMMYFUNCTION("IFERROR(VLOOKUP(E225&amp;F225,IMPORTRANGE(""https://docs.google.com/spreadsheets/d/1Uw7-A9f9R21vMXxHZFNpYNeKFtG8_yji4HS352LGlSQ/edit?pli=1#gid=0"",""1_ACUM!A4:S""),16,FALSE))"),"")</f>
        <v/>
      </c>
      <c r="BC211" s="43" t="str">
        <f ca="1">IFERROR(__xludf.DUMMYFUNCTION("IFERROR(VLOOKUP(E225&amp;F225,IMPORTRANGE(""https://docs.google.com/spreadsheets/d/1Uw7-A9f9R21vMXxHZFNpYNeKFtG8_yji4HS352LGlSQ/edit?pli=1#gid=0"",""1_ACUM!A4:S""),17,FALSE))"),"")</f>
        <v/>
      </c>
      <c r="BD211" s="44" t="str">
        <f ca="1">IFERROR(__xludf.DUMMYFUNCTION("IFERROR(VLOOKUP(E225&amp;F225,IMPORTRANGE(""https://docs.google.com/spreadsheets/d/1Uw7-A9f9R21vMXxHZFNpYNeKFtG8_yji4HS352LGlSQ/edit?pli=1#gid=0"",""1_ACUM!A4:S""),18,FALSE))"),"")</f>
        <v/>
      </c>
      <c r="BE211" s="44" t="str">
        <f ca="1">IFERROR(__xludf.DUMMYFUNCTION("IFERROR(VLOOKUP(E225&amp;F225,IMPORTRANGE(""https://docs.google.com/spreadsheets/d/1Uw7-A9f9R21vMXxHZFNpYNeKFtG8_yji4HS352LGlSQ/edit?pli=1#gid=0"",""1_ACUM!A4:S""),19,FALSE))"),"")</f>
        <v/>
      </c>
      <c r="BF211" s="98" t="str">
        <f ca="1">IFERROR(__xludf.DUMMYFUNCTION("IFERROR(VLOOKUP(F225,IMPORTRANGE(""https://docs.google.com/spreadsheets/d/1Kvs4KS76FHFqLFIZfrDMff4kP08nblUkihrxltoGBjg/edit#gid=934712705"",""ESENCIAL!A6:BG""),5,FALSE))"),"")</f>
        <v/>
      </c>
      <c r="BG211" s="98" t="str">
        <f t="shared" si="13"/>
        <v/>
      </c>
      <c r="BH211" s="99" t="str">
        <f t="shared" si="14"/>
        <v/>
      </c>
      <c r="BI211" s="100" t="str">
        <f ca="1">IFERROR(__xludf.DUMMYFUNCTION("IFERROR(VLOOKUP(F225,IMPORTRANGE(""https://docs.google.com/spreadsheets/d/1Kvs4KS76FHFqLFIZfrDMff4kP08nblUkihrxltoGBjg/edit#gid=934712705"",""ESENCIAL!A6:BG""),2,FALSE))"),"")</f>
        <v/>
      </c>
      <c r="BJ211" s="19" t="str">
        <f t="shared" si="15"/>
        <v/>
      </c>
      <c r="BK211" s="100"/>
      <c r="BL211" s="100"/>
    </row>
    <row r="212" spans="1:64" ht="15">
      <c r="A212" s="101"/>
      <c r="B212" s="101"/>
      <c r="G212" s="5" t="str">
        <f ca="1">IFERROR(__xludf.DUMMYFUNCTION("IFERROR(VLOOKUP(F226,IMPORTRANGE(""https://docs.google.com/spreadsheets/d/1Kvs4KS76FHFqLFIZfrDMff4kP08nblUkihrxltoGBjg/edit#gid=934712705"",""ESENCIAL!A6:BG""),3,FALSE))"),"")</f>
        <v/>
      </c>
      <c r="H212" s="5" t="str">
        <f ca="1">IFERROR(__xludf.DUMMYFUNCTION("IFERROR(VLOOKUP(F226,IMPORTRANGE(""https://docs.google.com/spreadsheets/d/1Kvs4KS76FHFqLFIZfrDMff4kP08nblUkihrxltoGBjg/edit#gid=934712705"",""ESENCIAL!A6:BG""),8,FALSE))"),"")</f>
        <v/>
      </c>
      <c r="L212" s="287"/>
      <c r="U212" s="40"/>
      <c r="AU212" s="41" t="str">
        <f t="shared" si="12"/>
        <v/>
      </c>
      <c r="AV212" s="5" t="str">
        <f ca="1">IFERROR(__xludf.DUMMYFUNCTION("IFERROR(VLOOKUP(E226&amp;F226,IMPORTRANGE(""https://docs.google.com/spreadsheets/d/1Uw7-A9f9R21vMXxHZFNpYNeKFtG8_yji4HS352LGlSQ/edit?pli=1#gid=0"",""1_ACUM!A4:S""),11,FALSE))"),"")</f>
        <v/>
      </c>
      <c r="AW212" s="42" t="str">
        <f ca="1">IFERROR(__xludf.DUMMYFUNCTION("IFERROR(VLOOKUP(F226,IMPORTRANGE(""https://docs.google.com/spreadsheets/d/1Kvs4KS76FHFqLFIZfrDMff4kP08nblUkihrxltoGBjg/edit#gid=934712705"",""ESENCIAL!A6:BG""),15,FALSE))"),"")</f>
        <v/>
      </c>
      <c r="AX212" s="21" t="str">
        <f ca="1">IFERROR(__xludf.DUMMYFUNCTION("IFERROR(VLOOKUP(E226&amp;F226,IMPORTRANGE(""https://docs.google.com/spreadsheets/d/1Uw7-A9f9R21vMXxHZFNpYNeKFtG8_yji4HS352LGlSQ/edit?pli=1#gid=0"",""1_ACUM!A4:S""),12,FALSE))"),"")</f>
        <v/>
      </c>
      <c r="AY212" s="43" t="str">
        <f ca="1">IFERROR(__xludf.DUMMYFUNCTION("IFERROR(VLOOKUP(E226&amp;F226,IMPORTRANGE(""https://docs.google.com/spreadsheets/d/1Uw7-A9f9R21vMXxHZFNpYNeKFtG8_yji4HS352LGlSQ/edit?pli=1#gid=0"",""1_ACUM!A4:S""),13,FALSE))"),"")</f>
        <v/>
      </c>
      <c r="AZ212" s="43" t="str">
        <f ca="1">IFERROR(__xludf.DUMMYFUNCTION("IFERROR(VLOOKUP(E226&amp;F226,IMPORTRANGE(""https://docs.google.com/spreadsheets/d/1Uw7-A9f9R21vMXxHZFNpYNeKFtG8_yji4HS352LGlSQ/edit?pli=1#gid=0"",""1_ACUM!A4:S""),14,FALSE))"),"")</f>
        <v/>
      </c>
      <c r="BA212" s="43" t="str">
        <f ca="1">IFERROR(__xludf.DUMMYFUNCTION("IFERROR(VLOOKUP(E226&amp;F226,IMPORTRANGE(""https://docs.google.com/spreadsheets/d/1Uw7-A9f9R21vMXxHZFNpYNeKFtG8_yji4HS352LGlSQ/edit?pli=1#gid=0"",""1_ACUM!A4:S""),15,FALSE))"),"")</f>
        <v/>
      </c>
      <c r="BB212" s="43" t="str">
        <f ca="1">IFERROR(__xludf.DUMMYFUNCTION("IFERROR(VLOOKUP(E226&amp;F226,IMPORTRANGE(""https://docs.google.com/spreadsheets/d/1Uw7-A9f9R21vMXxHZFNpYNeKFtG8_yji4HS352LGlSQ/edit?pli=1#gid=0"",""1_ACUM!A4:S""),16,FALSE))"),"")</f>
        <v/>
      </c>
      <c r="BC212" s="43" t="str">
        <f ca="1">IFERROR(__xludf.DUMMYFUNCTION("IFERROR(VLOOKUP(E226&amp;F226,IMPORTRANGE(""https://docs.google.com/spreadsheets/d/1Uw7-A9f9R21vMXxHZFNpYNeKFtG8_yji4HS352LGlSQ/edit?pli=1#gid=0"",""1_ACUM!A4:S""),17,FALSE))"),"")</f>
        <v/>
      </c>
      <c r="BD212" s="44" t="str">
        <f ca="1">IFERROR(__xludf.DUMMYFUNCTION("IFERROR(VLOOKUP(E226&amp;F226,IMPORTRANGE(""https://docs.google.com/spreadsheets/d/1Uw7-A9f9R21vMXxHZFNpYNeKFtG8_yji4HS352LGlSQ/edit?pli=1#gid=0"",""1_ACUM!A4:S""),18,FALSE))"),"")</f>
        <v/>
      </c>
      <c r="BE212" s="44" t="str">
        <f ca="1">IFERROR(__xludf.DUMMYFUNCTION("IFERROR(VLOOKUP(E226&amp;F226,IMPORTRANGE(""https://docs.google.com/spreadsheets/d/1Uw7-A9f9R21vMXxHZFNpYNeKFtG8_yji4HS352LGlSQ/edit?pli=1#gid=0"",""1_ACUM!A4:S""),19,FALSE))"),"")</f>
        <v/>
      </c>
      <c r="BF212" s="98" t="str">
        <f ca="1">IFERROR(__xludf.DUMMYFUNCTION("IFERROR(VLOOKUP(F226,IMPORTRANGE(""https://docs.google.com/spreadsheets/d/1Kvs4KS76FHFqLFIZfrDMff4kP08nblUkihrxltoGBjg/edit#gid=934712705"",""ESENCIAL!A6:BG""),5,FALSE))"),"")</f>
        <v/>
      </c>
      <c r="BG212" s="98" t="str">
        <f t="shared" si="13"/>
        <v/>
      </c>
      <c r="BH212" s="99" t="str">
        <f t="shared" si="14"/>
        <v/>
      </c>
      <c r="BI212" s="100" t="str">
        <f ca="1">IFERROR(__xludf.DUMMYFUNCTION("IFERROR(VLOOKUP(F226,IMPORTRANGE(""https://docs.google.com/spreadsheets/d/1Kvs4KS76FHFqLFIZfrDMff4kP08nblUkihrxltoGBjg/edit#gid=934712705"",""ESENCIAL!A6:BG""),2,FALSE))"),"")</f>
        <v/>
      </c>
      <c r="BJ212" s="19" t="str">
        <f t="shared" si="15"/>
        <v/>
      </c>
      <c r="BK212" s="100"/>
      <c r="BL212" s="100"/>
    </row>
    <row r="213" spans="1:64" ht="15">
      <c r="A213" s="101"/>
      <c r="B213" s="101"/>
      <c r="G213" s="5" t="str">
        <f ca="1">IFERROR(__xludf.DUMMYFUNCTION("IFERROR(VLOOKUP(F227,IMPORTRANGE(""https://docs.google.com/spreadsheets/d/1Kvs4KS76FHFqLFIZfrDMff4kP08nblUkihrxltoGBjg/edit#gid=934712705"",""ESENCIAL!A6:BG""),3,FALSE))"),"")</f>
        <v/>
      </c>
      <c r="H213" s="5" t="str">
        <f ca="1">IFERROR(__xludf.DUMMYFUNCTION("IFERROR(VLOOKUP(F227,IMPORTRANGE(""https://docs.google.com/spreadsheets/d/1Kvs4KS76FHFqLFIZfrDMff4kP08nblUkihrxltoGBjg/edit#gid=934712705"",""ESENCIAL!A6:BG""),8,FALSE))"),"")</f>
        <v/>
      </c>
      <c r="L213" s="287"/>
      <c r="U213" s="40"/>
      <c r="AU213" s="41" t="str">
        <f t="shared" si="12"/>
        <v/>
      </c>
      <c r="AV213" s="5" t="str">
        <f ca="1">IFERROR(__xludf.DUMMYFUNCTION("IFERROR(VLOOKUP(E227&amp;F227,IMPORTRANGE(""https://docs.google.com/spreadsheets/d/1Uw7-A9f9R21vMXxHZFNpYNeKFtG8_yji4HS352LGlSQ/edit?pli=1#gid=0"",""1_ACUM!A4:S""),11,FALSE))"),"")</f>
        <v/>
      </c>
      <c r="AW213" s="42" t="str">
        <f ca="1">IFERROR(__xludf.DUMMYFUNCTION("IFERROR(VLOOKUP(F227,IMPORTRANGE(""https://docs.google.com/spreadsheets/d/1Kvs4KS76FHFqLFIZfrDMff4kP08nblUkihrxltoGBjg/edit#gid=934712705"",""ESENCIAL!A6:BG""),15,FALSE))"),"")</f>
        <v/>
      </c>
      <c r="AX213" s="21" t="str">
        <f ca="1">IFERROR(__xludf.DUMMYFUNCTION("IFERROR(VLOOKUP(E227&amp;F227,IMPORTRANGE(""https://docs.google.com/spreadsheets/d/1Uw7-A9f9R21vMXxHZFNpYNeKFtG8_yji4HS352LGlSQ/edit?pli=1#gid=0"",""1_ACUM!A4:S""),12,FALSE))"),"")</f>
        <v/>
      </c>
      <c r="AY213" s="43" t="str">
        <f ca="1">IFERROR(__xludf.DUMMYFUNCTION("IFERROR(VLOOKUP(E227&amp;F227,IMPORTRANGE(""https://docs.google.com/spreadsheets/d/1Uw7-A9f9R21vMXxHZFNpYNeKFtG8_yji4HS352LGlSQ/edit?pli=1#gid=0"",""1_ACUM!A4:S""),13,FALSE))"),"")</f>
        <v/>
      </c>
      <c r="AZ213" s="43" t="str">
        <f ca="1">IFERROR(__xludf.DUMMYFUNCTION("IFERROR(VLOOKUP(E227&amp;F227,IMPORTRANGE(""https://docs.google.com/spreadsheets/d/1Uw7-A9f9R21vMXxHZFNpYNeKFtG8_yji4HS352LGlSQ/edit?pli=1#gid=0"",""1_ACUM!A4:S""),14,FALSE))"),"")</f>
        <v/>
      </c>
      <c r="BA213" s="43" t="str">
        <f ca="1">IFERROR(__xludf.DUMMYFUNCTION("IFERROR(VLOOKUP(E227&amp;F227,IMPORTRANGE(""https://docs.google.com/spreadsheets/d/1Uw7-A9f9R21vMXxHZFNpYNeKFtG8_yji4HS352LGlSQ/edit?pli=1#gid=0"",""1_ACUM!A4:S""),15,FALSE))"),"")</f>
        <v/>
      </c>
      <c r="BB213" s="43" t="str">
        <f ca="1">IFERROR(__xludf.DUMMYFUNCTION("IFERROR(VLOOKUP(E227&amp;F227,IMPORTRANGE(""https://docs.google.com/spreadsheets/d/1Uw7-A9f9R21vMXxHZFNpYNeKFtG8_yji4HS352LGlSQ/edit?pli=1#gid=0"",""1_ACUM!A4:S""),16,FALSE))"),"")</f>
        <v/>
      </c>
      <c r="BC213" s="43" t="str">
        <f ca="1">IFERROR(__xludf.DUMMYFUNCTION("IFERROR(VLOOKUP(E227&amp;F227,IMPORTRANGE(""https://docs.google.com/spreadsheets/d/1Uw7-A9f9R21vMXxHZFNpYNeKFtG8_yji4HS352LGlSQ/edit?pli=1#gid=0"",""1_ACUM!A4:S""),17,FALSE))"),"")</f>
        <v/>
      </c>
      <c r="BD213" s="44" t="str">
        <f ca="1">IFERROR(__xludf.DUMMYFUNCTION("IFERROR(VLOOKUP(E227&amp;F227,IMPORTRANGE(""https://docs.google.com/spreadsheets/d/1Uw7-A9f9R21vMXxHZFNpYNeKFtG8_yji4HS352LGlSQ/edit?pli=1#gid=0"",""1_ACUM!A4:S""),18,FALSE))"),"")</f>
        <v/>
      </c>
      <c r="BE213" s="44" t="str">
        <f ca="1">IFERROR(__xludf.DUMMYFUNCTION("IFERROR(VLOOKUP(E227&amp;F227,IMPORTRANGE(""https://docs.google.com/spreadsheets/d/1Uw7-A9f9R21vMXxHZFNpYNeKFtG8_yji4HS352LGlSQ/edit?pli=1#gid=0"",""1_ACUM!A4:S""),19,FALSE))"),"")</f>
        <v/>
      </c>
      <c r="BF213" s="98" t="str">
        <f ca="1">IFERROR(__xludf.DUMMYFUNCTION("IFERROR(VLOOKUP(F227,IMPORTRANGE(""https://docs.google.com/spreadsheets/d/1Kvs4KS76FHFqLFIZfrDMff4kP08nblUkihrxltoGBjg/edit#gid=934712705"",""ESENCIAL!A6:BG""),5,FALSE))"),"")</f>
        <v/>
      </c>
      <c r="BG213" s="98" t="str">
        <f t="shared" si="13"/>
        <v/>
      </c>
      <c r="BH213" s="99" t="str">
        <f t="shared" si="14"/>
        <v/>
      </c>
      <c r="BI213" s="100" t="str">
        <f ca="1">IFERROR(__xludf.DUMMYFUNCTION("IFERROR(VLOOKUP(F227,IMPORTRANGE(""https://docs.google.com/spreadsheets/d/1Kvs4KS76FHFqLFIZfrDMff4kP08nblUkihrxltoGBjg/edit#gid=934712705"",""ESENCIAL!A6:BG""),2,FALSE))"),"")</f>
        <v/>
      </c>
      <c r="BJ213" s="19" t="str">
        <f t="shared" si="15"/>
        <v/>
      </c>
      <c r="BK213" s="100"/>
      <c r="BL213" s="100"/>
    </row>
    <row r="214" spans="1:64" ht="15">
      <c r="A214" s="101"/>
      <c r="B214" s="101"/>
      <c r="G214" s="5" t="str">
        <f ca="1">IFERROR(__xludf.DUMMYFUNCTION("IFERROR(VLOOKUP(F228,IMPORTRANGE(""https://docs.google.com/spreadsheets/d/1Kvs4KS76FHFqLFIZfrDMff4kP08nblUkihrxltoGBjg/edit#gid=934712705"",""ESENCIAL!A6:BG""),3,FALSE))"),"")</f>
        <v/>
      </c>
      <c r="H214" s="5" t="str">
        <f ca="1">IFERROR(__xludf.DUMMYFUNCTION("IFERROR(VLOOKUP(F228,IMPORTRANGE(""https://docs.google.com/spreadsheets/d/1Kvs4KS76FHFqLFIZfrDMff4kP08nblUkihrxltoGBjg/edit#gid=934712705"",""ESENCIAL!A6:BG""),8,FALSE))"),"")</f>
        <v/>
      </c>
      <c r="L214" s="287"/>
      <c r="U214" s="40"/>
      <c r="AU214" s="41" t="str">
        <f t="shared" si="12"/>
        <v/>
      </c>
      <c r="AV214" s="5" t="str">
        <f ca="1">IFERROR(__xludf.DUMMYFUNCTION("IFERROR(VLOOKUP(E228&amp;F228,IMPORTRANGE(""https://docs.google.com/spreadsheets/d/1Uw7-A9f9R21vMXxHZFNpYNeKFtG8_yji4HS352LGlSQ/edit?pli=1#gid=0"",""1_ACUM!A4:S""),11,FALSE))"),"")</f>
        <v/>
      </c>
      <c r="AW214" s="42" t="str">
        <f ca="1">IFERROR(__xludf.DUMMYFUNCTION("IFERROR(VLOOKUP(F228,IMPORTRANGE(""https://docs.google.com/spreadsheets/d/1Kvs4KS76FHFqLFIZfrDMff4kP08nblUkihrxltoGBjg/edit#gid=934712705"",""ESENCIAL!A6:BG""),15,FALSE))"),"")</f>
        <v/>
      </c>
      <c r="AX214" s="21" t="str">
        <f ca="1">IFERROR(__xludf.DUMMYFUNCTION("IFERROR(VLOOKUP(E228&amp;F228,IMPORTRANGE(""https://docs.google.com/spreadsheets/d/1Uw7-A9f9R21vMXxHZFNpYNeKFtG8_yji4HS352LGlSQ/edit?pli=1#gid=0"",""1_ACUM!A4:S""),12,FALSE))"),"")</f>
        <v/>
      </c>
      <c r="AY214" s="43" t="str">
        <f ca="1">IFERROR(__xludf.DUMMYFUNCTION("IFERROR(VLOOKUP(E228&amp;F228,IMPORTRANGE(""https://docs.google.com/spreadsheets/d/1Uw7-A9f9R21vMXxHZFNpYNeKFtG8_yji4HS352LGlSQ/edit?pli=1#gid=0"",""1_ACUM!A4:S""),13,FALSE))"),"")</f>
        <v/>
      </c>
      <c r="AZ214" s="43" t="str">
        <f ca="1">IFERROR(__xludf.DUMMYFUNCTION("IFERROR(VLOOKUP(E228&amp;F228,IMPORTRANGE(""https://docs.google.com/spreadsheets/d/1Uw7-A9f9R21vMXxHZFNpYNeKFtG8_yji4HS352LGlSQ/edit?pli=1#gid=0"",""1_ACUM!A4:S""),14,FALSE))"),"")</f>
        <v/>
      </c>
      <c r="BA214" s="43" t="str">
        <f ca="1">IFERROR(__xludf.DUMMYFUNCTION("IFERROR(VLOOKUP(E228&amp;F228,IMPORTRANGE(""https://docs.google.com/spreadsheets/d/1Uw7-A9f9R21vMXxHZFNpYNeKFtG8_yji4HS352LGlSQ/edit?pli=1#gid=0"",""1_ACUM!A4:S""),15,FALSE))"),"")</f>
        <v/>
      </c>
      <c r="BB214" s="43" t="str">
        <f ca="1">IFERROR(__xludf.DUMMYFUNCTION("IFERROR(VLOOKUP(E228&amp;F228,IMPORTRANGE(""https://docs.google.com/spreadsheets/d/1Uw7-A9f9R21vMXxHZFNpYNeKFtG8_yji4HS352LGlSQ/edit?pli=1#gid=0"",""1_ACUM!A4:S""),16,FALSE))"),"")</f>
        <v/>
      </c>
      <c r="BC214" s="43" t="str">
        <f ca="1">IFERROR(__xludf.DUMMYFUNCTION("IFERROR(VLOOKUP(E228&amp;F228,IMPORTRANGE(""https://docs.google.com/spreadsheets/d/1Uw7-A9f9R21vMXxHZFNpYNeKFtG8_yji4HS352LGlSQ/edit?pli=1#gid=0"",""1_ACUM!A4:S""),17,FALSE))"),"")</f>
        <v/>
      </c>
      <c r="BD214" s="44" t="str">
        <f ca="1">IFERROR(__xludf.DUMMYFUNCTION("IFERROR(VLOOKUP(E228&amp;F228,IMPORTRANGE(""https://docs.google.com/spreadsheets/d/1Uw7-A9f9R21vMXxHZFNpYNeKFtG8_yji4HS352LGlSQ/edit?pli=1#gid=0"",""1_ACUM!A4:S""),18,FALSE))"),"")</f>
        <v/>
      </c>
      <c r="BE214" s="44" t="str">
        <f ca="1">IFERROR(__xludf.DUMMYFUNCTION("IFERROR(VLOOKUP(E228&amp;F228,IMPORTRANGE(""https://docs.google.com/spreadsheets/d/1Uw7-A9f9R21vMXxHZFNpYNeKFtG8_yji4HS352LGlSQ/edit?pli=1#gid=0"",""1_ACUM!A4:S""),19,FALSE))"),"")</f>
        <v/>
      </c>
      <c r="BF214" s="98" t="str">
        <f ca="1">IFERROR(__xludf.DUMMYFUNCTION("IFERROR(VLOOKUP(F228,IMPORTRANGE(""https://docs.google.com/spreadsheets/d/1Kvs4KS76FHFqLFIZfrDMff4kP08nblUkihrxltoGBjg/edit#gid=934712705"",""ESENCIAL!A6:BG""),5,FALSE))"),"")</f>
        <v/>
      </c>
      <c r="BG214" s="98" t="str">
        <f t="shared" si="13"/>
        <v/>
      </c>
      <c r="BH214" s="99" t="str">
        <f t="shared" si="14"/>
        <v/>
      </c>
      <c r="BI214" s="100" t="str">
        <f ca="1">IFERROR(__xludf.DUMMYFUNCTION("IFERROR(VLOOKUP(F228,IMPORTRANGE(""https://docs.google.com/spreadsheets/d/1Kvs4KS76FHFqLFIZfrDMff4kP08nblUkihrxltoGBjg/edit#gid=934712705"",""ESENCIAL!A6:BG""),2,FALSE))"),"")</f>
        <v/>
      </c>
      <c r="BJ214" s="19" t="str">
        <f t="shared" si="15"/>
        <v/>
      </c>
      <c r="BK214" s="100"/>
      <c r="BL214" s="100"/>
    </row>
    <row r="215" spans="1:64" ht="15">
      <c r="A215" s="101"/>
      <c r="B215" s="101"/>
      <c r="G215" s="5" t="str">
        <f ca="1">IFERROR(__xludf.DUMMYFUNCTION("IFERROR(VLOOKUP(F229,IMPORTRANGE(""https://docs.google.com/spreadsheets/d/1Kvs4KS76FHFqLFIZfrDMff4kP08nblUkihrxltoGBjg/edit#gid=934712705"",""ESENCIAL!A6:BG""),3,FALSE))"),"")</f>
        <v/>
      </c>
      <c r="H215" s="5" t="str">
        <f ca="1">IFERROR(__xludf.DUMMYFUNCTION("IFERROR(VLOOKUP(F229,IMPORTRANGE(""https://docs.google.com/spreadsheets/d/1Kvs4KS76FHFqLFIZfrDMff4kP08nblUkihrxltoGBjg/edit#gid=934712705"",""ESENCIAL!A6:BG""),8,FALSE))"),"")</f>
        <v/>
      </c>
      <c r="L215" s="287"/>
      <c r="U215" s="40"/>
      <c r="AU215" s="41" t="str">
        <f t="shared" si="12"/>
        <v/>
      </c>
      <c r="AV215" s="5" t="str">
        <f ca="1">IFERROR(__xludf.DUMMYFUNCTION("IFERROR(VLOOKUP(E229&amp;F229,IMPORTRANGE(""https://docs.google.com/spreadsheets/d/1Uw7-A9f9R21vMXxHZFNpYNeKFtG8_yji4HS352LGlSQ/edit?pli=1#gid=0"",""1_ACUM!A4:S""),11,FALSE))"),"")</f>
        <v/>
      </c>
      <c r="AW215" s="42" t="str">
        <f ca="1">IFERROR(__xludf.DUMMYFUNCTION("IFERROR(VLOOKUP(F229,IMPORTRANGE(""https://docs.google.com/spreadsheets/d/1Kvs4KS76FHFqLFIZfrDMff4kP08nblUkihrxltoGBjg/edit#gid=934712705"",""ESENCIAL!A6:BG""),15,FALSE))"),"")</f>
        <v/>
      </c>
      <c r="AX215" s="21" t="str">
        <f ca="1">IFERROR(__xludf.DUMMYFUNCTION("IFERROR(VLOOKUP(E229&amp;F229,IMPORTRANGE(""https://docs.google.com/spreadsheets/d/1Uw7-A9f9R21vMXxHZFNpYNeKFtG8_yji4HS352LGlSQ/edit?pli=1#gid=0"",""1_ACUM!A4:S""),12,FALSE))"),"")</f>
        <v/>
      </c>
      <c r="AY215" s="43" t="str">
        <f ca="1">IFERROR(__xludf.DUMMYFUNCTION("IFERROR(VLOOKUP(E229&amp;F229,IMPORTRANGE(""https://docs.google.com/spreadsheets/d/1Uw7-A9f9R21vMXxHZFNpYNeKFtG8_yji4HS352LGlSQ/edit?pli=1#gid=0"",""1_ACUM!A4:S""),13,FALSE))"),"")</f>
        <v/>
      </c>
      <c r="AZ215" s="43" t="str">
        <f ca="1">IFERROR(__xludf.DUMMYFUNCTION("IFERROR(VLOOKUP(E229&amp;F229,IMPORTRANGE(""https://docs.google.com/spreadsheets/d/1Uw7-A9f9R21vMXxHZFNpYNeKFtG8_yji4HS352LGlSQ/edit?pli=1#gid=0"",""1_ACUM!A4:S""),14,FALSE))"),"")</f>
        <v/>
      </c>
      <c r="BA215" s="43" t="str">
        <f ca="1">IFERROR(__xludf.DUMMYFUNCTION("IFERROR(VLOOKUP(E229&amp;F229,IMPORTRANGE(""https://docs.google.com/spreadsheets/d/1Uw7-A9f9R21vMXxHZFNpYNeKFtG8_yji4HS352LGlSQ/edit?pli=1#gid=0"",""1_ACUM!A4:S""),15,FALSE))"),"")</f>
        <v/>
      </c>
      <c r="BB215" s="43" t="str">
        <f ca="1">IFERROR(__xludf.DUMMYFUNCTION("IFERROR(VLOOKUP(E229&amp;F229,IMPORTRANGE(""https://docs.google.com/spreadsheets/d/1Uw7-A9f9R21vMXxHZFNpYNeKFtG8_yji4HS352LGlSQ/edit?pli=1#gid=0"",""1_ACUM!A4:S""),16,FALSE))"),"")</f>
        <v/>
      </c>
      <c r="BC215" s="43" t="str">
        <f ca="1">IFERROR(__xludf.DUMMYFUNCTION("IFERROR(VLOOKUP(E229&amp;F229,IMPORTRANGE(""https://docs.google.com/spreadsheets/d/1Uw7-A9f9R21vMXxHZFNpYNeKFtG8_yji4HS352LGlSQ/edit?pli=1#gid=0"",""1_ACUM!A4:S""),17,FALSE))"),"")</f>
        <v/>
      </c>
      <c r="BD215" s="44" t="str">
        <f ca="1">IFERROR(__xludf.DUMMYFUNCTION("IFERROR(VLOOKUP(E229&amp;F229,IMPORTRANGE(""https://docs.google.com/spreadsheets/d/1Uw7-A9f9R21vMXxHZFNpYNeKFtG8_yji4HS352LGlSQ/edit?pli=1#gid=0"",""1_ACUM!A4:S""),18,FALSE))"),"")</f>
        <v/>
      </c>
      <c r="BE215" s="44" t="str">
        <f ca="1">IFERROR(__xludf.DUMMYFUNCTION("IFERROR(VLOOKUP(E229&amp;F229,IMPORTRANGE(""https://docs.google.com/spreadsheets/d/1Uw7-A9f9R21vMXxHZFNpYNeKFtG8_yji4HS352LGlSQ/edit?pli=1#gid=0"",""1_ACUM!A4:S""),19,FALSE))"),"")</f>
        <v/>
      </c>
      <c r="BF215" s="98" t="str">
        <f ca="1">IFERROR(__xludf.DUMMYFUNCTION("IFERROR(VLOOKUP(F229,IMPORTRANGE(""https://docs.google.com/spreadsheets/d/1Kvs4KS76FHFqLFIZfrDMff4kP08nblUkihrxltoGBjg/edit#gid=934712705"",""ESENCIAL!A6:BG""),5,FALSE))"),"")</f>
        <v/>
      </c>
      <c r="BG215" s="98" t="str">
        <f t="shared" si="13"/>
        <v/>
      </c>
      <c r="BH215" s="99" t="str">
        <f t="shared" si="14"/>
        <v/>
      </c>
      <c r="BI215" s="100" t="str">
        <f ca="1">IFERROR(__xludf.DUMMYFUNCTION("IFERROR(VLOOKUP(F229,IMPORTRANGE(""https://docs.google.com/spreadsheets/d/1Kvs4KS76FHFqLFIZfrDMff4kP08nblUkihrxltoGBjg/edit#gid=934712705"",""ESENCIAL!A6:BG""),2,FALSE))"),"")</f>
        <v/>
      </c>
      <c r="BJ215" s="19" t="str">
        <f t="shared" si="15"/>
        <v/>
      </c>
      <c r="BK215" s="100"/>
      <c r="BL215" s="100"/>
    </row>
    <row r="216" spans="1:64" ht="15">
      <c r="A216" s="101"/>
      <c r="B216" s="101"/>
      <c r="G216" s="5" t="str">
        <f ca="1">IFERROR(__xludf.DUMMYFUNCTION("IFERROR(VLOOKUP(F230,IMPORTRANGE(""https://docs.google.com/spreadsheets/d/1Kvs4KS76FHFqLFIZfrDMff4kP08nblUkihrxltoGBjg/edit#gid=934712705"",""ESENCIAL!A6:BG""),3,FALSE))"),"")</f>
        <v/>
      </c>
      <c r="H216" s="5" t="str">
        <f ca="1">IFERROR(__xludf.DUMMYFUNCTION("IFERROR(VLOOKUP(F230,IMPORTRANGE(""https://docs.google.com/spreadsheets/d/1Kvs4KS76FHFqLFIZfrDMff4kP08nblUkihrxltoGBjg/edit#gid=934712705"",""ESENCIAL!A6:BG""),8,FALSE))"),"")</f>
        <v/>
      </c>
      <c r="L216" s="287"/>
      <c r="U216" s="40"/>
      <c r="AU216" s="41" t="str">
        <f t="shared" si="12"/>
        <v/>
      </c>
      <c r="AV216" s="5" t="str">
        <f ca="1">IFERROR(__xludf.DUMMYFUNCTION("IFERROR(VLOOKUP(E230&amp;F230,IMPORTRANGE(""https://docs.google.com/spreadsheets/d/1Uw7-A9f9R21vMXxHZFNpYNeKFtG8_yji4HS352LGlSQ/edit?pli=1#gid=0"",""1_ACUM!A4:S""),11,FALSE))"),"")</f>
        <v/>
      </c>
      <c r="AW216" s="42" t="str">
        <f ca="1">IFERROR(__xludf.DUMMYFUNCTION("IFERROR(VLOOKUP(F230,IMPORTRANGE(""https://docs.google.com/spreadsheets/d/1Kvs4KS76FHFqLFIZfrDMff4kP08nblUkihrxltoGBjg/edit#gid=934712705"",""ESENCIAL!A6:BG""),15,FALSE))"),"")</f>
        <v/>
      </c>
      <c r="AX216" s="21" t="str">
        <f ca="1">IFERROR(__xludf.DUMMYFUNCTION("IFERROR(VLOOKUP(E230&amp;F230,IMPORTRANGE(""https://docs.google.com/spreadsheets/d/1Uw7-A9f9R21vMXxHZFNpYNeKFtG8_yji4HS352LGlSQ/edit?pli=1#gid=0"",""1_ACUM!A4:S""),12,FALSE))"),"")</f>
        <v/>
      </c>
      <c r="AY216" s="43" t="str">
        <f ca="1">IFERROR(__xludf.DUMMYFUNCTION("IFERROR(VLOOKUP(E230&amp;F230,IMPORTRANGE(""https://docs.google.com/spreadsheets/d/1Uw7-A9f9R21vMXxHZFNpYNeKFtG8_yji4HS352LGlSQ/edit?pli=1#gid=0"",""1_ACUM!A4:S""),13,FALSE))"),"")</f>
        <v/>
      </c>
      <c r="AZ216" s="43" t="str">
        <f ca="1">IFERROR(__xludf.DUMMYFUNCTION("IFERROR(VLOOKUP(E230&amp;F230,IMPORTRANGE(""https://docs.google.com/spreadsheets/d/1Uw7-A9f9R21vMXxHZFNpYNeKFtG8_yji4HS352LGlSQ/edit?pli=1#gid=0"",""1_ACUM!A4:S""),14,FALSE))"),"")</f>
        <v/>
      </c>
      <c r="BA216" s="43" t="str">
        <f ca="1">IFERROR(__xludf.DUMMYFUNCTION("IFERROR(VLOOKUP(E230&amp;F230,IMPORTRANGE(""https://docs.google.com/spreadsheets/d/1Uw7-A9f9R21vMXxHZFNpYNeKFtG8_yji4HS352LGlSQ/edit?pli=1#gid=0"",""1_ACUM!A4:S""),15,FALSE))"),"")</f>
        <v/>
      </c>
      <c r="BB216" s="43" t="str">
        <f ca="1">IFERROR(__xludf.DUMMYFUNCTION("IFERROR(VLOOKUP(E230&amp;F230,IMPORTRANGE(""https://docs.google.com/spreadsheets/d/1Uw7-A9f9R21vMXxHZFNpYNeKFtG8_yji4HS352LGlSQ/edit?pli=1#gid=0"",""1_ACUM!A4:S""),16,FALSE))"),"")</f>
        <v/>
      </c>
      <c r="BC216" s="43" t="str">
        <f ca="1">IFERROR(__xludf.DUMMYFUNCTION("IFERROR(VLOOKUP(E230&amp;F230,IMPORTRANGE(""https://docs.google.com/spreadsheets/d/1Uw7-A9f9R21vMXxHZFNpYNeKFtG8_yji4HS352LGlSQ/edit?pli=1#gid=0"",""1_ACUM!A4:S""),17,FALSE))"),"")</f>
        <v/>
      </c>
      <c r="BD216" s="44" t="str">
        <f ca="1">IFERROR(__xludf.DUMMYFUNCTION("IFERROR(VLOOKUP(E230&amp;F230,IMPORTRANGE(""https://docs.google.com/spreadsheets/d/1Uw7-A9f9R21vMXxHZFNpYNeKFtG8_yji4HS352LGlSQ/edit?pli=1#gid=0"",""1_ACUM!A4:S""),18,FALSE))"),"")</f>
        <v/>
      </c>
      <c r="BE216" s="44" t="str">
        <f ca="1">IFERROR(__xludf.DUMMYFUNCTION("IFERROR(VLOOKUP(E230&amp;F230,IMPORTRANGE(""https://docs.google.com/spreadsheets/d/1Uw7-A9f9R21vMXxHZFNpYNeKFtG8_yji4HS352LGlSQ/edit?pli=1#gid=0"",""1_ACUM!A4:S""),19,FALSE))"),"")</f>
        <v/>
      </c>
      <c r="BF216" s="98" t="str">
        <f ca="1">IFERROR(__xludf.DUMMYFUNCTION("IFERROR(VLOOKUP(F230,IMPORTRANGE(""https://docs.google.com/spreadsheets/d/1Kvs4KS76FHFqLFIZfrDMff4kP08nblUkihrxltoGBjg/edit#gid=934712705"",""ESENCIAL!A6:BG""),5,FALSE))"),"")</f>
        <v/>
      </c>
      <c r="BG216" s="98" t="str">
        <f t="shared" si="13"/>
        <v/>
      </c>
      <c r="BH216" s="99" t="str">
        <f t="shared" si="14"/>
        <v/>
      </c>
      <c r="BI216" s="100" t="str">
        <f ca="1">IFERROR(__xludf.DUMMYFUNCTION("IFERROR(VLOOKUP(F230,IMPORTRANGE(""https://docs.google.com/spreadsheets/d/1Kvs4KS76FHFqLFIZfrDMff4kP08nblUkihrxltoGBjg/edit#gid=934712705"",""ESENCIAL!A6:BG""),2,FALSE))"),"")</f>
        <v/>
      </c>
      <c r="BJ216" s="19" t="str">
        <f t="shared" si="15"/>
        <v/>
      </c>
      <c r="BK216" s="100"/>
      <c r="BL216" s="100"/>
    </row>
    <row r="217" spans="1:64" ht="15">
      <c r="A217" s="101"/>
      <c r="B217" s="101"/>
      <c r="G217" s="5" t="str">
        <f ca="1">IFERROR(__xludf.DUMMYFUNCTION("IFERROR(VLOOKUP(F231,IMPORTRANGE(""https://docs.google.com/spreadsheets/d/1Kvs4KS76FHFqLFIZfrDMff4kP08nblUkihrxltoGBjg/edit#gid=934712705"",""ESENCIAL!A6:BG""),3,FALSE))"),"")</f>
        <v/>
      </c>
      <c r="H217" s="5" t="str">
        <f ca="1">IFERROR(__xludf.DUMMYFUNCTION("IFERROR(VLOOKUP(F231,IMPORTRANGE(""https://docs.google.com/spreadsheets/d/1Kvs4KS76FHFqLFIZfrDMff4kP08nblUkihrxltoGBjg/edit#gid=934712705"",""ESENCIAL!A6:BG""),8,FALSE))"),"")</f>
        <v/>
      </c>
      <c r="L217" s="287"/>
      <c r="U217" s="40"/>
      <c r="AU217" s="41" t="str">
        <f t="shared" si="12"/>
        <v/>
      </c>
      <c r="AV217" s="5" t="str">
        <f ca="1">IFERROR(__xludf.DUMMYFUNCTION("IFERROR(VLOOKUP(E231&amp;F231,IMPORTRANGE(""https://docs.google.com/spreadsheets/d/1Uw7-A9f9R21vMXxHZFNpYNeKFtG8_yji4HS352LGlSQ/edit?pli=1#gid=0"",""1_ACUM!A4:S""),11,FALSE))"),"")</f>
        <v/>
      </c>
      <c r="AW217" s="42" t="str">
        <f ca="1">IFERROR(__xludf.DUMMYFUNCTION("IFERROR(VLOOKUP(F231,IMPORTRANGE(""https://docs.google.com/spreadsheets/d/1Kvs4KS76FHFqLFIZfrDMff4kP08nblUkihrxltoGBjg/edit#gid=934712705"",""ESENCIAL!A6:BG""),15,FALSE))"),"")</f>
        <v/>
      </c>
      <c r="AX217" s="21" t="str">
        <f ca="1">IFERROR(__xludf.DUMMYFUNCTION("IFERROR(VLOOKUP(E231&amp;F231,IMPORTRANGE(""https://docs.google.com/spreadsheets/d/1Uw7-A9f9R21vMXxHZFNpYNeKFtG8_yji4HS352LGlSQ/edit?pli=1#gid=0"",""1_ACUM!A4:S""),12,FALSE))"),"")</f>
        <v/>
      </c>
      <c r="AY217" s="43" t="str">
        <f ca="1">IFERROR(__xludf.DUMMYFUNCTION("IFERROR(VLOOKUP(E231&amp;F231,IMPORTRANGE(""https://docs.google.com/spreadsheets/d/1Uw7-A9f9R21vMXxHZFNpYNeKFtG8_yji4HS352LGlSQ/edit?pli=1#gid=0"",""1_ACUM!A4:S""),13,FALSE))"),"")</f>
        <v/>
      </c>
      <c r="AZ217" s="43" t="str">
        <f ca="1">IFERROR(__xludf.DUMMYFUNCTION("IFERROR(VLOOKUP(E231&amp;F231,IMPORTRANGE(""https://docs.google.com/spreadsheets/d/1Uw7-A9f9R21vMXxHZFNpYNeKFtG8_yji4HS352LGlSQ/edit?pli=1#gid=0"",""1_ACUM!A4:S""),14,FALSE))"),"")</f>
        <v/>
      </c>
      <c r="BA217" s="43" t="str">
        <f ca="1">IFERROR(__xludf.DUMMYFUNCTION("IFERROR(VLOOKUP(E231&amp;F231,IMPORTRANGE(""https://docs.google.com/spreadsheets/d/1Uw7-A9f9R21vMXxHZFNpYNeKFtG8_yji4HS352LGlSQ/edit?pli=1#gid=0"",""1_ACUM!A4:S""),15,FALSE))"),"")</f>
        <v/>
      </c>
      <c r="BB217" s="43" t="str">
        <f ca="1">IFERROR(__xludf.DUMMYFUNCTION("IFERROR(VLOOKUP(E231&amp;F231,IMPORTRANGE(""https://docs.google.com/spreadsheets/d/1Uw7-A9f9R21vMXxHZFNpYNeKFtG8_yji4HS352LGlSQ/edit?pli=1#gid=0"",""1_ACUM!A4:S""),16,FALSE))"),"")</f>
        <v/>
      </c>
      <c r="BC217" s="43" t="str">
        <f ca="1">IFERROR(__xludf.DUMMYFUNCTION("IFERROR(VLOOKUP(E231&amp;F231,IMPORTRANGE(""https://docs.google.com/spreadsheets/d/1Uw7-A9f9R21vMXxHZFNpYNeKFtG8_yji4HS352LGlSQ/edit?pli=1#gid=0"",""1_ACUM!A4:S""),17,FALSE))"),"")</f>
        <v/>
      </c>
      <c r="BD217" s="44" t="str">
        <f ca="1">IFERROR(__xludf.DUMMYFUNCTION("IFERROR(VLOOKUP(E231&amp;F231,IMPORTRANGE(""https://docs.google.com/spreadsheets/d/1Uw7-A9f9R21vMXxHZFNpYNeKFtG8_yji4HS352LGlSQ/edit?pli=1#gid=0"",""1_ACUM!A4:S""),18,FALSE))"),"")</f>
        <v/>
      </c>
      <c r="BE217" s="44" t="str">
        <f ca="1">IFERROR(__xludf.DUMMYFUNCTION("IFERROR(VLOOKUP(E231&amp;F231,IMPORTRANGE(""https://docs.google.com/spreadsheets/d/1Uw7-A9f9R21vMXxHZFNpYNeKFtG8_yji4HS352LGlSQ/edit?pli=1#gid=0"",""1_ACUM!A4:S""),19,FALSE))"),"")</f>
        <v/>
      </c>
      <c r="BF217" s="98" t="str">
        <f ca="1">IFERROR(__xludf.DUMMYFUNCTION("IFERROR(VLOOKUP(F231,IMPORTRANGE(""https://docs.google.com/spreadsheets/d/1Kvs4KS76FHFqLFIZfrDMff4kP08nblUkihrxltoGBjg/edit#gid=934712705"",""ESENCIAL!A6:BG""),5,FALSE))"),"")</f>
        <v/>
      </c>
      <c r="BG217" s="98" t="str">
        <f t="shared" si="13"/>
        <v/>
      </c>
      <c r="BH217" s="99" t="str">
        <f t="shared" si="14"/>
        <v/>
      </c>
      <c r="BI217" s="100" t="str">
        <f ca="1">IFERROR(__xludf.DUMMYFUNCTION("IFERROR(VLOOKUP(F231,IMPORTRANGE(""https://docs.google.com/spreadsheets/d/1Kvs4KS76FHFqLFIZfrDMff4kP08nblUkihrxltoGBjg/edit#gid=934712705"",""ESENCIAL!A6:BG""),2,FALSE))"),"")</f>
        <v/>
      </c>
      <c r="BJ217" s="19" t="str">
        <f t="shared" si="15"/>
        <v/>
      </c>
      <c r="BK217" s="100"/>
      <c r="BL217" s="100"/>
    </row>
    <row r="218" spans="1:64" ht="15">
      <c r="A218" s="101"/>
      <c r="B218" s="101"/>
      <c r="G218" s="5" t="str">
        <f ca="1">IFERROR(__xludf.DUMMYFUNCTION("IFERROR(VLOOKUP(F232,IMPORTRANGE(""https://docs.google.com/spreadsheets/d/1Kvs4KS76FHFqLFIZfrDMff4kP08nblUkihrxltoGBjg/edit#gid=934712705"",""ESENCIAL!A6:BG""),3,FALSE))"),"")</f>
        <v/>
      </c>
      <c r="H218" s="5" t="str">
        <f ca="1">IFERROR(__xludf.DUMMYFUNCTION("IFERROR(VLOOKUP(F232,IMPORTRANGE(""https://docs.google.com/spreadsheets/d/1Kvs4KS76FHFqLFIZfrDMff4kP08nblUkihrxltoGBjg/edit#gid=934712705"",""ESENCIAL!A6:BG""),8,FALSE))"),"")</f>
        <v/>
      </c>
      <c r="L218" s="287"/>
      <c r="U218" s="40"/>
      <c r="AU218" s="41" t="str">
        <f t="shared" si="12"/>
        <v/>
      </c>
      <c r="AV218" s="5" t="str">
        <f ca="1">IFERROR(__xludf.DUMMYFUNCTION("IFERROR(VLOOKUP(E232&amp;F232,IMPORTRANGE(""https://docs.google.com/spreadsheets/d/1Uw7-A9f9R21vMXxHZFNpYNeKFtG8_yji4HS352LGlSQ/edit?pli=1#gid=0"",""1_ACUM!A4:S""),11,FALSE))"),"")</f>
        <v/>
      </c>
      <c r="AW218" s="42" t="str">
        <f ca="1">IFERROR(__xludf.DUMMYFUNCTION("IFERROR(VLOOKUP(F232,IMPORTRANGE(""https://docs.google.com/spreadsheets/d/1Kvs4KS76FHFqLFIZfrDMff4kP08nblUkihrxltoGBjg/edit#gid=934712705"",""ESENCIAL!A6:BG""),15,FALSE))"),"")</f>
        <v/>
      </c>
      <c r="AX218" s="21" t="str">
        <f ca="1">IFERROR(__xludf.DUMMYFUNCTION("IFERROR(VLOOKUP(E232&amp;F232,IMPORTRANGE(""https://docs.google.com/spreadsheets/d/1Uw7-A9f9R21vMXxHZFNpYNeKFtG8_yji4HS352LGlSQ/edit?pli=1#gid=0"",""1_ACUM!A4:S""),12,FALSE))"),"")</f>
        <v/>
      </c>
      <c r="AY218" s="43" t="str">
        <f ca="1">IFERROR(__xludf.DUMMYFUNCTION("IFERROR(VLOOKUP(E232&amp;F232,IMPORTRANGE(""https://docs.google.com/spreadsheets/d/1Uw7-A9f9R21vMXxHZFNpYNeKFtG8_yji4HS352LGlSQ/edit?pli=1#gid=0"",""1_ACUM!A4:S""),13,FALSE))"),"")</f>
        <v/>
      </c>
      <c r="AZ218" s="43" t="str">
        <f ca="1">IFERROR(__xludf.DUMMYFUNCTION("IFERROR(VLOOKUP(E232&amp;F232,IMPORTRANGE(""https://docs.google.com/spreadsheets/d/1Uw7-A9f9R21vMXxHZFNpYNeKFtG8_yji4HS352LGlSQ/edit?pli=1#gid=0"",""1_ACUM!A4:S""),14,FALSE))"),"")</f>
        <v/>
      </c>
      <c r="BA218" s="43" t="str">
        <f ca="1">IFERROR(__xludf.DUMMYFUNCTION("IFERROR(VLOOKUP(E232&amp;F232,IMPORTRANGE(""https://docs.google.com/spreadsheets/d/1Uw7-A9f9R21vMXxHZFNpYNeKFtG8_yji4HS352LGlSQ/edit?pli=1#gid=0"",""1_ACUM!A4:S""),15,FALSE))"),"")</f>
        <v/>
      </c>
      <c r="BB218" s="43" t="str">
        <f ca="1">IFERROR(__xludf.DUMMYFUNCTION("IFERROR(VLOOKUP(E232&amp;F232,IMPORTRANGE(""https://docs.google.com/spreadsheets/d/1Uw7-A9f9R21vMXxHZFNpYNeKFtG8_yji4HS352LGlSQ/edit?pli=1#gid=0"",""1_ACUM!A4:S""),16,FALSE))"),"")</f>
        <v/>
      </c>
      <c r="BC218" s="43" t="str">
        <f ca="1">IFERROR(__xludf.DUMMYFUNCTION("IFERROR(VLOOKUP(E232&amp;F232,IMPORTRANGE(""https://docs.google.com/spreadsheets/d/1Uw7-A9f9R21vMXxHZFNpYNeKFtG8_yji4HS352LGlSQ/edit?pli=1#gid=0"",""1_ACUM!A4:S""),17,FALSE))"),"")</f>
        <v/>
      </c>
      <c r="BD218" s="44" t="str">
        <f ca="1">IFERROR(__xludf.DUMMYFUNCTION("IFERROR(VLOOKUP(E232&amp;F232,IMPORTRANGE(""https://docs.google.com/spreadsheets/d/1Uw7-A9f9R21vMXxHZFNpYNeKFtG8_yji4HS352LGlSQ/edit?pli=1#gid=0"",""1_ACUM!A4:S""),18,FALSE))"),"")</f>
        <v/>
      </c>
      <c r="BE218" s="44" t="str">
        <f ca="1">IFERROR(__xludf.DUMMYFUNCTION("IFERROR(VLOOKUP(E232&amp;F232,IMPORTRANGE(""https://docs.google.com/spreadsheets/d/1Uw7-A9f9R21vMXxHZFNpYNeKFtG8_yji4HS352LGlSQ/edit?pli=1#gid=0"",""1_ACUM!A4:S""),19,FALSE))"),"")</f>
        <v/>
      </c>
      <c r="BF218" s="98" t="str">
        <f ca="1">IFERROR(__xludf.DUMMYFUNCTION("IFERROR(VLOOKUP(F232,IMPORTRANGE(""https://docs.google.com/spreadsheets/d/1Kvs4KS76FHFqLFIZfrDMff4kP08nblUkihrxltoGBjg/edit#gid=934712705"",""ESENCIAL!A6:BG""),5,FALSE))"),"")</f>
        <v/>
      </c>
      <c r="BG218" s="98" t="str">
        <f t="shared" si="13"/>
        <v/>
      </c>
      <c r="BH218" s="99" t="str">
        <f t="shared" si="14"/>
        <v/>
      </c>
      <c r="BI218" s="100" t="str">
        <f ca="1">IFERROR(__xludf.DUMMYFUNCTION("IFERROR(VLOOKUP(F232,IMPORTRANGE(""https://docs.google.com/spreadsheets/d/1Kvs4KS76FHFqLFIZfrDMff4kP08nblUkihrxltoGBjg/edit#gid=934712705"",""ESENCIAL!A6:BG""),2,FALSE))"),"")</f>
        <v/>
      </c>
      <c r="BJ218" s="19" t="str">
        <f t="shared" si="15"/>
        <v/>
      </c>
      <c r="BK218" s="100"/>
      <c r="BL218" s="100"/>
    </row>
    <row r="219" spans="1:64" ht="15">
      <c r="A219" s="101"/>
      <c r="B219" s="101"/>
      <c r="G219" s="5" t="str">
        <f ca="1">IFERROR(__xludf.DUMMYFUNCTION("IFERROR(VLOOKUP(F233,IMPORTRANGE(""https://docs.google.com/spreadsheets/d/1Kvs4KS76FHFqLFIZfrDMff4kP08nblUkihrxltoGBjg/edit#gid=934712705"",""ESENCIAL!A6:BG""),3,FALSE))"),"")</f>
        <v/>
      </c>
      <c r="H219" s="5" t="str">
        <f ca="1">IFERROR(__xludf.DUMMYFUNCTION("IFERROR(VLOOKUP(F233,IMPORTRANGE(""https://docs.google.com/spreadsheets/d/1Kvs4KS76FHFqLFIZfrDMff4kP08nblUkihrxltoGBjg/edit#gid=934712705"",""ESENCIAL!A6:BG""),8,FALSE))"),"")</f>
        <v/>
      </c>
      <c r="L219" s="287"/>
      <c r="U219" s="40"/>
      <c r="AU219" s="41" t="str">
        <f t="shared" si="12"/>
        <v/>
      </c>
      <c r="AV219" s="5" t="str">
        <f ca="1">IFERROR(__xludf.DUMMYFUNCTION("IFERROR(VLOOKUP(E233&amp;F233,IMPORTRANGE(""https://docs.google.com/spreadsheets/d/1Uw7-A9f9R21vMXxHZFNpYNeKFtG8_yji4HS352LGlSQ/edit?pli=1#gid=0"",""1_ACUM!A4:S""),11,FALSE))"),"")</f>
        <v/>
      </c>
      <c r="AW219" s="42" t="str">
        <f ca="1">IFERROR(__xludf.DUMMYFUNCTION("IFERROR(VLOOKUP(F233,IMPORTRANGE(""https://docs.google.com/spreadsheets/d/1Kvs4KS76FHFqLFIZfrDMff4kP08nblUkihrxltoGBjg/edit#gid=934712705"",""ESENCIAL!A6:BG""),15,FALSE))"),"")</f>
        <v/>
      </c>
      <c r="AX219" s="21" t="str">
        <f ca="1">IFERROR(__xludf.DUMMYFUNCTION("IFERROR(VLOOKUP(E233&amp;F233,IMPORTRANGE(""https://docs.google.com/spreadsheets/d/1Uw7-A9f9R21vMXxHZFNpYNeKFtG8_yji4HS352LGlSQ/edit?pli=1#gid=0"",""1_ACUM!A4:S""),12,FALSE))"),"")</f>
        <v/>
      </c>
      <c r="AY219" s="43" t="str">
        <f ca="1">IFERROR(__xludf.DUMMYFUNCTION("IFERROR(VLOOKUP(E233&amp;F233,IMPORTRANGE(""https://docs.google.com/spreadsheets/d/1Uw7-A9f9R21vMXxHZFNpYNeKFtG8_yji4HS352LGlSQ/edit?pli=1#gid=0"",""1_ACUM!A4:S""),13,FALSE))"),"")</f>
        <v/>
      </c>
      <c r="AZ219" s="43" t="str">
        <f ca="1">IFERROR(__xludf.DUMMYFUNCTION("IFERROR(VLOOKUP(E233&amp;F233,IMPORTRANGE(""https://docs.google.com/spreadsheets/d/1Uw7-A9f9R21vMXxHZFNpYNeKFtG8_yji4HS352LGlSQ/edit?pli=1#gid=0"",""1_ACUM!A4:S""),14,FALSE))"),"")</f>
        <v/>
      </c>
      <c r="BA219" s="43" t="str">
        <f ca="1">IFERROR(__xludf.DUMMYFUNCTION("IFERROR(VLOOKUP(E233&amp;F233,IMPORTRANGE(""https://docs.google.com/spreadsheets/d/1Uw7-A9f9R21vMXxHZFNpYNeKFtG8_yji4HS352LGlSQ/edit?pli=1#gid=0"",""1_ACUM!A4:S""),15,FALSE))"),"")</f>
        <v/>
      </c>
      <c r="BB219" s="43" t="str">
        <f ca="1">IFERROR(__xludf.DUMMYFUNCTION("IFERROR(VLOOKUP(E233&amp;F233,IMPORTRANGE(""https://docs.google.com/spreadsheets/d/1Uw7-A9f9R21vMXxHZFNpYNeKFtG8_yji4HS352LGlSQ/edit?pli=1#gid=0"",""1_ACUM!A4:S""),16,FALSE))"),"")</f>
        <v/>
      </c>
      <c r="BC219" s="43" t="str">
        <f ca="1">IFERROR(__xludf.DUMMYFUNCTION("IFERROR(VLOOKUP(E233&amp;F233,IMPORTRANGE(""https://docs.google.com/spreadsheets/d/1Uw7-A9f9R21vMXxHZFNpYNeKFtG8_yji4HS352LGlSQ/edit?pli=1#gid=0"",""1_ACUM!A4:S""),17,FALSE))"),"")</f>
        <v/>
      </c>
      <c r="BD219" s="44" t="str">
        <f ca="1">IFERROR(__xludf.DUMMYFUNCTION("IFERROR(VLOOKUP(E233&amp;F233,IMPORTRANGE(""https://docs.google.com/spreadsheets/d/1Uw7-A9f9R21vMXxHZFNpYNeKFtG8_yji4HS352LGlSQ/edit?pli=1#gid=0"",""1_ACUM!A4:S""),18,FALSE))"),"")</f>
        <v/>
      </c>
      <c r="BE219" s="44" t="str">
        <f ca="1">IFERROR(__xludf.DUMMYFUNCTION("IFERROR(VLOOKUP(E233&amp;F233,IMPORTRANGE(""https://docs.google.com/spreadsheets/d/1Uw7-A9f9R21vMXxHZFNpYNeKFtG8_yji4HS352LGlSQ/edit?pli=1#gid=0"",""1_ACUM!A4:S""),19,FALSE))"),"")</f>
        <v/>
      </c>
      <c r="BF219" s="98" t="str">
        <f ca="1">IFERROR(__xludf.DUMMYFUNCTION("IFERROR(VLOOKUP(F233,IMPORTRANGE(""https://docs.google.com/spreadsheets/d/1Kvs4KS76FHFqLFIZfrDMff4kP08nblUkihrxltoGBjg/edit#gid=934712705"",""ESENCIAL!A6:BG""),5,FALSE))"),"")</f>
        <v/>
      </c>
      <c r="BG219" s="98" t="str">
        <f t="shared" si="13"/>
        <v/>
      </c>
      <c r="BH219" s="99" t="str">
        <f t="shared" si="14"/>
        <v/>
      </c>
      <c r="BI219" s="100" t="str">
        <f ca="1">IFERROR(__xludf.DUMMYFUNCTION("IFERROR(VLOOKUP(F233,IMPORTRANGE(""https://docs.google.com/spreadsheets/d/1Kvs4KS76FHFqLFIZfrDMff4kP08nblUkihrxltoGBjg/edit#gid=934712705"",""ESENCIAL!A6:BG""),2,FALSE))"),"")</f>
        <v/>
      </c>
      <c r="BJ219" s="19" t="str">
        <f t="shared" si="15"/>
        <v/>
      </c>
      <c r="BK219" s="100"/>
      <c r="BL219" s="100"/>
    </row>
    <row r="220" spans="1:64" ht="15">
      <c r="A220" s="101"/>
      <c r="B220" s="101"/>
      <c r="G220" s="5" t="str">
        <f ca="1">IFERROR(__xludf.DUMMYFUNCTION("IFERROR(VLOOKUP(F234,IMPORTRANGE(""https://docs.google.com/spreadsheets/d/1Kvs4KS76FHFqLFIZfrDMff4kP08nblUkihrxltoGBjg/edit#gid=934712705"",""ESENCIAL!A6:BG""),3,FALSE))"),"")</f>
        <v/>
      </c>
      <c r="H220" s="5" t="str">
        <f ca="1">IFERROR(__xludf.DUMMYFUNCTION("IFERROR(VLOOKUP(F234,IMPORTRANGE(""https://docs.google.com/spreadsheets/d/1Kvs4KS76FHFqLFIZfrDMff4kP08nblUkihrxltoGBjg/edit#gid=934712705"",""ESENCIAL!A6:BG""),8,FALSE))"),"")</f>
        <v/>
      </c>
      <c r="L220" s="287"/>
      <c r="U220" s="40"/>
      <c r="AU220" s="41" t="str">
        <f t="shared" si="12"/>
        <v/>
      </c>
      <c r="AV220" s="5" t="str">
        <f ca="1">IFERROR(__xludf.DUMMYFUNCTION("IFERROR(VLOOKUP(E234&amp;F234,IMPORTRANGE(""https://docs.google.com/spreadsheets/d/1Uw7-A9f9R21vMXxHZFNpYNeKFtG8_yji4HS352LGlSQ/edit?pli=1#gid=0"",""1_ACUM!A4:S""),11,FALSE))"),"")</f>
        <v/>
      </c>
      <c r="AW220" s="42" t="str">
        <f ca="1">IFERROR(__xludf.DUMMYFUNCTION("IFERROR(VLOOKUP(F234,IMPORTRANGE(""https://docs.google.com/spreadsheets/d/1Kvs4KS76FHFqLFIZfrDMff4kP08nblUkihrxltoGBjg/edit#gid=934712705"",""ESENCIAL!A6:BG""),15,FALSE))"),"")</f>
        <v/>
      </c>
      <c r="AX220" s="21" t="str">
        <f ca="1">IFERROR(__xludf.DUMMYFUNCTION("IFERROR(VLOOKUP(E234&amp;F234,IMPORTRANGE(""https://docs.google.com/spreadsheets/d/1Uw7-A9f9R21vMXxHZFNpYNeKFtG8_yji4HS352LGlSQ/edit?pli=1#gid=0"",""1_ACUM!A4:S""),12,FALSE))"),"")</f>
        <v/>
      </c>
      <c r="AY220" s="43" t="str">
        <f ca="1">IFERROR(__xludf.DUMMYFUNCTION("IFERROR(VLOOKUP(E234&amp;F234,IMPORTRANGE(""https://docs.google.com/spreadsheets/d/1Uw7-A9f9R21vMXxHZFNpYNeKFtG8_yji4HS352LGlSQ/edit?pli=1#gid=0"",""1_ACUM!A4:S""),13,FALSE))"),"")</f>
        <v/>
      </c>
      <c r="AZ220" s="43" t="str">
        <f ca="1">IFERROR(__xludf.DUMMYFUNCTION("IFERROR(VLOOKUP(E234&amp;F234,IMPORTRANGE(""https://docs.google.com/spreadsheets/d/1Uw7-A9f9R21vMXxHZFNpYNeKFtG8_yji4HS352LGlSQ/edit?pli=1#gid=0"",""1_ACUM!A4:S""),14,FALSE))"),"")</f>
        <v/>
      </c>
      <c r="BA220" s="43" t="str">
        <f ca="1">IFERROR(__xludf.DUMMYFUNCTION("IFERROR(VLOOKUP(E234&amp;F234,IMPORTRANGE(""https://docs.google.com/spreadsheets/d/1Uw7-A9f9R21vMXxHZFNpYNeKFtG8_yji4HS352LGlSQ/edit?pli=1#gid=0"",""1_ACUM!A4:S""),15,FALSE))"),"")</f>
        <v/>
      </c>
      <c r="BB220" s="43" t="str">
        <f ca="1">IFERROR(__xludf.DUMMYFUNCTION("IFERROR(VLOOKUP(E234&amp;F234,IMPORTRANGE(""https://docs.google.com/spreadsheets/d/1Uw7-A9f9R21vMXxHZFNpYNeKFtG8_yji4HS352LGlSQ/edit?pli=1#gid=0"",""1_ACUM!A4:S""),16,FALSE))"),"")</f>
        <v/>
      </c>
      <c r="BC220" s="43" t="str">
        <f ca="1">IFERROR(__xludf.DUMMYFUNCTION("IFERROR(VLOOKUP(E234&amp;F234,IMPORTRANGE(""https://docs.google.com/spreadsheets/d/1Uw7-A9f9R21vMXxHZFNpYNeKFtG8_yji4HS352LGlSQ/edit?pli=1#gid=0"",""1_ACUM!A4:S""),17,FALSE))"),"")</f>
        <v/>
      </c>
      <c r="BD220" s="44" t="str">
        <f ca="1">IFERROR(__xludf.DUMMYFUNCTION("IFERROR(VLOOKUP(E234&amp;F234,IMPORTRANGE(""https://docs.google.com/spreadsheets/d/1Uw7-A9f9R21vMXxHZFNpYNeKFtG8_yji4HS352LGlSQ/edit?pli=1#gid=0"",""1_ACUM!A4:S""),18,FALSE))"),"")</f>
        <v/>
      </c>
      <c r="BE220" s="44" t="str">
        <f ca="1">IFERROR(__xludf.DUMMYFUNCTION("IFERROR(VLOOKUP(E234&amp;F234,IMPORTRANGE(""https://docs.google.com/spreadsheets/d/1Uw7-A9f9R21vMXxHZFNpYNeKFtG8_yji4HS352LGlSQ/edit?pli=1#gid=0"",""1_ACUM!A4:S""),19,FALSE))"),"")</f>
        <v/>
      </c>
      <c r="BF220" s="98" t="str">
        <f ca="1">IFERROR(__xludf.DUMMYFUNCTION("IFERROR(VLOOKUP(F234,IMPORTRANGE(""https://docs.google.com/spreadsheets/d/1Kvs4KS76FHFqLFIZfrDMff4kP08nblUkihrxltoGBjg/edit#gid=934712705"",""ESENCIAL!A6:BG""),5,FALSE))"),"")</f>
        <v/>
      </c>
      <c r="BG220" s="98" t="str">
        <f t="shared" si="13"/>
        <v/>
      </c>
      <c r="BH220" s="99" t="str">
        <f t="shared" si="14"/>
        <v/>
      </c>
      <c r="BI220" s="100" t="str">
        <f ca="1">IFERROR(__xludf.DUMMYFUNCTION("IFERROR(VLOOKUP(F234,IMPORTRANGE(""https://docs.google.com/spreadsheets/d/1Kvs4KS76FHFqLFIZfrDMff4kP08nblUkihrxltoGBjg/edit#gid=934712705"",""ESENCIAL!A6:BG""),2,FALSE))"),"")</f>
        <v/>
      </c>
      <c r="BJ220" s="19" t="str">
        <f t="shared" si="15"/>
        <v/>
      </c>
      <c r="BK220" s="100"/>
      <c r="BL220" s="100"/>
    </row>
    <row r="221" spans="1:64" ht="15">
      <c r="A221" s="101"/>
      <c r="B221" s="101"/>
      <c r="G221" s="5" t="str">
        <f ca="1">IFERROR(__xludf.DUMMYFUNCTION("IFERROR(VLOOKUP(F235,IMPORTRANGE(""https://docs.google.com/spreadsheets/d/1Kvs4KS76FHFqLFIZfrDMff4kP08nblUkihrxltoGBjg/edit#gid=934712705"",""ESENCIAL!A6:BG""),3,FALSE))"),"")</f>
        <v/>
      </c>
      <c r="H221" s="5" t="str">
        <f ca="1">IFERROR(__xludf.DUMMYFUNCTION("IFERROR(VLOOKUP(F235,IMPORTRANGE(""https://docs.google.com/spreadsheets/d/1Kvs4KS76FHFqLFIZfrDMff4kP08nblUkihrxltoGBjg/edit#gid=934712705"",""ESENCIAL!A6:BG""),8,FALSE))"),"")</f>
        <v/>
      </c>
      <c r="L221" s="287"/>
      <c r="U221" s="40"/>
      <c r="AU221" s="41" t="str">
        <f t="shared" si="12"/>
        <v/>
      </c>
      <c r="AV221" s="5" t="str">
        <f ca="1">IFERROR(__xludf.DUMMYFUNCTION("IFERROR(VLOOKUP(E235&amp;F235,IMPORTRANGE(""https://docs.google.com/spreadsheets/d/1Uw7-A9f9R21vMXxHZFNpYNeKFtG8_yji4HS352LGlSQ/edit?pli=1#gid=0"",""1_ACUM!A4:S""),11,FALSE))"),"")</f>
        <v/>
      </c>
      <c r="AW221" s="42" t="str">
        <f ca="1">IFERROR(__xludf.DUMMYFUNCTION("IFERROR(VLOOKUP(F235,IMPORTRANGE(""https://docs.google.com/spreadsheets/d/1Kvs4KS76FHFqLFIZfrDMff4kP08nblUkihrxltoGBjg/edit#gid=934712705"",""ESENCIAL!A6:BG""),15,FALSE))"),"")</f>
        <v/>
      </c>
      <c r="AX221" s="21" t="str">
        <f ca="1">IFERROR(__xludf.DUMMYFUNCTION("IFERROR(VLOOKUP(E235&amp;F235,IMPORTRANGE(""https://docs.google.com/spreadsheets/d/1Uw7-A9f9R21vMXxHZFNpYNeKFtG8_yji4HS352LGlSQ/edit?pli=1#gid=0"",""1_ACUM!A4:S""),12,FALSE))"),"")</f>
        <v/>
      </c>
      <c r="AY221" s="43" t="str">
        <f ca="1">IFERROR(__xludf.DUMMYFUNCTION("IFERROR(VLOOKUP(E235&amp;F235,IMPORTRANGE(""https://docs.google.com/spreadsheets/d/1Uw7-A9f9R21vMXxHZFNpYNeKFtG8_yji4HS352LGlSQ/edit?pli=1#gid=0"",""1_ACUM!A4:S""),13,FALSE))"),"")</f>
        <v/>
      </c>
      <c r="AZ221" s="43" t="str">
        <f ca="1">IFERROR(__xludf.DUMMYFUNCTION("IFERROR(VLOOKUP(E235&amp;F235,IMPORTRANGE(""https://docs.google.com/spreadsheets/d/1Uw7-A9f9R21vMXxHZFNpYNeKFtG8_yji4HS352LGlSQ/edit?pli=1#gid=0"",""1_ACUM!A4:S""),14,FALSE))"),"")</f>
        <v/>
      </c>
      <c r="BA221" s="43" t="str">
        <f ca="1">IFERROR(__xludf.DUMMYFUNCTION("IFERROR(VLOOKUP(E235&amp;F235,IMPORTRANGE(""https://docs.google.com/spreadsheets/d/1Uw7-A9f9R21vMXxHZFNpYNeKFtG8_yji4HS352LGlSQ/edit?pli=1#gid=0"",""1_ACUM!A4:S""),15,FALSE))"),"")</f>
        <v/>
      </c>
      <c r="BB221" s="43" t="str">
        <f ca="1">IFERROR(__xludf.DUMMYFUNCTION("IFERROR(VLOOKUP(E235&amp;F235,IMPORTRANGE(""https://docs.google.com/spreadsheets/d/1Uw7-A9f9R21vMXxHZFNpYNeKFtG8_yji4HS352LGlSQ/edit?pli=1#gid=0"",""1_ACUM!A4:S""),16,FALSE))"),"")</f>
        <v/>
      </c>
      <c r="BC221" s="43" t="str">
        <f ca="1">IFERROR(__xludf.DUMMYFUNCTION("IFERROR(VLOOKUP(E235&amp;F235,IMPORTRANGE(""https://docs.google.com/spreadsheets/d/1Uw7-A9f9R21vMXxHZFNpYNeKFtG8_yji4HS352LGlSQ/edit?pli=1#gid=0"",""1_ACUM!A4:S""),17,FALSE))"),"")</f>
        <v/>
      </c>
      <c r="BD221" s="44" t="str">
        <f ca="1">IFERROR(__xludf.DUMMYFUNCTION("IFERROR(VLOOKUP(E235&amp;F235,IMPORTRANGE(""https://docs.google.com/spreadsheets/d/1Uw7-A9f9R21vMXxHZFNpYNeKFtG8_yji4HS352LGlSQ/edit?pli=1#gid=0"",""1_ACUM!A4:S""),18,FALSE))"),"")</f>
        <v/>
      </c>
      <c r="BE221" s="44" t="str">
        <f ca="1">IFERROR(__xludf.DUMMYFUNCTION("IFERROR(VLOOKUP(E235&amp;F235,IMPORTRANGE(""https://docs.google.com/spreadsheets/d/1Uw7-A9f9R21vMXxHZFNpYNeKFtG8_yji4HS352LGlSQ/edit?pli=1#gid=0"",""1_ACUM!A4:S""),19,FALSE))"),"")</f>
        <v/>
      </c>
      <c r="BF221" s="98" t="str">
        <f ca="1">IFERROR(__xludf.DUMMYFUNCTION("IFERROR(VLOOKUP(F235,IMPORTRANGE(""https://docs.google.com/spreadsheets/d/1Kvs4KS76FHFqLFIZfrDMff4kP08nblUkihrxltoGBjg/edit#gid=934712705"",""ESENCIAL!A6:BG""),5,FALSE))"),"")</f>
        <v/>
      </c>
      <c r="BG221" s="98" t="str">
        <f t="shared" si="13"/>
        <v/>
      </c>
      <c r="BH221" s="99" t="str">
        <f t="shared" si="14"/>
        <v/>
      </c>
      <c r="BI221" s="100" t="str">
        <f ca="1">IFERROR(__xludf.DUMMYFUNCTION("IFERROR(VLOOKUP(F235,IMPORTRANGE(""https://docs.google.com/spreadsheets/d/1Kvs4KS76FHFqLFIZfrDMff4kP08nblUkihrxltoGBjg/edit#gid=934712705"",""ESENCIAL!A6:BG""),2,FALSE))"),"")</f>
        <v/>
      </c>
      <c r="BJ221" s="19" t="str">
        <f t="shared" si="15"/>
        <v/>
      </c>
      <c r="BK221" s="100"/>
      <c r="BL221" s="100"/>
    </row>
    <row r="222" spans="1:64" ht="15">
      <c r="A222" s="101"/>
      <c r="B222" s="101"/>
      <c r="G222" s="5" t="str">
        <f ca="1">IFERROR(__xludf.DUMMYFUNCTION("IFERROR(VLOOKUP(F236,IMPORTRANGE(""https://docs.google.com/spreadsheets/d/1Kvs4KS76FHFqLFIZfrDMff4kP08nblUkihrxltoGBjg/edit#gid=934712705"",""ESENCIAL!A6:BG""),3,FALSE))"),"")</f>
        <v/>
      </c>
      <c r="H222" s="5" t="str">
        <f ca="1">IFERROR(__xludf.DUMMYFUNCTION("IFERROR(VLOOKUP(F236,IMPORTRANGE(""https://docs.google.com/spreadsheets/d/1Kvs4KS76FHFqLFIZfrDMff4kP08nblUkihrxltoGBjg/edit#gid=934712705"",""ESENCIAL!A6:BG""),8,FALSE))"),"")</f>
        <v/>
      </c>
      <c r="L222" s="287"/>
      <c r="U222" s="40"/>
      <c r="AU222" s="41" t="str">
        <f t="shared" si="12"/>
        <v/>
      </c>
      <c r="AV222" s="5" t="str">
        <f ca="1">IFERROR(__xludf.DUMMYFUNCTION("IFERROR(VLOOKUP(E236&amp;F236,IMPORTRANGE(""https://docs.google.com/spreadsheets/d/1Uw7-A9f9R21vMXxHZFNpYNeKFtG8_yji4HS352LGlSQ/edit?pli=1#gid=0"",""1_ACUM!A4:S""),11,FALSE))"),"")</f>
        <v/>
      </c>
      <c r="AW222" s="42" t="str">
        <f ca="1">IFERROR(__xludf.DUMMYFUNCTION("IFERROR(VLOOKUP(F236,IMPORTRANGE(""https://docs.google.com/spreadsheets/d/1Kvs4KS76FHFqLFIZfrDMff4kP08nblUkihrxltoGBjg/edit#gid=934712705"",""ESENCIAL!A6:BG""),15,FALSE))"),"")</f>
        <v/>
      </c>
      <c r="AX222" s="21" t="str">
        <f ca="1">IFERROR(__xludf.DUMMYFUNCTION("IFERROR(VLOOKUP(E236&amp;F236,IMPORTRANGE(""https://docs.google.com/spreadsheets/d/1Uw7-A9f9R21vMXxHZFNpYNeKFtG8_yji4HS352LGlSQ/edit?pli=1#gid=0"",""1_ACUM!A4:S""),12,FALSE))"),"")</f>
        <v/>
      </c>
      <c r="AY222" s="43" t="str">
        <f ca="1">IFERROR(__xludf.DUMMYFUNCTION("IFERROR(VLOOKUP(E236&amp;F236,IMPORTRANGE(""https://docs.google.com/spreadsheets/d/1Uw7-A9f9R21vMXxHZFNpYNeKFtG8_yji4HS352LGlSQ/edit?pli=1#gid=0"",""1_ACUM!A4:S""),13,FALSE))"),"")</f>
        <v/>
      </c>
      <c r="AZ222" s="43" t="str">
        <f ca="1">IFERROR(__xludf.DUMMYFUNCTION("IFERROR(VLOOKUP(E236&amp;F236,IMPORTRANGE(""https://docs.google.com/spreadsheets/d/1Uw7-A9f9R21vMXxHZFNpYNeKFtG8_yji4HS352LGlSQ/edit?pli=1#gid=0"",""1_ACUM!A4:S""),14,FALSE))"),"")</f>
        <v/>
      </c>
      <c r="BA222" s="43" t="str">
        <f ca="1">IFERROR(__xludf.DUMMYFUNCTION("IFERROR(VLOOKUP(E236&amp;F236,IMPORTRANGE(""https://docs.google.com/spreadsheets/d/1Uw7-A9f9R21vMXxHZFNpYNeKFtG8_yji4HS352LGlSQ/edit?pli=1#gid=0"",""1_ACUM!A4:S""),15,FALSE))"),"")</f>
        <v/>
      </c>
      <c r="BB222" s="43" t="str">
        <f ca="1">IFERROR(__xludf.DUMMYFUNCTION("IFERROR(VLOOKUP(E236&amp;F236,IMPORTRANGE(""https://docs.google.com/spreadsheets/d/1Uw7-A9f9R21vMXxHZFNpYNeKFtG8_yji4HS352LGlSQ/edit?pli=1#gid=0"",""1_ACUM!A4:S""),16,FALSE))"),"")</f>
        <v/>
      </c>
      <c r="BC222" s="43" t="str">
        <f ca="1">IFERROR(__xludf.DUMMYFUNCTION("IFERROR(VLOOKUP(E236&amp;F236,IMPORTRANGE(""https://docs.google.com/spreadsheets/d/1Uw7-A9f9R21vMXxHZFNpYNeKFtG8_yji4HS352LGlSQ/edit?pli=1#gid=0"",""1_ACUM!A4:S""),17,FALSE))"),"")</f>
        <v/>
      </c>
      <c r="BD222" s="44" t="str">
        <f ca="1">IFERROR(__xludf.DUMMYFUNCTION("IFERROR(VLOOKUP(E236&amp;F236,IMPORTRANGE(""https://docs.google.com/spreadsheets/d/1Uw7-A9f9R21vMXxHZFNpYNeKFtG8_yji4HS352LGlSQ/edit?pli=1#gid=0"",""1_ACUM!A4:S""),18,FALSE))"),"")</f>
        <v/>
      </c>
      <c r="BE222" s="44" t="str">
        <f ca="1">IFERROR(__xludf.DUMMYFUNCTION("IFERROR(VLOOKUP(E236&amp;F236,IMPORTRANGE(""https://docs.google.com/spreadsheets/d/1Uw7-A9f9R21vMXxHZFNpYNeKFtG8_yji4HS352LGlSQ/edit?pli=1#gid=0"",""1_ACUM!A4:S""),19,FALSE))"),"")</f>
        <v/>
      </c>
      <c r="BF222" s="98" t="str">
        <f ca="1">IFERROR(__xludf.DUMMYFUNCTION("IFERROR(VLOOKUP(F236,IMPORTRANGE(""https://docs.google.com/spreadsheets/d/1Kvs4KS76FHFqLFIZfrDMff4kP08nblUkihrxltoGBjg/edit#gid=934712705"",""ESENCIAL!A6:BG""),5,FALSE))"),"")</f>
        <v/>
      </c>
      <c r="BG222" s="98" t="str">
        <f t="shared" si="13"/>
        <v/>
      </c>
      <c r="BH222" s="99" t="str">
        <f t="shared" si="14"/>
        <v/>
      </c>
      <c r="BI222" s="100" t="str">
        <f ca="1">IFERROR(__xludf.DUMMYFUNCTION("IFERROR(VLOOKUP(F236,IMPORTRANGE(""https://docs.google.com/spreadsheets/d/1Kvs4KS76FHFqLFIZfrDMff4kP08nblUkihrxltoGBjg/edit#gid=934712705"",""ESENCIAL!A6:BG""),2,FALSE))"),"")</f>
        <v/>
      </c>
      <c r="BJ222" s="19" t="str">
        <f t="shared" si="15"/>
        <v/>
      </c>
      <c r="BK222" s="100"/>
      <c r="BL222" s="100"/>
    </row>
    <row r="223" spans="1:64" ht="15">
      <c r="A223" s="101"/>
      <c r="B223" s="101"/>
      <c r="G223" s="5" t="str">
        <f ca="1">IFERROR(__xludf.DUMMYFUNCTION("IFERROR(VLOOKUP(F237,IMPORTRANGE(""https://docs.google.com/spreadsheets/d/1Kvs4KS76FHFqLFIZfrDMff4kP08nblUkihrxltoGBjg/edit#gid=934712705"",""ESENCIAL!A6:BG""),3,FALSE))"),"")</f>
        <v/>
      </c>
      <c r="H223" s="5" t="str">
        <f ca="1">IFERROR(__xludf.DUMMYFUNCTION("IFERROR(VLOOKUP(F237,IMPORTRANGE(""https://docs.google.com/spreadsheets/d/1Kvs4KS76FHFqLFIZfrDMff4kP08nblUkihrxltoGBjg/edit#gid=934712705"",""ESENCIAL!A6:BG""),8,FALSE))"),"")</f>
        <v/>
      </c>
      <c r="L223" s="287"/>
      <c r="U223" s="40"/>
      <c r="AU223" s="41" t="str">
        <f t="shared" si="12"/>
        <v/>
      </c>
      <c r="AV223" s="5" t="str">
        <f ca="1">IFERROR(__xludf.DUMMYFUNCTION("IFERROR(VLOOKUP(E237&amp;F237,IMPORTRANGE(""https://docs.google.com/spreadsheets/d/1Uw7-A9f9R21vMXxHZFNpYNeKFtG8_yji4HS352LGlSQ/edit?pli=1#gid=0"",""1_ACUM!A4:S""),11,FALSE))"),"")</f>
        <v/>
      </c>
      <c r="AW223" s="42" t="str">
        <f ca="1">IFERROR(__xludf.DUMMYFUNCTION("IFERROR(VLOOKUP(F237,IMPORTRANGE(""https://docs.google.com/spreadsheets/d/1Kvs4KS76FHFqLFIZfrDMff4kP08nblUkihrxltoGBjg/edit#gid=934712705"",""ESENCIAL!A6:BG""),15,FALSE))"),"")</f>
        <v/>
      </c>
      <c r="AX223" s="21" t="str">
        <f ca="1">IFERROR(__xludf.DUMMYFUNCTION("IFERROR(VLOOKUP(E237&amp;F237,IMPORTRANGE(""https://docs.google.com/spreadsheets/d/1Uw7-A9f9R21vMXxHZFNpYNeKFtG8_yji4HS352LGlSQ/edit?pli=1#gid=0"",""1_ACUM!A4:S""),12,FALSE))"),"")</f>
        <v/>
      </c>
      <c r="AY223" s="43" t="str">
        <f ca="1">IFERROR(__xludf.DUMMYFUNCTION("IFERROR(VLOOKUP(E237&amp;F237,IMPORTRANGE(""https://docs.google.com/spreadsheets/d/1Uw7-A9f9R21vMXxHZFNpYNeKFtG8_yji4HS352LGlSQ/edit?pli=1#gid=0"",""1_ACUM!A4:S""),13,FALSE))"),"")</f>
        <v/>
      </c>
      <c r="AZ223" s="43" t="str">
        <f ca="1">IFERROR(__xludf.DUMMYFUNCTION("IFERROR(VLOOKUP(E237&amp;F237,IMPORTRANGE(""https://docs.google.com/spreadsheets/d/1Uw7-A9f9R21vMXxHZFNpYNeKFtG8_yji4HS352LGlSQ/edit?pli=1#gid=0"",""1_ACUM!A4:S""),14,FALSE))"),"")</f>
        <v/>
      </c>
      <c r="BA223" s="43" t="str">
        <f ca="1">IFERROR(__xludf.DUMMYFUNCTION("IFERROR(VLOOKUP(E237&amp;F237,IMPORTRANGE(""https://docs.google.com/spreadsheets/d/1Uw7-A9f9R21vMXxHZFNpYNeKFtG8_yji4HS352LGlSQ/edit?pli=1#gid=0"",""1_ACUM!A4:S""),15,FALSE))"),"")</f>
        <v/>
      </c>
      <c r="BB223" s="43" t="str">
        <f ca="1">IFERROR(__xludf.DUMMYFUNCTION("IFERROR(VLOOKUP(E237&amp;F237,IMPORTRANGE(""https://docs.google.com/spreadsheets/d/1Uw7-A9f9R21vMXxHZFNpYNeKFtG8_yji4HS352LGlSQ/edit?pli=1#gid=0"",""1_ACUM!A4:S""),16,FALSE))"),"")</f>
        <v/>
      </c>
      <c r="BC223" s="43" t="str">
        <f ca="1">IFERROR(__xludf.DUMMYFUNCTION("IFERROR(VLOOKUP(E237&amp;F237,IMPORTRANGE(""https://docs.google.com/spreadsheets/d/1Uw7-A9f9R21vMXxHZFNpYNeKFtG8_yji4HS352LGlSQ/edit?pli=1#gid=0"",""1_ACUM!A4:S""),17,FALSE))"),"")</f>
        <v/>
      </c>
      <c r="BD223" s="44" t="str">
        <f ca="1">IFERROR(__xludf.DUMMYFUNCTION("IFERROR(VLOOKUP(E237&amp;F237,IMPORTRANGE(""https://docs.google.com/spreadsheets/d/1Uw7-A9f9R21vMXxHZFNpYNeKFtG8_yji4HS352LGlSQ/edit?pli=1#gid=0"",""1_ACUM!A4:S""),18,FALSE))"),"")</f>
        <v/>
      </c>
      <c r="BE223" s="44" t="str">
        <f ca="1">IFERROR(__xludf.DUMMYFUNCTION("IFERROR(VLOOKUP(E237&amp;F237,IMPORTRANGE(""https://docs.google.com/spreadsheets/d/1Uw7-A9f9R21vMXxHZFNpYNeKFtG8_yji4HS352LGlSQ/edit?pli=1#gid=0"",""1_ACUM!A4:S""),19,FALSE))"),"")</f>
        <v/>
      </c>
      <c r="BF223" s="98" t="str">
        <f ca="1">IFERROR(__xludf.DUMMYFUNCTION("IFERROR(VLOOKUP(F237,IMPORTRANGE(""https://docs.google.com/spreadsheets/d/1Kvs4KS76FHFqLFIZfrDMff4kP08nblUkihrxltoGBjg/edit#gid=934712705"",""ESENCIAL!A6:BG""),5,FALSE))"),"")</f>
        <v/>
      </c>
      <c r="BG223" s="98" t="str">
        <f t="shared" si="13"/>
        <v/>
      </c>
      <c r="BH223" s="99" t="str">
        <f t="shared" si="14"/>
        <v/>
      </c>
      <c r="BI223" s="100" t="str">
        <f ca="1">IFERROR(__xludf.DUMMYFUNCTION("IFERROR(VLOOKUP(F237,IMPORTRANGE(""https://docs.google.com/spreadsheets/d/1Kvs4KS76FHFqLFIZfrDMff4kP08nblUkihrxltoGBjg/edit#gid=934712705"",""ESENCIAL!A6:BG""),2,FALSE))"),"")</f>
        <v/>
      </c>
      <c r="BJ223" s="19" t="str">
        <f t="shared" si="15"/>
        <v/>
      </c>
      <c r="BK223" s="100"/>
      <c r="BL223" s="100"/>
    </row>
    <row r="224" spans="1:64" ht="15">
      <c r="A224" s="101"/>
      <c r="B224" s="101"/>
      <c r="G224" s="5" t="str">
        <f ca="1">IFERROR(__xludf.DUMMYFUNCTION("IFERROR(VLOOKUP(F238,IMPORTRANGE(""https://docs.google.com/spreadsheets/d/1Kvs4KS76FHFqLFIZfrDMff4kP08nblUkihrxltoGBjg/edit#gid=934712705"",""ESENCIAL!A6:BG""),3,FALSE))"),"")</f>
        <v/>
      </c>
      <c r="H224" s="5" t="str">
        <f ca="1">IFERROR(__xludf.DUMMYFUNCTION("IFERROR(VLOOKUP(F238,IMPORTRANGE(""https://docs.google.com/spreadsheets/d/1Kvs4KS76FHFqLFIZfrDMff4kP08nblUkihrxltoGBjg/edit#gid=934712705"",""ESENCIAL!A6:BG""),8,FALSE))"),"")</f>
        <v/>
      </c>
      <c r="L224" s="287"/>
      <c r="U224" s="40"/>
      <c r="AU224" s="41" t="str">
        <f t="shared" si="12"/>
        <v/>
      </c>
      <c r="AV224" s="5" t="str">
        <f ca="1">IFERROR(__xludf.DUMMYFUNCTION("IFERROR(VLOOKUP(E238&amp;F238,IMPORTRANGE(""https://docs.google.com/spreadsheets/d/1Uw7-A9f9R21vMXxHZFNpYNeKFtG8_yji4HS352LGlSQ/edit?pli=1#gid=0"",""1_ACUM!A4:S""),11,FALSE))"),"")</f>
        <v/>
      </c>
      <c r="AW224" s="42" t="str">
        <f ca="1">IFERROR(__xludf.DUMMYFUNCTION("IFERROR(VLOOKUP(F238,IMPORTRANGE(""https://docs.google.com/spreadsheets/d/1Kvs4KS76FHFqLFIZfrDMff4kP08nblUkihrxltoGBjg/edit#gid=934712705"",""ESENCIAL!A6:BG""),15,FALSE))"),"")</f>
        <v/>
      </c>
      <c r="AX224" s="21" t="str">
        <f ca="1">IFERROR(__xludf.DUMMYFUNCTION("IFERROR(VLOOKUP(E238&amp;F238,IMPORTRANGE(""https://docs.google.com/spreadsheets/d/1Uw7-A9f9R21vMXxHZFNpYNeKFtG8_yji4HS352LGlSQ/edit?pli=1#gid=0"",""1_ACUM!A4:S""),12,FALSE))"),"")</f>
        <v/>
      </c>
      <c r="AY224" s="43" t="str">
        <f ca="1">IFERROR(__xludf.DUMMYFUNCTION("IFERROR(VLOOKUP(E238&amp;F238,IMPORTRANGE(""https://docs.google.com/spreadsheets/d/1Uw7-A9f9R21vMXxHZFNpYNeKFtG8_yji4HS352LGlSQ/edit?pli=1#gid=0"",""1_ACUM!A4:S""),13,FALSE))"),"")</f>
        <v/>
      </c>
      <c r="AZ224" s="43" t="str">
        <f ca="1">IFERROR(__xludf.DUMMYFUNCTION("IFERROR(VLOOKUP(E238&amp;F238,IMPORTRANGE(""https://docs.google.com/spreadsheets/d/1Uw7-A9f9R21vMXxHZFNpYNeKFtG8_yji4HS352LGlSQ/edit?pli=1#gid=0"",""1_ACUM!A4:S""),14,FALSE))"),"")</f>
        <v/>
      </c>
      <c r="BA224" s="43" t="str">
        <f ca="1">IFERROR(__xludf.DUMMYFUNCTION("IFERROR(VLOOKUP(E238&amp;F238,IMPORTRANGE(""https://docs.google.com/spreadsheets/d/1Uw7-A9f9R21vMXxHZFNpYNeKFtG8_yji4HS352LGlSQ/edit?pli=1#gid=0"",""1_ACUM!A4:S""),15,FALSE))"),"")</f>
        <v/>
      </c>
      <c r="BB224" s="43" t="str">
        <f ca="1">IFERROR(__xludf.DUMMYFUNCTION("IFERROR(VLOOKUP(E238&amp;F238,IMPORTRANGE(""https://docs.google.com/spreadsheets/d/1Uw7-A9f9R21vMXxHZFNpYNeKFtG8_yji4HS352LGlSQ/edit?pli=1#gid=0"",""1_ACUM!A4:S""),16,FALSE))"),"")</f>
        <v/>
      </c>
      <c r="BC224" s="43" t="str">
        <f ca="1">IFERROR(__xludf.DUMMYFUNCTION("IFERROR(VLOOKUP(E238&amp;F238,IMPORTRANGE(""https://docs.google.com/spreadsheets/d/1Uw7-A9f9R21vMXxHZFNpYNeKFtG8_yji4HS352LGlSQ/edit?pli=1#gid=0"",""1_ACUM!A4:S""),17,FALSE))"),"")</f>
        <v/>
      </c>
      <c r="BD224" s="44" t="str">
        <f ca="1">IFERROR(__xludf.DUMMYFUNCTION("IFERROR(VLOOKUP(E238&amp;F238,IMPORTRANGE(""https://docs.google.com/spreadsheets/d/1Uw7-A9f9R21vMXxHZFNpYNeKFtG8_yji4HS352LGlSQ/edit?pli=1#gid=0"",""1_ACUM!A4:S""),18,FALSE))"),"")</f>
        <v/>
      </c>
      <c r="BE224" s="44" t="str">
        <f ca="1">IFERROR(__xludf.DUMMYFUNCTION("IFERROR(VLOOKUP(E238&amp;F238,IMPORTRANGE(""https://docs.google.com/spreadsheets/d/1Uw7-A9f9R21vMXxHZFNpYNeKFtG8_yji4HS352LGlSQ/edit?pli=1#gid=0"",""1_ACUM!A4:S""),19,FALSE))"),"")</f>
        <v/>
      </c>
      <c r="BF224" s="98" t="str">
        <f ca="1">IFERROR(__xludf.DUMMYFUNCTION("IFERROR(VLOOKUP(F238,IMPORTRANGE(""https://docs.google.com/spreadsheets/d/1Kvs4KS76FHFqLFIZfrDMff4kP08nblUkihrxltoGBjg/edit#gid=934712705"",""ESENCIAL!A6:BG""),5,FALSE))"),"")</f>
        <v/>
      </c>
      <c r="BG224" s="98" t="str">
        <f t="shared" si="13"/>
        <v/>
      </c>
      <c r="BH224" s="99" t="str">
        <f t="shared" si="14"/>
        <v/>
      </c>
      <c r="BI224" s="100" t="str">
        <f ca="1">IFERROR(__xludf.DUMMYFUNCTION("IFERROR(VLOOKUP(F238,IMPORTRANGE(""https://docs.google.com/spreadsheets/d/1Kvs4KS76FHFqLFIZfrDMff4kP08nblUkihrxltoGBjg/edit#gid=934712705"",""ESENCIAL!A6:BG""),2,FALSE))"),"")</f>
        <v/>
      </c>
      <c r="BJ224" s="19" t="str">
        <f t="shared" si="15"/>
        <v/>
      </c>
      <c r="BK224" s="100"/>
      <c r="BL224" s="100"/>
    </row>
    <row r="225" spans="1:64" ht="15">
      <c r="A225" s="101"/>
      <c r="B225" s="101"/>
      <c r="G225" s="5" t="str">
        <f ca="1">IFERROR(__xludf.DUMMYFUNCTION("IFERROR(VLOOKUP(F239,IMPORTRANGE(""https://docs.google.com/spreadsheets/d/1Kvs4KS76FHFqLFIZfrDMff4kP08nblUkihrxltoGBjg/edit#gid=934712705"",""ESENCIAL!A6:BG""),3,FALSE))"),"")</f>
        <v/>
      </c>
      <c r="H225" s="5" t="str">
        <f ca="1">IFERROR(__xludf.DUMMYFUNCTION("IFERROR(VLOOKUP(F239,IMPORTRANGE(""https://docs.google.com/spreadsheets/d/1Kvs4KS76FHFqLFIZfrDMff4kP08nblUkihrxltoGBjg/edit#gid=934712705"",""ESENCIAL!A6:BG""),8,FALSE))"),"")</f>
        <v/>
      </c>
      <c r="L225" s="287"/>
      <c r="U225" s="40"/>
      <c r="AU225" s="41" t="str">
        <f t="shared" si="12"/>
        <v/>
      </c>
      <c r="AV225" s="5" t="str">
        <f ca="1">IFERROR(__xludf.DUMMYFUNCTION("IFERROR(VLOOKUP(E239&amp;F239,IMPORTRANGE(""https://docs.google.com/spreadsheets/d/1Uw7-A9f9R21vMXxHZFNpYNeKFtG8_yji4HS352LGlSQ/edit?pli=1#gid=0"",""1_ACUM!A4:S""),11,FALSE))"),"")</f>
        <v/>
      </c>
      <c r="AW225" s="42" t="str">
        <f ca="1">IFERROR(__xludf.DUMMYFUNCTION("IFERROR(VLOOKUP(F239,IMPORTRANGE(""https://docs.google.com/spreadsheets/d/1Kvs4KS76FHFqLFIZfrDMff4kP08nblUkihrxltoGBjg/edit#gid=934712705"",""ESENCIAL!A6:BG""),15,FALSE))"),"")</f>
        <v/>
      </c>
      <c r="AX225" s="21" t="str">
        <f ca="1">IFERROR(__xludf.DUMMYFUNCTION("IFERROR(VLOOKUP(E239&amp;F239,IMPORTRANGE(""https://docs.google.com/spreadsheets/d/1Uw7-A9f9R21vMXxHZFNpYNeKFtG8_yji4HS352LGlSQ/edit?pli=1#gid=0"",""1_ACUM!A4:S""),12,FALSE))"),"")</f>
        <v/>
      </c>
      <c r="AY225" s="43" t="str">
        <f ca="1">IFERROR(__xludf.DUMMYFUNCTION("IFERROR(VLOOKUP(E239&amp;F239,IMPORTRANGE(""https://docs.google.com/spreadsheets/d/1Uw7-A9f9R21vMXxHZFNpYNeKFtG8_yji4HS352LGlSQ/edit?pli=1#gid=0"",""1_ACUM!A4:S""),13,FALSE))"),"")</f>
        <v/>
      </c>
      <c r="AZ225" s="43" t="str">
        <f ca="1">IFERROR(__xludf.DUMMYFUNCTION("IFERROR(VLOOKUP(E239&amp;F239,IMPORTRANGE(""https://docs.google.com/spreadsheets/d/1Uw7-A9f9R21vMXxHZFNpYNeKFtG8_yji4HS352LGlSQ/edit?pli=1#gid=0"",""1_ACUM!A4:S""),14,FALSE))"),"")</f>
        <v/>
      </c>
      <c r="BA225" s="43" t="str">
        <f ca="1">IFERROR(__xludf.DUMMYFUNCTION("IFERROR(VLOOKUP(E239&amp;F239,IMPORTRANGE(""https://docs.google.com/spreadsheets/d/1Uw7-A9f9R21vMXxHZFNpYNeKFtG8_yji4HS352LGlSQ/edit?pli=1#gid=0"",""1_ACUM!A4:S""),15,FALSE))"),"")</f>
        <v/>
      </c>
      <c r="BB225" s="43" t="str">
        <f ca="1">IFERROR(__xludf.DUMMYFUNCTION("IFERROR(VLOOKUP(E239&amp;F239,IMPORTRANGE(""https://docs.google.com/spreadsheets/d/1Uw7-A9f9R21vMXxHZFNpYNeKFtG8_yji4HS352LGlSQ/edit?pli=1#gid=0"",""1_ACUM!A4:S""),16,FALSE))"),"")</f>
        <v/>
      </c>
      <c r="BC225" s="43" t="str">
        <f ca="1">IFERROR(__xludf.DUMMYFUNCTION("IFERROR(VLOOKUP(E239&amp;F239,IMPORTRANGE(""https://docs.google.com/spreadsheets/d/1Uw7-A9f9R21vMXxHZFNpYNeKFtG8_yji4HS352LGlSQ/edit?pli=1#gid=0"",""1_ACUM!A4:S""),17,FALSE))"),"")</f>
        <v/>
      </c>
      <c r="BD225" s="44" t="str">
        <f ca="1">IFERROR(__xludf.DUMMYFUNCTION("IFERROR(VLOOKUP(E239&amp;F239,IMPORTRANGE(""https://docs.google.com/spreadsheets/d/1Uw7-A9f9R21vMXxHZFNpYNeKFtG8_yji4HS352LGlSQ/edit?pli=1#gid=0"",""1_ACUM!A4:S""),18,FALSE))"),"")</f>
        <v/>
      </c>
      <c r="BE225" s="44" t="str">
        <f ca="1">IFERROR(__xludf.DUMMYFUNCTION("IFERROR(VLOOKUP(E239&amp;F239,IMPORTRANGE(""https://docs.google.com/spreadsheets/d/1Uw7-A9f9R21vMXxHZFNpYNeKFtG8_yji4HS352LGlSQ/edit?pli=1#gid=0"",""1_ACUM!A4:S""),19,FALSE))"),"")</f>
        <v/>
      </c>
      <c r="BF225" s="98" t="str">
        <f ca="1">IFERROR(__xludf.DUMMYFUNCTION("IFERROR(VLOOKUP(F239,IMPORTRANGE(""https://docs.google.com/spreadsheets/d/1Kvs4KS76FHFqLFIZfrDMff4kP08nblUkihrxltoGBjg/edit#gid=934712705"",""ESENCIAL!A6:BG""),5,FALSE))"),"")</f>
        <v/>
      </c>
      <c r="BG225" s="98" t="str">
        <f t="shared" si="13"/>
        <v/>
      </c>
      <c r="BH225" s="99" t="str">
        <f t="shared" si="14"/>
        <v/>
      </c>
      <c r="BI225" s="100" t="str">
        <f ca="1">IFERROR(__xludf.DUMMYFUNCTION("IFERROR(VLOOKUP(F239,IMPORTRANGE(""https://docs.google.com/spreadsheets/d/1Kvs4KS76FHFqLFIZfrDMff4kP08nblUkihrxltoGBjg/edit#gid=934712705"",""ESENCIAL!A6:BG""),2,FALSE))"),"")</f>
        <v/>
      </c>
      <c r="BJ225" s="19" t="str">
        <f t="shared" si="15"/>
        <v/>
      </c>
      <c r="BK225" s="100"/>
      <c r="BL225" s="100"/>
    </row>
    <row r="226" spans="1:64" ht="15">
      <c r="A226" s="101"/>
      <c r="B226" s="101"/>
      <c r="G226" s="5" t="str">
        <f ca="1">IFERROR(__xludf.DUMMYFUNCTION("IFERROR(VLOOKUP(F240,IMPORTRANGE(""https://docs.google.com/spreadsheets/d/1Kvs4KS76FHFqLFIZfrDMff4kP08nblUkihrxltoGBjg/edit#gid=934712705"",""ESENCIAL!A6:BG""),3,FALSE))"),"")</f>
        <v/>
      </c>
      <c r="H226" s="5" t="str">
        <f ca="1">IFERROR(__xludf.DUMMYFUNCTION("IFERROR(VLOOKUP(F240,IMPORTRANGE(""https://docs.google.com/spreadsheets/d/1Kvs4KS76FHFqLFIZfrDMff4kP08nblUkihrxltoGBjg/edit#gid=934712705"",""ESENCIAL!A6:BG""),8,FALSE))"),"")</f>
        <v/>
      </c>
      <c r="L226" s="287"/>
      <c r="U226" s="40"/>
      <c r="AU226" s="41" t="str">
        <f t="shared" si="12"/>
        <v/>
      </c>
      <c r="AV226" s="5" t="str">
        <f ca="1">IFERROR(__xludf.DUMMYFUNCTION("IFERROR(VLOOKUP(E240&amp;F240,IMPORTRANGE(""https://docs.google.com/spreadsheets/d/1Uw7-A9f9R21vMXxHZFNpYNeKFtG8_yji4HS352LGlSQ/edit?pli=1#gid=0"",""1_ACUM!A4:S""),11,FALSE))"),"")</f>
        <v/>
      </c>
      <c r="AW226" s="42" t="str">
        <f ca="1">IFERROR(__xludf.DUMMYFUNCTION("IFERROR(VLOOKUP(F240,IMPORTRANGE(""https://docs.google.com/spreadsheets/d/1Kvs4KS76FHFqLFIZfrDMff4kP08nblUkihrxltoGBjg/edit#gid=934712705"",""ESENCIAL!A6:BG""),15,FALSE))"),"")</f>
        <v/>
      </c>
      <c r="AX226" s="21" t="str">
        <f ca="1">IFERROR(__xludf.DUMMYFUNCTION("IFERROR(VLOOKUP(E240&amp;F240,IMPORTRANGE(""https://docs.google.com/spreadsheets/d/1Uw7-A9f9R21vMXxHZFNpYNeKFtG8_yji4HS352LGlSQ/edit?pli=1#gid=0"",""1_ACUM!A4:S""),12,FALSE))"),"")</f>
        <v/>
      </c>
      <c r="AY226" s="43" t="str">
        <f ca="1">IFERROR(__xludf.DUMMYFUNCTION("IFERROR(VLOOKUP(E240&amp;F240,IMPORTRANGE(""https://docs.google.com/spreadsheets/d/1Uw7-A9f9R21vMXxHZFNpYNeKFtG8_yji4HS352LGlSQ/edit?pli=1#gid=0"",""1_ACUM!A4:S""),13,FALSE))"),"")</f>
        <v/>
      </c>
      <c r="AZ226" s="43" t="str">
        <f ca="1">IFERROR(__xludf.DUMMYFUNCTION("IFERROR(VLOOKUP(E240&amp;F240,IMPORTRANGE(""https://docs.google.com/spreadsheets/d/1Uw7-A9f9R21vMXxHZFNpYNeKFtG8_yji4HS352LGlSQ/edit?pli=1#gid=0"",""1_ACUM!A4:S""),14,FALSE))"),"")</f>
        <v/>
      </c>
      <c r="BA226" s="43" t="str">
        <f ca="1">IFERROR(__xludf.DUMMYFUNCTION("IFERROR(VLOOKUP(E240&amp;F240,IMPORTRANGE(""https://docs.google.com/spreadsheets/d/1Uw7-A9f9R21vMXxHZFNpYNeKFtG8_yji4HS352LGlSQ/edit?pli=1#gid=0"",""1_ACUM!A4:S""),15,FALSE))"),"")</f>
        <v/>
      </c>
      <c r="BB226" s="43" t="str">
        <f ca="1">IFERROR(__xludf.DUMMYFUNCTION("IFERROR(VLOOKUP(E240&amp;F240,IMPORTRANGE(""https://docs.google.com/spreadsheets/d/1Uw7-A9f9R21vMXxHZFNpYNeKFtG8_yji4HS352LGlSQ/edit?pli=1#gid=0"",""1_ACUM!A4:S""),16,FALSE))"),"")</f>
        <v/>
      </c>
      <c r="BC226" s="43" t="str">
        <f ca="1">IFERROR(__xludf.DUMMYFUNCTION("IFERROR(VLOOKUP(E240&amp;F240,IMPORTRANGE(""https://docs.google.com/spreadsheets/d/1Uw7-A9f9R21vMXxHZFNpYNeKFtG8_yji4HS352LGlSQ/edit?pli=1#gid=0"",""1_ACUM!A4:S""),17,FALSE))"),"")</f>
        <v/>
      </c>
      <c r="BD226" s="44" t="str">
        <f ca="1">IFERROR(__xludf.DUMMYFUNCTION("IFERROR(VLOOKUP(E240&amp;F240,IMPORTRANGE(""https://docs.google.com/spreadsheets/d/1Uw7-A9f9R21vMXxHZFNpYNeKFtG8_yji4HS352LGlSQ/edit?pli=1#gid=0"",""1_ACUM!A4:S""),18,FALSE))"),"")</f>
        <v/>
      </c>
      <c r="BE226" s="44" t="str">
        <f ca="1">IFERROR(__xludf.DUMMYFUNCTION("IFERROR(VLOOKUP(E240&amp;F240,IMPORTRANGE(""https://docs.google.com/spreadsheets/d/1Uw7-A9f9R21vMXxHZFNpYNeKFtG8_yji4HS352LGlSQ/edit?pli=1#gid=0"",""1_ACUM!A4:S""),19,FALSE))"),"")</f>
        <v/>
      </c>
      <c r="BF226" s="98" t="str">
        <f ca="1">IFERROR(__xludf.DUMMYFUNCTION("IFERROR(VLOOKUP(F240,IMPORTRANGE(""https://docs.google.com/spreadsheets/d/1Kvs4KS76FHFqLFIZfrDMff4kP08nblUkihrxltoGBjg/edit#gid=934712705"",""ESENCIAL!A6:BG""),5,FALSE))"),"")</f>
        <v/>
      </c>
      <c r="BG226" s="98" t="str">
        <f t="shared" si="13"/>
        <v/>
      </c>
      <c r="BH226" s="99" t="str">
        <f t="shared" si="14"/>
        <v/>
      </c>
      <c r="BI226" s="100" t="str">
        <f ca="1">IFERROR(__xludf.DUMMYFUNCTION("IFERROR(VLOOKUP(F240,IMPORTRANGE(""https://docs.google.com/spreadsheets/d/1Kvs4KS76FHFqLFIZfrDMff4kP08nblUkihrxltoGBjg/edit#gid=934712705"",""ESENCIAL!A6:BG""),2,FALSE))"),"")</f>
        <v/>
      </c>
      <c r="BJ226" s="19" t="str">
        <f t="shared" si="15"/>
        <v/>
      </c>
      <c r="BK226" s="100"/>
      <c r="BL226" s="100"/>
    </row>
    <row r="227" spans="1:64" ht="15">
      <c r="A227" s="101"/>
      <c r="B227" s="101"/>
      <c r="G227" s="5" t="str">
        <f ca="1">IFERROR(__xludf.DUMMYFUNCTION("IFERROR(VLOOKUP(F241,IMPORTRANGE(""https://docs.google.com/spreadsheets/d/1Kvs4KS76FHFqLFIZfrDMff4kP08nblUkihrxltoGBjg/edit#gid=934712705"",""ESENCIAL!A6:BG""),3,FALSE))"),"")</f>
        <v/>
      </c>
      <c r="H227" s="5" t="str">
        <f ca="1">IFERROR(__xludf.DUMMYFUNCTION("IFERROR(VLOOKUP(F241,IMPORTRANGE(""https://docs.google.com/spreadsheets/d/1Kvs4KS76FHFqLFIZfrDMff4kP08nblUkihrxltoGBjg/edit#gid=934712705"",""ESENCIAL!A6:BG""),8,FALSE))"),"")</f>
        <v/>
      </c>
      <c r="L227" s="287"/>
      <c r="U227" s="40"/>
      <c r="AU227" s="41" t="str">
        <f t="shared" si="12"/>
        <v/>
      </c>
      <c r="AV227" s="5" t="str">
        <f ca="1">IFERROR(__xludf.DUMMYFUNCTION("IFERROR(VLOOKUP(E241&amp;F241,IMPORTRANGE(""https://docs.google.com/spreadsheets/d/1Uw7-A9f9R21vMXxHZFNpYNeKFtG8_yji4HS352LGlSQ/edit?pli=1#gid=0"",""1_ACUM!A4:S""),11,FALSE))"),"")</f>
        <v/>
      </c>
      <c r="AW227" s="42" t="str">
        <f ca="1">IFERROR(__xludf.DUMMYFUNCTION("IFERROR(VLOOKUP(F241,IMPORTRANGE(""https://docs.google.com/spreadsheets/d/1Kvs4KS76FHFqLFIZfrDMff4kP08nblUkihrxltoGBjg/edit#gid=934712705"",""ESENCIAL!A6:BG""),15,FALSE))"),"")</f>
        <v/>
      </c>
      <c r="AX227" s="21" t="str">
        <f ca="1">IFERROR(__xludf.DUMMYFUNCTION("IFERROR(VLOOKUP(E241&amp;F241,IMPORTRANGE(""https://docs.google.com/spreadsheets/d/1Uw7-A9f9R21vMXxHZFNpYNeKFtG8_yji4HS352LGlSQ/edit?pli=1#gid=0"",""1_ACUM!A4:S""),12,FALSE))"),"")</f>
        <v/>
      </c>
      <c r="AY227" s="43" t="str">
        <f ca="1">IFERROR(__xludf.DUMMYFUNCTION("IFERROR(VLOOKUP(E241&amp;F241,IMPORTRANGE(""https://docs.google.com/spreadsheets/d/1Uw7-A9f9R21vMXxHZFNpYNeKFtG8_yji4HS352LGlSQ/edit?pli=1#gid=0"",""1_ACUM!A4:S""),13,FALSE))"),"")</f>
        <v/>
      </c>
      <c r="AZ227" s="43" t="str">
        <f ca="1">IFERROR(__xludf.DUMMYFUNCTION("IFERROR(VLOOKUP(E241&amp;F241,IMPORTRANGE(""https://docs.google.com/spreadsheets/d/1Uw7-A9f9R21vMXxHZFNpYNeKFtG8_yji4HS352LGlSQ/edit?pli=1#gid=0"",""1_ACUM!A4:S""),14,FALSE))"),"")</f>
        <v/>
      </c>
      <c r="BA227" s="43" t="str">
        <f ca="1">IFERROR(__xludf.DUMMYFUNCTION("IFERROR(VLOOKUP(E241&amp;F241,IMPORTRANGE(""https://docs.google.com/spreadsheets/d/1Uw7-A9f9R21vMXxHZFNpYNeKFtG8_yji4HS352LGlSQ/edit?pli=1#gid=0"",""1_ACUM!A4:S""),15,FALSE))"),"")</f>
        <v/>
      </c>
      <c r="BB227" s="43" t="str">
        <f ca="1">IFERROR(__xludf.DUMMYFUNCTION("IFERROR(VLOOKUP(E241&amp;F241,IMPORTRANGE(""https://docs.google.com/spreadsheets/d/1Uw7-A9f9R21vMXxHZFNpYNeKFtG8_yji4HS352LGlSQ/edit?pli=1#gid=0"",""1_ACUM!A4:S""),16,FALSE))"),"")</f>
        <v/>
      </c>
      <c r="BC227" s="43" t="str">
        <f ca="1">IFERROR(__xludf.DUMMYFUNCTION("IFERROR(VLOOKUP(E241&amp;F241,IMPORTRANGE(""https://docs.google.com/spreadsheets/d/1Uw7-A9f9R21vMXxHZFNpYNeKFtG8_yji4HS352LGlSQ/edit?pli=1#gid=0"",""1_ACUM!A4:S""),17,FALSE))"),"")</f>
        <v/>
      </c>
      <c r="BD227" s="44" t="str">
        <f ca="1">IFERROR(__xludf.DUMMYFUNCTION("IFERROR(VLOOKUP(E241&amp;F241,IMPORTRANGE(""https://docs.google.com/spreadsheets/d/1Uw7-A9f9R21vMXxHZFNpYNeKFtG8_yji4HS352LGlSQ/edit?pli=1#gid=0"",""1_ACUM!A4:S""),18,FALSE))"),"")</f>
        <v/>
      </c>
      <c r="BE227" s="44" t="str">
        <f ca="1">IFERROR(__xludf.DUMMYFUNCTION("IFERROR(VLOOKUP(E241&amp;F241,IMPORTRANGE(""https://docs.google.com/spreadsheets/d/1Uw7-A9f9R21vMXxHZFNpYNeKFtG8_yji4HS352LGlSQ/edit?pli=1#gid=0"",""1_ACUM!A4:S""),19,FALSE))"),"")</f>
        <v/>
      </c>
      <c r="BF227" s="98" t="str">
        <f ca="1">IFERROR(__xludf.DUMMYFUNCTION("IFERROR(VLOOKUP(F241,IMPORTRANGE(""https://docs.google.com/spreadsheets/d/1Kvs4KS76FHFqLFIZfrDMff4kP08nblUkihrxltoGBjg/edit#gid=934712705"",""ESENCIAL!A6:BG""),5,FALSE))"),"")</f>
        <v/>
      </c>
      <c r="BG227" s="98" t="str">
        <f t="shared" si="13"/>
        <v/>
      </c>
      <c r="BH227" s="99" t="str">
        <f t="shared" si="14"/>
        <v/>
      </c>
      <c r="BI227" s="100" t="str">
        <f ca="1">IFERROR(__xludf.DUMMYFUNCTION("IFERROR(VLOOKUP(F241,IMPORTRANGE(""https://docs.google.com/spreadsheets/d/1Kvs4KS76FHFqLFIZfrDMff4kP08nblUkihrxltoGBjg/edit#gid=934712705"",""ESENCIAL!A6:BG""),2,FALSE))"),"")</f>
        <v/>
      </c>
      <c r="BJ227" s="19" t="str">
        <f t="shared" si="15"/>
        <v/>
      </c>
      <c r="BK227" s="100"/>
      <c r="BL227" s="100"/>
    </row>
    <row r="228" spans="1:64" ht="15">
      <c r="A228" s="101"/>
      <c r="B228" s="101"/>
      <c r="G228" s="5" t="str">
        <f ca="1">IFERROR(__xludf.DUMMYFUNCTION("IFERROR(VLOOKUP(F242,IMPORTRANGE(""https://docs.google.com/spreadsheets/d/1Kvs4KS76FHFqLFIZfrDMff4kP08nblUkihrxltoGBjg/edit#gid=934712705"",""ESENCIAL!A6:BG""),3,FALSE))"),"")</f>
        <v/>
      </c>
      <c r="H228" s="5" t="str">
        <f ca="1">IFERROR(__xludf.DUMMYFUNCTION("IFERROR(VLOOKUP(F242,IMPORTRANGE(""https://docs.google.com/spreadsheets/d/1Kvs4KS76FHFqLFIZfrDMff4kP08nblUkihrxltoGBjg/edit#gid=934712705"",""ESENCIAL!A6:BG""),8,FALSE))"),"")</f>
        <v/>
      </c>
      <c r="L228" s="287"/>
      <c r="U228" s="40"/>
      <c r="AU228" s="41" t="str">
        <f t="shared" si="12"/>
        <v/>
      </c>
      <c r="AV228" s="5" t="str">
        <f ca="1">IFERROR(__xludf.DUMMYFUNCTION("IFERROR(VLOOKUP(E242&amp;F242,IMPORTRANGE(""https://docs.google.com/spreadsheets/d/1Uw7-A9f9R21vMXxHZFNpYNeKFtG8_yji4HS352LGlSQ/edit?pli=1#gid=0"",""1_ACUM!A4:S""),11,FALSE))"),"")</f>
        <v/>
      </c>
      <c r="AW228" s="42" t="str">
        <f ca="1">IFERROR(__xludf.DUMMYFUNCTION("IFERROR(VLOOKUP(F242,IMPORTRANGE(""https://docs.google.com/spreadsheets/d/1Kvs4KS76FHFqLFIZfrDMff4kP08nblUkihrxltoGBjg/edit#gid=934712705"",""ESENCIAL!A6:BG""),15,FALSE))"),"")</f>
        <v/>
      </c>
      <c r="AX228" s="21" t="str">
        <f ca="1">IFERROR(__xludf.DUMMYFUNCTION("IFERROR(VLOOKUP(E242&amp;F242,IMPORTRANGE(""https://docs.google.com/spreadsheets/d/1Uw7-A9f9R21vMXxHZFNpYNeKFtG8_yji4HS352LGlSQ/edit?pli=1#gid=0"",""1_ACUM!A4:S""),12,FALSE))"),"")</f>
        <v/>
      </c>
      <c r="AY228" s="43" t="str">
        <f ca="1">IFERROR(__xludf.DUMMYFUNCTION("IFERROR(VLOOKUP(E242&amp;F242,IMPORTRANGE(""https://docs.google.com/spreadsheets/d/1Uw7-A9f9R21vMXxHZFNpYNeKFtG8_yji4HS352LGlSQ/edit?pli=1#gid=0"",""1_ACUM!A4:S""),13,FALSE))"),"")</f>
        <v/>
      </c>
      <c r="AZ228" s="43" t="str">
        <f ca="1">IFERROR(__xludf.DUMMYFUNCTION("IFERROR(VLOOKUP(E242&amp;F242,IMPORTRANGE(""https://docs.google.com/spreadsheets/d/1Uw7-A9f9R21vMXxHZFNpYNeKFtG8_yji4HS352LGlSQ/edit?pli=1#gid=0"",""1_ACUM!A4:S""),14,FALSE))"),"")</f>
        <v/>
      </c>
      <c r="BA228" s="43" t="str">
        <f ca="1">IFERROR(__xludf.DUMMYFUNCTION("IFERROR(VLOOKUP(E242&amp;F242,IMPORTRANGE(""https://docs.google.com/spreadsheets/d/1Uw7-A9f9R21vMXxHZFNpYNeKFtG8_yji4HS352LGlSQ/edit?pli=1#gid=0"",""1_ACUM!A4:S""),15,FALSE))"),"")</f>
        <v/>
      </c>
      <c r="BB228" s="43" t="str">
        <f ca="1">IFERROR(__xludf.DUMMYFUNCTION("IFERROR(VLOOKUP(E242&amp;F242,IMPORTRANGE(""https://docs.google.com/spreadsheets/d/1Uw7-A9f9R21vMXxHZFNpYNeKFtG8_yji4HS352LGlSQ/edit?pli=1#gid=0"",""1_ACUM!A4:S""),16,FALSE))"),"")</f>
        <v/>
      </c>
      <c r="BC228" s="43" t="str">
        <f ca="1">IFERROR(__xludf.DUMMYFUNCTION("IFERROR(VLOOKUP(E242&amp;F242,IMPORTRANGE(""https://docs.google.com/spreadsheets/d/1Uw7-A9f9R21vMXxHZFNpYNeKFtG8_yji4HS352LGlSQ/edit?pli=1#gid=0"",""1_ACUM!A4:S""),17,FALSE))"),"")</f>
        <v/>
      </c>
      <c r="BD228" s="44" t="str">
        <f ca="1">IFERROR(__xludf.DUMMYFUNCTION("IFERROR(VLOOKUP(E242&amp;F242,IMPORTRANGE(""https://docs.google.com/spreadsheets/d/1Uw7-A9f9R21vMXxHZFNpYNeKFtG8_yji4HS352LGlSQ/edit?pli=1#gid=0"",""1_ACUM!A4:S""),18,FALSE))"),"")</f>
        <v/>
      </c>
      <c r="BE228" s="44" t="str">
        <f ca="1">IFERROR(__xludf.DUMMYFUNCTION("IFERROR(VLOOKUP(E242&amp;F242,IMPORTRANGE(""https://docs.google.com/spreadsheets/d/1Uw7-A9f9R21vMXxHZFNpYNeKFtG8_yji4HS352LGlSQ/edit?pli=1#gid=0"",""1_ACUM!A4:S""),19,FALSE))"),"")</f>
        <v/>
      </c>
      <c r="BF228" s="98" t="str">
        <f ca="1">IFERROR(__xludf.DUMMYFUNCTION("IFERROR(VLOOKUP(F242,IMPORTRANGE(""https://docs.google.com/spreadsheets/d/1Kvs4KS76FHFqLFIZfrDMff4kP08nblUkihrxltoGBjg/edit#gid=934712705"",""ESENCIAL!A6:BG""),5,FALSE))"),"")</f>
        <v/>
      </c>
      <c r="BG228" s="98" t="str">
        <f t="shared" si="13"/>
        <v/>
      </c>
      <c r="BH228" s="99" t="str">
        <f t="shared" si="14"/>
        <v/>
      </c>
      <c r="BI228" s="100" t="str">
        <f ca="1">IFERROR(__xludf.DUMMYFUNCTION("IFERROR(VLOOKUP(F242,IMPORTRANGE(""https://docs.google.com/spreadsheets/d/1Kvs4KS76FHFqLFIZfrDMff4kP08nblUkihrxltoGBjg/edit#gid=934712705"",""ESENCIAL!A6:BG""),2,FALSE))"),"")</f>
        <v/>
      </c>
      <c r="BJ228" s="19" t="str">
        <f t="shared" si="15"/>
        <v/>
      </c>
      <c r="BK228" s="100"/>
      <c r="BL228" s="100"/>
    </row>
    <row r="229" spans="1:64" ht="15">
      <c r="A229" s="101"/>
      <c r="B229" s="101"/>
      <c r="G229" s="5" t="str">
        <f ca="1">IFERROR(__xludf.DUMMYFUNCTION("IFERROR(VLOOKUP(F243,IMPORTRANGE(""https://docs.google.com/spreadsheets/d/1Kvs4KS76FHFqLFIZfrDMff4kP08nblUkihrxltoGBjg/edit#gid=934712705"",""ESENCIAL!A6:BG""),3,FALSE))"),"")</f>
        <v/>
      </c>
      <c r="H229" s="5" t="str">
        <f ca="1">IFERROR(__xludf.DUMMYFUNCTION("IFERROR(VLOOKUP(F243,IMPORTRANGE(""https://docs.google.com/spreadsheets/d/1Kvs4KS76FHFqLFIZfrDMff4kP08nblUkihrxltoGBjg/edit#gid=934712705"",""ESENCIAL!A6:BG""),8,FALSE))"),"")</f>
        <v/>
      </c>
      <c r="L229" s="287"/>
      <c r="U229" s="40"/>
      <c r="AU229" s="41" t="str">
        <f t="shared" si="12"/>
        <v/>
      </c>
      <c r="AV229" s="5" t="str">
        <f ca="1">IFERROR(__xludf.DUMMYFUNCTION("IFERROR(VLOOKUP(E243&amp;F243,IMPORTRANGE(""https://docs.google.com/spreadsheets/d/1Uw7-A9f9R21vMXxHZFNpYNeKFtG8_yji4HS352LGlSQ/edit?pli=1#gid=0"",""1_ACUM!A4:S""),11,FALSE))"),"")</f>
        <v/>
      </c>
      <c r="AW229" s="42" t="str">
        <f ca="1">IFERROR(__xludf.DUMMYFUNCTION("IFERROR(VLOOKUP(F243,IMPORTRANGE(""https://docs.google.com/spreadsheets/d/1Kvs4KS76FHFqLFIZfrDMff4kP08nblUkihrxltoGBjg/edit#gid=934712705"",""ESENCIAL!A6:BG""),15,FALSE))"),"")</f>
        <v/>
      </c>
      <c r="AX229" s="21" t="str">
        <f ca="1">IFERROR(__xludf.DUMMYFUNCTION("IFERROR(VLOOKUP(E243&amp;F243,IMPORTRANGE(""https://docs.google.com/spreadsheets/d/1Uw7-A9f9R21vMXxHZFNpYNeKFtG8_yji4HS352LGlSQ/edit?pli=1#gid=0"",""1_ACUM!A4:S""),12,FALSE))"),"")</f>
        <v/>
      </c>
      <c r="AY229" s="43" t="str">
        <f ca="1">IFERROR(__xludf.DUMMYFUNCTION("IFERROR(VLOOKUP(E243&amp;F243,IMPORTRANGE(""https://docs.google.com/spreadsheets/d/1Uw7-A9f9R21vMXxHZFNpYNeKFtG8_yji4HS352LGlSQ/edit?pli=1#gid=0"",""1_ACUM!A4:S""),13,FALSE))"),"")</f>
        <v/>
      </c>
      <c r="AZ229" s="43" t="str">
        <f ca="1">IFERROR(__xludf.DUMMYFUNCTION("IFERROR(VLOOKUP(E243&amp;F243,IMPORTRANGE(""https://docs.google.com/spreadsheets/d/1Uw7-A9f9R21vMXxHZFNpYNeKFtG8_yji4HS352LGlSQ/edit?pli=1#gid=0"",""1_ACUM!A4:S""),14,FALSE))"),"")</f>
        <v/>
      </c>
      <c r="BA229" s="43" t="str">
        <f ca="1">IFERROR(__xludf.DUMMYFUNCTION("IFERROR(VLOOKUP(E243&amp;F243,IMPORTRANGE(""https://docs.google.com/spreadsheets/d/1Uw7-A9f9R21vMXxHZFNpYNeKFtG8_yji4HS352LGlSQ/edit?pli=1#gid=0"",""1_ACUM!A4:S""),15,FALSE))"),"")</f>
        <v/>
      </c>
      <c r="BB229" s="43" t="str">
        <f ca="1">IFERROR(__xludf.DUMMYFUNCTION("IFERROR(VLOOKUP(E243&amp;F243,IMPORTRANGE(""https://docs.google.com/spreadsheets/d/1Uw7-A9f9R21vMXxHZFNpYNeKFtG8_yji4HS352LGlSQ/edit?pli=1#gid=0"",""1_ACUM!A4:S""),16,FALSE))"),"")</f>
        <v/>
      </c>
      <c r="BC229" s="43" t="str">
        <f ca="1">IFERROR(__xludf.DUMMYFUNCTION("IFERROR(VLOOKUP(E243&amp;F243,IMPORTRANGE(""https://docs.google.com/spreadsheets/d/1Uw7-A9f9R21vMXxHZFNpYNeKFtG8_yji4HS352LGlSQ/edit?pli=1#gid=0"",""1_ACUM!A4:S""),17,FALSE))"),"")</f>
        <v/>
      </c>
      <c r="BD229" s="44" t="str">
        <f ca="1">IFERROR(__xludf.DUMMYFUNCTION("IFERROR(VLOOKUP(E243&amp;F243,IMPORTRANGE(""https://docs.google.com/spreadsheets/d/1Uw7-A9f9R21vMXxHZFNpYNeKFtG8_yji4HS352LGlSQ/edit?pli=1#gid=0"",""1_ACUM!A4:S""),18,FALSE))"),"")</f>
        <v/>
      </c>
      <c r="BE229" s="44" t="str">
        <f ca="1">IFERROR(__xludf.DUMMYFUNCTION("IFERROR(VLOOKUP(E243&amp;F243,IMPORTRANGE(""https://docs.google.com/spreadsheets/d/1Uw7-A9f9R21vMXxHZFNpYNeKFtG8_yji4HS352LGlSQ/edit?pli=1#gid=0"",""1_ACUM!A4:S""),19,FALSE))"),"")</f>
        <v/>
      </c>
      <c r="BF229" s="98" t="str">
        <f ca="1">IFERROR(__xludf.DUMMYFUNCTION("IFERROR(VLOOKUP(F243,IMPORTRANGE(""https://docs.google.com/spreadsheets/d/1Kvs4KS76FHFqLFIZfrDMff4kP08nblUkihrxltoGBjg/edit#gid=934712705"",""ESENCIAL!A6:BG""),5,FALSE))"),"")</f>
        <v/>
      </c>
      <c r="BG229" s="98" t="str">
        <f t="shared" si="13"/>
        <v/>
      </c>
      <c r="BH229" s="99" t="str">
        <f t="shared" si="14"/>
        <v/>
      </c>
      <c r="BI229" s="100" t="str">
        <f ca="1">IFERROR(__xludf.DUMMYFUNCTION("IFERROR(VLOOKUP(F243,IMPORTRANGE(""https://docs.google.com/spreadsheets/d/1Kvs4KS76FHFqLFIZfrDMff4kP08nblUkihrxltoGBjg/edit#gid=934712705"",""ESENCIAL!A6:BG""),2,FALSE))"),"")</f>
        <v/>
      </c>
      <c r="BJ229" s="19" t="str">
        <f t="shared" si="15"/>
        <v/>
      </c>
      <c r="BK229" s="100"/>
      <c r="BL229" s="100"/>
    </row>
    <row r="230" spans="1:64" ht="15">
      <c r="A230" s="101"/>
      <c r="B230" s="101"/>
      <c r="G230" s="5" t="str">
        <f ca="1">IFERROR(__xludf.DUMMYFUNCTION("IFERROR(VLOOKUP(F244,IMPORTRANGE(""https://docs.google.com/spreadsheets/d/1Kvs4KS76FHFqLFIZfrDMff4kP08nblUkihrxltoGBjg/edit#gid=934712705"",""ESENCIAL!A6:BG""),3,FALSE))"),"")</f>
        <v/>
      </c>
      <c r="H230" s="5" t="str">
        <f ca="1">IFERROR(__xludf.DUMMYFUNCTION("IFERROR(VLOOKUP(F244,IMPORTRANGE(""https://docs.google.com/spreadsheets/d/1Kvs4KS76FHFqLFIZfrDMff4kP08nblUkihrxltoGBjg/edit#gid=934712705"",""ESENCIAL!A6:BG""),8,FALSE))"),"")</f>
        <v/>
      </c>
      <c r="L230" s="287"/>
      <c r="U230" s="40"/>
      <c r="AU230" s="41" t="str">
        <f t="shared" si="12"/>
        <v/>
      </c>
      <c r="AV230" s="5" t="str">
        <f ca="1">IFERROR(__xludf.DUMMYFUNCTION("IFERROR(VLOOKUP(E244&amp;F244,IMPORTRANGE(""https://docs.google.com/spreadsheets/d/1Uw7-A9f9R21vMXxHZFNpYNeKFtG8_yji4HS352LGlSQ/edit?pli=1#gid=0"",""1_ACUM!A4:S""),11,FALSE))"),"")</f>
        <v/>
      </c>
      <c r="AW230" s="42" t="str">
        <f ca="1">IFERROR(__xludf.DUMMYFUNCTION("IFERROR(VLOOKUP(F244,IMPORTRANGE(""https://docs.google.com/spreadsheets/d/1Kvs4KS76FHFqLFIZfrDMff4kP08nblUkihrxltoGBjg/edit#gid=934712705"",""ESENCIAL!A6:BG""),15,FALSE))"),"")</f>
        <v/>
      </c>
      <c r="AX230" s="21" t="str">
        <f ca="1">IFERROR(__xludf.DUMMYFUNCTION("IFERROR(VLOOKUP(E244&amp;F244,IMPORTRANGE(""https://docs.google.com/spreadsheets/d/1Uw7-A9f9R21vMXxHZFNpYNeKFtG8_yji4HS352LGlSQ/edit?pli=1#gid=0"",""1_ACUM!A4:S""),12,FALSE))"),"")</f>
        <v/>
      </c>
      <c r="AY230" s="43" t="str">
        <f ca="1">IFERROR(__xludf.DUMMYFUNCTION("IFERROR(VLOOKUP(E244&amp;F244,IMPORTRANGE(""https://docs.google.com/spreadsheets/d/1Uw7-A9f9R21vMXxHZFNpYNeKFtG8_yji4HS352LGlSQ/edit?pli=1#gid=0"",""1_ACUM!A4:S""),13,FALSE))"),"")</f>
        <v/>
      </c>
      <c r="AZ230" s="43" t="str">
        <f ca="1">IFERROR(__xludf.DUMMYFUNCTION("IFERROR(VLOOKUP(E244&amp;F244,IMPORTRANGE(""https://docs.google.com/spreadsheets/d/1Uw7-A9f9R21vMXxHZFNpYNeKFtG8_yji4HS352LGlSQ/edit?pli=1#gid=0"",""1_ACUM!A4:S""),14,FALSE))"),"")</f>
        <v/>
      </c>
      <c r="BA230" s="43" t="str">
        <f ca="1">IFERROR(__xludf.DUMMYFUNCTION("IFERROR(VLOOKUP(E244&amp;F244,IMPORTRANGE(""https://docs.google.com/spreadsheets/d/1Uw7-A9f9R21vMXxHZFNpYNeKFtG8_yji4HS352LGlSQ/edit?pli=1#gid=0"",""1_ACUM!A4:S""),15,FALSE))"),"")</f>
        <v/>
      </c>
      <c r="BB230" s="43" t="str">
        <f ca="1">IFERROR(__xludf.DUMMYFUNCTION("IFERROR(VLOOKUP(E244&amp;F244,IMPORTRANGE(""https://docs.google.com/spreadsheets/d/1Uw7-A9f9R21vMXxHZFNpYNeKFtG8_yji4HS352LGlSQ/edit?pli=1#gid=0"",""1_ACUM!A4:S""),16,FALSE))"),"")</f>
        <v/>
      </c>
      <c r="BC230" s="43" t="str">
        <f ca="1">IFERROR(__xludf.DUMMYFUNCTION("IFERROR(VLOOKUP(E244&amp;F244,IMPORTRANGE(""https://docs.google.com/spreadsheets/d/1Uw7-A9f9R21vMXxHZFNpYNeKFtG8_yji4HS352LGlSQ/edit?pli=1#gid=0"",""1_ACUM!A4:S""),17,FALSE))"),"")</f>
        <v/>
      </c>
      <c r="BD230" s="44" t="str">
        <f ca="1">IFERROR(__xludf.DUMMYFUNCTION("IFERROR(VLOOKUP(E244&amp;F244,IMPORTRANGE(""https://docs.google.com/spreadsheets/d/1Uw7-A9f9R21vMXxHZFNpYNeKFtG8_yji4HS352LGlSQ/edit?pli=1#gid=0"",""1_ACUM!A4:S""),18,FALSE))"),"")</f>
        <v/>
      </c>
      <c r="BE230" s="44" t="str">
        <f ca="1">IFERROR(__xludf.DUMMYFUNCTION("IFERROR(VLOOKUP(E244&amp;F244,IMPORTRANGE(""https://docs.google.com/spreadsheets/d/1Uw7-A9f9R21vMXxHZFNpYNeKFtG8_yji4HS352LGlSQ/edit?pli=1#gid=0"",""1_ACUM!A4:S""),19,FALSE))"),"")</f>
        <v/>
      </c>
      <c r="BF230" s="98" t="str">
        <f ca="1">IFERROR(__xludf.DUMMYFUNCTION("IFERROR(VLOOKUP(F244,IMPORTRANGE(""https://docs.google.com/spreadsheets/d/1Kvs4KS76FHFqLFIZfrDMff4kP08nblUkihrxltoGBjg/edit#gid=934712705"",""ESENCIAL!A6:BG""),5,FALSE))"),"")</f>
        <v/>
      </c>
      <c r="BG230" s="98" t="str">
        <f t="shared" si="13"/>
        <v/>
      </c>
      <c r="BH230" s="99" t="str">
        <f t="shared" si="14"/>
        <v/>
      </c>
      <c r="BI230" s="100" t="str">
        <f ca="1">IFERROR(__xludf.DUMMYFUNCTION("IFERROR(VLOOKUP(F244,IMPORTRANGE(""https://docs.google.com/spreadsheets/d/1Kvs4KS76FHFqLFIZfrDMff4kP08nblUkihrxltoGBjg/edit#gid=934712705"",""ESENCIAL!A6:BG""),2,FALSE))"),"")</f>
        <v/>
      </c>
      <c r="BJ230" s="19" t="str">
        <f t="shared" si="15"/>
        <v/>
      </c>
      <c r="BK230" s="100"/>
      <c r="BL230" s="100"/>
    </row>
    <row r="231" spans="1:64" ht="15">
      <c r="A231" s="101"/>
      <c r="B231" s="101"/>
      <c r="G231" s="5" t="str">
        <f ca="1">IFERROR(__xludf.DUMMYFUNCTION("IFERROR(VLOOKUP(F245,IMPORTRANGE(""https://docs.google.com/spreadsheets/d/1Kvs4KS76FHFqLFIZfrDMff4kP08nblUkihrxltoGBjg/edit#gid=934712705"",""ESENCIAL!A6:BG""),3,FALSE))"),"")</f>
        <v/>
      </c>
      <c r="H231" s="5" t="str">
        <f ca="1">IFERROR(__xludf.DUMMYFUNCTION("IFERROR(VLOOKUP(F245,IMPORTRANGE(""https://docs.google.com/spreadsheets/d/1Kvs4KS76FHFqLFIZfrDMff4kP08nblUkihrxltoGBjg/edit#gid=934712705"",""ESENCIAL!A6:BG""),8,FALSE))"),"")</f>
        <v/>
      </c>
      <c r="L231" s="287"/>
      <c r="U231" s="40"/>
      <c r="AU231" s="41" t="str">
        <f t="shared" si="12"/>
        <v/>
      </c>
      <c r="AV231" s="5" t="str">
        <f ca="1">IFERROR(__xludf.DUMMYFUNCTION("IFERROR(VLOOKUP(E245&amp;F245,IMPORTRANGE(""https://docs.google.com/spreadsheets/d/1Uw7-A9f9R21vMXxHZFNpYNeKFtG8_yji4HS352LGlSQ/edit?pli=1#gid=0"",""1_ACUM!A4:S""),11,FALSE))"),"")</f>
        <v/>
      </c>
      <c r="AW231" s="42" t="str">
        <f ca="1">IFERROR(__xludf.DUMMYFUNCTION("IFERROR(VLOOKUP(F245,IMPORTRANGE(""https://docs.google.com/spreadsheets/d/1Kvs4KS76FHFqLFIZfrDMff4kP08nblUkihrxltoGBjg/edit#gid=934712705"",""ESENCIAL!A6:BG""),15,FALSE))"),"")</f>
        <v/>
      </c>
      <c r="AX231" s="21" t="str">
        <f ca="1">IFERROR(__xludf.DUMMYFUNCTION("IFERROR(VLOOKUP(E245&amp;F245,IMPORTRANGE(""https://docs.google.com/spreadsheets/d/1Uw7-A9f9R21vMXxHZFNpYNeKFtG8_yji4HS352LGlSQ/edit?pli=1#gid=0"",""1_ACUM!A4:S""),12,FALSE))"),"")</f>
        <v/>
      </c>
      <c r="AY231" s="43" t="str">
        <f ca="1">IFERROR(__xludf.DUMMYFUNCTION("IFERROR(VLOOKUP(E245&amp;F245,IMPORTRANGE(""https://docs.google.com/spreadsheets/d/1Uw7-A9f9R21vMXxHZFNpYNeKFtG8_yji4HS352LGlSQ/edit?pli=1#gid=0"",""1_ACUM!A4:S""),13,FALSE))"),"")</f>
        <v/>
      </c>
      <c r="AZ231" s="43" t="str">
        <f ca="1">IFERROR(__xludf.DUMMYFUNCTION("IFERROR(VLOOKUP(E245&amp;F245,IMPORTRANGE(""https://docs.google.com/spreadsheets/d/1Uw7-A9f9R21vMXxHZFNpYNeKFtG8_yji4HS352LGlSQ/edit?pli=1#gid=0"",""1_ACUM!A4:S""),14,FALSE))"),"")</f>
        <v/>
      </c>
      <c r="BA231" s="43" t="str">
        <f ca="1">IFERROR(__xludf.DUMMYFUNCTION("IFERROR(VLOOKUP(E245&amp;F245,IMPORTRANGE(""https://docs.google.com/spreadsheets/d/1Uw7-A9f9R21vMXxHZFNpYNeKFtG8_yji4HS352LGlSQ/edit?pli=1#gid=0"",""1_ACUM!A4:S""),15,FALSE))"),"")</f>
        <v/>
      </c>
      <c r="BB231" s="43" t="str">
        <f ca="1">IFERROR(__xludf.DUMMYFUNCTION("IFERROR(VLOOKUP(E245&amp;F245,IMPORTRANGE(""https://docs.google.com/spreadsheets/d/1Uw7-A9f9R21vMXxHZFNpYNeKFtG8_yji4HS352LGlSQ/edit?pli=1#gid=0"",""1_ACUM!A4:S""),16,FALSE))"),"")</f>
        <v/>
      </c>
      <c r="BC231" s="43" t="str">
        <f ca="1">IFERROR(__xludf.DUMMYFUNCTION("IFERROR(VLOOKUP(E245&amp;F245,IMPORTRANGE(""https://docs.google.com/spreadsheets/d/1Uw7-A9f9R21vMXxHZFNpYNeKFtG8_yji4HS352LGlSQ/edit?pli=1#gid=0"",""1_ACUM!A4:S""),17,FALSE))"),"")</f>
        <v/>
      </c>
      <c r="BD231" s="44" t="str">
        <f ca="1">IFERROR(__xludf.DUMMYFUNCTION("IFERROR(VLOOKUP(E245&amp;F245,IMPORTRANGE(""https://docs.google.com/spreadsheets/d/1Uw7-A9f9R21vMXxHZFNpYNeKFtG8_yji4HS352LGlSQ/edit?pli=1#gid=0"",""1_ACUM!A4:S""),18,FALSE))"),"")</f>
        <v/>
      </c>
      <c r="BE231" s="44" t="str">
        <f ca="1">IFERROR(__xludf.DUMMYFUNCTION("IFERROR(VLOOKUP(E245&amp;F245,IMPORTRANGE(""https://docs.google.com/spreadsheets/d/1Uw7-A9f9R21vMXxHZFNpYNeKFtG8_yji4HS352LGlSQ/edit?pli=1#gid=0"",""1_ACUM!A4:S""),19,FALSE))"),"")</f>
        <v/>
      </c>
      <c r="BF231" s="98" t="str">
        <f ca="1">IFERROR(__xludf.DUMMYFUNCTION("IFERROR(VLOOKUP(F245,IMPORTRANGE(""https://docs.google.com/spreadsheets/d/1Kvs4KS76FHFqLFIZfrDMff4kP08nblUkihrxltoGBjg/edit#gid=934712705"",""ESENCIAL!A6:BG""),5,FALSE))"),"")</f>
        <v/>
      </c>
      <c r="BG231" s="98" t="str">
        <f t="shared" si="13"/>
        <v/>
      </c>
      <c r="BH231" s="99" t="str">
        <f t="shared" si="14"/>
        <v/>
      </c>
      <c r="BI231" s="100" t="str">
        <f ca="1">IFERROR(__xludf.DUMMYFUNCTION("IFERROR(VLOOKUP(F245,IMPORTRANGE(""https://docs.google.com/spreadsheets/d/1Kvs4KS76FHFqLFIZfrDMff4kP08nblUkihrxltoGBjg/edit#gid=934712705"",""ESENCIAL!A6:BG""),2,FALSE))"),"")</f>
        <v/>
      </c>
      <c r="BJ231" s="19" t="str">
        <f t="shared" si="15"/>
        <v/>
      </c>
      <c r="BK231" s="100"/>
      <c r="BL231" s="100"/>
    </row>
    <row r="232" spans="1:64" ht="15">
      <c r="A232" s="101"/>
      <c r="B232" s="101"/>
      <c r="G232" s="5" t="str">
        <f ca="1">IFERROR(__xludf.DUMMYFUNCTION("IFERROR(VLOOKUP(F246,IMPORTRANGE(""https://docs.google.com/spreadsheets/d/1Kvs4KS76FHFqLFIZfrDMff4kP08nblUkihrxltoGBjg/edit#gid=934712705"",""ESENCIAL!A6:BG""),3,FALSE))"),"")</f>
        <v/>
      </c>
      <c r="H232" s="5" t="str">
        <f ca="1">IFERROR(__xludf.DUMMYFUNCTION("IFERROR(VLOOKUP(F246,IMPORTRANGE(""https://docs.google.com/spreadsheets/d/1Kvs4KS76FHFqLFIZfrDMff4kP08nblUkihrxltoGBjg/edit#gid=934712705"",""ESENCIAL!A6:BG""),8,FALSE))"),"")</f>
        <v/>
      </c>
      <c r="L232" s="287"/>
      <c r="U232" s="40"/>
      <c r="AU232" s="41" t="str">
        <f t="shared" si="12"/>
        <v/>
      </c>
      <c r="AV232" s="5" t="str">
        <f ca="1">IFERROR(__xludf.DUMMYFUNCTION("IFERROR(VLOOKUP(E246&amp;F246,IMPORTRANGE(""https://docs.google.com/spreadsheets/d/1Uw7-A9f9R21vMXxHZFNpYNeKFtG8_yji4HS352LGlSQ/edit?pli=1#gid=0"",""1_ACUM!A4:S""),11,FALSE))"),"")</f>
        <v/>
      </c>
      <c r="AW232" s="42" t="str">
        <f ca="1">IFERROR(__xludf.DUMMYFUNCTION("IFERROR(VLOOKUP(F246,IMPORTRANGE(""https://docs.google.com/spreadsheets/d/1Kvs4KS76FHFqLFIZfrDMff4kP08nblUkihrxltoGBjg/edit#gid=934712705"",""ESENCIAL!A6:BG""),15,FALSE))"),"")</f>
        <v/>
      </c>
      <c r="AX232" s="21" t="str">
        <f ca="1">IFERROR(__xludf.DUMMYFUNCTION("IFERROR(VLOOKUP(E246&amp;F246,IMPORTRANGE(""https://docs.google.com/spreadsheets/d/1Uw7-A9f9R21vMXxHZFNpYNeKFtG8_yji4HS352LGlSQ/edit?pli=1#gid=0"",""1_ACUM!A4:S""),12,FALSE))"),"")</f>
        <v/>
      </c>
      <c r="AY232" s="43" t="str">
        <f ca="1">IFERROR(__xludf.DUMMYFUNCTION("IFERROR(VLOOKUP(E246&amp;F246,IMPORTRANGE(""https://docs.google.com/spreadsheets/d/1Uw7-A9f9R21vMXxHZFNpYNeKFtG8_yji4HS352LGlSQ/edit?pli=1#gid=0"",""1_ACUM!A4:S""),13,FALSE))"),"")</f>
        <v/>
      </c>
      <c r="AZ232" s="43" t="str">
        <f ca="1">IFERROR(__xludf.DUMMYFUNCTION("IFERROR(VLOOKUP(E246&amp;F246,IMPORTRANGE(""https://docs.google.com/spreadsheets/d/1Uw7-A9f9R21vMXxHZFNpYNeKFtG8_yji4HS352LGlSQ/edit?pli=1#gid=0"",""1_ACUM!A4:S""),14,FALSE))"),"")</f>
        <v/>
      </c>
      <c r="BA232" s="43" t="str">
        <f ca="1">IFERROR(__xludf.DUMMYFUNCTION("IFERROR(VLOOKUP(E246&amp;F246,IMPORTRANGE(""https://docs.google.com/spreadsheets/d/1Uw7-A9f9R21vMXxHZFNpYNeKFtG8_yji4HS352LGlSQ/edit?pli=1#gid=0"",""1_ACUM!A4:S""),15,FALSE))"),"")</f>
        <v/>
      </c>
      <c r="BB232" s="43" t="str">
        <f ca="1">IFERROR(__xludf.DUMMYFUNCTION("IFERROR(VLOOKUP(E246&amp;F246,IMPORTRANGE(""https://docs.google.com/spreadsheets/d/1Uw7-A9f9R21vMXxHZFNpYNeKFtG8_yji4HS352LGlSQ/edit?pli=1#gid=0"",""1_ACUM!A4:S""),16,FALSE))"),"")</f>
        <v/>
      </c>
      <c r="BC232" s="43" t="str">
        <f ca="1">IFERROR(__xludf.DUMMYFUNCTION("IFERROR(VLOOKUP(E246&amp;F246,IMPORTRANGE(""https://docs.google.com/spreadsheets/d/1Uw7-A9f9R21vMXxHZFNpYNeKFtG8_yji4HS352LGlSQ/edit?pli=1#gid=0"",""1_ACUM!A4:S""),17,FALSE))"),"")</f>
        <v/>
      </c>
      <c r="BD232" s="44" t="str">
        <f ca="1">IFERROR(__xludf.DUMMYFUNCTION("IFERROR(VLOOKUP(E246&amp;F246,IMPORTRANGE(""https://docs.google.com/spreadsheets/d/1Uw7-A9f9R21vMXxHZFNpYNeKFtG8_yji4HS352LGlSQ/edit?pli=1#gid=0"",""1_ACUM!A4:S""),18,FALSE))"),"")</f>
        <v/>
      </c>
      <c r="BE232" s="44" t="str">
        <f ca="1">IFERROR(__xludf.DUMMYFUNCTION("IFERROR(VLOOKUP(E246&amp;F246,IMPORTRANGE(""https://docs.google.com/spreadsheets/d/1Uw7-A9f9R21vMXxHZFNpYNeKFtG8_yji4HS352LGlSQ/edit?pli=1#gid=0"",""1_ACUM!A4:S""),19,FALSE))"),"")</f>
        <v/>
      </c>
      <c r="BF232" s="98" t="str">
        <f ca="1">IFERROR(__xludf.DUMMYFUNCTION("IFERROR(VLOOKUP(F246,IMPORTRANGE(""https://docs.google.com/spreadsheets/d/1Kvs4KS76FHFqLFIZfrDMff4kP08nblUkihrxltoGBjg/edit#gid=934712705"",""ESENCIAL!A6:BG""),5,FALSE))"),"")</f>
        <v/>
      </c>
      <c r="BG232" s="98" t="str">
        <f t="shared" si="13"/>
        <v/>
      </c>
      <c r="BH232" s="99" t="str">
        <f t="shared" si="14"/>
        <v/>
      </c>
      <c r="BI232" s="100" t="str">
        <f ca="1">IFERROR(__xludf.DUMMYFUNCTION("IFERROR(VLOOKUP(F246,IMPORTRANGE(""https://docs.google.com/spreadsheets/d/1Kvs4KS76FHFqLFIZfrDMff4kP08nblUkihrxltoGBjg/edit#gid=934712705"",""ESENCIAL!A6:BG""),2,FALSE))"),"")</f>
        <v/>
      </c>
      <c r="BJ232" s="19" t="str">
        <f t="shared" si="15"/>
        <v/>
      </c>
      <c r="BK232" s="100"/>
      <c r="BL232" s="100"/>
    </row>
    <row r="233" spans="1:64" ht="15">
      <c r="A233" s="101"/>
      <c r="B233" s="101"/>
      <c r="G233" s="5" t="str">
        <f ca="1">IFERROR(__xludf.DUMMYFUNCTION("IFERROR(VLOOKUP(F247,IMPORTRANGE(""https://docs.google.com/spreadsheets/d/1Kvs4KS76FHFqLFIZfrDMff4kP08nblUkihrxltoGBjg/edit#gid=934712705"",""ESENCIAL!A6:BG""),3,FALSE))"),"")</f>
        <v/>
      </c>
      <c r="H233" s="5" t="str">
        <f ca="1">IFERROR(__xludf.DUMMYFUNCTION("IFERROR(VLOOKUP(F247,IMPORTRANGE(""https://docs.google.com/spreadsheets/d/1Kvs4KS76FHFqLFIZfrDMff4kP08nblUkihrxltoGBjg/edit#gid=934712705"",""ESENCIAL!A6:BG""),8,FALSE))"),"")</f>
        <v/>
      </c>
      <c r="L233" s="287"/>
      <c r="U233" s="40"/>
      <c r="AU233" s="41" t="str">
        <f t="shared" si="12"/>
        <v/>
      </c>
      <c r="AV233" s="5" t="str">
        <f ca="1">IFERROR(__xludf.DUMMYFUNCTION("IFERROR(VLOOKUP(E247&amp;F247,IMPORTRANGE(""https://docs.google.com/spreadsheets/d/1Uw7-A9f9R21vMXxHZFNpYNeKFtG8_yji4HS352LGlSQ/edit?pli=1#gid=0"",""1_ACUM!A4:S""),11,FALSE))"),"")</f>
        <v/>
      </c>
      <c r="AW233" s="42" t="str">
        <f ca="1">IFERROR(__xludf.DUMMYFUNCTION("IFERROR(VLOOKUP(F247,IMPORTRANGE(""https://docs.google.com/spreadsheets/d/1Kvs4KS76FHFqLFIZfrDMff4kP08nblUkihrxltoGBjg/edit#gid=934712705"",""ESENCIAL!A6:BG""),15,FALSE))"),"")</f>
        <v/>
      </c>
      <c r="AX233" s="21" t="str">
        <f ca="1">IFERROR(__xludf.DUMMYFUNCTION("IFERROR(VLOOKUP(E247&amp;F247,IMPORTRANGE(""https://docs.google.com/spreadsheets/d/1Uw7-A9f9R21vMXxHZFNpYNeKFtG8_yji4HS352LGlSQ/edit?pli=1#gid=0"",""1_ACUM!A4:S""),12,FALSE))"),"")</f>
        <v/>
      </c>
      <c r="AY233" s="43" t="str">
        <f ca="1">IFERROR(__xludf.DUMMYFUNCTION("IFERROR(VLOOKUP(E247&amp;F247,IMPORTRANGE(""https://docs.google.com/spreadsheets/d/1Uw7-A9f9R21vMXxHZFNpYNeKFtG8_yji4HS352LGlSQ/edit?pli=1#gid=0"",""1_ACUM!A4:S""),13,FALSE))"),"")</f>
        <v/>
      </c>
      <c r="AZ233" s="43" t="str">
        <f ca="1">IFERROR(__xludf.DUMMYFUNCTION("IFERROR(VLOOKUP(E247&amp;F247,IMPORTRANGE(""https://docs.google.com/spreadsheets/d/1Uw7-A9f9R21vMXxHZFNpYNeKFtG8_yji4HS352LGlSQ/edit?pli=1#gid=0"",""1_ACUM!A4:S""),14,FALSE))"),"")</f>
        <v/>
      </c>
      <c r="BA233" s="43" t="str">
        <f ca="1">IFERROR(__xludf.DUMMYFUNCTION("IFERROR(VLOOKUP(E247&amp;F247,IMPORTRANGE(""https://docs.google.com/spreadsheets/d/1Uw7-A9f9R21vMXxHZFNpYNeKFtG8_yji4HS352LGlSQ/edit?pli=1#gid=0"",""1_ACUM!A4:S""),15,FALSE))"),"")</f>
        <v/>
      </c>
      <c r="BB233" s="43" t="str">
        <f ca="1">IFERROR(__xludf.DUMMYFUNCTION("IFERROR(VLOOKUP(E247&amp;F247,IMPORTRANGE(""https://docs.google.com/spreadsheets/d/1Uw7-A9f9R21vMXxHZFNpYNeKFtG8_yji4HS352LGlSQ/edit?pli=1#gid=0"",""1_ACUM!A4:S""),16,FALSE))"),"")</f>
        <v/>
      </c>
      <c r="BC233" s="43" t="str">
        <f ca="1">IFERROR(__xludf.DUMMYFUNCTION("IFERROR(VLOOKUP(E247&amp;F247,IMPORTRANGE(""https://docs.google.com/spreadsheets/d/1Uw7-A9f9R21vMXxHZFNpYNeKFtG8_yji4HS352LGlSQ/edit?pli=1#gid=0"",""1_ACUM!A4:S""),17,FALSE))"),"")</f>
        <v/>
      </c>
      <c r="BD233" s="44" t="str">
        <f ca="1">IFERROR(__xludf.DUMMYFUNCTION("IFERROR(VLOOKUP(E247&amp;F247,IMPORTRANGE(""https://docs.google.com/spreadsheets/d/1Uw7-A9f9R21vMXxHZFNpYNeKFtG8_yji4HS352LGlSQ/edit?pli=1#gid=0"",""1_ACUM!A4:S""),18,FALSE))"),"")</f>
        <v/>
      </c>
      <c r="BE233" s="44" t="str">
        <f ca="1">IFERROR(__xludf.DUMMYFUNCTION("IFERROR(VLOOKUP(E247&amp;F247,IMPORTRANGE(""https://docs.google.com/spreadsheets/d/1Uw7-A9f9R21vMXxHZFNpYNeKFtG8_yji4HS352LGlSQ/edit?pli=1#gid=0"",""1_ACUM!A4:S""),19,FALSE))"),"")</f>
        <v/>
      </c>
      <c r="BF233" s="98" t="str">
        <f ca="1">IFERROR(__xludf.DUMMYFUNCTION("IFERROR(VLOOKUP(F247,IMPORTRANGE(""https://docs.google.com/spreadsheets/d/1Kvs4KS76FHFqLFIZfrDMff4kP08nblUkihrxltoGBjg/edit#gid=934712705"",""ESENCIAL!A6:BG""),5,FALSE))"),"")</f>
        <v/>
      </c>
      <c r="BG233" s="98" t="str">
        <f t="shared" si="13"/>
        <v/>
      </c>
      <c r="BH233" s="99" t="str">
        <f t="shared" si="14"/>
        <v/>
      </c>
      <c r="BI233" s="100" t="str">
        <f ca="1">IFERROR(__xludf.DUMMYFUNCTION("IFERROR(VLOOKUP(F247,IMPORTRANGE(""https://docs.google.com/spreadsheets/d/1Kvs4KS76FHFqLFIZfrDMff4kP08nblUkihrxltoGBjg/edit#gid=934712705"",""ESENCIAL!A6:BG""),2,FALSE))"),"")</f>
        <v/>
      </c>
      <c r="BJ233" s="19" t="str">
        <f t="shared" si="15"/>
        <v/>
      </c>
      <c r="BK233" s="100"/>
      <c r="BL233" s="100"/>
    </row>
    <row r="234" spans="1:64" ht="15">
      <c r="A234" s="101"/>
      <c r="B234" s="101"/>
      <c r="G234" s="5" t="str">
        <f ca="1">IFERROR(__xludf.DUMMYFUNCTION("IFERROR(VLOOKUP(F248,IMPORTRANGE(""https://docs.google.com/spreadsheets/d/1Kvs4KS76FHFqLFIZfrDMff4kP08nblUkihrxltoGBjg/edit#gid=934712705"",""ESENCIAL!A6:BG""),3,FALSE))"),"")</f>
        <v/>
      </c>
      <c r="H234" s="5" t="str">
        <f ca="1">IFERROR(__xludf.DUMMYFUNCTION("IFERROR(VLOOKUP(F248,IMPORTRANGE(""https://docs.google.com/spreadsheets/d/1Kvs4KS76FHFqLFIZfrDMff4kP08nblUkihrxltoGBjg/edit#gid=934712705"",""ESENCIAL!A6:BG""),8,FALSE))"),"")</f>
        <v/>
      </c>
      <c r="L234" s="287"/>
      <c r="U234" s="40"/>
      <c r="AU234" s="41" t="str">
        <f t="shared" si="12"/>
        <v/>
      </c>
      <c r="AV234" s="5" t="str">
        <f ca="1">IFERROR(__xludf.DUMMYFUNCTION("IFERROR(VLOOKUP(E248&amp;F248,IMPORTRANGE(""https://docs.google.com/spreadsheets/d/1Uw7-A9f9R21vMXxHZFNpYNeKFtG8_yji4HS352LGlSQ/edit?pli=1#gid=0"",""1_ACUM!A4:S""),11,FALSE))"),"")</f>
        <v/>
      </c>
      <c r="AW234" s="42" t="str">
        <f ca="1">IFERROR(__xludf.DUMMYFUNCTION("IFERROR(VLOOKUP(F248,IMPORTRANGE(""https://docs.google.com/spreadsheets/d/1Kvs4KS76FHFqLFIZfrDMff4kP08nblUkihrxltoGBjg/edit#gid=934712705"",""ESENCIAL!A6:BG""),15,FALSE))"),"")</f>
        <v/>
      </c>
      <c r="AX234" s="21" t="str">
        <f ca="1">IFERROR(__xludf.DUMMYFUNCTION("IFERROR(VLOOKUP(E248&amp;F248,IMPORTRANGE(""https://docs.google.com/spreadsheets/d/1Uw7-A9f9R21vMXxHZFNpYNeKFtG8_yji4HS352LGlSQ/edit?pli=1#gid=0"",""1_ACUM!A4:S""),12,FALSE))"),"")</f>
        <v/>
      </c>
      <c r="AY234" s="43" t="str">
        <f ca="1">IFERROR(__xludf.DUMMYFUNCTION("IFERROR(VLOOKUP(E248&amp;F248,IMPORTRANGE(""https://docs.google.com/spreadsheets/d/1Uw7-A9f9R21vMXxHZFNpYNeKFtG8_yji4HS352LGlSQ/edit?pli=1#gid=0"",""1_ACUM!A4:S""),13,FALSE))"),"")</f>
        <v/>
      </c>
      <c r="AZ234" s="43" t="str">
        <f ca="1">IFERROR(__xludf.DUMMYFUNCTION("IFERROR(VLOOKUP(E248&amp;F248,IMPORTRANGE(""https://docs.google.com/spreadsheets/d/1Uw7-A9f9R21vMXxHZFNpYNeKFtG8_yji4HS352LGlSQ/edit?pli=1#gid=0"",""1_ACUM!A4:S""),14,FALSE))"),"")</f>
        <v/>
      </c>
      <c r="BA234" s="43" t="str">
        <f ca="1">IFERROR(__xludf.DUMMYFUNCTION("IFERROR(VLOOKUP(E248&amp;F248,IMPORTRANGE(""https://docs.google.com/spreadsheets/d/1Uw7-A9f9R21vMXxHZFNpYNeKFtG8_yji4HS352LGlSQ/edit?pli=1#gid=0"",""1_ACUM!A4:S""),15,FALSE))"),"")</f>
        <v/>
      </c>
      <c r="BB234" s="43" t="str">
        <f ca="1">IFERROR(__xludf.DUMMYFUNCTION("IFERROR(VLOOKUP(E248&amp;F248,IMPORTRANGE(""https://docs.google.com/spreadsheets/d/1Uw7-A9f9R21vMXxHZFNpYNeKFtG8_yji4HS352LGlSQ/edit?pli=1#gid=0"",""1_ACUM!A4:S""),16,FALSE))"),"")</f>
        <v/>
      </c>
      <c r="BC234" s="43" t="str">
        <f ca="1">IFERROR(__xludf.DUMMYFUNCTION("IFERROR(VLOOKUP(E248&amp;F248,IMPORTRANGE(""https://docs.google.com/spreadsheets/d/1Uw7-A9f9R21vMXxHZFNpYNeKFtG8_yji4HS352LGlSQ/edit?pli=1#gid=0"",""1_ACUM!A4:S""),17,FALSE))"),"")</f>
        <v/>
      </c>
      <c r="BD234" s="44" t="str">
        <f ca="1">IFERROR(__xludf.DUMMYFUNCTION("IFERROR(VLOOKUP(E248&amp;F248,IMPORTRANGE(""https://docs.google.com/spreadsheets/d/1Uw7-A9f9R21vMXxHZFNpYNeKFtG8_yji4HS352LGlSQ/edit?pli=1#gid=0"",""1_ACUM!A4:S""),18,FALSE))"),"")</f>
        <v/>
      </c>
      <c r="BE234" s="44" t="str">
        <f ca="1">IFERROR(__xludf.DUMMYFUNCTION("IFERROR(VLOOKUP(E248&amp;F248,IMPORTRANGE(""https://docs.google.com/spreadsheets/d/1Uw7-A9f9R21vMXxHZFNpYNeKFtG8_yji4HS352LGlSQ/edit?pli=1#gid=0"",""1_ACUM!A4:S""),19,FALSE))"),"")</f>
        <v/>
      </c>
      <c r="BF234" s="98" t="str">
        <f ca="1">IFERROR(__xludf.DUMMYFUNCTION("IFERROR(VLOOKUP(F248,IMPORTRANGE(""https://docs.google.com/spreadsheets/d/1Kvs4KS76FHFqLFIZfrDMff4kP08nblUkihrxltoGBjg/edit#gid=934712705"",""ESENCIAL!A6:BG""),5,FALSE))"),"")</f>
        <v/>
      </c>
      <c r="BG234" s="98" t="str">
        <f t="shared" si="13"/>
        <v/>
      </c>
      <c r="BH234" s="99" t="str">
        <f t="shared" si="14"/>
        <v/>
      </c>
      <c r="BI234" s="100" t="str">
        <f ca="1">IFERROR(__xludf.DUMMYFUNCTION("IFERROR(VLOOKUP(F248,IMPORTRANGE(""https://docs.google.com/spreadsheets/d/1Kvs4KS76FHFqLFIZfrDMff4kP08nblUkihrxltoGBjg/edit#gid=934712705"",""ESENCIAL!A6:BG""),2,FALSE))"),"")</f>
        <v/>
      </c>
      <c r="BJ234" s="19" t="str">
        <f t="shared" si="15"/>
        <v/>
      </c>
      <c r="BK234" s="100"/>
      <c r="BL234" s="100"/>
    </row>
    <row r="235" spans="1:64" ht="15">
      <c r="A235" s="101"/>
      <c r="B235" s="101"/>
      <c r="G235" s="5" t="str">
        <f ca="1">IFERROR(__xludf.DUMMYFUNCTION("IFERROR(VLOOKUP(F249,IMPORTRANGE(""https://docs.google.com/spreadsheets/d/1Kvs4KS76FHFqLFIZfrDMff4kP08nblUkihrxltoGBjg/edit#gid=934712705"",""ESENCIAL!A6:BG""),3,FALSE))"),"")</f>
        <v/>
      </c>
      <c r="H235" s="5" t="str">
        <f ca="1">IFERROR(__xludf.DUMMYFUNCTION("IFERROR(VLOOKUP(F249,IMPORTRANGE(""https://docs.google.com/spreadsheets/d/1Kvs4KS76FHFqLFIZfrDMff4kP08nblUkihrxltoGBjg/edit#gid=934712705"",""ESENCIAL!A6:BG""),8,FALSE))"),"")</f>
        <v/>
      </c>
      <c r="L235" s="287"/>
      <c r="U235" s="40"/>
      <c r="AU235" s="41" t="str">
        <f t="shared" si="12"/>
        <v/>
      </c>
      <c r="AV235" s="5" t="str">
        <f ca="1">IFERROR(__xludf.DUMMYFUNCTION("IFERROR(VLOOKUP(E249&amp;F249,IMPORTRANGE(""https://docs.google.com/spreadsheets/d/1Uw7-A9f9R21vMXxHZFNpYNeKFtG8_yji4HS352LGlSQ/edit?pli=1#gid=0"",""1_ACUM!A4:S""),11,FALSE))"),"")</f>
        <v/>
      </c>
      <c r="AW235" s="42" t="str">
        <f ca="1">IFERROR(__xludf.DUMMYFUNCTION("IFERROR(VLOOKUP(F249,IMPORTRANGE(""https://docs.google.com/spreadsheets/d/1Kvs4KS76FHFqLFIZfrDMff4kP08nblUkihrxltoGBjg/edit#gid=934712705"",""ESENCIAL!A6:BG""),15,FALSE))"),"")</f>
        <v/>
      </c>
      <c r="AX235" s="21" t="str">
        <f ca="1">IFERROR(__xludf.DUMMYFUNCTION("IFERROR(VLOOKUP(E249&amp;F249,IMPORTRANGE(""https://docs.google.com/spreadsheets/d/1Uw7-A9f9R21vMXxHZFNpYNeKFtG8_yji4HS352LGlSQ/edit?pli=1#gid=0"",""1_ACUM!A4:S""),12,FALSE))"),"")</f>
        <v/>
      </c>
      <c r="AY235" s="43" t="str">
        <f ca="1">IFERROR(__xludf.DUMMYFUNCTION("IFERROR(VLOOKUP(E249&amp;F249,IMPORTRANGE(""https://docs.google.com/spreadsheets/d/1Uw7-A9f9R21vMXxHZFNpYNeKFtG8_yji4HS352LGlSQ/edit?pli=1#gid=0"",""1_ACUM!A4:S""),13,FALSE))"),"")</f>
        <v/>
      </c>
      <c r="AZ235" s="43" t="str">
        <f ca="1">IFERROR(__xludf.DUMMYFUNCTION("IFERROR(VLOOKUP(E249&amp;F249,IMPORTRANGE(""https://docs.google.com/spreadsheets/d/1Uw7-A9f9R21vMXxHZFNpYNeKFtG8_yji4HS352LGlSQ/edit?pli=1#gid=0"",""1_ACUM!A4:S""),14,FALSE))"),"")</f>
        <v/>
      </c>
      <c r="BA235" s="43" t="str">
        <f ca="1">IFERROR(__xludf.DUMMYFUNCTION("IFERROR(VLOOKUP(E249&amp;F249,IMPORTRANGE(""https://docs.google.com/spreadsheets/d/1Uw7-A9f9R21vMXxHZFNpYNeKFtG8_yji4HS352LGlSQ/edit?pli=1#gid=0"",""1_ACUM!A4:S""),15,FALSE))"),"")</f>
        <v/>
      </c>
      <c r="BB235" s="43" t="str">
        <f ca="1">IFERROR(__xludf.DUMMYFUNCTION("IFERROR(VLOOKUP(E249&amp;F249,IMPORTRANGE(""https://docs.google.com/spreadsheets/d/1Uw7-A9f9R21vMXxHZFNpYNeKFtG8_yji4HS352LGlSQ/edit?pli=1#gid=0"",""1_ACUM!A4:S""),16,FALSE))"),"")</f>
        <v/>
      </c>
      <c r="BC235" s="43" t="str">
        <f ca="1">IFERROR(__xludf.DUMMYFUNCTION("IFERROR(VLOOKUP(E249&amp;F249,IMPORTRANGE(""https://docs.google.com/spreadsheets/d/1Uw7-A9f9R21vMXxHZFNpYNeKFtG8_yji4HS352LGlSQ/edit?pli=1#gid=0"",""1_ACUM!A4:S""),17,FALSE))"),"")</f>
        <v/>
      </c>
      <c r="BD235" s="44" t="str">
        <f ca="1">IFERROR(__xludf.DUMMYFUNCTION("IFERROR(VLOOKUP(E249&amp;F249,IMPORTRANGE(""https://docs.google.com/spreadsheets/d/1Uw7-A9f9R21vMXxHZFNpYNeKFtG8_yji4HS352LGlSQ/edit?pli=1#gid=0"",""1_ACUM!A4:S""),18,FALSE))"),"")</f>
        <v/>
      </c>
      <c r="BE235" s="44" t="str">
        <f ca="1">IFERROR(__xludf.DUMMYFUNCTION("IFERROR(VLOOKUP(E249&amp;F249,IMPORTRANGE(""https://docs.google.com/spreadsheets/d/1Uw7-A9f9R21vMXxHZFNpYNeKFtG8_yji4HS352LGlSQ/edit?pli=1#gid=0"",""1_ACUM!A4:S""),19,FALSE))"),"")</f>
        <v/>
      </c>
      <c r="BF235" s="98" t="str">
        <f ca="1">IFERROR(__xludf.DUMMYFUNCTION("IFERROR(VLOOKUP(F249,IMPORTRANGE(""https://docs.google.com/spreadsheets/d/1Kvs4KS76FHFqLFIZfrDMff4kP08nblUkihrxltoGBjg/edit#gid=934712705"",""ESENCIAL!A6:BG""),5,FALSE))"),"")</f>
        <v/>
      </c>
      <c r="BG235" s="98" t="str">
        <f t="shared" si="13"/>
        <v/>
      </c>
      <c r="BH235" s="99" t="str">
        <f t="shared" si="14"/>
        <v/>
      </c>
      <c r="BI235" s="100" t="str">
        <f ca="1">IFERROR(__xludf.DUMMYFUNCTION("IFERROR(VLOOKUP(F249,IMPORTRANGE(""https://docs.google.com/spreadsheets/d/1Kvs4KS76FHFqLFIZfrDMff4kP08nblUkihrxltoGBjg/edit#gid=934712705"",""ESENCIAL!A6:BG""),2,FALSE))"),"")</f>
        <v/>
      </c>
      <c r="BJ235" s="19" t="str">
        <f t="shared" si="15"/>
        <v/>
      </c>
      <c r="BK235" s="100"/>
      <c r="BL235" s="100"/>
    </row>
    <row r="236" spans="1:64" ht="15">
      <c r="A236" s="101"/>
      <c r="B236" s="101"/>
      <c r="G236" s="5" t="str">
        <f ca="1">IFERROR(__xludf.DUMMYFUNCTION("IFERROR(VLOOKUP(F250,IMPORTRANGE(""https://docs.google.com/spreadsheets/d/1Kvs4KS76FHFqLFIZfrDMff4kP08nblUkihrxltoGBjg/edit#gid=934712705"",""ESENCIAL!A6:BG""),3,FALSE))"),"")</f>
        <v/>
      </c>
      <c r="H236" s="5" t="str">
        <f ca="1">IFERROR(__xludf.DUMMYFUNCTION("IFERROR(VLOOKUP(F250,IMPORTRANGE(""https://docs.google.com/spreadsheets/d/1Kvs4KS76FHFqLFIZfrDMff4kP08nblUkihrxltoGBjg/edit#gid=934712705"",""ESENCIAL!A6:BG""),8,FALSE))"),"")</f>
        <v/>
      </c>
      <c r="L236" s="287"/>
      <c r="U236" s="40"/>
      <c r="AU236" s="41" t="str">
        <f t="shared" si="12"/>
        <v/>
      </c>
      <c r="AV236" s="5" t="str">
        <f ca="1">IFERROR(__xludf.DUMMYFUNCTION("IFERROR(VLOOKUP(E250&amp;F250,IMPORTRANGE(""https://docs.google.com/spreadsheets/d/1Uw7-A9f9R21vMXxHZFNpYNeKFtG8_yji4HS352LGlSQ/edit?pli=1#gid=0"",""1_ACUM!A4:S""),11,FALSE))"),"")</f>
        <v/>
      </c>
      <c r="AW236" s="42" t="str">
        <f ca="1">IFERROR(__xludf.DUMMYFUNCTION("IFERROR(VLOOKUP(F250,IMPORTRANGE(""https://docs.google.com/spreadsheets/d/1Kvs4KS76FHFqLFIZfrDMff4kP08nblUkihrxltoGBjg/edit#gid=934712705"",""ESENCIAL!A6:BG""),15,FALSE))"),"")</f>
        <v/>
      </c>
      <c r="AX236" s="21" t="str">
        <f ca="1">IFERROR(__xludf.DUMMYFUNCTION("IFERROR(VLOOKUP(E250&amp;F250,IMPORTRANGE(""https://docs.google.com/spreadsheets/d/1Uw7-A9f9R21vMXxHZFNpYNeKFtG8_yji4HS352LGlSQ/edit?pli=1#gid=0"",""1_ACUM!A4:S""),12,FALSE))"),"")</f>
        <v/>
      </c>
      <c r="AY236" s="43" t="str">
        <f ca="1">IFERROR(__xludf.DUMMYFUNCTION("IFERROR(VLOOKUP(E250&amp;F250,IMPORTRANGE(""https://docs.google.com/spreadsheets/d/1Uw7-A9f9R21vMXxHZFNpYNeKFtG8_yji4HS352LGlSQ/edit?pli=1#gid=0"",""1_ACUM!A4:S""),13,FALSE))"),"")</f>
        <v/>
      </c>
      <c r="AZ236" s="43" t="str">
        <f ca="1">IFERROR(__xludf.DUMMYFUNCTION("IFERROR(VLOOKUP(E250&amp;F250,IMPORTRANGE(""https://docs.google.com/spreadsheets/d/1Uw7-A9f9R21vMXxHZFNpYNeKFtG8_yji4HS352LGlSQ/edit?pli=1#gid=0"",""1_ACUM!A4:S""),14,FALSE))"),"")</f>
        <v/>
      </c>
      <c r="BA236" s="43" t="str">
        <f ca="1">IFERROR(__xludf.DUMMYFUNCTION("IFERROR(VLOOKUP(E250&amp;F250,IMPORTRANGE(""https://docs.google.com/spreadsheets/d/1Uw7-A9f9R21vMXxHZFNpYNeKFtG8_yji4HS352LGlSQ/edit?pli=1#gid=0"",""1_ACUM!A4:S""),15,FALSE))"),"")</f>
        <v/>
      </c>
      <c r="BB236" s="43" t="str">
        <f ca="1">IFERROR(__xludf.DUMMYFUNCTION("IFERROR(VLOOKUP(E250&amp;F250,IMPORTRANGE(""https://docs.google.com/spreadsheets/d/1Uw7-A9f9R21vMXxHZFNpYNeKFtG8_yji4HS352LGlSQ/edit?pli=1#gid=0"",""1_ACUM!A4:S""),16,FALSE))"),"")</f>
        <v/>
      </c>
      <c r="BC236" s="43" t="str">
        <f ca="1">IFERROR(__xludf.DUMMYFUNCTION("IFERROR(VLOOKUP(E250&amp;F250,IMPORTRANGE(""https://docs.google.com/spreadsheets/d/1Uw7-A9f9R21vMXxHZFNpYNeKFtG8_yji4HS352LGlSQ/edit?pli=1#gid=0"",""1_ACUM!A4:S""),17,FALSE))"),"")</f>
        <v/>
      </c>
      <c r="BD236" s="44" t="str">
        <f ca="1">IFERROR(__xludf.DUMMYFUNCTION("IFERROR(VLOOKUP(E250&amp;F250,IMPORTRANGE(""https://docs.google.com/spreadsheets/d/1Uw7-A9f9R21vMXxHZFNpYNeKFtG8_yji4HS352LGlSQ/edit?pli=1#gid=0"",""1_ACUM!A4:S""),18,FALSE))"),"")</f>
        <v/>
      </c>
      <c r="BE236" s="44" t="str">
        <f ca="1">IFERROR(__xludf.DUMMYFUNCTION("IFERROR(VLOOKUP(E250&amp;F250,IMPORTRANGE(""https://docs.google.com/spreadsheets/d/1Uw7-A9f9R21vMXxHZFNpYNeKFtG8_yji4HS352LGlSQ/edit?pli=1#gid=0"",""1_ACUM!A4:S""),19,FALSE))"),"")</f>
        <v/>
      </c>
      <c r="BF236" s="98" t="str">
        <f ca="1">IFERROR(__xludf.DUMMYFUNCTION("IFERROR(VLOOKUP(F250,IMPORTRANGE(""https://docs.google.com/spreadsheets/d/1Kvs4KS76FHFqLFIZfrDMff4kP08nblUkihrxltoGBjg/edit#gid=934712705"",""ESENCIAL!A6:BG""),5,FALSE))"),"")</f>
        <v/>
      </c>
      <c r="BG236" s="98" t="str">
        <f t="shared" si="13"/>
        <v/>
      </c>
      <c r="BH236" s="99" t="str">
        <f t="shared" si="14"/>
        <v/>
      </c>
      <c r="BI236" s="100" t="str">
        <f ca="1">IFERROR(__xludf.DUMMYFUNCTION("IFERROR(VLOOKUP(F250,IMPORTRANGE(""https://docs.google.com/spreadsheets/d/1Kvs4KS76FHFqLFIZfrDMff4kP08nblUkihrxltoGBjg/edit#gid=934712705"",""ESENCIAL!A6:BG""),2,FALSE))"),"")</f>
        <v/>
      </c>
      <c r="BJ236" s="19" t="str">
        <f t="shared" si="15"/>
        <v/>
      </c>
      <c r="BK236" s="100"/>
      <c r="BL236" s="100"/>
    </row>
    <row r="237" spans="1:64" ht="15">
      <c r="A237" s="101"/>
      <c r="B237" s="101"/>
      <c r="G237" s="5" t="str">
        <f ca="1">IFERROR(__xludf.DUMMYFUNCTION("IFERROR(VLOOKUP(F251,IMPORTRANGE(""https://docs.google.com/spreadsheets/d/1Kvs4KS76FHFqLFIZfrDMff4kP08nblUkihrxltoGBjg/edit#gid=934712705"",""ESENCIAL!A6:BG""),3,FALSE))"),"")</f>
        <v/>
      </c>
      <c r="H237" s="5" t="str">
        <f ca="1">IFERROR(__xludf.DUMMYFUNCTION("IFERROR(VLOOKUP(F251,IMPORTRANGE(""https://docs.google.com/spreadsheets/d/1Kvs4KS76FHFqLFIZfrDMff4kP08nblUkihrxltoGBjg/edit#gid=934712705"",""ESENCIAL!A6:BG""),8,FALSE))"),"")</f>
        <v/>
      </c>
      <c r="L237" s="287"/>
      <c r="U237" s="40"/>
      <c r="AU237" s="41" t="str">
        <f t="shared" si="12"/>
        <v/>
      </c>
      <c r="AV237" s="5" t="str">
        <f ca="1">IFERROR(__xludf.DUMMYFUNCTION("IFERROR(VLOOKUP(E251&amp;F251,IMPORTRANGE(""https://docs.google.com/spreadsheets/d/1Uw7-A9f9R21vMXxHZFNpYNeKFtG8_yji4HS352LGlSQ/edit?pli=1#gid=0"",""1_ACUM!A4:S""),11,FALSE))"),"")</f>
        <v/>
      </c>
      <c r="AW237" s="42" t="str">
        <f ca="1">IFERROR(__xludf.DUMMYFUNCTION("IFERROR(VLOOKUP(F251,IMPORTRANGE(""https://docs.google.com/spreadsheets/d/1Kvs4KS76FHFqLFIZfrDMff4kP08nblUkihrxltoGBjg/edit#gid=934712705"",""ESENCIAL!A6:BG""),15,FALSE))"),"")</f>
        <v/>
      </c>
      <c r="AX237" s="21" t="str">
        <f ca="1">IFERROR(__xludf.DUMMYFUNCTION("IFERROR(VLOOKUP(E251&amp;F251,IMPORTRANGE(""https://docs.google.com/spreadsheets/d/1Uw7-A9f9R21vMXxHZFNpYNeKFtG8_yji4HS352LGlSQ/edit?pli=1#gid=0"",""1_ACUM!A4:S""),12,FALSE))"),"")</f>
        <v/>
      </c>
      <c r="AY237" s="43" t="str">
        <f ca="1">IFERROR(__xludf.DUMMYFUNCTION("IFERROR(VLOOKUP(E251&amp;F251,IMPORTRANGE(""https://docs.google.com/spreadsheets/d/1Uw7-A9f9R21vMXxHZFNpYNeKFtG8_yji4HS352LGlSQ/edit?pli=1#gid=0"",""1_ACUM!A4:S""),13,FALSE))"),"")</f>
        <v/>
      </c>
      <c r="AZ237" s="43" t="str">
        <f ca="1">IFERROR(__xludf.DUMMYFUNCTION("IFERROR(VLOOKUP(E251&amp;F251,IMPORTRANGE(""https://docs.google.com/spreadsheets/d/1Uw7-A9f9R21vMXxHZFNpYNeKFtG8_yji4HS352LGlSQ/edit?pli=1#gid=0"",""1_ACUM!A4:S""),14,FALSE))"),"")</f>
        <v/>
      </c>
      <c r="BA237" s="43" t="str">
        <f ca="1">IFERROR(__xludf.DUMMYFUNCTION("IFERROR(VLOOKUP(E251&amp;F251,IMPORTRANGE(""https://docs.google.com/spreadsheets/d/1Uw7-A9f9R21vMXxHZFNpYNeKFtG8_yji4HS352LGlSQ/edit?pli=1#gid=0"",""1_ACUM!A4:S""),15,FALSE))"),"")</f>
        <v/>
      </c>
      <c r="BB237" s="43" t="str">
        <f ca="1">IFERROR(__xludf.DUMMYFUNCTION("IFERROR(VLOOKUP(E251&amp;F251,IMPORTRANGE(""https://docs.google.com/spreadsheets/d/1Uw7-A9f9R21vMXxHZFNpYNeKFtG8_yji4HS352LGlSQ/edit?pli=1#gid=0"",""1_ACUM!A4:S""),16,FALSE))"),"")</f>
        <v/>
      </c>
      <c r="BC237" s="43" t="str">
        <f ca="1">IFERROR(__xludf.DUMMYFUNCTION("IFERROR(VLOOKUP(E251&amp;F251,IMPORTRANGE(""https://docs.google.com/spreadsheets/d/1Uw7-A9f9R21vMXxHZFNpYNeKFtG8_yji4HS352LGlSQ/edit?pli=1#gid=0"",""1_ACUM!A4:S""),17,FALSE))"),"")</f>
        <v/>
      </c>
      <c r="BD237" s="44" t="str">
        <f ca="1">IFERROR(__xludf.DUMMYFUNCTION("IFERROR(VLOOKUP(E251&amp;F251,IMPORTRANGE(""https://docs.google.com/spreadsheets/d/1Uw7-A9f9R21vMXxHZFNpYNeKFtG8_yji4HS352LGlSQ/edit?pli=1#gid=0"",""1_ACUM!A4:S""),18,FALSE))"),"")</f>
        <v/>
      </c>
      <c r="BE237" s="44" t="str">
        <f ca="1">IFERROR(__xludf.DUMMYFUNCTION("IFERROR(VLOOKUP(E251&amp;F251,IMPORTRANGE(""https://docs.google.com/spreadsheets/d/1Uw7-A9f9R21vMXxHZFNpYNeKFtG8_yji4HS352LGlSQ/edit?pli=1#gid=0"",""1_ACUM!A4:S""),19,FALSE))"),"")</f>
        <v/>
      </c>
      <c r="BF237" s="98" t="str">
        <f ca="1">IFERROR(__xludf.DUMMYFUNCTION("IFERROR(VLOOKUP(F251,IMPORTRANGE(""https://docs.google.com/spreadsheets/d/1Kvs4KS76FHFqLFIZfrDMff4kP08nblUkihrxltoGBjg/edit#gid=934712705"",""ESENCIAL!A6:BG""),5,FALSE))"),"")</f>
        <v/>
      </c>
      <c r="BG237" s="98" t="str">
        <f t="shared" si="13"/>
        <v/>
      </c>
      <c r="BH237" s="99" t="str">
        <f t="shared" si="14"/>
        <v/>
      </c>
      <c r="BI237" s="100" t="str">
        <f ca="1">IFERROR(__xludf.DUMMYFUNCTION("IFERROR(VLOOKUP(F251,IMPORTRANGE(""https://docs.google.com/spreadsheets/d/1Kvs4KS76FHFqLFIZfrDMff4kP08nblUkihrxltoGBjg/edit#gid=934712705"",""ESENCIAL!A6:BG""),2,FALSE))"),"")</f>
        <v/>
      </c>
      <c r="BJ237" s="19" t="str">
        <f t="shared" si="15"/>
        <v/>
      </c>
      <c r="BK237" s="100"/>
      <c r="BL237" s="100"/>
    </row>
    <row r="238" spans="1:64" ht="15">
      <c r="A238" s="101"/>
      <c r="B238" s="101"/>
      <c r="G238" s="5" t="str">
        <f ca="1">IFERROR(__xludf.DUMMYFUNCTION("IFERROR(VLOOKUP(F252,IMPORTRANGE(""https://docs.google.com/spreadsheets/d/1Kvs4KS76FHFqLFIZfrDMff4kP08nblUkihrxltoGBjg/edit#gid=934712705"",""ESENCIAL!A6:BG""),3,FALSE))"),"")</f>
        <v/>
      </c>
      <c r="H238" s="5" t="str">
        <f ca="1">IFERROR(__xludf.DUMMYFUNCTION("IFERROR(VLOOKUP(F252,IMPORTRANGE(""https://docs.google.com/spreadsheets/d/1Kvs4KS76FHFqLFIZfrDMff4kP08nblUkihrxltoGBjg/edit#gid=934712705"",""ESENCIAL!A6:BG""),8,FALSE))"),"")</f>
        <v/>
      </c>
      <c r="L238" s="287"/>
      <c r="U238" s="40"/>
      <c r="AU238" s="41" t="str">
        <f t="shared" si="12"/>
        <v/>
      </c>
      <c r="AV238" s="5" t="str">
        <f ca="1">IFERROR(__xludf.DUMMYFUNCTION("IFERROR(VLOOKUP(E252&amp;F252,IMPORTRANGE(""https://docs.google.com/spreadsheets/d/1Uw7-A9f9R21vMXxHZFNpYNeKFtG8_yji4HS352LGlSQ/edit?pli=1#gid=0"",""1_ACUM!A4:S""),11,FALSE))"),"")</f>
        <v/>
      </c>
      <c r="AW238" s="42" t="str">
        <f ca="1">IFERROR(__xludf.DUMMYFUNCTION("IFERROR(VLOOKUP(F252,IMPORTRANGE(""https://docs.google.com/spreadsheets/d/1Kvs4KS76FHFqLFIZfrDMff4kP08nblUkihrxltoGBjg/edit#gid=934712705"",""ESENCIAL!A6:BG""),15,FALSE))"),"")</f>
        <v/>
      </c>
      <c r="AX238" s="21" t="str">
        <f ca="1">IFERROR(__xludf.DUMMYFUNCTION("IFERROR(VLOOKUP(E252&amp;F252,IMPORTRANGE(""https://docs.google.com/spreadsheets/d/1Uw7-A9f9R21vMXxHZFNpYNeKFtG8_yji4HS352LGlSQ/edit?pli=1#gid=0"",""1_ACUM!A4:S""),12,FALSE))"),"")</f>
        <v/>
      </c>
      <c r="AY238" s="43" t="str">
        <f ca="1">IFERROR(__xludf.DUMMYFUNCTION("IFERROR(VLOOKUP(E252&amp;F252,IMPORTRANGE(""https://docs.google.com/spreadsheets/d/1Uw7-A9f9R21vMXxHZFNpYNeKFtG8_yji4HS352LGlSQ/edit?pli=1#gid=0"",""1_ACUM!A4:S""),13,FALSE))"),"")</f>
        <v/>
      </c>
      <c r="AZ238" s="43" t="str">
        <f ca="1">IFERROR(__xludf.DUMMYFUNCTION("IFERROR(VLOOKUP(E252&amp;F252,IMPORTRANGE(""https://docs.google.com/spreadsheets/d/1Uw7-A9f9R21vMXxHZFNpYNeKFtG8_yji4HS352LGlSQ/edit?pli=1#gid=0"",""1_ACUM!A4:S""),14,FALSE))"),"")</f>
        <v/>
      </c>
      <c r="BA238" s="43" t="str">
        <f ca="1">IFERROR(__xludf.DUMMYFUNCTION("IFERROR(VLOOKUP(E252&amp;F252,IMPORTRANGE(""https://docs.google.com/spreadsheets/d/1Uw7-A9f9R21vMXxHZFNpYNeKFtG8_yji4HS352LGlSQ/edit?pli=1#gid=0"",""1_ACUM!A4:S""),15,FALSE))"),"")</f>
        <v/>
      </c>
      <c r="BB238" s="43" t="str">
        <f ca="1">IFERROR(__xludf.DUMMYFUNCTION("IFERROR(VLOOKUP(E252&amp;F252,IMPORTRANGE(""https://docs.google.com/spreadsheets/d/1Uw7-A9f9R21vMXxHZFNpYNeKFtG8_yji4HS352LGlSQ/edit?pli=1#gid=0"",""1_ACUM!A4:S""),16,FALSE))"),"")</f>
        <v/>
      </c>
      <c r="BC238" s="43" t="str">
        <f ca="1">IFERROR(__xludf.DUMMYFUNCTION("IFERROR(VLOOKUP(E252&amp;F252,IMPORTRANGE(""https://docs.google.com/spreadsheets/d/1Uw7-A9f9R21vMXxHZFNpYNeKFtG8_yji4HS352LGlSQ/edit?pli=1#gid=0"",""1_ACUM!A4:S""),17,FALSE))"),"")</f>
        <v/>
      </c>
      <c r="BD238" s="44" t="str">
        <f ca="1">IFERROR(__xludf.DUMMYFUNCTION("IFERROR(VLOOKUP(E252&amp;F252,IMPORTRANGE(""https://docs.google.com/spreadsheets/d/1Uw7-A9f9R21vMXxHZFNpYNeKFtG8_yji4HS352LGlSQ/edit?pli=1#gid=0"",""1_ACUM!A4:S""),18,FALSE))"),"")</f>
        <v/>
      </c>
      <c r="BE238" s="44" t="str">
        <f ca="1">IFERROR(__xludf.DUMMYFUNCTION("IFERROR(VLOOKUP(E252&amp;F252,IMPORTRANGE(""https://docs.google.com/spreadsheets/d/1Uw7-A9f9R21vMXxHZFNpYNeKFtG8_yji4HS352LGlSQ/edit?pli=1#gid=0"",""1_ACUM!A4:S""),19,FALSE))"),"")</f>
        <v/>
      </c>
      <c r="BF238" s="98" t="str">
        <f ca="1">IFERROR(__xludf.DUMMYFUNCTION("IFERROR(VLOOKUP(F252,IMPORTRANGE(""https://docs.google.com/spreadsheets/d/1Kvs4KS76FHFqLFIZfrDMff4kP08nblUkihrxltoGBjg/edit#gid=934712705"",""ESENCIAL!A6:BG""),5,FALSE))"),"")</f>
        <v/>
      </c>
      <c r="BG238" s="98" t="str">
        <f t="shared" si="13"/>
        <v/>
      </c>
      <c r="BH238" s="99" t="str">
        <f t="shared" si="14"/>
        <v/>
      </c>
      <c r="BI238" s="100" t="str">
        <f ca="1">IFERROR(__xludf.DUMMYFUNCTION("IFERROR(VLOOKUP(F252,IMPORTRANGE(""https://docs.google.com/spreadsheets/d/1Kvs4KS76FHFqLFIZfrDMff4kP08nblUkihrxltoGBjg/edit#gid=934712705"",""ESENCIAL!A6:BG""),2,FALSE))"),"")</f>
        <v/>
      </c>
      <c r="BJ238" s="19" t="str">
        <f t="shared" si="15"/>
        <v/>
      </c>
      <c r="BK238" s="100"/>
      <c r="BL238" s="100"/>
    </row>
    <row r="239" spans="1:64" ht="15">
      <c r="A239" s="101"/>
      <c r="B239" s="101"/>
      <c r="G239" s="5" t="str">
        <f ca="1">IFERROR(__xludf.DUMMYFUNCTION("IFERROR(VLOOKUP(F253,IMPORTRANGE(""https://docs.google.com/spreadsheets/d/1Kvs4KS76FHFqLFIZfrDMff4kP08nblUkihrxltoGBjg/edit#gid=934712705"",""ESENCIAL!A6:BG""),3,FALSE))"),"")</f>
        <v/>
      </c>
      <c r="H239" s="5" t="str">
        <f ca="1">IFERROR(__xludf.DUMMYFUNCTION("IFERROR(VLOOKUP(F253,IMPORTRANGE(""https://docs.google.com/spreadsheets/d/1Kvs4KS76FHFqLFIZfrDMff4kP08nblUkihrxltoGBjg/edit#gid=934712705"",""ESENCIAL!A6:BG""),8,FALSE))"),"")</f>
        <v/>
      </c>
      <c r="L239" s="287"/>
      <c r="U239" s="40"/>
      <c r="AU239" s="41" t="str">
        <f t="shared" si="12"/>
        <v/>
      </c>
      <c r="AV239" s="5" t="str">
        <f ca="1">IFERROR(__xludf.DUMMYFUNCTION("IFERROR(VLOOKUP(E253&amp;F253,IMPORTRANGE(""https://docs.google.com/spreadsheets/d/1Uw7-A9f9R21vMXxHZFNpYNeKFtG8_yji4HS352LGlSQ/edit?pli=1#gid=0"",""1_ACUM!A4:S""),11,FALSE))"),"")</f>
        <v/>
      </c>
      <c r="AW239" s="42" t="str">
        <f ca="1">IFERROR(__xludf.DUMMYFUNCTION("IFERROR(VLOOKUP(F253,IMPORTRANGE(""https://docs.google.com/spreadsheets/d/1Kvs4KS76FHFqLFIZfrDMff4kP08nblUkihrxltoGBjg/edit#gid=934712705"",""ESENCIAL!A6:BG""),15,FALSE))"),"")</f>
        <v/>
      </c>
      <c r="AX239" s="21" t="str">
        <f ca="1">IFERROR(__xludf.DUMMYFUNCTION("IFERROR(VLOOKUP(E253&amp;F253,IMPORTRANGE(""https://docs.google.com/spreadsheets/d/1Uw7-A9f9R21vMXxHZFNpYNeKFtG8_yji4HS352LGlSQ/edit?pli=1#gid=0"",""1_ACUM!A4:S""),12,FALSE))"),"")</f>
        <v/>
      </c>
      <c r="AY239" s="43" t="str">
        <f ca="1">IFERROR(__xludf.DUMMYFUNCTION("IFERROR(VLOOKUP(E253&amp;F253,IMPORTRANGE(""https://docs.google.com/spreadsheets/d/1Uw7-A9f9R21vMXxHZFNpYNeKFtG8_yji4HS352LGlSQ/edit?pli=1#gid=0"",""1_ACUM!A4:S""),13,FALSE))"),"")</f>
        <v/>
      </c>
      <c r="AZ239" s="43" t="str">
        <f ca="1">IFERROR(__xludf.DUMMYFUNCTION("IFERROR(VLOOKUP(E253&amp;F253,IMPORTRANGE(""https://docs.google.com/spreadsheets/d/1Uw7-A9f9R21vMXxHZFNpYNeKFtG8_yji4HS352LGlSQ/edit?pli=1#gid=0"",""1_ACUM!A4:S""),14,FALSE))"),"")</f>
        <v/>
      </c>
      <c r="BA239" s="43" t="str">
        <f ca="1">IFERROR(__xludf.DUMMYFUNCTION("IFERROR(VLOOKUP(E253&amp;F253,IMPORTRANGE(""https://docs.google.com/spreadsheets/d/1Uw7-A9f9R21vMXxHZFNpYNeKFtG8_yji4HS352LGlSQ/edit?pli=1#gid=0"",""1_ACUM!A4:S""),15,FALSE))"),"")</f>
        <v/>
      </c>
      <c r="BB239" s="43" t="str">
        <f ca="1">IFERROR(__xludf.DUMMYFUNCTION("IFERROR(VLOOKUP(E253&amp;F253,IMPORTRANGE(""https://docs.google.com/spreadsheets/d/1Uw7-A9f9R21vMXxHZFNpYNeKFtG8_yji4HS352LGlSQ/edit?pli=1#gid=0"",""1_ACUM!A4:S""),16,FALSE))"),"")</f>
        <v/>
      </c>
      <c r="BC239" s="43" t="str">
        <f ca="1">IFERROR(__xludf.DUMMYFUNCTION("IFERROR(VLOOKUP(E253&amp;F253,IMPORTRANGE(""https://docs.google.com/spreadsheets/d/1Uw7-A9f9R21vMXxHZFNpYNeKFtG8_yji4HS352LGlSQ/edit?pli=1#gid=0"",""1_ACUM!A4:S""),17,FALSE))"),"")</f>
        <v/>
      </c>
      <c r="BD239" s="44" t="str">
        <f ca="1">IFERROR(__xludf.DUMMYFUNCTION("IFERROR(VLOOKUP(E253&amp;F253,IMPORTRANGE(""https://docs.google.com/spreadsheets/d/1Uw7-A9f9R21vMXxHZFNpYNeKFtG8_yji4HS352LGlSQ/edit?pli=1#gid=0"",""1_ACUM!A4:S""),18,FALSE))"),"")</f>
        <v/>
      </c>
      <c r="BE239" s="44" t="str">
        <f ca="1">IFERROR(__xludf.DUMMYFUNCTION("IFERROR(VLOOKUP(E253&amp;F253,IMPORTRANGE(""https://docs.google.com/spreadsheets/d/1Uw7-A9f9R21vMXxHZFNpYNeKFtG8_yji4HS352LGlSQ/edit?pli=1#gid=0"",""1_ACUM!A4:S""),19,FALSE))"),"")</f>
        <v/>
      </c>
      <c r="BF239" s="98" t="str">
        <f ca="1">IFERROR(__xludf.DUMMYFUNCTION("IFERROR(VLOOKUP(F253,IMPORTRANGE(""https://docs.google.com/spreadsheets/d/1Kvs4KS76FHFqLFIZfrDMff4kP08nblUkihrxltoGBjg/edit#gid=934712705"",""ESENCIAL!A6:BG""),5,FALSE))"),"")</f>
        <v/>
      </c>
      <c r="BG239" s="98" t="str">
        <f t="shared" si="13"/>
        <v/>
      </c>
      <c r="BH239" s="99" t="str">
        <f t="shared" si="14"/>
        <v/>
      </c>
      <c r="BI239" s="100" t="str">
        <f ca="1">IFERROR(__xludf.DUMMYFUNCTION("IFERROR(VLOOKUP(F253,IMPORTRANGE(""https://docs.google.com/spreadsheets/d/1Kvs4KS76FHFqLFIZfrDMff4kP08nblUkihrxltoGBjg/edit#gid=934712705"",""ESENCIAL!A6:BG""),2,FALSE))"),"")</f>
        <v/>
      </c>
      <c r="BJ239" s="19" t="str">
        <f t="shared" si="15"/>
        <v/>
      </c>
      <c r="BK239" s="100"/>
      <c r="BL239" s="100"/>
    </row>
    <row r="240" spans="1:64" ht="15">
      <c r="A240" s="101"/>
      <c r="B240" s="101"/>
      <c r="G240" s="5" t="str">
        <f ca="1">IFERROR(__xludf.DUMMYFUNCTION("IFERROR(VLOOKUP(F254,IMPORTRANGE(""https://docs.google.com/spreadsheets/d/1Kvs4KS76FHFqLFIZfrDMff4kP08nblUkihrxltoGBjg/edit#gid=934712705"",""ESENCIAL!A6:BG""),3,FALSE))"),"")</f>
        <v/>
      </c>
      <c r="H240" s="5" t="str">
        <f ca="1">IFERROR(__xludf.DUMMYFUNCTION("IFERROR(VLOOKUP(F254,IMPORTRANGE(""https://docs.google.com/spreadsheets/d/1Kvs4KS76FHFqLFIZfrDMff4kP08nblUkihrxltoGBjg/edit#gid=934712705"",""ESENCIAL!A6:BG""),8,FALSE))"),"")</f>
        <v/>
      </c>
      <c r="L240" s="287"/>
      <c r="U240" s="40"/>
      <c r="AU240" s="41" t="str">
        <f t="shared" si="12"/>
        <v/>
      </c>
      <c r="AV240" s="5" t="str">
        <f ca="1">IFERROR(__xludf.DUMMYFUNCTION("IFERROR(VLOOKUP(E254&amp;F254,IMPORTRANGE(""https://docs.google.com/spreadsheets/d/1Uw7-A9f9R21vMXxHZFNpYNeKFtG8_yji4HS352LGlSQ/edit?pli=1#gid=0"",""1_ACUM!A4:S""),11,FALSE))"),"")</f>
        <v/>
      </c>
      <c r="AW240" s="42" t="str">
        <f ca="1">IFERROR(__xludf.DUMMYFUNCTION("IFERROR(VLOOKUP(F254,IMPORTRANGE(""https://docs.google.com/spreadsheets/d/1Kvs4KS76FHFqLFIZfrDMff4kP08nblUkihrxltoGBjg/edit#gid=934712705"",""ESENCIAL!A6:BG""),15,FALSE))"),"")</f>
        <v/>
      </c>
      <c r="AX240" s="21" t="str">
        <f ca="1">IFERROR(__xludf.DUMMYFUNCTION("IFERROR(VLOOKUP(E254&amp;F254,IMPORTRANGE(""https://docs.google.com/spreadsheets/d/1Uw7-A9f9R21vMXxHZFNpYNeKFtG8_yji4HS352LGlSQ/edit?pli=1#gid=0"",""1_ACUM!A4:S""),12,FALSE))"),"")</f>
        <v/>
      </c>
      <c r="AY240" s="43" t="str">
        <f ca="1">IFERROR(__xludf.DUMMYFUNCTION("IFERROR(VLOOKUP(E254&amp;F254,IMPORTRANGE(""https://docs.google.com/spreadsheets/d/1Uw7-A9f9R21vMXxHZFNpYNeKFtG8_yji4HS352LGlSQ/edit?pli=1#gid=0"",""1_ACUM!A4:S""),13,FALSE))"),"")</f>
        <v/>
      </c>
      <c r="AZ240" s="43" t="str">
        <f ca="1">IFERROR(__xludf.DUMMYFUNCTION("IFERROR(VLOOKUP(E254&amp;F254,IMPORTRANGE(""https://docs.google.com/spreadsheets/d/1Uw7-A9f9R21vMXxHZFNpYNeKFtG8_yji4HS352LGlSQ/edit?pli=1#gid=0"",""1_ACUM!A4:S""),14,FALSE))"),"")</f>
        <v/>
      </c>
      <c r="BA240" s="43" t="str">
        <f ca="1">IFERROR(__xludf.DUMMYFUNCTION("IFERROR(VLOOKUP(E254&amp;F254,IMPORTRANGE(""https://docs.google.com/spreadsheets/d/1Uw7-A9f9R21vMXxHZFNpYNeKFtG8_yji4HS352LGlSQ/edit?pli=1#gid=0"",""1_ACUM!A4:S""),15,FALSE))"),"")</f>
        <v/>
      </c>
      <c r="BB240" s="43" t="str">
        <f ca="1">IFERROR(__xludf.DUMMYFUNCTION("IFERROR(VLOOKUP(E254&amp;F254,IMPORTRANGE(""https://docs.google.com/spreadsheets/d/1Uw7-A9f9R21vMXxHZFNpYNeKFtG8_yji4HS352LGlSQ/edit?pli=1#gid=0"",""1_ACUM!A4:S""),16,FALSE))"),"")</f>
        <v/>
      </c>
      <c r="BC240" s="43" t="str">
        <f ca="1">IFERROR(__xludf.DUMMYFUNCTION("IFERROR(VLOOKUP(E254&amp;F254,IMPORTRANGE(""https://docs.google.com/spreadsheets/d/1Uw7-A9f9R21vMXxHZFNpYNeKFtG8_yji4HS352LGlSQ/edit?pli=1#gid=0"",""1_ACUM!A4:S""),17,FALSE))"),"")</f>
        <v/>
      </c>
      <c r="BD240" s="44" t="str">
        <f ca="1">IFERROR(__xludf.DUMMYFUNCTION("IFERROR(VLOOKUP(E254&amp;F254,IMPORTRANGE(""https://docs.google.com/spreadsheets/d/1Uw7-A9f9R21vMXxHZFNpYNeKFtG8_yji4HS352LGlSQ/edit?pli=1#gid=0"",""1_ACUM!A4:S""),18,FALSE))"),"")</f>
        <v/>
      </c>
      <c r="BE240" s="44" t="str">
        <f ca="1">IFERROR(__xludf.DUMMYFUNCTION("IFERROR(VLOOKUP(E254&amp;F254,IMPORTRANGE(""https://docs.google.com/spreadsheets/d/1Uw7-A9f9R21vMXxHZFNpYNeKFtG8_yji4HS352LGlSQ/edit?pli=1#gid=0"",""1_ACUM!A4:S""),19,FALSE))"),"")</f>
        <v/>
      </c>
      <c r="BF240" s="98" t="str">
        <f ca="1">IFERROR(__xludf.DUMMYFUNCTION("IFERROR(VLOOKUP(F254,IMPORTRANGE(""https://docs.google.com/spreadsheets/d/1Kvs4KS76FHFqLFIZfrDMff4kP08nblUkihrxltoGBjg/edit#gid=934712705"",""ESENCIAL!A6:BG""),5,FALSE))"),"")</f>
        <v/>
      </c>
      <c r="BG240" s="98" t="str">
        <f t="shared" si="13"/>
        <v/>
      </c>
      <c r="BH240" s="99" t="str">
        <f t="shared" si="14"/>
        <v/>
      </c>
      <c r="BI240" s="100" t="str">
        <f ca="1">IFERROR(__xludf.DUMMYFUNCTION("IFERROR(VLOOKUP(F254,IMPORTRANGE(""https://docs.google.com/spreadsheets/d/1Kvs4KS76FHFqLFIZfrDMff4kP08nblUkihrxltoGBjg/edit#gid=934712705"",""ESENCIAL!A6:BG""),2,FALSE))"),"")</f>
        <v/>
      </c>
      <c r="BJ240" s="19" t="str">
        <f t="shared" si="15"/>
        <v/>
      </c>
      <c r="BK240" s="100"/>
      <c r="BL240" s="100"/>
    </row>
    <row r="241" spans="1:64" ht="15">
      <c r="A241" s="101"/>
      <c r="B241" s="101"/>
      <c r="G241" s="5" t="str">
        <f ca="1">IFERROR(__xludf.DUMMYFUNCTION("IFERROR(VLOOKUP(F255,IMPORTRANGE(""https://docs.google.com/spreadsheets/d/1Kvs4KS76FHFqLFIZfrDMff4kP08nblUkihrxltoGBjg/edit#gid=934712705"",""ESENCIAL!A6:BG""),3,FALSE))"),"")</f>
        <v/>
      </c>
      <c r="H241" s="5" t="str">
        <f ca="1">IFERROR(__xludf.DUMMYFUNCTION("IFERROR(VLOOKUP(F255,IMPORTRANGE(""https://docs.google.com/spreadsheets/d/1Kvs4KS76FHFqLFIZfrDMff4kP08nblUkihrxltoGBjg/edit#gid=934712705"",""ESENCIAL!A6:BG""),8,FALSE))"),"")</f>
        <v/>
      </c>
      <c r="L241" s="287"/>
      <c r="U241" s="40"/>
      <c r="AU241" s="41" t="str">
        <f t="shared" si="12"/>
        <v/>
      </c>
      <c r="AV241" s="5" t="str">
        <f ca="1">IFERROR(__xludf.DUMMYFUNCTION("IFERROR(VLOOKUP(E255&amp;F255,IMPORTRANGE(""https://docs.google.com/spreadsheets/d/1Uw7-A9f9R21vMXxHZFNpYNeKFtG8_yji4HS352LGlSQ/edit?pli=1#gid=0"",""1_ACUM!A4:S""),11,FALSE))"),"")</f>
        <v/>
      </c>
      <c r="AW241" s="42" t="str">
        <f ca="1">IFERROR(__xludf.DUMMYFUNCTION("IFERROR(VLOOKUP(F255,IMPORTRANGE(""https://docs.google.com/spreadsheets/d/1Kvs4KS76FHFqLFIZfrDMff4kP08nblUkihrxltoGBjg/edit#gid=934712705"",""ESENCIAL!A6:BG""),15,FALSE))"),"")</f>
        <v/>
      </c>
      <c r="AX241" s="21" t="str">
        <f ca="1">IFERROR(__xludf.DUMMYFUNCTION("IFERROR(VLOOKUP(E255&amp;F255,IMPORTRANGE(""https://docs.google.com/spreadsheets/d/1Uw7-A9f9R21vMXxHZFNpYNeKFtG8_yji4HS352LGlSQ/edit?pli=1#gid=0"",""1_ACUM!A4:S""),12,FALSE))"),"")</f>
        <v/>
      </c>
      <c r="AY241" s="43" t="str">
        <f ca="1">IFERROR(__xludf.DUMMYFUNCTION("IFERROR(VLOOKUP(E255&amp;F255,IMPORTRANGE(""https://docs.google.com/spreadsheets/d/1Uw7-A9f9R21vMXxHZFNpYNeKFtG8_yji4HS352LGlSQ/edit?pli=1#gid=0"",""1_ACUM!A4:S""),13,FALSE))"),"")</f>
        <v/>
      </c>
      <c r="AZ241" s="43" t="str">
        <f ca="1">IFERROR(__xludf.DUMMYFUNCTION("IFERROR(VLOOKUP(E255&amp;F255,IMPORTRANGE(""https://docs.google.com/spreadsheets/d/1Uw7-A9f9R21vMXxHZFNpYNeKFtG8_yji4HS352LGlSQ/edit?pli=1#gid=0"",""1_ACUM!A4:S""),14,FALSE))"),"")</f>
        <v/>
      </c>
      <c r="BA241" s="43" t="str">
        <f ca="1">IFERROR(__xludf.DUMMYFUNCTION("IFERROR(VLOOKUP(E255&amp;F255,IMPORTRANGE(""https://docs.google.com/spreadsheets/d/1Uw7-A9f9R21vMXxHZFNpYNeKFtG8_yji4HS352LGlSQ/edit?pli=1#gid=0"",""1_ACUM!A4:S""),15,FALSE))"),"")</f>
        <v/>
      </c>
      <c r="BB241" s="43" t="str">
        <f ca="1">IFERROR(__xludf.DUMMYFUNCTION("IFERROR(VLOOKUP(E255&amp;F255,IMPORTRANGE(""https://docs.google.com/spreadsheets/d/1Uw7-A9f9R21vMXxHZFNpYNeKFtG8_yji4HS352LGlSQ/edit?pli=1#gid=0"",""1_ACUM!A4:S""),16,FALSE))"),"")</f>
        <v/>
      </c>
      <c r="BC241" s="43" t="str">
        <f ca="1">IFERROR(__xludf.DUMMYFUNCTION("IFERROR(VLOOKUP(E255&amp;F255,IMPORTRANGE(""https://docs.google.com/spreadsheets/d/1Uw7-A9f9R21vMXxHZFNpYNeKFtG8_yji4HS352LGlSQ/edit?pli=1#gid=0"",""1_ACUM!A4:S""),17,FALSE))"),"")</f>
        <v/>
      </c>
      <c r="BD241" s="44" t="str">
        <f ca="1">IFERROR(__xludf.DUMMYFUNCTION("IFERROR(VLOOKUP(E255&amp;F255,IMPORTRANGE(""https://docs.google.com/spreadsheets/d/1Uw7-A9f9R21vMXxHZFNpYNeKFtG8_yji4HS352LGlSQ/edit?pli=1#gid=0"",""1_ACUM!A4:S""),18,FALSE))"),"")</f>
        <v/>
      </c>
      <c r="BE241" s="44" t="str">
        <f ca="1">IFERROR(__xludf.DUMMYFUNCTION("IFERROR(VLOOKUP(E255&amp;F255,IMPORTRANGE(""https://docs.google.com/spreadsheets/d/1Uw7-A9f9R21vMXxHZFNpYNeKFtG8_yji4HS352LGlSQ/edit?pli=1#gid=0"",""1_ACUM!A4:S""),19,FALSE))"),"")</f>
        <v/>
      </c>
      <c r="BF241" s="98" t="str">
        <f ca="1">IFERROR(__xludf.DUMMYFUNCTION("IFERROR(VLOOKUP(F255,IMPORTRANGE(""https://docs.google.com/spreadsheets/d/1Kvs4KS76FHFqLFIZfrDMff4kP08nblUkihrxltoGBjg/edit#gid=934712705"",""ESENCIAL!A6:BG""),5,FALSE))"),"")</f>
        <v/>
      </c>
      <c r="BG241" s="98" t="str">
        <f t="shared" si="13"/>
        <v/>
      </c>
      <c r="BH241" s="99" t="str">
        <f t="shared" si="14"/>
        <v/>
      </c>
      <c r="BI241" s="100" t="str">
        <f ca="1">IFERROR(__xludf.DUMMYFUNCTION("IFERROR(VLOOKUP(F255,IMPORTRANGE(""https://docs.google.com/spreadsheets/d/1Kvs4KS76FHFqLFIZfrDMff4kP08nblUkihrxltoGBjg/edit#gid=934712705"",""ESENCIAL!A6:BG""),2,FALSE))"),"")</f>
        <v/>
      </c>
      <c r="BJ241" s="19" t="str">
        <f t="shared" si="15"/>
        <v/>
      </c>
      <c r="BK241" s="100"/>
      <c r="BL241" s="100"/>
    </row>
    <row r="242" spans="1:64" ht="15">
      <c r="A242" s="101"/>
      <c r="B242" s="101"/>
      <c r="G242" s="5" t="str">
        <f ca="1">IFERROR(__xludf.DUMMYFUNCTION("IFERROR(VLOOKUP(F256,IMPORTRANGE(""https://docs.google.com/spreadsheets/d/1Kvs4KS76FHFqLFIZfrDMff4kP08nblUkihrxltoGBjg/edit#gid=934712705"",""ESENCIAL!A6:BG""),3,FALSE))"),"")</f>
        <v/>
      </c>
      <c r="H242" s="5" t="str">
        <f ca="1">IFERROR(__xludf.DUMMYFUNCTION("IFERROR(VLOOKUP(F256,IMPORTRANGE(""https://docs.google.com/spreadsheets/d/1Kvs4KS76FHFqLFIZfrDMff4kP08nblUkihrxltoGBjg/edit#gid=934712705"",""ESENCIAL!A6:BG""),8,FALSE))"),"")</f>
        <v/>
      </c>
      <c r="L242" s="287"/>
      <c r="U242" s="40"/>
      <c r="AU242" s="41" t="str">
        <f t="shared" si="12"/>
        <v/>
      </c>
      <c r="AV242" s="5" t="str">
        <f ca="1">IFERROR(__xludf.DUMMYFUNCTION("IFERROR(VLOOKUP(E256&amp;F256,IMPORTRANGE(""https://docs.google.com/spreadsheets/d/1Uw7-A9f9R21vMXxHZFNpYNeKFtG8_yji4HS352LGlSQ/edit?pli=1#gid=0"",""1_ACUM!A4:S""),11,FALSE))"),"")</f>
        <v/>
      </c>
      <c r="AW242" s="42" t="str">
        <f ca="1">IFERROR(__xludf.DUMMYFUNCTION("IFERROR(VLOOKUP(F256,IMPORTRANGE(""https://docs.google.com/spreadsheets/d/1Kvs4KS76FHFqLFIZfrDMff4kP08nblUkihrxltoGBjg/edit#gid=934712705"",""ESENCIAL!A6:BG""),15,FALSE))"),"")</f>
        <v/>
      </c>
      <c r="AX242" s="21" t="str">
        <f ca="1">IFERROR(__xludf.DUMMYFUNCTION("IFERROR(VLOOKUP(E256&amp;F256,IMPORTRANGE(""https://docs.google.com/spreadsheets/d/1Uw7-A9f9R21vMXxHZFNpYNeKFtG8_yji4HS352LGlSQ/edit?pli=1#gid=0"",""1_ACUM!A4:S""),12,FALSE))"),"")</f>
        <v/>
      </c>
      <c r="AY242" s="43" t="str">
        <f ca="1">IFERROR(__xludf.DUMMYFUNCTION("IFERROR(VLOOKUP(E256&amp;F256,IMPORTRANGE(""https://docs.google.com/spreadsheets/d/1Uw7-A9f9R21vMXxHZFNpYNeKFtG8_yji4HS352LGlSQ/edit?pli=1#gid=0"",""1_ACUM!A4:S""),13,FALSE))"),"")</f>
        <v/>
      </c>
      <c r="AZ242" s="43" t="str">
        <f ca="1">IFERROR(__xludf.DUMMYFUNCTION("IFERROR(VLOOKUP(E256&amp;F256,IMPORTRANGE(""https://docs.google.com/spreadsheets/d/1Uw7-A9f9R21vMXxHZFNpYNeKFtG8_yji4HS352LGlSQ/edit?pli=1#gid=0"",""1_ACUM!A4:S""),14,FALSE))"),"")</f>
        <v/>
      </c>
      <c r="BA242" s="43" t="str">
        <f ca="1">IFERROR(__xludf.DUMMYFUNCTION("IFERROR(VLOOKUP(E256&amp;F256,IMPORTRANGE(""https://docs.google.com/spreadsheets/d/1Uw7-A9f9R21vMXxHZFNpYNeKFtG8_yji4HS352LGlSQ/edit?pli=1#gid=0"",""1_ACUM!A4:S""),15,FALSE))"),"")</f>
        <v/>
      </c>
      <c r="BB242" s="43" t="str">
        <f ca="1">IFERROR(__xludf.DUMMYFUNCTION("IFERROR(VLOOKUP(E256&amp;F256,IMPORTRANGE(""https://docs.google.com/spreadsheets/d/1Uw7-A9f9R21vMXxHZFNpYNeKFtG8_yji4HS352LGlSQ/edit?pli=1#gid=0"",""1_ACUM!A4:S""),16,FALSE))"),"")</f>
        <v/>
      </c>
      <c r="BC242" s="43" t="str">
        <f ca="1">IFERROR(__xludf.DUMMYFUNCTION("IFERROR(VLOOKUP(E256&amp;F256,IMPORTRANGE(""https://docs.google.com/spreadsheets/d/1Uw7-A9f9R21vMXxHZFNpYNeKFtG8_yji4HS352LGlSQ/edit?pli=1#gid=0"",""1_ACUM!A4:S""),17,FALSE))"),"")</f>
        <v/>
      </c>
      <c r="BD242" s="44" t="str">
        <f ca="1">IFERROR(__xludf.DUMMYFUNCTION("IFERROR(VLOOKUP(E256&amp;F256,IMPORTRANGE(""https://docs.google.com/spreadsheets/d/1Uw7-A9f9R21vMXxHZFNpYNeKFtG8_yji4HS352LGlSQ/edit?pli=1#gid=0"",""1_ACUM!A4:S""),18,FALSE))"),"")</f>
        <v/>
      </c>
      <c r="BE242" s="44" t="str">
        <f ca="1">IFERROR(__xludf.DUMMYFUNCTION("IFERROR(VLOOKUP(E256&amp;F256,IMPORTRANGE(""https://docs.google.com/spreadsheets/d/1Uw7-A9f9R21vMXxHZFNpYNeKFtG8_yji4HS352LGlSQ/edit?pli=1#gid=0"",""1_ACUM!A4:S""),19,FALSE))"),"")</f>
        <v/>
      </c>
      <c r="BF242" s="98" t="str">
        <f ca="1">IFERROR(__xludf.DUMMYFUNCTION("IFERROR(VLOOKUP(F256,IMPORTRANGE(""https://docs.google.com/spreadsheets/d/1Kvs4KS76FHFqLFIZfrDMff4kP08nblUkihrxltoGBjg/edit#gid=934712705"",""ESENCIAL!A6:BG""),5,FALSE))"),"")</f>
        <v/>
      </c>
      <c r="BG242" s="98" t="str">
        <f t="shared" si="13"/>
        <v/>
      </c>
      <c r="BH242" s="99" t="str">
        <f t="shared" si="14"/>
        <v/>
      </c>
      <c r="BI242" s="100" t="str">
        <f ca="1">IFERROR(__xludf.DUMMYFUNCTION("IFERROR(VLOOKUP(F256,IMPORTRANGE(""https://docs.google.com/spreadsheets/d/1Kvs4KS76FHFqLFIZfrDMff4kP08nblUkihrxltoGBjg/edit#gid=934712705"",""ESENCIAL!A6:BG""),2,FALSE))"),"")</f>
        <v/>
      </c>
      <c r="BJ242" s="19" t="str">
        <f t="shared" si="15"/>
        <v/>
      </c>
      <c r="BK242" s="100"/>
      <c r="BL242" s="100"/>
    </row>
    <row r="243" spans="1:64" ht="15">
      <c r="A243" s="101"/>
      <c r="B243" s="101"/>
      <c r="G243" s="5" t="str">
        <f ca="1">IFERROR(__xludf.DUMMYFUNCTION("IFERROR(VLOOKUP(F257,IMPORTRANGE(""https://docs.google.com/spreadsheets/d/1Kvs4KS76FHFqLFIZfrDMff4kP08nblUkihrxltoGBjg/edit#gid=934712705"",""ESENCIAL!A6:BG""),3,FALSE))"),"")</f>
        <v/>
      </c>
      <c r="H243" s="5" t="str">
        <f ca="1">IFERROR(__xludf.DUMMYFUNCTION("IFERROR(VLOOKUP(F257,IMPORTRANGE(""https://docs.google.com/spreadsheets/d/1Kvs4KS76FHFqLFIZfrDMff4kP08nblUkihrxltoGBjg/edit#gid=934712705"",""ESENCIAL!A6:BG""),8,FALSE))"),"")</f>
        <v/>
      </c>
      <c r="L243" s="287"/>
      <c r="U243" s="40"/>
      <c r="AU243" s="41" t="str">
        <f t="shared" si="12"/>
        <v/>
      </c>
      <c r="AV243" s="5" t="str">
        <f ca="1">IFERROR(__xludf.DUMMYFUNCTION("IFERROR(VLOOKUP(E257&amp;F257,IMPORTRANGE(""https://docs.google.com/spreadsheets/d/1Uw7-A9f9R21vMXxHZFNpYNeKFtG8_yji4HS352LGlSQ/edit?pli=1#gid=0"",""1_ACUM!A4:S""),11,FALSE))"),"")</f>
        <v/>
      </c>
      <c r="AW243" s="42" t="str">
        <f ca="1">IFERROR(__xludf.DUMMYFUNCTION("IFERROR(VLOOKUP(F257,IMPORTRANGE(""https://docs.google.com/spreadsheets/d/1Kvs4KS76FHFqLFIZfrDMff4kP08nblUkihrxltoGBjg/edit#gid=934712705"",""ESENCIAL!A6:BG""),15,FALSE))"),"")</f>
        <v/>
      </c>
      <c r="AX243" s="21" t="str">
        <f ca="1">IFERROR(__xludf.DUMMYFUNCTION("IFERROR(VLOOKUP(E257&amp;F257,IMPORTRANGE(""https://docs.google.com/spreadsheets/d/1Uw7-A9f9R21vMXxHZFNpYNeKFtG8_yji4HS352LGlSQ/edit?pli=1#gid=0"",""1_ACUM!A4:S""),12,FALSE))"),"")</f>
        <v/>
      </c>
      <c r="AY243" s="43" t="str">
        <f ca="1">IFERROR(__xludf.DUMMYFUNCTION("IFERROR(VLOOKUP(E257&amp;F257,IMPORTRANGE(""https://docs.google.com/spreadsheets/d/1Uw7-A9f9R21vMXxHZFNpYNeKFtG8_yji4HS352LGlSQ/edit?pli=1#gid=0"",""1_ACUM!A4:S""),13,FALSE))"),"")</f>
        <v/>
      </c>
      <c r="AZ243" s="43" t="str">
        <f ca="1">IFERROR(__xludf.DUMMYFUNCTION("IFERROR(VLOOKUP(E257&amp;F257,IMPORTRANGE(""https://docs.google.com/spreadsheets/d/1Uw7-A9f9R21vMXxHZFNpYNeKFtG8_yji4HS352LGlSQ/edit?pli=1#gid=0"",""1_ACUM!A4:S""),14,FALSE))"),"")</f>
        <v/>
      </c>
      <c r="BA243" s="43" t="str">
        <f ca="1">IFERROR(__xludf.DUMMYFUNCTION("IFERROR(VLOOKUP(E257&amp;F257,IMPORTRANGE(""https://docs.google.com/spreadsheets/d/1Uw7-A9f9R21vMXxHZFNpYNeKFtG8_yji4HS352LGlSQ/edit?pli=1#gid=0"",""1_ACUM!A4:S""),15,FALSE))"),"")</f>
        <v/>
      </c>
      <c r="BB243" s="43" t="str">
        <f ca="1">IFERROR(__xludf.DUMMYFUNCTION("IFERROR(VLOOKUP(E257&amp;F257,IMPORTRANGE(""https://docs.google.com/spreadsheets/d/1Uw7-A9f9R21vMXxHZFNpYNeKFtG8_yji4HS352LGlSQ/edit?pli=1#gid=0"",""1_ACUM!A4:S""),16,FALSE))"),"")</f>
        <v/>
      </c>
      <c r="BC243" s="43" t="str">
        <f ca="1">IFERROR(__xludf.DUMMYFUNCTION("IFERROR(VLOOKUP(E257&amp;F257,IMPORTRANGE(""https://docs.google.com/spreadsheets/d/1Uw7-A9f9R21vMXxHZFNpYNeKFtG8_yji4HS352LGlSQ/edit?pli=1#gid=0"",""1_ACUM!A4:S""),17,FALSE))"),"")</f>
        <v/>
      </c>
      <c r="BD243" s="44" t="str">
        <f ca="1">IFERROR(__xludf.DUMMYFUNCTION("IFERROR(VLOOKUP(E257&amp;F257,IMPORTRANGE(""https://docs.google.com/spreadsheets/d/1Uw7-A9f9R21vMXxHZFNpYNeKFtG8_yji4HS352LGlSQ/edit?pli=1#gid=0"",""1_ACUM!A4:S""),18,FALSE))"),"")</f>
        <v/>
      </c>
      <c r="BE243" s="44" t="str">
        <f ca="1">IFERROR(__xludf.DUMMYFUNCTION("IFERROR(VLOOKUP(E257&amp;F257,IMPORTRANGE(""https://docs.google.com/spreadsheets/d/1Uw7-A9f9R21vMXxHZFNpYNeKFtG8_yji4HS352LGlSQ/edit?pli=1#gid=0"",""1_ACUM!A4:S""),19,FALSE))"),"")</f>
        <v/>
      </c>
      <c r="BF243" s="98" t="str">
        <f ca="1">IFERROR(__xludf.DUMMYFUNCTION("IFERROR(VLOOKUP(F257,IMPORTRANGE(""https://docs.google.com/spreadsheets/d/1Kvs4KS76FHFqLFIZfrDMff4kP08nblUkihrxltoGBjg/edit#gid=934712705"",""ESENCIAL!A6:BG""),5,FALSE))"),"")</f>
        <v/>
      </c>
      <c r="BG243" s="98" t="str">
        <f t="shared" si="13"/>
        <v/>
      </c>
      <c r="BH243" s="99" t="str">
        <f t="shared" si="14"/>
        <v/>
      </c>
      <c r="BI243" s="100" t="str">
        <f ca="1">IFERROR(__xludf.DUMMYFUNCTION("IFERROR(VLOOKUP(F257,IMPORTRANGE(""https://docs.google.com/spreadsheets/d/1Kvs4KS76FHFqLFIZfrDMff4kP08nblUkihrxltoGBjg/edit#gid=934712705"",""ESENCIAL!A6:BG""),2,FALSE))"),"")</f>
        <v/>
      </c>
      <c r="BJ243" s="19" t="str">
        <f t="shared" si="15"/>
        <v/>
      </c>
      <c r="BK243" s="100"/>
      <c r="BL243" s="100"/>
    </row>
    <row r="244" spans="1:64" ht="15">
      <c r="A244" s="101"/>
      <c r="B244" s="101"/>
      <c r="G244" s="5" t="str">
        <f ca="1">IFERROR(__xludf.DUMMYFUNCTION("IFERROR(VLOOKUP(F258,IMPORTRANGE(""https://docs.google.com/spreadsheets/d/1Kvs4KS76FHFqLFIZfrDMff4kP08nblUkihrxltoGBjg/edit#gid=934712705"",""ESENCIAL!A6:BG""),3,FALSE))"),"")</f>
        <v/>
      </c>
      <c r="H244" s="5" t="str">
        <f ca="1">IFERROR(__xludf.DUMMYFUNCTION("IFERROR(VLOOKUP(F258,IMPORTRANGE(""https://docs.google.com/spreadsheets/d/1Kvs4KS76FHFqLFIZfrDMff4kP08nblUkihrxltoGBjg/edit#gid=934712705"",""ESENCIAL!A6:BG""),8,FALSE))"),"")</f>
        <v/>
      </c>
      <c r="L244" s="287"/>
      <c r="U244" s="40"/>
      <c r="AU244" s="41" t="str">
        <f t="shared" ref="AU244:AU498" si="16">IF(E244&gt;0,IF(AND(BC244=1,AZ244=1),"Procede_E_P","NO_CUMPLE"),"")</f>
        <v/>
      </c>
      <c r="AV244" s="5" t="str">
        <f ca="1">IFERROR(__xludf.DUMMYFUNCTION("IFERROR(VLOOKUP(E258&amp;F258,IMPORTRANGE(""https://docs.google.com/spreadsheets/d/1Uw7-A9f9R21vMXxHZFNpYNeKFtG8_yji4HS352LGlSQ/edit?pli=1#gid=0"",""1_ACUM!A4:S""),11,FALSE))"),"")</f>
        <v/>
      </c>
      <c r="AW244" s="42" t="str">
        <f ca="1">IFERROR(__xludf.DUMMYFUNCTION("IFERROR(VLOOKUP(F258,IMPORTRANGE(""https://docs.google.com/spreadsheets/d/1Kvs4KS76FHFqLFIZfrDMff4kP08nblUkihrxltoGBjg/edit#gid=934712705"",""ESENCIAL!A6:BG""),15,FALSE))"),"")</f>
        <v/>
      </c>
      <c r="AX244" s="21" t="str">
        <f ca="1">IFERROR(__xludf.DUMMYFUNCTION("IFERROR(VLOOKUP(E258&amp;F258,IMPORTRANGE(""https://docs.google.com/spreadsheets/d/1Uw7-A9f9R21vMXxHZFNpYNeKFtG8_yji4HS352LGlSQ/edit?pli=1#gid=0"",""1_ACUM!A4:S""),12,FALSE))"),"")</f>
        <v/>
      </c>
      <c r="AY244" s="43" t="str">
        <f ca="1">IFERROR(__xludf.DUMMYFUNCTION("IFERROR(VLOOKUP(E258&amp;F258,IMPORTRANGE(""https://docs.google.com/spreadsheets/d/1Uw7-A9f9R21vMXxHZFNpYNeKFtG8_yji4HS352LGlSQ/edit?pli=1#gid=0"",""1_ACUM!A4:S""),13,FALSE))"),"")</f>
        <v/>
      </c>
      <c r="AZ244" s="43" t="str">
        <f ca="1">IFERROR(__xludf.DUMMYFUNCTION("IFERROR(VLOOKUP(E258&amp;F258,IMPORTRANGE(""https://docs.google.com/spreadsheets/d/1Uw7-A9f9R21vMXxHZFNpYNeKFtG8_yji4HS352LGlSQ/edit?pli=1#gid=0"",""1_ACUM!A4:S""),14,FALSE))"),"")</f>
        <v/>
      </c>
      <c r="BA244" s="43" t="str">
        <f ca="1">IFERROR(__xludf.DUMMYFUNCTION("IFERROR(VLOOKUP(E258&amp;F258,IMPORTRANGE(""https://docs.google.com/spreadsheets/d/1Uw7-A9f9R21vMXxHZFNpYNeKFtG8_yji4HS352LGlSQ/edit?pli=1#gid=0"",""1_ACUM!A4:S""),15,FALSE))"),"")</f>
        <v/>
      </c>
      <c r="BB244" s="43" t="str">
        <f ca="1">IFERROR(__xludf.DUMMYFUNCTION("IFERROR(VLOOKUP(E258&amp;F258,IMPORTRANGE(""https://docs.google.com/spreadsheets/d/1Uw7-A9f9R21vMXxHZFNpYNeKFtG8_yji4HS352LGlSQ/edit?pli=1#gid=0"",""1_ACUM!A4:S""),16,FALSE))"),"")</f>
        <v/>
      </c>
      <c r="BC244" s="43" t="str">
        <f ca="1">IFERROR(__xludf.DUMMYFUNCTION("IFERROR(VLOOKUP(E258&amp;F258,IMPORTRANGE(""https://docs.google.com/spreadsheets/d/1Uw7-A9f9R21vMXxHZFNpYNeKFtG8_yji4HS352LGlSQ/edit?pli=1#gid=0"",""1_ACUM!A4:S""),17,FALSE))"),"")</f>
        <v/>
      </c>
      <c r="BD244" s="44" t="str">
        <f ca="1">IFERROR(__xludf.DUMMYFUNCTION("IFERROR(VLOOKUP(E258&amp;F258,IMPORTRANGE(""https://docs.google.com/spreadsheets/d/1Uw7-A9f9R21vMXxHZFNpYNeKFtG8_yji4HS352LGlSQ/edit?pli=1#gid=0"",""1_ACUM!A4:S""),18,FALSE))"),"")</f>
        <v/>
      </c>
      <c r="BE244" s="44" t="str">
        <f ca="1">IFERROR(__xludf.DUMMYFUNCTION("IFERROR(VLOOKUP(E258&amp;F258,IMPORTRANGE(""https://docs.google.com/spreadsheets/d/1Uw7-A9f9R21vMXxHZFNpYNeKFtG8_yji4HS352LGlSQ/edit?pli=1#gid=0"",""1_ACUM!A4:S""),19,FALSE))"),"")</f>
        <v/>
      </c>
      <c r="BF244" s="98" t="str">
        <f ca="1">IFERROR(__xludf.DUMMYFUNCTION("IFERROR(VLOOKUP(F258,IMPORTRANGE(""https://docs.google.com/spreadsheets/d/1Kvs4KS76FHFqLFIZfrDMff4kP08nblUkihrxltoGBjg/edit#gid=934712705"",""ESENCIAL!A6:BG""),5,FALSE))"),"")</f>
        <v/>
      </c>
      <c r="BG244" s="98" t="str">
        <f t="shared" ref="BG244:BG498" si="17">IF(F244&gt;0,EDATE(BF244,18),"")</f>
        <v/>
      </c>
      <c r="BH244" s="99" t="str">
        <f t="shared" ref="BH244:BH498" si="18">IF(F244&gt;0,IF(BG244&lt;$BH$1,"FINALIZAR FICHA","FICHA EN TIEMPO-18 MESES"),"")</f>
        <v/>
      </c>
      <c r="BI244" s="100" t="str">
        <f ca="1">IFERROR(__xludf.DUMMYFUNCTION("IFERROR(VLOOKUP(F258,IMPORTRANGE(""https://docs.google.com/spreadsheets/d/1Kvs4KS76FHFqLFIZfrDMff4kP08nblUkihrxltoGBjg/edit#gid=934712705"",""ESENCIAL!A6:BG""),2,FALSE))"),"")</f>
        <v/>
      </c>
      <c r="BJ244" s="19" t="str">
        <f t="shared" ref="BJ244:BJ498" si="19">IF(F244&gt;0,"Yamboro","")</f>
        <v/>
      </c>
      <c r="BK244" s="100"/>
      <c r="BL244" s="100"/>
    </row>
    <row r="245" spans="1:64" ht="15">
      <c r="A245" s="101"/>
      <c r="B245" s="101"/>
      <c r="G245" s="5" t="str">
        <f ca="1">IFERROR(__xludf.DUMMYFUNCTION("IFERROR(VLOOKUP(F259,IMPORTRANGE(""https://docs.google.com/spreadsheets/d/1Kvs4KS76FHFqLFIZfrDMff4kP08nblUkihrxltoGBjg/edit#gid=934712705"",""ESENCIAL!A6:BG""),3,FALSE))"),"")</f>
        <v/>
      </c>
      <c r="H245" s="5" t="str">
        <f ca="1">IFERROR(__xludf.DUMMYFUNCTION("IFERROR(VLOOKUP(F259,IMPORTRANGE(""https://docs.google.com/spreadsheets/d/1Kvs4KS76FHFqLFIZfrDMff4kP08nblUkihrxltoGBjg/edit#gid=934712705"",""ESENCIAL!A6:BG""),8,FALSE))"),"")</f>
        <v/>
      </c>
      <c r="L245" s="287"/>
      <c r="U245" s="40"/>
      <c r="AU245" s="41" t="str">
        <f t="shared" si="16"/>
        <v/>
      </c>
      <c r="AV245" s="5" t="str">
        <f ca="1">IFERROR(__xludf.DUMMYFUNCTION("IFERROR(VLOOKUP(E259&amp;F259,IMPORTRANGE(""https://docs.google.com/spreadsheets/d/1Uw7-A9f9R21vMXxHZFNpYNeKFtG8_yji4HS352LGlSQ/edit?pli=1#gid=0"",""1_ACUM!A4:S""),11,FALSE))"),"")</f>
        <v/>
      </c>
      <c r="AW245" s="42" t="str">
        <f ca="1">IFERROR(__xludf.DUMMYFUNCTION("IFERROR(VLOOKUP(F259,IMPORTRANGE(""https://docs.google.com/spreadsheets/d/1Kvs4KS76FHFqLFIZfrDMff4kP08nblUkihrxltoGBjg/edit#gid=934712705"",""ESENCIAL!A6:BG""),15,FALSE))"),"")</f>
        <v/>
      </c>
      <c r="AX245" s="21" t="str">
        <f ca="1">IFERROR(__xludf.DUMMYFUNCTION("IFERROR(VLOOKUP(E259&amp;F259,IMPORTRANGE(""https://docs.google.com/spreadsheets/d/1Uw7-A9f9R21vMXxHZFNpYNeKFtG8_yji4HS352LGlSQ/edit?pli=1#gid=0"",""1_ACUM!A4:S""),12,FALSE))"),"")</f>
        <v/>
      </c>
      <c r="AY245" s="43" t="str">
        <f ca="1">IFERROR(__xludf.DUMMYFUNCTION("IFERROR(VLOOKUP(E259&amp;F259,IMPORTRANGE(""https://docs.google.com/spreadsheets/d/1Uw7-A9f9R21vMXxHZFNpYNeKFtG8_yji4HS352LGlSQ/edit?pli=1#gid=0"",""1_ACUM!A4:S""),13,FALSE))"),"")</f>
        <v/>
      </c>
      <c r="AZ245" s="43" t="str">
        <f ca="1">IFERROR(__xludf.DUMMYFUNCTION("IFERROR(VLOOKUP(E259&amp;F259,IMPORTRANGE(""https://docs.google.com/spreadsheets/d/1Uw7-A9f9R21vMXxHZFNpYNeKFtG8_yji4HS352LGlSQ/edit?pli=1#gid=0"",""1_ACUM!A4:S""),14,FALSE))"),"")</f>
        <v/>
      </c>
      <c r="BA245" s="43" t="str">
        <f ca="1">IFERROR(__xludf.DUMMYFUNCTION("IFERROR(VLOOKUP(E259&amp;F259,IMPORTRANGE(""https://docs.google.com/spreadsheets/d/1Uw7-A9f9R21vMXxHZFNpYNeKFtG8_yji4HS352LGlSQ/edit?pli=1#gid=0"",""1_ACUM!A4:S""),15,FALSE))"),"")</f>
        <v/>
      </c>
      <c r="BB245" s="43" t="str">
        <f ca="1">IFERROR(__xludf.DUMMYFUNCTION("IFERROR(VLOOKUP(E259&amp;F259,IMPORTRANGE(""https://docs.google.com/spreadsheets/d/1Uw7-A9f9R21vMXxHZFNpYNeKFtG8_yji4HS352LGlSQ/edit?pli=1#gid=0"",""1_ACUM!A4:S""),16,FALSE))"),"")</f>
        <v/>
      </c>
      <c r="BC245" s="43" t="str">
        <f ca="1">IFERROR(__xludf.DUMMYFUNCTION("IFERROR(VLOOKUP(E259&amp;F259,IMPORTRANGE(""https://docs.google.com/spreadsheets/d/1Uw7-A9f9R21vMXxHZFNpYNeKFtG8_yji4HS352LGlSQ/edit?pli=1#gid=0"",""1_ACUM!A4:S""),17,FALSE))"),"")</f>
        <v/>
      </c>
      <c r="BD245" s="44" t="str">
        <f ca="1">IFERROR(__xludf.DUMMYFUNCTION("IFERROR(VLOOKUP(E259&amp;F259,IMPORTRANGE(""https://docs.google.com/spreadsheets/d/1Uw7-A9f9R21vMXxHZFNpYNeKFtG8_yji4HS352LGlSQ/edit?pli=1#gid=0"",""1_ACUM!A4:S""),18,FALSE))"),"")</f>
        <v/>
      </c>
      <c r="BE245" s="44" t="str">
        <f ca="1">IFERROR(__xludf.DUMMYFUNCTION("IFERROR(VLOOKUP(E259&amp;F259,IMPORTRANGE(""https://docs.google.com/spreadsheets/d/1Uw7-A9f9R21vMXxHZFNpYNeKFtG8_yji4HS352LGlSQ/edit?pli=1#gid=0"",""1_ACUM!A4:S""),19,FALSE))"),"")</f>
        <v/>
      </c>
      <c r="BF245" s="98" t="str">
        <f ca="1">IFERROR(__xludf.DUMMYFUNCTION("IFERROR(VLOOKUP(F259,IMPORTRANGE(""https://docs.google.com/spreadsheets/d/1Kvs4KS76FHFqLFIZfrDMff4kP08nblUkihrxltoGBjg/edit#gid=934712705"",""ESENCIAL!A6:BG""),5,FALSE))"),"")</f>
        <v/>
      </c>
      <c r="BG245" s="98" t="str">
        <f t="shared" si="17"/>
        <v/>
      </c>
      <c r="BH245" s="99" t="str">
        <f t="shared" si="18"/>
        <v/>
      </c>
      <c r="BI245" s="100" t="str">
        <f ca="1">IFERROR(__xludf.DUMMYFUNCTION("IFERROR(VLOOKUP(F259,IMPORTRANGE(""https://docs.google.com/spreadsheets/d/1Kvs4KS76FHFqLFIZfrDMff4kP08nblUkihrxltoGBjg/edit#gid=934712705"",""ESENCIAL!A6:BG""),2,FALSE))"),"")</f>
        <v/>
      </c>
      <c r="BJ245" s="19" t="str">
        <f t="shared" si="19"/>
        <v/>
      </c>
      <c r="BK245" s="100"/>
      <c r="BL245" s="100"/>
    </row>
    <row r="246" spans="1:64" ht="15">
      <c r="A246" s="101"/>
      <c r="B246" s="101"/>
      <c r="G246" s="5" t="str">
        <f ca="1">IFERROR(__xludf.DUMMYFUNCTION("IFERROR(VLOOKUP(F260,IMPORTRANGE(""https://docs.google.com/spreadsheets/d/1Kvs4KS76FHFqLFIZfrDMff4kP08nblUkihrxltoGBjg/edit#gid=934712705"",""ESENCIAL!A6:BG""),3,FALSE))"),"")</f>
        <v/>
      </c>
      <c r="H246" s="5" t="str">
        <f ca="1">IFERROR(__xludf.DUMMYFUNCTION("IFERROR(VLOOKUP(F260,IMPORTRANGE(""https://docs.google.com/spreadsheets/d/1Kvs4KS76FHFqLFIZfrDMff4kP08nblUkihrxltoGBjg/edit#gid=934712705"",""ESENCIAL!A6:BG""),8,FALSE))"),"")</f>
        <v/>
      </c>
      <c r="L246" s="287"/>
      <c r="U246" s="40"/>
      <c r="AU246" s="41" t="str">
        <f t="shared" si="16"/>
        <v/>
      </c>
      <c r="AV246" s="5" t="str">
        <f ca="1">IFERROR(__xludf.DUMMYFUNCTION("IFERROR(VLOOKUP(E260&amp;F260,IMPORTRANGE(""https://docs.google.com/spreadsheets/d/1Uw7-A9f9R21vMXxHZFNpYNeKFtG8_yji4HS352LGlSQ/edit?pli=1#gid=0"",""1_ACUM!A4:S""),11,FALSE))"),"")</f>
        <v/>
      </c>
      <c r="AW246" s="42" t="str">
        <f ca="1">IFERROR(__xludf.DUMMYFUNCTION("IFERROR(VLOOKUP(F260,IMPORTRANGE(""https://docs.google.com/spreadsheets/d/1Kvs4KS76FHFqLFIZfrDMff4kP08nblUkihrxltoGBjg/edit#gid=934712705"",""ESENCIAL!A6:BG""),15,FALSE))"),"")</f>
        <v/>
      </c>
      <c r="AX246" s="21" t="str">
        <f ca="1">IFERROR(__xludf.DUMMYFUNCTION("IFERROR(VLOOKUP(E260&amp;F260,IMPORTRANGE(""https://docs.google.com/spreadsheets/d/1Uw7-A9f9R21vMXxHZFNpYNeKFtG8_yji4HS352LGlSQ/edit?pli=1#gid=0"",""1_ACUM!A4:S""),12,FALSE))"),"")</f>
        <v/>
      </c>
      <c r="AY246" s="43" t="str">
        <f ca="1">IFERROR(__xludf.DUMMYFUNCTION("IFERROR(VLOOKUP(E260&amp;F260,IMPORTRANGE(""https://docs.google.com/spreadsheets/d/1Uw7-A9f9R21vMXxHZFNpYNeKFtG8_yji4HS352LGlSQ/edit?pli=1#gid=0"",""1_ACUM!A4:S""),13,FALSE))"),"")</f>
        <v/>
      </c>
      <c r="AZ246" s="43" t="str">
        <f ca="1">IFERROR(__xludf.DUMMYFUNCTION("IFERROR(VLOOKUP(E260&amp;F260,IMPORTRANGE(""https://docs.google.com/spreadsheets/d/1Uw7-A9f9R21vMXxHZFNpYNeKFtG8_yji4HS352LGlSQ/edit?pli=1#gid=0"",""1_ACUM!A4:S""),14,FALSE))"),"")</f>
        <v/>
      </c>
      <c r="BA246" s="43" t="str">
        <f ca="1">IFERROR(__xludf.DUMMYFUNCTION("IFERROR(VLOOKUP(E260&amp;F260,IMPORTRANGE(""https://docs.google.com/spreadsheets/d/1Uw7-A9f9R21vMXxHZFNpYNeKFtG8_yji4HS352LGlSQ/edit?pli=1#gid=0"",""1_ACUM!A4:S""),15,FALSE))"),"")</f>
        <v/>
      </c>
      <c r="BB246" s="43" t="str">
        <f ca="1">IFERROR(__xludf.DUMMYFUNCTION("IFERROR(VLOOKUP(E260&amp;F260,IMPORTRANGE(""https://docs.google.com/spreadsheets/d/1Uw7-A9f9R21vMXxHZFNpYNeKFtG8_yji4HS352LGlSQ/edit?pli=1#gid=0"",""1_ACUM!A4:S""),16,FALSE))"),"")</f>
        <v/>
      </c>
      <c r="BC246" s="43" t="str">
        <f ca="1">IFERROR(__xludf.DUMMYFUNCTION("IFERROR(VLOOKUP(E260&amp;F260,IMPORTRANGE(""https://docs.google.com/spreadsheets/d/1Uw7-A9f9R21vMXxHZFNpYNeKFtG8_yji4HS352LGlSQ/edit?pli=1#gid=0"",""1_ACUM!A4:S""),17,FALSE))"),"")</f>
        <v/>
      </c>
      <c r="BD246" s="44" t="str">
        <f ca="1">IFERROR(__xludf.DUMMYFUNCTION("IFERROR(VLOOKUP(E260&amp;F260,IMPORTRANGE(""https://docs.google.com/spreadsheets/d/1Uw7-A9f9R21vMXxHZFNpYNeKFtG8_yji4HS352LGlSQ/edit?pli=1#gid=0"",""1_ACUM!A4:S""),18,FALSE))"),"")</f>
        <v/>
      </c>
      <c r="BE246" s="44" t="str">
        <f ca="1">IFERROR(__xludf.DUMMYFUNCTION("IFERROR(VLOOKUP(E260&amp;F260,IMPORTRANGE(""https://docs.google.com/spreadsheets/d/1Uw7-A9f9R21vMXxHZFNpYNeKFtG8_yji4HS352LGlSQ/edit?pli=1#gid=0"",""1_ACUM!A4:S""),19,FALSE))"),"")</f>
        <v/>
      </c>
      <c r="BF246" s="98" t="str">
        <f ca="1">IFERROR(__xludf.DUMMYFUNCTION("IFERROR(VLOOKUP(F260,IMPORTRANGE(""https://docs.google.com/spreadsheets/d/1Kvs4KS76FHFqLFIZfrDMff4kP08nblUkihrxltoGBjg/edit#gid=934712705"",""ESENCIAL!A6:BG""),5,FALSE))"),"")</f>
        <v/>
      </c>
      <c r="BG246" s="98" t="str">
        <f t="shared" si="17"/>
        <v/>
      </c>
      <c r="BH246" s="99" t="str">
        <f t="shared" si="18"/>
        <v/>
      </c>
      <c r="BI246" s="100" t="str">
        <f ca="1">IFERROR(__xludf.DUMMYFUNCTION("IFERROR(VLOOKUP(F260,IMPORTRANGE(""https://docs.google.com/spreadsheets/d/1Kvs4KS76FHFqLFIZfrDMff4kP08nblUkihrxltoGBjg/edit#gid=934712705"",""ESENCIAL!A6:BG""),2,FALSE))"),"")</f>
        <v/>
      </c>
      <c r="BJ246" s="19" t="str">
        <f t="shared" si="19"/>
        <v/>
      </c>
      <c r="BK246" s="100"/>
      <c r="BL246" s="100"/>
    </row>
    <row r="247" spans="1:64" ht="15">
      <c r="A247" s="101"/>
      <c r="B247" s="101"/>
      <c r="G247" s="5" t="str">
        <f ca="1">IFERROR(__xludf.DUMMYFUNCTION("IFERROR(VLOOKUP(F261,IMPORTRANGE(""https://docs.google.com/spreadsheets/d/1Kvs4KS76FHFqLFIZfrDMff4kP08nblUkihrxltoGBjg/edit#gid=934712705"",""ESENCIAL!A6:BG""),3,FALSE))"),"")</f>
        <v/>
      </c>
      <c r="H247" s="5" t="str">
        <f ca="1">IFERROR(__xludf.DUMMYFUNCTION("IFERROR(VLOOKUP(F261,IMPORTRANGE(""https://docs.google.com/spreadsheets/d/1Kvs4KS76FHFqLFIZfrDMff4kP08nblUkihrxltoGBjg/edit#gid=934712705"",""ESENCIAL!A6:BG""),8,FALSE))"),"")</f>
        <v/>
      </c>
      <c r="L247" s="287"/>
      <c r="U247" s="40"/>
      <c r="AU247" s="41" t="str">
        <f t="shared" si="16"/>
        <v/>
      </c>
      <c r="AV247" s="5" t="str">
        <f ca="1">IFERROR(__xludf.DUMMYFUNCTION("IFERROR(VLOOKUP(E261&amp;F261,IMPORTRANGE(""https://docs.google.com/spreadsheets/d/1Uw7-A9f9R21vMXxHZFNpYNeKFtG8_yji4HS352LGlSQ/edit?pli=1#gid=0"",""1_ACUM!A4:S""),11,FALSE))"),"")</f>
        <v/>
      </c>
      <c r="AW247" s="42" t="str">
        <f ca="1">IFERROR(__xludf.DUMMYFUNCTION("IFERROR(VLOOKUP(F261,IMPORTRANGE(""https://docs.google.com/spreadsheets/d/1Kvs4KS76FHFqLFIZfrDMff4kP08nblUkihrxltoGBjg/edit#gid=934712705"",""ESENCIAL!A6:BG""),15,FALSE))"),"")</f>
        <v/>
      </c>
      <c r="AX247" s="21" t="str">
        <f ca="1">IFERROR(__xludf.DUMMYFUNCTION("IFERROR(VLOOKUP(E261&amp;F261,IMPORTRANGE(""https://docs.google.com/spreadsheets/d/1Uw7-A9f9R21vMXxHZFNpYNeKFtG8_yji4HS352LGlSQ/edit?pli=1#gid=0"",""1_ACUM!A4:S""),12,FALSE))"),"")</f>
        <v/>
      </c>
      <c r="AY247" s="43" t="str">
        <f ca="1">IFERROR(__xludf.DUMMYFUNCTION("IFERROR(VLOOKUP(E261&amp;F261,IMPORTRANGE(""https://docs.google.com/spreadsheets/d/1Uw7-A9f9R21vMXxHZFNpYNeKFtG8_yji4HS352LGlSQ/edit?pli=1#gid=0"",""1_ACUM!A4:S""),13,FALSE))"),"")</f>
        <v/>
      </c>
      <c r="AZ247" s="43" t="str">
        <f ca="1">IFERROR(__xludf.DUMMYFUNCTION("IFERROR(VLOOKUP(E261&amp;F261,IMPORTRANGE(""https://docs.google.com/spreadsheets/d/1Uw7-A9f9R21vMXxHZFNpYNeKFtG8_yji4HS352LGlSQ/edit?pli=1#gid=0"",""1_ACUM!A4:S""),14,FALSE))"),"")</f>
        <v/>
      </c>
      <c r="BA247" s="43" t="str">
        <f ca="1">IFERROR(__xludf.DUMMYFUNCTION("IFERROR(VLOOKUP(E261&amp;F261,IMPORTRANGE(""https://docs.google.com/spreadsheets/d/1Uw7-A9f9R21vMXxHZFNpYNeKFtG8_yji4HS352LGlSQ/edit?pli=1#gid=0"",""1_ACUM!A4:S""),15,FALSE))"),"")</f>
        <v/>
      </c>
      <c r="BB247" s="43" t="str">
        <f ca="1">IFERROR(__xludf.DUMMYFUNCTION("IFERROR(VLOOKUP(E261&amp;F261,IMPORTRANGE(""https://docs.google.com/spreadsheets/d/1Uw7-A9f9R21vMXxHZFNpYNeKFtG8_yji4HS352LGlSQ/edit?pli=1#gid=0"",""1_ACUM!A4:S""),16,FALSE))"),"")</f>
        <v/>
      </c>
      <c r="BC247" s="43" t="str">
        <f ca="1">IFERROR(__xludf.DUMMYFUNCTION("IFERROR(VLOOKUP(E261&amp;F261,IMPORTRANGE(""https://docs.google.com/spreadsheets/d/1Uw7-A9f9R21vMXxHZFNpYNeKFtG8_yji4HS352LGlSQ/edit?pli=1#gid=0"",""1_ACUM!A4:S""),17,FALSE))"),"")</f>
        <v/>
      </c>
      <c r="BD247" s="44" t="str">
        <f ca="1">IFERROR(__xludf.DUMMYFUNCTION("IFERROR(VLOOKUP(E261&amp;F261,IMPORTRANGE(""https://docs.google.com/spreadsheets/d/1Uw7-A9f9R21vMXxHZFNpYNeKFtG8_yji4HS352LGlSQ/edit?pli=1#gid=0"",""1_ACUM!A4:S""),18,FALSE))"),"")</f>
        <v/>
      </c>
      <c r="BE247" s="44" t="str">
        <f ca="1">IFERROR(__xludf.DUMMYFUNCTION("IFERROR(VLOOKUP(E261&amp;F261,IMPORTRANGE(""https://docs.google.com/spreadsheets/d/1Uw7-A9f9R21vMXxHZFNpYNeKFtG8_yji4HS352LGlSQ/edit?pli=1#gid=0"",""1_ACUM!A4:S""),19,FALSE))"),"")</f>
        <v/>
      </c>
      <c r="BF247" s="98" t="str">
        <f ca="1">IFERROR(__xludf.DUMMYFUNCTION("IFERROR(VLOOKUP(F261,IMPORTRANGE(""https://docs.google.com/spreadsheets/d/1Kvs4KS76FHFqLFIZfrDMff4kP08nblUkihrxltoGBjg/edit#gid=934712705"",""ESENCIAL!A6:BG""),5,FALSE))"),"")</f>
        <v/>
      </c>
      <c r="BG247" s="98" t="str">
        <f t="shared" si="17"/>
        <v/>
      </c>
      <c r="BH247" s="99" t="str">
        <f t="shared" si="18"/>
        <v/>
      </c>
      <c r="BI247" s="100" t="str">
        <f ca="1">IFERROR(__xludf.DUMMYFUNCTION("IFERROR(VLOOKUP(F261,IMPORTRANGE(""https://docs.google.com/spreadsheets/d/1Kvs4KS76FHFqLFIZfrDMff4kP08nblUkihrxltoGBjg/edit#gid=934712705"",""ESENCIAL!A6:BG""),2,FALSE))"),"")</f>
        <v/>
      </c>
      <c r="BJ247" s="19" t="str">
        <f t="shared" si="19"/>
        <v/>
      </c>
      <c r="BK247" s="100"/>
      <c r="BL247" s="100"/>
    </row>
    <row r="248" spans="1:64" ht="15">
      <c r="A248" s="101"/>
      <c r="B248" s="101"/>
      <c r="G248" s="5" t="str">
        <f ca="1">IFERROR(__xludf.DUMMYFUNCTION("IFERROR(VLOOKUP(F262,IMPORTRANGE(""https://docs.google.com/spreadsheets/d/1Kvs4KS76FHFqLFIZfrDMff4kP08nblUkihrxltoGBjg/edit#gid=934712705"",""ESENCIAL!A6:BG""),3,FALSE))"),"")</f>
        <v/>
      </c>
      <c r="H248" s="5" t="str">
        <f ca="1">IFERROR(__xludf.DUMMYFUNCTION("IFERROR(VLOOKUP(F262,IMPORTRANGE(""https://docs.google.com/spreadsheets/d/1Kvs4KS76FHFqLFIZfrDMff4kP08nblUkihrxltoGBjg/edit#gid=934712705"",""ESENCIAL!A6:BG""),8,FALSE))"),"")</f>
        <v/>
      </c>
      <c r="L248" s="287"/>
      <c r="U248" s="40"/>
      <c r="AU248" s="41" t="str">
        <f t="shared" si="16"/>
        <v/>
      </c>
      <c r="AV248" s="5" t="str">
        <f ca="1">IFERROR(__xludf.DUMMYFUNCTION("IFERROR(VLOOKUP(E262&amp;F262,IMPORTRANGE(""https://docs.google.com/spreadsheets/d/1Uw7-A9f9R21vMXxHZFNpYNeKFtG8_yji4HS352LGlSQ/edit?pli=1#gid=0"",""1_ACUM!A4:S""),11,FALSE))"),"")</f>
        <v/>
      </c>
      <c r="AW248" s="42" t="str">
        <f ca="1">IFERROR(__xludf.DUMMYFUNCTION("IFERROR(VLOOKUP(F262,IMPORTRANGE(""https://docs.google.com/spreadsheets/d/1Kvs4KS76FHFqLFIZfrDMff4kP08nblUkihrxltoGBjg/edit#gid=934712705"",""ESENCIAL!A6:BG""),15,FALSE))"),"")</f>
        <v/>
      </c>
      <c r="AX248" s="21" t="str">
        <f ca="1">IFERROR(__xludf.DUMMYFUNCTION("IFERROR(VLOOKUP(E262&amp;F262,IMPORTRANGE(""https://docs.google.com/spreadsheets/d/1Uw7-A9f9R21vMXxHZFNpYNeKFtG8_yji4HS352LGlSQ/edit?pli=1#gid=0"",""1_ACUM!A4:S""),12,FALSE))"),"")</f>
        <v/>
      </c>
      <c r="AY248" s="43" t="str">
        <f ca="1">IFERROR(__xludf.DUMMYFUNCTION("IFERROR(VLOOKUP(E262&amp;F262,IMPORTRANGE(""https://docs.google.com/spreadsheets/d/1Uw7-A9f9R21vMXxHZFNpYNeKFtG8_yji4HS352LGlSQ/edit?pli=1#gid=0"",""1_ACUM!A4:S""),13,FALSE))"),"")</f>
        <v/>
      </c>
      <c r="AZ248" s="43" t="str">
        <f ca="1">IFERROR(__xludf.DUMMYFUNCTION("IFERROR(VLOOKUP(E262&amp;F262,IMPORTRANGE(""https://docs.google.com/spreadsheets/d/1Uw7-A9f9R21vMXxHZFNpYNeKFtG8_yji4HS352LGlSQ/edit?pli=1#gid=0"",""1_ACUM!A4:S""),14,FALSE))"),"")</f>
        <v/>
      </c>
      <c r="BA248" s="43" t="str">
        <f ca="1">IFERROR(__xludf.DUMMYFUNCTION("IFERROR(VLOOKUP(E262&amp;F262,IMPORTRANGE(""https://docs.google.com/spreadsheets/d/1Uw7-A9f9R21vMXxHZFNpYNeKFtG8_yji4HS352LGlSQ/edit?pli=1#gid=0"",""1_ACUM!A4:S""),15,FALSE))"),"")</f>
        <v/>
      </c>
      <c r="BB248" s="43" t="str">
        <f ca="1">IFERROR(__xludf.DUMMYFUNCTION("IFERROR(VLOOKUP(E262&amp;F262,IMPORTRANGE(""https://docs.google.com/spreadsheets/d/1Uw7-A9f9R21vMXxHZFNpYNeKFtG8_yji4HS352LGlSQ/edit?pli=1#gid=0"",""1_ACUM!A4:S""),16,FALSE))"),"")</f>
        <v/>
      </c>
      <c r="BC248" s="43" t="str">
        <f ca="1">IFERROR(__xludf.DUMMYFUNCTION("IFERROR(VLOOKUP(E262&amp;F262,IMPORTRANGE(""https://docs.google.com/spreadsheets/d/1Uw7-A9f9R21vMXxHZFNpYNeKFtG8_yji4HS352LGlSQ/edit?pli=1#gid=0"",""1_ACUM!A4:S""),17,FALSE))"),"")</f>
        <v/>
      </c>
      <c r="BD248" s="44" t="str">
        <f ca="1">IFERROR(__xludf.DUMMYFUNCTION("IFERROR(VLOOKUP(E262&amp;F262,IMPORTRANGE(""https://docs.google.com/spreadsheets/d/1Uw7-A9f9R21vMXxHZFNpYNeKFtG8_yji4HS352LGlSQ/edit?pli=1#gid=0"",""1_ACUM!A4:S""),18,FALSE))"),"")</f>
        <v/>
      </c>
      <c r="BE248" s="44" t="str">
        <f ca="1">IFERROR(__xludf.DUMMYFUNCTION("IFERROR(VLOOKUP(E262&amp;F262,IMPORTRANGE(""https://docs.google.com/spreadsheets/d/1Uw7-A9f9R21vMXxHZFNpYNeKFtG8_yji4HS352LGlSQ/edit?pli=1#gid=0"",""1_ACUM!A4:S""),19,FALSE))"),"")</f>
        <v/>
      </c>
      <c r="BF248" s="98" t="str">
        <f ca="1">IFERROR(__xludf.DUMMYFUNCTION("IFERROR(VLOOKUP(F262,IMPORTRANGE(""https://docs.google.com/spreadsheets/d/1Kvs4KS76FHFqLFIZfrDMff4kP08nblUkihrxltoGBjg/edit#gid=934712705"",""ESENCIAL!A6:BG""),5,FALSE))"),"")</f>
        <v/>
      </c>
      <c r="BG248" s="98" t="str">
        <f t="shared" si="17"/>
        <v/>
      </c>
      <c r="BH248" s="99" t="str">
        <f t="shared" si="18"/>
        <v/>
      </c>
      <c r="BI248" s="100" t="str">
        <f ca="1">IFERROR(__xludf.DUMMYFUNCTION("IFERROR(VLOOKUP(F262,IMPORTRANGE(""https://docs.google.com/spreadsheets/d/1Kvs4KS76FHFqLFIZfrDMff4kP08nblUkihrxltoGBjg/edit#gid=934712705"",""ESENCIAL!A6:BG""),2,FALSE))"),"")</f>
        <v/>
      </c>
      <c r="BJ248" s="19" t="str">
        <f t="shared" si="19"/>
        <v/>
      </c>
      <c r="BK248" s="100"/>
      <c r="BL248" s="100"/>
    </row>
    <row r="249" spans="1:64" ht="15">
      <c r="A249" s="101"/>
      <c r="B249" s="101"/>
      <c r="G249" s="5" t="str">
        <f ca="1">IFERROR(__xludf.DUMMYFUNCTION("IFERROR(VLOOKUP(F263,IMPORTRANGE(""https://docs.google.com/spreadsheets/d/1Kvs4KS76FHFqLFIZfrDMff4kP08nblUkihrxltoGBjg/edit#gid=934712705"",""ESENCIAL!A6:BG""),3,FALSE))"),"")</f>
        <v/>
      </c>
      <c r="H249" s="5" t="str">
        <f ca="1">IFERROR(__xludf.DUMMYFUNCTION("IFERROR(VLOOKUP(F263,IMPORTRANGE(""https://docs.google.com/spreadsheets/d/1Kvs4KS76FHFqLFIZfrDMff4kP08nblUkihrxltoGBjg/edit#gid=934712705"",""ESENCIAL!A6:BG""),8,FALSE))"),"")</f>
        <v/>
      </c>
      <c r="L249" s="287"/>
      <c r="U249" s="40"/>
      <c r="AU249" s="41" t="str">
        <f t="shared" si="16"/>
        <v/>
      </c>
      <c r="AV249" s="5" t="str">
        <f ca="1">IFERROR(__xludf.DUMMYFUNCTION("IFERROR(VLOOKUP(E263&amp;F263,IMPORTRANGE(""https://docs.google.com/spreadsheets/d/1Uw7-A9f9R21vMXxHZFNpYNeKFtG8_yji4HS352LGlSQ/edit?pli=1#gid=0"",""1_ACUM!A4:S""),11,FALSE))"),"")</f>
        <v/>
      </c>
      <c r="AW249" s="42" t="str">
        <f ca="1">IFERROR(__xludf.DUMMYFUNCTION("IFERROR(VLOOKUP(F263,IMPORTRANGE(""https://docs.google.com/spreadsheets/d/1Kvs4KS76FHFqLFIZfrDMff4kP08nblUkihrxltoGBjg/edit#gid=934712705"",""ESENCIAL!A6:BG""),15,FALSE))"),"")</f>
        <v/>
      </c>
      <c r="AX249" s="21" t="str">
        <f ca="1">IFERROR(__xludf.DUMMYFUNCTION("IFERROR(VLOOKUP(E263&amp;F263,IMPORTRANGE(""https://docs.google.com/spreadsheets/d/1Uw7-A9f9R21vMXxHZFNpYNeKFtG8_yji4HS352LGlSQ/edit?pli=1#gid=0"",""1_ACUM!A4:S""),12,FALSE))"),"")</f>
        <v/>
      </c>
      <c r="AY249" s="43" t="str">
        <f ca="1">IFERROR(__xludf.DUMMYFUNCTION("IFERROR(VLOOKUP(E263&amp;F263,IMPORTRANGE(""https://docs.google.com/spreadsheets/d/1Uw7-A9f9R21vMXxHZFNpYNeKFtG8_yji4HS352LGlSQ/edit?pli=1#gid=0"",""1_ACUM!A4:S""),13,FALSE))"),"")</f>
        <v/>
      </c>
      <c r="AZ249" s="43" t="str">
        <f ca="1">IFERROR(__xludf.DUMMYFUNCTION("IFERROR(VLOOKUP(E263&amp;F263,IMPORTRANGE(""https://docs.google.com/spreadsheets/d/1Uw7-A9f9R21vMXxHZFNpYNeKFtG8_yji4HS352LGlSQ/edit?pli=1#gid=0"",""1_ACUM!A4:S""),14,FALSE))"),"")</f>
        <v/>
      </c>
      <c r="BA249" s="43" t="str">
        <f ca="1">IFERROR(__xludf.DUMMYFUNCTION("IFERROR(VLOOKUP(E263&amp;F263,IMPORTRANGE(""https://docs.google.com/spreadsheets/d/1Uw7-A9f9R21vMXxHZFNpYNeKFtG8_yji4HS352LGlSQ/edit?pli=1#gid=0"",""1_ACUM!A4:S""),15,FALSE))"),"")</f>
        <v/>
      </c>
      <c r="BB249" s="43" t="str">
        <f ca="1">IFERROR(__xludf.DUMMYFUNCTION("IFERROR(VLOOKUP(E263&amp;F263,IMPORTRANGE(""https://docs.google.com/spreadsheets/d/1Uw7-A9f9R21vMXxHZFNpYNeKFtG8_yji4HS352LGlSQ/edit?pli=1#gid=0"",""1_ACUM!A4:S""),16,FALSE))"),"")</f>
        <v/>
      </c>
      <c r="BC249" s="43" t="str">
        <f ca="1">IFERROR(__xludf.DUMMYFUNCTION("IFERROR(VLOOKUP(E263&amp;F263,IMPORTRANGE(""https://docs.google.com/spreadsheets/d/1Uw7-A9f9R21vMXxHZFNpYNeKFtG8_yji4HS352LGlSQ/edit?pli=1#gid=0"",""1_ACUM!A4:S""),17,FALSE))"),"")</f>
        <v/>
      </c>
      <c r="BD249" s="44" t="str">
        <f ca="1">IFERROR(__xludf.DUMMYFUNCTION("IFERROR(VLOOKUP(E263&amp;F263,IMPORTRANGE(""https://docs.google.com/spreadsheets/d/1Uw7-A9f9R21vMXxHZFNpYNeKFtG8_yji4HS352LGlSQ/edit?pli=1#gid=0"",""1_ACUM!A4:S""),18,FALSE))"),"")</f>
        <v/>
      </c>
      <c r="BE249" s="44" t="str">
        <f ca="1">IFERROR(__xludf.DUMMYFUNCTION("IFERROR(VLOOKUP(E263&amp;F263,IMPORTRANGE(""https://docs.google.com/spreadsheets/d/1Uw7-A9f9R21vMXxHZFNpYNeKFtG8_yji4HS352LGlSQ/edit?pli=1#gid=0"",""1_ACUM!A4:S""),19,FALSE))"),"")</f>
        <v/>
      </c>
      <c r="BF249" s="98" t="str">
        <f ca="1">IFERROR(__xludf.DUMMYFUNCTION("IFERROR(VLOOKUP(F263,IMPORTRANGE(""https://docs.google.com/spreadsheets/d/1Kvs4KS76FHFqLFIZfrDMff4kP08nblUkihrxltoGBjg/edit#gid=934712705"",""ESENCIAL!A6:BG""),5,FALSE))"),"")</f>
        <v/>
      </c>
      <c r="BG249" s="98" t="str">
        <f t="shared" si="17"/>
        <v/>
      </c>
      <c r="BH249" s="99" t="str">
        <f t="shared" si="18"/>
        <v/>
      </c>
      <c r="BI249" s="100" t="str">
        <f ca="1">IFERROR(__xludf.DUMMYFUNCTION("IFERROR(VLOOKUP(F263,IMPORTRANGE(""https://docs.google.com/spreadsheets/d/1Kvs4KS76FHFqLFIZfrDMff4kP08nblUkihrxltoGBjg/edit#gid=934712705"",""ESENCIAL!A6:BG""),2,FALSE))"),"")</f>
        <v/>
      </c>
      <c r="BJ249" s="19" t="str">
        <f t="shared" si="19"/>
        <v/>
      </c>
      <c r="BK249" s="100"/>
      <c r="BL249" s="100"/>
    </row>
    <row r="250" spans="1:64" ht="15">
      <c r="A250" s="101"/>
      <c r="B250" s="101"/>
      <c r="G250" s="5" t="str">
        <f ca="1">IFERROR(__xludf.DUMMYFUNCTION("IFERROR(VLOOKUP(F264,IMPORTRANGE(""https://docs.google.com/spreadsheets/d/1Kvs4KS76FHFqLFIZfrDMff4kP08nblUkihrxltoGBjg/edit#gid=934712705"",""ESENCIAL!A6:BG""),3,FALSE))"),"")</f>
        <v/>
      </c>
      <c r="H250" s="5" t="str">
        <f ca="1">IFERROR(__xludf.DUMMYFUNCTION("IFERROR(VLOOKUP(F264,IMPORTRANGE(""https://docs.google.com/spreadsheets/d/1Kvs4KS76FHFqLFIZfrDMff4kP08nblUkihrxltoGBjg/edit#gid=934712705"",""ESENCIAL!A6:BG""),8,FALSE))"),"")</f>
        <v/>
      </c>
      <c r="L250" s="287"/>
      <c r="U250" s="40"/>
      <c r="AU250" s="41" t="str">
        <f t="shared" si="16"/>
        <v/>
      </c>
      <c r="AV250" s="5" t="str">
        <f ca="1">IFERROR(__xludf.DUMMYFUNCTION("IFERROR(VLOOKUP(E264&amp;F264,IMPORTRANGE(""https://docs.google.com/spreadsheets/d/1Uw7-A9f9R21vMXxHZFNpYNeKFtG8_yji4HS352LGlSQ/edit?pli=1#gid=0"",""1_ACUM!A4:S""),11,FALSE))"),"")</f>
        <v/>
      </c>
      <c r="AW250" s="42" t="str">
        <f ca="1">IFERROR(__xludf.DUMMYFUNCTION("IFERROR(VLOOKUP(F264,IMPORTRANGE(""https://docs.google.com/spreadsheets/d/1Kvs4KS76FHFqLFIZfrDMff4kP08nblUkihrxltoGBjg/edit#gid=934712705"",""ESENCIAL!A6:BG""),15,FALSE))"),"")</f>
        <v/>
      </c>
      <c r="AX250" s="21" t="str">
        <f ca="1">IFERROR(__xludf.DUMMYFUNCTION("IFERROR(VLOOKUP(E264&amp;F264,IMPORTRANGE(""https://docs.google.com/spreadsheets/d/1Uw7-A9f9R21vMXxHZFNpYNeKFtG8_yji4HS352LGlSQ/edit?pli=1#gid=0"",""1_ACUM!A4:S""),12,FALSE))"),"")</f>
        <v/>
      </c>
      <c r="AY250" s="43" t="str">
        <f ca="1">IFERROR(__xludf.DUMMYFUNCTION("IFERROR(VLOOKUP(E264&amp;F264,IMPORTRANGE(""https://docs.google.com/spreadsheets/d/1Uw7-A9f9R21vMXxHZFNpYNeKFtG8_yji4HS352LGlSQ/edit?pli=1#gid=0"",""1_ACUM!A4:S""),13,FALSE))"),"")</f>
        <v/>
      </c>
      <c r="AZ250" s="43" t="str">
        <f ca="1">IFERROR(__xludf.DUMMYFUNCTION("IFERROR(VLOOKUP(E264&amp;F264,IMPORTRANGE(""https://docs.google.com/spreadsheets/d/1Uw7-A9f9R21vMXxHZFNpYNeKFtG8_yji4HS352LGlSQ/edit?pli=1#gid=0"",""1_ACUM!A4:S""),14,FALSE))"),"")</f>
        <v/>
      </c>
      <c r="BA250" s="43" t="str">
        <f ca="1">IFERROR(__xludf.DUMMYFUNCTION("IFERROR(VLOOKUP(E264&amp;F264,IMPORTRANGE(""https://docs.google.com/spreadsheets/d/1Uw7-A9f9R21vMXxHZFNpYNeKFtG8_yji4HS352LGlSQ/edit?pli=1#gid=0"",""1_ACUM!A4:S""),15,FALSE))"),"")</f>
        <v/>
      </c>
      <c r="BB250" s="43" t="str">
        <f ca="1">IFERROR(__xludf.DUMMYFUNCTION("IFERROR(VLOOKUP(E264&amp;F264,IMPORTRANGE(""https://docs.google.com/spreadsheets/d/1Uw7-A9f9R21vMXxHZFNpYNeKFtG8_yji4HS352LGlSQ/edit?pli=1#gid=0"",""1_ACUM!A4:S""),16,FALSE))"),"")</f>
        <v/>
      </c>
      <c r="BC250" s="43" t="str">
        <f ca="1">IFERROR(__xludf.DUMMYFUNCTION("IFERROR(VLOOKUP(E264&amp;F264,IMPORTRANGE(""https://docs.google.com/spreadsheets/d/1Uw7-A9f9R21vMXxHZFNpYNeKFtG8_yji4HS352LGlSQ/edit?pli=1#gid=0"",""1_ACUM!A4:S""),17,FALSE))"),"")</f>
        <v/>
      </c>
      <c r="BD250" s="44" t="str">
        <f ca="1">IFERROR(__xludf.DUMMYFUNCTION("IFERROR(VLOOKUP(E264&amp;F264,IMPORTRANGE(""https://docs.google.com/spreadsheets/d/1Uw7-A9f9R21vMXxHZFNpYNeKFtG8_yji4HS352LGlSQ/edit?pli=1#gid=0"",""1_ACUM!A4:S""),18,FALSE))"),"")</f>
        <v/>
      </c>
      <c r="BE250" s="44" t="str">
        <f ca="1">IFERROR(__xludf.DUMMYFUNCTION("IFERROR(VLOOKUP(E264&amp;F264,IMPORTRANGE(""https://docs.google.com/spreadsheets/d/1Uw7-A9f9R21vMXxHZFNpYNeKFtG8_yji4HS352LGlSQ/edit?pli=1#gid=0"",""1_ACUM!A4:S""),19,FALSE))"),"")</f>
        <v/>
      </c>
      <c r="BF250" s="98" t="str">
        <f ca="1">IFERROR(__xludf.DUMMYFUNCTION("IFERROR(VLOOKUP(F264,IMPORTRANGE(""https://docs.google.com/spreadsheets/d/1Kvs4KS76FHFqLFIZfrDMff4kP08nblUkihrxltoGBjg/edit#gid=934712705"",""ESENCIAL!A6:BG""),5,FALSE))"),"")</f>
        <v/>
      </c>
      <c r="BG250" s="98" t="str">
        <f t="shared" si="17"/>
        <v/>
      </c>
      <c r="BH250" s="99" t="str">
        <f t="shared" si="18"/>
        <v/>
      </c>
      <c r="BI250" s="100" t="str">
        <f ca="1">IFERROR(__xludf.DUMMYFUNCTION("IFERROR(VLOOKUP(F264,IMPORTRANGE(""https://docs.google.com/spreadsheets/d/1Kvs4KS76FHFqLFIZfrDMff4kP08nblUkihrxltoGBjg/edit#gid=934712705"",""ESENCIAL!A6:BG""),2,FALSE))"),"")</f>
        <v/>
      </c>
      <c r="BJ250" s="19" t="str">
        <f t="shared" si="19"/>
        <v/>
      </c>
      <c r="BK250" s="100"/>
      <c r="BL250" s="100"/>
    </row>
    <row r="251" spans="1:64" ht="15">
      <c r="A251" s="101"/>
      <c r="B251" s="101"/>
      <c r="G251" s="5" t="str">
        <f ca="1">IFERROR(__xludf.DUMMYFUNCTION("IFERROR(VLOOKUP(F265,IMPORTRANGE(""https://docs.google.com/spreadsheets/d/1Kvs4KS76FHFqLFIZfrDMff4kP08nblUkihrxltoGBjg/edit#gid=934712705"",""ESENCIAL!A6:BG""),3,FALSE))"),"")</f>
        <v/>
      </c>
      <c r="H251" s="5" t="str">
        <f ca="1">IFERROR(__xludf.DUMMYFUNCTION("IFERROR(VLOOKUP(F265,IMPORTRANGE(""https://docs.google.com/spreadsheets/d/1Kvs4KS76FHFqLFIZfrDMff4kP08nblUkihrxltoGBjg/edit#gid=934712705"",""ESENCIAL!A6:BG""),8,FALSE))"),"")</f>
        <v/>
      </c>
      <c r="L251" s="287"/>
      <c r="U251" s="40"/>
      <c r="AU251" s="41" t="str">
        <f t="shared" si="16"/>
        <v/>
      </c>
      <c r="AV251" s="5" t="str">
        <f ca="1">IFERROR(__xludf.DUMMYFUNCTION("IFERROR(VLOOKUP(E265&amp;F265,IMPORTRANGE(""https://docs.google.com/spreadsheets/d/1Uw7-A9f9R21vMXxHZFNpYNeKFtG8_yji4HS352LGlSQ/edit?pli=1#gid=0"",""1_ACUM!A4:S""),11,FALSE))"),"")</f>
        <v/>
      </c>
      <c r="AW251" s="42" t="str">
        <f ca="1">IFERROR(__xludf.DUMMYFUNCTION("IFERROR(VLOOKUP(F265,IMPORTRANGE(""https://docs.google.com/spreadsheets/d/1Kvs4KS76FHFqLFIZfrDMff4kP08nblUkihrxltoGBjg/edit#gid=934712705"",""ESENCIAL!A6:BG""),15,FALSE))"),"")</f>
        <v/>
      </c>
      <c r="AX251" s="21" t="str">
        <f ca="1">IFERROR(__xludf.DUMMYFUNCTION("IFERROR(VLOOKUP(E265&amp;F265,IMPORTRANGE(""https://docs.google.com/spreadsheets/d/1Uw7-A9f9R21vMXxHZFNpYNeKFtG8_yji4HS352LGlSQ/edit?pli=1#gid=0"",""1_ACUM!A4:S""),12,FALSE))"),"")</f>
        <v/>
      </c>
      <c r="AY251" s="43" t="str">
        <f ca="1">IFERROR(__xludf.DUMMYFUNCTION("IFERROR(VLOOKUP(E265&amp;F265,IMPORTRANGE(""https://docs.google.com/spreadsheets/d/1Uw7-A9f9R21vMXxHZFNpYNeKFtG8_yji4HS352LGlSQ/edit?pli=1#gid=0"",""1_ACUM!A4:S""),13,FALSE))"),"")</f>
        <v/>
      </c>
      <c r="AZ251" s="43" t="str">
        <f ca="1">IFERROR(__xludf.DUMMYFUNCTION("IFERROR(VLOOKUP(E265&amp;F265,IMPORTRANGE(""https://docs.google.com/spreadsheets/d/1Uw7-A9f9R21vMXxHZFNpYNeKFtG8_yji4HS352LGlSQ/edit?pli=1#gid=0"",""1_ACUM!A4:S""),14,FALSE))"),"")</f>
        <v/>
      </c>
      <c r="BA251" s="43" t="str">
        <f ca="1">IFERROR(__xludf.DUMMYFUNCTION("IFERROR(VLOOKUP(E265&amp;F265,IMPORTRANGE(""https://docs.google.com/spreadsheets/d/1Uw7-A9f9R21vMXxHZFNpYNeKFtG8_yji4HS352LGlSQ/edit?pli=1#gid=0"",""1_ACUM!A4:S""),15,FALSE))"),"")</f>
        <v/>
      </c>
      <c r="BB251" s="43" t="str">
        <f ca="1">IFERROR(__xludf.DUMMYFUNCTION("IFERROR(VLOOKUP(E265&amp;F265,IMPORTRANGE(""https://docs.google.com/spreadsheets/d/1Uw7-A9f9R21vMXxHZFNpYNeKFtG8_yji4HS352LGlSQ/edit?pli=1#gid=0"",""1_ACUM!A4:S""),16,FALSE))"),"")</f>
        <v/>
      </c>
      <c r="BC251" s="43" t="str">
        <f ca="1">IFERROR(__xludf.DUMMYFUNCTION("IFERROR(VLOOKUP(E265&amp;F265,IMPORTRANGE(""https://docs.google.com/spreadsheets/d/1Uw7-A9f9R21vMXxHZFNpYNeKFtG8_yji4HS352LGlSQ/edit?pli=1#gid=0"",""1_ACUM!A4:S""),17,FALSE))"),"")</f>
        <v/>
      </c>
      <c r="BD251" s="44" t="str">
        <f ca="1">IFERROR(__xludf.DUMMYFUNCTION("IFERROR(VLOOKUP(E265&amp;F265,IMPORTRANGE(""https://docs.google.com/spreadsheets/d/1Uw7-A9f9R21vMXxHZFNpYNeKFtG8_yji4HS352LGlSQ/edit?pli=1#gid=0"",""1_ACUM!A4:S""),18,FALSE))"),"")</f>
        <v/>
      </c>
      <c r="BE251" s="44" t="str">
        <f ca="1">IFERROR(__xludf.DUMMYFUNCTION("IFERROR(VLOOKUP(E265&amp;F265,IMPORTRANGE(""https://docs.google.com/spreadsheets/d/1Uw7-A9f9R21vMXxHZFNpYNeKFtG8_yji4HS352LGlSQ/edit?pli=1#gid=0"",""1_ACUM!A4:S""),19,FALSE))"),"")</f>
        <v/>
      </c>
      <c r="BF251" s="98" t="str">
        <f ca="1">IFERROR(__xludf.DUMMYFUNCTION("IFERROR(VLOOKUP(F265,IMPORTRANGE(""https://docs.google.com/spreadsheets/d/1Kvs4KS76FHFqLFIZfrDMff4kP08nblUkihrxltoGBjg/edit#gid=934712705"",""ESENCIAL!A6:BG""),5,FALSE))"),"")</f>
        <v/>
      </c>
      <c r="BG251" s="98" t="str">
        <f t="shared" si="17"/>
        <v/>
      </c>
      <c r="BH251" s="99" t="str">
        <f t="shared" si="18"/>
        <v/>
      </c>
      <c r="BI251" s="100" t="str">
        <f ca="1">IFERROR(__xludf.DUMMYFUNCTION("IFERROR(VLOOKUP(F265,IMPORTRANGE(""https://docs.google.com/spreadsheets/d/1Kvs4KS76FHFqLFIZfrDMff4kP08nblUkihrxltoGBjg/edit#gid=934712705"",""ESENCIAL!A6:BG""),2,FALSE))"),"")</f>
        <v/>
      </c>
      <c r="BJ251" s="19" t="str">
        <f t="shared" si="19"/>
        <v/>
      </c>
      <c r="BK251" s="100"/>
      <c r="BL251" s="100"/>
    </row>
    <row r="252" spans="1:64" ht="15">
      <c r="A252" s="101"/>
      <c r="B252" s="24"/>
      <c r="G252" s="5" t="str">
        <f ca="1">IFERROR(__xludf.DUMMYFUNCTION("IFERROR(VLOOKUP(F266,IMPORTRANGE(""https://docs.google.com/spreadsheets/d/1Kvs4KS76FHFqLFIZfrDMff4kP08nblUkihrxltoGBjg/edit#gid=934712705"",""ESENCIAL!A6:BG""),3,FALSE))"),"")</f>
        <v/>
      </c>
      <c r="H252" s="5" t="str">
        <f ca="1">IFERROR(__xludf.DUMMYFUNCTION("IFERROR(VLOOKUP(F266,IMPORTRANGE(""https://docs.google.com/spreadsheets/d/1Kvs4KS76FHFqLFIZfrDMff4kP08nblUkihrxltoGBjg/edit#gid=934712705"",""ESENCIAL!A6:BG""),8,FALSE))"),"")</f>
        <v/>
      </c>
      <c r="L252" s="287"/>
      <c r="U252" s="40"/>
      <c r="AU252" s="41" t="str">
        <f t="shared" si="16"/>
        <v/>
      </c>
      <c r="AV252" s="5" t="str">
        <f ca="1">IFERROR(__xludf.DUMMYFUNCTION("IFERROR(VLOOKUP(E266&amp;F266,IMPORTRANGE(""https://docs.google.com/spreadsheets/d/1Uw7-A9f9R21vMXxHZFNpYNeKFtG8_yji4HS352LGlSQ/edit?pli=1#gid=0"",""1_ACUM!A4:S""),11,FALSE))"),"")</f>
        <v/>
      </c>
      <c r="AW252" s="42" t="str">
        <f ca="1">IFERROR(__xludf.DUMMYFUNCTION("IFERROR(VLOOKUP(F266,IMPORTRANGE(""https://docs.google.com/spreadsheets/d/1Kvs4KS76FHFqLFIZfrDMff4kP08nblUkihrxltoGBjg/edit#gid=934712705"",""ESENCIAL!A6:BG""),15,FALSE))"),"")</f>
        <v/>
      </c>
      <c r="AX252" s="21" t="str">
        <f ca="1">IFERROR(__xludf.DUMMYFUNCTION("IFERROR(VLOOKUP(E266&amp;F266,IMPORTRANGE(""https://docs.google.com/spreadsheets/d/1Uw7-A9f9R21vMXxHZFNpYNeKFtG8_yji4HS352LGlSQ/edit?pli=1#gid=0"",""1_ACUM!A4:S""),12,FALSE))"),"")</f>
        <v/>
      </c>
      <c r="AY252" s="43" t="str">
        <f ca="1">IFERROR(__xludf.DUMMYFUNCTION("IFERROR(VLOOKUP(E266&amp;F266,IMPORTRANGE(""https://docs.google.com/spreadsheets/d/1Uw7-A9f9R21vMXxHZFNpYNeKFtG8_yji4HS352LGlSQ/edit?pli=1#gid=0"",""1_ACUM!A4:S""),13,FALSE))"),"")</f>
        <v/>
      </c>
      <c r="AZ252" s="43" t="str">
        <f ca="1">IFERROR(__xludf.DUMMYFUNCTION("IFERROR(VLOOKUP(E266&amp;F266,IMPORTRANGE(""https://docs.google.com/spreadsheets/d/1Uw7-A9f9R21vMXxHZFNpYNeKFtG8_yji4HS352LGlSQ/edit?pli=1#gid=0"",""1_ACUM!A4:S""),14,FALSE))"),"")</f>
        <v/>
      </c>
      <c r="BA252" s="43" t="str">
        <f ca="1">IFERROR(__xludf.DUMMYFUNCTION("IFERROR(VLOOKUP(E266&amp;F266,IMPORTRANGE(""https://docs.google.com/spreadsheets/d/1Uw7-A9f9R21vMXxHZFNpYNeKFtG8_yji4HS352LGlSQ/edit?pli=1#gid=0"",""1_ACUM!A4:S""),15,FALSE))"),"")</f>
        <v/>
      </c>
      <c r="BB252" s="43" t="str">
        <f ca="1">IFERROR(__xludf.DUMMYFUNCTION("IFERROR(VLOOKUP(E266&amp;F266,IMPORTRANGE(""https://docs.google.com/spreadsheets/d/1Uw7-A9f9R21vMXxHZFNpYNeKFtG8_yji4HS352LGlSQ/edit?pli=1#gid=0"",""1_ACUM!A4:S""),16,FALSE))"),"")</f>
        <v/>
      </c>
      <c r="BC252" s="43" t="str">
        <f ca="1">IFERROR(__xludf.DUMMYFUNCTION("IFERROR(VLOOKUP(E266&amp;F266,IMPORTRANGE(""https://docs.google.com/spreadsheets/d/1Uw7-A9f9R21vMXxHZFNpYNeKFtG8_yji4HS352LGlSQ/edit?pli=1#gid=0"",""1_ACUM!A4:S""),17,FALSE))"),"")</f>
        <v/>
      </c>
      <c r="BD252" s="44" t="str">
        <f ca="1">IFERROR(__xludf.DUMMYFUNCTION("IFERROR(VLOOKUP(E266&amp;F266,IMPORTRANGE(""https://docs.google.com/spreadsheets/d/1Uw7-A9f9R21vMXxHZFNpYNeKFtG8_yji4HS352LGlSQ/edit?pli=1#gid=0"",""1_ACUM!A4:S""),18,FALSE))"),"")</f>
        <v/>
      </c>
      <c r="BE252" s="44" t="str">
        <f ca="1">IFERROR(__xludf.DUMMYFUNCTION("IFERROR(VLOOKUP(E266&amp;F266,IMPORTRANGE(""https://docs.google.com/spreadsheets/d/1Uw7-A9f9R21vMXxHZFNpYNeKFtG8_yji4HS352LGlSQ/edit?pli=1#gid=0"",""1_ACUM!A4:S""),19,FALSE))"),"")</f>
        <v/>
      </c>
      <c r="BF252" s="98" t="str">
        <f ca="1">IFERROR(__xludf.DUMMYFUNCTION("IFERROR(VLOOKUP(F266,IMPORTRANGE(""https://docs.google.com/spreadsheets/d/1Kvs4KS76FHFqLFIZfrDMff4kP08nblUkihrxltoGBjg/edit#gid=934712705"",""ESENCIAL!A6:BG""),5,FALSE))"),"")</f>
        <v/>
      </c>
      <c r="BG252" s="98" t="str">
        <f t="shared" si="17"/>
        <v/>
      </c>
      <c r="BH252" s="99" t="str">
        <f t="shared" si="18"/>
        <v/>
      </c>
      <c r="BI252" s="100" t="str">
        <f ca="1">IFERROR(__xludf.DUMMYFUNCTION("IFERROR(VLOOKUP(F266,IMPORTRANGE(""https://docs.google.com/spreadsheets/d/1Kvs4KS76FHFqLFIZfrDMff4kP08nblUkihrxltoGBjg/edit#gid=934712705"",""ESENCIAL!A6:BG""),2,FALSE))"),"")</f>
        <v/>
      </c>
      <c r="BJ252" s="19" t="str">
        <f t="shared" si="19"/>
        <v/>
      </c>
      <c r="BK252" s="100"/>
      <c r="BL252" s="100"/>
    </row>
    <row r="253" spans="1:64" ht="15">
      <c r="A253" s="101"/>
      <c r="B253" s="11"/>
      <c r="G253" s="5" t="str">
        <f ca="1">IFERROR(__xludf.DUMMYFUNCTION("IFERROR(VLOOKUP(F267,IMPORTRANGE(""https://docs.google.com/spreadsheets/d/1Kvs4KS76FHFqLFIZfrDMff4kP08nblUkihrxltoGBjg/edit#gid=934712705"",""ESENCIAL!A6:BG""),3,FALSE))"),"")</f>
        <v/>
      </c>
      <c r="H253" s="5" t="str">
        <f ca="1">IFERROR(__xludf.DUMMYFUNCTION("IFERROR(VLOOKUP(F267,IMPORTRANGE(""https://docs.google.com/spreadsheets/d/1Kvs4KS76FHFqLFIZfrDMff4kP08nblUkihrxltoGBjg/edit#gid=934712705"",""ESENCIAL!A6:BG""),8,FALSE))"),"")</f>
        <v/>
      </c>
      <c r="L253" s="287"/>
      <c r="U253" s="40"/>
      <c r="AU253" s="41" t="str">
        <f t="shared" si="16"/>
        <v/>
      </c>
      <c r="AV253" s="5" t="str">
        <f ca="1">IFERROR(__xludf.DUMMYFUNCTION("IFERROR(VLOOKUP(E267&amp;F267,IMPORTRANGE(""https://docs.google.com/spreadsheets/d/1Uw7-A9f9R21vMXxHZFNpYNeKFtG8_yji4HS352LGlSQ/edit?pli=1#gid=0"",""1_ACUM!A4:S""),11,FALSE))"),"")</f>
        <v/>
      </c>
      <c r="AW253" s="42" t="str">
        <f ca="1">IFERROR(__xludf.DUMMYFUNCTION("IFERROR(VLOOKUP(F267,IMPORTRANGE(""https://docs.google.com/spreadsheets/d/1Kvs4KS76FHFqLFIZfrDMff4kP08nblUkihrxltoGBjg/edit#gid=934712705"",""ESENCIAL!A6:BG""),15,FALSE))"),"")</f>
        <v/>
      </c>
      <c r="AX253" s="21" t="str">
        <f ca="1">IFERROR(__xludf.DUMMYFUNCTION("IFERROR(VLOOKUP(E267&amp;F267,IMPORTRANGE(""https://docs.google.com/spreadsheets/d/1Uw7-A9f9R21vMXxHZFNpYNeKFtG8_yji4HS352LGlSQ/edit?pli=1#gid=0"",""1_ACUM!A4:S""),12,FALSE))"),"")</f>
        <v/>
      </c>
      <c r="AY253" s="43" t="str">
        <f ca="1">IFERROR(__xludf.DUMMYFUNCTION("IFERROR(VLOOKUP(E267&amp;F267,IMPORTRANGE(""https://docs.google.com/spreadsheets/d/1Uw7-A9f9R21vMXxHZFNpYNeKFtG8_yji4HS352LGlSQ/edit?pli=1#gid=0"",""1_ACUM!A4:S""),13,FALSE))"),"")</f>
        <v/>
      </c>
      <c r="AZ253" s="43" t="str">
        <f ca="1">IFERROR(__xludf.DUMMYFUNCTION("IFERROR(VLOOKUP(E267&amp;F267,IMPORTRANGE(""https://docs.google.com/spreadsheets/d/1Uw7-A9f9R21vMXxHZFNpYNeKFtG8_yji4HS352LGlSQ/edit?pli=1#gid=0"",""1_ACUM!A4:S""),14,FALSE))"),"")</f>
        <v/>
      </c>
      <c r="BA253" s="43" t="str">
        <f ca="1">IFERROR(__xludf.DUMMYFUNCTION("IFERROR(VLOOKUP(E267&amp;F267,IMPORTRANGE(""https://docs.google.com/spreadsheets/d/1Uw7-A9f9R21vMXxHZFNpYNeKFtG8_yji4HS352LGlSQ/edit?pli=1#gid=0"",""1_ACUM!A4:S""),15,FALSE))"),"")</f>
        <v/>
      </c>
      <c r="BB253" s="43" t="str">
        <f ca="1">IFERROR(__xludf.DUMMYFUNCTION("IFERROR(VLOOKUP(E267&amp;F267,IMPORTRANGE(""https://docs.google.com/spreadsheets/d/1Uw7-A9f9R21vMXxHZFNpYNeKFtG8_yji4HS352LGlSQ/edit?pli=1#gid=0"",""1_ACUM!A4:S""),16,FALSE))"),"")</f>
        <v/>
      </c>
      <c r="BC253" s="43" t="str">
        <f ca="1">IFERROR(__xludf.DUMMYFUNCTION("IFERROR(VLOOKUP(E267&amp;F267,IMPORTRANGE(""https://docs.google.com/spreadsheets/d/1Uw7-A9f9R21vMXxHZFNpYNeKFtG8_yji4HS352LGlSQ/edit?pli=1#gid=0"",""1_ACUM!A4:S""),17,FALSE))"),"")</f>
        <v/>
      </c>
      <c r="BD253" s="44" t="str">
        <f ca="1">IFERROR(__xludf.DUMMYFUNCTION("IFERROR(VLOOKUP(E267&amp;F267,IMPORTRANGE(""https://docs.google.com/spreadsheets/d/1Uw7-A9f9R21vMXxHZFNpYNeKFtG8_yji4HS352LGlSQ/edit?pli=1#gid=0"",""1_ACUM!A4:S""),18,FALSE))"),"")</f>
        <v/>
      </c>
      <c r="BE253" s="44" t="str">
        <f ca="1">IFERROR(__xludf.DUMMYFUNCTION("IFERROR(VLOOKUP(E267&amp;F267,IMPORTRANGE(""https://docs.google.com/spreadsheets/d/1Uw7-A9f9R21vMXxHZFNpYNeKFtG8_yji4HS352LGlSQ/edit?pli=1#gid=0"",""1_ACUM!A4:S""),19,FALSE))"),"")</f>
        <v/>
      </c>
      <c r="BF253" s="98" t="str">
        <f ca="1">IFERROR(__xludf.DUMMYFUNCTION("IFERROR(VLOOKUP(F267,IMPORTRANGE(""https://docs.google.com/spreadsheets/d/1Kvs4KS76FHFqLFIZfrDMff4kP08nblUkihrxltoGBjg/edit#gid=934712705"",""ESENCIAL!A6:BG""),5,FALSE))"),"")</f>
        <v/>
      </c>
      <c r="BG253" s="98" t="str">
        <f t="shared" si="17"/>
        <v/>
      </c>
      <c r="BH253" s="99" t="str">
        <f t="shared" si="18"/>
        <v/>
      </c>
      <c r="BI253" s="100" t="str">
        <f ca="1">IFERROR(__xludf.DUMMYFUNCTION("IFERROR(VLOOKUP(F267,IMPORTRANGE(""https://docs.google.com/spreadsheets/d/1Kvs4KS76FHFqLFIZfrDMff4kP08nblUkihrxltoGBjg/edit#gid=934712705"",""ESENCIAL!A6:BG""),2,FALSE))"),"")</f>
        <v/>
      </c>
      <c r="BJ253" s="19" t="str">
        <f t="shared" si="19"/>
        <v/>
      </c>
      <c r="BK253" s="100"/>
      <c r="BL253" s="100"/>
    </row>
    <row r="254" spans="1:64" ht="15">
      <c r="A254" s="101"/>
      <c r="B254" s="101"/>
      <c r="G254" s="5" t="str">
        <f ca="1">IFERROR(__xludf.DUMMYFUNCTION("IFERROR(VLOOKUP(F268,IMPORTRANGE(""https://docs.google.com/spreadsheets/d/1Kvs4KS76FHFqLFIZfrDMff4kP08nblUkihrxltoGBjg/edit#gid=934712705"",""ESENCIAL!A6:BG""),3,FALSE))"),"")</f>
        <v/>
      </c>
      <c r="H254" s="5" t="str">
        <f ca="1">IFERROR(__xludf.DUMMYFUNCTION("IFERROR(VLOOKUP(F268,IMPORTRANGE(""https://docs.google.com/spreadsheets/d/1Kvs4KS76FHFqLFIZfrDMff4kP08nblUkihrxltoGBjg/edit#gid=934712705"",""ESENCIAL!A6:BG""),8,FALSE))"),"")</f>
        <v/>
      </c>
      <c r="L254" s="287"/>
      <c r="U254" s="40"/>
      <c r="AU254" s="41" t="str">
        <f t="shared" si="16"/>
        <v/>
      </c>
      <c r="AV254" s="5" t="str">
        <f ca="1">IFERROR(__xludf.DUMMYFUNCTION("IFERROR(VLOOKUP(E268&amp;F268,IMPORTRANGE(""https://docs.google.com/spreadsheets/d/1Uw7-A9f9R21vMXxHZFNpYNeKFtG8_yji4HS352LGlSQ/edit?pli=1#gid=0"",""1_ACUM!A4:S""),11,FALSE))"),"")</f>
        <v/>
      </c>
      <c r="AW254" s="42" t="str">
        <f ca="1">IFERROR(__xludf.DUMMYFUNCTION("IFERROR(VLOOKUP(F268,IMPORTRANGE(""https://docs.google.com/spreadsheets/d/1Kvs4KS76FHFqLFIZfrDMff4kP08nblUkihrxltoGBjg/edit#gid=934712705"",""ESENCIAL!A6:BG""),15,FALSE))"),"")</f>
        <v/>
      </c>
      <c r="AX254" s="21" t="str">
        <f ca="1">IFERROR(__xludf.DUMMYFUNCTION("IFERROR(VLOOKUP(E268&amp;F268,IMPORTRANGE(""https://docs.google.com/spreadsheets/d/1Uw7-A9f9R21vMXxHZFNpYNeKFtG8_yji4HS352LGlSQ/edit?pli=1#gid=0"",""1_ACUM!A4:S""),12,FALSE))"),"")</f>
        <v/>
      </c>
      <c r="AY254" s="43" t="str">
        <f ca="1">IFERROR(__xludf.DUMMYFUNCTION("IFERROR(VLOOKUP(E268&amp;F268,IMPORTRANGE(""https://docs.google.com/spreadsheets/d/1Uw7-A9f9R21vMXxHZFNpYNeKFtG8_yji4HS352LGlSQ/edit?pli=1#gid=0"",""1_ACUM!A4:S""),13,FALSE))"),"")</f>
        <v/>
      </c>
      <c r="AZ254" s="43" t="str">
        <f ca="1">IFERROR(__xludf.DUMMYFUNCTION("IFERROR(VLOOKUP(E268&amp;F268,IMPORTRANGE(""https://docs.google.com/spreadsheets/d/1Uw7-A9f9R21vMXxHZFNpYNeKFtG8_yji4HS352LGlSQ/edit?pli=1#gid=0"",""1_ACUM!A4:S""),14,FALSE))"),"")</f>
        <v/>
      </c>
      <c r="BA254" s="43" t="str">
        <f ca="1">IFERROR(__xludf.DUMMYFUNCTION("IFERROR(VLOOKUP(E268&amp;F268,IMPORTRANGE(""https://docs.google.com/spreadsheets/d/1Uw7-A9f9R21vMXxHZFNpYNeKFtG8_yji4HS352LGlSQ/edit?pli=1#gid=0"",""1_ACUM!A4:S""),15,FALSE))"),"")</f>
        <v/>
      </c>
      <c r="BB254" s="43" t="str">
        <f ca="1">IFERROR(__xludf.DUMMYFUNCTION("IFERROR(VLOOKUP(E268&amp;F268,IMPORTRANGE(""https://docs.google.com/spreadsheets/d/1Uw7-A9f9R21vMXxHZFNpYNeKFtG8_yji4HS352LGlSQ/edit?pli=1#gid=0"",""1_ACUM!A4:S""),16,FALSE))"),"")</f>
        <v/>
      </c>
      <c r="BC254" s="43" t="str">
        <f ca="1">IFERROR(__xludf.DUMMYFUNCTION("IFERROR(VLOOKUP(E268&amp;F268,IMPORTRANGE(""https://docs.google.com/spreadsheets/d/1Uw7-A9f9R21vMXxHZFNpYNeKFtG8_yji4HS352LGlSQ/edit?pli=1#gid=0"",""1_ACUM!A4:S""),17,FALSE))"),"")</f>
        <v/>
      </c>
      <c r="BD254" s="44" t="str">
        <f ca="1">IFERROR(__xludf.DUMMYFUNCTION("IFERROR(VLOOKUP(E268&amp;F268,IMPORTRANGE(""https://docs.google.com/spreadsheets/d/1Uw7-A9f9R21vMXxHZFNpYNeKFtG8_yji4HS352LGlSQ/edit?pli=1#gid=0"",""1_ACUM!A4:S""),18,FALSE))"),"")</f>
        <v/>
      </c>
      <c r="BE254" s="44" t="str">
        <f ca="1">IFERROR(__xludf.DUMMYFUNCTION("IFERROR(VLOOKUP(E268&amp;F268,IMPORTRANGE(""https://docs.google.com/spreadsheets/d/1Uw7-A9f9R21vMXxHZFNpYNeKFtG8_yji4HS352LGlSQ/edit?pli=1#gid=0"",""1_ACUM!A4:S""),19,FALSE))"),"")</f>
        <v/>
      </c>
      <c r="BF254" s="98" t="str">
        <f ca="1">IFERROR(__xludf.DUMMYFUNCTION("IFERROR(VLOOKUP(F268,IMPORTRANGE(""https://docs.google.com/spreadsheets/d/1Kvs4KS76FHFqLFIZfrDMff4kP08nblUkihrxltoGBjg/edit#gid=934712705"",""ESENCIAL!A6:BG""),5,FALSE))"),"")</f>
        <v/>
      </c>
      <c r="BG254" s="98" t="str">
        <f t="shared" si="17"/>
        <v/>
      </c>
      <c r="BH254" s="99" t="str">
        <f t="shared" si="18"/>
        <v/>
      </c>
      <c r="BI254" s="100" t="str">
        <f ca="1">IFERROR(__xludf.DUMMYFUNCTION("IFERROR(VLOOKUP(F268,IMPORTRANGE(""https://docs.google.com/spreadsheets/d/1Kvs4KS76FHFqLFIZfrDMff4kP08nblUkihrxltoGBjg/edit#gid=934712705"",""ESENCIAL!A6:BG""),2,FALSE))"),"")</f>
        <v/>
      </c>
      <c r="BJ254" s="19" t="str">
        <f t="shared" si="19"/>
        <v/>
      </c>
      <c r="BK254" s="100"/>
      <c r="BL254" s="100"/>
    </row>
    <row r="255" spans="1:64" ht="15">
      <c r="A255" s="101"/>
      <c r="B255" s="101"/>
      <c r="G255" s="5" t="str">
        <f ca="1">IFERROR(__xludf.DUMMYFUNCTION("IFERROR(VLOOKUP(F269,IMPORTRANGE(""https://docs.google.com/spreadsheets/d/1Kvs4KS76FHFqLFIZfrDMff4kP08nblUkihrxltoGBjg/edit#gid=934712705"",""ESENCIAL!A6:BG""),3,FALSE))"),"")</f>
        <v/>
      </c>
      <c r="H255" s="5" t="str">
        <f ca="1">IFERROR(__xludf.DUMMYFUNCTION("IFERROR(VLOOKUP(F269,IMPORTRANGE(""https://docs.google.com/spreadsheets/d/1Kvs4KS76FHFqLFIZfrDMff4kP08nblUkihrxltoGBjg/edit#gid=934712705"",""ESENCIAL!A6:BG""),8,FALSE))"),"")</f>
        <v/>
      </c>
      <c r="L255" s="287"/>
      <c r="U255" s="40"/>
      <c r="AU255" s="41" t="str">
        <f t="shared" si="16"/>
        <v/>
      </c>
      <c r="AV255" s="5" t="str">
        <f ca="1">IFERROR(__xludf.DUMMYFUNCTION("IFERROR(VLOOKUP(E269&amp;F269,IMPORTRANGE(""https://docs.google.com/spreadsheets/d/1Uw7-A9f9R21vMXxHZFNpYNeKFtG8_yji4HS352LGlSQ/edit?pli=1#gid=0"",""1_ACUM!A4:S""),11,FALSE))"),"")</f>
        <v/>
      </c>
      <c r="AW255" s="42" t="str">
        <f ca="1">IFERROR(__xludf.DUMMYFUNCTION("IFERROR(VLOOKUP(F269,IMPORTRANGE(""https://docs.google.com/spreadsheets/d/1Kvs4KS76FHFqLFIZfrDMff4kP08nblUkihrxltoGBjg/edit#gid=934712705"",""ESENCIAL!A6:BG""),15,FALSE))"),"")</f>
        <v/>
      </c>
      <c r="AX255" s="21" t="str">
        <f ca="1">IFERROR(__xludf.DUMMYFUNCTION("IFERROR(VLOOKUP(E269&amp;F269,IMPORTRANGE(""https://docs.google.com/spreadsheets/d/1Uw7-A9f9R21vMXxHZFNpYNeKFtG8_yji4HS352LGlSQ/edit?pli=1#gid=0"",""1_ACUM!A4:S""),12,FALSE))"),"")</f>
        <v/>
      </c>
      <c r="AY255" s="43" t="str">
        <f ca="1">IFERROR(__xludf.DUMMYFUNCTION("IFERROR(VLOOKUP(E269&amp;F269,IMPORTRANGE(""https://docs.google.com/spreadsheets/d/1Uw7-A9f9R21vMXxHZFNpYNeKFtG8_yji4HS352LGlSQ/edit?pli=1#gid=0"",""1_ACUM!A4:S""),13,FALSE))"),"")</f>
        <v/>
      </c>
      <c r="AZ255" s="43" t="str">
        <f ca="1">IFERROR(__xludf.DUMMYFUNCTION("IFERROR(VLOOKUP(E269&amp;F269,IMPORTRANGE(""https://docs.google.com/spreadsheets/d/1Uw7-A9f9R21vMXxHZFNpYNeKFtG8_yji4HS352LGlSQ/edit?pli=1#gid=0"",""1_ACUM!A4:S""),14,FALSE))"),"")</f>
        <v/>
      </c>
      <c r="BA255" s="43" t="str">
        <f ca="1">IFERROR(__xludf.DUMMYFUNCTION("IFERROR(VLOOKUP(E269&amp;F269,IMPORTRANGE(""https://docs.google.com/spreadsheets/d/1Uw7-A9f9R21vMXxHZFNpYNeKFtG8_yji4HS352LGlSQ/edit?pli=1#gid=0"",""1_ACUM!A4:S""),15,FALSE))"),"")</f>
        <v/>
      </c>
      <c r="BB255" s="43" t="str">
        <f ca="1">IFERROR(__xludf.DUMMYFUNCTION("IFERROR(VLOOKUP(E269&amp;F269,IMPORTRANGE(""https://docs.google.com/spreadsheets/d/1Uw7-A9f9R21vMXxHZFNpYNeKFtG8_yji4HS352LGlSQ/edit?pli=1#gid=0"",""1_ACUM!A4:S""),16,FALSE))"),"")</f>
        <v/>
      </c>
      <c r="BC255" s="43" t="str">
        <f ca="1">IFERROR(__xludf.DUMMYFUNCTION("IFERROR(VLOOKUP(E269&amp;F269,IMPORTRANGE(""https://docs.google.com/spreadsheets/d/1Uw7-A9f9R21vMXxHZFNpYNeKFtG8_yji4HS352LGlSQ/edit?pli=1#gid=0"",""1_ACUM!A4:S""),17,FALSE))"),"")</f>
        <v/>
      </c>
      <c r="BD255" s="44" t="str">
        <f ca="1">IFERROR(__xludf.DUMMYFUNCTION("IFERROR(VLOOKUP(E269&amp;F269,IMPORTRANGE(""https://docs.google.com/spreadsheets/d/1Uw7-A9f9R21vMXxHZFNpYNeKFtG8_yji4HS352LGlSQ/edit?pli=1#gid=0"",""1_ACUM!A4:S""),18,FALSE))"),"")</f>
        <v/>
      </c>
      <c r="BE255" s="44" t="str">
        <f ca="1">IFERROR(__xludf.DUMMYFUNCTION("IFERROR(VLOOKUP(E269&amp;F269,IMPORTRANGE(""https://docs.google.com/spreadsheets/d/1Uw7-A9f9R21vMXxHZFNpYNeKFtG8_yji4HS352LGlSQ/edit?pli=1#gid=0"",""1_ACUM!A4:S""),19,FALSE))"),"")</f>
        <v/>
      </c>
      <c r="BF255" s="98" t="str">
        <f ca="1">IFERROR(__xludf.DUMMYFUNCTION("IFERROR(VLOOKUP(F269,IMPORTRANGE(""https://docs.google.com/spreadsheets/d/1Kvs4KS76FHFqLFIZfrDMff4kP08nblUkihrxltoGBjg/edit#gid=934712705"",""ESENCIAL!A6:BG""),5,FALSE))"),"")</f>
        <v/>
      </c>
      <c r="BG255" s="98" t="str">
        <f t="shared" si="17"/>
        <v/>
      </c>
      <c r="BH255" s="99" t="str">
        <f t="shared" si="18"/>
        <v/>
      </c>
      <c r="BI255" s="100" t="str">
        <f ca="1">IFERROR(__xludf.DUMMYFUNCTION("IFERROR(VLOOKUP(F269,IMPORTRANGE(""https://docs.google.com/spreadsheets/d/1Kvs4KS76FHFqLFIZfrDMff4kP08nblUkihrxltoGBjg/edit#gid=934712705"",""ESENCIAL!A6:BG""),2,FALSE))"),"")</f>
        <v/>
      </c>
      <c r="BJ255" s="19" t="str">
        <f t="shared" si="19"/>
        <v/>
      </c>
      <c r="BK255" s="100"/>
      <c r="BL255" s="100"/>
    </row>
    <row r="256" spans="1:64" ht="15">
      <c r="A256" s="101"/>
      <c r="B256" s="101"/>
      <c r="G256" s="5" t="str">
        <f ca="1">IFERROR(__xludf.DUMMYFUNCTION("IFERROR(VLOOKUP(F270,IMPORTRANGE(""https://docs.google.com/spreadsheets/d/1Kvs4KS76FHFqLFIZfrDMff4kP08nblUkihrxltoGBjg/edit#gid=934712705"",""ESENCIAL!A6:BG""),3,FALSE))"),"")</f>
        <v/>
      </c>
      <c r="H256" s="5" t="str">
        <f ca="1">IFERROR(__xludf.DUMMYFUNCTION("IFERROR(VLOOKUP(F270,IMPORTRANGE(""https://docs.google.com/spreadsheets/d/1Kvs4KS76FHFqLFIZfrDMff4kP08nblUkihrxltoGBjg/edit#gid=934712705"",""ESENCIAL!A6:BG""),8,FALSE))"),"")</f>
        <v/>
      </c>
      <c r="L256" s="287"/>
      <c r="U256" s="40"/>
      <c r="AU256" s="41" t="str">
        <f t="shared" si="16"/>
        <v/>
      </c>
      <c r="AV256" s="5" t="str">
        <f ca="1">IFERROR(__xludf.DUMMYFUNCTION("IFERROR(VLOOKUP(E270&amp;F270,IMPORTRANGE(""https://docs.google.com/spreadsheets/d/1Uw7-A9f9R21vMXxHZFNpYNeKFtG8_yji4HS352LGlSQ/edit?pli=1#gid=0"",""1_ACUM!A4:S""),11,FALSE))"),"")</f>
        <v/>
      </c>
      <c r="AW256" s="42" t="str">
        <f ca="1">IFERROR(__xludf.DUMMYFUNCTION("IFERROR(VLOOKUP(F270,IMPORTRANGE(""https://docs.google.com/spreadsheets/d/1Kvs4KS76FHFqLFIZfrDMff4kP08nblUkihrxltoGBjg/edit#gid=934712705"",""ESENCIAL!A6:BG""),15,FALSE))"),"")</f>
        <v/>
      </c>
      <c r="AX256" s="21" t="str">
        <f ca="1">IFERROR(__xludf.DUMMYFUNCTION("IFERROR(VLOOKUP(E270&amp;F270,IMPORTRANGE(""https://docs.google.com/spreadsheets/d/1Uw7-A9f9R21vMXxHZFNpYNeKFtG8_yji4HS352LGlSQ/edit?pli=1#gid=0"",""1_ACUM!A4:S""),12,FALSE))"),"")</f>
        <v/>
      </c>
      <c r="AY256" s="43" t="str">
        <f ca="1">IFERROR(__xludf.DUMMYFUNCTION("IFERROR(VLOOKUP(E270&amp;F270,IMPORTRANGE(""https://docs.google.com/spreadsheets/d/1Uw7-A9f9R21vMXxHZFNpYNeKFtG8_yji4HS352LGlSQ/edit?pli=1#gid=0"",""1_ACUM!A4:S""),13,FALSE))"),"")</f>
        <v/>
      </c>
      <c r="AZ256" s="43" t="str">
        <f ca="1">IFERROR(__xludf.DUMMYFUNCTION("IFERROR(VLOOKUP(E270&amp;F270,IMPORTRANGE(""https://docs.google.com/spreadsheets/d/1Uw7-A9f9R21vMXxHZFNpYNeKFtG8_yji4HS352LGlSQ/edit?pli=1#gid=0"",""1_ACUM!A4:S""),14,FALSE))"),"")</f>
        <v/>
      </c>
      <c r="BA256" s="43" t="str">
        <f ca="1">IFERROR(__xludf.DUMMYFUNCTION("IFERROR(VLOOKUP(E270&amp;F270,IMPORTRANGE(""https://docs.google.com/spreadsheets/d/1Uw7-A9f9R21vMXxHZFNpYNeKFtG8_yji4HS352LGlSQ/edit?pli=1#gid=0"",""1_ACUM!A4:S""),15,FALSE))"),"")</f>
        <v/>
      </c>
      <c r="BB256" s="43" t="str">
        <f ca="1">IFERROR(__xludf.DUMMYFUNCTION("IFERROR(VLOOKUP(E270&amp;F270,IMPORTRANGE(""https://docs.google.com/spreadsheets/d/1Uw7-A9f9R21vMXxHZFNpYNeKFtG8_yji4HS352LGlSQ/edit?pli=1#gid=0"",""1_ACUM!A4:S""),16,FALSE))"),"")</f>
        <v/>
      </c>
      <c r="BC256" s="43" t="str">
        <f ca="1">IFERROR(__xludf.DUMMYFUNCTION("IFERROR(VLOOKUP(E270&amp;F270,IMPORTRANGE(""https://docs.google.com/spreadsheets/d/1Uw7-A9f9R21vMXxHZFNpYNeKFtG8_yji4HS352LGlSQ/edit?pli=1#gid=0"",""1_ACUM!A4:S""),17,FALSE))"),"")</f>
        <v/>
      </c>
      <c r="BD256" s="44" t="str">
        <f ca="1">IFERROR(__xludf.DUMMYFUNCTION("IFERROR(VLOOKUP(E270&amp;F270,IMPORTRANGE(""https://docs.google.com/spreadsheets/d/1Uw7-A9f9R21vMXxHZFNpYNeKFtG8_yji4HS352LGlSQ/edit?pli=1#gid=0"",""1_ACUM!A4:S""),18,FALSE))"),"")</f>
        <v/>
      </c>
      <c r="BE256" s="44" t="str">
        <f ca="1">IFERROR(__xludf.DUMMYFUNCTION("IFERROR(VLOOKUP(E270&amp;F270,IMPORTRANGE(""https://docs.google.com/spreadsheets/d/1Uw7-A9f9R21vMXxHZFNpYNeKFtG8_yji4HS352LGlSQ/edit?pli=1#gid=0"",""1_ACUM!A4:S""),19,FALSE))"),"")</f>
        <v/>
      </c>
      <c r="BF256" s="98" t="str">
        <f ca="1">IFERROR(__xludf.DUMMYFUNCTION("IFERROR(VLOOKUP(F270,IMPORTRANGE(""https://docs.google.com/spreadsheets/d/1Kvs4KS76FHFqLFIZfrDMff4kP08nblUkihrxltoGBjg/edit#gid=934712705"",""ESENCIAL!A6:BG""),5,FALSE))"),"")</f>
        <v/>
      </c>
      <c r="BG256" s="98" t="str">
        <f t="shared" si="17"/>
        <v/>
      </c>
      <c r="BH256" s="99" t="str">
        <f t="shared" si="18"/>
        <v/>
      </c>
      <c r="BI256" s="100" t="str">
        <f ca="1">IFERROR(__xludf.DUMMYFUNCTION("IFERROR(VLOOKUP(F270,IMPORTRANGE(""https://docs.google.com/spreadsheets/d/1Kvs4KS76FHFqLFIZfrDMff4kP08nblUkihrxltoGBjg/edit#gid=934712705"",""ESENCIAL!A6:BG""),2,FALSE))"),"")</f>
        <v/>
      </c>
      <c r="BJ256" s="19" t="str">
        <f t="shared" si="19"/>
        <v/>
      </c>
      <c r="BK256" s="100"/>
      <c r="BL256" s="100"/>
    </row>
    <row r="257" spans="1:64" ht="15">
      <c r="A257" s="101"/>
      <c r="B257" s="101"/>
      <c r="G257" s="5" t="str">
        <f ca="1">IFERROR(__xludf.DUMMYFUNCTION("IFERROR(VLOOKUP(F271,IMPORTRANGE(""https://docs.google.com/spreadsheets/d/1Kvs4KS76FHFqLFIZfrDMff4kP08nblUkihrxltoGBjg/edit#gid=934712705"",""ESENCIAL!A6:BG""),3,FALSE))"),"")</f>
        <v/>
      </c>
      <c r="H257" s="5" t="str">
        <f ca="1">IFERROR(__xludf.DUMMYFUNCTION("IFERROR(VLOOKUP(F271,IMPORTRANGE(""https://docs.google.com/spreadsheets/d/1Kvs4KS76FHFqLFIZfrDMff4kP08nblUkihrxltoGBjg/edit#gid=934712705"",""ESENCIAL!A6:BG""),8,FALSE))"),"")</f>
        <v/>
      </c>
      <c r="L257" s="287"/>
      <c r="U257" s="40"/>
      <c r="AU257" s="41" t="str">
        <f t="shared" si="16"/>
        <v/>
      </c>
      <c r="AV257" s="5" t="str">
        <f ca="1">IFERROR(__xludf.DUMMYFUNCTION("IFERROR(VLOOKUP(E271&amp;F271,IMPORTRANGE(""https://docs.google.com/spreadsheets/d/1Uw7-A9f9R21vMXxHZFNpYNeKFtG8_yji4HS352LGlSQ/edit?pli=1#gid=0"",""1_ACUM!A4:S""),11,FALSE))"),"")</f>
        <v/>
      </c>
      <c r="AW257" s="42" t="str">
        <f ca="1">IFERROR(__xludf.DUMMYFUNCTION("IFERROR(VLOOKUP(F271,IMPORTRANGE(""https://docs.google.com/spreadsheets/d/1Kvs4KS76FHFqLFIZfrDMff4kP08nblUkihrxltoGBjg/edit#gid=934712705"",""ESENCIAL!A6:BG""),15,FALSE))"),"")</f>
        <v/>
      </c>
      <c r="AX257" s="21" t="str">
        <f ca="1">IFERROR(__xludf.DUMMYFUNCTION("IFERROR(VLOOKUP(E271&amp;F271,IMPORTRANGE(""https://docs.google.com/spreadsheets/d/1Uw7-A9f9R21vMXxHZFNpYNeKFtG8_yji4HS352LGlSQ/edit?pli=1#gid=0"",""1_ACUM!A4:S""),12,FALSE))"),"")</f>
        <v/>
      </c>
      <c r="AY257" s="43" t="str">
        <f ca="1">IFERROR(__xludf.DUMMYFUNCTION("IFERROR(VLOOKUP(E271&amp;F271,IMPORTRANGE(""https://docs.google.com/spreadsheets/d/1Uw7-A9f9R21vMXxHZFNpYNeKFtG8_yji4HS352LGlSQ/edit?pli=1#gid=0"",""1_ACUM!A4:S""),13,FALSE))"),"")</f>
        <v/>
      </c>
      <c r="AZ257" s="43" t="str">
        <f ca="1">IFERROR(__xludf.DUMMYFUNCTION("IFERROR(VLOOKUP(E271&amp;F271,IMPORTRANGE(""https://docs.google.com/spreadsheets/d/1Uw7-A9f9R21vMXxHZFNpYNeKFtG8_yji4HS352LGlSQ/edit?pli=1#gid=0"",""1_ACUM!A4:S""),14,FALSE))"),"")</f>
        <v/>
      </c>
      <c r="BA257" s="43" t="str">
        <f ca="1">IFERROR(__xludf.DUMMYFUNCTION("IFERROR(VLOOKUP(E271&amp;F271,IMPORTRANGE(""https://docs.google.com/spreadsheets/d/1Uw7-A9f9R21vMXxHZFNpYNeKFtG8_yji4HS352LGlSQ/edit?pli=1#gid=0"",""1_ACUM!A4:S""),15,FALSE))"),"")</f>
        <v/>
      </c>
      <c r="BB257" s="43" t="str">
        <f ca="1">IFERROR(__xludf.DUMMYFUNCTION("IFERROR(VLOOKUP(E271&amp;F271,IMPORTRANGE(""https://docs.google.com/spreadsheets/d/1Uw7-A9f9R21vMXxHZFNpYNeKFtG8_yji4HS352LGlSQ/edit?pli=1#gid=0"",""1_ACUM!A4:S""),16,FALSE))"),"")</f>
        <v/>
      </c>
      <c r="BC257" s="43" t="str">
        <f ca="1">IFERROR(__xludf.DUMMYFUNCTION("IFERROR(VLOOKUP(E271&amp;F271,IMPORTRANGE(""https://docs.google.com/spreadsheets/d/1Uw7-A9f9R21vMXxHZFNpYNeKFtG8_yji4HS352LGlSQ/edit?pli=1#gid=0"",""1_ACUM!A4:S""),17,FALSE))"),"")</f>
        <v/>
      </c>
      <c r="BD257" s="44" t="str">
        <f ca="1">IFERROR(__xludf.DUMMYFUNCTION("IFERROR(VLOOKUP(E271&amp;F271,IMPORTRANGE(""https://docs.google.com/spreadsheets/d/1Uw7-A9f9R21vMXxHZFNpYNeKFtG8_yji4HS352LGlSQ/edit?pli=1#gid=0"",""1_ACUM!A4:S""),18,FALSE))"),"")</f>
        <v/>
      </c>
      <c r="BE257" s="44" t="str">
        <f ca="1">IFERROR(__xludf.DUMMYFUNCTION("IFERROR(VLOOKUP(E271&amp;F271,IMPORTRANGE(""https://docs.google.com/spreadsheets/d/1Uw7-A9f9R21vMXxHZFNpYNeKFtG8_yji4HS352LGlSQ/edit?pli=1#gid=0"",""1_ACUM!A4:S""),19,FALSE))"),"")</f>
        <v/>
      </c>
      <c r="BF257" s="98" t="str">
        <f ca="1">IFERROR(__xludf.DUMMYFUNCTION("IFERROR(VLOOKUP(F271,IMPORTRANGE(""https://docs.google.com/spreadsheets/d/1Kvs4KS76FHFqLFIZfrDMff4kP08nblUkihrxltoGBjg/edit#gid=934712705"",""ESENCIAL!A6:BG""),5,FALSE))"),"")</f>
        <v/>
      </c>
      <c r="BG257" s="98" t="str">
        <f t="shared" si="17"/>
        <v/>
      </c>
      <c r="BH257" s="99" t="str">
        <f t="shared" si="18"/>
        <v/>
      </c>
      <c r="BI257" s="100" t="str">
        <f ca="1">IFERROR(__xludf.DUMMYFUNCTION("IFERROR(VLOOKUP(F271,IMPORTRANGE(""https://docs.google.com/spreadsheets/d/1Kvs4KS76FHFqLFIZfrDMff4kP08nblUkihrxltoGBjg/edit#gid=934712705"",""ESENCIAL!A6:BG""),2,FALSE))"),"")</f>
        <v/>
      </c>
      <c r="BJ257" s="19" t="str">
        <f t="shared" si="19"/>
        <v/>
      </c>
      <c r="BK257" s="100"/>
      <c r="BL257" s="100"/>
    </row>
    <row r="258" spans="1:64" ht="15">
      <c r="A258" s="101"/>
      <c r="B258" s="101"/>
      <c r="G258" s="5" t="str">
        <f ca="1">IFERROR(__xludf.DUMMYFUNCTION("IFERROR(VLOOKUP(F272,IMPORTRANGE(""https://docs.google.com/spreadsheets/d/1Kvs4KS76FHFqLFIZfrDMff4kP08nblUkihrxltoGBjg/edit#gid=934712705"",""ESENCIAL!A6:BG""),3,FALSE))"),"")</f>
        <v/>
      </c>
      <c r="H258" s="5" t="str">
        <f ca="1">IFERROR(__xludf.DUMMYFUNCTION("IFERROR(VLOOKUP(F272,IMPORTRANGE(""https://docs.google.com/spreadsheets/d/1Kvs4KS76FHFqLFIZfrDMff4kP08nblUkihrxltoGBjg/edit#gid=934712705"",""ESENCIAL!A6:BG""),8,FALSE))"),"")</f>
        <v/>
      </c>
      <c r="L258" s="287"/>
      <c r="U258" s="40"/>
      <c r="AU258" s="41" t="str">
        <f t="shared" si="16"/>
        <v/>
      </c>
      <c r="AV258" s="5" t="str">
        <f ca="1">IFERROR(__xludf.DUMMYFUNCTION("IFERROR(VLOOKUP(E272&amp;F272,IMPORTRANGE(""https://docs.google.com/spreadsheets/d/1Uw7-A9f9R21vMXxHZFNpYNeKFtG8_yji4HS352LGlSQ/edit?pli=1#gid=0"",""1_ACUM!A4:S""),11,FALSE))"),"")</f>
        <v/>
      </c>
      <c r="AW258" s="42" t="str">
        <f ca="1">IFERROR(__xludf.DUMMYFUNCTION("IFERROR(VLOOKUP(F272,IMPORTRANGE(""https://docs.google.com/spreadsheets/d/1Kvs4KS76FHFqLFIZfrDMff4kP08nblUkihrxltoGBjg/edit#gid=934712705"",""ESENCIAL!A6:BG""),15,FALSE))"),"")</f>
        <v/>
      </c>
      <c r="AX258" s="21" t="str">
        <f ca="1">IFERROR(__xludf.DUMMYFUNCTION("IFERROR(VLOOKUP(E272&amp;F272,IMPORTRANGE(""https://docs.google.com/spreadsheets/d/1Uw7-A9f9R21vMXxHZFNpYNeKFtG8_yji4HS352LGlSQ/edit?pli=1#gid=0"",""1_ACUM!A4:S""),12,FALSE))"),"")</f>
        <v/>
      </c>
      <c r="AY258" s="43" t="str">
        <f ca="1">IFERROR(__xludf.DUMMYFUNCTION("IFERROR(VLOOKUP(E272&amp;F272,IMPORTRANGE(""https://docs.google.com/spreadsheets/d/1Uw7-A9f9R21vMXxHZFNpYNeKFtG8_yji4HS352LGlSQ/edit?pli=1#gid=0"",""1_ACUM!A4:S""),13,FALSE))"),"")</f>
        <v/>
      </c>
      <c r="AZ258" s="43" t="str">
        <f ca="1">IFERROR(__xludf.DUMMYFUNCTION("IFERROR(VLOOKUP(E272&amp;F272,IMPORTRANGE(""https://docs.google.com/spreadsheets/d/1Uw7-A9f9R21vMXxHZFNpYNeKFtG8_yji4HS352LGlSQ/edit?pli=1#gid=0"",""1_ACUM!A4:S""),14,FALSE))"),"")</f>
        <v/>
      </c>
      <c r="BA258" s="43" t="str">
        <f ca="1">IFERROR(__xludf.DUMMYFUNCTION("IFERROR(VLOOKUP(E272&amp;F272,IMPORTRANGE(""https://docs.google.com/spreadsheets/d/1Uw7-A9f9R21vMXxHZFNpYNeKFtG8_yji4HS352LGlSQ/edit?pli=1#gid=0"",""1_ACUM!A4:S""),15,FALSE))"),"")</f>
        <v/>
      </c>
      <c r="BB258" s="43" t="str">
        <f ca="1">IFERROR(__xludf.DUMMYFUNCTION("IFERROR(VLOOKUP(E272&amp;F272,IMPORTRANGE(""https://docs.google.com/spreadsheets/d/1Uw7-A9f9R21vMXxHZFNpYNeKFtG8_yji4HS352LGlSQ/edit?pli=1#gid=0"",""1_ACUM!A4:S""),16,FALSE))"),"")</f>
        <v/>
      </c>
      <c r="BC258" s="43" t="str">
        <f ca="1">IFERROR(__xludf.DUMMYFUNCTION("IFERROR(VLOOKUP(E272&amp;F272,IMPORTRANGE(""https://docs.google.com/spreadsheets/d/1Uw7-A9f9R21vMXxHZFNpYNeKFtG8_yji4HS352LGlSQ/edit?pli=1#gid=0"",""1_ACUM!A4:S""),17,FALSE))"),"")</f>
        <v/>
      </c>
      <c r="BD258" s="44" t="str">
        <f ca="1">IFERROR(__xludf.DUMMYFUNCTION("IFERROR(VLOOKUP(E272&amp;F272,IMPORTRANGE(""https://docs.google.com/spreadsheets/d/1Uw7-A9f9R21vMXxHZFNpYNeKFtG8_yji4HS352LGlSQ/edit?pli=1#gid=0"",""1_ACUM!A4:S""),18,FALSE))"),"")</f>
        <v/>
      </c>
      <c r="BE258" s="44" t="str">
        <f ca="1">IFERROR(__xludf.DUMMYFUNCTION("IFERROR(VLOOKUP(E272&amp;F272,IMPORTRANGE(""https://docs.google.com/spreadsheets/d/1Uw7-A9f9R21vMXxHZFNpYNeKFtG8_yji4HS352LGlSQ/edit?pli=1#gid=0"",""1_ACUM!A4:S""),19,FALSE))"),"")</f>
        <v/>
      </c>
      <c r="BF258" s="98" t="str">
        <f ca="1">IFERROR(__xludf.DUMMYFUNCTION("IFERROR(VLOOKUP(F272,IMPORTRANGE(""https://docs.google.com/spreadsheets/d/1Kvs4KS76FHFqLFIZfrDMff4kP08nblUkihrxltoGBjg/edit#gid=934712705"",""ESENCIAL!A6:BG""),5,FALSE))"),"")</f>
        <v/>
      </c>
      <c r="BG258" s="98" t="str">
        <f t="shared" si="17"/>
        <v/>
      </c>
      <c r="BH258" s="99" t="str">
        <f t="shared" si="18"/>
        <v/>
      </c>
      <c r="BI258" s="100" t="str">
        <f ca="1">IFERROR(__xludf.DUMMYFUNCTION("IFERROR(VLOOKUP(F272,IMPORTRANGE(""https://docs.google.com/spreadsheets/d/1Kvs4KS76FHFqLFIZfrDMff4kP08nblUkihrxltoGBjg/edit#gid=934712705"",""ESENCIAL!A6:BG""),2,FALSE))"),"")</f>
        <v/>
      </c>
      <c r="BJ258" s="19" t="str">
        <f t="shared" si="19"/>
        <v/>
      </c>
      <c r="BK258" s="100"/>
      <c r="BL258" s="100"/>
    </row>
    <row r="259" spans="1:64" ht="15">
      <c r="A259" s="101"/>
      <c r="B259" s="101"/>
      <c r="G259" s="5" t="str">
        <f ca="1">IFERROR(__xludf.DUMMYFUNCTION("IFERROR(VLOOKUP(F273,IMPORTRANGE(""https://docs.google.com/spreadsheets/d/1Kvs4KS76FHFqLFIZfrDMff4kP08nblUkihrxltoGBjg/edit#gid=934712705"",""ESENCIAL!A6:BG""),3,FALSE))"),"")</f>
        <v/>
      </c>
      <c r="H259" s="5" t="str">
        <f ca="1">IFERROR(__xludf.DUMMYFUNCTION("IFERROR(VLOOKUP(F273,IMPORTRANGE(""https://docs.google.com/spreadsheets/d/1Kvs4KS76FHFqLFIZfrDMff4kP08nblUkihrxltoGBjg/edit#gid=934712705"",""ESENCIAL!A6:BG""),8,FALSE))"),"")</f>
        <v/>
      </c>
      <c r="L259" s="287"/>
      <c r="U259" s="40"/>
      <c r="AU259" s="41" t="str">
        <f t="shared" si="16"/>
        <v/>
      </c>
      <c r="AV259" s="5" t="str">
        <f ca="1">IFERROR(__xludf.DUMMYFUNCTION("IFERROR(VLOOKUP(E273&amp;F273,IMPORTRANGE(""https://docs.google.com/spreadsheets/d/1Uw7-A9f9R21vMXxHZFNpYNeKFtG8_yji4HS352LGlSQ/edit?pli=1#gid=0"",""1_ACUM!A4:S""),11,FALSE))"),"")</f>
        <v/>
      </c>
      <c r="AW259" s="42" t="str">
        <f ca="1">IFERROR(__xludf.DUMMYFUNCTION("IFERROR(VLOOKUP(F273,IMPORTRANGE(""https://docs.google.com/spreadsheets/d/1Kvs4KS76FHFqLFIZfrDMff4kP08nblUkihrxltoGBjg/edit#gid=934712705"",""ESENCIAL!A6:BG""),15,FALSE))"),"")</f>
        <v/>
      </c>
      <c r="AX259" s="21" t="str">
        <f ca="1">IFERROR(__xludf.DUMMYFUNCTION("IFERROR(VLOOKUP(E273&amp;F273,IMPORTRANGE(""https://docs.google.com/spreadsheets/d/1Uw7-A9f9R21vMXxHZFNpYNeKFtG8_yji4HS352LGlSQ/edit?pli=1#gid=0"",""1_ACUM!A4:S""),12,FALSE))"),"")</f>
        <v/>
      </c>
      <c r="AY259" s="43" t="str">
        <f ca="1">IFERROR(__xludf.DUMMYFUNCTION("IFERROR(VLOOKUP(E273&amp;F273,IMPORTRANGE(""https://docs.google.com/spreadsheets/d/1Uw7-A9f9R21vMXxHZFNpYNeKFtG8_yji4HS352LGlSQ/edit?pli=1#gid=0"",""1_ACUM!A4:S""),13,FALSE))"),"")</f>
        <v/>
      </c>
      <c r="AZ259" s="43" t="str">
        <f ca="1">IFERROR(__xludf.DUMMYFUNCTION("IFERROR(VLOOKUP(E273&amp;F273,IMPORTRANGE(""https://docs.google.com/spreadsheets/d/1Uw7-A9f9R21vMXxHZFNpYNeKFtG8_yji4HS352LGlSQ/edit?pli=1#gid=0"",""1_ACUM!A4:S""),14,FALSE))"),"")</f>
        <v/>
      </c>
      <c r="BA259" s="43" t="str">
        <f ca="1">IFERROR(__xludf.DUMMYFUNCTION("IFERROR(VLOOKUP(E273&amp;F273,IMPORTRANGE(""https://docs.google.com/spreadsheets/d/1Uw7-A9f9R21vMXxHZFNpYNeKFtG8_yji4HS352LGlSQ/edit?pli=1#gid=0"",""1_ACUM!A4:S""),15,FALSE))"),"")</f>
        <v/>
      </c>
      <c r="BB259" s="43" t="str">
        <f ca="1">IFERROR(__xludf.DUMMYFUNCTION("IFERROR(VLOOKUP(E273&amp;F273,IMPORTRANGE(""https://docs.google.com/spreadsheets/d/1Uw7-A9f9R21vMXxHZFNpYNeKFtG8_yji4HS352LGlSQ/edit?pli=1#gid=0"",""1_ACUM!A4:S""),16,FALSE))"),"")</f>
        <v/>
      </c>
      <c r="BC259" s="43" t="str">
        <f ca="1">IFERROR(__xludf.DUMMYFUNCTION("IFERROR(VLOOKUP(E273&amp;F273,IMPORTRANGE(""https://docs.google.com/spreadsheets/d/1Uw7-A9f9R21vMXxHZFNpYNeKFtG8_yji4HS352LGlSQ/edit?pli=1#gid=0"",""1_ACUM!A4:S""),17,FALSE))"),"")</f>
        <v/>
      </c>
      <c r="BD259" s="44" t="str">
        <f ca="1">IFERROR(__xludf.DUMMYFUNCTION("IFERROR(VLOOKUP(E273&amp;F273,IMPORTRANGE(""https://docs.google.com/spreadsheets/d/1Uw7-A9f9R21vMXxHZFNpYNeKFtG8_yji4HS352LGlSQ/edit?pli=1#gid=0"",""1_ACUM!A4:S""),18,FALSE))"),"")</f>
        <v/>
      </c>
      <c r="BE259" s="44" t="str">
        <f ca="1">IFERROR(__xludf.DUMMYFUNCTION("IFERROR(VLOOKUP(E273&amp;F273,IMPORTRANGE(""https://docs.google.com/spreadsheets/d/1Uw7-A9f9R21vMXxHZFNpYNeKFtG8_yji4HS352LGlSQ/edit?pli=1#gid=0"",""1_ACUM!A4:S""),19,FALSE))"),"")</f>
        <v/>
      </c>
      <c r="BF259" s="98" t="str">
        <f ca="1">IFERROR(__xludf.DUMMYFUNCTION("IFERROR(VLOOKUP(F273,IMPORTRANGE(""https://docs.google.com/spreadsheets/d/1Kvs4KS76FHFqLFIZfrDMff4kP08nblUkihrxltoGBjg/edit#gid=934712705"",""ESENCIAL!A6:BG""),5,FALSE))"),"")</f>
        <v/>
      </c>
      <c r="BG259" s="98" t="str">
        <f t="shared" si="17"/>
        <v/>
      </c>
      <c r="BH259" s="99" t="str">
        <f t="shared" si="18"/>
        <v/>
      </c>
      <c r="BI259" s="100" t="str">
        <f ca="1">IFERROR(__xludf.DUMMYFUNCTION("IFERROR(VLOOKUP(F273,IMPORTRANGE(""https://docs.google.com/spreadsheets/d/1Kvs4KS76FHFqLFIZfrDMff4kP08nblUkihrxltoGBjg/edit#gid=934712705"",""ESENCIAL!A6:BG""),2,FALSE))"),"")</f>
        <v/>
      </c>
      <c r="BJ259" s="19" t="str">
        <f t="shared" si="19"/>
        <v/>
      </c>
      <c r="BK259" s="100"/>
      <c r="BL259" s="100"/>
    </row>
    <row r="260" spans="1:64" ht="15">
      <c r="A260" s="101"/>
      <c r="B260" s="101"/>
      <c r="G260" s="5" t="str">
        <f ca="1">IFERROR(__xludf.DUMMYFUNCTION("IFERROR(VLOOKUP(F274,IMPORTRANGE(""https://docs.google.com/spreadsheets/d/1Kvs4KS76FHFqLFIZfrDMff4kP08nblUkihrxltoGBjg/edit#gid=934712705"",""ESENCIAL!A6:BG""),3,FALSE))"),"")</f>
        <v/>
      </c>
      <c r="H260" s="5" t="str">
        <f ca="1">IFERROR(__xludf.DUMMYFUNCTION("IFERROR(VLOOKUP(F274,IMPORTRANGE(""https://docs.google.com/spreadsheets/d/1Kvs4KS76FHFqLFIZfrDMff4kP08nblUkihrxltoGBjg/edit#gid=934712705"",""ESENCIAL!A6:BG""),8,FALSE))"),"")</f>
        <v/>
      </c>
      <c r="L260" s="287"/>
      <c r="U260" s="40"/>
      <c r="AU260" s="41" t="str">
        <f t="shared" si="16"/>
        <v/>
      </c>
      <c r="AV260" s="5" t="str">
        <f ca="1">IFERROR(__xludf.DUMMYFUNCTION("IFERROR(VLOOKUP(E274&amp;F274,IMPORTRANGE(""https://docs.google.com/spreadsheets/d/1Uw7-A9f9R21vMXxHZFNpYNeKFtG8_yji4HS352LGlSQ/edit?pli=1#gid=0"",""1_ACUM!A4:S""),11,FALSE))"),"")</f>
        <v/>
      </c>
      <c r="AW260" s="42" t="str">
        <f ca="1">IFERROR(__xludf.DUMMYFUNCTION("IFERROR(VLOOKUP(F274,IMPORTRANGE(""https://docs.google.com/spreadsheets/d/1Kvs4KS76FHFqLFIZfrDMff4kP08nblUkihrxltoGBjg/edit#gid=934712705"",""ESENCIAL!A6:BG""),15,FALSE))"),"")</f>
        <v/>
      </c>
      <c r="AX260" s="21" t="str">
        <f ca="1">IFERROR(__xludf.DUMMYFUNCTION("IFERROR(VLOOKUP(E274&amp;F274,IMPORTRANGE(""https://docs.google.com/spreadsheets/d/1Uw7-A9f9R21vMXxHZFNpYNeKFtG8_yji4HS352LGlSQ/edit?pli=1#gid=0"",""1_ACUM!A4:S""),12,FALSE))"),"")</f>
        <v/>
      </c>
      <c r="AY260" s="43" t="str">
        <f ca="1">IFERROR(__xludf.DUMMYFUNCTION("IFERROR(VLOOKUP(E274&amp;F274,IMPORTRANGE(""https://docs.google.com/spreadsheets/d/1Uw7-A9f9R21vMXxHZFNpYNeKFtG8_yji4HS352LGlSQ/edit?pli=1#gid=0"",""1_ACUM!A4:S""),13,FALSE))"),"")</f>
        <v/>
      </c>
      <c r="AZ260" s="43" t="str">
        <f ca="1">IFERROR(__xludf.DUMMYFUNCTION("IFERROR(VLOOKUP(E274&amp;F274,IMPORTRANGE(""https://docs.google.com/spreadsheets/d/1Uw7-A9f9R21vMXxHZFNpYNeKFtG8_yji4HS352LGlSQ/edit?pli=1#gid=0"",""1_ACUM!A4:S""),14,FALSE))"),"")</f>
        <v/>
      </c>
      <c r="BA260" s="43" t="str">
        <f ca="1">IFERROR(__xludf.DUMMYFUNCTION("IFERROR(VLOOKUP(E274&amp;F274,IMPORTRANGE(""https://docs.google.com/spreadsheets/d/1Uw7-A9f9R21vMXxHZFNpYNeKFtG8_yji4HS352LGlSQ/edit?pli=1#gid=0"",""1_ACUM!A4:S""),15,FALSE))"),"")</f>
        <v/>
      </c>
      <c r="BB260" s="43" t="str">
        <f ca="1">IFERROR(__xludf.DUMMYFUNCTION("IFERROR(VLOOKUP(E274&amp;F274,IMPORTRANGE(""https://docs.google.com/spreadsheets/d/1Uw7-A9f9R21vMXxHZFNpYNeKFtG8_yji4HS352LGlSQ/edit?pli=1#gid=0"",""1_ACUM!A4:S""),16,FALSE))"),"")</f>
        <v/>
      </c>
      <c r="BC260" s="43" t="str">
        <f ca="1">IFERROR(__xludf.DUMMYFUNCTION("IFERROR(VLOOKUP(E274&amp;F274,IMPORTRANGE(""https://docs.google.com/spreadsheets/d/1Uw7-A9f9R21vMXxHZFNpYNeKFtG8_yji4HS352LGlSQ/edit?pli=1#gid=0"",""1_ACUM!A4:S""),17,FALSE))"),"")</f>
        <v/>
      </c>
      <c r="BD260" s="44" t="str">
        <f ca="1">IFERROR(__xludf.DUMMYFUNCTION("IFERROR(VLOOKUP(E274&amp;F274,IMPORTRANGE(""https://docs.google.com/spreadsheets/d/1Uw7-A9f9R21vMXxHZFNpYNeKFtG8_yji4HS352LGlSQ/edit?pli=1#gid=0"",""1_ACUM!A4:S""),18,FALSE))"),"")</f>
        <v/>
      </c>
      <c r="BE260" s="44" t="str">
        <f ca="1">IFERROR(__xludf.DUMMYFUNCTION("IFERROR(VLOOKUP(E274&amp;F274,IMPORTRANGE(""https://docs.google.com/spreadsheets/d/1Uw7-A9f9R21vMXxHZFNpYNeKFtG8_yji4HS352LGlSQ/edit?pli=1#gid=0"",""1_ACUM!A4:S""),19,FALSE))"),"")</f>
        <v/>
      </c>
      <c r="BF260" s="98" t="str">
        <f ca="1">IFERROR(__xludf.DUMMYFUNCTION("IFERROR(VLOOKUP(F274,IMPORTRANGE(""https://docs.google.com/spreadsheets/d/1Kvs4KS76FHFqLFIZfrDMff4kP08nblUkihrxltoGBjg/edit#gid=934712705"",""ESENCIAL!A6:BG""),5,FALSE))"),"")</f>
        <v/>
      </c>
      <c r="BG260" s="98" t="str">
        <f t="shared" si="17"/>
        <v/>
      </c>
      <c r="BH260" s="99" t="str">
        <f t="shared" si="18"/>
        <v/>
      </c>
      <c r="BI260" s="100" t="str">
        <f ca="1">IFERROR(__xludf.DUMMYFUNCTION("IFERROR(VLOOKUP(F274,IMPORTRANGE(""https://docs.google.com/spreadsheets/d/1Kvs4KS76FHFqLFIZfrDMff4kP08nblUkihrxltoGBjg/edit#gid=934712705"",""ESENCIAL!A6:BG""),2,FALSE))"),"")</f>
        <v/>
      </c>
      <c r="BJ260" s="19" t="str">
        <f t="shared" si="19"/>
        <v/>
      </c>
      <c r="BK260" s="100"/>
      <c r="BL260" s="100"/>
    </row>
    <row r="261" spans="1:64" ht="15">
      <c r="A261" s="101"/>
      <c r="B261" s="101"/>
      <c r="G261" s="5" t="str">
        <f ca="1">IFERROR(__xludf.DUMMYFUNCTION("IFERROR(VLOOKUP(F275,IMPORTRANGE(""https://docs.google.com/spreadsheets/d/1Kvs4KS76FHFqLFIZfrDMff4kP08nblUkihrxltoGBjg/edit#gid=934712705"",""ESENCIAL!A6:BG""),3,FALSE))"),"")</f>
        <v/>
      </c>
      <c r="H261" s="5" t="str">
        <f ca="1">IFERROR(__xludf.DUMMYFUNCTION("IFERROR(VLOOKUP(F275,IMPORTRANGE(""https://docs.google.com/spreadsheets/d/1Kvs4KS76FHFqLFIZfrDMff4kP08nblUkihrxltoGBjg/edit#gid=934712705"",""ESENCIAL!A6:BG""),8,FALSE))"),"")</f>
        <v/>
      </c>
      <c r="L261" s="287"/>
      <c r="U261" s="40"/>
      <c r="AU261" s="41" t="str">
        <f t="shared" si="16"/>
        <v/>
      </c>
      <c r="AV261" s="5" t="str">
        <f ca="1">IFERROR(__xludf.DUMMYFUNCTION("IFERROR(VLOOKUP(E275&amp;F275,IMPORTRANGE(""https://docs.google.com/spreadsheets/d/1Uw7-A9f9R21vMXxHZFNpYNeKFtG8_yji4HS352LGlSQ/edit?pli=1#gid=0"",""1_ACUM!A4:S""),11,FALSE))"),"")</f>
        <v/>
      </c>
      <c r="AW261" s="42" t="str">
        <f ca="1">IFERROR(__xludf.DUMMYFUNCTION("IFERROR(VLOOKUP(F275,IMPORTRANGE(""https://docs.google.com/spreadsheets/d/1Kvs4KS76FHFqLFIZfrDMff4kP08nblUkihrxltoGBjg/edit#gid=934712705"",""ESENCIAL!A6:BG""),15,FALSE))"),"")</f>
        <v/>
      </c>
      <c r="AX261" s="21" t="str">
        <f ca="1">IFERROR(__xludf.DUMMYFUNCTION("IFERROR(VLOOKUP(E275&amp;F275,IMPORTRANGE(""https://docs.google.com/spreadsheets/d/1Uw7-A9f9R21vMXxHZFNpYNeKFtG8_yji4HS352LGlSQ/edit?pli=1#gid=0"",""1_ACUM!A4:S""),12,FALSE))"),"")</f>
        <v/>
      </c>
      <c r="AY261" s="43" t="str">
        <f ca="1">IFERROR(__xludf.DUMMYFUNCTION("IFERROR(VLOOKUP(E275&amp;F275,IMPORTRANGE(""https://docs.google.com/spreadsheets/d/1Uw7-A9f9R21vMXxHZFNpYNeKFtG8_yji4HS352LGlSQ/edit?pli=1#gid=0"",""1_ACUM!A4:S""),13,FALSE))"),"")</f>
        <v/>
      </c>
      <c r="AZ261" s="43" t="str">
        <f ca="1">IFERROR(__xludf.DUMMYFUNCTION("IFERROR(VLOOKUP(E275&amp;F275,IMPORTRANGE(""https://docs.google.com/spreadsheets/d/1Uw7-A9f9R21vMXxHZFNpYNeKFtG8_yji4HS352LGlSQ/edit?pli=1#gid=0"",""1_ACUM!A4:S""),14,FALSE))"),"")</f>
        <v/>
      </c>
      <c r="BA261" s="43" t="str">
        <f ca="1">IFERROR(__xludf.DUMMYFUNCTION("IFERROR(VLOOKUP(E275&amp;F275,IMPORTRANGE(""https://docs.google.com/spreadsheets/d/1Uw7-A9f9R21vMXxHZFNpYNeKFtG8_yji4HS352LGlSQ/edit?pli=1#gid=0"",""1_ACUM!A4:S""),15,FALSE))"),"")</f>
        <v/>
      </c>
      <c r="BB261" s="43" t="str">
        <f ca="1">IFERROR(__xludf.DUMMYFUNCTION("IFERROR(VLOOKUP(E275&amp;F275,IMPORTRANGE(""https://docs.google.com/spreadsheets/d/1Uw7-A9f9R21vMXxHZFNpYNeKFtG8_yji4HS352LGlSQ/edit?pli=1#gid=0"",""1_ACUM!A4:S""),16,FALSE))"),"")</f>
        <v/>
      </c>
      <c r="BC261" s="43" t="str">
        <f ca="1">IFERROR(__xludf.DUMMYFUNCTION("IFERROR(VLOOKUP(E275&amp;F275,IMPORTRANGE(""https://docs.google.com/spreadsheets/d/1Uw7-A9f9R21vMXxHZFNpYNeKFtG8_yji4HS352LGlSQ/edit?pli=1#gid=0"",""1_ACUM!A4:S""),17,FALSE))"),"")</f>
        <v/>
      </c>
      <c r="BD261" s="44" t="str">
        <f ca="1">IFERROR(__xludf.DUMMYFUNCTION("IFERROR(VLOOKUP(E275&amp;F275,IMPORTRANGE(""https://docs.google.com/spreadsheets/d/1Uw7-A9f9R21vMXxHZFNpYNeKFtG8_yji4HS352LGlSQ/edit?pli=1#gid=0"",""1_ACUM!A4:S""),18,FALSE))"),"")</f>
        <v/>
      </c>
      <c r="BE261" s="44" t="str">
        <f ca="1">IFERROR(__xludf.DUMMYFUNCTION("IFERROR(VLOOKUP(E275&amp;F275,IMPORTRANGE(""https://docs.google.com/spreadsheets/d/1Uw7-A9f9R21vMXxHZFNpYNeKFtG8_yji4HS352LGlSQ/edit?pli=1#gid=0"",""1_ACUM!A4:S""),19,FALSE))"),"")</f>
        <v/>
      </c>
      <c r="BF261" s="98" t="str">
        <f ca="1">IFERROR(__xludf.DUMMYFUNCTION("IFERROR(VLOOKUP(F275,IMPORTRANGE(""https://docs.google.com/spreadsheets/d/1Kvs4KS76FHFqLFIZfrDMff4kP08nblUkihrxltoGBjg/edit#gid=934712705"",""ESENCIAL!A6:BG""),5,FALSE))"),"")</f>
        <v/>
      </c>
      <c r="BG261" s="98" t="str">
        <f t="shared" si="17"/>
        <v/>
      </c>
      <c r="BH261" s="99" t="str">
        <f t="shared" si="18"/>
        <v/>
      </c>
      <c r="BI261" s="100" t="str">
        <f ca="1">IFERROR(__xludf.DUMMYFUNCTION("IFERROR(VLOOKUP(F275,IMPORTRANGE(""https://docs.google.com/spreadsheets/d/1Kvs4KS76FHFqLFIZfrDMff4kP08nblUkihrxltoGBjg/edit#gid=934712705"",""ESENCIAL!A6:BG""),2,FALSE))"),"")</f>
        <v/>
      </c>
      <c r="BJ261" s="19" t="str">
        <f t="shared" si="19"/>
        <v/>
      </c>
      <c r="BK261" s="100"/>
      <c r="BL261" s="100"/>
    </row>
    <row r="262" spans="1:64" ht="15">
      <c r="A262" s="101"/>
      <c r="B262" s="101"/>
      <c r="G262" s="5" t="str">
        <f ca="1">IFERROR(__xludf.DUMMYFUNCTION("IFERROR(VLOOKUP(F276,IMPORTRANGE(""https://docs.google.com/spreadsheets/d/1Kvs4KS76FHFqLFIZfrDMff4kP08nblUkihrxltoGBjg/edit#gid=934712705"",""ESENCIAL!A6:BG""),3,FALSE))"),"")</f>
        <v/>
      </c>
      <c r="H262" s="5" t="str">
        <f ca="1">IFERROR(__xludf.DUMMYFUNCTION("IFERROR(VLOOKUP(F276,IMPORTRANGE(""https://docs.google.com/spreadsheets/d/1Kvs4KS76FHFqLFIZfrDMff4kP08nblUkihrxltoGBjg/edit#gid=934712705"",""ESENCIAL!A6:BG""),8,FALSE))"),"")</f>
        <v/>
      </c>
      <c r="L262" s="287"/>
      <c r="U262" s="40"/>
      <c r="AU262" s="41" t="str">
        <f t="shared" si="16"/>
        <v/>
      </c>
      <c r="AV262" s="5" t="str">
        <f ca="1">IFERROR(__xludf.DUMMYFUNCTION("IFERROR(VLOOKUP(E276&amp;F276,IMPORTRANGE(""https://docs.google.com/spreadsheets/d/1Uw7-A9f9R21vMXxHZFNpYNeKFtG8_yji4HS352LGlSQ/edit?pli=1#gid=0"",""1_ACUM!A4:S""),11,FALSE))"),"")</f>
        <v/>
      </c>
      <c r="AW262" s="42" t="str">
        <f ca="1">IFERROR(__xludf.DUMMYFUNCTION("IFERROR(VLOOKUP(F276,IMPORTRANGE(""https://docs.google.com/spreadsheets/d/1Kvs4KS76FHFqLFIZfrDMff4kP08nblUkihrxltoGBjg/edit#gid=934712705"",""ESENCIAL!A6:BG""),15,FALSE))"),"")</f>
        <v/>
      </c>
      <c r="AX262" s="21" t="str">
        <f ca="1">IFERROR(__xludf.DUMMYFUNCTION("IFERROR(VLOOKUP(E276&amp;F276,IMPORTRANGE(""https://docs.google.com/spreadsheets/d/1Uw7-A9f9R21vMXxHZFNpYNeKFtG8_yji4HS352LGlSQ/edit?pli=1#gid=0"",""1_ACUM!A4:S""),12,FALSE))"),"")</f>
        <v/>
      </c>
      <c r="AY262" s="43" t="str">
        <f ca="1">IFERROR(__xludf.DUMMYFUNCTION("IFERROR(VLOOKUP(E276&amp;F276,IMPORTRANGE(""https://docs.google.com/spreadsheets/d/1Uw7-A9f9R21vMXxHZFNpYNeKFtG8_yji4HS352LGlSQ/edit?pli=1#gid=0"",""1_ACUM!A4:S""),13,FALSE))"),"")</f>
        <v/>
      </c>
      <c r="AZ262" s="43" t="str">
        <f ca="1">IFERROR(__xludf.DUMMYFUNCTION("IFERROR(VLOOKUP(E276&amp;F276,IMPORTRANGE(""https://docs.google.com/spreadsheets/d/1Uw7-A9f9R21vMXxHZFNpYNeKFtG8_yji4HS352LGlSQ/edit?pli=1#gid=0"",""1_ACUM!A4:S""),14,FALSE))"),"")</f>
        <v/>
      </c>
      <c r="BA262" s="43" t="str">
        <f ca="1">IFERROR(__xludf.DUMMYFUNCTION("IFERROR(VLOOKUP(E276&amp;F276,IMPORTRANGE(""https://docs.google.com/spreadsheets/d/1Uw7-A9f9R21vMXxHZFNpYNeKFtG8_yji4HS352LGlSQ/edit?pli=1#gid=0"",""1_ACUM!A4:S""),15,FALSE))"),"")</f>
        <v/>
      </c>
      <c r="BB262" s="43" t="str">
        <f ca="1">IFERROR(__xludf.DUMMYFUNCTION("IFERROR(VLOOKUP(E276&amp;F276,IMPORTRANGE(""https://docs.google.com/spreadsheets/d/1Uw7-A9f9R21vMXxHZFNpYNeKFtG8_yji4HS352LGlSQ/edit?pli=1#gid=0"",""1_ACUM!A4:S""),16,FALSE))"),"")</f>
        <v/>
      </c>
      <c r="BC262" s="43" t="str">
        <f ca="1">IFERROR(__xludf.DUMMYFUNCTION("IFERROR(VLOOKUP(E276&amp;F276,IMPORTRANGE(""https://docs.google.com/spreadsheets/d/1Uw7-A9f9R21vMXxHZFNpYNeKFtG8_yji4HS352LGlSQ/edit?pli=1#gid=0"",""1_ACUM!A4:S""),17,FALSE))"),"")</f>
        <v/>
      </c>
      <c r="BD262" s="44" t="str">
        <f ca="1">IFERROR(__xludf.DUMMYFUNCTION("IFERROR(VLOOKUP(E276&amp;F276,IMPORTRANGE(""https://docs.google.com/spreadsheets/d/1Uw7-A9f9R21vMXxHZFNpYNeKFtG8_yji4HS352LGlSQ/edit?pli=1#gid=0"",""1_ACUM!A4:S""),18,FALSE))"),"")</f>
        <v/>
      </c>
      <c r="BE262" s="44" t="str">
        <f ca="1">IFERROR(__xludf.DUMMYFUNCTION("IFERROR(VLOOKUP(E276&amp;F276,IMPORTRANGE(""https://docs.google.com/spreadsheets/d/1Uw7-A9f9R21vMXxHZFNpYNeKFtG8_yji4HS352LGlSQ/edit?pli=1#gid=0"",""1_ACUM!A4:S""),19,FALSE))"),"")</f>
        <v/>
      </c>
      <c r="BF262" s="98" t="str">
        <f ca="1">IFERROR(__xludf.DUMMYFUNCTION("IFERROR(VLOOKUP(F276,IMPORTRANGE(""https://docs.google.com/spreadsheets/d/1Kvs4KS76FHFqLFIZfrDMff4kP08nblUkihrxltoGBjg/edit#gid=934712705"",""ESENCIAL!A6:BG""),5,FALSE))"),"")</f>
        <v/>
      </c>
      <c r="BG262" s="98" t="str">
        <f t="shared" si="17"/>
        <v/>
      </c>
      <c r="BH262" s="99" t="str">
        <f t="shared" si="18"/>
        <v/>
      </c>
      <c r="BI262" s="100" t="str">
        <f ca="1">IFERROR(__xludf.DUMMYFUNCTION("IFERROR(VLOOKUP(F276,IMPORTRANGE(""https://docs.google.com/spreadsheets/d/1Kvs4KS76FHFqLFIZfrDMff4kP08nblUkihrxltoGBjg/edit#gid=934712705"",""ESENCIAL!A6:BG""),2,FALSE))"),"")</f>
        <v/>
      </c>
      <c r="BJ262" s="19" t="str">
        <f t="shared" si="19"/>
        <v/>
      </c>
      <c r="BK262" s="100"/>
      <c r="BL262" s="100"/>
    </row>
    <row r="263" spans="1:64" ht="15">
      <c r="A263" s="101"/>
      <c r="B263" s="101"/>
      <c r="G263" s="5" t="str">
        <f ca="1">IFERROR(__xludf.DUMMYFUNCTION("IFERROR(VLOOKUP(F277,IMPORTRANGE(""https://docs.google.com/spreadsheets/d/1Kvs4KS76FHFqLFIZfrDMff4kP08nblUkihrxltoGBjg/edit#gid=934712705"",""ESENCIAL!A6:BG""),3,FALSE))"),"")</f>
        <v/>
      </c>
      <c r="H263" s="5" t="str">
        <f ca="1">IFERROR(__xludf.DUMMYFUNCTION("IFERROR(VLOOKUP(F277,IMPORTRANGE(""https://docs.google.com/spreadsheets/d/1Kvs4KS76FHFqLFIZfrDMff4kP08nblUkihrxltoGBjg/edit#gid=934712705"",""ESENCIAL!A6:BG""),8,FALSE))"),"")</f>
        <v/>
      </c>
      <c r="L263" s="287"/>
      <c r="U263" s="40"/>
      <c r="AU263" s="41" t="str">
        <f t="shared" si="16"/>
        <v/>
      </c>
      <c r="AV263" s="5" t="str">
        <f ca="1">IFERROR(__xludf.DUMMYFUNCTION("IFERROR(VLOOKUP(E277&amp;F277,IMPORTRANGE(""https://docs.google.com/spreadsheets/d/1Uw7-A9f9R21vMXxHZFNpYNeKFtG8_yji4HS352LGlSQ/edit?pli=1#gid=0"",""1_ACUM!A4:S""),11,FALSE))"),"")</f>
        <v/>
      </c>
      <c r="AW263" s="42" t="str">
        <f ca="1">IFERROR(__xludf.DUMMYFUNCTION("IFERROR(VLOOKUP(F277,IMPORTRANGE(""https://docs.google.com/spreadsheets/d/1Kvs4KS76FHFqLFIZfrDMff4kP08nblUkihrxltoGBjg/edit#gid=934712705"",""ESENCIAL!A6:BG""),15,FALSE))"),"")</f>
        <v/>
      </c>
      <c r="AX263" s="21" t="str">
        <f ca="1">IFERROR(__xludf.DUMMYFUNCTION("IFERROR(VLOOKUP(E277&amp;F277,IMPORTRANGE(""https://docs.google.com/spreadsheets/d/1Uw7-A9f9R21vMXxHZFNpYNeKFtG8_yji4HS352LGlSQ/edit?pli=1#gid=0"",""1_ACUM!A4:S""),12,FALSE))"),"")</f>
        <v/>
      </c>
      <c r="AY263" s="43" t="str">
        <f ca="1">IFERROR(__xludf.DUMMYFUNCTION("IFERROR(VLOOKUP(E277&amp;F277,IMPORTRANGE(""https://docs.google.com/spreadsheets/d/1Uw7-A9f9R21vMXxHZFNpYNeKFtG8_yji4HS352LGlSQ/edit?pli=1#gid=0"",""1_ACUM!A4:S""),13,FALSE))"),"")</f>
        <v/>
      </c>
      <c r="AZ263" s="43" t="str">
        <f ca="1">IFERROR(__xludf.DUMMYFUNCTION("IFERROR(VLOOKUP(E277&amp;F277,IMPORTRANGE(""https://docs.google.com/spreadsheets/d/1Uw7-A9f9R21vMXxHZFNpYNeKFtG8_yji4HS352LGlSQ/edit?pli=1#gid=0"",""1_ACUM!A4:S""),14,FALSE))"),"")</f>
        <v/>
      </c>
      <c r="BA263" s="43" t="str">
        <f ca="1">IFERROR(__xludf.DUMMYFUNCTION("IFERROR(VLOOKUP(E277&amp;F277,IMPORTRANGE(""https://docs.google.com/spreadsheets/d/1Uw7-A9f9R21vMXxHZFNpYNeKFtG8_yji4HS352LGlSQ/edit?pli=1#gid=0"",""1_ACUM!A4:S""),15,FALSE))"),"")</f>
        <v/>
      </c>
      <c r="BB263" s="43" t="str">
        <f ca="1">IFERROR(__xludf.DUMMYFUNCTION("IFERROR(VLOOKUP(E277&amp;F277,IMPORTRANGE(""https://docs.google.com/spreadsheets/d/1Uw7-A9f9R21vMXxHZFNpYNeKFtG8_yji4HS352LGlSQ/edit?pli=1#gid=0"",""1_ACUM!A4:S""),16,FALSE))"),"")</f>
        <v/>
      </c>
      <c r="BC263" s="43" t="str">
        <f ca="1">IFERROR(__xludf.DUMMYFUNCTION("IFERROR(VLOOKUP(E277&amp;F277,IMPORTRANGE(""https://docs.google.com/spreadsheets/d/1Uw7-A9f9R21vMXxHZFNpYNeKFtG8_yji4HS352LGlSQ/edit?pli=1#gid=0"",""1_ACUM!A4:S""),17,FALSE))"),"")</f>
        <v/>
      </c>
      <c r="BD263" s="44" t="str">
        <f ca="1">IFERROR(__xludf.DUMMYFUNCTION("IFERROR(VLOOKUP(E277&amp;F277,IMPORTRANGE(""https://docs.google.com/spreadsheets/d/1Uw7-A9f9R21vMXxHZFNpYNeKFtG8_yji4HS352LGlSQ/edit?pli=1#gid=0"",""1_ACUM!A4:S""),18,FALSE))"),"")</f>
        <v/>
      </c>
      <c r="BE263" s="44" t="str">
        <f ca="1">IFERROR(__xludf.DUMMYFUNCTION("IFERROR(VLOOKUP(E277&amp;F277,IMPORTRANGE(""https://docs.google.com/spreadsheets/d/1Uw7-A9f9R21vMXxHZFNpYNeKFtG8_yji4HS352LGlSQ/edit?pli=1#gid=0"",""1_ACUM!A4:S""),19,FALSE))"),"")</f>
        <v/>
      </c>
      <c r="BF263" s="98" t="str">
        <f ca="1">IFERROR(__xludf.DUMMYFUNCTION("IFERROR(VLOOKUP(F277,IMPORTRANGE(""https://docs.google.com/spreadsheets/d/1Kvs4KS76FHFqLFIZfrDMff4kP08nblUkihrxltoGBjg/edit#gid=934712705"",""ESENCIAL!A6:BG""),5,FALSE))"),"")</f>
        <v/>
      </c>
      <c r="BG263" s="98" t="str">
        <f t="shared" si="17"/>
        <v/>
      </c>
      <c r="BH263" s="99" t="str">
        <f t="shared" si="18"/>
        <v/>
      </c>
      <c r="BI263" s="100" t="str">
        <f ca="1">IFERROR(__xludf.DUMMYFUNCTION("IFERROR(VLOOKUP(F277,IMPORTRANGE(""https://docs.google.com/spreadsheets/d/1Kvs4KS76FHFqLFIZfrDMff4kP08nblUkihrxltoGBjg/edit#gid=934712705"",""ESENCIAL!A6:BG""),2,FALSE))"),"")</f>
        <v/>
      </c>
      <c r="BJ263" s="19" t="str">
        <f t="shared" si="19"/>
        <v/>
      </c>
      <c r="BK263" s="100"/>
      <c r="BL263" s="100"/>
    </row>
    <row r="264" spans="1:64" ht="15">
      <c r="A264" s="101"/>
      <c r="B264" s="24"/>
      <c r="G264" s="5" t="str">
        <f ca="1">IFERROR(__xludf.DUMMYFUNCTION("IFERROR(VLOOKUP(F278,IMPORTRANGE(""https://docs.google.com/spreadsheets/d/1Kvs4KS76FHFqLFIZfrDMff4kP08nblUkihrxltoGBjg/edit#gid=934712705"",""ESENCIAL!A6:BG""),3,FALSE))"),"")</f>
        <v/>
      </c>
      <c r="H264" s="5" t="str">
        <f ca="1">IFERROR(__xludf.DUMMYFUNCTION("IFERROR(VLOOKUP(F278,IMPORTRANGE(""https://docs.google.com/spreadsheets/d/1Kvs4KS76FHFqLFIZfrDMff4kP08nblUkihrxltoGBjg/edit#gid=934712705"",""ESENCIAL!A6:BG""),8,FALSE))"),"")</f>
        <v/>
      </c>
      <c r="L264" s="287"/>
      <c r="U264" s="40"/>
      <c r="AU264" s="41" t="str">
        <f t="shared" si="16"/>
        <v/>
      </c>
      <c r="AV264" s="5" t="str">
        <f ca="1">IFERROR(__xludf.DUMMYFUNCTION("IFERROR(VLOOKUP(E278&amp;F278,IMPORTRANGE(""https://docs.google.com/spreadsheets/d/1Uw7-A9f9R21vMXxHZFNpYNeKFtG8_yji4HS352LGlSQ/edit?pli=1#gid=0"",""1_ACUM!A4:S""),11,FALSE))"),"")</f>
        <v/>
      </c>
      <c r="AW264" s="42" t="str">
        <f ca="1">IFERROR(__xludf.DUMMYFUNCTION("IFERROR(VLOOKUP(F278,IMPORTRANGE(""https://docs.google.com/spreadsheets/d/1Kvs4KS76FHFqLFIZfrDMff4kP08nblUkihrxltoGBjg/edit#gid=934712705"",""ESENCIAL!A6:BG""),15,FALSE))"),"")</f>
        <v/>
      </c>
      <c r="AX264" s="21" t="str">
        <f ca="1">IFERROR(__xludf.DUMMYFUNCTION("IFERROR(VLOOKUP(E278&amp;F278,IMPORTRANGE(""https://docs.google.com/spreadsheets/d/1Uw7-A9f9R21vMXxHZFNpYNeKFtG8_yji4HS352LGlSQ/edit?pli=1#gid=0"",""1_ACUM!A4:S""),12,FALSE))"),"")</f>
        <v/>
      </c>
      <c r="AY264" s="43" t="str">
        <f ca="1">IFERROR(__xludf.DUMMYFUNCTION("IFERROR(VLOOKUP(E278&amp;F278,IMPORTRANGE(""https://docs.google.com/spreadsheets/d/1Uw7-A9f9R21vMXxHZFNpYNeKFtG8_yji4HS352LGlSQ/edit?pli=1#gid=0"",""1_ACUM!A4:S""),13,FALSE))"),"")</f>
        <v/>
      </c>
      <c r="AZ264" s="43" t="str">
        <f ca="1">IFERROR(__xludf.DUMMYFUNCTION("IFERROR(VLOOKUP(E278&amp;F278,IMPORTRANGE(""https://docs.google.com/spreadsheets/d/1Uw7-A9f9R21vMXxHZFNpYNeKFtG8_yji4HS352LGlSQ/edit?pli=1#gid=0"",""1_ACUM!A4:S""),14,FALSE))"),"")</f>
        <v/>
      </c>
      <c r="BA264" s="43" t="str">
        <f ca="1">IFERROR(__xludf.DUMMYFUNCTION("IFERROR(VLOOKUP(E278&amp;F278,IMPORTRANGE(""https://docs.google.com/spreadsheets/d/1Uw7-A9f9R21vMXxHZFNpYNeKFtG8_yji4HS352LGlSQ/edit?pli=1#gid=0"",""1_ACUM!A4:S""),15,FALSE))"),"")</f>
        <v/>
      </c>
      <c r="BB264" s="43" t="str">
        <f ca="1">IFERROR(__xludf.DUMMYFUNCTION("IFERROR(VLOOKUP(E278&amp;F278,IMPORTRANGE(""https://docs.google.com/spreadsheets/d/1Uw7-A9f9R21vMXxHZFNpYNeKFtG8_yji4HS352LGlSQ/edit?pli=1#gid=0"",""1_ACUM!A4:S""),16,FALSE))"),"")</f>
        <v/>
      </c>
      <c r="BC264" s="43" t="str">
        <f ca="1">IFERROR(__xludf.DUMMYFUNCTION("IFERROR(VLOOKUP(E278&amp;F278,IMPORTRANGE(""https://docs.google.com/spreadsheets/d/1Uw7-A9f9R21vMXxHZFNpYNeKFtG8_yji4HS352LGlSQ/edit?pli=1#gid=0"",""1_ACUM!A4:S""),17,FALSE))"),"")</f>
        <v/>
      </c>
      <c r="BD264" s="44" t="str">
        <f ca="1">IFERROR(__xludf.DUMMYFUNCTION("IFERROR(VLOOKUP(E278&amp;F278,IMPORTRANGE(""https://docs.google.com/spreadsheets/d/1Uw7-A9f9R21vMXxHZFNpYNeKFtG8_yji4HS352LGlSQ/edit?pli=1#gid=0"",""1_ACUM!A4:S""),18,FALSE))"),"")</f>
        <v/>
      </c>
      <c r="BE264" s="44" t="str">
        <f ca="1">IFERROR(__xludf.DUMMYFUNCTION("IFERROR(VLOOKUP(E278&amp;F278,IMPORTRANGE(""https://docs.google.com/spreadsheets/d/1Uw7-A9f9R21vMXxHZFNpYNeKFtG8_yji4HS352LGlSQ/edit?pli=1#gid=0"",""1_ACUM!A4:S""),19,FALSE))"),"")</f>
        <v/>
      </c>
      <c r="BF264" s="98" t="str">
        <f ca="1">IFERROR(__xludf.DUMMYFUNCTION("IFERROR(VLOOKUP(F278,IMPORTRANGE(""https://docs.google.com/spreadsheets/d/1Kvs4KS76FHFqLFIZfrDMff4kP08nblUkihrxltoGBjg/edit#gid=934712705"",""ESENCIAL!A6:BG""),5,FALSE))"),"")</f>
        <v/>
      </c>
      <c r="BG264" s="98" t="str">
        <f t="shared" si="17"/>
        <v/>
      </c>
      <c r="BH264" s="99" t="str">
        <f t="shared" si="18"/>
        <v/>
      </c>
      <c r="BI264" s="100" t="str">
        <f ca="1">IFERROR(__xludf.DUMMYFUNCTION("IFERROR(VLOOKUP(F278,IMPORTRANGE(""https://docs.google.com/spreadsheets/d/1Kvs4KS76FHFqLFIZfrDMff4kP08nblUkihrxltoGBjg/edit#gid=934712705"",""ESENCIAL!A6:BG""),2,FALSE))"),"")</f>
        <v/>
      </c>
      <c r="BJ264" s="19" t="str">
        <f t="shared" si="19"/>
        <v/>
      </c>
      <c r="BK264" s="100"/>
      <c r="BL264" s="100"/>
    </row>
    <row r="265" spans="1:64" ht="15">
      <c r="A265" s="101"/>
      <c r="B265" s="11"/>
      <c r="G265" s="5" t="str">
        <f ca="1">IFERROR(__xludf.DUMMYFUNCTION("IFERROR(VLOOKUP(F279,IMPORTRANGE(""https://docs.google.com/spreadsheets/d/1Kvs4KS76FHFqLFIZfrDMff4kP08nblUkihrxltoGBjg/edit#gid=934712705"",""ESENCIAL!A6:BG""),3,FALSE))"),"")</f>
        <v/>
      </c>
      <c r="H265" s="5" t="str">
        <f ca="1">IFERROR(__xludf.DUMMYFUNCTION("IFERROR(VLOOKUP(F279,IMPORTRANGE(""https://docs.google.com/spreadsheets/d/1Kvs4KS76FHFqLFIZfrDMff4kP08nblUkihrxltoGBjg/edit#gid=934712705"",""ESENCIAL!A6:BG""),8,FALSE))"),"")</f>
        <v/>
      </c>
      <c r="L265" s="287"/>
      <c r="U265" s="40"/>
      <c r="AU265" s="41" t="str">
        <f t="shared" si="16"/>
        <v/>
      </c>
      <c r="AV265" s="5" t="str">
        <f ca="1">IFERROR(__xludf.DUMMYFUNCTION("IFERROR(VLOOKUP(E279&amp;F279,IMPORTRANGE(""https://docs.google.com/spreadsheets/d/1Uw7-A9f9R21vMXxHZFNpYNeKFtG8_yji4HS352LGlSQ/edit?pli=1#gid=0"",""1_ACUM!A4:S""),11,FALSE))"),"")</f>
        <v/>
      </c>
      <c r="AW265" s="42" t="str">
        <f ca="1">IFERROR(__xludf.DUMMYFUNCTION("IFERROR(VLOOKUP(F279,IMPORTRANGE(""https://docs.google.com/spreadsheets/d/1Kvs4KS76FHFqLFIZfrDMff4kP08nblUkihrxltoGBjg/edit#gid=934712705"",""ESENCIAL!A6:BG""),15,FALSE))"),"")</f>
        <v/>
      </c>
      <c r="AX265" s="21" t="str">
        <f ca="1">IFERROR(__xludf.DUMMYFUNCTION("IFERROR(VLOOKUP(E279&amp;F279,IMPORTRANGE(""https://docs.google.com/spreadsheets/d/1Uw7-A9f9R21vMXxHZFNpYNeKFtG8_yji4HS352LGlSQ/edit?pli=1#gid=0"",""1_ACUM!A4:S""),12,FALSE))"),"")</f>
        <v/>
      </c>
      <c r="AY265" s="43" t="str">
        <f ca="1">IFERROR(__xludf.DUMMYFUNCTION("IFERROR(VLOOKUP(E279&amp;F279,IMPORTRANGE(""https://docs.google.com/spreadsheets/d/1Uw7-A9f9R21vMXxHZFNpYNeKFtG8_yji4HS352LGlSQ/edit?pli=1#gid=0"",""1_ACUM!A4:S""),13,FALSE))"),"")</f>
        <v/>
      </c>
      <c r="AZ265" s="43" t="str">
        <f ca="1">IFERROR(__xludf.DUMMYFUNCTION("IFERROR(VLOOKUP(E279&amp;F279,IMPORTRANGE(""https://docs.google.com/spreadsheets/d/1Uw7-A9f9R21vMXxHZFNpYNeKFtG8_yji4HS352LGlSQ/edit?pli=1#gid=0"",""1_ACUM!A4:S""),14,FALSE))"),"")</f>
        <v/>
      </c>
      <c r="BA265" s="43" t="str">
        <f ca="1">IFERROR(__xludf.DUMMYFUNCTION("IFERROR(VLOOKUP(E279&amp;F279,IMPORTRANGE(""https://docs.google.com/spreadsheets/d/1Uw7-A9f9R21vMXxHZFNpYNeKFtG8_yji4HS352LGlSQ/edit?pli=1#gid=0"",""1_ACUM!A4:S""),15,FALSE))"),"")</f>
        <v/>
      </c>
      <c r="BB265" s="43" t="str">
        <f ca="1">IFERROR(__xludf.DUMMYFUNCTION("IFERROR(VLOOKUP(E279&amp;F279,IMPORTRANGE(""https://docs.google.com/spreadsheets/d/1Uw7-A9f9R21vMXxHZFNpYNeKFtG8_yji4HS352LGlSQ/edit?pli=1#gid=0"",""1_ACUM!A4:S""),16,FALSE))"),"")</f>
        <v/>
      </c>
      <c r="BC265" s="43" t="str">
        <f ca="1">IFERROR(__xludf.DUMMYFUNCTION("IFERROR(VLOOKUP(E279&amp;F279,IMPORTRANGE(""https://docs.google.com/spreadsheets/d/1Uw7-A9f9R21vMXxHZFNpYNeKFtG8_yji4HS352LGlSQ/edit?pli=1#gid=0"",""1_ACUM!A4:S""),17,FALSE))"),"")</f>
        <v/>
      </c>
      <c r="BD265" s="44" t="str">
        <f ca="1">IFERROR(__xludf.DUMMYFUNCTION("IFERROR(VLOOKUP(E279&amp;F279,IMPORTRANGE(""https://docs.google.com/spreadsheets/d/1Uw7-A9f9R21vMXxHZFNpYNeKFtG8_yji4HS352LGlSQ/edit?pli=1#gid=0"",""1_ACUM!A4:S""),18,FALSE))"),"")</f>
        <v/>
      </c>
      <c r="BE265" s="44" t="str">
        <f ca="1">IFERROR(__xludf.DUMMYFUNCTION("IFERROR(VLOOKUP(E279&amp;F279,IMPORTRANGE(""https://docs.google.com/spreadsheets/d/1Uw7-A9f9R21vMXxHZFNpYNeKFtG8_yji4HS352LGlSQ/edit?pli=1#gid=0"",""1_ACUM!A4:S""),19,FALSE))"),"")</f>
        <v/>
      </c>
      <c r="BF265" s="98" t="str">
        <f ca="1">IFERROR(__xludf.DUMMYFUNCTION("IFERROR(VLOOKUP(F279,IMPORTRANGE(""https://docs.google.com/spreadsheets/d/1Kvs4KS76FHFqLFIZfrDMff4kP08nblUkihrxltoGBjg/edit#gid=934712705"",""ESENCIAL!A6:BG""),5,FALSE))"),"")</f>
        <v/>
      </c>
      <c r="BG265" s="98" t="str">
        <f t="shared" si="17"/>
        <v/>
      </c>
      <c r="BH265" s="99" t="str">
        <f t="shared" si="18"/>
        <v/>
      </c>
      <c r="BI265" s="100" t="str">
        <f ca="1">IFERROR(__xludf.DUMMYFUNCTION("IFERROR(VLOOKUP(F279,IMPORTRANGE(""https://docs.google.com/spreadsheets/d/1Kvs4KS76FHFqLFIZfrDMff4kP08nblUkihrxltoGBjg/edit#gid=934712705"",""ESENCIAL!A6:BG""),2,FALSE))"),"")</f>
        <v/>
      </c>
      <c r="BJ265" s="19" t="str">
        <f t="shared" si="19"/>
        <v/>
      </c>
      <c r="BK265" s="100"/>
      <c r="BL265" s="100"/>
    </row>
    <row r="266" spans="1:64" ht="15">
      <c r="A266" s="101"/>
      <c r="B266" s="101"/>
      <c r="G266" s="5" t="str">
        <f ca="1">IFERROR(__xludf.DUMMYFUNCTION("IFERROR(VLOOKUP(F280,IMPORTRANGE(""https://docs.google.com/spreadsheets/d/1Kvs4KS76FHFqLFIZfrDMff4kP08nblUkihrxltoGBjg/edit#gid=934712705"",""ESENCIAL!A6:BG""),3,FALSE))"),"")</f>
        <v/>
      </c>
      <c r="H266" s="5" t="str">
        <f ca="1">IFERROR(__xludf.DUMMYFUNCTION("IFERROR(VLOOKUP(F280,IMPORTRANGE(""https://docs.google.com/spreadsheets/d/1Kvs4KS76FHFqLFIZfrDMff4kP08nblUkihrxltoGBjg/edit#gid=934712705"",""ESENCIAL!A6:BG""),8,FALSE))"),"")</f>
        <v/>
      </c>
      <c r="L266" s="287"/>
      <c r="U266" s="40"/>
      <c r="AU266" s="41" t="str">
        <f t="shared" si="16"/>
        <v/>
      </c>
      <c r="AV266" s="5" t="str">
        <f ca="1">IFERROR(__xludf.DUMMYFUNCTION("IFERROR(VLOOKUP(E280&amp;F280,IMPORTRANGE(""https://docs.google.com/spreadsheets/d/1Uw7-A9f9R21vMXxHZFNpYNeKFtG8_yji4HS352LGlSQ/edit?pli=1#gid=0"",""1_ACUM!A4:S""),11,FALSE))"),"")</f>
        <v/>
      </c>
      <c r="AW266" s="42" t="str">
        <f ca="1">IFERROR(__xludf.DUMMYFUNCTION("IFERROR(VLOOKUP(F280,IMPORTRANGE(""https://docs.google.com/spreadsheets/d/1Kvs4KS76FHFqLFIZfrDMff4kP08nblUkihrxltoGBjg/edit#gid=934712705"",""ESENCIAL!A6:BG""),15,FALSE))"),"")</f>
        <v/>
      </c>
      <c r="AX266" s="21" t="str">
        <f ca="1">IFERROR(__xludf.DUMMYFUNCTION("IFERROR(VLOOKUP(E280&amp;F280,IMPORTRANGE(""https://docs.google.com/spreadsheets/d/1Uw7-A9f9R21vMXxHZFNpYNeKFtG8_yji4HS352LGlSQ/edit?pli=1#gid=0"",""1_ACUM!A4:S""),12,FALSE))"),"")</f>
        <v/>
      </c>
      <c r="AY266" s="43" t="str">
        <f ca="1">IFERROR(__xludf.DUMMYFUNCTION("IFERROR(VLOOKUP(E280&amp;F280,IMPORTRANGE(""https://docs.google.com/spreadsheets/d/1Uw7-A9f9R21vMXxHZFNpYNeKFtG8_yji4HS352LGlSQ/edit?pli=1#gid=0"",""1_ACUM!A4:S""),13,FALSE))"),"")</f>
        <v/>
      </c>
      <c r="AZ266" s="43" t="str">
        <f ca="1">IFERROR(__xludf.DUMMYFUNCTION("IFERROR(VLOOKUP(E280&amp;F280,IMPORTRANGE(""https://docs.google.com/spreadsheets/d/1Uw7-A9f9R21vMXxHZFNpYNeKFtG8_yji4HS352LGlSQ/edit?pli=1#gid=0"",""1_ACUM!A4:S""),14,FALSE))"),"")</f>
        <v/>
      </c>
      <c r="BA266" s="43" t="str">
        <f ca="1">IFERROR(__xludf.DUMMYFUNCTION("IFERROR(VLOOKUP(E280&amp;F280,IMPORTRANGE(""https://docs.google.com/spreadsheets/d/1Uw7-A9f9R21vMXxHZFNpYNeKFtG8_yji4HS352LGlSQ/edit?pli=1#gid=0"",""1_ACUM!A4:S""),15,FALSE))"),"")</f>
        <v/>
      </c>
      <c r="BB266" s="43" t="str">
        <f ca="1">IFERROR(__xludf.DUMMYFUNCTION("IFERROR(VLOOKUP(E280&amp;F280,IMPORTRANGE(""https://docs.google.com/spreadsheets/d/1Uw7-A9f9R21vMXxHZFNpYNeKFtG8_yji4HS352LGlSQ/edit?pli=1#gid=0"",""1_ACUM!A4:S""),16,FALSE))"),"")</f>
        <v/>
      </c>
      <c r="BC266" s="43" t="str">
        <f ca="1">IFERROR(__xludf.DUMMYFUNCTION("IFERROR(VLOOKUP(E280&amp;F280,IMPORTRANGE(""https://docs.google.com/spreadsheets/d/1Uw7-A9f9R21vMXxHZFNpYNeKFtG8_yji4HS352LGlSQ/edit?pli=1#gid=0"",""1_ACUM!A4:S""),17,FALSE))"),"")</f>
        <v/>
      </c>
      <c r="BD266" s="44" t="str">
        <f ca="1">IFERROR(__xludf.DUMMYFUNCTION("IFERROR(VLOOKUP(E280&amp;F280,IMPORTRANGE(""https://docs.google.com/spreadsheets/d/1Uw7-A9f9R21vMXxHZFNpYNeKFtG8_yji4HS352LGlSQ/edit?pli=1#gid=0"",""1_ACUM!A4:S""),18,FALSE))"),"")</f>
        <v/>
      </c>
      <c r="BE266" s="44" t="str">
        <f ca="1">IFERROR(__xludf.DUMMYFUNCTION("IFERROR(VLOOKUP(E280&amp;F280,IMPORTRANGE(""https://docs.google.com/spreadsheets/d/1Uw7-A9f9R21vMXxHZFNpYNeKFtG8_yji4HS352LGlSQ/edit?pli=1#gid=0"",""1_ACUM!A4:S""),19,FALSE))"),"")</f>
        <v/>
      </c>
      <c r="BF266" s="98" t="str">
        <f ca="1">IFERROR(__xludf.DUMMYFUNCTION("IFERROR(VLOOKUP(F280,IMPORTRANGE(""https://docs.google.com/spreadsheets/d/1Kvs4KS76FHFqLFIZfrDMff4kP08nblUkihrxltoGBjg/edit#gid=934712705"",""ESENCIAL!A6:BG""),5,FALSE))"),"")</f>
        <v/>
      </c>
      <c r="BG266" s="98" t="str">
        <f t="shared" si="17"/>
        <v/>
      </c>
      <c r="BH266" s="99" t="str">
        <f t="shared" si="18"/>
        <v/>
      </c>
      <c r="BI266" s="100" t="str">
        <f ca="1">IFERROR(__xludf.DUMMYFUNCTION("IFERROR(VLOOKUP(F280,IMPORTRANGE(""https://docs.google.com/spreadsheets/d/1Kvs4KS76FHFqLFIZfrDMff4kP08nblUkihrxltoGBjg/edit#gid=934712705"",""ESENCIAL!A6:BG""),2,FALSE))"),"")</f>
        <v/>
      </c>
      <c r="BJ266" s="19" t="str">
        <f t="shared" si="19"/>
        <v/>
      </c>
      <c r="BK266" s="100"/>
      <c r="BL266" s="100"/>
    </row>
    <row r="267" spans="1:64" ht="15">
      <c r="A267" s="101"/>
      <c r="B267" s="101"/>
      <c r="G267" s="5" t="str">
        <f ca="1">IFERROR(__xludf.DUMMYFUNCTION("IFERROR(VLOOKUP(F281,IMPORTRANGE(""https://docs.google.com/spreadsheets/d/1Kvs4KS76FHFqLFIZfrDMff4kP08nblUkihrxltoGBjg/edit#gid=934712705"",""ESENCIAL!A6:BG""),3,FALSE))"),"")</f>
        <v/>
      </c>
      <c r="H267" s="5" t="str">
        <f ca="1">IFERROR(__xludf.DUMMYFUNCTION("IFERROR(VLOOKUP(F281,IMPORTRANGE(""https://docs.google.com/spreadsheets/d/1Kvs4KS76FHFqLFIZfrDMff4kP08nblUkihrxltoGBjg/edit#gid=934712705"",""ESENCIAL!A6:BG""),8,FALSE))"),"")</f>
        <v/>
      </c>
      <c r="L267" s="287"/>
      <c r="U267" s="40"/>
      <c r="AU267" s="41" t="str">
        <f t="shared" si="16"/>
        <v/>
      </c>
      <c r="AV267" s="5" t="str">
        <f ca="1">IFERROR(__xludf.DUMMYFUNCTION("IFERROR(VLOOKUP(E281&amp;F281,IMPORTRANGE(""https://docs.google.com/spreadsheets/d/1Uw7-A9f9R21vMXxHZFNpYNeKFtG8_yji4HS352LGlSQ/edit?pli=1#gid=0"",""1_ACUM!A4:S""),11,FALSE))"),"")</f>
        <v/>
      </c>
      <c r="AW267" s="42" t="str">
        <f ca="1">IFERROR(__xludf.DUMMYFUNCTION("IFERROR(VLOOKUP(F281,IMPORTRANGE(""https://docs.google.com/spreadsheets/d/1Kvs4KS76FHFqLFIZfrDMff4kP08nblUkihrxltoGBjg/edit#gid=934712705"",""ESENCIAL!A6:BG""),15,FALSE))"),"")</f>
        <v/>
      </c>
      <c r="AX267" s="21" t="str">
        <f ca="1">IFERROR(__xludf.DUMMYFUNCTION("IFERROR(VLOOKUP(E281&amp;F281,IMPORTRANGE(""https://docs.google.com/spreadsheets/d/1Uw7-A9f9R21vMXxHZFNpYNeKFtG8_yji4HS352LGlSQ/edit?pli=1#gid=0"",""1_ACUM!A4:S""),12,FALSE))"),"")</f>
        <v/>
      </c>
      <c r="AY267" s="43" t="str">
        <f ca="1">IFERROR(__xludf.DUMMYFUNCTION("IFERROR(VLOOKUP(E281&amp;F281,IMPORTRANGE(""https://docs.google.com/spreadsheets/d/1Uw7-A9f9R21vMXxHZFNpYNeKFtG8_yji4HS352LGlSQ/edit?pli=1#gid=0"",""1_ACUM!A4:S""),13,FALSE))"),"")</f>
        <v/>
      </c>
      <c r="AZ267" s="43" t="str">
        <f ca="1">IFERROR(__xludf.DUMMYFUNCTION("IFERROR(VLOOKUP(E281&amp;F281,IMPORTRANGE(""https://docs.google.com/spreadsheets/d/1Uw7-A9f9R21vMXxHZFNpYNeKFtG8_yji4HS352LGlSQ/edit?pli=1#gid=0"",""1_ACUM!A4:S""),14,FALSE))"),"")</f>
        <v/>
      </c>
      <c r="BA267" s="43" t="str">
        <f ca="1">IFERROR(__xludf.DUMMYFUNCTION("IFERROR(VLOOKUP(E281&amp;F281,IMPORTRANGE(""https://docs.google.com/spreadsheets/d/1Uw7-A9f9R21vMXxHZFNpYNeKFtG8_yji4HS352LGlSQ/edit?pli=1#gid=0"",""1_ACUM!A4:S""),15,FALSE))"),"")</f>
        <v/>
      </c>
      <c r="BB267" s="43" t="str">
        <f ca="1">IFERROR(__xludf.DUMMYFUNCTION("IFERROR(VLOOKUP(E281&amp;F281,IMPORTRANGE(""https://docs.google.com/spreadsheets/d/1Uw7-A9f9R21vMXxHZFNpYNeKFtG8_yji4HS352LGlSQ/edit?pli=1#gid=0"",""1_ACUM!A4:S""),16,FALSE))"),"")</f>
        <v/>
      </c>
      <c r="BC267" s="43" t="str">
        <f ca="1">IFERROR(__xludf.DUMMYFUNCTION("IFERROR(VLOOKUP(E281&amp;F281,IMPORTRANGE(""https://docs.google.com/spreadsheets/d/1Uw7-A9f9R21vMXxHZFNpYNeKFtG8_yji4HS352LGlSQ/edit?pli=1#gid=0"",""1_ACUM!A4:S""),17,FALSE))"),"")</f>
        <v/>
      </c>
      <c r="BD267" s="44" t="str">
        <f ca="1">IFERROR(__xludf.DUMMYFUNCTION("IFERROR(VLOOKUP(E281&amp;F281,IMPORTRANGE(""https://docs.google.com/spreadsheets/d/1Uw7-A9f9R21vMXxHZFNpYNeKFtG8_yji4HS352LGlSQ/edit?pli=1#gid=0"",""1_ACUM!A4:S""),18,FALSE))"),"")</f>
        <v/>
      </c>
      <c r="BE267" s="44" t="str">
        <f ca="1">IFERROR(__xludf.DUMMYFUNCTION("IFERROR(VLOOKUP(E281&amp;F281,IMPORTRANGE(""https://docs.google.com/spreadsheets/d/1Uw7-A9f9R21vMXxHZFNpYNeKFtG8_yji4HS352LGlSQ/edit?pli=1#gid=0"",""1_ACUM!A4:S""),19,FALSE))"),"")</f>
        <v/>
      </c>
      <c r="BF267" s="98" t="str">
        <f ca="1">IFERROR(__xludf.DUMMYFUNCTION("IFERROR(VLOOKUP(F281,IMPORTRANGE(""https://docs.google.com/spreadsheets/d/1Kvs4KS76FHFqLFIZfrDMff4kP08nblUkihrxltoGBjg/edit#gid=934712705"",""ESENCIAL!A6:BG""),5,FALSE))"),"")</f>
        <v/>
      </c>
      <c r="BG267" s="98" t="str">
        <f t="shared" si="17"/>
        <v/>
      </c>
      <c r="BH267" s="99" t="str">
        <f t="shared" si="18"/>
        <v/>
      </c>
      <c r="BI267" s="100" t="str">
        <f ca="1">IFERROR(__xludf.DUMMYFUNCTION("IFERROR(VLOOKUP(F281,IMPORTRANGE(""https://docs.google.com/spreadsheets/d/1Kvs4KS76FHFqLFIZfrDMff4kP08nblUkihrxltoGBjg/edit#gid=934712705"",""ESENCIAL!A6:BG""),2,FALSE))"),"")</f>
        <v/>
      </c>
      <c r="BJ267" s="19" t="str">
        <f t="shared" si="19"/>
        <v/>
      </c>
      <c r="BK267" s="100"/>
      <c r="BL267" s="100"/>
    </row>
    <row r="268" spans="1:64" ht="15">
      <c r="A268" s="101"/>
      <c r="B268" s="101"/>
      <c r="G268" s="5" t="str">
        <f ca="1">IFERROR(__xludf.DUMMYFUNCTION("IFERROR(VLOOKUP(F282,IMPORTRANGE(""https://docs.google.com/spreadsheets/d/1Kvs4KS76FHFqLFIZfrDMff4kP08nblUkihrxltoGBjg/edit#gid=934712705"",""ESENCIAL!A6:BG""),3,FALSE))"),"")</f>
        <v/>
      </c>
      <c r="H268" s="5" t="str">
        <f ca="1">IFERROR(__xludf.DUMMYFUNCTION("IFERROR(VLOOKUP(F282,IMPORTRANGE(""https://docs.google.com/spreadsheets/d/1Kvs4KS76FHFqLFIZfrDMff4kP08nblUkihrxltoGBjg/edit#gid=934712705"",""ESENCIAL!A6:BG""),8,FALSE))"),"")</f>
        <v/>
      </c>
      <c r="L268" s="287"/>
      <c r="U268" s="40"/>
      <c r="AU268" s="41" t="str">
        <f t="shared" si="16"/>
        <v/>
      </c>
      <c r="AV268" s="5" t="str">
        <f ca="1">IFERROR(__xludf.DUMMYFUNCTION("IFERROR(VLOOKUP(E282&amp;F282,IMPORTRANGE(""https://docs.google.com/spreadsheets/d/1Uw7-A9f9R21vMXxHZFNpYNeKFtG8_yji4HS352LGlSQ/edit?pli=1#gid=0"",""1_ACUM!A4:S""),11,FALSE))"),"")</f>
        <v/>
      </c>
      <c r="AW268" s="42" t="str">
        <f ca="1">IFERROR(__xludf.DUMMYFUNCTION("IFERROR(VLOOKUP(F282,IMPORTRANGE(""https://docs.google.com/spreadsheets/d/1Kvs4KS76FHFqLFIZfrDMff4kP08nblUkihrxltoGBjg/edit#gid=934712705"",""ESENCIAL!A6:BG""),15,FALSE))"),"")</f>
        <v/>
      </c>
      <c r="AX268" s="21" t="str">
        <f ca="1">IFERROR(__xludf.DUMMYFUNCTION("IFERROR(VLOOKUP(E282&amp;F282,IMPORTRANGE(""https://docs.google.com/spreadsheets/d/1Uw7-A9f9R21vMXxHZFNpYNeKFtG8_yji4HS352LGlSQ/edit?pli=1#gid=0"",""1_ACUM!A4:S""),12,FALSE))"),"")</f>
        <v/>
      </c>
      <c r="AY268" s="43" t="str">
        <f ca="1">IFERROR(__xludf.DUMMYFUNCTION("IFERROR(VLOOKUP(E282&amp;F282,IMPORTRANGE(""https://docs.google.com/spreadsheets/d/1Uw7-A9f9R21vMXxHZFNpYNeKFtG8_yji4HS352LGlSQ/edit?pli=1#gid=0"",""1_ACUM!A4:S""),13,FALSE))"),"")</f>
        <v/>
      </c>
      <c r="AZ268" s="43" t="str">
        <f ca="1">IFERROR(__xludf.DUMMYFUNCTION("IFERROR(VLOOKUP(E282&amp;F282,IMPORTRANGE(""https://docs.google.com/spreadsheets/d/1Uw7-A9f9R21vMXxHZFNpYNeKFtG8_yji4HS352LGlSQ/edit?pli=1#gid=0"",""1_ACUM!A4:S""),14,FALSE))"),"")</f>
        <v/>
      </c>
      <c r="BA268" s="43" t="str">
        <f ca="1">IFERROR(__xludf.DUMMYFUNCTION("IFERROR(VLOOKUP(E282&amp;F282,IMPORTRANGE(""https://docs.google.com/spreadsheets/d/1Uw7-A9f9R21vMXxHZFNpYNeKFtG8_yji4HS352LGlSQ/edit?pli=1#gid=0"",""1_ACUM!A4:S""),15,FALSE))"),"")</f>
        <v/>
      </c>
      <c r="BB268" s="43" t="str">
        <f ca="1">IFERROR(__xludf.DUMMYFUNCTION("IFERROR(VLOOKUP(E282&amp;F282,IMPORTRANGE(""https://docs.google.com/spreadsheets/d/1Uw7-A9f9R21vMXxHZFNpYNeKFtG8_yji4HS352LGlSQ/edit?pli=1#gid=0"",""1_ACUM!A4:S""),16,FALSE))"),"")</f>
        <v/>
      </c>
      <c r="BC268" s="43" t="str">
        <f ca="1">IFERROR(__xludf.DUMMYFUNCTION("IFERROR(VLOOKUP(E282&amp;F282,IMPORTRANGE(""https://docs.google.com/spreadsheets/d/1Uw7-A9f9R21vMXxHZFNpYNeKFtG8_yji4HS352LGlSQ/edit?pli=1#gid=0"",""1_ACUM!A4:S""),17,FALSE))"),"")</f>
        <v/>
      </c>
      <c r="BD268" s="44" t="str">
        <f ca="1">IFERROR(__xludf.DUMMYFUNCTION("IFERROR(VLOOKUP(E282&amp;F282,IMPORTRANGE(""https://docs.google.com/spreadsheets/d/1Uw7-A9f9R21vMXxHZFNpYNeKFtG8_yji4HS352LGlSQ/edit?pli=1#gid=0"",""1_ACUM!A4:S""),18,FALSE))"),"")</f>
        <v/>
      </c>
      <c r="BE268" s="44" t="str">
        <f ca="1">IFERROR(__xludf.DUMMYFUNCTION("IFERROR(VLOOKUP(E282&amp;F282,IMPORTRANGE(""https://docs.google.com/spreadsheets/d/1Uw7-A9f9R21vMXxHZFNpYNeKFtG8_yji4HS352LGlSQ/edit?pli=1#gid=0"",""1_ACUM!A4:S""),19,FALSE))"),"")</f>
        <v/>
      </c>
      <c r="BF268" s="98" t="str">
        <f ca="1">IFERROR(__xludf.DUMMYFUNCTION("IFERROR(VLOOKUP(F282,IMPORTRANGE(""https://docs.google.com/spreadsheets/d/1Kvs4KS76FHFqLFIZfrDMff4kP08nblUkihrxltoGBjg/edit#gid=934712705"",""ESENCIAL!A6:BG""),5,FALSE))"),"")</f>
        <v/>
      </c>
      <c r="BG268" s="98" t="str">
        <f t="shared" si="17"/>
        <v/>
      </c>
      <c r="BH268" s="99" t="str">
        <f t="shared" si="18"/>
        <v/>
      </c>
      <c r="BI268" s="100" t="str">
        <f ca="1">IFERROR(__xludf.DUMMYFUNCTION("IFERROR(VLOOKUP(F282,IMPORTRANGE(""https://docs.google.com/spreadsheets/d/1Kvs4KS76FHFqLFIZfrDMff4kP08nblUkihrxltoGBjg/edit#gid=934712705"",""ESENCIAL!A6:BG""),2,FALSE))"),"")</f>
        <v/>
      </c>
      <c r="BJ268" s="19" t="str">
        <f t="shared" si="19"/>
        <v/>
      </c>
      <c r="BK268" s="100"/>
      <c r="BL268" s="100"/>
    </row>
    <row r="269" spans="1:64" ht="15">
      <c r="A269" s="101"/>
      <c r="B269" s="101"/>
      <c r="G269" s="5" t="str">
        <f ca="1">IFERROR(__xludf.DUMMYFUNCTION("IFERROR(VLOOKUP(F283,IMPORTRANGE(""https://docs.google.com/spreadsheets/d/1Kvs4KS76FHFqLFIZfrDMff4kP08nblUkihrxltoGBjg/edit#gid=934712705"",""ESENCIAL!A6:BG""),3,FALSE))"),"")</f>
        <v/>
      </c>
      <c r="H269" s="5" t="str">
        <f ca="1">IFERROR(__xludf.DUMMYFUNCTION("IFERROR(VLOOKUP(F283,IMPORTRANGE(""https://docs.google.com/spreadsheets/d/1Kvs4KS76FHFqLFIZfrDMff4kP08nblUkihrxltoGBjg/edit#gid=934712705"",""ESENCIAL!A6:BG""),8,FALSE))"),"")</f>
        <v/>
      </c>
      <c r="L269" s="287"/>
      <c r="U269" s="40"/>
      <c r="AU269" s="41" t="str">
        <f t="shared" si="16"/>
        <v/>
      </c>
      <c r="AV269" s="5" t="str">
        <f ca="1">IFERROR(__xludf.DUMMYFUNCTION("IFERROR(VLOOKUP(E283&amp;F283,IMPORTRANGE(""https://docs.google.com/spreadsheets/d/1Uw7-A9f9R21vMXxHZFNpYNeKFtG8_yji4HS352LGlSQ/edit?pli=1#gid=0"",""1_ACUM!A4:S""),11,FALSE))"),"")</f>
        <v/>
      </c>
      <c r="AW269" s="42" t="str">
        <f ca="1">IFERROR(__xludf.DUMMYFUNCTION("IFERROR(VLOOKUP(F283,IMPORTRANGE(""https://docs.google.com/spreadsheets/d/1Kvs4KS76FHFqLFIZfrDMff4kP08nblUkihrxltoGBjg/edit#gid=934712705"",""ESENCIAL!A6:BG""),15,FALSE))"),"")</f>
        <v/>
      </c>
      <c r="AX269" s="21" t="str">
        <f ca="1">IFERROR(__xludf.DUMMYFUNCTION("IFERROR(VLOOKUP(E283&amp;F283,IMPORTRANGE(""https://docs.google.com/spreadsheets/d/1Uw7-A9f9R21vMXxHZFNpYNeKFtG8_yji4HS352LGlSQ/edit?pli=1#gid=0"",""1_ACUM!A4:S""),12,FALSE))"),"")</f>
        <v/>
      </c>
      <c r="AY269" s="43" t="str">
        <f ca="1">IFERROR(__xludf.DUMMYFUNCTION("IFERROR(VLOOKUP(E283&amp;F283,IMPORTRANGE(""https://docs.google.com/spreadsheets/d/1Uw7-A9f9R21vMXxHZFNpYNeKFtG8_yji4HS352LGlSQ/edit?pli=1#gid=0"",""1_ACUM!A4:S""),13,FALSE))"),"")</f>
        <v/>
      </c>
      <c r="AZ269" s="43" t="str">
        <f ca="1">IFERROR(__xludf.DUMMYFUNCTION("IFERROR(VLOOKUP(E283&amp;F283,IMPORTRANGE(""https://docs.google.com/spreadsheets/d/1Uw7-A9f9R21vMXxHZFNpYNeKFtG8_yji4HS352LGlSQ/edit?pli=1#gid=0"",""1_ACUM!A4:S""),14,FALSE))"),"")</f>
        <v/>
      </c>
      <c r="BA269" s="43" t="str">
        <f ca="1">IFERROR(__xludf.DUMMYFUNCTION("IFERROR(VLOOKUP(E283&amp;F283,IMPORTRANGE(""https://docs.google.com/spreadsheets/d/1Uw7-A9f9R21vMXxHZFNpYNeKFtG8_yji4HS352LGlSQ/edit?pli=1#gid=0"",""1_ACUM!A4:S""),15,FALSE))"),"")</f>
        <v/>
      </c>
      <c r="BB269" s="43" t="str">
        <f ca="1">IFERROR(__xludf.DUMMYFUNCTION("IFERROR(VLOOKUP(E283&amp;F283,IMPORTRANGE(""https://docs.google.com/spreadsheets/d/1Uw7-A9f9R21vMXxHZFNpYNeKFtG8_yji4HS352LGlSQ/edit?pli=1#gid=0"",""1_ACUM!A4:S""),16,FALSE))"),"")</f>
        <v/>
      </c>
      <c r="BC269" s="43" t="str">
        <f ca="1">IFERROR(__xludf.DUMMYFUNCTION("IFERROR(VLOOKUP(E283&amp;F283,IMPORTRANGE(""https://docs.google.com/spreadsheets/d/1Uw7-A9f9R21vMXxHZFNpYNeKFtG8_yji4HS352LGlSQ/edit?pli=1#gid=0"",""1_ACUM!A4:S""),17,FALSE))"),"")</f>
        <v/>
      </c>
      <c r="BD269" s="44" t="str">
        <f ca="1">IFERROR(__xludf.DUMMYFUNCTION("IFERROR(VLOOKUP(E283&amp;F283,IMPORTRANGE(""https://docs.google.com/spreadsheets/d/1Uw7-A9f9R21vMXxHZFNpYNeKFtG8_yji4HS352LGlSQ/edit?pli=1#gid=0"",""1_ACUM!A4:S""),18,FALSE))"),"")</f>
        <v/>
      </c>
      <c r="BE269" s="44" t="str">
        <f ca="1">IFERROR(__xludf.DUMMYFUNCTION("IFERROR(VLOOKUP(E283&amp;F283,IMPORTRANGE(""https://docs.google.com/spreadsheets/d/1Uw7-A9f9R21vMXxHZFNpYNeKFtG8_yji4HS352LGlSQ/edit?pli=1#gid=0"",""1_ACUM!A4:S""),19,FALSE))"),"")</f>
        <v/>
      </c>
      <c r="BF269" s="98" t="str">
        <f ca="1">IFERROR(__xludf.DUMMYFUNCTION("IFERROR(VLOOKUP(F283,IMPORTRANGE(""https://docs.google.com/spreadsheets/d/1Kvs4KS76FHFqLFIZfrDMff4kP08nblUkihrxltoGBjg/edit#gid=934712705"",""ESENCIAL!A6:BG""),5,FALSE))"),"")</f>
        <v/>
      </c>
      <c r="BG269" s="98" t="str">
        <f t="shared" si="17"/>
        <v/>
      </c>
      <c r="BH269" s="99" t="str">
        <f t="shared" si="18"/>
        <v/>
      </c>
      <c r="BI269" s="100" t="str">
        <f ca="1">IFERROR(__xludf.DUMMYFUNCTION("IFERROR(VLOOKUP(F283,IMPORTRANGE(""https://docs.google.com/spreadsheets/d/1Kvs4KS76FHFqLFIZfrDMff4kP08nblUkihrxltoGBjg/edit#gid=934712705"",""ESENCIAL!A6:BG""),2,FALSE))"),"")</f>
        <v/>
      </c>
      <c r="BJ269" s="19" t="str">
        <f t="shared" si="19"/>
        <v/>
      </c>
      <c r="BK269" s="100"/>
      <c r="BL269" s="100"/>
    </row>
    <row r="270" spans="1:64" ht="15">
      <c r="A270" s="101"/>
      <c r="B270" s="101"/>
      <c r="G270" s="5" t="str">
        <f ca="1">IFERROR(__xludf.DUMMYFUNCTION("IFERROR(VLOOKUP(F284,IMPORTRANGE(""https://docs.google.com/spreadsheets/d/1Kvs4KS76FHFqLFIZfrDMff4kP08nblUkihrxltoGBjg/edit#gid=934712705"",""ESENCIAL!A6:BG""),3,FALSE))"),"")</f>
        <v/>
      </c>
      <c r="H270" s="5" t="str">
        <f ca="1">IFERROR(__xludf.DUMMYFUNCTION("IFERROR(VLOOKUP(F284,IMPORTRANGE(""https://docs.google.com/spreadsheets/d/1Kvs4KS76FHFqLFIZfrDMff4kP08nblUkihrxltoGBjg/edit#gid=934712705"",""ESENCIAL!A6:BG""),8,FALSE))"),"")</f>
        <v/>
      </c>
      <c r="L270" s="287"/>
      <c r="U270" s="40"/>
      <c r="AU270" s="41" t="str">
        <f t="shared" si="16"/>
        <v/>
      </c>
      <c r="AV270" s="5" t="str">
        <f ca="1">IFERROR(__xludf.DUMMYFUNCTION("IFERROR(VLOOKUP(E284&amp;F284,IMPORTRANGE(""https://docs.google.com/spreadsheets/d/1Uw7-A9f9R21vMXxHZFNpYNeKFtG8_yji4HS352LGlSQ/edit?pli=1#gid=0"",""1_ACUM!A4:S""),11,FALSE))"),"")</f>
        <v/>
      </c>
      <c r="AW270" s="42" t="str">
        <f ca="1">IFERROR(__xludf.DUMMYFUNCTION("IFERROR(VLOOKUP(F284,IMPORTRANGE(""https://docs.google.com/spreadsheets/d/1Kvs4KS76FHFqLFIZfrDMff4kP08nblUkihrxltoGBjg/edit#gid=934712705"",""ESENCIAL!A6:BG""),15,FALSE))"),"")</f>
        <v/>
      </c>
      <c r="AX270" s="21" t="str">
        <f ca="1">IFERROR(__xludf.DUMMYFUNCTION("IFERROR(VLOOKUP(E284&amp;F284,IMPORTRANGE(""https://docs.google.com/spreadsheets/d/1Uw7-A9f9R21vMXxHZFNpYNeKFtG8_yji4HS352LGlSQ/edit?pli=1#gid=0"",""1_ACUM!A4:S""),12,FALSE))"),"")</f>
        <v/>
      </c>
      <c r="AY270" s="43" t="str">
        <f ca="1">IFERROR(__xludf.DUMMYFUNCTION("IFERROR(VLOOKUP(E284&amp;F284,IMPORTRANGE(""https://docs.google.com/spreadsheets/d/1Uw7-A9f9R21vMXxHZFNpYNeKFtG8_yji4HS352LGlSQ/edit?pli=1#gid=0"",""1_ACUM!A4:S""),13,FALSE))"),"")</f>
        <v/>
      </c>
      <c r="AZ270" s="43" t="str">
        <f ca="1">IFERROR(__xludf.DUMMYFUNCTION("IFERROR(VLOOKUP(E284&amp;F284,IMPORTRANGE(""https://docs.google.com/spreadsheets/d/1Uw7-A9f9R21vMXxHZFNpYNeKFtG8_yji4HS352LGlSQ/edit?pli=1#gid=0"",""1_ACUM!A4:S""),14,FALSE))"),"")</f>
        <v/>
      </c>
      <c r="BA270" s="43" t="str">
        <f ca="1">IFERROR(__xludf.DUMMYFUNCTION("IFERROR(VLOOKUP(E284&amp;F284,IMPORTRANGE(""https://docs.google.com/spreadsheets/d/1Uw7-A9f9R21vMXxHZFNpYNeKFtG8_yji4HS352LGlSQ/edit?pli=1#gid=0"",""1_ACUM!A4:S""),15,FALSE))"),"")</f>
        <v/>
      </c>
      <c r="BB270" s="43" t="str">
        <f ca="1">IFERROR(__xludf.DUMMYFUNCTION("IFERROR(VLOOKUP(E284&amp;F284,IMPORTRANGE(""https://docs.google.com/spreadsheets/d/1Uw7-A9f9R21vMXxHZFNpYNeKFtG8_yji4HS352LGlSQ/edit?pli=1#gid=0"",""1_ACUM!A4:S""),16,FALSE))"),"")</f>
        <v/>
      </c>
      <c r="BC270" s="43" t="str">
        <f ca="1">IFERROR(__xludf.DUMMYFUNCTION("IFERROR(VLOOKUP(E284&amp;F284,IMPORTRANGE(""https://docs.google.com/spreadsheets/d/1Uw7-A9f9R21vMXxHZFNpYNeKFtG8_yji4HS352LGlSQ/edit?pli=1#gid=0"",""1_ACUM!A4:S""),17,FALSE))"),"")</f>
        <v/>
      </c>
      <c r="BD270" s="44" t="str">
        <f ca="1">IFERROR(__xludf.DUMMYFUNCTION("IFERROR(VLOOKUP(E284&amp;F284,IMPORTRANGE(""https://docs.google.com/spreadsheets/d/1Uw7-A9f9R21vMXxHZFNpYNeKFtG8_yji4HS352LGlSQ/edit?pli=1#gid=0"",""1_ACUM!A4:S""),18,FALSE))"),"")</f>
        <v/>
      </c>
      <c r="BE270" s="44" t="str">
        <f ca="1">IFERROR(__xludf.DUMMYFUNCTION("IFERROR(VLOOKUP(E284&amp;F284,IMPORTRANGE(""https://docs.google.com/spreadsheets/d/1Uw7-A9f9R21vMXxHZFNpYNeKFtG8_yji4HS352LGlSQ/edit?pli=1#gid=0"",""1_ACUM!A4:S""),19,FALSE))"),"")</f>
        <v/>
      </c>
      <c r="BF270" s="98" t="str">
        <f ca="1">IFERROR(__xludf.DUMMYFUNCTION("IFERROR(VLOOKUP(F284,IMPORTRANGE(""https://docs.google.com/spreadsheets/d/1Kvs4KS76FHFqLFIZfrDMff4kP08nblUkihrxltoGBjg/edit#gid=934712705"",""ESENCIAL!A6:BG""),5,FALSE))"),"")</f>
        <v/>
      </c>
      <c r="BG270" s="98" t="str">
        <f t="shared" si="17"/>
        <v/>
      </c>
      <c r="BH270" s="99" t="str">
        <f t="shared" si="18"/>
        <v/>
      </c>
      <c r="BI270" s="100" t="str">
        <f ca="1">IFERROR(__xludf.DUMMYFUNCTION("IFERROR(VLOOKUP(F284,IMPORTRANGE(""https://docs.google.com/spreadsheets/d/1Kvs4KS76FHFqLFIZfrDMff4kP08nblUkihrxltoGBjg/edit#gid=934712705"",""ESENCIAL!A6:BG""),2,FALSE))"),"")</f>
        <v/>
      </c>
      <c r="BJ270" s="19" t="str">
        <f t="shared" si="19"/>
        <v/>
      </c>
      <c r="BK270" s="100"/>
      <c r="BL270" s="100"/>
    </row>
    <row r="271" spans="1:64" ht="15">
      <c r="A271" s="101"/>
      <c r="B271" s="101"/>
      <c r="G271" s="5" t="str">
        <f ca="1">IFERROR(__xludf.DUMMYFUNCTION("IFERROR(VLOOKUP(F285,IMPORTRANGE(""https://docs.google.com/spreadsheets/d/1Kvs4KS76FHFqLFIZfrDMff4kP08nblUkihrxltoGBjg/edit#gid=934712705"",""ESENCIAL!A6:BG""),3,FALSE))"),"")</f>
        <v/>
      </c>
      <c r="H271" s="5" t="str">
        <f ca="1">IFERROR(__xludf.DUMMYFUNCTION("IFERROR(VLOOKUP(F285,IMPORTRANGE(""https://docs.google.com/spreadsheets/d/1Kvs4KS76FHFqLFIZfrDMff4kP08nblUkihrxltoGBjg/edit#gid=934712705"",""ESENCIAL!A6:BG""),8,FALSE))"),"")</f>
        <v/>
      </c>
      <c r="L271" s="287"/>
      <c r="U271" s="40"/>
      <c r="AU271" s="41" t="str">
        <f t="shared" si="16"/>
        <v/>
      </c>
      <c r="AV271" s="5" t="str">
        <f ca="1">IFERROR(__xludf.DUMMYFUNCTION("IFERROR(VLOOKUP(E285&amp;F285,IMPORTRANGE(""https://docs.google.com/spreadsheets/d/1Uw7-A9f9R21vMXxHZFNpYNeKFtG8_yji4HS352LGlSQ/edit?pli=1#gid=0"",""1_ACUM!A4:S""),11,FALSE))"),"")</f>
        <v/>
      </c>
      <c r="AW271" s="42" t="str">
        <f ca="1">IFERROR(__xludf.DUMMYFUNCTION("IFERROR(VLOOKUP(F285,IMPORTRANGE(""https://docs.google.com/spreadsheets/d/1Kvs4KS76FHFqLFIZfrDMff4kP08nblUkihrxltoGBjg/edit#gid=934712705"",""ESENCIAL!A6:BG""),15,FALSE))"),"")</f>
        <v/>
      </c>
      <c r="AX271" s="21" t="str">
        <f ca="1">IFERROR(__xludf.DUMMYFUNCTION("IFERROR(VLOOKUP(E285&amp;F285,IMPORTRANGE(""https://docs.google.com/spreadsheets/d/1Uw7-A9f9R21vMXxHZFNpYNeKFtG8_yji4HS352LGlSQ/edit?pli=1#gid=0"",""1_ACUM!A4:S""),12,FALSE))"),"")</f>
        <v/>
      </c>
      <c r="AY271" s="43" t="str">
        <f ca="1">IFERROR(__xludf.DUMMYFUNCTION("IFERROR(VLOOKUP(E285&amp;F285,IMPORTRANGE(""https://docs.google.com/spreadsheets/d/1Uw7-A9f9R21vMXxHZFNpYNeKFtG8_yji4HS352LGlSQ/edit?pli=1#gid=0"",""1_ACUM!A4:S""),13,FALSE))"),"")</f>
        <v/>
      </c>
      <c r="AZ271" s="43" t="str">
        <f ca="1">IFERROR(__xludf.DUMMYFUNCTION("IFERROR(VLOOKUP(E285&amp;F285,IMPORTRANGE(""https://docs.google.com/spreadsheets/d/1Uw7-A9f9R21vMXxHZFNpYNeKFtG8_yji4HS352LGlSQ/edit?pli=1#gid=0"",""1_ACUM!A4:S""),14,FALSE))"),"")</f>
        <v/>
      </c>
      <c r="BA271" s="43" t="str">
        <f ca="1">IFERROR(__xludf.DUMMYFUNCTION("IFERROR(VLOOKUP(E285&amp;F285,IMPORTRANGE(""https://docs.google.com/spreadsheets/d/1Uw7-A9f9R21vMXxHZFNpYNeKFtG8_yji4HS352LGlSQ/edit?pli=1#gid=0"",""1_ACUM!A4:S""),15,FALSE))"),"")</f>
        <v/>
      </c>
      <c r="BB271" s="43" t="str">
        <f ca="1">IFERROR(__xludf.DUMMYFUNCTION("IFERROR(VLOOKUP(E285&amp;F285,IMPORTRANGE(""https://docs.google.com/spreadsheets/d/1Uw7-A9f9R21vMXxHZFNpYNeKFtG8_yji4HS352LGlSQ/edit?pli=1#gid=0"",""1_ACUM!A4:S""),16,FALSE))"),"")</f>
        <v/>
      </c>
      <c r="BC271" s="43" t="str">
        <f ca="1">IFERROR(__xludf.DUMMYFUNCTION("IFERROR(VLOOKUP(E285&amp;F285,IMPORTRANGE(""https://docs.google.com/spreadsheets/d/1Uw7-A9f9R21vMXxHZFNpYNeKFtG8_yji4HS352LGlSQ/edit?pli=1#gid=0"",""1_ACUM!A4:S""),17,FALSE))"),"")</f>
        <v/>
      </c>
      <c r="BD271" s="44" t="str">
        <f ca="1">IFERROR(__xludf.DUMMYFUNCTION("IFERROR(VLOOKUP(E285&amp;F285,IMPORTRANGE(""https://docs.google.com/spreadsheets/d/1Uw7-A9f9R21vMXxHZFNpYNeKFtG8_yji4HS352LGlSQ/edit?pli=1#gid=0"",""1_ACUM!A4:S""),18,FALSE))"),"")</f>
        <v/>
      </c>
      <c r="BE271" s="44" t="str">
        <f ca="1">IFERROR(__xludf.DUMMYFUNCTION("IFERROR(VLOOKUP(E285&amp;F285,IMPORTRANGE(""https://docs.google.com/spreadsheets/d/1Uw7-A9f9R21vMXxHZFNpYNeKFtG8_yji4HS352LGlSQ/edit?pli=1#gid=0"",""1_ACUM!A4:S""),19,FALSE))"),"")</f>
        <v/>
      </c>
      <c r="BF271" s="98" t="str">
        <f ca="1">IFERROR(__xludf.DUMMYFUNCTION("IFERROR(VLOOKUP(F285,IMPORTRANGE(""https://docs.google.com/spreadsheets/d/1Kvs4KS76FHFqLFIZfrDMff4kP08nblUkihrxltoGBjg/edit#gid=934712705"",""ESENCIAL!A6:BG""),5,FALSE))"),"")</f>
        <v/>
      </c>
      <c r="BG271" s="98" t="str">
        <f t="shared" si="17"/>
        <v/>
      </c>
      <c r="BH271" s="99" t="str">
        <f t="shared" si="18"/>
        <v/>
      </c>
      <c r="BI271" s="100" t="str">
        <f ca="1">IFERROR(__xludf.DUMMYFUNCTION("IFERROR(VLOOKUP(F285,IMPORTRANGE(""https://docs.google.com/spreadsheets/d/1Kvs4KS76FHFqLFIZfrDMff4kP08nblUkihrxltoGBjg/edit#gid=934712705"",""ESENCIAL!A6:BG""),2,FALSE))"),"")</f>
        <v/>
      </c>
      <c r="BJ271" s="19" t="str">
        <f t="shared" si="19"/>
        <v/>
      </c>
      <c r="BK271" s="100"/>
      <c r="BL271" s="100"/>
    </row>
    <row r="272" spans="1:64" ht="15">
      <c r="A272" s="101"/>
      <c r="B272" s="101"/>
      <c r="G272" s="5" t="str">
        <f ca="1">IFERROR(__xludf.DUMMYFUNCTION("IFERROR(VLOOKUP(F286,IMPORTRANGE(""https://docs.google.com/spreadsheets/d/1Kvs4KS76FHFqLFIZfrDMff4kP08nblUkihrxltoGBjg/edit#gid=934712705"",""ESENCIAL!A6:BG""),3,FALSE))"),"")</f>
        <v/>
      </c>
      <c r="H272" s="5" t="str">
        <f ca="1">IFERROR(__xludf.DUMMYFUNCTION("IFERROR(VLOOKUP(F286,IMPORTRANGE(""https://docs.google.com/spreadsheets/d/1Kvs4KS76FHFqLFIZfrDMff4kP08nblUkihrxltoGBjg/edit#gid=934712705"",""ESENCIAL!A6:BG""),8,FALSE))"),"")</f>
        <v/>
      </c>
      <c r="L272" s="287"/>
      <c r="U272" s="40"/>
      <c r="AU272" s="41" t="str">
        <f t="shared" si="16"/>
        <v/>
      </c>
      <c r="AV272" s="5" t="str">
        <f ca="1">IFERROR(__xludf.DUMMYFUNCTION("IFERROR(VLOOKUP(E286&amp;F286,IMPORTRANGE(""https://docs.google.com/spreadsheets/d/1Uw7-A9f9R21vMXxHZFNpYNeKFtG8_yji4HS352LGlSQ/edit?pli=1#gid=0"",""1_ACUM!A4:S""),11,FALSE))"),"")</f>
        <v/>
      </c>
      <c r="AW272" s="42" t="str">
        <f ca="1">IFERROR(__xludf.DUMMYFUNCTION("IFERROR(VLOOKUP(F286,IMPORTRANGE(""https://docs.google.com/spreadsheets/d/1Kvs4KS76FHFqLFIZfrDMff4kP08nblUkihrxltoGBjg/edit#gid=934712705"",""ESENCIAL!A6:BG""),15,FALSE))"),"")</f>
        <v/>
      </c>
      <c r="AX272" s="21" t="str">
        <f ca="1">IFERROR(__xludf.DUMMYFUNCTION("IFERROR(VLOOKUP(E286&amp;F286,IMPORTRANGE(""https://docs.google.com/spreadsheets/d/1Uw7-A9f9R21vMXxHZFNpYNeKFtG8_yji4HS352LGlSQ/edit?pli=1#gid=0"",""1_ACUM!A4:S""),12,FALSE))"),"")</f>
        <v/>
      </c>
      <c r="AY272" s="43" t="str">
        <f ca="1">IFERROR(__xludf.DUMMYFUNCTION("IFERROR(VLOOKUP(E286&amp;F286,IMPORTRANGE(""https://docs.google.com/spreadsheets/d/1Uw7-A9f9R21vMXxHZFNpYNeKFtG8_yji4HS352LGlSQ/edit?pli=1#gid=0"",""1_ACUM!A4:S""),13,FALSE))"),"")</f>
        <v/>
      </c>
      <c r="AZ272" s="43" t="str">
        <f ca="1">IFERROR(__xludf.DUMMYFUNCTION("IFERROR(VLOOKUP(E286&amp;F286,IMPORTRANGE(""https://docs.google.com/spreadsheets/d/1Uw7-A9f9R21vMXxHZFNpYNeKFtG8_yji4HS352LGlSQ/edit?pli=1#gid=0"",""1_ACUM!A4:S""),14,FALSE))"),"")</f>
        <v/>
      </c>
      <c r="BA272" s="43" t="str">
        <f ca="1">IFERROR(__xludf.DUMMYFUNCTION("IFERROR(VLOOKUP(E286&amp;F286,IMPORTRANGE(""https://docs.google.com/spreadsheets/d/1Uw7-A9f9R21vMXxHZFNpYNeKFtG8_yji4HS352LGlSQ/edit?pli=1#gid=0"",""1_ACUM!A4:S""),15,FALSE))"),"")</f>
        <v/>
      </c>
      <c r="BB272" s="43" t="str">
        <f ca="1">IFERROR(__xludf.DUMMYFUNCTION("IFERROR(VLOOKUP(E286&amp;F286,IMPORTRANGE(""https://docs.google.com/spreadsheets/d/1Uw7-A9f9R21vMXxHZFNpYNeKFtG8_yji4HS352LGlSQ/edit?pli=1#gid=0"",""1_ACUM!A4:S""),16,FALSE))"),"")</f>
        <v/>
      </c>
      <c r="BC272" s="43" t="str">
        <f ca="1">IFERROR(__xludf.DUMMYFUNCTION("IFERROR(VLOOKUP(E286&amp;F286,IMPORTRANGE(""https://docs.google.com/spreadsheets/d/1Uw7-A9f9R21vMXxHZFNpYNeKFtG8_yji4HS352LGlSQ/edit?pli=1#gid=0"",""1_ACUM!A4:S""),17,FALSE))"),"")</f>
        <v/>
      </c>
      <c r="BD272" s="44" t="str">
        <f ca="1">IFERROR(__xludf.DUMMYFUNCTION("IFERROR(VLOOKUP(E286&amp;F286,IMPORTRANGE(""https://docs.google.com/spreadsheets/d/1Uw7-A9f9R21vMXxHZFNpYNeKFtG8_yji4HS352LGlSQ/edit?pli=1#gid=0"",""1_ACUM!A4:S""),18,FALSE))"),"")</f>
        <v/>
      </c>
      <c r="BE272" s="44" t="str">
        <f ca="1">IFERROR(__xludf.DUMMYFUNCTION("IFERROR(VLOOKUP(E286&amp;F286,IMPORTRANGE(""https://docs.google.com/spreadsheets/d/1Uw7-A9f9R21vMXxHZFNpYNeKFtG8_yji4HS352LGlSQ/edit?pli=1#gid=0"",""1_ACUM!A4:S""),19,FALSE))"),"")</f>
        <v/>
      </c>
      <c r="BF272" s="98" t="str">
        <f ca="1">IFERROR(__xludf.DUMMYFUNCTION("IFERROR(VLOOKUP(F286,IMPORTRANGE(""https://docs.google.com/spreadsheets/d/1Kvs4KS76FHFqLFIZfrDMff4kP08nblUkihrxltoGBjg/edit#gid=934712705"",""ESENCIAL!A6:BG""),5,FALSE))"),"")</f>
        <v/>
      </c>
      <c r="BG272" s="98" t="str">
        <f t="shared" si="17"/>
        <v/>
      </c>
      <c r="BH272" s="99" t="str">
        <f t="shared" si="18"/>
        <v/>
      </c>
      <c r="BI272" s="100" t="str">
        <f ca="1">IFERROR(__xludf.DUMMYFUNCTION("IFERROR(VLOOKUP(F286,IMPORTRANGE(""https://docs.google.com/spreadsheets/d/1Kvs4KS76FHFqLFIZfrDMff4kP08nblUkihrxltoGBjg/edit#gid=934712705"",""ESENCIAL!A6:BG""),2,FALSE))"),"")</f>
        <v/>
      </c>
      <c r="BJ272" s="19" t="str">
        <f t="shared" si="19"/>
        <v/>
      </c>
      <c r="BK272" s="100"/>
      <c r="BL272" s="100"/>
    </row>
    <row r="273" spans="1:64" ht="15">
      <c r="A273" s="101"/>
      <c r="B273" s="101"/>
      <c r="G273" s="5" t="str">
        <f ca="1">IFERROR(__xludf.DUMMYFUNCTION("IFERROR(VLOOKUP(F287,IMPORTRANGE(""https://docs.google.com/spreadsheets/d/1Kvs4KS76FHFqLFIZfrDMff4kP08nblUkihrxltoGBjg/edit#gid=934712705"",""ESENCIAL!A6:BG""),3,FALSE))"),"")</f>
        <v/>
      </c>
      <c r="H273" s="5" t="str">
        <f ca="1">IFERROR(__xludf.DUMMYFUNCTION("IFERROR(VLOOKUP(F287,IMPORTRANGE(""https://docs.google.com/spreadsheets/d/1Kvs4KS76FHFqLFIZfrDMff4kP08nblUkihrxltoGBjg/edit#gid=934712705"",""ESENCIAL!A6:BG""),8,FALSE))"),"")</f>
        <v/>
      </c>
      <c r="L273" s="287"/>
      <c r="U273" s="40"/>
      <c r="AU273" s="41" t="str">
        <f t="shared" si="16"/>
        <v/>
      </c>
      <c r="AV273" s="5" t="str">
        <f ca="1">IFERROR(__xludf.DUMMYFUNCTION("IFERROR(VLOOKUP(E287&amp;F287,IMPORTRANGE(""https://docs.google.com/spreadsheets/d/1Uw7-A9f9R21vMXxHZFNpYNeKFtG8_yji4HS352LGlSQ/edit?pli=1#gid=0"",""1_ACUM!A4:S""),11,FALSE))"),"")</f>
        <v/>
      </c>
      <c r="AW273" s="42" t="str">
        <f ca="1">IFERROR(__xludf.DUMMYFUNCTION("IFERROR(VLOOKUP(F287,IMPORTRANGE(""https://docs.google.com/spreadsheets/d/1Kvs4KS76FHFqLFIZfrDMff4kP08nblUkihrxltoGBjg/edit#gid=934712705"",""ESENCIAL!A6:BG""),15,FALSE))"),"")</f>
        <v/>
      </c>
      <c r="AX273" s="21" t="str">
        <f ca="1">IFERROR(__xludf.DUMMYFUNCTION("IFERROR(VLOOKUP(E287&amp;F287,IMPORTRANGE(""https://docs.google.com/spreadsheets/d/1Uw7-A9f9R21vMXxHZFNpYNeKFtG8_yji4HS352LGlSQ/edit?pli=1#gid=0"",""1_ACUM!A4:S""),12,FALSE))"),"")</f>
        <v/>
      </c>
      <c r="AY273" s="43" t="str">
        <f ca="1">IFERROR(__xludf.DUMMYFUNCTION("IFERROR(VLOOKUP(E287&amp;F287,IMPORTRANGE(""https://docs.google.com/spreadsheets/d/1Uw7-A9f9R21vMXxHZFNpYNeKFtG8_yji4HS352LGlSQ/edit?pli=1#gid=0"",""1_ACUM!A4:S""),13,FALSE))"),"")</f>
        <v/>
      </c>
      <c r="AZ273" s="43" t="str">
        <f ca="1">IFERROR(__xludf.DUMMYFUNCTION("IFERROR(VLOOKUP(E287&amp;F287,IMPORTRANGE(""https://docs.google.com/spreadsheets/d/1Uw7-A9f9R21vMXxHZFNpYNeKFtG8_yji4HS352LGlSQ/edit?pli=1#gid=0"",""1_ACUM!A4:S""),14,FALSE))"),"")</f>
        <v/>
      </c>
      <c r="BA273" s="43" t="str">
        <f ca="1">IFERROR(__xludf.DUMMYFUNCTION("IFERROR(VLOOKUP(E287&amp;F287,IMPORTRANGE(""https://docs.google.com/spreadsheets/d/1Uw7-A9f9R21vMXxHZFNpYNeKFtG8_yji4HS352LGlSQ/edit?pli=1#gid=0"",""1_ACUM!A4:S""),15,FALSE))"),"")</f>
        <v/>
      </c>
      <c r="BB273" s="43" t="str">
        <f ca="1">IFERROR(__xludf.DUMMYFUNCTION("IFERROR(VLOOKUP(E287&amp;F287,IMPORTRANGE(""https://docs.google.com/spreadsheets/d/1Uw7-A9f9R21vMXxHZFNpYNeKFtG8_yji4HS352LGlSQ/edit?pli=1#gid=0"",""1_ACUM!A4:S""),16,FALSE))"),"")</f>
        <v/>
      </c>
      <c r="BC273" s="43" t="str">
        <f ca="1">IFERROR(__xludf.DUMMYFUNCTION("IFERROR(VLOOKUP(E287&amp;F287,IMPORTRANGE(""https://docs.google.com/spreadsheets/d/1Uw7-A9f9R21vMXxHZFNpYNeKFtG8_yji4HS352LGlSQ/edit?pli=1#gid=0"",""1_ACUM!A4:S""),17,FALSE))"),"")</f>
        <v/>
      </c>
      <c r="BD273" s="44" t="str">
        <f ca="1">IFERROR(__xludf.DUMMYFUNCTION("IFERROR(VLOOKUP(E287&amp;F287,IMPORTRANGE(""https://docs.google.com/spreadsheets/d/1Uw7-A9f9R21vMXxHZFNpYNeKFtG8_yji4HS352LGlSQ/edit?pli=1#gid=0"",""1_ACUM!A4:S""),18,FALSE))"),"")</f>
        <v/>
      </c>
      <c r="BE273" s="44" t="str">
        <f ca="1">IFERROR(__xludf.DUMMYFUNCTION("IFERROR(VLOOKUP(E287&amp;F287,IMPORTRANGE(""https://docs.google.com/spreadsheets/d/1Uw7-A9f9R21vMXxHZFNpYNeKFtG8_yji4HS352LGlSQ/edit?pli=1#gid=0"",""1_ACUM!A4:S""),19,FALSE))"),"")</f>
        <v/>
      </c>
      <c r="BF273" s="98" t="str">
        <f ca="1">IFERROR(__xludf.DUMMYFUNCTION("IFERROR(VLOOKUP(F287,IMPORTRANGE(""https://docs.google.com/spreadsheets/d/1Kvs4KS76FHFqLFIZfrDMff4kP08nblUkihrxltoGBjg/edit#gid=934712705"",""ESENCIAL!A6:BG""),5,FALSE))"),"")</f>
        <v/>
      </c>
      <c r="BG273" s="98" t="str">
        <f t="shared" si="17"/>
        <v/>
      </c>
      <c r="BH273" s="99" t="str">
        <f t="shared" si="18"/>
        <v/>
      </c>
      <c r="BI273" s="100" t="str">
        <f ca="1">IFERROR(__xludf.DUMMYFUNCTION("IFERROR(VLOOKUP(F287,IMPORTRANGE(""https://docs.google.com/spreadsheets/d/1Kvs4KS76FHFqLFIZfrDMff4kP08nblUkihrxltoGBjg/edit#gid=934712705"",""ESENCIAL!A6:BG""),2,FALSE))"),"")</f>
        <v/>
      </c>
      <c r="BJ273" s="19" t="str">
        <f t="shared" si="19"/>
        <v/>
      </c>
      <c r="BK273" s="100"/>
      <c r="BL273" s="100"/>
    </row>
    <row r="274" spans="1:64" ht="15">
      <c r="A274" s="101"/>
      <c r="B274" s="101"/>
      <c r="G274" s="5" t="str">
        <f ca="1">IFERROR(__xludf.DUMMYFUNCTION("IFERROR(VLOOKUP(F288,IMPORTRANGE(""https://docs.google.com/spreadsheets/d/1Kvs4KS76FHFqLFIZfrDMff4kP08nblUkihrxltoGBjg/edit#gid=934712705"",""ESENCIAL!A6:BG""),3,FALSE))"),"")</f>
        <v/>
      </c>
      <c r="H274" s="5" t="str">
        <f ca="1">IFERROR(__xludf.DUMMYFUNCTION("IFERROR(VLOOKUP(F288,IMPORTRANGE(""https://docs.google.com/spreadsheets/d/1Kvs4KS76FHFqLFIZfrDMff4kP08nblUkihrxltoGBjg/edit#gid=934712705"",""ESENCIAL!A6:BG""),8,FALSE))"),"")</f>
        <v/>
      </c>
      <c r="L274" s="287"/>
      <c r="U274" s="40"/>
      <c r="AU274" s="41" t="str">
        <f t="shared" si="16"/>
        <v/>
      </c>
      <c r="AV274" s="5" t="str">
        <f ca="1">IFERROR(__xludf.DUMMYFUNCTION("IFERROR(VLOOKUP(E288&amp;F288,IMPORTRANGE(""https://docs.google.com/spreadsheets/d/1Uw7-A9f9R21vMXxHZFNpYNeKFtG8_yji4HS352LGlSQ/edit?pli=1#gid=0"",""1_ACUM!A4:S""),11,FALSE))"),"")</f>
        <v/>
      </c>
      <c r="AW274" s="42" t="str">
        <f ca="1">IFERROR(__xludf.DUMMYFUNCTION("IFERROR(VLOOKUP(F288,IMPORTRANGE(""https://docs.google.com/spreadsheets/d/1Kvs4KS76FHFqLFIZfrDMff4kP08nblUkihrxltoGBjg/edit#gid=934712705"",""ESENCIAL!A6:BG""),15,FALSE))"),"")</f>
        <v/>
      </c>
      <c r="AX274" s="21" t="str">
        <f ca="1">IFERROR(__xludf.DUMMYFUNCTION("IFERROR(VLOOKUP(E288&amp;F288,IMPORTRANGE(""https://docs.google.com/spreadsheets/d/1Uw7-A9f9R21vMXxHZFNpYNeKFtG8_yji4HS352LGlSQ/edit?pli=1#gid=0"",""1_ACUM!A4:S""),12,FALSE))"),"")</f>
        <v/>
      </c>
      <c r="AY274" s="43" t="str">
        <f ca="1">IFERROR(__xludf.DUMMYFUNCTION("IFERROR(VLOOKUP(E288&amp;F288,IMPORTRANGE(""https://docs.google.com/spreadsheets/d/1Uw7-A9f9R21vMXxHZFNpYNeKFtG8_yji4HS352LGlSQ/edit?pli=1#gid=0"",""1_ACUM!A4:S""),13,FALSE))"),"")</f>
        <v/>
      </c>
      <c r="AZ274" s="43" t="str">
        <f ca="1">IFERROR(__xludf.DUMMYFUNCTION("IFERROR(VLOOKUP(E288&amp;F288,IMPORTRANGE(""https://docs.google.com/spreadsheets/d/1Uw7-A9f9R21vMXxHZFNpYNeKFtG8_yji4HS352LGlSQ/edit?pli=1#gid=0"",""1_ACUM!A4:S""),14,FALSE))"),"")</f>
        <v/>
      </c>
      <c r="BA274" s="43" t="str">
        <f ca="1">IFERROR(__xludf.DUMMYFUNCTION("IFERROR(VLOOKUP(E288&amp;F288,IMPORTRANGE(""https://docs.google.com/spreadsheets/d/1Uw7-A9f9R21vMXxHZFNpYNeKFtG8_yji4HS352LGlSQ/edit?pli=1#gid=0"",""1_ACUM!A4:S""),15,FALSE))"),"")</f>
        <v/>
      </c>
      <c r="BB274" s="43" t="str">
        <f ca="1">IFERROR(__xludf.DUMMYFUNCTION("IFERROR(VLOOKUP(E288&amp;F288,IMPORTRANGE(""https://docs.google.com/spreadsheets/d/1Uw7-A9f9R21vMXxHZFNpYNeKFtG8_yji4HS352LGlSQ/edit?pli=1#gid=0"",""1_ACUM!A4:S""),16,FALSE))"),"")</f>
        <v/>
      </c>
      <c r="BC274" s="43" t="str">
        <f ca="1">IFERROR(__xludf.DUMMYFUNCTION("IFERROR(VLOOKUP(E288&amp;F288,IMPORTRANGE(""https://docs.google.com/spreadsheets/d/1Uw7-A9f9R21vMXxHZFNpYNeKFtG8_yji4HS352LGlSQ/edit?pli=1#gid=0"",""1_ACUM!A4:S""),17,FALSE))"),"")</f>
        <v/>
      </c>
      <c r="BD274" s="44" t="str">
        <f ca="1">IFERROR(__xludf.DUMMYFUNCTION("IFERROR(VLOOKUP(E288&amp;F288,IMPORTRANGE(""https://docs.google.com/spreadsheets/d/1Uw7-A9f9R21vMXxHZFNpYNeKFtG8_yji4HS352LGlSQ/edit?pli=1#gid=0"",""1_ACUM!A4:S""),18,FALSE))"),"")</f>
        <v/>
      </c>
      <c r="BE274" s="44" t="str">
        <f ca="1">IFERROR(__xludf.DUMMYFUNCTION("IFERROR(VLOOKUP(E288&amp;F288,IMPORTRANGE(""https://docs.google.com/spreadsheets/d/1Uw7-A9f9R21vMXxHZFNpYNeKFtG8_yji4HS352LGlSQ/edit?pli=1#gid=0"",""1_ACUM!A4:S""),19,FALSE))"),"")</f>
        <v/>
      </c>
      <c r="BF274" s="98" t="str">
        <f ca="1">IFERROR(__xludf.DUMMYFUNCTION("IFERROR(VLOOKUP(F288,IMPORTRANGE(""https://docs.google.com/spreadsheets/d/1Kvs4KS76FHFqLFIZfrDMff4kP08nblUkihrxltoGBjg/edit#gid=934712705"",""ESENCIAL!A6:BG""),5,FALSE))"),"")</f>
        <v/>
      </c>
      <c r="BG274" s="98" t="str">
        <f t="shared" si="17"/>
        <v/>
      </c>
      <c r="BH274" s="99" t="str">
        <f t="shared" si="18"/>
        <v/>
      </c>
      <c r="BI274" s="100" t="str">
        <f ca="1">IFERROR(__xludf.DUMMYFUNCTION("IFERROR(VLOOKUP(F288,IMPORTRANGE(""https://docs.google.com/spreadsheets/d/1Kvs4KS76FHFqLFIZfrDMff4kP08nblUkihrxltoGBjg/edit#gid=934712705"",""ESENCIAL!A6:BG""),2,FALSE))"),"")</f>
        <v/>
      </c>
      <c r="BJ274" s="19" t="str">
        <f t="shared" si="19"/>
        <v/>
      </c>
      <c r="BK274" s="100"/>
      <c r="BL274" s="100"/>
    </row>
    <row r="275" spans="1:64" ht="15">
      <c r="A275" s="101"/>
      <c r="B275" s="101"/>
      <c r="G275" s="5" t="str">
        <f ca="1">IFERROR(__xludf.DUMMYFUNCTION("IFERROR(VLOOKUP(F289,IMPORTRANGE(""https://docs.google.com/spreadsheets/d/1Kvs4KS76FHFqLFIZfrDMff4kP08nblUkihrxltoGBjg/edit#gid=934712705"",""ESENCIAL!A6:BG""),3,FALSE))"),"")</f>
        <v/>
      </c>
      <c r="H275" s="5" t="str">
        <f ca="1">IFERROR(__xludf.DUMMYFUNCTION("IFERROR(VLOOKUP(F289,IMPORTRANGE(""https://docs.google.com/spreadsheets/d/1Kvs4KS76FHFqLFIZfrDMff4kP08nblUkihrxltoGBjg/edit#gid=934712705"",""ESENCIAL!A6:BG""),8,FALSE))"),"")</f>
        <v/>
      </c>
      <c r="L275" s="287"/>
      <c r="U275" s="40"/>
      <c r="AU275" s="41" t="str">
        <f t="shared" si="16"/>
        <v/>
      </c>
      <c r="AV275" s="5" t="str">
        <f ca="1">IFERROR(__xludf.DUMMYFUNCTION("IFERROR(VLOOKUP(E289&amp;F289,IMPORTRANGE(""https://docs.google.com/spreadsheets/d/1Uw7-A9f9R21vMXxHZFNpYNeKFtG8_yji4HS352LGlSQ/edit?pli=1#gid=0"",""1_ACUM!A4:S""),11,FALSE))"),"")</f>
        <v/>
      </c>
      <c r="AW275" s="42" t="str">
        <f ca="1">IFERROR(__xludf.DUMMYFUNCTION("IFERROR(VLOOKUP(F289,IMPORTRANGE(""https://docs.google.com/spreadsheets/d/1Kvs4KS76FHFqLFIZfrDMff4kP08nblUkihrxltoGBjg/edit#gid=934712705"",""ESENCIAL!A6:BG""),15,FALSE))"),"")</f>
        <v/>
      </c>
      <c r="AX275" s="21" t="str">
        <f ca="1">IFERROR(__xludf.DUMMYFUNCTION("IFERROR(VLOOKUP(E289&amp;F289,IMPORTRANGE(""https://docs.google.com/spreadsheets/d/1Uw7-A9f9R21vMXxHZFNpYNeKFtG8_yji4HS352LGlSQ/edit?pli=1#gid=0"",""1_ACUM!A4:S""),12,FALSE))"),"")</f>
        <v/>
      </c>
      <c r="AY275" s="43" t="str">
        <f ca="1">IFERROR(__xludf.DUMMYFUNCTION("IFERROR(VLOOKUP(E289&amp;F289,IMPORTRANGE(""https://docs.google.com/spreadsheets/d/1Uw7-A9f9R21vMXxHZFNpYNeKFtG8_yji4HS352LGlSQ/edit?pli=1#gid=0"",""1_ACUM!A4:S""),13,FALSE))"),"")</f>
        <v/>
      </c>
      <c r="AZ275" s="43" t="str">
        <f ca="1">IFERROR(__xludf.DUMMYFUNCTION("IFERROR(VLOOKUP(E289&amp;F289,IMPORTRANGE(""https://docs.google.com/spreadsheets/d/1Uw7-A9f9R21vMXxHZFNpYNeKFtG8_yji4HS352LGlSQ/edit?pli=1#gid=0"",""1_ACUM!A4:S""),14,FALSE))"),"")</f>
        <v/>
      </c>
      <c r="BA275" s="43" t="str">
        <f ca="1">IFERROR(__xludf.DUMMYFUNCTION("IFERROR(VLOOKUP(E289&amp;F289,IMPORTRANGE(""https://docs.google.com/spreadsheets/d/1Uw7-A9f9R21vMXxHZFNpYNeKFtG8_yji4HS352LGlSQ/edit?pli=1#gid=0"",""1_ACUM!A4:S""),15,FALSE))"),"")</f>
        <v/>
      </c>
      <c r="BB275" s="43" t="str">
        <f ca="1">IFERROR(__xludf.DUMMYFUNCTION("IFERROR(VLOOKUP(E289&amp;F289,IMPORTRANGE(""https://docs.google.com/spreadsheets/d/1Uw7-A9f9R21vMXxHZFNpYNeKFtG8_yji4HS352LGlSQ/edit?pli=1#gid=0"",""1_ACUM!A4:S""),16,FALSE))"),"")</f>
        <v/>
      </c>
      <c r="BC275" s="43" t="str">
        <f ca="1">IFERROR(__xludf.DUMMYFUNCTION("IFERROR(VLOOKUP(E289&amp;F289,IMPORTRANGE(""https://docs.google.com/spreadsheets/d/1Uw7-A9f9R21vMXxHZFNpYNeKFtG8_yji4HS352LGlSQ/edit?pli=1#gid=0"",""1_ACUM!A4:S""),17,FALSE))"),"")</f>
        <v/>
      </c>
      <c r="BD275" s="44" t="str">
        <f ca="1">IFERROR(__xludf.DUMMYFUNCTION("IFERROR(VLOOKUP(E289&amp;F289,IMPORTRANGE(""https://docs.google.com/spreadsheets/d/1Uw7-A9f9R21vMXxHZFNpYNeKFtG8_yji4HS352LGlSQ/edit?pli=1#gid=0"",""1_ACUM!A4:S""),18,FALSE))"),"")</f>
        <v/>
      </c>
      <c r="BE275" s="44" t="str">
        <f ca="1">IFERROR(__xludf.DUMMYFUNCTION("IFERROR(VLOOKUP(E289&amp;F289,IMPORTRANGE(""https://docs.google.com/spreadsheets/d/1Uw7-A9f9R21vMXxHZFNpYNeKFtG8_yji4HS352LGlSQ/edit?pli=1#gid=0"",""1_ACUM!A4:S""),19,FALSE))"),"")</f>
        <v/>
      </c>
      <c r="BF275" s="98" t="str">
        <f ca="1">IFERROR(__xludf.DUMMYFUNCTION("IFERROR(VLOOKUP(F289,IMPORTRANGE(""https://docs.google.com/spreadsheets/d/1Kvs4KS76FHFqLFIZfrDMff4kP08nblUkihrxltoGBjg/edit#gid=934712705"",""ESENCIAL!A6:BG""),5,FALSE))"),"")</f>
        <v/>
      </c>
      <c r="BG275" s="98" t="str">
        <f t="shared" si="17"/>
        <v/>
      </c>
      <c r="BH275" s="99" t="str">
        <f t="shared" si="18"/>
        <v/>
      </c>
      <c r="BI275" s="100" t="str">
        <f ca="1">IFERROR(__xludf.DUMMYFUNCTION("IFERROR(VLOOKUP(F289,IMPORTRANGE(""https://docs.google.com/spreadsheets/d/1Kvs4KS76FHFqLFIZfrDMff4kP08nblUkihrxltoGBjg/edit#gid=934712705"",""ESENCIAL!A6:BG""),2,FALSE))"),"")</f>
        <v/>
      </c>
      <c r="BJ275" s="19" t="str">
        <f t="shared" si="19"/>
        <v/>
      </c>
      <c r="BK275" s="100"/>
      <c r="BL275" s="100"/>
    </row>
    <row r="276" spans="1:64" ht="15">
      <c r="A276" s="101"/>
      <c r="B276" s="101"/>
      <c r="G276" s="5" t="str">
        <f ca="1">IFERROR(__xludf.DUMMYFUNCTION("IFERROR(VLOOKUP(F290,IMPORTRANGE(""https://docs.google.com/spreadsheets/d/1Kvs4KS76FHFqLFIZfrDMff4kP08nblUkihrxltoGBjg/edit#gid=934712705"",""ESENCIAL!A6:BG""),3,FALSE))"),"")</f>
        <v/>
      </c>
      <c r="H276" s="5" t="str">
        <f ca="1">IFERROR(__xludf.DUMMYFUNCTION("IFERROR(VLOOKUP(F290,IMPORTRANGE(""https://docs.google.com/spreadsheets/d/1Kvs4KS76FHFqLFIZfrDMff4kP08nblUkihrxltoGBjg/edit#gid=934712705"",""ESENCIAL!A6:BG""),8,FALSE))"),"")</f>
        <v/>
      </c>
      <c r="L276" s="287"/>
      <c r="U276" s="40"/>
      <c r="AU276" s="41" t="str">
        <f t="shared" si="16"/>
        <v/>
      </c>
      <c r="AV276" s="5" t="str">
        <f ca="1">IFERROR(__xludf.DUMMYFUNCTION("IFERROR(VLOOKUP(E290&amp;F290,IMPORTRANGE(""https://docs.google.com/spreadsheets/d/1Uw7-A9f9R21vMXxHZFNpYNeKFtG8_yji4HS352LGlSQ/edit?pli=1#gid=0"",""1_ACUM!A4:S""),11,FALSE))"),"")</f>
        <v/>
      </c>
      <c r="AW276" s="42" t="str">
        <f ca="1">IFERROR(__xludf.DUMMYFUNCTION("IFERROR(VLOOKUP(F290,IMPORTRANGE(""https://docs.google.com/spreadsheets/d/1Kvs4KS76FHFqLFIZfrDMff4kP08nblUkihrxltoGBjg/edit#gid=934712705"",""ESENCIAL!A6:BG""),15,FALSE))"),"")</f>
        <v/>
      </c>
      <c r="AX276" s="21" t="str">
        <f ca="1">IFERROR(__xludf.DUMMYFUNCTION("IFERROR(VLOOKUP(E290&amp;F290,IMPORTRANGE(""https://docs.google.com/spreadsheets/d/1Uw7-A9f9R21vMXxHZFNpYNeKFtG8_yji4HS352LGlSQ/edit?pli=1#gid=0"",""1_ACUM!A4:S""),12,FALSE))"),"")</f>
        <v/>
      </c>
      <c r="AY276" s="43" t="str">
        <f ca="1">IFERROR(__xludf.DUMMYFUNCTION("IFERROR(VLOOKUP(E290&amp;F290,IMPORTRANGE(""https://docs.google.com/spreadsheets/d/1Uw7-A9f9R21vMXxHZFNpYNeKFtG8_yji4HS352LGlSQ/edit?pli=1#gid=0"",""1_ACUM!A4:S""),13,FALSE))"),"")</f>
        <v/>
      </c>
      <c r="AZ276" s="43" t="str">
        <f ca="1">IFERROR(__xludf.DUMMYFUNCTION("IFERROR(VLOOKUP(E290&amp;F290,IMPORTRANGE(""https://docs.google.com/spreadsheets/d/1Uw7-A9f9R21vMXxHZFNpYNeKFtG8_yji4HS352LGlSQ/edit?pli=1#gid=0"",""1_ACUM!A4:S""),14,FALSE))"),"")</f>
        <v/>
      </c>
      <c r="BA276" s="43" t="str">
        <f ca="1">IFERROR(__xludf.DUMMYFUNCTION("IFERROR(VLOOKUP(E290&amp;F290,IMPORTRANGE(""https://docs.google.com/spreadsheets/d/1Uw7-A9f9R21vMXxHZFNpYNeKFtG8_yji4HS352LGlSQ/edit?pli=1#gid=0"",""1_ACUM!A4:S""),15,FALSE))"),"")</f>
        <v/>
      </c>
      <c r="BB276" s="43" t="str">
        <f ca="1">IFERROR(__xludf.DUMMYFUNCTION("IFERROR(VLOOKUP(E290&amp;F290,IMPORTRANGE(""https://docs.google.com/spreadsheets/d/1Uw7-A9f9R21vMXxHZFNpYNeKFtG8_yji4HS352LGlSQ/edit?pli=1#gid=0"",""1_ACUM!A4:S""),16,FALSE))"),"")</f>
        <v/>
      </c>
      <c r="BC276" s="43" t="str">
        <f ca="1">IFERROR(__xludf.DUMMYFUNCTION("IFERROR(VLOOKUP(E290&amp;F290,IMPORTRANGE(""https://docs.google.com/spreadsheets/d/1Uw7-A9f9R21vMXxHZFNpYNeKFtG8_yji4HS352LGlSQ/edit?pli=1#gid=0"",""1_ACUM!A4:S""),17,FALSE))"),"")</f>
        <v/>
      </c>
      <c r="BD276" s="44" t="str">
        <f ca="1">IFERROR(__xludf.DUMMYFUNCTION("IFERROR(VLOOKUP(E290&amp;F290,IMPORTRANGE(""https://docs.google.com/spreadsheets/d/1Uw7-A9f9R21vMXxHZFNpYNeKFtG8_yji4HS352LGlSQ/edit?pli=1#gid=0"",""1_ACUM!A4:S""),18,FALSE))"),"")</f>
        <v/>
      </c>
      <c r="BE276" s="44" t="str">
        <f ca="1">IFERROR(__xludf.DUMMYFUNCTION("IFERROR(VLOOKUP(E290&amp;F290,IMPORTRANGE(""https://docs.google.com/spreadsheets/d/1Uw7-A9f9R21vMXxHZFNpYNeKFtG8_yji4HS352LGlSQ/edit?pli=1#gid=0"",""1_ACUM!A4:S""),19,FALSE))"),"")</f>
        <v/>
      </c>
      <c r="BF276" s="98" t="str">
        <f ca="1">IFERROR(__xludf.DUMMYFUNCTION("IFERROR(VLOOKUP(F290,IMPORTRANGE(""https://docs.google.com/spreadsheets/d/1Kvs4KS76FHFqLFIZfrDMff4kP08nblUkihrxltoGBjg/edit#gid=934712705"",""ESENCIAL!A6:BG""),5,FALSE))"),"")</f>
        <v/>
      </c>
      <c r="BG276" s="98" t="str">
        <f t="shared" si="17"/>
        <v/>
      </c>
      <c r="BH276" s="99" t="str">
        <f t="shared" si="18"/>
        <v/>
      </c>
      <c r="BI276" s="100" t="str">
        <f ca="1">IFERROR(__xludf.DUMMYFUNCTION("IFERROR(VLOOKUP(F290,IMPORTRANGE(""https://docs.google.com/spreadsheets/d/1Kvs4KS76FHFqLFIZfrDMff4kP08nblUkihrxltoGBjg/edit#gid=934712705"",""ESENCIAL!A6:BG""),2,FALSE))"),"")</f>
        <v/>
      </c>
      <c r="BJ276" s="19" t="str">
        <f t="shared" si="19"/>
        <v/>
      </c>
      <c r="BK276" s="100"/>
      <c r="BL276" s="100"/>
    </row>
    <row r="277" spans="1:64" ht="15">
      <c r="A277" s="101"/>
      <c r="B277" s="101"/>
      <c r="G277" s="5" t="str">
        <f ca="1">IFERROR(__xludf.DUMMYFUNCTION("IFERROR(VLOOKUP(F291,IMPORTRANGE(""https://docs.google.com/spreadsheets/d/1Kvs4KS76FHFqLFIZfrDMff4kP08nblUkihrxltoGBjg/edit#gid=934712705"",""ESENCIAL!A6:BG""),3,FALSE))"),"")</f>
        <v/>
      </c>
      <c r="H277" s="5" t="str">
        <f ca="1">IFERROR(__xludf.DUMMYFUNCTION("IFERROR(VLOOKUP(F291,IMPORTRANGE(""https://docs.google.com/spreadsheets/d/1Kvs4KS76FHFqLFIZfrDMff4kP08nblUkihrxltoGBjg/edit#gid=934712705"",""ESENCIAL!A6:BG""),8,FALSE))"),"")</f>
        <v/>
      </c>
      <c r="L277" s="287"/>
      <c r="U277" s="40"/>
      <c r="AU277" s="41" t="str">
        <f t="shared" si="16"/>
        <v/>
      </c>
      <c r="AV277" s="5" t="str">
        <f ca="1">IFERROR(__xludf.DUMMYFUNCTION("IFERROR(VLOOKUP(E291&amp;F291,IMPORTRANGE(""https://docs.google.com/spreadsheets/d/1Uw7-A9f9R21vMXxHZFNpYNeKFtG8_yji4HS352LGlSQ/edit?pli=1#gid=0"",""1_ACUM!A4:S""),11,FALSE))"),"")</f>
        <v/>
      </c>
      <c r="AW277" s="42" t="str">
        <f ca="1">IFERROR(__xludf.DUMMYFUNCTION("IFERROR(VLOOKUP(F291,IMPORTRANGE(""https://docs.google.com/spreadsheets/d/1Kvs4KS76FHFqLFIZfrDMff4kP08nblUkihrxltoGBjg/edit#gid=934712705"",""ESENCIAL!A6:BG""),15,FALSE))"),"")</f>
        <v/>
      </c>
      <c r="AX277" s="21" t="str">
        <f ca="1">IFERROR(__xludf.DUMMYFUNCTION("IFERROR(VLOOKUP(E291&amp;F291,IMPORTRANGE(""https://docs.google.com/spreadsheets/d/1Uw7-A9f9R21vMXxHZFNpYNeKFtG8_yji4HS352LGlSQ/edit?pli=1#gid=0"",""1_ACUM!A4:S""),12,FALSE))"),"")</f>
        <v/>
      </c>
      <c r="AY277" s="43" t="str">
        <f ca="1">IFERROR(__xludf.DUMMYFUNCTION("IFERROR(VLOOKUP(E291&amp;F291,IMPORTRANGE(""https://docs.google.com/spreadsheets/d/1Uw7-A9f9R21vMXxHZFNpYNeKFtG8_yji4HS352LGlSQ/edit?pli=1#gid=0"",""1_ACUM!A4:S""),13,FALSE))"),"")</f>
        <v/>
      </c>
      <c r="AZ277" s="43" t="str">
        <f ca="1">IFERROR(__xludf.DUMMYFUNCTION("IFERROR(VLOOKUP(E291&amp;F291,IMPORTRANGE(""https://docs.google.com/spreadsheets/d/1Uw7-A9f9R21vMXxHZFNpYNeKFtG8_yji4HS352LGlSQ/edit?pli=1#gid=0"",""1_ACUM!A4:S""),14,FALSE))"),"")</f>
        <v/>
      </c>
      <c r="BA277" s="43" t="str">
        <f ca="1">IFERROR(__xludf.DUMMYFUNCTION("IFERROR(VLOOKUP(E291&amp;F291,IMPORTRANGE(""https://docs.google.com/spreadsheets/d/1Uw7-A9f9R21vMXxHZFNpYNeKFtG8_yji4HS352LGlSQ/edit?pli=1#gid=0"",""1_ACUM!A4:S""),15,FALSE))"),"")</f>
        <v/>
      </c>
      <c r="BB277" s="43" t="str">
        <f ca="1">IFERROR(__xludf.DUMMYFUNCTION("IFERROR(VLOOKUP(E291&amp;F291,IMPORTRANGE(""https://docs.google.com/spreadsheets/d/1Uw7-A9f9R21vMXxHZFNpYNeKFtG8_yji4HS352LGlSQ/edit?pli=1#gid=0"",""1_ACUM!A4:S""),16,FALSE))"),"")</f>
        <v/>
      </c>
      <c r="BC277" s="43" t="str">
        <f ca="1">IFERROR(__xludf.DUMMYFUNCTION("IFERROR(VLOOKUP(E291&amp;F291,IMPORTRANGE(""https://docs.google.com/spreadsheets/d/1Uw7-A9f9R21vMXxHZFNpYNeKFtG8_yji4HS352LGlSQ/edit?pli=1#gid=0"",""1_ACUM!A4:S""),17,FALSE))"),"")</f>
        <v/>
      </c>
      <c r="BD277" s="44" t="str">
        <f ca="1">IFERROR(__xludf.DUMMYFUNCTION("IFERROR(VLOOKUP(E291&amp;F291,IMPORTRANGE(""https://docs.google.com/spreadsheets/d/1Uw7-A9f9R21vMXxHZFNpYNeKFtG8_yji4HS352LGlSQ/edit?pli=1#gid=0"",""1_ACUM!A4:S""),18,FALSE))"),"")</f>
        <v/>
      </c>
      <c r="BE277" s="44" t="str">
        <f ca="1">IFERROR(__xludf.DUMMYFUNCTION("IFERROR(VLOOKUP(E291&amp;F291,IMPORTRANGE(""https://docs.google.com/spreadsheets/d/1Uw7-A9f9R21vMXxHZFNpYNeKFtG8_yji4HS352LGlSQ/edit?pli=1#gid=0"",""1_ACUM!A4:S""),19,FALSE))"),"")</f>
        <v/>
      </c>
      <c r="BF277" s="98" t="str">
        <f ca="1">IFERROR(__xludf.DUMMYFUNCTION("IFERROR(VLOOKUP(F291,IMPORTRANGE(""https://docs.google.com/spreadsheets/d/1Kvs4KS76FHFqLFIZfrDMff4kP08nblUkihrxltoGBjg/edit#gid=934712705"",""ESENCIAL!A6:BG""),5,FALSE))"),"")</f>
        <v/>
      </c>
      <c r="BG277" s="98" t="str">
        <f t="shared" si="17"/>
        <v/>
      </c>
      <c r="BH277" s="99" t="str">
        <f t="shared" si="18"/>
        <v/>
      </c>
      <c r="BI277" s="100" t="str">
        <f ca="1">IFERROR(__xludf.DUMMYFUNCTION("IFERROR(VLOOKUP(F291,IMPORTRANGE(""https://docs.google.com/spreadsheets/d/1Kvs4KS76FHFqLFIZfrDMff4kP08nblUkihrxltoGBjg/edit#gid=934712705"",""ESENCIAL!A6:BG""),2,FALSE))"),"")</f>
        <v/>
      </c>
      <c r="BJ277" s="19" t="str">
        <f t="shared" si="19"/>
        <v/>
      </c>
      <c r="BK277" s="100"/>
      <c r="BL277" s="100"/>
    </row>
    <row r="278" spans="1:64" ht="15">
      <c r="A278" s="101"/>
      <c r="B278" s="101"/>
      <c r="G278" s="5" t="str">
        <f ca="1">IFERROR(__xludf.DUMMYFUNCTION("IFERROR(VLOOKUP(F292,IMPORTRANGE(""https://docs.google.com/spreadsheets/d/1Kvs4KS76FHFqLFIZfrDMff4kP08nblUkihrxltoGBjg/edit#gid=934712705"",""ESENCIAL!A6:BG""),3,FALSE))"),"")</f>
        <v/>
      </c>
      <c r="H278" s="5" t="str">
        <f ca="1">IFERROR(__xludf.DUMMYFUNCTION("IFERROR(VLOOKUP(F292,IMPORTRANGE(""https://docs.google.com/spreadsheets/d/1Kvs4KS76FHFqLFIZfrDMff4kP08nblUkihrxltoGBjg/edit#gid=934712705"",""ESENCIAL!A6:BG""),8,FALSE))"),"")</f>
        <v/>
      </c>
      <c r="L278" s="287"/>
      <c r="U278" s="40"/>
      <c r="AU278" s="41" t="str">
        <f t="shared" si="16"/>
        <v/>
      </c>
      <c r="AV278" s="5" t="str">
        <f ca="1">IFERROR(__xludf.DUMMYFUNCTION("IFERROR(VLOOKUP(E292&amp;F292,IMPORTRANGE(""https://docs.google.com/spreadsheets/d/1Uw7-A9f9R21vMXxHZFNpYNeKFtG8_yji4HS352LGlSQ/edit?pli=1#gid=0"",""1_ACUM!A4:S""),11,FALSE))"),"")</f>
        <v/>
      </c>
      <c r="AW278" s="42" t="str">
        <f ca="1">IFERROR(__xludf.DUMMYFUNCTION("IFERROR(VLOOKUP(F292,IMPORTRANGE(""https://docs.google.com/spreadsheets/d/1Kvs4KS76FHFqLFIZfrDMff4kP08nblUkihrxltoGBjg/edit#gid=934712705"",""ESENCIAL!A6:BG""),15,FALSE))"),"")</f>
        <v/>
      </c>
      <c r="AX278" s="21" t="str">
        <f ca="1">IFERROR(__xludf.DUMMYFUNCTION("IFERROR(VLOOKUP(E292&amp;F292,IMPORTRANGE(""https://docs.google.com/spreadsheets/d/1Uw7-A9f9R21vMXxHZFNpYNeKFtG8_yji4HS352LGlSQ/edit?pli=1#gid=0"",""1_ACUM!A4:S""),12,FALSE))"),"")</f>
        <v/>
      </c>
      <c r="AY278" s="43" t="str">
        <f ca="1">IFERROR(__xludf.DUMMYFUNCTION("IFERROR(VLOOKUP(E292&amp;F292,IMPORTRANGE(""https://docs.google.com/spreadsheets/d/1Uw7-A9f9R21vMXxHZFNpYNeKFtG8_yji4HS352LGlSQ/edit?pli=1#gid=0"",""1_ACUM!A4:S""),13,FALSE))"),"")</f>
        <v/>
      </c>
      <c r="AZ278" s="43" t="str">
        <f ca="1">IFERROR(__xludf.DUMMYFUNCTION("IFERROR(VLOOKUP(E292&amp;F292,IMPORTRANGE(""https://docs.google.com/spreadsheets/d/1Uw7-A9f9R21vMXxHZFNpYNeKFtG8_yji4HS352LGlSQ/edit?pli=1#gid=0"",""1_ACUM!A4:S""),14,FALSE))"),"")</f>
        <v/>
      </c>
      <c r="BA278" s="43" t="str">
        <f ca="1">IFERROR(__xludf.DUMMYFUNCTION("IFERROR(VLOOKUP(E292&amp;F292,IMPORTRANGE(""https://docs.google.com/spreadsheets/d/1Uw7-A9f9R21vMXxHZFNpYNeKFtG8_yji4HS352LGlSQ/edit?pli=1#gid=0"",""1_ACUM!A4:S""),15,FALSE))"),"")</f>
        <v/>
      </c>
      <c r="BB278" s="43" t="str">
        <f ca="1">IFERROR(__xludf.DUMMYFUNCTION("IFERROR(VLOOKUP(E292&amp;F292,IMPORTRANGE(""https://docs.google.com/spreadsheets/d/1Uw7-A9f9R21vMXxHZFNpYNeKFtG8_yji4HS352LGlSQ/edit?pli=1#gid=0"",""1_ACUM!A4:S""),16,FALSE))"),"")</f>
        <v/>
      </c>
      <c r="BC278" s="43" t="str">
        <f ca="1">IFERROR(__xludf.DUMMYFUNCTION("IFERROR(VLOOKUP(E292&amp;F292,IMPORTRANGE(""https://docs.google.com/spreadsheets/d/1Uw7-A9f9R21vMXxHZFNpYNeKFtG8_yji4HS352LGlSQ/edit?pli=1#gid=0"",""1_ACUM!A4:S""),17,FALSE))"),"")</f>
        <v/>
      </c>
      <c r="BD278" s="44" t="str">
        <f ca="1">IFERROR(__xludf.DUMMYFUNCTION("IFERROR(VLOOKUP(E292&amp;F292,IMPORTRANGE(""https://docs.google.com/spreadsheets/d/1Uw7-A9f9R21vMXxHZFNpYNeKFtG8_yji4HS352LGlSQ/edit?pli=1#gid=0"",""1_ACUM!A4:S""),18,FALSE))"),"")</f>
        <v/>
      </c>
      <c r="BE278" s="44" t="str">
        <f ca="1">IFERROR(__xludf.DUMMYFUNCTION("IFERROR(VLOOKUP(E292&amp;F292,IMPORTRANGE(""https://docs.google.com/spreadsheets/d/1Uw7-A9f9R21vMXxHZFNpYNeKFtG8_yji4HS352LGlSQ/edit?pli=1#gid=0"",""1_ACUM!A4:S""),19,FALSE))"),"")</f>
        <v/>
      </c>
      <c r="BF278" s="98" t="str">
        <f ca="1">IFERROR(__xludf.DUMMYFUNCTION("IFERROR(VLOOKUP(F292,IMPORTRANGE(""https://docs.google.com/spreadsheets/d/1Kvs4KS76FHFqLFIZfrDMff4kP08nblUkihrxltoGBjg/edit#gid=934712705"",""ESENCIAL!A6:BG""),5,FALSE))"),"")</f>
        <v/>
      </c>
      <c r="BG278" s="98" t="str">
        <f t="shared" si="17"/>
        <v/>
      </c>
      <c r="BH278" s="99" t="str">
        <f t="shared" si="18"/>
        <v/>
      </c>
      <c r="BI278" s="100" t="str">
        <f ca="1">IFERROR(__xludf.DUMMYFUNCTION("IFERROR(VLOOKUP(F292,IMPORTRANGE(""https://docs.google.com/spreadsheets/d/1Kvs4KS76FHFqLFIZfrDMff4kP08nblUkihrxltoGBjg/edit#gid=934712705"",""ESENCIAL!A6:BG""),2,FALSE))"),"")</f>
        <v/>
      </c>
      <c r="BJ278" s="19" t="str">
        <f t="shared" si="19"/>
        <v/>
      </c>
      <c r="BK278" s="100"/>
      <c r="BL278" s="100"/>
    </row>
    <row r="279" spans="1:64" ht="15">
      <c r="A279" s="101"/>
      <c r="B279" s="101"/>
      <c r="G279" s="5" t="str">
        <f ca="1">IFERROR(__xludf.DUMMYFUNCTION("IFERROR(VLOOKUP(F293,IMPORTRANGE(""https://docs.google.com/spreadsheets/d/1Kvs4KS76FHFqLFIZfrDMff4kP08nblUkihrxltoGBjg/edit#gid=934712705"",""ESENCIAL!A6:BG""),3,FALSE))"),"")</f>
        <v/>
      </c>
      <c r="H279" s="5" t="str">
        <f ca="1">IFERROR(__xludf.DUMMYFUNCTION("IFERROR(VLOOKUP(F293,IMPORTRANGE(""https://docs.google.com/spreadsheets/d/1Kvs4KS76FHFqLFIZfrDMff4kP08nblUkihrxltoGBjg/edit#gid=934712705"",""ESENCIAL!A6:BG""),8,FALSE))"),"")</f>
        <v/>
      </c>
      <c r="L279" s="287"/>
      <c r="U279" s="40"/>
      <c r="AU279" s="41" t="str">
        <f t="shared" si="16"/>
        <v/>
      </c>
      <c r="AV279" s="5" t="str">
        <f ca="1">IFERROR(__xludf.DUMMYFUNCTION("IFERROR(VLOOKUP(E293&amp;F293,IMPORTRANGE(""https://docs.google.com/spreadsheets/d/1Uw7-A9f9R21vMXxHZFNpYNeKFtG8_yji4HS352LGlSQ/edit?pli=1#gid=0"",""1_ACUM!A4:S""),11,FALSE))"),"")</f>
        <v/>
      </c>
      <c r="AW279" s="42" t="str">
        <f ca="1">IFERROR(__xludf.DUMMYFUNCTION("IFERROR(VLOOKUP(F293,IMPORTRANGE(""https://docs.google.com/spreadsheets/d/1Kvs4KS76FHFqLFIZfrDMff4kP08nblUkihrxltoGBjg/edit#gid=934712705"",""ESENCIAL!A6:BG""),15,FALSE))"),"")</f>
        <v/>
      </c>
      <c r="AX279" s="21" t="str">
        <f ca="1">IFERROR(__xludf.DUMMYFUNCTION("IFERROR(VLOOKUP(E293&amp;F293,IMPORTRANGE(""https://docs.google.com/spreadsheets/d/1Uw7-A9f9R21vMXxHZFNpYNeKFtG8_yji4HS352LGlSQ/edit?pli=1#gid=0"",""1_ACUM!A4:S""),12,FALSE))"),"")</f>
        <v/>
      </c>
      <c r="AY279" s="43" t="str">
        <f ca="1">IFERROR(__xludf.DUMMYFUNCTION("IFERROR(VLOOKUP(E293&amp;F293,IMPORTRANGE(""https://docs.google.com/spreadsheets/d/1Uw7-A9f9R21vMXxHZFNpYNeKFtG8_yji4HS352LGlSQ/edit?pli=1#gid=0"",""1_ACUM!A4:S""),13,FALSE))"),"")</f>
        <v/>
      </c>
      <c r="AZ279" s="43" t="str">
        <f ca="1">IFERROR(__xludf.DUMMYFUNCTION("IFERROR(VLOOKUP(E293&amp;F293,IMPORTRANGE(""https://docs.google.com/spreadsheets/d/1Uw7-A9f9R21vMXxHZFNpYNeKFtG8_yji4HS352LGlSQ/edit?pli=1#gid=0"",""1_ACUM!A4:S""),14,FALSE))"),"")</f>
        <v/>
      </c>
      <c r="BA279" s="43" t="str">
        <f ca="1">IFERROR(__xludf.DUMMYFUNCTION("IFERROR(VLOOKUP(E293&amp;F293,IMPORTRANGE(""https://docs.google.com/spreadsheets/d/1Uw7-A9f9R21vMXxHZFNpYNeKFtG8_yji4HS352LGlSQ/edit?pli=1#gid=0"",""1_ACUM!A4:S""),15,FALSE))"),"")</f>
        <v/>
      </c>
      <c r="BB279" s="43" t="str">
        <f ca="1">IFERROR(__xludf.DUMMYFUNCTION("IFERROR(VLOOKUP(E293&amp;F293,IMPORTRANGE(""https://docs.google.com/spreadsheets/d/1Uw7-A9f9R21vMXxHZFNpYNeKFtG8_yji4HS352LGlSQ/edit?pli=1#gid=0"",""1_ACUM!A4:S""),16,FALSE))"),"")</f>
        <v/>
      </c>
      <c r="BC279" s="43" t="str">
        <f ca="1">IFERROR(__xludf.DUMMYFUNCTION("IFERROR(VLOOKUP(E293&amp;F293,IMPORTRANGE(""https://docs.google.com/spreadsheets/d/1Uw7-A9f9R21vMXxHZFNpYNeKFtG8_yji4HS352LGlSQ/edit?pli=1#gid=0"",""1_ACUM!A4:S""),17,FALSE))"),"")</f>
        <v/>
      </c>
      <c r="BD279" s="44" t="str">
        <f ca="1">IFERROR(__xludf.DUMMYFUNCTION("IFERROR(VLOOKUP(E293&amp;F293,IMPORTRANGE(""https://docs.google.com/spreadsheets/d/1Uw7-A9f9R21vMXxHZFNpYNeKFtG8_yji4HS352LGlSQ/edit?pli=1#gid=0"",""1_ACUM!A4:S""),18,FALSE))"),"")</f>
        <v/>
      </c>
      <c r="BE279" s="44" t="str">
        <f ca="1">IFERROR(__xludf.DUMMYFUNCTION("IFERROR(VLOOKUP(E293&amp;F293,IMPORTRANGE(""https://docs.google.com/spreadsheets/d/1Uw7-A9f9R21vMXxHZFNpYNeKFtG8_yji4HS352LGlSQ/edit?pli=1#gid=0"",""1_ACUM!A4:S""),19,FALSE))"),"")</f>
        <v/>
      </c>
      <c r="BF279" s="98" t="str">
        <f ca="1">IFERROR(__xludf.DUMMYFUNCTION("IFERROR(VLOOKUP(F293,IMPORTRANGE(""https://docs.google.com/spreadsheets/d/1Kvs4KS76FHFqLFIZfrDMff4kP08nblUkihrxltoGBjg/edit#gid=934712705"",""ESENCIAL!A6:BG""),5,FALSE))"),"")</f>
        <v/>
      </c>
      <c r="BG279" s="98" t="str">
        <f t="shared" si="17"/>
        <v/>
      </c>
      <c r="BH279" s="99" t="str">
        <f t="shared" si="18"/>
        <v/>
      </c>
      <c r="BI279" s="100" t="str">
        <f ca="1">IFERROR(__xludf.DUMMYFUNCTION("IFERROR(VLOOKUP(F293,IMPORTRANGE(""https://docs.google.com/spreadsheets/d/1Kvs4KS76FHFqLFIZfrDMff4kP08nblUkihrxltoGBjg/edit#gid=934712705"",""ESENCIAL!A6:BG""),2,FALSE))"),"")</f>
        <v/>
      </c>
      <c r="BJ279" s="19" t="str">
        <f t="shared" si="19"/>
        <v/>
      </c>
      <c r="BK279" s="100"/>
      <c r="BL279" s="100"/>
    </row>
    <row r="280" spans="1:64" ht="15">
      <c r="A280" s="101"/>
      <c r="B280" s="101"/>
      <c r="G280" s="5" t="str">
        <f ca="1">IFERROR(__xludf.DUMMYFUNCTION("IFERROR(VLOOKUP(F294,IMPORTRANGE(""https://docs.google.com/spreadsheets/d/1Kvs4KS76FHFqLFIZfrDMff4kP08nblUkihrxltoGBjg/edit#gid=934712705"",""ESENCIAL!A6:BG""),3,FALSE))"),"")</f>
        <v/>
      </c>
      <c r="H280" s="5" t="str">
        <f ca="1">IFERROR(__xludf.DUMMYFUNCTION("IFERROR(VLOOKUP(F294,IMPORTRANGE(""https://docs.google.com/spreadsheets/d/1Kvs4KS76FHFqLFIZfrDMff4kP08nblUkihrxltoGBjg/edit#gid=934712705"",""ESENCIAL!A6:BG""),8,FALSE))"),"")</f>
        <v/>
      </c>
      <c r="L280" s="287"/>
      <c r="U280" s="40"/>
      <c r="AU280" s="41" t="str">
        <f t="shared" si="16"/>
        <v/>
      </c>
      <c r="AV280" s="5" t="str">
        <f ca="1">IFERROR(__xludf.DUMMYFUNCTION("IFERROR(VLOOKUP(E294&amp;F294,IMPORTRANGE(""https://docs.google.com/spreadsheets/d/1Uw7-A9f9R21vMXxHZFNpYNeKFtG8_yji4HS352LGlSQ/edit?pli=1#gid=0"",""1_ACUM!A4:S""),11,FALSE))"),"")</f>
        <v/>
      </c>
      <c r="AW280" s="42" t="str">
        <f ca="1">IFERROR(__xludf.DUMMYFUNCTION("IFERROR(VLOOKUP(F294,IMPORTRANGE(""https://docs.google.com/spreadsheets/d/1Kvs4KS76FHFqLFIZfrDMff4kP08nblUkihrxltoGBjg/edit#gid=934712705"",""ESENCIAL!A6:BG""),15,FALSE))"),"")</f>
        <v/>
      </c>
      <c r="AX280" s="21" t="str">
        <f ca="1">IFERROR(__xludf.DUMMYFUNCTION("IFERROR(VLOOKUP(E294&amp;F294,IMPORTRANGE(""https://docs.google.com/spreadsheets/d/1Uw7-A9f9R21vMXxHZFNpYNeKFtG8_yji4HS352LGlSQ/edit?pli=1#gid=0"",""1_ACUM!A4:S""),12,FALSE))"),"")</f>
        <v/>
      </c>
      <c r="AY280" s="43" t="str">
        <f ca="1">IFERROR(__xludf.DUMMYFUNCTION("IFERROR(VLOOKUP(E294&amp;F294,IMPORTRANGE(""https://docs.google.com/spreadsheets/d/1Uw7-A9f9R21vMXxHZFNpYNeKFtG8_yji4HS352LGlSQ/edit?pli=1#gid=0"",""1_ACUM!A4:S""),13,FALSE))"),"")</f>
        <v/>
      </c>
      <c r="AZ280" s="43" t="str">
        <f ca="1">IFERROR(__xludf.DUMMYFUNCTION("IFERROR(VLOOKUP(E294&amp;F294,IMPORTRANGE(""https://docs.google.com/spreadsheets/d/1Uw7-A9f9R21vMXxHZFNpYNeKFtG8_yji4HS352LGlSQ/edit?pli=1#gid=0"",""1_ACUM!A4:S""),14,FALSE))"),"")</f>
        <v/>
      </c>
      <c r="BA280" s="43" t="str">
        <f ca="1">IFERROR(__xludf.DUMMYFUNCTION("IFERROR(VLOOKUP(E294&amp;F294,IMPORTRANGE(""https://docs.google.com/spreadsheets/d/1Uw7-A9f9R21vMXxHZFNpYNeKFtG8_yji4HS352LGlSQ/edit?pli=1#gid=0"",""1_ACUM!A4:S""),15,FALSE))"),"")</f>
        <v/>
      </c>
      <c r="BB280" s="43" t="str">
        <f ca="1">IFERROR(__xludf.DUMMYFUNCTION("IFERROR(VLOOKUP(E294&amp;F294,IMPORTRANGE(""https://docs.google.com/spreadsheets/d/1Uw7-A9f9R21vMXxHZFNpYNeKFtG8_yji4HS352LGlSQ/edit?pli=1#gid=0"",""1_ACUM!A4:S""),16,FALSE))"),"")</f>
        <v/>
      </c>
      <c r="BC280" s="43" t="str">
        <f ca="1">IFERROR(__xludf.DUMMYFUNCTION("IFERROR(VLOOKUP(E294&amp;F294,IMPORTRANGE(""https://docs.google.com/spreadsheets/d/1Uw7-A9f9R21vMXxHZFNpYNeKFtG8_yji4HS352LGlSQ/edit?pli=1#gid=0"",""1_ACUM!A4:S""),17,FALSE))"),"")</f>
        <v/>
      </c>
      <c r="BD280" s="44" t="str">
        <f ca="1">IFERROR(__xludf.DUMMYFUNCTION("IFERROR(VLOOKUP(E294&amp;F294,IMPORTRANGE(""https://docs.google.com/spreadsheets/d/1Uw7-A9f9R21vMXxHZFNpYNeKFtG8_yji4HS352LGlSQ/edit?pli=1#gid=0"",""1_ACUM!A4:S""),18,FALSE))"),"")</f>
        <v/>
      </c>
      <c r="BE280" s="44" t="str">
        <f ca="1">IFERROR(__xludf.DUMMYFUNCTION("IFERROR(VLOOKUP(E294&amp;F294,IMPORTRANGE(""https://docs.google.com/spreadsheets/d/1Uw7-A9f9R21vMXxHZFNpYNeKFtG8_yji4HS352LGlSQ/edit?pli=1#gid=0"",""1_ACUM!A4:S""),19,FALSE))"),"")</f>
        <v/>
      </c>
      <c r="BF280" s="98" t="str">
        <f ca="1">IFERROR(__xludf.DUMMYFUNCTION("IFERROR(VLOOKUP(F294,IMPORTRANGE(""https://docs.google.com/spreadsheets/d/1Kvs4KS76FHFqLFIZfrDMff4kP08nblUkihrxltoGBjg/edit#gid=934712705"",""ESENCIAL!A6:BG""),5,FALSE))"),"")</f>
        <v/>
      </c>
      <c r="BG280" s="98" t="str">
        <f t="shared" si="17"/>
        <v/>
      </c>
      <c r="BH280" s="99" t="str">
        <f t="shared" si="18"/>
        <v/>
      </c>
      <c r="BI280" s="100" t="str">
        <f ca="1">IFERROR(__xludf.DUMMYFUNCTION("IFERROR(VLOOKUP(F294,IMPORTRANGE(""https://docs.google.com/spreadsheets/d/1Kvs4KS76FHFqLFIZfrDMff4kP08nblUkihrxltoGBjg/edit#gid=934712705"",""ESENCIAL!A6:BG""),2,FALSE))"),"")</f>
        <v/>
      </c>
      <c r="BJ280" s="19" t="str">
        <f t="shared" si="19"/>
        <v/>
      </c>
      <c r="BK280" s="100"/>
      <c r="BL280" s="100"/>
    </row>
    <row r="281" spans="1:64" ht="15">
      <c r="A281" s="101"/>
      <c r="B281" s="101"/>
      <c r="G281" s="5" t="str">
        <f ca="1">IFERROR(__xludf.DUMMYFUNCTION("IFERROR(VLOOKUP(F295,IMPORTRANGE(""https://docs.google.com/spreadsheets/d/1Kvs4KS76FHFqLFIZfrDMff4kP08nblUkihrxltoGBjg/edit#gid=934712705"",""ESENCIAL!A6:BG""),3,FALSE))"),"")</f>
        <v/>
      </c>
      <c r="H281" s="5" t="str">
        <f ca="1">IFERROR(__xludf.DUMMYFUNCTION("IFERROR(VLOOKUP(F295,IMPORTRANGE(""https://docs.google.com/spreadsheets/d/1Kvs4KS76FHFqLFIZfrDMff4kP08nblUkihrxltoGBjg/edit#gid=934712705"",""ESENCIAL!A6:BG""),8,FALSE))"),"")</f>
        <v/>
      </c>
      <c r="L281" s="287"/>
      <c r="U281" s="40"/>
      <c r="AU281" s="41" t="str">
        <f t="shared" si="16"/>
        <v/>
      </c>
      <c r="AV281" s="5" t="str">
        <f ca="1">IFERROR(__xludf.DUMMYFUNCTION("IFERROR(VLOOKUP(E295&amp;F295,IMPORTRANGE(""https://docs.google.com/spreadsheets/d/1Uw7-A9f9R21vMXxHZFNpYNeKFtG8_yji4HS352LGlSQ/edit?pli=1#gid=0"",""1_ACUM!A4:S""),11,FALSE))"),"")</f>
        <v/>
      </c>
      <c r="AW281" s="42" t="str">
        <f ca="1">IFERROR(__xludf.DUMMYFUNCTION("IFERROR(VLOOKUP(F295,IMPORTRANGE(""https://docs.google.com/spreadsheets/d/1Kvs4KS76FHFqLFIZfrDMff4kP08nblUkihrxltoGBjg/edit#gid=934712705"",""ESENCIAL!A6:BG""),15,FALSE))"),"")</f>
        <v/>
      </c>
      <c r="AX281" s="21" t="str">
        <f ca="1">IFERROR(__xludf.DUMMYFUNCTION("IFERROR(VLOOKUP(E295&amp;F295,IMPORTRANGE(""https://docs.google.com/spreadsheets/d/1Uw7-A9f9R21vMXxHZFNpYNeKFtG8_yji4HS352LGlSQ/edit?pli=1#gid=0"",""1_ACUM!A4:S""),12,FALSE))"),"")</f>
        <v/>
      </c>
      <c r="AY281" s="43" t="str">
        <f ca="1">IFERROR(__xludf.DUMMYFUNCTION("IFERROR(VLOOKUP(E295&amp;F295,IMPORTRANGE(""https://docs.google.com/spreadsheets/d/1Uw7-A9f9R21vMXxHZFNpYNeKFtG8_yji4HS352LGlSQ/edit?pli=1#gid=0"",""1_ACUM!A4:S""),13,FALSE))"),"")</f>
        <v/>
      </c>
      <c r="AZ281" s="43" t="str">
        <f ca="1">IFERROR(__xludf.DUMMYFUNCTION("IFERROR(VLOOKUP(E295&amp;F295,IMPORTRANGE(""https://docs.google.com/spreadsheets/d/1Uw7-A9f9R21vMXxHZFNpYNeKFtG8_yji4HS352LGlSQ/edit?pli=1#gid=0"",""1_ACUM!A4:S""),14,FALSE))"),"")</f>
        <v/>
      </c>
      <c r="BA281" s="43" t="str">
        <f ca="1">IFERROR(__xludf.DUMMYFUNCTION("IFERROR(VLOOKUP(E295&amp;F295,IMPORTRANGE(""https://docs.google.com/spreadsheets/d/1Uw7-A9f9R21vMXxHZFNpYNeKFtG8_yji4HS352LGlSQ/edit?pli=1#gid=0"",""1_ACUM!A4:S""),15,FALSE))"),"")</f>
        <v/>
      </c>
      <c r="BB281" s="43" t="str">
        <f ca="1">IFERROR(__xludf.DUMMYFUNCTION("IFERROR(VLOOKUP(E295&amp;F295,IMPORTRANGE(""https://docs.google.com/spreadsheets/d/1Uw7-A9f9R21vMXxHZFNpYNeKFtG8_yji4HS352LGlSQ/edit?pli=1#gid=0"",""1_ACUM!A4:S""),16,FALSE))"),"")</f>
        <v/>
      </c>
      <c r="BC281" s="43" t="str">
        <f ca="1">IFERROR(__xludf.DUMMYFUNCTION("IFERROR(VLOOKUP(E295&amp;F295,IMPORTRANGE(""https://docs.google.com/spreadsheets/d/1Uw7-A9f9R21vMXxHZFNpYNeKFtG8_yji4HS352LGlSQ/edit?pli=1#gid=0"",""1_ACUM!A4:S""),17,FALSE))"),"")</f>
        <v/>
      </c>
      <c r="BD281" s="44" t="str">
        <f ca="1">IFERROR(__xludf.DUMMYFUNCTION("IFERROR(VLOOKUP(E295&amp;F295,IMPORTRANGE(""https://docs.google.com/spreadsheets/d/1Uw7-A9f9R21vMXxHZFNpYNeKFtG8_yji4HS352LGlSQ/edit?pli=1#gid=0"",""1_ACUM!A4:S""),18,FALSE))"),"")</f>
        <v/>
      </c>
      <c r="BE281" s="44" t="str">
        <f ca="1">IFERROR(__xludf.DUMMYFUNCTION("IFERROR(VLOOKUP(E295&amp;F295,IMPORTRANGE(""https://docs.google.com/spreadsheets/d/1Uw7-A9f9R21vMXxHZFNpYNeKFtG8_yji4HS352LGlSQ/edit?pli=1#gid=0"",""1_ACUM!A4:S""),19,FALSE))"),"")</f>
        <v/>
      </c>
      <c r="BF281" s="98" t="str">
        <f ca="1">IFERROR(__xludf.DUMMYFUNCTION("IFERROR(VLOOKUP(F295,IMPORTRANGE(""https://docs.google.com/spreadsheets/d/1Kvs4KS76FHFqLFIZfrDMff4kP08nblUkihrxltoGBjg/edit#gid=934712705"",""ESENCIAL!A6:BG""),5,FALSE))"),"")</f>
        <v/>
      </c>
      <c r="BG281" s="98" t="str">
        <f t="shared" si="17"/>
        <v/>
      </c>
      <c r="BH281" s="99" t="str">
        <f t="shared" si="18"/>
        <v/>
      </c>
      <c r="BI281" s="100" t="str">
        <f ca="1">IFERROR(__xludf.DUMMYFUNCTION("IFERROR(VLOOKUP(F295,IMPORTRANGE(""https://docs.google.com/spreadsheets/d/1Kvs4KS76FHFqLFIZfrDMff4kP08nblUkihrxltoGBjg/edit#gid=934712705"",""ESENCIAL!A6:BG""),2,FALSE))"),"")</f>
        <v/>
      </c>
      <c r="BJ281" s="19" t="str">
        <f t="shared" si="19"/>
        <v/>
      </c>
      <c r="BK281" s="100"/>
      <c r="BL281" s="100"/>
    </row>
    <row r="282" spans="1:64" ht="15">
      <c r="A282" s="101"/>
      <c r="B282" s="101"/>
      <c r="G282" s="5" t="str">
        <f ca="1">IFERROR(__xludf.DUMMYFUNCTION("IFERROR(VLOOKUP(F296,IMPORTRANGE(""https://docs.google.com/spreadsheets/d/1Kvs4KS76FHFqLFIZfrDMff4kP08nblUkihrxltoGBjg/edit#gid=934712705"",""ESENCIAL!A6:BG""),3,FALSE))"),"")</f>
        <v/>
      </c>
      <c r="H282" s="5" t="str">
        <f ca="1">IFERROR(__xludf.DUMMYFUNCTION("IFERROR(VLOOKUP(F296,IMPORTRANGE(""https://docs.google.com/spreadsheets/d/1Kvs4KS76FHFqLFIZfrDMff4kP08nblUkihrxltoGBjg/edit#gid=934712705"",""ESENCIAL!A6:BG""),8,FALSE))"),"")</f>
        <v/>
      </c>
      <c r="L282" s="287"/>
      <c r="U282" s="40"/>
      <c r="AU282" s="41" t="str">
        <f t="shared" si="16"/>
        <v/>
      </c>
      <c r="AV282" s="5" t="str">
        <f ca="1">IFERROR(__xludf.DUMMYFUNCTION("IFERROR(VLOOKUP(E296&amp;F296,IMPORTRANGE(""https://docs.google.com/spreadsheets/d/1Uw7-A9f9R21vMXxHZFNpYNeKFtG8_yji4HS352LGlSQ/edit?pli=1#gid=0"",""1_ACUM!A4:S""),11,FALSE))"),"")</f>
        <v/>
      </c>
      <c r="AW282" s="42" t="str">
        <f ca="1">IFERROR(__xludf.DUMMYFUNCTION("IFERROR(VLOOKUP(F296,IMPORTRANGE(""https://docs.google.com/spreadsheets/d/1Kvs4KS76FHFqLFIZfrDMff4kP08nblUkihrxltoGBjg/edit#gid=934712705"",""ESENCIAL!A6:BG""),15,FALSE))"),"")</f>
        <v/>
      </c>
      <c r="AX282" s="21" t="str">
        <f ca="1">IFERROR(__xludf.DUMMYFUNCTION("IFERROR(VLOOKUP(E296&amp;F296,IMPORTRANGE(""https://docs.google.com/spreadsheets/d/1Uw7-A9f9R21vMXxHZFNpYNeKFtG8_yji4HS352LGlSQ/edit?pli=1#gid=0"",""1_ACUM!A4:S""),12,FALSE))"),"")</f>
        <v/>
      </c>
      <c r="AY282" s="43" t="str">
        <f ca="1">IFERROR(__xludf.DUMMYFUNCTION("IFERROR(VLOOKUP(E296&amp;F296,IMPORTRANGE(""https://docs.google.com/spreadsheets/d/1Uw7-A9f9R21vMXxHZFNpYNeKFtG8_yji4HS352LGlSQ/edit?pli=1#gid=0"",""1_ACUM!A4:S""),13,FALSE))"),"")</f>
        <v/>
      </c>
      <c r="AZ282" s="43" t="str">
        <f ca="1">IFERROR(__xludf.DUMMYFUNCTION("IFERROR(VLOOKUP(E296&amp;F296,IMPORTRANGE(""https://docs.google.com/spreadsheets/d/1Uw7-A9f9R21vMXxHZFNpYNeKFtG8_yji4HS352LGlSQ/edit?pli=1#gid=0"",""1_ACUM!A4:S""),14,FALSE))"),"")</f>
        <v/>
      </c>
      <c r="BA282" s="43" t="str">
        <f ca="1">IFERROR(__xludf.DUMMYFUNCTION("IFERROR(VLOOKUP(E296&amp;F296,IMPORTRANGE(""https://docs.google.com/spreadsheets/d/1Uw7-A9f9R21vMXxHZFNpYNeKFtG8_yji4HS352LGlSQ/edit?pli=1#gid=0"",""1_ACUM!A4:S""),15,FALSE))"),"")</f>
        <v/>
      </c>
      <c r="BB282" s="43" t="str">
        <f ca="1">IFERROR(__xludf.DUMMYFUNCTION("IFERROR(VLOOKUP(E296&amp;F296,IMPORTRANGE(""https://docs.google.com/spreadsheets/d/1Uw7-A9f9R21vMXxHZFNpYNeKFtG8_yji4HS352LGlSQ/edit?pli=1#gid=0"",""1_ACUM!A4:S""),16,FALSE))"),"")</f>
        <v/>
      </c>
      <c r="BC282" s="43" t="str">
        <f ca="1">IFERROR(__xludf.DUMMYFUNCTION("IFERROR(VLOOKUP(E296&amp;F296,IMPORTRANGE(""https://docs.google.com/spreadsheets/d/1Uw7-A9f9R21vMXxHZFNpYNeKFtG8_yji4HS352LGlSQ/edit?pli=1#gid=0"",""1_ACUM!A4:S""),17,FALSE))"),"")</f>
        <v/>
      </c>
      <c r="BD282" s="44" t="str">
        <f ca="1">IFERROR(__xludf.DUMMYFUNCTION("IFERROR(VLOOKUP(E296&amp;F296,IMPORTRANGE(""https://docs.google.com/spreadsheets/d/1Uw7-A9f9R21vMXxHZFNpYNeKFtG8_yji4HS352LGlSQ/edit?pli=1#gid=0"",""1_ACUM!A4:S""),18,FALSE))"),"")</f>
        <v/>
      </c>
      <c r="BE282" s="44" t="str">
        <f ca="1">IFERROR(__xludf.DUMMYFUNCTION("IFERROR(VLOOKUP(E296&amp;F296,IMPORTRANGE(""https://docs.google.com/spreadsheets/d/1Uw7-A9f9R21vMXxHZFNpYNeKFtG8_yji4HS352LGlSQ/edit?pli=1#gid=0"",""1_ACUM!A4:S""),19,FALSE))"),"")</f>
        <v/>
      </c>
      <c r="BF282" s="98" t="str">
        <f ca="1">IFERROR(__xludf.DUMMYFUNCTION("IFERROR(VLOOKUP(F296,IMPORTRANGE(""https://docs.google.com/spreadsheets/d/1Kvs4KS76FHFqLFIZfrDMff4kP08nblUkihrxltoGBjg/edit#gid=934712705"",""ESENCIAL!A6:BG""),5,FALSE))"),"")</f>
        <v/>
      </c>
      <c r="BG282" s="98" t="str">
        <f t="shared" si="17"/>
        <v/>
      </c>
      <c r="BH282" s="99" t="str">
        <f t="shared" si="18"/>
        <v/>
      </c>
      <c r="BI282" s="100" t="str">
        <f ca="1">IFERROR(__xludf.DUMMYFUNCTION("IFERROR(VLOOKUP(F296,IMPORTRANGE(""https://docs.google.com/spreadsheets/d/1Kvs4KS76FHFqLFIZfrDMff4kP08nblUkihrxltoGBjg/edit#gid=934712705"",""ESENCIAL!A6:BG""),2,FALSE))"),"")</f>
        <v/>
      </c>
      <c r="BJ282" s="19" t="str">
        <f t="shared" si="19"/>
        <v/>
      </c>
      <c r="BK282" s="100"/>
      <c r="BL282" s="100"/>
    </row>
    <row r="283" spans="1:64" ht="15">
      <c r="A283" s="101"/>
      <c r="B283" s="101"/>
      <c r="G283" s="5" t="str">
        <f ca="1">IFERROR(__xludf.DUMMYFUNCTION("IFERROR(VLOOKUP(F297,IMPORTRANGE(""https://docs.google.com/spreadsheets/d/1Kvs4KS76FHFqLFIZfrDMff4kP08nblUkihrxltoGBjg/edit#gid=934712705"",""ESENCIAL!A6:BG""),3,FALSE))"),"")</f>
        <v/>
      </c>
      <c r="H283" s="5" t="str">
        <f ca="1">IFERROR(__xludf.DUMMYFUNCTION("IFERROR(VLOOKUP(F297,IMPORTRANGE(""https://docs.google.com/spreadsheets/d/1Kvs4KS76FHFqLFIZfrDMff4kP08nblUkihrxltoGBjg/edit#gid=934712705"",""ESENCIAL!A6:BG""),8,FALSE))"),"")</f>
        <v/>
      </c>
      <c r="L283" s="287"/>
      <c r="U283" s="40"/>
      <c r="AU283" s="41" t="str">
        <f t="shared" si="16"/>
        <v/>
      </c>
      <c r="AV283" s="5" t="str">
        <f ca="1">IFERROR(__xludf.DUMMYFUNCTION("IFERROR(VLOOKUP(E297&amp;F297,IMPORTRANGE(""https://docs.google.com/spreadsheets/d/1Uw7-A9f9R21vMXxHZFNpYNeKFtG8_yji4HS352LGlSQ/edit?pli=1#gid=0"",""1_ACUM!A4:S""),11,FALSE))"),"")</f>
        <v/>
      </c>
      <c r="AW283" s="42" t="str">
        <f ca="1">IFERROR(__xludf.DUMMYFUNCTION("IFERROR(VLOOKUP(F297,IMPORTRANGE(""https://docs.google.com/spreadsheets/d/1Kvs4KS76FHFqLFIZfrDMff4kP08nblUkihrxltoGBjg/edit#gid=934712705"",""ESENCIAL!A6:BG""),15,FALSE))"),"")</f>
        <v/>
      </c>
      <c r="AX283" s="21" t="str">
        <f ca="1">IFERROR(__xludf.DUMMYFUNCTION("IFERROR(VLOOKUP(E297&amp;F297,IMPORTRANGE(""https://docs.google.com/spreadsheets/d/1Uw7-A9f9R21vMXxHZFNpYNeKFtG8_yji4HS352LGlSQ/edit?pli=1#gid=0"",""1_ACUM!A4:S""),12,FALSE))"),"")</f>
        <v/>
      </c>
      <c r="AY283" s="43" t="str">
        <f ca="1">IFERROR(__xludf.DUMMYFUNCTION("IFERROR(VLOOKUP(E297&amp;F297,IMPORTRANGE(""https://docs.google.com/spreadsheets/d/1Uw7-A9f9R21vMXxHZFNpYNeKFtG8_yji4HS352LGlSQ/edit?pli=1#gid=0"",""1_ACUM!A4:S""),13,FALSE))"),"")</f>
        <v/>
      </c>
      <c r="AZ283" s="43" t="str">
        <f ca="1">IFERROR(__xludf.DUMMYFUNCTION("IFERROR(VLOOKUP(E297&amp;F297,IMPORTRANGE(""https://docs.google.com/spreadsheets/d/1Uw7-A9f9R21vMXxHZFNpYNeKFtG8_yji4HS352LGlSQ/edit?pli=1#gid=0"",""1_ACUM!A4:S""),14,FALSE))"),"")</f>
        <v/>
      </c>
      <c r="BA283" s="43" t="str">
        <f ca="1">IFERROR(__xludf.DUMMYFUNCTION("IFERROR(VLOOKUP(E297&amp;F297,IMPORTRANGE(""https://docs.google.com/spreadsheets/d/1Uw7-A9f9R21vMXxHZFNpYNeKFtG8_yji4HS352LGlSQ/edit?pli=1#gid=0"",""1_ACUM!A4:S""),15,FALSE))"),"")</f>
        <v/>
      </c>
      <c r="BB283" s="43" t="str">
        <f ca="1">IFERROR(__xludf.DUMMYFUNCTION("IFERROR(VLOOKUP(E297&amp;F297,IMPORTRANGE(""https://docs.google.com/spreadsheets/d/1Uw7-A9f9R21vMXxHZFNpYNeKFtG8_yji4HS352LGlSQ/edit?pli=1#gid=0"",""1_ACUM!A4:S""),16,FALSE))"),"")</f>
        <v/>
      </c>
      <c r="BC283" s="43" t="str">
        <f ca="1">IFERROR(__xludf.DUMMYFUNCTION("IFERROR(VLOOKUP(E297&amp;F297,IMPORTRANGE(""https://docs.google.com/spreadsheets/d/1Uw7-A9f9R21vMXxHZFNpYNeKFtG8_yji4HS352LGlSQ/edit?pli=1#gid=0"",""1_ACUM!A4:S""),17,FALSE))"),"")</f>
        <v/>
      </c>
      <c r="BD283" s="44" t="str">
        <f ca="1">IFERROR(__xludf.DUMMYFUNCTION("IFERROR(VLOOKUP(E297&amp;F297,IMPORTRANGE(""https://docs.google.com/spreadsheets/d/1Uw7-A9f9R21vMXxHZFNpYNeKFtG8_yji4HS352LGlSQ/edit?pli=1#gid=0"",""1_ACUM!A4:S""),18,FALSE))"),"")</f>
        <v/>
      </c>
      <c r="BE283" s="44" t="str">
        <f ca="1">IFERROR(__xludf.DUMMYFUNCTION("IFERROR(VLOOKUP(E297&amp;F297,IMPORTRANGE(""https://docs.google.com/spreadsheets/d/1Uw7-A9f9R21vMXxHZFNpYNeKFtG8_yji4HS352LGlSQ/edit?pli=1#gid=0"",""1_ACUM!A4:S""),19,FALSE))"),"")</f>
        <v/>
      </c>
      <c r="BF283" s="98" t="str">
        <f ca="1">IFERROR(__xludf.DUMMYFUNCTION("IFERROR(VLOOKUP(F297,IMPORTRANGE(""https://docs.google.com/spreadsheets/d/1Kvs4KS76FHFqLFIZfrDMff4kP08nblUkihrxltoGBjg/edit#gid=934712705"",""ESENCIAL!A6:BG""),5,FALSE))"),"")</f>
        <v/>
      </c>
      <c r="BG283" s="98" t="str">
        <f t="shared" si="17"/>
        <v/>
      </c>
      <c r="BH283" s="99" t="str">
        <f t="shared" si="18"/>
        <v/>
      </c>
      <c r="BI283" s="100" t="str">
        <f ca="1">IFERROR(__xludf.DUMMYFUNCTION("IFERROR(VLOOKUP(F297,IMPORTRANGE(""https://docs.google.com/spreadsheets/d/1Kvs4KS76FHFqLFIZfrDMff4kP08nblUkihrxltoGBjg/edit#gid=934712705"",""ESENCIAL!A6:BG""),2,FALSE))"),"")</f>
        <v/>
      </c>
      <c r="BJ283" s="19" t="str">
        <f t="shared" si="19"/>
        <v/>
      </c>
      <c r="BK283" s="100"/>
      <c r="BL283" s="100"/>
    </row>
    <row r="284" spans="1:64" ht="15">
      <c r="A284" s="101"/>
      <c r="B284" s="101"/>
      <c r="G284" s="5" t="str">
        <f ca="1">IFERROR(__xludf.DUMMYFUNCTION("IFERROR(VLOOKUP(F298,IMPORTRANGE(""https://docs.google.com/spreadsheets/d/1Kvs4KS76FHFqLFIZfrDMff4kP08nblUkihrxltoGBjg/edit#gid=934712705"",""ESENCIAL!A6:BG""),3,FALSE))"),"")</f>
        <v/>
      </c>
      <c r="H284" s="5" t="str">
        <f ca="1">IFERROR(__xludf.DUMMYFUNCTION("IFERROR(VLOOKUP(F298,IMPORTRANGE(""https://docs.google.com/spreadsheets/d/1Kvs4KS76FHFqLFIZfrDMff4kP08nblUkihrxltoGBjg/edit#gid=934712705"",""ESENCIAL!A6:BG""),8,FALSE))"),"")</f>
        <v/>
      </c>
      <c r="L284" s="287"/>
      <c r="U284" s="40"/>
      <c r="AU284" s="41" t="str">
        <f t="shared" si="16"/>
        <v/>
      </c>
      <c r="AV284" s="5" t="str">
        <f ca="1">IFERROR(__xludf.DUMMYFUNCTION("IFERROR(VLOOKUP(E298&amp;F298,IMPORTRANGE(""https://docs.google.com/spreadsheets/d/1Uw7-A9f9R21vMXxHZFNpYNeKFtG8_yji4HS352LGlSQ/edit?pli=1#gid=0"",""1_ACUM!A4:S""),11,FALSE))"),"")</f>
        <v/>
      </c>
      <c r="AW284" s="42" t="str">
        <f ca="1">IFERROR(__xludf.DUMMYFUNCTION("IFERROR(VLOOKUP(F298,IMPORTRANGE(""https://docs.google.com/spreadsheets/d/1Kvs4KS76FHFqLFIZfrDMff4kP08nblUkihrxltoGBjg/edit#gid=934712705"",""ESENCIAL!A6:BG""),15,FALSE))"),"")</f>
        <v/>
      </c>
      <c r="AX284" s="21" t="str">
        <f ca="1">IFERROR(__xludf.DUMMYFUNCTION("IFERROR(VLOOKUP(E298&amp;F298,IMPORTRANGE(""https://docs.google.com/spreadsheets/d/1Uw7-A9f9R21vMXxHZFNpYNeKFtG8_yji4HS352LGlSQ/edit?pli=1#gid=0"",""1_ACUM!A4:S""),12,FALSE))"),"")</f>
        <v/>
      </c>
      <c r="AY284" s="43" t="str">
        <f ca="1">IFERROR(__xludf.DUMMYFUNCTION("IFERROR(VLOOKUP(E298&amp;F298,IMPORTRANGE(""https://docs.google.com/spreadsheets/d/1Uw7-A9f9R21vMXxHZFNpYNeKFtG8_yji4HS352LGlSQ/edit?pli=1#gid=0"",""1_ACUM!A4:S""),13,FALSE))"),"")</f>
        <v/>
      </c>
      <c r="AZ284" s="43" t="str">
        <f ca="1">IFERROR(__xludf.DUMMYFUNCTION("IFERROR(VLOOKUP(E298&amp;F298,IMPORTRANGE(""https://docs.google.com/spreadsheets/d/1Uw7-A9f9R21vMXxHZFNpYNeKFtG8_yji4HS352LGlSQ/edit?pli=1#gid=0"",""1_ACUM!A4:S""),14,FALSE))"),"")</f>
        <v/>
      </c>
      <c r="BA284" s="43" t="str">
        <f ca="1">IFERROR(__xludf.DUMMYFUNCTION("IFERROR(VLOOKUP(E298&amp;F298,IMPORTRANGE(""https://docs.google.com/spreadsheets/d/1Uw7-A9f9R21vMXxHZFNpYNeKFtG8_yji4HS352LGlSQ/edit?pli=1#gid=0"",""1_ACUM!A4:S""),15,FALSE))"),"")</f>
        <v/>
      </c>
      <c r="BB284" s="43" t="str">
        <f ca="1">IFERROR(__xludf.DUMMYFUNCTION("IFERROR(VLOOKUP(E298&amp;F298,IMPORTRANGE(""https://docs.google.com/spreadsheets/d/1Uw7-A9f9R21vMXxHZFNpYNeKFtG8_yji4HS352LGlSQ/edit?pli=1#gid=0"",""1_ACUM!A4:S""),16,FALSE))"),"")</f>
        <v/>
      </c>
      <c r="BC284" s="43" t="str">
        <f ca="1">IFERROR(__xludf.DUMMYFUNCTION("IFERROR(VLOOKUP(E298&amp;F298,IMPORTRANGE(""https://docs.google.com/spreadsheets/d/1Uw7-A9f9R21vMXxHZFNpYNeKFtG8_yji4HS352LGlSQ/edit?pli=1#gid=0"",""1_ACUM!A4:S""),17,FALSE))"),"")</f>
        <v/>
      </c>
      <c r="BD284" s="44" t="str">
        <f ca="1">IFERROR(__xludf.DUMMYFUNCTION("IFERROR(VLOOKUP(E298&amp;F298,IMPORTRANGE(""https://docs.google.com/spreadsheets/d/1Uw7-A9f9R21vMXxHZFNpYNeKFtG8_yji4HS352LGlSQ/edit?pli=1#gid=0"",""1_ACUM!A4:S""),18,FALSE))"),"")</f>
        <v/>
      </c>
      <c r="BE284" s="44" t="str">
        <f ca="1">IFERROR(__xludf.DUMMYFUNCTION("IFERROR(VLOOKUP(E298&amp;F298,IMPORTRANGE(""https://docs.google.com/spreadsheets/d/1Uw7-A9f9R21vMXxHZFNpYNeKFtG8_yji4HS352LGlSQ/edit?pli=1#gid=0"",""1_ACUM!A4:S""),19,FALSE))"),"")</f>
        <v/>
      </c>
      <c r="BF284" s="98" t="str">
        <f ca="1">IFERROR(__xludf.DUMMYFUNCTION("IFERROR(VLOOKUP(F298,IMPORTRANGE(""https://docs.google.com/spreadsheets/d/1Kvs4KS76FHFqLFIZfrDMff4kP08nblUkihrxltoGBjg/edit#gid=934712705"",""ESENCIAL!A6:BG""),5,FALSE))"),"")</f>
        <v/>
      </c>
      <c r="BG284" s="98" t="str">
        <f t="shared" si="17"/>
        <v/>
      </c>
      <c r="BH284" s="99" t="str">
        <f t="shared" si="18"/>
        <v/>
      </c>
      <c r="BI284" s="100" t="str">
        <f ca="1">IFERROR(__xludf.DUMMYFUNCTION("IFERROR(VLOOKUP(F298,IMPORTRANGE(""https://docs.google.com/spreadsheets/d/1Kvs4KS76FHFqLFIZfrDMff4kP08nblUkihrxltoGBjg/edit#gid=934712705"",""ESENCIAL!A6:BG""),2,FALSE))"),"")</f>
        <v/>
      </c>
      <c r="BJ284" s="19" t="str">
        <f t="shared" si="19"/>
        <v/>
      </c>
      <c r="BK284" s="100"/>
      <c r="BL284" s="100"/>
    </row>
    <row r="285" spans="1:64" ht="15">
      <c r="A285" s="101"/>
      <c r="B285" s="101"/>
      <c r="G285" s="5" t="str">
        <f ca="1">IFERROR(__xludf.DUMMYFUNCTION("IFERROR(VLOOKUP(F299,IMPORTRANGE(""https://docs.google.com/spreadsheets/d/1Kvs4KS76FHFqLFIZfrDMff4kP08nblUkihrxltoGBjg/edit#gid=934712705"",""ESENCIAL!A6:BG""),3,FALSE))"),"")</f>
        <v/>
      </c>
      <c r="H285" s="5" t="str">
        <f ca="1">IFERROR(__xludf.DUMMYFUNCTION("IFERROR(VLOOKUP(F299,IMPORTRANGE(""https://docs.google.com/spreadsheets/d/1Kvs4KS76FHFqLFIZfrDMff4kP08nblUkihrxltoGBjg/edit#gid=934712705"",""ESENCIAL!A6:BG""),8,FALSE))"),"")</f>
        <v/>
      </c>
      <c r="L285" s="287"/>
      <c r="U285" s="40"/>
      <c r="AU285" s="41" t="str">
        <f t="shared" si="16"/>
        <v/>
      </c>
      <c r="AV285" s="5" t="str">
        <f ca="1">IFERROR(__xludf.DUMMYFUNCTION("IFERROR(VLOOKUP(E299&amp;F299,IMPORTRANGE(""https://docs.google.com/spreadsheets/d/1Uw7-A9f9R21vMXxHZFNpYNeKFtG8_yji4HS352LGlSQ/edit?pli=1#gid=0"",""1_ACUM!A4:S""),11,FALSE))"),"")</f>
        <v/>
      </c>
      <c r="AW285" s="42" t="str">
        <f ca="1">IFERROR(__xludf.DUMMYFUNCTION("IFERROR(VLOOKUP(F299,IMPORTRANGE(""https://docs.google.com/spreadsheets/d/1Kvs4KS76FHFqLFIZfrDMff4kP08nblUkihrxltoGBjg/edit#gid=934712705"",""ESENCIAL!A6:BG""),15,FALSE))"),"")</f>
        <v/>
      </c>
      <c r="AX285" s="21" t="str">
        <f ca="1">IFERROR(__xludf.DUMMYFUNCTION("IFERROR(VLOOKUP(E299&amp;F299,IMPORTRANGE(""https://docs.google.com/spreadsheets/d/1Uw7-A9f9R21vMXxHZFNpYNeKFtG8_yji4HS352LGlSQ/edit?pli=1#gid=0"",""1_ACUM!A4:S""),12,FALSE))"),"")</f>
        <v/>
      </c>
      <c r="AY285" s="43" t="str">
        <f ca="1">IFERROR(__xludf.DUMMYFUNCTION("IFERROR(VLOOKUP(E299&amp;F299,IMPORTRANGE(""https://docs.google.com/spreadsheets/d/1Uw7-A9f9R21vMXxHZFNpYNeKFtG8_yji4HS352LGlSQ/edit?pli=1#gid=0"",""1_ACUM!A4:S""),13,FALSE))"),"")</f>
        <v/>
      </c>
      <c r="AZ285" s="43" t="str">
        <f ca="1">IFERROR(__xludf.DUMMYFUNCTION("IFERROR(VLOOKUP(E299&amp;F299,IMPORTRANGE(""https://docs.google.com/spreadsheets/d/1Uw7-A9f9R21vMXxHZFNpYNeKFtG8_yji4HS352LGlSQ/edit?pli=1#gid=0"",""1_ACUM!A4:S""),14,FALSE))"),"")</f>
        <v/>
      </c>
      <c r="BA285" s="43" t="str">
        <f ca="1">IFERROR(__xludf.DUMMYFUNCTION("IFERROR(VLOOKUP(E299&amp;F299,IMPORTRANGE(""https://docs.google.com/spreadsheets/d/1Uw7-A9f9R21vMXxHZFNpYNeKFtG8_yji4HS352LGlSQ/edit?pli=1#gid=0"",""1_ACUM!A4:S""),15,FALSE))"),"")</f>
        <v/>
      </c>
      <c r="BB285" s="43" t="str">
        <f ca="1">IFERROR(__xludf.DUMMYFUNCTION("IFERROR(VLOOKUP(E299&amp;F299,IMPORTRANGE(""https://docs.google.com/spreadsheets/d/1Uw7-A9f9R21vMXxHZFNpYNeKFtG8_yji4HS352LGlSQ/edit?pli=1#gid=0"",""1_ACUM!A4:S""),16,FALSE))"),"")</f>
        <v/>
      </c>
      <c r="BC285" s="43" t="str">
        <f ca="1">IFERROR(__xludf.DUMMYFUNCTION("IFERROR(VLOOKUP(E299&amp;F299,IMPORTRANGE(""https://docs.google.com/spreadsheets/d/1Uw7-A9f9R21vMXxHZFNpYNeKFtG8_yji4HS352LGlSQ/edit?pli=1#gid=0"",""1_ACUM!A4:S""),17,FALSE))"),"")</f>
        <v/>
      </c>
      <c r="BD285" s="44" t="str">
        <f ca="1">IFERROR(__xludf.DUMMYFUNCTION("IFERROR(VLOOKUP(E299&amp;F299,IMPORTRANGE(""https://docs.google.com/spreadsheets/d/1Uw7-A9f9R21vMXxHZFNpYNeKFtG8_yji4HS352LGlSQ/edit?pli=1#gid=0"",""1_ACUM!A4:S""),18,FALSE))"),"")</f>
        <v/>
      </c>
      <c r="BE285" s="44" t="str">
        <f ca="1">IFERROR(__xludf.DUMMYFUNCTION("IFERROR(VLOOKUP(E299&amp;F299,IMPORTRANGE(""https://docs.google.com/spreadsheets/d/1Uw7-A9f9R21vMXxHZFNpYNeKFtG8_yji4HS352LGlSQ/edit?pli=1#gid=0"",""1_ACUM!A4:S""),19,FALSE))"),"")</f>
        <v/>
      </c>
      <c r="BF285" s="98" t="str">
        <f ca="1">IFERROR(__xludf.DUMMYFUNCTION("IFERROR(VLOOKUP(F299,IMPORTRANGE(""https://docs.google.com/spreadsheets/d/1Kvs4KS76FHFqLFIZfrDMff4kP08nblUkihrxltoGBjg/edit#gid=934712705"",""ESENCIAL!A6:BG""),5,FALSE))"),"")</f>
        <v/>
      </c>
      <c r="BG285" s="98" t="str">
        <f t="shared" si="17"/>
        <v/>
      </c>
      <c r="BH285" s="99" t="str">
        <f t="shared" si="18"/>
        <v/>
      </c>
      <c r="BI285" s="100" t="str">
        <f ca="1">IFERROR(__xludf.DUMMYFUNCTION("IFERROR(VLOOKUP(F299,IMPORTRANGE(""https://docs.google.com/spreadsheets/d/1Kvs4KS76FHFqLFIZfrDMff4kP08nblUkihrxltoGBjg/edit#gid=934712705"",""ESENCIAL!A6:BG""),2,FALSE))"),"")</f>
        <v/>
      </c>
      <c r="BJ285" s="19" t="str">
        <f t="shared" si="19"/>
        <v/>
      </c>
      <c r="BK285" s="100"/>
      <c r="BL285" s="100"/>
    </row>
    <row r="286" spans="1:64" ht="15">
      <c r="A286" s="101"/>
      <c r="B286" s="101"/>
      <c r="G286" s="5" t="str">
        <f ca="1">IFERROR(__xludf.DUMMYFUNCTION("IFERROR(VLOOKUP(F300,IMPORTRANGE(""https://docs.google.com/spreadsheets/d/1Kvs4KS76FHFqLFIZfrDMff4kP08nblUkihrxltoGBjg/edit#gid=934712705"",""ESENCIAL!A6:BG""),3,FALSE))"),"")</f>
        <v/>
      </c>
      <c r="H286" s="5" t="str">
        <f ca="1">IFERROR(__xludf.DUMMYFUNCTION("IFERROR(VLOOKUP(F300,IMPORTRANGE(""https://docs.google.com/spreadsheets/d/1Kvs4KS76FHFqLFIZfrDMff4kP08nblUkihrxltoGBjg/edit#gid=934712705"",""ESENCIAL!A6:BG""),8,FALSE))"),"")</f>
        <v/>
      </c>
      <c r="L286" s="287"/>
      <c r="U286" s="40"/>
      <c r="AU286" s="41" t="str">
        <f t="shared" si="16"/>
        <v/>
      </c>
      <c r="AV286" s="5" t="str">
        <f ca="1">IFERROR(__xludf.DUMMYFUNCTION("IFERROR(VLOOKUP(E300&amp;F300,IMPORTRANGE(""https://docs.google.com/spreadsheets/d/1Uw7-A9f9R21vMXxHZFNpYNeKFtG8_yji4HS352LGlSQ/edit?pli=1#gid=0"",""1_ACUM!A4:S""),11,FALSE))"),"")</f>
        <v/>
      </c>
      <c r="AW286" s="42" t="str">
        <f ca="1">IFERROR(__xludf.DUMMYFUNCTION("IFERROR(VLOOKUP(F300,IMPORTRANGE(""https://docs.google.com/spreadsheets/d/1Kvs4KS76FHFqLFIZfrDMff4kP08nblUkihrxltoGBjg/edit#gid=934712705"",""ESENCIAL!A6:BG""),15,FALSE))"),"")</f>
        <v/>
      </c>
      <c r="AX286" s="21" t="str">
        <f ca="1">IFERROR(__xludf.DUMMYFUNCTION("IFERROR(VLOOKUP(E300&amp;F300,IMPORTRANGE(""https://docs.google.com/spreadsheets/d/1Uw7-A9f9R21vMXxHZFNpYNeKFtG8_yji4HS352LGlSQ/edit?pli=1#gid=0"",""1_ACUM!A4:S""),12,FALSE))"),"")</f>
        <v/>
      </c>
      <c r="AY286" s="43" t="str">
        <f ca="1">IFERROR(__xludf.DUMMYFUNCTION("IFERROR(VLOOKUP(E300&amp;F300,IMPORTRANGE(""https://docs.google.com/spreadsheets/d/1Uw7-A9f9R21vMXxHZFNpYNeKFtG8_yji4HS352LGlSQ/edit?pli=1#gid=0"",""1_ACUM!A4:S""),13,FALSE))"),"")</f>
        <v/>
      </c>
      <c r="AZ286" s="43" t="str">
        <f ca="1">IFERROR(__xludf.DUMMYFUNCTION("IFERROR(VLOOKUP(E300&amp;F300,IMPORTRANGE(""https://docs.google.com/spreadsheets/d/1Uw7-A9f9R21vMXxHZFNpYNeKFtG8_yji4HS352LGlSQ/edit?pli=1#gid=0"",""1_ACUM!A4:S""),14,FALSE))"),"")</f>
        <v/>
      </c>
      <c r="BA286" s="43" t="str">
        <f ca="1">IFERROR(__xludf.DUMMYFUNCTION("IFERROR(VLOOKUP(E300&amp;F300,IMPORTRANGE(""https://docs.google.com/spreadsheets/d/1Uw7-A9f9R21vMXxHZFNpYNeKFtG8_yji4HS352LGlSQ/edit?pli=1#gid=0"",""1_ACUM!A4:S""),15,FALSE))"),"")</f>
        <v/>
      </c>
      <c r="BB286" s="43" t="str">
        <f ca="1">IFERROR(__xludf.DUMMYFUNCTION("IFERROR(VLOOKUP(E300&amp;F300,IMPORTRANGE(""https://docs.google.com/spreadsheets/d/1Uw7-A9f9R21vMXxHZFNpYNeKFtG8_yji4HS352LGlSQ/edit?pli=1#gid=0"",""1_ACUM!A4:S""),16,FALSE))"),"")</f>
        <v/>
      </c>
      <c r="BC286" s="43" t="str">
        <f ca="1">IFERROR(__xludf.DUMMYFUNCTION("IFERROR(VLOOKUP(E300&amp;F300,IMPORTRANGE(""https://docs.google.com/spreadsheets/d/1Uw7-A9f9R21vMXxHZFNpYNeKFtG8_yji4HS352LGlSQ/edit?pli=1#gid=0"",""1_ACUM!A4:S""),17,FALSE))"),"")</f>
        <v/>
      </c>
      <c r="BD286" s="44" t="str">
        <f ca="1">IFERROR(__xludf.DUMMYFUNCTION("IFERROR(VLOOKUP(E300&amp;F300,IMPORTRANGE(""https://docs.google.com/spreadsheets/d/1Uw7-A9f9R21vMXxHZFNpYNeKFtG8_yji4HS352LGlSQ/edit?pli=1#gid=0"",""1_ACUM!A4:S""),18,FALSE))"),"")</f>
        <v/>
      </c>
      <c r="BE286" s="44" t="str">
        <f ca="1">IFERROR(__xludf.DUMMYFUNCTION("IFERROR(VLOOKUP(E300&amp;F300,IMPORTRANGE(""https://docs.google.com/spreadsheets/d/1Uw7-A9f9R21vMXxHZFNpYNeKFtG8_yji4HS352LGlSQ/edit?pli=1#gid=0"",""1_ACUM!A4:S""),19,FALSE))"),"")</f>
        <v/>
      </c>
      <c r="BF286" s="98" t="str">
        <f ca="1">IFERROR(__xludf.DUMMYFUNCTION("IFERROR(VLOOKUP(F300,IMPORTRANGE(""https://docs.google.com/spreadsheets/d/1Kvs4KS76FHFqLFIZfrDMff4kP08nblUkihrxltoGBjg/edit#gid=934712705"",""ESENCIAL!A6:BG""),5,FALSE))"),"")</f>
        <v/>
      </c>
      <c r="BG286" s="98" t="str">
        <f t="shared" si="17"/>
        <v/>
      </c>
      <c r="BH286" s="99" t="str">
        <f t="shared" si="18"/>
        <v/>
      </c>
      <c r="BI286" s="100" t="str">
        <f ca="1">IFERROR(__xludf.DUMMYFUNCTION("IFERROR(VLOOKUP(F300,IMPORTRANGE(""https://docs.google.com/spreadsheets/d/1Kvs4KS76FHFqLFIZfrDMff4kP08nblUkihrxltoGBjg/edit#gid=934712705"",""ESENCIAL!A6:BG""),2,FALSE))"),"")</f>
        <v/>
      </c>
      <c r="BJ286" s="19" t="str">
        <f t="shared" si="19"/>
        <v/>
      </c>
      <c r="BK286" s="100"/>
      <c r="BL286" s="100"/>
    </row>
    <row r="287" spans="1:64" ht="15">
      <c r="A287" s="101"/>
      <c r="B287" s="101"/>
      <c r="G287" s="5" t="str">
        <f ca="1">IFERROR(__xludf.DUMMYFUNCTION("IFERROR(VLOOKUP(F301,IMPORTRANGE(""https://docs.google.com/spreadsheets/d/1Kvs4KS76FHFqLFIZfrDMff4kP08nblUkihrxltoGBjg/edit#gid=934712705"",""ESENCIAL!A6:BG""),3,FALSE))"),"")</f>
        <v/>
      </c>
      <c r="H287" s="5" t="str">
        <f ca="1">IFERROR(__xludf.DUMMYFUNCTION("IFERROR(VLOOKUP(F301,IMPORTRANGE(""https://docs.google.com/spreadsheets/d/1Kvs4KS76FHFqLFIZfrDMff4kP08nblUkihrxltoGBjg/edit#gid=934712705"",""ESENCIAL!A6:BG""),8,FALSE))"),"")</f>
        <v/>
      </c>
      <c r="L287" s="287"/>
      <c r="U287" s="40"/>
      <c r="AU287" s="41" t="str">
        <f t="shared" si="16"/>
        <v/>
      </c>
      <c r="AV287" s="5" t="str">
        <f ca="1">IFERROR(__xludf.DUMMYFUNCTION("IFERROR(VLOOKUP(E301&amp;F301,IMPORTRANGE(""https://docs.google.com/spreadsheets/d/1Uw7-A9f9R21vMXxHZFNpYNeKFtG8_yji4HS352LGlSQ/edit?pli=1#gid=0"",""1_ACUM!A4:S""),11,FALSE))"),"")</f>
        <v/>
      </c>
      <c r="AW287" s="42" t="str">
        <f ca="1">IFERROR(__xludf.DUMMYFUNCTION("IFERROR(VLOOKUP(F301,IMPORTRANGE(""https://docs.google.com/spreadsheets/d/1Kvs4KS76FHFqLFIZfrDMff4kP08nblUkihrxltoGBjg/edit#gid=934712705"",""ESENCIAL!A6:BG""),15,FALSE))"),"")</f>
        <v/>
      </c>
      <c r="AX287" s="21" t="str">
        <f ca="1">IFERROR(__xludf.DUMMYFUNCTION("IFERROR(VLOOKUP(E301&amp;F301,IMPORTRANGE(""https://docs.google.com/spreadsheets/d/1Uw7-A9f9R21vMXxHZFNpYNeKFtG8_yji4HS352LGlSQ/edit?pli=1#gid=0"",""1_ACUM!A4:S""),12,FALSE))"),"")</f>
        <v/>
      </c>
      <c r="AY287" s="43" t="str">
        <f ca="1">IFERROR(__xludf.DUMMYFUNCTION("IFERROR(VLOOKUP(E301&amp;F301,IMPORTRANGE(""https://docs.google.com/spreadsheets/d/1Uw7-A9f9R21vMXxHZFNpYNeKFtG8_yji4HS352LGlSQ/edit?pli=1#gid=0"",""1_ACUM!A4:S""),13,FALSE))"),"")</f>
        <v/>
      </c>
      <c r="AZ287" s="43" t="str">
        <f ca="1">IFERROR(__xludf.DUMMYFUNCTION("IFERROR(VLOOKUP(E301&amp;F301,IMPORTRANGE(""https://docs.google.com/spreadsheets/d/1Uw7-A9f9R21vMXxHZFNpYNeKFtG8_yji4HS352LGlSQ/edit?pli=1#gid=0"",""1_ACUM!A4:S""),14,FALSE))"),"")</f>
        <v/>
      </c>
      <c r="BA287" s="43" t="str">
        <f ca="1">IFERROR(__xludf.DUMMYFUNCTION("IFERROR(VLOOKUP(E301&amp;F301,IMPORTRANGE(""https://docs.google.com/spreadsheets/d/1Uw7-A9f9R21vMXxHZFNpYNeKFtG8_yji4HS352LGlSQ/edit?pli=1#gid=0"",""1_ACUM!A4:S""),15,FALSE))"),"")</f>
        <v/>
      </c>
      <c r="BB287" s="43" t="str">
        <f ca="1">IFERROR(__xludf.DUMMYFUNCTION("IFERROR(VLOOKUP(E301&amp;F301,IMPORTRANGE(""https://docs.google.com/spreadsheets/d/1Uw7-A9f9R21vMXxHZFNpYNeKFtG8_yji4HS352LGlSQ/edit?pli=1#gid=0"",""1_ACUM!A4:S""),16,FALSE))"),"")</f>
        <v/>
      </c>
      <c r="BC287" s="43" t="str">
        <f ca="1">IFERROR(__xludf.DUMMYFUNCTION("IFERROR(VLOOKUP(E301&amp;F301,IMPORTRANGE(""https://docs.google.com/spreadsheets/d/1Uw7-A9f9R21vMXxHZFNpYNeKFtG8_yji4HS352LGlSQ/edit?pli=1#gid=0"",""1_ACUM!A4:S""),17,FALSE))"),"")</f>
        <v/>
      </c>
      <c r="BD287" s="44" t="str">
        <f ca="1">IFERROR(__xludf.DUMMYFUNCTION("IFERROR(VLOOKUP(E301&amp;F301,IMPORTRANGE(""https://docs.google.com/spreadsheets/d/1Uw7-A9f9R21vMXxHZFNpYNeKFtG8_yji4HS352LGlSQ/edit?pli=1#gid=0"",""1_ACUM!A4:S""),18,FALSE))"),"")</f>
        <v/>
      </c>
      <c r="BE287" s="44" t="str">
        <f ca="1">IFERROR(__xludf.DUMMYFUNCTION("IFERROR(VLOOKUP(E301&amp;F301,IMPORTRANGE(""https://docs.google.com/spreadsheets/d/1Uw7-A9f9R21vMXxHZFNpYNeKFtG8_yji4HS352LGlSQ/edit?pli=1#gid=0"",""1_ACUM!A4:S""),19,FALSE))"),"")</f>
        <v/>
      </c>
      <c r="BF287" s="98" t="str">
        <f ca="1">IFERROR(__xludf.DUMMYFUNCTION("IFERROR(VLOOKUP(F301,IMPORTRANGE(""https://docs.google.com/spreadsheets/d/1Kvs4KS76FHFqLFIZfrDMff4kP08nblUkihrxltoGBjg/edit#gid=934712705"",""ESENCIAL!A6:BG""),5,FALSE))"),"")</f>
        <v/>
      </c>
      <c r="BG287" s="98" t="str">
        <f t="shared" si="17"/>
        <v/>
      </c>
      <c r="BH287" s="99" t="str">
        <f t="shared" si="18"/>
        <v/>
      </c>
      <c r="BI287" s="100" t="str">
        <f ca="1">IFERROR(__xludf.DUMMYFUNCTION("IFERROR(VLOOKUP(F301,IMPORTRANGE(""https://docs.google.com/spreadsheets/d/1Kvs4KS76FHFqLFIZfrDMff4kP08nblUkihrxltoGBjg/edit#gid=934712705"",""ESENCIAL!A6:BG""),2,FALSE))"),"")</f>
        <v/>
      </c>
      <c r="BJ287" s="19" t="str">
        <f t="shared" si="19"/>
        <v/>
      </c>
      <c r="BK287" s="100"/>
      <c r="BL287" s="100"/>
    </row>
    <row r="288" spans="1:64" ht="15">
      <c r="A288" s="101"/>
      <c r="B288" s="101"/>
      <c r="G288" s="5" t="str">
        <f ca="1">IFERROR(__xludf.DUMMYFUNCTION("IFERROR(VLOOKUP(F302,IMPORTRANGE(""https://docs.google.com/spreadsheets/d/1Kvs4KS76FHFqLFIZfrDMff4kP08nblUkihrxltoGBjg/edit#gid=934712705"",""ESENCIAL!A6:BG""),3,FALSE))"),"")</f>
        <v/>
      </c>
      <c r="H288" s="5" t="str">
        <f ca="1">IFERROR(__xludf.DUMMYFUNCTION("IFERROR(VLOOKUP(F302,IMPORTRANGE(""https://docs.google.com/spreadsheets/d/1Kvs4KS76FHFqLFIZfrDMff4kP08nblUkihrxltoGBjg/edit#gid=934712705"",""ESENCIAL!A6:BG""),8,FALSE))"),"")</f>
        <v/>
      </c>
      <c r="L288" s="287"/>
      <c r="U288" s="40"/>
      <c r="AU288" s="41" t="str">
        <f t="shared" si="16"/>
        <v/>
      </c>
      <c r="AV288" s="5" t="str">
        <f ca="1">IFERROR(__xludf.DUMMYFUNCTION("IFERROR(VLOOKUP(E302&amp;F302,IMPORTRANGE(""https://docs.google.com/spreadsheets/d/1Uw7-A9f9R21vMXxHZFNpYNeKFtG8_yji4HS352LGlSQ/edit?pli=1#gid=0"",""1_ACUM!A4:S""),11,FALSE))"),"")</f>
        <v/>
      </c>
      <c r="AW288" s="42" t="str">
        <f ca="1">IFERROR(__xludf.DUMMYFUNCTION("IFERROR(VLOOKUP(F302,IMPORTRANGE(""https://docs.google.com/spreadsheets/d/1Kvs4KS76FHFqLFIZfrDMff4kP08nblUkihrxltoGBjg/edit#gid=934712705"",""ESENCIAL!A6:BG""),15,FALSE))"),"")</f>
        <v/>
      </c>
      <c r="AX288" s="21" t="str">
        <f ca="1">IFERROR(__xludf.DUMMYFUNCTION("IFERROR(VLOOKUP(E302&amp;F302,IMPORTRANGE(""https://docs.google.com/spreadsheets/d/1Uw7-A9f9R21vMXxHZFNpYNeKFtG8_yji4HS352LGlSQ/edit?pli=1#gid=0"",""1_ACUM!A4:S""),12,FALSE))"),"")</f>
        <v/>
      </c>
      <c r="AY288" s="43" t="str">
        <f ca="1">IFERROR(__xludf.DUMMYFUNCTION("IFERROR(VLOOKUP(E302&amp;F302,IMPORTRANGE(""https://docs.google.com/spreadsheets/d/1Uw7-A9f9R21vMXxHZFNpYNeKFtG8_yji4HS352LGlSQ/edit?pli=1#gid=0"",""1_ACUM!A4:S""),13,FALSE))"),"")</f>
        <v/>
      </c>
      <c r="AZ288" s="43" t="str">
        <f ca="1">IFERROR(__xludf.DUMMYFUNCTION("IFERROR(VLOOKUP(E302&amp;F302,IMPORTRANGE(""https://docs.google.com/spreadsheets/d/1Uw7-A9f9R21vMXxHZFNpYNeKFtG8_yji4HS352LGlSQ/edit?pli=1#gid=0"",""1_ACUM!A4:S""),14,FALSE))"),"")</f>
        <v/>
      </c>
      <c r="BA288" s="43" t="str">
        <f ca="1">IFERROR(__xludf.DUMMYFUNCTION("IFERROR(VLOOKUP(E302&amp;F302,IMPORTRANGE(""https://docs.google.com/spreadsheets/d/1Uw7-A9f9R21vMXxHZFNpYNeKFtG8_yji4HS352LGlSQ/edit?pli=1#gid=0"",""1_ACUM!A4:S""),15,FALSE))"),"")</f>
        <v/>
      </c>
      <c r="BB288" s="43" t="str">
        <f ca="1">IFERROR(__xludf.DUMMYFUNCTION("IFERROR(VLOOKUP(E302&amp;F302,IMPORTRANGE(""https://docs.google.com/spreadsheets/d/1Uw7-A9f9R21vMXxHZFNpYNeKFtG8_yji4HS352LGlSQ/edit?pli=1#gid=0"",""1_ACUM!A4:S""),16,FALSE))"),"")</f>
        <v/>
      </c>
      <c r="BC288" s="43" t="str">
        <f ca="1">IFERROR(__xludf.DUMMYFUNCTION("IFERROR(VLOOKUP(E302&amp;F302,IMPORTRANGE(""https://docs.google.com/spreadsheets/d/1Uw7-A9f9R21vMXxHZFNpYNeKFtG8_yji4HS352LGlSQ/edit?pli=1#gid=0"",""1_ACUM!A4:S""),17,FALSE))"),"")</f>
        <v/>
      </c>
      <c r="BD288" s="44" t="str">
        <f ca="1">IFERROR(__xludf.DUMMYFUNCTION("IFERROR(VLOOKUP(E302&amp;F302,IMPORTRANGE(""https://docs.google.com/spreadsheets/d/1Uw7-A9f9R21vMXxHZFNpYNeKFtG8_yji4HS352LGlSQ/edit?pli=1#gid=0"",""1_ACUM!A4:S""),18,FALSE))"),"")</f>
        <v/>
      </c>
      <c r="BE288" s="44" t="str">
        <f ca="1">IFERROR(__xludf.DUMMYFUNCTION("IFERROR(VLOOKUP(E302&amp;F302,IMPORTRANGE(""https://docs.google.com/spreadsheets/d/1Uw7-A9f9R21vMXxHZFNpYNeKFtG8_yji4HS352LGlSQ/edit?pli=1#gid=0"",""1_ACUM!A4:S""),19,FALSE))"),"")</f>
        <v/>
      </c>
      <c r="BF288" s="98" t="str">
        <f ca="1">IFERROR(__xludf.DUMMYFUNCTION("IFERROR(VLOOKUP(F302,IMPORTRANGE(""https://docs.google.com/spreadsheets/d/1Kvs4KS76FHFqLFIZfrDMff4kP08nblUkihrxltoGBjg/edit#gid=934712705"",""ESENCIAL!A6:BG""),5,FALSE))"),"")</f>
        <v/>
      </c>
      <c r="BG288" s="98" t="str">
        <f t="shared" si="17"/>
        <v/>
      </c>
      <c r="BH288" s="99" t="str">
        <f t="shared" si="18"/>
        <v/>
      </c>
      <c r="BI288" s="100" t="str">
        <f ca="1">IFERROR(__xludf.DUMMYFUNCTION("IFERROR(VLOOKUP(F302,IMPORTRANGE(""https://docs.google.com/spreadsheets/d/1Kvs4KS76FHFqLFIZfrDMff4kP08nblUkihrxltoGBjg/edit#gid=934712705"",""ESENCIAL!A6:BG""),2,FALSE))"),"")</f>
        <v/>
      </c>
      <c r="BJ288" s="19" t="str">
        <f t="shared" si="19"/>
        <v/>
      </c>
      <c r="BK288" s="100"/>
      <c r="BL288" s="100"/>
    </row>
    <row r="289" spans="1:64" ht="15">
      <c r="A289" s="101"/>
      <c r="B289" s="101"/>
      <c r="G289" s="5" t="str">
        <f ca="1">IFERROR(__xludf.DUMMYFUNCTION("IFERROR(VLOOKUP(F303,IMPORTRANGE(""https://docs.google.com/spreadsheets/d/1Kvs4KS76FHFqLFIZfrDMff4kP08nblUkihrxltoGBjg/edit#gid=934712705"",""ESENCIAL!A6:BG""),3,FALSE))"),"")</f>
        <v/>
      </c>
      <c r="H289" s="5" t="str">
        <f ca="1">IFERROR(__xludf.DUMMYFUNCTION("IFERROR(VLOOKUP(F303,IMPORTRANGE(""https://docs.google.com/spreadsheets/d/1Kvs4KS76FHFqLFIZfrDMff4kP08nblUkihrxltoGBjg/edit#gid=934712705"",""ESENCIAL!A6:BG""),8,FALSE))"),"")</f>
        <v/>
      </c>
      <c r="L289" s="287"/>
      <c r="U289" s="40"/>
      <c r="AU289" s="41" t="str">
        <f t="shared" si="16"/>
        <v/>
      </c>
      <c r="AV289" s="5" t="str">
        <f ca="1">IFERROR(__xludf.DUMMYFUNCTION("IFERROR(VLOOKUP(E303&amp;F303,IMPORTRANGE(""https://docs.google.com/spreadsheets/d/1Uw7-A9f9R21vMXxHZFNpYNeKFtG8_yji4HS352LGlSQ/edit?pli=1#gid=0"",""1_ACUM!A4:S""),11,FALSE))"),"")</f>
        <v/>
      </c>
      <c r="AW289" s="42" t="str">
        <f ca="1">IFERROR(__xludf.DUMMYFUNCTION("IFERROR(VLOOKUP(F303,IMPORTRANGE(""https://docs.google.com/spreadsheets/d/1Kvs4KS76FHFqLFIZfrDMff4kP08nblUkihrxltoGBjg/edit#gid=934712705"",""ESENCIAL!A6:BG""),15,FALSE))"),"")</f>
        <v/>
      </c>
      <c r="AX289" s="21" t="str">
        <f ca="1">IFERROR(__xludf.DUMMYFUNCTION("IFERROR(VLOOKUP(E303&amp;F303,IMPORTRANGE(""https://docs.google.com/spreadsheets/d/1Uw7-A9f9R21vMXxHZFNpYNeKFtG8_yji4HS352LGlSQ/edit?pli=1#gid=0"",""1_ACUM!A4:S""),12,FALSE))"),"")</f>
        <v/>
      </c>
      <c r="AY289" s="43" t="str">
        <f ca="1">IFERROR(__xludf.DUMMYFUNCTION("IFERROR(VLOOKUP(E303&amp;F303,IMPORTRANGE(""https://docs.google.com/spreadsheets/d/1Uw7-A9f9R21vMXxHZFNpYNeKFtG8_yji4HS352LGlSQ/edit?pli=1#gid=0"",""1_ACUM!A4:S""),13,FALSE))"),"")</f>
        <v/>
      </c>
      <c r="AZ289" s="43" t="str">
        <f ca="1">IFERROR(__xludf.DUMMYFUNCTION("IFERROR(VLOOKUP(E303&amp;F303,IMPORTRANGE(""https://docs.google.com/spreadsheets/d/1Uw7-A9f9R21vMXxHZFNpYNeKFtG8_yji4HS352LGlSQ/edit?pli=1#gid=0"",""1_ACUM!A4:S""),14,FALSE))"),"")</f>
        <v/>
      </c>
      <c r="BA289" s="43" t="str">
        <f ca="1">IFERROR(__xludf.DUMMYFUNCTION("IFERROR(VLOOKUP(E303&amp;F303,IMPORTRANGE(""https://docs.google.com/spreadsheets/d/1Uw7-A9f9R21vMXxHZFNpYNeKFtG8_yji4HS352LGlSQ/edit?pli=1#gid=0"",""1_ACUM!A4:S""),15,FALSE))"),"")</f>
        <v/>
      </c>
      <c r="BB289" s="43" t="str">
        <f ca="1">IFERROR(__xludf.DUMMYFUNCTION("IFERROR(VLOOKUP(E303&amp;F303,IMPORTRANGE(""https://docs.google.com/spreadsheets/d/1Uw7-A9f9R21vMXxHZFNpYNeKFtG8_yji4HS352LGlSQ/edit?pli=1#gid=0"",""1_ACUM!A4:S""),16,FALSE))"),"")</f>
        <v/>
      </c>
      <c r="BC289" s="43" t="str">
        <f ca="1">IFERROR(__xludf.DUMMYFUNCTION("IFERROR(VLOOKUP(E303&amp;F303,IMPORTRANGE(""https://docs.google.com/spreadsheets/d/1Uw7-A9f9R21vMXxHZFNpYNeKFtG8_yji4HS352LGlSQ/edit?pli=1#gid=0"",""1_ACUM!A4:S""),17,FALSE))"),"")</f>
        <v/>
      </c>
      <c r="BD289" s="44" t="str">
        <f ca="1">IFERROR(__xludf.DUMMYFUNCTION("IFERROR(VLOOKUP(E303&amp;F303,IMPORTRANGE(""https://docs.google.com/spreadsheets/d/1Uw7-A9f9R21vMXxHZFNpYNeKFtG8_yji4HS352LGlSQ/edit?pli=1#gid=0"",""1_ACUM!A4:S""),18,FALSE))"),"")</f>
        <v/>
      </c>
      <c r="BE289" s="44" t="str">
        <f ca="1">IFERROR(__xludf.DUMMYFUNCTION("IFERROR(VLOOKUP(E303&amp;F303,IMPORTRANGE(""https://docs.google.com/spreadsheets/d/1Uw7-A9f9R21vMXxHZFNpYNeKFtG8_yji4HS352LGlSQ/edit?pli=1#gid=0"",""1_ACUM!A4:S""),19,FALSE))"),"")</f>
        <v/>
      </c>
      <c r="BF289" s="98" t="str">
        <f ca="1">IFERROR(__xludf.DUMMYFUNCTION("IFERROR(VLOOKUP(F303,IMPORTRANGE(""https://docs.google.com/spreadsheets/d/1Kvs4KS76FHFqLFIZfrDMff4kP08nblUkihrxltoGBjg/edit#gid=934712705"",""ESENCIAL!A6:BG""),5,FALSE))"),"")</f>
        <v/>
      </c>
      <c r="BG289" s="98" t="str">
        <f t="shared" si="17"/>
        <v/>
      </c>
      <c r="BH289" s="99" t="str">
        <f t="shared" si="18"/>
        <v/>
      </c>
      <c r="BI289" s="100" t="str">
        <f ca="1">IFERROR(__xludf.DUMMYFUNCTION("IFERROR(VLOOKUP(F303,IMPORTRANGE(""https://docs.google.com/spreadsheets/d/1Kvs4KS76FHFqLFIZfrDMff4kP08nblUkihrxltoGBjg/edit#gid=934712705"",""ESENCIAL!A6:BG""),2,FALSE))"),"")</f>
        <v/>
      </c>
      <c r="BJ289" s="19" t="str">
        <f t="shared" si="19"/>
        <v/>
      </c>
      <c r="BK289" s="100"/>
      <c r="BL289" s="100"/>
    </row>
    <row r="290" spans="1:64" ht="15">
      <c r="A290" s="101"/>
      <c r="B290" s="101"/>
      <c r="G290" s="5" t="str">
        <f ca="1">IFERROR(__xludf.DUMMYFUNCTION("IFERROR(VLOOKUP(F304,IMPORTRANGE(""https://docs.google.com/spreadsheets/d/1Kvs4KS76FHFqLFIZfrDMff4kP08nblUkihrxltoGBjg/edit#gid=934712705"",""ESENCIAL!A6:BG""),3,FALSE))"),"")</f>
        <v/>
      </c>
      <c r="H290" s="5" t="str">
        <f ca="1">IFERROR(__xludf.DUMMYFUNCTION("IFERROR(VLOOKUP(F304,IMPORTRANGE(""https://docs.google.com/spreadsheets/d/1Kvs4KS76FHFqLFIZfrDMff4kP08nblUkihrxltoGBjg/edit#gid=934712705"",""ESENCIAL!A6:BG""),8,FALSE))"),"")</f>
        <v/>
      </c>
      <c r="L290" s="287"/>
      <c r="U290" s="40"/>
      <c r="AU290" s="41" t="str">
        <f t="shared" si="16"/>
        <v/>
      </c>
      <c r="AV290" s="5" t="str">
        <f ca="1">IFERROR(__xludf.DUMMYFUNCTION("IFERROR(VLOOKUP(E304&amp;F304,IMPORTRANGE(""https://docs.google.com/spreadsheets/d/1Uw7-A9f9R21vMXxHZFNpYNeKFtG8_yji4HS352LGlSQ/edit?pli=1#gid=0"",""1_ACUM!A4:S""),11,FALSE))"),"")</f>
        <v/>
      </c>
      <c r="AW290" s="42" t="str">
        <f ca="1">IFERROR(__xludf.DUMMYFUNCTION("IFERROR(VLOOKUP(F304,IMPORTRANGE(""https://docs.google.com/spreadsheets/d/1Kvs4KS76FHFqLFIZfrDMff4kP08nblUkihrxltoGBjg/edit#gid=934712705"",""ESENCIAL!A6:BG""),15,FALSE))"),"")</f>
        <v/>
      </c>
      <c r="AX290" s="21" t="str">
        <f ca="1">IFERROR(__xludf.DUMMYFUNCTION("IFERROR(VLOOKUP(E304&amp;F304,IMPORTRANGE(""https://docs.google.com/spreadsheets/d/1Uw7-A9f9R21vMXxHZFNpYNeKFtG8_yji4HS352LGlSQ/edit?pli=1#gid=0"",""1_ACUM!A4:S""),12,FALSE))"),"")</f>
        <v/>
      </c>
      <c r="AY290" s="43" t="str">
        <f ca="1">IFERROR(__xludf.DUMMYFUNCTION("IFERROR(VLOOKUP(E304&amp;F304,IMPORTRANGE(""https://docs.google.com/spreadsheets/d/1Uw7-A9f9R21vMXxHZFNpYNeKFtG8_yji4HS352LGlSQ/edit?pli=1#gid=0"",""1_ACUM!A4:S""),13,FALSE))"),"")</f>
        <v/>
      </c>
      <c r="AZ290" s="43" t="str">
        <f ca="1">IFERROR(__xludf.DUMMYFUNCTION("IFERROR(VLOOKUP(E304&amp;F304,IMPORTRANGE(""https://docs.google.com/spreadsheets/d/1Uw7-A9f9R21vMXxHZFNpYNeKFtG8_yji4HS352LGlSQ/edit?pli=1#gid=0"",""1_ACUM!A4:S""),14,FALSE))"),"")</f>
        <v/>
      </c>
      <c r="BA290" s="43" t="str">
        <f ca="1">IFERROR(__xludf.DUMMYFUNCTION("IFERROR(VLOOKUP(E304&amp;F304,IMPORTRANGE(""https://docs.google.com/spreadsheets/d/1Uw7-A9f9R21vMXxHZFNpYNeKFtG8_yji4HS352LGlSQ/edit?pli=1#gid=0"",""1_ACUM!A4:S""),15,FALSE))"),"")</f>
        <v/>
      </c>
      <c r="BB290" s="43" t="str">
        <f ca="1">IFERROR(__xludf.DUMMYFUNCTION("IFERROR(VLOOKUP(E304&amp;F304,IMPORTRANGE(""https://docs.google.com/spreadsheets/d/1Uw7-A9f9R21vMXxHZFNpYNeKFtG8_yji4HS352LGlSQ/edit?pli=1#gid=0"",""1_ACUM!A4:S""),16,FALSE))"),"")</f>
        <v/>
      </c>
      <c r="BC290" s="43" t="str">
        <f ca="1">IFERROR(__xludf.DUMMYFUNCTION("IFERROR(VLOOKUP(E304&amp;F304,IMPORTRANGE(""https://docs.google.com/spreadsheets/d/1Uw7-A9f9R21vMXxHZFNpYNeKFtG8_yji4HS352LGlSQ/edit?pli=1#gid=0"",""1_ACUM!A4:S""),17,FALSE))"),"")</f>
        <v/>
      </c>
      <c r="BD290" s="44" t="str">
        <f ca="1">IFERROR(__xludf.DUMMYFUNCTION("IFERROR(VLOOKUP(E304&amp;F304,IMPORTRANGE(""https://docs.google.com/spreadsheets/d/1Uw7-A9f9R21vMXxHZFNpYNeKFtG8_yji4HS352LGlSQ/edit?pli=1#gid=0"",""1_ACUM!A4:S""),18,FALSE))"),"")</f>
        <v/>
      </c>
      <c r="BE290" s="44" t="str">
        <f ca="1">IFERROR(__xludf.DUMMYFUNCTION("IFERROR(VLOOKUP(E304&amp;F304,IMPORTRANGE(""https://docs.google.com/spreadsheets/d/1Uw7-A9f9R21vMXxHZFNpYNeKFtG8_yji4HS352LGlSQ/edit?pli=1#gid=0"",""1_ACUM!A4:S""),19,FALSE))"),"")</f>
        <v/>
      </c>
      <c r="BF290" s="98" t="str">
        <f ca="1">IFERROR(__xludf.DUMMYFUNCTION("IFERROR(VLOOKUP(F304,IMPORTRANGE(""https://docs.google.com/spreadsheets/d/1Kvs4KS76FHFqLFIZfrDMff4kP08nblUkihrxltoGBjg/edit#gid=934712705"",""ESENCIAL!A6:BG""),5,FALSE))"),"")</f>
        <v/>
      </c>
      <c r="BG290" s="98" t="str">
        <f t="shared" si="17"/>
        <v/>
      </c>
      <c r="BH290" s="99" t="str">
        <f t="shared" si="18"/>
        <v/>
      </c>
      <c r="BI290" s="100" t="str">
        <f ca="1">IFERROR(__xludf.DUMMYFUNCTION("IFERROR(VLOOKUP(F304,IMPORTRANGE(""https://docs.google.com/spreadsheets/d/1Kvs4KS76FHFqLFIZfrDMff4kP08nblUkihrxltoGBjg/edit#gid=934712705"",""ESENCIAL!A6:BG""),2,FALSE))"),"")</f>
        <v/>
      </c>
      <c r="BJ290" s="19" t="str">
        <f t="shared" si="19"/>
        <v/>
      </c>
      <c r="BK290" s="100"/>
      <c r="BL290" s="100"/>
    </row>
    <row r="291" spans="1:64" ht="15">
      <c r="A291" s="101"/>
      <c r="B291" s="101"/>
      <c r="G291" s="5" t="str">
        <f ca="1">IFERROR(__xludf.DUMMYFUNCTION("IFERROR(VLOOKUP(F305,IMPORTRANGE(""https://docs.google.com/spreadsheets/d/1Kvs4KS76FHFqLFIZfrDMff4kP08nblUkihrxltoGBjg/edit#gid=934712705"",""ESENCIAL!A6:BG""),3,FALSE))"),"")</f>
        <v/>
      </c>
      <c r="H291" s="5" t="str">
        <f ca="1">IFERROR(__xludf.DUMMYFUNCTION("IFERROR(VLOOKUP(F305,IMPORTRANGE(""https://docs.google.com/spreadsheets/d/1Kvs4KS76FHFqLFIZfrDMff4kP08nblUkihrxltoGBjg/edit#gid=934712705"",""ESENCIAL!A6:BG""),8,FALSE))"),"")</f>
        <v/>
      </c>
      <c r="L291" s="287"/>
      <c r="U291" s="40"/>
      <c r="AU291" s="41" t="str">
        <f t="shared" si="16"/>
        <v/>
      </c>
      <c r="AV291" s="5" t="str">
        <f ca="1">IFERROR(__xludf.DUMMYFUNCTION("IFERROR(VLOOKUP(E305&amp;F305,IMPORTRANGE(""https://docs.google.com/spreadsheets/d/1Uw7-A9f9R21vMXxHZFNpYNeKFtG8_yji4HS352LGlSQ/edit?pli=1#gid=0"",""1_ACUM!A4:S""),11,FALSE))"),"")</f>
        <v/>
      </c>
      <c r="AW291" s="42" t="str">
        <f ca="1">IFERROR(__xludf.DUMMYFUNCTION("IFERROR(VLOOKUP(F305,IMPORTRANGE(""https://docs.google.com/spreadsheets/d/1Kvs4KS76FHFqLFIZfrDMff4kP08nblUkihrxltoGBjg/edit#gid=934712705"",""ESENCIAL!A6:BG""),15,FALSE))"),"")</f>
        <v/>
      </c>
      <c r="AX291" s="21" t="str">
        <f ca="1">IFERROR(__xludf.DUMMYFUNCTION("IFERROR(VLOOKUP(E305&amp;F305,IMPORTRANGE(""https://docs.google.com/spreadsheets/d/1Uw7-A9f9R21vMXxHZFNpYNeKFtG8_yji4HS352LGlSQ/edit?pli=1#gid=0"",""1_ACUM!A4:S""),12,FALSE))"),"")</f>
        <v/>
      </c>
      <c r="AY291" s="43" t="str">
        <f ca="1">IFERROR(__xludf.DUMMYFUNCTION("IFERROR(VLOOKUP(E305&amp;F305,IMPORTRANGE(""https://docs.google.com/spreadsheets/d/1Uw7-A9f9R21vMXxHZFNpYNeKFtG8_yji4HS352LGlSQ/edit?pli=1#gid=0"",""1_ACUM!A4:S""),13,FALSE))"),"")</f>
        <v/>
      </c>
      <c r="AZ291" s="43" t="str">
        <f ca="1">IFERROR(__xludf.DUMMYFUNCTION("IFERROR(VLOOKUP(E305&amp;F305,IMPORTRANGE(""https://docs.google.com/spreadsheets/d/1Uw7-A9f9R21vMXxHZFNpYNeKFtG8_yji4HS352LGlSQ/edit?pli=1#gid=0"",""1_ACUM!A4:S""),14,FALSE))"),"")</f>
        <v/>
      </c>
      <c r="BA291" s="43" t="str">
        <f ca="1">IFERROR(__xludf.DUMMYFUNCTION("IFERROR(VLOOKUP(E305&amp;F305,IMPORTRANGE(""https://docs.google.com/spreadsheets/d/1Uw7-A9f9R21vMXxHZFNpYNeKFtG8_yji4HS352LGlSQ/edit?pli=1#gid=0"",""1_ACUM!A4:S""),15,FALSE))"),"")</f>
        <v/>
      </c>
      <c r="BB291" s="43" t="str">
        <f ca="1">IFERROR(__xludf.DUMMYFUNCTION("IFERROR(VLOOKUP(E305&amp;F305,IMPORTRANGE(""https://docs.google.com/spreadsheets/d/1Uw7-A9f9R21vMXxHZFNpYNeKFtG8_yji4HS352LGlSQ/edit?pli=1#gid=0"",""1_ACUM!A4:S""),16,FALSE))"),"")</f>
        <v/>
      </c>
      <c r="BC291" s="43" t="str">
        <f ca="1">IFERROR(__xludf.DUMMYFUNCTION("IFERROR(VLOOKUP(E305&amp;F305,IMPORTRANGE(""https://docs.google.com/spreadsheets/d/1Uw7-A9f9R21vMXxHZFNpYNeKFtG8_yji4HS352LGlSQ/edit?pli=1#gid=0"",""1_ACUM!A4:S""),17,FALSE))"),"")</f>
        <v/>
      </c>
      <c r="BD291" s="44" t="str">
        <f ca="1">IFERROR(__xludf.DUMMYFUNCTION("IFERROR(VLOOKUP(E305&amp;F305,IMPORTRANGE(""https://docs.google.com/spreadsheets/d/1Uw7-A9f9R21vMXxHZFNpYNeKFtG8_yji4HS352LGlSQ/edit?pli=1#gid=0"",""1_ACUM!A4:S""),18,FALSE))"),"")</f>
        <v/>
      </c>
      <c r="BE291" s="44" t="str">
        <f ca="1">IFERROR(__xludf.DUMMYFUNCTION("IFERROR(VLOOKUP(E305&amp;F305,IMPORTRANGE(""https://docs.google.com/spreadsheets/d/1Uw7-A9f9R21vMXxHZFNpYNeKFtG8_yji4HS352LGlSQ/edit?pli=1#gid=0"",""1_ACUM!A4:S""),19,FALSE))"),"")</f>
        <v/>
      </c>
      <c r="BF291" s="98" t="str">
        <f ca="1">IFERROR(__xludf.DUMMYFUNCTION("IFERROR(VLOOKUP(F305,IMPORTRANGE(""https://docs.google.com/spreadsheets/d/1Kvs4KS76FHFqLFIZfrDMff4kP08nblUkihrxltoGBjg/edit#gid=934712705"",""ESENCIAL!A6:BG""),5,FALSE))"),"")</f>
        <v/>
      </c>
      <c r="BG291" s="98" t="str">
        <f t="shared" si="17"/>
        <v/>
      </c>
      <c r="BH291" s="99" t="str">
        <f t="shared" si="18"/>
        <v/>
      </c>
      <c r="BI291" s="100" t="str">
        <f ca="1">IFERROR(__xludf.DUMMYFUNCTION("IFERROR(VLOOKUP(F305,IMPORTRANGE(""https://docs.google.com/spreadsheets/d/1Kvs4KS76FHFqLFIZfrDMff4kP08nblUkihrxltoGBjg/edit#gid=934712705"",""ESENCIAL!A6:BG""),2,FALSE))"),"")</f>
        <v/>
      </c>
      <c r="BJ291" s="19" t="str">
        <f t="shared" si="19"/>
        <v/>
      </c>
      <c r="BK291" s="100"/>
      <c r="BL291" s="100"/>
    </row>
    <row r="292" spans="1:64" ht="15">
      <c r="A292" s="101"/>
      <c r="B292" s="101"/>
      <c r="G292" s="5" t="str">
        <f ca="1">IFERROR(__xludf.DUMMYFUNCTION("IFERROR(VLOOKUP(F306,IMPORTRANGE(""https://docs.google.com/spreadsheets/d/1Kvs4KS76FHFqLFIZfrDMff4kP08nblUkihrxltoGBjg/edit#gid=934712705"",""ESENCIAL!A6:BG""),3,FALSE))"),"")</f>
        <v/>
      </c>
      <c r="H292" s="5" t="str">
        <f ca="1">IFERROR(__xludf.DUMMYFUNCTION("IFERROR(VLOOKUP(F306,IMPORTRANGE(""https://docs.google.com/spreadsheets/d/1Kvs4KS76FHFqLFIZfrDMff4kP08nblUkihrxltoGBjg/edit#gid=934712705"",""ESENCIAL!A6:BG""),8,FALSE))"),"")</f>
        <v/>
      </c>
      <c r="L292" s="287"/>
      <c r="U292" s="40"/>
      <c r="AU292" s="41" t="str">
        <f t="shared" si="16"/>
        <v/>
      </c>
      <c r="AV292" s="5" t="str">
        <f ca="1">IFERROR(__xludf.DUMMYFUNCTION("IFERROR(VLOOKUP(E306&amp;F306,IMPORTRANGE(""https://docs.google.com/spreadsheets/d/1Uw7-A9f9R21vMXxHZFNpYNeKFtG8_yji4HS352LGlSQ/edit?pli=1#gid=0"",""1_ACUM!A4:S""),11,FALSE))"),"")</f>
        <v/>
      </c>
      <c r="AW292" s="42" t="str">
        <f ca="1">IFERROR(__xludf.DUMMYFUNCTION("IFERROR(VLOOKUP(F306,IMPORTRANGE(""https://docs.google.com/spreadsheets/d/1Kvs4KS76FHFqLFIZfrDMff4kP08nblUkihrxltoGBjg/edit#gid=934712705"",""ESENCIAL!A6:BG""),15,FALSE))"),"")</f>
        <v/>
      </c>
      <c r="AX292" s="21" t="str">
        <f ca="1">IFERROR(__xludf.DUMMYFUNCTION("IFERROR(VLOOKUP(E306&amp;F306,IMPORTRANGE(""https://docs.google.com/spreadsheets/d/1Uw7-A9f9R21vMXxHZFNpYNeKFtG8_yji4HS352LGlSQ/edit?pli=1#gid=0"",""1_ACUM!A4:S""),12,FALSE))"),"")</f>
        <v/>
      </c>
      <c r="AY292" s="43" t="str">
        <f ca="1">IFERROR(__xludf.DUMMYFUNCTION("IFERROR(VLOOKUP(E306&amp;F306,IMPORTRANGE(""https://docs.google.com/spreadsheets/d/1Uw7-A9f9R21vMXxHZFNpYNeKFtG8_yji4HS352LGlSQ/edit?pli=1#gid=0"",""1_ACUM!A4:S""),13,FALSE))"),"")</f>
        <v/>
      </c>
      <c r="AZ292" s="43" t="str">
        <f ca="1">IFERROR(__xludf.DUMMYFUNCTION("IFERROR(VLOOKUP(E306&amp;F306,IMPORTRANGE(""https://docs.google.com/spreadsheets/d/1Uw7-A9f9R21vMXxHZFNpYNeKFtG8_yji4HS352LGlSQ/edit?pli=1#gid=0"",""1_ACUM!A4:S""),14,FALSE))"),"")</f>
        <v/>
      </c>
      <c r="BA292" s="43" t="str">
        <f ca="1">IFERROR(__xludf.DUMMYFUNCTION("IFERROR(VLOOKUP(E306&amp;F306,IMPORTRANGE(""https://docs.google.com/spreadsheets/d/1Uw7-A9f9R21vMXxHZFNpYNeKFtG8_yji4HS352LGlSQ/edit?pli=1#gid=0"",""1_ACUM!A4:S""),15,FALSE))"),"")</f>
        <v/>
      </c>
      <c r="BB292" s="43" t="str">
        <f ca="1">IFERROR(__xludf.DUMMYFUNCTION("IFERROR(VLOOKUP(E306&amp;F306,IMPORTRANGE(""https://docs.google.com/spreadsheets/d/1Uw7-A9f9R21vMXxHZFNpYNeKFtG8_yji4HS352LGlSQ/edit?pli=1#gid=0"",""1_ACUM!A4:S""),16,FALSE))"),"")</f>
        <v/>
      </c>
      <c r="BC292" s="43" t="str">
        <f ca="1">IFERROR(__xludf.DUMMYFUNCTION("IFERROR(VLOOKUP(E306&amp;F306,IMPORTRANGE(""https://docs.google.com/spreadsheets/d/1Uw7-A9f9R21vMXxHZFNpYNeKFtG8_yji4HS352LGlSQ/edit?pli=1#gid=0"",""1_ACUM!A4:S""),17,FALSE))"),"")</f>
        <v/>
      </c>
      <c r="BD292" s="44" t="str">
        <f ca="1">IFERROR(__xludf.DUMMYFUNCTION("IFERROR(VLOOKUP(E306&amp;F306,IMPORTRANGE(""https://docs.google.com/spreadsheets/d/1Uw7-A9f9R21vMXxHZFNpYNeKFtG8_yji4HS352LGlSQ/edit?pli=1#gid=0"",""1_ACUM!A4:S""),18,FALSE))"),"")</f>
        <v/>
      </c>
      <c r="BE292" s="44" t="str">
        <f ca="1">IFERROR(__xludf.DUMMYFUNCTION("IFERROR(VLOOKUP(E306&amp;F306,IMPORTRANGE(""https://docs.google.com/spreadsheets/d/1Uw7-A9f9R21vMXxHZFNpYNeKFtG8_yji4HS352LGlSQ/edit?pli=1#gid=0"",""1_ACUM!A4:S""),19,FALSE))"),"")</f>
        <v/>
      </c>
      <c r="BF292" s="98" t="str">
        <f ca="1">IFERROR(__xludf.DUMMYFUNCTION("IFERROR(VLOOKUP(F306,IMPORTRANGE(""https://docs.google.com/spreadsheets/d/1Kvs4KS76FHFqLFIZfrDMff4kP08nblUkihrxltoGBjg/edit#gid=934712705"",""ESENCIAL!A6:BG""),5,FALSE))"),"")</f>
        <v/>
      </c>
      <c r="BG292" s="98" t="str">
        <f t="shared" si="17"/>
        <v/>
      </c>
      <c r="BH292" s="99" t="str">
        <f t="shared" si="18"/>
        <v/>
      </c>
      <c r="BI292" s="100" t="str">
        <f ca="1">IFERROR(__xludf.DUMMYFUNCTION("IFERROR(VLOOKUP(F306,IMPORTRANGE(""https://docs.google.com/spreadsheets/d/1Kvs4KS76FHFqLFIZfrDMff4kP08nblUkihrxltoGBjg/edit#gid=934712705"",""ESENCIAL!A6:BG""),2,FALSE))"),"")</f>
        <v/>
      </c>
      <c r="BJ292" s="19" t="str">
        <f t="shared" si="19"/>
        <v/>
      </c>
      <c r="BK292" s="100"/>
      <c r="BL292" s="100"/>
    </row>
    <row r="293" spans="1:64" ht="15">
      <c r="A293" s="101"/>
      <c r="B293" s="101"/>
      <c r="G293" s="5" t="str">
        <f ca="1">IFERROR(__xludf.DUMMYFUNCTION("IFERROR(VLOOKUP(F307,IMPORTRANGE(""https://docs.google.com/spreadsheets/d/1Kvs4KS76FHFqLFIZfrDMff4kP08nblUkihrxltoGBjg/edit#gid=934712705"",""ESENCIAL!A6:BG""),3,FALSE))"),"")</f>
        <v/>
      </c>
      <c r="H293" s="5" t="str">
        <f ca="1">IFERROR(__xludf.DUMMYFUNCTION("IFERROR(VLOOKUP(F307,IMPORTRANGE(""https://docs.google.com/spreadsheets/d/1Kvs4KS76FHFqLFIZfrDMff4kP08nblUkihrxltoGBjg/edit#gid=934712705"",""ESENCIAL!A6:BG""),8,FALSE))"),"")</f>
        <v/>
      </c>
      <c r="L293" s="287"/>
      <c r="U293" s="40"/>
      <c r="AU293" s="41" t="str">
        <f t="shared" si="16"/>
        <v/>
      </c>
      <c r="AV293" s="5" t="str">
        <f ca="1">IFERROR(__xludf.DUMMYFUNCTION("IFERROR(VLOOKUP(E307&amp;F307,IMPORTRANGE(""https://docs.google.com/spreadsheets/d/1Uw7-A9f9R21vMXxHZFNpYNeKFtG8_yji4HS352LGlSQ/edit?pli=1#gid=0"",""1_ACUM!A4:S""),11,FALSE))"),"")</f>
        <v/>
      </c>
      <c r="AW293" s="42" t="str">
        <f ca="1">IFERROR(__xludf.DUMMYFUNCTION("IFERROR(VLOOKUP(F307,IMPORTRANGE(""https://docs.google.com/spreadsheets/d/1Kvs4KS76FHFqLFIZfrDMff4kP08nblUkihrxltoGBjg/edit#gid=934712705"",""ESENCIAL!A6:BG""),15,FALSE))"),"")</f>
        <v/>
      </c>
      <c r="AX293" s="21" t="str">
        <f ca="1">IFERROR(__xludf.DUMMYFUNCTION("IFERROR(VLOOKUP(E307&amp;F307,IMPORTRANGE(""https://docs.google.com/spreadsheets/d/1Uw7-A9f9R21vMXxHZFNpYNeKFtG8_yji4HS352LGlSQ/edit?pli=1#gid=0"",""1_ACUM!A4:S""),12,FALSE))"),"")</f>
        <v/>
      </c>
      <c r="AY293" s="43" t="str">
        <f ca="1">IFERROR(__xludf.DUMMYFUNCTION("IFERROR(VLOOKUP(E307&amp;F307,IMPORTRANGE(""https://docs.google.com/spreadsheets/d/1Uw7-A9f9R21vMXxHZFNpYNeKFtG8_yji4HS352LGlSQ/edit?pli=1#gid=0"",""1_ACUM!A4:S""),13,FALSE))"),"")</f>
        <v/>
      </c>
      <c r="AZ293" s="43" t="str">
        <f ca="1">IFERROR(__xludf.DUMMYFUNCTION("IFERROR(VLOOKUP(E307&amp;F307,IMPORTRANGE(""https://docs.google.com/spreadsheets/d/1Uw7-A9f9R21vMXxHZFNpYNeKFtG8_yji4HS352LGlSQ/edit?pli=1#gid=0"",""1_ACUM!A4:S""),14,FALSE))"),"")</f>
        <v/>
      </c>
      <c r="BA293" s="43" t="str">
        <f ca="1">IFERROR(__xludf.DUMMYFUNCTION("IFERROR(VLOOKUP(E307&amp;F307,IMPORTRANGE(""https://docs.google.com/spreadsheets/d/1Uw7-A9f9R21vMXxHZFNpYNeKFtG8_yji4HS352LGlSQ/edit?pli=1#gid=0"",""1_ACUM!A4:S""),15,FALSE))"),"")</f>
        <v/>
      </c>
      <c r="BB293" s="43" t="str">
        <f ca="1">IFERROR(__xludf.DUMMYFUNCTION("IFERROR(VLOOKUP(E307&amp;F307,IMPORTRANGE(""https://docs.google.com/spreadsheets/d/1Uw7-A9f9R21vMXxHZFNpYNeKFtG8_yji4HS352LGlSQ/edit?pli=1#gid=0"",""1_ACUM!A4:S""),16,FALSE))"),"")</f>
        <v/>
      </c>
      <c r="BC293" s="43" t="str">
        <f ca="1">IFERROR(__xludf.DUMMYFUNCTION("IFERROR(VLOOKUP(E307&amp;F307,IMPORTRANGE(""https://docs.google.com/spreadsheets/d/1Uw7-A9f9R21vMXxHZFNpYNeKFtG8_yji4HS352LGlSQ/edit?pli=1#gid=0"",""1_ACUM!A4:S""),17,FALSE))"),"")</f>
        <v/>
      </c>
      <c r="BD293" s="44" t="str">
        <f ca="1">IFERROR(__xludf.DUMMYFUNCTION("IFERROR(VLOOKUP(E307&amp;F307,IMPORTRANGE(""https://docs.google.com/spreadsheets/d/1Uw7-A9f9R21vMXxHZFNpYNeKFtG8_yji4HS352LGlSQ/edit?pli=1#gid=0"",""1_ACUM!A4:S""),18,FALSE))"),"")</f>
        <v/>
      </c>
      <c r="BE293" s="44" t="str">
        <f ca="1">IFERROR(__xludf.DUMMYFUNCTION("IFERROR(VLOOKUP(E307&amp;F307,IMPORTRANGE(""https://docs.google.com/spreadsheets/d/1Uw7-A9f9R21vMXxHZFNpYNeKFtG8_yji4HS352LGlSQ/edit?pli=1#gid=0"",""1_ACUM!A4:S""),19,FALSE))"),"")</f>
        <v/>
      </c>
      <c r="BF293" s="98" t="str">
        <f ca="1">IFERROR(__xludf.DUMMYFUNCTION("IFERROR(VLOOKUP(F307,IMPORTRANGE(""https://docs.google.com/spreadsheets/d/1Kvs4KS76FHFqLFIZfrDMff4kP08nblUkihrxltoGBjg/edit#gid=934712705"",""ESENCIAL!A6:BG""),5,FALSE))"),"")</f>
        <v/>
      </c>
      <c r="BG293" s="98" t="str">
        <f t="shared" si="17"/>
        <v/>
      </c>
      <c r="BH293" s="99" t="str">
        <f t="shared" si="18"/>
        <v/>
      </c>
      <c r="BI293" s="100" t="str">
        <f ca="1">IFERROR(__xludf.DUMMYFUNCTION("IFERROR(VLOOKUP(F307,IMPORTRANGE(""https://docs.google.com/spreadsheets/d/1Kvs4KS76FHFqLFIZfrDMff4kP08nblUkihrxltoGBjg/edit#gid=934712705"",""ESENCIAL!A6:BG""),2,FALSE))"),"")</f>
        <v/>
      </c>
      <c r="BJ293" s="19" t="str">
        <f t="shared" si="19"/>
        <v/>
      </c>
      <c r="BK293" s="100"/>
      <c r="BL293" s="100"/>
    </row>
    <row r="294" spans="1:64" ht="15">
      <c r="A294" s="101"/>
      <c r="B294" s="101"/>
      <c r="G294" s="5" t="str">
        <f ca="1">IFERROR(__xludf.DUMMYFUNCTION("IFERROR(VLOOKUP(F308,IMPORTRANGE(""https://docs.google.com/spreadsheets/d/1Kvs4KS76FHFqLFIZfrDMff4kP08nblUkihrxltoGBjg/edit#gid=934712705"",""ESENCIAL!A6:BG""),3,FALSE))"),"")</f>
        <v/>
      </c>
      <c r="H294" s="5" t="str">
        <f ca="1">IFERROR(__xludf.DUMMYFUNCTION("IFERROR(VLOOKUP(F308,IMPORTRANGE(""https://docs.google.com/spreadsheets/d/1Kvs4KS76FHFqLFIZfrDMff4kP08nblUkihrxltoGBjg/edit#gid=934712705"",""ESENCIAL!A6:BG""),8,FALSE))"),"")</f>
        <v/>
      </c>
      <c r="L294" s="287"/>
      <c r="U294" s="40"/>
      <c r="AU294" s="41" t="str">
        <f t="shared" si="16"/>
        <v/>
      </c>
      <c r="AV294" s="5" t="str">
        <f ca="1">IFERROR(__xludf.DUMMYFUNCTION("IFERROR(VLOOKUP(E308&amp;F308,IMPORTRANGE(""https://docs.google.com/spreadsheets/d/1Uw7-A9f9R21vMXxHZFNpYNeKFtG8_yji4HS352LGlSQ/edit?pli=1#gid=0"",""1_ACUM!A4:S""),11,FALSE))"),"")</f>
        <v/>
      </c>
      <c r="AW294" s="42" t="str">
        <f ca="1">IFERROR(__xludf.DUMMYFUNCTION("IFERROR(VLOOKUP(F308,IMPORTRANGE(""https://docs.google.com/spreadsheets/d/1Kvs4KS76FHFqLFIZfrDMff4kP08nblUkihrxltoGBjg/edit#gid=934712705"",""ESENCIAL!A6:BG""),15,FALSE))"),"")</f>
        <v/>
      </c>
      <c r="AX294" s="21" t="str">
        <f ca="1">IFERROR(__xludf.DUMMYFUNCTION("IFERROR(VLOOKUP(E308&amp;F308,IMPORTRANGE(""https://docs.google.com/spreadsheets/d/1Uw7-A9f9R21vMXxHZFNpYNeKFtG8_yji4HS352LGlSQ/edit?pli=1#gid=0"",""1_ACUM!A4:S""),12,FALSE))"),"")</f>
        <v/>
      </c>
      <c r="AY294" s="43" t="str">
        <f ca="1">IFERROR(__xludf.DUMMYFUNCTION("IFERROR(VLOOKUP(E308&amp;F308,IMPORTRANGE(""https://docs.google.com/spreadsheets/d/1Uw7-A9f9R21vMXxHZFNpYNeKFtG8_yji4HS352LGlSQ/edit?pli=1#gid=0"",""1_ACUM!A4:S""),13,FALSE))"),"")</f>
        <v/>
      </c>
      <c r="AZ294" s="43" t="str">
        <f ca="1">IFERROR(__xludf.DUMMYFUNCTION("IFERROR(VLOOKUP(E308&amp;F308,IMPORTRANGE(""https://docs.google.com/spreadsheets/d/1Uw7-A9f9R21vMXxHZFNpYNeKFtG8_yji4HS352LGlSQ/edit?pli=1#gid=0"",""1_ACUM!A4:S""),14,FALSE))"),"")</f>
        <v/>
      </c>
      <c r="BA294" s="43" t="str">
        <f ca="1">IFERROR(__xludf.DUMMYFUNCTION("IFERROR(VLOOKUP(E308&amp;F308,IMPORTRANGE(""https://docs.google.com/spreadsheets/d/1Uw7-A9f9R21vMXxHZFNpYNeKFtG8_yji4HS352LGlSQ/edit?pli=1#gid=0"",""1_ACUM!A4:S""),15,FALSE))"),"")</f>
        <v/>
      </c>
      <c r="BB294" s="43" t="str">
        <f ca="1">IFERROR(__xludf.DUMMYFUNCTION("IFERROR(VLOOKUP(E308&amp;F308,IMPORTRANGE(""https://docs.google.com/spreadsheets/d/1Uw7-A9f9R21vMXxHZFNpYNeKFtG8_yji4HS352LGlSQ/edit?pli=1#gid=0"",""1_ACUM!A4:S""),16,FALSE))"),"")</f>
        <v/>
      </c>
      <c r="BC294" s="43" t="str">
        <f ca="1">IFERROR(__xludf.DUMMYFUNCTION("IFERROR(VLOOKUP(E308&amp;F308,IMPORTRANGE(""https://docs.google.com/spreadsheets/d/1Uw7-A9f9R21vMXxHZFNpYNeKFtG8_yji4HS352LGlSQ/edit?pli=1#gid=0"",""1_ACUM!A4:S""),17,FALSE))"),"")</f>
        <v/>
      </c>
      <c r="BD294" s="44" t="str">
        <f ca="1">IFERROR(__xludf.DUMMYFUNCTION("IFERROR(VLOOKUP(E308&amp;F308,IMPORTRANGE(""https://docs.google.com/spreadsheets/d/1Uw7-A9f9R21vMXxHZFNpYNeKFtG8_yji4HS352LGlSQ/edit?pli=1#gid=0"",""1_ACUM!A4:S""),18,FALSE))"),"")</f>
        <v/>
      </c>
      <c r="BE294" s="44" t="str">
        <f ca="1">IFERROR(__xludf.DUMMYFUNCTION("IFERROR(VLOOKUP(E308&amp;F308,IMPORTRANGE(""https://docs.google.com/spreadsheets/d/1Uw7-A9f9R21vMXxHZFNpYNeKFtG8_yji4HS352LGlSQ/edit?pli=1#gid=0"",""1_ACUM!A4:S""),19,FALSE))"),"")</f>
        <v/>
      </c>
      <c r="BF294" s="98" t="str">
        <f ca="1">IFERROR(__xludf.DUMMYFUNCTION("IFERROR(VLOOKUP(F308,IMPORTRANGE(""https://docs.google.com/spreadsheets/d/1Kvs4KS76FHFqLFIZfrDMff4kP08nblUkihrxltoGBjg/edit#gid=934712705"",""ESENCIAL!A6:BG""),5,FALSE))"),"")</f>
        <v/>
      </c>
      <c r="BG294" s="98" t="str">
        <f t="shared" si="17"/>
        <v/>
      </c>
      <c r="BH294" s="99" t="str">
        <f t="shared" si="18"/>
        <v/>
      </c>
      <c r="BI294" s="100" t="str">
        <f ca="1">IFERROR(__xludf.DUMMYFUNCTION("IFERROR(VLOOKUP(F308,IMPORTRANGE(""https://docs.google.com/spreadsheets/d/1Kvs4KS76FHFqLFIZfrDMff4kP08nblUkihrxltoGBjg/edit#gid=934712705"",""ESENCIAL!A6:BG""),2,FALSE))"),"")</f>
        <v/>
      </c>
      <c r="BJ294" s="19" t="str">
        <f t="shared" si="19"/>
        <v/>
      </c>
      <c r="BK294" s="100"/>
      <c r="BL294" s="100"/>
    </row>
    <row r="295" spans="1:64" ht="15">
      <c r="A295" s="101"/>
      <c r="B295" s="101"/>
      <c r="G295" s="5" t="str">
        <f ca="1">IFERROR(__xludf.DUMMYFUNCTION("IFERROR(VLOOKUP(F309,IMPORTRANGE(""https://docs.google.com/spreadsheets/d/1Kvs4KS76FHFqLFIZfrDMff4kP08nblUkihrxltoGBjg/edit#gid=934712705"",""ESENCIAL!A6:BG""),3,FALSE))"),"")</f>
        <v/>
      </c>
      <c r="H295" s="5" t="str">
        <f ca="1">IFERROR(__xludf.DUMMYFUNCTION("IFERROR(VLOOKUP(F309,IMPORTRANGE(""https://docs.google.com/spreadsheets/d/1Kvs4KS76FHFqLFIZfrDMff4kP08nblUkihrxltoGBjg/edit#gid=934712705"",""ESENCIAL!A6:BG""),8,FALSE))"),"")</f>
        <v/>
      </c>
      <c r="L295" s="287"/>
      <c r="U295" s="40"/>
      <c r="AU295" s="41" t="str">
        <f t="shared" si="16"/>
        <v/>
      </c>
      <c r="AV295" s="5" t="str">
        <f ca="1">IFERROR(__xludf.DUMMYFUNCTION("IFERROR(VLOOKUP(E309&amp;F309,IMPORTRANGE(""https://docs.google.com/spreadsheets/d/1Uw7-A9f9R21vMXxHZFNpYNeKFtG8_yji4HS352LGlSQ/edit?pli=1#gid=0"",""1_ACUM!A4:S""),11,FALSE))"),"")</f>
        <v/>
      </c>
      <c r="AW295" s="42" t="str">
        <f ca="1">IFERROR(__xludf.DUMMYFUNCTION("IFERROR(VLOOKUP(F309,IMPORTRANGE(""https://docs.google.com/spreadsheets/d/1Kvs4KS76FHFqLFIZfrDMff4kP08nblUkihrxltoGBjg/edit#gid=934712705"",""ESENCIAL!A6:BG""),15,FALSE))"),"")</f>
        <v/>
      </c>
      <c r="AX295" s="21" t="str">
        <f ca="1">IFERROR(__xludf.DUMMYFUNCTION("IFERROR(VLOOKUP(E309&amp;F309,IMPORTRANGE(""https://docs.google.com/spreadsheets/d/1Uw7-A9f9R21vMXxHZFNpYNeKFtG8_yji4HS352LGlSQ/edit?pli=1#gid=0"",""1_ACUM!A4:S""),12,FALSE))"),"")</f>
        <v/>
      </c>
      <c r="AY295" s="43" t="str">
        <f ca="1">IFERROR(__xludf.DUMMYFUNCTION("IFERROR(VLOOKUP(E309&amp;F309,IMPORTRANGE(""https://docs.google.com/spreadsheets/d/1Uw7-A9f9R21vMXxHZFNpYNeKFtG8_yji4HS352LGlSQ/edit?pli=1#gid=0"",""1_ACUM!A4:S""),13,FALSE))"),"")</f>
        <v/>
      </c>
      <c r="AZ295" s="43" t="str">
        <f ca="1">IFERROR(__xludf.DUMMYFUNCTION("IFERROR(VLOOKUP(E309&amp;F309,IMPORTRANGE(""https://docs.google.com/spreadsheets/d/1Uw7-A9f9R21vMXxHZFNpYNeKFtG8_yji4HS352LGlSQ/edit?pli=1#gid=0"",""1_ACUM!A4:S""),14,FALSE))"),"")</f>
        <v/>
      </c>
      <c r="BA295" s="43" t="str">
        <f ca="1">IFERROR(__xludf.DUMMYFUNCTION("IFERROR(VLOOKUP(E309&amp;F309,IMPORTRANGE(""https://docs.google.com/spreadsheets/d/1Uw7-A9f9R21vMXxHZFNpYNeKFtG8_yji4HS352LGlSQ/edit?pli=1#gid=0"",""1_ACUM!A4:S""),15,FALSE))"),"")</f>
        <v/>
      </c>
      <c r="BB295" s="43" t="str">
        <f ca="1">IFERROR(__xludf.DUMMYFUNCTION("IFERROR(VLOOKUP(E309&amp;F309,IMPORTRANGE(""https://docs.google.com/spreadsheets/d/1Uw7-A9f9R21vMXxHZFNpYNeKFtG8_yji4HS352LGlSQ/edit?pli=1#gid=0"",""1_ACUM!A4:S""),16,FALSE))"),"")</f>
        <v/>
      </c>
      <c r="BC295" s="43" t="str">
        <f ca="1">IFERROR(__xludf.DUMMYFUNCTION("IFERROR(VLOOKUP(E309&amp;F309,IMPORTRANGE(""https://docs.google.com/spreadsheets/d/1Uw7-A9f9R21vMXxHZFNpYNeKFtG8_yji4HS352LGlSQ/edit?pli=1#gid=0"",""1_ACUM!A4:S""),17,FALSE))"),"")</f>
        <v/>
      </c>
      <c r="BD295" s="44" t="str">
        <f ca="1">IFERROR(__xludf.DUMMYFUNCTION("IFERROR(VLOOKUP(E309&amp;F309,IMPORTRANGE(""https://docs.google.com/spreadsheets/d/1Uw7-A9f9R21vMXxHZFNpYNeKFtG8_yji4HS352LGlSQ/edit?pli=1#gid=0"",""1_ACUM!A4:S""),18,FALSE))"),"")</f>
        <v/>
      </c>
      <c r="BE295" s="44" t="str">
        <f ca="1">IFERROR(__xludf.DUMMYFUNCTION("IFERROR(VLOOKUP(E309&amp;F309,IMPORTRANGE(""https://docs.google.com/spreadsheets/d/1Uw7-A9f9R21vMXxHZFNpYNeKFtG8_yji4HS352LGlSQ/edit?pli=1#gid=0"",""1_ACUM!A4:S""),19,FALSE))"),"")</f>
        <v/>
      </c>
      <c r="BF295" s="98" t="str">
        <f ca="1">IFERROR(__xludf.DUMMYFUNCTION("IFERROR(VLOOKUP(F309,IMPORTRANGE(""https://docs.google.com/spreadsheets/d/1Kvs4KS76FHFqLFIZfrDMff4kP08nblUkihrxltoGBjg/edit#gid=934712705"",""ESENCIAL!A6:BG""),5,FALSE))"),"")</f>
        <v/>
      </c>
      <c r="BG295" s="98" t="str">
        <f t="shared" si="17"/>
        <v/>
      </c>
      <c r="BH295" s="99" t="str">
        <f t="shared" si="18"/>
        <v/>
      </c>
      <c r="BI295" s="100" t="str">
        <f ca="1">IFERROR(__xludf.DUMMYFUNCTION("IFERROR(VLOOKUP(F309,IMPORTRANGE(""https://docs.google.com/spreadsheets/d/1Kvs4KS76FHFqLFIZfrDMff4kP08nblUkihrxltoGBjg/edit#gid=934712705"",""ESENCIAL!A6:BG""),2,FALSE))"),"")</f>
        <v/>
      </c>
      <c r="BJ295" s="19" t="str">
        <f t="shared" si="19"/>
        <v/>
      </c>
      <c r="BK295" s="100"/>
      <c r="BL295" s="100"/>
    </row>
    <row r="296" spans="1:64" ht="15">
      <c r="A296" s="101"/>
      <c r="B296" s="101"/>
      <c r="G296" s="5" t="str">
        <f ca="1">IFERROR(__xludf.DUMMYFUNCTION("IFERROR(VLOOKUP(F310,IMPORTRANGE(""https://docs.google.com/spreadsheets/d/1Kvs4KS76FHFqLFIZfrDMff4kP08nblUkihrxltoGBjg/edit#gid=934712705"",""ESENCIAL!A6:BG""),3,FALSE))"),"")</f>
        <v/>
      </c>
      <c r="H296" s="5" t="str">
        <f ca="1">IFERROR(__xludf.DUMMYFUNCTION("IFERROR(VLOOKUP(F310,IMPORTRANGE(""https://docs.google.com/spreadsheets/d/1Kvs4KS76FHFqLFIZfrDMff4kP08nblUkihrxltoGBjg/edit#gid=934712705"",""ESENCIAL!A6:BG""),8,FALSE))"),"")</f>
        <v/>
      </c>
      <c r="L296" s="287"/>
      <c r="U296" s="40"/>
      <c r="AU296" s="41" t="str">
        <f t="shared" si="16"/>
        <v/>
      </c>
      <c r="AV296" s="5" t="str">
        <f ca="1">IFERROR(__xludf.DUMMYFUNCTION("IFERROR(VLOOKUP(E310&amp;F310,IMPORTRANGE(""https://docs.google.com/spreadsheets/d/1Uw7-A9f9R21vMXxHZFNpYNeKFtG8_yji4HS352LGlSQ/edit?pli=1#gid=0"",""1_ACUM!A4:S""),11,FALSE))"),"")</f>
        <v/>
      </c>
      <c r="AW296" s="42" t="str">
        <f ca="1">IFERROR(__xludf.DUMMYFUNCTION("IFERROR(VLOOKUP(F310,IMPORTRANGE(""https://docs.google.com/spreadsheets/d/1Kvs4KS76FHFqLFIZfrDMff4kP08nblUkihrxltoGBjg/edit#gid=934712705"",""ESENCIAL!A6:BG""),15,FALSE))"),"")</f>
        <v/>
      </c>
      <c r="AX296" s="21" t="str">
        <f ca="1">IFERROR(__xludf.DUMMYFUNCTION("IFERROR(VLOOKUP(E310&amp;F310,IMPORTRANGE(""https://docs.google.com/spreadsheets/d/1Uw7-A9f9R21vMXxHZFNpYNeKFtG8_yji4HS352LGlSQ/edit?pli=1#gid=0"",""1_ACUM!A4:S""),12,FALSE))"),"")</f>
        <v/>
      </c>
      <c r="AY296" s="43" t="str">
        <f ca="1">IFERROR(__xludf.DUMMYFUNCTION("IFERROR(VLOOKUP(E310&amp;F310,IMPORTRANGE(""https://docs.google.com/spreadsheets/d/1Uw7-A9f9R21vMXxHZFNpYNeKFtG8_yji4HS352LGlSQ/edit?pli=1#gid=0"",""1_ACUM!A4:S""),13,FALSE))"),"")</f>
        <v/>
      </c>
      <c r="AZ296" s="43" t="str">
        <f ca="1">IFERROR(__xludf.DUMMYFUNCTION("IFERROR(VLOOKUP(E310&amp;F310,IMPORTRANGE(""https://docs.google.com/spreadsheets/d/1Uw7-A9f9R21vMXxHZFNpYNeKFtG8_yji4HS352LGlSQ/edit?pli=1#gid=0"",""1_ACUM!A4:S""),14,FALSE))"),"")</f>
        <v/>
      </c>
      <c r="BA296" s="43" t="str">
        <f ca="1">IFERROR(__xludf.DUMMYFUNCTION("IFERROR(VLOOKUP(E310&amp;F310,IMPORTRANGE(""https://docs.google.com/spreadsheets/d/1Uw7-A9f9R21vMXxHZFNpYNeKFtG8_yji4HS352LGlSQ/edit?pli=1#gid=0"",""1_ACUM!A4:S""),15,FALSE))"),"")</f>
        <v/>
      </c>
      <c r="BB296" s="43" t="str">
        <f ca="1">IFERROR(__xludf.DUMMYFUNCTION("IFERROR(VLOOKUP(E310&amp;F310,IMPORTRANGE(""https://docs.google.com/spreadsheets/d/1Uw7-A9f9R21vMXxHZFNpYNeKFtG8_yji4HS352LGlSQ/edit?pli=1#gid=0"",""1_ACUM!A4:S""),16,FALSE))"),"")</f>
        <v/>
      </c>
      <c r="BC296" s="43" t="str">
        <f ca="1">IFERROR(__xludf.DUMMYFUNCTION("IFERROR(VLOOKUP(E310&amp;F310,IMPORTRANGE(""https://docs.google.com/spreadsheets/d/1Uw7-A9f9R21vMXxHZFNpYNeKFtG8_yji4HS352LGlSQ/edit?pli=1#gid=0"",""1_ACUM!A4:S""),17,FALSE))"),"")</f>
        <v/>
      </c>
      <c r="BD296" s="44" t="str">
        <f ca="1">IFERROR(__xludf.DUMMYFUNCTION("IFERROR(VLOOKUP(E310&amp;F310,IMPORTRANGE(""https://docs.google.com/spreadsheets/d/1Uw7-A9f9R21vMXxHZFNpYNeKFtG8_yji4HS352LGlSQ/edit?pli=1#gid=0"",""1_ACUM!A4:S""),18,FALSE))"),"")</f>
        <v/>
      </c>
      <c r="BE296" s="44" t="str">
        <f ca="1">IFERROR(__xludf.DUMMYFUNCTION("IFERROR(VLOOKUP(E310&amp;F310,IMPORTRANGE(""https://docs.google.com/spreadsheets/d/1Uw7-A9f9R21vMXxHZFNpYNeKFtG8_yji4HS352LGlSQ/edit?pli=1#gid=0"",""1_ACUM!A4:S""),19,FALSE))"),"")</f>
        <v/>
      </c>
      <c r="BF296" s="98" t="str">
        <f ca="1">IFERROR(__xludf.DUMMYFUNCTION("IFERROR(VLOOKUP(F310,IMPORTRANGE(""https://docs.google.com/spreadsheets/d/1Kvs4KS76FHFqLFIZfrDMff4kP08nblUkihrxltoGBjg/edit#gid=934712705"",""ESENCIAL!A6:BG""),5,FALSE))"),"")</f>
        <v/>
      </c>
      <c r="BG296" s="98" t="str">
        <f t="shared" si="17"/>
        <v/>
      </c>
      <c r="BH296" s="99" t="str">
        <f t="shared" si="18"/>
        <v/>
      </c>
      <c r="BI296" s="100" t="str">
        <f ca="1">IFERROR(__xludf.DUMMYFUNCTION("IFERROR(VLOOKUP(F310,IMPORTRANGE(""https://docs.google.com/spreadsheets/d/1Kvs4KS76FHFqLFIZfrDMff4kP08nblUkihrxltoGBjg/edit#gid=934712705"",""ESENCIAL!A6:BG""),2,FALSE))"),"")</f>
        <v/>
      </c>
      <c r="BJ296" s="19" t="str">
        <f t="shared" si="19"/>
        <v/>
      </c>
      <c r="BK296" s="100"/>
      <c r="BL296" s="100"/>
    </row>
    <row r="297" spans="1:64" ht="15">
      <c r="A297" s="101"/>
      <c r="B297" s="101"/>
      <c r="G297" s="5" t="str">
        <f ca="1">IFERROR(__xludf.DUMMYFUNCTION("IFERROR(VLOOKUP(F311,IMPORTRANGE(""https://docs.google.com/spreadsheets/d/1Kvs4KS76FHFqLFIZfrDMff4kP08nblUkihrxltoGBjg/edit#gid=934712705"",""ESENCIAL!A6:BG""),3,FALSE))"),"")</f>
        <v/>
      </c>
      <c r="H297" s="5" t="str">
        <f ca="1">IFERROR(__xludf.DUMMYFUNCTION("IFERROR(VLOOKUP(F311,IMPORTRANGE(""https://docs.google.com/spreadsheets/d/1Kvs4KS76FHFqLFIZfrDMff4kP08nblUkihrxltoGBjg/edit#gid=934712705"",""ESENCIAL!A6:BG""),8,FALSE))"),"")</f>
        <v/>
      </c>
      <c r="L297" s="287"/>
      <c r="U297" s="40"/>
      <c r="AU297" s="41" t="str">
        <f t="shared" si="16"/>
        <v/>
      </c>
      <c r="AV297" s="5" t="str">
        <f ca="1">IFERROR(__xludf.DUMMYFUNCTION("IFERROR(VLOOKUP(E311&amp;F311,IMPORTRANGE(""https://docs.google.com/spreadsheets/d/1Uw7-A9f9R21vMXxHZFNpYNeKFtG8_yji4HS352LGlSQ/edit?pli=1#gid=0"",""1_ACUM!A4:S""),11,FALSE))"),"")</f>
        <v/>
      </c>
      <c r="AW297" s="42" t="str">
        <f ca="1">IFERROR(__xludf.DUMMYFUNCTION("IFERROR(VLOOKUP(F311,IMPORTRANGE(""https://docs.google.com/spreadsheets/d/1Kvs4KS76FHFqLFIZfrDMff4kP08nblUkihrxltoGBjg/edit#gid=934712705"",""ESENCIAL!A6:BG""),15,FALSE))"),"")</f>
        <v/>
      </c>
      <c r="AX297" s="21" t="str">
        <f ca="1">IFERROR(__xludf.DUMMYFUNCTION("IFERROR(VLOOKUP(E311&amp;F311,IMPORTRANGE(""https://docs.google.com/spreadsheets/d/1Uw7-A9f9R21vMXxHZFNpYNeKFtG8_yji4HS352LGlSQ/edit?pli=1#gid=0"",""1_ACUM!A4:S""),12,FALSE))"),"")</f>
        <v/>
      </c>
      <c r="AY297" s="43" t="str">
        <f ca="1">IFERROR(__xludf.DUMMYFUNCTION("IFERROR(VLOOKUP(E311&amp;F311,IMPORTRANGE(""https://docs.google.com/spreadsheets/d/1Uw7-A9f9R21vMXxHZFNpYNeKFtG8_yji4HS352LGlSQ/edit?pli=1#gid=0"",""1_ACUM!A4:S""),13,FALSE))"),"")</f>
        <v/>
      </c>
      <c r="AZ297" s="43" t="str">
        <f ca="1">IFERROR(__xludf.DUMMYFUNCTION("IFERROR(VLOOKUP(E311&amp;F311,IMPORTRANGE(""https://docs.google.com/spreadsheets/d/1Uw7-A9f9R21vMXxHZFNpYNeKFtG8_yji4HS352LGlSQ/edit?pli=1#gid=0"",""1_ACUM!A4:S""),14,FALSE))"),"")</f>
        <v/>
      </c>
      <c r="BA297" s="43" t="str">
        <f ca="1">IFERROR(__xludf.DUMMYFUNCTION("IFERROR(VLOOKUP(E311&amp;F311,IMPORTRANGE(""https://docs.google.com/spreadsheets/d/1Uw7-A9f9R21vMXxHZFNpYNeKFtG8_yji4HS352LGlSQ/edit?pli=1#gid=0"",""1_ACUM!A4:S""),15,FALSE))"),"")</f>
        <v/>
      </c>
      <c r="BB297" s="43" t="str">
        <f ca="1">IFERROR(__xludf.DUMMYFUNCTION("IFERROR(VLOOKUP(E311&amp;F311,IMPORTRANGE(""https://docs.google.com/spreadsheets/d/1Uw7-A9f9R21vMXxHZFNpYNeKFtG8_yji4HS352LGlSQ/edit?pli=1#gid=0"",""1_ACUM!A4:S""),16,FALSE))"),"")</f>
        <v/>
      </c>
      <c r="BC297" s="43" t="str">
        <f ca="1">IFERROR(__xludf.DUMMYFUNCTION("IFERROR(VLOOKUP(E311&amp;F311,IMPORTRANGE(""https://docs.google.com/spreadsheets/d/1Uw7-A9f9R21vMXxHZFNpYNeKFtG8_yji4HS352LGlSQ/edit?pli=1#gid=0"",""1_ACUM!A4:S""),17,FALSE))"),"")</f>
        <v/>
      </c>
      <c r="BD297" s="44" t="str">
        <f ca="1">IFERROR(__xludf.DUMMYFUNCTION("IFERROR(VLOOKUP(E311&amp;F311,IMPORTRANGE(""https://docs.google.com/spreadsheets/d/1Uw7-A9f9R21vMXxHZFNpYNeKFtG8_yji4HS352LGlSQ/edit?pli=1#gid=0"",""1_ACUM!A4:S""),18,FALSE))"),"")</f>
        <v/>
      </c>
      <c r="BE297" s="44" t="str">
        <f ca="1">IFERROR(__xludf.DUMMYFUNCTION("IFERROR(VLOOKUP(E311&amp;F311,IMPORTRANGE(""https://docs.google.com/spreadsheets/d/1Uw7-A9f9R21vMXxHZFNpYNeKFtG8_yji4HS352LGlSQ/edit?pli=1#gid=0"",""1_ACUM!A4:S""),19,FALSE))"),"")</f>
        <v/>
      </c>
      <c r="BF297" s="98" t="str">
        <f ca="1">IFERROR(__xludf.DUMMYFUNCTION("IFERROR(VLOOKUP(F311,IMPORTRANGE(""https://docs.google.com/spreadsheets/d/1Kvs4KS76FHFqLFIZfrDMff4kP08nblUkihrxltoGBjg/edit#gid=934712705"",""ESENCIAL!A6:BG""),5,FALSE))"),"")</f>
        <v/>
      </c>
      <c r="BG297" s="98" t="str">
        <f t="shared" si="17"/>
        <v/>
      </c>
      <c r="BH297" s="99" t="str">
        <f t="shared" si="18"/>
        <v/>
      </c>
      <c r="BI297" s="100" t="str">
        <f ca="1">IFERROR(__xludf.DUMMYFUNCTION("IFERROR(VLOOKUP(F311,IMPORTRANGE(""https://docs.google.com/spreadsheets/d/1Kvs4KS76FHFqLFIZfrDMff4kP08nblUkihrxltoGBjg/edit#gid=934712705"",""ESENCIAL!A6:BG""),2,FALSE))"),"")</f>
        <v/>
      </c>
      <c r="BJ297" s="19" t="str">
        <f t="shared" si="19"/>
        <v/>
      </c>
      <c r="BK297" s="100"/>
      <c r="BL297" s="100"/>
    </row>
    <row r="298" spans="1:64" ht="15">
      <c r="A298" s="101"/>
      <c r="B298" s="101"/>
      <c r="G298" s="5" t="str">
        <f ca="1">IFERROR(__xludf.DUMMYFUNCTION("IFERROR(VLOOKUP(F312,IMPORTRANGE(""https://docs.google.com/spreadsheets/d/1Kvs4KS76FHFqLFIZfrDMff4kP08nblUkihrxltoGBjg/edit#gid=934712705"",""ESENCIAL!A6:BG""),3,FALSE))"),"")</f>
        <v/>
      </c>
      <c r="H298" s="5" t="str">
        <f ca="1">IFERROR(__xludf.DUMMYFUNCTION("IFERROR(VLOOKUP(F312,IMPORTRANGE(""https://docs.google.com/spreadsheets/d/1Kvs4KS76FHFqLFIZfrDMff4kP08nblUkihrxltoGBjg/edit#gid=934712705"",""ESENCIAL!A6:BG""),8,FALSE))"),"")</f>
        <v/>
      </c>
      <c r="L298" s="287"/>
      <c r="U298" s="40"/>
      <c r="AU298" s="41" t="str">
        <f t="shared" si="16"/>
        <v/>
      </c>
      <c r="AV298" s="5" t="str">
        <f ca="1">IFERROR(__xludf.DUMMYFUNCTION("IFERROR(VLOOKUP(E312&amp;F312,IMPORTRANGE(""https://docs.google.com/spreadsheets/d/1Uw7-A9f9R21vMXxHZFNpYNeKFtG8_yji4HS352LGlSQ/edit?pli=1#gid=0"",""1_ACUM!A4:S""),11,FALSE))"),"")</f>
        <v/>
      </c>
      <c r="AW298" s="42" t="str">
        <f ca="1">IFERROR(__xludf.DUMMYFUNCTION("IFERROR(VLOOKUP(F312,IMPORTRANGE(""https://docs.google.com/spreadsheets/d/1Kvs4KS76FHFqLFIZfrDMff4kP08nblUkihrxltoGBjg/edit#gid=934712705"",""ESENCIAL!A6:BG""),15,FALSE))"),"")</f>
        <v/>
      </c>
      <c r="AX298" s="21" t="str">
        <f ca="1">IFERROR(__xludf.DUMMYFUNCTION("IFERROR(VLOOKUP(E312&amp;F312,IMPORTRANGE(""https://docs.google.com/spreadsheets/d/1Uw7-A9f9R21vMXxHZFNpYNeKFtG8_yji4HS352LGlSQ/edit?pli=1#gid=0"",""1_ACUM!A4:S""),12,FALSE))"),"")</f>
        <v/>
      </c>
      <c r="AY298" s="43" t="str">
        <f ca="1">IFERROR(__xludf.DUMMYFUNCTION("IFERROR(VLOOKUP(E312&amp;F312,IMPORTRANGE(""https://docs.google.com/spreadsheets/d/1Uw7-A9f9R21vMXxHZFNpYNeKFtG8_yji4HS352LGlSQ/edit?pli=1#gid=0"",""1_ACUM!A4:S""),13,FALSE))"),"")</f>
        <v/>
      </c>
      <c r="AZ298" s="43" t="str">
        <f ca="1">IFERROR(__xludf.DUMMYFUNCTION("IFERROR(VLOOKUP(E312&amp;F312,IMPORTRANGE(""https://docs.google.com/spreadsheets/d/1Uw7-A9f9R21vMXxHZFNpYNeKFtG8_yji4HS352LGlSQ/edit?pli=1#gid=0"",""1_ACUM!A4:S""),14,FALSE))"),"")</f>
        <v/>
      </c>
      <c r="BA298" s="43" t="str">
        <f ca="1">IFERROR(__xludf.DUMMYFUNCTION("IFERROR(VLOOKUP(E312&amp;F312,IMPORTRANGE(""https://docs.google.com/spreadsheets/d/1Uw7-A9f9R21vMXxHZFNpYNeKFtG8_yji4HS352LGlSQ/edit?pli=1#gid=0"",""1_ACUM!A4:S""),15,FALSE))"),"")</f>
        <v/>
      </c>
      <c r="BB298" s="43" t="str">
        <f ca="1">IFERROR(__xludf.DUMMYFUNCTION("IFERROR(VLOOKUP(E312&amp;F312,IMPORTRANGE(""https://docs.google.com/spreadsheets/d/1Uw7-A9f9R21vMXxHZFNpYNeKFtG8_yji4HS352LGlSQ/edit?pli=1#gid=0"",""1_ACUM!A4:S""),16,FALSE))"),"")</f>
        <v/>
      </c>
      <c r="BC298" s="43" t="str">
        <f ca="1">IFERROR(__xludf.DUMMYFUNCTION("IFERROR(VLOOKUP(E312&amp;F312,IMPORTRANGE(""https://docs.google.com/spreadsheets/d/1Uw7-A9f9R21vMXxHZFNpYNeKFtG8_yji4HS352LGlSQ/edit?pli=1#gid=0"",""1_ACUM!A4:S""),17,FALSE))"),"")</f>
        <v/>
      </c>
      <c r="BD298" s="44" t="str">
        <f ca="1">IFERROR(__xludf.DUMMYFUNCTION("IFERROR(VLOOKUP(E312&amp;F312,IMPORTRANGE(""https://docs.google.com/spreadsheets/d/1Uw7-A9f9R21vMXxHZFNpYNeKFtG8_yji4HS352LGlSQ/edit?pli=1#gid=0"",""1_ACUM!A4:S""),18,FALSE))"),"")</f>
        <v/>
      </c>
      <c r="BE298" s="44" t="str">
        <f ca="1">IFERROR(__xludf.DUMMYFUNCTION("IFERROR(VLOOKUP(E312&amp;F312,IMPORTRANGE(""https://docs.google.com/spreadsheets/d/1Uw7-A9f9R21vMXxHZFNpYNeKFtG8_yji4HS352LGlSQ/edit?pli=1#gid=0"",""1_ACUM!A4:S""),19,FALSE))"),"")</f>
        <v/>
      </c>
      <c r="BF298" s="98" t="str">
        <f ca="1">IFERROR(__xludf.DUMMYFUNCTION("IFERROR(VLOOKUP(F312,IMPORTRANGE(""https://docs.google.com/spreadsheets/d/1Kvs4KS76FHFqLFIZfrDMff4kP08nblUkihrxltoGBjg/edit#gid=934712705"",""ESENCIAL!A6:BG""),5,FALSE))"),"")</f>
        <v/>
      </c>
      <c r="BG298" s="98" t="str">
        <f t="shared" si="17"/>
        <v/>
      </c>
      <c r="BH298" s="99" t="str">
        <f t="shared" si="18"/>
        <v/>
      </c>
      <c r="BI298" s="100" t="str">
        <f ca="1">IFERROR(__xludf.DUMMYFUNCTION("IFERROR(VLOOKUP(F312,IMPORTRANGE(""https://docs.google.com/spreadsheets/d/1Kvs4KS76FHFqLFIZfrDMff4kP08nblUkihrxltoGBjg/edit#gid=934712705"",""ESENCIAL!A6:BG""),2,FALSE))"),"")</f>
        <v/>
      </c>
      <c r="BJ298" s="19" t="str">
        <f t="shared" si="19"/>
        <v/>
      </c>
      <c r="BK298" s="100"/>
      <c r="BL298" s="100"/>
    </row>
    <row r="299" spans="1:64" ht="15">
      <c r="A299" s="101"/>
      <c r="B299" s="101"/>
      <c r="G299" s="5" t="str">
        <f ca="1">IFERROR(__xludf.DUMMYFUNCTION("IFERROR(VLOOKUP(F313,IMPORTRANGE(""https://docs.google.com/spreadsheets/d/1Kvs4KS76FHFqLFIZfrDMff4kP08nblUkihrxltoGBjg/edit#gid=934712705"",""ESENCIAL!A6:BG""),3,FALSE))"),"")</f>
        <v/>
      </c>
      <c r="H299" s="5" t="str">
        <f ca="1">IFERROR(__xludf.DUMMYFUNCTION("IFERROR(VLOOKUP(F313,IMPORTRANGE(""https://docs.google.com/spreadsheets/d/1Kvs4KS76FHFqLFIZfrDMff4kP08nblUkihrxltoGBjg/edit#gid=934712705"",""ESENCIAL!A6:BG""),8,FALSE))"),"")</f>
        <v/>
      </c>
      <c r="L299" s="287"/>
      <c r="U299" s="40"/>
      <c r="AU299" s="41" t="str">
        <f t="shared" si="16"/>
        <v/>
      </c>
      <c r="AV299" s="5" t="str">
        <f ca="1">IFERROR(__xludf.DUMMYFUNCTION("IFERROR(VLOOKUP(E313&amp;F313,IMPORTRANGE(""https://docs.google.com/spreadsheets/d/1Uw7-A9f9R21vMXxHZFNpYNeKFtG8_yji4HS352LGlSQ/edit?pli=1#gid=0"",""1_ACUM!A4:S""),11,FALSE))"),"")</f>
        <v/>
      </c>
      <c r="AW299" s="42" t="str">
        <f ca="1">IFERROR(__xludf.DUMMYFUNCTION("IFERROR(VLOOKUP(F313,IMPORTRANGE(""https://docs.google.com/spreadsheets/d/1Kvs4KS76FHFqLFIZfrDMff4kP08nblUkihrxltoGBjg/edit#gid=934712705"",""ESENCIAL!A6:BG""),15,FALSE))"),"")</f>
        <v/>
      </c>
      <c r="AX299" s="21" t="str">
        <f ca="1">IFERROR(__xludf.DUMMYFUNCTION("IFERROR(VLOOKUP(E313&amp;F313,IMPORTRANGE(""https://docs.google.com/spreadsheets/d/1Uw7-A9f9R21vMXxHZFNpYNeKFtG8_yji4HS352LGlSQ/edit?pli=1#gid=0"",""1_ACUM!A4:S""),12,FALSE))"),"")</f>
        <v/>
      </c>
      <c r="AY299" s="43" t="str">
        <f ca="1">IFERROR(__xludf.DUMMYFUNCTION("IFERROR(VLOOKUP(E313&amp;F313,IMPORTRANGE(""https://docs.google.com/spreadsheets/d/1Uw7-A9f9R21vMXxHZFNpYNeKFtG8_yji4HS352LGlSQ/edit?pli=1#gid=0"",""1_ACUM!A4:S""),13,FALSE))"),"")</f>
        <v/>
      </c>
      <c r="AZ299" s="43" t="str">
        <f ca="1">IFERROR(__xludf.DUMMYFUNCTION("IFERROR(VLOOKUP(E313&amp;F313,IMPORTRANGE(""https://docs.google.com/spreadsheets/d/1Uw7-A9f9R21vMXxHZFNpYNeKFtG8_yji4HS352LGlSQ/edit?pli=1#gid=0"",""1_ACUM!A4:S""),14,FALSE))"),"")</f>
        <v/>
      </c>
      <c r="BA299" s="43" t="str">
        <f ca="1">IFERROR(__xludf.DUMMYFUNCTION("IFERROR(VLOOKUP(E313&amp;F313,IMPORTRANGE(""https://docs.google.com/spreadsheets/d/1Uw7-A9f9R21vMXxHZFNpYNeKFtG8_yji4HS352LGlSQ/edit?pli=1#gid=0"",""1_ACUM!A4:S""),15,FALSE))"),"")</f>
        <v/>
      </c>
      <c r="BB299" s="43" t="str">
        <f ca="1">IFERROR(__xludf.DUMMYFUNCTION("IFERROR(VLOOKUP(E313&amp;F313,IMPORTRANGE(""https://docs.google.com/spreadsheets/d/1Uw7-A9f9R21vMXxHZFNpYNeKFtG8_yji4HS352LGlSQ/edit?pli=1#gid=0"",""1_ACUM!A4:S""),16,FALSE))"),"")</f>
        <v/>
      </c>
      <c r="BC299" s="43" t="str">
        <f ca="1">IFERROR(__xludf.DUMMYFUNCTION("IFERROR(VLOOKUP(E313&amp;F313,IMPORTRANGE(""https://docs.google.com/spreadsheets/d/1Uw7-A9f9R21vMXxHZFNpYNeKFtG8_yji4HS352LGlSQ/edit?pli=1#gid=0"",""1_ACUM!A4:S""),17,FALSE))"),"")</f>
        <v/>
      </c>
      <c r="BD299" s="44" t="str">
        <f ca="1">IFERROR(__xludf.DUMMYFUNCTION("IFERROR(VLOOKUP(E313&amp;F313,IMPORTRANGE(""https://docs.google.com/spreadsheets/d/1Uw7-A9f9R21vMXxHZFNpYNeKFtG8_yji4HS352LGlSQ/edit?pli=1#gid=0"",""1_ACUM!A4:S""),18,FALSE))"),"")</f>
        <v/>
      </c>
      <c r="BE299" s="44" t="str">
        <f ca="1">IFERROR(__xludf.DUMMYFUNCTION("IFERROR(VLOOKUP(E313&amp;F313,IMPORTRANGE(""https://docs.google.com/spreadsheets/d/1Uw7-A9f9R21vMXxHZFNpYNeKFtG8_yji4HS352LGlSQ/edit?pli=1#gid=0"",""1_ACUM!A4:S""),19,FALSE))"),"")</f>
        <v/>
      </c>
      <c r="BF299" s="98" t="str">
        <f ca="1">IFERROR(__xludf.DUMMYFUNCTION("IFERROR(VLOOKUP(F313,IMPORTRANGE(""https://docs.google.com/spreadsheets/d/1Kvs4KS76FHFqLFIZfrDMff4kP08nblUkihrxltoGBjg/edit#gid=934712705"",""ESENCIAL!A6:BG""),5,FALSE))"),"")</f>
        <v/>
      </c>
      <c r="BG299" s="98" t="str">
        <f t="shared" si="17"/>
        <v/>
      </c>
      <c r="BH299" s="99" t="str">
        <f t="shared" si="18"/>
        <v/>
      </c>
      <c r="BI299" s="100" t="str">
        <f ca="1">IFERROR(__xludf.DUMMYFUNCTION("IFERROR(VLOOKUP(F313,IMPORTRANGE(""https://docs.google.com/spreadsheets/d/1Kvs4KS76FHFqLFIZfrDMff4kP08nblUkihrxltoGBjg/edit#gid=934712705"",""ESENCIAL!A6:BG""),2,FALSE))"),"")</f>
        <v/>
      </c>
      <c r="BJ299" s="19" t="str">
        <f t="shared" si="19"/>
        <v/>
      </c>
      <c r="BK299" s="100"/>
      <c r="BL299" s="100"/>
    </row>
    <row r="300" spans="1:64" ht="15">
      <c r="A300" s="101"/>
      <c r="B300" s="101"/>
      <c r="G300" s="5" t="str">
        <f ca="1">IFERROR(__xludf.DUMMYFUNCTION("IFERROR(VLOOKUP(F314,IMPORTRANGE(""https://docs.google.com/spreadsheets/d/1Kvs4KS76FHFqLFIZfrDMff4kP08nblUkihrxltoGBjg/edit#gid=934712705"",""ESENCIAL!A6:BG""),3,FALSE))"),"")</f>
        <v/>
      </c>
      <c r="H300" s="5" t="str">
        <f ca="1">IFERROR(__xludf.DUMMYFUNCTION("IFERROR(VLOOKUP(F314,IMPORTRANGE(""https://docs.google.com/spreadsheets/d/1Kvs4KS76FHFqLFIZfrDMff4kP08nblUkihrxltoGBjg/edit#gid=934712705"",""ESENCIAL!A6:BG""),8,FALSE))"),"")</f>
        <v/>
      </c>
      <c r="L300" s="287"/>
      <c r="U300" s="40"/>
      <c r="AU300" s="41" t="str">
        <f t="shared" si="16"/>
        <v/>
      </c>
      <c r="AV300" s="5" t="str">
        <f ca="1">IFERROR(__xludf.DUMMYFUNCTION("IFERROR(VLOOKUP(E314&amp;F314,IMPORTRANGE(""https://docs.google.com/spreadsheets/d/1Uw7-A9f9R21vMXxHZFNpYNeKFtG8_yji4HS352LGlSQ/edit?pli=1#gid=0"",""1_ACUM!A4:S""),11,FALSE))"),"")</f>
        <v/>
      </c>
      <c r="AW300" s="42" t="str">
        <f ca="1">IFERROR(__xludf.DUMMYFUNCTION("IFERROR(VLOOKUP(F314,IMPORTRANGE(""https://docs.google.com/spreadsheets/d/1Kvs4KS76FHFqLFIZfrDMff4kP08nblUkihrxltoGBjg/edit#gid=934712705"",""ESENCIAL!A6:BG""),15,FALSE))"),"")</f>
        <v/>
      </c>
      <c r="AX300" s="21" t="str">
        <f ca="1">IFERROR(__xludf.DUMMYFUNCTION("IFERROR(VLOOKUP(E314&amp;F314,IMPORTRANGE(""https://docs.google.com/spreadsheets/d/1Uw7-A9f9R21vMXxHZFNpYNeKFtG8_yji4HS352LGlSQ/edit?pli=1#gid=0"",""1_ACUM!A4:S""),12,FALSE))"),"")</f>
        <v/>
      </c>
      <c r="AY300" s="43" t="str">
        <f ca="1">IFERROR(__xludf.DUMMYFUNCTION("IFERROR(VLOOKUP(E314&amp;F314,IMPORTRANGE(""https://docs.google.com/spreadsheets/d/1Uw7-A9f9R21vMXxHZFNpYNeKFtG8_yji4HS352LGlSQ/edit?pli=1#gid=0"",""1_ACUM!A4:S""),13,FALSE))"),"")</f>
        <v/>
      </c>
      <c r="AZ300" s="43" t="str">
        <f ca="1">IFERROR(__xludf.DUMMYFUNCTION("IFERROR(VLOOKUP(E314&amp;F314,IMPORTRANGE(""https://docs.google.com/spreadsheets/d/1Uw7-A9f9R21vMXxHZFNpYNeKFtG8_yji4HS352LGlSQ/edit?pli=1#gid=0"",""1_ACUM!A4:S""),14,FALSE))"),"")</f>
        <v/>
      </c>
      <c r="BA300" s="43" t="str">
        <f ca="1">IFERROR(__xludf.DUMMYFUNCTION("IFERROR(VLOOKUP(E314&amp;F314,IMPORTRANGE(""https://docs.google.com/spreadsheets/d/1Uw7-A9f9R21vMXxHZFNpYNeKFtG8_yji4HS352LGlSQ/edit?pli=1#gid=0"",""1_ACUM!A4:S""),15,FALSE))"),"")</f>
        <v/>
      </c>
      <c r="BB300" s="43" t="str">
        <f ca="1">IFERROR(__xludf.DUMMYFUNCTION("IFERROR(VLOOKUP(E314&amp;F314,IMPORTRANGE(""https://docs.google.com/spreadsheets/d/1Uw7-A9f9R21vMXxHZFNpYNeKFtG8_yji4HS352LGlSQ/edit?pli=1#gid=0"",""1_ACUM!A4:S""),16,FALSE))"),"")</f>
        <v/>
      </c>
      <c r="BC300" s="43" t="str">
        <f ca="1">IFERROR(__xludf.DUMMYFUNCTION("IFERROR(VLOOKUP(E314&amp;F314,IMPORTRANGE(""https://docs.google.com/spreadsheets/d/1Uw7-A9f9R21vMXxHZFNpYNeKFtG8_yji4HS352LGlSQ/edit?pli=1#gid=0"",""1_ACUM!A4:S""),17,FALSE))"),"")</f>
        <v/>
      </c>
      <c r="BD300" s="44" t="str">
        <f ca="1">IFERROR(__xludf.DUMMYFUNCTION("IFERROR(VLOOKUP(E314&amp;F314,IMPORTRANGE(""https://docs.google.com/spreadsheets/d/1Uw7-A9f9R21vMXxHZFNpYNeKFtG8_yji4HS352LGlSQ/edit?pli=1#gid=0"",""1_ACUM!A4:S""),18,FALSE))"),"")</f>
        <v/>
      </c>
      <c r="BE300" s="44" t="str">
        <f ca="1">IFERROR(__xludf.DUMMYFUNCTION("IFERROR(VLOOKUP(E314&amp;F314,IMPORTRANGE(""https://docs.google.com/spreadsheets/d/1Uw7-A9f9R21vMXxHZFNpYNeKFtG8_yji4HS352LGlSQ/edit?pli=1#gid=0"",""1_ACUM!A4:S""),19,FALSE))"),"")</f>
        <v/>
      </c>
      <c r="BF300" s="98" t="str">
        <f ca="1">IFERROR(__xludf.DUMMYFUNCTION("IFERROR(VLOOKUP(F314,IMPORTRANGE(""https://docs.google.com/spreadsheets/d/1Kvs4KS76FHFqLFIZfrDMff4kP08nblUkihrxltoGBjg/edit#gid=934712705"",""ESENCIAL!A6:BG""),5,FALSE))"),"")</f>
        <v/>
      </c>
      <c r="BG300" s="98" t="str">
        <f t="shared" si="17"/>
        <v/>
      </c>
      <c r="BH300" s="99" t="str">
        <f t="shared" si="18"/>
        <v/>
      </c>
      <c r="BI300" s="100" t="str">
        <f ca="1">IFERROR(__xludf.DUMMYFUNCTION("IFERROR(VLOOKUP(F314,IMPORTRANGE(""https://docs.google.com/spreadsheets/d/1Kvs4KS76FHFqLFIZfrDMff4kP08nblUkihrxltoGBjg/edit#gid=934712705"",""ESENCIAL!A6:BG""),2,FALSE))"),"")</f>
        <v/>
      </c>
      <c r="BJ300" s="19" t="str">
        <f t="shared" si="19"/>
        <v/>
      </c>
      <c r="BK300" s="100"/>
      <c r="BL300" s="100"/>
    </row>
    <row r="301" spans="1:64" ht="15">
      <c r="A301" s="101"/>
      <c r="B301" s="101"/>
      <c r="G301" s="5" t="str">
        <f ca="1">IFERROR(__xludf.DUMMYFUNCTION("IFERROR(VLOOKUP(F315,IMPORTRANGE(""https://docs.google.com/spreadsheets/d/1Kvs4KS76FHFqLFIZfrDMff4kP08nblUkihrxltoGBjg/edit#gid=934712705"",""ESENCIAL!A6:BG""),3,FALSE))"),"")</f>
        <v/>
      </c>
      <c r="H301" s="5" t="str">
        <f ca="1">IFERROR(__xludf.DUMMYFUNCTION("IFERROR(VLOOKUP(F315,IMPORTRANGE(""https://docs.google.com/spreadsheets/d/1Kvs4KS76FHFqLFIZfrDMff4kP08nblUkihrxltoGBjg/edit#gid=934712705"",""ESENCIAL!A6:BG""),8,FALSE))"),"")</f>
        <v/>
      </c>
      <c r="L301" s="287"/>
      <c r="U301" s="40"/>
      <c r="AU301" s="41" t="str">
        <f t="shared" si="16"/>
        <v/>
      </c>
      <c r="AV301" s="5" t="str">
        <f ca="1">IFERROR(__xludf.DUMMYFUNCTION("IFERROR(VLOOKUP(E315&amp;F315,IMPORTRANGE(""https://docs.google.com/spreadsheets/d/1Uw7-A9f9R21vMXxHZFNpYNeKFtG8_yji4HS352LGlSQ/edit?pli=1#gid=0"",""1_ACUM!A4:S""),11,FALSE))"),"")</f>
        <v/>
      </c>
      <c r="AW301" s="42" t="str">
        <f ca="1">IFERROR(__xludf.DUMMYFUNCTION("IFERROR(VLOOKUP(F315,IMPORTRANGE(""https://docs.google.com/spreadsheets/d/1Kvs4KS76FHFqLFIZfrDMff4kP08nblUkihrxltoGBjg/edit#gid=934712705"",""ESENCIAL!A6:BG""),15,FALSE))"),"")</f>
        <v/>
      </c>
      <c r="AX301" s="21" t="str">
        <f ca="1">IFERROR(__xludf.DUMMYFUNCTION("IFERROR(VLOOKUP(E315&amp;F315,IMPORTRANGE(""https://docs.google.com/spreadsheets/d/1Uw7-A9f9R21vMXxHZFNpYNeKFtG8_yji4HS352LGlSQ/edit?pli=1#gid=0"",""1_ACUM!A4:S""),12,FALSE))"),"")</f>
        <v/>
      </c>
      <c r="AY301" s="43" t="str">
        <f ca="1">IFERROR(__xludf.DUMMYFUNCTION("IFERROR(VLOOKUP(E315&amp;F315,IMPORTRANGE(""https://docs.google.com/spreadsheets/d/1Uw7-A9f9R21vMXxHZFNpYNeKFtG8_yji4HS352LGlSQ/edit?pli=1#gid=0"",""1_ACUM!A4:S""),13,FALSE))"),"")</f>
        <v/>
      </c>
      <c r="AZ301" s="43" t="str">
        <f ca="1">IFERROR(__xludf.DUMMYFUNCTION("IFERROR(VLOOKUP(E315&amp;F315,IMPORTRANGE(""https://docs.google.com/spreadsheets/d/1Uw7-A9f9R21vMXxHZFNpYNeKFtG8_yji4HS352LGlSQ/edit?pli=1#gid=0"",""1_ACUM!A4:S""),14,FALSE))"),"")</f>
        <v/>
      </c>
      <c r="BA301" s="43" t="str">
        <f ca="1">IFERROR(__xludf.DUMMYFUNCTION("IFERROR(VLOOKUP(E315&amp;F315,IMPORTRANGE(""https://docs.google.com/spreadsheets/d/1Uw7-A9f9R21vMXxHZFNpYNeKFtG8_yji4HS352LGlSQ/edit?pli=1#gid=0"",""1_ACUM!A4:S""),15,FALSE))"),"")</f>
        <v/>
      </c>
      <c r="BB301" s="43" t="str">
        <f ca="1">IFERROR(__xludf.DUMMYFUNCTION("IFERROR(VLOOKUP(E315&amp;F315,IMPORTRANGE(""https://docs.google.com/spreadsheets/d/1Uw7-A9f9R21vMXxHZFNpYNeKFtG8_yji4HS352LGlSQ/edit?pli=1#gid=0"",""1_ACUM!A4:S""),16,FALSE))"),"")</f>
        <v/>
      </c>
      <c r="BC301" s="43" t="str">
        <f ca="1">IFERROR(__xludf.DUMMYFUNCTION("IFERROR(VLOOKUP(E315&amp;F315,IMPORTRANGE(""https://docs.google.com/spreadsheets/d/1Uw7-A9f9R21vMXxHZFNpYNeKFtG8_yji4HS352LGlSQ/edit?pli=1#gid=0"",""1_ACUM!A4:S""),17,FALSE))"),"")</f>
        <v/>
      </c>
      <c r="BD301" s="44" t="str">
        <f ca="1">IFERROR(__xludf.DUMMYFUNCTION("IFERROR(VLOOKUP(E315&amp;F315,IMPORTRANGE(""https://docs.google.com/spreadsheets/d/1Uw7-A9f9R21vMXxHZFNpYNeKFtG8_yji4HS352LGlSQ/edit?pli=1#gid=0"",""1_ACUM!A4:S""),18,FALSE))"),"")</f>
        <v/>
      </c>
      <c r="BE301" s="44" t="str">
        <f ca="1">IFERROR(__xludf.DUMMYFUNCTION("IFERROR(VLOOKUP(E315&amp;F315,IMPORTRANGE(""https://docs.google.com/spreadsheets/d/1Uw7-A9f9R21vMXxHZFNpYNeKFtG8_yji4HS352LGlSQ/edit?pli=1#gid=0"",""1_ACUM!A4:S""),19,FALSE))"),"")</f>
        <v/>
      </c>
      <c r="BF301" s="98" t="str">
        <f ca="1">IFERROR(__xludf.DUMMYFUNCTION("IFERROR(VLOOKUP(F315,IMPORTRANGE(""https://docs.google.com/spreadsheets/d/1Kvs4KS76FHFqLFIZfrDMff4kP08nblUkihrxltoGBjg/edit#gid=934712705"",""ESENCIAL!A6:BG""),5,FALSE))"),"")</f>
        <v/>
      </c>
      <c r="BG301" s="98" t="str">
        <f t="shared" si="17"/>
        <v/>
      </c>
      <c r="BH301" s="99" t="str">
        <f t="shared" si="18"/>
        <v/>
      </c>
      <c r="BI301" s="100" t="str">
        <f ca="1">IFERROR(__xludf.DUMMYFUNCTION("IFERROR(VLOOKUP(F315,IMPORTRANGE(""https://docs.google.com/spreadsheets/d/1Kvs4KS76FHFqLFIZfrDMff4kP08nblUkihrxltoGBjg/edit#gid=934712705"",""ESENCIAL!A6:BG""),2,FALSE))"),"")</f>
        <v/>
      </c>
      <c r="BJ301" s="19" t="str">
        <f t="shared" si="19"/>
        <v/>
      </c>
      <c r="BK301" s="100"/>
      <c r="BL301" s="100"/>
    </row>
    <row r="302" spans="1:64" ht="15">
      <c r="A302" s="101"/>
      <c r="B302" s="101"/>
      <c r="G302" s="5" t="str">
        <f ca="1">IFERROR(__xludf.DUMMYFUNCTION("IFERROR(VLOOKUP(F316,IMPORTRANGE(""https://docs.google.com/spreadsheets/d/1Kvs4KS76FHFqLFIZfrDMff4kP08nblUkihrxltoGBjg/edit#gid=934712705"",""ESENCIAL!A6:BG""),3,FALSE))"),"")</f>
        <v/>
      </c>
      <c r="H302" s="5" t="str">
        <f ca="1">IFERROR(__xludf.DUMMYFUNCTION("IFERROR(VLOOKUP(F316,IMPORTRANGE(""https://docs.google.com/spreadsheets/d/1Kvs4KS76FHFqLFIZfrDMff4kP08nblUkihrxltoGBjg/edit#gid=934712705"",""ESENCIAL!A6:BG""),8,FALSE))"),"")</f>
        <v/>
      </c>
      <c r="L302" s="287"/>
      <c r="U302" s="40"/>
      <c r="AU302" s="41" t="str">
        <f t="shared" si="16"/>
        <v/>
      </c>
      <c r="AV302" s="5" t="str">
        <f ca="1">IFERROR(__xludf.DUMMYFUNCTION("IFERROR(VLOOKUP(E316&amp;F316,IMPORTRANGE(""https://docs.google.com/spreadsheets/d/1Uw7-A9f9R21vMXxHZFNpYNeKFtG8_yji4HS352LGlSQ/edit?pli=1#gid=0"",""1_ACUM!A4:S""),11,FALSE))"),"")</f>
        <v/>
      </c>
      <c r="AW302" s="42" t="str">
        <f ca="1">IFERROR(__xludf.DUMMYFUNCTION("IFERROR(VLOOKUP(F316,IMPORTRANGE(""https://docs.google.com/spreadsheets/d/1Kvs4KS76FHFqLFIZfrDMff4kP08nblUkihrxltoGBjg/edit#gid=934712705"",""ESENCIAL!A6:BG""),15,FALSE))"),"")</f>
        <v/>
      </c>
      <c r="AX302" s="21" t="str">
        <f ca="1">IFERROR(__xludf.DUMMYFUNCTION("IFERROR(VLOOKUP(E316&amp;F316,IMPORTRANGE(""https://docs.google.com/spreadsheets/d/1Uw7-A9f9R21vMXxHZFNpYNeKFtG8_yji4HS352LGlSQ/edit?pli=1#gid=0"",""1_ACUM!A4:S""),12,FALSE))"),"")</f>
        <v/>
      </c>
      <c r="AY302" s="43" t="str">
        <f ca="1">IFERROR(__xludf.DUMMYFUNCTION("IFERROR(VLOOKUP(E316&amp;F316,IMPORTRANGE(""https://docs.google.com/spreadsheets/d/1Uw7-A9f9R21vMXxHZFNpYNeKFtG8_yji4HS352LGlSQ/edit?pli=1#gid=0"",""1_ACUM!A4:S""),13,FALSE))"),"")</f>
        <v/>
      </c>
      <c r="AZ302" s="43" t="str">
        <f ca="1">IFERROR(__xludf.DUMMYFUNCTION("IFERROR(VLOOKUP(E316&amp;F316,IMPORTRANGE(""https://docs.google.com/spreadsheets/d/1Uw7-A9f9R21vMXxHZFNpYNeKFtG8_yji4HS352LGlSQ/edit?pli=1#gid=0"",""1_ACUM!A4:S""),14,FALSE))"),"")</f>
        <v/>
      </c>
      <c r="BA302" s="43" t="str">
        <f ca="1">IFERROR(__xludf.DUMMYFUNCTION("IFERROR(VLOOKUP(E316&amp;F316,IMPORTRANGE(""https://docs.google.com/spreadsheets/d/1Uw7-A9f9R21vMXxHZFNpYNeKFtG8_yji4HS352LGlSQ/edit?pli=1#gid=0"",""1_ACUM!A4:S""),15,FALSE))"),"")</f>
        <v/>
      </c>
      <c r="BB302" s="43" t="str">
        <f ca="1">IFERROR(__xludf.DUMMYFUNCTION("IFERROR(VLOOKUP(E316&amp;F316,IMPORTRANGE(""https://docs.google.com/spreadsheets/d/1Uw7-A9f9R21vMXxHZFNpYNeKFtG8_yji4HS352LGlSQ/edit?pli=1#gid=0"",""1_ACUM!A4:S""),16,FALSE))"),"")</f>
        <v/>
      </c>
      <c r="BC302" s="43" t="str">
        <f ca="1">IFERROR(__xludf.DUMMYFUNCTION("IFERROR(VLOOKUP(E316&amp;F316,IMPORTRANGE(""https://docs.google.com/spreadsheets/d/1Uw7-A9f9R21vMXxHZFNpYNeKFtG8_yji4HS352LGlSQ/edit?pli=1#gid=0"",""1_ACUM!A4:S""),17,FALSE))"),"")</f>
        <v/>
      </c>
      <c r="BD302" s="44" t="str">
        <f ca="1">IFERROR(__xludf.DUMMYFUNCTION("IFERROR(VLOOKUP(E316&amp;F316,IMPORTRANGE(""https://docs.google.com/spreadsheets/d/1Uw7-A9f9R21vMXxHZFNpYNeKFtG8_yji4HS352LGlSQ/edit?pli=1#gid=0"",""1_ACUM!A4:S""),18,FALSE))"),"")</f>
        <v/>
      </c>
      <c r="BE302" s="44" t="str">
        <f ca="1">IFERROR(__xludf.DUMMYFUNCTION("IFERROR(VLOOKUP(E316&amp;F316,IMPORTRANGE(""https://docs.google.com/spreadsheets/d/1Uw7-A9f9R21vMXxHZFNpYNeKFtG8_yji4HS352LGlSQ/edit?pli=1#gid=0"",""1_ACUM!A4:S""),19,FALSE))"),"")</f>
        <v/>
      </c>
      <c r="BF302" s="98" t="str">
        <f ca="1">IFERROR(__xludf.DUMMYFUNCTION("IFERROR(VLOOKUP(F316,IMPORTRANGE(""https://docs.google.com/spreadsheets/d/1Kvs4KS76FHFqLFIZfrDMff4kP08nblUkihrxltoGBjg/edit#gid=934712705"",""ESENCIAL!A6:BG""),5,FALSE))"),"")</f>
        <v/>
      </c>
      <c r="BG302" s="98" t="str">
        <f t="shared" si="17"/>
        <v/>
      </c>
      <c r="BH302" s="99" t="str">
        <f t="shared" si="18"/>
        <v/>
      </c>
      <c r="BI302" s="100" t="str">
        <f ca="1">IFERROR(__xludf.DUMMYFUNCTION("IFERROR(VLOOKUP(F316,IMPORTRANGE(""https://docs.google.com/spreadsheets/d/1Kvs4KS76FHFqLFIZfrDMff4kP08nblUkihrxltoGBjg/edit#gid=934712705"",""ESENCIAL!A6:BG""),2,FALSE))"),"")</f>
        <v/>
      </c>
      <c r="BJ302" s="19" t="str">
        <f t="shared" si="19"/>
        <v/>
      </c>
      <c r="BK302" s="100"/>
      <c r="BL302" s="100"/>
    </row>
    <row r="303" spans="1:64" ht="15">
      <c r="A303" s="101"/>
      <c r="B303" s="101"/>
      <c r="G303" s="5" t="str">
        <f ca="1">IFERROR(__xludf.DUMMYFUNCTION("IFERROR(VLOOKUP(F317,IMPORTRANGE(""https://docs.google.com/spreadsheets/d/1Kvs4KS76FHFqLFIZfrDMff4kP08nblUkihrxltoGBjg/edit#gid=934712705"",""ESENCIAL!A6:BG""),3,FALSE))"),"")</f>
        <v/>
      </c>
      <c r="H303" s="5" t="str">
        <f ca="1">IFERROR(__xludf.DUMMYFUNCTION("IFERROR(VLOOKUP(F317,IMPORTRANGE(""https://docs.google.com/spreadsheets/d/1Kvs4KS76FHFqLFIZfrDMff4kP08nblUkihrxltoGBjg/edit#gid=934712705"",""ESENCIAL!A6:BG""),8,FALSE))"),"")</f>
        <v/>
      </c>
      <c r="L303" s="287"/>
      <c r="U303" s="40"/>
      <c r="AU303" s="41" t="str">
        <f t="shared" si="16"/>
        <v/>
      </c>
      <c r="AV303" s="5" t="str">
        <f ca="1">IFERROR(__xludf.DUMMYFUNCTION("IFERROR(VLOOKUP(E317&amp;F317,IMPORTRANGE(""https://docs.google.com/spreadsheets/d/1Uw7-A9f9R21vMXxHZFNpYNeKFtG8_yji4HS352LGlSQ/edit?pli=1#gid=0"",""1_ACUM!A4:S""),11,FALSE))"),"")</f>
        <v/>
      </c>
      <c r="AW303" s="42" t="str">
        <f ca="1">IFERROR(__xludf.DUMMYFUNCTION("IFERROR(VLOOKUP(F317,IMPORTRANGE(""https://docs.google.com/spreadsheets/d/1Kvs4KS76FHFqLFIZfrDMff4kP08nblUkihrxltoGBjg/edit#gid=934712705"",""ESENCIAL!A6:BG""),15,FALSE))"),"")</f>
        <v/>
      </c>
      <c r="AX303" s="21" t="str">
        <f ca="1">IFERROR(__xludf.DUMMYFUNCTION("IFERROR(VLOOKUP(E317&amp;F317,IMPORTRANGE(""https://docs.google.com/spreadsheets/d/1Uw7-A9f9R21vMXxHZFNpYNeKFtG8_yji4HS352LGlSQ/edit?pli=1#gid=0"",""1_ACUM!A4:S""),12,FALSE))"),"")</f>
        <v/>
      </c>
      <c r="AY303" s="43" t="str">
        <f ca="1">IFERROR(__xludf.DUMMYFUNCTION("IFERROR(VLOOKUP(E317&amp;F317,IMPORTRANGE(""https://docs.google.com/spreadsheets/d/1Uw7-A9f9R21vMXxHZFNpYNeKFtG8_yji4HS352LGlSQ/edit?pli=1#gid=0"",""1_ACUM!A4:S""),13,FALSE))"),"")</f>
        <v/>
      </c>
      <c r="AZ303" s="43" t="str">
        <f ca="1">IFERROR(__xludf.DUMMYFUNCTION("IFERROR(VLOOKUP(E317&amp;F317,IMPORTRANGE(""https://docs.google.com/spreadsheets/d/1Uw7-A9f9R21vMXxHZFNpYNeKFtG8_yji4HS352LGlSQ/edit?pli=1#gid=0"",""1_ACUM!A4:S""),14,FALSE))"),"")</f>
        <v/>
      </c>
      <c r="BA303" s="43" t="str">
        <f ca="1">IFERROR(__xludf.DUMMYFUNCTION("IFERROR(VLOOKUP(E317&amp;F317,IMPORTRANGE(""https://docs.google.com/spreadsheets/d/1Uw7-A9f9R21vMXxHZFNpYNeKFtG8_yji4HS352LGlSQ/edit?pli=1#gid=0"",""1_ACUM!A4:S""),15,FALSE))"),"")</f>
        <v/>
      </c>
      <c r="BB303" s="43" t="str">
        <f ca="1">IFERROR(__xludf.DUMMYFUNCTION("IFERROR(VLOOKUP(E317&amp;F317,IMPORTRANGE(""https://docs.google.com/spreadsheets/d/1Uw7-A9f9R21vMXxHZFNpYNeKFtG8_yji4HS352LGlSQ/edit?pli=1#gid=0"",""1_ACUM!A4:S""),16,FALSE))"),"")</f>
        <v/>
      </c>
      <c r="BC303" s="43" t="str">
        <f ca="1">IFERROR(__xludf.DUMMYFUNCTION("IFERROR(VLOOKUP(E317&amp;F317,IMPORTRANGE(""https://docs.google.com/spreadsheets/d/1Uw7-A9f9R21vMXxHZFNpYNeKFtG8_yji4HS352LGlSQ/edit?pli=1#gid=0"",""1_ACUM!A4:S""),17,FALSE))"),"")</f>
        <v/>
      </c>
      <c r="BD303" s="44" t="str">
        <f ca="1">IFERROR(__xludf.DUMMYFUNCTION("IFERROR(VLOOKUP(E317&amp;F317,IMPORTRANGE(""https://docs.google.com/spreadsheets/d/1Uw7-A9f9R21vMXxHZFNpYNeKFtG8_yji4HS352LGlSQ/edit?pli=1#gid=0"",""1_ACUM!A4:S""),18,FALSE))"),"")</f>
        <v/>
      </c>
      <c r="BE303" s="44" t="str">
        <f ca="1">IFERROR(__xludf.DUMMYFUNCTION("IFERROR(VLOOKUP(E317&amp;F317,IMPORTRANGE(""https://docs.google.com/spreadsheets/d/1Uw7-A9f9R21vMXxHZFNpYNeKFtG8_yji4HS352LGlSQ/edit?pli=1#gid=0"",""1_ACUM!A4:S""),19,FALSE))"),"")</f>
        <v/>
      </c>
      <c r="BF303" s="98" t="str">
        <f ca="1">IFERROR(__xludf.DUMMYFUNCTION("IFERROR(VLOOKUP(F317,IMPORTRANGE(""https://docs.google.com/spreadsheets/d/1Kvs4KS76FHFqLFIZfrDMff4kP08nblUkihrxltoGBjg/edit#gid=934712705"",""ESENCIAL!A6:BG""),5,FALSE))"),"")</f>
        <v/>
      </c>
      <c r="BG303" s="98" t="str">
        <f t="shared" si="17"/>
        <v/>
      </c>
      <c r="BH303" s="99" t="str">
        <f t="shared" si="18"/>
        <v/>
      </c>
      <c r="BI303" s="100" t="str">
        <f ca="1">IFERROR(__xludf.DUMMYFUNCTION("IFERROR(VLOOKUP(F317,IMPORTRANGE(""https://docs.google.com/spreadsheets/d/1Kvs4KS76FHFqLFIZfrDMff4kP08nblUkihrxltoGBjg/edit#gid=934712705"",""ESENCIAL!A6:BG""),2,FALSE))"),"")</f>
        <v/>
      </c>
      <c r="BJ303" s="19" t="str">
        <f t="shared" si="19"/>
        <v/>
      </c>
      <c r="BK303" s="100"/>
      <c r="BL303" s="100"/>
    </row>
    <row r="304" spans="1:64" ht="15">
      <c r="A304" s="101"/>
      <c r="B304" s="101"/>
      <c r="G304" s="5" t="str">
        <f ca="1">IFERROR(__xludf.DUMMYFUNCTION("IFERROR(VLOOKUP(F318,IMPORTRANGE(""https://docs.google.com/spreadsheets/d/1Kvs4KS76FHFqLFIZfrDMff4kP08nblUkihrxltoGBjg/edit#gid=934712705"",""ESENCIAL!A6:BG""),3,FALSE))"),"")</f>
        <v/>
      </c>
      <c r="H304" s="5" t="str">
        <f ca="1">IFERROR(__xludf.DUMMYFUNCTION("IFERROR(VLOOKUP(F318,IMPORTRANGE(""https://docs.google.com/spreadsheets/d/1Kvs4KS76FHFqLFIZfrDMff4kP08nblUkihrxltoGBjg/edit#gid=934712705"",""ESENCIAL!A6:BG""),8,FALSE))"),"")</f>
        <v/>
      </c>
      <c r="L304" s="287"/>
      <c r="U304" s="40"/>
      <c r="AU304" s="41" t="str">
        <f t="shared" si="16"/>
        <v/>
      </c>
      <c r="AV304" s="5" t="str">
        <f ca="1">IFERROR(__xludf.DUMMYFUNCTION("IFERROR(VLOOKUP(E318&amp;F318,IMPORTRANGE(""https://docs.google.com/spreadsheets/d/1Uw7-A9f9R21vMXxHZFNpYNeKFtG8_yji4HS352LGlSQ/edit?pli=1#gid=0"",""1_ACUM!A4:S""),11,FALSE))"),"")</f>
        <v/>
      </c>
      <c r="AW304" s="42" t="str">
        <f ca="1">IFERROR(__xludf.DUMMYFUNCTION("IFERROR(VLOOKUP(F318,IMPORTRANGE(""https://docs.google.com/spreadsheets/d/1Kvs4KS76FHFqLFIZfrDMff4kP08nblUkihrxltoGBjg/edit#gid=934712705"",""ESENCIAL!A6:BG""),15,FALSE))"),"")</f>
        <v/>
      </c>
      <c r="AX304" s="21" t="str">
        <f ca="1">IFERROR(__xludf.DUMMYFUNCTION("IFERROR(VLOOKUP(E318&amp;F318,IMPORTRANGE(""https://docs.google.com/spreadsheets/d/1Uw7-A9f9R21vMXxHZFNpYNeKFtG8_yji4HS352LGlSQ/edit?pli=1#gid=0"",""1_ACUM!A4:S""),12,FALSE))"),"")</f>
        <v/>
      </c>
      <c r="AY304" s="43" t="str">
        <f ca="1">IFERROR(__xludf.DUMMYFUNCTION("IFERROR(VLOOKUP(E318&amp;F318,IMPORTRANGE(""https://docs.google.com/spreadsheets/d/1Uw7-A9f9R21vMXxHZFNpYNeKFtG8_yji4HS352LGlSQ/edit?pli=1#gid=0"",""1_ACUM!A4:S""),13,FALSE))"),"")</f>
        <v/>
      </c>
      <c r="AZ304" s="43" t="str">
        <f ca="1">IFERROR(__xludf.DUMMYFUNCTION("IFERROR(VLOOKUP(E318&amp;F318,IMPORTRANGE(""https://docs.google.com/spreadsheets/d/1Uw7-A9f9R21vMXxHZFNpYNeKFtG8_yji4HS352LGlSQ/edit?pli=1#gid=0"",""1_ACUM!A4:S""),14,FALSE))"),"")</f>
        <v/>
      </c>
      <c r="BA304" s="43" t="str">
        <f ca="1">IFERROR(__xludf.DUMMYFUNCTION("IFERROR(VLOOKUP(E318&amp;F318,IMPORTRANGE(""https://docs.google.com/spreadsheets/d/1Uw7-A9f9R21vMXxHZFNpYNeKFtG8_yji4HS352LGlSQ/edit?pli=1#gid=0"",""1_ACUM!A4:S""),15,FALSE))"),"")</f>
        <v/>
      </c>
      <c r="BB304" s="43" t="str">
        <f ca="1">IFERROR(__xludf.DUMMYFUNCTION("IFERROR(VLOOKUP(E318&amp;F318,IMPORTRANGE(""https://docs.google.com/spreadsheets/d/1Uw7-A9f9R21vMXxHZFNpYNeKFtG8_yji4HS352LGlSQ/edit?pli=1#gid=0"",""1_ACUM!A4:S""),16,FALSE))"),"")</f>
        <v/>
      </c>
      <c r="BC304" s="43" t="str">
        <f ca="1">IFERROR(__xludf.DUMMYFUNCTION("IFERROR(VLOOKUP(E318&amp;F318,IMPORTRANGE(""https://docs.google.com/spreadsheets/d/1Uw7-A9f9R21vMXxHZFNpYNeKFtG8_yji4HS352LGlSQ/edit?pli=1#gid=0"",""1_ACUM!A4:S""),17,FALSE))"),"")</f>
        <v/>
      </c>
      <c r="BD304" s="44" t="str">
        <f ca="1">IFERROR(__xludf.DUMMYFUNCTION("IFERROR(VLOOKUP(E318&amp;F318,IMPORTRANGE(""https://docs.google.com/spreadsheets/d/1Uw7-A9f9R21vMXxHZFNpYNeKFtG8_yji4HS352LGlSQ/edit?pli=1#gid=0"",""1_ACUM!A4:S""),18,FALSE))"),"")</f>
        <v/>
      </c>
      <c r="BE304" s="44" t="str">
        <f ca="1">IFERROR(__xludf.DUMMYFUNCTION("IFERROR(VLOOKUP(E318&amp;F318,IMPORTRANGE(""https://docs.google.com/spreadsheets/d/1Uw7-A9f9R21vMXxHZFNpYNeKFtG8_yji4HS352LGlSQ/edit?pli=1#gid=0"",""1_ACUM!A4:S""),19,FALSE))"),"")</f>
        <v/>
      </c>
      <c r="BF304" s="98" t="str">
        <f ca="1">IFERROR(__xludf.DUMMYFUNCTION("IFERROR(VLOOKUP(F318,IMPORTRANGE(""https://docs.google.com/spreadsheets/d/1Kvs4KS76FHFqLFIZfrDMff4kP08nblUkihrxltoGBjg/edit#gid=934712705"",""ESENCIAL!A6:BG""),5,FALSE))"),"")</f>
        <v/>
      </c>
      <c r="BG304" s="98" t="str">
        <f t="shared" si="17"/>
        <v/>
      </c>
      <c r="BH304" s="99" t="str">
        <f t="shared" si="18"/>
        <v/>
      </c>
      <c r="BI304" s="100" t="str">
        <f ca="1">IFERROR(__xludf.DUMMYFUNCTION("IFERROR(VLOOKUP(F318,IMPORTRANGE(""https://docs.google.com/spreadsheets/d/1Kvs4KS76FHFqLFIZfrDMff4kP08nblUkihrxltoGBjg/edit#gid=934712705"",""ESENCIAL!A6:BG""),2,FALSE))"),"")</f>
        <v/>
      </c>
      <c r="BJ304" s="19" t="str">
        <f t="shared" si="19"/>
        <v/>
      </c>
      <c r="BK304" s="100"/>
      <c r="BL304" s="100"/>
    </row>
    <row r="305" spans="1:64" ht="15">
      <c r="A305" s="101"/>
      <c r="B305" s="101"/>
      <c r="G305" s="5" t="str">
        <f ca="1">IFERROR(__xludf.DUMMYFUNCTION("IFERROR(VLOOKUP(F319,IMPORTRANGE(""https://docs.google.com/spreadsheets/d/1Kvs4KS76FHFqLFIZfrDMff4kP08nblUkihrxltoGBjg/edit#gid=934712705"",""ESENCIAL!A6:BG""),3,FALSE))"),"")</f>
        <v/>
      </c>
      <c r="H305" s="5" t="str">
        <f ca="1">IFERROR(__xludf.DUMMYFUNCTION("IFERROR(VLOOKUP(F319,IMPORTRANGE(""https://docs.google.com/spreadsheets/d/1Kvs4KS76FHFqLFIZfrDMff4kP08nblUkihrxltoGBjg/edit#gid=934712705"",""ESENCIAL!A6:BG""),8,FALSE))"),"")</f>
        <v/>
      </c>
      <c r="L305" s="287"/>
      <c r="U305" s="40"/>
      <c r="AU305" s="41" t="str">
        <f t="shared" si="16"/>
        <v/>
      </c>
      <c r="AV305" s="5" t="str">
        <f ca="1">IFERROR(__xludf.DUMMYFUNCTION("IFERROR(VLOOKUP(E319&amp;F319,IMPORTRANGE(""https://docs.google.com/spreadsheets/d/1Uw7-A9f9R21vMXxHZFNpYNeKFtG8_yji4HS352LGlSQ/edit?pli=1#gid=0"",""1_ACUM!A4:S""),11,FALSE))"),"")</f>
        <v/>
      </c>
      <c r="AW305" s="42" t="str">
        <f ca="1">IFERROR(__xludf.DUMMYFUNCTION("IFERROR(VLOOKUP(F319,IMPORTRANGE(""https://docs.google.com/spreadsheets/d/1Kvs4KS76FHFqLFIZfrDMff4kP08nblUkihrxltoGBjg/edit#gid=934712705"",""ESENCIAL!A6:BG""),15,FALSE))"),"")</f>
        <v/>
      </c>
      <c r="AX305" s="21" t="str">
        <f ca="1">IFERROR(__xludf.DUMMYFUNCTION("IFERROR(VLOOKUP(E319&amp;F319,IMPORTRANGE(""https://docs.google.com/spreadsheets/d/1Uw7-A9f9R21vMXxHZFNpYNeKFtG8_yji4HS352LGlSQ/edit?pli=1#gid=0"",""1_ACUM!A4:S""),12,FALSE))"),"")</f>
        <v/>
      </c>
      <c r="AY305" s="43" t="str">
        <f ca="1">IFERROR(__xludf.DUMMYFUNCTION("IFERROR(VLOOKUP(E319&amp;F319,IMPORTRANGE(""https://docs.google.com/spreadsheets/d/1Uw7-A9f9R21vMXxHZFNpYNeKFtG8_yji4HS352LGlSQ/edit?pli=1#gid=0"",""1_ACUM!A4:S""),13,FALSE))"),"")</f>
        <v/>
      </c>
      <c r="AZ305" s="43" t="str">
        <f ca="1">IFERROR(__xludf.DUMMYFUNCTION("IFERROR(VLOOKUP(E319&amp;F319,IMPORTRANGE(""https://docs.google.com/spreadsheets/d/1Uw7-A9f9R21vMXxHZFNpYNeKFtG8_yji4HS352LGlSQ/edit?pli=1#gid=0"",""1_ACUM!A4:S""),14,FALSE))"),"")</f>
        <v/>
      </c>
      <c r="BA305" s="43" t="str">
        <f ca="1">IFERROR(__xludf.DUMMYFUNCTION("IFERROR(VLOOKUP(E319&amp;F319,IMPORTRANGE(""https://docs.google.com/spreadsheets/d/1Uw7-A9f9R21vMXxHZFNpYNeKFtG8_yji4HS352LGlSQ/edit?pli=1#gid=0"",""1_ACUM!A4:S""),15,FALSE))"),"")</f>
        <v/>
      </c>
      <c r="BB305" s="43" t="str">
        <f ca="1">IFERROR(__xludf.DUMMYFUNCTION("IFERROR(VLOOKUP(E319&amp;F319,IMPORTRANGE(""https://docs.google.com/spreadsheets/d/1Uw7-A9f9R21vMXxHZFNpYNeKFtG8_yji4HS352LGlSQ/edit?pli=1#gid=0"",""1_ACUM!A4:S""),16,FALSE))"),"")</f>
        <v/>
      </c>
      <c r="BC305" s="43" t="str">
        <f ca="1">IFERROR(__xludf.DUMMYFUNCTION("IFERROR(VLOOKUP(E319&amp;F319,IMPORTRANGE(""https://docs.google.com/spreadsheets/d/1Uw7-A9f9R21vMXxHZFNpYNeKFtG8_yji4HS352LGlSQ/edit?pli=1#gid=0"",""1_ACUM!A4:S""),17,FALSE))"),"")</f>
        <v/>
      </c>
      <c r="BD305" s="44" t="str">
        <f ca="1">IFERROR(__xludf.DUMMYFUNCTION("IFERROR(VLOOKUP(E319&amp;F319,IMPORTRANGE(""https://docs.google.com/spreadsheets/d/1Uw7-A9f9R21vMXxHZFNpYNeKFtG8_yji4HS352LGlSQ/edit?pli=1#gid=0"",""1_ACUM!A4:S""),18,FALSE))"),"")</f>
        <v/>
      </c>
      <c r="BE305" s="44" t="str">
        <f ca="1">IFERROR(__xludf.DUMMYFUNCTION("IFERROR(VLOOKUP(E319&amp;F319,IMPORTRANGE(""https://docs.google.com/spreadsheets/d/1Uw7-A9f9R21vMXxHZFNpYNeKFtG8_yji4HS352LGlSQ/edit?pli=1#gid=0"",""1_ACUM!A4:S""),19,FALSE))"),"")</f>
        <v/>
      </c>
      <c r="BF305" s="98" t="str">
        <f ca="1">IFERROR(__xludf.DUMMYFUNCTION("IFERROR(VLOOKUP(F319,IMPORTRANGE(""https://docs.google.com/spreadsheets/d/1Kvs4KS76FHFqLFIZfrDMff4kP08nblUkihrxltoGBjg/edit#gid=934712705"",""ESENCIAL!A6:BG""),5,FALSE))"),"")</f>
        <v/>
      </c>
      <c r="BG305" s="98" t="str">
        <f t="shared" si="17"/>
        <v/>
      </c>
      <c r="BH305" s="99" t="str">
        <f t="shared" si="18"/>
        <v/>
      </c>
      <c r="BI305" s="100" t="str">
        <f ca="1">IFERROR(__xludf.DUMMYFUNCTION("IFERROR(VLOOKUP(F319,IMPORTRANGE(""https://docs.google.com/spreadsheets/d/1Kvs4KS76FHFqLFIZfrDMff4kP08nblUkihrxltoGBjg/edit#gid=934712705"",""ESENCIAL!A6:BG""),2,FALSE))"),"")</f>
        <v/>
      </c>
      <c r="BJ305" s="19" t="str">
        <f t="shared" si="19"/>
        <v/>
      </c>
      <c r="BK305" s="100"/>
      <c r="BL305" s="100"/>
    </row>
    <row r="306" spans="1:64" ht="15">
      <c r="A306" s="101"/>
      <c r="B306" s="101"/>
      <c r="G306" s="5" t="str">
        <f ca="1">IFERROR(__xludf.DUMMYFUNCTION("IFERROR(VLOOKUP(F320,IMPORTRANGE(""https://docs.google.com/spreadsheets/d/1Kvs4KS76FHFqLFIZfrDMff4kP08nblUkihrxltoGBjg/edit#gid=934712705"",""ESENCIAL!A6:BG""),3,FALSE))"),"")</f>
        <v/>
      </c>
      <c r="H306" s="5" t="str">
        <f ca="1">IFERROR(__xludf.DUMMYFUNCTION("IFERROR(VLOOKUP(F320,IMPORTRANGE(""https://docs.google.com/spreadsheets/d/1Kvs4KS76FHFqLFIZfrDMff4kP08nblUkihrxltoGBjg/edit#gid=934712705"",""ESENCIAL!A6:BG""),8,FALSE))"),"")</f>
        <v/>
      </c>
      <c r="L306" s="287"/>
      <c r="U306" s="40"/>
      <c r="AU306" s="41" t="str">
        <f t="shared" si="16"/>
        <v/>
      </c>
      <c r="AV306" s="5" t="str">
        <f ca="1">IFERROR(__xludf.DUMMYFUNCTION("IFERROR(VLOOKUP(E320&amp;F320,IMPORTRANGE(""https://docs.google.com/spreadsheets/d/1Uw7-A9f9R21vMXxHZFNpYNeKFtG8_yji4HS352LGlSQ/edit?pli=1#gid=0"",""1_ACUM!A4:S""),11,FALSE))"),"")</f>
        <v/>
      </c>
      <c r="AW306" s="42" t="str">
        <f ca="1">IFERROR(__xludf.DUMMYFUNCTION("IFERROR(VLOOKUP(F320,IMPORTRANGE(""https://docs.google.com/spreadsheets/d/1Kvs4KS76FHFqLFIZfrDMff4kP08nblUkihrxltoGBjg/edit#gid=934712705"",""ESENCIAL!A6:BG""),15,FALSE))"),"")</f>
        <v/>
      </c>
      <c r="AX306" s="21" t="str">
        <f ca="1">IFERROR(__xludf.DUMMYFUNCTION("IFERROR(VLOOKUP(E320&amp;F320,IMPORTRANGE(""https://docs.google.com/spreadsheets/d/1Uw7-A9f9R21vMXxHZFNpYNeKFtG8_yji4HS352LGlSQ/edit?pli=1#gid=0"",""1_ACUM!A4:S""),12,FALSE))"),"")</f>
        <v/>
      </c>
      <c r="AY306" s="43" t="str">
        <f ca="1">IFERROR(__xludf.DUMMYFUNCTION("IFERROR(VLOOKUP(E320&amp;F320,IMPORTRANGE(""https://docs.google.com/spreadsheets/d/1Uw7-A9f9R21vMXxHZFNpYNeKFtG8_yji4HS352LGlSQ/edit?pli=1#gid=0"",""1_ACUM!A4:S""),13,FALSE))"),"")</f>
        <v/>
      </c>
      <c r="AZ306" s="43" t="str">
        <f ca="1">IFERROR(__xludf.DUMMYFUNCTION("IFERROR(VLOOKUP(E320&amp;F320,IMPORTRANGE(""https://docs.google.com/spreadsheets/d/1Uw7-A9f9R21vMXxHZFNpYNeKFtG8_yji4HS352LGlSQ/edit?pli=1#gid=0"",""1_ACUM!A4:S""),14,FALSE))"),"")</f>
        <v/>
      </c>
      <c r="BA306" s="43" t="str">
        <f ca="1">IFERROR(__xludf.DUMMYFUNCTION("IFERROR(VLOOKUP(E320&amp;F320,IMPORTRANGE(""https://docs.google.com/spreadsheets/d/1Uw7-A9f9R21vMXxHZFNpYNeKFtG8_yji4HS352LGlSQ/edit?pli=1#gid=0"",""1_ACUM!A4:S""),15,FALSE))"),"")</f>
        <v/>
      </c>
      <c r="BB306" s="43" t="str">
        <f ca="1">IFERROR(__xludf.DUMMYFUNCTION("IFERROR(VLOOKUP(E320&amp;F320,IMPORTRANGE(""https://docs.google.com/spreadsheets/d/1Uw7-A9f9R21vMXxHZFNpYNeKFtG8_yji4HS352LGlSQ/edit?pli=1#gid=0"",""1_ACUM!A4:S""),16,FALSE))"),"")</f>
        <v/>
      </c>
      <c r="BC306" s="43" t="str">
        <f ca="1">IFERROR(__xludf.DUMMYFUNCTION("IFERROR(VLOOKUP(E320&amp;F320,IMPORTRANGE(""https://docs.google.com/spreadsheets/d/1Uw7-A9f9R21vMXxHZFNpYNeKFtG8_yji4HS352LGlSQ/edit?pli=1#gid=0"",""1_ACUM!A4:S""),17,FALSE))"),"")</f>
        <v/>
      </c>
      <c r="BD306" s="44" t="str">
        <f ca="1">IFERROR(__xludf.DUMMYFUNCTION("IFERROR(VLOOKUP(E320&amp;F320,IMPORTRANGE(""https://docs.google.com/spreadsheets/d/1Uw7-A9f9R21vMXxHZFNpYNeKFtG8_yji4HS352LGlSQ/edit?pli=1#gid=0"",""1_ACUM!A4:S""),18,FALSE))"),"")</f>
        <v/>
      </c>
      <c r="BE306" s="44" t="str">
        <f ca="1">IFERROR(__xludf.DUMMYFUNCTION("IFERROR(VLOOKUP(E320&amp;F320,IMPORTRANGE(""https://docs.google.com/spreadsheets/d/1Uw7-A9f9R21vMXxHZFNpYNeKFtG8_yji4HS352LGlSQ/edit?pli=1#gid=0"",""1_ACUM!A4:S""),19,FALSE))"),"")</f>
        <v/>
      </c>
      <c r="BF306" s="98" t="str">
        <f ca="1">IFERROR(__xludf.DUMMYFUNCTION("IFERROR(VLOOKUP(F320,IMPORTRANGE(""https://docs.google.com/spreadsheets/d/1Kvs4KS76FHFqLFIZfrDMff4kP08nblUkihrxltoGBjg/edit#gid=934712705"",""ESENCIAL!A6:BG""),5,FALSE))"),"")</f>
        <v/>
      </c>
      <c r="BG306" s="98" t="str">
        <f t="shared" si="17"/>
        <v/>
      </c>
      <c r="BH306" s="99" t="str">
        <f t="shared" si="18"/>
        <v/>
      </c>
      <c r="BI306" s="100" t="str">
        <f ca="1">IFERROR(__xludf.DUMMYFUNCTION("IFERROR(VLOOKUP(F320,IMPORTRANGE(""https://docs.google.com/spreadsheets/d/1Kvs4KS76FHFqLFIZfrDMff4kP08nblUkihrxltoGBjg/edit#gid=934712705"",""ESENCIAL!A6:BG""),2,FALSE))"),"")</f>
        <v/>
      </c>
      <c r="BJ306" s="19" t="str">
        <f t="shared" si="19"/>
        <v/>
      </c>
      <c r="BK306" s="100"/>
      <c r="BL306" s="100"/>
    </row>
    <row r="307" spans="1:64" ht="15">
      <c r="A307" s="101"/>
      <c r="B307" s="101"/>
      <c r="G307" s="5" t="str">
        <f ca="1">IFERROR(__xludf.DUMMYFUNCTION("IFERROR(VLOOKUP(F321,IMPORTRANGE(""https://docs.google.com/spreadsheets/d/1Kvs4KS76FHFqLFIZfrDMff4kP08nblUkihrxltoGBjg/edit#gid=934712705"",""ESENCIAL!A6:BG""),3,FALSE))"),"")</f>
        <v/>
      </c>
      <c r="H307" s="5" t="str">
        <f ca="1">IFERROR(__xludf.DUMMYFUNCTION("IFERROR(VLOOKUP(F321,IMPORTRANGE(""https://docs.google.com/spreadsheets/d/1Kvs4KS76FHFqLFIZfrDMff4kP08nblUkihrxltoGBjg/edit#gid=934712705"",""ESENCIAL!A6:BG""),8,FALSE))"),"")</f>
        <v/>
      </c>
      <c r="L307" s="287"/>
      <c r="U307" s="40"/>
      <c r="AU307" s="41" t="str">
        <f t="shared" si="16"/>
        <v/>
      </c>
      <c r="AV307" s="5" t="str">
        <f ca="1">IFERROR(__xludf.DUMMYFUNCTION("IFERROR(VLOOKUP(E321&amp;F321,IMPORTRANGE(""https://docs.google.com/spreadsheets/d/1Uw7-A9f9R21vMXxHZFNpYNeKFtG8_yji4HS352LGlSQ/edit?pli=1#gid=0"",""1_ACUM!A4:S""),11,FALSE))"),"")</f>
        <v/>
      </c>
      <c r="AW307" s="42" t="str">
        <f ca="1">IFERROR(__xludf.DUMMYFUNCTION("IFERROR(VLOOKUP(F321,IMPORTRANGE(""https://docs.google.com/spreadsheets/d/1Kvs4KS76FHFqLFIZfrDMff4kP08nblUkihrxltoGBjg/edit#gid=934712705"",""ESENCIAL!A6:BG""),15,FALSE))"),"")</f>
        <v/>
      </c>
      <c r="AX307" s="21" t="str">
        <f ca="1">IFERROR(__xludf.DUMMYFUNCTION("IFERROR(VLOOKUP(E321&amp;F321,IMPORTRANGE(""https://docs.google.com/spreadsheets/d/1Uw7-A9f9R21vMXxHZFNpYNeKFtG8_yji4HS352LGlSQ/edit?pli=1#gid=0"",""1_ACUM!A4:S""),12,FALSE))"),"")</f>
        <v/>
      </c>
      <c r="AY307" s="43" t="str">
        <f ca="1">IFERROR(__xludf.DUMMYFUNCTION("IFERROR(VLOOKUP(E321&amp;F321,IMPORTRANGE(""https://docs.google.com/spreadsheets/d/1Uw7-A9f9R21vMXxHZFNpYNeKFtG8_yji4HS352LGlSQ/edit?pli=1#gid=0"",""1_ACUM!A4:S""),13,FALSE))"),"")</f>
        <v/>
      </c>
      <c r="AZ307" s="43" t="str">
        <f ca="1">IFERROR(__xludf.DUMMYFUNCTION("IFERROR(VLOOKUP(E321&amp;F321,IMPORTRANGE(""https://docs.google.com/spreadsheets/d/1Uw7-A9f9R21vMXxHZFNpYNeKFtG8_yji4HS352LGlSQ/edit?pli=1#gid=0"",""1_ACUM!A4:S""),14,FALSE))"),"")</f>
        <v/>
      </c>
      <c r="BA307" s="43" t="str">
        <f ca="1">IFERROR(__xludf.DUMMYFUNCTION("IFERROR(VLOOKUP(E321&amp;F321,IMPORTRANGE(""https://docs.google.com/spreadsheets/d/1Uw7-A9f9R21vMXxHZFNpYNeKFtG8_yji4HS352LGlSQ/edit?pli=1#gid=0"",""1_ACUM!A4:S""),15,FALSE))"),"")</f>
        <v/>
      </c>
      <c r="BB307" s="43" t="str">
        <f ca="1">IFERROR(__xludf.DUMMYFUNCTION("IFERROR(VLOOKUP(E321&amp;F321,IMPORTRANGE(""https://docs.google.com/spreadsheets/d/1Uw7-A9f9R21vMXxHZFNpYNeKFtG8_yji4HS352LGlSQ/edit?pli=1#gid=0"",""1_ACUM!A4:S""),16,FALSE))"),"")</f>
        <v/>
      </c>
      <c r="BC307" s="43" t="str">
        <f ca="1">IFERROR(__xludf.DUMMYFUNCTION("IFERROR(VLOOKUP(E321&amp;F321,IMPORTRANGE(""https://docs.google.com/spreadsheets/d/1Uw7-A9f9R21vMXxHZFNpYNeKFtG8_yji4HS352LGlSQ/edit?pli=1#gid=0"",""1_ACUM!A4:S""),17,FALSE))"),"")</f>
        <v/>
      </c>
      <c r="BD307" s="44" t="str">
        <f ca="1">IFERROR(__xludf.DUMMYFUNCTION("IFERROR(VLOOKUP(E321&amp;F321,IMPORTRANGE(""https://docs.google.com/spreadsheets/d/1Uw7-A9f9R21vMXxHZFNpYNeKFtG8_yji4HS352LGlSQ/edit?pli=1#gid=0"",""1_ACUM!A4:S""),18,FALSE))"),"")</f>
        <v/>
      </c>
      <c r="BE307" s="44" t="str">
        <f ca="1">IFERROR(__xludf.DUMMYFUNCTION("IFERROR(VLOOKUP(E321&amp;F321,IMPORTRANGE(""https://docs.google.com/spreadsheets/d/1Uw7-A9f9R21vMXxHZFNpYNeKFtG8_yji4HS352LGlSQ/edit?pli=1#gid=0"",""1_ACUM!A4:S""),19,FALSE))"),"")</f>
        <v/>
      </c>
      <c r="BF307" s="98" t="str">
        <f ca="1">IFERROR(__xludf.DUMMYFUNCTION("IFERROR(VLOOKUP(F321,IMPORTRANGE(""https://docs.google.com/spreadsheets/d/1Kvs4KS76FHFqLFIZfrDMff4kP08nblUkihrxltoGBjg/edit#gid=934712705"",""ESENCIAL!A6:BG""),5,FALSE))"),"")</f>
        <v/>
      </c>
      <c r="BG307" s="98" t="str">
        <f t="shared" si="17"/>
        <v/>
      </c>
      <c r="BH307" s="99" t="str">
        <f t="shared" si="18"/>
        <v/>
      </c>
      <c r="BI307" s="100" t="str">
        <f ca="1">IFERROR(__xludf.DUMMYFUNCTION("IFERROR(VLOOKUP(F321,IMPORTRANGE(""https://docs.google.com/spreadsheets/d/1Kvs4KS76FHFqLFIZfrDMff4kP08nblUkihrxltoGBjg/edit#gid=934712705"",""ESENCIAL!A6:BG""),2,FALSE))"),"")</f>
        <v/>
      </c>
      <c r="BJ307" s="19" t="str">
        <f t="shared" si="19"/>
        <v/>
      </c>
      <c r="BK307" s="100"/>
      <c r="BL307" s="100"/>
    </row>
    <row r="308" spans="1:64" ht="15">
      <c r="A308" s="101"/>
      <c r="B308" s="101"/>
      <c r="G308" s="5" t="str">
        <f ca="1">IFERROR(__xludf.DUMMYFUNCTION("IFERROR(VLOOKUP(F322,IMPORTRANGE(""https://docs.google.com/spreadsheets/d/1Kvs4KS76FHFqLFIZfrDMff4kP08nblUkihrxltoGBjg/edit#gid=934712705"",""ESENCIAL!A6:BG""),3,FALSE))"),"")</f>
        <v/>
      </c>
      <c r="H308" s="5" t="str">
        <f ca="1">IFERROR(__xludf.DUMMYFUNCTION("IFERROR(VLOOKUP(F322,IMPORTRANGE(""https://docs.google.com/spreadsheets/d/1Kvs4KS76FHFqLFIZfrDMff4kP08nblUkihrxltoGBjg/edit#gid=934712705"",""ESENCIAL!A6:BG""),8,FALSE))"),"")</f>
        <v/>
      </c>
      <c r="L308" s="287"/>
      <c r="U308" s="40"/>
      <c r="AU308" s="41" t="str">
        <f t="shared" si="16"/>
        <v/>
      </c>
      <c r="AV308" s="5" t="str">
        <f ca="1">IFERROR(__xludf.DUMMYFUNCTION("IFERROR(VLOOKUP(E322&amp;F322,IMPORTRANGE(""https://docs.google.com/spreadsheets/d/1Uw7-A9f9R21vMXxHZFNpYNeKFtG8_yji4HS352LGlSQ/edit?pli=1#gid=0"",""1_ACUM!A4:S""),11,FALSE))"),"")</f>
        <v/>
      </c>
      <c r="AW308" s="42" t="str">
        <f ca="1">IFERROR(__xludf.DUMMYFUNCTION("IFERROR(VLOOKUP(F322,IMPORTRANGE(""https://docs.google.com/spreadsheets/d/1Kvs4KS76FHFqLFIZfrDMff4kP08nblUkihrxltoGBjg/edit#gid=934712705"",""ESENCIAL!A6:BG""),15,FALSE))"),"")</f>
        <v/>
      </c>
      <c r="AX308" s="21" t="str">
        <f ca="1">IFERROR(__xludf.DUMMYFUNCTION("IFERROR(VLOOKUP(E322&amp;F322,IMPORTRANGE(""https://docs.google.com/spreadsheets/d/1Uw7-A9f9R21vMXxHZFNpYNeKFtG8_yji4HS352LGlSQ/edit?pli=1#gid=0"",""1_ACUM!A4:S""),12,FALSE))"),"")</f>
        <v/>
      </c>
      <c r="AY308" s="43" t="str">
        <f ca="1">IFERROR(__xludf.DUMMYFUNCTION("IFERROR(VLOOKUP(E322&amp;F322,IMPORTRANGE(""https://docs.google.com/spreadsheets/d/1Uw7-A9f9R21vMXxHZFNpYNeKFtG8_yji4HS352LGlSQ/edit?pli=1#gid=0"",""1_ACUM!A4:S""),13,FALSE))"),"")</f>
        <v/>
      </c>
      <c r="AZ308" s="43" t="str">
        <f ca="1">IFERROR(__xludf.DUMMYFUNCTION("IFERROR(VLOOKUP(E322&amp;F322,IMPORTRANGE(""https://docs.google.com/spreadsheets/d/1Uw7-A9f9R21vMXxHZFNpYNeKFtG8_yji4HS352LGlSQ/edit?pli=1#gid=0"",""1_ACUM!A4:S""),14,FALSE))"),"")</f>
        <v/>
      </c>
      <c r="BA308" s="43" t="str">
        <f ca="1">IFERROR(__xludf.DUMMYFUNCTION("IFERROR(VLOOKUP(E322&amp;F322,IMPORTRANGE(""https://docs.google.com/spreadsheets/d/1Uw7-A9f9R21vMXxHZFNpYNeKFtG8_yji4HS352LGlSQ/edit?pli=1#gid=0"",""1_ACUM!A4:S""),15,FALSE))"),"")</f>
        <v/>
      </c>
      <c r="BB308" s="43" t="str">
        <f ca="1">IFERROR(__xludf.DUMMYFUNCTION("IFERROR(VLOOKUP(E322&amp;F322,IMPORTRANGE(""https://docs.google.com/spreadsheets/d/1Uw7-A9f9R21vMXxHZFNpYNeKFtG8_yji4HS352LGlSQ/edit?pli=1#gid=0"",""1_ACUM!A4:S""),16,FALSE))"),"")</f>
        <v/>
      </c>
      <c r="BC308" s="43" t="str">
        <f ca="1">IFERROR(__xludf.DUMMYFUNCTION("IFERROR(VLOOKUP(E322&amp;F322,IMPORTRANGE(""https://docs.google.com/spreadsheets/d/1Uw7-A9f9R21vMXxHZFNpYNeKFtG8_yji4HS352LGlSQ/edit?pli=1#gid=0"",""1_ACUM!A4:S""),17,FALSE))"),"")</f>
        <v/>
      </c>
      <c r="BD308" s="44" t="str">
        <f ca="1">IFERROR(__xludf.DUMMYFUNCTION("IFERROR(VLOOKUP(E322&amp;F322,IMPORTRANGE(""https://docs.google.com/spreadsheets/d/1Uw7-A9f9R21vMXxHZFNpYNeKFtG8_yji4HS352LGlSQ/edit?pli=1#gid=0"",""1_ACUM!A4:S""),18,FALSE))"),"")</f>
        <v/>
      </c>
      <c r="BE308" s="44" t="str">
        <f ca="1">IFERROR(__xludf.DUMMYFUNCTION("IFERROR(VLOOKUP(E322&amp;F322,IMPORTRANGE(""https://docs.google.com/spreadsheets/d/1Uw7-A9f9R21vMXxHZFNpYNeKFtG8_yji4HS352LGlSQ/edit?pli=1#gid=0"",""1_ACUM!A4:S""),19,FALSE))"),"")</f>
        <v/>
      </c>
      <c r="BF308" s="98" t="str">
        <f ca="1">IFERROR(__xludf.DUMMYFUNCTION("IFERROR(VLOOKUP(F322,IMPORTRANGE(""https://docs.google.com/spreadsheets/d/1Kvs4KS76FHFqLFIZfrDMff4kP08nblUkihrxltoGBjg/edit#gid=934712705"",""ESENCIAL!A6:BG""),5,FALSE))"),"")</f>
        <v/>
      </c>
      <c r="BG308" s="98" t="str">
        <f t="shared" si="17"/>
        <v/>
      </c>
      <c r="BH308" s="99" t="str">
        <f t="shared" si="18"/>
        <v/>
      </c>
      <c r="BI308" s="100" t="str">
        <f ca="1">IFERROR(__xludf.DUMMYFUNCTION("IFERROR(VLOOKUP(F322,IMPORTRANGE(""https://docs.google.com/spreadsheets/d/1Kvs4KS76FHFqLFIZfrDMff4kP08nblUkihrxltoGBjg/edit#gid=934712705"",""ESENCIAL!A6:BG""),2,FALSE))"),"")</f>
        <v/>
      </c>
      <c r="BJ308" s="19" t="str">
        <f t="shared" si="19"/>
        <v/>
      </c>
      <c r="BK308" s="100"/>
      <c r="BL308" s="100"/>
    </row>
    <row r="309" spans="1:64" ht="15">
      <c r="A309" s="101"/>
      <c r="B309" s="101"/>
      <c r="G309" s="5" t="str">
        <f ca="1">IFERROR(__xludf.DUMMYFUNCTION("IFERROR(VLOOKUP(F323,IMPORTRANGE(""https://docs.google.com/spreadsheets/d/1Kvs4KS76FHFqLFIZfrDMff4kP08nblUkihrxltoGBjg/edit#gid=934712705"",""ESENCIAL!A6:BG""),3,FALSE))"),"")</f>
        <v/>
      </c>
      <c r="H309" s="5" t="str">
        <f ca="1">IFERROR(__xludf.DUMMYFUNCTION("IFERROR(VLOOKUP(F323,IMPORTRANGE(""https://docs.google.com/spreadsheets/d/1Kvs4KS76FHFqLFIZfrDMff4kP08nblUkihrxltoGBjg/edit#gid=934712705"",""ESENCIAL!A6:BG""),8,FALSE))"),"")</f>
        <v/>
      </c>
      <c r="L309" s="287"/>
      <c r="U309" s="40"/>
      <c r="AU309" s="41" t="str">
        <f t="shared" si="16"/>
        <v/>
      </c>
      <c r="AV309" s="5" t="str">
        <f ca="1">IFERROR(__xludf.DUMMYFUNCTION("IFERROR(VLOOKUP(E323&amp;F323,IMPORTRANGE(""https://docs.google.com/spreadsheets/d/1Uw7-A9f9R21vMXxHZFNpYNeKFtG8_yji4HS352LGlSQ/edit?pli=1#gid=0"",""1_ACUM!A4:S""),11,FALSE))"),"")</f>
        <v/>
      </c>
      <c r="AW309" s="42" t="str">
        <f ca="1">IFERROR(__xludf.DUMMYFUNCTION("IFERROR(VLOOKUP(F323,IMPORTRANGE(""https://docs.google.com/spreadsheets/d/1Kvs4KS76FHFqLFIZfrDMff4kP08nblUkihrxltoGBjg/edit#gid=934712705"",""ESENCIAL!A6:BG""),15,FALSE))"),"")</f>
        <v/>
      </c>
      <c r="AX309" s="21" t="str">
        <f ca="1">IFERROR(__xludf.DUMMYFUNCTION("IFERROR(VLOOKUP(E323&amp;F323,IMPORTRANGE(""https://docs.google.com/spreadsheets/d/1Uw7-A9f9R21vMXxHZFNpYNeKFtG8_yji4HS352LGlSQ/edit?pli=1#gid=0"",""1_ACUM!A4:S""),12,FALSE))"),"")</f>
        <v/>
      </c>
      <c r="AY309" s="43" t="str">
        <f ca="1">IFERROR(__xludf.DUMMYFUNCTION("IFERROR(VLOOKUP(E323&amp;F323,IMPORTRANGE(""https://docs.google.com/spreadsheets/d/1Uw7-A9f9R21vMXxHZFNpYNeKFtG8_yji4HS352LGlSQ/edit?pli=1#gid=0"",""1_ACUM!A4:S""),13,FALSE))"),"")</f>
        <v/>
      </c>
      <c r="AZ309" s="43" t="str">
        <f ca="1">IFERROR(__xludf.DUMMYFUNCTION("IFERROR(VLOOKUP(E323&amp;F323,IMPORTRANGE(""https://docs.google.com/spreadsheets/d/1Uw7-A9f9R21vMXxHZFNpYNeKFtG8_yji4HS352LGlSQ/edit?pli=1#gid=0"",""1_ACUM!A4:S""),14,FALSE))"),"")</f>
        <v/>
      </c>
      <c r="BA309" s="43" t="str">
        <f ca="1">IFERROR(__xludf.DUMMYFUNCTION("IFERROR(VLOOKUP(E323&amp;F323,IMPORTRANGE(""https://docs.google.com/spreadsheets/d/1Uw7-A9f9R21vMXxHZFNpYNeKFtG8_yji4HS352LGlSQ/edit?pli=1#gid=0"",""1_ACUM!A4:S""),15,FALSE))"),"")</f>
        <v/>
      </c>
      <c r="BB309" s="43" t="str">
        <f ca="1">IFERROR(__xludf.DUMMYFUNCTION("IFERROR(VLOOKUP(E323&amp;F323,IMPORTRANGE(""https://docs.google.com/spreadsheets/d/1Uw7-A9f9R21vMXxHZFNpYNeKFtG8_yji4HS352LGlSQ/edit?pli=1#gid=0"",""1_ACUM!A4:S""),16,FALSE))"),"")</f>
        <v/>
      </c>
      <c r="BC309" s="43" t="str">
        <f ca="1">IFERROR(__xludf.DUMMYFUNCTION("IFERROR(VLOOKUP(E323&amp;F323,IMPORTRANGE(""https://docs.google.com/spreadsheets/d/1Uw7-A9f9R21vMXxHZFNpYNeKFtG8_yji4HS352LGlSQ/edit?pli=1#gid=0"",""1_ACUM!A4:S""),17,FALSE))"),"")</f>
        <v/>
      </c>
      <c r="BD309" s="44" t="str">
        <f ca="1">IFERROR(__xludf.DUMMYFUNCTION("IFERROR(VLOOKUP(E323&amp;F323,IMPORTRANGE(""https://docs.google.com/spreadsheets/d/1Uw7-A9f9R21vMXxHZFNpYNeKFtG8_yji4HS352LGlSQ/edit?pli=1#gid=0"",""1_ACUM!A4:S""),18,FALSE))"),"")</f>
        <v/>
      </c>
      <c r="BE309" s="44" t="str">
        <f ca="1">IFERROR(__xludf.DUMMYFUNCTION("IFERROR(VLOOKUP(E323&amp;F323,IMPORTRANGE(""https://docs.google.com/spreadsheets/d/1Uw7-A9f9R21vMXxHZFNpYNeKFtG8_yji4HS352LGlSQ/edit?pli=1#gid=0"",""1_ACUM!A4:S""),19,FALSE))"),"")</f>
        <v/>
      </c>
      <c r="BF309" s="98" t="str">
        <f ca="1">IFERROR(__xludf.DUMMYFUNCTION("IFERROR(VLOOKUP(F323,IMPORTRANGE(""https://docs.google.com/spreadsheets/d/1Kvs4KS76FHFqLFIZfrDMff4kP08nblUkihrxltoGBjg/edit#gid=934712705"",""ESENCIAL!A6:BG""),5,FALSE))"),"")</f>
        <v/>
      </c>
      <c r="BG309" s="98" t="str">
        <f t="shared" si="17"/>
        <v/>
      </c>
      <c r="BH309" s="99" t="str">
        <f t="shared" si="18"/>
        <v/>
      </c>
      <c r="BI309" s="100" t="str">
        <f ca="1">IFERROR(__xludf.DUMMYFUNCTION("IFERROR(VLOOKUP(F323,IMPORTRANGE(""https://docs.google.com/spreadsheets/d/1Kvs4KS76FHFqLFIZfrDMff4kP08nblUkihrxltoGBjg/edit#gid=934712705"",""ESENCIAL!A6:BG""),2,FALSE))"),"")</f>
        <v/>
      </c>
      <c r="BJ309" s="19" t="str">
        <f t="shared" si="19"/>
        <v/>
      </c>
      <c r="BK309" s="100"/>
      <c r="BL309" s="100"/>
    </row>
    <row r="310" spans="1:64" ht="15">
      <c r="A310" s="101"/>
      <c r="B310" s="101"/>
      <c r="G310" s="5" t="str">
        <f ca="1">IFERROR(__xludf.DUMMYFUNCTION("IFERROR(VLOOKUP(F324,IMPORTRANGE(""https://docs.google.com/spreadsheets/d/1Kvs4KS76FHFqLFIZfrDMff4kP08nblUkihrxltoGBjg/edit#gid=934712705"",""ESENCIAL!A6:BG""),3,FALSE))"),"")</f>
        <v/>
      </c>
      <c r="H310" s="5" t="str">
        <f ca="1">IFERROR(__xludf.DUMMYFUNCTION("IFERROR(VLOOKUP(F324,IMPORTRANGE(""https://docs.google.com/spreadsheets/d/1Kvs4KS76FHFqLFIZfrDMff4kP08nblUkihrxltoGBjg/edit#gid=934712705"",""ESENCIAL!A6:BG""),8,FALSE))"),"")</f>
        <v/>
      </c>
      <c r="L310" s="287"/>
      <c r="U310" s="40"/>
      <c r="AU310" s="41" t="str">
        <f t="shared" si="16"/>
        <v/>
      </c>
      <c r="AV310" s="5" t="str">
        <f ca="1">IFERROR(__xludf.DUMMYFUNCTION("IFERROR(VLOOKUP(E324&amp;F324,IMPORTRANGE(""https://docs.google.com/spreadsheets/d/1Uw7-A9f9R21vMXxHZFNpYNeKFtG8_yji4HS352LGlSQ/edit?pli=1#gid=0"",""1_ACUM!A4:S""),11,FALSE))"),"")</f>
        <v/>
      </c>
      <c r="AW310" s="42" t="str">
        <f ca="1">IFERROR(__xludf.DUMMYFUNCTION("IFERROR(VLOOKUP(F324,IMPORTRANGE(""https://docs.google.com/spreadsheets/d/1Kvs4KS76FHFqLFIZfrDMff4kP08nblUkihrxltoGBjg/edit#gid=934712705"",""ESENCIAL!A6:BG""),15,FALSE))"),"")</f>
        <v/>
      </c>
      <c r="AX310" s="21" t="str">
        <f ca="1">IFERROR(__xludf.DUMMYFUNCTION("IFERROR(VLOOKUP(E324&amp;F324,IMPORTRANGE(""https://docs.google.com/spreadsheets/d/1Uw7-A9f9R21vMXxHZFNpYNeKFtG8_yji4HS352LGlSQ/edit?pli=1#gid=0"",""1_ACUM!A4:S""),12,FALSE))"),"")</f>
        <v/>
      </c>
      <c r="AY310" s="43" t="str">
        <f ca="1">IFERROR(__xludf.DUMMYFUNCTION("IFERROR(VLOOKUP(E324&amp;F324,IMPORTRANGE(""https://docs.google.com/spreadsheets/d/1Uw7-A9f9R21vMXxHZFNpYNeKFtG8_yji4HS352LGlSQ/edit?pli=1#gid=0"",""1_ACUM!A4:S""),13,FALSE))"),"")</f>
        <v/>
      </c>
      <c r="AZ310" s="43" t="str">
        <f ca="1">IFERROR(__xludf.DUMMYFUNCTION("IFERROR(VLOOKUP(E324&amp;F324,IMPORTRANGE(""https://docs.google.com/spreadsheets/d/1Uw7-A9f9R21vMXxHZFNpYNeKFtG8_yji4HS352LGlSQ/edit?pli=1#gid=0"",""1_ACUM!A4:S""),14,FALSE))"),"")</f>
        <v/>
      </c>
      <c r="BA310" s="43" t="str">
        <f ca="1">IFERROR(__xludf.DUMMYFUNCTION("IFERROR(VLOOKUP(E324&amp;F324,IMPORTRANGE(""https://docs.google.com/spreadsheets/d/1Uw7-A9f9R21vMXxHZFNpYNeKFtG8_yji4HS352LGlSQ/edit?pli=1#gid=0"",""1_ACUM!A4:S""),15,FALSE))"),"")</f>
        <v/>
      </c>
      <c r="BB310" s="43" t="str">
        <f ca="1">IFERROR(__xludf.DUMMYFUNCTION("IFERROR(VLOOKUP(E324&amp;F324,IMPORTRANGE(""https://docs.google.com/spreadsheets/d/1Uw7-A9f9R21vMXxHZFNpYNeKFtG8_yji4HS352LGlSQ/edit?pli=1#gid=0"",""1_ACUM!A4:S""),16,FALSE))"),"")</f>
        <v/>
      </c>
      <c r="BC310" s="43" t="str">
        <f ca="1">IFERROR(__xludf.DUMMYFUNCTION("IFERROR(VLOOKUP(E324&amp;F324,IMPORTRANGE(""https://docs.google.com/spreadsheets/d/1Uw7-A9f9R21vMXxHZFNpYNeKFtG8_yji4HS352LGlSQ/edit?pli=1#gid=0"",""1_ACUM!A4:S""),17,FALSE))"),"")</f>
        <v/>
      </c>
      <c r="BD310" s="44" t="str">
        <f ca="1">IFERROR(__xludf.DUMMYFUNCTION("IFERROR(VLOOKUP(E324&amp;F324,IMPORTRANGE(""https://docs.google.com/spreadsheets/d/1Uw7-A9f9R21vMXxHZFNpYNeKFtG8_yji4HS352LGlSQ/edit?pli=1#gid=0"",""1_ACUM!A4:S""),18,FALSE))"),"")</f>
        <v/>
      </c>
      <c r="BE310" s="44" t="str">
        <f ca="1">IFERROR(__xludf.DUMMYFUNCTION("IFERROR(VLOOKUP(E324&amp;F324,IMPORTRANGE(""https://docs.google.com/spreadsheets/d/1Uw7-A9f9R21vMXxHZFNpYNeKFtG8_yji4HS352LGlSQ/edit?pli=1#gid=0"",""1_ACUM!A4:S""),19,FALSE))"),"")</f>
        <v/>
      </c>
      <c r="BF310" s="98" t="str">
        <f ca="1">IFERROR(__xludf.DUMMYFUNCTION("IFERROR(VLOOKUP(F324,IMPORTRANGE(""https://docs.google.com/spreadsheets/d/1Kvs4KS76FHFqLFIZfrDMff4kP08nblUkihrxltoGBjg/edit#gid=934712705"",""ESENCIAL!A6:BG""),5,FALSE))"),"")</f>
        <v/>
      </c>
      <c r="BG310" s="98" t="str">
        <f t="shared" si="17"/>
        <v/>
      </c>
      <c r="BH310" s="99" t="str">
        <f t="shared" si="18"/>
        <v/>
      </c>
      <c r="BI310" s="100" t="str">
        <f ca="1">IFERROR(__xludf.DUMMYFUNCTION("IFERROR(VLOOKUP(F324,IMPORTRANGE(""https://docs.google.com/spreadsheets/d/1Kvs4KS76FHFqLFIZfrDMff4kP08nblUkihrxltoGBjg/edit#gid=934712705"",""ESENCIAL!A6:BG""),2,FALSE))"),"")</f>
        <v/>
      </c>
      <c r="BJ310" s="19" t="str">
        <f t="shared" si="19"/>
        <v/>
      </c>
      <c r="BK310" s="100"/>
      <c r="BL310" s="100"/>
    </row>
    <row r="311" spans="1:64" ht="15">
      <c r="A311" s="101"/>
      <c r="B311" s="101"/>
      <c r="G311" s="5" t="str">
        <f ca="1">IFERROR(__xludf.DUMMYFUNCTION("IFERROR(VLOOKUP(F325,IMPORTRANGE(""https://docs.google.com/spreadsheets/d/1Kvs4KS76FHFqLFIZfrDMff4kP08nblUkihrxltoGBjg/edit#gid=934712705"",""ESENCIAL!A6:BG""),3,FALSE))"),"")</f>
        <v/>
      </c>
      <c r="H311" s="5" t="str">
        <f ca="1">IFERROR(__xludf.DUMMYFUNCTION("IFERROR(VLOOKUP(F325,IMPORTRANGE(""https://docs.google.com/spreadsheets/d/1Kvs4KS76FHFqLFIZfrDMff4kP08nblUkihrxltoGBjg/edit#gid=934712705"",""ESENCIAL!A6:BG""),8,FALSE))"),"")</f>
        <v/>
      </c>
      <c r="L311" s="287"/>
      <c r="U311" s="40"/>
      <c r="AU311" s="41" t="str">
        <f t="shared" si="16"/>
        <v/>
      </c>
      <c r="AV311" s="5" t="str">
        <f ca="1">IFERROR(__xludf.DUMMYFUNCTION("IFERROR(VLOOKUP(E325&amp;F325,IMPORTRANGE(""https://docs.google.com/spreadsheets/d/1Uw7-A9f9R21vMXxHZFNpYNeKFtG8_yji4HS352LGlSQ/edit?pli=1#gid=0"",""1_ACUM!A4:S""),11,FALSE))"),"")</f>
        <v/>
      </c>
      <c r="AW311" s="42" t="str">
        <f ca="1">IFERROR(__xludf.DUMMYFUNCTION("IFERROR(VLOOKUP(F325,IMPORTRANGE(""https://docs.google.com/spreadsheets/d/1Kvs4KS76FHFqLFIZfrDMff4kP08nblUkihrxltoGBjg/edit#gid=934712705"",""ESENCIAL!A6:BG""),15,FALSE))"),"")</f>
        <v/>
      </c>
      <c r="AX311" s="21" t="str">
        <f ca="1">IFERROR(__xludf.DUMMYFUNCTION("IFERROR(VLOOKUP(E325&amp;F325,IMPORTRANGE(""https://docs.google.com/spreadsheets/d/1Uw7-A9f9R21vMXxHZFNpYNeKFtG8_yji4HS352LGlSQ/edit?pli=1#gid=0"",""1_ACUM!A4:S""),12,FALSE))"),"")</f>
        <v/>
      </c>
      <c r="AY311" s="43" t="str">
        <f ca="1">IFERROR(__xludf.DUMMYFUNCTION("IFERROR(VLOOKUP(E325&amp;F325,IMPORTRANGE(""https://docs.google.com/spreadsheets/d/1Uw7-A9f9R21vMXxHZFNpYNeKFtG8_yji4HS352LGlSQ/edit?pli=1#gid=0"",""1_ACUM!A4:S""),13,FALSE))"),"")</f>
        <v/>
      </c>
      <c r="AZ311" s="43" t="str">
        <f ca="1">IFERROR(__xludf.DUMMYFUNCTION("IFERROR(VLOOKUP(E325&amp;F325,IMPORTRANGE(""https://docs.google.com/spreadsheets/d/1Uw7-A9f9R21vMXxHZFNpYNeKFtG8_yji4HS352LGlSQ/edit?pli=1#gid=0"",""1_ACUM!A4:S""),14,FALSE))"),"")</f>
        <v/>
      </c>
      <c r="BA311" s="43" t="str">
        <f ca="1">IFERROR(__xludf.DUMMYFUNCTION("IFERROR(VLOOKUP(E325&amp;F325,IMPORTRANGE(""https://docs.google.com/spreadsheets/d/1Uw7-A9f9R21vMXxHZFNpYNeKFtG8_yji4HS352LGlSQ/edit?pli=1#gid=0"",""1_ACUM!A4:S""),15,FALSE))"),"")</f>
        <v/>
      </c>
      <c r="BB311" s="43" t="str">
        <f ca="1">IFERROR(__xludf.DUMMYFUNCTION("IFERROR(VLOOKUP(E325&amp;F325,IMPORTRANGE(""https://docs.google.com/spreadsheets/d/1Uw7-A9f9R21vMXxHZFNpYNeKFtG8_yji4HS352LGlSQ/edit?pli=1#gid=0"",""1_ACUM!A4:S""),16,FALSE))"),"")</f>
        <v/>
      </c>
      <c r="BC311" s="43" t="str">
        <f ca="1">IFERROR(__xludf.DUMMYFUNCTION("IFERROR(VLOOKUP(E325&amp;F325,IMPORTRANGE(""https://docs.google.com/spreadsheets/d/1Uw7-A9f9R21vMXxHZFNpYNeKFtG8_yji4HS352LGlSQ/edit?pli=1#gid=0"",""1_ACUM!A4:S""),17,FALSE))"),"")</f>
        <v/>
      </c>
      <c r="BD311" s="44" t="str">
        <f ca="1">IFERROR(__xludf.DUMMYFUNCTION("IFERROR(VLOOKUP(E325&amp;F325,IMPORTRANGE(""https://docs.google.com/spreadsheets/d/1Uw7-A9f9R21vMXxHZFNpYNeKFtG8_yji4HS352LGlSQ/edit?pli=1#gid=0"",""1_ACUM!A4:S""),18,FALSE))"),"")</f>
        <v/>
      </c>
      <c r="BE311" s="44" t="str">
        <f ca="1">IFERROR(__xludf.DUMMYFUNCTION("IFERROR(VLOOKUP(E325&amp;F325,IMPORTRANGE(""https://docs.google.com/spreadsheets/d/1Uw7-A9f9R21vMXxHZFNpYNeKFtG8_yji4HS352LGlSQ/edit?pli=1#gid=0"",""1_ACUM!A4:S""),19,FALSE))"),"")</f>
        <v/>
      </c>
      <c r="BF311" s="98" t="str">
        <f ca="1">IFERROR(__xludf.DUMMYFUNCTION("IFERROR(VLOOKUP(F325,IMPORTRANGE(""https://docs.google.com/spreadsheets/d/1Kvs4KS76FHFqLFIZfrDMff4kP08nblUkihrxltoGBjg/edit#gid=934712705"",""ESENCIAL!A6:BG""),5,FALSE))"),"")</f>
        <v/>
      </c>
      <c r="BG311" s="98" t="str">
        <f t="shared" si="17"/>
        <v/>
      </c>
      <c r="BH311" s="99" t="str">
        <f t="shared" si="18"/>
        <v/>
      </c>
      <c r="BI311" s="100" t="str">
        <f ca="1">IFERROR(__xludf.DUMMYFUNCTION("IFERROR(VLOOKUP(F325,IMPORTRANGE(""https://docs.google.com/spreadsheets/d/1Kvs4KS76FHFqLFIZfrDMff4kP08nblUkihrxltoGBjg/edit#gid=934712705"",""ESENCIAL!A6:BG""),2,FALSE))"),"")</f>
        <v/>
      </c>
      <c r="BJ311" s="19" t="str">
        <f t="shared" si="19"/>
        <v/>
      </c>
      <c r="BK311" s="100"/>
      <c r="BL311" s="100"/>
    </row>
    <row r="312" spans="1:64" ht="15">
      <c r="A312" s="101"/>
      <c r="B312" s="101"/>
      <c r="G312" s="5" t="str">
        <f ca="1">IFERROR(__xludf.DUMMYFUNCTION("IFERROR(VLOOKUP(F326,IMPORTRANGE(""https://docs.google.com/spreadsheets/d/1Kvs4KS76FHFqLFIZfrDMff4kP08nblUkihrxltoGBjg/edit#gid=934712705"",""ESENCIAL!A6:BG""),3,FALSE))"),"")</f>
        <v/>
      </c>
      <c r="H312" s="5" t="str">
        <f ca="1">IFERROR(__xludf.DUMMYFUNCTION("IFERROR(VLOOKUP(F326,IMPORTRANGE(""https://docs.google.com/spreadsheets/d/1Kvs4KS76FHFqLFIZfrDMff4kP08nblUkihrxltoGBjg/edit#gid=934712705"",""ESENCIAL!A6:BG""),8,FALSE))"),"")</f>
        <v/>
      </c>
      <c r="L312" s="287"/>
      <c r="U312" s="40"/>
      <c r="AU312" s="41" t="str">
        <f t="shared" si="16"/>
        <v/>
      </c>
      <c r="AV312" s="5" t="str">
        <f ca="1">IFERROR(__xludf.DUMMYFUNCTION("IFERROR(VLOOKUP(E326&amp;F326,IMPORTRANGE(""https://docs.google.com/spreadsheets/d/1Uw7-A9f9R21vMXxHZFNpYNeKFtG8_yji4HS352LGlSQ/edit?pli=1#gid=0"",""1_ACUM!A4:S""),11,FALSE))"),"")</f>
        <v/>
      </c>
      <c r="AW312" s="42" t="str">
        <f ca="1">IFERROR(__xludf.DUMMYFUNCTION("IFERROR(VLOOKUP(F326,IMPORTRANGE(""https://docs.google.com/spreadsheets/d/1Kvs4KS76FHFqLFIZfrDMff4kP08nblUkihrxltoGBjg/edit#gid=934712705"",""ESENCIAL!A6:BG""),15,FALSE))"),"")</f>
        <v/>
      </c>
      <c r="AX312" s="21" t="str">
        <f ca="1">IFERROR(__xludf.DUMMYFUNCTION("IFERROR(VLOOKUP(E326&amp;F326,IMPORTRANGE(""https://docs.google.com/spreadsheets/d/1Uw7-A9f9R21vMXxHZFNpYNeKFtG8_yji4HS352LGlSQ/edit?pli=1#gid=0"",""1_ACUM!A4:S""),12,FALSE))"),"")</f>
        <v/>
      </c>
      <c r="AY312" s="43" t="str">
        <f ca="1">IFERROR(__xludf.DUMMYFUNCTION("IFERROR(VLOOKUP(E326&amp;F326,IMPORTRANGE(""https://docs.google.com/spreadsheets/d/1Uw7-A9f9R21vMXxHZFNpYNeKFtG8_yji4HS352LGlSQ/edit?pli=1#gid=0"",""1_ACUM!A4:S""),13,FALSE))"),"")</f>
        <v/>
      </c>
      <c r="AZ312" s="43" t="str">
        <f ca="1">IFERROR(__xludf.DUMMYFUNCTION("IFERROR(VLOOKUP(E326&amp;F326,IMPORTRANGE(""https://docs.google.com/spreadsheets/d/1Uw7-A9f9R21vMXxHZFNpYNeKFtG8_yji4HS352LGlSQ/edit?pli=1#gid=0"",""1_ACUM!A4:S""),14,FALSE))"),"")</f>
        <v/>
      </c>
      <c r="BA312" s="43" t="str">
        <f ca="1">IFERROR(__xludf.DUMMYFUNCTION("IFERROR(VLOOKUP(E326&amp;F326,IMPORTRANGE(""https://docs.google.com/spreadsheets/d/1Uw7-A9f9R21vMXxHZFNpYNeKFtG8_yji4HS352LGlSQ/edit?pli=1#gid=0"",""1_ACUM!A4:S""),15,FALSE))"),"")</f>
        <v/>
      </c>
      <c r="BB312" s="43" t="str">
        <f ca="1">IFERROR(__xludf.DUMMYFUNCTION("IFERROR(VLOOKUP(E326&amp;F326,IMPORTRANGE(""https://docs.google.com/spreadsheets/d/1Uw7-A9f9R21vMXxHZFNpYNeKFtG8_yji4HS352LGlSQ/edit?pli=1#gid=0"",""1_ACUM!A4:S""),16,FALSE))"),"")</f>
        <v/>
      </c>
      <c r="BC312" s="43" t="str">
        <f ca="1">IFERROR(__xludf.DUMMYFUNCTION("IFERROR(VLOOKUP(E326&amp;F326,IMPORTRANGE(""https://docs.google.com/spreadsheets/d/1Uw7-A9f9R21vMXxHZFNpYNeKFtG8_yji4HS352LGlSQ/edit?pli=1#gid=0"",""1_ACUM!A4:S""),17,FALSE))"),"")</f>
        <v/>
      </c>
      <c r="BD312" s="44" t="str">
        <f ca="1">IFERROR(__xludf.DUMMYFUNCTION("IFERROR(VLOOKUP(E326&amp;F326,IMPORTRANGE(""https://docs.google.com/spreadsheets/d/1Uw7-A9f9R21vMXxHZFNpYNeKFtG8_yji4HS352LGlSQ/edit?pli=1#gid=0"",""1_ACUM!A4:S""),18,FALSE))"),"")</f>
        <v/>
      </c>
      <c r="BE312" s="44" t="str">
        <f ca="1">IFERROR(__xludf.DUMMYFUNCTION("IFERROR(VLOOKUP(E326&amp;F326,IMPORTRANGE(""https://docs.google.com/spreadsheets/d/1Uw7-A9f9R21vMXxHZFNpYNeKFtG8_yji4HS352LGlSQ/edit?pli=1#gid=0"",""1_ACUM!A4:S""),19,FALSE))"),"")</f>
        <v/>
      </c>
      <c r="BF312" s="98" t="str">
        <f ca="1">IFERROR(__xludf.DUMMYFUNCTION("IFERROR(VLOOKUP(F326,IMPORTRANGE(""https://docs.google.com/spreadsheets/d/1Kvs4KS76FHFqLFIZfrDMff4kP08nblUkihrxltoGBjg/edit#gid=934712705"",""ESENCIAL!A6:BG""),5,FALSE))"),"")</f>
        <v/>
      </c>
      <c r="BG312" s="98" t="str">
        <f t="shared" si="17"/>
        <v/>
      </c>
      <c r="BH312" s="99" t="str">
        <f t="shared" si="18"/>
        <v/>
      </c>
      <c r="BI312" s="100" t="str">
        <f ca="1">IFERROR(__xludf.DUMMYFUNCTION("IFERROR(VLOOKUP(F326,IMPORTRANGE(""https://docs.google.com/spreadsheets/d/1Kvs4KS76FHFqLFIZfrDMff4kP08nblUkihrxltoGBjg/edit#gid=934712705"",""ESENCIAL!A6:BG""),2,FALSE))"),"")</f>
        <v/>
      </c>
      <c r="BJ312" s="19" t="str">
        <f t="shared" si="19"/>
        <v/>
      </c>
      <c r="BK312" s="100"/>
      <c r="BL312" s="100"/>
    </row>
    <row r="313" spans="1:64" ht="15">
      <c r="A313" s="101"/>
      <c r="B313" s="101"/>
      <c r="G313" s="5" t="str">
        <f ca="1">IFERROR(__xludf.DUMMYFUNCTION("IFERROR(VLOOKUP(F327,IMPORTRANGE(""https://docs.google.com/spreadsheets/d/1Kvs4KS76FHFqLFIZfrDMff4kP08nblUkihrxltoGBjg/edit#gid=934712705"",""ESENCIAL!A6:BG""),3,FALSE))"),"")</f>
        <v/>
      </c>
      <c r="H313" s="5" t="str">
        <f ca="1">IFERROR(__xludf.DUMMYFUNCTION("IFERROR(VLOOKUP(F327,IMPORTRANGE(""https://docs.google.com/spreadsheets/d/1Kvs4KS76FHFqLFIZfrDMff4kP08nblUkihrxltoGBjg/edit#gid=934712705"",""ESENCIAL!A6:BG""),8,FALSE))"),"")</f>
        <v/>
      </c>
      <c r="L313" s="287"/>
      <c r="U313" s="40"/>
      <c r="AU313" s="41" t="str">
        <f t="shared" si="16"/>
        <v/>
      </c>
      <c r="AV313" s="5" t="str">
        <f ca="1">IFERROR(__xludf.DUMMYFUNCTION("IFERROR(VLOOKUP(E327&amp;F327,IMPORTRANGE(""https://docs.google.com/spreadsheets/d/1Uw7-A9f9R21vMXxHZFNpYNeKFtG8_yji4HS352LGlSQ/edit?pli=1#gid=0"",""1_ACUM!A4:S""),11,FALSE))"),"")</f>
        <v/>
      </c>
      <c r="AW313" s="42" t="str">
        <f ca="1">IFERROR(__xludf.DUMMYFUNCTION("IFERROR(VLOOKUP(F327,IMPORTRANGE(""https://docs.google.com/spreadsheets/d/1Kvs4KS76FHFqLFIZfrDMff4kP08nblUkihrxltoGBjg/edit#gid=934712705"",""ESENCIAL!A6:BG""),15,FALSE))"),"")</f>
        <v/>
      </c>
      <c r="AX313" s="21" t="str">
        <f ca="1">IFERROR(__xludf.DUMMYFUNCTION("IFERROR(VLOOKUP(E327&amp;F327,IMPORTRANGE(""https://docs.google.com/spreadsheets/d/1Uw7-A9f9R21vMXxHZFNpYNeKFtG8_yji4HS352LGlSQ/edit?pli=1#gid=0"",""1_ACUM!A4:S""),12,FALSE))"),"")</f>
        <v/>
      </c>
      <c r="AY313" s="43" t="str">
        <f ca="1">IFERROR(__xludf.DUMMYFUNCTION("IFERROR(VLOOKUP(E327&amp;F327,IMPORTRANGE(""https://docs.google.com/spreadsheets/d/1Uw7-A9f9R21vMXxHZFNpYNeKFtG8_yji4HS352LGlSQ/edit?pli=1#gid=0"",""1_ACUM!A4:S""),13,FALSE))"),"")</f>
        <v/>
      </c>
      <c r="AZ313" s="43" t="str">
        <f ca="1">IFERROR(__xludf.DUMMYFUNCTION("IFERROR(VLOOKUP(E327&amp;F327,IMPORTRANGE(""https://docs.google.com/spreadsheets/d/1Uw7-A9f9R21vMXxHZFNpYNeKFtG8_yji4HS352LGlSQ/edit?pli=1#gid=0"",""1_ACUM!A4:S""),14,FALSE))"),"")</f>
        <v/>
      </c>
      <c r="BA313" s="43" t="str">
        <f ca="1">IFERROR(__xludf.DUMMYFUNCTION("IFERROR(VLOOKUP(E327&amp;F327,IMPORTRANGE(""https://docs.google.com/spreadsheets/d/1Uw7-A9f9R21vMXxHZFNpYNeKFtG8_yji4HS352LGlSQ/edit?pli=1#gid=0"",""1_ACUM!A4:S""),15,FALSE))"),"")</f>
        <v/>
      </c>
      <c r="BB313" s="43" t="str">
        <f ca="1">IFERROR(__xludf.DUMMYFUNCTION("IFERROR(VLOOKUP(E327&amp;F327,IMPORTRANGE(""https://docs.google.com/spreadsheets/d/1Uw7-A9f9R21vMXxHZFNpYNeKFtG8_yji4HS352LGlSQ/edit?pli=1#gid=0"",""1_ACUM!A4:S""),16,FALSE))"),"")</f>
        <v/>
      </c>
      <c r="BC313" s="43" t="str">
        <f ca="1">IFERROR(__xludf.DUMMYFUNCTION("IFERROR(VLOOKUP(E327&amp;F327,IMPORTRANGE(""https://docs.google.com/spreadsheets/d/1Uw7-A9f9R21vMXxHZFNpYNeKFtG8_yji4HS352LGlSQ/edit?pli=1#gid=0"",""1_ACUM!A4:S""),17,FALSE))"),"")</f>
        <v/>
      </c>
      <c r="BD313" s="44" t="str">
        <f ca="1">IFERROR(__xludf.DUMMYFUNCTION("IFERROR(VLOOKUP(E327&amp;F327,IMPORTRANGE(""https://docs.google.com/spreadsheets/d/1Uw7-A9f9R21vMXxHZFNpYNeKFtG8_yji4HS352LGlSQ/edit?pli=1#gid=0"",""1_ACUM!A4:S""),18,FALSE))"),"")</f>
        <v/>
      </c>
      <c r="BE313" s="44" t="str">
        <f ca="1">IFERROR(__xludf.DUMMYFUNCTION("IFERROR(VLOOKUP(E327&amp;F327,IMPORTRANGE(""https://docs.google.com/spreadsheets/d/1Uw7-A9f9R21vMXxHZFNpYNeKFtG8_yji4HS352LGlSQ/edit?pli=1#gid=0"",""1_ACUM!A4:S""),19,FALSE))"),"")</f>
        <v/>
      </c>
      <c r="BF313" s="98" t="str">
        <f ca="1">IFERROR(__xludf.DUMMYFUNCTION("IFERROR(VLOOKUP(F327,IMPORTRANGE(""https://docs.google.com/spreadsheets/d/1Kvs4KS76FHFqLFIZfrDMff4kP08nblUkihrxltoGBjg/edit#gid=934712705"",""ESENCIAL!A6:BG""),5,FALSE))"),"")</f>
        <v/>
      </c>
      <c r="BG313" s="98" t="str">
        <f t="shared" si="17"/>
        <v/>
      </c>
      <c r="BH313" s="99" t="str">
        <f t="shared" si="18"/>
        <v/>
      </c>
      <c r="BI313" s="100" t="str">
        <f ca="1">IFERROR(__xludf.DUMMYFUNCTION("IFERROR(VLOOKUP(F327,IMPORTRANGE(""https://docs.google.com/spreadsheets/d/1Kvs4KS76FHFqLFIZfrDMff4kP08nblUkihrxltoGBjg/edit#gid=934712705"",""ESENCIAL!A6:BG""),2,FALSE))"),"")</f>
        <v/>
      </c>
      <c r="BJ313" s="19" t="str">
        <f t="shared" si="19"/>
        <v/>
      </c>
      <c r="BK313" s="100"/>
      <c r="BL313" s="100"/>
    </row>
    <row r="314" spans="1:64" ht="15">
      <c r="A314" s="101"/>
      <c r="B314" s="101"/>
      <c r="G314" s="5" t="str">
        <f ca="1">IFERROR(__xludf.DUMMYFUNCTION("IFERROR(VLOOKUP(F328,IMPORTRANGE(""https://docs.google.com/spreadsheets/d/1Kvs4KS76FHFqLFIZfrDMff4kP08nblUkihrxltoGBjg/edit#gid=934712705"",""ESENCIAL!A6:BG""),3,FALSE))"),"")</f>
        <v/>
      </c>
      <c r="H314" s="5" t="str">
        <f ca="1">IFERROR(__xludf.DUMMYFUNCTION("IFERROR(VLOOKUP(F328,IMPORTRANGE(""https://docs.google.com/spreadsheets/d/1Kvs4KS76FHFqLFIZfrDMff4kP08nblUkihrxltoGBjg/edit#gid=934712705"",""ESENCIAL!A6:BG""),8,FALSE))"),"")</f>
        <v/>
      </c>
      <c r="L314" s="287"/>
      <c r="U314" s="40"/>
      <c r="AU314" s="41" t="str">
        <f t="shared" si="16"/>
        <v/>
      </c>
      <c r="AV314" s="5" t="str">
        <f ca="1">IFERROR(__xludf.DUMMYFUNCTION("IFERROR(VLOOKUP(E328&amp;F328,IMPORTRANGE(""https://docs.google.com/spreadsheets/d/1Uw7-A9f9R21vMXxHZFNpYNeKFtG8_yji4HS352LGlSQ/edit?pli=1#gid=0"",""1_ACUM!A4:S""),11,FALSE))"),"")</f>
        <v/>
      </c>
      <c r="AW314" s="42" t="str">
        <f ca="1">IFERROR(__xludf.DUMMYFUNCTION("IFERROR(VLOOKUP(F328,IMPORTRANGE(""https://docs.google.com/spreadsheets/d/1Kvs4KS76FHFqLFIZfrDMff4kP08nblUkihrxltoGBjg/edit#gid=934712705"",""ESENCIAL!A6:BG""),15,FALSE))"),"")</f>
        <v/>
      </c>
      <c r="AX314" s="21" t="str">
        <f ca="1">IFERROR(__xludf.DUMMYFUNCTION("IFERROR(VLOOKUP(E328&amp;F328,IMPORTRANGE(""https://docs.google.com/spreadsheets/d/1Uw7-A9f9R21vMXxHZFNpYNeKFtG8_yji4HS352LGlSQ/edit?pli=1#gid=0"",""1_ACUM!A4:S""),12,FALSE))"),"")</f>
        <v/>
      </c>
      <c r="AY314" s="43" t="str">
        <f ca="1">IFERROR(__xludf.DUMMYFUNCTION("IFERROR(VLOOKUP(E328&amp;F328,IMPORTRANGE(""https://docs.google.com/spreadsheets/d/1Uw7-A9f9R21vMXxHZFNpYNeKFtG8_yji4HS352LGlSQ/edit?pli=1#gid=0"",""1_ACUM!A4:S""),13,FALSE))"),"")</f>
        <v/>
      </c>
      <c r="AZ314" s="43" t="str">
        <f ca="1">IFERROR(__xludf.DUMMYFUNCTION("IFERROR(VLOOKUP(E328&amp;F328,IMPORTRANGE(""https://docs.google.com/spreadsheets/d/1Uw7-A9f9R21vMXxHZFNpYNeKFtG8_yji4HS352LGlSQ/edit?pli=1#gid=0"",""1_ACUM!A4:S""),14,FALSE))"),"")</f>
        <v/>
      </c>
      <c r="BA314" s="43" t="str">
        <f ca="1">IFERROR(__xludf.DUMMYFUNCTION("IFERROR(VLOOKUP(E328&amp;F328,IMPORTRANGE(""https://docs.google.com/spreadsheets/d/1Uw7-A9f9R21vMXxHZFNpYNeKFtG8_yji4HS352LGlSQ/edit?pli=1#gid=0"",""1_ACUM!A4:S""),15,FALSE))"),"")</f>
        <v/>
      </c>
      <c r="BB314" s="43" t="str">
        <f ca="1">IFERROR(__xludf.DUMMYFUNCTION("IFERROR(VLOOKUP(E328&amp;F328,IMPORTRANGE(""https://docs.google.com/spreadsheets/d/1Uw7-A9f9R21vMXxHZFNpYNeKFtG8_yji4HS352LGlSQ/edit?pli=1#gid=0"",""1_ACUM!A4:S""),16,FALSE))"),"")</f>
        <v/>
      </c>
      <c r="BC314" s="43" t="str">
        <f ca="1">IFERROR(__xludf.DUMMYFUNCTION("IFERROR(VLOOKUP(E328&amp;F328,IMPORTRANGE(""https://docs.google.com/spreadsheets/d/1Uw7-A9f9R21vMXxHZFNpYNeKFtG8_yji4HS352LGlSQ/edit?pli=1#gid=0"",""1_ACUM!A4:S""),17,FALSE))"),"")</f>
        <v/>
      </c>
      <c r="BD314" s="44" t="str">
        <f ca="1">IFERROR(__xludf.DUMMYFUNCTION("IFERROR(VLOOKUP(E328&amp;F328,IMPORTRANGE(""https://docs.google.com/spreadsheets/d/1Uw7-A9f9R21vMXxHZFNpYNeKFtG8_yji4HS352LGlSQ/edit?pli=1#gid=0"",""1_ACUM!A4:S""),18,FALSE))"),"")</f>
        <v/>
      </c>
      <c r="BE314" s="44" t="str">
        <f ca="1">IFERROR(__xludf.DUMMYFUNCTION("IFERROR(VLOOKUP(E328&amp;F328,IMPORTRANGE(""https://docs.google.com/spreadsheets/d/1Uw7-A9f9R21vMXxHZFNpYNeKFtG8_yji4HS352LGlSQ/edit?pli=1#gid=0"",""1_ACUM!A4:S""),19,FALSE))"),"")</f>
        <v/>
      </c>
      <c r="BF314" s="98" t="str">
        <f ca="1">IFERROR(__xludf.DUMMYFUNCTION("IFERROR(VLOOKUP(F328,IMPORTRANGE(""https://docs.google.com/spreadsheets/d/1Kvs4KS76FHFqLFIZfrDMff4kP08nblUkihrxltoGBjg/edit#gid=934712705"",""ESENCIAL!A6:BG""),5,FALSE))"),"")</f>
        <v/>
      </c>
      <c r="BG314" s="98" t="str">
        <f t="shared" si="17"/>
        <v/>
      </c>
      <c r="BH314" s="99" t="str">
        <f t="shared" si="18"/>
        <v/>
      </c>
      <c r="BI314" s="100" t="str">
        <f ca="1">IFERROR(__xludf.DUMMYFUNCTION("IFERROR(VLOOKUP(F328,IMPORTRANGE(""https://docs.google.com/spreadsheets/d/1Kvs4KS76FHFqLFIZfrDMff4kP08nblUkihrxltoGBjg/edit#gid=934712705"",""ESENCIAL!A6:BG""),2,FALSE))"),"")</f>
        <v/>
      </c>
      <c r="BJ314" s="19" t="str">
        <f t="shared" si="19"/>
        <v/>
      </c>
      <c r="BK314" s="100"/>
      <c r="BL314" s="100"/>
    </row>
    <row r="315" spans="1:64" ht="15">
      <c r="A315" s="101"/>
      <c r="B315" s="101"/>
      <c r="G315" s="5" t="str">
        <f ca="1">IFERROR(__xludf.DUMMYFUNCTION("IFERROR(VLOOKUP(F329,IMPORTRANGE(""https://docs.google.com/spreadsheets/d/1Kvs4KS76FHFqLFIZfrDMff4kP08nblUkihrxltoGBjg/edit#gid=934712705"",""ESENCIAL!A6:BG""),3,FALSE))"),"")</f>
        <v/>
      </c>
      <c r="H315" s="5" t="str">
        <f ca="1">IFERROR(__xludf.DUMMYFUNCTION("IFERROR(VLOOKUP(F329,IMPORTRANGE(""https://docs.google.com/spreadsheets/d/1Kvs4KS76FHFqLFIZfrDMff4kP08nblUkihrxltoGBjg/edit#gid=934712705"",""ESENCIAL!A6:BG""),8,FALSE))"),"")</f>
        <v/>
      </c>
      <c r="L315" s="287"/>
      <c r="U315" s="40"/>
      <c r="AU315" s="41" t="str">
        <f t="shared" si="16"/>
        <v/>
      </c>
      <c r="AV315" s="5" t="str">
        <f ca="1">IFERROR(__xludf.DUMMYFUNCTION("IFERROR(VLOOKUP(E329&amp;F329,IMPORTRANGE(""https://docs.google.com/spreadsheets/d/1Uw7-A9f9R21vMXxHZFNpYNeKFtG8_yji4HS352LGlSQ/edit?pli=1#gid=0"",""1_ACUM!A4:S""),11,FALSE))"),"")</f>
        <v/>
      </c>
      <c r="AW315" s="42" t="str">
        <f ca="1">IFERROR(__xludf.DUMMYFUNCTION("IFERROR(VLOOKUP(F329,IMPORTRANGE(""https://docs.google.com/spreadsheets/d/1Kvs4KS76FHFqLFIZfrDMff4kP08nblUkihrxltoGBjg/edit#gid=934712705"",""ESENCIAL!A6:BG""),15,FALSE))"),"")</f>
        <v/>
      </c>
      <c r="AX315" s="21" t="str">
        <f ca="1">IFERROR(__xludf.DUMMYFUNCTION("IFERROR(VLOOKUP(E329&amp;F329,IMPORTRANGE(""https://docs.google.com/spreadsheets/d/1Uw7-A9f9R21vMXxHZFNpYNeKFtG8_yji4HS352LGlSQ/edit?pli=1#gid=0"",""1_ACUM!A4:S""),12,FALSE))"),"")</f>
        <v/>
      </c>
      <c r="AY315" s="43" t="str">
        <f ca="1">IFERROR(__xludf.DUMMYFUNCTION("IFERROR(VLOOKUP(E329&amp;F329,IMPORTRANGE(""https://docs.google.com/spreadsheets/d/1Uw7-A9f9R21vMXxHZFNpYNeKFtG8_yji4HS352LGlSQ/edit?pli=1#gid=0"",""1_ACUM!A4:S""),13,FALSE))"),"")</f>
        <v/>
      </c>
      <c r="AZ315" s="43" t="str">
        <f ca="1">IFERROR(__xludf.DUMMYFUNCTION("IFERROR(VLOOKUP(E329&amp;F329,IMPORTRANGE(""https://docs.google.com/spreadsheets/d/1Uw7-A9f9R21vMXxHZFNpYNeKFtG8_yji4HS352LGlSQ/edit?pli=1#gid=0"",""1_ACUM!A4:S""),14,FALSE))"),"")</f>
        <v/>
      </c>
      <c r="BA315" s="43" t="str">
        <f ca="1">IFERROR(__xludf.DUMMYFUNCTION("IFERROR(VLOOKUP(E329&amp;F329,IMPORTRANGE(""https://docs.google.com/spreadsheets/d/1Uw7-A9f9R21vMXxHZFNpYNeKFtG8_yji4HS352LGlSQ/edit?pli=1#gid=0"",""1_ACUM!A4:S""),15,FALSE))"),"")</f>
        <v/>
      </c>
      <c r="BB315" s="43" t="str">
        <f ca="1">IFERROR(__xludf.DUMMYFUNCTION("IFERROR(VLOOKUP(E329&amp;F329,IMPORTRANGE(""https://docs.google.com/spreadsheets/d/1Uw7-A9f9R21vMXxHZFNpYNeKFtG8_yji4HS352LGlSQ/edit?pli=1#gid=0"",""1_ACUM!A4:S""),16,FALSE))"),"")</f>
        <v/>
      </c>
      <c r="BC315" s="43" t="str">
        <f ca="1">IFERROR(__xludf.DUMMYFUNCTION("IFERROR(VLOOKUP(E329&amp;F329,IMPORTRANGE(""https://docs.google.com/spreadsheets/d/1Uw7-A9f9R21vMXxHZFNpYNeKFtG8_yji4HS352LGlSQ/edit?pli=1#gid=0"",""1_ACUM!A4:S""),17,FALSE))"),"")</f>
        <v/>
      </c>
      <c r="BD315" s="44" t="str">
        <f ca="1">IFERROR(__xludf.DUMMYFUNCTION("IFERROR(VLOOKUP(E329&amp;F329,IMPORTRANGE(""https://docs.google.com/spreadsheets/d/1Uw7-A9f9R21vMXxHZFNpYNeKFtG8_yji4HS352LGlSQ/edit?pli=1#gid=0"",""1_ACUM!A4:S""),18,FALSE))"),"")</f>
        <v/>
      </c>
      <c r="BE315" s="44" t="str">
        <f ca="1">IFERROR(__xludf.DUMMYFUNCTION("IFERROR(VLOOKUP(E329&amp;F329,IMPORTRANGE(""https://docs.google.com/spreadsheets/d/1Uw7-A9f9R21vMXxHZFNpYNeKFtG8_yji4HS352LGlSQ/edit?pli=1#gid=0"",""1_ACUM!A4:S""),19,FALSE))"),"")</f>
        <v/>
      </c>
      <c r="BF315" s="98" t="str">
        <f ca="1">IFERROR(__xludf.DUMMYFUNCTION("IFERROR(VLOOKUP(F329,IMPORTRANGE(""https://docs.google.com/spreadsheets/d/1Kvs4KS76FHFqLFIZfrDMff4kP08nblUkihrxltoGBjg/edit#gid=934712705"",""ESENCIAL!A6:BG""),5,FALSE))"),"")</f>
        <v/>
      </c>
      <c r="BG315" s="98" t="str">
        <f t="shared" si="17"/>
        <v/>
      </c>
      <c r="BH315" s="99" t="str">
        <f t="shared" si="18"/>
        <v/>
      </c>
      <c r="BI315" s="100" t="str">
        <f ca="1">IFERROR(__xludf.DUMMYFUNCTION("IFERROR(VLOOKUP(F329,IMPORTRANGE(""https://docs.google.com/spreadsheets/d/1Kvs4KS76FHFqLFIZfrDMff4kP08nblUkihrxltoGBjg/edit#gid=934712705"",""ESENCIAL!A6:BG""),2,FALSE))"),"")</f>
        <v/>
      </c>
      <c r="BJ315" s="19" t="str">
        <f t="shared" si="19"/>
        <v/>
      </c>
      <c r="BK315" s="100"/>
      <c r="BL315" s="100"/>
    </row>
    <row r="316" spans="1:64" ht="15">
      <c r="A316" s="101"/>
      <c r="B316" s="101"/>
      <c r="G316" s="5" t="str">
        <f ca="1">IFERROR(__xludf.DUMMYFUNCTION("IFERROR(VLOOKUP(F330,IMPORTRANGE(""https://docs.google.com/spreadsheets/d/1Kvs4KS76FHFqLFIZfrDMff4kP08nblUkihrxltoGBjg/edit#gid=934712705"",""ESENCIAL!A6:BG""),3,FALSE))"),"")</f>
        <v/>
      </c>
      <c r="H316" s="5" t="str">
        <f ca="1">IFERROR(__xludf.DUMMYFUNCTION("IFERROR(VLOOKUP(F330,IMPORTRANGE(""https://docs.google.com/spreadsheets/d/1Kvs4KS76FHFqLFIZfrDMff4kP08nblUkihrxltoGBjg/edit#gid=934712705"",""ESENCIAL!A6:BG""),8,FALSE))"),"")</f>
        <v/>
      </c>
      <c r="L316" s="287"/>
      <c r="U316" s="40"/>
      <c r="AU316" s="41" t="str">
        <f t="shared" si="16"/>
        <v/>
      </c>
      <c r="AV316" s="5" t="str">
        <f ca="1">IFERROR(__xludf.DUMMYFUNCTION("IFERROR(VLOOKUP(E330&amp;F330,IMPORTRANGE(""https://docs.google.com/spreadsheets/d/1Uw7-A9f9R21vMXxHZFNpYNeKFtG8_yji4HS352LGlSQ/edit?pli=1#gid=0"",""1_ACUM!A4:S""),11,FALSE))"),"")</f>
        <v/>
      </c>
      <c r="AW316" s="42" t="str">
        <f ca="1">IFERROR(__xludf.DUMMYFUNCTION("IFERROR(VLOOKUP(F330,IMPORTRANGE(""https://docs.google.com/spreadsheets/d/1Kvs4KS76FHFqLFIZfrDMff4kP08nblUkihrxltoGBjg/edit#gid=934712705"",""ESENCIAL!A6:BG""),15,FALSE))"),"")</f>
        <v/>
      </c>
      <c r="AX316" s="21" t="str">
        <f ca="1">IFERROR(__xludf.DUMMYFUNCTION("IFERROR(VLOOKUP(E330&amp;F330,IMPORTRANGE(""https://docs.google.com/spreadsheets/d/1Uw7-A9f9R21vMXxHZFNpYNeKFtG8_yji4HS352LGlSQ/edit?pli=1#gid=0"",""1_ACUM!A4:S""),12,FALSE))"),"")</f>
        <v/>
      </c>
      <c r="AY316" s="43" t="str">
        <f ca="1">IFERROR(__xludf.DUMMYFUNCTION("IFERROR(VLOOKUP(E330&amp;F330,IMPORTRANGE(""https://docs.google.com/spreadsheets/d/1Uw7-A9f9R21vMXxHZFNpYNeKFtG8_yji4HS352LGlSQ/edit?pli=1#gid=0"",""1_ACUM!A4:S""),13,FALSE))"),"")</f>
        <v/>
      </c>
      <c r="AZ316" s="43" t="str">
        <f ca="1">IFERROR(__xludf.DUMMYFUNCTION("IFERROR(VLOOKUP(E330&amp;F330,IMPORTRANGE(""https://docs.google.com/spreadsheets/d/1Uw7-A9f9R21vMXxHZFNpYNeKFtG8_yji4HS352LGlSQ/edit?pli=1#gid=0"",""1_ACUM!A4:S""),14,FALSE))"),"")</f>
        <v/>
      </c>
      <c r="BA316" s="43" t="str">
        <f ca="1">IFERROR(__xludf.DUMMYFUNCTION("IFERROR(VLOOKUP(E330&amp;F330,IMPORTRANGE(""https://docs.google.com/spreadsheets/d/1Uw7-A9f9R21vMXxHZFNpYNeKFtG8_yji4HS352LGlSQ/edit?pli=1#gid=0"",""1_ACUM!A4:S""),15,FALSE))"),"")</f>
        <v/>
      </c>
      <c r="BB316" s="43" t="str">
        <f ca="1">IFERROR(__xludf.DUMMYFUNCTION("IFERROR(VLOOKUP(E330&amp;F330,IMPORTRANGE(""https://docs.google.com/spreadsheets/d/1Uw7-A9f9R21vMXxHZFNpYNeKFtG8_yji4HS352LGlSQ/edit?pli=1#gid=0"",""1_ACUM!A4:S""),16,FALSE))"),"")</f>
        <v/>
      </c>
      <c r="BC316" s="43" t="str">
        <f ca="1">IFERROR(__xludf.DUMMYFUNCTION("IFERROR(VLOOKUP(E330&amp;F330,IMPORTRANGE(""https://docs.google.com/spreadsheets/d/1Uw7-A9f9R21vMXxHZFNpYNeKFtG8_yji4HS352LGlSQ/edit?pli=1#gid=0"",""1_ACUM!A4:S""),17,FALSE))"),"")</f>
        <v/>
      </c>
      <c r="BD316" s="44" t="str">
        <f ca="1">IFERROR(__xludf.DUMMYFUNCTION("IFERROR(VLOOKUP(E330&amp;F330,IMPORTRANGE(""https://docs.google.com/spreadsheets/d/1Uw7-A9f9R21vMXxHZFNpYNeKFtG8_yji4HS352LGlSQ/edit?pli=1#gid=0"",""1_ACUM!A4:S""),18,FALSE))"),"")</f>
        <v/>
      </c>
      <c r="BE316" s="44" t="str">
        <f ca="1">IFERROR(__xludf.DUMMYFUNCTION("IFERROR(VLOOKUP(E330&amp;F330,IMPORTRANGE(""https://docs.google.com/spreadsheets/d/1Uw7-A9f9R21vMXxHZFNpYNeKFtG8_yji4HS352LGlSQ/edit?pli=1#gid=0"",""1_ACUM!A4:S""),19,FALSE))"),"")</f>
        <v/>
      </c>
      <c r="BF316" s="98" t="str">
        <f ca="1">IFERROR(__xludf.DUMMYFUNCTION("IFERROR(VLOOKUP(F330,IMPORTRANGE(""https://docs.google.com/spreadsheets/d/1Kvs4KS76FHFqLFIZfrDMff4kP08nblUkihrxltoGBjg/edit#gid=934712705"",""ESENCIAL!A6:BG""),5,FALSE))"),"")</f>
        <v/>
      </c>
      <c r="BG316" s="98" t="str">
        <f t="shared" si="17"/>
        <v/>
      </c>
      <c r="BH316" s="99" t="str">
        <f t="shared" si="18"/>
        <v/>
      </c>
      <c r="BI316" s="100" t="str">
        <f ca="1">IFERROR(__xludf.DUMMYFUNCTION("IFERROR(VLOOKUP(F330,IMPORTRANGE(""https://docs.google.com/spreadsheets/d/1Kvs4KS76FHFqLFIZfrDMff4kP08nblUkihrxltoGBjg/edit#gid=934712705"",""ESENCIAL!A6:BG""),2,FALSE))"),"")</f>
        <v/>
      </c>
      <c r="BJ316" s="19" t="str">
        <f t="shared" si="19"/>
        <v/>
      </c>
      <c r="BK316" s="100"/>
      <c r="BL316" s="100"/>
    </row>
    <row r="317" spans="1:64" ht="15">
      <c r="A317" s="101"/>
      <c r="B317" s="101"/>
      <c r="G317" s="5" t="str">
        <f ca="1">IFERROR(__xludf.DUMMYFUNCTION("IFERROR(VLOOKUP(F331,IMPORTRANGE(""https://docs.google.com/spreadsheets/d/1Kvs4KS76FHFqLFIZfrDMff4kP08nblUkihrxltoGBjg/edit#gid=934712705"",""ESENCIAL!A6:BG""),3,FALSE))"),"")</f>
        <v/>
      </c>
      <c r="H317" s="5" t="str">
        <f ca="1">IFERROR(__xludf.DUMMYFUNCTION("IFERROR(VLOOKUP(F331,IMPORTRANGE(""https://docs.google.com/spreadsheets/d/1Kvs4KS76FHFqLFIZfrDMff4kP08nblUkihrxltoGBjg/edit#gid=934712705"",""ESENCIAL!A6:BG""),8,FALSE))"),"")</f>
        <v/>
      </c>
      <c r="L317" s="287"/>
      <c r="U317" s="40"/>
      <c r="AU317" s="41" t="str">
        <f t="shared" si="16"/>
        <v/>
      </c>
      <c r="AV317" s="5" t="str">
        <f ca="1">IFERROR(__xludf.DUMMYFUNCTION("IFERROR(VLOOKUP(E331&amp;F331,IMPORTRANGE(""https://docs.google.com/spreadsheets/d/1Uw7-A9f9R21vMXxHZFNpYNeKFtG8_yji4HS352LGlSQ/edit?pli=1#gid=0"",""1_ACUM!A4:S""),11,FALSE))"),"")</f>
        <v/>
      </c>
      <c r="AW317" s="42" t="str">
        <f ca="1">IFERROR(__xludf.DUMMYFUNCTION("IFERROR(VLOOKUP(F331,IMPORTRANGE(""https://docs.google.com/spreadsheets/d/1Kvs4KS76FHFqLFIZfrDMff4kP08nblUkihrxltoGBjg/edit#gid=934712705"",""ESENCIAL!A6:BG""),15,FALSE))"),"")</f>
        <v/>
      </c>
      <c r="AX317" s="21" t="str">
        <f ca="1">IFERROR(__xludf.DUMMYFUNCTION("IFERROR(VLOOKUP(E331&amp;F331,IMPORTRANGE(""https://docs.google.com/spreadsheets/d/1Uw7-A9f9R21vMXxHZFNpYNeKFtG8_yji4HS352LGlSQ/edit?pli=1#gid=0"",""1_ACUM!A4:S""),12,FALSE))"),"")</f>
        <v/>
      </c>
      <c r="AY317" s="43" t="str">
        <f ca="1">IFERROR(__xludf.DUMMYFUNCTION("IFERROR(VLOOKUP(E331&amp;F331,IMPORTRANGE(""https://docs.google.com/spreadsheets/d/1Uw7-A9f9R21vMXxHZFNpYNeKFtG8_yji4HS352LGlSQ/edit?pli=1#gid=0"",""1_ACUM!A4:S""),13,FALSE))"),"")</f>
        <v/>
      </c>
      <c r="AZ317" s="43" t="str">
        <f ca="1">IFERROR(__xludf.DUMMYFUNCTION("IFERROR(VLOOKUP(E331&amp;F331,IMPORTRANGE(""https://docs.google.com/spreadsheets/d/1Uw7-A9f9R21vMXxHZFNpYNeKFtG8_yji4HS352LGlSQ/edit?pli=1#gid=0"",""1_ACUM!A4:S""),14,FALSE))"),"")</f>
        <v/>
      </c>
      <c r="BA317" s="43" t="str">
        <f ca="1">IFERROR(__xludf.DUMMYFUNCTION("IFERROR(VLOOKUP(E331&amp;F331,IMPORTRANGE(""https://docs.google.com/spreadsheets/d/1Uw7-A9f9R21vMXxHZFNpYNeKFtG8_yji4HS352LGlSQ/edit?pli=1#gid=0"",""1_ACUM!A4:S""),15,FALSE))"),"")</f>
        <v/>
      </c>
      <c r="BB317" s="43" t="str">
        <f ca="1">IFERROR(__xludf.DUMMYFUNCTION("IFERROR(VLOOKUP(E331&amp;F331,IMPORTRANGE(""https://docs.google.com/spreadsheets/d/1Uw7-A9f9R21vMXxHZFNpYNeKFtG8_yji4HS352LGlSQ/edit?pli=1#gid=0"",""1_ACUM!A4:S""),16,FALSE))"),"")</f>
        <v/>
      </c>
      <c r="BC317" s="43" t="str">
        <f ca="1">IFERROR(__xludf.DUMMYFUNCTION("IFERROR(VLOOKUP(E331&amp;F331,IMPORTRANGE(""https://docs.google.com/spreadsheets/d/1Uw7-A9f9R21vMXxHZFNpYNeKFtG8_yji4HS352LGlSQ/edit?pli=1#gid=0"",""1_ACUM!A4:S""),17,FALSE))"),"")</f>
        <v/>
      </c>
      <c r="BD317" s="44" t="str">
        <f ca="1">IFERROR(__xludf.DUMMYFUNCTION("IFERROR(VLOOKUP(E331&amp;F331,IMPORTRANGE(""https://docs.google.com/spreadsheets/d/1Uw7-A9f9R21vMXxHZFNpYNeKFtG8_yji4HS352LGlSQ/edit?pli=1#gid=0"",""1_ACUM!A4:S""),18,FALSE))"),"")</f>
        <v/>
      </c>
      <c r="BE317" s="44" t="str">
        <f ca="1">IFERROR(__xludf.DUMMYFUNCTION("IFERROR(VLOOKUP(E331&amp;F331,IMPORTRANGE(""https://docs.google.com/spreadsheets/d/1Uw7-A9f9R21vMXxHZFNpYNeKFtG8_yji4HS352LGlSQ/edit?pli=1#gid=0"",""1_ACUM!A4:S""),19,FALSE))"),"")</f>
        <v/>
      </c>
      <c r="BF317" s="98" t="str">
        <f ca="1">IFERROR(__xludf.DUMMYFUNCTION("IFERROR(VLOOKUP(F331,IMPORTRANGE(""https://docs.google.com/spreadsheets/d/1Kvs4KS76FHFqLFIZfrDMff4kP08nblUkihrxltoGBjg/edit#gid=934712705"",""ESENCIAL!A6:BG""),5,FALSE))"),"")</f>
        <v/>
      </c>
      <c r="BG317" s="98" t="str">
        <f t="shared" si="17"/>
        <v/>
      </c>
      <c r="BH317" s="99" t="str">
        <f t="shared" si="18"/>
        <v/>
      </c>
      <c r="BI317" s="100" t="str">
        <f ca="1">IFERROR(__xludf.DUMMYFUNCTION("IFERROR(VLOOKUP(F331,IMPORTRANGE(""https://docs.google.com/spreadsheets/d/1Kvs4KS76FHFqLFIZfrDMff4kP08nblUkihrxltoGBjg/edit#gid=934712705"",""ESENCIAL!A6:BG""),2,FALSE))"),"")</f>
        <v/>
      </c>
      <c r="BJ317" s="19" t="str">
        <f t="shared" si="19"/>
        <v/>
      </c>
      <c r="BK317" s="100"/>
      <c r="BL317" s="100"/>
    </row>
    <row r="318" spans="1:64" ht="15">
      <c r="A318" s="101"/>
      <c r="B318" s="101"/>
      <c r="G318" s="5" t="str">
        <f ca="1">IFERROR(__xludf.DUMMYFUNCTION("IFERROR(VLOOKUP(F332,IMPORTRANGE(""https://docs.google.com/spreadsheets/d/1Kvs4KS76FHFqLFIZfrDMff4kP08nblUkihrxltoGBjg/edit#gid=934712705"",""ESENCIAL!A6:BG""),3,FALSE))"),"")</f>
        <v/>
      </c>
      <c r="H318" s="5" t="str">
        <f ca="1">IFERROR(__xludf.DUMMYFUNCTION("IFERROR(VLOOKUP(F332,IMPORTRANGE(""https://docs.google.com/spreadsheets/d/1Kvs4KS76FHFqLFIZfrDMff4kP08nblUkihrxltoGBjg/edit#gid=934712705"",""ESENCIAL!A6:BG""),8,FALSE))"),"")</f>
        <v/>
      </c>
      <c r="L318" s="287"/>
      <c r="U318" s="40"/>
      <c r="AU318" s="41" t="str">
        <f t="shared" si="16"/>
        <v/>
      </c>
      <c r="AV318" s="5" t="str">
        <f ca="1">IFERROR(__xludf.DUMMYFUNCTION("IFERROR(VLOOKUP(E332&amp;F332,IMPORTRANGE(""https://docs.google.com/spreadsheets/d/1Uw7-A9f9R21vMXxHZFNpYNeKFtG8_yji4HS352LGlSQ/edit?pli=1#gid=0"",""1_ACUM!A4:S""),11,FALSE))"),"")</f>
        <v/>
      </c>
      <c r="AW318" s="42" t="str">
        <f ca="1">IFERROR(__xludf.DUMMYFUNCTION("IFERROR(VLOOKUP(F332,IMPORTRANGE(""https://docs.google.com/spreadsheets/d/1Kvs4KS76FHFqLFIZfrDMff4kP08nblUkihrxltoGBjg/edit#gid=934712705"",""ESENCIAL!A6:BG""),15,FALSE))"),"")</f>
        <v/>
      </c>
      <c r="AX318" s="21" t="str">
        <f ca="1">IFERROR(__xludf.DUMMYFUNCTION("IFERROR(VLOOKUP(E332&amp;F332,IMPORTRANGE(""https://docs.google.com/spreadsheets/d/1Uw7-A9f9R21vMXxHZFNpYNeKFtG8_yji4HS352LGlSQ/edit?pli=1#gid=0"",""1_ACUM!A4:S""),12,FALSE))"),"")</f>
        <v/>
      </c>
      <c r="AY318" s="43" t="str">
        <f ca="1">IFERROR(__xludf.DUMMYFUNCTION("IFERROR(VLOOKUP(E332&amp;F332,IMPORTRANGE(""https://docs.google.com/spreadsheets/d/1Uw7-A9f9R21vMXxHZFNpYNeKFtG8_yji4HS352LGlSQ/edit?pli=1#gid=0"",""1_ACUM!A4:S""),13,FALSE))"),"")</f>
        <v/>
      </c>
      <c r="AZ318" s="43" t="str">
        <f ca="1">IFERROR(__xludf.DUMMYFUNCTION("IFERROR(VLOOKUP(E332&amp;F332,IMPORTRANGE(""https://docs.google.com/spreadsheets/d/1Uw7-A9f9R21vMXxHZFNpYNeKFtG8_yji4HS352LGlSQ/edit?pli=1#gid=0"",""1_ACUM!A4:S""),14,FALSE))"),"")</f>
        <v/>
      </c>
      <c r="BA318" s="43" t="str">
        <f ca="1">IFERROR(__xludf.DUMMYFUNCTION("IFERROR(VLOOKUP(E332&amp;F332,IMPORTRANGE(""https://docs.google.com/spreadsheets/d/1Uw7-A9f9R21vMXxHZFNpYNeKFtG8_yji4HS352LGlSQ/edit?pli=1#gid=0"",""1_ACUM!A4:S""),15,FALSE))"),"")</f>
        <v/>
      </c>
      <c r="BB318" s="43" t="str">
        <f ca="1">IFERROR(__xludf.DUMMYFUNCTION("IFERROR(VLOOKUP(E332&amp;F332,IMPORTRANGE(""https://docs.google.com/spreadsheets/d/1Uw7-A9f9R21vMXxHZFNpYNeKFtG8_yji4HS352LGlSQ/edit?pli=1#gid=0"",""1_ACUM!A4:S""),16,FALSE))"),"")</f>
        <v/>
      </c>
      <c r="BC318" s="43" t="str">
        <f ca="1">IFERROR(__xludf.DUMMYFUNCTION("IFERROR(VLOOKUP(E332&amp;F332,IMPORTRANGE(""https://docs.google.com/spreadsheets/d/1Uw7-A9f9R21vMXxHZFNpYNeKFtG8_yji4HS352LGlSQ/edit?pli=1#gid=0"",""1_ACUM!A4:S""),17,FALSE))"),"")</f>
        <v/>
      </c>
      <c r="BD318" s="44" t="str">
        <f ca="1">IFERROR(__xludf.DUMMYFUNCTION("IFERROR(VLOOKUP(E332&amp;F332,IMPORTRANGE(""https://docs.google.com/spreadsheets/d/1Uw7-A9f9R21vMXxHZFNpYNeKFtG8_yji4HS352LGlSQ/edit?pli=1#gid=0"",""1_ACUM!A4:S""),18,FALSE))"),"")</f>
        <v/>
      </c>
      <c r="BE318" s="44" t="str">
        <f ca="1">IFERROR(__xludf.DUMMYFUNCTION("IFERROR(VLOOKUP(E332&amp;F332,IMPORTRANGE(""https://docs.google.com/spreadsheets/d/1Uw7-A9f9R21vMXxHZFNpYNeKFtG8_yji4HS352LGlSQ/edit?pli=1#gid=0"",""1_ACUM!A4:S""),19,FALSE))"),"")</f>
        <v/>
      </c>
      <c r="BF318" s="98" t="str">
        <f ca="1">IFERROR(__xludf.DUMMYFUNCTION("IFERROR(VLOOKUP(F332,IMPORTRANGE(""https://docs.google.com/spreadsheets/d/1Kvs4KS76FHFqLFIZfrDMff4kP08nblUkihrxltoGBjg/edit#gid=934712705"",""ESENCIAL!A6:BG""),5,FALSE))"),"")</f>
        <v/>
      </c>
      <c r="BG318" s="98" t="str">
        <f t="shared" si="17"/>
        <v/>
      </c>
      <c r="BH318" s="99" t="str">
        <f t="shared" si="18"/>
        <v/>
      </c>
      <c r="BI318" s="100" t="str">
        <f ca="1">IFERROR(__xludf.DUMMYFUNCTION("IFERROR(VLOOKUP(F332,IMPORTRANGE(""https://docs.google.com/spreadsheets/d/1Kvs4KS76FHFqLFIZfrDMff4kP08nblUkihrxltoGBjg/edit#gid=934712705"",""ESENCIAL!A6:BG""),2,FALSE))"),"")</f>
        <v/>
      </c>
      <c r="BJ318" s="19" t="str">
        <f t="shared" si="19"/>
        <v/>
      </c>
      <c r="BK318" s="100"/>
      <c r="BL318" s="100"/>
    </row>
    <row r="319" spans="1:64" ht="15">
      <c r="A319" s="101"/>
      <c r="B319" s="101"/>
      <c r="G319" s="5" t="str">
        <f ca="1">IFERROR(__xludf.DUMMYFUNCTION("IFERROR(VLOOKUP(F333,IMPORTRANGE(""https://docs.google.com/spreadsheets/d/1Kvs4KS76FHFqLFIZfrDMff4kP08nblUkihrxltoGBjg/edit#gid=934712705"",""ESENCIAL!A6:BG""),3,FALSE))"),"")</f>
        <v/>
      </c>
      <c r="H319" s="5" t="str">
        <f ca="1">IFERROR(__xludf.DUMMYFUNCTION("IFERROR(VLOOKUP(F333,IMPORTRANGE(""https://docs.google.com/spreadsheets/d/1Kvs4KS76FHFqLFIZfrDMff4kP08nblUkihrxltoGBjg/edit#gid=934712705"",""ESENCIAL!A6:BG""),8,FALSE))"),"")</f>
        <v/>
      </c>
      <c r="L319" s="287"/>
      <c r="U319" s="40"/>
      <c r="AU319" s="41" t="str">
        <f t="shared" si="16"/>
        <v/>
      </c>
      <c r="AV319" s="5" t="str">
        <f ca="1">IFERROR(__xludf.DUMMYFUNCTION("IFERROR(VLOOKUP(E333&amp;F333,IMPORTRANGE(""https://docs.google.com/spreadsheets/d/1Uw7-A9f9R21vMXxHZFNpYNeKFtG8_yji4HS352LGlSQ/edit?pli=1#gid=0"",""1_ACUM!A4:S""),11,FALSE))"),"")</f>
        <v/>
      </c>
      <c r="AW319" s="42" t="str">
        <f ca="1">IFERROR(__xludf.DUMMYFUNCTION("IFERROR(VLOOKUP(F333,IMPORTRANGE(""https://docs.google.com/spreadsheets/d/1Kvs4KS76FHFqLFIZfrDMff4kP08nblUkihrxltoGBjg/edit#gid=934712705"",""ESENCIAL!A6:BG""),15,FALSE))"),"")</f>
        <v/>
      </c>
      <c r="AX319" s="21" t="str">
        <f ca="1">IFERROR(__xludf.DUMMYFUNCTION("IFERROR(VLOOKUP(E333&amp;F333,IMPORTRANGE(""https://docs.google.com/spreadsheets/d/1Uw7-A9f9R21vMXxHZFNpYNeKFtG8_yji4HS352LGlSQ/edit?pli=1#gid=0"",""1_ACUM!A4:S""),12,FALSE))"),"")</f>
        <v/>
      </c>
      <c r="AY319" s="43" t="str">
        <f ca="1">IFERROR(__xludf.DUMMYFUNCTION("IFERROR(VLOOKUP(E333&amp;F333,IMPORTRANGE(""https://docs.google.com/spreadsheets/d/1Uw7-A9f9R21vMXxHZFNpYNeKFtG8_yji4HS352LGlSQ/edit?pli=1#gid=0"",""1_ACUM!A4:S""),13,FALSE))"),"")</f>
        <v/>
      </c>
      <c r="AZ319" s="43" t="str">
        <f ca="1">IFERROR(__xludf.DUMMYFUNCTION("IFERROR(VLOOKUP(E333&amp;F333,IMPORTRANGE(""https://docs.google.com/spreadsheets/d/1Uw7-A9f9R21vMXxHZFNpYNeKFtG8_yji4HS352LGlSQ/edit?pli=1#gid=0"",""1_ACUM!A4:S""),14,FALSE))"),"")</f>
        <v/>
      </c>
      <c r="BA319" s="43" t="str">
        <f ca="1">IFERROR(__xludf.DUMMYFUNCTION("IFERROR(VLOOKUP(E333&amp;F333,IMPORTRANGE(""https://docs.google.com/spreadsheets/d/1Uw7-A9f9R21vMXxHZFNpYNeKFtG8_yji4HS352LGlSQ/edit?pli=1#gid=0"",""1_ACUM!A4:S""),15,FALSE))"),"")</f>
        <v/>
      </c>
      <c r="BB319" s="43" t="str">
        <f ca="1">IFERROR(__xludf.DUMMYFUNCTION("IFERROR(VLOOKUP(E333&amp;F333,IMPORTRANGE(""https://docs.google.com/spreadsheets/d/1Uw7-A9f9R21vMXxHZFNpYNeKFtG8_yji4HS352LGlSQ/edit?pli=1#gid=0"",""1_ACUM!A4:S""),16,FALSE))"),"")</f>
        <v/>
      </c>
      <c r="BC319" s="43" t="str">
        <f ca="1">IFERROR(__xludf.DUMMYFUNCTION("IFERROR(VLOOKUP(E333&amp;F333,IMPORTRANGE(""https://docs.google.com/spreadsheets/d/1Uw7-A9f9R21vMXxHZFNpYNeKFtG8_yji4HS352LGlSQ/edit?pli=1#gid=0"",""1_ACUM!A4:S""),17,FALSE))"),"")</f>
        <v/>
      </c>
      <c r="BD319" s="44" t="str">
        <f ca="1">IFERROR(__xludf.DUMMYFUNCTION("IFERROR(VLOOKUP(E333&amp;F333,IMPORTRANGE(""https://docs.google.com/spreadsheets/d/1Uw7-A9f9R21vMXxHZFNpYNeKFtG8_yji4HS352LGlSQ/edit?pli=1#gid=0"",""1_ACUM!A4:S""),18,FALSE))"),"")</f>
        <v/>
      </c>
      <c r="BE319" s="44" t="str">
        <f ca="1">IFERROR(__xludf.DUMMYFUNCTION("IFERROR(VLOOKUP(E333&amp;F333,IMPORTRANGE(""https://docs.google.com/spreadsheets/d/1Uw7-A9f9R21vMXxHZFNpYNeKFtG8_yji4HS352LGlSQ/edit?pli=1#gid=0"",""1_ACUM!A4:S""),19,FALSE))"),"")</f>
        <v/>
      </c>
      <c r="BF319" s="98" t="str">
        <f ca="1">IFERROR(__xludf.DUMMYFUNCTION("IFERROR(VLOOKUP(F333,IMPORTRANGE(""https://docs.google.com/spreadsheets/d/1Kvs4KS76FHFqLFIZfrDMff4kP08nblUkihrxltoGBjg/edit#gid=934712705"",""ESENCIAL!A6:BG""),5,FALSE))"),"")</f>
        <v/>
      </c>
      <c r="BG319" s="98" t="str">
        <f t="shared" si="17"/>
        <v/>
      </c>
      <c r="BH319" s="99" t="str">
        <f t="shared" si="18"/>
        <v/>
      </c>
      <c r="BI319" s="100" t="str">
        <f ca="1">IFERROR(__xludf.DUMMYFUNCTION("IFERROR(VLOOKUP(F333,IMPORTRANGE(""https://docs.google.com/spreadsheets/d/1Kvs4KS76FHFqLFIZfrDMff4kP08nblUkihrxltoGBjg/edit#gid=934712705"",""ESENCIAL!A6:BG""),2,FALSE))"),"")</f>
        <v/>
      </c>
      <c r="BJ319" s="19" t="str">
        <f t="shared" si="19"/>
        <v/>
      </c>
      <c r="BK319" s="100"/>
      <c r="BL319" s="100"/>
    </row>
    <row r="320" spans="1:64" ht="15">
      <c r="A320" s="101"/>
      <c r="B320" s="101"/>
      <c r="G320" s="5" t="str">
        <f ca="1">IFERROR(__xludf.DUMMYFUNCTION("IFERROR(VLOOKUP(F334,IMPORTRANGE(""https://docs.google.com/spreadsheets/d/1Kvs4KS76FHFqLFIZfrDMff4kP08nblUkihrxltoGBjg/edit#gid=934712705"",""ESENCIAL!A6:BG""),3,FALSE))"),"")</f>
        <v/>
      </c>
      <c r="H320" s="5" t="str">
        <f ca="1">IFERROR(__xludf.DUMMYFUNCTION("IFERROR(VLOOKUP(F334,IMPORTRANGE(""https://docs.google.com/spreadsheets/d/1Kvs4KS76FHFqLFIZfrDMff4kP08nblUkihrxltoGBjg/edit#gid=934712705"",""ESENCIAL!A6:BG""),8,FALSE))"),"")</f>
        <v/>
      </c>
      <c r="L320" s="287"/>
      <c r="U320" s="40"/>
      <c r="AU320" s="41" t="str">
        <f t="shared" si="16"/>
        <v/>
      </c>
      <c r="AV320" s="5" t="str">
        <f ca="1">IFERROR(__xludf.DUMMYFUNCTION("IFERROR(VLOOKUP(E334&amp;F334,IMPORTRANGE(""https://docs.google.com/spreadsheets/d/1Uw7-A9f9R21vMXxHZFNpYNeKFtG8_yji4HS352LGlSQ/edit?pli=1#gid=0"",""1_ACUM!A4:S""),11,FALSE))"),"")</f>
        <v/>
      </c>
      <c r="AW320" s="42" t="str">
        <f ca="1">IFERROR(__xludf.DUMMYFUNCTION("IFERROR(VLOOKUP(F334,IMPORTRANGE(""https://docs.google.com/spreadsheets/d/1Kvs4KS76FHFqLFIZfrDMff4kP08nblUkihrxltoGBjg/edit#gid=934712705"",""ESENCIAL!A6:BG""),15,FALSE))"),"")</f>
        <v/>
      </c>
      <c r="AX320" s="21" t="str">
        <f ca="1">IFERROR(__xludf.DUMMYFUNCTION("IFERROR(VLOOKUP(E334&amp;F334,IMPORTRANGE(""https://docs.google.com/spreadsheets/d/1Uw7-A9f9R21vMXxHZFNpYNeKFtG8_yji4HS352LGlSQ/edit?pli=1#gid=0"",""1_ACUM!A4:S""),12,FALSE))"),"")</f>
        <v/>
      </c>
      <c r="AY320" s="43" t="str">
        <f ca="1">IFERROR(__xludf.DUMMYFUNCTION("IFERROR(VLOOKUP(E334&amp;F334,IMPORTRANGE(""https://docs.google.com/spreadsheets/d/1Uw7-A9f9R21vMXxHZFNpYNeKFtG8_yji4HS352LGlSQ/edit?pli=1#gid=0"",""1_ACUM!A4:S""),13,FALSE))"),"")</f>
        <v/>
      </c>
      <c r="AZ320" s="43" t="str">
        <f ca="1">IFERROR(__xludf.DUMMYFUNCTION("IFERROR(VLOOKUP(E334&amp;F334,IMPORTRANGE(""https://docs.google.com/spreadsheets/d/1Uw7-A9f9R21vMXxHZFNpYNeKFtG8_yji4HS352LGlSQ/edit?pli=1#gid=0"",""1_ACUM!A4:S""),14,FALSE))"),"")</f>
        <v/>
      </c>
      <c r="BA320" s="43" t="str">
        <f ca="1">IFERROR(__xludf.DUMMYFUNCTION("IFERROR(VLOOKUP(E334&amp;F334,IMPORTRANGE(""https://docs.google.com/spreadsheets/d/1Uw7-A9f9R21vMXxHZFNpYNeKFtG8_yji4HS352LGlSQ/edit?pli=1#gid=0"",""1_ACUM!A4:S""),15,FALSE))"),"")</f>
        <v/>
      </c>
      <c r="BB320" s="43" t="str">
        <f ca="1">IFERROR(__xludf.DUMMYFUNCTION("IFERROR(VLOOKUP(E334&amp;F334,IMPORTRANGE(""https://docs.google.com/spreadsheets/d/1Uw7-A9f9R21vMXxHZFNpYNeKFtG8_yji4HS352LGlSQ/edit?pli=1#gid=0"",""1_ACUM!A4:S""),16,FALSE))"),"")</f>
        <v/>
      </c>
      <c r="BC320" s="43" t="str">
        <f ca="1">IFERROR(__xludf.DUMMYFUNCTION("IFERROR(VLOOKUP(E334&amp;F334,IMPORTRANGE(""https://docs.google.com/spreadsheets/d/1Uw7-A9f9R21vMXxHZFNpYNeKFtG8_yji4HS352LGlSQ/edit?pli=1#gid=0"",""1_ACUM!A4:S""),17,FALSE))"),"")</f>
        <v/>
      </c>
      <c r="BD320" s="44" t="str">
        <f ca="1">IFERROR(__xludf.DUMMYFUNCTION("IFERROR(VLOOKUP(E334&amp;F334,IMPORTRANGE(""https://docs.google.com/spreadsheets/d/1Uw7-A9f9R21vMXxHZFNpYNeKFtG8_yji4HS352LGlSQ/edit?pli=1#gid=0"",""1_ACUM!A4:S""),18,FALSE))"),"")</f>
        <v/>
      </c>
      <c r="BE320" s="44" t="str">
        <f ca="1">IFERROR(__xludf.DUMMYFUNCTION("IFERROR(VLOOKUP(E334&amp;F334,IMPORTRANGE(""https://docs.google.com/spreadsheets/d/1Uw7-A9f9R21vMXxHZFNpYNeKFtG8_yji4HS352LGlSQ/edit?pli=1#gid=0"",""1_ACUM!A4:S""),19,FALSE))"),"")</f>
        <v/>
      </c>
      <c r="BF320" s="98" t="str">
        <f ca="1">IFERROR(__xludf.DUMMYFUNCTION("IFERROR(VLOOKUP(F334,IMPORTRANGE(""https://docs.google.com/spreadsheets/d/1Kvs4KS76FHFqLFIZfrDMff4kP08nblUkihrxltoGBjg/edit#gid=934712705"",""ESENCIAL!A6:BG""),5,FALSE))"),"")</f>
        <v/>
      </c>
      <c r="BG320" s="98" t="str">
        <f t="shared" si="17"/>
        <v/>
      </c>
      <c r="BH320" s="99" t="str">
        <f t="shared" si="18"/>
        <v/>
      </c>
      <c r="BI320" s="100" t="str">
        <f ca="1">IFERROR(__xludf.DUMMYFUNCTION("IFERROR(VLOOKUP(F334,IMPORTRANGE(""https://docs.google.com/spreadsheets/d/1Kvs4KS76FHFqLFIZfrDMff4kP08nblUkihrxltoGBjg/edit#gid=934712705"",""ESENCIAL!A6:BG""),2,FALSE))"),"")</f>
        <v/>
      </c>
      <c r="BJ320" s="19" t="str">
        <f t="shared" si="19"/>
        <v/>
      </c>
      <c r="BK320" s="100"/>
      <c r="BL320" s="100"/>
    </row>
    <row r="321" spans="1:64" ht="15">
      <c r="A321" s="101"/>
      <c r="B321" s="101"/>
      <c r="G321" s="5" t="str">
        <f ca="1">IFERROR(__xludf.DUMMYFUNCTION("IFERROR(VLOOKUP(F335,IMPORTRANGE(""https://docs.google.com/spreadsheets/d/1Kvs4KS76FHFqLFIZfrDMff4kP08nblUkihrxltoGBjg/edit#gid=934712705"",""ESENCIAL!A6:BG""),3,FALSE))"),"")</f>
        <v/>
      </c>
      <c r="H321" s="5" t="str">
        <f ca="1">IFERROR(__xludf.DUMMYFUNCTION("IFERROR(VLOOKUP(F335,IMPORTRANGE(""https://docs.google.com/spreadsheets/d/1Kvs4KS76FHFqLFIZfrDMff4kP08nblUkihrxltoGBjg/edit#gid=934712705"",""ESENCIAL!A6:BG""),8,FALSE))"),"")</f>
        <v/>
      </c>
      <c r="L321" s="287"/>
      <c r="U321" s="40"/>
      <c r="AU321" s="41" t="str">
        <f t="shared" si="16"/>
        <v/>
      </c>
      <c r="AV321" s="5" t="str">
        <f ca="1">IFERROR(__xludf.DUMMYFUNCTION("IFERROR(VLOOKUP(E335&amp;F335,IMPORTRANGE(""https://docs.google.com/spreadsheets/d/1Uw7-A9f9R21vMXxHZFNpYNeKFtG8_yji4HS352LGlSQ/edit?pli=1#gid=0"",""1_ACUM!A4:S""),11,FALSE))"),"")</f>
        <v/>
      </c>
      <c r="AW321" s="42" t="str">
        <f ca="1">IFERROR(__xludf.DUMMYFUNCTION("IFERROR(VLOOKUP(F335,IMPORTRANGE(""https://docs.google.com/spreadsheets/d/1Kvs4KS76FHFqLFIZfrDMff4kP08nblUkihrxltoGBjg/edit#gid=934712705"",""ESENCIAL!A6:BG""),15,FALSE))"),"")</f>
        <v/>
      </c>
      <c r="AX321" s="21" t="str">
        <f ca="1">IFERROR(__xludf.DUMMYFUNCTION("IFERROR(VLOOKUP(E335&amp;F335,IMPORTRANGE(""https://docs.google.com/spreadsheets/d/1Uw7-A9f9R21vMXxHZFNpYNeKFtG8_yji4HS352LGlSQ/edit?pli=1#gid=0"",""1_ACUM!A4:S""),12,FALSE))"),"")</f>
        <v/>
      </c>
      <c r="AY321" s="43" t="str">
        <f ca="1">IFERROR(__xludf.DUMMYFUNCTION("IFERROR(VLOOKUP(E335&amp;F335,IMPORTRANGE(""https://docs.google.com/spreadsheets/d/1Uw7-A9f9R21vMXxHZFNpYNeKFtG8_yji4HS352LGlSQ/edit?pli=1#gid=0"",""1_ACUM!A4:S""),13,FALSE))"),"")</f>
        <v/>
      </c>
      <c r="AZ321" s="43" t="str">
        <f ca="1">IFERROR(__xludf.DUMMYFUNCTION("IFERROR(VLOOKUP(E335&amp;F335,IMPORTRANGE(""https://docs.google.com/spreadsheets/d/1Uw7-A9f9R21vMXxHZFNpYNeKFtG8_yji4HS352LGlSQ/edit?pli=1#gid=0"",""1_ACUM!A4:S""),14,FALSE))"),"")</f>
        <v/>
      </c>
      <c r="BA321" s="43" t="str">
        <f ca="1">IFERROR(__xludf.DUMMYFUNCTION("IFERROR(VLOOKUP(E335&amp;F335,IMPORTRANGE(""https://docs.google.com/spreadsheets/d/1Uw7-A9f9R21vMXxHZFNpYNeKFtG8_yji4HS352LGlSQ/edit?pli=1#gid=0"",""1_ACUM!A4:S""),15,FALSE))"),"")</f>
        <v/>
      </c>
      <c r="BB321" s="43" t="str">
        <f ca="1">IFERROR(__xludf.DUMMYFUNCTION("IFERROR(VLOOKUP(E335&amp;F335,IMPORTRANGE(""https://docs.google.com/spreadsheets/d/1Uw7-A9f9R21vMXxHZFNpYNeKFtG8_yji4HS352LGlSQ/edit?pli=1#gid=0"",""1_ACUM!A4:S""),16,FALSE))"),"")</f>
        <v/>
      </c>
      <c r="BC321" s="43" t="str">
        <f ca="1">IFERROR(__xludf.DUMMYFUNCTION("IFERROR(VLOOKUP(E335&amp;F335,IMPORTRANGE(""https://docs.google.com/spreadsheets/d/1Uw7-A9f9R21vMXxHZFNpYNeKFtG8_yji4HS352LGlSQ/edit?pli=1#gid=0"",""1_ACUM!A4:S""),17,FALSE))"),"")</f>
        <v/>
      </c>
      <c r="BD321" s="44" t="str">
        <f ca="1">IFERROR(__xludf.DUMMYFUNCTION("IFERROR(VLOOKUP(E335&amp;F335,IMPORTRANGE(""https://docs.google.com/spreadsheets/d/1Uw7-A9f9R21vMXxHZFNpYNeKFtG8_yji4HS352LGlSQ/edit?pli=1#gid=0"",""1_ACUM!A4:S""),18,FALSE))"),"")</f>
        <v/>
      </c>
      <c r="BE321" s="44" t="str">
        <f ca="1">IFERROR(__xludf.DUMMYFUNCTION("IFERROR(VLOOKUP(E335&amp;F335,IMPORTRANGE(""https://docs.google.com/spreadsheets/d/1Uw7-A9f9R21vMXxHZFNpYNeKFtG8_yji4HS352LGlSQ/edit?pli=1#gid=0"",""1_ACUM!A4:S""),19,FALSE))"),"")</f>
        <v/>
      </c>
      <c r="BF321" s="98" t="str">
        <f ca="1">IFERROR(__xludf.DUMMYFUNCTION("IFERROR(VLOOKUP(F335,IMPORTRANGE(""https://docs.google.com/spreadsheets/d/1Kvs4KS76FHFqLFIZfrDMff4kP08nblUkihrxltoGBjg/edit#gid=934712705"",""ESENCIAL!A6:BG""),5,FALSE))"),"")</f>
        <v/>
      </c>
      <c r="BG321" s="98" t="str">
        <f t="shared" si="17"/>
        <v/>
      </c>
      <c r="BH321" s="99" t="str">
        <f t="shared" si="18"/>
        <v/>
      </c>
      <c r="BI321" s="100" t="str">
        <f ca="1">IFERROR(__xludf.DUMMYFUNCTION("IFERROR(VLOOKUP(F335,IMPORTRANGE(""https://docs.google.com/spreadsheets/d/1Kvs4KS76FHFqLFIZfrDMff4kP08nblUkihrxltoGBjg/edit#gid=934712705"",""ESENCIAL!A6:BG""),2,FALSE))"),"")</f>
        <v/>
      </c>
      <c r="BJ321" s="19" t="str">
        <f t="shared" si="19"/>
        <v/>
      </c>
      <c r="BK321" s="100"/>
      <c r="BL321" s="100"/>
    </row>
    <row r="322" spans="1:64" ht="15">
      <c r="A322" s="101"/>
      <c r="B322" s="101"/>
      <c r="G322" s="5" t="str">
        <f ca="1">IFERROR(__xludf.DUMMYFUNCTION("IFERROR(VLOOKUP(F336,IMPORTRANGE(""https://docs.google.com/spreadsheets/d/1Kvs4KS76FHFqLFIZfrDMff4kP08nblUkihrxltoGBjg/edit#gid=934712705"",""ESENCIAL!A6:BG""),3,FALSE))"),"")</f>
        <v/>
      </c>
      <c r="H322" s="5" t="str">
        <f ca="1">IFERROR(__xludf.DUMMYFUNCTION("IFERROR(VLOOKUP(F336,IMPORTRANGE(""https://docs.google.com/spreadsheets/d/1Kvs4KS76FHFqLFIZfrDMff4kP08nblUkihrxltoGBjg/edit#gid=934712705"",""ESENCIAL!A6:BG""),8,FALSE))"),"")</f>
        <v/>
      </c>
      <c r="L322" s="287"/>
      <c r="U322" s="40"/>
      <c r="AU322" s="41" t="str">
        <f t="shared" si="16"/>
        <v/>
      </c>
      <c r="AV322" s="5" t="str">
        <f ca="1">IFERROR(__xludf.DUMMYFUNCTION("IFERROR(VLOOKUP(E336&amp;F336,IMPORTRANGE(""https://docs.google.com/spreadsheets/d/1Uw7-A9f9R21vMXxHZFNpYNeKFtG8_yji4HS352LGlSQ/edit?pli=1#gid=0"",""1_ACUM!A4:S""),11,FALSE))"),"")</f>
        <v/>
      </c>
      <c r="AW322" s="42" t="str">
        <f ca="1">IFERROR(__xludf.DUMMYFUNCTION("IFERROR(VLOOKUP(F336,IMPORTRANGE(""https://docs.google.com/spreadsheets/d/1Kvs4KS76FHFqLFIZfrDMff4kP08nblUkihrxltoGBjg/edit#gid=934712705"",""ESENCIAL!A6:BG""),15,FALSE))"),"")</f>
        <v/>
      </c>
      <c r="AX322" s="21" t="str">
        <f ca="1">IFERROR(__xludf.DUMMYFUNCTION("IFERROR(VLOOKUP(E336&amp;F336,IMPORTRANGE(""https://docs.google.com/spreadsheets/d/1Uw7-A9f9R21vMXxHZFNpYNeKFtG8_yji4HS352LGlSQ/edit?pli=1#gid=0"",""1_ACUM!A4:S""),12,FALSE))"),"")</f>
        <v/>
      </c>
      <c r="AY322" s="43" t="str">
        <f ca="1">IFERROR(__xludf.DUMMYFUNCTION("IFERROR(VLOOKUP(E336&amp;F336,IMPORTRANGE(""https://docs.google.com/spreadsheets/d/1Uw7-A9f9R21vMXxHZFNpYNeKFtG8_yji4HS352LGlSQ/edit?pli=1#gid=0"",""1_ACUM!A4:S""),13,FALSE))"),"")</f>
        <v/>
      </c>
      <c r="AZ322" s="43" t="str">
        <f ca="1">IFERROR(__xludf.DUMMYFUNCTION("IFERROR(VLOOKUP(E336&amp;F336,IMPORTRANGE(""https://docs.google.com/spreadsheets/d/1Uw7-A9f9R21vMXxHZFNpYNeKFtG8_yji4HS352LGlSQ/edit?pli=1#gid=0"",""1_ACUM!A4:S""),14,FALSE))"),"")</f>
        <v/>
      </c>
      <c r="BA322" s="43" t="str">
        <f ca="1">IFERROR(__xludf.DUMMYFUNCTION("IFERROR(VLOOKUP(E336&amp;F336,IMPORTRANGE(""https://docs.google.com/spreadsheets/d/1Uw7-A9f9R21vMXxHZFNpYNeKFtG8_yji4HS352LGlSQ/edit?pli=1#gid=0"",""1_ACUM!A4:S""),15,FALSE))"),"")</f>
        <v/>
      </c>
      <c r="BB322" s="43" t="str">
        <f ca="1">IFERROR(__xludf.DUMMYFUNCTION("IFERROR(VLOOKUP(E336&amp;F336,IMPORTRANGE(""https://docs.google.com/spreadsheets/d/1Uw7-A9f9R21vMXxHZFNpYNeKFtG8_yji4HS352LGlSQ/edit?pli=1#gid=0"",""1_ACUM!A4:S""),16,FALSE))"),"")</f>
        <v/>
      </c>
      <c r="BC322" s="43" t="str">
        <f ca="1">IFERROR(__xludf.DUMMYFUNCTION("IFERROR(VLOOKUP(E336&amp;F336,IMPORTRANGE(""https://docs.google.com/spreadsheets/d/1Uw7-A9f9R21vMXxHZFNpYNeKFtG8_yji4HS352LGlSQ/edit?pli=1#gid=0"",""1_ACUM!A4:S""),17,FALSE))"),"")</f>
        <v/>
      </c>
      <c r="BD322" s="44" t="str">
        <f ca="1">IFERROR(__xludf.DUMMYFUNCTION("IFERROR(VLOOKUP(E336&amp;F336,IMPORTRANGE(""https://docs.google.com/spreadsheets/d/1Uw7-A9f9R21vMXxHZFNpYNeKFtG8_yji4HS352LGlSQ/edit?pli=1#gid=0"",""1_ACUM!A4:S""),18,FALSE))"),"")</f>
        <v/>
      </c>
      <c r="BE322" s="44" t="str">
        <f ca="1">IFERROR(__xludf.DUMMYFUNCTION("IFERROR(VLOOKUP(E336&amp;F336,IMPORTRANGE(""https://docs.google.com/spreadsheets/d/1Uw7-A9f9R21vMXxHZFNpYNeKFtG8_yji4HS352LGlSQ/edit?pli=1#gid=0"",""1_ACUM!A4:S""),19,FALSE))"),"")</f>
        <v/>
      </c>
      <c r="BF322" s="98" t="str">
        <f ca="1">IFERROR(__xludf.DUMMYFUNCTION("IFERROR(VLOOKUP(F336,IMPORTRANGE(""https://docs.google.com/spreadsheets/d/1Kvs4KS76FHFqLFIZfrDMff4kP08nblUkihrxltoGBjg/edit#gid=934712705"",""ESENCIAL!A6:BG""),5,FALSE))"),"")</f>
        <v/>
      </c>
      <c r="BG322" s="98" t="str">
        <f t="shared" si="17"/>
        <v/>
      </c>
      <c r="BH322" s="99" t="str">
        <f t="shared" si="18"/>
        <v/>
      </c>
      <c r="BI322" s="100" t="str">
        <f ca="1">IFERROR(__xludf.DUMMYFUNCTION("IFERROR(VLOOKUP(F336,IMPORTRANGE(""https://docs.google.com/spreadsheets/d/1Kvs4KS76FHFqLFIZfrDMff4kP08nblUkihrxltoGBjg/edit#gid=934712705"",""ESENCIAL!A6:BG""),2,FALSE))"),"")</f>
        <v/>
      </c>
      <c r="BJ322" s="19" t="str">
        <f t="shared" si="19"/>
        <v/>
      </c>
      <c r="BK322" s="100"/>
      <c r="BL322" s="100"/>
    </row>
    <row r="323" spans="1:64" ht="15">
      <c r="A323" s="101"/>
      <c r="B323" s="101"/>
      <c r="G323" s="5" t="str">
        <f ca="1">IFERROR(__xludf.DUMMYFUNCTION("IFERROR(VLOOKUP(F337,IMPORTRANGE(""https://docs.google.com/spreadsheets/d/1Kvs4KS76FHFqLFIZfrDMff4kP08nblUkihrxltoGBjg/edit#gid=934712705"",""ESENCIAL!A6:BG""),3,FALSE))"),"")</f>
        <v/>
      </c>
      <c r="H323" s="5" t="str">
        <f ca="1">IFERROR(__xludf.DUMMYFUNCTION("IFERROR(VLOOKUP(F337,IMPORTRANGE(""https://docs.google.com/spreadsheets/d/1Kvs4KS76FHFqLFIZfrDMff4kP08nblUkihrxltoGBjg/edit#gid=934712705"",""ESENCIAL!A6:BG""),8,FALSE))"),"")</f>
        <v/>
      </c>
      <c r="L323" s="287"/>
      <c r="U323" s="40"/>
      <c r="AU323" s="41" t="str">
        <f t="shared" si="16"/>
        <v/>
      </c>
      <c r="AV323" s="5" t="str">
        <f ca="1">IFERROR(__xludf.DUMMYFUNCTION("IFERROR(VLOOKUP(E337&amp;F337,IMPORTRANGE(""https://docs.google.com/spreadsheets/d/1Uw7-A9f9R21vMXxHZFNpYNeKFtG8_yji4HS352LGlSQ/edit?pli=1#gid=0"",""1_ACUM!A4:S""),11,FALSE))"),"")</f>
        <v/>
      </c>
      <c r="AW323" s="42" t="str">
        <f ca="1">IFERROR(__xludf.DUMMYFUNCTION("IFERROR(VLOOKUP(F337,IMPORTRANGE(""https://docs.google.com/spreadsheets/d/1Kvs4KS76FHFqLFIZfrDMff4kP08nblUkihrxltoGBjg/edit#gid=934712705"",""ESENCIAL!A6:BG""),15,FALSE))"),"")</f>
        <v/>
      </c>
      <c r="AX323" s="21" t="str">
        <f ca="1">IFERROR(__xludf.DUMMYFUNCTION("IFERROR(VLOOKUP(E337&amp;F337,IMPORTRANGE(""https://docs.google.com/spreadsheets/d/1Uw7-A9f9R21vMXxHZFNpYNeKFtG8_yji4HS352LGlSQ/edit?pli=1#gid=0"",""1_ACUM!A4:S""),12,FALSE))"),"")</f>
        <v/>
      </c>
      <c r="AY323" s="43" t="str">
        <f ca="1">IFERROR(__xludf.DUMMYFUNCTION("IFERROR(VLOOKUP(E337&amp;F337,IMPORTRANGE(""https://docs.google.com/spreadsheets/d/1Uw7-A9f9R21vMXxHZFNpYNeKFtG8_yji4HS352LGlSQ/edit?pli=1#gid=0"",""1_ACUM!A4:S""),13,FALSE))"),"")</f>
        <v/>
      </c>
      <c r="AZ323" s="43" t="str">
        <f ca="1">IFERROR(__xludf.DUMMYFUNCTION("IFERROR(VLOOKUP(E337&amp;F337,IMPORTRANGE(""https://docs.google.com/spreadsheets/d/1Uw7-A9f9R21vMXxHZFNpYNeKFtG8_yji4HS352LGlSQ/edit?pli=1#gid=0"",""1_ACUM!A4:S""),14,FALSE))"),"")</f>
        <v/>
      </c>
      <c r="BA323" s="43" t="str">
        <f ca="1">IFERROR(__xludf.DUMMYFUNCTION("IFERROR(VLOOKUP(E337&amp;F337,IMPORTRANGE(""https://docs.google.com/spreadsheets/d/1Uw7-A9f9R21vMXxHZFNpYNeKFtG8_yji4HS352LGlSQ/edit?pli=1#gid=0"",""1_ACUM!A4:S""),15,FALSE))"),"")</f>
        <v/>
      </c>
      <c r="BB323" s="43" t="str">
        <f ca="1">IFERROR(__xludf.DUMMYFUNCTION("IFERROR(VLOOKUP(E337&amp;F337,IMPORTRANGE(""https://docs.google.com/spreadsheets/d/1Uw7-A9f9R21vMXxHZFNpYNeKFtG8_yji4HS352LGlSQ/edit?pli=1#gid=0"",""1_ACUM!A4:S""),16,FALSE))"),"")</f>
        <v/>
      </c>
      <c r="BC323" s="43" t="str">
        <f ca="1">IFERROR(__xludf.DUMMYFUNCTION("IFERROR(VLOOKUP(E337&amp;F337,IMPORTRANGE(""https://docs.google.com/spreadsheets/d/1Uw7-A9f9R21vMXxHZFNpYNeKFtG8_yji4HS352LGlSQ/edit?pli=1#gid=0"",""1_ACUM!A4:S""),17,FALSE))"),"")</f>
        <v/>
      </c>
      <c r="BD323" s="44" t="str">
        <f ca="1">IFERROR(__xludf.DUMMYFUNCTION("IFERROR(VLOOKUP(E337&amp;F337,IMPORTRANGE(""https://docs.google.com/spreadsheets/d/1Uw7-A9f9R21vMXxHZFNpYNeKFtG8_yji4HS352LGlSQ/edit?pli=1#gid=0"",""1_ACUM!A4:S""),18,FALSE))"),"")</f>
        <v/>
      </c>
      <c r="BE323" s="44" t="str">
        <f ca="1">IFERROR(__xludf.DUMMYFUNCTION("IFERROR(VLOOKUP(E337&amp;F337,IMPORTRANGE(""https://docs.google.com/spreadsheets/d/1Uw7-A9f9R21vMXxHZFNpYNeKFtG8_yji4HS352LGlSQ/edit?pli=1#gid=0"",""1_ACUM!A4:S""),19,FALSE))"),"")</f>
        <v/>
      </c>
      <c r="BF323" s="98" t="str">
        <f ca="1">IFERROR(__xludf.DUMMYFUNCTION("IFERROR(VLOOKUP(F337,IMPORTRANGE(""https://docs.google.com/spreadsheets/d/1Kvs4KS76FHFqLFIZfrDMff4kP08nblUkihrxltoGBjg/edit#gid=934712705"",""ESENCIAL!A6:BG""),5,FALSE))"),"")</f>
        <v/>
      </c>
      <c r="BG323" s="98" t="str">
        <f t="shared" si="17"/>
        <v/>
      </c>
      <c r="BH323" s="99" t="str">
        <f t="shared" si="18"/>
        <v/>
      </c>
      <c r="BI323" s="100" t="str">
        <f ca="1">IFERROR(__xludf.DUMMYFUNCTION("IFERROR(VLOOKUP(F337,IMPORTRANGE(""https://docs.google.com/spreadsheets/d/1Kvs4KS76FHFqLFIZfrDMff4kP08nblUkihrxltoGBjg/edit#gid=934712705"",""ESENCIAL!A6:BG""),2,FALSE))"),"")</f>
        <v/>
      </c>
      <c r="BJ323" s="19" t="str">
        <f t="shared" si="19"/>
        <v/>
      </c>
      <c r="BK323" s="100"/>
      <c r="BL323" s="100"/>
    </row>
    <row r="324" spans="1:64" ht="15">
      <c r="A324" s="101"/>
      <c r="B324" s="101"/>
      <c r="G324" s="5" t="str">
        <f ca="1">IFERROR(__xludf.DUMMYFUNCTION("IFERROR(VLOOKUP(F338,IMPORTRANGE(""https://docs.google.com/spreadsheets/d/1Kvs4KS76FHFqLFIZfrDMff4kP08nblUkihrxltoGBjg/edit#gid=934712705"",""ESENCIAL!A6:BG""),3,FALSE))"),"")</f>
        <v/>
      </c>
      <c r="H324" s="5" t="str">
        <f ca="1">IFERROR(__xludf.DUMMYFUNCTION("IFERROR(VLOOKUP(F338,IMPORTRANGE(""https://docs.google.com/spreadsheets/d/1Kvs4KS76FHFqLFIZfrDMff4kP08nblUkihrxltoGBjg/edit#gid=934712705"",""ESENCIAL!A6:BG""),8,FALSE))"),"")</f>
        <v/>
      </c>
      <c r="L324" s="287"/>
      <c r="U324" s="40"/>
      <c r="AU324" s="41" t="str">
        <f t="shared" si="16"/>
        <v/>
      </c>
      <c r="AV324" s="5" t="str">
        <f ca="1">IFERROR(__xludf.DUMMYFUNCTION("IFERROR(VLOOKUP(E338&amp;F338,IMPORTRANGE(""https://docs.google.com/spreadsheets/d/1Uw7-A9f9R21vMXxHZFNpYNeKFtG8_yji4HS352LGlSQ/edit?pli=1#gid=0"",""1_ACUM!A4:S""),11,FALSE))"),"")</f>
        <v/>
      </c>
      <c r="AW324" s="42" t="str">
        <f ca="1">IFERROR(__xludf.DUMMYFUNCTION("IFERROR(VLOOKUP(F338,IMPORTRANGE(""https://docs.google.com/spreadsheets/d/1Kvs4KS76FHFqLFIZfrDMff4kP08nblUkihrxltoGBjg/edit#gid=934712705"",""ESENCIAL!A6:BG""),15,FALSE))"),"")</f>
        <v/>
      </c>
      <c r="AX324" s="21" t="str">
        <f ca="1">IFERROR(__xludf.DUMMYFUNCTION("IFERROR(VLOOKUP(E338&amp;F338,IMPORTRANGE(""https://docs.google.com/spreadsheets/d/1Uw7-A9f9R21vMXxHZFNpYNeKFtG8_yji4HS352LGlSQ/edit?pli=1#gid=0"",""1_ACUM!A4:S""),12,FALSE))"),"")</f>
        <v/>
      </c>
      <c r="AY324" s="43" t="str">
        <f ca="1">IFERROR(__xludf.DUMMYFUNCTION("IFERROR(VLOOKUP(E338&amp;F338,IMPORTRANGE(""https://docs.google.com/spreadsheets/d/1Uw7-A9f9R21vMXxHZFNpYNeKFtG8_yji4HS352LGlSQ/edit?pli=1#gid=0"",""1_ACUM!A4:S""),13,FALSE))"),"")</f>
        <v/>
      </c>
      <c r="AZ324" s="43" t="str">
        <f ca="1">IFERROR(__xludf.DUMMYFUNCTION("IFERROR(VLOOKUP(E338&amp;F338,IMPORTRANGE(""https://docs.google.com/spreadsheets/d/1Uw7-A9f9R21vMXxHZFNpYNeKFtG8_yji4HS352LGlSQ/edit?pli=1#gid=0"",""1_ACUM!A4:S""),14,FALSE))"),"")</f>
        <v/>
      </c>
      <c r="BA324" s="43" t="str">
        <f ca="1">IFERROR(__xludf.DUMMYFUNCTION("IFERROR(VLOOKUP(E338&amp;F338,IMPORTRANGE(""https://docs.google.com/spreadsheets/d/1Uw7-A9f9R21vMXxHZFNpYNeKFtG8_yji4HS352LGlSQ/edit?pli=1#gid=0"",""1_ACUM!A4:S""),15,FALSE))"),"")</f>
        <v/>
      </c>
      <c r="BB324" s="43" t="str">
        <f ca="1">IFERROR(__xludf.DUMMYFUNCTION("IFERROR(VLOOKUP(E338&amp;F338,IMPORTRANGE(""https://docs.google.com/spreadsheets/d/1Uw7-A9f9R21vMXxHZFNpYNeKFtG8_yji4HS352LGlSQ/edit?pli=1#gid=0"",""1_ACUM!A4:S""),16,FALSE))"),"")</f>
        <v/>
      </c>
      <c r="BC324" s="43" t="str">
        <f ca="1">IFERROR(__xludf.DUMMYFUNCTION("IFERROR(VLOOKUP(E338&amp;F338,IMPORTRANGE(""https://docs.google.com/spreadsheets/d/1Uw7-A9f9R21vMXxHZFNpYNeKFtG8_yji4HS352LGlSQ/edit?pli=1#gid=0"",""1_ACUM!A4:S""),17,FALSE))"),"")</f>
        <v/>
      </c>
      <c r="BD324" s="44" t="str">
        <f ca="1">IFERROR(__xludf.DUMMYFUNCTION("IFERROR(VLOOKUP(E338&amp;F338,IMPORTRANGE(""https://docs.google.com/spreadsheets/d/1Uw7-A9f9R21vMXxHZFNpYNeKFtG8_yji4HS352LGlSQ/edit?pli=1#gid=0"",""1_ACUM!A4:S""),18,FALSE))"),"")</f>
        <v/>
      </c>
      <c r="BE324" s="44" t="str">
        <f ca="1">IFERROR(__xludf.DUMMYFUNCTION("IFERROR(VLOOKUP(E338&amp;F338,IMPORTRANGE(""https://docs.google.com/spreadsheets/d/1Uw7-A9f9R21vMXxHZFNpYNeKFtG8_yji4HS352LGlSQ/edit?pli=1#gid=0"",""1_ACUM!A4:S""),19,FALSE))"),"")</f>
        <v/>
      </c>
      <c r="BF324" s="98" t="str">
        <f ca="1">IFERROR(__xludf.DUMMYFUNCTION("IFERROR(VLOOKUP(F338,IMPORTRANGE(""https://docs.google.com/spreadsheets/d/1Kvs4KS76FHFqLFIZfrDMff4kP08nblUkihrxltoGBjg/edit#gid=934712705"",""ESENCIAL!A6:BG""),5,FALSE))"),"")</f>
        <v/>
      </c>
      <c r="BG324" s="98" t="str">
        <f t="shared" si="17"/>
        <v/>
      </c>
      <c r="BH324" s="99" t="str">
        <f t="shared" si="18"/>
        <v/>
      </c>
      <c r="BI324" s="100" t="str">
        <f ca="1">IFERROR(__xludf.DUMMYFUNCTION("IFERROR(VLOOKUP(F338,IMPORTRANGE(""https://docs.google.com/spreadsheets/d/1Kvs4KS76FHFqLFIZfrDMff4kP08nblUkihrxltoGBjg/edit#gid=934712705"",""ESENCIAL!A6:BG""),2,FALSE))"),"")</f>
        <v/>
      </c>
      <c r="BJ324" s="19" t="str">
        <f t="shared" si="19"/>
        <v/>
      </c>
      <c r="BK324" s="100"/>
      <c r="BL324" s="100"/>
    </row>
    <row r="325" spans="1:64" ht="15">
      <c r="A325" s="101"/>
      <c r="B325" s="101"/>
      <c r="G325" s="5" t="str">
        <f ca="1">IFERROR(__xludf.DUMMYFUNCTION("IFERROR(VLOOKUP(F339,IMPORTRANGE(""https://docs.google.com/spreadsheets/d/1Kvs4KS76FHFqLFIZfrDMff4kP08nblUkihrxltoGBjg/edit#gid=934712705"",""ESENCIAL!A6:BG""),3,FALSE))"),"")</f>
        <v/>
      </c>
      <c r="H325" s="5" t="str">
        <f ca="1">IFERROR(__xludf.DUMMYFUNCTION("IFERROR(VLOOKUP(F339,IMPORTRANGE(""https://docs.google.com/spreadsheets/d/1Kvs4KS76FHFqLFIZfrDMff4kP08nblUkihrxltoGBjg/edit#gid=934712705"",""ESENCIAL!A6:BG""),8,FALSE))"),"")</f>
        <v/>
      </c>
      <c r="L325" s="287"/>
      <c r="U325" s="40"/>
      <c r="AU325" s="41" t="str">
        <f t="shared" si="16"/>
        <v/>
      </c>
      <c r="AV325" s="5" t="str">
        <f ca="1">IFERROR(__xludf.DUMMYFUNCTION("IFERROR(VLOOKUP(E339&amp;F339,IMPORTRANGE(""https://docs.google.com/spreadsheets/d/1Uw7-A9f9R21vMXxHZFNpYNeKFtG8_yji4HS352LGlSQ/edit?pli=1#gid=0"",""1_ACUM!A4:S""),11,FALSE))"),"")</f>
        <v/>
      </c>
      <c r="AW325" s="42" t="str">
        <f ca="1">IFERROR(__xludf.DUMMYFUNCTION("IFERROR(VLOOKUP(F339,IMPORTRANGE(""https://docs.google.com/spreadsheets/d/1Kvs4KS76FHFqLFIZfrDMff4kP08nblUkihrxltoGBjg/edit#gid=934712705"",""ESENCIAL!A6:BG""),15,FALSE))"),"")</f>
        <v/>
      </c>
      <c r="AX325" s="21" t="str">
        <f ca="1">IFERROR(__xludf.DUMMYFUNCTION("IFERROR(VLOOKUP(E339&amp;F339,IMPORTRANGE(""https://docs.google.com/spreadsheets/d/1Uw7-A9f9R21vMXxHZFNpYNeKFtG8_yji4HS352LGlSQ/edit?pli=1#gid=0"",""1_ACUM!A4:S""),12,FALSE))"),"")</f>
        <v/>
      </c>
      <c r="AY325" s="43" t="str">
        <f ca="1">IFERROR(__xludf.DUMMYFUNCTION("IFERROR(VLOOKUP(E339&amp;F339,IMPORTRANGE(""https://docs.google.com/spreadsheets/d/1Uw7-A9f9R21vMXxHZFNpYNeKFtG8_yji4HS352LGlSQ/edit?pli=1#gid=0"",""1_ACUM!A4:S""),13,FALSE))"),"")</f>
        <v/>
      </c>
      <c r="AZ325" s="43" t="str">
        <f ca="1">IFERROR(__xludf.DUMMYFUNCTION("IFERROR(VLOOKUP(E339&amp;F339,IMPORTRANGE(""https://docs.google.com/spreadsheets/d/1Uw7-A9f9R21vMXxHZFNpYNeKFtG8_yji4HS352LGlSQ/edit?pli=1#gid=0"",""1_ACUM!A4:S""),14,FALSE))"),"")</f>
        <v/>
      </c>
      <c r="BA325" s="43" t="str">
        <f ca="1">IFERROR(__xludf.DUMMYFUNCTION("IFERROR(VLOOKUP(E339&amp;F339,IMPORTRANGE(""https://docs.google.com/spreadsheets/d/1Uw7-A9f9R21vMXxHZFNpYNeKFtG8_yji4HS352LGlSQ/edit?pli=1#gid=0"",""1_ACUM!A4:S""),15,FALSE))"),"")</f>
        <v/>
      </c>
      <c r="BB325" s="43" t="str">
        <f ca="1">IFERROR(__xludf.DUMMYFUNCTION("IFERROR(VLOOKUP(E339&amp;F339,IMPORTRANGE(""https://docs.google.com/spreadsheets/d/1Uw7-A9f9R21vMXxHZFNpYNeKFtG8_yji4HS352LGlSQ/edit?pli=1#gid=0"",""1_ACUM!A4:S""),16,FALSE))"),"")</f>
        <v/>
      </c>
      <c r="BC325" s="43" t="str">
        <f ca="1">IFERROR(__xludf.DUMMYFUNCTION("IFERROR(VLOOKUP(E339&amp;F339,IMPORTRANGE(""https://docs.google.com/spreadsheets/d/1Uw7-A9f9R21vMXxHZFNpYNeKFtG8_yji4HS352LGlSQ/edit?pli=1#gid=0"",""1_ACUM!A4:S""),17,FALSE))"),"")</f>
        <v/>
      </c>
      <c r="BD325" s="44" t="str">
        <f ca="1">IFERROR(__xludf.DUMMYFUNCTION("IFERROR(VLOOKUP(E339&amp;F339,IMPORTRANGE(""https://docs.google.com/spreadsheets/d/1Uw7-A9f9R21vMXxHZFNpYNeKFtG8_yji4HS352LGlSQ/edit?pli=1#gid=0"",""1_ACUM!A4:S""),18,FALSE))"),"")</f>
        <v/>
      </c>
      <c r="BE325" s="44" t="str">
        <f ca="1">IFERROR(__xludf.DUMMYFUNCTION("IFERROR(VLOOKUP(E339&amp;F339,IMPORTRANGE(""https://docs.google.com/spreadsheets/d/1Uw7-A9f9R21vMXxHZFNpYNeKFtG8_yji4HS352LGlSQ/edit?pli=1#gid=0"",""1_ACUM!A4:S""),19,FALSE))"),"")</f>
        <v/>
      </c>
      <c r="BF325" s="98" t="str">
        <f ca="1">IFERROR(__xludf.DUMMYFUNCTION("IFERROR(VLOOKUP(F339,IMPORTRANGE(""https://docs.google.com/spreadsheets/d/1Kvs4KS76FHFqLFIZfrDMff4kP08nblUkihrxltoGBjg/edit#gid=934712705"",""ESENCIAL!A6:BG""),5,FALSE))"),"")</f>
        <v/>
      </c>
      <c r="BG325" s="98" t="str">
        <f t="shared" si="17"/>
        <v/>
      </c>
      <c r="BH325" s="99" t="str">
        <f t="shared" si="18"/>
        <v/>
      </c>
      <c r="BI325" s="100" t="str">
        <f ca="1">IFERROR(__xludf.DUMMYFUNCTION("IFERROR(VLOOKUP(F339,IMPORTRANGE(""https://docs.google.com/spreadsheets/d/1Kvs4KS76FHFqLFIZfrDMff4kP08nblUkihrxltoGBjg/edit#gid=934712705"",""ESENCIAL!A6:BG""),2,FALSE))"),"")</f>
        <v/>
      </c>
      <c r="BJ325" s="19" t="str">
        <f t="shared" si="19"/>
        <v/>
      </c>
      <c r="BK325" s="100"/>
      <c r="BL325" s="100"/>
    </row>
    <row r="326" spans="1:64" ht="15">
      <c r="A326" s="101"/>
      <c r="B326" s="101"/>
      <c r="G326" s="5" t="str">
        <f ca="1">IFERROR(__xludf.DUMMYFUNCTION("IFERROR(VLOOKUP(F340,IMPORTRANGE(""https://docs.google.com/spreadsheets/d/1Kvs4KS76FHFqLFIZfrDMff4kP08nblUkihrxltoGBjg/edit#gid=934712705"",""ESENCIAL!A6:BG""),3,FALSE))"),"")</f>
        <v/>
      </c>
      <c r="H326" s="5" t="str">
        <f ca="1">IFERROR(__xludf.DUMMYFUNCTION("IFERROR(VLOOKUP(F340,IMPORTRANGE(""https://docs.google.com/spreadsheets/d/1Kvs4KS76FHFqLFIZfrDMff4kP08nblUkihrxltoGBjg/edit#gid=934712705"",""ESENCIAL!A6:BG""),8,FALSE))"),"")</f>
        <v/>
      </c>
      <c r="L326" s="287"/>
      <c r="U326" s="40"/>
      <c r="AU326" s="41" t="str">
        <f t="shared" si="16"/>
        <v/>
      </c>
      <c r="AV326" s="5" t="str">
        <f ca="1">IFERROR(__xludf.DUMMYFUNCTION("IFERROR(VLOOKUP(E340&amp;F340,IMPORTRANGE(""https://docs.google.com/spreadsheets/d/1Uw7-A9f9R21vMXxHZFNpYNeKFtG8_yji4HS352LGlSQ/edit?pli=1#gid=0"",""1_ACUM!A4:S""),11,FALSE))"),"")</f>
        <v/>
      </c>
      <c r="AW326" s="42" t="str">
        <f ca="1">IFERROR(__xludf.DUMMYFUNCTION("IFERROR(VLOOKUP(F340,IMPORTRANGE(""https://docs.google.com/spreadsheets/d/1Kvs4KS76FHFqLFIZfrDMff4kP08nblUkihrxltoGBjg/edit#gid=934712705"",""ESENCIAL!A6:BG""),15,FALSE))"),"")</f>
        <v/>
      </c>
      <c r="AX326" s="21" t="str">
        <f ca="1">IFERROR(__xludf.DUMMYFUNCTION("IFERROR(VLOOKUP(E340&amp;F340,IMPORTRANGE(""https://docs.google.com/spreadsheets/d/1Uw7-A9f9R21vMXxHZFNpYNeKFtG8_yji4HS352LGlSQ/edit?pli=1#gid=0"",""1_ACUM!A4:S""),12,FALSE))"),"")</f>
        <v/>
      </c>
      <c r="AY326" s="43" t="str">
        <f ca="1">IFERROR(__xludf.DUMMYFUNCTION("IFERROR(VLOOKUP(E340&amp;F340,IMPORTRANGE(""https://docs.google.com/spreadsheets/d/1Uw7-A9f9R21vMXxHZFNpYNeKFtG8_yji4HS352LGlSQ/edit?pli=1#gid=0"",""1_ACUM!A4:S""),13,FALSE))"),"")</f>
        <v/>
      </c>
      <c r="AZ326" s="43" t="str">
        <f ca="1">IFERROR(__xludf.DUMMYFUNCTION("IFERROR(VLOOKUP(E340&amp;F340,IMPORTRANGE(""https://docs.google.com/spreadsheets/d/1Uw7-A9f9R21vMXxHZFNpYNeKFtG8_yji4HS352LGlSQ/edit?pli=1#gid=0"",""1_ACUM!A4:S""),14,FALSE))"),"")</f>
        <v/>
      </c>
      <c r="BA326" s="43" t="str">
        <f ca="1">IFERROR(__xludf.DUMMYFUNCTION("IFERROR(VLOOKUP(E340&amp;F340,IMPORTRANGE(""https://docs.google.com/spreadsheets/d/1Uw7-A9f9R21vMXxHZFNpYNeKFtG8_yji4HS352LGlSQ/edit?pli=1#gid=0"",""1_ACUM!A4:S""),15,FALSE))"),"")</f>
        <v/>
      </c>
      <c r="BB326" s="43" t="str">
        <f ca="1">IFERROR(__xludf.DUMMYFUNCTION("IFERROR(VLOOKUP(E340&amp;F340,IMPORTRANGE(""https://docs.google.com/spreadsheets/d/1Uw7-A9f9R21vMXxHZFNpYNeKFtG8_yji4HS352LGlSQ/edit?pli=1#gid=0"",""1_ACUM!A4:S""),16,FALSE))"),"")</f>
        <v/>
      </c>
      <c r="BC326" s="43" t="str">
        <f ca="1">IFERROR(__xludf.DUMMYFUNCTION("IFERROR(VLOOKUP(E340&amp;F340,IMPORTRANGE(""https://docs.google.com/spreadsheets/d/1Uw7-A9f9R21vMXxHZFNpYNeKFtG8_yji4HS352LGlSQ/edit?pli=1#gid=0"",""1_ACUM!A4:S""),17,FALSE))"),"")</f>
        <v/>
      </c>
      <c r="BD326" s="44" t="str">
        <f ca="1">IFERROR(__xludf.DUMMYFUNCTION("IFERROR(VLOOKUP(E340&amp;F340,IMPORTRANGE(""https://docs.google.com/spreadsheets/d/1Uw7-A9f9R21vMXxHZFNpYNeKFtG8_yji4HS352LGlSQ/edit?pli=1#gid=0"",""1_ACUM!A4:S""),18,FALSE))"),"")</f>
        <v/>
      </c>
      <c r="BE326" s="44" t="str">
        <f ca="1">IFERROR(__xludf.DUMMYFUNCTION("IFERROR(VLOOKUP(E340&amp;F340,IMPORTRANGE(""https://docs.google.com/spreadsheets/d/1Uw7-A9f9R21vMXxHZFNpYNeKFtG8_yji4HS352LGlSQ/edit?pli=1#gid=0"",""1_ACUM!A4:S""),19,FALSE))"),"")</f>
        <v/>
      </c>
      <c r="BF326" s="98" t="str">
        <f ca="1">IFERROR(__xludf.DUMMYFUNCTION("IFERROR(VLOOKUP(F340,IMPORTRANGE(""https://docs.google.com/spreadsheets/d/1Kvs4KS76FHFqLFIZfrDMff4kP08nblUkihrxltoGBjg/edit#gid=934712705"",""ESENCIAL!A6:BG""),5,FALSE))"),"")</f>
        <v/>
      </c>
      <c r="BG326" s="98" t="str">
        <f t="shared" si="17"/>
        <v/>
      </c>
      <c r="BH326" s="99" t="str">
        <f t="shared" si="18"/>
        <v/>
      </c>
      <c r="BI326" s="100" t="str">
        <f ca="1">IFERROR(__xludf.DUMMYFUNCTION("IFERROR(VLOOKUP(F340,IMPORTRANGE(""https://docs.google.com/spreadsheets/d/1Kvs4KS76FHFqLFIZfrDMff4kP08nblUkihrxltoGBjg/edit#gid=934712705"",""ESENCIAL!A6:BG""),2,FALSE))"),"")</f>
        <v/>
      </c>
      <c r="BJ326" s="19" t="str">
        <f t="shared" si="19"/>
        <v/>
      </c>
      <c r="BK326" s="100"/>
      <c r="BL326" s="100"/>
    </row>
    <row r="327" spans="1:64" ht="15">
      <c r="A327" s="101"/>
      <c r="B327" s="101"/>
      <c r="G327" s="5" t="str">
        <f ca="1">IFERROR(__xludf.DUMMYFUNCTION("IFERROR(VLOOKUP(F341,IMPORTRANGE(""https://docs.google.com/spreadsheets/d/1Kvs4KS76FHFqLFIZfrDMff4kP08nblUkihrxltoGBjg/edit#gid=934712705"",""ESENCIAL!A6:BG""),3,FALSE))"),"")</f>
        <v/>
      </c>
      <c r="H327" s="5" t="str">
        <f ca="1">IFERROR(__xludf.DUMMYFUNCTION("IFERROR(VLOOKUP(F341,IMPORTRANGE(""https://docs.google.com/spreadsheets/d/1Kvs4KS76FHFqLFIZfrDMff4kP08nblUkihrxltoGBjg/edit#gid=934712705"",""ESENCIAL!A6:BG""),8,FALSE))"),"")</f>
        <v/>
      </c>
      <c r="L327" s="287"/>
      <c r="U327" s="40"/>
      <c r="AU327" s="41" t="str">
        <f t="shared" si="16"/>
        <v/>
      </c>
      <c r="AV327" s="5" t="str">
        <f ca="1">IFERROR(__xludf.DUMMYFUNCTION("IFERROR(VLOOKUP(E341&amp;F341,IMPORTRANGE(""https://docs.google.com/spreadsheets/d/1Uw7-A9f9R21vMXxHZFNpYNeKFtG8_yji4HS352LGlSQ/edit?pli=1#gid=0"",""1_ACUM!A4:S""),11,FALSE))"),"")</f>
        <v/>
      </c>
      <c r="AW327" s="42" t="str">
        <f ca="1">IFERROR(__xludf.DUMMYFUNCTION("IFERROR(VLOOKUP(F341,IMPORTRANGE(""https://docs.google.com/spreadsheets/d/1Kvs4KS76FHFqLFIZfrDMff4kP08nblUkihrxltoGBjg/edit#gid=934712705"",""ESENCIAL!A6:BG""),15,FALSE))"),"")</f>
        <v/>
      </c>
      <c r="AX327" s="21" t="str">
        <f ca="1">IFERROR(__xludf.DUMMYFUNCTION("IFERROR(VLOOKUP(E341&amp;F341,IMPORTRANGE(""https://docs.google.com/spreadsheets/d/1Uw7-A9f9R21vMXxHZFNpYNeKFtG8_yji4HS352LGlSQ/edit?pli=1#gid=0"",""1_ACUM!A4:S""),12,FALSE))"),"")</f>
        <v/>
      </c>
      <c r="AY327" s="43" t="str">
        <f ca="1">IFERROR(__xludf.DUMMYFUNCTION("IFERROR(VLOOKUP(E341&amp;F341,IMPORTRANGE(""https://docs.google.com/spreadsheets/d/1Uw7-A9f9R21vMXxHZFNpYNeKFtG8_yji4HS352LGlSQ/edit?pli=1#gid=0"",""1_ACUM!A4:S""),13,FALSE))"),"")</f>
        <v/>
      </c>
      <c r="AZ327" s="43" t="str">
        <f ca="1">IFERROR(__xludf.DUMMYFUNCTION("IFERROR(VLOOKUP(E341&amp;F341,IMPORTRANGE(""https://docs.google.com/spreadsheets/d/1Uw7-A9f9R21vMXxHZFNpYNeKFtG8_yji4HS352LGlSQ/edit?pli=1#gid=0"",""1_ACUM!A4:S""),14,FALSE))"),"")</f>
        <v/>
      </c>
      <c r="BA327" s="43" t="str">
        <f ca="1">IFERROR(__xludf.DUMMYFUNCTION("IFERROR(VLOOKUP(E341&amp;F341,IMPORTRANGE(""https://docs.google.com/spreadsheets/d/1Uw7-A9f9R21vMXxHZFNpYNeKFtG8_yji4HS352LGlSQ/edit?pli=1#gid=0"",""1_ACUM!A4:S""),15,FALSE))"),"")</f>
        <v/>
      </c>
      <c r="BB327" s="43" t="str">
        <f ca="1">IFERROR(__xludf.DUMMYFUNCTION("IFERROR(VLOOKUP(E341&amp;F341,IMPORTRANGE(""https://docs.google.com/spreadsheets/d/1Uw7-A9f9R21vMXxHZFNpYNeKFtG8_yji4HS352LGlSQ/edit?pli=1#gid=0"",""1_ACUM!A4:S""),16,FALSE))"),"")</f>
        <v/>
      </c>
      <c r="BC327" s="43" t="str">
        <f ca="1">IFERROR(__xludf.DUMMYFUNCTION("IFERROR(VLOOKUP(E341&amp;F341,IMPORTRANGE(""https://docs.google.com/spreadsheets/d/1Uw7-A9f9R21vMXxHZFNpYNeKFtG8_yji4HS352LGlSQ/edit?pli=1#gid=0"",""1_ACUM!A4:S""),17,FALSE))"),"")</f>
        <v/>
      </c>
      <c r="BD327" s="44" t="str">
        <f ca="1">IFERROR(__xludf.DUMMYFUNCTION("IFERROR(VLOOKUP(E341&amp;F341,IMPORTRANGE(""https://docs.google.com/spreadsheets/d/1Uw7-A9f9R21vMXxHZFNpYNeKFtG8_yji4HS352LGlSQ/edit?pli=1#gid=0"",""1_ACUM!A4:S""),18,FALSE))"),"")</f>
        <v/>
      </c>
      <c r="BE327" s="44" t="str">
        <f ca="1">IFERROR(__xludf.DUMMYFUNCTION("IFERROR(VLOOKUP(E341&amp;F341,IMPORTRANGE(""https://docs.google.com/spreadsheets/d/1Uw7-A9f9R21vMXxHZFNpYNeKFtG8_yji4HS352LGlSQ/edit?pli=1#gid=0"",""1_ACUM!A4:S""),19,FALSE))"),"")</f>
        <v/>
      </c>
      <c r="BF327" s="98" t="str">
        <f ca="1">IFERROR(__xludf.DUMMYFUNCTION("IFERROR(VLOOKUP(F341,IMPORTRANGE(""https://docs.google.com/spreadsheets/d/1Kvs4KS76FHFqLFIZfrDMff4kP08nblUkihrxltoGBjg/edit#gid=934712705"",""ESENCIAL!A6:BG""),5,FALSE))"),"")</f>
        <v/>
      </c>
      <c r="BG327" s="98" t="str">
        <f t="shared" si="17"/>
        <v/>
      </c>
      <c r="BH327" s="99" t="str">
        <f t="shared" si="18"/>
        <v/>
      </c>
      <c r="BI327" s="100" t="str">
        <f ca="1">IFERROR(__xludf.DUMMYFUNCTION("IFERROR(VLOOKUP(F341,IMPORTRANGE(""https://docs.google.com/spreadsheets/d/1Kvs4KS76FHFqLFIZfrDMff4kP08nblUkihrxltoGBjg/edit#gid=934712705"",""ESENCIAL!A6:BG""),2,FALSE))"),"")</f>
        <v/>
      </c>
      <c r="BJ327" s="19" t="str">
        <f t="shared" si="19"/>
        <v/>
      </c>
      <c r="BK327" s="100"/>
      <c r="BL327" s="100"/>
    </row>
    <row r="328" spans="1:64" ht="15">
      <c r="A328" s="101"/>
      <c r="B328" s="101"/>
      <c r="G328" s="5" t="str">
        <f ca="1">IFERROR(__xludf.DUMMYFUNCTION("IFERROR(VLOOKUP(F342,IMPORTRANGE(""https://docs.google.com/spreadsheets/d/1Kvs4KS76FHFqLFIZfrDMff4kP08nblUkihrxltoGBjg/edit#gid=934712705"",""ESENCIAL!A6:BG""),3,FALSE))"),"")</f>
        <v/>
      </c>
      <c r="H328" s="5" t="str">
        <f ca="1">IFERROR(__xludf.DUMMYFUNCTION("IFERROR(VLOOKUP(F342,IMPORTRANGE(""https://docs.google.com/spreadsheets/d/1Kvs4KS76FHFqLFIZfrDMff4kP08nblUkihrxltoGBjg/edit#gid=934712705"",""ESENCIAL!A6:BG""),8,FALSE))"),"")</f>
        <v/>
      </c>
      <c r="L328" s="287"/>
      <c r="U328" s="40"/>
      <c r="AU328" s="41" t="str">
        <f t="shared" si="16"/>
        <v/>
      </c>
      <c r="AV328" s="5" t="str">
        <f ca="1">IFERROR(__xludf.DUMMYFUNCTION("IFERROR(VLOOKUP(E342&amp;F342,IMPORTRANGE(""https://docs.google.com/spreadsheets/d/1Uw7-A9f9R21vMXxHZFNpYNeKFtG8_yji4HS352LGlSQ/edit?pli=1#gid=0"",""1_ACUM!A4:S""),11,FALSE))"),"")</f>
        <v/>
      </c>
      <c r="AW328" s="42" t="str">
        <f ca="1">IFERROR(__xludf.DUMMYFUNCTION("IFERROR(VLOOKUP(F342,IMPORTRANGE(""https://docs.google.com/spreadsheets/d/1Kvs4KS76FHFqLFIZfrDMff4kP08nblUkihrxltoGBjg/edit#gid=934712705"",""ESENCIAL!A6:BG""),15,FALSE))"),"")</f>
        <v/>
      </c>
      <c r="AX328" s="21" t="str">
        <f ca="1">IFERROR(__xludf.DUMMYFUNCTION("IFERROR(VLOOKUP(E342&amp;F342,IMPORTRANGE(""https://docs.google.com/spreadsheets/d/1Uw7-A9f9R21vMXxHZFNpYNeKFtG8_yji4HS352LGlSQ/edit?pli=1#gid=0"",""1_ACUM!A4:S""),12,FALSE))"),"")</f>
        <v/>
      </c>
      <c r="AY328" s="43" t="str">
        <f ca="1">IFERROR(__xludf.DUMMYFUNCTION("IFERROR(VLOOKUP(E342&amp;F342,IMPORTRANGE(""https://docs.google.com/spreadsheets/d/1Uw7-A9f9R21vMXxHZFNpYNeKFtG8_yji4HS352LGlSQ/edit?pli=1#gid=0"",""1_ACUM!A4:S""),13,FALSE))"),"")</f>
        <v/>
      </c>
      <c r="AZ328" s="43" t="str">
        <f ca="1">IFERROR(__xludf.DUMMYFUNCTION("IFERROR(VLOOKUP(E342&amp;F342,IMPORTRANGE(""https://docs.google.com/spreadsheets/d/1Uw7-A9f9R21vMXxHZFNpYNeKFtG8_yji4HS352LGlSQ/edit?pli=1#gid=0"",""1_ACUM!A4:S""),14,FALSE))"),"")</f>
        <v/>
      </c>
      <c r="BA328" s="43" t="str">
        <f ca="1">IFERROR(__xludf.DUMMYFUNCTION("IFERROR(VLOOKUP(E342&amp;F342,IMPORTRANGE(""https://docs.google.com/spreadsheets/d/1Uw7-A9f9R21vMXxHZFNpYNeKFtG8_yji4HS352LGlSQ/edit?pli=1#gid=0"",""1_ACUM!A4:S""),15,FALSE))"),"")</f>
        <v/>
      </c>
      <c r="BB328" s="43" t="str">
        <f ca="1">IFERROR(__xludf.DUMMYFUNCTION("IFERROR(VLOOKUP(E342&amp;F342,IMPORTRANGE(""https://docs.google.com/spreadsheets/d/1Uw7-A9f9R21vMXxHZFNpYNeKFtG8_yji4HS352LGlSQ/edit?pli=1#gid=0"",""1_ACUM!A4:S""),16,FALSE))"),"")</f>
        <v/>
      </c>
      <c r="BC328" s="43" t="str">
        <f ca="1">IFERROR(__xludf.DUMMYFUNCTION("IFERROR(VLOOKUP(E342&amp;F342,IMPORTRANGE(""https://docs.google.com/spreadsheets/d/1Uw7-A9f9R21vMXxHZFNpYNeKFtG8_yji4HS352LGlSQ/edit?pli=1#gid=0"",""1_ACUM!A4:S""),17,FALSE))"),"")</f>
        <v/>
      </c>
      <c r="BD328" s="44" t="str">
        <f ca="1">IFERROR(__xludf.DUMMYFUNCTION("IFERROR(VLOOKUP(E342&amp;F342,IMPORTRANGE(""https://docs.google.com/spreadsheets/d/1Uw7-A9f9R21vMXxHZFNpYNeKFtG8_yji4HS352LGlSQ/edit?pli=1#gid=0"",""1_ACUM!A4:S""),18,FALSE))"),"")</f>
        <v/>
      </c>
      <c r="BE328" s="44" t="str">
        <f ca="1">IFERROR(__xludf.DUMMYFUNCTION("IFERROR(VLOOKUP(E342&amp;F342,IMPORTRANGE(""https://docs.google.com/spreadsheets/d/1Uw7-A9f9R21vMXxHZFNpYNeKFtG8_yji4HS352LGlSQ/edit?pli=1#gid=0"",""1_ACUM!A4:S""),19,FALSE))"),"")</f>
        <v/>
      </c>
      <c r="BF328" s="98" t="str">
        <f ca="1">IFERROR(__xludf.DUMMYFUNCTION("IFERROR(VLOOKUP(F342,IMPORTRANGE(""https://docs.google.com/spreadsheets/d/1Kvs4KS76FHFqLFIZfrDMff4kP08nblUkihrxltoGBjg/edit#gid=934712705"",""ESENCIAL!A6:BG""),5,FALSE))"),"")</f>
        <v/>
      </c>
      <c r="BG328" s="98" t="str">
        <f t="shared" si="17"/>
        <v/>
      </c>
      <c r="BH328" s="99" t="str">
        <f t="shared" si="18"/>
        <v/>
      </c>
      <c r="BI328" s="100" t="str">
        <f ca="1">IFERROR(__xludf.DUMMYFUNCTION("IFERROR(VLOOKUP(F342,IMPORTRANGE(""https://docs.google.com/spreadsheets/d/1Kvs4KS76FHFqLFIZfrDMff4kP08nblUkihrxltoGBjg/edit#gid=934712705"",""ESENCIAL!A6:BG""),2,FALSE))"),"")</f>
        <v/>
      </c>
      <c r="BJ328" s="19" t="str">
        <f t="shared" si="19"/>
        <v/>
      </c>
      <c r="BK328" s="100"/>
      <c r="BL328" s="100"/>
    </row>
    <row r="329" spans="1:64" ht="15">
      <c r="A329" s="104"/>
      <c r="B329" s="104"/>
      <c r="G329" s="5" t="str">
        <f ca="1">IFERROR(__xludf.DUMMYFUNCTION("IFERROR(VLOOKUP(F343,IMPORTRANGE(""https://docs.google.com/spreadsheets/d/1Kvs4KS76FHFqLFIZfrDMff4kP08nblUkihrxltoGBjg/edit#gid=934712705"",""ESENCIAL!A6:BG""),3,FALSE))"),"")</f>
        <v/>
      </c>
      <c r="H329" s="5" t="str">
        <f ca="1">IFERROR(__xludf.DUMMYFUNCTION("IFERROR(VLOOKUP(F343,IMPORTRANGE(""https://docs.google.com/spreadsheets/d/1Kvs4KS76FHFqLFIZfrDMff4kP08nblUkihrxltoGBjg/edit#gid=934712705"",""ESENCIAL!A6:BG""),8,FALSE))"),"")</f>
        <v/>
      </c>
      <c r="L329" s="287"/>
      <c r="U329" s="40"/>
      <c r="AU329" s="41" t="str">
        <f t="shared" si="16"/>
        <v/>
      </c>
      <c r="AV329" s="5" t="str">
        <f ca="1">IFERROR(__xludf.DUMMYFUNCTION("IFERROR(VLOOKUP(E343&amp;F343,IMPORTRANGE(""https://docs.google.com/spreadsheets/d/1Uw7-A9f9R21vMXxHZFNpYNeKFtG8_yji4HS352LGlSQ/edit?pli=1#gid=0"",""1_ACUM!A4:S""),11,FALSE))"),"")</f>
        <v/>
      </c>
      <c r="AW329" s="42" t="str">
        <f ca="1">IFERROR(__xludf.DUMMYFUNCTION("IFERROR(VLOOKUP(F343,IMPORTRANGE(""https://docs.google.com/spreadsheets/d/1Kvs4KS76FHFqLFIZfrDMff4kP08nblUkihrxltoGBjg/edit#gid=934712705"",""ESENCIAL!A6:BG""),15,FALSE))"),"")</f>
        <v/>
      </c>
      <c r="AX329" s="21" t="str">
        <f ca="1">IFERROR(__xludf.DUMMYFUNCTION("IFERROR(VLOOKUP(E343&amp;F343,IMPORTRANGE(""https://docs.google.com/spreadsheets/d/1Uw7-A9f9R21vMXxHZFNpYNeKFtG8_yji4HS352LGlSQ/edit?pli=1#gid=0"",""1_ACUM!A4:S""),12,FALSE))"),"")</f>
        <v/>
      </c>
      <c r="AY329" s="43" t="str">
        <f ca="1">IFERROR(__xludf.DUMMYFUNCTION("IFERROR(VLOOKUP(E343&amp;F343,IMPORTRANGE(""https://docs.google.com/spreadsheets/d/1Uw7-A9f9R21vMXxHZFNpYNeKFtG8_yji4HS352LGlSQ/edit?pli=1#gid=0"",""1_ACUM!A4:S""),13,FALSE))"),"")</f>
        <v/>
      </c>
      <c r="AZ329" s="43" t="str">
        <f ca="1">IFERROR(__xludf.DUMMYFUNCTION("IFERROR(VLOOKUP(E343&amp;F343,IMPORTRANGE(""https://docs.google.com/spreadsheets/d/1Uw7-A9f9R21vMXxHZFNpYNeKFtG8_yji4HS352LGlSQ/edit?pli=1#gid=0"",""1_ACUM!A4:S""),14,FALSE))"),"")</f>
        <v/>
      </c>
      <c r="BA329" s="43" t="str">
        <f ca="1">IFERROR(__xludf.DUMMYFUNCTION("IFERROR(VLOOKUP(E343&amp;F343,IMPORTRANGE(""https://docs.google.com/spreadsheets/d/1Uw7-A9f9R21vMXxHZFNpYNeKFtG8_yji4HS352LGlSQ/edit?pli=1#gid=0"",""1_ACUM!A4:S""),15,FALSE))"),"")</f>
        <v/>
      </c>
      <c r="BB329" s="43" t="str">
        <f ca="1">IFERROR(__xludf.DUMMYFUNCTION("IFERROR(VLOOKUP(E343&amp;F343,IMPORTRANGE(""https://docs.google.com/spreadsheets/d/1Uw7-A9f9R21vMXxHZFNpYNeKFtG8_yji4HS352LGlSQ/edit?pli=1#gid=0"",""1_ACUM!A4:S""),16,FALSE))"),"")</f>
        <v/>
      </c>
      <c r="BC329" s="43" t="str">
        <f ca="1">IFERROR(__xludf.DUMMYFUNCTION("IFERROR(VLOOKUP(E343&amp;F343,IMPORTRANGE(""https://docs.google.com/spreadsheets/d/1Uw7-A9f9R21vMXxHZFNpYNeKFtG8_yji4HS352LGlSQ/edit?pli=1#gid=0"",""1_ACUM!A4:S""),17,FALSE))"),"")</f>
        <v/>
      </c>
      <c r="BD329" s="44" t="str">
        <f ca="1">IFERROR(__xludf.DUMMYFUNCTION("IFERROR(VLOOKUP(E343&amp;F343,IMPORTRANGE(""https://docs.google.com/spreadsheets/d/1Uw7-A9f9R21vMXxHZFNpYNeKFtG8_yji4HS352LGlSQ/edit?pli=1#gid=0"",""1_ACUM!A4:S""),18,FALSE))"),"")</f>
        <v/>
      </c>
      <c r="BE329" s="44" t="str">
        <f ca="1">IFERROR(__xludf.DUMMYFUNCTION("IFERROR(VLOOKUP(E343&amp;F343,IMPORTRANGE(""https://docs.google.com/spreadsheets/d/1Uw7-A9f9R21vMXxHZFNpYNeKFtG8_yji4HS352LGlSQ/edit?pli=1#gid=0"",""1_ACUM!A4:S""),19,FALSE))"),"")</f>
        <v/>
      </c>
      <c r="BF329" s="98" t="str">
        <f ca="1">IFERROR(__xludf.DUMMYFUNCTION("IFERROR(VLOOKUP(F343,IMPORTRANGE(""https://docs.google.com/spreadsheets/d/1Kvs4KS76FHFqLFIZfrDMff4kP08nblUkihrxltoGBjg/edit#gid=934712705"",""ESENCIAL!A6:BG""),5,FALSE))"),"")</f>
        <v/>
      </c>
      <c r="BG329" s="98" t="str">
        <f t="shared" si="17"/>
        <v/>
      </c>
      <c r="BH329" s="99" t="str">
        <f t="shared" si="18"/>
        <v/>
      </c>
      <c r="BI329" s="100" t="str">
        <f ca="1">IFERROR(__xludf.DUMMYFUNCTION("IFERROR(VLOOKUP(F343,IMPORTRANGE(""https://docs.google.com/spreadsheets/d/1Kvs4KS76FHFqLFIZfrDMff4kP08nblUkihrxltoGBjg/edit#gid=934712705"",""ESENCIAL!A6:BG""),2,FALSE))"),"")</f>
        <v/>
      </c>
      <c r="BJ329" s="19" t="str">
        <f t="shared" si="19"/>
        <v/>
      </c>
      <c r="BK329" s="100"/>
      <c r="BL329" s="100"/>
    </row>
    <row r="330" spans="1:64" ht="15">
      <c r="A330" s="101"/>
      <c r="B330" s="101"/>
      <c r="G330" s="5" t="str">
        <f ca="1">IFERROR(__xludf.DUMMYFUNCTION("IFERROR(VLOOKUP(F344,IMPORTRANGE(""https://docs.google.com/spreadsheets/d/1Kvs4KS76FHFqLFIZfrDMff4kP08nblUkihrxltoGBjg/edit#gid=934712705"",""ESENCIAL!A6:BG""),3,FALSE))"),"")</f>
        <v/>
      </c>
      <c r="H330" s="5" t="str">
        <f ca="1">IFERROR(__xludf.DUMMYFUNCTION("IFERROR(VLOOKUP(F344,IMPORTRANGE(""https://docs.google.com/spreadsheets/d/1Kvs4KS76FHFqLFIZfrDMff4kP08nblUkihrxltoGBjg/edit#gid=934712705"",""ESENCIAL!A6:BG""),8,FALSE))"),"")</f>
        <v/>
      </c>
      <c r="L330" s="287"/>
      <c r="U330" s="40"/>
      <c r="AU330" s="41" t="str">
        <f t="shared" si="16"/>
        <v/>
      </c>
      <c r="AV330" s="5" t="str">
        <f ca="1">IFERROR(__xludf.DUMMYFUNCTION("IFERROR(VLOOKUP(E344&amp;F344,IMPORTRANGE(""https://docs.google.com/spreadsheets/d/1Uw7-A9f9R21vMXxHZFNpYNeKFtG8_yji4HS352LGlSQ/edit?pli=1#gid=0"",""1_ACUM!A4:S""),11,FALSE))"),"")</f>
        <v/>
      </c>
      <c r="AW330" s="42" t="str">
        <f ca="1">IFERROR(__xludf.DUMMYFUNCTION("IFERROR(VLOOKUP(F344,IMPORTRANGE(""https://docs.google.com/spreadsheets/d/1Kvs4KS76FHFqLFIZfrDMff4kP08nblUkihrxltoGBjg/edit#gid=934712705"",""ESENCIAL!A6:BG""),15,FALSE))"),"")</f>
        <v/>
      </c>
      <c r="AX330" s="21" t="str">
        <f ca="1">IFERROR(__xludf.DUMMYFUNCTION("IFERROR(VLOOKUP(E344&amp;F344,IMPORTRANGE(""https://docs.google.com/spreadsheets/d/1Uw7-A9f9R21vMXxHZFNpYNeKFtG8_yji4HS352LGlSQ/edit?pli=1#gid=0"",""1_ACUM!A4:S""),12,FALSE))"),"")</f>
        <v/>
      </c>
      <c r="AY330" s="43" t="str">
        <f ca="1">IFERROR(__xludf.DUMMYFUNCTION("IFERROR(VLOOKUP(E344&amp;F344,IMPORTRANGE(""https://docs.google.com/spreadsheets/d/1Uw7-A9f9R21vMXxHZFNpYNeKFtG8_yji4HS352LGlSQ/edit?pli=1#gid=0"",""1_ACUM!A4:S""),13,FALSE))"),"")</f>
        <v/>
      </c>
      <c r="AZ330" s="43" t="str">
        <f ca="1">IFERROR(__xludf.DUMMYFUNCTION("IFERROR(VLOOKUP(E344&amp;F344,IMPORTRANGE(""https://docs.google.com/spreadsheets/d/1Uw7-A9f9R21vMXxHZFNpYNeKFtG8_yji4HS352LGlSQ/edit?pli=1#gid=0"",""1_ACUM!A4:S""),14,FALSE))"),"")</f>
        <v/>
      </c>
      <c r="BA330" s="43" t="str">
        <f ca="1">IFERROR(__xludf.DUMMYFUNCTION("IFERROR(VLOOKUP(E344&amp;F344,IMPORTRANGE(""https://docs.google.com/spreadsheets/d/1Uw7-A9f9R21vMXxHZFNpYNeKFtG8_yji4HS352LGlSQ/edit?pli=1#gid=0"",""1_ACUM!A4:S""),15,FALSE))"),"")</f>
        <v/>
      </c>
      <c r="BB330" s="43" t="str">
        <f ca="1">IFERROR(__xludf.DUMMYFUNCTION("IFERROR(VLOOKUP(E344&amp;F344,IMPORTRANGE(""https://docs.google.com/spreadsheets/d/1Uw7-A9f9R21vMXxHZFNpYNeKFtG8_yji4HS352LGlSQ/edit?pli=1#gid=0"",""1_ACUM!A4:S""),16,FALSE))"),"")</f>
        <v/>
      </c>
      <c r="BC330" s="43" t="str">
        <f ca="1">IFERROR(__xludf.DUMMYFUNCTION("IFERROR(VLOOKUP(E344&amp;F344,IMPORTRANGE(""https://docs.google.com/spreadsheets/d/1Uw7-A9f9R21vMXxHZFNpYNeKFtG8_yji4HS352LGlSQ/edit?pli=1#gid=0"",""1_ACUM!A4:S""),17,FALSE))"),"")</f>
        <v/>
      </c>
      <c r="BD330" s="44" t="str">
        <f ca="1">IFERROR(__xludf.DUMMYFUNCTION("IFERROR(VLOOKUP(E344&amp;F344,IMPORTRANGE(""https://docs.google.com/spreadsheets/d/1Uw7-A9f9R21vMXxHZFNpYNeKFtG8_yji4HS352LGlSQ/edit?pli=1#gid=0"",""1_ACUM!A4:S""),18,FALSE))"),"")</f>
        <v/>
      </c>
      <c r="BE330" s="44" t="str">
        <f ca="1">IFERROR(__xludf.DUMMYFUNCTION("IFERROR(VLOOKUP(E344&amp;F344,IMPORTRANGE(""https://docs.google.com/spreadsheets/d/1Uw7-A9f9R21vMXxHZFNpYNeKFtG8_yji4HS352LGlSQ/edit?pli=1#gid=0"",""1_ACUM!A4:S""),19,FALSE))"),"")</f>
        <v/>
      </c>
      <c r="BF330" s="98" t="str">
        <f ca="1">IFERROR(__xludf.DUMMYFUNCTION("IFERROR(VLOOKUP(F344,IMPORTRANGE(""https://docs.google.com/spreadsheets/d/1Kvs4KS76FHFqLFIZfrDMff4kP08nblUkihrxltoGBjg/edit#gid=934712705"",""ESENCIAL!A6:BG""),5,FALSE))"),"")</f>
        <v/>
      </c>
      <c r="BG330" s="98" t="str">
        <f t="shared" si="17"/>
        <v/>
      </c>
      <c r="BH330" s="99" t="str">
        <f t="shared" si="18"/>
        <v/>
      </c>
      <c r="BI330" s="100" t="str">
        <f ca="1">IFERROR(__xludf.DUMMYFUNCTION("IFERROR(VLOOKUP(F344,IMPORTRANGE(""https://docs.google.com/spreadsheets/d/1Kvs4KS76FHFqLFIZfrDMff4kP08nblUkihrxltoGBjg/edit#gid=934712705"",""ESENCIAL!A6:BG""),2,FALSE))"),"")</f>
        <v/>
      </c>
      <c r="BJ330" s="19" t="str">
        <f t="shared" si="19"/>
        <v/>
      </c>
      <c r="BK330" s="100"/>
      <c r="BL330" s="100"/>
    </row>
    <row r="331" spans="1:64" ht="15">
      <c r="A331" s="101"/>
      <c r="B331" s="101"/>
      <c r="G331" s="5" t="str">
        <f ca="1">IFERROR(__xludf.DUMMYFUNCTION("IFERROR(VLOOKUP(F345,IMPORTRANGE(""https://docs.google.com/spreadsheets/d/1Kvs4KS76FHFqLFIZfrDMff4kP08nblUkihrxltoGBjg/edit#gid=934712705"",""ESENCIAL!A6:BG""),3,FALSE))"),"")</f>
        <v/>
      </c>
      <c r="H331" s="5" t="str">
        <f ca="1">IFERROR(__xludf.DUMMYFUNCTION("IFERROR(VLOOKUP(F345,IMPORTRANGE(""https://docs.google.com/spreadsheets/d/1Kvs4KS76FHFqLFIZfrDMff4kP08nblUkihrxltoGBjg/edit#gid=934712705"",""ESENCIAL!A6:BG""),8,FALSE))"),"")</f>
        <v/>
      </c>
      <c r="L331" s="287"/>
      <c r="U331" s="40"/>
      <c r="AU331" s="41" t="str">
        <f t="shared" si="16"/>
        <v/>
      </c>
      <c r="AV331" s="5" t="str">
        <f ca="1">IFERROR(__xludf.DUMMYFUNCTION("IFERROR(VLOOKUP(E345&amp;F345,IMPORTRANGE(""https://docs.google.com/spreadsheets/d/1Uw7-A9f9R21vMXxHZFNpYNeKFtG8_yji4HS352LGlSQ/edit?pli=1#gid=0"",""1_ACUM!A4:S""),11,FALSE))"),"")</f>
        <v/>
      </c>
      <c r="AW331" s="42" t="str">
        <f ca="1">IFERROR(__xludf.DUMMYFUNCTION("IFERROR(VLOOKUP(F345,IMPORTRANGE(""https://docs.google.com/spreadsheets/d/1Kvs4KS76FHFqLFIZfrDMff4kP08nblUkihrxltoGBjg/edit#gid=934712705"",""ESENCIAL!A6:BG""),15,FALSE))"),"")</f>
        <v/>
      </c>
      <c r="AX331" s="21" t="str">
        <f ca="1">IFERROR(__xludf.DUMMYFUNCTION("IFERROR(VLOOKUP(E345&amp;F345,IMPORTRANGE(""https://docs.google.com/spreadsheets/d/1Uw7-A9f9R21vMXxHZFNpYNeKFtG8_yji4HS352LGlSQ/edit?pli=1#gid=0"",""1_ACUM!A4:S""),12,FALSE))"),"")</f>
        <v/>
      </c>
      <c r="AY331" s="43" t="str">
        <f ca="1">IFERROR(__xludf.DUMMYFUNCTION("IFERROR(VLOOKUP(E345&amp;F345,IMPORTRANGE(""https://docs.google.com/spreadsheets/d/1Uw7-A9f9R21vMXxHZFNpYNeKFtG8_yji4HS352LGlSQ/edit?pli=1#gid=0"",""1_ACUM!A4:S""),13,FALSE))"),"")</f>
        <v/>
      </c>
      <c r="AZ331" s="43" t="str">
        <f ca="1">IFERROR(__xludf.DUMMYFUNCTION("IFERROR(VLOOKUP(E345&amp;F345,IMPORTRANGE(""https://docs.google.com/spreadsheets/d/1Uw7-A9f9R21vMXxHZFNpYNeKFtG8_yji4HS352LGlSQ/edit?pli=1#gid=0"",""1_ACUM!A4:S""),14,FALSE))"),"")</f>
        <v/>
      </c>
      <c r="BA331" s="43" t="str">
        <f ca="1">IFERROR(__xludf.DUMMYFUNCTION("IFERROR(VLOOKUP(E345&amp;F345,IMPORTRANGE(""https://docs.google.com/spreadsheets/d/1Uw7-A9f9R21vMXxHZFNpYNeKFtG8_yji4HS352LGlSQ/edit?pli=1#gid=0"",""1_ACUM!A4:S""),15,FALSE))"),"")</f>
        <v/>
      </c>
      <c r="BB331" s="43" t="str">
        <f ca="1">IFERROR(__xludf.DUMMYFUNCTION("IFERROR(VLOOKUP(E345&amp;F345,IMPORTRANGE(""https://docs.google.com/spreadsheets/d/1Uw7-A9f9R21vMXxHZFNpYNeKFtG8_yji4HS352LGlSQ/edit?pli=1#gid=0"",""1_ACUM!A4:S""),16,FALSE))"),"")</f>
        <v/>
      </c>
      <c r="BC331" s="43" t="str">
        <f ca="1">IFERROR(__xludf.DUMMYFUNCTION("IFERROR(VLOOKUP(E345&amp;F345,IMPORTRANGE(""https://docs.google.com/spreadsheets/d/1Uw7-A9f9R21vMXxHZFNpYNeKFtG8_yji4HS352LGlSQ/edit?pli=1#gid=0"",""1_ACUM!A4:S""),17,FALSE))"),"")</f>
        <v/>
      </c>
      <c r="BD331" s="44" t="str">
        <f ca="1">IFERROR(__xludf.DUMMYFUNCTION("IFERROR(VLOOKUP(E345&amp;F345,IMPORTRANGE(""https://docs.google.com/spreadsheets/d/1Uw7-A9f9R21vMXxHZFNpYNeKFtG8_yji4HS352LGlSQ/edit?pli=1#gid=0"",""1_ACUM!A4:S""),18,FALSE))"),"")</f>
        <v/>
      </c>
      <c r="BE331" s="44" t="str">
        <f ca="1">IFERROR(__xludf.DUMMYFUNCTION("IFERROR(VLOOKUP(E345&amp;F345,IMPORTRANGE(""https://docs.google.com/spreadsheets/d/1Uw7-A9f9R21vMXxHZFNpYNeKFtG8_yji4HS352LGlSQ/edit?pli=1#gid=0"",""1_ACUM!A4:S""),19,FALSE))"),"")</f>
        <v/>
      </c>
      <c r="BF331" s="98" t="str">
        <f ca="1">IFERROR(__xludf.DUMMYFUNCTION("IFERROR(VLOOKUP(F345,IMPORTRANGE(""https://docs.google.com/spreadsheets/d/1Kvs4KS76FHFqLFIZfrDMff4kP08nblUkihrxltoGBjg/edit#gid=934712705"",""ESENCIAL!A6:BG""),5,FALSE))"),"")</f>
        <v/>
      </c>
      <c r="BG331" s="98" t="str">
        <f t="shared" si="17"/>
        <v/>
      </c>
      <c r="BH331" s="99" t="str">
        <f t="shared" si="18"/>
        <v/>
      </c>
      <c r="BI331" s="100" t="str">
        <f ca="1">IFERROR(__xludf.DUMMYFUNCTION("IFERROR(VLOOKUP(F345,IMPORTRANGE(""https://docs.google.com/spreadsheets/d/1Kvs4KS76FHFqLFIZfrDMff4kP08nblUkihrxltoGBjg/edit#gid=934712705"",""ESENCIAL!A6:BG""),2,FALSE))"),"")</f>
        <v/>
      </c>
      <c r="BJ331" s="19" t="str">
        <f t="shared" si="19"/>
        <v/>
      </c>
      <c r="BK331" s="100"/>
      <c r="BL331" s="100"/>
    </row>
    <row r="332" spans="1:64" ht="15">
      <c r="A332" s="101"/>
      <c r="B332" s="101"/>
      <c r="G332" s="5" t="str">
        <f ca="1">IFERROR(__xludf.DUMMYFUNCTION("IFERROR(VLOOKUP(F346,IMPORTRANGE(""https://docs.google.com/spreadsheets/d/1Kvs4KS76FHFqLFIZfrDMff4kP08nblUkihrxltoGBjg/edit#gid=934712705"",""ESENCIAL!A6:BG""),3,FALSE))"),"")</f>
        <v/>
      </c>
      <c r="H332" s="5" t="str">
        <f ca="1">IFERROR(__xludf.DUMMYFUNCTION("IFERROR(VLOOKUP(F346,IMPORTRANGE(""https://docs.google.com/spreadsheets/d/1Kvs4KS76FHFqLFIZfrDMff4kP08nblUkihrxltoGBjg/edit#gid=934712705"",""ESENCIAL!A6:BG""),8,FALSE))"),"")</f>
        <v/>
      </c>
      <c r="L332" s="287"/>
      <c r="U332" s="40"/>
      <c r="AU332" s="41" t="str">
        <f t="shared" si="16"/>
        <v/>
      </c>
      <c r="AV332" s="5" t="str">
        <f ca="1">IFERROR(__xludf.DUMMYFUNCTION("IFERROR(VLOOKUP(E346&amp;F346,IMPORTRANGE(""https://docs.google.com/spreadsheets/d/1Uw7-A9f9R21vMXxHZFNpYNeKFtG8_yji4HS352LGlSQ/edit?pli=1#gid=0"",""1_ACUM!A4:S""),11,FALSE))"),"")</f>
        <v/>
      </c>
      <c r="AW332" s="42" t="str">
        <f ca="1">IFERROR(__xludf.DUMMYFUNCTION("IFERROR(VLOOKUP(F346,IMPORTRANGE(""https://docs.google.com/spreadsheets/d/1Kvs4KS76FHFqLFIZfrDMff4kP08nblUkihrxltoGBjg/edit#gid=934712705"",""ESENCIAL!A6:BG""),15,FALSE))"),"")</f>
        <v/>
      </c>
      <c r="AX332" s="21" t="str">
        <f ca="1">IFERROR(__xludf.DUMMYFUNCTION("IFERROR(VLOOKUP(E346&amp;F346,IMPORTRANGE(""https://docs.google.com/spreadsheets/d/1Uw7-A9f9R21vMXxHZFNpYNeKFtG8_yji4HS352LGlSQ/edit?pli=1#gid=0"",""1_ACUM!A4:S""),12,FALSE))"),"")</f>
        <v/>
      </c>
      <c r="AY332" s="43" t="str">
        <f ca="1">IFERROR(__xludf.DUMMYFUNCTION("IFERROR(VLOOKUP(E346&amp;F346,IMPORTRANGE(""https://docs.google.com/spreadsheets/d/1Uw7-A9f9R21vMXxHZFNpYNeKFtG8_yji4HS352LGlSQ/edit?pli=1#gid=0"",""1_ACUM!A4:S""),13,FALSE))"),"")</f>
        <v/>
      </c>
      <c r="AZ332" s="43" t="str">
        <f ca="1">IFERROR(__xludf.DUMMYFUNCTION("IFERROR(VLOOKUP(E346&amp;F346,IMPORTRANGE(""https://docs.google.com/spreadsheets/d/1Uw7-A9f9R21vMXxHZFNpYNeKFtG8_yji4HS352LGlSQ/edit?pli=1#gid=0"",""1_ACUM!A4:S""),14,FALSE))"),"")</f>
        <v/>
      </c>
      <c r="BA332" s="43" t="str">
        <f ca="1">IFERROR(__xludf.DUMMYFUNCTION("IFERROR(VLOOKUP(E346&amp;F346,IMPORTRANGE(""https://docs.google.com/spreadsheets/d/1Uw7-A9f9R21vMXxHZFNpYNeKFtG8_yji4HS352LGlSQ/edit?pli=1#gid=0"",""1_ACUM!A4:S""),15,FALSE))"),"")</f>
        <v/>
      </c>
      <c r="BB332" s="43" t="str">
        <f ca="1">IFERROR(__xludf.DUMMYFUNCTION("IFERROR(VLOOKUP(E346&amp;F346,IMPORTRANGE(""https://docs.google.com/spreadsheets/d/1Uw7-A9f9R21vMXxHZFNpYNeKFtG8_yji4HS352LGlSQ/edit?pli=1#gid=0"",""1_ACUM!A4:S""),16,FALSE))"),"")</f>
        <v/>
      </c>
      <c r="BC332" s="43" t="str">
        <f ca="1">IFERROR(__xludf.DUMMYFUNCTION("IFERROR(VLOOKUP(E346&amp;F346,IMPORTRANGE(""https://docs.google.com/spreadsheets/d/1Uw7-A9f9R21vMXxHZFNpYNeKFtG8_yji4HS352LGlSQ/edit?pli=1#gid=0"",""1_ACUM!A4:S""),17,FALSE))"),"")</f>
        <v/>
      </c>
      <c r="BD332" s="44" t="str">
        <f ca="1">IFERROR(__xludf.DUMMYFUNCTION("IFERROR(VLOOKUP(E346&amp;F346,IMPORTRANGE(""https://docs.google.com/spreadsheets/d/1Uw7-A9f9R21vMXxHZFNpYNeKFtG8_yji4HS352LGlSQ/edit?pli=1#gid=0"",""1_ACUM!A4:S""),18,FALSE))"),"")</f>
        <v/>
      </c>
      <c r="BE332" s="44" t="str">
        <f ca="1">IFERROR(__xludf.DUMMYFUNCTION("IFERROR(VLOOKUP(E346&amp;F346,IMPORTRANGE(""https://docs.google.com/spreadsheets/d/1Uw7-A9f9R21vMXxHZFNpYNeKFtG8_yji4HS352LGlSQ/edit?pli=1#gid=0"",""1_ACUM!A4:S""),19,FALSE))"),"")</f>
        <v/>
      </c>
      <c r="BF332" s="98" t="str">
        <f ca="1">IFERROR(__xludf.DUMMYFUNCTION("IFERROR(VLOOKUP(F346,IMPORTRANGE(""https://docs.google.com/spreadsheets/d/1Kvs4KS76FHFqLFIZfrDMff4kP08nblUkihrxltoGBjg/edit#gid=934712705"",""ESENCIAL!A6:BG""),5,FALSE))"),"")</f>
        <v/>
      </c>
      <c r="BG332" s="98" t="str">
        <f t="shared" si="17"/>
        <v/>
      </c>
      <c r="BH332" s="99" t="str">
        <f t="shared" si="18"/>
        <v/>
      </c>
      <c r="BI332" s="100" t="str">
        <f ca="1">IFERROR(__xludf.DUMMYFUNCTION("IFERROR(VLOOKUP(F346,IMPORTRANGE(""https://docs.google.com/spreadsheets/d/1Kvs4KS76FHFqLFIZfrDMff4kP08nblUkihrxltoGBjg/edit#gid=934712705"",""ESENCIAL!A6:BG""),2,FALSE))"),"")</f>
        <v/>
      </c>
      <c r="BJ332" s="19" t="str">
        <f t="shared" si="19"/>
        <v/>
      </c>
      <c r="BK332" s="100"/>
      <c r="BL332" s="100"/>
    </row>
    <row r="333" spans="1:64" ht="15">
      <c r="A333" s="101"/>
      <c r="B333" s="101"/>
      <c r="G333" s="5" t="str">
        <f ca="1">IFERROR(__xludf.DUMMYFUNCTION("IFERROR(VLOOKUP(F347,IMPORTRANGE(""https://docs.google.com/spreadsheets/d/1Kvs4KS76FHFqLFIZfrDMff4kP08nblUkihrxltoGBjg/edit#gid=934712705"",""ESENCIAL!A6:BG""),3,FALSE))"),"")</f>
        <v/>
      </c>
      <c r="H333" s="5" t="str">
        <f ca="1">IFERROR(__xludf.DUMMYFUNCTION("IFERROR(VLOOKUP(F347,IMPORTRANGE(""https://docs.google.com/spreadsheets/d/1Kvs4KS76FHFqLFIZfrDMff4kP08nblUkihrxltoGBjg/edit#gid=934712705"",""ESENCIAL!A6:BG""),8,FALSE))"),"")</f>
        <v/>
      </c>
      <c r="L333" s="287"/>
      <c r="U333" s="40"/>
      <c r="AU333" s="41" t="str">
        <f t="shared" si="16"/>
        <v/>
      </c>
      <c r="AV333" s="5" t="str">
        <f ca="1">IFERROR(__xludf.DUMMYFUNCTION("IFERROR(VLOOKUP(E347&amp;F347,IMPORTRANGE(""https://docs.google.com/spreadsheets/d/1Uw7-A9f9R21vMXxHZFNpYNeKFtG8_yji4HS352LGlSQ/edit?pli=1#gid=0"",""1_ACUM!A4:S""),11,FALSE))"),"")</f>
        <v/>
      </c>
      <c r="AW333" s="42" t="str">
        <f ca="1">IFERROR(__xludf.DUMMYFUNCTION("IFERROR(VLOOKUP(F347,IMPORTRANGE(""https://docs.google.com/spreadsheets/d/1Kvs4KS76FHFqLFIZfrDMff4kP08nblUkihrxltoGBjg/edit#gid=934712705"",""ESENCIAL!A6:BG""),15,FALSE))"),"")</f>
        <v/>
      </c>
      <c r="AX333" s="21" t="str">
        <f ca="1">IFERROR(__xludf.DUMMYFUNCTION("IFERROR(VLOOKUP(E347&amp;F347,IMPORTRANGE(""https://docs.google.com/spreadsheets/d/1Uw7-A9f9R21vMXxHZFNpYNeKFtG8_yji4HS352LGlSQ/edit?pli=1#gid=0"",""1_ACUM!A4:S""),12,FALSE))"),"")</f>
        <v/>
      </c>
      <c r="AY333" s="43" t="str">
        <f ca="1">IFERROR(__xludf.DUMMYFUNCTION("IFERROR(VLOOKUP(E347&amp;F347,IMPORTRANGE(""https://docs.google.com/spreadsheets/d/1Uw7-A9f9R21vMXxHZFNpYNeKFtG8_yji4HS352LGlSQ/edit?pli=1#gid=0"",""1_ACUM!A4:S""),13,FALSE))"),"")</f>
        <v/>
      </c>
      <c r="AZ333" s="43" t="str">
        <f ca="1">IFERROR(__xludf.DUMMYFUNCTION("IFERROR(VLOOKUP(E347&amp;F347,IMPORTRANGE(""https://docs.google.com/spreadsheets/d/1Uw7-A9f9R21vMXxHZFNpYNeKFtG8_yji4HS352LGlSQ/edit?pli=1#gid=0"",""1_ACUM!A4:S""),14,FALSE))"),"")</f>
        <v/>
      </c>
      <c r="BA333" s="43" t="str">
        <f ca="1">IFERROR(__xludf.DUMMYFUNCTION("IFERROR(VLOOKUP(E347&amp;F347,IMPORTRANGE(""https://docs.google.com/spreadsheets/d/1Uw7-A9f9R21vMXxHZFNpYNeKFtG8_yji4HS352LGlSQ/edit?pli=1#gid=0"",""1_ACUM!A4:S""),15,FALSE))"),"")</f>
        <v/>
      </c>
      <c r="BB333" s="43" t="str">
        <f ca="1">IFERROR(__xludf.DUMMYFUNCTION("IFERROR(VLOOKUP(E347&amp;F347,IMPORTRANGE(""https://docs.google.com/spreadsheets/d/1Uw7-A9f9R21vMXxHZFNpYNeKFtG8_yji4HS352LGlSQ/edit?pli=1#gid=0"",""1_ACUM!A4:S""),16,FALSE))"),"")</f>
        <v/>
      </c>
      <c r="BC333" s="43" t="str">
        <f ca="1">IFERROR(__xludf.DUMMYFUNCTION("IFERROR(VLOOKUP(E347&amp;F347,IMPORTRANGE(""https://docs.google.com/spreadsheets/d/1Uw7-A9f9R21vMXxHZFNpYNeKFtG8_yji4HS352LGlSQ/edit?pli=1#gid=0"",""1_ACUM!A4:S""),17,FALSE))"),"")</f>
        <v/>
      </c>
      <c r="BD333" s="44" t="str">
        <f ca="1">IFERROR(__xludf.DUMMYFUNCTION("IFERROR(VLOOKUP(E347&amp;F347,IMPORTRANGE(""https://docs.google.com/spreadsheets/d/1Uw7-A9f9R21vMXxHZFNpYNeKFtG8_yji4HS352LGlSQ/edit?pli=1#gid=0"",""1_ACUM!A4:S""),18,FALSE))"),"")</f>
        <v/>
      </c>
      <c r="BE333" s="44" t="str">
        <f ca="1">IFERROR(__xludf.DUMMYFUNCTION("IFERROR(VLOOKUP(E347&amp;F347,IMPORTRANGE(""https://docs.google.com/spreadsheets/d/1Uw7-A9f9R21vMXxHZFNpYNeKFtG8_yji4HS352LGlSQ/edit?pli=1#gid=0"",""1_ACUM!A4:S""),19,FALSE))"),"")</f>
        <v/>
      </c>
      <c r="BF333" s="98" t="str">
        <f ca="1">IFERROR(__xludf.DUMMYFUNCTION("IFERROR(VLOOKUP(F347,IMPORTRANGE(""https://docs.google.com/spreadsheets/d/1Kvs4KS76FHFqLFIZfrDMff4kP08nblUkihrxltoGBjg/edit#gid=934712705"",""ESENCIAL!A6:BG""),5,FALSE))"),"")</f>
        <v/>
      </c>
      <c r="BG333" s="98" t="str">
        <f t="shared" si="17"/>
        <v/>
      </c>
      <c r="BH333" s="99" t="str">
        <f t="shared" si="18"/>
        <v/>
      </c>
      <c r="BI333" s="100" t="str">
        <f ca="1">IFERROR(__xludf.DUMMYFUNCTION("IFERROR(VLOOKUP(F347,IMPORTRANGE(""https://docs.google.com/spreadsheets/d/1Kvs4KS76FHFqLFIZfrDMff4kP08nblUkihrxltoGBjg/edit#gid=934712705"",""ESENCIAL!A6:BG""),2,FALSE))"),"")</f>
        <v/>
      </c>
      <c r="BJ333" s="19" t="str">
        <f t="shared" si="19"/>
        <v/>
      </c>
      <c r="BK333" s="100"/>
      <c r="BL333" s="100"/>
    </row>
    <row r="334" spans="1:64" ht="15">
      <c r="A334" s="101"/>
      <c r="B334" s="101"/>
      <c r="G334" s="5" t="str">
        <f ca="1">IFERROR(__xludf.DUMMYFUNCTION("IFERROR(VLOOKUP(F348,IMPORTRANGE(""https://docs.google.com/spreadsheets/d/1Kvs4KS76FHFqLFIZfrDMff4kP08nblUkihrxltoGBjg/edit#gid=934712705"",""ESENCIAL!A6:BG""),3,FALSE))"),"")</f>
        <v/>
      </c>
      <c r="H334" s="5" t="str">
        <f ca="1">IFERROR(__xludf.DUMMYFUNCTION("IFERROR(VLOOKUP(F348,IMPORTRANGE(""https://docs.google.com/spreadsheets/d/1Kvs4KS76FHFqLFIZfrDMff4kP08nblUkihrxltoGBjg/edit#gid=934712705"",""ESENCIAL!A6:BG""),8,FALSE))"),"")</f>
        <v/>
      </c>
      <c r="L334" s="287"/>
      <c r="U334" s="40"/>
      <c r="AU334" s="41" t="str">
        <f t="shared" si="16"/>
        <v/>
      </c>
      <c r="AV334" s="5" t="str">
        <f ca="1">IFERROR(__xludf.DUMMYFUNCTION("IFERROR(VLOOKUP(E348&amp;F348,IMPORTRANGE(""https://docs.google.com/spreadsheets/d/1Uw7-A9f9R21vMXxHZFNpYNeKFtG8_yji4HS352LGlSQ/edit?pli=1#gid=0"",""1_ACUM!A4:S""),11,FALSE))"),"")</f>
        <v/>
      </c>
      <c r="AW334" s="42" t="str">
        <f ca="1">IFERROR(__xludf.DUMMYFUNCTION("IFERROR(VLOOKUP(F348,IMPORTRANGE(""https://docs.google.com/spreadsheets/d/1Kvs4KS76FHFqLFIZfrDMff4kP08nblUkihrxltoGBjg/edit#gid=934712705"",""ESENCIAL!A6:BG""),15,FALSE))"),"")</f>
        <v/>
      </c>
      <c r="AX334" s="21" t="str">
        <f ca="1">IFERROR(__xludf.DUMMYFUNCTION("IFERROR(VLOOKUP(E348&amp;F348,IMPORTRANGE(""https://docs.google.com/spreadsheets/d/1Uw7-A9f9R21vMXxHZFNpYNeKFtG8_yji4HS352LGlSQ/edit?pli=1#gid=0"",""1_ACUM!A4:S""),12,FALSE))"),"")</f>
        <v/>
      </c>
      <c r="AY334" s="43" t="str">
        <f ca="1">IFERROR(__xludf.DUMMYFUNCTION("IFERROR(VLOOKUP(E348&amp;F348,IMPORTRANGE(""https://docs.google.com/spreadsheets/d/1Uw7-A9f9R21vMXxHZFNpYNeKFtG8_yji4HS352LGlSQ/edit?pli=1#gid=0"",""1_ACUM!A4:S""),13,FALSE))"),"")</f>
        <v/>
      </c>
      <c r="AZ334" s="43" t="str">
        <f ca="1">IFERROR(__xludf.DUMMYFUNCTION("IFERROR(VLOOKUP(E348&amp;F348,IMPORTRANGE(""https://docs.google.com/spreadsheets/d/1Uw7-A9f9R21vMXxHZFNpYNeKFtG8_yji4HS352LGlSQ/edit?pli=1#gid=0"",""1_ACUM!A4:S""),14,FALSE))"),"")</f>
        <v/>
      </c>
      <c r="BA334" s="43" t="str">
        <f ca="1">IFERROR(__xludf.DUMMYFUNCTION("IFERROR(VLOOKUP(E348&amp;F348,IMPORTRANGE(""https://docs.google.com/spreadsheets/d/1Uw7-A9f9R21vMXxHZFNpYNeKFtG8_yji4HS352LGlSQ/edit?pli=1#gid=0"",""1_ACUM!A4:S""),15,FALSE))"),"")</f>
        <v/>
      </c>
      <c r="BB334" s="43" t="str">
        <f ca="1">IFERROR(__xludf.DUMMYFUNCTION("IFERROR(VLOOKUP(E348&amp;F348,IMPORTRANGE(""https://docs.google.com/spreadsheets/d/1Uw7-A9f9R21vMXxHZFNpYNeKFtG8_yji4HS352LGlSQ/edit?pli=1#gid=0"",""1_ACUM!A4:S""),16,FALSE))"),"")</f>
        <v/>
      </c>
      <c r="BC334" s="43" t="str">
        <f ca="1">IFERROR(__xludf.DUMMYFUNCTION("IFERROR(VLOOKUP(E348&amp;F348,IMPORTRANGE(""https://docs.google.com/spreadsheets/d/1Uw7-A9f9R21vMXxHZFNpYNeKFtG8_yji4HS352LGlSQ/edit?pli=1#gid=0"",""1_ACUM!A4:S""),17,FALSE))"),"")</f>
        <v/>
      </c>
      <c r="BD334" s="44" t="str">
        <f ca="1">IFERROR(__xludf.DUMMYFUNCTION("IFERROR(VLOOKUP(E348&amp;F348,IMPORTRANGE(""https://docs.google.com/spreadsheets/d/1Uw7-A9f9R21vMXxHZFNpYNeKFtG8_yji4HS352LGlSQ/edit?pli=1#gid=0"",""1_ACUM!A4:S""),18,FALSE))"),"")</f>
        <v/>
      </c>
      <c r="BE334" s="44" t="str">
        <f ca="1">IFERROR(__xludf.DUMMYFUNCTION("IFERROR(VLOOKUP(E348&amp;F348,IMPORTRANGE(""https://docs.google.com/spreadsheets/d/1Uw7-A9f9R21vMXxHZFNpYNeKFtG8_yji4HS352LGlSQ/edit?pli=1#gid=0"",""1_ACUM!A4:S""),19,FALSE))"),"")</f>
        <v/>
      </c>
      <c r="BF334" s="98" t="str">
        <f ca="1">IFERROR(__xludf.DUMMYFUNCTION("IFERROR(VLOOKUP(F348,IMPORTRANGE(""https://docs.google.com/spreadsheets/d/1Kvs4KS76FHFqLFIZfrDMff4kP08nblUkihrxltoGBjg/edit#gid=934712705"",""ESENCIAL!A6:BG""),5,FALSE))"),"")</f>
        <v/>
      </c>
      <c r="BG334" s="98" t="str">
        <f t="shared" si="17"/>
        <v/>
      </c>
      <c r="BH334" s="99" t="str">
        <f t="shared" si="18"/>
        <v/>
      </c>
      <c r="BI334" s="100" t="str">
        <f ca="1">IFERROR(__xludf.DUMMYFUNCTION("IFERROR(VLOOKUP(F348,IMPORTRANGE(""https://docs.google.com/spreadsheets/d/1Kvs4KS76FHFqLFIZfrDMff4kP08nblUkihrxltoGBjg/edit#gid=934712705"",""ESENCIAL!A6:BG""),2,FALSE))"),"")</f>
        <v/>
      </c>
      <c r="BJ334" s="19" t="str">
        <f t="shared" si="19"/>
        <v/>
      </c>
      <c r="BK334" s="100"/>
      <c r="BL334" s="100"/>
    </row>
    <row r="335" spans="1:64" ht="15">
      <c r="A335" s="101"/>
      <c r="B335" s="101"/>
      <c r="G335" s="5" t="str">
        <f ca="1">IFERROR(__xludf.DUMMYFUNCTION("IFERROR(VLOOKUP(F349,IMPORTRANGE(""https://docs.google.com/spreadsheets/d/1Kvs4KS76FHFqLFIZfrDMff4kP08nblUkihrxltoGBjg/edit#gid=934712705"",""ESENCIAL!A6:BG""),3,FALSE))"),"")</f>
        <v/>
      </c>
      <c r="H335" s="5" t="str">
        <f ca="1">IFERROR(__xludf.DUMMYFUNCTION("IFERROR(VLOOKUP(F349,IMPORTRANGE(""https://docs.google.com/spreadsheets/d/1Kvs4KS76FHFqLFIZfrDMff4kP08nblUkihrxltoGBjg/edit#gid=934712705"",""ESENCIAL!A6:BG""),8,FALSE))"),"")</f>
        <v/>
      </c>
      <c r="L335" s="287"/>
      <c r="U335" s="40"/>
      <c r="AU335" s="41" t="str">
        <f t="shared" si="16"/>
        <v/>
      </c>
      <c r="AV335" s="5" t="str">
        <f ca="1">IFERROR(__xludf.DUMMYFUNCTION("IFERROR(VLOOKUP(E349&amp;F349,IMPORTRANGE(""https://docs.google.com/spreadsheets/d/1Uw7-A9f9R21vMXxHZFNpYNeKFtG8_yji4HS352LGlSQ/edit?pli=1#gid=0"",""1_ACUM!A4:S""),11,FALSE))"),"")</f>
        <v/>
      </c>
      <c r="AW335" s="42" t="str">
        <f ca="1">IFERROR(__xludf.DUMMYFUNCTION("IFERROR(VLOOKUP(F349,IMPORTRANGE(""https://docs.google.com/spreadsheets/d/1Kvs4KS76FHFqLFIZfrDMff4kP08nblUkihrxltoGBjg/edit#gid=934712705"",""ESENCIAL!A6:BG""),15,FALSE))"),"")</f>
        <v/>
      </c>
      <c r="AX335" s="21" t="str">
        <f ca="1">IFERROR(__xludf.DUMMYFUNCTION("IFERROR(VLOOKUP(E349&amp;F349,IMPORTRANGE(""https://docs.google.com/spreadsheets/d/1Uw7-A9f9R21vMXxHZFNpYNeKFtG8_yji4HS352LGlSQ/edit?pli=1#gid=0"",""1_ACUM!A4:S""),12,FALSE))"),"")</f>
        <v/>
      </c>
      <c r="AY335" s="43" t="str">
        <f ca="1">IFERROR(__xludf.DUMMYFUNCTION("IFERROR(VLOOKUP(E349&amp;F349,IMPORTRANGE(""https://docs.google.com/spreadsheets/d/1Uw7-A9f9R21vMXxHZFNpYNeKFtG8_yji4HS352LGlSQ/edit?pli=1#gid=0"",""1_ACUM!A4:S""),13,FALSE))"),"")</f>
        <v/>
      </c>
      <c r="AZ335" s="43" t="str">
        <f ca="1">IFERROR(__xludf.DUMMYFUNCTION("IFERROR(VLOOKUP(E349&amp;F349,IMPORTRANGE(""https://docs.google.com/spreadsheets/d/1Uw7-A9f9R21vMXxHZFNpYNeKFtG8_yji4HS352LGlSQ/edit?pli=1#gid=0"",""1_ACUM!A4:S""),14,FALSE))"),"")</f>
        <v/>
      </c>
      <c r="BA335" s="43" t="str">
        <f ca="1">IFERROR(__xludf.DUMMYFUNCTION("IFERROR(VLOOKUP(E349&amp;F349,IMPORTRANGE(""https://docs.google.com/spreadsheets/d/1Uw7-A9f9R21vMXxHZFNpYNeKFtG8_yji4HS352LGlSQ/edit?pli=1#gid=0"",""1_ACUM!A4:S""),15,FALSE))"),"")</f>
        <v/>
      </c>
      <c r="BB335" s="43" t="str">
        <f ca="1">IFERROR(__xludf.DUMMYFUNCTION("IFERROR(VLOOKUP(E349&amp;F349,IMPORTRANGE(""https://docs.google.com/spreadsheets/d/1Uw7-A9f9R21vMXxHZFNpYNeKFtG8_yji4HS352LGlSQ/edit?pli=1#gid=0"",""1_ACUM!A4:S""),16,FALSE))"),"")</f>
        <v/>
      </c>
      <c r="BC335" s="43" t="str">
        <f ca="1">IFERROR(__xludf.DUMMYFUNCTION("IFERROR(VLOOKUP(E349&amp;F349,IMPORTRANGE(""https://docs.google.com/spreadsheets/d/1Uw7-A9f9R21vMXxHZFNpYNeKFtG8_yji4HS352LGlSQ/edit?pli=1#gid=0"",""1_ACUM!A4:S""),17,FALSE))"),"")</f>
        <v/>
      </c>
      <c r="BD335" s="44" t="str">
        <f ca="1">IFERROR(__xludf.DUMMYFUNCTION("IFERROR(VLOOKUP(E349&amp;F349,IMPORTRANGE(""https://docs.google.com/spreadsheets/d/1Uw7-A9f9R21vMXxHZFNpYNeKFtG8_yji4HS352LGlSQ/edit?pli=1#gid=0"",""1_ACUM!A4:S""),18,FALSE))"),"")</f>
        <v/>
      </c>
      <c r="BE335" s="44" t="str">
        <f ca="1">IFERROR(__xludf.DUMMYFUNCTION("IFERROR(VLOOKUP(E349&amp;F349,IMPORTRANGE(""https://docs.google.com/spreadsheets/d/1Uw7-A9f9R21vMXxHZFNpYNeKFtG8_yji4HS352LGlSQ/edit?pli=1#gid=0"",""1_ACUM!A4:S""),19,FALSE))"),"")</f>
        <v/>
      </c>
      <c r="BF335" s="98" t="str">
        <f ca="1">IFERROR(__xludf.DUMMYFUNCTION("IFERROR(VLOOKUP(F349,IMPORTRANGE(""https://docs.google.com/spreadsheets/d/1Kvs4KS76FHFqLFIZfrDMff4kP08nblUkihrxltoGBjg/edit#gid=934712705"",""ESENCIAL!A6:BG""),5,FALSE))"),"")</f>
        <v/>
      </c>
      <c r="BG335" s="98" t="str">
        <f t="shared" si="17"/>
        <v/>
      </c>
      <c r="BH335" s="99" t="str">
        <f t="shared" si="18"/>
        <v/>
      </c>
      <c r="BI335" s="100" t="str">
        <f ca="1">IFERROR(__xludf.DUMMYFUNCTION("IFERROR(VLOOKUP(F349,IMPORTRANGE(""https://docs.google.com/spreadsheets/d/1Kvs4KS76FHFqLFIZfrDMff4kP08nblUkihrxltoGBjg/edit#gid=934712705"",""ESENCIAL!A6:BG""),2,FALSE))"),"")</f>
        <v/>
      </c>
      <c r="BJ335" s="19" t="str">
        <f t="shared" si="19"/>
        <v/>
      </c>
      <c r="BK335" s="100"/>
      <c r="BL335" s="100"/>
    </row>
    <row r="336" spans="1:64" ht="15">
      <c r="A336" s="101"/>
      <c r="B336" s="101"/>
      <c r="G336" s="5" t="str">
        <f ca="1">IFERROR(__xludf.DUMMYFUNCTION("IFERROR(VLOOKUP(F350,IMPORTRANGE(""https://docs.google.com/spreadsheets/d/1Kvs4KS76FHFqLFIZfrDMff4kP08nblUkihrxltoGBjg/edit#gid=934712705"",""ESENCIAL!A6:BG""),3,FALSE))"),"")</f>
        <v/>
      </c>
      <c r="H336" s="5" t="str">
        <f ca="1">IFERROR(__xludf.DUMMYFUNCTION("IFERROR(VLOOKUP(F350,IMPORTRANGE(""https://docs.google.com/spreadsheets/d/1Kvs4KS76FHFqLFIZfrDMff4kP08nblUkihrxltoGBjg/edit#gid=934712705"",""ESENCIAL!A6:BG""),8,FALSE))"),"")</f>
        <v/>
      </c>
      <c r="L336" s="287"/>
      <c r="U336" s="40"/>
      <c r="AU336" s="41" t="str">
        <f t="shared" si="16"/>
        <v/>
      </c>
      <c r="AV336" s="5" t="str">
        <f ca="1">IFERROR(__xludf.DUMMYFUNCTION("IFERROR(VLOOKUP(E350&amp;F350,IMPORTRANGE(""https://docs.google.com/spreadsheets/d/1Uw7-A9f9R21vMXxHZFNpYNeKFtG8_yji4HS352LGlSQ/edit?pli=1#gid=0"",""1_ACUM!A4:S""),11,FALSE))"),"")</f>
        <v/>
      </c>
      <c r="AW336" s="42" t="str">
        <f ca="1">IFERROR(__xludf.DUMMYFUNCTION("IFERROR(VLOOKUP(F350,IMPORTRANGE(""https://docs.google.com/spreadsheets/d/1Kvs4KS76FHFqLFIZfrDMff4kP08nblUkihrxltoGBjg/edit#gid=934712705"",""ESENCIAL!A6:BG""),15,FALSE))"),"")</f>
        <v/>
      </c>
      <c r="AX336" s="21" t="str">
        <f ca="1">IFERROR(__xludf.DUMMYFUNCTION("IFERROR(VLOOKUP(E350&amp;F350,IMPORTRANGE(""https://docs.google.com/spreadsheets/d/1Uw7-A9f9R21vMXxHZFNpYNeKFtG8_yji4HS352LGlSQ/edit?pli=1#gid=0"",""1_ACUM!A4:S""),12,FALSE))"),"")</f>
        <v/>
      </c>
      <c r="AY336" s="43" t="str">
        <f ca="1">IFERROR(__xludf.DUMMYFUNCTION("IFERROR(VLOOKUP(E350&amp;F350,IMPORTRANGE(""https://docs.google.com/spreadsheets/d/1Uw7-A9f9R21vMXxHZFNpYNeKFtG8_yji4HS352LGlSQ/edit?pli=1#gid=0"",""1_ACUM!A4:S""),13,FALSE))"),"")</f>
        <v/>
      </c>
      <c r="AZ336" s="43" t="str">
        <f ca="1">IFERROR(__xludf.DUMMYFUNCTION("IFERROR(VLOOKUP(E350&amp;F350,IMPORTRANGE(""https://docs.google.com/spreadsheets/d/1Uw7-A9f9R21vMXxHZFNpYNeKFtG8_yji4HS352LGlSQ/edit?pli=1#gid=0"",""1_ACUM!A4:S""),14,FALSE))"),"")</f>
        <v/>
      </c>
      <c r="BA336" s="43" t="str">
        <f ca="1">IFERROR(__xludf.DUMMYFUNCTION("IFERROR(VLOOKUP(E350&amp;F350,IMPORTRANGE(""https://docs.google.com/spreadsheets/d/1Uw7-A9f9R21vMXxHZFNpYNeKFtG8_yji4HS352LGlSQ/edit?pli=1#gid=0"",""1_ACUM!A4:S""),15,FALSE))"),"")</f>
        <v/>
      </c>
      <c r="BB336" s="43" t="str">
        <f ca="1">IFERROR(__xludf.DUMMYFUNCTION("IFERROR(VLOOKUP(E350&amp;F350,IMPORTRANGE(""https://docs.google.com/spreadsheets/d/1Uw7-A9f9R21vMXxHZFNpYNeKFtG8_yji4HS352LGlSQ/edit?pli=1#gid=0"",""1_ACUM!A4:S""),16,FALSE))"),"")</f>
        <v/>
      </c>
      <c r="BC336" s="43" t="str">
        <f ca="1">IFERROR(__xludf.DUMMYFUNCTION("IFERROR(VLOOKUP(E350&amp;F350,IMPORTRANGE(""https://docs.google.com/spreadsheets/d/1Uw7-A9f9R21vMXxHZFNpYNeKFtG8_yji4HS352LGlSQ/edit?pli=1#gid=0"",""1_ACUM!A4:S""),17,FALSE))"),"")</f>
        <v/>
      </c>
      <c r="BD336" s="44" t="str">
        <f ca="1">IFERROR(__xludf.DUMMYFUNCTION("IFERROR(VLOOKUP(E350&amp;F350,IMPORTRANGE(""https://docs.google.com/spreadsheets/d/1Uw7-A9f9R21vMXxHZFNpYNeKFtG8_yji4HS352LGlSQ/edit?pli=1#gid=0"",""1_ACUM!A4:S""),18,FALSE))"),"")</f>
        <v/>
      </c>
      <c r="BE336" s="44" t="str">
        <f ca="1">IFERROR(__xludf.DUMMYFUNCTION("IFERROR(VLOOKUP(E350&amp;F350,IMPORTRANGE(""https://docs.google.com/spreadsheets/d/1Uw7-A9f9R21vMXxHZFNpYNeKFtG8_yji4HS352LGlSQ/edit?pli=1#gid=0"",""1_ACUM!A4:S""),19,FALSE))"),"")</f>
        <v/>
      </c>
      <c r="BF336" s="98" t="str">
        <f ca="1">IFERROR(__xludf.DUMMYFUNCTION("IFERROR(VLOOKUP(F350,IMPORTRANGE(""https://docs.google.com/spreadsheets/d/1Kvs4KS76FHFqLFIZfrDMff4kP08nblUkihrxltoGBjg/edit#gid=934712705"",""ESENCIAL!A6:BG""),5,FALSE))"),"")</f>
        <v/>
      </c>
      <c r="BG336" s="98" t="str">
        <f t="shared" si="17"/>
        <v/>
      </c>
      <c r="BH336" s="99" t="str">
        <f t="shared" si="18"/>
        <v/>
      </c>
      <c r="BI336" s="100" t="str">
        <f ca="1">IFERROR(__xludf.DUMMYFUNCTION("IFERROR(VLOOKUP(F350,IMPORTRANGE(""https://docs.google.com/spreadsheets/d/1Kvs4KS76FHFqLFIZfrDMff4kP08nblUkihrxltoGBjg/edit#gid=934712705"",""ESENCIAL!A6:BG""),2,FALSE))"),"")</f>
        <v/>
      </c>
      <c r="BJ336" s="19" t="str">
        <f t="shared" si="19"/>
        <v/>
      </c>
      <c r="BK336" s="100"/>
      <c r="BL336" s="100"/>
    </row>
    <row r="337" spans="1:64" ht="15">
      <c r="A337" s="101"/>
      <c r="B337" s="101"/>
      <c r="G337" s="5" t="str">
        <f ca="1">IFERROR(__xludf.DUMMYFUNCTION("IFERROR(VLOOKUP(F351,IMPORTRANGE(""https://docs.google.com/spreadsheets/d/1Kvs4KS76FHFqLFIZfrDMff4kP08nblUkihrxltoGBjg/edit#gid=934712705"",""ESENCIAL!A6:BG""),3,FALSE))"),"")</f>
        <v/>
      </c>
      <c r="H337" s="5" t="str">
        <f ca="1">IFERROR(__xludf.DUMMYFUNCTION("IFERROR(VLOOKUP(F351,IMPORTRANGE(""https://docs.google.com/spreadsheets/d/1Kvs4KS76FHFqLFIZfrDMff4kP08nblUkihrxltoGBjg/edit#gid=934712705"",""ESENCIAL!A6:BG""),8,FALSE))"),"")</f>
        <v/>
      </c>
      <c r="L337" s="287"/>
      <c r="U337" s="40"/>
      <c r="AU337" s="41" t="str">
        <f t="shared" si="16"/>
        <v/>
      </c>
      <c r="AV337" s="5" t="str">
        <f ca="1">IFERROR(__xludf.DUMMYFUNCTION("IFERROR(VLOOKUP(E351&amp;F351,IMPORTRANGE(""https://docs.google.com/spreadsheets/d/1Uw7-A9f9R21vMXxHZFNpYNeKFtG8_yji4HS352LGlSQ/edit?pli=1#gid=0"",""1_ACUM!A4:S""),11,FALSE))"),"")</f>
        <v/>
      </c>
      <c r="AW337" s="42" t="str">
        <f ca="1">IFERROR(__xludf.DUMMYFUNCTION("IFERROR(VLOOKUP(F351,IMPORTRANGE(""https://docs.google.com/spreadsheets/d/1Kvs4KS76FHFqLFIZfrDMff4kP08nblUkihrxltoGBjg/edit#gid=934712705"",""ESENCIAL!A6:BG""),15,FALSE))"),"")</f>
        <v/>
      </c>
      <c r="AX337" s="21" t="str">
        <f ca="1">IFERROR(__xludf.DUMMYFUNCTION("IFERROR(VLOOKUP(E351&amp;F351,IMPORTRANGE(""https://docs.google.com/spreadsheets/d/1Uw7-A9f9R21vMXxHZFNpYNeKFtG8_yji4HS352LGlSQ/edit?pli=1#gid=0"",""1_ACUM!A4:S""),12,FALSE))"),"")</f>
        <v/>
      </c>
      <c r="AY337" s="43" t="str">
        <f ca="1">IFERROR(__xludf.DUMMYFUNCTION("IFERROR(VLOOKUP(E351&amp;F351,IMPORTRANGE(""https://docs.google.com/spreadsheets/d/1Uw7-A9f9R21vMXxHZFNpYNeKFtG8_yji4HS352LGlSQ/edit?pli=1#gid=0"",""1_ACUM!A4:S""),13,FALSE))"),"")</f>
        <v/>
      </c>
      <c r="AZ337" s="43" t="str">
        <f ca="1">IFERROR(__xludf.DUMMYFUNCTION("IFERROR(VLOOKUP(E351&amp;F351,IMPORTRANGE(""https://docs.google.com/spreadsheets/d/1Uw7-A9f9R21vMXxHZFNpYNeKFtG8_yji4HS352LGlSQ/edit?pli=1#gid=0"",""1_ACUM!A4:S""),14,FALSE))"),"")</f>
        <v/>
      </c>
      <c r="BA337" s="43" t="str">
        <f ca="1">IFERROR(__xludf.DUMMYFUNCTION("IFERROR(VLOOKUP(E351&amp;F351,IMPORTRANGE(""https://docs.google.com/spreadsheets/d/1Uw7-A9f9R21vMXxHZFNpYNeKFtG8_yji4HS352LGlSQ/edit?pli=1#gid=0"",""1_ACUM!A4:S""),15,FALSE))"),"")</f>
        <v/>
      </c>
      <c r="BB337" s="43" t="str">
        <f ca="1">IFERROR(__xludf.DUMMYFUNCTION("IFERROR(VLOOKUP(E351&amp;F351,IMPORTRANGE(""https://docs.google.com/spreadsheets/d/1Uw7-A9f9R21vMXxHZFNpYNeKFtG8_yji4HS352LGlSQ/edit?pli=1#gid=0"",""1_ACUM!A4:S""),16,FALSE))"),"")</f>
        <v/>
      </c>
      <c r="BC337" s="43" t="str">
        <f ca="1">IFERROR(__xludf.DUMMYFUNCTION("IFERROR(VLOOKUP(E351&amp;F351,IMPORTRANGE(""https://docs.google.com/spreadsheets/d/1Uw7-A9f9R21vMXxHZFNpYNeKFtG8_yji4HS352LGlSQ/edit?pli=1#gid=0"",""1_ACUM!A4:S""),17,FALSE))"),"")</f>
        <v/>
      </c>
      <c r="BD337" s="44" t="str">
        <f ca="1">IFERROR(__xludf.DUMMYFUNCTION("IFERROR(VLOOKUP(E351&amp;F351,IMPORTRANGE(""https://docs.google.com/spreadsheets/d/1Uw7-A9f9R21vMXxHZFNpYNeKFtG8_yji4HS352LGlSQ/edit?pli=1#gid=0"",""1_ACUM!A4:S""),18,FALSE))"),"")</f>
        <v/>
      </c>
      <c r="BE337" s="44" t="str">
        <f ca="1">IFERROR(__xludf.DUMMYFUNCTION("IFERROR(VLOOKUP(E351&amp;F351,IMPORTRANGE(""https://docs.google.com/spreadsheets/d/1Uw7-A9f9R21vMXxHZFNpYNeKFtG8_yji4HS352LGlSQ/edit?pli=1#gid=0"",""1_ACUM!A4:S""),19,FALSE))"),"")</f>
        <v/>
      </c>
      <c r="BF337" s="98" t="str">
        <f ca="1">IFERROR(__xludf.DUMMYFUNCTION("IFERROR(VLOOKUP(F351,IMPORTRANGE(""https://docs.google.com/spreadsheets/d/1Kvs4KS76FHFqLFIZfrDMff4kP08nblUkihrxltoGBjg/edit#gid=934712705"",""ESENCIAL!A6:BG""),5,FALSE))"),"")</f>
        <v/>
      </c>
      <c r="BG337" s="98" t="str">
        <f t="shared" si="17"/>
        <v/>
      </c>
      <c r="BH337" s="99" t="str">
        <f t="shared" si="18"/>
        <v/>
      </c>
      <c r="BI337" s="100" t="str">
        <f ca="1">IFERROR(__xludf.DUMMYFUNCTION("IFERROR(VLOOKUP(F351,IMPORTRANGE(""https://docs.google.com/spreadsheets/d/1Kvs4KS76FHFqLFIZfrDMff4kP08nblUkihrxltoGBjg/edit#gid=934712705"",""ESENCIAL!A6:BG""),2,FALSE))"),"")</f>
        <v/>
      </c>
      <c r="BJ337" s="19" t="str">
        <f t="shared" si="19"/>
        <v/>
      </c>
      <c r="BK337" s="100"/>
      <c r="BL337" s="100"/>
    </row>
    <row r="338" spans="1:64" ht="15">
      <c r="A338" s="101"/>
      <c r="B338" s="101"/>
      <c r="G338" s="5" t="str">
        <f ca="1">IFERROR(__xludf.DUMMYFUNCTION("IFERROR(VLOOKUP(F352,IMPORTRANGE(""https://docs.google.com/spreadsheets/d/1Kvs4KS76FHFqLFIZfrDMff4kP08nblUkihrxltoGBjg/edit#gid=934712705"",""ESENCIAL!A6:BG""),3,FALSE))"),"")</f>
        <v/>
      </c>
      <c r="H338" s="5" t="str">
        <f ca="1">IFERROR(__xludf.DUMMYFUNCTION("IFERROR(VLOOKUP(F352,IMPORTRANGE(""https://docs.google.com/spreadsheets/d/1Kvs4KS76FHFqLFIZfrDMff4kP08nblUkihrxltoGBjg/edit#gid=934712705"",""ESENCIAL!A6:BG""),8,FALSE))"),"")</f>
        <v/>
      </c>
      <c r="L338" s="287"/>
      <c r="U338" s="40"/>
      <c r="AU338" s="41" t="str">
        <f t="shared" si="16"/>
        <v/>
      </c>
      <c r="AV338" s="5" t="str">
        <f ca="1">IFERROR(__xludf.DUMMYFUNCTION("IFERROR(VLOOKUP(E352&amp;F352,IMPORTRANGE(""https://docs.google.com/spreadsheets/d/1Uw7-A9f9R21vMXxHZFNpYNeKFtG8_yji4HS352LGlSQ/edit?pli=1#gid=0"",""1_ACUM!A4:S""),11,FALSE))"),"")</f>
        <v/>
      </c>
      <c r="AW338" s="42" t="str">
        <f ca="1">IFERROR(__xludf.DUMMYFUNCTION("IFERROR(VLOOKUP(F352,IMPORTRANGE(""https://docs.google.com/spreadsheets/d/1Kvs4KS76FHFqLFIZfrDMff4kP08nblUkihrxltoGBjg/edit#gid=934712705"",""ESENCIAL!A6:BG""),15,FALSE))"),"")</f>
        <v/>
      </c>
      <c r="AX338" s="21" t="str">
        <f ca="1">IFERROR(__xludf.DUMMYFUNCTION("IFERROR(VLOOKUP(E352&amp;F352,IMPORTRANGE(""https://docs.google.com/spreadsheets/d/1Uw7-A9f9R21vMXxHZFNpYNeKFtG8_yji4HS352LGlSQ/edit?pli=1#gid=0"",""1_ACUM!A4:S""),12,FALSE))"),"")</f>
        <v/>
      </c>
      <c r="AY338" s="43" t="str">
        <f ca="1">IFERROR(__xludf.DUMMYFUNCTION("IFERROR(VLOOKUP(E352&amp;F352,IMPORTRANGE(""https://docs.google.com/spreadsheets/d/1Uw7-A9f9R21vMXxHZFNpYNeKFtG8_yji4HS352LGlSQ/edit?pli=1#gid=0"",""1_ACUM!A4:S""),13,FALSE))"),"")</f>
        <v/>
      </c>
      <c r="AZ338" s="43" t="str">
        <f ca="1">IFERROR(__xludf.DUMMYFUNCTION("IFERROR(VLOOKUP(E352&amp;F352,IMPORTRANGE(""https://docs.google.com/spreadsheets/d/1Uw7-A9f9R21vMXxHZFNpYNeKFtG8_yji4HS352LGlSQ/edit?pli=1#gid=0"",""1_ACUM!A4:S""),14,FALSE))"),"")</f>
        <v/>
      </c>
      <c r="BA338" s="43" t="str">
        <f ca="1">IFERROR(__xludf.DUMMYFUNCTION("IFERROR(VLOOKUP(E352&amp;F352,IMPORTRANGE(""https://docs.google.com/spreadsheets/d/1Uw7-A9f9R21vMXxHZFNpYNeKFtG8_yji4HS352LGlSQ/edit?pli=1#gid=0"",""1_ACUM!A4:S""),15,FALSE))"),"")</f>
        <v/>
      </c>
      <c r="BB338" s="43" t="str">
        <f ca="1">IFERROR(__xludf.DUMMYFUNCTION("IFERROR(VLOOKUP(E352&amp;F352,IMPORTRANGE(""https://docs.google.com/spreadsheets/d/1Uw7-A9f9R21vMXxHZFNpYNeKFtG8_yji4HS352LGlSQ/edit?pli=1#gid=0"",""1_ACUM!A4:S""),16,FALSE))"),"")</f>
        <v/>
      </c>
      <c r="BC338" s="43" t="str">
        <f ca="1">IFERROR(__xludf.DUMMYFUNCTION("IFERROR(VLOOKUP(E352&amp;F352,IMPORTRANGE(""https://docs.google.com/spreadsheets/d/1Uw7-A9f9R21vMXxHZFNpYNeKFtG8_yji4HS352LGlSQ/edit?pli=1#gid=0"",""1_ACUM!A4:S""),17,FALSE))"),"")</f>
        <v/>
      </c>
      <c r="BD338" s="44" t="str">
        <f ca="1">IFERROR(__xludf.DUMMYFUNCTION("IFERROR(VLOOKUP(E352&amp;F352,IMPORTRANGE(""https://docs.google.com/spreadsheets/d/1Uw7-A9f9R21vMXxHZFNpYNeKFtG8_yji4HS352LGlSQ/edit?pli=1#gid=0"",""1_ACUM!A4:S""),18,FALSE))"),"")</f>
        <v/>
      </c>
      <c r="BE338" s="44" t="str">
        <f ca="1">IFERROR(__xludf.DUMMYFUNCTION("IFERROR(VLOOKUP(E352&amp;F352,IMPORTRANGE(""https://docs.google.com/spreadsheets/d/1Uw7-A9f9R21vMXxHZFNpYNeKFtG8_yji4HS352LGlSQ/edit?pli=1#gid=0"",""1_ACUM!A4:S""),19,FALSE))"),"")</f>
        <v/>
      </c>
      <c r="BF338" s="98" t="str">
        <f ca="1">IFERROR(__xludf.DUMMYFUNCTION("IFERROR(VLOOKUP(F352,IMPORTRANGE(""https://docs.google.com/spreadsheets/d/1Kvs4KS76FHFqLFIZfrDMff4kP08nblUkihrxltoGBjg/edit#gid=934712705"",""ESENCIAL!A6:BG""),5,FALSE))"),"")</f>
        <v/>
      </c>
      <c r="BG338" s="98" t="str">
        <f t="shared" si="17"/>
        <v/>
      </c>
      <c r="BH338" s="99" t="str">
        <f t="shared" si="18"/>
        <v/>
      </c>
      <c r="BI338" s="100" t="str">
        <f ca="1">IFERROR(__xludf.DUMMYFUNCTION("IFERROR(VLOOKUP(F352,IMPORTRANGE(""https://docs.google.com/spreadsheets/d/1Kvs4KS76FHFqLFIZfrDMff4kP08nblUkihrxltoGBjg/edit#gid=934712705"",""ESENCIAL!A6:BG""),2,FALSE))"),"")</f>
        <v/>
      </c>
      <c r="BJ338" s="19" t="str">
        <f t="shared" si="19"/>
        <v/>
      </c>
      <c r="BK338" s="100"/>
      <c r="BL338" s="100"/>
    </row>
    <row r="339" spans="1:64" ht="15">
      <c r="A339" s="101"/>
      <c r="B339" s="101"/>
      <c r="G339" s="5" t="str">
        <f ca="1">IFERROR(__xludf.DUMMYFUNCTION("IFERROR(VLOOKUP(F353,IMPORTRANGE(""https://docs.google.com/spreadsheets/d/1Kvs4KS76FHFqLFIZfrDMff4kP08nblUkihrxltoGBjg/edit#gid=934712705"",""ESENCIAL!A6:BG""),3,FALSE))"),"")</f>
        <v/>
      </c>
      <c r="H339" s="5" t="str">
        <f ca="1">IFERROR(__xludf.DUMMYFUNCTION("IFERROR(VLOOKUP(F353,IMPORTRANGE(""https://docs.google.com/spreadsheets/d/1Kvs4KS76FHFqLFIZfrDMff4kP08nblUkihrxltoGBjg/edit#gid=934712705"",""ESENCIAL!A6:BG""),8,FALSE))"),"")</f>
        <v/>
      </c>
      <c r="L339" s="287"/>
      <c r="U339" s="40"/>
      <c r="AU339" s="41" t="str">
        <f t="shared" si="16"/>
        <v/>
      </c>
      <c r="AV339" s="5" t="str">
        <f ca="1">IFERROR(__xludf.DUMMYFUNCTION("IFERROR(VLOOKUP(E353&amp;F353,IMPORTRANGE(""https://docs.google.com/spreadsheets/d/1Uw7-A9f9R21vMXxHZFNpYNeKFtG8_yji4HS352LGlSQ/edit?pli=1#gid=0"",""1_ACUM!A4:S""),11,FALSE))"),"")</f>
        <v/>
      </c>
      <c r="AW339" s="42" t="str">
        <f ca="1">IFERROR(__xludf.DUMMYFUNCTION("IFERROR(VLOOKUP(F353,IMPORTRANGE(""https://docs.google.com/spreadsheets/d/1Kvs4KS76FHFqLFIZfrDMff4kP08nblUkihrxltoGBjg/edit#gid=934712705"",""ESENCIAL!A6:BG""),15,FALSE))"),"")</f>
        <v/>
      </c>
      <c r="AX339" s="21" t="str">
        <f ca="1">IFERROR(__xludf.DUMMYFUNCTION("IFERROR(VLOOKUP(E353&amp;F353,IMPORTRANGE(""https://docs.google.com/spreadsheets/d/1Uw7-A9f9R21vMXxHZFNpYNeKFtG8_yji4HS352LGlSQ/edit?pli=1#gid=0"",""1_ACUM!A4:S""),12,FALSE))"),"")</f>
        <v/>
      </c>
      <c r="AY339" s="43" t="str">
        <f ca="1">IFERROR(__xludf.DUMMYFUNCTION("IFERROR(VLOOKUP(E353&amp;F353,IMPORTRANGE(""https://docs.google.com/spreadsheets/d/1Uw7-A9f9R21vMXxHZFNpYNeKFtG8_yji4HS352LGlSQ/edit?pli=1#gid=0"",""1_ACUM!A4:S""),13,FALSE))"),"")</f>
        <v/>
      </c>
      <c r="AZ339" s="43" t="str">
        <f ca="1">IFERROR(__xludf.DUMMYFUNCTION("IFERROR(VLOOKUP(E353&amp;F353,IMPORTRANGE(""https://docs.google.com/spreadsheets/d/1Uw7-A9f9R21vMXxHZFNpYNeKFtG8_yji4HS352LGlSQ/edit?pli=1#gid=0"",""1_ACUM!A4:S""),14,FALSE))"),"")</f>
        <v/>
      </c>
      <c r="BA339" s="43" t="str">
        <f ca="1">IFERROR(__xludf.DUMMYFUNCTION("IFERROR(VLOOKUP(E353&amp;F353,IMPORTRANGE(""https://docs.google.com/spreadsheets/d/1Uw7-A9f9R21vMXxHZFNpYNeKFtG8_yji4HS352LGlSQ/edit?pli=1#gid=0"",""1_ACUM!A4:S""),15,FALSE))"),"")</f>
        <v/>
      </c>
      <c r="BB339" s="43" t="str">
        <f ca="1">IFERROR(__xludf.DUMMYFUNCTION("IFERROR(VLOOKUP(E353&amp;F353,IMPORTRANGE(""https://docs.google.com/spreadsheets/d/1Uw7-A9f9R21vMXxHZFNpYNeKFtG8_yji4HS352LGlSQ/edit?pli=1#gid=0"",""1_ACUM!A4:S""),16,FALSE))"),"")</f>
        <v/>
      </c>
      <c r="BC339" s="43" t="str">
        <f ca="1">IFERROR(__xludf.DUMMYFUNCTION("IFERROR(VLOOKUP(E353&amp;F353,IMPORTRANGE(""https://docs.google.com/spreadsheets/d/1Uw7-A9f9R21vMXxHZFNpYNeKFtG8_yji4HS352LGlSQ/edit?pli=1#gid=0"",""1_ACUM!A4:S""),17,FALSE))"),"")</f>
        <v/>
      </c>
      <c r="BD339" s="44" t="str">
        <f ca="1">IFERROR(__xludf.DUMMYFUNCTION("IFERROR(VLOOKUP(E353&amp;F353,IMPORTRANGE(""https://docs.google.com/spreadsheets/d/1Uw7-A9f9R21vMXxHZFNpYNeKFtG8_yji4HS352LGlSQ/edit?pli=1#gid=0"",""1_ACUM!A4:S""),18,FALSE))"),"")</f>
        <v/>
      </c>
      <c r="BE339" s="44" t="str">
        <f ca="1">IFERROR(__xludf.DUMMYFUNCTION("IFERROR(VLOOKUP(E353&amp;F353,IMPORTRANGE(""https://docs.google.com/spreadsheets/d/1Uw7-A9f9R21vMXxHZFNpYNeKFtG8_yji4HS352LGlSQ/edit?pli=1#gid=0"",""1_ACUM!A4:S""),19,FALSE))"),"")</f>
        <v/>
      </c>
      <c r="BF339" s="98" t="str">
        <f ca="1">IFERROR(__xludf.DUMMYFUNCTION("IFERROR(VLOOKUP(F353,IMPORTRANGE(""https://docs.google.com/spreadsheets/d/1Kvs4KS76FHFqLFIZfrDMff4kP08nblUkihrxltoGBjg/edit#gid=934712705"",""ESENCIAL!A6:BG""),5,FALSE))"),"")</f>
        <v/>
      </c>
      <c r="BG339" s="98" t="str">
        <f t="shared" si="17"/>
        <v/>
      </c>
      <c r="BH339" s="99" t="str">
        <f t="shared" si="18"/>
        <v/>
      </c>
      <c r="BI339" s="100" t="str">
        <f ca="1">IFERROR(__xludf.DUMMYFUNCTION("IFERROR(VLOOKUP(F353,IMPORTRANGE(""https://docs.google.com/spreadsheets/d/1Kvs4KS76FHFqLFIZfrDMff4kP08nblUkihrxltoGBjg/edit#gid=934712705"",""ESENCIAL!A6:BG""),2,FALSE))"),"")</f>
        <v/>
      </c>
      <c r="BJ339" s="19" t="str">
        <f t="shared" si="19"/>
        <v/>
      </c>
      <c r="BK339" s="100"/>
      <c r="BL339" s="100"/>
    </row>
    <row r="340" spans="1:64" ht="15">
      <c r="A340" s="101"/>
      <c r="B340" s="101"/>
      <c r="G340" s="5" t="str">
        <f ca="1">IFERROR(__xludf.DUMMYFUNCTION("IFERROR(VLOOKUP(F354,IMPORTRANGE(""https://docs.google.com/spreadsheets/d/1Kvs4KS76FHFqLFIZfrDMff4kP08nblUkihrxltoGBjg/edit#gid=934712705"",""ESENCIAL!A6:BG""),3,FALSE))"),"")</f>
        <v/>
      </c>
      <c r="H340" s="5" t="str">
        <f ca="1">IFERROR(__xludf.DUMMYFUNCTION("IFERROR(VLOOKUP(F354,IMPORTRANGE(""https://docs.google.com/spreadsheets/d/1Kvs4KS76FHFqLFIZfrDMff4kP08nblUkihrxltoGBjg/edit#gid=934712705"",""ESENCIAL!A6:BG""),8,FALSE))"),"")</f>
        <v/>
      </c>
      <c r="L340" s="287"/>
      <c r="U340" s="40"/>
      <c r="AU340" s="41" t="str">
        <f t="shared" si="16"/>
        <v/>
      </c>
      <c r="AV340" s="5" t="str">
        <f ca="1">IFERROR(__xludf.DUMMYFUNCTION("IFERROR(VLOOKUP(E354&amp;F354,IMPORTRANGE(""https://docs.google.com/spreadsheets/d/1Uw7-A9f9R21vMXxHZFNpYNeKFtG8_yji4HS352LGlSQ/edit?pli=1#gid=0"",""1_ACUM!A4:S""),11,FALSE))"),"")</f>
        <v/>
      </c>
      <c r="AW340" s="42" t="str">
        <f ca="1">IFERROR(__xludf.DUMMYFUNCTION("IFERROR(VLOOKUP(F354,IMPORTRANGE(""https://docs.google.com/spreadsheets/d/1Kvs4KS76FHFqLFIZfrDMff4kP08nblUkihrxltoGBjg/edit#gid=934712705"",""ESENCIAL!A6:BG""),15,FALSE))"),"")</f>
        <v/>
      </c>
      <c r="AX340" s="21" t="str">
        <f ca="1">IFERROR(__xludf.DUMMYFUNCTION("IFERROR(VLOOKUP(E354&amp;F354,IMPORTRANGE(""https://docs.google.com/spreadsheets/d/1Uw7-A9f9R21vMXxHZFNpYNeKFtG8_yji4HS352LGlSQ/edit?pli=1#gid=0"",""1_ACUM!A4:S""),12,FALSE))"),"")</f>
        <v/>
      </c>
      <c r="AY340" s="43" t="str">
        <f ca="1">IFERROR(__xludf.DUMMYFUNCTION("IFERROR(VLOOKUP(E354&amp;F354,IMPORTRANGE(""https://docs.google.com/spreadsheets/d/1Uw7-A9f9R21vMXxHZFNpYNeKFtG8_yji4HS352LGlSQ/edit?pli=1#gid=0"",""1_ACUM!A4:S""),13,FALSE))"),"")</f>
        <v/>
      </c>
      <c r="AZ340" s="43" t="str">
        <f ca="1">IFERROR(__xludf.DUMMYFUNCTION("IFERROR(VLOOKUP(E354&amp;F354,IMPORTRANGE(""https://docs.google.com/spreadsheets/d/1Uw7-A9f9R21vMXxHZFNpYNeKFtG8_yji4HS352LGlSQ/edit?pli=1#gid=0"",""1_ACUM!A4:S""),14,FALSE))"),"")</f>
        <v/>
      </c>
      <c r="BA340" s="43" t="str">
        <f ca="1">IFERROR(__xludf.DUMMYFUNCTION("IFERROR(VLOOKUP(E354&amp;F354,IMPORTRANGE(""https://docs.google.com/spreadsheets/d/1Uw7-A9f9R21vMXxHZFNpYNeKFtG8_yji4HS352LGlSQ/edit?pli=1#gid=0"",""1_ACUM!A4:S""),15,FALSE))"),"")</f>
        <v/>
      </c>
      <c r="BB340" s="43" t="str">
        <f ca="1">IFERROR(__xludf.DUMMYFUNCTION("IFERROR(VLOOKUP(E354&amp;F354,IMPORTRANGE(""https://docs.google.com/spreadsheets/d/1Uw7-A9f9R21vMXxHZFNpYNeKFtG8_yji4HS352LGlSQ/edit?pli=1#gid=0"",""1_ACUM!A4:S""),16,FALSE))"),"")</f>
        <v/>
      </c>
      <c r="BC340" s="43" t="str">
        <f ca="1">IFERROR(__xludf.DUMMYFUNCTION("IFERROR(VLOOKUP(E354&amp;F354,IMPORTRANGE(""https://docs.google.com/spreadsheets/d/1Uw7-A9f9R21vMXxHZFNpYNeKFtG8_yji4HS352LGlSQ/edit?pli=1#gid=0"",""1_ACUM!A4:S""),17,FALSE))"),"")</f>
        <v/>
      </c>
      <c r="BD340" s="44" t="str">
        <f ca="1">IFERROR(__xludf.DUMMYFUNCTION("IFERROR(VLOOKUP(E354&amp;F354,IMPORTRANGE(""https://docs.google.com/spreadsheets/d/1Uw7-A9f9R21vMXxHZFNpYNeKFtG8_yji4HS352LGlSQ/edit?pli=1#gid=0"",""1_ACUM!A4:S""),18,FALSE))"),"")</f>
        <v/>
      </c>
      <c r="BE340" s="44" t="str">
        <f ca="1">IFERROR(__xludf.DUMMYFUNCTION("IFERROR(VLOOKUP(E354&amp;F354,IMPORTRANGE(""https://docs.google.com/spreadsheets/d/1Uw7-A9f9R21vMXxHZFNpYNeKFtG8_yji4HS352LGlSQ/edit?pli=1#gid=0"",""1_ACUM!A4:S""),19,FALSE))"),"")</f>
        <v/>
      </c>
      <c r="BF340" s="98" t="str">
        <f ca="1">IFERROR(__xludf.DUMMYFUNCTION("IFERROR(VLOOKUP(F354,IMPORTRANGE(""https://docs.google.com/spreadsheets/d/1Kvs4KS76FHFqLFIZfrDMff4kP08nblUkihrxltoGBjg/edit#gid=934712705"",""ESENCIAL!A6:BG""),5,FALSE))"),"")</f>
        <v/>
      </c>
      <c r="BG340" s="98" t="str">
        <f t="shared" si="17"/>
        <v/>
      </c>
      <c r="BH340" s="99" t="str">
        <f t="shared" si="18"/>
        <v/>
      </c>
      <c r="BI340" s="100" t="str">
        <f ca="1">IFERROR(__xludf.DUMMYFUNCTION("IFERROR(VLOOKUP(F354,IMPORTRANGE(""https://docs.google.com/spreadsheets/d/1Kvs4KS76FHFqLFIZfrDMff4kP08nblUkihrxltoGBjg/edit#gid=934712705"",""ESENCIAL!A6:BG""),2,FALSE))"),"")</f>
        <v/>
      </c>
      <c r="BJ340" s="19" t="str">
        <f t="shared" si="19"/>
        <v/>
      </c>
      <c r="BK340" s="100"/>
      <c r="BL340" s="100"/>
    </row>
    <row r="341" spans="1:64" ht="15">
      <c r="A341" s="101"/>
      <c r="B341" s="101"/>
      <c r="G341" s="5" t="str">
        <f ca="1">IFERROR(__xludf.DUMMYFUNCTION("IFERROR(VLOOKUP(F355,IMPORTRANGE(""https://docs.google.com/spreadsheets/d/1Kvs4KS76FHFqLFIZfrDMff4kP08nblUkihrxltoGBjg/edit#gid=934712705"",""ESENCIAL!A6:BG""),3,FALSE))"),"")</f>
        <v/>
      </c>
      <c r="H341" s="5" t="str">
        <f ca="1">IFERROR(__xludf.DUMMYFUNCTION("IFERROR(VLOOKUP(F355,IMPORTRANGE(""https://docs.google.com/spreadsheets/d/1Kvs4KS76FHFqLFIZfrDMff4kP08nblUkihrxltoGBjg/edit#gid=934712705"",""ESENCIAL!A6:BG""),8,FALSE))"),"")</f>
        <v/>
      </c>
      <c r="L341" s="287"/>
      <c r="U341" s="40"/>
      <c r="AU341" s="41" t="str">
        <f t="shared" si="16"/>
        <v/>
      </c>
      <c r="AV341" s="5" t="str">
        <f ca="1">IFERROR(__xludf.DUMMYFUNCTION("IFERROR(VLOOKUP(E355&amp;F355,IMPORTRANGE(""https://docs.google.com/spreadsheets/d/1Uw7-A9f9R21vMXxHZFNpYNeKFtG8_yji4HS352LGlSQ/edit?pli=1#gid=0"",""1_ACUM!A4:S""),11,FALSE))"),"")</f>
        <v/>
      </c>
      <c r="AW341" s="42" t="str">
        <f ca="1">IFERROR(__xludf.DUMMYFUNCTION("IFERROR(VLOOKUP(F355,IMPORTRANGE(""https://docs.google.com/spreadsheets/d/1Kvs4KS76FHFqLFIZfrDMff4kP08nblUkihrxltoGBjg/edit#gid=934712705"",""ESENCIAL!A6:BG""),15,FALSE))"),"")</f>
        <v/>
      </c>
      <c r="AX341" s="21" t="str">
        <f ca="1">IFERROR(__xludf.DUMMYFUNCTION("IFERROR(VLOOKUP(E355&amp;F355,IMPORTRANGE(""https://docs.google.com/spreadsheets/d/1Uw7-A9f9R21vMXxHZFNpYNeKFtG8_yji4HS352LGlSQ/edit?pli=1#gid=0"",""1_ACUM!A4:S""),12,FALSE))"),"")</f>
        <v/>
      </c>
      <c r="AY341" s="43" t="str">
        <f ca="1">IFERROR(__xludf.DUMMYFUNCTION("IFERROR(VLOOKUP(E355&amp;F355,IMPORTRANGE(""https://docs.google.com/spreadsheets/d/1Uw7-A9f9R21vMXxHZFNpYNeKFtG8_yji4HS352LGlSQ/edit?pli=1#gid=0"",""1_ACUM!A4:S""),13,FALSE))"),"")</f>
        <v/>
      </c>
      <c r="AZ341" s="43" t="str">
        <f ca="1">IFERROR(__xludf.DUMMYFUNCTION("IFERROR(VLOOKUP(E355&amp;F355,IMPORTRANGE(""https://docs.google.com/spreadsheets/d/1Uw7-A9f9R21vMXxHZFNpYNeKFtG8_yji4HS352LGlSQ/edit?pli=1#gid=0"",""1_ACUM!A4:S""),14,FALSE))"),"")</f>
        <v/>
      </c>
      <c r="BA341" s="43" t="str">
        <f ca="1">IFERROR(__xludf.DUMMYFUNCTION("IFERROR(VLOOKUP(E355&amp;F355,IMPORTRANGE(""https://docs.google.com/spreadsheets/d/1Uw7-A9f9R21vMXxHZFNpYNeKFtG8_yji4HS352LGlSQ/edit?pli=1#gid=0"",""1_ACUM!A4:S""),15,FALSE))"),"")</f>
        <v/>
      </c>
      <c r="BB341" s="43" t="str">
        <f ca="1">IFERROR(__xludf.DUMMYFUNCTION("IFERROR(VLOOKUP(E355&amp;F355,IMPORTRANGE(""https://docs.google.com/spreadsheets/d/1Uw7-A9f9R21vMXxHZFNpYNeKFtG8_yji4HS352LGlSQ/edit?pli=1#gid=0"",""1_ACUM!A4:S""),16,FALSE))"),"")</f>
        <v/>
      </c>
      <c r="BC341" s="43" t="str">
        <f ca="1">IFERROR(__xludf.DUMMYFUNCTION("IFERROR(VLOOKUP(E355&amp;F355,IMPORTRANGE(""https://docs.google.com/spreadsheets/d/1Uw7-A9f9R21vMXxHZFNpYNeKFtG8_yji4HS352LGlSQ/edit?pli=1#gid=0"",""1_ACUM!A4:S""),17,FALSE))"),"")</f>
        <v/>
      </c>
      <c r="BD341" s="44" t="str">
        <f ca="1">IFERROR(__xludf.DUMMYFUNCTION("IFERROR(VLOOKUP(E355&amp;F355,IMPORTRANGE(""https://docs.google.com/spreadsheets/d/1Uw7-A9f9R21vMXxHZFNpYNeKFtG8_yji4HS352LGlSQ/edit?pli=1#gid=0"",""1_ACUM!A4:S""),18,FALSE))"),"")</f>
        <v/>
      </c>
      <c r="BE341" s="44" t="str">
        <f ca="1">IFERROR(__xludf.DUMMYFUNCTION("IFERROR(VLOOKUP(E355&amp;F355,IMPORTRANGE(""https://docs.google.com/spreadsheets/d/1Uw7-A9f9R21vMXxHZFNpYNeKFtG8_yji4HS352LGlSQ/edit?pli=1#gid=0"",""1_ACUM!A4:S""),19,FALSE))"),"")</f>
        <v/>
      </c>
      <c r="BF341" s="98" t="str">
        <f ca="1">IFERROR(__xludf.DUMMYFUNCTION("IFERROR(VLOOKUP(F355,IMPORTRANGE(""https://docs.google.com/spreadsheets/d/1Kvs4KS76FHFqLFIZfrDMff4kP08nblUkihrxltoGBjg/edit#gid=934712705"",""ESENCIAL!A6:BG""),5,FALSE))"),"")</f>
        <v/>
      </c>
      <c r="BG341" s="98" t="str">
        <f t="shared" si="17"/>
        <v/>
      </c>
      <c r="BH341" s="99" t="str">
        <f t="shared" si="18"/>
        <v/>
      </c>
      <c r="BI341" s="100" t="str">
        <f ca="1">IFERROR(__xludf.DUMMYFUNCTION("IFERROR(VLOOKUP(F355,IMPORTRANGE(""https://docs.google.com/spreadsheets/d/1Kvs4KS76FHFqLFIZfrDMff4kP08nblUkihrxltoGBjg/edit#gid=934712705"",""ESENCIAL!A6:BG""),2,FALSE))"),"")</f>
        <v/>
      </c>
      <c r="BJ341" s="19" t="str">
        <f t="shared" si="19"/>
        <v/>
      </c>
      <c r="BK341" s="100"/>
      <c r="BL341" s="100"/>
    </row>
    <row r="342" spans="1:64" ht="15">
      <c r="A342" s="101"/>
      <c r="B342" s="101"/>
      <c r="G342" s="5" t="str">
        <f ca="1">IFERROR(__xludf.DUMMYFUNCTION("IFERROR(VLOOKUP(F356,IMPORTRANGE(""https://docs.google.com/spreadsheets/d/1Kvs4KS76FHFqLFIZfrDMff4kP08nblUkihrxltoGBjg/edit#gid=934712705"",""ESENCIAL!A6:BG""),3,FALSE))"),"")</f>
        <v/>
      </c>
      <c r="H342" s="5" t="str">
        <f ca="1">IFERROR(__xludf.DUMMYFUNCTION("IFERROR(VLOOKUP(F356,IMPORTRANGE(""https://docs.google.com/spreadsheets/d/1Kvs4KS76FHFqLFIZfrDMff4kP08nblUkihrxltoGBjg/edit#gid=934712705"",""ESENCIAL!A6:BG""),8,FALSE))"),"")</f>
        <v/>
      </c>
      <c r="L342" s="287"/>
      <c r="U342" s="40"/>
      <c r="AU342" s="41" t="str">
        <f t="shared" si="16"/>
        <v/>
      </c>
      <c r="AV342" s="5" t="str">
        <f ca="1">IFERROR(__xludf.DUMMYFUNCTION("IFERROR(VLOOKUP(E356&amp;F356,IMPORTRANGE(""https://docs.google.com/spreadsheets/d/1Uw7-A9f9R21vMXxHZFNpYNeKFtG8_yji4HS352LGlSQ/edit?pli=1#gid=0"",""1_ACUM!A4:S""),11,FALSE))"),"")</f>
        <v/>
      </c>
      <c r="AW342" s="42" t="str">
        <f ca="1">IFERROR(__xludf.DUMMYFUNCTION("IFERROR(VLOOKUP(F356,IMPORTRANGE(""https://docs.google.com/spreadsheets/d/1Kvs4KS76FHFqLFIZfrDMff4kP08nblUkihrxltoGBjg/edit#gid=934712705"",""ESENCIAL!A6:BG""),15,FALSE))"),"")</f>
        <v/>
      </c>
      <c r="AX342" s="21" t="str">
        <f ca="1">IFERROR(__xludf.DUMMYFUNCTION("IFERROR(VLOOKUP(E356&amp;F356,IMPORTRANGE(""https://docs.google.com/spreadsheets/d/1Uw7-A9f9R21vMXxHZFNpYNeKFtG8_yji4HS352LGlSQ/edit?pli=1#gid=0"",""1_ACUM!A4:S""),12,FALSE))"),"")</f>
        <v/>
      </c>
      <c r="AY342" s="43" t="str">
        <f ca="1">IFERROR(__xludf.DUMMYFUNCTION("IFERROR(VLOOKUP(E356&amp;F356,IMPORTRANGE(""https://docs.google.com/spreadsheets/d/1Uw7-A9f9R21vMXxHZFNpYNeKFtG8_yji4HS352LGlSQ/edit?pli=1#gid=0"",""1_ACUM!A4:S""),13,FALSE))"),"")</f>
        <v/>
      </c>
      <c r="AZ342" s="43" t="str">
        <f ca="1">IFERROR(__xludf.DUMMYFUNCTION("IFERROR(VLOOKUP(E356&amp;F356,IMPORTRANGE(""https://docs.google.com/spreadsheets/d/1Uw7-A9f9R21vMXxHZFNpYNeKFtG8_yji4HS352LGlSQ/edit?pli=1#gid=0"",""1_ACUM!A4:S""),14,FALSE))"),"")</f>
        <v/>
      </c>
      <c r="BA342" s="43" t="str">
        <f ca="1">IFERROR(__xludf.DUMMYFUNCTION("IFERROR(VLOOKUP(E356&amp;F356,IMPORTRANGE(""https://docs.google.com/spreadsheets/d/1Uw7-A9f9R21vMXxHZFNpYNeKFtG8_yji4HS352LGlSQ/edit?pli=1#gid=0"",""1_ACUM!A4:S""),15,FALSE))"),"")</f>
        <v/>
      </c>
      <c r="BB342" s="43" t="str">
        <f ca="1">IFERROR(__xludf.DUMMYFUNCTION("IFERROR(VLOOKUP(E356&amp;F356,IMPORTRANGE(""https://docs.google.com/spreadsheets/d/1Uw7-A9f9R21vMXxHZFNpYNeKFtG8_yji4HS352LGlSQ/edit?pli=1#gid=0"",""1_ACUM!A4:S""),16,FALSE))"),"")</f>
        <v/>
      </c>
      <c r="BC342" s="43" t="str">
        <f ca="1">IFERROR(__xludf.DUMMYFUNCTION("IFERROR(VLOOKUP(E356&amp;F356,IMPORTRANGE(""https://docs.google.com/spreadsheets/d/1Uw7-A9f9R21vMXxHZFNpYNeKFtG8_yji4HS352LGlSQ/edit?pli=1#gid=0"",""1_ACUM!A4:S""),17,FALSE))"),"")</f>
        <v/>
      </c>
      <c r="BD342" s="44" t="str">
        <f ca="1">IFERROR(__xludf.DUMMYFUNCTION("IFERROR(VLOOKUP(E356&amp;F356,IMPORTRANGE(""https://docs.google.com/spreadsheets/d/1Uw7-A9f9R21vMXxHZFNpYNeKFtG8_yji4HS352LGlSQ/edit?pli=1#gid=0"",""1_ACUM!A4:S""),18,FALSE))"),"")</f>
        <v/>
      </c>
      <c r="BE342" s="44" t="str">
        <f ca="1">IFERROR(__xludf.DUMMYFUNCTION("IFERROR(VLOOKUP(E356&amp;F356,IMPORTRANGE(""https://docs.google.com/spreadsheets/d/1Uw7-A9f9R21vMXxHZFNpYNeKFtG8_yji4HS352LGlSQ/edit?pli=1#gid=0"",""1_ACUM!A4:S""),19,FALSE))"),"")</f>
        <v/>
      </c>
      <c r="BF342" s="98" t="str">
        <f ca="1">IFERROR(__xludf.DUMMYFUNCTION("IFERROR(VLOOKUP(F356,IMPORTRANGE(""https://docs.google.com/spreadsheets/d/1Kvs4KS76FHFqLFIZfrDMff4kP08nblUkihrxltoGBjg/edit#gid=934712705"",""ESENCIAL!A6:BG""),5,FALSE))"),"")</f>
        <v/>
      </c>
      <c r="BG342" s="98" t="str">
        <f t="shared" si="17"/>
        <v/>
      </c>
      <c r="BH342" s="99" t="str">
        <f t="shared" si="18"/>
        <v/>
      </c>
      <c r="BI342" s="100" t="str">
        <f ca="1">IFERROR(__xludf.DUMMYFUNCTION("IFERROR(VLOOKUP(F356,IMPORTRANGE(""https://docs.google.com/spreadsheets/d/1Kvs4KS76FHFqLFIZfrDMff4kP08nblUkihrxltoGBjg/edit#gid=934712705"",""ESENCIAL!A6:BG""),2,FALSE))"),"")</f>
        <v/>
      </c>
      <c r="BJ342" s="19" t="str">
        <f t="shared" si="19"/>
        <v/>
      </c>
      <c r="BK342" s="100"/>
      <c r="BL342" s="100"/>
    </row>
    <row r="343" spans="1:64" ht="15">
      <c r="A343" s="101"/>
      <c r="B343" s="101"/>
      <c r="G343" s="5" t="str">
        <f ca="1">IFERROR(__xludf.DUMMYFUNCTION("IFERROR(VLOOKUP(F357,IMPORTRANGE(""https://docs.google.com/spreadsheets/d/1Kvs4KS76FHFqLFIZfrDMff4kP08nblUkihrxltoGBjg/edit#gid=934712705"",""ESENCIAL!A6:BG""),3,FALSE))"),"")</f>
        <v/>
      </c>
      <c r="H343" s="5" t="str">
        <f ca="1">IFERROR(__xludf.DUMMYFUNCTION("IFERROR(VLOOKUP(F357,IMPORTRANGE(""https://docs.google.com/spreadsheets/d/1Kvs4KS76FHFqLFIZfrDMff4kP08nblUkihrxltoGBjg/edit#gid=934712705"",""ESENCIAL!A6:BG""),8,FALSE))"),"")</f>
        <v/>
      </c>
      <c r="L343" s="287"/>
      <c r="U343" s="40"/>
      <c r="AU343" s="41" t="str">
        <f t="shared" si="16"/>
        <v/>
      </c>
      <c r="AV343" s="5" t="str">
        <f ca="1">IFERROR(__xludf.DUMMYFUNCTION("IFERROR(VLOOKUP(E357&amp;F357,IMPORTRANGE(""https://docs.google.com/spreadsheets/d/1Uw7-A9f9R21vMXxHZFNpYNeKFtG8_yji4HS352LGlSQ/edit?pli=1#gid=0"",""1_ACUM!A4:S""),11,FALSE))"),"")</f>
        <v/>
      </c>
      <c r="AW343" s="42" t="str">
        <f ca="1">IFERROR(__xludf.DUMMYFUNCTION("IFERROR(VLOOKUP(F357,IMPORTRANGE(""https://docs.google.com/spreadsheets/d/1Kvs4KS76FHFqLFIZfrDMff4kP08nblUkihrxltoGBjg/edit#gid=934712705"",""ESENCIAL!A6:BG""),15,FALSE))"),"")</f>
        <v/>
      </c>
      <c r="AX343" s="21" t="str">
        <f ca="1">IFERROR(__xludf.DUMMYFUNCTION("IFERROR(VLOOKUP(E357&amp;F357,IMPORTRANGE(""https://docs.google.com/spreadsheets/d/1Uw7-A9f9R21vMXxHZFNpYNeKFtG8_yji4HS352LGlSQ/edit?pli=1#gid=0"",""1_ACUM!A4:S""),12,FALSE))"),"")</f>
        <v/>
      </c>
      <c r="AY343" s="43" t="str">
        <f ca="1">IFERROR(__xludf.DUMMYFUNCTION("IFERROR(VLOOKUP(E357&amp;F357,IMPORTRANGE(""https://docs.google.com/spreadsheets/d/1Uw7-A9f9R21vMXxHZFNpYNeKFtG8_yji4HS352LGlSQ/edit?pli=1#gid=0"",""1_ACUM!A4:S""),13,FALSE))"),"")</f>
        <v/>
      </c>
      <c r="AZ343" s="43" t="str">
        <f ca="1">IFERROR(__xludf.DUMMYFUNCTION("IFERROR(VLOOKUP(E357&amp;F357,IMPORTRANGE(""https://docs.google.com/spreadsheets/d/1Uw7-A9f9R21vMXxHZFNpYNeKFtG8_yji4HS352LGlSQ/edit?pli=1#gid=0"",""1_ACUM!A4:S""),14,FALSE))"),"")</f>
        <v/>
      </c>
      <c r="BA343" s="43" t="str">
        <f ca="1">IFERROR(__xludf.DUMMYFUNCTION("IFERROR(VLOOKUP(E357&amp;F357,IMPORTRANGE(""https://docs.google.com/spreadsheets/d/1Uw7-A9f9R21vMXxHZFNpYNeKFtG8_yji4HS352LGlSQ/edit?pli=1#gid=0"",""1_ACUM!A4:S""),15,FALSE))"),"")</f>
        <v/>
      </c>
      <c r="BB343" s="43" t="str">
        <f ca="1">IFERROR(__xludf.DUMMYFUNCTION("IFERROR(VLOOKUP(E357&amp;F357,IMPORTRANGE(""https://docs.google.com/spreadsheets/d/1Uw7-A9f9R21vMXxHZFNpYNeKFtG8_yji4HS352LGlSQ/edit?pli=1#gid=0"",""1_ACUM!A4:S""),16,FALSE))"),"")</f>
        <v/>
      </c>
      <c r="BC343" s="43" t="str">
        <f ca="1">IFERROR(__xludf.DUMMYFUNCTION("IFERROR(VLOOKUP(E357&amp;F357,IMPORTRANGE(""https://docs.google.com/spreadsheets/d/1Uw7-A9f9R21vMXxHZFNpYNeKFtG8_yji4HS352LGlSQ/edit?pli=1#gid=0"",""1_ACUM!A4:S""),17,FALSE))"),"")</f>
        <v/>
      </c>
      <c r="BD343" s="44" t="str">
        <f ca="1">IFERROR(__xludf.DUMMYFUNCTION("IFERROR(VLOOKUP(E357&amp;F357,IMPORTRANGE(""https://docs.google.com/spreadsheets/d/1Uw7-A9f9R21vMXxHZFNpYNeKFtG8_yji4HS352LGlSQ/edit?pli=1#gid=0"",""1_ACUM!A4:S""),18,FALSE))"),"")</f>
        <v/>
      </c>
      <c r="BE343" s="44" t="str">
        <f ca="1">IFERROR(__xludf.DUMMYFUNCTION("IFERROR(VLOOKUP(E357&amp;F357,IMPORTRANGE(""https://docs.google.com/spreadsheets/d/1Uw7-A9f9R21vMXxHZFNpYNeKFtG8_yji4HS352LGlSQ/edit?pli=1#gid=0"",""1_ACUM!A4:S""),19,FALSE))"),"")</f>
        <v/>
      </c>
      <c r="BF343" s="98" t="str">
        <f ca="1">IFERROR(__xludf.DUMMYFUNCTION("IFERROR(VLOOKUP(F357,IMPORTRANGE(""https://docs.google.com/spreadsheets/d/1Kvs4KS76FHFqLFIZfrDMff4kP08nblUkihrxltoGBjg/edit#gid=934712705"",""ESENCIAL!A6:BG""),5,FALSE))"),"")</f>
        <v/>
      </c>
      <c r="BG343" s="98" t="str">
        <f t="shared" si="17"/>
        <v/>
      </c>
      <c r="BH343" s="99" t="str">
        <f t="shared" si="18"/>
        <v/>
      </c>
      <c r="BI343" s="100" t="str">
        <f ca="1">IFERROR(__xludf.DUMMYFUNCTION("IFERROR(VLOOKUP(F357,IMPORTRANGE(""https://docs.google.com/spreadsheets/d/1Kvs4KS76FHFqLFIZfrDMff4kP08nblUkihrxltoGBjg/edit#gid=934712705"",""ESENCIAL!A6:BG""),2,FALSE))"),"")</f>
        <v/>
      </c>
      <c r="BJ343" s="19" t="str">
        <f t="shared" si="19"/>
        <v/>
      </c>
      <c r="BK343" s="100"/>
      <c r="BL343" s="100"/>
    </row>
    <row r="344" spans="1:64" ht="15">
      <c r="A344" s="101"/>
      <c r="B344" s="101"/>
      <c r="G344" s="5" t="str">
        <f ca="1">IFERROR(__xludf.DUMMYFUNCTION("IFERROR(VLOOKUP(F358,IMPORTRANGE(""https://docs.google.com/spreadsheets/d/1Kvs4KS76FHFqLFIZfrDMff4kP08nblUkihrxltoGBjg/edit#gid=934712705"",""ESENCIAL!A6:BG""),3,FALSE))"),"")</f>
        <v/>
      </c>
      <c r="H344" s="5" t="str">
        <f ca="1">IFERROR(__xludf.DUMMYFUNCTION("IFERROR(VLOOKUP(F358,IMPORTRANGE(""https://docs.google.com/spreadsheets/d/1Kvs4KS76FHFqLFIZfrDMff4kP08nblUkihrxltoGBjg/edit#gid=934712705"",""ESENCIAL!A6:BG""),8,FALSE))"),"")</f>
        <v/>
      </c>
      <c r="L344" s="287"/>
      <c r="U344" s="40"/>
      <c r="AU344" s="41" t="str">
        <f t="shared" si="16"/>
        <v/>
      </c>
      <c r="AV344" s="5" t="str">
        <f ca="1">IFERROR(__xludf.DUMMYFUNCTION("IFERROR(VLOOKUP(E358&amp;F358,IMPORTRANGE(""https://docs.google.com/spreadsheets/d/1Uw7-A9f9R21vMXxHZFNpYNeKFtG8_yji4HS352LGlSQ/edit?pli=1#gid=0"",""1_ACUM!A4:S""),11,FALSE))"),"")</f>
        <v/>
      </c>
      <c r="AW344" s="42" t="str">
        <f ca="1">IFERROR(__xludf.DUMMYFUNCTION("IFERROR(VLOOKUP(F358,IMPORTRANGE(""https://docs.google.com/spreadsheets/d/1Kvs4KS76FHFqLFIZfrDMff4kP08nblUkihrxltoGBjg/edit#gid=934712705"",""ESENCIAL!A6:BG""),15,FALSE))"),"")</f>
        <v/>
      </c>
      <c r="AX344" s="21" t="str">
        <f ca="1">IFERROR(__xludf.DUMMYFUNCTION("IFERROR(VLOOKUP(E358&amp;F358,IMPORTRANGE(""https://docs.google.com/spreadsheets/d/1Uw7-A9f9R21vMXxHZFNpYNeKFtG8_yji4HS352LGlSQ/edit?pli=1#gid=0"",""1_ACUM!A4:S""),12,FALSE))"),"")</f>
        <v/>
      </c>
      <c r="AY344" s="43" t="str">
        <f ca="1">IFERROR(__xludf.DUMMYFUNCTION("IFERROR(VLOOKUP(E358&amp;F358,IMPORTRANGE(""https://docs.google.com/spreadsheets/d/1Uw7-A9f9R21vMXxHZFNpYNeKFtG8_yji4HS352LGlSQ/edit?pli=1#gid=0"",""1_ACUM!A4:S""),13,FALSE))"),"")</f>
        <v/>
      </c>
      <c r="AZ344" s="43" t="str">
        <f ca="1">IFERROR(__xludf.DUMMYFUNCTION("IFERROR(VLOOKUP(E358&amp;F358,IMPORTRANGE(""https://docs.google.com/spreadsheets/d/1Uw7-A9f9R21vMXxHZFNpYNeKFtG8_yji4HS352LGlSQ/edit?pli=1#gid=0"",""1_ACUM!A4:S""),14,FALSE))"),"")</f>
        <v/>
      </c>
      <c r="BA344" s="43" t="str">
        <f ca="1">IFERROR(__xludf.DUMMYFUNCTION("IFERROR(VLOOKUP(E358&amp;F358,IMPORTRANGE(""https://docs.google.com/spreadsheets/d/1Uw7-A9f9R21vMXxHZFNpYNeKFtG8_yji4HS352LGlSQ/edit?pli=1#gid=0"",""1_ACUM!A4:S""),15,FALSE))"),"")</f>
        <v/>
      </c>
      <c r="BB344" s="43" t="str">
        <f ca="1">IFERROR(__xludf.DUMMYFUNCTION("IFERROR(VLOOKUP(E358&amp;F358,IMPORTRANGE(""https://docs.google.com/spreadsheets/d/1Uw7-A9f9R21vMXxHZFNpYNeKFtG8_yji4HS352LGlSQ/edit?pli=1#gid=0"",""1_ACUM!A4:S""),16,FALSE))"),"")</f>
        <v/>
      </c>
      <c r="BC344" s="43" t="str">
        <f ca="1">IFERROR(__xludf.DUMMYFUNCTION("IFERROR(VLOOKUP(E358&amp;F358,IMPORTRANGE(""https://docs.google.com/spreadsheets/d/1Uw7-A9f9R21vMXxHZFNpYNeKFtG8_yji4HS352LGlSQ/edit?pli=1#gid=0"",""1_ACUM!A4:S""),17,FALSE))"),"")</f>
        <v/>
      </c>
      <c r="BD344" s="44" t="str">
        <f ca="1">IFERROR(__xludf.DUMMYFUNCTION("IFERROR(VLOOKUP(E358&amp;F358,IMPORTRANGE(""https://docs.google.com/spreadsheets/d/1Uw7-A9f9R21vMXxHZFNpYNeKFtG8_yji4HS352LGlSQ/edit?pli=1#gid=0"",""1_ACUM!A4:S""),18,FALSE))"),"")</f>
        <v/>
      </c>
      <c r="BE344" s="44" t="str">
        <f ca="1">IFERROR(__xludf.DUMMYFUNCTION("IFERROR(VLOOKUP(E358&amp;F358,IMPORTRANGE(""https://docs.google.com/spreadsheets/d/1Uw7-A9f9R21vMXxHZFNpYNeKFtG8_yji4HS352LGlSQ/edit?pli=1#gid=0"",""1_ACUM!A4:S""),19,FALSE))"),"")</f>
        <v/>
      </c>
      <c r="BF344" s="98" t="str">
        <f ca="1">IFERROR(__xludf.DUMMYFUNCTION("IFERROR(VLOOKUP(F358,IMPORTRANGE(""https://docs.google.com/spreadsheets/d/1Kvs4KS76FHFqLFIZfrDMff4kP08nblUkihrxltoGBjg/edit#gid=934712705"",""ESENCIAL!A6:BG""),5,FALSE))"),"")</f>
        <v/>
      </c>
      <c r="BG344" s="98" t="str">
        <f t="shared" si="17"/>
        <v/>
      </c>
      <c r="BH344" s="99" t="str">
        <f t="shared" si="18"/>
        <v/>
      </c>
      <c r="BI344" s="100" t="str">
        <f ca="1">IFERROR(__xludf.DUMMYFUNCTION("IFERROR(VLOOKUP(F358,IMPORTRANGE(""https://docs.google.com/spreadsheets/d/1Kvs4KS76FHFqLFIZfrDMff4kP08nblUkihrxltoGBjg/edit#gid=934712705"",""ESENCIAL!A6:BG""),2,FALSE))"),"")</f>
        <v/>
      </c>
      <c r="BJ344" s="19" t="str">
        <f t="shared" si="19"/>
        <v/>
      </c>
      <c r="BK344" s="100"/>
      <c r="BL344" s="100"/>
    </row>
    <row r="345" spans="1:64" ht="15">
      <c r="A345" s="101"/>
      <c r="B345" s="101"/>
      <c r="G345" s="5" t="str">
        <f ca="1">IFERROR(__xludf.DUMMYFUNCTION("IFERROR(VLOOKUP(F359,IMPORTRANGE(""https://docs.google.com/spreadsheets/d/1Kvs4KS76FHFqLFIZfrDMff4kP08nblUkihrxltoGBjg/edit#gid=934712705"",""ESENCIAL!A6:BG""),3,FALSE))"),"")</f>
        <v/>
      </c>
      <c r="H345" s="5" t="str">
        <f ca="1">IFERROR(__xludf.DUMMYFUNCTION("IFERROR(VLOOKUP(F359,IMPORTRANGE(""https://docs.google.com/spreadsheets/d/1Kvs4KS76FHFqLFIZfrDMff4kP08nblUkihrxltoGBjg/edit#gid=934712705"",""ESENCIAL!A6:BG""),8,FALSE))"),"")</f>
        <v/>
      </c>
      <c r="L345" s="287"/>
      <c r="U345" s="40"/>
      <c r="AU345" s="41" t="str">
        <f t="shared" si="16"/>
        <v/>
      </c>
      <c r="AV345" s="5" t="str">
        <f ca="1">IFERROR(__xludf.DUMMYFUNCTION("IFERROR(VLOOKUP(E359&amp;F359,IMPORTRANGE(""https://docs.google.com/spreadsheets/d/1Uw7-A9f9R21vMXxHZFNpYNeKFtG8_yji4HS352LGlSQ/edit?pli=1#gid=0"",""1_ACUM!A4:S""),11,FALSE))"),"")</f>
        <v/>
      </c>
      <c r="AW345" s="42" t="str">
        <f ca="1">IFERROR(__xludf.DUMMYFUNCTION("IFERROR(VLOOKUP(F359,IMPORTRANGE(""https://docs.google.com/spreadsheets/d/1Kvs4KS76FHFqLFIZfrDMff4kP08nblUkihrxltoGBjg/edit#gid=934712705"",""ESENCIAL!A6:BG""),15,FALSE))"),"")</f>
        <v/>
      </c>
      <c r="AX345" s="21" t="str">
        <f ca="1">IFERROR(__xludf.DUMMYFUNCTION("IFERROR(VLOOKUP(E359&amp;F359,IMPORTRANGE(""https://docs.google.com/spreadsheets/d/1Uw7-A9f9R21vMXxHZFNpYNeKFtG8_yji4HS352LGlSQ/edit?pli=1#gid=0"",""1_ACUM!A4:S""),12,FALSE))"),"")</f>
        <v/>
      </c>
      <c r="AY345" s="43" t="str">
        <f ca="1">IFERROR(__xludf.DUMMYFUNCTION("IFERROR(VLOOKUP(E359&amp;F359,IMPORTRANGE(""https://docs.google.com/spreadsheets/d/1Uw7-A9f9R21vMXxHZFNpYNeKFtG8_yji4HS352LGlSQ/edit?pli=1#gid=0"",""1_ACUM!A4:S""),13,FALSE))"),"")</f>
        <v/>
      </c>
      <c r="AZ345" s="43" t="str">
        <f ca="1">IFERROR(__xludf.DUMMYFUNCTION("IFERROR(VLOOKUP(E359&amp;F359,IMPORTRANGE(""https://docs.google.com/spreadsheets/d/1Uw7-A9f9R21vMXxHZFNpYNeKFtG8_yji4HS352LGlSQ/edit?pli=1#gid=0"",""1_ACUM!A4:S""),14,FALSE))"),"")</f>
        <v/>
      </c>
      <c r="BA345" s="43" t="str">
        <f ca="1">IFERROR(__xludf.DUMMYFUNCTION("IFERROR(VLOOKUP(E359&amp;F359,IMPORTRANGE(""https://docs.google.com/spreadsheets/d/1Uw7-A9f9R21vMXxHZFNpYNeKFtG8_yji4HS352LGlSQ/edit?pli=1#gid=0"",""1_ACUM!A4:S""),15,FALSE))"),"")</f>
        <v/>
      </c>
      <c r="BB345" s="43" t="str">
        <f ca="1">IFERROR(__xludf.DUMMYFUNCTION("IFERROR(VLOOKUP(E359&amp;F359,IMPORTRANGE(""https://docs.google.com/spreadsheets/d/1Uw7-A9f9R21vMXxHZFNpYNeKFtG8_yji4HS352LGlSQ/edit?pli=1#gid=0"",""1_ACUM!A4:S""),16,FALSE))"),"")</f>
        <v/>
      </c>
      <c r="BC345" s="43" t="str">
        <f ca="1">IFERROR(__xludf.DUMMYFUNCTION("IFERROR(VLOOKUP(E359&amp;F359,IMPORTRANGE(""https://docs.google.com/spreadsheets/d/1Uw7-A9f9R21vMXxHZFNpYNeKFtG8_yji4HS352LGlSQ/edit?pli=1#gid=0"",""1_ACUM!A4:S""),17,FALSE))"),"")</f>
        <v/>
      </c>
      <c r="BD345" s="44" t="str">
        <f ca="1">IFERROR(__xludf.DUMMYFUNCTION("IFERROR(VLOOKUP(E359&amp;F359,IMPORTRANGE(""https://docs.google.com/spreadsheets/d/1Uw7-A9f9R21vMXxHZFNpYNeKFtG8_yji4HS352LGlSQ/edit?pli=1#gid=0"",""1_ACUM!A4:S""),18,FALSE))"),"")</f>
        <v/>
      </c>
      <c r="BE345" s="44" t="str">
        <f ca="1">IFERROR(__xludf.DUMMYFUNCTION("IFERROR(VLOOKUP(E359&amp;F359,IMPORTRANGE(""https://docs.google.com/spreadsheets/d/1Uw7-A9f9R21vMXxHZFNpYNeKFtG8_yji4HS352LGlSQ/edit?pli=1#gid=0"",""1_ACUM!A4:S""),19,FALSE))"),"")</f>
        <v/>
      </c>
      <c r="BF345" s="98" t="str">
        <f ca="1">IFERROR(__xludf.DUMMYFUNCTION("IFERROR(VLOOKUP(F359,IMPORTRANGE(""https://docs.google.com/spreadsheets/d/1Kvs4KS76FHFqLFIZfrDMff4kP08nblUkihrxltoGBjg/edit#gid=934712705"",""ESENCIAL!A6:BG""),5,FALSE))"),"")</f>
        <v/>
      </c>
      <c r="BG345" s="98" t="str">
        <f t="shared" si="17"/>
        <v/>
      </c>
      <c r="BH345" s="99" t="str">
        <f t="shared" si="18"/>
        <v/>
      </c>
      <c r="BI345" s="100" t="str">
        <f ca="1">IFERROR(__xludf.DUMMYFUNCTION("IFERROR(VLOOKUP(F359,IMPORTRANGE(""https://docs.google.com/spreadsheets/d/1Kvs4KS76FHFqLFIZfrDMff4kP08nblUkihrxltoGBjg/edit#gid=934712705"",""ESENCIAL!A6:BG""),2,FALSE))"),"")</f>
        <v/>
      </c>
      <c r="BJ345" s="19" t="str">
        <f t="shared" si="19"/>
        <v/>
      </c>
      <c r="BK345" s="100"/>
      <c r="BL345" s="100"/>
    </row>
    <row r="346" spans="1:64" ht="15">
      <c r="A346" s="101"/>
      <c r="B346" s="101"/>
      <c r="G346" s="5" t="str">
        <f ca="1">IFERROR(__xludf.DUMMYFUNCTION("IFERROR(VLOOKUP(F360,IMPORTRANGE(""https://docs.google.com/spreadsheets/d/1Kvs4KS76FHFqLFIZfrDMff4kP08nblUkihrxltoGBjg/edit#gid=934712705"",""ESENCIAL!A6:BG""),3,FALSE))"),"")</f>
        <v/>
      </c>
      <c r="H346" s="5" t="str">
        <f ca="1">IFERROR(__xludf.DUMMYFUNCTION("IFERROR(VLOOKUP(F360,IMPORTRANGE(""https://docs.google.com/spreadsheets/d/1Kvs4KS76FHFqLFIZfrDMff4kP08nblUkihrxltoGBjg/edit#gid=934712705"",""ESENCIAL!A6:BG""),8,FALSE))"),"")</f>
        <v/>
      </c>
      <c r="L346" s="287"/>
      <c r="U346" s="40"/>
      <c r="AU346" s="41" t="str">
        <f t="shared" si="16"/>
        <v/>
      </c>
      <c r="AV346" s="5" t="str">
        <f ca="1">IFERROR(__xludf.DUMMYFUNCTION("IFERROR(VLOOKUP(E360&amp;F360,IMPORTRANGE(""https://docs.google.com/spreadsheets/d/1Uw7-A9f9R21vMXxHZFNpYNeKFtG8_yji4HS352LGlSQ/edit?pli=1#gid=0"",""1_ACUM!A4:S""),11,FALSE))"),"")</f>
        <v/>
      </c>
      <c r="AW346" s="42" t="str">
        <f ca="1">IFERROR(__xludf.DUMMYFUNCTION("IFERROR(VLOOKUP(F360,IMPORTRANGE(""https://docs.google.com/spreadsheets/d/1Kvs4KS76FHFqLFIZfrDMff4kP08nblUkihrxltoGBjg/edit#gid=934712705"",""ESENCIAL!A6:BG""),15,FALSE))"),"")</f>
        <v/>
      </c>
      <c r="AX346" s="21" t="str">
        <f ca="1">IFERROR(__xludf.DUMMYFUNCTION("IFERROR(VLOOKUP(E360&amp;F360,IMPORTRANGE(""https://docs.google.com/spreadsheets/d/1Uw7-A9f9R21vMXxHZFNpYNeKFtG8_yji4HS352LGlSQ/edit?pli=1#gid=0"",""1_ACUM!A4:S""),12,FALSE))"),"")</f>
        <v/>
      </c>
      <c r="AY346" s="43" t="str">
        <f ca="1">IFERROR(__xludf.DUMMYFUNCTION("IFERROR(VLOOKUP(E360&amp;F360,IMPORTRANGE(""https://docs.google.com/spreadsheets/d/1Uw7-A9f9R21vMXxHZFNpYNeKFtG8_yji4HS352LGlSQ/edit?pli=1#gid=0"",""1_ACUM!A4:S""),13,FALSE))"),"")</f>
        <v/>
      </c>
      <c r="AZ346" s="43" t="str">
        <f ca="1">IFERROR(__xludf.DUMMYFUNCTION("IFERROR(VLOOKUP(E360&amp;F360,IMPORTRANGE(""https://docs.google.com/spreadsheets/d/1Uw7-A9f9R21vMXxHZFNpYNeKFtG8_yji4HS352LGlSQ/edit?pli=1#gid=0"",""1_ACUM!A4:S""),14,FALSE))"),"")</f>
        <v/>
      </c>
      <c r="BA346" s="43" t="str">
        <f ca="1">IFERROR(__xludf.DUMMYFUNCTION("IFERROR(VLOOKUP(E360&amp;F360,IMPORTRANGE(""https://docs.google.com/spreadsheets/d/1Uw7-A9f9R21vMXxHZFNpYNeKFtG8_yji4HS352LGlSQ/edit?pli=1#gid=0"",""1_ACUM!A4:S""),15,FALSE))"),"")</f>
        <v/>
      </c>
      <c r="BB346" s="43" t="str">
        <f ca="1">IFERROR(__xludf.DUMMYFUNCTION("IFERROR(VLOOKUP(E360&amp;F360,IMPORTRANGE(""https://docs.google.com/spreadsheets/d/1Uw7-A9f9R21vMXxHZFNpYNeKFtG8_yji4HS352LGlSQ/edit?pli=1#gid=0"",""1_ACUM!A4:S""),16,FALSE))"),"")</f>
        <v/>
      </c>
      <c r="BC346" s="43" t="str">
        <f ca="1">IFERROR(__xludf.DUMMYFUNCTION("IFERROR(VLOOKUP(E360&amp;F360,IMPORTRANGE(""https://docs.google.com/spreadsheets/d/1Uw7-A9f9R21vMXxHZFNpYNeKFtG8_yji4HS352LGlSQ/edit?pli=1#gid=0"",""1_ACUM!A4:S""),17,FALSE))"),"")</f>
        <v/>
      </c>
      <c r="BD346" s="44" t="str">
        <f ca="1">IFERROR(__xludf.DUMMYFUNCTION("IFERROR(VLOOKUP(E360&amp;F360,IMPORTRANGE(""https://docs.google.com/spreadsheets/d/1Uw7-A9f9R21vMXxHZFNpYNeKFtG8_yji4HS352LGlSQ/edit?pli=1#gid=0"",""1_ACUM!A4:S""),18,FALSE))"),"")</f>
        <v/>
      </c>
      <c r="BE346" s="44" t="str">
        <f ca="1">IFERROR(__xludf.DUMMYFUNCTION("IFERROR(VLOOKUP(E360&amp;F360,IMPORTRANGE(""https://docs.google.com/spreadsheets/d/1Uw7-A9f9R21vMXxHZFNpYNeKFtG8_yji4HS352LGlSQ/edit?pli=1#gid=0"",""1_ACUM!A4:S""),19,FALSE))"),"")</f>
        <v/>
      </c>
      <c r="BF346" s="98" t="str">
        <f ca="1">IFERROR(__xludf.DUMMYFUNCTION("IFERROR(VLOOKUP(F360,IMPORTRANGE(""https://docs.google.com/spreadsheets/d/1Kvs4KS76FHFqLFIZfrDMff4kP08nblUkihrxltoGBjg/edit#gid=934712705"",""ESENCIAL!A6:BG""),5,FALSE))"),"")</f>
        <v/>
      </c>
      <c r="BG346" s="98" t="str">
        <f t="shared" si="17"/>
        <v/>
      </c>
      <c r="BH346" s="99" t="str">
        <f t="shared" si="18"/>
        <v/>
      </c>
      <c r="BI346" s="100" t="str">
        <f ca="1">IFERROR(__xludf.DUMMYFUNCTION("IFERROR(VLOOKUP(F360,IMPORTRANGE(""https://docs.google.com/spreadsheets/d/1Kvs4KS76FHFqLFIZfrDMff4kP08nblUkihrxltoGBjg/edit#gid=934712705"",""ESENCIAL!A6:BG""),2,FALSE))"),"")</f>
        <v/>
      </c>
      <c r="BJ346" s="19" t="str">
        <f t="shared" si="19"/>
        <v/>
      </c>
      <c r="BK346" s="100"/>
      <c r="BL346" s="100"/>
    </row>
    <row r="347" spans="1:64" ht="15">
      <c r="A347" s="101"/>
      <c r="B347" s="101"/>
      <c r="G347" s="5" t="str">
        <f ca="1">IFERROR(__xludf.DUMMYFUNCTION("IFERROR(VLOOKUP(F361,IMPORTRANGE(""https://docs.google.com/spreadsheets/d/1Kvs4KS76FHFqLFIZfrDMff4kP08nblUkihrxltoGBjg/edit#gid=934712705"",""ESENCIAL!A6:BG""),3,FALSE))"),"")</f>
        <v/>
      </c>
      <c r="H347" s="5" t="str">
        <f ca="1">IFERROR(__xludf.DUMMYFUNCTION("IFERROR(VLOOKUP(F361,IMPORTRANGE(""https://docs.google.com/spreadsheets/d/1Kvs4KS76FHFqLFIZfrDMff4kP08nblUkihrxltoGBjg/edit#gid=934712705"",""ESENCIAL!A6:BG""),8,FALSE))"),"")</f>
        <v/>
      </c>
      <c r="L347" s="287"/>
      <c r="U347" s="40"/>
      <c r="AU347" s="41" t="str">
        <f t="shared" si="16"/>
        <v/>
      </c>
      <c r="AV347" s="5" t="str">
        <f ca="1">IFERROR(__xludf.DUMMYFUNCTION("IFERROR(VLOOKUP(E361&amp;F361,IMPORTRANGE(""https://docs.google.com/spreadsheets/d/1Uw7-A9f9R21vMXxHZFNpYNeKFtG8_yji4HS352LGlSQ/edit?pli=1#gid=0"",""1_ACUM!A4:S""),11,FALSE))"),"")</f>
        <v/>
      </c>
      <c r="AW347" s="42" t="str">
        <f ca="1">IFERROR(__xludf.DUMMYFUNCTION("IFERROR(VLOOKUP(F361,IMPORTRANGE(""https://docs.google.com/spreadsheets/d/1Kvs4KS76FHFqLFIZfrDMff4kP08nblUkihrxltoGBjg/edit#gid=934712705"",""ESENCIAL!A6:BG""),15,FALSE))"),"")</f>
        <v/>
      </c>
      <c r="AX347" s="21" t="str">
        <f ca="1">IFERROR(__xludf.DUMMYFUNCTION("IFERROR(VLOOKUP(E361&amp;F361,IMPORTRANGE(""https://docs.google.com/spreadsheets/d/1Uw7-A9f9R21vMXxHZFNpYNeKFtG8_yji4HS352LGlSQ/edit?pli=1#gid=0"",""1_ACUM!A4:S""),12,FALSE))"),"")</f>
        <v/>
      </c>
      <c r="AY347" s="43" t="str">
        <f ca="1">IFERROR(__xludf.DUMMYFUNCTION("IFERROR(VLOOKUP(E361&amp;F361,IMPORTRANGE(""https://docs.google.com/spreadsheets/d/1Uw7-A9f9R21vMXxHZFNpYNeKFtG8_yji4HS352LGlSQ/edit?pli=1#gid=0"",""1_ACUM!A4:S""),13,FALSE))"),"")</f>
        <v/>
      </c>
      <c r="AZ347" s="43" t="str">
        <f ca="1">IFERROR(__xludf.DUMMYFUNCTION("IFERROR(VLOOKUP(E361&amp;F361,IMPORTRANGE(""https://docs.google.com/spreadsheets/d/1Uw7-A9f9R21vMXxHZFNpYNeKFtG8_yji4HS352LGlSQ/edit?pli=1#gid=0"",""1_ACUM!A4:S""),14,FALSE))"),"")</f>
        <v/>
      </c>
      <c r="BA347" s="43" t="str">
        <f ca="1">IFERROR(__xludf.DUMMYFUNCTION("IFERROR(VLOOKUP(E361&amp;F361,IMPORTRANGE(""https://docs.google.com/spreadsheets/d/1Uw7-A9f9R21vMXxHZFNpYNeKFtG8_yji4HS352LGlSQ/edit?pli=1#gid=0"",""1_ACUM!A4:S""),15,FALSE))"),"")</f>
        <v/>
      </c>
      <c r="BB347" s="43" t="str">
        <f ca="1">IFERROR(__xludf.DUMMYFUNCTION("IFERROR(VLOOKUP(E361&amp;F361,IMPORTRANGE(""https://docs.google.com/spreadsheets/d/1Uw7-A9f9R21vMXxHZFNpYNeKFtG8_yji4HS352LGlSQ/edit?pli=1#gid=0"",""1_ACUM!A4:S""),16,FALSE))"),"")</f>
        <v/>
      </c>
      <c r="BC347" s="43" t="str">
        <f ca="1">IFERROR(__xludf.DUMMYFUNCTION("IFERROR(VLOOKUP(E361&amp;F361,IMPORTRANGE(""https://docs.google.com/spreadsheets/d/1Uw7-A9f9R21vMXxHZFNpYNeKFtG8_yji4HS352LGlSQ/edit?pli=1#gid=0"",""1_ACUM!A4:S""),17,FALSE))"),"")</f>
        <v/>
      </c>
      <c r="BD347" s="44" t="str">
        <f ca="1">IFERROR(__xludf.DUMMYFUNCTION("IFERROR(VLOOKUP(E361&amp;F361,IMPORTRANGE(""https://docs.google.com/spreadsheets/d/1Uw7-A9f9R21vMXxHZFNpYNeKFtG8_yji4HS352LGlSQ/edit?pli=1#gid=0"",""1_ACUM!A4:S""),18,FALSE))"),"")</f>
        <v/>
      </c>
      <c r="BE347" s="44" t="str">
        <f ca="1">IFERROR(__xludf.DUMMYFUNCTION("IFERROR(VLOOKUP(E361&amp;F361,IMPORTRANGE(""https://docs.google.com/spreadsheets/d/1Uw7-A9f9R21vMXxHZFNpYNeKFtG8_yji4HS352LGlSQ/edit?pli=1#gid=0"",""1_ACUM!A4:S""),19,FALSE))"),"")</f>
        <v/>
      </c>
      <c r="BF347" s="98" t="str">
        <f ca="1">IFERROR(__xludf.DUMMYFUNCTION("IFERROR(VLOOKUP(F361,IMPORTRANGE(""https://docs.google.com/spreadsheets/d/1Kvs4KS76FHFqLFIZfrDMff4kP08nblUkihrxltoGBjg/edit#gid=934712705"",""ESENCIAL!A6:BG""),5,FALSE))"),"")</f>
        <v/>
      </c>
      <c r="BG347" s="98" t="str">
        <f t="shared" si="17"/>
        <v/>
      </c>
      <c r="BH347" s="99" t="str">
        <f t="shared" si="18"/>
        <v/>
      </c>
      <c r="BI347" s="100" t="str">
        <f ca="1">IFERROR(__xludf.DUMMYFUNCTION("IFERROR(VLOOKUP(F361,IMPORTRANGE(""https://docs.google.com/spreadsheets/d/1Kvs4KS76FHFqLFIZfrDMff4kP08nblUkihrxltoGBjg/edit#gid=934712705"",""ESENCIAL!A6:BG""),2,FALSE))"),"")</f>
        <v/>
      </c>
      <c r="BJ347" s="19" t="str">
        <f t="shared" si="19"/>
        <v/>
      </c>
      <c r="BK347" s="100"/>
      <c r="BL347" s="100"/>
    </row>
    <row r="348" spans="1:64" ht="15">
      <c r="A348" s="101"/>
      <c r="B348" s="101"/>
      <c r="G348" s="5" t="str">
        <f ca="1">IFERROR(__xludf.DUMMYFUNCTION("IFERROR(VLOOKUP(F362,IMPORTRANGE(""https://docs.google.com/spreadsheets/d/1Kvs4KS76FHFqLFIZfrDMff4kP08nblUkihrxltoGBjg/edit#gid=934712705"",""ESENCIAL!A6:BG""),3,FALSE))"),"")</f>
        <v/>
      </c>
      <c r="H348" s="5" t="str">
        <f ca="1">IFERROR(__xludf.DUMMYFUNCTION("IFERROR(VLOOKUP(F362,IMPORTRANGE(""https://docs.google.com/spreadsheets/d/1Kvs4KS76FHFqLFIZfrDMff4kP08nblUkihrxltoGBjg/edit#gid=934712705"",""ESENCIAL!A6:BG""),8,FALSE))"),"")</f>
        <v/>
      </c>
      <c r="L348" s="287"/>
      <c r="U348" s="40"/>
      <c r="AU348" s="41" t="str">
        <f t="shared" si="16"/>
        <v/>
      </c>
      <c r="AV348" s="5" t="str">
        <f ca="1">IFERROR(__xludf.DUMMYFUNCTION("IFERROR(VLOOKUP(E362&amp;F362,IMPORTRANGE(""https://docs.google.com/spreadsheets/d/1Uw7-A9f9R21vMXxHZFNpYNeKFtG8_yji4HS352LGlSQ/edit?pli=1#gid=0"",""1_ACUM!A4:S""),11,FALSE))"),"")</f>
        <v/>
      </c>
      <c r="AW348" s="42" t="str">
        <f ca="1">IFERROR(__xludf.DUMMYFUNCTION("IFERROR(VLOOKUP(F362,IMPORTRANGE(""https://docs.google.com/spreadsheets/d/1Kvs4KS76FHFqLFIZfrDMff4kP08nblUkihrxltoGBjg/edit#gid=934712705"",""ESENCIAL!A6:BG""),15,FALSE))"),"")</f>
        <v/>
      </c>
      <c r="AX348" s="21" t="str">
        <f ca="1">IFERROR(__xludf.DUMMYFUNCTION("IFERROR(VLOOKUP(E362&amp;F362,IMPORTRANGE(""https://docs.google.com/spreadsheets/d/1Uw7-A9f9R21vMXxHZFNpYNeKFtG8_yji4HS352LGlSQ/edit?pli=1#gid=0"",""1_ACUM!A4:S""),12,FALSE))"),"")</f>
        <v/>
      </c>
      <c r="AY348" s="43" t="str">
        <f ca="1">IFERROR(__xludf.DUMMYFUNCTION("IFERROR(VLOOKUP(E362&amp;F362,IMPORTRANGE(""https://docs.google.com/spreadsheets/d/1Uw7-A9f9R21vMXxHZFNpYNeKFtG8_yji4HS352LGlSQ/edit?pli=1#gid=0"",""1_ACUM!A4:S""),13,FALSE))"),"")</f>
        <v/>
      </c>
      <c r="AZ348" s="43" t="str">
        <f ca="1">IFERROR(__xludf.DUMMYFUNCTION("IFERROR(VLOOKUP(E362&amp;F362,IMPORTRANGE(""https://docs.google.com/spreadsheets/d/1Uw7-A9f9R21vMXxHZFNpYNeKFtG8_yji4HS352LGlSQ/edit?pli=1#gid=0"",""1_ACUM!A4:S""),14,FALSE))"),"")</f>
        <v/>
      </c>
      <c r="BA348" s="43" t="str">
        <f ca="1">IFERROR(__xludf.DUMMYFUNCTION("IFERROR(VLOOKUP(E362&amp;F362,IMPORTRANGE(""https://docs.google.com/spreadsheets/d/1Uw7-A9f9R21vMXxHZFNpYNeKFtG8_yji4HS352LGlSQ/edit?pli=1#gid=0"",""1_ACUM!A4:S""),15,FALSE))"),"")</f>
        <v/>
      </c>
      <c r="BB348" s="43" t="str">
        <f ca="1">IFERROR(__xludf.DUMMYFUNCTION("IFERROR(VLOOKUP(E362&amp;F362,IMPORTRANGE(""https://docs.google.com/spreadsheets/d/1Uw7-A9f9R21vMXxHZFNpYNeKFtG8_yji4HS352LGlSQ/edit?pli=1#gid=0"",""1_ACUM!A4:S""),16,FALSE))"),"")</f>
        <v/>
      </c>
      <c r="BC348" s="43" t="str">
        <f ca="1">IFERROR(__xludf.DUMMYFUNCTION("IFERROR(VLOOKUP(E362&amp;F362,IMPORTRANGE(""https://docs.google.com/spreadsheets/d/1Uw7-A9f9R21vMXxHZFNpYNeKFtG8_yji4HS352LGlSQ/edit?pli=1#gid=0"",""1_ACUM!A4:S""),17,FALSE))"),"")</f>
        <v/>
      </c>
      <c r="BD348" s="44" t="str">
        <f ca="1">IFERROR(__xludf.DUMMYFUNCTION("IFERROR(VLOOKUP(E362&amp;F362,IMPORTRANGE(""https://docs.google.com/spreadsheets/d/1Uw7-A9f9R21vMXxHZFNpYNeKFtG8_yji4HS352LGlSQ/edit?pli=1#gid=0"",""1_ACUM!A4:S""),18,FALSE))"),"")</f>
        <v/>
      </c>
      <c r="BE348" s="44" t="str">
        <f ca="1">IFERROR(__xludf.DUMMYFUNCTION("IFERROR(VLOOKUP(E362&amp;F362,IMPORTRANGE(""https://docs.google.com/spreadsheets/d/1Uw7-A9f9R21vMXxHZFNpYNeKFtG8_yji4HS352LGlSQ/edit?pli=1#gid=0"",""1_ACUM!A4:S""),19,FALSE))"),"")</f>
        <v/>
      </c>
      <c r="BF348" s="98" t="str">
        <f ca="1">IFERROR(__xludf.DUMMYFUNCTION("IFERROR(VLOOKUP(F362,IMPORTRANGE(""https://docs.google.com/spreadsheets/d/1Kvs4KS76FHFqLFIZfrDMff4kP08nblUkihrxltoGBjg/edit#gid=934712705"",""ESENCIAL!A6:BG""),5,FALSE))"),"")</f>
        <v/>
      </c>
      <c r="BG348" s="98" t="str">
        <f t="shared" si="17"/>
        <v/>
      </c>
      <c r="BH348" s="99" t="str">
        <f t="shared" si="18"/>
        <v/>
      </c>
      <c r="BI348" s="100" t="str">
        <f ca="1">IFERROR(__xludf.DUMMYFUNCTION("IFERROR(VLOOKUP(F362,IMPORTRANGE(""https://docs.google.com/spreadsheets/d/1Kvs4KS76FHFqLFIZfrDMff4kP08nblUkihrxltoGBjg/edit#gid=934712705"",""ESENCIAL!A6:BG""),2,FALSE))"),"")</f>
        <v/>
      </c>
      <c r="BJ348" s="19" t="str">
        <f t="shared" si="19"/>
        <v/>
      </c>
      <c r="BK348" s="100"/>
      <c r="BL348" s="100"/>
    </row>
    <row r="349" spans="1:64" ht="15">
      <c r="A349" s="101"/>
      <c r="B349" s="101"/>
      <c r="G349" s="5" t="str">
        <f ca="1">IFERROR(__xludf.DUMMYFUNCTION("IFERROR(VLOOKUP(F363,IMPORTRANGE(""https://docs.google.com/spreadsheets/d/1Kvs4KS76FHFqLFIZfrDMff4kP08nblUkihrxltoGBjg/edit#gid=934712705"",""ESENCIAL!A6:BG""),3,FALSE))"),"")</f>
        <v/>
      </c>
      <c r="H349" s="5" t="str">
        <f ca="1">IFERROR(__xludf.DUMMYFUNCTION("IFERROR(VLOOKUP(F363,IMPORTRANGE(""https://docs.google.com/spreadsheets/d/1Kvs4KS76FHFqLFIZfrDMff4kP08nblUkihrxltoGBjg/edit#gid=934712705"",""ESENCIAL!A6:BG""),8,FALSE))"),"")</f>
        <v/>
      </c>
      <c r="L349" s="287"/>
      <c r="U349" s="40"/>
      <c r="AU349" s="41" t="str">
        <f t="shared" si="16"/>
        <v/>
      </c>
      <c r="AV349" s="5" t="str">
        <f ca="1">IFERROR(__xludf.DUMMYFUNCTION("IFERROR(VLOOKUP(E363&amp;F363,IMPORTRANGE(""https://docs.google.com/spreadsheets/d/1Uw7-A9f9R21vMXxHZFNpYNeKFtG8_yji4HS352LGlSQ/edit?pli=1#gid=0"",""1_ACUM!A4:S""),11,FALSE))"),"")</f>
        <v/>
      </c>
      <c r="AW349" s="42" t="str">
        <f ca="1">IFERROR(__xludf.DUMMYFUNCTION("IFERROR(VLOOKUP(F363,IMPORTRANGE(""https://docs.google.com/spreadsheets/d/1Kvs4KS76FHFqLFIZfrDMff4kP08nblUkihrxltoGBjg/edit#gid=934712705"",""ESENCIAL!A6:BG""),15,FALSE))"),"")</f>
        <v/>
      </c>
      <c r="AX349" s="21" t="str">
        <f ca="1">IFERROR(__xludf.DUMMYFUNCTION("IFERROR(VLOOKUP(E363&amp;F363,IMPORTRANGE(""https://docs.google.com/spreadsheets/d/1Uw7-A9f9R21vMXxHZFNpYNeKFtG8_yji4HS352LGlSQ/edit?pli=1#gid=0"",""1_ACUM!A4:S""),12,FALSE))"),"")</f>
        <v/>
      </c>
      <c r="AY349" s="43" t="str">
        <f ca="1">IFERROR(__xludf.DUMMYFUNCTION("IFERROR(VLOOKUP(E363&amp;F363,IMPORTRANGE(""https://docs.google.com/spreadsheets/d/1Uw7-A9f9R21vMXxHZFNpYNeKFtG8_yji4HS352LGlSQ/edit?pli=1#gid=0"",""1_ACUM!A4:S""),13,FALSE))"),"")</f>
        <v/>
      </c>
      <c r="AZ349" s="43" t="str">
        <f ca="1">IFERROR(__xludf.DUMMYFUNCTION("IFERROR(VLOOKUP(E363&amp;F363,IMPORTRANGE(""https://docs.google.com/spreadsheets/d/1Uw7-A9f9R21vMXxHZFNpYNeKFtG8_yji4HS352LGlSQ/edit?pli=1#gid=0"",""1_ACUM!A4:S""),14,FALSE))"),"")</f>
        <v/>
      </c>
      <c r="BA349" s="43" t="str">
        <f ca="1">IFERROR(__xludf.DUMMYFUNCTION("IFERROR(VLOOKUP(E363&amp;F363,IMPORTRANGE(""https://docs.google.com/spreadsheets/d/1Uw7-A9f9R21vMXxHZFNpYNeKFtG8_yji4HS352LGlSQ/edit?pli=1#gid=0"",""1_ACUM!A4:S""),15,FALSE))"),"")</f>
        <v/>
      </c>
      <c r="BB349" s="43" t="str">
        <f ca="1">IFERROR(__xludf.DUMMYFUNCTION("IFERROR(VLOOKUP(E363&amp;F363,IMPORTRANGE(""https://docs.google.com/spreadsheets/d/1Uw7-A9f9R21vMXxHZFNpYNeKFtG8_yji4HS352LGlSQ/edit?pli=1#gid=0"",""1_ACUM!A4:S""),16,FALSE))"),"")</f>
        <v/>
      </c>
      <c r="BC349" s="43" t="str">
        <f ca="1">IFERROR(__xludf.DUMMYFUNCTION("IFERROR(VLOOKUP(E363&amp;F363,IMPORTRANGE(""https://docs.google.com/spreadsheets/d/1Uw7-A9f9R21vMXxHZFNpYNeKFtG8_yji4HS352LGlSQ/edit?pli=1#gid=0"",""1_ACUM!A4:S""),17,FALSE))"),"")</f>
        <v/>
      </c>
      <c r="BD349" s="44" t="str">
        <f ca="1">IFERROR(__xludf.DUMMYFUNCTION("IFERROR(VLOOKUP(E363&amp;F363,IMPORTRANGE(""https://docs.google.com/spreadsheets/d/1Uw7-A9f9R21vMXxHZFNpYNeKFtG8_yji4HS352LGlSQ/edit?pli=1#gid=0"",""1_ACUM!A4:S""),18,FALSE))"),"")</f>
        <v/>
      </c>
      <c r="BE349" s="44" t="str">
        <f ca="1">IFERROR(__xludf.DUMMYFUNCTION("IFERROR(VLOOKUP(E363&amp;F363,IMPORTRANGE(""https://docs.google.com/spreadsheets/d/1Uw7-A9f9R21vMXxHZFNpYNeKFtG8_yji4HS352LGlSQ/edit?pli=1#gid=0"",""1_ACUM!A4:S""),19,FALSE))"),"")</f>
        <v/>
      </c>
      <c r="BF349" s="98" t="str">
        <f ca="1">IFERROR(__xludf.DUMMYFUNCTION("IFERROR(VLOOKUP(F363,IMPORTRANGE(""https://docs.google.com/spreadsheets/d/1Kvs4KS76FHFqLFIZfrDMff4kP08nblUkihrxltoGBjg/edit#gid=934712705"",""ESENCIAL!A6:BG""),5,FALSE))"),"")</f>
        <v/>
      </c>
      <c r="BG349" s="98" t="str">
        <f t="shared" si="17"/>
        <v/>
      </c>
      <c r="BH349" s="99" t="str">
        <f t="shared" si="18"/>
        <v/>
      </c>
      <c r="BI349" s="100" t="str">
        <f ca="1">IFERROR(__xludf.DUMMYFUNCTION("IFERROR(VLOOKUP(F363,IMPORTRANGE(""https://docs.google.com/spreadsheets/d/1Kvs4KS76FHFqLFIZfrDMff4kP08nblUkihrxltoGBjg/edit#gid=934712705"",""ESENCIAL!A6:BG""),2,FALSE))"),"")</f>
        <v/>
      </c>
      <c r="BJ349" s="19" t="str">
        <f t="shared" si="19"/>
        <v/>
      </c>
      <c r="BK349" s="100"/>
      <c r="BL349" s="100"/>
    </row>
    <row r="350" spans="1:64" ht="15">
      <c r="A350" s="101"/>
      <c r="B350" s="101"/>
      <c r="G350" s="5" t="str">
        <f ca="1">IFERROR(__xludf.DUMMYFUNCTION("IFERROR(VLOOKUP(F364,IMPORTRANGE(""https://docs.google.com/spreadsheets/d/1Kvs4KS76FHFqLFIZfrDMff4kP08nblUkihrxltoGBjg/edit#gid=934712705"",""ESENCIAL!A6:BG""),3,FALSE))"),"")</f>
        <v/>
      </c>
      <c r="H350" s="5" t="str">
        <f ca="1">IFERROR(__xludf.DUMMYFUNCTION("IFERROR(VLOOKUP(F364,IMPORTRANGE(""https://docs.google.com/spreadsheets/d/1Kvs4KS76FHFqLFIZfrDMff4kP08nblUkihrxltoGBjg/edit#gid=934712705"",""ESENCIAL!A6:BG""),8,FALSE))"),"")</f>
        <v/>
      </c>
      <c r="L350" s="287"/>
      <c r="U350" s="40"/>
      <c r="AU350" s="41" t="str">
        <f t="shared" si="16"/>
        <v/>
      </c>
      <c r="AV350" s="5" t="str">
        <f ca="1">IFERROR(__xludf.DUMMYFUNCTION("IFERROR(VLOOKUP(E364&amp;F364,IMPORTRANGE(""https://docs.google.com/spreadsheets/d/1Uw7-A9f9R21vMXxHZFNpYNeKFtG8_yji4HS352LGlSQ/edit?pli=1#gid=0"",""1_ACUM!A4:S""),11,FALSE))"),"")</f>
        <v/>
      </c>
      <c r="AW350" s="42" t="str">
        <f ca="1">IFERROR(__xludf.DUMMYFUNCTION("IFERROR(VLOOKUP(F364,IMPORTRANGE(""https://docs.google.com/spreadsheets/d/1Kvs4KS76FHFqLFIZfrDMff4kP08nblUkihrxltoGBjg/edit#gid=934712705"",""ESENCIAL!A6:BG""),15,FALSE))"),"")</f>
        <v/>
      </c>
      <c r="AX350" s="21" t="str">
        <f ca="1">IFERROR(__xludf.DUMMYFUNCTION("IFERROR(VLOOKUP(E364&amp;F364,IMPORTRANGE(""https://docs.google.com/spreadsheets/d/1Uw7-A9f9R21vMXxHZFNpYNeKFtG8_yji4HS352LGlSQ/edit?pli=1#gid=0"",""1_ACUM!A4:S""),12,FALSE))"),"")</f>
        <v/>
      </c>
      <c r="AY350" s="43" t="str">
        <f ca="1">IFERROR(__xludf.DUMMYFUNCTION("IFERROR(VLOOKUP(E364&amp;F364,IMPORTRANGE(""https://docs.google.com/spreadsheets/d/1Uw7-A9f9R21vMXxHZFNpYNeKFtG8_yji4HS352LGlSQ/edit?pli=1#gid=0"",""1_ACUM!A4:S""),13,FALSE))"),"")</f>
        <v/>
      </c>
      <c r="AZ350" s="43" t="str">
        <f ca="1">IFERROR(__xludf.DUMMYFUNCTION("IFERROR(VLOOKUP(E364&amp;F364,IMPORTRANGE(""https://docs.google.com/spreadsheets/d/1Uw7-A9f9R21vMXxHZFNpYNeKFtG8_yji4HS352LGlSQ/edit?pli=1#gid=0"",""1_ACUM!A4:S""),14,FALSE))"),"")</f>
        <v/>
      </c>
      <c r="BA350" s="43" t="str">
        <f ca="1">IFERROR(__xludf.DUMMYFUNCTION("IFERROR(VLOOKUP(E364&amp;F364,IMPORTRANGE(""https://docs.google.com/spreadsheets/d/1Uw7-A9f9R21vMXxHZFNpYNeKFtG8_yji4HS352LGlSQ/edit?pli=1#gid=0"",""1_ACUM!A4:S""),15,FALSE))"),"")</f>
        <v/>
      </c>
      <c r="BB350" s="43" t="str">
        <f ca="1">IFERROR(__xludf.DUMMYFUNCTION("IFERROR(VLOOKUP(E364&amp;F364,IMPORTRANGE(""https://docs.google.com/spreadsheets/d/1Uw7-A9f9R21vMXxHZFNpYNeKFtG8_yji4HS352LGlSQ/edit?pli=1#gid=0"",""1_ACUM!A4:S""),16,FALSE))"),"")</f>
        <v/>
      </c>
      <c r="BC350" s="43" t="str">
        <f ca="1">IFERROR(__xludf.DUMMYFUNCTION("IFERROR(VLOOKUP(E364&amp;F364,IMPORTRANGE(""https://docs.google.com/spreadsheets/d/1Uw7-A9f9R21vMXxHZFNpYNeKFtG8_yji4HS352LGlSQ/edit?pli=1#gid=0"",""1_ACUM!A4:S""),17,FALSE))"),"")</f>
        <v/>
      </c>
      <c r="BD350" s="44" t="str">
        <f ca="1">IFERROR(__xludf.DUMMYFUNCTION("IFERROR(VLOOKUP(E364&amp;F364,IMPORTRANGE(""https://docs.google.com/spreadsheets/d/1Uw7-A9f9R21vMXxHZFNpYNeKFtG8_yji4HS352LGlSQ/edit?pli=1#gid=0"",""1_ACUM!A4:S""),18,FALSE))"),"")</f>
        <v/>
      </c>
      <c r="BE350" s="44" t="str">
        <f ca="1">IFERROR(__xludf.DUMMYFUNCTION("IFERROR(VLOOKUP(E364&amp;F364,IMPORTRANGE(""https://docs.google.com/spreadsheets/d/1Uw7-A9f9R21vMXxHZFNpYNeKFtG8_yji4HS352LGlSQ/edit?pli=1#gid=0"",""1_ACUM!A4:S""),19,FALSE))"),"")</f>
        <v/>
      </c>
      <c r="BF350" s="98" t="str">
        <f ca="1">IFERROR(__xludf.DUMMYFUNCTION("IFERROR(VLOOKUP(F364,IMPORTRANGE(""https://docs.google.com/spreadsheets/d/1Kvs4KS76FHFqLFIZfrDMff4kP08nblUkihrxltoGBjg/edit#gid=934712705"",""ESENCIAL!A6:BG""),5,FALSE))"),"")</f>
        <v/>
      </c>
      <c r="BG350" s="98" t="str">
        <f t="shared" si="17"/>
        <v/>
      </c>
      <c r="BH350" s="99" t="str">
        <f t="shared" si="18"/>
        <v/>
      </c>
      <c r="BI350" s="100" t="str">
        <f ca="1">IFERROR(__xludf.DUMMYFUNCTION("IFERROR(VLOOKUP(F364,IMPORTRANGE(""https://docs.google.com/spreadsheets/d/1Kvs4KS76FHFqLFIZfrDMff4kP08nblUkihrxltoGBjg/edit#gid=934712705"",""ESENCIAL!A6:BG""),2,FALSE))"),"")</f>
        <v/>
      </c>
      <c r="BJ350" s="19" t="str">
        <f t="shared" si="19"/>
        <v/>
      </c>
      <c r="BK350" s="100"/>
      <c r="BL350" s="100"/>
    </row>
    <row r="351" spans="1:64" ht="15">
      <c r="A351" s="101"/>
      <c r="B351" s="101"/>
      <c r="G351" s="5" t="str">
        <f ca="1">IFERROR(__xludf.DUMMYFUNCTION("IFERROR(VLOOKUP(F365,IMPORTRANGE(""https://docs.google.com/spreadsheets/d/1Kvs4KS76FHFqLFIZfrDMff4kP08nblUkihrxltoGBjg/edit#gid=934712705"",""ESENCIAL!A6:BG""),3,FALSE))"),"")</f>
        <v/>
      </c>
      <c r="H351" s="5" t="str">
        <f ca="1">IFERROR(__xludf.DUMMYFUNCTION("IFERROR(VLOOKUP(F365,IMPORTRANGE(""https://docs.google.com/spreadsheets/d/1Kvs4KS76FHFqLFIZfrDMff4kP08nblUkihrxltoGBjg/edit#gid=934712705"",""ESENCIAL!A6:BG""),8,FALSE))"),"")</f>
        <v/>
      </c>
      <c r="L351" s="287"/>
      <c r="U351" s="40"/>
      <c r="AU351" s="41" t="str">
        <f t="shared" si="16"/>
        <v/>
      </c>
      <c r="AV351" s="5" t="str">
        <f ca="1">IFERROR(__xludf.DUMMYFUNCTION("IFERROR(VLOOKUP(E365&amp;F365,IMPORTRANGE(""https://docs.google.com/spreadsheets/d/1Uw7-A9f9R21vMXxHZFNpYNeKFtG8_yji4HS352LGlSQ/edit?pli=1#gid=0"",""1_ACUM!A4:S""),11,FALSE))"),"")</f>
        <v/>
      </c>
      <c r="AW351" s="42" t="str">
        <f ca="1">IFERROR(__xludf.DUMMYFUNCTION("IFERROR(VLOOKUP(F365,IMPORTRANGE(""https://docs.google.com/spreadsheets/d/1Kvs4KS76FHFqLFIZfrDMff4kP08nblUkihrxltoGBjg/edit#gid=934712705"",""ESENCIAL!A6:BG""),15,FALSE))"),"")</f>
        <v/>
      </c>
      <c r="AX351" s="21" t="str">
        <f ca="1">IFERROR(__xludf.DUMMYFUNCTION("IFERROR(VLOOKUP(E365&amp;F365,IMPORTRANGE(""https://docs.google.com/spreadsheets/d/1Uw7-A9f9R21vMXxHZFNpYNeKFtG8_yji4HS352LGlSQ/edit?pli=1#gid=0"",""1_ACUM!A4:S""),12,FALSE))"),"")</f>
        <v/>
      </c>
      <c r="AY351" s="43" t="str">
        <f ca="1">IFERROR(__xludf.DUMMYFUNCTION("IFERROR(VLOOKUP(E365&amp;F365,IMPORTRANGE(""https://docs.google.com/spreadsheets/d/1Uw7-A9f9R21vMXxHZFNpYNeKFtG8_yji4HS352LGlSQ/edit?pli=1#gid=0"",""1_ACUM!A4:S""),13,FALSE))"),"")</f>
        <v/>
      </c>
      <c r="AZ351" s="43" t="str">
        <f ca="1">IFERROR(__xludf.DUMMYFUNCTION("IFERROR(VLOOKUP(E365&amp;F365,IMPORTRANGE(""https://docs.google.com/spreadsheets/d/1Uw7-A9f9R21vMXxHZFNpYNeKFtG8_yji4HS352LGlSQ/edit?pli=1#gid=0"",""1_ACUM!A4:S""),14,FALSE))"),"")</f>
        <v/>
      </c>
      <c r="BA351" s="43" t="str">
        <f ca="1">IFERROR(__xludf.DUMMYFUNCTION("IFERROR(VLOOKUP(E365&amp;F365,IMPORTRANGE(""https://docs.google.com/spreadsheets/d/1Uw7-A9f9R21vMXxHZFNpYNeKFtG8_yji4HS352LGlSQ/edit?pli=1#gid=0"",""1_ACUM!A4:S""),15,FALSE))"),"")</f>
        <v/>
      </c>
      <c r="BB351" s="43" t="str">
        <f ca="1">IFERROR(__xludf.DUMMYFUNCTION("IFERROR(VLOOKUP(E365&amp;F365,IMPORTRANGE(""https://docs.google.com/spreadsheets/d/1Uw7-A9f9R21vMXxHZFNpYNeKFtG8_yji4HS352LGlSQ/edit?pli=1#gid=0"",""1_ACUM!A4:S""),16,FALSE))"),"")</f>
        <v/>
      </c>
      <c r="BC351" s="43" t="str">
        <f ca="1">IFERROR(__xludf.DUMMYFUNCTION("IFERROR(VLOOKUP(E365&amp;F365,IMPORTRANGE(""https://docs.google.com/spreadsheets/d/1Uw7-A9f9R21vMXxHZFNpYNeKFtG8_yji4HS352LGlSQ/edit?pli=1#gid=0"",""1_ACUM!A4:S""),17,FALSE))"),"")</f>
        <v/>
      </c>
      <c r="BD351" s="44" t="str">
        <f ca="1">IFERROR(__xludf.DUMMYFUNCTION("IFERROR(VLOOKUP(E365&amp;F365,IMPORTRANGE(""https://docs.google.com/spreadsheets/d/1Uw7-A9f9R21vMXxHZFNpYNeKFtG8_yji4HS352LGlSQ/edit?pli=1#gid=0"",""1_ACUM!A4:S""),18,FALSE))"),"")</f>
        <v/>
      </c>
      <c r="BE351" s="44" t="str">
        <f ca="1">IFERROR(__xludf.DUMMYFUNCTION("IFERROR(VLOOKUP(E365&amp;F365,IMPORTRANGE(""https://docs.google.com/spreadsheets/d/1Uw7-A9f9R21vMXxHZFNpYNeKFtG8_yji4HS352LGlSQ/edit?pli=1#gid=0"",""1_ACUM!A4:S""),19,FALSE))"),"")</f>
        <v/>
      </c>
      <c r="BF351" s="98" t="str">
        <f ca="1">IFERROR(__xludf.DUMMYFUNCTION("IFERROR(VLOOKUP(F365,IMPORTRANGE(""https://docs.google.com/spreadsheets/d/1Kvs4KS76FHFqLFIZfrDMff4kP08nblUkihrxltoGBjg/edit#gid=934712705"",""ESENCIAL!A6:BG""),5,FALSE))"),"")</f>
        <v/>
      </c>
      <c r="BG351" s="98" t="str">
        <f t="shared" si="17"/>
        <v/>
      </c>
      <c r="BH351" s="99" t="str">
        <f t="shared" si="18"/>
        <v/>
      </c>
      <c r="BI351" s="100" t="str">
        <f ca="1">IFERROR(__xludf.DUMMYFUNCTION("IFERROR(VLOOKUP(F365,IMPORTRANGE(""https://docs.google.com/spreadsheets/d/1Kvs4KS76FHFqLFIZfrDMff4kP08nblUkihrxltoGBjg/edit#gid=934712705"",""ESENCIAL!A6:BG""),2,FALSE))"),"")</f>
        <v/>
      </c>
      <c r="BJ351" s="19" t="str">
        <f t="shared" si="19"/>
        <v/>
      </c>
      <c r="BK351" s="100"/>
      <c r="BL351" s="100"/>
    </row>
    <row r="352" spans="1:64" ht="15">
      <c r="A352" s="101"/>
      <c r="B352" s="101"/>
      <c r="G352" s="5" t="str">
        <f ca="1">IFERROR(__xludf.DUMMYFUNCTION("IFERROR(VLOOKUP(F366,IMPORTRANGE(""https://docs.google.com/spreadsheets/d/1Kvs4KS76FHFqLFIZfrDMff4kP08nblUkihrxltoGBjg/edit#gid=934712705"",""ESENCIAL!A6:BG""),3,FALSE))"),"")</f>
        <v/>
      </c>
      <c r="H352" s="5" t="str">
        <f ca="1">IFERROR(__xludf.DUMMYFUNCTION("IFERROR(VLOOKUP(F366,IMPORTRANGE(""https://docs.google.com/spreadsheets/d/1Kvs4KS76FHFqLFIZfrDMff4kP08nblUkihrxltoGBjg/edit#gid=934712705"",""ESENCIAL!A6:BG""),8,FALSE))"),"")</f>
        <v/>
      </c>
      <c r="L352" s="287"/>
      <c r="U352" s="40"/>
      <c r="AU352" s="41" t="str">
        <f t="shared" si="16"/>
        <v/>
      </c>
      <c r="AV352" s="5" t="str">
        <f ca="1">IFERROR(__xludf.DUMMYFUNCTION("IFERROR(VLOOKUP(E366&amp;F366,IMPORTRANGE(""https://docs.google.com/spreadsheets/d/1Uw7-A9f9R21vMXxHZFNpYNeKFtG8_yji4HS352LGlSQ/edit?pli=1#gid=0"",""1_ACUM!A4:S""),11,FALSE))"),"")</f>
        <v/>
      </c>
      <c r="AW352" s="42" t="str">
        <f ca="1">IFERROR(__xludf.DUMMYFUNCTION("IFERROR(VLOOKUP(F366,IMPORTRANGE(""https://docs.google.com/spreadsheets/d/1Kvs4KS76FHFqLFIZfrDMff4kP08nblUkihrxltoGBjg/edit#gid=934712705"",""ESENCIAL!A6:BG""),15,FALSE))"),"")</f>
        <v/>
      </c>
      <c r="AX352" s="21" t="str">
        <f ca="1">IFERROR(__xludf.DUMMYFUNCTION("IFERROR(VLOOKUP(E366&amp;F366,IMPORTRANGE(""https://docs.google.com/spreadsheets/d/1Uw7-A9f9R21vMXxHZFNpYNeKFtG8_yji4HS352LGlSQ/edit?pli=1#gid=0"",""1_ACUM!A4:S""),12,FALSE))"),"")</f>
        <v/>
      </c>
      <c r="AY352" s="43" t="str">
        <f ca="1">IFERROR(__xludf.DUMMYFUNCTION("IFERROR(VLOOKUP(E366&amp;F366,IMPORTRANGE(""https://docs.google.com/spreadsheets/d/1Uw7-A9f9R21vMXxHZFNpYNeKFtG8_yji4HS352LGlSQ/edit?pli=1#gid=0"",""1_ACUM!A4:S""),13,FALSE))"),"")</f>
        <v/>
      </c>
      <c r="AZ352" s="43" t="str">
        <f ca="1">IFERROR(__xludf.DUMMYFUNCTION("IFERROR(VLOOKUP(E366&amp;F366,IMPORTRANGE(""https://docs.google.com/spreadsheets/d/1Uw7-A9f9R21vMXxHZFNpYNeKFtG8_yji4HS352LGlSQ/edit?pli=1#gid=0"",""1_ACUM!A4:S""),14,FALSE))"),"")</f>
        <v/>
      </c>
      <c r="BA352" s="43" t="str">
        <f ca="1">IFERROR(__xludf.DUMMYFUNCTION("IFERROR(VLOOKUP(E366&amp;F366,IMPORTRANGE(""https://docs.google.com/spreadsheets/d/1Uw7-A9f9R21vMXxHZFNpYNeKFtG8_yji4HS352LGlSQ/edit?pli=1#gid=0"",""1_ACUM!A4:S""),15,FALSE))"),"")</f>
        <v/>
      </c>
      <c r="BB352" s="43" t="str">
        <f ca="1">IFERROR(__xludf.DUMMYFUNCTION("IFERROR(VLOOKUP(E366&amp;F366,IMPORTRANGE(""https://docs.google.com/spreadsheets/d/1Uw7-A9f9R21vMXxHZFNpYNeKFtG8_yji4HS352LGlSQ/edit?pli=1#gid=0"",""1_ACUM!A4:S""),16,FALSE))"),"")</f>
        <v/>
      </c>
      <c r="BC352" s="43" t="str">
        <f ca="1">IFERROR(__xludf.DUMMYFUNCTION("IFERROR(VLOOKUP(E366&amp;F366,IMPORTRANGE(""https://docs.google.com/spreadsheets/d/1Uw7-A9f9R21vMXxHZFNpYNeKFtG8_yji4HS352LGlSQ/edit?pli=1#gid=0"",""1_ACUM!A4:S""),17,FALSE))"),"")</f>
        <v/>
      </c>
      <c r="BD352" s="44" t="str">
        <f ca="1">IFERROR(__xludf.DUMMYFUNCTION("IFERROR(VLOOKUP(E366&amp;F366,IMPORTRANGE(""https://docs.google.com/spreadsheets/d/1Uw7-A9f9R21vMXxHZFNpYNeKFtG8_yji4HS352LGlSQ/edit?pli=1#gid=0"",""1_ACUM!A4:S""),18,FALSE))"),"")</f>
        <v/>
      </c>
      <c r="BE352" s="44" t="str">
        <f ca="1">IFERROR(__xludf.DUMMYFUNCTION("IFERROR(VLOOKUP(E366&amp;F366,IMPORTRANGE(""https://docs.google.com/spreadsheets/d/1Uw7-A9f9R21vMXxHZFNpYNeKFtG8_yji4HS352LGlSQ/edit?pli=1#gid=0"",""1_ACUM!A4:S""),19,FALSE))"),"")</f>
        <v/>
      </c>
      <c r="BF352" s="98" t="str">
        <f ca="1">IFERROR(__xludf.DUMMYFUNCTION("IFERROR(VLOOKUP(F366,IMPORTRANGE(""https://docs.google.com/spreadsheets/d/1Kvs4KS76FHFqLFIZfrDMff4kP08nblUkihrxltoGBjg/edit#gid=934712705"",""ESENCIAL!A6:BG""),5,FALSE))"),"")</f>
        <v/>
      </c>
      <c r="BG352" s="98" t="str">
        <f t="shared" si="17"/>
        <v/>
      </c>
      <c r="BH352" s="99" t="str">
        <f t="shared" si="18"/>
        <v/>
      </c>
      <c r="BI352" s="100" t="str">
        <f ca="1">IFERROR(__xludf.DUMMYFUNCTION("IFERROR(VLOOKUP(F366,IMPORTRANGE(""https://docs.google.com/spreadsheets/d/1Kvs4KS76FHFqLFIZfrDMff4kP08nblUkihrxltoGBjg/edit#gid=934712705"",""ESENCIAL!A6:BG""),2,FALSE))"),"")</f>
        <v/>
      </c>
      <c r="BJ352" s="19" t="str">
        <f t="shared" si="19"/>
        <v/>
      </c>
      <c r="BK352" s="100"/>
      <c r="BL352" s="100"/>
    </row>
    <row r="353" spans="1:64" ht="15">
      <c r="A353" s="101"/>
      <c r="B353" s="101"/>
      <c r="G353" s="5" t="str">
        <f ca="1">IFERROR(__xludf.DUMMYFUNCTION("IFERROR(VLOOKUP(F367,IMPORTRANGE(""https://docs.google.com/spreadsheets/d/1Kvs4KS76FHFqLFIZfrDMff4kP08nblUkihrxltoGBjg/edit#gid=934712705"",""ESENCIAL!A6:BG""),3,FALSE))"),"")</f>
        <v/>
      </c>
      <c r="H353" s="5" t="str">
        <f ca="1">IFERROR(__xludf.DUMMYFUNCTION("IFERROR(VLOOKUP(F367,IMPORTRANGE(""https://docs.google.com/spreadsheets/d/1Kvs4KS76FHFqLFIZfrDMff4kP08nblUkihrxltoGBjg/edit#gid=934712705"",""ESENCIAL!A6:BG""),8,FALSE))"),"")</f>
        <v/>
      </c>
      <c r="L353" s="287"/>
      <c r="U353" s="40"/>
      <c r="AU353" s="41" t="str">
        <f t="shared" si="16"/>
        <v/>
      </c>
      <c r="AV353" s="5" t="str">
        <f ca="1">IFERROR(__xludf.DUMMYFUNCTION("IFERROR(VLOOKUP(E367&amp;F367,IMPORTRANGE(""https://docs.google.com/spreadsheets/d/1Uw7-A9f9R21vMXxHZFNpYNeKFtG8_yji4HS352LGlSQ/edit?pli=1#gid=0"",""1_ACUM!A4:S""),11,FALSE))"),"")</f>
        <v/>
      </c>
      <c r="AW353" s="42" t="str">
        <f ca="1">IFERROR(__xludf.DUMMYFUNCTION("IFERROR(VLOOKUP(F367,IMPORTRANGE(""https://docs.google.com/spreadsheets/d/1Kvs4KS76FHFqLFIZfrDMff4kP08nblUkihrxltoGBjg/edit#gid=934712705"",""ESENCIAL!A6:BG""),15,FALSE))"),"")</f>
        <v/>
      </c>
      <c r="AX353" s="21" t="str">
        <f ca="1">IFERROR(__xludf.DUMMYFUNCTION("IFERROR(VLOOKUP(E367&amp;F367,IMPORTRANGE(""https://docs.google.com/spreadsheets/d/1Uw7-A9f9R21vMXxHZFNpYNeKFtG8_yji4HS352LGlSQ/edit?pli=1#gid=0"",""1_ACUM!A4:S""),12,FALSE))"),"")</f>
        <v/>
      </c>
      <c r="AY353" s="43" t="str">
        <f ca="1">IFERROR(__xludf.DUMMYFUNCTION("IFERROR(VLOOKUP(E367&amp;F367,IMPORTRANGE(""https://docs.google.com/spreadsheets/d/1Uw7-A9f9R21vMXxHZFNpYNeKFtG8_yji4HS352LGlSQ/edit?pli=1#gid=0"",""1_ACUM!A4:S""),13,FALSE))"),"")</f>
        <v/>
      </c>
      <c r="AZ353" s="43" t="str">
        <f ca="1">IFERROR(__xludf.DUMMYFUNCTION("IFERROR(VLOOKUP(E367&amp;F367,IMPORTRANGE(""https://docs.google.com/spreadsheets/d/1Uw7-A9f9R21vMXxHZFNpYNeKFtG8_yji4HS352LGlSQ/edit?pli=1#gid=0"",""1_ACUM!A4:S""),14,FALSE))"),"")</f>
        <v/>
      </c>
      <c r="BA353" s="43" t="str">
        <f ca="1">IFERROR(__xludf.DUMMYFUNCTION("IFERROR(VLOOKUP(E367&amp;F367,IMPORTRANGE(""https://docs.google.com/spreadsheets/d/1Uw7-A9f9R21vMXxHZFNpYNeKFtG8_yji4HS352LGlSQ/edit?pli=1#gid=0"",""1_ACUM!A4:S""),15,FALSE))"),"")</f>
        <v/>
      </c>
      <c r="BB353" s="43" t="str">
        <f ca="1">IFERROR(__xludf.DUMMYFUNCTION("IFERROR(VLOOKUP(E367&amp;F367,IMPORTRANGE(""https://docs.google.com/spreadsheets/d/1Uw7-A9f9R21vMXxHZFNpYNeKFtG8_yji4HS352LGlSQ/edit?pli=1#gid=0"",""1_ACUM!A4:S""),16,FALSE))"),"")</f>
        <v/>
      </c>
      <c r="BC353" s="43" t="str">
        <f ca="1">IFERROR(__xludf.DUMMYFUNCTION("IFERROR(VLOOKUP(E367&amp;F367,IMPORTRANGE(""https://docs.google.com/spreadsheets/d/1Uw7-A9f9R21vMXxHZFNpYNeKFtG8_yji4HS352LGlSQ/edit?pli=1#gid=0"",""1_ACUM!A4:S""),17,FALSE))"),"")</f>
        <v/>
      </c>
      <c r="BD353" s="44" t="str">
        <f ca="1">IFERROR(__xludf.DUMMYFUNCTION("IFERROR(VLOOKUP(E367&amp;F367,IMPORTRANGE(""https://docs.google.com/spreadsheets/d/1Uw7-A9f9R21vMXxHZFNpYNeKFtG8_yji4HS352LGlSQ/edit?pli=1#gid=0"",""1_ACUM!A4:S""),18,FALSE))"),"")</f>
        <v/>
      </c>
      <c r="BE353" s="44" t="str">
        <f ca="1">IFERROR(__xludf.DUMMYFUNCTION("IFERROR(VLOOKUP(E367&amp;F367,IMPORTRANGE(""https://docs.google.com/spreadsheets/d/1Uw7-A9f9R21vMXxHZFNpYNeKFtG8_yji4HS352LGlSQ/edit?pli=1#gid=0"",""1_ACUM!A4:S""),19,FALSE))"),"")</f>
        <v/>
      </c>
      <c r="BF353" s="98" t="str">
        <f ca="1">IFERROR(__xludf.DUMMYFUNCTION("IFERROR(VLOOKUP(F367,IMPORTRANGE(""https://docs.google.com/spreadsheets/d/1Kvs4KS76FHFqLFIZfrDMff4kP08nblUkihrxltoGBjg/edit#gid=934712705"",""ESENCIAL!A6:BG""),5,FALSE))"),"")</f>
        <v/>
      </c>
      <c r="BG353" s="98" t="str">
        <f t="shared" si="17"/>
        <v/>
      </c>
      <c r="BH353" s="99" t="str">
        <f t="shared" si="18"/>
        <v/>
      </c>
      <c r="BI353" s="100" t="str">
        <f ca="1">IFERROR(__xludf.DUMMYFUNCTION("IFERROR(VLOOKUP(F367,IMPORTRANGE(""https://docs.google.com/spreadsheets/d/1Kvs4KS76FHFqLFIZfrDMff4kP08nblUkihrxltoGBjg/edit#gid=934712705"",""ESENCIAL!A6:BG""),2,FALSE))"),"")</f>
        <v/>
      </c>
      <c r="BJ353" s="19" t="str">
        <f t="shared" si="19"/>
        <v/>
      </c>
      <c r="BK353" s="100"/>
      <c r="BL353" s="100"/>
    </row>
    <row r="354" spans="1:64" ht="15">
      <c r="A354" s="101"/>
      <c r="B354" s="101"/>
      <c r="G354" s="5" t="str">
        <f ca="1">IFERROR(__xludf.DUMMYFUNCTION("IFERROR(VLOOKUP(F368,IMPORTRANGE(""https://docs.google.com/spreadsheets/d/1Kvs4KS76FHFqLFIZfrDMff4kP08nblUkihrxltoGBjg/edit#gid=934712705"",""ESENCIAL!A6:BG""),3,FALSE))"),"")</f>
        <v/>
      </c>
      <c r="H354" s="5" t="str">
        <f ca="1">IFERROR(__xludf.DUMMYFUNCTION("IFERROR(VLOOKUP(F368,IMPORTRANGE(""https://docs.google.com/spreadsheets/d/1Kvs4KS76FHFqLFIZfrDMff4kP08nblUkihrxltoGBjg/edit#gid=934712705"",""ESENCIAL!A6:BG""),8,FALSE))"),"")</f>
        <v/>
      </c>
      <c r="L354" s="287"/>
      <c r="U354" s="40"/>
      <c r="AU354" s="41" t="str">
        <f t="shared" si="16"/>
        <v/>
      </c>
      <c r="AV354" s="5" t="str">
        <f ca="1">IFERROR(__xludf.DUMMYFUNCTION("IFERROR(VLOOKUP(E368&amp;F368,IMPORTRANGE(""https://docs.google.com/spreadsheets/d/1Uw7-A9f9R21vMXxHZFNpYNeKFtG8_yji4HS352LGlSQ/edit?pli=1#gid=0"",""1_ACUM!A4:S""),11,FALSE))"),"")</f>
        <v/>
      </c>
      <c r="AW354" s="42" t="str">
        <f ca="1">IFERROR(__xludf.DUMMYFUNCTION("IFERROR(VLOOKUP(F368,IMPORTRANGE(""https://docs.google.com/spreadsheets/d/1Kvs4KS76FHFqLFIZfrDMff4kP08nblUkihrxltoGBjg/edit#gid=934712705"",""ESENCIAL!A6:BG""),15,FALSE))"),"")</f>
        <v/>
      </c>
      <c r="AX354" s="21" t="str">
        <f ca="1">IFERROR(__xludf.DUMMYFUNCTION("IFERROR(VLOOKUP(E368&amp;F368,IMPORTRANGE(""https://docs.google.com/spreadsheets/d/1Uw7-A9f9R21vMXxHZFNpYNeKFtG8_yji4HS352LGlSQ/edit?pli=1#gid=0"",""1_ACUM!A4:S""),12,FALSE))"),"")</f>
        <v/>
      </c>
      <c r="AY354" s="43" t="str">
        <f ca="1">IFERROR(__xludf.DUMMYFUNCTION("IFERROR(VLOOKUP(E368&amp;F368,IMPORTRANGE(""https://docs.google.com/spreadsheets/d/1Uw7-A9f9R21vMXxHZFNpYNeKFtG8_yji4HS352LGlSQ/edit?pli=1#gid=0"",""1_ACUM!A4:S""),13,FALSE))"),"")</f>
        <v/>
      </c>
      <c r="AZ354" s="43" t="str">
        <f ca="1">IFERROR(__xludf.DUMMYFUNCTION("IFERROR(VLOOKUP(E368&amp;F368,IMPORTRANGE(""https://docs.google.com/spreadsheets/d/1Uw7-A9f9R21vMXxHZFNpYNeKFtG8_yji4HS352LGlSQ/edit?pli=1#gid=0"",""1_ACUM!A4:S""),14,FALSE))"),"")</f>
        <v/>
      </c>
      <c r="BA354" s="43" t="str">
        <f ca="1">IFERROR(__xludf.DUMMYFUNCTION("IFERROR(VLOOKUP(E368&amp;F368,IMPORTRANGE(""https://docs.google.com/spreadsheets/d/1Uw7-A9f9R21vMXxHZFNpYNeKFtG8_yji4HS352LGlSQ/edit?pli=1#gid=0"",""1_ACUM!A4:S""),15,FALSE))"),"")</f>
        <v/>
      </c>
      <c r="BB354" s="43" t="str">
        <f ca="1">IFERROR(__xludf.DUMMYFUNCTION("IFERROR(VLOOKUP(E368&amp;F368,IMPORTRANGE(""https://docs.google.com/spreadsheets/d/1Uw7-A9f9R21vMXxHZFNpYNeKFtG8_yji4HS352LGlSQ/edit?pli=1#gid=0"",""1_ACUM!A4:S""),16,FALSE))"),"")</f>
        <v/>
      </c>
      <c r="BC354" s="43" t="str">
        <f ca="1">IFERROR(__xludf.DUMMYFUNCTION("IFERROR(VLOOKUP(E368&amp;F368,IMPORTRANGE(""https://docs.google.com/spreadsheets/d/1Uw7-A9f9R21vMXxHZFNpYNeKFtG8_yji4HS352LGlSQ/edit?pli=1#gid=0"",""1_ACUM!A4:S""),17,FALSE))"),"")</f>
        <v/>
      </c>
      <c r="BD354" s="44" t="str">
        <f ca="1">IFERROR(__xludf.DUMMYFUNCTION("IFERROR(VLOOKUP(E368&amp;F368,IMPORTRANGE(""https://docs.google.com/spreadsheets/d/1Uw7-A9f9R21vMXxHZFNpYNeKFtG8_yji4HS352LGlSQ/edit?pli=1#gid=0"",""1_ACUM!A4:S""),18,FALSE))"),"")</f>
        <v/>
      </c>
      <c r="BE354" s="44" t="str">
        <f ca="1">IFERROR(__xludf.DUMMYFUNCTION("IFERROR(VLOOKUP(E368&amp;F368,IMPORTRANGE(""https://docs.google.com/spreadsheets/d/1Uw7-A9f9R21vMXxHZFNpYNeKFtG8_yji4HS352LGlSQ/edit?pli=1#gid=0"",""1_ACUM!A4:S""),19,FALSE))"),"")</f>
        <v/>
      </c>
      <c r="BF354" s="98" t="str">
        <f ca="1">IFERROR(__xludf.DUMMYFUNCTION("IFERROR(VLOOKUP(F368,IMPORTRANGE(""https://docs.google.com/spreadsheets/d/1Kvs4KS76FHFqLFIZfrDMff4kP08nblUkihrxltoGBjg/edit#gid=934712705"",""ESENCIAL!A6:BG""),5,FALSE))"),"")</f>
        <v/>
      </c>
      <c r="BG354" s="98" t="str">
        <f t="shared" si="17"/>
        <v/>
      </c>
      <c r="BH354" s="99" t="str">
        <f t="shared" si="18"/>
        <v/>
      </c>
      <c r="BI354" s="100" t="str">
        <f ca="1">IFERROR(__xludf.DUMMYFUNCTION("IFERROR(VLOOKUP(F368,IMPORTRANGE(""https://docs.google.com/spreadsheets/d/1Kvs4KS76FHFqLFIZfrDMff4kP08nblUkihrxltoGBjg/edit#gid=934712705"",""ESENCIAL!A6:BG""),2,FALSE))"),"")</f>
        <v/>
      </c>
      <c r="BJ354" s="19" t="str">
        <f t="shared" si="19"/>
        <v/>
      </c>
      <c r="BK354" s="100"/>
      <c r="BL354" s="100"/>
    </row>
    <row r="355" spans="1:64" ht="15">
      <c r="A355" s="101"/>
      <c r="B355" s="101"/>
      <c r="G355" s="5" t="str">
        <f ca="1">IFERROR(__xludf.DUMMYFUNCTION("IFERROR(VLOOKUP(F369,IMPORTRANGE(""https://docs.google.com/spreadsheets/d/1Kvs4KS76FHFqLFIZfrDMff4kP08nblUkihrxltoGBjg/edit#gid=934712705"",""ESENCIAL!A6:BG""),3,FALSE))"),"")</f>
        <v/>
      </c>
      <c r="H355" s="5" t="str">
        <f ca="1">IFERROR(__xludf.DUMMYFUNCTION("IFERROR(VLOOKUP(F369,IMPORTRANGE(""https://docs.google.com/spreadsheets/d/1Kvs4KS76FHFqLFIZfrDMff4kP08nblUkihrxltoGBjg/edit#gid=934712705"",""ESENCIAL!A6:BG""),8,FALSE))"),"")</f>
        <v/>
      </c>
      <c r="L355" s="287"/>
      <c r="U355" s="40"/>
      <c r="AU355" s="41" t="str">
        <f t="shared" si="16"/>
        <v/>
      </c>
      <c r="AV355" s="5" t="str">
        <f ca="1">IFERROR(__xludf.DUMMYFUNCTION("IFERROR(VLOOKUP(E369&amp;F369,IMPORTRANGE(""https://docs.google.com/spreadsheets/d/1Uw7-A9f9R21vMXxHZFNpYNeKFtG8_yji4HS352LGlSQ/edit?pli=1#gid=0"",""1_ACUM!A4:S""),11,FALSE))"),"")</f>
        <v/>
      </c>
      <c r="AW355" s="42" t="str">
        <f ca="1">IFERROR(__xludf.DUMMYFUNCTION("IFERROR(VLOOKUP(F369,IMPORTRANGE(""https://docs.google.com/spreadsheets/d/1Kvs4KS76FHFqLFIZfrDMff4kP08nblUkihrxltoGBjg/edit#gid=934712705"",""ESENCIAL!A6:BG""),15,FALSE))"),"")</f>
        <v/>
      </c>
      <c r="AX355" s="21" t="str">
        <f ca="1">IFERROR(__xludf.DUMMYFUNCTION("IFERROR(VLOOKUP(E369&amp;F369,IMPORTRANGE(""https://docs.google.com/spreadsheets/d/1Uw7-A9f9R21vMXxHZFNpYNeKFtG8_yji4HS352LGlSQ/edit?pli=1#gid=0"",""1_ACUM!A4:S""),12,FALSE))"),"")</f>
        <v/>
      </c>
      <c r="AY355" s="43" t="str">
        <f ca="1">IFERROR(__xludf.DUMMYFUNCTION("IFERROR(VLOOKUP(E369&amp;F369,IMPORTRANGE(""https://docs.google.com/spreadsheets/d/1Uw7-A9f9R21vMXxHZFNpYNeKFtG8_yji4HS352LGlSQ/edit?pli=1#gid=0"",""1_ACUM!A4:S""),13,FALSE))"),"")</f>
        <v/>
      </c>
      <c r="AZ355" s="43" t="str">
        <f ca="1">IFERROR(__xludf.DUMMYFUNCTION("IFERROR(VLOOKUP(E369&amp;F369,IMPORTRANGE(""https://docs.google.com/spreadsheets/d/1Uw7-A9f9R21vMXxHZFNpYNeKFtG8_yji4HS352LGlSQ/edit?pli=1#gid=0"",""1_ACUM!A4:S""),14,FALSE))"),"")</f>
        <v/>
      </c>
      <c r="BA355" s="43" t="str">
        <f ca="1">IFERROR(__xludf.DUMMYFUNCTION("IFERROR(VLOOKUP(E369&amp;F369,IMPORTRANGE(""https://docs.google.com/spreadsheets/d/1Uw7-A9f9R21vMXxHZFNpYNeKFtG8_yji4HS352LGlSQ/edit?pli=1#gid=0"",""1_ACUM!A4:S""),15,FALSE))"),"")</f>
        <v/>
      </c>
      <c r="BB355" s="43" t="str">
        <f ca="1">IFERROR(__xludf.DUMMYFUNCTION("IFERROR(VLOOKUP(E369&amp;F369,IMPORTRANGE(""https://docs.google.com/spreadsheets/d/1Uw7-A9f9R21vMXxHZFNpYNeKFtG8_yji4HS352LGlSQ/edit?pli=1#gid=0"",""1_ACUM!A4:S""),16,FALSE))"),"")</f>
        <v/>
      </c>
      <c r="BC355" s="43" t="str">
        <f ca="1">IFERROR(__xludf.DUMMYFUNCTION("IFERROR(VLOOKUP(E369&amp;F369,IMPORTRANGE(""https://docs.google.com/spreadsheets/d/1Uw7-A9f9R21vMXxHZFNpYNeKFtG8_yji4HS352LGlSQ/edit?pli=1#gid=0"",""1_ACUM!A4:S""),17,FALSE))"),"")</f>
        <v/>
      </c>
      <c r="BD355" s="44" t="str">
        <f ca="1">IFERROR(__xludf.DUMMYFUNCTION("IFERROR(VLOOKUP(E369&amp;F369,IMPORTRANGE(""https://docs.google.com/spreadsheets/d/1Uw7-A9f9R21vMXxHZFNpYNeKFtG8_yji4HS352LGlSQ/edit?pli=1#gid=0"",""1_ACUM!A4:S""),18,FALSE))"),"")</f>
        <v/>
      </c>
      <c r="BE355" s="44" t="str">
        <f ca="1">IFERROR(__xludf.DUMMYFUNCTION("IFERROR(VLOOKUP(E369&amp;F369,IMPORTRANGE(""https://docs.google.com/spreadsheets/d/1Uw7-A9f9R21vMXxHZFNpYNeKFtG8_yji4HS352LGlSQ/edit?pli=1#gid=0"",""1_ACUM!A4:S""),19,FALSE))"),"")</f>
        <v/>
      </c>
      <c r="BF355" s="98" t="str">
        <f ca="1">IFERROR(__xludf.DUMMYFUNCTION("IFERROR(VLOOKUP(F369,IMPORTRANGE(""https://docs.google.com/spreadsheets/d/1Kvs4KS76FHFqLFIZfrDMff4kP08nblUkihrxltoGBjg/edit#gid=934712705"",""ESENCIAL!A6:BG""),5,FALSE))"),"")</f>
        <v/>
      </c>
      <c r="BG355" s="98" t="str">
        <f t="shared" si="17"/>
        <v/>
      </c>
      <c r="BH355" s="99" t="str">
        <f t="shared" si="18"/>
        <v/>
      </c>
      <c r="BI355" s="100" t="str">
        <f ca="1">IFERROR(__xludf.DUMMYFUNCTION("IFERROR(VLOOKUP(F369,IMPORTRANGE(""https://docs.google.com/spreadsheets/d/1Kvs4KS76FHFqLFIZfrDMff4kP08nblUkihrxltoGBjg/edit#gid=934712705"",""ESENCIAL!A6:BG""),2,FALSE))"),"")</f>
        <v/>
      </c>
      <c r="BJ355" s="19" t="str">
        <f t="shared" si="19"/>
        <v/>
      </c>
      <c r="BK355" s="100"/>
      <c r="BL355" s="100"/>
    </row>
    <row r="356" spans="1:64" ht="15">
      <c r="A356" s="101"/>
      <c r="B356" s="101"/>
      <c r="G356" s="5" t="str">
        <f ca="1">IFERROR(__xludf.DUMMYFUNCTION("IFERROR(VLOOKUP(F370,IMPORTRANGE(""https://docs.google.com/spreadsheets/d/1Kvs4KS76FHFqLFIZfrDMff4kP08nblUkihrxltoGBjg/edit#gid=934712705"",""ESENCIAL!A6:BG""),3,FALSE))"),"")</f>
        <v/>
      </c>
      <c r="H356" s="5" t="str">
        <f ca="1">IFERROR(__xludf.DUMMYFUNCTION("IFERROR(VLOOKUP(F370,IMPORTRANGE(""https://docs.google.com/spreadsheets/d/1Kvs4KS76FHFqLFIZfrDMff4kP08nblUkihrxltoGBjg/edit#gid=934712705"",""ESENCIAL!A6:BG""),8,FALSE))"),"")</f>
        <v/>
      </c>
      <c r="L356" s="287"/>
      <c r="U356" s="40"/>
      <c r="AU356" s="41" t="str">
        <f t="shared" si="16"/>
        <v/>
      </c>
      <c r="AV356" s="5" t="str">
        <f ca="1">IFERROR(__xludf.DUMMYFUNCTION("IFERROR(VLOOKUP(E370&amp;F370,IMPORTRANGE(""https://docs.google.com/spreadsheets/d/1Uw7-A9f9R21vMXxHZFNpYNeKFtG8_yji4HS352LGlSQ/edit?pli=1#gid=0"",""1_ACUM!A4:S""),11,FALSE))"),"")</f>
        <v/>
      </c>
      <c r="AW356" s="42" t="str">
        <f ca="1">IFERROR(__xludf.DUMMYFUNCTION("IFERROR(VLOOKUP(F370,IMPORTRANGE(""https://docs.google.com/spreadsheets/d/1Kvs4KS76FHFqLFIZfrDMff4kP08nblUkihrxltoGBjg/edit#gid=934712705"",""ESENCIAL!A6:BG""),15,FALSE))"),"")</f>
        <v/>
      </c>
      <c r="AX356" s="21" t="str">
        <f ca="1">IFERROR(__xludf.DUMMYFUNCTION("IFERROR(VLOOKUP(E370&amp;F370,IMPORTRANGE(""https://docs.google.com/spreadsheets/d/1Uw7-A9f9R21vMXxHZFNpYNeKFtG8_yji4HS352LGlSQ/edit?pli=1#gid=0"",""1_ACUM!A4:S""),12,FALSE))"),"")</f>
        <v/>
      </c>
      <c r="AY356" s="43" t="str">
        <f ca="1">IFERROR(__xludf.DUMMYFUNCTION("IFERROR(VLOOKUP(E370&amp;F370,IMPORTRANGE(""https://docs.google.com/spreadsheets/d/1Uw7-A9f9R21vMXxHZFNpYNeKFtG8_yji4HS352LGlSQ/edit?pli=1#gid=0"",""1_ACUM!A4:S""),13,FALSE))"),"")</f>
        <v/>
      </c>
      <c r="AZ356" s="43" t="str">
        <f ca="1">IFERROR(__xludf.DUMMYFUNCTION("IFERROR(VLOOKUP(E370&amp;F370,IMPORTRANGE(""https://docs.google.com/spreadsheets/d/1Uw7-A9f9R21vMXxHZFNpYNeKFtG8_yji4HS352LGlSQ/edit?pli=1#gid=0"",""1_ACUM!A4:S""),14,FALSE))"),"")</f>
        <v/>
      </c>
      <c r="BA356" s="43" t="str">
        <f ca="1">IFERROR(__xludf.DUMMYFUNCTION("IFERROR(VLOOKUP(E370&amp;F370,IMPORTRANGE(""https://docs.google.com/spreadsheets/d/1Uw7-A9f9R21vMXxHZFNpYNeKFtG8_yji4HS352LGlSQ/edit?pli=1#gid=0"",""1_ACUM!A4:S""),15,FALSE))"),"")</f>
        <v/>
      </c>
      <c r="BB356" s="43" t="str">
        <f ca="1">IFERROR(__xludf.DUMMYFUNCTION("IFERROR(VLOOKUP(E370&amp;F370,IMPORTRANGE(""https://docs.google.com/spreadsheets/d/1Uw7-A9f9R21vMXxHZFNpYNeKFtG8_yji4HS352LGlSQ/edit?pli=1#gid=0"",""1_ACUM!A4:S""),16,FALSE))"),"")</f>
        <v/>
      </c>
      <c r="BC356" s="43" t="str">
        <f ca="1">IFERROR(__xludf.DUMMYFUNCTION("IFERROR(VLOOKUP(E370&amp;F370,IMPORTRANGE(""https://docs.google.com/spreadsheets/d/1Uw7-A9f9R21vMXxHZFNpYNeKFtG8_yji4HS352LGlSQ/edit?pli=1#gid=0"",""1_ACUM!A4:S""),17,FALSE))"),"")</f>
        <v/>
      </c>
      <c r="BD356" s="44" t="str">
        <f ca="1">IFERROR(__xludf.DUMMYFUNCTION("IFERROR(VLOOKUP(E370&amp;F370,IMPORTRANGE(""https://docs.google.com/spreadsheets/d/1Uw7-A9f9R21vMXxHZFNpYNeKFtG8_yji4HS352LGlSQ/edit?pli=1#gid=0"",""1_ACUM!A4:S""),18,FALSE))"),"")</f>
        <v/>
      </c>
      <c r="BE356" s="44" t="str">
        <f ca="1">IFERROR(__xludf.DUMMYFUNCTION("IFERROR(VLOOKUP(E370&amp;F370,IMPORTRANGE(""https://docs.google.com/spreadsheets/d/1Uw7-A9f9R21vMXxHZFNpYNeKFtG8_yji4HS352LGlSQ/edit?pli=1#gid=0"",""1_ACUM!A4:S""),19,FALSE))"),"")</f>
        <v/>
      </c>
      <c r="BF356" s="98" t="str">
        <f ca="1">IFERROR(__xludf.DUMMYFUNCTION("IFERROR(VLOOKUP(F370,IMPORTRANGE(""https://docs.google.com/spreadsheets/d/1Kvs4KS76FHFqLFIZfrDMff4kP08nblUkihrxltoGBjg/edit#gid=934712705"",""ESENCIAL!A6:BG""),5,FALSE))"),"")</f>
        <v/>
      </c>
      <c r="BG356" s="98" t="str">
        <f t="shared" si="17"/>
        <v/>
      </c>
      <c r="BH356" s="99" t="str">
        <f t="shared" si="18"/>
        <v/>
      </c>
      <c r="BI356" s="100" t="str">
        <f ca="1">IFERROR(__xludf.DUMMYFUNCTION("IFERROR(VLOOKUP(F370,IMPORTRANGE(""https://docs.google.com/spreadsheets/d/1Kvs4KS76FHFqLFIZfrDMff4kP08nblUkihrxltoGBjg/edit#gid=934712705"",""ESENCIAL!A6:BG""),2,FALSE))"),"")</f>
        <v/>
      </c>
      <c r="BJ356" s="19" t="str">
        <f t="shared" si="19"/>
        <v/>
      </c>
      <c r="BK356" s="100"/>
      <c r="BL356" s="100"/>
    </row>
    <row r="357" spans="1:64" ht="15">
      <c r="A357" s="101"/>
      <c r="B357" s="101"/>
      <c r="G357" s="5" t="str">
        <f ca="1">IFERROR(__xludf.DUMMYFUNCTION("IFERROR(VLOOKUP(F371,IMPORTRANGE(""https://docs.google.com/spreadsheets/d/1Kvs4KS76FHFqLFIZfrDMff4kP08nblUkihrxltoGBjg/edit#gid=934712705"",""ESENCIAL!A6:BG""),3,FALSE))"),"")</f>
        <v/>
      </c>
      <c r="H357" s="5" t="str">
        <f ca="1">IFERROR(__xludf.DUMMYFUNCTION("IFERROR(VLOOKUP(F371,IMPORTRANGE(""https://docs.google.com/spreadsheets/d/1Kvs4KS76FHFqLFIZfrDMff4kP08nblUkihrxltoGBjg/edit#gid=934712705"",""ESENCIAL!A6:BG""),8,FALSE))"),"")</f>
        <v/>
      </c>
      <c r="L357" s="287"/>
      <c r="U357" s="40"/>
      <c r="AU357" s="41" t="str">
        <f t="shared" si="16"/>
        <v/>
      </c>
      <c r="AV357" s="5" t="str">
        <f ca="1">IFERROR(__xludf.DUMMYFUNCTION("IFERROR(VLOOKUP(E371&amp;F371,IMPORTRANGE(""https://docs.google.com/spreadsheets/d/1Uw7-A9f9R21vMXxHZFNpYNeKFtG8_yji4HS352LGlSQ/edit?pli=1#gid=0"",""1_ACUM!A4:S""),11,FALSE))"),"")</f>
        <v/>
      </c>
      <c r="AW357" s="42" t="str">
        <f ca="1">IFERROR(__xludf.DUMMYFUNCTION("IFERROR(VLOOKUP(F371,IMPORTRANGE(""https://docs.google.com/spreadsheets/d/1Kvs4KS76FHFqLFIZfrDMff4kP08nblUkihrxltoGBjg/edit#gid=934712705"",""ESENCIAL!A6:BG""),15,FALSE))"),"")</f>
        <v/>
      </c>
      <c r="AX357" s="21" t="str">
        <f ca="1">IFERROR(__xludf.DUMMYFUNCTION("IFERROR(VLOOKUP(E371&amp;F371,IMPORTRANGE(""https://docs.google.com/spreadsheets/d/1Uw7-A9f9R21vMXxHZFNpYNeKFtG8_yji4HS352LGlSQ/edit?pli=1#gid=0"",""1_ACUM!A4:S""),12,FALSE))"),"")</f>
        <v/>
      </c>
      <c r="AY357" s="43" t="str">
        <f ca="1">IFERROR(__xludf.DUMMYFUNCTION("IFERROR(VLOOKUP(E371&amp;F371,IMPORTRANGE(""https://docs.google.com/spreadsheets/d/1Uw7-A9f9R21vMXxHZFNpYNeKFtG8_yji4HS352LGlSQ/edit?pli=1#gid=0"",""1_ACUM!A4:S""),13,FALSE))"),"")</f>
        <v/>
      </c>
      <c r="AZ357" s="43" t="str">
        <f ca="1">IFERROR(__xludf.DUMMYFUNCTION("IFERROR(VLOOKUP(E371&amp;F371,IMPORTRANGE(""https://docs.google.com/spreadsheets/d/1Uw7-A9f9R21vMXxHZFNpYNeKFtG8_yji4HS352LGlSQ/edit?pli=1#gid=0"",""1_ACUM!A4:S""),14,FALSE))"),"")</f>
        <v/>
      </c>
      <c r="BA357" s="43" t="str">
        <f ca="1">IFERROR(__xludf.DUMMYFUNCTION("IFERROR(VLOOKUP(E371&amp;F371,IMPORTRANGE(""https://docs.google.com/spreadsheets/d/1Uw7-A9f9R21vMXxHZFNpYNeKFtG8_yji4HS352LGlSQ/edit?pli=1#gid=0"",""1_ACUM!A4:S""),15,FALSE))"),"")</f>
        <v/>
      </c>
      <c r="BB357" s="43" t="str">
        <f ca="1">IFERROR(__xludf.DUMMYFUNCTION("IFERROR(VLOOKUP(E371&amp;F371,IMPORTRANGE(""https://docs.google.com/spreadsheets/d/1Uw7-A9f9R21vMXxHZFNpYNeKFtG8_yji4HS352LGlSQ/edit?pli=1#gid=0"",""1_ACUM!A4:S""),16,FALSE))"),"")</f>
        <v/>
      </c>
      <c r="BC357" s="43" t="str">
        <f ca="1">IFERROR(__xludf.DUMMYFUNCTION("IFERROR(VLOOKUP(E371&amp;F371,IMPORTRANGE(""https://docs.google.com/spreadsheets/d/1Uw7-A9f9R21vMXxHZFNpYNeKFtG8_yji4HS352LGlSQ/edit?pli=1#gid=0"",""1_ACUM!A4:S""),17,FALSE))"),"")</f>
        <v/>
      </c>
      <c r="BD357" s="44" t="str">
        <f ca="1">IFERROR(__xludf.DUMMYFUNCTION("IFERROR(VLOOKUP(E371&amp;F371,IMPORTRANGE(""https://docs.google.com/spreadsheets/d/1Uw7-A9f9R21vMXxHZFNpYNeKFtG8_yji4HS352LGlSQ/edit?pli=1#gid=0"",""1_ACUM!A4:S""),18,FALSE))"),"")</f>
        <v/>
      </c>
      <c r="BE357" s="44" t="str">
        <f ca="1">IFERROR(__xludf.DUMMYFUNCTION("IFERROR(VLOOKUP(E371&amp;F371,IMPORTRANGE(""https://docs.google.com/spreadsheets/d/1Uw7-A9f9R21vMXxHZFNpYNeKFtG8_yji4HS352LGlSQ/edit?pli=1#gid=0"",""1_ACUM!A4:S""),19,FALSE))"),"")</f>
        <v/>
      </c>
      <c r="BF357" s="98" t="str">
        <f ca="1">IFERROR(__xludf.DUMMYFUNCTION("IFERROR(VLOOKUP(F371,IMPORTRANGE(""https://docs.google.com/spreadsheets/d/1Kvs4KS76FHFqLFIZfrDMff4kP08nblUkihrxltoGBjg/edit#gid=934712705"",""ESENCIAL!A6:BG""),5,FALSE))"),"")</f>
        <v/>
      </c>
      <c r="BG357" s="98" t="str">
        <f t="shared" si="17"/>
        <v/>
      </c>
      <c r="BH357" s="99" t="str">
        <f t="shared" si="18"/>
        <v/>
      </c>
      <c r="BI357" s="100" t="str">
        <f ca="1">IFERROR(__xludf.DUMMYFUNCTION("IFERROR(VLOOKUP(F371,IMPORTRANGE(""https://docs.google.com/spreadsheets/d/1Kvs4KS76FHFqLFIZfrDMff4kP08nblUkihrxltoGBjg/edit#gid=934712705"",""ESENCIAL!A6:BG""),2,FALSE))"),"")</f>
        <v/>
      </c>
      <c r="BJ357" s="19" t="str">
        <f t="shared" si="19"/>
        <v/>
      </c>
      <c r="BK357" s="100"/>
      <c r="BL357" s="100"/>
    </row>
    <row r="358" spans="1:64" ht="15">
      <c r="A358" s="101"/>
      <c r="B358" s="101"/>
      <c r="G358" s="5" t="str">
        <f ca="1">IFERROR(__xludf.DUMMYFUNCTION("IFERROR(VLOOKUP(F372,IMPORTRANGE(""https://docs.google.com/spreadsheets/d/1Kvs4KS76FHFqLFIZfrDMff4kP08nblUkihrxltoGBjg/edit#gid=934712705"",""ESENCIAL!A6:BG""),3,FALSE))"),"")</f>
        <v/>
      </c>
      <c r="H358" s="5" t="str">
        <f ca="1">IFERROR(__xludf.DUMMYFUNCTION("IFERROR(VLOOKUP(F372,IMPORTRANGE(""https://docs.google.com/spreadsheets/d/1Kvs4KS76FHFqLFIZfrDMff4kP08nblUkihrxltoGBjg/edit#gid=934712705"",""ESENCIAL!A6:BG""),8,FALSE))"),"")</f>
        <v/>
      </c>
      <c r="L358" s="287"/>
      <c r="U358" s="40"/>
      <c r="AU358" s="41" t="str">
        <f t="shared" si="16"/>
        <v/>
      </c>
      <c r="AV358" s="5" t="str">
        <f ca="1">IFERROR(__xludf.DUMMYFUNCTION("IFERROR(VLOOKUP(E372&amp;F372,IMPORTRANGE(""https://docs.google.com/spreadsheets/d/1Uw7-A9f9R21vMXxHZFNpYNeKFtG8_yji4HS352LGlSQ/edit?pli=1#gid=0"",""1_ACUM!A4:S""),11,FALSE))"),"")</f>
        <v/>
      </c>
      <c r="AW358" s="42" t="str">
        <f ca="1">IFERROR(__xludf.DUMMYFUNCTION("IFERROR(VLOOKUP(F372,IMPORTRANGE(""https://docs.google.com/spreadsheets/d/1Kvs4KS76FHFqLFIZfrDMff4kP08nblUkihrxltoGBjg/edit#gid=934712705"",""ESENCIAL!A6:BG""),15,FALSE))"),"")</f>
        <v/>
      </c>
      <c r="AX358" s="21" t="str">
        <f ca="1">IFERROR(__xludf.DUMMYFUNCTION("IFERROR(VLOOKUP(E372&amp;F372,IMPORTRANGE(""https://docs.google.com/spreadsheets/d/1Uw7-A9f9R21vMXxHZFNpYNeKFtG8_yji4HS352LGlSQ/edit?pli=1#gid=0"",""1_ACUM!A4:S""),12,FALSE))"),"")</f>
        <v/>
      </c>
      <c r="AY358" s="43" t="str">
        <f ca="1">IFERROR(__xludf.DUMMYFUNCTION("IFERROR(VLOOKUP(E372&amp;F372,IMPORTRANGE(""https://docs.google.com/spreadsheets/d/1Uw7-A9f9R21vMXxHZFNpYNeKFtG8_yji4HS352LGlSQ/edit?pli=1#gid=0"",""1_ACUM!A4:S""),13,FALSE))"),"")</f>
        <v/>
      </c>
      <c r="AZ358" s="43" t="str">
        <f ca="1">IFERROR(__xludf.DUMMYFUNCTION("IFERROR(VLOOKUP(E372&amp;F372,IMPORTRANGE(""https://docs.google.com/spreadsheets/d/1Uw7-A9f9R21vMXxHZFNpYNeKFtG8_yji4HS352LGlSQ/edit?pli=1#gid=0"",""1_ACUM!A4:S""),14,FALSE))"),"")</f>
        <v/>
      </c>
      <c r="BA358" s="43" t="str">
        <f ca="1">IFERROR(__xludf.DUMMYFUNCTION("IFERROR(VLOOKUP(E372&amp;F372,IMPORTRANGE(""https://docs.google.com/spreadsheets/d/1Uw7-A9f9R21vMXxHZFNpYNeKFtG8_yji4HS352LGlSQ/edit?pli=1#gid=0"",""1_ACUM!A4:S""),15,FALSE))"),"")</f>
        <v/>
      </c>
      <c r="BB358" s="43" t="str">
        <f ca="1">IFERROR(__xludf.DUMMYFUNCTION("IFERROR(VLOOKUP(E372&amp;F372,IMPORTRANGE(""https://docs.google.com/spreadsheets/d/1Uw7-A9f9R21vMXxHZFNpYNeKFtG8_yji4HS352LGlSQ/edit?pli=1#gid=0"",""1_ACUM!A4:S""),16,FALSE))"),"")</f>
        <v/>
      </c>
      <c r="BC358" s="43" t="str">
        <f ca="1">IFERROR(__xludf.DUMMYFUNCTION("IFERROR(VLOOKUP(E372&amp;F372,IMPORTRANGE(""https://docs.google.com/spreadsheets/d/1Uw7-A9f9R21vMXxHZFNpYNeKFtG8_yji4HS352LGlSQ/edit?pli=1#gid=0"",""1_ACUM!A4:S""),17,FALSE))"),"")</f>
        <v/>
      </c>
      <c r="BD358" s="44" t="str">
        <f ca="1">IFERROR(__xludf.DUMMYFUNCTION("IFERROR(VLOOKUP(E372&amp;F372,IMPORTRANGE(""https://docs.google.com/spreadsheets/d/1Uw7-A9f9R21vMXxHZFNpYNeKFtG8_yji4HS352LGlSQ/edit?pli=1#gid=0"",""1_ACUM!A4:S""),18,FALSE))"),"")</f>
        <v/>
      </c>
      <c r="BE358" s="44" t="str">
        <f ca="1">IFERROR(__xludf.DUMMYFUNCTION("IFERROR(VLOOKUP(E372&amp;F372,IMPORTRANGE(""https://docs.google.com/spreadsheets/d/1Uw7-A9f9R21vMXxHZFNpYNeKFtG8_yji4HS352LGlSQ/edit?pli=1#gid=0"",""1_ACUM!A4:S""),19,FALSE))"),"")</f>
        <v/>
      </c>
      <c r="BF358" s="98" t="str">
        <f ca="1">IFERROR(__xludf.DUMMYFUNCTION("IFERROR(VLOOKUP(F372,IMPORTRANGE(""https://docs.google.com/spreadsheets/d/1Kvs4KS76FHFqLFIZfrDMff4kP08nblUkihrxltoGBjg/edit#gid=934712705"",""ESENCIAL!A6:BG""),5,FALSE))"),"")</f>
        <v/>
      </c>
      <c r="BG358" s="98" t="str">
        <f t="shared" si="17"/>
        <v/>
      </c>
      <c r="BH358" s="99" t="str">
        <f t="shared" si="18"/>
        <v/>
      </c>
      <c r="BI358" s="100" t="str">
        <f ca="1">IFERROR(__xludf.DUMMYFUNCTION("IFERROR(VLOOKUP(F372,IMPORTRANGE(""https://docs.google.com/spreadsheets/d/1Kvs4KS76FHFqLFIZfrDMff4kP08nblUkihrxltoGBjg/edit#gid=934712705"",""ESENCIAL!A6:BG""),2,FALSE))"),"")</f>
        <v/>
      </c>
      <c r="BJ358" s="19" t="str">
        <f t="shared" si="19"/>
        <v/>
      </c>
      <c r="BK358" s="100"/>
      <c r="BL358" s="100"/>
    </row>
    <row r="359" spans="1:64" ht="15">
      <c r="A359" s="101"/>
      <c r="B359" s="101"/>
      <c r="G359" s="5" t="str">
        <f ca="1">IFERROR(__xludf.DUMMYFUNCTION("IFERROR(VLOOKUP(F373,IMPORTRANGE(""https://docs.google.com/spreadsheets/d/1Kvs4KS76FHFqLFIZfrDMff4kP08nblUkihrxltoGBjg/edit#gid=934712705"",""ESENCIAL!A6:BG""),3,FALSE))"),"")</f>
        <v/>
      </c>
      <c r="H359" s="5" t="str">
        <f ca="1">IFERROR(__xludf.DUMMYFUNCTION("IFERROR(VLOOKUP(F373,IMPORTRANGE(""https://docs.google.com/spreadsheets/d/1Kvs4KS76FHFqLFIZfrDMff4kP08nblUkihrxltoGBjg/edit#gid=934712705"",""ESENCIAL!A6:BG""),8,FALSE))"),"")</f>
        <v/>
      </c>
      <c r="L359" s="287"/>
      <c r="U359" s="40"/>
      <c r="AU359" s="41" t="str">
        <f t="shared" si="16"/>
        <v/>
      </c>
      <c r="AV359" s="5" t="str">
        <f ca="1">IFERROR(__xludf.DUMMYFUNCTION("IFERROR(VLOOKUP(E373&amp;F373,IMPORTRANGE(""https://docs.google.com/spreadsheets/d/1Uw7-A9f9R21vMXxHZFNpYNeKFtG8_yji4HS352LGlSQ/edit?pli=1#gid=0"",""1_ACUM!A4:S""),11,FALSE))"),"")</f>
        <v/>
      </c>
      <c r="AW359" s="42" t="str">
        <f ca="1">IFERROR(__xludf.DUMMYFUNCTION("IFERROR(VLOOKUP(F373,IMPORTRANGE(""https://docs.google.com/spreadsheets/d/1Kvs4KS76FHFqLFIZfrDMff4kP08nblUkihrxltoGBjg/edit#gid=934712705"",""ESENCIAL!A6:BG""),15,FALSE))"),"")</f>
        <v/>
      </c>
      <c r="AX359" s="21" t="str">
        <f ca="1">IFERROR(__xludf.DUMMYFUNCTION("IFERROR(VLOOKUP(E373&amp;F373,IMPORTRANGE(""https://docs.google.com/spreadsheets/d/1Uw7-A9f9R21vMXxHZFNpYNeKFtG8_yji4HS352LGlSQ/edit?pli=1#gid=0"",""1_ACUM!A4:S""),12,FALSE))"),"")</f>
        <v/>
      </c>
      <c r="AY359" s="43" t="str">
        <f ca="1">IFERROR(__xludf.DUMMYFUNCTION("IFERROR(VLOOKUP(E373&amp;F373,IMPORTRANGE(""https://docs.google.com/spreadsheets/d/1Uw7-A9f9R21vMXxHZFNpYNeKFtG8_yji4HS352LGlSQ/edit?pli=1#gid=0"",""1_ACUM!A4:S""),13,FALSE))"),"")</f>
        <v/>
      </c>
      <c r="AZ359" s="43" t="str">
        <f ca="1">IFERROR(__xludf.DUMMYFUNCTION("IFERROR(VLOOKUP(E373&amp;F373,IMPORTRANGE(""https://docs.google.com/spreadsheets/d/1Uw7-A9f9R21vMXxHZFNpYNeKFtG8_yji4HS352LGlSQ/edit?pli=1#gid=0"",""1_ACUM!A4:S""),14,FALSE))"),"")</f>
        <v/>
      </c>
      <c r="BA359" s="43" t="str">
        <f ca="1">IFERROR(__xludf.DUMMYFUNCTION("IFERROR(VLOOKUP(E373&amp;F373,IMPORTRANGE(""https://docs.google.com/spreadsheets/d/1Uw7-A9f9R21vMXxHZFNpYNeKFtG8_yji4HS352LGlSQ/edit?pli=1#gid=0"",""1_ACUM!A4:S""),15,FALSE))"),"")</f>
        <v/>
      </c>
      <c r="BB359" s="43" t="str">
        <f ca="1">IFERROR(__xludf.DUMMYFUNCTION("IFERROR(VLOOKUP(E373&amp;F373,IMPORTRANGE(""https://docs.google.com/spreadsheets/d/1Uw7-A9f9R21vMXxHZFNpYNeKFtG8_yji4HS352LGlSQ/edit?pli=1#gid=0"",""1_ACUM!A4:S""),16,FALSE))"),"")</f>
        <v/>
      </c>
      <c r="BC359" s="43" t="str">
        <f ca="1">IFERROR(__xludf.DUMMYFUNCTION("IFERROR(VLOOKUP(E373&amp;F373,IMPORTRANGE(""https://docs.google.com/spreadsheets/d/1Uw7-A9f9R21vMXxHZFNpYNeKFtG8_yji4HS352LGlSQ/edit?pli=1#gid=0"",""1_ACUM!A4:S""),17,FALSE))"),"")</f>
        <v/>
      </c>
      <c r="BD359" s="44" t="str">
        <f ca="1">IFERROR(__xludf.DUMMYFUNCTION("IFERROR(VLOOKUP(E373&amp;F373,IMPORTRANGE(""https://docs.google.com/spreadsheets/d/1Uw7-A9f9R21vMXxHZFNpYNeKFtG8_yji4HS352LGlSQ/edit?pli=1#gid=0"",""1_ACUM!A4:S""),18,FALSE))"),"")</f>
        <v/>
      </c>
      <c r="BE359" s="44" t="str">
        <f ca="1">IFERROR(__xludf.DUMMYFUNCTION("IFERROR(VLOOKUP(E373&amp;F373,IMPORTRANGE(""https://docs.google.com/spreadsheets/d/1Uw7-A9f9R21vMXxHZFNpYNeKFtG8_yji4HS352LGlSQ/edit?pli=1#gid=0"",""1_ACUM!A4:S""),19,FALSE))"),"")</f>
        <v/>
      </c>
      <c r="BF359" s="98" t="str">
        <f ca="1">IFERROR(__xludf.DUMMYFUNCTION("IFERROR(VLOOKUP(F373,IMPORTRANGE(""https://docs.google.com/spreadsheets/d/1Kvs4KS76FHFqLFIZfrDMff4kP08nblUkihrxltoGBjg/edit#gid=934712705"",""ESENCIAL!A6:BG""),5,FALSE))"),"")</f>
        <v/>
      </c>
      <c r="BG359" s="98" t="str">
        <f t="shared" si="17"/>
        <v/>
      </c>
      <c r="BH359" s="99" t="str">
        <f t="shared" si="18"/>
        <v/>
      </c>
      <c r="BI359" s="100" t="str">
        <f ca="1">IFERROR(__xludf.DUMMYFUNCTION("IFERROR(VLOOKUP(F373,IMPORTRANGE(""https://docs.google.com/spreadsheets/d/1Kvs4KS76FHFqLFIZfrDMff4kP08nblUkihrxltoGBjg/edit#gid=934712705"",""ESENCIAL!A6:BG""),2,FALSE))"),"")</f>
        <v/>
      </c>
      <c r="BJ359" s="19" t="str">
        <f t="shared" si="19"/>
        <v/>
      </c>
      <c r="BK359" s="100"/>
      <c r="BL359" s="100"/>
    </row>
    <row r="360" spans="1:64" ht="15">
      <c r="A360" s="101"/>
      <c r="B360" s="5"/>
      <c r="G360" s="5" t="str">
        <f ca="1">IFERROR(__xludf.DUMMYFUNCTION("IFERROR(VLOOKUP(F374,IMPORTRANGE(""https://docs.google.com/spreadsheets/d/1Kvs4KS76FHFqLFIZfrDMff4kP08nblUkihrxltoGBjg/edit#gid=934712705"",""ESENCIAL!A6:BG""),3,FALSE))"),"")</f>
        <v/>
      </c>
      <c r="H360" s="5" t="str">
        <f ca="1">IFERROR(__xludf.DUMMYFUNCTION("IFERROR(VLOOKUP(F374,IMPORTRANGE(""https://docs.google.com/spreadsheets/d/1Kvs4KS76FHFqLFIZfrDMff4kP08nblUkihrxltoGBjg/edit#gid=934712705"",""ESENCIAL!A6:BG""),8,FALSE))"),"")</f>
        <v/>
      </c>
      <c r="L360" s="287"/>
      <c r="U360" s="40"/>
      <c r="AU360" s="41" t="str">
        <f t="shared" si="16"/>
        <v/>
      </c>
      <c r="AV360" s="5" t="str">
        <f ca="1">IFERROR(__xludf.DUMMYFUNCTION("IFERROR(VLOOKUP(E374&amp;F374,IMPORTRANGE(""https://docs.google.com/spreadsheets/d/1Uw7-A9f9R21vMXxHZFNpYNeKFtG8_yji4HS352LGlSQ/edit?pli=1#gid=0"",""1_ACUM!A4:S""),11,FALSE))"),"")</f>
        <v/>
      </c>
      <c r="AW360" s="42" t="str">
        <f ca="1">IFERROR(__xludf.DUMMYFUNCTION("IFERROR(VLOOKUP(F374,IMPORTRANGE(""https://docs.google.com/spreadsheets/d/1Kvs4KS76FHFqLFIZfrDMff4kP08nblUkihrxltoGBjg/edit#gid=934712705"",""ESENCIAL!A6:BG""),15,FALSE))"),"")</f>
        <v/>
      </c>
      <c r="AX360" s="21" t="str">
        <f ca="1">IFERROR(__xludf.DUMMYFUNCTION("IFERROR(VLOOKUP(E374&amp;F374,IMPORTRANGE(""https://docs.google.com/spreadsheets/d/1Uw7-A9f9R21vMXxHZFNpYNeKFtG8_yji4HS352LGlSQ/edit?pli=1#gid=0"",""1_ACUM!A4:S""),12,FALSE))"),"")</f>
        <v/>
      </c>
      <c r="AY360" s="43" t="str">
        <f ca="1">IFERROR(__xludf.DUMMYFUNCTION("IFERROR(VLOOKUP(E374&amp;F374,IMPORTRANGE(""https://docs.google.com/spreadsheets/d/1Uw7-A9f9R21vMXxHZFNpYNeKFtG8_yji4HS352LGlSQ/edit?pli=1#gid=0"",""1_ACUM!A4:S""),13,FALSE))"),"")</f>
        <v/>
      </c>
      <c r="AZ360" s="43" t="str">
        <f ca="1">IFERROR(__xludf.DUMMYFUNCTION("IFERROR(VLOOKUP(E374&amp;F374,IMPORTRANGE(""https://docs.google.com/spreadsheets/d/1Uw7-A9f9R21vMXxHZFNpYNeKFtG8_yji4HS352LGlSQ/edit?pli=1#gid=0"",""1_ACUM!A4:S""),14,FALSE))"),"")</f>
        <v/>
      </c>
      <c r="BA360" s="43" t="str">
        <f ca="1">IFERROR(__xludf.DUMMYFUNCTION("IFERROR(VLOOKUP(E374&amp;F374,IMPORTRANGE(""https://docs.google.com/spreadsheets/d/1Uw7-A9f9R21vMXxHZFNpYNeKFtG8_yji4HS352LGlSQ/edit?pli=1#gid=0"",""1_ACUM!A4:S""),15,FALSE))"),"")</f>
        <v/>
      </c>
      <c r="BB360" s="43" t="str">
        <f ca="1">IFERROR(__xludf.DUMMYFUNCTION("IFERROR(VLOOKUP(E374&amp;F374,IMPORTRANGE(""https://docs.google.com/spreadsheets/d/1Uw7-A9f9R21vMXxHZFNpYNeKFtG8_yji4HS352LGlSQ/edit?pli=1#gid=0"",""1_ACUM!A4:S""),16,FALSE))"),"")</f>
        <v/>
      </c>
      <c r="BC360" s="43" t="str">
        <f ca="1">IFERROR(__xludf.DUMMYFUNCTION("IFERROR(VLOOKUP(E374&amp;F374,IMPORTRANGE(""https://docs.google.com/spreadsheets/d/1Uw7-A9f9R21vMXxHZFNpYNeKFtG8_yji4HS352LGlSQ/edit?pli=1#gid=0"",""1_ACUM!A4:S""),17,FALSE))"),"")</f>
        <v/>
      </c>
      <c r="BD360" s="44" t="str">
        <f ca="1">IFERROR(__xludf.DUMMYFUNCTION("IFERROR(VLOOKUP(E374&amp;F374,IMPORTRANGE(""https://docs.google.com/spreadsheets/d/1Uw7-A9f9R21vMXxHZFNpYNeKFtG8_yji4HS352LGlSQ/edit?pli=1#gid=0"",""1_ACUM!A4:S""),18,FALSE))"),"")</f>
        <v/>
      </c>
      <c r="BE360" s="44" t="str">
        <f ca="1">IFERROR(__xludf.DUMMYFUNCTION("IFERROR(VLOOKUP(E374&amp;F374,IMPORTRANGE(""https://docs.google.com/spreadsheets/d/1Uw7-A9f9R21vMXxHZFNpYNeKFtG8_yji4HS352LGlSQ/edit?pli=1#gid=0"",""1_ACUM!A4:S""),19,FALSE))"),"")</f>
        <v/>
      </c>
      <c r="BF360" s="98" t="str">
        <f ca="1">IFERROR(__xludf.DUMMYFUNCTION("IFERROR(VLOOKUP(F374,IMPORTRANGE(""https://docs.google.com/spreadsheets/d/1Kvs4KS76FHFqLFIZfrDMff4kP08nblUkihrxltoGBjg/edit#gid=934712705"",""ESENCIAL!A6:BG""),5,FALSE))"),"")</f>
        <v/>
      </c>
      <c r="BG360" s="98" t="str">
        <f t="shared" si="17"/>
        <v/>
      </c>
      <c r="BH360" s="99" t="str">
        <f t="shared" si="18"/>
        <v/>
      </c>
      <c r="BI360" s="100" t="str">
        <f ca="1">IFERROR(__xludf.DUMMYFUNCTION("IFERROR(VLOOKUP(F374,IMPORTRANGE(""https://docs.google.com/spreadsheets/d/1Kvs4KS76FHFqLFIZfrDMff4kP08nblUkihrxltoGBjg/edit#gid=934712705"",""ESENCIAL!A6:BG""),2,FALSE))"),"")</f>
        <v/>
      </c>
      <c r="BJ360" s="19" t="str">
        <f t="shared" si="19"/>
        <v/>
      </c>
      <c r="BK360" s="100"/>
      <c r="BL360" s="100"/>
    </row>
    <row r="361" spans="1:64" ht="15">
      <c r="A361" s="101"/>
      <c r="B361" s="101"/>
      <c r="G361" s="5" t="str">
        <f ca="1">IFERROR(__xludf.DUMMYFUNCTION("IFERROR(VLOOKUP(F375,IMPORTRANGE(""https://docs.google.com/spreadsheets/d/1Kvs4KS76FHFqLFIZfrDMff4kP08nblUkihrxltoGBjg/edit#gid=934712705"",""ESENCIAL!A6:BG""),3,FALSE))"),"")</f>
        <v/>
      </c>
      <c r="H361" s="5" t="str">
        <f ca="1">IFERROR(__xludf.DUMMYFUNCTION("IFERROR(VLOOKUP(F375,IMPORTRANGE(""https://docs.google.com/spreadsheets/d/1Kvs4KS76FHFqLFIZfrDMff4kP08nblUkihrxltoGBjg/edit#gid=934712705"",""ESENCIAL!A6:BG""),8,FALSE))"),"")</f>
        <v/>
      </c>
      <c r="L361" s="287"/>
      <c r="U361" s="40"/>
      <c r="AU361" s="41" t="str">
        <f t="shared" si="16"/>
        <v/>
      </c>
      <c r="AV361" s="5" t="str">
        <f ca="1">IFERROR(__xludf.DUMMYFUNCTION("IFERROR(VLOOKUP(E375&amp;F375,IMPORTRANGE(""https://docs.google.com/spreadsheets/d/1Uw7-A9f9R21vMXxHZFNpYNeKFtG8_yji4HS352LGlSQ/edit?pli=1#gid=0"",""1_ACUM!A4:S""),11,FALSE))"),"")</f>
        <v/>
      </c>
      <c r="AW361" s="42" t="str">
        <f ca="1">IFERROR(__xludf.DUMMYFUNCTION("IFERROR(VLOOKUP(F375,IMPORTRANGE(""https://docs.google.com/spreadsheets/d/1Kvs4KS76FHFqLFIZfrDMff4kP08nblUkihrxltoGBjg/edit#gid=934712705"",""ESENCIAL!A6:BG""),15,FALSE))"),"")</f>
        <v/>
      </c>
      <c r="AX361" s="21" t="str">
        <f ca="1">IFERROR(__xludf.DUMMYFUNCTION("IFERROR(VLOOKUP(E375&amp;F375,IMPORTRANGE(""https://docs.google.com/spreadsheets/d/1Uw7-A9f9R21vMXxHZFNpYNeKFtG8_yji4HS352LGlSQ/edit?pli=1#gid=0"",""1_ACUM!A4:S""),12,FALSE))"),"")</f>
        <v/>
      </c>
      <c r="AY361" s="43" t="str">
        <f ca="1">IFERROR(__xludf.DUMMYFUNCTION("IFERROR(VLOOKUP(E375&amp;F375,IMPORTRANGE(""https://docs.google.com/spreadsheets/d/1Uw7-A9f9R21vMXxHZFNpYNeKFtG8_yji4HS352LGlSQ/edit?pli=1#gid=0"",""1_ACUM!A4:S""),13,FALSE))"),"")</f>
        <v/>
      </c>
      <c r="AZ361" s="43" t="str">
        <f ca="1">IFERROR(__xludf.DUMMYFUNCTION("IFERROR(VLOOKUP(E375&amp;F375,IMPORTRANGE(""https://docs.google.com/spreadsheets/d/1Uw7-A9f9R21vMXxHZFNpYNeKFtG8_yji4HS352LGlSQ/edit?pli=1#gid=0"",""1_ACUM!A4:S""),14,FALSE))"),"")</f>
        <v/>
      </c>
      <c r="BA361" s="43" t="str">
        <f ca="1">IFERROR(__xludf.DUMMYFUNCTION("IFERROR(VLOOKUP(E375&amp;F375,IMPORTRANGE(""https://docs.google.com/spreadsheets/d/1Uw7-A9f9R21vMXxHZFNpYNeKFtG8_yji4HS352LGlSQ/edit?pli=1#gid=0"",""1_ACUM!A4:S""),15,FALSE))"),"")</f>
        <v/>
      </c>
      <c r="BB361" s="43" t="str">
        <f ca="1">IFERROR(__xludf.DUMMYFUNCTION("IFERROR(VLOOKUP(E375&amp;F375,IMPORTRANGE(""https://docs.google.com/spreadsheets/d/1Uw7-A9f9R21vMXxHZFNpYNeKFtG8_yji4HS352LGlSQ/edit?pli=1#gid=0"",""1_ACUM!A4:S""),16,FALSE))"),"")</f>
        <v/>
      </c>
      <c r="BC361" s="43" t="str">
        <f ca="1">IFERROR(__xludf.DUMMYFUNCTION("IFERROR(VLOOKUP(E375&amp;F375,IMPORTRANGE(""https://docs.google.com/spreadsheets/d/1Uw7-A9f9R21vMXxHZFNpYNeKFtG8_yji4HS352LGlSQ/edit?pli=1#gid=0"",""1_ACUM!A4:S""),17,FALSE))"),"")</f>
        <v/>
      </c>
      <c r="BD361" s="44" t="str">
        <f ca="1">IFERROR(__xludf.DUMMYFUNCTION("IFERROR(VLOOKUP(E375&amp;F375,IMPORTRANGE(""https://docs.google.com/spreadsheets/d/1Uw7-A9f9R21vMXxHZFNpYNeKFtG8_yji4HS352LGlSQ/edit?pli=1#gid=0"",""1_ACUM!A4:S""),18,FALSE))"),"")</f>
        <v/>
      </c>
      <c r="BE361" s="44" t="str">
        <f ca="1">IFERROR(__xludf.DUMMYFUNCTION("IFERROR(VLOOKUP(E375&amp;F375,IMPORTRANGE(""https://docs.google.com/spreadsheets/d/1Uw7-A9f9R21vMXxHZFNpYNeKFtG8_yji4HS352LGlSQ/edit?pli=1#gid=0"",""1_ACUM!A4:S""),19,FALSE))"),"")</f>
        <v/>
      </c>
      <c r="BF361" s="98" t="str">
        <f ca="1">IFERROR(__xludf.DUMMYFUNCTION("IFERROR(VLOOKUP(F375,IMPORTRANGE(""https://docs.google.com/spreadsheets/d/1Kvs4KS76FHFqLFIZfrDMff4kP08nblUkihrxltoGBjg/edit#gid=934712705"",""ESENCIAL!A6:BG""),5,FALSE))"),"")</f>
        <v/>
      </c>
      <c r="BG361" s="98" t="str">
        <f t="shared" si="17"/>
        <v/>
      </c>
      <c r="BH361" s="99" t="str">
        <f t="shared" si="18"/>
        <v/>
      </c>
      <c r="BI361" s="100" t="str">
        <f ca="1">IFERROR(__xludf.DUMMYFUNCTION("IFERROR(VLOOKUP(F375,IMPORTRANGE(""https://docs.google.com/spreadsheets/d/1Kvs4KS76FHFqLFIZfrDMff4kP08nblUkihrxltoGBjg/edit#gid=934712705"",""ESENCIAL!A6:BG""),2,FALSE))"),"")</f>
        <v/>
      </c>
      <c r="BJ361" s="19" t="str">
        <f t="shared" si="19"/>
        <v/>
      </c>
      <c r="BK361" s="100"/>
      <c r="BL361" s="100"/>
    </row>
    <row r="362" spans="1:64" ht="15">
      <c r="A362" s="101"/>
      <c r="B362" s="101"/>
      <c r="G362" s="5" t="str">
        <f ca="1">IFERROR(__xludf.DUMMYFUNCTION("IFERROR(VLOOKUP(F376,IMPORTRANGE(""https://docs.google.com/spreadsheets/d/1Kvs4KS76FHFqLFIZfrDMff4kP08nblUkihrxltoGBjg/edit#gid=934712705"",""ESENCIAL!A6:BG""),3,FALSE))"),"")</f>
        <v/>
      </c>
      <c r="H362" s="5" t="str">
        <f ca="1">IFERROR(__xludf.DUMMYFUNCTION("IFERROR(VLOOKUP(F376,IMPORTRANGE(""https://docs.google.com/spreadsheets/d/1Kvs4KS76FHFqLFIZfrDMff4kP08nblUkihrxltoGBjg/edit#gid=934712705"",""ESENCIAL!A6:BG""),8,FALSE))"),"")</f>
        <v/>
      </c>
      <c r="L362" s="287"/>
      <c r="U362" s="40"/>
      <c r="AU362" s="41" t="str">
        <f t="shared" si="16"/>
        <v/>
      </c>
      <c r="AV362" s="5" t="str">
        <f ca="1">IFERROR(__xludf.DUMMYFUNCTION("IFERROR(VLOOKUP(E376&amp;F376,IMPORTRANGE(""https://docs.google.com/spreadsheets/d/1Uw7-A9f9R21vMXxHZFNpYNeKFtG8_yji4HS352LGlSQ/edit?pli=1#gid=0"",""1_ACUM!A4:S""),11,FALSE))"),"")</f>
        <v/>
      </c>
      <c r="AW362" s="42" t="str">
        <f ca="1">IFERROR(__xludf.DUMMYFUNCTION("IFERROR(VLOOKUP(F376,IMPORTRANGE(""https://docs.google.com/spreadsheets/d/1Kvs4KS76FHFqLFIZfrDMff4kP08nblUkihrxltoGBjg/edit#gid=934712705"",""ESENCIAL!A6:BG""),15,FALSE))"),"")</f>
        <v/>
      </c>
      <c r="AX362" s="21" t="str">
        <f ca="1">IFERROR(__xludf.DUMMYFUNCTION("IFERROR(VLOOKUP(E376&amp;F376,IMPORTRANGE(""https://docs.google.com/spreadsheets/d/1Uw7-A9f9R21vMXxHZFNpYNeKFtG8_yji4HS352LGlSQ/edit?pli=1#gid=0"",""1_ACUM!A4:S""),12,FALSE))"),"")</f>
        <v/>
      </c>
      <c r="AY362" s="43" t="str">
        <f ca="1">IFERROR(__xludf.DUMMYFUNCTION("IFERROR(VLOOKUP(E376&amp;F376,IMPORTRANGE(""https://docs.google.com/spreadsheets/d/1Uw7-A9f9R21vMXxHZFNpYNeKFtG8_yji4HS352LGlSQ/edit?pli=1#gid=0"",""1_ACUM!A4:S""),13,FALSE))"),"")</f>
        <v/>
      </c>
      <c r="AZ362" s="43" t="str">
        <f ca="1">IFERROR(__xludf.DUMMYFUNCTION("IFERROR(VLOOKUP(E376&amp;F376,IMPORTRANGE(""https://docs.google.com/spreadsheets/d/1Uw7-A9f9R21vMXxHZFNpYNeKFtG8_yji4HS352LGlSQ/edit?pli=1#gid=0"",""1_ACUM!A4:S""),14,FALSE))"),"")</f>
        <v/>
      </c>
      <c r="BA362" s="43" t="str">
        <f ca="1">IFERROR(__xludf.DUMMYFUNCTION("IFERROR(VLOOKUP(E376&amp;F376,IMPORTRANGE(""https://docs.google.com/spreadsheets/d/1Uw7-A9f9R21vMXxHZFNpYNeKFtG8_yji4HS352LGlSQ/edit?pli=1#gid=0"",""1_ACUM!A4:S""),15,FALSE))"),"")</f>
        <v/>
      </c>
      <c r="BB362" s="43" t="str">
        <f ca="1">IFERROR(__xludf.DUMMYFUNCTION("IFERROR(VLOOKUP(E376&amp;F376,IMPORTRANGE(""https://docs.google.com/spreadsheets/d/1Uw7-A9f9R21vMXxHZFNpYNeKFtG8_yji4HS352LGlSQ/edit?pli=1#gid=0"",""1_ACUM!A4:S""),16,FALSE))"),"")</f>
        <v/>
      </c>
      <c r="BC362" s="43" t="str">
        <f ca="1">IFERROR(__xludf.DUMMYFUNCTION("IFERROR(VLOOKUP(E376&amp;F376,IMPORTRANGE(""https://docs.google.com/spreadsheets/d/1Uw7-A9f9R21vMXxHZFNpYNeKFtG8_yji4HS352LGlSQ/edit?pli=1#gid=0"",""1_ACUM!A4:S""),17,FALSE))"),"")</f>
        <v/>
      </c>
      <c r="BD362" s="44" t="str">
        <f ca="1">IFERROR(__xludf.DUMMYFUNCTION("IFERROR(VLOOKUP(E376&amp;F376,IMPORTRANGE(""https://docs.google.com/spreadsheets/d/1Uw7-A9f9R21vMXxHZFNpYNeKFtG8_yji4HS352LGlSQ/edit?pli=1#gid=0"",""1_ACUM!A4:S""),18,FALSE))"),"")</f>
        <v/>
      </c>
      <c r="BE362" s="44" t="str">
        <f ca="1">IFERROR(__xludf.DUMMYFUNCTION("IFERROR(VLOOKUP(E376&amp;F376,IMPORTRANGE(""https://docs.google.com/spreadsheets/d/1Uw7-A9f9R21vMXxHZFNpYNeKFtG8_yji4HS352LGlSQ/edit?pli=1#gid=0"",""1_ACUM!A4:S""),19,FALSE))"),"")</f>
        <v/>
      </c>
      <c r="BF362" s="98" t="str">
        <f ca="1">IFERROR(__xludf.DUMMYFUNCTION("IFERROR(VLOOKUP(F376,IMPORTRANGE(""https://docs.google.com/spreadsheets/d/1Kvs4KS76FHFqLFIZfrDMff4kP08nblUkihrxltoGBjg/edit#gid=934712705"",""ESENCIAL!A6:BG""),5,FALSE))"),"")</f>
        <v/>
      </c>
      <c r="BG362" s="98" t="str">
        <f t="shared" si="17"/>
        <v/>
      </c>
      <c r="BH362" s="99" t="str">
        <f t="shared" si="18"/>
        <v/>
      </c>
      <c r="BI362" s="100" t="str">
        <f ca="1">IFERROR(__xludf.DUMMYFUNCTION("IFERROR(VLOOKUP(F376,IMPORTRANGE(""https://docs.google.com/spreadsheets/d/1Kvs4KS76FHFqLFIZfrDMff4kP08nblUkihrxltoGBjg/edit#gid=934712705"",""ESENCIAL!A6:BG""),2,FALSE))"),"")</f>
        <v/>
      </c>
      <c r="BJ362" s="19" t="str">
        <f t="shared" si="19"/>
        <v/>
      </c>
      <c r="BK362" s="100"/>
      <c r="BL362" s="100"/>
    </row>
    <row r="363" spans="1:64" ht="15">
      <c r="A363" s="101"/>
      <c r="B363" s="101"/>
      <c r="G363" s="5" t="str">
        <f ca="1">IFERROR(__xludf.DUMMYFUNCTION("IFERROR(VLOOKUP(F377,IMPORTRANGE(""https://docs.google.com/spreadsheets/d/1Kvs4KS76FHFqLFIZfrDMff4kP08nblUkihrxltoGBjg/edit#gid=934712705"",""ESENCIAL!A6:BG""),3,FALSE))"),"")</f>
        <v/>
      </c>
      <c r="H363" s="5" t="str">
        <f ca="1">IFERROR(__xludf.DUMMYFUNCTION("IFERROR(VLOOKUP(F377,IMPORTRANGE(""https://docs.google.com/spreadsheets/d/1Kvs4KS76FHFqLFIZfrDMff4kP08nblUkihrxltoGBjg/edit#gid=934712705"",""ESENCIAL!A6:BG""),8,FALSE))"),"")</f>
        <v/>
      </c>
      <c r="L363" s="287"/>
      <c r="U363" s="40"/>
      <c r="AU363" s="41" t="str">
        <f t="shared" si="16"/>
        <v/>
      </c>
      <c r="AV363" s="5" t="str">
        <f ca="1">IFERROR(__xludf.DUMMYFUNCTION("IFERROR(VLOOKUP(E377&amp;F377,IMPORTRANGE(""https://docs.google.com/spreadsheets/d/1Uw7-A9f9R21vMXxHZFNpYNeKFtG8_yji4HS352LGlSQ/edit?pli=1#gid=0"",""1_ACUM!A4:S""),11,FALSE))"),"")</f>
        <v/>
      </c>
      <c r="AW363" s="42" t="str">
        <f ca="1">IFERROR(__xludf.DUMMYFUNCTION("IFERROR(VLOOKUP(F377,IMPORTRANGE(""https://docs.google.com/spreadsheets/d/1Kvs4KS76FHFqLFIZfrDMff4kP08nblUkihrxltoGBjg/edit#gid=934712705"",""ESENCIAL!A6:BG""),15,FALSE))"),"")</f>
        <v/>
      </c>
      <c r="AX363" s="21" t="str">
        <f ca="1">IFERROR(__xludf.DUMMYFUNCTION("IFERROR(VLOOKUP(E377&amp;F377,IMPORTRANGE(""https://docs.google.com/spreadsheets/d/1Uw7-A9f9R21vMXxHZFNpYNeKFtG8_yji4HS352LGlSQ/edit?pli=1#gid=0"",""1_ACUM!A4:S""),12,FALSE))"),"")</f>
        <v/>
      </c>
      <c r="AY363" s="43" t="str">
        <f ca="1">IFERROR(__xludf.DUMMYFUNCTION("IFERROR(VLOOKUP(E377&amp;F377,IMPORTRANGE(""https://docs.google.com/spreadsheets/d/1Uw7-A9f9R21vMXxHZFNpYNeKFtG8_yji4HS352LGlSQ/edit?pli=1#gid=0"",""1_ACUM!A4:S""),13,FALSE))"),"")</f>
        <v/>
      </c>
      <c r="AZ363" s="43" t="str">
        <f ca="1">IFERROR(__xludf.DUMMYFUNCTION("IFERROR(VLOOKUP(E377&amp;F377,IMPORTRANGE(""https://docs.google.com/spreadsheets/d/1Uw7-A9f9R21vMXxHZFNpYNeKFtG8_yji4HS352LGlSQ/edit?pli=1#gid=0"",""1_ACUM!A4:S""),14,FALSE))"),"")</f>
        <v/>
      </c>
      <c r="BA363" s="43" t="str">
        <f ca="1">IFERROR(__xludf.DUMMYFUNCTION("IFERROR(VLOOKUP(E377&amp;F377,IMPORTRANGE(""https://docs.google.com/spreadsheets/d/1Uw7-A9f9R21vMXxHZFNpYNeKFtG8_yji4HS352LGlSQ/edit?pli=1#gid=0"",""1_ACUM!A4:S""),15,FALSE))"),"")</f>
        <v/>
      </c>
      <c r="BB363" s="43" t="str">
        <f ca="1">IFERROR(__xludf.DUMMYFUNCTION("IFERROR(VLOOKUP(E377&amp;F377,IMPORTRANGE(""https://docs.google.com/spreadsheets/d/1Uw7-A9f9R21vMXxHZFNpYNeKFtG8_yji4HS352LGlSQ/edit?pli=1#gid=0"",""1_ACUM!A4:S""),16,FALSE))"),"")</f>
        <v/>
      </c>
      <c r="BC363" s="43" t="str">
        <f ca="1">IFERROR(__xludf.DUMMYFUNCTION("IFERROR(VLOOKUP(E377&amp;F377,IMPORTRANGE(""https://docs.google.com/spreadsheets/d/1Uw7-A9f9R21vMXxHZFNpYNeKFtG8_yji4HS352LGlSQ/edit?pli=1#gid=0"",""1_ACUM!A4:S""),17,FALSE))"),"")</f>
        <v/>
      </c>
      <c r="BD363" s="44" t="str">
        <f ca="1">IFERROR(__xludf.DUMMYFUNCTION("IFERROR(VLOOKUP(E377&amp;F377,IMPORTRANGE(""https://docs.google.com/spreadsheets/d/1Uw7-A9f9R21vMXxHZFNpYNeKFtG8_yji4HS352LGlSQ/edit?pli=1#gid=0"",""1_ACUM!A4:S""),18,FALSE))"),"")</f>
        <v/>
      </c>
      <c r="BE363" s="44" t="str">
        <f ca="1">IFERROR(__xludf.DUMMYFUNCTION("IFERROR(VLOOKUP(E377&amp;F377,IMPORTRANGE(""https://docs.google.com/spreadsheets/d/1Uw7-A9f9R21vMXxHZFNpYNeKFtG8_yji4HS352LGlSQ/edit?pli=1#gid=0"",""1_ACUM!A4:S""),19,FALSE))"),"")</f>
        <v/>
      </c>
      <c r="BF363" s="98" t="str">
        <f ca="1">IFERROR(__xludf.DUMMYFUNCTION("IFERROR(VLOOKUP(F377,IMPORTRANGE(""https://docs.google.com/spreadsheets/d/1Kvs4KS76FHFqLFIZfrDMff4kP08nblUkihrxltoGBjg/edit#gid=934712705"",""ESENCIAL!A6:BG""),5,FALSE))"),"")</f>
        <v/>
      </c>
      <c r="BG363" s="98" t="str">
        <f t="shared" si="17"/>
        <v/>
      </c>
      <c r="BH363" s="99" t="str">
        <f t="shared" si="18"/>
        <v/>
      </c>
      <c r="BI363" s="100" t="str">
        <f ca="1">IFERROR(__xludf.DUMMYFUNCTION("IFERROR(VLOOKUP(F377,IMPORTRANGE(""https://docs.google.com/spreadsheets/d/1Kvs4KS76FHFqLFIZfrDMff4kP08nblUkihrxltoGBjg/edit#gid=934712705"",""ESENCIAL!A6:BG""),2,FALSE))"),"")</f>
        <v/>
      </c>
      <c r="BJ363" s="19" t="str">
        <f t="shared" si="19"/>
        <v/>
      </c>
      <c r="BK363" s="100"/>
      <c r="BL363" s="100"/>
    </row>
    <row r="364" spans="1:64" ht="15">
      <c r="A364" s="101"/>
      <c r="B364" s="104"/>
      <c r="G364" s="5" t="str">
        <f ca="1">IFERROR(__xludf.DUMMYFUNCTION("IFERROR(VLOOKUP(F378,IMPORTRANGE(""https://docs.google.com/spreadsheets/d/1Kvs4KS76FHFqLFIZfrDMff4kP08nblUkihrxltoGBjg/edit#gid=934712705"",""ESENCIAL!A6:BG""),3,FALSE))"),"")</f>
        <v/>
      </c>
      <c r="H364" s="5" t="str">
        <f ca="1">IFERROR(__xludf.DUMMYFUNCTION("IFERROR(VLOOKUP(F378,IMPORTRANGE(""https://docs.google.com/spreadsheets/d/1Kvs4KS76FHFqLFIZfrDMff4kP08nblUkihrxltoGBjg/edit#gid=934712705"",""ESENCIAL!A6:BG""),8,FALSE))"),"")</f>
        <v/>
      </c>
      <c r="L364" s="287"/>
      <c r="U364" s="40"/>
      <c r="AU364" s="41" t="str">
        <f t="shared" si="16"/>
        <v/>
      </c>
      <c r="AV364" s="5" t="str">
        <f ca="1">IFERROR(__xludf.DUMMYFUNCTION("IFERROR(VLOOKUP(E378&amp;F378,IMPORTRANGE(""https://docs.google.com/spreadsheets/d/1Uw7-A9f9R21vMXxHZFNpYNeKFtG8_yji4HS352LGlSQ/edit?pli=1#gid=0"",""1_ACUM!A4:S""),11,FALSE))"),"")</f>
        <v/>
      </c>
      <c r="AW364" s="42" t="str">
        <f ca="1">IFERROR(__xludf.DUMMYFUNCTION("IFERROR(VLOOKUP(F378,IMPORTRANGE(""https://docs.google.com/spreadsheets/d/1Kvs4KS76FHFqLFIZfrDMff4kP08nblUkihrxltoGBjg/edit#gid=934712705"",""ESENCIAL!A6:BG""),15,FALSE))"),"")</f>
        <v/>
      </c>
      <c r="AX364" s="21" t="str">
        <f ca="1">IFERROR(__xludf.DUMMYFUNCTION("IFERROR(VLOOKUP(E378&amp;F378,IMPORTRANGE(""https://docs.google.com/spreadsheets/d/1Uw7-A9f9R21vMXxHZFNpYNeKFtG8_yji4HS352LGlSQ/edit?pli=1#gid=0"",""1_ACUM!A4:S""),12,FALSE))"),"")</f>
        <v/>
      </c>
      <c r="AY364" s="43" t="str">
        <f ca="1">IFERROR(__xludf.DUMMYFUNCTION("IFERROR(VLOOKUP(E378&amp;F378,IMPORTRANGE(""https://docs.google.com/spreadsheets/d/1Uw7-A9f9R21vMXxHZFNpYNeKFtG8_yji4HS352LGlSQ/edit?pli=1#gid=0"",""1_ACUM!A4:S""),13,FALSE))"),"")</f>
        <v/>
      </c>
      <c r="AZ364" s="43" t="str">
        <f ca="1">IFERROR(__xludf.DUMMYFUNCTION("IFERROR(VLOOKUP(E378&amp;F378,IMPORTRANGE(""https://docs.google.com/spreadsheets/d/1Uw7-A9f9R21vMXxHZFNpYNeKFtG8_yji4HS352LGlSQ/edit?pli=1#gid=0"",""1_ACUM!A4:S""),14,FALSE))"),"")</f>
        <v/>
      </c>
      <c r="BA364" s="43" t="str">
        <f ca="1">IFERROR(__xludf.DUMMYFUNCTION("IFERROR(VLOOKUP(E378&amp;F378,IMPORTRANGE(""https://docs.google.com/spreadsheets/d/1Uw7-A9f9R21vMXxHZFNpYNeKFtG8_yji4HS352LGlSQ/edit?pli=1#gid=0"",""1_ACUM!A4:S""),15,FALSE))"),"")</f>
        <v/>
      </c>
      <c r="BB364" s="43" t="str">
        <f ca="1">IFERROR(__xludf.DUMMYFUNCTION("IFERROR(VLOOKUP(E378&amp;F378,IMPORTRANGE(""https://docs.google.com/spreadsheets/d/1Uw7-A9f9R21vMXxHZFNpYNeKFtG8_yji4HS352LGlSQ/edit?pli=1#gid=0"",""1_ACUM!A4:S""),16,FALSE))"),"")</f>
        <v/>
      </c>
      <c r="BC364" s="43" t="str">
        <f ca="1">IFERROR(__xludf.DUMMYFUNCTION("IFERROR(VLOOKUP(E378&amp;F378,IMPORTRANGE(""https://docs.google.com/spreadsheets/d/1Uw7-A9f9R21vMXxHZFNpYNeKFtG8_yji4HS352LGlSQ/edit?pli=1#gid=0"",""1_ACUM!A4:S""),17,FALSE))"),"")</f>
        <v/>
      </c>
      <c r="BD364" s="44" t="str">
        <f ca="1">IFERROR(__xludf.DUMMYFUNCTION("IFERROR(VLOOKUP(E378&amp;F378,IMPORTRANGE(""https://docs.google.com/spreadsheets/d/1Uw7-A9f9R21vMXxHZFNpYNeKFtG8_yji4HS352LGlSQ/edit?pli=1#gid=0"",""1_ACUM!A4:S""),18,FALSE))"),"")</f>
        <v/>
      </c>
      <c r="BE364" s="44" t="str">
        <f ca="1">IFERROR(__xludf.DUMMYFUNCTION("IFERROR(VLOOKUP(E378&amp;F378,IMPORTRANGE(""https://docs.google.com/spreadsheets/d/1Uw7-A9f9R21vMXxHZFNpYNeKFtG8_yji4HS352LGlSQ/edit?pli=1#gid=0"",""1_ACUM!A4:S""),19,FALSE))"),"")</f>
        <v/>
      </c>
      <c r="BF364" s="98" t="str">
        <f ca="1">IFERROR(__xludf.DUMMYFUNCTION("IFERROR(VLOOKUP(F378,IMPORTRANGE(""https://docs.google.com/spreadsheets/d/1Kvs4KS76FHFqLFIZfrDMff4kP08nblUkihrxltoGBjg/edit#gid=934712705"",""ESENCIAL!A6:BG""),5,FALSE))"),"")</f>
        <v/>
      </c>
      <c r="BG364" s="98" t="str">
        <f t="shared" si="17"/>
        <v/>
      </c>
      <c r="BH364" s="99" t="str">
        <f t="shared" si="18"/>
        <v/>
      </c>
      <c r="BI364" s="100" t="str">
        <f ca="1">IFERROR(__xludf.DUMMYFUNCTION("IFERROR(VLOOKUP(F378,IMPORTRANGE(""https://docs.google.com/spreadsheets/d/1Kvs4KS76FHFqLFIZfrDMff4kP08nblUkihrxltoGBjg/edit#gid=934712705"",""ESENCIAL!A6:BG""),2,FALSE))"),"")</f>
        <v/>
      </c>
      <c r="BJ364" s="19" t="str">
        <f t="shared" si="19"/>
        <v/>
      </c>
      <c r="BK364" s="100"/>
      <c r="BL364" s="100"/>
    </row>
    <row r="365" spans="1:64" ht="15">
      <c r="A365" s="101"/>
      <c r="B365" s="101"/>
      <c r="G365" s="5" t="str">
        <f ca="1">IFERROR(__xludf.DUMMYFUNCTION("IFERROR(VLOOKUP(F379,IMPORTRANGE(""https://docs.google.com/spreadsheets/d/1Kvs4KS76FHFqLFIZfrDMff4kP08nblUkihrxltoGBjg/edit#gid=934712705"",""ESENCIAL!A6:BG""),3,FALSE))"),"")</f>
        <v/>
      </c>
      <c r="H365" s="5" t="str">
        <f ca="1">IFERROR(__xludf.DUMMYFUNCTION("IFERROR(VLOOKUP(F379,IMPORTRANGE(""https://docs.google.com/spreadsheets/d/1Kvs4KS76FHFqLFIZfrDMff4kP08nblUkihrxltoGBjg/edit#gid=934712705"",""ESENCIAL!A6:BG""),8,FALSE))"),"")</f>
        <v/>
      </c>
      <c r="L365" s="287"/>
      <c r="U365" s="40"/>
      <c r="AU365" s="41" t="str">
        <f t="shared" si="16"/>
        <v/>
      </c>
      <c r="AV365" s="5" t="str">
        <f ca="1">IFERROR(__xludf.DUMMYFUNCTION("IFERROR(VLOOKUP(E379&amp;F379,IMPORTRANGE(""https://docs.google.com/spreadsheets/d/1Uw7-A9f9R21vMXxHZFNpYNeKFtG8_yji4HS352LGlSQ/edit?pli=1#gid=0"",""1_ACUM!A4:S""),11,FALSE))"),"")</f>
        <v/>
      </c>
      <c r="AW365" s="42" t="str">
        <f ca="1">IFERROR(__xludf.DUMMYFUNCTION("IFERROR(VLOOKUP(F379,IMPORTRANGE(""https://docs.google.com/spreadsheets/d/1Kvs4KS76FHFqLFIZfrDMff4kP08nblUkihrxltoGBjg/edit#gid=934712705"",""ESENCIAL!A6:BG""),15,FALSE))"),"")</f>
        <v/>
      </c>
      <c r="AX365" s="21" t="str">
        <f ca="1">IFERROR(__xludf.DUMMYFUNCTION("IFERROR(VLOOKUP(E379&amp;F379,IMPORTRANGE(""https://docs.google.com/spreadsheets/d/1Uw7-A9f9R21vMXxHZFNpYNeKFtG8_yji4HS352LGlSQ/edit?pli=1#gid=0"",""1_ACUM!A4:S""),12,FALSE))"),"")</f>
        <v/>
      </c>
      <c r="AY365" s="43" t="str">
        <f ca="1">IFERROR(__xludf.DUMMYFUNCTION("IFERROR(VLOOKUP(E379&amp;F379,IMPORTRANGE(""https://docs.google.com/spreadsheets/d/1Uw7-A9f9R21vMXxHZFNpYNeKFtG8_yji4HS352LGlSQ/edit?pli=1#gid=0"",""1_ACUM!A4:S""),13,FALSE))"),"")</f>
        <v/>
      </c>
      <c r="AZ365" s="43" t="str">
        <f ca="1">IFERROR(__xludf.DUMMYFUNCTION("IFERROR(VLOOKUP(E379&amp;F379,IMPORTRANGE(""https://docs.google.com/spreadsheets/d/1Uw7-A9f9R21vMXxHZFNpYNeKFtG8_yji4HS352LGlSQ/edit?pli=1#gid=0"",""1_ACUM!A4:S""),14,FALSE))"),"")</f>
        <v/>
      </c>
      <c r="BA365" s="43" t="str">
        <f ca="1">IFERROR(__xludf.DUMMYFUNCTION("IFERROR(VLOOKUP(E379&amp;F379,IMPORTRANGE(""https://docs.google.com/spreadsheets/d/1Uw7-A9f9R21vMXxHZFNpYNeKFtG8_yji4HS352LGlSQ/edit?pli=1#gid=0"",""1_ACUM!A4:S""),15,FALSE))"),"")</f>
        <v/>
      </c>
      <c r="BB365" s="43" t="str">
        <f ca="1">IFERROR(__xludf.DUMMYFUNCTION("IFERROR(VLOOKUP(E379&amp;F379,IMPORTRANGE(""https://docs.google.com/spreadsheets/d/1Uw7-A9f9R21vMXxHZFNpYNeKFtG8_yji4HS352LGlSQ/edit?pli=1#gid=0"",""1_ACUM!A4:S""),16,FALSE))"),"")</f>
        <v/>
      </c>
      <c r="BC365" s="43" t="str">
        <f ca="1">IFERROR(__xludf.DUMMYFUNCTION("IFERROR(VLOOKUP(E379&amp;F379,IMPORTRANGE(""https://docs.google.com/spreadsheets/d/1Uw7-A9f9R21vMXxHZFNpYNeKFtG8_yji4HS352LGlSQ/edit?pli=1#gid=0"",""1_ACUM!A4:S""),17,FALSE))"),"")</f>
        <v/>
      </c>
      <c r="BD365" s="44" t="str">
        <f ca="1">IFERROR(__xludf.DUMMYFUNCTION("IFERROR(VLOOKUP(E379&amp;F379,IMPORTRANGE(""https://docs.google.com/spreadsheets/d/1Uw7-A9f9R21vMXxHZFNpYNeKFtG8_yji4HS352LGlSQ/edit?pli=1#gid=0"",""1_ACUM!A4:S""),18,FALSE))"),"")</f>
        <v/>
      </c>
      <c r="BE365" s="44" t="str">
        <f ca="1">IFERROR(__xludf.DUMMYFUNCTION("IFERROR(VLOOKUP(E379&amp;F379,IMPORTRANGE(""https://docs.google.com/spreadsheets/d/1Uw7-A9f9R21vMXxHZFNpYNeKFtG8_yji4HS352LGlSQ/edit?pli=1#gid=0"",""1_ACUM!A4:S""),19,FALSE))"),"")</f>
        <v/>
      </c>
      <c r="BF365" s="98" t="str">
        <f ca="1">IFERROR(__xludf.DUMMYFUNCTION("IFERROR(VLOOKUP(F379,IMPORTRANGE(""https://docs.google.com/spreadsheets/d/1Kvs4KS76FHFqLFIZfrDMff4kP08nblUkihrxltoGBjg/edit#gid=934712705"",""ESENCIAL!A6:BG""),5,FALSE))"),"")</f>
        <v/>
      </c>
      <c r="BG365" s="98" t="str">
        <f t="shared" si="17"/>
        <v/>
      </c>
      <c r="BH365" s="99" t="str">
        <f t="shared" si="18"/>
        <v/>
      </c>
      <c r="BI365" s="100" t="str">
        <f ca="1">IFERROR(__xludf.DUMMYFUNCTION("IFERROR(VLOOKUP(F379,IMPORTRANGE(""https://docs.google.com/spreadsheets/d/1Kvs4KS76FHFqLFIZfrDMff4kP08nblUkihrxltoGBjg/edit#gid=934712705"",""ESENCIAL!A6:BG""),2,FALSE))"),"")</f>
        <v/>
      </c>
      <c r="BJ365" s="19" t="str">
        <f t="shared" si="19"/>
        <v/>
      </c>
      <c r="BK365" s="100"/>
      <c r="BL365" s="100"/>
    </row>
    <row r="366" spans="1:64" ht="15">
      <c r="A366" s="101"/>
      <c r="B366" s="101"/>
      <c r="G366" s="5" t="str">
        <f ca="1">IFERROR(__xludf.DUMMYFUNCTION("IFERROR(VLOOKUP(F380,IMPORTRANGE(""https://docs.google.com/spreadsheets/d/1Kvs4KS76FHFqLFIZfrDMff4kP08nblUkihrxltoGBjg/edit#gid=934712705"",""ESENCIAL!A6:BG""),3,FALSE))"),"")</f>
        <v/>
      </c>
      <c r="H366" s="5" t="str">
        <f ca="1">IFERROR(__xludf.DUMMYFUNCTION("IFERROR(VLOOKUP(F380,IMPORTRANGE(""https://docs.google.com/spreadsheets/d/1Kvs4KS76FHFqLFIZfrDMff4kP08nblUkihrxltoGBjg/edit#gid=934712705"",""ESENCIAL!A6:BG""),8,FALSE))"),"")</f>
        <v/>
      </c>
      <c r="L366" s="287"/>
      <c r="U366" s="40"/>
      <c r="AU366" s="41" t="str">
        <f t="shared" si="16"/>
        <v/>
      </c>
      <c r="AV366" s="5" t="str">
        <f ca="1">IFERROR(__xludf.DUMMYFUNCTION("IFERROR(VLOOKUP(E380&amp;F380,IMPORTRANGE(""https://docs.google.com/spreadsheets/d/1Uw7-A9f9R21vMXxHZFNpYNeKFtG8_yji4HS352LGlSQ/edit?pli=1#gid=0"",""1_ACUM!A4:S""),11,FALSE))"),"")</f>
        <v/>
      </c>
      <c r="AW366" s="42" t="str">
        <f ca="1">IFERROR(__xludf.DUMMYFUNCTION("IFERROR(VLOOKUP(F380,IMPORTRANGE(""https://docs.google.com/spreadsheets/d/1Kvs4KS76FHFqLFIZfrDMff4kP08nblUkihrxltoGBjg/edit#gid=934712705"",""ESENCIAL!A6:BG""),15,FALSE))"),"")</f>
        <v/>
      </c>
      <c r="AX366" s="21" t="str">
        <f ca="1">IFERROR(__xludf.DUMMYFUNCTION("IFERROR(VLOOKUP(E380&amp;F380,IMPORTRANGE(""https://docs.google.com/spreadsheets/d/1Uw7-A9f9R21vMXxHZFNpYNeKFtG8_yji4HS352LGlSQ/edit?pli=1#gid=0"",""1_ACUM!A4:S""),12,FALSE))"),"")</f>
        <v/>
      </c>
      <c r="AY366" s="43" t="str">
        <f ca="1">IFERROR(__xludf.DUMMYFUNCTION("IFERROR(VLOOKUP(E380&amp;F380,IMPORTRANGE(""https://docs.google.com/spreadsheets/d/1Uw7-A9f9R21vMXxHZFNpYNeKFtG8_yji4HS352LGlSQ/edit?pli=1#gid=0"",""1_ACUM!A4:S""),13,FALSE))"),"")</f>
        <v/>
      </c>
      <c r="AZ366" s="43" t="str">
        <f ca="1">IFERROR(__xludf.DUMMYFUNCTION("IFERROR(VLOOKUP(E380&amp;F380,IMPORTRANGE(""https://docs.google.com/spreadsheets/d/1Uw7-A9f9R21vMXxHZFNpYNeKFtG8_yji4HS352LGlSQ/edit?pli=1#gid=0"",""1_ACUM!A4:S""),14,FALSE))"),"")</f>
        <v/>
      </c>
      <c r="BA366" s="43" t="str">
        <f ca="1">IFERROR(__xludf.DUMMYFUNCTION("IFERROR(VLOOKUP(E380&amp;F380,IMPORTRANGE(""https://docs.google.com/spreadsheets/d/1Uw7-A9f9R21vMXxHZFNpYNeKFtG8_yji4HS352LGlSQ/edit?pli=1#gid=0"",""1_ACUM!A4:S""),15,FALSE))"),"")</f>
        <v/>
      </c>
      <c r="BB366" s="43" t="str">
        <f ca="1">IFERROR(__xludf.DUMMYFUNCTION("IFERROR(VLOOKUP(E380&amp;F380,IMPORTRANGE(""https://docs.google.com/spreadsheets/d/1Uw7-A9f9R21vMXxHZFNpYNeKFtG8_yji4HS352LGlSQ/edit?pli=1#gid=0"",""1_ACUM!A4:S""),16,FALSE))"),"")</f>
        <v/>
      </c>
      <c r="BC366" s="43" t="str">
        <f ca="1">IFERROR(__xludf.DUMMYFUNCTION("IFERROR(VLOOKUP(E380&amp;F380,IMPORTRANGE(""https://docs.google.com/spreadsheets/d/1Uw7-A9f9R21vMXxHZFNpYNeKFtG8_yji4HS352LGlSQ/edit?pli=1#gid=0"",""1_ACUM!A4:S""),17,FALSE))"),"")</f>
        <v/>
      </c>
      <c r="BD366" s="44" t="str">
        <f ca="1">IFERROR(__xludf.DUMMYFUNCTION("IFERROR(VLOOKUP(E380&amp;F380,IMPORTRANGE(""https://docs.google.com/spreadsheets/d/1Uw7-A9f9R21vMXxHZFNpYNeKFtG8_yji4HS352LGlSQ/edit?pli=1#gid=0"",""1_ACUM!A4:S""),18,FALSE))"),"")</f>
        <v/>
      </c>
      <c r="BE366" s="44" t="str">
        <f ca="1">IFERROR(__xludf.DUMMYFUNCTION("IFERROR(VLOOKUP(E380&amp;F380,IMPORTRANGE(""https://docs.google.com/spreadsheets/d/1Uw7-A9f9R21vMXxHZFNpYNeKFtG8_yji4HS352LGlSQ/edit?pli=1#gid=0"",""1_ACUM!A4:S""),19,FALSE))"),"")</f>
        <v/>
      </c>
      <c r="BF366" s="98" t="str">
        <f ca="1">IFERROR(__xludf.DUMMYFUNCTION("IFERROR(VLOOKUP(F380,IMPORTRANGE(""https://docs.google.com/spreadsheets/d/1Kvs4KS76FHFqLFIZfrDMff4kP08nblUkihrxltoGBjg/edit#gid=934712705"",""ESENCIAL!A6:BG""),5,FALSE))"),"")</f>
        <v/>
      </c>
      <c r="BG366" s="98" t="str">
        <f t="shared" si="17"/>
        <v/>
      </c>
      <c r="BH366" s="99" t="str">
        <f t="shared" si="18"/>
        <v/>
      </c>
      <c r="BI366" s="100" t="str">
        <f ca="1">IFERROR(__xludf.DUMMYFUNCTION("IFERROR(VLOOKUP(F380,IMPORTRANGE(""https://docs.google.com/spreadsheets/d/1Kvs4KS76FHFqLFIZfrDMff4kP08nblUkihrxltoGBjg/edit#gid=934712705"",""ESENCIAL!A6:BG""),2,FALSE))"),"")</f>
        <v/>
      </c>
      <c r="BJ366" s="19" t="str">
        <f t="shared" si="19"/>
        <v/>
      </c>
      <c r="BK366" s="100"/>
      <c r="BL366" s="100"/>
    </row>
    <row r="367" spans="1:64" ht="15">
      <c r="A367" s="101"/>
      <c r="B367" s="101"/>
      <c r="G367" s="5" t="str">
        <f ca="1">IFERROR(__xludf.DUMMYFUNCTION("IFERROR(VLOOKUP(F381,IMPORTRANGE(""https://docs.google.com/spreadsheets/d/1Kvs4KS76FHFqLFIZfrDMff4kP08nblUkihrxltoGBjg/edit#gid=934712705"",""ESENCIAL!A6:BG""),3,FALSE))"),"")</f>
        <v/>
      </c>
      <c r="H367" s="5" t="str">
        <f ca="1">IFERROR(__xludf.DUMMYFUNCTION("IFERROR(VLOOKUP(F381,IMPORTRANGE(""https://docs.google.com/spreadsheets/d/1Kvs4KS76FHFqLFIZfrDMff4kP08nblUkihrxltoGBjg/edit#gid=934712705"",""ESENCIAL!A6:BG""),8,FALSE))"),"")</f>
        <v/>
      </c>
      <c r="L367" s="287"/>
      <c r="U367" s="40"/>
      <c r="AU367" s="41" t="str">
        <f t="shared" si="16"/>
        <v/>
      </c>
      <c r="AV367" s="5" t="str">
        <f ca="1">IFERROR(__xludf.DUMMYFUNCTION("IFERROR(VLOOKUP(E381&amp;F381,IMPORTRANGE(""https://docs.google.com/spreadsheets/d/1Uw7-A9f9R21vMXxHZFNpYNeKFtG8_yji4HS352LGlSQ/edit?pli=1#gid=0"",""1_ACUM!A4:S""),11,FALSE))"),"")</f>
        <v/>
      </c>
      <c r="AW367" s="42" t="str">
        <f ca="1">IFERROR(__xludf.DUMMYFUNCTION("IFERROR(VLOOKUP(F381,IMPORTRANGE(""https://docs.google.com/spreadsheets/d/1Kvs4KS76FHFqLFIZfrDMff4kP08nblUkihrxltoGBjg/edit#gid=934712705"",""ESENCIAL!A6:BG""),15,FALSE))"),"")</f>
        <v/>
      </c>
      <c r="AX367" s="21" t="str">
        <f ca="1">IFERROR(__xludf.DUMMYFUNCTION("IFERROR(VLOOKUP(E381&amp;F381,IMPORTRANGE(""https://docs.google.com/spreadsheets/d/1Uw7-A9f9R21vMXxHZFNpYNeKFtG8_yji4HS352LGlSQ/edit?pli=1#gid=0"",""1_ACUM!A4:S""),12,FALSE))"),"")</f>
        <v/>
      </c>
      <c r="AY367" s="43" t="str">
        <f ca="1">IFERROR(__xludf.DUMMYFUNCTION("IFERROR(VLOOKUP(E381&amp;F381,IMPORTRANGE(""https://docs.google.com/spreadsheets/d/1Uw7-A9f9R21vMXxHZFNpYNeKFtG8_yji4HS352LGlSQ/edit?pli=1#gid=0"",""1_ACUM!A4:S""),13,FALSE))"),"")</f>
        <v/>
      </c>
      <c r="AZ367" s="43" t="str">
        <f ca="1">IFERROR(__xludf.DUMMYFUNCTION("IFERROR(VLOOKUP(E381&amp;F381,IMPORTRANGE(""https://docs.google.com/spreadsheets/d/1Uw7-A9f9R21vMXxHZFNpYNeKFtG8_yji4HS352LGlSQ/edit?pli=1#gid=0"",""1_ACUM!A4:S""),14,FALSE))"),"")</f>
        <v/>
      </c>
      <c r="BA367" s="43" t="str">
        <f ca="1">IFERROR(__xludf.DUMMYFUNCTION("IFERROR(VLOOKUP(E381&amp;F381,IMPORTRANGE(""https://docs.google.com/spreadsheets/d/1Uw7-A9f9R21vMXxHZFNpYNeKFtG8_yji4HS352LGlSQ/edit?pli=1#gid=0"",""1_ACUM!A4:S""),15,FALSE))"),"")</f>
        <v/>
      </c>
      <c r="BB367" s="43" t="str">
        <f ca="1">IFERROR(__xludf.DUMMYFUNCTION("IFERROR(VLOOKUP(E381&amp;F381,IMPORTRANGE(""https://docs.google.com/spreadsheets/d/1Uw7-A9f9R21vMXxHZFNpYNeKFtG8_yji4HS352LGlSQ/edit?pli=1#gid=0"",""1_ACUM!A4:S""),16,FALSE))"),"")</f>
        <v/>
      </c>
      <c r="BC367" s="43" t="str">
        <f ca="1">IFERROR(__xludf.DUMMYFUNCTION("IFERROR(VLOOKUP(E381&amp;F381,IMPORTRANGE(""https://docs.google.com/spreadsheets/d/1Uw7-A9f9R21vMXxHZFNpYNeKFtG8_yji4HS352LGlSQ/edit?pli=1#gid=0"",""1_ACUM!A4:S""),17,FALSE))"),"")</f>
        <v/>
      </c>
      <c r="BD367" s="44" t="str">
        <f ca="1">IFERROR(__xludf.DUMMYFUNCTION("IFERROR(VLOOKUP(E381&amp;F381,IMPORTRANGE(""https://docs.google.com/spreadsheets/d/1Uw7-A9f9R21vMXxHZFNpYNeKFtG8_yji4HS352LGlSQ/edit?pli=1#gid=0"",""1_ACUM!A4:S""),18,FALSE))"),"")</f>
        <v/>
      </c>
      <c r="BE367" s="44" t="str">
        <f ca="1">IFERROR(__xludf.DUMMYFUNCTION("IFERROR(VLOOKUP(E381&amp;F381,IMPORTRANGE(""https://docs.google.com/spreadsheets/d/1Uw7-A9f9R21vMXxHZFNpYNeKFtG8_yji4HS352LGlSQ/edit?pli=1#gid=0"",""1_ACUM!A4:S""),19,FALSE))"),"")</f>
        <v/>
      </c>
      <c r="BF367" s="98" t="str">
        <f ca="1">IFERROR(__xludf.DUMMYFUNCTION("IFERROR(VLOOKUP(F381,IMPORTRANGE(""https://docs.google.com/spreadsheets/d/1Kvs4KS76FHFqLFIZfrDMff4kP08nblUkihrxltoGBjg/edit#gid=934712705"",""ESENCIAL!A6:BG""),5,FALSE))"),"")</f>
        <v/>
      </c>
      <c r="BG367" s="98" t="str">
        <f t="shared" si="17"/>
        <v/>
      </c>
      <c r="BH367" s="99" t="str">
        <f t="shared" si="18"/>
        <v/>
      </c>
      <c r="BI367" s="100" t="str">
        <f ca="1">IFERROR(__xludf.DUMMYFUNCTION("IFERROR(VLOOKUP(F381,IMPORTRANGE(""https://docs.google.com/spreadsheets/d/1Kvs4KS76FHFqLFIZfrDMff4kP08nblUkihrxltoGBjg/edit#gid=934712705"",""ESENCIAL!A6:BG""),2,FALSE))"),"")</f>
        <v/>
      </c>
      <c r="BJ367" s="19" t="str">
        <f t="shared" si="19"/>
        <v/>
      </c>
      <c r="BK367" s="100"/>
      <c r="BL367" s="100"/>
    </row>
    <row r="368" spans="1:64" ht="15">
      <c r="A368" s="101"/>
      <c r="B368" s="101"/>
      <c r="G368" s="5" t="str">
        <f ca="1">IFERROR(__xludf.DUMMYFUNCTION("IFERROR(VLOOKUP(F382,IMPORTRANGE(""https://docs.google.com/spreadsheets/d/1Kvs4KS76FHFqLFIZfrDMff4kP08nblUkihrxltoGBjg/edit#gid=934712705"",""ESENCIAL!A6:BG""),3,FALSE))"),"")</f>
        <v/>
      </c>
      <c r="H368" s="5" t="str">
        <f ca="1">IFERROR(__xludf.DUMMYFUNCTION("IFERROR(VLOOKUP(F382,IMPORTRANGE(""https://docs.google.com/spreadsheets/d/1Kvs4KS76FHFqLFIZfrDMff4kP08nblUkihrxltoGBjg/edit#gid=934712705"",""ESENCIAL!A6:BG""),8,FALSE))"),"")</f>
        <v/>
      </c>
      <c r="L368" s="287"/>
      <c r="U368" s="40"/>
      <c r="AU368" s="41" t="str">
        <f t="shared" si="16"/>
        <v/>
      </c>
      <c r="AV368" s="5" t="str">
        <f ca="1">IFERROR(__xludf.DUMMYFUNCTION("IFERROR(VLOOKUP(E382&amp;F382,IMPORTRANGE(""https://docs.google.com/spreadsheets/d/1Uw7-A9f9R21vMXxHZFNpYNeKFtG8_yji4HS352LGlSQ/edit?pli=1#gid=0"",""1_ACUM!A4:S""),11,FALSE))"),"")</f>
        <v/>
      </c>
      <c r="AW368" s="42" t="str">
        <f ca="1">IFERROR(__xludf.DUMMYFUNCTION("IFERROR(VLOOKUP(F382,IMPORTRANGE(""https://docs.google.com/spreadsheets/d/1Kvs4KS76FHFqLFIZfrDMff4kP08nblUkihrxltoGBjg/edit#gid=934712705"",""ESENCIAL!A6:BG""),15,FALSE))"),"")</f>
        <v/>
      </c>
      <c r="AX368" s="21" t="str">
        <f ca="1">IFERROR(__xludf.DUMMYFUNCTION("IFERROR(VLOOKUP(E382&amp;F382,IMPORTRANGE(""https://docs.google.com/spreadsheets/d/1Uw7-A9f9R21vMXxHZFNpYNeKFtG8_yji4HS352LGlSQ/edit?pli=1#gid=0"",""1_ACUM!A4:S""),12,FALSE))"),"")</f>
        <v/>
      </c>
      <c r="AY368" s="43" t="str">
        <f ca="1">IFERROR(__xludf.DUMMYFUNCTION("IFERROR(VLOOKUP(E382&amp;F382,IMPORTRANGE(""https://docs.google.com/spreadsheets/d/1Uw7-A9f9R21vMXxHZFNpYNeKFtG8_yji4HS352LGlSQ/edit?pli=1#gid=0"",""1_ACUM!A4:S""),13,FALSE))"),"")</f>
        <v/>
      </c>
      <c r="AZ368" s="43" t="str">
        <f ca="1">IFERROR(__xludf.DUMMYFUNCTION("IFERROR(VLOOKUP(E382&amp;F382,IMPORTRANGE(""https://docs.google.com/spreadsheets/d/1Uw7-A9f9R21vMXxHZFNpYNeKFtG8_yji4HS352LGlSQ/edit?pli=1#gid=0"",""1_ACUM!A4:S""),14,FALSE))"),"")</f>
        <v/>
      </c>
      <c r="BA368" s="43" t="str">
        <f ca="1">IFERROR(__xludf.DUMMYFUNCTION("IFERROR(VLOOKUP(E382&amp;F382,IMPORTRANGE(""https://docs.google.com/spreadsheets/d/1Uw7-A9f9R21vMXxHZFNpYNeKFtG8_yji4HS352LGlSQ/edit?pli=1#gid=0"",""1_ACUM!A4:S""),15,FALSE))"),"")</f>
        <v/>
      </c>
      <c r="BB368" s="43" t="str">
        <f ca="1">IFERROR(__xludf.DUMMYFUNCTION("IFERROR(VLOOKUP(E382&amp;F382,IMPORTRANGE(""https://docs.google.com/spreadsheets/d/1Uw7-A9f9R21vMXxHZFNpYNeKFtG8_yji4HS352LGlSQ/edit?pli=1#gid=0"",""1_ACUM!A4:S""),16,FALSE))"),"")</f>
        <v/>
      </c>
      <c r="BC368" s="43" t="str">
        <f ca="1">IFERROR(__xludf.DUMMYFUNCTION("IFERROR(VLOOKUP(E382&amp;F382,IMPORTRANGE(""https://docs.google.com/spreadsheets/d/1Uw7-A9f9R21vMXxHZFNpYNeKFtG8_yji4HS352LGlSQ/edit?pli=1#gid=0"",""1_ACUM!A4:S""),17,FALSE))"),"")</f>
        <v/>
      </c>
      <c r="BD368" s="44" t="str">
        <f ca="1">IFERROR(__xludf.DUMMYFUNCTION("IFERROR(VLOOKUP(E382&amp;F382,IMPORTRANGE(""https://docs.google.com/spreadsheets/d/1Uw7-A9f9R21vMXxHZFNpYNeKFtG8_yji4HS352LGlSQ/edit?pli=1#gid=0"",""1_ACUM!A4:S""),18,FALSE))"),"")</f>
        <v/>
      </c>
      <c r="BE368" s="44" t="str">
        <f ca="1">IFERROR(__xludf.DUMMYFUNCTION("IFERROR(VLOOKUP(E382&amp;F382,IMPORTRANGE(""https://docs.google.com/spreadsheets/d/1Uw7-A9f9R21vMXxHZFNpYNeKFtG8_yji4HS352LGlSQ/edit?pli=1#gid=0"",""1_ACUM!A4:S""),19,FALSE))"),"")</f>
        <v/>
      </c>
      <c r="BF368" s="98" t="str">
        <f ca="1">IFERROR(__xludf.DUMMYFUNCTION("IFERROR(VLOOKUP(F382,IMPORTRANGE(""https://docs.google.com/spreadsheets/d/1Kvs4KS76FHFqLFIZfrDMff4kP08nblUkihrxltoGBjg/edit#gid=934712705"",""ESENCIAL!A6:BG""),5,FALSE))"),"")</f>
        <v/>
      </c>
      <c r="BG368" s="98" t="str">
        <f t="shared" si="17"/>
        <v/>
      </c>
      <c r="BH368" s="99" t="str">
        <f t="shared" si="18"/>
        <v/>
      </c>
      <c r="BI368" s="100" t="str">
        <f ca="1">IFERROR(__xludf.DUMMYFUNCTION("IFERROR(VLOOKUP(F382,IMPORTRANGE(""https://docs.google.com/spreadsheets/d/1Kvs4KS76FHFqLFIZfrDMff4kP08nblUkihrxltoGBjg/edit#gid=934712705"",""ESENCIAL!A6:BG""),2,FALSE))"),"")</f>
        <v/>
      </c>
      <c r="BJ368" s="19" t="str">
        <f t="shared" si="19"/>
        <v/>
      </c>
      <c r="BK368" s="100"/>
      <c r="BL368" s="100"/>
    </row>
    <row r="369" spans="1:64" ht="15">
      <c r="A369" s="101"/>
      <c r="B369" s="101"/>
      <c r="G369" s="5" t="str">
        <f ca="1">IFERROR(__xludf.DUMMYFUNCTION("IFERROR(VLOOKUP(F383,IMPORTRANGE(""https://docs.google.com/spreadsheets/d/1Kvs4KS76FHFqLFIZfrDMff4kP08nblUkihrxltoGBjg/edit#gid=934712705"",""ESENCIAL!A6:BG""),3,FALSE))"),"")</f>
        <v/>
      </c>
      <c r="H369" s="5" t="str">
        <f ca="1">IFERROR(__xludf.DUMMYFUNCTION("IFERROR(VLOOKUP(F383,IMPORTRANGE(""https://docs.google.com/spreadsheets/d/1Kvs4KS76FHFqLFIZfrDMff4kP08nblUkihrxltoGBjg/edit#gid=934712705"",""ESENCIAL!A6:BG""),8,FALSE))"),"")</f>
        <v/>
      </c>
      <c r="L369" s="287"/>
      <c r="U369" s="40"/>
      <c r="AU369" s="41" t="str">
        <f t="shared" si="16"/>
        <v/>
      </c>
      <c r="AV369" s="5" t="str">
        <f ca="1">IFERROR(__xludf.DUMMYFUNCTION("IFERROR(VLOOKUP(E383&amp;F383,IMPORTRANGE(""https://docs.google.com/spreadsheets/d/1Uw7-A9f9R21vMXxHZFNpYNeKFtG8_yji4HS352LGlSQ/edit?pli=1#gid=0"",""1_ACUM!A4:S""),11,FALSE))"),"")</f>
        <v/>
      </c>
      <c r="AW369" s="42" t="str">
        <f ca="1">IFERROR(__xludf.DUMMYFUNCTION("IFERROR(VLOOKUP(F383,IMPORTRANGE(""https://docs.google.com/spreadsheets/d/1Kvs4KS76FHFqLFIZfrDMff4kP08nblUkihrxltoGBjg/edit#gid=934712705"",""ESENCIAL!A6:BG""),15,FALSE))"),"")</f>
        <v/>
      </c>
      <c r="AX369" s="21" t="str">
        <f ca="1">IFERROR(__xludf.DUMMYFUNCTION("IFERROR(VLOOKUP(E383&amp;F383,IMPORTRANGE(""https://docs.google.com/spreadsheets/d/1Uw7-A9f9R21vMXxHZFNpYNeKFtG8_yji4HS352LGlSQ/edit?pli=1#gid=0"",""1_ACUM!A4:S""),12,FALSE))"),"")</f>
        <v/>
      </c>
      <c r="AY369" s="43" t="str">
        <f ca="1">IFERROR(__xludf.DUMMYFUNCTION("IFERROR(VLOOKUP(E383&amp;F383,IMPORTRANGE(""https://docs.google.com/spreadsheets/d/1Uw7-A9f9R21vMXxHZFNpYNeKFtG8_yji4HS352LGlSQ/edit?pli=1#gid=0"",""1_ACUM!A4:S""),13,FALSE))"),"")</f>
        <v/>
      </c>
      <c r="AZ369" s="43" t="str">
        <f ca="1">IFERROR(__xludf.DUMMYFUNCTION("IFERROR(VLOOKUP(E383&amp;F383,IMPORTRANGE(""https://docs.google.com/spreadsheets/d/1Uw7-A9f9R21vMXxHZFNpYNeKFtG8_yji4HS352LGlSQ/edit?pli=1#gid=0"",""1_ACUM!A4:S""),14,FALSE))"),"")</f>
        <v/>
      </c>
      <c r="BA369" s="43" t="str">
        <f ca="1">IFERROR(__xludf.DUMMYFUNCTION("IFERROR(VLOOKUP(E383&amp;F383,IMPORTRANGE(""https://docs.google.com/spreadsheets/d/1Uw7-A9f9R21vMXxHZFNpYNeKFtG8_yji4HS352LGlSQ/edit?pli=1#gid=0"",""1_ACUM!A4:S""),15,FALSE))"),"")</f>
        <v/>
      </c>
      <c r="BB369" s="43" t="str">
        <f ca="1">IFERROR(__xludf.DUMMYFUNCTION("IFERROR(VLOOKUP(E383&amp;F383,IMPORTRANGE(""https://docs.google.com/spreadsheets/d/1Uw7-A9f9R21vMXxHZFNpYNeKFtG8_yji4HS352LGlSQ/edit?pli=1#gid=0"",""1_ACUM!A4:S""),16,FALSE))"),"")</f>
        <v/>
      </c>
      <c r="BC369" s="43" t="str">
        <f ca="1">IFERROR(__xludf.DUMMYFUNCTION("IFERROR(VLOOKUP(E383&amp;F383,IMPORTRANGE(""https://docs.google.com/spreadsheets/d/1Uw7-A9f9R21vMXxHZFNpYNeKFtG8_yji4HS352LGlSQ/edit?pli=1#gid=0"",""1_ACUM!A4:S""),17,FALSE))"),"")</f>
        <v/>
      </c>
      <c r="BD369" s="44" t="str">
        <f ca="1">IFERROR(__xludf.DUMMYFUNCTION("IFERROR(VLOOKUP(E383&amp;F383,IMPORTRANGE(""https://docs.google.com/spreadsheets/d/1Uw7-A9f9R21vMXxHZFNpYNeKFtG8_yji4HS352LGlSQ/edit?pli=1#gid=0"",""1_ACUM!A4:S""),18,FALSE))"),"")</f>
        <v/>
      </c>
      <c r="BE369" s="44" t="str">
        <f ca="1">IFERROR(__xludf.DUMMYFUNCTION("IFERROR(VLOOKUP(E383&amp;F383,IMPORTRANGE(""https://docs.google.com/spreadsheets/d/1Uw7-A9f9R21vMXxHZFNpYNeKFtG8_yji4HS352LGlSQ/edit?pli=1#gid=0"",""1_ACUM!A4:S""),19,FALSE))"),"")</f>
        <v/>
      </c>
      <c r="BF369" s="98" t="str">
        <f ca="1">IFERROR(__xludf.DUMMYFUNCTION("IFERROR(VLOOKUP(F383,IMPORTRANGE(""https://docs.google.com/spreadsheets/d/1Kvs4KS76FHFqLFIZfrDMff4kP08nblUkihrxltoGBjg/edit#gid=934712705"",""ESENCIAL!A6:BG""),5,FALSE))"),"")</f>
        <v/>
      </c>
      <c r="BG369" s="98" t="str">
        <f t="shared" si="17"/>
        <v/>
      </c>
      <c r="BH369" s="99" t="str">
        <f t="shared" si="18"/>
        <v/>
      </c>
      <c r="BI369" s="100" t="str">
        <f ca="1">IFERROR(__xludf.DUMMYFUNCTION("IFERROR(VLOOKUP(F383,IMPORTRANGE(""https://docs.google.com/spreadsheets/d/1Kvs4KS76FHFqLFIZfrDMff4kP08nblUkihrxltoGBjg/edit#gid=934712705"",""ESENCIAL!A6:BG""),2,FALSE))"),"")</f>
        <v/>
      </c>
      <c r="BJ369" s="19" t="str">
        <f t="shared" si="19"/>
        <v/>
      </c>
      <c r="BK369" s="100"/>
      <c r="BL369" s="100"/>
    </row>
    <row r="370" spans="1:64" ht="15">
      <c r="A370" s="101"/>
      <c r="B370" s="101"/>
      <c r="G370" s="5" t="str">
        <f ca="1">IFERROR(__xludf.DUMMYFUNCTION("IFERROR(VLOOKUP(F384,IMPORTRANGE(""https://docs.google.com/spreadsheets/d/1Kvs4KS76FHFqLFIZfrDMff4kP08nblUkihrxltoGBjg/edit#gid=934712705"",""ESENCIAL!A6:BG""),3,FALSE))"),"")</f>
        <v/>
      </c>
      <c r="H370" s="5" t="str">
        <f ca="1">IFERROR(__xludf.DUMMYFUNCTION("IFERROR(VLOOKUP(F384,IMPORTRANGE(""https://docs.google.com/spreadsheets/d/1Kvs4KS76FHFqLFIZfrDMff4kP08nblUkihrxltoGBjg/edit#gid=934712705"",""ESENCIAL!A6:BG""),8,FALSE))"),"")</f>
        <v/>
      </c>
      <c r="L370" s="287"/>
      <c r="U370" s="40"/>
      <c r="AU370" s="41" t="str">
        <f t="shared" si="16"/>
        <v/>
      </c>
      <c r="AV370" s="5" t="str">
        <f ca="1">IFERROR(__xludf.DUMMYFUNCTION("IFERROR(VLOOKUP(E384&amp;F384,IMPORTRANGE(""https://docs.google.com/spreadsheets/d/1Uw7-A9f9R21vMXxHZFNpYNeKFtG8_yji4HS352LGlSQ/edit?pli=1#gid=0"",""1_ACUM!A4:S""),11,FALSE))"),"")</f>
        <v/>
      </c>
      <c r="AW370" s="42" t="str">
        <f ca="1">IFERROR(__xludf.DUMMYFUNCTION("IFERROR(VLOOKUP(F384,IMPORTRANGE(""https://docs.google.com/spreadsheets/d/1Kvs4KS76FHFqLFIZfrDMff4kP08nblUkihrxltoGBjg/edit#gid=934712705"",""ESENCIAL!A6:BG""),15,FALSE))"),"")</f>
        <v/>
      </c>
      <c r="AX370" s="21" t="str">
        <f ca="1">IFERROR(__xludf.DUMMYFUNCTION("IFERROR(VLOOKUP(E384&amp;F384,IMPORTRANGE(""https://docs.google.com/spreadsheets/d/1Uw7-A9f9R21vMXxHZFNpYNeKFtG8_yji4HS352LGlSQ/edit?pli=1#gid=0"",""1_ACUM!A4:S""),12,FALSE))"),"")</f>
        <v/>
      </c>
      <c r="AY370" s="43" t="str">
        <f ca="1">IFERROR(__xludf.DUMMYFUNCTION("IFERROR(VLOOKUP(E384&amp;F384,IMPORTRANGE(""https://docs.google.com/spreadsheets/d/1Uw7-A9f9R21vMXxHZFNpYNeKFtG8_yji4HS352LGlSQ/edit?pli=1#gid=0"",""1_ACUM!A4:S""),13,FALSE))"),"")</f>
        <v/>
      </c>
      <c r="AZ370" s="43" t="str">
        <f ca="1">IFERROR(__xludf.DUMMYFUNCTION("IFERROR(VLOOKUP(E384&amp;F384,IMPORTRANGE(""https://docs.google.com/spreadsheets/d/1Uw7-A9f9R21vMXxHZFNpYNeKFtG8_yji4HS352LGlSQ/edit?pli=1#gid=0"",""1_ACUM!A4:S""),14,FALSE))"),"")</f>
        <v/>
      </c>
      <c r="BA370" s="43" t="str">
        <f ca="1">IFERROR(__xludf.DUMMYFUNCTION("IFERROR(VLOOKUP(E384&amp;F384,IMPORTRANGE(""https://docs.google.com/spreadsheets/d/1Uw7-A9f9R21vMXxHZFNpYNeKFtG8_yji4HS352LGlSQ/edit?pli=1#gid=0"",""1_ACUM!A4:S""),15,FALSE))"),"")</f>
        <v/>
      </c>
      <c r="BB370" s="43" t="str">
        <f ca="1">IFERROR(__xludf.DUMMYFUNCTION("IFERROR(VLOOKUP(E384&amp;F384,IMPORTRANGE(""https://docs.google.com/spreadsheets/d/1Uw7-A9f9R21vMXxHZFNpYNeKFtG8_yji4HS352LGlSQ/edit?pli=1#gid=0"",""1_ACUM!A4:S""),16,FALSE))"),"")</f>
        <v/>
      </c>
      <c r="BC370" s="43" t="str">
        <f ca="1">IFERROR(__xludf.DUMMYFUNCTION("IFERROR(VLOOKUP(E384&amp;F384,IMPORTRANGE(""https://docs.google.com/spreadsheets/d/1Uw7-A9f9R21vMXxHZFNpYNeKFtG8_yji4HS352LGlSQ/edit?pli=1#gid=0"",""1_ACUM!A4:S""),17,FALSE))"),"")</f>
        <v/>
      </c>
      <c r="BD370" s="44" t="str">
        <f ca="1">IFERROR(__xludf.DUMMYFUNCTION("IFERROR(VLOOKUP(E384&amp;F384,IMPORTRANGE(""https://docs.google.com/spreadsheets/d/1Uw7-A9f9R21vMXxHZFNpYNeKFtG8_yji4HS352LGlSQ/edit?pli=1#gid=0"",""1_ACUM!A4:S""),18,FALSE))"),"")</f>
        <v/>
      </c>
      <c r="BE370" s="44" t="str">
        <f ca="1">IFERROR(__xludf.DUMMYFUNCTION("IFERROR(VLOOKUP(E384&amp;F384,IMPORTRANGE(""https://docs.google.com/spreadsheets/d/1Uw7-A9f9R21vMXxHZFNpYNeKFtG8_yji4HS352LGlSQ/edit?pli=1#gid=0"",""1_ACUM!A4:S""),19,FALSE))"),"")</f>
        <v/>
      </c>
      <c r="BF370" s="98" t="str">
        <f ca="1">IFERROR(__xludf.DUMMYFUNCTION("IFERROR(VLOOKUP(F384,IMPORTRANGE(""https://docs.google.com/spreadsheets/d/1Kvs4KS76FHFqLFIZfrDMff4kP08nblUkihrxltoGBjg/edit#gid=934712705"",""ESENCIAL!A6:BG""),5,FALSE))"),"")</f>
        <v/>
      </c>
      <c r="BG370" s="98" t="str">
        <f t="shared" si="17"/>
        <v/>
      </c>
      <c r="BH370" s="99" t="str">
        <f t="shared" si="18"/>
        <v/>
      </c>
      <c r="BI370" s="100" t="str">
        <f ca="1">IFERROR(__xludf.DUMMYFUNCTION("IFERROR(VLOOKUP(F384,IMPORTRANGE(""https://docs.google.com/spreadsheets/d/1Kvs4KS76FHFqLFIZfrDMff4kP08nblUkihrxltoGBjg/edit#gid=934712705"",""ESENCIAL!A6:BG""),2,FALSE))"),"")</f>
        <v/>
      </c>
      <c r="BJ370" s="19" t="str">
        <f t="shared" si="19"/>
        <v/>
      </c>
      <c r="BK370" s="100"/>
      <c r="BL370" s="100"/>
    </row>
    <row r="371" spans="1:64" ht="15">
      <c r="A371" s="101"/>
      <c r="B371" s="101"/>
      <c r="G371" s="5" t="str">
        <f ca="1">IFERROR(__xludf.DUMMYFUNCTION("IFERROR(VLOOKUP(F385,IMPORTRANGE(""https://docs.google.com/spreadsheets/d/1Kvs4KS76FHFqLFIZfrDMff4kP08nblUkihrxltoGBjg/edit#gid=934712705"",""ESENCIAL!A6:BG""),3,FALSE))"),"")</f>
        <v/>
      </c>
      <c r="H371" s="5" t="str">
        <f ca="1">IFERROR(__xludf.DUMMYFUNCTION("IFERROR(VLOOKUP(F385,IMPORTRANGE(""https://docs.google.com/spreadsheets/d/1Kvs4KS76FHFqLFIZfrDMff4kP08nblUkihrxltoGBjg/edit#gid=934712705"",""ESENCIAL!A6:BG""),8,FALSE))"),"")</f>
        <v/>
      </c>
      <c r="L371" s="287"/>
      <c r="U371" s="40"/>
      <c r="AU371" s="41" t="str">
        <f t="shared" si="16"/>
        <v/>
      </c>
      <c r="AV371" s="5" t="str">
        <f ca="1">IFERROR(__xludf.DUMMYFUNCTION("IFERROR(VLOOKUP(E385&amp;F385,IMPORTRANGE(""https://docs.google.com/spreadsheets/d/1Uw7-A9f9R21vMXxHZFNpYNeKFtG8_yji4HS352LGlSQ/edit?pli=1#gid=0"",""1_ACUM!A4:S""),11,FALSE))"),"")</f>
        <v/>
      </c>
      <c r="AW371" s="42" t="str">
        <f ca="1">IFERROR(__xludf.DUMMYFUNCTION("IFERROR(VLOOKUP(F385,IMPORTRANGE(""https://docs.google.com/spreadsheets/d/1Kvs4KS76FHFqLFIZfrDMff4kP08nblUkihrxltoGBjg/edit#gid=934712705"",""ESENCIAL!A6:BG""),15,FALSE))"),"")</f>
        <v/>
      </c>
      <c r="AX371" s="21" t="str">
        <f ca="1">IFERROR(__xludf.DUMMYFUNCTION("IFERROR(VLOOKUP(E385&amp;F385,IMPORTRANGE(""https://docs.google.com/spreadsheets/d/1Uw7-A9f9R21vMXxHZFNpYNeKFtG8_yji4HS352LGlSQ/edit?pli=1#gid=0"",""1_ACUM!A4:S""),12,FALSE))"),"")</f>
        <v/>
      </c>
      <c r="AY371" s="43" t="str">
        <f ca="1">IFERROR(__xludf.DUMMYFUNCTION("IFERROR(VLOOKUP(E385&amp;F385,IMPORTRANGE(""https://docs.google.com/spreadsheets/d/1Uw7-A9f9R21vMXxHZFNpYNeKFtG8_yji4HS352LGlSQ/edit?pli=1#gid=0"",""1_ACUM!A4:S""),13,FALSE))"),"")</f>
        <v/>
      </c>
      <c r="AZ371" s="43" t="str">
        <f ca="1">IFERROR(__xludf.DUMMYFUNCTION("IFERROR(VLOOKUP(E385&amp;F385,IMPORTRANGE(""https://docs.google.com/spreadsheets/d/1Uw7-A9f9R21vMXxHZFNpYNeKFtG8_yji4HS352LGlSQ/edit?pli=1#gid=0"",""1_ACUM!A4:S""),14,FALSE))"),"")</f>
        <v/>
      </c>
      <c r="BA371" s="43" t="str">
        <f ca="1">IFERROR(__xludf.DUMMYFUNCTION("IFERROR(VLOOKUP(E385&amp;F385,IMPORTRANGE(""https://docs.google.com/spreadsheets/d/1Uw7-A9f9R21vMXxHZFNpYNeKFtG8_yji4HS352LGlSQ/edit?pli=1#gid=0"",""1_ACUM!A4:S""),15,FALSE))"),"")</f>
        <v/>
      </c>
      <c r="BB371" s="43" t="str">
        <f ca="1">IFERROR(__xludf.DUMMYFUNCTION("IFERROR(VLOOKUP(E385&amp;F385,IMPORTRANGE(""https://docs.google.com/spreadsheets/d/1Uw7-A9f9R21vMXxHZFNpYNeKFtG8_yji4HS352LGlSQ/edit?pli=1#gid=0"",""1_ACUM!A4:S""),16,FALSE))"),"")</f>
        <v/>
      </c>
      <c r="BC371" s="43" t="str">
        <f ca="1">IFERROR(__xludf.DUMMYFUNCTION("IFERROR(VLOOKUP(E385&amp;F385,IMPORTRANGE(""https://docs.google.com/spreadsheets/d/1Uw7-A9f9R21vMXxHZFNpYNeKFtG8_yji4HS352LGlSQ/edit?pli=1#gid=0"",""1_ACUM!A4:S""),17,FALSE))"),"")</f>
        <v/>
      </c>
      <c r="BD371" s="44" t="str">
        <f ca="1">IFERROR(__xludf.DUMMYFUNCTION("IFERROR(VLOOKUP(E385&amp;F385,IMPORTRANGE(""https://docs.google.com/spreadsheets/d/1Uw7-A9f9R21vMXxHZFNpYNeKFtG8_yji4HS352LGlSQ/edit?pli=1#gid=0"",""1_ACUM!A4:S""),18,FALSE))"),"")</f>
        <v/>
      </c>
      <c r="BE371" s="44" t="str">
        <f ca="1">IFERROR(__xludf.DUMMYFUNCTION("IFERROR(VLOOKUP(E385&amp;F385,IMPORTRANGE(""https://docs.google.com/spreadsheets/d/1Uw7-A9f9R21vMXxHZFNpYNeKFtG8_yji4HS352LGlSQ/edit?pli=1#gid=0"",""1_ACUM!A4:S""),19,FALSE))"),"")</f>
        <v/>
      </c>
      <c r="BF371" s="98" t="str">
        <f ca="1">IFERROR(__xludf.DUMMYFUNCTION("IFERROR(VLOOKUP(F385,IMPORTRANGE(""https://docs.google.com/spreadsheets/d/1Kvs4KS76FHFqLFIZfrDMff4kP08nblUkihrxltoGBjg/edit#gid=934712705"",""ESENCIAL!A6:BG""),5,FALSE))"),"")</f>
        <v/>
      </c>
      <c r="BG371" s="98" t="str">
        <f t="shared" si="17"/>
        <v/>
      </c>
      <c r="BH371" s="99" t="str">
        <f t="shared" si="18"/>
        <v/>
      </c>
      <c r="BI371" s="100" t="str">
        <f ca="1">IFERROR(__xludf.DUMMYFUNCTION("IFERROR(VLOOKUP(F385,IMPORTRANGE(""https://docs.google.com/spreadsheets/d/1Kvs4KS76FHFqLFIZfrDMff4kP08nblUkihrxltoGBjg/edit#gid=934712705"",""ESENCIAL!A6:BG""),2,FALSE))"),"")</f>
        <v/>
      </c>
      <c r="BJ371" s="19" t="str">
        <f t="shared" si="19"/>
        <v/>
      </c>
      <c r="BK371" s="100"/>
      <c r="BL371" s="100"/>
    </row>
    <row r="372" spans="1:64" ht="15">
      <c r="A372" s="101"/>
      <c r="B372" s="101"/>
      <c r="G372" s="5" t="str">
        <f ca="1">IFERROR(__xludf.DUMMYFUNCTION("IFERROR(VLOOKUP(F386,IMPORTRANGE(""https://docs.google.com/spreadsheets/d/1Kvs4KS76FHFqLFIZfrDMff4kP08nblUkihrxltoGBjg/edit#gid=934712705"",""ESENCIAL!A6:BG""),3,FALSE))"),"")</f>
        <v/>
      </c>
      <c r="H372" s="5" t="str">
        <f ca="1">IFERROR(__xludf.DUMMYFUNCTION("IFERROR(VLOOKUP(F386,IMPORTRANGE(""https://docs.google.com/spreadsheets/d/1Kvs4KS76FHFqLFIZfrDMff4kP08nblUkihrxltoGBjg/edit#gid=934712705"",""ESENCIAL!A6:BG""),8,FALSE))"),"")</f>
        <v/>
      </c>
      <c r="L372" s="287"/>
      <c r="U372" s="40"/>
      <c r="AU372" s="41" t="str">
        <f t="shared" si="16"/>
        <v/>
      </c>
      <c r="AV372" s="5" t="str">
        <f ca="1">IFERROR(__xludf.DUMMYFUNCTION("IFERROR(VLOOKUP(E386&amp;F386,IMPORTRANGE(""https://docs.google.com/spreadsheets/d/1Uw7-A9f9R21vMXxHZFNpYNeKFtG8_yji4HS352LGlSQ/edit?pli=1#gid=0"",""1_ACUM!A4:S""),11,FALSE))"),"")</f>
        <v/>
      </c>
      <c r="AW372" s="42" t="str">
        <f ca="1">IFERROR(__xludf.DUMMYFUNCTION("IFERROR(VLOOKUP(F386,IMPORTRANGE(""https://docs.google.com/spreadsheets/d/1Kvs4KS76FHFqLFIZfrDMff4kP08nblUkihrxltoGBjg/edit#gid=934712705"",""ESENCIAL!A6:BG""),15,FALSE))"),"")</f>
        <v/>
      </c>
      <c r="AX372" s="21" t="str">
        <f ca="1">IFERROR(__xludf.DUMMYFUNCTION("IFERROR(VLOOKUP(E386&amp;F386,IMPORTRANGE(""https://docs.google.com/spreadsheets/d/1Uw7-A9f9R21vMXxHZFNpYNeKFtG8_yji4HS352LGlSQ/edit?pli=1#gid=0"",""1_ACUM!A4:S""),12,FALSE))"),"")</f>
        <v/>
      </c>
      <c r="AY372" s="43" t="str">
        <f ca="1">IFERROR(__xludf.DUMMYFUNCTION("IFERROR(VLOOKUP(E386&amp;F386,IMPORTRANGE(""https://docs.google.com/spreadsheets/d/1Uw7-A9f9R21vMXxHZFNpYNeKFtG8_yji4HS352LGlSQ/edit?pli=1#gid=0"",""1_ACUM!A4:S""),13,FALSE))"),"")</f>
        <v/>
      </c>
      <c r="AZ372" s="43" t="str">
        <f ca="1">IFERROR(__xludf.DUMMYFUNCTION("IFERROR(VLOOKUP(E386&amp;F386,IMPORTRANGE(""https://docs.google.com/spreadsheets/d/1Uw7-A9f9R21vMXxHZFNpYNeKFtG8_yji4HS352LGlSQ/edit?pli=1#gid=0"",""1_ACUM!A4:S""),14,FALSE))"),"")</f>
        <v/>
      </c>
      <c r="BA372" s="43" t="str">
        <f ca="1">IFERROR(__xludf.DUMMYFUNCTION("IFERROR(VLOOKUP(E386&amp;F386,IMPORTRANGE(""https://docs.google.com/spreadsheets/d/1Uw7-A9f9R21vMXxHZFNpYNeKFtG8_yji4HS352LGlSQ/edit?pli=1#gid=0"",""1_ACUM!A4:S""),15,FALSE))"),"")</f>
        <v/>
      </c>
      <c r="BB372" s="43" t="str">
        <f ca="1">IFERROR(__xludf.DUMMYFUNCTION("IFERROR(VLOOKUP(E386&amp;F386,IMPORTRANGE(""https://docs.google.com/spreadsheets/d/1Uw7-A9f9R21vMXxHZFNpYNeKFtG8_yji4HS352LGlSQ/edit?pli=1#gid=0"",""1_ACUM!A4:S""),16,FALSE))"),"")</f>
        <v/>
      </c>
      <c r="BC372" s="43" t="str">
        <f ca="1">IFERROR(__xludf.DUMMYFUNCTION("IFERROR(VLOOKUP(E386&amp;F386,IMPORTRANGE(""https://docs.google.com/spreadsheets/d/1Uw7-A9f9R21vMXxHZFNpYNeKFtG8_yji4HS352LGlSQ/edit?pli=1#gid=0"",""1_ACUM!A4:S""),17,FALSE))"),"")</f>
        <v/>
      </c>
      <c r="BD372" s="44" t="str">
        <f ca="1">IFERROR(__xludf.DUMMYFUNCTION("IFERROR(VLOOKUP(E386&amp;F386,IMPORTRANGE(""https://docs.google.com/spreadsheets/d/1Uw7-A9f9R21vMXxHZFNpYNeKFtG8_yji4HS352LGlSQ/edit?pli=1#gid=0"",""1_ACUM!A4:S""),18,FALSE))"),"")</f>
        <v/>
      </c>
      <c r="BE372" s="44" t="str">
        <f ca="1">IFERROR(__xludf.DUMMYFUNCTION("IFERROR(VLOOKUP(E386&amp;F386,IMPORTRANGE(""https://docs.google.com/spreadsheets/d/1Uw7-A9f9R21vMXxHZFNpYNeKFtG8_yji4HS352LGlSQ/edit?pli=1#gid=0"",""1_ACUM!A4:S""),19,FALSE))"),"")</f>
        <v/>
      </c>
      <c r="BF372" s="98" t="str">
        <f ca="1">IFERROR(__xludf.DUMMYFUNCTION("IFERROR(VLOOKUP(F386,IMPORTRANGE(""https://docs.google.com/spreadsheets/d/1Kvs4KS76FHFqLFIZfrDMff4kP08nblUkihrxltoGBjg/edit#gid=934712705"",""ESENCIAL!A6:BG""),5,FALSE))"),"")</f>
        <v/>
      </c>
      <c r="BG372" s="98" t="str">
        <f t="shared" si="17"/>
        <v/>
      </c>
      <c r="BH372" s="99" t="str">
        <f t="shared" si="18"/>
        <v/>
      </c>
      <c r="BI372" s="100" t="str">
        <f ca="1">IFERROR(__xludf.DUMMYFUNCTION("IFERROR(VLOOKUP(F386,IMPORTRANGE(""https://docs.google.com/spreadsheets/d/1Kvs4KS76FHFqLFIZfrDMff4kP08nblUkihrxltoGBjg/edit#gid=934712705"",""ESENCIAL!A6:BG""),2,FALSE))"),"")</f>
        <v/>
      </c>
      <c r="BJ372" s="19" t="str">
        <f t="shared" si="19"/>
        <v/>
      </c>
      <c r="BK372" s="100"/>
      <c r="BL372" s="100"/>
    </row>
    <row r="373" spans="1:64" ht="15">
      <c r="A373" s="101"/>
      <c r="B373" s="101"/>
      <c r="G373" s="5" t="str">
        <f ca="1">IFERROR(__xludf.DUMMYFUNCTION("IFERROR(VLOOKUP(F387,IMPORTRANGE(""https://docs.google.com/spreadsheets/d/1Kvs4KS76FHFqLFIZfrDMff4kP08nblUkihrxltoGBjg/edit#gid=934712705"",""ESENCIAL!A6:BG""),3,FALSE))"),"")</f>
        <v/>
      </c>
      <c r="H373" s="5" t="str">
        <f ca="1">IFERROR(__xludf.DUMMYFUNCTION("IFERROR(VLOOKUP(F387,IMPORTRANGE(""https://docs.google.com/spreadsheets/d/1Kvs4KS76FHFqLFIZfrDMff4kP08nblUkihrxltoGBjg/edit#gid=934712705"",""ESENCIAL!A6:BG""),8,FALSE))"),"")</f>
        <v/>
      </c>
      <c r="L373" s="287"/>
      <c r="U373" s="40"/>
      <c r="AU373" s="41" t="str">
        <f t="shared" si="16"/>
        <v/>
      </c>
      <c r="AV373" s="5" t="str">
        <f ca="1">IFERROR(__xludf.DUMMYFUNCTION("IFERROR(VLOOKUP(E387&amp;F387,IMPORTRANGE(""https://docs.google.com/spreadsheets/d/1Uw7-A9f9R21vMXxHZFNpYNeKFtG8_yji4HS352LGlSQ/edit?pli=1#gid=0"",""1_ACUM!A4:S""),11,FALSE))"),"")</f>
        <v/>
      </c>
      <c r="AW373" s="42" t="str">
        <f ca="1">IFERROR(__xludf.DUMMYFUNCTION("IFERROR(VLOOKUP(F387,IMPORTRANGE(""https://docs.google.com/spreadsheets/d/1Kvs4KS76FHFqLFIZfrDMff4kP08nblUkihrxltoGBjg/edit#gid=934712705"",""ESENCIAL!A6:BG""),15,FALSE))"),"")</f>
        <v/>
      </c>
      <c r="AX373" s="21" t="str">
        <f ca="1">IFERROR(__xludf.DUMMYFUNCTION("IFERROR(VLOOKUP(E387&amp;F387,IMPORTRANGE(""https://docs.google.com/spreadsheets/d/1Uw7-A9f9R21vMXxHZFNpYNeKFtG8_yji4HS352LGlSQ/edit?pli=1#gid=0"",""1_ACUM!A4:S""),12,FALSE))"),"")</f>
        <v/>
      </c>
      <c r="AY373" s="43" t="str">
        <f ca="1">IFERROR(__xludf.DUMMYFUNCTION("IFERROR(VLOOKUP(E387&amp;F387,IMPORTRANGE(""https://docs.google.com/spreadsheets/d/1Uw7-A9f9R21vMXxHZFNpYNeKFtG8_yji4HS352LGlSQ/edit?pli=1#gid=0"",""1_ACUM!A4:S""),13,FALSE))"),"")</f>
        <v/>
      </c>
      <c r="AZ373" s="43" t="str">
        <f ca="1">IFERROR(__xludf.DUMMYFUNCTION("IFERROR(VLOOKUP(E387&amp;F387,IMPORTRANGE(""https://docs.google.com/spreadsheets/d/1Uw7-A9f9R21vMXxHZFNpYNeKFtG8_yji4HS352LGlSQ/edit?pli=1#gid=0"",""1_ACUM!A4:S""),14,FALSE))"),"")</f>
        <v/>
      </c>
      <c r="BA373" s="43" t="str">
        <f ca="1">IFERROR(__xludf.DUMMYFUNCTION("IFERROR(VLOOKUP(E387&amp;F387,IMPORTRANGE(""https://docs.google.com/spreadsheets/d/1Uw7-A9f9R21vMXxHZFNpYNeKFtG8_yji4HS352LGlSQ/edit?pli=1#gid=0"",""1_ACUM!A4:S""),15,FALSE))"),"")</f>
        <v/>
      </c>
      <c r="BB373" s="43" t="str">
        <f ca="1">IFERROR(__xludf.DUMMYFUNCTION("IFERROR(VLOOKUP(E387&amp;F387,IMPORTRANGE(""https://docs.google.com/spreadsheets/d/1Uw7-A9f9R21vMXxHZFNpYNeKFtG8_yji4HS352LGlSQ/edit?pli=1#gid=0"",""1_ACUM!A4:S""),16,FALSE))"),"")</f>
        <v/>
      </c>
      <c r="BC373" s="43" t="str">
        <f ca="1">IFERROR(__xludf.DUMMYFUNCTION("IFERROR(VLOOKUP(E387&amp;F387,IMPORTRANGE(""https://docs.google.com/spreadsheets/d/1Uw7-A9f9R21vMXxHZFNpYNeKFtG8_yji4HS352LGlSQ/edit?pli=1#gid=0"",""1_ACUM!A4:S""),17,FALSE))"),"")</f>
        <v/>
      </c>
      <c r="BD373" s="44" t="str">
        <f ca="1">IFERROR(__xludf.DUMMYFUNCTION("IFERROR(VLOOKUP(E387&amp;F387,IMPORTRANGE(""https://docs.google.com/spreadsheets/d/1Uw7-A9f9R21vMXxHZFNpYNeKFtG8_yji4HS352LGlSQ/edit?pli=1#gid=0"",""1_ACUM!A4:S""),18,FALSE))"),"")</f>
        <v/>
      </c>
      <c r="BE373" s="44" t="str">
        <f ca="1">IFERROR(__xludf.DUMMYFUNCTION("IFERROR(VLOOKUP(E387&amp;F387,IMPORTRANGE(""https://docs.google.com/spreadsheets/d/1Uw7-A9f9R21vMXxHZFNpYNeKFtG8_yji4HS352LGlSQ/edit?pli=1#gid=0"",""1_ACUM!A4:S""),19,FALSE))"),"")</f>
        <v/>
      </c>
      <c r="BF373" s="98" t="str">
        <f ca="1">IFERROR(__xludf.DUMMYFUNCTION("IFERROR(VLOOKUP(F387,IMPORTRANGE(""https://docs.google.com/spreadsheets/d/1Kvs4KS76FHFqLFIZfrDMff4kP08nblUkihrxltoGBjg/edit#gid=934712705"",""ESENCIAL!A6:BG""),5,FALSE))"),"")</f>
        <v/>
      </c>
      <c r="BG373" s="98" t="str">
        <f t="shared" si="17"/>
        <v/>
      </c>
      <c r="BH373" s="99" t="str">
        <f t="shared" si="18"/>
        <v/>
      </c>
      <c r="BI373" s="100" t="str">
        <f ca="1">IFERROR(__xludf.DUMMYFUNCTION("IFERROR(VLOOKUP(F387,IMPORTRANGE(""https://docs.google.com/spreadsheets/d/1Kvs4KS76FHFqLFIZfrDMff4kP08nblUkihrxltoGBjg/edit#gid=934712705"",""ESENCIAL!A6:BG""),2,FALSE))"),"")</f>
        <v/>
      </c>
      <c r="BJ373" s="19" t="str">
        <f t="shared" si="19"/>
        <v/>
      </c>
      <c r="BK373" s="100"/>
      <c r="BL373" s="100"/>
    </row>
    <row r="374" spans="1:64" ht="15">
      <c r="A374" s="101"/>
      <c r="B374" s="101"/>
      <c r="G374" s="5" t="str">
        <f ca="1">IFERROR(__xludf.DUMMYFUNCTION("IFERROR(VLOOKUP(F388,IMPORTRANGE(""https://docs.google.com/spreadsheets/d/1Kvs4KS76FHFqLFIZfrDMff4kP08nblUkihrxltoGBjg/edit#gid=934712705"",""ESENCIAL!A6:BG""),3,FALSE))"),"")</f>
        <v/>
      </c>
      <c r="H374" s="5" t="str">
        <f ca="1">IFERROR(__xludf.DUMMYFUNCTION("IFERROR(VLOOKUP(F388,IMPORTRANGE(""https://docs.google.com/spreadsheets/d/1Kvs4KS76FHFqLFIZfrDMff4kP08nblUkihrxltoGBjg/edit#gid=934712705"",""ESENCIAL!A6:BG""),8,FALSE))"),"")</f>
        <v/>
      </c>
      <c r="L374" s="287"/>
      <c r="U374" s="40"/>
      <c r="AU374" s="41" t="str">
        <f t="shared" si="16"/>
        <v/>
      </c>
      <c r="AV374" s="5" t="str">
        <f ca="1">IFERROR(__xludf.DUMMYFUNCTION("IFERROR(VLOOKUP(E388&amp;F388,IMPORTRANGE(""https://docs.google.com/spreadsheets/d/1Uw7-A9f9R21vMXxHZFNpYNeKFtG8_yji4HS352LGlSQ/edit?pli=1#gid=0"",""1_ACUM!A4:S""),11,FALSE))"),"")</f>
        <v/>
      </c>
      <c r="AW374" s="42" t="str">
        <f ca="1">IFERROR(__xludf.DUMMYFUNCTION("IFERROR(VLOOKUP(F388,IMPORTRANGE(""https://docs.google.com/spreadsheets/d/1Kvs4KS76FHFqLFIZfrDMff4kP08nblUkihrxltoGBjg/edit#gid=934712705"",""ESENCIAL!A6:BG""),15,FALSE))"),"")</f>
        <v/>
      </c>
      <c r="AX374" s="21" t="str">
        <f ca="1">IFERROR(__xludf.DUMMYFUNCTION("IFERROR(VLOOKUP(E388&amp;F388,IMPORTRANGE(""https://docs.google.com/spreadsheets/d/1Uw7-A9f9R21vMXxHZFNpYNeKFtG8_yji4HS352LGlSQ/edit?pli=1#gid=0"",""1_ACUM!A4:S""),12,FALSE))"),"")</f>
        <v/>
      </c>
      <c r="AY374" s="43" t="str">
        <f ca="1">IFERROR(__xludf.DUMMYFUNCTION("IFERROR(VLOOKUP(E388&amp;F388,IMPORTRANGE(""https://docs.google.com/spreadsheets/d/1Uw7-A9f9R21vMXxHZFNpYNeKFtG8_yji4HS352LGlSQ/edit?pli=1#gid=0"",""1_ACUM!A4:S""),13,FALSE))"),"")</f>
        <v/>
      </c>
      <c r="AZ374" s="43" t="str">
        <f ca="1">IFERROR(__xludf.DUMMYFUNCTION("IFERROR(VLOOKUP(E388&amp;F388,IMPORTRANGE(""https://docs.google.com/spreadsheets/d/1Uw7-A9f9R21vMXxHZFNpYNeKFtG8_yji4HS352LGlSQ/edit?pli=1#gid=0"",""1_ACUM!A4:S""),14,FALSE))"),"")</f>
        <v/>
      </c>
      <c r="BA374" s="43" t="str">
        <f ca="1">IFERROR(__xludf.DUMMYFUNCTION("IFERROR(VLOOKUP(E388&amp;F388,IMPORTRANGE(""https://docs.google.com/spreadsheets/d/1Uw7-A9f9R21vMXxHZFNpYNeKFtG8_yji4HS352LGlSQ/edit?pli=1#gid=0"",""1_ACUM!A4:S""),15,FALSE))"),"")</f>
        <v/>
      </c>
      <c r="BB374" s="43" t="str">
        <f ca="1">IFERROR(__xludf.DUMMYFUNCTION("IFERROR(VLOOKUP(E388&amp;F388,IMPORTRANGE(""https://docs.google.com/spreadsheets/d/1Uw7-A9f9R21vMXxHZFNpYNeKFtG8_yji4HS352LGlSQ/edit?pli=1#gid=0"",""1_ACUM!A4:S""),16,FALSE))"),"")</f>
        <v/>
      </c>
      <c r="BC374" s="43" t="str">
        <f ca="1">IFERROR(__xludf.DUMMYFUNCTION("IFERROR(VLOOKUP(E388&amp;F388,IMPORTRANGE(""https://docs.google.com/spreadsheets/d/1Uw7-A9f9R21vMXxHZFNpYNeKFtG8_yji4HS352LGlSQ/edit?pli=1#gid=0"",""1_ACUM!A4:S""),17,FALSE))"),"")</f>
        <v/>
      </c>
      <c r="BD374" s="44" t="str">
        <f ca="1">IFERROR(__xludf.DUMMYFUNCTION("IFERROR(VLOOKUP(E388&amp;F388,IMPORTRANGE(""https://docs.google.com/spreadsheets/d/1Uw7-A9f9R21vMXxHZFNpYNeKFtG8_yji4HS352LGlSQ/edit?pli=1#gid=0"",""1_ACUM!A4:S""),18,FALSE))"),"")</f>
        <v/>
      </c>
      <c r="BE374" s="44" t="str">
        <f ca="1">IFERROR(__xludf.DUMMYFUNCTION("IFERROR(VLOOKUP(E388&amp;F388,IMPORTRANGE(""https://docs.google.com/spreadsheets/d/1Uw7-A9f9R21vMXxHZFNpYNeKFtG8_yji4HS352LGlSQ/edit?pli=1#gid=0"",""1_ACUM!A4:S""),19,FALSE))"),"")</f>
        <v/>
      </c>
      <c r="BF374" s="98" t="str">
        <f ca="1">IFERROR(__xludf.DUMMYFUNCTION("IFERROR(VLOOKUP(F388,IMPORTRANGE(""https://docs.google.com/spreadsheets/d/1Kvs4KS76FHFqLFIZfrDMff4kP08nblUkihrxltoGBjg/edit#gid=934712705"",""ESENCIAL!A6:BG""),5,FALSE))"),"")</f>
        <v/>
      </c>
      <c r="BG374" s="98" t="str">
        <f t="shared" si="17"/>
        <v/>
      </c>
      <c r="BH374" s="99" t="str">
        <f t="shared" si="18"/>
        <v/>
      </c>
      <c r="BI374" s="100" t="str">
        <f ca="1">IFERROR(__xludf.DUMMYFUNCTION("IFERROR(VLOOKUP(F388,IMPORTRANGE(""https://docs.google.com/spreadsheets/d/1Kvs4KS76FHFqLFIZfrDMff4kP08nblUkihrxltoGBjg/edit#gid=934712705"",""ESENCIAL!A6:BG""),2,FALSE))"),"")</f>
        <v/>
      </c>
      <c r="BJ374" s="19" t="str">
        <f t="shared" si="19"/>
        <v/>
      </c>
      <c r="BK374" s="100"/>
      <c r="BL374" s="100"/>
    </row>
    <row r="375" spans="1:64" ht="15">
      <c r="A375" s="101"/>
      <c r="B375" s="101"/>
      <c r="G375" s="5" t="str">
        <f ca="1">IFERROR(__xludf.DUMMYFUNCTION("IFERROR(VLOOKUP(F389,IMPORTRANGE(""https://docs.google.com/spreadsheets/d/1Kvs4KS76FHFqLFIZfrDMff4kP08nblUkihrxltoGBjg/edit#gid=934712705"",""ESENCIAL!A6:BG""),3,FALSE))"),"")</f>
        <v/>
      </c>
      <c r="H375" s="5" t="str">
        <f ca="1">IFERROR(__xludf.DUMMYFUNCTION("IFERROR(VLOOKUP(F389,IMPORTRANGE(""https://docs.google.com/spreadsheets/d/1Kvs4KS76FHFqLFIZfrDMff4kP08nblUkihrxltoGBjg/edit#gid=934712705"",""ESENCIAL!A6:BG""),8,FALSE))"),"")</f>
        <v/>
      </c>
      <c r="L375" s="287"/>
      <c r="U375" s="40"/>
      <c r="AU375" s="41" t="str">
        <f t="shared" si="16"/>
        <v/>
      </c>
      <c r="AV375" s="5" t="str">
        <f ca="1">IFERROR(__xludf.DUMMYFUNCTION("IFERROR(VLOOKUP(E389&amp;F389,IMPORTRANGE(""https://docs.google.com/spreadsheets/d/1Uw7-A9f9R21vMXxHZFNpYNeKFtG8_yji4HS352LGlSQ/edit?pli=1#gid=0"",""1_ACUM!A4:S""),11,FALSE))"),"")</f>
        <v/>
      </c>
      <c r="AW375" s="42" t="str">
        <f ca="1">IFERROR(__xludf.DUMMYFUNCTION("IFERROR(VLOOKUP(F389,IMPORTRANGE(""https://docs.google.com/spreadsheets/d/1Kvs4KS76FHFqLFIZfrDMff4kP08nblUkihrxltoGBjg/edit#gid=934712705"",""ESENCIAL!A6:BG""),15,FALSE))"),"")</f>
        <v/>
      </c>
      <c r="AX375" s="21" t="str">
        <f ca="1">IFERROR(__xludf.DUMMYFUNCTION("IFERROR(VLOOKUP(E389&amp;F389,IMPORTRANGE(""https://docs.google.com/spreadsheets/d/1Uw7-A9f9R21vMXxHZFNpYNeKFtG8_yji4HS352LGlSQ/edit?pli=1#gid=0"",""1_ACUM!A4:S""),12,FALSE))"),"")</f>
        <v/>
      </c>
      <c r="AY375" s="43" t="str">
        <f ca="1">IFERROR(__xludf.DUMMYFUNCTION("IFERROR(VLOOKUP(E389&amp;F389,IMPORTRANGE(""https://docs.google.com/spreadsheets/d/1Uw7-A9f9R21vMXxHZFNpYNeKFtG8_yji4HS352LGlSQ/edit?pli=1#gid=0"",""1_ACUM!A4:S""),13,FALSE))"),"")</f>
        <v/>
      </c>
      <c r="AZ375" s="43" t="str">
        <f ca="1">IFERROR(__xludf.DUMMYFUNCTION("IFERROR(VLOOKUP(E389&amp;F389,IMPORTRANGE(""https://docs.google.com/spreadsheets/d/1Uw7-A9f9R21vMXxHZFNpYNeKFtG8_yji4HS352LGlSQ/edit?pli=1#gid=0"",""1_ACUM!A4:S""),14,FALSE))"),"")</f>
        <v/>
      </c>
      <c r="BA375" s="43" t="str">
        <f ca="1">IFERROR(__xludf.DUMMYFUNCTION("IFERROR(VLOOKUP(E389&amp;F389,IMPORTRANGE(""https://docs.google.com/spreadsheets/d/1Uw7-A9f9R21vMXxHZFNpYNeKFtG8_yji4HS352LGlSQ/edit?pli=1#gid=0"",""1_ACUM!A4:S""),15,FALSE))"),"")</f>
        <v/>
      </c>
      <c r="BB375" s="43" t="str">
        <f ca="1">IFERROR(__xludf.DUMMYFUNCTION("IFERROR(VLOOKUP(E389&amp;F389,IMPORTRANGE(""https://docs.google.com/spreadsheets/d/1Uw7-A9f9R21vMXxHZFNpYNeKFtG8_yji4HS352LGlSQ/edit?pli=1#gid=0"",""1_ACUM!A4:S""),16,FALSE))"),"")</f>
        <v/>
      </c>
      <c r="BC375" s="43" t="str">
        <f ca="1">IFERROR(__xludf.DUMMYFUNCTION("IFERROR(VLOOKUP(E389&amp;F389,IMPORTRANGE(""https://docs.google.com/spreadsheets/d/1Uw7-A9f9R21vMXxHZFNpYNeKFtG8_yji4HS352LGlSQ/edit?pli=1#gid=0"",""1_ACUM!A4:S""),17,FALSE))"),"")</f>
        <v/>
      </c>
      <c r="BD375" s="44" t="str">
        <f ca="1">IFERROR(__xludf.DUMMYFUNCTION("IFERROR(VLOOKUP(E389&amp;F389,IMPORTRANGE(""https://docs.google.com/spreadsheets/d/1Uw7-A9f9R21vMXxHZFNpYNeKFtG8_yji4HS352LGlSQ/edit?pli=1#gid=0"",""1_ACUM!A4:S""),18,FALSE))"),"")</f>
        <v/>
      </c>
      <c r="BE375" s="44" t="str">
        <f ca="1">IFERROR(__xludf.DUMMYFUNCTION("IFERROR(VLOOKUP(E389&amp;F389,IMPORTRANGE(""https://docs.google.com/spreadsheets/d/1Uw7-A9f9R21vMXxHZFNpYNeKFtG8_yji4HS352LGlSQ/edit?pli=1#gid=0"",""1_ACUM!A4:S""),19,FALSE))"),"")</f>
        <v/>
      </c>
      <c r="BF375" s="98" t="str">
        <f ca="1">IFERROR(__xludf.DUMMYFUNCTION("IFERROR(VLOOKUP(F389,IMPORTRANGE(""https://docs.google.com/spreadsheets/d/1Kvs4KS76FHFqLFIZfrDMff4kP08nblUkihrxltoGBjg/edit#gid=934712705"",""ESENCIAL!A6:BG""),5,FALSE))"),"")</f>
        <v/>
      </c>
      <c r="BG375" s="98" t="str">
        <f t="shared" si="17"/>
        <v/>
      </c>
      <c r="BH375" s="99" t="str">
        <f t="shared" si="18"/>
        <v/>
      </c>
      <c r="BI375" s="100" t="str">
        <f ca="1">IFERROR(__xludf.DUMMYFUNCTION("IFERROR(VLOOKUP(F389,IMPORTRANGE(""https://docs.google.com/spreadsheets/d/1Kvs4KS76FHFqLFIZfrDMff4kP08nblUkihrxltoGBjg/edit#gid=934712705"",""ESENCIAL!A6:BG""),2,FALSE))"),"")</f>
        <v/>
      </c>
      <c r="BJ375" s="19" t="str">
        <f t="shared" si="19"/>
        <v/>
      </c>
      <c r="BK375" s="100"/>
      <c r="BL375" s="100"/>
    </row>
    <row r="376" spans="1:64" ht="15">
      <c r="A376" s="101"/>
      <c r="B376" s="101"/>
      <c r="G376" s="5" t="str">
        <f ca="1">IFERROR(__xludf.DUMMYFUNCTION("IFERROR(VLOOKUP(F390,IMPORTRANGE(""https://docs.google.com/spreadsheets/d/1Kvs4KS76FHFqLFIZfrDMff4kP08nblUkihrxltoGBjg/edit#gid=934712705"",""ESENCIAL!A6:BG""),3,FALSE))"),"")</f>
        <v/>
      </c>
      <c r="H376" s="5" t="str">
        <f ca="1">IFERROR(__xludf.DUMMYFUNCTION("IFERROR(VLOOKUP(F390,IMPORTRANGE(""https://docs.google.com/spreadsheets/d/1Kvs4KS76FHFqLFIZfrDMff4kP08nblUkihrxltoGBjg/edit#gid=934712705"",""ESENCIAL!A6:BG""),8,FALSE))"),"")</f>
        <v/>
      </c>
      <c r="L376" s="287"/>
      <c r="U376" s="40"/>
      <c r="AU376" s="41" t="str">
        <f t="shared" si="16"/>
        <v/>
      </c>
      <c r="AV376" s="5" t="str">
        <f ca="1">IFERROR(__xludf.DUMMYFUNCTION("IFERROR(VLOOKUP(E390&amp;F390,IMPORTRANGE(""https://docs.google.com/spreadsheets/d/1Uw7-A9f9R21vMXxHZFNpYNeKFtG8_yji4HS352LGlSQ/edit?pli=1#gid=0"",""1_ACUM!A4:S""),11,FALSE))"),"")</f>
        <v/>
      </c>
      <c r="AW376" s="42" t="str">
        <f ca="1">IFERROR(__xludf.DUMMYFUNCTION("IFERROR(VLOOKUP(F390,IMPORTRANGE(""https://docs.google.com/spreadsheets/d/1Kvs4KS76FHFqLFIZfrDMff4kP08nblUkihrxltoGBjg/edit#gid=934712705"",""ESENCIAL!A6:BG""),15,FALSE))"),"")</f>
        <v/>
      </c>
      <c r="AX376" s="21" t="str">
        <f ca="1">IFERROR(__xludf.DUMMYFUNCTION("IFERROR(VLOOKUP(E390&amp;F390,IMPORTRANGE(""https://docs.google.com/spreadsheets/d/1Uw7-A9f9R21vMXxHZFNpYNeKFtG8_yji4HS352LGlSQ/edit?pli=1#gid=0"",""1_ACUM!A4:S""),12,FALSE))"),"")</f>
        <v/>
      </c>
      <c r="AY376" s="43" t="str">
        <f ca="1">IFERROR(__xludf.DUMMYFUNCTION("IFERROR(VLOOKUP(E390&amp;F390,IMPORTRANGE(""https://docs.google.com/spreadsheets/d/1Uw7-A9f9R21vMXxHZFNpYNeKFtG8_yji4HS352LGlSQ/edit?pli=1#gid=0"",""1_ACUM!A4:S""),13,FALSE))"),"")</f>
        <v/>
      </c>
      <c r="AZ376" s="43" t="str">
        <f ca="1">IFERROR(__xludf.DUMMYFUNCTION("IFERROR(VLOOKUP(E390&amp;F390,IMPORTRANGE(""https://docs.google.com/spreadsheets/d/1Uw7-A9f9R21vMXxHZFNpYNeKFtG8_yji4HS352LGlSQ/edit?pli=1#gid=0"",""1_ACUM!A4:S""),14,FALSE))"),"")</f>
        <v/>
      </c>
      <c r="BA376" s="43" t="str">
        <f ca="1">IFERROR(__xludf.DUMMYFUNCTION("IFERROR(VLOOKUP(E390&amp;F390,IMPORTRANGE(""https://docs.google.com/spreadsheets/d/1Uw7-A9f9R21vMXxHZFNpYNeKFtG8_yji4HS352LGlSQ/edit?pli=1#gid=0"",""1_ACUM!A4:S""),15,FALSE))"),"")</f>
        <v/>
      </c>
      <c r="BB376" s="43" t="str">
        <f ca="1">IFERROR(__xludf.DUMMYFUNCTION("IFERROR(VLOOKUP(E390&amp;F390,IMPORTRANGE(""https://docs.google.com/spreadsheets/d/1Uw7-A9f9R21vMXxHZFNpYNeKFtG8_yji4HS352LGlSQ/edit?pli=1#gid=0"",""1_ACUM!A4:S""),16,FALSE))"),"")</f>
        <v/>
      </c>
      <c r="BC376" s="43" t="str">
        <f ca="1">IFERROR(__xludf.DUMMYFUNCTION("IFERROR(VLOOKUP(E390&amp;F390,IMPORTRANGE(""https://docs.google.com/spreadsheets/d/1Uw7-A9f9R21vMXxHZFNpYNeKFtG8_yji4HS352LGlSQ/edit?pli=1#gid=0"",""1_ACUM!A4:S""),17,FALSE))"),"")</f>
        <v/>
      </c>
      <c r="BD376" s="44" t="str">
        <f ca="1">IFERROR(__xludf.DUMMYFUNCTION("IFERROR(VLOOKUP(E390&amp;F390,IMPORTRANGE(""https://docs.google.com/spreadsheets/d/1Uw7-A9f9R21vMXxHZFNpYNeKFtG8_yji4HS352LGlSQ/edit?pli=1#gid=0"",""1_ACUM!A4:S""),18,FALSE))"),"")</f>
        <v/>
      </c>
      <c r="BE376" s="44" t="str">
        <f ca="1">IFERROR(__xludf.DUMMYFUNCTION("IFERROR(VLOOKUP(E390&amp;F390,IMPORTRANGE(""https://docs.google.com/spreadsheets/d/1Uw7-A9f9R21vMXxHZFNpYNeKFtG8_yji4HS352LGlSQ/edit?pli=1#gid=0"",""1_ACUM!A4:S""),19,FALSE))"),"")</f>
        <v/>
      </c>
      <c r="BF376" s="98" t="str">
        <f ca="1">IFERROR(__xludf.DUMMYFUNCTION("IFERROR(VLOOKUP(F390,IMPORTRANGE(""https://docs.google.com/spreadsheets/d/1Kvs4KS76FHFqLFIZfrDMff4kP08nblUkihrxltoGBjg/edit#gid=934712705"",""ESENCIAL!A6:BG""),5,FALSE))"),"")</f>
        <v/>
      </c>
      <c r="BG376" s="98" t="str">
        <f t="shared" si="17"/>
        <v/>
      </c>
      <c r="BH376" s="99" t="str">
        <f t="shared" si="18"/>
        <v/>
      </c>
      <c r="BI376" s="100" t="str">
        <f ca="1">IFERROR(__xludf.DUMMYFUNCTION("IFERROR(VLOOKUP(F390,IMPORTRANGE(""https://docs.google.com/spreadsheets/d/1Kvs4KS76FHFqLFIZfrDMff4kP08nblUkihrxltoGBjg/edit#gid=934712705"",""ESENCIAL!A6:BG""),2,FALSE))"),"")</f>
        <v/>
      </c>
      <c r="BJ376" s="19" t="str">
        <f t="shared" si="19"/>
        <v/>
      </c>
      <c r="BK376" s="100"/>
      <c r="BL376" s="100"/>
    </row>
    <row r="377" spans="1:64" ht="15">
      <c r="A377" s="101"/>
      <c r="B377" s="101"/>
      <c r="G377" s="5" t="str">
        <f ca="1">IFERROR(__xludf.DUMMYFUNCTION("IFERROR(VLOOKUP(F391,IMPORTRANGE(""https://docs.google.com/spreadsheets/d/1Kvs4KS76FHFqLFIZfrDMff4kP08nblUkihrxltoGBjg/edit#gid=934712705"",""ESENCIAL!A6:BG""),3,FALSE))"),"")</f>
        <v/>
      </c>
      <c r="H377" s="5" t="str">
        <f ca="1">IFERROR(__xludf.DUMMYFUNCTION("IFERROR(VLOOKUP(F391,IMPORTRANGE(""https://docs.google.com/spreadsheets/d/1Kvs4KS76FHFqLFIZfrDMff4kP08nblUkihrxltoGBjg/edit#gid=934712705"",""ESENCIAL!A6:BG""),8,FALSE))"),"")</f>
        <v/>
      </c>
      <c r="L377" s="287"/>
      <c r="U377" s="40"/>
      <c r="AU377" s="41" t="str">
        <f t="shared" si="16"/>
        <v/>
      </c>
      <c r="AV377" s="5" t="str">
        <f ca="1">IFERROR(__xludf.DUMMYFUNCTION("IFERROR(VLOOKUP(E391&amp;F391,IMPORTRANGE(""https://docs.google.com/spreadsheets/d/1Uw7-A9f9R21vMXxHZFNpYNeKFtG8_yji4HS352LGlSQ/edit?pli=1#gid=0"",""1_ACUM!A4:S""),11,FALSE))"),"")</f>
        <v/>
      </c>
      <c r="AW377" s="42" t="str">
        <f ca="1">IFERROR(__xludf.DUMMYFUNCTION("IFERROR(VLOOKUP(F391,IMPORTRANGE(""https://docs.google.com/spreadsheets/d/1Kvs4KS76FHFqLFIZfrDMff4kP08nblUkihrxltoGBjg/edit#gid=934712705"",""ESENCIAL!A6:BG""),15,FALSE))"),"")</f>
        <v/>
      </c>
      <c r="AX377" s="21" t="str">
        <f ca="1">IFERROR(__xludf.DUMMYFUNCTION("IFERROR(VLOOKUP(E391&amp;F391,IMPORTRANGE(""https://docs.google.com/spreadsheets/d/1Uw7-A9f9R21vMXxHZFNpYNeKFtG8_yji4HS352LGlSQ/edit?pli=1#gid=0"",""1_ACUM!A4:S""),12,FALSE))"),"")</f>
        <v/>
      </c>
      <c r="AY377" s="43" t="str">
        <f ca="1">IFERROR(__xludf.DUMMYFUNCTION("IFERROR(VLOOKUP(E391&amp;F391,IMPORTRANGE(""https://docs.google.com/spreadsheets/d/1Uw7-A9f9R21vMXxHZFNpYNeKFtG8_yji4HS352LGlSQ/edit?pli=1#gid=0"",""1_ACUM!A4:S""),13,FALSE))"),"")</f>
        <v/>
      </c>
      <c r="AZ377" s="43" t="str">
        <f ca="1">IFERROR(__xludf.DUMMYFUNCTION("IFERROR(VLOOKUP(E391&amp;F391,IMPORTRANGE(""https://docs.google.com/spreadsheets/d/1Uw7-A9f9R21vMXxHZFNpYNeKFtG8_yji4HS352LGlSQ/edit?pli=1#gid=0"",""1_ACUM!A4:S""),14,FALSE))"),"")</f>
        <v/>
      </c>
      <c r="BA377" s="43" t="str">
        <f ca="1">IFERROR(__xludf.DUMMYFUNCTION("IFERROR(VLOOKUP(E391&amp;F391,IMPORTRANGE(""https://docs.google.com/spreadsheets/d/1Uw7-A9f9R21vMXxHZFNpYNeKFtG8_yji4HS352LGlSQ/edit?pli=1#gid=0"",""1_ACUM!A4:S""),15,FALSE))"),"")</f>
        <v/>
      </c>
      <c r="BB377" s="43" t="str">
        <f ca="1">IFERROR(__xludf.DUMMYFUNCTION("IFERROR(VLOOKUP(E391&amp;F391,IMPORTRANGE(""https://docs.google.com/spreadsheets/d/1Uw7-A9f9R21vMXxHZFNpYNeKFtG8_yji4HS352LGlSQ/edit?pli=1#gid=0"",""1_ACUM!A4:S""),16,FALSE))"),"")</f>
        <v/>
      </c>
      <c r="BC377" s="43" t="str">
        <f ca="1">IFERROR(__xludf.DUMMYFUNCTION("IFERROR(VLOOKUP(E391&amp;F391,IMPORTRANGE(""https://docs.google.com/spreadsheets/d/1Uw7-A9f9R21vMXxHZFNpYNeKFtG8_yji4HS352LGlSQ/edit?pli=1#gid=0"",""1_ACUM!A4:S""),17,FALSE))"),"")</f>
        <v/>
      </c>
      <c r="BD377" s="44" t="str">
        <f ca="1">IFERROR(__xludf.DUMMYFUNCTION("IFERROR(VLOOKUP(E391&amp;F391,IMPORTRANGE(""https://docs.google.com/spreadsheets/d/1Uw7-A9f9R21vMXxHZFNpYNeKFtG8_yji4HS352LGlSQ/edit?pli=1#gid=0"",""1_ACUM!A4:S""),18,FALSE))"),"")</f>
        <v/>
      </c>
      <c r="BE377" s="44" t="str">
        <f ca="1">IFERROR(__xludf.DUMMYFUNCTION("IFERROR(VLOOKUP(E391&amp;F391,IMPORTRANGE(""https://docs.google.com/spreadsheets/d/1Uw7-A9f9R21vMXxHZFNpYNeKFtG8_yji4HS352LGlSQ/edit?pli=1#gid=0"",""1_ACUM!A4:S""),19,FALSE))"),"")</f>
        <v/>
      </c>
      <c r="BF377" s="98" t="str">
        <f ca="1">IFERROR(__xludf.DUMMYFUNCTION("IFERROR(VLOOKUP(F391,IMPORTRANGE(""https://docs.google.com/spreadsheets/d/1Kvs4KS76FHFqLFIZfrDMff4kP08nblUkihrxltoGBjg/edit#gid=934712705"",""ESENCIAL!A6:BG""),5,FALSE))"),"")</f>
        <v/>
      </c>
      <c r="BG377" s="98" t="str">
        <f t="shared" si="17"/>
        <v/>
      </c>
      <c r="BH377" s="99" t="str">
        <f t="shared" si="18"/>
        <v/>
      </c>
      <c r="BI377" s="100" t="str">
        <f ca="1">IFERROR(__xludf.DUMMYFUNCTION("IFERROR(VLOOKUP(F391,IMPORTRANGE(""https://docs.google.com/spreadsheets/d/1Kvs4KS76FHFqLFIZfrDMff4kP08nblUkihrxltoGBjg/edit#gid=934712705"",""ESENCIAL!A6:BG""),2,FALSE))"),"")</f>
        <v/>
      </c>
      <c r="BJ377" s="19" t="str">
        <f t="shared" si="19"/>
        <v/>
      </c>
      <c r="BK377" s="100"/>
      <c r="BL377" s="100"/>
    </row>
    <row r="378" spans="1:64" ht="15">
      <c r="A378" s="101"/>
      <c r="B378" s="101"/>
      <c r="G378" s="5" t="str">
        <f ca="1">IFERROR(__xludf.DUMMYFUNCTION("IFERROR(VLOOKUP(F392,IMPORTRANGE(""https://docs.google.com/spreadsheets/d/1Kvs4KS76FHFqLFIZfrDMff4kP08nblUkihrxltoGBjg/edit#gid=934712705"",""ESENCIAL!A6:BG""),3,FALSE))"),"")</f>
        <v/>
      </c>
      <c r="H378" s="5" t="str">
        <f ca="1">IFERROR(__xludf.DUMMYFUNCTION("IFERROR(VLOOKUP(F392,IMPORTRANGE(""https://docs.google.com/spreadsheets/d/1Kvs4KS76FHFqLFIZfrDMff4kP08nblUkihrxltoGBjg/edit#gid=934712705"",""ESENCIAL!A6:BG""),8,FALSE))"),"")</f>
        <v/>
      </c>
      <c r="L378" s="287"/>
      <c r="U378" s="40"/>
      <c r="AU378" s="41" t="str">
        <f t="shared" si="16"/>
        <v/>
      </c>
      <c r="AV378" s="5" t="str">
        <f ca="1">IFERROR(__xludf.DUMMYFUNCTION("IFERROR(VLOOKUP(E392&amp;F392,IMPORTRANGE(""https://docs.google.com/spreadsheets/d/1Uw7-A9f9R21vMXxHZFNpYNeKFtG8_yji4HS352LGlSQ/edit?pli=1#gid=0"",""1_ACUM!A4:S""),11,FALSE))"),"")</f>
        <v/>
      </c>
      <c r="AW378" s="42" t="str">
        <f ca="1">IFERROR(__xludf.DUMMYFUNCTION("IFERROR(VLOOKUP(F392,IMPORTRANGE(""https://docs.google.com/spreadsheets/d/1Kvs4KS76FHFqLFIZfrDMff4kP08nblUkihrxltoGBjg/edit#gid=934712705"",""ESENCIAL!A6:BG""),15,FALSE))"),"")</f>
        <v/>
      </c>
      <c r="AX378" s="21" t="str">
        <f ca="1">IFERROR(__xludf.DUMMYFUNCTION("IFERROR(VLOOKUP(E392&amp;F392,IMPORTRANGE(""https://docs.google.com/spreadsheets/d/1Uw7-A9f9R21vMXxHZFNpYNeKFtG8_yji4HS352LGlSQ/edit?pli=1#gid=0"",""1_ACUM!A4:S""),12,FALSE))"),"")</f>
        <v/>
      </c>
      <c r="AY378" s="43" t="str">
        <f ca="1">IFERROR(__xludf.DUMMYFUNCTION("IFERROR(VLOOKUP(E392&amp;F392,IMPORTRANGE(""https://docs.google.com/spreadsheets/d/1Uw7-A9f9R21vMXxHZFNpYNeKFtG8_yji4HS352LGlSQ/edit?pli=1#gid=0"",""1_ACUM!A4:S""),13,FALSE))"),"")</f>
        <v/>
      </c>
      <c r="AZ378" s="43" t="str">
        <f ca="1">IFERROR(__xludf.DUMMYFUNCTION("IFERROR(VLOOKUP(E392&amp;F392,IMPORTRANGE(""https://docs.google.com/spreadsheets/d/1Uw7-A9f9R21vMXxHZFNpYNeKFtG8_yji4HS352LGlSQ/edit?pli=1#gid=0"",""1_ACUM!A4:S""),14,FALSE))"),"")</f>
        <v/>
      </c>
      <c r="BA378" s="43" t="str">
        <f ca="1">IFERROR(__xludf.DUMMYFUNCTION("IFERROR(VLOOKUP(E392&amp;F392,IMPORTRANGE(""https://docs.google.com/spreadsheets/d/1Uw7-A9f9R21vMXxHZFNpYNeKFtG8_yji4HS352LGlSQ/edit?pli=1#gid=0"",""1_ACUM!A4:S""),15,FALSE))"),"")</f>
        <v/>
      </c>
      <c r="BB378" s="43" t="str">
        <f ca="1">IFERROR(__xludf.DUMMYFUNCTION("IFERROR(VLOOKUP(E392&amp;F392,IMPORTRANGE(""https://docs.google.com/spreadsheets/d/1Uw7-A9f9R21vMXxHZFNpYNeKFtG8_yji4HS352LGlSQ/edit?pli=1#gid=0"",""1_ACUM!A4:S""),16,FALSE))"),"")</f>
        <v/>
      </c>
      <c r="BC378" s="43" t="str">
        <f ca="1">IFERROR(__xludf.DUMMYFUNCTION("IFERROR(VLOOKUP(E392&amp;F392,IMPORTRANGE(""https://docs.google.com/spreadsheets/d/1Uw7-A9f9R21vMXxHZFNpYNeKFtG8_yji4HS352LGlSQ/edit?pli=1#gid=0"",""1_ACUM!A4:S""),17,FALSE))"),"")</f>
        <v/>
      </c>
      <c r="BD378" s="44" t="str">
        <f ca="1">IFERROR(__xludf.DUMMYFUNCTION("IFERROR(VLOOKUP(E392&amp;F392,IMPORTRANGE(""https://docs.google.com/spreadsheets/d/1Uw7-A9f9R21vMXxHZFNpYNeKFtG8_yji4HS352LGlSQ/edit?pli=1#gid=0"",""1_ACUM!A4:S""),18,FALSE))"),"")</f>
        <v/>
      </c>
      <c r="BE378" s="44" t="str">
        <f ca="1">IFERROR(__xludf.DUMMYFUNCTION("IFERROR(VLOOKUP(E392&amp;F392,IMPORTRANGE(""https://docs.google.com/spreadsheets/d/1Uw7-A9f9R21vMXxHZFNpYNeKFtG8_yji4HS352LGlSQ/edit?pli=1#gid=0"",""1_ACUM!A4:S""),19,FALSE))"),"")</f>
        <v/>
      </c>
      <c r="BF378" s="98" t="str">
        <f ca="1">IFERROR(__xludf.DUMMYFUNCTION("IFERROR(VLOOKUP(F392,IMPORTRANGE(""https://docs.google.com/spreadsheets/d/1Kvs4KS76FHFqLFIZfrDMff4kP08nblUkihrxltoGBjg/edit#gid=934712705"",""ESENCIAL!A6:BG""),5,FALSE))"),"")</f>
        <v/>
      </c>
      <c r="BG378" s="98" t="str">
        <f t="shared" si="17"/>
        <v/>
      </c>
      <c r="BH378" s="99" t="str">
        <f t="shared" si="18"/>
        <v/>
      </c>
      <c r="BI378" s="100" t="str">
        <f ca="1">IFERROR(__xludf.DUMMYFUNCTION("IFERROR(VLOOKUP(F392,IMPORTRANGE(""https://docs.google.com/spreadsheets/d/1Kvs4KS76FHFqLFIZfrDMff4kP08nblUkihrxltoGBjg/edit#gid=934712705"",""ESENCIAL!A6:BG""),2,FALSE))"),"")</f>
        <v/>
      </c>
      <c r="BJ378" s="19" t="str">
        <f t="shared" si="19"/>
        <v/>
      </c>
      <c r="BK378" s="100"/>
      <c r="BL378" s="100"/>
    </row>
    <row r="379" spans="1:64" ht="15">
      <c r="A379" s="101"/>
      <c r="B379" s="101"/>
      <c r="G379" s="5" t="str">
        <f ca="1">IFERROR(__xludf.DUMMYFUNCTION("IFERROR(VLOOKUP(F393,IMPORTRANGE(""https://docs.google.com/spreadsheets/d/1Kvs4KS76FHFqLFIZfrDMff4kP08nblUkihrxltoGBjg/edit#gid=934712705"",""ESENCIAL!A6:BG""),3,FALSE))"),"")</f>
        <v/>
      </c>
      <c r="H379" s="5" t="str">
        <f ca="1">IFERROR(__xludf.DUMMYFUNCTION("IFERROR(VLOOKUP(F393,IMPORTRANGE(""https://docs.google.com/spreadsheets/d/1Kvs4KS76FHFqLFIZfrDMff4kP08nblUkihrxltoGBjg/edit#gid=934712705"",""ESENCIAL!A6:BG""),8,FALSE))"),"")</f>
        <v/>
      </c>
      <c r="L379" s="287"/>
      <c r="U379" s="40"/>
      <c r="AU379" s="41" t="str">
        <f t="shared" si="16"/>
        <v/>
      </c>
      <c r="AV379" s="5" t="str">
        <f ca="1">IFERROR(__xludf.DUMMYFUNCTION("IFERROR(VLOOKUP(E393&amp;F393,IMPORTRANGE(""https://docs.google.com/spreadsheets/d/1Uw7-A9f9R21vMXxHZFNpYNeKFtG8_yji4HS352LGlSQ/edit?pli=1#gid=0"",""1_ACUM!A4:S""),11,FALSE))"),"")</f>
        <v/>
      </c>
      <c r="AW379" s="42" t="str">
        <f ca="1">IFERROR(__xludf.DUMMYFUNCTION("IFERROR(VLOOKUP(F393,IMPORTRANGE(""https://docs.google.com/spreadsheets/d/1Kvs4KS76FHFqLFIZfrDMff4kP08nblUkihrxltoGBjg/edit#gid=934712705"",""ESENCIAL!A6:BG""),15,FALSE))"),"")</f>
        <v/>
      </c>
      <c r="AX379" s="21" t="str">
        <f ca="1">IFERROR(__xludf.DUMMYFUNCTION("IFERROR(VLOOKUP(E393&amp;F393,IMPORTRANGE(""https://docs.google.com/spreadsheets/d/1Uw7-A9f9R21vMXxHZFNpYNeKFtG8_yji4HS352LGlSQ/edit?pli=1#gid=0"",""1_ACUM!A4:S""),12,FALSE))"),"")</f>
        <v/>
      </c>
      <c r="AY379" s="43" t="str">
        <f ca="1">IFERROR(__xludf.DUMMYFUNCTION("IFERROR(VLOOKUP(E393&amp;F393,IMPORTRANGE(""https://docs.google.com/spreadsheets/d/1Uw7-A9f9R21vMXxHZFNpYNeKFtG8_yji4HS352LGlSQ/edit?pli=1#gid=0"",""1_ACUM!A4:S""),13,FALSE))"),"")</f>
        <v/>
      </c>
      <c r="AZ379" s="43" t="str">
        <f ca="1">IFERROR(__xludf.DUMMYFUNCTION("IFERROR(VLOOKUP(E393&amp;F393,IMPORTRANGE(""https://docs.google.com/spreadsheets/d/1Uw7-A9f9R21vMXxHZFNpYNeKFtG8_yji4HS352LGlSQ/edit?pli=1#gid=0"",""1_ACUM!A4:S""),14,FALSE))"),"")</f>
        <v/>
      </c>
      <c r="BA379" s="43" t="str">
        <f ca="1">IFERROR(__xludf.DUMMYFUNCTION("IFERROR(VLOOKUP(E393&amp;F393,IMPORTRANGE(""https://docs.google.com/spreadsheets/d/1Uw7-A9f9R21vMXxHZFNpYNeKFtG8_yji4HS352LGlSQ/edit?pli=1#gid=0"",""1_ACUM!A4:S""),15,FALSE))"),"")</f>
        <v/>
      </c>
      <c r="BB379" s="43" t="str">
        <f ca="1">IFERROR(__xludf.DUMMYFUNCTION("IFERROR(VLOOKUP(E393&amp;F393,IMPORTRANGE(""https://docs.google.com/spreadsheets/d/1Uw7-A9f9R21vMXxHZFNpYNeKFtG8_yji4HS352LGlSQ/edit?pli=1#gid=0"",""1_ACUM!A4:S""),16,FALSE))"),"")</f>
        <v/>
      </c>
      <c r="BC379" s="43" t="str">
        <f ca="1">IFERROR(__xludf.DUMMYFUNCTION("IFERROR(VLOOKUP(E393&amp;F393,IMPORTRANGE(""https://docs.google.com/spreadsheets/d/1Uw7-A9f9R21vMXxHZFNpYNeKFtG8_yji4HS352LGlSQ/edit?pli=1#gid=0"",""1_ACUM!A4:S""),17,FALSE))"),"")</f>
        <v/>
      </c>
      <c r="BD379" s="44" t="str">
        <f ca="1">IFERROR(__xludf.DUMMYFUNCTION("IFERROR(VLOOKUP(E393&amp;F393,IMPORTRANGE(""https://docs.google.com/spreadsheets/d/1Uw7-A9f9R21vMXxHZFNpYNeKFtG8_yji4HS352LGlSQ/edit?pli=1#gid=0"",""1_ACUM!A4:S""),18,FALSE))"),"")</f>
        <v/>
      </c>
      <c r="BE379" s="44" t="str">
        <f ca="1">IFERROR(__xludf.DUMMYFUNCTION("IFERROR(VLOOKUP(E393&amp;F393,IMPORTRANGE(""https://docs.google.com/spreadsheets/d/1Uw7-A9f9R21vMXxHZFNpYNeKFtG8_yji4HS352LGlSQ/edit?pli=1#gid=0"",""1_ACUM!A4:S""),19,FALSE))"),"")</f>
        <v/>
      </c>
      <c r="BF379" s="98" t="str">
        <f ca="1">IFERROR(__xludf.DUMMYFUNCTION("IFERROR(VLOOKUP(F393,IMPORTRANGE(""https://docs.google.com/spreadsheets/d/1Kvs4KS76FHFqLFIZfrDMff4kP08nblUkihrxltoGBjg/edit#gid=934712705"",""ESENCIAL!A6:BG""),5,FALSE))"),"")</f>
        <v/>
      </c>
      <c r="BG379" s="98" t="str">
        <f t="shared" si="17"/>
        <v/>
      </c>
      <c r="BH379" s="99" t="str">
        <f t="shared" si="18"/>
        <v/>
      </c>
      <c r="BI379" s="100" t="str">
        <f ca="1">IFERROR(__xludf.DUMMYFUNCTION("IFERROR(VLOOKUP(F393,IMPORTRANGE(""https://docs.google.com/spreadsheets/d/1Kvs4KS76FHFqLFIZfrDMff4kP08nblUkihrxltoGBjg/edit#gid=934712705"",""ESENCIAL!A6:BG""),2,FALSE))"),"")</f>
        <v/>
      </c>
      <c r="BJ379" s="19" t="str">
        <f t="shared" si="19"/>
        <v/>
      </c>
      <c r="BK379" s="100"/>
      <c r="BL379" s="100"/>
    </row>
    <row r="380" spans="1:64" ht="15">
      <c r="A380" s="101"/>
      <c r="B380" s="101"/>
      <c r="G380" s="5" t="str">
        <f ca="1">IFERROR(__xludf.DUMMYFUNCTION("IFERROR(VLOOKUP(F394,IMPORTRANGE(""https://docs.google.com/spreadsheets/d/1Kvs4KS76FHFqLFIZfrDMff4kP08nblUkihrxltoGBjg/edit#gid=934712705"",""ESENCIAL!A6:BG""),3,FALSE))"),"")</f>
        <v/>
      </c>
      <c r="H380" s="5" t="str">
        <f ca="1">IFERROR(__xludf.DUMMYFUNCTION("IFERROR(VLOOKUP(F394,IMPORTRANGE(""https://docs.google.com/spreadsheets/d/1Kvs4KS76FHFqLFIZfrDMff4kP08nblUkihrxltoGBjg/edit#gid=934712705"",""ESENCIAL!A6:BG""),8,FALSE))"),"")</f>
        <v/>
      </c>
      <c r="L380" s="287"/>
      <c r="U380" s="40"/>
      <c r="AU380" s="41" t="str">
        <f t="shared" si="16"/>
        <v/>
      </c>
      <c r="AV380" s="5" t="str">
        <f ca="1">IFERROR(__xludf.DUMMYFUNCTION("IFERROR(VLOOKUP(E394&amp;F394,IMPORTRANGE(""https://docs.google.com/spreadsheets/d/1Uw7-A9f9R21vMXxHZFNpYNeKFtG8_yji4HS352LGlSQ/edit?pli=1#gid=0"",""1_ACUM!A4:S""),11,FALSE))"),"")</f>
        <v/>
      </c>
      <c r="AW380" s="42" t="str">
        <f ca="1">IFERROR(__xludf.DUMMYFUNCTION("IFERROR(VLOOKUP(F394,IMPORTRANGE(""https://docs.google.com/spreadsheets/d/1Kvs4KS76FHFqLFIZfrDMff4kP08nblUkihrxltoGBjg/edit#gid=934712705"",""ESENCIAL!A6:BG""),15,FALSE))"),"")</f>
        <v/>
      </c>
      <c r="AX380" s="21" t="str">
        <f ca="1">IFERROR(__xludf.DUMMYFUNCTION("IFERROR(VLOOKUP(E394&amp;F394,IMPORTRANGE(""https://docs.google.com/spreadsheets/d/1Uw7-A9f9R21vMXxHZFNpYNeKFtG8_yji4HS352LGlSQ/edit?pli=1#gid=0"",""1_ACUM!A4:S""),12,FALSE))"),"")</f>
        <v/>
      </c>
      <c r="AY380" s="43" t="str">
        <f ca="1">IFERROR(__xludf.DUMMYFUNCTION("IFERROR(VLOOKUP(E394&amp;F394,IMPORTRANGE(""https://docs.google.com/spreadsheets/d/1Uw7-A9f9R21vMXxHZFNpYNeKFtG8_yji4HS352LGlSQ/edit?pli=1#gid=0"",""1_ACUM!A4:S""),13,FALSE))"),"")</f>
        <v/>
      </c>
      <c r="AZ380" s="43" t="str">
        <f ca="1">IFERROR(__xludf.DUMMYFUNCTION("IFERROR(VLOOKUP(E394&amp;F394,IMPORTRANGE(""https://docs.google.com/spreadsheets/d/1Uw7-A9f9R21vMXxHZFNpYNeKFtG8_yji4HS352LGlSQ/edit?pli=1#gid=0"",""1_ACUM!A4:S""),14,FALSE))"),"")</f>
        <v/>
      </c>
      <c r="BA380" s="43" t="str">
        <f ca="1">IFERROR(__xludf.DUMMYFUNCTION("IFERROR(VLOOKUP(E394&amp;F394,IMPORTRANGE(""https://docs.google.com/spreadsheets/d/1Uw7-A9f9R21vMXxHZFNpYNeKFtG8_yji4HS352LGlSQ/edit?pli=1#gid=0"",""1_ACUM!A4:S""),15,FALSE))"),"")</f>
        <v/>
      </c>
      <c r="BB380" s="43" t="str">
        <f ca="1">IFERROR(__xludf.DUMMYFUNCTION("IFERROR(VLOOKUP(E394&amp;F394,IMPORTRANGE(""https://docs.google.com/spreadsheets/d/1Uw7-A9f9R21vMXxHZFNpYNeKFtG8_yji4HS352LGlSQ/edit?pli=1#gid=0"",""1_ACUM!A4:S""),16,FALSE))"),"")</f>
        <v/>
      </c>
      <c r="BC380" s="43" t="str">
        <f ca="1">IFERROR(__xludf.DUMMYFUNCTION("IFERROR(VLOOKUP(E394&amp;F394,IMPORTRANGE(""https://docs.google.com/spreadsheets/d/1Uw7-A9f9R21vMXxHZFNpYNeKFtG8_yji4HS352LGlSQ/edit?pli=1#gid=0"",""1_ACUM!A4:S""),17,FALSE))"),"")</f>
        <v/>
      </c>
      <c r="BD380" s="44" t="str">
        <f ca="1">IFERROR(__xludf.DUMMYFUNCTION("IFERROR(VLOOKUP(E394&amp;F394,IMPORTRANGE(""https://docs.google.com/spreadsheets/d/1Uw7-A9f9R21vMXxHZFNpYNeKFtG8_yji4HS352LGlSQ/edit?pli=1#gid=0"",""1_ACUM!A4:S""),18,FALSE))"),"")</f>
        <v/>
      </c>
      <c r="BE380" s="44" t="str">
        <f ca="1">IFERROR(__xludf.DUMMYFUNCTION("IFERROR(VLOOKUP(E394&amp;F394,IMPORTRANGE(""https://docs.google.com/spreadsheets/d/1Uw7-A9f9R21vMXxHZFNpYNeKFtG8_yji4HS352LGlSQ/edit?pli=1#gid=0"",""1_ACUM!A4:S""),19,FALSE))"),"")</f>
        <v/>
      </c>
      <c r="BF380" s="98" t="str">
        <f ca="1">IFERROR(__xludf.DUMMYFUNCTION("IFERROR(VLOOKUP(F394,IMPORTRANGE(""https://docs.google.com/spreadsheets/d/1Kvs4KS76FHFqLFIZfrDMff4kP08nblUkihrxltoGBjg/edit#gid=934712705"",""ESENCIAL!A6:BG""),5,FALSE))"),"")</f>
        <v/>
      </c>
      <c r="BG380" s="98" t="str">
        <f t="shared" si="17"/>
        <v/>
      </c>
      <c r="BH380" s="99" t="str">
        <f t="shared" si="18"/>
        <v/>
      </c>
      <c r="BI380" s="100" t="str">
        <f ca="1">IFERROR(__xludf.DUMMYFUNCTION("IFERROR(VLOOKUP(F394,IMPORTRANGE(""https://docs.google.com/spreadsheets/d/1Kvs4KS76FHFqLFIZfrDMff4kP08nblUkihrxltoGBjg/edit#gid=934712705"",""ESENCIAL!A6:BG""),2,FALSE))"),"")</f>
        <v/>
      </c>
      <c r="BJ380" s="19" t="str">
        <f t="shared" si="19"/>
        <v/>
      </c>
      <c r="BK380" s="100"/>
      <c r="BL380" s="100"/>
    </row>
    <row r="381" spans="1:64" ht="15">
      <c r="A381" s="101"/>
      <c r="B381" s="101"/>
      <c r="G381" s="5" t="str">
        <f ca="1">IFERROR(__xludf.DUMMYFUNCTION("IFERROR(VLOOKUP(F395,IMPORTRANGE(""https://docs.google.com/spreadsheets/d/1Kvs4KS76FHFqLFIZfrDMff4kP08nblUkihrxltoGBjg/edit#gid=934712705"",""ESENCIAL!A6:BG""),3,FALSE))"),"")</f>
        <v/>
      </c>
      <c r="H381" s="5" t="str">
        <f ca="1">IFERROR(__xludf.DUMMYFUNCTION("IFERROR(VLOOKUP(F395,IMPORTRANGE(""https://docs.google.com/spreadsheets/d/1Kvs4KS76FHFqLFIZfrDMff4kP08nblUkihrxltoGBjg/edit#gid=934712705"",""ESENCIAL!A6:BG""),8,FALSE))"),"")</f>
        <v/>
      </c>
      <c r="L381" s="287"/>
      <c r="U381" s="40"/>
      <c r="AU381" s="41" t="str">
        <f t="shared" si="16"/>
        <v/>
      </c>
      <c r="AV381" s="5" t="str">
        <f ca="1">IFERROR(__xludf.DUMMYFUNCTION("IFERROR(VLOOKUP(E395&amp;F395,IMPORTRANGE(""https://docs.google.com/spreadsheets/d/1Uw7-A9f9R21vMXxHZFNpYNeKFtG8_yji4HS352LGlSQ/edit?pli=1#gid=0"",""1_ACUM!A4:S""),11,FALSE))"),"")</f>
        <v/>
      </c>
      <c r="AW381" s="42" t="str">
        <f ca="1">IFERROR(__xludf.DUMMYFUNCTION("IFERROR(VLOOKUP(F395,IMPORTRANGE(""https://docs.google.com/spreadsheets/d/1Kvs4KS76FHFqLFIZfrDMff4kP08nblUkihrxltoGBjg/edit#gid=934712705"",""ESENCIAL!A6:BG""),15,FALSE))"),"")</f>
        <v/>
      </c>
      <c r="AX381" s="21" t="str">
        <f ca="1">IFERROR(__xludf.DUMMYFUNCTION("IFERROR(VLOOKUP(E395&amp;F395,IMPORTRANGE(""https://docs.google.com/spreadsheets/d/1Uw7-A9f9R21vMXxHZFNpYNeKFtG8_yji4HS352LGlSQ/edit?pli=1#gid=0"",""1_ACUM!A4:S""),12,FALSE))"),"")</f>
        <v/>
      </c>
      <c r="AY381" s="43" t="str">
        <f ca="1">IFERROR(__xludf.DUMMYFUNCTION("IFERROR(VLOOKUP(E395&amp;F395,IMPORTRANGE(""https://docs.google.com/spreadsheets/d/1Uw7-A9f9R21vMXxHZFNpYNeKFtG8_yji4HS352LGlSQ/edit?pli=1#gid=0"",""1_ACUM!A4:S""),13,FALSE))"),"")</f>
        <v/>
      </c>
      <c r="AZ381" s="43" t="str">
        <f ca="1">IFERROR(__xludf.DUMMYFUNCTION("IFERROR(VLOOKUP(E395&amp;F395,IMPORTRANGE(""https://docs.google.com/spreadsheets/d/1Uw7-A9f9R21vMXxHZFNpYNeKFtG8_yji4HS352LGlSQ/edit?pli=1#gid=0"",""1_ACUM!A4:S""),14,FALSE))"),"")</f>
        <v/>
      </c>
      <c r="BA381" s="43" t="str">
        <f ca="1">IFERROR(__xludf.DUMMYFUNCTION("IFERROR(VLOOKUP(E395&amp;F395,IMPORTRANGE(""https://docs.google.com/spreadsheets/d/1Uw7-A9f9R21vMXxHZFNpYNeKFtG8_yji4HS352LGlSQ/edit?pli=1#gid=0"",""1_ACUM!A4:S""),15,FALSE))"),"")</f>
        <v/>
      </c>
      <c r="BB381" s="43" t="str">
        <f ca="1">IFERROR(__xludf.DUMMYFUNCTION("IFERROR(VLOOKUP(E395&amp;F395,IMPORTRANGE(""https://docs.google.com/spreadsheets/d/1Uw7-A9f9R21vMXxHZFNpYNeKFtG8_yji4HS352LGlSQ/edit?pli=1#gid=0"",""1_ACUM!A4:S""),16,FALSE))"),"")</f>
        <v/>
      </c>
      <c r="BC381" s="43" t="str">
        <f ca="1">IFERROR(__xludf.DUMMYFUNCTION("IFERROR(VLOOKUP(E395&amp;F395,IMPORTRANGE(""https://docs.google.com/spreadsheets/d/1Uw7-A9f9R21vMXxHZFNpYNeKFtG8_yji4HS352LGlSQ/edit?pli=1#gid=0"",""1_ACUM!A4:S""),17,FALSE))"),"")</f>
        <v/>
      </c>
      <c r="BD381" s="44" t="str">
        <f ca="1">IFERROR(__xludf.DUMMYFUNCTION("IFERROR(VLOOKUP(E395&amp;F395,IMPORTRANGE(""https://docs.google.com/spreadsheets/d/1Uw7-A9f9R21vMXxHZFNpYNeKFtG8_yji4HS352LGlSQ/edit?pli=1#gid=0"",""1_ACUM!A4:S""),18,FALSE))"),"")</f>
        <v/>
      </c>
      <c r="BE381" s="44" t="str">
        <f ca="1">IFERROR(__xludf.DUMMYFUNCTION("IFERROR(VLOOKUP(E395&amp;F395,IMPORTRANGE(""https://docs.google.com/spreadsheets/d/1Uw7-A9f9R21vMXxHZFNpYNeKFtG8_yji4HS352LGlSQ/edit?pli=1#gid=0"",""1_ACUM!A4:S""),19,FALSE))"),"")</f>
        <v/>
      </c>
      <c r="BF381" s="98" t="str">
        <f ca="1">IFERROR(__xludf.DUMMYFUNCTION("IFERROR(VLOOKUP(F395,IMPORTRANGE(""https://docs.google.com/spreadsheets/d/1Kvs4KS76FHFqLFIZfrDMff4kP08nblUkihrxltoGBjg/edit#gid=934712705"",""ESENCIAL!A6:BG""),5,FALSE))"),"")</f>
        <v/>
      </c>
      <c r="BG381" s="98" t="str">
        <f t="shared" si="17"/>
        <v/>
      </c>
      <c r="BH381" s="99" t="str">
        <f t="shared" si="18"/>
        <v/>
      </c>
      <c r="BI381" s="100" t="str">
        <f ca="1">IFERROR(__xludf.DUMMYFUNCTION("IFERROR(VLOOKUP(F395,IMPORTRANGE(""https://docs.google.com/spreadsheets/d/1Kvs4KS76FHFqLFIZfrDMff4kP08nblUkihrxltoGBjg/edit#gid=934712705"",""ESENCIAL!A6:BG""),2,FALSE))"),"")</f>
        <v/>
      </c>
      <c r="BJ381" s="19" t="str">
        <f t="shared" si="19"/>
        <v/>
      </c>
      <c r="BK381" s="100"/>
      <c r="BL381" s="100"/>
    </row>
    <row r="382" spans="1:64" ht="15">
      <c r="A382" s="101"/>
      <c r="B382" s="101"/>
      <c r="G382" s="5" t="str">
        <f ca="1">IFERROR(__xludf.DUMMYFUNCTION("IFERROR(VLOOKUP(F396,IMPORTRANGE(""https://docs.google.com/spreadsheets/d/1Kvs4KS76FHFqLFIZfrDMff4kP08nblUkihrxltoGBjg/edit#gid=934712705"",""ESENCIAL!A6:BG""),3,FALSE))"),"")</f>
        <v/>
      </c>
      <c r="H382" s="5" t="str">
        <f ca="1">IFERROR(__xludf.DUMMYFUNCTION("IFERROR(VLOOKUP(F396,IMPORTRANGE(""https://docs.google.com/spreadsheets/d/1Kvs4KS76FHFqLFIZfrDMff4kP08nblUkihrxltoGBjg/edit#gid=934712705"",""ESENCIAL!A6:BG""),8,FALSE))"),"")</f>
        <v/>
      </c>
      <c r="L382" s="287"/>
      <c r="U382" s="40"/>
      <c r="AU382" s="41" t="str">
        <f t="shared" si="16"/>
        <v/>
      </c>
      <c r="AV382" s="5" t="str">
        <f ca="1">IFERROR(__xludf.DUMMYFUNCTION("IFERROR(VLOOKUP(E396&amp;F396,IMPORTRANGE(""https://docs.google.com/spreadsheets/d/1Uw7-A9f9R21vMXxHZFNpYNeKFtG8_yji4HS352LGlSQ/edit?pli=1#gid=0"",""1_ACUM!A4:S""),11,FALSE))"),"")</f>
        <v/>
      </c>
      <c r="AW382" s="42" t="str">
        <f ca="1">IFERROR(__xludf.DUMMYFUNCTION("IFERROR(VLOOKUP(F396,IMPORTRANGE(""https://docs.google.com/spreadsheets/d/1Kvs4KS76FHFqLFIZfrDMff4kP08nblUkihrxltoGBjg/edit#gid=934712705"",""ESENCIAL!A6:BG""),15,FALSE))"),"")</f>
        <v/>
      </c>
      <c r="AX382" s="21" t="str">
        <f ca="1">IFERROR(__xludf.DUMMYFUNCTION("IFERROR(VLOOKUP(E396&amp;F396,IMPORTRANGE(""https://docs.google.com/spreadsheets/d/1Uw7-A9f9R21vMXxHZFNpYNeKFtG8_yji4HS352LGlSQ/edit?pli=1#gid=0"",""1_ACUM!A4:S""),12,FALSE))"),"")</f>
        <v/>
      </c>
      <c r="AY382" s="43" t="str">
        <f ca="1">IFERROR(__xludf.DUMMYFUNCTION("IFERROR(VLOOKUP(E396&amp;F396,IMPORTRANGE(""https://docs.google.com/spreadsheets/d/1Uw7-A9f9R21vMXxHZFNpYNeKFtG8_yji4HS352LGlSQ/edit?pli=1#gid=0"",""1_ACUM!A4:S""),13,FALSE))"),"")</f>
        <v/>
      </c>
      <c r="AZ382" s="43" t="str">
        <f ca="1">IFERROR(__xludf.DUMMYFUNCTION("IFERROR(VLOOKUP(E396&amp;F396,IMPORTRANGE(""https://docs.google.com/spreadsheets/d/1Uw7-A9f9R21vMXxHZFNpYNeKFtG8_yji4HS352LGlSQ/edit?pli=1#gid=0"",""1_ACUM!A4:S""),14,FALSE))"),"")</f>
        <v/>
      </c>
      <c r="BA382" s="43" t="str">
        <f ca="1">IFERROR(__xludf.DUMMYFUNCTION("IFERROR(VLOOKUP(E396&amp;F396,IMPORTRANGE(""https://docs.google.com/spreadsheets/d/1Uw7-A9f9R21vMXxHZFNpYNeKFtG8_yji4HS352LGlSQ/edit?pli=1#gid=0"",""1_ACUM!A4:S""),15,FALSE))"),"")</f>
        <v/>
      </c>
      <c r="BB382" s="43" t="str">
        <f ca="1">IFERROR(__xludf.DUMMYFUNCTION("IFERROR(VLOOKUP(E396&amp;F396,IMPORTRANGE(""https://docs.google.com/spreadsheets/d/1Uw7-A9f9R21vMXxHZFNpYNeKFtG8_yji4HS352LGlSQ/edit?pli=1#gid=0"",""1_ACUM!A4:S""),16,FALSE))"),"")</f>
        <v/>
      </c>
      <c r="BC382" s="43" t="str">
        <f ca="1">IFERROR(__xludf.DUMMYFUNCTION("IFERROR(VLOOKUP(E396&amp;F396,IMPORTRANGE(""https://docs.google.com/spreadsheets/d/1Uw7-A9f9R21vMXxHZFNpYNeKFtG8_yji4HS352LGlSQ/edit?pli=1#gid=0"",""1_ACUM!A4:S""),17,FALSE))"),"")</f>
        <v/>
      </c>
      <c r="BD382" s="44" t="str">
        <f ca="1">IFERROR(__xludf.DUMMYFUNCTION("IFERROR(VLOOKUP(E396&amp;F396,IMPORTRANGE(""https://docs.google.com/spreadsheets/d/1Uw7-A9f9R21vMXxHZFNpYNeKFtG8_yji4HS352LGlSQ/edit?pli=1#gid=0"",""1_ACUM!A4:S""),18,FALSE))"),"")</f>
        <v/>
      </c>
      <c r="BE382" s="44" t="str">
        <f ca="1">IFERROR(__xludf.DUMMYFUNCTION("IFERROR(VLOOKUP(E396&amp;F396,IMPORTRANGE(""https://docs.google.com/spreadsheets/d/1Uw7-A9f9R21vMXxHZFNpYNeKFtG8_yji4HS352LGlSQ/edit?pli=1#gid=0"",""1_ACUM!A4:S""),19,FALSE))"),"")</f>
        <v/>
      </c>
      <c r="BF382" s="98" t="str">
        <f ca="1">IFERROR(__xludf.DUMMYFUNCTION("IFERROR(VLOOKUP(F396,IMPORTRANGE(""https://docs.google.com/spreadsheets/d/1Kvs4KS76FHFqLFIZfrDMff4kP08nblUkihrxltoGBjg/edit#gid=934712705"",""ESENCIAL!A6:BG""),5,FALSE))"),"")</f>
        <v/>
      </c>
      <c r="BG382" s="98" t="str">
        <f t="shared" si="17"/>
        <v/>
      </c>
      <c r="BH382" s="99" t="str">
        <f t="shared" si="18"/>
        <v/>
      </c>
      <c r="BI382" s="100" t="str">
        <f ca="1">IFERROR(__xludf.DUMMYFUNCTION("IFERROR(VLOOKUP(F396,IMPORTRANGE(""https://docs.google.com/spreadsheets/d/1Kvs4KS76FHFqLFIZfrDMff4kP08nblUkihrxltoGBjg/edit#gid=934712705"",""ESENCIAL!A6:BG""),2,FALSE))"),"")</f>
        <v/>
      </c>
      <c r="BJ382" s="19" t="str">
        <f t="shared" si="19"/>
        <v/>
      </c>
      <c r="BK382" s="100"/>
      <c r="BL382" s="100"/>
    </row>
    <row r="383" spans="1:64" ht="15">
      <c r="A383" s="101"/>
      <c r="B383" s="101"/>
      <c r="G383" s="5" t="str">
        <f ca="1">IFERROR(__xludf.DUMMYFUNCTION("IFERROR(VLOOKUP(F397,IMPORTRANGE(""https://docs.google.com/spreadsheets/d/1Kvs4KS76FHFqLFIZfrDMff4kP08nblUkihrxltoGBjg/edit#gid=934712705"",""ESENCIAL!A6:BG""),3,FALSE))"),"")</f>
        <v/>
      </c>
      <c r="H383" s="5" t="str">
        <f ca="1">IFERROR(__xludf.DUMMYFUNCTION("IFERROR(VLOOKUP(F397,IMPORTRANGE(""https://docs.google.com/spreadsheets/d/1Kvs4KS76FHFqLFIZfrDMff4kP08nblUkihrxltoGBjg/edit#gid=934712705"",""ESENCIAL!A6:BG""),8,FALSE))"),"")</f>
        <v/>
      </c>
      <c r="L383" s="287"/>
      <c r="U383" s="40"/>
      <c r="AU383" s="41" t="str">
        <f t="shared" si="16"/>
        <v/>
      </c>
      <c r="AV383" s="5" t="str">
        <f ca="1">IFERROR(__xludf.DUMMYFUNCTION("IFERROR(VLOOKUP(E397&amp;F397,IMPORTRANGE(""https://docs.google.com/spreadsheets/d/1Uw7-A9f9R21vMXxHZFNpYNeKFtG8_yji4HS352LGlSQ/edit?pli=1#gid=0"",""1_ACUM!A4:S""),11,FALSE))"),"")</f>
        <v/>
      </c>
      <c r="AW383" s="42" t="str">
        <f ca="1">IFERROR(__xludf.DUMMYFUNCTION("IFERROR(VLOOKUP(F397,IMPORTRANGE(""https://docs.google.com/spreadsheets/d/1Kvs4KS76FHFqLFIZfrDMff4kP08nblUkihrxltoGBjg/edit#gid=934712705"",""ESENCIAL!A6:BG""),15,FALSE))"),"")</f>
        <v/>
      </c>
      <c r="AX383" s="21" t="str">
        <f ca="1">IFERROR(__xludf.DUMMYFUNCTION("IFERROR(VLOOKUP(E397&amp;F397,IMPORTRANGE(""https://docs.google.com/spreadsheets/d/1Uw7-A9f9R21vMXxHZFNpYNeKFtG8_yji4HS352LGlSQ/edit?pli=1#gid=0"",""1_ACUM!A4:S""),12,FALSE))"),"")</f>
        <v/>
      </c>
      <c r="AY383" s="43" t="str">
        <f ca="1">IFERROR(__xludf.DUMMYFUNCTION("IFERROR(VLOOKUP(E397&amp;F397,IMPORTRANGE(""https://docs.google.com/spreadsheets/d/1Uw7-A9f9R21vMXxHZFNpYNeKFtG8_yji4HS352LGlSQ/edit?pli=1#gid=0"",""1_ACUM!A4:S""),13,FALSE))"),"")</f>
        <v/>
      </c>
      <c r="AZ383" s="43" t="str">
        <f ca="1">IFERROR(__xludf.DUMMYFUNCTION("IFERROR(VLOOKUP(E397&amp;F397,IMPORTRANGE(""https://docs.google.com/spreadsheets/d/1Uw7-A9f9R21vMXxHZFNpYNeKFtG8_yji4HS352LGlSQ/edit?pli=1#gid=0"",""1_ACUM!A4:S""),14,FALSE))"),"")</f>
        <v/>
      </c>
      <c r="BA383" s="43" t="str">
        <f ca="1">IFERROR(__xludf.DUMMYFUNCTION("IFERROR(VLOOKUP(E397&amp;F397,IMPORTRANGE(""https://docs.google.com/spreadsheets/d/1Uw7-A9f9R21vMXxHZFNpYNeKFtG8_yji4HS352LGlSQ/edit?pli=1#gid=0"",""1_ACUM!A4:S""),15,FALSE))"),"")</f>
        <v/>
      </c>
      <c r="BB383" s="43" t="str">
        <f ca="1">IFERROR(__xludf.DUMMYFUNCTION("IFERROR(VLOOKUP(E397&amp;F397,IMPORTRANGE(""https://docs.google.com/spreadsheets/d/1Uw7-A9f9R21vMXxHZFNpYNeKFtG8_yji4HS352LGlSQ/edit?pli=1#gid=0"",""1_ACUM!A4:S""),16,FALSE))"),"")</f>
        <v/>
      </c>
      <c r="BC383" s="43" t="str">
        <f ca="1">IFERROR(__xludf.DUMMYFUNCTION("IFERROR(VLOOKUP(E397&amp;F397,IMPORTRANGE(""https://docs.google.com/spreadsheets/d/1Uw7-A9f9R21vMXxHZFNpYNeKFtG8_yji4HS352LGlSQ/edit?pli=1#gid=0"",""1_ACUM!A4:S""),17,FALSE))"),"")</f>
        <v/>
      </c>
      <c r="BD383" s="44" t="str">
        <f ca="1">IFERROR(__xludf.DUMMYFUNCTION("IFERROR(VLOOKUP(E397&amp;F397,IMPORTRANGE(""https://docs.google.com/spreadsheets/d/1Uw7-A9f9R21vMXxHZFNpYNeKFtG8_yji4HS352LGlSQ/edit?pli=1#gid=0"",""1_ACUM!A4:S""),18,FALSE))"),"")</f>
        <v/>
      </c>
      <c r="BE383" s="44" t="str">
        <f ca="1">IFERROR(__xludf.DUMMYFUNCTION("IFERROR(VLOOKUP(E397&amp;F397,IMPORTRANGE(""https://docs.google.com/spreadsheets/d/1Uw7-A9f9R21vMXxHZFNpYNeKFtG8_yji4HS352LGlSQ/edit?pli=1#gid=0"",""1_ACUM!A4:S""),19,FALSE))"),"")</f>
        <v/>
      </c>
      <c r="BF383" s="98" t="str">
        <f ca="1">IFERROR(__xludf.DUMMYFUNCTION("IFERROR(VLOOKUP(F397,IMPORTRANGE(""https://docs.google.com/spreadsheets/d/1Kvs4KS76FHFqLFIZfrDMff4kP08nblUkihrxltoGBjg/edit#gid=934712705"",""ESENCIAL!A6:BG""),5,FALSE))"),"")</f>
        <v/>
      </c>
      <c r="BG383" s="98" t="str">
        <f t="shared" si="17"/>
        <v/>
      </c>
      <c r="BH383" s="99" t="str">
        <f t="shared" si="18"/>
        <v/>
      </c>
      <c r="BI383" s="100" t="str">
        <f ca="1">IFERROR(__xludf.DUMMYFUNCTION("IFERROR(VLOOKUP(F397,IMPORTRANGE(""https://docs.google.com/spreadsheets/d/1Kvs4KS76FHFqLFIZfrDMff4kP08nblUkihrxltoGBjg/edit#gid=934712705"",""ESENCIAL!A6:BG""),2,FALSE))"),"")</f>
        <v/>
      </c>
      <c r="BJ383" s="19" t="str">
        <f t="shared" si="19"/>
        <v/>
      </c>
      <c r="BK383" s="100"/>
      <c r="BL383" s="100"/>
    </row>
    <row r="384" spans="1:64" ht="15">
      <c r="A384" s="101"/>
      <c r="B384" s="101"/>
      <c r="G384" s="5" t="str">
        <f ca="1">IFERROR(__xludf.DUMMYFUNCTION("IFERROR(VLOOKUP(F398,IMPORTRANGE(""https://docs.google.com/spreadsheets/d/1Kvs4KS76FHFqLFIZfrDMff4kP08nblUkihrxltoGBjg/edit#gid=934712705"",""ESENCIAL!A6:BG""),3,FALSE))"),"")</f>
        <v/>
      </c>
      <c r="H384" s="5" t="str">
        <f ca="1">IFERROR(__xludf.DUMMYFUNCTION("IFERROR(VLOOKUP(F398,IMPORTRANGE(""https://docs.google.com/spreadsheets/d/1Kvs4KS76FHFqLFIZfrDMff4kP08nblUkihrxltoGBjg/edit#gid=934712705"",""ESENCIAL!A6:BG""),8,FALSE))"),"")</f>
        <v/>
      </c>
      <c r="L384" s="287"/>
      <c r="U384" s="40"/>
      <c r="AU384" s="41" t="str">
        <f t="shared" si="16"/>
        <v/>
      </c>
      <c r="AV384" s="5" t="str">
        <f ca="1">IFERROR(__xludf.DUMMYFUNCTION("IFERROR(VLOOKUP(E398&amp;F398,IMPORTRANGE(""https://docs.google.com/spreadsheets/d/1Uw7-A9f9R21vMXxHZFNpYNeKFtG8_yji4HS352LGlSQ/edit?pli=1#gid=0"",""1_ACUM!A4:S""),11,FALSE))"),"")</f>
        <v/>
      </c>
      <c r="AW384" s="42" t="str">
        <f ca="1">IFERROR(__xludf.DUMMYFUNCTION("IFERROR(VLOOKUP(F398,IMPORTRANGE(""https://docs.google.com/spreadsheets/d/1Kvs4KS76FHFqLFIZfrDMff4kP08nblUkihrxltoGBjg/edit#gid=934712705"",""ESENCIAL!A6:BG""),15,FALSE))"),"")</f>
        <v/>
      </c>
      <c r="AX384" s="21" t="str">
        <f ca="1">IFERROR(__xludf.DUMMYFUNCTION("IFERROR(VLOOKUP(E398&amp;F398,IMPORTRANGE(""https://docs.google.com/spreadsheets/d/1Uw7-A9f9R21vMXxHZFNpYNeKFtG8_yji4HS352LGlSQ/edit?pli=1#gid=0"",""1_ACUM!A4:S""),12,FALSE))"),"")</f>
        <v/>
      </c>
      <c r="AY384" s="43" t="str">
        <f ca="1">IFERROR(__xludf.DUMMYFUNCTION("IFERROR(VLOOKUP(E398&amp;F398,IMPORTRANGE(""https://docs.google.com/spreadsheets/d/1Uw7-A9f9R21vMXxHZFNpYNeKFtG8_yji4HS352LGlSQ/edit?pli=1#gid=0"",""1_ACUM!A4:S""),13,FALSE))"),"")</f>
        <v/>
      </c>
      <c r="AZ384" s="43" t="str">
        <f ca="1">IFERROR(__xludf.DUMMYFUNCTION("IFERROR(VLOOKUP(E398&amp;F398,IMPORTRANGE(""https://docs.google.com/spreadsheets/d/1Uw7-A9f9R21vMXxHZFNpYNeKFtG8_yji4HS352LGlSQ/edit?pli=1#gid=0"",""1_ACUM!A4:S""),14,FALSE))"),"")</f>
        <v/>
      </c>
      <c r="BA384" s="43" t="str">
        <f ca="1">IFERROR(__xludf.DUMMYFUNCTION("IFERROR(VLOOKUP(E398&amp;F398,IMPORTRANGE(""https://docs.google.com/spreadsheets/d/1Uw7-A9f9R21vMXxHZFNpYNeKFtG8_yji4HS352LGlSQ/edit?pli=1#gid=0"",""1_ACUM!A4:S""),15,FALSE))"),"")</f>
        <v/>
      </c>
      <c r="BB384" s="43" t="str">
        <f ca="1">IFERROR(__xludf.DUMMYFUNCTION("IFERROR(VLOOKUP(E398&amp;F398,IMPORTRANGE(""https://docs.google.com/spreadsheets/d/1Uw7-A9f9R21vMXxHZFNpYNeKFtG8_yji4HS352LGlSQ/edit?pli=1#gid=0"",""1_ACUM!A4:S""),16,FALSE))"),"")</f>
        <v/>
      </c>
      <c r="BC384" s="43" t="str">
        <f ca="1">IFERROR(__xludf.DUMMYFUNCTION("IFERROR(VLOOKUP(E398&amp;F398,IMPORTRANGE(""https://docs.google.com/spreadsheets/d/1Uw7-A9f9R21vMXxHZFNpYNeKFtG8_yji4HS352LGlSQ/edit?pli=1#gid=0"",""1_ACUM!A4:S""),17,FALSE))"),"")</f>
        <v/>
      </c>
      <c r="BD384" s="44" t="str">
        <f ca="1">IFERROR(__xludf.DUMMYFUNCTION("IFERROR(VLOOKUP(E398&amp;F398,IMPORTRANGE(""https://docs.google.com/spreadsheets/d/1Uw7-A9f9R21vMXxHZFNpYNeKFtG8_yji4HS352LGlSQ/edit?pli=1#gid=0"",""1_ACUM!A4:S""),18,FALSE))"),"")</f>
        <v/>
      </c>
      <c r="BE384" s="44" t="str">
        <f ca="1">IFERROR(__xludf.DUMMYFUNCTION("IFERROR(VLOOKUP(E398&amp;F398,IMPORTRANGE(""https://docs.google.com/spreadsheets/d/1Uw7-A9f9R21vMXxHZFNpYNeKFtG8_yji4HS352LGlSQ/edit?pli=1#gid=0"",""1_ACUM!A4:S""),19,FALSE))"),"")</f>
        <v/>
      </c>
      <c r="BF384" s="98" t="str">
        <f ca="1">IFERROR(__xludf.DUMMYFUNCTION("IFERROR(VLOOKUP(F398,IMPORTRANGE(""https://docs.google.com/spreadsheets/d/1Kvs4KS76FHFqLFIZfrDMff4kP08nblUkihrxltoGBjg/edit#gid=934712705"",""ESENCIAL!A6:BG""),5,FALSE))"),"")</f>
        <v/>
      </c>
      <c r="BG384" s="98" t="str">
        <f t="shared" si="17"/>
        <v/>
      </c>
      <c r="BH384" s="99" t="str">
        <f t="shared" si="18"/>
        <v/>
      </c>
      <c r="BI384" s="100" t="str">
        <f ca="1">IFERROR(__xludf.DUMMYFUNCTION("IFERROR(VLOOKUP(F398,IMPORTRANGE(""https://docs.google.com/spreadsheets/d/1Kvs4KS76FHFqLFIZfrDMff4kP08nblUkihrxltoGBjg/edit#gid=934712705"",""ESENCIAL!A6:BG""),2,FALSE))"),"")</f>
        <v/>
      </c>
      <c r="BJ384" s="19" t="str">
        <f t="shared" si="19"/>
        <v/>
      </c>
      <c r="BK384" s="100"/>
      <c r="BL384" s="100"/>
    </row>
    <row r="385" spans="1:64" ht="15">
      <c r="A385" s="101"/>
      <c r="B385" s="101"/>
      <c r="G385" s="5" t="str">
        <f ca="1">IFERROR(__xludf.DUMMYFUNCTION("IFERROR(VLOOKUP(F399,IMPORTRANGE(""https://docs.google.com/spreadsheets/d/1Kvs4KS76FHFqLFIZfrDMff4kP08nblUkihrxltoGBjg/edit#gid=934712705"",""ESENCIAL!A6:BG""),3,FALSE))"),"")</f>
        <v/>
      </c>
      <c r="H385" s="5" t="str">
        <f ca="1">IFERROR(__xludf.DUMMYFUNCTION("IFERROR(VLOOKUP(F399,IMPORTRANGE(""https://docs.google.com/spreadsheets/d/1Kvs4KS76FHFqLFIZfrDMff4kP08nblUkihrxltoGBjg/edit#gid=934712705"",""ESENCIAL!A6:BG""),8,FALSE))"),"")</f>
        <v/>
      </c>
      <c r="L385" s="287"/>
      <c r="U385" s="40"/>
      <c r="AU385" s="41" t="str">
        <f t="shared" si="16"/>
        <v/>
      </c>
      <c r="AV385" s="5" t="str">
        <f ca="1">IFERROR(__xludf.DUMMYFUNCTION("IFERROR(VLOOKUP(E399&amp;F399,IMPORTRANGE(""https://docs.google.com/spreadsheets/d/1Uw7-A9f9R21vMXxHZFNpYNeKFtG8_yji4HS352LGlSQ/edit?pli=1#gid=0"",""1_ACUM!A4:S""),11,FALSE))"),"")</f>
        <v/>
      </c>
      <c r="AW385" s="42" t="str">
        <f ca="1">IFERROR(__xludf.DUMMYFUNCTION("IFERROR(VLOOKUP(F399,IMPORTRANGE(""https://docs.google.com/spreadsheets/d/1Kvs4KS76FHFqLFIZfrDMff4kP08nblUkihrxltoGBjg/edit#gid=934712705"",""ESENCIAL!A6:BG""),15,FALSE))"),"")</f>
        <v/>
      </c>
      <c r="AX385" s="21" t="str">
        <f ca="1">IFERROR(__xludf.DUMMYFUNCTION("IFERROR(VLOOKUP(E399&amp;F399,IMPORTRANGE(""https://docs.google.com/spreadsheets/d/1Uw7-A9f9R21vMXxHZFNpYNeKFtG8_yji4HS352LGlSQ/edit?pli=1#gid=0"",""1_ACUM!A4:S""),12,FALSE))"),"")</f>
        <v/>
      </c>
      <c r="AY385" s="43" t="str">
        <f ca="1">IFERROR(__xludf.DUMMYFUNCTION("IFERROR(VLOOKUP(E399&amp;F399,IMPORTRANGE(""https://docs.google.com/spreadsheets/d/1Uw7-A9f9R21vMXxHZFNpYNeKFtG8_yji4HS352LGlSQ/edit?pli=1#gid=0"",""1_ACUM!A4:S""),13,FALSE))"),"")</f>
        <v/>
      </c>
      <c r="AZ385" s="43" t="str">
        <f ca="1">IFERROR(__xludf.DUMMYFUNCTION("IFERROR(VLOOKUP(E399&amp;F399,IMPORTRANGE(""https://docs.google.com/spreadsheets/d/1Uw7-A9f9R21vMXxHZFNpYNeKFtG8_yji4HS352LGlSQ/edit?pli=1#gid=0"",""1_ACUM!A4:S""),14,FALSE))"),"")</f>
        <v/>
      </c>
      <c r="BA385" s="43" t="str">
        <f ca="1">IFERROR(__xludf.DUMMYFUNCTION("IFERROR(VLOOKUP(E399&amp;F399,IMPORTRANGE(""https://docs.google.com/spreadsheets/d/1Uw7-A9f9R21vMXxHZFNpYNeKFtG8_yji4HS352LGlSQ/edit?pli=1#gid=0"",""1_ACUM!A4:S""),15,FALSE))"),"")</f>
        <v/>
      </c>
      <c r="BB385" s="43" t="str">
        <f ca="1">IFERROR(__xludf.DUMMYFUNCTION("IFERROR(VLOOKUP(E399&amp;F399,IMPORTRANGE(""https://docs.google.com/spreadsheets/d/1Uw7-A9f9R21vMXxHZFNpYNeKFtG8_yji4HS352LGlSQ/edit?pli=1#gid=0"",""1_ACUM!A4:S""),16,FALSE))"),"")</f>
        <v/>
      </c>
      <c r="BC385" s="43" t="str">
        <f ca="1">IFERROR(__xludf.DUMMYFUNCTION("IFERROR(VLOOKUP(E399&amp;F399,IMPORTRANGE(""https://docs.google.com/spreadsheets/d/1Uw7-A9f9R21vMXxHZFNpYNeKFtG8_yji4HS352LGlSQ/edit?pli=1#gid=0"",""1_ACUM!A4:S""),17,FALSE))"),"")</f>
        <v/>
      </c>
      <c r="BD385" s="44" t="str">
        <f ca="1">IFERROR(__xludf.DUMMYFUNCTION("IFERROR(VLOOKUP(E399&amp;F399,IMPORTRANGE(""https://docs.google.com/spreadsheets/d/1Uw7-A9f9R21vMXxHZFNpYNeKFtG8_yji4HS352LGlSQ/edit?pli=1#gid=0"",""1_ACUM!A4:S""),18,FALSE))"),"")</f>
        <v/>
      </c>
      <c r="BE385" s="44" t="str">
        <f ca="1">IFERROR(__xludf.DUMMYFUNCTION("IFERROR(VLOOKUP(E399&amp;F399,IMPORTRANGE(""https://docs.google.com/spreadsheets/d/1Uw7-A9f9R21vMXxHZFNpYNeKFtG8_yji4HS352LGlSQ/edit?pli=1#gid=0"",""1_ACUM!A4:S""),19,FALSE))"),"")</f>
        <v/>
      </c>
      <c r="BF385" s="98" t="str">
        <f ca="1">IFERROR(__xludf.DUMMYFUNCTION("IFERROR(VLOOKUP(F399,IMPORTRANGE(""https://docs.google.com/spreadsheets/d/1Kvs4KS76FHFqLFIZfrDMff4kP08nblUkihrxltoGBjg/edit#gid=934712705"",""ESENCIAL!A6:BG""),5,FALSE))"),"")</f>
        <v/>
      </c>
      <c r="BG385" s="98" t="str">
        <f t="shared" si="17"/>
        <v/>
      </c>
      <c r="BH385" s="99" t="str">
        <f t="shared" si="18"/>
        <v/>
      </c>
      <c r="BI385" s="100" t="str">
        <f ca="1">IFERROR(__xludf.DUMMYFUNCTION("IFERROR(VLOOKUP(F399,IMPORTRANGE(""https://docs.google.com/spreadsheets/d/1Kvs4KS76FHFqLFIZfrDMff4kP08nblUkihrxltoGBjg/edit#gid=934712705"",""ESENCIAL!A6:BG""),2,FALSE))"),"")</f>
        <v/>
      </c>
      <c r="BJ385" s="19" t="str">
        <f t="shared" si="19"/>
        <v/>
      </c>
      <c r="BK385" s="100"/>
      <c r="BL385" s="100"/>
    </row>
    <row r="386" spans="1:64" ht="15">
      <c r="A386" s="101"/>
      <c r="B386" s="101"/>
      <c r="G386" s="5" t="str">
        <f ca="1">IFERROR(__xludf.DUMMYFUNCTION("IFERROR(VLOOKUP(F400,IMPORTRANGE(""https://docs.google.com/spreadsheets/d/1Kvs4KS76FHFqLFIZfrDMff4kP08nblUkihrxltoGBjg/edit#gid=934712705"",""ESENCIAL!A6:BG""),3,FALSE))"),"")</f>
        <v/>
      </c>
      <c r="H386" s="5" t="str">
        <f ca="1">IFERROR(__xludf.DUMMYFUNCTION("IFERROR(VLOOKUP(F400,IMPORTRANGE(""https://docs.google.com/spreadsheets/d/1Kvs4KS76FHFqLFIZfrDMff4kP08nblUkihrxltoGBjg/edit#gid=934712705"",""ESENCIAL!A6:BG""),8,FALSE))"),"")</f>
        <v/>
      </c>
      <c r="L386" s="287"/>
      <c r="U386" s="40"/>
      <c r="AU386" s="41" t="str">
        <f t="shared" si="16"/>
        <v/>
      </c>
      <c r="AV386" s="5" t="str">
        <f ca="1">IFERROR(__xludf.DUMMYFUNCTION("IFERROR(VLOOKUP(E400&amp;F400,IMPORTRANGE(""https://docs.google.com/spreadsheets/d/1Uw7-A9f9R21vMXxHZFNpYNeKFtG8_yji4HS352LGlSQ/edit?pli=1#gid=0"",""1_ACUM!A4:S""),11,FALSE))"),"")</f>
        <v/>
      </c>
      <c r="AW386" s="42" t="str">
        <f ca="1">IFERROR(__xludf.DUMMYFUNCTION("IFERROR(VLOOKUP(F400,IMPORTRANGE(""https://docs.google.com/spreadsheets/d/1Kvs4KS76FHFqLFIZfrDMff4kP08nblUkihrxltoGBjg/edit#gid=934712705"",""ESENCIAL!A6:BG""),15,FALSE))"),"")</f>
        <v/>
      </c>
      <c r="AX386" s="21" t="str">
        <f ca="1">IFERROR(__xludf.DUMMYFUNCTION("IFERROR(VLOOKUP(E400&amp;F400,IMPORTRANGE(""https://docs.google.com/spreadsheets/d/1Uw7-A9f9R21vMXxHZFNpYNeKFtG8_yji4HS352LGlSQ/edit?pli=1#gid=0"",""1_ACUM!A4:S""),12,FALSE))"),"")</f>
        <v/>
      </c>
      <c r="AY386" s="43" t="str">
        <f ca="1">IFERROR(__xludf.DUMMYFUNCTION("IFERROR(VLOOKUP(E400&amp;F400,IMPORTRANGE(""https://docs.google.com/spreadsheets/d/1Uw7-A9f9R21vMXxHZFNpYNeKFtG8_yji4HS352LGlSQ/edit?pli=1#gid=0"",""1_ACUM!A4:S""),13,FALSE))"),"")</f>
        <v/>
      </c>
      <c r="AZ386" s="43" t="str">
        <f ca="1">IFERROR(__xludf.DUMMYFUNCTION("IFERROR(VLOOKUP(E400&amp;F400,IMPORTRANGE(""https://docs.google.com/spreadsheets/d/1Uw7-A9f9R21vMXxHZFNpYNeKFtG8_yji4HS352LGlSQ/edit?pli=1#gid=0"",""1_ACUM!A4:S""),14,FALSE))"),"")</f>
        <v/>
      </c>
      <c r="BA386" s="43" t="str">
        <f ca="1">IFERROR(__xludf.DUMMYFUNCTION("IFERROR(VLOOKUP(E400&amp;F400,IMPORTRANGE(""https://docs.google.com/spreadsheets/d/1Uw7-A9f9R21vMXxHZFNpYNeKFtG8_yji4HS352LGlSQ/edit?pli=1#gid=0"",""1_ACUM!A4:S""),15,FALSE))"),"")</f>
        <v/>
      </c>
      <c r="BB386" s="43" t="str">
        <f ca="1">IFERROR(__xludf.DUMMYFUNCTION("IFERROR(VLOOKUP(E400&amp;F400,IMPORTRANGE(""https://docs.google.com/spreadsheets/d/1Uw7-A9f9R21vMXxHZFNpYNeKFtG8_yji4HS352LGlSQ/edit?pli=1#gid=0"",""1_ACUM!A4:S""),16,FALSE))"),"")</f>
        <v/>
      </c>
      <c r="BC386" s="43" t="str">
        <f ca="1">IFERROR(__xludf.DUMMYFUNCTION("IFERROR(VLOOKUP(E400&amp;F400,IMPORTRANGE(""https://docs.google.com/spreadsheets/d/1Uw7-A9f9R21vMXxHZFNpYNeKFtG8_yji4HS352LGlSQ/edit?pli=1#gid=0"",""1_ACUM!A4:S""),17,FALSE))"),"")</f>
        <v/>
      </c>
      <c r="BD386" s="44" t="str">
        <f ca="1">IFERROR(__xludf.DUMMYFUNCTION("IFERROR(VLOOKUP(E400&amp;F400,IMPORTRANGE(""https://docs.google.com/spreadsheets/d/1Uw7-A9f9R21vMXxHZFNpYNeKFtG8_yji4HS352LGlSQ/edit?pli=1#gid=0"",""1_ACUM!A4:S""),18,FALSE))"),"")</f>
        <v/>
      </c>
      <c r="BE386" s="44" t="str">
        <f ca="1">IFERROR(__xludf.DUMMYFUNCTION("IFERROR(VLOOKUP(E400&amp;F400,IMPORTRANGE(""https://docs.google.com/spreadsheets/d/1Uw7-A9f9R21vMXxHZFNpYNeKFtG8_yji4HS352LGlSQ/edit?pli=1#gid=0"",""1_ACUM!A4:S""),19,FALSE))"),"")</f>
        <v/>
      </c>
      <c r="BF386" s="98" t="str">
        <f ca="1">IFERROR(__xludf.DUMMYFUNCTION("IFERROR(VLOOKUP(F400,IMPORTRANGE(""https://docs.google.com/spreadsheets/d/1Kvs4KS76FHFqLFIZfrDMff4kP08nblUkihrxltoGBjg/edit#gid=934712705"",""ESENCIAL!A6:BG""),5,FALSE))"),"")</f>
        <v/>
      </c>
      <c r="BG386" s="98" t="str">
        <f t="shared" si="17"/>
        <v/>
      </c>
      <c r="BH386" s="99" t="str">
        <f t="shared" si="18"/>
        <v/>
      </c>
      <c r="BI386" s="100" t="str">
        <f ca="1">IFERROR(__xludf.DUMMYFUNCTION("IFERROR(VLOOKUP(F400,IMPORTRANGE(""https://docs.google.com/spreadsheets/d/1Kvs4KS76FHFqLFIZfrDMff4kP08nblUkihrxltoGBjg/edit#gid=934712705"",""ESENCIAL!A6:BG""),2,FALSE))"),"")</f>
        <v/>
      </c>
      <c r="BJ386" s="19" t="str">
        <f t="shared" si="19"/>
        <v/>
      </c>
      <c r="BK386" s="100"/>
      <c r="BL386" s="100"/>
    </row>
    <row r="387" spans="1:64" ht="15">
      <c r="A387" s="101"/>
      <c r="B387" s="101"/>
      <c r="G387" s="5" t="str">
        <f ca="1">IFERROR(__xludf.DUMMYFUNCTION("IFERROR(VLOOKUP(F401,IMPORTRANGE(""https://docs.google.com/spreadsheets/d/1Kvs4KS76FHFqLFIZfrDMff4kP08nblUkihrxltoGBjg/edit#gid=934712705"",""ESENCIAL!A6:BG""),3,FALSE))"),"")</f>
        <v/>
      </c>
      <c r="H387" s="5" t="str">
        <f ca="1">IFERROR(__xludf.DUMMYFUNCTION("IFERROR(VLOOKUP(F401,IMPORTRANGE(""https://docs.google.com/spreadsheets/d/1Kvs4KS76FHFqLFIZfrDMff4kP08nblUkihrxltoGBjg/edit#gid=934712705"",""ESENCIAL!A6:BG""),8,FALSE))"),"")</f>
        <v/>
      </c>
      <c r="L387" s="287"/>
      <c r="U387" s="40"/>
      <c r="AU387" s="41" t="str">
        <f t="shared" si="16"/>
        <v/>
      </c>
      <c r="AV387" s="5" t="str">
        <f ca="1">IFERROR(__xludf.DUMMYFUNCTION("IFERROR(VLOOKUP(E401&amp;F401,IMPORTRANGE(""https://docs.google.com/spreadsheets/d/1Uw7-A9f9R21vMXxHZFNpYNeKFtG8_yji4HS352LGlSQ/edit?pli=1#gid=0"",""1_ACUM!A4:S""),11,FALSE))"),"")</f>
        <v/>
      </c>
      <c r="AW387" s="42" t="str">
        <f ca="1">IFERROR(__xludf.DUMMYFUNCTION("IFERROR(VLOOKUP(F401,IMPORTRANGE(""https://docs.google.com/spreadsheets/d/1Kvs4KS76FHFqLFIZfrDMff4kP08nblUkihrxltoGBjg/edit#gid=934712705"",""ESENCIAL!A6:BG""),15,FALSE))"),"")</f>
        <v/>
      </c>
      <c r="AX387" s="21" t="str">
        <f ca="1">IFERROR(__xludf.DUMMYFUNCTION("IFERROR(VLOOKUP(E401&amp;F401,IMPORTRANGE(""https://docs.google.com/spreadsheets/d/1Uw7-A9f9R21vMXxHZFNpYNeKFtG8_yji4HS352LGlSQ/edit?pli=1#gid=0"",""1_ACUM!A4:S""),12,FALSE))"),"")</f>
        <v/>
      </c>
      <c r="AY387" s="43" t="str">
        <f ca="1">IFERROR(__xludf.DUMMYFUNCTION("IFERROR(VLOOKUP(E401&amp;F401,IMPORTRANGE(""https://docs.google.com/spreadsheets/d/1Uw7-A9f9R21vMXxHZFNpYNeKFtG8_yji4HS352LGlSQ/edit?pli=1#gid=0"",""1_ACUM!A4:S""),13,FALSE))"),"")</f>
        <v/>
      </c>
      <c r="AZ387" s="43" t="str">
        <f ca="1">IFERROR(__xludf.DUMMYFUNCTION("IFERROR(VLOOKUP(E401&amp;F401,IMPORTRANGE(""https://docs.google.com/spreadsheets/d/1Uw7-A9f9R21vMXxHZFNpYNeKFtG8_yji4HS352LGlSQ/edit?pli=1#gid=0"",""1_ACUM!A4:S""),14,FALSE))"),"")</f>
        <v/>
      </c>
      <c r="BA387" s="43" t="str">
        <f ca="1">IFERROR(__xludf.DUMMYFUNCTION("IFERROR(VLOOKUP(E401&amp;F401,IMPORTRANGE(""https://docs.google.com/spreadsheets/d/1Uw7-A9f9R21vMXxHZFNpYNeKFtG8_yji4HS352LGlSQ/edit?pli=1#gid=0"",""1_ACUM!A4:S""),15,FALSE))"),"")</f>
        <v/>
      </c>
      <c r="BB387" s="43" t="str">
        <f ca="1">IFERROR(__xludf.DUMMYFUNCTION("IFERROR(VLOOKUP(E401&amp;F401,IMPORTRANGE(""https://docs.google.com/spreadsheets/d/1Uw7-A9f9R21vMXxHZFNpYNeKFtG8_yji4HS352LGlSQ/edit?pli=1#gid=0"",""1_ACUM!A4:S""),16,FALSE))"),"")</f>
        <v/>
      </c>
      <c r="BC387" s="43" t="str">
        <f ca="1">IFERROR(__xludf.DUMMYFUNCTION("IFERROR(VLOOKUP(E401&amp;F401,IMPORTRANGE(""https://docs.google.com/spreadsheets/d/1Uw7-A9f9R21vMXxHZFNpYNeKFtG8_yji4HS352LGlSQ/edit?pli=1#gid=0"",""1_ACUM!A4:S""),17,FALSE))"),"")</f>
        <v/>
      </c>
      <c r="BD387" s="44" t="str">
        <f ca="1">IFERROR(__xludf.DUMMYFUNCTION("IFERROR(VLOOKUP(E401&amp;F401,IMPORTRANGE(""https://docs.google.com/spreadsheets/d/1Uw7-A9f9R21vMXxHZFNpYNeKFtG8_yji4HS352LGlSQ/edit?pli=1#gid=0"",""1_ACUM!A4:S""),18,FALSE))"),"")</f>
        <v/>
      </c>
      <c r="BE387" s="44" t="str">
        <f ca="1">IFERROR(__xludf.DUMMYFUNCTION("IFERROR(VLOOKUP(E401&amp;F401,IMPORTRANGE(""https://docs.google.com/spreadsheets/d/1Uw7-A9f9R21vMXxHZFNpYNeKFtG8_yji4HS352LGlSQ/edit?pli=1#gid=0"",""1_ACUM!A4:S""),19,FALSE))"),"")</f>
        <v/>
      </c>
      <c r="BF387" s="98" t="str">
        <f ca="1">IFERROR(__xludf.DUMMYFUNCTION("IFERROR(VLOOKUP(F401,IMPORTRANGE(""https://docs.google.com/spreadsheets/d/1Kvs4KS76FHFqLFIZfrDMff4kP08nblUkihrxltoGBjg/edit#gid=934712705"",""ESENCIAL!A6:BG""),5,FALSE))"),"")</f>
        <v/>
      </c>
      <c r="BG387" s="98" t="str">
        <f t="shared" si="17"/>
        <v/>
      </c>
      <c r="BH387" s="99" t="str">
        <f t="shared" si="18"/>
        <v/>
      </c>
      <c r="BI387" s="100" t="str">
        <f ca="1">IFERROR(__xludf.DUMMYFUNCTION("IFERROR(VLOOKUP(F401,IMPORTRANGE(""https://docs.google.com/spreadsheets/d/1Kvs4KS76FHFqLFIZfrDMff4kP08nblUkihrxltoGBjg/edit#gid=934712705"",""ESENCIAL!A6:BG""),2,FALSE))"),"")</f>
        <v/>
      </c>
      <c r="BJ387" s="19" t="str">
        <f t="shared" si="19"/>
        <v/>
      </c>
      <c r="BK387" s="100"/>
      <c r="BL387" s="100"/>
    </row>
    <row r="388" spans="1:64" ht="15">
      <c r="A388" s="101"/>
      <c r="B388" s="101"/>
      <c r="G388" s="5" t="str">
        <f ca="1">IFERROR(__xludf.DUMMYFUNCTION("IFERROR(VLOOKUP(F402,IMPORTRANGE(""https://docs.google.com/spreadsheets/d/1Kvs4KS76FHFqLFIZfrDMff4kP08nblUkihrxltoGBjg/edit#gid=934712705"",""ESENCIAL!A6:BG""),3,FALSE))"),"")</f>
        <v/>
      </c>
      <c r="H388" s="5" t="str">
        <f ca="1">IFERROR(__xludf.DUMMYFUNCTION("IFERROR(VLOOKUP(F402,IMPORTRANGE(""https://docs.google.com/spreadsheets/d/1Kvs4KS76FHFqLFIZfrDMff4kP08nblUkihrxltoGBjg/edit#gid=934712705"",""ESENCIAL!A6:BG""),8,FALSE))"),"")</f>
        <v/>
      </c>
      <c r="L388" s="287"/>
      <c r="U388" s="40"/>
      <c r="AU388" s="41" t="str">
        <f t="shared" si="16"/>
        <v/>
      </c>
      <c r="AV388" s="5" t="str">
        <f ca="1">IFERROR(__xludf.DUMMYFUNCTION("IFERROR(VLOOKUP(E402&amp;F402,IMPORTRANGE(""https://docs.google.com/spreadsheets/d/1Uw7-A9f9R21vMXxHZFNpYNeKFtG8_yji4HS352LGlSQ/edit?pli=1#gid=0"",""1_ACUM!A4:S""),11,FALSE))"),"")</f>
        <v/>
      </c>
      <c r="AW388" s="42" t="str">
        <f ca="1">IFERROR(__xludf.DUMMYFUNCTION("IFERROR(VLOOKUP(F402,IMPORTRANGE(""https://docs.google.com/spreadsheets/d/1Kvs4KS76FHFqLFIZfrDMff4kP08nblUkihrxltoGBjg/edit#gid=934712705"",""ESENCIAL!A6:BG""),15,FALSE))"),"")</f>
        <v/>
      </c>
      <c r="AX388" s="21" t="str">
        <f ca="1">IFERROR(__xludf.DUMMYFUNCTION("IFERROR(VLOOKUP(E402&amp;F402,IMPORTRANGE(""https://docs.google.com/spreadsheets/d/1Uw7-A9f9R21vMXxHZFNpYNeKFtG8_yji4HS352LGlSQ/edit?pli=1#gid=0"",""1_ACUM!A4:S""),12,FALSE))"),"")</f>
        <v/>
      </c>
      <c r="AY388" s="43" t="str">
        <f ca="1">IFERROR(__xludf.DUMMYFUNCTION("IFERROR(VLOOKUP(E402&amp;F402,IMPORTRANGE(""https://docs.google.com/spreadsheets/d/1Uw7-A9f9R21vMXxHZFNpYNeKFtG8_yji4HS352LGlSQ/edit?pli=1#gid=0"",""1_ACUM!A4:S""),13,FALSE))"),"")</f>
        <v/>
      </c>
      <c r="AZ388" s="43" t="str">
        <f ca="1">IFERROR(__xludf.DUMMYFUNCTION("IFERROR(VLOOKUP(E402&amp;F402,IMPORTRANGE(""https://docs.google.com/spreadsheets/d/1Uw7-A9f9R21vMXxHZFNpYNeKFtG8_yji4HS352LGlSQ/edit?pli=1#gid=0"",""1_ACUM!A4:S""),14,FALSE))"),"")</f>
        <v/>
      </c>
      <c r="BA388" s="43" t="str">
        <f ca="1">IFERROR(__xludf.DUMMYFUNCTION("IFERROR(VLOOKUP(E402&amp;F402,IMPORTRANGE(""https://docs.google.com/spreadsheets/d/1Uw7-A9f9R21vMXxHZFNpYNeKFtG8_yji4HS352LGlSQ/edit?pli=1#gid=0"",""1_ACUM!A4:S""),15,FALSE))"),"")</f>
        <v/>
      </c>
      <c r="BB388" s="43" t="str">
        <f ca="1">IFERROR(__xludf.DUMMYFUNCTION("IFERROR(VLOOKUP(E402&amp;F402,IMPORTRANGE(""https://docs.google.com/spreadsheets/d/1Uw7-A9f9R21vMXxHZFNpYNeKFtG8_yji4HS352LGlSQ/edit?pli=1#gid=0"",""1_ACUM!A4:S""),16,FALSE))"),"")</f>
        <v/>
      </c>
      <c r="BC388" s="43" t="str">
        <f ca="1">IFERROR(__xludf.DUMMYFUNCTION("IFERROR(VLOOKUP(E402&amp;F402,IMPORTRANGE(""https://docs.google.com/spreadsheets/d/1Uw7-A9f9R21vMXxHZFNpYNeKFtG8_yji4HS352LGlSQ/edit?pli=1#gid=0"",""1_ACUM!A4:S""),17,FALSE))"),"")</f>
        <v/>
      </c>
      <c r="BD388" s="44" t="str">
        <f ca="1">IFERROR(__xludf.DUMMYFUNCTION("IFERROR(VLOOKUP(E402&amp;F402,IMPORTRANGE(""https://docs.google.com/spreadsheets/d/1Uw7-A9f9R21vMXxHZFNpYNeKFtG8_yji4HS352LGlSQ/edit?pli=1#gid=0"",""1_ACUM!A4:S""),18,FALSE))"),"")</f>
        <v/>
      </c>
      <c r="BE388" s="44" t="str">
        <f ca="1">IFERROR(__xludf.DUMMYFUNCTION("IFERROR(VLOOKUP(E402&amp;F402,IMPORTRANGE(""https://docs.google.com/spreadsheets/d/1Uw7-A9f9R21vMXxHZFNpYNeKFtG8_yji4HS352LGlSQ/edit?pli=1#gid=0"",""1_ACUM!A4:S""),19,FALSE))"),"")</f>
        <v/>
      </c>
      <c r="BF388" s="98" t="str">
        <f ca="1">IFERROR(__xludf.DUMMYFUNCTION("IFERROR(VLOOKUP(F402,IMPORTRANGE(""https://docs.google.com/spreadsheets/d/1Kvs4KS76FHFqLFIZfrDMff4kP08nblUkihrxltoGBjg/edit#gid=934712705"",""ESENCIAL!A6:BG""),5,FALSE))"),"")</f>
        <v/>
      </c>
      <c r="BG388" s="98" t="str">
        <f t="shared" si="17"/>
        <v/>
      </c>
      <c r="BH388" s="99" t="str">
        <f t="shared" si="18"/>
        <v/>
      </c>
      <c r="BI388" s="100" t="str">
        <f ca="1">IFERROR(__xludf.DUMMYFUNCTION("IFERROR(VLOOKUP(F402,IMPORTRANGE(""https://docs.google.com/spreadsheets/d/1Kvs4KS76FHFqLFIZfrDMff4kP08nblUkihrxltoGBjg/edit#gid=934712705"",""ESENCIAL!A6:BG""),2,FALSE))"),"")</f>
        <v/>
      </c>
      <c r="BJ388" s="19" t="str">
        <f t="shared" si="19"/>
        <v/>
      </c>
      <c r="BK388" s="100"/>
      <c r="BL388" s="100"/>
    </row>
    <row r="389" spans="1:64" ht="15">
      <c r="A389" s="101"/>
      <c r="B389" s="101"/>
      <c r="G389" s="5" t="str">
        <f ca="1">IFERROR(__xludf.DUMMYFUNCTION("IFERROR(VLOOKUP(F403,IMPORTRANGE(""https://docs.google.com/spreadsheets/d/1Kvs4KS76FHFqLFIZfrDMff4kP08nblUkihrxltoGBjg/edit#gid=934712705"",""ESENCIAL!A6:BG""),3,FALSE))"),"")</f>
        <v/>
      </c>
      <c r="H389" s="5" t="str">
        <f ca="1">IFERROR(__xludf.DUMMYFUNCTION("IFERROR(VLOOKUP(F403,IMPORTRANGE(""https://docs.google.com/spreadsheets/d/1Kvs4KS76FHFqLFIZfrDMff4kP08nblUkihrxltoGBjg/edit#gid=934712705"",""ESENCIAL!A6:BG""),8,FALSE))"),"")</f>
        <v/>
      </c>
      <c r="L389" s="287"/>
      <c r="U389" s="40"/>
      <c r="AU389" s="41" t="str">
        <f t="shared" si="16"/>
        <v/>
      </c>
      <c r="AV389" s="5" t="str">
        <f ca="1">IFERROR(__xludf.DUMMYFUNCTION("IFERROR(VLOOKUP(E403&amp;F403,IMPORTRANGE(""https://docs.google.com/spreadsheets/d/1Uw7-A9f9R21vMXxHZFNpYNeKFtG8_yji4HS352LGlSQ/edit?pli=1#gid=0"",""1_ACUM!A4:S""),11,FALSE))"),"")</f>
        <v/>
      </c>
      <c r="AW389" s="42" t="str">
        <f ca="1">IFERROR(__xludf.DUMMYFUNCTION("IFERROR(VLOOKUP(F403,IMPORTRANGE(""https://docs.google.com/spreadsheets/d/1Kvs4KS76FHFqLFIZfrDMff4kP08nblUkihrxltoGBjg/edit#gid=934712705"",""ESENCIAL!A6:BG""),15,FALSE))"),"")</f>
        <v/>
      </c>
      <c r="AX389" s="21" t="str">
        <f ca="1">IFERROR(__xludf.DUMMYFUNCTION("IFERROR(VLOOKUP(E403&amp;F403,IMPORTRANGE(""https://docs.google.com/spreadsheets/d/1Uw7-A9f9R21vMXxHZFNpYNeKFtG8_yji4HS352LGlSQ/edit?pli=1#gid=0"",""1_ACUM!A4:S""),12,FALSE))"),"")</f>
        <v/>
      </c>
      <c r="AY389" s="43" t="str">
        <f ca="1">IFERROR(__xludf.DUMMYFUNCTION("IFERROR(VLOOKUP(E403&amp;F403,IMPORTRANGE(""https://docs.google.com/spreadsheets/d/1Uw7-A9f9R21vMXxHZFNpYNeKFtG8_yji4HS352LGlSQ/edit?pli=1#gid=0"",""1_ACUM!A4:S""),13,FALSE))"),"")</f>
        <v/>
      </c>
      <c r="AZ389" s="43" t="str">
        <f ca="1">IFERROR(__xludf.DUMMYFUNCTION("IFERROR(VLOOKUP(E403&amp;F403,IMPORTRANGE(""https://docs.google.com/spreadsheets/d/1Uw7-A9f9R21vMXxHZFNpYNeKFtG8_yji4HS352LGlSQ/edit?pli=1#gid=0"",""1_ACUM!A4:S""),14,FALSE))"),"")</f>
        <v/>
      </c>
      <c r="BA389" s="43" t="str">
        <f ca="1">IFERROR(__xludf.DUMMYFUNCTION("IFERROR(VLOOKUP(E403&amp;F403,IMPORTRANGE(""https://docs.google.com/spreadsheets/d/1Uw7-A9f9R21vMXxHZFNpYNeKFtG8_yji4HS352LGlSQ/edit?pli=1#gid=0"",""1_ACUM!A4:S""),15,FALSE))"),"")</f>
        <v/>
      </c>
      <c r="BB389" s="43" t="str">
        <f ca="1">IFERROR(__xludf.DUMMYFUNCTION("IFERROR(VLOOKUP(E403&amp;F403,IMPORTRANGE(""https://docs.google.com/spreadsheets/d/1Uw7-A9f9R21vMXxHZFNpYNeKFtG8_yji4HS352LGlSQ/edit?pli=1#gid=0"",""1_ACUM!A4:S""),16,FALSE))"),"")</f>
        <v/>
      </c>
      <c r="BC389" s="43" t="str">
        <f ca="1">IFERROR(__xludf.DUMMYFUNCTION("IFERROR(VLOOKUP(E403&amp;F403,IMPORTRANGE(""https://docs.google.com/spreadsheets/d/1Uw7-A9f9R21vMXxHZFNpYNeKFtG8_yji4HS352LGlSQ/edit?pli=1#gid=0"",""1_ACUM!A4:S""),17,FALSE))"),"")</f>
        <v/>
      </c>
      <c r="BD389" s="44" t="str">
        <f ca="1">IFERROR(__xludf.DUMMYFUNCTION("IFERROR(VLOOKUP(E403&amp;F403,IMPORTRANGE(""https://docs.google.com/spreadsheets/d/1Uw7-A9f9R21vMXxHZFNpYNeKFtG8_yji4HS352LGlSQ/edit?pli=1#gid=0"",""1_ACUM!A4:S""),18,FALSE))"),"")</f>
        <v/>
      </c>
      <c r="BE389" s="44" t="str">
        <f ca="1">IFERROR(__xludf.DUMMYFUNCTION("IFERROR(VLOOKUP(E403&amp;F403,IMPORTRANGE(""https://docs.google.com/spreadsheets/d/1Uw7-A9f9R21vMXxHZFNpYNeKFtG8_yji4HS352LGlSQ/edit?pli=1#gid=0"",""1_ACUM!A4:S""),19,FALSE))"),"")</f>
        <v/>
      </c>
      <c r="BF389" s="98" t="str">
        <f ca="1">IFERROR(__xludf.DUMMYFUNCTION("IFERROR(VLOOKUP(F403,IMPORTRANGE(""https://docs.google.com/spreadsheets/d/1Kvs4KS76FHFqLFIZfrDMff4kP08nblUkihrxltoGBjg/edit#gid=934712705"",""ESENCIAL!A6:BG""),5,FALSE))"),"")</f>
        <v/>
      </c>
      <c r="BG389" s="98" t="str">
        <f t="shared" si="17"/>
        <v/>
      </c>
      <c r="BH389" s="99" t="str">
        <f t="shared" si="18"/>
        <v/>
      </c>
      <c r="BI389" s="100" t="str">
        <f ca="1">IFERROR(__xludf.DUMMYFUNCTION("IFERROR(VLOOKUP(F403,IMPORTRANGE(""https://docs.google.com/spreadsheets/d/1Kvs4KS76FHFqLFIZfrDMff4kP08nblUkihrxltoGBjg/edit#gid=934712705"",""ESENCIAL!A6:BG""),2,FALSE))"),"")</f>
        <v/>
      </c>
      <c r="BJ389" s="19" t="str">
        <f t="shared" si="19"/>
        <v/>
      </c>
      <c r="BK389" s="100"/>
      <c r="BL389" s="100"/>
    </row>
    <row r="390" spans="1:64" ht="15">
      <c r="A390" s="101"/>
      <c r="B390" s="101"/>
      <c r="G390" s="5" t="str">
        <f ca="1">IFERROR(__xludf.DUMMYFUNCTION("IFERROR(VLOOKUP(F404,IMPORTRANGE(""https://docs.google.com/spreadsheets/d/1Kvs4KS76FHFqLFIZfrDMff4kP08nblUkihrxltoGBjg/edit#gid=934712705"",""ESENCIAL!A6:BG""),3,FALSE))"),"")</f>
        <v/>
      </c>
      <c r="H390" s="5" t="str">
        <f ca="1">IFERROR(__xludf.DUMMYFUNCTION("IFERROR(VLOOKUP(F404,IMPORTRANGE(""https://docs.google.com/spreadsheets/d/1Kvs4KS76FHFqLFIZfrDMff4kP08nblUkihrxltoGBjg/edit#gid=934712705"",""ESENCIAL!A6:BG""),8,FALSE))"),"")</f>
        <v/>
      </c>
      <c r="L390" s="287"/>
      <c r="U390" s="40"/>
      <c r="AU390" s="41" t="str">
        <f t="shared" si="16"/>
        <v/>
      </c>
      <c r="AV390" s="5" t="str">
        <f ca="1">IFERROR(__xludf.DUMMYFUNCTION("IFERROR(VLOOKUP(E404&amp;F404,IMPORTRANGE(""https://docs.google.com/spreadsheets/d/1Uw7-A9f9R21vMXxHZFNpYNeKFtG8_yji4HS352LGlSQ/edit?pli=1#gid=0"",""1_ACUM!A4:S""),11,FALSE))"),"")</f>
        <v/>
      </c>
      <c r="AW390" s="42" t="str">
        <f ca="1">IFERROR(__xludf.DUMMYFUNCTION("IFERROR(VLOOKUP(F404,IMPORTRANGE(""https://docs.google.com/spreadsheets/d/1Kvs4KS76FHFqLFIZfrDMff4kP08nblUkihrxltoGBjg/edit#gid=934712705"",""ESENCIAL!A6:BG""),15,FALSE))"),"")</f>
        <v/>
      </c>
      <c r="AX390" s="21" t="str">
        <f ca="1">IFERROR(__xludf.DUMMYFUNCTION("IFERROR(VLOOKUP(E404&amp;F404,IMPORTRANGE(""https://docs.google.com/spreadsheets/d/1Uw7-A9f9R21vMXxHZFNpYNeKFtG8_yji4HS352LGlSQ/edit?pli=1#gid=0"",""1_ACUM!A4:S""),12,FALSE))"),"")</f>
        <v/>
      </c>
      <c r="AY390" s="43" t="str">
        <f ca="1">IFERROR(__xludf.DUMMYFUNCTION("IFERROR(VLOOKUP(E404&amp;F404,IMPORTRANGE(""https://docs.google.com/spreadsheets/d/1Uw7-A9f9R21vMXxHZFNpYNeKFtG8_yji4HS352LGlSQ/edit?pli=1#gid=0"",""1_ACUM!A4:S""),13,FALSE))"),"")</f>
        <v/>
      </c>
      <c r="AZ390" s="43" t="str">
        <f ca="1">IFERROR(__xludf.DUMMYFUNCTION("IFERROR(VLOOKUP(E404&amp;F404,IMPORTRANGE(""https://docs.google.com/spreadsheets/d/1Uw7-A9f9R21vMXxHZFNpYNeKFtG8_yji4HS352LGlSQ/edit?pli=1#gid=0"",""1_ACUM!A4:S""),14,FALSE))"),"")</f>
        <v/>
      </c>
      <c r="BA390" s="43" t="str">
        <f ca="1">IFERROR(__xludf.DUMMYFUNCTION("IFERROR(VLOOKUP(E404&amp;F404,IMPORTRANGE(""https://docs.google.com/spreadsheets/d/1Uw7-A9f9R21vMXxHZFNpYNeKFtG8_yji4HS352LGlSQ/edit?pli=1#gid=0"",""1_ACUM!A4:S""),15,FALSE))"),"")</f>
        <v/>
      </c>
      <c r="BB390" s="43" t="str">
        <f ca="1">IFERROR(__xludf.DUMMYFUNCTION("IFERROR(VLOOKUP(E404&amp;F404,IMPORTRANGE(""https://docs.google.com/spreadsheets/d/1Uw7-A9f9R21vMXxHZFNpYNeKFtG8_yji4HS352LGlSQ/edit?pli=1#gid=0"",""1_ACUM!A4:S""),16,FALSE))"),"")</f>
        <v/>
      </c>
      <c r="BC390" s="43" t="str">
        <f ca="1">IFERROR(__xludf.DUMMYFUNCTION("IFERROR(VLOOKUP(E404&amp;F404,IMPORTRANGE(""https://docs.google.com/spreadsheets/d/1Uw7-A9f9R21vMXxHZFNpYNeKFtG8_yji4HS352LGlSQ/edit?pli=1#gid=0"",""1_ACUM!A4:S""),17,FALSE))"),"")</f>
        <v/>
      </c>
      <c r="BD390" s="44" t="str">
        <f ca="1">IFERROR(__xludf.DUMMYFUNCTION("IFERROR(VLOOKUP(E404&amp;F404,IMPORTRANGE(""https://docs.google.com/spreadsheets/d/1Uw7-A9f9R21vMXxHZFNpYNeKFtG8_yji4HS352LGlSQ/edit?pli=1#gid=0"",""1_ACUM!A4:S""),18,FALSE))"),"")</f>
        <v/>
      </c>
      <c r="BE390" s="44" t="str">
        <f ca="1">IFERROR(__xludf.DUMMYFUNCTION("IFERROR(VLOOKUP(E404&amp;F404,IMPORTRANGE(""https://docs.google.com/spreadsheets/d/1Uw7-A9f9R21vMXxHZFNpYNeKFtG8_yji4HS352LGlSQ/edit?pli=1#gid=0"",""1_ACUM!A4:S""),19,FALSE))"),"")</f>
        <v/>
      </c>
      <c r="BF390" s="98" t="str">
        <f ca="1">IFERROR(__xludf.DUMMYFUNCTION("IFERROR(VLOOKUP(F404,IMPORTRANGE(""https://docs.google.com/spreadsheets/d/1Kvs4KS76FHFqLFIZfrDMff4kP08nblUkihrxltoGBjg/edit#gid=934712705"",""ESENCIAL!A6:BG""),5,FALSE))"),"")</f>
        <v/>
      </c>
      <c r="BG390" s="98" t="str">
        <f t="shared" si="17"/>
        <v/>
      </c>
      <c r="BH390" s="99" t="str">
        <f t="shared" si="18"/>
        <v/>
      </c>
      <c r="BI390" s="100" t="str">
        <f ca="1">IFERROR(__xludf.DUMMYFUNCTION("IFERROR(VLOOKUP(F404,IMPORTRANGE(""https://docs.google.com/spreadsheets/d/1Kvs4KS76FHFqLFIZfrDMff4kP08nblUkihrxltoGBjg/edit#gid=934712705"",""ESENCIAL!A6:BG""),2,FALSE))"),"")</f>
        <v/>
      </c>
      <c r="BJ390" s="19" t="str">
        <f t="shared" si="19"/>
        <v/>
      </c>
      <c r="BK390" s="100"/>
      <c r="BL390" s="100"/>
    </row>
    <row r="391" spans="1:64" ht="15">
      <c r="A391" s="101"/>
      <c r="B391" s="101"/>
      <c r="G391" s="5" t="str">
        <f ca="1">IFERROR(__xludf.DUMMYFUNCTION("IFERROR(VLOOKUP(F405,IMPORTRANGE(""https://docs.google.com/spreadsheets/d/1Kvs4KS76FHFqLFIZfrDMff4kP08nblUkihrxltoGBjg/edit#gid=934712705"",""ESENCIAL!A6:BG""),3,FALSE))"),"")</f>
        <v/>
      </c>
      <c r="H391" s="5" t="str">
        <f ca="1">IFERROR(__xludf.DUMMYFUNCTION("IFERROR(VLOOKUP(F405,IMPORTRANGE(""https://docs.google.com/spreadsheets/d/1Kvs4KS76FHFqLFIZfrDMff4kP08nblUkihrxltoGBjg/edit#gid=934712705"",""ESENCIAL!A6:BG""),8,FALSE))"),"")</f>
        <v/>
      </c>
      <c r="L391" s="287"/>
      <c r="U391" s="40"/>
      <c r="AU391" s="41" t="str">
        <f t="shared" si="16"/>
        <v/>
      </c>
      <c r="AV391" s="5" t="str">
        <f ca="1">IFERROR(__xludf.DUMMYFUNCTION("IFERROR(VLOOKUP(E405&amp;F405,IMPORTRANGE(""https://docs.google.com/spreadsheets/d/1Uw7-A9f9R21vMXxHZFNpYNeKFtG8_yji4HS352LGlSQ/edit?pli=1#gid=0"",""1_ACUM!A4:S""),11,FALSE))"),"")</f>
        <v/>
      </c>
      <c r="AW391" s="42" t="str">
        <f ca="1">IFERROR(__xludf.DUMMYFUNCTION("IFERROR(VLOOKUP(F405,IMPORTRANGE(""https://docs.google.com/spreadsheets/d/1Kvs4KS76FHFqLFIZfrDMff4kP08nblUkihrxltoGBjg/edit#gid=934712705"",""ESENCIAL!A6:BG""),15,FALSE))"),"")</f>
        <v/>
      </c>
      <c r="AX391" s="21" t="str">
        <f ca="1">IFERROR(__xludf.DUMMYFUNCTION("IFERROR(VLOOKUP(E405&amp;F405,IMPORTRANGE(""https://docs.google.com/spreadsheets/d/1Uw7-A9f9R21vMXxHZFNpYNeKFtG8_yji4HS352LGlSQ/edit?pli=1#gid=0"",""1_ACUM!A4:S""),12,FALSE))"),"")</f>
        <v/>
      </c>
      <c r="AY391" s="43" t="str">
        <f ca="1">IFERROR(__xludf.DUMMYFUNCTION("IFERROR(VLOOKUP(E405&amp;F405,IMPORTRANGE(""https://docs.google.com/spreadsheets/d/1Uw7-A9f9R21vMXxHZFNpYNeKFtG8_yji4HS352LGlSQ/edit?pli=1#gid=0"",""1_ACUM!A4:S""),13,FALSE))"),"")</f>
        <v/>
      </c>
      <c r="AZ391" s="43" t="str">
        <f ca="1">IFERROR(__xludf.DUMMYFUNCTION("IFERROR(VLOOKUP(E405&amp;F405,IMPORTRANGE(""https://docs.google.com/spreadsheets/d/1Uw7-A9f9R21vMXxHZFNpYNeKFtG8_yji4HS352LGlSQ/edit?pli=1#gid=0"",""1_ACUM!A4:S""),14,FALSE))"),"")</f>
        <v/>
      </c>
      <c r="BA391" s="43" t="str">
        <f ca="1">IFERROR(__xludf.DUMMYFUNCTION("IFERROR(VLOOKUP(E405&amp;F405,IMPORTRANGE(""https://docs.google.com/spreadsheets/d/1Uw7-A9f9R21vMXxHZFNpYNeKFtG8_yji4HS352LGlSQ/edit?pli=1#gid=0"",""1_ACUM!A4:S""),15,FALSE))"),"")</f>
        <v/>
      </c>
      <c r="BB391" s="43" t="str">
        <f ca="1">IFERROR(__xludf.DUMMYFUNCTION("IFERROR(VLOOKUP(E405&amp;F405,IMPORTRANGE(""https://docs.google.com/spreadsheets/d/1Uw7-A9f9R21vMXxHZFNpYNeKFtG8_yji4HS352LGlSQ/edit?pli=1#gid=0"",""1_ACUM!A4:S""),16,FALSE))"),"")</f>
        <v/>
      </c>
      <c r="BC391" s="43" t="str">
        <f ca="1">IFERROR(__xludf.DUMMYFUNCTION("IFERROR(VLOOKUP(E405&amp;F405,IMPORTRANGE(""https://docs.google.com/spreadsheets/d/1Uw7-A9f9R21vMXxHZFNpYNeKFtG8_yji4HS352LGlSQ/edit?pli=1#gid=0"",""1_ACUM!A4:S""),17,FALSE))"),"")</f>
        <v/>
      </c>
      <c r="BD391" s="44" t="str">
        <f ca="1">IFERROR(__xludf.DUMMYFUNCTION("IFERROR(VLOOKUP(E405&amp;F405,IMPORTRANGE(""https://docs.google.com/spreadsheets/d/1Uw7-A9f9R21vMXxHZFNpYNeKFtG8_yji4HS352LGlSQ/edit?pli=1#gid=0"",""1_ACUM!A4:S""),18,FALSE))"),"")</f>
        <v/>
      </c>
      <c r="BE391" s="44" t="str">
        <f ca="1">IFERROR(__xludf.DUMMYFUNCTION("IFERROR(VLOOKUP(E405&amp;F405,IMPORTRANGE(""https://docs.google.com/spreadsheets/d/1Uw7-A9f9R21vMXxHZFNpYNeKFtG8_yji4HS352LGlSQ/edit?pli=1#gid=0"",""1_ACUM!A4:S""),19,FALSE))"),"")</f>
        <v/>
      </c>
      <c r="BF391" s="98" t="str">
        <f ca="1">IFERROR(__xludf.DUMMYFUNCTION("IFERROR(VLOOKUP(F405,IMPORTRANGE(""https://docs.google.com/spreadsheets/d/1Kvs4KS76FHFqLFIZfrDMff4kP08nblUkihrxltoGBjg/edit#gid=934712705"",""ESENCIAL!A6:BG""),5,FALSE))"),"")</f>
        <v/>
      </c>
      <c r="BG391" s="98" t="str">
        <f t="shared" si="17"/>
        <v/>
      </c>
      <c r="BH391" s="99" t="str">
        <f t="shared" si="18"/>
        <v/>
      </c>
      <c r="BI391" s="100" t="str">
        <f ca="1">IFERROR(__xludf.DUMMYFUNCTION("IFERROR(VLOOKUP(F405,IMPORTRANGE(""https://docs.google.com/spreadsheets/d/1Kvs4KS76FHFqLFIZfrDMff4kP08nblUkihrxltoGBjg/edit#gid=934712705"",""ESENCIAL!A6:BG""),2,FALSE))"),"")</f>
        <v/>
      </c>
      <c r="BJ391" s="19" t="str">
        <f t="shared" si="19"/>
        <v/>
      </c>
      <c r="BK391" s="100"/>
      <c r="BL391" s="100"/>
    </row>
    <row r="392" spans="1:64" ht="15">
      <c r="A392" s="101"/>
      <c r="B392" s="101"/>
      <c r="G392" s="5" t="str">
        <f ca="1">IFERROR(__xludf.DUMMYFUNCTION("IFERROR(VLOOKUP(F406,IMPORTRANGE(""https://docs.google.com/spreadsheets/d/1Kvs4KS76FHFqLFIZfrDMff4kP08nblUkihrxltoGBjg/edit#gid=934712705"",""ESENCIAL!A6:BG""),3,FALSE))"),"")</f>
        <v/>
      </c>
      <c r="H392" s="5" t="str">
        <f ca="1">IFERROR(__xludf.DUMMYFUNCTION("IFERROR(VLOOKUP(F406,IMPORTRANGE(""https://docs.google.com/spreadsheets/d/1Kvs4KS76FHFqLFIZfrDMff4kP08nblUkihrxltoGBjg/edit#gid=934712705"",""ESENCIAL!A6:BG""),8,FALSE))"),"")</f>
        <v/>
      </c>
      <c r="L392" s="287"/>
      <c r="U392" s="40"/>
      <c r="AU392" s="41" t="str">
        <f t="shared" si="16"/>
        <v/>
      </c>
      <c r="AV392" s="5" t="str">
        <f ca="1">IFERROR(__xludf.DUMMYFUNCTION("IFERROR(VLOOKUP(E406&amp;F406,IMPORTRANGE(""https://docs.google.com/spreadsheets/d/1Uw7-A9f9R21vMXxHZFNpYNeKFtG8_yji4HS352LGlSQ/edit?pli=1#gid=0"",""1_ACUM!A4:S""),11,FALSE))"),"")</f>
        <v/>
      </c>
      <c r="AW392" s="42" t="str">
        <f ca="1">IFERROR(__xludf.DUMMYFUNCTION("IFERROR(VLOOKUP(F406,IMPORTRANGE(""https://docs.google.com/spreadsheets/d/1Kvs4KS76FHFqLFIZfrDMff4kP08nblUkihrxltoGBjg/edit#gid=934712705"",""ESENCIAL!A6:BG""),15,FALSE))"),"")</f>
        <v/>
      </c>
      <c r="AX392" s="21" t="str">
        <f ca="1">IFERROR(__xludf.DUMMYFUNCTION("IFERROR(VLOOKUP(E406&amp;F406,IMPORTRANGE(""https://docs.google.com/spreadsheets/d/1Uw7-A9f9R21vMXxHZFNpYNeKFtG8_yji4HS352LGlSQ/edit?pli=1#gid=0"",""1_ACUM!A4:S""),12,FALSE))"),"")</f>
        <v/>
      </c>
      <c r="AY392" s="43" t="str">
        <f ca="1">IFERROR(__xludf.DUMMYFUNCTION("IFERROR(VLOOKUP(E406&amp;F406,IMPORTRANGE(""https://docs.google.com/spreadsheets/d/1Uw7-A9f9R21vMXxHZFNpYNeKFtG8_yji4HS352LGlSQ/edit?pli=1#gid=0"",""1_ACUM!A4:S""),13,FALSE))"),"")</f>
        <v/>
      </c>
      <c r="AZ392" s="43" t="str">
        <f ca="1">IFERROR(__xludf.DUMMYFUNCTION("IFERROR(VLOOKUP(E406&amp;F406,IMPORTRANGE(""https://docs.google.com/spreadsheets/d/1Uw7-A9f9R21vMXxHZFNpYNeKFtG8_yji4HS352LGlSQ/edit?pli=1#gid=0"",""1_ACUM!A4:S""),14,FALSE))"),"")</f>
        <v/>
      </c>
      <c r="BA392" s="43" t="str">
        <f ca="1">IFERROR(__xludf.DUMMYFUNCTION("IFERROR(VLOOKUP(E406&amp;F406,IMPORTRANGE(""https://docs.google.com/spreadsheets/d/1Uw7-A9f9R21vMXxHZFNpYNeKFtG8_yji4HS352LGlSQ/edit?pli=1#gid=0"",""1_ACUM!A4:S""),15,FALSE))"),"")</f>
        <v/>
      </c>
      <c r="BB392" s="43" t="str">
        <f ca="1">IFERROR(__xludf.DUMMYFUNCTION("IFERROR(VLOOKUP(E406&amp;F406,IMPORTRANGE(""https://docs.google.com/spreadsheets/d/1Uw7-A9f9R21vMXxHZFNpYNeKFtG8_yji4HS352LGlSQ/edit?pli=1#gid=0"",""1_ACUM!A4:S""),16,FALSE))"),"")</f>
        <v/>
      </c>
      <c r="BC392" s="43" t="str">
        <f ca="1">IFERROR(__xludf.DUMMYFUNCTION("IFERROR(VLOOKUP(E406&amp;F406,IMPORTRANGE(""https://docs.google.com/spreadsheets/d/1Uw7-A9f9R21vMXxHZFNpYNeKFtG8_yji4HS352LGlSQ/edit?pli=1#gid=0"",""1_ACUM!A4:S""),17,FALSE))"),"")</f>
        <v/>
      </c>
      <c r="BD392" s="44" t="str">
        <f ca="1">IFERROR(__xludf.DUMMYFUNCTION("IFERROR(VLOOKUP(E406&amp;F406,IMPORTRANGE(""https://docs.google.com/spreadsheets/d/1Uw7-A9f9R21vMXxHZFNpYNeKFtG8_yji4HS352LGlSQ/edit?pli=1#gid=0"",""1_ACUM!A4:S""),18,FALSE))"),"")</f>
        <v/>
      </c>
      <c r="BE392" s="44" t="str">
        <f ca="1">IFERROR(__xludf.DUMMYFUNCTION("IFERROR(VLOOKUP(E406&amp;F406,IMPORTRANGE(""https://docs.google.com/spreadsheets/d/1Uw7-A9f9R21vMXxHZFNpYNeKFtG8_yji4HS352LGlSQ/edit?pli=1#gid=0"",""1_ACUM!A4:S""),19,FALSE))"),"")</f>
        <v/>
      </c>
      <c r="BF392" s="98" t="str">
        <f ca="1">IFERROR(__xludf.DUMMYFUNCTION("IFERROR(VLOOKUP(F406,IMPORTRANGE(""https://docs.google.com/spreadsheets/d/1Kvs4KS76FHFqLFIZfrDMff4kP08nblUkihrxltoGBjg/edit#gid=934712705"",""ESENCIAL!A6:BG""),5,FALSE))"),"")</f>
        <v/>
      </c>
      <c r="BG392" s="98" t="str">
        <f t="shared" si="17"/>
        <v/>
      </c>
      <c r="BH392" s="99" t="str">
        <f t="shared" si="18"/>
        <v/>
      </c>
      <c r="BI392" s="100" t="str">
        <f ca="1">IFERROR(__xludf.DUMMYFUNCTION("IFERROR(VLOOKUP(F406,IMPORTRANGE(""https://docs.google.com/spreadsheets/d/1Kvs4KS76FHFqLFIZfrDMff4kP08nblUkihrxltoGBjg/edit#gid=934712705"",""ESENCIAL!A6:BG""),2,FALSE))"),"")</f>
        <v/>
      </c>
      <c r="BJ392" s="19" t="str">
        <f t="shared" si="19"/>
        <v/>
      </c>
      <c r="BK392" s="100"/>
      <c r="BL392" s="100"/>
    </row>
    <row r="393" spans="1:64" ht="15">
      <c r="A393" s="101"/>
      <c r="B393" s="101"/>
      <c r="G393" s="5" t="str">
        <f ca="1">IFERROR(__xludf.DUMMYFUNCTION("IFERROR(VLOOKUP(F407,IMPORTRANGE(""https://docs.google.com/spreadsheets/d/1Kvs4KS76FHFqLFIZfrDMff4kP08nblUkihrxltoGBjg/edit#gid=934712705"",""ESENCIAL!A6:BG""),3,FALSE))"),"")</f>
        <v/>
      </c>
      <c r="H393" s="5" t="str">
        <f ca="1">IFERROR(__xludf.DUMMYFUNCTION("IFERROR(VLOOKUP(F407,IMPORTRANGE(""https://docs.google.com/spreadsheets/d/1Kvs4KS76FHFqLFIZfrDMff4kP08nblUkihrxltoGBjg/edit#gid=934712705"",""ESENCIAL!A6:BG""),8,FALSE))"),"")</f>
        <v/>
      </c>
      <c r="L393" s="287"/>
      <c r="U393" s="40"/>
      <c r="AU393" s="41" t="str">
        <f t="shared" si="16"/>
        <v/>
      </c>
      <c r="AV393" s="5" t="str">
        <f ca="1">IFERROR(__xludf.DUMMYFUNCTION("IFERROR(VLOOKUP(E407&amp;F407,IMPORTRANGE(""https://docs.google.com/spreadsheets/d/1Uw7-A9f9R21vMXxHZFNpYNeKFtG8_yji4HS352LGlSQ/edit?pli=1#gid=0"",""1_ACUM!A4:S""),11,FALSE))"),"")</f>
        <v/>
      </c>
      <c r="AW393" s="42" t="str">
        <f ca="1">IFERROR(__xludf.DUMMYFUNCTION("IFERROR(VLOOKUP(F407,IMPORTRANGE(""https://docs.google.com/spreadsheets/d/1Kvs4KS76FHFqLFIZfrDMff4kP08nblUkihrxltoGBjg/edit#gid=934712705"",""ESENCIAL!A6:BG""),15,FALSE))"),"")</f>
        <v/>
      </c>
      <c r="AX393" s="21" t="str">
        <f ca="1">IFERROR(__xludf.DUMMYFUNCTION("IFERROR(VLOOKUP(E407&amp;F407,IMPORTRANGE(""https://docs.google.com/spreadsheets/d/1Uw7-A9f9R21vMXxHZFNpYNeKFtG8_yji4HS352LGlSQ/edit?pli=1#gid=0"",""1_ACUM!A4:S""),12,FALSE))"),"")</f>
        <v/>
      </c>
      <c r="AY393" s="43" t="str">
        <f ca="1">IFERROR(__xludf.DUMMYFUNCTION("IFERROR(VLOOKUP(E407&amp;F407,IMPORTRANGE(""https://docs.google.com/spreadsheets/d/1Uw7-A9f9R21vMXxHZFNpYNeKFtG8_yji4HS352LGlSQ/edit?pli=1#gid=0"",""1_ACUM!A4:S""),13,FALSE))"),"")</f>
        <v/>
      </c>
      <c r="AZ393" s="43" t="str">
        <f ca="1">IFERROR(__xludf.DUMMYFUNCTION("IFERROR(VLOOKUP(E407&amp;F407,IMPORTRANGE(""https://docs.google.com/spreadsheets/d/1Uw7-A9f9R21vMXxHZFNpYNeKFtG8_yji4HS352LGlSQ/edit?pli=1#gid=0"",""1_ACUM!A4:S""),14,FALSE))"),"")</f>
        <v/>
      </c>
      <c r="BA393" s="43" t="str">
        <f ca="1">IFERROR(__xludf.DUMMYFUNCTION("IFERROR(VLOOKUP(E407&amp;F407,IMPORTRANGE(""https://docs.google.com/spreadsheets/d/1Uw7-A9f9R21vMXxHZFNpYNeKFtG8_yji4HS352LGlSQ/edit?pli=1#gid=0"",""1_ACUM!A4:S""),15,FALSE))"),"")</f>
        <v/>
      </c>
      <c r="BB393" s="43" t="str">
        <f ca="1">IFERROR(__xludf.DUMMYFUNCTION("IFERROR(VLOOKUP(E407&amp;F407,IMPORTRANGE(""https://docs.google.com/spreadsheets/d/1Uw7-A9f9R21vMXxHZFNpYNeKFtG8_yji4HS352LGlSQ/edit?pli=1#gid=0"",""1_ACUM!A4:S""),16,FALSE))"),"")</f>
        <v/>
      </c>
      <c r="BC393" s="43" t="str">
        <f ca="1">IFERROR(__xludf.DUMMYFUNCTION("IFERROR(VLOOKUP(E407&amp;F407,IMPORTRANGE(""https://docs.google.com/spreadsheets/d/1Uw7-A9f9R21vMXxHZFNpYNeKFtG8_yji4HS352LGlSQ/edit?pli=1#gid=0"",""1_ACUM!A4:S""),17,FALSE))"),"")</f>
        <v/>
      </c>
      <c r="BD393" s="44" t="str">
        <f ca="1">IFERROR(__xludf.DUMMYFUNCTION("IFERROR(VLOOKUP(E407&amp;F407,IMPORTRANGE(""https://docs.google.com/spreadsheets/d/1Uw7-A9f9R21vMXxHZFNpYNeKFtG8_yji4HS352LGlSQ/edit?pli=1#gid=0"",""1_ACUM!A4:S""),18,FALSE))"),"")</f>
        <v/>
      </c>
      <c r="BE393" s="44" t="str">
        <f ca="1">IFERROR(__xludf.DUMMYFUNCTION("IFERROR(VLOOKUP(E407&amp;F407,IMPORTRANGE(""https://docs.google.com/spreadsheets/d/1Uw7-A9f9R21vMXxHZFNpYNeKFtG8_yji4HS352LGlSQ/edit?pli=1#gid=0"",""1_ACUM!A4:S""),19,FALSE))"),"")</f>
        <v/>
      </c>
      <c r="BF393" s="98" t="str">
        <f ca="1">IFERROR(__xludf.DUMMYFUNCTION("IFERROR(VLOOKUP(F407,IMPORTRANGE(""https://docs.google.com/spreadsheets/d/1Kvs4KS76FHFqLFIZfrDMff4kP08nblUkihrxltoGBjg/edit#gid=934712705"",""ESENCIAL!A6:BG""),5,FALSE))"),"")</f>
        <v/>
      </c>
      <c r="BG393" s="98" t="str">
        <f t="shared" si="17"/>
        <v/>
      </c>
      <c r="BH393" s="99" t="str">
        <f t="shared" si="18"/>
        <v/>
      </c>
      <c r="BI393" s="100" t="str">
        <f ca="1">IFERROR(__xludf.DUMMYFUNCTION("IFERROR(VLOOKUP(F407,IMPORTRANGE(""https://docs.google.com/spreadsheets/d/1Kvs4KS76FHFqLFIZfrDMff4kP08nblUkihrxltoGBjg/edit#gid=934712705"",""ESENCIAL!A6:BG""),2,FALSE))"),"")</f>
        <v/>
      </c>
      <c r="BJ393" s="19" t="str">
        <f t="shared" si="19"/>
        <v/>
      </c>
      <c r="BK393" s="100"/>
      <c r="BL393" s="100"/>
    </row>
    <row r="394" spans="1:64" ht="15">
      <c r="A394" s="101"/>
      <c r="B394" s="101"/>
      <c r="G394" s="5" t="str">
        <f ca="1">IFERROR(__xludf.DUMMYFUNCTION("IFERROR(VLOOKUP(F408,IMPORTRANGE(""https://docs.google.com/spreadsheets/d/1Kvs4KS76FHFqLFIZfrDMff4kP08nblUkihrxltoGBjg/edit#gid=934712705"",""ESENCIAL!A6:BG""),3,FALSE))"),"")</f>
        <v/>
      </c>
      <c r="H394" s="5" t="str">
        <f ca="1">IFERROR(__xludf.DUMMYFUNCTION("IFERROR(VLOOKUP(F408,IMPORTRANGE(""https://docs.google.com/spreadsheets/d/1Kvs4KS76FHFqLFIZfrDMff4kP08nblUkihrxltoGBjg/edit#gid=934712705"",""ESENCIAL!A6:BG""),8,FALSE))"),"")</f>
        <v/>
      </c>
      <c r="L394" s="287"/>
      <c r="U394" s="40"/>
      <c r="AU394" s="41" t="str">
        <f t="shared" si="16"/>
        <v/>
      </c>
      <c r="AV394" s="5" t="str">
        <f ca="1">IFERROR(__xludf.DUMMYFUNCTION("IFERROR(VLOOKUP(E408&amp;F408,IMPORTRANGE(""https://docs.google.com/spreadsheets/d/1Uw7-A9f9R21vMXxHZFNpYNeKFtG8_yji4HS352LGlSQ/edit?pli=1#gid=0"",""1_ACUM!A4:S""),11,FALSE))"),"")</f>
        <v/>
      </c>
      <c r="AW394" s="42" t="str">
        <f ca="1">IFERROR(__xludf.DUMMYFUNCTION("IFERROR(VLOOKUP(F408,IMPORTRANGE(""https://docs.google.com/spreadsheets/d/1Kvs4KS76FHFqLFIZfrDMff4kP08nblUkihrxltoGBjg/edit#gid=934712705"",""ESENCIAL!A6:BG""),15,FALSE))"),"")</f>
        <v/>
      </c>
      <c r="AX394" s="21" t="str">
        <f ca="1">IFERROR(__xludf.DUMMYFUNCTION("IFERROR(VLOOKUP(E408&amp;F408,IMPORTRANGE(""https://docs.google.com/spreadsheets/d/1Uw7-A9f9R21vMXxHZFNpYNeKFtG8_yji4HS352LGlSQ/edit?pli=1#gid=0"",""1_ACUM!A4:S""),12,FALSE))"),"")</f>
        <v/>
      </c>
      <c r="AY394" s="43" t="str">
        <f ca="1">IFERROR(__xludf.DUMMYFUNCTION("IFERROR(VLOOKUP(E408&amp;F408,IMPORTRANGE(""https://docs.google.com/spreadsheets/d/1Uw7-A9f9R21vMXxHZFNpYNeKFtG8_yji4HS352LGlSQ/edit?pli=1#gid=0"",""1_ACUM!A4:S""),13,FALSE))"),"")</f>
        <v/>
      </c>
      <c r="AZ394" s="43" t="str">
        <f ca="1">IFERROR(__xludf.DUMMYFUNCTION("IFERROR(VLOOKUP(E408&amp;F408,IMPORTRANGE(""https://docs.google.com/spreadsheets/d/1Uw7-A9f9R21vMXxHZFNpYNeKFtG8_yji4HS352LGlSQ/edit?pli=1#gid=0"",""1_ACUM!A4:S""),14,FALSE))"),"")</f>
        <v/>
      </c>
      <c r="BA394" s="43" t="str">
        <f ca="1">IFERROR(__xludf.DUMMYFUNCTION("IFERROR(VLOOKUP(E408&amp;F408,IMPORTRANGE(""https://docs.google.com/spreadsheets/d/1Uw7-A9f9R21vMXxHZFNpYNeKFtG8_yji4HS352LGlSQ/edit?pli=1#gid=0"",""1_ACUM!A4:S""),15,FALSE))"),"")</f>
        <v/>
      </c>
      <c r="BB394" s="43" t="str">
        <f ca="1">IFERROR(__xludf.DUMMYFUNCTION("IFERROR(VLOOKUP(E408&amp;F408,IMPORTRANGE(""https://docs.google.com/spreadsheets/d/1Uw7-A9f9R21vMXxHZFNpYNeKFtG8_yji4HS352LGlSQ/edit?pli=1#gid=0"",""1_ACUM!A4:S""),16,FALSE))"),"")</f>
        <v/>
      </c>
      <c r="BC394" s="43" t="str">
        <f ca="1">IFERROR(__xludf.DUMMYFUNCTION("IFERROR(VLOOKUP(E408&amp;F408,IMPORTRANGE(""https://docs.google.com/spreadsheets/d/1Uw7-A9f9R21vMXxHZFNpYNeKFtG8_yji4HS352LGlSQ/edit?pli=1#gid=0"",""1_ACUM!A4:S""),17,FALSE))"),"")</f>
        <v/>
      </c>
      <c r="BD394" s="44" t="str">
        <f ca="1">IFERROR(__xludf.DUMMYFUNCTION("IFERROR(VLOOKUP(E408&amp;F408,IMPORTRANGE(""https://docs.google.com/spreadsheets/d/1Uw7-A9f9R21vMXxHZFNpYNeKFtG8_yji4HS352LGlSQ/edit?pli=1#gid=0"",""1_ACUM!A4:S""),18,FALSE))"),"")</f>
        <v/>
      </c>
      <c r="BE394" s="44" t="str">
        <f ca="1">IFERROR(__xludf.DUMMYFUNCTION("IFERROR(VLOOKUP(E408&amp;F408,IMPORTRANGE(""https://docs.google.com/spreadsheets/d/1Uw7-A9f9R21vMXxHZFNpYNeKFtG8_yji4HS352LGlSQ/edit?pli=1#gid=0"",""1_ACUM!A4:S""),19,FALSE))"),"")</f>
        <v/>
      </c>
      <c r="BF394" s="98" t="str">
        <f ca="1">IFERROR(__xludf.DUMMYFUNCTION("IFERROR(VLOOKUP(F408,IMPORTRANGE(""https://docs.google.com/spreadsheets/d/1Kvs4KS76FHFqLFIZfrDMff4kP08nblUkihrxltoGBjg/edit#gid=934712705"",""ESENCIAL!A6:BG""),5,FALSE))"),"")</f>
        <v/>
      </c>
      <c r="BG394" s="98" t="str">
        <f t="shared" si="17"/>
        <v/>
      </c>
      <c r="BH394" s="99" t="str">
        <f t="shared" si="18"/>
        <v/>
      </c>
      <c r="BI394" s="100" t="str">
        <f ca="1">IFERROR(__xludf.DUMMYFUNCTION("IFERROR(VLOOKUP(F408,IMPORTRANGE(""https://docs.google.com/spreadsheets/d/1Kvs4KS76FHFqLFIZfrDMff4kP08nblUkihrxltoGBjg/edit#gid=934712705"",""ESENCIAL!A6:BG""),2,FALSE))"),"")</f>
        <v/>
      </c>
      <c r="BJ394" s="19" t="str">
        <f t="shared" si="19"/>
        <v/>
      </c>
      <c r="BK394" s="100"/>
      <c r="BL394" s="100"/>
    </row>
    <row r="395" spans="1:64" ht="15">
      <c r="A395" s="5"/>
      <c r="B395" s="101"/>
      <c r="G395" s="5" t="str">
        <f ca="1">IFERROR(__xludf.DUMMYFUNCTION("IFERROR(VLOOKUP(F409,IMPORTRANGE(""https://docs.google.com/spreadsheets/d/1Kvs4KS76FHFqLFIZfrDMff4kP08nblUkihrxltoGBjg/edit#gid=934712705"",""ESENCIAL!A6:BG""),3,FALSE))"),"")</f>
        <v/>
      </c>
      <c r="H395" s="5" t="str">
        <f ca="1">IFERROR(__xludf.DUMMYFUNCTION("IFERROR(VLOOKUP(F409,IMPORTRANGE(""https://docs.google.com/spreadsheets/d/1Kvs4KS76FHFqLFIZfrDMff4kP08nblUkihrxltoGBjg/edit#gid=934712705"",""ESENCIAL!A6:BG""),8,FALSE))"),"")</f>
        <v/>
      </c>
      <c r="L395" s="287"/>
      <c r="U395" s="40"/>
      <c r="AU395" s="41" t="str">
        <f t="shared" si="16"/>
        <v/>
      </c>
      <c r="AV395" s="5" t="str">
        <f ca="1">IFERROR(__xludf.DUMMYFUNCTION("IFERROR(VLOOKUP(E409&amp;F409,IMPORTRANGE(""https://docs.google.com/spreadsheets/d/1Uw7-A9f9R21vMXxHZFNpYNeKFtG8_yji4HS352LGlSQ/edit?pli=1#gid=0"",""1_ACUM!A4:S""),11,FALSE))"),"")</f>
        <v/>
      </c>
      <c r="AW395" s="42" t="str">
        <f ca="1">IFERROR(__xludf.DUMMYFUNCTION("IFERROR(VLOOKUP(F409,IMPORTRANGE(""https://docs.google.com/spreadsheets/d/1Kvs4KS76FHFqLFIZfrDMff4kP08nblUkihrxltoGBjg/edit#gid=934712705"",""ESENCIAL!A6:BG""),15,FALSE))"),"")</f>
        <v/>
      </c>
      <c r="AX395" s="21" t="str">
        <f ca="1">IFERROR(__xludf.DUMMYFUNCTION("IFERROR(VLOOKUP(E409&amp;F409,IMPORTRANGE(""https://docs.google.com/spreadsheets/d/1Uw7-A9f9R21vMXxHZFNpYNeKFtG8_yji4HS352LGlSQ/edit?pli=1#gid=0"",""1_ACUM!A4:S""),12,FALSE))"),"")</f>
        <v/>
      </c>
      <c r="AY395" s="43" t="str">
        <f ca="1">IFERROR(__xludf.DUMMYFUNCTION("IFERROR(VLOOKUP(E409&amp;F409,IMPORTRANGE(""https://docs.google.com/spreadsheets/d/1Uw7-A9f9R21vMXxHZFNpYNeKFtG8_yji4HS352LGlSQ/edit?pli=1#gid=0"",""1_ACUM!A4:S""),13,FALSE))"),"")</f>
        <v/>
      </c>
      <c r="AZ395" s="43" t="str">
        <f ca="1">IFERROR(__xludf.DUMMYFUNCTION("IFERROR(VLOOKUP(E409&amp;F409,IMPORTRANGE(""https://docs.google.com/spreadsheets/d/1Uw7-A9f9R21vMXxHZFNpYNeKFtG8_yji4HS352LGlSQ/edit?pli=1#gid=0"",""1_ACUM!A4:S""),14,FALSE))"),"")</f>
        <v/>
      </c>
      <c r="BA395" s="43" t="str">
        <f ca="1">IFERROR(__xludf.DUMMYFUNCTION("IFERROR(VLOOKUP(E409&amp;F409,IMPORTRANGE(""https://docs.google.com/spreadsheets/d/1Uw7-A9f9R21vMXxHZFNpYNeKFtG8_yji4HS352LGlSQ/edit?pli=1#gid=0"",""1_ACUM!A4:S""),15,FALSE))"),"")</f>
        <v/>
      </c>
      <c r="BB395" s="43" t="str">
        <f ca="1">IFERROR(__xludf.DUMMYFUNCTION("IFERROR(VLOOKUP(E409&amp;F409,IMPORTRANGE(""https://docs.google.com/spreadsheets/d/1Uw7-A9f9R21vMXxHZFNpYNeKFtG8_yji4HS352LGlSQ/edit?pli=1#gid=0"",""1_ACUM!A4:S""),16,FALSE))"),"")</f>
        <v/>
      </c>
      <c r="BC395" s="43" t="str">
        <f ca="1">IFERROR(__xludf.DUMMYFUNCTION("IFERROR(VLOOKUP(E409&amp;F409,IMPORTRANGE(""https://docs.google.com/spreadsheets/d/1Uw7-A9f9R21vMXxHZFNpYNeKFtG8_yji4HS352LGlSQ/edit?pli=1#gid=0"",""1_ACUM!A4:S""),17,FALSE))"),"")</f>
        <v/>
      </c>
      <c r="BD395" s="44" t="str">
        <f ca="1">IFERROR(__xludf.DUMMYFUNCTION("IFERROR(VLOOKUP(E409&amp;F409,IMPORTRANGE(""https://docs.google.com/spreadsheets/d/1Uw7-A9f9R21vMXxHZFNpYNeKFtG8_yji4HS352LGlSQ/edit?pli=1#gid=0"",""1_ACUM!A4:S""),18,FALSE))"),"")</f>
        <v/>
      </c>
      <c r="BE395" s="44" t="str">
        <f ca="1">IFERROR(__xludf.DUMMYFUNCTION("IFERROR(VLOOKUP(E409&amp;F409,IMPORTRANGE(""https://docs.google.com/spreadsheets/d/1Uw7-A9f9R21vMXxHZFNpYNeKFtG8_yji4HS352LGlSQ/edit?pli=1#gid=0"",""1_ACUM!A4:S""),19,FALSE))"),"")</f>
        <v/>
      </c>
      <c r="BF395" s="98" t="str">
        <f ca="1">IFERROR(__xludf.DUMMYFUNCTION("IFERROR(VLOOKUP(F409,IMPORTRANGE(""https://docs.google.com/spreadsheets/d/1Kvs4KS76FHFqLFIZfrDMff4kP08nblUkihrxltoGBjg/edit#gid=934712705"",""ESENCIAL!A6:BG""),5,FALSE))"),"")</f>
        <v/>
      </c>
      <c r="BG395" s="98" t="str">
        <f t="shared" si="17"/>
        <v/>
      </c>
      <c r="BH395" s="99" t="str">
        <f t="shared" si="18"/>
        <v/>
      </c>
      <c r="BI395" s="100" t="str">
        <f ca="1">IFERROR(__xludf.DUMMYFUNCTION("IFERROR(VLOOKUP(F409,IMPORTRANGE(""https://docs.google.com/spreadsheets/d/1Kvs4KS76FHFqLFIZfrDMff4kP08nblUkihrxltoGBjg/edit#gid=934712705"",""ESENCIAL!A6:BG""),2,FALSE))"),"")</f>
        <v/>
      </c>
      <c r="BJ395" s="19" t="str">
        <f t="shared" si="19"/>
        <v/>
      </c>
      <c r="BK395" s="100"/>
      <c r="BL395" s="100"/>
    </row>
    <row r="396" spans="1:64" ht="15">
      <c r="A396" s="5"/>
      <c r="B396" s="101"/>
      <c r="G396" s="5" t="str">
        <f ca="1">IFERROR(__xludf.DUMMYFUNCTION("IFERROR(VLOOKUP(F410,IMPORTRANGE(""https://docs.google.com/spreadsheets/d/1Kvs4KS76FHFqLFIZfrDMff4kP08nblUkihrxltoGBjg/edit#gid=934712705"",""ESENCIAL!A6:BG""),3,FALSE))"),"")</f>
        <v/>
      </c>
      <c r="H396" s="5" t="str">
        <f ca="1">IFERROR(__xludf.DUMMYFUNCTION("IFERROR(VLOOKUP(F410,IMPORTRANGE(""https://docs.google.com/spreadsheets/d/1Kvs4KS76FHFqLFIZfrDMff4kP08nblUkihrxltoGBjg/edit#gid=934712705"",""ESENCIAL!A6:BG""),8,FALSE))"),"")</f>
        <v/>
      </c>
      <c r="L396" s="287"/>
      <c r="U396" s="40"/>
      <c r="AU396" s="41" t="str">
        <f t="shared" si="16"/>
        <v/>
      </c>
      <c r="AV396" s="5" t="str">
        <f ca="1">IFERROR(__xludf.DUMMYFUNCTION("IFERROR(VLOOKUP(E410&amp;F410,IMPORTRANGE(""https://docs.google.com/spreadsheets/d/1Uw7-A9f9R21vMXxHZFNpYNeKFtG8_yji4HS352LGlSQ/edit?pli=1#gid=0"",""1_ACUM!A4:S""),11,FALSE))"),"")</f>
        <v/>
      </c>
      <c r="AW396" s="42" t="str">
        <f ca="1">IFERROR(__xludf.DUMMYFUNCTION("IFERROR(VLOOKUP(F410,IMPORTRANGE(""https://docs.google.com/spreadsheets/d/1Kvs4KS76FHFqLFIZfrDMff4kP08nblUkihrxltoGBjg/edit#gid=934712705"",""ESENCIAL!A6:BG""),15,FALSE))"),"")</f>
        <v/>
      </c>
      <c r="AX396" s="21" t="str">
        <f ca="1">IFERROR(__xludf.DUMMYFUNCTION("IFERROR(VLOOKUP(E410&amp;F410,IMPORTRANGE(""https://docs.google.com/spreadsheets/d/1Uw7-A9f9R21vMXxHZFNpYNeKFtG8_yji4HS352LGlSQ/edit?pli=1#gid=0"",""1_ACUM!A4:S""),12,FALSE))"),"")</f>
        <v/>
      </c>
      <c r="AY396" s="43" t="str">
        <f ca="1">IFERROR(__xludf.DUMMYFUNCTION("IFERROR(VLOOKUP(E410&amp;F410,IMPORTRANGE(""https://docs.google.com/spreadsheets/d/1Uw7-A9f9R21vMXxHZFNpYNeKFtG8_yji4HS352LGlSQ/edit?pli=1#gid=0"",""1_ACUM!A4:S""),13,FALSE))"),"")</f>
        <v/>
      </c>
      <c r="AZ396" s="43" t="str">
        <f ca="1">IFERROR(__xludf.DUMMYFUNCTION("IFERROR(VLOOKUP(E410&amp;F410,IMPORTRANGE(""https://docs.google.com/spreadsheets/d/1Uw7-A9f9R21vMXxHZFNpYNeKFtG8_yji4HS352LGlSQ/edit?pli=1#gid=0"",""1_ACUM!A4:S""),14,FALSE))"),"")</f>
        <v/>
      </c>
      <c r="BA396" s="43" t="str">
        <f ca="1">IFERROR(__xludf.DUMMYFUNCTION("IFERROR(VLOOKUP(E410&amp;F410,IMPORTRANGE(""https://docs.google.com/spreadsheets/d/1Uw7-A9f9R21vMXxHZFNpYNeKFtG8_yji4HS352LGlSQ/edit?pli=1#gid=0"",""1_ACUM!A4:S""),15,FALSE))"),"")</f>
        <v/>
      </c>
      <c r="BB396" s="43" t="str">
        <f ca="1">IFERROR(__xludf.DUMMYFUNCTION("IFERROR(VLOOKUP(E410&amp;F410,IMPORTRANGE(""https://docs.google.com/spreadsheets/d/1Uw7-A9f9R21vMXxHZFNpYNeKFtG8_yji4HS352LGlSQ/edit?pli=1#gid=0"",""1_ACUM!A4:S""),16,FALSE))"),"")</f>
        <v/>
      </c>
      <c r="BC396" s="43" t="str">
        <f ca="1">IFERROR(__xludf.DUMMYFUNCTION("IFERROR(VLOOKUP(E410&amp;F410,IMPORTRANGE(""https://docs.google.com/spreadsheets/d/1Uw7-A9f9R21vMXxHZFNpYNeKFtG8_yji4HS352LGlSQ/edit?pli=1#gid=0"",""1_ACUM!A4:S""),17,FALSE))"),"")</f>
        <v/>
      </c>
      <c r="BD396" s="44" t="str">
        <f ca="1">IFERROR(__xludf.DUMMYFUNCTION("IFERROR(VLOOKUP(E410&amp;F410,IMPORTRANGE(""https://docs.google.com/spreadsheets/d/1Uw7-A9f9R21vMXxHZFNpYNeKFtG8_yji4HS352LGlSQ/edit?pli=1#gid=0"",""1_ACUM!A4:S""),18,FALSE))"),"")</f>
        <v/>
      </c>
      <c r="BE396" s="44" t="str">
        <f ca="1">IFERROR(__xludf.DUMMYFUNCTION("IFERROR(VLOOKUP(E410&amp;F410,IMPORTRANGE(""https://docs.google.com/spreadsheets/d/1Uw7-A9f9R21vMXxHZFNpYNeKFtG8_yji4HS352LGlSQ/edit?pli=1#gid=0"",""1_ACUM!A4:S""),19,FALSE))"),"")</f>
        <v/>
      </c>
      <c r="BF396" s="98" t="str">
        <f ca="1">IFERROR(__xludf.DUMMYFUNCTION("IFERROR(VLOOKUP(F410,IMPORTRANGE(""https://docs.google.com/spreadsheets/d/1Kvs4KS76FHFqLFIZfrDMff4kP08nblUkihrxltoGBjg/edit#gid=934712705"",""ESENCIAL!A6:BG""),5,FALSE))"),"")</f>
        <v/>
      </c>
      <c r="BG396" s="98" t="str">
        <f t="shared" si="17"/>
        <v/>
      </c>
      <c r="BH396" s="99" t="str">
        <f t="shared" si="18"/>
        <v/>
      </c>
      <c r="BI396" s="100" t="str">
        <f ca="1">IFERROR(__xludf.DUMMYFUNCTION("IFERROR(VLOOKUP(F410,IMPORTRANGE(""https://docs.google.com/spreadsheets/d/1Kvs4KS76FHFqLFIZfrDMff4kP08nblUkihrxltoGBjg/edit#gid=934712705"",""ESENCIAL!A6:BG""),2,FALSE))"),"")</f>
        <v/>
      </c>
      <c r="BJ396" s="19" t="str">
        <f t="shared" si="19"/>
        <v/>
      </c>
      <c r="BK396" s="100"/>
      <c r="BL396" s="100"/>
    </row>
    <row r="397" spans="1:64" ht="15">
      <c r="A397" s="5"/>
      <c r="B397" s="101"/>
      <c r="G397" s="5" t="str">
        <f ca="1">IFERROR(__xludf.DUMMYFUNCTION("IFERROR(VLOOKUP(F411,IMPORTRANGE(""https://docs.google.com/spreadsheets/d/1Kvs4KS76FHFqLFIZfrDMff4kP08nblUkihrxltoGBjg/edit#gid=934712705"",""ESENCIAL!A6:BG""),3,FALSE))"),"")</f>
        <v/>
      </c>
      <c r="H397" s="5" t="str">
        <f ca="1">IFERROR(__xludf.DUMMYFUNCTION("IFERROR(VLOOKUP(F411,IMPORTRANGE(""https://docs.google.com/spreadsheets/d/1Kvs4KS76FHFqLFIZfrDMff4kP08nblUkihrxltoGBjg/edit#gid=934712705"",""ESENCIAL!A6:BG""),8,FALSE))"),"")</f>
        <v/>
      </c>
      <c r="L397" s="287"/>
      <c r="U397" s="40"/>
      <c r="AU397" s="41" t="str">
        <f t="shared" si="16"/>
        <v/>
      </c>
      <c r="AV397" s="5" t="str">
        <f ca="1">IFERROR(__xludf.DUMMYFUNCTION("IFERROR(VLOOKUP(E411&amp;F411,IMPORTRANGE(""https://docs.google.com/spreadsheets/d/1Uw7-A9f9R21vMXxHZFNpYNeKFtG8_yji4HS352LGlSQ/edit?pli=1#gid=0"",""1_ACUM!A4:S""),11,FALSE))"),"")</f>
        <v/>
      </c>
      <c r="AW397" s="42" t="str">
        <f ca="1">IFERROR(__xludf.DUMMYFUNCTION("IFERROR(VLOOKUP(F411,IMPORTRANGE(""https://docs.google.com/spreadsheets/d/1Kvs4KS76FHFqLFIZfrDMff4kP08nblUkihrxltoGBjg/edit#gid=934712705"",""ESENCIAL!A6:BG""),15,FALSE))"),"")</f>
        <v/>
      </c>
      <c r="AX397" s="21" t="str">
        <f ca="1">IFERROR(__xludf.DUMMYFUNCTION("IFERROR(VLOOKUP(E411&amp;F411,IMPORTRANGE(""https://docs.google.com/spreadsheets/d/1Uw7-A9f9R21vMXxHZFNpYNeKFtG8_yji4HS352LGlSQ/edit?pli=1#gid=0"",""1_ACUM!A4:S""),12,FALSE))"),"")</f>
        <v/>
      </c>
      <c r="AY397" s="43" t="str">
        <f ca="1">IFERROR(__xludf.DUMMYFUNCTION("IFERROR(VLOOKUP(E411&amp;F411,IMPORTRANGE(""https://docs.google.com/spreadsheets/d/1Uw7-A9f9R21vMXxHZFNpYNeKFtG8_yji4HS352LGlSQ/edit?pli=1#gid=0"",""1_ACUM!A4:S""),13,FALSE))"),"")</f>
        <v/>
      </c>
      <c r="AZ397" s="43" t="str">
        <f ca="1">IFERROR(__xludf.DUMMYFUNCTION("IFERROR(VLOOKUP(E411&amp;F411,IMPORTRANGE(""https://docs.google.com/spreadsheets/d/1Uw7-A9f9R21vMXxHZFNpYNeKFtG8_yji4HS352LGlSQ/edit?pli=1#gid=0"",""1_ACUM!A4:S""),14,FALSE))"),"")</f>
        <v/>
      </c>
      <c r="BA397" s="43" t="str">
        <f ca="1">IFERROR(__xludf.DUMMYFUNCTION("IFERROR(VLOOKUP(E411&amp;F411,IMPORTRANGE(""https://docs.google.com/spreadsheets/d/1Uw7-A9f9R21vMXxHZFNpYNeKFtG8_yji4HS352LGlSQ/edit?pli=1#gid=0"",""1_ACUM!A4:S""),15,FALSE))"),"")</f>
        <v/>
      </c>
      <c r="BB397" s="43" t="str">
        <f ca="1">IFERROR(__xludf.DUMMYFUNCTION("IFERROR(VLOOKUP(E411&amp;F411,IMPORTRANGE(""https://docs.google.com/spreadsheets/d/1Uw7-A9f9R21vMXxHZFNpYNeKFtG8_yji4HS352LGlSQ/edit?pli=1#gid=0"",""1_ACUM!A4:S""),16,FALSE))"),"")</f>
        <v/>
      </c>
      <c r="BC397" s="43" t="str">
        <f ca="1">IFERROR(__xludf.DUMMYFUNCTION("IFERROR(VLOOKUP(E411&amp;F411,IMPORTRANGE(""https://docs.google.com/spreadsheets/d/1Uw7-A9f9R21vMXxHZFNpYNeKFtG8_yji4HS352LGlSQ/edit?pli=1#gid=0"",""1_ACUM!A4:S""),17,FALSE))"),"")</f>
        <v/>
      </c>
      <c r="BD397" s="44" t="str">
        <f ca="1">IFERROR(__xludf.DUMMYFUNCTION("IFERROR(VLOOKUP(E411&amp;F411,IMPORTRANGE(""https://docs.google.com/spreadsheets/d/1Uw7-A9f9R21vMXxHZFNpYNeKFtG8_yji4HS352LGlSQ/edit?pli=1#gid=0"",""1_ACUM!A4:S""),18,FALSE))"),"")</f>
        <v/>
      </c>
      <c r="BE397" s="44" t="str">
        <f ca="1">IFERROR(__xludf.DUMMYFUNCTION("IFERROR(VLOOKUP(E411&amp;F411,IMPORTRANGE(""https://docs.google.com/spreadsheets/d/1Uw7-A9f9R21vMXxHZFNpYNeKFtG8_yji4HS352LGlSQ/edit?pli=1#gid=0"",""1_ACUM!A4:S""),19,FALSE))"),"")</f>
        <v/>
      </c>
      <c r="BF397" s="98" t="str">
        <f ca="1">IFERROR(__xludf.DUMMYFUNCTION("IFERROR(VLOOKUP(F411,IMPORTRANGE(""https://docs.google.com/spreadsheets/d/1Kvs4KS76FHFqLFIZfrDMff4kP08nblUkihrxltoGBjg/edit#gid=934712705"",""ESENCIAL!A6:BG""),5,FALSE))"),"")</f>
        <v/>
      </c>
      <c r="BG397" s="98" t="str">
        <f t="shared" si="17"/>
        <v/>
      </c>
      <c r="BH397" s="99" t="str">
        <f t="shared" si="18"/>
        <v/>
      </c>
      <c r="BI397" s="100" t="str">
        <f ca="1">IFERROR(__xludf.DUMMYFUNCTION("IFERROR(VLOOKUP(F411,IMPORTRANGE(""https://docs.google.com/spreadsheets/d/1Kvs4KS76FHFqLFIZfrDMff4kP08nblUkihrxltoGBjg/edit#gid=934712705"",""ESENCIAL!A6:BG""),2,FALSE))"),"")</f>
        <v/>
      </c>
      <c r="BJ397" s="19" t="str">
        <f t="shared" si="19"/>
        <v/>
      </c>
      <c r="BK397" s="100"/>
      <c r="BL397" s="100"/>
    </row>
    <row r="398" spans="1:64" ht="15">
      <c r="A398" s="5"/>
      <c r="B398" s="101"/>
      <c r="G398" s="5" t="str">
        <f ca="1">IFERROR(__xludf.DUMMYFUNCTION("IFERROR(VLOOKUP(F412,IMPORTRANGE(""https://docs.google.com/spreadsheets/d/1Kvs4KS76FHFqLFIZfrDMff4kP08nblUkihrxltoGBjg/edit#gid=934712705"",""ESENCIAL!A6:BG""),3,FALSE))"),"")</f>
        <v/>
      </c>
      <c r="H398" s="5" t="str">
        <f ca="1">IFERROR(__xludf.DUMMYFUNCTION("IFERROR(VLOOKUP(F412,IMPORTRANGE(""https://docs.google.com/spreadsheets/d/1Kvs4KS76FHFqLFIZfrDMff4kP08nblUkihrxltoGBjg/edit#gid=934712705"",""ESENCIAL!A6:BG""),8,FALSE))"),"")</f>
        <v/>
      </c>
      <c r="L398" s="287"/>
      <c r="U398" s="40"/>
      <c r="AU398" s="41" t="str">
        <f t="shared" si="16"/>
        <v/>
      </c>
      <c r="AV398" s="5" t="str">
        <f ca="1">IFERROR(__xludf.DUMMYFUNCTION("IFERROR(VLOOKUP(E412&amp;F412,IMPORTRANGE(""https://docs.google.com/spreadsheets/d/1Uw7-A9f9R21vMXxHZFNpYNeKFtG8_yji4HS352LGlSQ/edit?pli=1#gid=0"",""1_ACUM!A4:S""),11,FALSE))"),"")</f>
        <v/>
      </c>
      <c r="AW398" s="42" t="str">
        <f ca="1">IFERROR(__xludf.DUMMYFUNCTION("IFERROR(VLOOKUP(F412,IMPORTRANGE(""https://docs.google.com/spreadsheets/d/1Kvs4KS76FHFqLFIZfrDMff4kP08nblUkihrxltoGBjg/edit#gid=934712705"",""ESENCIAL!A6:BG""),15,FALSE))"),"")</f>
        <v/>
      </c>
      <c r="AX398" s="21" t="str">
        <f ca="1">IFERROR(__xludf.DUMMYFUNCTION("IFERROR(VLOOKUP(E412&amp;F412,IMPORTRANGE(""https://docs.google.com/spreadsheets/d/1Uw7-A9f9R21vMXxHZFNpYNeKFtG8_yji4HS352LGlSQ/edit?pli=1#gid=0"",""1_ACUM!A4:S""),12,FALSE))"),"")</f>
        <v/>
      </c>
      <c r="AY398" s="43" t="str">
        <f ca="1">IFERROR(__xludf.DUMMYFUNCTION("IFERROR(VLOOKUP(E412&amp;F412,IMPORTRANGE(""https://docs.google.com/spreadsheets/d/1Uw7-A9f9R21vMXxHZFNpYNeKFtG8_yji4HS352LGlSQ/edit?pli=1#gid=0"",""1_ACUM!A4:S""),13,FALSE))"),"")</f>
        <v/>
      </c>
      <c r="AZ398" s="43" t="str">
        <f ca="1">IFERROR(__xludf.DUMMYFUNCTION("IFERROR(VLOOKUP(E412&amp;F412,IMPORTRANGE(""https://docs.google.com/spreadsheets/d/1Uw7-A9f9R21vMXxHZFNpYNeKFtG8_yji4HS352LGlSQ/edit?pli=1#gid=0"",""1_ACUM!A4:S""),14,FALSE))"),"")</f>
        <v/>
      </c>
      <c r="BA398" s="43" t="str">
        <f ca="1">IFERROR(__xludf.DUMMYFUNCTION("IFERROR(VLOOKUP(E412&amp;F412,IMPORTRANGE(""https://docs.google.com/spreadsheets/d/1Uw7-A9f9R21vMXxHZFNpYNeKFtG8_yji4HS352LGlSQ/edit?pli=1#gid=0"",""1_ACUM!A4:S""),15,FALSE))"),"")</f>
        <v/>
      </c>
      <c r="BB398" s="43" t="str">
        <f ca="1">IFERROR(__xludf.DUMMYFUNCTION("IFERROR(VLOOKUP(E412&amp;F412,IMPORTRANGE(""https://docs.google.com/spreadsheets/d/1Uw7-A9f9R21vMXxHZFNpYNeKFtG8_yji4HS352LGlSQ/edit?pli=1#gid=0"",""1_ACUM!A4:S""),16,FALSE))"),"")</f>
        <v/>
      </c>
      <c r="BC398" s="43" t="str">
        <f ca="1">IFERROR(__xludf.DUMMYFUNCTION("IFERROR(VLOOKUP(E412&amp;F412,IMPORTRANGE(""https://docs.google.com/spreadsheets/d/1Uw7-A9f9R21vMXxHZFNpYNeKFtG8_yji4HS352LGlSQ/edit?pli=1#gid=0"",""1_ACUM!A4:S""),17,FALSE))"),"")</f>
        <v/>
      </c>
      <c r="BD398" s="44" t="str">
        <f ca="1">IFERROR(__xludf.DUMMYFUNCTION("IFERROR(VLOOKUP(E412&amp;F412,IMPORTRANGE(""https://docs.google.com/spreadsheets/d/1Uw7-A9f9R21vMXxHZFNpYNeKFtG8_yji4HS352LGlSQ/edit?pli=1#gid=0"",""1_ACUM!A4:S""),18,FALSE))"),"")</f>
        <v/>
      </c>
      <c r="BE398" s="44" t="str">
        <f ca="1">IFERROR(__xludf.DUMMYFUNCTION("IFERROR(VLOOKUP(E412&amp;F412,IMPORTRANGE(""https://docs.google.com/spreadsheets/d/1Uw7-A9f9R21vMXxHZFNpYNeKFtG8_yji4HS352LGlSQ/edit?pli=1#gid=0"",""1_ACUM!A4:S""),19,FALSE))"),"")</f>
        <v/>
      </c>
      <c r="BF398" s="98" t="str">
        <f ca="1">IFERROR(__xludf.DUMMYFUNCTION("IFERROR(VLOOKUP(F412,IMPORTRANGE(""https://docs.google.com/spreadsheets/d/1Kvs4KS76FHFqLFIZfrDMff4kP08nblUkihrxltoGBjg/edit#gid=934712705"",""ESENCIAL!A6:BG""),5,FALSE))"),"")</f>
        <v/>
      </c>
      <c r="BG398" s="98" t="str">
        <f t="shared" si="17"/>
        <v/>
      </c>
      <c r="BH398" s="99" t="str">
        <f t="shared" si="18"/>
        <v/>
      </c>
      <c r="BI398" s="100" t="str">
        <f ca="1">IFERROR(__xludf.DUMMYFUNCTION("IFERROR(VLOOKUP(F412,IMPORTRANGE(""https://docs.google.com/spreadsheets/d/1Kvs4KS76FHFqLFIZfrDMff4kP08nblUkihrxltoGBjg/edit#gid=934712705"",""ESENCIAL!A6:BG""),2,FALSE))"),"")</f>
        <v/>
      </c>
      <c r="BJ398" s="19" t="str">
        <f t="shared" si="19"/>
        <v/>
      </c>
      <c r="BK398" s="100"/>
      <c r="BL398" s="100"/>
    </row>
    <row r="399" spans="1:64" ht="15">
      <c r="A399" s="5"/>
      <c r="B399" s="101"/>
      <c r="G399" s="5" t="str">
        <f ca="1">IFERROR(__xludf.DUMMYFUNCTION("IFERROR(VLOOKUP(F413,IMPORTRANGE(""https://docs.google.com/spreadsheets/d/1Kvs4KS76FHFqLFIZfrDMff4kP08nblUkihrxltoGBjg/edit#gid=934712705"",""ESENCIAL!A6:BG""),3,FALSE))"),"")</f>
        <v/>
      </c>
      <c r="H399" s="5" t="str">
        <f ca="1">IFERROR(__xludf.DUMMYFUNCTION("IFERROR(VLOOKUP(F413,IMPORTRANGE(""https://docs.google.com/spreadsheets/d/1Kvs4KS76FHFqLFIZfrDMff4kP08nblUkihrxltoGBjg/edit#gid=934712705"",""ESENCIAL!A6:BG""),8,FALSE))"),"")</f>
        <v/>
      </c>
      <c r="L399" s="287"/>
      <c r="U399" s="40"/>
      <c r="AU399" s="41" t="str">
        <f t="shared" si="16"/>
        <v/>
      </c>
      <c r="AV399" s="5" t="str">
        <f ca="1">IFERROR(__xludf.DUMMYFUNCTION("IFERROR(VLOOKUP(E413&amp;F413,IMPORTRANGE(""https://docs.google.com/spreadsheets/d/1Uw7-A9f9R21vMXxHZFNpYNeKFtG8_yji4HS352LGlSQ/edit?pli=1#gid=0"",""1_ACUM!A4:S""),11,FALSE))"),"")</f>
        <v/>
      </c>
      <c r="AW399" s="42" t="str">
        <f ca="1">IFERROR(__xludf.DUMMYFUNCTION("IFERROR(VLOOKUP(F413,IMPORTRANGE(""https://docs.google.com/spreadsheets/d/1Kvs4KS76FHFqLFIZfrDMff4kP08nblUkihrxltoGBjg/edit#gid=934712705"",""ESENCIAL!A6:BG""),15,FALSE))"),"")</f>
        <v/>
      </c>
      <c r="AX399" s="21" t="str">
        <f ca="1">IFERROR(__xludf.DUMMYFUNCTION("IFERROR(VLOOKUP(E413&amp;F413,IMPORTRANGE(""https://docs.google.com/spreadsheets/d/1Uw7-A9f9R21vMXxHZFNpYNeKFtG8_yji4HS352LGlSQ/edit?pli=1#gid=0"",""1_ACUM!A4:S""),12,FALSE))"),"")</f>
        <v/>
      </c>
      <c r="AY399" s="43" t="str">
        <f ca="1">IFERROR(__xludf.DUMMYFUNCTION("IFERROR(VLOOKUP(E413&amp;F413,IMPORTRANGE(""https://docs.google.com/spreadsheets/d/1Uw7-A9f9R21vMXxHZFNpYNeKFtG8_yji4HS352LGlSQ/edit?pli=1#gid=0"",""1_ACUM!A4:S""),13,FALSE))"),"")</f>
        <v/>
      </c>
      <c r="AZ399" s="43" t="str">
        <f ca="1">IFERROR(__xludf.DUMMYFUNCTION("IFERROR(VLOOKUP(E413&amp;F413,IMPORTRANGE(""https://docs.google.com/spreadsheets/d/1Uw7-A9f9R21vMXxHZFNpYNeKFtG8_yji4HS352LGlSQ/edit?pli=1#gid=0"",""1_ACUM!A4:S""),14,FALSE))"),"")</f>
        <v/>
      </c>
      <c r="BA399" s="43" t="str">
        <f ca="1">IFERROR(__xludf.DUMMYFUNCTION("IFERROR(VLOOKUP(E413&amp;F413,IMPORTRANGE(""https://docs.google.com/spreadsheets/d/1Uw7-A9f9R21vMXxHZFNpYNeKFtG8_yji4HS352LGlSQ/edit?pli=1#gid=0"",""1_ACUM!A4:S""),15,FALSE))"),"")</f>
        <v/>
      </c>
      <c r="BB399" s="43" t="str">
        <f ca="1">IFERROR(__xludf.DUMMYFUNCTION("IFERROR(VLOOKUP(E413&amp;F413,IMPORTRANGE(""https://docs.google.com/spreadsheets/d/1Uw7-A9f9R21vMXxHZFNpYNeKFtG8_yji4HS352LGlSQ/edit?pli=1#gid=0"",""1_ACUM!A4:S""),16,FALSE))"),"")</f>
        <v/>
      </c>
      <c r="BC399" s="43" t="str">
        <f ca="1">IFERROR(__xludf.DUMMYFUNCTION("IFERROR(VLOOKUP(E413&amp;F413,IMPORTRANGE(""https://docs.google.com/spreadsheets/d/1Uw7-A9f9R21vMXxHZFNpYNeKFtG8_yji4HS352LGlSQ/edit?pli=1#gid=0"",""1_ACUM!A4:S""),17,FALSE))"),"")</f>
        <v/>
      </c>
      <c r="BD399" s="44" t="str">
        <f ca="1">IFERROR(__xludf.DUMMYFUNCTION("IFERROR(VLOOKUP(E413&amp;F413,IMPORTRANGE(""https://docs.google.com/spreadsheets/d/1Uw7-A9f9R21vMXxHZFNpYNeKFtG8_yji4HS352LGlSQ/edit?pli=1#gid=0"",""1_ACUM!A4:S""),18,FALSE))"),"")</f>
        <v/>
      </c>
      <c r="BE399" s="44" t="str">
        <f ca="1">IFERROR(__xludf.DUMMYFUNCTION("IFERROR(VLOOKUP(E413&amp;F413,IMPORTRANGE(""https://docs.google.com/spreadsheets/d/1Uw7-A9f9R21vMXxHZFNpYNeKFtG8_yji4HS352LGlSQ/edit?pli=1#gid=0"",""1_ACUM!A4:S""),19,FALSE))"),"")</f>
        <v/>
      </c>
      <c r="BF399" s="98" t="str">
        <f ca="1">IFERROR(__xludf.DUMMYFUNCTION("IFERROR(VLOOKUP(F413,IMPORTRANGE(""https://docs.google.com/spreadsheets/d/1Kvs4KS76FHFqLFIZfrDMff4kP08nblUkihrxltoGBjg/edit#gid=934712705"",""ESENCIAL!A6:BG""),5,FALSE))"),"")</f>
        <v/>
      </c>
      <c r="BG399" s="98" t="str">
        <f t="shared" si="17"/>
        <v/>
      </c>
      <c r="BH399" s="99" t="str">
        <f t="shared" si="18"/>
        <v/>
      </c>
      <c r="BI399" s="100" t="str">
        <f ca="1">IFERROR(__xludf.DUMMYFUNCTION("IFERROR(VLOOKUP(F413,IMPORTRANGE(""https://docs.google.com/spreadsheets/d/1Kvs4KS76FHFqLFIZfrDMff4kP08nblUkihrxltoGBjg/edit#gid=934712705"",""ESENCIAL!A6:BG""),2,FALSE))"),"")</f>
        <v/>
      </c>
      <c r="BJ399" s="19" t="str">
        <f t="shared" si="19"/>
        <v/>
      </c>
      <c r="BK399" s="100"/>
      <c r="BL399" s="100"/>
    </row>
    <row r="400" spans="1:64" ht="15">
      <c r="A400" s="5"/>
      <c r="B400" s="101"/>
      <c r="G400" s="5" t="str">
        <f ca="1">IFERROR(__xludf.DUMMYFUNCTION("IFERROR(VLOOKUP(F414,IMPORTRANGE(""https://docs.google.com/spreadsheets/d/1Kvs4KS76FHFqLFIZfrDMff4kP08nblUkihrxltoGBjg/edit#gid=934712705"",""ESENCIAL!A6:BG""),3,FALSE))"),"")</f>
        <v/>
      </c>
      <c r="H400" s="5" t="str">
        <f ca="1">IFERROR(__xludf.DUMMYFUNCTION("IFERROR(VLOOKUP(F414,IMPORTRANGE(""https://docs.google.com/spreadsheets/d/1Kvs4KS76FHFqLFIZfrDMff4kP08nblUkihrxltoGBjg/edit#gid=934712705"",""ESENCIAL!A6:BG""),8,FALSE))"),"")</f>
        <v/>
      </c>
      <c r="L400" s="287"/>
      <c r="U400" s="40"/>
      <c r="AU400" s="41" t="str">
        <f t="shared" si="16"/>
        <v/>
      </c>
      <c r="AV400" s="5" t="str">
        <f ca="1">IFERROR(__xludf.DUMMYFUNCTION("IFERROR(VLOOKUP(E414&amp;F414,IMPORTRANGE(""https://docs.google.com/spreadsheets/d/1Uw7-A9f9R21vMXxHZFNpYNeKFtG8_yji4HS352LGlSQ/edit?pli=1#gid=0"",""1_ACUM!A4:S""),11,FALSE))"),"")</f>
        <v/>
      </c>
      <c r="AW400" s="42" t="str">
        <f ca="1">IFERROR(__xludf.DUMMYFUNCTION("IFERROR(VLOOKUP(F414,IMPORTRANGE(""https://docs.google.com/spreadsheets/d/1Kvs4KS76FHFqLFIZfrDMff4kP08nblUkihrxltoGBjg/edit#gid=934712705"",""ESENCIAL!A6:BG""),15,FALSE))"),"")</f>
        <v/>
      </c>
      <c r="AX400" s="21" t="str">
        <f ca="1">IFERROR(__xludf.DUMMYFUNCTION("IFERROR(VLOOKUP(E414&amp;F414,IMPORTRANGE(""https://docs.google.com/spreadsheets/d/1Uw7-A9f9R21vMXxHZFNpYNeKFtG8_yji4HS352LGlSQ/edit?pli=1#gid=0"",""1_ACUM!A4:S""),12,FALSE))"),"")</f>
        <v/>
      </c>
      <c r="AY400" s="43" t="str">
        <f ca="1">IFERROR(__xludf.DUMMYFUNCTION("IFERROR(VLOOKUP(E414&amp;F414,IMPORTRANGE(""https://docs.google.com/spreadsheets/d/1Uw7-A9f9R21vMXxHZFNpYNeKFtG8_yji4HS352LGlSQ/edit?pli=1#gid=0"",""1_ACUM!A4:S""),13,FALSE))"),"")</f>
        <v/>
      </c>
      <c r="AZ400" s="43" t="str">
        <f ca="1">IFERROR(__xludf.DUMMYFUNCTION("IFERROR(VLOOKUP(E414&amp;F414,IMPORTRANGE(""https://docs.google.com/spreadsheets/d/1Uw7-A9f9R21vMXxHZFNpYNeKFtG8_yji4HS352LGlSQ/edit?pli=1#gid=0"",""1_ACUM!A4:S""),14,FALSE))"),"")</f>
        <v/>
      </c>
      <c r="BA400" s="43" t="str">
        <f ca="1">IFERROR(__xludf.DUMMYFUNCTION("IFERROR(VLOOKUP(E414&amp;F414,IMPORTRANGE(""https://docs.google.com/spreadsheets/d/1Uw7-A9f9R21vMXxHZFNpYNeKFtG8_yji4HS352LGlSQ/edit?pli=1#gid=0"",""1_ACUM!A4:S""),15,FALSE))"),"")</f>
        <v/>
      </c>
      <c r="BB400" s="43" t="str">
        <f ca="1">IFERROR(__xludf.DUMMYFUNCTION("IFERROR(VLOOKUP(E414&amp;F414,IMPORTRANGE(""https://docs.google.com/spreadsheets/d/1Uw7-A9f9R21vMXxHZFNpYNeKFtG8_yji4HS352LGlSQ/edit?pli=1#gid=0"",""1_ACUM!A4:S""),16,FALSE))"),"")</f>
        <v/>
      </c>
      <c r="BC400" s="43" t="str">
        <f ca="1">IFERROR(__xludf.DUMMYFUNCTION("IFERROR(VLOOKUP(E414&amp;F414,IMPORTRANGE(""https://docs.google.com/spreadsheets/d/1Uw7-A9f9R21vMXxHZFNpYNeKFtG8_yji4HS352LGlSQ/edit?pli=1#gid=0"",""1_ACUM!A4:S""),17,FALSE))"),"")</f>
        <v/>
      </c>
      <c r="BD400" s="44" t="str">
        <f ca="1">IFERROR(__xludf.DUMMYFUNCTION("IFERROR(VLOOKUP(E414&amp;F414,IMPORTRANGE(""https://docs.google.com/spreadsheets/d/1Uw7-A9f9R21vMXxHZFNpYNeKFtG8_yji4HS352LGlSQ/edit?pli=1#gid=0"",""1_ACUM!A4:S""),18,FALSE))"),"")</f>
        <v/>
      </c>
      <c r="BE400" s="44" t="str">
        <f ca="1">IFERROR(__xludf.DUMMYFUNCTION("IFERROR(VLOOKUP(E414&amp;F414,IMPORTRANGE(""https://docs.google.com/spreadsheets/d/1Uw7-A9f9R21vMXxHZFNpYNeKFtG8_yji4HS352LGlSQ/edit?pli=1#gid=0"",""1_ACUM!A4:S""),19,FALSE))"),"")</f>
        <v/>
      </c>
      <c r="BF400" s="98" t="str">
        <f ca="1">IFERROR(__xludf.DUMMYFUNCTION("IFERROR(VLOOKUP(F414,IMPORTRANGE(""https://docs.google.com/spreadsheets/d/1Kvs4KS76FHFqLFIZfrDMff4kP08nblUkihrxltoGBjg/edit#gid=934712705"",""ESENCIAL!A6:BG""),5,FALSE))"),"")</f>
        <v/>
      </c>
      <c r="BG400" s="98" t="str">
        <f t="shared" si="17"/>
        <v/>
      </c>
      <c r="BH400" s="99" t="str">
        <f t="shared" si="18"/>
        <v/>
      </c>
      <c r="BI400" s="100" t="str">
        <f ca="1">IFERROR(__xludf.DUMMYFUNCTION("IFERROR(VLOOKUP(F414,IMPORTRANGE(""https://docs.google.com/spreadsheets/d/1Kvs4KS76FHFqLFIZfrDMff4kP08nblUkihrxltoGBjg/edit#gid=934712705"",""ESENCIAL!A6:BG""),2,FALSE))"),"")</f>
        <v/>
      </c>
      <c r="BJ400" s="19" t="str">
        <f t="shared" si="19"/>
        <v/>
      </c>
      <c r="BK400" s="100"/>
      <c r="BL400" s="100"/>
    </row>
    <row r="401" spans="1:64" ht="15">
      <c r="A401" s="5"/>
      <c r="B401" s="101"/>
      <c r="G401" s="5" t="str">
        <f ca="1">IFERROR(__xludf.DUMMYFUNCTION("IFERROR(VLOOKUP(F415,IMPORTRANGE(""https://docs.google.com/spreadsheets/d/1Kvs4KS76FHFqLFIZfrDMff4kP08nblUkihrxltoGBjg/edit#gid=934712705"",""ESENCIAL!A6:BG""),3,FALSE))"),"")</f>
        <v/>
      </c>
      <c r="H401" s="5" t="str">
        <f ca="1">IFERROR(__xludf.DUMMYFUNCTION("IFERROR(VLOOKUP(F415,IMPORTRANGE(""https://docs.google.com/spreadsheets/d/1Kvs4KS76FHFqLFIZfrDMff4kP08nblUkihrxltoGBjg/edit#gid=934712705"",""ESENCIAL!A6:BG""),8,FALSE))"),"")</f>
        <v/>
      </c>
      <c r="L401" s="287"/>
      <c r="U401" s="40"/>
      <c r="AU401" s="41" t="str">
        <f t="shared" si="16"/>
        <v/>
      </c>
      <c r="AV401" s="5" t="str">
        <f ca="1">IFERROR(__xludf.DUMMYFUNCTION("IFERROR(VLOOKUP(E415&amp;F415,IMPORTRANGE(""https://docs.google.com/spreadsheets/d/1Uw7-A9f9R21vMXxHZFNpYNeKFtG8_yji4HS352LGlSQ/edit?pli=1#gid=0"",""1_ACUM!A4:S""),11,FALSE))"),"")</f>
        <v/>
      </c>
      <c r="AW401" s="42" t="str">
        <f ca="1">IFERROR(__xludf.DUMMYFUNCTION("IFERROR(VLOOKUP(F415,IMPORTRANGE(""https://docs.google.com/spreadsheets/d/1Kvs4KS76FHFqLFIZfrDMff4kP08nblUkihrxltoGBjg/edit#gid=934712705"",""ESENCIAL!A6:BG""),15,FALSE))"),"")</f>
        <v/>
      </c>
      <c r="AX401" s="21" t="str">
        <f ca="1">IFERROR(__xludf.DUMMYFUNCTION("IFERROR(VLOOKUP(E415&amp;F415,IMPORTRANGE(""https://docs.google.com/spreadsheets/d/1Uw7-A9f9R21vMXxHZFNpYNeKFtG8_yji4HS352LGlSQ/edit?pli=1#gid=0"",""1_ACUM!A4:S""),12,FALSE))"),"")</f>
        <v/>
      </c>
      <c r="AY401" s="43" t="str">
        <f ca="1">IFERROR(__xludf.DUMMYFUNCTION("IFERROR(VLOOKUP(E415&amp;F415,IMPORTRANGE(""https://docs.google.com/spreadsheets/d/1Uw7-A9f9R21vMXxHZFNpYNeKFtG8_yji4HS352LGlSQ/edit?pli=1#gid=0"",""1_ACUM!A4:S""),13,FALSE))"),"")</f>
        <v/>
      </c>
      <c r="AZ401" s="43" t="str">
        <f ca="1">IFERROR(__xludf.DUMMYFUNCTION("IFERROR(VLOOKUP(E415&amp;F415,IMPORTRANGE(""https://docs.google.com/spreadsheets/d/1Uw7-A9f9R21vMXxHZFNpYNeKFtG8_yji4HS352LGlSQ/edit?pli=1#gid=0"",""1_ACUM!A4:S""),14,FALSE))"),"")</f>
        <v/>
      </c>
      <c r="BA401" s="43" t="str">
        <f ca="1">IFERROR(__xludf.DUMMYFUNCTION("IFERROR(VLOOKUP(E415&amp;F415,IMPORTRANGE(""https://docs.google.com/spreadsheets/d/1Uw7-A9f9R21vMXxHZFNpYNeKFtG8_yji4HS352LGlSQ/edit?pli=1#gid=0"",""1_ACUM!A4:S""),15,FALSE))"),"")</f>
        <v/>
      </c>
      <c r="BB401" s="43" t="str">
        <f ca="1">IFERROR(__xludf.DUMMYFUNCTION("IFERROR(VLOOKUP(E415&amp;F415,IMPORTRANGE(""https://docs.google.com/spreadsheets/d/1Uw7-A9f9R21vMXxHZFNpYNeKFtG8_yji4HS352LGlSQ/edit?pli=1#gid=0"",""1_ACUM!A4:S""),16,FALSE))"),"")</f>
        <v/>
      </c>
      <c r="BC401" s="43" t="str">
        <f ca="1">IFERROR(__xludf.DUMMYFUNCTION("IFERROR(VLOOKUP(E415&amp;F415,IMPORTRANGE(""https://docs.google.com/spreadsheets/d/1Uw7-A9f9R21vMXxHZFNpYNeKFtG8_yji4HS352LGlSQ/edit?pli=1#gid=0"",""1_ACUM!A4:S""),17,FALSE))"),"")</f>
        <v/>
      </c>
      <c r="BD401" s="44" t="str">
        <f ca="1">IFERROR(__xludf.DUMMYFUNCTION("IFERROR(VLOOKUP(E415&amp;F415,IMPORTRANGE(""https://docs.google.com/spreadsheets/d/1Uw7-A9f9R21vMXxHZFNpYNeKFtG8_yji4HS352LGlSQ/edit?pli=1#gid=0"",""1_ACUM!A4:S""),18,FALSE))"),"")</f>
        <v/>
      </c>
      <c r="BE401" s="44" t="str">
        <f ca="1">IFERROR(__xludf.DUMMYFUNCTION("IFERROR(VLOOKUP(E415&amp;F415,IMPORTRANGE(""https://docs.google.com/spreadsheets/d/1Uw7-A9f9R21vMXxHZFNpYNeKFtG8_yji4HS352LGlSQ/edit?pli=1#gid=0"",""1_ACUM!A4:S""),19,FALSE))"),"")</f>
        <v/>
      </c>
      <c r="BF401" s="98" t="str">
        <f ca="1">IFERROR(__xludf.DUMMYFUNCTION("IFERROR(VLOOKUP(F415,IMPORTRANGE(""https://docs.google.com/spreadsheets/d/1Kvs4KS76FHFqLFIZfrDMff4kP08nblUkihrxltoGBjg/edit#gid=934712705"",""ESENCIAL!A6:BG""),5,FALSE))"),"")</f>
        <v/>
      </c>
      <c r="BG401" s="98" t="str">
        <f t="shared" si="17"/>
        <v/>
      </c>
      <c r="BH401" s="99" t="str">
        <f t="shared" si="18"/>
        <v/>
      </c>
      <c r="BI401" s="100" t="str">
        <f ca="1">IFERROR(__xludf.DUMMYFUNCTION("IFERROR(VLOOKUP(F415,IMPORTRANGE(""https://docs.google.com/spreadsheets/d/1Kvs4KS76FHFqLFIZfrDMff4kP08nblUkihrxltoGBjg/edit#gid=934712705"",""ESENCIAL!A6:BG""),2,FALSE))"),"")</f>
        <v/>
      </c>
      <c r="BJ401" s="19" t="str">
        <f t="shared" si="19"/>
        <v/>
      </c>
      <c r="BK401" s="100"/>
      <c r="BL401" s="100"/>
    </row>
    <row r="402" spans="1:64" ht="15">
      <c r="A402" s="5"/>
      <c r="B402" s="101"/>
      <c r="G402" s="5" t="str">
        <f ca="1">IFERROR(__xludf.DUMMYFUNCTION("IFERROR(VLOOKUP(F416,IMPORTRANGE(""https://docs.google.com/spreadsheets/d/1Kvs4KS76FHFqLFIZfrDMff4kP08nblUkihrxltoGBjg/edit#gid=934712705"",""ESENCIAL!A6:BG""),3,FALSE))"),"")</f>
        <v/>
      </c>
      <c r="H402" s="5" t="str">
        <f ca="1">IFERROR(__xludf.DUMMYFUNCTION("IFERROR(VLOOKUP(F416,IMPORTRANGE(""https://docs.google.com/spreadsheets/d/1Kvs4KS76FHFqLFIZfrDMff4kP08nblUkihrxltoGBjg/edit#gid=934712705"",""ESENCIAL!A6:BG""),8,FALSE))"),"")</f>
        <v/>
      </c>
      <c r="L402" s="287"/>
      <c r="U402" s="40"/>
      <c r="AU402" s="41" t="str">
        <f t="shared" si="16"/>
        <v/>
      </c>
      <c r="AV402" s="5" t="str">
        <f ca="1">IFERROR(__xludf.DUMMYFUNCTION("IFERROR(VLOOKUP(E416&amp;F416,IMPORTRANGE(""https://docs.google.com/spreadsheets/d/1Uw7-A9f9R21vMXxHZFNpYNeKFtG8_yji4HS352LGlSQ/edit?pli=1#gid=0"",""1_ACUM!A4:S""),11,FALSE))"),"")</f>
        <v/>
      </c>
      <c r="AW402" s="42" t="str">
        <f ca="1">IFERROR(__xludf.DUMMYFUNCTION("IFERROR(VLOOKUP(F416,IMPORTRANGE(""https://docs.google.com/spreadsheets/d/1Kvs4KS76FHFqLFIZfrDMff4kP08nblUkihrxltoGBjg/edit#gid=934712705"",""ESENCIAL!A6:BG""),15,FALSE))"),"")</f>
        <v/>
      </c>
      <c r="AX402" s="21" t="str">
        <f ca="1">IFERROR(__xludf.DUMMYFUNCTION("IFERROR(VLOOKUP(E416&amp;F416,IMPORTRANGE(""https://docs.google.com/spreadsheets/d/1Uw7-A9f9R21vMXxHZFNpYNeKFtG8_yji4HS352LGlSQ/edit?pli=1#gid=0"",""1_ACUM!A4:S""),12,FALSE))"),"")</f>
        <v/>
      </c>
      <c r="AY402" s="43" t="str">
        <f ca="1">IFERROR(__xludf.DUMMYFUNCTION("IFERROR(VLOOKUP(E416&amp;F416,IMPORTRANGE(""https://docs.google.com/spreadsheets/d/1Uw7-A9f9R21vMXxHZFNpYNeKFtG8_yji4HS352LGlSQ/edit?pli=1#gid=0"",""1_ACUM!A4:S""),13,FALSE))"),"")</f>
        <v/>
      </c>
      <c r="AZ402" s="43" t="str">
        <f ca="1">IFERROR(__xludf.DUMMYFUNCTION("IFERROR(VLOOKUP(E416&amp;F416,IMPORTRANGE(""https://docs.google.com/spreadsheets/d/1Uw7-A9f9R21vMXxHZFNpYNeKFtG8_yji4HS352LGlSQ/edit?pli=1#gid=0"",""1_ACUM!A4:S""),14,FALSE))"),"")</f>
        <v/>
      </c>
      <c r="BA402" s="43" t="str">
        <f ca="1">IFERROR(__xludf.DUMMYFUNCTION("IFERROR(VLOOKUP(E416&amp;F416,IMPORTRANGE(""https://docs.google.com/spreadsheets/d/1Uw7-A9f9R21vMXxHZFNpYNeKFtG8_yji4HS352LGlSQ/edit?pli=1#gid=0"",""1_ACUM!A4:S""),15,FALSE))"),"")</f>
        <v/>
      </c>
      <c r="BB402" s="43" t="str">
        <f ca="1">IFERROR(__xludf.DUMMYFUNCTION("IFERROR(VLOOKUP(E416&amp;F416,IMPORTRANGE(""https://docs.google.com/spreadsheets/d/1Uw7-A9f9R21vMXxHZFNpYNeKFtG8_yji4HS352LGlSQ/edit?pli=1#gid=0"",""1_ACUM!A4:S""),16,FALSE))"),"")</f>
        <v/>
      </c>
      <c r="BC402" s="43" t="str">
        <f ca="1">IFERROR(__xludf.DUMMYFUNCTION("IFERROR(VLOOKUP(E416&amp;F416,IMPORTRANGE(""https://docs.google.com/spreadsheets/d/1Uw7-A9f9R21vMXxHZFNpYNeKFtG8_yji4HS352LGlSQ/edit?pli=1#gid=0"",""1_ACUM!A4:S""),17,FALSE))"),"")</f>
        <v/>
      </c>
      <c r="BD402" s="44" t="str">
        <f ca="1">IFERROR(__xludf.DUMMYFUNCTION("IFERROR(VLOOKUP(E416&amp;F416,IMPORTRANGE(""https://docs.google.com/spreadsheets/d/1Uw7-A9f9R21vMXxHZFNpYNeKFtG8_yji4HS352LGlSQ/edit?pli=1#gid=0"",""1_ACUM!A4:S""),18,FALSE))"),"")</f>
        <v/>
      </c>
      <c r="BE402" s="44" t="str">
        <f ca="1">IFERROR(__xludf.DUMMYFUNCTION("IFERROR(VLOOKUP(E416&amp;F416,IMPORTRANGE(""https://docs.google.com/spreadsheets/d/1Uw7-A9f9R21vMXxHZFNpYNeKFtG8_yji4HS352LGlSQ/edit?pli=1#gid=0"",""1_ACUM!A4:S""),19,FALSE))"),"")</f>
        <v/>
      </c>
      <c r="BF402" s="98" t="str">
        <f ca="1">IFERROR(__xludf.DUMMYFUNCTION("IFERROR(VLOOKUP(F416,IMPORTRANGE(""https://docs.google.com/spreadsheets/d/1Kvs4KS76FHFqLFIZfrDMff4kP08nblUkihrxltoGBjg/edit#gid=934712705"",""ESENCIAL!A6:BG""),5,FALSE))"),"")</f>
        <v/>
      </c>
      <c r="BG402" s="98" t="str">
        <f t="shared" si="17"/>
        <v/>
      </c>
      <c r="BH402" s="99" t="str">
        <f t="shared" si="18"/>
        <v/>
      </c>
      <c r="BI402" s="100" t="str">
        <f ca="1">IFERROR(__xludf.DUMMYFUNCTION("IFERROR(VLOOKUP(F416,IMPORTRANGE(""https://docs.google.com/spreadsheets/d/1Kvs4KS76FHFqLFIZfrDMff4kP08nblUkihrxltoGBjg/edit#gid=934712705"",""ESENCIAL!A6:BG""),2,FALSE))"),"")</f>
        <v/>
      </c>
      <c r="BJ402" s="19" t="str">
        <f t="shared" si="19"/>
        <v/>
      </c>
      <c r="BK402" s="100"/>
      <c r="BL402" s="100"/>
    </row>
    <row r="403" spans="1:64" ht="15">
      <c r="A403" s="5"/>
      <c r="B403" s="101"/>
      <c r="G403" s="5" t="str">
        <f ca="1">IFERROR(__xludf.DUMMYFUNCTION("IFERROR(VLOOKUP(F417,IMPORTRANGE(""https://docs.google.com/spreadsheets/d/1Kvs4KS76FHFqLFIZfrDMff4kP08nblUkihrxltoGBjg/edit#gid=934712705"",""ESENCIAL!A6:BG""),3,FALSE))"),"")</f>
        <v/>
      </c>
      <c r="H403" s="5" t="str">
        <f ca="1">IFERROR(__xludf.DUMMYFUNCTION("IFERROR(VLOOKUP(F417,IMPORTRANGE(""https://docs.google.com/spreadsheets/d/1Kvs4KS76FHFqLFIZfrDMff4kP08nblUkihrxltoGBjg/edit#gid=934712705"",""ESENCIAL!A6:BG""),8,FALSE))"),"")</f>
        <v/>
      </c>
      <c r="L403" s="287"/>
      <c r="U403" s="40"/>
      <c r="AU403" s="41" t="str">
        <f t="shared" si="16"/>
        <v/>
      </c>
      <c r="AV403" s="5" t="str">
        <f ca="1">IFERROR(__xludf.DUMMYFUNCTION("IFERROR(VLOOKUP(E417&amp;F417,IMPORTRANGE(""https://docs.google.com/spreadsheets/d/1Uw7-A9f9R21vMXxHZFNpYNeKFtG8_yji4HS352LGlSQ/edit?pli=1#gid=0"",""1_ACUM!A4:S""),11,FALSE))"),"")</f>
        <v/>
      </c>
      <c r="AW403" s="42" t="str">
        <f ca="1">IFERROR(__xludf.DUMMYFUNCTION("IFERROR(VLOOKUP(F417,IMPORTRANGE(""https://docs.google.com/spreadsheets/d/1Kvs4KS76FHFqLFIZfrDMff4kP08nblUkihrxltoGBjg/edit#gid=934712705"",""ESENCIAL!A6:BG""),15,FALSE))"),"")</f>
        <v/>
      </c>
      <c r="AX403" s="21" t="str">
        <f ca="1">IFERROR(__xludf.DUMMYFUNCTION("IFERROR(VLOOKUP(E417&amp;F417,IMPORTRANGE(""https://docs.google.com/spreadsheets/d/1Uw7-A9f9R21vMXxHZFNpYNeKFtG8_yji4HS352LGlSQ/edit?pli=1#gid=0"",""1_ACUM!A4:S""),12,FALSE))"),"")</f>
        <v/>
      </c>
      <c r="AY403" s="43" t="str">
        <f ca="1">IFERROR(__xludf.DUMMYFUNCTION("IFERROR(VLOOKUP(E417&amp;F417,IMPORTRANGE(""https://docs.google.com/spreadsheets/d/1Uw7-A9f9R21vMXxHZFNpYNeKFtG8_yji4HS352LGlSQ/edit?pli=1#gid=0"",""1_ACUM!A4:S""),13,FALSE))"),"")</f>
        <v/>
      </c>
      <c r="AZ403" s="43" t="str">
        <f ca="1">IFERROR(__xludf.DUMMYFUNCTION("IFERROR(VLOOKUP(E417&amp;F417,IMPORTRANGE(""https://docs.google.com/spreadsheets/d/1Uw7-A9f9R21vMXxHZFNpYNeKFtG8_yji4HS352LGlSQ/edit?pli=1#gid=0"",""1_ACUM!A4:S""),14,FALSE))"),"")</f>
        <v/>
      </c>
      <c r="BA403" s="43" t="str">
        <f ca="1">IFERROR(__xludf.DUMMYFUNCTION("IFERROR(VLOOKUP(E417&amp;F417,IMPORTRANGE(""https://docs.google.com/spreadsheets/d/1Uw7-A9f9R21vMXxHZFNpYNeKFtG8_yji4HS352LGlSQ/edit?pli=1#gid=0"",""1_ACUM!A4:S""),15,FALSE))"),"")</f>
        <v/>
      </c>
      <c r="BB403" s="43" t="str">
        <f ca="1">IFERROR(__xludf.DUMMYFUNCTION("IFERROR(VLOOKUP(E417&amp;F417,IMPORTRANGE(""https://docs.google.com/spreadsheets/d/1Uw7-A9f9R21vMXxHZFNpYNeKFtG8_yji4HS352LGlSQ/edit?pli=1#gid=0"",""1_ACUM!A4:S""),16,FALSE))"),"")</f>
        <v/>
      </c>
      <c r="BC403" s="43" t="str">
        <f ca="1">IFERROR(__xludf.DUMMYFUNCTION("IFERROR(VLOOKUP(E417&amp;F417,IMPORTRANGE(""https://docs.google.com/spreadsheets/d/1Uw7-A9f9R21vMXxHZFNpYNeKFtG8_yji4HS352LGlSQ/edit?pli=1#gid=0"",""1_ACUM!A4:S""),17,FALSE))"),"")</f>
        <v/>
      </c>
      <c r="BD403" s="44" t="str">
        <f ca="1">IFERROR(__xludf.DUMMYFUNCTION("IFERROR(VLOOKUP(E417&amp;F417,IMPORTRANGE(""https://docs.google.com/spreadsheets/d/1Uw7-A9f9R21vMXxHZFNpYNeKFtG8_yji4HS352LGlSQ/edit?pli=1#gid=0"",""1_ACUM!A4:S""),18,FALSE))"),"")</f>
        <v/>
      </c>
      <c r="BE403" s="44" t="str">
        <f ca="1">IFERROR(__xludf.DUMMYFUNCTION("IFERROR(VLOOKUP(E417&amp;F417,IMPORTRANGE(""https://docs.google.com/spreadsheets/d/1Uw7-A9f9R21vMXxHZFNpYNeKFtG8_yji4HS352LGlSQ/edit?pli=1#gid=0"",""1_ACUM!A4:S""),19,FALSE))"),"")</f>
        <v/>
      </c>
      <c r="BF403" s="98" t="str">
        <f ca="1">IFERROR(__xludf.DUMMYFUNCTION("IFERROR(VLOOKUP(F417,IMPORTRANGE(""https://docs.google.com/spreadsheets/d/1Kvs4KS76FHFqLFIZfrDMff4kP08nblUkihrxltoGBjg/edit#gid=934712705"",""ESENCIAL!A6:BG""),5,FALSE))"),"")</f>
        <v/>
      </c>
      <c r="BG403" s="98" t="str">
        <f t="shared" si="17"/>
        <v/>
      </c>
      <c r="BH403" s="99" t="str">
        <f t="shared" si="18"/>
        <v/>
      </c>
      <c r="BI403" s="100" t="str">
        <f ca="1">IFERROR(__xludf.DUMMYFUNCTION("IFERROR(VLOOKUP(F417,IMPORTRANGE(""https://docs.google.com/spreadsheets/d/1Kvs4KS76FHFqLFIZfrDMff4kP08nblUkihrxltoGBjg/edit#gid=934712705"",""ESENCIAL!A6:BG""),2,FALSE))"),"")</f>
        <v/>
      </c>
      <c r="BJ403" s="19" t="str">
        <f t="shared" si="19"/>
        <v/>
      </c>
      <c r="BK403" s="100"/>
      <c r="BL403" s="100"/>
    </row>
    <row r="404" spans="1:64" ht="15">
      <c r="A404" s="5"/>
      <c r="B404" s="101"/>
      <c r="G404" s="5" t="str">
        <f ca="1">IFERROR(__xludf.DUMMYFUNCTION("IFERROR(VLOOKUP(F418,IMPORTRANGE(""https://docs.google.com/spreadsheets/d/1Kvs4KS76FHFqLFIZfrDMff4kP08nblUkihrxltoGBjg/edit#gid=934712705"",""ESENCIAL!A6:BG""),3,FALSE))"),"")</f>
        <v/>
      </c>
      <c r="H404" s="5" t="str">
        <f ca="1">IFERROR(__xludf.DUMMYFUNCTION("IFERROR(VLOOKUP(F418,IMPORTRANGE(""https://docs.google.com/spreadsheets/d/1Kvs4KS76FHFqLFIZfrDMff4kP08nblUkihrxltoGBjg/edit#gid=934712705"",""ESENCIAL!A6:BG""),8,FALSE))"),"")</f>
        <v/>
      </c>
      <c r="L404" s="287"/>
      <c r="U404" s="40"/>
      <c r="AU404" s="41" t="str">
        <f t="shared" si="16"/>
        <v/>
      </c>
      <c r="AV404" s="5" t="str">
        <f ca="1">IFERROR(__xludf.DUMMYFUNCTION("IFERROR(VLOOKUP(E418&amp;F418,IMPORTRANGE(""https://docs.google.com/spreadsheets/d/1Uw7-A9f9R21vMXxHZFNpYNeKFtG8_yji4HS352LGlSQ/edit?pli=1#gid=0"",""1_ACUM!A4:S""),11,FALSE))"),"")</f>
        <v/>
      </c>
      <c r="AW404" s="42" t="str">
        <f ca="1">IFERROR(__xludf.DUMMYFUNCTION("IFERROR(VLOOKUP(F418,IMPORTRANGE(""https://docs.google.com/spreadsheets/d/1Kvs4KS76FHFqLFIZfrDMff4kP08nblUkihrxltoGBjg/edit#gid=934712705"",""ESENCIAL!A6:BG""),15,FALSE))"),"")</f>
        <v/>
      </c>
      <c r="AX404" s="21" t="str">
        <f ca="1">IFERROR(__xludf.DUMMYFUNCTION("IFERROR(VLOOKUP(E418&amp;F418,IMPORTRANGE(""https://docs.google.com/spreadsheets/d/1Uw7-A9f9R21vMXxHZFNpYNeKFtG8_yji4HS352LGlSQ/edit?pli=1#gid=0"",""1_ACUM!A4:S""),12,FALSE))"),"")</f>
        <v/>
      </c>
      <c r="AY404" s="43" t="str">
        <f ca="1">IFERROR(__xludf.DUMMYFUNCTION("IFERROR(VLOOKUP(E418&amp;F418,IMPORTRANGE(""https://docs.google.com/spreadsheets/d/1Uw7-A9f9R21vMXxHZFNpYNeKFtG8_yji4HS352LGlSQ/edit?pli=1#gid=0"",""1_ACUM!A4:S""),13,FALSE))"),"")</f>
        <v/>
      </c>
      <c r="AZ404" s="43" t="str">
        <f ca="1">IFERROR(__xludf.DUMMYFUNCTION("IFERROR(VLOOKUP(E418&amp;F418,IMPORTRANGE(""https://docs.google.com/spreadsheets/d/1Uw7-A9f9R21vMXxHZFNpYNeKFtG8_yji4HS352LGlSQ/edit?pli=1#gid=0"",""1_ACUM!A4:S""),14,FALSE))"),"")</f>
        <v/>
      </c>
      <c r="BA404" s="43" t="str">
        <f ca="1">IFERROR(__xludf.DUMMYFUNCTION("IFERROR(VLOOKUP(E418&amp;F418,IMPORTRANGE(""https://docs.google.com/spreadsheets/d/1Uw7-A9f9R21vMXxHZFNpYNeKFtG8_yji4HS352LGlSQ/edit?pli=1#gid=0"",""1_ACUM!A4:S""),15,FALSE))"),"")</f>
        <v/>
      </c>
      <c r="BB404" s="43" t="str">
        <f ca="1">IFERROR(__xludf.DUMMYFUNCTION("IFERROR(VLOOKUP(E418&amp;F418,IMPORTRANGE(""https://docs.google.com/spreadsheets/d/1Uw7-A9f9R21vMXxHZFNpYNeKFtG8_yji4HS352LGlSQ/edit?pli=1#gid=0"",""1_ACUM!A4:S""),16,FALSE))"),"")</f>
        <v/>
      </c>
      <c r="BC404" s="43" t="str">
        <f ca="1">IFERROR(__xludf.DUMMYFUNCTION("IFERROR(VLOOKUP(E418&amp;F418,IMPORTRANGE(""https://docs.google.com/spreadsheets/d/1Uw7-A9f9R21vMXxHZFNpYNeKFtG8_yji4HS352LGlSQ/edit?pli=1#gid=0"",""1_ACUM!A4:S""),17,FALSE))"),"")</f>
        <v/>
      </c>
      <c r="BD404" s="44" t="str">
        <f ca="1">IFERROR(__xludf.DUMMYFUNCTION("IFERROR(VLOOKUP(E418&amp;F418,IMPORTRANGE(""https://docs.google.com/spreadsheets/d/1Uw7-A9f9R21vMXxHZFNpYNeKFtG8_yji4HS352LGlSQ/edit?pli=1#gid=0"",""1_ACUM!A4:S""),18,FALSE))"),"")</f>
        <v/>
      </c>
      <c r="BE404" s="44" t="str">
        <f ca="1">IFERROR(__xludf.DUMMYFUNCTION("IFERROR(VLOOKUP(E418&amp;F418,IMPORTRANGE(""https://docs.google.com/spreadsheets/d/1Uw7-A9f9R21vMXxHZFNpYNeKFtG8_yji4HS352LGlSQ/edit?pli=1#gid=0"",""1_ACUM!A4:S""),19,FALSE))"),"")</f>
        <v/>
      </c>
      <c r="BF404" s="98" t="str">
        <f ca="1">IFERROR(__xludf.DUMMYFUNCTION("IFERROR(VLOOKUP(F418,IMPORTRANGE(""https://docs.google.com/spreadsheets/d/1Kvs4KS76FHFqLFIZfrDMff4kP08nblUkihrxltoGBjg/edit#gid=934712705"",""ESENCIAL!A6:BG""),5,FALSE))"),"")</f>
        <v/>
      </c>
      <c r="BG404" s="98" t="str">
        <f t="shared" si="17"/>
        <v/>
      </c>
      <c r="BH404" s="99" t="str">
        <f t="shared" si="18"/>
        <v/>
      </c>
      <c r="BI404" s="100" t="str">
        <f ca="1">IFERROR(__xludf.DUMMYFUNCTION("IFERROR(VLOOKUP(F418,IMPORTRANGE(""https://docs.google.com/spreadsheets/d/1Kvs4KS76FHFqLFIZfrDMff4kP08nblUkihrxltoGBjg/edit#gid=934712705"",""ESENCIAL!A6:BG""),2,FALSE))"),"")</f>
        <v/>
      </c>
      <c r="BJ404" s="19" t="str">
        <f t="shared" si="19"/>
        <v/>
      </c>
      <c r="BK404" s="100"/>
      <c r="BL404" s="100"/>
    </row>
    <row r="405" spans="1:64" ht="15">
      <c r="A405" s="5"/>
      <c r="B405" s="101"/>
      <c r="G405" s="5" t="str">
        <f ca="1">IFERROR(__xludf.DUMMYFUNCTION("IFERROR(VLOOKUP(F419,IMPORTRANGE(""https://docs.google.com/spreadsheets/d/1Kvs4KS76FHFqLFIZfrDMff4kP08nblUkihrxltoGBjg/edit#gid=934712705"",""ESENCIAL!A6:BG""),3,FALSE))"),"")</f>
        <v/>
      </c>
      <c r="H405" s="5" t="str">
        <f ca="1">IFERROR(__xludf.DUMMYFUNCTION("IFERROR(VLOOKUP(F419,IMPORTRANGE(""https://docs.google.com/spreadsheets/d/1Kvs4KS76FHFqLFIZfrDMff4kP08nblUkihrxltoGBjg/edit#gid=934712705"",""ESENCIAL!A6:BG""),8,FALSE))"),"")</f>
        <v/>
      </c>
      <c r="L405" s="287"/>
      <c r="U405" s="40"/>
      <c r="AU405" s="41" t="str">
        <f t="shared" si="16"/>
        <v/>
      </c>
      <c r="AV405" s="5" t="str">
        <f ca="1">IFERROR(__xludf.DUMMYFUNCTION("IFERROR(VLOOKUP(E419&amp;F419,IMPORTRANGE(""https://docs.google.com/spreadsheets/d/1Uw7-A9f9R21vMXxHZFNpYNeKFtG8_yji4HS352LGlSQ/edit?pli=1#gid=0"",""1_ACUM!A4:S""),11,FALSE))"),"")</f>
        <v/>
      </c>
      <c r="AW405" s="42" t="str">
        <f ca="1">IFERROR(__xludf.DUMMYFUNCTION("IFERROR(VLOOKUP(F419,IMPORTRANGE(""https://docs.google.com/spreadsheets/d/1Kvs4KS76FHFqLFIZfrDMff4kP08nblUkihrxltoGBjg/edit#gid=934712705"",""ESENCIAL!A6:BG""),15,FALSE))"),"")</f>
        <v/>
      </c>
      <c r="AX405" s="21" t="str">
        <f ca="1">IFERROR(__xludf.DUMMYFUNCTION("IFERROR(VLOOKUP(E419&amp;F419,IMPORTRANGE(""https://docs.google.com/spreadsheets/d/1Uw7-A9f9R21vMXxHZFNpYNeKFtG8_yji4HS352LGlSQ/edit?pli=1#gid=0"",""1_ACUM!A4:S""),12,FALSE))"),"")</f>
        <v/>
      </c>
      <c r="AY405" s="43" t="str">
        <f ca="1">IFERROR(__xludf.DUMMYFUNCTION("IFERROR(VLOOKUP(E419&amp;F419,IMPORTRANGE(""https://docs.google.com/spreadsheets/d/1Uw7-A9f9R21vMXxHZFNpYNeKFtG8_yji4HS352LGlSQ/edit?pli=1#gid=0"",""1_ACUM!A4:S""),13,FALSE))"),"")</f>
        <v/>
      </c>
      <c r="AZ405" s="43" t="str">
        <f ca="1">IFERROR(__xludf.DUMMYFUNCTION("IFERROR(VLOOKUP(E419&amp;F419,IMPORTRANGE(""https://docs.google.com/spreadsheets/d/1Uw7-A9f9R21vMXxHZFNpYNeKFtG8_yji4HS352LGlSQ/edit?pli=1#gid=0"",""1_ACUM!A4:S""),14,FALSE))"),"")</f>
        <v/>
      </c>
      <c r="BA405" s="43" t="str">
        <f ca="1">IFERROR(__xludf.DUMMYFUNCTION("IFERROR(VLOOKUP(E419&amp;F419,IMPORTRANGE(""https://docs.google.com/spreadsheets/d/1Uw7-A9f9R21vMXxHZFNpYNeKFtG8_yji4HS352LGlSQ/edit?pli=1#gid=0"",""1_ACUM!A4:S""),15,FALSE))"),"")</f>
        <v/>
      </c>
      <c r="BB405" s="43" t="str">
        <f ca="1">IFERROR(__xludf.DUMMYFUNCTION("IFERROR(VLOOKUP(E419&amp;F419,IMPORTRANGE(""https://docs.google.com/spreadsheets/d/1Uw7-A9f9R21vMXxHZFNpYNeKFtG8_yji4HS352LGlSQ/edit?pli=1#gid=0"",""1_ACUM!A4:S""),16,FALSE))"),"")</f>
        <v/>
      </c>
      <c r="BC405" s="43" t="str">
        <f ca="1">IFERROR(__xludf.DUMMYFUNCTION("IFERROR(VLOOKUP(E419&amp;F419,IMPORTRANGE(""https://docs.google.com/spreadsheets/d/1Uw7-A9f9R21vMXxHZFNpYNeKFtG8_yji4HS352LGlSQ/edit?pli=1#gid=0"",""1_ACUM!A4:S""),17,FALSE))"),"")</f>
        <v/>
      </c>
      <c r="BD405" s="44" t="str">
        <f ca="1">IFERROR(__xludf.DUMMYFUNCTION("IFERROR(VLOOKUP(E419&amp;F419,IMPORTRANGE(""https://docs.google.com/spreadsheets/d/1Uw7-A9f9R21vMXxHZFNpYNeKFtG8_yji4HS352LGlSQ/edit?pli=1#gid=0"",""1_ACUM!A4:S""),18,FALSE))"),"")</f>
        <v/>
      </c>
      <c r="BE405" s="44" t="str">
        <f ca="1">IFERROR(__xludf.DUMMYFUNCTION("IFERROR(VLOOKUP(E419&amp;F419,IMPORTRANGE(""https://docs.google.com/spreadsheets/d/1Uw7-A9f9R21vMXxHZFNpYNeKFtG8_yji4HS352LGlSQ/edit?pli=1#gid=0"",""1_ACUM!A4:S""),19,FALSE))"),"")</f>
        <v/>
      </c>
      <c r="BF405" s="98" t="str">
        <f ca="1">IFERROR(__xludf.DUMMYFUNCTION("IFERROR(VLOOKUP(F419,IMPORTRANGE(""https://docs.google.com/spreadsheets/d/1Kvs4KS76FHFqLFIZfrDMff4kP08nblUkihrxltoGBjg/edit#gid=934712705"",""ESENCIAL!A6:BG""),5,FALSE))"),"")</f>
        <v/>
      </c>
      <c r="BG405" s="98" t="str">
        <f t="shared" si="17"/>
        <v/>
      </c>
      <c r="BH405" s="99" t="str">
        <f t="shared" si="18"/>
        <v/>
      </c>
      <c r="BI405" s="100" t="str">
        <f ca="1">IFERROR(__xludf.DUMMYFUNCTION("IFERROR(VLOOKUP(F419,IMPORTRANGE(""https://docs.google.com/spreadsheets/d/1Kvs4KS76FHFqLFIZfrDMff4kP08nblUkihrxltoGBjg/edit#gid=934712705"",""ESENCIAL!A6:BG""),2,FALSE))"),"")</f>
        <v/>
      </c>
      <c r="BJ405" s="19" t="str">
        <f t="shared" si="19"/>
        <v/>
      </c>
      <c r="BK405" s="100"/>
      <c r="BL405" s="100"/>
    </row>
    <row r="406" spans="1:64" ht="15">
      <c r="A406" s="5"/>
      <c r="B406" s="101"/>
      <c r="G406" s="5" t="str">
        <f ca="1">IFERROR(__xludf.DUMMYFUNCTION("IFERROR(VLOOKUP(F420,IMPORTRANGE(""https://docs.google.com/spreadsheets/d/1Kvs4KS76FHFqLFIZfrDMff4kP08nblUkihrxltoGBjg/edit#gid=934712705"",""ESENCIAL!A6:BG""),3,FALSE))"),"")</f>
        <v/>
      </c>
      <c r="H406" s="5" t="str">
        <f ca="1">IFERROR(__xludf.DUMMYFUNCTION("IFERROR(VLOOKUP(F420,IMPORTRANGE(""https://docs.google.com/spreadsheets/d/1Kvs4KS76FHFqLFIZfrDMff4kP08nblUkihrxltoGBjg/edit#gid=934712705"",""ESENCIAL!A6:BG""),8,FALSE))"),"")</f>
        <v/>
      </c>
      <c r="L406" s="287"/>
      <c r="U406" s="40"/>
      <c r="AU406" s="41" t="str">
        <f t="shared" si="16"/>
        <v/>
      </c>
      <c r="AV406" s="5" t="str">
        <f ca="1">IFERROR(__xludf.DUMMYFUNCTION("IFERROR(VLOOKUP(E420&amp;F420,IMPORTRANGE(""https://docs.google.com/spreadsheets/d/1Uw7-A9f9R21vMXxHZFNpYNeKFtG8_yji4HS352LGlSQ/edit?pli=1#gid=0"",""1_ACUM!A4:S""),11,FALSE))"),"")</f>
        <v/>
      </c>
      <c r="AW406" s="42" t="str">
        <f ca="1">IFERROR(__xludf.DUMMYFUNCTION("IFERROR(VLOOKUP(F420,IMPORTRANGE(""https://docs.google.com/spreadsheets/d/1Kvs4KS76FHFqLFIZfrDMff4kP08nblUkihrxltoGBjg/edit#gid=934712705"",""ESENCIAL!A6:BG""),15,FALSE))"),"")</f>
        <v/>
      </c>
      <c r="AX406" s="21" t="str">
        <f ca="1">IFERROR(__xludf.DUMMYFUNCTION("IFERROR(VLOOKUP(E420&amp;F420,IMPORTRANGE(""https://docs.google.com/spreadsheets/d/1Uw7-A9f9R21vMXxHZFNpYNeKFtG8_yji4HS352LGlSQ/edit?pli=1#gid=0"",""1_ACUM!A4:S""),12,FALSE))"),"")</f>
        <v/>
      </c>
      <c r="AY406" s="43" t="str">
        <f ca="1">IFERROR(__xludf.DUMMYFUNCTION("IFERROR(VLOOKUP(E420&amp;F420,IMPORTRANGE(""https://docs.google.com/spreadsheets/d/1Uw7-A9f9R21vMXxHZFNpYNeKFtG8_yji4HS352LGlSQ/edit?pli=1#gid=0"",""1_ACUM!A4:S""),13,FALSE))"),"")</f>
        <v/>
      </c>
      <c r="AZ406" s="43" t="str">
        <f ca="1">IFERROR(__xludf.DUMMYFUNCTION("IFERROR(VLOOKUP(E420&amp;F420,IMPORTRANGE(""https://docs.google.com/spreadsheets/d/1Uw7-A9f9R21vMXxHZFNpYNeKFtG8_yji4HS352LGlSQ/edit?pli=1#gid=0"",""1_ACUM!A4:S""),14,FALSE))"),"")</f>
        <v/>
      </c>
      <c r="BA406" s="43" t="str">
        <f ca="1">IFERROR(__xludf.DUMMYFUNCTION("IFERROR(VLOOKUP(E420&amp;F420,IMPORTRANGE(""https://docs.google.com/spreadsheets/d/1Uw7-A9f9R21vMXxHZFNpYNeKFtG8_yji4HS352LGlSQ/edit?pli=1#gid=0"",""1_ACUM!A4:S""),15,FALSE))"),"")</f>
        <v/>
      </c>
      <c r="BB406" s="43" t="str">
        <f ca="1">IFERROR(__xludf.DUMMYFUNCTION("IFERROR(VLOOKUP(E420&amp;F420,IMPORTRANGE(""https://docs.google.com/spreadsheets/d/1Uw7-A9f9R21vMXxHZFNpYNeKFtG8_yji4HS352LGlSQ/edit?pli=1#gid=0"",""1_ACUM!A4:S""),16,FALSE))"),"")</f>
        <v/>
      </c>
      <c r="BC406" s="43" t="str">
        <f ca="1">IFERROR(__xludf.DUMMYFUNCTION("IFERROR(VLOOKUP(E420&amp;F420,IMPORTRANGE(""https://docs.google.com/spreadsheets/d/1Uw7-A9f9R21vMXxHZFNpYNeKFtG8_yji4HS352LGlSQ/edit?pli=1#gid=0"",""1_ACUM!A4:S""),17,FALSE))"),"")</f>
        <v/>
      </c>
      <c r="BD406" s="44" t="str">
        <f ca="1">IFERROR(__xludf.DUMMYFUNCTION("IFERROR(VLOOKUP(E420&amp;F420,IMPORTRANGE(""https://docs.google.com/spreadsheets/d/1Uw7-A9f9R21vMXxHZFNpYNeKFtG8_yji4HS352LGlSQ/edit?pli=1#gid=0"",""1_ACUM!A4:S""),18,FALSE))"),"")</f>
        <v/>
      </c>
      <c r="BE406" s="44" t="str">
        <f ca="1">IFERROR(__xludf.DUMMYFUNCTION("IFERROR(VLOOKUP(E420&amp;F420,IMPORTRANGE(""https://docs.google.com/spreadsheets/d/1Uw7-A9f9R21vMXxHZFNpYNeKFtG8_yji4HS352LGlSQ/edit?pli=1#gid=0"",""1_ACUM!A4:S""),19,FALSE))"),"")</f>
        <v/>
      </c>
      <c r="BF406" s="98" t="str">
        <f ca="1">IFERROR(__xludf.DUMMYFUNCTION("IFERROR(VLOOKUP(F420,IMPORTRANGE(""https://docs.google.com/spreadsheets/d/1Kvs4KS76FHFqLFIZfrDMff4kP08nblUkihrxltoGBjg/edit#gid=934712705"",""ESENCIAL!A6:BG""),5,FALSE))"),"")</f>
        <v/>
      </c>
      <c r="BG406" s="98" t="str">
        <f t="shared" si="17"/>
        <v/>
      </c>
      <c r="BH406" s="99" t="str">
        <f t="shared" si="18"/>
        <v/>
      </c>
      <c r="BI406" s="100" t="str">
        <f ca="1">IFERROR(__xludf.DUMMYFUNCTION("IFERROR(VLOOKUP(F420,IMPORTRANGE(""https://docs.google.com/spreadsheets/d/1Kvs4KS76FHFqLFIZfrDMff4kP08nblUkihrxltoGBjg/edit#gid=934712705"",""ESENCIAL!A6:BG""),2,FALSE))"),"")</f>
        <v/>
      </c>
      <c r="BJ406" s="19" t="str">
        <f t="shared" si="19"/>
        <v/>
      </c>
      <c r="BK406" s="100"/>
      <c r="BL406" s="100"/>
    </row>
    <row r="407" spans="1:64" ht="15">
      <c r="A407" s="5"/>
      <c r="B407" s="101"/>
      <c r="G407" s="5" t="str">
        <f ca="1">IFERROR(__xludf.DUMMYFUNCTION("IFERROR(VLOOKUP(F421,IMPORTRANGE(""https://docs.google.com/spreadsheets/d/1Kvs4KS76FHFqLFIZfrDMff4kP08nblUkihrxltoGBjg/edit#gid=934712705"",""ESENCIAL!A6:BG""),3,FALSE))"),"")</f>
        <v/>
      </c>
      <c r="H407" s="5" t="str">
        <f ca="1">IFERROR(__xludf.DUMMYFUNCTION("IFERROR(VLOOKUP(F421,IMPORTRANGE(""https://docs.google.com/spreadsheets/d/1Kvs4KS76FHFqLFIZfrDMff4kP08nblUkihrxltoGBjg/edit#gid=934712705"",""ESENCIAL!A6:BG""),8,FALSE))"),"")</f>
        <v/>
      </c>
      <c r="L407" s="287"/>
      <c r="U407" s="40"/>
      <c r="AU407" s="41" t="str">
        <f t="shared" si="16"/>
        <v/>
      </c>
      <c r="AV407" s="5" t="str">
        <f ca="1">IFERROR(__xludf.DUMMYFUNCTION("IFERROR(VLOOKUP(E421&amp;F421,IMPORTRANGE(""https://docs.google.com/spreadsheets/d/1Uw7-A9f9R21vMXxHZFNpYNeKFtG8_yji4HS352LGlSQ/edit?pli=1#gid=0"",""1_ACUM!A4:S""),11,FALSE))"),"")</f>
        <v/>
      </c>
      <c r="AW407" s="42" t="str">
        <f ca="1">IFERROR(__xludf.DUMMYFUNCTION("IFERROR(VLOOKUP(F421,IMPORTRANGE(""https://docs.google.com/spreadsheets/d/1Kvs4KS76FHFqLFIZfrDMff4kP08nblUkihrxltoGBjg/edit#gid=934712705"",""ESENCIAL!A6:BG""),15,FALSE))"),"")</f>
        <v/>
      </c>
      <c r="AX407" s="21" t="str">
        <f ca="1">IFERROR(__xludf.DUMMYFUNCTION("IFERROR(VLOOKUP(E421&amp;F421,IMPORTRANGE(""https://docs.google.com/spreadsheets/d/1Uw7-A9f9R21vMXxHZFNpYNeKFtG8_yji4HS352LGlSQ/edit?pli=1#gid=0"",""1_ACUM!A4:S""),12,FALSE))"),"")</f>
        <v/>
      </c>
      <c r="AY407" s="43" t="str">
        <f ca="1">IFERROR(__xludf.DUMMYFUNCTION("IFERROR(VLOOKUP(E421&amp;F421,IMPORTRANGE(""https://docs.google.com/spreadsheets/d/1Uw7-A9f9R21vMXxHZFNpYNeKFtG8_yji4HS352LGlSQ/edit?pli=1#gid=0"",""1_ACUM!A4:S""),13,FALSE))"),"")</f>
        <v/>
      </c>
      <c r="AZ407" s="43" t="str">
        <f ca="1">IFERROR(__xludf.DUMMYFUNCTION("IFERROR(VLOOKUP(E421&amp;F421,IMPORTRANGE(""https://docs.google.com/spreadsheets/d/1Uw7-A9f9R21vMXxHZFNpYNeKFtG8_yji4HS352LGlSQ/edit?pli=1#gid=0"",""1_ACUM!A4:S""),14,FALSE))"),"")</f>
        <v/>
      </c>
      <c r="BA407" s="43" t="str">
        <f ca="1">IFERROR(__xludf.DUMMYFUNCTION("IFERROR(VLOOKUP(E421&amp;F421,IMPORTRANGE(""https://docs.google.com/spreadsheets/d/1Uw7-A9f9R21vMXxHZFNpYNeKFtG8_yji4HS352LGlSQ/edit?pli=1#gid=0"",""1_ACUM!A4:S""),15,FALSE))"),"")</f>
        <v/>
      </c>
      <c r="BB407" s="43" t="str">
        <f ca="1">IFERROR(__xludf.DUMMYFUNCTION("IFERROR(VLOOKUP(E421&amp;F421,IMPORTRANGE(""https://docs.google.com/spreadsheets/d/1Uw7-A9f9R21vMXxHZFNpYNeKFtG8_yji4HS352LGlSQ/edit?pli=1#gid=0"",""1_ACUM!A4:S""),16,FALSE))"),"")</f>
        <v/>
      </c>
      <c r="BC407" s="43" t="str">
        <f ca="1">IFERROR(__xludf.DUMMYFUNCTION("IFERROR(VLOOKUP(E421&amp;F421,IMPORTRANGE(""https://docs.google.com/spreadsheets/d/1Uw7-A9f9R21vMXxHZFNpYNeKFtG8_yji4HS352LGlSQ/edit?pli=1#gid=0"",""1_ACUM!A4:S""),17,FALSE))"),"")</f>
        <v/>
      </c>
      <c r="BD407" s="44" t="str">
        <f ca="1">IFERROR(__xludf.DUMMYFUNCTION("IFERROR(VLOOKUP(E421&amp;F421,IMPORTRANGE(""https://docs.google.com/spreadsheets/d/1Uw7-A9f9R21vMXxHZFNpYNeKFtG8_yji4HS352LGlSQ/edit?pli=1#gid=0"",""1_ACUM!A4:S""),18,FALSE))"),"")</f>
        <v/>
      </c>
      <c r="BE407" s="44" t="str">
        <f ca="1">IFERROR(__xludf.DUMMYFUNCTION("IFERROR(VLOOKUP(E421&amp;F421,IMPORTRANGE(""https://docs.google.com/spreadsheets/d/1Uw7-A9f9R21vMXxHZFNpYNeKFtG8_yji4HS352LGlSQ/edit?pli=1#gid=0"",""1_ACUM!A4:S""),19,FALSE))"),"")</f>
        <v/>
      </c>
      <c r="BF407" s="98" t="str">
        <f ca="1">IFERROR(__xludf.DUMMYFUNCTION("IFERROR(VLOOKUP(F421,IMPORTRANGE(""https://docs.google.com/spreadsheets/d/1Kvs4KS76FHFqLFIZfrDMff4kP08nblUkihrxltoGBjg/edit#gid=934712705"",""ESENCIAL!A6:BG""),5,FALSE))"),"")</f>
        <v/>
      </c>
      <c r="BG407" s="98" t="str">
        <f t="shared" si="17"/>
        <v/>
      </c>
      <c r="BH407" s="99" t="str">
        <f t="shared" si="18"/>
        <v/>
      </c>
      <c r="BI407" s="100" t="str">
        <f ca="1">IFERROR(__xludf.DUMMYFUNCTION("IFERROR(VLOOKUP(F421,IMPORTRANGE(""https://docs.google.com/spreadsheets/d/1Kvs4KS76FHFqLFIZfrDMff4kP08nblUkihrxltoGBjg/edit#gid=934712705"",""ESENCIAL!A6:BG""),2,FALSE))"),"")</f>
        <v/>
      </c>
      <c r="BJ407" s="19" t="str">
        <f t="shared" si="19"/>
        <v/>
      </c>
      <c r="BK407" s="100"/>
      <c r="BL407" s="100"/>
    </row>
    <row r="408" spans="1:64" ht="15">
      <c r="A408" s="5"/>
      <c r="B408" s="101"/>
      <c r="G408" s="5" t="str">
        <f ca="1">IFERROR(__xludf.DUMMYFUNCTION("IFERROR(VLOOKUP(F422,IMPORTRANGE(""https://docs.google.com/spreadsheets/d/1Kvs4KS76FHFqLFIZfrDMff4kP08nblUkihrxltoGBjg/edit#gid=934712705"",""ESENCIAL!A6:BG""),3,FALSE))"),"")</f>
        <v/>
      </c>
      <c r="H408" s="5" t="str">
        <f ca="1">IFERROR(__xludf.DUMMYFUNCTION("IFERROR(VLOOKUP(F422,IMPORTRANGE(""https://docs.google.com/spreadsheets/d/1Kvs4KS76FHFqLFIZfrDMff4kP08nblUkihrxltoGBjg/edit#gid=934712705"",""ESENCIAL!A6:BG""),8,FALSE))"),"")</f>
        <v/>
      </c>
      <c r="L408" s="287"/>
      <c r="U408" s="40"/>
      <c r="AU408" s="41" t="str">
        <f t="shared" si="16"/>
        <v/>
      </c>
      <c r="AV408" s="5" t="str">
        <f ca="1">IFERROR(__xludf.DUMMYFUNCTION("IFERROR(VLOOKUP(E422&amp;F422,IMPORTRANGE(""https://docs.google.com/spreadsheets/d/1Uw7-A9f9R21vMXxHZFNpYNeKFtG8_yji4HS352LGlSQ/edit?pli=1#gid=0"",""1_ACUM!A4:S""),11,FALSE))"),"")</f>
        <v/>
      </c>
      <c r="AW408" s="42" t="str">
        <f ca="1">IFERROR(__xludf.DUMMYFUNCTION("IFERROR(VLOOKUP(F422,IMPORTRANGE(""https://docs.google.com/spreadsheets/d/1Kvs4KS76FHFqLFIZfrDMff4kP08nblUkihrxltoGBjg/edit#gid=934712705"",""ESENCIAL!A6:BG""),15,FALSE))"),"")</f>
        <v/>
      </c>
      <c r="AX408" s="21" t="str">
        <f ca="1">IFERROR(__xludf.DUMMYFUNCTION("IFERROR(VLOOKUP(E422&amp;F422,IMPORTRANGE(""https://docs.google.com/spreadsheets/d/1Uw7-A9f9R21vMXxHZFNpYNeKFtG8_yji4HS352LGlSQ/edit?pli=1#gid=0"",""1_ACUM!A4:S""),12,FALSE))"),"")</f>
        <v/>
      </c>
      <c r="AY408" s="43" t="str">
        <f ca="1">IFERROR(__xludf.DUMMYFUNCTION("IFERROR(VLOOKUP(E422&amp;F422,IMPORTRANGE(""https://docs.google.com/spreadsheets/d/1Uw7-A9f9R21vMXxHZFNpYNeKFtG8_yji4HS352LGlSQ/edit?pli=1#gid=0"",""1_ACUM!A4:S""),13,FALSE))"),"")</f>
        <v/>
      </c>
      <c r="AZ408" s="43" t="str">
        <f ca="1">IFERROR(__xludf.DUMMYFUNCTION("IFERROR(VLOOKUP(E422&amp;F422,IMPORTRANGE(""https://docs.google.com/spreadsheets/d/1Uw7-A9f9R21vMXxHZFNpYNeKFtG8_yji4HS352LGlSQ/edit?pli=1#gid=0"",""1_ACUM!A4:S""),14,FALSE))"),"")</f>
        <v/>
      </c>
      <c r="BA408" s="43" t="str">
        <f ca="1">IFERROR(__xludf.DUMMYFUNCTION("IFERROR(VLOOKUP(E422&amp;F422,IMPORTRANGE(""https://docs.google.com/spreadsheets/d/1Uw7-A9f9R21vMXxHZFNpYNeKFtG8_yji4HS352LGlSQ/edit?pli=1#gid=0"",""1_ACUM!A4:S""),15,FALSE))"),"")</f>
        <v/>
      </c>
      <c r="BB408" s="43" t="str">
        <f ca="1">IFERROR(__xludf.DUMMYFUNCTION("IFERROR(VLOOKUP(E422&amp;F422,IMPORTRANGE(""https://docs.google.com/spreadsheets/d/1Uw7-A9f9R21vMXxHZFNpYNeKFtG8_yji4HS352LGlSQ/edit?pli=1#gid=0"",""1_ACUM!A4:S""),16,FALSE))"),"")</f>
        <v/>
      </c>
      <c r="BC408" s="43" t="str">
        <f ca="1">IFERROR(__xludf.DUMMYFUNCTION("IFERROR(VLOOKUP(E422&amp;F422,IMPORTRANGE(""https://docs.google.com/spreadsheets/d/1Uw7-A9f9R21vMXxHZFNpYNeKFtG8_yji4HS352LGlSQ/edit?pli=1#gid=0"",""1_ACUM!A4:S""),17,FALSE))"),"")</f>
        <v/>
      </c>
      <c r="BD408" s="44" t="str">
        <f ca="1">IFERROR(__xludf.DUMMYFUNCTION("IFERROR(VLOOKUP(E422&amp;F422,IMPORTRANGE(""https://docs.google.com/spreadsheets/d/1Uw7-A9f9R21vMXxHZFNpYNeKFtG8_yji4HS352LGlSQ/edit?pli=1#gid=0"",""1_ACUM!A4:S""),18,FALSE))"),"")</f>
        <v/>
      </c>
      <c r="BE408" s="44" t="str">
        <f ca="1">IFERROR(__xludf.DUMMYFUNCTION("IFERROR(VLOOKUP(E422&amp;F422,IMPORTRANGE(""https://docs.google.com/spreadsheets/d/1Uw7-A9f9R21vMXxHZFNpYNeKFtG8_yji4HS352LGlSQ/edit?pli=1#gid=0"",""1_ACUM!A4:S""),19,FALSE))"),"")</f>
        <v/>
      </c>
      <c r="BF408" s="98" t="str">
        <f ca="1">IFERROR(__xludf.DUMMYFUNCTION("IFERROR(VLOOKUP(F422,IMPORTRANGE(""https://docs.google.com/spreadsheets/d/1Kvs4KS76FHFqLFIZfrDMff4kP08nblUkihrxltoGBjg/edit#gid=934712705"",""ESENCIAL!A6:BG""),5,FALSE))"),"")</f>
        <v/>
      </c>
      <c r="BG408" s="98" t="str">
        <f t="shared" si="17"/>
        <v/>
      </c>
      <c r="BH408" s="99" t="str">
        <f t="shared" si="18"/>
        <v/>
      </c>
      <c r="BI408" s="100" t="str">
        <f ca="1">IFERROR(__xludf.DUMMYFUNCTION("IFERROR(VLOOKUP(F422,IMPORTRANGE(""https://docs.google.com/spreadsheets/d/1Kvs4KS76FHFqLFIZfrDMff4kP08nblUkihrxltoGBjg/edit#gid=934712705"",""ESENCIAL!A6:BG""),2,FALSE))"),"")</f>
        <v/>
      </c>
      <c r="BJ408" s="19" t="str">
        <f t="shared" si="19"/>
        <v/>
      </c>
      <c r="BK408" s="100"/>
      <c r="BL408" s="100"/>
    </row>
    <row r="409" spans="1:64" ht="15">
      <c r="A409" s="5"/>
      <c r="B409" s="101"/>
      <c r="G409" s="5" t="str">
        <f ca="1">IFERROR(__xludf.DUMMYFUNCTION("IFERROR(VLOOKUP(F423,IMPORTRANGE(""https://docs.google.com/spreadsheets/d/1Kvs4KS76FHFqLFIZfrDMff4kP08nblUkihrxltoGBjg/edit#gid=934712705"",""ESENCIAL!A6:BG""),3,FALSE))"),"")</f>
        <v/>
      </c>
      <c r="H409" s="5" t="str">
        <f ca="1">IFERROR(__xludf.DUMMYFUNCTION("IFERROR(VLOOKUP(F423,IMPORTRANGE(""https://docs.google.com/spreadsheets/d/1Kvs4KS76FHFqLFIZfrDMff4kP08nblUkihrxltoGBjg/edit#gid=934712705"",""ESENCIAL!A6:BG""),8,FALSE))"),"")</f>
        <v/>
      </c>
      <c r="L409" s="287"/>
      <c r="U409" s="40"/>
      <c r="AU409" s="41" t="str">
        <f t="shared" si="16"/>
        <v/>
      </c>
      <c r="AV409" s="5" t="str">
        <f ca="1">IFERROR(__xludf.DUMMYFUNCTION("IFERROR(VLOOKUP(E423&amp;F423,IMPORTRANGE(""https://docs.google.com/spreadsheets/d/1Uw7-A9f9R21vMXxHZFNpYNeKFtG8_yji4HS352LGlSQ/edit?pli=1#gid=0"",""1_ACUM!A4:S""),11,FALSE))"),"")</f>
        <v/>
      </c>
      <c r="AW409" s="42" t="str">
        <f ca="1">IFERROR(__xludf.DUMMYFUNCTION("IFERROR(VLOOKUP(F423,IMPORTRANGE(""https://docs.google.com/spreadsheets/d/1Kvs4KS76FHFqLFIZfrDMff4kP08nblUkihrxltoGBjg/edit#gid=934712705"",""ESENCIAL!A6:BG""),15,FALSE))"),"")</f>
        <v/>
      </c>
      <c r="AX409" s="21" t="str">
        <f ca="1">IFERROR(__xludf.DUMMYFUNCTION("IFERROR(VLOOKUP(E423&amp;F423,IMPORTRANGE(""https://docs.google.com/spreadsheets/d/1Uw7-A9f9R21vMXxHZFNpYNeKFtG8_yji4HS352LGlSQ/edit?pli=1#gid=0"",""1_ACUM!A4:S""),12,FALSE))"),"")</f>
        <v/>
      </c>
      <c r="AY409" s="43" t="str">
        <f ca="1">IFERROR(__xludf.DUMMYFUNCTION("IFERROR(VLOOKUP(E423&amp;F423,IMPORTRANGE(""https://docs.google.com/spreadsheets/d/1Uw7-A9f9R21vMXxHZFNpYNeKFtG8_yji4HS352LGlSQ/edit?pli=1#gid=0"",""1_ACUM!A4:S""),13,FALSE))"),"")</f>
        <v/>
      </c>
      <c r="AZ409" s="43" t="str">
        <f ca="1">IFERROR(__xludf.DUMMYFUNCTION("IFERROR(VLOOKUP(E423&amp;F423,IMPORTRANGE(""https://docs.google.com/spreadsheets/d/1Uw7-A9f9R21vMXxHZFNpYNeKFtG8_yji4HS352LGlSQ/edit?pli=1#gid=0"",""1_ACUM!A4:S""),14,FALSE))"),"")</f>
        <v/>
      </c>
      <c r="BA409" s="43" t="str">
        <f ca="1">IFERROR(__xludf.DUMMYFUNCTION("IFERROR(VLOOKUP(E423&amp;F423,IMPORTRANGE(""https://docs.google.com/spreadsheets/d/1Uw7-A9f9R21vMXxHZFNpYNeKFtG8_yji4HS352LGlSQ/edit?pli=1#gid=0"",""1_ACUM!A4:S""),15,FALSE))"),"")</f>
        <v/>
      </c>
      <c r="BB409" s="43" t="str">
        <f ca="1">IFERROR(__xludf.DUMMYFUNCTION("IFERROR(VLOOKUP(E423&amp;F423,IMPORTRANGE(""https://docs.google.com/spreadsheets/d/1Uw7-A9f9R21vMXxHZFNpYNeKFtG8_yji4HS352LGlSQ/edit?pli=1#gid=0"",""1_ACUM!A4:S""),16,FALSE))"),"")</f>
        <v/>
      </c>
      <c r="BC409" s="43" t="str">
        <f ca="1">IFERROR(__xludf.DUMMYFUNCTION("IFERROR(VLOOKUP(E423&amp;F423,IMPORTRANGE(""https://docs.google.com/spreadsheets/d/1Uw7-A9f9R21vMXxHZFNpYNeKFtG8_yji4HS352LGlSQ/edit?pli=1#gid=0"",""1_ACUM!A4:S""),17,FALSE))"),"")</f>
        <v/>
      </c>
      <c r="BD409" s="44" t="str">
        <f ca="1">IFERROR(__xludf.DUMMYFUNCTION("IFERROR(VLOOKUP(E423&amp;F423,IMPORTRANGE(""https://docs.google.com/spreadsheets/d/1Uw7-A9f9R21vMXxHZFNpYNeKFtG8_yji4HS352LGlSQ/edit?pli=1#gid=0"",""1_ACUM!A4:S""),18,FALSE))"),"")</f>
        <v/>
      </c>
      <c r="BE409" s="44" t="str">
        <f ca="1">IFERROR(__xludf.DUMMYFUNCTION("IFERROR(VLOOKUP(E423&amp;F423,IMPORTRANGE(""https://docs.google.com/spreadsheets/d/1Uw7-A9f9R21vMXxHZFNpYNeKFtG8_yji4HS352LGlSQ/edit?pli=1#gid=0"",""1_ACUM!A4:S""),19,FALSE))"),"")</f>
        <v/>
      </c>
      <c r="BF409" s="98" t="str">
        <f ca="1">IFERROR(__xludf.DUMMYFUNCTION("IFERROR(VLOOKUP(F423,IMPORTRANGE(""https://docs.google.com/spreadsheets/d/1Kvs4KS76FHFqLFIZfrDMff4kP08nblUkihrxltoGBjg/edit#gid=934712705"",""ESENCIAL!A6:BG""),5,FALSE))"),"")</f>
        <v/>
      </c>
      <c r="BG409" s="98" t="str">
        <f t="shared" si="17"/>
        <v/>
      </c>
      <c r="BH409" s="99" t="str">
        <f t="shared" si="18"/>
        <v/>
      </c>
      <c r="BI409" s="100" t="str">
        <f ca="1">IFERROR(__xludf.DUMMYFUNCTION("IFERROR(VLOOKUP(F423,IMPORTRANGE(""https://docs.google.com/spreadsheets/d/1Kvs4KS76FHFqLFIZfrDMff4kP08nblUkihrxltoGBjg/edit#gid=934712705"",""ESENCIAL!A6:BG""),2,FALSE))"),"")</f>
        <v/>
      </c>
      <c r="BJ409" s="19" t="str">
        <f t="shared" si="19"/>
        <v/>
      </c>
      <c r="BK409" s="100"/>
      <c r="BL409" s="100"/>
    </row>
    <row r="410" spans="1:64" ht="15">
      <c r="A410" s="5"/>
      <c r="B410" s="101"/>
      <c r="G410" s="5" t="str">
        <f ca="1">IFERROR(__xludf.DUMMYFUNCTION("IFERROR(VLOOKUP(F424,IMPORTRANGE(""https://docs.google.com/spreadsheets/d/1Kvs4KS76FHFqLFIZfrDMff4kP08nblUkihrxltoGBjg/edit#gid=934712705"",""ESENCIAL!A6:BG""),3,FALSE))"),"")</f>
        <v/>
      </c>
      <c r="H410" s="5" t="str">
        <f ca="1">IFERROR(__xludf.DUMMYFUNCTION("IFERROR(VLOOKUP(F424,IMPORTRANGE(""https://docs.google.com/spreadsheets/d/1Kvs4KS76FHFqLFIZfrDMff4kP08nblUkihrxltoGBjg/edit#gid=934712705"",""ESENCIAL!A6:BG""),8,FALSE))"),"")</f>
        <v/>
      </c>
      <c r="L410" s="287"/>
      <c r="U410" s="40"/>
      <c r="AU410" s="41" t="str">
        <f t="shared" si="16"/>
        <v/>
      </c>
      <c r="AV410" s="5" t="str">
        <f ca="1">IFERROR(__xludf.DUMMYFUNCTION("IFERROR(VLOOKUP(E424&amp;F424,IMPORTRANGE(""https://docs.google.com/spreadsheets/d/1Uw7-A9f9R21vMXxHZFNpYNeKFtG8_yji4HS352LGlSQ/edit?pli=1#gid=0"",""1_ACUM!A4:S""),11,FALSE))"),"")</f>
        <v/>
      </c>
      <c r="AW410" s="42" t="str">
        <f ca="1">IFERROR(__xludf.DUMMYFUNCTION("IFERROR(VLOOKUP(F424,IMPORTRANGE(""https://docs.google.com/spreadsheets/d/1Kvs4KS76FHFqLFIZfrDMff4kP08nblUkihrxltoGBjg/edit#gid=934712705"",""ESENCIAL!A6:BG""),15,FALSE))"),"")</f>
        <v/>
      </c>
      <c r="AX410" s="21" t="str">
        <f ca="1">IFERROR(__xludf.DUMMYFUNCTION("IFERROR(VLOOKUP(E424&amp;F424,IMPORTRANGE(""https://docs.google.com/spreadsheets/d/1Uw7-A9f9R21vMXxHZFNpYNeKFtG8_yji4HS352LGlSQ/edit?pli=1#gid=0"",""1_ACUM!A4:S""),12,FALSE))"),"")</f>
        <v/>
      </c>
      <c r="AY410" s="43" t="str">
        <f ca="1">IFERROR(__xludf.DUMMYFUNCTION("IFERROR(VLOOKUP(E424&amp;F424,IMPORTRANGE(""https://docs.google.com/spreadsheets/d/1Uw7-A9f9R21vMXxHZFNpYNeKFtG8_yji4HS352LGlSQ/edit?pli=1#gid=0"",""1_ACUM!A4:S""),13,FALSE))"),"")</f>
        <v/>
      </c>
      <c r="AZ410" s="43" t="str">
        <f ca="1">IFERROR(__xludf.DUMMYFUNCTION("IFERROR(VLOOKUP(E424&amp;F424,IMPORTRANGE(""https://docs.google.com/spreadsheets/d/1Uw7-A9f9R21vMXxHZFNpYNeKFtG8_yji4HS352LGlSQ/edit?pli=1#gid=0"",""1_ACUM!A4:S""),14,FALSE))"),"")</f>
        <v/>
      </c>
      <c r="BA410" s="43" t="str">
        <f ca="1">IFERROR(__xludf.DUMMYFUNCTION("IFERROR(VLOOKUP(E424&amp;F424,IMPORTRANGE(""https://docs.google.com/spreadsheets/d/1Uw7-A9f9R21vMXxHZFNpYNeKFtG8_yji4HS352LGlSQ/edit?pli=1#gid=0"",""1_ACUM!A4:S""),15,FALSE))"),"")</f>
        <v/>
      </c>
      <c r="BB410" s="43" t="str">
        <f ca="1">IFERROR(__xludf.DUMMYFUNCTION("IFERROR(VLOOKUP(E424&amp;F424,IMPORTRANGE(""https://docs.google.com/spreadsheets/d/1Uw7-A9f9R21vMXxHZFNpYNeKFtG8_yji4HS352LGlSQ/edit?pli=1#gid=0"",""1_ACUM!A4:S""),16,FALSE))"),"")</f>
        <v/>
      </c>
      <c r="BC410" s="43" t="str">
        <f ca="1">IFERROR(__xludf.DUMMYFUNCTION("IFERROR(VLOOKUP(E424&amp;F424,IMPORTRANGE(""https://docs.google.com/spreadsheets/d/1Uw7-A9f9R21vMXxHZFNpYNeKFtG8_yji4HS352LGlSQ/edit?pli=1#gid=0"",""1_ACUM!A4:S""),17,FALSE))"),"")</f>
        <v/>
      </c>
      <c r="BD410" s="44" t="str">
        <f ca="1">IFERROR(__xludf.DUMMYFUNCTION("IFERROR(VLOOKUP(E424&amp;F424,IMPORTRANGE(""https://docs.google.com/spreadsheets/d/1Uw7-A9f9R21vMXxHZFNpYNeKFtG8_yji4HS352LGlSQ/edit?pli=1#gid=0"",""1_ACUM!A4:S""),18,FALSE))"),"")</f>
        <v/>
      </c>
      <c r="BE410" s="44" t="str">
        <f ca="1">IFERROR(__xludf.DUMMYFUNCTION("IFERROR(VLOOKUP(E424&amp;F424,IMPORTRANGE(""https://docs.google.com/spreadsheets/d/1Uw7-A9f9R21vMXxHZFNpYNeKFtG8_yji4HS352LGlSQ/edit?pli=1#gid=0"",""1_ACUM!A4:S""),19,FALSE))"),"")</f>
        <v/>
      </c>
      <c r="BF410" s="98" t="str">
        <f ca="1">IFERROR(__xludf.DUMMYFUNCTION("IFERROR(VLOOKUP(F424,IMPORTRANGE(""https://docs.google.com/spreadsheets/d/1Kvs4KS76FHFqLFIZfrDMff4kP08nblUkihrxltoGBjg/edit#gid=934712705"",""ESENCIAL!A6:BG""),5,FALSE))"),"")</f>
        <v/>
      </c>
      <c r="BG410" s="98" t="str">
        <f t="shared" si="17"/>
        <v/>
      </c>
      <c r="BH410" s="99" t="str">
        <f t="shared" si="18"/>
        <v/>
      </c>
      <c r="BI410" s="100" t="str">
        <f ca="1">IFERROR(__xludf.DUMMYFUNCTION("IFERROR(VLOOKUP(F424,IMPORTRANGE(""https://docs.google.com/spreadsheets/d/1Kvs4KS76FHFqLFIZfrDMff4kP08nblUkihrxltoGBjg/edit#gid=934712705"",""ESENCIAL!A6:BG""),2,FALSE))"),"")</f>
        <v/>
      </c>
      <c r="BJ410" s="19" t="str">
        <f t="shared" si="19"/>
        <v/>
      </c>
      <c r="BK410" s="100"/>
      <c r="BL410" s="100"/>
    </row>
    <row r="411" spans="1:64" ht="15">
      <c r="A411" s="5"/>
      <c r="B411" s="101"/>
      <c r="G411" s="5" t="str">
        <f ca="1">IFERROR(__xludf.DUMMYFUNCTION("IFERROR(VLOOKUP(F425,IMPORTRANGE(""https://docs.google.com/spreadsheets/d/1Kvs4KS76FHFqLFIZfrDMff4kP08nblUkihrxltoGBjg/edit#gid=934712705"",""ESENCIAL!A6:BG""),3,FALSE))"),"")</f>
        <v/>
      </c>
      <c r="H411" s="5" t="str">
        <f ca="1">IFERROR(__xludf.DUMMYFUNCTION("IFERROR(VLOOKUP(F425,IMPORTRANGE(""https://docs.google.com/spreadsheets/d/1Kvs4KS76FHFqLFIZfrDMff4kP08nblUkihrxltoGBjg/edit#gid=934712705"",""ESENCIAL!A6:BG""),8,FALSE))"),"")</f>
        <v/>
      </c>
      <c r="L411" s="287"/>
      <c r="U411" s="40"/>
      <c r="AU411" s="41" t="str">
        <f t="shared" si="16"/>
        <v/>
      </c>
      <c r="AV411" s="5" t="str">
        <f ca="1">IFERROR(__xludf.DUMMYFUNCTION("IFERROR(VLOOKUP(E425&amp;F425,IMPORTRANGE(""https://docs.google.com/spreadsheets/d/1Uw7-A9f9R21vMXxHZFNpYNeKFtG8_yji4HS352LGlSQ/edit?pli=1#gid=0"",""1_ACUM!A4:S""),11,FALSE))"),"")</f>
        <v/>
      </c>
      <c r="AW411" s="42" t="str">
        <f ca="1">IFERROR(__xludf.DUMMYFUNCTION("IFERROR(VLOOKUP(F425,IMPORTRANGE(""https://docs.google.com/spreadsheets/d/1Kvs4KS76FHFqLFIZfrDMff4kP08nblUkihrxltoGBjg/edit#gid=934712705"",""ESENCIAL!A6:BG""),15,FALSE))"),"")</f>
        <v/>
      </c>
      <c r="AX411" s="21" t="str">
        <f ca="1">IFERROR(__xludf.DUMMYFUNCTION("IFERROR(VLOOKUP(E425&amp;F425,IMPORTRANGE(""https://docs.google.com/spreadsheets/d/1Uw7-A9f9R21vMXxHZFNpYNeKFtG8_yji4HS352LGlSQ/edit?pli=1#gid=0"",""1_ACUM!A4:S""),12,FALSE))"),"")</f>
        <v/>
      </c>
      <c r="AY411" s="43" t="str">
        <f ca="1">IFERROR(__xludf.DUMMYFUNCTION("IFERROR(VLOOKUP(E425&amp;F425,IMPORTRANGE(""https://docs.google.com/spreadsheets/d/1Uw7-A9f9R21vMXxHZFNpYNeKFtG8_yji4HS352LGlSQ/edit?pli=1#gid=0"",""1_ACUM!A4:S""),13,FALSE))"),"")</f>
        <v/>
      </c>
      <c r="AZ411" s="43" t="str">
        <f ca="1">IFERROR(__xludf.DUMMYFUNCTION("IFERROR(VLOOKUP(E425&amp;F425,IMPORTRANGE(""https://docs.google.com/spreadsheets/d/1Uw7-A9f9R21vMXxHZFNpYNeKFtG8_yji4HS352LGlSQ/edit?pli=1#gid=0"",""1_ACUM!A4:S""),14,FALSE))"),"")</f>
        <v/>
      </c>
      <c r="BA411" s="43" t="str">
        <f ca="1">IFERROR(__xludf.DUMMYFUNCTION("IFERROR(VLOOKUP(E425&amp;F425,IMPORTRANGE(""https://docs.google.com/spreadsheets/d/1Uw7-A9f9R21vMXxHZFNpYNeKFtG8_yji4HS352LGlSQ/edit?pli=1#gid=0"",""1_ACUM!A4:S""),15,FALSE))"),"")</f>
        <v/>
      </c>
      <c r="BB411" s="43" t="str">
        <f ca="1">IFERROR(__xludf.DUMMYFUNCTION("IFERROR(VLOOKUP(E425&amp;F425,IMPORTRANGE(""https://docs.google.com/spreadsheets/d/1Uw7-A9f9R21vMXxHZFNpYNeKFtG8_yji4HS352LGlSQ/edit?pli=1#gid=0"",""1_ACUM!A4:S""),16,FALSE))"),"")</f>
        <v/>
      </c>
      <c r="BC411" s="43" t="str">
        <f ca="1">IFERROR(__xludf.DUMMYFUNCTION("IFERROR(VLOOKUP(E425&amp;F425,IMPORTRANGE(""https://docs.google.com/spreadsheets/d/1Uw7-A9f9R21vMXxHZFNpYNeKFtG8_yji4HS352LGlSQ/edit?pli=1#gid=0"",""1_ACUM!A4:S""),17,FALSE))"),"")</f>
        <v/>
      </c>
      <c r="BD411" s="44" t="str">
        <f ca="1">IFERROR(__xludf.DUMMYFUNCTION("IFERROR(VLOOKUP(E425&amp;F425,IMPORTRANGE(""https://docs.google.com/spreadsheets/d/1Uw7-A9f9R21vMXxHZFNpYNeKFtG8_yji4HS352LGlSQ/edit?pli=1#gid=0"",""1_ACUM!A4:S""),18,FALSE))"),"")</f>
        <v/>
      </c>
      <c r="BE411" s="44" t="str">
        <f ca="1">IFERROR(__xludf.DUMMYFUNCTION("IFERROR(VLOOKUP(E425&amp;F425,IMPORTRANGE(""https://docs.google.com/spreadsheets/d/1Uw7-A9f9R21vMXxHZFNpYNeKFtG8_yji4HS352LGlSQ/edit?pli=1#gid=0"",""1_ACUM!A4:S""),19,FALSE))"),"")</f>
        <v/>
      </c>
      <c r="BF411" s="98" t="str">
        <f ca="1">IFERROR(__xludf.DUMMYFUNCTION("IFERROR(VLOOKUP(F425,IMPORTRANGE(""https://docs.google.com/spreadsheets/d/1Kvs4KS76FHFqLFIZfrDMff4kP08nblUkihrxltoGBjg/edit#gid=934712705"",""ESENCIAL!A6:BG""),5,FALSE))"),"")</f>
        <v/>
      </c>
      <c r="BG411" s="98" t="str">
        <f t="shared" si="17"/>
        <v/>
      </c>
      <c r="BH411" s="99" t="str">
        <f t="shared" si="18"/>
        <v/>
      </c>
      <c r="BI411" s="100" t="str">
        <f ca="1">IFERROR(__xludf.DUMMYFUNCTION("IFERROR(VLOOKUP(F425,IMPORTRANGE(""https://docs.google.com/spreadsheets/d/1Kvs4KS76FHFqLFIZfrDMff4kP08nblUkihrxltoGBjg/edit#gid=934712705"",""ESENCIAL!A6:BG""),2,FALSE))"),"")</f>
        <v/>
      </c>
      <c r="BJ411" s="19" t="str">
        <f t="shared" si="19"/>
        <v/>
      </c>
      <c r="BK411" s="100"/>
      <c r="BL411" s="100"/>
    </row>
    <row r="412" spans="1:64" ht="15">
      <c r="A412" s="5"/>
      <c r="B412" s="101"/>
      <c r="G412" s="5" t="str">
        <f ca="1">IFERROR(__xludf.DUMMYFUNCTION("IFERROR(VLOOKUP(F426,IMPORTRANGE(""https://docs.google.com/spreadsheets/d/1Kvs4KS76FHFqLFIZfrDMff4kP08nblUkihrxltoGBjg/edit#gid=934712705"",""ESENCIAL!A6:BG""),3,FALSE))"),"")</f>
        <v/>
      </c>
      <c r="H412" s="5" t="str">
        <f ca="1">IFERROR(__xludf.DUMMYFUNCTION("IFERROR(VLOOKUP(F426,IMPORTRANGE(""https://docs.google.com/spreadsheets/d/1Kvs4KS76FHFqLFIZfrDMff4kP08nblUkihrxltoGBjg/edit#gid=934712705"",""ESENCIAL!A6:BG""),8,FALSE))"),"")</f>
        <v/>
      </c>
      <c r="L412" s="287"/>
      <c r="U412" s="40"/>
      <c r="AU412" s="41" t="str">
        <f t="shared" si="16"/>
        <v/>
      </c>
      <c r="AV412" s="5" t="str">
        <f ca="1">IFERROR(__xludf.DUMMYFUNCTION("IFERROR(VLOOKUP(E426&amp;F426,IMPORTRANGE(""https://docs.google.com/spreadsheets/d/1Uw7-A9f9R21vMXxHZFNpYNeKFtG8_yji4HS352LGlSQ/edit?pli=1#gid=0"",""1_ACUM!A4:S""),11,FALSE))"),"")</f>
        <v/>
      </c>
      <c r="AW412" s="42" t="str">
        <f ca="1">IFERROR(__xludf.DUMMYFUNCTION("IFERROR(VLOOKUP(F426,IMPORTRANGE(""https://docs.google.com/spreadsheets/d/1Kvs4KS76FHFqLFIZfrDMff4kP08nblUkihrxltoGBjg/edit#gid=934712705"",""ESENCIAL!A6:BG""),15,FALSE))"),"")</f>
        <v/>
      </c>
      <c r="AX412" s="21" t="str">
        <f ca="1">IFERROR(__xludf.DUMMYFUNCTION("IFERROR(VLOOKUP(E426&amp;F426,IMPORTRANGE(""https://docs.google.com/spreadsheets/d/1Uw7-A9f9R21vMXxHZFNpYNeKFtG8_yji4HS352LGlSQ/edit?pli=1#gid=0"",""1_ACUM!A4:S""),12,FALSE))"),"")</f>
        <v/>
      </c>
      <c r="AY412" s="43" t="str">
        <f ca="1">IFERROR(__xludf.DUMMYFUNCTION("IFERROR(VLOOKUP(E426&amp;F426,IMPORTRANGE(""https://docs.google.com/spreadsheets/d/1Uw7-A9f9R21vMXxHZFNpYNeKFtG8_yji4HS352LGlSQ/edit?pli=1#gid=0"",""1_ACUM!A4:S""),13,FALSE))"),"")</f>
        <v/>
      </c>
      <c r="AZ412" s="43" t="str">
        <f ca="1">IFERROR(__xludf.DUMMYFUNCTION("IFERROR(VLOOKUP(E426&amp;F426,IMPORTRANGE(""https://docs.google.com/spreadsheets/d/1Uw7-A9f9R21vMXxHZFNpYNeKFtG8_yji4HS352LGlSQ/edit?pli=1#gid=0"",""1_ACUM!A4:S""),14,FALSE))"),"")</f>
        <v/>
      </c>
      <c r="BA412" s="43" t="str">
        <f ca="1">IFERROR(__xludf.DUMMYFUNCTION("IFERROR(VLOOKUP(E426&amp;F426,IMPORTRANGE(""https://docs.google.com/spreadsheets/d/1Uw7-A9f9R21vMXxHZFNpYNeKFtG8_yji4HS352LGlSQ/edit?pli=1#gid=0"",""1_ACUM!A4:S""),15,FALSE))"),"")</f>
        <v/>
      </c>
      <c r="BB412" s="43" t="str">
        <f ca="1">IFERROR(__xludf.DUMMYFUNCTION("IFERROR(VLOOKUP(E426&amp;F426,IMPORTRANGE(""https://docs.google.com/spreadsheets/d/1Uw7-A9f9R21vMXxHZFNpYNeKFtG8_yji4HS352LGlSQ/edit?pli=1#gid=0"",""1_ACUM!A4:S""),16,FALSE))"),"")</f>
        <v/>
      </c>
      <c r="BC412" s="43" t="str">
        <f ca="1">IFERROR(__xludf.DUMMYFUNCTION("IFERROR(VLOOKUP(E426&amp;F426,IMPORTRANGE(""https://docs.google.com/spreadsheets/d/1Uw7-A9f9R21vMXxHZFNpYNeKFtG8_yji4HS352LGlSQ/edit?pli=1#gid=0"",""1_ACUM!A4:S""),17,FALSE))"),"")</f>
        <v/>
      </c>
      <c r="BD412" s="44" t="str">
        <f ca="1">IFERROR(__xludf.DUMMYFUNCTION("IFERROR(VLOOKUP(E426&amp;F426,IMPORTRANGE(""https://docs.google.com/spreadsheets/d/1Uw7-A9f9R21vMXxHZFNpYNeKFtG8_yji4HS352LGlSQ/edit?pli=1#gid=0"",""1_ACUM!A4:S""),18,FALSE))"),"")</f>
        <v/>
      </c>
      <c r="BE412" s="44" t="str">
        <f ca="1">IFERROR(__xludf.DUMMYFUNCTION("IFERROR(VLOOKUP(E426&amp;F426,IMPORTRANGE(""https://docs.google.com/spreadsheets/d/1Uw7-A9f9R21vMXxHZFNpYNeKFtG8_yji4HS352LGlSQ/edit?pli=1#gid=0"",""1_ACUM!A4:S""),19,FALSE))"),"")</f>
        <v/>
      </c>
      <c r="BF412" s="98" t="str">
        <f ca="1">IFERROR(__xludf.DUMMYFUNCTION("IFERROR(VLOOKUP(F426,IMPORTRANGE(""https://docs.google.com/spreadsheets/d/1Kvs4KS76FHFqLFIZfrDMff4kP08nblUkihrxltoGBjg/edit#gid=934712705"",""ESENCIAL!A6:BG""),5,FALSE))"),"")</f>
        <v/>
      </c>
      <c r="BG412" s="98" t="str">
        <f t="shared" si="17"/>
        <v/>
      </c>
      <c r="BH412" s="99" t="str">
        <f t="shared" si="18"/>
        <v/>
      </c>
      <c r="BI412" s="100" t="str">
        <f ca="1">IFERROR(__xludf.DUMMYFUNCTION("IFERROR(VLOOKUP(F426,IMPORTRANGE(""https://docs.google.com/spreadsheets/d/1Kvs4KS76FHFqLFIZfrDMff4kP08nblUkihrxltoGBjg/edit#gid=934712705"",""ESENCIAL!A6:BG""),2,FALSE))"),"")</f>
        <v/>
      </c>
      <c r="BJ412" s="19" t="str">
        <f t="shared" si="19"/>
        <v/>
      </c>
      <c r="BK412" s="100"/>
      <c r="BL412" s="100"/>
    </row>
    <row r="413" spans="1:64" ht="15">
      <c r="A413" s="5"/>
      <c r="B413" s="101"/>
      <c r="G413" s="5" t="str">
        <f ca="1">IFERROR(__xludf.DUMMYFUNCTION("IFERROR(VLOOKUP(F427,IMPORTRANGE(""https://docs.google.com/spreadsheets/d/1Kvs4KS76FHFqLFIZfrDMff4kP08nblUkihrxltoGBjg/edit#gid=934712705"",""ESENCIAL!A6:BG""),3,FALSE))"),"")</f>
        <v/>
      </c>
      <c r="H413" s="5" t="str">
        <f ca="1">IFERROR(__xludf.DUMMYFUNCTION("IFERROR(VLOOKUP(F427,IMPORTRANGE(""https://docs.google.com/spreadsheets/d/1Kvs4KS76FHFqLFIZfrDMff4kP08nblUkihrxltoGBjg/edit#gid=934712705"",""ESENCIAL!A6:BG""),8,FALSE))"),"")</f>
        <v/>
      </c>
      <c r="L413" s="287"/>
      <c r="U413" s="40"/>
      <c r="AU413" s="41" t="str">
        <f t="shared" si="16"/>
        <v/>
      </c>
      <c r="AV413" s="5" t="str">
        <f ca="1">IFERROR(__xludf.DUMMYFUNCTION("IFERROR(VLOOKUP(E427&amp;F427,IMPORTRANGE(""https://docs.google.com/spreadsheets/d/1Uw7-A9f9R21vMXxHZFNpYNeKFtG8_yji4HS352LGlSQ/edit?pli=1#gid=0"",""1_ACUM!A4:S""),11,FALSE))"),"")</f>
        <v/>
      </c>
      <c r="AW413" s="42" t="str">
        <f ca="1">IFERROR(__xludf.DUMMYFUNCTION("IFERROR(VLOOKUP(F427,IMPORTRANGE(""https://docs.google.com/spreadsheets/d/1Kvs4KS76FHFqLFIZfrDMff4kP08nblUkihrxltoGBjg/edit#gid=934712705"",""ESENCIAL!A6:BG""),15,FALSE))"),"")</f>
        <v/>
      </c>
      <c r="AX413" s="21" t="str">
        <f ca="1">IFERROR(__xludf.DUMMYFUNCTION("IFERROR(VLOOKUP(E427&amp;F427,IMPORTRANGE(""https://docs.google.com/spreadsheets/d/1Uw7-A9f9R21vMXxHZFNpYNeKFtG8_yji4HS352LGlSQ/edit?pli=1#gid=0"",""1_ACUM!A4:S""),12,FALSE))"),"")</f>
        <v/>
      </c>
      <c r="AY413" s="43" t="str">
        <f ca="1">IFERROR(__xludf.DUMMYFUNCTION("IFERROR(VLOOKUP(E427&amp;F427,IMPORTRANGE(""https://docs.google.com/spreadsheets/d/1Uw7-A9f9R21vMXxHZFNpYNeKFtG8_yji4HS352LGlSQ/edit?pli=1#gid=0"",""1_ACUM!A4:S""),13,FALSE))"),"")</f>
        <v/>
      </c>
      <c r="AZ413" s="43" t="str">
        <f ca="1">IFERROR(__xludf.DUMMYFUNCTION("IFERROR(VLOOKUP(E427&amp;F427,IMPORTRANGE(""https://docs.google.com/spreadsheets/d/1Uw7-A9f9R21vMXxHZFNpYNeKFtG8_yji4HS352LGlSQ/edit?pli=1#gid=0"",""1_ACUM!A4:S""),14,FALSE))"),"")</f>
        <v/>
      </c>
      <c r="BA413" s="43" t="str">
        <f ca="1">IFERROR(__xludf.DUMMYFUNCTION("IFERROR(VLOOKUP(E427&amp;F427,IMPORTRANGE(""https://docs.google.com/spreadsheets/d/1Uw7-A9f9R21vMXxHZFNpYNeKFtG8_yji4HS352LGlSQ/edit?pli=1#gid=0"",""1_ACUM!A4:S""),15,FALSE))"),"")</f>
        <v/>
      </c>
      <c r="BB413" s="43" t="str">
        <f ca="1">IFERROR(__xludf.DUMMYFUNCTION("IFERROR(VLOOKUP(E427&amp;F427,IMPORTRANGE(""https://docs.google.com/spreadsheets/d/1Uw7-A9f9R21vMXxHZFNpYNeKFtG8_yji4HS352LGlSQ/edit?pli=1#gid=0"",""1_ACUM!A4:S""),16,FALSE))"),"")</f>
        <v/>
      </c>
      <c r="BC413" s="43" t="str">
        <f ca="1">IFERROR(__xludf.DUMMYFUNCTION("IFERROR(VLOOKUP(E427&amp;F427,IMPORTRANGE(""https://docs.google.com/spreadsheets/d/1Uw7-A9f9R21vMXxHZFNpYNeKFtG8_yji4HS352LGlSQ/edit?pli=1#gid=0"",""1_ACUM!A4:S""),17,FALSE))"),"")</f>
        <v/>
      </c>
      <c r="BD413" s="44" t="str">
        <f ca="1">IFERROR(__xludf.DUMMYFUNCTION("IFERROR(VLOOKUP(E427&amp;F427,IMPORTRANGE(""https://docs.google.com/spreadsheets/d/1Uw7-A9f9R21vMXxHZFNpYNeKFtG8_yji4HS352LGlSQ/edit?pli=1#gid=0"",""1_ACUM!A4:S""),18,FALSE))"),"")</f>
        <v/>
      </c>
      <c r="BE413" s="44" t="str">
        <f ca="1">IFERROR(__xludf.DUMMYFUNCTION("IFERROR(VLOOKUP(E427&amp;F427,IMPORTRANGE(""https://docs.google.com/spreadsheets/d/1Uw7-A9f9R21vMXxHZFNpYNeKFtG8_yji4HS352LGlSQ/edit?pli=1#gid=0"",""1_ACUM!A4:S""),19,FALSE))"),"")</f>
        <v/>
      </c>
      <c r="BF413" s="98" t="str">
        <f ca="1">IFERROR(__xludf.DUMMYFUNCTION("IFERROR(VLOOKUP(F427,IMPORTRANGE(""https://docs.google.com/spreadsheets/d/1Kvs4KS76FHFqLFIZfrDMff4kP08nblUkihrxltoGBjg/edit#gid=934712705"",""ESENCIAL!A6:BG""),5,FALSE))"),"")</f>
        <v/>
      </c>
      <c r="BG413" s="98" t="str">
        <f t="shared" si="17"/>
        <v/>
      </c>
      <c r="BH413" s="99" t="str">
        <f t="shared" si="18"/>
        <v/>
      </c>
      <c r="BI413" s="100" t="str">
        <f ca="1">IFERROR(__xludf.DUMMYFUNCTION("IFERROR(VLOOKUP(F427,IMPORTRANGE(""https://docs.google.com/spreadsheets/d/1Kvs4KS76FHFqLFIZfrDMff4kP08nblUkihrxltoGBjg/edit#gid=934712705"",""ESENCIAL!A6:BG""),2,FALSE))"),"")</f>
        <v/>
      </c>
      <c r="BJ413" s="19" t="str">
        <f t="shared" si="19"/>
        <v/>
      </c>
      <c r="BK413" s="100"/>
      <c r="BL413" s="100"/>
    </row>
    <row r="414" spans="1:64" ht="15">
      <c r="A414" s="5"/>
      <c r="B414" s="101"/>
      <c r="G414" s="5" t="str">
        <f ca="1">IFERROR(__xludf.DUMMYFUNCTION("IFERROR(VLOOKUP(F428,IMPORTRANGE(""https://docs.google.com/spreadsheets/d/1Kvs4KS76FHFqLFIZfrDMff4kP08nblUkihrxltoGBjg/edit#gid=934712705"",""ESENCIAL!A6:BG""),3,FALSE))"),"")</f>
        <v/>
      </c>
      <c r="H414" s="5" t="str">
        <f ca="1">IFERROR(__xludf.DUMMYFUNCTION("IFERROR(VLOOKUP(F428,IMPORTRANGE(""https://docs.google.com/spreadsheets/d/1Kvs4KS76FHFqLFIZfrDMff4kP08nblUkihrxltoGBjg/edit#gid=934712705"",""ESENCIAL!A6:BG""),8,FALSE))"),"")</f>
        <v/>
      </c>
      <c r="L414" s="287"/>
      <c r="U414" s="40"/>
      <c r="AU414" s="41" t="str">
        <f t="shared" si="16"/>
        <v/>
      </c>
      <c r="AV414" s="5" t="str">
        <f ca="1">IFERROR(__xludf.DUMMYFUNCTION("IFERROR(VLOOKUP(E428&amp;F428,IMPORTRANGE(""https://docs.google.com/spreadsheets/d/1Uw7-A9f9R21vMXxHZFNpYNeKFtG8_yji4HS352LGlSQ/edit?pli=1#gid=0"",""1_ACUM!A4:S""),11,FALSE))"),"")</f>
        <v/>
      </c>
      <c r="AW414" s="42" t="str">
        <f ca="1">IFERROR(__xludf.DUMMYFUNCTION("IFERROR(VLOOKUP(F428,IMPORTRANGE(""https://docs.google.com/spreadsheets/d/1Kvs4KS76FHFqLFIZfrDMff4kP08nblUkihrxltoGBjg/edit#gid=934712705"",""ESENCIAL!A6:BG""),15,FALSE))"),"")</f>
        <v/>
      </c>
      <c r="AX414" s="21" t="str">
        <f ca="1">IFERROR(__xludf.DUMMYFUNCTION("IFERROR(VLOOKUP(E428&amp;F428,IMPORTRANGE(""https://docs.google.com/spreadsheets/d/1Uw7-A9f9R21vMXxHZFNpYNeKFtG8_yji4HS352LGlSQ/edit?pli=1#gid=0"",""1_ACUM!A4:S""),12,FALSE))"),"")</f>
        <v/>
      </c>
      <c r="AY414" s="43" t="str">
        <f ca="1">IFERROR(__xludf.DUMMYFUNCTION("IFERROR(VLOOKUP(E428&amp;F428,IMPORTRANGE(""https://docs.google.com/spreadsheets/d/1Uw7-A9f9R21vMXxHZFNpYNeKFtG8_yji4HS352LGlSQ/edit?pli=1#gid=0"",""1_ACUM!A4:S""),13,FALSE))"),"")</f>
        <v/>
      </c>
      <c r="AZ414" s="43" t="str">
        <f ca="1">IFERROR(__xludf.DUMMYFUNCTION("IFERROR(VLOOKUP(E428&amp;F428,IMPORTRANGE(""https://docs.google.com/spreadsheets/d/1Uw7-A9f9R21vMXxHZFNpYNeKFtG8_yji4HS352LGlSQ/edit?pli=1#gid=0"",""1_ACUM!A4:S""),14,FALSE))"),"")</f>
        <v/>
      </c>
      <c r="BA414" s="43" t="str">
        <f ca="1">IFERROR(__xludf.DUMMYFUNCTION("IFERROR(VLOOKUP(E428&amp;F428,IMPORTRANGE(""https://docs.google.com/spreadsheets/d/1Uw7-A9f9R21vMXxHZFNpYNeKFtG8_yji4HS352LGlSQ/edit?pli=1#gid=0"",""1_ACUM!A4:S""),15,FALSE))"),"")</f>
        <v/>
      </c>
      <c r="BB414" s="43" t="str">
        <f ca="1">IFERROR(__xludf.DUMMYFUNCTION("IFERROR(VLOOKUP(E428&amp;F428,IMPORTRANGE(""https://docs.google.com/spreadsheets/d/1Uw7-A9f9R21vMXxHZFNpYNeKFtG8_yji4HS352LGlSQ/edit?pli=1#gid=0"",""1_ACUM!A4:S""),16,FALSE))"),"")</f>
        <v/>
      </c>
      <c r="BC414" s="43" t="str">
        <f ca="1">IFERROR(__xludf.DUMMYFUNCTION("IFERROR(VLOOKUP(E428&amp;F428,IMPORTRANGE(""https://docs.google.com/spreadsheets/d/1Uw7-A9f9R21vMXxHZFNpYNeKFtG8_yji4HS352LGlSQ/edit?pli=1#gid=0"",""1_ACUM!A4:S""),17,FALSE))"),"")</f>
        <v/>
      </c>
      <c r="BD414" s="44" t="str">
        <f ca="1">IFERROR(__xludf.DUMMYFUNCTION("IFERROR(VLOOKUP(E428&amp;F428,IMPORTRANGE(""https://docs.google.com/spreadsheets/d/1Uw7-A9f9R21vMXxHZFNpYNeKFtG8_yji4HS352LGlSQ/edit?pli=1#gid=0"",""1_ACUM!A4:S""),18,FALSE))"),"")</f>
        <v/>
      </c>
      <c r="BE414" s="44" t="str">
        <f ca="1">IFERROR(__xludf.DUMMYFUNCTION("IFERROR(VLOOKUP(E428&amp;F428,IMPORTRANGE(""https://docs.google.com/spreadsheets/d/1Uw7-A9f9R21vMXxHZFNpYNeKFtG8_yji4HS352LGlSQ/edit?pli=1#gid=0"",""1_ACUM!A4:S""),19,FALSE))"),"")</f>
        <v/>
      </c>
      <c r="BF414" s="98" t="str">
        <f ca="1">IFERROR(__xludf.DUMMYFUNCTION("IFERROR(VLOOKUP(F428,IMPORTRANGE(""https://docs.google.com/spreadsheets/d/1Kvs4KS76FHFqLFIZfrDMff4kP08nblUkihrxltoGBjg/edit#gid=934712705"",""ESENCIAL!A6:BG""),5,FALSE))"),"")</f>
        <v/>
      </c>
      <c r="BG414" s="98" t="str">
        <f t="shared" si="17"/>
        <v/>
      </c>
      <c r="BH414" s="99" t="str">
        <f t="shared" si="18"/>
        <v/>
      </c>
      <c r="BI414" s="100" t="str">
        <f ca="1">IFERROR(__xludf.DUMMYFUNCTION("IFERROR(VLOOKUP(F428,IMPORTRANGE(""https://docs.google.com/spreadsheets/d/1Kvs4KS76FHFqLFIZfrDMff4kP08nblUkihrxltoGBjg/edit#gid=934712705"",""ESENCIAL!A6:BG""),2,FALSE))"),"")</f>
        <v/>
      </c>
      <c r="BJ414" s="19" t="str">
        <f t="shared" si="19"/>
        <v/>
      </c>
      <c r="BK414" s="100"/>
      <c r="BL414" s="100"/>
    </row>
    <row r="415" spans="1:64" ht="15">
      <c r="A415" s="5"/>
      <c r="B415" s="101"/>
      <c r="G415" s="5" t="str">
        <f ca="1">IFERROR(__xludf.DUMMYFUNCTION("IFERROR(VLOOKUP(F429,IMPORTRANGE(""https://docs.google.com/spreadsheets/d/1Kvs4KS76FHFqLFIZfrDMff4kP08nblUkihrxltoGBjg/edit#gid=934712705"",""ESENCIAL!A6:BG""),3,FALSE))"),"")</f>
        <v/>
      </c>
      <c r="H415" s="5" t="str">
        <f ca="1">IFERROR(__xludf.DUMMYFUNCTION("IFERROR(VLOOKUP(F429,IMPORTRANGE(""https://docs.google.com/spreadsheets/d/1Kvs4KS76FHFqLFIZfrDMff4kP08nblUkihrxltoGBjg/edit#gid=934712705"",""ESENCIAL!A6:BG""),8,FALSE))"),"")</f>
        <v/>
      </c>
      <c r="L415" s="287"/>
      <c r="U415" s="40"/>
      <c r="AU415" s="41" t="str">
        <f t="shared" si="16"/>
        <v/>
      </c>
      <c r="AV415" s="5" t="str">
        <f ca="1">IFERROR(__xludf.DUMMYFUNCTION("IFERROR(VLOOKUP(E429&amp;F429,IMPORTRANGE(""https://docs.google.com/spreadsheets/d/1Uw7-A9f9R21vMXxHZFNpYNeKFtG8_yji4HS352LGlSQ/edit?pli=1#gid=0"",""1_ACUM!A4:S""),11,FALSE))"),"")</f>
        <v/>
      </c>
      <c r="AW415" s="42" t="str">
        <f ca="1">IFERROR(__xludf.DUMMYFUNCTION("IFERROR(VLOOKUP(F429,IMPORTRANGE(""https://docs.google.com/spreadsheets/d/1Kvs4KS76FHFqLFIZfrDMff4kP08nblUkihrxltoGBjg/edit#gid=934712705"",""ESENCIAL!A6:BG""),15,FALSE))"),"")</f>
        <v/>
      </c>
      <c r="AX415" s="21" t="str">
        <f ca="1">IFERROR(__xludf.DUMMYFUNCTION("IFERROR(VLOOKUP(E429&amp;F429,IMPORTRANGE(""https://docs.google.com/spreadsheets/d/1Uw7-A9f9R21vMXxHZFNpYNeKFtG8_yji4HS352LGlSQ/edit?pli=1#gid=0"",""1_ACUM!A4:S""),12,FALSE))"),"")</f>
        <v/>
      </c>
      <c r="AY415" s="43" t="str">
        <f ca="1">IFERROR(__xludf.DUMMYFUNCTION("IFERROR(VLOOKUP(E429&amp;F429,IMPORTRANGE(""https://docs.google.com/spreadsheets/d/1Uw7-A9f9R21vMXxHZFNpYNeKFtG8_yji4HS352LGlSQ/edit?pli=1#gid=0"",""1_ACUM!A4:S""),13,FALSE))"),"")</f>
        <v/>
      </c>
      <c r="AZ415" s="43" t="str">
        <f ca="1">IFERROR(__xludf.DUMMYFUNCTION("IFERROR(VLOOKUP(E429&amp;F429,IMPORTRANGE(""https://docs.google.com/spreadsheets/d/1Uw7-A9f9R21vMXxHZFNpYNeKFtG8_yji4HS352LGlSQ/edit?pli=1#gid=0"",""1_ACUM!A4:S""),14,FALSE))"),"")</f>
        <v/>
      </c>
      <c r="BA415" s="43" t="str">
        <f ca="1">IFERROR(__xludf.DUMMYFUNCTION("IFERROR(VLOOKUP(E429&amp;F429,IMPORTRANGE(""https://docs.google.com/spreadsheets/d/1Uw7-A9f9R21vMXxHZFNpYNeKFtG8_yji4HS352LGlSQ/edit?pli=1#gid=0"",""1_ACUM!A4:S""),15,FALSE))"),"")</f>
        <v/>
      </c>
      <c r="BB415" s="43" t="str">
        <f ca="1">IFERROR(__xludf.DUMMYFUNCTION("IFERROR(VLOOKUP(E429&amp;F429,IMPORTRANGE(""https://docs.google.com/spreadsheets/d/1Uw7-A9f9R21vMXxHZFNpYNeKFtG8_yji4HS352LGlSQ/edit?pli=1#gid=0"",""1_ACUM!A4:S""),16,FALSE))"),"")</f>
        <v/>
      </c>
      <c r="BC415" s="43" t="str">
        <f ca="1">IFERROR(__xludf.DUMMYFUNCTION("IFERROR(VLOOKUP(E429&amp;F429,IMPORTRANGE(""https://docs.google.com/spreadsheets/d/1Uw7-A9f9R21vMXxHZFNpYNeKFtG8_yji4HS352LGlSQ/edit?pli=1#gid=0"",""1_ACUM!A4:S""),17,FALSE))"),"")</f>
        <v/>
      </c>
      <c r="BD415" s="44" t="str">
        <f ca="1">IFERROR(__xludf.DUMMYFUNCTION("IFERROR(VLOOKUP(E429&amp;F429,IMPORTRANGE(""https://docs.google.com/spreadsheets/d/1Uw7-A9f9R21vMXxHZFNpYNeKFtG8_yji4HS352LGlSQ/edit?pli=1#gid=0"",""1_ACUM!A4:S""),18,FALSE))"),"")</f>
        <v/>
      </c>
      <c r="BE415" s="44" t="str">
        <f ca="1">IFERROR(__xludf.DUMMYFUNCTION("IFERROR(VLOOKUP(E429&amp;F429,IMPORTRANGE(""https://docs.google.com/spreadsheets/d/1Uw7-A9f9R21vMXxHZFNpYNeKFtG8_yji4HS352LGlSQ/edit?pli=1#gid=0"",""1_ACUM!A4:S""),19,FALSE))"),"")</f>
        <v/>
      </c>
      <c r="BF415" s="98" t="str">
        <f ca="1">IFERROR(__xludf.DUMMYFUNCTION("IFERROR(VLOOKUP(F429,IMPORTRANGE(""https://docs.google.com/spreadsheets/d/1Kvs4KS76FHFqLFIZfrDMff4kP08nblUkihrxltoGBjg/edit#gid=934712705"",""ESENCIAL!A6:BG""),5,FALSE))"),"")</f>
        <v/>
      </c>
      <c r="BG415" s="98" t="str">
        <f t="shared" si="17"/>
        <v/>
      </c>
      <c r="BH415" s="99" t="str">
        <f t="shared" si="18"/>
        <v/>
      </c>
      <c r="BI415" s="100" t="str">
        <f ca="1">IFERROR(__xludf.DUMMYFUNCTION("IFERROR(VLOOKUP(F429,IMPORTRANGE(""https://docs.google.com/spreadsheets/d/1Kvs4KS76FHFqLFIZfrDMff4kP08nblUkihrxltoGBjg/edit#gid=934712705"",""ESENCIAL!A6:BG""),2,FALSE))"),"")</f>
        <v/>
      </c>
      <c r="BJ415" s="19" t="str">
        <f t="shared" si="19"/>
        <v/>
      </c>
      <c r="BK415" s="100"/>
      <c r="BL415" s="100"/>
    </row>
    <row r="416" spans="1:64" ht="15">
      <c r="A416" s="5"/>
      <c r="B416" s="101"/>
      <c r="G416" s="5" t="str">
        <f ca="1">IFERROR(__xludf.DUMMYFUNCTION("IFERROR(VLOOKUP(F430,IMPORTRANGE(""https://docs.google.com/spreadsheets/d/1Kvs4KS76FHFqLFIZfrDMff4kP08nblUkihrxltoGBjg/edit#gid=934712705"",""ESENCIAL!A6:BG""),3,FALSE))"),"")</f>
        <v/>
      </c>
      <c r="H416" s="5" t="str">
        <f ca="1">IFERROR(__xludf.DUMMYFUNCTION("IFERROR(VLOOKUP(F430,IMPORTRANGE(""https://docs.google.com/spreadsheets/d/1Kvs4KS76FHFqLFIZfrDMff4kP08nblUkihrxltoGBjg/edit#gid=934712705"",""ESENCIAL!A6:BG""),8,FALSE))"),"")</f>
        <v/>
      </c>
      <c r="L416" s="287"/>
      <c r="U416" s="40"/>
      <c r="AU416" s="41" t="str">
        <f t="shared" si="16"/>
        <v/>
      </c>
      <c r="AV416" s="5" t="str">
        <f ca="1">IFERROR(__xludf.DUMMYFUNCTION("IFERROR(VLOOKUP(E430&amp;F430,IMPORTRANGE(""https://docs.google.com/spreadsheets/d/1Uw7-A9f9R21vMXxHZFNpYNeKFtG8_yji4HS352LGlSQ/edit?pli=1#gid=0"",""1_ACUM!A4:S""),11,FALSE))"),"")</f>
        <v/>
      </c>
      <c r="AW416" s="42" t="str">
        <f ca="1">IFERROR(__xludf.DUMMYFUNCTION("IFERROR(VLOOKUP(F430,IMPORTRANGE(""https://docs.google.com/spreadsheets/d/1Kvs4KS76FHFqLFIZfrDMff4kP08nblUkihrxltoGBjg/edit#gid=934712705"",""ESENCIAL!A6:BG""),15,FALSE))"),"")</f>
        <v/>
      </c>
      <c r="AX416" s="21" t="str">
        <f ca="1">IFERROR(__xludf.DUMMYFUNCTION("IFERROR(VLOOKUP(E430&amp;F430,IMPORTRANGE(""https://docs.google.com/spreadsheets/d/1Uw7-A9f9R21vMXxHZFNpYNeKFtG8_yji4HS352LGlSQ/edit?pli=1#gid=0"",""1_ACUM!A4:S""),12,FALSE))"),"")</f>
        <v/>
      </c>
      <c r="AY416" s="43" t="str">
        <f ca="1">IFERROR(__xludf.DUMMYFUNCTION("IFERROR(VLOOKUP(E430&amp;F430,IMPORTRANGE(""https://docs.google.com/spreadsheets/d/1Uw7-A9f9R21vMXxHZFNpYNeKFtG8_yji4HS352LGlSQ/edit?pli=1#gid=0"",""1_ACUM!A4:S""),13,FALSE))"),"")</f>
        <v/>
      </c>
      <c r="AZ416" s="43" t="str">
        <f ca="1">IFERROR(__xludf.DUMMYFUNCTION("IFERROR(VLOOKUP(E430&amp;F430,IMPORTRANGE(""https://docs.google.com/spreadsheets/d/1Uw7-A9f9R21vMXxHZFNpYNeKFtG8_yji4HS352LGlSQ/edit?pli=1#gid=0"",""1_ACUM!A4:S""),14,FALSE))"),"")</f>
        <v/>
      </c>
      <c r="BA416" s="43" t="str">
        <f ca="1">IFERROR(__xludf.DUMMYFUNCTION("IFERROR(VLOOKUP(E430&amp;F430,IMPORTRANGE(""https://docs.google.com/spreadsheets/d/1Uw7-A9f9R21vMXxHZFNpYNeKFtG8_yji4HS352LGlSQ/edit?pli=1#gid=0"",""1_ACUM!A4:S""),15,FALSE))"),"")</f>
        <v/>
      </c>
      <c r="BB416" s="43" t="str">
        <f ca="1">IFERROR(__xludf.DUMMYFUNCTION("IFERROR(VLOOKUP(E430&amp;F430,IMPORTRANGE(""https://docs.google.com/spreadsheets/d/1Uw7-A9f9R21vMXxHZFNpYNeKFtG8_yji4HS352LGlSQ/edit?pli=1#gid=0"",""1_ACUM!A4:S""),16,FALSE))"),"")</f>
        <v/>
      </c>
      <c r="BC416" s="43" t="str">
        <f ca="1">IFERROR(__xludf.DUMMYFUNCTION("IFERROR(VLOOKUP(E430&amp;F430,IMPORTRANGE(""https://docs.google.com/spreadsheets/d/1Uw7-A9f9R21vMXxHZFNpYNeKFtG8_yji4HS352LGlSQ/edit?pli=1#gid=0"",""1_ACUM!A4:S""),17,FALSE))"),"")</f>
        <v/>
      </c>
      <c r="BD416" s="44" t="str">
        <f ca="1">IFERROR(__xludf.DUMMYFUNCTION("IFERROR(VLOOKUP(E430&amp;F430,IMPORTRANGE(""https://docs.google.com/spreadsheets/d/1Uw7-A9f9R21vMXxHZFNpYNeKFtG8_yji4HS352LGlSQ/edit?pli=1#gid=0"",""1_ACUM!A4:S""),18,FALSE))"),"")</f>
        <v/>
      </c>
      <c r="BE416" s="44" t="str">
        <f ca="1">IFERROR(__xludf.DUMMYFUNCTION("IFERROR(VLOOKUP(E430&amp;F430,IMPORTRANGE(""https://docs.google.com/spreadsheets/d/1Uw7-A9f9R21vMXxHZFNpYNeKFtG8_yji4HS352LGlSQ/edit?pli=1#gid=0"",""1_ACUM!A4:S""),19,FALSE))"),"")</f>
        <v/>
      </c>
      <c r="BF416" s="98" t="str">
        <f ca="1">IFERROR(__xludf.DUMMYFUNCTION("IFERROR(VLOOKUP(F430,IMPORTRANGE(""https://docs.google.com/spreadsheets/d/1Kvs4KS76FHFqLFIZfrDMff4kP08nblUkihrxltoGBjg/edit#gid=934712705"",""ESENCIAL!A6:BG""),5,FALSE))"),"")</f>
        <v/>
      </c>
      <c r="BG416" s="98" t="str">
        <f t="shared" si="17"/>
        <v/>
      </c>
      <c r="BH416" s="99" t="str">
        <f t="shared" si="18"/>
        <v/>
      </c>
      <c r="BI416" s="100" t="str">
        <f ca="1">IFERROR(__xludf.DUMMYFUNCTION("IFERROR(VLOOKUP(F430,IMPORTRANGE(""https://docs.google.com/spreadsheets/d/1Kvs4KS76FHFqLFIZfrDMff4kP08nblUkihrxltoGBjg/edit#gid=934712705"",""ESENCIAL!A6:BG""),2,FALSE))"),"")</f>
        <v/>
      </c>
      <c r="BJ416" s="19" t="str">
        <f t="shared" si="19"/>
        <v/>
      </c>
      <c r="BK416" s="100"/>
      <c r="BL416" s="100"/>
    </row>
    <row r="417" spans="1:64" ht="15">
      <c r="A417" s="5"/>
      <c r="B417" s="101"/>
      <c r="G417" s="5" t="str">
        <f ca="1">IFERROR(__xludf.DUMMYFUNCTION("IFERROR(VLOOKUP(F431,IMPORTRANGE(""https://docs.google.com/spreadsheets/d/1Kvs4KS76FHFqLFIZfrDMff4kP08nblUkihrxltoGBjg/edit#gid=934712705"",""ESENCIAL!A6:BG""),3,FALSE))"),"")</f>
        <v/>
      </c>
      <c r="H417" s="5" t="str">
        <f ca="1">IFERROR(__xludf.DUMMYFUNCTION("IFERROR(VLOOKUP(F431,IMPORTRANGE(""https://docs.google.com/spreadsheets/d/1Kvs4KS76FHFqLFIZfrDMff4kP08nblUkihrxltoGBjg/edit#gid=934712705"",""ESENCIAL!A6:BG""),8,FALSE))"),"")</f>
        <v/>
      </c>
      <c r="L417" s="287"/>
      <c r="U417" s="40"/>
      <c r="AU417" s="41" t="str">
        <f t="shared" si="16"/>
        <v/>
      </c>
      <c r="AV417" s="5" t="str">
        <f ca="1">IFERROR(__xludf.DUMMYFUNCTION("IFERROR(VLOOKUP(E431&amp;F431,IMPORTRANGE(""https://docs.google.com/spreadsheets/d/1Uw7-A9f9R21vMXxHZFNpYNeKFtG8_yji4HS352LGlSQ/edit?pli=1#gid=0"",""1_ACUM!A4:S""),11,FALSE))"),"")</f>
        <v/>
      </c>
      <c r="AW417" s="42" t="str">
        <f ca="1">IFERROR(__xludf.DUMMYFUNCTION("IFERROR(VLOOKUP(F431,IMPORTRANGE(""https://docs.google.com/spreadsheets/d/1Kvs4KS76FHFqLFIZfrDMff4kP08nblUkihrxltoGBjg/edit#gid=934712705"",""ESENCIAL!A6:BG""),15,FALSE))"),"")</f>
        <v/>
      </c>
      <c r="AX417" s="21" t="str">
        <f ca="1">IFERROR(__xludf.DUMMYFUNCTION("IFERROR(VLOOKUP(E431&amp;F431,IMPORTRANGE(""https://docs.google.com/spreadsheets/d/1Uw7-A9f9R21vMXxHZFNpYNeKFtG8_yji4HS352LGlSQ/edit?pli=1#gid=0"",""1_ACUM!A4:S""),12,FALSE))"),"")</f>
        <v/>
      </c>
      <c r="AY417" s="43" t="str">
        <f ca="1">IFERROR(__xludf.DUMMYFUNCTION("IFERROR(VLOOKUP(E431&amp;F431,IMPORTRANGE(""https://docs.google.com/spreadsheets/d/1Uw7-A9f9R21vMXxHZFNpYNeKFtG8_yji4HS352LGlSQ/edit?pli=1#gid=0"",""1_ACUM!A4:S""),13,FALSE))"),"")</f>
        <v/>
      </c>
      <c r="AZ417" s="43" t="str">
        <f ca="1">IFERROR(__xludf.DUMMYFUNCTION("IFERROR(VLOOKUP(E431&amp;F431,IMPORTRANGE(""https://docs.google.com/spreadsheets/d/1Uw7-A9f9R21vMXxHZFNpYNeKFtG8_yji4HS352LGlSQ/edit?pli=1#gid=0"",""1_ACUM!A4:S""),14,FALSE))"),"")</f>
        <v/>
      </c>
      <c r="BA417" s="43" t="str">
        <f ca="1">IFERROR(__xludf.DUMMYFUNCTION("IFERROR(VLOOKUP(E431&amp;F431,IMPORTRANGE(""https://docs.google.com/spreadsheets/d/1Uw7-A9f9R21vMXxHZFNpYNeKFtG8_yji4HS352LGlSQ/edit?pli=1#gid=0"",""1_ACUM!A4:S""),15,FALSE))"),"")</f>
        <v/>
      </c>
      <c r="BB417" s="43" t="str">
        <f ca="1">IFERROR(__xludf.DUMMYFUNCTION("IFERROR(VLOOKUP(E431&amp;F431,IMPORTRANGE(""https://docs.google.com/spreadsheets/d/1Uw7-A9f9R21vMXxHZFNpYNeKFtG8_yji4HS352LGlSQ/edit?pli=1#gid=0"",""1_ACUM!A4:S""),16,FALSE))"),"")</f>
        <v/>
      </c>
      <c r="BC417" s="43" t="str">
        <f ca="1">IFERROR(__xludf.DUMMYFUNCTION("IFERROR(VLOOKUP(E431&amp;F431,IMPORTRANGE(""https://docs.google.com/spreadsheets/d/1Uw7-A9f9R21vMXxHZFNpYNeKFtG8_yji4HS352LGlSQ/edit?pli=1#gid=0"",""1_ACUM!A4:S""),17,FALSE))"),"")</f>
        <v/>
      </c>
      <c r="BD417" s="44" t="str">
        <f ca="1">IFERROR(__xludf.DUMMYFUNCTION("IFERROR(VLOOKUP(E431&amp;F431,IMPORTRANGE(""https://docs.google.com/spreadsheets/d/1Uw7-A9f9R21vMXxHZFNpYNeKFtG8_yji4HS352LGlSQ/edit?pli=1#gid=0"",""1_ACUM!A4:S""),18,FALSE))"),"")</f>
        <v/>
      </c>
      <c r="BE417" s="44" t="str">
        <f ca="1">IFERROR(__xludf.DUMMYFUNCTION("IFERROR(VLOOKUP(E431&amp;F431,IMPORTRANGE(""https://docs.google.com/spreadsheets/d/1Uw7-A9f9R21vMXxHZFNpYNeKFtG8_yji4HS352LGlSQ/edit?pli=1#gid=0"",""1_ACUM!A4:S""),19,FALSE))"),"")</f>
        <v/>
      </c>
      <c r="BF417" s="98" t="str">
        <f ca="1">IFERROR(__xludf.DUMMYFUNCTION("IFERROR(VLOOKUP(F431,IMPORTRANGE(""https://docs.google.com/spreadsheets/d/1Kvs4KS76FHFqLFIZfrDMff4kP08nblUkihrxltoGBjg/edit#gid=934712705"",""ESENCIAL!A6:BG""),5,FALSE))"),"")</f>
        <v/>
      </c>
      <c r="BG417" s="98" t="str">
        <f t="shared" si="17"/>
        <v/>
      </c>
      <c r="BH417" s="99" t="str">
        <f t="shared" si="18"/>
        <v/>
      </c>
      <c r="BI417" s="100" t="str">
        <f ca="1">IFERROR(__xludf.DUMMYFUNCTION("IFERROR(VLOOKUP(F431,IMPORTRANGE(""https://docs.google.com/spreadsheets/d/1Kvs4KS76FHFqLFIZfrDMff4kP08nblUkihrxltoGBjg/edit#gid=934712705"",""ESENCIAL!A6:BG""),2,FALSE))"),"")</f>
        <v/>
      </c>
      <c r="BJ417" s="19" t="str">
        <f t="shared" si="19"/>
        <v/>
      </c>
      <c r="BK417" s="100"/>
      <c r="BL417" s="100"/>
    </row>
    <row r="418" spans="1:64" ht="15">
      <c r="A418" s="5"/>
      <c r="B418" s="101"/>
      <c r="G418" s="5" t="str">
        <f ca="1">IFERROR(__xludf.DUMMYFUNCTION("IFERROR(VLOOKUP(F432,IMPORTRANGE(""https://docs.google.com/spreadsheets/d/1Kvs4KS76FHFqLFIZfrDMff4kP08nblUkihrxltoGBjg/edit#gid=934712705"",""ESENCIAL!A6:BG""),3,FALSE))"),"")</f>
        <v/>
      </c>
      <c r="H418" s="5" t="str">
        <f ca="1">IFERROR(__xludf.DUMMYFUNCTION("IFERROR(VLOOKUP(F432,IMPORTRANGE(""https://docs.google.com/spreadsheets/d/1Kvs4KS76FHFqLFIZfrDMff4kP08nblUkihrxltoGBjg/edit#gid=934712705"",""ESENCIAL!A6:BG""),8,FALSE))"),"")</f>
        <v/>
      </c>
      <c r="L418" s="287"/>
      <c r="U418" s="40"/>
      <c r="AU418" s="41" t="str">
        <f t="shared" si="16"/>
        <v/>
      </c>
      <c r="AV418" s="5" t="str">
        <f ca="1">IFERROR(__xludf.DUMMYFUNCTION("IFERROR(VLOOKUP(E432&amp;F432,IMPORTRANGE(""https://docs.google.com/spreadsheets/d/1Uw7-A9f9R21vMXxHZFNpYNeKFtG8_yji4HS352LGlSQ/edit?pli=1#gid=0"",""1_ACUM!A4:S""),11,FALSE))"),"")</f>
        <v/>
      </c>
      <c r="AW418" s="42" t="str">
        <f ca="1">IFERROR(__xludf.DUMMYFUNCTION("IFERROR(VLOOKUP(F432,IMPORTRANGE(""https://docs.google.com/spreadsheets/d/1Kvs4KS76FHFqLFIZfrDMff4kP08nblUkihrxltoGBjg/edit#gid=934712705"",""ESENCIAL!A6:BG""),15,FALSE))"),"")</f>
        <v/>
      </c>
      <c r="AX418" s="21" t="str">
        <f ca="1">IFERROR(__xludf.DUMMYFUNCTION("IFERROR(VLOOKUP(E432&amp;F432,IMPORTRANGE(""https://docs.google.com/spreadsheets/d/1Uw7-A9f9R21vMXxHZFNpYNeKFtG8_yji4HS352LGlSQ/edit?pli=1#gid=0"",""1_ACUM!A4:S""),12,FALSE))"),"")</f>
        <v/>
      </c>
      <c r="AY418" s="43" t="str">
        <f ca="1">IFERROR(__xludf.DUMMYFUNCTION("IFERROR(VLOOKUP(E432&amp;F432,IMPORTRANGE(""https://docs.google.com/spreadsheets/d/1Uw7-A9f9R21vMXxHZFNpYNeKFtG8_yji4HS352LGlSQ/edit?pli=1#gid=0"",""1_ACUM!A4:S""),13,FALSE))"),"")</f>
        <v/>
      </c>
      <c r="AZ418" s="43" t="str">
        <f ca="1">IFERROR(__xludf.DUMMYFUNCTION("IFERROR(VLOOKUP(E432&amp;F432,IMPORTRANGE(""https://docs.google.com/spreadsheets/d/1Uw7-A9f9R21vMXxHZFNpYNeKFtG8_yji4HS352LGlSQ/edit?pli=1#gid=0"",""1_ACUM!A4:S""),14,FALSE))"),"")</f>
        <v/>
      </c>
      <c r="BA418" s="43" t="str">
        <f ca="1">IFERROR(__xludf.DUMMYFUNCTION("IFERROR(VLOOKUP(E432&amp;F432,IMPORTRANGE(""https://docs.google.com/spreadsheets/d/1Uw7-A9f9R21vMXxHZFNpYNeKFtG8_yji4HS352LGlSQ/edit?pli=1#gid=0"",""1_ACUM!A4:S""),15,FALSE))"),"")</f>
        <v/>
      </c>
      <c r="BB418" s="43" t="str">
        <f ca="1">IFERROR(__xludf.DUMMYFUNCTION("IFERROR(VLOOKUP(E432&amp;F432,IMPORTRANGE(""https://docs.google.com/spreadsheets/d/1Uw7-A9f9R21vMXxHZFNpYNeKFtG8_yji4HS352LGlSQ/edit?pli=1#gid=0"",""1_ACUM!A4:S""),16,FALSE))"),"")</f>
        <v/>
      </c>
      <c r="BC418" s="43" t="str">
        <f ca="1">IFERROR(__xludf.DUMMYFUNCTION("IFERROR(VLOOKUP(E432&amp;F432,IMPORTRANGE(""https://docs.google.com/spreadsheets/d/1Uw7-A9f9R21vMXxHZFNpYNeKFtG8_yji4HS352LGlSQ/edit?pli=1#gid=0"",""1_ACUM!A4:S""),17,FALSE))"),"")</f>
        <v/>
      </c>
      <c r="BD418" s="44" t="str">
        <f ca="1">IFERROR(__xludf.DUMMYFUNCTION("IFERROR(VLOOKUP(E432&amp;F432,IMPORTRANGE(""https://docs.google.com/spreadsheets/d/1Uw7-A9f9R21vMXxHZFNpYNeKFtG8_yji4HS352LGlSQ/edit?pli=1#gid=0"",""1_ACUM!A4:S""),18,FALSE))"),"")</f>
        <v/>
      </c>
      <c r="BE418" s="44" t="str">
        <f ca="1">IFERROR(__xludf.DUMMYFUNCTION("IFERROR(VLOOKUP(E432&amp;F432,IMPORTRANGE(""https://docs.google.com/spreadsheets/d/1Uw7-A9f9R21vMXxHZFNpYNeKFtG8_yji4HS352LGlSQ/edit?pli=1#gid=0"",""1_ACUM!A4:S""),19,FALSE))"),"")</f>
        <v/>
      </c>
      <c r="BF418" s="98" t="str">
        <f ca="1">IFERROR(__xludf.DUMMYFUNCTION("IFERROR(VLOOKUP(F432,IMPORTRANGE(""https://docs.google.com/spreadsheets/d/1Kvs4KS76FHFqLFIZfrDMff4kP08nblUkihrxltoGBjg/edit#gid=934712705"",""ESENCIAL!A6:BG""),5,FALSE))"),"")</f>
        <v/>
      </c>
      <c r="BG418" s="98" t="str">
        <f t="shared" si="17"/>
        <v/>
      </c>
      <c r="BH418" s="99" t="str">
        <f t="shared" si="18"/>
        <v/>
      </c>
      <c r="BI418" s="100" t="str">
        <f ca="1">IFERROR(__xludf.DUMMYFUNCTION("IFERROR(VLOOKUP(F432,IMPORTRANGE(""https://docs.google.com/spreadsheets/d/1Kvs4KS76FHFqLFIZfrDMff4kP08nblUkihrxltoGBjg/edit#gid=934712705"",""ESENCIAL!A6:BG""),2,FALSE))"),"")</f>
        <v/>
      </c>
      <c r="BJ418" s="19" t="str">
        <f t="shared" si="19"/>
        <v/>
      </c>
      <c r="BK418" s="100"/>
      <c r="BL418" s="100"/>
    </row>
    <row r="419" spans="1:64" ht="15">
      <c r="A419" s="5"/>
      <c r="B419" s="101"/>
      <c r="G419" s="5" t="str">
        <f ca="1">IFERROR(__xludf.DUMMYFUNCTION("IFERROR(VLOOKUP(F433,IMPORTRANGE(""https://docs.google.com/spreadsheets/d/1Kvs4KS76FHFqLFIZfrDMff4kP08nblUkihrxltoGBjg/edit#gid=934712705"",""ESENCIAL!A6:BG""),3,FALSE))"),"")</f>
        <v/>
      </c>
      <c r="H419" s="5" t="str">
        <f ca="1">IFERROR(__xludf.DUMMYFUNCTION("IFERROR(VLOOKUP(F433,IMPORTRANGE(""https://docs.google.com/spreadsheets/d/1Kvs4KS76FHFqLFIZfrDMff4kP08nblUkihrxltoGBjg/edit#gid=934712705"",""ESENCIAL!A6:BG""),8,FALSE))"),"")</f>
        <v/>
      </c>
      <c r="L419" s="287"/>
      <c r="U419" s="40"/>
      <c r="AU419" s="41" t="str">
        <f t="shared" si="16"/>
        <v/>
      </c>
      <c r="AV419" s="5" t="str">
        <f ca="1">IFERROR(__xludf.DUMMYFUNCTION("IFERROR(VLOOKUP(E433&amp;F433,IMPORTRANGE(""https://docs.google.com/spreadsheets/d/1Uw7-A9f9R21vMXxHZFNpYNeKFtG8_yji4HS352LGlSQ/edit?pli=1#gid=0"",""1_ACUM!A4:S""),11,FALSE))"),"")</f>
        <v/>
      </c>
      <c r="AW419" s="42" t="str">
        <f ca="1">IFERROR(__xludf.DUMMYFUNCTION("IFERROR(VLOOKUP(F433,IMPORTRANGE(""https://docs.google.com/spreadsheets/d/1Kvs4KS76FHFqLFIZfrDMff4kP08nblUkihrxltoGBjg/edit#gid=934712705"",""ESENCIAL!A6:BG""),15,FALSE))"),"")</f>
        <v/>
      </c>
      <c r="AX419" s="21" t="str">
        <f ca="1">IFERROR(__xludf.DUMMYFUNCTION("IFERROR(VLOOKUP(E433&amp;F433,IMPORTRANGE(""https://docs.google.com/spreadsheets/d/1Uw7-A9f9R21vMXxHZFNpYNeKFtG8_yji4HS352LGlSQ/edit?pli=1#gid=0"",""1_ACUM!A4:S""),12,FALSE))"),"")</f>
        <v/>
      </c>
      <c r="AY419" s="43" t="str">
        <f ca="1">IFERROR(__xludf.DUMMYFUNCTION("IFERROR(VLOOKUP(E433&amp;F433,IMPORTRANGE(""https://docs.google.com/spreadsheets/d/1Uw7-A9f9R21vMXxHZFNpYNeKFtG8_yji4HS352LGlSQ/edit?pli=1#gid=0"",""1_ACUM!A4:S""),13,FALSE))"),"")</f>
        <v/>
      </c>
      <c r="AZ419" s="43" t="str">
        <f ca="1">IFERROR(__xludf.DUMMYFUNCTION("IFERROR(VLOOKUP(E433&amp;F433,IMPORTRANGE(""https://docs.google.com/spreadsheets/d/1Uw7-A9f9R21vMXxHZFNpYNeKFtG8_yji4HS352LGlSQ/edit?pli=1#gid=0"",""1_ACUM!A4:S""),14,FALSE))"),"")</f>
        <v/>
      </c>
      <c r="BA419" s="43" t="str">
        <f ca="1">IFERROR(__xludf.DUMMYFUNCTION("IFERROR(VLOOKUP(E433&amp;F433,IMPORTRANGE(""https://docs.google.com/spreadsheets/d/1Uw7-A9f9R21vMXxHZFNpYNeKFtG8_yji4HS352LGlSQ/edit?pli=1#gid=0"",""1_ACUM!A4:S""),15,FALSE))"),"")</f>
        <v/>
      </c>
      <c r="BB419" s="43" t="str">
        <f ca="1">IFERROR(__xludf.DUMMYFUNCTION("IFERROR(VLOOKUP(E433&amp;F433,IMPORTRANGE(""https://docs.google.com/spreadsheets/d/1Uw7-A9f9R21vMXxHZFNpYNeKFtG8_yji4HS352LGlSQ/edit?pli=1#gid=0"",""1_ACUM!A4:S""),16,FALSE))"),"")</f>
        <v/>
      </c>
      <c r="BC419" s="43" t="str">
        <f ca="1">IFERROR(__xludf.DUMMYFUNCTION("IFERROR(VLOOKUP(E433&amp;F433,IMPORTRANGE(""https://docs.google.com/spreadsheets/d/1Uw7-A9f9R21vMXxHZFNpYNeKFtG8_yji4HS352LGlSQ/edit?pli=1#gid=0"",""1_ACUM!A4:S""),17,FALSE))"),"")</f>
        <v/>
      </c>
      <c r="BD419" s="44" t="str">
        <f ca="1">IFERROR(__xludf.DUMMYFUNCTION("IFERROR(VLOOKUP(E433&amp;F433,IMPORTRANGE(""https://docs.google.com/spreadsheets/d/1Uw7-A9f9R21vMXxHZFNpYNeKFtG8_yji4HS352LGlSQ/edit?pli=1#gid=0"",""1_ACUM!A4:S""),18,FALSE))"),"")</f>
        <v/>
      </c>
      <c r="BE419" s="44" t="str">
        <f ca="1">IFERROR(__xludf.DUMMYFUNCTION("IFERROR(VLOOKUP(E433&amp;F433,IMPORTRANGE(""https://docs.google.com/spreadsheets/d/1Uw7-A9f9R21vMXxHZFNpYNeKFtG8_yji4HS352LGlSQ/edit?pli=1#gid=0"",""1_ACUM!A4:S""),19,FALSE))"),"")</f>
        <v/>
      </c>
      <c r="BF419" s="98" t="str">
        <f ca="1">IFERROR(__xludf.DUMMYFUNCTION("IFERROR(VLOOKUP(F433,IMPORTRANGE(""https://docs.google.com/spreadsheets/d/1Kvs4KS76FHFqLFIZfrDMff4kP08nblUkihrxltoGBjg/edit#gid=934712705"",""ESENCIAL!A6:BG""),5,FALSE))"),"")</f>
        <v/>
      </c>
      <c r="BG419" s="98" t="str">
        <f t="shared" si="17"/>
        <v/>
      </c>
      <c r="BH419" s="99" t="str">
        <f t="shared" si="18"/>
        <v/>
      </c>
      <c r="BI419" s="100" t="str">
        <f ca="1">IFERROR(__xludf.DUMMYFUNCTION("IFERROR(VLOOKUP(F433,IMPORTRANGE(""https://docs.google.com/spreadsheets/d/1Kvs4KS76FHFqLFIZfrDMff4kP08nblUkihrxltoGBjg/edit#gid=934712705"",""ESENCIAL!A6:BG""),2,FALSE))"),"")</f>
        <v/>
      </c>
      <c r="BJ419" s="19" t="str">
        <f t="shared" si="19"/>
        <v/>
      </c>
      <c r="BK419" s="100"/>
      <c r="BL419" s="100"/>
    </row>
    <row r="420" spans="1:64" ht="15">
      <c r="A420" s="5"/>
      <c r="B420" s="101"/>
      <c r="G420" s="5" t="str">
        <f ca="1">IFERROR(__xludf.DUMMYFUNCTION("IFERROR(VLOOKUP(F434,IMPORTRANGE(""https://docs.google.com/spreadsheets/d/1Kvs4KS76FHFqLFIZfrDMff4kP08nblUkihrxltoGBjg/edit#gid=934712705"",""ESENCIAL!A6:BG""),3,FALSE))"),"")</f>
        <v/>
      </c>
      <c r="H420" s="5" t="str">
        <f ca="1">IFERROR(__xludf.DUMMYFUNCTION("IFERROR(VLOOKUP(F434,IMPORTRANGE(""https://docs.google.com/spreadsheets/d/1Kvs4KS76FHFqLFIZfrDMff4kP08nblUkihrxltoGBjg/edit#gid=934712705"",""ESENCIAL!A6:BG""),8,FALSE))"),"")</f>
        <v/>
      </c>
      <c r="L420" s="287"/>
      <c r="U420" s="40"/>
      <c r="AU420" s="41" t="str">
        <f t="shared" si="16"/>
        <v/>
      </c>
      <c r="AV420" s="5" t="str">
        <f ca="1">IFERROR(__xludf.DUMMYFUNCTION("IFERROR(VLOOKUP(E434&amp;F434,IMPORTRANGE(""https://docs.google.com/spreadsheets/d/1Uw7-A9f9R21vMXxHZFNpYNeKFtG8_yji4HS352LGlSQ/edit?pli=1#gid=0"",""1_ACUM!A4:S""),11,FALSE))"),"")</f>
        <v/>
      </c>
      <c r="AW420" s="42" t="str">
        <f ca="1">IFERROR(__xludf.DUMMYFUNCTION("IFERROR(VLOOKUP(F434,IMPORTRANGE(""https://docs.google.com/spreadsheets/d/1Kvs4KS76FHFqLFIZfrDMff4kP08nblUkihrxltoGBjg/edit#gid=934712705"",""ESENCIAL!A6:BG""),15,FALSE))"),"")</f>
        <v/>
      </c>
      <c r="AX420" s="21" t="str">
        <f ca="1">IFERROR(__xludf.DUMMYFUNCTION("IFERROR(VLOOKUP(E434&amp;F434,IMPORTRANGE(""https://docs.google.com/spreadsheets/d/1Uw7-A9f9R21vMXxHZFNpYNeKFtG8_yji4HS352LGlSQ/edit?pli=1#gid=0"",""1_ACUM!A4:S""),12,FALSE))"),"")</f>
        <v/>
      </c>
      <c r="AY420" s="43" t="str">
        <f ca="1">IFERROR(__xludf.DUMMYFUNCTION("IFERROR(VLOOKUP(E434&amp;F434,IMPORTRANGE(""https://docs.google.com/spreadsheets/d/1Uw7-A9f9R21vMXxHZFNpYNeKFtG8_yji4HS352LGlSQ/edit?pli=1#gid=0"",""1_ACUM!A4:S""),13,FALSE))"),"")</f>
        <v/>
      </c>
      <c r="AZ420" s="43" t="str">
        <f ca="1">IFERROR(__xludf.DUMMYFUNCTION("IFERROR(VLOOKUP(E434&amp;F434,IMPORTRANGE(""https://docs.google.com/spreadsheets/d/1Uw7-A9f9R21vMXxHZFNpYNeKFtG8_yji4HS352LGlSQ/edit?pli=1#gid=0"",""1_ACUM!A4:S""),14,FALSE))"),"")</f>
        <v/>
      </c>
      <c r="BA420" s="43" t="str">
        <f ca="1">IFERROR(__xludf.DUMMYFUNCTION("IFERROR(VLOOKUP(E434&amp;F434,IMPORTRANGE(""https://docs.google.com/spreadsheets/d/1Uw7-A9f9R21vMXxHZFNpYNeKFtG8_yji4HS352LGlSQ/edit?pli=1#gid=0"",""1_ACUM!A4:S""),15,FALSE))"),"")</f>
        <v/>
      </c>
      <c r="BB420" s="43" t="str">
        <f ca="1">IFERROR(__xludf.DUMMYFUNCTION("IFERROR(VLOOKUP(E434&amp;F434,IMPORTRANGE(""https://docs.google.com/spreadsheets/d/1Uw7-A9f9R21vMXxHZFNpYNeKFtG8_yji4HS352LGlSQ/edit?pli=1#gid=0"",""1_ACUM!A4:S""),16,FALSE))"),"")</f>
        <v/>
      </c>
      <c r="BC420" s="43" t="str">
        <f ca="1">IFERROR(__xludf.DUMMYFUNCTION("IFERROR(VLOOKUP(E434&amp;F434,IMPORTRANGE(""https://docs.google.com/spreadsheets/d/1Uw7-A9f9R21vMXxHZFNpYNeKFtG8_yji4HS352LGlSQ/edit?pli=1#gid=0"",""1_ACUM!A4:S""),17,FALSE))"),"")</f>
        <v/>
      </c>
      <c r="BD420" s="44" t="str">
        <f ca="1">IFERROR(__xludf.DUMMYFUNCTION("IFERROR(VLOOKUP(E434&amp;F434,IMPORTRANGE(""https://docs.google.com/spreadsheets/d/1Uw7-A9f9R21vMXxHZFNpYNeKFtG8_yji4HS352LGlSQ/edit?pli=1#gid=0"",""1_ACUM!A4:S""),18,FALSE))"),"")</f>
        <v/>
      </c>
      <c r="BE420" s="44" t="str">
        <f ca="1">IFERROR(__xludf.DUMMYFUNCTION("IFERROR(VLOOKUP(E434&amp;F434,IMPORTRANGE(""https://docs.google.com/spreadsheets/d/1Uw7-A9f9R21vMXxHZFNpYNeKFtG8_yji4HS352LGlSQ/edit?pli=1#gid=0"",""1_ACUM!A4:S""),19,FALSE))"),"")</f>
        <v/>
      </c>
      <c r="BF420" s="98" t="str">
        <f ca="1">IFERROR(__xludf.DUMMYFUNCTION("IFERROR(VLOOKUP(F434,IMPORTRANGE(""https://docs.google.com/spreadsheets/d/1Kvs4KS76FHFqLFIZfrDMff4kP08nblUkihrxltoGBjg/edit#gid=934712705"",""ESENCIAL!A6:BG""),5,FALSE))"),"")</f>
        <v/>
      </c>
      <c r="BG420" s="98" t="str">
        <f t="shared" si="17"/>
        <v/>
      </c>
      <c r="BH420" s="99" t="str">
        <f t="shared" si="18"/>
        <v/>
      </c>
      <c r="BI420" s="100" t="str">
        <f ca="1">IFERROR(__xludf.DUMMYFUNCTION("IFERROR(VLOOKUP(F434,IMPORTRANGE(""https://docs.google.com/spreadsheets/d/1Kvs4KS76FHFqLFIZfrDMff4kP08nblUkihrxltoGBjg/edit#gid=934712705"",""ESENCIAL!A6:BG""),2,FALSE))"),"")</f>
        <v/>
      </c>
      <c r="BJ420" s="19" t="str">
        <f t="shared" si="19"/>
        <v/>
      </c>
      <c r="BK420" s="100"/>
      <c r="BL420" s="100"/>
    </row>
    <row r="421" spans="1:64" ht="15">
      <c r="A421" s="5"/>
      <c r="B421" s="101"/>
      <c r="G421" s="5" t="str">
        <f ca="1">IFERROR(__xludf.DUMMYFUNCTION("IFERROR(VLOOKUP(F435,IMPORTRANGE(""https://docs.google.com/spreadsheets/d/1Kvs4KS76FHFqLFIZfrDMff4kP08nblUkihrxltoGBjg/edit#gid=934712705"",""ESENCIAL!A6:BG""),3,FALSE))"),"")</f>
        <v/>
      </c>
      <c r="H421" s="5" t="str">
        <f ca="1">IFERROR(__xludf.DUMMYFUNCTION("IFERROR(VLOOKUP(F435,IMPORTRANGE(""https://docs.google.com/spreadsheets/d/1Kvs4KS76FHFqLFIZfrDMff4kP08nblUkihrxltoGBjg/edit#gid=934712705"",""ESENCIAL!A6:BG""),8,FALSE))"),"")</f>
        <v/>
      </c>
      <c r="L421" s="287"/>
      <c r="U421" s="40"/>
      <c r="AU421" s="41" t="str">
        <f t="shared" si="16"/>
        <v/>
      </c>
      <c r="AV421" s="5" t="str">
        <f ca="1">IFERROR(__xludf.DUMMYFUNCTION("IFERROR(VLOOKUP(E435&amp;F435,IMPORTRANGE(""https://docs.google.com/spreadsheets/d/1Uw7-A9f9R21vMXxHZFNpYNeKFtG8_yji4HS352LGlSQ/edit?pli=1#gid=0"",""1_ACUM!A4:S""),11,FALSE))"),"")</f>
        <v/>
      </c>
      <c r="AW421" s="42" t="str">
        <f ca="1">IFERROR(__xludf.DUMMYFUNCTION("IFERROR(VLOOKUP(F435,IMPORTRANGE(""https://docs.google.com/spreadsheets/d/1Kvs4KS76FHFqLFIZfrDMff4kP08nblUkihrxltoGBjg/edit#gid=934712705"",""ESENCIAL!A6:BG""),15,FALSE))"),"")</f>
        <v/>
      </c>
      <c r="AX421" s="21" t="str">
        <f ca="1">IFERROR(__xludf.DUMMYFUNCTION("IFERROR(VLOOKUP(E435&amp;F435,IMPORTRANGE(""https://docs.google.com/spreadsheets/d/1Uw7-A9f9R21vMXxHZFNpYNeKFtG8_yji4HS352LGlSQ/edit?pli=1#gid=0"",""1_ACUM!A4:S""),12,FALSE))"),"")</f>
        <v/>
      </c>
      <c r="AY421" s="43" t="str">
        <f ca="1">IFERROR(__xludf.DUMMYFUNCTION("IFERROR(VLOOKUP(E435&amp;F435,IMPORTRANGE(""https://docs.google.com/spreadsheets/d/1Uw7-A9f9R21vMXxHZFNpYNeKFtG8_yji4HS352LGlSQ/edit?pli=1#gid=0"",""1_ACUM!A4:S""),13,FALSE))"),"")</f>
        <v/>
      </c>
      <c r="AZ421" s="43" t="str">
        <f ca="1">IFERROR(__xludf.DUMMYFUNCTION("IFERROR(VLOOKUP(E435&amp;F435,IMPORTRANGE(""https://docs.google.com/spreadsheets/d/1Uw7-A9f9R21vMXxHZFNpYNeKFtG8_yji4HS352LGlSQ/edit?pli=1#gid=0"",""1_ACUM!A4:S""),14,FALSE))"),"")</f>
        <v/>
      </c>
      <c r="BA421" s="43" t="str">
        <f ca="1">IFERROR(__xludf.DUMMYFUNCTION("IFERROR(VLOOKUP(E435&amp;F435,IMPORTRANGE(""https://docs.google.com/spreadsheets/d/1Uw7-A9f9R21vMXxHZFNpYNeKFtG8_yji4HS352LGlSQ/edit?pli=1#gid=0"",""1_ACUM!A4:S""),15,FALSE))"),"")</f>
        <v/>
      </c>
      <c r="BB421" s="43" t="str">
        <f ca="1">IFERROR(__xludf.DUMMYFUNCTION("IFERROR(VLOOKUP(E435&amp;F435,IMPORTRANGE(""https://docs.google.com/spreadsheets/d/1Uw7-A9f9R21vMXxHZFNpYNeKFtG8_yji4HS352LGlSQ/edit?pli=1#gid=0"",""1_ACUM!A4:S""),16,FALSE))"),"")</f>
        <v/>
      </c>
      <c r="BC421" s="43" t="str">
        <f ca="1">IFERROR(__xludf.DUMMYFUNCTION("IFERROR(VLOOKUP(E435&amp;F435,IMPORTRANGE(""https://docs.google.com/spreadsheets/d/1Uw7-A9f9R21vMXxHZFNpYNeKFtG8_yji4HS352LGlSQ/edit?pli=1#gid=0"",""1_ACUM!A4:S""),17,FALSE))"),"")</f>
        <v/>
      </c>
      <c r="BD421" s="44" t="str">
        <f ca="1">IFERROR(__xludf.DUMMYFUNCTION("IFERROR(VLOOKUP(E435&amp;F435,IMPORTRANGE(""https://docs.google.com/spreadsheets/d/1Uw7-A9f9R21vMXxHZFNpYNeKFtG8_yji4HS352LGlSQ/edit?pli=1#gid=0"",""1_ACUM!A4:S""),18,FALSE))"),"")</f>
        <v/>
      </c>
      <c r="BE421" s="44" t="str">
        <f ca="1">IFERROR(__xludf.DUMMYFUNCTION("IFERROR(VLOOKUP(E435&amp;F435,IMPORTRANGE(""https://docs.google.com/spreadsheets/d/1Uw7-A9f9R21vMXxHZFNpYNeKFtG8_yji4HS352LGlSQ/edit?pli=1#gid=0"",""1_ACUM!A4:S""),19,FALSE))"),"")</f>
        <v/>
      </c>
      <c r="BF421" s="98" t="str">
        <f ca="1">IFERROR(__xludf.DUMMYFUNCTION("IFERROR(VLOOKUP(F435,IMPORTRANGE(""https://docs.google.com/spreadsheets/d/1Kvs4KS76FHFqLFIZfrDMff4kP08nblUkihrxltoGBjg/edit#gid=934712705"",""ESENCIAL!A6:BG""),5,FALSE))"),"")</f>
        <v/>
      </c>
      <c r="BG421" s="98" t="str">
        <f t="shared" si="17"/>
        <v/>
      </c>
      <c r="BH421" s="99" t="str">
        <f t="shared" si="18"/>
        <v/>
      </c>
      <c r="BI421" s="100" t="str">
        <f ca="1">IFERROR(__xludf.DUMMYFUNCTION("IFERROR(VLOOKUP(F435,IMPORTRANGE(""https://docs.google.com/spreadsheets/d/1Kvs4KS76FHFqLFIZfrDMff4kP08nblUkihrxltoGBjg/edit#gid=934712705"",""ESENCIAL!A6:BG""),2,FALSE))"),"")</f>
        <v/>
      </c>
      <c r="BJ421" s="19" t="str">
        <f t="shared" si="19"/>
        <v/>
      </c>
      <c r="BK421" s="100"/>
      <c r="BL421" s="100"/>
    </row>
    <row r="422" spans="1:64" ht="15">
      <c r="A422" s="5"/>
      <c r="B422" s="101"/>
      <c r="G422" s="5" t="str">
        <f ca="1">IFERROR(__xludf.DUMMYFUNCTION("IFERROR(VLOOKUP(F436,IMPORTRANGE(""https://docs.google.com/spreadsheets/d/1Kvs4KS76FHFqLFIZfrDMff4kP08nblUkihrxltoGBjg/edit#gid=934712705"",""ESENCIAL!A6:BG""),3,FALSE))"),"")</f>
        <v/>
      </c>
      <c r="H422" s="5" t="str">
        <f ca="1">IFERROR(__xludf.DUMMYFUNCTION("IFERROR(VLOOKUP(F436,IMPORTRANGE(""https://docs.google.com/spreadsheets/d/1Kvs4KS76FHFqLFIZfrDMff4kP08nblUkihrxltoGBjg/edit#gid=934712705"",""ESENCIAL!A6:BG""),8,FALSE))"),"")</f>
        <v/>
      </c>
      <c r="L422" s="287"/>
      <c r="U422" s="40"/>
      <c r="AU422" s="41" t="str">
        <f t="shared" si="16"/>
        <v/>
      </c>
      <c r="AV422" s="5" t="str">
        <f ca="1">IFERROR(__xludf.DUMMYFUNCTION("IFERROR(VLOOKUP(E436&amp;F436,IMPORTRANGE(""https://docs.google.com/spreadsheets/d/1Uw7-A9f9R21vMXxHZFNpYNeKFtG8_yji4HS352LGlSQ/edit?pli=1#gid=0"",""1_ACUM!A4:S""),11,FALSE))"),"")</f>
        <v/>
      </c>
      <c r="AW422" s="42" t="str">
        <f ca="1">IFERROR(__xludf.DUMMYFUNCTION("IFERROR(VLOOKUP(F436,IMPORTRANGE(""https://docs.google.com/spreadsheets/d/1Kvs4KS76FHFqLFIZfrDMff4kP08nblUkihrxltoGBjg/edit#gid=934712705"",""ESENCIAL!A6:BG""),15,FALSE))"),"")</f>
        <v/>
      </c>
      <c r="AX422" s="21" t="str">
        <f ca="1">IFERROR(__xludf.DUMMYFUNCTION("IFERROR(VLOOKUP(E436&amp;F436,IMPORTRANGE(""https://docs.google.com/spreadsheets/d/1Uw7-A9f9R21vMXxHZFNpYNeKFtG8_yji4HS352LGlSQ/edit?pli=1#gid=0"",""1_ACUM!A4:S""),12,FALSE))"),"")</f>
        <v/>
      </c>
      <c r="AY422" s="43" t="str">
        <f ca="1">IFERROR(__xludf.DUMMYFUNCTION("IFERROR(VLOOKUP(E436&amp;F436,IMPORTRANGE(""https://docs.google.com/spreadsheets/d/1Uw7-A9f9R21vMXxHZFNpYNeKFtG8_yji4HS352LGlSQ/edit?pli=1#gid=0"",""1_ACUM!A4:S""),13,FALSE))"),"")</f>
        <v/>
      </c>
      <c r="AZ422" s="43" t="str">
        <f ca="1">IFERROR(__xludf.DUMMYFUNCTION("IFERROR(VLOOKUP(E436&amp;F436,IMPORTRANGE(""https://docs.google.com/spreadsheets/d/1Uw7-A9f9R21vMXxHZFNpYNeKFtG8_yji4HS352LGlSQ/edit?pli=1#gid=0"",""1_ACUM!A4:S""),14,FALSE))"),"")</f>
        <v/>
      </c>
      <c r="BA422" s="43" t="str">
        <f ca="1">IFERROR(__xludf.DUMMYFUNCTION("IFERROR(VLOOKUP(E436&amp;F436,IMPORTRANGE(""https://docs.google.com/spreadsheets/d/1Uw7-A9f9R21vMXxHZFNpYNeKFtG8_yji4HS352LGlSQ/edit?pli=1#gid=0"",""1_ACUM!A4:S""),15,FALSE))"),"")</f>
        <v/>
      </c>
      <c r="BB422" s="43" t="str">
        <f ca="1">IFERROR(__xludf.DUMMYFUNCTION("IFERROR(VLOOKUP(E436&amp;F436,IMPORTRANGE(""https://docs.google.com/spreadsheets/d/1Uw7-A9f9R21vMXxHZFNpYNeKFtG8_yji4HS352LGlSQ/edit?pli=1#gid=0"",""1_ACUM!A4:S""),16,FALSE))"),"")</f>
        <v/>
      </c>
      <c r="BC422" s="43" t="str">
        <f ca="1">IFERROR(__xludf.DUMMYFUNCTION("IFERROR(VLOOKUP(E436&amp;F436,IMPORTRANGE(""https://docs.google.com/spreadsheets/d/1Uw7-A9f9R21vMXxHZFNpYNeKFtG8_yji4HS352LGlSQ/edit?pli=1#gid=0"",""1_ACUM!A4:S""),17,FALSE))"),"")</f>
        <v/>
      </c>
      <c r="BD422" s="44" t="str">
        <f ca="1">IFERROR(__xludf.DUMMYFUNCTION("IFERROR(VLOOKUP(E436&amp;F436,IMPORTRANGE(""https://docs.google.com/spreadsheets/d/1Uw7-A9f9R21vMXxHZFNpYNeKFtG8_yji4HS352LGlSQ/edit?pli=1#gid=0"",""1_ACUM!A4:S""),18,FALSE))"),"")</f>
        <v/>
      </c>
      <c r="BE422" s="44" t="str">
        <f ca="1">IFERROR(__xludf.DUMMYFUNCTION("IFERROR(VLOOKUP(E436&amp;F436,IMPORTRANGE(""https://docs.google.com/spreadsheets/d/1Uw7-A9f9R21vMXxHZFNpYNeKFtG8_yji4HS352LGlSQ/edit?pli=1#gid=0"",""1_ACUM!A4:S""),19,FALSE))"),"")</f>
        <v/>
      </c>
      <c r="BF422" s="98" t="str">
        <f ca="1">IFERROR(__xludf.DUMMYFUNCTION("IFERROR(VLOOKUP(F436,IMPORTRANGE(""https://docs.google.com/spreadsheets/d/1Kvs4KS76FHFqLFIZfrDMff4kP08nblUkihrxltoGBjg/edit#gid=934712705"",""ESENCIAL!A6:BG""),5,FALSE))"),"")</f>
        <v/>
      </c>
      <c r="BG422" s="98" t="str">
        <f t="shared" si="17"/>
        <v/>
      </c>
      <c r="BH422" s="99" t="str">
        <f t="shared" si="18"/>
        <v/>
      </c>
      <c r="BI422" s="100" t="str">
        <f ca="1">IFERROR(__xludf.DUMMYFUNCTION("IFERROR(VLOOKUP(F436,IMPORTRANGE(""https://docs.google.com/spreadsheets/d/1Kvs4KS76FHFqLFIZfrDMff4kP08nblUkihrxltoGBjg/edit#gid=934712705"",""ESENCIAL!A6:BG""),2,FALSE))"),"")</f>
        <v/>
      </c>
      <c r="BJ422" s="19" t="str">
        <f t="shared" si="19"/>
        <v/>
      </c>
      <c r="BK422" s="100"/>
      <c r="BL422" s="100"/>
    </row>
    <row r="423" spans="1:64" ht="15">
      <c r="A423" s="5"/>
      <c r="B423" s="5"/>
      <c r="G423" s="5" t="str">
        <f ca="1">IFERROR(__xludf.DUMMYFUNCTION("IFERROR(VLOOKUP(F437,IMPORTRANGE(""https://docs.google.com/spreadsheets/d/1Kvs4KS76FHFqLFIZfrDMff4kP08nblUkihrxltoGBjg/edit#gid=934712705"",""ESENCIAL!A6:BG""),3,FALSE))"),"")</f>
        <v/>
      </c>
      <c r="H423" s="5" t="str">
        <f ca="1">IFERROR(__xludf.DUMMYFUNCTION("IFERROR(VLOOKUP(F437,IMPORTRANGE(""https://docs.google.com/spreadsheets/d/1Kvs4KS76FHFqLFIZfrDMff4kP08nblUkihrxltoGBjg/edit#gid=934712705"",""ESENCIAL!A6:BG""),8,FALSE))"),"")</f>
        <v/>
      </c>
      <c r="L423" s="287"/>
      <c r="U423" s="40"/>
      <c r="AU423" s="41" t="str">
        <f t="shared" si="16"/>
        <v/>
      </c>
      <c r="AV423" s="5" t="str">
        <f ca="1">IFERROR(__xludf.DUMMYFUNCTION("IFERROR(VLOOKUP(E437&amp;F437,IMPORTRANGE(""https://docs.google.com/spreadsheets/d/1Uw7-A9f9R21vMXxHZFNpYNeKFtG8_yji4HS352LGlSQ/edit?pli=1#gid=0"",""1_ACUM!A4:S""),11,FALSE))"),"")</f>
        <v/>
      </c>
      <c r="AW423" s="42" t="str">
        <f ca="1">IFERROR(__xludf.DUMMYFUNCTION("IFERROR(VLOOKUP(F437,IMPORTRANGE(""https://docs.google.com/spreadsheets/d/1Kvs4KS76FHFqLFIZfrDMff4kP08nblUkihrxltoGBjg/edit#gid=934712705"",""ESENCIAL!A6:BG""),15,FALSE))"),"")</f>
        <v/>
      </c>
      <c r="AX423" s="21" t="str">
        <f ca="1">IFERROR(__xludf.DUMMYFUNCTION("IFERROR(VLOOKUP(E437&amp;F437,IMPORTRANGE(""https://docs.google.com/spreadsheets/d/1Uw7-A9f9R21vMXxHZFNpYNeKFtG8_yji4HS352LGlSQ/edit?pli=1#gid=0"",""1_ACUM!A4:S""),12,FALSE))"),"")</f>
        <v/>
      </c>
      <c r="AY423" s="43" t="str">
        <f ca="1">IFERROR(__xludf.DUMMYFUNCTION("IFERROR(VLOOKUP(E437&amp;F437,IMPORTRANGE(""https://docs.google.com/spreadsheets/d/1Uw7-A9f9R21vMXxHZFNpYNeKFtG8_yji4HS352LGlSQ/edit?pli=1#gid=0"",""1_ACUM!A4:S""),13,FALSE))"),"")</f>
        <v/>
      </c>
      <c r="AZ423" s="43" t="str">
        <f ca="1">IFERROR(__xludf.DUMMYFUNCTION("IFERROR(VLOOKUP(E437&amp;F437,IMPORTRANGE(""https://docs.google.com/spreadsheets/d/1Uw7-A9f9R21vMXxHZFNpYNeKFtG8_yji4HS352LGlSQ/edit?pli=1#gid=0"",""1_ACUM!A4:S""),14,FALSE))"),"")</f>
        <v/>
      </c>
      <c r="BA423" s="43" t="str">
        <f ca="1">IFERROR(__xludf.DUMMYFUNCTION("IFERROR(VLOOKUP(E437&amp;F437,IMPORTRANGE(""https://docs.google.com/spreadsheets/d/1Uw7-A9f9R21vMXxHZFNpYNeKFtG8_yji4HS352LGlSQ/edit?pli=1#gid=0"",""1_ACUM!A4:S""),15,FALSE))"),"")</f>
        <v/>
      </c>
      <c r="BB423" s="43" t="str">
        <f ca="1">IFERROR(__xludf.DUMMYFUNCTION("IFERROR(VLOOKUP(E437&amp;F437,IMPORTRANGE(""https://docs.google.com/spreadsheets/d/1Uw7-A9f9R21vMXxHZFNpYNeKFtG8_yji4HS352LGlSQ/edit?pli=1#gid=0"",""1_ACUM!A4:S""),16,FALSE))"),"")</f>
        <v/>
      </c>
      <c r="BC423" s="43" t="str">
        <f ca="1">IFERROR(__xludf.DUMMYFUNCTION("IFERROR(VLOOKUP(E437&amp;F437,IMPORTRANGE(""https://docs.google.com/spreadsheets/d/1Uw7-A9f9R21vMXxHZFNpYNeKFtG8_yji4HS352LGlSQ/edit?pli=1#gid=0"",""1_ACUM!A4:S""),17,FALSE))"),"")</f>
        <v/>
      </c>
      <c r="BD423" s="44" t="str">
        <f ca="1">IFERROR(__xludf.DUMMYFUNCTION("IFERROR(VLOOKUP(E437&amp;F437,IMPORTRANGE(""https://docs.google.com/spreadsheets/d/1Uw7-A9f9R21vMXxHZFNpYNeKFtG8_yji4HS352LGlSQ/edit?pli=1#gid=0"",""1_ACUM!A4:S""),18,FALSE))"),"")</f>
        <v/>
      </c>
      <c r="BE423" s="44" t="str">
        <f ca="1">IFERROR(__xludf.DUMMYFUNCTION("IFERROR(VLOOKUP(E437&amp;F437,IMPORTRANGE(""https://docs.google.com/spreadsheets/d/1Uw7-A9f9R21vMXxHZFNpYNeKFtG8_yji4HS352LGlSQ/edit?pli=1#gid=0"",""1_ACUM!A4:S""),19,FALSE))"),"")</f>
        <v/>
      </c>
      <c r="BF423" s="98" t="str">
        <f ca="1">IFERROR(__xludf.DUMMYFUNCTION("IFERROR(VLOOKUP(F437,IMPORTRANGE(""https://docs.google.com/spreadsheets/d/1Kvs4KS76FHFqLFIZfrDMff4kP08nblUkihrxltoGBjg/edit#gid=934712705"",""ESENCIAL!A6:BG""),5,FALSE))"),"")</f>
        <v/>
      </c>
      <c r="BG423" s="98" t="str">
        <f t="shared" si="17"/>
        <v/>
      </c>
      <c r="BH423" s="99" t="str">
        <f t="shared" si="18"/>
        <v/>
      </c>
      <c r="BI423" s="100" t="str">
        <f ca="1">IFERROR(__xludf.DUMMYFUNCTION("IFERROR(VLOOKUP(F437,IMPORTRANGE(""https://docs.google.com/spreadsheets/d/1Kvs4KS76FHFqLFIZfrDMff4kP08nblUkihrxltoGBjg/edit#gid=934712705"",""ESENCIAL!A6:BG""),2,FALSE))"),"")</f>
        <v/>
      </c>
      <c r="BJ423" s="19" t="str">
        <f t="shared" si="19"/>
        <v/>
      </c>
      <c r="BK423" s="100"/>
      <c r="BL423" s="100"/>
    </row>
    <row r="424" spans="1:64" ht="15">
      <c r="A424" s="5"/>
      <c r="B424" s="5"/>
      <c r="G424" s="5" t="str">
        <f ca="1">IFERROR(__xludf.DUMMYFUNCTION("IFERROR(VLOOKUP(F438,IMPORTRANGE(""https://docs.google.com/spreadsheets/d/1Kvs4KS76FHFqLFIZfrDMff4kP08nblUkihrxltoGBjg/edit#gid=934712705"",""ESENCIAL!A6:BG""),3,FALSE))"),"")</f>
        <v/>
      </c>
      <c r="H424" s="5" t="str">
        <f ca="1">IFERROR(__xludf.DUMMYFUNCTION("IFERROR(VLOOKUP(F438,IMPORTRANGE(""https://docs.google.com/spreadsheets/d/1Kvs4KS76FHFqLFIZfrDMff4kP08nblUkihrxltoGBjg/edit#gid=934712705"",""ESENCIAL!A6:BG""),8,FALSE))"),"")</f>
        <v/>
      </c>
      <c r="L424" s="287"/>
      <c r="U424" s="40"/>
      <c r="AU424" s="41" t="str">
        <f t="shared" si="16"/>
        <v/>
      </c>
      <c r="AV424" s="5" t="str">
        <f ca="1">IFERROR(__xludf.DUMMYFUNCTION("IFERROR(VLOOKUP(E438&amp;F438,IMPORTRANGE(""https://docs.google.com/spreadsheets/d/1Uw7-A9f9R21vMXxHZFNpYNeKFtG8_yji4HS352LGlSQ/edit?pli=1#gid=0"",""1_ACUM!A4:S""),11,FALSE))"),"")</f>
        <v/>
      </c>
      <c r="AW424" s="42" t="str">
        <f ca="1">IFERROR(__xludf.DUMMYFUNCTION("IFERROR(VLOOKUP(F438,IMPORTRANGE(""https://docs.google.com/spreadsheets/d/1Kvs4KS76FHFqLFIZfrDMff4kP08nblUkihrxltoGBjg/edit#gid=934712705"",""ESENCIAL!A6:BG""),15,FALSE))"),"")</f>
        <v/>
      </c>
      <c r="AX424" s="21" t="str">
        <f ca="1">IFERROR(__xludf.DUMMYFUNCTION("IFERROR(VLOOKUP(E438&amp;F438,IMPORTRANGE(""https://docs.google.com/spreadsheets/d/1Uw7-A9f9R21vMXxHZFNpYNeKFtG8_yji4HS352LGlSQ/edit?pli=1#gid=0"",""1_ACUM!A4:S""),12,FALSE))"),"")</f>
        <v/>
      </c>
      <c r="AY424" s="43" t="str">
        <f ca="1">IFERROR(__xludf.DUMMYFUNCTION("IFERROR(VLOOKUP(E438&amp;F438,IMPORTRANGE(""https://docs.google.com/spreadsheets/d/1Uw7-A9f9R21vMXxHZFNpYNeKFtG8_yji4HS352LGlSQ/edit?pli=1#gid=0"",""1_ACUM!A4:S""),13,FALSE))"),"")</f>
        <v/>
      </c>
      <c r="AZ424" s="43" t="str">
        <f ca="1">IFERROR(__xludf.DUMMYFUNCTION("IFERROR(VLOOKUP(E438&amp;F438,IMPORTRANGE(""https://docs.google.com/spreadsheets/d/1Uw7-A9f9R21vMXxHZFNpYNeKFtG8_yji4HS352LGlSQ/edit?pli=1#gid=0"",""1_ACUM!A4:S""),14,FALSE))"),"")</f>
        <v/>
      </c>
      <c r="BA424" s="43" t="str">
        <f ca="1">IFERROR(__xludf.DUMMYFUNCTION("IFERROR(VLOOKUP(E438&amp;F438,IMPORTRANGE(""https://docs.google.com/spreadsheets/d/1Uw7-A9f9R21vMXxHZFNpYNeKFtG8_yji4HS352LGlSQ/edit?pli=1#gid=0"",""1_ACUM!A4:S""),15,FALSE))"),"")</f>
        <v/>
      </c>
      <c r="BB424" s="43" t="str">
        <f ca="1">IFERROR(__xludf.DUMMYFUNCTION("IFERROR(VLOOKUP(E438&amp;F438,IMPORTRANGE(""https://docs.google.com/spreadsheets/d/1Uw7-A9f9R21vMXxHZFNpYNeKFtG8_yji4HS352LGlSQ/edit?pli=1#gid=0"",""1_ACUM!A4:S""),16,FALSE))"),"")</f>
        <v/>
      </c>
      <c r="BC424" s="43" t="str">
        <f ca="1">IFERROR(__xludf.DUMMYFUNCTION("IFERROR(VLOOKUP(E438&amp;F438,IMPORTRANGE(""https://docs.google.com/spreadsheets/d/1Uw7-A9f9R21vMXxHZFNpYNeKFtG8_yji4HS352LGlSQ/edit?pli=1#gid=0"",""1_ACUM!A4:S""),17,FALSE))"),"")</f>
        <v/>
      </c>
      <c r="BD424" s="44" t="str">
        <f ca="1">IFERROR(__xludf.DUMMYFUNCTION("IFERROR(VLOOKUP(E438&amp;F438,IMPORTRANGE(""https://docs.google.com/spreadsheets/d/1Uw7-A9f9R21vMXxHZFNpYNeKFtG8_yji4HS352LGlSQ/edit?pli=1#gid=0"",""1_ACUM!A4:S""),18,FALSE))"),"")</f>
        <v/>
      </c>
      <c r="BE424" s="44" t="str">
        <f ca="1">IFERROR(__xludf.DUMMYFUNCTION("IFERROR(VLOOKUP(E438&amp;F438,IMPORTRANGE(""https://docs.google.com/spreadsheets/d/1Uw7-A9f9R21vMXxHZFNpYNeKFtG8_yji4HS352LGlSQ/edit?pli=1#gid=0"",""1_ACUM!A4:S""),19,FALSE))"),"")</f>
        <v/>
      </c>
      <c r="BF424" s="98" t="str">
        <f ca="1">IFERROR(__xludf.DUMMYFUNCTION("IFERROR(VLOOKUP(F438,IMPORTRANGE(""https://docs.google.com/spreadsheets/d/1Kvs4KS76FHFqLFIZfrDMff4kP08nblUkihrxltoGBjg/edit#gid=934712705"",""ESENCIAL!A6:BG""),5,FALSE))"),"")</f>
        <v/>
      </c>
      <c r="BG424" s="98" t="str">
        <f t="shared" si="17"/>
        <v/>
      </c>
      <c r="BH424" s="99" t="str">
        <f t="shared" si="18"/>
        <v/>
      </c>
      <c r="BI424" s="100" t="str">
        <f ca="1">IFERROR(__xludf.DUMMYFUNCTION("IFERROR(VLOOKUP(F438,IMPORTRANGE(""https://docs.google.com/spreadsheets/d/1Kvs4KS76FHFqLFIZfrDMff4kP08nblUkihrxltoGBjg/edit#gid=934712705"",""ESENCIAL!A6:BG""),2,FALSE))"),"")</f>
        <v/>
      </c>
      <c r="BJ424" s="19" t="str">
        <f t="shared" si="19"/>
        <v/>
      </c>
      <c r="BK424" s="100"/>
      <c r="BL424" s="100"/>
    </row>
    <row r="425" spans="1:64" ht="15">
      <c r="A425" s="5"/>
      <c r="B425" s="5"/>
      <c r="G425" s="5" t="str">
        <f ca="1">IFERROR(__xludf.DUMMYFUNCTION("IFERROR(VLOOKUP(F439,IMPORTRANGE(""https://docs.google.com/spreadsheets/d/1Kvs4KS76FHFqLFIZfrDMff4kP08nblUkihrxltoGBjg/edit#gid=934712705"",""ESENCIAL!A6:BG""),3,FALSE))"),"")</f>
        <v/>
      </c>
      <c r="H425" s="5" t="str">
        <f ca="1">IFERROR(__xludf.DUMMYFUNCTION("IFERROR(VLOOKUP(F439,IMPORTRANGE(""https://docs.google.com/spreadsheets/d/1Kvs4KS76FHFqLFIZfrDMff4kP08nblUkihrxltoGBjg/edit#gid=934712705"",""ESENCIAL!A6:BG""),8,FALSE))"),"")</f>
        <v/>
      </c>
      <c r="L425" s="287"/>
      <c r="U425" s="40"/>
      <c r="AU425" s="41" t="str">
        <f t="shared" si="16"/>
        <v/>
      </c>
      <c r="AV425" s="5" t="str">
        <f ca="1">IFERROR(__xludf.DUMMYFUNCTION("IFERROR(VLOOKUP(E439&amp;F439,IMPORTRANGE(""https://docs.google.com/spreadsheets/d/1Uw7-A9f9R21vMXxHZFNpYNeKFtG8_yji4HS352LGlSQ/edit?pli=1#gid=0"",""1_ACUM!A4:S""),11,FALSE))"),"")</f>
        <v/>
      </c>
      <c r="AW425" s="42" t="str">
        <f ca="1">IFERROR(__xludf.DUMMYFUNCTION("IFERROR(VLOOKUP(F439,IMPORTRANGE(""https://docs.google.com/spreadsheets/d/1Kvs4KS76FHFqLFIZfrDMff4kP08nblUkihrxltoGBjg/edit#gid=934712705"",""ESENCIAL!A6:BG""),15,FALSE))"),"")</f>
        <v/>
      </c>
      <c r="AX425" s="21" t="str">
        <f ca="1">IFERROR(__xludf.DUMMYFUNCTION("IFERROR(VLOOKUP(E439&amp;F439,IMPORTRANGE(""https://docs.google.com/spreadsheets/d/1Uw7-A9f9R21vMXxHZFNpYNeKFtG8_yji4HS352LGlSQ/edit?pli=1#gid=0"",""1_ACUM!A4:S""),12,FALSE))"),"")</f>
        <v/>
      </c>
      <c r="AY425" s="43" t="str">
        <f ca="1">IFERROR(__xludf.DUMMYFUNCTION("IFERROR(VLOOKUP(E439&amp;F439,IMPORTRANGE(""https://docs.google.com/spreadsheets/d/1Uw7-A9f9R21vMXxHZFNpYNeKFtG8_yji4HS352LGlSQ/edit?pli=1#gid=0"",""1_ACUM!A4:S""),13,FALSE))"),"")</f>
        <v/>
      </c>
      <c r="AZ425" s="43" t="str">
        <f ca="1">IFERROR(__xludf.DUMMYFUNCTION("IFERROR(VLOOKUP(E439&amp;F439,IMPORTRANGE(""https://docs.google.com/spreadsheets/d/1Uw7-A9f9R21vMXxHZFNpYNeKFtG8_yji4HS352LGlSQ/edit?pli=1#gid=0"",""1_ACUM!A4:S""),14,FALSE))"),"")</f>
        <v/>
      </c>
      <c r="BA425" s="43" t="str">
        <f ca="1">IFERROR(__xludf.DUMMYFUNCTION("IFERROR(VLOOKUP(E439&amp;F439,IMPORTRANGE(""https://docs.google.com/spreadsheets/d/1Uw7-A9f9R21vMXxHZFNpYNeKFtG8_yji4HS352LGlSQ/edit?pli=1#gid=0"",""1_ACUM!A4:S""),15,FALSE))"),"")</f>
        <v/>
      </c>
      <c r="BB425" s="43" t="str">
        <f ca="1">IFERROR(__xludf.DUMMYFUNCTION("IFERROR(VLOOKUP(E439&amp;F439,IMPORTRANGE(""https://docs.google.com/spreadsheets/d/1Uw7-A9f9R21vMXxHZFNpYNeKFtG8_yji4HS352LGlSQ/edit?pli=1#gid=0"",""1_ACUM!A4:S""),16,FALSE))"),"")</f>
        <v/>
      </c>
      <c r="BC425" s="43" t="str">
        <f ca="1">IFERROR(__xludf.DUMMYFUNCTION("IFERROR(VLOOKUP(E439&amp;F439,IMPORTRANGE(""https://docs.google.com/spreadsheets/d/1Uw7-A9f9R21vMXxHZFNpYNeKFtG8_yji4HS352LGlSQ/edit?pli=1#gid=0"",""1_ACUM!A4:S""),17,FALSE))"),"")</f>
        <v/>
      </c>
      <c r="BD425" s="44" t="str">
        <f ca="1">IFERROR(__xludf.DUMMYFUNCTION("IFERROR(VLOOKUP(E439&amp;F439,IMPORTRANGE(""https://docs.google.com/spreadsheets/d/1Uw7-A9f9R21vMXxHZFNpYNeKFtG8_yji4HS352LGlSQ/edit?pli=1#gid=0"",""1_ACUM!A4:S""),18,FALSE))"),"")</f>
        <v/>
      </c>
      <c r="BE425" s="44" t="str">
        <f ca="1">IFERROR(__xludf.DUMMYFUNCTION("IFERROR(VLOOKUP(E439&amp;F439,IMPORTRANGE(""https://docs.google.com/spreadsheets/d/1Uw7-A9f9R21vMXxHZFNpYNeKFtG8_yji4HS352LGlSQ/edit?pli=1#gid=0"",""1_ACUM!A4:S""),19,FALSE))"),"")</f>
        <v/>
      </c>
      <c r="BF425" s="98" t="str">
        <f ca="1">IFERROR(__xludf.DUMMYFUNCTION("IFERROR(VLOOKUP(F439,IMPORTRANGE(""https://docs.google.com/spreadsheets/d/1Kvs4KS76FHFqLFIZfrDMff4kP08nblUkihrxltoGBjg/edit#gid=934712705"",""ESENCIAL!A6:BG""),5,FALSE))"),"")</f>
        <v/>
      </c>
      <c r="BG425" s="98" t="str">
        <f t="shared" si="17"/>
        <v/>
      </c>
      <c r="BH425" s="99" t="str">
        <f t="shared" si="18"/>
        <v/>
      </c>
      <c r="BI425" s="100" t="str">
        <f ca="1">IFERROR(__xludf.DUMMYFUNCTION("IFERROR(VLOOKUP(F439,IMPORTRANGE(""https://docs.google.com/spreadsheets/d/1Kvs4KS76FHFqLFIZfrDMff4kP08nblUkihrxltoGBjg/edit#gid=934712705"",""ESENCIAL!A6:BG""),2,FALSE))"),"")</f>
        <v/>
      </c>
      <c r="BJ425" s="19" t="str">
        <f t="shared" si="19"/>
        <v/>
      </c>
      <c r="BK425" s="100"/>
      <c r="BL425" s="100"/>
    </row>
    <row r="426" spans="1:64" ht="15">
      <c r="A426" s="5"/>
      <c r="B426" s="5"/>
      <c r="G426" s="5" t="str">
        <f ca="1">IFERROR(__xludf.DUMMYFUNCTION("IFERROR(VLOOKUP(F440,IMPORTRANGE(""https://docs.google.com/spreadsheets/d/1Kvs4KS76FHFqLFIZfrDMff4kP08nblUkihrxltoGBjg/edit#gid=934712705"",""ESENCIAL!A6:BG""),3,FALSE))"),"")</f>
        <v/>
      </c>
      <c r="H426" s="5" t="str">
        <f ca="1">IFERROR(__xludf.DUMMYFUNCTION("IFERROR(VLOOKUP(F440,IMPORTRANGE(""https://docs.google.com/spreadsheets/d/1Kvs4KS76FHFqLFIZfrDMff4kP08nblUkihrxltoGBjg/edit#gid=934712705"",""ESENCIAL!A6:BG""),8,FALSE))"),"")</f>
        <v/>
      </c>
      <c r="L426" s="287"/>
      <c r="U426" s="40"/>
      <c r="AU426" s="41" t="str">
        <f t="shared" si="16"/>
        <v/>
      </c>
      <c r="AV426" s="5" t="str">
        <f ca="1">IFERROR(__xludf.DUMMYFUNCTION("IFERROR(VLOOKUP(E440&amp;F440,IMPORTRANGE(""https://docs.google.com/spreadsheets/d/1Uw7-A9f9R21vMXxHZFNpYNeKFtG8_yji4HS352LGlSQ/edit?pli=1#gid=0"",""1_ACUM!A4:S""),11,FALSE))"),"")</f>
        <v/>
      </c>
      <c r="AW426" s="42" t="str">
        <f ca="1">IFERROR(__xludf.DUMMYFUNCTION("IFERROR(VLOOKUP(F440,IMPORTRANGE(""https://docs.google.com/spreadsheets/d/1Kvs4KS76FHFqLFIZfrDMff4kP08nblUkihrxltoGBjg/edit#gid=934712705"",""ESENCIAL!A6:BG""),15,FALSE))"),"")</f>
        <v/>
      </c>
      <c r="AX426" s="21" t="str">
        <f ca="1">IFERROR(__xludf.DUMMYFUNCTION("IFERROR(VLOOKUP(E440&amp;F440,IMPORTRANGE(""https://docs.google.com/spreadsheets/d/1Uw7-A9f9R21vMXxHZFNpYNeKFtG8_yji4HS352LGlSQ/edit?pli=1#gid=0"",""1_ACUM!A4:S""),12,FALSE))"),"")</f>
        <v/>
      </c>
      <c r="AY426" s="43" t="str">
        <f ca="1">IFERROR(__xludf.DUMMYFUNCTION("IFERROR(VLOOKUP(E440&amp;F440,IMPORTRANGE(""https://docs.google.com/spreadsheets/d/1Uw7-A9f9R21vMXxHZFNpYNeKFtG8_yji4HS352LGlSQ/edit?pli=1#gid=0"",""1_ACUM!A4:S""),13,FALSE))"),"")</f>
        <v/>
      </c>
      <c r="AZ426" s="43" t="str">
        <f ca="1">IFERROR(__xludf.DUMMYFUNCTION("IFERROR(VLOOKUP(E440&amp;F440,IMPORTRANGE(""https://docs.google.com/spreadsheets/d/1Uw7-A9f9R21vMXxHZFNpYNeKFtG8_yji4HS352LGlSQ/edit?pli=1#gid=0"",""1_ACUM!A4:S""),14,FALSE))"),"")</f>
        <v/>
      </c>
      <c r="BA426" s="43" t="str">
        <f ca="1">IFERROR(__xludf.DUMMYFUNCTION("IFERROR(VLOOKUP(E440&amp;F440,IMPORTRANGE(""https://docs.google.com/spreadsheets/d/1Uw7-A9f9R21vMXxHZFNpYNeKFtG8_yji4HS352LGlSQ/edit?pli=1#gid=0"",""1_ACUM!A4:S""),15,FALSE))"),"")</f>
        <v/>
      </c>
      <c r="BB426" s="43" t="str">
        <f ca="1">IFERROR(__xludf.DUMMYFUNCTION("IFERROR(VLOOKUP(E440&amp;F440,IMPORTRANGE(""https://docs.google.com/spreadsheets/d/1Uw7-A9f9R21vMXxHZFNpYNeKFtG8_yji4HS352LGlSQ/edit?pli=1#gid=0"",""1_ACUM!A4:S""),16,FALSE))"),"")</f>
        <v/>
      </c>
      <c r="BC426" s="43" t="str">
        <f ca="1">IFERROR(__xludf.DUMMYFUNCTION("IFERROR(VLOOKUP(E440&amp;F440,IMPORTRANGE(""https://docs.google.com/spreadsheets/d/1Uw7-A9f9R21vMXxHZFNpYNeKFtG8_yji4HS352LGlSQ/edit?pli=1#gid=0"",""1_ACUM!A4:S""),17,FALSE))"),"")</f>
        <v/>
      </c>
      <c r="BD426" s="44" t="str">
        <f ca="1">IFERROR(__xludf.DUMMYFUNCTION("IFERROR(VLOOKUP(E440&amp;F440,IMPORTRANGE(""https://docs.google.com/spreadsheets/d/1Uw7-A9f9R21vMXxHZFNpYNeKFtG8_yji4HS352LGlSQ/edit?pli=1#gid=0"",""1_ACUM!A4:S""),18,FALSE))"),"")</f>
        <v/>
      </c>
      <c r="BE426" s="44" t="str">
        <f ca="1">IFERROR(__xludf.DUMMYFUNCTION("IFERROR(VLOOKUP(E440&amp;F440,IMPORTRANGE(""https://docs.google.com/spreadsheets/d/1Uw7-A9f9R21vMXxHZFNpYNeKFtG8_yji4HS352LGlSQ/edit?pli=1#gid=0"",""1_ACUM!A4:S""),19,FALSE))"),"")</f>
        <v/>
      </c>
      <c r="BF426" s="98" t="str">
        <f ca="1">IFERROR(__xludf.DUMMYFUNCTION("IFERROR(VLOOKUP(F440,IMPORTRANGE(""https://docs.google.com/spreadsheets/d/1Kvs4KS76FHFqLFIZfrDMff4kP08nblUkihrxltoGBjg/edit#gid=934712705"",""ESENCIAL!A6:BG""),5,FALSE))"),"")</f>
        <v/>
      </c>
      <c r="BG426" s="98" t="str">
        <f t="shared" si="17"/>
        <v/>
      </c>
      <c r="BH426" s="99" t="str">
        <f t="shared" si="18"/>
        <v/>
      </c>
      <c r="BI426" s="100" t="str">
        <f ca="1">IFERROR(__xludf.DUMMYFUNCTION("IFERROR(VLOOKUP(F440,IMPORTRANGE(""https://docs.google.com/spreadsheets/d/1Kvs4KS76FHFqLFIZfrDMff4kP08nblUkihrxltoGBjg/edit#gid=934712705"",""ESENCIAL!A6:BG""),2,FALSE))"),"")</f>
        <v/>
      </c>
      <c r="BJ426" s="19" t="str">
        <f t="shared" si="19"/>
        <v/>
      </c>
      <c r="BK426" s="100"/>
      <c r="BL426" s="100"/>
    </row>
    <row r="427" spans="1:64" ht="15">
      <c r="A427" s="5"/>
      <c r="B427" s="5"/>
      <c r="G427" s="5" t="str">
        <f ca="1">IFERROR(__xludf.DUMMYFUNCTION("IFERROR(VLOOKUP(F441,IMPORTRANGE(""https://docs.google.com/spreadsheets/d/1Kvs4KS76FHFqLFIZfrDMff4kP08nblUkihrxltoGBjg/edit#gid=934712705"",""ESENCIAL!A6:BG""),3,FALSE))"),"")</f>
        <v/>
      </c>
      <c r="H427" s="5" t="str">
        <f ca="1">IFERROR(__xludf.DUMMYFUNCTION("IFERROR(VLOOKUP(F441,IMPORTRANGE(""https://docs.google.com/spreadsheets/d/1Kvs4KS76FHFqLFIZfrDMff4kP08nblUkihrxltoGBjg/edit#gid=934712705"",""ESENCIAL!A6:BG""),8,FALSE))"),"")</f>
        <v/>
      </c>
      <c r="L427" s="287"/>
      <c r="U427" s="40"/>
      <c r="AU427" s="41" t="str">
        <f t="shared" si="16"/>
        <v/>
      </c>
      <c r="AV427" s="5" t="str">
        <f ca="1">IFERROR(__xludf.DUMMYFUNCTION("IFERROR(VLOOKUP(E441&amp;F441,IMPORTRANGE(""https://docs.google.com/spreadsheets/d/1Uw7-A9f9R21vMXxHZFNpYNeKFtG8_yji4HS352LGlSQ/edit?pli=1#gid=0"",""1_ACUM!A4:S""),11,FALSE))"),"")</f>
        <v/>
      </c>
      <c r="AW427" s="42" t="str">
        <f ca="1">IFERROR(__xludf.DUMMYFUNCTION("IFERROR(VLOOKUP(F441,IMPORTRANGE(""https://docs.google.com/spreadsheets/d/1Kvs4KS76FHFqLFIZfrDMff4kP08nblUkihrxltoGBjg/edit#gid=934712705"",""ESENCIAL!A6:BG""),15,FALSE))"),"")</f>
        <v/>
      </c>
      <c r="AX427" s="21" t="str">
        <f ca="1">IFERROR(__xludf.DUMMYFUNCTION("IFERROR(VLOOKUP(E441&amp;F441,IMPORTRANGE(""https://docs.google.com/spreadsheets/d/1Uw7-A9f9R21vMXxHZFNpYNeKFtG8_yji4HS352LGlSQ/edit?pli=1#gid=0"",""1_ACUM!A4:S""),12,FALSE))"),"")</f>
        <v/>
      </c>
      <c r="AY427" s="43" t="str">
        <f ca="1">IFERROR(__xludf.DUMMYFUNCTION("IFERROR(VLOOKUP(E441&amp;F441,IMPORTRANGE(""https://docs.google.com/spreadsheets/d/1Uw7-A9f9R21vMXxHZFNpYNeKFtG8_yji4HS352LGlSQ/edit?pli=1#gid=0"",""1_ACUM!A4:S""),13,FALSE))"),"")</f>
        <v/>
      </c>
      <c r="AZ427" s="43" t="str">
        <f ca="1">IFERROR(__xludf.DUMMYFUNCTION("IFERROR(VLOOKUP(E441&amp;F441,IMPORTRANGE(""https://docs.google.com/spreadsheets/d/1Uw7-A9f9R21vMXxHZFNpYNeKFtG8_yji4HS352LGlSQ/edit?pli=1#gid=0"",""1_ACUM!A4:S""),14,FALSE))"),"")</f>
        <v/>
      </c>
      <c r="BA427" s="43" t="str">
        <f ca="1">IFERROR(__xludf.DUMMYFUNCTION("IFERROR(VLOOKUP(E441&amp;F441,IMPORTRANGE(""https://docs.google.com/spreadsheets/d/1Uw7-A9f9R21vMXxHZFNpYNeKFtG8_yji4HS352LGlSQ/edit?pli=1#gid=0"",""1_ACUM!A4:S""),15,FALSE))"),"")</f>
        <v/>
      </c>
      <c r="BB427" s="43" t="str">
        <f ca="1">IFERROR(__xludf.DUMMYFUNCTION("IFERROR(VLOOKUP(E441&amp;F441,IMPORTRANGE(""https://docs.google.com/spreadsheets/d/1Uw7-A9f9R21vMXxHZFNpYNeKFtG8_yji4HS352LGlSQ/edit?pli=1#gid=0"",""1_ACUM!A4:S""),16,FALSE))"),"")</f>
        <v/>
      </c>
      <c r="BC427" s="43" t="str">
        <f ca="1">IFERROR(__xludf.DUMMYFUNCTION("IFERROR(VLOOKUP(E441&amp;F441,IMPORTRANGE(""https://docs.google.com/spreadsheets/d/1Uw7-A9f9R21vMXxHZFNpYNeKFtG8_yji4HS352LGlSQ/edit?pli=1#gid=0"",""1_ACUM!A4:S""),17,FALSE))"),"")</f>
        <v/>
      </c>
      <c r="BD427" s="44" t="str">
        <f ca="1">IFERROR(__xludf.DUMMYFUNCTION("IFERROR(VLOOKUP(E441&amp;F441,IMPORTRANGE(""https://docs.google.com/spreadsheets/d/1Uw7-A9f9R21vMXxHZFNpYNeKFtG8_yji4HS352LGlSQ/edit?pli=1#gid=0"",""1_ACUM!A4:S""),18,FALSE))"),"")</f>
        <v/>
      </c>
      <c r="BE427" s="44" t="str">
        <f ca="1">IFERROR(__xludf.DUMMYFUNCTION("IFERROR(VLOOKUP(E441&amp;F441,IMPORTRANGE(""https://docs.google.com/spreadsheets/d/1Uw7-A9f9R21vMXxHZFNpYNeKFtG8_yji4HS352LGlSQ/edit?pli=1#gid=0"",""1_ACUM!A4:S""),19,FALSE))"),"")</f>
        <v/>
      </c>
      <c r="BF427" s="98" t="str">
        <f ca="1">IFERROR(__xludf.DUMMYFUNCTION("IFERROR(VLOOKUP(F441,IMPORTRANGE(""https://docs.google.com/spreadsheets/d/1Kvs4KS76FHFqLFIZfrDMff4kP08nblUkihrxltoGBjg/edit#gid=934712705"",""ESENCIAL!A6:BG""),5,FALSE))"),"")</f>
        <v/>
      </c>
      <c r="BG427" s="98" t="str">
        <f t="shared" si="17"/>
        <v/>
      </c>
      <c r="BH427" s="99" t="str">
        <f t="shared" si="18"/>
        <v/>
      </c>
      <c r="BI427" s="100" t="str">
        <f ca="1">IFERROR(__xludf.DUMMYFUNCTION("IFERROR(VLOOKUP(F441,IMPORTRANGE(""https://docs.google.com/spreadsheets/d/1Kvs4KS76FHFqLFIZfrDMff4kP08nblUkihrxltoGBjg/edit#gid=934712705"",""ESENCIAL!A6:BG""),2,FALSE))"),"")</f>
        <v/>
      </c>
      <c r="BJ427" s="19" t="str">
        <f t="shared" si="19"/>
        <v/>
      </c>
      <c r="BK427" s="100"/>
      <c r="BL427" s="100"/>
    </row>
    <row r="428" spans="1:64" ht="15">
      <c r="A428" s="5"/>
      <c r="B428" s="5"/>
      <c r="G428" s="5" t="str">
        <f ca="1">IFERROR(__xludf.DUMMYFUNCTION("IFERROR(VLOOKUP(F442,IMPORTRANGE(""https://docs.google.com/spreadsheets/d/1Kvs4KS76FHFqLFIZfrDMff4kP08nblUkihrxltoGBjg/edit#gid=934712705"",""ESENCIAL!A6:BG""),3,FALSE))"),"")</f>
        <v/>
      </c>
      <c r="H428" s="5" t="str">
        <f ca="1">IFERROR(__xludf.DUMMYFUNCTION("IFERROR(VLOOKUP(F442,IMPORTRANGE(""https://docs.google.com/spreadsheets/d/1Kvs4KS76FHFqLFIZfrDMff4kP08nblUkihrxltoGBjg/edit#gid=934712705"",""ESENCIAL!A6:BG""),8,FALSE))"),"")</f>
        <v/>
      </c>
      <c r="L428" s="287"/>
      <c r="U428" s="40"/>
      <c r="AU428" s="41" t="str">
        <f t="shared" si="16"/>
        <v/>
      </c>
      <c r="AV428" s="5" t="str">
        <f ca="1">IFERROR(__xludf.DUMMYFUNCTION("IFERROR(VLOOKUP(E442&amp;F442,IMPORTRANGE(""https://docs.google.com/spreadsheets/d/1Uw7-A9f9R21vMXxHZFNpYNeKFtG8_yji4HS352LGlSQ/edit?pli=1#gid=0"",""1_ACUM!A4:S""),11,FALSE))"),"")</f>
        <v/>
      </c>
      <c r="AW428" s="42" t="str">
        <f ca="1">IFERROR(__xludf.DUMMYFUNCTION("IFERROR(VLOOKUP(F442,IMPORTRANGE(""https://docs.google.com/spreadsheets/d/1Kvs4KS76FHFqLFIZfrDMff4kP08nblUkihrxltoGBjg/edit#gid=934712705"",""ESENCIAL!A6:BG""),15,FALSE))"),"")</f>
        <v/>
      </c>
      <c r="AX428" s="21" t="str">
        <f ca="1">IFERROR(__xludf.DUMMYFUNCTION("IFERROR(VLOOKUP(E442&amp;F442,IMPORTRANGE(""https://docs.google.com/spreadsheets/d/1Uw7-A9f9R21vMXxHZFNpYNeKFtG8_yji4HS352LGlSQ/edit?pli=1#gid=0"",""1_ACUM!A4:S""),12,FALSE))"),"")</f>
        <v/>
      </c>
      <c r="AY428" s="43" t="str">
        <f ca="1">IFERROR(__xludf.DUMMYFUNCTION("IFERROR(VLOOKUP(E442&amp;F442,IMPORTRANGE(""https://docs.google.com/spreadsheets/d/1Uw7-A9f9R21vMXxHZFNpYNeKFtG8_yji4HS352LGlSQ/edit?pli=1#gid=0"",""1_ACUM!A4:S""),13,FALSE))"),"")</f>
        <v/>
      </c>
      <c r="AZ428" s="43" t="str">
        <f ca="1">IFERROR(__xludf.DUMMYFUNCTION("IFERROR(VLOOKUP(E442&amp;F442,IMPORTRANGE(""https://docs.google.com/spreadsheets/d/1Uw7-A9f9R21vMXxHZFNpYNeKFtG8_yji4HS352LGlSQ/edit?pli=1#gid=0"",""1_ACUM!A4:S""),14,FALSE))"),"")</f>
        <v/>
      </c>
      <c r="BA428" s="43" t="str">
        <f ca="1">IFERROR(__xludf.DUMMYFUNCTION("IFERROR(VLOOKUP(E442&amp;F442,IMPORTRANGE(""https://docs.google.com/spreadsheets/d/1Uw7-A9f9R21vMXxHZFNpYNeKFtG8_yji4HS352LGlSQ/edit?pli=1#gid=0"",""1_ACUM!A4:S""),15,FALSE))"),"")</f>
        <v/>
      </c>
      <c r="BB428" s="43" t="str">
        <f ca="1">IFERROR(__xludf.DUMMYFUNCTION("IFERROR(VLOOKUP(E442&amp;F442,IMPORTRANGE(""https://docs.google.com/spreadsheets/d/1Uw7-A9f9R21vMXxHZFNpYNeKFtG8_yji4HS352LGlSQ/edit?pli=1#gid=0"",""1_ACUM!A4:S""),16,FALSE))"),"")</f>
        <v/>
      </c>
      <c r="BC428" s="43" t="str">
        <f ca="1">IFERROR(__xludf.DUMMYFUNCTION("IFERROR(VLOOKUP(E442&amp;F442,IMPORTRANGE(""https://docs.google.com/spreadsheets/d/1Uw7-A9f9R21vMXxHZFNpYNeKFtG8_yji4HS352LGlSQ/edit?pli=1#gid=0"",""1_ACUM!A4:S""),17,FALSE))"),"")</f>
        <v/>
      </c>
      <c r="BD428" s="44" t="str">
        <f ca="1">IFERROR(__xludf.DUMMYFUNCTION("IFERROR(VLOOKUP(E442&amp;F442,IMPORTRANGE(""https://docs.google.com/spreadsheets/d/1Uw7-A9f9R21vMXxHZFNpYNeKFtG8_yji4HS352LGlSQ/edit?pli=1#gid=0"",""1_ACUM!A4:S""),18,FALSE))"),"")</f>
        <v/>
      </c>
      <c r="BE428" s="44" t="str">
        <f ca="1">IFERROR(__xludf.DUMMYFUNCTION("IFERROR(VLOOKUP(E442&amp;F442,IMPORTRANGE(""https://docs.google.com/spreadsheets/d/1Uw7-A9f9R21vMXxHZFNpYNeKFtG8_yji4HS352LGlSQ/edit?pli=1#gid=0"",""1_ACUM!A4:S""),19,FALSE))"),"")</f>
        <v/>
      </c>
      <c r="BF428" s="98" t="str">
        <f ca="1">IFERROR(__xludf.DUMMYFUNCTION("IFERROR(VLOOKUP(F442,IMPORTRANGE(""https://docs.google.com/spreadsheets/d/1Kvs4KS76FHFqLFIZfrDMff4kP08nblUkihrxltoGBjg/edit#gid=934712705"",""ESENCIAL!A6:BG""),5,FALSE))"),"")</f>
        <v/>
      </c>
      <c r="BG428" s="98" t="str">
        <f t="shared" si="17"/>
        <v/>
      </c>
      <c r="BH428" s="99" t="str">
        <f t="shared" si="18"/>
        <v/>
      </c>
      <c r="BI428" s="100" t="str">
        <f ca="1">IFERROR(__xludf.DUMMYFUNCTION("IFERROR(VLOOKUP(F442,IMPORTRANGE(""https://docs.google.com/spreadsheets/d/1Kvs4KS76FHFqLFIZfrDMff4kP08nblUkihrxltoGBjg/edit#gid=934712705"",""ESENCIAL!A6:BG""),2,FALSE))"),"")</f>
        <v/>
      </c>
      <c r="BJ428" s="19" t="str">
        <f t="shared" si="19"/>
        <v/>
      </c>
      <c r="BK428" s="100"/>
      <c r="BL428" s="100"/>
    </row>
    <row r="429" spans="1:64" ht="15">
      <c r="A429" s="5"/>
      <c r="B429" s="5"/>
      <c r="G429" s="5" t="str">
        <f ca="1">IFERROR(__xludf.DUMMYFUNCTION("IFERROR(VLOOKUP(F443,IMPORTRANGE(""https://docs.google.com/spreadsheets/d/1Kvs4KS76FHFqLFIZfrDMff4kP08nblUkihrxltoGBjg/edit#gid=934712705"",""ESENCIAL!A6:BG""),3,FALSE))"),"")</f>
        <v/>
      </c>
      <c r="H429" s="5" t="str">
        <f ca="1">IFERROR(__xludf.DUMMYFUNCTION("IFERROR(VLOOKUP(F443,IMPORTRANGE(""https://docs.google.com/spreadsheets/d/1Kvs4KS76FHFqLFIZfrDMff4kP08nblUkihrxltoGBjg/edit#gid=934712705"",""ESENCIAL!A6:BG""),8,FALSE))"),"")</f>
        <v/>
      </c>
      <c r="L429" s="287"/>
      <c r="U429" s="40"/>
      <c r="AU429" s="41" t="str">
        <f t="shared" si="16"/>
        <v/>
      </c>
      <c r="AV429" s="5" t="str">
        <f ca="1">IFERROR(__xludf.DUMMYFUNCTION("IFERROR(VLOOKUP(E443&amp;F443,IMPORTRANGE(""https://docs.google.com/spreadsheets/d/1Uw7-A9f9R21vMXxHZFNpYNeKFtG8_yji4HS352LGlSQ/edit?pli=1#gid=0"",""1_ACUM!A4:S""),11,FALSE))"),"")</f>
        <v/>
      </c>
      <c r="AW429" s="42" t="str">
        <f ca="1">IFERROR(__xludf.DUMMYFUNCTION("IFERROR(VLOOKUP(F443,IMPORTRANGE(""https://docs.google.com/spreadsheets/d/1Kvs4KS76FHFqLFIZfrDMff4kP08nblUkihrxltoGBjg/edit#gid=934712705"",""ESENCIAL!A6:BG""),15,FALSE))"),"")</f>
        <v/>
      </c>
      <c r="AX429" s="21" t="str">
        <f ca="1">IFERROR(__xludf.DUMMYFUNCTION("IFERROR(VLOOKUP(E443&amp;F443,IMPORTRANGE(""https://docs.google.com/spreadsheets/d/1Uw7-A9f9R21vMXxHZFNpYNeKFtG8_yji4HS352LGlSQ/edit?pli=1#gid=0"",""1_ACUM!A4:S""),12,FALSE))"),"")</f>
        <v/>
      </c>
      <c r="AY429" s="43" t="str">
        <f ca="1">IFERROR(__xludf.DUMMYFUNCTION("IFERROR(VLOOKUP(E443&amp;F443,IMPORTRANGE(""https://docs.google.com/spreadsheets/d/1Uw7-A9f9R21vMXxHZFNpYNeKFtG8_yji4HS352LGlSQ/edit?pli=1#gid=0"",""1_ACUM!A4:S""),13,FALSE))"),"")</f>
        <v/>
      </c>
      <c r="AZ429" s="43" t="str">
        <f ca="1">IFERROR(__xludf.DUMMYFUNCTION("IFERROR(VLOOKUP(E443&amp;F443,IMPORTRANGE(""https://docs.google.com/spreadsheets/d/1Uw7-A9f9R21vMXxHZFNpYNeKFtG8_yji4HS352LGlSQ/edit?pli=1#gid=0"",""1_ACUM!A4:S""),14,FALSE))"),"")</f>
        <v/>
      </c>
      <c r="BA429" s="43" t="str">
        <f ca="1">IFERROR(__xludf.DUMMYFUNCTION("IFERROR(VLOOKUP(E443&amp;F443,IMPORTRANGE(""https://docs.google.com/spreadsheets/d/1Uw7-A9f9R21vMXxHZFNpYNeKFtG8_yji4HS352LGlSQ/edit?pli=1#gid=0"",""1_ACUM!A4:S""),15,FALSE))"),"")</f>
        <v/>
      </c>
      <c r="BB429" s="43" t="str">
        <f ca="1">IFERROR(__xludf.DUMMYFUNCTION("IFERROR(VLOOKUP(E443&amp;F443,IMPORTRANGE(""https://docs.google.com/spreadsheets/d/1Uw7-A9f9R21vMXxHZFNpYNeKFtG8_yji4HS352LGlSQ/edit?pli=1#gid=0"",""1_ACUM!A4:S""),16,FALSE))"),"")</f>
        <v/>
      </c>
      <c r="BC429" s="43" t="str">
        <f ca="1">IFERROR(__xludf.DUMMYFUNCTION("IFERROR(VLOOKUP(E443&amp;F443,IMPORTRANGE(""https://docs.google.com/spreadsheets/d/1Uw7-A9f9R21vMXxHZFNpYNeKFtG8_yji4HS352LGlSQ/edit?pli=1#gid=0"",""1_ACUM!A4:S""),17,FALSE))"),"")</f>
        <v/>
      </c>
      <c r="BD429" s="44" t="str">
        <f ca="1">IFERROR(__xludf.DUMMYFUNCTION("IFERROR(VLOOKUP(E443&amp;F443,IMPORTRANGE(""https://docs.google.com/spreadsheets/d/1Uw7-A9f9R21vMXxHZFNpYNeKFtG8_yji4HS352LGlSQ/edit?pli=1#gid=0"",""1_ACUM!A4:S""),18,FALSE))"),"")</f>
        <v/>
      </c>
      <c r="BE429" s="44" t="str">
        <f ca="1">IFERROR(__xludf.DUMMYFUNCTION("IFERROR(VLOOKUP(E443&amp;F443,IMPORTRANGE(""https://docs.google.com/spreadsheets/d/1Uw7-A9f9R21vMXxHZFNpYNeKFtG8_yji4HS352LGlSQ/edit?pli=1#gid=0"",""1_ACUM!A4:S""),19,FALSE))"),"")</f>
        <v/>
      </c>
      <c r="BF429" s="98" t="str">
        <f ca="1">IFERROR(__xludf.DUMMYFUNCTION("IFERROR(VLOOKUP(F443,IMPORTRANGE(""https://docs.google.com/spreadsheets/d/1Kvs4KS76FHFqLFIZfrDMff4kP08nblUkihrxltoGBjg/edit#gid=934712705"",""ESENCIAL!A6:BG""),5,FALSE))"),"")</f>
        <v/>
      </c>
      <c r="BG429" s="98" t="str">
        <f t="shared" si="17"/>
        <v/>
      </c>
      <c r="BH429" s="99" t="str">
        <f t="shared" si="18"/>
        <v/>
      </c>
      <c r="BI429" s="100" t="str">
        <f ca="1">IFERROR(__xludf.DUMMYFUNCTION("IFERROR(VLOOKUP(F443,IMPORTRANGE(""https://docs.google.com/spreadsheets/d/1Kvs4KS76FHFqLFIZfrDMff4kP08nblUkihrxltoGBjg/edit#gid=934712705"",""ESENCIAL!A6:BG""),2,FALSE))"),"")</f>
        <v/>
      </c>
      <c r="BJ429" s="19" t="str">
        <f t="shared" si="19"/>
        <v/>
      </c>
      <c r="BK429" s="100"/>
      <c r="BL429" s="100"/>
    </row>
    <row r="430" spans="1:64" ht="15">
      <c r="A430" s="5"/>
      <c r="B430" s="5"/>
      <c r="G430" s="5" t="str">
        <f ca="1">IFERROR(__xludf.DUMMYFUNCTION("IFERROR(VLOOKUP(F444,IMPORTRANGE(""https://docs.google.com/spreadsheets/d/1Kvs4KS76FHFqLFIZfrDMff4kP08nblUkihrxltoGBjg/edit#gid=934712705"",""ESENCIAL!A6:BG""),3,FALSE))"),"")</f>
        <v/>
      </c>
      <c r="H430" s="5" t="str">
        <f ca="1">IFERROR(__xludf.DUMMYFUNCTION("IFERROR(VLOOKUP(F444,IMPORTRANGE(""https://docs.google.com/spreadsheets/d/1Kvs4KS76FHFqLFIZfrDMff4kP08nblUkihrxltoGBjg/edit#gid=934712705"",""ESENCIAL!A6:BG""),8,FALSE))"),"")</f>
        <v/>
      </c>
      <c r="L430" s="287"/>
      <c r="U430" s="40"/>
      <c r="AU430" s="41" t="str">
        <f t="shared" si="16"/>
        <v/>
      </c>
      <c r="AV430" s="5" t="str">
        <f ca="1">IFERROR(__xludf.DUMMYFUNCTION("IFERROR(VLOOKUP(E444&amp;F444,IMPORTRANGE(""https://docs.google.com/spreadsheets/d/1Uw7-A9f9R21vMXxHZFNpYNeKFtG8_yji4HS352LGlSQ/edit?pli=1#gid=0"",""1_ACUM!A4:S""),11,FALSE))"),"")</f>
        <v/>
      </c>
      <c r="AW430" s="42" t="str">
        <f ca="1">IFERROR(__xludf.DUMMYFUNCTION("IFERROR(VLOOKUP(F444,IMPORTRANGE(""https://docs.google.com/spreadsheets/d/1Kvs4KS76FHFqLFIZfrDMff4kP08nblUkihrxltoGBjg/edit#gid=934712705"",""ESENCIAL!A6:BG""),15,FALSE))"),"")</f>
        <v/>
      </c>
      <c r="AX430" s="21" t="str">
        <f ca="1">IFERROR(__xludf.DUMMYFUNCTION("IFERROR(VLOOKUP(E444&amp;F444,IMPORTRANGE(""https://docs.google.com/spreadsheets/d/1Uw7-A9f9R21vMXxHZFNpYNeKFtG8_yji4HS352LGlSQ/edit?pli=1#gid=0"",""1_ACUM!A4:S""),12,FALSE))"),"")</f>
        <v/>
      </c>
      <c r="AY430" s="43" t="str">
        <f ca="1">IFERROR(__xludf.DUMMYFUNCTION("IFERROR(VLOOKUP(E444&amp;F444,IMPORTRANGE(""https://docs.google.com/spreadsheets/d/1Uw7-A9f9R21vMXxHZFNpYNeKFtG8_yji4HS352LGlSQ/edit?pli=1#gid=0"",""1_ACUM!A4:S""),13,FALSE))"),"")</f>
        <v/>
      </c>
      <c r="AZ430" s="43" t="str">
        <f ca="1">IFERROR(__xludf.DUMMYFUNCTION("IFERROR(VLOOKUP(E444&amp;F444,IMPORTRANGE(""https://docs.google.com/spreadsheets/d/1Uw7-A9f9R21vMXxHZFNpYNeKFtG8_yji4HS352LGlSQ/edit?pli=1#gid=0"",""1_ACUM!A4:S""),14,FALSE))"),"")</f>
        <v/>
      </c>
      <c r="BA430" s="43" t="str">
        <f ca="1">IFERROR(__xludf.DUMMYFUNCTION("IFERROR(VLOOKUP(E444&amp;F444,IMPORTRANGE(""https://docs.google.com/spreadsheets/d/1Uw7-A9f9R21vMXxHZFNpYNeKFtG8_yji4HS352LGlSQ/edit?pli=1#gid=0"",""1_ACUM!A4:S""),15,FALSE))"),"")</f>
        <v/>
      </c>
      <c r="BB430" s="43" t="str">
        <f ca="1">IFERROR(__xludf.DUMMYFUNCTION("IFERROR(VLOOKUP(E444&amp;F444,IMPORTRANGE(""https://docs.google.com/spreadsheets/d/1Uw7-A9f9R21vMXxHZFNpYNeKFtG8_yji4HS352LGlSQ/edit?pli=1#gid=0"",""1_ACUM!A4:S""),16,FALSE))"),"")</f>
        <v/>
      </c>
      <c r="BC430" s="43" t="str">
        <f ca="1">IFERROR(__xludf.DUMMYFUNCTION("IFERROR(VLOOKUP(E444&amp;F444,IMPORTRANGE(""https://docs.google.com/spreadsheets/d/1Uw7-A9f9R21vMXxHZFNpYNeKFtG8_yji4HS352LGlSQ/edit?pli=1#gid=0"",""1_ACUM!A4:S""),17,FALSE))"),"")</f>
        <v/>
      </c>
      <c r="BD430" s="44" t="str">
        <f ca="1">IFERROR(__xludf.DUMMYFUNCTION("IFERROR(VLOOKUP(E444&amp;F444,IMPORTRANGE(""https://docs.google.com/spreadsheets/d/1Uw7-A9f9R21vMXxHZFNpYNeKFtG8_yji4HS352LGlSQ/edit?pli=1#gid=0"",""1_ACUM!A4:S""),18,FALSE))"),"")</f>
        <v/>
      </c>
      <c r="BE430" s="44" t="str">
        <f ca="1">IFERROR(__xludf.DUMMYFUNCTION("IFERROR(VLOOKUP(E444&amp;F444,IMPORTRANGE(""https://docs.google.com/spreadsheets/d/1Uw7-A9f9R21vMXxHZFNpYNeKFtG8_yji4HS352LGlSQ/edit?pli=1#gid=0"",""1_ACUM!A4:S""),19,FALSE))"),"")</f>
        <v/>
      </c>
      <c r="BF430" s="98" t="str">
        <f ca="1">IFERROR(__xludf.DUMMYFUNCTION("IFERROR(VLOOKUP(F444,IMPORTRANGE(""https://docs.google.com/spreadsheets/d/1Kvs4KS76FHFqLFIZfrDMff4kP08nblUkihrxltoGBjg/edit#gid=934712705"",""ESENCIAL!A6:BG""),5,FALSE))"),"")</f>
        <v/>
      </c>
      <c r="BG430" s="98" t="str">
        <f t="shared" si="17"/>
        <v/>
      </c>
      <c r="BH430" s="99" t="str">
        <f t="shared" si="18"/>
        <v/>
      </c>
      <c r="BI430" s="100" t="str">
        <f ca="1">IFERROR(__xludf.DUMMYFUNCTION("IFERROR(VLOOKUP(F444,IMPORTRANGE(""https://docs.google.com/spreadsheets/d/1Kvs4KS76FHFqLFIZfrDMff4kP08nblUkihrxltoGBjg/edit#gid=934712705"",""ESENCIAL!A6:BG""),2,FALSE))"),"")</f>
        <v/>
      </c>
      <c r="BJ430" s="19" t="str">
        <f t="shared" si="19"/>
        <v/>
      </c>
      <c r="BK430" s="100"/>
      <c r="BL430" s="100"/>
    </row>
    <row r="431" spans="1:64" ht="15">
      <c r="A431" s="5"/>
      <c r="B431" s="5"/>
      <c r="G431" s="5" t="str">
        <f ca="1">IFERROR(__xludf.DUMMYFUNCTION("IFERROR(VLOOKUP(F445,IMPORTRANGE(""https://docs.google.com/spreadsheets/d/1Kvs4KS76FHFqLFIZfrDMff4kP08nblUkihrxltoGBjg/edit#gid=934712705"",""ESENCIAL!A6:BG""),3,FALSE))"),"")</f>
        <v/>
      </c>
      <c r="H431" s="5" t="str">
        <f ca="1">IFERROR(__xludf.DUMMYFUNCTION("IFERROR(VLOOKUP(F445,IMPORTRANGE(""https://docs.google.com/spreadsheets/d/1Kvs4KS76FHFqLFIZfrDMff4kP08nblUkihrxltoGBjg/edit#gid=934712705"",""ESENCIAL!A6:BG""),8,FALSE))"),"")</f>
        <v/>
      </c>
      <c r="L431" s="287"/>
      <c r="U431" s="40"/>
      <c r="AU431" s="41" t="str">
        <f t="shared" si="16"/>
        <v/>
      </c>
      <c r="AV431" s="5" t="str">
        <f ca="1">IFERROR(__xludf.DUMMYFUNCTION("IFERROR(VLOOKUP(E445&amp;F445,IMPORTRANGE(""https://docs.google.com/spreadsheets/d/1Uw7-A9f9R21vMXxHZFNpYNeKFtG8_yji4HS352LGlSQ/edit?pli=1#gid=0"",""1_ACUM!A4:S""),11,FALSE))"),"")</f>
        <v/>
      </c>
      <c r="AW431" s="42" t="str">
        <f ca="1">IFERROR(__xludf.DUMMYFUNCTION("IFERROR(VLOOKUP(F445,IMPORTRANGE(""https://docs.google.com/spreadsheets/d/1Kvs4KS76FHFqLFIZfrDMff4kP08nblUkihrxltoGBjg/edit#gid=934712705"",""ESENCIAL!A6:BG""),15,FALSE))"),"")</f>
        <v/>
      </c>
      <c r="AX431" s="21" t="str">
        <f ca="1">IFERROR(__xludf.DUMMYFUNCTION("IFERROR(VLOOKUP(E445&amp;F445,IMPORTRANGE(""https://docs.google.com/spreadsheets/d/1Uw7-A9f9R21vMXxHZFNpYNeKFtG8_yji4HS352LGlSQ/edit?pli=1#gid=0"",""1_ACUM!A4:S""),12,FALSE))"),"")</f>
        <v/>
      </c>
      <c r="AY431" s="43" t="str">
        <f ca="1">IFERROR(__xludf.DUMMYFUNCTION("IFERROR(VLOOKUP(E445&amp;F445,IMPORTRANGE(""https://docs.google.com/spreadsheets/d/1Uw7-A9f9R21vMXxHZFNpYNeKFtG8_yji4HS352LGlSQ/edit?pli=1#gid=0"",""1_ACUM!A4:S""),13,FALSE))"),"")</f>
        <v/>
      </c>
      <c r="AZ431" s="43" t="str">
        <f ca="1">IFERROR(__xludf.DUMMYFUNCTION("IFERROR(VLOOKUP(E445&amp;F445,IMPORTRANGE(""https://docs.google.com/spreadsheets/d/1Uw7-A9f9R21vMXxHZFNpYNeKFtG8_yji4HS352LGlSQ/edit?pli=1#gid=0"",""1_ACUM!A4:S""),14,FALSE))"),"")</f>
        <v/>
      </c>
      <c r="BA431" s="43" t="str">
        <f ca="1">IFERROR(__xludf.DUMMYFUNCTION("IFERROR(VLOOKUP(E445&amp;F445,IMPORTRANGE(""https://docs.google.com/spreadsheets/d/1Uw7-A9f9R21vMXxHZFNpYNeKFtG8_yji4HS352LGlSQ/edit?pli=1#gid=0"",""1_ACUM!A4:S""),15,FALSE))"),"")</f>
        <v/>
      </c>
      <c r="BB431" s="43" t="str">
        <f ca="1">IFERROR(__xludf.DUMMYFUNCTION("IFERROR(VLOOKUP(E445&amp;F445,IMPORTRANGE(""https://docs.google.com/spreadsheets/d/1Uw7-A9f9R21vMXxHZFNpYNeKFtG8_yji4HS352LGlSQ/edit?pli=1#gid=0"",""1_ACUM!A4:S""),16,FALSE))"),"")</f>
        <v/>
      </c>
      <c r="BC431" s="43" t="str">
        <f ca="1">IFERROR(__xludf.DUMMYFUNCTION("IFERROR(VLOOKUP(E445&amp;F445,IMPORTRANGE(""https://docs.google.com/spreadsheets/d/1Uw7-A9f9R21vMXxHZFNpYNeKFtG8_yji4HS352LGlSQ/edit?pli=1#gid=0"",""1_ACUM!A4:S""),17,FALSE))"),"")</f>
        <v/>
      </c>
      <c r="BD431" s="44" t="str">
        <f ca="1">IFERROR(__xludf.DUMMYFUNCTION("IFERROR(VLOOKUP(E445&amp;F445,IMPORTRANGE(""https://docs.google.com/spreadsheets/d/1Uw7-A9f9R21vMXxHZFNpYNeKFtG8_yji4HS352LGlSQ/edit?pli=1#gid=0"",""1_ACUM!A4:S""),18,FALSE))"),"")</f>
        <v/>
      </c>
      <c r="BE431" s="44" t="str">
        <f ca="1">IFERROR(__xludf.DUMMYFUNCTION("IFERROR(VLOOKUP(E445&amp;F445,IMPORTRANGE(""https://docs.google.com/spreadsheets/d/1Uw7-A9f9R21vMXxHZFNpYNeKFtG8_yji4HS352LGlSQ/edit?pli=1#gid=0"",""1_ACUM!A4:S""),19,FALSE))"),"")</f>
        <v/>
      </c>
      <c r="BF431" s="98" t="str">
        <f ca="1">IFERROR(__xludf.DUMMYFUNCTION("IFERROR(VLOOKUP(F445,IMPORTRANGE(""https://docs.google.com/spreadsheets/d/1Kvs4KS76FHFqLFIZfrDMff4kP08nblUkihrxltoGBjg/edit#gid=934712705"",""ESENCIAL!A6:BG""),5,FALSE))"),"")</f>
        <v/>
      </c>
      <c r="BG431" s="98" t="str">
        <f t="shared" si="17"/>
        <v/>
      </c>
      <c r="BH431" s="99" t="str">
        <f t="shared" si="18"/>
        <v/>
      </c>
      <c r="BI431" s="100" t="str">
        <f ca="1">IFERROR(__xludf.DUMMYFUNCTION("IFERROR(VLOOKUP(F445,IMPORTRANGE(""https://docs.google.com/spreadsheets/d/1Kvs4KS76FHFqLFIZfrDMff4kP08nblUkihrxltoGBjg/edit#gid=934712705"",""ESENCIAL!A6:BG""),2,FALSE))"),"")</f>
        <v/>
      </c>
      <c r="BJ431" s="19" t="str">
        <f t="shared" si="19"/>
        <v/>
      </c>
      <c r="BK431" s="100"/>
      <c r="BL431" s="100"/>
    </row>
    <row r="432" spans="1:64" ht="15">
      <c r="A432" s="5"/>
      <c r="B432" s="5"/>
      <c r="G432" s="5" t="str">
        <f ca="1">IFERROR(__xludf.DUMMYFUNCTION("IFERROR(VLOOKUP(F446,IMPORTRANGE(""https://docs.google.com/spreadsheets/d/1Kvs4KS76FHFqLFIZfrDMff4kP08nblUkihrxltoGBjg/edit#gid=934712705"",""ESENCIAL!A6:BG""),3,FALSE))"),"")</f>
        <v/>
      </c>
      <c r="H432" s="5" t="str">
        <f ca="1">IFERROR(__xludf.DUMMYFUNCTION("IFERROR(VLOOKUP(F446,IMPORTRANGE(""https://docs.google.com/spreadsheets/d/1Kvs4KS76FHFqLFIZfrDMff4kP08nblUkihrxltoGBjg/edit#gid=934712705"",""ESENCIAL!A6:BG""),8,FALSE))"),"")</f>
        <v/>
      </c>
      <c r="L432" s="287"/>
      <c r="U432" s="40"/>
      <c r="AU432" s="41" t="str">
        <f t="shared" si="16"/>
        <v/>
      </c>
      <c r="AV432" s="5" t="str">
        <f ca="1">IFERROR(__xludf.DUMMYFUNCTION("IFERROR(VLOOKUP(E446&amp;F446,IMPORTRANGE(""https://docs.google.com/spreadsheets/d/1Uw7-A9f9R21vMXxHZFNpYNeKFtG8_yji4HS352LGlSQ/edit?pli=1#gid=0"",""1_ACUM!A4:S""),11,FALSE))"),"")</f>
        <v/>
      </c>
      <c r="AW432" s="42" t="str">
        <f ca="1">IFERROR(__xludf.DUMMYFUNCTION("IFERROR(VLOOKUP(F446,IMPORTRANGE(""https://docs.google.com/spreadsheets/d/1Kvs4KS76FHFqLFIZfrDMff4kP08nblUkihrxltoGBjg/edit#gid=934712705"",""ESENCIAL!A6:BG""),15,FALSE))"),"")</f>
        <v/>
      </c>
      <c r="AX432" s="21" t="str">
        <f ca="1">IFERROR(__xludf.DUMMYFUNCTION("IFERROR(VLOOKUP(E446&amp;F446,IMPORTRANGE(""https://docs.google.com/spreadsheets/d/1Uw7-A9f9R21vMXxHZFNpYNeKFtG8_yji4HS352LGlSQ/edit?pli=1#gid=0"",""1_ACUM!A4:S""),12,FALSE))"),"")</f>
        <v/>
      </c>
      <c r="AY432" s="43" t="str">
        <f ca="1">IFERROR(__xludf.DUMMYFUNCTION("IFERROR(VLOOKUP(E446&amp;F446,IMPORTRANGE(""https://docs.google.com/spreadsheets/d/1Uw7-A9f9R21vMXxHZFNpYNeKFtG8_yji4HS352LGlSQ/edit?pli=1#gid=0"",""1_ACUM!A4:S""),13,FALSE))"),"")</f>
        <v/>
      </c>
      <c r="AZ432" s="43" t="str">
        <f ca="1">IFERROR(__xludf.DUMMYFUNCTION("IFERROR(VLOOKUP(E446&amp;F446,IMPORTRANGE(""https://docs.google.com/spreadsheets/d/1Uw7-A9f9R21vMXxHZFNpYNeKFtG8_yji4HS352LGlSQ/edit?pli=1#gid=0"",""1_ACUM!A4:S""),14,FALSE))"),"")</f>
        <v/>
      </c>
      <c r="BA432" s="43" t="str">
        <f ca="1">IFERROR(__xludf.DUMMYFUNCTION("IFERROR(VLOOKUP(E446&amp;F446,IMPORTRANGE(""https://docs.google.com/spreadsheets/d/1Uw7-A9f9R21vMXxHZFNpYNeKFtG8_yji4HS352LGlSQ/edit?pli=1#gid=0"",""1_ACUM!A4:S""),15,FALSE))"),"")</f>
        <v/>
      </c>
      <c r="BB432" s="43" t="str">
        <f ca="1">IFERROR(__xludf.DUMMYFUNCTION("IFERROR(VLOOKUP(E446&amp;F446,IMPORTRANGE(""https://docs.google.com/spreadsheets/d/1Uw7-A9f9R21vMXxHZFNpYNeKFtG8_yji4HS352LGlSQ/edit?pli=1#gid=0"",""1_ACUM!A4:S""),16,FALSE))"),"")</f>
        <v/>
      </c>
      <c r="BC432" s="43" t="str">
        <f ca="1">IFERROR(__xludf.DUMMYFUNCTION("IFERROR(VLOOKUP(E446&amp;F446,IMPORTRANGE(""https://docs.google.com/spreadsheets/d/1Uw7-A9f9R21vMXxHZFNpYNeKFtG8_yji4HS352LGlSQ/edit?pli=1#gid=0"",""1_ACUM!A4:S""),17,FALSE))"),"")</f>
        <v/>
      </c>
      <c r="BD432" s="44" t="str">
        <f ca="1">IFERROR(__xludf.DUMMYFUNCTION("IFERROR(VLOOKUP(E446&amp;F446,IMPORTRANGE(""https://docs.google.com/spreadsheets/d/1Uw7-A9f9R21vMXxHZFNpYNeKFtG8_yji4HS352LGlSQ/edit?pli=1#gid=0"",""1_ACUM!A4:S""),18,FALSE))"),"")</f>
        <v/>
      </c>
      <c r="BE432" s="44" t="str">
        <f ca="1">IFERROR(__xludf.DUMMYFUNCTION("IFERROR(VLOOKUP(E446&amp;F446,IMPORTRANGE(""https://docs.google.com/spreadsheets/d/1Uw7-A9f9R21vMXxHZFNpYNeKFtG8_yji4HS352LGlSQ/edit?pli=1#gid=0"",""1_ACUM!A4:S""),19,FALSE))"),"")</f>
        <v/>
      </c>
      <c r="BF432" s="98" t="str">
        <f ca="1">IFERROR(__xludf.DUMMYFUNCTION("IFERROR(VLOOKUP(F446,IMPORTRANGE(""https://docs.google.com/spreadsheets/d/1Kvs4KS76FHFqLFIZfrDMff4kP08nblUkihrxltoGBjg/edit#gid=934712705"",""ESENCIAL!A6:BG""),5,FALSE))"),"")</f>
        <v/>
      </c>
      <c r="BG432" s="98" t="str">
        <f t="shared" si="17"/>
        <v/>
      </c>
      <c r="BH432" s="99" t="str">
        <f t="shared" si="18"/>
        <v/>
      </c>
      <c r="BI432" s="100" t="str">
        <f ca="1">IFERROR(__xludf.DUMMYFUNCTION("IFERROR(VLOOKUP(F446,IMPORTRANGE(""https://docs.google.com/spreadsheets/d/1Kvs4KS76FHFqLFIZfrDMff4kP08nblUkihrxltoGBjg/edit#gid=934712705"",""ESENCIAL!A6:BG""),2,FALSE))"),"")</f>
        <v/>
      </c>
      <c r="BJ432" s="19" t="str">
        <f t="shared" si="19"/>
        <v/>
      </c>
      <c r="BK432" s="100"/>
      <c r="BL432" s="100"/>
    </row>
    <row r="433" spans="1:64" ht="15">
      <c r="A433" s="5"/>
      <c r="B433" s="5"/>
      <c r="G433" s="5" t="str">
        <f ca="1">IFERROR(__xludf.DUMMYFUNCTION("IFERROR(VLOOKUP(F447,IMPORTRANGE(""https://docs.google.com/spreadsheets/d/1Kvs4KS76FHFqLFIZfrDMff4kP08nblUkihrxltoGBjg/edit#gid=934712705"",""ESENCIAL!A6:BG""),3,FALSE))"),"")</f>
        <v/>
      </c>
      <c r="H433" s="5" t="str">
        <f ca="1">IFERROR(__xludf.DUMMYFUNCTION("IFERROR(VLOOKUP(F447,IMPORTRANGE(""https://docs.google.com/spreadsheets/d/1Kvs4KS76FHFqLFIZfrDMff4kP08nblUkihrxltoGBjg/edit#gid=934712705"",""ESENCIAL!A6:BG""),8,FALSE))"),"")</f>
        <v/>
      </c>
      <c r="L433" s="287"/>
      <c r="U433" s="40"/>
      <c r="AU433" s="41" t="str">
        <f t="shared" si="16"/>
        <v/>
      </c>
      <c r="AV433" s="5" t="str">
        <f ca="1">IFERROR(__xludf.DUMMYFUNCTION("IFERROR(VLOOKUP(E447&amp;F447,IMPORTRANGE(""https://docs.google.com/spreadsheets/d/1Uw7-A9f9R21vMXxHZFNpYNeKFtG8_yji4HS352LGlSQ/edit?pli=1#gid=0"",""1_ACUM!A4:S""),11,FALSE))"),"")</f>
        <v/>
      </c>
      <c r="AW433" s="42" t="str">
        <f ca="1">IFERROR(__xludf.DUMMYFUNCTION("IFERROR(VLOOKUP(F447,IMPORTRANGE(""https://docs.google.com/spreadsheets/d/1Kvs4KS76FHFqLFIZfrDMff4kP08nblUkihrxltoGBjg/edit#gid=934712705"",""ESENCIAL!A6:BG""),15,FALSE))"),"")</f>
        <v/>
      </c>
      <c r="AX433" s="21" t="str">
        <f ca="1">IFERROR(__xludf.DUMMYFUNCTION("IFERROR(VLOOKUP(E447&amp;F447,IMPORTRANGE(""https://docs.google.com/spreadsheets/d/1Uw7-A9f9R21vMXxHZFNpYNeKFtG8_yji4HS352LGlSQ/edit?pli=1#gid=0"",""1_ACUM!A4:S""),12,FALSE))"),"")</f>
        <v/>
      </c>
      <c r="AY433" s="43" t="str">
        <f ca="1">IFERROR(__xludf.DUMMYFUNCTION("IFERROR(VLOOKUP(E447&amp;F447,IMPORTRANGE(""https://docs.google.com/spreadsheets/d/1Uw7-A9f9R21vMXxHZFNpYNeKFtG8_yji4HS352LGlSQ/edit?pli=1#gid=0"",""1_ACUM!A4:S""),13,FALSE))"),"")</f>
        <v/>
      </c>
      <c r="AZ433" s="43" t="str">
        <f ca="1">IFERROR(__xludf.DUMMYFUNCTION("IFERROR(VLOOKUP(E447&amp;F447,IMPORTRANGE(""https://docs.google.com/spreadsheets/d/1Uw7-A9f9R21vMXxHZFNpYNeKFtG8_yji4HS352LGlSQ/edit?pli=1#gid=0"",""1_ACUM!A4:S""),14,FALSE))"),"")</f>
        <v/>
      </c>
      <c r="BA433" s="43" t="str">
        <f ca="1">IFERROR(__xludf.DUMMYFUNCTION("IFERROR(VLOOKUP(E447&amp;F447,IMPORTRANGE(""https://docs.google.com/spreadsheets/d/1Uw7-A9f9R21vMXxHZFNpYNeKFtG8_yji4HS352LGlSQ/edit?pli=1#gid=0"",""1_ACUM!A4:S""),15,FALSE))"),"")</f>
        <v/>
      </c>
      <c r="BB433" s="43" t="str">
        <f ca="1">IFERROR(__xludf.DUMMYFUNCTION("IFERROR(VLOOKUP(E447&amp;F447,IMPORTRANGE(""https://docs.google.com/spreadsheets/d/1Uw7-A9f9R21vMXxHZFNpYNeKFtG8_yji4HS352LGlSQ/edit?pli=1#gid=0"",""1_ACUM!A4:S""),16,FALSE))"),"")</f>
        <v/>
      </c>
      <c r="BC433" s="43" t="str">
        <f ca="1">IFERROR(__xludf.DUMMYFUNCTION("IFERROR(VLOOKUP(E447&amp;F447,IMPORTRANGE(""https://docs.google.com/spreadsheets/d/1Uw7-A9f9R21vMXxHZFNpYNeKFtG8_yji4HS352LGlSQ/edit?pli=1#gid=0"",""1_ACUM!A4:S""),17,FALSE))"),"")</f>
        <v/>
      </c>
      <c r="BD433" s="44" t="str">
        <f ca="1">IFERROR(__xludf.DUMMYFUNCTION("IFERROR(VLOOKUP(E447&amp;F447,IMPORTRANGE(""https://docs.google.com/spreadsheets/d/1Uw7-A9f9R21vMXxHZFNpYNeKFtG8_yji4HS352LGlSQ/edit?pli=1#gid=0"",""1_ACUM!A4:S""),18,FALSE))"),"")</f>
        <v/>
      </c>
      <c r="BE433" s="44" t="str">
        <f ca="1">IFERROR(__xludf.DUMMYFUNCTION("IFERROR(VLOOKUP(E447&amp;F447,IMPORTRANGE(""https://docs.google.com/spreadsheets/d/1Uw7-A9f9R21vMXxHZFNpYNeKFtG8_yji4HS352LGlSQ/edit?pli=1#gid=0"",""1_ACUM!A4:S""),19,FALSE))"),"")</f>
        <v/>
      </c>
      <c r="BF433" s="98" t="str">
        <f ca="1">IFERROR(__xludf.DUMMYFUNCTION("IFERROR(VLOOKUP(F447,IMPORTRANGE(""https://docs.google.com/spreadsheets/d/1Kvs4KS76FHFqLFIZfrDMff4kP08nblUkihrxltoGBjg/edit#gid=934712705"",""ESENCIAL!A6:BG""),5,FALSE))"),"")</f>
        <v/>
      </c>
      <c r="BG433" s="98" t="str">
        <f t="shared" si="17"/>
        <v/>
      </c>
      <c r="BH433" s="99" t="str">
        <f t="shared" si="18"/>
        <v/>
      </c>
      <c r="BI433" s="100" t="str">
        <f ca="1">IFERROR(__xludf.DUMMYFUNCTION("IFERROR(VLOOKUP(F447,IMPORTRANGE(""https://docs.google.com/spreadsheets/d/1Kvs4KS76FHFqLFIZfrDMff4kP08nblUkihrxltoGBjg/edit#gid=934712705"",""ESENCIAL!A6:BG""),2,FALSE))"),"")</f>
        <v/>
      </c>
      <c r="BJ433" s="19" t="str">
        <f t="shared" si="19"/>
        <v/>
      </c>
      <c r="BK433" s="100"/>
      <c r="BL433" s="100"/>
    </row>
    <row r="434" spans="1:64" ht="15">
      <c r="A434" s="5"/>
      <c r="B434" s="5"/>
      <c r="G434" s="5" t="str">
        <f ca="1">IFERROR(__xludf.DUMMYFUNCTION("IFERROR(VLOOKUP(F448,IMPORTRANGE(""https://docs.google.com/spreadsheets/d/1Kvs4KS76FHFqLFIZfrDMff4kP08nblUkihrxltoGBjg/edit#gid=934712705"",""ESENCIAL!A6:BG""),3,FALSE))"),"")</f>
        <v/>
      </c>
      <c r="H434" s="5" t="str">
        <f ca="1">IFERROR(__xludf.DUMMYFUNCTION("IFERROR(VLOOKUP(F448,IMPORTRANGE(""https://docs.google.com/spreadsheets/d/1Kvs4KS76FHFqLFIZfrDMff4kP08nblUkihrxltoGBjg/edit#gid=934712705"",""ESENCIAL!A6:BG""),8,FALSE))"),"")</f>
        <v/>
      </c>
      <c r="L434" s="287"/>
      <c r="U434" s="40"/>
      <c r="AU434" s="41" t="str">
        <f t="shared" si="16"/>
        <v/>
      </c>
      <c r="AV434" s="5" t="str">
        <f ca="1">IFERROR(__xludf.DUMMYFUNCTION("IFERROR(VLOOKUP(E448&amp;F448,IMPORTRANGE(""https://docs.google.com/spreadsheets/d/1Uw7-A9f9R21vMXxHZFNpYNeKFtG8_yji4HS352LGlSQ/edit?pli=1#gid=0"",""1_ACUM!A4:S""),11,FALSE))"),"")</f>
        <v/>
      </c>
      <c r="AW434" s="42" t="str">
        <f ca="1">IFERROR(__xludf.DUMMYFUNCTION("IFERROR(VLOOKUP(F448,IMPORTRANGE(""https://docs.google.com/spreadsheets/d/1Kvs4KS76FHFqLFIZfrDMff4kP08nblUkihrxltoGBjg/edit#gid=934712705"",""ESENCIAL!A6:BG""),15,FALSE))"),"")</f>
        <v/>
      </c>
      <c r="AX434" s="21" t="str">
        <f ca="1">IFERROR(__xludf.DUMMYFUNCTION("IFERROR(VLOOKUP(E448&amp;F448,IMPORTRANGE(""https://docs.google.com/spreadsheets/d/1Uw7-A9f9R21vMXxHZFNpYNeKFtG8_yji4HS352LGlSQ/edit?pli=1#gid=0"",""1_ACUM!A4:S""),12,FALSE))"),"")</f>
        <v/>
      </c>
      <c r="AY434" s="43" t="str">
        <f ca="1">IFERROR(__xludf.DUMMYFUNCTION("IFERROR(VLOOKUP(E448&amp;F448,IMPORTRANGE(""https://docs.google.com/spreadsheets/d/1Uw7-A9f9R21vMXxHZFNpYNeKFtG8_yji4HS352LGlSQ/edit?pli=1#gid=0"",""1_ACUM!A4:S""),13,FALSE))"),"")</f>
        <v/>
      </c>
      <c r="AZ434" s="43" t="str">
        <f ca="1">IFERROR(__xludf.DUMMYFUNCTION("IFERROR(VLOOKUP(E448&amp;F448,IMPORTRANGE(""https://docs.google.com/spreadsheets/d/1Uw7-A9f9R21vMXxHZFNpYNeKFtG8_yji4HS352LGlSQ/edit?pli=1#gid=0"",""1_ACUM!A4:S""),14,FALSE))"),"")</f>
        <v/>
      </c>
      <c r="BA434" s="43" t="str">
        <f ca="1">IFERROR(__xludf.DUMMYFUNCTION("IFERROR(VLOOKUP(E448&amp;F448,IMPORTRANGE(""https://docs.google.com/spreadsheets/d/1Uw7-A9f9R21vMXxHZFNpYNeKFtG8_yji4HS352LGlSQ/edit?pli=1#gid=0"",""1_ACUM!A4:S""),15,FALSE))"),"")</f>
        <v/>
      </c>
      <c r="BB434" s="43" t="str">
        <f ca="1">IFERROR(__xludf.DUMMYFUNCTION("IFERROR(VLOOKUP(E448&amp;F448,IMPORTRANGE(""https://docs.google.com/spreadsheets/d/1Uw7-A9f9R21vMXxHZFNpYNeKFtG8_yji4HS352LGlSQ/edit?pli=1#gid=0"",""1_ACUM!A4:S""),16,FALSE))"),"")</f>
        <v/>
      </c>
      <c r="BC434" s="43" t="str">
        <f ca="1">IFERROR(__xludf.DUMMYFUNCTION("IFERROR(VLOOKUP(E448&amp;F448,IMPORTRANGE(""https://docs.google.com/spreadsheets/d/1Uw7-A9f9R21vMXxHZFNpYNeKFtG8_yji4HS352LGlSQ/edit?pli=1#gid=0"",""1_ACUM!A4:S""),17,FALSE))"),"")</f>
        <v/>
      </c>
      <c r="BD434" s="44" t="str">
        <f ca="1">IFERROR(__xludf.DUMMYFUNCTION("IFERROR(VLOOKUP(E448&amp;F448,IMPORTRANGE(""https://docs.google.com/spreadsheets/d/1Uw7-A9f9R21vMXxHZFNpYNeKFtG8_yji4HS352LGlSQ/edit?pli=1#gid=0"",""1_ACUM!A4:S""),18,FALSE))"),"")</f>
        <v/>
      </c>
      <c r="BE434" s="44" t="str">
        <f ca="1">IFERROR(__xludf.DUMMYFUNCTION("IFERROR(VLOOKUP(E448&amp;F448,IMPORTRANGE(""https://docs.google.com/spreadsheets/d/1Uw7-A9f9R21vMXxHZFNpYNeKFtG8_yji4HS352LGlSQ/edit?pli=1#gid=0"",""1_ACUM!A4:S""),19,FALSE))"),"")</f>
        <v/>
      </c>
      <c r="BF434" s="98" t="str">
        <f ca="1">IFERROR(__xludf.DUMMYFUNCTION("IFERROR(VLOOKUP(F448,IMPORTRANGE(""https://docs.google.com/spreadsheets/d/1Kvs4KS76FHFqLFIZfrDMff4kP08nblUkihrxltoGBjg/edit#gid=934712705"",""ESENCIAL!A6:BG""),5,FALSE))"),"")</f>
        <v/>
      </c>
      <c r="BG434" s="98" t="str">
        <f t="shared" si="17"/>
        <v/>
      </c>
      <c r="BH434" s="99" t="str">
        <f t="shared" si="18"/>
        <v/>
      </c>
      <c r="BI434" s="100" t="str">
        <f ca="1">IFERROR(__xludf.DUMMYFUNCTION("IFERROR(VLOOKUP(F448,IMPORTRANGE(""https://docs.google.com/spreadsheets/d/1Kvs4KS76FHFqLFIZfrDMff4kP08nblUkihrxltoGBjg/edit#gid=934712705"",""ESENCIAL!A6:BG""),2,FALSE))"),"")</f>
        <v/>
      </c>
      <c r="BJ434" s="19" t="str">
        <f t="shared" si="19"/>
        <v/>
      </c>
      <c r="BK434" s="100"/>
      <c r="BL434" s="100"/>
    </row>
    <row r="435" spans="1:64" ht="15">
      <c r="A435" s="5"/>
      <c r="B435" s="5"/>
      <c r="G435" s="5" t="str">
        <f ca="1">IFERROR(__xludf.DUMMYFUNCTION("IFERROR(VLOOKUP(F449,IMPORTRANGE(""https://docs.google.com/spreadsheets/d/1Kvs4KS76FHFqLFIZfrDMff4kP08nblUkihrxltoGBjg/edit#gid=934712705"",""ESENCIAL!A6:BG""),3,FALSE))"),"")</f>
        <v/>
      </c>
      <c r="H435" s="5" t="str">
        <f ca="1">IFERROR(__xludf.DUMMYFUNCTION("IFERROR(VLOOKUP(F449,IMPORTRANGE(""https://docs.google.com/spreadsheets/d/1Kvs4KS76FHFqLFIZfrDMff4kP08nblUkihrxltoGBjg/edit#gid=934712705"",""ESENCIAL!A6:BG""),8,FALSE))"),"")</f>
        <v/>
      </c>
      <c r="L435" s="287"/>
      <c r="U435" s="40"/>
      <c r="AU435" s="41" t="str">
        <f t="shared" si="16"/>
        <v/>
      </c>
      <c r="AV435" s="5" t="str">
        <f ca="1">IFERROR(__xludf.DUMMYFUNCTION("IFERROR(VLOOKUP(E449&amp;F449,IMPORTRANGE(""https://docs.google.com/spreadsheets/d/1Uw7-A9f9R21vMXxHZFNpYNeKFtG8_yji4HS352LGlSQ/edit?pli=1#gid=0"",""1_ACUM!A4:S""),11,FALSE))"),"")</f>
        <v/>
      </c>
      <c r="AW435" s="42" t="str">
        <f ca="1">IFERROR(__xludf.DUMMYFUNCTION("IFERROR(VLOOKUP(F449,IMPORTRANGE(""https://docs.google.com/spreadsheets/d/1Kvs4KS76FHFqLFIZfrDMff4kP08nblUkihrxltoGBjg/edit#gid=934712705"",""ESENCIAL!A6:BG""),15,FALSE))"),"")</f>
        <v/>
      </c>
      <c r="AX435" s="21" t="str">
        <f ca="1">IFERROR(__xludf.DUMMYFUNCTION("IFERROR(VLOOKUP(E449&amp;F449,IMPORTRANGE(""https://docs.google.com/spreadsheets/d/1Uw7-A9f9R21vMXxHZFNpYNeKFtG8_yji4HS352LGlSQ/edit?pli=1#gid=0"",""1_ACUM!A4:S""),12,FALSE))"),"")</f>
        <v/>
      </c>
      <c r="AY435" s="43" t="str">
        <f ca="1">IFERROR(__xludf.DUMMYFUNCTION("IFERROR(VLOOKUP(E449&amp;F449,IMPORTRANGE(""https://docs.google.com/spreadsheets/d/1Uw7-A9f9R21vMXxHZFNpYNeKFtG8_yji4HS352LGlSQ/edit?pli=1#gid=0"",""1_ACUM!A4:S""),13,FALSE))"),"")</f>
        <v/>
      </c>
      <c r="AZ435" s="43" t="str">
        <f ca="1">IFERROR(__xludf.DUMMYFUNCTION("IFERROR(VLOOKUP(E449&amp;F449,IMPORTRANGE(""https://docs.google.com/spreadsheets/d/1Uw7-A9f9R21vMXxHZFNpYNeKFtG8_yji4HS352LGlSQ/edit?pli=1#gid=0"",""1_ACUM!A4:S""),14,FALSE))"),"")</f>
        <v/>
      </c>
      <c r="BA435" s="43" t="str">
        <f ca="1">IFERROR(__xludf.DUMMYFUNCTION("IFERROR(VLOOKUP(E449&amp;F449,IMPORTRANGE(""https://docs.google.com/spreadsheets/d/1Uw7-A9f9R21vMXxHZFNpYNeKFtG8_yji4HS352LGlSQ/edit?pli=1#gid=0"",""1_ACUM!A4:S""),15,FALSE))"),"")</f>
        <v/>
      </c>
      <c r="BB435" s="43" t="str">
        <f ca="1">IFERROR(__xludf.DUMMYFUNCTION("IFERROR(VLOOKUP(E449&amp;F449,IMPORTRANGE(""https://docs.google.com/spreadsheets/d/1Uw7-A9f9R21vMXxHZFNpYNeKFtG8_yji4HS352LGlSQ/edit?pli=1#gid=0"",""1_ACUM!A4:S""),16,FALSE))"),"")</f>
        <v/>
      </c>
      <c r="BC435" s="43" t="str">
        <f ca="1">IFERROR(__xludf.DUMMYFUNCTION("IFERROR(VLOOKUP(E449&amp;F449,IMPORTRANGE(""https://docs.google.com/spreadsheets/d/1Uw7-A9f9R21vMXxHZFNpYNeKFtG8_yji4HS352LGlSQ/edit?pli=1#gid=0"",""1_ACUM!A4:S""),17,FALSE))"),"")</f>
        <v/>
      </c>
      <c r="BD435" s="44" t="str">
        <f ca="1">IFERROR(__xludf.DUMMYFUNCTION("IFERROR(VLOOKUP(E449&amp;F449,IMPORTRANGE(""https://docs.google.com/spreadsheets/d/1Uw7-A9f9R21vMXxHZFNpYNeKFtG8_yji4HS352LGlSQ/edit?pli=1#gid=0"",""1_ACUM!A4:S""),18,FALSE))"),"")</f>
        <v/>
      </c>
      <c r="BE435" s="44" t="str">
        <f ca="1">IFERROR(__xludf.DUMMYFUNCTION("IFERROR(VLOOKUP(E449&amp;F449,IMPORTRANGE(""https://docs.google.com/spreadsheets/d/1Uw7-A9f9R21vMXxHZFNpYNeKFtG8_yji4HS352LGlSQ/edit?pli=1#gid=0"",""1_ACUM!A4:S""),19,FALSE))"),"")</f>
        <v/>
      </c>
      <c r="BF435" s="98" t="str">
        <f ca="1">IFERROR(__xludf.DUMMYFUNCTION("IFERROR(VLOOKUP(F449,IMPORTRANGE(""https://docs.google.com/spreadsheets/d/1Kvs4KS76FHFqLFIZfrDMff4kP08nblUkihrxltoGBjg/edit#gid=934712705"",""ESENCIAL!A6:BG""),5,FALSE))"),"")</f>
        <v/>
      </c>
      <c r="BG435" s="98" t="str">
        <f t="shared" si="17"/>
        <v/>
      </c>
      <c r="BH435" s="99" t="str">
        <f t="shared" si="18"/>
        <v/>
      </c>
      <c r="BI435" s="100" t="str">
        <f ca="1">IFERROR(__xludf.DUMMYFUNCTION("IFERROR(VLOOKUP(F449,IMPORTRANGE(""https://docs.google.com/spreadsheets/d/1Kvs4KS76FHFqLFIZfrDMff4kP08nblUkihrxltoGBjg/edit#gid=934712705"",""ESENCIAL!A6:BG""),2,FALSE))"),"")</f>
        <v/>
      </c>
      <c r="BJ435" s="19" t="str">
        <f t="shared" si="19"/>
        <v/>
      </c>
      <c r="BK435" s="100"/>
      <c r="BL435" s="100"/>
    </row>
    <row r="436" spans="1:64" ht="15">
      <c r="A436" s="5"/>
      <c r="B436" s="5"/>
      <c r="G436" s="5" t="str">
        <f ca="1">IFERROR(__xludf.DUMMYFUNCTION("IFERROR(VLOOKUP(F450,IMPORTRANGE(""https://docs.google.com/spreadsheets/d/1Kvs4KS76FHFqLFIZfrDMff4kP08nblUkihrxltoGBjg/edit#gid=934712705"",""ESENCIAL!A6:BG""),3,FALSE))"),"")</f>
        <v/>
      </c>
      <c r="H436" s="5" t="str">
        <f ca="1">IFERROR(__xludf.DUMMYFUNCTION("IFERROR(VLOOKUP(F450,IMPORTRANGE(""https://docs.google.com/spreadsheets/d/1Kvs4KS76FHFqLFIZfrDMff4kP08nblUkihrxltoGBjg/edit#gid=934712705"",""ESENCIAL!A6:BG""),8,FALSE))"),"")</f>
        <v/>
      </c>
      <c r="L436" s="287"/>
      <c r="U436" s="40"/>
      <c r="AU436" s="41" t="str">
        <f t="shared" si="16"/>
        <v/>
      </c>
      <c r="AV436" s="5" t="str">
        <f ca="1">IFERROR(__xludf.DUMMYFUNCTION("IFERROR(VLOOKUP(E450&amp;F450,IMPORTRANGE(""https://docs.google.com/spreadsheets/d/1Uw7-A9f9R21vMXxHZFNpYNeKFtG8_yji4HS352LGlSQ/edit?pli=1#gid=0"",""1_ACUM!A4:S""),11,FALSE))"),"")</f>
        <v/>
      </c>
      <c r="AW436" s="42" t="str">
        <f ca="1">IFERROR(__xludf.DUMMYFUNCTION("IFERROR(VLOOKUP(F450,IMPORTRANGE(""https://docs.google.com/spreadsheets/d/1Kvs4KS76FHFqLFIZfrDMff4kP08nblUkihrxltoGBjg/edit#gid=934712705"",""ESENCIAL!A6:BG""),15,FALSE))"),"")</f>
        <v/>
      </c>
      <c r="AX436" s="21" t="str">
        <f ca="1">IFERROR(__xludf.DUMMYFUNCTION("IFERROR(VLOOKUP(E450&amp;F450,IMPORTRANGE(""https://docs.google.com/spreadsheets/d/1Uw7-A9f9R21vMXxHZFNpYNeKFtG8_yji4HS352LGlSQ/edit?pli=1#gid=0"",""1_ACUM!A4:S""),12,FALSE))"),"")</f>
        <v/>
      </c>
      <c r="AY436" s="43" t="str">
        <f ca="1">IFERROR(__xludf.DUMMYFUNCTION("IFERROR(VLOOKUP(E450&amp;F450,IMPORTRANGE(""https://docs.google.com/spreadsheets/d/1Uw7-A9f9R21vMXxHZFNpYNeKFtG8_yji4HS352LGlSQ/edit?pli=1#gid=0"",""1_ACUM!A4:S""),13,FALSE))"),"")</f>
        <v/>
      </c>
      <c r="AZ436" s="43" t="str">
        <f ca="1">IFERROR(__xludf.DUMMYFUNCTION("IFERROR(VLOOKUP(E450&amp;F450,IMPORTRANGE(""https://docs.google.com/spreadsheets/d/1Uw7-A9f9R21vMXxHZFNpYNeKFtG8_yji4HS352LGlSQ/edit?pli=1#gid=0"",""1_ACUM!A4:S""),14,FALSE))"),"")</f>
        <v/>
      </c>
      <c r="BA436" s="43" t="str">
        <f ca="1">IFERROR(__xludf.DUMMYFUNCTION("IFERROR(VLOOKUP(E450&amp;F450,IMPORTRANGE(""https://docs.google.com/spreadsheets/d/1Uw7-A9f9R21vMXxHZFNpYNeKFtG8_yji4HS352LGlSQ/edit?pli=1#gid=0"",""1_ACUM!A4:S""),15,FALSE))"),"")</f>
        <v/>
      </c>
      <c r="BB436" s="43" t="str">
        <f ca="1">IFERROR(__xludf.DUMMYFUNCTION("IFERROR(VLOOKUP(E450&amp;F450,IMPORTRANGE(""https://docs.google.com/spreadsheets/d/1Uw7-A9f9R21vMXxHZFNpYNeKFtG8_yji4HS352LGlSQ/edit?pli=1#gid=0"",""1_ACUM!A4:S""),16,FALSE))"),"")</f>
        <v/>
      </c>
      <c r="BC436" s="43" t="str">
        <f ca="1">IFERROR(__xludf.DUMMYFUNCTION("IFERROR(VLOOKUP(E450&amp;F450,IMPORTRANGE(""https://docs.google.com/spreadsheets/d/1Uw7-A9f9R21vMXxHZFNpYNeKFtG8_yji4HS352LGlSQ/edit?pli=1#gid=0"",""1_ACUM!A4:S""),17,FALSE))"),"")</f>
        <v/>
      </c>
      <c r="BD436" s="44" t="str">
        <f ca="1">IFERROR(__xludf.DUMMYFUNCTION("IFERROR(VLOOKUP(E450&amp;F450,IMPORTRANGE(""https://docs.google.com/spreadsheets/d/1Uw7-A9f9R21vMXxHZFNpYNeKFtG8_yji4HS352LGlSQ/edit?pli=1#gid=0"",""1_ACUM!A4:S""),18,FALSE))"),"")</f>
        <v/>
      </c>
      <c r="BE436" s="44" t="str">
        <f ca="1">IFERROR(__xludf.DUMMYFUNCTION("IFERROR(VLOOKUP(E450&amp;F450,IMPORTRANGE(""https://docs.google.com/spreadsheets/d/1Uw7-A9f9R21vMXxHZFNpYNeKFtG8_yji4HS352LGlSQ/edit?pli=1#gid=0"",""1_ACUM!A4:S""),19,FALSE))"),"")</f>
        <v/>
      </c>
      <c r="BF436" s="98" t="str">
        <f ca="1">IFERROR(__xludf.DUMMYFUNCTION("IFERROR(VLOOKUP(F450,IMPORTRANGE(""https://docs.google.com/spreadsheets/d/1Kvs4KS76FHFqLFIZfrDMff4kP08nblUkihrxltoGBjg/edit#gid=934712705"",""ESENCIAL!A6:BG""),5,FALSE))"),"")</f>
        <v/>
      </c>
      <c r="BG436" s="98" t="str">
        <f t="shared" si="17"/>
        <v/>
      </c>
      <c r="BH436" s="99" t="str">
        <f t="shared" si="18"/>
        <v/>
      </c>
      <c r="BI436" s="100" t="str">
        <f ca="1">IFERROR(__xludf.DUMMYFUNCTION("IFERROR(VLOOKUP(F450,IMPORTRANGE(""https://docs.google.com/spreadsheets/d/1Kvs4KS76FHFqLFIZfrDMff4kP08nblUkihrxltoGBjg/edit#gid=934712705"",""ESENCIAL!A6:BG""),2,FALSE))"),"")</f>
        <v/>
      </c>
      <c r="BJ436" s="19" t="str">
        <f t="shared" si="19"/>
        <v/>
      </c>
      <c r="BK436" s="100"/>
      <c r="BL436" s="100"/>
    </row>
    <row r="437" spans="1:64" ht="15">
      <c r="A437" s="5"/>
      <c r="B437" s="5"/>
      <c r="G437" s="5" t="str">
        <f ca="1">IFERROR(__xludf.DUMMYFUNCTION("IFERROR(VLOOKUP(F451,IMPORTRANGE(""https://docs.google.com/spreadsheets/d/1Kvs4KS76FHFqLFIZfrDMff4kP08nblUkihrxltoGBjg/edit#gid=934712705"",""ESENCIAL!A6:BG""),3,FALSE))"),"")</f>
        <v/>
      </c>
      <c r="H437" s="5" t="str">
        <f ca="1">IFERROR(__xludf.DUMMYFUNCTION("IFERROR(VLOOKUP(F451,IMPORTRANGE(""https://docs.google.com/spreadsheets/d/1Kvs4KS76FHFqLFIZfrDMff4kP08nblUkihrxltoGBjg/edit#gid=934712705"",""ESENCIAL!A6:BG""),8,FALSE))"),"")</f>
        <v/>
      </c>
      <c r="L437" s="287"/>
      <c r="U437" s="40"/>
      <c r="AU437" s="41" t="str">
        <f t="shared" si="16"/>
        <v/>
      </c>
      <c r="AV437" s="5" t="str">
        <f ca="1">IFERROR(__xludf.DUMMYFUNCTION("IFERROR(VLOOKUP(E451&amp;F451,IMPORTRANGE(""https://docs.google.com/spreadsheets/d/1Uw7-A9f9R21vMXxHZFNpYNeKFtG8_yji4HS352LGlSQ/edit?pli=1#gid=0"",""1_ACUM!A4:S""),11,FALSE))"),"")</f>
        <v/>
      </c>
      <c r="AW437" s="42" t="str">
        <f ca="1">IFERROR(__xludf.DUMMYFUNCTION("IFERROR(VLOOKUP(F451,IMPORTRANGE(""https://docs.google.com/spreadsheets/d/1Kvs4KS76FHFqLFIZfrDMff4kP08nblUkihrxltoGBjg/edit#gid=934712705"",""ESENCIAL!A6:BG""),15,FALSE))"),"")</f>
        <v/>
      </c>
      <c r="AX437" s="21" t="str">
        <f ca="1">IFERROR(__xludf.DUMMYFUNCTION("IFERROR(VLOOKUP(E451&amp;F451,IMPORTRANGE(""https://docs.google.com/spreadsheets/d/1Uw7-A9f9R21vMXxHZFNpYNeKFtG8_yji4HS352LGlSQ/edit?pli=1#gid=0"",""1_ACUM!A4:S""),12,FALSE))"),"")</f>
        <v/>
      </c>
      <c r="AY437" s="43" t="str">
        <f ca="1">IFERROR(__xludf.DUMMYFUNCTION("IFERROR(VLOOKUP(E451&amp;F451,IMPORTRANGE(""https://docs.google.com/spreadsheets/d/1Uw7-A9f9R21vMXxHZFNpYNeKFtG8_yji4HS352LGlSQ/edit?pli=1#gid=0"",""1_ACUM!A4:S""),13,FALSE))"),"")</f>
        <v/>
      </c>
      <c r="AZ437" s="43" t="str">
        <f ca="1">IFERROR(__xludf.DUMMYFUNCTION("IFERROR(VLOOKUP(E451&amp;F451,IMPORTRANGE(""https://docs.google.com/spreadsheets/d/1Uw7-A9f9R21vMXxHZFNpYNeKFtG8_yji4HS352LGlSQ/edit?pli=1#gid=0"",""1_ACUM!A4:S""),14,FALSE))"),"")</f>
        <v/>
      </c>
      <c r="BA437" s="43" t="str">
        <f ca="1">IFERROR(__xludf.DUMMYFUNCTION("IFERROR(VLOOKUP(E451&amp;F451,IMPORTRANGE(""https://docs.google.com/spreadsheets/d/1Uw7-A9f9R21vMXxHZFNpYNeKFtG8_yji4HS352LGlSQ/edit?pli=1#gid=0"",""1_ACUM!A4:S""),15,FALSE))"),"")</f>
        <v/>
      </c>
      <c r="BB437" s="43" t="str">
        <f ca="1">IFERROR(__xludf.DUMMYFUNCTION("IFERROR(VLOOKUP(E451&amp;F451,IMPORTRANGE(""https://docs.google.com/spreadsheets/d/1Uw7-A9f9R21vMXxHZFNpYNeKFtG8_yji4HS352LGlSQ/edit?pli=1#gid=0"",""1_ACUM!A4:S""),16,FALSE))"),"")</f>
        <v/>
      </c>
      <c r="BC437" s="43" t="str">
        <f ca="1">IFERROR(__xludf.DUMMYFUNCTION("IFERROR(VLOOKUP(E451&amp;F451,IMPORTRANGE(""https://docs.google.com/spreadsheets/d/1Uw7-A9f9R21vMXxHZFNpYNeKFtG8_yji4HS352LGlSQ/edit?pli=1#gid=0"",""1_ACUM!A4:S""),17,FALSE))"),"")</f>
        <v/>
      </c>
      <c r="BD437" s="44" t="str">
        <f ca="1">IFERROR(__xludf.DUMMYFUNCTION("IFERROR(VLOOKUP(E451&amp;F451,IMPORTRANGE(""https://docs.google.com/spreadsheets/d/1Uw7-A9f9R21vMXxHZFNpYNeKFtG8_yji4HS352LGlSQ/edit?pli=1#gid=0"",""1_ACUM!A4:S""),18,FALSE))"),"")</f>
        <v/>
      </c>
      <c r="BE437" s="44" t="str">
        <f ca="1">IFERROR(__xludf.DUMMYFUNCTION("IFERROR(VLOOKUP(E451&amp;F451,IMPORTRANGE(""https://docs.google.com/spreadsheets/d/1Uw7-A9f9R21vMXxHZFNpYNeKFtG8_yji4HS352LGlSQ/edit?pli=1#gid=0"",""1_ACUM!A4:S""),19,FALSE))"),"")</f>
        <v/>
      </c>
      <c r="BF437" s="98" t="str">
        <f ca="1">IFERROR(__xludf.DUMMYFUNCTION("IFERROR(VLOOKUP(F451,IMPORTRANGE(""https://docs.google.com/spreadsheets/d/1Kvs4KS76FHFqLFIZfrDMff4kP08nblUkihrxltoGBjg/edit#gid=934712705"",""ESENCIAL!A6:BG""),5,FALSE))"),"")</f>
        <v/>
      </c>
      <c r="BG437" s="98" t="str">
        <f t="shared" si="17"/>
        <v/>
      </c>
      <c r="BH437" s="99" t="str">
        <f t="shared" si="18"/>
        <v/>
      </c>
      <c r="BI437" s="100" t="str">
        <f ca="1">IFERROR(__xludf.DUMMYFUNCTION("IFERROR(VLOOKUP(F451,IMPORTRANGE(""https://docs.google.com/spreadsheets/d/1Kvs4KS76FHFqLFIZfrDMff4kP08nblUkihrxltoGBjg/edit#gid=934712705"",""ESENCIAL!A6:BG""),2,FALSE))"),"")</f>
        <v/>
      </c>
      <c r="BJ437" s="19" t="str">
        <f t="shared" si="19"/>
        <v/>
      </c>
      <c r="BK437" s="100"/>
      <c r="BL437" s="100"/>
    </row>
    <row r="438" spans="1:64" ht="15">
      <c r="A438" s="5"/>
      <c r="B438" s="5"/>
      <c r="G438" s="5" t="str">
        <f ca="1">IFERROR(__xludf.DUMMYFUNCTION("IFERROR(VLOOKUP(F452,IMPORTRANGE(""https://docs.google.com/spreadsheets/d/1Kvs4KS76FHFqLFIZfrDMff4kP08nblUkihrxltoGBjg/edit#gid=934712705"",""ESENCIAL!A6:BG""),3,FALSE))"),"")</f>
        <v/>
      </c>
      <c r="H438" s="5" t="str">
        <f ca="1">IFERROR(__xludf.DUMMYFUNCTION("IFERROR(VLOOKUP(F452,IMPORTRANGE(""https://docs.google.com/spreadsheets/d/1Kvs4KS76FHFqLFIZfrDMff4kP08nblUkihrxltoGBjg/edit#gid=934712705"",""ESENCIAL!A6:BG""),8,FALSE))"),"")</f>
        <v/>
      </c>
      <c r="L438" s="287"/>
      <c r="U438" s="40"/>
      <c r="AU438" s="41" t="str">
        <f t="shared" si="16"/>
        <v/>
      </c>
      <c r="AV438" s="5" t="str">
        <f ca="1">IFERROR(__xludf.DUMMYFUNCTION("IFERROR(VLOOKUP(E452&amp;F452,IMPORTRANGE(""https://docs.google.com/spreadsheets/d/1Uw7-A9f9R21vMXxHZFNpYNeKFtG8_yji4HS352LGlSQ/edit?pli=1#gid=0"",""1_ACUM!A4:S""),11,FALSE))"),"")</f>
        <v/>
      </c>
      <c r="AW438" s="42" t="str">
        <f ca="1">IFERROR(__xludf.DUMMYFUNCTION("IFERROR(VLOOKUP(F452,IMPORTRANGE(""https://docs.google.com/spreadsheets/d/1Kvs4KS76FHFqLFIZfrDMff4kP08nblUkihrxltoGBjg/edit#gid=934712705"",""ESENCIAL!A6:BG""),15,FALSE))"),"")</f>
        <v/>
      </c>
      <c r="AX438" s="21" t="str">
        <f ca="1">IFERROR(__xludf.DUMMYFUNCTION("IFERROR(VLOOKUP(E452&amp;F452,IMPORTRANGE(""https://docs.google.com/spreadsheets/d/1Uw7-A9f9R21vMXxHZFNpYNeKFtG8_yji4HS352LGlSQ/edit?pli=1#gid=0"",""1_ACUM!A4:S""),12,FALSE))"),"")</f>
        <v/>
      </c>
      <c r="AY438" s="43" t="str">
        <f ca="1">IFERROR(__xludf.DUMMYFUNCTION("IFERROR(VLOOKUP(E452&amp;F452,IMPORTRANGE(""https://docs.google.com/spreadsheets/d/1Uw7-A9f9R21vMXxHZFNpYNeKFtG8_yji4HS352LGlSQ/edit?pli=1#gid=0"",""1_ACUM!A4:S""),13,FALSE))"),"")</f>
        <v/>
      </c>
      <c r="AZ438" s="43" t="str">
        <f ca="1">IFERROR(__xludf.DUMMYFUNCTION("IFERROR(VLOOKUP(E452&amp;F452,IMPORTRANGE(""https://docs.google.com/spreadsheets/d/1Uw7-A9f9R21vMXxHZFNpYNeKFtG8_yji4HS352LGlSQ/edit?pli=1#gid=0"",""1_ACUM!A4:S""),14,FALSE))"),"")</f>
        <v/>
      </c>
      <c r="BA438" s="43" t="str">
        <f ca="1">IFERROR(__xludf.DUMMYFUNCTION("IFERROR(VLOOKUP(E452&amp;F452,IMPORTRANGE(""https://docs.google.com/spreadsheets/d/1Uw7-A9f9R21vMXxHZFNpYNeKFtG8_yji4HS352LGlSQ/edit?pli=1#gid=0"",""1_ACUM!A4:S""),15,FALSE))"),"")</f>
        <v/>
      </c>
      <c r="BB438" s="43" t="str">
        <f ca="1">IFERROR(__xludf.DUMMYFUNCTION("IFERROR(VLOOKUP(E452&amp;F452,IMPORTRANGE(""https://docs.google.com/spreadsheets/d/1Uw7-A9f9R21vMXxHZFNpYNeKFtG8_yji4HS352LGlSQ/edit?pli=1#gid=0"",""1_ACUM!A4:S""),16,FALSE))"),"")</f>
        <v/>
      </c>
      <c r="BC438" s="43" t="str">
        <f ca="1">IFERROR(__xludf.DUMMYFUNCTION("IFERROR(VLOOKUP(E452&amp;F452,IMPORTRANGE(""https://docs.google.com/spreadsheets/d/1Uw7-A9f9R21vMXxHZFNpYNeKFtG8_yji4HS352LGlSQ/edit?pli=1#gid=0"",""1_ACUM!A4:S""),17,FALSE))"),"")</f>
        <v/>
      </c>
      <c r="BD438" s="44" t="str">
        <f ca="1">IFERROR(__xludf.DUMMYFUNCTION("IFERROR(VLOOKUP(E452&amp;F452,IMPORTRANGE(""https://docs.google.com/spreadsheets/d/1Uw7-A9f9R21vMXxHZFNpYNeKFtG8_yji4HS352LGlSQ/edit?pli=1#gid=0"",""1_ACUM!A4:S""),18,FALSE))"),"")</f>
        <v/>
      </c>
      <c r="BE438" s="44" t="str">
        <f ca="1">IFERROR(__xludf.DUMMYFUNCTION("IFERROR(VLOOKUP(E452&amp;F452,IMPORTRANGE(""https://docs.google.com/spreadsheets/d/1Uw7-A9f9R21vMXxHZFNpYNeKFtG8_yji4HS352LGlSQ/edit?pli=1#gid=0"",""1_ACUM!A4:S""),19,FALSE))"),"")</f>
        <v/>
      </c>
      <c r="BF438" s="98" t="str">
        <f ca="1">IFERROR(__xludf.DUMMYFUNCTION("IFERROR(VLOOKUP(F452,IMPORTRANGE(""https://docs.google.com/spreadsheets/d/1Kvs4KS76FHFqLFIZfrDMff4kP08nblUkihrxltoGBjg/edit#gid=934712705"",""ESENCIAL!A6:BG""),5,FALSE))"),"")</f>
        <v/>
      </c>
      <c r="BG438" s="98" t="str">
        <f t="shared" si="17"/>
        <v/>
      </c>
      <c r="BH438" s="99" t="str">
        <f t="shared" si="18"/>
        <v/>
      </c>
      <c r="BI438" s="100" t="str">
        <f ca="1">IFERROR(__xludf.DUMMYFUNCTION("IFERROR(VLOOKUP(F452,IMPORTRANGE(""https://docs.google.com/spreadsheets/d/1Kvs4KS76FHFqLFIZfrDMff4kP08nblUkihrxltoGBjg/edit#gid=934712705"",""ESENCIAL!A6:BG""),2,FALSE))"),"")</f>
        <v/>
      </c>
      <c r="BJ438" s="19" t="str">
        <f t="shared" si="19"/>
        <v/>
      </c>
      <c r="BK438" s="100"/>
      <c r="BL438" s="100"/>
    </row>
    <row r="439" spans="1:64" ht="15">
      <c r="A439" s="5"/>
      <c r="B439" s="5"/>
      <c r="G439" s="5" t="str">
        <f ca="1">IFERROR(__xludf.DUMMYFUNCTION("IFERROR(VLOOKUP(F453,IMPORTRANGE(""https://docs.google.com/spreadsheets/d/1Kvs4KS76FHFqLFIZfrDMff4kP08nblUkihrxltoGBjg/edit#gid=934712705"",""ESENCIAL!A6:BG""),3,FALSE))"),"")</f>
        <v/>
      </c>
      <c r="H439" s="5" t="str">
        <f ca="1">IFERROR(__xludf.DUMMYFUNCTION("IFERROR(VLOOKUP(F453,IMPORTRANGE(""https://docs.google.com/spreadsheets/d/1Kvs4KS76FHFqLFIZfrDMff4kP08nblUkihrxltoGBjg/edit#gid=934712705"",""ESENCIAL!A6:BG""),8,FALSE))"),"")</f>
        <v/>
      </c>
      <c r="L439" s="287"/>
      <c r="U439" s="40"/>
      <c r="AU439" s="41" t="str">
        <f t="shared" si="16"/>
        <v/>
      </c>
      <c r="AV439" s="5" t="str">
        <f ca="1">IFERROR(__xludf.DUMMYFUNCTION("IFERROR(VLOOKUP(E453&amp;F453,IMPORTRANGE(""https://docs.google.com/spreadsheets/d/1Uw7-A9f9R21vMXxHZFNpYNeKFtG8_yji4HS352LGlSQ/edit?pli=1#gid=0"",""1_ACUM!A4:S""),11,FALSE))"),"")</f>
        <v/>
      </c>
      <c r="AW439" s="42" t="str">
        <f ca="1">IFERROR(__xludf.DUMMYFUNCTION("IFERROR(VLOOKUP(F453,IMPORTRANGE(""https://docs.google.com/spreadsheets/d/1Kvs4KS76FHFqLFIZfrDMff4kP08nblUkihrxltoGBjg/edit#gid=934712705"",""ESENCIAL!A6:BG""),15,FALSE))"),"")</f>
        <v/>
      </c>
      <c r="AX439" s="21" t="str">
        <f ca="1">IFERROR(__xludf.DUMMYFUNCTION("IFERROR(VLOOKUP(E453&amp;F453,IMPORTRANGE(""https://docs.google.com/spreadsheets/d/1Uw7-A9f9R21vMXxHZFNpYNeKFtG8_yji4HS352LGlSQ/edit?pli=1#gid=0"",""1_ACUM!A4:S""),12,FALSE))"),"")</f>
        <v/>
      </c>
      <c r="AY439" s="43" t="str">
        <f ca="1">IFERROR(__xludf.DUMMYFUNCTION("IFERROR(VLOOKUP(E453&amp;F453,IMPORTRANGE(""https://docs.google.com/spreadsheets/d/1Uw7-A9f9R21vMXxHZFNpYNeKFtG8_yji4HS352LGlSQ/edit?pli=1#gid=0"",""1_ACUM!A4:S""),13,FALSE))"),"")</f>
        <v/>
      </c>
      <c r="AZ439" s="43" t="str">
        <f ca="1">IFERROR(__xludf.DUMMYFUNCTION("IFERROR(VLOOKUP(E453&amp;F453,IMPORTRANGE(""https://docs.google.com/spreadsheets/d/1Uw7-A9f9R21vMXxHZFNpYNeKFtG8_yji4HS352LGlSQ/edit?pli=1#gid=0"",""1_ACUM!A4:S""),14,FALSE))"),"")</f>
        <v/>
      </c>
      <c r="BA439" s="43" t="str">
        <f ca="1">IFERROR(__xludf.DUMMYFUNCTION("IFERROR(VLOOKUP(E453&amp;F453,IMPORTRANGE(""https://docs.google.com/spreadsheets/d/1Uw7-A9f9R21vMXxHZFNpYNeKFtG8_yji4HS352LGlSQ/edit?pli=1#gid=0"",""1_ACUM!A4:S""),15,FALSE))"),"")</f>
        <v/>
      </c>
      <c r="BB439" s="43" t="str">
        <f ca="1">IFERROR(__xludf.DUMMYFUNCTION("IFERROR(VLOOKUP(E453&amp;F453,IMPORTRANGE(""https://docs.google.com/spreadsheets/d/1Uw7-A9f9R21vMXxHZFNpYNeKFtG8_yji4HS352LGlSQ/edit?pli=1#gid=0"",""1_ACUM!A4:S""),16,FALSE))"),"")</f>
        <v/>
      </c>
      <c r="BC439" s="43" t="str">
        <f ca="1">IFERROR(__xludf.DUMMYFUNCTION("IFERROR(VLOOKUP(E453&amp;F453,IMPORTRANGE(""https://docs.google.com/spreadsheets/d/1Uw7-A9f9R21vMXxHZFNpYNeKFtG8_yji4HS352LGlSQ/edit?pli=1#gid=0"",""1_ACUM!A4:S""),17,FALSE))"),"")</f>
        <v/>
      </c>
      <c r="BD439" s="44" t="str">
        <f ca="1">IFERROR(__xludf.DUMMYFUNCTION("IFERROR(VLOOKUP(E453&amp;F453,IMPORTRANGE(""https://docs.google.com/spreadsheets/d/1Uw7-A9f9R21vMXxHZFNpYNeKFtG8_yji4HS352LGlSQ/edit?pli=1#gid=0"",""1_ACUM!A4:S""),18,FALSE))"),"")</f>
        <v/>
      </c>
      <c r="BE439" s="44" t="str">
        <f ca="1">IFERROR(__xludf.DUMMYFUNCTION("IFERROR(VLOOKUP(E453&amp;F453,IMPORTRANGE(""https://docs.google.com/spreadsheets/d/1Uw7-A9f9R21vMXxHZFNpYNeKFtG8_yji4HS352LGlSQ/edit?pli=1#gid=0"",""1_ACUM!A4:S""),19,FALSE))"),"")</f>
        <v/>
      </c>
      <c r="BF439" s="98" t="str">
        <f ca="1">IFERROR(__xludf.DUMMYFUNCTION("IFERROR(VLOOKUP(F453,IMPORTRANGE(""https://docs.google.com/spreadsheets/d/1Kvs4KS76FHFqLFIZfrDMff4kP08nblUkihrxltoGBjg/edit#gid=934712705"",""ESENCIAL!A6:BG""),5,FALSE))"),"")</f>
        <v/>
      </c>
      <c r="BG439" s="98" t="str">
        <f t="shared" si="17"/>
        <v/>
      </c>
      <c r="BH439" s="99" t="str">
        <f t="shared" si="18"/>
        <v/>
      </c>
      <c r="BI439" s="100" t="str">
        <f ca="1">IFERROR(__xludf.DUMMYFUNCTION("IFERROR(VLOOKUP(F453,IMPORTRANGE(""https://docs.google.com/spreadsheets/d/1Kvs4KS76FHFqLFIZfrDMff4kP08nblUkihrxltoGBjg/edit#gid=934712705"",""ESENCIAL!A6:BG""),2,FALSE))"),"")</f>
        <v/>
      </c>
      <c r="BJ439" s="19" t="str">
        <f t="shared" si="19"/>
        <v/>
      </c>
      <c r="BK439" s="100"/>
      <c r="BL439" s="100"/>
    </row>
    <row r="440" spans="1:64" ht="15">
      <c r="A440" s="5"/>
      <c r="B440" s="5"/>
      <c r="G440" s="5" t="str">
        <f ca="1">IFERROR(__xludf.DUMMYFUNCTION("IFERROR(VLOOKUP(F454,IMPORTRANGE(""https://docs.google.com/spreadsheets/d/1Kvs4KS76FHFqLFIZfrDMff4kP08nblUkihrxltoGBjg/edit#gid=934712705"",""ESENCIAL!A6:BG""),3,FALSE))"),"")</f>
        <v/>
      </c>
      <c r="H440" s="5" t="str">
        <f ca="1">IFERROR(__xludf.DUMMYFUNCTION("IFERROR(VLOOKUP(F454,IMPORTRANGE(""https://docs.google.com/spreadsheets/d/1Kvs4KS76FHFqLFIZfrDMff4kP08nblUkihrxltoGBjg/edit#gid=934712705"",""ESENCIAL!A6:BG""),8,FALSE))"),"")</f>
        <v/>
      </c>
      <c r="L440" s="287"/>
      <c r="U440" s="40"/>
      <c r="AU440" s="41" t="str">
        <f t="shared" si="16"/>
        <v/>
      </c>
      <c r="AV440" s="5" t="str">
        <f ca="1">IFERROR(__xludf.DUMMYFUNCTION("IFERROR(VLOOKUP(E454&amp;F454,IMPORTRANGE(""https://docs.google.com/spreadsheets/d/1Uw7-A9f9R21vMXxHZFNpYNeKFtG8_yji4HS352LGlSQ/edit?pli=1#gid=0"",""1_ACUM!A4:S""),11,FALSE))"),"")</f>
        <v/>
      </c>
      <c r="AW440" s="42" t="str">
        <f ca="1">IFERROR(__xludf.DUMMYFUNCTION("IFERROR(VLOOKUP(F454,IMPORTRANGE(""https://docs.google.com/spreadsheets/d/1Kvs4KS76FHFqLFIZfrDMff4kP08nblUkihrxltoGBjg/edit#gid=934712705"",""ESENCIAL!A6:BG""),15,FALSE))"),"")</f>
        <v/>
      </c>
      <c r="AX440" s="21" t="str">
        <f ca="1">IFERROR(__xludf.DUMMYFUNCTION("IFERROR(VLOOKUP(E454&amp;F454,IMPORTRANGE(""https://docs.google.com/spreadsheets/d/1Uw7-A9f9R21vMXxHZFNpYNeKFtG8_yji4HS352LGlSQ/edit?pli=1#gid=0"",""1_ACUM!A4:S""),12,FALSE))"),"")</f>
        <v/>
      </c>
      <c r="AY440" s="43" t="str">
        <f ca="1">IFERROR(__xludf.DUMMYFUNCTION("IFERROR(VLOOKUP(E454&amp;F454,IMPORTRANGE(""https://docs.google.com/spreadsheets/d/1Uw7-A9f9R21vMXxHZFNpYNeKFtG8_yji4HS352LGlSQ/edit?pli=1#gid=0"",""1_ACUM!A4:S""),13,FALSE))"),"")</f>
        <v/>
      </c>
      <c r="AZ440" s="43" t="str">
        <f ca="1">IFERROR(__xludf.DUMMYFUNCTION("IFERROR(VLOOKUP(E454&amp;F454,IMPORTRANGE(""https://docs.google.com/spreadsheets/d/1Uw7-A9f9R21vMXxHZFNpYNeKFtG8_yji4HS352LGlSQ/edit?pli=1#gid=0"",""1_ACUM!A4:S""),14,FALSE))"),"")</f>
        <v/>
      </c>
      <c r="BA440" s="43" t="str">
        <f ca="1">IFERROR(__xludf.DUMMYFUNCTION("IFERROR(VLOOKUP(E454&amp;F454,IMPORTRANGE(""https://docs.google.com/spreadsheets/d/1Uw7-A9f9R21vMXxHZFNpYNeKFtG8_yji4HS352LGlSQ/edit?pli=1#gid=0"",""1_ACUM!A4:S""),15,FALSE))"),"")</f>
        <v/>
      </c>
      <c r="BB440" s="43" t="str">
        <f ca="1">IFERROR(__xludf.DUMMYFUNCTION("IFERROR(VLOOKUP(E454&amp;F454,IMPORTRANGE(""https://docs.google.com/spreadsheets/d/1Uw7-A9f9R21vMXxHZFNpYNeKFtG8_yji4HS352LGlSQ/edit?pli=1#gid=0"",""1_ACUM!A4:S""),16,FALSE))"),"")</f>
        <v/>
      </c>
      <c r="BC440" s="43" t="str">
        <f ca="1">IFERROR(__xludf.DUMMYFUNCTION("IFERROR(VLOOKUP(E454&amp;F454,IMPORTRANGE(""https://docs.google.com/spreadsheets/d/1Uw7-A9f9R21vMXxHZFNpYNeKFtG8_yji4HS352LGlSQ/edit?pli=1#gid=0"",""1_ACUM!A4:S""),17,FALSE))"),"")</f>
        <v/>
      </c>
      <c r="BD440" s="44" t="str">
        <f ca="1">IFERROR(__xludf.DUMMYFUNCTION("IFERROR(VLOOKUP(E454&amp;F454,IMPORTRANGE(""https://docs.google.com/spreadsheets/d/1Uw7-A9f9R21vMXxHZFNpYNeKFtG8_yji4HS352LGlSQ/edit?pli=1#gid=0"",""1_ACUM!A4:S""),18,FALSE))"),"")</f>
        <v/>
      </c>
      <c r="BE440" s="44" t="str">
        <f ca="1">IFERROR(__xludf.DUMMYFUNCTION("IFERROR(VLOOKUP(E454&amp;F454,IMPORTRANGE(""https://docs.google.com/spreadsheets/d/1Uw7-A9f9R21vMXxHZFNpYNeKFtG8_yji4HS352LGlSQ/edit?pli=1#gid=0"",""1_ACUM!A4:S""),19,FALSE))"),"")</f>
        <v/>
      </c>
      <c r="BF440" s="98" t="str">
        <f ca="1">IFERROR(__xludf.DUMMYFUNCTION("IFERROR(VLOOKUP(F454,IMPORTRANGE(""https://docs.google.com/spreadsheets/d/1Kvs4KS76FHFqLFIZfrDMff4kP08nblUkihrxltoGBjg/edit#gid=934712705"",""ESENCIAL!A6:BG""),5,FALSE))"),"")</f>
        <v/>
      </c>
      <c r="BG440" s="98" t="str">
        <f t="shared" si="17"/>
        <v/>
      </c>
      <c r="BH440" s="99" t="str">
        <f t="shared" si="18"/>
        <v/>
      </c>
      <c r="BI440" s="100" t="str">
        <f ca="1">IFERROR(__xludf.DUMMYFUNCTION("IFERROR(VLOOKUP(F454,IMPORTRANGE(""https://docs.google.com/spreadsheets/d/1Kvs4KS76FHFqLFIZfrDMff4kP08nblUkihrxltoGBjg/edit#gid=934712705"",""ESENCIAL!A6:BG""),2,FALSE))"),"")</f>
        <v/>
      </c>
      <c r="BJ440" s="19" t="str">
        <f t="shared" si="19"/>
        <v/>
      </c>
      <c r="BK440" s="100"/>
      <c r="BL440" s="100"/>
    </row>
    <row r="441" spans="1:64" ht="15">
      <c r="A441" s="5"/>
      <c r="B441" s="5"/>
      <c r="G441" s="5" t="str">
        <f ca="1">IFERROR(__xludf.DUMMYFUNCTION("IFERROR(VLOOKUP(F455,IMPORTRANGE(""https://docs.google.com/spreadsheets/d/1Kvs4KS76FHFqLFIZfrDMff4kP08nblUkihrxltoGBjg/edit#gid=934712705"",""ESENCIAL!A6:BG""),3,FALSE))"),"")</f>
        <v/>
      </c>
      <c r="H441" s="5" t="str">
        <f ca="1">IFERROR(__xludf.DUMMYFUNCTION("IFERROR(VLOOKUP(F455,IMPORTRANGE(""https://docs.google.com/spreadsheets/d/1Kvs4KS76FHFqLFIZfrDMff4kP08nblUkihrxltoGBjg/edit#gid=934712705"",""ESENCIAL!A6:BG""),8,FALSE))"),"")</f>
        <v/>
      </c>
      <c r="L441" s="287"/>
      <c r="U441" s="40"/>
      <c r="AU441" s="41" t="str">
        <f t="shared" si="16"/>
        <v/>
      </c>
      <c r="AV441" s="5" t="str">
        <f ca="1">IFERROR(__xludf.DUMMYFUNCTION("IFERROR(VLOOKUP(E455&amp;F455,IMPORTRANGE(""https://docs.google.com/spreadsheets/d/1Uw7-A9f9R21vMXxHZFNpYNeKFtG8_yji4HS352LGlSQ/edit?pli=1#gid=0"",""1_ACUM!A4:S""),11,FALSE))"),"")</f>
        <v/>
      </c>
      <c r="AW441" s="42" t="str">
        <f ca="1">IFERROR(__xludf.DUMMYFUNCTION("IFERROR(VLOOKUP(F455,IMPORTRANGE(""https://docs.google.com/spreadsheets/d/1Kvs4KS76FHFqLFIZfrDMff4kP08nblUkihrxltoGBjg/edit#gid=934712705"",""ESENCIAL!A6:BG""),15,FALSE))"),"")</f>
        <v/>
      </c>
      <c r="AX441" s="21" t="str">
        <f ca="1">IFERROR(__xludf.DUMMYFUNCTION("IFERROR(VLOOKUP(E455&amp;F455,IMPORTRANGE(""https://docs.google.com/spreadsheets/d/1Uw7-A9f9R21vMXxHZFNpYNeKFtG8_yji4HS352LGlSQ/edit?pli=1#gid=0"",""1_ACUM!A4:S""),12,FALSE))"),"")</f>
        <v/>
      </c>
      <c r="AY441" s="43" t="str">
        <f ca="1">IFERROR(__xludf.DUMMYFUNCTION("IFERROR(VLOOKUP(E455&amp;F455,IMPORTRANGE(""https://docs.google.com/spreadsheets/d/1Uw7-A9f9R21vMXxHZFNpYNeKFtG8_yji4HS352LGlSQ/edit?pli=1#gid=0"",""1_ACUM!A4:S""),13,FALSE))"),"")</f>
        <v/>
      </c>
      <c r="AZ441" s="43" t="str">
        <f ca="1">IFERROR(__xludf.DUMMYFUNCTION("IFERROR(VLOOKUP(E455&amp;F455,IMPORTRANGE(""https://docs.google.com/spreadsheets/d/1Uw7-A9f9R21vMXxHZFNpYNeKFtG8_yji4HS352LGlSQ/edit?pli=1#gid=0"",""1_ACUM!A4:S""),14,FALSE))"),"")</f>
        <v/>
      </c>
      <c r="BA441" s="43" t="str">
        <f ca="1">IFERROR(__xludf.DUMMYFUNCTION("IFERROR(VLOOKUP(E455&amp;F455,IMPORTRANGE(""https://docs.google.com/spreadsheets/d/1Uw7-A9f9R21vMXxHZFNpYNeKFtG8_yji4HS352LGlSQ/edit?pli=1#gid=0"",""1_ACUM!A4:S""),15,FALSE))"),"")</f>
        <v/>
      </c>
      <c r="BB441" s="43" t="str">
        <f ca="1">IFERROR(__xludf.DUMMYFUNCTION("IFERROR(VLOOKUP(E455&amp;F455,IMPORTRANGE(""https://docs.google.com/spreadsheets/d/1Uw7-A9f9R21vMXxHZFNpYNeKFtG8_yji4HS352LGlSQ/edit?pli=1#gid=0"",""1_ACUM!A4:S""),16,FALSE))"),"")</f>
        <v/>
      </c>
      <c r="BC441" s="43" t="str">
        <f ca="1">IFERROR(__xludf.DUMMYFUNCTION("IFERROR(VLOOKUP(E455&amp;F455,IMPORTRANGE(""https://docs.google.com/spreadsheets/d/1Uw7-A9f9R21vMXxHZFNpYNeKFtG8_yji4HS352LGlSQ/edit?pli=1#gid=0"",""1_ACUM!A4:S""),17,FALSE))"),"")</f>
        <v/>
      </c>
      <c r="BD441" s="44" t="str">
        <f ca="1">IFERROR(__xludf.DUMMYFUNCTION("IFERROR(VLOOKUP(E455&amp;F455,IMPORTRANGE(""https://docs.google.com/spreadsheets/d/1Uw7-A9f9R21vMXxHZFNpYNeKFtG8_yji4HS352LGlSQ/edit?pli=1#gid=0"",""1_ACUM!A4:S""),18,FALSE))"),"")</f>
        <v/>
      </c>
      <c r="BE441" s="44" t="str">
        <f ca="1">IFERROR(__xludf.DUMMYFUNCTION("IFERROR(VLOOKUP(E455&amp;F455,IMPORTRANGE(""https://docs.google.com/spreadsheets/d/1Uw7-A9f9R21vMXxHZFNpYNeKFtG8_yji4HS352LGlSQ/edit?pli=1#gid=0"",""1_ACUM!A4:S""),19,FALSE))"),"")</f>
        <v/>
      </c>
      <c r="BF441" s="98" t="str">
        <f ca="1">IFERROR(__xludf.DUMMYFUNCTION("IFERROR(VLOOKUP(F455,IMPORTRANGE(""https://docs.google.com/spreadsheets/d/1Kvs4KS76FHFqLFIZfrDMff4kP08nblUkihrxltoGBjg/edit#gid=934712705"",""ESENCIAL!A6:BG""),5,FALSE))"),"")</f>
        <v/>
      </c>
      <c r="BG441" s="98" t="str">
        <f t="shared" si="17"/>
        <v/>
      </c>
      <c r="BH441" s="99" t="str">
        <f t="shared" si="18"/>
        <v/>
      </c>
      <c r="BI441" s="100" t="str">
        <f ca="1">IFERROR(__xludf.DUMMYFUNCTION("IFERROR(VLOOKUP(F455,IMPORTRANGE(""https://docs.google.com/spreadsheets/d/1Kvs4KS76FHFqLFIZfrDMff4kP08nblUkihrxltoGBjg/edit#gid=934712705"",""ESENCIAL!A6:BG""),2,FALSE))"),"")</f>
        <v/>
      </c>
      <c r="BJ441" s="19" t="str">
        <f t="shared" si="19"/>
        <v/>
      </c>
      <c r="BK441" s="100"/>
      <c r="BL441" s="100"/>
    </row>
    <row r="442" spans="1:64" ht="15">
      <c r="A442" s="5"/>
      <c r="B442" s="5"/>
      <c r="G442" s="5" t="str">
        <f ca="1">IFERROR(__xludf.DUMMYFUNCTION("IFERROR(VLOOKUP(F456,IMPORTRANGE(""https://docs.google.com/spreadsheets/d/1Kvs4KS76FHFqLFIZfrDMff4kP08nblUkihrxltoGBjg/edit#gid=934712705"",""ESENCIAL!A6:BG""),3,FALSE))"),"")</f>
        <v/>
      </c>
      <c r="H442" s="5" t="str">
        <f ca="1">IFERROR(__xludf.DUMMYFUNCTION("IFERROR(VLOOKUP(F456,IMPORTRANGE(""https://docs.google.com/spreadsheets/d/1Kvs4KS76FHFqLFIZfrDMff4kP08nblUkihrxltoGBjg/edit#gid=934712705"",""ESENCIAL!A6:BG""),8,FALSE))"),"")</f>
        <v/>
      </c>
      <c r="L442" s="287"/>
      <c r="U442" s="40"/>
      <c r="AU442" s="41" t="str">
        <f t="shared" si="16"/>
        <v/>
      </c>
      <c r="AV442" s="5" t="str">
        <f ca="1">IFERROR(__xludf.DUMMYFUNCTION("IFERROR(VLOOKUP(E456&amp;F456,IMPORTRANGE(""https://docs.google.com/spreadsheets/d/1Uw7-A9f9R21vMXxHZFNpYNeKFtG8_yji4HS352LGlSQ/edit?pli=1#gid=0"",""1_ACUM!A4:S""),11,FALSE))"),"")</f>
        <v/>
      </c>
      <c r="AW442" s="42" t="str">
        <f ca="1">IFERROR(__xludf.DUMMYFUNCTION("IFERROR(VLOOKUP(F456,IMPORTRANGE(""https://docs.google.com/spreadsheets/d/1Kvs4KS76FHFqLFIZfrDMff4kP08nblUkihrxltoGBjg/edit#gid=934712705"",""ESENCIAL!A6:BG""),15,FALSE))"),"")</f>
        <v/>
      </c>
      <c r="AX442" s="21" t="str">
        <f ca="1">IFERROR(__xludf.DUMMYFUNCTION("IFERROR(VLOOKUP(E456&amp;F456,IMPORTRANGE(""https://docs.google.com/spreadsheets/d/1Uw7-A9f9R21vMXxHZFNpYNeKFtG8_yji4HS352LGlSQ/edit?pli=1#gid=0"",""1_ACUM!A4:S""),12,FALSE))"),"")</f>
        <v/>
      </c>
      <c r="AY442" s="43" t="str">
        <f ca="1">IFERROR(__xludf.DUMMYFUNCTION("IFERROR(VLOOKUP(E456&amp;F456,IMPORTRANGE(""https://docs.google.com/spreadsheets/d/1Uw7-A9f9R21vMXxHZFNpYNeKFtG8_yji4HS352LGlSQ/edit?pli=1#gid=0"",""1_ACUM!A4:S""),13,FALSE))"),"")</f>
        <v/>
      </c>
      <c r="AZ442" s="43" t="str">
        <f ca="1">IFERROR(__xludf.DUMMYFUNCTION("IFERROR(VLOOKUP(E456&amp;F456,IMPORTRANGE(""https://docs.google.com/spreadsheets/d/1Uw7-A9f9R21vMXxHZFNpYNeKFtG8_yji4HS352LGlSQ/edit?pli=1#gid=0"",""1_ACUM!A4:S""),14,FALSE))"),"")</f>
        <v/>
      </c>
      <c r="BA442" s="43" t="str">
        <f ca="1">IFERROR(__xludf.DUMMYFUNCTION("IFERROR(VLOOKUP(E456&amp;F456,IMPORTRANGE(""https://docs.google.com/spreadsheets/d/1Uw7-A9f9R21vMXxHZFNpYNeKFtG8_yji4HS352LGlSQ/edit?pli=1#gid=0"",""1_ACUM!A4:S""),15,FALSE))"),"")</f>
        <v/>
      </c>
      <c r="BB442" s="43" t="str">
        <f ca="1">IFERROR(__xludf.DUMMYFUNCTION("IFERROR(VLOOKUP(E456&amp;F456,IMPORTRANGE(""https://docs.google.com/spreadsheets/d/1Uw7-A9f9R21vMXxHZFNpYNeKFtG8_yji4HS352LGlSQ/edit?pli=1#gid=0"",""1_ACUM!A4:S""),16,FALSE))"),"")</f>
        <v/>
      </c>
      <c r="BC442" s="43" t="str">
        <f ca="1">IFERROR(__xludf.DUMMYFUNCTION("IFERROR(VLOOKUP(E456&amp;F456,IMPORTRANGE(""https://docs.google.com/spreadsheets/d/1Uw7-A9f9R21vMXxHZFNpYNeKFtG8_yji4HS352LGlSQ/edit?pli=1#gid=0"",""1_ACUM!A4:S""),17,FALSE))"),"")</f>
        <v/>
      </c>
      <c r="BD442" s="44" t="str">
        <f ca="1">IFERROR(__xludf.DUMMYFUNCTION("IFERROR(VLOOKUP(E456&amp;F456,IMPORTRANGE(""https://docs.google.com/spreadsheets/d/1Uw7-A9f9R21vMXxHZFNpYNeKFtG8_yji4HS352LGlSQ/edit?pli=1#gid=0"",""1_ACUM!A4:S""),18,FALSE))"),"")</f>
        <v/>
      </c>
      <c r="BE442" s="44" t="str">
        <f ca="1">IFERROR(__xludf.DUMMYFUNCTION("IFERROR(VLOOKUP(E456&amp;F456,IMPORTRANGE(""https://docs.google.com/spreadsheets/d/1Uw7-A9f9R21vMXxHZFNpYNeKFtG8_yji4HS352LGlSQ/edit?pli=1#gid=0"",""1_ACUM!A4:S""),19,FALSE))"),"")</f>
        <v/>
      </c>
      <c r="BF442" s="98" t="str">
        <f ca="1">IFERROR(__xludf.DUMMYFUNCTION("IFERROR(VLOOKUP(F456,IMPORTRANGE(""https://docs.google.com/spreadsheets/d/1Kvs4KS76FHFqLFIZfrDMff4kP08nblUkihrxltoGBjg/edit#gid=934712705"",""ESENCIAL!A6:BG""),5,FALSE))"),"")</f>
        <v/>
      </c>
      <c r="BG442" s="98" t="str">
        <f t="shared" si="17"/>
        <v/>
      </c>
      <c r="BH442" s="99" t="str">
        <f t="shared" si="18"/>
        <v/>
      </c>
      <c r="BI442" s="100" t="str">
        <f ca="1">IFERROR(__xludf.DUMMYFUNCTION("IFERROR(VLOOKUP(F456,IMPORTRANGE(""https://docs.google.com/spreadsheets/d/1Kvs4KS76FHFqLFIZfrDMff4kP08nblUkihrxltoGBjg/edit#gid=934712705"",""ESENCIAL!A6:BG""),2,FALSE))"),"")</f>
        <v/>
      </c>
      <c r="BJ442" s="19" t="str">
        <f t="shared" si="19"/>
        <v/>
      </c>
      <c r="BK442" s="100"/>
      <c r="BL442" s="100"/>
    </row>
    <row r="443" spans="1:64" ht="15">
      <c r="A443" s="5"/>
      <c r="B443" s="5"/>
      <c r="G443" s="5" t="str">
        <f ca="1">IFERROR(__xludf.DUMMYFUNCTION("IFERROR(VLOOKUP(F457,IMPORTRANGE(""https://docs.google.com/spreadsheets/d/1Kvs4KS76FHFqLFIZfrDMff4kP08nblUkihrxltoGBjg/edit#gid=934712705"",""ESENCIAL!A6:BG""),3,FALSE))"),"")</f>
        <v/>
      </c>
      <c r="H443" s="5" t="str">
        <f ca="1">IFERROR(__xludf.DUMMYFUNCTION("IFERROR(VLOOKUP(F457,IMPORTRANGE(""https://docs.google.com/spreadsheets/d/1Kvs4KS76FHFqLFIZfrDMff4kP08nblUkihrxltoGBjg/edit#gid=934712705"",""ESENCIAL!A6:BG""),8,FALSE))"),"")</f>
        <v/>
      </c>
      <c r="L443" s="287"/>
      <c r="U443" s="40"/>
      <c r="AU443" s="41" t="str">
        <f t="shared" si="16"/>
        <v/>
      </c>
      <c r="AV443" s="5" t="str">
        <f ca="1">IFERROR(__xludf.DUMMYFUNCTION("IFERROR(VLOOKUP(E457&amp;F457,IMPORTRANGE(""https://docs.google.com/spreadsheets/d/1Uw7-A9f9R21vMXxHZFNpYNeKFtG8_yji4HS352LGlSQ/edit?pli=1#gid=0"",""1_ACUM!A4:S""),11,FALSE))"),"")</f>
        <v/>
      </c>
      <c r="AW443" s="42" t="str">
        <f ca="1">IFERROR(__xludf.DUMMYFUNCTION("IFERROR(VLOOKUP(F457,IMPORTRANGE(""https://docs.google.com/spreadsheets/d/1Kvs4KS76FHFqLFIZfrDMff4kP08nblUkihrxltoGBjg/edit#gid=934712705"",""ESENCIAL!A6:BG""),15,FALSE))"),"")</f>
        <v/>
      </c>
      <c r="AX443" s="21" t="str">
        <f ca="1">IFERROR(__xludf.DUMMYFUNCTION("IFERROR(VLOOKUP(E457&amp;F457,IMPORTRANGE(""https://docs.google.com/spreadsheets/d/1Uw7-A9f9R21vMXxHZFNpYNeKFtG8_yji4HS352LGlSQ/edit?pli=1#gid=0"",""1_ACUM!A4:S""),12,FALSE))"),"")</f>
        <v/>
      </c>
      <c r="AY443" s="43" t="str">
        <f ca="1">IFERROR(__xludf.DUMMYFUNCTION("IFERROR(VLOOKUP(E457&amp;F457,IMPORTRANGE(""https://docs.google.com/spreadsheets/d/1Uw7-A9f9R21vMXxHZFNpYNeKFtG8_yji4HS352LGlSQ/edit?pli=1#gid=0"",""1_ACUM!A4:S""),13,FALSE))"),"")</f>
        <v/>
      </c>
      <c r="AZ443" s="43" t="str">
        <f ca="1">IFERROR(__xludf.DUMMYFUNCTION("IFERROR(VLOOKUP(E457&amp;F457,IMPORTRANGE(""https://docs.google.com/spreadsheets/d/1Uw7-A9f9R21vMXxHZFNpYNeKFtG8_yji4HS352LGlSQ/edit?pli=1#gid=0"",""1_ACUM!A4:S""),14,FALSE))"),"")</f>
        <v/>
      </c>
      <c r="BA443" s="43" t="str">
        <f ca="1">IFERROR(__xludf.DUMMYFUNCTION("IFERROR(VLOOKUP(E457&amp;F457,IMPORTRANGE(""https://docs.google.com/spreadsheets/d/1Uw7-A9f9R21vMXxHZFNpYNeKFtG8_yji4HS352LGlSQ/edit?pli=1#gid=0"",""1_ACUM!A4:S""),15,FALSE))"),"")</f>
        <v/>
      </c>
      <c r="BB443" s="43" t="str">
        <f ca="1">IFERROR(__xludf.DUMMYFUNCTION("IFERROR(VLOOKUP(E457&amp;F457,IMPORTRANGE(""https://docs.google.com/spreadsheets/d/1Uw7-A9f9R21vMXxHZFNpYNeKFtG8_yji4HS352LGlSQ/edit?pli=1#gid=0"",""1_ACUM!A4:S""),16,FALSE))"),"")</f>
        <v/>
      </c>
      <c r="BC443" s="43" t="str">
        <f ca="1">IFERROR(__xludf.DUMMYFUNCTION("IFERROR(VLOOKUP(E457&amp;F457,IMPORTRANGE(""https://docs.google.com/spreadsheets/d/1Uw7-A9f9R21vMXxHZFNpYNeKFtG8_yji4HS352LGlSQ/edit?pli=1#gid=0"",""1_ACUM!A4:S""),17,FALSE))"),"")</f>
        <v/>
      </c>
      <c r="BD443" s="44" t="str">
        <f ca="1">IFERROR(__xludf.DUMMYFUNCTION("IFERROR(VLOOKUP(E457&amp;F457,IMPORTRANGE(""https://docs.google.com/spreadsheets/d/1Uw7-A9f9R21vMXxHZFNpYNeKFtG8_yji4HS352LGlSQ/edit?pli=1#gid=0"",""1_ACUM!A4:S""),18,FALSE))"),"")</f>
        <v/>
      </c>
      <c r="BE443" s="44" t="str">
        <f ca="1">IFERROR(__xludf.DUMMYFUNCTION("IFERROR(VLOOKUP(E457&amp;F457,IMPORTRANGE(""https://docs.google.com/spreadsheets/d/1Uw7-A9f9R21vMXxHZFNpYNeKFtG8_yji4HS352LGlSQ/edit?pli=1#gid=0"",""1_ACUM!A4:S""),19,FALSE))"),"")</f>
        <v/>
      </c>
      <c r="BF443" s="98" t="str">
        <f ca="1">IFERROR(__xludf.DUMMYFUNCTION("IFERROR(VLOOKUP(F457,IMPORTRANGE(""https://docs.google.com/spreadsheets/d/1Kvs4KS76FHFqLFIZfrDMff4kP08nblUkihrxltoGBjg/edit#gid=934712705"",""ESENCIAL!A6:BG""),5,FALSE))"),"")</f>
        <v/>
      </c>
      <c r="BG443" s="98" t="str">
        <f t="shared" si="17"/>
        <v/>
      </c>
      <c r="BH443" s="99" t="str">
        <f t="shared" si="18"/>
        <v/>
      </c>
      <c r="BI443" s="100" t="str">
        <f ca="1">IFERROR(__xludf.DUMMYFUNCTION("IFERROR(VLOOKUP(F457,IMPORTRANGE(""https://docs.google.com/spreadsheets/d/1Kvs4KS76FHFqLFIZfrDMff4kP08nblUkihrxltoGBjg/edit#gid=934712705"",""ESENCIAL!A6:BG""),2,FALSE))"),"")</f>
        <v/>
      </c>
      <c r="BJ443" s="19" t="str">
        <f t="shared" si="19"/>
        <v/>
      </c>
      <c r="BK443" s="100"/>
      <c r="BL443" s="100"/>
    </row>
    <row r="444" spans="1:64" ht="15">
      <c r="A444" s="5"/>
      <c r="B444" s="5"/>
      <c r="G444" s="5" t="str">
        <f ca="1">IFERROR(__xludf.DUMMYFUNCTION("IFERROR(VLOOKUP(F458,IMPORTRANGE(""https://docs.google.com/spreadsheets/d/1Kvs4KS76FHFqLFIZfrDMff4kP08nblUkihrxltoGBjg/edit#gid=934712705"",""ESENCIAL!A6:BG""),3,FALSE))"),"")</f>
        <v/>
      </c>
      <c r="H444" s="5" t="str">
        <f ca="1">IFERROR(__xludf.DUMMYFUNCTION("IFERROR(VLOOKUP(F458,IMPORTRANGE(""https://docs.google.com/spreadsheets/d/1Kvs4KS76FHFqLFIZfrDMff4kP08nblUkihrxltoGBjg/edit#gid=934712705"",""ESENCIAL!A6:BG""),8,FALSE))"),"")</f>
        <v/>
      </c>
      <c r="L444" s="287"/>
      <c r="U444" s="40"/>
      <c r="AU444" s="41" t="str">
        <f t="shared" si="16"/>
        <v/>
      </c>
      <c r="AV444" s="5" t="str">
        <f ca="1">IFERROR(__xludf.DUMMYFUNCTION("IFERROR(VLOOKUP(E458&amp;F458,IMPORTRANGE(""https://docs.google.com/spreadsheets/d/1Uw7-A9f9R21vMXxHZFNpYNeKFtG8_yji4HS352LGlSQ/edit?pli=1#gid=0"",""1_ACUM!A4:S""),11,FALSE))"),"")</f>
        <v/>
      </c>
      <c r="AW444" s="42" t="str">
        <f ca="1">IFERROR(__xludf.DUMMYFUNCTION("IFERROR(VLOOKUP(F458,IMPORTRANGE(""https://docs.google.com/spreadsheets/d/1Kvs4KS76FHFqLFIZfrDMff4kP08nblUkihrxltoGBjg/edit#gid=934712705"",""ESENCIAL!A6:BG""),15,FALSE))"),"")</f>
        <v/>
      </c>
      <c r="AX444" s="21" t="str">
        <f ca="1">IFERROR(__xludf.DUMMYFUNCTION("IFERROR(VLOOKUP(E458&amp;F458,IMPORTRANGE(""https://docs.google.com/spreadsheets/d/1Uw7-A9f9R21vMXxHZFNpYNeKFtG8_yji4HS352LGlSQ/edit?pli=1#gid=0"",""1_ACUM!A4:S""),12,FALSE))"),"")</f>
        <v/>
      </c>
      <c r="AY444" s="43" t="str">
        <f ca="1">IFERROR(__xludf.DUMMYFUNCTION("IFERROR(VLOOKUP(E458&amp;F458,IMPORTRANGE(""https://docs.google.com/spreadsheets/d/1Uw7-A9f9R21vMXxHZFNpYNeKFtG8_yji4HS352LGlSQ/edit?pli=1#gid=0"",""1_ACUM!A4:S""),13,FALSE))"),"")</f>
        <v/>
      </c>
      <c r="AZ444" s="43" t="str">
        <f ca="1">IFERROR(__xludf.DUMMYFUNCTION("IFERROR(VLOOKUP(E458&amp;F458,IMPORTRANGE(""https://docs.google.com/spreadsheets/d/1Uw7-A9f9R21vMXxHZFNpYNeKFtG8_yji4HS352LGlSQ/edit?pli=1#gid=0"",""1_ACUM!A4:S""),14,FALSE))"),"")</f>
        <v/>
      </c>
      <c r="BA444" s="43" t="str">
        <f ca="1">IFERROR(__xludf.DUMMYFUNCTION("IFERROR(VLOOKUP(E458&amp;F458,IMPORTRANGE(""https://docs.google.com/spreadsheets/d/1Uw7-A9f9R21vMXxHZFNpYNeKFtG8_yji4HS352LGlSQ/edit?pli=1#gid=0"",""1_ACUM!A4:S""),15,FALSE))"),"")</f>
        <v/>
      </c>
      <c r="BB444" s="43" t="str">
        <f ca="1">IFERROR(__xludf.DUMMYFUNCTION("IFERROR(VLOOKUP(E458&amp;F458,IMPORTRANGE(""https://docs.google.com/spreadsheets/d/1Uw7-A9f9R21vMXxHZFNpYNeKFtG8_yji4HS352LGlSQ/edit?pli=1#gid=0"",""1_ACUM!A4:S""),16,FALSE))"),"")</f>
        <v/>
      </c>
      <c r="BC444" s="43" t="str">
        <f ca="1">IFERROR(__xludf.DUMMYFUNCTION("IFERROR(VLOOKUP(E458&amp;F458,IMPORTRANGE(""https://docs.google.com/spreadsheets/d/1Uw7-A9f9R21vMXxHZFNpYNeKFtG8_yji4HS352LGlSQ/edit?pli=1#gid=0"",""1_ACUM!A4:S""),17,FALSE))"),"")</f>
        <v/>
      </c>
      <c r="BD444" s="44" t="str">
        <f ca="1">IFERROR(__xludf.DUMMYFUNCTION("IFERROR(VLOOKUP(E458&amp;F458,IMPORTRANGE(""https://docs.google.com/spreadsheets/d/1Uw7-A9f9R21vMXxHZFNpYNeKFtG8_yji4HS352LGlSQ/edit?pli=1#gid=0"",""1_ACUM!A4:S""),18,FALSE))"),"")</f>
        <v/>
      </c>
      <c r="BE444" s="44" t="str">
        <f ca="1">IFERROR(__xludf.DUMMYFUNCTION("IFERROR(VLOOKUP(E458&amp;F458,IMPORTRANGE(""https://docs.google.com/spreadsheets/d/1Uw7-A9f9R21vMXxHZFNpYNeKFtG8_yji4HS352LGlSQ/edit?pli=1#gid=0"",""1_ACUM!A4:S""),19,FALSE))"),"")</f>
        <v/>
      </c>
      <c r="BF444" s="98" t="str">
        <f ca="1">IFERROR(__xludf.DUMMYFUNCTION("IFERROR(VLOOKUP(F458,IMPORTRANGE(""https://docs.google.com/spreadsheets/d/1Kvs4KS76FHFqLFIZfrDMff4kP08nblUkihrxltoGBjg/edit#gid=934712705"",""ESENCIAL!A6:BG""),5,FALSE))"),"")</f>
        <v/>
      </c>
      <c r="BG444" s="98" t="str">
        <f t="shared" si="17"/>
        <v/>
      </c>
      <c r="BH444" s="99" t="str">
        <f t="shared" si="18"/>
        <v/>
      </c>
      <c r="BI444" s="100" t="str">
        <f ca="1">IFERROR(__xludf.DUMMYFUNCTION("IFERROR(VLOOKUP(F458,IMPORTRANGE(""https://docs.google.com/spreadsheets/d/1Kvs4KS76FHFqLFIZfrDMff4kP08nblUkihrxltoGBjg/edit#gid=934712705"",""ESENCIAL!A6:BG""),2,FALSE))"),"")</f>
        <v/>
      </c>
      <c r="BJ444" s="19" t="str">
        <f t="shared" si="19"/>
        <v/>
      </c>
      <c r="BK444" s="100"/>
      <c r="BL444" s="100"/>
    </row>
    <row r="445" spans="1:64" ht="15">
      <c r="A445" s="5"/>
      <c r="B445" s="5"/>
      <c r="G445" s="5" t="str">
        <f ca="1">IFERROR(__xludf.DUMMYFUNCTION("IFERROR(VLOOKUP(F459,IMPORTRANGE(""https://docs.google.com/spreadsheets/d/1Kvs4KS76FHFqLFIZfrDMff4kP08nblUkihrxltoGBjg/edit#gid=934712705"",""ESENCIAL!A6:BG""),3,FALSE))"),"")</f>
        <v/>
      </c>
      <c r="H445" s="5" t="str">
        <f ca="1">IFERROR(__xludf.DUMMYFUNCTION("IFERROR(VLOOKUP(F459,IMPORTRANGE(""https://docs.google.com/spreadsheets/d/1Kvs4KS76FHFqLFIZfrDMff4kP08nblUkihrxltoGBjg/edit#gid=934712705"",""ESENCIAL!A6:BG""),8,FALSE))"),"")</f>
        <v/>
      </c>
      <c r="L445" s="287"/>
      <c r="U445" s="40"/>
      <c r="AU445" s="41" t="str">
        <f t="shared" si="16"/>
        <v/>
      </c>
      <c r="AV445" s="5" t="str">
        <f ca="1">IFERROR(__xludf.DUMMYFUNCTION("IFERROR(VLOOKUP(E459&amp;F459,IMPORTRANGE(""https://docs.google.com/spreadsheets/d/1Uw7-A9f9R21vMXxHZFNpYNeKFtG8_yji4HS352LGlSQ/edit?pli=1#gid=0"",""1_ACUM!A4:S""),11,FALSE))"),"")</f>
        <v/>
      </c>
      <c r="AW445" s="42" t="str">
        <f ca="1">IFERROR(__xludf.DUMMYFUNCTION("IFERROR(VLOOKUP(F459,IMPORTRANGE(""https://docs.google.com/spreadsheets/d/1Kvs4KS76FHFqLFIZfrDMff4kP08nblUkihrxltoGBjg/edit#gid=934712705"",""ESENCIAL!A6:BG""),15,FALSE))"),"")</f>
        <v/>
      </c>
      <c r="AX445" s="21" t="str">
        <f ca="1">IFERROR(__xludf.DUMMYFUNCTION("IFERROR(VLOOKUP(E459&amp;F459,IMPORTRANGE(""https://docs.google.com/spreadsheets/d/1Uw7-A9f9R21vMXxHZFNpYNeKFtG8_yji4HS352LGlSQ/edit?pli=1#gid=0"",""1_ACUM!A4:S""),12,FALSE))"),"")</f>
        <v/>
      </c>
      <c r="AY445" s="43" t="str">
        <f ca="1">IFERROR(__xludf.DUMMYFUNCTION("IFERROR(VLOOKUP(E459&amp;F459,IMPORTRANGE(""https://docs.google.com/spreadsheets/d/1Uw7-A9f9R21vMXxHZFNpYNeKFtG8_yji4HS352LGlSQ/edit?pli=1#gid=0"",""1_ACUM!A4:S""),13,FALSE))"),"")</f>
        <v/>
      </c>
      <c r="AZ445" s="43" t="str">
        <f ca="1">IFERROR(__xludf.DUMMYFUNCTION("IFERROR(VLOOKUP(E459&amp;F459,IMPORTRANGE(""https://docs.google.com/spreadsheets/d/1Uw7-A9f9R21vMXxHZFNpYNeKFtG8_yji4HS352LGlSQ/edit?pli=1#gid=0"",""1_ACUM!A4:S""),14,FALSE))"),"")</f>
        <v/>
      </c>
      <c r="BA445" s="43" t="str">
        <f ca="1">IFERROR(__xludf.DUMMYFUNCTION("IFERROR(VLOOKUP(E459&amp;F459,IMPORTRANGE(""https://docs.google.com/spreadsheets/d/1Uw7-A9f9R21vMXxHZFNpYNeKFtG8_yji4HS352LGlSQ/edit?pli=1#gid=0"",""1_ACUM!A4:S""),15,FALSE))"),"")</f>
        <v/>
      </c>
      <c r="BB445" s="43" t="str">
        <f ca="1">IFERROR(__xludf.DUMMYFUNCTION("IFERROR(VLOOKUP(E459&amp;F459,IMPORTRANGE(""https://docs.google.com/spreadsheets/d/1Uw7-A9f9R21vMXxHZFNpYNeKFtG8_yji4HS352LGlSQ/edit?pli=1#gid=0"",""1_ACUM!A4:S""),16,FALSE))"),"")</f>
        <v/>
      </c>
      <c r="BC445" s="43" t="str">
        <f ca="1">IFERROR(__xludf.DUMMYFUNCTION("IFERROR(VLOOKUP(E459&amp;F459,IMPORTRANGE(""https://docs.google.com/spreadsheets/d/1Uw7-A9f9R21vMXxHZFNpYNeKFtG8_yji4HS352LGlSQ/edit?pli=1#gid=0"",""1_ACUM!A4:S""),17,FALSE))"),"")</f>
        <v/>
      </c>
      <c r="BD445" s="44" t="str">
        <f ca="1">IFERROR(__xludf.DUMMYFUNCTION("IFERROR(VLOOKUP(E459&amp;F459,IMPORTRANGE(""https://docs.google.com/spreadsheets/d/1Uw7-A9f9R21vMXxHZFNpYNeKFtG8_yji4HS352LGlSQ/edit?pli=1#gid=0"",""1_ACUM!A4:S""),18,FALSE))"),"")</f>
        <v/>
      </c>
      <c r="BE445" s="44" t="str">
        <f ca="1">IFERROR(__xludf.DUMMYFUNCTION("IFERROR(VLOOKUP(E459&amp;F459,IMPORTRANGE(""https://docs.google.com/spreadsheets/d/1Uw7-A9f9R21vMXxHZFNpYNeKFtG8_yji4HS352LGlSQ/edit?pli=1#gid=0"",""1_ACUM!A4:S""),19,FALSE))"),"")</f>
        <v/>
      </c>
      <c r="BF445" s="98" t="str">
        <f ca="1">IFERROR(__xludf.DUMMYFUNCTION("IFERROR(VLOOKUP(F459,IMPORTRANGE(""https://docs.google.com/spreadsheets/d/1Kvs4KS76FHFqLFIZfrDMff4kP08nblUkihrxltoGBjg/edit#gid=934712705"",""ESENCIAL!A6:BG""),5,FALSE))"),"")</f>
        <v/>
      </c>
      <c r="BG445" s="98" t="str">
        <f t="shared" si="17"/>
        <v/>
      </c>
      <c r="BH445" s="99" t="str">
        <f t="shared" si="18"/>
        <v/>
      </c>
      <c r="BI445" s="100" t="str">
        <f ca="1">IFERROR(__xludf.DUMMYFUNCTION("IFERROR(VLOOKUP(F459,IMPORTRANGE(""https://docs.google.com/spreadsheets/d/1Kvs4KS76FHFqLFIZfrDMff4kP08nblUkihrxltoGBjg/edit#gid=934712705"",""ESENCIAL!A6:BG""),2,FALSE))"),"")</f>
        <v/>
      </c>
      <c r="BJ445" s="19" t="str">
        <f t="shared" si="19"/>
        <v/>
      </c>
      <c r="BK445" s="100"/>
      <c r="BL445" s="100"/>
    </row>
    <row r="446" spans="1:64" ht="15">
      <c r="A446" s="5"/>
      <c r="B446" s="5"/>
      <c r="G446" s="5" t="str">
        <f ca="1">IFERROR(__xludf.DUMMYFUNCTION("IFERROR(VLOOKUP(F460,IMPORTRANGE(""https://docs.google.com/spreadsheets/d/1Kvs4KS76FHFqLFIZfrDMff4kP08nblUkihrxltoGBjg/edit#gid=934712705"",""ESENCIAL!A6:BG""),3,FALSE))"),"")</f>
        <v/>
      </c>
      <c r="H446" s="5" t="str">
        <f ca="1">IFERROR(__xludf.DUMMYFUNCTION("IFERROR(VLOOKUP(F460,IMPORTRANGE(""https://docs.google.com/spreadsheets/d/1Kvs4KS76FHFqLFIZfrDMff4kP08nblUkihrxltoGBjg/edit#gid=934712705"",""ESENCIAL!A6:BG""),8,FALSE))"),"")</f>
        <v/>
      </c>
      <c r="L446" s="287"/>
      <c r="U446" s="40"/>
      <c r="AU446" s="41" t="str">
        <f t="shared" si="16"/>
        <v/>
      </c>
      <c r="AV446" s="5" t="str">
        <f ca="1">IFERROR(__xludf.DUMMYFUNCTION("IFERROR(VLOOKUP(E460&amp;F460,IMPORTRANGE(""https://docs.google.com/spreadsheets/d/1Uw7-A9f9R21vMXxHZFNpYNeKFtG8_yji4HS352LGlSQ/edit?pli=1#gid=0"",""1_ACUM!A4:S""),11,FALSE))"),"")</f>
        <v/>
      </c>
      <c r="AW446" s="42" t="str">
        <f ca="1">IFERROR(__xludf.DUMMYFUNCTION("IFERROR(VLOOKUP(F460,IMPORTRANGE(""https://docs.google.com/spreadsheets/d/1Kvs4KS76FHFqLFIZfrDMff4kP08nblUkihrxltoGBjg/edit#gid=934712705"",""ESENCIAL!A6:BG""),15,FALSE))"),"")</f>
        <v/>
      </c>
      <c r="AX446" s="21" t="str">
        <f ca="1">IFERROR(__xludf.DUMMYFUNCTION("IFERROR(VLOOKUP(E460&amp;F460,IMPORTRANGE(""https://docs.google.com/spreadsheets/d/1Uw7-A9f9R21vMXxHZFNpYNeKFtG8_yji4HS352LGlSQ/edit?pli=1#gid=0"",""1_ACUM!A4:S""),12,FALSE))"),"")</f>
        <v/>
      </c>
      <c r="AY446" s="43" t="str">
        <f ca="1">IFERROR(__xludf.DUMMYFUNCTION("IFERROR(VLOOKUP(E460&amp;F460,IMPORTRANGE(""https://docs.google.com/spreadsheets/d/1Uw7-A9f9R21vMXxHZFNpYNeKFtG8_yji4HS352LGlSQ/edit?pli=1#gid=0"",""1_ACUM!A4:S""),13,FALSE))"),"")</f>
        <v/>
      </c>
      <c r="AZ446" s="43" t="str">
        <f ca="1">IFERROR(__xludf.DUMMYFUNCTION("IFERROR(VLOOKUP(E460&amp;F460,IMPORTRANGE(""https://docs.google.com/spreadsheets/d/1Uw7-A9f9R21vMXxHZFNpYNeKFtG8_yji4HS352LGlSQ/edit?pli=1#gid=0"",""1_ACUM!A4:S""),14,FALSE))"),"")</f>
        <v/>
      </c>
      <c r="BA446" s="43" t="str">
        <f ca="1">IFERROR(__xludf.DUMMYFUNCTION("IFERROR(VLOOKUP(E460&amp;F460,IMPORTRANGE(""https://docs.google.com/spreadsheets/d/1Uw7-A9f9R21vMXxHZFNpYNeKFtG8_yji4HS352LGlSQ/edit?pli=1#gid=0"",""1_ACUM!A4:S""),15,FALSE))"),"")</f>
        <v/>
      </c>
      <c r="BB446" s="43" t="str">
        <f ca="1">IFERROR(__xludf.DUMMYFUNCTION("IFERROR(VLOOKUP(E460&amp;F460,IMPORTRANGE(""https://docs.google.com/spreadsheets/d/1Uw7-A9f9R21vMXxHZFNpYNeKFtG8_yji4HS352LGlSQ/edit?pli=1#gid=0"",""1_ACUM!A4:S""),16,FALSE))"),"")</f>
        <v/>
      </c>
      <c r="BC446" s="43" t="str">
        <f ca="1">IFERROR(__xludf.DUMMYFUNCTION("IFERROR(VLOOKUP(E460&amp;F460,IMPORTRANGE(""https://docs.google.com/spreadsheets/d/1Uw7-A9f9R21vMXxHZFNpYNeKFtG8_yji4HS352LGlSQ/edit?pli=1#gid=0"",""1_ACUM!A4:S""),17,FALSE))"),"")</f>
        <v/>
      </c>
      <c r="BD446" s="44" t="str">
        <f ca="1">IFERROR(__xludf.DUMMYFUNCTION("IFERROR(VLOOKUP(E460&amp;F460,IMPORTRANGE(""https://docs.google.com/spreadsheets/d/1Uw7-A9f9R21vMXxHZFNpYNeKFtG8_yji4HS352LGlSQ/edit?pli=1#gid=0"",""1_ACUM!A4:S""),18,FALSE))"),"")</f>
        <v/>
      </c>
      <c r="BE446" s="44" t="str">
        <f ca="1">IFERROR(__xludf.DUMMYFUNCTION("IFERROR(VLOOKUP(E460&amp;F460,IMPORTRANGE(""https://docs.google.com/spreadsheets/d/1Uw7-A9f9R21vMXxHZFNpYNeKFtG8_yji4HS352LGlSQ/edit?pli=1#gid=0"",""1_ACUM!A4:S""),19,FALSE))"),"")</f>
        <v/>
      </c>
      <c r="BF446" s="98" t="str">
        <f ca="1">IFERROR(__xludf.DUMMYFUNCTION("IFERROR(VLOOKUP(F460,IMPORTRANGE(""https://docs.google.com/spreadsheets/d/1Kvs4KS76FHFqLFIZfrDMff4kP08nblUkihrxltoGBjg/edit#gid=934712705"",""ESENCIAL!A6:BG""),5,FALSE))"),"")</f>
        <v/>
      </c>
      <c r="BG446" s="98" t="str">
        <f t="shared" si="17"/>
        <v/>
      </c>
      <c r="BH446" s="99" t="str">
        <f t="shared" si="18"/>
        <v/>
      </c>
      <c r="BI446" s="100" t="str">
        <f ca="1">IFERROR(__xludf.DUMMYFUNCTION("IFERROR(VLOOKUP(F460,IMPORTRANGE(""https://docs.google.com/spreadsheets/d/1Kvs4KS76FHFqLFIZfrDMff4kP08nblUkihrxltoGBjg/edit#gid=934712705"",""ESENCIAL!A6:BG""),2,FALSE))"),"")</f>
        <v/>
      </c>
      <c r="BJ446" s="19" t="str">
        <f t="shared" si="19"/>
        <v/>
      </c>
      <c r="BK446" s="100"/>
      <c r="BL446" s="100"/>
    </row>
    <row r="447" spans="1:64" ht="15">
      <c r="A447" s="5"/>
      <c r="B447" s="5"/>
      <c r="G447" s="5" t="str">
        <f ca="1">IFERROR(__xludf.DUMMYFUNCTION("IFERROR(VLOOKUP(F461,IMPORTRANGE(""https://docs.google.com/spreadsheets/d/1Kvs4KS76FHFqLFIZfrDMff4kP08nblUkihrxltoGBjg/edit#gid=934712705"",""ESENCIAL!A6:BG""),3,FALSE))"),"")</f>
        <v/>
      </c>
      <c r="H447" s="5" t="str">
        <f ca="1">IFERROR(__xludf.DUMMYFUNCTION("IFERROR(VLOOKUP(F461,IMPORTRANGE(""https://docs.google.com/spreadsheets/d/1Kvs4KS76FHFqLFIZfrDMff4kP08nblUkihrxltoGBjg/edit#gid=934712705"",""ESENCIAL!A6:BG""),8,FALSE))"),"")</f>
        <v/>
      </c>
      <c r="L447" s="287"/>
      <c r="U447" s="40"/>
      <c r="AU447" s="41" t="str">
        <f t="shared" si="16"/>
        <v/>
      </c>
      <c r="AV447" s="5" t="str">
        <f ca="1">IFERROR(__xludf.DUMMYFUNCTION("IFERROR(VLOOKUP(E461&amp;F461,IMPORTRANGE(""https://docs.google.com/spreadsheets/d/1Uw7-A9f9R21vMXxHZFNpYNeKFtG8_yji4HS352LGlSQ/edit?pli=1#gid=0"",""1_ACUM!A4:S""),11,FALSE))"),"")</f>
        <v/>
      </c>
      <c r="AW447" s="42" t="str">
        <f ca="1">IFERROR(__xludf.DUMMYFUNCTION("IFERROR(VLOOKUP(F461,IMPORTRANGE(""https://docs.google.com/spreadsheets/d/1Kvs4KS76FHFqLFIZfrDMff4kP08nblUkihrxltoGBjg/edit#gid=934712705"",""ESENCIAL!A6:BG""),15,FALSE))"),"")</f>
        <v/>
      </c>
      <c r="AX447" s="21" t="str">
        <f ca="1">IFERROR(__xludf.DUMMYFUNCTION("IFERROR(VLOOKUP(E461&amp;F461,IMPORTRANGE(""https://docs.google.com/spreadsheets/d/1Uw7-A9f9R21vMXxHZFNpYNeKFtG8_yji4HS352LGlSQ/edit?pli=1#gid=0"",""1_ACUM!A4:S""),12,FALSE))"),"")</f>
        <v/>
      </c>
      <c r="AY447" s="43" t="str">
        <f ca="1">IFERROR(__xludf.DUMMYFUNCTION("IFERROR(VLOOKUP(E461&amp;F461,IMPORTRANGE(""https://docs.google.com/spreadsheets/d/1Uw7-A9f9R21vMXxHZFNpYNeKFtG8_yji4HS352LGlSQ/edit?pli=1#gid=0"",""1_ACUM!A4:S""),13,FALSE))"),"")</f>
        <v/>
      </c>
      <c r="AZ447" s="43" t="str">
        <f ca="1">IFERROR(__xludf.DUMMYFUNCTION("IFERROR(VLOOKUP(E461&amp;F461,IMPORTRANGE(""https://docs.google.com/spreadsheets/d/1Uw7-A9f9R21vMXxHZFNpYNeKFtG8_yji4HS352LGlSQ/edit?pli=1#gid=0"",""1_ACUM!A4:S""),14,FALSE))"),"")</f>
        <v/>
      </c>
      <c r="BA447" s="43" t="str">
        <f ca="1">IFERROR(__xludf.DUMMYFUNCTION("IFERROR(VLOOKUP(E461&amp;F461,IMPORTRANGE(""https://docs.google.com/spreadsheets/d/1Uw7-A9f9R21vMXxHZFNpYNeKFtG8_yji4HS352LGlSQ/edit?pli=1#gid=0"",""1_ACUM!A4:S""),15,FALSE))"),"")</f>
        <v/>
      </c>
      <c r="BB447" s="43" t="str">
        <f ca="1">IFERROR(__xludf.DUMMYFUNCTION("IFERROR(VLOOKUP(E461&amp;F461,IMPORTRANGE(""https://docs.google.com/spreadsheets/d/1Uw7-A9f9R21vMXxHZFNpYNeKFtG8_yji4HS352LGlSQ/edit?pli=1#gid=0"",""1_ACUM!A4:S""),16,FALSE))"),"")</f>
        <v/>
      </c>
      <c r="BC447" s="43" t="str">
        <f ca="1">IFERROR(__xludf.DUMMYFUNCTION("IFERROR(VLOOKUP(E461&amp;F461,IMPORTRANGE(""https://docs.google.com/spreadsheets/d/1Uw7-A9f9R21vMXxHZFNpYNeKFtG8_yji4HS352LGlSQ/edit?pli=1#gid=0"",""1_ACUM!A4:S""),17,FALSE))"),"")</f>
        <v/>
      </c>
      <c r="BD447" s="44" t="str">
        <f ca="1">IFERROR(__xludf.DUMMYFUNCTION("IFERROR(VLOOKUP(E461&amp;F461,IMPORTRANGE(""https://docs.google.com/spreadsheets/d/1Uw7-A9f9R21vMXxHZFNpYNeKFtG8_yji4HS352LGlSQ/edit?pli=1#gid=0"",""1_ACUM!A4:S""),18,FALSE))"),"")</f>
        <v/>
      </c>
      <c r="BE447" s="44" t="str">
        <f ca="1">IFERROR(__xludf.DUMMYFUNCTION("IFERROR(VLOOKUP(E461&amp;F461,IMPORTRANGE(""https://docs.google.com/spreadsheets/d/1Uw7-A9f9R21vMXxHZFNpYNeKFtG8_yji4HS352LGlSQ/edit?pli=1#gid=0"",""1_ACUM!A4:S""),19,FALSE))"),"")</f>
        <v/>
      </c>
      <c r="BF447" s="98" t="str">
        <f ca="1">IFERROR(__xludf.DUMMYFUNCTION("IFERROR(VLOOKUP(F461,IMPORTRANGE(""https://docs.google.com/spreadsheets/d/1Kvs4KS76FHFqLFIZfrDMff4kP08nblUkihrxltoGBjg/edit#gid=934712705"",""ESENCIAL!A6:BG""),5,FALSE))"),"")</f>
        <v/>
      </c>
      <c r="BG447" s="98" t="str">
        <f t="shared" si="17"/>
        <v/>
      </c>
      <c r="BH447" s="99" t="str">
        <f t="shared" si="18"/>
        <v/>
      </c>
      <c r="BI447" s="100" t="str">
        <f ca="1">IFERROR(__xludf.DUMMYFUNCTION("IFERROR(VLOOKUP(F461,IMPORTRANGE(""https://docs.google.com/spreadsheets/d/1Kvs4KS76FHFqLFIZfrDMff4kP08nblUkihrxltoGBjg/edit#gid=934712705"",""ESENCIAL!A6:BG""),2,FALSE))"),"")</f>
        <v/>
      </c>
      <c r="BJ447" s="19" t="str">
        <f t="shared" si="19"/>
        <v/>
      </c>
      <c r="BK447" s="100"/>
      <c r="BL447" s="100"/>
    </row>
    <row r="448" spans="1:64" ht="15">
      <c r="A448" s="5"/>
      <c r="B448" s="5"/>
      <c r="G448" s="5" t="str">
        <f ca="1">IFERROR(__xludf.DUMMYFUNCTION("IFERROR(VLOOKUP(F462,IMPORTRANGE(""https://docs.google.com/spreadsheets/d/1Kvs4KS76FHFqLFIZfrDMff4kP08nblUkihrxltoGBjg/edit#gid=934712705"",""ESENCIAL!A6:BG""),3,FALSE))"),"")</f>
        <v/>
      </c>
      <c r="H448" s="5" t="str">
        <f ca="1">IFERROR(__xludf.DUMMYFUNCTION("IFERROR(VLOOKUP(F462,IMPORTRANGE(""https://docs.google.com/spreadsheets/d/1Kvs4KS76FHFqLFIZfrDMff4kP08nblUkihrxltoGBjg/edit#gid=934712705"",""ESENCIAL!A6:BG""),8,FALSE))"),"")</f>
        <v/>
      </c>
      <c r="L448" s="287"/>
      <c r="U448" s="40"/>
      <c r="AU448" s="41" t="str">
        <f t="shared" si="16"/>
        <v/>
      </c>
      <c r="AV448" s="5" t="str">
        <f ca="1">IFERROR(__xludf.DUMMYFUNCTION("IFERROR(VLOOKUP(E462&amp;F462,IMPORTRANGE(""https://docs.google.com/spreadsheets/d/1Uw7-A9f9R21vMXxHZFNpYNeKFtG8_yji4HS352LGlSQ/edit?pli=1#gid=0"",""1_ACUM!A4:S""),11,FALSE))"),"")</f>
        <v/>
      </c>
      <c r="AW448" s="42" t="str">
        <f ca="1">IFERROR(__xludf.DUMMYFUNCTION("IFERROR(VLOOKUP(F462,IMPORTRANGE(""https://docs.google.com/spreadsheets/d/1Kvs4KS76FHFqLFIZfrDMff4kP08nblUkihrxltoGBjg/edit#gid=934712705"",""ESENCIAL!A6:BG""),15,FALSE))"),"")</f>
        <v/>
      </c>
      <c r="AX448" s="21" t="str">
        <f ca="1">IFERROR(__xludf.DUMMYFUNCTION("IFERROR(VLOOKUP(E462&amp;F462,IMPORTRANGE(""https://docs.google.com/spreadsheets/d/1Uw7-A9f9R21vMXxHZFNpYNeKFtG8_yji4HS352LGlSQ/edit?pli=1#gid=0"",""1_ACUM!A4:S""),12,FALSE))"),"")</f>
        <v/>
      </c>
      <c r="AY448" s="43" t="str">
        <f ca="1">IFERROR(__xludf.DUMMYFUNCTION("IFERROR(VLOOKUP(E462&amp;F462,IMPORTRANGE(""https://docs.google.com/spreadsheets/d/1Uw7-A9f9R21vMXxHZFNpYNeKFtG8_yji4HS352LGlSQ/edit?pli=1#gid=0"",""1_ACUM!A4:S""),13,FALSE))"),"")</f>
        <v/>
      </c>
      <c r="AZ448" s="43" t="str">
        <f ca="1">IFERROR(__xludf.DUMMYFUNCTION("IFERROR(VLOOKUP(E462&amp;F462,IMPORTRANGE(""https://docs.google.com/spreadsheets/d/1Uw7-A9f9R21vMXxHZFNpYNeKFtG8_yji4HS352LGlSQ/edit?pli=1#gid=0"",""1_ACUM!A4:S""),14,FALSE))"),"")</f>
        <v/>
      </c>
      <c r="BA448" s="43" t="str">
        <f ca="1">IFERROR(__xludf.DUMMYFUNCTION("IFERROR(VLOOKUP(E462&amp;F462,IMPORTRANGE(""https://docs.google.com/spreadsheets/d/1Uw7-A9f9R21vMXxHZFNpYNeKFtG8_yji4HS352LGlSQ/edit?pli=1#gid=0"",""1_ACUM!A4:S""),15,FALSE))"),"")</f>
        <v/>
      </c>
      <c r="BB448" s="43" t="str">
        <f ca="1">IFERROR(__xludf.DUMMYFUNCTION("IFERROR(VLOOKUP(E462&amp;F462,IMPORTRANGE(""https://docs.google.com/spreadsheets/d/1Uw7-A9f9R21vMXxHZFNpYNeKFtG8_yji4HS352LGlSQ/edit?pli=1#gid=0"",""1_ACUM!A4:S""),16,FALSE))"),"")</f>
        <v/>
      </c>
      <c r="BC448" s="43" t="str">
        <f ca="1">IFERROR(__xludf.DUMMYFUNCTION("IFERROR(VLOOKUP(E462&amp;F462,IMPORTRANGE(""https://docs.google.com/spreadsheets/d/1Uw7-A9f9R21vMXxHZFNpYNeKFtG8_yji4HS352LGlSQ/edit?pli=1#gid=0"",""1_ACUM!A4:S""),17,FALSE))"),"")</f>
        <v/>
      </c>
      <c r="BD448" s="44" t="str">
        <f ca="1">IFERROR(__xludf.DUMMYFUNCTION("IFERROR(VLOOKUP(E462&amp;F462,IMPORTRANGE(""https://docs.google.com/spreadsheets/d/1Uw7-A9f9R21vMXxHZFNpYNeKFtG8_yji4HS352LGlSQ/edit?pli=1#gid=0"",""1_ACUM!A4:S""),18,FALSE))"),"")</f>
        <v/>
      </c>
      <c r="BE448" s="44" t="str">
        <f ca="1">IFERROR(__xludf.DUMMYFUNCTION("IFERROR(VLOOKUP(E462&amp;F462,IMPORTRANGE(""https://docs.google.com/spreadsheets/d/1Uw7-A9f9R21vMXxHZFNpYNeKFtG8_yji4HS352LGlSQ/edit?pli=1#gid=0"",""1_ACUM!A4:S""),19,FALSE))"),"")</f>
        <v/>
      </c>
      <c r="BF448" s="98" t="str">
        <f ca="1">IFERROR(__xludf.DUMMYFUNCTION("IFERROR(VLOOKUP(F462,IMPORTRANGE(""https://docs.google.com/spreadsheets/d/1Kvs4KS76FHFqLFIZfrDMff4kP08nblUkihrxltoGBjg/edit#gid=934712705"",""ESENCIAL!A6:BG""),5,FALSE))"),"")</f>
        <v/>
      </c>
      <c r="BG448" s="98" t="str">
        <f t="shared" si="17"/>
        <v/>
      </c>
      <c r="BH448" s="99" t="str">
        <f t="shared" si="18"/>
        <v/>
      </c>
      <c r="BI448" s="100" t="str">
        <f ca="1">IFERROR(__xludf.DUMMYFUNCTION("IFERROR(VLOOKUP(F462,IMPORTRANGE(""https://docs.google.com/spreadsheets/d/1Kvs4KS76FHFqLFIZfrDMff4kP08nblUkihrxltoGBjg/edit#gid=934712705"",""ESENCIAL!A6:BG""),2,FALSE))"),"")</f>
        <v/>
      </c>
      <c r="BJ448" s="19" t="str">
        <f t="shared" si="19"/>
        <v/>
      </c>
      <c r="BK448" s="100"/>
      <c r="BL448" s="100"/>
    </row>
    <row r="449" spans="1:64" ht="15">
      <c r="A449" s="5"/>
      <c r="B449" s="5"/>
      <c r="G449" s="5" t="str">
        <f ca="1">IFERROR(__xludf.DUMMYFUNCTION("IFERROR(VLOOKUP(F463,IMPORTRANGE(""https://docs.google.com/spreadsheets/d/1Kvs4KS76FHFqLFIZfrDMff4kP08nblUkihrxltoGBjg/edit#gid=934712705"",""ESENCIAL!A6:BG""),3,FALSE))"),"")</f>
        <v/>
      </c>
      <c r="H449" s="5" t="str">
        <f ca="1">IFERROR(__xludf.DUMMYFUNCTION("IFERROR(VLOOKUP(F463,IMPORTRANGE(""https://docs.google.com/spreadsheets/d/1Kvs4KS76FHFqLFIZfrDMff4kP08nblUkihrxltoGBjg/edit#gid=934712705"",""ESENCIAL!A6:BG""),8,FALSE))"),"")</f>
        <v/>
      </c>
      <c r="L449" s="287"/>
      <c r="U449" s="40"/>
      <c r="AU449" s="41" t="str">
        <f t="shared" si="16"/>
        <v/>
      </c>
      <c r="AV449" s="5" t="str">
        <f ca="1">IFERROR(__xludf.DUMMYFUNCTION("IFERROR(VLOOKUP(E463&amp;F463,IMPORTRANGE(""https://docs.google.com/spreadsheets/d/1Uw7-A9f9R21vMXxHZFNpYNeKFtG8_yji4HS352LGlSQ/edit?pli=1#gid=0"",""1_ACUM!A4:S""),11,FALSE))"),"")</f>
        <v/>
      </c>
      <c r="AW449" s="42" t="str">
        <f ca="1">IFERROR(__xludf.DUMMYFUNCTION("IFERROR(VLOOKUP(F463,IMPORTRANGE(""https://docs.google.com/spreadsheets/d/1Kvs4KS76FHFqLFIZfrDMff4kP08nblUkihrxltoGBjg/edit#gid=934712705"",""ESENCIAL!A6:BG""),15,FALSE))"),"")</f>
        <v/>
      </c>
      <c r="AX449" s="21" t="str">
        <f ca="1">IFERROR(__xludf.DUMMYFUNCTION("IFERROR(VLOOKUP(E463&amp;F463,IMPORTRANGE(""https://docs.google.com/spreadsheets/d/1Uw7-A9f9R21vMXxHZFNpYNeKFtG8_yji4HS352LGlSQ/edit?pli=1#gid=0"",""1_ACUM!A4:S""),12,FALSE))"),"")</f>
        <v/>
      </c>
      <c r="AY449" s="43" t="str">
        <f ca="1">IFERROR(__xludf.DUMMYFUNCTION("IFERROR(VLOOKUP(E463&amp;F463,IMPORTRANGE(""https://docs.google.com/spreadsheets/d/1Uw7-A9f9R21vMXxHZFNpYNeKFtG8_yji4HS352LGlSQ/edit?pli=1#gid=0"",""1_ACUM!A4:S""),13,FALSE))"),"")</f>
        <v/>
      </c>
      <c r="AZ449" s="43" t="str">
        <f ca="1">IFERROR(__xludf.DUMMYFUNCTION("IFERROR(VLOOKUP(E463&amp;F463,IMPORTRANGE(""https://docs.google.com/spreadsheets/d/1Uw7-A9f9R21vMXxHZFNpYNeKFtG8_yji4HS352LGlSQ/edit?pli=1#gid=0"",""1_ACUM!A4:S""),14,FALSE))"),"")</f>
        <v/>
      </c>
      <c r="BA449" s="43" t="str">
        <f ca="1">IFERROR(__xludf.DUMMYFUNCTION("IFERROR(VLOOKUP(E463&amp;F463,IMPORTRANGE(""https://docs.google.com/spreadsheets/d/1Uw7-A9f9R21vMXxHZFNpYNeKFtG8_yji4HS352LGlSQ/edit?pli=1#gid=0"",""1_ACUM!A4:S""),15,FALSE))"),"")</f>
        <v/>
      </c>
      <c r="BB449" s="43" t="str">
        <f ca="1">IFERROR(__xludf.DUMMYFUNCTION("IFERROR(VLOOKUP(E463&amp;F463,IMPORTRANGE(""https://docs.google.com/spreadsheets/d/1Uw7-A9f9R21vMXxHZFNpYNeKFtG8_yji4HS352LGlSQ/edit?pli=1#gid=0"",""1_ACUM!A4:S""),16,FALSE))"),"")</f>
        <v/>
      </c>
      <c r="BC449" s="43" t="str">
        <f ca="1">IFERROR(__xludf.DUMMYFUNCTION("IFERROR(VLOOKUP(E463&amp;F463,IMPORTRANGE(""https://docs.google.com/spreadsheets/d/1Uw7-A9f9R21vMXxHZFNpYNeKFtG8_yji4HS352LGlSQ/edit?pli=1#gid=0"",""1_ACUM!A4:S""),17,FALSE))"),"")</f>
        <v/>
      </c>
      <c r="BD449" s="44" t="str">
        <f ca="1">IFERROR(__xludf.DUMMYFUNCTION("IFERROR(VLOOKUP(E463&amp;F463,IMPORTRANGE(""https://docs.google.com/spreadsheets/d/1Uw7-A9f9R21vMXxHZFNpYNeKFtG8_yji4HS352LGlSQ/edit?pli=1#gid=0"",""1_ACUM!A4:S""),18,FALSE))"),"")</f>
        <v/>
      </c>
      <c r="BE449" s="44" t="str">
        <f ca="1">IFERROR(__xludf.DUMMYFUNCTION("IFERROR(VLOOKUP(E463&amp;F463,IMPORTRANGE(""https://docs.google.com/spreadsheets/d/1Uw7-A9f9R21vMXxHZFNpYNeKFtG8_yji4HS352LGlSQ/edit?pli=1#gid=0"",""1_ACUM!A4:S""),19,FALSE))"),"")</f>
        <v/>
      </c>
      <c r="BF449" s="98" t="str">
        <f ca="1">IFERROR(__xludf.DUMMYFUNCTION("IFERROR(VLOOKUP(F463,IMPORTRANGE(""https://docs.google.com/spreadsheets/d/1Kvs4KS76FHFqLFIZfrDMff4kP08nblUkihrxltoGBjg/edit#gid=934712705"",""ESENCIAL!A6:BG""),5,FALSE))"),"")</f>
        <v/>
      </c>
      <c r="BG449" s="98" t="str">
        <f t="shared" si="17"/>
        <v/>
      </c>
      <c r="BH449" s="99" t="str">
        <f t="shared" si="18"/>
        <v/>
      </c>
      <c r="BI449" s="100" t="str">
        <f ca="1">IFERROR(__xludf.DUMMYFUNCTION("IFERROR(VLOOKUP(F463,IMPORTRANGE(""https://docs.google.com/spreadsheets/d/1Kvs4KS76FHFqLFIZfrDMff4kP08nblUkihrxltoGBjg/edit#gid=934712705"",""ESENCIAL!A6:BG""),2,FALSE))"),"")</f>
        <v/>
      </c>
      <c r="BJ449" s="19" t="str">
        <f t="shared" si="19"/>
        <v/>
      </c>
      <c r="BK449" s="100"/>
      <c r="BL449" s="100"/>
    </row>
    <row r="450" spans="1:64" ht="15">
      <c r="A450" s="5"/>
      <c r="B450" s="5"/>
      <c r="G450" s="5" t="str">
        <f ca="1">IFERROR(__xludf.DUMMYFUNCTION("IFERROR(VLOOKUP(F464,IMPORTRANGE(""https://docs.google.com/spreadsheets/d/1Kvs4KS76FHFqLFIZfrDMff4kP08nblUkihrxltoGBjg/edit#gid=934712705"",""ESENCIAL!A6:BG""),3,FALSE))"),"")</f>
        <v/>
      </c>
      <c r="H450" s="5" t="str">
        <f ca="1">IFERROR(__xludf.DUMMYFUNCTION("IFERROR(VLOOKUP(F464,IMPORTRANGE(""https://docs.google.com/spreadsheets/d/1Kvs4KS76FHFqLFIZfrDMff4kP08nblUkihrxltoGBjg/edit#gid=934712705"",""ESENCIAL!A6:BG""),8,FALSE))"),"")</f>
        <v/>
      </c>
      <c r="L450" s="287"/>
      <c r="U450" s="40"/>
      <c r="AU450" s="41" t="str">
        <f t="shared" si="16"/>
        <v/>
      </c>
      <c r="AV450" s="5" t="str">
        <f ca="1">IFERROR(__xludf.DUMMYFUNCTION("IFERROR(VLOOKUP(E464&amp;F464,IMPORTRANGE(""https://docs.google.com/spreadsheets/d/1Uw7-A9f9R21vMXxHZFNpYNeKFtG8_yji4HS352LGlSQ/edit?pli=1#gid=0"",""1_ACUM!A4:S""),11,FALSE))"),"")</f>
        <v/>
      </c>
      <c r="AW450" s="42" t="str">
        <f ca="1">IFERROR(__xludf.DUMMYFUNCTION("IFERROR(VLOOKUP(F464,IMPORTRANGE(""https://docs.google.com/spreadsheets/d/1Kvs4KS76FHFqLFIZfrDMff4kP08nblUkihrxltoGBjg/edit#gid=934712705"",""ESENCIAL!A6:BG""),15,FALSE))"),"")</f>
        <v/>
      </c>
      <c r="AX450" s="21" t="str">
        <f ca="1">IFERROR(__xludf.DUMMYFUNCTION("IFERROR(VLOOKUP(E464&amp;F464,IMPORTRANGE(""https://docs.google.com/spreadsheets/d/1Uw7-A9f9R21vMXxHZFNpYNeKFtG8_yji4HS352LGlSQ/edit?pli=1#gid=0"",""1_ACUM!A4:S""),12,FALSE))"),"")</f>
        <v/>
      </c>
      <c r="AY450" s="43" t="str">
        <f ca="1">IFERROR(__xludf.DUMMYFUNCTION("IFERROR(VLOOKUP(E464&amp;F464,IMPORTRANGE(""https://docs.google.com/spreadsheets/d/1Uw7-A9f9R21vMXxHZFNpYNeKFtG8_yji4HS352LGlSQ/edit?pli=1#gid=0"",""1_ACUM!A4:S""),13,FALSE))"),"")</f>
        <v/>
      </c>
      <c r="AZ450" s="43" t="str">
        <f ca="1">IFERROR(__xludf.DUMMYFUNCTION("IFERROR(VLOOKUP(E464&amp;F464,IMPORTRANGE(""https://docs.google.com/spreadsheets/d/1Uw7-A9f9R21vMXxHZFNpYNeKFtG8_yji4HS352LGlSQ/edit?pli=1#gid=0"",""1_ACUM!A4:S""),14,FALSE))"),"")</f>
        <v/>
      </c>
      <c r="BA450" s="43" t="str">
        <f ca="1">IFERROR(__xludf.DUMMYFUNCTION("IFERROR(VLOOKUP(E464&amp;F464,IMPORTRANGE(""https://docs.google.com/spreadsheets/d/1Uw7-A9f9R21vMXxHZFNpYNeKFtG8_yji4HS352LGlSQ/edit?pli=1#gid=0"",""1_ACUM!A4:S""),15,FALSE))"),"")</f>
        <v/>
      </c>
      <c r="BB450" s="43" t="str">
        <f ca="1">IFERROR(__xludf.DUMMYFUNCTION("IFERROR(VLOOKUP(E464&amp;F464,IMPORTRANGE(""https://docs.google.com/spreadsheets/d/1Uw7-A9f9R21vMXxHZFNpYNeKFtG8_yji4HS352LGlSQ/edit?pli=1#gid=0"",""1_ACUM!A4:S""),16,FALSE))"),"")</f>
        <v/>
      </c>
      <c r="BC450" s="43" t="str">
        <f ca="1">IFERROR(__xludf.DUMMYFUNCTION("IFERROR(VLOOKUP(E464&amp;F464,IMPORTRANGE(""https://docs.google.com/spreadsheets/d/1Uw7-A9f9R21vMXxHZFNpYNeKFtG8_yji4HS352LGlSQ/edit?pli=1#gid=0"",""1_ACUM!A4:S""),17,FALSE))"),"")</f>
        <v/>
      </c>
      <c r="BD450" s="44" t="str">
        <f ca="1">IFERROR(__xludf.DUMMYFUNCTION("IFERROR(VLOOKUP(E464&amp;F464,IMPORTRANGE(""https://docs.google.com/spreadsheets/d/1Uw7-A9f9R21vMXxHZFNpYNeKFtG8_yji4HS352LGlSQ/edit?pli=1#gid=0"",""1_ACUM!A4:S""),18,FALSE))"),"")</f>
        <v/>
      </c>
      <c r="BE450" s="44" t="str">
        <f ca="1">IFERROR(__xludf.DUMMYFUNCTION("IFERROR(VLOOKUP(E464&amp;F464,IMPORTRANGE(""https://docs.google.com/spreadsheets/d/1Uw7-A9f9R21vMXxHZFNpYNeKFtG8_yji4HS352LGlSQ/edit?pli=1#gid=0"",""1_ACUM!A4:S""),19,FALSE))"),"")</f>
        <v/>
      </c>
      <c r="BF450" s="98" t="str">
        <f ca="1">IFERROR(__xludf.DUMMYFUNCTION("IFERROR(VLOOKUP(F464,IMPORTRANGE(""https://docs.google.com/spreadsheets/d/1Kvs4KS76FHFqLFIZfrDMff4kP08nblUkihrxltoGBjg/edit#gid=934712705"",""ESENCIAL!A6:BG""),5,FALSE))"),"")</f>
        <v/>
      </c>
      <c r="BG450" s="98" t="str">
        <f t="shared" si="17"/>
        <v/>
      </c>
      <c r="BH450" s="99" t="str">
        <f t="shared" si="18"/>
        <v/>
      </c>
      <c r="BI450" s="100" t="str">
        <f ca="1">IFERROR(__xludf.DUMMYFUNCTION("IFERROR(VLOOKUP(F464,IMPORTRANGE(""https://docs.google.com/spreadsheets/d/1Kvs4KS76FHFqLFIZfrDMff4kP08nblUkihrxltoGBjg/edit#gid=934712705"",""ESENCIAL!A6:BG""),2,FALSE))"),"")</f>
        <v/>
      </c>
      <c r="BJ450" s="19" t="str">
        <f t="shared" si="19"/>
        <v/>
      </c>
      <c r="BK450" s="100"/>
      <c r="BL450" s="100"/>
    </row>
    <row r="451" spans="1:64" ht="15">
      <c r="A451" s="5"/>
      <c r="B451" s="5"/>
      <c r="G451" s="5" t="str">
        <f ca="1">IFERROR(__xludf.DUMMYFUNCTION("IFERROR(VLOOKUP(F465,IMPORTRANGE(""https://docs.google.com/spreadsheets/d/1Kvs4KS76FHFqLFIZfrDMff4kP08nblUkihrxltoGBjg/edit#gid=934712705"",""ESENCIAL!A6:BG""),3,FALSE))"),"")</f>
        <v/>
      </c>
      <c r="H451" s="5" t="str">
        <f ca="1">IFERROR(__xludf.DUMMYFUNCTION("IFERROR(VLOOKUP(F465,IMPORTRANGE(""https://docs.google.com/spreadsheets/d/1Kvs4KS76FHFqLFIZfrDMff4kP08nblUkihrxltoGBjg/edit#gid=934712705"",""ESENCIAL!A6:BG""),8,FALSE))"),"")</f>
        <v/>
      </c>
      <c r="L451" s="287"/>
      <c r="U451" s="40"/>
      <c r="AU451" s="41" t="str">
        <f t="shared" si="16"/>
        <v/>
      </c>
      <c r="AV451" s="5" t="str">
        <f ca="1">IFERROR(__xludf.DUMMYFUNCTION("IFERROR(VLOOKUP(E465&amp;F465,IMPORTRANGE(""https://docs.google.com/spreadsheets/d/1Uw7-A9f9R21vMXxHZFNpYNeKFtG8_yji4HS352LGlSQ/edit?pli=1#gid=0"",""1_ACUM!A4:S""),11,FALSE))"),"")</f>
        <v/>
      </c>
      <c r="AW451" s="42" t="str">
        <f ca="1">IFERROR(__xludf.DUMMYFUNCTION("IFERROR(VLOOKUP(F465,IMPORTRANGE(""https://docs.google.com/spreadsheets/d/1Kvs4KS76FHFqLFIZfrDMff4kP08nblUkihrxltoGBjg/edit#gid=934712705"",""ESENCIAL!A6:BG""),15,FALSE))"),"")</f>
        <v/>
      </c>
      <c r="AX451" s="21" t="str">
        <f ca="1">IFERROR(__xludf.DUMMYFUNCTION("IFERROR(VLOOKUP(E465&amp;F465,IMPORTRANGE(""https://docs.google.com/spreadsheets/d/1Uw7-A9f9R21vMXxHZFNpYNeKFtG8_yji4HS352LGlSQ/edit?pli=1#gid=0"",""1_ACUM!A4:S""),12,FALSE))"),"")</f>
        <v/>
      </c>
      <c r="AY451" s="43" t="str">
        <f ca="1">IFERROR(__xludf.DUMMYFUNCTION("IFERROR(VLOOKUP(E465&amp;F465,IMPORTRANGE(""https://docs.google.com/spreadsheets/d/1Uw7-A9f9R21vMXxHZFNpYNeKFtG8_yji4HS352LGlSQ/edit?pli=1#gid=0"",""1_ACUM!A4:S""),13,FALSE))"),"")</f>
        <v/>
      </c>
      <c r="AZ451" s="43" t="str">
        <f ca="1">IFERROR(__xludf.DUMMYFUNCTION("IFERROR(VLOOKUP(E465&amp;F465,IMPORTRANGE(""https://docs.google.com/spreadsheets/d/1Uw7-A9f9R21vMXxHZFNpYNeKFtG8_yji4HS352LGlSQ/edit?pli=1#gid=0"",""1_ACUM!A4:S""),14,FALSE))"),"")</f>
        <v/>
      </c>
      <c r="BA451" s="43" t="str">
        <f ca="1">IFERROR(__xludf.DUMMYFUNCTION("IFERROR(VLOOKUP(E465&amp;F465,IMPORTRANGE(""https://docs.google.com/spreadsheets/d/1Uw7-A9f9R21vMXxHZFNpYNeKFtG8_yji4HS352LGlSQ/edit?pli=1#gid=0"",""1_ACUM!A4:S""),15,FALSE))"),"")</f>
        <v/>
      </c>
      <c r="BB451" s="43" t="str">
        <f ca="1">IFERROR(__xludf.DUMMYFUNCTION("IFERROR(VLOOKUP(E465&amp;F465,IMPORTRANGE(""https://docs.google.com/spreadsheets/d/1Uw7-A9f9R21vMXxHZFNpYNeKFtG8_yji4HS352LGlSQ/edit?pli=1#gid=0"",""1_ACUM!A4:S""),16,FALSE))"),"")</f>
        <v/>
      </c>
      <c r="BC451" s="43" t="str">
        <f ca="1">IFERROR(__xludf.DUMMYFUNCTION("IFERROR(VLOOKUP(E465&amp;F465,IMPORTRANGE(""https://docs.google.com/spreadsheets/d/1Uw7-A9f9R21vMXxHZFNpYNeKFtG8_yji4HS352LGlSQ/edit?pli=1#gid=0"",""1_ACUM!A4:S""),17,FALSE))"),"")</f>
        <v/>
      </c>
      <c r="BD451" s="44" t="str">
        <f ca="1">IFERROR(__xludf.DUMMYFUNCTION("IFERROR(VLOOKUP(E465&amp;F465,IMPORTRANGE(""https://docs.google.com/spreadsheets/d/1Uw7-A9f9R21vMXxHZFNpYNeKFtG8_yji4HS352LGlSQ/edit?pli=1#gid=0"",""1_ACUM!A4:S""),18,FALSE))"),"")</f>
        <v/>
      </c>
      <c r="BE451" s="44" t="str">
        <f ca="1">IFERROR(__xludf.DUMMYFUNCTION("IFERROR(VLOOKUP(E465&amp;F465,IMPORTRANGE(""https://docs.google.com/spreadsheets/d/1Uw7-A9f9R21vMXxHZFNpYNeKFtG8_yji4HS352LGlSQ/edit?pli=1#gid=0"",""1_ACUM!A4:S""),19,FALSE))"),"")</f>
        <v/>
      </c>
      <c r="BF451" s="98" t="str">
        <f ca="1">IFERROR(__xludf.DUMMYFUNCTION("IFERROR(VLOOKUP(F465,IMPORTRANGE(""https://docs.google.com/spreadsheets/d/1Kvs4KS76FHFqLFIZfrDMff4kP08nblUkihrxltoGBjg/edit#gid=934712705"",""ESENCIAL!A6:BG""),5,FALSE))"),"")</f>
        <v/>
      </c>
      <c r="BG451" s="98" t="str">
        <f t="shared" si="17"/>
        <v/>
      </c>
      <c r="BH451" s="99" t="str">
        <f t="shared" si="18"/>
        <v/>
      </c>
      <c r="BI451" s="100" t="str">
        <f ca="1">IFERROR(__xludf.DUMMYFUNCTION("IFERROR(VLOOKUP(F465,IMPORTRANGE(""https://docs.google.com/spreadsheets/d/1Kvs4KS76FHFqLFIZfrDMff4kP08nblUkihrxltoGBjg/edit#gid=934712705"",""ESENCIAL!A6:BG""),2,FALSE))"),"")</f>
        <v/>
      </c>
      <c r="BJ451" s="19" t="str">
        <f t="shared" si="19"/>
        <v/>
      </c>
      <c r="BK451" s="100"/>
      <c r="BL451" s="100"/>
    </row>
    <row r="452" spans="1:64" ht="15">
      <c r="A452" s="5"/>
      <c r="B452" s="5"/>
      <c r="G452" s="5" t="str">
        <f ca="1">IFERROR(__xludf.DUMMYFUNCTION("IFERROR(VLOOKUP(F466,IMPORTRANGE(""https://docs.google.com/spreadsheets/d/1Kvs4KS76FHFqLFIZfrDMff4kP08nblUkihrxltoGBjg/edit#gid=934712705"",""ESENCIAL!A6:BG""),3,FALSE))"),"")</f>
        <v/>
      </c>
      <c r="H452" s="5" t="str">
        <f ca="1">IFERROR(__xludf.DUMMYFUNCTION("IFERROR(VLOOKUP(F466,IMPORTRANGE(""https://docs.google.com/spreadsheets/d/1Kvs4KS76FHFqLFIZfrDMff4kP08nblUkihrxltoGBjg/edit#gid=934712705"",""ESENCIAL!A6:BG""),8,FALSE))"),"")</f>
        <v/>
      </c>
      <c r="L452" s="287"/>
      <c r="U452" s="40"/>
      <c r="AU452" s="41" t="str">
        <f t="shared" si="16"/>
        <v/>
      </c>
      <c r="AV452" s="5" t="str">
        <f ca="1">IFERROR(__xludf.DUMMYFUNCTION("IFERROR(VLOOKUP(E466&amp;F466,IMPORTRANGE(""https://docs.google.com/spreadsheets/d/1Uw7-A9f9R21vMXxHZFNpYNeKFtG8_yji4HS352LGlSQ/edit?pli=1#gid=0"",""1_ACUM!A4:S""),11,FALSE))"),"")</f>
        <v/>
      </c>
      <c r="AW452" s="42" t="str">
        <f ca="1">IFERROR(__xludf.DUMMYFUNCTION("IFERROR(VLOOKUP(F466,IMPORTRANGE(""https://docs.google.com/spreadsheets/d/1Kvs4KS76FHFqLFIZfrDMff4kP08nblUkihrxltoGBjg/edit#gid=934712705"",""ESENCIAL!A6:BG""),15,FALSE))"),"")</f>
        <v/>
      </c>
      <c r="AX452" s="21" t="str">
        <f ca="1">IFERROR(__xludf.DUMMYFUNCTION("IFERROR(VLOOKUP(E466&amp;F466,IMPORTRANGE(""https://docs.google.com/spreadsheets/d/1Uw7-A9f9R21vMXxHZFNpYNeKFtG8_yji4HS352LGlSQ/edit?pli=1#gid=0"",""1_ACUM!A4:S""),12,FALSE))"),"")</f>
        <v/>
      </c>
      <c r="AY452" s="43" t="str">
        <f ca="1">IFERROR(__xludf.DUMMYFUNCTION("IFERROR(VLOOKUP(E466&amp;F466,IMPORTRANGE(""https://docs.google.com/spreadsheets/d/1Uw7-A9f9R21vMXxHZFNpYNeKFtG8_yji4HS352LGlSQ/edit?pli=1#gid=0"",""1_ACUM!A4:S""),13,FALSE))"),"")</f>
        <v/>
      </c>
      <c r="AZ452" s="43" t="str">
        <f ca="1">IFERROR(__xludf.DUMMYFUNCTION("IFERROR(VLOOKUP(E466&amp;F466,IMPORTRANGE(""https://docs.google.com/spreadsheets/d/1Uw7-A9f9R21vMXxHZFNpYNeKFtG8_yji4HS352LGlSQ/edit?pli=1#gid=0"",""1_ACUM!A4:S""),14,FALSE))"),"")</f>
        <v/>
      </c>
      <c r="BA452" s="43" t="str">
        <f ca="1">IFERROR(__xludf.DUMMYFUNCTION("IFERROR(VLOOKUP(E466&amp;F466,IMPORTRANGE(""https://docs.google.com/spreadsheets/d/1Uw7-A9f9R21vMXxHZFNpYNeKFtG8_yji4HS352LGlSQ/edit?pli=1#gid=0"",""1_ACUM!A4:S""),15,FALSE))"),"")</f>
        <v/>
      </c>
      <c r="BB452" s="43" t="str">
        <f ca="1">IFERROR(__xludf.DUMMYFUNCTION("IFERROR(VLOOKUP(E466&amp;F466,IMPORTRANGE(""https://docs.google.com/spreadsheets/d/1Uw7-A9f9R21vMXxHZFNpYNeKFtG8_yji4HS352LGlSQ/edit?pli=1#gid=0"",""1_ACUM!A4:S""),16,FALSE))"),"")</f>
        <v/>
      </c>
      <c r="BC452" s="43" t="str">
        <f ca="1">IFERROR(__xludf.DUMMYFUNCTION("IFERROR(VLOOKUP(E466&amp;F466,IMPORTRANGE(""https://docs.google.com/spreadsheets/d/1Uw7-A9f9R21vMXxHZFNpYNeKFtG8_yji4HS352LGlSQ/edit?pli=1#gid=0"",""1_ACUM!A4:S""),17,FALSE))"),"")</f>
        <v/>
      </c>
      <c r="BD452" s="44" t="str">
        <f ca="1">IFERROR(__xludf.DUMMYFUNCTION("IFERROR(VLOOKUP(E466&amp;F466,IMPORTRANGE(""https://docs.google.com/spreadsheets/d/1Uw7-A9f9R21vMXxHZFNpYNeKFtG8_yji4HS352LGlSQ/edit?pli=1#gid=0"",""1_ACUM!A4:S""),18,FALSE))"),"")</f>
        <v/>
      </c>
      <c r="BE452" s="44" t="str">
        <f ca="1">IFERROR(__xludf.DUMMYFUNCTION("IFERROR(VLOOKUP(E466&amp;F466,IMPORTRANGE(""https://docs.google.com/spreadsheets/d/1Uw7-A9f9R21vMXxHZFNpYNeKFtG8_yji4HS352LGlSQ/edit?pli=1#gid=0"",""1_ACUM!A4:S""),19,FALSE))"),"")</f>
        <v/>
      </c>
      <c r="BF452" s="98" t="str">
        <f ca="1">IFERROR(__xludf.DUMMYFUNCTION("IFERROR(VLOOKUP(F466,IMPORTRANGE(""https://docs.google.com/spreadsheets/d/1Kvs4KS76FHFqLFIZfrDMff4kP08nblUkihrxltoGBjg/edit#gid=934712705"",""ESENCIAL!A6:BG""),5,FALSE))"),"")</f>
        <v/>
      </c>
      <c r="BG452" s="98" t="str">
        <f t="shared" si="17"/>
        <v/>
      </c>
      <c r="BH452" s="99" t="str">
        <f t="shared" si="18"/>
        <v/>
      </c>
      <c r="BI452" s="100" t="str">
        <f ca="1">IFERROR(__xludf.DUMMYFUNCTION("IFERROR(VLOOKUP(F466,IMPORTRANGE(""https://docs.google.com/spreadsheets/d/1Kvs4KS76FHFqLFIZfrDMff4kP08nblUkihrxltoGBjg/edit#gid=934712705"",""ESENCIAL!A6:BG""),2,FALSE))"),"")</f>
        <v/>
      </c>
      <c r="BJ452" s="19" t="str">
        <f t="shared" si="19"/>
        <v/>
      </c>
      <c r="BK452" s="100"/>
      <c r="BL452" s="100"/>
    </row>
    <row r="453" spans="1:64" ht="15">
      <c r="A453" s="5"/>
      <c r="B453" s="5"/>
      <c r="G453" s="5" t="str">
        <f ca="1">IFERROR(__xludf.DUMMYFUNCTION("IFERROR(VLOOKUP(F467,IMPORTRANGE(""https://docs.google.com/spreadsheets/d/1Kvs4KS76FHFqLFIZfrDMff4kP08nblUkihrxltoGBjg/edit#gid=934712705"",""ESENCIAL!A6:BG""),3,FALSE))"),"")</f>
        <v/>
      </c>
      <c r="H453" s="5" t="str">
        <f ca="1">IFERROR(__xludf.DUMMYFUNCTION("IFERROR(VLOOKUP(F467,IMPORTRANGE(""https://docs.google.com/spreadsheets/d/1Kvs4KS76FHFqLFIZfrDMff4kP08nblUkihrxltoGBjg/edit#gid=934712705"",""ESENCIAL!A6:BG""),8,FALSE))"),"")</f>
        <v/>
      </c>
      <c r="L453" s="287"/>
      <c r="U453" s="40"/>
      <c r="AU453" s="41" t="str">
        <f t="shared" si="16"/>
        <v/>
      </c>
      <c r="AV453" s="5" t="str">
        <f ca="1">IFERROR(__xludf.DUMMYFUNCTION("IFERROR(VLOOKUP(E467&amp;F467,IMPORTRANGE(""https://docs.google.com/spreadsheets/d/1Uw7-A9f9R21vMXxHZFNpYNeKFtG8_yji4HS352LGlSQ/edit?pli=1#gid=0"",""1_ACUM!A4:S""),11,FALSE))"),"")</f>
        <v/>
      </c>
      <c r="AW453" s="42" t="str">
        <f ca="1">IFERROR(__xludf.DUMMYFUNCTION("IFERROR(VLOOKUP(F467,IMPORTRANGE(""https://docs.google.com/spreadsheets/d/1Kvs4KS76FHFqLFIZfrDMff4kP08nblUkihrxltoGBjg/edit#gid=934712705"",""ESENCIAL!A6:BG""),15,FALSE))"),"")</f>
        <v/>
      </c>
      <c r="AX453" s="21" t="str">
        <f ca="1">IFERROR(__xludf.DUMMYFUNCTION("IFERROR(VLOOKUP(E467&amp;F467,IMPORTRANGE(""https://docs.google.com/spreadsheets/d/1Uw7-A9f9R21vMXxHZFNpYNeKFtG8_yji4HS352LGlSQ/edit?pli=1#gid=0"",""1_ACUM!A4:S""),12,FALSE))"),"")</f>
        <v/>
      </c>
      <c r="AY453" s="43" t="str">
        <f ca="1">IFERROR(__xludf.DUMMYFUNCTION("IFERROR(VLOOKUP(E467&amp;F467,IMPORTRANGE(""https://docs.google.com/spreadsheets/d/1Uw7-A9f9R21vMXxHZFNpYNeKFtG8_yji4HS352LGlSQ/edit?pli=1#gid=0"",""1_ACUM!A4:S""),13,FALSE))"),"")</f>
        <v/>
      </c>
      <c r="AZ453" s="43" t="str">
        <f ca="1">IFERROR(__xludf.DUMMYFUNCTION("IFERROR(VLOOKUP(E467&amp;F467,IMPORTRANGE(""https://docs.google.com/spreadsheets/d/1Uw7-A9f9R21vMXxHZFNpYNeKFtG8_yji4HS352LGlSQ/edit?pli=1#gid=0"",""1_ACUM!A4:S""),14,FALSE))"),"")</f>
        <v/>
      </c>
      <c r="BA453" s="43" t="str">
        <f ca="1">IFERROR(__xludf.DUMMYFUNCTION("IFERROR(VLOOKUP(E467&amp;F467,IMPORTRANGE(""https://docs.google.com/spreadsheets/d/1Uw7-A9f9R21vMXxHZFNpYNeKFtG8_yji4HS352LGlSQ/edit?pli=1#gid=0"",""1_ACUM!A4:S""),15,FALSE))"),"")</f>
        <v/>
      </c>
      <c r="BB453" s="43" t="str">
        <f ca="1">IFERROR(__xludf.DUMMYFUNCTION("IFERROR(VLOOKUP(E467&amp;F467,IMPORTRANGE(""https://docs.google.com/spreadsheets/d/1Uw7-A9f9R21vMXxHZFNpYNeKFtG8_yji4HS352LGlSQ/edit?pli=1#gid=0"",""1_ACUM!A4:S""),16,FALSE))"),"")</f>
        <v/>
      </c>
      <c r="BC453" s="43" t="str">
        <f ca="1">IFERROR(__xludf.DUMMYFUNCTION("IFERROR(VLOOKUP(E467&amp;F467,IMPORTRANGE(""https://docs.google.com/spreadsheets/d/1Uw7-A9f9R21vMXxHZFNpYNeKFtG8_yji4HS352LGlSQ/edit?pli=1#gid=0"",""1_ACUM!A4:S""),17,FALSE))"),"")</f>
        <v/>
      </c>
      <c r="BD453" s="44" t="str">
        <f ca="1">IFERROR(__xludf.DUMMYFUNCTION("IFERROR(VLOOKUP(E467&amp;F467,IMPORTRANGE(""https://docs.google.com/spreadsheets/d/1Uw7-A9f9R21vMXxHZFNpYNeKFtG8_yji4HS352LGlSQ/edit?pli=1#gid=0"",""1_ACUM!A4:S""),18,FALSE))"),"")</f>
        <v/>
      </c>
      <c r="BE453" s="44" t="str">
        <f ca="1">IFERROR(__xludf.DUMMYFUNCTION("IFERROR(VLOOKUP(E467&amp;F467,IMPORTRANGE(""https://docs.google.com/spreadsheets/d/1Uw7-A9f9R21vMXxHZFNpYNeKFtG8_yji4HS352LGlSQ/edit?pli=1#gid=0"",""1_ACUM!A4:S""),19,FALSE))"),"")</f>
        <v/>
      </c>
      <c r="BF453" s="98" t="str">
        <f ca="1">IFERROR(__xludf.DUMMYFUNCTION("IFERROR(VLOOKUP(F467,IMPORTRANGE(""https://docs.google.com/spreadsheets/d/1Kvs4KS76FHFqLFIZfrDMff4kP08nblUkihrxltoGBjg/edit#gid=934712705"",""ESENCIAL!A6:BG""),5,FALSE))"),"")</f>
        <v/>
      </c>
      <c r="BG453" s="98" t="str">
        <f t="shared" si="17"/>
        <v/>
      </c>
      <c r="BH453" s="99" t="str">
        <f t="shared" si="18"/>
        <v/>
      </c>
      <c r="BI453" s="100" t="str">
        <f ca="1">IFERROR(__xludf.DUMMYFUNCTION("IFERROR(VLOOKUP(F467,IMPORTRANGE(""https://docs.google.com/spreadsheets/d/1Kvs4KS76FHFqLFIZfrDMff4kP08nblUkihrxltoGBjg/edit#gid=934712705"",""ESENCIAL!A6:BG""),2,FALSE))"),"")</f>
        <v/>
      </c>
      <c r="BJ453" s="19" t="str">
        <f t="shared" si="19"/>
        <v/>
      </c>
      <c r="BK453" s="100"/>
      <c r="BL453" s="100"/>
    </row>
    <row r="454" spans="1:64" ht="15">
      <c r="A454" s="5"/>
      <c r="B454" s="5"/>
      <c r="G454" s="5" t="str">
        <f ca="1">IFERROR(__xludf.DUMMYFUNCTION("IFERROR(VLOOKUP(F468,IMPORTRANGE(""https://docs.google.com/spreadsheets/d/1Kvs4KS76FHFqLFIZfrDMff4kP08nblUkihrxltoGBjg/edit#gid=934712705"",""ESENCIAL!A6:BG""),3,FALSE))"),"")</f>
        <v/>
      </c>
      <c r="H454" s="5" t="str">
        <f ca="1">IFERROR(__xludf.DUMMYFUNCTION("IFERROR(VLOOKUP(F468,IMPORTRANGE(""https://docs.google.com/spreadsheets/d/1Kvs4KS76FHFqLFIZfrDMff4kP08nblUkihrxltoGBjg/edit#gid=934712705"",""ESENCIAL!A6:BG""),8,FALSE))"),"")</f>
        <v/>
      </c>
      <c r="L454" s="287"/>
      <c r="U454" s="40"/>
      <c r="AU454" s="41" t="str">
        <f t="shared" si="16"/>
        <v/>
      </c>
      <c r="AV454" s="5" t="str">
        <f ca="1">IFERROR(__xludf.DUMMYFUNCTION("IFERROR(VLOOKUP(E468&amp;F468,IMPORTRANGE(""https://docs.google.com/spreadsheets/d/1Uw7-A9f9R21vMXxHZFNpYNeKFtG8_yji4HS352LGlSQ/edit?pli=1#gid=0"",""1_ACUM!A4:S""),11,FALSE))"),"")</f>
        <v/>
      </c>
      <c r="AW454" s="42" t="str">
        <f ca="1">IFERROR(__xludf.DUMMYFUNCTION("IFERROR(VLOOKUP(F468,IMPORTRANGE(""https://docs.google.com/spreadsheets/d/1Kvs4KS76FHFqLFIZfrDMff4kP08nblUkihrxltoGBjg/edit#gid=934712705"",""ESENCIAL!A6:BG""),15,FALSE))"),"")</f>
        <v/>
      </c>
      <c r="AX454" s="21" t="str">
        <f ca="1">IFERROR(__xludf.DUMMYFUNCTION("IFERROR(VLOOKUP(E468&amp;F468,IMPORTRANGE(""https://docs.google.com/spreadsheets/d/1Uw7-A9f9R21vMXxHZFNpYNeKFtG8_yji4HS352LGlSQ/edit?pli=1#gid=0"",""1_ACUM!A4:S""),12,FALSE))"),"")</f>
        <v/>
      </c>
      <c r="AY454" s="43" t="str">
        <f ca="1">IFERROR(__xludf.DUMMYFUNCTION("IFERROR(VLOOKUP(E468&amp;F468,IMPORTRANGE(""https://docs.google.com/spreadsheets/d/1Uw7-A9f9R21vMXxHZFNpYNeKFtG8_yji4HS352LGlSQ/edit?pli=1#gid=0"",""1_ACUM!A4:S""),13,FALSE))"),"")</f>
        <v/>
      </c>
      <c r="AZ454" s="43" t="str">
        <f ca="1">IFERROR(__xludf.DUMMYFUNCTION("IFERROR(VLOOKUP(E468&amp;F468,IMPORTRANGE(""https://docs.google.com/spreadsheets/d/1Uw7-A9f9R21vMXxHZFNpYNeKFtG8_yji4HS352LGlSQ/edit?pli=1#gid=0"",""1_ACUM!A4:S""),14,FALSE))"),"")</f>
        <v/>
      </c>
      <c r="BA454" s="43" t="str">
        <f ca="1">IFERROR(__xludf.DUMMYFUNCTION("IFERROR(VLOOKUP(E468&amp;F468,IMPORTRANGE(""https://docs.google.com/spreadsheets/d/1Uw7-A9f9R21vMXxHZFNpYNeKFtG8_yji4HS352LGlSQ/edit?pli=1#gid=0"",""1_ACUM!A4:S""),15,FALSE))"),"")</f>
        <v/>
      </c>
      <c r="BB454" s="43" t="str">
        <f ca="1">IFERROR(__xludf.DUMMYFUNCTION("IFERROR(VLOOKUP(E468&amp;F468,IMPORTRANGE(""https://docs.google.com/spreadsheets/d/1Uw7-A9f9R21vMXxHZFNpYNeKFtG8_yji4HS352LGlSQ/edit?pli=1#gid=0"",""1_ACUM!A4:S""),16,FALSE))"),"")</f>
        <v/>
      </c>
      <c r="BC454" s="43" t="str">
        <f ca="1">IFERROR(__xludf.DUMMYFUNCTION("IFERROR(VLOOKUP(E468&amp;F468,IMPORTRANGE(""https://docs.google.com/spreadsheets/d/1Uw7-A9f9R21vMXxHZFNpYNeKFtG8_yji4HS352LGlSQ/edit?pli=1#gid=0"",""1_ACUM!A4:S""),17,FALSE))"),"")</f>
        <v/>
      </c>
      <c r="BD454" s="44" t="str">
        <f ca="1">IFERROR(__xludf.DUMMYFUNCTION("IFERROR(VLOOKUP(E468&amp;F468,IMPORTRANGE(""https://docs.google.com/spreadsheets/d/1Uw7-A9f9R21vMXxHZFNpYNeKFtG8_yji4HS352LGlSQ/edit?pli=1#gid=0"",""1_ACUM!A4:S""),18,FALSE))"),"")</f>
        <v/>
      </c>
      <c r="BE454" s="44" t="str">
        <f ca="1">IFERROR(__xludf.DUMMYFUNCTION("IFERROR(VLOOKUP(E468&amp;F468,IMPORTRANGE(""https://docs.google.com/spreadsheets/d/1Uw7-A9f9R21vMXxHZFNpYNeKFtG8_yji4HS352LGlSQ/edit?pli=1#gid=0"",""1_ACUM!A4:S""),19,FALSE))"),"")</f>
        <v/>
      </c>
      <c r="BF454" s="98" t="str">
        <f ca="1">IFERROR(__xludf.DUMMYFUNCTION("IFERROR(VLOOKUP(F468,IMPORTRANGE(""https://docs.google.com/spreadsheets/d/1Kvs4KS76FHFqLFIZfrDMff4kP08nblUkihrxltoGBjg/edit#gid=934712705"",""ESENCIAL!A6:BG""),5,FALSE))"),"")</f>
        <v/>
      </c>
      <c r="BG454" s="98" t="str">
        <f t="shared" si="17"/>
        <v/>
      </c>
      <c r="BH454" s="99" t="str">
        <f t="shared" si="18"/>
        <v/>
      </c>
      <c r="BI454" s="100" t="str">
        <f ca="1">IFERROR(__xludf.DUMMYFUNCTION("IFERROR(VLOOKUP(F468,IMPORTRANGE(""https://docs.google.com/spreadsheets/d/1Kvs4KS76FHFqLFIZfrDMff4kP08nblUkihrxltoGBjg/edit#gid=934712705"",""ESENCIAL!A6:BG""),2,FALSE))"),"")</f>
        <v/>
      </c>
      <c r="BJ454" s="19" t="str">
        <f t="shared" si="19"/>
        <v/>
      </c>
      <c r="BK454" s="100"/>
      <c r="BL454" s="100"/>
    </row>
    <row r="455" spans="1:64" ht="15">
      <c r="A455" s="5"/>
      <c r="B455" s="5"/>
      <c r="G455" s="5" t="str">
        <f ca="1">IFERROR(__xludf.DUMMYFUNCTION("IFERROR(VLOOKUP(F469,IMPORTRANGE(""https://docs.google.com/spreadsheets/d/1Kvs4KS76FHFqLFIZfrDMff4kP08nblUkihrxltoGBjg/edit#gid=934712705"",""ESENCIAL!A6:BG""),3,FALSE))"),"")</f>
        <v/>
      </c>
      <c r="H455" s="5" t="str">
        <f ca="1">IFERROR(__xludf.DUMMYFUNCTION("IFERROR(VLOOKUP(F469,IMPORTRANGE(""https://docs.google.com/spreadsheets/d/1Kvs4KS76FHFqLFIZfrDMff4kP08nblUkihrxltoGBjg/edit#gid=934712705"",""ESENCIAL!A6:BG""),8,FALSE))"),"")</f>
        <v/>
      </c>
      <c r="L455" s="287"/>
      <c r="U455" s="40"/>
      <c r="AU455" s="41" t="str">
        <f t="shared" si="16"/>
        <v/>
      </c>
      <c r="AV455" s="5" t="str">
        <f ca="1">IFERROR(__xludf.DUMMYFUNCTION("IFERROR(VLOOKUP(E469&amp;F469,IMPORTRANGE(""https://docs.google.com/spreadsheets/d/1Uw7-A9f9R21vMXxHZFNpYNeKFtG8_yji4HS352LGlSQ/edit?pli=1#gid=0"",""1_ACUM!A4:S""),11,FALSE))"),"")</f>
        <v/>
      </c>
      <c r="AW455" s="42" t="str">
        <f ca="1">IFERROR(__xludf.DUMMYFUNCTION("IFERROR(VLOOKUP(F469,IMPORTRANGE(""https://docs.google.com/spreadsheets/d/1Kvs4KS76FHFqLFIZfrDMff4kP08nblUkihrxltoGBjg/edit#gid=934712705"",""ESENCIAL!A6:BG""),15,FALSE))"),"")</f>
        <v/>
      </c>
      <c r="AX455" s="21" t="str">
        <f ca="1">IFERROR(__xludf.DUMMYFUNCTION("IFERROR(VLOOKUP(E469&amp;F469,IMPORTRANGE(""https://docs.google.com/spreadsheets/d/1Uw7-A9f9R21vMXxHZFNpYNeKFtG8_yji4HS352LGlSQ/edit?pli=1#gid=0"",""1_ACUM!A4:S""),12,FALSE))"),"")</f>
        <v/>
      </c>
      <c r="AY455" s="43" t="str">
        <f ca="1">IFERROR(__xludf.DUMMYFUNCTION("IFERROR(VLOOKUP(E469&amp;F469,IMPORTRANGE(""https://docs.google.com/spreadsheets/d/1Uw7-A9f9R21vMXxHZFNpYNeKFtG8_yji4HS352LGlSQ/edit?pli=1#gid=0"",""1_ACUM!A4:S""),13,FALSE))"),"")</f>
        <v/>
      </c>
      <c r="AZ455" s="43" t="str">
        <f ca="1">IFERROR(__xludf.DUMMYFUNCTION("IFERROR(VLOOKUP(E469&amp;F469,IMPORTRANGE(""https://docs.google.com/spreadsheets/d/1Uw7-A9f9R21vMXxHZFNpYNeKFtG8_yji4HS352LGlSQ/edit?pli=1#gid=0"",""1_ACUM!A4:S""),14,FALSE))"),"")</f>
        <v/>
      </c>
      <c r="BA455" s="43" t="str">
        <f ca="1">IFERROR(__xludf.DUMMYFUNCTION("IFERROR(VLOOKUP(E469&amp;F469,IMPORTRANGE(""https://docs.google.com/spreadsheets/d/1Uw7-A9f9R21vMXxHZFNpYNeKFtG8_yji4HS352LGlSQ/edit?pli=1#gid=0"",""1_ACUM!A4:S""),15,FALSE))"),"")</f>
        <v/>
      </c>
      <c r="BB455" s="43" t="str">
        <f ca="1">IFERROR(__xludf.DUMMYFUNCTION("IFERROR(VLOOKUP(E469&amp;F469,IMPORTRANGE(""https://docs.google.com/spreadsheets/d/1Uw7-A9f9R21vMXxHZFNpYNeKFtG8_yji4HS352LGlSQ/edit?pli=1#gid=0"",""1_ACUM!A4:S""),16,FALSE))"),"")</f>
        <v/>
      </c>
      <c r="BC455" s="43" t="str">
        <f ca="1">IFERROR(__xludf.DUMMYFUNCTION("IFERROR(VLOOKUP(E469&amp;F469,IMPORTRANGE(""https://docs.google.com/spreadsheets/d/1Uw7-A9f9R21vMXxHZFNpYNeKFtG8_yji4HS352LGlSQ/edit?pli=1#gid=0"",""1_ACUM!A4:S""),17,FALSE))"),"")</f>
        <v/>
      </c>
      <c r="BD455" s="44" t="str">
        <f ca="1">IFERROR(__xludf.DUMMYFUNCTION("IFERROR(VLOOKUP(E469&amp;F469,IMPORTRANGE(""https://docs.google.com/spreadsheets/d/1Uw7-A9f9R21vMXxHZFNpYNeKFtG8_yji4HS352LGlSQ/edit?pli=1#gid=0"",""1_ACUM!A4:S""),18,FALSE))"),"")</f>
        <v/>
      </c>
      <c r="BE455" s="44" t="str">
        <f ca="1">IFERROR(__xludf.DUMMYFUNCTION("IFERROR(VLOOKUP(E469&amp;F469,IMPORTRANGE(""https://docs.google.com/spreadsheets/d/1Uw7-A9f9R21vMXxHZFNpYNeKFtG8_yji4HS352LGlSQ/edit?pli=1#gid=0"",""1_ACUM!A4:S""),19,FALSE))"),"")</f>
        <v/>
      </c>
      <c r="BF455" s="98" t="str">
        <f ca="1">IFERROR(__xludf.DUMMYFUNCTION("IFERROR(VLOOKUP(F469,IMPORTRANGE(""https://docs.google.com/spreadsheets/d/1Kvs4KS76FHFqLFIZfrDMff4kP08nblUkihrxltoGBjg/edit#gid=934712705"",""ESENCIAL!A6:BG""),5,FALSE))"),"")</f>
        <v/>
      </c>
      <c r="BG455" s="98" t="str">
        <f t="shared" si="17"/>
        <v/>
      </c>
      <c r="BH455" s="99" t="str">
        <f t="shared" si="18"/>
        <v/>
      </c>
      <c r="BI455" s="100" t="str">
        <f ca="1">IFERROR(__xludf.DUMMYFUNCTION("IFERROR(VLOOKUP(F469,IMPORTRANGE(""https://docs.google.com/spreadsheets/d/1Kvs4KS76FHFqLFIZfrDMff4kP08nblUkihrxltoGBjg/edit#gid=934712705"",""ESENCIAL!A6:BG""),2,FALSE))"),"")</f>
        <v/>
      </c>
      <c r="BJ455" s="19" t="str">
        <f t="shared" si="19"/>
        <v/>
      </c>
      <c r="BK455" s="100"/>
      <c r="BL455" s="100"/>
    </row>
    <row r="456" spans="1:64" ht="15">
      <c r="A456" s="5"/>
      <c r="B456" s="5"/>
      <c r="G456" s="5" t="str">
        <f ca="1">IFERROR(__xludf.DUMMYFUNCTION("IFERROR(VLOOKUP(F470,IMPORTRANGE(""https://docs.google.com/spreadsheets/d/1Kvs4KS76FHFqLFIZfrDMff4kP08nblUkihrxltoGBjg/edit#gid=934712705"",""ESENCIAL!A6:BG""),3,FALSE))"),"")</f>
        <v/>
      </c>
      <c r="H456" s="5" t="str">
        <f ca="1">IFERROR(__xludf.DUMMYFUNCTION("IFERROR(VLOOKUP(F470,IMPORTRANGE(""https://docs.google.com/spreadsheets/d/1Kvs4KS76FHFqLFIZfrDMff4kP08nblUkihrxltoGBjg/edit#gid=934712705"",""ESENCIAL!A6:BG""),8,FALSE))"),"")</f>
        <v/>
      </c>
      <c r="L456" s="287"/>
      <c r="U456" s="40"/>
      <c r="AU456" s="41" t="str">
        <f t="shared" si="16"/>
        <v/>
      </c>
      <c r="AV456" s="5" t="str">
        <f ca="1">IFERROR(__xludf.DUMMYFUNCTION("IFERROR(VLOOKUP(E470&amp;F470,IMPORTRANGE(""https://docs.google.com/spreadsheets/d/1Uw7-A9f9R21vMXxHZFNpYNeKFtG8_yji4HS352LGlSQ/edit?pli=1#gid=0"",""1_ACUM!A4:S""),11,FALSE))"),"")</f>
        <v/>
      </c>
      <c r="AW456" s="42" t="str">
        <f ca="1">IFERROR(__xludf.DUMMYFUNCTION("IFERROR(VLOOKUP(F470,IMPORTRANGE(""https://docs.google.com/spreadsheets/d/1Kvs4KS76FHFqLFIZfrDMff4kP08nblUkihrxltoGBjg/edit#gid=934712705"",""ESENCIAL!A6:BG""),15,FALSE))"),"")</f>
        <v/>
      </c>
      <c r="AX456" s="21" t="str">
        <f ca="1">IFERROR(__xludf.DUMMYFUNCTION("IFERROR(VLOOKUP(E470&amp;F470,IMPORTRANGE(""https://docs.google.com/spreadsheets/d/1Uw7-A9f9R21vMXxHZFNpYNeKFtG8_yji4HS352LGlSQ/edit?pli=1#gid=0"",""1_ACUM!A4:S""),12,FALSE))"),"")</f>
        <v/>
      </c>
      <c r="AY456" s="43" t="str">
        <f ca="1">IFERROR(__xludf.DUMMYFUNCTION("IFERROR(VLOOKUP(E470&amp;F470,IMPORTRANGE(""https://docs.google.com/spreadsheets/d/1Uw7-A9f9R21vMXxHZFNpYNeKFtG8_yji4HS352LGlSQ/edit?pli=1#gid=0"",""1_ACUM!A4:S""),13,FALSE))"),"")</f>
        <v/>
      </c>
      <c r="AZ456" s="43" t="str">
        <f ca="1">IFERROR(__xludf.DUMMYFUNCTION("IFERROR(VLOOKUP(E470&amp;F470,IMPORTRANGE(""https://docs.google.com/spreadsheets/d/1Uw7-A9f9R21vMXxHZFNpYNeKFtG8_yji4HS352LGlSQ/edit?pli=1#gid=0"",""1_ACUM!A4:S""),14,FALSE))"),"")</f>
        <v/>
      </c>
      <c r="BA456" s="43" t="str">
        <f ca="1">IFERROR(__xludf.DUMMYFUNCTION("IFERROR(VLOOKUP(E470&amp;F470,IMPORTRANGE(""https://docs.google.com/spreadsheets/d/1Uw7-A9f9R21vMXxHZFNpYNeKFtG8_yji4HS352LGlSQ/edit?pli=1#gid=0"",""1_ACUM!A4:S""),15,FALSE))"),"")</f>
        <v/>
      </c>
      <c r="BB456" s="43" t="str">
        <f ca="1">IFERROR(__xludf.DUMMYFUNCTION("IFERROR(VLOOKUP(E470&amp;F470,IMPORTRANGE(""https://docs.google.com/spreadsheets/d/1Uw7-A9f9R21vMXxHZFNpYNeKFtG8_yji4HS352LGlSQ/edit?pli=1#gid=0"",""1_ACUM!A4:S""),16,FALSE))"),"")</f>
        <v/>
      </c>
      <c r="BC456" s="43" t="str">
        <f ca="1">IFERROR(__xludf.DUMMYFUNCTION("IFERROR(VLOOKUP(E470&amp;F470,IMPORTRANGE(""https://docs.google.com/spreadsheets/d/1Uw7-A9f9R21vMXxHZFNpYNeKFtG8_yji4HS352LGlSQ/edit?pli=1#gid=0"",""1_ACUM!A4:S""),17,FALSE))"),"")</f>
        <v/>
      </c>
      <c r="BD456" s="44" t="str">
        <f ca="1">IFERROR(__xludf.DUMMYFUNCTION("IFERROR(VLOOKUP(E470&amp;F470,IMPORTRANGE(""https://docs.google.com/spreadsheets/d/1Uw7-A9f9R21vMXxHZFNpYNeKFtG8_yji4HS352LGlSQ/edit?pli=1#gid=0"",""1_ACUM!A4:S""),18,FALSE))"),"")</f>
        <v/>
      </c>
      <c r="BE456" s="44" t="str">
        <f ca="1">IFERROR(__xludf.DUMMYFUNCTION("IFERROR(VLOOKUP(E470&amp;F470,IMPORTRANGE(""https://docs.google.com/spreadsheets/d/1Uw7-A9f9R21vMXxHZFNpYNeKFtG8_yji4HS352LGlSQ/edit?pli=1#gid=0"",""1_ACUM!A4:S""),19,FALSE))"),"")</f>
        <v/>
      </c>
      <c r="BF456" s="98" t="str">
        <f ca="1">IFERROR(__xludf.DUMMYFUNCTION("IFERROR(VLOOKUP(F470,IMPORTRANGE(""https://docs.google.com/spreadsheets/d/1Kvs4KS76FHFqLFIZfrDMff4kP08nblUkihrxltoGBjg/edit#gid=934712705"",""ESENCIAL!A6:BG""),5,FALSE))"),"")</f>
        <v/>
      </c>
      <c r="BG456" s="98" t="str">
        <f t="shared" si="17"/>
        <v/>
      </c>
      <c r="BH456" s="99" t="str">
        <f t="shared" si="18"/>
        <v/>
      </c>
      <c r="BI456" s="100" t="str">
        <f ca="1">IFERROR(__xludf.DUMMYFUNCTION("IFERROR(VLOOKUP(F470,IMPORTRANGE(""https://docs.google.com/spreadsheets/d/1Kvs4KS76FHFqLFIZfrDMff4kP08nblUkihrxltoGBjg/edit#gid=934712705"",""ESENCIAL!A6:BG""),2,FALSE))"),"")</f>
        <v/>
      </c>
      <c r="BJ456" s="19" t="str">
        <f t="shared" si="19"/>
        <v/>
      </c>
      <c r="BK456" s="100"/>
      <c r="BL456" s="100"/>
    </row>
    <row r="457" spans="1:64" ht="15">
      <c r="A457" s="5"/>
      <c r="B457" s="5"/>
      <c r="G457" s="5" t="str">
        <f ca="1">IFERROR(__xludf.DUMMYFUNCTION("IFERROR(VLOOKUP(F471,IMPORTRANGE(""https://docs.google.com/spreadsheets/d/1Kvs4KS76FHFqLFIZfrDMff4kP08nblUkihrxltoGBjg/edit#gid=934712705"",""ESENCIAL!A6:BG""),3,FALSE))"),"")</f>
        <v/>
      </c>
      <c r="H457" s="5" t="str">
        <f ca="1">IFERROR(__xludf.DUMMYFUNCTION("IFERROR(VLOOKUP(F471,IMPORTRANGE(""https://docs.google.com/spreadsheets/d/1Kvs4KS76FHFqLFIZfrDMff4kP08nblUkihrxltoGBjg/edit#gid=934712705"",""ESENCIAL!A6:BG""),8,FALSE))"),"")</f>
        <v/>
      </c>
      <c r="L457" s="287"/>
      <c r="U457" s="40"/>
      <c r="AU457" s="41" t="str">
        <f t="shared" si="16"/>
        <v/>
      </c>
      <c r="AV457" s="5" t="str">
        <f ca="1">IFERROR(__xludf.DUMMYFUNCTION("IFERROR(VLOOKUP(E471&amp;F471,IMPORTRANGE(""https://docs.google.com/spreadsheets/d/1Uw7-A9f9R21vMXxHZFNpYNeKFtG8_yji4HS352LGlSQ/edit?pli=1#gid=0"",""1_ACUM!A4:S""),11,FALSE))"),"")</f>
        <v/>
      </c>
      <c r="AW457" s="42" t="str">
        <f ca="1">IFERROR(__xludf.DUMMYFUNCTION("IFERROR(VLOOKUP(F471,IMPORTRANGE(""https://docs.google.com/spreadsheets/d/1Kvs4KS76FHFqLFIZfrDMff4kP08nblUkihrxltoGBjg/edit#gid=934712705"",""ESENCIAL!A6:BG""),15,FALSE))"),"")</f>
        <v/>
      </c>
      <c r="AX457" s="21" t="str">
        <f ca="1">IFERROR(__xludf.DUMMYFUNCTION("IFERROR(VLOOKUP(E471&amp;F471,IMPORTRANGE(""https://docs.google.com/spreadsheets/d/1Uw7-A9f9R21vMXxHZFNpYNeKFtG8_yji4HS352LGlSQ/edit?pli=1#gid=0"",""1_ACUM!A4:S""),12,FALSE))"),"")</f>
        <v/>
      </c>
      <c r="AY457" s="43" t="str">
        <f ca="1">IFERROR(__xludf.DUMMYFUNCTION("IFERROR(VLOOKUP(E471&amp;F471,IMPORTRANGE(""https://docs.google.com/spreadsheets/d/1Uw7-A9f9R21vMXxHZFNpYNeKFtG8_yji4HS352LGlSQ/edit?pli=1#gid=0"",""1_ACUM!A4:S""),13,FALSE))"),"")</f>
        <v/>
      </c>
      <c r="AZ457" s="43" t="str">
        <f ca="1">IFERROR(__xludf.DUMMYFUNCTION("IFERROR(VLOOKUP(E471&amp;F471,IMPORTRANGE(""https://docs.google.com/spreadsheets/d/1Uw7-A9f9R21vMXxHZFNpYNeKFtG8_yji4HS352LGlSQ/edit?pli=1#gid=0"",""1_ACUM!A4:S""),14,FALSE))"),"")</f>
        <v/>
      </c>
      <c r="BA457" s="43" t="str">
        <f ca="1">IFERROR(__xludf.DUMMYFUNCTION("IFERROR(VLOOKUP(E471&amp;F471,IMPORTRANGE(""https://docs.google.com/spreadsheets/d/1Uw7-A9f9R21vMXxHZFNpYNeKFtG8_yji4HS352LGlSQ/edit?pli=1#gid=0"",""1_ACUM!A4:S""),15,FALSE))"),"")</f>
        <v/>
      </c>
      <c r="BB457" s="43" t="str">
        <f ca="1">IFERROR(__xludf.DUMMYFUNCTION("IFERROR(VLOOKUP(E471&amp;F471,IMPORTRANGE(""https://docs.google.com/spreadsheets/d/1Uw7-A9f9R21vMXxHZFNpYNeKFtG8_yji4HS352LGlSQ/edit?pli=1#gid=0"",""1_ACUM!A4:S""),16,FALSE))"),"")</f>
        <v/>
      </c>
      <c r="BC457" s="43" t="str">
        <f ca="1">IFERROR(__xludf.DUMMYFUNCTION("IFERROR(VLOOKUP(E471&amp;F471,IMPORTRANGE(""https://docs.google.com/spreadsheets/d/1Uw7-A9f9R21vMXxHZFNpYNeKFtG8_yji4HS352LGlSQ/edit?pli=1#gid=0"",""1_ACUM!A4:S""),17,FALSE))"),"")</f>
        <v/>
      </c>
      <c r="BD457" s="44" t="str">
        <f ca="1">IFERROR(__xludf.DUMMYFUNCTION("IFERROR(VLOOKUP(E471&amp;F471,IMPORTRANGE(""https://docs.google.com/spreadsheets/d/1Uw7-A9f9R21vMXxHZFNpYNeKFtG8_yji4HS352LGlSQ/edit?pli=1#gid=0"",""1_ACUM!A4:S""),18,FALSE))"),"")</f>
        <v/>
      </c>
      <c r="BE457" s="44" t="str">
        <f ca="1">IFERROR(__xludf.DUMMYFUNCTION("IFERROR(VLOOKUP(E471&amp;F471,IMPORTRANGE(""https://docs.google.com/spreadsheets/d/1Uw7-A9f9R21vMXxHZFNpYNeKFtG8_yji4HS352LGlSQ/edit?pli=1#gid=0"",""1_ACUM!A4:S""),19,FALSE))"),"")</f>
        <v/>
      </c>
      <c r="BF457" s="98" t="str">
        <f ca="1">IFERROR(__xludf.DUMMYFUNCTION("IFERROR(VLOOKUP(F471,IMPORTRANGE(""https://docs.google.com/spreadsheets/d/1Kvs4KS76FHFqLFIZfrDMff4kP08nblUkihrxltoGBjg/edit#gid=934712705"",""ESENCIAL!A6:BG""),5,FALSE))"),"")</f>
        <v/>
      </c>
      <c r="BG457" s="98" t="str">
        <f t="shared" si="17"/>
        <v/>
      </c>
      <c r="BH457" s="99" t="str">
        <f t="shared" si="18"/>
        <v/>
      </c>
      <c r="BI457" s="100" t="str">
        <f ca="1">IFERROR(__xludf.DUMMYFUNCTION("IFERROR(VLOOKUP(F471,IMPORTRANGE(""https://docs.google.com/spreadsheets/d/1Kvs4KS76FHFqLFIZfrDMff4kP08nblUkihrxltoGBjg/edit#gid=934712705"",""ESENCIAL!A6:BG""),2,FALSE))"),"")</f>
        <v/>
      </c>
      <c r="BJ457" s="19" t="str">
        <f t="shared" si="19"/>
        <v/>
      </c>
      <c r="BK457" s="100"/>
      <c r="BL457" s="100"/>
    </row>
    <row r="458" spans="1:64" ht="15">
      <c r="A458" s="5"/>
      <c r="B458" s="5"/>
      <c r="G458" s="5" t="str">
        <f ca="1">IFERROR(__xludf.DUMMYFUNCTION("IFERROR(VLOOKUP(F472,IMPORTRANGE(""https://docs.google.com/spreadsheets/d/1Kvs4KS76FHFqLFIZfrDMff4kP08nblUkihrxltoGBjg/edit#gid=934712705"",""ESENCIAL!A6:BG""),3,FALSE))"),"")</f>
        <v/>
      </c>
      <c r="H458" s="5" t="str">
        <f ca="1">IFERROR(__xludf.DUMMYFUNCTION("IFERROR(VLOOKUP(F472,IMPORTRANGE(""https://docs.google.com/spreadsheets/d/1Kvs4KS76FHFqLFIZfrDMff4kP08nblUkihrxltoGBjg/edit#gid=934712705"",""ESENCIAL!A6:BG""),8,FALSE))"),"")</f>
        <v/>
      </c>
      <c r="L458" s="287"/>
      <c r="U458" s="40"/>
      <c r="AU458" s="41" t="str">
        <f t="shared" si="16"/>
        <v/>
      </c>
      <c r="AV458" s="5" t="str">
        <f ca="1">IFERROR(__xludf.DUMMYFUNCTION("IFERROR(VLOOKUP(E472&amp;F472,IMPORTRANGE(""https://docs.google.com/spreadsheets/d/1Uw7-A9f9R21vMXxHZFNpYNeKFtG8_yji4HS352LGlSQ/edit?pli=1#gid=0"",""1_ACUM!A4:S""),11,FALSE))"),"")</f>
        <v/>
      </c>
      <c r="AW458" s="42" t="str">
        <f ca="1">IFERROR(__xludf.DUMMYFUNCTION("IFERROR(VLOOKUP(F472,IMPORTRANGE(""https://docs.google.com/spreadsheets/d/1Kvs4KS76FHFqLFIZfrDMff4kP08nblUkihrxltoGBjg/edit#gid=934712705"",""ESENCIAL!A6:BG""),15,FALSE))"),"")</f>
        <v/>
      </c>
      <c r="AX458" s="21" t="str">
        <f ca="1">IFERROR(__xludf.DUMMYFUNCTION("IFERROR(VLOOKUP(E472&amp;F472,IMPORTRANGE(""https://docs.google.com/spreadsheets/d/1Uw7-A9f9R21vMXxHZFNpYNeKFtG8_yji4HS352LGlSQ/edit?pli=1#gid=0"",""1_ACUM!A4:S""),12,FALSE))"),"")</f>
        <v/>
      </c>
      <c r="AY458" s="43" t="str">
        <f ca="1">IFERROR(__xludf.DUMMYFUNCTION("IFERROR(VLOOKUP(E472&amp;F472,IMPORTRANGE(""https://docs.google.com/spreadsheets/d/1Uw7-A9f9R21vMXxHZFNpYNeKFtG8_yji4HS352LGlSQ/edit?pli=1#gid=0"",""1_ACUM!A4:S""),13,FALSE))"),"")</f>
        <v/>
      </c>
      <c r="AZ458" s="43" t="str">
        <f ca="1">IFERROR(__xludf.DUMMYFUNCTION("IFERROR(VLOOKUP(E472&amp;F472,IMPORTRANGE(""https://docs.google.com/spreadsheets/d/1Uw7-A9f9R21vMXxHZFNpYNeKFtG8_yji4HS352LGlSQ/edit?pli=1#gid=0"",""1_ACUM!A4:S""),14,FALSE))"),"")</f>
        <v/>
      </c>
      <c r="BA458" s="43" t="str">
        <f ca="1">IFERROR(__xludf.DUMMYFUNCTION("IFERROR(VLOOKUP(E472&amp;F472,IMPORTRANGE(""https://docs.google.com/spreadsheets/d/1Uw7-A9f9R21vMXxHZFNpYNeKFtG8_yji4HS352LGlSQ/edit?pli=1#gid=0"",""1_ACUM!A4:S""),15,FALSE))"),"")</f>
        <v/>
      </c>
      <c r="BB458" s="43" t="str">
        <f ca="1">IFERROR(__xludf.DUMMYFUNCTION("IFERROR(VLOOKUP(E472&amp;F472,IMPORTRANGE(""https://docs.google.com/spreadsheets/d/1Uw7-A9f9R21vMXxHZFNpYNeKFtG8_yji4HS352LGlSQ/edit?pli=1#gid=0"",""1_ACUM!A4:S""),16,FALSE))"),"")</f>
        <v/>
      </c>
      <c r="BC458" s="43" t="str">
        <f ca="1">IFERROR(__xludf.DUMMYFUNCTION("IFERROR(VLOOKUP(E472&amp;F472,IMPORTRANGE(""https://docs.google.com/spreadsheets/d/1Uw7-A9f9R21vMXxHZFNpYNeKFtG8_yji4HS352LGlSQ/edit?pli=1#gid=0"",""1_ACUM!A4:S""),17,FALSE))"),"")</f>
        <v/>
      </c>
      <c r="BD458" s="44" t="str">
        <f ca="1">IFERROR(__xludf.DUMMYFUNCTION("IFERROR(VLOOKUP(E472&amp;F472,IMPORTRANGE(""https://docs.google.com/spreadsheets/d/1Uw7-A9f9R21vMXxHZFNpYNeKFtG8_yji4HS352LGlSQ/edit?pli=1#gid=0"",""1_ACUM!A4:S""),18,FALSE))"),"")</f>
        <v/>
      </c>
      <c r="BE458" s="44" t="str">
        <f ca="1">IFERROR(__xludf.DUMMYFUNCTION("IFERROR(VLOOKUP(E472&amp;F472,IMPORTRANGE(""https://docs.google.com/spreadsheets/d/1Uw7-A9f9R21vMXxHZFNpYNeKFtG8_yji4HS352LGlSQ/edit?pli=1#gid=0"",""1_ACUM!A4:S""),19,FALSE))"),"")</f>
        <v/>
      </c>
      <c r="BF458" s="98" t="str">
        <f ca="1">IFERROR(__xludf.DUMMYFUNCTION("IFERROR(VLOOKUP(F472,IMPORTRANGE(""https://docs.google.com/spreadsheets/d/1Kvs4KS76FHFqLFIZfrDMff4kP08nblUkihrxltoGBjg/edit#gid=934712705"",""ESENCIAL!A6:BG""),5,FALSE))"),"")</f>
        <v/>
      </c>
      <c r="BG458" s="98" t="str">
        <f t="shared" si="17"/>
        <v/>
      </c>
      <c r="BH458" s="99" t="str">
        <f t="shared" si="18"/>
        <v/>
      </c>
      <c r="BI458" s="100" t="str">
        <f ca="1">IFERROR(__xludf.DUMMYFUNCTION("IFERROR(VLOOKUP(F472,IMPORTRANGE(""https://docs.google.com/spreadsheets/d/1Kvs4KS76FHFqLFIZfrDMff4kP08nblUkihrxltoGBjg/edit#gid=934712705"",""ESENCIAL!A6:BG""),2,FALSE))"),"")</f>
        <v/>
      </c>
      <c r="BJ458" s="19" t="str">
        <f t="shared" si="19"/>
        <v/>
      </c>
      <c r="BK458" s="100"/>
      <c r="BL458" s="100"/>
    </row>
    <row r="459" spans="1:64" ht="15">
      <c r="A459" s="5"/>
      <c r="B459" s="5"/>
      <c r="G459" s="5" t="str">
        <f ca="1">IFERROR(__xludf.DUMMYFUNCTION("IFERROR(VLOOKUP(F473,IMPORTRANGE(""https://docs.google.com/spreadsheets/d/1Kvs4KS76FHFqLFIZfrDMff4kP08nblUkihrxltoGBjg/edit#gid=934712705"",""ESENCIAL!A6:BG""),3,FALSE))"),"")</f>
        <v/>
      </c>
      <c r="H459" s="5" t="str">
        <f ca="1">IFERROR(__xludf.DUMMYFUNCTION("IFERROR(VLOOKUP(F473,IMPORTRANGE(""https://docs.google.com/spreadsheets/d/1Kvs4KS76FHFqLFIZfrDMff4kP08nblUkihrxltoGBjg/edit#gid=934712705"",""ESENCIAL!A6:BG""),8,FALSE))"),"")</f>
        <v/>
      </c>
      <c r="L459" s="287"/>
      <c r="U459" s="40"/>
      <c r="AU459" s="41" t="str">
        <f t="shared" si="16"/>
        <v/>
      </c>
      <c r="AV459" s="5" t="str">
        <f ca="1">IFERROR(__xludf.DUMMYFUNCTION("IFERROR(VLOOKUP(E473&amp;F473,IMPORTRANGE(""https://docs.google.com/spreadsheets/d/1Uw7-A9f9R21vMXxHZFNpYNeKFtG8_yji4HS352LGlSQ/edit?pli=1#gid=0"",""1_ACUM!A4:S""),11,FALSE))"),"")</f>
        <v/>
      </c>
      <c r="AW459" s="42" t="str">
        <f ca="1">IFERROR(__xludf.DUMMYFUNCTION("IFERROR(VLOOKUP(F473,IMPORTRANGE(""https://docs.google.com/spreadsheets/d/1Kvs4KS76FHFqLFIZfrDMff4kP08nblUkihrxltoGBjg/edit#gid=934712705"",""ESENCIAL!A6:BG""),15,FALSE))"),"")</f>
        <v/>
      </c>
      <c r="AX459" s="21" t="str">
        <f ca="1">IFERROR(__xludf.DUMMYFUNCTION("IFERROR(VLOOKUP(E473&amp;F473,IMPORTRANGE(""https://docs.google.com/spreadsheets/d/1Uw7-A9f9R21vMXxHZFNpYNeKFtG8_yji4HS352LGlSQ/edit?pli=1#gid=0"",""1_ACUM!A4:S""),12,FALSE))"),"")</f>
        <v/>
      </c>
      <c r="AY459" s="43" t="str">
        <f ca="1">IFERROR(__xludf.DUMMYFUNCTION("IFERROR(VLOOKUP(E473&amp;F473,IMPORTRANGE(""https://docs.google.com/spreadsheets/d/1Uw7-A9f9R21vMXxHZFNpYNeKFtG8_yji4HS352LGlSQ/edit?pli=1#gid=0"",""1_ACUM!A4:S""),13,FALSE))"),"")</f>
        <v/>
      </c>
      <c r="AZ459" s="43" t="str">
        <f ca="1">IFERROR(__xludf.DUMMYFUNCTION("IFERROR(VLOOKUP(E473&amp;F473,IMPORTRANGE(""https://docs.google.com/spreadsheets/d/1Uw7-A9f9R21vMXxHZFNpYNeKFtG8_yji4HS352LGlSQ/edit?pli=1#gid=0"",""1_ACUM!A4:S""),14,FALSE))"),"")</f>
        <v/>
      </c>
      <c r="BA459" s="43" t="str">
        <f ca="1">IFERROR(__xludf.DUMMYFUNCTION("IFERROR(VLOOKUP(E473&amp;F473,IMPORTRANGE(""https://docs.google.com/spreadsheets/d/1Uw7-A9f9R21vMXxHZFNpYNeKFtG8_yji4HS352LGlSQ/edit?pli=1#gid=0"",""1_ACUM!A4:S""),15,FALSE))"),"")</f>
        <v/>
      </c>
      <c r="BB459" s="43" t="str">
        <f ca="1">IFERROR(__xludf.DUMMYFUNCTION("IFERROR(VLOOKUP(E473&amp;F473,IMPORTRANGE(""https://docs.google.com/spreadsheets/d/1Uw7-A9f9R21vMXxHZFNpYNeKFtG8_yji4HS352LGlSQ/edit?pli=1#gid=0"",""1_ACUM!A4:S""),16,FALSE))"),"")</f>
        <v/>
      </c>
      <c r="BC459" s="43" t="str">
        <f ca="1">IFERROR(__xludf.DUMMYFUNCTION("IFERROR(VLOOKUP(E473&amp;F473,IMPORTRANGE(""https://docs.google.com/spreadsheets/d/1Uw7-A9f9R21vMXxHZFNpYNeKFtG8_yji4HS352LGlSQ/edit?pli=1#gid=0"",""1_ACUM!A4:S""),17,FALSE))"),"")</f>
        <v/>
      </c>
      <c r="BD459" s="44" t="str">
        <f ca="1">IFERROR(__xludf.DUMMYFUNCTION("IFERROR(VLOOKUP(E473&amp;F473,IMPORTRANGE(""https://docs.google.com/spreadsheets/d/1Uw7-A9f9R21vMXxHZFNpYNeKFtG8_yji4HS352LGlSQ/edit?pli=1#gid=0"",""1_ACUM!A4:S""),18,FALSE))"),"")</f>
        <v/>
      </c>
      <c r="BE459" s="44" t="str">
        <f ca="1">IFERROR(__xludf.DUMMYFUNCTION("IFERROR(VLOOKUP(E473&amp;F473,IMPORTRANGE(""https://docs.google.com/spreadsheets/d/1Uw7-A9f9R21vMXxHZFNpYNeKFtG8_yji4HS352LGlSQ/edit?pli=1#gid=0"",""1_ACUM!A4:S""),19,FALSE))"),"")</f>
        <v/>
      </c>
      <c r="BF459" s="98" t="str">
        <f ca="1">IFERROR(__xludf.DUMMYFUNCTION("IFERROR(VLOOKUP(F473,IMPORTRANGE(""https://docs.google.com/spreadsheets/d/1Kvs4KS76FHFqLFIZfrDMff4kP08nblUkihrxltoGBjg/edit#gid=934712705"",""ESENCIAL!A6:BG""),5,FALSE))"),"")</f>
        <v/>
      </c>
      <c r="BG459" s="98" t="str">
        <f t="shared" si="17"/>
        <v/>
      </c>
      <c r="BH459" s="99" t="str">
        <f t="shared" si="18"/>
        <v/>
      </c>
      <c r="BI459" s="100" t="str">
        <f ca="1">IFERROR(__xludf.DUMMYFUNCTION("IFERROR(VLOOKUP(F473,IMPORTRANGE(""https://docs.google.com/spreadsheets/d/1Kvs4KS76FHFqLFIZfrDMff4kP08nblUkihrxltoGBjg/edit#gid=934712705"",""ESENCIAL!A6:BG""),2,FALSE))"),"")</f>
        <v/>
      </c>
      <c r="BJ459" s="19" t="str">
        <f t="shared" si="19"/>
        <v/>
      </c>
      <c r="BK459" s="100"/>
      <c r="BL459" s="100"/>
    </row>
    <row r="460" spans="1:64" ht="15">
      <c r="A460" s="5"/>
      <c r="B460" s="5"/>
      <c r="G460" s="5" t="str">
        <f ca="1">IFERROR(__xludf.DUMMYFUNCTION("IFERROR(VLOOKUP(F474,IMPORTRANGE(""https://docs.google.com/spreadsheets/d/1Kvs4KS76FHFqLFIZfrDMff4kP08nblUkihrxltoGBjg/edit#gid=934712705"",""ESENCIAL!A6:BG""),3,FALSE))"),"")</f>
        <v/>
      </c>
      <c r="H460" s="5" t="str">
        <f ca="1">IFERROR(__xludf.DUMMYFUNCTION("IFERROR(VLOOKUP(F474,IMPORTRANGE(""https://docs.google.com/spreadsheets/d/1Kvs4KS76FHFqLFIZfrDMff4kP08nblUkihrxltoGBjg/edit#gid=934712705"",""ESENCIAL!A6:BG""),8,FALSE))"),"")</f>
        <v/>
      </c>
      <c r="L460" s="287"/>
      <c r="U460" s="40"/>
      <c r="AU460" s="41" t="str">
        <f t="shared" si="16"/>
        <v/>
      </c>
      <c r="AV460" s="5" t="str">
        <f ca="1">IFERROR(__xludf.DUMMYFUNCTION("IFERROR(VLOOKUP(E474&amp;F474,IMPORTRANGE(""https://docs.google.com/spreadsheets/d/1Uw7-A9f9R21vMXxHZFNpYNeKFtG8_yji4HS352LGlSQ/edit?pli=1#gid=0"",""1_ACUM!A4:S""),11,FALSE))"),"")</f>
        <v/>
      </c>
      <c r="AW460" s="42" t="str">
        <f ca="1">IFERROR(__xludf.DUMMYFUNCTION("IFERROR(VLOOKUP(F474,IMPORTRANGE(""https://docs.google.com/spreadsheets/d/1Kvs4KS76FHFqLFIZfrDMff4kP08nblUkihrxltoGBjg/edit#gid=934712705"",""ESENCIAL!A6:BG""),15,FALSE))"),"")</f>
        <v/>
      </c>
      <c r="AX460" s="21" t="str">
        <f ca="1">IFERROR(__xludf.DUMMYFUNCTION("IFERROR(VLOOKUP(E474&amp;F474,IMPORTRANGE(""https://docs.google.com/spreadsheets/d/1Uw7-A9f9R21vMXxHZFNpYNeKFtG8_yji4HS352LGlSQ/edit?pli=1#gid=0"",""1_ACUM!A4:S""),12,FALSE))"),"")</f>
        <v/>
      </c>
      <c r="AY460" s="43" t="str">
        <f ca="1">IFERROR(__xludf.DUMMYFUNCTION("IFERROR(VLOOKUP(E474&amp;F474,IMPORTRANGE(""https://docs.google.com/spreadsheets/d/1Uw7-A9f9R21vMXxHZFNpYNeKFtG8_yji4HS352LGlSQ/edit?pli=1#gid=0"",""1_ACUM!A4:S""),13,FALSE))"),"")</f>
        <v/>
      </c>
      <c r="AZ460" s="43" t="str">
        <f ca="1">IFERROR(__xludf.DUMMYFUNCTION("IFERROR(VLOOKUP(E474&amp;F474,IMPORTRANGE(""https://docs.google.com/spreadsheets/d/1Uw7-A9f9R21vMXxHZFNpYNeKFtG8_yji4HS352LGlSQ/edit?pli=1#gid=0"",""1_ACUM!A4:S""),14,FALSE))"),"")</f>
        <v/>
      </c>
      <c r="BA460" s="43" t="str">
        <f ca="1">IFERROR(__xludf.DUMMYFUNCTION("IFERROR(VLOOKUP(E474&amp;F474,IMPORTRANGE(""https://docs.google.com/spreadsheets/d/1Uw7-A9f9R21vMXxHZFNpYNeKFtG8_yji4HS352LGlSQ/edit?pli=1#gid=0"",""1_ACUM!A4:S""),15,FALSE))"),"")</f>
        <v/>
      </c>
      <c r="BB460" s="43" t="str">
        <f ca="1">IFERROR(__xludf.DUMMYFUNCTION("IFERROR(VLOOKUP(E474&amp;F474,IMPORTRANGE(""https://docs.google.com/spreadsheets/d/1Uw7-A9f9R21vMXxHZFNpYNeKFtG8_yji4HS352LGlSQ/edit?pli=1#gid=0"",""1_ACUM!A4:S""),16,FALSE))"),"")</f>
        <v/>
      </c>
      <c r="BC460" s="43" t="str">
        <f ca="1">IFERROR(__xludf.DUMMYFUNCTION("IFERROR(VLOOKUP(E474&amp;F474,IMPORTRANGE(""https://docs.google.com/spreadsheets/d/1Uw7-A9f9R21vMXxHZFNpYNeKFtG8_yji4HS352LGlSQ/edit?pli=1#gid=0"",""1_ACUM!A4:S""),17,FALSE))"),"")</f>
        <v/>
      </c>
      <c r="BD460" s="44" t="str">
        <f ca="1">IFERROR(__xludf.DUMMYFUNCTION("IFERROR(VLOOKUP(E474&amp;F474,IMPORTRANGE(""https://docs.google.com/spreadsheets/d/1Uw7-A9f9R21vMXxHZFNpYNeKFtG8_yji4HS352LGlSQ/edit?pli=1#gid=0"",""1_ACUM!A4:S""),18,FALSE))"),"")</f>
        <v/>
      </c>
      <c r="BE460" s="44" t="str">
        <f ca="1">IFERROR(__xludf.DUMMYFUNCTION("IFERROR(VLOOKUP(E474&amp;F474,IMPORTRANGE(""https://docs.google.com/spreadsheets/d/1Uw7-A9f9R21vMXxHZFNpYNeKFtG8_yji4HS352LGlSQ/edit?pli=1#gid=0"",""1_ACUM!A4:S""),19,FALSE))"),"")</f>
        <v/>
      </c>
      <c r="BF460" s="98" t="str">
        <f ca="1">IFERROR(__xludf.DUMMYFUNCTION("IFERROR(VLOOKUP(F474,IMPORTRANGE(""https://docs.google.com/spreadsheets/d/1Kvs4KS76FHFqLFIZfrDMff4kP08nblUkihrxltoGBjg/edit#gid=934712705"",""ESENCIAL!A6:BG""),5,FALSE))"),"")</f>
        <v/>
      </c>
      <c r="BG460" s="98" t="str">
        <f t="shared" si="17"/>
        <v/>
      </c>
      <c r="BH460" s="99" t="str">
        <f t="shared" si="18"/>
        <v/>
      </c>
      <c r="BI460" s="100" t="str">
        <f ca="1">IFERROR(__xludf.DUMMYFUNCTION("IFERROR(VLOOKUP(F474,IMPORTRANGE(""https://docs.google.com/spreadsheets/d/1Kvs4KS76FHFqLFIZfrDMff4kP08nblUkihrxltoGBjg/edit#gid=934712705"",""ESENCIAL!A6:BG""),2,FALSE))"),"")</f>
        <v/>
      </c>
      <c r="BJ460" s="19" t="str">
        <f t="shared" si="19"/>
        <v/>
      </c>
      <c r="BK460" s="100"/>
      <c r="BL460" s="100"/>
    </row>
    <row r="461" spans="1:64" ht="15">
      <c r="A461" s="5"/>
      <c r="B461" s="5"/>
      <c r="G461" s="5" t="str">
        <f ca="1">IFERROR(__xludf.DUMMYFUNCTION("IFERROR(VLOOKUP(F475,IMPORTRANGE(""https://docs.google.com/spreadsheets/d/1Kvs4KS76FHFqLFIZfrDMff4kP08nblUkihrxltoGBjg/edit#gid=934712705"",""ESENCIAL!A6:BG""),3,FALSE))"),"")</f>
        <v/>
      </c>
      <c r="H461" s="5" t="str">
        <f ca="1">IFERROR(__xludf.DUMMYFUNCTION("IFERROR(VLOOKUP(F475,IMPORTRANGE(""https://docs.google.com/spreadsheets/d/1Kvs4KS76FHFqLFIZfrDMff4kP08nblUkihrxltoGBjg/edit#gid=934712705"",""ESENCIAL!A6:BG""),8,FALSE))"),"")</f>
        <v/>
      </c>
      <c r="L461" s="287"/>
      <c r="U461" s="40"/>
      <c r="AU461" s="41" t="str">
        <f t="shared" si="16"/>
        <v/>
      </c>
      <c r="AV461" s="5" t="str">
        <f ca="1">IFERROR(__xludf.DUMMYFUNCTION("IFERROR(VLOOKUP(E475&amp;F475,IMPORTRANGE(""https://docs.google.com/spreadsheets/d/1Uw7-A9f9R21vMXxHZFNpYNeKFtG8_yji4HS352LGlSQ/edit?pli=1#gid=0"",""1_ACUM!A4:S""),11,FALSE))"),"")</f>
        <v/>
      </c>
      <c r="AW461" s="42" t="str">
        <f ca="1">IFERROR(__xludf.DUMMYFUNCTION("IFERROR(VLOOKUP(F475,IMPORTRANGE(""https://docs.google.com/spreadsheets/d/1Kvs4KS76FHFqLFIZfrDMff4kP08nblUkihrxltoGBjg/edit#gid=934712705"",""ESENCIAL!A6:BG""),15,FALSE))"),"")</f>
        <v/>
      </c>
      <c r="AX461" s="21" t="str">
        <f ca="1">IFERROR(__xludf.DUMMYFUNCTION("IFERROR(VLOOKUP(E475&amp;F475,IMPORTRANGE(""https://docs.google.com/spreadsheets/d/1Uw7-A9f9R21vMXxHZFNpYNeKFtG8_yji4HS352LGlSQ/edit?pli=1#gid=0"",""1_ACUM!A4:S""),12,FALSE))"),"")</f>
        <v/>
      </c>
      <c r="AY461" s="43" t="str">
        <f ca="1">IFERROR(__xludf.DUMMYFUNCTION("IFERROR(VLOOKUP(E475&amp;F475,IMPORTRANGE(""https://docs.google.com/spreadsheets/d/1Uw7-A9f9R21vMXxHZFNpYNeKFtG8_yji4HS352LGlSQ/edit?pli=1#gid=0"",""1_ACUM!A4:S""),13,FALSE))"),"")</f>
        <v/>
      </c>
      <c r="AZ461" s="43" t="str">
        <f ca="1">IFERROR(__xludf.DUMMYFUNCTION("IFERROR(VLOOKUP(E475&amp;F475,IMPORTRANGE(""https://docs.google.com/spreadsheets/d/1Uw7-A9f9R21vMXxHZFNpYNeKFtG8_yji4HS352LGlSQ/edit?pli=1#gid=0"",""1_ACUM!A4:S""),14,FALSE))"),"")</f>
        <v/>
      </c>
      <c r="BA461" s="43" t="str">
        <f ca="1">IFERROR(__xludf.DUMMYFUNCTION("IFERROR(VLOOKUP(E475&amp;F475,IMPORTRANGE(""https://docs.google.com/spreadsheets/d/1Uw7-A9f9R21vMXxHZFNpYNeKFtG8_yji4HS352LGlSQ/edit?pli=1#gid=0"",""1_ACUM!A4:S""),15,FALSE))"),"")</f>
        <v/>
      </c>
      <c r="BB461" s="43" t="str">
        <f ca="1">IFERROR(__xludf.DUMMYFUNCTION("IFERROR(VLOOKUP(E475&amp;F475,IMPORTRANGE(""https://docs.google.com/spreadsheets/d/1Uw7-A9f9R21vMXxHZFNpYNeKFtG8_yji4HS352LGlSQ/edit?pli=1#gid=0"",""1_ACUM!A4:S""),16,FALSE))"),"")</f>
        <v/>
      </c>
      <c r="BC461" s="43" t="str">
        <f ca="1">IFERROR(__xludf.DUMMYFUNCTION("IFERROR(VLOOKUP(E475&amp;F475,IMPORTRANGE(""https://docs.google.com/spreadsheets/d/1Uw7-A9f9R21vMXxHZFNpYNeKFtG8_yji4HS352LGlSQ/edit?pli=1#gid=0"",""1_ACUM!A4:S""),17,FALSE))"),"")</f>
        <v/>
      </c>
      <c r="BD461" s="44" t="str">
        <f ca="1">IFERROR(__xludf.DUMMYFUNCTION("IFERROR(VLOOKUP(E475&amp;F475,IMPORTRANGE(""https://docs.google.com/spreadsheets/d/1Uw7-A9f9R21vMXxHZFNpYNeKFtG8_yji4HS352LGlSQ/edit?pli=1#gid=0"",""1_ACUM!A4:S""),18,FALSE))"),"")</f>
        <v/>
      </c>
      <c r="BE461" s="44" t="str">
        <f ca="1">IFERROR(__xludf.DUMMYFUNCTION("IFERROR(VLOOKUP(E475&amp;F475,IMPORTRANGE(""https://docs.google.com/spreadsheets/d/1Uw7-A9f9R21vMXxHZFNpYNeKFtG8_yji4HS352LGlSQ/edit?pli=1#gid=0"",""1_ACUM!A4:S""),19,FALSE))"),"")</f>
        <v/>
      </c>
      <c r="BF461" s="98" t="str">
        <f ca="1">IFERROR(__xludf.DUMMYFUNCTION("IFERROR(VLOOKUP(F475,IMPORTRANGE(""https://docs.google.com/spreadsheets/d/1Kvs4KS76FHFqLFIZfrDMff4kP08nblUkihrxltoGBjg/edit#gid=934712705"",""ESENCIAL!A6:BG""),5,FALSE))"),"")</f>
        <v/>
      </c>
      <c r="BG461" s="98" t="str">
        <f t="shared" si="17"/>
        <v/>
      </c>
      <c r="BH461" s="99" t="str">
        <f t="shared" si="18"/>
        <v/>
      </c>
      <c r="BI461" s="100" t="str">
        <f ca="1">IFERROR(__xludf.DUMMYFUNCTION("IFERROR(VLOOKUP(F475,IMPORTRANGE(""https://docs.google.com/spreadsheets/d/1Kvs4KS76FHFqLFIZfrDMff4kP08nblUkihrxltoGBjg/edit#gid=934712705"",""ESENCIAL!A6:BG""),2,FALSE))"),"")</f>
        <v/>
      </c>
      <c r="BJ461" s="19" t="str">
        <f t="shared" si="19"/>
        <v/>
      </c>
      <c r="BK461" s="100"/>
      <c r="BL461" s="100"/>
    </row>
    <row r="462" spans="1:64" ht="15">
      <c r="A462" s="5"/>
      <c r="B462" s="5"/>
      <c r="G462" s="5" t="str">
        <f ca="1">IFERROR(__xludf.DUMMYFUNCTION("IFERROR(VLOOKUP(F476,IMPORTRANGE(""https://docs.google.com/spreadsheets/d/1Kvs4KS76FHFqLFIZfrDMff4kP08nblUkihrxltoGBjg/edit#gid=934712705"",""ESENCIAL!A6:BG""),3,FALSE))"),"")</f>
        <v/>
      </c>
      <c r="H462" s="5" t="str">
        <f ca="1">IFERROR(__xludf.DUMMYFUNCTION("IFERROR(VLOOKUP(F476,IMPORTRANGE(""https://docs.google.com/spreadsheets/d/1Kvs4KS76FHFqLFIZfrDMff4kP08nblUkihrxltoGBjg/edit#gid=934712705"",""ESENCIAL!A6:BG""),8,FALSE))"),"")</f>
        <v/>
      </c>
      <c r="L462" s="287"/>
      <c r="U462" s="40"/>
      <c r="AU462" s="41" t="str">
        <f t="shared" si="16"/>
        <v/>
      </c>
      <c r="AV462" s="5" t="str">
        <f ca="1">IFERROR(__xludf.DUMMYFUNCTION("IFERROR(VLOOKUP(E476&amp;F476,IMPORTRANGE(""https://docs.google.com/spreadsheets/d/1Uw7-A9f9R21vMXxHZFNpYNeKFtG8_yji4HS352LGlSQ/edit?pli=1#gid=0"",""1_ACUM!A4:S""),11,FALSE))"),"")</f>
        <v/>
      </c>
      <c r="AW462" s="42" t="str">
        <f ca="1">IFERROR(__xludf.DUMMYFUNCTION("IFERROR(VLOOKUP(F476,IMPORTRANGE(""https://docs.google.com/spreadsheets/d/1Kvs4KS76FHFqLFIZfrDMff4kP08nblUkihrxltoGBjg/edit#gid=934712705"",""ESENCIAL!A6:BG""),15,FALSE))"),"")</f>
        <v/>
      </c>
      <c r="AX462" s="21" t="str">
        <f ca="1">IFERROR(__xludf.DUMMYFUNCTION("IFERROR(VLOOKUP(E476&amp;F476,IMPORTRANGE(""https://docs.google.com/spreadsheets/d/1Uw7-A9f9R21vMXxHZFNpYNeKFtG8_yji4HS352LGlSQ/edit?pli=1#gid=0"",""1_ACUM!A4:S""),12,FALSE))"),"")</f>
        <v/>
      </c>
      <c r="AY462" s="43" t="str">
        <f ca="1">IFERROR(__xludf.DUMMYFUNCTION("IFERROR(VLOOKUP(E476&amp;F476,IMPORTRANGE(""https://docs.google.com/spreadsheets/d/1Uw7-A9f9R21vMXxHZFNpYNeKFtG8_yji4HS352LGlSQ/edit?pli=1#gid=0"",""1_ACUM!A4:S""),13,FALSE))"),"")</f>
        <v/>
      </c>
      <c r="AZ462" s="43" t="str">
        <f ca="1">IFERROR(__xludf.DUMMYFUNCTION("IFERROR(VLOOKUP(E476&amp;F476,IMPORTRANGE(""https://docs.google.com/spreadsheets/d/1Uw7-A9f9R21vMXxHZFNpYNeKFtG8_yji4HS352LGlSQ/edit?pli=1#gid=0"",""1_ACUM!A4:S""),14,FALSE))"),"")</f>
        <v/>
      </c>
      <c r="BA462" s="43" t="str">
        <f ca="1">IFERROR(__xludf.DUMMYFUNCTION("IFERROR(VLOOKUP(E476&amp;F476,IMPORTRANGE(""https://docs.google.com/spreadsheets/d/1Uw7-A9f9R21vMXxHZFNpYNeKFtG8_yji4HS352LGlSQ/edit?pli=1#gid=0"",""1_ACUM!A4:S""),15,FALSE))"),"")</f>
        <v/>
      </c>
      <c r="BB462" s="43" t="str">
        <f ca="1">IFERROR(__xludf.DUMMYFUNCTION("IFERROR(VLOOKUP(E476&amp;F476,IMPORTRANGE(""https://docs.google.com/spreadsheets/d/1Uw7-A9f9R21vMXxHZFNpYNeKFtG8_yji4HS352LGlSQ/edit?pli=1#gid=0"",""1_ACUM!A4:S""),16,FALSE))"),"")</f>
        <v/>
      </c>
      <c r="BC462" s="43" t="str">
        <f ca="1">IFERROR(__xludf.DUMMYFUNCTION("IFERROR(VLOOKUP(E476&amp;F476,IMPORTRANGE(""https://docs.google.com/spreadsheets/d/1Uw7-A9f9R21vMXxHZFNpYNeKFtG8_yji4HS352LGlSQ/edit?pli=1#gid=0"",""1_ACUM!A4:S""),17,FALSE))"),"")</f>
        <v/>
      </c>
      <c r="BD462" s="44" t="str">
        <f ca="1">IFERROR(__xludf.DUMMYFUNCTION("IFERROR(VLOOKUP(E476&amp;F476,IMPORTRANGE(""https://docs.google.com/spreadsheets/d/1Uw7-A9f9R21vMXxHZFNpYNeKFtG8_yji4HS352LGlSQ/edit?pli=1#gid=0"",""1_ACUM!A4:S""),18,FALSE))"),"")</f>
        <v/>
      </c>
      <c r="BE462" s="44" t="str">
        <f ca="1">IFERROR(__xludf.DUMMYFUNCTION("IFERROR(VLOOKUP(E476&amp;F476,IMPORTRANGE(""https://docs.google.com/spreadsheets/d/1Uw7-A9f9R21vMXxHZFNpYNeKFtG8_yji4HS352LGlSQ/edit?pli=1#gid=0"",""1_ACUM!A4:S""),19,FALSE))"),"")</f>
        <v/>
      </c>
      <c r="BF462" s="98" t="str">
        <f ca="1">IFERROR(__xludf.DUMMYFUNCTION("IFERROR(VLOOKUP(F476,IMPORTRANGE(""https://docs.google.com/spreadsheets/d/1Kvs4KS76FHFqLFIZfrDMff4kP08nblUkihrxltoGBjg/edit#gid=934712705"",""ESENCIAL!A6:BG""),5,FALSE))"),"")</f>
        <v/>
      </c>
      <c r="BG462" s="98" t="str">
        <f t="shared" si="17"/>
        <v/>
      </c>
      <c r="BH462" s="99" t="str">
        <f t="shared" si="18"/>
        <v/>
      </c>
      <c r="BI462" s="100" t="str">
        <f ca="1">IFERROR(__xludf.DUMMYFUNCTION("IFERROR(VLOOKUP(F476,IMPORTRANGE(""https://docs.google.com/spreadsheets/d/1Kvs4KS76FHFqLFIZfrDMff4kP08nblUkihrxltoGBjg/edit#gid=934712705"",""ESENCIAL!A6:BG""),2,FALSE))"),"")</f>
        <v/>
      </c>
      <c r="BJ462" s="19" t="str">
        <f t="shared" si="19"/>
        <v/>
      </c>
      <c r="BK462" s="100"/>
      <c r="BL462" s="100"/>
    </row>
    <row r="463" spans="1:64" ht="15">
      <c r="A463" s="5"/>
      <c r="B463" s="5"/>
      <c r="G463" s="5" t="str">
        <f ca="1">IFERROR(__xludf.DUMMYFUNCTION("IFERROR(VLOOKUP(F477,IMPORTRANGE(""https://docs.google.com/spreadsheets/d/1Kvs4KS76FHFqLFIZfrDMff4kP08nblUkihrxltoGBjg/edit#gid=934712705"",""ESENCIAL!A6:BG""),3,FALSE))"),"")</f>
        <v/>
      </c>
      <c r="H463" s="5" t="str">
        <f ca="1">IFERROR(__xludf.DUMMYFUNCTION("IFERROR(VLOOKUP(F477,IMPORTRANGE(""https://docs.google.com/spreadsheets/d/1Kvs4KS76FHFqLFIZfrDMff4kP08nblUkihrxltoGBjg/edit#gid=934712705"",""ESENCIAL!A6:BG""),8,FALSE))"),"")</f>
        <v/>
      </c>
      <c r="L463" s="287"/>
      <c r="U463" s="40"/>
      <c r="AU463" s="41" t="str">
        <f t="shared" si="16"/>
        <v/>
      </c>
      <c r="AV463" s="5" t="str">
        <f ca="1">IFERROR(__xludf.DUMMYFUNCTION("IFERROR(VLOOKUP(E477&amp;F477,IMPORTRANGE(""https://docs.google.com/spreadsheets/d/1Uw7-A9f9R21vMXxHZFNpYNeKFtG8_yji4HS352LGlSQ/edit?pli=1#gid=0"",""1_ACUM!A4:S""),11,FALSE))"),"")</f>
        <v/>
      </c>
      <c r="AW463" s="42" t="str">
        <f ca="1">IFERROR(__xludf.DUMMYFUNCTION("IFERROR(VLOOKUP(F477,IMPORTRANGE(""https://docs.google.com/spreadsheets/d/1Kvs4KS76FHFqLFIZfrDMff4kP08nblUkihrxltoGBjg/edit#gid=934712705"",""ESENCIAL!A6:BG""),15,FALSE))"),"")</f>
        <v/>
      </c>
      <c r="AX463" s="21" t="str">
        <f ca="1">IFERROR(__xludf.DUMMYFUNCTION("IFERROR(VLOOKUP(E477&amp;F477,IMPORTRANGE(""https://docs.google.com/spreadsheets/d/1Uw7-A9f9R21vMXxHZFNpYNeKFtG8_yji4HS352LGlSQ/edit?pli=1#gid=0"",""1_ACUM!A4:S""),12,FALSE))"),"")</f>
        <v/>
      </c>
      <c r="AY463" s="43" t="str">
        <f ca="1">IFERROR(__xludf.DUMMYFUNCTION("IFERROR(VLOOKUP(E477&amp;F477,IMPORTRANGE(""https://docs.google.com/spreadsheets/d/1Uw7-A9f9R21vMXxHZFNpYNeKFtG8_yji4HS352LGlSQ/edit?pli=1#gid=0"",""1_ACUM!A4:S""),13,FALSE))"),"")</f>
        <v/>
      </c>
      <c r="AZ463" s="43" t="str">
        <f ca="1">IFERROR(__xludf.DUMMYFUNCTION("IFERROR(VLOOKUP(E477&amp;F477,IMPORTRANGE(""https://docs.google.com/spreadsheets/d/1Uw7-A9f9R21vMXxHZFNpYNeKFtG8_yji4HS352LGlSQ/edit?pli=1#gid=0"",""1_ACUM!A4:S""),14,FALSE))"),"")</f>
        <v/>
      </c>
      <c r="BA463" s="43" t="str">
        <f ca="1">IFERROR(__xludf.DUMMYFUNCTION("IFERROR(VLOOKUP(E477&amp;F477,IMPORTRANGE(""https://docs.google.com/spreadsheets/d/1Uw7-A9f9R21vMXxHZFNpYNeKFtG8_yji4HS352LGlSQ/edit?pli=1#gid=0"",""1_ACUM!A4:S""),15,FALSE))"),"")</f>
        <v/>
      </c>
      <c r="BB463" s="43" t="str">
        <f ca="1">IFERROR(__xludf.DUMMYFUNCTION("IFERROR(VLOOKUP(E477&amp;F477,IMPORTRANGE(""https://docs.google.com/spreadsheets/d/1Uw7-A9f9R21vMXxHZFNpYNeKFtG8_yji4HS352LGlSQ/edit?pli=1#gid=0"",""1_ACUM!A4:S""),16,FALSE))"),"")</f>
        <v/>
      </c>
      <c r="BC463" s="43" t="str">
        <f ca="1">IFERROR(__xludf.DUMMYFUNCTION("IFERROR(VLOOKUP(E477&amp;F477,IMPORTRANGE(""https://docs.google.com/spreadsheets/d/1Uw7-A9f9R21vMXxHZFNpYNeKFtG8_yji4HS352LGlSQ/edit?pli=1#gid=0"",""1_ACUM!A4:S""),17,FALSE))"),"")</f>
        <v/>
      </c>
      <c r="BD463" s="44" t="str">
        <f ca="1">IFERROR(__xludf.DUMMYFUNCTION("IFERROR(VLOOKUP(E477&amp;F477,IMPORTRANGE(""https://docs.google.com/spreadsheets/d/1Uw7-A9f9R21vMXxHZFNpYNeKFtG8_yji4HS352LGlSQ/edit?pli=1#gid=0"",""1_ACUM!A4:S""),18,FALSE))"),"")</f>
        <v/>
      </c>
      <c r="BE463" s="44" t="str">
        <f ca="1">IFERROR(__xludf.DUMMYFUNCTION("IFERROR(VLOOKUP(E477&amp;F477,IMPORTRANGE(""https://docs.google.com/spreadsheets/d/1Uw7-A9f9R21vMXxHZFNpYNeKFtG8_yji4HS352LGlSQ/edit?pli=1#gid=0"",""1_ACUM!A4:S""),19,FALSE))"),"")</f>
        <v/>
      </c>
      <c r="BF463" s="98" t="str">
        <f ca="1">IFERROR(__xludf.DUMMYFUNCTION("IFERROR(VLOOKUP(F477,IMPORTRANGE(""https://docs.google.com/spreadsheets/d/1Kvs4KS76FHFqLFIZfrDMff4kP08nblUkihrxltoGBjg/edit#gid=934712705"",""ESENCIAL!A6:BG""),5,FALSE))"),"")</f>
        <v/>
      </c>
      <c r="BG463" s="98" t="str">
        <f t="shared" si="17"/>
        <v/>
      </c>
      <c r="BH463" s="99" t="str">
        <f t="shared" si="18"/>
        <v/>
      </c>
      <c r="BI463" s="100" t="str">
        <f ca="1">IFERROR(__xludf.DUMMYFUNCTION("IFERROR(VLOOKUP(F477,IMPORTRANGE(""https://docs.google.com/spreadsheets/d/1Kvs4KS76FHFqLFIZfrDMff4kP08nblUkihrxltoGBjg/edit#gid=934712705"",""ESENCIAL!A6:BG""),2,FALSE))"),"")</f>
        <v/>
      </c>
      <c r="BJ463" s="19" t="str">
        <f t="shared" si="19"/>
        <v/>
      </c>
      <c r="BK463" s="100"/>
      <c r="BL463" s="100"/>
    </row>
    <row r="464" spans="1:64" ht="15">
      <c r="A464" s="5"/>
      <c r="B464" s="5"/>
      <c r="G464" s="5" t="str">
        <f ca="1">IFERROR(__xludf.DUMMYFUNCTION("IFERROR(VLOOKUP(F478,IMPORTRANGE(""https://docs.google.com/spreadsheets/d/1Kvs4KS76FHFqLFIZfrDMff4kP08nblUkihrxltoGBjg/edit#gid=934712705"",""ESENCIAL!A6:BG""),3,FALSE))"),"")</f>
        <v/>
      </c>
      <c r="H464" s="5" t="str">
        <f ca="1">IFERROR(__xludf.DUMMYFUNCTION("IFERROR(VLOOKUP(F478,IMPORTRANGE(""https://docs.google.com/spreadsheets/d/1Kvs4KS76FHFqLFIZfrDMff4kP08nblUkihrxltoGBjg/edit#gid=934712705"",""ESENCIAL!A6:BG""),8,FALSE))"),"")</f>
        <v/>
      </c>
      <c r="L464" s="287"/>
      <c r="U464" s="40"/>
      <c r="AU464" s="41" t="str">
        <f t="shared" si="16"/>
        <v/>
      </c>
      <c r="AV464" s="5" t="str">
        <f ca="1">IFERROR(__xludf.DUMMYFUNCTION("IFERROR(VLOOKUP(E478&amp;F478,IMPORTRANGE(""https://docs.google.com/spreadsheets/d/1Uw7-A9f9R21vMXxHZFNpYNeKFtG8_yji4HS352LGlSQ/edit?pli=1#gid=0"",""1_ACUM!A4:S""),11,FALSE))"),"")</f>
        <v/>
      </c>
      <c r="AW464" s="42" t="str">
        <f ca="1">IFERROR(__xludf.DUMMYFUNCTION("IFERROR(VLOOKUP(F478,IMPORTRANGE(""https://docs.google.com/spreadsheets/d/1Kvs4KS76FHFqLFIZfrDMff4kP08nblUkihrxltoGBjg/edit#gid=934712705"",""ESENCIAL!A6:BG""),15,FALSE))"),"")</f>
        <v/>
      </c>
      <c r="AX464" s="21" t="str">
        <f ca="1">IFERROR(__xludf.DUMMYFUNCTION("IFERROR(VLOOKUP(E478&amp;F478,IMPORTRANGE(""https://docs.google.com/spreadsheets/d/1Uw7-A9f9R21vMXxHZFNpYNeKFtG8_yji4HS352LGlSQ/edit?pli=1#gid=0"",""1_ACUM!A4:S""),12,FALSE))"),"")</f>
        <v/>
      </c>
      <c r="AY464" s="43" t="str">
        <f ca="1">IFERROR(__xludf.DUMMYFUNCTION("IFERROR(VLOOKUP(E478&amp;F478,IMPORTRANGE(""https://docs.google.com/spreadsheets/d/1Uw7-A9f9R21vMXxHZFNpYNeKFtG8_yji4HS352LGlSQ/edit?pli=1#gid=0"",""1_ACUM!A4:S""),13,FALSE))"),"")</f>
        <v/>
      </c>
      <c r="AZ464" s="43" t="str">
        <f ca="1">IFERROR(__xludf.DUMMYFUNCTION("IFERROR(VLOOKUP(E478&amp;F478,IMPORTRANGE(""https://docs.google.com/spreadsheets/d/1Uw7-A9f9R21vMXxHZFNpYNeKFtG8_yji4HS352LGlSQ/edit?pli=1#gid=0"",""1_ACUM!A4:S""),14,FALSE))"),"")</f>
        <v/>
      </c>
      <c r="BA464" s="43" t="str">
        <f ca="1">IFERROR(__xludf.DUMMYFUNCTION("IFERROR(VLOOKUP(E478&amp;F478,IMPORTRANGE(""https://docs.google.com/spreadsheets/d/1Uw7-A9f9R21vMXxHZFNpYNeKFtG8_yji4HS352LGlSQ/edit?pli=1#gid=0"",""1_ACUM!A4:S""),15,FALSE))"),"")</f>
        <v/>
      </c>
      <c r="BB464" s="43" t="str">
        <f ca="1">IFERROR(__xludf.DUMMYFUNCTION("IFERROR(VLOOKUP(E478&amp;F478,IMPORTRANGE(""https://docs.google.com/spreadsheets/d/1Uw7-A9f9R21vMXxHZFNpYNeKFtG8_yji4HS352LGlSQ/edit?pli=1#gid=0"",""1_ACUM!A4:S""),16,FALSE))"),"")</f>
        <v/>
      </c>
      <c r="BC464" s="43" t="str">
        <f ca="1">IFERROR(__xludf.DUMMYFUNCTION("IFERROR(VLOOKUP(E478&amp;F478,IMPORTRANGE(""https://docs.google.com/spreadsheets/d/1Uw7-A9f9R21vMXxHZFNpYNeKFtG8_yji4HS352LGlSQ/edit?pli=1#gid=0"",""1_ACUM!A4:S""),17,FALSE))"),"")</f>
        <v/>
      </c>
      <c r="BD464" s="44" t="str">
        <f ca="1">IFERROR(__xludf.DUMMYFUNCTION("IFERROR(VLOOKUP(E478&amp;F478,IMPORTRANGE(""https://docs.google.com/spreadsheets/d/1Uw7-A9f9R21vMXxHZFNpYNeKFtG8_yji4HS352LGlSQ/edit?pli=1#gid=0"",""1_ACUM!A4:S""),18,FALSE))"),"")</f>
        <v/>
      </c>
      <c r="BE464" s="44" t="str">
        <f ca="1">IFERROR(__xludf.DUMMYFUNCTION("IFERROR(VLOOKUP(E478&amp;F478,IMPORTRANGE(""https://docs.google.com/spreadsheets/d/1Uw7-A9f9R21vMXxHZFNpYNeKFtG8_yji4HS352LGlSQ/edit?pli=1#gid=0"",""1_ACUM!A4:S""),19,FALSE))"),"")</f>
        <v/>
      </c>
      <c r="BF464" s="98" t="str">
        <f ca="1">IFERROR(__xludf.DUMMYFUNCTION("IFERROR(VLOOKUP(F478,IMPORTRANGE(""https://docs.google.com/spreadsheets/d/1Kvs4KS76FHFqLFIZfrDMff4kP08nblUkihrxltoGBjg/edit#gid=934712705"",""ESENCIAL!A6:BG""),5,FALSE))"),"")</f>
        <v/>
      </c>
      <c r="BG464" s="98" t="str">
        <f t="shared" si="17"/>
        <v/>
      </c>
      <c r="BH464" s="99" t="str">
        <f t="shared" si="18"/>
        <v/>
      </c>
      <c r="BI464" s="100" t="str">
        <f ca="1">IFERROR(__xludf.DUMMYFUNCTION("IFERROR(VLOOKUP(F478,IMPORTRANGE(""https://docs.google.com/spreadsheets/d/1Kvs4KS76FHFqLFIZfrDMff4kP08nblUkihrxltoGBjg/edit#gid=934712705"",""ESENCIAL!A6:BG""),2,FALSE))"),"")</f>
        <v/>
      </c>
      <c r="BJ464" s="19" t="str">
        <f t="shared" si="19"/>
        <v/>
      </c>
      <c r="BK464" s="100"/>
      <c r="BL464" s="100"/>
    </row>
    <row r="465" spans="1:64" ht="15">
      <c r="A465" s="5"/>
      <c r="B465" s="5"/>
      <c r="G465" s="5" t="str">
        <f ca="1">IFERROR(__xludf.DUMMYFUNCTION("IFERROR(VLOOKUP(F479,IMPORTRANGE(""https://docs.google.com/spreadsheets/d/1Kvs4KS76FHFqLFIZfrDMff4kP08nblUkihrxltoGBjg/edit#gid=934712705"",""ESENCIAL!A6:BG""),3,FALSE))"),"")</f>
        <v/>
      </c>
      <c r="H465" s="5" t="str">
        <f ca="1">IFERROR(__xludf.DUMMYFUNCTION("IFERROR(VLOOKUP(F479,IMPORTRANGE(""https://docs.google.com/spreadsheets/d/1Kvs4KS76FHFqLFIZfrDMff4kP08nblUkihrxltoGBjg/edit#gid=934712705"",""ESENCIAL!A6:BG""),8,FALSE))"),"")</f>
        <v/>
      </c>
      <c r="L465" s="287"/>
      <c r="U465" s="40"/>
      <c r="AU465" s="41" t="str">
        <f t="shared" si="16"/>
        <v/>
      </c>
      <c r="AV465" s="5" t="str">
        <f ca="1">IFERROR(__xludf.DUMMYFUNCTION("IFERROR(VLOOKUP(E479&amp;F479,IMPORTRANGE(""https://docs.google.com/spreadsheets/d/1Uw7-A9f9R21vMXxHZFNpYNeKFtG8_yji4HS352LGlSQ/edit?pli=1#gid=0"",""1_ACUM!A4:S""),11,FALSE))"),"")</f>
        <v/>
      </c>
      <c r="AW465" s="42" t="str">
        <f ca="1">IFERROR(__xludf.DUMMYFUNCTION("IFERROR(VLOOKUP(F479,IMPORTRANGE(""https://docs.google.com/spreadsheets/d/1Kvs4KS76FHFqLFIZfrDMff4kP08nblUkihrxltoGBjg/edit#gid=934712705"",""ESENCIAL!A6:BG""),15,FALSE))"),"")</f>
        <v/>
      </c>
      <c r="AX465" s="21" t="str">
        <f ca="1">IFERROR(__xludf.DUMMYFUNCTION("IFERROR(VLOOKUP(E479&amp;F479,IMPORTRANGE(""https://docs.google.com/spreadsheets/d/1Uw7-A9f9R21vMXxHZFNpYNeKFtG8_yji4HS352LGlSQ/edit?pli=1#gid=0"",""1_ACUM!A4:S""),12,FALSE))"),"")</f>
        <v/>
      </c>
      <c r="AY465" s="43" t="str">
        <f ca="1">IFERROR(__xludf.DUMMYFUNCTION("IFERROR(VLOOKUP(E479&amp;F479,IMPORTRANGE(""https://docs.google.com/spreadsheets/d/1Uw7-A9f9R21vMXxHZFNpYNeKFtG8_yji4HS352LGlSQ/edit?pli=1#gid=0"",""1_ACUM!A4:S""),13,FALSE))"),"")</f>
        <v/>
      </c>
      <c r="AZ465" s="43" t="str">
        <f ca="1">IFERROR(__xludf.DUMMYFUNCTION("IFERROR(VLOOKUP(E479&amp;F479,IMPORTRANGE(""https://docs.google.com/spreadsheets/d/1Uw7-A9f9R21vMXxHZFNpYNeKFtG8_yji4HS352LGlSQ/edit?pli=1#gid=0"",""1_ACUM!A4:S""),14,FALSE))"),"")</f>
        <v/>
      </c>
      <c r="BA465" s="43" t="str">
        <f ca="1">IFERROR(__xludf.DUMMYFUNCTION("IFERROR(VLOOKUP(E479&amp;F479,IMPORTRANGE(""https://docs.google.com/spreadsheets/d/1Uw7-A9f9R21vMXxHZFNpYNeKFtG8_yji4HS352LGlSQ/edit?pli=1#gid=0"",""1_ACUM!A4:S""),15,FALSE))"),"")</f>
        <v/>
      </c>
      <c r="BB465" s="43" t="str">
        <f ca="1">IFERROR(__xludf.DUMMYFUNCTION("IFERROR(VLOOKUP(E479&amp;F479,IMPORTRANGE(""https://docs.google.com/spreadsheets/d/1Uw7-A9f9R21vMXxHZFNpYNeKFtG8_yji4HS352LGlSQ/edit?pli=1#gid=0"",""1_ACUM!A4:S""),16,FALSE))"),"")</f>
        <v/>
      </c>
      <c r="BC465" s="43" t="str">
        <f ca="1">IFERROR(__xludf.DUMMYFUNCTION("IFERROR(VLOOKUP(E479&amp;F479,IMPORTRANGE(""https://docs.google.com/spreadsheets/d/1Uw7-A9f9R21vMXxHZFNpYNeKFtG8_yji4HS352LGlSQ/edit?pli=1#gid=0"",""1_ACUM!A4:S""),17,FALSE))"),"")</f>
        <v/>
      </c>
      <c r="BD465" s="44" t="str">
        <f ca="1">IFERROR(__xludf.DUMMYFUNCTION("IFERROR(VLOOKUP(E479&amp;F479,IMPORTRANGE(""https://docs.google.com/spreadsheets/d/1Uw7-A9f9R21vMXxHZFNpYNeKFtG8_yji4HS352LGlSQ/edit?pli=1#gid=0"",""1_ACUM!A4:S""),18,FALSE))"),"")</f>
        <v/>
      </c>
      <c r="BE465" s="44" t="str">
        <f ca="1">IFERROR(__xludf.DUMMYFUNCTION("IFERROR(VLOOKUP(E479&amp;F479,IMPORTRANGE(""https://docs.google.com/spreadsheets/d/1Uw7-A9f9R21vMXxHZFNpYNeKFtG8_yji4HS352LGlSQ/edit?pli=1#gid=0"",""1_ACUM!A4:S""),19,FALSE))"),"")</f>
        <v/>
      </c>
      <c r="BF465" s="98" t="str">
        <f ca="1">IFERROR(__xludf.DUMMYFUNCTION("IFERROR(VLOOKUP(F479,IMPORTRANGE(""https://docs.google.com/spreadsheets/d/1Kvs4KS76FHFqLFIZfrDMff4kP08nblUkihrxltoGBjg/edit#gid=934712705"",""ESENCIAL!A6:BG""),5,FALSE))"),"")</f>
        <v/>
      </c>
      <c r="BG465" s="98" t="str">
        <f t="shared" si="17"/>
        <v/>
      </c>
      <c r="BH465" s="99" t="str">
        <f t="shared" si="18"/>
        <v/>
      </c>
      <c r="BI465" s="100" t="str">
        <f ca="1">IFERROR(__xludf.DUMMYFUNCTION("IFERROR(VLOOKUP(F479,IMPORTRANGE(""https://docs.google.com/spreadsheets/d/1Kvs4KS76FHFqLFIZfrDMff4kP08nblUkihrxltoGBjg/edit#gid=934712705"",""ESENCIAL!A6:BG""),2,FALSE))"),"")</f>
        <v/>
      </c>
      <c r="BJ465" s="19" t="str">
        <f t="shared" si="19"/>
        <v/>
      </c>
      <c r="BK465" s="100"/>
      <c r="BL465" s="100"/>
    </row>
    <row r="466" spans="1:64" ht="15">
      <c r="A466" s="5"/>
      <c r="B466" s="5"/>
      <c r="G466" s="5" t="str">
        <f ca="1">IFERROR(__xludf.DUMMYFUNCTION("IFERROR(VLOOKUP(F480,IMPORTRANGE(""https://docs.google.com/spreadsheets/d/1Kvs4KS76FHFqLFIZfrDMff4kP08nblUkihrxltoGBjg/edit#gid=934712705"",""ESENCIAL!A6:BG""),3,FALSE))"),"")</f>
        <v/>
      </c>
      <c r="H466" s="5" t="str">
        <f ca="1">IFERROR(__xludf.DUMMYFUNCTION("IFERROR(VLOOKUP(F480,IMPORTRANGE(""https://docs.google.com/spreadsheets/d/1Kvs4KS76FHFqLFIZfrDMff4kP08nblUkihrxltoGBjg/edit#gid=934712705"",""ESENCIAL!A6:BG""),8,FALSE))"),"")</f>
        <v/>
      </c>
      <c r="L466" s="287"/>
      <c r="U466" s="40"/>
      <c r="AU466" s="41" t="str">
        <f t="shared" si="16"/>
        <v/>
      </c>
      <c r="AV466" s="5" t="str">
        <f ca="1">IFERROR(__xludf.DUMMYFUNCTION("IFERROR(VLOOKUP(E480&amp;F480,IMPORTRANGE(""https://docs.google.com/spreadsheets/d/1Uw7-A9f9R21vMXxHZFNpYNeKFtG8_yji4HS352LGlSQ/edit?pli=1#gid=0"",""1_ACUM!A4:S""),11,FALSE))"),"")</f>
        <v/>
      </c>
      <c r="AW466" s="42" t="str">
        <f ca="1">IFERROR(__xludf.DUMMYFUNCTION("IFERROR(VLOOKUP(F480,IMPORTRANGE(""https://docs.google.com/spreadsheets/d/1Kvs4KS76FHFqLFIZfrDMff4kP08nblUkihrxltoGBjg/edit#gid=934712705"",""ESENCIAL!A6:BG""),15,FALSE))"),"")</f>
        <v/>
      </c>
      <c r="AX466" s="21" t="str">
        <f ca="1">IFERROR(__xludf.DUMMYFUNCTION("IFERROR(VLOOKUP(E480&amp;F480,IMPORTRANGE(""https://docs.google.com/spreadsheets/d/1Uw7-A9f9R21vMXxHZFNpYNeKFtG8_yji4HS352LGlSQ/edit?pli=1#gid=0"",""1_ACUM!A4:S""),12,FALSE))"),"")</f>
        <v/>
      </c>
      <c r="AY466" s="43" t="str">
        <f ca="1">IFERROR(__xludf.DUMMYFUNCTION("IFERROR(VLOOKUP(E480&amp;F480,IMPORTRANGE(""https://docs.google.com/spreadsheets/d/1Uw7-A9f9R21vMXxHZFNpYNeKFtG8_yji4HS352LGlSQ/edit?pli=1#gid=0"",""1_ACUM!A4:S""),13,FALSE))"),"")</f>
        <v/>
      </c>
      <c r="AZ466" s="43" t="str">
        <f ca="1">IFERROR(__xludf.DUMMYFUNCTION("IFERROR(VLOOKUP(E480&amp;F480,IMPORTRANGE(""https://docs.google.com/spreadsheets/d/1Uw7-A9f9R21vMXxHZFNpYNeKFtG8_yji4HS352LGlSQ/edit?pli=1#gid=0"",""1_ACUM!A4:S""),14,FALSE))"),"")</f>
        <v/>
      </c>
      <c r="BA466" s="43" t="str">
        <f ca="1">IFERROR(__xludf.DUMMYFUNCTION("IFERROR(VLOOKUP(E480&amp;F480,IMPORTRANGE(""https://docs.google.com/spreadsheets/d/1Uw7-A9f9R21vMXxHZFNpYNeKFtG8_yji4HS352LGlSQ/edit?pli=1#gid=0"",""1_ACUM!A4:S""),15,FALSE))"),"")</f>
        <v/>
      </c>
      <c r="BB466" s="43" t="str">
        <f ca="1">IFERROR(__xludf.DUMMYFUNCTION("IFERROR(VLOOKUP(E480&amp;F480,IMPORTRANGE(""https://docs.google.com/spreadsheets/d/1Uw7-A9f9R21vMXxHZFNpYNeKFtG8_yji4HS352LGlSQ/edit?pli=1#gid=0"",""1_ACUM!A4:S""),16,FALSE))"),"")</f>
        <v/>
      </c>
      <c r="BC466" s="43" t="str">
        <f ca="1">IFERROR(__xludf.DUMMYFUNCTION("IFERROR(VLOOKUP(E480&amp;F480,IMPORTRANGE(""https://docs.google.com/spreadsheets/d/1Uw7-A9f9R21vMXxHZFNpYNeKFtG8_yji4HS352LGlSQ/edit?pli=1#gid=0"",""1_ACUM!A4:S""),17,FALSE))"),"")</f>
        <v/>
      </c>
      <c r="BD466" s="44" t="str">
        <f ca="1">IFERROR(__xludf.DUMMYFUNCTION("IFERROR(VLOOKUP(E480&amp;F480,IMPORTRANGE(""https://docs.google.com/spreadsheets/d/1Uw7-A9f9R21vMXxHZFNpYNeKFtG8_yji4HS352LGlSQ/edit?pli=1#gid=0"",""1_ACUM!A4:S""),18,FALSE))"),"")</f>
        <v/>
      </c>
      <c r="BE466" s="44" t="str">
        <f ca="1">IFERROR(__xludf.DUMMYFUNCTION("IFERROR(VLOOKUP(E480&amp;F480,IMPORTRANGE(""https://docs.google.com/spreadsheets/d/1Uw7-A9f9R21vMXxHZFNpYNeKFtG8_yji4HS352LGlSQ/edit?pli=1#gid=0"",""1_ACUM!A4:S""),19,FALSE))"),"")</f>
        <v/>
      </c>
      <c r="BF466" s="98" t="str">
        <f ca="1">IFERROR(__xludf.DUMMYFUNCTION("IFERROR(VLOOKUP(F480,IMPORTRANGE(""https://docs.google.com/spreadsheets/d/1Kvs4KS76FHFqLFIZfrDMff4kP08nblUkihrxltoGBjg/edit#gid=934712705"",""ESENCIAL!A6:BG""),5,FALSE))"),"")</f>
        <v/>
      </c>
      <c r="BG466" s="98" t="str">
        <f t="shared" si="17"/>
        <v/>
      </c>
      <c r="BH466" s="99" t="str">
        <f t="shared" si="18"/>
        <v/>
      </c>
      <c r="BI466" s="100" t="str">
        <f ca="1">IFERROR(__xludf.DUMMYFUNCTION("IFERROR(VLOOKUP(F480,IMPORTRANGE(""https://docs.google.com/spreadsheets/d/1Kvs4KS76FHFqLFIZfrDMff4kP08nblUkihrxltoGBjg/edit#gid=934712705"",""ESENCIAL!A6:BG""),2,FALSE))"),"")</f>
        <v/>
      </c>
      <c r="BJ466" s="19" t="str">
        <f t="shared" si="19"/>
        <v/>
      </c>
      <c r="BK466" s="100"/>
      <c r="BL466" s="100"/>
    </row>
    <row r="467" spans="1:64" ht="15">
      <c r="A467" s="5"/>
      <c r="B467" s="5"/>
      <c r="G467" s="5" t="str">
        <f ca="1">IFERROR(__xludf.DUMMYFUNCTION("IFERROR(VLOOKUP(F481,IMPORTRANGE(""https://docs.google.com/spreadsheets/d/1Kvs4KS76FHFqLFIZfrDMff4kP08nblUkihrxltoGBjg/edit#gid=934712705"",""ESENCIAL!A6:BG""),3,FALSE))"),"")</f>
        <v/>
      </c>
      <c r="H467" s="5" t="str">
        <f ca="1">IFERROR(__xludf.DUMMYFUNCTION("IFERROR(VLOOKUP(F481,IMPORTRANGE(""https://docs.google.com/spreadsheets/d/1Kvs4KS76FHFqLFIZfrDMff4kP08nblUkihrxltoGBjg/edit#gid=934712705"",""ESENCIAL!A6:BG""),8,FALSE))"),"")</f>
        <v/>
      </c>
      <c r="L467" s="287"/>
      <c r="U467" s="40"/>
      <c r="AU467" s="41" t="str">
        <f t="shared" si="16"/>
        <v/>
      </c>
      <c r="AV467" s="5" t="str">
        <f ca="1">IFERROR(__xludf.DUMMYFUNCTION("IFERROR(VLOOKUP(E481&amp;F481,IMPORTRANGE(""https://docs.google.com/spreadsheets/d/1Uw7-A9f9R21vMXxHZFNpYNeKFtG8_yji4HS352LGlSQ/edit?pli=1#gid=0"",""1_ACUM!A4:S""),11,FALSE))"),"")</f>
        <v/>
      </c>
      <c r="AW467" s="42" t="str">
        <f ca="1">IFERROR(__xludf.DUMMYFUNCTION("IFERROR(VLOOKUP(F481,IMPORTRANGE(""https://docs.google.com/spreadsheets/d/1Kvs4KS76FHFqLFIZfrDMff4kP08nblUkihrxltoGBjg/edit#gid=934712705"",""ESENCIAL!A6:BG""),15,FALSE))"),"")</f>
        <v/>
      </c>
      <c r="AX467" s="21" t="str">
        <f ca="1">IFERROR(__xludf.DUMMYFUNCTION("IFERROR(VLOOKUP(E481&amp;F481,IMPORTRANGE(""https://docs.google.com/spreadsheets/d/1Uw7-A9f9R21vMXxHZFNpYNeKFtG8_yji4HS352LGlSQ/edit?pli=1#gid=0"",""1_ACUM!A4:S""),12,FALSE))"),"")</f>
        <v/>
      </c>
      <c r="AY467" s="43" t="str">
        <f ca="1">IFERROR(__xludf.DUMMYFUNCTION("IFERROR(VLOOKUP(E481&amp;F481,IMPORTRANGE(""https://docs.google.com/spreadsheets/d/1Uw7-A9f9R21vMXxHZFNpYNeKFtG8_yji4HS352LGlSQ/edit?pli=1#gid=0"",""1_ACUM!A4:S""),13,FALSE))"),"")</f>
        <v/>
      </c>
      <c r="AZ467" s="43" t="str">
        <f ca="1">IFERROR(__xludf.DUMMYFUNCTION("IFERROR(VLOOKUP(E481&amp;F481,IMPORTRANGE(""https://docs.google.com/spreadsheets/d/1Uw7-A9f9R21vMXxHZFNpYNeKFtG8_yji4HS352LGlSQ/edit?pli=1#gid=0"",""1_ACUM!A4:S""),14,FALSE))"),"")</f>
        <v/>
      </c>
      <c r="BA467" s="43" t="str">
        <f ca="1">IFERROR(__xludf.DUMMYFUNCTION("IFERROR(VLOOKUP(E481&amp;F481,IMPORTRANGE(""https://docs.google.com/spreadsheets/d/1Uw7-A9f9R21vMXxHZFNpYNeKFtG8_yji4HS352LGlSQ/edit?pli=1#gid=0"",""1_ACUM!A4:S""),15,FALSE))"),"")</f>
        <v/>
      </c>
      <c r="BB467" s="43" t="str">
        <f ca="1">IFERROR(__xludf.DUMMYFUNCTION("IFERROR(VLOOKUP(E481&amp;F481,IMPORTRANGE(""https://docs.google.com/spreadsheets/d/1Uw7-A9f9R21vMXxHZFNpYNeKFtG8_yji4HS352LGlSQ/edit?pli=1#gid=0"",""1_ACUM!A4:S""),16,FALSE))"),"")</f>
        <v/>
      </c>
      <c r="BC467" s="43" t="str">
        <f ca="1">IFERROR(__xludf.DUMMYFUNCTION("IFERROR(VLOOKUP(E481&amp;F481,IMPORTRANGE(""https://docs.google.com/spreadsheets/d/1Uw7-A9f9R21vMXxHZFNpYNeKFtG8_yji4HS352LGlSQ/edit?pli=1#gid=0"",""1_ACUM!A4:S""),17,FALSE))"),"")</f>
        <v/>
      </c>
      <c r="BD467" s="44" t="str">
        <f ca="1">IFERROR(__xludf.DUMMYFUNCTION("IFERROR(VLOOKUP(E481&amp;F481,IMPORTRANGE(""https://docs.google.com/spreadsheets/d/1Uw7-A9f9R21vMXxHZFNpYNeKFtG8_yji4HS352LGlSQ/edit?pli=1#gid=0"",""1_ACUM!A4:S""),18,FALSE))"),"")</f>
        <v/>
      </c>
      <c r="BE467" s="44" t="str">
        <f ca="1">IFERROR(__xludf.DUMMYFUNCTION("IFERROR(VLOOKUP(E481&amp;F481,IMPORTRANGE(""https://docs.google.com/spreadsheets/d/1Uw7-A9f9R21vMXxHZFNpYNeKFtG8_yji4HS352LGlSQ/edit?pli=1#gid=0"",""1_ACUM!A4:S""),19,FALSE))"),"")</f>
        <v/>
      </c>
      <c r="BF467" s="98" t="str">
        <f ca="1">IFERROR(__xludf.DUMMYFUNCTION("IFERROR(VLOOKUP(F481,IMPORTRANGE(""https://docs.google.com/spreadsheets/d/1Kvs4KS76FHFqLFIZfrDMff4kP08nblUkihrxltoGBjg/edit#gid=934712705"",""ESENCIAL!A6:BG""),5,FALSE))"),"")</f>
        <v/>
      </c>
      <c r="BG467" s="98" t="str">
        <f t="shared" si="17"/>
        <v/>
      </c>
      <c r="BH467" s="99" t="str">
        <f t="shared" si="18"/>
        <v/>
      </c>
      <c r="BI467" s="100" t="str">
        <f ca="1">IFERROR(__xludf.DUMMYFUNCTION("IFERROR(VLOOKUP(F481,IMPORTRANGE(""https://docs.google.com/spreadsheets/d/1Kvs4KS76FHFqLFIZfrDMff4kP08nblUkihrxltoGBjg/edit#gid=934712705"",""ESENCIAL!A6:BG""),2,FALSE))"),"")</f>
        <v/>
      </c>
      <c r="BJ467" s="19" t="str">
        <f t="shared" si="19"/>
        <v/>
      </c>
      <c r="BK467" s="100"/>
      <c r="BL467" s="100"/>
    </row>
    <row r="468" spans="1:64" ht="15">
      <c r="A468" s="5"/>
      <c r="B468" s="5"/>
      <c r="G468" s="5" t="str">
        <f ca="1">IFERROR(__xludf.DUMMYFUNCTION("IFERROR(VLOOKUP(F482,IMPORTRANGE(""https://docs.google.com/spreadsheets/d/1Kvs4KS76FHFqLFIZfrDMff4kP08nblUkihrxltoGBjg/edit#gid=934712705"",""ESENCIAL!A6:BG""),3,FALSE))"),"")</f>
        <v/>
      </c>
      <c r="H468" s="5" t="str">
        <f ca="1">IFERROR(__xludf.DUMMYFUNCTION("IFERROR(VLOOKUP(F482,IMPORTRANGE(""https://docs.google.com/spreadsheets/d/1Kvs4KS76FHFqLFIZfrDMff4kP08nblUkihrxltoGBjg/edit#gid=934712705"",""ESENCIAL!A6:BG""),8,FALSE))"),"")</f>
        <v/>
      </c>
      <c r="L468" s="287"/>
      <c r="U468" s="40"/>
      <c r="AU468" s="41" t="str">
        <f t="shared" si="16"/>
        <v/>
      </c>
      <c r="AV468" s="5" t="str">
        <f ca="1">IFERROR(__xludf.DUMMYFUNCTION("IFERROR(VLOOKUP(E482&amp;F482,IMPORTRANGE(""https://docs.google.com/spreadsheets/d/1Uw7-A9f9R21vMXxHZFNpYNeKFtG8_yji4HS352LGlSQ/edit?pli=1#gid=0"",""1_ACUM!A4:S""),11,FALSE))"),"")</f>
        <v/>
      </c>
      <c r="AW468" s="42" t="str">
        <f ca="1">IFERROR(__xludf.DUMMYFUNCTION("IFERROR(VLOOKUP(F482,IMPORTRANGE(""https://docs.google.com/spreadsheets/d/1Kvs4KS76FHFqLFIZfrDMff4kP08nblUkihrxltoGBjg/edit#gid=934712705"",""ESENCIAL!A6:BG""),15,FALSE))"),"")</f>
        <v/>
      </c>
      <c r="AX468" s="21" t="str">
        <f ca="1">IFERROR(__xludf.DUMMYFUNCTION("IFERROR(VLOOKUP(E482&amp;F482,IMPORTRANGE(""https://docs.google.com/spreadsheets/d/1Uw7-A9f9R21vMXxHZFNpYNeKFtG8_yji4HS352LGlSQ/edit?pli=1#gid=0"",""1_ACUM!A4:S""),12,FALSE))"),"")</f>
        <v/>
      </c>
      <c r="AY468" s="43" t="str">
        <f ca="1">IFERROR(__xludf.DUMMYFUNCTION("IFERROR(VLOOKUP(E482&amp;F482,IMPORTRANGE(""https://docs.google.com/spreadsheets/d/1Uw7-A9f9R21vMXxHZFNpYNeKFtG8_yji4HS352LGlSQ/edit?pli=1#gid=0"",""1_ACUM!A4:S""),13,FALSE))"),"")</f>
        <v/>
      </c>
      <c r="AZ468" s="43" t="str">
        <f ca="1">IFERROR(__xludf.DUMMYFUNCTION("IFERROR(VLOOKUP(E482&amp;F482,IMPORTRANGE(""https://docs.google.com/spreadsheets/d/1Uw7-A9f9R21vMXxHZFNpYNeKFtG8_yji4HS352LGlSQ/edit?pli=1#gid=0"",""1_ACUM!A4:S""),14,FALSE))"),"")</f>
        <v/>
      </c>
      <c r="BA468" s="43" t="str">
        <f ca="1">IFERROR(__xludf.DUMMYFUNCTION("IFERROR(VLOOKUP(E482&amp;F482,IMPORTRANGE(""https://docs.google.com/spreadsheets/d/1Uw7-A9f9R21vMXxHZFNpYNeKFtG8_yji4HS352LGlSQ/edit?pli=1#gid=0"",""1_ACUM!A4:S""),15,FALSE))"),"")</f>
        <v/>
      </c>
      <c r="BB468" s="43" t="str">
        <f ca="1">IFERROR(__xludf.DUMMYFUNCTION("IFERROR(VLOOKUP(E482&amp;F482,IMPORTRANGE(""https://docs.google.com/spreadsheets/d/1Uw7-A9f9R21vMXxHZFNpYNeKFtG8_yji4HS352LGlSQ/edit?pli=1#gid=0"",""1_ACUM!A4:S""),16,FALSE))"),"")</f>
        <v/>
      </c>
      <c r="BC468" s="43" t="str">
        <f ca="1">IFERROR(__xludf.DUMMYFUNCTION("IFERROR(VLOOKUP(E482&amp;F482,IMPORTRANGE(""https://docs.google.com/spreadsheets/d/1Uw7-A9f9R21vMXxHZFNpYNeKFtG8_yji4HS352LGlSQ/edit?pli=1#gid=0"",""1_ACUM!A4:S""),17,FALSE))"),"")</f>
        <v/>
      </c>
      <c r="BD468" s="44" t="str">
        <f ca="1">IFERROR(__xludf.DUMMYFUNCTION("IFERROR(VLOOKUP(E482&amp;F482,IMPORTRANGE(""https://docs.google.com/spreadsheets/d/1Uw7-A9f9R21vMXxHZFNpYNeKFtG8_yji4HS352LGlSQ/edit?pli=1#gid=0"",""1_ACUM!A4:S""),18,FALSE))"),"")</f>
        <v/>
      </c>
      <c r="BE468" s="44" t="str">
        <f ca="1">IFERROR(__xludf.DUMMYFUNCTION("IFERROR(VLOOKUP(E482&amp;F482,IMPORTRANGE(""https://docs.google.com/spreadsheets/d/1Uw7-A9f9R21vMXxHZFNpYNeKFtG8_yji4HS352LGlSQ/edit?pli=1#gid=0"",""1_ACUM!A4:S""),19,FALSE))"),"")</f>
        <v/>
      </c>
      <c r="BF468" s="98" t="str">
        <f ca="1">IFERROR(__xludf.DUMMYFUNCTION("IFERROR(VLOOKUP(F482,IMPORTRANGE(""https://docs.google.com/spreadsheets/d/1Kvs4KS76FHFqLFIZfrDMff4kP08nblUkihrxltoGBjg/edit#gid=934712705"",""ESENCIAL!A6:BG""),5,FALSE))"),"")</f>
        <v/>
      </c>
      <c r="BG468" s="98" t="str">
        <f t="shared" si="17"/>
        <v/>
      </c>
      <c r="BH468" s="99" t="str">
        <f t="shared" si="18"/>
        <v/>
      </c>
      <c r="BI468" s="100" t="str">
        <f ca="1">IFERROR(__xludf.DUMMYFUNCTION("IFERROR(VLOOKUP(F482,IMPORTRANGE(""https://docs.google.com/spreadsheets/d/1Kvs4KS76FHFqLFIZfrDMff4kP08nblUkihrxltoGBjg/edit#gid=934712705"",""ESENCIAL!A6:BG""),2,FALSE))"),"")</f>
        <v/>
      </c>
      <c r="BJ468" s="19" t="str">
        <f t="shared" si="19"/>
        <v/>
      </c>
      <c r="BK468" s="100"/>
      <c r="BL468" s="100"/>
    </row>
    <row r="469" spans="1:64" ht="15">
      <c r="A469" s="5"/>
      <c r="B469" s="5"/>
      <c r="G469" s="5" t="str">
        <f ca="1">IFERROR(__xludf.DUMMYFUNCTION("IFERROR(VLOOKUP(F483,IMPORTRANGE(""https://docs.google.com/spreadsheets/d/1Kvs4KS76FHFqLFIZfrDMff4kP08nblUkihrxltoGBjg/edit#gid=934712705"",""ESENCIAL!A6:BG""),3,FALSE))"),"")</f>
        <v/>
      </c>
      <c r="H469" s="5" t="str">
        <f ca="1">IFERROR(__xludf.DUMMYFUNCTION("IFERROR(VLOOKUP(F483,IMPORTRANGE(""https://docs.google.com/spreadsheets/d/1Kvs4KS76FHFqLFIZfrDMff4kP08nblUkihrxltoGBjg/edit#gid=934712705"",""ESENCIAL!A6:BG""),8,FALSE))"),"")</f>
        <v/>
      </c>
      <c r="L469" s="287"/>
      <c r="U469" s="40"/>
      <c r="AU469" s="41" t="str">
        <f t="shared" si="16"/>
        <v/>
      </c>
      <c r="AV469" s="5" t="str">
        <f ca="1">IFERROR(__xludf.DUMMYFUNCTION("IFERROR(VLOOKUP(E483&amp;F483,IMPORTRANGE(""https://docs.google.com/spreadsheets/d/1Uw7-A9f9R21vMXxHZFNpYNeKFtG8_yji4HS352LGlSQ/edit?pli=1#gid=0"",""1_ACUM!A4:S""),11,FALSE))"),"")</f>
        <v/>
      </c>
      <c r="AW469" s="42" t="str">
        <f ca="1">IFERROR(__xludf.DUMMYFUNCTION("IFERROR(VLOOKUP(F483,IMPORTRANGE(""https://docs.google.com/spreadsheets/d/1Kvs4KS76FHFqLFIZfrDMff4kP08nblUkihrxltoGBjg/edit#gid=934712705"",""ESENCIAL!A6:BG""),15,FALSE))"),"")</f>
        <v/>
      </c>
      <c r="AX469" s="21" t="str">
        <f ca="1">IFERROR(__xludf.DUMMYFUNCTION("IFERROR(VLOOKUP(E483&amp;F483,IMPORTRANGE(""https://docs.google.com/spreadsheets/d/1Uw7-A9f9R21vMXxHZFNpYNeKFtG8_yji4HS352LGlSQ/edit?pli=1#gid=0"",""1_ACUM!A4:S""),12,FALSE))"),"")</f>
        <v/>
      </c>
      <c r="AY469" s="43" t="str">
        <f ca="1">IFERROR(__xludf.DUMMYFUNCTION("IFERROR(VLOOKUP(E483&amp;F483,IMPORTRANGE(""https://docs.google.com/spreadsheets/d/1Uw7-A9f9R21vMXxHZFNpYNeKFtG8_yji4HS352LGlSQ/edit?pli=1#gid=0"",""1_ACUM!A4:S""),13,FALSE))"),"")</f>
        <v/>
      </c>
      <c r="AZ469" s="43" t="str">
        <f ca="1">IFERROR(__xludf.DUMMYFUNCTION("IFERROR(VLOOKUP(E483&amp;F483,IMPORTRANGE(""https://docs.google.com/spreadsheets/d/1Uw7-A9f9R21vMXxHZFNpYNeKFtG8_yji4HS352LGlSQ/edit?pli=1#gid=0"",""1_ACUM!A4:S""),14,FALSE))"),"")</f>
        <v/>
      </c>
      <c r="BA469" s="43" t="str">
        <f ca="1">IFERROR(__xludf.DUMMYFUNCTION("IFERROR(VLOOKUP(E483&amp;F483,IMPORTRANGE(""https://docs.google.com/spreadsheets/d/1Uw7-A9f9R21vMXxHZFNpYNeKFtG8_yji4HS352LGlSQ/edit?pli=1#gid=0"",""1_ACUM!A4:S""),15,FALSE))"),"")</f>
        <v/>
      </c>
      <c r="BB469" s="43" t="str">
        <f ca="1">IFERROR(__xludf.DUMMYFUNCTION("IFERROR(VLOOKUP(E483&amp;F483,IMPORTRANGE(""https://docs.google.com/spreadsheets/d/1Uw7-A9f9R21vMXxHZFNpYNeKFtG8_yji4HS352LGlSQ/edit?pli=1#gid=0"",""1_ACUM!A4:S""),16,FALSE))"),"")</f>
        <v/>
      </c>
      <c r="BC469" s="43" t="str">
        <f ca="1">IFERROR(__xludf.DUMMYFUNCTION("IFERROR(VLOOKUP(E483&amp;F483,IMPORTRANGE(""https://docs.google.com/spreadsheets/d/1Uw7-A9f9R21vMXxHZFNpYNeKFtG8_yji4HS352LGlSQ/edit?pli=1#gid=0"",""1_ACUM!A4:S""),17,FALSE))"),"")</f>
        <v/>
      </c>
      <c r="BD469" s="44" t="str">
        <f ca="1">IFERROR(__xludf.DUMMYFUNCTION("IFERROR(VLOOKUP(E483&amp;F483,IMPORTRANGE(""https://docs.google.com/spreadsheets/d/1Uw7-A9f9R21vMXxHZFNpYNeKFtG8_yji4HS352LGlSQ/edit?pli=1#gid=0"",""1_ACUM!A4:S""),18,FALSE))"),"")</f>
        <v/>
      </c>
      <c r="BE469" s="44" t="str">
        <f ca="1">IFERROR(__xludf.DUMMYFUNCTION("IFERROR(VLOOKUP(E483&amp;F483,IMPORTRANGE(""https://docs.google.com/spreadsheets/d/1Uw7-A9f9R21vMXxHZFNpYNeKFtG8_yji4HS352LGlSQ/edit?pli=1#gid=0"",""1_ACUM!A4:S""),19,FALSE))"),"")</f>
        <v/>
      </c>
      <c r="BF469" s="98" t="str">
        <f ca="1">IFERROR(__xludf.DUMMYFUNCTION("IFERROR(VLOOKUP(F483,IMPORTRANGE(""https://docs.google.com/spreadsheets/d/1Kvs4KS76FHFqLFIZfrDMff4kP08nblUkihrxltoGBjg/edit#gid=934712705"",""ESENCIAL!A6:BG""),5,FALSE))"),"")</f>
        <v/>
      </c>
      <c r="BG469" s="98" t="str">
        <f t="shared" si="17"/>
        <v/>
      </c>
      <c r="BH469" s="99" t="str">
        <f t="shared" si="18"/>
        <v/>
      </c>
      <c r="BI469" s="100" t="str">
        <f ca="1">IFERROR(__xludf.DUMMYFUNCTION("IFERROR(VLOOKUP(F483,IMPORTRANGE(""https://docs.google.com/spreadsheets/d/1Kvs4KS76FHFqLFIZfrDMff4kP08nblUkihrxltoGBjg/edit#gid=934712705"",""ESENCIAL!A6:BG""),2,FALSE))"),"")</f>
        <v/>
      </c>
      <c r="BJ469" s="19" t="str">
        <f t="shared" si="19"/>
        <v/>
      </c>
      <c r="BK469" s="100"/>
      <c r="BL469" s="100"/>
    </row>
    <row r="470" spans="1:64" ht="15">
      <c r="A470" s="5"/>
      <c r="B470" s="5"/>
      <c r="G470" s="5" t="str">
        <f ca="1">IFERROR(__xludf.DUMMYFUNCTION("IFERROR(VLOOKUP(F484,IMPORTRANGE(""https://docs.google.com/spreadsheets/d/1Kvs4KS76FHFqLFIZfrDMff4kP08nblUkihrxltoGBjg/edit#gid=934712705"",""ESENCIAL!A6:BG""),3,FALSE))"),"")</f>
        <v/>
      </c>
      <c r="H470" s="5" t="str">
        <f ca="1">IFERROR(__xludf.DUMMYFUNCTION("IFERROR(VLOOKUP(F484,IMPORTRANGE(""https://docs.google.com/spreadsheets/d/1Kvs4KS76FHFqLFIZfrDMff4kP08nblUkihrxltoGBjg/edit#gid=934712705"",""ESENCIAL!A6:BG""),8,FALSE))"),"")</f>
        <v/>
      </c>
      <c r="L470" s="287"/>
      <c r="U470" s="40"/>
      <c r="AU470" s="41" t="str">
        <f t="shared" si="16"/>
        <v/>
      </c>
      <c r="AV470" s="5" t="str">
        <f ca="1">IFERROR(__xludf.DUMMYFUNCTION("IFERROR(VLOOKUP(E484&amp;F484,IMPORTRANGE(""https://docs.google.com/spreadsheets/d/1Uw7-A9f9R21vMXxHZFNpYNeKFtG8_yji4HS352LGlSQ/edit?pli=1#gid=0"",""1_ACUM!A4:S""),11,FALSE))"),"")</f>
        <v/>
      </c>
      <c r="AW470" s="42" t="str">
        <f ca="1">IFERROR(__xludf.DUMMYFUNCTION("IFERROR(VLOOKUP(F484,IMPORTRANGE(""https://docs.google.com/spreadsheets/d/1Kvs4KS76FHFqLFIZfrDMff4kP08nblUkihrxltoGBjg/edit#gid=934712705"",""ESENCIAL!A6:BG""),15,FALSE))"),"")</f>
        <v/>
      </c>
      <c r="AX470" s="21" t="str">
        <f ca="1">IFERROR(__xludf.DUMMYFUNCTION("IFERROR(VLOOKUP(E484&amp;F484,IMPORTRANGE(""https://docs.google.com/spreadsheets/d/1Uw7-A9f9R21vMXxHZFNpYNeKFtG8_yji4HS352LGlSQ/edit?pli=1#gid=0"",""1_ACUM!A4:S""),12,FALSE))"),"")</f>
        <v/>
      </c>
      <c r="AY470" s="43" t="str">
        <f ca="1">IFERROR(__xludf.DUMMYFUNCTION("IFERROR(VLOOKUP(E484&amp;F484,IMPORTRANGE(""https://docs.google.com/spreadsheets/d/1Uw7-A9f9R21vMXxHZFNpYNeKFtG8_yji4HS352LGlSQ/edit?pli=1#gid=0"",""1_ACUM!A4:S""),13,FALSE))"),"")</f>
        <v/>
      </c>
      <c r="AZ470" s="43" t="str">
        <f ca="1">IFERROR(__xludf.DUMMYFUNCTION("IFERROR(VLOOKUP(E484&amp;F484,IMPORTRANGE(""https://docs.google.com/spreadsheets/d/1Uw7-A9f9R21vMXxHZFNpYNeKFtG8_yji4HS352LGlSQ/edit?pli=1#gid=0"",""1_ACUM!A4:S""),14,FALSE))"),"")</f>
        <v/>
      </c>
      <c r="BA470" s="43" t="str">
        <f ca="1">IFERROR(__xludf.DUMMYFUNCTION("IFERROR(VLOOKUP(E484&amp;F484,IMPORTRANGE(""https://docs.google.com/spreadsheets/d/1Uw7-A9f9R21vMXxHZFNpYNeKFtG8_yji4HS352LGlSQ/edit?pli=1#gid=0"",""1_ACUM!A4:S""),15,FALSE))"),"")</f>
        <v/>
      </c>
      <c r="BB470" s="43" t="str">
        <f ca="1">IFERROR(__xludf.DUMMYFUNCTION("IFERROR(VLOOKUP(E484&amp;F484,IMPORTRANGE(""https://docs.google.com/spreadsheets/d/1Uw7-A9f9R21vMXxHZFNpYNeKFtG8_yji4HS352LGlSQ/edit?pli=1#gid=0"",""1_ACUM!A4:S""),16,FALSE))"),"")</f>
        <v/>
      </c>
      <c r="BC470" s="43" t="str">
        <f ca="1">IFERROR(__xludf.DUMMYFUNCTION("IFERROR(VLOOKUP(E484&amp;F484,IMPORTRANGE(""https://docs.google.com/spreadsheets/d/1Uw7-A9f9R21vMXxHZFNpYNeKFtG8_yji4HS352LGlSQ/edit?pli=1#gid=0"",""1_ACUM!A4:S""),17,FALSE))"),"")</f>
        <v/>
      </c>
      <c r="BD470" s="44" t="str">
        <f ca="1">IFERROR(__xludf.DUMMYFUNCTION("IFERROR(VLOOKUP(E484&amp;F484,IMPORTRANGE(""https://docs.google.com/spreadsheets/d/1Uw7-A9f9R21vMXxHZFNpYNeKFtG8_yji4HS352LGlSQ/edit?pli=1#gid=0"",""1_ACUM!A4:S""),18,FALSE))"),"")</f>
        <v/>
      </c>
      <c r="BE470" s="44" t="str">
        <f ca="1">IFERROR(__xludf.DUMMYFUNCTION("IFERROR(VLOOKUP(E484&amp;F484,IMPORTRANGE(""https://docs.google.com/spreadsheets/d/1Uw7-A9f9R21vMXxHZFNpYNeKFtG8_yji4HS352LGlSQ/edit?pli=1#gid=0"",""1_ACUM!A4:S""),19,FALSE))"),"")</f>
        <v/>
      </c>
      <c r="BF470" s="98" t="str">
        <f ca="1">IFERROR(__xludf.DUMMYFUNCTION("IFERROR(VLOOKUP(F484,IMPORTRANGE(""https://docs.google.com/spreadsheets/d/1Kvs4KS76FHFqLFIZfrDMff4kP08nblUkihrxltoGBjg/edit#gid=934712705"",""ESENCIAL!A6:BG""),5,FALSE))"),"")</f>
        <v/>
      </c>
      <c r="BG470" s="98" t="str">
        <f t="shared" si="17"/>
        <v/>
      </c>
      <c r="BH470" s="99" t="str">
        <f t="shared" si="18"/>
        <v/>
      </c>
      <c r="BI470" s="100" t="str">
        <f ca="1">IFERROR(__xludf.DUMMYFUNCTION("IFERROR(VLOOKUP(F484,IMPORTRANGE(""https://docs.google.com/spreadsheets/d/1Kvs4KS76FHFqLFIZfrDMff4kP08nblUkihrxltoGBjg/edit#gid=934712705"",""ESENCIAL!A6:BG""),2,FALSE))"),"")</f>
        <v/>
      </c>
      <c r="BJ470" s="19" t="str">
        <f t="shared" si="19"/>
        <v/>
      </c>
      <c r="BK470" s="100"/>
      <c r="BL470" s="100"/>
    </row>
    <row r="471" spans="1:64" ht="15">
      <c r="A471" s="5"/>
      <c r="B471" s="5"/>
      <c r="G471" s="5" t="str">
        <f ca="1">IFERROR(__xludf.DUMMYFUNCTION("IFERROR(VLOOKUP(F485,IMPORTRANGE(""https://docs.google.com/spreadsheets/d/1Kvs4KS76FHFqLFIZfrDMff4kP08nblUkihrxltoGBjg/edit#gid=934712705"",""ESENCIAL!A6:BG""),3,FALSE))"),"")</f>
        <v/>
      </c>
      <c r="H471" s="5" t="str">
        <f ca="1">IFERROR(__xludf.DUMMYFUNCTION("IFERROR(VLOOKUP(F485,IMPORTRANGE(""https://docs.google.com/spreadsheets/d/1Kvs4KS76FHFqLFIZfrDMff4kP08nblUkihrxltoGBjg/edit#gid=934712705"",""ESENCIAL!A6:BG""),8,FALSE))"),"")</f>
        <v/>
      </c>
      <c r="L471" s="287"/>
      <c r="U471" s="40"/>
      <c r="AU471" s="41" t="str">
        <f t="shared" si="16"/>
        <v/>
      </c>
      <c r="AV471" s="5" t="str">
        <f ca="1">IFERROR(__xludf.DUMMYFUNCTION("IFERROR(VLOOKUP(E485&amp;F485,IMPORTRANGE(""https://docs.google.com/spreadsheets/d/1Uw7-A9f9R21vMXxHZFNpYNeKFtG8_yji4HS352LGlSQ/edit?pli=1#gid=0"",""1_ACUM!A4:S""),11,FALSE))"),"")</f>
        <v/>
      </c>
      <c r="AW471" s="42" t="str">
        <f ca="1">IFERROR(__xludf.DUMMYFUNCTION("IFERROR(VLOOKUP(F485,IMPORTRANGE(""https://docs.google.com/spreadsheets/d/1Kvs4KS76FHFqLFIZfrDMff4kP08nblUkihrxltoGBjg/edit#gid=934712705"",""ESENCIAL!A6:BG""),15,FALSE))"),"")</f>
        <v/>
      </c>
      <c r="AX471" s="21" t="str">
        <f ca="1">IFERROR(__xludf.DUMMYFUNCTION("IFERROR(VLOOKUP(E485&amp;F485,IMPORTRANGE(""https://docs.google.com/spreadsheets/d/1Uw7-A9f9R21vMXxHZFNpYNeKFtG8_yji4HS352LGlSQ/edit?pli=1#gid=0"",""1_ACUM!A4:S""),12,FALSE))"),"")</f>
        <v/>
      </c>
      <c r="AY471" s="43" t="str">
        <f ca="1">IFERROR(__xludf.DUMMYFUNCTION("IFERROR(VLOOKUP(E485&amp;F485,IMPORTRANGE(""https://docs.google.com/spreadsheets/d/1Uw7-A9f9R21vMXxHZFNpYNeKFtG8_yji4HS352LGlSQ/edit?pli=1#gid=0"",""1_ACUM!A4:S""),13,FALSE))"),"")</f>
        <v/>
      </c>
      <c r="AZ471" s="43" t="str">
        <f ca="1">IFERROR(__xludf.DUMMYFUNCTION("IFERROR(VLOOKUP(E485&amp;F485,IMPORTRANGE(""https://docs.google.com/spreadsheets/d/1Uw7-A9f9R21vMXxHZFNpYNeKFtG8_yji4HS352LGlSQ/edit?pli=1#gid=0"",""1_ACUM!A4:S""),14,FALSE))"),"")</f>
        <v/>
      </c>
      <c r="BA471" s="43" t="str">
        <f ca="1">IFERROR(__xludf.DUMMYFUNCTION("IFERROR(VLOOKUP(E485&amp;F485,IMPORTRANGE(""https://docs.google.com/spreadsheets/d/1Uw7-A9f9R21vMXxHZFNpYNeKFtG8_yji4HS352LGlSQ/edit?pli=1#gid=0"",""1_ACUM!A4:S""),15,FALSE))"),"")</f>
        <v/>
      </c>
      <c r="BB471" s="43" t="str">
        <f ca="1">IFERROR(__xludf.DUMMYFUNCTION("IFERROR(VLOOKUP(E485&amp;F485,IMPORTRANGE(""https://docs.google.com/spreadsheets/d/1Uw7-A9f9R21vMXxHZFNpYNeKFtG8_yji4HS352LGlSQ/edit?pli=1#gid=0"",""1_ACUM!A4:S""),16,FALSE))"),"")</f>
        <v/>
      </c>
      <c r="BC471" s="43" t="str">
        <f ca="1">IFERROR(__xludf.DUMMYFUNCTION("IFERROR(VLOOKUP(E485&amp;F485,IMPORTRANGE(""https://docs.google.com/spreadsheets/d/1Uw7-A9f9R21vMXxHZFNpYNeKFtG8_yji4HS352LGlSQ/edit?pli=1#gid=0"",""1_ACUM!A4:S""),17,FALSE))"),"")</f>
        <v/>
      </c>
      <c r="BD471" s="44" t="str">
        <f ca="1">IFERROR(__xludf.DUMMYFUNCTION("IFERROR(VLOOKUP(E485&amp;F485,IMPORTRANGE(""https://docs.google.com/spreadsheets/d/1Uw7-A9f9R21vMXxHZFNpYNeKFtG8_yji4HS352LGlSQ/edit?pli=1#gid=0"",""1_ACUM!A4:S""),18,FALSE))"),"")</f>
        <v/>
      </c>
      <c r="BE471" s="44" t="str">
        <f ca="1">IFERROR(__xludf.DUMMYFUNCTION("IFERROR(VLOOKUP(E485&amp;F485,IMPORTRANGE(""https://docs.google.com/spreadsheets/d/1Uw7-A9f9R21vMXxHZFNpYNeKFtG8_yji4HS352LGlSQ/edit?pli=1#gid=0"",""1_ACUM!A4:S""),19,FALSE))"),"")</f>
        <v/>
      </c>
      <c r="BF471" s="98" t="str">
        <f ca="1">IFERROR(__xludf.DUMMYFUNCTION("IFERROR(VLOOKUP(F485,IMPORTRANGE(""https://docs.google.com/spreadsheets/d/1Kvs4KS76FHFqLFIZfrDMff4kP08nblUkihrxltoGBjg/edit#gid=934712705"",""ESENCIAL!A6:BG""),5,FALSE))"),"")</f>
        <v/>
      </c>
      <c r="BG471" s="98" t="str">
        <f t="shared" si="17"/>
        <v/>
      </c>
      <c r="BH471" s="99" t="str">
        <f t="shared" si="18"/>
        <v/>
      </c>
      <c r="BI471" s="100" t="str">
        <f ca="1">IFERROR(__xludf.DUMMYFUNCTION("IFERROR(VLOOKUP(F485,IMPORTRANGE(""https://docs.google.com/spreadsheets/d/1Kvs4KS76FHFqLFIZfrDMff4kP08nblUkihrxltoGBjg/edit#gid=934712705"",""ESENCIAL!A6:BG""),2,FALSE))"),"")</f>
        <v/>
      </c>
      <c r="BJ471" s="19" t="str">
        <f t="shared" si="19"/>
        <v/>
      </c>
      <c r="BK471" s="100"/>
      <c r="BL471" s="100"/>
    </row>
    <row r="472" spans="1:64" ht="15">
      <c r="A472" s="5"/>
      <c r="B472" s="5"/>
      <c r="G472" s="5" t="str">
        <f ca="1">IFERROR(__xludf.DUMMYFUNCTION("IFERROR(VLOOKUP(F486,IMPORTRANGE(""https://docs.google.com/spreadsheets/d/1Kvs4KS76FHFqLFIZfrDMff4kP08nblUkihrxltoGBjg/edit#gid=934712705"",""ESENCIAL!A6:BG""),3,FALSE))"),"")</f>
        <v/>
      </c>
      <c r="H472" s="5" t="str">
        <f ca="1">IFERROR(__xludf.DUMMYFUNCTION("IFERROR(VLOOKUP(F486,IMPORTRANGE(""https://docs.google.com/spreadsheets/d/1Kvs4KS76FHFqLFIZfrDMff4kP08nblUkihrxltoGBjg/edit#gid=934712705"",""ESENCIAL!A6:BG""),8,FALSE))"),"")</f>
        <v/>
      </c>
      <c r="L472" s="287"/>
      <c r="U472" s="40"/>
      <c r="AU472" s="41" t="str">
        <f t="shared" si="16"/>
        <v/>
      </c>
      <c r="AV472" s="5" t="str">
        <f ca="1">IFERROR(__xludf.DUMMYFUNCTION("IFERROR(VLOOKUP(E486&amp;F486,IMPORTRANGE(""https://docs.google.com/spreadsheets/d/1Uw7-A9f9R21vMXxHZFNpYNeKFtG8_yji4HS352LGlSQ/edit?pli=1#gid=0"",""1_ACUM!A4:S""),11,FALSE))"),"")</f>
        <v/>
      </c>
      <c r="AW472" s="42" t="str">
        <f ca="1">IFERROR(__xludf.DUMMYFUNCTION("IFERROR(VLOOKUP(F486,IMPORTRANGE(""https://docs.google.com/spreadsheets/d/1Kvs4KS76FHFqLFIZfrDMff4kP08nblUkihrxltoGBjg/edit#gid=934712705"",""ESENCIAL!A6:BG""),15,FALSE))"),"")</f>
        <v/>
      </c>
      <c r="AX472" s="21" t="str">
        <f ca="1">IFERROR(__xludf.DUMMYFUNCTION("IFERROR(VLOOKUP(E486&amp;F486,IMPORTRANGE(""https://docs.google.com/spreadsheets/d/1Uw7-A9f9R21vMXxHZFNpYNeKFtG8_yji4HS352LGlSQ/edit?pli=1#gid=0"",""1_ACUM!A4:S""),12,FALSE))"),"")</f>
        <v/>
      </c>
      <c r="AY472" s="43" t="str">
        <f ca="1">IFERROR(__xludf.DUMMYFUNCTION("IFERROR(VLOOKUP(E486&amp;F486,IMPORTRANGE(""https://docs.google.com/spreadsheets/d/1Uw7-A9f9R21vMXxHZFNpYNeKFtG8_yji4HS352LGlSQ/edit?pli=1#gid=0"",""1_ACUM!A4:S""),13,FALSE))"),"")</f>
        <v/>
      </c>
      <c r="AZ472" s="43" t="str">
        <f ca="1">IFERROR(__xludf.DUMMYFUNCTION("IFERROR(VLOOKUP(E486&amp;F486,IMPORTRANGE(""https://docs.google.com/spreadsheets/d/1Uw7-A9f9R21vMXxHZFNpYNeKFtG8_yji4HS352LGlSQ/edit?pli=1#gid=0"",""1_ACUM!A4:S""),14,FALSE))"),"")</f>
        <v/>
      </c>
      <c r="BA472" s="43" t="str">
        <f ca="1">IFERROR(__xludf.DUMMYFUNCTION("IFERROR(VLOOKUP(E486&amp;F486,IMPORTRANGE(""https://docs.google.com/spreadsheets/d/1Uw7-A9f9R21vMXxHZFNpYNeKFtG8_yji4HS352LGlSQ/edit?pli=1#gid=0"",""1_ACUM!A4:S""),15,FALSE))"),"")</f>
        <v/>
      </c>
      <c r="BB472" s="43" t="str">
        <f ca="1">IFERROR(__xludf.DUMMYFUNCTION("IFERROR(VLOOKUP(E486&amp;F486,IMPORTRANGE(""https://docs.google.com/spreadsheets/d/1Uw7-A9f9R21vMXxHZFNpYNeKFtG8_yji4HS352LGlSQ/edit?pli=1#gid=0"",""1_ACUM!A4:S""),16,FALSE))"),"")</f>
        <v/>
      </c>
      <c r="BC472" s="43" t="str">
        <f ca="1">IFERROR(__xludf.DUMMYFUNCTION("IFERROR(VLOOKUP(E486&amp;F486,IMPORTRANGE(""https://docs.google.com/spreadsheets/d/1Uw7-A9f9R21vMXxHZFNpYNeKFtG8_yji4HS352LGlSQ/edit?pli=1#gid=0"",""1_ACUM!A4:S""),17,FALSE))"),"")</f>
        <v/>
      </c>
      <c r="BD472" s="44" t="str">
        <f ca="1">IFERROR(__xludf.DUMMYFUNCTION("IFERROR(VLOOKUP(E486&amp;F486,IMPORTRANGE(""https://docs.google.com/spreadsheets/d/1Uw7-A9f9R21vMXxHZFNpYNeKFtG8_yji4HS352LGlSQ/edit?pli=1#gid=0"",""1_ACUM!A4:S""),18,FALSE))"),"")</f>
        <v/>
      </c>
      <c r="BE472" s="44" t="str">
        <f ca="1">IFERROR(__xludf.DUMMYFUNCTION("IFERROR(VLOOKUP(E486&amp;F486,IMPORTRANGE(""https://docs.google.com/spreadsheets/d/1Uw7-A9f9R21vMXxHZFNpYNeKFtG8_yji4HS352LGlSQ/edit?pli=1#gid=0"",""1_ACUM!A4:S""),19,FALSE))"),"")</f>
        <v/>
      </c>
      <c r="BF472" s="98" t="str">
        <f ca="1">IFERROR(__xludf.DUMMYFUNCTION("IFERROR(VLOOKUP(F486,IMPORTRANGE(""https://docs.google.com/spreadsheets/d/1Kvs4KS76FHFqLFIZfrDMff4kP08nblUkihrxltoGBjg/edit#gid=934712705"",""ESENCIAL!A6:BG""),5,FALSE))"),"")</f>
        <v/>
      </c>
      <c r="BG472" s="98" t="str">
        <f t="shared" si="17"/>
        <v/>
      </c>
      <c r="BH472" s="99" t="str">
        <f t="shared" si="18"/>
        <v/>
      </c>
      <c r="BI472" s="100" t="str">
        <f ca="1">IFERROR(__xludf.DUMMYFUNCTION("IFERROR(VLOOKUP(F486,IMPORTRANGE(""https://docs.google.com/spreadsheets/d/1Kvs4KS76FHFqLFIZfrDMff4kP08nblUkihrxltoGBjg/edit#gid=934712705"",""ESENCIAL!A6:BG""),2,FALSE))"),"")</f>
        <v/>
      </c>
      <c r="BJ472" s="19" t="str">
        <f t="shared" si="19"/>
        <v/>
      </c>
      <c r="BK472" s="100"/>
      <c r="BL472" s="100"/>
    </row>
    <row r="473" spans="1:64" ht="15">
      <c r="A473" s="5"/>
      <c r="B473" s="5"/>
      <c r="G473" s="5" t="str">
        <f ca="1">IFERROR(__xludf.DUMMYFUNCTION("IFERROR(VLOOKUP(F487,IMPORTRANGE(""https://docs.google.com/spreadsheets/d/1Kvs4KS76FHFqLFIZfrDMff4kP08nblUkihrxltoGBjg/edit#gid=934712705"",""ESENCIAL!A6:BG""),3,FALSE))"),"")</f>
        <v/>
      </c>
      <c r="H473" s="5" t="str">
        <f ca="1">IFERROR(__xludf.DUMMYFUNCTION("IFERROR(VLOOKUP(F487,IMPORTRANGE(""https://docs.google.com/spreadsheets/d/1Kvs4KS76FHFqLFIZfrDMff4kP08nblUkihrxltoGBjg/edit#gid=934712705"",""ESENCIAL!A6:BG""),8,FALSE))"),"")</f>
        <v/>
      </c>
      <c r="L473" s="287"/>
      <c r="U473" s="40"/>
      <c r="AU473" s="41" t="str">
        <f t="shared" si="16"/>
        <v/>
      </c>
      <c r="AV473" s="5" t="str">
        <f ca="1">IFERROR(__xludf.DUMMYFUNCTION("IFERROR(VLOOKUP(E487&amp;F487,IMPORTRANGE(""https://docs.google.com/spreadsheets/d/1Uw7-A9f9R21vMXxHZFNpYNeKFtG8_yji4HS352LGlSQ/edit?pli=1#gid=0"",""1_ACUM!A4:S""),11,FALSE))"),"")</f>
        <v/>
      </c>
      <c r="AW473" s="42" t="str">
        <f ca="1">IFERROR(__xludf.DUMMYFUNCTION("IFERROR(VLOOKUP(F487,IMPORTRANGE(""https://docs.google.com/spreadsheets/d/1Kvs4KS76FHFqLFIZfrDMff4kP08nblUkihrxltoGBjg/edit#gid=934712705"",""ESENCIAL!A6:BG""),15,FALSE))"),"")</f>
        <v/>
      </c>
      <c r="AX473" s="21" t="str">
        <f ca="1">IFERROR(__xludf.DUMMYFUNCTION("IFERROR(VLOOKUP(E487&amp;F487,IMPORTRANGE(""https://docs.google.com/spreadsheets/d/1Uw7-A9f9R21vMXxHZFNpYNeKFtG8_yji4HS352LGlSQ/edit?pli=1#gid=0"",""1_ACUM!A4:S""),12,FALSE))"),"")</f>
        <v/>
      </c>
      <c r="AY473" s="43" t="str">
        <f ca="1">IFERROR(__xludf.DUMMYFUNCTION("IFERROR(VLOOKUP(E487&amp;F487,IMPORTRANGE(""https://docs.google.com/spreadsheets/d/1Uw7-A9f9R21vMXxHZFNpYNeKFtG8_yji4HS352LGlSQ/edit?pli=1#gid=0"",""1_ACUM!A4:S""),13,FALSE))"),"")</f>
        <v/>
      </c>
      <c r="AZ473" s="43" t="str">
        <f ca="1">IFERROR(__xludf.DUMMYFUNCTION("IFERROR(VLOOKUP(E487&amp;F487,IMPORTRANGE(""https://docs.google.com/spreadsheets/d/1Uw7-A9f9R21vMXxHZFNpYNeKFtG8_yji4HS352LGlSQ/edit?pli=1#gid=0"",""1_ACUM!A4:S""),14,FALSE))"),"")</f>
        <v/>
      </c>
      <c r="BA473" s="43" t="str">
        <f ca="1">IFERROR(__xludf.DUMMYFUNCTION("IFERROR(VLOOKUP(E487&amp;F487,IMPORTRANGE(""https://docs.google.com/spreadsheets/d/1Uw7-A9f9R21vMXxHZFNpYNeKFtG8_yji4HS352LGlSQ/edit?pli=1#gid=0"",""1_ACUM!A4:S""),15,FALSE))"),"")</f>
        <v/>
      </c>
      <c r="BB473" s="43" t="str">
        <f ca="1">IFERROR(__xludf.DUMMYFUNCTION("IFERROR(VLOOKUP(E487&amp;F487,IMPORTRANGE(""https://docs.google.com/spreadsheets/d/1Uw7-A9f9R21vMXxHZFNpYNeKFtG8_yji4HS352LGlSQ/edit?pli=1#gid=0"",""1_ACUM!A4:S""),16,FALSE))"),"")</f>
        <v/>
      </c>
      <c r="BC473" s="43" t="str">
        <f ca="1">IFERROR(__xludf.DUMMYFUNCTION("IFERROR(VLOOKUP(E487&amp;F487,IMPORTRANGE(""https://docs.google.com/spreadsheets/d/1Uw7-A9f9R21vMXxHZFNpYNeKFtG8_yji4HS352LGlSQ/edit?pli=1#gid=0"",""1_ACUM!A4:S""),17,FALSE))"),"")</f>
        <v/>
      </c>
      <c r="BD473" s="44" t="str">
        <f ca="1">IFERROR(__xludf.DUMMYFUNCTION("IFERROR(VLOOKUP(E487&amp;F487,IMPORTRANGE(""https://docs.google.com/spreadsheets/d/1Uw7-A9f9R21vMXxHZFNpYNeKFtG8_yji4HS352LGlSQ/edit?pli=1#gid=0"",""1_ACUM!A4:S""),18,FALSE))"),"")</f>
        <v/>
      </c>
      <c r="BE473" s="44" t="str">
        <f ca="1">IFERROR(__xludf.DUMMYFUNCTION("IFERROR(VLOOKUP(E487&amp;F487,IMPORTRANGE(""https://docs.google.com/spreadsheets/d/1Uw7-A9f9R21vMXxHZFNpYNeKFtG8_yji4HS352LGlSQ/edit?pli=1#gid=0"",""1_ACUM!A4:S""),19,FALSE))"),"")</f>
        <v/>
      </c>
      <c r="BF473" s="98" t="str">
        <f ca="1">IFERROR(__xludf.DUMMYFUNCTION("IFERROR(VLOOKUP(F487,IMPORTRANGE(""https://docs.google.com/spreadsheets/d/1Kvs4KS76FHFqLFIZfrDMff4kP08nblUkihrxltoGBjg/edit#gid=934712705"",""ESENCIAL!A6:BG""),5,FALSE))"),"")</f>
        <v/>
      </c>
      <c r="BG473" s="98" t="str">
        <f t="shared" si="17"/>
        <v/>
      </c>
      <c r="BH473" s="99" t="str">
        <f t="shared" si="18"/>
        <v/>
      </c>
      <c r="BI473" s="100" t="str">
        <f ca="1">IFERROR(__xludf.DUMMYFUNCTION("IFERROR(VLOOKUP(F487,IMPORTRANGE(""https://docs.google.com/spreadsheets/d/1Kvs4KS76FHFqLFIZfrDMff4kP08nblUkihrxltoGBjg/edit#gid=934712705"",""ESENCIAL!A6:BG""),2,FALSE))"),"")</f>
        <v/>
      </c>
      <c r="BJ473" s="19" t="str">
        <f t="shared" si="19"/>
        <v/>
      </c>
      <c r="BK473" s="100"/>
      <c r="BL473" s="100"/>
    </row>
    <row r="474" spans="1:64" ht="15">
      <c r="A474" s="5"/>
      <c r="B474" s="5"/>
      <c r="G474" s="5" t="str">
        <f ca="1">IFERROR(__xludf.DUMMYFUNCTION("IFERROR(VLOOKUP(F488,IMPORTRANGE(""https://docs.google.com/spreadsheets/d/1Kvs4KS76FHFqLFIZfrDMff4kP08nblUkihrxltoGBjg/edit#gid=934712705"",""ESENCIAL!A6:BG""),3,FALSE))"),"")</f>
        <v/>
      </c>
      <c r="H474" s="5" t="str">
        <f ca="1">IFERROR(__xludf.DUMMYFUNCTION("IFERROR(VLOOKUP(F488,IMPORTRANGE(""https://docs.google.com/spreadsheets/d/1Kvs4KS76FHFqLFIZfrDMff4kP08nblUkihrxltoGBjg/edit#gid=934712705"",""ESENCIAL!A6:BG""),8,FALSE))"),"")</f>
        <v/>
      </c>
      <c r="L474" s="287"/>
      <c r="U474" s="40"/>
      <c r="AU474" s="41" t="str">
        <f t="shared" si="16"/>
        <v/>
      </c>
      <c r="AV474" s="5" t="str">
        <f ca="1">IFERROR(__xludf.DUMMYFUNCTION("IFERROR(VLOOKUP(E488&amp;F488,IMPORTRANGE(""https://docs.google.com/spreadsheets/d/1Uw7-A9f9R21vMXxHZFNpYNeKFtG8_yji4HS352LGlSQ/edit?pli=1#gid=0"",""1_ACUM!A4:S""),11,FALSE))"),"")</f>
        <v/>
      </c>
      <c r="AW474" s="42" t="str">
        <f ca="1">IFERROR(__xludf.DUMMYFUNCTION("IFERROR(VLOOKUP(F488,IMPORTRANGE(""https://docs.google.com/spreadsheets/d/1Kvs4KS76FHFqLFIZfrDMff4kP08nblUkihrxltoGBjg/edit#gid=934712705"",""ESENCIAL!A6:BG""),15,FALSE))"),"")</f>
        <v/>
      </c>
      <c r="AX474" s="21" t="str">
        <f ca="1">IFERROR(__xludf.DUMMYFUNCTION("IFERROR(VLOOKUP(E488&amp;F488,IMPORTRANGE(""https://docs.google.com/spreadsheets/d/1Uw7-A9f9R21vMXxHZFNpYNeKFtG8_yji4HS352LGlSQ/edit?pli=1#gid=0"",""1_ACUM!A4:S""),12,FALSE))"),"")</f>
        <v/>
      </c>
      <c r="AY474" s="43" t="str">
        <f ca="1">IFERROR(__xludf.DUMMYFUNCTION("IFERROR(VLOOKUP(E488&amp;F488,IMPORTRANGE(""https://docs.google.com/spreadsheets/d/1Uw7-A9f9R21vMXxHZFNpYNeKFtG8_yji4HS352LGlSQ/edit?pli=1#gid=0"",""1_ACUM!A4:S""),13,FALSE))"),"")</f>
        <v/>
      </c>
      <c r="AZ474" s="43" t="str">
        <f ca="1">IFERROR(__xludf.DUMMYFUNCTION("IFERROR(VLOOKUP(E488&amp;F488,IMPORTRANGE(""https://docs.google.com/spreadsheets/d/1Uw7-A9f9R21vMXxHZFNpYNeKFtG8_yji4HS352LGlSQ/edit?pli=1#gid=0"",""1_ACUM!A4:S""),14,FALSE))"),"")</f>
        <v/>
      </c>
      <c r="BA474" s="43" t="str">
        <f ca="1">IFERROR(__xludf.DUMMYFUNCTION("IFERROR(VLOOKUP(E488&amp;F488,IMPORTRANGE(""https://docs.google.com/spreadsheets/d/1Uw7-A9f9R21vMXxHZFNpYNeKFtG8_yji4HS352LGlSQ/edit?pli=1#gid=0"",""1_ACUM!A4:S""),15,FALSE))"),"")</f>
        <v/>
      </c>
      <c r="BB474" s="43" t="str">
        <f ca="1">IFERROR(__xludf.DUMMYFUNCTION("IFERROR(VLOOKUP(E488&amp;F488,IMPORTRANGE(""https://docs.google.com/spreadsheets/d/1Uw7-A9f9R21vMXxHZFNpYNeKFtG8_yji4HS352LGlSQ/edit?pli=1#gid=0"",""1_ACUM!A4:S""),16,FALSE))"),"")</f>
        <v/>
      </c>
      <c r="BC474" s="43" t="str">
        <f ca="1">IFERROR(__xludf.DUMMYFUNCTION("IFERROR(VLOOKUP(E488&amp;F488,IMPORTRANGE(""https://docs.google.com/spreadsheets/d/1Uw7-A9f9R21vMXxHZFNpYNeKFtG8_yji4HS352LGlSQ/edit?pli=1#gid=0"",""1_ACUM!A4:S""),17,FALSE))"),"")</f>
        <v/>
      </c>
      <c r="BD474" s="44" t="str">
        <f ca="1">IFERROR(__xludf.DUMMYFUNCTION("IFERROR(VLOOKUP(E488&amp;F488,IMPORTRANGE(""https://docs.google.com/spreadsheets/d/1Uw7-A9f9R21vMXxHZFNpYNeKFtG8_yji4HS352LGlSQ/edit?pli=1#gid=0"",""1_ACUM!A4:S""),18,FALSE))"),"")</f>
        <v/>
      </c>
      <c r="BE474" s="44" t="str">
        <f ca="1">IFERROR(__xludf.DUMMYFUNCTION("IFERROR(VLOOKUP(E488&amp;F488,IMPORTRANGE(""https://docs.google.com/spreadsheets/d/1Uw7-A9f9R21vMXxHZFNpYNeKFtG8_yji4HS352LGlSQ/edit?pli=1#gid=0"",""1_ACUM!A4:S""),19,FALSE))"),"")</f>
        <v/>
      </c>
      <c r="BF474" s="98" t="str">
        <f ca="1">IFERROR(__xludf.DUMMYFUNCTION("IFERROR(VLOOKUP(F488,IMPORTRANGE(""https://docs.google.com/spreadsheets/d/1Kvs4KS76FHFqLFIZfrDMff4kP08nblUkihrxltoGBjg/edit#gid=934712705"",""ESENCIAL!A6:BG""),5,FALSE))"),"")</f>
        <v/>
      </c>
      <c r="BG474" s="98" t="str">
        <f t="shared" si="17"/>
        <v/>
      </c>
      <c r="BH474" s="99" t="str">
        <f t="shared" si="18"/>
        <v/>
      </c>
      <c r="BI474" s="100" t="str">
        <f ca="1">IFERROR(__xludf.DUMMYFUNCTION("IFERROR(VLOOKUP(F488,IMPORTRANGE(""https://docs.google.com/spreadsheets/d/1Kvs4KS76FHFqLFIZfrDMff4kP08nblUkihrxltoGBjg/edit#gid=934712705"",""ESENCIAL!A6:BG""),2,FALSE))"),"")</f>
        <v/>
      </c>
      <c r="BJ474" s="19" t="str">
        <f t="shared" si="19"/>
        <v/>
      </c>
      <c r="BK474" s="100"/>
      <c r="BL474" s="100"/>
    </row>
    <row r="475" spans="1:64" ht="15">
      <c r="A475" s="5"/>
      <c r="B475" s="5"/>
      <c r="G475" s="5" t="str">
        <f ca="1">IFERROR(__xludf.DUMMYFUNCTION("IFERROR(VLOOKUP(F489,IMPORTRANGE(""https://docs.google.com/spreadsheets/d/1Kvs4KS76FHFqLFIZfrDMff4kP08nblUkihrxltoGBjg/edit#gid=934712705"",""ESENCIAL!A6:BG""),3,FALSE))"),"")</f>
        <v/>
      </c>
      <c r="H475" s="5" t="str">
        <f ca="1">IFERROR(__xludf.DUMMYFUNCTION("IFERROR(VLOOKUP(F489,IMPORTRANGE(""https://docs.google.com/spreadsheets/d/1Kvs4KS76FHFqLFIZfrDMff4kP08nblUkihrxltoGBjg/edit#gid=934712705"",""ESENCIAL!A6:BG""),8,FALSE))"),"")</f>
        <v/>
      </c>
      <c r="L475" s="287"/>
      <c r="U475" s="40"/>
      <c r="AU475" s="41" t="str">
        <f t="shared" si="16"/>
        <v/>
      </c>
      <c r="AV475" s="5" t="str">
        <f ca="1">IFERROR(__xludf.DUMMYFUNCTION("IFERROR(VLOOKUP(E489&amp;F489,IMPORTRANGE(""https://docs.google.com/spreadsheets/d/1Uw7-A9f9R21vMXxHZFNpYNeKFtG8_yji4HS352LGlSQ/edit?pli=1#gid=0"",""1_ACUM!A4:S""),11,FALSE))"),"")</f>
        <v/>
      </c>
      <c r="AW475" s="42" t="str">
        <f ca="1">IFERROR(__xludf.DUMMYFUNCTION("IFERROR(VLOOKUP(F489,IMPORTRANGE(""https://docs.google.com/spreadsheets/d/1Kvs4KS76FHFqLFIZfrDMff4kP08nblUkihrxltoGBjg/edit#gid=934712705"",""ESENCIAL!A6:BG""),15,FALSE))"),"")</f>
        <v/>
      </c>
      <c r="AX475" s="21" t="str">
        <f ca="1">IFERROR(__xludf.DUMMYFUNCTION("IFERROR(VLOOKUP(E489&amp;F489,IMPORTRANGE(""https://docs.google.com/spreadsheets/d/1Uw7-A9f9R21vMXxHZFNpYNeKFtG8_yji4HS352LGlSQ/edit?pli=1#gid=0"",""1_ACUM!A4:S""),12,FALSE))"),"")</f>
        <v/>
      </c>
      <c r="AY475" s="43" t="str">
        <f ca="1">IFERROR(__xludf.DUMMYFUNCTION("IFERROR(VLOOKUP(E489&amp;F489,IMPORTRANGE(""https://docs.google.com/spreadsheets/d/1Uw7-A9f9R21vMXxHZFNpYNeKFtG8_yji4HS352LGlSQ/edit?pli=1#gid=0"",""1_ACUM!A4:S""),13,FALSE))"),"")</f>
        <v/>
      </c>
      <c r="AZ475" s="43" t="str">
        <f ca="1">IFERROR(__xludf.DUMMYFUNCTION("IFERROR(VLOOKUP(E489&amp;F489,IMPORTRANGE(""https://docs.google.com/spreadsheets/d/1Uw7-A9f9R21vMXxHZFNpYNeKFtG8_yji4HS352LGlSQ/edit?pli=1#gid=0"",""1_ACUM!A4:S""),14,FALSE))"),"")</f>
        <v/>
      </c>
      <c r="BA475" s="43" t="str">
        <f ca="1">IFERROR(__xludf.DUMMYFUNCTION("IFERROR(VLOOKUP(E489&amp;F489,IMPORTRANGE(""https://docs.google.com/spreadsheets/d/1Uw7-A9f9R21vMXxHZFNpYNeKFtG8_yji4HS352LGlSQ/edit?pli=1#gid=0"",""1_ACUM!A4:S""),15,FALSE))"),"")</f>
        <v/>
      </c>
      <c r="BB475" s="43" t="str">
        <f ca="1">IFERROR(__xludf.DUMMYFUNCTION("IFERROR(VLOOKUP(E489&amp;F489,IMPORTRANGE(""https://docs.google.com/spreadsheets/d/1Uw7-A9f9R21vMXxHZFNpYNeKFtG8_yji4HS352LGlSQ/edit?pli=1#gid=0"",""1_ACUM!A4:S""),16,FALSE))"),"")</f>
        <v/>
      </c>
      <c r="BC475" s="43" t="str">
        <f ca="1">IFERROR(__xludf.DUMMYFUNCTION("IFERROR(VLOOKUP(E489&amp;F489,IMPORTRANGE(""https://docs.google.com/spreadsheets/d/1Uw7-A9f9R21vMXxHZFNpYNeKFtG8_yji4HS352LGlSQ/edit?pli=1#gid=0"",""1_ACUM!A4:S""),17,FALSE))"),"")</f>
        <v/>
      </c>
      <c r="BD475" s="44" t="str">
        <f ca="1">IFERROR(__xludf.DUMMYFUNCTION("IFERROR(VLOOKUP(E489&amp;F489,IMPORTRANGE(""https://docs.google.com/spreadsheets/d/1Uw7-A9f9R21vMXxHZFNpYNeKFtG8_yji4HS352LGlSQ/edit?pli=1#gid=0"",""1_ACUM!A4:S""),18,FALSE))"),"")</f>
        <v/>
      </c>
      <c r="BE475" s="44" t="str">
        <f ca="1">IFERROR(__xludf.DUMMYFUNCTION("IFERROR(VLOOKUP(E489&amp;F489,IMPORTRANGE(""https://docs.google.com/spreadsheets/d/1Uw7-A9f9R21vMXxHZFNpYNeKFtG8_yji4HS352LGlSQ/edit?pli=1#gid=0"",""1_ACUM!A4:S""),19,FALSE))"),"")</f>
        <v/>
      </c>
      <c r="BF475" s="98" t="str">
        <f ca="1">IFERROR(__xludf.DUMMYFUNCTION("IFERROR(VLOOKUP(F489,IMPORTRANGE(""https://docs.google.com/spreadsheets/d/1Kvs4KS76FHFqLFIZfrDMff4kP08nblUkihrxltoGBjg/edit#gid=934712705"",""ESENCIAL!A6:BG""),5,FALSE))"),"")</f>
        <v/>
      </c>
      <c r="BG475" s="98" t="str">
        <f t="shared" si="17"/>
        <v/>
      </c>
      <c r="BH475" s="99" t="str">
        <f t="shared" si="18"/>
        <v/>
      </c>
      <c r="BI475" s="100" t="str">
        <f ca="1">IFERROR(__xludf.DUMMYFUNCTION("IFERROR(VLOOKUP(F489,IMPORTRANGE(""https://docs.google.com/spreadsheets/d/1Kvs4KS76FHFqLFIZfrDMff4kP08nblUkihrxltoGBjg/edit#gid=934712705"",""ESENCIAL!A6:BG""),2,FALSE))"),"")</f>
        <v/>
      </c>
      <c r="BJ475" s="19" t="str">
        <f t="shared" si="19"/>
        <v/>
      </c>
      <c r="BK475" s="100"/>
      <c r="BL475" s="100"/>
    </row>
    <row r="476" spans="1:64" ht="15">
      <c r="A476" s="5"/>
      <c r="B476" s="5"/>
      <c r="G476" s="5" t="str">
        <f ca="1">IFERROR(__xludf.DUMMYFUNCTION("IFERROR(VLOOKUP(F490,IMPORTRANGE(""https://docs.google.com/spreadsheets/d/1Kvs4KS76FHFqLFIZfrDMff4kP08nblUkihrxltoGBjg/edit#gid=934712705"",""ESENCIAL!A6:BG""),3,FALSE))"),"")</f>
        <v/>
      </c>
      <c r="H476" s="5" t="str">
        <f ca="1">IFERROR(__xludf.DUMMYFUNCTION("IFERROR(VLOOKUP(F490,IMPORTRANGE(""https://docs.google.com/spreadsheets/d/1Kvs4KS76FHFqLFIZfrDMff4kP08nblUkihrxltoGBjg/edit#gid=934712705"",""ESENCIAL!A6:BG""),8,FALSE))"),"")</f>
        <v/>
      </c>
      <c r="L476" s="287"/>
      <c r="U476" s="40"/>
      <c r="AU476" s="41" t="str">
        <f t="shared" si="16"/>
        <v/>
      </c>
      <c r="AV476" s="5" t="str">
        <f ca="1">IFERROR(__xludf.DUMMYFUNCTION("IFERROR(VLOOKUP(E490&amp;F490,IMPORTRANGE(""https://docs.google.com/spreadsheets/d/1Uw7-A9f9R21vMXxHZFNpYNeKFtG8_yji4HS352LGlSQ/edit?pli=1#gid=0"",""1_ACUM!A4:S""),11,FALSE))"),"")</f>
        <v/>
      </c>
      <c r="AW476" s="42" t="str">
        <f ca="1">IFERROR(__xludf.DUMMYFUNCTION("IFERROR(VLOOKUP(F490,IMPORTRANGE(""https://docs.google.com/spreadsheets/d/1Kvs4KS76FHFqLFIZfrDMff4kP08nblUkihrxltoGBjg/edit#gid=934712705"",""ESENCIAL!A6:BG""),15,FALSE))"),"")</f>
        <v/>
      </c>
      <c r="AX476" s="21" t="str">
        <f ca="1">IFERROR(__xludf.DUMMYFUNCTION("IFERROR(VLOOKUP(E490&amp;F490,IMPORTRANGE(""https://docs.google.com/spreadsheets/d/1Uw7-A9f9R21vMXxHZFNpYNeKFtG8_yji4HS352LGlSQ/edit?pli=1#gid=0"",""1_ACUM!A4:S""),12,FALSE))"),"")</f>
        <v/>
      </c>
      <c r="AY476" s="43" t="str">
        <f ca="1">IFERROR(__xludf.DUMMYFUNCTION("IFERROR(VLOOKUP(E490&amp;F490,IMPORTRANGE(""https://docs.google.com/spreadsheets/d/1Uw7-A9f9R21vMXxHZFNpYNeKFtG8_yji4HS352LGlSQ/edit?pli=1#gid=0"",""1_ACUM!A4:S""),13,FALSE))"),"")</f>
        <v/>
      </c>
      <c r="AZ476" s="43" t="str">
        <f ca="1">IFERROR(__xludf.DUMMYFUNCTION("IFERROR(VLOOKUP(E490&amp;F490,IMPORTRANGE(""https://docs.google.com/spreadsheets/d/1Uw7-A9f9R21vMXxHZFNpYNeKFtG8_yji4HS352LGlSQ/edit?pli=1#gid=0"",""1_ACUM!A4:S""),14,FALSE))"),"")</f>
        <v/>
      </c>
      <c r="BA476" s="43" t="str">
        <f ca="1">IFERROR(__xludf.DUMMYFUNCTION("IFERROR(VLOOKUP(E490&amp;F490,IMPORTRANGE(""https://docs.google.com/spreadsheets/d/1Uw7-A9f9R21vMXxHZFNpYNeKFtG8_yji4HS352LGlSQ/edit?pli=1#gid=0"",""1_ACUM!A4:S""),15,FALSE))"),"")</f>
        <v/>
      </c>
      <c r="BB476" s="43" t="str">
        <f ca="1">IFERROR(__xludf.DUMMYFUNCTION("IFERROR(VLOOKUP(E490&amp;F490,IMPORTRANGE(""https://docs.google.com/spreadsheets/d/1Uw7-A9f9R21vMXxHZFNpYNeKFtG8_yji4HS352LGlSQ/edit?pli=1#gid=0"",""1_ACUM!A4:S""),16,FALSE))"),"")</f>
        <v/>
      </c>
      <c r="BC476" s="43" t="str">
        <f ca="1">IFERROR(__xludf.DUMMYFUNCTION("IFERROR(VLOOKUP(E490&amp;F490,IMPORTRANGE(""https://docs.google.com/spreadsheets/d/1Uw7-A9f9R21vMXxHZFNpYNeKFtG8_yji4HS352LGlSQ/edit?pli=1#gid=0"",""1_ACUM!A4:S""),17,FALSE))"),"")</f>
        <v/>
      </c>
      <c r="BD476" s="44" t="str">
        <f ca="1">IFERROR(__xludf.DUMMYFUNCTION("IFERROR(VLOOKUP(E490&amp;F490,IMPORTRANGE(""https://docs.google.com/spreadsheets/d/1Uw7-A9f9R21vMXxHZFNpYNeKFtG8_yji4HS352LGlSQ/edit?pli=1#gid=0"",""1_ACUM!A4:S""),18,FALSE))"),"")</f>
        <v/>
      </c>
      <c r="BE476" s="44" t="str">
        <f ca="1">IFERROR(__xludf.DUMMYFUNCTION("IFERROR(VLOOKUP(E490&amp;F490,IMPORTRANGE(""https://docs.google.com/spreadsheets/d/1Uw7-A9f9R21vMXxHZFNpYNeKFtG8_yji4HS352LGlSQ/edit?pli=1#gid=0"",""1_ACUM!A4:S""),19,FALSE))"),"")</f>
        <v/>
      </c>
      <c r="BF476" s="98" t="str">
        <f ca="1">IFERROR(__xludf.DUMMYFUNCTION("IFERROR(VLOOKUP(F490,IMPORTRANGE(""https://docs.google.com/spreadsheets/d/1Kvs4KS76FHFqLFIZfrDMff4kP08nblUkihrxltoGBjg/edit#gid=934712705"",""ESENCIAL!A6:BG""),5,FALSE))"),"")</f>
        <v/>
      </c>
      <c r="BG476" s="98" t="str">
        <f t="shared" si="17"/>
        <v/>
      </c>
      <c r="BH476" s="99" t="str">
        <f t="shared" si="18"/>
        <v/>
      </c>
      <c r="BI476" s="100" t="str">
        <f ca="1">IFERROR(__xludf.DUMMYFUNCTION("IFERROR(VLOOKUP(F490,IMPORTRANGE(""https://docs.google.com/spreadsheets/d/1Kvs4KS76FHFqLFIZfrDMff4kP08nblUkihrxltoGBjg/edit#gid=934712705"",""ESENCIAL!A6:BG""),2,FALSE))"),"")</f>
        <v/>
      </c>
      <c r="BJ476" s="19" t="str">
        <f t="shared" si="19"/>
        <v/>
      </c>
      <c r="BK476" s="100"/>
      <c r="BL476" s="100"/>
    </row>
    <row r="477" spans="1:64" ht="15">
      <c r="A477" s="5"/>
      <c r="B477" s="5"/>
      <c r="G477" s="5" t="str">
        <f ca="1">IFERROR(__xludf.DUMMYFUNCTION("IFERROR(VLOOKUP(F491,IMPORTRANGE(""https://docs.google.com/spreadsheets/d/1Kvs4KS76FHFqLFIZfrDMff4kP08nblUkihrxltoGBjg/edit#gid=934712705"",""ESENCIAL!A6:BG""),3,FALSE))"),"")</f>
        <v/>
      </c>
      <c r="H477" s="5" t="str">
        <f ca="1">IFERROR(__xludf.DUMMYFUNCTION("IFERROR(VLOOKUP(F491,IMPORTRANGE(""https://docs.google.com/spreadsheets/d/1Kvs4KS76FHFqLFIZfrDMff4kP08nblUkihrxltoGBjg/edit#gid=934712705"",""ESENCIAL!A6:BG""),8,FALSE))"),"")</f>
        <v/>
      </c>
      <c r="L477" s="287"/>
      <c r="U477" s="40"/>
      <c r="AU477" s="41" t="str">
        <f t="shared" si="16"/>
        <v/>
      </c>
      <c r="AV477" s="5" t="str">
        <f ca="1">IFERROR(__xludf.DUMMYFUNCTION("IFERROR(VLOOKUP(E491&amp;F491,IMPORTRANGE(""https://docs.google.com/spreadsheets/d/1Uw7-A9f9R21vMXxHZFNpYNeKFtG8_yji4HS352LGlSQ/edit?pli=1#gid=0"",""1_ACUM!A4:S""),11,FALSE))"),"")</f>
        <v/>
      </c>
      <c r="AW477" s="42" t="str">
        <f ca="1">IFERROR(__xludf.DUMMYFUNCTION("IFERROR(VLOOKUP(F491,IMPORTRANGE(""https://docs.google.com/spreadsheets/d/1Kvs4KS76FHFqLFIZfrDMff4kP08nblUkihrxltoGBjg/edit#gid=934712705"",""ESENCIAL!A6:BG""),15,FALSE))"),"")</f>
        <v/>
      </c>
      <c r="AX477" s="21" t="str">
        <f ca="1">IFERROR(__xludf.DUMMYFUNCTION("IFERROR(VLOOKUP(E491&amp;F491,IMPORTRANGE(""https://docs.google.com/spreadsheets/d/1Uw7-A9f9R21vMXxHZFNpYNeKFtG8_yji4HS352LGlSQ/edit?pli=1#gid=0"",""1_ACUM!A4:S""),12,FALSE))"),"")</f>
        <v/>
      </c>
      <c r="AY477" s="43" t="str">
        <f ca="1">IFERROR(__xludf.DUMMYFUNCTION("IFERROR(VLOOKUP(E491&amp;F491,IMPORTRANGE(""https://docs.google.com/spreadsheets/d/1Uw7-A9f9R21vMXxHZFNpYNeKFtG8_yji4HS352LGlSQ/edit?pli=1#gid=0"",""1_ACUM!A4:S""),13,FALSE))"),"")</f>
        <v/>
      </c>
      <c r="AZ477" s="43" t="str">
        <f ca="1">IFERROR(__xludf.DUMMYFUNCTION("IFERROR(VLOOKUP(E491&amp;F491,IMPORTRANGE(""https://docs.google.com/spreadsheets/d/1Uw7-A9f9R21vMXxHZFNpYNeKFtG8_yji4HS352LGlSQ/edit?pli=1#gid=0"",""1_ACUM!A4:S""),14,FALSE))"),"")</f>
        <v/>
      </c>
      <c r="BA477" s="43" t="str">
        <f ca="1">IFERROR(__xludf.DUMMYFUNCTION("IFERROR(VLOOKUP(E491&amp;F491,IMPORTRANGE(""https://docs.google.com/spreadsheets/d/1Uw7-A9f9R21vMXxHZFNpYNeKFtG8_yji4HS352LGlSQ/edit?pli=1#gid=0"",""1_ACUM!A4:S""),15,FALSE))"),"")</f>
        <v/>
      </c>
      <c r="BB477" s="43" t="str">
        <f ca="1">IFERROR(__xludf.DUMMYFUNCTION("IFERROR(VLOOKUP(E491&amp;F491,IMPORTRANGE(""https://docs.google.com/spreadsheets/d/1Uw7-A9f9R21vMXxHZFNpYNeKFtG8_yji4HS352LGlSQ/edit?pli=1#gid=0"",""1_ACUM!A4:S""),16,FALSE))"),"")</f>
        <v/>
      </c>
      <c r="BC477" s="43" t="str">
        <f ca="1">IFERROR(__xludf.DUMMYFUNCTION("IFERROR(VLOOKUP(E491&amp;F491,IMPORTRANGE(""https://docs.google.com/spreadsheets/d/1Uw7-A9f9R21vMXxHZFNpYNeKFtG8_yji4HS352LGlSQ/edit?pli=1#gid=0"",""1_ACUM!A4:S""),17,FALSE))"),"")</f>
        <v/>
      </c>
      <c r="BD477" s="44" t="str">
        <f ca="1">IFERROR(__xludf.DUMMYFUNCTION("IFERROR(VLOOKUP(E491&amp;F491,IMPORTRANGE(""https://docs.google.com/spreadsheets/d/1Uw7-A9f9R21vMXxHZFNpYNeKFtG8_yji4HS352LGlSQ/edit?pli=1#gid=0"",""1_ACUM!A4:S""),18,FALSE))"),"")</f>
        <v/>
      </c>
      <c r="BE477" s="44" t="str">
        <f ca="1">IFERROR(__xludf.DUMMYFUNCTION("IFERROR(VLOOKUP(E491&amp;F491,IMPORTRANGE(""https://docs.google.com/spreadsheets/d/1Uw7-A9f9R21vMXxHZFNpYNeKFtG8_yji4HS352LGlSQ/edit?pli=1#gid=0"",""1_ACUM!A4:S""),19,FALSE))"),"")</f>
        <v/>
      </c>
      <c r="BF477" s="98" t="str">
        <f ca="1">IFERROR(__xludf.DUMMYFUNCTION("IFERROR(VLOOKUP(F491,IMPORTRANGE(""https://docs.google.com/spreadsheets/d/1Kvs4KS76FHFqLFIZfrDMff4kP08nblUkihrxltoGBjg/edit#gid=934712705"",""ESENCIAL!A6:BG""),5,FALSE))"),"")</f>
        <v/>
      </c>
      <c r="BG477" s="98" t="str">
        <f t="shared" si="17"/>
        <v/>
      </c>
      <c r="BH477" s="99" t="str">
        <f t="shared" si="18"/>
        <v/>
      </c>
      <c r="BI477" s="100" t="str">
        <f ca="1">IFERROR(__xludf.DUMMYFUNCTION("IFERROR(VLOOKUP(F491,IMPORTRANGE(""https://docs.google.com/spreadsheets/d/1Kvs4KS76FHFqLFIZfrDMff4kP08nblUkihrxltoGBjg/edit#gid=934712705"",""ESENCIAL!A6:BG""),2,FALSE))"),"")</f>
        <v/>
      </c>
      <c r="BJ477" s="19" t="str">
        <f t="shared" si="19"/>
        <v/>
      </c>
      <c r="BK477" s="100"/>
      <c r="BL477" s="100"/>
    </row>
    <row r="478" spans="1:64" ht="15">
      <c r="A478" s="5"/>
      <c r="B478" s="5"/>
      <c r="G478" s="5" t="str">
        <f ca="1">IFERROR(__xludf.DUMMYFUNCTION("IFERROR(VLOOKUP(F492,IMPORTRANGE(""https://docs.google.com/spreadsheets/d/1Kvs4KS76FHFqLFIZfrDMff4kP08nblUkihrxltoGBjg/edit#gid=934712705"",""ESENCIAL!A6:BG""),3,FALSE))"),"")</f>
        <v/>
      </c>
      <c r="H478" s="5" t="str">
        <f ca="1">IFERROR(__xludf.DUMMYFUNCTION("IFERROR(VLOOKUP(F492,IMPORTRANGE(""https://docs.google.com/spreadsheets/d/1Kvs4KS76FHFqLFIZfrDMff4kP08nblUkihrxltoGBjg/edit#gid=934712705"",""ESENCIAL!A6:BG""),8,FALSE))"),"")</f>
        <v/>
      </c>
      <c r="L478" s="287"/>
      <c r="U478" s="40"/>
      <c r="AU478" s="41" t="str">
        <f t="shared" si="16"/>
        <v/>
      </c>
      <c r="AV478" s="5" t="str">
        <f ca="1">IFERROR(__xludf.DUMMYFUNCTION("IFERROR(VLOOKUP(E492&amp;F492,IMPORTRANGE(""https://docs.google.com/spreadsheets/d/1Uw7-A9f9R21vMXxHZFNpYNeKFtG8_yji4HS352LGlSQ/edit?pli=1#gid=0"",""1_ACUM!A4:S""),11,FALSE))"),"")</f>
        <v/>
      </c>
      <c r="AW478" s="42" t="str">
        <f ca="1">IFERROR(__xludf.DUMMYFUNCTION("IFERROR(VLOOKUP(F492,IMPORTRANGE(""https://docs.google.com/spreadsheets/d/1Kvs4KS76FHFqLFIZfrDMff4kP08nblUkihrxltoGBjg/edit#gid=934712705"",""ESENCIAL!A6:BG""),15,FALSE))"),"")</f>
        <v/>
      </c>
      <c r="AX478" s="21" t="str">
        <f ca="1">IFERROR(__xludf.DUMMYFUNCTION("IFERROR(VLOOKUP(E492&amp;F492,IMPORTRANGE(""https://docs.google.com/spreadsheets/d/1Uw7-A9f9R21vMXxHZFNpYNeKFtG8_yji4HS352LGlSQ/edit?pli=1#gid=0"",""1_ACUM!A4:S""),12,FALSE))"),"")</f>
        <v/>
      </c>
      <c r="AY478" s="43" t="str">
        <f ca="1">IFERROR(__xludf.DUMMYFUNCTION("IFERROR(VLOOKUP(E492&amp;F492,IMPORTRANGE(""https://docs.google.com/spreadsheets/d/1Uw7-A9f9R21vMXxHZFNpYNeKFtG8_yji4HS352LGlSQ/edit?pli=1#gid=0"",""1_ACUM!A4:S""),13,FALSE))"),"")</f>
        <v/>
      </c>
      <c r="AZ478" s="43" t="str">
        <f ca="1">IFERROR(__xludf.DUMMYFUNCTION("IFERROR(VLOOKUP(E492&amp;F492,IMPORTRANGE(""https://docs.google.com/spreadsheets/d/1Uw7-A9f9R21vMXxHZFNpYNeKFtG8_yji4HS352LGlSQ/edit?pli=1#gid=0"",""1_ACUM!A4:S""),14,FALSE))"),"")</f>
        <v/>
      </c>
      <c r="BA478" s="43" t="str">
        <f ca="1">IFERROR(__xludf.DUMMYFUNCTION("IFERROR(VLOOKUP(E492&amp;F492,IMPORTRANGE(""https://docs.google.com/spreadsheets/d/1Uw7-A9f9R21vMXxHZFNpYNeKFtG8_yji4HS352LGlSQ/edit?pli=1#gid=0"",""1_ACUM!A4:S""),15,FALSE))"),"")</f>
        <v/>
      </c>
      <c r="BB478" s="43" t="str">
        <f ca="1">IFERROR(__xludf.DUMMYFUNCTION("IFERROR(VLOOKUP(E492&amp;F492,IMPORTRANGE(""https://docs.google.com/spreadsheets/d/1Uw7-A9f9R21vMXxHZFNpYNeKFtG8_yji4HS352LGlSQ/edit?pli=1#gid=0"",""1_ACUM!A4:S""),16,FALSE))"),"")</f>
        <v/>
      </c>
      <c r="BC478" s="43" t="str">
        <f ca="1">IFERROR(__xludf.DUMMYFUNCTION("IFERROR(VLOOKUP(E492&amp;F492,IMPORTRANGE(""https://docs.google.com/spreadsheets/d/1Uw7-A9f9R21vMXxHZFNpYNeKFtG8_yji4HS352LGlSQ/edit?pli=1#gid=0"",""1_ACUM!A4:S""),17,FALSE))"),"")</f>
        <v/>
      </c>
      <c r="BD478" s="44" t="str">
        <f ca="1">IFERROR(__xludf.DUMMYFUNCTION("IFERROR(VLOOKUP(E492&amp;F492,IMPORTRANGE(""https://docs.google.com/spreadsheets/d/1Uw7-A9f9R21vMXxHZFNpYNeKFtG8_yji4HS352LGlSQ/edit?pli=1#gid=0"",""1_ACUM!A4:S""),18,FALSE))"),"")</f>
        <v/>
      </c>
      <c r="BE478" s="44" t="str">
        <f ca="1">IFERROR(__xludf.DUMMYFUNCTION("IFERROR(VLOOKUP(E492&amp;F492,IMPORTRANGE(""https://docs.google.com/spreadsheets/d/1Uw7-A9f9R21vMXxHZFNpYNeKFtG8_yji4HS352LGlSQ/edit?pli=1#gid=0"",""1_ACUM!A4:S""),19,FALSE))"),"")</f>
        <v/>
      </c>
      <c r="BF478" s="98" t="str">
        <f ca="1">IFERROR(__xludf.DUMMYFUNCTION("IFERROR(VLOOKUP(F492,IMPORTRANGE(""https://docs.google.com/spreadsheets/d/1Kvs4KS76FHFqLFIZfrDMff4kP08nblUkihrxltoGBjg/edit#gid=934712705"",""ESENCIAL!A6:BG""),5,FALSE))"),"")</f>
        <v/>
      </c>
      <c r="BG478" s="98" t="str">
        <f t="shared" si="17"/>
        <v/>
      </c>
      <c r="BH478" s="99" t="str">
        <f t="shared" si="18"/>
        <v/>
      </c>
      <c r="BI478" s="100" t="str">
        <f ca="1">IFERROR(__xludf.DUMMYFUNCTION("IFERROR(VLOOKUP(F492,IMPORTRANGE(""https://docs.google.com/spreadsheets/d/1Kvs4KS76FHFqLFIZfrDMff4kP08nblUkihrxltoGBjg/edit#gid=934712705"",""ESENCIAL!A6:BG""),2,FALSE))"),"")</f>
        <v/>
      </c>
      <c r="BJ478" s="19" t="str">
        <f t="shared" si="19"/>
        <v/>
      </c>
      <c r="BK478" s="100"/>
      <c r="BL478" s="100"/>
    </row>
    <row r="479" spans="1:64" ht="15">
      <c r="A479" s="5"/>
      <c r="B479" s="5"/>
      <c r="G479" s="5" t="str">
        <f ca="1">IFERROR(__xludf.DUMMYFUNCTION("IFERROR(VLOOKUP(F493,IMPORTRANGE(""https://docs.google.com/spreadsheets/d/1Kvs4KS76FHFqLFIZfrDMff4kP08nblUkihrxltoGBjg/edit#gid=934712705"",""ESENCIAL!A6:BG""),3,FALSE))"),"")</f>
        <v/>
      </c>
      <c r="H479" s="5" t="str">
        <f ca="1">IFERROR(__xludf.DUMMYFUNCTION("IFERROR(VLOOKUP(F493,IMPORTRANGE(""https://docs.google.com/spreadsheets/d/1Kvs4KS76FHFqLFIZfrDMff4kP08nblUkihrxltoGBjg/edit#gid=934712705"",""ESENCIAL!A6:BG""),8,FALSE))"),"")</f>
        <v/>
      </c>
      <c r="L479" s="287"/>
      <c r="U479" s="40"/>
      <c r="AU479" s="41" t="str">
        <f t="shared" si="16"/>
        <v/>
      </c>
      <c r="AV479" s="5" t="str">
        <f ca="1">IFERROR(__xludf.DUMMYFUNCTION("IFERROR(VLOOKUP(E493&amp;F493,IMPORTRANGE(""https://docs.google.com/spreadsheets/d/1Uw7-A9f9R21vMXxHZFNpYNeKFtG8_yji4HS352LGlSQ/edit?pli=1#gid=0"",""1_ACUM!A4:S""),11,FALSE))"),"")</f>
        <v/>
      </c>
      <c r="AW479" s="42" t="str">
        <f ca="1">IFERROR(__xludf.DUMMYFUNCTION("IFERROR(VLOOKUP(F493,IMPORTRANGE(""https://docs.google.com/spreadsheets/d/1Kvs4KS76FHFqLFIZfrDMff4kP08nblUkihrxltoGBjg/edit#gid=934712705"",""ESENCIAL!A6:BG""),15,FALSE))"),"")</f>
        <v/>
      </c>
      <c r="AX479" s="21" t="str">
        <f ca="1">IFERROR(__xludf.DUMMYFUNCTION("IFERROR(VLOOKUP(E493&amp;F493,IMPORTRANGE(""https://docs.google.com/spreadsheets/d/1Uw7-A9f9R21vMXxHZFNpYNeKFtG8_yji4HS352LGlSQ/edit?pli=1#gid=0"",""1_ACUM!A4:S""),12,FALSE))"),"")</f>
        <v/>
      </c>
      <c r="AY479" s="43" t="str">
        <f ca="1">IFERROR(__xludf.DUMMYFUNCTION("IFERROR(VLOOKUP(E493&amp;F493,IMPORTRANGE(""https://docs.google.com/spreadsheets/d/1Uw7-A9f9R21vMXxHZFNpYNeKFtG8_yji4HS352LGlSQ/edit?pli=1#gid=0"",""1_ACUM!A4:S""),13,FALSE))"),"")</f>
        <v/>
      </c>
      <c r="AZ479" s="43" t="str">
        <f ca="1">IFERROR(__xludf.DUMMYFUNCTION("IFERROR(VLOOKUP(E493&amp;F493,IMPORTRANGE(""https://docs.google.com/spreadsheets/d/1Uw7-A9f9R21vMXxHZFNpYNeKFtG8_yji4HS352LGlSQ/edit?pli=1#gid=0"",""1_ACUM!A4:S""),14,FALSE))"),"")</f>
        <v/>
      </c>
      <c r="BA479" s="43" t="str">
        <f ca="1">IFERROR(__xludf.DUMMYFUNCTION("IFERROR(VLOOKUP(E493&amp;F493,IMPORTRANGE(""https://docs.google.com/spreadsheets/d/1Uw7-A9f9R21vMXxHZFNpYNeKFtG8_yji4HS352LGlSQ/edit?pli=1#gid=0"",""1_ACUM!A4:S""),15,FALSE))"),"")</f>
        <v/>
      </c>
      <c r="BB479" s="43" t="str">
        <f ca="1">IFERROR(__xludf.DUMMYFUNCTION("IFERROR(VLOOKUP(E493&amp;F493,IMPORTRANGE(""https://docs.google.com/spreadsheets/d/1Uw7-A9f9R21vMXxHZFNpYNeKFtG8_yji4HS352LGlSQ/edit?pli=1#gid=0"",""1_ACUM!A4:S""),16,FALSE))"),"")</f>
        <v/>
      </c>
      <c r="BC479" s="43" t="str">
        <f ca="1">IFERROR(__xludf.DUMMYFUNCTION("IFERROR(VLOOKUP(E493&amp;F493,IMPORTRANGE(""https://docs.google.com/spreadsheets/d/1Uw7-A9f9R21vMXxHZFNpYNeKFtG8_yji4HS352LGlSQ/edit?pli=1#gid=0"",""1_ACUM!A4:S""),17,FALSE))"),"")</f>
        <v/>
      </c>
      <c r="BD479" s="44" t="str">
        <f ca="1">IFERROR(__xludf.DUMMYFUNCTION("IFERROR(VLOOKUP(E493&amp;F493,IMPORTRANGE(""https://docs.google.com/spreadsheets/d/1Uw7-A9f9R21vMXxHZFNpYNeKFtG8_yji4HS352LGlSQ/edit?pli=1#gid=0"",""1_ACUM!A4:S""),18,FALSE))"),"")</f>
        <v/>
      </c>
      <c r="BE479" s="44" t="str">
        <f ca="1">IFERROR(__xludf.DUMMYFUNCTION("IFERROR(VLOOKUP(E493&amp;F493,IMPORTRANGE(""https://docs.google.com/spreadsheets/d/1Uw7-A9f9R21vMXxHZFNpYNeKFtG8_yji4HS352LGlSQ/edit?pli=1#gid=0"",""1_ACUM!A4:S""),19,FALSE))"),"")</f>
        <v/>
      </c>
      <c r="BF479" s="98" t="str">
        <f ca="1">IFERROR(__xludf.DUMMYFUNCTION("IFERROR(VLOOKUP(F493,IMPORTRANGE(""https://docs.google.com/spreadsheets/d/1Kvs4KS76FHFqLFIZfrDMff4kP08nblUkihrxltoGBjg/edit#gid=934712705"",""ESENCIAL!A6:BG""),5,FALSE))"),"")</f>
        <v/>
      </c>
      <c r="BG479" s="98" t="str">
        <f t="shared" si="17"/>
        <v/>
      </c>
      <c r="BH479" s="99" t="str">
        <f t="shared" si="18"/>
        <v/>
      </c>
      <c r="BI479" s="100" t="str">
        <f ca="1">IFERROR(__xludf.DUMMYFUNCTION("IFERROR(VLOOKUP(F493,IMPORTRANGE(""https://docs.google.com/spreadsheets/d/1Kvs4KS76FHFqLFIZfrDMff4kP08nblUkihrxltoGBjg/edit#gid=934712705"",""ESENCIAL!A6:BG""),2,FALSE))"),"")</f>
        <v/>
      </c>
      <c r="BJ479" s="19" t="str">
        <f t="shared" si="19"/>
        <v/>
      </c>
      <c r="BK479" s="100"/>
      <c r="BL479" s="100"/>
    </row>
    <row r="480" spans="1:64" ht="15">
      <c r="A480" s="5"/>
      <c r="B480" s="5"/>
      <c r="G480" s="5" t="str">
        <f ca="1">IFERROR(__xludf.DUMMYFUNCTION("IFERROR(VLOOKUP(F494,IMPORTRANGE(""https://docs.google.com/spreadsheets/d/1Kvs4KS76FHFqLFIZfrDMff4kP08nblUkihrxltoGBjg/edit#gid=934712705"",""ESENCIAL!A6:BG""),3,FALSE))"),"")</f>
        <v/>
      </c>
      <c r="H480" s="5" t="str">
        <f ca="1">IFERROR(__xludf.DUMMYFUNCTION("IFERROR(VLOOKUP(F494,IMPORTRANGE(""https://docs.google.com/spreadsheets/d/1Kvs4KS76FHFqLFIZfrDMff4kP08nblUkihrxltoGBjg/edit#gid=934712705"",""ESENCIAL!A6:BG""),8,FALSE))"),"")</f>
        <v/>
      </c>
      <c r="L480" s="287"/>
      <c r="U480" s="40"/>
      <c r="AU480" s="41" t="str">
        <f t="shared" si="16"/>
        <v/>
      </c>
      <c r="AV480" s="5" t="str">
        <f ca="1">IFERROR(__xludf.DUMMYFUNCTION("IFERROR(VLOOKUP(E494&amp;F494,IMPORTRANGE(""https://docs.google.com/spreadsheets/d/1Uw7-A9f9R21vMXxHZFNpYNeKFtG8_yji4HS352LGlSQ/edit?pli=1#gid=0"",""1_ACUM!A4:S""),11,FALSE))"),"")</f>
        <v/>
      </c>
      <c r="AW480" s="42" t="str">
        <f ca="1">IFERROR(__xludf.DUMMYFUNCTION("IFERROR(VLOOKUP(F494,IMPORTRANGE(""https://docs.google.com/spreadsheets/d/1Kvs4KS76FHFqLFIZfrDMff4kP08nblUkihrxltoGBjg/edit#gid=934712705"",""ESENCIAL!A6:BG""),15,FALSE))"),"")</f>
        <v/>
      </c>
      <c r="AX480" s="21" t="str">
        <f ca="1">IFERROR(__xludf.DUMMYFUNCTION("IFERROR(VLOOKUP(E494&amp;F494,IMPORTRANGE(""https://docs.google.com/spreadsheets/d/1Uw7-A9f9R21vMXxHZFNpYNeKFtG8_yji4HS352LGlSQ/edit?pli=1#gid=0"",""1_ACUM!A4:S""),12,FALSE))"),"")</f>
        <v/>
      </c>
      <c r="AY480" s="43" t="str">
        <f ca="1">IFERROR(__xludf.DUMMYFUNCTION("IFERROR(VLOOKUP(E494&amp;F494,IMPORTRANGE(""https://docs.google.com/spreadsheets/d/1Uw7-A9f9R21vMXxHZFNpYNeKFtG8_yji4HS352LGlSQ/edit?pli=1#gid=0"",""1_ACUM!A4:S""),13,FALSE))"),"")</f>
        <v/>
      </c>
      <c r="AZ480" s="43" t="str">
        <f ca="1">IFERROR(__xludf.DUMMYFUNCTION("IFERROR(VLOOKUP(E494&amp;F494,IMPORTRANGE(""https://docs.google.com/spreadsheets/d/1Uw7-A9f9R21vMXxHZFNpYNeKFtG8_yji4HS352LGlSQ/edit?pli=1#gid=0"",""1_ACUM!A4:S""),14,FALSE))"),"")</f>
        <v/>
      </c>
      <c r="BA480" s="43" t="str">
        <f ca="1">IFERROR(__xludf.DUMMYFUNCTION("IFERROR(VLOOKUP(E494&amp;F494,IMPORTRANGE(""https://docs.google.com/spreadsheets/d/1Uw7-A9f9R21vMXxHZFNpYNeKFtG8_yji4HS352LGlSQ/edit?pli=1#gid=0"",""1_ACUM!A4:S""),15,FALSE))"),"")</f>
        <v/>
      </c>
      <c r="BB480" s="43" t="str">
        <f ca="1">IFERROR(__xludf.DUMMYFUNCTION("IFERROR(VLOOKUP(E494&amp;F494,IMPORTRANGE(""https://docs.google.com/spreadsheets/d/1Uw7-A9f9R21vMXxHZFNpYNeKFtG8_yji4HS352LGlSQ/edit?pli=1#gid=0"",""1_ACUM!A4:S""),16,FALSE))"),"")</f>
        <v/>
      </c>
      <c r="BC480" s="43" t="str">
        <f ca="1">IFERROR(__xludf.DUMMYFUNCTION("IFERROR(VLOOKUP(E494&amp;F494,IMPORTRANGE(""https://docs.google.com/spreadsheets/d/1Uw7-A9f9R21vMXxHZFNpYNeKFtG8_yji4HS352LGlSQ/edit?pli=1#gid=0"",""1_ACUM!A4:S""),17,FALSE))"),"")</f>
        <v/>
      </c>
      <c r="BD480" s="44" t="str">
        <f ca="1">IFERROR(__xludf.DUMMYFUNCTION("IFERROR(VLOOKUP(E494&amp;F494,IMPORTRANGE(""https://docs.google.com/spreadsheets/d/1Uw7-A9f9R21vMXxHZFNpYNeKFtG8_yji4HS352LGlSQ/edit?pli=1#gid=0"",""1_ACUM!A4:S""),18,FALSE))"),"")</f>
        <v/>
      </c>
      <c r="BE480" s="44" t="str">
        <f ca="1">IFERROR(__xludf.DUMMYFUNCTION("IFERROR(VLOOKUP(E494&amp;F494,IMPORTRANGE(""https://docs.google.com/spreadsheets/d/1Uw7-A9f9R21vMXxHZFNpYNeKFtG8_yji4HS352LGlSQ/edit?pli=1#gid=0"",""1_ACUM!A4:S""),19,FALSE))"),"")</f>
        <v/>
      </c>
      <c r="BF480" s="98" t="str">
        <f ca="1">IFERROR(__xludf.DUMMYFUNCTION("IFERROR(VLOOKUP(F494,IMPORTRANGE(""https://docs.google.com/spreadsheets/d/1Kvs4KS76FHFqLFIZfrDMff4kP08nblUkihrxltoGBjg/edit#gid=934712705"",""ESENCIAL!A6:BG""),5,FALSE))"),"")</f>
        <v/>
      </c>
      <c r="BG480" s="98" t="str">
        <f t="shared" si="17"/>
        <v/>
      </c>
      <c r="BH480" s="99" t="str">
        <f t="shared" si="18"/>
        <v/>
      </c>
      <c r="BI480" s="100" t="str">
        <f ca="1">IFERROR(__xludf.DUMMYFUNCTION("IFERROR(VLOOKUP(F494,IMPORTRANGE(""https://docs.google.com/spreadsheets/d/1Kvs4KS76FHFqLFIZfrDMff4kP08nblUkihrxltoGBjg/edit#gid=934712705"",""ESENCIAL!A6:BG""),2,FALSE))"),"")</f>
        <v/>
      </c>
      <c r="BJ480" s="19" t="str">
        <f t="shared" si="19"/>
        <v/>
      </c>
      <c r="BK480" s="100"/>
      <c r="BL480" s="100"/>
    </row>
    <row r="481" spans="1:64" ht="15">
      <c r="A481" s="5"/>
      <c r="B481" s="5"/>
      <c r="G481" s="5" t="str">
        <f ca="1">IFERROR(__xludf.DUMMYFUNCTION("IFERROR(VLOOKUP(F495,IMPORTRANGE(""https://docs.google.com/spreadsheets/d/1Kvs4KS76FHFqLFIZfrDMff4kP08nblUkihrxltoGBjg/edit#gid=934712705"",""ESENCIAL!A6:BG""),3,FALSE))"),"")</f>
        <v/>
      </c>
      <c r="H481" s="5" t="str">
        <f ca="1">IFERROR(__xludf.DUMMYFUNCTION("IFERROR(VLOOKUP(F495,IMPORTRANGE(""https://docs.google.com/spreadsheets/d/1Kvs4KS76FHFqLFIZfrDMff4kP08nblUkihrxltoGBjg/edit#gid=934712705"",""ESENCIAL!A6:BG""),8,FALSE))"),"")</f>
        <v/>
      </c>
      <c r="L481" s="287"/>
      <c r="U481" s="40"/>
      <c r="AU481" s="41" t="str">
        <f t="shared" si="16"/>
        <v/>
      </c>
      <c r="AV481" s="5" t="str">
        <f ca="1">IFERROR(__xludf.DUMMYFUNCTION("IFERROR(VLOOKUP(E495&amp;F495,IMPORTRANGE(""https://docs.google.com/spreadsheets/d/1Uw7-A9f9R21vMXxHZFNpYNeKFtG8_yji4HS352LGlSQ/edit?pli=1#gid=0"",""1_ACUM!A4:S""),11,FALSE))"),"")</f>
        <v/>
      </c>
      <c r="AW481" s="42" t="str">
        <f ca="1">IFERROR(__xludf.DUMMYFUNCTION("IFERROR(VLOOKUP(F495,IMPORTRANGE(""https://docs.google.com/spreadsheets/d/1Kvs4KS76FHFqLFIZfrDMff4kP08nblUkihrxltoGBjg/edit#gid=934712705"",""ESENCIAL!A6:BG""),15,FALSE))"),"")</f>
        <v/>
      </c>
      <c r="AX481" s="21" t="str">
        <f ca="1">IFERROR(__xludf.DUMMYFUNCTION("IFERROR(VLOOKUP(E495&amp;F495,IMPORTRANGE(""https://docs.google.com/spreadsheets/d/1Uw7-A9f9R21vMXxHZFNpYNeKFtG8_yji4HS352LGlSQ/edit?pli=1#gid=0"",""1_ACUM!A4:S""),12,FALSE))"),"")</f>
        <v/>
      </c>
      <c r="AY481" s="43" t="str">
        <f ca="1">IFERROR(__xludf.DUMMYFUNCTION("IFERROR(VLOOKUP(E495&amp;F495,IMPORTRANGE(""https://docs.google.com/spreadsheets/d/1Uw7-A9f9R21vMXxHZFNpYNeKFtG8_yji4HS352LGlSQ/edit?pli=1#gid=0"",""1_ACUM!A4:S""),13,FALSE))"),"")</f>
        <v/>
      </c>
      <c r="AZ481" s="43" t="str">
        <f ca="1">IFERROR(__xludf.DUMMYFUNCTION("IFERROR(VLOOKUP(E495&amp;F495,IMPORTRANGE(""https://docs.google.com/spreadsheets/d/1Uw7-A9f9R21vMXxHZFNpYNeKFtG8_yji4HS352LGlSQ/edit?pli=1#gid=0"",""1_ACUM!A4:S""),14,FALSE))"),"")</f>
        <v/>
      </c>
      <c r="BA481" s="43" t="str">
        <f ca="1">IFERROR(__xludf.DUMMYFUNCTION("IFERROR(VLOOKUP(E495&amp;F495,IMPORTRANGE(""https://docs.google.com/spreadsheets/d/1Uw7-A9f9R21vMXxHZFNpYNeKFtG8_yji4HS352LGlSQ/edit?pli=1#gid=0"",""1_ACUM!A4:S""),15,FALSE))"),"")</f>
        <v/>
      </c>
      <c r="BB481" s="43" t="str">
        <f ca="1">IFERROR(__xludf.DUMMYFUNCTION("IFERROR(VLOOKUP(E495&amp;F495,IMPORTRANGE(""https://docs.google.com/spreadsheets/d/1Uw7-A9f9R21vMXxHZFNpYNeKFtG8_yji4HS352LGlSQ/edit?pli=1#gid=0"",""1_ACUM!A4:S""),16,FALSE))"),"")</f>
        <v/>
      </c>
      <c r="BC481" s="43" t="str">
        <f ca="1">IFERROR(__xludf.DUMMYFUNCTION("IFERROR(VLOOKUP(E495&amp;F495,IMPORTRANGE(""https://docs.google.com/spreadsheets/d/1Uw7-A9f9R21vMXxHZFNpYNeKFtG8_yji4HS352LGlSQ/edit?pli=1#gid=0"",""1_ACUM!A4:S""),17,FALSE))"),"")</f>
        <v/>
      </c>
      <c r="BD481" s="44" t="str">
        <f ca="1">IFERROR(__xludf.DUMMYFUNCTION("IFERROR(VLOOKUP(E495&amp;F495,IMPORTRANGE(""https://docs.google.com/spreadsheets/d/1Uw7-A9f9R21vMXxHZFNpYNeKFtG8_yji4HS352LGlSQ/edit?pli=1#gid=0"",""1_ACUM!A4:S""),18,FALSE))"),"")</f>
        <v/>
      </c>
      <c r="BE481" s="44" t="str">
        <f ca="1">IFERROR(__xludf.DUMMYFUNCTION("IFERROR(VLOOKUP(E495&amp;F495,IMPORTRANGE(""https://docs.google.com/spreadsheets/d/1Uw7-A9f9R21vMXxHZFNpYNeKFtG8_yji4HS352LGlSQ/edit?pli=1#gid=0"",""1_ACUM!A4:S""),19,FALSE))"),"")</f>
        <v/>
      </c>
      <c r="BF481" s="98" t="str">
        <f ca="1">IFERROR(__xludf.DUMMYFUNCTION("IFERROR(VLOOKUP(F495,IMPORTRANGE(""https://docs.google.com/spreadsheets/d/1Kvs4KS76FHFqLFIZfrDMff4kP08nblUkihrxltoGBjg/edit#gid=934712705"",""ESENCIAL!A6:BG""),5,FALSE))"),"")</f>
        <v/>
      </c>
      <c r="BG481" s="98" t="str">
        <f t="shared" si="17"/>
        <v/>
      </c>
      <c r="BH481" s="99" t="str">
        <f t="shared" si="18"/>
        <v/>
      </c>
      <c r="BI481" s="100" t="str">
        <f ca="1">IFERROR(__xludf.DUMMYFUNCTION("IFERROR(VLOOKUP(F495,IMPORTRANGE(""https://docs.google.com/spreadsheets/d/1Kvs4KS76FHFqLFIZfrDMff4kP08nblUkihrxltoGBjg/edit#gid=934712705"",""ESENCIAL!A6:BG""),2,FALSE))"),"")</f>
        <v/>
      </c>
      <c r="BJ481" s="19" t="str">
        <f t="shared" si="19"/>
        <v/>
      </c>
      <c r="BK481" s="100"/>
      <c r="BL481" s="100"/>
    </row>
    <row r="482" spans="1:64" ht="15">
      <c r="A482" s="5"/>
      <c r="B482" s="5"/>
      <c r="G482" s="5" t="str">
        <f ca="1">IFERROR(__xludf.DUMMYFUNCTION("IFERROR(VLOOKUP(F496,IMPORTRANGE(""https://docs.google.com/spreadsheets/d/1Kvs4KS76FHFqLFIZfrDMff4kP08nblUkihrxltoGBjg/edit#gid=934712705"",""ESENCIAL!A6:BG""),3,FALSE))"),"")</f>
        <v/>
      </c>
      <c r="H482" s="5" t="str">
        <f ca="1">IFERROR(__xludf.DUMMYFUNCTION("IFERROR(VLOOKUP(F496,IMPORTRANGE(""https://docs.google.com/spreadsheets/d/1Kvs4KS76FHFqLFIZfrDMff4kP08nblUkihrxltoGBjg/edit#gid=934712705"",""ESENCIAL!A6:BG""),8,FALSE))"),"")</f>
        <v/>
      </c>
      <c r="L482" s="287"/>
      <c r="U482" s="40"/>
      <c r="AU482" s="41" t="str">
        <f t="shared" si="16"/>
        <v/>
      </c>
      <c r="AV482" s="5" t="str">
        <f ca="1">IFERROR(__xludf.DUMMYFUNCTION("IFERROR(VLOOKUP(E496&amp;F496,IMPORTRANGE(""https://docs.google.com/spreadsheets/d/1Uw7-A9f9R21vMXxHZFNpYNeKFtG8_yji4HS352LGlSQ/edit?pli=1#gid=0"",""1_ACUM!A4:S""),11,FALSE))"),"")</f>
        <v/>
      </c>
      <c r="AW482" s="42" t="str">
        <f ca="1">IFERROR(__xludf.DUMMYFUNCTION("IFERROR(VLOOKUP(F496,IMPORTRANGE(""https://docs.google.com/spreadsheets/d/1Kvs4KS76FHFqLFIZfrDMff4kP08nblUkihrxltoGBjg/edit#gid=934712705"",""ESENCIAL!A6:BG""),15,FALSE))"),"")</f>
        <v/>
      </c>
      <c r="AX482" s="21" t="str">
        <f ca="1">IFERROR(__xludf.DUMMYFUNCTION("IFERROR(VLOOKUP(E496&amp;F496,IMPORTRANGE(""https://docs.google.com/spreadsheets/d/1Uw7-A9f9R21vMXxHZFNpYNeKFtG8_yji4HS352LGlSQ/edit?pli=1#gid=0"",""1_ACUM!A4:S""),12,FALSE))"),"")</f>
        <v/>
      </c>
      <c r="AY482" s="43" t="str">
        <f ca="1">IFERROR(__xludf.DUMMYFUNCTION("IFERROR(VLOOKUP(E496&amp;F496,IMPORTRANGE(""https://docs.google.com/spreadsheets/d/1Uw7-A9f9R21vMXxHZFNpYNeKFtG8_yji4HS352LGlSQ/edit?pli=1#gid=0"",""1_ACUM!A4:S""),13,FALSE))"),"")</f>
        <v/>
      </c>
      <c r="AZ482" s="43" t="str">
        <f ca="1">IFERROR(__xludf.DUMMYFUNCTION("IFERROR(VLOOKUP(E496&amp;F496,IMPORTRANGE(""https://docs.google.com/spreadsheets/d/1Uw7-A9f9R21vMXxHZFNpYNeKFtG8_yji4HS352LGlSQ/edit?pli=1#gid=0"",""1_ACUM!A4:S""),14,FALSE))"),"")</f>
        <v/>
      </c>
      <c r="BA482" s="43" t="str">
        <f ca="1">IFERROR(__xludf.DUMMYFUNCTION("IFERROR(VLOOKUP(E496&amp;F496,IMPORTRANGE(""https://docs.google.com/spreadsheets/d/1Uw7-A9f9R21vMXxHZFNpYNeKFtG8_yji4HS352LGlSQ/edit?pli=1#gid=0"",""1_ACUM!A4:S""),15,FALSE))"),"")</f>
        <v/>
      </c>
      <c r="BB482" s="43" t="str">
        <f ca="1">IFERROR(__xludf.DUMMYFUNCTION("IFERROR(VLOOKUP(E496&amp;F496,IMPORTRANGE(""https://docs.google.com/spreadsheets/d/1Uw7-A9f9R21vMXxHZFNpYNeKFtG8_yji4HS352LGlSQ/edit?pli=1#gid=0"",""1_ACUM!A4:S""),16,FALSE))"),"")</f>
        <v/>
      </c>
      <c r="BC482" s="43" t="str">
        <f ca="1">IFERROR(__xludf.DUMMYFUNCTION("IFERROR(VLOOKUP(E496&amp;F496,IMPORTRANGE(""https://docs.google.com/spreadsheets/d/1Uw7-A9f9R21vMXxHZFNpYNeKFtG8_yji4HS352LGlSQ/edit?pli=1#gid=0"",""1_ACUM!A4:S""),17,FALSE))"),"")</f>
        <v/>
      </c>
      <c r="BD482" s="44" t="str">
        <f ca="1">IFERROR(__xludf.DUMMYFUNCTION("IFERROR(VLOOKUP(E496&amp;F496,IMPORTRANGE(""https://docs.google.com/spreadsheets/d/1Uw7-A9f9R21vMXxHZFNpYNeKFtG8_yji4HS352LGlSQ/edit?pli=1#gid=0"",""1_ACUM!A4:S""),18,FALSE))"),"")</f>
        <v/>
      </c>
      <c r="BE482" s="44" t="str">
        <f ca="1">IFERROR(__xludf.DUMMYFUNCTION("IFERROR(VLOOKUP(E496&amp;F496,IMPORTRANGE(""https://docs.google.com/spreadsheets/d/1Uw7-A9f9R21vMXxHZFNpYNeKFtG8_yji4HS352LGlSQ/edit?pli=1#gid=0"",""1_ACUM!A4:S""),19,FALSE))"),"")</f>
        <v/>
      </c>
      <c r="BF482" s="98" t="str">
        <f ca="1">IFERROR(__xludf.DUMMYFUNCTION("IFERROR(VLOOKUP(F496,IMPORTRANGE(""https://docs.google.com/spreadsheets/d/1Kvs4KS76FHFqLFIZfrDMff4kP08nblUkihrxltoGBjg/edit#gid=934712705"",""ESENCIAL!A6:BG""),5,FALSE))"),"")</f>
        <v/>
      </c>
      <c r="BG482" s="98" t="str">
        <f t="shared" si="17"/>
        <v/>
      </c>
      <c r="BH482" s="99" t="str">
        <f t="shared" si="18"/>
        <v/>
      </c>
      <c r="BI482" s="100" t="str">
        <f ca="1">IFERROR(__xludf.DUMMYFUNCTION("IFERROR(VLOOKUP(F496,IMPORTRANGE(""https://docs.google.com/spreadsheets/d/1Kvs4KS76FHFqLFIZfrDMff4kP08nblUkihrxltoGBjg/edit#gid=934712705"",""ESENCIAL!A6:BG""),2,FALSE))"),"")</f>
        <v/>
      </c>
      <c r="BJ482" s="19" t="str">
        <f t="shared" si="19"/>
        <v/>
      </c>
      <c r="BK482" s="100"/>
      <c r="BL482" s="100"/>
    </row>
    <row r="483" spans="1:64" ht="15">
      <c r="A483" s="5"/>
      <c r="B483" s="5"/>
      <c r="G483" s="5" t="str">
        <f ca="1">IFERROR(__xludf.DUMMYFUNCTION("IFERROR(VLOOKUP(F497,IMPORTRANGE(""https://docs.google.com/spreadsheets/d/1Kvs4KS76FHFqLFIZfrDMff4kP08nblUkihrxltoGBjg/edit#gid=934712705"",""ESENCIAL!A6:BG""),3,FALSE))"),"")</f>
        <v/>
      </c>
      <c r="H483" s="5" t="str">
        <f ca="1">IFERROR(__xludf.DUMMYFUNCTION("IFERROR(VLOOKUP(F497,IMPORTRANGE(""https://docs.google.com/spreadsheets/d/1Kvs4KS76FHFqLFIZfrDMff4kP08nblUkihrxltoGBjg/edit#gid=934712705"",""ESENCIAL!A6:BG""),8,FALSE))"),"")</f>
        <v/>
      </c>
      <c r="L483" s="287"/>
      <c r="U483" s="40"/>
      <c r="AU483" s="41" t="str">
        <f t="shared" si="16"/>
        <v/>
      </c>
      <c r="AV483" s="5" t="str">
        <f ca="1">IFERROR(__xludf.DUMMYFUNCTION("IFERROR(VLOOKUP(E497&amp;F497,IMPORTRANGE(""https://docs.google.com/spreadsheets/d/1Uw7-A9f9R21vMXxHZFNpYNeKFtG8_yji4HS352LGlSQ/edit?pli=1#gid=0"",""1_ACUM!A4:S""),11,FALSE))"),"")</f>
        <v/>
      </c>
      <c r="AW483" s="42" t="str">
        <f ca="1">IFERROR(__xludf.DUMMYFUNCTION("IFERROR(VLOOKUP(F497,IMPORTRANGE(""https://docs.google.com/spreadsheets/d/1Kvs4KS76FHFqLFIZfrDMff4kP08nblUkihrxltoGBjg/edit#gid=934712705"",""ESENCIAL!A6:BG""),15,FALSE))"),"")</f>
        <v/>
      </c>
      <c r="AX483" s="21" t="str">
        <f ca="1">IFERROR(__xludf.DUMMYFUNCTION("IFERROR(VLOOKUP(E497&amp;F497,IMPORTRANGE(""https://docs.google.com/spreadsheets/d/1Uw7-A9f9R21vMXxHZFNpYNeKFtG8_yji4HS352LGlSQ/edit?pli=1#gid=0"",""1_ACUM!A4:S""),12,FALSE))"),"")</f>
        <v/>
      </c>
      <c r="AY483" s="43" t="str">
        <f ca="1">IFERROR(__xludf.DUMMYFUNCTION("IFERROR(VLOOKUP(E497&amp;F497,IMPORTRANGE(""https://docs.google.com/spreadsheets/d/1Uw7-A9f9R21vMXxHZFNpYNeKFtG8_yji4HS352LGlSQ/edit?pli=1#gid=0"",""1_ACUM!A4:S""),13,FALSE))"),"")</f>
        <v/>
      </c>
      <c r="AZ483" s="43" t="str">
        <f ca="1">IFERROR(__xludf.DUMMYFUNCTION("IFERROR(VLOOKUP(E497&amp;F497,IMPORTRANGE(""https://docs.google.com/spreadsheets/d/1Uw7-A9f9R21vMXxHZFNpYNeKFtG8_yji4HS352LGlSQ/edit?pli=1#gid=0"",""1_ACUM!A4:S""),14,FALSE))"),"")</f>
        <v/>
      </c>
      <c r="BA483" s="43" t="str">
        <f ca="1">IFERROR(__xludf.DUMMYFUNCTION("IFERROR(VLOOKUP(E497&amp;F497,IMPORTRANGE(""https://docs.google.com/spreadsheets/d/1Uw7-A9f9R21vMXxHZFNpYNeKFtG8_yji4HS352LGlSQ/edit?pli=1#gid=0"",""1_ACUM!A4:S""),15,FALSE))"),"")</f>
        <v/>
      </c>
      <c r="BB483" s="43" t="str">
        <f ca="1">IFERROR(__xludf.DUMMYFUNCTION("IFERROR(VLOOKUP(E497&amp;F497,IMPORTRANGE(""https://docs.google.com/spreadsheets/d/1Uw7-A9f9R21vMXxHZFNpYNeKFtG8_yji4HS352LGlSQ/edit?pli=1#gid=0"",""1_ACUM!A4:S""),16,FALSE))"),"")</f>
        <v/>
      </c>
      <c r="BC483" s="43" t="str">
        <f ca="1">IFERROR(__xludf.DUMMYFUNCTION("IFERROR(VLOOKUP(E497&amp;F497,IMPORTRANGE(""https://docs.google.com/spreadsheets/d/1Uw7-A9f9R21vMXxHZFNpYNeKFtG8_yji4HS352LGlSQ/edit?pli=1#gid=0"",""1_ACUM!A4:S""),17,FALSE))"),"")</f>
        <v/>
      </c>
      <c r="BD483" s="44" t="str">
        <f ca="1">IFERROR(__xludf.DUMMYFUNCTION("IFERROR(VLOOKUP(E497&amp;F497,IMPORTRANGE(""https://docs.google.com/spreadsheets/d/1Uw7-A9f9R21vMXxHZFNpYNeKFtG8_yji4HS352LGlSQ/edit?pli=1#gid=0"",""1_ACUM!A4:S""),18,FALSE))"),"")</f>
        <v/>
      </c>
      <c r="BE483" s="44" t="str">
        <f ca="1">IFERROR(__xludf.DUMMYFUNCTION("IFERROR(VLOOKUP(E497&amp;F497,IMPORTRANGE(""https://docs.google.com/spreadsheets/d/1Uw7-A9f9R21vMXxHZFNpYNeKFtG8_yji4HS352LGlSQ/edit?pli=1#gid=0"",""1_ACUM!A4:S""),19,FALSE))"),"")</f>
        <v/>
      </c>
      <c r="BF483" s="98" t="str">
        <f ca="1">IFERROR(__xludf.DUMMYFUNCTION("IFERROR(VLOOKUP(F497,IMPORTRANGE(""https://docs.google.com/spreadsheets/d/1Kvs4KS76FHFqLFIZfrDMff4kP08nblUkihrxltoGBjg/edit#gid=934712705"",""ESENCIAL!A6:BG""),5,FALSE))"),"")</f>
        <v/>
      </c>
      <c r="BG483" s="98" t="str">
        <f t="shared" si="17"/>
        <v/>
      </c>
      <c r="BH483" s="99" t="str">
        <f t="shared" si="18"/>
        <v/>
      </c>
      <c r="BI483" s="100" t="str">
        <f ca="1">IFERROR(__xludf.DUMMYFUNCTION("IFERROR(VLOOKUP(F497,IMPORTRANGE(""https://docs.google.com/spreadsheets/d/1Kvs4KS76FHFqLFIZfrDMff4kP08nblUkihrxltoGBjg/edit#gid=934712705"",""ESENCIAL!A6:BG""),2,FALSE))"),"")</f>
        <v/>
      </c>
      <c r="BJ483" s="19" t="str">
        <f t="shared" si="19"/>
        <v/>
      </c>
      <c r="BK483" s="100"/>
      <c r="BL483" s="100"/>
    </row>
    <row r="484" spans="1:64" ht="15">
      <c r="A484" s="5"/>
      <c r="B484" s="5"/>
      <c r="G484" s="5" t="str">
        <f ca="1">IFERROR(__xludf.DUMMYFUNCTION("IFERROR(VLOOKUP(F498,IMPORTRANGE(""https://docs.google.com/spreadsheets/d/1Kvs4KS76FHFqLFIZfrDMff4kP08nblUkihrxltoGBjg/edit#gid=934712705"",""ESENCIAL!A6:BG""),3,FALSE))"),"")</f>
        <v/>
      </c>
      <c r="H484" s="5" t="str">
        <f ca="1">IFERROR(__xludf.DUMMYFUNCTION("IFERROR(VLOOKUP(F498,IMPORTRANGE(""https://docs.google.com/spreadsheets/d/1Kvs4KS76FHFqLFIZfrDMff4kP08nblUkihrxltoGBjg/edit#gid=934712705"",""ESENCIAL!A6:BG""),8,FALSE))"),"")</f>
        <v/>
      </c>
      <c r="L484" s="287"/>
      <c r="U484" s="40"/>
      <c r="AU484" s="41" t="str">
        <f t="shared" si="16"/>
        <v/>
      </c>
      <c r="AV484" s="5" t="str">
        <f ca="1">IFERROR(__xludf.DUMMYFUNCTION("IFERROR(VLOOKUP(E498&amp;F498,IMPORTRANGE(""https://docs.google.com/spreadsheets/d/1Uw7-A9f9R21vMXxHZFNpYNeKFtG8_yji4HS352LGlSQ/edit?pli=1#gid=0"",""1_ACUM!A4:S""),11,FALSE))"),"")</f>
        <v/>
      </c>
      <c r="AW484" s="42" t="str">
        <f ca="1">IFERROR(__xludf.DUMMYFUNCTION("IFERROR(VLOOKUP(F498,IMPORTRANGE(""https://docs.google.com/spreadsheets/d/1Kvs4KS76FHFqLFIZfrDMff4kP08nblUkihrxltoGBjg/edit#gid=934712705"",""ESENCIAL!A6:BG""),15,FALSE))"),"")</f>
        <v/>
      </c>
      <c r="AX484" s="21" t="str">
        <f ca="1">IFERROR(__xludf.DUMMYFUNCTION("IFERROR(VLOOKUP(E498&amp;F498,IMPORTRANGE(""https://docs.google.com/spreadsheets/d/1Uw7-A9f9R21vMXxHZFNpYNeKFtG8_yji4HS352LGlSQ/edit?pli=1#gid=0"",""1_ACUM!A4:S""),12,FALSE))"),"")</f>
        <v/>
      </c>
      <c r="AY484" s="43" t="str">
        <f ca="1">IFERROR(__xludf.DUMMYFUNCTION("IFERROR(VLOOKUP(E498&amp;F498,IMPORTRANGE(""https://docs.google.com/spreadsheets/d/1Uw7-A9f9R21vMXxHZFNpYNeKFtG8_yji4HS352LGlSQ/edit?pli=1#gid=0"",""1_ACUM!A4:S""),13,FALSE))"),"")</f>
        <v/>
      </c>
      <c r="AZ484" s="43" t="str">
        <f ca="1">IFERROR(__xludf.DUMMYFUNCTION("IFERROR(VLOOKUP(E498&amp;F498,IMPORTRANGE(""https://docs.google.com/spreadsheets/d/1Uw7-A9f9R21vMXxHZFNpYNeKFtG8_yji4HS352LGlSQ/edit?pli=1#gid=0"",""1_ACUM!A4:S""),14,FALSE))"),"")</f>
        <v/>
      </c>
      <c r="BA484" s="43" t="str">
        <f ca="1">IFERROR(__xludf.DUMMYFUNCTION("IFERROR(VLOOKUP(E498&amp;F498,IMPORTRANGE(""https://docs.google.com/spreadsheets/d/1Uw7-A9f9R21vMXxHZFNpYNeKFtG8_yji4HS352LGlSQ/edit?pli=1#gid=0"",""1_ACUM!A4:S""),15,FALSE))"),"")</f>
        <v/>
      </c>
      <c r="BB484" s="43" t="str">
        <f ca="1">IFERROR(__xludf.DUMMYFUNCTION("IFERROR(VLOOKUP(E498&amp;F498,IMPORTRANGE(""https://docs.google.com/spreadsheets/d/1Uw7-A9f9R21vMXxHZFNpYNeKFtG8_yji4HS352LGlSQ/edit?pli=1#gid=0"",""1_ACUM!A4:S""),16,FALSE))"),"")</f>
        <v/>
      </c>
      <c r="BC484" s="43" t="str">
        <f ca="1">IFERROR(__xludf.DUMMYFUNCTION("IFERROR(VLOOKUP(E498&amp;F498,IMPORTRANGE(""https://docs.google.com/spreadsheets/d/1Uw7-A9f9R21vMXxHZFNpYNeKFtG8_yji4HS352LGlSQ/edit?pli=1#gid=0"",""1_ACUM!A4:S""),17,FALSE))"),"")</f>
        <v/>
      </c>
      <c r="BD484" s="44" t="str">
        <f ca="1">IFERROR(__xludf.DUMMYFUNCTION("IFERROR(VLOOKUP(E498&amp;F498,IMPORTRANGE(""https://docs.google.com/spreadsheets/d/1Uw7-A9f9R21vMXxHZFNpYNeKFtG8_yji4HS352LGlSQ/edit?pli=1#gid=0"",""1_ACUM!A4:S""),18,FALSE))"),"")</f>
        <v/>
      </c>
      <c r="BE484" s="44" t="str">
        <f ca="1">IFERROR(__xludf.DUMMYFUNCTION("IFERROR(VLOOKUP(E498&amp;F498,IMPORTRANGE(""https://docs.google.com/spreadsheets/d/1Uw7-A9f9R21vMXxHZFNpYNeKFtG8_yji4HS352LGlSQ/edit?pli=1#gid=0"",""1_ACUM!A4:S""),19,FALSE))"),"")</f>
        <v/>
      </c>
      <c r="BF484" s="98" t="str">
        <f ca="1">IFERROR(__xludf.DUMMYFUNCTION("IFERROR(VLOOKUP(F498,IMPORTRANGE(""https://docs.google.com/spreadsheets/d/1Kvs4KS76FHFqLFIZfrDMff4kP08nblUkihrxltoGBjg/edit#gid=934712705"",""ESENCIAL!A6:BG""),5,FALSE))"),"")</f>
        <v/>
      </c>
      <c r="BG484" s="98" t="str">
        <f t="shared" si="17"/>
        <v/>
      </c>
      <c r="BH484" s="99" t="str">
        <f t="shared" si="18"/>
        <v/>
      </c>
      <c r="BI484" s="100" t="str">
        <f ca="1">IFERROR(__xludf.DUMMYFUNCTION("IFERROR(VLOOKUP(F498,IMPORTRANGE(""https://docs.google.com/spreadsheets/d/1Kvs4KS76FHFqLFIZfrDMff4kP08nblUkihrxltoGBjg/edit#gid=934712705"",""ESENCIAL!A6:BG""),2,FALSE))"),"")</f>
        <v/>
      </c>
      <c r="BJ484" s="19" t="str">
        <f t="shared" si="19"/>
        <v/>
      </c>
      <c r="BK484" s="100"/>
      <c r="BL484" s="100"/>
    </row>
    <row r="485" spans="1:64" ht="15">
      <c r="A485" s="5"/>
      <c r="B485" s="5"/>
      <c r="G485" s="5" t="str">
        <f ca="1">IFERROR(__xludf.DUMMYFUNCTION("IFERROR(VLOOKUP(F499,IMPORTRANGE(""https://docs.google.com/spreadsheets/d/1Kvs4KS76FHFqLFIZfrDMff4kP08nblUkihrxltoGBjg/edit#gid=934712705"",""ESENCIAL!A6:BG""),3,FALSE))"),"")</f>
        <v/>
      </c>
      <c r="H485" s="5" t="str">
        <f ca="1">IFERROR(__xludf.DUMMYFUNCTION("IFERROR(VLOOKUP(F499,IMPORTRANGE(""https://docs.google.com/spreadsheets/d/1Kvs4KS76FHFqLFIZfrDMff4kP08nblUkihrxltoGBjg/edit#gid=934712705"",""ESENCIAL!A6:BG""),8,FALSE))"),"")</f>
        <v/>
      </c>
      <c r="L485" s="287"/>
      <c r="U485" s="40"/>
      <c r="AU485" s="41" t="str">
        <f t="shared" si="16"/>
        <v/>
      </c>
      <c r="AV485" s="5" t="str">
        <f ca="1">IFERROR(__xludf.DUMMYFUNCTION("IFERROR(VLOOKUP(E499&amp;F499,IMPORTRANGE(""https://docs.google.com/spreadsheets/d/1Uw7-A9f9R21vMXxHZFNpYNeKFtG8_yji4HS352LGlSQ/edit?pli=1#gid=0"",""1_ACUM!A4:S""),11,FALSE))"),"")</f>
        <v/>
      </c>
      <c r="AW485" s="42" t="str">
        <f ca="1">IFERROR(__xludf.DUMMYFUNCTION("IFERROR(VLOOKUP(F499,IMPORTRANGE(""https://docs.google.com/spreadsheets/d/1Kvs4KS76FHFqLFIZfrDMff4kP08nblUkihrxltoGBjg/edit#gid=934712705"",""ESENCIAL!A6:BG""),15,FALSE))"),"")</f>
        <v/>
      </c>
      <c r="AX485" s="21" t="str">
        <f ca="1">IFERROR(__xludf.DUMMYFUNCTION("IFERROR(VLOOKUP(E499&amp;F499,IMPORTRANGE(""https://docs.google.com/spreadsheets/d/1Uw7-A9f9R21vMXxHZFNpYNeKFtG8_yji4HS352LGlSQ/edit?pli=1#gid=0"",""1_ACUM!A4:S""),12,FALSE))"),"")</f>
        <v/>
      </c>
      <c r="AY485" s="43" t="str">
        <f ca="1">IFERROR(__xludf.DUMMYFUNCTION("IFERROR(VLOOKUP(E499&amp;F499,IMPORTRANGE(""https://docs.google.com/spreadsheets/d/1Uw7-A9f9R21vMXxHZFNpYNeKFtG8_yji4HS352LGlSQ/edit?pli=1#gid=0"",""1_ACUM!A4:S""),13,FALSE))"),"")</f>
        <v/>
      </c>
      <c r="AZ485" s="43" t="str">
        <f ca="1">IFERROR(__xludf.DUMMYFUNCTION("IFERROR(VLOOKUP(E499&amp;F499,IMPORTRANGE(""https://docs.google.com/spreadsheets/d/1Uw7-A9f9R21vMXxHZFNpYNeKFtG8_yji4HS352LGlSQ/edit?pli=1#gid=0"",""1_ACUM!A4:S""),14,FALSE))"),"")</f>
        <v/>
      </c>
      <c r="BA485" s="43" t="str">
        <f ca="1">IFERROR(__xludf.DUMMYFUNCTION("IFERROR(VLOOKUP(E499&amp;F499,IMPORTRANGE(""https://docs.google.com/spreadsheets/d/1Uw7-A9f9R21vMXxHZFNpYNeKFtG8_yji4HS352LGlSQ/edit?pli=1#gid=0"",""1_ACUM!A4:S""),15,FALSE))"),"")</f>
        <v/>
      </c>
      <c r="BB485" s="43" t="str">
        <f ca="1">IFERROR(__xludf.DUMMYFUNCTION("IFERROR(VLOOKUP(E499&amp;F499,IMPORTRANGE(""https://docs.google.com/spreadsheets/d/1Uw7-A9f9R21vMXxHZFNpYNeKFtG8_yji4HS352LGlSQ/edit?pli=1#gid=0"",""1_ACUM!A4:S""),16,FALSE))"),"")</f>
        <v/>
      </c>
      <c r="BC485" s="43" t="str">
        <f ca="1">IFERROR(__xludf.DUMMYFUNCTION("IFERROR(VLOOKUP(E499&amp;F499,IMPORTRANGE(""https://docs.google.com/spreadsheets/d/1Uw7-A9f9R21vMXxHZFNpYNeKFtG8_yji4HS352LGlSQ/edit?pli=1#gid=0"",""1_ACUM!A4:S""),17,FALSE))"),"")</f>
        <v/>
      </c>
      <c r="BD485" s="44" t="str">
        <f ca="1">IFERROR(__xludf.DUMMYFUNCTION("IFERROR(VLOOKUP(E499&amp;F499,IMPORTRANGE(""https://docs.google.com/spreadsheets/d/1Uw7-A9f9R21vMXxHZFNpYNeKFtG8_yji4HS352LGlSQ/edit?pli=1#gid=0"",""1_ACUM!A4:S""),18,FALSE))"),"")</f>
        <v/>
      </c>
      <c r="BE485" s="44" t="str">
        <f ca="1">IFERROR(__xludf.DUMMYFUNCTION("IFERROR(VLOOKUP(E499&amp;F499,IMPORTRANGE(""https://docs.google.com/spreadsheets/d/1Uw7-A9f9R21vMXxHZFNpYNeKFtG8_yji4HS352LGlSQ/edit?pli=1#gid=0"",""1_ACUM!A4:S""),19,FALSE))"),"")</f>
        <v/>
      </c>
      <c r="BF485" s="98" t="str">
        <f ca="1">IFERROR(__xludf.DUMMYFUNCTION("IFERROR(VLOOKUP(F499,IMPORTRANGE(""https://docs.google.com/spreadsheets/d/1Kvs4KS76FHFqLFIZfrDMff4kP08nblUkihrxltoGBjg/edit#gid=934712705"",""ESENCIAL!A6:BG""),5,FALSE))"),"")</f>
        <v/>
      </c>
      <c r="BG485" s="98" t="str">
        <f t="shared" si="17"/>
        <v/>
      </c>
      <c r="BH485" s="99" t="str">
        <f t="shared" si="18"/>
        <v/>
      </c>
      <c r="BI485" s="100" t="str">
        <f ca="1">IFERROR(__xludf.DUMMYFUNCTION("IFERROR(VLOOKUP(F499,IMPORTRANGE(""https://docs.google.com/spreadsheets/d/1Kvs4KS76FHFqLFIZfrDMff4kP08nblUkihrxltoGBjg/edit#gid=934712705"",""ESENCIAL!A6:BG""),2,FALSE))"),"")</f>
        <v/>
      </c>
      <c r="BJ485" s="19" t="str">
        <f t="shared" si="19"/>
        <v/>
      </c>
      <c r="BK485" s="100"/>
      <c r="BL485" s="100"/>
    </row>
    <row r="486" spans="1:64" ht="15">
      <c r="A486" s="5"/>
      <c r="B486" s="5"/>
      <c r="G486" s="5" t="str">
        <f ca="1">IFERROR(__xludf.DUMMYFUNCTION("IFERROR(VLOOKUP(F500,IMPORTRANGE(""https://docs.google.com/spreadsheets/d/1Kvs4KS76FHFqLFIZfrDMff4kP08nblUkihrxltoGBjg/edit#gid=934712705"",""ESENCIAL!A6:BG""),3,FALSE))"),"")</f>
        <v/>
      </c>
      <c r="H486" s="5" t="str">
        <f ca="1">IFERROR(__xludf.DUMMYFUNCTION("IFERROR(VLOOKUP(F500,IMPORTRANGE(""https://docs.google.com/spreadsheets/d/1Kvs4KS76FHFqLFIZfrDMff4kP08nblUkihrxltoGBjg/edit#gid=934712705"",""ESENCIAL!A6:BG""),8,FALSE))"),"")</f>
        <v/>
      </c>
      <c r="L486" s="287"/>
      <c r="U486" s="40"/>
      <c r="AU486" s="41" t="str">
        <f t="shared" si="16"/>
        <v/>
      </c>
      <c r="AV486" s="5" t="str">
        <f ca="1">IFERROR(__xludf.DUMMYFUNCTION("IFERROR(VLOOKUP(E500&amp;F500,IMPORTRANGE(""https://docs.google.com/spreadsheets/d/1Uw7-A9f9R21vMXxHZFNpYNeKFtG8_yji4HS352LGlSQ/edit?pli=1#gid=0"",""1_ACUM!A4:S""),11,FALSE))"),"")</f>
        <v/>
      </c>
      <c r="AW486" s="42" t="str">
        <f ca="1">IFERROR(__xludf.DUMMYFUNCTION("IFERROR(VLOOKUP(F500,IMPORTRANGE(""https://docs.google.com/spreadsheets/d/1Kvs4KS76FHFqLFIZfrDMff4kP08nblUkihrxltoGBjg/edit#gid=934712705"",""ESENCIAL!A6:BG""),15,FALSE))"),"")</f>
        <v/>
      </c>
      <c r="AX486" s="21" t="str">
        <f ca="1">IFERROR(__xludf.DUMMYFUNCTION("IFERROR(VLOOKUP(E500&amp;F500,IMPORTRANGE(""https://docs.google.com/spreadsheets/d/1Uw7-A9f9R21vMXxHZFNpYNeKFtG8_yji4HS352LGlSQ/edit?pli=1#gid=0"",""1_ACUM!A4:S""),12,FALSE))"),"")</f>
        <v/>
      </c>
      <c r="AY486" s="43" t="str">
        <f ca="1">IFERROR(__xludf.DUMMYFUNCTION("IFERROR(VLOOKUP(E500&amp;F500,IMPORTRANGE(""https://docs.google.com/spreadsheets/d/1Uw7-A9f9R21vMXxHZFNpYNeKFtG8_yji4HS352LGlSQ/edit?pli=1#gid=0"",""1_ACUM!A4:S""),13,FALSE))"),"")</f>
        <v/>
      </c>
      <c r="AZ486" s="43" t="str">
        <f ca="1">IFERROR(__xludf.DUMMYFUNCTION("IFERROR(VLOOKUP(E500&amp;F500,IMPORTRANGE(""https://docs.google.com/spreadsheets/d/1Uw7-A9f9R21vMXxHZFNpYNeKFtG8_yji4HS352LGlSQ/edit?pli=1#gid=0"",""1_ACUM!A4:S""),14,FALSE))"),"")</f>
        <v/>
      </c>
      <c r="BA486" s="43" t="str">
        <f ca="1">IFERROR(__xludf.DUMMYFUNCTION("IFERROR(VLOOKUP(E500&amp;F500,IMPORTRANGE(""https://docs.google.com/spreadsheets/d/1Uw7-A9f9R21vMXxHZFNpYNeKFtG8_yji4HS352LGlSQ/edit?pli=1#gid=0"",""1_ACUM!A4:S""),15,FALSE))"),"")</f>
        <v/>
      </c>
      <c r="BB486" s="43" t="str">
        <f ca="1">IFERROR(__xludf.DUMMYFUNCTION("IFERROR(VLOOKUP(E500&amp;F500,IMPORTRANGE(""https://docs.google.com/spreadsheets/d/1Uw7-A9f9R21vMXxHZFNpYNeKFtG8_yji4HS352LGlSQ/edit?pli=1#gid=0"",""1_ACUM!A4:S""),16,FALSE))"),"")</f>
        <v/>
      </c>
      <c r="BC486" s="43" t="str">
        <f ca="1">IFERROR(__xludf.DUMMYFUNCTION("IFERROR(VLOOKUP(E500&amp;F500,IMPORTRANGE(""https://docs.google.com/spreadsheets/d/1Uw7-A9f9R21vMXxHZFNpYNeKFtG8_yji4HS352LGlSQ/edit?pli=1#gid=0"",""1_ACUM!A4:S""),17,FALSE))"),"")</f>
        <v/>
      </c>
      <c r="BD486" s="44" t="str">
        <f ca="1">IFERROR(__xludf.DUMMYFUNCTION("IFERROR(VLOOKUP(E500&amp;F500,IMPORTRANGE(""https://docs.google.com/spreadsheets/d/1Uw7-A9f9R21vMXxHZFNpYNeKFtG8_yji4HS352LGlSQ/edit?pli=1#gid=0"",""1_ACUM!A4:S""),18,FALSE))"),"")</f>
        <v/>
      </c>
      <c r="BE486" s="44" t="str">
        <f ca="1">IFERROR(__xludf.DUMMYFUNCTION("IFERROR(VLOOKUP(E500&amp;F500,IMPORTRANGE(""https://docs.google.com/spreadsheets/d/1Uw7-A9f9R21vMXxHZFNpYNeKFtG8_yji4HS352LGlSQ/edit?pli=1#gid=0"",""1_ACUM!A4:S""),19,FALSE))"),"")</f>
        <v/>
      </c>
      <c r="BF486" s="98" t="str">
        <f ca="1">IFERROR(__xludf.DUMMYFUNCTION("IFERROR(VLOOKUP(F500,IMPORTRANGE(""https://docs.google.com/spreadsheets/d/1Kvs4KS76FHFqLFIZfrDMff4kP08nblUkihrxltoGBjg/edit#gid=934712705"",""ESENCIAL!A6:BG""),5,FALSE))"),"")</f>
        <v/>
      </c>
      <c r="BG486" s="98" t="str">
        <f t="shared" si="17"/>
        <v/>
      </c>
      <c r="BH486" s="99" t="str">
        <f t="shared" si="18"/>
        <v/>
      </c>
      <c r="BI486" s="100" t="str">
        <f ca="1">IFERROR(__xludf.DUMMYFUNCTION("IFERROR(VLOOKUP(F500,IMPORTRANGE(""https://docs.google.com/spreadsheets/d/1Kvs4KS76FHFqLFIZfrDMff4kP08nblUkihrxltoGBjg/edit#gid=934712705"",""ESENCIAL!A6:BG""),2,FALSE))"),"")</f>
        <v/>
      </c>
      <c r="BJ486" s="19" t="str">
        <f t="shared" si="19"/>
        <v/>
      </c>
      <c r="BK486" s="100"/>
      <c r="BL486" s="100"/>
    </row>
    <row r="487" spans="1:64" ht="15">
      <c r="A487" s="5"/>
      <c r="B487" s="5"/>
      <c r="G487" s="5" t="str">
        <f ca="1">IFERROR(__xludf.DUMMYFUNCTION("IFERROR(VLOOKUP(F501,IMPORTRANGE(""https://docs.google.com/spreadsheets/d/1Kvs4KS76FHFqLFIZfrDMff4kP08nblUkihrxltoGBjg/edit#gid=934712705"",""ESENCIAL!A6:BG""),3,FALSE))"),"")</f>
        <v/>
      </c>
      <c r="H487" s="5" t="str">
        <f ca="1">IFERROR(__xludf.DUMMYFUNCTION("IFERROR(VLOOKUP(F501,IMPORTRANGE(""https://docs.google.com/spreadsheets/d/1Kvs4KS76FHFqLFIZfrDMff4kP08nblUkihrxltoGBjg/edit#gid=934712705"",""ESENCIAL!A6:BG""),8,FALSE))"),"")</f>
        <v/>
      </c>
      <c r="L487" s="287"/>
      <c r="U487" s="40"/>
      <c r="AU487" s="41" t="str">
        <f t="shared" si="16"/>
        <v/>
      </c>
      <c r="AV487" s="5" t="str">
        <f ca="1">IFERROR(__xludf.DUMMYFUNCTION("IFERROR(VLOOKUP(E501&amp;F501,IMPORTRANGE(""https://docs.google.com/spreadsheets/d/1Uw7-A9f9R21vMXxHZFNpYNeKFtG8_yji4HS352LGlSQ/edit?pli=1#gid=0"",""1_ACUM!A4:S""),11,FALSE))"),"")</f>
        <v/>
      </c>
      <c r="AW487" s="42" t="str">
        <f ca="1">IFERROR(__xludf.DUMMYFUNCTION("IFERROR(VLOOKUP(F501,IMPORTRANGE(""https://docs.google.com/spreadsheets/d/1Kvs4KS76FHFqLFIZfrDMff4kP08nblUkihrxltoGBjg/edit#gid=934712705"",""ESENCIAL!A6:BG""),15,FALSE))"),"")</f>
        <v/>
      </c>
      <c r="AX487" s="21" t="str">
        <f ca="1">IFERROR(__xludf.DUMMYFUNCTION("IFERROR(VLOOKUP(E501&amp;F501,IMPORTRANGE(""https://docs.google.com/spreadsheets/d/1Uw7-A9f9R21vMXxHZFNpYNeKFtG8_yji4HS352LGlSQ/edit?pli=1#gid=0"",""1_ACUM!A4:S""),12,FALSE))"),"")</f>
        <v/>
      </c>
      <c r="AY487" s="43" t="str">
        <f ca="1">IFERROR(__xludf.DUMMYFUNCTION("IFERROR(VLOOKUP(E501&amp;F501,IMPORTRANGE(""https://docs.google.com/spreadsheets/d/1Uw7-A9f9R21vMXxHZFNpYNeKFtG8_yji4HS352LGlSQ/edit?pli=1#gid=0"",""1_ACUM!A4:S""),13,FALSE))"),"")</f>
        <v/>
      </c>
      <c r="AZ487" s="43" t="str">
        <f ca="1">IFERROR(__xludf.DUMMYFUNCTION("IFERROR(VLOOKUP(E501&amp;F501,IMPORTRANGE(""https://docs.google.com/spreadsheets/d/1Uw7-A9f9R21vMXxHZFNpYNeKFtG8_yji4HS352LGlSQ/edit?pli=1#gid=0"",""1_ACUM!A4:S""),14,FALSE))"),"")</f>
        <v/>
      </c>
      <c r="BA487" s="43" t="str">
        <f ca="1">IFERROR(__xludf.DUMMYFUNCTION("IFERROR(VLOOKUP(E501&amp;F501,IMPORTRANGE(""https://docs.google.com/spreadsheets/d/1Uw7-A9f9R21vMXxHZFNpYNeKFtG8_yji4HS352LGlSQ/edit?pli=1#gid=0"",""1_ACUM!A4:S""),15,FALSE))"),"")</f>
        <v/>
      </c>
      <c r="BB487" s="43" t="str">
        <f ca="1">IFERROR(__xludf.DUMMYFUNCTION("IFERROR(VLOOKUP(E501&amp;F501,IMPORTRANGE(""https://docs.google.com/spreadsheets/d/1Uw7-A9f9R21vMXxHZFNpYNeKFtG8_yji4HS352LGlSQ/edit?pli=1#gid=0"",""1_ACUM!A4:S""),16,FALSE))"),"")</f>
        <v/>
      </c>
      <c r="BC487" s="43" t="str">
        <f ca="1">IFERROR(__xludf.DUMMYFUNCTION("IFERROR(VLOOKUP(E501&amp;F501,IMPORTRANGE(""https://docs.google.com/spreadsheets/d/1Uw7-A9f9R21vMXxHZFNpYNeKFtG8_yji4HS352LGlSQ/edit?pli=1#gid=0"",""1_ACUM!A4:S""),17,FALSE))"),"")</f>
        <v/>
      </c>
      <c r="BD487" s="44" t="str">
        <f ca="1">IFERROR(__xludf.DUMMYFUNCTION("IFERROR(VLOOKUP(E501&amp;F501,IMPORTRANGE(""https://docs.google.com/spreadsheets/d/1Uw7-A9f9R21vMXxHZFNpYNeKFtG8_yji4HS352LGlSQ/edit?pli=1#gid=0"",""1_ACUM!A4:S""),18,FALSE))"),"")</f>
        <v/>
      </c>
      <c r="BE487" s="44" t="str">
        <f ca="1">IFERROR(__xludf.DUMMYFUNCTION("IFERROR(VLOOKUP(E501&amp;F501,IMPORTRANGE(""https://docs.google.com/spreadsheets/d/1Uw7-A9f9R21vMXxHZFNpYNeKFtG8_yji4HS352LGlSQ/edit?pli=1#gid=0"",""1_ACUM!A4:S""),19,FALSE))"),"")</f>
        <v/>
      </c>
      <c r="BF487" s="98" t="str">
        <f ca="1">IFERROR(__xludf.DUMMYFUNCTION("IFERROR(VLOOKUP(F501,IMPORTRANGE(""https://docs.google.com/spreadsheets/d/1Kvs4KS76FHFqLFIZfrDMff4kP08nblUkihrxltoGBjg/edit#gid=934712705"",""ESENCIAL!A6:BG""),5,FALSE))"),"")</f>
        <v/>
      </c>
      <c r="BG487" s="98" t="str">
        <f t="shared" si="17"/>
        <v/>
      </c>
      <c r="BH487" s="99" t="str">
        <f t="shared" si="18"/>
        <v/>
      </c>
      <c r="BI487" s="100" t="str">
        <f ca="1">IFERROR(__xludf.DUMMYFUNCTION("IFERROR(VLOOKUP(F501,IMPORTRANGE(""https://docs.google.com/spreadsheets/d/1Kvs4KS76FHFqLFIZfrDMff4kP08nblUkihrxltoGBjg/edit#gid=934712705"",""ESENCIAL!A6:BG""),2,FALSE))"),"")</f>
        <v/>
      </c>
      <c r="BJ487" s="19" t="str">
        <f t="shared" si="19"/>
        <v/>
      </c>
      <c r="BK487" s="100"/>
      <c r="BL487" s="100"/>
    </row>
    <row r="488" spans="1:64" ht="15">
      <c r="A488" s="5"/>
      <c r="B488" s="5"/>
      <c r="G488" s="5" t="str">
        <f ca="1">IFERROR(__xludf.DUMMYFUNCTION("IFERROR(VLOOKUP(F502,IMPORTRANGE(""https://docs.google.com/spreadsheets/d/1Kvs4KS76FHFqLFIZfrDMff4kP08nblUkihrxltoGBjg/edit#gid=934712705"",""ESENCIAL!A6:BG""),3,FALSE))"),"")</f>
        <v/>
      </c>
      <c r="H488" s="5" t="str">
        <f ca="1">IFERROR(__xludf.DUMMYFUNCTION("IFERROR(VLOOKUP(F502,IMPORTRANGE(""https://docs.google.com/spreadsheets/d/1Kvs4KS76FHFqLFIZfrDMff4kP08nblUkihrxltoGBjg/edit#gid=934712705"",""ESENCIAL!A6:BG""),8,FALSE))"),"")</f>
        <v/>
      </c>
      <c r="L488" s="287"/>
      <c r="U488" s="40"/>
      <c r="AU488" s="41" t="str">
        <f t="shared" si="16"/>
        <v/>
      </c>
      <c r="AV488" s="5" t="str">
        <f ca="1">IFERROR(__xludf.DUMMYFUNCTION("IFERROR(VLOOKUP(E502&amp;F502,IMPORTRANGE(""https://docs.google.com/spreadsheets/d/1Uw7-A9f9R21vMXxHZFNpYNeKFtG8_yji4HS352LGlSQ/edit?pli=1#gid=0"",""1_ACUM!A4:S""),11,FALSE))"),"")</f>
        <v/>
      </c>
      <c r="AW488" s="42" t="str">
        <f ca="1">IFERROR(__xludf.DUMMYFUNCTION("IFERROR(VLOOKUP(F502,IMPORTRANGE(""https://docs.google.com/spreadsheets/d/1Kvs4KS76FHFqLFIZfrDMff4kP08nblUkihrxltoGBjg/edit#gid=934712705"",""ESENCIAL!A6:BG""),15,FALSE))"),"")</f>
        <v/>
      </c>
      <c r="AX488" s="21" t="str">
        <f ca="1">IFERROR(__xludf.DUMMYFUNCTION("IFERROR(VLOOKUP(E502&amp;F502,IMPORTRANGE(""https://docs.google.com/spreadsheets/d/1Uw7-A9f9R21vMXxHZFNpYNeKFtG8_yji4HS352LGlSQ/edit?pli=1#gid=0"",""1_ACUM!A4:S""),12,FALSE))"),"")</f>
        <v/>
      </c>
      <c r="AY488" s="43" t="str">
        <f ca="1">IFERROR(__xludf.DUMMYFUNCTION("IFERROR(VLOOKUP(E502&amp;F502,IMPORTRANGE(""https://docs.google.com/spreadsheets/d/1Uw7-A9f9R21vMXxHZFNpYNeKFtG8_yji4HS352LGlSQ/edit?pli=1#gid=0"",""1_ACUM!A4:S""),13,FALSE))"),"")</f>
        <v/>
      </c>
      <c r="AZ488" s="43" t="str">
        <f ca="1">IFERROR(__xludf.DUMMYFUNCTION("IFERROR(VLOOKUP(E502&amp;F502,IMPORTRANGE(""https://docs.google.com/spreadsheets/d/1Uw7-A9f9R21vMXxHZFNpYNeKFtG8_yji4HS352LGlSQ/edit?pli=1#gid=0"",""1_ACUM!A4:S""),14,FALSE))"),"")</f>
        <v/>
      </c>
      <c r="BA488" s="43" t="str">
        <f ca="1">IFERROR(__xludf.DUMMYFUNCTION("IFERROR(VLOOKUP(E502&amp;F502,IMPORTRANGE(""https://docs.google.com/spreadsheets/d/1Uw7-A9f9R21vMXxHZFNpYNeKFtG8_yji4HS352LGlSQ/edit?pli=1#gid=0"",""1_ACUM!A4:S""),15,FALSE))"),"")</f>
        <v/>
      </c>
      <c r="BB488" s="43" t="str">
        <f ca="1">IFERROR(__xludf.DUMMYFUNCTION("IFERROR(VLOOKUP(E502&amp;F502,IMPORTRANGE(""https://docs.google.com/spreadsheets/d/1Uw7-A9f9R21vMXxHZFNpYNeKFtG8_yji4HS352LGlSQ/edit?pli=1#gid=0"",""1_ACUM!A4:S""),16,FALSE))"),"")</f>
        <v/>
      </c>
      <c r="BC488" s="43" t="str">
        <f ca="1">IFERROR(__xludf.DUMMYFUNCTION("IFERROR(VLOOKUP(E502&amp;F502,IMPORTRANGE(""https://docs.google.com/spreadsheets/d/1Uw7-A9f9R21vMXxHZFNpYNeKFtG8_yji4HS352LGlSQ/edit?pli=1#gid=0"",""1_ACUM!A4:S""),17,FALSE))"),"")</f>
        <v/>
      </c>
      <c r="BD488" s="44" t="str">
        <f ca="1">IFERROR(__xludf.DUMMYFUNCTION("IFERROR(VLOOKUP(E502&amp;F502,IMPORTRANGE(""https://docs.google.com/spreadsheets/d/1Uw7-A9f9R21vMXxHZFNpYNeKFtG8_yji4HS352LGlSQ/edit?pli=1#gid=0"",""1_ACUM!A4:S""),18,FALSE))"),"")</f>
        <v/>
      </c>
      <c r="BE488" s="44" t="str">
        <f ca="1">IFERROR(__xludf.DUMMYFUNCTION("IFERROR(VLOOKUP(E502&amp;F502,IMPORTRANGE(""https://docs.google.com/spreadsheets/d/1Uw7-A9f9R21vMXxHZFNpYNeKFtG8_yji4HS352LGlSQ/edit?pli=1#gid=0"",""1_ACUM!A4:S""),19,FALSE))"),"")</f>
        <v/>
      </c>
      <c r="BF488" s="98" t="str">
        <f ca="1">IFERROR(__xludf.DUMMYFUNCTION("IFERROR(VLOOKUP(F502,IMPORTRANGE(""https://docs.google.com/spreadsheets/d/1Kvs4KS76FHFqLFIZfrDMff4kP08nblUkihrxltoGBjg/edit#gid=934712705"",""ESENCIAL!A6:BG""),5,FALSE))"),"")</f>
        <v/>
      </c>
      <c r="BG488" s="98" t="str">
        <f t="shared" si="17"/>
        <v/>
      </c>
      <c r="BH488" s="99" t="str">
        <f t="shared" si="18"/>
        <v/>
      </c>
      <c r="BI488" s="100" t="str">
        <f ca="1">IFERROR(__xludf.DUMMYFUNCTION("IFERROR(VLOOKUP(F502,IMPORTRANGE(""https://docs.google.com/spreadsheets/d/1Kvs4KS76FHFqLFIZfrDMff4kP08nblUkihrxltoGBjg/edit#gid=934712705"",""ESENCIAL!A6:BG""),2,FALSE))"),"")</f>
        <v/>
      </c>
      <c r="BJ488" s="19" t="str">
        <f t="shared" si="19"/>
        <v/>
      </c>
      <c r="BK488" s="100"/>
      <c r="BL488" s="100"/>
    </row>
    <row r="489" spans="1:64" ht="15">
      <c r="A489" s="5"/>
      <c r="B489" s="5"/>
      <c r="G489" s="5" t="str">
        <f ca="1">IFERROR(__xludf.DUMMYFUNCTION("IFERROR(VLOOKUP(F503,IMPORTRANGE(""https://docs.google.com/spreadsheets/d/1Kvs4KS76FHFqLFIZfrDMff4kP08nblUkihrxltoGBjg/edit#gid=934712705"",""ESENCIAL!A6:BG""),3,FALSE))"),"")</f>
        <v/>
      </c>
      <c r="H489" s="5" t="str">
        <f ca="1">IFERROR(__xludf.DUMMYFUNCTION("IFERROR(VLOOKUP(F503,IMPORTRANGE(""https://docs.google.com/spreadsheets/d/1Kvs4KS76FHFqLFIZfrDMff4kP08nblUkihrxltoGBjg/edit#gid=934712705"",""ESENCIAL!A6:BG""),8,FALSE))"),"")</f>
        <v/>
      </c>
      <c r="L489" s="287"/>
      <c r="U489" s="40"/>
      <c r="AU489" s="41" t="str">
        <f t="shared" si="16"/>
        <v/>
      </c>
      <c r="AV489" s="5" t="str">
        <f ca="1">IFERROR(__xludf.DUMMYFUNCTION("IFERROR(VLOOKUP(E503&amp;F503,IMPORTRANGE(""https://docs.google.com/spreadsheets/d/1Uw7-A9f9R21vMXxHZFNpYNeKFtG8_yji4HS352LGlSQ/edit?pli=1#gid=0"",""1_ACUM!A4:S""),11,FALSE))"),"")</f>
        <v/>
      </c>
      <c r="AW489" s="42" t="str">
        <f ca="1">IFERROR(__xludf.DUMMYFUNCTION("IFERROR(VLOOKUP(F503,IMPORTRANGE(""https://docs.google.com/spreadsheets/d/1Kvs4KS76FHFqLFIZfrDMff4kP08nblUkihrxltoGBjg/edit#gid=934712705"",""ESENCIAL!A6:BG""),15,FALSE))"),"")</f>
        <v/>
      </c>
      <c r="AX489" s="21" t="str">
        <f ca="1">IFERROR(__xludf.DUMMYFUNCTION("IFERROR(VLOOKUP(E503&amp;F503,IMPORTRANGE(""https://docs.google.com/spreadsheets/d/1Uw7-A9f9R21vMXxHZFNpYNeKFtG8_yji4HS352LGlSQ/edit?pli=1#gid=0"",""1_ACUM!A4:S""),12,FALSE))"),"")</f>
        <v/>
      </c>
      <c r="AY489" s="43" t="str">
        <f ca="1">IFERROR(__xludf.DUMMYFUNCTION("IFERROR(VLOOKUP(E503&amp;F503,IMPORTRANGE(""https://docs.google.com/spreadsheets/d/1Uw7-A9f9R21vMXxHZFNpYNeKFtG8_yji4HS352LGlSQ/edit?pli=1#gid=0"",""1_ACUM!A4:S""),13,FALSE))"),"")</f>
        <v/>
      </c>
      <c r="AZ489" s="43" t="str">
        <f ca="1">IFERROR(__xludf.DUMMYFUNCTION("IFERROR(VLOOKUP(E503&amp;F503,IMPORTRANGE(""https://docs.google.com/spreadsheets/d/1Uw7-A9f9R21vMXxHZFNpYNeKFtG8_yji4HS352LGlSQ/edit?pli=1#gid=0"",""1_ACUM!A4:S""),14,FALSE))"),"")</f>
        <v/>
      </c>
      <c r="BA489" s="43" t="str">
        <f ca="1">IFERROR(__xludf.DUMMYFUNCTION("IFERROR(VLOOKUP(E503&amp;F503,IMPORTRANGE(""https://docs.google.com/spreadsheets/d/1Uw7-A9f9R21vMXxHZFNpYNeKFtG8_yji4HS352LGlSQ/edit?pli=1#gid=0"",""1_ACUM!A4:S""),15,FALSE))"),"")</f>
        <v/>
      </c>
      <c r="BB489" s="43" t="str">
        <f ca="1">IFERROR(__xludf.DUMMYFUNCTION("IFERROR(VLOOKUP(E503&amp;F503,IMPORTRANGE(""https://docs.google.com/spreadsheets/d/1Uw7-A9f9R21vMXxHZFNpYNeKFtG8_yji4HS352LGlSQ/edit?pli=1#gid=0"",""1_ACUM!A4:S""),16,FALSE))"),"")</f>
        <v/>
      </c>
      <c r="BC489" s="43" t="str">
        <f ca="1">IFERROR(__xludf.DUMMYFUNCTION("IFERROR(VLOOKUP(E503&amp;F503,IMPORTRANGE(""https://docs.google.com/spreadsheets/d/1Uw7-A9f9R21vMXxHZFNpYNeKFtG8_yji4HS352LGlSQ/edit?pli=1#gid=0"",""1_ACUM!A4:S""),17,FALSE))"),"")</f>
        <v/>
      </c>
      <c r="BD489" s="44" t="str">
        <f ca="1">IFERROR(__xludf.DUMMYFUNCTION("IFERROR(VLOOKUP(E503&amp;F503,IMPORTRANGE(""https://docs.google.com/spreadsheets/d/1Uw7-A9f9R21vMXxHZFNpYNeKFtG8_yji4HS352LGlSQ/edit?pli=1#gid=0"",""1_ACUM!A4:S""),18,FALSE))"),"")</f>
        <v/>
      </c>
      <c r="BE489" s="44" t="str">
        <f ca="1">IFERROR(__xludf.DUMMYFUNCTION("IFERROR(VLOOKUP(E503&amp;F503,IMPORTRANGE(""https://docs.google.com/spreadsheets/d/1Uw7-A9f9R21vMXxHZFNpYNeKFtG8_yji4HS352LGlSQ/edit?pli=1#gid=0"",""1_ACUM!A4:S""),19,FALSE))"),"")</f>
        <v/>
      </c>
      <c r="BF489" s="98" t="str">
        <f ca="1">IFERROR(__xludf.DUMMYFUNCTION("IFERROR(VLOOKUP(F503,IMPORTRANGE(""https://docs.google.com/spreadsheets/d/1Kvs4KS76FHFqLFIZfrDMff4kP08nblUkihrxltoGBjg/edit#gid=934712705"",""ESENCIAL!A6:BG""),5,FALSE))"),"")</f>
        <v/>
      </c>
      <c r="BG489" s="98" t="str">
        <f t="shared" si="17"/>
        <v/>
      </c>
      <c r="BH489" s="99" t="str">
        <f t="shared" si="18"/>
        <v/>
      </c>
      <c r="BI489" s="100" t="str">
        <f ca="1">IFERROR(__xludf.DUMMYFUNCTION("IFERROR(VLOOKUP(F503,IMPORTRANGE(""https://docs.google.com/spreadsheets/d/1Kvs4KS76FHFqLFIZfrDMff4kP08nblUkihrxltoGBjg/edit#gid=934712705"",""ESENCIAL!A6:BG""),2,FALSE))"),"")</f>
        <v/>
      </c>
      <c r="BJ489" s="19" t="str">
        <f t="shared" si="19"/>
        <v/>
      </c>
      <c r="BK489" s="100"/>
      <c r="BL489" s="100"/>
    </row>
    <row r="490" spans="1:64" ht="15">
      <c r="A490" s="5"/>
      <c r="B490" s="5"/>
      <c r="G490" s="5" t="str">
        <f ca="1">IFERROR(__xludf.DUMMYFUNCTION("IFERROR(VLOOKUP(F504,IMPORTRANGE(""https://docs.google.com/spreadsheets/d/1Kvs4KS76FHFqLFIZfrDMff4kP08nblUkihrxltoGBjg/edit#gid=934712705"",""ESENCIAL!A6:BG""),3,FALSE))"),"")</f>
        <v/>
      </c>
      <c r="H490" s="5" t="str">
        <f ca="1">IFERROR(__xludf.DUMMYFUNCTION("IFERROR(VLOOKUP(F504,IMPORTRANGE(""https://docs.google.com/spreadsheets/d/1Kvs4KS76FHFqLFIZfrDMff4kP08nblUkihrxltoGBjg/edit#gid=934712705"",""ESENCIAL!A6:BG""),8,FALSE))"),"")</f>
        <v/>
      </c>
      <c r="L490" s="287"/>
      <c r="U490" s="40"/>
      <c r="AU490" s="41" t="str">
        <f t="shared" si="16"/>
        <v/>
      </c>
      <c r="AV490" s="5" t="str">
        <f ca="1">IFERROR(__xludf.DUMMYFUNCTION("IFERROR(VLOOKUP(E504&amp;F504,IMPORTRANGE(""https://docs.google.com/spreadsheets/d/1Uw7-A9f9R21vMXxHZFNpYNeKFtG8_yji4HS352LGlSQ/edit?pli=1#gid=0"",""1_ACUM!A4:S""),11,FALSE))"),"")</f>
        <v/>
      </c>
      <c r="AW490" s="42" t="str">
        <f ca="1">IFERROR(__xludf.DUMMYFUNCTION("IFERROR(VLOOKUP(F504,IMPORTRANGE(""https://docs.google.com/spreadsheets/d/1Kvs4KS76FHFqLFIZfrDMff4kP08nblUkihrxltoGBjg/edit#gid=934712705"",""ESENCIAL!A6:BG""),15,FALSE))"),"")</f>
        <v/>
      </c>
      <c r="AX490" s="21" t="str">
        <f ca="1">IFERROR(__xludf.DUMMYFUNCTION("IFERROR(VLOOKUP(E504&amp;F504,IMPORTRANGE(""https://docs.google.com/spreadsheets/d/1Uw7-A9f9R21vMXxHZFNpYNeKFtG8_yji4HS352LGlSQ/edit?pli=1#gid=0"",""1_ACUM!A4:S""),12,FALSE))"),"")</f>
        <v/>
      </c>
      <c r="AY490" s="43" t="str">
        <f ca="1">IFERROR(__xludf.DUMMYFUNCTION("IFERROR(VLOOKUP(E504&amp;F504,IMPORTRANGE(""https://docs.google.com/spreadsheets/d/1Uw7-A9f9R21vMXxHZFNpYNeKFtG8_yji4HS352LGlSQ/edit?pli=1#gid=0"",""1_ACUM!A4:S""),13,FALSE))"),"")</f>
        <v/>
      </c>
      <c r="AZ490" s="43" t="str">
        <f ca="1">IFERROR(__xludf.DUMMYFUNCTION("IFERROR(VLOOKUP(E504&amp;F504,IMPORTRANGE(""https://docs.google.com/spreadsheets/d/1Uw7-A9f9R21vMXxHZFNpYNeKFtG8_yji4HS352LGlSQ/edit?pli=1#gid=0"",""1_ACUM!A4:S""),14,FALSE))"),"")</f>
        <v/>
      </c>
      <c r="BA490" s="43" t="str">
        <f ca="1">IFERROR(__xludf.DUMMYFUNCTION("IFERROR(VLOOKUP(E504&amp;F504,IMPORTRANGE(""https://docs.google.com/spreadsheets/d/1Uw7-A9f9R21vMXxHZFNpYNeKFtG8_yji4HS352LGlSQ/edit?pli=1#gid=0"",""1_ACUM!A4:S""),15,FALSE))"),"")</f>
        <v/>
      </c>
      <c r="BB490" s="43" t="str">
        <f ca="1">IFERROR(__xludf.DUMMYFUNCTION("IFERROR(VLOOKUP(E504&amp;F504,IMPORTRANGE(""https://docs.google.com/spreadsheets/d/1Uw7-A9f9R21vMXxHZFNpYNeKFtG8_yji4HS352LGlSQ/edit?pli=1#gid=0"",""1_ACUM!A4:S""),16,FALSE))"),"")</f>
        <v/>
      </c>
      <c r="BC490" s="43" t="str">
        <f ca="1">IFERROR(__xludf.DUMMYFUNCTION("IFERROR(VLOOKUP(E504&amp;F504,IMPORTRANGE(""https://docs.google.com/spreadsheets/d/1Uw7-A9f9R21vMXxHZFNpYNeKFtG8_yji4HS352LGlSQ/edit?pli=1#gid=0"",""1_ACUM!A4:S""),17,FALSE))"),"")</f>
        <v/>
      </c>
      <c r="BD490" s="44" t="str">
        <f ca="1">IFERROR(__xludf.DUMMYFUNCTION("IFERROR(VLOOKUP(E504&amp;F504,IMPORTRANGE(""https://docs.google.com/spreadsheets/d/1Uw7-A9f9R21vMXxHZFNpYNeKFtG8_yji4HS352LGlSQ/edit?pli=1#gid=0"",""1_ACUM!A4:S""),18,FALSE))"),"")</f>
        <v/>
      </c>
      <c r="BE490" s="44" t="str">
        <f ca="1">IFERROR(__xludf.DUMMYFUNCTION("IFERROR(VLOOKUP(E504&amp;F504,IMPORTRANGE(""https://docs.google.com/spreadsheets/d/1Uw7-A9f9R21vMXxHZFNpYNeKFtG8_yji4HS352LGlSQ/edit?pli=1#gid=0"",""1_ACUM!A4:S""),19,FALSE))"),"")</f>
        <v/>
      </c>
      <c r="BF490" s="98" t="str">
        <f ca="1">IFERROR(__xludf.DUMMYFUNCTION("IFERROR(VLOOKUP(F504,IMPORTRANGE(""https://docs.google.com/spreadsheets/d/1Kvs4KS76FHFqLFIZfrDMff4kP08nblUkihrxltoGBjg/edit#gid=934712705"",""ESENCIAL!A6:BG""),5,FALSE))"),"")</f>
        <v/>
      </c>
      <c r="BG490" s="98" t="str">
        <f t="shared" si="17"/>
        <v/>
      </c>
      <c r="BH490" s="99" t="str">
        <f t="shared" si="18"/>
        <v/>
      </c>
      <c r="BI490" s="100" t="str">
        <f ca="1">IFERROR(__xludf.DUMMYFUNCTION("IFERROR(VLOOKUP(F504,IMPORTRANGE(""https://docs.google.com/spreadsheets/d/1Kvs4KS76FHFqLFIZfrDMff4kP08nblUkihrxltoGBjg/edit#gid=934712705"",""ESENCIAL!A6:BG""),2,FALSE))"),"")</f>
        <v/>
      </c>
      <c r="BJ490" s="19" t="str">
        <f t="shared" si="19"/>
        <v/>
      </c>
      <c r="BK490" s="100"/>
      <c r="BL490" s="100"/>
    </row>
    <row r="491" spans="1:64" ht="15">
      <c r="A491" s="5"/>
      <c r="B491" s="5"/>
      <c r="G491" s="5" t="str">
        <f ca="1">IFERROR(__xludf.DUMMYFUNCTION("IFERROR(VLOOKUP(F505,IMPORTRANGE(""https://docs.google.com/spreadsheets/d/1Kvs4KS76FHFqLFIZfrDMff4kP08nblUkihrxltoGBjg/edit#gid=934712705"",""ESENCIAL!A6:BG""),3,FALSE))"),"")</f>
        <v/>
      </c>
      <c r="H491" s="5" t="str">
        <f ca="1">IFERROR(__xludf.DUMMYFUNCTION("IFERROR(VLOOKUP(F505,IMPORTRANGE(""https://docs.google.com/spreadsheets/d/1Kvs4KS76FHFqLFIZfrDMff4kP08nblUkihrxltoGBjg/edit#gid=934712705"",""ESENCIAL!A6:BG""),8,FALSE))"),"")</f>
        <v/>
      </c>
      <c r="L491" s="287"/>
      <c r="U491" s="40"/>
      <c r="AU491" s="41" t="str">
        <f t="shared" si="16"/>
        <v/>
      </c>
      <c r="AV491" s="5" t="str">
        <f ca="1">IFERROR(__xludf.DUMMYFUNCTION("IFERROR(VLOOKUP(E505&amp;F505,IMPORTRANGE(""https://docs.google.com/spreadsheets/d/1Uw7-A9f9R21vMXxHZFNpYNeKFtG8_yji4HS352LGlSQ/edit?pli=1#gid=0"",""1_ACUM!A4:S""),11,FALSE))"),"")</f>
        <v/>
      </c>
      <c r="AW491" s="42" t="str">
        <f ca="1">IFERROR(__xludf.DUMMYFUNCTION("IFERROR(VLOOKUP(F505,IMPORTRANGE(""https://docs.google.com/spreadsheets/d/1Kvs4KS76FHFqLFIZfrDMff4kP08nblUkihrxltoGBjg/edit#gid=934712705"",""ESENCIAL!A6:BG""),15,FALSE))"),"")</f>
        <v/>
      </c>
      <c r="AX491" s="21" t="str">
        <f ca="1">IFERROR(__xludf.DUMMYFUNCTION("IFERROR(VLOOKUP(E505&amp;F505,IMPORTRANGE(""https://docs.google.com/spreadsheets/d/1Uw7-A9f9R21vMXxHZFNpYNeKFtG8_yji4HS352LGlSQ/edit?pli=1#gid=0"",""1_ACUM!A4:S""),12,FALSE))"),"")</f>
        <v/>
      </c>
      <c r="AY491" s="43" t="str">
        <f ca="1">IFERROR(__xludf.DUMMYFUNCTION("IFERROR(VLOOKUP(E505&amp;F505,IMPORTRANGE(""https://docs.google.com/spreadsheets/d/1Uw7-A9f9R21vMXxHZFNpYNeKFtG8_yji4HS352LGlSQ/edit?pli=1#gid=0"",""1_ACUM!A4:S""),13,FALSE))"),"")</f>
        <v/>
      </c>
      <c r="AZ491" s="43" t="str">
        <f ca="1">IFERROR(__xludf.DUMMYFUNCTION("IFERROR(VLOOKUP(E505&amp;F505,IMPORTRANGE(""https://docs.google.com/spreadsheets/d/1Uw7-A9f9R21vMXxHZFNpYNeKFtG8_yji4HS352LGlSQ/edit?pli=1#gid=0"",""1_ACUM!A4:S""),14,FALSE))"),"")</f>
        <v/>
      </c>
      <c r="BA491" s="43" t="str">
        <f ca="1">IFERROR(__xludf.DUMMYFUNCTION("IFERROR(VLOOKUP(E505&amp;F505,IMPORTRANGE(""https://docs.google.com/spreadsheets/d/1Uw7-A9f9R21vMXxHZFNpYNeKFtG8_yji4HS352LGlSQ/edit?pli=1#gid=0"",""1_ACUM!A4:S""),15,FALSE))"),"")</f>
        <v/>
      </c>
      <c r="BB491" s="43" t="str">
        <f ca="1">IFERROR(__xludf.DUMMYFUNCTION("IFERROR(VLOOKUP(E505&amp;F505,IMPORTRANGE(""https://docs.google.com/spreadsheets/d/1Uw7-A9f9R21vMXxHZFNpYNeKFtG8_yji4HS352LGlSQ/edit?pli=1#gid=0"",""1_ACUM!A4:S""),16,FALSE))"),"")</f>
        <v/>
      </c>
      <c r="BC491" s="43" t="str">
        <f ca="1">IFERROR(__xludf.DUMMYFUNCTION("IFERROR(VLOOKUP(E505&amp;F505,IMPORTRANGE(""https://docs.google.com/spreadsheets/d/1Uw7-A9f9R21vMXxHZFNpYNeKFtG8_yji4HS352LGlSQ/edit?pli=1#gid=0"",""1_ACUM!A4:S""),17,FALSE))"),"")</f>
        <v/>
      </c>
      <c r="BD491" s="44" t="str">
        <f ca="1">IFERROR(__xludf.DUMMYFUNCTION("IFERROR(VLOOKUP(E505&amp;F505,IMPORTRANGE(""https://docs.google.com/spreadsheets/d/1Uw7-A9f9R21vMXxHZFNpYNeKFtG8_yji4HS352LGlSQ/edit?pli=1#gid=0"",""1_ACUM!A4:S""),18,FALSE))"),"")</f>
        <v/>
      </c>
      <c r="BE491" s="44" t="str">
        <f ca="1">IFERROR(__xludf.DUMMYFUNCTION("IFERROR(VLOOKUP(E505&amp;F505,IMPORTRANGE(""https://docs.google.com/spreadsheets/d/1Uw7-A9f9R21vMXxHZFNpYNeKFtG8_yji4HS352LGlSQ/edit?pli=1#gid=0"",""1_ACUM!A4:S""),19,FALSE))"),"")</f>
        <v/>
      </c>
      <c r="BF491" s="98" t="str">
        <f ca="1">IFERROR(__xludf.DUMMYFUNCTION("IFERROR(VLOOKUP(F505,IMPORTRANGE(""https://docs.google.com/spreadsheets/d/1Kvs4KS76FHFqLFIZfrDMff4kP08nblUkihrxltoGBjg/edit#gid=934712705"",""ESENCIAL!A6:BG""),5,FALSE))"),"")</f>
        <v/>
      </c>
      <c r="BG491" s="98" t="str">
        <f t="shared" si="17"/>
        <v/>
      </c>
      <c r="BH491" s="99" t="str">
        <f t="shared" si="18"/>
        <v/>
      </c>
      <c r="BI491" s="100" t="str">
        <f ca="1">IFERROR(__xludf.DUMMYFUNCTION("IFERROR(VLOOKUP(F505,IMPORTRANGE(""https://docs.google.com/spreadsheets/d/1Kvs4KS76FHFqLFIZfrDMff4kP08nblUkihrxltoGBjg/edit#gid=934712705"",""ESENCIAL!A6:BG""),2,FALSE))"),"")</f>
        <v/>
      </c>
      <c r="BJ491" s="19" t="str">
        <f t="shared" si="19"/>
        <v/>
      </c>
      <c r="BK491" s="100"/>
      <c r="BL491" s="100"/>
    </row>
    <row r="492" spans="1:64" ht="15">
      <c r="A492" s="5"/>
      <c r="B492" s="5"/>
      <c r="G492" s="5" t="str">
        <f ca="1">IFERROR(__xludf.DUMMYFUNCTION("IFERROR(VLOOKUP(F506,IMPORTRANGE(""https://docs.google.com/spreadsheets/d/1Kvs4KS76FHFqLFIZfrDMff4kP08nblUkihrxltoGBjg/edit#gid=934712705"",""ESENCIAL!A6:BG""),3,FALSE))"),"")</f>
        <v/>
      </c>
      <c r="H492" s="5" t="str">
        <f ca="1">IFERROR(__xludf.DUMMYFUNCTION("IFERROR(VLOOKUP(F506,IMPORTRANGE(""https://docs.google.com/spreadsheets/d/1Kvs4KS76FHFqLFIZfrDMff4kP08nblUkihrxltoGBjg/edit#gid=934712705"",""ESENCIAL!A6:BG""),8,FALSE))"),"")</f>
        <v/>
      </c>
      <c r="L492" s="287"/>
      <c r="U492" s="40"/>
      <c r="AU492" s="41" t="str">
        <f t="shared" si="16"/>
        <v/>
      </c>
      <c r="AV492" s="5" t="str">
        <f ca="1">IFERROR(__xludf.DUMMYFUNCTION("IFERROR(VLOOKUP(E506&amp;F506,IMPORTRANGE(""https://docs.google.com/spreadsheets/d/1Uw7-A9f9R21vMXxHZFNpYNeKFtG8_yji4HS352LGlSQ/edit?pli=1#gid=0"",""1_ACUM!A4:S""),11,FALSE))"),"")</f>
        <v/>
      </c>
      <c r="AW492" s="42" t="str">
        <f ca="1">IFERROR(__xludf.DUMMYFUNCTION("IFERROR(VLOOKUP(F506,IMPORTRANGE(""https://docs.google.com/spreadsheets/d/1Kvs4KS76FHFqLFIZfrDMff4kP08nblUkihrxltoGBjg/edit#gid=934712705"",""ESENCIAL!A6:BG""),15,FALSE))"),"")</f>
        <v/>
      </c>
      <c r="AX492" s="21" t="str">
        <f ca="1">IFERROR(__xludf.DUMMYFUNCTION("IFERROR(VLOOKUP(E506&amp;F506,IMPORTRANGE(""https://docs.google.com/spreadsheets/d/1Uw7-A9f9R21vMXxHZFNpYNeKFtG8_yji4HS352LGlSQ/edit?pli=1#gid=0"",""1_ACUM!A4:S""),12,FALSE))"),"")</f>
        <v/>
      </c>
      <c r="AY492" s="43" t="str">
        <f ca="1">IFERROR(__xludf.DUMMYFUNCTION("IFERROR(VLOOKUP(E506&amp;F506,IMPORTRANGE(""https://docs.google.com/spreadsheets/d/1Uw7-A9f9R21vMXxHZFNpYNeKFtG8_yji4HS352LGlSQ/edit?pli=1#gid=0"",""1_ACUM!A4:S""),13,FALSE))"),"")</f>
        <v/>
      </c>
      <c r="AZ492" s="43" t="str">
        <f ca="1">IFERROR(__xludf.DUMMYFUNCTION("IFERROR(VLOOKUP(E506&amp;F506,IMPORTRANGE(""https://docs.google.com/spreadsheets/d/1Uw7-A9f9R21vMXxHZFNpYNeKFtG8_yji4HS352LGlSQ/edit?pli=1#gid=0"",""1_ACUM!A4:S""),14,FALSE))"),"")</f>
        <v/>
      </c>
      <c r="BA492" s="43" t="str">
        <f ca="1">IFERROR(__xludf.DUMMYFUNCTION("IFERROR(VLOOKUP(E506&amp;F506,IMPORTRANGE(""https://docs.google.com/spreadsheets/d/1Uw7-A9f9R21vMXxHZFNpYNeKFtG8_yji4HS352LGlSQ/edit?pli=1#gid=0"",""1_ACUM!A4:S""),15,FALSE))"),"")</f>
        <v/>
      </c>
      <c r="BB492" s="43" t="str">
        <f ca="1">IFERROR(__xludf.DUMMYFUNCTION("IFERROR(VLOOKUP(E506&amp;F506,IMPORTRANGE(""https://docs.google.com/spreadsheets/d/1Uw7-A9f9R21vMXxHZFNpYNeKFtG8_yji4HS352LGlSQ/edit?pli=1#gid=0"",""1_ACUM!A4:S""),16,FALSE))"),"")</f>
        <v/>
      </c>
      <c r="BC492" s="43" t="str">
        <f ca="1">IFERROR(__xludf.DUMMYFUNCTION("IFERROR(VLOOKUP(E506&amp;F506,IMPORTRANGE(""https://docs.google.com/spreadsheets/d/1Uw7-A9f9R21vMXxHZFNpYNeKFtG8_yji4HS352LGlSQ/edit?pli=1#gid=0"",""1_ACUM!A4:S""),17,FALSE))"),"")</f>
        <v/>
      </c>
      <c r="BD492" s="44" t="str">
        <f ca="1">IFERROR(__xludf.DUMMYFUNCTION("IFERROR(VLOOKUP(E506&amp;F506,IMPORTRANGE(""https://docs.google.com/spreadsheets/d/1Uw7-A9f9R21vMXxHZFNpYNeKFtG8_yji4HS352LGlSQ/edit?pli=1#gid=0"",""1_ACUM!A4:S""),18,FALSE))"),"")</f>
        <v/>
      </c>
      <c r="BE492" s="44" t="str">
        <f ca="1">IFERROR(__xludf.DUMMYFUNCTION("IFERROR(VLOOKUP(E506&amp;F506,IMPORTRANGE(""https://docs.google.com/spreadsheets/d/1Uw7-A9f9R21vMXxHZFNpYNeKFtG8_yji4HS352LGlSQ/edit?pli=1#gid=0"",""1_ACUM!A4:S""),19,FALSE))"),"")</f>
        <v/>
      </c>
      <c r="BF492" s="98" t="str">
        <f ca="1">IFERROR(__xludf.DUMMYFUNCTION("IFERROR(VLOOKUP(F506,IMPORTRANGE(""https://docs.google.com/spreadsheets/d/1Kvs4KS76FHFqLFIZfrDMff4kP08nblUkihrxltoGBjg/edit#gid=934712705"",""ESENCIAL!A6:BG""),5,FALSE))"),"")</f>
        <v/>
      </c>
      <c r="BG492" s="98" t="str">
        <f t="shared" si="17"/>
        <v/>
      </c>
      <c r="BH492" s="99" t="str">
        <f t="shared" si="18"/>
        <v/>
      </c>
      <c r="BI492" s="100" t="str">
        <f ca="1">IFERROR(__xludf.DUMMYFUNCTION("IFERROR(VLOOKUP(F506,IMPORTRANGE(""https://docs.google.com/spreadsheets/d/1Kvs4KS76FHFqLFIZfrDMff4kP08nblUkihrxltoGBjg/edit#gid=934712705"",""ESENCIAL!A6:BG""),2,FALSE))"),"")</f>
        <v/>
      </c>
      <c r="BJ492" s="19" t="str">
        <f t="shared" si="19"/>
        <v/>
      </c>
      <c r="BK492" s="100"/>
      <c r="BL492" s="100"/>
    </row>
    <row r="493" spans="1:64" ht="15">
      <c r="A493" s="5"/>
      <c r="B493" s="5"/>
      <c r="G493" s="5" t="str">
        <f ca="1">IFERROR(__xludf.DUMMYFUNCTION("IFERROR(VLOOKUP(F507,IMPORTRANGE(""https://docs.google.com/spreadsheets/d/1Kvs4KS76FHFqLFIZfrDMff4kP08nblUkihrxltoGBjg/edit#gid=934712705"",""ESENCIAL!A6:BG""),3,FALSE))"),"")</f>
        <v/>
      </c>
      <c r="H493" s="5" t="str">
        <f ca="1">IFERROR(__xludf.DUMMYFUNCTION("IFERROR(VLOOKUP(F507,IMPORTRANGE(""https://docs.google.com/spreadsheets/d/1Kvs4KS76FHFqLFIZfrDMff4kP08nblUkihrxltoGBjg/edit#gid=934712705"",""ESENCIAL!A6:BG""),8,FALSE))"),"")</f>
        <v/>
      </c>
      <c r="L493" s="287"/>
      <c r="U493" s="40"/>
      <c r="AU493" s="41" t="str">
        <f t="shared" si="16"/>
        <v/>
      </c>
      <c r="AV493" s="5" t="str">
        <f ca="1">IFERROR(__xludf.DUMMYFUNCTION("IFERROR(VLOOKUP(E507&amp;F507,IMPORTRANGE(""https://docs.google.com/spreadsheets/d/1Uw7-A9f9R21vMXxHZFNpYNeKFtG8_yji4HS352LGlSQ/edit?pli=1#gid=0"",""1_ACUM!A4:S""),11,FALSE))"),"")</f>
        <v/>
      </c>
      <c r="AW493" s="42" t="str">
        <f ca="1">IFERROR(__xludf.DUMMYFUNCTION("IFERROR(VLOOKUP(F507,IMPORTRANGE(""https://docs.google.com/spreadsheets/d/1Kvs4KS76FHFqLFIZfrDMff4kP08nblUkihrxltoGBjg/edit#gid=934712705"",""ESENCIAL!A6:BG""),15,FALSE))"),"")</f>
        <v/>
      </c>
      <c r="AX493" s="21" t="str">
        <f ca="1">IFERROR(__xludf.DUMMYFUNCTION("IFERROR(VLOOKUP(E507&amp;F507,IMPORTRANGE(""https://docs.google.com/spreadsheets/d/1Uw7-A9f9R21vMXxHZFNpYNeKFtG8_yji4HS352LGlSQ/edit?pli=1#gid=0"",""1_ACUM!A4:S""),12,FALSE))"),"")</f>
        <v/>
      </c>
      <c r="AY493" s="43" t="str">
        <f ca="1">IFERROR(__xludf.DUMMYFUNCTION("IFERROR(VLOOKUP(E507&amp;F507,IMPORTRANGE(""https://docs.google.com/spreadsheets/d/1Uw7-A9f9R21vMXxHZFNpYNeKFtG8_yji4HS352LGlSQ/edit?pli=1#gid=0"",""1_ACUM!A4:S""),13,FALSE))"),"")</f>
        <v/>
      </c>
      <c r="AZ493" s="43" t="str">
        <f ca="1">IFERROR(__xludf.DUMMYFUNCTION("IFERROR(VLOOKUP(E507&amp;F507,IMPORTRANGE(""https://docs.google.com/spreadsheets/d/1Uw7-A9f9R21vMXxHZFNpYNeKFtG8_yji4HS352LGlSQ/edit?pli=1#gid=0"",""1_ACUM!A4:S""),14,FALSE))"),"")</f>
        <v/>
      </c>
      <c r="BA493" s="43" t="str">
        <f ca="1">IFERROR(__xludf.DUMMYFUNCTION("IFERROR(VLOOKUP(E507&amp;F507,IMPORTRANGE(""https://docs.google.com/spreadsheets/d/1Uw7-A9f9R21vMXxHZFNpYNeKFtG8_yji4HS352LGlSQ/edit?pli=1#gid=0"",""1_ACUM!A4:S""),15,FALSE))"),"")</f>
        <v/>
      </c>
      <c r="BB493" s="43" t="str">
        <f ca="1">IFERROR(__xludf.DUMMYFUNCTION("IFERROR(VLOOKUP(E507&amp;F507,IMPORTRANGE(""https://docs.google.com/spreadsheets/d/1Uw7-A9f9R21vMXxHZFNpYNeKFtG8_yji4HS352LGlSQ/edit?pli=1#gid=0"",""1_ACUM!A4:S""),16,FALSE))"),"")</f>
        <v/>
      </c>
      <c r="BC493" s="43" t="str">
        <f ca="1">IFERROR(__xludf.DUMMYFUNCTION("IFERROR(VLOOKUP(E507&amp;F507,IMPORTRANGE(""https://docs.google.com/spreadsheets/d/1Uw7-A9f9R21vMXxHZFNpYNeKFtG8_yji4HS352LGlSQ/edit?pli=1#gid=0"",""1_ACUM!A4:S""),17,FALSE))"),"")</f>
        <v/>
      </c>
      <c r="BD493" s="44" t="str">
        <f ca="1">IFERROR(__xludf.DUMMYFUNCTION("IFERROR(VLOOKUP(E507&amp;F507,IMPORTRANGE(""https://docs.google.com/spreadsheets/d/1Uw7-A9f9R21vMXxHZFNpYNeKFtG8_yji4HS352LGlSQ/edit?pli=1#gid=0"",""1_ACUM!A4:S""),18,FALSE))"),"")</f>
        <v/>
      </c>
      <c r="BE493" s="44" t="str">
        <f ca="1">IFERROR(__xludf.DUMMYFUNCTION("IFERROR(VLOOKUP(E507&amp;F507,IMPORTRANGE(""https://docs.google.com/spreadsheets/d/1Uw7-A9f9R21vMXxHZFNpYNeKFtG8_yji4HS352LGlSQ/edit?pli=1#gid=0"",""1_ACUM!A4:S""),19,FALSE))"),"")</f>
        <v/>
      </c>
      <c r="BF493" s="98" t="str">
        <f ca="1">IFERROR(__xludf.DUMMYFUNCTION("IFERROR(VLOOKUP(F507,IMPORTRANGE(""https://docs.google.com/spreadsheets/d/1Kvs4KS76FHFqLFIZfrDMff4kP08nblUkihrxltoGBjg/edit#gid=934712705"",""ESENCIAL!A6:BG""),5,FALSE))"),"")</f>
        <v/>
      </c>
      <c r="BG493" s="98" t="str">
        <f t="shared" si="17"/>
        <v/>
      </c>
      <c r="BH493" s="99" t="str">
        <f t="shared" si="18"/>
        <v/>
      </c>
      <c r="BI493" s="100" t="str">
        <f ca="1">IFERROR(__xludf.DUMMYFUNCTION("IFERROR(VLOOKUP(F507,IMPORTRANGE(""https://docs.google.com/spreadsheets/d/1Kvs4KS76FHFqLFIZfrDMff4kP08nblUkihrxltoGBjg/edit#gid=934712705"",""ESENCIAL!A6:BG""),2,FALSE))"),"")</f>
        <v/>
      </c>
      <c r="BJ493" s="19" t="str">
        <f t="shared" si="19"/>
        <v/>
      </c>
      <c r="BK493" s="100"/>
      <c r="BL493" s="100"/>
    </row>
    <row r="494" spans="1:64" ht="15">
      <c r="A494" s="5"/>
      <c r="B494" s="5"/>
      <c r="G494" s="5" t="str">
        <f ca="1">IFERROR(__xludf.DUMMYFUNCTION("IFERROR(VLOOKUP(F508,IMPORTRANGE(""https://docs.google.com/spreadsheets/d/1Kvs4KS76FHFqLFIZfrDMff4kP08nblUkihrxltoGBjg/edit#gid=934712705"",""ESENCIAL!A6:BG""),3,FALSE))"),"")</f>
        <v/>
      </c>
      <c r="H494" s="5" t="str">
        <f ca="1">IFERROR(__xludf.DUMMYFUNCTION("IFERROR(VLOOKUP(F508,IMPORTRANGE(""https://docs.google.com/spreadsheets/d/1Kvs4KS76FHFqLFIZfrDMff4kP08nblUkihrxltoGBjg/edit#gid=934712705"",""ESENCIAL!A6:BG""),8,FALSE))"),"")</f>
        <v/>
      </c>
      <c r="L494" s="287"/>
      <c r="U494" s="40"/>
      <c r="AU494" s="41" t="str">
        <f t="shared" si="16"/>
        <v/>
      </c>
      <c r="AV494" s="5" t="str">
        <f ca="1">IFERROR(__xludf.DUMMYFUNCTION("IFERROR(VLOOKUP(E508&amp;F508,IMPORTRANGE(""https://docs.google.com/spreadsheets/d/1Uw7-A9f9R21vMXxHZFNpYNeKFtG8_yji4HS352LGlSQ/edit?pli=1#gid=0"",""1_ACUM!A4:S""),11,FALSE))"),"")</f>
        <v/>
      </c>
      <c r="AW494" s="42" t="str">
        <f ca="1">IFERROR(__xludf.DUMMYFUNCTION("IFERROR(VLOOKUP(F508,IMPORTRANGE(""https://docs.google.com/spreadsheets/d/1Kvs4KS76FHFqLFIZfrDMff4kP08nblUkihrxltoGBjg/edit#gid=934712705"",""ESENCIAL!A6:BG""),15,FALSE))"),"")</f>
        <v/>
      </c>
      <c r="AX494" s="21" t="str">
        <f ca="1">IFERROR(__xludf.DUMMYFUNCTION("IFERROR(VLOOKUP(E508&amp;F508,IMPORTRANGE(""https://docs.google.com/spreadsheets/d/1Uw7-A9f9R21vMXxHZFNpYNeKFtG8_yji4HS352LGlSQ/edit?pli=1#gid=0"",""1_ACUM!A4:S""),12,FALSE))"),"")</f>
        <v/>
      </c>
      <c r="AY494" s="43" t="str">
        <f ca="1">IFERROR(__xludf.DUMMYFUNCTION("IFERROR(VLOOKUP(E508&amp;F508,IMPORTRANGE(""https://docs.google.com/spreadsheets/d/1Uw7-A9f9R21vMXxHZFNpYNeKFtG8_yji4HS352LGlSQ/edit?pli=1#gid=0"",""1_ACUM!A4:S""),13,FALSE))"),"")</f>
        <v/>
      </c>
      <c r="AZ494" s="43" t="str">
        <f ca="1">IFERROR(__xludf.DUMMYFUNCTION("IFERROR(VLOOKUP(E508&amp;F508,IMPORTRANGE(""https://docs.google.com/spreadsheets/d/1Uw7-A9f9R21vMXxHZFNpYNeKFtG8_yji4HS352LGlSQ/edit?pli=1#gid=0"",""1_ACUM!A4:S""),14,FALSE))"),"")</f>
        <v/>
      </c>
      <c r="BA494" s="43" t="str">
        <f ca="1">IFERROR(__xludf.DUMMYFUNCTION("IFERROR(VLOOKUP(E508&amp;F508,IMPORTRANGE(""https://docs.google.com/spreadsheets/d/1Uw7-A9f9R21vMXxHZFNpYNeKFtG8_yji4HS352LGlSQ/edit?pli=1#gid=0"",""1_ACUM!A4:S""),15,FALSE))"),"")</f>
        <v/>
      </c>
      <c r="BB494" s="43" t="str">
        <f ca="1">IFERROR(__xludf.DUMMYFUNCTION("IFERROR(VLOOKUP(E508&amp;F508,IMPORTRANGE(""https://docs.google.com/spreadsheets/d/1Uw7-A9f9R21vMXxHZFNpYNeKFtG8_yji4HS352LGlSQ/edit?pli=1#gid=0"",""1_ACUM!A4:S""),16,FALSE))"),"")</f>
        <v/>
      </c>
      <c r="BC494" s="43" t="str">
        <f ca="1">IFERROR(__xludf.DUMMYFUNCTION("IFERROR(VLOOKUP(E508&amp;F508,IMPORTRANGE(""https://docs.google.com/spreadsheets/d/1Uw7-A9f9R21vMXxHZFNpYNeKFtG8_yji4HS352LGlSQ/edit?pli=1#gid=0"",""1_ACUM!A4:S""),17,FALSE))"),"")</f>
        <v/>
      </c>
      <c r="BD494" s="44" t="str">
        <f ca="1">IFERROR(__xludf.DUMMYFUNCTION("IFERROR(VLOOKUP(E508&amp;F508,IMPORTRANGE(""https://docs.google.com/spreadsheets/d/1Uw7-A9f9R21vMXxHZFNpYNeKFtG8_yji4HS352LGlSQ/edit?pli=1#gid=0"",""1_ACUM!A4:S""),18,FALSE))"),"")</f>
        <v/>
      </c>
      <c r="BE494" s="44" t="str">
        <f ca="1">IFERROR(__xludf.DUMMYFUNCTION("IFERROR(VLOOKUP(E508&amp;F508,IMPORTRANGE(""https://docs.google.com/spreadsheets/d/1Uw7-A9f9R21vMXxHZFNpYNeKFtG8_yji4HS352LGlSQ/edit?pli=1#gid=0"",""1_ACUM!A4:S""),19,FALSE))"),"")</f>
        <v/>
      </c>
      <c r="BF494" s="98" t="str">
        <f ca="1">IFERROR(__xludf.DUMMYFUNCTION("IFERROR(VLOOKUP(F508,IMPORTRANGE(""https://docs.google.com/spreadsheets/d/1Kvs4KS76FHFqLFIZfrDMff4kP08nblUkihrxltoGBjg/edit#gid=934712705"",""ESENCIAL!A6:BG""),5,FALSE))"),"")</f>
        <v/>
      </c>
      <c r="BG494" s="98" t="str">
        <f t="shared" si="17"/>
        <v/>
      </c>
      <c r="BH494" s="99" t="str">
        <f t="shared" si="18"/>
        <v/>
      </c>
      <c r="BI494" s="100" t="str">
        <f ca="1">IFERROR(__xludf.DUMMYFUNCTION("IFERROR(VLOOKUP(F508,IMPORTRANGE(""https://docs.google.com/spreadsheets/d/1Kvs4KS76FHFqLFIZfrDMff4kP08nblUkihrxltoGBjg/edit#gid=934712705"",""ESENCIAL!A6:BG""),2,FALSE))"),"")</f>
        <v/>
      </c>
      <c r="BJ494" s="19" t="str">
        <f t="shared" si="19"/>
        <v/>
      </c>
      <c r="BK494" s="100"/>
      <c r="BL494" s="100"/>
    </row>
    <row r="495" spans="1:64" ht="15">
      <c r="A495" s="5"/>
      <c r="B495" s="5"/>
      <c r="G495" s="5" t="str">
        <f ca="1">IFERROR(__xludf.DUMMYFUNCTION("IFERROR(VLOOKUP(F509,IMPORTRANGE(""https://docs.google.com/spreadsheets/d/1Kvs4KS76FHFqLFIZfrDMff4kP08nblUkihrxltoGBjg/edit#gid=934712705"",""ESENCIAL!A6:BG""),3,FALSE))"),"")</f>
        <v/>
      </c>
      <c r="H495" s="5" t="str">
        <f ca="1">IFERROR(__xludf.DUMMYFUNCTION("IFERROR(VLOOKUP(F509,IMPORTRANGE(""https://docs.google.com/spreadsheets/d/1Kvs4KS76FHFqLFIZfrDMff4kP08nblUkihrxltoGBjg/edit#gid=934712705"",""ESENCIAL!A6:BG""),8,FALSE))"),"")</f>
        <v/>
      </c>
      <c r="L495" s="287"/>
      <c r="U495" s="40"/>
      <c r="AU495" s="41" t="str">
        <f t="shared" si="16"/>
        <v/>
      </c>
      <c r="AV495" s="5" t="str">
        <f ca="1">IFERROR(__xludf.DUMMYFUNCTION("IFERROR(VLOOKUP(E509&amp;F509,IMPORTRANGE(""https://docs.google.com/spreadsheets/d/1Uw7-A9f9R21vMXxHZFNpYNeKFtG8_yji4HS352LGlSQ/edit?pli=1#gid=0"",""1_ACUM!A4:S""),11,FALSE))"),"")</f>
        <v/>
      </c>
      <c r="AW495" s="42" t="str">
        <f ca="1">IFERROR(__xludf.DUMMYFUNCTION("IFERROR(VLOOKUP(F509,IMPORTRANGE(""https://docs.google.com/spreadsheets/d/1Kvs4KS76FHFqLFIZfrDMff4kP08nblUkihrxltoGBjg/edit#gid=934712705"",""ESENCIAL!A6:BG""),15,FALSE))"),"")</f>
        <v/>
      </c>
      <c r="AX495" s="21" t="str">
        <f ca="1">IFERROR(__xludf.DUMMYFUNCTION("IFERROR(VLOOKUP(E509&amp;F509,IMPORTRANGE(""https://docs.google.com/spreadsheets/d/1Uw7-A9f9R21vMXxHZFNpYNeKFtG8_yji4HS352LGlSQ/edit?pli=1#gid=0"",""1_ACUM!A4:S""),12,FALSE))"),"")</f>
        <v/>
      </c>
      <c r="AY495" s="43" t="str">
        <f ca="1">IFERROR(__xludf.DUMMYFUNCTION("IFERROR(VLOOKUP(E509&amp;F509,IMPORTRANGE(""https://docs.google.com/spreadsheets/d/1Uw7-A9f9R21vMXxHZFNpYNeKFtG8_yji4HS352LGlSQ/edit?pli=1#gid=0"",""1_ACUM!A4:S""),13,FALSE))"),"")</f>
        <v/>
      </c>
      <c r="AZ495" s="43" t="str">
        <f ca="1">IFERROR(__xludf.DUMMYFUNCTION("IFERROR(VLOOKUP(E509&amp;F509,IMPORTRANGE(""https://docs.google.com/spreadsheets/d/1Uw7-A9f9R21vMXxHZFNpYNeKFtG8_yji4HS352LGlSQ/edit?pli=1#gid=0"",""1_ACUM!A4:S""),14,FALSE))"),"")</f>
        <v/>
      </c>
      <c r="BA495" s="43" t="str">
        <f ca="1">IFERROR(__xludf.DUMMYFUNCTION("IFERROR(VLOOKUP(E509&amp;F509,IMPORTRANGE(""https://docs.google.com/spreadsheets/d/1Uw7-A9f9R21vMXxHZFNpYNeKFtG8_yji4HS352LGlSQ/edit?pli=1#gid=0"",""1_ACUM!A4:S""),15,FALSE))"),"")</f>
        <v/>
      </c>
      <c r="BB495" s="43" t="str">
        <f ca="1">IFERROR(__xludf.DUMMYFUNCTION("IFERROR(VLOOKUP(E509&amp;F509,IMPORTRANGE(""https://docs.google.com/spreadsheets/d/1Uw7-A9f9R21vMXxHZFNpYNeKFtG8_yji4HS352LGlSQ/edit?pli=1#gid=0"",""1_ACUM!A4:S""),16,FALSE))"),"")</f>
        <v/>
      </c>
      <c r="BC495" s="43" t="str">
        <f ca="1">IFERROR(__xludf.DUMMYFUNCTION("IFERROR(VLOOKUP(E509&amp;F509,IMPORTRANGE(""https://docs.google.com/spreadsheets/d/1Uw7-A9f9R21vMXxHZFNpYNeKFtG8_yji4HS352LGlSQ/edit?pli=1#gid=0"",""1_ACUM!A4:S""),17,FALSE))"),"")</f>
        <v/>
      </c>
      <c r="BD495" s="44" t="str">
        <f ca="1">IFERROR(__xludf.DUMMYFUNCTION("IFERROR(VLOOKUP(E509&amp;F509,IMPORTRANGE(""https://docs.google.com/spreadsheets/d/1Uw7-A9f9R21vMXxHZFNpYNeKFtG8_yji4HS352LGlSQ/edit?pli=1#gid=0"",""1_ACUM!A4:S""),18,FALSE))"),"")</f>
        <v/>
      </c>
      <c r="BE495" s="44" t="str">
        <f ca="1">IFERROR(__xludf.DUMMYFUNCTION("IFERROR(VLOOKUP(E509&amp;F509,IMPORTRANGE(""https://docs.google.com/spreadsheets/d/1Uw7-A9f9R21vMXxHZFNpYNeKFtG8_yji4HS352LGlSQ/edit?pli=1#gid=0"",""1_ACUM!A4:S""),19,FALSE))"),"")</f>
        <v/>
      </c>
      <c r="BF495" s="98" t="str">
        <f ca="1">IFERROR(__xludf.DUMMYFUNCTION("IFERROR(VLOOKUP(F509,IMPORTRANGE(""https://docs.google.com/spreadsheets/d/1Kvs4KS76FHFqLFIZfrDMff4kP08nblUkihrxltoGBjg/edit#gid=934712705"",""ESENCIAL!A6:BG""),5,FALSE))"),"")</f>
        <v/>
      </c>
      <c r="BG495" s="98" t="str">
        <f t="shared" si="17"/>
        <v/>
      </c>
      <c r="BH495" s="99" t="str">
        <f t="shared" si="18"/>
        <v/>
      </c>
      <c r="BI495" s="100" t="str">
        <f ca="1">IFERROR(__xludf.DUMMYFUNCTION("IFERROR(VLOOKUP(F509,IMPORTRANGE(""https://docs.google.com/spreadsheets/d/1Kvs4KS76FHFqLFIZfrDMff4kP08nblUkihrxltoGBjg/edit#gid=934712705"",""ESENCIAL!A6:BG""),2,FALSE))"),"")</f>
        <v/>
      </c>
      <c r="BJ495" s="19" t="str">
        <f t="shared" si="19"/>
        <v/>
      </c>
      <c r="BK495" s="100"/>
      <c r="BL495" s="100"/>
    </row>
    <row r="496" spans="1:64" ht="15">
      <c r="A496" s="5"/>
      <c r="B496" s="5"/>
      <c r="G496" s="5" t="str">
        <f ca="1">IFERROR(__xludf.DUMMYFUNCTION("IFERROR(VLOOKUP(F510,IMPORTRANGE(""https://docs.google.com/spreadsheets/d/1Kvs4KS76FHFqLFIZfrDMff4kP08nblUkihrxltoGBjg/edit#gid=934712705"",""ESENCIAL!A6:BG""),3,FALSE))"),"")</f>
        <v/>
      </c>
      <c r="H496" s="5" t="str">
        <f ca="1">IFERROR(__xludf.DUMMYFUNCTION("IFERROR(VLOOKUP(F510,IMPORTRANGE(""https://docs.google.com/spreadsheets/d/1Kvs4KS76FHFqLFIZfrDMff4kP08nblUkihrxltoGBjg/edit#gid=934712705"",""ESENCIAL!A6:BG""),8,FALSE))"),"")</f>
        <v/>
      </c>
      <c r="L496" s="287"/>
      <c r="U496" s="40"/>
      <c r="AU496" s="41" t="str">
        <f t="shared" si="16"/>
        <v/>
      </c>
      <c r="AV496" s="5" t="str">
        <f ca="1">IFERROR(__xludf.DUMMYFUNCTION("IFERROR(VLOOKUP(E510&amp;F510,IMPORTRANGE(""https://docs.google.com/spreadsheets/d/1Uw7-A9f9R21vMXxHZFNpYNeKFtG8_yji4HS352LGlSQ/edit?pli=1#gid=0"",""1_ACUM!A4:S""),11,FALSE))"),"")</f>
        <v/>
      </c>
      <c r="AW496" s="42" t="str">
        <f ca="1">IFERROR(__xludf.DUMMYFUNCTION("IFERROR(VLOOKUP(F510,IMPORTRANGE(""https://docs.google.com/spreadsheets/d/1Kvs4KS76FHFqLFIZfrDMff4kP08nblUkihrxltoGBjg/edit#gid=934712705"",""ESENCIAL!A6:BG""),15,FALSE))"),"")</f>
        <v/>
      </c>
      <c r="AX496" s="21" t="str">
        <f ca="1">IFERROR(__xludf.DUMMYFUNCTION("IFERROR(VLOOKUP(E510&amp;F510,IMPORTRANGE(""https://docs.google.com/spreadsheets/d/1Uw7-A9f9R21vMXxHZFNpYNeKFtG8_yji4HS352LGlSQ/edit?pli=1#gid=0"",""1_ACUM!A4:S""),12,FALSE))"),"")</f>
        <v/>
      </c>
      <c r="AY496" s="43" t="str">
        <f ca="1">IFERROR(__xludf.DUMMYFUNCTION("IFERROR(VLOOKUP(E510&amp;F510,IMPORTRANGE(""https://docs.google.com/spreadsheets/d/1Uw7-A9f9R21vMXxHZFNpYNeKFtG8_yji4HS352LGlSQ/edit?pli=1#gid=0"",""1_ACUM!A4:S""),13,FALSE))"),"")</f>
        <v/>
      </c>
      <c r="AZ496" s="43" t="str">
        <f ca="1">IFERROR(__xludf.DUMMYFUNCTION("IFERROR(VLOOKUP(E510&amp;F510,IMPORTRANGE(""https://docs.google.com/spreadsheets/d/1Uw7-A9f9R21vMXxHZFNpYNeKFtG8_yji4HS352LGlSQ/edit?pli=1#gid=0"",""1_ACUM!A4:S""),14,FALSE))"),"")</f>
        <v/>
      </c>
      <c r="BA496" s="43" t="str">
        <f ca="1">IFERROR(__xludf.DUMMYFUNCTION("IFERROR(VLOOKUP(E510&amp;F510,IMPORTRANGE(""https://docs.google.com/spreadsheets/d/1Uw7-A9f9R21vMXxHZFNpYNeKFtG8_yji4HS352LGlSQ/edit?pli=1#gid=0"",""1_ACUM!A4:S""),15,FALSE))"),"")</f>
        <v/>
      </c>
      <c r="BB496" s="43" t="str">
        <f ca="1">IFERROR(__xludf.DUMMYFUNCTION("IFERROR(VLOOKUP(E510&amp;F510,IMPORTRANGE(""https://docs.google.com/spreadsheets/d/1Uw7-A9f9R21vMXxHZFNpYNeKFtG8_yji4HS352LGlSQ/edit?pli=1#gid=0"",""1_ACUM!A4:S""),16,FALSE))"),"")</f>
        <v/>
      </c>
      <c r="BC496" s="43" t="str">
        <f ca="1">IFERROR(__xludf.DUMMYFUNCTION("IFERROR(VLOOKUP(E510&amp;F510,IMPORTRANGE(""https://docs.google.com/spreadsheets/d/1Uw7-A9f9R21vMXxHZFNpYNeKFtG8_yji4HS352LGlSQ/edit?pli=1#gid=0"",""1_ACUM!A4:S""),17,FALSE))"),"")</f>
        <v/>
      </c>
      <c r="BD496" s="44" t="str">
        <f ca="1">IFERROR(__xludf.DUMMYFUNCTION("IFERROR(VLOOKUP(E510&amp;F510,IMPORTRANGE(""https://docs.google.com/spreadsheets/d/1Uw7-A9f9R21vMXxHZFNpYNeKFtG8_yji4HS352LGlSQ/edit?pli=1#gid=0"",""1_ACUM!A4:S""),18,FALSE))"),"")</f>
        <v/>
      </c>
      <c r="BE496" s="44" t="str">
        <f ca="1">IFERROR(__xludf.DUMMYFUNCTION("IFERROR(VLOOKUP(E510&amp;F510,IMPORTRANGE(""https://docs.google.com/spreadsheets/d/1Uw7-A9f9R21vMXxHZFNpYNeKFtG8_yji4HS352LGlSQ/edit?pli=1#gid=0"",""1_ACUM!A4:S""),19,FALSE))"),"")</f>
        <v/>
      </c>
      <c r="BF496" s="98" t="str">
        <f ca="1">IFERROR(__xludf.DUMMYFUNCTION("IFERROR(VLOOKUP(F510,IMPORTRANGE(""https://docs.google.com/spreadsheets/d/1Kvs4KS76FHFqLFIZfrDMff4kP08nblUkihrxltoGBjg/edit#gid=934712705"",""ESENCIAL!A6:BG""),5,FALSE))"),"")</f>
        <v/>
      </c>
      <c r="BG496" s="98" t="str">
        <f t="shared" si="17"/>
        <v/>
      </c>
      <c r="BH496" s="99" t="str">
        <f t="shared" si="18"/>
        <v/>
      </c>
      <c r="BI496" s="100" t="str">
        <f ca="1">IFERROR(__xludf.DUMMYFUNCTION("IFERROR(VLOOKUP(F510,IMPORTRANGE(""https://docs.google.com/spreadsheets/d/1Kvs4KS76FHFqLFIZfrDMff4kP08nblUkihrxltoGBjg/edit#gid=934712705"",""ESENCIAL!A6:BG""),2,FALSE))"),"")</f>
        <v/>
      </c>
      <c r="BJ496" s="19" t="str">
        <f t="shared" si="19"/>
        <v/>
      </c>
      <c r="BK496" s="100"/>
      <c r="BL496" s="100"/>
    </row>
    <row r="497" spans="1:64" ht="15">
      <c r="A497" s="5"/>
      <c r="B497" s="5"/>
      <c r="G497" s="5" t="str">
        <f ca="1">IFERROR(__xludf.DUMMYFUNCTION("IFERROR(VLOOKUP(F511,IMPORTRANGE(""https://docs.google.com/spreadsheets/d/1Kvs4KS76FHFqLFIZfrDMff4kP08nblUkihrxltoGBjg/edit#gid=934712705"",""ESENCIAL!A6:BG""),3,FALSE))"),"")</f>
        <v/>
      </c>
      <c r="H497" s="5" t="str">
        <f ca="1">IFERROR(__xludf.DUMMYFUNCTION("IFERROR(VLOOKUP(F511,IMPORTRANGE(""https://docs.google.com/spreadsheets/d/1Kvs4KS76FHFqLFIZfrDMff4kP08nblUkihrxltoGBjg/edit#gid=934712705"",""ESENCIAL!A6:BG""),8,FALSE))"),"")</f>
        <v/>
      </c>
      <c r="L497" s="287"/>
      <c r="U497" s="40"/>
      <c r="AU497" s="41" t="str">
        <f t="shared" si="16"/>
        <v/>
      </c>
      <c r="AV497" s="5" t="str">
        <f ca="1">IFERROR(__xludf.DUMMYFUNCTION("IFERROR(VLOOKUP(E511&amp;F511,IMPORTRANGE(""https://docs.google.com/spreadsheets/d/1Uw7-A9f9R21vMXxHZFNpYNeKFtG8_yji4HS352LGlSQ/edit?pli=1#gid=0"",""1_ACUM!A4:S""),11,FALSE))"),"")</f>
        <v/>
      </c>
      <c r="AW497" s="42" t="str">
        <f ca="1">IFERROR(__xludf.DUMMYFUNCTION("IFERROR(VLOOKUP(F511,IMPORTRANGE(""https://docs.google.com/spreadsheets/d/1Kvs4KS76FHFqLFIZfrDMff4kP08nblUkihrxltoGBjg/edit#gid=934712705"",""ESENCIAL!A6:BG""),15,FALSE))"),"")</f>
        <v/>
      </c>
      <c r="AX497" s="21" t="str">
        <f ca="1">IFERROR(__xludf.DUMMYFUNCTION("IFERROR(VLOOKUP(E511&amp;F511,IMPORTRANGE(""https://docs.google.com/spreadsheets/d/1Uw7-A9f9R21vMXxHZFNpYNeKFtG8_yji4HS352LGlSQ/edit?pli=1#gid=0"",""1_ACUM!A4:S""),12,FALSE))"),"")</f>
        <v/>
      </c>
      <c r="AY497" s="43" t="str">
        <f ca="1">IFERROR(__xludf.DUMMYFUNCTION("IFERROR(VLOOKUP(E511&amp;F511,IMPORTRANGE(""https://docs.google.com/spreadsheets/d/1Uw7-A9f9R21vMXxHZFNpYNeKFtG8_yji4HS352LGlSQ/edit?pli=1#gid=0"",""1_ACUM!A4:S""),13,FALSE))"),"")</f>
        <v/>
      </c>
      <c r="AZ497" s="43" t="str">
        <f ca="1">IFERROR(__xludf.DUMMYFUNCTION("IFERROR(VLOOKUP(E511&amp;F511,IMPORTRANGE(""https://docs.google.com/spreadsheets/d/1Uw7-A9f9R21vMXxHZFNpYNeKFtG8_yji4HS352LGlSQ/edit?pli=1#gid=0"",""1_ACUM!A4:S""),14,FALSE))"),"")</f>
        <v/>
      </c>
      <c r="BA497" s="43" t="str">
        <f ca="1">IFERROR(__xludf.DUMMYFUNCTION("IFERROR(VLOOKUP(E511&amp;F511,IMPORTRANGE(""https://docs.google.com/spreadsheets/d/1Uw7-A9f9R21vMXxHZFNpYNeKFtG8_yji4HS352LGlSQ/edit?pli=1#gid=0"",""1_ACUM!A4:S""),15,FALSE))"),"")</f>
        <v/>
      </c>
      <c r="BB497" s="43" t="str">
        <f ca="1">IFERROR(__xludf.DUMMYFUNCTION("IFERROR(VLOOKUP(E511&amp;F511,IMPORTRANGE(""https://docs.google.com/spreadsheets/d/1Uw7-A9f9R21vMXxHZFNpYNeKFtG8_yji4HS352LGlSQ/edit?pli=1#gid=0"",""1_ACUM!A4:S""),16,FALSE))"),"")</f>
        <v/>
      </c>
      <c r="BC497" s="43" t="str">
        <f ca="1">IFERROR(__xludf.DUMMYFUNCTION("IFERROR(VLOOKUP(E511&amp;F511,IMPORTRANGE(""https://docs.google.com/spreadsheets/d/1Uw7-A9f9R21vMXxHZFNpYNeKFtG8_yji4HS352LGlSQ/edit?pli=1#gid=0"",""1_ACUM!A4:S""),17,FALSE))"),"")</f>
        <v/>
      </c>
      <c r="BD497" s="44" t="str">
        <f ca="1">IFERROR(__xludf.DUMMYFUNCTION("IFERROR(VLOOKUP(E511&amp;F511,IMPORTRANGE(""https://docs.google.com/spreadsheets/d/1Uw7-A9f9R21vMXxHZFNpYNeKFtG8_yji4HS352LGlSQ/edit?pli=1#gid=0"",""1_ACUM!A4:S""),18,FALSE))"),"")</f>
        <v/>
      </c>
      <c r="BE497" s="44" t="str">
        <f ca="1">IFERROR(__xludf.DUMMYFUNCTION("IFERROR(VLOOKUP(E511&amp;F511,IMPORTRANGE(""https://docs.google.com/spreadsheets/d/1Uw7-A9f9R21vMXxHZFNpYNeKFtG8_yji4HS352LGlSQ/edit?pli=1#gid=0"",""1_ACUM!A4:S""),19,FALSE))"),"")</f>
        <v/>
      </c>
      <c r="BF497" s="98" t="str">
        <f ca="1">IFERROR(__xludf.DUMMYFUNCTION("IFERROR(VLOOKUP(F511,IMPORTRANGE(""https://docs.google.com/spreadsheets/d/1Kvs4KS76FHFqLFIZfrDMff4kP08nblUkihrxltoGBjg/edit#gid=934712705"",""ESENCIAL!A6:BG""),5,FALSE))"),"")</f>
        <v/>
      </c>
      <c r="BG497" s="98" t="str">
        <f t="shared" si="17"/>
        <v/>
      </c>
      <c r="BH497" s="99" t="str">
        <f t="shared" si="18"/>
        <v/>
      </c>
      <c r="BI497" s="100" t="str">
        <f ca="1">IFERROR(__xludf.DUMMYFUNCTION("IFERROR(VLOOKUP(F511,IMPORTRANGE(""https://docs.google.com/spreadsheets/d/1Kvs4KS76FHFqLFIZfrDMff4kP08nblUkihrxltoGBjg/edit#gid=934712705"",""ESENCIAL!A6:BG""),2,FALSE))"),"")</f>
        <v/>
      </c>
      <c r="BJ497" s="19" t="str">
        <f t="shared" si="19"/>
        <v/>
      </c>
      <c r="BK497" s="100"/>
      <c r="BL497" s="100"/>
    </row>
    <row r="498" spans="1:64" ht="15">
      <c r="A498" s="5"/>
      <c r="B498" s="5"/>
      <c r="G498" s="5" t="str">
        <f ca="1">IFERROR(__xludf.DUMMYFUNCTION("IFERROR(VLOOKUP(F512,IMPORTRANGE(""https://docs.google.com/spreadsheets/d/1Kvs4KS76FHFqLFIZfrDMff4kP08nblUkihrxltoGBjg/edit#gid=934712705"",""ESENCIAL!A6:BG""),3,FALSE))"),"")</f>
        <v/>
      </c>
      <c r="H498" s="5" t="str">
        <f ca="1">IFERROR(__xludf.DUMMYFUNCTION("IFERROR(VLOOKUP(F512,IMPORTRANGE(""https://docs.google.com/spreadsheets/d/1Kvs4KS76FHFqLFIZfrDMff4kP08nblUkihrxltoGBjg/edit#gid=934712705"",""ESENCIAL!A6:BG""),8,FALSE))"),"")</f>
        <v/>
      </c>
      <c r="L498" s="287"/>
      <c r="U498" s="40"/>
      <c r="AU498" s="41" t="str">
        <f t="shared" si="16"/>
        <v/>
      </c>
      <c r="AV498" s="5" t="str">
        <f ca="1">IFERROR(__xludf.DUMMYFUNCTION("IFERROR(VLOOKUP(E512&amp;F512,IMPORTRANGE(""https://docs.google.com/spreadsheets/d/1Uw7-A9f9R21vMXxHZFNpYNeKFtG8_yji4HS352LGlSQ/edit?pli=1#gid=0"",""1_ACUM!A4:S""),11,FALSE))"),"")</f>
        <v/>
      </c>
      <c r="AW498" s="42" t="str">
        <f ca="1">IFERROR(__xludf.DUMMYFUNCTION("IFERROR(VLOOKUP(F512,IMPORTRANGE(""https://docs.google.com/spreadsheets/d/1Kvs4KS76FHFqLFIZfrDMff4kP08nblUkihrxltoGBjg/edit#gid=934712705"",""ESENCIAL!A6:BG""),15,FALSE))"),"")</f>
        <v/>
      </c>
      <c r="AX498" s="21" t="str">
        <f ca="1">IFERROR(__xludf.DUMMYFUNCTION("IFERROR(VLOOKUP(E512&amp;F512,IMPORTRANGE(""https://docs.google.com/spreadsheets/d/1Uw7-A9f9R21vMXxHZFNpYNeKFtG8_yji4HS352LGlSQ/edit?pli=1#gid=0"",""1_ACUM!A4:S""),12,FALSE))"),"")</f>
        <v/>
      </c>
      <c r="AY498" s="43" t="str">
        <f ca="1">IFERROR(__xludf.DUMMYFUNCTION("IFERROR(VLOOKUP(E512&amp;F512,IMPORTRANGE(""https://docs.google.com/spreadsheets/d/1Uw7-A9f9R21vMXxHZFNpYNeKFtG8_yji4HS352LGlSQ/edit?pli=1#gid=0"",""1_ACUM!A4:S""),13,FALSE))"),"")</f>
        <v/>
      </c>
      <c r="AZ498" s="43" t="str">
        <f ca="1">IFERROR(__xludf.DUMMYFUNCTION("IFERROR(VLOOKUP(E512&amp;F512,IMPORTRANGE(""https://docs.google.com/spreadsheets/d/1Uw7-A9f9R21vMXxHZFNpYNeKFtG8_yji4HS352LGlSQ/edit?pli=1#gid=0"",""1_ACUM!A4:S""),14,FALSE))"),"")</f>
        <v/>
      </c>
      <c r="BA498" s="43" t="str">
        <f ca="1">IFERROR(__xludf.DUMMYFUNCTION("IFERROR(VLOOKUP(E512&amp;F512,IMPORTRANGE(""https://docs.google.com/spreadsheets/d/1Uw7-A9f9R21vMXxHZFNpYNeKFtG8_yji4HS352LGlSQ/edit?pli=1#gid=0"",""1_ACUM!A4:S""),15,FALSE))"),"")</f>
        <v/>
      </c>
      <c r="BB498" s="43" t="str">
        <f ca="1">IFERROR(__xludf.DUMMYFUNCTION("IFERROR(VLOOKUP(E512&amp;F512,IMPORTRANGE(""https://docs.google.com/spreadsheets/d/1Uw7-A9f9R21vMXxHZFNpYNeKFtG8_yji4HS352LGlSQ/edit?pli=1#gid=0"",""1_ACUM!A4:S""),16,FALSE))"),"")</f>
        <v/>
      </c>
      <c r="BC498" s="43" t="str">
        <f ca="1">IFERROR(__xludf.DUMMYFUNCTION("IFERROR(VLOOKUP(E512&amp;F512,IMPORTRANGE(""https://docs.google.com/spreadsheets/d/1Uw7-A9f9R21vMXxHZFNpYNeKFtG8_yji4HS352LGlSQ/edit?pli=1#gid=0"",""1_ACUM!A4:S""),17,FALSE))"),"")</f>
        <v/>
      </c>
      <c r="BD498" s="44" t="str">
        <f ca="1">IFERROR(__xludf.DUMMYFUNCTION("IFERROR(VLOOKUP(E512&amp;F512,IMPORTRANGE(""https://docs.google.com/spreadsheets/d/1Uw7-A9f9R21vMXxHZFNpYNeKFtG8_yji4HS352LGlSQ/edit?pli=1#gid=0"",""1_ACUM!A4:S""),18,FALSE))"),"")</f>
        <v/>
      </c>
      <c r="BE498" s="44" t="str">
        <f ca="1">IFERROR(__xludf.DUMMYFUNCTION("IFERROR(VLOOKUP(E512&amp;F512,IMPORTRANGE(""https://docs.google.com/spreadsheets/d/1Uw7-A9f9R21vMXxHZFNpYNeKFtG8_yji4HS352LGlSQ/edit?pli=1#gid=0"",""1_ACUM!A4:S""),19,FALSE))"),"")</f>
        <v/>
      </c>
      <c r="BF498" s="98" t="str">
        <f ca="1">IFERROR(__xludf.DUMMYFUNCTION("IFERROR(VLOOKUP(F512,IMPORTRANGE(""https://docs.google.com/spreadsheets/d/1Kvs4KS76FHFqLFIZfrDMff4kP08nblUkihrxltoGBjg/edit#gid=934712705"",""ESENCIAL!A6:BG""),5,FALSE))"),"")</f>
        <v/>
      </c>
      <c r="BG498" s="98" t="str">
        <f t="shared" si="17"/>
        <v/>
      </c>
      <c r="BH498" s="99" t="str">
        <f t="shared" si="18"/>
        <v/>
      </c>
      <c r="BI498" s="100" t="str">
        <f ca="1">IFERROR(__xludf.DUMMYFUNCTION("IFERROR(VLOOKUP(F512,IMPORTRANGE(""https://docs.google.com/spreadsheets/d/1Kvs4KS76FHFqLFIZfrDMff4kP08nblUkihrxltoGBjg/edit#gid=934712705"",""ESENCIAL!A6:BG""),2,FALSE))"),"")</f>
        <v/>
      </c>
      <c r="BJ498" s="19" t="str">
        <f t="shared" si="19"/>
        <v/>
      </c>
      <c r="BK498" s="100"/>
      <c r="BL498" s="100"/>
    </row>
    <row r="499" spans="1:64" ht="15">
      <c r="A499" s="5"/>
      <c r="B499" s="5"/>
      <c r="G499" s="5" t="str">
        <f ca="1">IFERROR(__xludf.DUMMYFUNCTION("IFERROR(VLOOKUP(F513,IMPORTRANGE(""https://docs.google.com/spreadsheets/d/1Kvs4KS76FHFqLFIZfrDMff4kP08nblUkihrxltoGBjg/edit#gid=934712705"",""ESENCIAL!A6:BG""),3,FALSE))"),"")</f>
        <v/>
      </c>
      <c r="H499" s="5" t="str">
        <f ca="1">IFERROR(__xludf.DUMMYFUNCTION("IFERROR(VLOOKUP(F513,IMPORTRANGE(""https://docs.google.com/spreadsheets/d/1Kvs4KS76FHFqLFIZfrDMff4kP08nblUkihrxltoGBjg/edit#gid=934712705"",""ESENCIAL!A6:BG""),8,FALSE))"),"")</f>
        <v/>
      </c>
      <c r="L499" s="287"/>
      <c r="U499" s="40"/>
      <c r="AU499" s="41" t="str">
        <f t="shared" ref="AU499:AU753" si="20">IF(E499&gt;0,IF(AND(BC499=1,AZ499=1),"Procede_E_P","NO_CUMPLE"),"")</f>
        <v/>
      </c>
      <c r="AV499" s="5" t="str">
        <f ca="1">IFERROR(__xludf.DUMMYFUNCTION("IFERROR(VLOOKUP(E513&amp;F513,IMPORTRANGE(""https://docs.google.com/spreadsheets/d/1Uw7-A9f9R21vMXxHZFNpYNeKFtG8_yji4HS352LGlSQ/edit?pli=1#gid=0"",""1_ACUM!A4:S""),11,FALSE))"),"")</f>
        <v/>
      </c>
      <c r="AW499" s="42" t="str">
        <f ca="1">IFERROR(__xludf.DUMMYFUNCTION("IFERROR(VLOOKUP(F513,IMPORTRANGE(""https://docs.google.com/spreadsheets/d/1Kvs4KS76FHFqLFIZfrDMff4kP08nblUkihrxltoGBjg/edit#gid=934712705"",""ESENCIAL!A6:BG""),15,FALSE))"),"")</f>
        <v/>
      </c>
      <c r="AX499" s="21" t="str">
        <f ca="1">IFERROR(__xludf.DUMMYFUNCTION("IFERROR(VLOOKUP(E513&amp;F513,IMPORTRANGE(""https://docs.google.com/spreadsheets/d/1Uw7-A9f9R21vMXxHZFNpYNeKFtG8_yji4HS352LGlSQ/edit?pli=1#gid=0"",""1_ACUM!A4:S""),12,FALSE))"),"")</f>
        <v/>
      </c>
      <c r="AY499" s="43" t="str">
        <f ca="1">IFERROR(__xludf.DUMMYFUNCTION("IFERROR(VLOOKUP(E513&amp;F513,IMPORTRANGE(""https://docs.google.com/spreadsheets/d/1Uw7-A9f9R21vMXxHZFNpYNeKFtG8_yji4HS352LGlSQ/edit?pli=1#gid=0"",""1_ACUM!A4:S""),13,FALSE))"),"")</f>
        <v/>
      </c>
      <c r="AZ499" s="43" t="str">
        <f ca="1">IFERROR(__xludf.DUMMYFUNCTION("IFERROR(VLOOKUP(E513&amp;F513,IMPORTRANGE(""https://docs.google.com/spreadsheets/d/1Uw7-A9f9R21vMXxHZFNpYNeKFtG8_yji4HS352LGlSQ/edit?pli=1#gid=0"",""1_ACUM!A4:S""),14,FALSE))"),"")</f>
        <v/>
      </c>
      <c r="BA499" s="43" t="str">
        <f ca="1">IFERROR(__xludf.DUMMYFUNCTION("IFERROR(VLOOKUP(E513&amp;F513,IMPORTRANGE(""https://docs.google.com/spreadsheets/d/1Uw7-A9f9R21vMXxHZFNpYNeKFtG8_yji4HS352LGlSQ/edit?pli=1#gid=0"",""1_ACUM!A4:S""),15,FALSE))"),"")</f>
        <v/>
      </c>
      <c r="BB499" s="43" t="str">
        <f ca="1">IFERROR(__xludf.DUMMYFUNCTION("IFERROR(VLOOKUP(E513&amp;F513,IMPORTRANGE(""https://docs.google.com/spreadsheets/d/1Uw7-A9f9R21vMXxHZFNpYNeKFtG8_yji4HS352LGlSQ/edit?pli=1#gid=0"",""1_ACUM!A4:S""),16,FALSE))"),"")</f>
        <v/>
      </c>
      <c r="BC499" s="43" t="str">
        <f ca="1">IFERROR(__xludf.DUMMYFUNCTION("IFERROR(VLOOKUP(E513&amp;F513,IMPORTRANGE(""https://docs.google.com/spreadsheets/d/1Uw7-A9f9R21vMXxHZFNpYNeKFtG8_yji4HS352LGlSQ/edit?pli=1#gid=0"",""1_ACUM!A4:S""),17,FALSE))"),"")</f>
        <v/>
      </c>
      <c r="BD499" s="44" t="str">
        <f ca="1">IFERROR(__xludf.DUMMYFUNCTION("IFERROR(VLOOKUP(E513&amp;F513,IMPORTRANGE(""https://docs.google.com/spreadsheets/d/1Uw7-A9f9R21vMXxHZFNpYNeKFtG8_yji4HS352LGlSQ/edit?pli=1#gid=0"",""1_ACUM!A4:S""),18,FALSE))"),"")</f>
        <v/>
      </c>
      <c r="BE499" s="44" t="str">
        <f ca="1">IFERROR(__xludf.DUMMYFUNCTION("IFERROR(VLOOKUP(E513&amp;F513,IMPORTRANGE(""https://docs.google.com/spreadsheets/d/1Uw7-A9f9R21vMXxHZFNpYNeKFtG8_yji4HS352LGlSQ/edit?pli=1#gid=0"",""1_ACUM!A4:S""),19,FALSE))"),"")</f>
        <v/>
      </c>
      <c r="BF499" s="98" t="str">
        <f ca="1">IFERROR(__xludf.DUMMYFUNCTION("IFERROR(VLOOKUP(F513,IMPORTRANGE(""https://docs.google.com/spreadsheets/d/1Kvs4KS76FHFqLFIZfrDMff4kP08nblUkihrxltoGBjg/edit#gid=934712705"",""ESENCIAL!A6:BG""),5,FALSE))"),"")</f>
        <v/>
      </c>
      <c r="BG499" s="98" t="str">
        <f t="shared" ref="BG499:BG753" si="21">IF(F499&gt;0,EDATE(BF499,18),"")</f>
        <v/>
      </c>
      <c r="BH499" s="99" t="str">
        <f t="shared" ref="BH499:BH753" si="22">IF(F499&gt;0,IF(BG499&lt;$BH$1,"FINALIZAR FICHA","FICHA EN TIEMPO-18 MESES"),"")</f>
        <v/>
      </c>
      <c r="BI499" s="100" t="str">
        <f ca="1">IFERROR(__xludf.DUMMYFUNCTION("IFERROR(VLOOKUP(F513,IMPORTRANGE(""https://docs.google.com/spreadsheets/d/1Kvs4KS76FHFqLFIZfrDMff4kP08nblUkihrxltoGBjg/edit#gid=934712705"",""ESENCIAL!A6:BG""),2,FALSE))"),"")</f>
        <v/>
      </c>
      <c r="BJ499" s="19" t="str">
        <f t="shared" ref="BJ499:BJ753" si="23">IF(F499&gt;0,"Yamboro","")</f>
        <v/>
      </c>
      <c r="BK499" s="100"/>
      <c r="BL499" s="100"/>
    </row>
    <row r="500" spans="1:64" ht="15">
      <c r="A500" s="5"/>
      <c r="B500" s="5"/>
      <c r="G500" s="5" t="str">
        <f ca="1">IFERROR(__xludf.DUMMYFUNCTION("IFERROR(VLOOKUP(F514,IMPORTRANGE(""https://docs.google.com/spreadsheets/d/1Kvs4KS76FHFqLFIZfrDMff4kP08nblUkihrxltoGBjg/edit#gid=934712705"",""ESENCIAL!A6:BG""),3,FALSE))"),"")</f>
        <v/>
      </c>
      <c r="H500" s="5" t="str">
        <f ca="1">IFERROR(__xludf.DUMMYFUNCTION("IFERROR(VLOOKUP(F514,IMPORTRANGE(""https://docs.google.com/spreadsheets/d/1Kvs4KS76FHFqLFIZfrDMff4kP08nblUkihrxltoGBjg/edit#gid=934712705"",""ESENCIAL!A6:BG""),8,FALSE))"),"")</f>
        <v/>
      </c>
      <c r="L500" s="287"/>
      <c r="U500" s="40"/>
      <c r="AU500" s="41" t="str">
        <f t="shared" si="20"/>
        <v/>
      </c>
      <c r="AV500" s="5" t="str">
        <f ca="1">IFERROR(__xludf.DUMMYFUNCTION("IFERROR(VLOOKUP(E514&amp;F514,IMPORTRANGE(""https://docs.google.com/spreadsheets/d/1Uw7-A9f9R21vMXxHZFNpYNeKFtG8_yji4HS352LGlSQ/edit?pli=1#gid=0"",""1_ACUM!A4:S""),11,FALSE))"),"")</f>
        <v/>
      </c>
      <c r="AW500" s="42" t="str">
        <f ca="1">IFERROR(__xludf.DUMMYFUNCTION("IFERROR(VLOOKUP(F514,IMPORTRANGE(""https://docs.google.com/spreadsheets/d/1Kvs4KS76FHFqLFIZfrDMff4kP08nblUkihrxltoGBjg/edit#gid=934712705"",""ESENCIAL!A6:BG""),15,FALSE))"),"")</f>
        <v/>
      </c>
      <c r="AX500" s="21" t="str">
        <f ca="1">IFERROR(__xludf.DUMMYFUNCTION("IFERROR(VLOOKUP(E514&amp;F514,IMPORTRANGE(""https://docs.google.com/spreadsheets/d/1Uw7-A9f9R21vMXxHZFNpYNeKFtG8_yji4HS352LGlSQ/edit?pli=1#gid=0"",""1_ACUM!A4:S""),12,FALSE))"),"")</f>
        <v/>
      </c>
      <c r="AY500" s="43" t="str">
        <f ca="1">IFERROR(__xludf.DUMMYFUNCTION("IFERROR(VLOOKUP(E514&amp;F514,IMPORTRANGE(""https://docs.google.com/spreadsheets/d/1Uw7-A9f9R21vMXxHZFNpYNeKFtG8_yji4HS352LGlSQ/edit?pli=1#gid=0"",""1_ACUM!A4:S""),13,FALSE))"),"")</f>
        <v/>
      </c>
      <c r="AZ500" s="43" t="str">
        <f ca="1">IFERROR(__xludf.DUMMYFUNCTION("IFERROR(VLOOKUP(E514&amp;F514,IMPORTRANGE(""https://docs.google.com/spreadsheets/d/1Uw7-A9f9R21vMXxHZFNpYNeKFtG8_yji4HS352LGlSQ/edit?pli=1#gid=0"",""1_ACUM!A4:S""),14,FALSE))"),"")</f>
        <v/>
      </c>
      <c r="BA500" s="43" t="str">
        <f ca="1">IFERROR(__xludf.DUMMYFUNCTION("IFERROR(VLOOKUP(E514&amp;F514,IMPORTRANGE(""https://docs.google.com/spreadsheets/d/1Uw7-A9f9R21vMXxHZFNpYNeKFtG8_yji4HS352LGlSQ/edit?pli=1#gid=0"",""1_ACUM!A4:S""),15,FALSE))"),"")</f>
        <v/>
      </c>
      <c r="BB500" s="43" t="str">
        <f ca="1">IFERROR(__xludf.DUMMYFUNCTION("IFERROR(VLOOKUP(E514&amp;F514,IMPORTRANGE(""https://docs.google.com/spreadsheets/d/1Uw7-A9f9R21vMXxHZFNpYNeKFtG8_yji4HS352LGlSQ/edit?pli=1#gid=0"",""1_ACUM!A4:S""),16,FALSE))"),"")</f>
        <v/>
      </c>
      <c r="BC500" s="43" t="str">
        <f ca="1">IFERROR(__xludf.DUMMYFUNCTION("IFERROR(VLOOKUP(E514&amp;F514,IMPORTRANGE(""https://docs.google.com/spreadsheets/d/1Uw7-A9f9R21vMXxHZFNpYNeKFtG8_yji4HS352LGlSQ/edit?pli=1#gid=0"",""1_ACUM!A4:S""),17,FALSE))"),"")</f>
        <v/>
      </c>
      <c r="BD500" s="44" t="str">
        <f ca="1">IFERROR(__xludf.DUMMYFUNCTION("IFERROR(VLOOKUP(E514&amp;F514,IMPORTRANGE(""https://docs.google.com/spreadsheets/d/1Uw7-A9f9R21vMXxHZFNpYNeKFtG8_yji4HS352LGlSQ/edit?pli=1#gid=0"",""1_ACUM!A4:S""),18,FALSE))"),"")</f>
        <v/>
      </c>
      <c r="BE500" s="44" t="str">
        <f ca="1">IFERROR(__xludf.DUMMYFUNCTION("IFERROR(VLOOKUP(E514&amp;F514,IMPORTRANGE(""https://docs.google.com/spreadsheets/d/1Uw7-A9f9R21vMXxHZFNpYNeKFtG8_yji4HS352LGlSQ/edit?pli=1#gid=0"",""1_ACUM!A4:S""),19,FALSE))"),"")</f>
        <v/>
      </c>
      <c r="BF500" s="98" t="str">
        <f ca="1">IFERROR(__xludf.DUMMYFUNCTION("IFERROR(VLOOKUP(F514,IMPORTRANGE(""https://docs.google.com/spreadsheets/d/1Kvs4KS76FHFqLFIZfrDMff4kP08nblUkihrxltoGBjg/edit#gid=934712705"",""ESENCIAL!A6:BG""),5,FALSE))"),"")</f>
        <v/>
      </c>
      <c r="BG500" s="98" t="str">
        <f t="shared" si="21"/>
        <v/>
      </c>
      <c r="BH500" s="99" t="str">
        <f t="shared" si="22"/>
        <v/>
      </c>
      <c r="BI500" s="100" t="str">
        <f ca="1">IFERROR(__xludf.DUMMYFUNCTION("IFERROR(VLOOKUP(F514,IMPORTRANGE(""https://docs.google.com/spreadsheets/d/1Kvs4KS76FHFqLFIZfrDMff4kP08nblUkihrxltoGBjg/edit#gid=934712705"",""ESENCIAL!A6:BG""),2,FALSE))"),"")</f>
        <v/>
      </c>
      <c r="BJ500" s="19" t="str">
        <f t="shared" si="23"/>
        <v/>
      </c>
      <c r="BK500" s="100"/>
      <c r="BL500" s="100"/>
    </row>
    <row r="501" spans="1:64" ht="15">
      <c r="A501" s="5"/>
      <c r="B501" s="5"/>
      <c r="G501" s="5" t="str">
        <f ca="1">IFERROR(__xludf.DUMMYFUNCTION("IFERROR(VLOOKUP(F515,IMPORTRANGE(""https://docs.google.com/spreadsheets/d/1Kvs4KS76FHFqLFIZfrDMff4kP08nblUkihrxltoGBjg/edit#gid=934712705"",""ESENCIAL!A6:BG""),3,FALSE))"),"")</f>
        <v/>
      </c>
      <c r="H501" s="5" t="str">
        <f ca="1">IFERROR(__xludf.DUMMYFUNCTION("IFERROR(VLOOKUP(F515,IMPORTRANGE(""https://docs.google.com/spreadsheets/d/1Kvs4KS76FHFqLFIZfrDMff4kP08nblUkihrxltoGBjg/edit#gid=934712705"",""ESENCIAL!A6:BG""),8,FALSE))"),"")</f>
        <v/>
      </c>
      <c r="L501" s="287"/>
      <c r="U501" s="40"/>
      <c r="AU501" s="41" t="str">
        <f t="shared" si="20"/>
        <v/>
      </c>
      <c r="AV501" s="5" t="str">
        <f ca="1">IFERROR(__xludf.DUMMYFUNCTION("IFERROR(VLOOKUP(E515&amp;F515,IMPORTRANGE(""https://docs.google.com/spreadsheets/d/1Uw7-A9f9R21vMXxHZFNpYNeKFtG8_yji4HS352LGlSQ/edit?pli=1#gid=0"",""1_ACUM!A4:S""),11,FALSE))"),"")</f>
        <v/>
      </c>
      <c r="AW501" s="42" t="str">
        <f ca="1">IFERROR(__xludf.DUMMYFUNCTION("IFERROR(VLOOKUP(F515,IMPORTRANGE(""https://docs.google.com/spreadsheets/d/1Kvs4KS76FHFqLFIZfrDMff4kP08nblUkihrxltoGBjg/edit#gid=934712705"",""ESENCIAL!A6:BG""),15,FALSE))"),"")</f>
        <v/>
      </c>
      <c r="AX501" s="21" t="str">
        <f ca="1">IFERROR(__xludf.DUMMYFUNCTION("IFERROR(VLOOKUP(E515&amp;F515,IMPORTRANGE(""https://docs.google.com/spreadsheets/d/1Uw7-A9f9R21vMXxHZFNpYNeKFtG8_yji4HS352LGlSQ/edit?pli=1#gid=0"",""1_ACUM!A4:S""),12,FALSE))"),"")</f>
        <v/>
      </c>
      <c r="AY501" s="43" t="str">
        <f ca="1">IFERROR(__xludf.DUMMYFUNCTION("IFERROR(VLOOKUP(E515&amp;F515,IMPORTRANGE(""https://docs.google.com/spreadsheets/d/1Uw7-A9f9R21vMXxHZFNpYNeKFtG8_yji4HS352LGlSQ/edit?pli=1#gid=0"",""1_ACUM!A4:S""),13,FALSE))"),"")</f>
        <v/>
      </c>
      <c r="AZ501" s="43" t="str">
        <f ca="1">IFERROR(__xludf.DUMMYFUNCTION("IFERROR(VLOOKUP(E515&amp;F515,IMPORTRANGE(""https://docs.google.com/spreadsheets/d/1Uw7-A9f9R21vMXxHZFNpYNeKFtG8_yji4HS352LGlSQ/edit?pli=1#gid=0"",""1_ACUM!A4:S""),14,FALSE))"),"")</f>
        <v/>
      </c>
      <c r="BA501" s="43" t="str">
        <f ca="1">IFERROR(__xludf.DUMMYFUNCTION("IFERROR(VLOOKUP(E515&amp;F515,IMPORTRANGE(""https://docs.google.com/spreadsheets/d/1Uw7-A9f9R21vMXxHZFNpYNeKFtG8_yji4HS352LGlSQ/edit?pli=1#gid=0"",""1_ACUM!A4:S""),15,FALSE))"),"")</f>
        <v/>
      </c>
      <c r="BB501" s="43" t="str">
        <f ca="1">IFERROR(__xludf.DUMMYFUNCTION("IFERROR(VLOOKUP(E515&amp;F515,IMPORTRANGE(""https://docs.google.com/spreadsheets/d/1Uw7-A9f9R21vMXxHZFNpYNeKFtG8_yji4HS352LGlSQ/edit?pli=1#gid=0"",""1_ACUM!A4:S""),16,FALSE))"),"")</f>
        <v/>
      </c>
      <c r="BC501" s="43" t="str">
        <f ca="1">IFERROR(__xludf.DUMMYFUNCTION("IFERROR(VLOOKUP(E515&amp;F515,IMPORTRANGE(""https://docs.google.com/spreadsheets/d/1Uw7-A9f9R21vMXxHZFNpYNeKFtG8_yji4HS352LGlSQ/edit?pli=1#gid=0"",""1_ACUM!A4:S""),17,FALSE))"),"")</f>
        <v/>
      </c>
      <c r="BD501" s="44" t="str">
        <f ca="1">IFERROR(__xludf.DUMMYFUNCTION("IFERROR(VLOOKUP(E515&amp;F515,IMPORTRANGE(""https://docs.google.com/spreadsheets/d/1Uw7-A9f9R21vMXxHZFNpYNeKFtG8_yji4HS352LGlSQ/edit?pli=1#gid=0"",""1_ACUM!A4:S""),18,FALSE))"),"")</f>
        <v/>
      </c>
      <c r="BE501" s="44" t="str">
        <f ca="1">IFERROR(__xludf.DUMMYFUNCTION("IFERROR(VLOOKUP(E515&amp;F515,IMPORTRANGE(""https://docs.google.com/spreadsheets/d/1Uw7-A9f9R21vMXxHZFNpYNeKFtG8_yji4HS352LGlSQ/edit?pli=1#gid=0"",""1_ACUM!A4:S""),19,FALSE))"),"")</f>
        <v/>
      </c>
      <c r="BF501" s="98" t="str">
        <f ca="1">IFERROR(__xludf.DUMMYFUNCTION("IFERROR(VLOOKUP(F515,IMPORTRANGE(""https://docs.google.com/spreadsheets/d/1Kvs4KS76FHFqLFIZfrDMff4kP08nblUkihrxltoGBjg/edit#gid=934712705"",""ESENCIAL!A6:BG""),5,FALSE))"),"")</f>
        <v/>
      </c>
      <c r="BG501" s="98" t="str">
        <f t="shared" si="21"/>
        <v/>
      </c>
      <c r="BH501" s="99" t="str">
        <f t="shared" si="22"/>
        <v/>
      </c>
      <c r="BI501" s="100" t="str">
        <f ca="1">IFERROR(__xludf.DUMMYFUNCTION("IFERROR(VLOOKUP(F515,IMPORTRANGE(""https://docs.google.com/spreadsheets/d/1Kvs4KS76FHFqLFIZfrDMff4kP08nblUkihrxltoGBjg/edit#gid=934712705"",""ESENCIAL!A6:BG""),2,FALSE))"),"")</f>
        <v/>
      </c>
      <c r="BJ501" s="19" t="str">
        <f t="shared" si="23"/>
        <v/>
      </c>
      <c r="BK501" s="100"/>
      <c r="BL501" s="100"/>
    </row>
    <row r="502" spans="1:64" ht="15">
      <c r="A502" s="5"/>
      <c r="B502" s="5"/>
      <c r="G502" s="5" t="str">
        <f ca="1">IFERROR(__xludf.DUMMYFUNCTION("IFERROR(VLOOKUP(F516,IMPORTRANGE(""https://docs.google.com/spreadsheets/d/1Kvs4KS76FHFqLFIZfrDMff4kP08nblUkihrxltoGBjg/edit#gid=934712705"",""ESENCIAL!A6:BG""),3,FALSE))"),"")</f>
        <v/>
      </c>
      <c r="H502" s="5" t="str">
        <f ca="1">IFERROR(__xludf.DUMMYFUNCTION("IFERROR(VLOOKUP(F516,IMPORTRANGE(""https://docs.google.com/spreadsheets/d/1Kvs4KS76FHFqLFIZfrDMff4kP08nblUkihrxltoGBjg/edit#gid=934712705"",""ESENCIAL!A6:BG""),8,FALSE))"),"")</f>
        <v/>
      </c>
      <c r="L502" s="287"/>
      <c r="U502" s="40"/>
      <c r="AU502" s="41" t="str">
        <f t="shared" si="20"/>
        <v/>
      </c>
      <c r="AV502" s="5" t="str">
        <f ca="1">IFERROR(__xludf.DUMMYFUNCTION("IFERROR(VLOOKUP(E516&amp;F516,IMPORTRANGE(""https://docs.google.com/spreadsheets/d/1Uw7-A9f9R21vMXxHZFNpYNeKFtG8_yji4HS352LGlSQ/edit?pli=1#gid=0"",""1_ACUM!A4:S""),11,FALSE))"),"")</f>
        <v/>
      </c>
      <c r="AW502" s="42" t="str">
        <f ca="1">IFERROR(__xludf.DUMMYFUNCTION("IFERROR(VLOOKUP(F516,IMPORTRANGE(""https://docs.google.com/spreadsheets/d/1Kvs4KS76FHFqLFIZfrDMff4kP08nblUkihrxltoGBjg/edit#gid=934712705"",""ESENCIAL!A6:BG""),15,FALSE))"),"")</f>
        <v/>
      </c>
      <c r="AX502" s="21" t="str">
        <f ca="1">IFERROR(__xludf.DUMMYFUNCTION("IFERROR(VLOOKUP(E516&amp;F516,IMPORTRANGE(""https://docs.google.com/spreadsheets/d/1Uw7-A9f9R21vMXxHZFNpYNeKFtG8_yji4HS352LGlSQ/edit?pli=1#gid=0"",""1_ACUM!A4:S""),12,FALSE))"),"")</f>
        <v/>
      </c>
      <c r="AY502" s="43" t="str">
        <f ca="1">IFERROR(__xludf.DUMMYFUNCTION("IFERROR(VLOOKUP(E516&amp;F516,IMPORTRANGE(""https://docs.google.com/spreadsheets/d/1Uw7-A9f9R21vMXxHZFNpYNeKFtG8_yji4HS352LGlSQ/edit?pli=1#gid=0"",""1_ACUM!A4:S""),13,FALSE))"),"")</f>
        <v/>
      </c>
      <c r="AZ502" s="43" t="str">
        <f ca="1">IFERROR(__xludf.DUMMYFUNCTION("IFERROR(VLOOKUP(E516&amp;F516,IMPORTRANGE(""https://docs.google.com/spreadsheets/d/1Uw7-A9f9R21vMXxHZFNpYNeKFtG8_yji4HS352LGlSQ/edit?pli=1#gid=0"",""1_ACUM!A4:S""),14,FALSE))"),"")</f>
        <v/>
      </c>
      <c r="BA502" s="43" t="str">
        <f ca="1">IFERROR(__xludf.DUMMYFUNCTION("IFERROR(VLOOKUP(E516&amp;F516,IMPORTRANGE(""https://docs.google.com/spreadsheets/d/1Uw7-A9f9R21vMXxHZFNpYNeKFtG8_yji4HS352LGlSQ/edit?pli=1#gid=0"",""1_ACUM!A4:S""),15,FALSE))"),"")</f>
        <v/>
      </c>
      <c r="BB502" s="43" t="str">
        <f ca="1">IFERROR(__xludf.DUMMYFUNCTION("IFERROR(VLOOKUP(E516&amp;F516,IMPORTRANGE(""https://docs.google.com/spreadsheets/d/1Uw7-A9f9R21vMXxHZFNpYNeKFtG8_yji4HS352LGlSQ/edit?pli=1#gid=0"",""1_ACUM!A4:S""),16,FALSE))"),"")</f>
        <v/>
      </c>
      <c r="BC502" s="43" t="str">
        <f ca="1">IFERROR(__xludf.DUMMYFUNCTION("IFERROR(VLOOKUP(E516&amp;F516,IMPORTRANGE(""https://docs.google.com/spreadsheets/d/1Uw7-A9f9R21vMXxHZFNpYNeKFtG8_yji4HS352LGlSQ/edit?pli=1#gid=0"",""1_ACUM!A4:S""),17,FALSE))"),"")</f>
        <v/>
      </c>
      <c r="BD502" s="44" t="str">
        <f ca="1">IFERROR(__xludf.DUMMYFUNCTION("IFERROR(VLOOKUP(E516&amp;F516,IMPORTRANGE(""https://docs.google.com/spreadsheets/d/1Uw7-A9f9R21vMXxHZFNpYNeKFtG8_yji4HS352LGlSQ/edit?pli=1#gid=0"",""1_ACUM!A4:S""),18,FALSE))"),"")</f>
        <v/>
      </c>
      <c r="BE502" s="44" t="str">
        <f ca="1">IFERROR(__xludf.DUMMYFUNCTION("IFERROR(VLOOKUP(E516&amp;F516,IMPORTRANGE(""https://docs.google.com/spreadsheets/d/1Uw7-A9f9R21vMXxHZFNpYNeKFtG8_yji4HS352LGlSQ/edit?pli=1#gid=0"",""1_ACUM!A4:S""),19,FALSE))"),"")</f>
        <v/>
      </c>
      <c r="BF502" s="98" t="str">
        <f ca="1">IFERROR(__xludf.DUMMYFUNCTION("IFERROR(VLOOKUP(F516,IMPORTRANGE(""https://docs.google.com/spreadsheets/d/1Kvs4KS76FHFqLFIZfrDMff4kP08nblUkihrxltoGBjg/edit#gid=934712705"",""ESENCIAL!A6:BG""),5,FALSE))"),"")</f>
        <v/>
      </c>
      <c r="BG502" s="98" t="str">
        <f t="shared" si="21"/>
        <v/>
      </c>
      <c r="BH502" s="99" t="str">
        <f t="shared" si="22"/>
        <v/>
      </c>
      <c r="BI502" s="100" t="str">
        <f ca="1">IFERROR(__xludf.DUMMYFUNCTION("IFERROR(VLOOKUP(F516,IMPORTRANGE(""https://docs.google.com/spreadsheets/d/1Kvs4KS76FHFqLFIZfrDMff4kP08nblUkihrxltoGBjg/edit#gid=934712705"",""ESENCIAL!A6:BG""),2,FALSE))"),"")</f>
        <v/>
      </c>
      <c r="BJ502" s="19" t="str">
        <f t="shared" si="23"/>
        <v/>
      </c>
      <c r="BK502" s="100"/>
      <c r="BL502" s="100"/>
    </row>
    <row r="503" spans="1:64" ht="15">
      <c r="A503" s="5"/>
      <c r="B503" s="5"/>
      <c r="G503" s="5" t="str">
        <f ca="1">IFERROR(__xludf.DUMMYFUNCTION("IFERROR(VLOOKUP(F517,IMPORTRANGE(""https://docs.google.com/spreadsheets/d/1Kvs4KS76FHFqLFIZfrDMff4kP08nblUkihrxltoGBjg/edit#gid=934712705"",""ESENCIAL!A6:BG""),3,FALSE))"),"")</f>
        <v/>
      </c>
      <c r="H503" s="5" t="str">
        <f ca="1">IFERROR(__xludf.DUMMYFUNCTION("IFERROR(VLOOKUP(F517,IMPORTRANGE(""https://docs.google.com/spreadsheets/d/1Kvs4KS76FHFqLFIZfrDMff4kP08nblUkihrxltoGBjg/edit#gid=934712705"",""ESENCIAL!A6:BG""),8,FALSE))"),"")</f>
        <v/>
      </c>
      <c r="L503" s="287"/>
      <c r="U503" s="40"/>
      <c r="AU503" s="41" t="str">
        <f t="shared" si="20"/>
        <v/>
      </c>
      <c r="AV503" s="5" t="str">
        <f ca="1">IFERROR(__xludf.DUMMYFUNCTION("IFERROR(VLOOKUP(E517&amp;F517,IMPORTRANGE(""https://docs.google.com/spreadsheets/d/1Uw7-A9f9R21vMXxHZFNpYNeKFtG8_yji4HS352LGlSQ/edit?pli=1#gid=0"",""1_ACUM!A4:S""),11,FALSE))"),"")</f>
        <v/>
      </c>
      <c r="AW503" s="42" t="str">
        <f ca="1">IFERROR(__xludf.DUMMYFUNCTION("IFERROR(VLOOKUP(F517,IMPORTRANGE(""https://docs.google.com/spreadsheets/d/1Kvs4KS76FHFqLFIZfrDMff4kP08nblUkihrxltoGBjg/edit#gid=934712705"",""ESENCIAL!A6:BG""),15,FALSE))"),"")</f>
        <v/>
      </c>
      <c r="AX503" s="21" t="str">
        <f ca="1">IFERROR(__xludf.DUMMYFUNCTION("IFERROR(VLOOKUP(E517&amp;F517,IMPORTRANGE(""https://docs.google.com/spreadsheets/d/1Uw7-A9f9R21vMXxHZFNpYNeKFtG8_yji4HS352LGlSQ/edit?pli=1#gid=0"",""1_ACUM!A4:S""),12,FALSE))"),"")</f>
        <v/>
      </c>
      <c r="AY503" s="43" t="str">
        <f ca="1">IFERROR(__xludf.DUMMYFUNCTION("IFERROR(VLOOKUP(E517&amp;F517,IMPORTRANGE(""https://docs.google.com/spreadsheets/d/1Uw7-A9f9R21vMXxHZFNpYNeKFtG8_yji4HS352LGlSQ/edit?pli=1#gid=0"",""1_ACUM!A4:S""),13,FALSE))"),"")</f>
        <v/>
      </c>
      <c r="AZ503" s="43" t="str">
        <f ca="1">IFERROR(__xludf.DUMMYFUNCTION("IFERROR(VLOOKUP(E517&amp;F517,IMPORTRANGE(""https://docs.google.com/spreadsheets/d/1Uw7-A9f9R21vMXxHZFNpYNeKFtG8_yji4HS352LGlSQ/edit?pli=1#gid=0"",""1_ACUM!A4:S""),14,FALSE))"),"")</f>
        <v/>
      </c>
      <c r="BA503" s="43" t="str">
        <f ca="1">IFERROR(__xludf.DUMMYFUNCTION("IFERROR(VLOOKUP(E517&amp;F517,IMPORTRANGE(""https://docs.google.com/spreadsheets/d/1Uw7-A9f9R21vMXxHZFNpYNeKFtG8_yji4HS352LGlSQ/edit?pli=1#gid=0"",""1_ACUM!A4:S""),15,FALSE))"),"")</f>
        <v/>
      </c>
      <c r="BB503" s="43" t="str">
        <f ca="1">IFERROR(__xludf.DUMMYFUNCTION("IFERROR(VLOOKUP(E517&amp;F517,IMPORTRANGE(""https://docs.google.com/spreadsheets/d/1Uw7-A9f9R21vMXxHZFNpYNeKFtG8_yji4HS352LGlSQ/edit?pli=1#gid=0"",""1_ACUM!A4:S""),16,FALSE))"),"")</f>
        <v/>
      </c>
      <c r="BC503" s="43" t="str">
        <f ca="1">IFERROR(__xludf.DUMMYFUNCTION("IFERROR(VLOOKUP(E517&amp;F517,IMPORTRANGE(""https://docs.google.com/spreadsheets/d/1Uw7-A9f9R21vMXxHZFNpYNeKFtG8_yji4HS352LGlSQ/edit?pli=1#gid=0"",""1_ACUM!A4:S""),17,FALSE))"),"")</f>
        <v/>
      </c>
      <c r="BD503" s="44" t="str">
        <f ca="1">IFERROR(__xludf.DUMMYFUNCTION("IFERROR(VLOOKUP(E517&amp;F517,IMPORTRANGE(""https://docs.google.com/spreadsheets/d/1Uw7-A9f9R21vMXxHZFNpYNeKFtG8_yji4HS352LGlSQ/edit?pli=1#gid=0"",""1_ACUM!A4:S""),18,FALSE))"),"")</f>
        <v/>
      </c>
      <c r="BE503" s="44" t="str">
        <f ca="1">IFERROR(__xludf.DUMMYFUNCTION("IFERROR(VLOOKUP(E517&amp;F517,IMPORTRANGE(""https://docs.google.com/spreadsheets/d/1Uw7-A9f9R21vMXxHZFNpYNeKFtG8_yji4HS352LGlSQ/edit?pli=1#gid=0"",""1_ACUM!A4:S""),19,FALSE))"),"")</f>
        <v/>
      </c>
      <c r="BF503" s="98" t="str">
        <f ca="1">IFERROR(__xludf.DUMMYFUNCTION("IFERROR(VLOOKUP(F517,IMPORTRANGE(""https://docs.google.com/spreadsheets/d/1Kvs4KS76FHFqLFIZfrDMff4kP08nblUkihrxltoGBjg/edit#gid=934712705"",""ESENCIAL!A6:BG""),5,FALSE))"),"")</f>
        <v/>
      </c>
      <c r="BG503" s="98" t="str">
        <f t="shared" si="21"/>
        <v/>
      </c>
      <c r="BH503" s="99" t="str">
        <f t="shared" si="22"/>
        <v/>
      </c>
      <c r="BI503" s="100" t="str">
        <f ca="1">IFERROR(__xludf.DUMMYFUNCTION("IFERROR(VLOOKUP(F517,IMPORTRANGE(""https://docs.google.com/spreadsheets/d/1Kvs4KS76FHFqLFIZfrDMff4kP08nblUkihrxltoGBjg/edit#gid=934712705"",""ESENCIAL!A6:BG""),2,FALSE))"),"")</f>
        <v/>
      </c>
      <c r="BJ503" s="19" t="str">
        <f t="shared" si="23"/>
        <v/>
      </c>
      <c r="BK503" s="100"/>
      <c r="BL503" s="100"/>
    </row>
    <row r="504" spans="1:64" ht="15">
      <c r="A504" s="5"/>
      <c r="B504" s="5"/>
      <c r="G504" s="5" t="str">
        <f ca="1">IFERROR(__xludf.DUMMYFUNCTION("IFERROR(VLOOKUP(F518,IMPORTRANGE(""https://docs.google.com/spreadsheets/d/1Kvs4KS76FHFqLFIZfrDMff4kP08nblUkihrxltoGBjg/edit#gid=934712705"",""ESENCIAL!A6:BG""),3,FALSE))"),"")</f>
        <v/>
      </c>
      <c r="H504" s="5" t="str">
        <f ca="1">IFERROR(__xludf.DUMMYFUNCTION("IFERROR(VLOOKUP(F518,IMPORTRANGE(""https://docs.google.com/spreadsheets/d/1Kvs4KS76FHFqLFIZfrDMff4kP08nblUkihrxltoGBjg/edit#gid=934712705"",""ESENCIAL!A6:BG""),8,FALSE))"),"")</f>
        <v/>
      </c>
      <c r="L504" s="287"/>
      <c r="U504" s="40"/>
      <c r="AU504" s="41" t="str">
        <f t="shared" si="20"/>
        <v/>
      </c>
      <c r="AV504" s="5" t="str">
        <f ca="1">IFERROR(__xludf.DUMMYFUNCTION("IFERROR(VLOOKUP(E518&amp;F518,IMPORTRANGE(""https://docs.google.com/spreadsheets/d/1Uw7-A9f9R21vMXxHZFNpYNeKFtG8_yji4HS352LGlSQ/edit?pli=1#gid=0"",""1_ACUM!A4:S""),11,FALSE))"),"")</f>
        <v/>
      </c>
      <c r="AW504" s="42" t="str">
        <f ca="1">IFERROR(__xludf.DUMMYFUNCTION("IFERROR(VLOOKUP(F518,IMPORTRANGE(""https://docs.google.com/spreadsheets/d/1Kvs4KS76FHFqLFIZfrDMff4kP08nblUkihrxltoGBjg/edit#gid=934712705"",""ESENCIAL!A6:BG""),15,FALSE))"),"")</f>
        <v/>
      </c>
      <c r="AX504" s="21" t="str">
        <f ca="1">IFERROR(__xludf.DUMMYFUNCTION("IFERROR(VLOOKUP(E518&amp;F518,IMPORTRANGE(""https://docs.google.com/spreadsheets/d/1Uw7-A9f9R21vMXxHZFNpYNeKFtG8_yji4HS352LGlSQ/edit?pli=1#gid=0"",""1_ACUM!A4:S""),12,FALSE))"),"")</f>
        <v/>
      </c>
      <c r="AY504" s="43" t="str">
        <f ca="1">IFERROR(__xludf.DUMMYFUNCTION("IFERROR(VLOOKUP(E518&amp;F518,IMPORTRANGE(""https://docs.google.com/spreadsheets/d/1Uw7-A9f9R21vMXxHZFNpYNeKFtG8_yji4HS352LGlSQ/edit?pli=1#gid=0"",""1_ACUM!A4:S""),13,FALSE))"),"")</f>
        <v/>
      </c>
      <c r="AZ504" s="43" t="str">
        <f ca="1">IFERROR(__xludf.DUMMYFUNCTION("IFERROR(VLOOKUP(E518&amp;F518,IMPORTRANGE(""https://docs.google.com/spreadsheets/d/1Uw7-A9f9R21vMXxHZFNpYNeKFtG8_yji4HS352LGlSQ/edit?pli=1#gid=0"",""1_ACUM!A4:S""),14,FALSE))"),"")</f>
        <v/>
      </c>
      <c r="BA504" s="43" t="str">
        <f ca="1">IFERROR(__xludf.DUMMYFUNCTION("IFERROR(VLOOKUP(E518&amp;F518,IMPORTRANGE(""https://docs.google.com/spreadsheets/d/1Uw7-A9f9R21vMXxHZFNpYNeKFtG8_yji4HS352LGlSQ/edit?pli=1#gid=0"",""1_ACUM!A4:S""),15,FALSE))"),"")</f>
        <v/>
      </c>
      <c r="BB504" s="43" t="str">
        <f ca="1">IFERROR(__xludf.DUMMYFUNCTION("IFERROR(VLOOKUP(E518&amp;F518,IMPORTRANGE(""https://docs.google.com/spreadsheets/d/1Uw7-A9f9R21vMXxHZFNpYNeKFtG8_yji4HS352LGlSQ/edit?pli=1#gid=0"",""1_ACUM!A4:S""),16,FALSE))"),"")</f>
        <v/>
      </c>
      <c r="BC504" s="43" t="str">
        <f ca="1">IFERROR(__xludf.DUMMYFUNCTION("IFERROR(VLOOKUP(E518&amp;F518,IMPORTRANGE(""https://docs.google.com/spreadsheets/d/1Uw7-A9f9R21vMXxHZFNpYNeKFtG8_yji4HS352LGlSQ/edit?pli=1#gid=0"",""1_ACUM!A4:S""),17,FALSE))"),"")</f>
        <v/>
      </c>
      <c r="BD504" s="44" t="str">
        <f ca="1">IFERROR(__xludf.DUMMYFUNCTION("IFERROR(VLOOKUP(E518&amp;F518,IMPORTRANGE(""https://docs.google.com/spreadsheets/d/1Uw7-A9f9R21vMXxHZFNpYNeKFtG8_yji4HS352LGlSQ/edit?pli=1#gid=0"",""1_ACUM!A4:S""),18,FALSE))"),"")</f>
        <v/>
      </c>
      <c r="BE504" s="44" t="str">
        <f ca="1">IFERROR(__xludf.DUMMYFUNCTION("IFERROR(VLOOKUP(E518&amp;F518,IMPORTRANGE(""https://docs.google.com/spreadsheets/d/1Uw7-A9f9R21vMXxHZFNpYNeKFtG8_yji4HS352LGlSQ/edit?pli=1#gid=0"",""1_ACUM!A4:S""),19,FALSE))"),"")</f>
        <v/>
      </c>
      <c r="BF504" s="98" t="str">
        <f ca="1">IFERROR(__xludf.DUMMYFUNCTION("IFERROR(VLOOKUP(F518,IMPORTRANGE(""https://docs.google.com/spreadsheets/d/1Kvs4KS76FHFqLFIZfrDMff4kP08nblUkihrxltoGBjg/edit#gid=934712705"",""ESENCIAL!A6:BG""),5,FALSE))"),"")</f>
        <v/>
      </c>
      <c r="BG504" s="98" t="str">
        <f t="shared" si="21"/>
        <v/>
      </c>
      <c r="BH504" s="99" t="str">
        <f t="shared" si="22"/>
        <v/>
      </c>
      <c r="BI504" s="100" t="str">
        <f ca="1">IFERROR(__xludf.DUMMYFUNCTION("IFERROR(VLOOKUP(F518,IMPORTRANGE(""https://docs.google.com/spreadsheets/d/1Kvs4KS76FHFqLFIZfrDMff4kP08nblUkihrxltoGBjg/edit#gid=934712705"",""ESENCIAL!A6:BG""),2,FALSE))"),"")</f>
        <v/>
      </c>
      <c r="BJ504" s="19" t="str">
        <f t="shared" si="23"/>
        <v/>
      </c>
      <c r="BK504" s="100"/>
      <c r="BL504" s="100"/>
    </row>
    <row r="505" spans="1:64" ht="15">
      <c r="A505" s="5"/>
      <c r="B505" s="5"/>
      <c r="G505" s="5" t="str">
        <f ca="1">IFERROR(__xludf.DUMMYFUNCTION("IFERROR(VLOOKUP(F519,IMPORTRANGE(""https://docs.google.com/spreadsheets/d/1Kvs4KS76FHFqLFIZfrDMff4kP08nblUkihrxltoGBjg/edit#gid=934712705"",""ESENCIAL!A6:BG""),3,FALSE))"),"")</f>
        <v/>
      </c>
      <c r="H505" s="5" t="str">
        <f ca="1">IFERROR(__xludf.DUMMYFUNCTION("IFERROR(VLOOKUP(F519,IMPORTRANGE(""https://docs.google.com/spreadsheets/d/1Kvs4KS76FHFqLFIZfrDMff4kP08nblUkihrxltoGBjg/edit#gid=934712705"",""ESENCIAL!A6:BG""),8,FALSE))"),"")</f>
        <v/>
      </c>
      <c r="L505" s="287"/>
      <c r="U505" s="40"/>
      <c r="AU505" s="41" t="str">
        <f t="shared" si="20"/>
        <v/>
      </c>
      <c r="AV505" s="5" t="str">
        <f ca="1">IFERROR(__xludf.DUMMYFUNCTION("IFERROR(VLOOKUP(E519&amp;F519,IMPORTRANGE(""https://docs.google.com/spreadsheets/d/1Uw7-A9f9R21vMXxHZFNpYNeKFtG8_yji4HS352LGlSQ/edit?pli=1#gid=0"",""1_ACUM!A4:S""),11,FALSE))"),"")</f>
        <v/>
      </c>
      <c r="AW505" s="42" t="str">
        <f ca="1">IFERROR(__xludf.DUMMYFUNCTION("IFERROR(VLOOKUP(F519,IMPORTRANGE(""https://docs.google.com/spreadsheets/d/1Kvs4KS76FHFqLFIZfrDMff4kP08nblUkihrxltoGBjg/edit#gid=934712705"",""ESENCIAL!A6:BG""),15,FALSE))"),"")</f>
        <v/>
      </c>
      <c r="AX505" s="21" t="str">
        <f ca="1">IFERROR(__xludf.DUMMYFUNCTION("IFERROR(VLOOKUP(E519&amp;F519,IMPORTRANGE(""https://docs.google.com/spreadsheets/d/1Uw7-A9f9R21vMXxHZFNpYNeKFtG8_yji4HS352LGlSQ/edit?pli=1#gid=0"",""1_ACUM!A4:S""),12,FALSE))"),"")</f>
        <v/>
      </c>
      <c r="AY505" s="43" t="str">
        <f ca="1">IFERROR(__xludf.DUMMYFUNCTION("IFERROR(VLOOKUP(E519&amp;F519,IMPORTRANGE(""https://docs.google.com/spreadsheets/d/1Uw7-A9f9R21vMXxHZFNpYNeKFtG8_yji4HS352LGlSQ/edit?pli=1#gid=0"",""1_ACUM!A4:S""),13,FALSE))"),"")</f>
        <v/>
      </c>
      <c r="AZ505" s="43" t="str">
        <f ca="1">IFERROR(__xludf.DUMMYFUNCTION("IFERROR(VLOOKUP(E519&amp;F519,IMPORTRANGE(""https://docs.google.com/spreadsheets/d/1Uw7-A9f9R21vMXxHZFNpYNeKFtG8_yji4HS352LGlSQ/edit?pli=1#gid=0"",""1_ACUM!A4:S""),14,FALSE))"),"")</f>
        <v/>
      </c>
      <c r="BA505" s="43" t="str">
        <f ca="1">IFERROR(__xludf.DUMMYFUNCTION("IFERROR(VLOOKUP(E519&amp;F519,IMPORTRANGE(""https://docs.google.com/spreadsheets/d/1Uw7-A9f9R21vMXxHZFNpYNeKFtG8_yji4HS352LGlSQ/edit?pli=1#gid=0"",""1_ACUM!A4:S""),15,FALSE))"),"")</f>
        <v/>
      </c>
      <c r="BB505" s="43" t="str">
        <f ca="1">IFERROR(__xludf.DUMMYFUNCTION("IFERROR(VLOOKUP(E519&amp;F519,IMPORTRANGE(""https://docs.google.com/spreadsheets/d/1Uw7-A9f9R21vMXxHZFNpYNeKFtG8_yji4HS352LGlSQ/edit?pli=1#gid=0"",""1_ACUM!A4:S""),16,FALSE))"),"")</f>
        <v/>
      </c>
      <c r="BC505" s="43" t="str">
        <f ca="1">IFERROR(__xludf.DUMMYFUNCTION("IFERROR(VLOOKUP(E519&amp;F519,IMPORTRANGE(""https://docs.google.com/spreadsheets/d/1Uw7-A9f9R21vMXxHZFNpYNeKFtG8_yji4HS352LGlSQ/edit?pli=1#gid=0"",""1_ACUM!A4:S""),17,FALSE))"),"")</f>
        <v/>
      </c>
      <c r="BD505" s="44" t="str">
        <f ca="1">IFERROR(__xludf.DUMMYFUNCTION("IFERROR(VLOOKUP(E519&amp;F519,IMPORTRANGE(""https://docs.google.com/spreadsheets/d/1Uw7-A9f9R21vMXxHZFNpYNeKFtG8_yji4HS352LGlSQ/edit?pli=1#gid=0"",""1_ACUM!A4:S""),18,FALSE))"),"")</f>
        <v/>
      </c>
      <c r="BE505" s="44" t="str">
        <f ca="1">IFERROR(__xludf.DUMMYFUNCTION("IFERROR(VLOOKUP(E519&amp;F519,IMPORTRANGE(""https://docs.google.com/spreadsheets/d/1Uw7-A9f9R21vMXxHZFNpYNeKFtG8_yji4HS352LGlSQ/edit?pli=1#gid=0"",""1_ACUM!A4:S""),19,FALSE))"),"")</f>
        <v/>
      </c>
      <c r="BF505" s="98" t="str">
        <f ca="1">IFERROR(__xludf.DUMMYFUNCTION("IFERROR(VLOOKUP(F519,IMPORTRANGE(""https://docs.google.com/spreadsheets/d/1Kvs4KS76FHFqLFIZfrDMff4kP08nblUkihrxltoGBjg/edit#gid=934712705"",""ESENCIAL!A6:BG""),5,FALSE))"),"")</f>
        <v/>
      </c>
      <c r="BG505" s="98" t="str">
        <f t="shared" si="21"/>
        <v/>
      </c>
      <c r="BH505" s="99" t="str">
        <f t="shared" si="22"/>
        <v/>
      </c>
      <c r="BI505" s="100" t="str">
        <f ca="1">IFERROR(__xludf.DUMMYFUNCTION("IFERROR(VLOOKUP(F519,IMPORTRANGE(""https://docs.google.com/spreadsheets/d/1Kvs4KS76FHFqLFIZfrDMff4kP08nblUkihrxltoGBjg/edit#gid=934712705"",""ESENCIAL!A6:BG""),2,FALSE))"),"")</f>
        <v/>
      </c>
      <c r="BJ505" s="19" t="str">
        <f t="shared" si="23"/>
        <v/>
      </c>
      <c r="BK505" s="100"/>
      <c r="BL505" s="100"/>
    </row>
    <row r="506" spans="1:64" ht="15">
      <c r="A506" s="5"/>
      <c r="B506" s="5"/>
      <c r="G506" s="5" t="str">
        <f ca="1">IFERROR(__xludf.DUMMYFUNCTION("IFERROR(VLOOKUP(F520,IMPORTRANGE(""https://docs.google.com/spreadsheets/d/1Kvs4KS76FHFqLFIZfrDMff4kP08nblUkihrxltoGBjg/edit#gid=934712705"",""ESENCIAL!A6:BG""),3,FALSE))"),"")</f>
        <v/>
      </c>
      <c r="H506" s="5" t="str">
        <f ca="1">IFERROR(__xludf.DUMMYFUNCTION("IFERROR(VLOOKUP(F520,IMPORTRANGE(""https://docs.google.com/spreadsheets/d/1Kvs4KS76FHFqLFIZfrDMff4kP08nblUkihrxltoGBjg/edit#gid=934712705"",""ESENCIAL!A6:BG""),8,FALSE))"),"")</f>
        <v/>
      </c>
      <c r="L506" s="287"/>
      <c r="U506" s="40"/>
      <c r="AU506" s="41" t="str">
        <f t="shared" si="20"/>
        <v/>
      </c>
      <c r="AV506" s="5" t="str">
        <f ca="1">IFERROR(__xludf.DUMMYFUNCTION("IFERROR(VLOOKUP(E520&amp;F520,IMPORTRANGE(""https://docs.google.com/spreadsheets/d/1Uw7-A9f9R21vMXxHZFNpYNeKFtG8_yji4HS352LGlSQ/edit?pli=1#gid=0"",""1_ACUM!A4:S""),11,FALSE))"),"")</f>
        <v/>
      </c>
      <c r="AW506" s="42" t="str">
        <f ca="1">IFERROR(__xludf.DUMMYFUNCTION("IFERROR(VLOOKUP(F520,IMPORTRANGE(""https://docs.google.com/spreadsheets/d/1Kvs4KS76FHFqLFIZfrDMff4kP08nblUkihrxltoGBjg/edit#gid=934712705"",""ESENCIAL!A6:BG""),15,FALSE))"),"")</f>
        <v/>
      </c>
      <c r="AX506" s="21" t="str">
        <f ca="1">IFERROR(__xludf.DUMMYFUNCTION("IFERROR(VLOOKUP(E520&amp;F520,IMPORTRANGE(""https://docs.google.com/spreadsheets/d/1Uw7-A9f9R21vMXxHZFNpYNeKFtG8_yji4HS352LGlSQ/edit?pli=1#gid=0"",""1_ACUM!A4:S""),12,FALSE))"),"")</f>
        <v/>
      </c>
      <c r="AY506" s="43" t="str">
        <f ca="1">IFERROR(__xludf.DUMMYFUNCTION("IFERROR(VLOOKUP(E520&amp;F520,IMPORTRANGE(""https://docs.google.com/spreadsheets/d/1Uw7-A9f9R21vMXxHZFNpYNeKFtG8_yji4HS352LGlSQ/edit?pli=1#gid=0"",""1_ACUM!A4:S""),13,FALSE))"),"")</f>
        <v/>
      </c>
      <c r="AZ506" s="43" t="str">
        <f ca="1">IFERROR(__xludf.DUMMYFUNCTION("IFERROR(VLOOKUP(E520&amp;F520,IMPORTRANGE(""https://docs.google.com/spreadsheets/d/1Uw7-A9f9R21vMXxHZFNpYNeKFtG8_yji4HS352LGlSQ/edit?pli=1#gid=0"",""1_ACUM!A4:S""),14,FALSE))"),"")</f>
        <v/>
      </c>
      <c r="BA506" s="43" t="str">
        <f ca="1">IFERROR(__xludf.DUMMYFUNCTION("IFERROR(VLOOKUP(E520&amp;F520,IMPORTRANGE(""https://docs.google.com/spreadsheets/d/1Uw7-A9f9R21vMXxHZFNpYNeKFtG8_yji4HS352LGlSQ/edit?pli=1#gid=0"",""1_ACUM!A4:S""),15,FALSE))"),"")</f>
        <v/>
      </c>
      <c r="BB506" s="43" t="str">
        <f ca="1">IFERROR(__xludf.DUMMYFUNCTION("IFERROR(VLOOKUP(E520&amp;F520,IMPORTRANGE(""https://docs.google.com/spreadsheets/d/1Uw7-A9f9R21vMXxHZFNpYNeKFtG8_yji4HS352LGlSQ/edit?pli=1#gid=0"",""1_ACUM!A4:S""),16,FALSE))"),"")</f>
        <v/>
      </c>
      <c r="BC506" s="43" t="str">
        <f ca="1">IFERROR(__xludf.DUMMYFUNCTION("IFERROR(VLOOKUP(E520&amp;F520,IMPORTRANGE(""https://docs.google.com/spreadsheets/d/1Uw7-A9f9R21vMXxHZFNpYNeKFtG8_yji4HS352LGlSQ/edit?pli=1#gid=0"",""1_ACUM!A4:S""),17,FALSE))"),"")</f>
        <v/>
      </c>
      <c r="BD506" s="44" t="str">
        <f ca="1">IFERROR(__xludf.DUMMYFUNCTION("IFERROR(VLOOKUP(E520&amp;F520,IMPORTRANGE(""https://docs.google.com/spreadsheets/d/1Uw7-A9f9R21vMXxHZFNpYNeKFtG8_yji4HS352LGlSQ/edit?pli=1#gid=0"",""1_ACUM!A4:S""),18,FALSE))"),"")</f>
        <v/>
      </c>
      <c r="BE506" s="44" t="str">
        <f ca="1">IFERROR(__xludf.DUMMYFUNCTION("IFERROR(VLOOKUP(E520&amp;F520,IMPORTRANGE(""https://docs.google.com/spreadsheets/d/1Uw7-A9f9R21vMXxHZFNpYNeKFtG8_yji4HS352LGlSQ/edit?pli=1#gid=0"",""1_ACUM!A4:S""),19,FALSE))"),"")</f>
        <v/>
      </c>
      <c r="BF506" s="98" t="str">
        <f ca="1">IFERROR(__xludf.DUMMYFUNCTION("IFERROR(VLOOKUP(F520,IMPORTRANGE(""https://docs.google.com/spreadsheets/d/1Kvs4KS76FHFqLFIZfrDMff4kP08nblUkihrxltoGBjg/edit#gid=934712705"",""ESENCIAL!A6:BG""),5,FALSE))"),"")</f>
        <v/>
      </c>
      <c r="BG506" s="98" t="str">
        <f t="shared" si="21"/>
        <v/>
      </c>
      <c r="BH506" s="99" t="str">
        <f t="shared" si="22"/>
        <v/>
      </c>
      <c r="BI506" s="100" t="str">
        <f ca="1">IFERROR(__xludf.DUMMYFUNCTION("IFERROR(VLOOKUP(F520,IMPORTRANGE(""https://docs.google.com/spreadsheets/d/1Kvs4KS76FHFqLFIZfrDMff4kP08nblUkihrxltoGBjg/edit#gid=934712705"",""ESENCIAL!A6:BG""),2,FALSE))"),"")</f>
        <v/>
      </c>
      <c r="BJ506" s="19" t="str">
        <f t="shared" si="23"/>
        <v/>
      </c>
      <c r="BK506" s="100"/>
      <c r="BL506" s="100"/>
    </row>
    <row r="507" spans="1:64" ht="15">
      <c r="A507" s="5"/>
      <c r="B507" s="5"/>
      <c r="G507" s="5" t="str">
        <f ca="1">IFERROR(__xludf.DUMMYFUNCTION("IFERROR(VLOOKUP(F521,IMPORTRANGE(""https://docs.google.com/spreadsheets/d/1Kvs4KS76FHFqLFIZfrDMff4kP08nblUkihrxltoGBjg/edit#gid=934712705"",""ESENCIAL!A6:BG""),3,FALSE))"),"")</f>
        <v/>
      </c>
      <c r="H507" s="5" t="str">
        <f ca="1">IFERROR(__xludf.DUMMYFUNCTION("IFERROR(VLOOKUP(F521,IMPORTRANGE(""https://docs.google.com/spreadsheets/d/1Kvs4KS76FHFqLFIZfrDMff4kP08nblUkihrxltoGBjg/edit#gid=934712705"",""ESENCIAL!A6:BG""),8,FALSE))"),"")</f>
        <v/>
      </c>
      <c r="L507" s="287"/>
      <c r="U507" s="40"/>
      <c r="AU507" s="41" t="str">
        <f t="shared" si="20"/>
        <v/>
      </c>
      <c r="AV507" s="5" t="str">
        <f ca="1">IFERROR(__xludf.DUMMYFUNCTION("IFERROR(VLOOKUP(E521&amp;F521,IMPORTRANGE(""https://docs.google.com/spreadsheets/d/1Uw7-A9f9R21vMXxHZFNpYNeKFtG8_yji4HS352LGlSQ/edit?pli=1#gid=0"",""1_ACUM!A4:S""),11,FALSE))"),"")</f>
        <v/>
      </c>
      <c r="AW507" s="42" t="str">
        <f ca="1">IFERROR(__xludf.DUMMYFUNCTION("IFERROR(VLOOKUP(F521,IMPORTRANGE(""https://docs.google.com/spreadsheets/d/1Kvs4KS76FHFqLFIZfrDMff4kP08nblUkihrxltoGBjg/edit#gid=934712705"",""ESENCIAL!A6:BG""),15,FALSE))"),"")</f>
        <v/>
      </c>
      <c r="AX507" s="21" t="str">
        <f ca="1">IFERROR(__xludf.DUMMYFUNCTION("IFERROR(VLOOKUP(E521&amp;F521,IMPORTRANGE(""https://docs.google.com/spreadsheets/d/1Uw7-A9f9R21vMXxHZFNpYNeKFtG8_yji4HS352LGlSQ/edit?pli=1#gid=0"",""1_ACUM!A4:S""),12,FALSE))"),"")</f>
        <v/>
      </c>
      <c r="AY507" s="43" t="str">
        <f ca="1">IFERROR(__xludf.DUMMYFUNCTION("IFERROR(VLOOKUP(E521&amp;F521,IMPORTRANGE(""https://docs.google.com/spreadsheets/d/1Uw7-A9f9R21vMXxHZFNpYNeKFtG8_yji4HS352LGlSQ/edit?pli=1#gid=0"",""1_ACUM!A4:S""),13,FALSE))"),"")</f>
        <v/>
      </c>
      <c r="AZ507" s="43" t="str">
        <f ca="1">IFERROR(__xludf.DUMMYFUNCTION("IFERROR(VLOOKUP(E521&amp;F521,IMPORTRANGE(""https://docs.google.com/spreadsheets/d/1Uw7-A9f9R21vMXxHZFNpYNeKFtG8_yji4HS352LGlSQ/edit?pli=1#gid=0"",""1_ACUM!A4:S""),14,FALSE))"),"")</f>
        <v/>
      </c>
      <c r="BA507" s="43" t="str">
        <f ca="1">IFERROR(__xludf.DUMMYFUNCTION("IFERROR(VLOOKUP(E521&amp;F521,IMPORTRANGE(""https://docs.google.com/spreadsheets/d/1Uw7-A9f9R21vMXxHZFNpYNeKFtG8_yji4HS352LGlSQ/edit?pli=1#gid=0"",""1_ACUM!A4:S""),15,FALSE))"),"")</f>
        <v/>
      </c>
      <c r="BB507" s="43" t="str">
        <f ca="1">IFERROR(__xludf.DUMMYFUNCTION("IFERROR(VLOOKUP(E521&amp;F521,IMPORTRANGE(""https://docs.google.com/spreadsheets/d/1Uw7-A9f9R21vMXxHZFNpYNeKFtG8_yji4HS352LGlSQ/edit?pli=1#gid=0"",""1_ACUM!A4:S""),16,FALSE))"),"")</f>
        <v/>
      </c>
      <c r="BC507" s="43" t="str">
        <f ca="1">IFERROR(__xludf.DUMMYFUNCTION("IFERROR(VLOOKUP(E521&amp;F521,IMPORTRANGE(""https://docs.google.com/spreadsheets/d/1Uw7-A9f9R21vMXxHZFNpYNeKFtG8_yji4HS352LGlSQ/edit?pli=1#gid=0"",""1_ACUM!A4:S""),17,FALSE))"),"")</f>
        <v/>
      </c>
      <c r="BD507" s="44" t="str">
        <f ca="1">IFERROR(__xludf.DUMMYFUNCTION("IFERROR(VLOOKUP(E521&amp;F521,IMPORTRANGE(""https://docs.google.com/spreadsheets/d/1Uw7-A9f9R21vMXxHZFNpYNeKFtG8_yji4HS352LGlSQ/edit?pli=1#gid=0"",""1_ACUM!A4:S""),18,FALSE))"),"")</f>
        <v/>
      </c>
      <c r="BE507" s="44" t="str">
        <f ca="1">IFERROR(__xludf.DUMMYFUNCTION("IFERROR(VLOOKUP(E521&amp;F521,IMPORTRANGE(""https://docs.google.com/spreadsheets/d/1Uw7-A9f9R21vMXxHZFNpYNeKFtG8_yji4HS352LGlSQ/edit?pli=1#gid=0"",""1_ACUM!A4:S""),19,FALSE))"),"")</f>
        <v/>
      </c>
      <c r="BF507" s="98" t="str">
        <f ca="1">IFERROR(__xludf.DUMMYFUNCTION("IFERROR(VLOOKUP(F521,IMPORTRANGE(""https://docs.google.com/spreadsheets/d/1Kvs4KS76FHFqLFIZfrDMff4kP08nblUkihrxltoGBjg/edit#gid=934712705"",""ESENCIAL!A6:BG""),5,FALSE))"),"")</f>
        <v/>
      </c>
      <c r="BG507" s="98" t="str">
        <f t="shared" si="21"/>
        <v/>
      </c>
      <c r="BH507" s="99" t="str">
        <f t="shared" si="22"/>
        <v/>
      </c>
      <c r="BI507" s="100" t="str">
        <f ca="1">IFERROR(__xludf.DUMMYFUNCTION("IFERROR(VLOOKUP(F521,IMPORTRANGE(""https://docs.google.com/spreadsheets/d/1Kvs4KS76FHFqLFIZfrDMff4kP08nblUkihrxltoGBjg/edit#gid=934712705"",""ESENCIAL!A6:BG""),2,FALSE))"),"")</f>
        <v/>
      </c>
      <c r="BJ507" s="19" t="str">
        <f t="shared" si="23"/>
        <v/>
      </c>
      <c r="BK507" s="100"/>
      <c r="BL507" s="100"/>
    </row>
    <row r="508" spans="1:64" ht="15">
      <c r="A508" s="5"/>
      <c r="B508" s="5"/>
      <c r="G508" s="5" t="str">
        <f ca="1">IFERROR(__xludf.DUMMYFUNCTION("IFERROR(VLOOKUP(F522,IMPORTRANGE(""https://docs.google.com/spreadsheets/d/1Kvs4KS76FHFqLFIZfrDMff4kP08nblUkihrxltoGBjg/edit#gid=934712705"",""ESENCIAL!A6:BG""),3,FALSE))"),"")</f>
        <v/>
      </c>
      <c r="H508" s="5" t="str">
        <f ca="1">IFERROR(__xludf.DUMMYFUNCTION("IFERROR(VLOOKUP(F522,IMPORTRANGE(""https://docs.google.com/spreadsheets/d/1Kvs4KS76FHFqLFIZfrDMff4kP08nblUkihrxltoGBjg/edit#gid=934712705"",""ESENCIAL!A6:BG""),8,FALSE))"),"")</f>
        <v/>
      </c>
      <c r="L508" s="287"/>
      <c r="U508" s="40"/>
      <c r="AU508" s="41" t="str">
        <f t="shared" si="20"/>
        <v/>
      </c>
      <c r="AV508" s="5" t="str">
        <f ca="1">IFERROR(__xludf.DUMMYFUNCTION("IFERROR(VLOOKUP(E522&amp;F522,IMPORTRANGE(""https://docs.google.com/spreadsheets/d/1Uw7-A9f9R21vMXxHZFNpYNeKFtG8_yji4HS352LGlSQ/edit?pli=1#gid=0"",""1_ACUM!A4:S""),11,FALSE))"),"")</f>
        <v/>
      </c>
      <c r="AW508" s="42" t="str">
        <f ca="1">IFERROR(__xludf.DUMMYFUNCTION("IFERROR(VLOOKUP(F522,IMPORTRANGE(""https://docs.google.com/spreadsheets/d/1Kvs4KS76FHFqLFIZfrDMff4kP08nblUkihrxltoGBjg/edit#gid=934712705"",""ESENCIAL!A6:BG""),15,FALSE))"),"")</f>
        <v/>
      </c>
      <c r="AX508" s="21" t="str">
        <f ca="1">IFERROR(__xludf.DUMMYFUNCTION("IFERROR(VLOOKUP(E522&amp;F522,IMPORTRANGE(""https://docs.google.com/spreadsheets/d/1Uw7-A9f9R21vMXxHZFNpYNeKFtG8_yji4HS352LGlSQ/edit?pli=1#gid=0"",""1_ACUM!A4:S""),12,FALSE))"),"")</f>
        <v/>
      </c>
      <c r="AY508" s="43" t="str">
        <f ca="1">IFERROR(__xludf.DUMMYFUNCTION("IFERROR(VLOOKUP(E522&amp;F522,IMPORTRANGE(""https://docs.google.com/spreadsheets/d/1Uw7-A9f9R21vMXxHZFNpYNeKFtG8_yji4HS352LGlSQ/edit?pli=1#gid=0"",""1_ACUM!A4:S""),13,FALSE))"),"")</f>
        <v/>
      </c>
      <c r="AZ508" s="43" t="str">
        <f ca="1">IFERROR(__xludf.DUMMYFUNCTION("IFERROR(VLOOKUP(E522&amp;F522,IMPORTRANGE(""https://docs.google.com/spreadsheets/d/1Uw7-A9f9R21vMXxHZFNpYNeKFtG8_yji4HS352LGlSQ/edit?pli=1#gid=0"",""1_ACUM!A4:S""),14,FALSE))"),"")</f>
        <v/>
      </c>
      <c r="BA508" s="43" t="str">
        <f ca="1">IFERROR(__xludf.DUMMYFUNCTION("IFERROR(VLOOKUP(E522&amp;F522,IMPORTRANGE(""https://docs.google.com/spreadsheets/d/1Uw7-A9f9R21vMXxHZFNpYNeKFtG8_yji4HS352LGlSQ/edit?pli=1#gid=0"",""1_ACUM!A4:S""),15,FALSE))"),"")</f>
        <v/>
      </c>
      <c r="BB508" s="43" t="str">
        <f ca="1">IFERROR(__xludf.DUMMYFUNCTION("IFERROR(VLOOKUP(E522&amp;F522,IMPORTRANGE(""https://docs.google.com/spreadsheets/d/1Uw7-A9f9R21vMXxHZFNpYNeKFtG8_yji4HS352LGlSQ/edit?pli=1#gid=0"",""1_ACUM!A4:S""),16,FALSE))"),"")</f>
        <v/>
      </c>
      <c r="BC508" s="43" t="str">
        <f ca="1">IFERROR(__xludf.DUMMYFUNCTION("IFERROR(VLOOKUP(E522&amp;F522,IMPORTRANGE(""https://docs.google.com/spreadsheets/d/1Uw7-A9f9R21vMXxHZFNpYNeKFtG8_yji4HS352LGlSQ/edit?pli=1#gid=0"",""1_ACUM!A4:S""),17,FALSE))"),"")</f>
        <v/>
      </c>
      <c r="BD508" s="44" t="str">
        <f ca="1">IFERROR(__xludf.DUMMYFUNCTION("IFERROR(VLOOKUP(E522&amp;F522,IMPORTRANGE(""https://docs.google.com/spreadsheets/d/1Uw7-A9f9R21vMXxHZFNpYNeKFtG8_yji4HS352LGlSQ/edit?pli=1#gid=0"",""1_ACUM!A4:S""),18,FALSE))"),"")</f>
        <v/>
      </c>
      <c r="BE508" s="44" t="str">
        <f ca="1">IFERROR(__xludf.DUMMYFUNCTION("IFERROR(VLOOKUP(E522&amp;F522,IMPORTRANGE(""https://docs.google.com/spreadsheets/d/1Uw7-A9f9R21vMXxHZFNpYNeKFtG8_yji4HS352LGlSQ/edit?pli=1#gid=0"",""1_ACUM!A4:S""),19,FALSE))"),"")</f>
        <v/>
      </c>
      <c r="BF508" s="98" t="str">
        <f ca="1">IFERROR(__xludf.DUMMYFUNCTION("IFERROR(VLOOKUP(F522,IMPORTRANGE(""https://docs.google.com/spreadsheets/d/1Kvs4KS76FHFqLFIZfrDMff4kP08nblUkihrxltoGBjg/edit#gid=934712705"",""ESENCIAL!A6:BG""),5,FALSE))"),"")</f>
        <v/>
      </c>
      <c r="BG508" s="98" t="str">
        <f t="shared" si="21"/>
        <v/>
      </c>
      <c r="BH508" s="99" t="str">
        <f t="shared" si="22"/>
        <v/>
      </c>
      <c r="BI508" s="100" t="str">
        <f ca="1">IFERROR(__xludf.DUMMYFUNCTION("IFERROR(VLOOKUP(F522,IMPORTRANGE(""https://docs.google.com/spreadsheets/d/1Kvs4KS76FHFqLFIZfrDMff4kP08nblUkihrxltoGBjg/edit#gid=934712705"",""ESENCIAL!A6:BG""),2,FALSE))"),"")</f>
        <v/>
      </c>
      <c r="BJ508" s="19" t="str">
        <f t="shared" si="23"/>
        <v/>
      </c>
      <c r="BK508" s="100"/>
      <c r="BL508" s="100"/>
    </row>
    <row r="509" spans="1:64" ht="15">
      <c r="A509" s="5"/>
      <c r="B509" s="5"/>
      <c r="G509" s="5" t="str">
        <f ca="1">IFERROR(__xludf.DUMMYFUNCTION("IFERROR(VLOOKUP(F523,IMPORTRANGE(""https://docs.google.com/spreadsheets/d/1Kvs4KS76FHFqLFIZfrDMff4kP08nblUkihrxltoGBjg/edit#gid=934712705"",""ESENCIAL!A6:BG""),3,FALSE))"),"")</f>
        <v/>
      </c>
      <c r="H509" s="5" t="str">
        <f ca="1">IFERROR(__xludf.DUMMYFUNCTION("IFERROR(VLOOKUP(F523,IMPORTRANGE(""https://docs.google.com/spreadsheets/d/1Kvs4KS76FHFqLFIZfrDMff4kP08nblUkihrxltoGBjg/edit#gid=934712705"",""ESENCIAL!A6:BG""),8,FALSE))"),"")</f>
        <v/>
      </c>
      <c r="L509" s="287"/>
      <c r="U509" s="40"/>
      <c r="AU509" s="41" t="str">
        <f t="shared" si="20"/>
        <v/>
      </c>
      <c r="AV509" s="5" t="str">
        <f ca="1">IFERROR(__xludf.DUMMYFUNCTION("IFERROR(VLOOKUP(E523&amp;F523,IMPORTRANGE(""https://docs.google.com/spreadsheets/d/1Uw7-A9f9R21vMXxHZFNpYNeKFtG8_yji4HS352LGlSQ/edit?pli=1#gid=0"",""1_ACUM!A4:S""),11,FALSE))"),"")</f>
        <v/>
      </c>
      <c r="AW509" s="42" t="str">
        <f ca="1">IFERROR(__xludf.DUMMYFUNCTION("IFERROR(VLOOKUP(F523,IMPORTRANGE(""https://docs.google.com/spreadsheets/d/1Kvs4KS76FHFqLFIZfrDMff4kP08nblUkihrxltoGBjg/edit#gid=934712705"",""ESENCIAL!A6:BG""),15,FALSE))"),"")</f>
        <v/>
      </c>
      <c r="AX509" s="21" t="str">
        <f ca="1">IFERROR(__xludf.DUMMYFUNCTION("IFERROR(VLOOKUP(E523&amp;F523,IMPORTRANGE(""https://docs.google.com/spreadsheets/d/1Uw7-A9f9R21vMXxHZFNpYNeKFtG8_yji4HS352LGlSQ/edit?pli=1#gid=0"",""1_ACUM!A4:S""),12,FALSE))"),"")</f>
        <v/>
      </c>
      <c r="AY509" s="43" t="str">
        <f ca="1">IFERROR(__xludf.DUMMYFUNCTION("IFERROR(VLOOKUP(E523&amp;F523,IMPORTRANGE(""https://docs.google.com/spreadsheets/d/1Uw7-A9f9R21vMXxHZFNpYNeKFtG8_yji4HS352LGlSQ/edit?pli=1#gid=0"",""1_ACUM!A4:S""),13,FALSE))"),"")</f>
        <v/>
      </c>
      <c r="AZ509" s="43" t="str">
        <f ca="1">IFERROR(__xludf.DUMMYFUNCTION("IFERROR(VLOOKUP(E523&amp;F523,IMPORTRANGE(""https://docs.google.com/spreadsheets/d/1Uw7-A9f9R21vMXxHZFNpYNeKFtG8_yji4HS352LGlSQ/edit?pli=1#gid=0"",""1_ACUM!A4:S""),14,FALSE))"),"")</f>
        <v/>
      </c>
      <c r="BA509" s="43" t="str">
        <f ca="1">IFERROR(__xludf.DUMMYFUNCTION("IFERROR(VLOOKUP(E523&amp;F523,IMPORTRANGE(""https://docs.google.com/spreadsheets/d/1Uw7-A9f9R21vMXxHZFNpYNeKFtG8_yji4HS352LGlSQ/edit?pli=1#gid=0"",""1_ACUM!A4:S""),15,FALSE))"),"")</f>
        <v/>
      </c>
      <c r="BB509" s="43" t="str">
        <f ca="1">IFERROR(__xludf.DUMMYFUNCTION("IFERROR(VLOOKUP(E523&amp;F523,IMPORTRANGE(""https://docs.google.com/spreadsheets/d/1Uw7-A9f9R21vMXxHZFNpYNeKFtG8_yji4HS352LGlSQ/edit?pli=1#gid=0"",""1_ACUM!A4:S""),16,FALSE))"),"")</f>
        <v/>
      </c>
      <c r="BC509" s="43" t="str">
        <f ca="1">IFERROR(__xludf.DUMMYFUNCTION("IFERROR(VLOOKUP(E523&amp;F523,IMPORTRANGE(""https://docs.google.com/spreadsheets/d/1Uw7-A9f9R21vMXxHZFNpYNeKFtG8_yji4HS352LGlSQ/edit?pli=1#gid=0"",""1_ACUM!A4:S""),17,FALSE))"),"")</f>
        <v/>
      </c>
      <c r="BD509" s="44" t="str">
        <f ca="1">IFERROR(__xludf.DUMMYFUNCTION("IFERROR(VLOOKUP(E523&amp;F523,IMPORTRANGE(""https://docs.google.com/spreadsheets/d/1Uw7-A9f9R21vMXxHZFNpYNeKFtG8_yji4HS352LGlSQ/edit?pli=1#gid=0"",""1_ACUM!A4:S""),18,FALSE))"),"")</f>
        <v/>
      </c>
      <c r="BE509" s="44" t="str">
        <f ca="1">IFERROR(__xludf.DUMMYFUNCTION("IFERROR(VLOOKUP(E523&amp;F523,IMPORTRANGE(""https://docs.google.com/spreadsheets/d/1Uw7-A9f9R21vMXxHZFNpYNeKFtG8_yji4HS352LGlSQ/edit?pli=1#gid=0"",""1_ACUM!A4:S""),19,FALSE))"),"")</f>
        <v/>
      </c>
      <c r="BF509" s="98" t="str">
        <f ca="1">IFERROR(__xludf.DUMMYFUNCTION("IFERROR(VLOOKUP(F523,IMPORTRANGE(""https://docs.google.com/spreadsheets/d/1Kvs4KS76FHFqLFIZfrDMff4kP08nblUkihrxltoGBjg/edit#gid=934712705"",""ESENCIAL!A6:BG""),5,FALSE))"),"")</f>
        <v/>
      </c>
      <c r="BG509" s="98" t="str">
        <f t="shared" si="21"/>
        <v/>
      </c>
      <c r="BH509" s="99" t="str">
        <f t="shared" si="22"/>
        <v/>
      </c>
      <c r="BI509" s="100" t="str">
        <f ca="1">IFERROR(__xludf.DUMMYFUNCTION("IFERROR(VLOOKUP(F523,IMPORTRANGE(""https://docs.google.com/spreadsheets/d/1Kvs4KS76FHFqLFIZfrDMff4kP08nblUkihrxltoGBjg/edit#gid=934712705"",""ESENCIAL!A6:BG""),2,FALSE))"),"")</f>
        <v/>
      </c>
      <c r="BJ509" s="19" t="str">
        <f t="shared" si="23"/>
        <v/>
      </c>
      <c r="BK509" s="100"/>
      <c r="BL509" s="100"/>
    </row>
    <row r="510" spans="1:64" ht="15">
      <c r="A510" s="5"/>
      <c r="B510" s="5"/>
      <c r="G510" s="5" t="str">
        <f ca="1">IFERROR(__xludf.DUMMYFUNCTION("IFERROR(VLOOKUP(F524,IMPORTRANGE(""https://docs.google.com/spreadsheets/d/1Kvs4KS76FHFqLFIZfrDMff4kP08nblUkihrxltoGBjg/edit#gid=934712705"",""ESENCIAL!A6:BG""),3,FALSE))"),"")</f>
        <v/>
      </c>
      <c r="H510" s="5" t="str">
        <f ca="1">IFERROR(__xludf.DUMMYFUNCTION("IFERROR(VLOOKUP(F524,IMPORTRANGE(""https://docs.google.com/spreadsheets/d/1Kvs4KS76FHFqLFIZfrDMff4kP08nblUkihrxltoGBjg/edit#gid=934712705"",""ESENCIAL!A6:BG""),8,FALSE))"),"")</f>
        <v/>
      </c>
      <c r="L510" s="287"/>
      <c r="U510" s="40"/>
      <c r="AU510" s="41" t="str">
        <f t="shared" si="20"/>
        <v/>
      </c>
      <c r="AV510" s="5" t="str">
        <f ca="1">IFERROR(__xludf.DUMMYFUNCTION("IFERROR(VLOOKUP(E524&amp;F524,IMPORTRANGE(""https://docs.google.com/spreadsheets/d/1Uw7-A9f9R21vMXxHZFNpYNeKFtG8_yji4HS352LGlSQ/edit?pli=1#gid=0"",""1_ACUM!A4:S""),11,FALSE))"),"")</f>
        <v/>
      </c>
      <c r="AW510" s="42" t="str">
        <f ca="1">IFERROR(__xludf.DUMMYFUNCTION("IFERROR(VLOOKUP(F524,IMPORTRANGE(""https://docs.google.com/spreadsheets/d/1Kvs4KS76FHFqLFIZfrDMff4kP08nblUkihrxltoGBjg/edit#gid=934712705"",""ESENCIAL!A6:BG""),15,FALSE))"),"")</f>
        <v/>
      </c>
      <c r="AX510" s="21" t="str">
        <f ca="1">IFERROR(__xludf.DUMMYFUNCTION("IFERROR(VLOOKUP(E524&amp;F524,IMPORTRANGE(""https://docs.google.com/spreadsheets/d/1Uw7-A9f9R21vMXxHZFNpYNeKFtG8_yji4HS352LGlSQ/edit?pli=1#gid=0"",""1_ACUM!A4:S""),12,FALSE))"),"")</f>
        <v/>
      </c>
      <c r="AY510" s="43" t="str">
        <f ca="1">IFERROR(__xludf.DUMMYFUNCTION("IFERROR(VLOOKUP(E524&amp;F524,IMPORTRANGE(""https://docs.google.com/spreadsheets/d/1Uw7-A9f9R21vMXxHZFNpYNeKFtG8_yji4HS352LGlSQ/edit?pli=1#gid=0"",""1_ACUM!A4:S""),13,FALSE))"),"")</f>
        <v/>
      </c>
      <c r="AZ510" s="43" t="str">
        <f ca="1">IFERROR(__xludf.DUMMYFUNCTION("IFERROR(VLOOKUP(E524&amp;F524,IMPORTRANGE(""https://docs.google.com/spreadsheets/d/1Uw7-A9f9R21vMXxHZFNpYNeKFtG8_yji4HS352LGlSQ/edit?pli=1#gid=0"",""1_ACUM!A4:S""),14,FALSE))"),"")</f>
        <v/>
      </c>
      <c r="BA510" s="43" t="str">
        <f ca="1">IFERROR(__xludf.DUMMYFUNCTION("IFERROR(VLOOKUP(E524&amp;F524,IMPORTRANGE(""https://docs.google.com/spreadsheets/d/1Uw7-A9f9R21vMXxHZFNpYNeKFtG8_yji4HS352LGlSQ/edit?pli=1#gid=0"",""1_ACUM!A4:S""),15,FALSE))"),"")</f>
        <v/>
      </c>
      <c r="BB510" s="43" t="str">
        <f ca="1">IFERROR(__xludf.DUMMYFUNCTION("IFERROR(VLOOKUP(E524&amp;F524,IMPORTRANGE(""https://docs.google.com/spreadsheets/d/1Uw7-A9f9R21vMXxHZFNpYNeKFtG8_yji4HS352LGlSQ/edit?pli=1#gid=0"",""1_ACUM!A4:S""),16,FALSE))"),"")</f>
        <v/>
      </c>
      <c r="BC510" s="43" t="str">
        <f ca="1">IFERROR(__xludf.DUMMYFUNCTION("IFERROR(VLOOKUP(E524&amp;F524,IMPORTRANGE(""https://docs.google.com/spreadsheets/d/1Uw7-A9f9R21vMXxHZFNpYNeKFtG8_yji4HS352LGlSQ/edit?pli=1#gid=0"",""1_ACUM!A4:S""),17,FALSE))"),"")</f>
        <v/>
      </c>
      <c r="BD510" s="44" t="str">
        <f ca="1">IFERROR(__xludf.DUMMYFUNCTION("IFERROR(VLOOKUP(E524&amp;F524,IMPORTRANGE(""https://docs.google.com/spreadsheets/d/1Uw7-A9f9R21vMXxHZFNpYNeKFtG8_yji4HS352LGlSQ/edit?pli=1#gid=0"",""1_ACUM!A4:S""),18,FALSE))"),"")</f>
        <v/>
      </c>
      <c r="BE510" s="44" t="str">
        <f ca="1">IFERROR(__xludf.DUMMYFUNCTION("IFERROR(VLOOKUP(E524&amp;F524,IMPORTRANGE(""https://docs.google.com/spreadsheets/d/1Uw7-A9f9R21vMXxHZFNpYNeKFtG8_yji4HS352LGlSQ/edit?pli=1#gid=0"",""1_ACUM!A4:S""),19,FALSE))"),"")</f>
        <v/>
      </c>
      <c r="BF510" s="98" t="str">
        <f ca="1">IFERROR(__xludf.DUMMYFUNCTION("IFERROR(VLOOKUP(F524,IMPORTRANGE(""https://docs.google.com/spreadsheets/d/1Kvs4KS76FHFqLFIZfrDMff4kP08nblUkihrxltoGBjg/edit#gid=934712705"",""ESENCIAL!A6:BG""),5,FALSE))"),"")</f>
        <v/>
      </c>
      <c r="BG510" s="98" t="str">
        <f t="shared" si="21"/>
        <v/>
      </c>
      <c r="BH510" s="99" t="str">
        <f t="shared" si="22"/>
        <v/>
      </c>
      <c r="BI510" s="100" t="str">
        <f ca="1">IFERROR(__xludf.DUMMYFUNCTION("IFERROR(VLOOKUP(F524,IMPORTRANGE(""https://docs.google.com/spreadsheets/d/1Kvs4KS76FHFqLFIZfrDMff4kP08nblUkihrxltoGBjg/edit#gid=934712705"",""ESENCIAL!A6:BG""),2,FALSE))"),"")</f>
        <v/>
      </c>
      <c r="BJ510" s="19" t="str">
        <f t="shared" si="23"/>
        <v/>
      </c>
      <c r="BK510" s="100"/>
      <c r="BL510" s="100"/>
    </row>
    <row r="511" spans="1:64" ht="15">
      <c r="A511" s="5"/>
      <c r="B511" s="5"/>
      <c r="G511" s="5" t="str">
        <f ca="1">IFERROR(__xludf.DUMMYFUNCTION("IFERROR(VLOOKUP(F525,IMPORTRANGE(""https://docs.google.com/spreadsheets/d/1Kvs4KS76FHFqLFIZfrDMff4kP08nblUkihrxltoGBjg/edit#gid=934712705"",""ESENCIAL!A6:BG""),3,FALSE))"),"")</f>
        <v/>
      </c>
      <c r="H511" s="5" t="str">
        <f ca="1">IFERROR(__xludf.DUMMYFUNCTION("IFERROR(VLOOKUP(F525,IMPORTRANGE(""https://docs.google.com/spreadsheets/d/1Kvs4KS76FHFqLFIZfrDMff4kP08nblUkihrxltoGBjg/edit#gid=934712705"",""ESENCIAL!A6:BG""),8,FALSE))"),"")</f>
        <v/>
      </c>
      <c r="L511" s="287"/>
      <c r="U511" s="40"/>
      <c r="AU511" s="41" t="str">
        <f t="shared" si="20"/>
        <v/>
      </c>
      <c r="AV511" s="5" t="str">
        <f ca="1">IFERROR(__xludf.DUMMYFUNCTION("IFERROR(VLOOKUP(E525&amp;F525,IMPORTRANGE(""https://docs.google.com/spreadsheets/d/1Uw7-A9f9R21vMXxHZFNpYNeKFtG8_yji4HS352LGlSQ/edit?pli=1#gid=0"",""1_ACUM!A4:S""),11,FALSE))"),"")</f>
        <v/>
      </c>
      <c r="AW511" s="42" t="str">
        <f ca="1">IFERROR(__xludf.DUMMYFUNCTION("IFERROR(VLOOKUP(F525,IMPORTRANGE(""https://docs.google.com/spreadsheets/d/1Kvs4KS76FHFqLFIZfrDMff4kP08nblUkihrxltoGBjg/edit#gid=934712705"",""ESENCIAL!A6:BG""),15,FALSE))"),"")</f>
        <v/>
      </c>
      <c r="AX511" s="21" t="str">
        <f ca="1">IFERROR(__xludf.DUMMYFUNCTION("IFERROR(VLOOKUP(E525&amp;F525,IMPORTRANGE(""https://docs.google.com/spreadsheets/d/1Uw7-A9f9R21vMXxHZFNpYNeKFtG8_yji4HS352LGlSQ/edit?pli=1#gid=0"",""1_ACUM!A4:S""),12,FALSE))"),"")</f>
        <v/>
      </c>
      <c r="AY511" s="43" t="str">
        <f ca="1">IFERROR(__xludf.DUMMYFUNCTION("IFERROR(VLOOKUP(E525&amp;F525,IMPORTRANGE(""https://docs.google.com/spreadsheets/d/1Uw7-A9f9R21vMXxHZFNpYNeKFtG8_yji4HS352LGlSQ/edit?pli=1#gid=0"",""1_ACUM!A4:S""),13,FALSE))"),"")</f>
        <v/>
      </c>
      <c r="AZ511" s="43" t="str">
        <f ca="1">IFERROR(__xludf.DUMMYFUNCTION("IFERROR(VLOOKUP(E525&amp;F525,IMPORTRANGE(""https://docs.google.com/spreadsheets/d/1Uw7-A9f9R21vMXxHZFNpYNeKFtG8_yji4HS352LGlSQ/edit?pli=1#gid=0"",""1_ACUM!A4:S""),14,FALSE))"),"")</f>
        <v/>
      </c>
      <c r="BA511" s="43" t="str">
        <f ca="1">IFERROR(__xludf.DUMMYFUNCTION("IFERROR(VLOOKUP(E525&amp;F525,IMPORTRANGE(""https://docs.google.com/spreadsheets/d/1Uw7-A9f9R21vMXxHZFNpYNeKFtG8_yji4HS352LGlSQ/edit?pli=1#gid=0"",""1_ACUM!A4:S""),15,FALSE))"),"")</f>
        <v/>
      </c>
      <c r="BB511" s="43" t="str">
        <f ca="1">IFERROR(__xludf.DUMMYFUNCTION("IFERROR(VLOOKUP(E525&amp;F525,IMPORTRANGE(""https://docs.google.com/spreadsheets/d/1Uw7-A9f9R21vMXxHZFNpYNeKFtG8_yji4HS352LGlSQ/edit?pli=1#gid=0"",""1_ACUM!A4:S""),16,FALSE))"),"")</f>
        <v/>
      </c>
      <c r="BC511" s="43" t="str">
        <f ca="1">IFERROR(__xludf.DUMMYFUNCTION("IFERROR(VLOOKUP(E525&amp;F525,IMPORTRANGE(""https://docs.google.com/spreadsheets/d/1Uw7-A9f9R21vMXxHZFNpYNeKFtG8_yji4HS352LGlSQ/edit?pli=1#gid=0"",""1_ACUM!A4:S""),17,FALSE))"),"")</f>
        <v/>
      </c>
      <c r="BD511" s="44" t="str">
        <f ca="1">IFERROR(__xludf.DUMMYFUNCTION("IFERROR(VLOOKUP(E525&amp;F525,IMPORTRANGE(""https://docs.google.com/spreadsheets/d/1Uw7-A9f9R21vMXxHZFNpYNeKFtG8_yji4HS352LGlSQ/edit?pli=1#gid=0"",""1_ACUM!A4:S""),18,FALSE))"),"")</f>
        <v/>
      </c>
      <c r="BE511" s="44" t="str">
        <f ca="1">IFERROR(__xludf.DUMMYFUNCTION("IFERROR(VLOOKUP(E525&amp;F525,IMPORTRANGE(""https://docs.google.com/spreadsheets/d/1Uw7-A9f9R21vMXxHZFNpYNeKFtG8_yji4HS352LGlSQ/edit?pli=1#gid=0"",""1_ACUM!A4:S""),19,FALSE))"),"")</f>
        <v/>
      </c>
      <c r="BF511" s="98" t="str">
        <f ca="1">IFERROR(__xludf.DUMMYFUNCTION("IFERROR(VLOOKUP(F525,IMPORTRANGE(""https://docs.google.com/spreadsheets/d/1Kvs4KS76FHFqLFIZfrDMff4kP08nblUkihrxltoGBjg/edit#gid=934712705"",""ESENCIAL!A6:BG""),5,FALSE))"),"")</f>
        <v/>
      </c>
      <c r="BG511" s="98" t="str">
        <f t="shared" si="21"/>
        <v/>
      </c>
      <c r="BH511" s="99" t="str">
        <f t="shared" si="22"/>
        <v/>
      </c>
      <c r="BI511" s="100" t="str">
        <f ca="1">IFERROR(__xludf.DUMMYFUNCTION("IFERROR(VLOOKUP(F525,IMPORTRANGE(""https://docs.google.com/spreadsheets/d/1Kvs4KS76FHFqLFIZfrDMff4kP08nblUkihrxltoGBjg/edit#gid=934712705"",""ESENCIAL!A6:BG""),2,FALSE))"),"")</f>
        <v/>
      </c>
      <c r="BJ511" s="19" t="str">
        <f t="shared" si="23"/>
        <v/>
      </c>
      <c r="BK511" s="100"/>
      <c r="BL511" s="100"/>
    </row>
    <row r="512" spans="1:64" ht="15">
      <c r="A512" s="5"/>
      <c r="B512" s="5"/>
      <c r="G512" s="5" t="str">
        <f ca="1">IFERROR(__xludf.DUMMYFUNCTION("IFERROR(VLOOKUP(F526,IMPORTRANGE(""https://docs.google.com/spreadsheets/d/1Kvs4KS76FHFqLFIZfrDMff4kP08nblUkihrxltoGBjg/edit#gid=934712705"",""ESENCIAL!A6:BG""),3,FALSE))"),"")</f>
        <v/>
      </c>
      <c r="H512" s="5" t="str">
        <f ca="1">IFERROR(__xludf.DUMMYFUNCTION("IFERROR(VLOOKUP(F526,IMPORTRANGE(""https://docs.google.com/spreadsheets/d/1Kvs4KS76FHFqLFIZfrDMff4kP08nblUkihrxltoGBjg/edit#gid=934712705"",""ESENCIAL!A6:BG""),8,FALSE))"),"")</f>
        <v/>
      </c>
      <c r="L512" s="287"/>
      <c r="U512" s="40"/>
      <c r="AU512" s="41" t="str">
        <f t="shared" si="20"/>
        <v/>
      </c>
      <c r="AV512" s="5" t="str">
        <f ca="1">IFERROR(__xludf.DUMMYFUNCTION("IFERROR(VLOOKUP(E526&amp;F526,IMPORTRANGE(""https://docs.google.com/spreadsheets/d/1Uw7-A9f9R21vMXxHZFNpYNeKFtG8_yji4HS352LGlSQ/edit?pli=1#gid=0"",""1_ACUM!A4:S""),11,FALSE))"),"")</f>
        <v/>
      </c>
      <c r="AW512" s="42" t="str">
        <f ca="1">IFERROR(__xludf.DUMMYFUNCTION("IFERROR(VLOOKUP(F526,IMPORTRANGE(""https://docs.google.com/spreadsheets/d/1Kvs4KS76FHFqLFIZfrDMff4kP08nblUkihrxltoGBjg/edit#gid=934712705"",""ESENCIAL!A6:BG""),15,FALSE))"),"")</f>
        <v/>
      </c>
      <c r="AX512" s="21" t="str">
        <f ca="1">IFERROR(__xludf.DUMMYFUNCTION("IFERROR(VLOOKUP(E526&amp;F526,IMPORTRANGE(""https://docs.google.com/spreadsheets/d/1Uw7-A9f9R21vMXxHZFNpYNeKFtG8_yji4HS352LGlSQ/edit?pli=1#gid=0"",""1_ACUM!A4:S""),12,FALSE))"),"")</f>
        <v/>
      </c>
      <c r="AY512" s="43" t="str">
        <f ca="1">IFERROR(__xludf.DUMMYFUNCTION("IFERROR(VLOOKUP(E526&amp;F526,IMPORTRANGE(""https://docs.google.com/spreadsheets/d/1Uw7-A9f9R21vMXxHZFNpYNeKFtG8_yji4HS352LGlSQ/edit?pli=1#gid=0"",""1_ACUM!A4:S""),13,FALSE))"),"")</f>
        <v/>
      </c>
      <c r="AZ512" s="43" t="str">
        <f ca="1">IFERROR(__xludf.DUMMYFUNCTION("IFERROR(VLOOKUP(E526&amp;F526,IMPORTRANGE(""https://docs.google.com/spreadsheets/d/1Uw7-A9f9R21vMXxHZFNpYNeKFtG8_yji4HS352LGlSQ/edit?pli=1#gid=0"",""1_ACUM!A4:S""),14,FALSE))"),"")</f>
        <v/>
      </c>
      <c r="BA512" s="43" t="str">
        <f ca="1">IFERROR(__xludf.DUMMYFUNCTION("IFERROR(VLOOKUP(E526&amp;F526,IMPORTRANGE(""https://docs.google.com/spreadsheets/d/1Uw7-A9f9R21vMXxHZFNpYNeKFtG8_yji4HS352LGlSQ/edit?pli=1#gid=0"",""1_ACUM!A4:S""),15,FALSE))"),"")</f>
        <v/>
      </c>
      <c r="BB512" s="43" t="str">
        <f ca="1">IFERROR(__xludf.DUMMYFUNCTION("IFERROR(VLOOKUP(E526&amp;F526,IMPORTRANGE(""https://docs.google.com/spreadsheets/d/1Uw7-A9f9R21vMXxHZFNpYNeKFtG8_yji4HS352LGlSQ/edit?pli=1#gid=0"",""1_ACUM!A4:S""),16,FALSE))"),"")</f>
        <v/>
      </c>
      <c r="BC512" s="43" t="str">
        <f ca="1">IFERROR(__xludf.DUMMYFUNCTION("IFERROR(VLOOKUP(E526&amp;F526,IMPORTRANGE(""https://docs.google.com/spreadsheets/d/1Uw7-A9f9R21vMXxHZFNpYNeKFtG8_yji4HS352LGlSQ/edit?pli=1#gid=0"",""1_ACUM!A4:S""),17,FALSE))"),"")</f>
        <v/>
      </c>
      <c r="BD512" s="44" t="str">
        <f ca="1">IFERROR(__xludf.DUMMYFUNCTION("IFERROR(VLOOKUP(E526&amp;F526,IMPORTRANGE(""https://docs.google.com/spreadsheets/d/1Uw7-A9f9R21vMXxHZFNpYNeKFtG8_yji4HS352LGlSQ/edit?pli=1#gid=0"",""1_ACUM!A4:S""),18,FALSE))"),"")</f>
        <v/>
      </c>
      <c r="BE512" s="44" t="str">
        <f ca="1">IFERROR(__xludf.DUMMYFUNCTION("IFERROR(VLOOKUP(E526&amp;F526,IMPORTRANGE(""https://docs.google.com/spreadsheets/d/1Uw7-A9f9R21vMXxHZFNpYNeKFtG8_yji4HS352LGlSQ/edit?pli=1#gid=0"",""1_ACUM!A4:S""),19,FALSE))"),"")</f>
        <v/>
      </c>
      <c r="BF512" s="98" t="str">
        <f ca="1">IFERROR(__xludf.DUMMYFUNCTION("IFERROR(VLOOKUP(F526,IMPORTRANGE(""https://docs.google.com/spreadsheets/d/1Kvs4KS76FHFqLFIZfrDMff4kP08nblUkihrxltoGBjg/edit#gid=934712705"",""ESENCIAL!A6:BG""),5,FALSE))"),"")</f>
        <v/>
      </c>
      <c r="BG512" s="98" t="str">
        <f t="shared" si="21"/>
        <v/>
      </c>
      <c r="BH512" s="99" t="str">
        <f t="shared" si="22"/>
        <v/>
      </c>
      <c r="BI512" s="100" t="str">
        <f ca="1">IFERROR(__xludf.DUMMYFUNCTION("IFERROR(VLOOKUP(F526,IMPORTRANGE(""https://docs.google.com/spreadsheets/d/1Kvs4KS76FHFqLFIZfrDMff4kP08nblUkihrxltoGBjg/edit#gid=934712705"",""ESENCIAL!A6:BG""),2,FALSE))"),"")</f>
        <v/>
      </c>
      <c r="BJ512" s="19" t="str">
        <f t="shared" si="23"/>
        <v/>
      </c>
      <c r="BK512" s="100"/>
      <c r="BL512" s="100"/>
    </row>
    <row r="513" spans="1:64" ht="15">
      <c r="A513" s="5"/>
      <c r="B513" s="5"/>
      <c r="G513" s="5" t="str">
        <f ca="1">IFERROR(__xludf.DUMMYFUNCTION("IFERROR(VLOOKUP(F527,IMPORTRANGE(""https://docs.google.com/spreadsheets/d/1Kvs4KS76FHFqLFIZfrDMff4kP08nblUkihrxltoGBjg/edit#gid=934712705"",""ESENCIAL!A6:BG""),3,FALSE))"),"")</f>
        <v/>
      </c>
      <c r="H513" s="5" t="str">
        <f ca="1">IFERROR(__xludf.DUMMYFUNCTION("IFERROR(VLOOKUP(F527,IMPORTRANGE(""https://docs.google.com/spreadsheets/d/1Kvs4KS76FHFqLFIZfrDMff4kP08nblUkihrxltoGBjg/edit#gid=934712705"",""ESENCIAL!A6:BG""),8,FALSE))"),"")</f>
        <v/>
      </c>
      <c r="L513" s="287"/>
      <c r="U513" s="40"/>
      <c r="AU513" s="41" t="str">
        <f t="shared" si="20"/>
        <v/>
      </c>
      <c r="AV513" s="5" t="str">
        <f ca="1">IFERROR(__xludf.DUMMYFUNCTION("IFERROR(VLOOKUP(E527&amp;F527,IMPORTRANGE(""https://docs.google.com/spreadsheets/d/1Uw7-A9f9R21vMXxHZFNpYNeKFtG8_yji4HS352LGlSQ/edit?pli=1#gid=0"",""1_ACUM!A4:S""),11,FALSE))"),"")</f>
        <v/>
      </c>
      <c r="AW513" s="42" t="str">
        <f ca="1">IFERROR(__xludf.DUMMYFUNCTION("IFERROR(VLOOKUP(F527,IMPORTRANGE(""https://docs.google.com/spreadsheets/d/1Kvs4KS76FHFqLFIZfrDMff4kP08nblUkihrxltoGBjg/edit#gid=934712705"",""ESENCIAL!A6:BG""),15,FALSE))"),"")</f>
        <v/>
      </c>
      <c r="AX513" s="21" t="str">
        <f ca="1">IFERROR(__xludf.DUMMYFUNCTION("IFERROR(VLOOKUP(E527&amp;F527,IMPORTRANGE(""https://docs.google.com/spreadsheets/d/1Uw7-A9f9R21vMXxHZFNpYNeKFtG8_yji4HS352LGlSQ/edit?pli=1#gid=0"",""1_ACUM!A4:S""),12,FALSE))"),"")</f>
        <v/>
      </c>
      <c r="AY513" s="43" t="str">
        <f ca="1">IFERROR(__xludf.DUMMYFUNCTION("IFERROR(VLOOKUP(E527&amp;F527,IMPORTRANGE(""https://docs.google.com/spreadsheets/d/1Uw7-A9f9R21vMXxHZFNpYNeKFtG8_yji4HS352LGlSQ/edit?pli=1#gid=0"",""1_ACUM!A4:S""),13,FALSE))"),"")</f>
        <v/>
      </c>
      <c r="AZ513" s="43" t="str">
        <f ca="1">IFERROR(__xludf.DUMMYFUNCTION("IFERROR(VLOOKUP(E527&amp;F527,IMPORTRANGE(""https://docs.google.com/spreadsheets/d/1Uw7-A9f9R21vMXxHZFNpYNeKFtG8_yji4HS352LGlSQ/edit?pli=1#gid=0"",""1_ACUM!A4:S""),14,FALSE))"),"")</f>
        <v/>
      </c>
      <c r="BA513" s="43" t="str">
        <f ca="1">IFERROR(__xludf.DUMMYFUNCTION("IFERROR(VLOOKUP(E527&amp;F527,IMPORTRANGE(""https://docs.google.com/spreadsheets/d/1Uw7-A9f9R21vMXxHZFNpYNeKFtG8_yji4HS352LGlSQ/edit?pli=1#gid=0"",""1_ACUM!A4:S""),15,FALSE))"),"")</f>
        <v/>
      </c>
      <c r="BB513" s="43" t="str">
        <f ca="1">IFERROR(__xludf.DUMMYFUNCTION("IFERROR(VLOOKUP(E527&amp;F527,IMPORTRANGE(""https://docs.google.com/spreadsheets/d/1Uw7-A9f9R21vMXxHZFNpYNeKFtG8_yji4HS352LGlSQ/edit?pli=1#gid=0"",""1_ACUM!A4:S""),16,FALSE))"),"")</f>
        <v/>
      </c>
      <c r="BC513" s="43" t="str">
        <f ca="1">IFERROR(__xludf.DUMMYFUNCTION("IFERROR(VLOOKUP(E527&amp;F527,IMPORTRANGE(""https://docs.google.com/spreadsheets/d/1Uw7-A9f9R21vMXxHZFNpYNeKFtG8_yji4HS352LGlSQ/edit?pli=1#gid=0"",""1_ACUM!A4:S""),17,FALSE))"),"")</f>
        <v/>
      </c>
      <c r="BD513" s="44" t="str">
        <f ca="1">IFERROR(__xludf.DUMMYFUNCTION("IFERROR(VLOOKUP(E527&amp;F527,IMPORTRANGE(""https://docs.google.com/spreadsheets/d/1Uw7-A9f9R21vMXxHZFNpYNeKFtG8_yji4HS352LGlSQ/edit?pli=1#gid=0"",""1_ACUM!A4:S""),18,FALSE))"),"")</f>
        <v/>
      </c>
      <c r="BE513" s="44" t="str">
        <f ca="1">IFERROR(__xludf.DUMMYFUNCTION("IFERROR(VLOOKUP(E527&amp;F527,IMPORTRANGE(""https://docs.google.com/spreadsheets/d/1Uw7-A9f9R21vMXxHZFNpYNeKFtG8_yji4HS352LGlSQ/edit?pli=1#gid=0"",""1_ACUM!A4:S""),19,FALSE))"),"")</f>
        <v/>
      </c>
      <c r="BF513" s="98" t="str">
        <f ca="1">IFERROR(__xludf.DUMMYFUNCTION("IFERROR(VLOOKUP(F527,IMPORTRANGE(""https://docs.google.com/spreadsheets/d/1Kvs4KS76FHFqLFIZfrDMff4kP08nblUkihrxltoGBjg/edit#gid=934712705"",""ESENCIAL!A6:BG""),5,FALSE))"),"")</f>
        <v/>
      </c>
      <c r="BG513" s="98" t="str">
        <f t="shared" si="21"/>
        <v/>
      </c>
      <c r="BH513" s="99" t="str">
        <f t="shared" si="22"/>
        <v/>
      </c>
      <c r="BI513" s="100" t="str">
        <f ca="1">IFERROR(__xludf.DUMMYFUNCTION("IFERROR(VLOOKUP(F527,IMPORTRANGE(""https://docs.google.com/spreadsheets/d/1Kvs4KS76FHFqLFIZfrDMff4kP08nblUkihrxltoGBjg/edit#gid=934712705"",""ESENCIAL!A6:BG""),2,FALSE))"),"")</f>
        <v/>
      </c>
      <c r="BJ513" s="19" t="str">
        <f t="shared" si="23"/>
        <v/>
      </c>
      <c r="BK513" s="100"/>
      <c r="BL513" s="100"/>
    </row>
    <row r="514" spans="1:64" ht="15">
      <c r="A514" s="5"/>
      <c r="B514" s="5"/>
      <c r="G514" s="5" t="str">
        <f ca="1">IFERROR(__xludf.DUMMYFUNCTION("IFERROR(VLOOKUP(F528,IMPORTRANGE(""https://docs.google.com/spreadsheets/d/1Kvs4KS76FHFqLFIZfrDMff4kP08nblUkihrxltoGBjg/edit#gid=934712705"",""ESENCIAL!A6:BG""),3,FALSE))"),"")</f>
        <v/>
      </c>
      <c r="H514" s="5" t="str">
        <f ca="1">IFERROR(__xludf.DUMMYFUNCTION("IFERROR(VLOOKUP(F528,IMPORTRANGE(""https://docs.google.com/spreadsheets/d/1Kvs4KS76FHFqLFIZfrDMff4kP08nblUkihrxltoGBjg/edit#gid=934712705"",""ESENCIAL!A6:BG""),8,FALSE))"),"")</f>
        <v/>
      </c>
      <c r="L514" s="287"/>
      <c r="U514" s="40"/>
      <c r="AU514" s="41" t="str">
        <f t="shared" si="20"/>
        <v/>
      </c>
      <c r="AV514" s="5" t="str">
        <f ca="1">IFERROR(__xludf.DUMMYFUNCTION("IFERROR(VLOOKUP(E528&amp;F528,IMPORTRANGE(""https://docs.google.com/spreadsheets/d/1Uw7-A9f9R21vMXxHZFNpYNeKFtG8_yji4HS352LGlSQ/edit?pli=1#gid=0"",""1_ACUM!A4:S""),11,FALSE))"),"")</f>
        <v/>
      </c>
      <c r="AW514" s="42" t="str">
        <f ca="1">IFERROR(__xludf.DUMMYFUNCTION("IFERROR(VLOOKUP(F528,IMPORTRANGE(""https://docs.google.com/spreadsheets/d/1Kvs4KS76FHFqLFIZfrDMff4kP08nblUkihrxltoGBjg/edit#gid=934712705"",""ESENCIAL!A6:BG""),15,FALSE))"),"")</f>
        <v/>
      </c>
      <c r="AX514" s="21" t="str">
        <f ca="1">IFERROR(__xludf.DUMMYFUNCTION("IFERROR(VLOOKUP(E528&amp;F528,IMPORTRANGE(""https://docs.google.com/spreadsheets/d/1Uw7-A9f9R21vMXxHZFNpYNeKFtG8_yji4HS352LGlSQ/edit?pli=1#gid=0"",""1_ACUM!A4:S""),12,FALSE))"),"")</f>
        <v/>
      </c>
      <c r="AY514" s="43" t="str">
        <f ca="1">IFERROR(__xludf.DUMMYFUNCTION("IFERROR(VLOOKUP(E528&amp;F528,IMPORTRANGE(""https://docs.google.com/spreadsheets/d/1Uw7-A9f9R21vMXxHZFNpYNeKFtG8_yji4HS352LGlSQ/edit?pli=1#gid=0"",""1_ACUM!A4:S""),13,FALSE))"),"")</f>
        <v/>
      </c>
      <c r="AZ514" s="43" t="str">
        <f ca="1">IFERROR(__xludf.DUMMYFUNCTION("IFERROR(VLOOKUP(E528&amp;F528,IMPORTRANGE(""https://docs.google.com/spreadsheets/d/1Uw7-A9f9R21vMXxHZFNpYNeKFtG8_yji4HS352LGlSQ/edit?pli=1#gid=0"",""1_ACUM!A4:S""),14,FALSE))"),"")</f>
        <v/>
      </c>
      <c r="BA514" s="43" t="str">
        <f ca="1">IFERROR(__xludf.DUMMYFUNCTION("IFERROR(VLOOKUP(E528&amp;F528,IMPORTRANGE(""https://docs.google.com/spreadsheets/d/1Uw7-A9f9R21vMXxHZFNpYNeKFtG8_yji4HS352LGlSQ/edit?pli=1#gid=0"",""1_ACUM!A4:S""),15,FALSE))"),"")</f>
        <v/>
      </c>
      <c r="BB514" s="43" t="str">
        <f ca="1">IFERROR(__xludf.DUMMYFUNCTION("IFERROR(VLOOKUP(E528&amp;F528,IMPORTRANGE(""https://docs.google.com/spreadsheets/d/1Uw7-A9f9R21vMXxHZFNpYNeKFtG8_yji4HS352LGlSQ/edit?pli=1#gid=0"",""1_ACUM!A4:S""),16,FALSE))"),"")</f>
        <v/>
      </c>
      <c r="BC514" s="43" t="str">
        <f ca="1">IFERROR(__xludf.DUMMYFUNCTION("IFERROR(VLOOKUP(E528&amp;F528,IMPORTRANGE(""https://docs.google.com/spreadsheets/d/1Uw7-A9f9R21vMXxHZFNpYNeKFtG8_yji4HS352LGlSQ/edit?pli=1#gid=0"",""1_ACUM!A4:S""),17,FALSE))"),"")</f>
        <v/>
      </c>
      <c r="BD514" s="44" t="str">
        <f ca="1">IFERROR(__xludf.DUMMYFUNCTION("IFERROR(VLOOKUP(E528&amp;F528,IMPORTRANGE(""https://docs.google.com/spreadsheets/d/1Uw7-A9f9R21vMXxHZFNpYNeKFtG8_yji4HS352LGlSQ/edit?pli=1#gid=0"",""1_ACUM!A4:S""),18,FALSE))"),"")</f>
        <v/>
      </c>
      <c r="BE514" s="44" t="str">
        <f ca="1">IFERROR(__xludf.DUMMYFUNCTION("IFERROR(VLOOKUP(E528&amp;F528,IMPORTRANGE(""https://docs.google.com/spreadsheets/d/1Uw7-A9f9R21vMXxHZFNpYNeKFtG8_yji4HS352LGlSQ/edit?pli=1#gid=0"",""1_ACUM!A4:S""),19,FALSE))"),"")</f>
        <v/>
      </c>
      <c r="BF514" s="98" t="str">
        <f ca="1">IFERROR(__xludf.DUMMYFUNCTION("IFERROR(VLOOKUP(F528,IMPORTRANGE(""https://docs.google.com/spreadsheets/d/1Kvs4KS76FHFqLFIZfrDMff4kP08nblUkihrxltoGBjg/edit#gid=934712705"",""ESENCIAL!A6:BG""),5,FALSE))"),"")</f>
        <v/>
      </c>
      <c r="BG514" s="98" t="str">
        <f t="shared" si="21"/>
        <v/>
      </c>
      <c r="BH514" s="99" t="str">
        <f t="shared" si="22"/>
        <v/>
      </c>
      <c r="BI514" s="100" t="str">
        <f ca="1">IFERROR(__xludf.DUMMYFUNCTION("IFERROR(VLOOKUP(F528,IMPORTRANGE(""https://docs.google.com/spreadsheets/d/1Kvs4KS76FHFqLFIZfrDMff4kP08nblUkihrxltoGBjg/edit#gid=934712705"",""ESENCIAL!A6:BG""),2,FALSE))"),"")</f>
        <v/>
      </c>
      <c r="BJ514" s="19" t="str">
        <f t="shared" si="23"/>
        <v/>
      </c>
      <c r="BK514" s="100"/>
      <c r="BL514" s="100"/>
    </row>
    <row r="515" spans="1:64" ht="15">
      <c r="A515" s="5"/>
      <c r="B515" s="5"/>
      <c r="G515" s="5" t="str">
        <f ca="1">IFERROR(__xludf.DUMMYFUNCTION("IFERROR(VLOOKUP(F529,IMPORTRANGE(""https://docs.google.com/spreadsheets/d/1Kvs4KS76FHFqLFIZfrDMff4kP08nblUkihrxltoGBjg/edit#gid=934712705"",""ESENCIAL!A6:BG""),3,FALSE))"),"")</f>
        <v/>
      </c>
      <c r="H515" s="5" t="str">
        <f ca="1">IFERROR(__xludf.DUMMYFUNCTION("IFERROR(VLOOKUP(F529,IMPORTRANGE(""https://docs.google.com/spreadsheets/d/1Kvs4KS76FHFqLFIZfrDMff4kP08nblUkihrxltoGBjg/edit#gid=934712705"",""ESENCIAL!A6:BG""),8,FALSE))"),"")</f>
        <v/>
      </c>
      <c r="L515" s="287"/>
      <c r="U515" s="40"/>
      <c r="AU515" s="41" t="str">
        <f t="shared" si="20"/>
        <v/>
      </c>
      <c r="AV515" s="5" t="str">
        <f ca="1">IFERROR(__xludf.DUMMYFUNCTION("IFERROR(VLOOKUP(E529&amp;F529,IMPORTRANGE(""https://docs.google.com/spreadsheets/d/1Uw7-A9f9R21vMXxHZFNpYNeKFtG8_yji4HS352LGlSQ/edit?pli=1#gid=0"",""1_ACUM!A4:S""),11,FALSE))"),"")</f>
        <v/>
      </c>
      <c r="AW515" s="42" t="str">
        <f ca="1">IFERROR(__xludf.DUMMYFUNCTION("IFERROR(VLOOKUP(F529,IMPORTRANGE(""https://docs.google.com/spreadsheets/d/1Kvs4KS76FHFqLFIZfrDMff4kP08nblUkihrxltoGBjg/edit#gid=934712705"",""ESENCIAL!A6:BG""),15,FALSE))"),"")</f>
        <v/>
      </c>
      <c r="AX515" s="21" t="str">
        <f ca="1">IFERROR(__xludf.DUMMYFUNCTION("IFERROR(VLOOKUP(E529&amp;F529,IMPORTRANGE(""https://docs.google.com/spreadsheets/d/1Uw7-A9f9R21vMXxHZFNpYNeKFtG8_yji4HS352LGlSQ/edit?pli=1#gid=0"",""1_ACUM!A4:S""),12,FALSE))"),"")</f>
        <v/>
      </c>
      <c r="AY515" s="43" t="str">
        <f ca="1">IFERROR(__xludf.DUMMYFUNCTION("IFERROR(VLOOKUP(E529&amp;F529,IMPORTRANGE(""https://docs.google.com/spreadsheets/d/1Uw7-A9f9R21vMXxHZFNpYNeKFtG8_yji4HS352LGlSQ/edit?pli=1#gid=0"",""1_ACUM!A4:S""),13,FALSE))"),"")</f>
        <v/>
      </c>
      <c r="AZ515" s="43" t="str">
        <f ca="1">IFERROR(__xludf.DUMMYFUNCTION("IFERROR(VLOOKUP(E529&amp;F529,IMPORTRANGE(""https://docs.google.com/spreadsheets/d/1Uw7-A9f9R21vMXxHZFNpYNeKFtG8_yji4HS352LGlSQ/edit?pli=1#gid=0"",""1_ACUM!A4:S""),14,FALSE))"),"")</f>
        <v/>
      </c>
      <c r="BA515" s="43" t="str">
        <f ca="1">IFERROR(__xludf.DUMMYFUNCTION("IFERROR(VLOOKUP(E529&amp;F529,IMPORTRANGE(""https://docs.google.com/spreadsheets/d/1Uw7-A9f9R21vMXxHZFNpYNeKFtG8_yji4HS352LGlSQ/edit?pli=1#gid=0"",""1_ACUM!A4:S""),15,FALSE))"),"")</f>
        <v/>
      </c>
      <c r="BB515" s="43" t="str">
        <f ca="1">IFERROR(__xludf.DUMMYFUNCTION("IFERROR(VLOOKUP(E529&amp;F529,IMPORTRANGE(""https://docs.google.com/spreadsheets/d/1Uw7-A9f9R21vMXxHZFNpYNeKFtG8_yji4HS352LGlSQ/edit?pli=1#gid=0"",""1_ACUM!A4:S""),16,FALSE))"),"")</f>
        <v/>
      </c>
      <c r="BC515" s="43" t="str">
        <f ca="1">IFERROR(__xludf.DUMMYFUNCTION("IFERROR(VLOOKUP(E529&amp;F529,IMPORTRANGE(""https://docs.google.com/spreadsheets/d/1Uw7-A9f9R21vMXxHZFNpYNeKFtG8_yji4HS352LGlSQ/edit?pli=1#gid=0"",""1_ACUM!A4:S""),17,FALSE))"),"")</f>
        <v/>
      </c>
      <c r="BD515" s="44" t="str">
        <f ca="1">IFERROR(__xludf.DUMMYFUNCTION("IFERROR(VLOOKUP(E529&amp;F529,IMPORTRANGE(""https://docs.google.com/spreadsheets/d/1Uw7-A9f9R21vMXxHZFNpYNeKFtG8_yji4HS352LGlSQ/edit?pli=1#gid=0"",""1_ACUM!A4:S""),18,FALSE))"),"")</f>
        <v/>
      </c>
      <c r="BE515" s="44" t="str">
        <f ca="1">IFERROR(__xludf.DUMMYFUNCTION("IFERROR(VLOOKUP(E529&amp;F529,IMPORTRANGE(""https://docs.google.com/spreadsheets/d/1Uw7-A9f9R21vMXxHZFNpYNeKFtG8_yji4HS352LGlSQ/edit?pli=1#gid=0"",""1_ACUM!A4:S""),19,FALSE))"),"")</f>
        <v/>
      </c>
      <c r="BF515" s="98" t="str">
        <f ca="1">IFERROR(__xludf.DUMMYFUNCTION("IFERROR(VLOOKUP(F529,IMPORTRANGE(""https://docs.google.com/spreadsheets/d/1Kvs4KS76FHFqLFIZfrDMff4kP08nblUkihrxltoGBjg/edit#gid=934712705"",""ESENCIAL!A6:BG""),5,FALSE))"),"")</f>
        <v/>
      </c>
      <c r="BG515" s="98" t="str">
        <f t="shared" si="21"/>
        <v/>
      </c>
      <c r="BH515" s="99" t="str">
        <f t="shared" si="22"/>
        <v/>
      </c>
      <c r="BI515" s="100" t="str">
        <f ca="1">IFERROR(__xludf.DUMMYFUNCTION("IFERROR(VLOOKUP(F529,IMPORTRANGE(""https://docs.google.com/spreadsheets/d/1Kvs4KS76FHFqLFIZfrDMff4kP08nblUkihrxltoGBjg/edit#gid=934712705"",""ESENCIAL!A6:BG""),2,FALSE))"),"")</f>
        <v/>
      </c>
      <c r="BJ515" s="19" t="str">
        <f t="shared" si="23"/>
        <v/>
      </c>
      <c r="BK515" s="100"/>
      <c r="BL515" s="100"/>
    </row>
    <row r="516" spans="1:64" ht="15">
      <c r="A516" s="5"/>
      <c r="B516" s="5"/>
      <c r="G516" s="5" t="str">
        <f ca="1">IFERROR(__xludf.DUMMYFUNCTION("IFERROR(VLOOKUP(F530,IMPORTRANGE(""https://docs.google.com/spreadsheets/d/1Kvs4KS76FHFqLFIZfrDMff4kP08nblUkihrxltoGBjg/edit#gid=934712705"",""ESENCIAL!A6:BG""),3,FALSE))"),"")</f>
        <v/>
      </c>
      <c r="H516" s="5" t="str">
        <f ca="1">IFERROR(__xludf.DUMMYFUNCTION("IFERROR(VLOOKUP(F530,IMPORTRANGE(""https://docs.google.com/spreadsheets/d/1Kvs4KS76FHFqLFIZfrDMff4kP08nblUkihrxltoGBjg/edit#gid=934712705"",""ESENCIAL!A6:BG""),8,FALSE))"),"")</f>
        <v/>
      </c>
      <c r="L516" s="287"/>
      <c r="U516" s="40"/>
      <c r="AU516" s="41" t="str">
        <f t="shared" si="20"/>
        <v/>
      </c>
      <c r="AV516" s="5" t="str">
        <f ca="1">IFERROR(__xludf.DUMMYFUNCTION("IFERROR(VLOOKUP(E530&amp;F530,IMPORTRANGE(""https://docs.google.com/spreadsheets/d/1Uw7-A9f9R21vMXxHZFNpYNeKFtG8_yji4HS352LGlSQ/edit?pli=1#gid=0"",""1_ACUM!A4:S""),11,FALSE))"),"")</f>
        <v/>
      </c>
      <c r="AW516" s="42" t="str">
        <f ca="1">IFERROR(__xludf.DUMMYFUNCTION("IFERROR(VLOOKUP(F530,IMPORTRANGE(""https://docs.google.com/spreadsheets/d/1Kvs4KS76FHFqLFIZfrDMff4kP08nblUkihrxltoGBjg/edit#gid=934712705"",""ESENCIAL!A6:BG""),15,FALSE))"),"")</f>
        <v/>
      </c>
      <c r="AX516" s="21" t="str">
        <f ca="1">IFERROR(__xludf.DUMMYFUNCTION("IFERROR(VLOOKUP(E530&amp;F530,IMPORTRANGE(""https://docs.google.com/spreadsheets/d/1Uw7-A9f9R21vMXxHZFNpYNeKFtG8_yji4HS352LGlSQ/edit?pli=1#gid=0"",""1_ACUM!A4:S""),12,FALSE))"),"")</f>
        <v/>
      </c>
      <c r="AY516" s="43" t="str">
        <f ca="1">IFERROR(__xludf.DUMMYFUNCTION("IFERROR(VLOOKUP(E530&amp;F530,IMPORTRANGE(""https://docs.google.com/spreadsheets/d/1Uw7-A9f9R21vMXxHZFNpYNeKFtG8_yji4HS352LGlSQ/edit?pli=1#gid=0"",""1_ACUM!A4:S""),13,FALSE))"),"")</f>
        <v/>
      </c>
      <c r="AZ516" s="43" t="str">
        <f ca="1">IFERROR(__xludf.DUMMYFUNCTION("IFERROR(VLOOKUP(E530&amp;F530,IMPORTRANGE(""https://docs.google.com/spreadsheets/d/1Uw7-A9f9R21vMXxHZFNpYNeKFtG8_yji4HS352LGlSQ/edit?pli=1#gid=0"",""1_ACUM!A4:S""),14,FALSE))"),"")</f>
        <v/>
      </c>
      <c r="BA516" s="43" t="str">
        <f ca="1">IFERROR(__xludf.DUMMYFUNCTION("IFERROR(VLOOKUP(E530&amp;F530,IMPORTRANGE(""https://docs.google.com/spreadsheets/d/1Uw7-A9f9R21vMXxHZFNpYNeKFtG8_yji4HS352LGlSQ/edit?pli=1#gid=0"",""1_ACUM!A4:S""),15,FALSE))"),"")</f>
        <v/>
      </c>
      <c r="BB516" s="43" t="str">
        <f ca="1">IFERROR(__xludf.DUMMYFUNCTION("IFERROR(VLOOKUP(E530&amp;F530,IMPORTRANGE(""https://docs.google.com/spreadsheets/d/1Uw7-A9f9R21vMXxHZFNpYNeKFtG8_yji4HS352LGlSQ/edit?pli=1#gid=0"",""1_ACUM!A4:S""),16,FALSE))"),"")</f>
        <v/>
      </c>
      <c r="BC516" s="43" t="str">
        <f ca="1">IFERROR(__xludf.DUMMYFUNCTION("IFERROR(VLOOKUP(E530&amp;F530,IMPORTRANGE(""https://docs.google.com/spreadsheets/d/1Uw7-A9f9R21vMXxHZFNpYNeKFtG8_yji4HS352LGlSQ/edit?pli=1#gid=0"",""1_ACUM!A4:S""),17,FALSE))"),"")</f>
        <v/>
      </c>
      <c r="BD516" s="44" t="str">
        <f ca="1">IFERROR(__xludf.DUMMYFUNCTION("IFERROR(VLOOKUP(E530&amp;F530,IMPORTRANGE(""https://docs.google.com/spreadsheets/d/1Uw7-A9f9R21vMXxHZFNpYNeKFtG8_yji4HS352LGlSQ/edit?pli=1#gid=0"",""1_ACUM!A4:S""),18,FALSE))"),"")</f>
        <v/>
      </c>
      <c r="BE516" s="44" t="str">
        <f ca="1">IFERROR(__xludf.DUMMYFUNCTION("IFERROR(VLOOKUP(E530&amp;F530,IMPORTRANGE(""https://docs.google.com/spreadsheets/d/1Uw7-A9f9R21vMXxHZFNpYNeKFtG8_yji4HS352LGlSQ/edit?pli=1#gid=0"",""1_ACUM!A4:S""),19,FALSE))"),"")</f>
        <v/>
      </c>
      <c r="BF516" s="98" t="str">
        <f ca="1">IFERROR(__xludf.DUMMYFUNCTION("IFERROR(VLOOKUP(F530,IMPORTRANGE(""https://docs.google.com/spreadsheets/d/1Kvs4KS76FHFqLFIZfrDMff4kP08nblUkihrxltoGBjg/edit#gid=934712705"",""ESENCIAL!A6:BG""),5,FALSE))"),"")</f>
        <v/>
      </c>
      <c r="BG516" s="98" t="str">
        <f t="shared" si="21"/>
        <v/>
      </c>
      <c r="BH516" s="99" t="str">
        <f t="shared" si="22"/>
        <v/>
      </c>
      <c r="BI516" s="100" t="str">
        <f ca="1">IFERROR(__xludf.DUMMYFUNCTION("IFERROR(VLOOKUP(F530,IMPORTRANGE(""https://docs.google.com/spreadsheets/d/1Kvs4KS76FHFqLFIZfrDMff4kP08nblUkihrxltoGBjg/edit#gid=934712705"",""ESENCIAL!A6:BG""),2,FALSE))"),"")</f>
        <v/>
      </c>
      <c r="BJ516" s="19" t="str">
        <f t="shared" si="23"/>
        <v/>
      </c>
      <c r="BK516" s="100"/>
      <c r="BL516" s="100"/>
    </row>
    <row r="517" spans="1:64" ht="15">
      <c r="A517" s="5"/>
      <c r="B517" s="5"/>
      <c r="G517" s="5" t="str">
        <f ca="1">IFERROR(__xludf.DUMMYFUNCTION("IFERROR(VLOOKUP(F531,IMPORTRANGE(""https://docs.google.com/spreadsheets/d/1Kvs4KS76FHFqLFIZfrDMff4kP08nblUkihrxltoGBjg/edit#gid=934712705"",""ESENCIAL!A6:BG""),3,FALSE))"),"")</f>
        <v/>
      </c>
      <c r="H517" s="5" t="str">
        <f ca="1">IFERROR(__xludf.DUMMYFUNCTION("IFERROR(VLOOKUP(F531,IMPORTRANGE(""https://docs.google.com/spreadsheets/d/1Kvs4KS76FHFqLFIZfrDMff4kP08nblUkihrxltoGBjg/edit#gid=934712705"",""ESENCIAL!A6:BG""),8,FALSE))"),"")</f>
        <v/>
      </c>
      <c r="L517" s="287"/>
      <c r="U517" s="40"/>
      <c r="AU517" s="41" t="str">
        <f t="shared" si="20"/>
        <v/>
      </c>
      <c r="AV517" s="5" t="str">
        <f ca="1">IFERROR(__xludf.DUMMYFUNCTION("IFERROR(VLOOKUP(E531&amp;F531,IMPORTRANGE(""https://docs.google.com/spreadsheets/d/1Uw7-A9f9R21vMXxHZFNpYNeKFtG8_yji4HS352LGlSQ/edit?pli=1#gid=0"",""1_ACUM!A4:S""),11,FALSE))"),"")</f>
        <v/>
      </c>
      <c r="AW517" s="42" t="str">
        <f ca="1">IFERROR(__xludf.DUMMYFUNCTION("IFERROR(VLOOKUP(F531,IMPORTRANGE(""https://docs.google.com/spreadsheets/d/1Kvs4KS76FHFqLFIZfrDMff4kP08nblUkihrxltoGBjg/edit#gid=934712705"",""ESENCIAL!A6:BG""),15,FALSE))"),"")</f>
        <v/>
      </c>
      <c r="AX517" s="21" t="str">
        <f ca="1">IFERROR(__xludf.DUMMYFUNCTION("IFERROR(VLOOKUP(E531&amp;F531,IMPORTRANGE(""https://docs.google.com/spreadsheets/d/1Uw7-A9f9R21vMXxHZFNpYNeKFtG8_yji4HS352LGlSQ/edit?pli=1#gid=0"",""1_ACUM!A4:S""),12,FALSE))"),"")</f>
        <v/>
      </c>
      <c r="AY517" s="43" t="str">
        <f ca="1">IFERROR(__xludf.DUMMYFUNCTION("IFERROR(VLOOKUP(E531&amp;F531,IMPORTRANGE(""https://docs.google.com/spreadsheets/d/1Uw7-A9f9R21vMXxHZFNpYNeKFtG8_yji4HS352LGlSQ/edit?pli=1#gid=0"",""1_ACUM!A4:S""),13,FALSE))"),"")</f>
        <v/>
      </c>
      <c r="AZ517" s="43" t="str">
        <f ca="1">IFERROR(__xludf.DUMMYFUNCTION("IFERROR(VLOOKUP(E531&amp;F531,IMPORTRANGE(""https://docs.google.com/spreadsheets/d/1Uw7-A9f9R21vMXxHZFNpYNeKFtG8_yji4HS352LGlSQ/edit?pli=1#gid=0"",""1_ACUM!A4:S""),14,FALSE))"),"")</f>
        <v/>
      </c>
      <c r="BA517" s="43" t="str">
        <f ca="1">IFERROR(__xludf.DUMMYFUNCTION("IFERROR(VLOOKUP(E531&amp;F531,IMPORTRANGE(""https://docs.google.com/spreadsheets/d/1Uw7-A9f9R21vMXxHZFNpYNeKFtG8_yji4HS352LGlSQ/edit?pli=1#gid=0"",""1_ACUM!A4:S""),15,FALSE))"),"")</f>
        <v/>
      </c>
      <c r="BB517" s="43" t="str">
        <f ca="1">IFERROR(__xludf.DUMMYFUNCTION("IFERROR(VLOOKUP(E531&amp;F531,IMPORTRANGE(""https://docs.google.com/spreadsheets/d/1Uw7-A9f9R21vMXxHZFNpYNeKFtG8_yji4HS352LGlSQ/edit?pli=1#gid=0"",""1_ACUM!A4:S""),16,FALSE))"),"")</f>
        <v/>
      </c>
      <c r="BC517" s="43" t="str">
        <f ca="1">IFERROR(__xludf.DUMMYFUNCTION("IFERROR(VLOOKUP(E531&amp;F531,IMPORTRANGE(""https://docs.google.com/spreadsheets/d/1Uw7-A9f9R21vMXxHZFNpYNeKFtG8_yji4HS352LGlSQ/edit?pli=1#gid=0"",""1_ACUM!A4:S""),17,FALSE))"),"")</f>
        <v/>
      </c>
      <c r="BD517" s="44" t="str">
        <f ca="1">IFERROR(__xludf.DUMMYFUNCTION("IFERROR(VLOOKUP(E531&amp;F531,IMPORTRANGE(""https://docs.google.com/spreadsheets/d/1Uw7-A9f9R21vMXxHZFNpYNeKFtG8_yji4HS352LGlSQ/edit?pli=1#gid=0"",""1_ACUM!A4:S""),18,FALSE))"),"")</f>
        <v/>
      </c>
      <c r="BE517" s="44" t="str">
        <f ca="1">IFERROR(__xludf.DUMMYFUNCTION("IFERROR(VLOOKUP(E531&amp;F531,IMPORTRANGE(""https://docs.google.com/spreadsheets/d/1Uw7-A9f9R21vMXxHZFNpYNeKFtG8_yji4HS352LGlSQ/edit?pli=1#gid=0"",""1_ACUM!A4:S""),19,FALSE))"),"")</f>
        <v/>
      </c>
      <c r="BF517" s="98" t="str">
        <f ca="1">IFERROR(__xludf.DUMMYFUNCTION("IFERROR(VLOOKUP(F531,IMPORTRANGE(""https://docs.google.com/spreadsheets/d/1Kvs4KS76FHFqLFIZfrDMff4kP08nblUkihrxltoGBjg/edit#gid=934712705"",""ESENCIAL!A6:BG""),5,FALSE))"),"")</f>
        <v/>
      </c>
      <c r="BG517" s="98" t="str">
        <f t="shared" si="21"/>
        <v/>
      </c>
      <c r="BH517" s="99" t="str">
        <f t="shared" si="22"/>
        <v/>
      </c>
      <c r="BI517" s="100" t="str">
        <f ca="1">IFERROR(__xludf.DUMMYFUNCTION("IFERROR(VLOOKUP(F531,IMPORTRANGE(""https://docs.google.com/spreadsheets/d/1Kvs4KS76FHFqLFIZfrDMff4kP08nblUkihrxltoGBjg/edit#gid=934712705"",""ESENCIAL!A6:BG""),2,FALSE))"),"")</f>
        <v/>
      </c>
      <c r="BJ517" s="19" t="str">
        <f t="shared" si="23"/>
        <v/>
      </c>
      <c r="BK517" s="100"/>
      <c r="BL517" s="100"/>
    </row>
    <row r="518" spans="1:64" ht="15">
      <c r="A518" s="5"/>
      <c r="B518" s="5"/>
      <c r="G518" s="5" t="str">
        <f ca="1">IFERROR(__xludf.DUMMYFUNCTION("IFERROR(VLOOKUP(F532,IMPORTRANGE(""https://docs.google.com/spreadsheets/d/1Kvs4KS76FHFqLFIZfrDMff4kP08nblUkihrxltoGBjg/edit#gid=934712705"",""ESENCIAL!A6:BG""),3,FALSE))"),"")</f>
        <v/>
      </c>
      <c r="H518" s="5" t="str">
        <f ca="1">IFERROR(__xludf.DUMMYFUNCTION("IFERROR(VLOOKUP(F532,IMPORTRANGE(""https://docs.google.com/spreadsheets/d/1Kvs4KS76FHFqLFIZfrDMff4kP08nblUkihrxltoGBjg/edit#gid=934712705"",""ESENCIAL!A6:BG""),8,FALSE))"),"")</f>
        <v/>
      </c>
      <c r="L518" s="287"/>
      <c r="U518" s="40"/>
      <c r="AU518" s="41" t="str">
        <f t="shared" si="20"/>
        <v/>
      </c>
      <c r="AV518" s="5" t="str">
        <f ca="1">IFERROR(__xludf.DUMMYFUNCTION("IFERROR(VLOOKUP(E532&amp;F532,IMPORTRANGE(""https://docs.google.com/spreadsheets/d/1Uw7-A9f9R21vMXxHZFNpYNeKFtG8_yji4HS352LGlSQ/edit?pli=1#gid=0"",""1_ACUM!A4:S""),11,FALSE))"),"")</f>
        <v/>
      </c>
      <c r="AW518" s="42" t="str">
        <f ca="1">IFERROR(__xludf.DUMMYFUNCTION("IFERROR(VLOOKUP(F532,IMPORTRANGE(""https://docs.google.com/spreadsheets/d/1Kvs4KS76FHFqLFIZfrDMff4kP08nblUkihrxltoGBjg/edit#gid=934712705"",""ESENCIAL!A6:BG""),15,FALSE))"),"")</f>
        <v/>
      </c>
      <c r="AX518" s="21" t="str">
        <f ca="1">IFERROR(__xludf.DUMMYFUNCTION("IFERROR(VLOOKUP(E532&amp;F532,IMPORTRANGE(""https://docs.google.com/spreadsheets/d/1Uw7-A9f9R21vMXxHZFNpYNeKFtG8_yji4HS352LGlSQ/edit?pli=1#gid=0"",""1_ACUM!A4:S""),12,FALSE))"),"")</f>
        <v/>
      </c>
      <c r="AY518" s="43" t="str">
        <f ca="1">IFERROR(__xludf.DUMMYFUNCTION("IFERROR(VLOOKUP(E532&amp;F532,IMPORTRANGE(""https://docs.google.com/spreadsheets/d/1Uw7-A9f9R21vMXxHZFNpYNeKFtG8_yji4HS352LGlSQ/edit?pli=1#gid=0"",""1_ACUM!A4:S""),13,FALSE))"),"")</f>
        <v/>
      </c>
      <c r="AZ518" s="43" t="str">
        <f ca="1">IFERROR(__xludf.DUMMYFUNCTION("IFERROR(VLOOKUP(E532&amp;F532,IMPORTRANGE(""https://docs.google.com/spreadsheets/d/1Uw7-A9f9R21vMXxHZFNpYNeKFtG8_yji4HS352LGlSQ/edit?pli=1#gid=0"",""1_ACUM!A4:S""),14,FALSE))"),"")</f>
        <v/>
      </c>
      <c r="BA518" s="43" t="str">
        <f ca="1">IFERROR(__xludf.DUMMYFUNCTION("IFERROR(VLOOKUP(E532&amp;F532,IMPORTRANGE(""https://docs.google.com/spreadsheets/d/1Uw7-A9f9R21vMXxHZFNpYNeKFtG8_yji4HS352LGlSQ/edit?pli=1#gid=0"",""1_ACUM!A4:S""),15,FALSE))"),"")</f>
        <v/>
      </c>
      <c r="BB518" s="43" t="str">
        <f ca="1">IFERROR(__xludf.DUMMYFUNCTION("IFERROR(VLOOKUP(E532&amp;F532,IMPORTRANGE(""https://docs.google.com/spreadsheets/d/1Uw7-A9f9R21vMXxHZFNpYNeKFtG8_yji4HS352LGlSQ/edit?pli=1#gid=0"",""1_ACUM!A4:S""),16,FALSE))"),"")</f>
        <v/>
      </c>
      <c r="BC518" s="43" t="str">
        <f ca="1">IFERROR(__xludf.DUMMYFUNCTION("IFERROR(VLOOKUP(E532&amp;F532,IMPORTRANGE(""https://docs.google.com/spreadsheets/d/1Uw7-A9f9R21vMXxHZFNpYNeKFtG8_yji4HS352LGlSQ/edit?pli=1#gid=0"",""1_ACUM!A4:S""),17,FALSE))"),"")</f>
        <v/>
      </c>
      <c r="BD518" s="44" t="str">
        <f ca="1">IFERROR(__xludf.DUMMYFUNCTION("IFERROR(VLOOKUP(E532&amp;F532,IMPORTRANGE(""https://docs.google.com/spreadsheets/d/1Uw7-A9f9R21vMXxHZFNpYNeKFtG8_yji4HS352LGlSQ/edit?pli=1#gid=0"",""1_ACUM!A4:S""),18,FALSE))"),"")</f>
        <v/>
      </c>
      <c r="BE518" s="44" t="str">
        <f ca="1">IFERROR(__xludf.DUMMYFUNCTION("IFERROR(VLOOKUP(E532&amp;F532,IMPORTRANGE(""https://docs.google.com/spreadsheets/d/1Uw7-A9f9R21vMXxHZFNpYNeKFtG8_yji4HS352LGlSQ/edit?pli=1#gid=0"",""1_ACUM!A4:S""),19,FALSE))"),"")</f>
        <v/>
      </c>
      <c r="BF518" s="98" t="str">
        <f ca="1">IFERROR(__xludf.DUMMYFUNCTION("IFERROR(VLOOKUP(F532,IMPORTRANGE(""https://docs.google.com/spreadsheets/d/1Kvs4KS76FHFqLFIZfrDMff4kP08nblUkihrxltoGBjg/edit#gid=934712705"",""ESENCIAL!A6:BG""),5,FALSE))"),"")</f>
        <v/>
      </c>
      <c r="BG518" s="98" t="str">
        <f t="shared" si="21"/>
        <v/>
      </c>
      <c r="BH518" s="99" t="str">
        <f t="shared" si="22"/>
        <v/>
      </c>
      <c r="BI518" s="100" t="str">
        <f ca="1">IFERROR(__xludf.DUMMYFUNCTION("IFERROR(VLOOKUP(F532,IMPORTRANGE(""https://docs.google.com/spreadsheets/d/1Kvs4KS76FHFqLFIZfrDMff4kP08nblUkihrxltoGBjg/edit#gid=934712705"",""ESENCIAL!A6:BG""),2,FALSE))"),"")</f>
        <v/>
      </c>
      <c r="BJ518" s="19" t="str">
        <f t="shared" si="23"/>
        <v/>
      </c>
      <c r="BK518" s="100"/>
      <c r="BL518" s="100"/>
    </row>
    <row r="519" spans="1:64" ht="15">
      <c r="A519" s="5"/>
      <c r="B519" s="5"/>
      <c r="G519" s="5" t="str">
        <f ca="1">IFERROR(__xludf.DUMMYFUNCTION("IFERROR(VLOOKUP(F533,IMPORTRANGE(""https://docs.google.com/spreadsheets/d/1Kvs4KS76FHFqLFIZfrDMff4kP08nblUkihrxltoGBjg/edit#gid=934712705"",""ESENCIAL!A6:BG""),3,FALSE))"),"")</f>
        <v/>
      </c>
      <c r="H519" s="5" t="str">
        <f ca="1">IFERROR(__xludf.DUMMYFUNCTION("IFERROR(VLOOKUP(F533,IMPORTRANGE(""https://docs.google.com/spreadsheets/d/1Kvs4KS76FHFqLFIZfrDMff4kP08nblUkihrxltoGBjg/edit#gid=934712705"",""ESENCIAL!A6:BG""),8,FALSE))"),"")</f>
        <v/>
      </c>
      <c r="L519" s="287"/>
      <c r="U519" s="40"/>
      <c r="AU519" s="41" t="str">
        <f t="shared" si="20"/>
        <v/>
      </c>
      <c r="AV519" s="5" t="str">
        <f ca="1">IFERROR(__xludf.DUMMYFUNCTION("IFERROR(VLOOKUP(E533&amp;F533,IMPORTRANGE(""https://docs.google.com/spreadsheets/d/1Uw7-A9f9R21vMXxHZFNpYNeKFtG8_yji4HS352LGlSQ/edit?pli=1#gid=0"",""1_ACUM!A4:S""),11,FALSE))"),"")</f>
        <v/>
      </c>
      <c r="AW519" s="42" t="str">
        <f ca="1">IFERROR(__xludf.DUMMYFUNCTION("IFERROR(VLOOKUP(F533,IMPORTRANGE(""https://docs.google.com/spreadsheets/d/1Kvs4KS76FHFqLFIZfrDMff4kP08nblUkihrxltoGBjg/edit#gid=934712705"",""ESENCIAL!A6:BG""),15,FALSE))"),"")</f>
        <v/>
      </c>
      <c r="AX519" s="21" t="str">
        <f ca="1">IFERROR(__xludf.DUMMYFUNCTION("IFERROR(VLOOKUP(E533&amp;F533,IMPORTRANGE(""https://docs.google.com/spreadsheets/d/1Uw7-A9f9R21vMXxHZFNpYNeKFtG8_yji4HS352LGlSQ/edit?pli=1#gid=0"",""1_ACUM!A4:S""),12,FALSE))"),"")</f>
        <v/>
      </c>
      <c r="AY519" s="43" t="str">
        <f ca="1">IFERROR(__xludf.DUMMYFUNCTION("IFERROR(VLOOKUP(E533&amp;F533,IMPORTRANGE(""https://docs.google.com/spreadsheets/d/1Uw7-A9f9R21vMXxHZFNpYNeKFtG8_yji4HS352LGlSQ/edit?pli=1#gid=0"",""1_ACUM!A4:S""),13,FALSE))"),"")</f>
        <v/>
      </c>
      <c r="AZ519" s="43" t="str">
        <f ca="1">IFERROR(__xludf.DUMMYFUNCTION("IFERROR(VLOOKUP(E533&amp;F533,IMPORTRANGE(""https://docs.google.com/spreadsheets/d/1Uw7-A9f9R21vMXxHZFNpYNeKFtG8_yji4HS352LGlSQ/edit?pli=1#gid=0"",""1_ACUM!A4:S""),14,FALSE))"),"")</f>
        <v/>
      </c>
      <c r="BA519" s="43" t="str">
        <f ca="1">IFERROR(__xludf.DUMMYFUNCTION("IFERROR(VLOOKUP(E533&amp;F533,IMPORTRANGE(""https://docs.google.com/spreadsheets/d/1Uw7-A9f9R21vMXxHZFNpYNeKFtG8_yji4HS352LGlSQ/edit?pli=1#gid=0"",""1_ACUM!A4:S""),15,FALSE))"),"")</f>
        <v/>
      </c>
      <c r="BB519" s="43" t="str">
        <f ca="1">IFERROR(__xludf.DUMMYFUNCTION("IFERROR(VLOOKUP(E533&amp;F533,IMPORTRANGE(""https://docs.google.com/spreadsheets/d/1Uw7-A9f9R21vMXxHZFNpYNeKFtG8_yji4HS352LGlSQ/edit?pli=1#gid=0"",""1_ACUM!A4:S""),16,FALSE))"),"")</f>
        <v/>
      </c>
      <c r="BC519" s="43" t="str">
        <f ca="1">IFERROR(__xludf.DUMMYFUNCTION("IFERROR(VLOOKUP(E533&amp;F533,IMPORTRANGE(""https://docs.google.com/spreadsheets/d/1Uw7-A9f9R21vMXxHZFNpYNeKFtG8_yji4HS352LGlSQ/edit?pli=1#gid=0"",""1_ACUM!A4:S""),17,FALSE))"),"")</f>
        <v/>
      </c>
      <c r="BD519" s="44" t="str">
        <f ca="1">IFERROR(__xludf.DUMMYFUNCTION("IFERROR(VLOOKUP(E533&amp;F533,IMPORTRANGE(""https://docs.google.com/spreadsheets/d/1Uw7-A9f9R21vMXxHZFNpYNeKFtG8_yji4HS352LGlSQ/edit?pli=1#gid=0"",""1_ACUM!A4:S""),18,FALSE))"),"")</f>
        <v/>
      </c>
      <c r="BE519" s="44" t="str">
        <f ca="1">IFERROR(__xludf.DUMMYFUNCTION("IFERROR(VLOOKUP(E533&amp;F533,IMPORTRANGE(""https://docs.google.com/spreadsheets/d/1Uw7-A9f9R21vMXxHZFNpYNeKFtG8_yji4HS352LGlSQ/edit?pli=1#gid=0"",""1_ACUM!A4:S""),19,FALSE))"),"")</f>
        <v/>
      </c>
      <c r="BF519" s="98" t="str">
        <f ca="1">IFERROR(__xludf.DUMMYFUNCTION("IFERROR(VLOOKUP(F533,IMPORTRANGE(""https://docs.google.com/spreadsheets/d/1Kvs4KS76FHFqLFIZfrDMff4kP08nblUkihrxltoGBjg/edit#gid=934712705"",""ESENCIAL!A6:BG""),5,FALSE))"),"")</f>
        <v/>
      </c>
      <c r="BG519" s="98" t="str">
        <f t="shared" si="21"/>
        <v/>
      </c>
      <c r="BH519" s="99" t="str">
        <f t="shared" si="22"/>
        <v/>
      </c>
      <c r="BI519" s="100" t="str">
        <f ca="1">IFERROR(__xludf.DUMMYFUNCTION("IFERROR(VLOOKUP(F533,IMPORTRANGE(""https://docs.google.com/spreadsheets/d/1Kvs4KS76FHFqLFIZfrDMff4kP08nblUkihrxltoGBjg/edit#gid=934712705"",""ESENCIAL!A6:BG""),2,FALSE))"),"")</f>
        <v/>
      </c>
      <c r="BJ519" s="19" t="str">
        <f t="shared" si="23"/>
        <v/>
      </c>
      <c r="BK519" s="100"/>
      <c r="BL519" s="100"/>
    </row>
    <row r="520" spans="1:64" ht="15">
      <c r="A520" s="5"/>
      <c r="B520" s="5"/>
      <c r="G520" s="5" t="str">
        <f ca="1">IFERROR(__xludf.DUMMYFUNCTION("IFERROR(VLOOKUP(F534,IMPORTRANGE(""https://docs.google.com/spreadsheets/d/1Kvs4KS76FHFqLFIZfrDMff4kP08nblUkihrxltoGBjg/edit#gid=934712705"",""ESENCIAL!A6:BG""),3,FALSE))"),"")</f>
        <v/>
      </c>
      <c r="H520" s="5" t="str">
        <f ca="1">IFERROR(__xludf.DUMMYFUNCTION("IFERROR(VLOOKUP(F534,IMPORTRANGE(""https://docs.google.com/spreadsheets/d/1Kvs4KS76FHFqLFIZfrDMff4kP08nblUkihrxltoGBjg/edit#gid=934712705"",""ESENCIAL!A6:BG""),8,FALSE))"),"")</f>
        <v/>
      </c>
      <c r="L520" s="287"/>
      <c r="U520" s="40"/>
      <c r="AU520" s="41" t="str">
        <f t="shared" si="20"/>
        <v/>
      </c>
      <c r="AV520" s="5" t="str">
        <f ca="1">IFERROR(__xludf.DUMMYFUNCTION("IFERROR(VLOOKUP(E534&amp;F534,IMPORTRANGE(""https://docs.google.com/spreadsheets/d/1Uw7-A9f9R21vMXxHZFNpYNeKFtG8_yji4HS352LGlSQ/edit?pli=1#gid=0"",""1_ACUM!A4:S""),11,FALSE))"),"")</f>
        <v/>
      </c>
      <c r="AW520" s="42" t="str">
        <f ca="1">IFERROR(__xludf.DUMMYFUNCTION("IFERROR(VLOOKUP(F534,IMPORTRANGE(""https://docs.google.com/spreadsheets/d/1Kvs4KS76FHFqLFIZfrDMff4kP08nblUkihrxltoGBjg/edit#gid=934712705"",""ESENCIAL!A6:BG""),15,FALSE))"),"")</f>
        <v/>
      </c>
      <c r="AX520" s="21" t="str">
        <f ca="1">IFERROR(__xludf.DUMMYFUNCTION("IFERROR(VLOOKUP(E534&amp;F534,IMPORTRANGE(""https://docs.google.com/spreadsheets/d/1Uw7-A9f9R21vMXxHZFNpYNeKFtG8_yji4HS352LGlSQ/edit?pli=1#gid=0"",""1_ACUM!A4:S""),12,FALSE))"),"")</f>
        <v/>
      </c>
      <c r="AY520" s="43" t="str">
        <f ca="1">IFERROR(__xludf.DUMMYFUNCTION("IFERROR(VLOOKUP(E534&amp;F534,IMPORTRANGE(""https://docs.google.com/spreadsheets/d/1Uw7-A9f9R21vMXxHZFNpYNeKFtG8_yji4HS352LGlSQ/edit?pli=1#gid=0"",""1_ACUM!A4:S""),13,FALSE))"),"")</f>
        <v/>
      </c>
      <c r="AZ520" s="43" t="str">
        <f ca="1">IFERROR(__xludf.DUMMYFUNCTION("IFERROR(VLOOKUP(E534&amp;F534,IMPORTRANGE(""https://docs.google.com/spreadsheets/d/1Uw7-A9f9R21vMXxHZFNpYNeKFtG8_yji4HS352LGlSQ/edit?pli=1#gid=0"",""1_ACUM!A4:S""),14,FALSE))"),"")</f>
        <v/>
      </c>
      <c r="BA520" s="43" t="str">
        <f ca="1">IFERROR(__xludf.DUMMYFUNCTION("IFERROR(VLOOKUP(E534&amp;F534,IMPORTRANGE(""https://docs.google.com/spreadsheets/d/1Uw7-A9f9R21vMXxHZFNpYNeKFtG8_yji4HS352LGlSQ/edit?pli=1#gid=0"",""1_ACUM!A4:S""),15,FALSE))"),"")</f>
        <v/>
      </c>
      <c r="BB520" s="43" t="str">
        <f ca="1">IFERROR(__xludf.DUMMYFUNCTION("IFERROR(VLOOKUP(E534&amp;F534,IMPORTRANGE(""https://docs.google.com/spreadsheets/d/1Uw7-A9f9R21vMXxHZFNpYNeKFtG8_yji4HS352LGlSQ/edit?pli=1#gid=0"",""1_ACUM!A4:S""),16,FALSE))"),"")</f>
        <v/>
      </c>
      <c r="BC520" s="43" t="str">
        <f ca="1">IFERROR(__xludf.DUMMYFUNCTION("IFERROR(VLOOKUP(E534&amp;F534,IMPORTRANGE(""https://docs.google.com/spreadsheets/d/1Uw7-A9f9R21vMXxHZFNpYNeKFtG8_yji4HS352LGlSQ/edit?pli=1#gid=0"",""1_ACUM!A4:S""),17,FALSE))"),"")</f>
        <v/>
      </c>
      <c r="BD520" s="44" t="str">
        <f ca="1">IFERROR(__xludf.DUMMYFUNCTION("IFERROR(VLOOKUP(E534&amp;F534,IMPORTRANGE(""https://docs.google.com/spreadsheets/d/1Uw7-A9f9R21vMXxHZFNpYNeKFtG8_yji4HS352LGlSQ/edit?pli=1#gid=0"",""1_ACUM!A4:S""),18,FALSE))"),"")</f>
        <v/>
      </c>
      <c r="BE520" s="44" t="str">
        <f ca="1">IFERROR(__xludf.DUMMYFUNCTION("IFERROR(VLOOKUP(E534&amp;F534,IMPORTRANGE(""https://docs.google.com/spreadsheets/d/1Uw7-A9f9R21vMXxHZFNpYNeKFtG8_yji4HS352LGlSQ/edit?pli=1#gid=0"",""1_ACUM!A4:S""),19,FALSE))"),"")</f>
        <v/>
      </c>
      <c r="BF520" s="98" t="str">
        <f ca="1">IFERROR(__xludf.DUMMYFUNCTION("IFERROR(VLOOKUP(F534,IMPORTRANGE(""https://docs.google.com/spreadsheets/d/1Kvs4KS76FHFqLFIZfrDMff4kP08nblUkihrxltoGBjg/edit#gid=934712705"",""ESENCIAL!A6:BG""),5,FALSE))"),"")</f>
        <v/>
      </c>
      <c r="BG520" s="98" t="str">
        <f t="shared" si="21"/>
        <v/>
      </c>
      <c r="BH520" s="99" t="str">
        <f t="shared" si="22"/>
        <v/>
      </c>
      <c r="BI520" s="100" t="str">
        <f ca="1">IFERROR(__xludf.DUMMYFUNCTION("IFERROR(VLOOKUP(F534,IMPORTRANGE(""https://docs.google.com/spreadsheets/d/1Kvs4KS76FHFqLFIZfrDMff4kP08nblUkihrxltoGBjg/edit#gid=934712705"",""ESENCIAL!A6:BG""),2,FALSE))"),"")</f>
        <v/>
      </c>
      <c r="BJ520" s="19" t="str">
        <f t="shared" si="23"/>
        <v/>
      </c>
      <c r="BK520" s="100"/>
      <c r="BL520" s="100"/>
    </row>
    <row r="521" spans="1:64" ht="15">
      <c r="A521" s="5"/>
      <c r="B521" s="5"/>
      <c r="G521" s="5" t="str">
        <f ca="1">IFERROR(__xludf.DUMMYFUNCTION("IFERROR(VLOOKUP(F535,IMPORTRANGE(""https://docs.google.com/spreadsheets/d/1Kvs4KS76FHFqLFIZfrDMff4kP08nblUkihrxltoGBjg/edit#gid=934712705"",""ESENCIAL!A6:BG""),3,FALSE))"),"")</f>
        <v/>
      </c>
      <c r="H521" s="5" t="str">
        <f ca="1">IFERROR(__xludf.DUMMYFUNCTION("IFERROR(VLOOKUP(F535,IMPORTRANGE(""https://docs.google.com/spreadsheets/d/1Kvs4KS76FHFqLFIZfrDMff4kP08nblUkihrxltoGBjg/edit#gid=934712705"",""ESENCIAL!A6:BG""),8,FALSE))"),"")</f>
        <v/>
      </c>
      <c r="L521" s="287"/>
      <c r="U521" s="40"/>
      <c r="AU521" s="41" t="str">
        <f t="shared" si="20"/>
        <v/>
      </c>
      <c r="AV521" s="5" t="str">
        <f ca="1">IFERROR(__xludf.DUMMYFUNCTION("IFERROR(VLOOKUP(E535&amp;F535,IMPORTRANGE(""https://docs.google.com/spreadsheets/d/1Uw7-A9f9R21vMXxHZFNpYNeKFtG8_yji4HS352LGlSQ/edit?pli=1#gid=0"",""1_ACUM!A4:S""),11,FALSE))"),"")</f>
        <v/>
      </c>
      <c r="AW521" s="42" t="str">
        <f ca="1">IFERROR(__xludf.DUMMYFUNCTION("IFERROR(VLOOKUP(F535,IMPORTRANGE(""https://docs.google.com/spreadsheets/d/1Kvs4KS76FHFqLFIZfrDMff4kP08nblUkihrxltoGBjg/edit#gid=934712705"",""ESENCIAL!A6:BG""),15,FALSE))"),"")</f>
        <v/>
      </c>
      <c r="AX521" s="21" t="str">
        <f ca="1">IFERROR(__xludf.DUMMYFUNCTION("IFERROR(VLOOKUP(E535&amp;F535,IMPORTRANGE(""https://docs.google.com/spreadsheets/d/1Uw7-A9f9R21vMXxHZFNpYNeKFtG8_yji4HS352LGlSQ/edit?pli=1#gid=0"",""1_ACUM!A4:S""),12,FALSE))"),"")</f>
        <v/>
      </c>
      <c r="AY521" s="43" t="str">
        <f ca="1">IFERROR(__xludf.DUMMYFUNCTION("IFERROR(VLOOKUP(E535&amp;F535,IMPORTRANGE(""https://docs.google.com/spreadsheets/d/1Uw7-A9f9R21vMXxHZFNpYNeKFtG8_yji4HS352LGlSQ/edit?pli=1#gid=0"",""1_ACUM!A4:S""),13,FALSE))"),"")</f>
        <v/>
      </c>
      <c r="AZ521" s="43" t="str">
        <f ca="1">IFERROR(__xludf.DUMMYFUNCTION("IFERROR(VLOOKUP(E535&amp;F535,IMPORTRANGE(""https://docs.google.com/spreadsheets/d/1Uw7-A9f9R21vMXxHZFNpYNeKFtG8_yji4HS352LGlSQ/edit?pli=1#gid=0"",""1_ACUM!A4:S""),14,FALSE))"),"")</f>
        <v/>
      </c>
      <c r="BA521" s="43" t="str">
        <f ca="1">IFERROR(__xludf.DUMMYFUNCTION("IFERROR(VLOOKUP(E535&amp;F535,IMPORTRANGE(""https://docs.google.com/spreadsheets/d/1Uw7-A9f9R21vMXxHZFNpYNeKFtG8_yji4HS352LGlSQ/edit?pli=1#gid=0"",""1_ACUM!A4:S""),15,FALSE))"),"")</f>
        <v/>
      </c>
      <c r="BB521" s="43" t="str">
        <f ca="1">IFERROR(__xludf.DUMMYFUNCTION("IFERROR(VLOOKUP(E535&amp;F535,IMPORTRANGE(""https://docs.google.com/spreadsheets/d/1Uw7-A9f9R21vMXxHZFNpYNeKFtG8_yji4HS352LGlSQ/edit?pli=1#gid=0"",""1_ACUM!A4:S""),16,FALSE))"),"")</f>
        <v/>
      </c>
      <c r="BC521" s="43" t="str">
        <f ca="1">IFERROR(__xludf.DUMMYFUNCTION("IFERROR(VLOOKUP(E535&amp;F535,IMPORTRANGE(""https://docs.google.com/spreadsheets/d/1Uw7-A9f9R21vMXxHZFNpYNeKFtG8_yji4HS352LGlSQ/edit?pli=1#gid=0"",""1_ACUM!A4:S""),17,FALSE))"),"")</f>
        <v/>
      </c>
      <c r="BD521" s="44" t="str">
        <f ca="1">IFERROR(__xludf.DUMMYFUNCTION("IFERROR(VLOOKUP(E535&amp;F535,IMPORTRANGE(""https://docs.google.com/spreadsheets/d/1Uw7-A9f9R21vMXxHZFNpYNeKFtG8_yji4HS352LGlSQ/edit?pli=1#gid=0"",""1_ACUM!A4:S""),18,FALSE))"),"")</f>
        <v/>
      </c>
      <c r="BE521" s="44" t="str">
        <f ca="1">IFERROR(__xludf.DUMMYFUNCTION("IFERROR(VLOOKUP(E535&amp;F535,IMPORTRANGE(""https://docs.google.com/spreadsheets/d/1Uw7-A9f9R21vMXxHZFNpYNeKFtG8_yji4HS352LGlSQ/edit?pli=1#gid=0"",""1_ACUM!A4:S""),19,FALSE))"),"")</f>
        <v/>
      </c>
      <c r="BF521" s="98" t="str">
        <f ca="1">IFERROR(__xludf.DUMMYFUNCTION("IFERROR(VLOOKUP(F535,IMPORTRANGE(""https://docs.google.com/spreadsheets/d/1Kvs4KS76FHFqLFIZfrDMff4kP08nblUkihrxltoGBjg/edit#gid=934712705"",""ESENCIAL!A6:BG""),5,FALSE))"),"")</f>
        <v/>
      </c>
      <c r="BG521" s="98" t="str">
        <f t="shared" si="21"/>
        <v/>
      </c>
      <c r="BH521" s="99" t="str">
        <f t="shared" si="22"/>
        <v/>
      </c>
      <c r="BI521" s="100" t="str">
        <f ca="1">IFERROR(__xludf.DUMMYFUNCTION("IFERROR(VLOOKUP(F535,IMPORTRANGE(""https://docs.google.com/spreadsheets/d/1Kvs4KS76FHFqLFIZfrDMff4kP08nblUkihrxltoGBjg/edit#gid=934712705"",""ESENCIAL!A6:BG""),2,FALSE))"),"")</f>
        <v/>
      </c>
      <c r="BJ521" s="19" t="str">
        <f t="shared" si="23"/>
        <v/>
      </c>
      <c r="BK521" s="100"/>
      <c r="BL521" s="100"/>
    </row>
    <row r="522" spans="1:64" ht="15">
      <c r="A522" s="5"/>
      <c r="B522" s="5"/>
      <c r="G522" s="5" t="str">
        <f ca="1">IFERROR(__xludf.DUMMYFUNCTION("IFERROR(VLOOKUP(F536,IMPORTRANGE(""https://docs.google.com/spreadsheets/d/1Kvs4KS76FHFqLFIZfrDMff4kP08nblUkihrxltoGBjg/edit#gid=934712705"",""ESENCIAL!A6:BG""),3,FALSE))"),"")</f>
        <v/>
      </c>
      <c r="H522" s="5" t="str">
        <f ca="1">IFERROR(__xludf.DUMMYFUNCTION("IFERROR(VLOOKUP(F536,IMPORTRANGE(""https://docs.google.com/spreadsheets/d/1Kvs4KS76FHFqLFIZfrDMff4kP08nblUkihrxltoGBjg/edit#gid=934712705"",""ESENCIAL!A6:BG""),8,FALSE))"),"")</f>
        <v/>
      </c>
      <c r="L522" s="287"/>
      <c r="U522" s="40"/>
      <c r="AU522" s="41" t="str">
        <f t="shared" si="20"/>
        <v/>
      </c>
      <c r="AV522" s="5" t="str">
        <f ca="1">IFERROR(__xludf.DUMMYFUNCTION("IFERROR(VLOOKUP(E536&amp;F536,IMPORTRANGE(""https://docs.google.com/spreadsheets/d/1Uw7-A9f9R21vMXxHZFNpYNeKFtG8_yji4HS352LGlSQ/edit?pli=1#gid=0"",""1_ACUM!A4:S""),11,FALSE))"),"")</f>
        <v/>
      </c>
      <c r="AW522" s="42" t="str">
        <f ca="1">IFERROR(__xludf.DUMMYFUNCTION("IFERROR(VLOOKUP(F536,IMPORTRANGE(""https://docs.google.com/spreadsheets/d/1Kvs4KS76FHFqLFIZfrDMff4kP08nblUkihrxltoGBjg/edit#gid=934712705"",""ESENCIAL!A6:BG""),15,FALSE))"),"")</f>
        <v/>
      </c>
      <c r="AX522" s="21" t="str">
        <f ca="1">IFERROR(__xludf.DUMMYFUNCTION("IFERROR(VLOOKUP(E536&amp;F536,IMPORTRANGE(""https://docs.google.com/spreadsheets/d/1Uw7-A9f9R21vMXxHZFNpYNeKFtG8_yji4HS352LGlSQ/edit?pli=1#gid=0"",""1_ACUM!A4:S""),12,FALSE))"),"")</f>
        <v/>
      </c>
      <c r="AY522" s="43" t="str">
        <f ca="1">IFERROR(__xludf.DUMMYFUNCTION("IFERROR(VLOOKUP(E536&amp;F536,IMPORTRANGE(""https://docs.google.com/spreadsheets/d/1Uw7-A9f9R21vMXxHZFNpYNeKFtG8_yji4HS352LGlSQ/edit?pli=1#gid=0"",""1_ACUM!A4:S""),13,FALSE))"),"")</f>
        <v/>
      </c>
      <c r="AZ522" s="43" t="str">
        <f ca="1">IFERROR(__xludf.DUMMYFUNCTION("IFERROR(VLOOKUP(E536&amp;F536,IMPORTRANGE(""https://docs.google.com/spreadsheets/d/1Uw7-A9f9R21vMXxHZFNpYNeKFtG8_yji4HS352LGlSQ/edit?pli=1#gid=0"",""1_ACUM!A4:S""),14,FALSE))"),"")</f>
        <v/>
      </c>
      <c r="BA522" s="43" t="str">
        <f ca="1">IFERROR(__xludf.DUMMYFUNCTION("IFERROR(VLOOKUP(E536&amp;F536,IMPORTRANGE(""https://docs.google.com/spreadsheets/d/1Uw7-A9f9R21vMXxHZFNpYNeKFtG8_yji4HS352LGlSQ/edit?pli=1#gid=0"",""1_ACUM!A4:S""),15,FALSE))"),"")</f>
        <v/>
      </c>
      <c r="BB522" s="43" t="str">
        <f ca="1">IFERROR(__xludf.DUMMYFUNCTION("IFERROR(VLOOKUP(E536&amp;F536,IMPORTRANGE(""https://docs.google.com/spreadsheets/d/1Uw7-A9f9R21vMXxHZFNpYNeKFtG8_yji4HS352LGlSQ/edit?pli=1#gid=0"",""1_ACUM!A4:S""),16,FALSE))"),"")</f>
        <v/>
      </c>
      <c r="BC522" s="43" t="str">
        <f ca="1">IFERROR(__xludf.DUMMYFUNCTION("IFERROR(VLOOKUP(E536&amp;F536,IMPORTRANGE(""https://docs.google.com/spreadsheets/d/1Uw7-A9f9R21vMXxHZFNpYNeKFtG8_yji4HS352LGlSQ/edit?pli=1#gid=0"",""1_ACUM!A4:S""),17,FALSE))"),"")</f>
        <v/>
      </c>
      <c r="BD522" s="44" t="str">
        <f ca="1">IFERROR(__xludf.DUMMYFUNCTION("IFERROR(VLOOKUP(E536&amp;F536,IMPORTRANGE(""https://docs.google.com/spreadsheets/d/1Uw7-A9f9R21vMXxHZFNpYNeKFtG8_yji4HS352LGlSQ/edit?pli=1#gid=0"",""1_ACUM!A4:S""),18,FALSE))"),"")</f>
        <v/>
      </c>
      <c r="BE522" s="44" t="str">
        <f ca="1">IFERROR(__xludf.DUMMYFUNCTION("IFERROR(VLOOKUP(E536&amp;F536,IMPORTRANGE(""https://docs.google.com/spreadsheets/d/1Uw7-A9f9R21vMXxHZFNpYNeKFtG8_yji4HS352LGlSQ/edit?pli=1#gid=0"",""1_ACUM!A4:S""),19,FALSE))"),"")</f>
        <v/>
      </c>
      <c r="BF522" s="98" t="str">
        <f ca="1">IFERROR(__xludf.DUMMYFUNCTION("IFERROR(VLOOKUP(F536,IMPORTRANGE(""https://docs.google.com/spreadsheets/d/1Kvs4KS76FHFqLFIZfrDMff4kP08nblUkihrxltoGBjg/edit#gid=934712705"",""ESENCIAL!A6:BG""),5,FALSE))"),"")</f>
        <v/>
      </c>
      <c r="BG522" s="98" t="str">
        <f t="shared" si="21"/>
        <v/>
      </c>
      <c r="BH522" s="99" t="str">
        <f t="shared" si="22"/>
        <v/>
      </c>
      <c r="BI522" s="100" t="str">
        <f ca="1">IFERROR(__xludf.DUMMYFUNCTION("IFERROR(VLOOKUP(F536,IMPORTRANGE(""https://docs.google.com/spreadsheets/d/1Kvs4KS76FHFqLFIZfrDMff4kP08nblUkihrxltoGBjg/edit#gid=934712705"",""ESENCIAL!A6:BG""),2,FALSE))"),"")</f>
        <v/>
      </c>
      <c r="BJ522" s="19" t="str">
        <f t="shared" si="23"/>
        <v/>
      </c>
      <c r="BK522" s="100"/>
      <c r="BL522" s="100"/>
    </row>
    <row r="523" spans="1:64" ht="15">
      <c r="A523" s="5"/>
      <c r="B523" s="5"/>
      <c r="G523" s="5" t="str">
        <f ca="1">IFERROR(__xludf.DUMMYFUNCTION("IFERROR(VLOOKUP(F537,IMPORTRANGE(""https://docs.google.com/spreadsheets/d/1Kvs4KS76FHFqLFIZfrDMff4kP08nblUkihrxltoGBjg/edit#gid=934712705"",""ESENCIAL!A6:BG""),3,FALSE))"),"")</f>
        <v/>
      </c>
      <c r="H523" s="5" t="str">
        <f ca="1">IFERROR(__xludf.DUMMYFUNCTION("IFERROR(VLOOKUP(F537,IMPORTRANGE(""https://docs.google.com/spreadsheets/d/1Kvs4KS76FHFqLFIZfrDMff4kP08nblUkihrxltoGBjg/edit#gid=934712705"",""ESENCIAL!A6:BG""),8,FALSE))"),"")</f>
        <v/>
      </c>
      <c r="L523" s="287"/>
      <c r="U523" s="40"/>
      <c r="AU523" s="41" t="str">
        <f t="shared" si="20"/>
        <v/>
      </c>
      <c r="AV523" s="5" t="str">
        <f ca="1">IFERROR(__xludf.DUMMYFUNCTION("IFERROR(VLOOKUP(E537&amp;F537,IMPORTRANGE(""https://docs.google.com/spreadsheets/d/1Uw7-A9f9R21vMXxHZFNpYNeKFtG8_yji4HS352LGlSQ/edit?pli=1#gid=0"",""1_ACUM!A4:S""),11,FALSE))"),"")</f>
        <v/>
      </c>
      <c r="AW523" s="42" t="str">
        <f ca="1">IFERROR(__xludf.DUMMYFUNCTION("IFERROR(VLOOKUP(F537,IMPORTRANGE(""https://docs.google.com/spreadsheets/d/1Kvs4KS76FHFqLFIZfrDMff4kP08nblUkihrxltoGBjg/edit#gid=934712705"",""ESENCIAL!A6:BG""),15,FALSE))"),"")</f>
        <v/>
      </c>
      <c r="AX523" s="21" t="str">
        <f ca="1">IFERROR(__xludf.DUMMYFUNCTION("IFERROR(VLOOKUP(E537&amp;F537,IMPORTRANGE(""https://docs.google.com/spreadsheets/d/1Uw7-A9f9R21vMXxHZFNpYNeKFtG8_yji4HS352LGlSQ/edit?pli=1#gid=0"",""1_ACUM!A4:S""),12,FALSE))"),"")</f>
        <v/>
      </c>
      <c r="AY523" s="43" t="str">
        <f ca="1">IFERROR(__xludf.DUMMYFUNCTION("IFERROR(VLOOKUP(E537&amp;F537,IMPORTRANGE(""https://docs.google.com/spreadsheets/d/1Uw7-A9f9R21vMXxHZFNpYNeKFtG8_yji4HS352LGlSQ/edit?pli=1#gid=0"",""1_ACUM!A4:S""),13,FALSE))"),"")</f>
        <v/>
      </c>
      <c r="AZ523" s="43" t="str">
        <f ca="1">IFERROR(__xludf.DUMMYFUNCTION("IFERROR(VLOOKUP(E537&amp;F537,IMPORTRANGE(""https://docs.google.com/spreadsheets/d/1Uw7-A9f9R21vMXxHZFNpYNeKFtG8_yji4HS352LGlSQ/edit?pli=1#gid=0"",""1_ACUM!A4:S""),14,FALSE))"),"")</f>
        <v/>
      </c>
      <c r="BA523" s="43" t="str">
        <f ca="1">IFERROR(__xludf.DUMMYFUNCTION("IFERROR(VLOOKUP(E537&amp;F537,IMPORTRANGE(""https://docs.google.com/spreadsheets/d/1Uw7-A9f9R21vMXxHZFNpYNeKFtG8_yji4HS352LGlSQ/edit?pli=1#gid=0"",""1_ACUM!A4:S""),15,FALSE))"),"")</f>
        <v/>
      </c>
      <c r="BB523" s="43" t="str">
        <f ca="1">IFERROR(__xludf.DUMMYFUNCTION("IFERROR(VLOOKUP(E537&amp;F537,IMPORTRANGE(""https://docs.google.com/spreadsheets/d/1Uw7-A9f9R21vMXxHZFNpYNeKFtG8_yji4HS352LGlSQ/edit?pli=1#gid=0"",""1_ACUM!A4:S""),16,FALSE))"),"")</f>
        <v/>
      </c>
      <c r="BC523" s="43" t="str">
        <f ca="1">IFERROR(__xludf.DUMMYFUNCTION("IFERROR(VLOOKUP(E537&amp;F537,IMPORTRANGE(""https://docs.google.com/spreadsheets/d/1Uw7-A9f9R21vMXxHZFNpYNeKFtG8_yji4HS352LGlSQ/edit?pli=1#gid=0"",""1_ACUM!A4:S""),17,FALSE))"),"")</f>
        <v/>
      </c>
      <c r="BD523" s="44" t="str">
        <f ca="1">IFERROR(__xludf.DUMMYFUNCTION("IFERROR(VLOOKUP(E537&amp;F537,IMPORTRANGE(""https://docs.google.com/spreadsheets/d/1Uw7-A9f9R21vMXxHZFNpYNeKFtG8_yji4HS352LGlSQ/edit?pli=1#gid=0"",""1_ACUM!A4:S""),18,FALSE))"),"")</f>
        <v/>
      </c>
      <c r="BE523" s="44" t="str">
        <f ca="1">IFERROR(__xludf.DUMMYFUNCTION("IFERROR(VLOOKUP(E537&amp;F537,IMPORTRANGE(""https://docs.google.com/spreadsheets/d/1Uw7-A9f9R21vMXxHZFNpYNeKFtG8_yji4HS352LGlSQ/edit?pli=1#gid=0"",""1_ACUM!A4:S""),19,FALSE))"),"")</f>
        <v/>
      </c>
      <c r="BF523" s="98" t="str">
        <f ca="1">IFERROR(__xludf.DUMMYFUNCTION("IFERROR(VLOOKUP(F537,IMPORTRANGE(""https://docs.google.com/spreadsheets/d/1Kvs4KS76FHFqLFIZfrDMff4kP08nblUkihrxltoGBjg/edit#gid=934712705"",""ESENCIAL!A6:BG""),5,FALSE))"),"")</f>
        <v/>
      </c>
      <c r="BG523" s="98" t="str">
        <f t="shared" si="21"/>
        <v/>
      </c>
      <c r="BH523" s="99" t="str">
        <f t="shared" si="22"/>
        <v/>
      </c>
      <c r="BI523" s="100" t="str">
        <f ca="1">IFERROR(__xludf.DUMMYFUNCTION("IFERROR(VLOOKUP(F537,IMPORTRANGE(""https://docs.google.com/spreadsheets/d/1Kvs4KS76FHFqLFIZfrDMff4kP08nblUkihrxltoGBjg/edit#gid=934712705"",""ESENCIAL!A6:BG""),2,FALSE))"),"")</f>
        <v/>
      </c>
      <c r="BJ523" s="19" t="str">
        <f t="shared" si="23"/>
        <v/>
      </c>
      <c r="BK523" s="100"/>
      <c r="BL523" s="100"/>
    </row>
    <row r="524" spans="1:64" ht="15">
      <c r="A524" s="5"/>
      <c r="B524" s="5"/>
      <c r="G524" s="5" t="str">
        <f ca="1">IFERROR(__xludf.DUMMYFUNCTION("IFERROR(VLOOKUP(F538,IMPORTRANGE(""https://docs.google.com/spreadsheets/d/1Kvs4KS76FHFqLFIZfrDMff4kP08nblUkihrxltoGBjg/edit#gid=934712705"",""ESENCIAL!A6:BG""),3,FALSE))"),"")</f>
        <v/>
      </c>
      <c r="H524" s="5" t="str">
        <f ca="1">IFERROR(__xludf.DUMMYFUNCTION("IFERROR(VLOOKUP(F538,IMPORTRANGE(""https://docs.google.com/spreadsheets/d/1Kvs4KS76FHFqLFIZfrDMff4kP08nblUkihrxltoGBjg/edit#gid=934712705"",""ESENCIAL!A6:BG""),8,FALSE))"),"")</f>
        <v/>
      </c>
      <c r="L524" s="287"/>
      <c r="U524" s="40"/>
      <c r="AU524" s="41" t="str">
        <f t="shared" si="20"/>
        <v/>
      </c>
      <c r="AV524" s="5" t="str">
        <f ca="1">IFERROR(__xludf.DUMMYFUNCTION("IFERROR(VLOOKUP(E538&amp;F538,IMPORTRANGE(""https://docs.google.com/spreadsheets/d/1Uw7-A9f9R21vMXxHZFNpYNeKFtG8_yji4HS352LGlSQ/edit?pli=1#gid=0"",""1_ACUM!A4:S""),11,FALSE))"),"")</f>
        <v/>
      </c>
      <c r="AW524" s="42" t="str">
        <f ca="1">IFERROR(__xludf.DUMMYFUNCTION("IFERROR(VLOOKUP(F538,IMPORTRANGE(""https://docs.google.com/spreadsheets/d/1Kvs4KS76FHFqLFIZfrDMff4kP08nblUkihrxltoGBjg/edit#gid=934712705"",""ESENCIAL!A6:BG""),15,FALSE))"),"")</f>
        <v/>
      </c>
      <c r="AX524" s="21" t="str">
        <f ca="1">IFERROR(__xludf.DUMMYFUNCTION("IFERROR(VLOOKUP(E538&amp;F538,IMPORTRANGE(""https://docs.google.com/spreadsheets/d/1Uw7-A9f9R21vMXxHZFNpYNeKFtG8_yji4HS352LGlSQ/edit?pli=1#gid=0"",""1_ACUM!A4:S""),12,FALSE))"),"")</f>
        <v/>
      </c>
      <c r="AY524" s="43" t="str">
        <f ca="1">IFERROR(__xludf.DUMMYFUNCTION("IFERROR(VLOOKUP(E538&amp;F538,IMPORTRANGE(""https://docs.google.com/spreadsheets/d/1Uw7-A9f9R21vMXxHZFNpYNeKFtG8_yji4HS352LGlSQ/edit?pli=1#gid=0"",""1_ACUM!A4:S""),13,FALSE))"),"")</f>
        <v/>
      </c>
      <c r="AZ524" s="43" t="str">
        <f ca="1">IFERROR(__xludf.DUMMYFUNCTION("IFERROR(VLOOKUP(E538&amp;F538,IMPORTRANGE(""https://docs.google.com/spreadsheets/d/1Uw7-A9f9R21vMXxHZFNpYNeKFtG8_yji4HS352LGlSQ/edit?pli=1#gid=0"",""1_ACUM!A4:S""),14,FALSE))"),"")</f>
        <v/>
      </c>
      <c r="BA524" s="43" t="str">
        <f ca="1">IFERROR(__xludf.DUMMYFUNCTION("IFERROR(VLOOKUP(E538&amp;F538,IMPORTRANGE(""https://docs.google.com/spreadsheets/d/1Uw7-A9f9R21vMXxHZFNpYNeKFtG8_yji4HS352LGlSQ/edit?pli=1#gid=0"",""1_ACUM!A4:S""),15,FALSE))"),"")</f>
        <v/>
      </c>
      <c r="BB524" s="43" t="str">
        <f ca="1">IFERROR(__xludf.DUMMYFUNCTION("IFERROR(VLOOKUP(E538&amp;F538,IMPORTRANGE(""https://docs.google.com/spreadsheets/d/1Uw7-A9f9R21vMXxHZFNpYNeKFtG8_yji4HS352LGlSQ/edit?pli=1#gid=0"",""1_ACUM!A4:S""),16,FALSE))"),"")</f>
        <v/>
      </c>
      <c r="BC524" s="43" t="str">
        <f ca="1">IFERROR(__xludf.DUMMYFUNCTION("IFERROR(VLOOKUP(E538&amp;F538,IMPORTRANGE(""https://docs.google.com/spreadsheets/d/1Uw7-A9f9R21vMXxHZFNpYNeKFtG8_yji4HS352LGlSQ/edit?pli=1#gid=0"",""1_ACUM!A4:S""),17,FALSE))"),"")</f>
        <v/>
      </c>
      <c r="BD524" s="44" t="str">
        <f ca="1">IFERROR(__xludf.DUMMYFUNCTION("IFERROR(VLOOKUP(E538&amp;F538,IMPORTRANGE(""https://docs.google.com/spreadsheets/d/1Uw7-A9f9R21vMXxHZFNpYNeKFtG8_yji4HS352LGlSQ/edit?pli=1#gid=0"",""1_ACUM!A4:S""),18,FALSE))"),"")</f>
        <v/>
      </c>
      <c r="BE524" s="44" t="str">
        <f ca="1">IFERROR(__xludf.DUMMYFUNCTION("IFERROR(VLOOKUP(E538&amp;F538,IMPORTRANGE(""https://docs.google.com/spreadsheets/d/1Uw7-A9f9R21vMXxHZFNpYNeKFtG8_yji4HS352LGlSQ/edit?pli=1#gid=0"",""1_ACUM!A4:S""),19,FALSE))"),"")</f>
        <v/>
      </c>
      <c r="BF524" s="98" t="str">
        <f ca="1">IFERROR(__xludf.DUMMYFUNCTION("IFERROR(VLOOKUP(F538,IMPORTRANGE(""https://docs.google.com/spreadsheets/d/1Kvs4KS76FHFqLFIZfrDMff4kP08nblUkihrxltoGBjg/edit#gid=934712705"",""ESENCIAL!A6:BG""),5,FALSE))"),"")</f>
        <v/>
      </c>
      <c r="BG524" s="98" t="str">
        <f t="shared" si="21"/>
        <v/>
      </c>
      <c r="BH524" s="99" t="str">
        <f t="shared" si="22"/>
        <v/>
      </c>
      <c r="BI524" s="100" t="str">
        <f ca="1">IFERROR(__xludf.DUMMYFUNCTION("IFERROR(VLOOKUP(F538,IMPORTRANGE(""https://docs.google.com/spreadsheets/d/1Kvs4KS76FHFqLFIZfrDMff4kP08nblUkihrxltoGBjg/edit#gid=934712705"",""ESENCIAL!A6:BG""),2,FALSE))"),"")</f>
        <v/>
      </c>
      <c r="BJ524" s="19" t="str">
        <f t="shared" si="23"/>
        <v/>
      </c>
      <c r="BK524" s="100"/>
      <c r="BL524" s="100"/>
    </row>
    <row r="525" spans="1:64" ht="15">
      <c r="A525" s="5"/>
      <c r="B525" s="5"/>
      <c r="G525" s="5" t="str">
        <f ca="1">IFERROR(__xludf.DUMMYFUNCTION("IFERROR(VLOOKUP(F539,IMPORTRANGE(""https://docs.google.com/spreadsheets/d/1Kvs4KS76FHFqLFIZfrDMff4kP08nblUkihrxltoGBjg/edit#gid=934712705"",""ESENCIAL!A6:BG""),3,FALSE))"),"")</f>
        <v/>
      </c>
      <c r="H525" s="5" t="str">
        <f ca="1">IFERROR(__xludf.DUMMYFUNCTION("IFERROR(VLOOKUP(F539,IMPORTRANGE(""https://docs.google.com/spreadsheets/d/1Kvs4KS76FHFqLFIZfrDMff4kP08nblUkihrxltoGBjg/edit#gid=934712705"",""ESENCIAL!A6:BG""),8,FALSE))"),"")</f>
        <v/>
      </c>
      <c r="L525" s="287"/>
      <c r="U525" s="40"/>
      <c r="AU525" s="41" t="str">
        <f t="shared" si="20"/>
        <v/>
      </c>
      <c r="AV525" s="5" t="str">
        <f ca="1">IFERROR(__xludf.DUMMYFUNCTION("IFERROR(VLOOKUP(E539&amp;F539,IMPORTRANGE(""https://docs.google.com/spreadsheets/d/1Uw7-A9f9R21vMXxHZFNpYNeKFtG8_yji4HS352LGlSQ/edit?pli=1#gid=0"",""1_ACUM!A4:S""),11,FALSE))"),"")</f>
        <v/>
      </c>
      <c r="AW525" s="42" t="str">
        <f ca="1">IFERROR(__xludf.DUMMYFUNCTION("IFERROR(VLOOKUP(F539,IMPORTRANGE(""https://docs.google.com/spreadsheets/d/1Kvs4KS76FHFqLFIZfrDMff4kP08nblUkihrxltoGBjg/edit#gid=934712705"",""ESENCIAL!A6:BG""),15,FALSE))"),"")</f>
        <v/>
      </c>
      <c r="AX525" s="21" t="str">
        <f ca="1">IFERROR(__xludf.DUMMYFUNCTION("IFERROR(VLOOKUP(E539&amp;F539,IMPORTRANGE(""https://docs.google.com/spreadsheets/d/1Uw7-A9f9R21vMXxHZFNpYNeKFtG8_yji4HS352LGlSQ/edit?pli=1#gid=0"",""1_ACUM!A4:S""),12,FALSE))"),"")</f>
        <v/>
      </c>
      <c r="AY525" s="43" t="str">
        <f ca="1">IFERROR(__xludf.DUMMYFUNCTION("IFERROR(VLOOKUP(E539&amp;F539,IMPORTRANGE(""https://docs.google.com/spreadsheets/d/1Uw7-A9f9R21vMXxHZFNpYNeKFtG8_yji4HS352LGlSQ/edit?pli=1#gid=0"",""1_ACUM!A4:S""),13,FALSE))"),"")</f>
        <v/>
      </c>
      <c r="AZ525" s="43" t="str">
        <f ca="1">IFERROR(__xludf.DUMMYFUNCTION("IFERROR(VLOOKUP(E539&amp;F539,IMPORTRANGE(""https://docs.google.com/spreadsheets/d/1Uw7-A9f9R21vMXxHZFNpYNeKFtG8_yji4HS352LGlSQ/edit?pli=1#gid=0"",""1_ACUM!A4:S""),14,FALSE))"),"")</f>
        <v/>
      </c>
      <c r="BA525" s="43" t="str">
        <f ca="1">IFERROR(__xludf.DUMMYFUNCTION("IFERROR(VLOOKUP(E539&amp;F539,IMPORTRANGE(""https://docs.google.com/spreadsheets/d/1Uw7-A9f9R21vMXxHZFNpYNeKFtG8_yji4HS352LGlSQ/edit?pli=1#gid=0"",""1_ACUM!A4:S""),15,FALSE))"),"")</f>
        <v/>
      </c>
      <c r="BB525" s="43" t="str">
        <f ca="1">IFERROR(__xludf.DUMMYFUNCTION("IFERROR(VLOOKUP(E539&amp;F539,IMPORTRANGE(""https://docs.google.com/spreadsheets/d/1Uw7-A9f9R21vMXxHZFNpYNeKFtG8_yji4HS352LGlSQ/edit?pli=1#gid=0"",""1_ACUM!A4:S""),16,FALSE))"),"")</f>
        <v/>
      </c>
      <c r="BC525" s="43" t="str">
        <f ca="1">IFERROR(__xludf.DUMMYFUNCTION("IFERROR(VLOOKUP(E539&amp;F539,IMPORTRANGE(""https://docs.google.com/spreadsheets/d/1Uw7-A9f9R21vMXxHZFNpYNeKFtG8_yji4HS352LGlSQ/edit?pli=1#gid=0"",""1_ACUM!A4:S""),17,FALSE))"),"")</f>
        <v/>
      </c>
      <c r="BD525" s="44" t="str">
        <f ca="1">IFERROR(__xludf.DUMMYFUNCTION("IFERROR(VLOOKUP(E539&amp;F539,IMPORTRANGE(""https://docs.google.com/spreadsheets/d/1Uw7-A9f9R21vMXxHZFNpYNeKFtG8_yji4HS352LGlSQ/edit?pli=1#gid=0"",""1_ACUM!A4:S""),18,FALSE))"),"")</f>
        <v/>
      </c>
      <c r="BE525" s="44" t="str">
        <f ca="1">IFERROR(__xludf.DUMMYFUNCTION("IFERROR(VLOOKUP(E539&amp;F539,IMPORTRANGE(""https://docs.google.com/spreadsheets/d/1Uw7-A9f9R21vMXxHZFNpYNeKFtG8_yji4HS352LGlSQ/edit?pli=1#gid=0"",""1_ACUM!A4:S""),19,FALSE))"),"")</f>
        <v/>
      </c>
      <c r="BF525" s="98" t="str">
        <f ca="1">IFERROR(__xludf.DUMMYFUNCTION("IFERROR(VLOOKUP(F539,IMPORTRANGE(""https://docs.google.com/spreadsheets/d/1Kvs4KS76FHFqLFIZfrDMff4kP08nblUkihrxltoGBjg/edit#gid=934712705"",""ESENCIAL!A6:BG""),5,FALSE))"),"")</f>
        <v/>
      </c>
      <c r="BG525" s="98" t="str">
        <f t="shared" si="21"/>
        <v/>
      </c>
      <c r="BH525" s="99" t="str">
        <f t="shared" si="22"/>
        <v/>
      </c>
      <c r="BI525" s="100" t="str">
        <f ca="1">IFERROR(__xludf.DUMMYFUNCTION("IFERROR(VLOOKUP(F539,IMPORTRANGE(""https://docs.google.com/spreadsheets/d/1Kvs4KS76FHFqLFIZfrDMff4kP08nblUkihrxltoGBjg/edit#gid=934712705"",""ESENCIAL!A6:BG""),2,FALSE))"),"")</f>
        <v/>
      </c>
      <c r="BJ525" s="19" t="str">
        <f t="shared" si="23"/>
        <v/>
      </c>
      <c r="BK525" s="100"/>
      <c r="BL525" s="100"/>
    </row>
    <row r="526" spans="1:64" ht="15">
      <c r="A526" s="5"/>
      <c r="B526" s="5"/>
      <c r="G526" s="5" t="str">
        <f ca="1">IFERROR(__xludf.DUMMYFUNCTION("IFERROR(VLOOKUP(F540,IMPORTRANGE(""https://docs.google.com/spreadsheets/d/1Kvs4KS76FHFqLFIZfrDMff4kP08nblUkihrxltoGBjg/edit#gid=934712705"",""ESENCIAL!A6:BG""),3,FALSE))"),"")</f>
        <v/>
      </c>
      <c r="H526" s="5" t="str">
        <f ca="1">IFERROR(__xludf.DUMMYFUNCTION("IFERROR(VLOOKUP(F540,IMPORTRANGE(""https://docs.google.com/spreadsheets/d/1Kvs4KS76FHFqLFIZfrDMff4kP08nblUkihrxltoGBjg/edit#gid=934712705"",""ESENCIAL!A6:BG""),8,FALSE))"),"")</f>
        <v/>
      </c>
      <c r="L526" s="287"/>
      <c r="U526" s="40"/>
      <c r="AU526" s="41" t="str">
        <f t="shared" si="20"/>
        <v/>
      </c>
      <c r="AV526" s="5" t="str">
        <f ca="1">IFERROR(__xludf.DUMMYFUNCTION("IFERROR(VLOOKUP(E540&amp;F540,IMPORTRANGE(""https://docs.google.com/spreadsheets/d/1Uw7-A9f9R21vMXxHZFNpYNeKFtG8_yji4HS352LGlSQ/edit?pli=1#gid=0"",""1_ACUM!A4:S""),11,FALSE))"),"")</f>
        <v/>
      </c>
      <c r="AW526" s="42" t="str">
        <f ca="1">IFERROR(__xludf.DUMMYFUNCTION("IFERROR(VLOOKUP(F540,IMPORTRANGE(""https://docs.google.com/spreadsheets/d/1Kvs4KS76FHFqLFIZfrDMff4kP08nblUkihrxltoGBjg/edit#gid=934712705"",""ESENCIAL!A6:BG""),15,FALSE))"),"")</f>
        <v/>
      </c>
      <c r="AX526" s="21" t="str">
        <f ca="1">IFERROR(__xludf.DUMMYFUNCTION("IFERROR(VLOOKUP(E540&amp;F540,IMPORTRANGE(""https://docs.google.com/spreadsheets/d/1Uw7-A9f9R21vMXxHZFNpYNeKFtG8_yji4HS352LGlSQ/edit?pli=1#gid=0"",""1_ACUM!A4:S""),12,FALSE))"),"")</f>
        <v/>
      </c>
      <c r="AY526" s="43" t="str">
        <f ca="1">IFERROR(__xludf.DUMMYFUNCTION("IFERROR(VLOOKUP(E540&amp;F540,IMPORTRANGE(""https://docs.google.com/spreadsheets/d/1Uw7-A9f9R21vMXxHZFNpYNeKFtG8_yji4HS352LGlSQ/edit?pli=1#gid=0"",""1_ACUM!A4:S""),13,FALSE))"),"")</f>
        <v/>
      </c>
      <c r="AZ526" s="43" t="str">
        <f ca="1">IFERROR(__xludf.DUMMYFUNCTION("IFERROR(VLOOKUP(E540&amp;F540,IMPORTRANGE(""https://docs.google.com/spreadsheets/d/1Uw7-A9f9R21vMXxHZFNpYNeKFtG8_yji4HS352LGlSQ/edit?pli=1#gid=0"",""1_ACUM!A4:S""),14,FALSE))"),"")</f>
        <v/>
      </c>
      <c r="BA526" s="43" t="str">
        <f ca="1">IFERROR(__xludf.DUMMYFUNCTION("IFERROR(VLOOKUP(E540&amp;F540,IMPORTRANGE(""https://docs.google.com/spreadsheets/d/1Uw7-A9f9R21vMXxHZFNpYNeKFtG8_yji4HS352LGlSQ/edit?pli=1#gid=0"",""1_ACUM!A4:S""),15,FALSE))"),"")</f>
        <v/>
      </c>
      <c r="BB526" s="43" t="str">
        <f ca="1">IFERROR(__xludf.DUMMYFUNCTION("IFERROR(VLOOKUP(E540&amp;F540,IMPORTRANGE(""https://docs.google.com/spreadsheets/d/1Uw7-A9f9R21vMXxHZFNpYNeKFtG8_yji4HS352LGlSQ/edit?pli=1#gid=0"",""1_ACUM!A4:S""),16,FALSE))"),"")</f>
        <v/>
      </c>
      <c r="BC526" s="43" t="str">
        <f ca="1">IFERROR(__xludf.DUMMYFUNCTION("IFERROR(VLOOKUP(E540&amp;F540,IMPORTRANGE(""https://docs.google.com/spreadsheets/d/1Uw7-A9f9R21vMXxHZFNpYNeKFtG8_yji4HS352LGlSQ/edit?pli=1#gid=0"",""1_ACUM!A4:S""),17,FALSE))"),"")</f>
        <v/>
      </c>
      <c r="BD526" s="44" t="str">
        <f ca="1">IFERROR(__xludf.DUMMYFUNCTION("IFERROR(VLOOKUP(E540&amp;F540,IMPORTRANGE(""https://docs.google.com/spreadsheets/d/1Uw7-A9f9R21vMXxHZFNpYNeKFtG8_yji4HS352LGlSQ/edit?pli=1#gid=0"",""1_ACUM!A4:S""),18,FALSE))"),"")</f>
        <v/>
      </c>
      <c r="BE526" s="44" t="str">
        <f ca="1">IFERROR(__xludf.DUMMYFUNCTION("IFERROR(VLOOKUP(E540&amp;F540,IMPORTRANGE(""https://docs.google.com/spreadsheets/d/1Uw7-A9f9R21vMXxHZFNpYNeKFtG8_yji4HS352LGlSQ/edit?pli=1#gid=0"",""1_ACUM!A4:S""),19,FALSE))"),"")</f>
        <v/>
      </c>
      <c r="BF526" s="98" t="str">
        <f ca="1">IFERROR(__xludf.DUMMYFUNCTION("IFERROR(VLOOKUP(F540,IMPORTRANGE(""https://docs.google.com/spreadsheets/d/1Kvs4KS76FHFqLFIZfrDMff4kP08nblUkihrxltoGBjg/edit#gid=934712705"",""ESENCIAL!A6:BG""),5,FALSE))"),"")</f>
        <v/>
      </c>
      <c r="BG526" s="98" t="str">
        <f t="shared" si="21"/>
        <v/>
      </c>
      <c r="BH526" s="99" t="str">
        <f t="shared" si="22"/>
        <v/>
      </c>
      <c r="BI526" s="100" t="str">
        <f ca="1">IFERROR(__xludf.DUMMYFUNCTION("IFERROR(VLOOKUP(F540,IMPORTRANGE(""https://docs.google.com/spreadsheets/d/1Kvs4KS76FHFqLFIZfrDMff4kP08nblUkihrxltoGBjg/edit#gid=934712705"",""ESENCIAL!A6:BG""),2,FALSE))"),"")</f>
        <v/>
      </c>
      <c r="BJ526" s="19" t="str">
        <f t="shared" si="23"/>
        <v/>
      </c>
      <c r="BK526" s="100"/>
      <c r="BL526" s="100"/>
    </row>
    <row r="527" spans="1:64" ht="15">
      <c r="A527" s="5"/>
      <c r="B527" s="5"/>
      <c r="G527" s="5" t="str">
        <f ca="1">IFERROR(__xludf.DUMMYFUNCTION("IFERROR(VLOOKUP(F541,IMPORTRANGE(""https://docs.google.com/spreadsheets/d/1Kvs4KS76FHFqLFIZfrDMff4kP08nblUkihrxltoGBjg/edit#gid=934712705"",""ESENCIAL!A6:BG""),3,FALSE))"),"")</f>
        <v/>
      </c>
      <c r="H527" s="5" t="str">
        <f ca="1">IFERROR(__xludf.DUMMYFUNCTION("IFERROR(VLOOKUP(F541,IMPORTRANGE(""https://docs.google.com/spreadsheets/d/1Kvs4KS76FHFqLFIZfrDMff4kP08nblUkihrxltoGBjg/edit#gid=934712705"",""ESENCIAL!A6:BG""),8,FALSE))"),"")</f>
        <v/>
      </c>
      <c r="L527" s="287"/>
      <c r="U527" s="40"/>
      <c r="AU527" s="41" t="str">
        <f t="shared" si="20"/>
        <v/>
      </c>
      <c r="AV527" s="5" t="str">
        <f ca="1">IFERROR(__xludf.DUMMYFUNCTION("IFERROR(VLOOKUP(E541&amp;F541,IMPORTRANGE(""https://docs.google.com/spreadsheets/d/1Uw7-A9f9R21vMXxHZFNpYNeKFtG8_yji4HS352LGlSQ/edit?pli=1#gid=0"",""1_ACUM!A4:S""),11,FALSE))"),"")</f>
        <v/>
      </c>
      <c r="AW527" s="42" t="str">
        <f ca="1">IFERROR(__xludf.DUMMYFUNCTION("IFERROR(VLOOKUP(F541,IMPORTRANGE(""https://docs.google.com/spreadsheets/d/1Kvs4KS76FHFqLFIZfrDMff4kP08nblUkihrxltoGBjg/edit#gid=934712705"",""ESENCIAL!A6:BG""),15,FALSE))"),"")</f>
        <v/>
      </c>
      <c r="AX527" s="21" t="str">
        <f ca="1">IFERROR(__xludf.DUMMYFUNCTION("IFERROR(VLOOKUP(E541&amp;F541,IMPORTRANGE(""https://docs.google.com/spreadsheets/d/1Uw7-A9f9R21vMXxHZFNpYNeKFtG8_yji4HS352LGlSQ/edit?pli=1#gid=0"",""1_ACUM!A4:S""),12,FALSE))"),"")</f>
        <v/>
      </c>
      <c r="AY527" s="43" t="str">
        <f ca="1">IFERROR(__xludf.DUMMYFUNCTION("IFERROR(VLOOKUP(E541&amp;F541,IMPORTRANGE(""https://docs.google.com/spreadsheets/d/1Uw7-A9f9R21vMXxHZFNpYNeKFtG8_yji4HS352LGlSQ/edit?pli=1#gid=0"",""1_ACUM!A4:S""),13,FALSE))"),"")</f>
        <v/>
      </c>
      <c r="AZ527" s="43" t="str">
        <f ca="1">IFERROR(__xludf.DUMMYFUNCTION("IFERROR(VLOOKUP(E541&amp;F541,IMPORTRANGE(""https://docs.google.com/spreadsheets/d/1Uw7-A9f9R21vMXxHZFNpYNeKFtG8_yji4HS352LGlSQ/edit?pli=1#gid=0"",""1_ACUM!A4:S""),14,FALSE))"),"")</f>
        <v/>
      </c>
      <c r="BA527" s="43" t="str">
        <f ca="1">IFERROR(__xludf.DUMMYFUNCTION("IFERROR(VLOOKUP(E541&amp;F541,IMPORTRANGE(""https://docs.google.com/spreadsheets/d/1Uw7-A9f9R21vMXxHZFNpYNeKFtG8_yji4HS352LGlSQ/edit?pli=1#gid=0"",""1_ACUM!A4:S""),15,FALSE))"),"")</f>
        <v/>
      </c>
      <c r="BB527" s="43" t="str">
        <f ca="1">IFERROR(__xludf.DUMMYFUNCTION("IFERROR(VLOOKUP(E541&amp;F541,IMPORTRANGE(""https://docs.google.com/spreadsheets/d/1Uw7-A9f9R21vMXxHZFNpYNeKFtG8_yji4HS352LGlSQ/edit?pli=1#gid=0"",""1_ACUM!A4:S""),16,FALSE))"),"")</f>
        <v/>
      </c>
      <c r="BC527" s="43" t="str">
        <f ca="1">IFERROR(__xludf.DUMMYFUNCTION("IFERROR(VLOOKUP(E541&amp;F541,IMPORTRANGE(""https://docs.google.com/spreadsheets/d/1Uw7-A9f9R21vMXxHZFNpYNeKFtG8_yji4HS352LGlSQ/edit?pli=1#gid=0"",""1_ACUM!A4:S""),17,FALSE))"),"")</f>
        <v/>
      </c>
      <c r="BD527" s="44" t="str">
        <f ca="1">IFERROR(__xludf.DUMMYFUNCTION("IFERROR(VLOOKUP(E541&amp;F541,IMPORTRANGE(""https://docs.google.com/spreadsheets/d/1Uw7-A9f9R21vMXxHZFNpYNeKFtG8_yji4HS352LGlSQ/edit?pli=1#gid=0"",""1_ACUM!A4:S""),18,FALSE))"),"")</f>
        <v/>
      </c>
      <c r="BE527" s="44" t="str">
        <f ca="1">IFERROR(__xludf.DUMMYFUNCTION("IFERROR(VLOOKUP(E541&amp;F541,IMPORTRANGE(""https://docs.google.com/spreadsheets/d/1Uw7-A9f9R21vMXxHZFNpYNeKFtG8_yji4HS352LGlSQ/edit?pli=1#gid=0"",""1_ACUM!A4:S""),19,FALSE))"),"")</f>
        <v/>
      </c>
      <c r="BF527" s="98" t="str">
        <f ca="1">IFERROR(__xludf.DUMMYFUNCTION("IFERROR(VLOOKUP(F541,IMPORTRANGE(""https://docs.google.com/spreadsheets/d/1Kvs4KS76FHFqLFIZfrDMff4kP08nblUkihrxltoGBjg/edit#gid=934712705"",""ESENCIAL!A6:BG""),5,FALSE))"),"")</f>
        <v/>
      </c>
      <c r="BG527" s="98" t="str">
        <f t="shared" si="21"/>
        <v/>
      </c>
      <c r="BH527" s="99" t="str">
        <f t="shared" si="22"/>
        <v/>
      </c>
      <c r="BI527" s="100" t="str">
        <f ca="1">IFERROR(__xludf.DUMMYFUNCTION("IFERROR(VLOOKUP(F541,IMPORTRANGE(""https://docs.google.com/spreadsheets/d/1Kvs4KS76FHFqLFIZfrDMff4kP08nblUkihrxltoGBjg/edit#gid=934712705"",""ESENCIAL!A6:BG""),2,FALSE))"),"")</f>
        <v/>
      </c>
      <c r="BJ527" s="19" t="str">
        <f t="shared" si="23"/>
        <v/>
      </c>
      <c r="BK527" s="100"/>
      <c r="BL527" s="100"/>
    </row>
    <row r="528" spans="1:64" ht="15">
      <c r="A528" s="5"/>
      <c r="B528" s="5"/>
      <c r="G528" s="5" t="str">
        <f ca="1">IFERROR(__xludf.DUMMYFUNCTION("IFERROR(VLOOKUP(F542,IMPORTRANGE(""https://docs.google.com/spreadsheets/d/1Kvs4KS76FHFqLFIZfrDMff4kP08nblUkihrxltoGBjg/edit#gid=934712705"",""ESENCIAL!A6:BG""),3,FALSE))"),"")</f>
        <v/>
      </c>
      <c r="H528" s="5" t="str">
        <f ca="1">IFERROR(__xludf.DUMMYFUNCTION("IFERROR(VLOOKUP(F542,IMPORTRANGE(""https://docs.google.com/spreadsheets/d/1Kvs4KS76FHFqLFIZfrDMff4kP08nblUkihrxltoGBjg/edit#gid=934712705"",""ESENCIAL!A6:BG""),8,FALSE))"),"")</f>
        <v/>
      </c>
      <c r="L528" s="287"/>
      <c r="U528" s="40"/>
      <c r="AU528" s="41" t="str">
        <f t="shared" si="20"/>
        <v/>
      </c>
      <c r="AV528" s="5" t="str">
        <f ca="1">IFERROR(__xludf.DUMMYFUNCTION("IFERROR(VLOOKUP(E542&amp;F542,IMPORTRANGE(""https://docs.google.com/spreadsheets/d/1Uw7-A9f9R21vMXxHZFNpYNeKFtG8_yji4HS352LGlSQ/edit?pli=1#gid=0"",""1_ACUM!A4:S""),11,FALSE))"),"")</f>
        <v/>
      </c>
      <c r="AW528" s="42" t="str">
        <f ca="1">IFERROR(__xludf.DUMMYFUNCTION("IFERROR(VLOOKUP(F542,IMPORTRANGE(""https://docs.google.com/spreadsheets/d/1Kvs4KS76FHFqLFIZfrDMff4kP08nblUkihrxltoGBjg/edit#gid=934712705"",""ESENCIAL!A6:BG""),15,FALSE))"),"")</f>
        <v/>
      </c>
      <c r="AX528" s="21" t="str">
        <f ca="1">IFERROR(__xludf.DUMMYFUNCTION("IFERROR(VLOOKUP(E542&amp;F542,IMPORTRANGE(""https://docs.google.com/spreadsheets/d/1Uw7-A9f9R21vMXxHZFNpYNeKFtG8_yji4HS352LGlSQ/edit?pli=1#gid=0"",""1_ACUM!A4:S""),12,FALSE))"),"")</f>
        <v/>
      </c>
      <c r="AY528" s="43" t="str">
        <f ca="1">IFERROR(__xludf.DUMMYFUNCTION("IFERROR(VLOOKUP(E542&amp;F542,IMPORTRANGE(""https://docs.google.com/spreadsheets/d/1Uw7-A9f9R21vMXxHZFNpYNeKFtG8_yji4HS352LGlSQ/edit?pli=1#gid=0"",""1_ACUM!A4:S""),13,FALSE))"),"")</f>
        <v/>
      </c>
      <c r="AZ528" s="43" t="str">
        <f ca="1">IFERROR(__xludf.DUMMYFUNCTION("IFERROR(VLOOKUP(E542&amp;F542,IMPORTRANGE(""https://docs.google.com/spreadsheets/d/1Uw7-A9f9R21vMXxHZFNpYNeKFtG8_yji4HS352LGlSQ/edit?pli=1#gid=0"",""1_ACUM!A4:S""),14,FALSE))"),"")</f>
        <v/>
      </c>
      <c r="BA528" s="43" t="str">
        <f ca="1">IFERROR(__xludf.DUMMYFUNCTION("IFERROR(VLOOKUP(E542&amp;F542,IMPORTRANGE(""https://docs.google.com/spreadsheets/d/1Uw7-A9f9R21vMXxHZFNpYNeKFtG8_yji4HS352LGlSQ/edit?pli=1#gid=0"",""1_ACUM!A4:S""),15,FALSE))"),"")</f>
        <v/>
      </c>
      <c r="BB528" s="43" t="str">
        <f ca="1">IFERROR(__xludf.DUMMYFUNCTION("IFERROR(VLOOKUP(E542&amp;F542,IMPORTRANGE(""https://docs.google.com/spreadsheets/d/1Uw7-A9f9R21vMXxHZFNpYNeKFtG8_yji4HS352LGlSQ/edit?pli=1#gid=0"",""1_ACUM!A4:S""),16,FALSE))"),"")</f>
        <v/>
      </c>
      <c r="BC528" s="43" t="str">
        <f ca="1">IFERROR(__xludf.DUMMYFUNCTION("IFERROR(VLOOKUP(E542&amp;F542,IMPORTRANGE(""https://docs.google.com/spreadsheets/d/1Uw7-A9f9R21vMXxHZFNpYNeKFtG8_yji4HS352LGlSQ/edit?pli=1#gid=0"",""1_ACUM!A4:S""),17,FALSE))"),"")</f>
        <v/>
      </c>
      <c r="BD528" s="44" t="str">
        <f ca="1">IFERROR(__xludf.DUMMYFUNCTION("IFERROR(VLOOKUP(E542&amp;F542,IMPORTRANGE(""https://docs.google.com/spreadsheets/d/1Uw7-A9f9R21vMXxHZFNpYNeKFtG8_yji4HS352LGlSQ/edit?pli=1#gid=0"",""1_ACUM!A4:S""),18,FALSE))"),"")</f>
        <v/>
      </c>
      <c r="BE528" s="44" t="str">
        <f ca="1">IFERROR(__xludf.DUMMYFUNCTION("IFERROR(VLOOKUP(E542&amp;F542,IMPORTRANGE(""https://docs.google.com/spreadsheets/d/1Uw7-A9f9R21vMXxHZFNpYNeKFtG8_yji4HS352LGlSQ/edit?pli=1#gid=0"",""1_ACUM!A4:S""),19,FALSE))"),"")</f>
        <v/>
      </c>
      <c r="BF528" s="98" t="str">
        <f ca="1">IFERROR(__xludf.DUMMYFUNCTION("IFERROR(VLOOKUP(F542,IMPORTRANGE(""https://docs.google.com/spreadsheets/d/1Kvs4KS76FHFqLFIZfrDMff4kP08nblUkihrxltoGBjg/edit#gid=934712705"",""ESENCIAL!A6:BG""),5,FALSE))"),"")</f>
        <v/>
      </c>
      <c r="BG528" s="98" t="str">
        <f t="shared" si="21"/>
        <v/>
      </c>
      <c r="BH528" s="99" t="str">
        <f t="shared" si="22"/>
        <v/>
      </c>
      <c r="BI528" s="100" t="str">
        <f ca="1">IFERROR(__xludf.DUMMYFUNCTION("IFERROR(VLOOKUP(F542,IMPORTRANGE(""https://docs.google.com/spreadsheets/d/1Kvs4KS76FHFqLFIZfrDMff4kP08nblUkihrxltoGBjg/edit#gid=934712705"",""ESENCIAL!A6:BG""),2,FALSE))"),"")</f>
        <v/>
      </c>
      <c r="BJ528" s="19" t="str">
        <f t="shared" si="23"/>
        <v/>
      </c>
      <c r="BK528" s="100"/>
      <c r="BL528" s="100"/>
    </row>
    <row r="529" spans="1:64" ht="15">
      <c r="A529" s="5"/>
      <c r="B529" s="5"/>
      <c r="G529" s="5" t="str">
        <f ca="1">IFERROR(__xludf.DUMMYFUNCTION("IFERROR(VLOOKUP(F543,IMPORTRANGE(""https://docs.google.com/spreadsheets/d/1Kvs4KS76FHFqLFIZfrDMff4kP08nblUkihrxltoGBjg/edit#gid=934712705"",""ESENCIAL!A6:BG""),3,FALSE))"),"")</f>
        <v/>
      </c>
      <c r="H529" s="5" t="str">
        <f ca="1">IFERROR(__xludf.DUMMYFUNCTION("IFERROR(VLOOKUP(F543,IMPORTRANGE(""https://docs.google.com/spreadsheets/d/1Kvs4KS76FHFqLFIZfrDMff4kP08nblUkihrxltoGBjg/edit#gid=934712705"",""ESENCIAL!A6:BG""),8,FALSE))"),"")</f>
        <v/>
      </c>
      <c r="L529" s="287"/>
      <c r="U529" s="40"/>
      <c r="AU529" s="41" t="str">
        <f t="shared" si="20"/>
        <v/>
      </c>
      <c r="AV529" s="5" t="str">
        <f ca="1">IFERROR(__xludf.DUMMYFUNCTION("IFERROR(VLOOKUP(E543&amp;F543,IMPORTRANGE(""https://docs.google.com/spreadsheets/d/1Uw7-A9f9R21vMXxHZFNpYNeKFtG8_yji4HS352LGlSQ/edit?pli=1#gid=0"",""1_ACUM!A4:S""),11,FALSE))"),"")</f>
        <v/>
      </c>
      <c r="AW529" s="42" t="str">
        <f ca="1">IFERROR(__xludf.DUMMYFUNCTION("IFERROR(VLOOKUP(F543,IMPORTRANGE(""https://docs.google.com/spreadsheets/d/1Kvs4KS76FHFqLFIZfrDMff4kP08nblUkihrxltoGBjg/edit#gid=934712705"",""ESENCIAL!A6:BG""),15,FALSE))"),"")</f>
        <v/>
      </c>
      <c r="AX529" s="21" t="str">
        <f ca="1">IFERROR(__xludf.DUMMYFUNCTION("IFERROR(VLOOKUP(E543&amp;F543,IMPORTRANGE(""https://docs.google.com/spreadsheets/d/1Uw7-A9f9R21vMXxHZFNpYNeKFtG8_yji4HS352LGlSQ/edit?pli=1#gid=0"",""1_ACUM!A4:S""),12,FALSE))"),"")</f>
        <v/>
      </c>
      <c r="AY529" s="43" t="str">
        <f ca="1">IFERROR(__xludf.DUMMYFUNCTION("IFERROR(VLOOKUP(E543&amp;F543,IMPORTRANGE(""https://docs.google.com/spreadsheets/d/1Uw7-A9f9R21vMXxHZFNpYNeKFtG8_yji4HS352LGlSQ/edit?pli=1#gid=0"",""1_ACUM!A4:S""),13,FALSE))"),"")</f>
        <v/>
      </c>
      <c r="AZ529" s="43" t="str">
        <f ca="1">IFERROR(__xludf.DUMMYFUNCTION("IFERROR(VLOOKUP(E543&amp;F543,IMPORTRANGE(""https://docs.google.com/spreadsheets/d/1Uw7-A9f9R21vMXxHZFNpYNeKFtG8_yji4HS352LGlSQ/edit?pli=1#gid=0"",""1_ACUM!A4:S""),14,FALSE))"),"")</f>
        <v/>
      </c>
      <c r="BA529" s="43" t="str">
        <f ca="1">IFERROR(__xludf.DUMMYFUNCTION("IFERROR(VLOOKUP(E543&amp;F543,IMPORTRANGE(""https://docs.google.com/spreadsheets/d/1Uw7-A9f9R21vMXxHZFNpYNeKFtG8_yji4HS352LGlSQ/edit?pli=1#gid=0"",""1_ACUM!A4:S""),15,FALSE))"),"")</f>
        <v/>
      </c>
      <c r="BB529" s="43" t="str">
        <f ca="1">IFERROR(__xludf.DUMMYFUNCTION("IFERROR(VLOOKUP(E543&amp;F543,IMPORTRANGE(""https://docs.google.com/spreadsheets/d/1Uw7-A9f9R21vMXxHZFNpYNeKFtG8_yji4HS352LGlSQ/edit?pli=1#gid=0"",""1_ACUM!A4:S""),16,FALSE))"),"")</f>
        <v/>
      </c>
      <c r="BC529" s="43" t="str">
        <f ca="1">IFERROR(__xludf.DUMMYFUNCTION("IFERROR(VLOOKUP(E543&amp;F543,IMPORTRANGE(""https://docs.google.com/spreadsheets/d/1Uw7-A9f9R21vMXxHZFNpYNeKFtG8_yji4HS352LGlSQ/edit?pli=1#gid=0"",""1_ACUM!A4:S""),17,FALSE))"),"")</f>
        <v/>
      </c>
      <c r="BD529" s="44" t="str">
        <f ca="1">IFERROR(__xludf.DUMMYFUNCTION("IFERROR(VLOOKUP(E543&amp;F543,IMPORTRANGE(""https://docs.google.com/spreadsheets/d/1Uw7-A9f9R21vMXxHZFNpYNeKFtG8_yji4HS352LGlSQ/edit?pli=1#gid=0"",""1_ACUM!A4:S""),18,FALSE))"),"")</f>
        <v/>
      </c>
      <c r="BE529" s="44" t="str">
        <f ca="1">IFERROR(__xludf.DUMMYFUNCTION("IFERROR(VLOOKUP(E543&amp;F543,IMPORTRANGE(""https://docs.google.com/spreadsheets/d/1Uw7-A9f9R21vMXxHZFNpYNeKFtG8_yji4HS352LGlSQ/edit?pli=1#gid=0"",""1_ACUM!A4:S""),19,FALSE))"),"")</f>
        <v/>
      </c>
      <c r="BF529" s="98" t="str">
        <f ca="1">IFERROR(__xludf.DUMMYFUNCTION("IFERROR(VLOOKUP(F543,IMPORTRANGE(""https://docs.google.com/spreadsheets/d/1Kvs4KS76FHFqLFIZfrDMff4kP08nblUkihrxltoGBjg/edit#gid=934712705"",""ESENCIAL!A6:BG""),5,FALSE))"),"")</f>
        <v/>
      </c>
      <c r="BG529" s="98" t="str">
        <f t="shared" si="21"/>
        <v/>
      </c>
      <c r="BH529" s="99" t="str">
        <f t="shared" si="22"/>
        <v/>
      </c>
      <c r="BI529" s="100" t="str">
        <f ca="1">IFERROR(__xludf.DUMMYFUNCTION("IFERROR(VLOOKUP(F543,IMPORTRANGE(""https://docs.google.com/spreadsheets/d/1Kvs4KS76FHFqLFIZfrDMff4kP08nblUkihrxltoGBjg/edit#gid=934712705"",""ESENCIAL!A6:BG""),2,FALSE))"),"")</f>
        <v/>
      </c>
      <c r="BJ529" s="19" t="str">
        <f t="shared" si="23"/>
        <v/>
      </c>
      <c r="BK529" s="100"/>
      <c r="BL529" s="100"/>
    </row>
    <row r="530" spans="1:64" ht="15">
      <c r="A530" s="5"/>
      <c r="B530" s="5"/>
      <c r="G530" s="5" t="str">
        <f ca="1">IFERROR(__xludf.DUMMYFUNCTION("IFERROR(VLOOKUP(F544,IMPORTRANGE(""https://docs.google.com/spreadsheets/d/1Kvs4KS76FHFqLFIZfrDMff4kP08nblUkihrxltoGBjg/edit#gid=934712705"",""ESENCIAL!A6:BG""),3,FALSE))"),"")</f>
        <v/>
      </c>
      <c r="H530" s="5" t="str">
        <f ca="1">IFERROR(__xludf.DUMMYFUNCTION("IFERROR(VLOOKUP(F544,IMPORTRANGE(""https://docs.google.com/spreadsheets/d/1Kvs4KS76FHFqLFIZfrDMff4kP08nblUkihrxltoGBjg/edit#gid=934712705"",""ESENCIAL!A6:BG""),8,FALSE))"),"")</f>
        <v/>
      </c>
      <c r="L530" s="287"/>
      <c r="U530" s="40"/>
      <c r="AU530" s="41" t="str">
        <f t="shared" si="20"/>
        <v/>
      </c>
      <c r="AV530" s="5" t="str">
        <f ca="1">IFERROR(__xludf.DUMMYFUNCTION("IFERROR(VLOOKUP(E544&amp;F544,IMPORTRANGE(""https://docs.google.com/spreadsheets/d/1Uw7-A9f9R21vMXxHZFNpYNeKFtG8_yji4HS352LGlSQ/edit?pli=1#gid=0"",""1_ACUM!A4:S""),11,FALSE))"),"")</f>
        <v/>
      </c>
      <c r="AW530" s="42" t="str">
        <f ca="1">IFERROR(__xludf.DUMMYFUNCTION("IFERROR(VLOOKUP(F544,IMPORTRANGE(""https://docs.google.com/spreadsheets/d/1Kvs4KS76FHFqLFIZfrDMff4kP08nblUkihrxltoGBjg/edit#gid=934712705"",""ESENCIAL!A6:BG""),15,FALSE))"),"")</f>
        <v/>
      </c>
      <c r="AX530" s="21" t="str">
        <f ca="1">IFERROR(__xludf.DUMMYFUNCTION("IFERROR(VLOOKUP(E544&amp;F544,IMPORTRANGE(""https://docs.google.com/spreadsheets/d/1Uw7-A9f9R21vMXxHZFNpYNeKFtG8_yji4HS352LGlSQ/edit?pli=1#gid=0"",""1_ACUM!A4:S""),12,FALSE))"),"")</f>
        <v/>
      </c>
      <c r="AY530" s="43" t="str">
        <f ca="1">IFERROR(__xludf.DUMMYFUNCTION("IFERROR(VLOOKUP(E544&amp;F544,IMPORTRANGE(""https://docs.google.com/spreadsheets/d/1Uw7-A9f9R21vMXxHZFNpYNeKFtG8_yji4HS352LGlSQ/edit?pli=1#gid=0"",""1_ACUM!A4:S""),13,FALSE))"),"")</f>
        <v/>
      </c>
      <c r="AZ530" s="43" t="str">
        <f ca="1">IFERROR(__xludf.DUMMYFUNCTION("IFERROR(VLOOKUP(E544&amp;F544,IMPORTRANGE(""https://docs.google.com/spreadsheets/d/1Uw7-A9f9R21vMXxHZFNpYNeKFtG8_yji4HS352LGlSQ/edit?pli=1#gid=0"",""1_ACUM!A4:S""),14,FALSE))"),"")</f>
        <v/>
      </c>
      <c r="BA530" s="43" t="str">
        <f ca="1">IFERROR(__xludf.DUMMYFUNCTION("IFERROR(VLOOKUP(E544&amp;F544,IMPORTRANGE(""https://docs.google.com/spreadsheets/d/1Uw7-A9f9R21vMXxHZFNpYNeKFtG8_yji4HS352LGlSQ/edit?pli=1#gid=0"",""1_ACUM!A4:S""),15,FALSE))"),"")</f>
        <v/>
      </c>
      <c r="BB530" s="43" t="str">
        <f ca="1">IFERROR(__xludf.DUMMYFUNCTION("IFERROR(VLOOKUP(E544&amp;F544,IMPORTRANGE(""https://docs.google.com/spreadsheets/d/1Uw7-A9f9R21vMXxHZFNpYNeKFtG8_yji4HS352LGlSQ/edit?pli=1#gid=0"",""1_ACUM!A4:S""),16,FALSE))"),"")</f>
        <v/>
      </c>
      <c r="BC530" s="43" t="str">
        <f ca="1">IFERROR(__xludf.DUMMYFUNCTION("IFERROR(VLOOKUP(E544&amp;F544,IMPORTRANGE(""https://docs.google.com/spreadsheets/d/1Uw7-A9f9R21vMXxHZFNpYNeKFtG8_yji4HS352LGlSQ/edit?pli=1#gid=0"",""1_ACUM!A4:S""),17,FALSE))"),"")</f>
        <v/>
      </c>
      <c r="BD530" s="44" t="str">
        <f ca="1">IFERROR(__xludf.DUMMYFUNCTION("IFERROR(VLOOKUP(E544&amp;F544,IMPORTRANGE(""https://docs.google.com/spreadsheets/d/1Uw7-A9f9R21vMXxHZFNpYNeKFtG8_yji4HS352LGlSQ/edit?pli=1#gid=0"",""1_ACUM!A4:S""),18,FALSE))"),"")</f>
        <v/>
      </c>
      <c r="BE530" s="44" t="str">
        <f ca="1">IFERROR(__xludf.DUMMYFUNCTION("IFERROR(VLOOKUP(E544&amp;F544,IMPORTRANGE(""https://docs.google.com/spreadsheets/d/1Uw7-A9f9R21vMXxHZFNpYNeKFtG8_yji4HS352LGlSQ/edit?pli=1#gid=0"",""1_ACUM!A4:S""),19,FALSE))"),"")</f>
        <v/>
      </c>
      <c r="BF530" s="98" t="str">
        <f ca="1">IFERROR(__xludf.DUMMYFUNCTION("IFERROR(VLOOKUP(F544,IMPORTRANGE(""https://docs.google.com/spreadsheets/d/1Kvs4KS76FHFqLFIZfrDMff4kP08nblUkihrxltoGBjg/edit#gid=934712705"",""ESENCIAL!A6:BG""),5,FALSE))"),"")</f>
        <v/>
      </c>
      <c r="BG530" s="98" t="str">
        <f t="shared" si="21"/>
        <v/>
      </c>
      <c r="BH530" s="99" t="str">
        <f t="shared" si="22"/>
        <v/>
      </c>
      <c r="BI530" s="100" t="str">
        <f ca="1">IFERROR(__xludf.DUMMYFUNCTION("IFERROR(VLOOKUP(F544,IMPORTRANGE(""https://docs.google.com/spreadsheets/d/1Kvs4KS76FHFqLFIZfrDMff4kP08nblUkihrxltoGBjg/edit#gid=934712705"",""ESENCIAL!A6:BG""),2,FALSE))"),"")</f>
        <v/>
      </c>
      <c r="BJ530" s="19" t="str">
        <f t="shared" si="23"/>
        <v/>
      </c>
      <c r="BK530" s="100"/>
      <c r="BL530" s="100"/>
    </row>
    <row r="531" spans="1:64" ht="15">
      <c r="A531" s="5"/>
      <c r="B531" s="5"/>
      <c r="G531" s="5" t="str">
        <f ca="1">IFERROR(__xludf.DUMMYFUNCTION("IFERROR(VLOOKUP(F545,IMPORTRANGE(""https://docs.google.com/spreadsheets/d/1Kvs4KS76FHFqLFIZfrDMff4kP08nblUkihrxltoGBjg/edit#gid=934712705"",""ESENCIAL!A6:BG""),3,FALSE))"),"")</f>
        <v/>
      </c>
      <c r="H531" s="5" t="str">
        <f ca="1">IFERROR(__xludf.DUMMYFUNCTION("IFERROR(VLOOKUP(F545,IMPORTRANGE(""https://docs.google.com/spreadsheets/d/1Kvs4KS76FHFqLFIZfrDMff4kP08nblUkihrxltoGBjg/edit#gid=934712705"",""ESENCIAL!A6:BG""),8,FALSE))"),"")</f>
        <v/>
      </c>
      <c r="L531" s="287"/>
      <c r="U531" s="40"/>
      <c r="AU531" s="41" t="str">
        <f t="shared" si="20"/>
        <v/>
      </c>
      <c r="AV531" s="5" t="str">
        <f ca="1">IFERROR(__xludf.DUMMYFUNCTION("IFERROR(VLOOKUP(E545&amp;F545,IMPORTRANGE(""https://docs.google.com/spreadsheets/d/1Uw7-A9f9R21vMXxHZFNpYNeKFtG8_yji4HS352LGlSQ/edit?pli=1#gid=0"",""1_ACUM!A4:S""),11,FALSE))"),"")</f>
        <v/>
      </c>
      <c r="AW531" s="42" t="str">
        <f ca="1">IFERROR(__xludf.DUMMYFUNCTION("IFERROR(VLOOKUP(F545,IMPORTRANGE(""https://docs.google.com/spreadsheets/d/1Kvs4KS76FHFqLFIZfrDMff4kP08nblUkihrxltoGBjg/edit#gid=934712705"",""ESENCIAL!A6:BG""),15,FALSE))"),"")</f>
        <v/>
      </c>
      <c r="AX531" s="21" t="str">
        <f ca="1">IFERROR(__xludf.DUMMYFUNCTION("IFERROR(VLOOKUP(E545&amp;F545,IMPORTRANGE(""https://docs.google.com/spreadsheets/d/1Uw7-A9f9R21vMXxHZFNpYNeKFtG8_yji4HS352LGlSQ/edit?pli=1#gid=0"",""1_ACUM!A4:S""),12,FALSE))"),"")</f>
        <v/>
      </c>
      <c r="AY531" s="43" t="str">
        <f ca="1">IFERROR(__xludf.DUMMYFUNCTION("IFERROR(VLOOKUP(E545&amp;F545,IMPORTRANGE(""https://docs.google.com/spreadsheets/d/1Uw7-A9f9R21vMXxHZFNpYNeKFtG8_yji4HS352LGlSQ/edit?pli=1#gid=0"",""1_ACUM!A4:S""),13,FALSE))"),"")</f>
        <v/>
      </c>
      <c r="AZ531" s="43" t="str">
        <f ca="1">IFERROR(__xludf.DUMMYFUNCTION("IFERROR(VLOOKUP(E545&amp;F545,IMPORTRANGE(""https://docs.google.com/spreadsheets/d/1Uw7-A9f9R21vMXxHZFNpYNeKFtG8_yji4HS352LGlSQ/edit?pli=1#gid=0"",""1_ACUM!A4:S""),14,FALSE))"),"")</f>
        <v/>
      </c>
      <c r="BA531" s="43" t="str">
        <f ca="1">IFERROR(__xludf.DUMMYFUNCTION("IFERROR(VLOOKUP(E545&amp;F545,IMPORTRANGE(""https://docs.google.com/spreadsheets/d/1Uw7-A9f9R21vMXxHZFNpYNeKFtG8_yji4HS352LGlSQ/edit?pli=1#gid=0"",""1_ACUM!A4:S""),15,FALSE))"),"")</f>
        <v/>
      </c>
      <c r="BB531" s="43" t="str">
        <f ca="1">IFERROR(__xludf.DUMMYFUNCTION("IFERROR(VLOOKUP(E545&amp;F545,IMPORTRANGE(""https://docs.google.com/spreadsheets/d/1Uw7-A9f9R21vMXxHZFNpYNeKFtG8_yji4HS352LGlSQ/edit?pli=1#gid=0"",""1_ACUM!A4:S""),16,FALSE))"),"")</f>
        <v/>
      </c>
      <c r="BC531" s="43" t="str">
        <f ca="1">IFERROR(__xludf.DUMMYFUNCTION("IFERROR(VLOOKUP(E545&amp;F545,IMPORTRANGE(""https://docs.google.com/spreadsheets/d/1Uw7-A9f9R21vMXxHZFNpYNeKFtG8_yji4HS352LGlSQ/edit?pli=1#gid=0"",""1_ACUM!A4:S""),17,FALSE))"),"")</f>
        <v/>
      </c>
      <c r="BD531" s="44" t="str">
        <f ca="1">IFERROR(__xludf.DUMMYFUNCTION("IFERROR(VLOOKUP(E545&amp;F545,IMPORTRANGE(""https://docs.google.com/spreadsheets/d/1Uw7-A9f9R21vMXxHZFNpYNeKFtG8_yji4HS352LGlSQ/edit?pli=1#gid=0"",""1_ACUM!A4:S""),18,FALSE))"),"")</f>
        <v/>
      </c>
      <c r="BE531" s="44" t="str">
        <f ca="1">IFERROR(__xludf.DUMMYFUNCTION("IFERROR(VLOOKUP(E545&amp;F545,IMPORTRANGE(""https://docs.google.com/spreadsheets/d/1Uw7-A9f9R21vMXxHZFNpYNeKFtG8_yji4HS352LGlSQ/edit?pli=1#gid=0"",""1_ACUM!A4:S""),19,FALSE))"),"")</f>
        <v/>
      </c>
      <c r="BF531" s="98" t="str">
        <f ca="1">IFERROR(__xludf.DUMMYFUNCTION("IFERROR(VLOOKUP(F545,IMPORTRANGE(""https://docs.google.com/spreadsheets/d/1Kvs4KS76FHFqLFIZfrDMff4kP08nblUkihrxltoGBjg/edit#gid=934712705"",""ESENCIAL!A6:BG""),5,FALSE))"),"")</f>
        <v/>
      </c>
      <c r="BG531" s="98" t="str">
        <f t="shared" si="21"/>
        <v/>
      </c>
      <c r="BH531" s="99" t="str">
        <f t="shared" si="22"/>
        <v/>
      </c>
      <c r="BI531" s="100" t="str">
        <f ca="1">IFERROR(__xludf.DUMMYFUNCTION("IFERROR(VLOOKUP(F545,IMPORTRANGE(""https://docs.google.com/spreadsheets/d/1Kvs4KS76FHFqLFIZfrDMff4kP08nblUkihrxltoGBjg/edit#gid=934712705"",""ESENCIAL!A6:BG""),2,FALSE))"),"")</f>
        <v/>
      </c>
      <c r="BJ531" s="19" t="str">
        <f t="shared" si="23"/>
        <v/>
      </c>
      <c r="BK531" s="100"/>
      <c r="BL531" s="100"/>
    </row>
    <row r="532" spans="1:64" ht="15">
      <c r="A532" s="5"/>
      <c r="B532" s="5"/>
      <c r="G532" s="5" t="str">
        <f ca="1">IFERROR(__xludf.DUMMYFUNCTION("IFERROR(VLOOKUP(F546,IMPORTRANGE(""https://docs.google.com/spreadsheets/d/1Kvs4KS76FHFqLFIZfrDMff4kP08nblUkihrxltoGBjg/edit#gid=934712705"",""ESENCIAL!A6:BG""),3,FALSE))"),"")</f>
        <v/>
      </c>
      <c r="H532" s="5" t="str">
        <f ca="1">IFERROR(__xludf.DUMMYFUNCTION("IFERROR(VLOOKUP(F546,IMPORTRANGE(""https://docs.google.com/spreadsheets/d/1Kvs4KS76FHFqLFIZfrDMff4kP08nblUkihrxltoGBjg/edit#gid=934712705"",""ESENCIAL!A6:BG""),8,FALSE))"),"")</f>
        <v/>
      </c>
      <c r="L532" s="287"/>
      <c r="U532" s="40"/>
      <c r="AU532" s="41" t="str">
        <f t="shared" si="20"/>
        <v/>
      </c>
      <c r="AV532" s="5" t="str">
        <f ca="1">IFERROR(__xludf.DUMMYFUNCTION("IFERROR(VLOOKUP(E546&amp;F546,IMPORTRANGE(""https://docs.google.com/spreadsheets/d/1Uw7-A9f9R21vMXxHZFNpYNeKFtG8_yji4HS352LGlSQ/edit?pli=1#gid=0"",""1_ACUM!A4:S""),11,FALSE))"),"")</f>
        <v/>
      </c>
      <c r="AW532" s="42" t="str">
        <f ca="1">IFERROR(__xludf.DUMMYFUNCTION("IFERROR(VLOOKUP(F546,IMPORTRANGE(""https://docs.google.com/spreadsheets/d/1Kvs4KS76FHFqLFIZfrDMff4kP08nblUkihrxltoGBjg/edit#gid=934712705"",""ESENCIAL!A6:BG""),15,FALSE))"),"")</f>
        <v/>
      </c>
      <c r="AX532" s="21" t="str">
        <f ca="1">IFERROR(__xludf.DUMMYFUNCTION("IFERROR(VLOOKUP(E546&amp;F546,IMPORTRANGE(""https://docs.google.com/spreadsheets/d/1Uw7-A9f9R21vMXxHZFNpYNeKFtG8_yji4HS352LGlSQ/edit?pli=1#gid=0"",""1_ACUM!A4:S""),12,FALSE))"),"")</f>
        <v/>
      </c>
      <c r="AY532" s="43" t="str">
        <f ca="1">IFERROR(__xludf.DUMMYFUNCTION("IFERROR(VLOOKUP(E546&amp;F546,IMPORTRANGE(""https://docs.google.com/spreadsheets/d/1Uw7-A9f9R21vMXxHZFNpYNeKFtG8_yji4HS352LGlSQ/edit?pli=1#gid=0"",""1_ACUM!A4:S""),13,FALSE))"),"")</f>
        <v/>
      </c>
      <c r="AZ532" s="43" t="str">
        <f ca="1">IFERROR(__xludf.DUMMYFUNCTION("IFERROR(VLOOKUP(E546&amp;F546,IMPORTRANGE(""https://docs.google.com/spreadsheets/d/1Uw7-A9f9R21vMXxHZFNpYNeKFtG8_yji4HS352LGlSQ/edit?pli=1#gid=0"",""1_ACUM!A4:S""),14,FALSE))"),"")</f>
        <v/>
      </c>
      <c r="BA532" s="43" t="str">
        <f ca="1">IFERROR(__xludf.DUMMYFUNCTION("IFERROR(VLOOKUP(E546&amp;F546,IMPORTRANGE(""https://docs.google.com/spreadsheets/d/1Uw7-A9f9R21vMXxHZFNpYNeKFtG8_yji4HS352LGlSQ/edit?pli=1#gid=0"",""1_ACUM!A4:S""),15,FALSE))"),"")</f>
        <v/>
      </c>
      <c r="BB532" s="43" t="str">
        <f ca="1">IFERROR(__xludf.DUMMYFUNCTION("IFERROR(VLOOKUP(E546&amp;F546,IMPORTRANGE(""https://docs.google.com/spreadsheets/d/1Uw7-A9f9R21vMXxHZFNpYNeKFtG8_yji4HS352LGlSQ/edit?pli=1#gid=0"",""1_ACUM!A4:S""),16,FALSE))"),"")</f>
        <v/>
      </c>
      <c r="BC532" s="43" t="str">
        <f ca="1">IFERROR(__xludf.DUMMYFUNCTION("IFERROR(VLOOKUP(E546&amp;F546,IMPORTRANGE(""https://docs.google.com/spreadsheets/d/1Uw7-A9f9R21vMXxHZFNpYNeKFtG8_yji4HS352LGlSQ/edit?pli=1#gid=0"",""1_ACUM!A4:S""),17,FALSE))"),"")</f>
        <v/>
      </c>
      <c r="BD532" s="44" t="str">
        <f ca="1">IFERROR(__xludf.DUMMYFUNCTION("IFERROR(VLOOKUP(E546&amp;F546,IMPORTRANGE(""https://docs.google.com/spreadsheets/d/1Uw7-A9f9R21vMXxHZFNpYNeKFtG8_yji4HS352LGlSQ/edit?pli=1#gid=0"",""1_ACUM!A4:S""),18,FALSE))"),"")</f>
        <v/>
      </c>
      <c r="BE532" s="44" t="str">
        <f ca="1">IFERROR(__xludf.DUMMYFUNCTION("IFERROR(VLOOKUP(E546&amp;F546,IMPORTRANGE(""https://docs.google.com/spreadsheets/d/1Uw7-A9f9R21vMXxHZFNpYNeKFtG8_yji4HS352LGlSQ/edit?pli=1#gid=0"",""1_ACUM!A4:S""),19,FALSE))"),"")</f>
        <v/>
      </c>
      <c r="BF532" s="98" t="str">
        <f ca="1">IFERROR(__xludf.DUMMYFUNCTION("IFERROR(VLOOKUP(F546,IMPORTRANGE(""https://docs.google.com/spreadsheets/d/1Kvs4KS76FHFqLFIZfrDMff4kP08nblUkihrxltoGBjg/edit#gid=934712705"",""ESENCIAL!A6:BG""),5,FALSE))"),"")</f>
        <v/>
      </c>
      <c r="BG532" s="98" t="str">
        <f t="shared" si="21"/>
        <v/>
      </c>
      <c r="BH532" s="99" t="str">
        <f t="shared" si="22"/>
        <v/>
      </c>
      <c r="BI532" s="100" t="str">
        <f ca="1">IFERROR(__xludf.DUMMYFUNCTION("IFERROR(VLOOKUP(F546,IMPORTRANGE(""https://docs.google.com/spreadsheets/d/1Kvs4KS76FHFqLFIZfrDMff4kP08nblUkihrxltoGBjg/edit#gid=934712705"",""ESENCIAL!A6:BG""),2,FALSE))"),"")</f>
        <v/>
      </c>
      <c r="BJ532" s="19" t="str">
        <f t="shared" si="23"/>
        <v/>
      </c>
      <c r="BK532" s="100"/>
      <c r="BL532" s="100"/>
    </row>
    <row r="533" spans="1:64" ht="15">
      <c r="A533" s="5"/>
      <c r="B533" s="5"/>
      <c r="G533" s="5" t="str">
        <f ca="1">IFERROR(__xludf.DUMMYFUNCTION("IFERROR(VLOOKUP(F547,IMPORTRANGE(""https://docs.google.com/spreadsheets/d/1Kvs4KS76FHFqLFIZfrDMff4kP08nblUkihrxltoGBjg/edit#gid=934712705"",""ESENCIAL!A6:BG""),3,FALSE))"),"")</f>
        <v/>
      </c>
      <c r="H533" s="5" t="str">
        <f ca="1">IFERROR(__xludf.DUMMYFUNCTION("IFERROR(VLOOKUP(F547,IMPORTRANGE(""https://docs.google.com/spreadsheets/d/1Kvs4KS76FHFqLFIZfrDMff4kP08nblUkihrxltoGBjg/edit#gid=934712705"",""ESENCIAL!A6:BG""),8,FALSE))"),"")</f>
        <v/>
      </c>
      <c r="L533" s="287"/>
      <c r="U533" s="40"/>
      <c r="AU533" s="41" t="str">
        <f t="shared" si="20"/>
        <v/>
      </c>
      <c r="AV533" s="5" t="str">
        <f ca="1">IFERROR(__xludf.DUMMYFUNCTION("IFERROR(VLOOKUP(E547&amp;F547,IMPORTRANGE(""https://docs.google.com/spreadsheets/d/1Uw7-A9f9R21vMXxHZFNpYNeKFtG8_yji4HS352LGlSQ/edit?pli=1#gid=0"",""1_ACUM!A4:S""),11,FALSE))"),"")</f>
        <v/>
      </c>
      <c r="AW533" s="42" t="str">
        <f ca="1">IFERROR(__xludf.DUMMYFUNCTION("IFERROR(VLOOKUP(F547,IMPORTRANGE(""https://docs.google.com/spreadsheets/d/1Kvs4KS76FHFqLFIZfrDMff4kP08nblUkihrxltoGBjg/edit#gid=934712705"",""ESENCIAL!A6:BG""),15,FALSE))"),"")</f>
        <v/>
      </c>
      <c r="AX533" s="21" t="str">
        <f ca="1">IFERROR(__xludf.DUMMYFUNCTION("IFERROR(VLOOKUP(E547&amp;F547,IMPORTRANGE(""https://docs.google.com/spreadsheets/d/1Uw7-A9f9R21vMXxHZFNpYNeKFtG8_yji4HS352LGlSQ/edit?pli=1#gid=0"",""1_ACUM!A4:S""),12,FALSE))"),"")</f>
        <v/>
      </c>
      <c r="AY533" s="43" t="str">
        <f ca="1">IFERROR(__xludf.DUMMYFUNCTION("IFERROR(VLOOKUP(E547&amp;F547,IMPORTRANGE(""https://docs.google.com/spreadsheets/d/1Uw7-A9f9R21vMXxHZFNpYNeKFtG8_yji4HS352LGlSQ/edit?pli=1#gid=0"",""1_ACUM!A4:S""),13,FALSE))"),"")</f>
        <v/>
      </c>
      <c r="AZ533" s="43" t="str">
        <f ca="1">IFERROR(__xludf.DUMMYFUNCTION("IFERROR(VLOOKUP(E547&amp;F547,IMPORTRANGE(""https://docs.google.com/spreadsheets/d/1Uw7-A9f9R21vMXxHZFNpYNeKFtG8_yji4HS352LGlSQ/edit?pli=1#gid=0"",""1_ACUM!A4:S""),14,FALSE))"),"")</f>
        <v/>
      </c>
      <c r="BA533" s="43" t="str">
        <f ca="1">IFERROR(__xludf.DUMMYFUNCTION("IFERROR(VLOOKUP(E547&amp;F547,IMPORTRANGE(""https://docs.google.com/spreadsheets/d/1Uw7-A9f9R21vMXxHZFNpYNeKFtG8_yji4HS352LGlSQ/edit?pli=1#gid=0"",""1_ACUM!A4:S""),15,FALSE))"),"")</f>
        <v/>
      </c>
      <c r="BB533" s="43" t="str">
        <f ca="1">IFERROR(__xludf.DUMMYFUNCTION("IFERROR(VLOOKUP(E547&amp;F547,IMPORTRANGE(""https://docs.google.com/spreadsheets/d/1Uw7-A9f9R21vMXxHZFNpYNeKFtG8_yji4HS352LGlSQ/edit?pli=1#gid=0"",""1_ACUM!A4:S""),16,FALSE))"),"")</f>
        <v/>
      </c>
      <c r="BC533" s="43" t="str">
        <f ca="1">IFERROR(__xludf.DUMMYFUNCTION("IFERROR(VLOOKUP(E547&amp;F547,IMPORTRANGE(""https://docs.google.com/spreadsheets/d/1Uw7-A9f9R21vMXxHZFNpYNeKFtG8_yji4HS352LGlSQ/edit?pli=1#gid=0"",""1_ACUM!A4:S""),17,FALSE))"),"")</f>
        <v/>
      </c>
      <c r="BD533" s="44" t="str">
        <f ca="1">IFERROR(__xludf.DUMMYFUNCTION("IFERROR(VLOOKUP(E547&amp;F547,IMPORTRANGE(""https://docs.google.com/spreadsheets/d/1Uw7-A9f9R21vMXxHZFNpYNeKFtG8_yji4HS352LGlSQ/edit?pli=1#gid=0"",""1_ACUM!A4:S""),18,FALSE))"),"")</f>
        <v/>
      </c>
      <c r="BE533" s="44" t="str">
        <f ca="1">IFERROR(__xludf.DUMMYFUNCTION("IFERROR(VLOOKUP(E547&amp;F547,IMPORTRANGE(""https://docs.google.com/spreadsheets/d/1Uw7-A9f9R21vMXxHZFNpYNeKFtG8_yji4HS352LGlSQ/edit?pli=1#gid=0"",""1_ACUM!A4:S""),19,FALSE))"),"")</f>
        <v/>
      </c>
      <c r="BF533" s="98" t="str">
        <f ca="1">IFERROR(__xludf.DUMMYFUNCTION("IFERROR(VLOOKUP(F547,IMPORTRANGE(""https://docs.google.com/spreadsheets/d/1Kvs4KS76FHFqLFIZfrDMff4kP08nblUkihrxltoGBjg/edit#gid=934712705"",""ESENCIAL!A6:BG""),5,FALSE))"),"")</f>
        <v/>
      </c>
      <c r="BG533" s="98" t="str">
        <f t="shared" si="21"/>
        <v/>
      </c>
      <c r="BH533" s="99" t="str">
        <f t="shared" si="22"/>
        <v/>
      </c>
      <c r="BI533" s="100" t="str">
        <f ca="1">IFERROR(__xludf.DUMMYFUNCTION("IFERROR(VLOOKUP(F547,IMPORTRANGE(""https://docs.google.com/spreadsheets/d/1Kvs4KS76FHFqLFIZfrDMff4kP08nblUkihrxltoGBjg/edit#gid=934712705"",""ESENCIAL!A6:BG""),2,FALSE))"),"")</f>
        <v/>
      </c>
      <c r="BJ533" s="19" t="str">
        <f t="shared" si="23"/>
        <v/>
      </c>
      <c r="BK533" s="100"/>
      <c r="BL533" s="100"/>
    </row>
    <row r="534" spans="1:64" ht="15">
      <c r="A534" s="5"/>
      <c r="B534" s="5"/>
      <c r="G534" s="5" t="str">
        <f ca="1">IFERROR(__xludf.DUMMYFUNCTION("IFERROR(VLOOKUP(F548,IMPORTRANGE(""https://docs.google.com/spreadsheets/d/1Kvs4KS76FHFqLFIZfrDMff4kP08nblUkihrxltoGBjg/edit#gid=934712705"",""ESENCIAL!A6:BG""),3,FALSE))"),"")</f>
        <v/>
      </c>
      <c r="H534" s="5" t="str">
        <f ca="1">IFERROR(__xludf.DUMMYFUNCTION("IFERROR(VLOOKUP(F548,IMPORTRANGE(""https://docs.google.com/spreadsheets/d/1Kvs4KS76FHFqLFIZfrDMff4kP08nblUkihrxltoGBjg/edit#gid=934712705"",""ESENCIAL!A6:BG""),8,FALSE))"),"")</f>
        <v/>
      </c>
      <c r="L534" s="287"/>
      <c r="U534" s="40"/>
      <c r="AU534" s="41" t="str">
        <f t="shared" si="20"/>
        <v/>
      </c>
      <c r="AV534" s="5" t="str">
        <f ca="1">IFERROR(__xludf.DUMMYFUNCTION("IFERROR(VLOOKUP(E548&amp;F548,IMPORTRANGE(""https://docs.google.com/spreadsheets/d/1Uw7-A9f9R21vMXxHZFNpYNeKFtG8_yji4HS352LGlSQ/edit?pli=1#gid=0"",""1_ACUM!A4:S""),11,FALSE))"),"")</f>
        <v/>
      </c>
      <c r="AW534" s="42" t="str">
        <f ca="1">IFERROR(__xludf.DUMMYFUNCTION("IFERROR(VLOOKUP(F548,IMPORTRANGE(""https://docs.google.com/spreadsheets/d/1Kvs4KS76FHFqLFIZfrDMff4kP08nblUkihrxltoGBjg/edit#gid=934712705"",""ESENCIAL!A6:BG""),15,FALSE))"),"")</f>
        <v/>
      </c>
      <c r="AX534" s="21" t="str">
        <f ca="1">IFERROR(__xludf.DUMMYFUNCTION("IFERROR(VLOOKUP(E548&amp;F548,IMPORTRANGE(""https://docs.google.com/spreadsheets/d/1Uw7-A9f9R21vMXxHZFNpYNeKFtG8_yji4HS352LGlSQ/edit?pli=1#gid=0"",""1_ACUM!A4:S""),12,FALSE))"),"")</f>
        <v/>
      </c>
      <c r="AY534" s="43" t="str">
        <f ca="1">IFERROR(__xludf.DUMMYFUNCTION("IFERROR(VLOOKUP(E548&amp;F548,IMPORTRANGE(""https://docs.google.com/spreadsheets/d/1Uw7-A9f9R21vMXxHZFNpYNeKFtG8_yji4HS352LGlSQ/edit?pli=1#gid=0"",""1_ACUM!A4:S""),13,FALSE))"),"")</f>
        <v/>
      </c>
      <c r="AZ534" s="43" t="str">
        <f ca="1">IFERROR(__xludf.DUMMYFUNCTION("IFERROR(VLOOKUP(E548&amp;F548,IMPORTRANGE(""https://docs.google.com/spreadsheets/d/1Uw7-A9f9R21vMXxHZFNpYNeKFtG8_yji4HS352LGlSQ/edit?pli=1#gid=0"",""1_ACUM!A4:S""),14,FALSE))"),"")</f>
        <v/>
      </c>
      <c r="BA534" s="43" t="str">
        <f ca="1">IFERROR(__xludf.DUMMYFUNCTION("IFERROR(VLOOKUP(E548&amp;F548,IMPORTRANGE(""https://docs.google.com/spreadsheets/d/1Uw7-A9f9R21vMXxHZFNpYNeKFtG8_yji4HS352LGlSQ/edit?pli=1#gid=0"",""1_ACUM!A4:S""),15,FALSE))"),"")</f>
        <v/>
      </c>
      <c r="BB534" s="43" t="str">
        <f ca="1">IFERROR(__xludf.DUMMYFUNCTION("IFERROR(VLOOKUP(E548&amp;F548,IMPORTRANGE(""https://docs.google.com/spreadsheets/d/1Uw7-A9f9R21vMXxHZFNpYNeKFtG8_yji4HS352LGlSQ/edit?pli=1#gid=0"",""1_ACUM!A4:S""),16,FALSE))"),"")</f>
        <v/>
      </c>
      <c r="BC534" s="43" t="str">
        <f ca="1">IFERROR(__xludf.DUMMYFUNCTION("IFERROR(VLOOKUP(E548&amp;F548,IMPORTRANGE(""https://docs.google.com/spreadsheets/d/1Uw7-A9f9R21vMXxHZFNpYNeKFtG8_yji4HS352LGlSQ/edit?pli=1#gid=0"",""1_ACUM!A4:S""),17,FALSE))"),"")</f>
        <v/>
      </c>
      <c r="BD534" s="44" t="str">
        <f ca="1">IFERROR(__xludf.DUMMYFUNCTION("IFERROR(VLOOKUP(E548&amp;F548,IMPORTRANGE(""https://docs.google.com/spreadsheets/d/1Uw7-A9f9R21vMXxHZFNpYNeKFtG8_yji4HS352LGlSQ/edit?pli=1#gid=0"",""1_ACUM!A4:S""),18,FALSE))"),"")</f>
        <v/>
      </c>
      <c r="BE534" s="44" t="str">
        <f ca="1">IFERROR(__xludf.DUMMYFUNCTION("IFERROR(VLOOKUP(E548&amp;F548,IMPORTRANGE(""https://docs.google.com/spreadsheets/d/1Uw7-A9f9R21vMXxHZFNpYNeKFtG8_yji4HS352LGlSQ/edit?pli=1#gid=0"",""1_ACUM!A4:S""),19,FALSE))"),"")</f>
        <v/>
      </c>
      <c r="BF534" s="98" t="str">
        <f ca="1">IFERROR(__xludf.DUMMYFUNCTION("IFERROR(VLOOKUP(F548,IMPORTRANGE(""https://docs.google.com/spreadsheets/d/1Kvs4KS76FHFqLFIZfrDMff4kP08nblUkihrxltoGBjg/edit#gid=934712705"",""ESENCIAL!A6:BG""),5,FALSE))"),"")</f>
        <v/>
      </c>
      <c r="BG534" s="98" t="str">
        <f t="shared" si="21"/>
        <v/>
      </c>
      <c r="BH534" s="99" t="str">
        <f t="shared" si="22"/>
        <v/>
      </c>
      <c r="BI534" s="100" t="str">
        <f ca="1">IFERROR(__xludf.DUMMYFUNCTION("IFERROR(VLOOKUP(F548,IMPORTRANGE(""https://docs.google.com/spreadsheets/d/1Kvs4KS76FHFqLFIZfrDMff4kP08nblUkihrxltoGBjg/edit#gid=934712705"",""ESENCIAL!A6:BG""),2,FALSE))"),"")</f>
        <v/>
      </c>
      <c r="BJ534" s="19" t="str">
        <f t="shared" si="23"/>
        <v/>
      </c>
      <c r="BK534" s="100"/>
      <c r="BL534" s="100"/>
    </row>
    <row r="535" spans="1:64" ht="15">
      <c r="A535" s="5"/>
      <c r="B535" s="5"/>
      <c r="G535" s="5" t="str">
        <f ca="1">IFERROR(__xludf.DUMMYFUNCTION("IFERROR(VLOOKUP(F549,IMPORTRANGE(""https://docs.google.com/spreadsheets/d/1Kvs4KS76FHFqLFIZfrDMff4kP08nblUkihrxltoGBjg/edit#gid=934712705"",""ESENCIAL!A6:BG""),3,FALSE))"),"")</f>
        <v/>
      </c>
      <c r="H535" s="5" t="str">
        <f ca="1">IFERROR(__xludf.DUMMYFUNCTION("IFERROR(VLOOKUP(F549,IMPORTRANGE(""https://docs.google.com/spreadsheets/d/1Kvs4KS76FHFqLFIZfrDMff4kP08nblUkihrxltoGBjg/edit#gid=934712705"",""ESENCIAL!A6:BG""),8,FALSE))"),"")</f>
        <v/>
      </c>
      <c r="L535" s="287"/>
      <c r="U535" s="40"/>
      <c r="AU535" s="41" t="str">
        <f t="shared" si="20"/>
        <v/>
      </c>
      <c r="AV535" s="5" t="str">
        <f ca="1">IFERROR(__xludf.DUMMYFUNCTION("IFERROR(VLOOKUP(E549&amp;F549,IMPORTRANGE(""https://docs.google.com/spreadsheets/d/1Uw7-A9f9R21vMXxHZFNpYNeKFtG8_yji4HS352LGlSQ/edit?pli=1#gid=0"",""1_ACUM!A4:S""),11,FALSE))"),"")</f>
        <v/>
      </c>
      <c r="AW535" s="42" t="str">
        <f ca="1">IFERROR(__xludf.DUMMYFUNCTION("IFERROR(VLOOKUP(F549,IMPORTRANGE(""https://docs.google.com/spreadsheets/d/1Kvs4KS76FHFqLFIZfrDMff4kP08nblUkihrxltoGBjg/edit#gid=934712705"",""ESENCIAL!A6:BG""),15,FALSE))"),"")</f>
        <v/>
      </c>
      <c r="AX535" s="21" t="str">
        <f ca="1">IFERROR(__xludf.DUMMYFUNCTION("IFERROR(VLOOKUP(E549&amp;F549,IMPORTRANGE(""https://docs.google.com/spreadsheets/d/1Uw7-A9f9R21vMXxHZFNpYNeKFtG8_yji4HS352LGlSQ/edit?pli=1#gid=0"",""1_ACUM!A4:S""),12,FALSE))"),"")</f>
        <v/>
      </c>
      <c r="AY535" s="43" t="str">
        <f ca="1">IFERROR(__xludf.DUMMYFUNCTION("IFERROR(VLOOKUP(E549&amp;F549,IMPORTRANGE(""https://docs.google.com/spreadsheets/d/1Uw7-A9f9R21vMXxHZFNpYNeKFtG8_yji4HS352LGlSQ/edit?pli=1#gid=0"",""1_ACUM!A4:S""),13,FALSE))"),"")</f>
        <v/>
      </c>
      <c r="AZ535" s="43" t="str">
        <f ca="1">IFERROR(__xludf.DUMMYFUNCTION("IFERROR(VLOOKUP(E549&amp;F549,IMPORTRANGE(""https://docs.google.com/spreadsheets/d/1Uw7-A9f9R21vMXxHZFNpYNeKFtG8_yji4HS352LGlSQ/edit?pli=1#gid=0"",""1_ACUM!A4:S""),14,FALSE))"),"")</f>
        <v/>
      </c>
      <c r="BA535" s="43" t="str">
        <f ca="1">IFERROR(__xludf.DUMMYFUNCTION("IFERROR(VLOOKUP(E549&amp;F549,IMPORTRANGE(""https://docs.google.com/spreadsheets/d/1Uw7-A9f9R21vMXxHZFNpYNeKFtG8_yji4HS352LGlSQ/edit?pli=1#gid=0"",""1_ACUM!A4:S""),15,FALSE))"),"")</f>
        <v/>
      </c>
      <c r="BB535" s="43" t="str">
        <f ca="1">IFERROR(__xludf.DUMMYFUNCTION("IFERROR(VLOOKUP(E549&amp;F549,IMPORTRANGE(""https://docs.google.com/spreadsheets/d/1Uw7-A9f9R21vMXxHZFNpYNeKFtG8_yji4HS352LGlSQ/edit?pli=1#gid=0"",""1_ACUM!A4:S""),16,FALSE))"),"")</f>
        <v/>
      </c>
      <c r="BC535" s="43" t="str">
        <f ca="1">IFERROR(__xludf.DUMMYFUNCTION("IFERROR(VLOOKUP(E549&amp;F549,IMPORTRANGE(""https://docs.google.com/spreadsheets/d/1Uw7-A9f9R21vMXxHZFNpYNeKFtG8_yji4HS352LGlSQ/edit?pli=1#gid=0"",""1_ACUM!A4:S""),17,FALSE))"),"")</f>
        <v/>
      </c>
      <c r="BD535" s="44" t="str">
        <f ca="1">IFERROR(__xludf.DUMMYFUNCTION("IFERROR(VLOOKUP(E549&amp;F549,IMPORTRANGE(""https://docs.google.com/spreadsheets/d/1Uw7-A9f9R21vMXxHZFNpYNeKFtG8_yji4HS352LGlSQ/edit?pli=1#gid=0"",""1_ACUM!A4:S""),18,FALSE))"),"")</f>
        <v/>
      </c>
      <c r="BE535" s="44" t="str">
        <f ca="1">IFERROR(__xludf.DUMMYFUNCTION("IFERROR(VLOOKUP(E549&amp;F549,IMPORTRANGE(""https://docs.google.com/spreadsheets/d/1Uw7-A9f9R21vMXxHZFNpYNeKFtG8_yji4HS352LGlSQ/edit?pli=1#gid=0"",""1_ACUM!A4:S""),19,FALSE))"),"")</f>
        <v/>
      </c>
      <c r="BF535" s="98" t="str">
        <f ca="1">IFERROR(__xludf.DUMMYFUNCTION("IFERROR(VLOOKUP(F549,IMPORTRANGE(""https://docs.google.com/spreadsheets/d/1Kvs4KS76FHFqLFIZfrDMff4kP08nblUkihrxltoGBjg/edit#gid=934712705"",""ESENCIAL!A6:BG""),5,FALSE))"),"")</f>
        <v/>
      </c>
      <c r="BG535" s="98" t="str">
        <f t="shared" si="21"/>
        <v/>
      </c>
      <c r="BH535" s="99" t="str">
        <f t="shared" si="22"/>
        <v/>
      </c>
      <c r="BI535" s="100" t="str">
        <f ca="1">IFERROR(__xludf.DUMMYFUNCTION("IFERROR(VLOOKUP(F549,IMPORTRANGE(""https://docs.google.com/spreadsheets/d/1Kvs4KS76FHFqLFIZfrDMff4kP08nblUkihrxltoGBjg/edit#gid=934712705"",""ESENCIAL!A6:BG""),2,FALSE))"),"")</f>
        <v/>
      </c>
      <c r="BJ535" s="19" t="str">
        <f t="shared" si="23"/>
        <v/>
      </c>
      <c r="BK535" s="100"/>
      <c r="BL535" s="100"/>
    </row>
    <row r="536" spans="1:64" ht="15">
      <c r="A536" s="5"/>
      <c r="B536" s="5"/>
      <c r="G536" s="5" t="str">
        <f ca="1">IFERROR(__xludf.DUMMYFUNCTION("IFERROR(VLOOKUP(F550,IMPORTRANGE(""https://docs.google.com/spreadsheets/d/1Kvs4KS76FHFqLFIZfrDMff4kP08nblUkihrxltoGBjg/edit#gid=934712705"",""ESENCIAL!A6:BG""),3,FALSE))"),"")</f>
        <v/>
      </c>
      <c r="H536" s="5" t="str">
        <f ca="1">IFERROR(__xludf.DUMMYFUNCTION("IFERROR(VLOOKUP(F550,IMPORTRANGE(""https://docs.google.com/spreadsheets/d/1Kvs4KS76FHFqLFIZfrDMff4kP08nblUkihrxltoGBjg/edit#gid=934712705"",""ESENCIAL!A6:BG""),8,FALSE))"),"")</f>
        <v/>
      </c>
      <c r="L536" s="287"/>
      <c r="U536" s="40"/>
      <c r="AU536" s="41" t="str">
        <f t="shared" si="20"/>
        <v/>
      </c>
      <c r="AV536" s="5" t="str">
        <f ca="1">IFERROR(__xludf.DUMMYFUNCTION("IFERROR(VLOOKUP(E550&amp;F550,IMPORTRANGE(""https://docs.google.com/spreadsheets/d/1Uw7-A9f9R21vMXxHZFNpYNeKFtG8_yji4HS352LGlSQ/edit?pli=1#gid=0"",""1_ACUM!A4:S""),11,FALSE))"),"")</f>
        <v/>
      </c>
      <c r="AW536" s="42" t="str">
        <f ca="1">IFERROR(__xludf.DUMMYFUNCTION("IFERROR(VLOOKUP(F550,IMPORTRANGE(""https://docs.google.com/spreadsheets/d/1Kvs4KS76FHFqLFIZfrDMff4kP08nblUkihrxltoGBjg/edit#gid=934712705"",""ESENCIAL!A6:BG""),15,FALSE))"),"")</f>
        <v/>
      </c>
      <c r="AX536" s="21" t="str">
        <f ca="1">IFERROR(__xludf.DUMMYFUNCTION("IFERROR(VLOOKUP(E550&amp;F550,IMPORTRANGE(""https://docs.google.com/spreadsheets/d/1Uw7-A9f9R21vMXxHZFNpYNeKFtG8_yji4HS352LGlSQ/edit?pli=1#gid=0"",""1_ACUM!A4:S""),12,FALSE))"),"")</f>
        <v/>
      </c>
      <c r="AY536" s="43" t="str">
        <f ca="1">IFERROR(__xludf.DUMMYFUNCTION("IFERROR(VLOOKUP(E550&amp;F550,IMPORTRANGE(""https://docs.google.com/spreadsheets/d/1Uw7-A9f9R21vMXxHZFNpYNeKFtG8_yji4HS352LGlSQ/edit?pli=1#gid=0"",""1_ACUM!A4:S""),13,FALSE))"),"")</f>
        <v/>
      </c>
      <c r="AZ536" s="43" t="str">
        <f ca="1">IFERROR(__xludf.DUMMYFUNCTION("IFERROR(VLOOKUP(E550&amp;F550,IMPORTRANGE(""https://docs.google.com/spreadsheets/d/1Uw7-A9f9R21vMXxHZFNpYNeKFtG8_yji4HS352LGlSQ/edit?pli=1#gid=0"",""1_ACUM!A4:S""),14,FALSE))"),"")</f>
        <v/>
      </c>
      <c r="BA536" s="43" t="str">
        <f ca="1">IFERROR(__xludf.DUMMYFUNCTION("IFERROR(VLOOKUP(E550&amp;F550,IMPORTRANGE(""https://docs.google.com/spreadsheets/d/1Uw7-A9f9R21vMXxHZFNpYNeKFtG8_yji4HS352LGlSQ/edit?pli=1#gid=0"",""1_ACUM!A4:S""),15,FALSE))"),"")</f>
        <v/>
      </c>
      <c r="BB536" s="43" t="str">
        <f ca="1">IFERROR(__xludf.DUMMYFUNCTION("IFERROR(VLOOKUP(E550&amp;F550,IMPORTRANGE(""https://docs.google.com/spreadsheets/d/1Uw7-A9f9R21vMXxHZFNpYNeKFtG8_yji4HS352LGlSQ/edit?pli=1#gid=0"",""1_ACUM!A4:S""),16,FALSE))"),"")</f>
        <v/>
      </c>
      <c r="BC536" s="43" t="str">
        <f ca="1">IFERROR(__xludf.DUMMYFUNCTION("IFERROR(VLOOKUP(E550&amp;F550,IMPORTRANGE(""https://docs.google.com/spreadsheets/d/1Uw7-A9f9R21vMXxHZFNpYNeKFtG8_yji4HS352LGlSQ/edit?pli=1#gid=0"",""1_ACUM!A4:S""),17,FALSE))"),"")</f>
        <v/>
      </c>
      <c r="BD536" s="44" t="str">
        <f ca="1">IFERROR(__xludf.DUMMYFUNCTION("IFERROR(VLOOKUP(E550&amp;F550,IMPORTRANGE(""https://docs.google.com/spreadsheets/d/1Uw7-A9f9R21vMXxHZFNpYNeKFtG8_yji4HS352LGlSQ/edit?pli=1#gid=0"",""1_ACUM!A4:S""),18,FALSE))"),"")</f>
        <v/>
      </c>
      <c r="BE536" s="44" t="str">
        <f ca="1">IFERROR(__xludf.DUMMYFUNCTION("IFERROR(VLOOKUP(E550&amp;F550,IMPORTRANGE(""https://docs.google.com/spreadsheets/d/1Uw7-A9f9R21vMXxHZFNpYNeKFtG8_yji4HS352LGlSQ/edit?pli=1#gid=0"",""1_ACUM!A4:S""),19,FALSE))"),"")</f>
        <v/>
      </c>
      <c r="BF536" s="98" t="str">
        <f ca="1">IFERROR(__xludf.DUMMYFUNCTION("IFERROR(VLOOKUP(F550,IMPORTRANGE(""https://docs.google.com/spreadsheets/d/1Kvs4KS76FHFqLFIZfrDMff4kP08nblUkihrxltoGBjg/edit#gid=934712705"",""ESENCIAL!A6:BG""),5,FALSE))"),"")</f>
        <v/>
      </c>
      <c r="BG536" s="98" t="str">
        <f t="shared" si="21"/>
        <v/>
      </c>
      <c r="BH536" s="99" t="str">
        <f t="shared" si="22"/>
        <v/>
      </c>
      <c r="BI536" s="100" t="str">
        <f ca="1">IFERROR(__xludf.DUMMYFUNCTION("IFERROR(VLOOKUP(F550,IMPORTRANGE(""https://docs.google.com/spreadsheets/d/1Kvs4KS76FHFqLFIZfrDMff4kP08nblUkihrxltoGBjg/edit#gid=934712705"",""ESENCIAL!A6:BG""),2,FALSE))"),"")</f>
        <v/>
      </c>
      <c r="BJ536" s="19" t="str">
        <f t="shared" si="23"/>
        <v/>
      </c>
      <c r="BK536" s="100"/>
      <c r="BL536" s="100"/>
    </row>
    <row r="537" spans="1:64" ht="15">
      <c r="A537" s="5"/>
      <c r="B537" s="5"/>
      <c r="G537" s="5" t="str">
        <f ca="1">IFERROR(__xludf.DUMMYFUNCTION("IFERROR(VLOOKUP(F551,IMPORTRANGE(""https://docs.google.com/spreadsheets/d/1Kvs4KS76FHFqLFIZfrDMff4kP08nblUkihrxltoGBjg/edit#gid=934712705"",""ESENCIAL!A6:BG""),3,FALSE))"),"")</f>
        <v/>
      </c>
      <c r="H537" s="5" t="str">
        <f ca="1">IFERROR(__xludf.DUMMYFUNCTION("IFERROR(VLOOKUP(F551,IMPORTRANGE(""https://docs.google.com/spreadsheets/d/1Kvs4KS76FHFqLFIZfrDMff4kP08nblUkihrxltoGBjg/edit#gid=934712705"",""ESENCIAL!A6:BG""),8,FALSE))"),"")</f>
        <v/>
      </c>
      <c r="L537" s="287"/>
      <c r="U537" s="40"/>
      <c r="AU537" s="41" t="str">
        <f t="shared" si="20"/>
        <v/>
      </c>
      <c r="AV537" s="5" t="str">
        <f ca="1">IFERROR(__xludf.DUMMYFUNCTION("IFERROR(VLOOKUP(E551&amp;F551,IMPORTRANGE(""https://docs.google.com/spreadsheets/d/1Uw7-A9f9R21vMXxHZFNpYNeKFtG8_yji4HS352LGlSQ/edit?pli=1#gid=0"",""1_ACUM!A4:S""),11,FALSE))"),"")</f>
        <v/>
      </c>
      <c r="AW537" s="42" t="str">
        <f ca="1">IFERROR(__xludf.DUMMYFUNCTION("IFERROR(VLOOKUP(F551,IMPORTRANGE(""https://docs.google.com/spreadsheets/d/1Kvs4KS76FHFqLFIZfrDMff4kP08nblUkihrxltoGBjg/edit#gid=934712705"",""ESENCIAL!A6:BG""),15,FALSE))"),"")</f>
        <v/>
      </c>
      <c r="AX537" s="21" t="str">
        <f ca="1">IFERROR(__xludf.DUMMYFUNCTION("IFERROR(VLOOKUP(E551&amp;F551,IMPORTRANGE(""https://docs.google.com/spreadsheets/d/1Uw7-A9f9R21vMXxHZFNpYNeKFtG8_yji4HS352LGlSQ/edit?pli=1#gid=0"",""1_ACUM!A4:S""),12,FALSE))"),"")</f>
        <v/>
      </c>
      <c r="AY537" s="43" t="str">
        <f ca="1">IFERROR(__xludf.DUMMYFUNCTION("IFERROR(VLOOKUP(E551&amp;F551,IMPORTRANGE(""https://docs.google.com/spreadsheets/d/1Uw7-A9f9R21vMXxHZFNpYNeKFtG8_yji4HS352LGlSQ/edit?pli=1#gid=0"",""1_ACUM!A4:S""),13,FALSE))"),"")</f>
        <v/>
      </c>
      <c r="AZ537" s="43" t="str">
        <f ca="1">IFERROR(__xludf.DUMMYFUNCTION("IFERROR(VLOOKUP(E551&amp;F551,IMPORTRANGE(""https://docs.google.com/spreadsheets/d/1Uw7-A9f9R21vMXxHZFNpYNeKFtG8_yji4HS352LGlSQ/edit?pli=1#gid=0"",""1_ACUM!A4:S""),14,FALSE))"),"")</f>
        <v/>
      </c>
      <c r="BA537" s="43" t="str">
        <f ca="1">IFERROR(__xludf.DUMMYFUNCTION("IFERROR(VLOOKUP(E551&amp;F551,IMPORTRANGE(""https://docs.google.com/spreadsheets/d/1Uw7-A9f9R21vMXxHZFNpYNeKFtG8_yji4HS352LGlSQ/edit?pli=1#gid=0"",""1_ACUM!A4:S""),15,FALSE))"),"")</f>
        <v/>
      </c>
      <c r="BB537" s="43" t="str">
        <f ca="1">IFERROR(__xludf.DUMMYFUNCTION("IFERROR(VLOOKUP(E551&amp;F551,IMPORTRANGE(""https://docs.google.com/spreadsheets/d/1Uw7-A9f9R21vMXxHZFNpYNeKFtG8_yji4HS352LGlSQ/edit?pli=1#gid=0"",""1_ACUM!A4:S""),16,FALSE))"),"")</f>
        <v/>
      </c>
      <c r="BC537" s="43" t="str">
        <f ca="1">IFERROR(__xludf.DUMMYFUNCTION("IFERROR(VLOOKUP(E551&amp;F551,IMPORTRANGE(""https://docs.google.com/spreadsheets/d/1Uw7-A9f9R21vMXxHZFNpYNeKFtG8_yji4HS352LGlSQ/edit?pli=1#gid=0"",""1_ACUM!A4:S""),17,FALSE))"),"")</f>
        <v/>
      </c>
      <c r="BD537" s="44" t="str">
        <f ca="1">IFERROR(__xludf.DUMMYFUNCTION("IFERROR(VLOOKUP(E551&amp;F551,IMPORTRANGE(""https://docs.google.com/spreadsheets/d/1Uw7-A9f9R21vMXxHZFNpYNeKFtG8_yji4HS352LGlSQ/edit?pli=1#gid=0"",""1_ACUM!A4:S""),18,FALSE))"),"")</f>
        <v/>
      </c>
      <c r="BE537" s="44" t="str">
        <f ca="1">IFERROR(__xludf.DUMMYFUNCTION("IFERROR(VLOOKUP(E551&amp;F551,IMPORTRANGE(""https://docs.google.com/spreadsheets/d/1Uw7-A9f9R21vMXxHZFNpYNeKFtG8_yji4HS352LGlSQ/edit?pli=1#gid=0"",""1_ACUM!A4:S""),19,FALSE))"),"")</f>
        <v/>
      </c>
      <c r="BF537" s="98" t="str">
        <f ca="1">IFERROR(__xludf.DUMMYFUNCTION("IFERROR(VLOOKUP(F551,IMPORTRANGE(""https://docs.google.com/spreadsheets/d/1Kvs4KS76FHFqLFIZfrDMff4kP08nblUkihrxltoGBjg/edit#gid=934712705"",""ESENCIAL!A6:BG""),5,FALSE))"),"")</f>
        <v/>
      </c>
      <c r="BG537" s="98" t="str">
        <f t="shared" si="21"/>
        <v/>
      </c>
      <c r="BH537" s="99" t="str">
        <f t="shared" si="22"/>
        <v/>
      </c>
      <c r="BI537" s="100" t="str">
        <f ca="1">IFERROR(__xludf.DUMMYFUNCTION("IFERROR(VLOOKUP(F551,IMPORTRANGE(""https://docs.google.com/spreadsheets/d/1Kvs4KS76FHFqLFIZfrDMff4kP08nblUkihrxltoGBjg/edit#gid=934712705"",""ESENCIAL!A6:BG""),2,FALSE))"),"")</f>
        <v/>
      </c>
      <c r="BJ537" s="19" t="str">
        <f t="shared" si="23"/>
        <v/>
      </c>
      <c r="BK537" s="100"/>
      <c r="BL537" s="100"/>
    </row>
    <row r="538" spans="1:64" ht="15">
      <c r="A538" s="5"/>
      <c r="B538" s="5"/>
      <c r="G538" s="5" t="str">
        <f ca="1">IFERROR(__xludf.DUMMYFUNCTION("IFERROR(VLOOKUP(F552,IMPORTRANGE(""https://docs.google.com/spreadsheets/d/1Kvs4KS76FHFqLFIZfrDMff4kP08nblUkihrxltoGBjg/edit#gid=934712705"",""ESENCIAL!A6:BG""),3,FALSE))"),"")</f>
        <v/>
      </c>
      <c r="H538" s="5" t="str">
        <f ca="1">IFERROR(__xludf.DUMMYFUNCTION("IFERROR(VLOOKUP(F552,IMPORTRANGE(""https://docs.google.com/spreadsheets/d/1Kvs4KS76FHFqLFIZfrDMff4kP08nblUkihrxltoGBjg/edit#gid=934712705"",""ESENCIAL!A6:BG""),8,FALSE))"),"")</f>
        <v/>
      </c>
      <c r="L538" s="287"/>
      <c r="U538" s="40"/>
      <c r="AU538" s="41" t="str">
        <f t="shared" si="20"/>
        <v/>
      </c>
      <c r="AV538" s="5" t="str">
        <f ca="1">IFERROR(__xludf.DUMMYFUNCTION("IFERROR(VLOOKUP(E552&amp;F552,IMPORTRANGE(""https://docs.google.com/spreadsheets/d/1Uw7-A9f9R21vMXxHZFNpYNeKFtG8_yji4HS352LGlSQ/edit?pli=1#gid=0"",""1_ACUM!A4:S""),11,FALSE))"),"")</f>
        <v/>
      </c>
      <c r="AW538" s="42" t="str">
        <f ca="1">IFERROR(__xludf.DUMMYFUNCTION("IFERROR(VLOOKUP(F552,IMPORTRANGE(""https://docs.google.com/spreadsheets/d/1Kvs4KS76FHFqLFIZfrDMff4kP08nblUkihrxltoGBjg/edit#gid=934712705"",""ESENCIAL!A6:BG""),15,FALSE))"),"")</f>
        <v/>
      </c>
      <c r="AX538" s="21" t="str">
        <f ca="1">IFERROR(__xludf.DUMMYFUNCTION("IFERROR(VLOOKUP(E552&amp;F552,IMPORTRANGE(""https://docs.google.com/spreadsheets/d/1Uw7-A9f9R21vMXxHZFNpYNeKFtG8_yji4HS352LGlSQ/edit?pli=1#gid=0"",""1_ACUM!A4:S""),12,FALSE))"),"")</f>
        <v/>
      </c>
      <c r="AY538" s="43" t="str">
        <f ca="1">IFERROR(__xludf.DUMMYFUNCTION("IFERROR(VLOOKUP(E552&amp;F552,IMPORTRANGE(""https://docs.google.com/spreadsheets/d/1Uw7-A9f9R21vMXxHZFNpYNeKFtG8_yji4HS352LGlSQ/edit?pli=1#gid=0"",""1_ACUM!A4:S""),13,FALSE))"),"")</f>
        <v/>
      </c>
      <c r="AZ538" s="43" t="str">
        <f ca="1">IFERROR(__xludf.DUMMYFUNCTION("IFERROR(VLOOKUP(E552&amp;F552,IMPORTRANGE(""https://docs.google.com/spreadsheets/d/1Uw7-A9f9R21vMXxHZFNpYNeKFtG8_yji4HS352LGlSQ/edit?pli=1#gid=0"",""1_ACUM!A4:S""),14,FALSE))"),"")</f>
        <v/>
      </c>
      <c r="BA538" s="43" t="str">
        <f ca="1">IFERROR(__xludf.DUMMYFUNCTION("IFERROR(VLOOKUP(E552&amp;F552,IMPORTRANGE(""https://docs.google.com/spreadsheets/d/1Uw7-A9f9R21vMXxHZFNpYNeKFtG8_yji4HS352LGlSQ/edit?pli=1#gid=0"",""1_ACUM!A4:S""),15,FALSE))"),"")</f>
        <v/>
      </c>
      <c r="BB538" s="43" t="str">
        <f ca="1">IFERROR(__xludf.DUMMYFUNCTION("IFERROR(VLOOKUP(E552&amp;F552,IMPORTRANGE(""https://docs.google.com/spreadsheets/d/1Uw7-A9f9R21vMXxHZFNpYNeKFtG8_yji4HS352LGlSQ/edit?pli=1#gid=0"",""1_ACUM!A4:S""),16,FALSE))"),"")</f>
        <v/>
      </c>
      <c r="BC538" s="43" t="str">
        <f ca="1">IFERROR(__xludf.DUMMYFUNCTION("IFERROR(VLOOKUP(E552&amp;F552,IMPORTRANGE(""https://docs.google.com/spreadsheets/d/1Uw7-A9f9R21vMXxHZFNpYNeKFtG8_yji4HS352LGlSQ/edit?pli=1#gid=0"",""1_ACUM!A4:S""),17,FALSE))"),"")</f>
        <v/>
      </c>
      <c r="BD538" s="44" t="str">
        <f ca="1">IFERROR(__xludf.DUMMYFUNCTION("IFERROR(VLOOKUP(E552&amp;F552,IMPORTRANGE(""https://docs.google.com/spreadsheets/d/1Uw7-A9f9R21vMXxHZFNpYNeKFtG8_yji4HS352LGlSQ/edit?pli=1#gid=0"",""1_ACUM!A4:S""),18,FALSE))"),"")</f>
        <v/>
      </c>
      <c r="BE538" s="44" t="str">
        <f ca="1">IFERROR(__xludf.DUMMYFUNCTION("IFERROR(VLOOKUP(E552&amp;F552,IMPORTRANGE(""https://docs.google.com/spreadsheets/d/1Uw7-A9f9R21vMXxHZFNpYNeKFtG8_yji4HS352LGlSQ/edit?pli=1#gid=0"",""1_ACUM!A4:S""),19,FALSE))"),"")</f>
        <v/>
      </c>
      <c r="BF538" s="98" t="str">
        <f ca="1">IFERROR(__xludf.DUMMYFUNCTION("IFERROR(VLOOKUP(F552,IMPORTRANGE(""https://docs.google.com/spreadsheets/d/1Kvs4KS76FHFqLFIZfrDMff4kP08nblUkihrxltoGBjg/edit#gid=934712705"",""ESENCIAL!A6:BG""),5,FALSE))"),"")</f>
        <v/>
      </c>
      <c r="BG538" s="98" t="str">
        <f t="shared" si="21"/>
        <v/>
      </c>
      <c r="BH538" s="99" t="str">
        <f t="shared" si="22"/>
        <v/>
      </c>
      <c r="BI538" s="100" t="str">
        <f ca="1">IFERROR(__xludf.DUMMYFUNCTION("IFERROR(VLOOKUP(F552,IMPORTRANGE(""https://docs.google.com/spreadsheets/d/1Kvs4KS76FHFqLFIZfrDMff4kP08nblUkihrxltoGBjg/edit#gid=934712705"",""ESENCIAL!A6:BG""),2,FALSE))"),"")</f>
        <v/>
      </c>
      <c r="BJ538" s="19" t="str">
        <f t="shared" si="23"/>
        <v/>
      </c>
      <c r="BK538" s="100"/>
      <c r="BL538" s="100"/>
    </row>
    <row r="539" spans="1:64" ht="15">
      <c r="A539" s="5"/>
      <c r="B539" s="5"/>
      <c r="G539" s="5" t="str">
        <f ca="1">IFERROR(__xludf.DUMMYFUNCTION("IFERROR(VLOOKUP(F553,IMPORTRANGE(""https://docs.google.com/spreadsheets/d/1Kvs4KS76FHFqLFIZfrDMff4kP08nblUkihrxltoGBjg/edit#gid=934712705"",""ESENCIAL!A6:BG""),3,FALSE))"),"")</f>
        <v/>
      </c>
      <c r="H539" s="5" t="str">
        <f ca="1">IFERROR(__xludf.DUMMYFUNCTION("IFERROR(VLOOKUP(F553,IMPORTRANGE(""https://docs.google.com/spreadsheets/d/1Kvs4KS76FHFqLFIZfrDMff4kP08nblUkihrxltoGBjg/edit#gid=934712705"",""ESENCIAL!A6:BG""),8,FALSE))"),"")</f>
        <v/>
      </c>
      <c r="L539" s="287"/>
      <c r="U539" s="40"/>
      <c r="AU539" s="41" t="str">
        <f t="shared" si="20"/>
        <v/>
      </c>
      <c r="AV539" s="5" t="str">
        <f ca="1">IFERROR(__xludf.DUMMYFUNCTION("IFERROR(VLOOKUP(E553&amp;F553,IMPORTRANGE(""https://docs.google.com/spreadsheets/d/1Uw7-A9f9R21vMXxHZFNpYNeKFtG8_yji4HS352LGlSQ/edit?pli=1#gid=0"",""1_ACUM!A4:S""),11,FALSE))"),"")</f>
        <v/>
      </c>
      <c r="AW539" s="42" t="str">
        <f ca="1">IFERROR(__xludf.DUMMYFUNCTION("IFERROR(VLOOKUP(F553,IMPORTRANGE(""https://docs.google.com/spreadsheets/d/1Kvs4KS76FHFqLFIZfrDMff4kP08nblUkihrxltoGBjg/edit#gid=934712705"",""ESENCIAL!A6:BG""),15,FALSE))"),"")</f>
        <v/>
      </c>
      <c r="AX539" s="21" t="str">
        <f ca="1">IFERROR(__xludf.DUMMYFUNCTION("IFERROR(VLOOKUP(E553&amp;F553,IMPORTRANGE(""https://docs.google.com/spreadsheets/d/1Uw7-A9f9R21vMXxHZFNpYNeKFtG8_yji4HS352LGlSQ/edit?pli=1#gid=0"",""1_ACUM!A4:S""),12,FALSE))"),"")</f>
        <v/>
      </c>
      <c r="AY539" s="43" t="str">
        <f ca="1">IFERROR(__xludf.DUMMYFUNCTION("IFERROR(VLOOKUP(E553&amp;F553,IMPORTRANGE(""https://docs.google.com/spreadsheets/d/1Uw7-A9f9R21vMXxHZFNpYNeKFtG8_yji4HS352LGlSQ/edit?pli=1#gid=0"",""1_ACUM!A4:S""),13,FALSE))"),"")</f>
        <v/>
      </c>
      <c r="AZ539" s="43" t="str">
        <f ca="1">IFERROR(__xludf.DUMMYFUNCTION("IFERROR(VLOOKUP(E553&amp;F553,IMPORTRANGE(""https://docs.google.com/spreadsheets/d/1Uw7-A9f9R21vMXxHZFNpYNeKFtG8_yji4HS352LGlSQ/edit?pli=1#gid=0"",""1_ACUM!A4:S""),14,FALSE))"),"")</f>
        <v/>
      </c>
      <c r="BA539" s="43" t="str">
        <f ca="1">IFERROR(__xludf.DUMMYFUNCTION("IFERROR(VLOOKUP(E553&amp;F553,IMPORTRANGE(""https://docs.google.com/spreadsheets/d/1Uw7-A9f9R21vMXxHZFNpYNeKFtG8_yji4HS352LGlSQ/edit?pli=1#gid=0"",""1_ACUM!A4:S""),15,FALSE))"),"")</f>
        <v/>
      </c>
      <c r="BB539" s="43" t="str">
        <f ca="1">IFERROR(__xludf.DUMMYFUNCTION("IFERROR(VLOOKUP(E553&amp;F553,IMPORTRANGE(""https://docs.google.com/spreadsheets/d/1Uw7-A9f9R21vMXxHZFNpYNeKFtG8_yji4HS352LGlSQ/edit?pli=1#gid=0"",""1_ACUM!A4:S""),16,FALSE))"),"")</f>
        <v/>
      </c>
      <c r="BC539" s="43" t="str">
        <f ca="1">IFERROR(__xludf.DUMMYFUNCTION("IFERROR(VLOOKUP(E553&amp;F553,IMPORTRANGE(""https://docs.google.com/spreadsheets/d/1Uw7-A9f9R21vMXxHZFNpYNeKFtG8_yji4HS352LGlSQ/edit?pli=1#gid=0"",""1_ACUM!A4:S""),17,FALSE))"),"")</f>
        <v/>
      </c>
      <c r="BD539" s="44" t="str">
        <f ca="1">IFERROR(__xludf.DUMMYFUNCTION("IFERROR(VLOOKUP(E553&amp;F553,IMPORTRANGE(""https://docs.google.com/spreadsheets/d/1Uw7-A9f9R21vMXxHZFNpYNeKFtG8_yji4HS352LGlSQ/edit?pli=1#gid=0"",""1_ACUM!A4:S""),18,FALSE))"),"")</f>
        <v/>
      </c>
      <c r="BE539" s="44" t="str">
        <f ca="1">IFERROR(__xludf.DUMMYFUNCTION("IFERROR(VLOOKUP(E553&amp;F553,IMPORTRANGE(""https://docs.google.com/spreadsheets/d/1Uw7-A9f9R21vMXxHZFNpYNeKFtG8_yji4HS352LGlSQ/edit?pli=1#gid=0"",""1_ACUM!A4:S""),19,FALSE))"),"")</f>
        <v/>
      </c>
      <c r="BF539" s="98" t="str">
        <f ca="1">IFERROR(__xludf.DUMMYFUNCTION("IFERROR(VLOOKUP(F553,IMPORTRANGE(""https://docs.google.com/spreadsheets/d/1Kvs4KS76FHFqLFIZfrDMff4kP08nblUkihrxltoGBjg/edit#gid=934712705"",""ESENCIAL!A6:BG""),5,FALSE))"),"")</f>
        <v/>
      </c>
      <c r="BG539" s="98" t="str">
        <f t="shared" si="21"/>
        <v/>
      </c>
      <c r="BH539" s="99" t="str">
        <f t="shared" si="22"/>
        <v/>
      </c>
      <c r="BI539" s="100" t="str">
        <f ca="1">IFERROR(__xludf.DUMMYFUNCTION("IFERROR(VLOOKUP(F553,IMPORTRANGE(""https://docs.google.com/spreadsheets/d/1Kvs4KS76FHFqLFIZfrDMff4kP08nblUkihrxltoGBjg/edit#gid=934712705"",""ESENCIAL!A6:BG""),2,FALSE))"),"")</f>
        <v/>
      </c>
      <c r="BJ539" s="19" t="str">
        <f t="shared" si="23"/>
        <v/>
      </c>
      <c r="BK539" s="100"/>
      <c r="BL539" s="100"/>
    </row>
    <row r="540" spans="1:64" ht="15">
      <c r="A540" s="5"/>
      <c r="B540" s="5"/>
      <c r="G540" s="5" t="str">
        <f ca="1">IFERROR(__xludf.DUMMYFUNCTION("IFERROR(VLOOKUP(F554,IMPORTRANGE(""https://docs.google.com/spreadsheets/d/1Kvs4KS76FHFqLFIZfrDMff4kP08nblUkihrxltoGBjg/edit#gid=934712705"",""ESENCIAL!A6:BG""),3,FALSE))"),"")</f>
        <v/>
      </c>
      <c r="H540" s="5" t="str">
        <f ca="1">IFERROR(__xludf.DUMMYFUNCTION("IFERROR(VLOOKUP(F554,IMPORTRANGE(""https://docs.google.com/spreadsheets/d/1Kvs4KS76FHFqLFIZfrDMff4kP08nblUkihrxltoGBjg/edit#gid=934712705"",""ESENCIAL!A6:BG""),8,FALSE))"),"")</f>
        <v/>
      </c>
      <c r="L540" s="287"/>
      <c r="U540" s="40"/>
      <c r="AU540" s="41" t="str">
        <f t="shared" si="20"/>
        <v/>
      </c>
      <c r="AV540" s="5" t="str">
        <f ca="1">IFERROR(__xludf.DUMMYFUNCTION("IFERROR(VLOOKUP(E554&amp;F554,IMPORTRANGE(""https://docs.google.com/spreadsheets/d/1Uw7-A9f9R21vMXxHZFNpYNeKFtG8_yji4HS352LGlSQ/edit?pli=1#gid=0"",""1_ACUM!A4:S""),11,FALSE))"),"")</f>
        <v/>
      </c>
      <c r="AW540" s="42" t="str">
        <f ca="1">IFERROR(__xludf.DUMMYFUNCTION("IFERROR(VLOOKUP(F554,IMPORTRANGE(""https://docs.google.com/spreadsheets/d/1Kvs4KS76FHFqLFIZfrDMff4kP08nblUkihrxltoGBjg/edit#gid=934712705"",""ESENCIAL!A6:BG""),15,FALSE))"),"")</f>
        <v/>
      </c>
      <c r="AX540" s="21" t="str">
        <f ca="1">IFERROR(__xludf.DUMMYFUNCTION("IFERROR(VLOOKUP(E554&amp;F554,IMPORTRANGE(""https://docs.google.com/spreadsheets/d/1Uw7-A9f9R21vMXxHZFNpYNeKFtG8_yji4HS352LGlSQ/edit?pli=1#gid=0"",""1_ACUM!A4:S""),12,FALSE))"),"")</f>
        <v/>
      </c>
      <c r="AY540" s="43" t="str">
        <f ca="1">IFERROR(__xludf.DUMMYFUNCTION("IFERROR(VLOOKUP(E554&amp;F554,IMPORTRANGE(""https://docs.google.com/spreadsheets/d/1Uw7-A9f9R21vMXxHZFNpYNeKFtG8_yji4HS352LGlSQ/edit?pli=1#gid=0"",""1_ACUM!A4:S""),13,FALSE))"),"")</f>
        <v/>
      </c>
      <c r="AZ540" s="43" t="str">
        <f ca="1">IFERROR(__xludf.DUMMYFUNCTION("IFERROR(VLOOKUP(E554&amp;F554,IMPORTRANGE(""https://docs.google.com/spreadsheets/d/1Uw7-A9f9R21vMXxHZFNpYNeKFtG8_yji4HS352LGlSQ/edit?pli=1#gid=0"",""1_ACUM!A4:S""),14,FALSE))"),"")</f>
        <v/>
      </c>
      <c r="BA540" s="43" t="str">
        <f ca="1">IFERROR(__xludf.DUMMYFUNCTION("IFERROR(VLOOKUP(E554&amp;F554,IMPORTRANGE(""https://docs.google.com/spreadsheets/d/1Uw7-A9f9R21vMXxHZFNpYNeKFtG8_yji4HS352LGlSQ/edit?pli=1#gid=0"",""1_ACUM!A4:S""),15,FALSE))"),"")</f>
        <v/>
      </c>
      <c r="BB540" s="43" t="str">
        <f ca="1">IFERROR(__xludf.DUMMYFUNCTION("IFERROR(VLOOKUP(E554&amp;F554,IMPORTRANGE(""https://docs.google.com/spreadsheets/d/1Uw7-A9f9R21vMXxHZFNpYNeKFtG8_yji4HS352LGlSQ/edit?pli=1#gid=0"",""1_ACUM!A4:S""),16,FALSE))"),"")</f>
        <v/>
      </c>
      <c r="BC540" s="43" t="str">
        <f ca="1">IFERROR(__xludf.DUMMYFUNCTION("IFERROR(VLOOKUP(E554&amp;F554,IMPORTRANGE(""https://docs.google.com/spreadsheets/d/1Uw7-A9f9R21vMXxHZFNpYNeKFtG8_yji4HS352LGlSQ/edit?pli=1#gid=0"",""1_ACUM!A4:S""),17,FALSE))"),"")</f>
        <v/>
      </c>
      <c r="BD540" s="44" t="str">
        <f ca="1">IFERROR(__xludf.DUMMYFUNCTION("IFERROR(VLOOKUP(E554&amp;F554,IMPORTRANGE(""https://docs.google.com/spreadsheets/d/1Uw7-A9f9R21vMXxHZFNpYNeKFtG8_yji4HS352LGlSQ/edit?pli=1#gid=0"",""1_ACUM!A4:S""),18,FALSE))"),"")</f>
        <v/>
      </c>
      <c r="BE540" s="44" t="str">
        <f ca="1">IFERROR(__xludf.DUMMYFUNCTION("IFERROR(VLOOKUP(E554&amp;F554,IMPORTRANGE(""https://docs.google.com/spreadsheets/d/1Uw7-A9f9R21vMXxHZFNpYNeKFtG8_yji4HS352LGlSQ/edit?pli=1#gid=0"",""1_ACUM!A4:S""),19,FALSE))"),"")</f>
        <v/>
      </c>
      <c r="BF540" s="98" t="str">
        <f ca="1">IFERROR(__xludf.DUMMYFUNCTION("IFERROR(VLOOKUP(F554,IMPORTRANGE(""https://docs.google.com/spreadsheets/d/1Kvs4KS76FHFqLFIZfrDMff4kP08nblUkihrxltoGBjg/edit#gid=934712705"",""ESENCIAL!A6:BG""),5,FALSE))"),"")</f>
        <v/>
      </c>
      <c r="BG540" s="98" t="str">
        <f t="shared" si="21"/>
        <v/>
      </c>
      <c r="BH540" s="99" t="str">
        <f t="shared" si="22"/>
        <v/>
      </c>
      <c r="BI540" s="100" t="str">
        <f ca="1">IFERROR(__xludf.DUMMYFUNCTION("IFERROR(VLOOKUP(F554,IMPORTRANGE(""https://docs.google.com/spreadsheets/d/1Kvs4KS76FHFqLFIZfrDMff4kP08nblUkihrxltoGBjg/edit#gid=934712705"",""ESENCIAL!A6:BG""),2,FALSE))"),"")</f>
        <v/>
      </c>
      <c r="BJ540" s="19" t="str">
        <f t="shared" si="23"/>
        <v/>
      </c>
      <c r="BK540" s="100"/>
      <c r="BL540" s="100"/>
    </row>
    <row r="541" spans="1:64" ht="15">
      <c r="A541" s="5"/>
      <c r="B541" s="5"/>
      <c r="G541" s="5" t="str">
        <f ca="1">IFERROR(__xludf.DUMMYFUNCTION("IFERROR(VLOOKUP(F555,IMPORTRANGE(""https://docs.google.com/spreadsheets/d/1Kvs4KS76FHFqLFIZfrDMff4kP08nblUkihrxltoGBjg/edit#gid=934712705"",""ESENCIAL!A6:BG""),3,FALSE))"),"")</f>
        <v/>
      </c>
      <c r="H541" s="5" t="str">
        <f ca="1">IFERROR(__xludf.DUMMYFUNCTION("IFERROR(VLOOKUP(F555,IMPORTRANGE(""https://docs.google.com/spreadsheets/d/1Kvs4KS76FHFqLFIZfrDMff4kP08nblUkihrxltoGBjg/edit#gid=934712705"",""ESENCIAL!A6:BG""),8,FALSE))"),"")</f>
        <v/>
      </c>
      <c r="L541" s="287"/>
      <c r="U541" s="40"/>
      <c r="AU541" s="41" t="str">
        <f t="shared" si="20"/>
        <v/>
      </c>
      <c r="AV541" s="5" t="str">
        <f ca="1">IFERROR(__xludf.DUMMYFUNCTION("IFERROR(VLOOKUP(E555&amp;F555,IMPORTRANGE(""https://docs.google.com/spreadsheets/d/1Uw7-A9f9R21vMXxHZFNpYNeKFtG8_yji4HS352LGlSQ/edit?pli=1#gid=0"",""1_ACUM!A4:S""),11,FALSE))"),"")</f>
        <v/>
      </c>
      <c r="AW541" s="42" t="str">
        <f ca="1">IFERROR(__xludf.DUMMYFUNCTION("IFERROR(VLOOKUP(F555,IMPORTRANGE(""https://docs.google.com/spreadsheets/d/1Kvs4KS76FHFqLFIZfrDMff4kP08nblUkihrxltoGBjg/edit#gid=934712705"",""ESENCIAL!A6:BG""),15,FALSE))"),"")</f>
        <v/>
      </c>
      <c r="AX541" s="21" t="str">
        <f ca="1">IFERROR(__xludf.DUMMYFUNCTION("IFERROR(VLOOKUP(E555&amp;F555,IMPORTRANGE(""https://docs.google.com/spreadsheets/d/1Uw7-A9f9R21vMXxHZFNpYNeKFtG8_yji4HS352LGlSQ/edit?pli=1#gid=0"",""1_ACUM!A4:S""),12,FALSE))"),"")</f>
        <v/>
      </c>
      <c r="AY541" s="43" t="str">
        <f ca="1">IFERROR(__xludf.DUMMYFUNCTION("IFERROR(VLOOKUP(E555&amp;F555,IMPORTRANGE(""https://docs.google.com/spreadsheets/d/1Uw7-A9f9R21vMXxHZFNpYNeKFtG8_yji4HS352LGlSQ/edit?pli=1#gid=0"",""1_ACUM!A4:S""),13,FALSE))"),"")</f>
        <v/>
      </c>
      <c r="AZ541" s="43" t="str">
        <f ca="1">IFERROR(__xludf.DUMMYFUNCTION("IFERROR(VLOOKUP(E555&amp;F555,IMPORTRANGE(""https://docs.google.com/spreadsheets/d/1Uw7-A9f9R21vMXxHZFNpYNeKFtG8_yji4HS352LGlSQ/edit?pli=1#gid=0"",""1_ACUM!A4:S""),14,FALSE))"),"")</f>
        <v/>
      </c>
      <c r="BA541" s="43" t="str">
        <f ca="1">IFERROR(__xludf.DUMMYFUNCTION("IFERROR(VLOOKUP(E555&amp;F555,IMPORTRANGE(""https://docs.google.com/spreadsheets/d/1Uw7-A9f9R21vMXxHZFNpYNeKFtG8_yji4HS352LGlSQ/edit?pli=1#gid=0"",""1_ACUM!A4:S""),15,FALSE))"),"")</f>
        <v/>
      </c>
      <c r="BB541" s="43" t="str">
        <f ca="1">IFERROR(__xludf.DUMMYFUNCTION("IFERROR(VLOOKUP(E555&amp;F555,IMPORTRANGE(""https://docs.google.com/spreadsheets/d/1Uw7-A9f9R21vMXxHZFNpYNeKFtG8_yji4HS352LGlSQ/edit?pli=1#gid=0"",""1_ACUM!A4:S""),16,FALSE))"),"")</f>
        <v/>
      </c>
      <c r="BC541" s="43" t="str">
        <f ca="1">IFERROR(__xludf.DUMMYFUNCTION("IFERROR(VLOOKUP(E555&amp;F555,IMPORTRANGE(""https://docs.google.com/spreadsheets/d/1Uw7-A9f9R21vMXxHZFNpYNeKFtG8_yji4HS352LGlSQ/edit?pli=1#gid=0"",""1_ACUM!A4:S""),17,FALSE))"),"")</f>
        <v/>
      </c>
      <c r="BD541" s="44" t="str">
        <f ca="1">IFERROR(__xludf.DUMMYFUNCTION("IFERROR(VLOOKUP(E555&amp;F555,IMPORTRANGE(""https://docs.google.com/spreadsheets/d/1Uw7-A9f9R21vMXxHZFNpYNeKFtG8_yji4HS352LGlSQ/edit?pli=1#gid=0"",""1_ACUM!A4:S""),18,FALSE))"),"")</f>
        <v/>
      </c>
      <c r="BE541" s="44" t="str">
        <f ca="1">IFERROR(__xludf.DUMMYFUNCTION("IFERROR(VLOOKUP(E555&amp;F555,IMPORTRANGE(""https://docs.google.com/spreadsheets/d/1Uw7-A9f9R21vMXxHZFNpYNeKFtG8_yji4HS352LGlSQ/edit?pli=1#gid=0"",""1_ACUM!A4:S""),19,FALSE))"),"")</f>
        <v/>
      </c>
      <c r="BF541" s="98" t="str">
        <f ca="1">IFERROR(__xludf.DUMMYFUNCTION("IFERROR(VLOOKUP(F555,IMPORTRANGE(""https://docs.google.com/spreadsheets/d/1Kvs4KS76FHFqLFIZfrDMff4kP08nblUkihrxltoGBjg/edit#gid=934712705"",""ESENCIAL!A6:BG""),5,FALSE))"),"")</f>
        <v/>
      </c>
      <c r="BG541" s="98" t="str">
        <f t="shared" si="21"/>
        <v/>
      </c>
      <c r="BH541" s="99" t="str">
        <f t="shared" si="22"/>
        <v/>
      </c>
      <c r="BI541" s="100" t="str">
        <f ca="1">IFERROR(__xludf.DUMMYFUNCTION("IFERROR(VLOOKUP(F555,IMPORTRANGE(""https://docs.google.com/spreadsheets/d/1Kvs4KS76FHFqLFIZfrDMff4kP08nblUkihrxltoGBjg/edit#gid=934712705"",""ESENCIAL!A6:BG""),2,FALSE))"),"")</f>
        <v/>
      </c>
      <c r="BJ541" s="19" t="str">
        <f t="shared" si="23"/>
        <v/>
      </c>
      <c r="BK541" s="100"/>
      <c r="BL541" s="100"/>
    </row>
    <row r="542" spans="1:64" ht="15">
      <c r="A542" s="5"/>
      <c r="B542" s="5"/>
      <c r="G542" s="5" t="str">
        <f ca="1">IFERROR(__xludf.DUMMYFUNCTION("IFERROR(VLOOKUP(F556,IMPORTRANGE(""https://docs.google.com/spreadsheets/d/1Kvs4KS76FHFqLFIZfrDMff4kP08nblUkihrxltoGBjg/edit#gid=934712705"",""ESENCIAL!A6:BG""),3,FALSE))"),"")</f>
        <v/>
      </c>
      <c r="H542" s="5" t="str">
        <f ca="1">IFERROR(__xludf.DUMMYFUNCTION("IFERROR(VLOOKUP(F556,IMPORTRANGE(""https://docs.google.com/spreadsheets/d/1Kvs4KS76FHFqLFIZfrDMff4kP08nblUkihrxltoGBjg/edit#gid=934712705"",""ESENCIAL!A6:BG""),8,FALSE))"),"")</f>
        <v/>
      </c>
      <c r="L542" s="287"/>
      <c r="U542" s="40"/>
      <c r="AU542" s="41" t="str">
        <f t="shared" si="20"/>
        <v/>
      </c>
      <c r="AV542" s="5" t="str">
        <f ca="1">IFERROR(__xludf.DUMMYFUNCTION("IFERROR(VLOOKUP(E556&amp;F556,IMPORTRANGE(""https://docs.google.com/spreadsheets/d/1Uw7-A9f9R21vMXxHZFNpYNeKFtG8_yji4HS352LGlSQ/edit?pli=1#gid=0"",""1_ACUM!A4:S""),11,FALSE))"),"")</f>
        <v/>
      </c>
      <c r="AW542" s="42" t="str">
        <f ca="1">IFERROR(__xludf.DUMMYFUNCTION("IFERROR(VLOOKUP(F556,IMPORTRANGE(""https://docs.google.com/spreadsheets/d/1Kvs4KS76FHFqLFIZfrDMff4kP08nblUkihrxltoGBjg/edit#gid=934712705"",""ESENCIAL!A6:BG""),15,FALSE))"),"")</f>
        <v/>
      </c>
      <c r="AX542" s="21" t="str">
        <f ca="1">IFERROR(__xludf.DUMMYFUNCTION("IFERROR(VLOOKUP(E556&amp;F556,IMPORTRANGE(""https://docs.google.com/spreadsheets/d/1Uw7-A9f9R21vMXxHZFNpYNeKFtG8_yji4HS352LGlSQ/edit?pli=1#gid=0"",""1_ACUM!A4:S""),12,FALSE))"),"")</f>
        <v/>
      </c>
      <c r="AY542" s="43" t="str">
        <f ca="1">IFERROR(__xludf.DUMMYFUNCTION("IFERROR(VLOOKUP(E556&amp;F556,IMPORTRANGE(""https://docs.google.com/spreadsheets/d/1Uw7-A9f9R21vMXxHZFNpYNeKFtG8_yji4HS352LGlSQ/edit?pli=1#gid=0"",""1_ACUM!A4:S""),13,FALSE))"),"")</f>
        <v/>
      </c>
      <c r="AZ542" s="43" t="str">
        <f ca="1">IFERROR(__xludf.DUMMYFUNCTION("IFERROR(VLOOKUP(E556&amp;F556,IMPORTRANGE(""https://docs.google.com/spreadsheets/d/1Uw7-A9f9R21vMXxHZFNpYNeKFtG8_yji4HS352LGlSQ/edit?pli=1#gid=0"",""1_ACUM!A4:S""),14,FALSE))"),"")</f>
        <v/>
      </c>
      <c r="BA542" s="43" t="str">
        <f ca="1">IFERROR(__xludf.DUMMYFUNCTION("IFERROR(VLOOKUP(E556&amp;F556,IMPORTRANGE(""https://docs.google.com/spreadsheets/d/1Uw7-A9f9R21vMXxHZFNpYNeKFtG8_yji4HS352LGlSQ/edit?pli=1#gid=0"",""1_ACUM!A4:S""),15,FALSE))"),"")</f>
        <v/>
      </c>
      <c r="BB542" s="43" t="str">
        <f ca="1">IFERROR(__xludf.DUMMYFUNCTION("IFERROR(VLOOKUP(E556&amp;F556,IMPORTRANGE(""https://docs.google.com/spreadsheets/d/1Uw7-A9f9R21vMXxHZFNpYNeKFtG8_yji4HS352LGlSQ/edit?pli=1#gid=0"",""1_ACUM!A4:S""),16,FALSE))"),"")</f>
        <v/>
      </c>
      <c r="BC542" s="43" t="str">
        <f ca="1">IFERROR(__xludf.DUMMYFUNCTION("IFERROR(VLOOKUP(E556&amp;F556,IMPORTRANGE(""https://docs.google.com/spreadsheets/d/1Uw7-A9f9R21vMXxHZFNpYNeKFtG8_yji4HS352LGlSQ/edit?pli=1#gid=0"",""1_ACUM!A4:S""),17,FALSE))"),"")</f>
        <v/>
      </c>
      <c r="BD542" s="44" t="str">
        <f ca="1">IFERROR(__xludf.DUMMYFUNCTION("IFERROR(VLOOKUP(E556&amp;F556,IMPORTRANGE(""https://docs.google.com/spreadsheets/d/1Uw7-A9f9R21vMXxHZFNpYNeKFtG8_yji4HS352LGlSQ/edit?pli=1#gid=0"",""1_ACUM!A4:S""),18,FALSE))"),"")</f>
        <v/>
      </c>
      <c r="BE542" s="44" t="str">
        <f ca="1">IFERROR(__xludf.DUMMYFUNCTION("IFERROR(VLOOKUP(E556&amp;F556,IMPORTRANGE(""https://docs.google.com/spreadsheets/d/1Uw7-A9f9R21vMXxHZFNpYNeKFtG8_yji4HS352LGlSQ/edit?pli=1#gid=0"",""1_ACUM!A4:S""),19,FALSE))"),"")</f>
        <v/>
      </c>
      <c r="BF542" s="98" t="str">
        <f ca="1">IFERROR(__xludf.DUMMYFUNCTION("IFERROR(VLOOKUP(F556,IMPORTRANGE(""https://docs.google.com/spreadsheets/d/1Kvs4KS76FHFqLFIZfrDMff4kP08nblUkihrxltoGBjg/edit#gid=934712705"",""ESENCIAL!A6:BG""),5,FALSE))"),"")</f>
        <v/>
      </c>
      <c r="BG542" s="98" t="str">
        <f t="shared" si="21"/>
        <v/>
      </c>
      <c r="BH542" s="99" t="str">
        <f t="shared" si="22"/>
        <v/>
      </c>
      <c r="BI542" s="100" t="str">
        <f ca="1">IFERROR(__xludf.DUMMYFUNCTION("IFERROR(VLOOKUP(F556,IMPORTRANGE(""https://docs.google.com/spreadsheets/d/1Kvs4KS76FHFqLFIZfrDMff4kP08nblUkihrxltoGBjg/edit#gid=934712705"",""ESENCIAL!A6:BG""),2,FALSE))"),"")</f>
        <v/>
      </c>
      <c r="BJ542" s="19" t="str">
        <f t="shared" si="23"/>
        <v/>
      </c>
      <c r="BK542" s="100"/>
      <c r="BL542" s="100"/>
    </row>
    <row r="543" spans="1:64" ht="15">
      <c r="A543" s="5"/>
      <c r="B543" s="5"/>
      <c r="G543" s="5" t="str">
        <f ca="1">IFERROR(__xludf.DUMMYFUNCTION("IFERROR(VLOOKUP(F557,IMPORTRANGE(""https://docs.google.com/spreadsheets/d/1Kvs4KS76FHFqLFIZfrDMff4kP08nblUkihrxltoGBjg/edit#gid=934712705"",""ESENCIAL!A6:BG""),3,FALSE))"),"")</f>
        <v/>
      </c>
      <c r="H543" s="5" t="str">
        <f ca="1">IFERROR(__xludf.DUMMYFUNCTION("IFERROR(VLOOKUP(F557,IMPORTRANGE(""https://docs.google.com/spreadsheets/d/1Kvs4KS76FHFqLFIZfrDMff4kP08nblUkihrxltoGBjg/edit#gid=934712705"",""ESENCIAL!A6:BG""),8,FALSE))"),"")</f>
        <v/>
      </c>
      <c r="L543" s="287"/>
      <c r="U543" s="40"/>
      <c r="AU543" s="41" t="str">
        <f t="shared" si="20"/>
        <v/>
      </c>
      <c r="AV543" s="5" t="str">
        <f ca="1">IFERROR(__xludf.DUMMYFUNCTION("IFERROR(VLOOKUP(E557&amp;F557,IMPORTRANGE(""https://docs.google.com/spreadsheets/d/1Uw7-A9f9R21vMXxHZFNpYNeKFtG8_yji4HS352LGlSQ/edit?pli=1#gid=0"",""1_ACUM!A4:S""),11,FALSE))"),"")</f>
        <v/>
      </c>
      <c r="AW543" s="42" t="str">
        <f ca="1">IFERROR(__xludf.DUMMYFUNCTION("IFERROR(VLOOKUP(F557,IMPORTRANGE(""https://docs.google.com/spreadsheets/d/1Kvs4KS76FHFqLFIZfrDMff4kP08nblUkihrxltoGBjg/edit#gid=934712705"",""ESENCIAL!A6:BG""),15,FALSE))"),"")</f>
        <v/>
      </c>
      <c r="AX543" s="21" t="str">
        <f ca="1">IFERROR(__xludf.DUMMYFUNCTION("IFERROR(VLOOKUP(E557&amp;F557,IMPORTRANGE(""https://docs.google.com/spreadsheets/d/1Uw7-A9f9R21vMXxHZFNpYNeKFtG8_yji4HS352LGlSQ/edit?pli=1#gid=0"",""1_ACUM!A4:S""),12,FALSE))"),"")</f>
        <v/>
      </c>
      <c r="AY543" s="43" t="str">
        <f ca="1">IFERROR(__xludf.DUMMYFUNCTION("IFERROR(VLOOKUP(E557&amp;F557,IMPORTRANGE(""https://docs.google.com/spreadsheets/d/1Uw7-A9f9R21vMXxHZFNpYNeKFtG8_yji4HS352LGlSQ/edit?pli=1#gid=0"",""1_ACUM!A4:S""),13,FALSE))"),"")</f>
        <v/>
      </c>
      <c r="AZ543" s="43" t="str">
        <f ca="1">IFERROR(__xludf.DUMMYFUNCTION("IFERROR(VLOOKUP(E557&amp;F557,IMPORTRANGE(""https://docs.google.com/spreadsheets/d/1Uw7-A9f9R21vMXxHZFNpYNeKFtG8_yji4HS352LGlSQ/edit?pli=1#gid=0"",""1_ACUM!A4:S""),14,FALSE))"),"")</f>
        <v/>
      </c>
      <c r="BA543" s="43" t="str">
        <f ca="1">IFERROR(__xludf.DUMMYFUNCTION("IFERROR(VLOOKUP(E557&amp;F557,IMPORTRANGE(""https://docs.google.com/spreadsheets/d/1Uw7-A9f9R21vMXxHZFNpYNeKFtG8_yji4HS352LGlSQ/edit?pli=1#gid=0"",""1_ACUM!A4:S""),15,FALSE))"),"")</f>
        <v/>
      </c>
      <c r="BB543" s="43" t="str">
        <f ca="1">IFERROR(__xludf.DUMMYFUNCTION("IFERROR(VLOOKUP(E557&amp;F557,IMPORTRANGE(""https://docs.google.com/spreadsheets/d/1Uw7-A9f9R21vMXxHZFNpYNeKFtG8_yji4HS352LGlSQ/edit?pli=1#gid=0"",""1_ACUM!A4:S""),16,FALSE))"),"")</f>
        <v/>
      </c>
      <c r="BC543" s="43" t="str">
        <f ca="1">IFERROR(__xludf.DUMMYFUNCTION("IFERROR(VLOOKUP(E557&amp;F557,IMPORTRANGE(""https://docs.google.com/spreadsheets/d/1Uw7-A9f9R21vMXxHZFNpYNeKFtG8_yji4HS352LGlSQ/edit?pli=1#gid=0"",""1_ACUM!A4:S""),17,FALSE))"),"")</f>
        <v/>
      </c>
      <c r="BD543" s="44" t="str">
        <f ca="1">IFERROR(__xludf.DUMMYFUNCTION("IFERROR(VLOOKUP(E557&amp;F557,IMPORTRANGE(""https://docs.google.com/spreadsheets/d/1Uw7-A9f9R21vMXxHZFNpYNeKFtG8_yji4HS352LGlSQ/edit?pli=1#gid=0"",""1_ACUM!A4:S""),18,FALSE))"),"")</f>
        <v/>
      </c>
      <c r="BE543" s="44" t="str">
        <f ca="1">IFERROR(__xludf.DUMMYFUNCTION("IFERROR(VLOOKUP(E557&amp;F557,IMPORTRANGE(""https://docs.google.com/spreadsheets/d/1Uw7-A9f9R21vMXxHZFNpYNeKFtG8_yji4HS352LGlSQ/edit?pli=1#gid=0"",""1_ACUM!A4:S""),19,FALSE))"),"")</f>
        <v/>
      </c>
      <c r="BF543" s="98" t="str">
        <f ca="1">IFERROR(__xludf.DUMMYFUNCTION("IFERROR(VLOOKUP(F557,IMPORTRANGE(""https://docs.google.com/spreadsheets/d/1Kvs4KS76FHFqLFIZfrDMff4kP08nblUkihrxltoGBjg/edit#gid=934712705"",""ESENCIAL!A6:BG""),5,FALSE))"),"")</f>
        <v/>
      </c>
      <c r="BG543" s="98" t="str">
        <f t="shared" si="21"/>
        <v/>
      </c>
      <c r="BH543" s="99" t="str">
        <f t="shared" si="22"/>
        <v/>
      </c>
      <c r="BI543" s="100" t="str">
        <f ca="1">IFERROR(__xludf.DUMMYFUNCTION("IFERROR(VLOOKUP(F557,IMPORTRANGE(""https://docs.google.com/spreadsheets/d/1Kvs4KS76FHFqLFIZfrDMff4kP08nblUkihrxltoGBjg/edit#gid=934712705"",""ESENCIAL!A6:BG""),2,FALSE))"),"")</f>
        <v/>
      </c>
      <c r="BJ543" s="19" t="str">
        <f t="shared" si="23"/>
        <v/>
      </c>
      <c r="BK543" s="100"/>
      <c r="BL543" s="100"/>
    </row>
    <row r="544" spans="1:64" ht="15">
      <c r="A544" s="5"/>
      <c r="B544" s="5"/>
      <c r="G544" s="5" t="str">
        <f ca="1">IFERROR(__xludf.DUMMYFUNCTION("IFERROR(VLOOKUP(F558,IMPORTRANGE(""https://docs.google.com/spreadsheets/d/1Kvs4KS76FHFqLFIZfrDMff4kP08nblUkihrxltoGBjg/edit#gid=934712705"",""ESENCIAL!A6:BG""),3,FALSE))"),"")</f>
        <v/>
      </c>
      <c r="H544" s="5" t="str">
        <f ca="1">IFERROR(__xludf.DUMMYFUNCTION("IFERROR(VLOOKUP(F558,IMPORTRANGE(""https://docs.google.com/spreadsheets/d/1Kvs4KS76FHFqLFIZfrDMff4kP08nblUkihrxltoGBjg/edit#gid=934712705"",""ESENCIAL!A6:BG""),8,FALSE))"),"")</f>
        <v/>
      </c>
      <c r="L544" s="287"/>
      <c r="U544" s="40"/>
      <c r="AU544" s="41" t="str">
        <f t="shared" si="20"/>
        <v/>
      </c>
      <c r="AV544" s="5" t="str">
        <f ca="1">IFERROR(__xludf.DUMMYFUNCTION("IFERROR(VLOOKUP(E558&amp;F558,IMPORTRANGE(""https://docs.google.com/spreadsheets/d/1Uw7-A9f9R21vMXxHZFNpYNeKFtG8_yji4HS352LGlSQ/edit?pli=1#gid=0"",""1_ACUM!A4:S""),11,FALSE))"),"")</f>
        <v/>
      </c>
      <c r="AW544" s="42" t="str">
        <f ca="1">IFERROR(__xludf.DUMMYFUNCTION("IFERROR(VLOOKUP(F558,IMPORTRANGE(""https://docs.google.com/spreadsheets/d/1Kvs4KS76FHFqLFIZfrDMff4kP08nblUkihrxltoGBjg/edit#gid=934712705"",""ESENCIAL!A6:BG""),15,FALSE))"),"")</f>
        <v/>
      </c>
      <c r="AX544" s="21" t="str">
        <f ca="1">IFERROR(__xludf.DUMMYFUNCTION("IFERROR(VLOOKUP(E558&amp;F558,IMPORTRANGE(""https://docs.google.com/spreadsheets/d/1Uw7-A9f9R21vMXxHZFNpYNeKFtG8_yji4HS352LGlSQ/edit?pli=1#gid=0"",""1_ACUM!A4:S""),12,FALSE))"),"")</f>
        <v/>
      </c>
      <c r="AY544" s="43" t="str">
        <f ca="1">IFERROR(__xludf.DUMMYFUNCTION("IFERROR(VLOOKUP(E558&amp;F558,IMPORTRANGE(""https://docs.google.com/spreadsheets/d/1Uw7-A9f9R21vMXxHZFNpYNeKFtG8_yji4HS352LGlSQ/edit?pli=1#gid=0"",""1_ACUM!A4:S""),13,FALSE))"),"")</f>
        <v/>
      </c>
      <c r="AZ544" s="43" t="str">
        <f ca="1">IFERROR(__xludf.DUMMYFUNCTION("IFERROR(VLOOKUP(E558&amp;F558,IMPORTRANGE(""https://docs.google.com/spreadsheets/d/1Uw7-A9f9R21vMXxHZFNpYNeKFtG8_yji4HS352LGlSQ/edit?pli=1#gid=0"",""1_ACUM!A4:S""),14,FALSE))"),"")</f>
        <v/>
      </c>
      <c r="BA544" s="43" t="str">
        <f ca="1">IFERROR(__xludf.DUMMYFUNCTION("IFERROR(VLOOKUP(E558&amp;F558,IMPORTRANGE(""https://docs.google.com/spreadsheets/d/1Uw7-A9f9R21vMXxHZFNpYNeKFtG8_yji4HS352LGlSQ/edit?pli=1#gid=0"",""1_ACUM!A4:S""),15,FALSE))"),"")</f>
        <v/>
      </c>
      <c r="BB544" s="43" t="str">
        <f ca="1">IFERROR(__xludf.DUMMYFUNCTION("IFERROR(VLOOKUP(E558&amp;F558,IMPORTRANGE(""https://docs.google.com/spreadsheets/d/1Uw7-A9f9R21vMXxHZFNpYNeKFtG8_yji4HS352LGlSQ/edit?pli=1#gid=0"",""1_ACUM!A4:S""),16,FALSE))"),"")</f>
        <v/>
      </c>
      <c r="BC544" s="43" t="str">
        <f ca="1">IFERROR(__xludf.DUMMYFUNCTION("IFERROR(VLOOKUP(E558&amp;F558,IMPORTRANGE(""https://docs.google.com/spreadsheets/d/1Uw7-A9f9R21vMXxHZFNpYNeKFtG8_yji4HS352LGlSQ/edit?pli=1#gid=0"",""1_ACUM!A4:S""),17,FALSE))"),"")</f>
        <v/>
      </c>
      <c r="BD544" s="44" t="str">
        <f ca="1">IFERROR(__xludf.DUMMYFUNCTION("IFERROR(VLOOKUP(E558&amp;F558,IMPORTRANGE(""https://docs.google.com/spreadsheets/d/1Uw7-A9f9R21vMXxHZFNpYNeKFtG8_yji4HS352LGlSQ/edit?pli=1#gid=0"",""1_ACUM!A4:S""),18,FALSE))"),"")</f>
        <v/>
      </c>
      <c r="BE544" s="44" t="str">
        <f ca="1">IFERROR(__xludf.DUMMYFUNCTION("IFERROR(VLOOKUP(E558&amp;F558,IMPORTRANGE(""https://docs.google.com/spreadsheets/d/1Uw7-A9f9R21vMXxHZFNpYNeKFtG8_yji4HS352LGlSQ/edit?pli=1#gid=0"",""1_ACUM!A4:S""),19,FALSE))"),"")</f>
        <v/>
      </c>
      <c r="BF544" s="98" t="str">
        <f ca="1">IFERROR(__xludf.DUMMYFUNCTION("IFERROR(VLOOKUP(F558,IMPORTRANGE(""https://docs.google.com/spreadsheets/d/1Kvs4KS76FHFqLFIZfrDMff4kP08nblUkihrxltoGBjg/edit#gid=934712705"",""ESENCIAL!A6:BG""),5,FALSE))"),"")</f>
        <v/>
      </c>
      <c r="BG544" s="98" t="str">
        <f t="shared" si="21"/>
        <v/>
      </c>
      <c r="BH544" s="99" t="str">
        <f t="shared" si="22"/>
        <v/>
      </c>
      <c r="BI544" s="100" t="str">
        <f ca="1">IFERROR(__xludf.DUMMYFUNCTION("IFERROR(VLOOKUP(F558,IMPORTRANGE(""https://docs.google.com/spreadsheets/d/1Kvs4KS76FHFqLFIZfrDMff4kP08nblUkihrxltoGBjg/edit#gid=934712705"",""ESENCIAL!A6:BG""),2,FALSE))"),"")</f>
        <v/>
      </c>
      <c r="BJ544" s="19" t="str">
        <f t="shared" si="23"/>
        <v/>
      </c>
      <c r="BK544" s="100"/>
      <c r="BL544" s="100"/>
    </row>
    <row r="545" spans="1:64" ht="15">
      <c r="A545" s="5"/>
      <c r="B545" s="5"/>
      <c r="G545" s="5" t="str">
        <f ca="1">IFERROR(__xludf.DUMMYFUNCTION("IFERROR(VLOOKUP(F559,IMPORTRANGE(""https://docs.google.com/spreadsheets/d/1Kvs4KS76FHFqLFIZfrDMff4kP08nblUkihrxltoGBjg/edit#gid=934712705"",""ESENCIAL!A6:BG""),3,FALSE))"),"")</f>
        <v/>
      </c>
      <c r="H545" s="5" t="str">
        <f ca="1">IFERROR(__xludf.DUMMYFUNCTION("IFERROR(VLOOKUP(F559,IMPORTRANGE(""https://docs.google.com/spreadsheets/d/1Kvs4KS76FHFqLFIZfrDMff4kP08nblUkihrxltoGBjg/edit#gid=934712705"",""ESENCIAL!A6:BG""),8,FALSE))"),"")</f>
        <v/>
      </c>
      <c r="L545" s="287"/>
      <c r="U545" s="40"/>
      <c r="AU545" s="41" t="str">
        <f t="shared" si="20"/>
        <v/>
      </c>
      <c r="AV545" s="5" t="str">
        <f ca="1">IFERROR(__xludf.DUMMYFUNCTION("IFERROR(VLOOKUP(E559&amp;F559,IMPORTRANGE(""https://docs.google.com/spreadsheets/d/1Uw7-A9f9R21vMXxHZFNpYNeKFtG8_yji4HS352LGlSQ/edit?pli=1#gid=0"",""1_ACUM!A4:S""),11,FALSE))"),"")</f>
        <v/>
      </c>
      <c r="AW545" s="42" t="str">
        <f ca="1">IFERROR(__xludf.DUMMYFUNCTION("IFERROR(VLOOKUP(F559,IMPORTRANGE(""https://docs.google.com/spreadsheets/d/1Kvs4KS76FHFqLFIZfrDMff4kP08nblUkihrxltoGBjg/edit#gid=934712705"",""ESENCIAL!A6:BG""),15,FALSE))"),"")</f>
        <v/>
      </c>
      <c r="AX545" s="21" t="str">
        <f ca="1">IFERROR(__xludf.DUMMYFUNCTION("IFERROR(VLOOKUP(E559&amp;F559,IMPORTRANGE(""https://docs.google.com/spreadsheets/d/1Uw7-A9f9R21vMXxHZFNpYNeKFtG8_yji4HS352LGlSQ/edit?pli=1#gid=0"",""1_ACUM!A4:S""),12,FALSE))"),"")</f>
        <v/>
      </c>
      <c r="AY545" s="43" t="str">
        <f ca="1">IFERROR(__xludf.DUMMYFUNCTION("IFERROR(VLOOKUP(E559&amp;F559,IMPORTRANGE(""https://docs.google.com/spreadsheets/d/1Uw7-A9f9R21vMXxHZFNpYNeKFtG8_yji4HS352LGlSQ/edit?pli=1#gid=0"",""1_ACUM!A4:S""),13,FALSE))"),"")</f>
        <v/>
      </c>
      <c r="AZ545" s="43" t="str">
        <f ca="1">IFERROR(__xludf.DUMMYFUNCTION("IFERROR(VLOOKUP(E559&amp;F559,IMPORTRANGE(""https://docs.google.com/spreadsheets/d/1Uw7-A9f9R21vMXxHZFNpYNeKFtG8_yji4HS352LGlSQ/edit?pli=1#gid=0"",""1_ACUM!A4:S""),14,FALSE))"),"")</f>
        <v/>
      </c>
      <c r="BA545" s="43" t="str">
        <f ca="1">IFERROR(__xludf.DUMMYFUNCTION("IFERROR(VLOOKUP(E559&amp;F559,IMPORTRANGE(""https://docs.google.com/spreadsheets/d/1Uw7-A9f9R21vMXxHZFNpYNeKFtG8_yji4HS352LGlSQ/edit?pli=1#gid=0"",""1_ACUM!A4:S""),15,FALSE))"),"")</f>
        <v/>
      </c>
      <c r="BB545" s="43" t="str">
        <f ca="1">IFERROR(__xludf.DUMMYFUNCTION("IFERROR(VLOOKUP(E559&amp;F559,IMPORTRANGE(""https://docs.google.com/spreadsheets/d/1Uw7-A9f9R21vMXxHZFNpYNeKFtG8_yji4HS352LGlSQ/edit?pli=1#gid=0"",""1_ACUM!A4:S""),16,FALSE))"),"")</f>
        <v/>
      </c>
      <c r="BC545" s="43" t="str">
        <f ca="1">IFERROR(__xludf.DUMMYFUNCTION("IFERROR(VLOOKUP(E559&amp;F559,IMPORTRANGE(""https://docs.google.com/spreadsheets/d/1Uw7-A9f9R21vMXxHZFNpYNeKFtG8_yji4HS352LGlSQ/edit?pli=1#gid=0"",""1_ACUM!A4:S""),17,FALSE))"),"")</f>
        <v/>
      </c>
      <c r="BD545" s="44" t="str">
        <f ca="1">IFERROR(__xludf.DUMMYFUNCTION("IFERROR(VLOOKUP(E559&amp;F559,IMPORTRANGE(""https://docs.google.com/spreadsheets/d/1Uw7-A9f9R21vMXxHZFNpYNeKFtG8_yji4HS352LGlSQ/edit?pli=1#gid=0"",""1_ACUM!A4:S""),18,FALSE))"),"")</f>
        <v/>
      </c>
      <c r="BE545" s="44" t="str">
        <f ca="1">IFERROR(__xludf.DUMMYFUNCTION("IFERROR(VLOOKUP(E559&amp;F559,IMPORTRANGE(""https://docs.google.com/spreadsheets/d/1Uw7-A9f9R21vMXxHZFNpYNeKFtG8_yji4HS352LGlSQ/edit?pli=1#gid=0"",""1_ACUM!A4:S""),19,FALSE))"),"")</f>
        <v/>
      </c>
      <c r="BF545" s="98" t="str">
        <f ca="1">IFERROR(__xludf.DUMMYFUNCTION("IFERROR(VLOOKUP(F559,IMPORTRANGE(""https://docs.google.com/spreadsheets/d/1Kvs4KS76FHFqLFIZfrDMff4kP08nblUkihrxltoGBjg/edit#gid=934712705"",""ESENCIAL!A6:BG""),5,FALSE))"),"")</f>
        <v/>
      </c>
      <c r="BG545" s="98" t="str">
        <f t="shared" si="21"/>
        <v/>
      </c>
      <c r="BH545" s="99" t="str">
        <f t="shared" si="22"/>
        <v/>
      </c>
      <c r="BI545" s="100" t="str">
        <f ca="1">IFERROR(__xludf.DUMMYFUNCTION("IFERROR(VLOOKUP(F559,IMPORTRANGE(""https://docs.google.com/spreadsheets/d/1Kvs4KS76FHFqLFIZfrDMff4kP08nblUkihrxltoGBjg/edit#gid=934712705"",""ESENCIAL!A6:BG""),2,FALSE))"),"")</f>
        <v/>
      </c>
      <c r="BJ545" s="19" t="str">
        <f t="shared" si="23"/>
        <v/>
      </c>
      <c r="BK545" s="100"/>
      <c r="BL545" s="100"/>
    </row>
    <row r="546" spans="1:64" ht="15">
      <c r="A546" s="5"/>
      <c r="B546" s="5"/>
      <c r="G546" s="5" t="str">
        <f ca="1">IFERROR(__xludf.DUMMYFUNCTION("IFERROR(VLOOKUP(F560,IMPORTRANGE(""https://docs.google.com/spreadsheets/d/1Kvs4KS76FHFqLFIZfrDMff4kP08nblUkihrxltoGBjg/edit#gid=934712705"",""ESENCIAL!A6:BG""),3,FALSE))"),"")</f>
        <v/>
      </c>
      <c r="H546" s="5" t="str">
        <f ca="1">IFERROR(__xludf.DUMMYFUNCTION("IFERROR(VLOOKUP(F560,IMPORTRANGE(""https://docs.google.com/spreadsheets/d/1Kvs4KS76FHFqLFIZfrDMff4kP08nblUkihrxltoGBjg/edit#gid=934712705"",""ESENCIAL!A6:BG""),8,FALSE))"),"")</f>
        <v/>
      </c>
      <c r="L546" s="287"/>
      <c r="U546" s="40"/>
      <c r="AU546" s="41" t="str">
        <f t="shared" si="20"/>
        <v/>
      </c>
      <c r="AV546" s="5" t="str">
        <f ca="1">IFERROR(__xludf.DUMMYFUNCTION("IFERROR(VLOOKUP(E560&amp;F560,IMPORTRANGE(""https://docs.google.com/spreadsheets/d/1Uw7-A9f9R21vMXxHZFNpYNeKFtG8_yji4HS352LGlSQ/edit?pli=1#gid=0"",""1_ACUM!A4:S""),11,FALSE))"),"")</f>
        <v/>
      </c>
      <c r="AW546" s="42" t="str">
        <f ca="1">IFERROR(__xludf.DUMMYFUNCTION("IFERROR(VLOOKUP(F560,IMPORTRANGE(""https://docs.google.com/spreadsheets/d/1Kvs4KS76FHFqLFIZfrDMff4kP08nblUkihrxltoGBjg/edit#gid=934712705"",""ESENCIAL!A6:BG""),15,FALSE))"),"")</f>
        <v/>
      </c>
      <c r="AX546" s="21" t="str">
        <f ca="1">IFERROR(__xludf.DUMMYFUNCTION("IFERROR(VLOOKUP(E560&amp;F560,IMPORTRANGE(""https://docs.google.com/spreadsheets/d/1Uw7-A9f9R21vMXxHZFNpYNeKFtG8_yji4HS352LGlSQ/edit?pli=1#gid=0"",""1_ACUM!A4:S""),12,FALSE))"),"")</f>
        <v/>
      </c>
      <c r="AY546" s="43" t="str">
        <f ca="1">IFERROR(__xludf.DUMMYFUNCTION("IFERROR(VLOOKUP(E560&amp;F560,IMPORTRANGE(""https://docs.google.com/spreadsheets/d/1Uw7-A9f9R21vMXxHZFNpYNeKFtG8_yji4HS352LGlSQ/edit?pli=1#gid=0"",""1_ACUM!A4:S""),13,FALSE))"),"")</f>
        <v/>
      </c>
      <c r="AZ546" s="43" t="str">
        <f ca="1">IFERROR(__xludf.DUMMYFUNCTION("IFERROR(VLOOKUP(E560&amp;F560,IMPORTRANGE(""https://docs.google.com/spreadsheets/d/1Uw7-A9f9R21vMXxHZFNpYNeKFtG8_yji4HS352LGlSQ/edit?pli=1#gid=0"",""1_ACUM!A4:S""),14,FALSE))"),"")</f>
        <v/>
      </c>
      <c r="BA546" s="43" t="str">
        <f ca="1">IFERROR(__xludf.DUMMYFUNCTION("IFERROR(VLOOKUP(E560&amp;F560,IMPORTRANGE(""https://docs.google.com/spreadsheets/d/1Uw7-A9f9R21vMXxHZFNpYNeKFtG8_yji4HS352LGlSQ/edit?pli=1#gid=0"",""1_ACUM!A4:S""),15,FALSE))"),"")</f>
        <v/>
      </c>
      <c r="BB546" s="43" t="str">
        <f ca="1">IFERROR(__xludf.DUMMYFUNCTION("IFERROR(VLOOKUP(E560&amp;F560,IMPORTRANGE(""https://docs.google.com/spreadsheets/d/1Uw7-A9f9R21vMXxHZFNpYNeKFtG8_yji4HS352LGlSQ/edit?pli=1#gid=0"",""1_ACUM!A4:S""),16,FALSE))"),"")</f>
        <v/>
      </c>
      <c r="BC546" s="43" t="str">
        <f ca="1">IFERROR(__xludf.DUMMYFUNCTION("IFERROR(VLOOKUP(E560&amp;F560,IMPORTRANGE(""https://docs.google.com/spreadsheets/d/1Uw7-A9f9R21vMXxHZFNpYNeKFtG8_yji4HS352LGlSQ/edit?pli=1#gid=0"",""1_ACUM!A4:S""),17,FALSE))"),"")</f>
        <v/>
      </c>
      <c r="BD546" s="44" t="str">
        <f ca="1">IFERROR(__xludf.DUMMYFUNCTION("IFERROR(VLOOKUP(E560&amp;F560,IMPORTRANGE(""https://docs.google.com/spreadsheets/d/1Uw7-A9f9R21vMXxHZFNpYNeKFtG8_yji4HS352LGlSQ/edit?pli=1#gid=0"",""1_ACUM!A4:S""),18,FALSE))"),"")</f>
        <v/>
      </c>
      <c r="BE546" s="44" t="str">
        <f ca="1">IFERROR(__xludf.DUMMYFUNCTION("IFERROR(VLOOKUP(E560&amp;F560,IMPORTRANGE(""https://docs.google.com/spreadsheets/d/1Uw7-A9f9R21vMXxHZFNpYNeKFtG8_yji4HS352LGlSQ/edit?pli=1#gid=0"",""1_ACUM!A4:S""),19,FALSE))"),"")</f>
        <v/>
      </c>
      <c r="BF546" s="98" t="str">
        <f ca="1">IFERROR(__xludf.DUMMYFUNCTION("IFERROR(VLOOKUP(F560,IMPORTRANGE(""https://docs.google.com/spreadsheets/d/1Kvs4KS76FHFqLFIZfrDMff4kP08nblUkihrxltoGBjg/edit#gid=934712705"",""ESENCIAL!A6:BG""),5,FALSE))"),"")</f>
        <v/>
      </c>
      <c r="BG546" s="98" t="str">
        <f t="shared" si="21"/>
        <v/>
      </c>
      <c r="BH546" s="99" t="str">
        <f t="shared" si="22"/>
        <v/>
      </c>
      <c r="BI546" s="100" t="str">
        <f ca="1">IFERROR(__xludf.DUMMYFUNCTION("IFERROR(VLOOKUP(F560,IMPORTRANGE(""https://docs.google.com/spreadsheets/d/1Kvs4KS76FHFqLFIZfrDMff4kP08nblUkihrxltoGBjg/edit#gid=934712705"",""ESENCIAL!A6:BG""),2,FALSE))"),"")</f>
        <v/>
      </c>
      <c r="BJ546" s="19" t="str">
        <f t="shared" si="23"/>
        <v/>
      </c>
      <c r="BK546" s="100"/>
      <c r="BL546" s="100"/>
    </row>
    <row r="547" spans="1:64" ht="15">
      <c r="A547" s="5"/>
      <c r="B547" s="5"/>
      <c r="G547" s="5" t="str">
        <f ca="1">IFERROR(__xludf.DUMMYFUNCTION("IFERROR(VLOOKUP(F561,IMPORTRANGE(""https://docs.google.com/spreadsheets/d/1Kvs4KS76FHFqLFIZfrDMff4kP08nblUkihrxltoGBjg/edit#gid=934712705"",""ESENCIAL!A6:BG""),3,FALSE))"),"")</f>
        <v/>
      </c>
      <c r="H547" s="5" t="str">
        <f ca="1">IFERROR(__xludf.DUMMYFUNCTION("IFERROR(VLOOKUP(F561,IMPORTRANGE(""https://docs.google.com/spreadsheets/d/1Kvs4KS76FHFqLFIZfrDMff4kP08nblUkihrxltoGBjg/edit#gid=934712705"",""ESENCIAL!A6:BG""),8,FALSE))"),"")</f>
        <v/>
      </c>
      <c r="L547" s="287"/>
      <c r="U547" s="40"/>
      <c r="AU547" s="41" t="str">
        <f t="shared" si="20"/>
        <v/>
      </c>
      <c r="AV547" s="5" t="str">
        <f ca="1">IFERROR(__xludf.DUMMYFUNCTION("IFERROR(VLOOKUP(E561&amp;F561,IMPORTRANGE(""https://docs.google.com/spreadsheets/d/1Uw7-A9f9R21vMXxHZFNpYNeKFtG8_yji4HS352LGlSQ/edit?pli=1#gid=0"",""1_ACUM!A4:S""),11,FALSE))"),"")</f>
        <v/>
      </c>
      <c r="AW547" s="42" t="str">
        <f ca="1">IFERROR(__xludf.DUMMYFUNCTION("IFERROR(VLOOKUP(F561,IMPORTRANGE(""https://docs.google.com/spreadsheets/d/1Kvs4KS76FHFqLFIZfrDMff4kP08nblUkihrxltoGBjg/edit#gid=934712705"",""ESENCIAL!A6:BG""),15,FALSE))"),"")</f>
        <v/>
      </c>
      <c r="AX547" s="21" t="str">
        <f ca="1">IFERROR(__xludf.DUMMYFUNCTION("IFERROR(VLOOKUP(E561&amp;F561,IMPORTRANGE(""https://docs.google.com/spreadsheets/d/1Uw7-A9f9R21vMXxHZFNpYNeKFtG8_yji4HS352LGlSQ/edit?pli=1#gid=0"",""1_ACUM!A4:S""),12,FALSE))"),"")</f>
        <v/>
      </c>
      <c r="AY547" s="43" t="str">
        <f ca="1">IFERROR(__xludf.DUMMYFUNCTION("IFERROR(VLOOKUP(E561&amp;F561,IMPORTRANGE(""https://docs.google.com/spreadsheets/d/1Uw7-A9f9R21vMXxHZFNpYNeKFtG8_yji4HS352LGlSQ/edit?pli=1#gid=0"",""1_ACUM!A4:S""),13,FALSE))"),"")</f>
        <v/>
      </c>
      <c r="AZ547" s="43" t="str">
        <f ca="1">IFERROR(__xludf.DUMMYFUNCTION("IFERROR(VLOOKUP(E561&amp;F561,IMPORTRANGE(""https://docs.google.com/spreadsheets/d/1Uw7-A9f9R21vMXxHZFNpYNeKFtG8_yji4HS352LGlSQ/edit?pli=1#gid=0"",""1_ACUM!A4:S""),14,FALSE))"),"")</f>
        <v/>
      </c>
      <c r="BA547" s="43" t="str">
        <f ca="1">IFERROR(__xludf.DUMMYFUNCTION("IFERROR(VLOOKUP(E561&amp;F561,IMPORTRANGE(""https://docs.google.com/spreadsheets/d/1Uw7-A9f9R21vMXxHZFNpYNeKFtG8_yji4HS352LGlSQ/edit?pli=1#gid=0"",""1_ACUM!A4:S""),15,FALSE))"),"")</f>
        <v/>
      </c>
      <c r="BB547" s="43" t="str">
        <f ca="1">IFERROR(__xludf.DUMMYFUNCTION("IFERROR(VLOOKUP(E561&amp;F561,IMPORTRANGE(""https://docs.google.com/spreadsheets/d/1Uw7-A9f9R21vMXxHZFNpYNeKFtG8_yji4HS352LGlSQ/edit?pli=1#gid=0"",""1_ACUM!A4:S""),16,FALSE))"),"")</f>
        <v/>
      </c>
      <c r="BC547" s="43" t="str">
        <f ca="1">IFERROR(__xludf.DUMMYFUNCTION("IFERROR(VLOOKUP(E561&amp;F561,IMPORTRANGE(""https://docs.google.com/spreadsheets/d/1Uw7-A9f9R21vMXxHZFNpYNeKFtG8_yji4HS352LGlSQ/edit?pli=1#gid=0"",""1_ACUM!A4:S""),17,FALSE))"),"")</f>
        <v/>
      </c>
      <c r="BD547" s="44" t="str">
        <f ca="1">IFERROR(__xludf.DUMMYFUNCTION("IFERROR(VLOOKUP(E561&amp;F561,IMPORTRANGE(""https://docs.google.com/spreadsheets/d/1Uw7-A9f9R21vMXxHZFNpYNeKFtG8_yji4HS352LGlSQ/edit?pli=1#gid=0"",""1_ACUM!A4:S""),18,FALSE))"),"")</f>
        <v/>
      </c>
      <c r="BE547" s="44" t="str">
        <f ca="1">IFERROR(__xludf.DUMMYFUNCTION("IFERROR(VLOOKUP(E561&amp;F561,IMPORTRANGE(""https://docs.google.com/spreadsheets/d/1Uw7-A9f9R21vMXxHZFNpYNeKFtG8_yji4HS352LGlSQ/edit?pli=1#gid=0"",""1_ACUM!A4:S""),19,FALSE))"),"")</f>
        <v/>
      </c>
      <c r="BF547" s="98" t="str">
        <f ca="1">IFERROR(__xludf.DUMMYFUNCTION("IFERROR(VLOOKUP(F561,IMPORTRANGE(""https://docs.google.com/spreadsheets/d/1Kvs4KS76FHFqLFIZfrDMff4kP08nblUkihrxltoGBjg/edit#gid=934712705"",""ESENCIAL!A6:BG""),5,FALSE))"),"")</f>
        <v/>
      </c>
      <c r="BG547" s="98" t="str">
        <f t="shared" si="21"/>
        <v/>
      </c>
      <c r="BH547" s="99" t="str">
        <f t="shared" si="22"/>
        <v/>
      </c>
      <c r="BI547" s="100" t="str">
        <f ca="1">IFERROR(__xludf.DUMMYFUNCTION("IFERROR(VLOOKUP(F561,IMPORTRANGE(""https://docs.google.com/spreadsheets/d/1Kvs4KS76FHFqLFIZfrDMff4kP08nblUkihrxltoGBjg/edit#gid=934712705"",""ESENCIAL!A6:BG""),2,FALSE))"),"")</f>
        <v/>
      </c>
      <c r="BJ547" s="19" t="str">
        <f t="shared" si="23"/>
        <v/>
      </c>
      <c r="BK547" s="100"/>
      <c r="BL547" s="100"/>
    </row>
    <row r="548" spans="1:64" ht="15">
      <c r="A548" s="5"/>
      <c r="B548" s="5"/>
      <c r="G548" s="5" t="str">
        <f ca="1">IFERROR(__xludf.DUMMYFUNCTION("IFERROR(VLOOKUP(F562,IMPORTRANGE(""https://docs.google.com/spreadsheets/d/1Kvs4KS76FHFqLFIZfrDMff4kP08nblUkihrxltoGBjg/edit#gid=934712705"",""ESENCIAL!A6:BG""),3,FALSE))"),"")</f>
        <v/>
      </c>
      <c r="H548" s="5" t="str">
        <f ca="1">IFERROR(__xludf.DUMMYFUNCTION("IFERROR(VLOOKUP(F562,IMPORTRANGE(""https://docs.google.com/spreadsheets/d/1Kvs4KS76FHFqLFIZfrDMff4kP08nblUkihrxltoGBjg/edit#gid=934712705"",""ESENCIAL!A6:BG""),8,FALSE))"),"")</f>
        <v/>
      </c>
      <c r="L548" s="287"/>
      <c r="U548" s="40"/>
      <c r="AU548" s="41" t="str">
        <f t="shared" si="20"/>
        <v/>
      </c>
      <c r="AV548" s="5" t="str">
        <f ca="1">IFERROR(__xludf.DUMMYFUNCTION("IFERROR(VLOOKUP(E562&amp;F562,IMPORTRANGE(""https://docs.google.com/spreadsheets/d/1Uw7-A9f9R21vMXxHZFNpYNeKFtG8_yji4HS352LGlSQ/edit?pli=1#gid=0"",""1_ACUM!A4:S""),11,FALSE))"),"")</f>
        <v/>
      </c>
      <c r="AW548" s="42" t="str">
        <f ca="1">IFERROR(__xludf.DUMMYFUNCTION("IFERROR(VLOOKUP(F562,IMPORTRANGE(""https://docs.google.com/spreadsheets/d/1Kvs4KS76FHFqLFIZfrDMff4kP08nblUkihrxltoGBjg/edit#gid=934712705"",""ESENCIAL!A6:BG""),15,FALSE))"),"")</f>
        <v/>
      </c>
      <c r="AX548" s="21" t="str">
        <f ca="1">IFERROR(__xludf.DUMMYFUNCTION("IFERROR(VLOOKUP(E562&amp;F562,IMPORTRANGE(""https://docs.google.com/spreadsheets/d/1Uw7-A9f9R21vMXxHZFNpYNeKFtG8_yji4HS352LGlSQ/edit?pli=1#gid=0"",""1_ACUM!A4:S""),12,FALSE))"),"")</f>
        <v/>
      </c>
      <c r="AY548" s="43" t="str">
        <f ca="1">IFERROR(__xludf.DUMMYFUNCTION("IFERROR(VLOOKUP(E562&amp;F562,IMPORTRANGE(""https://docs.google.com/spreadsheets/d/1Uw7-A9f9R21vMXxHZFNpYNeKFtG8_yji4HS352LGlSQ/edit?pli=1#gid=0"",""1_ACUM!A4:S""),13,FALSE))"),"")</f>
        <v/>
      </c>
      <c r="AZ548" s="43" t="str">
        <f ca="1">IFERROR(__xludf.DUMMYFUNCTION("IFERROR(VLOOKUP(E562&amp;F562,IMPORTRANGE(""https://docs.google.com/spreadsheets/d/1Uw7-A9f9R21vMXxHZFNpYNeKFtG8_yji4HS352LGlSQ/edit?pli=1#gid=0"",""1_ACUM!A4:S""),14,FALSE))"),"")</f>
        <v/>
      </c>
      <c r="BA548" s="43" t="str">
        <f ca="1">IFERROR(__xludf.DUMMYFUNCTION("IFERROR(VLOOKUP(E562&amp;F562,IMPORTRANGE(""https://docs.google.com/spreadsheets/d/1Uw7-A9f9R21vMXxHZFNpYNeKFtG8_yji4HS352LGlSQ/edit?pli=1#gid=0"",""1_ACUM!A4:S""),15,FALSE))"),"")</f>
        <v/>
      </c>
      <c r="BB548" s="43" t="str">
        <f ca="1">IFERROR(__xludf.DUMMYFUNCTION("IFERROR(VLOOKUP(E562&amp;F562,IMPORTRANGE(""https://docs.google.com/spreadsheets/d/1Uw7-A9f9R21vMXxHZFNpYNeKFtG8_yji4HS352LGlSQ/edit?pli=1#gid=0"",""1_ACUM!A4:S""),16,FALSE))"),"")</f>
        <v/>
      </c>
      <c r="BC548" s="43" t="str">
        <f ca="1">IFERROR(__xludf.DUMMYFUNCTION("IFERROR(VLOOKUP(E562&amp;F562,IMPORTRANGE(""https://docs.google.com/spreadsheets/d/1Uw7-A9f9R21vMXxHZFNpYNeKFtG8_yji4HS352LGlSQ/edit?pli=1#gid=0"",""1_ACUM!A4:S""),17,FALSE))"),"")</f>
        <v/>
      </c>
      <c r="BD548" s="44" t="str">
        <f ca="1">IFERROR(__xludf.DUMMYFUNCTION("IFERROR(VLOOKUP(E562&amp;F562,IMPORTRANGE(""https://docs.google.com/spreadsheets/d/1Uw7-A9f9R21vMXxHZFNpYNeKFtG8_yji4HS352LGlSQ/edit?pli=1#gid=0"",""1_ACUM!A4:S""),18,FALSE))"),"")</f>
        <v/>
      </c>
      <c r="BE548" s="44" t="str">
        <f ca="1">IFERROR(__xludf.DUMMYFUNCTION("IFERROR(VLOOKUP(E562&amp;F562,IMPORTRANGE(""https://docs.google.com/spreadsheets/d/1Uw7-A9f9R21vMXxHZFNpYNeKFtG8_yji4HS352LGlSQ/edit?pli=1#gid=0"",""1_ACUM!A4:S""),19,FALSE))"),"")</f>
        <v/>
      </c>
      <c r="BF548" s="98" t="str">
        <f ca="1">IFERROR(__xludf.DUMMYFUNCTION("IFERROR(VLOOKUP(F562,IMPORTRANGE(""https://docs.google.com/spreadsheets/d/1Kvs4KS76FHFqLFIZfrDMff4kP08nblUkihrxltoGBjg/edit#gid=934712705"",""ESENCIAL!A6:BG""),5,FALSE))"),"")</f>
        <v/>
      </c>
      <c r="BG548" s="98" t="str">
        <f t="shared" si="21"/>
        <v/>
      </c>
      <c r="BH548" s="99" t="str">
        <f t="shared" si="22"/>
        <v/>
      </c>
      <c r="BI548" s="100" t="str">
        <f ca="1">IFERROR(__xludf.DUMMYFUNCTION("IFERROR(VLOOKUP(F562,IMPORTRANGE(""https://docs.google.com/spreadsheets/d/1Kvs4KS76FHFqLFIZfrDMff4kP08nblUkihrxltoGBjg/edit#gid=934712705"",""ESENCIAL!A6:BG""),2,FALSE))"),"")</f>
        <v/>
      </c>
      <c r="BJ548" s="19" t="str">
        <f t="shared" si="23"/>
        <v/>
      </c>
      <c r="BK548" s="100"/>
      <c r="BL548" s="100"/>
    </row>
    <row r="549" spans="1:64" ht="15">
      <c r="A549" s="5"/>
      <c r="B549" s="5"/>
      <c r="G549" s="5" t="str">
        <f ca="1">IFERROR(__xludf.DUMMYFUNCTION("IFERROR(VLOOKUP(F563,IMPORTRANGE(""https://docs.google.com/spreadsheets/d/1Kvs4KS76FHFqLFIZfrDMff4kP08nblUkihrxltoGBjg/edit#gid=934712705"",""ESENCIAL!A6:BG""),3,FALSE))"),"")</f>
        <v/>
      </c>
      <c r="H549" s="5" t="str">
        <f ca="1">IFERROR(__xludf.DUMMYFUNCTION("IFERROR(VLOOKUP(F563,IMPORTRANGE(""https://docs.google.com/spreadsheets/d/1Kvs4KS76FHFqLFIZfrDMff4kP08nblUkihrxltoGBjg/edit#gid=934712705"",""ESENCIAL!A6:BG""),8,FALSE))"),"")</f>
        <v/>
      </c>
      <c r="L549" s="287"/>
      <c r="U549" s="40"/>
      <c r="AU549" s="41" t="str">
        <f t="shared" si="20"/>
        <v/>
      </c>
      <c r="AV549" s="5" t="str">
        <f ca="1">IFERROR(__xludf.DUMMYFUNCTION("IFERROR(VLOOKUP(E563&amp;F563,IMPORTRANGE(""https://docs.google.com/spreadsheets/d/1Uw7-A9f9R21vMXxHZFNpYNeKFtG8_yji4HS352LGlSQ/edit?pli=1#gid=0"",""1_ACUM!A4:S""),11,FALSE))"),"")</f>
        <v/>
      </c>
      <c r="AW549" s="42" t="str">
        <f ca="1">IFERROR(__xludf.DUMMYFUNCTION("IFERROR(VLOOKUP(F563,IMPORTRANGE(""https://docs.google.com/spreadsheets/d/1Kvs4KS76FHFqLFIZfrDMff4kP08nblUkihrxltoGBjg/edit#gid=934712705"",""ESENCIAL!A6:BG""),15,FALSE))"),"")</f>
        <v/>
      </c>
      <c r="AX549" s="21" t="str">
        <f ca="1">IFERROR(__xludf.DUMMYFUNCTION("IFERROR(VLOOKUP(E563&amp;F563,IMPORTRANGE(""https://docs.google.com/spreadsheets/d/1Uw7-A9f9R21vMXxHZFNpYNeKFtG8_yji4HS352LGlSQ/edit?pli=1#gid=0"",""1_ACUM!A4:S""),12,FALSE))"),"")</f>
        <v/>
      </c>
      <c r="AY549" s="43" t="str">
        <f ca="1">IFERROR(__xludf.DUMMYFUNCTION("IFERROR(VLOOKUP(E563&amp;F563,IMPORTRANGE(""https://docs.google.com/spreadsheets/d/1Uw7-A9f9R21vMXxHZFNpYNeKFtG8_yji4HS352LGlSQ/edit?pli=1#gid=0"",""1_ACUM!A4:S""),13,FALSE))"),"")</f>
        <v/>
      </c>
      <c r="AZ549" s="43" t="str">
        <f ca="1">IFERROR(__xludf.DUMMYFUNCTION("IFERROR(VLOOKUP(E563&amp;F563,IMPORTRANGE(""https://docs.google.com/spreadsheets/d/1Uw7-A9f9R21vMXxHZFNpYNeKFtG8_yji4HS352LGlSQ/edit?pli=1#gid=0"",""1_ACUM!A4:S""),14,FALSE))"),"")</f>
        <v/>
      </c>
      <c r="BA549" s="43" t="str">
        <f ca="1">IFERROR(__xludf.DUMMYFUNCTION("IFERROR(VLOOKUP(E563&amp;F563,IMPORTRANGE(""https://docs.google.com/spreadsheets/d/1Uw7-A9f9R21vMXxHZFNpYNeKFtG8_yji4HS352LGlSQ/edit?pli=1#gid=0"",""1_ACUM!A4:S""),15,FALSE))"),"")</f>
        <v/>
      </c>
      <c r="BB549" s="43" t="str">
        <f ca="1">IFERROR(__xludf.DUMMYFUNCTION("IFERROR(VLOOKUP(E563&amp;F563,IMPORTRANGE(""https://docs.google.com/spreadsheets/d/1Uw7-A9f9R21vMXxHZFNpYNeKFtG8_yji4HS352LGlSQ/edit?pli=1#gid=0"",""1_ACUM!A4:S""),16,FALSE))"),"")</f>
        <v/>
      </c>
      <c r="BC549" s="43" t="str">
        <f ca="1">IFERROR(__xludf.DUMMYFUNCTION("IFERROR(VLOOKUP(E563&amp;F563,IMPORTRANGE(""https://docs.google.com/spreadsheets/d/1Uw7-A9f9R21vMXxHZFNpYNeKFtG8_yji4HS352LGlSQ/edit?pli=1#gid=0"",""1_ACUM!A4:S""),17,FALSE))"),"")</f>
        <v/>
      </c>
      <c r="BD549" s="44" t="str">
        <f ca="1">IFERROR(__xludf.DUMMYFUNCTION("IFERROR(VLOOKUP(E563&amp;F563,IMPORTRANGE(""https://docs.google.com/spreadsheets/d/1Uw7-A9f9R21vMXxHZFNpYNeKFtG8_yji4HS352LGlSQ/edit?pli=1#gid=0"",""1_ACUM!A4:S""),18,FALSE))"),"")</f>
        <v/>
      </c>
      <c r="BE549" s="44" t="str">
        <f ca="1">IFERROR(__xludf.DUMMYFUNCTION("IFERROR(VLOOKUP(E563&amp;F563,IMPORTRANGE(""https://docs.google.com/spreadsheets/d/1Uw7-A9f9R21vMXxHZFNpYNeKFtG8_yji4HS352LGlSQ/edit?pli=1#gid=0"",""1_ACUM!A4:S""),19,FALSE))"),"")</f>
        <v/>
      </c>
      <c r="BF549" s="98" t="str">
        <f ca="1">IFERROR(__xludf.DUMMYFUNCTION("IFERROR(VLOOKUP(F563,IMPORTRANGE(""https://docs.google.com/spreadsheets/d/1Kvs4KS76FHFqLFIZfrDMff4kP08nblUkihrxltoGBjg/edit#gid=934712705"",""ESENCIAL!A6:BG""),5,FALSE))"),"")</f>
        <v/>
      </c>
      <c r="BG549" s="98" t="str">
        <f t="shared" si="21"/>
        <v/>
      </c>
      <c r="BH549" s="99" t="str">
        <f t="shared" si="22"/>
        <v/>
      </c>
      <c r="BI549" s="100" t="str">
        <f ca="1">IFERROR(__xludf.DUMMYFUNCTION("IFERROR(VLOOKUP(F563,IMPORTRANGE(""https://docs.google.com/spreadsheets/d/1Kvs4KS76FHFqLFIZfrDMff4kP08nblUkihrxltoGBjg/edit#gid=934712705"",""ESENCIAL!A6:BG""),2,FALSE))"),"")</f>
        <v/>
      </c>
      <c r="BJ549" s="19" t="str">
        <f t="shared" si="23"/>
        <v/>
      </c>
      <c r="BK549" s="100"/>
      <c r="BL549" s="100"/>
    </row>
    <row r="550" spans="1:64" ht="15">
      <c r="A550" s="5"/>
      <c r="B550" s="5"/>
      <c r="G550" s="5" t="str">
        <f ca="1">IFERROR(__xludf.DUMMYFUNCTION("IFERROR(VLOOKUP(F564,IMPORTRANGE(""https://docs.google.com/spreadsheets/d/1Kvs4KS76FHFqLFIZfrDMff4kP08nblUkihrxltoGBjg/edit#gid=934712705"",""ESENCIAL!A6:BG""),3,FALSE))"),"")</f>
        <v/>
      </c>
      <c r="H550" s="5" t="str">
        <f ca="1">IFERROR(__xludf.DUMMYFUNCTION("IFERROR(VLOOKUP(F564,IMPORTRANGE(""https://docs.google.com/spreadsheets/d/1Kvs4KS76FHFqLFIZfrDMff4kP08nblUkihrxltoGBjg/edit#gid=934712705"",""ESENCIAL!A6:BG""),8,FALSE))"),"")</f>
        <v/>
      </c>
      <c r="L550" s="287"/>
      <c r="U550" s="40"/>
      <c r="AU550" s="41" t="str">
        <f t="shared" si="20"/>
        <v/>
      </c>
      <c r="AV550" s="5" t="str">
        <f ca="1">IFERROR(__xludf.DUMMYFUNCTION("IFERROR(VLOOKUP(E564&amp;F564,IMPORTRANGE(""https://docs.google.com/spreadsheets/d/1Uw7-A9f9R21vMXxHZFNpYNeKFtG8_yji4HS352LGlSQ/edit?pli=1#gid=0"",""1_ACUM!A4:S""),11,FALSE))"),"")</f>
        <v/>
      </c>
      <c r="AW550" s="42" t="str">
        <f ca="1">IFERROR(__xludf.DUMMYFUNCTION("IFERROR(VLOOKUP(F564,IMPORTRANGE(""https://docs.google.com/spreadsheets/d/1Kvs4KS76FHFqLFIZfrDMff4kP08nblUkihrxltoGBjg/edit#gid=934712705"",""ESENCIAL!A6:BG""),15,FALSE))"),"")</f>
        <v/>
      </c>
      <c r="AX550" s="21" t="str">
        <f ca="1">IFERROR(__xludf.DUMMYFUNCTION("IFERROR(VLOOKUP(E564&amp;F564,IMPORTRANGE(""https://docs.google.com/spreadsheets/d/1Uw7-A9f9R21vMXxHZFNpYNeKFtG8_yji4HS352LGlSQ/edit?pli=1#gid=0"",""1_ACUM!A4:S""),12,FALSE))"),"")</f>
        <v/>
      </c>
      <c r="AY550" s="43" t="str">
        <f ca="1">IFERROR(__xludf.DUMMYFUNCTION("IFERROR(VLOOKUP(E564&amp;F564,IMPORTRANGE(""https://docs.google.com/spreadsheets/d/1Uw7-A9f9R21vMXxHZFNpYNeKFtG8_yji4HS352LGlSQ/edit?pli=1#gid=0"",""1_ACUM!A4:S""),13,FALSE))"),"")</f>
        <v/>
      </c>
      <c r="AZ550" s="43" t="str">
        <f ca="1">IFERROR(__xludf.DUMMYFUNCTION("IFERROR(VLOOKUP(E564&amp;F564,IMPORTRANGE(""https://docs.google.com/spreadsheets/d/1Uw7-A9f9R21vMXxHZFNpYNeKFtG8_yji4HS352LGlSQ/edit?pli=1#gid=0"",""1_ACUM!A4:S""),14,FALSE))"),"")</f>
        <v/>
      </c>
      <c r="BA550" s="43" t="str">
        <f ca="1">IFERROR(__xludf.DUMMYFUNCTION("IFERROR(VLOOKUP(E564&amp;F564,IMPORTRANGE(""https://docs.google.com/spreadsheets/d/1Uw7-A9f9R21vMXxHZFNpYNeKFtG8_yji4HS352LGlSQ/edit?pli=1#gid=0"",""1_ACUM!A4:S""),15,FALSE))"),"")</f>
        <v/>
      </c>
      <c r="BB550" s="43" t="str">
        <f ca="1">IFERROR(__xludf.DUMMYFUNCTION("IFERROR(VLOOKUP(E564&amp;F564,IMPORTRANGE(""https://docs.google.com/spreadsheets/d/1Uw7-A9f9R21vMXxHZFNpYNeKFtG8_yji4HS352LGlSQ/edit?pli=1#gid=0"",""1_ACUM!A4:S""),16,FALSE))"),"")</f>
        <v/>
      </c>
      <c r="BC550" s="43" t="str">
        <f ca="1">IFERROR(__xludf.DUMMYFUNCTION("IFERROR(VLOOKUP(E564&amp;F564,IMPORTRANGE(""https://docs.google.com/spreadsheets/d/1Uw7-A9f9R21vMXxHZFNpYNeKFtG8_yji4HS352LGlSQ/edit?pli=1#gid=0"",""1_ACUM!A4:S""),17,FALSE))"),"")</f>
        <v/>
      </c>
      <c r="BD550" s="44" t="str">
        <f ca="1">IFERROR(__xludf.DUMMYFUNCTION("IFERROR(VLOOKUP(E564&amp;F564,IMPORTRANGE(""https://docs.google.com/spreadsheets/d/1Uw7-A9f9R21vMXxHZFNpYNeKFtG8_yji4HS352LGlSQ/edit?pli=1#gid=0"",""1_ACUM!A4:S""),18,FALSE))"),"")</f>
        <v/>
      </c>
      <c r="BE550" s="44" t="str">
        <f ca="1">IFERROR(__xludf.DUMMYFUNCTION("IFERROR(VLOOKUP(E564&amp;F564,IMPORTRANGE(""https://docs.google.com/spreadsheets/d/1Uw7-A9f9R21vMXxHZFNpYNeKFtG8_yji4HS352LGlSQ/edit?pli=1#gid=0"",""1_ACUM!A4:S""),19,FALSE))"),"")</f>
        <v/>
      </c>
      <c r="BF550" s="98" t="str">
        <f ca="1">IFERROR(__xludf.DUMMYFUNCTION("IFERROR(VLOOKUP(F564,IMPORTRANGE(""https://docs.google.com/spreadsheets/d/1Kvs4KS76FHFqLFIZfrDMff4kP08nblUkihrxltoGBjg/edit#gid=934712705"",""ESENCIAL!A6:BG""),5,FALSE))"),"")</f>
        <v/>
      </c>
      <c r="BG550" s="98" t="str">
        <f t="shared" si="21"/>
        <v/>
      </c>
      <c r="BH550" s="99" t="str">
        <f t="shared" si="22"/>
        <v/>
      </c>
      <c r="BI550" s="100" t="str">
        <f ca="1">IFERROR(__xludf.DUMMYFUNCTION("IFERROR(VLOOKUP(F564,IMPORTRANGE(""https://docs.google.com/spreadsheets/d/1Kvs4KS76FHFqLFIZfrDMff4kP08nblUkihrxltoGBjg/edit#gid=934712705"",""ESENCIAL!A6:BG""),2,FALSE))"),"")</f>
        <v/>
      </c>
      <c r="BJ550" s="19" t="str">
        <f t="shared" si="23"/>
        <v/>
      </c>
      <c r="BK550" s="100"/>
      <c r="BL550" s="100"/>
    </row>
    <row r="551" spans="1:64" ht="15">
      <c r="A551" s="5"/>
      <c r="B551" s="5"/>
      <c r="G551" s="5" t="str">
        <f ca="1">IFERROR(__xludf.DUMMYFUNCTION("IFERROR(VLOOKUP(F565,IMPORTRANGE(""https://docs.google.com/spreadsheets/d/1Kvs4KS76FHFqLFIZfrDMff4kP08nblUkihrxltoGBjg/edit#gid=934712705"",""ESENCIAL!A6:BG""),3,FALSE))"),"")</f>
        <v/>
      </c>
      <c r="H551" s="5" t="str">
        <f ca="1">IFERROR(__xludf.DUMMYFUNCTION("IFERROR(VLOOKUP(F565,IMPORTRANGE(""https://docs.google.com/spreadsheets/d/1Kvs4KS76FHFqLFIZfrDMff4kP08nblUkihrxltoGBjg/edit#gid=934712705"",""ESENCIAL!A6:BG""),8,FALSE))"),"")</f>
        <v/>
      </c>
      <c r="L551" s="287"/>
      <c r="U551" s="40"/>
      <c r="AU551" s="41" t="str">
        <f t="shared" si="20"/>
        <v/>
      </c>
      <c r="AV551" s="5" t="str">
        <f ca="1">IFERROR(__xludf.DUMMYFUNCTION("IFERROR(VLOOKUP(E565&amp;F565,IMPORTRANGE(""https://docs.google.com/spreadsheets/d/1Uw7-A9f9R21vMXxHZFNpYNeKFtG8_yji4HS352LGlSQ/edit?pli=1#gid=0"",""1_ACUM!A4:S""),11,FALSE))"),"")</f>
        <v/>
      </c>
      <c r="AW551" s="42" t="str">
        <f ca="1">IFERROR(__xludf.DUMMYFUNCTION("IFERROR(VLOOKUP(F565,IMPORTRANGE(""https://docs.google.com/spreadsheets/d/1Kvs4KS76FHFqLFIZfrDMff4kP08nblUkihrxltoGBjg/edit#gid=934712705"",""ESENCIAL!A6:BG""),15,FALSE))"),"")</f>
        <v/>
      </c>
      <c r="AX551" s="21" t="str">
        <f ca="1">IFERROR(__xludf.DUMMYFUNCTION("IFERROR(VLOOKUP(E565&amp;F565,IMPORTRANGE(""https://docs.google.com/spreadsheets/d/1Uw7-A9f9R21vMXxHZFNpYNeKFtG8_yji4HS352LGlSQ/edit?pli=1#gid=0"",""1_ACUM!A4:S""),12,FALSE))"),"")</f>
        <v/>
      </c>
      <c r="AY551" s="43" t="str">
        <f ca="1">IFERROR(__xludf.DUMMYFUNCTION("IFERROR(VLOOKUP(E565&amp;F565,IMPORTRANGE(""https://docs.google.com/spreadsheets/d/1Uw7-A9f9R21vMXxHZFNpYNeKFtG8_yji4HS352LGlSQ/edit?pli=1#gid=0"",""1_ACUM!A4:S""),13,FALSE))"),"")</f>
        <v/>
      </c>
      <c r="AZ551" s="43" t="str">
        <f ca="1">IFERROR(__xludf.DUMMYFUNCTION("IFERROR(VLOOKUP(E565&amp;F565,IMPORTRANGE(""https://docs.google.com/spreadsheets/d/1Uw7-A9f9R21vMXxHZFNpYNeKFtG8_yji4HS352LGlSQ/edit?pli=1#gid=0"",""1_ACUM!A4:S""),14,FALSE))"),"")</f>
        <v/>
      </c>
      <c r="BA551" s="43" t="str">
        <f ca="1">IFERROR(__xludf.DUMMYFUNCTION("IFERROR(VLOOKUP(E565&amp;F565,IMPORTRANGE(""https://docs.google.com/spreadsheets/d/1Uw7-A9f9R21vMXxHZFNpYNeKFtG8_yji4HS352LGlSQ/edit?pli=1#gid=0"",""1_ACUM!A4:S""),15,FALSE))"),"")</f>
        <v/>
      </c>
      <c r="BB551" s="43" t="str">
        <f ca="1">IFERROR(__xludf.DUMMYFUNCTION("IFERROR(VLOOKUP(E565&amp;F565,IMPORTRANGE(""https://docs.google.com/spreadsheets/d/1Uw7-A9f9R21vMXxHZFNpYNeKFtG8_yji4HS352LGlSQ/edit?pli=1#gid=0"",""1_ACUM!A4:S""),16,FALSE))"),"")</f>
        <v/>
      </c>
      <c r="BC551" s="43" t="str">
        <f ca="1">IFERROR(__xludf.DUMMYFUNCTION("IFERROR(VLOOKUP(E565&amp;F565,IMPORTRANGE(""https://docs.google.com/spreadsheets/d/1Uw7-A9f9R21vMXxHZFNpYNeKFtG8_yji4HS352LGlSQ/edit?pli=1#gid=0"",""1_ACUM!A4:S""),17,FALSE))"),"")</f>
        <v/>
      </c>
      <c r="BD551" s="44" t="str">
        <f ca="1">IFERROR(__xludf.DUMMYFUNCTION("IFERROR(VLOOKUP(E565&amp;F565,IMPORTRANGE(""https://docs.google.com/spreadsheets/d/1Uw7-A9f9R21vMXxHZFNpYNeKFtG8_yji4HS352LGlSQ/edit?pli=1#gid=0"",""1_ACUM!A4:S""),18,FALSE))"),"")</f>
        <v/>
      </c>
      <c r="BE551" s="44" t="str">
        <f ca="1">IFERROR(__xludf.DUMMYFUNCTION("IFERROR(VLOOKUP(E565&amp;F565,IMPORTRANGE(""https://docs.google.com/spreadsheets/d/1Uw7-A9f9R21vMXxHZFNpYNeKFtG8_yji4HS352LGlSQ/edit?pli=1#gid=0"",""1_ACUM!A4:S""),19,FALSE))"),"")</f>
        <v/>
      </c>
      <c r="BF551" s="98" t="str">
        <f ca="1">IFERROR(__xludf.DUMMYFUNCTION("IFERROR(VLOOKUP(F565,IMPORTRANGE(""https://docs.google.com/spreadsheets/d/1Kvs4KS76FHFqLFIZfrDMff4kP08nblUkihrxltoGBjg/edit#gid=934712705"",""ESENCIAL!A6:BG""),5,FALSE))"),"")</f>
        <v/>
      </c>
      <c r="BG551" s="98" t="str">
        <f t="shared" si="21"/>
        <v/>
      </c>
      <c r="BH551" s="99" t="str">
        <f t="shared" si="22"/>
        <v/>
      </c>
      <c r="BI551" s="100" t="str">
        <f ca="1">IFERROR(__xludf.DUMMYFUNCTION("IFERROR(VLOOKUP(F565,IMPORTRANGE(""https://docs.google.com/spreadsheets/d/1Kvs4KS76FHFqLFIZfrDMff4kP08nblUkihrxltoGBjg/edit#gid=934712705"",""ESENCIAL!A6:BG""),2,FALSE))"),"")</f>
        <v/>
      </c>
      <c r="BJ551" s="19" t="str">
        <f t="shared" si="23"/>
        <v/>
      </c>
      <c r="BK551" s="100"/>
      <c r="BL551" s="100"/>
    </row>
    <row r="552" spans="1:64" ht="15">
      <c r="A552" s="5"/>
      <c r="B552" s="5"/>
      <c r="G552" s="5" t="str">
        <f ca="1">IFERROR(__xludf.DUMMYFUNCTION("IFERROR(VLOOKUP(F566,IMPORTRANGE(""https://docs.google.com/spreadsheets/d/1Kvs4KS76FHFqLFIZfrDMff4kP08nblUkihrxltoGBjg/edit#gid=934712705"",""ESENCIAL!A6:BG""),3,FALSE))"),"")</f>
        <v/>
      </c>
      <c r="H552" s="5" t="str">
        <f ca="1">IFERROR(__xludf.DUMMYFUNCTION("IFERROR(VLOOKUP(F566,IMPORTRANGE(""https://docs.google.com/spreadsheets/d/1Kvs4KS76FHFqLFIZfrDMff4kP08nblUkihrxltoGBjg/edit#gid=934712705"",""ESENCIAL!A6:BG""),8,FALSE))"),"")</f>
        <v/>
      </c>
      <c r="L552" s="287"/>
      <c r="U552" s="40"/>
      <c r="AU552" s="41" t="str">
        <f t="shared" si="20"/>
        <v/>
      </c>
      <c r="AV552" s="5" t="str">
        <f ca="1">IFERROR(__xludf.DUMMYFUNCTION("IFERROR(VLOOKUP(E566&amp;F566,IMPORTRANGE(""https://docs.google.com/spreadsheets/d/1Uw7-A9f9R21vMXxHZFNpYNeKFtG8_yji4HS352LGlSQ/edit?pli=1#gid=0"",""1_ACUM!A4:S""),11,FALSE))"),"")</f>
        <v/>
      </c>
      <c r="AW552" s="42" t="str">
        <f ca="1">IFERROR(__xludf.DUMMYFUNCTION("IFERROR(VLOOKUP(F566,IMPORTRANGE(""https://docs.google.com/spreadsheets/d/1Kvs4KS76FHFqLFIZfrDMff4kP08nblUkihrxltoGBjg/edit#gid=934712705"",""ESENCIAL!A6:BG""),15,FALSE))"),"")</f>
        <v/>
      </c>
      <c r="AX552" s="21" t="str">
        <f ca="1">IFERROR(__xludf.DUMMYFUNCTION("IFERROR(VLOOKUP(E566&amp;F566,IMPORTRANGE(""https://docs.google.com/spreadsheets/d/1Uw7-A9f9R21vMXxHZFNpYNeKFtG8_yji4HS352LGlSQ/edit?pli=1#gid=0"",""1_ACUM!A4:S""),12,FALSE))"),"")</f>
        <v/>
      </c>
      <c r="AY552" s="43" t="str">
        <f ca="1">IFERROR(__xludf.DUMMYFUNCTION("IFERROR(VLOOKUP(E566&amp;F566,IMPORTRANGE(""https://docs.google.com/spreadsheets/d/1Uw7-A9f9R21vMXxHZFNpYNeKFtG8_yji4HS352LGlSQ/edit?pli=1#gid=0"",""1_ACUM!A4:S""),13,FALSE))"),"")</f>
        <v/>
      </c>
      <c r="AZ552" s="43" t="str">
        <f ca="1">IFERROR(__xludf.DUMMYFUNCTION("IFERROR(VLOOKUP(E566&amp;F566,IMPORTRANGE(""https://docs.google.com/spreadsheets/d/1Uw7-A9f9R21vMXxHZFNpYNeKFtG8_yji4HS352LGlSQ/edit?pli=1#gid=0"",""1_ACUM!A4:S""),14,FALSE))"),"")</f>
        <v/>
      </c>
      <c r="BA552" s="43" t="str">
        <f ca="1">IFERROR(__xludf.DUMMYFUNCTION("IFERROR(VLOOKUP(E566&amp;F566,IMPORTRANGE(""https://docs.google.com/spreadsheets/d/1Uw7-A9f9R21vMXxHZFNpYNeKFtG8_yji4HS352LGlSQ/edit?pli=1#gid=0"",""1_ACUM!A4:S""),15,FALSE))"),"")</f>
        <v/>
      </c>
      <c r="BB552" s="43" t="str">
        <f ca="1">IFERROR(__xludf.DUMMYFUNCTION("IFERROR(VLOOKUP(E566&amp;F566,IMPORTRANGE(""https://docs.google.com/spreadsheets/d/1Uw7-A9f9R21vMXxHZFNpYNeKFtG8_yji4HS352LGlSQ/edit?pli=1#gid=0"",""1_ACUM!A4:S""),16,FALSE))"),"")</f>
        <v/>
      </c>
      <c r="BC552" s="43" t="str">
        <f ca="1">IFERROR(__xludf.DUMMYFUNCTION("IFERROR(VLOOKUP(E566&amp;F566,IMPORTRANGE(""https://docs.google.com/spreadsheets/d/1Uw7-A9f9R21vMXxHZFNpYNeKFtG8_yji4HS352LGlSQ/edit?pli=1#gid=0"",""1_ACUM!A4:S""),17,FALSE))"),"")</f>
        <v/>
      </c>
      <c r="BD552" s="44" t="str">
        <f ca="1">IFERROR(__xludf.DUMMYFUNCTION("IFERROR(VLOOKUP(E566&amp;F566,IMPORTRANGE(""https://docs.google.com/spreadsheets/d/1Uw7-A9f9R21vMXxHZFNpYNeKFtG8_yji4HS352LGlSQ/edit?pli=1#gid=0"",""1_ACUM!A4:S""),18,FALSE))"),"")</f>
        <v/>
      </c>
      <c r="BE552" s="44" t="str">
        <f ca="1">IFERROR(__xludf.DUMMYFUNCTION("IFERROR(VLOOKUP(E566&amp;F566,IMPORTRANGE(""https://docs.google.com/spreadsheets/d/1Uw7-A9f9R21vMXxHZFNpYNeKFtG8_yji4HS352LGlSQ/edit?pli=1#gid=0"",""1_ACUM!A4:S""),19,FALSE))"),"")</f>
        <v/>
      </c>
      <c r="BF552" s="98" t="str">
        <f ca="1">IFERROR(__xludf.DUMMYFUNCTION("IFERROR(VLOOKUP(F566,IMPORTRANGE(""https://docs.google.com/spreadsheets/d/1Kvs4KS76FHFqLFIZfrDMff4kP08nblUkihrxltoGBjg/edit#gid=934712705"",""ESENCIAL!A6:BG""),5,FALSE))"),"")</f>
        <v/>
      </c>
      <c r="BG552" s="98" t="str">
        <f t="shared" si="21"/>
        <v/>
      </c>
      <c r="BH552" s="99" t="str">
        <f t="shared" si="22"/>
        <v/>
      </c>
      <c r="BI552" s="100" t="str">
        <f ca="1">IFERROR(__xludf.DUMMYFUNCTION("IFERROR(VLOOKUP(F566,IMPORTRANGE(""https://docs.google.com/spreadsheets/d/1Kvs4KS76FHFqLFIZfrDMff4kP08nblUkihrxltoGBjg/edit#gid=934712705"",""ESENCIAL!A6:BG""),2,FALSE))"),"")</f>
        <v/>
      </c>
      <c r="BJ552" s="19" t="str">
        <f t="shared" si="23"/>
        <v/>
      </c>
      <c r="BK552" s="100"/>
      <c r="BL552" s="100"/>
    </row>
    <row r="553" spans="1:64" ht="15">
      <c r="A553" s="5"/>
      <c r="B553" s="5"/>
      <c r="G553" s="5" t="str">
        <f ca="1">IFERROR(__xludf.DUMMYFUNCTION("IFERROR(VLOOKUP(F567,IMPORTRANGE(""https://docs.google.com/spreadsheets/d/1Kvs4KS76FHFqLFIZfrDMff4kP08nblUkihrxltoGBjg/edit#gid=934712705"",""ESENCIAL!A6:BG""),3,FALSE))"),"")</f>
        <v/>
      </c>
      <c r="H553" s="5" t="str">
        <f ca="1">IFERROR(__xludf.DUMMYFUNCTION("IFERROR(VLOOKUP(F567,IMPORTRANGE(""https://docs.google.com/spreadsheets/d/1Kvs4KS76FHFqLFIZfrDMff4kP08nblUkihrxltoGBjg/edit#gid=934712705"",""ESENCIAL!A6:BG""),8,FALSE))"),"")</f>
        <v/>
      </c>
      <c r="L553" s="287"/>
      <c r="U553" s="40"/>
      <c r="AU553" s="41" t="str">
        <f t="shared" si="20"/>
        <v/>
      </c>
      <c r="AV553" s="5" t="str">
        <f ca="1">IFERROR(__xludf.DUMMYFUNCTION("IFERROR(VLOOKUP(E567&amp;F567,IMPORTRANGE(""https://docs.google.com/spreadsheets/d/1Uw7-A9f9R21vMXxHZFNpYNeKFtG8_yji4HS352LGlSQ/edit?pli=1#gid=0"",""1_ACUM!A4:S""),11,FALSE))"),"")</f>
        <v/>
      </c>
      <c r="AW553" s="42" t="str">
        <f ca="1">IFERROR(__xludf.DUMMYFUNCTION("IFERROR(VLOOKUP(F567,IMPORTRANGE(""https://docs.google.com/spreadsheets/d/1Kvs4KS76FHFqLFIZfrDMff4kP08nblUkihrxltoGBjg/edit#gid=934712705"",""ESENCIAL!A6:BG""),15,FALSE))"),"")</f>
        <v/>
      </c>
      <c r="AX553" s="21" t="str">
        <f ca="1">IFERROR(__xludf.DUMMYFUNCTION("IFERROR(VLOOKUP(E567&amp;F567,IMPORTRANGE(""https://docs.google.com/spreadsheets/d/1Uw7-A9f9R21vMXxHZFNpYNeKFtG8_yji4HS352LGlSQ/edit?pli=1#gid=0"",""1_ACUM!A4:S""),12,FALSE))"),"")</f>
        <v/>
      </c>
      <c r="AY553" s="43" t="str">
        <f ca="1">IFERROR(__xludf.DUMMYFUNCTION("IFERROR(VLOOKUP(E567&amp;F567,IMPORTRANGE(""https://docs.google.com/spreadsheets/d/1Uw7-A9f9R21vMXxHZFNpYNeKFtG8_yji4HS352LGlSQ/edit?pli=1#gid=0"",""1_ACUM!A4:S""),13,FALSE))"),"")</f>
        <v/>
      </c>
      <c r="AZ553" s="43" t="str">
        <f ca="1">IFERROR(__xludf.DUMMYFUNCTION("IFERROR(VLOOKUP(E567&amp;F567,IMPORTRANGE(""https://docs.google.com/spreadsheets/d/1Uw7-A9f9R21vMXxHZFNpYNeKFtG8_yji4HS352LGlSQ/edit?pli=1#gid=0"",""1_ACUM!A4:S""),14,FALSE))"),"")</f>
        <v/>
      </c>
      <c r="BA553" s="43" t="str">
        <f ca="1">IFERROR(__xludf.DUMMYFUNCTION("IFERROR(VLOOKUP(E567&amp;F567,IMPORTRANGE(""https://docs.google.com/spreadsheets/d/1Uw7-A9f9R21vMXxHZFNpYNeKFtG8_yji4HS352LGlSQ/edit?pli=1#gid=0"",""1_ACUM!A4:S""),15,FALSE))"),"")</f>
        <v/>
      </c>
      <c r="BB553" s="43" t="str">
        <f ca="1">IFERROR(__xludf.DUMMYFUNCTION("IFERROR(VLOOKUP(E567&amp;F567,IMPORTRANGE(""https://docs.google.com/spreadsheets/d/1Uw7-A9f9R21vMXxHZFNpYNeKFtG8_yji4HS352LGlSQ/edit?pli=1#gid=0"",""1_ACUM!A4:S""),16,FALSE))"),"")</f>
        <v/>
      </c>
      <c r="BC553" s="43" t="str">
        <f ca="1">IFERROR(__xludf.DUMMYFUNCTION("IFERROR(VLOOKUP(E567&amp;F567,IMPORTRANGE(""https://docs.google.com/spreadsheets/d/1Uw7-A9f9R21vMXxHZFNpYNeKFtG8_yji4HS352LGlSQ/edit?pli=1#gid=0"",""1_ACUM!A4:S""),17,FALSE))"),"")</f>
        <v/>
      </c>
      <c r="BD553" s="44" t="str">
        <f ca="1">IFERROR(__xludf.DUMMYFUNCTION("IFERROR(VLOOKUP(E567&amp;F567,IMPORTRANGE(""https://docs.google.com/spreadsheets/d/1Uw7-A9f9R21vMXxHZFNpYNeKFtG8_yji4HS352LGlSQ/edit?pli=1#gid=0"",""1_ACUM!A4:S""),18,FALSE))"),"")</f>
        <v/>
      </c>
      <c r="BE553" s="44" t="str">
        <f ca="1">IFERROR(__xludf.DUMMYFUNCTION("IFERROR(VLOOKUP(E567&amp;F567,IMPORTRANGE(""https://docs.google.com/spreadsheets/d/1Uw7-A9f9R21vMXxHZFNpYNeKFtG8_yji4HS352LGlSQ/edit?pli=1#gid=0"",""1_ACUM!A4:S""),19,FALSE))"),"")</f>
        <v/>
      </c>
      <c r="BF553" s="98" t="str">
        <f ca="1">IFERROR(__xludf.DUMMYFUNCTION("IFERROR(VLOOKUP(F567,IMPORTRANGE(""https://docs.google.com/spreadsheets/d/1Kvs4KS76FHFqLFIZfrDMff4kP08nblUkihrxltoGBjg/edit#gid=934712705"",""ESENCIAL!A6:BG""),5,FALSE))"),"")</f>
        <v/>
      </c>
      <c r="BG553" s="98" t="str">
        <f t="shared" si="21"/>
        <v/>
      </c>
      <c r="BH553" s="99" t="str">
        <f t="shared" si="22"/>
        <v/>
      </c>
      <c r="BI553" s="100" t="str">
        <f ca="1">IFERROR(__xludf.DUMMYFUNCTION("IFERROR(VLOOKUP(F567,IMPORTRANGE(""https://docs.google.com/spreadsheets/d/1Kvs4KS76FHFqLFIZfrDMff4kP08nblUkihrxltoGBjg/edit#gid=934712705"",""ESENCIAL!A6:BG""),2,FALSE))"),"")</f>
        <v/>
      </c>
      <c r="BJ553" s="19" t="str">
        <f t="shared" si="23"/>
        <v/>
      </c>
      <c r="BK553" s="100"/>
      <c r="BL553" s="100"/>
    </row>
    <row r="554" spans="1:64" ht="15">
      <c r="A554" s="5"/>
      <c r="B554" s="5"/>
      <c r="G554" s="5" t="str">
        <f ca="1">IFERROR(__xludf.DUMMYFUNCTION("IFERROR(VLOOKUP(F568,IMPORTRANGE(""https://docs.google.com/spreadsheets/d/1Kvs4KS76FHFqLFIZfrDMff4kP08nblUkihrxltoGBjg/edit#gid=934712705"",""ESENCIAL!A6:BG""),3,FALSE))"),"")</f>
        <v/>
      </c>
      <c r="H554" s="5" t="str">
        <f ca="1">IFERROR(__xludf.DUMMYFUNCTION("IFERROR(VLOOKUP(F568,IMPORTRANGE(""https://docs.google.com/spreadsheets/d/1Kvs4KS76FHFqLFIZfrDMff4kP08nblUkihrxltoGBjg/edit#gid=934712705"",""ESENCIAL!A6:BG""),8,FALSE))"),"")</f>
        <v/>
      </c>
      <c r="L554" s="287"/>
      <c r="U554" s="40"/>
      <c r="AU554" s="41" t="str">
        <f t="shared" si="20"/>
        <v/>
      </c>
      <c r="AV554" s="5" t="str">
        <f ca="1">IFERROR(__xludf.DUMMYFUNCTION("IFERROR(VLOOKUP(E568&amp;F568,IMPORTRANGE(""https://docs.google.com/spreadsheets/d/1Uw7-A9f9R21vMXxHZFNpYNeKFtG8_yji4HS352LGlSQ/edit?pli=1#gid=0"",""1_ACUM!A4:S""),11,FALSE))"),"")</f>
        <v/>
      </c>
      <c r="AW554" s="42" t="str">
        <f ca="1">IFERROR(__xludf.DUMMYFUNCTION("IFERROR(VLOOKUP(F568,IMPORTRANGE(""https://docs.google.com/spreadsheets/d/1Kvs4KS76FHFqLFIZfrDMff4kP08nblUkihrxltoGBjg/edit#gid=934712705"",""ESENCIAL!A6:BG""),15,FALSE))"),"")</f>
        <v/>
      </c>
      <c r="AX554" s="21" t="str">
        <f ca="1">IFERROR(__xludf.DUMMYFUNCTION("IFERROR(VLOOKUP(E568&amp;F568,IMPORTRANGE(""https://docs.google.com/spreadsheets/d/1Uw7-A9f9R21vMXxHZFNpYNeKFtG8_yji4HS352LGlSQ/edit?pli=1#gid=0"",""1_ACUM!A4:S""),12,FALSE))"),"")</f>
        <v/>
      </c>
      <c r="AY554" s="43" t="str">
        <f ca="1">IFERROR(__xludf.DUMMYFUNCTION("IFERROR(VLOOKUP(E568&amp;F568,IMPORTRANGE(""https://docs.google.com/spreadsheets/d/1Uw7-A9f9R21vMXxHZFNpYNeKFtG8_yji4HS352LGlSQ/edit?pli=1#gid=0"",""1_ACUM!A4:S""),13,FALSE))"),"")</f>
        <v/>
      </c>
      <c r="AZ554" s="43" t="str">
        <f ca="1">IFERROR(__xludf.DUMMYFUNCTION("IFERROR(VLOOKUP(E568&amp;F568,IMPORTRANGE(""https://docs.google.com/spreadsheets/d/1Uw7-A9f9R21vMXxHZFNpYNeKFtG8_yji4HS352LGlSQ/edit?pli=1#gid=0"",""1_ACUM!A4:S""),14,FALSE))"),"")</f>
        <v/>
      </c>
      <c r="BA554" s="43" t="str">
        <f ca="1">IFERROR(__xludf.DUMMYFUNCTION("IFERROR(VLOOKUP(E568&amp;F568,IMPORTRANGE(""https://docs.google.com/spreadsheets/d/1Uw7-A9f9R21vMXxHZFNpYNeKFtG8_yji4HS352LGlSQ/edit?pli=1#gid=0"",""1_ACUM!A4:S""),15,FALSE))"),"")</f>
        <v/>
      </c>
      <c r="BB554" s="43" t="str">
        <f ca="1">IFERROR(__xludf.DUMMYFUNCTION("IFERROR(VLOOKUP(E568&amp;F568,IMPORTRANGE(""https://docs.google.com/spreadsheets/d/1Uw7-A9f9R21vMXxHZFNpYNeKFtG8_yji4HS352LGlSQ/edit?pli=1#gid=0"",""1_ACUM!A4:S""),16,FALSE))"),"")</f>
        <v/>
      </c>
      <c r="BC554" s="43" t="str">
        <f ca="1">IFERROR(__xludf.DUMMYFUNCTION("IFERROR(VLOOKUP(E568&amp;F568,IMPORTRANGE(""https://docs.google.com/spreadsheets/d/1Uw7-A9f9R21vMXxHZFNpYNeKFtG8_yji4HS352LGlSQ/edit?pli=1#gid=0"",""1_ACUM!A4:S""),17,FALSE))"),"")</f>
        <v/>
      </c>
      <c r="BD554" s="44" t="str">
        <f ca="1">IFERROR(__xludf.DUMMYFUNCTION("IFERROR(VLOOKUP(E568&amp;F568,IMPORTRANGE(""https://docs.google.com/spreadsheets/d/1Uw7-A9f9R21vMXxHZFNpYNeKFtG8_yji4HS352LGlSQ/edit?pli=1#gid=0"",""1_ACUM!A4:S""),18,FALSE))"),"")</f>
        <v/>
      </c>
      <c r="BE554" s="44" t="str">
        <f ca="1">IFERROR(__xludf.DUMMYFUNCTION("IFERROR(VLOOKUP(E568&amp;F568,IMPORTRANGE(""https://docs.google.com/spreadsheets/d/1Uw7-A9f9R21vMXxHZFNpYNeKFtG8_yji4HS352LGlSQ/edit?pli=1#gid=0"",""1_ACUM!A4:S""),19,FALSE))"),"")</f>
        <v/>
      </c>
      <c r="BF554" s="98" t="str">
        <f ca="1">IFERROR(__xludf.DUMMYFUNCTION("IFERROR(VLOOKUP(F568,IMPORTRANGE(""https://docs.google.com/spreadsheets/d/1Kvs4KS76FHFqLFIZfrDMff4kP08nblUkihrxltoGBjg/edit#gid=934712705"",""ESENCIAL!A6:BG""),5,FALSE))"),"")</f>
        <v/>
      </c>
      <c r="BG554" s="98" t="str">
        <f t="shared" si="21"/>
        <v/>
      </c>
      <c r="BH554" s="99" t="str">
        <f t="shared" si="22"/>
        <v/>
      </c>
      <c r="BI554" s="100" t="str">
        <f ca="1">IFERROR(__xludf.DUMMYFUNCTION("IFERROR(VLOOKUP(F568,IMPORTRANGE(""https://docs.google.com/spreadsheets/d/1Kvs4KS76FHFqLFIZfrDMff4kP08nblUkihrxltoGBjg/edit#gid=934712705"",""ESENCIAL!A6:BG""),2,FALSE))"),"")</f>
        <v/>
      </c>
      <c r="BJ554" s="19" t="str">
        <f t="shared" si="23"/>
        <v/>
      </c>
      <c r="BK554" s="100"/>
      <c r="BL554" s="100"/>
    </row>
    <row r="555" spans="1:64" ht="15">
      <c r="A555" s="5"/>
      <c r="B555" s="5"/>
      <c r="G555" s="5" t="str">
        <f ca="1">IFERROR(__xludf.DUMMYFUNCTION("IFERROR(VLOOKUP(F569,IMPORTRANGE(""https://docs.google.com/spreadsheets/d/1Kvs4KS76FHFqLFIZfrDMff4kP08nblUkihrxltoGBjg/edit#gid=934712705"",""ESENCIAL!A6:BG""),3,FALSE))"),"")</f>
        <v/>
      </c>
      <c r="H555" s="5" t="str">
        <f ca="1">IFERROR(__xludf.DUMMYFUNCTION("IFERROR(VLOOKUP(F569,IMPORTRANGE(""https://docs.google.com/spreadsheets/d/1Kvs4KS76FHFqLFIZfrDMff4kP08nblUkihrxltoGBjg/edit#gid=934712705"",""ESENCIAL!A6:BG""),8,FALSE))"),"")</f>
        <v/>
      </c>
      <c r="L555" s="287"/>
      <c r="U555" s="40"/>
      <c r="AU555" s="41" t="str">
        <f t="shared" si="20"/>
        <v/>
      </c>
      <c r="AV555" s="5" t="str">
        <f ca="1">IFERROR(__xludf.DUMMYFUNCTION("IFERROR(VLOOKUP(E569&amp;F569,IMPORTRANGE(""https://docs.google.com/spreadsheets/d/1Uw7-A9f9R21vMXxHZFNpYNeKFtG8_yji4HS352LGlSQ/edit?pli=1#gid=0"",""1_ACUM!A4:S""),11,FALSE))"),"")</f>
        <v/>
      </c>
      <c r="AW555" s="42" t="str">
        <f ca="1">IFERROR(__xludf.DUMMYFUNCTION("IFERROR(VLOOKUP(F569,IMPORTRANGE(""https://docs.google.com/spreadsheets/d/1Kvs4KS76FHFqLFIZfrDMff4kP08nblUkihrxltoGBjg/edit#gid=934712705"",""ESENCIAL!A6:BG""),15,FALSE))"),"")</f>
        <v/>
      </c>
      <c r="AX555" s="21" t="str">
        <f ca="1">IFERROR(__xludf.DUMMYFUNCTION("IFERROR(VLOOKUP(E569&amp;F569,IMPORTRANGE(""https://docs.google.com/spreadsheets/d/1Uw7-A9f9R21vMXxHZFNpYNeKFtG8_yji4HS352LGlSQ/edit?pli=1#gid=0"",""1_ACUM!A4:S""),12,FALSE))"),"")</f>
        <v/>
      </c>
      <c r="AY555" s="43" t="str">
        <f ca="1">IFERROR(__xludf.DUMMYFUNCTION("IFERROR(VLOOKUP(E569&amp;F569,IMPORTRANGE(""https://docs.google.com/spreadsheets/d/1Uw7-A9f9R21vMXxHZFNpYNeKFtG8_yji4HS352LGlSQ/edit?pli=1#gid=0"",""1_ACUM!A4:S""),13,FALSE))"),"")</f>
        <v/>
      </c>
      <c r="AZ555" s="43" t="str">
        <f ca="1">IFERROR(__xludf.DUMMYFUNCTION("IFERROR(VLOOKUP(E569&amp;F569,IMPORTRANGE(""https://docs.google.com/spreadsheets/d/1Uw7-A9f9R21vMXxHZFNpYNeKFtG8_yji4HS352LGlSQ/edit?pli=1#gid=0"",""1_ACUM!A4:S""),14,FALSE))"),"")</f>
        <v/>
      </c>
      <c r="BA555" s="43" t="str">
        <f ca="1">IFERROR(__xludf.DUMMYFUNCTION("IFERROR(VLOOKUP(E569&amp;F569,IMPORTRANGE(""https://docs.google.com/spreadsheets/d/1Uw7-A9f9R21vMXxHZFNpYNeKFtG8_yji4HS352LGlSQ/edit?pli=1#gid=0"",""1_ACUM!A4:S""),15,FALSE))"),"")</f>
        <v/>
      </c>
      <c r="BB555" s="43" t="str">
        <f ca="1">IFERROR(__xludf.DUMMYFUNCTION("IFERROR(VLOOKUP(E569&amp;F569,IMPORTRANGE(""https://docs.google.com/spreadsheets/d/1Uw7-A9f9R21vMXxHZFNpYNeKFtG8_yji4HS352LGlSQ/edit?pli=1#gid=0"",""1_ACUM!A4:S""),16,FALSE))"),"")</f>
        <v/>
      </c>
      <c r="BC555" s="43" t="str">
        <f ca="1">IFERROR(__xludf.DUMMYFUNCTION("IFERROR(VLOOKUP(E569&amp;F569,IMPORTRANGE(""https://docs.google.com/spreadsheets/d/1Uw7-A9f9R21vMXxHZFNpYNeKFtG8_yji4HS352LGlSQ/edit?pli=1#gid=0"",""1_ACUM!A4:S""),17,FALSE))"),"")</f>
        <v/>
      </c>
      <c r="BD555" s="44" t="str">
        <f ca="1">IFERROR(__xludf.DUMMYFUNCTION("IFERROR(VLOOKUP(E569&amp;F569,IMPORTRANGE(""https://docs.google.com/spreadsheets/d/1Uw7-A9f9R21vMXxHZFNpYNeKFtG8_yji4HS352LGlSQ/edit?pli=1#gid=0"",""1_ACUM!A4:S""),18,FALSE))"),"")</f>
        <v/>
      </c>
      <c r="BE555" s="44" t="str">
        <f ca="1">IFERROR(__xludf.DUMMYFUNCTION("IFERROR(VLOOKUP(E569&amp;F569,IMPORTRANGE(""https://docs.google.com/spreadsheets/d/1Uw7-A9f9R21vMXxHZFNpYNeKFtG8_yji4HS352LGlSQ/edit?pli=1#gid=0"",""1_ACUM!A4:S""),19,FALSE))"),"")</f>
        <v/>
      </c>
      <c r="BF555" s="98" t="str">
        <f ca="1">IFERROR(__xludf.DUMMYFUNCTION("IFERROR(VLOOKUP(F569,IMPORTRANGE(""https://docs.google.com/spreadsheets/d/1Kvs4KS76FHFqLFIZfrDMff4kP08nblUkihrxltoGBjg/edit#gid=934712705"",""ESENCIAL!A6:BG""),5,FALSE))"),"")</f>
        <v/>
      </c>
      <c r="BG555" s="98" t="str">
        <f t="shared" si="21"/>
        <v/>
      </c>
      <c r="BH555" s="99" t="str">
        <f t="shared" si="22"/>
        <v/>
      </c>
      <c r="BI555" s="100" t="str">
        <f ca="1">IFERROR(__xludf.DUMMYFUNCTION("IFERROR(VLOOKUP(F569,IMPORTRANGE(""https://docs.google.com/spreadsheets/d/1Kvs4KS76FHFqLFIZfrDMff4kP08nblUkihrxltoGBjg/edit#gid=934712705"",""ESENCIAL!A6:BG""),2,FALSE))"),"")</f>
        <v/>
      </c>
      <c r="BJ555" s="19" t="str">
        <f t="shared" si="23"/>
        <v/>
      </c>
      <c r="BK555" s="100"/>
      <c r="BL555" s="100"/>
    </row>
    <row r="556" spans="1:64" ht="15">
      <c r="A556" s="5"/>
      <c r="B556" s="5"/>
      <c r="G556" s="5" t="str">
        <f ca="1">IFERROR(__xludf.DUMMYFUNCTION("IFERROR(VLOOKUP(F570,IMPORTRANGE(""https://docs.google.com/spreadsheets/d/1Kvs4KS76FHFqLFIZfrDMff4kP08nblUkihrxltoGBjg/edit#gid=934712705"",""ESENCIAL!A6:BG""),3,FALSE))"),"")</f>
        <v/>
      </c>
      <c r="H556" s="5" t="str">
        <f ca="1">IFERROR(__xludf.DUMMYFUNCTION("IFERROR(VLOOKUP(F570,IMPORTRANGE(""https://docs.google.com/spreadsheets/d/1Kvs4KS76FHFqLFIZfrDMff4kP08nblUkihrxltoGBjg/edit#gid=934712705"",""ESENCIAL!A6:BG""),8,FALSE))"),"")</f>
        <v/>
      </c>
      <c r="L556" s="287"/>
      <c r="U556" s="40"/>
      <c r="AU556" s="41" t="str">
        <f t="shared" si="20"/>
        <v/>
      </c>
      <c r="AV556" s="5" t="str">
        <f ca="1">IFERROR(__xludf.DUMMYFUNCTION("IFERROR(VLOOKUP(E570&amp;F570,IMPORTRANGE(""https://docs.google.com/spreadsheets/d/1Uw7-A9f9R21vMXxHZFNpYNeKFtG8_yji4HS352LGlSQ/edit?pli=1#gid=0"",""1_ACUM!A4:S""),11,FALSE))"),"")</f>
        <v/>
      </c>
      <c r="AW556" s="42" t="str">
        <f ca="1">IFERROR(__xludf.DUMMYFUNCTION("IFERROR(VLOOKUP(F570,IMPORTRANGE(""https://docs.google.com/spreadsheets/d/1Kvs4KS76FHFqLFIZfrDMff4kP08nblUkihrxltoGBjg/edit#gid=934712705"",""ESENCIAL!A6:BG""),15,FALSE))"),"")</f>
        <v/>
      </c>
      <c r="AX556" s="21" t="str">
        <f ca="1">IFERROR(__xludf.DUMMYFUNCTION("IFERROR(VLOOKUP(E570&amp;F570,IMPORTRANGE(""https://docs.google.com/spreadsheets/d/1Uw7-A9f9R21vMXxHZFNpYNeKFtG8_yji4HS352LGlSQ/edit?pli=1#gid=0"",""1_ACUM!A4:S""),12,FALSE))"),"")</f>
        <v/>
      </c>
      <c r="AY556" s="43" t="str">
        <f ca="1">IFERROR(__xludf.DUMMYFUNCTION("IFERROR(VLOOKUP(E570&amp;F570,IMPORTRANGE(""https://docs.google.com/spreadsheets/d/1Uw7-A9f9R21vMXxHZFNpYNeKFtG8_yji4HS352LGlSQ/edit?pli=1#gid=0"",""1_ACUM!A4:S""),13,FALSE))"),"")</f>
        <v/>
      </c>
      <c r="AZ556" s="43" t="str">
        <f ca="1">IFERROR(__xludf.DUMMYFUNCTION("IFERROR(VLOOKUP(E570&amp;F570,IMPORTRANGE(""https://docs.google.com/spreadsheets/d/1Uw7-A9f9R21vMXxHZFNpYNeKFtG8_yji4HS352LGlSQ/edit?pli=1#gid=0"",""1_ACUM!A4:S""),14,FALSE))"),"")</f>
        <v/>
      </c>
      <c r="BA556" s="43" t="str">
        <f ca="1">IFERROR(__xludf.DUMMYFUNCTION("IFERROR(VLOOKUP(E570&amp;F570,IMPORTRANGE(""https://docs.google.com/spreadsheets/d/1Uw7-A9f9R21vMXxHZFNpYNeKFtG8_yji4HS352LGlSQ/edit?pli=1#gid=0"",""1_ACUM!A4:S""),15,FALSE))"),"")</f>
        <v/>
      </c>
      <c r="BB556" s="43" t="str">
        <f ca="1">IFERROR(__xludf.DUMMYFUNCTION("IFERROR(VLOOKUP(E570&amp;F570,IMPORTRANGE(""https://docs.google.com/spreadsheets/d/1Uw7-A9f9R21vMXxHZFNpYNeKFtG8_yji4HS352LGlSQ/edit?pli=1#gid=0"",""1_ACUM!A4:S""),16,FALSE))"),"")</f>
        <v/>
      </c>
      <c r="BC556" s="43" t="str">
        <f ca="1">IFERROR(__xludf.DUMMYFUNCTION("IFERROR(VLOOKUP(E570&amp;F570,IMPORTRANGE(""https://docs.google.com/spreadsheets/d/1Uw7-A9f9R21vMXxHZFNpYNeKFtG8_yji4HS352LGlSQ/edit?pli=1#gid=0"",""1_ACUM!A4:S""),17,FALSE))"),"")</f>
        <v/>
      </c>
      <c r="BD556" s="44" t="str">
        <f ca="1">IFERROR(__xludf.DUMMYFUNCTION("IFERROR(VLOOKUP(E570&amp;F570,IMPORTRANGE(""https://docs.google.com/spreadsheets/d/1Uw7-A9f9R21vMXxHZFNpYNeKFtG8_yji4HS352LGlSQ/edit?pli=1#gid=0"",""1_ACUM!A4:S""),18,FALSE))"),"")</f>
        <v/>
      </c>
      <c r="BE556" s="44" t="str">
        <f ca="1">IFERROR(__xludf.DUMMYFUNCTION("IFERROR(VLOOKUP(E570&amp;F570,IMPORTRANGE(""https://docs.google.com/spreadsheets/d/1Uw7-A9f9R21vMXxHZFNpYNeKFtG8_yji4HS352LGlSQ/edit?pli=1#gid=0"",""1_ACUM!A4:S""),19,FALSE))"),"")</f>
        <v/>
      </c>
      <c r="BF556" s="98" t="str">
        <f ca="1">IFERROR(__xludf.DUMMYFUNCTION("IFERROR(VLOOKUP(F570,IMPORTRANGE(""https://docs.google.com/spreadsheets/d/1Kvs4KS76FHFqLFIZfrDMff4kP08nblUkihrxltoGBjg/edit#gid=934712705"",""ESENCIAL!A6:BG""),5,FALSE))"),"")</f>
        <v/>
      </c>
      <c r="BG556" s="98" t="str">
        <f t="shared" si="21"/>
        <v/>
      </c>
      <c r="BH556" s="99" t="str">
        <f t="shared" si="22"/>
        <v/>
      </c>
      <c r="BI556" s="100" t="str">
        <f ca="1">IFERROR(__xludf.DUMMYFUNCTION("IFERROR(VLOOKUP(F570,IMPORTRANGE(""https://docs.google.com/spreadsheets/d/1Kvs4KS76FHFqLFIZfrDMff4kP08nblUkihrxltoGBjg/edit#gid=934712705"",""ESENCIAL!A6:BG""),2,FALSE))"),"")</f>
        <v/>
      </c>
      <c r="BJ556" s="19" t="str">
        <f t="shared" si="23"/>
        <v/>
      </c>
      <c r="BK556" s="100"/>
      <c r="BL556" s="100"/>
    </row>
    <row r="557" spans="1:64" ht="15">
      <c r="A557" s="5"/>
      <c r="B557" s="5"/>
      <c r="G557" s="5" t="str">
        <f ca="1">IFERROR(__xludf.DUMMYFUNCTION("IFERROR(VLOOKUP(F571,IMPORTRANGE(""https://docs.google.com/spreadsheets/d/1Kvs4KS76FHFqLFIZfrDMff4kP08nblUkihrxltoGBjg/edit#gid=934712705"",""ESENCIAL!A6:BG""),3,FALSE))"),"")</f>
        <v/>
      </c>
      <c r="H557" s="5" t="str">
        <f ca="1">IFERROR(__xludf.DUMMYFUNCTION("IFERROR(VLOOKUP(F571,IMPORTRANGE(""https://docs.google.com/spreadsheets/d/1Kvs4KS76FHFqLFIZfrDMff4kP08nblUkihrxltoGBjg/edit#gid=934712705"",""ESENCIAL!A6:BG""),8,FALSE))"),"")</f>
        <v/>
      </c>
      <c r="L557" s="287"/>
      <c r="U557" s="40"/>
      <c r="AU557" s="41" t="str">
        <f t="shared" si="20"/>
        <v/>
      </c>
      <c r="AV557" s="5" t="str">
        <f ca="1">IFERROR(__xludf.DUMMYFUNCTION("IFERROR(VLOOKUP(E571&amp;F571,IMPORTRANGE(""https://docs.google.com/spreadsheets/d/1Uw7-A9f9R21vMXxHZFNpYNeKFtG8_yji4HS352LGlSQ/edit?pli=1#gid=0"",""1_ACUM!A4:S""),11,FALSE))"),"")</f>
        <v/>
      </c>
      <c r="AW557" s="42" t="str">
        <f ca="1">IFERROR(__xludf.DUMMYFUNCTION("IFERROR(VLOOKUP(F571,IMPORTRANGE(""https://docs.google.com/spreadsheets/d/1Kvs4KS76FHFqLFIZfrDMff4kP08nblUkihrxltoGBjg/edit#gid=934712705"",""ESENCIAL!A6:BG""),15,FALSE))"),"")</f>
        <v/>
      </c>
      <c r="AX557" s="21" t="str">
        <f ca="1">IFERROR(__xludf.DUMMYFUNCTION("IFERROR(VLOOKUP(E571&amp;F571,IMPORTRANGE(""https://docs.google.com/spreadsheets/d/1Uw7-A9f9R21vMXxHZFNpYNeKFtG8_yji4HS352LGlSQ/edit?pli=1#gid=0"",""1_ACUM!A4:S""),12,FALSE))"),"")</f>
        <v/>
      </c>
      <c r="AY557" s="43" t="str">
        <f ca="1">IFERROR(__xludf.DUMMYFUNCTION("IFERROR(VLOOKUP(E571&amp;F571,IMPORTRANGE(""https://docs.google.com/spreadsheets/d/1Uw7-A9f9R21vMXxHZFNpYNeKFtG8_yji4HS352LGlSQ/edit?pli=1#gid=0"",""1_ACUM!A4:S""),13,FALSE))"),"")</f>
        <v/>
      </c>
      <c r="AZ557" s="43" t="str">
        <f ca="1">IFERROR(__xludf.DUMMYFUNCTION("IFERROR(VLOOKUP(E571&amp;F571,IMPORTRANGE(""https://docs.google.com/spreadsheets/d/1Uw7-A9f9R21vMXxHZFNpYNeKFtG8_yji4HS352LGlSQ/edit?pli=1#gid=0"",""1_ACUM!A4:S""),14,FALSE))"),"")</f>
        <v/>
      </c>
      <c r="BA557" s="43" t="str">
        <f ca="1">IFERROR(__xludf.DUMMYFUNCTION("IFERROR(VLOOKUP(E571&amp;F571,IMPORTRANGE(""https://docs.google.com/spreadsheets/d/1Uw7-A9f9R21vMXxHZFNpYNeKFtG8_yji4HS352LGlSQ/edit?pli=1#gid=0"",""1_ACUM!A4:S""),15,FALSE))"),"")</f>
        <v/>
      </c>
      <c r="BB557" s="43" t="str">
        <f ca="1">IFERROR(__xludf.DUMMYFUNCTION("IFERROR(VLOOKUP(E571&amp;F571,IMPORTRANGE(""https://docs.google.com/spreadsheets/d/1Uw7-A9f9R21vMXxHZFNpYNeKFtG8_yji4HS352LGlSQ/edit?pli=1#gid=0"",""1_ACUM!A4:S""),16,FALSE))"),"")</f>
        <v/>
      </c>
      <c r="BC557" s="43" t="str">
        <f ca="1">IFERROR(__xludf.DUMMYFUNCTION("IFERROR(VLOOKUP(E571&amp;F571,IMPORTRANGE(""https://docs.google.com/spreadsheets/d/1Uw7-A9f9R21vMXxHZFNpYNeKFtG8_yji4HS352LGlSQ/edit?pli=1#gid=0"",""1_ACUM!A4:S""),17,FALSE))"),"")</f>
        <v/>
      </c>
      <c r="BD557" s="44" t="str">
        <f ca="1">IFERROR(__xludf.DUMMYFUNCTION("IFERROR(VLOOKUP(E571&amp;F571,IMPORTRANGE(""https://docs.google.com/spreadsheets/d/1Uw7-A9f9R21vMXxHZFNpYNeKFtG8_yji4HS352LGlSQ/edit?pli=1#gid=0"",""1_ACUM!A4:S""),18,FALSE))"),"")</f>
        <v/>
      </c>
      <c r="BE557" s="44" t="str">
        <f ca="1">IFERROR(__xludf.DUMMYFUNCTION("IFERROR(VLOOKUP(E571&amp;F571,IMPORTRANGE(""https://docs.google.com/spreadsheets/d/1Uw7-A9f9R21vMXxHZFNpYNeKFtG8_yji4HS352LGlSQ/edit?pli=1#gid=0"",""1_ACUM!A4:S""),19,FALSE))"),"")</f>
        <v/>
      </c>
      <c r="BF557" s="98" t="str">
        <f ca="1">IFERROR(__xludf.DUMMYFUNCTION("IFERROR(VLOOKUP(F571,IMPORTRANGE(""https://docs.google.com/spreadsheets/d/1Kvs4KS76FHFqLFIZfrDMff4kP08nblUkihrxltoGBjg/edit#gid=934712705"",""ESENCIAL!A6:BG""),5,FALSE))"),"")</f>
        <v/>
      </c>
      <c r="BG557" s="98" t="str">
        <f t="shared" si="21"/>
        <v/>
      </c>
      <c r="BH557" s="99" t="str">
        <f t="shared" si="22"/>
        <v/>
      </c>
      <c r="BI557" s="100" t="str">
        <f ca="1">IFERROR(__xludf.DUMMYFUNCTION("IFERROR(VLOOKUP(F571,IMPORTRANGE(""https://docs.google.com/spreadsheets/d/1Kvs4KS76FHFqLFIZfrDMff4kP08nblUkihrxltoGBjg/edit#gid=934712705"",""ESENCIAL!A6:BG""),2,FALSE))"),"")</f>
        <v/>
      </c>
      <c r="BJ557" s="19" t="str">
        <f t="shared" si="23"/>
        <v/>
      </c>
      <c r="BK557" s="100"/>
      <c r="BL557" s="100"/>
    </row>
    <row r="558" spans="1:64" ht="15">
      <c r="A558" s="5"/>
      <c r="B558" s="5"/>
      <c r="G558" s="5" t="str">
        <f ca="1">IFERROR(__xludf.DUMMYFUNCTION("IFERROR(VLOOKUP(F572,IMPORTRANGE(""https://docs.google.com/spreadsheets/d/1Kvs4KS76FHFqLFIZfrDMff4kP08nblUkihrxltoGBjg/edit#gid=934712705"",""ESENCIAL!A6:BG""),3,FALSE))"),"")</f>
        <v/>
      </c>
      <c r="H558" s="5" t="str">
        <f ca="1">IFERROR(__xludf.DUMMYFUNCTION("IFERROR(VLOOKUP(F572,IMPORTRANGE(""https://docs.google.com/spreadsheets/d/1Kvs4KS76FHFqLFIZfrDMff4kP08nblUkihrxltoGBjg/edit#gid=934712705"",""ESENCIAL!A6:BG""),8,FALSE))"),"")</f>
        <v/>
      </c>
      <c r="L558" s="287"/>
      <c r="U558" s="40"/>
      <c r="AU558" s="41" t="str">
        <f t="shared" si="20"/>
        <v/>
      </c>
      <c r="AV558" s="5" t="str">
        <f ca="1">IFERROR(__xludf.DUMMYFUNCTION("IFERROR(VLOOKUP(E572&amp;F572,IMPORTRANGE(""https://docs.google.com/spreadsheets/d/1Uw7-A9f9R21vMXxHZFNpYNeKFtG8_yji4HS352LGlSQ/edit?pli=1#gid=0"",""1_ACUM!A4:S""),11,FALSE))"),"")</f>
        <v/>
      </c>
      <c r="AW558" s="42" t="str">
        <f ca="1">IFERROR(__xludf.DUMMYFUNCTION("IFERROR(VLOOKUP(F572,IMPORTRANGE(""https://docs.google.com/spreadsheets/d/1Kvs4KS76FHFqLFIZfrDMff4kP08nblUkihrxltoGBjg/edit#gid=934712705"",""ESENCIAL!A6:BG""),15,FALSE))"),"")</f>
        <v/>
      </c>
      <c r="AX558" s="21" t="str">
        <f ca="1">IFERROR(__xludf.DUMMYFUNCTION("IFERROR(VLOOKUP(E572&amp;F572,IMPORTRANGE(""https://docs.google.com/spreadsheets/d/1Uw7-A9f9R21vMXxHZFNpYNeKFtG8_yji4HS352LGlSQ/edit?pli=1#gid=0"",""1_ACUM!A4:S""),12,FALSE))"),"")</f>
        <v/>
      </c>
      <c r="AY558" s="43" t="str">
        <f ca="1">IFERROR(__xludf.DUMMYFUNCTION("IFERROR(VLOOKUP(E572&amp;F572,IMPORTRANGE(""https://docs.google.com/spreadsheets/d/1Uw7-A9f9R21vMXxHZFNpYNeKFtG8_yji4HS352LGlSQ/edit?pli=1#gid=0"",""1_ACUM!A4:S""),13,FALSE))"),"")</f>
        <v/>
      </c>
      <c r="AZ558" s="43" t="str">
        <f ca="1">IFERROR(__xludf.DUMMYFUNCTION("IFERROR(VLOOKUP(E572&amp;F572,IMPORTRANGE(""https://docs.google.com/spreadsheets/d/1Uw7-A9f9R21vMXxHZFNpYNeKFtG8_yji4HS352LGlSQ/edit?pli=1#gid=0"",""1_ACUM!A4:S""),14,FALSE))"),"")</f>
        <v/>
      </c>
      <c r="BA558" s="43" t="str">
        <f ca="1">IFERROR(__xludf.DUMMYFUNCTION("IFERROR(VLOOKUP(E572&amp;F572,IMPORTRANGE(""https://docs.google.com/spreadsheets/d/1Uw7-A9f9R21vMXxHZFNpYNeKFtG8_yji4HS352LGlSQ/edit?pli=1#gid=0"",""1_ACUM!A4:S""),15,FALSE))"),"")</f>
        <v/>
      </c>
      <c r="BB558" s="43" t="str">
        <f ca="1">IFERROR(__xludf.DUMMYFUNCTION("IFERROR(VLOOKUP(E572&amp;F572,IMPORTRANGE(""https://docs.google.com/spreadsheets/d/1Uw7-A9f9R21vMXxHZFNpYNeKFtG8_yji4HS352LGlSQ/edit?pli=1#gid=0"",""1_ACUM!A4:S""),16,FALSE))"),"")</f>
        <v/>
      </c>
      <c r="BC558" s="43" t="str">
        <f ca="1">IFERROR(__xludf.DUMMYFUNCTION("IFERROR(VLOOKUP(E572&amp;F572,IMPORTRANGE(""https://docs.google.com/spreadsheets/d/1Uw7-A9f9R21vMXxHZFNpYNeKFtG8_yji4HS352LGlSQ/edit?pli=1#gid=0"",""1_ACUM!A4:S""),17,FALSE))"),"")</f>
        <v/>
      </c>
      <c r="BD558" s="44" t="str">
        <f ca="1">IFERROR(__xludf.DUMMYFUNCTION("IFERROR(VLOOKUP(E572&amp;F572,IMPORTRANGE(""https://docs.google.com/spreadsheets/d/1Uw7-A9f9R21vMXxHZFNpYNeKFtG8_yji4HS352LGlSQ/edit?pli=1#gid=0"",""1_ACUM!A4:S""),18,FALSE))"),"")</f>
        <v/>
      </c>
      <c r="BE558" s="44" t="str">
        <f ca="1">IFERROR(__xludf.DUMMYFUNCTION("IFERROR(VLOOKUP(E572&amp;F572,IMPORTRANGE(""https://docs.google.com/spreadsheets/d/1Uw7-A9f9R21vMXxHZFNpYNeKFtG8_yji4HS352LGlSQ/edit?pli=1#gid=0"",""1_ACUM!A4:S""),19,FALSE))"),"")</f>
        <v/>
      </c>
      <c r="BF558" s="98" t="str">
        <f ca="1">IFERROR(__xludf.DUMMYFUNCTION("IFERROR(VLOOKUP(F572,IMPORTRANGE(""https://docs.google.com/spreadsheets/d/1Kvs4KS76FHFqLFIZfrDMff4kP08nblUkihrxltoGBjg/edit#gid=934712705"",""ESENCIAL!A6:BG""),5,FALSE))"),"")</f>
        <v/>
      </c>
      <c r="BG558" s="98" t="str">
        <f t="shared" si="21"/>
        <v/>
      </c>
      <c r="BH558" s="99" t="str">
        <f t="shared" si="22"/>
        <v/>
      </c>
      <c r="BI558" s="100" t="str">
        <f ca="1">IFERROR(__xludf.DUMMYFUNCTION("IFERROR(VLOOKUP(F572,IMPORTRANGE(""https://docs.google.com/spreadsheets/d/1Kvs4KS76FHFqLFIZfrDMff4kP08nblUkihrxltoGBjg/edit#gid=934712705"",""ESENCIAL!A6:BG""),2,FALSE))"),"")</f>
        <v/>
      </c>
      <c r="BJ558" s="19" t="str">
        <f t="shared" si="23"/>
        <v/>
      </c>
      <c r="BK558" s="100"/>
      <c r="BL558" s="100"/>
    </row>
    <row r="559" spans="1:64" ht="15">
      <c r="A559" s="5"/>
      <c r="B559" s="5"/>
      <c r="G559" s="5" t="str">
        <f ca="1">IFERROR(__xludf.DUMMYFUNCTION("IFERROR(VLOOKUP(F573,IMPORTRANGE(""https://docs.google.com/spreadsheets/d/1Kvs4KS76FHFqLFIZfrDMff4kP08nblUkihrxltoGBjg/edit#gid=934712705"",""ESENCIAL!A6:BG""),3,FALSE))"),"")</f>
        <v/>
      </c>
      <c r="H559" s="5" t="str">
        <f ca="1">IFERROR(__xludf.DUMMYFUNCTION("IFERROR(VLOOKUP(F573,IMPORTRANGE(""https://docs.google.com/spreadsheets/d/1Kvs4KS76FHFqLFIZfrDMff4kP08nblUkihrxltoGBjg/edit#gid=934712705"",""ESENCIAL!A6:BG""),8,FALSE))"),"")</f>
        <v/>
      </c>
      <c r="L559" s="287"/>
      <c r="U559" s="40"/>
      <c r="AU559" s="41" t="str">
        <f t="shared" si="20"/>
        <v/>
      </c>
      <c r="AV559" s="5" t="str">
        <f ca="1">IFERROR(__xludf.DUMMYFUNCTION("IFERROR(VLOOKUP(E573&amp;F573,IMPORTRANGE(""https://docs.google.com/spreadsheets/d/1Uw7-A9f9R21vMXxHZFNpYNeKFtG8_yji4HS352LGlSQ/edit?pli=1#gid=0"",""1_ACUM!A4:S""),11,FALSE))"),"")</f>
        <v/>
      </c>
      <c r="AW559" s="42" t="str">
        <f ca="1">IFERROR(__xludf.DUMMYFUNCTION("IFERROR(VLOOKUP(F573,IMPORTRANGE(""https://docs.google.com/spreadsheets/d/1Kvs4KS76FHFqLFIZfrDMff4kP08nblUkihrxltoGBjg/edit#gid=934712705"",""ESENCIAL!A6:BG""),15,FALSE))"),"")</f>
        <v/>
      </c>
      <c r="AX559" s="21" t="str">
        <f ca="1">IFERROR(__xludf.DUMMYFUNCTION("IFERROR(VLOOKUP(E573&amp;F573,IMPORTRANGE(""https://docs.google.com/spreadsheets/d/1Uw7-A9f9R21vMXxHZFNpYNeKFtG8_yji4HS352LGlSQ/edit?pli=1#gid=0"",""1_ACUM!A4:S""),12,FALSE))"),"")</f>
        <v/>
      </c>
      <c r="AY559" s="43" t="str">
        <f ca="1">IFERROR(__xludf.DUMMYFUNCTION("IFERROR(VLOOKUP(E573&amp;F573,IMPORTRANGE(""https://docs.google.com/spreadsheets/d/1Uw7-A9f9R21vMXxHZFNpYNeKFtG8_yji4HS352LGlSQ/edit?pli=1#gid=0"",""1_ACUM!A4:S""),13,FALSE))"),"")</f>
        <v/>
      </c>
      <c r="AZ559" s="43" t="str">
        <f ca="1">IFERROR(__xludf.DUMMYFUNCTION("IFERROR(VLOOKUP(E573&amp;F573,IMPORTRANGE(""https://docs.google.com/spreadsheets/d/1Uw7-A9f9R21vMXxHZFNpYNeKFtG8_yji4HS352LGlSQ/edit?pli=1#gid=0"",""1_ACUM!A4:S""),14,FALSE))"),"")</f>
        <v/>
      </c>
      <c r="BA559" s="43" t="str">
        <f ca="1">IFERROR(__xludf.DUMMYFUNCTION("IFERROR(VLOOKUP(E573&amp;F573,IMPORTRANGE(""https://docs.google.com/spreadsheets/d/1Uw7-A9f9R21vMXxHZFNpYNeKFtG8_yji4HS352LGlSQ/edit?pli=1#gid=0"",""1_ACUM!A4:S""),15,FALSE))"),"")</f>
        <v/>
      </c>
      <c r="BB559" s="43" t="str">
        <f ca="1">IFERROR(__xludf.DUMMYFUNCTION("IFERROR(VLOOKUP(E573&amp;F573,IMPORTRANGE(""https://docs.google.com/spreadsheets/d/1Uw7-A9f9R21vMXxHZFNpYNeKFtG8_yji4HS352LGlSQ/edit?pli=1#gid=0"",""1_ACUM!A4:S""),16,FALSE))"),"")</f>
        <v/>
      </c>
      <c r="BC559" s="43" t="str">
        <f ca="1">IFERROR(__xludf.DUMMYFUNCTION("IFERROR(VLOOKUP(E573&amp;F573,IMPORTRANGE(""https://docs.google.com/spreadsheets/d/1Uw7-A9f9R21vMXxHZFNpYNeKFtG8_yji4HS352LGlSQ/edit?pli=1#gid=0"",""1_ACUM!A4:S""),17,FALSE))"),"")</f>
        <v/>
      </c>
      <c r="BD559" s="44" t="str">
        <f ca="1">IFERROR(__xludf.DUMMYFUNCTION("IFERROR(VLOOKUP(E573&amp;F573,IMPORTRANGE(""https://docs.google.com/spreadsheets/d/1Uw7-A9f9R21vMXxHZFNpYNeKFtG8_yji4HS352LGlSQ/edit?pli=1#gid=0"",""1_ACUM!A4:S""),18,FALSE))"),"")</f>
        <v/>
      </c>
      <c r="BE559" s="44" t="str">
        <f ca="1">IFERROR(__xludf.DUMMYFUNCTION("IFERROR(VLOOKUP(E573&amp;F573,IMPORTRANGE(""https://docs.google.com/spreadsheets/d/1Uw7-A9f9R21vMXxHZFNpYNeKFtG8_yji4HS352LGlSQ/edit?pli=1#gid=0"",""1_ACUM!A4:S""),19,FALSE))"),"")</f>
        <v/>
      </c>
      <c r="BF559" s="98" t="str">
        <f ca="1">IFERROR(__xludf.DUMMYFUNCTION("IFERROR(VLOOKUP(F573,IMPORTRANGE(""https://docs.google.com/spreadsheets/d/1Kvs4KS76FHFqLFIZfrDMff4kP08nblUkihrxltoGBjg/edit#gid=934712705"",""ESENCIAL!A6:BG""),5,FALSE))"),"")</f>
        <v/>
      </c>
      <c r="BG559" s="98" t="str">
        <f t="shared" si="21"/>
        <v/>
      </c>
      <c r="BH559" s="99" t="str">
        <f t="shared" si="22"/>
        <v/>
      </c>
      <c r="BI559" s="100" t="str">
        <f ca="1">IFERROR(__xludf.DUMMYFUNCTION("IFERROR(VLOOKUP(F573,IMPORTRANGE(""https://docs.google.com/spreadsheets/d/1Kvs4KS76FHFqLFIZfrDMff4kP08nblUkihrxltoGBjg/edit#gid=934712705"",""ESENCIAL!A6:BG""),2,FALSE))"),"")</f>
        <v/>
      </c>
      <c r="BJ559" s="19" t="str">
        <f t="shared" si="23"/>
        <v/>
      </c>
      <c r="BK559" s="100"/>
      <c r="BL559" s="100"/>
    </row>
    <row r="560" spans="1:64" ht="15">
      <c r="A560" s="5"/>
      <c r="B560" s="5"/>
      <c r="G560" s="5" t="str">
        <f ca="1">IFERROR(__xludf.DUMMYFUNCTION("IFERROR(VLOOKUP(F574,IMPORTRANGE(""https://docs.google.com/spreadsheets/d/1Kvs4KS76FHFqLFIZfrDMff4kP08nblUkihrxltoGBjg/edit#gid=934712705"",""ESENCIAL!A6:BG""),3,FALSE))"),"")</f>
        <v/>
      </c>
      <c r="H560" s="5" t="str">
        <f ca="1">IFERROR(__xludf.DUMMYFUNCTION("IFERROR(VLOOKUP(F574,IMPORTRANGE(""https://docs.google.com/spreadsheets/d/1Kvs4KS76FHFqLFIZfrDMff4kP08nblUkihrxltoGBjg/edit#gid=934712705"",""ESENCIAL!A6:BG""),8,FALSE))"),"")</f>
        <v/>
      </c>
      <c r="L560" s="287"/>
      <c r="U560" s="40"/>
      <c r="AU560" s="41" t="str">
        <f t="shared" si="20"/>
        <v/>
      </c>
      <c r="AV560" s="5" t="str">
        <f ca="1">IFERROR(__xludf.DUMMYFUNCTION("IFERROR(VLOOKUP(E574&amp;F574,IMPORTRANGE(""https://docs.google.com/spreadsheets/d/1Uw7-A9f9R21vMXxHZFNpYNeKFtG8_yji4HS352LGlSQ/edit?pli=1#gid=0"",""1_ACUM!A4:S""),11,FALSE))"),"")</f>
        <v/>
      </c>
      <c r="AW560" s="42" t="str">
        <f ca="1">IFERROR(__xludf.DUMMYFUNCTION("IFERROR(VLOOKUP(F574,IMPORTRANGE(""https://docs.google.com/spreadsheets/d/1Kvs4KS76FHFqLFIZfrDMff4kP08nblUkihrxltoGBjg/edit#gid=934712705"",""ESENCIAL!A6:BG""),15,FALSE))"),"")</f>
        <v/>
      </c>
      <c r="AX560" s="21" t="str">
        <f ca="1">IFERROR(__xludf.DUMMYFUNCTION("IFERROR(VLOOKUP(E574&amp;F574,IMPORTRANGE(""https://docs.google.com/spreadsheets/d/1Uw7-A9f9R21vMXxHZFNpYNeKFtG8_yji4HS352LGlSQ/edit?pli=1#gid=0"",""1_ACUM!A4:S""),12,FALSE))"),"")</f>
        <v/>
      </c>
      <c r="AY560" s="43" t="str">
        <f ca="1">IFERROR(__xludf.DUMMYFUNCTION("IFERROR(VLOOKUP(E574&amp;F574,IMPORTRANGE(""https://docs.google.com/spreadsheets/d/1Uw7-A9f9R21vMXxHZFNpYNeKFtG8_yji4HS352LGlSQ/edit?pli=1#gid=0"",""1_ACUM!A4:S""),13,FALSE))"),"")</f>
        <v/>
      </c>
      <c r="AZ560" s="43" t="str">
        <f ca="1">IFERROR(__xludf.DUMMYFUNCTION("IFERROR(VLOOKUP(E574&amp;F574,IMPORTRANGE(""https://docs.google.com/spreadsheets/d/1Uw7-A9f9R21vMXxHZFNpYNeKFtG8_yji4HS352LGlSQ/edit?pli=1#gid=0"",""1_ACUM!A4:S""),14,FALSE))"),"")</f>
        <v/>
      </c>
      <c r="BA560" s="43" t="str">
        <f ca="1">IFERROR(__xludf.DUMMYFUNCTION("IFERROR(VLOOKUP(E574&amp;F574,IMPORTRANGE(""https://docs.google.com/spreadsheets/d/1Uw7-A9f9R21vMXxHZFNpYNeKFtG8_yji4HS352LGlSQ/edit?pli=1#gid=0"",""1_ACUM!A4:S""),15,FALSE))"),"")</f>
        <v/>
      </c>
      <c r="BB560" s="43" t="str">
        <f ca="1">IFERROR(__xludf.DUMMYFUNCTION("IFERROR(VLOOKUP(E574&amp;F574,IMPORTRANGE(""https://docs.google.com/spreadsheets/d/1Uw7-A9f9R21vMXxHZFNpYNeKFtG8_yji4HS352LGlSQ/edit?pli=1#gid=0"",""1_ACUM!A4:S""),16,FALSE))"),"")</f>
        <v/>
      </c>
      <c r="BC560" s="43" t="str">
        <f ca="1">IFERROR(__xludf.DUMMYFUNCTION("IFERROR(VLOOKUP(E574&amp;F574,IMPORTRANGE(""https://docs.google.com/spreadsheets/d/1Uw7-A9f9R21vMXxHZFNpYNeKFtG8_yji4HS352LGlSQ/edit?pli=1#gid=0"",""1_ACUM!A4:S""),17,FALSE))"),"")</f>
        <v/>
      </c>
      <c r="BD560" s="44" t="str">
        <f ca="1">IFERROR(__xludf.DUMMYFUNCTION("IFERROR(VLOOKUP(E574&amp;F574,IMPORTRANGE(""https://docs.google.com/spreadsheets/d/1Uw7-A9f9R21vMXxHZFNpYNeKFtG8_yji4HS352LGlSQ/edit?pli=1#gid=0"",""1_ACUM!A4:S""),18,FALSE))"),"")</f>
        <v/>
      </c>
      <c r="BE560" s="44" t="str">
        <f ca="1">IFERROR(__xludf.DUMMYFUNCTION("IFERROR(VLOOKUP(E574&amp;F574,IMPORTRANGE(""https://docs.google.com/spreadsheets/d/1Uw7-A9f9R21vMXxHZFNpYNeKFtG8_yji4HS352LGlSQ/edit?pli=1#gid=0"",""1_ACUM!A4:S""),19,FALSE))"),"")</f>
        <v/>
      </c>
      <c r="BF560" s="98" t="str">
        <f ca="1">IFERROR(__xludf.DUMMYFUNCTION("IFERROR(VLOOKUP(F574,IMPORTRANGE(""https://docs.google.com/spreadsheets/d/1Kvs4KS76FHFqLFIZfrDMff4kP08nblUkihrxltoGBjg/edit#gid=934712705"",""ESENCIAL!A6:BG""),5,FALSE))"),"")</f>
        <v/>
      </c>
      <c r="BG560" s="98" t="str">
        <f t="shared" si="21"/>
        <v/>
      </c>
      <c r="BH560" s="99" t="str">
        <f t="shared" si="22"/>
        <v/>
      </c>
      <c r="BI560" s="100" t="str">
        <f ca="1">IFERROR(__xludf.DUMMYFUNCTION("IFERROR(VLOOKUP(F574,IMPORTRANGE(""https://docs.google.com/spreadsheets/d/1Kvs4KS76FHFqLFIZfrDMff4kP08nblUkihrxltoGBjg/edit#gid=934712705"",""ESENCIAL!A6:BG""),2,FALSE))"),"")</f>
        <v/>
      </c>
      <c r="BJ560" s="19" t="str">
        <f t="shared" si="23"/>
        <v/>
      </c>
      <c r="BK560" s="100"/>
      <c r="BL560" s="100"/>
    </row>
    <row r="561" spans="1:64" ht="15">
      <c r="A561" s="5"/>
      <c r="B561" s="5"/>
      <c r="G561" s="5" t="str">
        <f ca="1">IFERROR(__xludf.DUMMYFUNCTION("IFERROR(VLOOKUP(F575,IMPORTRANGE(""https://docs.google.com/spreadsheets/d/1Kvs4KS76FHFqLFIZfrDMff4kP08nblUkihrxltoGBjg/edit#gid=934712705"",""ESENCIAL!A6:BG""),3,FALSE))"),"")</f>
        <v/>
      </c>
      <c r="H561" s="5" t="str">
        <f ca="1">IFERROR(__xludf.DUMMYFUNCTION("IFERROR(VLOOKUP(F575,IMPORTRANGE(""https://docs.google.com/spreadsheets/d/1Kvs4KS76FHFqLFIZfrDMff4kP08nblUkihrxltoGBjg/edit#gid=934712705"",""ESENCIAL!A6:BG""),8,FALSE))"),"")</f>
        <v/>
      </c>
      <c r="L561" s="287"/>
      <c r="U561" s="40"/>
      <c r="AU561" s="41" t="str">
        <f t="shared" si="20"/>
        <v/>
      </c>
      <c r="AV561" s="5" t="str">
        <f ca="1">IFERROR(__xludf.DUMMYFUNCTION("IFERROR(VLOOKUP(E575&amp;F575,IMPORTRANGE(""https://docs.google.com/spreadsheets/d/1Uw7-A9f9R21vMXxHZFNpYNeKFtG8_yji4HS352LGlSQ/edit?pli=1#gid=0"",""1_ACUM!A4:S""),11,FALSE))"),"")</f>
        <v/>
      </c>
      <c r="AW561" s="42" t="str">
        <f ca="1">IFERROR(__xludf.DUMMYFUNCTION("IFERROR(VLOOKUP(F575,IMPORTRANGE(""https://docs.google.com/spreadsheets/d/1Kvs4KS76FHFqLFIZfrDMff4kP08nblUkihrxltoGBjg/edit#gid=934712705"",""ESENCIAL!A6:BG""),15,FALSE))"),"")</f>
        <v/>
      </c>
      <c r="AX561" s="21" t="str">
        <f ca="1">IFERROR(__xludf.DUMMYFUNCTION("IFERROR(VLOOKUP(E575&amp;F575,IMPORTRANGE(""https://docs.google.com/spreadsheets/d/1Uw7-A9f9R21vMXxHZFNpYNeKFtG8_yji4HS352LGlSQ/edit?pli=1#gid=0"",""1_ACUM!A4:S""),12,FALSE))"),"")</f>
        <v/>
      </c>
      <c r="AY561" s="43" t="str">
        <f ca="1">IFERROR(__xludf.DUMMYFUNCTION("IFERROR(VLOOKUP(E575&amp;F575,IMPORTRANGE(""https://docs.google.com/spreadsheets/d/1Uw7-A9f9R21vMXxHZFNpYNeKFtG8_yji4HS352LGlSQ/edit?pli=1#gid=0"",""1_ACUM!A4:S""),13,FALSE))"),"")</f>
        <v/>
      </c>
      <c r="AZ561" s="43" t="str">
        <f ca="1">IFERROR(__xludf.DUMMYFUNCTION("IFERROR(VLOOKUP(E575&amp;F575,IMPORTRANGE(""https://docs.google.com/spreadsheets/d/1Uw7-A9f9R21vMXxHZFNpYNeKFtG8_yji4HS352LGlSQ/edit?pli=1#gid=0"",""1_ACUM!A4:S""),14,FALSE))"),"")</f>
        <v/>
      </c>
      <c r="BA561" s="43" t="str">
        <f ca="1">IFERROR(__xludf.DUMMYFUNCTION("IFERROR(VLOOKUP(E575&amp;F575,IMPORTRANGE(""https://docs.google.com/spreadsheets/d/1Uw7-A9f9R21vMXxHZFNpYNeKFtG8_yji4HS352LGlSQ/edit?pli=1#gid=0"",""1_ACUM!A4:S""),15,FALSE))"),"")</f>
        <v/>
      </c>
      <c r="BB561" s="43" t="str">
        <f ca="1">IFERROR(__xludf.DUMMYFUNCTION("IFERROR(VLOOKUP(E575&amp;F575,IMPORTRANGE(""https://docs.google.com/spreadsheets/d/1Uw7-A9f9R21vMXxHZFNpYNeKFtG8_yji4HS352LGlSQ/edit?pli=1#gid=0"",""1_ACUM!A4:S""),16,FALSE))"),"")</f>
        <v/>
      </c>
      <c r="BC561" s="43" t="str">
        <f ca="1">IFERROR(__xludf.DUMMYFUNCTION("IFERROR(VLOOKUP(E575&amp;F575,IMPORTRANGE(""https://docs.google.com/spreadsheets/d/1Uw7-A9f9R21vMXxHZFNpYNeKFtG8_yji4HS352LGlSQ/edit?pli=1#gid=0"",""1_ACUM!A4:S""),17,FALSE))"),"")</f>
        <v/>
      </c>
      <c r="BD561" s="44" t="str">
        <f ca="1">IFERROR(__xludf.DUMMYFUNCTION("IFERROR(VLOOKUP(E575&amp;F575,IMPORTRANGE(""https://docs.google.com/spreadsheets/d/1Uw7-A9f9R21vMXxHZFNpYNeKFtG8_yji4HS352LGlSQ/edit?pli=1#gid=0"",""1_ACUM!A4:S""),18,FALSE))"),"")</f>
        <v/>
      </c>
      <c r="BE561" s="44" t="str">
        <f ca="1">IFERROR(__xludf.DUMMYFUNCTION("IFERROR(VLOOKUP(E575&amp;F575,IMPORTRANGE(""https://docs.google.com/spreadsheets/d/1Uw7-A9f9R21vMXxHZFNpYNeKFtG8_yji4HS352LGlSQ/edit?pli=1#gid=0"",""1_ACUM!A4:S""),19,FALSE))"),"")</f>
        <v/>
      </c>
      <c r="BF561" s="98" t="str">
        <f ca="1">IFERROR(__xludf.DUMMYFUNCTION("IFERROR(VLOOKUP(F575,IMPORTRANGE(""https://docs.google.com/spreadsheets/d/1Kvs4KS76FHFqLFIZfrDMff4kP08nblUkihrxltoGBjg/edit#gid=934712705"",""ESENCIAL!A6:BG""),5,FALSE))"),"")</f>
        <v/>
      </c>
      <c r="BG561" s="98" t="str">
        <f t="shared" si="21"/>
        <v/>
      </c>
      <c r="BH561" s="99" t="str">
        <f t="shared" si="22"/>
        <v/>
      </c>
      <c r="BI561" s="100" t="str">
        <f ca="1">IFERROR(__xludf.DUMMYFUNCTION("IFERROR(VLOOKUP(F575,IMPORTRANGE(""https://docs.google.com/spreadsheets/d/1Kvs4KS76FHFqLFIZfrDMff4kP08nblUkihrxltoGBjg/edit#gid=934712705"",""ESENCIAL!A6:BG""),2,FALSE))"),"")</f>
        <v/>
      </c>
      <c r="BJ561" s="19" t="str">
        <f t="shared" si="23"/>
        <v/>
      </c>
      <c r="BK561" s="100"/>
      <c r="BL561" s="100"/>
    </row>
    <row r="562" spans="1:64" ht="15">
      <c r="A562" s="5"/>
      <c r="B562" s="5"/>
      <c r="G562" s="5" t="str">
        <f ca="1">IFERROR(__xludf.DUMMYFUNCTION("IFERROR(VLOOKUP(F576,IMPORTRANGE(""https://docs.google.com/spreadsheets/d/1Kvs4KS76FHFqLFIZfrDMff4kP08nblUkihrxltoGBjg/edit#gid=934712705"",""ESENCIAL!A6:BG""),3,FALSE))"),"")</f>
        <v/>
      </c>
      <c r="H562" s="5" t="str">
        <f ca="1">IFERROR(__xludf.DUMMYFUNCTION("IFERROR(VLOOKUP(F576,IMPORTRANGE(""https://docs.google.com/spreadsheets/d/1Kvs4KS76FHFqLFIZfrDMff4kP08nblUkihrxltoGBjg/edit#gid=934712705"",""ESENCIAL!A6:BG""),8,FALSE))"),"")</f>
        <v/>
      </c>
      <c r="L562" s="287"/>
      <c r="U562" s="40"/>
      <c r="AU562" s="41" t="str">
        <f t="shared" si="20"/>
        <v/>
      </c>
      <c r="AV562" s="5" t="str">
        <f ca="1">IFERROR(__xludf.DUMMYFUNCTION("IFERROR(VLOOKUP(E576&amp;F576,IMPORTRANGE(""https://docs.google.com/spreadsheets/d/1Uw7-A9f9R21vMXxHZFNpYNeKFtG8_yji4HS352LGlSQ/edit?pli=1#gid=0"",""1_ACUM!A4:S""),11,FALSE))"),"")</f>
        <v/>
      </c>
      <c r="AW562" s="42" t="str">
        <f ca="1">IFERROR(__xludf.DUMMYFUNCTION("IFERROR(VLOOKUP(F576,IMPORTRANGE(""https://docs.google.com/spreadsheets/d/1Kvs4KS76FHFqLFIZfrDMff4kP08nblUkihrxltoGBjg/edit#gid=934712705"",""ESENCIAL!A6:BG""),15,FALSE))"),"")</f>
        <v/>
      </c>
      <c r="AX562" s="21" t="str">
        <f ca="1">IFERROR(__xludf.DUMMYFUNCTION("IFERROR(VLOOKUP(E576&amp;F576,IMPORTRANGE(""https://docs.google.com/spreadsheets/d/1Uw7-A9f9R21vMXxHZFNpYNeKFtG8_yji4HS352LGlSQ/edit?pli=1#gid=0"",""1_ACUM!A4:S""),12,FALSE))"),"")</f>
        <v/>
      </c>
      <c r="AY562" s="43" t="str">
        <f ca="1">IFERROR(__xludf.DUMMYFUNCTION("IFERROR(VLOOKUP(E576&amp;F576,IMPORTRANGE(""https://docs.google.com/spreadsheets/d/1Uw7-A9f9R21vMXxHZFNpYNeKFtG8_yji4HS352LGlSQ/edit?pli=1#gid=0"",""1_ACUM!A4:S""),13,FALSE))"),"")</f>
        <v/>
      </c>
      <c r="AZ562" s="43" t="str">
        <f ca="1">IFERROR(__xludf.DUMMYFUNCTION("IFERROR(VLOOKUP(E576&amp;F576,IMPORTRANGE(""https://docs.google.com/spreadsheets/d/1Uw7-A9f9R21vMXxHZFNpYNeKFtG8_yji4HS352LGlSQ/edit?pli=1#gid=0"",""1_ACUM!A4:S""),14,FALSE))"),"")</f>
        <v/>
      </c>
      <c r="BA562" s="43" t="str">
        <f ca="1">IFERROR(__xludf.DUMMYFUNCTION("IFERROR(VLOOKUP(E576&amp;F576,IMPORTRANGE(""https://docs.google.com/spreadsheets/d/1Uw7-A9f9R21vMXxHZFNpYNeKFtG8_yji4HS352LGlSQ/edit?pli=1#gid=0"",""1_ACUM!A4:S""),15,FALSE))"),"")</f>
        <v/>
      </c>
      <c r="BB562" s="43" t="str">
        <f ca="1">IFERROR(__xludf.DUMMYFUNCTION("IFERROR(VLOOKUP(E576&amp;F576,IMPORTRANGE(""https://docs.google.com/spreadsheets/d/1Uw7-A9f9R21vMXxHZFNpYNeKFtG8_yji4HS352LGlSQ/edit?pli=1#gid=0"",""1_ACUM!A4:S""),16,FALSE))"),"")</f>
        <v/>
      </c>
      <c r="BC562" s="43" t="str">
        <f ca="1">IFERROR(__xludf.DUMMYFUNCTION("IFERROR(VLOOKUP(E576&amp;F576,IMPORTRANGE(""https://docs.google.com/spreadsheets/d/1Uw7-A9f9R21vMXxHZFNpYNeKFtG8_yji4HS352LGlSQ/edit?pli=1#gid=0"",""1_ACUM!A4:S""),17,FALSE))"),"")</f>
        <v/>
      </c>
      <c r="BD562" s="44" t="str">
        <f ca="1">IFERROR(__xludf.DUMMYFUNCTION("IFERROR(VLOOKUP(E576&amp;F576,IMPORTRANGE(""https://docs.google.com/spreadsheets/d/1Uw7-A9f9R21vMXxHZFNpYNeKFtG8_yji4HS352LGlSQ/edit?pli=1#gid=0"",""1_ACUM!A4:S""),18,FALSE))"),"")</f>
        <v/>
      </c>
      <c r="BE562" s="44" t="str">
        <f ca="1">IFERROR(__xludf.DUMMYFUNCTION("IFERROR(VLOOKUP(E576&amp;F576,IMPORTRANGE(""https://docs.google.com/spreadsheets/d/1Uw7-A9f9R21vMXxHZFNpYNeKFtG8_yji4HS352LGlSQ/edit?pli=1#gid=0"",""1_ACUM!A4:S""),19,FALSE))"),"")</f>
        <v/>
      </c>
      <c r="BF562" s="98" t="str">
        <f ca="1">IFERROR(__xludf.DUMMYFUNCTION("IFERROR(VLOOKUP(F576,IMPORTRANGE(""https://docs.google.com/spreadsheets/d/1Kvs4KS76FHFqLFIZfrDMff4kP08nblUkihrxltoGBjg/edit#gid=934712705"",""ESENCIAL!A6:BG""),5,FALSE))"),"")</f>
        <v/>
      </c>
      <c r="BG562" s="98" t="str">
        <f t="shared" si="21"/>
        <v/>
      </c>
      <c r="BH562" s="99" t="str">
        <f t="shared" si="22"/>
        <v/>
      </c>
      <c r="BI562" s="100" t="str">
        <f ca="1">IFERROR(__xludf.DUMMYFUNCTION("IFERROR(VLOOKUP(F576,IMPORTRANGE(""https://docs.google.com/spreadsheets/d/1Kvs4KS76FHFqLFIZfrDMff4kP08nblUkihrxltoGBjg/edit#gid=934712705"",""ESENCIAL!A6:BG""),2,FALSE))"),"")</f>
        <v/>
      </c>
      <c r="BJ562" s="19" t="str">
        <f t="shared" si="23"/>
        <v/>
      </c>
      <c r="BK562" s="100"/>
      <c r="BL562" s="100"/>
    </row>
    <row r="563" spans="1:64" ht="15">
      <c r="A563" s="5"/>
      <c r="B563" s="5"/>
      <c r="G563" s="5" t="str">
        <f ca="1">IFERROR(__xludf.DUMMYFUNCTION("IFERROR(VLOOKUP(F577,IMPORTRANGE(""https://docs.google.com/spreadsheets/d/1Kvs4KS76FHFqLFIZfrDMff4kP08nblUkihrxltoGBjg/edit#gid=934712705"",""ESENCIAL!A6:BG""),3,FALSE))"),"")</f>
        <v/>
      </c>
      <c r="H563" s="5" t="str">
        <f ca="1">IFERROR(__xludf.DUMMYFUNCTION("IFERROR(VLOOKUP(F577,IMPORTRANGE(""https://docs.google.com/spreadsheets/d/1Kvs4KS76FHFqLFIZfrDMff4kP08nblUkihrxltoGBjg/edit#gid=934712705"",""ESENCIAL!A6:BG""),8,FALSE))"),"")</f>
        <v/>
      </c>
      <c r="L563" s="287"/>
      <c r="U563" s="40"/>
      <c r="AU563" s="41" t="str">
        <f t="shared" si="20"/>
        <v/>
      </c>
      <c r="AV563" s="5" t="str">
        <f ca="1">IFERROR(__xludf.DUMMYFUNCTION("IFERROR(VLOOKUP(E577&amp;F577,IMPORTRANGE(""https://docs.google.com/spreadsheets/d/1Uw7-A9f9R21vMXxHZFNpYNeKFtG8_yji4HS352LGlSQ/edit?pli=1#gid=0"",""1_ACUM!A4:S""),11,FALSE))"),"")</f>
        <v/>
      </c>
      <c r="AW563" s="42" t="str">
        <f ca="1">IFERROR(__xludf.DUMMYFUNCTION("IFERROR(VLOOKUP(F577,IMPORTRANGE(""https://docs.google.com/spreadsheets/d/1Kvs4KS76FHFqLFIZfrDMff4kP08nblUkihrxltoGBjg/edit#gid=934712705"",""ESENCIAL!A6:BG""),15,FALSE))"),"")</f>
        <v/>
      </c>
      <c r="AX563" s="21" t="str">
        <f ca="1">IFERROR(__xludf.DUMMYFUNCTION("IFERROR(VLOOKUP(E577&amp;F577,IMPORTRANGE(""https://docs.google.com/spreadsheets/d/1Uw7-A9f9R21vMXxHZFNpYNeKFtG8_yji4HS352LGlSQ/edit?pli=1#gid=0"",""1_ACUM!A4:S""),12,FALSE))"),"")</f>
        <v/>
      </c>
      <c r="AY563" s="43" t="str">
        <f ca="1">IFERROR(__xludf.DUMMYFUNCTION("IFERROR(VLOOKUP(E577&amp;F577,IMPORTRANGE(""https://docs.google.com/spreadsheets/d/1Uw7-A9f9R21vMXxHZFNpYNeKFtG8_yji4HS352LGlSQ/edit?pli=1#gid=0"",""1_ACUM!A4:S""),13,FALSE))"),"")</f>
        <v/>
      </c>
      <c r="AZ563" s="43" t="str">
        <f ca="1">IFERROR(__xludf.DUMMYFUNCTION("IFERROR(VLOOKUP(E577&amp;F577,IMPORTRANGE(""https://docs.google.com/spreadsheets/d/1Uw7-A9f9R21vMXxHZFNpYNeKFtG8_yji4HS352LGlSQ/edit?pli=1#gid=0"",""1_ACUM!A4:S""),14,FALSE))"),"")</f>
        <v/>
      </c>
      <c r="BA563" s="43" t="str">
        <f ca="1">IFERROR(__xludf.DUMMYFUNCTION("IFERROR(VLOOKUP(E577&amp;F577,IMPORTRANGE(""https://docs.google.com/spreadsheets/d/1Uw7-A9f9R21vMXxHZFNpYNeKFtG8_yji4HS352LGlSQ/edit?pli=1#gid=0"",""1_ACUM!A4:S""),15,FALSE))"),"")</f>
        <v/>
      </c>
      <c r="BB563" s="43" t="str">
        <f ca="1">IFERROR(__xludf.DUMMYFUNCTION("IFERROR(VLOOKUP(E577&amp;F577,IMPORTRANGE(""https://docs.google.com/spreadsheets/d/1Uw7-A9f9R21vMXxHZFNpYNeKFtG8_yji4HS352LGlSQ/edit?pli=1#gid=0"",""1_ACUM!A4:S""),16,FALSE))"),"")</f>
        <v/>
      </c>
      <c r="BC563" s="43" t="str">
        <f ca="1">IFERROR(__xludf.DUMMYFUNCTION("IFERROR(VLOOKUP(E577&amp;F577,IMPORTRANGE(""https://docs.google.com/spreadsheets/d/1Uw7-A9f9R21vMXxHZFNpYNeKFtG8_yji4HS352LGlSQ/edit?pli=1#gid=0"",""1_ACUM!A4:S""),17,FALSE))"),"")</f>
        <v/>
      </c>
      <c r="BD563" s="44" t="str">
        <f ca="1">IFERROR(__xludf.DUMMYFUNCTION("IFERROR(VLOOKUP(E577&amp;F577,IMPORTRANGE(""https://docs.google.com/spreadsheets/d/1Uw7-A9f9R21vMXxHZFNpYNeKFtG8_yji4HS352LGlSQ/edit?pli=1#gid=0"",""1_ACUM!A4:S""),18,FALSE))"),"")</f>
        <v/>
      </c>
      <c r="BE563" s="44" t="str">
        <f ca="1">IFERROR(__xludf.DUMMYFUNCTION("IFERROR(VLOOKUP(E577&amp;F577,IMPORTRANGE(""https://docs.google.com/spreadsheets/d/1Uw7-A9f9R21vMXxHZFNpYNeKFtG8_yji4HS352LGlSQ/edit?pli=1#gid=0"",""1_ACUM!A4:S""),19,FALSE))"),"")</f>
        <v/>
      </c>
      <c r="BF563" s="98" t="str">
        <f ca="1">IFERROR(__xludf.DUMMYFUNCTION("IFERROR(VLOOKUP(F577,IMPORTRANGE(""https://docs.google.com/spreadsheets/d/1Kvs4KS76FHFqLFIZfrDMff4kP08nblUkihrxltoGBjg/edit#gid=934712705"",""ESENCIAL!A6:BG""),5,FALSE))"),"")</f>
        <v/>
      </c>
      <c r="BG563" s="98" t="str">
        <f t="shared" si="21"/>
        <v/>
      </c>
      <c r="BH563" s="99" t="str">
        <f t="shared" si="22"/>
        <v/>
      </c>
      <c r="BI563" s="100" t="str">
        <f ca="1">IFERROR(__xludf.DUMMYFUNCTION("IFERROR(VLOOKUP(F577,IMPORTRANGE(""https://docs.google.com/spreadsheets/d/1Kvs4KS76FHFqLFIZfrDMff4kP08nblUkihrxltoGBjg/edit#gid=934712705"",""ESENCIAL!A6:BG""),2,FALSE))"),"")</f>
        <v/>
      </c>
      <c r="BJ563" s="19" t="str">
        <f t="shared" si="23"/>
        <v/>
      </c>
      <c r="BK563" s="100"/>
      <c r="BL563" s="100"/>
    </row>
    <row r="564" spans="1:64" ht="15">
      <c r="A564" s="5"/>
      <c r="B564" s="5"/>
      <c r="G564" s="5" t="str">
        <f ca="1">IFERROR(__xludf.DUMMYFUNCTION("IFERROR(VLOOKUP(F578,IMPORTRANGE(""https://docs.google.com/spreadsheets/d/1Kvs4KS76FHFqLFIZfrDMff4kP08nblUkihrxltoGBjg/edit#gid=934712705"",""ESENCIAL!A6:BG""),3,FALSE))"),"")</f>
        <v/>
      </c>
      <c r="H564" s="5" t="str">
        <f ca="1">IFERROR(__xludf.DUMMYFUNCTION("IFERROR(VLOOKUP(F578,IMPORTRANGE(""https://docs.google.com/spreadsheets/d/1Kvs4KS76FHFqLFIZfrDMff4kP08nblUkihrxltoGBjg/edit#gid=934712705"",""ESENCIAL!A6:BG""),8,FALSE))"),"")</f>
        <v/>
      </c>
      <c r="L564" s="287"/>
      <c r="U564" s="40"/>
      <c r="AU564" s="41" t="str">
        <f t="shared" si="20"/>
        <v/>
      </c>
      <c r="AV564" s="5" t="str">
        <f ca="1">IFERROR(__xludf.DUMMYFUNCTION("IFERROR(VLOOKUP(E578&amp;F578,IMPORTRANGE(""https://docs.google.com/spreadsheets/d/1Uw7-A9f9R21vMXxHZFNpYNeKFtG8_yji4HS352LGlSQ/edit?pli=1#gid=0"",""1_ACUM!A4:S""),11,FALSE))"),"")</f>
        <v/>
      </c>
      <c r="AW564" s="42" t="str">
        <f ca="1">IFERROR(__xludf.DUMMYFUNCTION("IFERROR(VLOOKUP(F578,IMPORTRANGE(""https://docs.google.com/spreadsheets/d/1Kvs4KS76FHFqLFIZfrDMff4kP08nblUkihrxltoGBjg/edit#gid=934712705"",""ESENCIAL!A6:BG""),15,FALSE))"),"")</f>
        <v/>
      </c>
      <c r="AX564" s="21" t="str">
        <f ca="1">IFERROR(__xludf.DUMMYFUNCTION("IFERROR(VLOOKUP(E578&amp;F578,IMPORTRANGE(""https://docs.google.com/spreadsheets/d/1Uw7-A9f9R21vMXxHZFNpYNeKFtG8_yji4HS352LGlSQ/edit?pli=1#gid=0"",""1_ACUM!A4:S""),12,FALSE))"),"")</f>
        <v/>
      </c>
      <c r="AY564" s="43" t="str">
        <f ca="1">IFERROR(__xludf.DUMMYFUNCTION("IFERROR(VLOOKUP(E578&amp;F578,IMPORTRANGE(""https://docs.google.com/spreadsheets/d/1Uw7-A9f9R21vMXxHZFNpYNeKFtG8_yji4HS352LGlSQ/edit?pli=1#gid=0"",""1_ACUM!A4:S""),13,FALSE))"),"")</f>
        <v/>
      </c>
      <c r="AZ564" s="43" t="str">
        <f ca="1">IFERROR(__xludf.DUMMYFUNCTION("IFERROR(VLOOKUP(E578&amp;F578,IMPORTRANGE(""https://docs.google.com/spreadsheets/d/1Uw7-A9f9R21vMXxHZFNpYNeKFtG8_yji4HS352LGlSQ/edit?pli=1#gid=0"",""1_ACUM!A4:S""),14,FALSE))"),"")</f>
        <v/>
      </c>
      <c r="BA564" s="43" t="str">
        <f ca="1">IFERROR(__xludf.DUMMYFUNCTION("IFERROR(VLOOKUP(E578&amp;F578,IMPORTRANGE(""https://docs.google.com/spreadsheets/d/1Uw7-A9f9R21vMXxHZFNpYNeKFtG8_yji4HS352LGlSQ/edit?pli=1#gid=0"",""1_ACUM!A4:S""),15,FALSE))"),"")</f>
        <v/>
      </c>
      <c r="BB564" s="43" t="str">
        <f ca="1">IFERROR(__xludf.DUMMYFUNCTION("IFERROR(VLOOKUP(E578&amp;F578,IMPORTRANGE(""https://docs.google.com/spreadsheets/d/1Uw7-A9f9R21vMXxHZFNpYNeKFtG8_yji4HS352LGlSQ/edit?pli=1#gid=0"",""1_ACUM!A4:S""),16,FALSE))"),"")</f>
        <v/>
      </c>
      <c r="BC564" s="43" t="str">
        <f ca="1">IFERROR(__xludf.DUMMYFUNCTION("IFERROR(VLOOKUP(E578&amp;F578,IMPORTRANGE(""https://docs.google.com/spreadsheets/d/1Uw7-A9f9R21vMXxHZFNpYNeKFtG8_yji4HS352LGlSQ/edit?pli=1#gid=0"",""1_ACUM!A4:S""),17,FALSE))"),"")</f>
        <v/>
      </c>
      <c r="BD564" s="44" t="str">
        <f ca="1">IFERROR(__xludf.DUMMYFUNCTION("IFERROR(VLOOKUP(E578&amp;F578,IMPORTRANGE(""https://docs.google.com/spreadsheets/d/1Uw7-A9f9R21vMXxHZFNpYNeKFtG8_yji4HS352LGlSQ/edit?pli=1#gid=0"",""1_ACUM!A4:S""),18,FALSE))"),"")</f>
        <v/>
      </c>
      <c r="BE564" s="44" t="str">
        <f ca="1">IFERROR(__xludf.DUMMYFUNCTION("IFERROR(VLOOKUP(E578&amp;F578,IMPORTRANGE(""https://docs.google.com/spreadsheets/d/1Uw7-A9f9R21vMXxHZFNpYNeKFtG8_yji4HS352LGlSQ/edit?pli=1#gid=0"",""1_ACUM!A4:S""),19,FALSE))"),"")</f>
        <v/>
      </c>
      <c r="BF564" s="98" t="str">
        <f ca="1">IFERROR(__xludf.DUMMYFUNCTION("IFERROR(VLOOKUP(F578,IMPORTRANGE(""https://docs.google.com/spreadsheets/d/1Kvs4KS76FHFqLFIZfrDMff4kP08nblUkihrxltoGBjg/edit#gid=934712705"",""ESENCIAL!A6:BG""),5,FALSE))"),"")</f>
        <v/>
      </c>
      <c r="BG564" s="98" t="str">
        <f t="shared" si="21"/>
        <v/>
      </c>
      <c r="BH564" s="99" t="str">
        <f t="shared" si="22"/>
        <v/>
      </c>
      <c r="BI564" s="100" t="str">
        <f ca="1">IFERROR(__xludf.DUMMYFUNCTION("IFERROR(VLOOKUP(F578,IMPORTRANGE(""https://docs.google.com/spreadsheets/d/1Kvs4KS76FHFqLFIZfrDMff4kP08nblUkihrxltoGBjg/edit#gid=934712705"",""ESENCIAL!A6:BG""),2,FALSE))"),"")</f>
        <v/>
      </c>
      <c r="BJ564" s="19" t="str">
        <f t="shared" si="23"/>
        <v/>
      </c>
      <c r="BK564" s="100"/>
      <c r="BL564" s="100"/>
    </row>
    <row r="565" spans="1:64" ht="15">
      <c r="A565" s="5"/>
      <c r="B565" s="5"/>
      <c r="G565" s="5" t="str">
        <f ca="1">IFERROR(__xludf.DUMMYFUNCTION("IFERROR(VLOOKUP(F579,IMPORTRANGE(""https://docs.google.com/spreadsheets/d/1Kvs4KS76FHFqLFIZfrDMff4kP08nblUkihrxltoGBjg/edit#gid=934712705"",""ESENCIAL!A6:BG""),3,FALSE))"),"")</f>
        <v/>
      </c>
      <c r="H565" s="5" t="str">
        <f ca="1">IFERROR(__xludf.DUMMYFUNCTION("IFERROR(VLOOKUP(F579,IMPORTRANGE(""https://docs.google.com/spreadsheets/d/1Kvs4KS76FHFqLFIZfrDMff4kP08nblUkihrxltoGBjg/edit#gid=934712705"",""ESENCIAL!A6:BG""),8,FALSE))"),"")</f>
        <v/>
      </c>
      <c r="L565" s="287"/>
      <c r="U565" s="40"/>
      <c r="AU565" s="41" t="str">
        <f t="shared" si="20"/>
        <v/>
      </c>
      <c r="AV565" s="5" t="str">
        <f ca="1">IFERROR(__xludf.DUMMYFUNCTION("IFERROR(VLOOKUP(E579&amp;F579,IMPORTRANGE(""https://docs.google.com/spreadsheets/d/1Uw7-A9f9R21vMXxHZFNpYNeKFtG8_yji4HS352LGlSQ/edit?pli=1#gid=0"",""1_ACUM!A4:S""),11,FALSE))"),"")</f>
        <v/>
      </c>
      <c r="AW565" s="42" t="str">
        <f ca="1">IFERROR(__xludf.DUMMYFUNCTION("IFERROR(VLOOKUP(F579,IMPORTRANGE(""https://docs.google.com/spreadsheets/d/1Kvs4KS76FHFqLFIZfrDMff4kP08nblUkihrxltoGBjg/edit#gid=934712705"",""ESENCIAL!A6:BG""),15,FALSE))"),"")</f>
        <v/>
      </c>
      <c r="AX565" s="21" t="str">
        <f ca="1">IFERROR(__xludf.DUMMYFUNCTION("IFERROR(VLOOKUP(E579&amp;F579,IMPORTRANGE(""https://docs.google.com/spreadsheets/d/1Uw7-A9f9R21vMXxHZFNpYNeKFtG8_yji4HS352LGlSQ/edit?pli=1#gid=0"",""1_ACUM!A4:S""),12,FALSE))"),"")</f>
        <v/>
      </c>
      <c r="AY565" s="43" t="str">
        <f ca="1">IFERROR(__xludf.DUMMYFUNCTION("IFERROR(VLOOKUP(E579&amp;F579,IMPORTRANGE(""https://docs.google.com/spreadsheets/d/1Uw7-A9f9R21vMXxHZFNpYNeKFtG8_yji4HS352LGlSQ/edit?pli=1#gid=0"",""1_ACUM!A4:S""),13,FALSE))"),"")</f>
        <v/>
      </c>
      <c r="AZ565" s="43" t="str">
        <f ca="1">IFERROR(__xludf.DUMMYFUNCTION("IFERROR(VLOOKUP(E579&amp;F579,IMPORTRANGE(""https://docs.google.com/spreadsheets/d/1Uw7-A9f9R21vMXxHZFNpYNeKFtG8_yji4HS352LGlSQ/edit?pli=1#gid=0"",""1_ACUM!A4:S""),14,FALSE))"),"")</f>
        <v/>
      </c>
      <c r="BA565" s="43" t="str">
        <f ca="1">IFERROR(__xludf.DUMMYFUNCTION("IFERROR(VLOOKUP(E579&amp;F579,IMPORTRANGE(""https://docs.google.com/spreadsheets/d/1Uw7-A9f9R21vMXxHZFNpYNeKFtG8_yji4HS352LGlSQ/edit?pli=1#gid=0"",""1_ACUM!A4:S""),15,FALSE))"),"")</f>
        <v/>
      </c>
      <c r="BB565" s="43" t="str">
        <f ca="1">IFERROR(__xludf.DUMMYFUNCTION("IFERROR(VLOOKUP(E579&amp;F579,IMPORTRANGE(""https://docs.google.com/spreadsheets/d/1Uw7-A9f9R21vMXxHZFNpYNeKFtG8_yji4HS352LGlSQ/edit?pli=1#gid=0"",""1_ACUM!A4:S""),16,FALSE))"),"")</f>
        <v/>
      </c>
      <c r="BC565" s="43" t="str">
        <f ca="1">IFERROR(__xludf.DUMMYFUNCTION("IFERROR(VLOOKUP(E579&amp;F579,IMPORTRANGE(""https://docs.google.com/spreadsheets/d/1Uw7-A9f9R21vMXxHZFNpYNeKFtG8_yji4HS352LGlSQ/edit?pli=1#gid=0"",""1_ACUM!A4:S""),17,FALSE))"),"")</f>
        <v/>
      </c>
      <c r="BD565" s="44" t="str">
        <f ca="1">IFERROR(__xludf.DUMMYFUNCTION("IFERROR(VLOOKUP(E579&amp;F579,IMPORTRANGE(""https://docs.google.com/spreadsheets/d/1Uw7-A9f9R21vMXxHZFNpYNeKFtG8_yji4HS352LGlSQ/edit?pli=1#gid=0"",""1_ACUM!A4:S""),18,FALSE))"),"")</f>
        <v/>
      </c>
      <c r="BE565" s="44" t="str">
        <f ca="1">IFERROR(__xludf.DUMMYFUNCTION("IFERROR(VLOOKUP(E579&amp;F579,IMPORTRANGE(""https://docs.google.com/spreadsheets/d/1Uw7-A9f9R21vMXxHZFNpYNeKFtG8_yji4HS352LGlSQ/edit?pli=1#gid=0"",""1_ACUM!A4:S""),19,FALSE))"),"")</f>
        <v/>
      </c>
      <c r="BF565" s="98" t="str">
        <f ca="1">IFERROR(__xludf.DUMMYFUNCTION("IFERROR(VLOOKUP(F579,IMPORTRANGE(""https://docs.google.com/spreadsheets/d/1Kvs4KS76FHFqLFIZfrDMff4kP08nblUkihrxltoGBjg/edit#gid=934712705"",""ESENCIAL!A6:BG""),5,FALSE))"),"")</f>
        <v/>
      </c>
      <c r="BG565" s="98" t="str">
        <f t="shared" si="21"/>
        <v/>
      </c>
      <c r="BH565" s="99" t="str">
        <f t="shared" si="22"/>
        <v/>
      </c>
      <c r="BI565" s="100" t="str">
        <f ca="1">IFERROR(__xludf.DUMMYFUNCTION("IFERROR(VLOOKUP(F579,IMPORTRANGE(""https://docs.google.com/spreadsheets/d/1Kvs4KS76FHFqLFIZfrDMff4kP08nblUkihrxltoGBjg/edit#gid=934712705"",""ESENCIAL!A6:BG""),2,FALSE))"),"")</f>
        <v/>
      </c>
      <c r="BJ565" s="19" t="str">
        <f t="shared" si="23"/>
        <v/>
      </c>
      <c r="BK565" s="100"/>
      <c r="BL565" s="100"/>
    </row>
    <row r="566" spans="1:64" ht="15">
      <c r="A566" s="5"/>
      <c r="B566" s="5"/>
      <c r="G566" s="5" t="str">
        <f ca="1">IFERROR(__xludf.DUMMYFUNCTION("IFERROR(VLOOKUP(F580,IMPORTRANGE(""https://docs.google.com/spreadsheets/d/1Kvs4KS76FHFqLFIZfrDMff4kP08nblUkihrxltoGBjg/edit#gid=934712705"",""ESENCIAL!A6:BG""),3,FALSE))"),"")</f>
        <v/>
      </c>
      <c r="H566" s="5" t="str">
        <f ca="1">IFERROR(__xludf.DUMMYFUNCTION("IFERROR(VLOOKUP(F580,IMPORTRANGE(""https://docs.google.com/spreadsheets/d/1Kvs4KS76FHFqLFIZfrDMff4kP08nblUkihrxltoGBjg/edit#gid=934712705"",""ESENCIAL!A6:BG""),8,FALSE))"),"")</f>
        <v/>
      </c>
      <c r="L566" s="287"/>
      <c r="U566" s="40"/>
      <c r="AU566" s="41" t="str">
        <f t="shared" si="20"/>
        <v/>
      </c>
      <c r="AV566" s="5" t="str">
        <f ca="1">IFERROR(__xludf.DUMMYFUNCTION("IFERROR(VLOOKUP(E580&amp;F580,IMPORTRANGE(""https://docs.google.com/spreadsheets/d/1Uw7-A9f9R21vMXxHZFNpYNeKFtG8_yji4HS352LGlSQ/edit?pli=1#gid=0"",""1_ACUM!A4:S""),11,FALSE))"),"")</f>
        <v/>
      </c>
      <c r="AW566" s="42" t="str">
        <f ca="1">IFERROR(__xludf.DUMMYFUNCTION("IFERROR(VLOOKUP(F580,IMPORTRANGE(""https://docs.google.com/spreadsheets/d/1Kvs4KS76FHFqLFIZfrDMff4kP08nblUkihrxltoGBjg/edit#gid=934712705"",""ESENCIAL!A6:BG""),15,FALSE))"),"")</f>
        <v/>
      </c>
      <c r="AX566" s="21" t="str">
        <f ca="1">IFERROR(__xludf.DUMMYFUNCTION("IFERROR(VLOOKUP(E580&amp;F580,IMPORTRANGE(""https://docs.google.com/spreadsheets/d/1Uw7-A9f9R21vMXxHZFNpYNeKFtG8_yji4HS352LGlSQ/edit?pli=1#gid=0"",""1_ACUM!A4:S""),12,FALSE))"),"")</f>
        <v/>
      </c>
      <c r="AY566" s="43" t="str">
        <f ca="1">IFERROR(__xludf.DUMMYFUNCTION("IFERROR(VLOOKUP(E580&amp;F580,IMPORTRANGE(""https://docs.google.com/spreadsheets/d/1Uw7-A9f9R21vMXxHZFNpYNeKFtG8_yji4HS352LGlSQ/edit?pli=1#gid=0"",""1_ACUM!A4:S""),13,FALSE))"),"")</f>
        <v/>
      </c>
      <c r="AZ566" s="43" t="str">
        <f ca="1">IFERROR(__xludf.DUMMYFUNCTION("IFERROR(VLOOKUP(E580&amp;F580,IMPORTRANGE(""https://docs.google.com/spreadsheets/d/1Uw7-A9f9R21vMXxHZFNpYNeKFtG8_yji4HS352LGlSQ/edit?pli=1#gid=0"",""1_ACUM!A4:S""),14,FALSE))"),"")</f>
        <v/>
      </c>
      <c r="BA566" s="43" t="str">
        <f ca="1">IFERROR(__xludf.DUMMYFUNCTION("IFERROR(VLOOKUP(E580&amp;F580,IMPORTRANGE(""https://docs.google.com/spreadsheets/d/1Uw7-A9f9R21vMXxHZFNpYNeKFtG8_yji4HS352LGlSQ/edit?pli=1#gid=0"",""1_ACUM!A4:S""),15,FALSE))"),"")</f>
        <v/>
      </c>
      <c r="BB566" s="43" t="str">
        <f ca="1">IFERROR(__xludf.DUMMYFUNCTION("IFERROR(VLOOKUP(E580&amp;F580,IMPORTRANGE(""https://docs.google.com/spreadsheets/d/1Uw7-A9f9R21vMXxHZFNpYNeKFtG8_yji4HS352LGlSQ/edit?pli=1#gid=0"",""1_ACUM!A4:S""),16,FALSE))"),"")</f>
        <v/>
      </c>
      <c r="BC566" s="43" t="str">
        <f ca="1">IFERROR(__xludf.DUMMYFUNCTION("IFERROR(VLOOKUP(E580&amp;F580,IMPORTRANGE(""https://docs.google.com/spreadsheets/d/1Uw7-A9f9R21vMXxHZFNpYNeKFtG8_yji4HS352LGlSQ/edit?pli=1#gid=0"",""1_ACUM!A4:S""),17,FALSE))"),"")</f>
        <v/>
      </c>
      <c r="BD566" s="44" t="str">
        <f ca="1">IFERROR(__xludf.DUMMYFUNCTION("IFERROR(VLOOKUP(E580&amp;F580,IMPORTRANGE(""https://docs.google.com/spreadsheets/d/1Uw7-A9f9R21vMXxHZFNpYNeKFtG8_yji4HS352LGlSQ/edit?pli=1#gid=0"",""1_ACUM!A4:S""),18,FALSE))"),"")</f>
        <v/>
      </c>
      <c r="BE566" s="44" t="str">
        <f ca="1">IFERROR(__xludf.DUMMYFUNCTION("IFERROR(VLOOKUP(E580&amp;F580,IMPORTRANGE(""https://docs.google.com/spreadsheets/d/1Uw7-A9f9R21vMXxHZFNpYNeKFtG8_yji4HS352LGlSQ/edit?pli=1#gid=0"",""1_ACUM!A4:S""),19,FALSE))"),"")</f>
        <v/>
      </c>
      <c r="BF566" s="98" t="str">
        <f ca="1">IFERROR(__xludf.DUMMYFUNCTION("IFERROR(VLOOKUP(F580,IMPORTRANGE(""https://docs.google.com/spreadsheets/d/1Kvs4KS76FHFqLFIZfrDMff4kP08nblUkihrxltoGBjg/edit#gid=934712705"",""ESENCIAL!A6:BG""),5,FALSE))"),"")</f>
        <v/>
      </c>
      <c r="BG566" s="98" t="str">
        <f t="shared" si="21"/>
        <v/>
      </c>
      <c r="BH566" s="99" t="str">
        <f t="shared" si="22"/>
        <v/>
      </c>
      <c r="BI566" s="100" t="str">
        <f ca="1">IFERROR(__xludf.DUMMYFUNCTION("IFERROR(VLOOKUP(F580,IMPORTRANGE(""https://docs.google.com/spreadsheets/d/1Kvs4KS76FHFqLFIZfrDMff4kP08nblUkihrxltoGBjg/edit#gid=934712705"",""ESENCIAL!A6:BG""),2,FALSE))"),"")</f>
        <v/>
      </c>
      <c r="BJ566" s="19" t="str">
        <f t="shared" si="23"/>
        <v/>
      </c>
      <c r="BK566" s="100"/>
      <c r="BL566" s="100"/>
    </row>
    <row r="567" spans="1:64" ht="15">
      <c r="A567" s="5"/>
      <c r="B567" s="5"/>
      <c r="G567" s="5" t="str">
        <f ca="1">IFERROR(__xludf.DUMMYFUNCTION("IFERROR(VLOOKUP(F581,IMPORTRANGE(""https://docs.google.com/spreadsheets/d/1Kvs4KS76FHFqLFIZfrDMff4kP08nblUkihrxltoGBjg/edit#gid=934712705"",""ESENCIAL!A6:BG""),3,FALSE))"),"")</f>
        <v/>
      </c>
      <c r="H567" s="5" t="str">
        <f ca="1">IFERROR(__xludf.DUMMYFUNCTION("IFERROR(VLOOKUP(F581,IMPORTRANGE(""https://docs.google.com/spreadsheets/d/1Kvs4KS76FHFqLFIZfrDMff4kP08nblUkihrxltoGBjg/edit#gid=934712705"",""ESENCIAL!A6:BG""),8,FALSE))"),"")</f>
        <v/>
      </c>
      <c r="L567" s="287"/>
      <c r="U567" s="40"/>
      <c r="AU567" s="41" t="str">
        <f t="shared" si="20"/>
        <v/>
      </c>
      <c r="AV567" s="5" t="str">
        <f ca="1">IFERROR(__xludf.DUMMYFUNCTION("IFERROR(VLOOKUP(E581&amp;F581,IMPORTRANGE(""https://docs.google.com/spreadsheets/d/1Uw7-A9f9R21vMXxHZFNpYNeKFtG8_yji4HS352LGlSQ/edit?pli=1#gid=0"",""1_ACUM!A4:S""),11,FALSE))"),"")</f>
        <v/>
      </c>
      <c r="AW567" s="42" t="str">
        <f ca="1">IFERROR(__xludf.DUMMYFUNCTION("IFERROR(VLOOKUP(F581,IMPORTRANGE(""https://docs.google.com/spreadsheets/d/1Kvs4KS76FHFqLFIZfrDMff4kP08nblUkihrxltoGBjg/edit#gid=934712705"",""ESENCIAL!A6:BG""),15,FALSE))"),"")</f>
        <v/>
      </c>
      <c r="AX567" s="21" t="str">
        <f ca="1">IFERROR(__xludf.DUMMYFUNCTION("IFERROR(VLOOKUP(E581&amp;F581,IMPORTRANGE(""https://docs.google.com/spreadsheets/d/1Uw7-A9f9R21vMXxHZFNpYNeKFtG8_yji4HS352LGlSQ/edit?pli=1#gid=0"",""1_ACUM!A4:S""),12,FALSE))"),"")</f>
        <v/>
      </c>
      <c r="AY567" s="43" t="str">
        <f ca="1">IFERROR(__xludf.DUMMYFUNCTION("IFERROR(VLOOKUP(E581&amp;F581,IMPORTRANGE(""https://docs.google.com/spreadsheets/d/1Uw7-A9f9R21vMXxHZFNpYNeKFtG8_yji4HS352LGlSQ/edit?pli=1#gid=0"",""1_ACUM!A4:S""),13,FALSE))"),"")</f>
        <v/>
      </c>
      <c r="AZ567" s="43" t="str">
        <f ca="1">IFERROR(__xludf.DUMMYFUNCTION("IFERROR(VLOOKUP(E581&amp;F581,IMPORTRANGE(""https://docs.google.com/spreadsheets/d/1Uw7-A9f9R21vMXxHZFNpYNeKFtG8_yji4HS352LGlSQ/edit?pli=1#gid=0"",""1_ACUM!A4:S""),14,FALSE))"),"")</f>
        <v/>
      </c>
      <c r="BA567" s="43" t="str">
        <f ca="1">IFERROR(__xludf.DUMMYFUNCTION("IFERROR(VLOOKUP(E581&amp;F581,IMPORTRANGE(""https://docs.google.com/spreadsheets/d/1Uw7-A9f9R21vMXxHZFNpYNeKFtG8_yji4HS352LGlSQ/edit?pli=1#gid=0"",""1_ACUM!A4:S""),15,FALSE))"),"")</f>
        <v/>
      </c>
      <c r="BB567" s="43" t="str">
        <f ca="1">IFERROR(__xludf.DUMMYFUNCTION("IFERROR(VLOOKUP(E581&amp;F581,IMPORTRANGE(""https://docs.google.com/spreadsheets/d/1Uw7-A9f9R21vMXxHZFNpYNeKFtG8_yji4HS352LGlSQ/edit?pli=1#gid=0"",""1_ACUM!A4:S""),16,FALSE))"),"")</f>
        <v/>
      </c>
      <c r="BC567" s="43" t="str">
        <f ca="1">IFERROR(__xludf.DUMMYFUNCTION("IFERROR(VLOOKUP(E581&amp;F581,IMPORTRANGE(""https://docs.google.com/spreadsheets/d/1Uw7-A9f9R21vMXxHZFNpYNeKFtG8_yji4HS352LGlSQ/edit?pli=1#gid=0"",""1_ACUM!A4:S""),17,FALSE))"),"")</f>
        <v/>
      </c>
      <c r="BD567" s="44" t="str">
        <f ca="1">IFERROR(__xludf.DUMMYFUNCTION("IFERROR(VLOOKUP(E581&amp;F581,IMPORTRANGE(""https://docs.google.com/spreadsheets/d/1Uw7-A9f9R21vMXxHZFNpYNeKFtG8_yji4HS352LGlSQ/edit?pli=1#gid=0"",""1_ACUM!A4:S""),18,FALSE))"),"")</f>
        <v/>
      </c>
      <c r="BE567" s="44" t="str">
        <f ca="1">IFERROR(__xludf.DUMMYFUNCTION("IFERROR(VLOOKUP(E581&amp;F581,IMPORTRANGE(""https://docs.google.com/spreadsheets/d/1Uw7-A9f9R21vMXxHZFNpYNeKFtG8_yji4HS352LGlSQ/edit?pli=1#gid=0"",""1_ACUM!A4:S""),19,FALSE))"),"")</f>
        <v/>
      </c>
      <c r="BF567" s="98" t="str">
        <f ca="1">IFERROR(__xludf.DUMMYFUNCTION("IFERROR(VLOOKUP(F581,IMPORTRANGE(""https://docs.google.com/spreadsheets/d/1Kvs4KS76FHFqLFIZfrDMff4kP08nblUkihrxltoGBjg/edit#gid=934712705"",""ESENCIAL!A6:BG""),5,FALSE))"),"")</f>
        <v/>
      </c>
      <c r="BG567" s="98" t="str">
        <f t="shared" si="21"/>
        <v/>
      </c>
      <c r="BH567" s="99" t="str">
        <f t="shared" si="22"/>
        <v/>
      </c>
      <c r="BI567" s="100" t="str">
        <f ca="1">IFERROR(__xludf.DUMMYFUNCTION("IFERROR(VLOOKUP(F581,IMPORTRANGE(""https://docs.google.com/spreadsheets/d/1Kvs4KS76FHFqLFIZfrDMff4kP08nblUkihrxltoGBjg/edit#gid=934712705"",""ESENCIAL!A6:BG""),2,FALSE))"),"")</f>
        <v/>
      </c>
      <c r="BJ567" s="19" t="str">
        <f t="shared" si="23"/>
        <v/>
      </c>
      <c r="BK567" s="100"/>
      <c r="BL567" s="100"/>
    </row>
    <row r="568" spans="1:64" ht="15">
      <c r="A568" s="5"/>
      <c r="B568" s="5"/>
      <c r="G568" s="5" t="str">
        <f ca="1">IFERROR(__xludf.DUMMYFUNCTION("IFERROR(VLOOKUP(F582,IMPORTRANGE(""https://docs.google.com/spreadsheets/d/1Kvs4KS76FHFqLFIZfrDMff4kP08nblUkihrxltoGBjg/edit#gid=934712705"",""ESENCIAL!A6:BG""),3,FALSE))"),"")</f>
        <v/>
      </c>
      <c r="H568" s="5" t="str">
        <f ca="1">IFERROR(__xludf.DUMMYFUNCTION("IFERROR(VLOOKUP(F582,IMPORTRANGE(""https://docs.google.com/spreadsheets/d/1Kvs4KS76FHFqLFIZfrDMff4kP08nblUkihrxltoGBjg/edit#gid=934712705"",""ESENCIAL!A6:BG""),8,FALSE))"),"")</f>
        <v/>
      </c>
      <c r="L568" s="287"/>
      <c r="U568" s="40"/>
      <c r="AU568" s="41" t="str">
        <f t="shared" si="20"/>
        <v/>
      </c>
      <c r="AV568" s="5" t="str">
        <f ca="1">IFERROR(__xludf.DUMMYFUNCTION("IFERROR(VLOOKUP(E582&amp;F582,IMPORTRANGE(""https://docs.google.com/spreadsheets/d/1Uw7-A9f9R21vMXxHZFNpYNeKFtG8_yji4HS352LGlSQ/edit?pli=1#gid=0"",""1_ACUM!A4:S""),11,FALSE))"),"")</f>
        <v/>
      </c>
      <c r="AW568" s="42" t="str">
        <f ca="1">IFERROR(__xludf.DUMMYFUNCTION("IFERROR(VLOOKUP(F582,IMPORTRANGE(""https://docs.google.com/spreadsheets/d/1Kvs4KS76FHFqLFIZfrDMff4kP08nblUkihrxltoGBjg/edit#gid=934712705"",""ESENCIAL!A6:BG""),15,FALSE))"),"")</f>
        <v/>
      </c>
      <c r="AX568" s="21" t="str">
        <f ca="1">IFERROR(__xludf.DUMMYFUNCTION("IFERROR(VLOOKUP(E582&amp;F582,IMPORTRANGE(""https://docs.google.com/spreadsheets/d/1Uw7-A9f9R21vMXxHZFNpYNeKFtG8_yji4HS352LGlSQ/edit?pli=1#gid=0"",""1_ACUM!A4:S""),12,FALSE))"),"")</f>
        <v/>
      </c>
      <c r="AY568" s="43" t="str">
        <f ca="1">IFERROR(__xludf.DUMMYFUNCTION("IFERROR(VLOOKUP(E582&amp;F582,IMPORTRANGE(""https://docs.google.com/spreadsheets/d/1Uw7-A9f9R21vMXxHZFNpYNeKFtG8_yji4HS352LGlSQ/edit?pli=1#gid=0"",""1_ACUM!A4:S""),13,FALSE))"),"")</f>
        <v/>
      </c>
      <c r="AZ568" s="43" t="str">
        <f ca="1">IFERROR(__xludf.DUMMYFUNCTION("IFERROR(VLOOKUP(E582&amp;F582,IMPORTRANGE(""https://docs.google.com/spreadsheets/d/1Uw7-A9f9R21vMXxHZFNpYNeKFtG8_yji4HS352LGlSQ/edit?pli=1#gid=0"",""1_ACUM!A4:S""),14,FALSE))"),"")</f>
        <v/>
      </c>
      <c r="BA568" s="43" t="str">
        <f ca="1">IFERROR(__xludf.DUMMYFUNCTION("IFERROR(VLOOKUP(E582&amp;F582,IMPORTRANGE(""https://docs.google.com/spreadsheets/d/1Uw7-A9f9R21vMXxHZFNpYNeKFtG8_yji4HS352LGlSQ/edit?pli=1#gid=0"",""1_ACUM!A4:S""),15,FALSE))"),"")</f>
        <v/>
      </c>
      <c r="BB568" s="43" t="str">
        <f ca="1">IFERROR(__xludf.DUMMYFUNCTION("IFERROR(VLOOKUP(E582&amp;F582,IMPORTRANGE(""https://docs.google.com/spreadsheets/d/1Uw7-A9f9R21vMXxHZFNpYNeKFtG8_yji4HS352LGlSQ/edit?pli=1#gid=0"",""1_ACUM!A4:S""),16,FALSE))"),"")</f>
        <v/>
      </c>
      <c r="BC568" s="43" t="str">
        <f ca="1">IFERROR(__xludf.DUMMYFUNCTION("IFERROR(VLOOKUP(E582&amp;F582,IMPORTRANGE(""https://docs.google.com/spreadsheets/d/1Uw7-A9f9R21vMXxHZFNpYNeKFtG8_yji4HS352LGlSQ/edit?pli=1#gid=0"",""1_ACUM!A4:S""),17,FALSE))"),"")</f>
        <v/>
      </c>
      <c r="BD568" s="44" t="str">
        <f ca="1">IFERROR(__xludf.DUMMYFUNCTION("IFERROR(VLOOKUP(E582&amp;F582,IMPORTRANGE(""https://docs.google.com/spreadsheets/d/1Uw7-A9f9R21vMXxHZFNpYNeKFtG8_yji4HS352LGlSQ/edit?pli=1#gid=0"",""1_ACUM!A4:S""),18,FALSE))"),"")</f>
        <v/>
      </c>
      <c r="BE568" s="44" t="str">
        <f ca="1">IFERROR(__xludf.DUMMYFUNCTION("IFERROR(VLOOKUP(E582&amp;F582,IMPORTRANGE(""https://docs.google.com/spreadsheets/d/1Uw7-A9f9R21vMXxHZFNpYNeKFtG8_yji4HS352LGlSQ/edit?pli=1#gid=0"",""1_ACUM!A4:S""),19,FALSE))"),"")</f>
        <v/>
      </c>
      <c r="BF568" s="98" t="str">
        <f ca="1">IFERROR(__xludf.DUMMYFUNCTION("IFERROR(VLOOKUP(F582,IMPORTRANGE(""https://docs.google.com/spreadsheets/d/1Kvs4KS76FHFqLFIZfrDMff4kP08nblUkihrxltoGBjg/edit#gid=934712705"",""ESENCIAL!A6:BG""),5,FALSE))"),"")</f>
        <v/>
      </c>
      <c r="BG568" s="98" t="str">
        <f t="shared" si="21"/>
        <v/>
      </c>
      <c r="BH568" s="99" t="str">
        <f t="shared" si="22"/>
        <v/>
      </c>
      <c r="BI568" s="100" t="str">
        <f ca="1">IFERROR(__xludf.DUMMYFUNCTION("IFERROR(VLOOKUP(F582,IMPORTRANGE(""https://docs.google.com/spreadsheets/d/1Kvs4KS76FHFqLFIZfrDMff4kP08nblUkihrxltoGBjg/edit#gid=934712705"",""ESENCIAL!A6:BG""),2,FALSE))"),"")</f>
        <v/>
      </c>
      <c r="BJ568" s="19" t="str">
        <f t="shared" si="23"/>
        <v/>
      </c>
      <c r="BK568" s="100"/>
      <c r="BL568" s="100"/>
    </row>
    <row r="569" spans="1:64" ht="15">
      <c r="A569" s="5"/>
      <c r="B569" s="5"/>
      <c r="G569" s="5" t="str">
        <f ca="1">IFERROR(__xludf.DUMMYFUNCTION("IFERROR(VLOOKUP(F583,IMPORTRANGE(""https://docs.google.com/spreadsheets/d/1Kvs4KS76FHFqLFIZfrDMff4kP08nblUkihrxltoGBjg/edit#gid=934712705"",""ESENCIAL!A6:BG""),3,FALSE))"),"")</f>
        <v/>
      </c>
      <c r="H569" s="5" t="str">
        <f ca="1">IFERROR(__xludf.DUMMYFUNCTION("IFERROR(VLOOKUP(F583,IMPORTRANGE(""https://docs.google.com/spreadsheets/d/1Kvs4KS76FHFqLFIZfrDMff4kP08nblUkihrxltoGBjg/edit#gid=934712705"",""ESENCIAL!A6:BG""),8,FALSE))"),"")</f>
        <v/>
      </c>
      <c r="L569" s="287"/>
      <c r="U569" s="40"/>
      <c r="AU569" s="41" t="str">
        <f t="shared" si="20"/>
        <v/>
      </c>
      <c r="AV569" s="5" t="str">
        <f ca="1">IFERROR(__xludf.DUMMYFUNCTION("IFERROR(VLOOKUP(E583&amp;F583,IMPORTRANGE(""https://docs.google.com/spreadsheets/d/1Uw7-A9f9R21vMXxHZFNpYNeKFtG8_yji4HS352LGlSQ/edit?pli=1#gid=0"",""1_ACUM!A4:S""),11,FALSE))"),"")</f>
        <v/>
      </c>
      <c r="AW569" s="42" t="str">
        <f ca="1">IFERROR(__xludf.DUMMYFUNCTION("IFERROR(VLOOKUP(F583,IMPORTRANGE(""https://docs.google.com/spreadsheets/d/1Kvs4KS76FHFqLFIZfrDMff4kP08nblUkihrxltoGBjg/edit#gid=934712705"",""ESENCIAL!A6:BG""),15,FALSE))"),"")</f>
        <v/>
      </c>
      <c r="AX569" s="21" t="str">
        <f ca="1">IFERROR(__xludf.DUMMYFUNCTION("IFERROR(VLOOKUP(E583&amp;F583,IMPORTRANGE(""https://docs.google.com/spreadsheets/d/1Uw7-A9f9R21vMXxHZFNpYNeKFtG8_yji4HS352LGlSQ/edit?pli=1#gid=0"",""1_ACUM!A4:S""),12,FALSE))"),"")</f>
        <v/>
      </c>
      <c r="AY569" s="43" t="str">
        <f ca="1">IFERROR(__xludf.DUMMYFUNCTION("IFERROR(VLOOKUP(E583&amp;F583,IMPORTRANGE(""https://docs.google.com/spreadsheets/d/1Uw7-A9f9R21vMXxHZFNpYNeKFtG8_yji4HS352LGlSQ/edit?pli=1#gid=0"",""1_ACUM!A4:S""),13,FALSE))"),"")</f>
        <v/>
      </c>
      <c r="AZ569" s="43" t="str">
        <f ca="1">IFERROR(__xludf.DUMMYFUNCTION("IFERROR(VLOOKUP(E583&amp;F583,IMPORTRANGE(""https://docs.google.com/spreadsheets/d/1Uw7-A9f9R21vMXxHZFNpYNeKFtG8_yji4HS352LGlSQ/edit?pli=1#gid=0"",""1_ACUM!A4:S""),14,FALSE))"),"")</f>
        <v/>
      </c>
      <c r="BA569" s="43" t="str">
        <f ca="1">IFERROR(__xludf.DUMMYFUNCTION("IFERROR(VLOOKUP(E583&amp;F583,IMPORTRANGE(""https://docs.google.com/spreadsheets/d/1Uw7-A9f9R21vMXxHZFNpYNeKFtG8_yji4HS352LGlSQ/edit?pli=1#gid=0"",""1_ACUM!A4:S""),15,FALSE))"),"")</f>
        <v/>
      </c>
      <c r="BB569" s="43" t="str">
        <f ca="1">IFERROR(__xludf.DUMMYFUNCTION("IFERROR(VLOOKUP(E583&amp;F583,IMPORTRANGE(""https://docs.google.com/spreadsheets/d/1Uw7-A9f9R21vMXxHZFNpYNeKFtG8_yji4HS352LGlSQ/edit?pli=1#gid=0"",""1_ACUM!A4:S""),16,FALSE))"),"")</f>
        <v/>
      </c>
      <c r="BC569" s="43" t="str">
        <f ca="1">IFERROR(__xludf.DUMMYFUNCTION("IFERROR(VLOOKUP(E583&amp;F583,IMPORTRANGE(""https://docs.google.com/spreadsheets/d/1Uw7-A9f9R21vMXxHZFNpYNeKFtG8_yji4HS352LGlSQ/edit?pli=1#gid=0"",""1_ACUM!A4:S""),17,FALSE))"),"")</f>
        <v/>
      </c>
      <c r="BD569" s="44" t="str">
        <f ca="1">IFERROR(__xludf.DUMMYFUNCTION("IFERROR(VLOOKUP(E583&amp;F583,IMPORTRANGE(""https://docs.google.com/spreadsheets/d/1Uw7-A9f9R21vMXxHZFNpYNeKFtG8_yji4HS352LGlSQ/edit?pli=1#gid=0"",""1_ACUM!A4:S""),18,FALSE))"),"")</f>
        <v/>
      </c>
      <c r="BE569" s="44" t="str">
        <f ca="1">IFERROR(__xludf.DUMMYFUNCTION("IFERROR(VLOOKUP(E583&amp;F583,IMPORTRANGE(""https://docs.google.com/spreadsheets/d/1Uw7-A9f9R21vMXxHZFNpYNeKFtG8_yji4HS352LGlSQ/edit?pli=1#gid=0"",""1_ACUM!A4:S""),19,FALSE))"),"")</f>
        <v/>
      </c>
      <c r="BF569" s="98" t="str">
        <f ca="1">IFERROR(__xludf.DUMMYFUNCTION("IFERROR(VLOOKUP(F583,IMPORTRANGE(""https://docs.google.com/spreadsheets/d/1Kvs4KS76FHFqLFIZfrDMff4kP08nblUkihrxltoGBjg/edit#gid=934712705"",""ESENCIAL!A6:BG""),5,FALSE))"),"")</f>
        <v/>
      </c>
      <c r="BG569" s="98" t="str">
        <f t="shared" si="21"/>
        <v/>
      </c>
      <c r="BH569" s="99" t="str">
        <f t="shared" si="22"/>
        <v/>
      </c>
      <c r="BI569" s="100" t="str">
        <f ca="1">IFERROR(__xludf.DUMMYFUNCTION("IFERROR(VLOOKUP(F583,IMPORTRANGE(""https://docs.google.com/spreadsheets/d/1Kvs4KS76FHFqLFIZfrDMff4kP08nblUkihrxltoGBjg/edit#gid=934712705"",""ESENCIAL!A6:BG""),2,FALSE))"),"")</f>
        <v/>
      </c>
      <c r="BJ569" s="19" t="str">
        <f t="shared" si="23"/>
        <v/>
      </c>
      <c r="BK569" s="100"/>
      <c r="BL569" s="100"/>
    </row>
    <row r="570" spans="1:64" ht="15">
      <c r="A570" s="5"/>
      <c r="B570" s="5"/>
      <c r="G570" s="5" t="str">
        <f ca="1">IFERROR(__xludf.DUMMYFUNCTION("IFERROR(VLOOKUP(F584,IMPORTRANGE(""https://docs.google.com/spreadsheets/d/1Kvs4KS76FHFqLFIZfrDMff4kP08nblUkihrxltoGBjg/edit#gid=934712705"",""ESENCIAL!A6:BG""),3,FALSE))"),"")</f>
        <v/>
      </c>
      <c r="H570" s="5" t="str">
        <f ca="1">IFERROR(__xludf.DUMMYFUNCTION("IFERROR(VLOOKUP(F584,IMPORTRANGE(""https://docs.google.com/spreadsheets/d/1Kvs4KS76FHFqLFIZfrDMff4kP08nblUkihrxltoGBjg/edit#gid=934712705"",""ESENCIAL!A6:BG""),8,FALSE))"),"")</f>
        <v/>
      </c>
      <c r="L570" s="287"/>
      <c r="U570" s="40"/>
      <c r="AU570" s="41" t="str">
        <f t="shared" si="20"/>
        <v/>
      </c>
      <c r="AV570" s="5" t="str">
        <f ca="1">IFERROR(__xludf.DUMMYFUNCTION("IFERROR(VLOOKUP(E584&amp;F584,IMPORTRANGE(""https://docs.google.com/spreadsheets/d/1Uw7-A9f9R21vMXxHZFNpYNeKFtG8_yji4HS352LGlSQ/edit?pli=1#gid=0"",""1_ACUM!A4:S""),11,FALSE))"),"")</f>
        <v/>
      </c>
      <c r="AW570" s="42" t="str">
        <f ca="1">IFERROR(__xludf.DUMMYFUNCTION("IFERROR(VLOOKUP(F584,IMPORTRANGE(""https://docs.google.com/spreadsheets/d/1Kvs4KS76FHFqLFIZfrDMff4kP08nblUkihrxltoGBjg/edit#gid=934712705"",""ESENCIAL!A6:BG""),15,FALSE))"),"")</f>
        <v/>
      </c>
      <c r="AX570" s="21" t="str">
        <f ca="1">IFERROR(__xludf.DUMMYFUNCTION("IFERROR(VLOOKUP(E584&amp;F584,IMPORTRANGE(""https://docs.google.com/spreadsheets/d/1Uw7-A9f9R21vMXxHZFNpYNeKFtG8_yji4HS352LGlSQ/edit?pli=1#gid=0"",""1_ACUM!A4:S""),12,FALSE))"),"")</f>
        <v/>
      </c>
      <c r="AY570" s="43" t="str">
        <f ca="1">IFERROR(__xludf.DUMMYFUNCTION("IFERROR(VLOOKUP(E584&amp;F584,IMPORTRANGE(""https://docs.google.com/spreadsheets/d/1Uw7-A9f9R21vMXxHZFNpYNeKFtG8_yji4HS352LGlSQ/edit?pli=1#gid=0"",""1_ACUM!A4:S""),13,FALSE))"),"")</f>
        <v/>
      </c>
      <c r="AZ570" s="43" t="str">
        <f ca="1">IFERROR(__xludf.DUMMYFUNCTION("IFERROR(VLOOKUP(E584&amp;F584,IMPORTRANGE(""https://docs.google.com/spreadsheets/d/1Uw7-A9f9R21vMXxHZFNpYNeKFtG8_yji4HS352LGlSQ/edit?pli=1#gid=0"",""1_ACUM!A4:S""),14,FALSE))"),"")</f>
        <v/>
      </c>
      <c r="BA570" s="43" t="str">
        <f ca="1">IFERROR(__xludf.DUMMYFUNCTION("IFERROR(VLOOKUP(E584&amp;F584,IMPORTRANGE(""https://docs.google.com/spreadsheets/d/1Uw7-A9f9R21vMXxHZFNpYNeKFtG8_yji4HS352LGlSQ/edit?pli=1#gid=0"",""1_ACUM!A4:S""),15,FALSE))"),"")</f>
        <v/>
      </c>
      <c r="BB570" s="43" t="str">
        <f ca="1">IFERROR(__xludf.DUMMYFUNCTION("IFERROR(VLOOKUP(E584&amp;F584,IMPORTRANGE(""https://docs.google.com/spreadsheets/d/1Uw7-A9f9R21vMXxHZFNpYNeKFtG8_yji4HS352LGlSQ/edit?pli=1#gid=0"",""1_ACUM!A4:S""),16,FALSE))"),"")</f>
        <v/>
      </c>
      <c r="BC570" s="43" t="str">
        <f ca="1">IFERROR(__xludf.DUMMYFUNCTION("IFERROR(VLOOKUP(E584&amp;F584,IMPORTRANGE(""https://docs.google.com/spreadsheets/d/1Uw7-A9f9R21vMXxHZFNpYNeKFtG8_yji4HS352LGlSQ/edit?pli=1#gid=0"",""1_ACUM!A4:S""),17,FALSE))"),"")</f>
        <v/>
      </c>
      <c r="BD570" s="44" t="str">
        <f ca="1">IFERROR(__xludf.DUMMYFUNCTION("IFERROR(VLOOKUP(E584&amp;F584,IMPORTRANGE(""https://docs.google.com/spreadsheets/d/1Uw7-A9f9R21vMXxHZFNpYNeKFtG8_yji4HS352LGlSQ/edit?pli=1#gid=0"",""1_ACUM!A4:S""),18,FALSE))"),"")</f>
        <v/>
      </c>
      <c r="BE570" s="44" t="str">
        <f ca="1">IFERROR(__xludf.DUMMYFUNCTION("IFERROR(VLOOKUP(E584&amp;F584,IMPORTRANGE(""https://docs.google.com/spreadsheets/d/1Uw7-A9f9R21vMXxHZFNpYNeKFtG8_yji4HS352LGlSQ/edit?pli=1#gid=0"",""1_ACUM!A4:S""),19,FALSE))"),"")</f>
        <v/>
      </c>
      <c r="BF570" s="98" t="str">
        <f ca="1">IFERROR(__xludf.DUMMYFUNCTION("IFERROR(VLOOKUP(F584,IMPORTRANGE(""https://docs.google.com/spreadsheets/d/1Kvs4KS76FHFqLFIZfrDMff4kP08nblUkihrxltoGBjg/edit#gid=934712705"",""ESENCIAL!A6:BG""),5,FALSE))"),"")</f>
        <v/>
      </c>
      <c r="BG570" s="98" t="str">
        <f t="shared" si="21"/>
        <v/>
      </c>
      <c r="BH570" s="99" t="str">
        <f t="shared" si="22"/>
        <v/>
      </c>
      <c r="BI570" s="100" t="str">
        <f ca="1">IFERROR(__xludf.DUMMYFUNCTION("IFERROR(VLOOKUP(F584,IMPORTRANGE(""https://docs.google.com/spreadsheets/d/1Kvs4KS76FHFqLFIZfrDMff4kP08nblUkihrxltoGBjg/edit#gid=934712705"",""ESENCIAL!A6:BG""),2,FALSE))"),"")</f>
        <v/>
      </c>
      <c r="BJ570" s="19" t="str">
        <f t="shared" si="23"/>
        <v/>
      </c>
      <c r="BK570" s="100"/>
      <c r="BL570" s="100"/>
    </row>
    <row r="571" spans="1:64" ht="15">
      <c r="A571" s="5"/>
      <c r="B571" s="5"/>
      <c r="G571" s="5" t="str">
        <f ca="1">IFERROR(__xludf.DUMMYFUNCTION("IFERROR(VLOOKUP(F585,IMPORTRANGE(""https://docs.google.com/spreadsheets/d/1Kvs4KS76FHFqLFIZfrDMff4kP08nblUkihrxltoGBjg/edit#gid=934712705"",""ESENCIAL!A6:BG""),3,FALSE))"),"")</f>
        <v/>
      </c>
      <c r="H571" s="5" t="str">
        <f ca="1">IFERROR(__xludf.DUMMYFUNCTION("IFERROR(VLOOKUP(F585,IMPORTRANGE(""https://docs.google.com/spreadsheets/d/1Kvs4KS76FHFqLFIZfrDMff4kP08nblUkihrxltoGBjg/edit#gid=934712705"",""ESENCIAL!A6:BG""),8,FALSE))"),"")</f>
        <v/>
      </c>
      <c r="L571" s="287"/>
      <c r="U571" s="40"/>
      <c r="AU571" s="41" t="str">
        <f t="shared" si="20"/>
        <v/>
      </c>
      <c r="AV571" s="5" t="str">
        <f ca="1">IFERROR(__xludf.DUMMYFUNCTION("IFERROR(VLOOKUP(E585&amp;F585,IMPORTRANGE(""https://docs.google.com/spreadsheets/d/1Uw7-A9f9R21vMXxHZFNpYNeKFtG8_yji4HS352LGlSQ/edit?pli=1#gid=0"",""1_ACUM!A4:S""),11,FALSE))"),"")</f>
        <v/>
      </c>
      <c r="AW571" s="42" t="str">
        <f ca="1">IFERROR(__xludf.DUMMYFUNCTION("IFERROR(VLOOKUP(F585,IMPORTRANGE(""https://docs.google.com/spreadsheets/d/1Kvs4KS76FHFqLFIZfrDMff4kP08nblUkihrxltoGBjg/edit#gid=934712705"",""ESENCIAL!A6:BG""),15,FALSE))"),"")</f>
        <v/>
      </c>
      <c r="AX571" s="21" t="str">
        <f ca="1">IFERROR(__xludf.DUMMYFUNCTION("IFERROR(VLOOKUP(E585&amp;F585,IMPORTRANGE(""https://docs.google.com/spreadsheets/d/1Uw7-A9f9R21vMXxHZFNpYNeKFtG8_yji4HS352LGlSQ/edit?pli=1#gid=0"",""1_ACUM!A4:S""),12,FALSE))"),"")</f>
        <v/>
      </c>
      <c r="AY571" s="43" t="str">
        <f ca="1">IFERROR(__xludf.DUMMYFUNCTION("IFERROR(VLOOKUP(E585&amp;F585,IMPORTRANGE(""https://docs.google.com/spreadsheets/d/1Uw7-A9f9R21vMXxHZFNpYNeKFtG8_yji4HS352LGlSQ/edit?pli=1#gid=0"",""1_ACUM!A4:S""),13,FALSE))"),"")</f>
        <v/>
      </c>
      <c r="AZ571" s="43" t="str">
        <f ca="1">IFERROR(__xludf.DUMMYFUNCTION("IFERROR(VLOOKUP(E585&amp;F585,IMPORTRANGE(""https://docs.google.com/spreadsheets/d/1Uw7-A9f9R21vMXxHZFNpYNeKFtG8_yji4HS352LGlSQ/edit?pli=1#gid=0"",""1_ACUM!A4:S""),14,FALSE))"),"")</f>
        <v/>
      </c>
      <c r="BA571" s="43" t="str">
        <f ca="1">IFERROR(__xludf.DUMMYFUNCTION("IFERROR(VLOOKUP(E585&amp;F585,IMPORTRANGE(""https://docs.google.com/spreadsheets/d/1Uw7-A9f9R21vMXxHZFNpYNeKFtG8_yji4HS352LGlSQ/edit?pli=1#gid=0"",""1_ACUM!A4:S""),15,FALSE))"),"")</f>
        <v/>
      </c>
      <c r="BB571" s="43" t="str">
        <f ca="1">IFERROR(__xludf.DUMMYFUNCTION("IFERROR(VLOOKUP(E585&amp;F585,IMPORTRANGE(""https://docs.google.com/spreadsheets/d/1Uw7-A9f9R21vMXxHZFNpYNeKFtG8_yji4HS352LGlSQ/edit?pli=1#gid=0"",""1_ACUM!A4:S""),16,FALSE))"),"")</f>
        <v/>
      </c>
      <c r="BC571" s="43" t="str">
        <f ca="1">IFERROR(__xludf.DUMMYFUNCTION("IFERROR(VLOOKUP(E585&amp;F585,IMPORTRANGE(""https://docs.google.com/spreadsheets/d/1Uw7-A9f9R21vMXxHZFNpYNeKFtG8_yji4HS352LGlSQ/edit?pli=1#gid=0"",""1_ACUM!A4:S""),17,FALSE))"),"")</f>
        <v/>
      </c>
      <c r="BD571" s="44" t="str">
        <f ca="1">IFERROR(__xludf.DUMMYFUNCTION("IFERROR(VLOOKUP(E585&amp;F585,IMPORTRANGE(""https://docs.google.com/spreadsheets/d/1Uw7-A9f9R21vMXxHZFNpYNeKFtG8_yji4HS352LGlSQ/edit?pli=1#gid=0"",""1_ACUM!A4:S""),18,FALSE))"),"")</f>
        <v/>
      </c>
      <c r="BE571" s="44" t="str">
        <f ca="1">IFERROR(__xludf.DUMMYFUNCTION("IFERROR(VLOOKUP(E585&amp;F585,IMPORTRANGE(""https://docs.google.com/spreadsheets/d/1Uw7-A9f9R21vMXxHZFNpYNeKFtG8_yji4HS352LGlSQ/edit?pli=1#gid=0"",""1_ACUM!A4:S""),19,FALSE))"),"")</f>
        <v/>
      </c>
      <c r="BF571" s="98" t="str">
        <f ca="1">IFERROR(__xludf.DUMMYFUNCTION("IFERROR(VLOOKUP(F585,IMPORTRANGE(""https://docs.google.com/spreadsheets/d/1Kvs4KS76FHFqLFIZfrDMff4kP08nblUkihrxltoGBjg/edit#gid=934712705"",""ESENCIAL!A6:BG""),5,FALSE))"),"")</f>
        <v/>
      </c>
      <c r="BG571" s="98" t="str">
        <f t="shared" si="21"/>
        <v/>
      </c>
      <c r="BH571" s="99" t="str">
        <f t="shared" si="22"/>
        <v/>
      </c>
      <c r="BI571" s="100" t="str">
        <f ca="1">IFERROR(__xludf.DUMMYFUNCTION("IFERROR(VLOOKUP(F585,IMPORTRANGE(""https://docs.google.com/spreadsheets/d/1Kvs4KS76FHFqLFIZfrDMff4kP08nblUkihrxltoGBjg/edit#gid=934712705"",""ESENCIAL!A6:BG""),2,FALSE))"),"")</f>
        <v/>
      </c>
      <c r="BJ571" s="19" t="str">
        <f t="shared" si="23"/>
        <v/>
      </c>
      <c r="BK571" s="100"/>
      <c r="BL571" s="100"/>
    </row>
    <row r="572" spans="1:64" ht="15">
      <c r="A572" s="5"/>
      <c r="B572" s="5"/>
      <c r="G572" s="5" t="str">
        <f ca="1">IFERROR(__xludf.DUMMYFUNCTION("IFERROR(VLOOKUP(F586,IMPORTRANGE(""https://docs.google.com/spreadsheets/d/1Kvs4KS76FHFqLFIZfrDMff4kP08nblUkihrxltoGBjg/edit#gid=934712705"",""ESENCIAL!A6:BG""),3,FALSE))"),"")</f>
        <v/>
      </c>
      <c r="H572" s="5" t="str">
        <f ca="1">IFERROR(__xludf.DUMMYFUNCTION("IFERROR(VLOOKUP(F586,IMPORTRANGE(""https://docs.google.com/spreadsheets/d/1Kvs4KS76FHFqLFIZfrDMff4kP08nblUkihrxltoGBjg/edit#gid=934712705"",""ESENCIAL!A6:BG""),8,FALSE))"),"")</f>
        <v/>
      </c>
      <c r="L572" s="287"/>
      <c r="U572" s="40"/>
      <c r="AU572" s="41" t="str">
        <f t="shared" si="20"/>
        <v/>
      </c>
      <c r="AV572" s="5" t="str">
        <f ca="1">IFERROR(__xludf.DUMMYFUNCTION("IFERROR(VLOOKUP(E586&amp;F586,IMPORTRANGE(""https://docs.google.com/spreadsheets/d/1Uw7-A9f9R21vMXxHZFNpYNeKFtG8_yji4HS352LGlSQ/edit?pli=1#gid=0"",""1_ACUM!A4:S""),11,FALSE))"),"")</f>
        <v/>
      </c>
      <c r="AW572" s="42" t="str">
        <f ca="1">IFERROR(__xludf.DUMMYFUNCTION("IFERROR(VLOOKUP(F586,IMPORTRANGE(""https://docs.google.com/spreadsheets/d/1Kvs4KS76FHFqLFIZfrDMff4kP08nblUkihrxltoGBjg/edit#gid=934712705"",""ESENCIAL!A6:BG""),15,FALSE))"),"")</f>
        <v/>
      </c>
      <c r="AX572" s="21" t="str">
        <f ca="1">IFERROR(__xludf.DUMMYFUNCTION("IFERROR(VLOOKUP(E586&amp;F586,IMPORTRANGE(""https://docs.google.com/spreadsheets/d/1Uw7-A9f9R21vMXxHZFNpYNeKFtG8_yji4HS352LGlSQ/edit?pli=1#gid=0"",""1_ACUM!A4:S""),12,FALSE))"),"")</f>
        <v/>
      </c>
      <c r="AY572" s="43" t="str">
        <f ca="1">IFERROR(__xludf.DUMMYFUNCTION("IFERROR(VLOOKUP(E586&amp;F586,IMPORTRANGE(""https://docs.google.com/spreadsheets/d/1Uw7-A9f9R21vMXxHZFNpYNeKFtG8_yji4HS352LGlSQ/edit?pli=1#gid=0"",""1_ACUM!A4:S""),13,FALSE))"),"")</f>
        <v/>
      </c>
      <c r="AZ572" s="43" t="str">
        <f ca="1">IFERROR(__xludf.DUMMYFUNCTION("IFERROR(VLOOKUP(E586&amp;F586,IMPORTRANGE(""https://docs.google.com/spreadsheets/d/1Uw7-A9f9R21vMXxHZFNpYNeKFtG8_yji4HS352LGlSQ/edit?pli=1#gid=0"",""1_ACUM!A4:S""),14,FALSE))"),"")</f>
        <v/>
      </c>
      <c r="BA572" s="43" t="str">
        <f ca="1">IFERROR(__xludf.DUMMYFUNCTION("IFERROR(VLOOKUP(E586&amp;F586,IMPORTRANGE(""https://docs.google.com/spreadsheets/d/1Uw7-A9f9R21vMXxHZFNpYNeKFtG8_yji4HS352LGlSQ/edit?pli=1#gid=0"",""1_ACUM!A4:S""),15,FALSE))"),"")</f>
        <v/>
      </c>
      <c r="BB572" s="43" t="str">
        <f ca="1">IFERROR(__xludf.DUMMYFUNCTION("IFERROR(VLOOKUP(E586&amp;F586,IMPORTRANGE(""https://docs.google.com/spreadsheets/d/1Uw7-A9f9R21vMXxHZFNpYNeKFtG8_yji4HS352LGlSQ/edit?pli=1#gid=0"",""1_ACUM!A4:S""),16,FALSE))"),"")</f>
        <v/>
      </c>
      <c r="BC572" s="43" t="str">
        <f ca="1">IFERROR(__xludf.DUMMYFUNCTION("IFERROR(VLOOKUP(E586&amp;F586,IMPORTRANGE(""https://docs.google.com/spreadsheets/d/1Uw7-A9f9R21vMXxHZFNpYNeKFtG8_yji4HS352LGlSQ/edit?pli=1#gid=0"",""1_ACUM!A4:S""),17,FALSE))"),"")</f>
        <v/>
      </c>
      <c r="BD572" s="44" t="str">
        <f ca="1">IFERROR(__xludf.DUMMYFUNCTION("IFERROR(VLOOKUP(E586&amp;F586,IMPORTRANGE(""https://docs.google.com/spreadsheets/d/1Uw7-A9f9R21vMXxHZFNpYNeKFtG8_yji4HS352LGlSQ/edit?pli=1#gid=0"",""1_ACUM!A4:S""),18,FALSE))"),"")</f>
        <v/>
      </c>
      <c r="BE572" s="44" t="str">
        <f ca="1">IFERROR(__xludf.DUMMYFUNCTION("IFERROR(VLOOKUP(E586&amp;F586,IMPORTRANGE(""https://docs.google.com/spreadsheets/d/1Uw7-A9f9R21vMXxHZFNpYNeKFtG8_yji4HS352LGlSQ/edit?pli=1#gid=0"",""1_ACUM!A4:S""),19,FALSE))"),"")</f>
        <v/>
      </c>
      <c r="BF572" s="98" t="str">
        <f ca="1">IFERROR(__xludf.DUMMYFUNCTION("IFERROR(VLOOKUP(F586,IMPORTRANGE(""https://docs.google.com/spreadsheets/d/1Kvs4KS76FHFqLFIZfrDMff4kP08nblUkihrxltoGBjg/edit#gid=934712705"",""ESENCIAL!A6:BG""),5,FALSE))"),"")</f>
        <v/>
      </c>
      <c r="BG572" s="98" t="str">
        <f t="shared" si="21"/>
        <v/>
      </c>
      <c r="BH572" s="99" t="str">
        <f t="shared" si="22"/>
        <v/>
      </c>
      <c r="BI572" s="100" t="str">
        <f ca="1">IFERROR(__xludf.DUMMYFUNCTION("IFERROR(VLOOKUP(F586,IMPORTRANGE(""https://docs.google.com/spreadsheets/d/1Kvs4KS76FHFqLFIZfrDMff4kP08nblUkihrxltoGBjg/edit#gid=934712705"",""ESENCIAL!A6:BG""),2,FALSE))"),"")</f>
        <v/>
      </c>
      <c r="BJ572" s="19" t="str">
        <f t="shared" si="23"/>
        <v/>
      </c>
      <c r="BK572" s="100"/>
      <c r="BL572" s="100"/>
    </row>
    <row r="573" spans="1:64" ht="15">
      <c r="A573" s="5"/>
      <c r="B573" s="5"/>
      <c r="G573" s="5" t="str">
        <f ca="1">IFERROR(__xludf.DUMMYFUNCTION("IFERROR(VLOOKUP(F587,IMPORTRANGE(""https://docs.google.com/spreadsheets/d/1Kvs4KS76FHFqLFIZfrDMff4kP08nblUkihrxltoGBjg/edit#gid=934712705"",""ESENCIAL!A6:BG""),3,FALSE))"),"")</f>
        <v/>
      </c>
      <c r="H573" s="5" t="str">
        <f ca="1">IFERROR(__xludf.DUMMYFUNCTION("IFERROR(VLOOKUP(F587,IMPORTRANGE(""https://docs.google.com/spreadsheets/d/1Kvs4KS76FHFqLFIZfrDMff4kP08nblUkihrxltoGBjg/edit#gid=934712705"",""ESENCIAL!A6:BG""),8,FALSE))"),"")</f>
        <v/>
      </c>
      <c r="L573" s="287"/>
      <c r="U573" s="40"/>
      <c r="AU573" s="41" t="str">
        <f t="shared" si="20"/>
        <v/>
      </c>
      <c r="AV573" s="5" t="str">
        <f ca="1">IFERROR(__xludf.DUMMYFUNCTION("IFERROR(VLOOKUP(E587&amp;F587,IMPORTRANGE(""https://docs.google.com/spreadsheets/d/1Uw7-A9f9R21vMXxHZFNpYNeKFtG8_yji4HS352LGlSQ/edit?pli=1#gid=0"",""1_ACUM!A4:S""),11,FALSE))"),"")</f>
        <v/>
      </c>
      <c r="AW573" s="42" t="str">
        <f ca="1">IFERROR(__xludf.DUMMYFUNCTION("IFERROR(VLOOKUP(F587,IMPORTRANGE(""https://docs.google.com/spreadsheets/d/1Kvs4KS76FHFqLFIZfrDMff4kP08nblUkihrxltoGBjg/edit#gid=934712705"",""ESENCIAL!A6:BG""),15,FALSE))"),"")</f>
        <v/>
      </c>
      <c r="AX573" s="21" t="str">
        <f ca="1">IFERROR(__xludf.DUMMYFUNCTION("IFERROR(VLOOKUP(E587&amp;F587,IMPORTRANGE(""https://docs.google.com/spreadsheets/d/1Uw7-A9f9R21vMXxHZFNpYNeKFtG8_yji4HS352LGlSQ/edit?pli=1#gid=0"",""1_ACUM!A4:S""),12,FALSE))"),"")</f>
        <v/>
      </c>
      <c r="AY573" s="43" t="str">
        <f ca="1">IFERROR(__xludf.DUMMYFUNCTION("IFERROR(VLOOKUP(E587&amp;F587,IMPORTRANGE(""https://docs.google.com/spreadsheets/d/1Uw7-A9f9R21vMXxHZFNpYNeKFtG8_yji4HS352LGlSQ/edit?pli=1#gid=0"",""1_ACUM!A4:S""),13,FALSE))"),"")</f>
        <v/>
      </c>
      <c r="AZ573" s="43" t="str">
        <f ca="1">IFERROR(__xludf.DUMMYFUNCTION("IFERROR(VLOOKUP(E587&amp;F587,IMPORTRANGE(""https://docs.google.com/spreadsheets/d/1Uw7-A9f9R21vMXxHZFNpYNeKFtG8_yji4HS352LGlSQ/edit?pli=1#gid=0"",""1_ACUM!A4:S""),14,FALSE))"),"")</f>
        <v/>
      </c>
      <c r="BA573" s="43" t="str">
        <f ca="1">IFERROR(__xludf.DUMMYFUNCTION("IFERROR(VLOOKUP(E587&amp;F587,IMPORTRANGE(""https://docs.google.com/spreadsheets/d/1Uw7-A9f9R21vMXxHZFNpYNeKFtG8_yji4HS352LGlSQ/edit?pli=1#gid=0"",""1_ACUM!A4:S""),15,FALSE))"),"")</f>
        <v/>
      </c>
      <c r="BB573" s="43" t="str">
        <f ca="1">IFERROR(__xludf.DUMMYFUNCTION("IFERROR(VLOOKUP(E587&amp;F587,IMPORTRANGE(""https://docs.google.com/spreadsheets/d/1Uw7-A9f9R21vMXxHZFNpYNeKFtG8_yji4HS352LGlSQ/edit?pli=1#gid=0"",""1_ACUM!A4:S""),16,FALSE))"),"")</f>
        <v/>
      </c>
      <c r="BC573" s="43" t="str">
        <f ca="1">IFERROR(__xludf.DUMMYFUNCTION("IFERROR(VLOOKUP(E587&amp;F587,IMPORTRANGE(""https://docs.google.com/spreadsheets/d/1Uw7-A9f9R21vMXxHZFNpYNeKFtG8_yji4HS352LGlSQ/edit?pli=1#gid=0"",""1_ACUM!A4:S""),17,FALSE))"),"")</f>
        <v/>
      </c>
      <c r="BD573" s="44" t="str">
        <f ca="1">IFERROR(__xludf.DUMMYFUNCTION("IFERROR(VLOOKUP(E587&amp;F587,IMPORTRANGE(""https://docs.google.com/spreadsheets/d/1Uw7-A9f9R21vMXxHZFNpYNeKFtG8_yji4HS352LGlSQ/edit?pli=1#gid=0"",""1_ACUM!A4:S""),18,FALSE))"),"")</f>
        <v/>
      </c>
      <c r="BE573" s="44" t="str">
        <f ca="1">IFERROR(__xludf.DUMMYFUNCTION("IFERROR(VLOOKUP(E587&amp;F587,IMPORTRANGE(""https://docs.google.com/spreadsheets/d/1Uw7-A9f9R21vMXxHZFNpYNeKFtG8_yji4HS352LGlSQ/edit?pli=1#gid=0"",""1_ACUM!A4:S""),19,FALSE))"),"")</f>
        <v/>
      </c>
      <c r="BF573" s="98" t="str">
        <f ca="1">IFERROR(__xludf.DUMMYFUNCTION("IFERROR(VLOOKUP(F587,IMPORTRANGE(""https://docs.google.com/spreadsheets/d/1Kvs4KS76FHFqLFIZfrDMff4kP08nblUkihrxltoGBjg/edit#gid=934712705"",""ESENCIAL!A6:BG""),5,FALSE))"),"")</f>
        <v/>
      </c>
      <c r="BG573" s="98" t="str">
        <f t="shared" si="21"/>
        <v/>
      </c>
      <c r="BH573" s="99" t="str">
        <f t="shared" si="22"/>
        <v/>
      </c>
      <c r="BI573" s="100" t="str">
        <f ca="1">IFERROR(__xludf.DUMMYFUNCTION("IFERROR(VLOOKUP(F587,IMPORTRANGE(""https://docs.google.com/spreadsheets/d/1Kvs4KS76FHFqLFIZfrDMff4kP08nblUkihrxltoGBjg/edit#gid=934712705"",""ESENCIAL!A6:BG""),2,FALSE))"),"")</f>
        <v/>
      </c>
      <c r="BJ573" s="19" t="str">
        <f t="shared" si="23"/>
        <v/>
      </c>
      <c r="BK573" s="100"/>
      <c r="BL573" s="100"/>
    </row>
    <row r="574" spans="1:64" ht="15">
      <c r="A574" s="5"/>
      <c r="B574" s="5"/>
      <c r="G574" s="5" t="str">
        <f ca="1">IFERROR(__xludf.DUMMYFUNCTION("IFERROR(VLOOKUP(F588,IMPORTRANGE(""https://docs.google.com/spreadsheets/d/1Kvs4KS76FHFqLFIZfrDMff4kP08nblUkihrxltoGBjg/edit#gid=934712705"",""ESENCIAL!A6:BG""),3,FALSE))"),"")</f>
        <v/>
      </c>
      <c r="H574" s="5" t="str">
        <f ca="1">IFERROR(__xludf.DUMMYFUNCTION("IFERROR(VLOOKUP(F588,IMPORTRANGE(""https://docs.google.com/spreadsheets/d/1Kvs4KS76FHFqLFIZfrDMff4kP08nblUkihrxltoGBjg/edit#gid=934712705"",""ESENCIAL!A6:BG""),8,FALSE))"),"")</f>
        <v/>
      </c>
      <c r="L574" s="287"/>
      <c r="U574" s="40"/>
      <c r="AU574" s="41" t="str">
        <f t="shared" si="20"/>
        <v/>
      </c>
      <c r="AV574" s="5" t="str">
        <f ca="1">IFERROR(__xludf.DUMMYFUNCTION("IFERROR(VLOOKUP(E588&amp;F588,IMPORTRANGE(""https://docs.google.com/spreadsheets/d/1Uw7-A9f9R21vMXxHZFNpYNeKFtG8_yji4HS352LGlSQ/edit?pli=1#gid=0"",""1_ACUM!A4:S""),11,FALSE))"),"")</f>
        <v/>
      </c>
      <c r="AW574" s="42" t="str">
        <f ca="1">IFERROR(__xludf.DUMMYFUNCTION("IFERROR(VLOOKUP(F588,IMPORTRANGE(""https://docs.google.com/spreadsheets/d/1Kvs4KS76FHFqLFIZfrDMff4kP08nblUkihrxltoGBjg/edit#gid=934712705"",""ESENCIAL!A6:BG""),15,FALSE))"),"")</f>
        <v/>
      </c>
      <c r="AX574" s="21" t="str">
        <f ca="1">IFERROR(__xludf.DUMMYFUNCTION("IFERROR(VLOOKUP(E588&amp;F588,IMPORTRANGE(""https://docs.google.com/spreadsheets/d/1Uw7-A9f9R21vMXxHZFNpYNeKFtG8_yji4HS352LGlSQ/edit?pli=1#gid=0"",""1_ACUM!A4:S""),12,FALSE))"),"")</f>
        <v/>
      </c>
      <c r="AY574" s="43" t="str">
        <f ca="1">IFERROR(__xludf.DUMMYFUNCTION("IFERROR(VLOOKUP(E588&amp;F588,IMPORTRANGE(""https://docs.google.com/spreadsheets/d/1Uw7-A9f9R21vMXxHZFNpYNeKFtG8_yji4HS352LGlSQ/edit?pli=1#gid=0"",""1_ACUM!A4:S""),13,FALSE))"),"")</f>
        <v/>
      </c>
      <c r="AZ574" s="43" t="str">
        <f ca="1">IFERROR(__xludf.DUMMYFUNCTION("IFERROR(VLOOKUP(E588&amp;F588,IMPORTRANGE(""https://docs.google.com/spreadsheets/d/1Uw7-A9f9R21vMXxHZFNpYNeKFtG8_yji4HS352LGlSQ/edit?pli=1#gid=0"",""1_ACUM!A4:S""),14,FALSE))"),"")</f>
        <v/>
      </c>
      <c r="BA574" s="43" t="str">
        <f ca="1">IFERROR(__xludf.DUMMYFUNCTION("IFERROR(VLOOKUP(E588&amp;F588,IMPORTRANGE(""https://docs.google.com/spreadsheets/d/1Uw7-A9f9R21vMXxHZFNpYNeKFtG8_yji4HS352LGlSQ/edit?pli=1#gid=0"",""1_ACUM!A4:S""),15,FALSE))"),"")</f>
        <v/>
      </c>
      <c r="BB574" s="43" t="str">
        <f ca="1">IFERROR(__xludf.DUMMYFUNCTION("IFERROR(VLOOKUP(E588&amp;F588,IMPORTRANGE(""https://docs.google.com/spreadsheets/d/1Uw7-A9f9R21vMXxHZFNpYNeKFtG8_yji4HS352LGlSQ/edit?pli=1#gid=0"",""1_ACUM!A4:S""),16,FALSE))"),"")</f>
        <v/>
      </c>
      <c r="BC574" s="43" t="str">
        <f ca="1">IFERROR(__xludf.DUMMYFUNCTION("IFERROR(VLOOKUP(E588&amp;F588,IMPORTRANGE(""https://docs.google.com/spreadsheets/d/1Uw7-A9f9R21vMXxHZFNpYNeKFtG8_yji4HS352LGlSQ/edit?pli=1#gid=0"",""1_ACUM!A4:S""),17,FALSE))"),"")</f>
        <v/>
      </c>
      <c r="BD574" s="44" t="str">
        <f ca="1">IFERROR(__xludf.DUMMYFUNCTION("IFERROR(VLOOKUP(E588&amp;F588,IMPORTRANGE(""https://docs.google.com/spreadsheets/d/1Uw7-A9f9R21vMXxHZFNpYNeKFtG8_yji4HS352LGlSQ/edit?pli=1#gid=0"",""1_ACUM!A4:S""),18,FALSE))"),"")</f>
        <v/>
      </c>
      <c r="BE574" s="44" t="str">
        <f ca="1">IFERROR(__xludf.DUMMYFUNCTION("IFERROR(VLOOKUP(E588&amp;F588,IMPORTRANGE(""https://docs.google.com/spreadsheets/d/1Uw7-A9f9R21vMXxHZFNpYNeKFtG8_yji4HS352LGlSQ/edit?pli=1#gid=0"",""1_ACUM!A4:S""),19,FALSE))"),"")</f>
        <v/>
      </c>
      <c r="BF574" s="98" t="str">
        <f ca="1">IFERROR(__xludf.DUMMYFUNCTION("IFERROR(VLOOKUP(F588,IMPORTRANGE(""https://docs.google.com/spreadsheets/d/1Kvs4KS76FHFqLFIZfrDMff4kP08nblUkihrxltoGBjg/edit#gid=934712705"",""ESENCIAL!A6:BG""),5,FALSE))"),"")</f>
        <v/>
      </c>
      <c r="BG574" s="98" t="str">
        <f t="shared" si="21"/>
        <v/>
      </c>
      <c r="BH574" s="99" t="str">
        <f t="shared" si="22"/>
        <v/>
      </c>
      <c r="BI574" s="100" t="str">
        <f ca="1">IFERROR(__xludf.DUMMYFUNCTION("IFERROR(VLOOKUP(F588,IMPORTRANGE(""https://docs.google.com/spreadsheets/d/1Kvs4KS76FHFqLFIZfrDMff4kP08nblUkihrxltoGBjg/edit#gid=934712705"",""ESENCIAL!A6:BG""),2,FALSE))"),"")</f>
        <v/>
      </c>
      <c r="BJ574" s="19" t="str">
        <f t="shared" si="23"/>
        <v/>
      </c>
      <c r="BK574" s="100"/>
      <c r="BL574" s="100"/>
    </row>
    <row r="575" spans="1:64" ht="15">
      <c r="A575" s="5"/>
      <c r="B575" s="5"/>
      <c r="G575" s="5" t="str">
        <f ca="1">IFERROR(__xludf.DUMMYFUNCTION("IFERROR(VLOOKUP(F589,IMPORTRANGE(""https://docs.google.com/spreadsheets/d/1Kvs4KS76FHFqLFIZfrDMff4kP08nblUkihrxltoGBjg/edit#gid=934712705"",""ESENCIAL!A6:BG""),3,FALSE))"),"")</f>
        <v/>
      </c>
      <c r="H575" s="5" t="str">
        <f ca="1">IFERROR(__xludf.DUMMYFUNCTION("IFERROR(VLOOKUP(F589,IMPORTRANGE(""https://docs.google.com/spreadsheets/d/1Kvs4KS76FHFqLFIZfrDMff4kP08nblUkihrxltoGBjg/edit#gid=934712705"",""ESENCIAL!A6:BG""),8,FALSE))"),"")</f>
        <v/>
      </c>
      <c r="L575" s="287"/>
      <c r="U575" s="40"/>
      <c r="AU575" s="41" t="str">
        <f t="shared" si="20"/>
        <v/>
      </c>
      <c r="AV575" s="5" t="str">
        <f ca="1">IFERROR(__xludf.DUMMYFUNCTION("IFERROR(VLOOKUP(E589&amp;F589,IMPORTRANGE(""https://docs.google.com/spreadsheets/d/1Uw7-A9f9R21vMXxHZFNpYNeKFtG8_yji4HS352LGlSQ/edit?pli=1#gid=0"",""1_ACUM!A4:S""),11,FALSE))"),"")</f>
        <v/>
      </c>
      <c r="AW575" s="42" t="str">
        <f ca="1">IFERROR(__xludf.DUMMYFUNCTION("IFERROR(VLOOKUP(F589,IMPORTRANGE(""https://docs.google.com/spreadsheets/d/1Kvs4KS76FHFqLFIZfrDMff4kP08nblUkihrxltoGBjg/edit#gid=934712705"",""ESENCIAL!A6:BG""),15,FALSE))"),"")</f>
        <v/>
      </c>
      <c r="AX575" s="21" t="str">
        <f ca="1">IFERROR(__xludf.DUMMYFUNCTION("IFERROR(VLOOKUP(E589&amp;F589,IMPORTRANGE(""https://docs.google.com/spreadsheets/d/1Uw7-A9f9R21vMXxHZFNpYNeKFtG8_yji4HS352LGlSQ/edit?pli=1#gid=0"",""1_ACUM!A4:S""),12,FALSE))"),"")</f>
        <v/>
      </c>
      <c r="AY575" s="43" t="str">
        <f ca="1">IFERROR(__xludf.DUMMYFUNCTION("IFERROR(VLOOKUP(E589&amp;F589,IMPORTRANGE(""https://docs.google.com/spreadsheets/d/1Uw7-A9f9R21vMXxHZFNpYNeKFtG8_yji4HS352LGlSQ/edit?pli=1#gid=0"",""1_ACUM!A4:S""),13,FALSE))"),"")</f>
        <v/>
      </c>
      <c r="AZ575" s="43" t="str">
        <f ca="1">IFERROR(__xludf.DUMMYFUNCTION("IFERROR(VLOOKUP(E589&amp;F589,IMPORTRANGE(""https://docs.google.com/spreadsheets/d/1Uw7-A9f9R21vMXxHZFNpYNeKFtG8_yji4HS352LGlSQ/edit?pli=1#gid=0"",""1_ACUM!A4:S""),14,FALSE))"),"")</f>
        <v/>
      </c>
      <c r="BA575" s="43" t="str">
        <f ca="1">IFERROR(__xludf.DUMMYFUNCTION("IFERROR(VLOOKUP(E589&amp;F589,IMPORTRANGE(""https://docs.google.com/spreadsheets/d/1Uw7-A9f9R21vMXxHZFNpYNeKFtG8_yji4HS352LGlSQ/edit?pli=1#gid=0"",""1_ACUM!A4:S""),15,FALSE))"),"")</f>
        <v/>
      </c>
      <c r="BB575" s="43" t="str">
        <f ca="1">IFERROR(__xludf.DUMMYFUNCTION("IFERROR(VLOOKUP(E589&amp;F589,IMPORTRANGE(""https://docs.google.com/spreadsheets/d/1Uw7-A9f9R21vMXxHZFNpYNeKFtG8_yji4HS352LGlSQ/edit?pli=1#gid=0"",""1_ACUM!A4:S""),16,FALSE))"),"")</f>
        <v/>
      </c>
      <c r="BC575" s="43" t="str">
        <f ca="1">IFERROR(__xludf.DUMMYFUNCTION("IFERROR(VLOOKUP(E589&amp;F589,IMPORTRANGE(""https://docs.google.com/spreadsheets/d/1Uw7-A9f9R21vMXxHZFNpYNeKFtG8_yji4HS352LGlSQ/edit?pli=1#gid=0"",""1_ACUM!A4:S""),17,FALSE))"),"")</f>
        <v/>
      </c>
      <c r="BD575" s="44" t="str">
        <f ca="1">IFERROR(__xludf.DUMMYFUNCTION("IFERROR(VLOOKUP(E589&amp;F589,IMPORTRANGE(""https://docs.google.com/spreadsheets/d/1Uw7-A9f9R21vMXxHZFNpYNeKFtG8_yji4HS352LGlSQ/edit?pli=1#gid=0"",""1_ACUM!A4:S""),18,FALSE))"),"")</f>
        <v/>
      </c>
      <c r="BE575" s="44" t="str">
        <f ca="1">IFERROR(__xludf.DUMMYFUNCTION("IFERROR(VLOOKUP(E589&amp;F589,IMPORTRANGE(""https://docs.google.com/spreadsheets/d/1Uw7-A9f9R21vMXxHZFNpYNeKFtG8_yji4HS352LGlSQ/edit?pli=1#gid=0"",""1_ACUM!A4:S""),19,FALSE))"),"")</f>
        <v/>
      </c>
      <c r="BF575" s="98" t="str">
        <f ca="1">IFERROR(__xludf.DUMMYFUNCTION("IFERROR(VLOOKUP(F589,IMPORTRANGE(""https://docs.google.com/spreadsheets/d/1Kvs4KS76FHFqLFIZfrDMff4kP08nblUkihrxltoGBjg/edit#gid=934712705"",""ESENCIAL!A6:BG""),5,FALSE))"),"")</f>
        <v/>
      </c>
      <c r="BG575" s="98" t="str">
        <f t="shared" si="21"/>
        <v/>
      </c>
      <c r="BH575" s="99" t="str">
        <f t="shared" si="22"/>
        <v/>
      </c>
      <c r="BI575" s="100" t="str">
        <f ca="1">IFERROR(__xludf.DUMMYFUNCTION("IFERROR(VLOOKUP(F589,IMPORTRANGE(""https://docs.google.com/spreadsheets/d/1Kvs4KS76FHFqLFIZfrDMff4kP08nblUkihrxltoGBjg/edit#gid=934712705"",""ESENCIAL!A6:BG""),2,FALSE))"),"")</f>
        <v/>
      </c>
      <c r="BJ575" s="19" t="str">
        <f t="shared" si="23"/>
        <v/>
      </c>
      <c r="BK575" s="100"/>
      <c r="BL575" s="100"/>
    </row>
    <row r="576" spans="1:64" ht="15">
      <c r="A576" s="5"/>
      <c r="B576" s="5"/>
      <c r="G576" s="5" t="str">
        <f ca="1">IFERROR(__xludf.DUMMYFUNCTION("IFERROR(VLOOKUP(F590,IMPORTRANGE(""https://docs.google.com/spreadsheets/d/1Kvs4KS76FHFqLFIZfrDMff4kP08nblUkihrxltoGBjg/edit#gid=934712705"",""ESENCIAL!A6:BG""),3,FALSE))"),"")</f>
        <v/>
      </c>
      <c r="H576" s="5" t="str">
        <f ca="1">IFERROR(__xludf.DUMMYFUNCTION("IFERROR(VLOOKUP(F590,IMPORTRANGE(""https://docs.google.com/spreadsheets/d/1Kvs4KS76FHFqLFIZfrDMff4kP08nblUkihrxltoGBjg/edit#gid=934712705"",""ESENCIAL!A6:BG""),8,FALSE))"),"")</f>
        <v/>
      </c>
      <c r="L576" s="287"/>
      <c r="U576" s="40"/>
      <c r="AU576" s="41" t="str">
        <f t="shared" si="20"/>
        <v/>
      </c>
      <c r="AV576" s="5" t="str">
        <f ca="1">IFERROR(__xludf.DUMMYFUNCTION("IFERROR(VLOOKUP(E590&amp;F590,IMPORTRANGE(""https://docs.google.com/spreadsheets/d/1Uw7-A9f9R21vMXxHZFNpYNeKFtG8_yji4HS352LGlSQ/edit?pli=1#gid=0"",""1_ACUM!A4:S""),11,FALSE))"),"")</f>
        <v/>
      </c>
      <c r="AW576" s="42" t="str">
        <f ca="1">IFERROR(__xludf.DUMMYFUNCTION("IFERROR(VLOOKUP(F590,IMPORTRANGE(""https://docs.google.com/spreadsheets/d/1Kvs4KS76FHFqLFIZfrDMff4kP08nblUkihrxltoGBjg/edit#gid=934712705"",""ESENCIAL!A6:BG""),15,FALSE))"),"")</f>
        <v/>
      </c>
      <c r="AX576" s="21" t="str">
        <f ca="1">IFERROR(__xludf.DUMMYFUNCTION("IFERROR(VLOOKUP(E590&amp;F590,IMPORTRANGE(""https://docs.google.com/spreadsheets/d/1Uw7-A9f9R21vMXxHZFNpYNeKFtG8_yji4HS352LGlSQ/edit?pli=1#gid=0"",""1_ACUM!A4:S""),12,FALSE))"),"")</f>
        <v/>
      </c>
      <c r="AY576" s="43" t="str">
        <f ca="1">IFERROR(__xludf.DUMMYFUNCTION("IFERROR(VLOOKUP(E590&amp;F590,IMPORTRANGE(""https://docs.google.com/spreadsheets/d/1Uw7-A9f9R21vMXxHZFNpYNeKFtG8_yji4HS352LGlSQ/edit?pli=1#gid=0"",""1_ACUM!A4:S""),13,FALSE))"),"")</f>
        <v/>
      </c>
      <c r="AZ576" s="43" t="str">
        <f ca="1">IFERROR(__xludf.DUMMYFUNCTION("IFERROR(VLOOKUP(E590&amp;F590,IMPORTRANGE(""https://docs.google.com/spreadsheets/d/1Uw7-A9f9R21vMXxHZFNpYNeKFtG8_yji4HS352LGlSQ/edit?pli=1#gid=0"",""1_ACUM!A4:S""),14,FALSE))"),"")</f>
        <v/>
      </c>
      <c r="BA576" s="43" t="str">
        <f ca="1">IFERROR(__xludf.DUMMYFUNCTION("IFERROR(VLOOKUP(E590&amp;F590,IMPORTRANGE(""https://docs.google.com/spreadsheets/d/1Uw7-A9f9R21vMXxHZFNpYNeKFtG8_yji4HS352LGlSQ/edit?pli=1#gid=0"",""1_ACUM!A4:S""),15,FALSE))"),"")</f>
        <v/>
      </c>
      <c r="BB576" s="43" t="str">
        <f ca="1">IFERROR(__xludf.DUMMYFUNCTION("IFERROR(VLOOKUP(E590&amp;F590,IMPORTRANGE(""https://docs.google.com/spreadsheets/d/1Uw7-A9f9R21vMXxHZFNpYNeKFtG8_yji4HS352LGlSQ/edit?pli=1#gid=0"",""1_ACUM!A4:S""),16,FALSE))"),"")</f>
        <v/>
      </c>
      <c r="BC576" s="43" t="str">
        <f ca="1">IFERROR(__xludf.DUMMYFUNCTION("IFERROR(VLOOKUP(E590&amp;F590,IMPORTRANGE(""https://docs.google.com/spreadsheets/d/1Uw7-A9f9R21vMXxHZFNpYNeKFtG8_yji4HS352LGlSQ/edit?pli=1#gid=0"",""1_ACUM!A4:S""),17,FALSE))"),"")</f>
        <v/>
      </c>
      <c r="BD576" s="44" t="str">
        <f ca="1">IFERROR(__xludf.DUMMYFUNCTION("IFERROR(VLOOKUP(E590&amp;F590,IMPORTRANGE(""https://docs.google.com/spreadsheets/d/1Uw7-A9f9R21vMXxHZFNpYNeKFtG8_yji4HS352LGlSQ/edit?pli=1#gid=0"",""1_ACUM!A4:S""),18,FALSE))"),"")</f>
        <v/>
      </c>
      <c r="BE576" s="44" t="str">
        <f ca="1">IFERROR(__xludf.DUMMYFUNCTION("IFERROR(VLOOKUP(E590&amp;F590,IMPORTRANGE(""https://docs.google.com/spreadsheets/d/1Uw7-A9f9R21vMXxHZFNpYNeKFtG8_yji4HS352LGlSQ/edit?pli=1#gid=0"",""1_ACUM!A4:S""),19,FALSE))"),"")</f>
        <v/>
      </c>
      <c r="BF576" s="98" t="str">
        <f ca="1">IFERROR(__xludf.DUMMYFUNCTION("IFERROR(VLOOKUP(F590,IMPORTRANGE(""https://docs.google.com/spreadsheets/d/1Kvs4KS76FHFqLFIZfrDMff4kP08nblUkihrxltoGBjg/edit#gid=934712705"",""ESENCIAL!A6:BG""),5,FALSE))"),"")</f>
        <v/>
      </c>
      <c r="BG576" s="98" t="str">
        <f t="shared" si="21"/>
        <v/>
      </c>
      <c r="BH576" s="99" t="str">
        <f t="shared" si="22"/>
        <v/>
      </c>
      <c r="BI576" s="100" t="str">
        <f ca="1">IFERROR(__xludf.DUMMYFUNCTION("IFERROR(VLOOKUP(F590,IMPORTRANGE(""https://docs.google.com/spreadsheets/d/1Kvs4KS76FHFqLFIZfrDMff4kP08nblUkihrxltoGBjg/edit#gid=934712705"",""ESENCIAL!A6:BG""),2,FALSE))"),"")</f>
        <v/>
      </c>
      <c r="BJ576" s="19" t="str">
        <f t="shared" si="23"/>
        <v/>
      </c>
      <c r="BK576" s="100"/>
      <c r="BL576" s="100"/>
    </row>
    <row r="577" spans="1:64" ht="15">
      <c r="A577" s="5"/>
      <c r="B577" s="5"/>
      <c r="G577" s="5" t="str">
        <f ca="1">IFERROR(__xludf.DUMMYFUNCTION("IFERROR(VLOOKUP(F591,IMPORTRANGE(""https://docs.google.com/spreadsheets/d/1Kvs4KS76FHFqLFIZfrDMff4kP08nblUkihrxltoGBjg/edit#gid=934712705"",""ESENCIAL!A6:BG""),3,FALSE))"),"")</f>
        <v/>
      </c>
      <c r="H577" s="5" t="str">
        <f ca="1">IFERROR(__xludf.DUMMYFUNCTION("IFERROR(VLOOKUP(F591,IMPORTRANGE(""https://docs.google.com/spreadsheets/d/1Kvs4KS76FHFqLFIZfrDMff4kP08nblUkihrxltoGBjg/edit#gid=934712705"",""ESENCIAL!A6:BG""),8,FALSE))"),"")</f>
        <v/>
      </c>
      <c r="L577" s="287"/>
      <c r="U577" s="40"/>
      <c r="AU577" s="41" t="str">
        <f t="shared" si="20"/>
        <v/>
      </c>
      <c r="AV577" s="5" t="str">
        <f ca="1">IFERROR(__xludf.DUMMYFUNCTION("IFERROR(VLOOKUP(E591&amp;F591,IMPORTRANGE(""https://docs.google.com/spreadsheets/d/1Uw7-A9f9R21vMXxHZFNpYNeKFtG8_yji4HS352LGlSQ/edit?pli=1#gid=0"",""1_ACUM!A4:S""),11,FALSE))"),"")</f>
        <v/>
      </c>
      <c r="AW577" s="42" t="str">
        <f ca="1">IFERROR(__xludf.DUMMYFUNCTION("IFERROR(VLOOKUP(F591,IMPORTRANGE(""https://docs.google.com/spreadsheets/d/1Kvs4KS76FHFqLFIZfrDMff4kP08nblUkihrxltoGBjg/edit#gid=934712705"",""ESENCIAL!A6:BG""),15,FALSE))"),"")</f>
        <v/>
      </c>
      <c r="AX577" s="21" t="str">
        <f ca="1">IFERROR(__xludf.DUMMYFUNCTION("IFERROR(VLOOKUP(E591&amp;F591,IMPORTRANGE(""https://docs.google.com/spreadsheets/d/1Uw7-A9f9R21vMXxHZFNpYNeKFtG8_yji4HS352LGlSQ/edit?pli=1#gid=0"",""1_ACUM!A4:S""),12,FALSE))"),"")</f>
        <v/>
      </c>
      <c r="AY577" s="43" t="str">
        <f ca="1">IFERROR(__xludf.DUMMYFUNCTION("IFERROR(VLOOKUP(E591&amp;F591,IMPORTRANGE(""https://docs.google.com/spreadsheets/d/1Uw7-A9f9R21vMXxHZFNpYNeKFtG8_yji4HS352LGlSQ/edit?pli=1#gid=0"",""1_ACUM!A4:S""),13,FALSE))"),"")</f>
        <v/>
      </c>
      <c r="AZ577" s="43" t="str">
        <f ca="1">IFERROR(__xludf.DUMMYFUNCTION("IFERROR(VLOOKUP(E591&amp;F591,IMPORTRANGE(""https://docs.google.com/spreadsheets/d/1Uw7-A9f9R21vMXxHZFNpYNeKFtG8_yji4HS352LGlSQ/edit?pli=1#gid=0"",""1_ACUM!A4:S""),14,FALSE))"),"")</f>
        <v/>
      </c>
      <c r="BA577" s="43" t="str">
        <f ca="1">IFERROR(__xludf.DUMMYFUNCTION("IFERROR(VLOOKUP(E591&amp;F591,IMPORTRANGE(""https://docs.google.com/spreadsheets/d/1Uw7-A9f9R21vMXxHZFNpYNeKFtG8_yji4HS352LGlSQ/edit?pli=1#gid=0"",""1_ACUM!A4:S""),15,FALSE))"),"")</f>
        <v/>
      </c>
      <c r="BB577" s="43" t="str">
        <f ca="1">IFERROR(__xludf.DUMMYFUNCTION("IFERROR(VLOOKUP(E591&amp;F591,IMPORTRANGE(""https://docs.google.com/spreadsheets/d/1Uw7-A9f9R21vMXxHZFNpYNeKFtG8_yji4HS352LGlSQ/edit?pli=1#gid=0"",""1_ACUM!A4:S""),16,FALSE))"),"")</f>
        <v/>
      </c>
      <c r="BC577" s="43" t="str">
        <f ca="1">IFERROR(__xludf.DUMMYFUNCTION("IFERROR(VLOOKUP(E591&amp;F591,IMPORTRANGE(""https://docs.google.com/spreadsheets/d/1Uw7-A9f9R21vMXxHZFNpYNeKFtG8_yji4HS352LGlSQ/edit?pli=1#gid=0"",""1_ACUM!A4:S""),17,FALSE))"),"")</f>
        <v/>
      </c>
      <c r="BD577" s="44" t="str">
        <f ca="1">IFERROR(__xludf.DUMMYFUNCTION("IFERROR(VLOOKUP(E591&amp;F591,IMPORTRANGE(""https://docs.google.com/spreadsheets/d/1Uw7-A9f9R21vMXxHZFNpYNeKFtG8_yji4HS352LGlSQ/edit?pli=1#gid=0"",""1_ACUM!A4:S""),18,FALSE))"),"")</f>
        <v/>
      </c>
      <c r="BE577" s="44" t="str">
        <f ca="1">IFERROR(__xludf.DUMMYFUNCTION("IFERROR(VLOOKUP(E591&amp;F591,IMPORTRANGE(""https://docs.google.com/spreadsheets/d/1Uw7-A9f9R21vMXxHZFNpYNeKFtG8_yji4HS352LGlSQ/edit?pli=1#gid=0"",""1_ACUM!A4:S""),19,FALSE))"),"")</f>
        <v/>
      </c>
      <c r="BF577" s="98" t="str">
        <f ca="1">IFERROR(__xludf.DUMMYFUNCTION("IFERROR(VLOOKUP(F591,IMPORTRANGE(""https://docs.google.com/spreadsheets/d/1Kvs4KS76FHFqLFIZfrDMff4kP08nblUkihrxltoGBjg/edit#gid=934712705"",""ESENCIAL!A6:BG""),5,FALSE))"),"")</f>
        <v/>
      </c>
      <c r="BG577" s="98" t="str">
        <f t="shared" si="21"/>
        <v/>
      </c>
      <c r="BH577" s="99" t="str">
        <f t="shared" si="22"/>
        <v/>
      </c>
      <c r="BI577" s="100" t="str">
        <f ca="1">IFERROR(__xludf.DUMMYFUNCTION("IFERROR(VLOOKUP(F591,IMPORTRANGE(""https://docs.google.com/spreadsheets/d/1Kvs4KS76FHFqLFIZfrDMff4kP08nblUkihrxltoGBjg/edit#gid=934712705"",""ESENCIAL!A6:BG""),2,FALSE))"),"")</f>
        <v/>
      </c>
      <c r="BJ577" s="19" t="str">
        <f t="shared" si="23"/>
        <v/>
      </c>
      <c r="BK577" s="100"/>
      <c r="BL577" s="100"/>
    </row>
    <row r="578" spans="1:64" ht="15">
      <c r="A578" s="5"/>
      <c r="B578" s="5"/>
      <c r="G578" s="5" t="str">
        <f ca="1">IFERROR(__xludf.DUMMYFUNCTION("IFERROR(VLOOKUP(F592,IMPORTRANGE(""https://docs.google.com/spreadsheets/d/1Kvs4KS76FHFqLFIZfrDMff4kP08nblUkihrxltoGBjg/edit#gid=934712705"",""ESENCIAL!A6:BG""),3,FALSE))"),"")</f>
        <v/>
      </c>
      <c r="H578" s="5" t="str">
        <f ca="1">IFERROR(__xludf.DUMMYFUNCTION("IFERROR(VLOOKUP(F592,IMPORTRANGE(""https://docs.google.com/spreadsheets/d/1Kvs4KS76FHFqLFIZfrDMff4kP08nblUkihrxltoGBjg/edit#gid=934712705"",""ESENCIAL!A6:BG""),8,FALSE))"),"")</f>
        <v/>
      </c>
      <c r="L578" s="287"/>
      <c r="U578" s="40"/>
      <c r="AU578" s="41" t="str">
        <f t="shared" si="20"/>
        <v/>
      </c>
      <c r="AV578" s="5" t="str">
        <f ca="1">IFERROR(__xludf.DUMMYFUNCTION("IFERROR(VLOOKUP(E592&amp;F592,IMPORTRANGE(""https://docs.google.com/spreadsheets/d/1Uw7-A9f9R21vMXxHZFNpYNeKFtG8_yji4HS352LGlSQ/edit?pli=1#gid=0"",""1_ACUM!A4:S""),11,FALSE))"),"")</f>
        <v/>
      </c>
      <c r="AW578" s="42" t="str">
        <f ca="1">IFERROR(__xludf.DUMMYFUNCTION("IFERROR(VLOOKUP(F592,IMPORTRANGE(""https://docs.google.com/spreadsheets/d/1Kvs4KS76FHFqLFIZfrDMff4kP08nblUkihrxltoGBjg/edit#gid=934712705"",""ESENCIAL!A6:BG""),15,FALSE))"),"")</f>
        <v/>
      </c>
      <c r="AX578" s="21" t="str">
        <f ca="1">IFERROR(__xludf.DUMMYFUNCTION("IFERROR(VLOOKUP(E592&amp;F592,IMPORTRANGE(""https://docs.google.com/spreadsheets/d/1Uw7-A9f9R21vMXxHZFNpYNeKFtG8_yji4HS352LGlSQ/edit?pli=1#gid=0"",""1_ACUM!A4:S""),12,FALSE))"),"")</f>
        <v/>
      </c>
      <c r="AY578" s="43" t="str">
        <f ca="1">IFERROR(__xludf.DUMMYFUNCTION("IFERROR(VLOOKUP(E592&amp;F592,IMPORTRANGE(""https://docs.google.com/spreadsheets/d/1Uw7-A9f9R21vMXxHZFNpYNeKFtG8_yji4HS352LGlSQ/edit?pli=1#gid=0"",""1_ACUM!A4:S""),13,FALSE))"),"")</f>
        <v/>
      </c>
      <c r="AZ578" s="43" t="str">
        <f ca="1">IFERROR(__xludf.DUMMYFUNCTION("IFERROR(VLOOKUP(E592&amp;F592,IMPORTRANGE(""https://docs.google.com/spreadsheets/d/1Uw7-A9f9R21vMXxHZFNpYNeKFtG8_yji4HS352LGlSQ/edit?pli=1#gid=0"",""1_ACUM!A4:S""),14,FALSE))"),"")</f>
        <v/>
      </c>
      <c r="BA578" s="43" t="str">
        <f ca="1">IFERROR(__xludf.DUMMYFUNCTION("IFERROR(VLOOKUP(E592&amp;F592,IMPORTRANGE(""https://docs.google.com/spreadsheets/d/1Uw7-A9f9R21vMXxHZFNpYNeKFtG8_yji4HS352LGlSQ/edit?pli=1#gid=0"",""1_ACUM!A4:S""),15,FALSE))"),"")</f>
        <v/>
      </c>
      <c r="BB578" s="43" t="str">
        <f ca="1">IFERROR(__xludf.DUMMYFUNCTION("IFERROR(VLOOKUP(E592&amp;F592,IMPORTRANGE(""https://docs.google.com/spreadsheets/d/1Uw7-A9f9R21vMXxHZFNpYNeKFtG8_yji4HS352LGlSQ/edit?pli=1#gid=0"",""1_ACUM!A4:S""),16,FALSE))"),"")</f>
        <v/>
      </c>
      <c r="BC578" s="43" t="str">
        <f ca="1">IFERROR(__xludf.DUMMYFUNCTION("IFERROR(VLOOKUP(E592&amp;F592,IMPORTRANGE(""https://docs.google.com/spreadsheets/d/1Uw7-A9f9R21vMXxHZFNpYNeKFtG8_yji4HS352LGlSQ/edit?pli=1#gid=0"",""1_ACUM!A4:S""),17,FALSE))"),"")</f>
        <v/>
      </c>
      <c r="BD578" s="44" t="str">
        <f ca="1">IFERROR(__xludf.DUMMYFUNCTION("IFERROR(VLOOKUP(E592&amp;F592,IMPORTRANGE(""https://docs.google.com/spreadsheets/d/1Uw7-A9f9R21vMXxHZFNpYNeKFtG8_yji4HS352LGlSQ/edit?pli=1#gid=0"",""1_ACUM!A4:S""),18,FALSE))"),"")</f>
        <v/>
      </c>
      <c r="BE578" s="44" t="str">
        <f ca="1">IFERROR(__xludf.DUMMYFUNCTION("IFERROR(VLOOKUP(E592&amp;F592,IMPORTRANGE(""https://docs.google.com/spreadsheets/d/1Uw7-A9f9R21vMXxHZFNpYNeKFtG8_yji4HS352LGlSQ/edit?pli=1#gid=0"",""1_ACUM!A4:S""),19,FALSE))"),"")</f>
        <v/>
      </c>
      <c r="BF578" s="98" t="str">
        <f ca="1">IFERROR(__xludf.DUMMYFUNCTION("IFERROR(VLOOKUP(F592,IMPORTRANGE(""https://docs.google.com/spreadsheets/d/1Kvs4KS76FHFqLFIZfrDMff4kP08nblUkihrxltoGBjg/edit#gid=934712705"",""ESENCIAL!A6:BG""),5,FALSE))"),"")</f>
        <v/>
      </c>
      <c r="BG578" s="98" t="str">
        <f t="shared" si="21"/>
        <v/>
      </c>
      <c r="BH578" s="99" t="str">
        <f t="shared" si="22"/>
        <v/>
      </c>
      <c r="BI578" s="100" t="str">
        <f ca="1">IFERROR(__xludf.DUMMYFUNCTION("IFERROR(VLOOKUP(F592,IMPORTRANGE(""https://docs.google.com/spreadsheets/d/1Kvs4KS76FHFqLFIZfrDMff4kP08nblUkihrxltoGBjg/edit#gid=934712705"",""ESENCIAL!A6:BG""),2,FALSE))"),"")</f>
        <v/>
      </c>
      <c r="BJ578" s="19" t="str">
        <f t="shared" si="23"/>
        <v/>
      </c>
      <c r="BK578" s="100"/>
      <c r="BL578" s="100"/>
    </row>
    <row r="579" spans="1:64" ht="15">
      <c r="A579" s="5"/>
      <c r="B579" s="5"/>
      <c r="G579" s="5" t="str">
        <f ca="1">IFERROR(__xludf.DUMMYFUNCTION("IFERROR(VLOOKUP(F593,IMPORTRANGE(""https://docs.google.com/spreadsheets/d/1Kvs4KS76FHFqLFIZfrDMff4kP08nblUkihrxltoGBjg/edit#gid=934712705"",""ESENCIAL!A6:BG""),3,FALSE))"),"")</f>
        <v/>
      </c>
      <c r="H579" s="5" t="str">
        <f ca="1">IFERROR(__xludf.DUMMYFUNCTION("IFERROR(VLOOKUP(F593,IMPORTRANGE(""https://docs.google.com/spreadsheets/d/1Kvs4KS76FHFqLFIZfrDMff4kP08nblUkihrxltoGBjg/edit#gid=934712705"",""ESENCIAL!A6:BG""),8,FALSE))"),"")</f>
        <v/>
      </c>
      <c r="L579" s="287"/>
      <c r="U579" s="40"/>
      <c r="AU579" s="41" t="str">
        <f t="shared" si="20"/>
        <v/>
      </c>
      <c r="AV579" s="5" t="str">
        <f ca="1">IFERROR(__xludf.DUMMYFUNCTION("IFERROR(VLOOKUP(E593&amp;F593,IMPORTRANGE(""https://docs.google.com/spreadsheets/d/1Uw7-A9f9R21vMXxHZFNpYNeKFtG8_yji4HS352LGlSQ/edit?pli=1#gid=0"",""1_ACUM!A4:S""),11,FALSE))"),"")</f>
        <v/>
      </c>
      <c r="AW579" s="42" t="str">
        <f ca="1">IFERROR(__xludf.DUMMYFUNCTION("IFERROR(VLOOKUP(F593,IMPORTRANGE(""https://docs.google.com/spreadsheets/d/1Kvs4KS76FHFqLFIZfrDMff4kP08nblUkihrxltoGBjg/edit#gid=934712705"",""ESENCIAL!A6:BG""),15,FALSE))"),"")</f>
        <v/>
      </c>
      <c r="AX579" s="21" t="str">
        <f ca="1">IFERROR(__xludf.DUMMYFUNCTION("IFERROR(VLOOKUP(E593&amp;F593,IMPORTRANGE(""https://docs.google.com/spreadsheets/d/1Uw7-A9f9R21vMXxHZFNpYNeKFtG8_yji4HS352LGlSQ/edit?pli=1#gid=0"",""1_ACUM!A4:S""),12,FALSE))"),"")</f>
        <v/>
      </c>
      <c r="AY579" s="43" t="str">
        <f ca="1">IFERROR(__xludf.DUMMYFUNCTION("IFERROR(VLOOKUP(E593&amp;F593,IMPORTRANGE(""https://docs.google.com/spreadsheets/d/1Uw7-A9f9R21vMXxHZFNpYNeKFtG8_yji4HS352LGlSQ/edit?pli=1#gid=0"",""1_ACUM!A4:S""),13,FALSE))"),"")</f>
        <v/>
      </c>
      <c r="AZ579" s="43" t="str">
        <f ca="1">IFERROR(__xludf.DUMMYFUNCTION("IFERROR(VLOOKUP(E593&amp;F593,IMPORTRANGE(""https://docs.google.com/spreadsheets/d/1Uw7-A9f9R21vMXxHZFNpYNeKFtG8_yji4HS352LGlSQ/edit?pli=1#gid=0"",""1_ACUM!A4:S""),14,FALSE))"),"")</f>
        <v/>
      </c>
      <c r="BA579" s="43" t="str">
        <f ca="1">IFERROR(__xludf.DUMMYFUNCTION("IFERROR(VLOOKUP(E593&amp;F593,IMPORTRANGE(""https://docs.google.com/spreadsheets/d/1Uw7-A9f9R21vMXxHZFNpYNeKFtG8_yji4HS352LGlSQ/edit?pli=1#gid=0"",""1_ACUM!A4:S""),15,FALSE))"),"")</f>
        <v/>
      </c>
      <c r="BB579" s="43" t="str">
        <f ca="1">IFERROR(__xludf.DUMMYFUNCTION("IFERROR(VLOOKUP(E593&amp;F593,IMPORTRANGE(""https://docs.google.com/spreadsheets/d/1Uw7-A9f9R21vMXxHZFNpYNeKFtG8_yji4HS352LGlSQ/edit?pli=1#gid=0"",""1_ACUM!A4:S""),16,FALSE))"),"")</f>
        <v/>
      </c>
      <c r="BC579" s="43" t="str">
        <f ca="1">IFERROR(__xludf.DUMMYFUNCTION("IFERROR(VLOOKUP(E593&amp;F593,IMPORTRANGE(""https://docs.google.com/spreadsheets/d/1Uw7-A9f9R21vMXxHZFNpYNeKFtG8_yji4HS352LGlSQ/edit?pli=1#gid=0"",""1_ACUM!A4:S""),17,FALSE))"),"")</f>
        <v/>
      </c>
      <c r="BD579" s="44" t="str">
        <f ca="1">IFERROR(__xludf.DUMMYFUNCTION("IFERROR(VLOOKUP(E593&amp;F593,IMPORTRANGE(""https://docs.google.com/spreadsheets/d/1Uw7-A9f9R21vMXxHZFNpYNeKFtG8_yji4HS352LGlSQ/edit?pli=1#gid=0"",""1_ACUM!A4:S""),18,FALSE))"),"")</f>
        <v/>
      </c>
      <c r="BE579" s="44" t="str">
        <f ca="1">IFERROR(__xludf.DUMMYFUNCTION("IFERROR(VLOOKUP(E593&amp;F593,IMPORTRANGE(""https://docs.google.com/spreadsheets/d/1Uw7-A9f9R21vMXxHZFNpYNeKFtG8_yji4HS352LGlSQ/edit?pli=1#gid=0"",""1_ACUM!A4:S""),19,FALSE))"),"")</f>
        <v/>
      </c>
      <c r="BF579" s="98" t="str">
        <f ca="1">IFERROR(__xludf.DUMMYFUNCTION("IFERROR(VLOOKUP(F593,IMPORTRANGE(""https://docs.google.com/spreadsheets/d/1Kvs4KS76FHFqLFIZfrDMff4kP08nblUkihrxltoGBjg/edit#gid=934712705"",""ESENCIAL!A6:BG""),5,FALSE))"),"")</f>
        <v/>
      </c>
      <c r="BG579" s="98" t="str">
        <f t="shared" si="21"/>
        <v/>
      </c>
      <c r="BH579" s="99" t="str">
        <f t="shared" si="22"/>
        <v/>
      </c>
      <c r="BI579" s="100" t="str">
        <f ca="1">IFERROR(__xludf.DUMMYFUNCTION("IFERROR(VLOOKUP(F593,IMPORTRANGE(""https://docs.google.com/spreadsheets/d/1Kvs4KS76FHFqLFIZfrDMff4kP08nblUkihrxltoGBjg/edit#gid=934712705"",""ESENCIAL!A6:BG""),2,FALSE))"),"")</f>
        <v/>
      </c>
      <c r="BJ579" s="19" t="str">
        <f t="shared" si="23"/>
        <v/>
      </c>
      <c r="BK579" s="100"/>
      <c r="BL579" s="100"/>
    </row>
    <row r="580" spans="1:64" ht="15">
      <c r="A580" s="5"/>
      <c r="B580" s="5"/>
      <c r="G580" s="5" t="str">
        <f ca="1">IFERROR(__xludf.DUMMYFUNCTION("IFERROR(VLOOKUP(F594,IMPORTRANGE(""https://docs.google.com/spreadsheets/d/1Kvs4KS76FHFqLFIZfrDMff4kP08nblUkihrxltoGBjg/edit#gid=934712705"",""ESENCIAL!A6:BG""),3,FALSE))"),"")</f>
        <v/>
      </c>
      <c r="H580" s="5" t="str">
        <f ca="1">IFERROR(__xludf.DUMMYFUNCTION("IFERROR(VLOOKUP(F594,IMPORTRANGE(""https://docs.google.com/spreadsheets/d/1Kvs4KS76FHFqLFIZfrDMff4kP08nblUkihrxltoGBjg/edit#gid=934712705"",""ESENCIAL!A6:BG""),8,FALSE))"),"")</f>
        <v/>
      </c>
      <c r="L580" s="287"/>
      <c r="U580" s="40"/>
      <c r="AU580" s="41" t="str">
        <f t="shared" si="20"/>
        <v/>
      </c>
      <c r="AV580" s="5" t="str">
        <f ca="1">IFERROR(__xludf.DUMMYFUNCTION("IFERROR(VLOOKUP(E594&amp;F594,IMPORTRANGE(""https://docs.google.com/spreadsheets/d/1Uw7-A9f9R21vMXxHZFNpYNeKFtG8_yji4HS352LGlSQ/edit?pli=1#gid=0"",""1_ACUM!A4:S""),11,FALSE))"),"")</f>
        <v/>
      </c>
      <c r="AW580" s="42" t="str">
        <f ca="1">IFERROR(__xludf.DUMMYFUNCTION("IFERROR(VLOOKUP(F594,IMPORTRANGE(""https://docs.google.com/spreadsheets/d/1Kvs4KS76FHFqLFIZfrDMff4kP08nblUkihrxltoGBjg/edit#gid=934712705"",""ESENCIAL!A6:BG""),15,FALSE))"),"")</f>
        <v/>
      </c>
      <c r="AX580" s="21" t="str">
        <f ca="1">IFERROR(__xludf.DUMMYFUNCTION("IFERROR(VLOOKUP(E594&amp;F594,IMPORTRANGE(""https://docs.google.com/spreadsheets/d/1Uw7-A9f9R21vMXxHZFNpYNeKFtG8_yji4HS352LGlSQ/edit?pli=1#gid=0"",""1_ACUM!A4:S""),12,FALSE))"),"")</f>
        <v/>
      </c>
      <c r="AY580" s="43" t="str">
        <f ca="1">IFERROR(__xludf.DUMMYFUNCTION("IFERROR(VLOOKUP(E594&amp;F594,IMPORTRANGE(""https://docs.google.com/spreadsheets/d/1Uw7-A9f9R21vMXxHZFNpYNeKFtG8_yji4HS352LGlSQ/edit?pli=1#gid=0"",""1_ACUM!A4:S""),13,FALSE))"),"")</f>
        <v/>
      </c>
      <c r="AZ580" s="43" t="str">
        <f ca="1">IFERROR(__xludf.DUMMYFUNCTION("IFERROR(VLOOKUP(E594&amp;F594,IMPORTRANGE(""https://docs.google.com/spreadsheets/d/1Uw7-A9f9R21vMXxHZFNpYNeKFtG8_yji4HS352LGlSQ/edit?pli=1#gid=0"",""1_ACUM!A4:S""),14,FALSE))"),"")</f>
        <v/>
      </c>
      <c r="BA580" s="43" t="str">
        <f ca="1">IFERROR(__xludf.DUMMYFUNCTION("IFERROR(VLOOKUP(E594&amp;F594,IMPORTRANGE(""https://docs.google.com/spreadsheets/d/1Uw7-A9f9R21vMXxHZFNpYNeKFtG8_yji4HS352LGlSQ/edit?pli=1#gid=0"",""1_ACUM!A4:S""),15,FALSE))"),"")</f>
        <v/>
      </c>
      <c r="BB580" s="43" t="str">
        <f ca="1">IFERROR(__xludf.DUMMYFUNCTION("IFERROR(VLOOKUP(E594&amp;F594,IMPORTRANGE(""https://docs.google.com/spreadsheets/d/1Uw7-A9f9R21vMXxHZFNpYNeKFtG8_yji4HS352LGlSQ/edit?pli=1#gid=0"",""1_ACUM!A4:S""),16,FALSE))"),"")</f>
        <v/>
      </c>
      <c r="BC580" s="43" t="str">
        <f ca="1">IFERROR(__xludf.DUMMYFUNCTION("IFERROR(VLOOKUP(E594&amp;F594,IMPORTRANGE(""https://docs.google.com/spreadsheets/d/1Uw7-A9f9R21vMXxHZFNpYNeKFtG8_yji4HS352LGlSQ/edit?pli=1#gid=0"",""1_ACUM!A4:S""),17,FALSE))"),"")</f>
        <v/>
      </c>
      <c r="BD580" s="44" t="str">
        <f ca="1">IFERROR(__xludf.DUMMYFUNCTION("IFERROR(VLOOKUP(E594&amp;F594,IMPORTRANGE(""https://docs.google.com/spreadsheets/d/1Uw7-A9f9R21vMXxHZFNpYNeKFtG8_yji4HS352LGlSQ/edit?pli=1#gid=0"",""1_ACUM!A4:S""),18,FALSE))"),"")</f>
        <v/>
      </c>
      <c r="BE580" s="44" t="str">
        <f ca="1">IFERROR(__xludf.DUMMYFUNCTION("IFERROR(VLOOKUP(E594&amp;F594,IMPORTRANGE(""https://docs.google.com/spreadsheets/d/1Uw7-A9f9R21vMXxHZFNpYNeKFtG8_yji4HS352LGlSQ/edit?pli=1#gid=0"",""1_ACUM!A4:S""),19,FALSE))"),"")</f>
        <v/>
      </c>
      <c r="BF580" s="98" t="str">
        <f ca="1">IFERROR(__xludf.DUMMYFUNCTION("IFERROR(VLOOKUP(F594,IMPORTRANGE(""https://docs.google.com/spreadsheets/d/1Kvs4KS76FHFqLFIZfrDMff4kP08nblUkihrxltoGBjg/edit#gid=934712705"",""ESENCIAL!A6:BG""),5,FALSE))"),"")</f>
        <v/>
      </c>
      <c r="BG580" s="98" t="str">
        <f t="shared" si="21"/>
        <v/>
      </c>
      <c r="BH580" s="99" t="str">
        <f t="shared" si="22"/>
        <v/>
      </c>
      <c r="BI580" s="100" t="str">
        <f ca="1">IFERROR(__xludf.DUMMYFUNCTION("IFERROR(VLOOKUP(F594,IMPORTRANGE(""https://docs.google.com/spreadsheets/d/1Kvs4KS76FHFqLFIZfrDMff4kP08nblUkihrxltoGBjg/edit#gid=934712705"",""ESENCIAL!A6:BG""),2,FALSE))"),"")</f>
        <v/>
      </c>
      <c r="BJ580" s="19" t="str">
        <f t="shared" si="23"/>
        <v/>
      </c>
      <c r="BK580" s="100"/>
      <c r="BL580" s="100"/>
    </row>
    <row r="581" spans="1:64" ht="15">
      <c r="A581" s="5"/>
      <c r="B581" s="5"/>
      <c r="G581" s="5" t="str">
        <f ca="1">IFERROR(__xludf.DUMMYFUNCTION("IFERROR(VLOOKUP(F595,IMPORTRANGE(""https://docs.google.com/spreadsheets/d/1Kvs4KS76FHFqLFIZfrDMff4kP08nblUkihrxltoGBjg/edit#gid=934712705"",""ESENCIAL!A6:BG""),3,FALSE))"),"")</f>
        <v/>
      </c>
      <c r="H581" s="5" t="str">
        <f ca="1">IFERROR(__xludf.DUMMYFUNCTION("IFERROR(VLOOKUP(F595,IMPORTRANGE(""https://docs.google.com/spreadsheets/d/1Kvs4KS76FHFqLFIZfrDMff4kP08nblUkihrxltoGBjg/edit#gid=934712705"",""ESENCIAL!A6:BG""),8,FALSE))"),"")</f>
        <v/>
      </c>
      <c r="L581" s="287"/>
      <c r="U581" s="40"/>
      <c r="AU581" s="41" t="str">
        <f t="shared" si="20"/>
        <v/>
      </c>
      <c r="AV581" s="5" t="str">
        <f ca="1">IFERROR(__xludf.DUMMYFUNCTION("IFERROR(VLOOKUP(E595&amp;F595,IMPORTRANGE(""https://docs.google.com/spreadsheets/d/1Uw7-A9f9R21vMXxHZFNpYNeKFtG8_yji4HS352LGlSQ/edit?pli=1#gid=0"",""1_ACUM!A4:S""),11,FALSE))"),"")</f>
        <v/>
      </c>
      <c r="AW581" s="42" t="str">
        <f ca="1">IFERROR(__xludf.DUMMYFUNCTION("IFERROR(VLOOKUP(F595,IMPORTRANGE(""https://docs.google.com/spreadsheets/d/1Kvs4KS76FHFqLFIZfrDMff4kP08nblUkihrxltoGBjg/edit#gid=934712705"",""ESENCIAL!A6:BG""),15,FALSE))"),"")</f>
        <v/>
      </c>
      <c r="AX581" s="21" t="str">
        <f ca="1">IFERROR(__xludf.DUMMYFUNCTION("IFERROR(VLOOKUP(E595&amp;F595,IMPORTRANGE(""https://docs.google.com/spreadsheets/d/1Uw7-A9f9R21vMXxHZFNpYNeKFtG8_yji4HS352LGlSQ/edit?pli=1#gid=0"",""1_ACUM!A4:S""),12,FALSE))"),"")</f>
        <v/>
      </c>
      <c r="AY581" s="43" t="str">
        <f ca="1">IFERROR(__xludf.DUMMYFUNCTION("IFERROR(VLOOKUP(E595&amp;F595,IMPORTRANGE(""https://docs.google.com/spreadsheets/d/1Uw7-A9f9R21vMXxHZFNpYNeKFtG8_yji4HS352LGlSQ/edit?pli=1#gid=0"",""1_ACUM!A4:S""),13,FALSE))"),"")</f>
        <v/>
      </c>
      <c r="AZ581" s="43" t="str">
        <f ca="1">IFERROR(__xludf.DUMMYFUNCTION("IFERROR(VLOOKUP(E595&amp;F595,IMPORTRANGE(""https://docs.google.com/spreadsheets/d/1Uw7-A9f9R21vMXxHZFNpYNeKFtG8_yji4HS352LGlSQ/edit?pli=1#gid=0"",""1_ACUM!A4:S""),14,FALSE))"),"")</f>
        <v/>
      </c>
      <c r="BA581" s="43" t="str">
        <f ca="1">IFERROR(__xludf.DUMMYFUNCTION("IFERROR(VLOOKUP(E595&amp;F595,IMPORTRANGE(""https://docs.google.com/spreadsheets/d/1Uw7-A9f9R21vMXxHZFNpYNeKFtG8_yji4HS352LGlSQ/edit?pli=1#gid=0"",""1_ACUM!A4:S""),15,FALSE))"),"")</f>
        <v/>
      </c>
      <c r="BB581" s="43" t="str">
        <f ca="1">IFERROR(__xludf.DUMMYFUNCTION("IFERROR(VLOOKUP(E595&amp;F595,IMPORTRANGE(""https://docs.google.com/spreadsheets/d/1Uw7-A9f9R21vMXxHZFNpYNeKFtG8_yji4HS352LGlSQ/edit?pli=1#gid=0"",""1_ACUM!A4:S""),16,FALSE))"),"")</f>
        <v/>
      </c>
      <c r="BC581" s="43" t="str">
        <f ca="1">IFERROR(__xludf.DUMMYFUNCTION("IFERROR(VLOOKUP(E595&amp;F595,IMPORTRANGE(""https://docs.google.com/spreadsheets/d/1Uw7-A9f9R21vMXxHZFNpYNeKFtG8_yji4HS352LGlSQ/edit?pli=1#gid=0"",""1_ACUM!A4:S""),17,FALSE))"),"")</f>
        <v/>
      </c>
      <c r="BD581" s="44" t="str">
        <f ca="1">IFERROR(__xludf.DUMMYFUNCTION("IFERROR(VLOOKUP(E595&amp;F595,IMPORTRANGE(""https://docs.google.com/spreadsheets/d/1Uw7-A9f9R21vMXxHZFNpYNeKFtG8_yji4HS352LGlSQ/edit?pli=1#gid=0"",""1_ACUM!A4:S""),18,FALSE))"),"")</f>
        <v/>
      </c>
      <c r="BE581" s="44" t="str">
        <f ca="1">IFERROR(__xludf.DUMMYFUNCTION("IFERROR(VLOOKUP(E595&amp;F595,IMPORTRANGE(""https://docs.google.com/spreadsheets/d/1Uw7-A9f9R21vMXxHZFNpYNeKFtG8_yji4HS352LGlSQ/edit?pli=1#gid=0"",""1_ACUM!A4:S""),19,FALSE))"),"")</f>
        <v/>
      </c>
      <c r="BF581" s="98" t="str">
        <f ca="1">IFERROR(__xludf.DUMMYFUNCTION("IFERROR(VLOOKUP(F595,IMPORTRANGE(""https://docs.google.com/spreadsheets/d/1Kvs4KS76FHFqLFIZfrDMff4kP08nblUkihrxltoGBjg/edit#gid=934712705"",""ESENCIAL!A6:BG""),5,FALSE))"),"")</f>
        <v/>
      </c>
      <c r="BG581" s="98" t="str">
        <f t="shared" si="21"/>
        <v/>
      </c>
      <c r="BH581" s="99" t="str">
        <f t="shared" si="22"/>
        <v/>
      </c>
      <c r="BI581" s="100" t="str">
        <f ca="1">IFERROR(__xludf.DUMMYFUNCTION("IFERROR(VLOOKUP(F595,IMPORTRANGE(""https://docs.google.com/spreadsheets/d/1Kvs4KS76FHFqLFIZfrDMff4kP08nblUkihrxltoGBjg/edit#gid=934712705"",""ESENCIAL!A6:BG""),2,FALSE))"),"")</f>
        <v/>
      </c>
      <c r="BJ581" s="19" t="str">
        <f t="shared" si="23"/>
        <v/>
      </c>
      <c r="BK581" s="100"/>
      <c r="BL581" s="100"/>
    </row>
    <row r="582" spans="1:64" ht="15">
      <c r="A582" s="5"/>
      <c r="B582" s="5"/>
      <c r="G582" s="5" t="str">
        <f ca="1">IFERROR(__xludf.DUMMYFUNCTION("IFERROR(VLOOKUP(F596,IMPORTRANGE(""https://docs.google.com/spreadsheets/d/1Kvs4KS76FHFqLFIZfrDMff4kP08nblUkihrxltoGBjg/edit#gid=934712705"",""ESENCIAL!A6:BG""),3,FALSE))"),"")</f>
        <v/>
      </c>
      <c r="H582" s="5" t="str">
        <f ca="1">IFERROR(__xludf.DUMMYFUNCTION("IFERROR(VLOOKUP(F596,IMPORTRANGE(""https://docs.google.com/spreadsheets/d/1Kvs4KS76FHFqLFIZfrDMff4kP08nblUkihrxltoGBjg/edit#gid=934712705"",""ESENCIAL!A6:BG""),8,FALSE))"),"")</f>
        <v/>
      </c>
      <c r="L582" s="287"/>
      <c r="U582" s="40"/>
      <c r="AU582" s="41" t="str">
        <f t="shared" si="20"/>
        <v/>
      </c>
      <c r="AV582" s="5" t="str">
        <f ca="1">IFERROR(__xludf.DUMMYFUNCTION("IFERROR(VLOOKUP(E596&amp;F596,IMPORTRANGE(""https://docs.google.com/spreadsheets/d/1Uw7-A9f9R21vMXxHZFNpYNeKFtG8_yji4HS352LGlSQ/edit?pli=1#gid=0"",""1_ACUM!A4:S""),11,FALSE))"),"")</f>
        <v/>
      </c>
      <c r="AW582" s="42" t="str">
        <f ca="1">IFERROR(__xludf.DUMMYFUNCTION("IFERROR(VLOOKUP(F596,IMPORTRANGE(""https://docs.google.com/spreadsheets/d/1Kvs4KS76FHFqLFIZfrDMff4kP08nblUkihrxltoGBjg/edit#gid=934712705"",""ESENCIAL!A6:BG""),15,FALSE))"),"")</f>
        <v/>
      </c>
      <c r="AX582" s="21" t="str">
        <f ca="1">IFERROR(__xludf.DUMMYFUNCTION("IFERROR(VLOOKUP(E596&amp;F596,IMPORTRANGE(""https://docs.google.com/spreadsheets/d/1Uw7-A9f9R21vMXxHZFNpYNeKFtG8_yji4HS352LGlSQ/edit?pli=1#gid=0"",""1_ACUM!A4:S""),12,FALSE))"),"")</f>
        <v/>
      </c>
      <c r="AY582" s="43" t="str">
        <f ca="1">IFERROR(__xludf.DUMMYFUNCTION("IFERROR(VLOOKUP(E596&amp;F596,IMPORTRANGE(""https://docs.google.com/spreadsheets/d/1Uw7-A9f9R21vMXxHZFNpYNeKFtG8_yji4HS352LGlSQ/edit?pli=1#gid=0"",""1_ACUM!A4:S""),13,FALSE))"),"")</f>
        <v/>
      </c>
      <c r="AZ582" s="43" t="str">
        <f ca="1">IFERROR(__xludf.DUMMYFUNCTION("IFERROR(VLOOKUP(E596&amp;F596,IMPORTRANGE(""https://docs.google.com/spreadsheets/d/1Uw7-A9f9R21vMXxHZFNpYNeKFtG8_yji4HS352LGlSQ/edit?pli=1#gid=0"",""1_ACUM!A4:S""),14,FALSE))"),"")</f>
        <v/>
      </c>
      <c r="BA582" s="43" t="str">
        <f ca="1">IFERROR(__xludf.DUMMYFUNCTION("IFERROR(VLOOKUP(E596&amp;F596,IMPORTRANGE(""https://docs.google.com/spreadsheets/d/1Uw7-A9f9R21vMXxHZFNpYNeKFtG8_yji4HS352LGlSQ/edit?pli=1#gid=0"",""1_ACUM!A4:S""),15,FALSE))"),"")</f>
        <v/>
      </c>
      <c r="BB582" s="43" t="str">
        <f ca="1">IFERROR(__xludf.DUMMYFUNCTION("IFERROR(VLOOKUP(E596&amp;F596,IMPORTRANGE(""https://docs.google.com/spreadsheets/d/1Uw7-A9f9R21vMXxHZFNpYNeKFtG8_yji4HS352LGlSQ/edit?pli=1#gid=0"",""1_ACUM!A4:S""),16,FALSE))"),"")</f>
        <v/>
      </c>
      <c r="BC582" s="43" t="str">
        <f ca="1">IFERROR(__xludf.DUMMYFUNCTION("IFERROR(VLOOKUP(E596&amp;F596,IMPORTRANGE(""https://docs.google.com/spreadsheets/d/1Uw7-A9f9R21vMXxHZFNpYNeKFtG8_yji4HS352LGlSQ/edit?pli=1#gid=0"",""1_ACUM!A4:S""),17,FALSE))"),"")</f>
        <v/>
      </c>
      <c r="BD582" s="44" t="str">
        <f ca="1">IFERROR(__xludf.DUMMYFUNCTION("IFERROR(VLOOKUP(E596&amp;F596,IMPORTRANGE(""https://docs.google.com/spreadsheets/d/1Uw7-A9f9R21vMXxHZFNpYNeKFtG8_yji4HS352LGlSQ/edit?pli=1#gid=0"",""1_ACUM!A4:S""),18,FALSE))"),"")</f>
        <v/>
      </c>
      <c r="BE582" s="44" t="str">
        <f ca="1">IFERROR(__xludf.DUMMYFUNCTION("IFERROR(VLOOKUP(E596&amp;F596,IMPORTRANGE(""https://docs.google.com/spreadsheets/d/1Uw7-A9f9R21vMXxHZFNpYNeKFtG8_yji4HS352LGlSQ/edit?pli=1#gid=0"",""1_ACUM!A4:S""),19,FALSE))"),"")</f>
        <v/>
      </c>
      <c r="BF582" s="98" t="str">
        <f ca="1">IFERROR(__xludf.DUMMYFUNCTION("IFERROR(VLOOKUP(F596,IMPORTRANGE(""https://docs.google.com/spreadsheets/d/1Kvs4KS76FHFqLFIZfrDMff4kP08nblUkihrxltoGBjg/edit#gid=934712705"",""ESENCIAL!A6:BG""),5,FALSE))"),"")</f>
        <v/>
      </c>
      <c r="BG582" s="98" t="str">
        <f t="shared" si="21"/>
        <v/>
      </c>
      <c r="BH582" s="99" t="str">
        <f t="shared" si="22"/>
        <v/>
      </c>
      <c r="BI582" s="100" t="str">
        <f ca="1">IFERROR(__xludf.DUMMYFUNCTION("IFERROR(VLOOKUP(F596,IMPORTRANGE(""https://docs.google.com/spreadsheets/d/1Kvs4KS76FHFqLFIZfrDMff4kP08nblUkihrxltoGBjg/edit#gid=934712705"",""ESENCIAL!A6:BG""),2,FALSE))"),"")</f>
        <v/>
      </c>
      <c r="BJ582" s="19" t="str">
        <f t="shared" si="23"/>
        <v/>
      </c>
      <c r="BK582" s="100"/>
      <c r="BL582" s="100"/>
    </row>
    <row r="583" spans="1:64" ht="15">
      <c r="A583" s="5"/>
      <c r="B583" s="5"/>
      <c r="G583" s="5" t="str">
        <f ca="1">IFERROR(__xludf.DUMMYFUNCTION("IFERROR(VLOOKUP(F597,IMPORTRANGE(""https://docs.google.com/spreadsheets/d/1Kvs4KS76FHFqLFIZfrDMff4kP08nblUkihrxltoGBjg/edit#gid=934712705"",""ESENCIAL!A6:BG""),3,FALSE))"),"")</f>
        <v/>
      </c>
      <c r="H583" s="5" t="str">
        <f ca="1">IFERROR(__xludf.DUMMYFUNCTION("IFERROR(VLOOKUP(F597,IMPORTRANGE(""https://docs.google.com/spreadsheets/d/1Kvs4KS76FHFqLFIZfrDMff4kP08nblUkihrxltoGBjg/edit#gid=934712705"",""ESENCIAL!A6:BG""),8,FALSE))"),"")</f>
        <v/>
      </c>
      <c r="L583" s="287"/>
      <c r="U583" s="40"/>
      <c r="AU583" s="41" t="str">
        <f t="shared" si="20"/>
        <v/>
      </c>
      <c r="AV583" s="5" t="str">
        <f ca="1">IFERROR(__xludf.DUMMYFUNCTION("IFERROR(VLOOKUP(E597&amp;F597,IMPORTRANGE(""https://docs.google.com/spreadsheets/d/1Uw7-A9f9R21vMXxHZFNpYNeKFtG8_yji4HS352LGlSQ/edit?pli=1#gid=0"",""1_ACUM!A4:S""),11,FALSE))"),"")</f>
        <v/>
      </c>
      <c r="AW583" s="42" t="str">
        <f ca="1">IFERROR(__xludf.DUMMYFUNCTION("IFERROR(VLOOKUP(F597,IMPORTRANGE(""https://docs.google.com/spreadsheets/d/1Kvs4KS76FHFqLFIZfrDMff4kP08nblUkihrxltoGBjg/edit#gid=934712705"",""ESENCIAL!A6:BG""),15,FALSE))"),"")</f>
        <v/>
      </c>
      <c r="AX583" s="21" t="str">
        <f ca="1">IFERROR(__xludf.DUMMYFUNCTION("IFERROR(VLOOKUP(E597&amp;F597,IMPORTRANGE(""https://docs.google.com/spreadsheets/d/1Uw7-A9f9R21vMXxHZFNpYNeKFtG8_yji4HS352LGlSQ/edit?pli=1#gid=0"",""1_ACUM!A4:S""),12,FALSE))"),"")</f>
        <v/>
      </c>
      <c r="AY583" s="43" t="str">
        <f ca="1">IFERROR(__xludf.DUMMYFUNCTION("IFERROR(VLOOKUP(E597&amp;F597,IMPORTRANGE(""https://docs.google.com/spreadsheets/d/1Uw7-A9f9R21vMXxHZFNpYNeKFtG8_yji4HS352LGlSQ/edit?pli=1#gid=0"",""1_ACUM!A4:S""),13,FALSE))"),"")</f>
        <v/>
      </c>
      <c r="AZ583" s="43" t="str">
        <f ca="1">IFERROR(__xludf.DUMMYFUNCTION("IFERROR(VLOOKUP(E597&amp;F597,IMPORTRANGE(""https://docs.google.com/spreadsheets/d/1Uw7-A9f9R21vMXxHZFNpYNeKFtG8_yji4HS352LGlSQ/edit?pli=1#gid=0"",""1_ACUM!A4:S""),14,FALSE))"),"")</f>
        <v/>
      </c>
      <c r="BA583" s="43" t="str">
        <f ca="1">IFERROR(__xludf.DUMMYFUNCTION("IFERROR(VLOOKUP(E597&amp;F597,IMPORTRANGE(""https://docs.google.com/spreadsheets/d/1Uw7-A9f9R21vMXxHZFNpYNeKFtG8_yji4HS352LGlSQ/edit?pli=1#gid=0"",""1_ACUM!A4:S""),15,FALSE))"),"")</f>
        <v/>
      </c>
      <c r="BB583" s="43" t="str">
        <f ca="1">IFERROR(__xludf.DUMMYFUNCTION("IFERROR(VLOOKUP(E597&amp;F597,IMPORTRANGE(""https://docs.google.com/spreadsheets/d/1Uw7-A9f9R21vMXxHZFNpYNeKFtG8_yji4HS352LGlSQ/edit?pli=1#gid=0"",""1_ACUM!A4:S""),16,FALSE))"),"")</f>
        <v/>
      </c>
      <c r="BC583" s="43" t="str">
        <f ca="1">IFERROR(__xludf.DUMMYFUNCTION("IFERROR(VLOOKUP(E597&amp;F597,IMPORTRANGE(""https://docs.google.com/spreadsheets/d/1Uw7-A9f9R21vMXxHZFNpYNeKFtG8_yji4HS352LGlSQ/edit?pli=1#gid=0"",""1_ACUM!A4:S""),17,FALSE))"),"")</f>
        <v/>
      </c>
      <c r="BD583" s="44" t="str">
        <f ca="1">IFERROR(__xludf.DUMMYFUNCTION("IFERROR(VLOOKUP(E597&amp;F597,IMPORTRANGE(""https://docs.google.com/spreadsheets/d/1Uw7-A9f9R21vMXxHZFNpYNeKFtG8_yji4HS352LGlSQ/edit?pli=1#gid=0"",""1_ACUM!A4:S""),18,FALSE))"),"")</f>
        <v/>
      </c>
      <c r="BE583" s="44" t="str">
        <f ca="1">IFERROR(__xludf.DUMMYFUNCTION("IFERROR(VLOOKUP(E597&amp;F597,IMPORTRANGE(""https://docs.google.com/spreadsheets/d/1Uw7-A9f9R21vMXxHZFNpYNeKFtG8_yji4HS352LGlSQ/edit?pli=1#gid=0"",""1_ACUM!A4:S""),19,FALSE))"),"")</f>
        <v/>
      </c>
      <c r="BF583" s="98" t="str">
        <f ca="1">IFERROR(__xludf.DUMMYFUNCTION("IFERROR(VLOOKUP(F597,IMPORTRANGE(""https://docs.google.com/spreadsheets/d/1Kvs4KS76FHFqLFIZfrDMff4kP08nblUkihrxltoGBjg/edit#gid=934712705"",""ESENCIAL!A6:BG""),5,FALSE))"),"")</f>
        <v/>
      </c>
      <c r="BG583" s="98" t="str">
        <f t="shared" si="21"/>
        <v/>
      </c>
      <c r="BH583" s="99" t="str">
        <f t="shared" si="22"/>
        <v/>
      </c>
      <c r="BI583" s="100" t="str">
        <f ca="1">IFERROR(__xludf.DUMMYFUNCTION("IFERROR(VLOOKUP(F597,IMPORTRANGE(""https://docs.google.com/spreadsheets/d/1Kvs4KS76FHFqLFIZfrDMff4kP08nblUkihrxltoGBjg/edit#gid=934712705"",""ESENCIAL!A6:BG""),2,FALSE))"),"")</f>
        <v/>
      </c>
      <c r="BJ583" s="19" t="str">
        <f t="shared" si="23"/>
        <v/>
      </c>
      <c r="BK583" s="100"/>
      <c r="BL583" s="100"/>
    </row>
    <row r="584" spans="1:64" ht="15">
      <c r="A584" s="5"/>
      <c r="B584" s="5"/>
      <c r="G584" s="5" t="str">
        <f ca="1">IFERROR(__xludf.DUMMYFUNCTION("IFERROR(VLOOKUP(F598,IMPORTRANGE(""https://docs.google.com/spreadsheets/d/1Kvs4KS76FHFqLFIZfrDMff4kP08nblUkihrxltoGBjg/edit#gid=934712705"",""ESENCIAL!A6:BG""),3,FALSE))"),"")</f>
        <v/>
      </c>
      <c r="H584" s="5" t="str">
        <f ca="1">IFERROR(__xludf.DUMMYFUNCTION("IFERROR(VLOOKUP(F598,IMPORTRANGE(""https://docs.google.com/spreadsheets/d/1Kvs4KS76FHFqLFIZfrDMff4kP08nblUkihrxltoGBjg/edit#gid=934712705"",""ESENCIAL!A6:BG""),8,FALSE))"),"")</f>
        <v/>
      </c>
      <c r="L584" s="287"/>
      <c r="U584" s="40"/>
      <c r="AU584" s="41" t="str">
        <f t="shared" si="20"/>
        <v/>
      </c>
      <c r="AV584" s="5" t="str">
        <f ca="1">IFERROR(__xludf.DUMMYFUNCTION("IFERROR(VLOOKUP(E598&amp;F598,IMPORTRANGE(""https://docs.google.com/spreadsheets/d/1Uw7-A9f9R21vMXxHZFNpYNeKFtG8_yji4HS352LGlSQ/edit?pli=1#gid=0"",""1_ACUM!A4:S""),11,FALSE))"),"")</f>
        <v/>
      </c>
      <c r="AW584" s="42" t="str">
        <f ca="1">IFERROR(__xludf.DUMMYFUNCTION("IFERROR(VLOOKUP(F598,IMPORTRANGE(""https://docs.google.com/spreadsheets/d/1Kvs4KS76FHFqLFIZfrDMff4kP08nblUkihrxltoGBjg/edit#gid=934712705"",""ESENCIAL!A6:BG""),15,FALSE))"),"")</f>
        <v/>
      </c>
      <c r="AX584" s="21" t="str">
        <f ca="1">IFERROR(__xludf.DUMMYFUNCTION("IFERROR(VLOOKUP(E598&amp;F598,IMPORTRANGE(""https://docs.google.com/spreadsheets/d/1Uw7-A9f9R21vMXxHZFNpYNeKFtG8_yji4HS352LGlSQ/edit?pli=1#gid=0"",""1_ACUM!A4:S""),12,FALSE))"),"")</f>
        <v/>
      </c>
      <c r="AY584" s="43" t="str">
        <f ca="1">IFERROR(__xludf.DUMMYFUNCTION("IFERROR(VLOOKUP(E598&amp;F598,IMPORTRANGE(""https://docs.google.com/spreadsheets/d/1Uw7-A9f9R21vMXxHZFNpYNeKFtG8_yji4HS352LGlSQ/edit?pli=1#gid=0"",""1_ACUM!A4:S""),13,FALSE))"),"")</f>
        <v/>
      </c>
      <c r="AZ584" s="43" t="str">
        <f ca="1">IFERROR(__xludf.DUMMYFUNCTION("IFERROR(VLOOKUP(E598&amp;F598,IMPORTRANGE(""https://docs.google.com/spreadsheets/d/1Uw7-A9f9R21vMXxHZFNpYNeKFtG8_yji4HS352LGlSQ/edit?pli=1#gid=0"",""1_ACUM!A4:S""),14,FALSE))"),"")</f>
        <v/>
      </c>
      <c r="BA584" s="43" t="str">
        <f ca="1">IFERROR(__xludf.DUMMYFUNCTION("IFERROR(VLOOKUP(E598&amp;F598,IMPORTRANGE(""https://docs.google.com/spreadsheets/d/1Uw7-A9f9R21vMXxHZFNpYNeKFtG8_yji4HS352LGlSQ/edit?pli=1#gid=0"",""1_ACUM!A4:S""),15,FALSE))"),"")</f>
        <v/>
      </c>
      <c r="BB584" s="43" t="str">
        <f ca="1">IFERROR(__xludf.DUMMYFUNCTION("IFERROR(VLOOKUP(E598&amp;F598,IMPORTRANGE(""https://docs.google.com/spreadsheets/d/1Uw7-A9f9R21vMXxHZFNpYNeKFtG8_yji4HS352LGlSQ/edit?pli=1#gid=0"",""1_ACUM!A4:S""),16,FALSE))"),"")</f>
        <v/>
      </c>
      <c r="BC584" s="43" t="str">
        <f ca="1">IFERROR(__xludf.DUMMYFUNCTION("IFERROR(VLOOKUP(E598&amp;F598,IMPORTRANGE(""https://docs.google.com/spreadsheets/d/1Uw7-A9f9R21vMXxHZFNpYNeKFtG8_yji4HS352LGlSQ/edit?pli=1#gid=0"",""1_ACUM!A4:S""),17,FALSE))"),"")</f>
        <v/>
      </c>
      <c r="BD584" s="44" t="str">
        <f ca="1">IFERROR(__xludf.DUMMYFUNCTION("IFERROR(VLOOKUP(E598&amp;F598,IMPORTRANGE(""https://docs.google.com/spreadsheets/d/1Uw7-A9f9R21vMXxHZFNpYNeKFtG8_yji4HS352LGlSQ/edit?pli=1#gid=0"",""1_ACUM!A4:S""),18,FALSE))"),"")</f>
        <v/>
      </c>
      <c r="BE584" s="44" t="str">
        <f ca="1">IFERROR(__xludf.DUMMYFUNCTION("IFERROR(VLOOKUP(E598&amp;F598,IMPORTRANGE(""https://docs.google.com/spreadsheets/d/1Uw7-A9f9R21vMXxHZFNpYNeKFtG8_yji4HS352LGlSQ/edit?pli=1#gid=0"",""1_ACUM!A4:S""),19,FALSE))"),"")</f>
        <v/>
      </c>
      <c r="BF584" s="98" t="str">
        <f ca="1">IFERROR(__xludf.DUMMYFUNCTION("IFERROR(VLOOKUP(F598,IMPORTRANGE(""https://docs.google.com/spreadsheets/d/1Kvs4KS76FHFqLFIZfrDMff4kP08nblUkihrxltoGBjg/edit#gid=934712705"",""ESENCIAL!A6:BG""),5,FALSE))"),"")</f>
        <v/>
      </c>
      <c r="BG584" s="98" t="str">
        <f t="shared" si="21"/>
        <v/>
      </c>
      <c r="BH584" s="99" t="str">
        <f t="shared" si="22"/>
        <v/>
      </c>
      <c r="BI584" s="100" t="str">
        <f ca="1">IFERROR(__xludf.DUMMYFUNCTION("IFERROR(VLOOKUP(F598,IMPORTRANGE(""https://docs.google.com/spreadsheets/d/1Kvs4KS76FHFqLFIZfrDMff4kP08nblUkihrxltoGBjg/edit#gid=934712705"",""ESENCIAL!A6:BG""),2,FALSE))"),"")</f>
        <v/>
      </c>
      <c r="BJ584" s="19" t="str">
        <f t="shared" si="23"/>
        <v/>
      </c>
      <c r="BK584" s="100"/>
      <c r="BL584" s="100"/>
    </row>
    <row r="585" spans="1:64" ht="15">
      <c r="A585" s="5"/>
      <c r="B585" s="5"/>
      <c r="G585" s="5" t="str">
        <f ca="1">IFERROR(__xludf.DUMMYFUNCTION("IFERROR(VLOOKUP(F599,IMPORTRANGE(""https://docs.google.com/spreadsheets/d/1Kvs4KS76FHFqLFIZfrDMff4kP08nblUkihrxltoGBjg/edit#gid=934712705"",""ESENCIAL!A6:BG""),3,FALSE))"),"")</f>
        <v/>
      </c>
      <c r="H585" s="5" t="str">
        <f ca="1">IFERROR(__xludf.DUMMYFUNCTION("IFERROR(VLOOKUP(F599,IMPORTRANGE(""https://docs.google.com/spreadsheets/d/1Kvs4KS76FHFqLFIZfrDMff4kP08nblUkihrxltoGBjg/edit#gid=934712705"",""ESENCIAL!A6:BG""),8,FALSE))"),"")</f>
        <v/>
      </c>
      <c r="L585" s="287"/>
      <c r="U585" s="40"/>
      <c r="AU585" s="41" t="str">
        <f t="shared" si="20"/>
        <v/>
      </c>
      <c r="AV585" s="5" t="str">
        <f ca="1">IFERROR(__xludf.DUMMYFUNCTION("IFERROR(VLOOKUP(E599&amp;F599,IMPORTRANGE(""https://docs.google.com/spreadsheets/d/1Uw7-A9f9R21vMXxHZFNpYNeKFtG8_yji4HS352LGlSQ/edit?pli=1#gid=0"",""1_ACUM!A4:S""),11,FALSE))"),"")</f>
        <v/>
      </c>
      <c r="AW585" s="42" t="str">
        <f ca="1">IFERROR(__xludf.DUMMYFUNCTION("IFERROR(VLOOKUP(F599,IMPORTRANGE(""https://docs.google.com/spreadsheets/d/1Kvs4KS76FHFqLFIZfrDMff4kP08nblUkihrxltoGBjg/edit#gid=934712705"",""ESENCIAL!A6:BG""),15,FALSE))"),"")</f>
        <v/>
      </c>
      <c r="AX585" s="21" t="str">
        <f ca="1">IFERROR(__xludf.DUMMYFUNCTION("IFERROR(VLOOKUP(E599&amp;F599,IMPORTRANGE(""https://docs.google.com/spreadsheets/d/1Uw7-A9f9R21vMXxHZFNpYNeKFtG8_yji4HS352LGlSQ/edit?pli=1#gid=0"",""1_ACUM!A4:S""),12,FALSE))"),"")</f>
        <v/>
      </c>
      <c r="AY585" s="43" t="str">
        <f ca="1">IFERROR(__xludf.DUMMYFUNCTION("IFERROR(VLOOKUP(E599&amp;F599,IMPORTRANGE(""https://docs.google.com/spreadsheets/d/1Uw7-A9f9R21vMXxHZFNpYNeKFtG8_yji4HS352LGlSQ/edit?pli=1#gid=0"",""1_ACUM!A4:S""),13,FALSE))"),"")</f>
        <v/>
      </c>
      <c r="AZ585" s="43" t="str">
        <f ca="1">IFERROR(__xludf.DUMMYFUNCTION("IFERROR(VLOOKUP(E599&amp;F599,IMPORTRANGE(""https://docs.google.com/spreadsheets/d/1Uw7-A9f9R21vMXxHZFNpYNeKFtG8_yji4HS352LGlSQ/edit?pli=1#gid=0"",""1_ACUM!A4:S""),14,FALSE))"),"")</f>
        <v/>
      </c>
      <c r="BA585" s="43" t="str">
        <f ca="1">IFERROR(__xludf.DUMMYFUNCTION("IFERROR(VLOOKUP(E599&amp;F599,IMPORTRANGE(""https://docs.google.com/spreadsheets/d/1Uw7-A9f9R21vMXxHZFNpYNeKFtG8_yji4HS352LGlSQ/edit?pli=1#gid=0"",""1_ACUM!A4:S""),15,FALSE))"),"")</f>
        <v/>
      </c>
      <c r="BB585" s="43" t="str">
        <f ca="1">IFERROR(__xludf.DUMMYFUNCTION("IFERROR(VLOOKUP(E599&amp;F599,IMPORTRANGE(""https://docs.google.com/spreadsheets/d/1Uw7-A9f9R21vMXxHZFNpYNeKFtG8_yji4HS352LGlSQ/edit?pli=1#gid=0"",""1_ACUM!A4:S""),16,FALSE))"),"")</f>
        <v/>
      </c>
      <c r="BC585" s="43" t="str">
        <f ca="1">IFERROR(__xludf.DUMMYFUNCTION("IFERROR(VLOOKUP(E599&amp;F599,IMPORTRANGE(""https://docs.google.com/spreadsheets/d/1Uw7-A9f9R21vMXxHZFNpYNeKFtG8_yji4HS352LGlSQ/edit?pli=1#gid=0"",""1_ACUM!A4:S""),17,FALSE))"),"")</f>
        <v/>
      </c>
      <c r="BD585" s="44" t="str">
        <f ca="1">IFERROR(__xludf.DUMMYFUNCTION("IFERROR(VLOOKUP(E599&amp;F599,IMPORTRANGE(""https://docs.google.com/spreadsheets/d/1Uw7-A9f9R21vMXxHZFNpYNeKFtG8_yji4HS352LGlSQ/edit?pli=1#gid=0"",""1_ACUM!A4:S""),18,FALSE))"),"")</f>
        <v/>
      </c>
      <c r="BE585" s="44" t="str">
        <f ca="1">IFERROR(__xludf.DUMMYFUNCTION("IFERROR(VLOOKUP(E599&amp;F599,IMPORTRANGE(""https://docs.google.com/spreadsheets/d/1Uw7-A9f9R21vMXxHZFNpYNeKFtG8_yji4HS352LGlSQ/edit?pli=1#gid=0"",""1_ACUM!A4:S""),19,FALSE))"),"")</f>
        <v/>
      </c>
      <c r="BF585" s="98" t="str">
        <f ca="1">IFERROR(__xludf.DUMMYFUNCTION("IFERROR(VLOOKUP(F599,IMPORTRANGE(""https://docs.google.com/spreadsheets/d/1Kvs4KS76FHFqLFIZfrDMff4kP08nblUkihrxltoGBjg/edit#gid=934712705"",""ESENCIAL!A6:BG""),5,FALSE))"),"")</f>
        <v/>
      </c>
      <c r="BG585" s="98" t="str">
        <f t="shared" si="21"/>
        <v/>
      </c>
      <c r="BH585" s="99" t="str">
        <f t="shared" si="22"/>
        <v/>
      </c>
      <c r="BI585" s="100" t="str">
        <f ca="1">IFERROR(__xludf.DUMMYFUNCTION("IFERROR(VLOOKUP(F599,IMPORTRANGE(""https://docs.google.com/spreadsheets/d/1Kvs4KS76FHFqLFIZfrDMff4kP08nblUkihrxltoGBjg/edit#gid=934712705"",""ESENCIAL!A6:BG""),2,FALSE))"),"")</f>
        <v/>
      </c>
      <c r="BJ585" s="19" t="str">
        <f t="shared" si="23"/>
        <v/>
      </c>
      <c r="BK585" s="100"/>
      <c r="BL585" s="100"/>
    </row>
    <row r="586" spans="1:64" ht="15">
      <c r="A586" s="5"/>
      <c r="B586" s="5"/>
      <c r="G586" s="5" t="str">
        <f ca="1">IFERROR(__xludf.DUMMYFUNCTION("IFERROR(VLOOKUP(F600,IMPORTRANGE(""https://docs.google.com/spreadsheets/d/1Kvs4KS76FHFqLFIZfrDMff4kP08nblUkihrxltoGBjg/edit#gid=934712705"",""ESENCIAL!A6:BG""),3,FALSE))"),"")</f>
        <v/>
      </c>
      <c r="H586" s="5" t="str">
        <f ca="1">IFERROR(__xludf.DUMMYFUNCTION("IFERROR(VLOOKUP(F600,IMPORTRANGE(""https://docs.google.com/spreadsheets/d/1Kvs4KS76FHFqLFIZfrDMff4kP08nblUkihrxltoGBjg/edit#gid=934712705"",""ESENCIAL!A6:BG""),8,FALSE))"),"")</f>
        <v/>
      </c>
      <c r="L586" s="287"/>
      <c r="U586" s="40"/>
      <c r="AU586" s="41" t="str">
        <f t="shared" si="20"/>
        <v/>
      </c>
      <c r="AV586" s="5" t="str">
        <f ca="1">IFERROR(__xludf.DUMMYFUNCTION("IFERROR(VLOOKUP(E600&amp;F600,IMPORTRANGE(""https://docs.google.com/spreadsheets/d/1Uw7-A9f9R21vMXxHZFNpYNeKFtG8_yji4HS352LGlSQ/edit?pli=1#gid=0"",""1_ACUM!A4:S""),11,FALSE))"),"")</f>
        <v/>
      </c>
      <c r="AW586" s="42" t="str">
        <f ca="1">IFERROR(__xludf.DUMMYFUNCTION("IFERROR(VLOOKUP(F600,IMPORTRANGE(""https://docs.google.com/spreadsheets/d/1Kvs4KS76FHFqLFIZfrDMff4kP08nblUkihrxltoGBjg/edit#gid=934712705"",""ESENCIAL!A6:BG""),15,FALSE))"),"")</f>
        <v/>
      </c>
      <c r="AX586" s="21" t="str">
        <f ca="1">IFERROR(__xludf.DUMMYFUNCTION("IFERROR(VLOOKUP(E600&amp;F600,IMPORTRANGE(""https://docs.google.com/spreadsheets/d/1Uw7-A9f9R21vMXxHZFNpYNeKFtG8_yji4HS352LGlSQ/edit?pli=1#gid=0"",""1_ACUM!A4:S""),12,FALSE))"),"")</f>
        <v/>
      </c>
      <c r="AY586" s="43" t="str">
        <f ca="1">IFERROR(__xludf.DUMMYFUNCTION("IFERROR(VLOOKUP(E600&amp;F600,IMPORTRANGE(""https://docs.google.com/spreadsheets/d/1Uw7-A9f9R21vMXxHZFNpYNeKFtG8_yji4HS352LGlSQ/edit?pli=1#gid=0"",""1_ACUM!A4:S""),13,FALSE))"),"")</f>
        <v/>
      </c>
      <c r="AZ586" s="43" t="str">
        <f ca="1">IFERROR(__xludf.DUMMYFUNCTION("IFERROR(VLOOKUP(E600&amp;F600,IMPORTRANGE(""https://docs.google.com/spreadsheets/d/1Uw7-A9f9R21vMXxHZFNpYNeKFtG8_yji4HS352LGlSQ/edit?pli=1#gid=0"",""1_ACUM!A4:S""),14,FALSE))"),"")</f>
        <v/>
      </c>
      <c r="BA586" s="43" t="str">
        <f ca="1">IFERROR(__xludf.DUMMYFUNCTION("IFERROR(VLOOKUP(E600&amp;F600,IMPORTRANGE(""https://docs.google.com/spreadsheets/d/1Uw7-A9f9R21vMXxHZFNpYNeKFtG8_yji4HS352LGlSQ/edit?pli=1#gid=0"",""1_ACUM!A4:S""),15,FALSE))"),"")</f>
        <v/>
      </c>
      <c r="BB586" s="43" t="str">
        <f ca="1">IFERROR(__xludf.DUMMYFUNCTION("IFERROR(VLOOKUP(E600&amp;F600,IMPORTRANGE(""https://docs.google.com/spreadsheets/d/1Uw7-A9f9R21vMXxHZFNpYNeKFtG8_yji4HS352LGlSQ/edit?pli=1#gid=0"",""1_ACUM!A4:S""),16,FALSE))"),"")</f>
        <v/>
      </c>
      <c r="BC586" s="43" t="str">
        <f ca="1">IFERROR(__xludf.DUMMYFUNCTION("IFERROR(VLOOKUP(E600&amp;F600,IMPORTRANGE(""https://docs.google.com/spreadsheets/d/1Uw7-A9f9R21vMXxHZFNpYNeKFtG8_yji4HS352LGlSQ/edit?pli=1#gid=0"",""1_ACUM!A4:S""),17,FALSE))"),"")</f>
        <v/>
      </c>
      <c r="BD586" s="44" t="str">
        <f ca="1">IFERROR(__xludf.DUMMYFUNCTION("IFERROR(VLOOKUP(E600&amp;F600,IMPORTRANGE(""https://docs.google.com/spreadsheets/d/1Uw7-A9f9R21vMXxHZFNpYNeKFtG8_yji4HS352LGlSQ/edit?pli=1#gid=0"",""1_ACUM!A4:S""),18,FALSE))"),"")</f>
        <v/>
      </c>
      <c r="BE586" s="44" t="str">
        <f ca="1">IFERROR(__xludf.DUMMYFUNCTION("IFERROR(VLOOKUP(E600&amp;F600,IMPORTRANGE(""https://docs.google.com/spreadsheets/d/1Uw7-A9f9R21vMXxHZFNpYNeKFtG8_yji4HS352LGlSQ/edit?pli=1#gid=0"",""1_ACUM!A4:S""),19,FALSE))"),"")</f>
        <v/>
      </c>
      <c r="BF586" s="98" t="str">
        <f ca="1">IFERROR(__xludf.DUMMYFUNCTION("IFERROR(VLOOKUP(F600,IMPORTRANGE(""https://docs.google.com/spreadsheets/d/1Kvs4KS76FHFqLFIZfrDMff4kP08nblUkihrxltoGBjg/edit#gid=934712705"",""ESENCIAL!A6:BG""),5,FALSE))"),"")</f>
        <v/>
      </c>
      <c r="BG586" s="98" t="str">
        <f t="shared" si="21"/>
        <v/>
      </c>
      <c r="BH586" s="99" t="str">
        <f t="shared" si="22"/>
        <v/>
      </c>
      <c r="BI586" s="100" t="str">
        <f ca="1">IFERROR(__xludf.DUMMYFUNCTION("IFERROR(VLOOKUP(F600,IMPORTRANGE(""https://docs.google.com/spreadsheets/d/1Kvs4KS76FHFqLFIZfrDMff4kP08nblUkihrxltoGBjg/edit#gid=934712705"",""ESENCIAL!A6:BG""),2,FALSE))"),"")</f>
        <v/>
      </c>
      <c r="BJ586" s="19" t="str">
        <f t="shared" si="23"/>
        <v/>
      </c>
      <c r="BK586" s="100"/>
      <c r="BL586" s="100"/>
    </row>
    <row r="587" spans="1:64" ht="15">
      <c r="A587" s="5"/>
      <c r="B587" s="5"/>
      <c r="G587" s="5" t="str">
        <f ca="1">IFERROR(__xludf.DUMMYFUNCTION("IFERROR(VLOOKUP(F601,IMPORTRANGE(""https://docs.google.com/spreadsheets/d/1Kvs4KS76FHFqLFIZfrDMff4kP08nblUkihrxltoGBjg/edit#gid=934712705"",""ESENCIAL!A6:BG""),3,FALSE))"),"")</f>
        <v/>
      </c>
      <c r="H587" s="5" t="str">
        <f ca="1">IFERROR(__xludf.DUMMYFUNCTION("IFERROR(VLOOKUP(F601,IMPORTRANGE(""https://docs.google.com/spreadsheets/d/1Kvs4KS76FHFqLFIZfrDMff4kP08nblUkihrxltoGBjg/edit#gid=934712705"",""ESENCIAL!A6:BG""),8,FALSE))"),"")</f>
        <v/>
      </c>
      <c r="L587" s="287"/>
      <c r="U587" s="40"/>
      <c r="AU587" s="41" t="str">
        <f t="shared" si="20"/>
        <v/>
      </c>
      <c r="AV587" s="5" t="str">
        <f ca="1">IFERROR(__xludf.DUMMYFUNCTION("IFERROR(VLOOKUP(E601&amp;F601,IMPORTRANGE(""https://docs.google.com/spreadsheets/d/1Uw7-A9f9R21vMXxHZFNpYNeKFtG8_yji4HS352LGlSQ/edit?pli=1#gid=0"",""1_ACUM!A4:S""),11,FALSE))"),"")</f>
        <v/>
      </c>
      <c r="AW587" s="42" t="str">
        <f ca="1">IFERROR(__xludf.DUMMYFUNCTION("IFERROR(VLOOKUP(F601,IMPORTRANGE(""https://docs.google.com/spreadsheets/d/1Kvs4KS76FHFqLFIZfrDMff4kP08nblUkihrxltoGBjg/edit#gid=934712705"",""ESENCIAL!A6:BG""),15,FALSE))"),"")</f>
        <v/>
      </c>
      <c r="AX587" s="21" t="str">
        <f ca="1">IFERROR(__xludf.DUMMYFUNCTION("IFERROR(VLOOKUP(E601&amp;F601,IMPORTRANGE(""https://docs.google.com/spreadsheets/d/1Uw7-A9f9R21vMXxHZFNpYNeKFtG8_yji4HS352LGlSQ/edit?pli=1#gid=0"",""1_ACUM!A4:S""),12,FALSE))"),"")</f>
        <v/>
      </c>
      <c r="AY587" s="43" t="str">
        <f ca="1">IFERROR(__xludf.DUMMYFUNCTION("IFERROR(VLOOKUP(E601&amp;F601,IMPORTRANGE(""https://docs.google.com/spreadsheets/d/1Uw7-A9f9R21vMXxHZFNpYNeKFtG8_yji4HS352LGlSQ/edit?pli=1#gid=0"",""1_ACUM!A4:S""),13,FALSE))"),"")</f>
        <v/>
      </c>
      <c r="AZ587" s="43" t="str">
        <f ca="1">IFERROR(__xludf.DUMMYFUNCTION("IFERROR(VLOOKUP(E601&amp;F601,IMPORTRANGE(""https://docs.google.com/spreadsheets/d/1Uw7-A9f9R21vMXxHZFNpYNeKFtG8_yji4HS352LGlSQ/edit?pli=1#gid=0"",""1_ACUM!A4:S""),14,FALSE))"),"")</f>
        <v/>
      </c>
      <c r="BA587" s="43" t="str">
        <f ca="1">IFERROR(__xludf.DUMMYFUNCTION("IFERROR(VLOOKUP(E601&amp;F601,IMPORTRANGE(""https://docs.google.com/spreadsheets/d/1Uw7-A9f9R21vMXxHZFNpYNeKFtG8_yji4HS352LGlSQ/edit?pli=1#gid=0"",""1_ACUM!A4:S""),15,FALSE))"),"")</f>
        <v/>
      </c>
      <c r="BB587" s="43" t="str">
        <f ca="1">IFERROR(__xludf.DUMMYFUNCTION("IFERROR(VLOOKUP(E601&amp;F601,IMPORTRANGE(""https://docs.google.com/spreadsheets/d/1Uw7-A9f9R21vMXxHZFNpYNeKFtG8_yji4HS352LGlSQ/edit?pli=1#gid=0"",""1_ACUM!A4:S""),16,FALSE))"),"")</f>
        <v/>
      </c>
      <c r="BC587" s="43" t="str">
        <f ca="1">IFERROR(__xludf.DUMMYFUNCTION("IFERROR(VLOOKUP(E601&amp;F601,IMPORTRANGE(""https://docs.google.com/spreadsheets/d/1Uw7-A9f9R21vMXxHZFNpYNeKFtG8_yji4HS352LGlSQ/edit?pli=1#gid=0"",""1_ACUM!A4:S""),17,FALSE))"),"")</f>
        <v/>
      </c>
      <c r="BD587" s="44" t="str">
        <f ca="1">IFERROR(__xludf.DUMMYFUNCTION("IFERROR(VLOOKUP(E601&amp;F601,IMPORTRANGE(""https://docs.google.com/spreadsheets/d/1Uw7-A9f9R21vMXxHZFNpYNeKFtG8_yji4HS352LGlSQ/edit?pli=1#gid=0"",""1_ACUM!A4:S""),18,FALSE))"),"")</f>
        <v/>
      </c>
      <c r="BE587" s="44" t="str">
        <f ca="1">IFERROR(__xludf.DUMMYFUNCTION("IFERROR(VLOOKUP(E601&amp;F601,IMPORTRANGE(""https://docs.google.com/spreadsheets/d/1Uw7-A9f9R21vMXxHZFNpYNeKFtG8_yji4HS352LGlSQ/edit?pli=1#gid=0"",""1_ACUM!A4:S""),19,FALSE))"),"")</f>
        <v/>
      </c>
      <c r="BF587" s="98" t="str">
        <f ca="1">IFERROR(__xludf.DUMMYFUNCTION("IFERROR(VLOOKUP(F601,IMPORTRANGE(""https://docs.google.com/spreadsheets/d/1Kvs4KS76FHFqLFIZfrDMff4kP08nblUkihrxltoGBjg/edit#gid=934712705"",""ESENCIAL!A6:BG""),5,FALSE))"),"")</f>
        <v/>
      </c>
      <c r="BG587" s="98" t="str">
        <f t="shared" si="21"/>
        <v/>
      </c>
      <c r="BH587" s="99" t="str">
        <f t="shared" si="22"/>
        <v/>
      </c>
      <c r="BI587" s="100" t="str">
        <f ca="1">IFERROR(__xludf.DUMMYFUNCTION("IFERROR(VLOOKUP(F601,IMPORTRANGE(""https://docs.google.com/spreadsheets/d/1Kvs4KS76FHFqLFIZfrDMff4kP08nblUkihrxltoGBjg/edit#gid=934712705"",""ESENCIAL!A6:BG""),2,FALSE))"),"")</f>
        <v/>
      </c>
      <c r="BJ587" s="19" t="str">
        <f t="shared" si="23"/>
        <v/>
      </c>
      <c r="BK587" s="100"/>
      <c r="BL587" s="100"/>
    </row>
    <row r="588" spans="1:64" ht="15">
      <c r="A588" s="5"/>
      <c r="B588" s="5"/>
      <c r="G588" s="5" t="str">
        <f ca="1">IFERROR(__xludf.DUMMYFUNCTION("IFERROR(VLOOKUP(F602,IMPORTRANGE(""https://docs.google.com/spreadsheets/d/1Kvs4KS76FHFqLFIZfrDMff4kP08nblUkihrxltoGBjg/edit#gid=934712705"",""ESENCIAL!A6:BG""),3,FALSE))"),"")</f>
        <v/>
      </c>
      <c r="H588" s="5" t="str">
        <f ca="1">IFERROR(__xludf.DUMMYFUNCTION("IFERROR(VLOOKUP(F602,IMPORTRANGE(""https://docs.google.com/spreadsheets/d/1Kvs4KS76FHFqLFIZfrDMff4kP08nblUkihrxltoGBjg/edit#gid=934712705"",""ESENCIAL!A6:BG""),8,FALSE))"),"")</f>
        <v/>
      </c>
      <c r="L588" s="287"/>
      <c r="U588" s="40"/>
      <c r="AU588" s="41" t="str">
        <f t="shared" si="20"/>
        <v/>
      </c>
      <c r="AV588" s="5" t="str">
        <f ca="1">IFERROR(__xludf.DUMMYFUNCTION("IFERROR(VLOOKUP(E602&amp;F602,IMPORTRANGE(""https://docs.google.com/spreadsheets/d/1Uw7-A9f9R21vMXxHZFNpYNeKFtG8_yji4HS352LGlSQ/edit?pli=1#gid=0"",""1_ACUM!A4:S""),11,FALSE))"),"")</f>
        <v/>
      </c>
      <c r="AW588" s="42" t="str">
        <f ca="1">IFERROR(__xludf.DUMMYFUNCTION("IFERROR(VLOOKUP(F602,IMPORTRANGE(""https://docs.google.com/spreadsheets/d/1Kvs4KS76FHFqLFIZfrDMff4kP08nblUkihrxltoGBjg/edit#gid=934712705"",""ESENCIAL!A6:BG""),15,FALSE))"),"")</f>
        <v/>
      </c>
      <c r="AX588" s="21" t="str">
        <f ca="1">IFERROR(__xludf.DUMMYFUNCTION("IFERROR(VLOOKUP(E602&amp;F602,IMPORTRANGE(""https://docs.google.com/spreadsheets/d/1Uw7-A9f9R21vMXxHZFNpYNeKFtG8_yji4HS352LGlSQ/edit?pli=1#gid=0"",""1_ACUM!A4:S""),12,FALSE))"),"")</f>
        <v/>
      </c>
      <c r="AY588" s="43" t="str">
        <f ca="1">IFERROR(__xludf.DUMMYFUNCTION("IFERROR(VLOOKUP(E602&amp;F602,IMPORTRANGE(""https://docs.google.com/spreadsheets/d/1Uw7-A9f9R21vMXxHZFNpYNeKFtG8_yji4HS352LGlSQ/edit?pli=1#gid=0"",""1_ACUM!A4:S""),13,FALSE))"),"")</f>
        <v/>
      </c>
      <c r="AZ588" s="43" t="str">
        <f ca="1">IFERROR(__xludf.DUMMYFUNCTION("IFERROR(VLOOKUP(E602&amp;F602,IMPORTRANGE(""https://docs.google.com/spreadsheets/d/1Uw7-A9f9R21vMXxHZFNpYNeKFtG8_yji4HS352LGlSQ/edit?pli=1#gid=0"",""1_ACUM!A4:S""),14,FALSE))"),"")</f>
        <v/>
      </c>
      <c r="BA588" s="43" t="str">
        <f ca="1">IFERROR(__xludf.DUMMYFUNCTION("IFERROR(VLOOKUP(E602&amp;F602,IMPORTRANGE(""https://docs.google.com/spreadsheets/d/1Uw7-A9f9R21vMXxHZFNpYNeKFtG8_yji4HS352LGlSQ/edit?pli=1#gid=0"",""1_ACUM!A4:S""),15,FALSE))"),"")</f>
        <v/>
      </c>
      <c r="BB588" s="43" t="str">
        <f ca="1">IFERROR(__xludf.DUMMYFUNCTION("IFERROR(VLOOKUP(E602&amp;F602,IMPORTRANGE(""https://docs.google.com/spreadsheets/d/1Uw7-A9f9R21vMXxHZFNpYNeKFtG8_yji4HS352LGlSQ/edit?pli=1#gid=0"",""1_ACUM!A4:S""),16,FALSE))"),"")</f>
        <v/>
      </c>
      <c r="BC588" s="43" t="str">
        <f ca="1">IFERROR(__xludf.DUMMYFUNCTION("IFERROR(VLOOKUP(E602&amp;F602,IMPORTRANGE(""https://docs.google.com/spreadsheets/d/1Uw7-A9f9R21vMXxHZFNpYNeKFtG8_yji4HS352LGlSQ/edit?pli=1#gid=0"",""1_ACUM!A4:S""),17,FALSE))"),"")</f>
        <v/>
      </c>
      <c r="BD588" s="44" t="str">
        <f ca="1">IFERROR(__xludf.DUMMYFUNCTION("IFERROR(VLOOKUP(E602&amp;F602,IMPORTRANGE(""https://docs.google.com/spreadsheets/d/1Uw7-A9f9R21vMXxHZFNpYNeKFtG8_yji4HS352LGlSQ/edit?pli=1#gid=0"",""1_ACUM!A4:S""),18,FALSE))"),"")</f>
        <v/>
      </c>
      <c r="BE588" s="44" t="str">
        <f ca="1">IFERROR(__xludf.DUMMYFUNCTION("IFERROR(VLOOKUP(E602&amp;F602,IMPORTRANGE(""https://docs.google.com/spreadsheets/d/1Uw7-A9f9R21vMXxHZFNpYNeKFtG8_yji4HS352LGlSQ/edit?pli=1#gid=0"",""1_ACUM!A4:S""),19,FALSE))"),"")</f>
        <v/>
      </c>
      <c r="BF588" s="98" t="str">
        <f ca="1">IFERROR(__xludf.DUMMYFUNCTION("IFERROR(VLOOKUP(F602,IMPORTRANGE(""https://docs.google.com/spreadsheets/d/1Kvs4KS76FHFqLFIZfrDMff4kP08nblUkihrxltoGBjg/edit#gid=934712705"",""ESENCIAL!A6:BG""),5,FALSE))"),"")</f>
        <v/>
      </c>
      <c r="BG588" s="98" t="str">
        <f t="shared" si="21"/>
        <v/>
      </c>
      <c r="BH588" s="99" t="str">
        <f t="shared" si="22"/>
        <v/>
      </c>
      <c r="BI588" s="100" t="str">
        <f ca="1">IFERROR(__xludf.DUMMYFUNCTION("IFERROR(VLOOKUP(F602,IMPORTRANGE(""https://docs.google.com/spreadsheets/d/1Kvs4KS76FHFqLFIZfrDMff4kP08nblUkihrxltoGBjg/edit#gid=934712705"",""ESENCIAL!A6:BG""),2,FALSE))"),"")</f>
        <v/>
      </c>
      <c r="BJ588" s="19" t="str">
        <f t="shared" si="23"/>
        <v/>
      </c>
      <c r="BK588" s="100"/>
      <c r="BL588" s="100"/>
    </row>
    <row r="589" spans="1:64" ht="15">
      <c r="A589" s="5"/>
      <c r="B589" s="5"/>
      <c r="G589" s="5" t="str">
        <f ca="1">IFERROR(__xludf.DUMMYFUNCTION("IFERROR(VLOOKUP(F603,IMPORTRANGE(""https://docs.google.com/spreadsheets/d/1Kvs4KS76FHFqLFIZfrDMff4kP08nblUkihrxltoGBjg/edit#gid=934712705"",""ESENCIAL!A6:BG""),3,FALSE))"),"")</f>
        <v/>
      </c>
      <c r="H589" s="5" t="str">
        <f ca="1">IFERROR(__xludf.DUMMYFUNCTION("IFERROR(VLOOKUP(F603,IMPORTRANGE(""https://docs.google.com/spreadsheets/d/1Kvs4KS76FHFqLFIZfrDMff4kP08nblUkihrxltoGBjg/edit#gid=934712705"",""ESENCIAL!A6:BG""),8,FALSE))"),"")</f>
        <v/>
      </c>
      <c r="L589" s="287"/>
      <c r="U589" s="40"/>
      <c r="AU589" s="41" t="str">
        <f t="shared" si="20"/>
        <v/>
      </c>
      <c r="AV589" s="5" t="str">
        <f ca="1">IFERROR(__xludf.DUMMYFUNCTION("IFERROR(VLOOKUP(E603&amp;F603,IMPORTRANGE(""https://docs.google.com/spreadsheets/d/1Uw7-A9f9R21vMXxHZFNpYNeKFtG8_yji4HS352LGlSQ/edit?pli=1#gid=0"",""1_ACUM!A4:S""),11,FALSE))"),"")</f>
        <v/>
      </c>
      <c r="AW589" s="42" t="str">
        <f ca="1">IFERROR(__xludf.DUMMYFUNCTION("IFERROR(VLOOKUP(F603,IMPORTRANGE(""https://docs.google.com/spreadsheets/d/1Kvs4KS76FHFqLFIZfrDMff4kP08nblUkihrxltoGBjg/edit#gid=934712705"",""ESENCIAL!A6:BG""),15,FALSE))"),"")</f>
        <v/>
      </c>
      <c r="AX589" s="21" t="str">
        <f ca="1">IFERROR(__xludf.DUMMYFUNCTION("IFERROR(VLOOKUP(E603&amp;F603,IMPORTRANGE(""https://docs.google.com/spreadsheets/d/1Uw7-A9f9R21vMXxHZFNpYNeKFtG8_yji4HS352LGlSQ/edit?pli=1#gid=0"",""1_ACUM!A4:S""),12,FALSE))"),"")</f>
        <v/>
      </c>
      <c r="AY589" s="43" t="str">
        <f ca="1">IFERROR(__xludf.DUMMYFUNCTION("IFERROR(VLOOKUP(E603&amp;F603,IMPORTRANGE(""https://docs.google.com/spreadsheets/d/1Uw7-A9f9R21vMXxHZFNpYNeKFtG8_yji4HS352LGlSQ/edit?pli=1#gid=0"",""1_ACUM!A4:S""),13,FALSE))"),"")</f>
        <v/>
      </c>
      <c r="AZ589" s="43" t="str">
        <f ca="1">IFERROR(__xludf.DUMMYFUNCTION("IFERROR(VLOOKUP(E603&amp;F603,IMPORTRANGE(""https://docs.google.com/spreadsheets/d/1Uw7-A9f9R21vMXxHZFNpYNeKFtG8_yji4HS352LGlSQ/edit?pli=1#gid=0"",""1_ACUM!A4:S""),14,FALSE))"),"")</f>
        <v/>
      </c>
      <c r="BA589" s="43" t="str">
        <f ca="1">IFERROR(__xludf.DUMMYFUNCTION("IFERROR(VLOOKUP(E603&amp;F603,IMPORTRANGE(""https://docs.google.com/spreadsheets/d/1Uw7-A9f9R21vMXxHZFNpYNeKFtG8_yji4HS352LGlSQ/edit?pli=1#gid=0"",""1_ACUM!A4:S""),15,FALSE))"),"")</f>
        <v/>
      </c>
      <c r="BB589" s="43" t="str">
        <f ca="1">IFERROR(__xludf.DUMMYFUNCTION("IFERROR(VLOOKUP(E603&amp;F603,IMPORTRANGE(""https://docs.google.com/spreadsheets/d/1Uw7-A9f9R21vMXxHZFNpYNeKFtG8_yji4HS352LGlSQ/edit?pli=1#gid=0"",""1_ACUM!A4:S""),16,FALSE))"),"")</f>
        <v/>
      </c>
      <c r="BC589" s="43" t="str">
        <f ca="1">IFERROR(__xludf.DUMMYFUNCTION("IFERROR(VLOOKUP(E603&amp;F603,IMPORTRANGE(""https://docs.google.com/spreadsheets/d/1Uw7-A9f9R21vMXxHZFNpYNeKFtG8_yji4HS352LGlSQ/edit?pli=1#gid=0"",""1_ACUM!A4:S""),17,FALSE))"),"")</f>
        <v/>
      </c>
      <c r="BD589" s="44" t="str">
        <f ca="1">IFERROR(__xludf.DUMMYFUNCTION("IFERROR(VLOOKUP(E603&amp;F603,IMPORTRANGE(""https://docs.google.com/spreadsheets/d/1Uw7-A9f9R21vMXxHZFNpYNeKFtG8_yji4HS352LGlSQ/edit?pli=1#gid=0"",""1_ACUM!A4:S""),18,FALSE))"),"")</f>
        <v/>
      </c>
      <c r="BE589" s="44" t="str">
        <f ca="1">IFERROR(__xludf.DUMMYFUNCTION("IFERROR(VLOOKUP(E603&amp;F603,IMPORTRANGE(""https://docs.google.com/spreadsheets/d/1Uw7-A9f9R21vMXxHZFNpYNeKFtG8_yji4HS352LGlSQ/edit?pli=1#gid=0"",""1_ACUM!A4:S""),19,FALSE))"),"")</f>
        <v/>
      </c>
      <c r="BF589" s="98" t="str">
        <f ca="1">IFERROR(__xludf.DUMMYFUNCTION("IFERROR(VLOOKUP(F603,IMPORTRANGE(""https://docs.google.com/spreadsheets/d/1Kvs4KS76FHFqLFIZfrDMff4kP08nblUkihrxltoGBjg/edit#gid=934712705"",""ESENCIAL!A6:BG""),5,FALSE))"),"")</f>
        <v/>
      </c>
      <c r="BG589" s="98" t="str">
        <f t="shared" si="21"/>
        <v/>
      </c>
      <c r="BH589" s="99" t="str">
        <f t="shared" si="22"/>
        <v/>
      </c>
      <c r="BI589" s="100" t="str">
        <f ca="1">IFERROR(__xludf.DUMMYFUNCTION("IFERROR(VLOOKUP(F603,IMPORTRANGE(""https://docs.google.com/spreadsheets/d/1Kvs4KS76FHFqLFIZfrDMff4kP08nblUkihrxltoGBjg/edit#gid=934712705"",""ESENCIAL!A6:BG""),2,FALSE))"),"")</f>
        <v/>
      </c>
      <c r="BJ589" s="19" t="str">
        <f t="shared" si="23"/>
        <v/>
      </c>
      <c r="BK589" s="100"/>
      <c r="BL589" s="100"/>
    </row>
    <row r="590" spans="1:64" ht="15">
      <c r="A590" s="5"/>
      <c r="B590" s="5"/>
      <c r="G590" s="5" t="str">
        <f ca="1">IFERROR(__xludf.DUMMYFUNCTION("IFERROR(VLOOKUP(F604,IMPORTRANGE(""https://docs.google.com/spreadsheets/d/1Kvs4KS76FHFqLFIZfrDMff4kP08nblUkihrxltoGBjg/edit#gid=934712705"",""ESENCIAL!A6:BG""),3,FALSE))"),"")</f>
        <v/>
      </c>
      <c r="H590" s="5" t="str">
        <f ca="1">IFERROR(__xludf.DUMMYFUNCTION("IFERROR(VLOOKUP(F604,IMPORTRANGE(""https://docs.google.com/spreadsheets/d/1Kvs4KS76FHFqLFIZfrDMff4kP08nblUkihrxltoGBjg/edit#gid=934712705"",""ESENCIAL!A6:BG""),8,FALSE))"),"")</f>
        <v/>
      </c>
      <c r="L590" s="287"/>
      <c r="U590" s="40"/>
      <c r="AU590" s="41" t="str">
        <f t="shared" si="20"/>
        <v/>
      </c>
      <c r="AV590" s="5" t="str">
        <f ca="1">IFERROR(__xludf.DUMMYFUNCTION("IFERROR(VLOOKUP(E604&amp;F604,IMPORTRANGE(""https://docs.google.com/spreadsheets/d/1Uw7-A9f9R21vMXxHZFNpYNeKFtG8_yji4HS352LGlSQ/edit?pli=1#gid=0"",""1_ACUM!A4:S""),11,FALSE))"),"")</f>
        <v/>
      </c>
      <c r="AW590" s="42" t="str">
        <f ca="1">IFERROR(__xludf.DUMMYFUNCTION("IFERROR(VLOOKUP(F604,IMPORTRANGE(""https://docs.google.com/spreadsheets/d/1Kvs4KS76FHFqLFIZfrDMff4kP08nblUkihrxltoGBjg/edit#gid=934712705"",""ESENCIAL!A6:BG""),15,FALSE))"),"")</f>
        <v/>
      </c>
      <c r="AX590" s="21" t="str">
        <f ca="1">IFERROR(__xludf.DUMMYFUNCTION("IFERROR(VLOOKUP(E604&amp;F604,IMPORTRANGE(""https://docs.google.com/spreadsheets/d/1Uw7-A9f9R21vMXxHZFNpYNeKFtG8_yji4HS352LGlSQ/edit?pli=1#gid=0"",""1_ACUM!A4:S""),12,FALSE))"),"")</f>
        <v/>
      </c>
      <c r="AY590" s="43" t="str">
        <f ca="1">IFERROR(__xludf.DUMMYFUNCTION("IFERROR(VLOOKUP(E604&amp;F604,IMPORTRANGE(""https://docs.google.com/spreadsheets/d/1Uw7-A9f9R21vMXxHZFNpYNeKFtG8_yji4HS352LGlSQ/edit?pli=1#gid=0"",""1_ACUM!A4:S""),13,FALSE))"),"")</f>
        <v/>
      </c>
      <c r="AZ590" s="43" t="str">
        <f ca="1">IFERROR(__xludf.DUMMYFUNCTION("IFERROR(VLOOKUP(E604&amp;F604,IMPORTRANGE(""https://docs.google.com/spreadsheets/d/1Uw7-A9f9R21vMXxHZFNpYNeKFtG8_yji4HS352LGlSQ/edit?pli=1#gid=0"",""1_ACUM!A4:S""),14,FALSE))"),"")</f>
        <v/>
      </c>
      <c r="BA590" s="43" t="str">
        <f ca="1">IFERROR(__xludf.DUMMYFUNCTION("IFERROR(VLOOKUP(E604&amp;F604,IMPORTRANGE(""https://docs.google.com/spreadsheets/d/1Uw7-A9f9R21vMXxHZFNpYNeKFtG8_yji4HS352LGlSQ/edit?pli=1#gid=0"",""1_ACUM!A4:S""),15,FALSE))"),"")</f>
        <v/>
      </c>
      <c r="BB590" s="43" t="str">
        <f ca="1">IFERROR(__xludf.DUMMYFUNCTION("IFERROR(VLOOKUP(E604&amp;F604,IMPORTRANGE(""https://docs.google.com/spreadsheets/d/1Uw7-A9f9R21vMXxHZFNpYNeKFtG8_yji4HS352LGlSQ/edit?pli=1#gid=0"",""1_ACUM!A4:S""),16,FALSE))"),"")</f>
        <v/>
      </c>
      <c r="BC590" s="43" t="str">
        <f ca="1">IFERROR(__xludf.DUMMYFUNCTION("IFERROR(VLOOKUP(E604&amp;F604,IMPORTRANGE(""https://docs.google.com/spreadsheets/d/1Uw7-A9f9R21vMXxHZFNpYNeKFtG8_yji4HS352LGlSQ/edit?pli=1#gid=0"",""1_ACUM!A4:S""),17,FALSE))"),"")</f>
        <v/>
      </c>
      <c r="BD590" s="44" t="str">
        <f ca="1">IFERROR(__xludf.DUMMYFUNCTION("IFERROR(VLOOKUP(E604&amp;F604,IMPORTRANGE(""https://docs.google.com/spreadsheets/d/1Uw7-A9f9R21vMXxHZFNpYNeKFtG8_yji4HS352LGlSQ/edit?pli=1#gid=0"",""1_ACUM!A4:S""),18,FALSE))"),"")</f>
        <v/>
      </c>
      <c r="BE590" s="44" t="str">
        <f ca="1">IFERROR(__xludf.DUMMYFUNCTION("IFERROR(VLOOKUP(E604&amp;F604,IMPORTRANGE(""https://docs.google.com/spreadsheets/d/1Uw7-A9f9R21vMXxHZFNpYNeKFtG8_yji4HS352LGlSQ/edit?pli=1#gid=0"",""1_ACUM!A4:S""),19,FALSE))"),"")</f>
        <v/>
      </c>
      <c r="BF590" s="98" t="str">
        <f ca="1">IFERROR(__xludf.DUMMYFUNCTION("IFERROR(VLOOKUP(F604,IMPORTRANGE(""https://docs.google.com/spreadsheets/d/1Kvs4KS76FHFqLFIZfrDMff4kP08nblUkihrxltoGBjg/edit#gid=934712705"",""ESENCIAL!A6:BG""),5,FALSE))"),"")</f>
        <v/>
      </c>
      <c r="BG590" s="98" t="str">
        <f t="shared" si="21"/>
        <v/>
      </c>
      <c r="BH590" s="99" t="str">
        <f t="shared" si="22"/>
        <v/>
      </c>
      <c r="BI590" s="100" t="str">
        <f ca="1">IFERROR(__xludf.DUMMYFUNCTION("IFERROR(VLOOKUP(F604,IMPORTRANGE(""https://docs.google.com/spreadsheets/d/1Kvs4KS76FHFqLFIZfrDMff4kP08nblUkihrxltoGBjg/edit#gid=934712705"",""ESENCIAL!A6:BG""),2,FALSE))"),"")</f>
        <v/>
      </c>
      <c r="BJ590" s="19" t="str">
        <f t="shared" si="23"/>
        <v/>
      </c>
      <c r="BK590" s="100"/>
      <c r="BL590" s="100"/>
    </row>
    <row r="591" spans="1:64" ht="15">
      <c r="A591" s="5"/>
      <c r="B591" s="5"/>
      <c r="G591" s="5" t="str">
        <f ca="1">IFERROR(__xludf.DUMMYFUNCTION("IFERROR(VLOOKUP(F605,IMPORTRANGE(""https://docs.google.com/spreadsheets/d/1Kvs4KS76FHFqLFIZfrDMff4kP08nblUkihrxltoGBjg/edit#gid=934712705"",""ESENCIAL!A6:BG""),3,FALSE))"),"")</f>
        <v/>
      </c>
      <c r="H591" s="5" t="str">
        <f ca="1">IFERROR(__xludf.DUMMYFUNCTION("IFERROR(VLOOKUP(F605,IMPORTRANGE(""https://docs.google.com/spreadsheets/d/1Kvs4KS76FHFqLFIZfrDMff4kP08nblUkihrxltoGBjg/edit#gid=934712705"",""ESENCIAL!A6:BG""),8,FALSE))"),"")</f>
        <v/>
      </c>
      <c r="L591" s="287"/>
      <c r="U591" s="40"/>
      <c r="AU591" s="41" t="str">
        <f t="shared" si="20"/>
        <v/>
      </c>
      <c r="AV591" s="5" t="str">
        <f ca="1">IFERROR(__xludf.DUMMYFUNCTION("IFERROR(VLOOKUP(E605&amp;F605,IMPORTRANGE(""https://docs.google.com/spreadsheets/d/1Uw7-A9f9R21vMXxHZFNpYNeKFtG8_yji4HS352LGlSQ/edit?pli=1#gid=0"",""1_ACUM!A4:S""),11,FALSE))"),"")</f>
        <v/>
      </c>
      <c r="AW591" s="42" t="str">
        <f ca="1">IFERROR(__xludf.DUMMYFUNCTION("IFERROR(VLOOKUP(F605,IMPORTRANGE(""https://docs.google.com/spreadsheets/d/1Kvs4KS76FHFqLFIZfrDMff4kP08nblUkihrxltoGBjg/edit#gid=934712705"",""ESENCIAL!A6:BG""),15,FALSE))"),"")</f>
        <v/>
      </c>
      <c r="AX591" s="21" t="str">
        <f ca="1">IFERROR(__xludf.DUMMYFUNCTION("IFERROR(VLOOKUP(E605&amp;F605,IMPORTRANGE(""https://docs.google.com/spreadsheets/d/1Uw7-A9f9R21vMXxHZFNpYNeKFtG8_yji4HS352LGlSQ/edit?pli=1#gid=0"",""1_ACUM!A4:S""),12,FALSE))"),"")</f>
        <v/>
      </c>
      <c r="AY591" s="43" t="str">
        <f ca="1">IFERROR(__xludf.DUMMYFUNCTION("IFERROR(VLOOKUP(E605&amp;F605,IMPORTRANGE(""https://docs.google.com/spreadsheets/d/1Uw7-A9f9R21vMXxHZFNpYNeKFtG8_yji4HS352LGlSQ/edit?pli=1#gid=0"",""1_ACUM!A4:S""),13,FALSE))"),"")</f>
        <v/>
      </c>
      <c r="AZ591" s="43" t="str">
        <f ca="1">IFERROR(__xludf.DUMMYFUNCTION("IFERROR(VLOOKUP(E605&amp;F605,IMPORTRANGE(""https://docs.google.com/spreadsheets/d/1Uw7-A9f9R21vMXxHZFNpYNeKFtG8_yji4HS352LGlSQ/edit?pli=1#gid=0"",""1_ACUM!A4:S""),14,FALSE))"),"")</f>
        <v/>
      </c>
      <c r="BA591" s="43" t="str">
        <f ca="1">IFERROR(__xludf.DUMMYFUNCTION("IFERROR(VLOOKUP(E605&amp;F605,IMPORTRANGE(""https://docs.google.com/spreadsheets/d/1Uw7-A9f9R21vMXxHZFNpYNeKFtG8_yji4HS352LGlSQ/edit?pli=1#gid=0"",""1_ACUM!A4:S""),15,FALSE))"),"")</f>
        <v/>
      </c>
      <c r="BB591" s="43" t="str">
        <f ca="1">IFERROR(__xludf.DUMMYFUNCTION("IFERROR(VLOOKUP(E605&amp;F605,IMPORTRANGE(""https://docs.google.com/spreadsheets/d/1Uw7-A9f9R21vMXxHZFNpYNeKFtG8_yji4HS352LGlSQ/edit?pli=1#gid=0"",""1_ACUM!A4:S""),16,FALSE))"),"")</f>
        <v/>
      </c>
      <c r="BC591" s="43" t="str">
        <f ca="1">IFERROR(__xludf.DUMMYFUNCTION("IFERROR(VLOOKUP(E605&amp;F605,IMPORTRANGE(""https://docs.google.com/spreadsheets/d/1Uw7-A9f9R21vMXxHZFNpYNeKFtG8_yji4HS352LGlSQ/edit?pli=1#gid=0"",""1_ACUM!A4:S""),17,FALSE))"),"")</f>
        <v/>
      </c>
      <c r="BD591" s="44" t="str">
        <f ca="1">IFERROR(__xludf.DUMMYFUNCTION("IFERROR(VLOOKUP(E605&amp;F605,IMPORTRANGE(""https://docs.google.com/spreadsheets/d/1Uw7-A9f9R21vMXxHZFNpYNeKFtG8_yji4HS352LGlSQ/edit?pli=1#gid=0"",""1_ACUM!A4:S""),18,FALSE))"),"")</f>
        <v/>
      </c>
      <c r="BE591" s="44" t="str">
        <f ca="1">IFERROR(__xludf.DUMMYFUNCTION("IFERROR(VLOOKUP(E605&amp;F605,IMPORTRANGE(""https://docs.google.com/spreadsheets/d/1Uw7-A9f9R21vMXxHZFNpYNeKFtG8_yji4HS352LGlSQ/edit?pli=1#gid=0"",""1_ACUM!A4:S""),19,FALSE))"),"")</f>
        <v/>
      </c>
      <c r="BF591" s="98" t="str">
        <f ca="1">IFERROR(__xludf.DUMMYFUNCTION("IFERROR(VLOOKUP(F605,IMPORTRANGE(""https://docs.google.com/spreadsheets/d/1Kvs4KS76FHFqLFIZfrDMff4kP08nblUkihrxltoGBjg/edit#gid=934712705"",""ESENCIAL!A6:BG""),5,FALSE))"),"")</f>
        <v/>
      </c>
      <c r="BG591" s="98" t="str">
        <f t="shared" si="21"/>
        <v/>
      </c>
      <c r="BH591" s="99" t="str">
        <f t="shared" si="22"/>
        <v/>
      </c>
      <c r="BI591" s="100" t="str">
        <f ca="1">IFERROR(__xludf.DUMMYFUNCTION("IFERROR(VLOOKUP(F605,IMPORTRANGE(""https://docs.google.com/spreadsheets/d/1Kvs4KS76FHFqLFIZfrDMff4kP08nblUkihrxltoGBjg/edit#gid=934712705"",""ESENCIAL!A6:BG""),2,FALSE))"),"")</f>
        <v/>
      </c>
      <c r="BJ591" s="19" t="str">
        <f t="shared" si="23"/>
        <v/>
      </c>
      <c r="BK591" s="100"/>
      <c r="BL591" s="100"/>
    </row>
    <row r="592" spans="1:64" ht="15">
      <c r="A592" s="5"/>
      <c r="B592" s="5"/>
      <c r="G592" s="5" t="str">
        <f ca="1">IFERROR(__xludf.DUMMYFUNCTION("IFERROR(VLOOKUP(F606,IMPORTRANGE(""https://docs.google.com/spreadsheets/d/1Kvs4KS76FHFqLFIZfrDMff4kP08nblUkihrxltoGBjg/edit#gid=934712705"",""ESENCIAL!A6:BG""),3,FALSE))"),"")</f>
        <v/>
      </c>
      <c r="H592" s="5" t="str">
        <f ca="1">IFERROR(__xludf.DUMMYFUNCTION("IFERROR(VLOOKUP(F606,IMPORTRANGE(""https://docs.google.com/spreadsheets/d/1Kvs4KS76FHFqLFIZfrDMff4kP08nblUkihrxltoGBjg/edit#gid=934712705"",""ESENCIAL!A6:BG""),8,FALSE))"),"")</f>
        <v/>
      </c>
      <c r="L592" s="287"/>
      <c r="U592" s="40"/>
      <c r="AU592" s="41" t="str">
        <f t="shared" si="20"/>
        <v/>
      </c>
      <c r="AV592" s="5" t="str">
        <f ca="1">IFERROR(__xludf.DUMMYFUNCTION("IFERROR(VLOOKUP(E606&amp;F606,IMPORTRANGE(""https://docs.google.com/spreadsheets/d/1Uw7-A9f9R21vMXxHZFNpYNeKFtG8_yji4HS352LGlSQ/edit?pli=1#gid=0"",""1_ACUM!A4:S""),11,FALSE))"),"")</f>
        <v/>
      </c>
      <c r="AW592" s="42" t="str">
        <f ca="1">IFERROR(__xludf.DUMMYFUNCTION("IFERROR(VLOOKUP(F606,IMPORTRANGE(""https://docs.google.com/spreadsheets/d/1Kvs4KS76FHFqLFIZfrDMff4kP08nblUkihrxltoGBjg/edit#gid=934712705"",""ESENCIAL!A6:BG""),15,FALSE))"),"")</f>
        <v/>
      </c>
      <c r="AX592" s="21" t="str">
        <f ca="1">IFERROR(__xludf.DUMMYFUNCTION("IFERROR(VLOOKUP(E606&amp;F606,IMPORTRANGE(""https://docs.google.com/spreadsheets/d/1Uw7-A9f9R21vMXxHZFNpYNeKFtG8_yji4HS352LGlSQ/edit?pli=1#gid=0"",""1_ACUM!A4:S""),12,FALSE))"),"")</f>
        <v/>
      </c>
      <c r="AY592" s="43" t="str">
        <f ca="1">IFERROR(__xludf.DUMMYFUNCTION("IFERROR(VLOOKUP(E606&amp;F606,IMPORTRANGE(""https://docs.google.com/spreadsheets/d/1Uw7-A9f9R21vMXxHZFNpYNeKFtG8_yji4HS352LGlSQ/edit?pli=1#gid=0"",""1_ACUM!A4:S""),13,FALSE))"),"")</f>
        <v/>
      </c>
      <c r="AZ592" s="43" t="str">
        <f ca="1">IFERROR(__xludf.DUMMYFUNCTION("IFERROR(VLOOKUP(E606&amp;F606,IMPORTRANGE(""https://docs.google.com/spreadsheets/d/1Uw7-A9f9R21vMXxHZFNpYNeKFtG8_yji4HS352LGlSQ/edit?pli=1#gid=0"",""1_ACUM!A4:S""),14,FALSE))"),"")</f>
        <v/>
      </c>
      <c r="BA592" s="43" t="str">
        <f ca="1">IFERROR(__xludf.DUMMYFUNCTION("IFERROR(VLOOKUP(E606&amp;F606,IMPORTRANGE(""https://docs.google.com/spreadsheets/d/1Uw7-A9f9R21vMXxHZFNpYNeKFtG8_yji4HS352LGlSQ/edit?pli=1#gid=0"",""1_ACUM!A4:S""),15,FALSE))"),"")</f>
        <v/>
      </c>
      <c r="BB592" s="43" t="str">
        <f ca="1">IFERROR(__xludf.DUMMYFUNCTION("IFERROR(VLOOKUP(E606&amp;F606,IMPORTRANGE(""https://docs.google.com/spreadsheets/d/1Uw7-A9f9R21vMXxHZFNpYNeKFtG8_yji4HS352LGlSQ/edit?pli=1#gid=0"",""1_ACUM!A4:S""),16,FALSE))"),"")</f>
        <v/>
      </c>
      <c r="BC592" s="43" t="str">
        <f ca="1">IFERROR(__xludf.DUMMYFUNCTION("IFERROR(VLOOKUP(E606&amp;F606,IMPORTRANGE(""https://docs.google.com/spreadsheets/d/1Uw7-A9f9R21vMXxHZFNpYNeKFtG8_yji4HS352LGlSQ/edit?pli=1#gid=0"",""1_ACUM!A4:S""),17,FALSE))"),"")</f>
        <v/>
      </c>
      <c r="BD592" s="44" t="str">
        <f ca="1">IFERROR(__xludf.DUMMYFUNCTION("IFERROR(VLOOKUP(E606&amp;F606,IMPORTRANGE(""https://docs.google.com/spreadsheets/d/1Uw7-A9f9R21vMXxHZFNpYNeKFtG8_yji4HS352LGlSQ/edit?pli=1#gid=0"",""1_ACUM!A4:S""),18,FALSE))"),"")</f>
        <v/>
      </c>
      <c r="BE592" s="44" t="str">
        <f ca="1">IFERROR(__xludf.DUMMYFUNCTION("IFERROR(VLOOKUP(E606&amp;F606,IMPORTRANGE(""https://docs.google.com/spreadsheets/d/1Uw7-A9f9R21vMXxHZFNpYNeKFtG8_yji4HS352LGlSQ/edit?pli=1#gid=0"",""1_ACUM!A4:S""),19,FALSE))"),"")</f>
        <v/>
      </c>
      <c r="BF592" s="98" t="str">
        <f ca="1">IFERROR(__xludf.DUMMYFUNCTION("IFERROR(VLOOKUP(F606,IMPORTRANGE(""https://docs.google.com/spreadsheets/d/1Kvs4KS76FHFqLFIZfrDMff4kP08nblUkihrxltoGBjg/edit#gid=934712705"",""ESENCIAL!A6:BG""),5,FALSE))"),"")</f>
        <v/>
      </c>
      <c r="BG592" s="98" t="str">
        <f t="shared" si="21"/>
        <v/>
      </c>
      <c r="BH592" s="99" t="str">
        <f t="shared" si="22"/>
        <v/>
      </c>
      <c r="BI592" s="100" t="str">
        <f ca="1">IFERROR(__xludf.DUMMYFUNCTION("IFERROR(VLOOKUP(F606,IMPORTRANGE(""https://docs.google.com/spreadsheets/d/1Kvs4KS76FHFqLFIZfrDMff4kP08nblUkihrxltoGBjg/edit#gid=934712705"",""ESENCIAL!A6:BG""),2,FALSE))"),"")</f>
        <v/>
      </c>
      <c r="BJ592" s="19" t="str">
        <f t="shared" si="23"/>
        <v/>
      </c>
      <c r="BK592" s="100"/>
      <c r="BL592" s="100"/>
    </row>
    <row r="593" spans="1:64" ht="15">
      <c r="A593" s="5"/>
      <c r="B593" s="5"/>
      <c r="G593" s="5" t="str">
        <f ca="1">IFERROR(__xludf.DUMMYFUNCTION("IFERROR(VLOOKUP(F607,IMPORTRANGE(""https://docs.google.com/spreadsheets/d/1Kvs4KS76FHFqLFIZfrDMff4kP08nblUkihrxltoGBjg/edit#gid=934712705"",""ESENCIAL!A6:BG""),3,FALSE))"),"")</f>
        <v/>
      </c>
      <c r="H593" s="5" t="str">
        <f ca="1">IFERROR(__xludf.DUMMYFUNCTION("IFERROR(VLOOKUP(F607,IMPORTRANGE(""https://docs.google.com/spreadsheets/d/1Kvs4KS76FHFqLFIZfrDMff4kP08nblUkihrxltoGBjg/edit#gid=934712705"",""ESENCIAL!A6:BG""),8,FALSE))"),"")</f>
        <v/>
      </c>
      <c r="L593" s="287"/>
      <c r="U593" s="40"/>
      <c r="AU593" s="41" t="str">
        <f t="shared" si="20"/>
        <v/>
      </c>
      <c r="AV593" s="5" t="str">
        <f ca="1">IFERROR(__xludf.DUMMYFUNCTION("IFERROR(VLOOKUP(E607&amp;F607,IMPORTRANGE(""https://docs.google.com/spreadsheets/d/1Uw7-A9f9R21vMXxHZFNpYNeKFtG8_yji4HS352LGlSQ/edit?pli=1#gid=0"",""1_ACUM!A4:S""),11,FALSE))"),"")</f>
        <v/>
      </c>
      <c r="AW593" s="42" t="str">
        <f ca="1">IFERROR(__xludf.DUMMYFUNCTION("IFERROR(VLOOKUP(F607,IMPORTRANGE(""https://docs.google.com/spreadsheets/d/1Kvs4KS76FHFqLFIZfrDMff4kP08nblUkihrxltoGBjg/edit#gid=934712705"",""ESENCIAL!A6:BG""),15,FALSE))"),"")</f>
        <v/>
      </c>
      <c r="AX593" s="21" t="str">
        <f ca="1">IFERROR(__xludf.DUMMYFUNCTION("IFERROR(VLOOKUP(E607&amp;F607,IMPORTRANGE(""https://docs.google.com/spreadsheets/d/1Uw7-A9f9R21vMXxHZFNpYNeKFtG8_yji4HS352LGlSQ/edit?pli=1#gid=0"",""1_ACUM!A4:S""),12,FALSE))"),"")</f>
        <v/>
      </c>
      <c r="AY593" s="43" t="str">
        <f ca="1">IFERROR(__xludf.DUMMYFUNCTION("IFERROR(VLOOKUP(E607&amp;F607,IMPORTRANGE(""https://docs.google.com/spreadsheets/d/1Uw7-A9f9R21vMXxHZFNpYNeKFtG8_yji4HS352LGlSQ/edit?pli=1#gid=0"",""1_ACUM!A4:S""),13,FALSE))"),"")</f>
        <v/>
      </c>
      <c r="AZ593" s="43" t="str">
        <f ca="1">IFERROR(__xludf.DUMMYFUNCTION("IFERROR(VLOOKUP(E607&amp;F607,IMPORTRANGE(""https://docs.google.com/spreadsheets/d/1Uw7-A9f9R21vMXxHZFNpYNeKFtG8_yji4HS352LGlSQ/edit?pli=1#gid=0"",""1_ACUM!A4:S""),14,FALSE))"),"")</f>
        <v/>
      </c>
      <c r="BA593" s="43" t="str">
        <f ca="1">IFERROR(__xludf.DUMMYFUNCTION("IFERROR(VLOOKUP(E607&amp;F607,IMPORTRANGE(""https://docs.google.com/spreadsheets/d/1Uw7-A9f9R21vMXxHZFNpYNeKFtG8_yji4HS352LGlSQ/edit?pli=1#gid=0"",""1_ACUM!A4:S""),15,FALSE))"),"")</f>
        <v/>
      </c>
      <c r="BB593" s="43" t="str">
        <f ca="1">IFERROR(__xludf.DUMMYFUNCTION("IFERROR(VLOOKUP(E607&amp;F607,IMPORTRANGE(""https://docs.google.com/spreadsheets/d/1Uw7-A9f9R21vMXxHZFNpYNeKFtG8_yji4HS352LGlSQ/edit?pli=1#gid=0"",""1_ACUM!A4:S""),16,FALSE))"),"")</f>
        <v/>
      </c>
      <c r="BC593" s="43" t="str">
        <f ca="1">IFERROR(__xludf.DUMMYFUNCTION("IFERROR(VLOOKUP(E607&amp;F607,IMPORTRANGE(""https://docs.google.com/spreadsheets/d/1Uw7-A9f9R21vMXxHZFNpYNeKFtG8_yji4HS352LGlSQ/edit?pli=1#gid=0"",""1_ACUM!A4:S""),17,FALSE))"),"")</f>
        <v/>
      </c>
      <c r="BD593" s="44" t="str">
        <f ca="1">IFERROR(__xludf.DUMMYFUNCTION("IFERROR(VLOOKUP(E607&amp;F607,IMPORTRANGE(""https://docs.google.com/spreadsheets/d/1Uw7-A9f9R21vMXxHZFNpYNeKFtG8_yji4HS352LGlSQ/edit?pli=1#gid=0"",""1_ACUM!A4:S""),18,FALSE))"),"")</f>
        <v/>
      </c>
      <c r="BE593" s="44" t="str">
        <f ca="1">IFERROR(__xludf.DUMMYFUNCTION("IFERROR(VLOOKUP(E607&amp;F607,IMPORTRANGE(""https://docs.google.com/spreadsheets/d/1Uw7-A9f9R21vMXxHZFNpYNeKFtG8_yji4HS352LGlSQ/edit?pli=1#gid=0"",""1_ACUM!A4:S""),19,FALSE))"),"")</f>
        <v/>
      </c>
      <c r="BF593" s="98" t="str">
        <f ca="1">IFERROR(__xludf.DUMMYFUNCTION("IFERROR(VLOOKUP(F607,IMPORTRANGE(""https://docs.google.com/spreadsheets/d/1Kvs4KS76FHFqLFIZfrDMff4kP08nblUkihrxltoGBjg/edit#gid=934712705"",""ESENCIAL!A6:BG""),5,FALSE))"),"")</f>
        <v/>
      </c>
      <c r="BG593" s="98" t="str">
        <f t="shared" si="21"/>
        <v/>
      </c>
      <c r="BH593" s="99" t="str">
        <f t="shared" si="22"/>
        <v/>
      </c>
      <c r="BI593" s="100" t="str">
        <f ca="1">IFERROR(__xludf.DUMMYFUNCTION("IFERROR(VLOOKUP(F607,IMPORTRANGE(""https://docs.google.com/spreadsheets/d/1Kvs4KS76FHFqLFIZfrDMff4kP08nblUkihrxltoGBjg/edit#gid=934712705"",""ESENCIAL!A6:BG""),2,FALSE))"),"")</f>
        <v/>
      </c>
      <c r="BJ593" s="19" t="str">
        <f t="shared" si="23"/>
        <v/>
      </c>
      <c r="BK593" s="100"/>
      <c r="BL593" s="100"/>
    </row>
    <row r="594" spans="1:64" ht="15">
      <c r="A594" s="5"/>
      <c r="B594" s="5"/>
      <c r="G594" s="5" t="str">
        <f ca="1">IFERROR(__xludf.DUMMYFUNCTION("IFERROR(VLOOKUP(F608,IMPORTRANGE(""https://docs.google.com/spreadsheets/d/1Kvs4KS76FHFqLFIZfrDMff4kP08nblUkihrxltoGBjg/edit#gid=934712705"",""ESENCIAL!A6:BG""),3,FALSE))"),"")</f>
        <v/>
      </c>
      <c r="H594" s="5" t="str">
        <f ca="1">IFERROR(__xludf.DUMMYFUNCTION("IFERROR(VLOOKUP(F608,IMPORTRANGE(""https://docs.google.com/spreadsheets/d/1Kvs4KS76FHFqLFIZfrDMff4kP08nblUkihrxltoGBjg/edit#gid=934712705"",""ESENCIAL!A6:BG""),8,FALSE))"),"")</f>
        <v/>
      </c>
      <c r="L594" s="287"/>
      <c r="U594" s="40"/>
      <c r="AU594" s="41" t="str">
        <f t="shared" si="20"/>
        <v/>
      </c>
      <c r="AV594" s="5" t="str">
        <f ca="1">IFERROR(__xludf.DUMMYFUNCTION("IFERROR(VLOOKUP(E608&amp;F608,IMPORTRANGE(""https://docs.google.com/spreadsheets/d/1Uw7-A9f9R21vMXxHZFNpYNeKFtG8_yji4HS352LGlSQ/edit?pli=1#gid=0"",""1_ACUM!A4:S""),11,FALSE))"),"")</f>
        <v/>
      </c>
      <c r="AW594" s="42" t="str">
        <f ca="1">IFERROR(__xludf.DUMMYFUNCTION("IFERROR(VLOOKUP(F608,IMPORTRANGE(""https://docs.google.com/spreadsheets/d/1Kvs4KS76FHFqLFIZfrDMff4kP08nblUkihrxltoGBjg/edit#gid=934712705"",""ESENCIAL!A6:BG""),15,FALSE))"),"")</f>
        <v/>
      </c>
      <c r="AX594" s="21" t="str">
        <f ca="1">IFERROR(__xludf.DUMMYFUNCTION("IFERROR(VLOOKUP(E608&amp;F608,IMPORTRANGE(""https://docs.google.com/spreadsheets/d/1Uw7-A9f9R21vMXxHZFNpYNeKFtG8_yji4HS352LGlSQ/edit?pli=1#gid=0"",""1_ACUM!A4:S""),12,FALSE))"),"")</f>
        <v/>
      </c>
      <c r="AY594" s="43" t="str">
        <f ca="1">IFERROR(__xludf.DUMMYFUNCTION("IFERROR(VLOOKUP(E608&amp;F608,IMPORTRANGE(""https://docs.google.com/spreadsheets/d/1Uw7-A9f9R21vMXxHZFNpYNeKFtG8_yji4HS352LGlSQ/edit?pli=1#gid=0"",""1_ACUM!A4:S""),13,FALSE))"),"")</f>
        <v/>
      </c>
      <c r="AZ594" s="43" t="str">
        <f ca="1">IFERROR(__xludf.DUMMYFUNCTION("IFERROR(VLOOKUP(E608&amp;F608,IMPORTRANGE(""https://docs.google.com/spreadsheets/d/1Uw7-A9f9R21vMXxHZFNpYNeKFtG8_yji4HS352LGlSQ/edit?pli=1#gid=0"",""1_ACUM!A4:S""),14,FALSE))"),"")</f>
        <v/>
      </c>
      <c r="BA594" s="43" t="str">
        <f ca="1">IFERROR(__xludf.DUMMYFUNCTION("IFERROR(VLOOKUP(E608&amp;F608,IMPORTRANGE(""https://docs.google.com/spreadsheets/d/1Uw7-A9f9R21vMXxHZFNpYNeKFtG8_yji4HS352LGlSQ/edit?pli=1#gid=0"",""1_ACUM!A4:S""),15,FALSE))"),"")</f>
        <v/>
      </c>
      <c r="BB594" s="43" t="str">
        <f ca="1">IFERROR(__xludf.DUMMYFUNCTION("IFERROR(VLOOKUP(E608&amp;F608,IMPORTRANGE(""https://docs.google.com/spreadsheets/d/1Uw7-A9f9R21vMXxHZFNpYNeKFtG8_yji4HS352LGlSQ/edit?pli=1#gid=0"",""1_ACUM!A4:S""),16,FALSE))"),"")</f>
        <v/>
      </c>
      <c r="BC594" s="43" t="str">
        <f ca="1">IFERROR(__xludf.DUMMYFUNCTION("IFERROR(VLOOKUP(E608&amp;F608,IMPORTRANGE(""https://docs.google.com/spreadsheets/d/1Uw7-A9f9R21vMXxHZFNpYNeKFtG8_yji4HS352LGlSQ/edit?pli=1#gid=0"",""1_ACUM!A4:S""),17,FALSE))"),"")</f>
        <v/>
      </c>
      <c r="BD594" s="44" t="str">
        <f ca="1">IFERROR(__xludf.DUMMYFUNCTION("IFERROR(VLOOKUP(E608&amp;F608,IMPORTRANGE(""https://docs.google.com/spreadsheets/d/1Uw7-A9f9R21vMXxHZFNpYNeKFtG8_yji4HS352LGlSQ/edit?pli=1#gid=0"",""1_ACUM!A4:S""),18,FALSE))"),"")</f>
        <v/>
      </c>
      <c r="BE594" s="44" t="str">
        <f ca="1">IFERROR(__xludf.DUMMYFUNCTION("IFERROR(VLOOKUP(E608&amp;F608,IMPORTRANGE(""https://docs.google.com/spreadsheets/d/1Uw7-A9f9R21vMXxHZFNpYNeKFtG8_yji4HS352LGlSQ/edit?pli=1#gid=0"",""1_ACUM!A4:S""),19,FALSE))"),"")</f>
        <v/>
      </c>
      <c r="BF594" s="98" t="str">
        <f ca="1">IFERROR(__xludf.DUMMYFUNCTION("IFERROR(VLOOKUP(F608,IMPORTRANGE(""https://docs.google.com/spreadsheets/d/1Kvs4KS76FHFqLFIZfrDMff4kP08nblUkihrxltoGBjg/edit#gid=934712705"",""ESENCIAL!A6:BG""),5,FALSE))"),"")</f>
        <v/>
      </c>
      <c r="BG594" s="98" t="str">
        <f t="shared" si="21"/>
        <v/>
      </c>
      <c r="BH594" s="99" t="str">
        <f t="shared" si="22"/>
        <v/>
      </c>
      <c r="BI594" s="100" t="str">
        <f ca="1">IFERROR(__xludf.DUMMYFUNCTION("IFERROR(VLOOKUP(F608,IMPORTRANGE(""https://docs.google.com/spreadsheets/d/1Kvs4KS76FHFqLFIZfrDMff4kP08nblUkihrxltoGBjg/edit#gid=934712705"",""ESENCIAL!A6:BG""),2,FALSE))"),"")</f>
        <v/>
      </c>
      <c r="BJ594" s="19" t="str">
        <f t="shared" si="23"/>
        <v/>
      </c>
      <c r="BK594" s="100"/>
      <c r="BL594" s="100"/>
    </row>
    <row r="595" spans="1:64" ht="15">
      <c r="A595" s="5"/>
      <c r="B595" s="5"/>
      <c r="G595" s="5" t="str">
        <f ca="1">IFERROR(__xludf.DUMMYFUNCTION("IFERROR(VLOOKUP(F609,IMPORTRANGE(""https://docs.google.com/spreadsheets/d/1Kvs4KS76FHFqLFIZfrDMff4kP08nblUkihrxltoGBjg/edit#gid=934712705"",""ESENCIAL!A6:BG""),3,FALSE))"),"")</f>
        <v/>
      </c>
      <c r="H595" s="5" t="str">
        <f ca="1">IFERROR(__xludf.DUMMYFUNCTION("IFERROR(VLOOKUP(F609,IMPORTRANGE(""https://docs.google.com/spreadsheets/d/1Kvs4KS76FHFqLFIZfrDMff4kP08nblUkihrxltoGBjg/edit#gid=934712705"",""ESENCIAL!A6:BG""),8,FALSE))"),"")</f>
        <v/>
      </c>
      <c r="L595" s="287"/>
      <c r="U595" s="40"/>
      <c r="AU595" s="41" t="str">
        <f t="shared" si="20"/>
        <v/>
      </c>
      <c r="AV595" s="5" t="str">
        <f ca="1">IFERROR(__xludf.DUMMYFUNCTION("IFERROR(VLOOKUP(E609&amp;F609,IMPORTRANGE(""https://docs.google.com/spreadsheets/d/1Uw7-A9f9R21vMXxHZFNpYNeKFtG8_yji4HS352LGlSQ/edit?pli=1#gid=0"",""1_ACUM!A4:S""),11,FALSE))"),"")</f>
        <v/>
      </c>
      <c r="AW595" s="42" t="str">
        <f ca="1">IFERROR(__xludf.DUMMYFUNCTION("IFERROR(VLOOKUP(F609,IMPORTRANGE(""https://docs.google.com/spreadsheets/d/1Kvs4KS76FHFqLFIZfrDMff4kP08nblUkihrxltoGBjg/edit#gid=934712705"",""ESENCIAL!A6:BG""),15,FALSE))"),"")</f>
        <v/>
      </c>
      <c r="AX595" s="21" t="str">
        <f ca="1">IFERROR(__xludf.DUMMYFUNCTION("IFERROR(VLOOKUP(E609&amp;F609,IMPORTRANGE(""https://docs.google.com/spreadsheets/d/1Uw7-A9f9R21vMXxHZFNpYNeKFtG8_yji4HS352LGlSQ/edit?pli=1#gid=0"",""1_ACUM!A4:S""),12,FALSE))"),"")</f>
        <v/>
      </c>
      <c r="AY595" s="43" t="str">
        <f ca="1">IFERROR(__xludf.DUMMYFUNCTION("IFERROR(VLOOKUP(E609&amp;F609,IMPORTRANGE(""https://docs.google.com/spreadsheets/d/1Uw7-A9f9R21vMXxHZFNpYNeKFtG8_yji4HS352LGlSQ/edit?pli=1#gid=0"",""1_ACUM!A4:S""),13,FALSE))"),"")</f>
        <v/>
      </c>
      <c r="AZ595" s="43" t="str">
        <f ca="1">IFERROR(__xludf.DUMMYFUNCTION("IFERROR(VLOOKUP(E609&amp;F609,IMPORTRANGE(""https://docs.google.com/spreadsheets/d/1Uw7-A9f9R21vMXxHZFNpYNeKFtG8_yji4HS352LGlSQ/edit?pli=1#gid=0"",""1_ACUM!A4:S""),14,FALSE))"),"")</f>
        <v/>
      </c>
      <c r="BA595" s="43" t="str">
        <f ca="1">IFERROR(__xludf.DUMMYFUNCTION("IFERROR(VLOOKUP(E609&amp;F609,IMPORTRANGE(""https://docs.google.com/spreadsheets/d/1Uw7-A9f9R21vMXxHZFNpYNeKFtG8_yji4HS352LGlSQ/edit?pli=1#gid=0"",""1_ACUM!A4:S""),15,FALSE))"),"")</f>
        <v/>
      </c>
      <c r="BB595" s="43" t="str">
        <f ca="1">IFERROR(__xludf.DUMMYFUNCTION("IFERROR(VLOOKUP(E609&amp;F609,IMPORTRANGE(""https://docs.google.com/spreadsheets/d/1Uw7-A9f9R21vMXxHZFNpYNeKFtG8_yji4HS352LGlSQ/edit?pli=1#gid=0"",""1_ACUM!A4:S""),16,FALSE))"),"")</f>
        <v/>
      </c>
      <c r="BC595" s="43" t="str">
        <f ca="1">IFERROR(__xludf.DUMMYFUNCTION("IFERROR(VLOOKUP(E609&amp;F609,IMPORTRANGE(""https://docs.google.com/spreadsheets/d/1Uw7-A9f9R21vMXxHZFNpYNeKFtG8_yji4HS352LGlSQ/edit?pli=1#gid=0"",""1_ACUM!A4:S""),17,FALSE))"),"")</f>
        <v/>
      </c>
      <c r="BD595" s="44" t="str">
        <f ca="1">IFERROR(__xludf.DUMMYFUNCTION("IFERROR(VLOOKUP(E609&amp;F609,IMPORTRANGE(""https://docs.google.com/spreadsheets/d/1Uw7-A9f9R21vMXxHZFNpYNeKFtG8_yji4HS352LGlSQ/edit?pli=1#gid=0"",""1_ACUM!A4:S""),18,FALSE))"),"")</f>
        <v/>
      </c>
      <c r="BE595" s="44" t="str">
        <f ca="1">IFERROR(__xludf.DUMMYFUNCTION("IFERROR(VLOOKUP(E609&amp;F609,IMPORTRANGE(""https://docs.google.com/spreadsheets/d/1Uw7-A9f9R21vMXxHZFNpYNeKFtG8_yji4HS352LGlSQ/edit?pli=1#gid=0"",""1_ACUM!A4:S""),19,FALSE))"),"")</f>
        <v/>
      </c>
      <c r="BF595" s="98" t="str">
        <f ca="1">IFERROR(__xludf.DUMMYFUNCTION("IFERROR(VLOOKUP(F609,IMPORTRANGE(""https://docs.google.com/spreadsheets/d/1Kvs4KS76FHFqLFIZfrDMff4kP08nblUkihrxltoGBjg/edit#gid=934712705"",""ESENCIAL!A6:BG""),5,FALSE))"),"")</f>
        <v/>
      </c>
      <c r="BG595" s="98" t="str">
        <f t="shared" si="21"/>
        <v/>
      </c>
      <c r="BH595" s="99" t="str">
        <f t="shared" si="22"/>
        <v/>
      </c>
      <c r="BI595" s="100" t="str">
        <f ca="1">IFERROR(__xludf.DUMMYFUNCTION("IFERROR(VLOOKUP(F609,IMPORTRANGE(""https://docs.google.com/spreadsheets/d/1Kvs4KS76FHFqLFIZfrDMff4kP08nblUkihrxltoGBjg/edit#gid=934712705"",""ESENCIAL!A6:BG""),2,FALSE))"),"")</f>
        <v/>
      </c>
      <c r="BJ595" s="19" t="str">
        <f t="shared" si="23"/>
        <v/>
      </c>
      <c r="BK595" s="100"/>
      <c r="BL595" s="100"/>
    </row>
    <row r="596" spans="1:64" ht="15">
      <c r="A596" s="5"/>
      <c r="B596" s="5"/>
      <c r="G596" s="5" t="str">
        <f ca="1">IFERROR(__xludf.DUMMYFUNCTION("IFERROR(VLOOKUP(F610,IMPORTRANGE(""https://docs.google.com/spreadsheets/d/1Kvs4KS76FHFqLFIZfrDMff4kP08nblUkihrxltoGBjg/edit#gid=934712705"",""ESENCIAL!A6:BG""),3,FALSE))"),"")</f>
        <v/>
      </c>
      <c r="H596" s="5" t="str">
        <f ca="1">IFERROR(__xludf.DUMMYFUNCTION("IFERROR(VLOOKUP(F610,IMPORTRANGE(""https://docs.google.com/spreadsheets/d/1Kvs4KS76FHFqLFIZfrDMff4kP08nblUkihrxltoGBjg/edit#gid=934712705"",""ESENCIAL!A6:BG""),8,FALSE))"),"")</f>
        <v/>
      </c>
      <c r="L596" s="287"/>
      <c r="U596" s="40"/>
      <c r="AU596" s="41" t="str">
        <f t="shared" si="20"/>
        <v/>
      </c>
      <c r="AV596" s="5" t="str">
        <f ca="1">IFERROR(__xludf.DUMMYFUNCTION("IFERROR(VLOOKUP(E610&amp;F610,IMPORTRANGE(""https://docs.google.com/spreadsheets/d/1Uw7-A9f9R21vMXxHZFNpYNeKFtG8_yji4HS352LGlSQ/edit?pli=1#gid=0"",""1_ACUM!A4:S""),11,FALSE))"),"")</f>
        <v/>
      </c>
      <c r="AW596" s="42" t="str">
        <f ca="1">IFERROR(__xludf.DUMMYFUNCTION("IFERROR(VLOOKUP(F610,IMPORTRANGE(""https://docs.google.com/spreadsheets/d/1Kvs4KS76FHFqLFIZfrDMff4kP08nblUkihrxltoGBjg/edit#gid=934712705"",""ESENCIAL!A6:BG""),15,FALSE))"),"")</f>
        <v/>
      </c>
      <c r="AX596" s="21" t="str">
        <f ca="1">IFERROR(__xludf.DUMMYFUNCTION("IFERROR(VLOOKUP(E610&amp;F610,IMPORTRANGE(""https://docs.google.com/spreadsheets/d/1Uw7-A9f9R21vMXxHZFNpYNeKFtG8_yji4HS352LGlSQ/edit?pli=1#gid=0"",""1_ACUM!A4:S""),12,FALSE))"),"")</f>
        <v/>
      </c>
      <c r="AY596" s="43" t="str">
        <f ca="1">IFERROR(__xludf.DUMMYFUNCTION("IFERROR(VLOOKUP(E610&amp;F610,IMPORTRANGE(""https://docs.google.com/spreadsheets/d/1Uw7-A9f9R21vMXxHZFNpYNeKFtG8_yji4HS352LGlSQ/edit?pli=1#gid=0"",""1_ACUM!A4:S""),13,FALSE))"),"")</f>
        <v/>
      </c>
      <c r="AZ596" s="43" t="str">
        <f ca="1">IFERROR(__xludf.DUMMYFUNCTION("IFERROR(VLOOKUP(E610&amp;F610,IMPORTRANGE(""https://docs.google.com/spreadsheets/d/1Uw7-A9f9R21vMXxHZFNpYNeKFtG8_yji4HS352LGlSQ/edit?pli=1#gid=0"",""1_ACUM!A4:S""),14,FALSE))"),"")</f>
        <v/>
      </c>
      <c r="BA596" s="43" t="str">
        <f ca="1">IFERROR(__xludf.DUMMYFUNCTION("IFERROR(VLOOKUP(E610&amp;F610,IMPORTRANGE(""https://docs.google.com/spreadsheets/d/1Uw7-A9f9R21vMXxHZFNpYNeKFtG8_yji4HS352LGlSQ/edit?pli=1#gid=0"",""1_ACUM!A4:S""),15,FALSE))"),"")</f>
        <v/>
      </c>
      <c r="BB596" s="43" t="str">
        <f ca="1">IFERROR(__xludf.DUMMYFUNCTION("IFERROR(VLOOKUP(E610&amp;F610,IMPORTRANGE(""https://docs.google.com/spreadsheets/d/1Uw7-A9f9R21vMXxHZFNpYNeKFtG8_yji4HS352LGlSQ/edit?pli=1#gid=0"",""1_ACUM!A4:S""),16,FALSE))"),"")</f>
        <v/>
      </c>
      <c r="BC596" s="43" t="str">
        <f ca="1">IFERROR(__xludf.DUMMYFUNCTION("IFERROR(VLOOKUP(E610&amp;F610,IMPORTRANGE(""https://docs.google.com/spreadsheets/d/1Uw7-A9f9R21vMXxHZFNpYNeKFtG8_yji4HS352LGlSQ/edit?pli=1#gid=0"",""1_ACUM!A4:S""),17,FALSE))"),"")</f>
        <v/>
      </c>
      <c r="BD596" s="44" t="str">
        <f ca="1">IFERROR(__xludf.DUMMYFUNCTION("IFERROR(VLOOKUP(E610&amp;F610,IMPORTRANGE(""https://docs.google.com/spreadsheets/d/1Uw7-A9f9R21vMXxHZFNpYNeKFtG8_yji4HS352LGlSQ/edit?pli=1#gid=0"",""1_ACUM!A4:S""),18,FALSE))"),"")</f>
        <v/>
      </c>
      <c r="BE596" s="44" t="str">
        <f ca="1">IFERROR(__xludf.DUMMYFUNCTION("IFERROR(VLOOKUP(E610&amp;F610,IMPORTRANGE(""https://docs.google.com/spreadsheets/d/1Uw7-A9f9R21vMXxHZFNpYNeKFtG8_yji4HS352LGlSQ/edit?pli=1#gid=0"",""1_ACUM!A4:S""),19,FALSE))"),"")</f>
        <v/>
      </c>
      <c r="BF596" s="98" t="str">
        <f ca="1">IFERROR(__xludf.DUMMYFUNCTION("IFERROR(VLOOKUP(F610,IMPORTRANGE(""https://docs.google.com/spreadsheets/d/1Kvs4KS76FHFqLFIZfrDMff4kP08nblUkihrxltoGBjg/edit#gid=934712705"",""ESENCIAL!A6:BG""),5,FALSE))"),"")</f>
        <v/>
      </c>
      <c r="BG596" s="98" t="str">
        <f t="shared" si="21"/>
        <v/>
      </c>
      <c r="BH596" s="99" t="str">
        <f t="shared" si="22"/>
        <v/>
      </c>
      <c r="BI596" s="100" t="str">
        <f ca="1">IFERROR(__xludf.DUMMYFUNCTION("IFERROR(VLOOKUP(F610,IMPORTRANGE(""https://docs.google.com/spreadsheets/d/1Kvs4KS76FHFqLFIZfrDMff4kP08nblUkihrxltoGBjg/edit#gid=934712705"",""ESENCIAL!A6:BG""),2,FALSE))"),"")</f>
        <v/>
      </c>
      <c r="BJ596" s="19" t="str">
        <f t="shared" si="23"/>
        <v/>
      </c>
      <c r="BK596" s="100"/>
      <c r="BL596" s="100"/>
    </row>
    <row r="597" spans="1:64" ht="15">
      <c r="A597" s="5"/>
      <c r="B597" s="5"/>
      <c r="G597" s="5" t="str">
        <f ca="1">IFERROR(__xludf.DUMMYFUNCTION("IFERROR(VLOOKUP(F611,IMPORTRANGE(""https://docs.google.com/spreadsheets/d/1Kvs4KS76FHFqLFIZfrDMff4kP08nblUkihrxltoGBjg/edit#gid=934712705"",""ESENCIAL!A6:BG""),3,FALSE))"),"")</f>
        <v/>
      </c>
      <c r="H597" s="5" t="str">
        <f ca="1">IFERROR(__xludf.DUMMYFUNCTION("IFERROR(VLOOKUP(F611,IMPORTRANGE(""https://docs.google.com/spreadsheets/d/1Kvs4KS76FHFqLFIZfrDMff4kP08nblUkihrxltoGBjg/edit#gid=934712705"",""ESENCIAL!A6:BG""),8,FALSE))"),"")</f>
        <v/>
      </c>
      <c r="L597" s="287"/>
      <c r="U597" s="40"/>
      <c r="AU597" s="41" t="str">
        <f t="shared" si="20"/>
        <v/>
      </c>
      <c r="AV597" s="5" t="str">
        <f ca="1">IFERROR(__xludf.DUMMYFUNCTION("IFERROR(VLOOKUP(E611&amp;F611,IMPORTRANGE(""https://docs.google.com/spreadsheets/d/1Uw7-A9f9R21vMXxHZFNpYNeKFtG8_yji4HS352LGlSQ/edit?pli=1#gid=0"",""1_ACUM!A4:S""),11,FALSE))"),"")</f>
        <v/>
      </c>
      <c r="AW597" s="42" t="str">
        <f ca="1">IFERROR(__xludf.DUMMYFUNCTION("IFERROR(VLOOKUP(F611,IMPORTRANGE(""https://docs.google.com/spreadsheets/d/1Kvs4KS76FHFqLFIZfrDMff4kP08nblUkihrxltoGBjg/edit#gid=934712705"",""ESENCIAL!A6:BG""),15,FALSE))"),"")</f>
        <v/>
      </c>
      <c r="AX597" s="21" t="str">
        <f ca="1">IFERROR(__xludf.DUMMYFUNCTION("IFERROR(VLOOKUP(E611&amp;F611,IMPORTRANGE(""https://docs.google.com/spreadsheets/d/1Uw7-A9f9R21vMXxHZFNpYNeKFtG8_yji4HS352LGlSQ/edit?pli=1#gid=0"",""1_ACUM!A4:S""),12,FALSE))"),"")</f>
        <v/>
      </c>
      <c r="AY597" s="43" t="str">
        <f ca="1">IFERROR(__xludf.DUMMYFUNCTION("IFERROR(VLOOKUP(E611&amp;F611,IMPORTRANGE(""https://docs.google.com/spreadsheets/d/1Uw7-A9f9R21vMXxHZFNpYNeKFtG8_yji4HS352LGlSQ/edit?pli=1#gid=0"",""1_ACUM!A4:S""),13,FALSE))"),"")</f>
        <v/>
      </c>
      <c r="AZ597" s="43" t="str">
        <f ca="1">IFERROR(__xludf.DUMMYFUNCTION("IFERROR(VLOOKUP(E611&amp;F611,IMPORTRANGE(""https://docs.google.com/spreadsheets/d/1Uw7-A9f9R21vMXxHZFNpYNeKFtG8_yji4HS352LGlSQ/edit?pli=1#gid=0"",""1_ACUM!A4:S""),14,FALSE))"),"")</f>
        <v/>
      </c>
      <c r="BA597" s="43" t="str">
        <f ca="1">IFERROR(__xludf.DUMMYFUNCTION("IFERROR(VLOOKUP(E611&amp;F611,IMPORTRANGE(""https://docs.google.com/spreadsheets/d/1Uw7-A9f9R21vMXxHZFNpYNeKFtG8_yji4HS352LGlSQ/edit?pli=1#gid=0"",""1_ACUM!A4:S""),15,FALSE))"),"")</f>
        <v/>
      </c>
      <c r="BB597" s="43" t="str">
        <f ca="1">IFERROR(__xludf.DUMMYFUNCTION("IFERROR(VLOOKUP(E611&amp;F611,IMPORTRANGE(""https://docs.google.com/spreadsheets/d/1Uw7-A9f9R21vMXxHZFNpYNeKFtG8_yji4HS352LGlSQ/edit?pli=1#gid=0"",""1_ACUM!A4:S""),16,FALSE))"),"")</f>
        <v/>
      </c>
      <c r="BC597" s="43" t="str">
        <f ca="1">IFERROR(__xludf.DUMMYFUNCTION("IFERROR(VLOOKUP(E611&amp;F611,IMPORTRANGE(""https://docs.google.com/spreadsheets/d/1Uw7-A9f9R21vMXxHZFNpYNeKFtG8_yji4HS352LGlSQ/edit?pli=1#gid=0"",""1_ACUM!A4:S""),17,FALSE))"),"")</f>
        <v/>
      </c>
      <c r="BD597" s="44" t="str">
        <f ca="1">IFERROR(__xludf.DUMMYFUNCTION("IFERROR(VLOOKUP(E611&amp;F611,IMPORTRANGE(""https://docs.google.com/spreadsheets/d/1Uw7-A9f9R21vMXxHZFNpYNeKFtG8_yji4HS352LGlSQ/edit?pli=1#gid=0"",""1_ACUM!A4:S""),18,FALSE))"),"")</f>
        <v/>
      </c>
      <c r="BE597" s="44" t="str">
        <f ca="1">IFERROR(__xludf.DUMMYFUNCTION("IFERROR(VLOOKUP(E611&amp;F611,IMPORTRANGE(""https://docs.google.com/spreadsheets/d/1Uw7-A9f9R21vMXxHZFNpYNeKFtG8_yji4HS352LGlSQ/edit?pli=1#gid=0"",""1_ACUM!A4:S""),19,FALSE))"),"")</f>
        <v/>
      </c>
      <c r="BF597" s="98" t="str">
        <f ca="1">IFERROR(__xludf.DUMMYFUNCTION("IFERROR(VLOOKUP(F611,IMPORTRANGE(""https://docs.google.com/spreadsheets/d/1Kvs4KS76FHFqLFIZfrDMff4kP08nblUkihrxltoGBjg/edit#gid=934712705"",""ESENCIAL!A6:BG""),5,FALSE))"),"")</f>
        <v/>
      </c>
      <c r="BG597" s="98" t="str">
        <f t="shared" si="21"/>
        <v/>
      </c>
      <c r="BH597" s="99" t="str">
        <f t="shared" si="22"/>
        <v/>
      </c>
      <c r="BI597" s="100" t="str">
        <f ca="1">IFERROR(__xludf.DUMMYFUNCTION("IFERROR(VLOOKUP(F611,IMPORTRANGE(""https://docs.google.com/spreadsheets/d/1Kvs4KS76FHFqLFIZfrDMff4kP08nblUkihrxltoGBjg/edit#gid=934712705"",""ESENCIAL!A6:BG""),2,FALSE))"),"")</f>
        <v/>
      </c>
      <c r="BJ597" s="19" t="str">
        <f t="shared" si="23"/>
        <v/>
      </c>
      <c r="BK597" s="100"/>
      <c r="BL597" s="100"/>
    </row>
    <row r="598" spans="1:64" ht="15">
      <c r="A598" s="5"/>
      <c r="B598" s="5"/>
      <c r="G598" s="5" t="str">
        <f ca="1">IFERROR(__xludf.DUMMYFUNCTION("IFERROR(VLOOKUP(F612,IMPORTRANGE(""https://docs.google.com/spreadsheets/d/1Kvs4KS76FHFqLFIZfrDMff4kP08nblUkihrxltoGBjg/edit#gid=934712705"",""ESENCIAL!A6:BG""),3,FALSE))"),"")</f>
        <v/>
      </c>
      <c r="H598" s="5" t="str">
        <f ca="1">IFERROR(__xludf.DUMMYFUNCTION("IFERROR(VLOOKUP(F612,IMPORTRANGE(""https://docs.google.com/spreadsheets/d/1Kvs4KS76FHFqLFIZfrDMff4kP08nblUkihrxltoGBjg/edit#gid=934712705"",""ESENCIAL!A6:BG""),8,FALSE))"),"")</f>
        <v/>
      </c>
      <c r="L598" s="287"/>
      <c r="U598" s="40"/>
      <c r="AU598" s="41" t="str">
        <f t="shared" si="20"/>
        <v/>
      </c>
      <c r="AV598" s="5" t="str">
        <f ca="1">IFERROR(__xludf.DUMMYFUNCTION("IFERROR(VLOOKUP(E612&amp;F612,IMPORTRANGE(""https://docs.google.com/spreadsheets/d/1Uw7-A9f9R21vMXxHZFNpYNeKFtG8_yji4HS352LGlSQ/edit?pli=1#gid=0"",""1_ACUM!A4:S""),11,FALSE))"),"")</f>
        <v/>
      </c>
      <c r="AW598" s="42" t="str">
        <f ca="1">IFERROR(__xludf.DUMMYFUNCTION("IFERROR(VLOOKUP(F612,IMPORTRANGE(""https://docs.google.com/spreadsheets/d/1Kvs4KS76FHFqLFIZfrDMff4kP08nblUkihrxltoGBjg/edit#gid=934712705"",""ESENCIAL!A6:BG""),15,FALSE))"),"")</f>
        <v/>
      </c>
      <c r="AX598" s="21" t="str">
        <f ca="1">IFERROR(__xludf.DUMMYFUNCTION("IFERROR(VLOOKUP(E612&amp;F612,IMPORTRANGE(""https://docs.google.com/spreadsheets/d/1Uw7-A9f9R21vMXxHZFNpYNeKFtG8_yji4HS352LGlSQ/edit?pli=1#gid=0"",""1_ACUM!A4:S""),12,FALSE))"),"")</f>
        <v/>
      </c>
      <c r="AY598" s="43" t="str">
        <f ca="1">IFERROR(__xludf.DUMMYFUNCTION("IFERROR(VLOOKUP(E612&amp;F612,IMPORTRANGE(""https://docs.google.com/spreadsheets/d/1Uw7-A9f9R21vMXxHZFNpYNeKFtG8_yji4HS352LGlSQ/edit?pli=1#gid=0"",""1_ACUM!A4:S""),13,FALSE))"),"")</f>
        <v/>
      </c>
      <c r="AZ598" s="43" t="str">
        <f ca="1">IFERROR(__xludf.DUMMYFUNCTION("IFERROR(VLOOKUP(E612&amp;F612,IMPORTRANGE(""https://docs.google.com/spreadsheets/d/1Uw7-A9f9R21vMXxHZFNpYNeKFtG8_yji4HS352LGlSQ/edit?pli=1#gid=0"",""1_ACUM!A4:S""),14,FALSE))"),"")</f>
        <v/>
      </c>
      <c r="BA598" s="43" t="str">
        <f ca="1">IFERROR(__xludf.DUMMYFUNCTION("IFERROR(VLOOKUP(E612&amp;F612,IMPORTRANGE(""https://docs.google.com/spreadsheets/d/1Uw7-A9f9R21vMXxHZFNpYNeKFtG8_yji4HS352LGlSQ/edit?pli=1#gid=0"",""1_ACUM!A4:S""),15,FALSE))"),"")</f>
        <v/>
      </c>
      <c r="BB598" s="43" t="str">
        <f ca="1">IFERROR(__xludf.DUMMYFUNCTION("IFERROR(VLOOKUP(E612&amp;F612,IMPORTRANGE(""https://docs.google.com/spreadsheets/d/1Uw7-A9f9R21vMXxHZFNpYNeKFtG8_yji4HS352LGlSQ/edit?pli=1#gid=0"",""1_ACUM!A4:S""),16,FALSE))"),"")</f>
        <v/>
      </c>
      <c r="BC598" s="43" t="str">
        <f ca="1">IFERROR(__xludf.DUMMYFUNCTION("IFERROR(VLOOKUP(E612&amp;F612,IMPORTRANGE(""https://docs.google.com/spreadsheets/d/1Uw7-A9f9R21vMXxHZFNpYNeKFtG8_yji4HS352LGlSQ/edit?pli=1#gid=0"",""1_ACUM!A4:S""),17,FALSE))"),"")</f>
        <v/>
      </c>
      <c r="BD598" s="44" t="str">
        <f ca="1">IFERROR(__xludf.DUMMYFUNCTION("IFERROR(VLOOKUP(E612&amp;F612,IMPORTRANGE(""https://docs.google.com/spreadsheets/d/1Uw7-A9f9R21vMXxHZFNpYNeKFtG8_yji4HS352LGlSQ/edit?pli=1#gid=0"",""1_ACUM!A4:S""),18,FALSE))"),"")</f>
        <v/>
      </c>
      <c r="BE598" s="44" t="str">
        <f ca="1">IFERROR(__xludf.DUMMYFUNCTION("IFERROR(VLOOKUP(E612&amp;F612,IMPORTRANGE(""https://docs.google.com/spreadsheets/d/1Uw7-A9f9R21vMXxHZFNpYNeKFtG8_yji4HS352LGlSQ/edit?pli=1#gid=0"",""1_ACUM!A4:S""),19,FALSE))"),"")</f>
        <v/>
      </c>
      <c r="BF598" s="98" t="str">
        <f ca="1">IFERROR(__xludf.DUMMYFUNCTION("IFERROR(VLOOKUP(F612,IMPORTRANGE(""https://docs.google.com/spreadsheets/d/1Kvs4KS76FHFqLFIZfrDMff4kP08nblUkihrxltoGBjg/edit#gid=934712705"",""ESENCIAL!A6:BG""),5,FALSE))"),"")</f>
        <v/>
      </c>
      <c r="BG598" s="98" t="str">
        <f t="shared" si="21"/>
        <v/>
      </c>
      <c r="BH598" s="99" t="str">
        <f t="shared" si="22"/>
        <v/>
      </c>
      <c r="BI598" s="100" t="str">
        <f ca="1">IFERROR(__xludf.DUMMYFUNCTION("IFERROR(VLOOKUP(F612,IMPORTRANGE(""https://docs.google.com/spreadsheets/d/1Kvs4KS76FHFqLFIZfrDMff4kP08nblUkihrxltoGBjg/edit#gid=934712705"",""ESENCIAL!A6:BG""),2,FALSE))"),"")</f>
        <v/>
      </c>
      <c r="BJ598" s="19" t="str">
        <f t="shared" si="23"/>
        <v/>
      </c>
      <c r="BK598" s="100"/>
      <c r="BL598" s="100"/>
    </row>
    <row r="599" spans="1:64" ht="15">
      <c r="A599" s="5"/>
      <c r="B599" s="5"/>
      <c r="G599" s="5" t="str">
        <f ca="1">IFERROR(__xludf.DUMMYFUNCTION("IFERROR(VLOOKUP(F613,IMPORTRANGE(""https://docs.google.com/spreadsheets/d/1Kvs4KS76FHFqLFIZfrDMff4kP08nblUkihrxltoGBjg/edit#gid=934712705"",""ESENCIAL!A6:BG""),3,FALSE))"),"")</f>
        <v/>
      </c>
      <c r="H599" s="5" t="str">
        <f ca="1">IFERROR(__xludf.DUMMYFUNCTION("IFERROR(VLOOKUP(F613,IMPORTRANGE(""https://docs.google.com/spreadsheets/d/1Kvs4KS76FHFqLFIZfrDMff4kP08nblUkihrxltoGBjg/edit#gid=934712705"",""ESENCIAL!A6:BG""),8,FALSE))"),"")</f>
        <v/>
      </c>
      <c r="L599" s="287"/>
      <c r="U599" s="40"/>
      <c r="AU599" s="41" t="str">
        <f t="shared" si="20"/>
        <v/>
      </c>
      <c r="AV599" s="5" t="str">
        <f ca="1">IFERROR(__xludf.DUMMYFUNCTION("IFERROR(VLOOKUP(E613&amp;F613,IMPORTRANGE(""https://docs.google.com/spreadsheets/d/1Uw7-A9f9R21vMXxHZFNpYNeKFtG8_yji4HS352LGlSQ/edit?pli=1#gid=0"",""1_ACUM!A4:S""),11,FALSE))"),"")</f>
        <v/>
      </c>
      <c r="AW599" s="42" t="str">
        <f ca="1">IFERROR(__xludf.DUMMYFUNCTION("IFERROR(VLOOKUP(F613,IMPORTRANGE(""https://docs.google.com/spreadsheets/d/1Kvs4KS76FHFqLFIZfrDMff4kP08nblUkihrxltoGBjg/edit#gid=934712705"",""ESENCIAL!A6:BG""),15,FALSE))"),"")</f>
        <v/>
      </c>
      <c r="AX599" s="21" t="str">
        <f ca="1">IFERROR(__xludf.DUMMYFUNCTION("IFERROR(VLOOKUP(E613&amp;F613,IMPORTRANGE(""https://docs.google.com/spreadsheets/d/1Uw7-A9f9R21vMXxHZFNpYNeKFtG8_yji4HS352LGlSQ/edit?pli=1#gid=0"",""1_ACUM!A4:S""),12,FALSE))"),"")</f>
        <v/>
      </c>
      <c r="AY599" s="43" t="str">
        <f ca="1">IFERROR(__xludf.DUMMYFUNCTION("IFERROR(VLOOKUP(E613&amp;F613,IMPORTRANGE(""https://docs.google.com/spreadsheets/d/1Uw7-A9f9R21vMXxHZFNpYNeKFtG8_yji4HS352LGlSQ/edit?pli=1#gid=0"",""1_ACUM!A4:S""),13,FALSE))"),"")</f>
        <v/>
      </c>
      <c r="AZ599" s="43" t="str">
        <f ca="1">IFERROR(__xludf.DUMMYFUNCTION("IFERROR(VLOOKUP(E613&amp;F613,IMPORTRANGE(""https://docs.google.com/spreadsheets/d/1Uw7-A9f9R21vMXxHZFNpYNeKFtG8_yji4HS352LGlSQ/edit?pli=1#gid=0"",""1_ACUM!A4:S""),14,FALSE))"),"")</f>
        <v/>
      </c>
      <c r="BA599" s="43" t="str">
        <f ca="1">IFERROR(__xludf.DUMMYFUNCTION("IFERROR(VLOOKUP(E613&amp;F613,IMPORTRANGE(""https://docs.google.com/spreadsheets/d/1Uw7-A9f9R21vMXxHZFNpYNeKFtG8_yji4HS352LGlSQ/edit?pli=1#gid=0"",""1_ACUM!A4:S""),15,FALSE))"),"")</f>
        <v/>
      </c>
      <c r="BB599" s="43" t="str">
        <f ca="1">IFERROR(__xludf.DUMMYFUNCTION("IFERROR(VLOOKUP(E613&amp;F613,IMPORTRANGE(""https://docs.google.com/spreadsheets/d/1Uw7-A9f9R21vMXxHZFNpYNeKFtG8_yji4HS352LGlSQ/edit?pli=1#gid=0"",""1_ACUM!A4:S""),16,FALSE))"),"")</f>
        <v/>
      </c>
      <c r="BC599" s="43" t="str">
        <f ca="1">IFERROR(__xludf.DUMMYFUNCTION("IFERROR(VLOOKUP(E613&amp;F613,IMPORTRANGE(""https://docs.google.com/spreadsheets/d/1Uw7-A9f9R21vMXxHZFNpYNeKFtG8_yji4HS352LGlSQ/edit?pli=1#gid=0"",""1_ACUM!A4:S""),17,FALSE))"),"")</f>
        <v/>
      </c>
      <c r="BD599" s="44" t="str">
        <f ca="1">IFERROR(__xludf.DUMMYFUNCTION("IFERROR(VLOOKUP(E613&amp;F613,IMPORTRANGE(""https://docs.google.com/spreadsheets/d/1Uw7-A9f9R21vMXxHZFNpYNeKFtG8_yji4HS352LGlSQ/edit?pli=1#gid=0"",""1_ACUM!A4:S""),18,FALSE))"),"")</f>
        <v/>
      </c>
      <c r="BE599" s="44" t="str">
        <f ca="1">IFERROR(__xludf.DUMMYFUNCTION("IFERROR(VLOOKUP(E613&amp;F613,IMPORTRANGE(""https://docs.google.com/spreadsheets/d/1Uw7-A9f9R21vMXxHZFNpYNeKFtG8_yji4HS352LGlSQ/edit?pli=1#gid=0"",""1_ACUM!A4:S""),19,FALSE))"),"")</f>
        <v/>
      </c>
      <c r="BF599" s="98" t="str">
        <f ca="1">IFERROR(__xludf.DUMMYFUNCTION("IFERROR(VLOOKUP(F613,IMPORTRANGE(""https://docs.google.com/spreadsheets/d/1Kvs4KS76FHFqLFIZfrDMff4kP08nblUkihrxltoGBjg/edit#gid=934712705"",""ESENCIAL!A6:BG""),5,FALSE))"),"")</f>
        <v/>
      </c>
      <c r="BG599" s="98" t="str">
        <f t="shared" si="21"/>
        <v/>
      </c>
      <c r="BH599" s="99" t="str">
        <f t="shared" si="22"/>
        <v/>
      </c>
      <c r="BI599" s="100" t="str">
        <f ca="1">IFERROR(__xludf.DUMMYFUNCTION("IFERROR(VLOOKUP(F613,IMPORTRANGE(""https://docs.google.com/spreadsheets/d/1Kvs4KS76FHFqLFIZfrDMff4kP08nblUkihrxltoGBjg/edit#gid=934712705"",""ESENCIAL!A6:BG""),2,FALSE))"),"")</f>
        <v/>
      </c>
      <c r="BJ599" s="19" t="str">
        <f t="shared" si="23"/>
        <v/>
      </c>
      <c r="BK599" s="100"/>
      <c r="BL599" s="100"/>
    </row>
    <row r="600" spans="1:64" ht="15">
      <c r="A600" s="5"/>
      <c r="B600" s="5"/>
      <c r="G600" s="5" t="str">
        <f ca="1">IFERROR(__xludf.DUMMYFUNCTION("IFERROR(VLOOKUP(F614,IMPORTRANGE(""https://docs.google.com/spreadsheets/d/1Kvs4KS76FHFqLFIZfrDMff4kP08nblUkihrxltoGBjg/edit#gid=934712705"",""ESENCIAL!A6:BG""),3,FALSE))"),"")</f>
        <v/>
      </c>
      <c r="H600" s="5" t="str">
        <f ca="1">IFERROR(__xludf.DUMMYFUNCTION("IFERROR(VLOOKUP(F614,IMPORTRANGE(""https://docs.google.com/spreadsheets/d/1Kvs4KS76FHFqLFIZfrDMff4kP08nblUkihrxltoGBjg/edit#gid=934712705"",""ESENCIAL!A6:BG""),8,FALSE))"),"")</f>
        <v/>
      </c>
      <c r="L600" s="287"/>
      <c r="U600" s="40"/>
      <c r="AU600" s="41" t="str">
        <f t="shared" si="20"/>
        <v/>
      </c>
      <c r="AV600" s="5" t="str">
        <f ca="1">IFERROR(__xludf.DUMMYFUNCTION("IFERROR(VLOOKUP(E614&amp;F614,IMPORTRANGE(""https://docs.google.com/spreadsheets/d/1Uw7-A9f9R21vMXxHZFNpYNeKFtG8_yji4HS352LGlSQ/edit?pli=1#gid=0"",""1_ACUM!A4:S""),11,FALSE))"),"")</f>
        <v/>
      </c>
      <c r="AW600" s="42" t="str">
        <f ca="1">IFERROR(__xludf.DUMMYFUNCTION("IFERROR(VLOOKUP(F614,IMPORTRANGE(""https://docs.google.com/spreadsheets/d/1Kvs4KS76FHFqLFIZfrDMff4kP08nblUkihrxltoGBjg/edit#gid=934712705"",""ESENCIAL!A6:BG""),15,FALSE))"),"")</f>
        <v/>
      </c>
      <c r="AX600" s="21" t="str">
        <f ca="1">IFERROR(__xludf.DUMMYFUNCTION("IFERROR(VLOOKUP(E614&amp;F614,IMPORTRANGE(""https://docs.google.com/spreadsheets/d/1Uw7-A9f9R21vMXxHZFNpYNeKFtG8_yji4HS352LGlSQ/edit?pli=1#gid=0"",""1_ACUM!A4:S""),12,FALSE))"),"")</f>
        <v/>
      </c>
      <c r="AY600" s="43" t="str">
        <f ca="1">IFERROR(__xludf.DUMMYFUNCTION("IFERROR(VLOOKUP(E614&amp;F614,IMPORTRANGE(""https://docs.google.com/spreadsheets/d/1Uw7-A9f9R21vMXxHZFNpYNeKFtG8_yji4HS352LGlSQ/edit?pli=1#gid=0"",""1_ACUM!A4:S""),13,FALSE))"),"")</f>
        <v/>
      </c>
      <c r="AZ600" s="43" t="str">
        <f ca="1">IFERROR(__xludf.DUMMYFUNCTION("IFERROR(VLOOKUP(E614&amp;F614,IMPORTRANGE(""https://docs.google.com/spreadsheets/d/1Uw7-A9f9R21vMXxHZFNpYNeKFtG8_yji4HS352LGlSQ/edit?pli=1#gid=0"",""1_ACUM!A4:S""),14,FALSE))"),"")</f>
        <v/>
      </c>
      <c r="BA600" s="43" t="str">
        <f ca="1">IFERROR(__xludf.DUMMYFUNCTION("IFERROR(VLOOKUP(E614&amp;F614,IMPORTRANGE(""https://docs.google.com/spreadsheets/d/1Uw7-A9f9R21vMXxHZFNpYNeKFtG8_yji4HS352LGlSQ/edit?pli=1#gid=0"",""1_ACUM!A4:S""),15,FALSE))"),"")</f>
        <v/>
      </c>
      <c r="BB600" s="43" t="str">
        <f ca="1">IFERROR(__xludf.DUMMYFUNCTION("IFERROR(VLOOKUP(E614&amp;F614,IMPORTRANGE(""https://docs.google.com/spreadsheets/d/1Uw7-A9f9R21vMXxHZFNpYNeKFtG8_yji4HS352LGlSQ/edit?pli=1#gid=0"",""1_ACUM!A4:S""),16,FALSE))"),"")</f>
        <v/>
      </c>
      <c r="BC600" s="43" t="str">
        <f ca="1">IFERROR(__xludf.DUMMYFUNCTION("IFERROR(VLOOKUP(E614&amp;F614,IMPORTRANGE(""https://docs.google.com/spreadsheets/d/1Uw7-A9f9R21vMXxHZFNpYNeKFtG8_yji4HS352LGlSQ/edit?pli=1#gid=0"",""1_ACUM!A4:S""),17,FALSE))"),"")</f>
        <v/>
      </c>
      <c r="BD600" s="44" t="str">
        <f ca="1">IFERROR(__xludf.DUMMYFUNCTION("IFERROR(VLOOKUP(E614&amp;F614,IMPORTRANGE(""https://docs.google.com/spreadsheets/d/1Uw7-A9f9R21vMXxHZFNpYNeKFtG8_yji4HS352LGlSQ/edit?pli=1#gid=0"",""1_ACUM!A4:S""),18,FALSE))"),"")</f>
        <v/>
      </c>
      <c r="BE600" s="44" t="str">
        <f ca="1">IFERROR(__xludf.DUMMYFUNCTION("IFERROR(VLOOKUP(E614&amp;F614,IMPORTRANGE(""https://docs.google.com/spreadsheets/d/1Uw7-A9f9R21vMXxHZFNpYNeKFtG8_yji4HS352LGlSQ/edit?pli=1#gid=0"",""1_ACUM!A4:S""),19,FALSE))"),"")</f>
        <v/>
      </c>
      <c r="BF600" s="98" t="str">
        <f ca="1">IFERROR(__xludf.DUMMYFUNCTION("IFERROR(VLOOKUP(F614,IMPORTRANGE(""https://docs.google.com/spreadsheets/d/1Kvs4KS76FHFqLFIZfrDMff4kP08nblUkihrxltoGBjg/edit#gid=934712705"",""ESENCIAL!A6:BG""),5,FALSE))"),"")</f>
        <v/>
      </c>
      <c r="BG600" s="98" t="str">
        <f t="shared" si="21"/>
        <v/>
      </c>
      <c r="BH600" s="99" t="str">
        <f t="shared" si="22"/>
        <v/>
      </c>
      <c r="BI600" s="100" t="str">
        <f ca="1">IFERROR(__xludf.DUMMYFUNCTION("IFERROR(VLOOKUP(F614,IMPORTRANGE(""https://docs.google.com/spreadsheets/d/1Kvs4KS76FHFqLFIZfrDMff4kP08nblUkihrxltoGBjg/edit#gid=934712705"",""ESENCIAL!A6:BG""),2,FALSE))"),"")</f>
        <v/>
      </c>
      <c r="BJ600" s="19" t="str">
        <f t="shared" si="23"/>
        <v/>
      </c>
      <c r="BK600" s="100"/>
      <c r="BL600" s="100"/>
    </row>
    <row r="601" spans="1:64" ht="15">
      <c r="A601" s="5"/>
      <c r="B601" s="5"/>
      <c r="G601" s="5" t="str">
        <f ca="1">IFERROR(__xludf.DUMMYFUNCTION("IFERROR(VLOOKUP(F615,IMPORTRANGE(""https://docs.google.com/spreadsheets/d/1Kvs4KS76FHFqLFIZfrDMff4kP08nblUkihrxltoGBjg/edit#gid=934712705"",""ESENCIAL!A6:BG""),3,FALSE))"),"")</f>
        <v/>
      </c>
      <c r="H601" s="5" t="str">
        <f ca="1">IFERROR(__xludf.DUMMYFUNCTION("IFERROR(VLOOKUP(F615,IMPORTRANGE(""https://docs.google.com/spreadsheets/d/1Kvs4KS76FHFqLFIZfrDMff4kP08nblUkihrxltoGBjg/edit#gid=934712705"",""ESENCIAL!A6:BG""),8,FALSE))"),"")</f>
        <v/>
      </c>
      <c r="L601" s="287"/>
      <c r="U601" s="40"/>
      <c r="AU601" s="41" t="str">
        <f t="shared" si="20"/>
        <v/>
      </c>
      <c r="AV601" s="5" t="str">
        <f ca="1">IFERROR(__xludf.DUMMYFUNCTION("IFERROR(VLOOKUP(E615&amp;F615,IMPORTRANGE(""https://docs.google.com/spreadsheets/d/1Uw7-A9f9R21vMXxHZFNpYNeKFtG8_yji4HS352LGlSQ/edit?pli=1#gid=0"",""1_ACUM!A4:S""),11,FALSE))"),"")</f>
        <v/>
      </c>
      <c r="AW601" s="42" t="str">
        <f ca="1">IFERROR(__xludf.DUMMYFUNCTION("IFERROR(VLOOKUP(F615,IMPORTRANGE(""https://docs.google.com/spreadsheets/d/1Kvs4KS76FHFqLFIZfrDMff4kP08nblUkihrxltoGBjg/edit#gid=934712705"",""ESENCIAL!A6:BG""),15,FALSE))"),"")</f>
        <v/>
      </c>
      <c r="AX601" s="21" t="str">
        <f ca="1">IFERROR(__xludf.DUMMYFUNCTION("IFERROR(VLOOKUP(E615&amp;F615,IMPORTRANGE(""https://docs.google.com/spreadsheets/d/1Uw7-A9f9R21vMXxHZFNpYNeKFtG8_yji4HS352LGlSQ/edit?pli=1#gid=0"",""1_ACUM!A4:S""),12,FALSE))"),"")</f>
        <v/>
      </c>
      <c r="AY601" s="43" t="str">
        <f ca="1">IFERROR(__xludf.DUMMYFUNCTION("IFERROR(VLOOKUP(E615&amp;F615,IMPORTRANGE(""https://docs.google.com/spreadsheets/d/1Uw7-A9f9R21vMXxHZFNpYNeKFtG8_yji4HS352LGlSQ/edit?pli=1#gid=0"",""1_ACUM!A4:S""),13,FALSE))"),"")</f>
        <v/>
      </c>
      <c r="AZ601" s="43" t="str">
        <f ca="1">IFERROR(__xludf.DUMMYFUNCTION("IFERROR(VLOOKUP(E615&amp;F615,IMPORTRANGE(""https://docs.google.com/spreadsheets/d/1Uw7-A9f9R21vMXxHZFNpYNeKFtG8_yji4HS352LGlSQ/edit?pli=1#gid=0"",""1_ACUM!A4:S""),14,FALSE))"),"")</f>
        <v/>
      </c>
      <c r="BA601" s="43" t="str">
        <f ca="1">IFERROR(__xludf.DUMMYFUNCTION("IFERROR(VLOOKUP(E615&amp;F615,IMPORTRANGE(""https://docs.google.com/spreadsheets/d/1Uw7-A9f9R21vMXxHZFNpYNeKFtG8_yji4HS352LGlSQ/edit?pli=1#gid=0"",""1_ACUM!A4:S""),15,FALSE))"),"")</f>
        <v/>
      </c>
      <c r="BB601" s="43" t="str">
        <f ca="1">IFERROR(__xludf.DUMMYFUNCTION("IFERROR(VLOOKUP(E615&amp;F615,IMPORTRANGE(""https://docs.google.com/spreadsheets/d/1Uw7-A9f9R21vMXxHZFNpYNeKFtG8_yji4HS352LGlSQ/edit?pli=1#gid=0"",""1_ACUM!A4:S""),16,FALSE))"),"")</f>
        <v/>
      </c>
      <c r="BC601" s="43" t="str">
        <f ca="1">IFERROR(__xludf.DUMMYFUNCTION("IFERROR(VLOOKUP(E615&amp;F615,IMPORTRANGE(""https://docs.google.com/spreadsheets/d/1Uw7-A9f9R21vMXxHZFNpYNeKFtG8_yji4HS352LGlSQ/edit?pli=1#gid=0"",""1_ACUM!A4:S""),17,FALSE))"),"")</f>
        <v/>
      </c>
      <c r="BD601" s="44" t="str">
        <f ca="1">IFERROR(__xludf.DUMMYFUNCTION("IFERROR(VLOOKUP(E615&amp;F615,IMPORTRANGE(""https://docs.google.com/spreadsheets/d/1Uw7-A9f9R21vMXxHZFNpYNeKFtG8_yji4HS352LGlSQ/edit?pli=1#gid=0"",""1_ACUM!A4:S""),18,FALSE))"),"")</f>
        <v/>
      </c>
      <c r="BE601" s="44" t="str">
        <f ca="1">IFERROR(__xludf.DUMMYFUNCTION("IFERROR(VLOOKUP(E615&amp;F615,IMPORTRANGE(""https://docs.google.com/spreadsheets/d/1Uw7-A9f9R21vMXxHZFNpYNeKFtG8_yji4HS352LGlSQ/edit?pli=1#gid=0"",""1_ACUM!A4:S""),19,FALSE))"),"")</f>
        <v/>
      </c>
      <c r="BF601" s="98" t="str">
        <f ca="1">IFERROR(__xludf.DUMMYFUNCTION("IFERROR(VLOOKUP(F615,IMPORTRANGE(""https://docs.google.com/spreadsheets/d/1Kvs4KS76FHFqLFIZfrDMff4kP08nblUkihrxltoGBjg/edit#gid=934712705"",""ESENCIAL!A6:BG""),5,FALSE))"),"")</f>
        <v/>
      </c>
      <c r="BG601" s="98" t="str">
        <f t="shared" si="21"/>
        <v/>
      </c>
      <c r="BH601" s="99" t="str">
        <f t="shared" si="22"/>
        <v/>
      </c>
      <c r="BI601" s="100" t="str">
        <f ca="1">IFERROR(__xludf.DUMMYFUNCTION("IFERROR(VLOOKUP(F615,IMPORTRANGE(""https://docs.google.com/spreadsheets/d/1Kvs4KS76FHFqLFIZfrDMff4kP08nblUkihrxltoGBjg/edit#gid=934712705"",""ESENCIAL!A6:BG""),2,FALSE))"),"")</f>
        <v/>
      </c>
      <c r="BJ601" s="19" t="str">
        <f t="shared" si="23"/>
        <v/>
      </c>
      <c r="BK601" s="100"/>
      <c r="BL601" s="100"/>
    </row>
    <row r="602" spans="1:64" ht="15">
      <c r="A602" s="5"/>
      <c r="B602" s="5"/>
      <c r="G602" s="5" t="str">
        <f ca="1">IFERROR(__xludf.DUMMYFUNCTION("IFERROR(VLOOKUP(F616,IMPORTRANGE(""https://docs.google.com/spreadsheets/d/1Kvs4KS76FHFqLFIZfrDMff4kP08nblUkihrxltoGBjg/edit#gid=934712705"",""ESENCIAL!A6:BG""),3,FALSE))"),"")</f>
        <v/>
      </c>
      <c r="H602" s="5" t="str">
        <f ca="1">IFERROR(__xludf.DUMMYFUNCTION("IFERROR(VLOOKUP(F616,IMPORTRANGE(""https://docs.google.com/spreadsheets/d/1Kvs4KS76FHFqLFIZfrDMff4kP08nblUkihrxltoGBjg/edit#gid=934712705"",""ESENCIAL!A6:BG""),8,FALSE))"),"")</f>
        <v/>
      </c>
      <c r="L602" s="287"/>
      <c r="U602" s="40"/>
      <c r="AU602" s="41" t="str">
        <f t="shared" si="20"/>
        <v/>
      </c>
      <c r="AV602" s="5" t="str">
        <f ca="1">IFERROR(__xludf.DUMMYFUNCTION("IFERROR(VLOOKUP(E616&amp;F616,IMPORTRANGE(""https://docs.google.com/spreadsheets/d/1Uw7-A9f9R21vMXxHZFNpYNeKFtG8_yji4HS352LGlSQ/edit?pli=1#gid=0"",""1_ACUM!A4:S""),11,FALSE))"),"")</f>
        <v/>
      </c>
      <c r="AW602" s="42" t="str">
        <f ca="1">IFERROR(__xludf.DUMMYFUNCTION("IFERROR(VLOOKUP(F616,IMPORTRANGE(""https://docs.google.com/spreadsheets/d/1Kvs4KS76FHFqLFIZfrDMff4kP08nblUkihrxltoGBjg/edit#gid=934712705"",""ESENCIAL!A6:BG""),15,FALSE))"),"")</f>
        <v/>
      </c>
      <c r="AX602" s="21" t="str">
        <f ca="1">IFERROR(__xludf.DUMMYFUNCTION("IFERROR(VLOOKUP(E616&amp;F616,IMPORTRANGE(""https://docs.google.com/spreadsheets/d/1Uw7-A9f9R21vMXxHZFNpYNeKFtG8_yji4HS352LGlSQ/edit?pli=1#gid=0"",""1_ACUM!A4:S""),12,FALSE))"),"")</f>
        <v/>
      </c>
      <c r="AY602" s="43" t="str">
        <f ca="1">IFERROR(__xludf.DUMMYFUNCTION("IFERROR(VLOOKUP(E616&amp;F616,IMPORTRANGE(""https://docs.google.com/spreadsheets/d/1Uw7-A9f9R21vMXxHZFNpYNeKFtG8_yji4HS352LGlSQ/edit?pli=1#gid=0"",""1_ACUM!A4:S""),13,FALSE))"),"")</f>
        <v/>
      </c>
      <c r="AZ602" s="43" t="str">
        <f ca="1">IFERROR(__xludf.DUMMYFUNCTION("IFERROR(VLOOKUP(E616&amp;F616,IMPORTRANGE(""https://docs.google.com/spreadsheets/d/1Uw7-A9f9R21vMXxHZFNpYNeKFtG8_yji4HS352LGlSQ/edit?pli=1#gid=0"",""1_ACUM!A4:S""),14,FALSE))"),"")</f>
        <v/>
      </c>
      <c r="BA602" s="43" t="str">
        <f ca="1">IFERROR(__xludf.DUMMYFUNCTION("IFERROR(VLOOKUP(E616&amp;F616,IMPORTRANGE(""https://docs.google.com/spreadsheets/d/1Uw7-A9f9R21vMXxHZFNpYNeKFtG8_yji4HS352LGlSQ/edit?pli=1#gid=0"",""1_ACUM!A4:S""),15,FALSE))"),"")</f>
        <v/>
      </c>
      <c r="BB602" s="43" t="str">
        <f ca="1">IFERROR(__xludf.DUMMYFUNCTION("IFERROR(VLOOKUP(E616&amp;F616,IMPORTRANGE(""https://docs.google.com/spreadsheets/d/1Uw7-A9f9R21vMXxHZFNpYNeKFtG8_yji4HS352LGlSQ/edit?pli=1#gid=0"",""1_ACUM!A4:S""),16,FALSE))"),"")</f>
        <v/>
      </c>
      <c r="BC602" s="43" t="str">
        <f ca="1">IFERROR(__xludf.DUMMYFUNCTION("IFERROR(VLOOKUP(E616&amp;F616,IMPORTRANGE(""https://docs.google.com/spreadsheets/d/1Uw7-A9f9R21vMXxHZFNpYNeKFtG8_yji4HS352LGlSQ/edit?pli=1#gid=0"",""1_ACUM!A4:S""),17,FALSE))"),"")</f>
        <v/>
      </c>
      <c r="BD602" s="44" t="str">
        <f ca="1">IFERROR(__xludf.DUMMYFUNCTION("IFERROR(VLOOKUP(E616&amp;F616,IMPORTRANGE(""https://docs.google.com/spreadsheets/d/1Uw7-A9f9R21vMXxHZFNpYNeKFtG8_yji4HS352LGlSQ/edit?pli=1#gid=0"",""1_ACUM!A4:S""),18,FALSE))"),"")</f>
        <v/>
      </c>
      <c r="BE602" s="44" t="str">
        <f ca="1">IFERROR(__xludf.DUMMYFUNCTION("IFERROR(VLOOKUP(E616&amp;F616,IMPORTRANGE(""https://docs.google.com/spreadsheets/d/1Uw7-A9f9R21vMXxHZFNpYNeKFtG8_yji4HS352LGlSQ/edit?pli=1#gid=0"",""1_ACUM!A4:S""),19,FALSE))"),"")</f>
        <v/>
      </c>
      <c r="BF602" s="98" t="str">
        <f ca="1">IFERROR(__xludf.DUMMYFUNCTION("IFERROR(VLOOKUP(F616,IMPORTRANGE(""https://docs.google.com/spreadsheets/d/1Kvs4KS76FHFqLFIZfrDMff4kP08nblUkihrxltoGBjg/edit#gid=934712705"",""ESENCIAL!A6:BG""),5,FALSE))"),"")</f>
        <v/>
      </c>
      <c r="BG602" s="98" t="str">
        <f t="shared" si="21"/>
        <v/>
      </c>
      <c r="BH602" s="99" t="str">
        <f t="shared" si="22"/>
        <v/>
      </c>
      <c r="BI602" s="100" t="str">
        <f ca="1">IFERROR(__xludf.DUMMYFUNCTION("IFERROR(VLOOKUP(F616,IMPORTRANGE(""https://docs.google.com/spreadsheets/d/1Kvs4KS76FHFqLFIZfrDMff4kP08nblUkihrxltoGBjg/edit#gid=934712705"",""ESENCIAL!A6:BG""),2,FALSE))"),"")</f>
        <v/>
      </c>
      <c r="BJ602" s="19" t="str">
        <f t="shared" si="23"/>
        <v/>
      </c>
      <c r="BK602" s="100"/>
      <c r="BL602" s="100"/>
    </row>
    <row r="603" spans="1:64" ht="15">
      <c r="A603" s="5"/>
      <c r="B603" s="5"/>
      <c r="G603" s="5" t="str">
        <f ca="1">IFERROR(__xludf.DUMMYFUNCTION("IFERROR(VLOOKUP(F617,IMPORTRANGE(""https://docs.google.com/spreadsheets/d/1Kvs4KS76FHFqLFIZfrDMff4kP08nblUkihrxltoGBjg/edit#gid=934712705"",""ESENCIAL!A6:BG""),3,FALSE))"),"")</f>
        <v/>
      </c>
      <c r="H603" s="5" t="str">
        <f ca="1">IFERROR(__xludf.DUMMYFUNCTION("IFERROR(VLOOKUP(F617,IMPORTRANGE(""https://docs.google.com/spreadsheets/d/1Kvs4KS76FHFqLFIZfrDMff4kP08nblUkihrxltoGBjg/edit#gid=934712705"",""ESENCIAL!A6:BG""),8,FALSE))"),"")</f>
        <v/>
      </c>
      <c r="L603" s="287"/>
      <c r="U603" s="40"/>
      <c r="AU603" s="41" t="str">
        <f t="shared" si="20"/>
        <v/>
      </c>
      <c r="AV603" s="5" t="str">
        <f ca="1">IFERROR(__xludf.DUMMYFUNCTION("IFERROR(VLOOKUP(E617&amp;F617,IMPORTRANGE(""https://docs.google.com/spreadsheets/d/1Uw7-A9f9R21vMXxHZFNpYNeKFtG8_yji4HS352LGlSQ/edit?pli=1#gid=0"",""1_ACUM!A4:S""),11,FALSE))"),"")</f>
        <v/>
      </c>
      <c r="AW603" s="42" t="str">
        <f ca="1">IFERROR(__xludf.DUMMYFUNCTION("IFERROR(VLOOKUP(F617,IMPORTRANGE(""https://docs.google.com/spreadsheets/d/1Kvs4KS76FHFqLFIZfrDMff4kP08nblUkihrxltoGBjg/edit#gid=934712705"",""ESENCIAL!A6:BG""),15,FALSE))"),"")</f>
        <v/>
      </c>
      <c r="AX603" s="21" t="str">
        <f ca="1">IFERROR(__xludf.DUMMYFUNCTION("IFERROR(VLOOKUP(E617&amp;F617,IMPORTRANGE(""https://docs.google.com/spreadsheets/d/1Uw7-A9f9R21vMXxHZFNpYNeKFtG8_yji4HS352LGlSQ/edit?pli=1#gid=0"",""1_ACUM!A4:S""),12,FALSE))"),"")</f>
        <v/>
      </c>
      <c r="AY603" s="43" t="str">
        <f ca="1">IFERROR(__xludf.DUMMYFUNCTION("IFERROR(VLOOKUP(E617&amp;F617,IMPORTRANGE(""https://docs.google.com/spreadsheets/d/1Uw7-A9f9R21vMXxHZFNpYNeKFtG8_yji4HS352LGlSQ/edit?pli=1#gid=0"",""1_ACUM!A4:S""),13,FALSE))"),"")</f>
        <v/>
      </c>
      <c r="AZ603" s="43" t="str">
        <f ca="1">IFERROR(__xludf.DUMMYFUNCTION("IFERROR(VLOOKUP(E617&amp;F617,IMPORTRANGE(""https://docs.google.com/spreadsheets/d/1Uw7-A9f9R21vMXxHZFNpYNeKFtG8_yji4HS352LGlSQ/edit?pli=1#gid=0"",""1_ACUM!A4:S""),14,FALSE))"),"")</f>
        <v/>
      </c>
      <c r="BA603" s="43" t="str">
        <f ca="1">IFERROR(__xludf.DUMMYFUNCTION("IFERROR(VLOOKUP(E617&amp;F617,IMPORTRANGE(""https://docs.google.com/spreadsheets/d/1Uw7-A9f9R21vMXxHZFNpYNeKFtG8_yji4HS352LGlSQ/edit?pli=1#gid=0"",""1_ACUM!A4:S""),15,FALSE))"),"")</f>
        <v/>
      </c>
      <c r="BB603" s="43" t="str">
        <f ca="1">IFERROR(__xludf.DUMMYFUNCTION("IFERROR(VLOOKUP(E617&amp;F617,IMPORTRANGE(""https://docs.google.com/spreadsheets/d/1Uw7-A9f9R21vMXxHZFNpYNeKFtG8_yji4HS352LGlSQ/edit?pli=1#gid=0"",""1_ACUM!A4:S""),16,FALSE))"),"")</f>
        <v/>
      </c>
      <c r="BC603" s="43" t="str">
        <f ca="1">IFERROR(__xludf.DUMMYFUNCTION("IFERROR(VLOOKUP(E617&amp;F617,IMPORTRANGE(""https://docs.google.com/spreadsheets/d/1Uw7-A9f9R21vMXxHZFNpYNeKFtG8_yji4HS352LGlSQ/edit?pli=1#gid=0"",""1_ACUM!A4:S""),17,FALSE))"),"")</f>
        <v/>
      </c>
      <c r="BD603" s="44" t="str">
        <f ca="1">IFERROR(__xludf.DUMMYFUNCTION("IFERROR(VLOOKUP(E617&amp;F617,IMPORTRANGE(""https://docs.google.com/spreadsheets/d/1Uw7-A9f9R21vMXxHZFNpYNeKFtG8_yji4HS352LGlSQ/edit?pli=1#gid=0"",""1_ACUM!A4:S""),18,FALSE))"),"")</f>
        <v/>
      </c>
      <c r="BE603" s="44" t="str">
        <f ca="1">IFERROR(__xludf.DUMMYFUNCTION("IFERROR(VLOOKUP(E617&amp;F617,IMPORTRANGE(""https://docs.google.com/spreadsheets/d/1Uw7-A9f9R21vMXxHZFNpYNeKFtG8_yji4HS352LGlSQ/edit?pli=1#gid=0"",""1_ACUM!A4:S""),19,FALSE))"),"")</f>
        <v/>
      </c>
      <c r="BF603" s="98" t="str">
        <f ca="1">IFERROR(__xludf.DUMMYFUNCTION("IFERROR(VLOOKUP(F617,IMPORTRANGE(""https://docs.google.com/spreadsheets/d/1Kvs4KS76FHFqLFIZfrDMff4kP08nblUkihrxltoGBjg/edit#gid=934712705"",""ESENCIAL!A6:BG""),5,FALSE))"),"")</f>
        <v/>
      </c>
      <c r="BG603" s="98" t="str">
        <f t="shared" si="21"/>
        <v/>
      </c>
      <c r="BH603" s="99" t="str">
        <f t="shared" si="22"/>
        <v/>
      </c>
      <c r="BI603" s="100" t="str">
        <f ca="1">IFERROR(__xludf.DUMMYFUNCTION("IFERROR(VLOOKUP(F617,IMPORTRANGE(""https://docs.google.com/spreadsheets/d/1Kvs4KS76FHFqLFIZfrDMff4kP08nblUkihrxltoGBjg/edit#gid=934712705"",""ESENCIAL!A6:BG""),2,FALSE))"),"")</f>
        <v/>
      </c>
      <c r="BJ603" s="19" t="str">
        <f t="shared" si="23"/>
        <v/>
      </c>
      <c r="BK603" s="100"/>
      <c r="BL603" s="100"/>
    </row>
    <row r="604" spans="1:64" ht="15">
      <c r="A604" s="5"/>
      <c r="B604" s="5"/>
      <c r="G604" s="5" t="str">
        <f ca="1">IFERROR(__xludf.DUMMYFUNCTION("IFERROR(VLOOKUP(F618,IMPORTRANGE(""https://docs.google.com/spreadsheets/d/1Kvs4KS76FHFqLFIZfrDMff4kP08nblUkihrxltoGBjg/edit#gid=934712705"",""ESENCIAL!A6:BG""),3,FALSE))"),"")</f>
        <v/>
      </c>
      <c r="H604" s="5" t="str">
        <f ca="1">IFERROR(__xludf.DUMMYFUNCTION("IFERROR(VLOOKUP(F618,IMPORTRANGE(""https://docs.google.com/spreadsheets/d/1Kvs4KS76FHFqLFIZfrDMff4kP08nblUkihrxltoGBjg/edit#gid=934712705"",""ESENCIAL!A6:BG""),8,FALSE))"),"")</f>
        <v/>
      </c>
      <c r="L604" s="287"/>
      <c r="U604" s="40"/>
      <c r="AU604" s="41" t="str">
        <f t="shared" si="20"/>
        <v/>
      </c>
      <c r="AV604" s="5" t="str">
        <f ca="1">IFERROR(__xludf.DUMMYFUNCTION("IFERROR(VLOOKUP(E618&amp;F618,IMPORTRANGE(""https://docs.google.com/spreadsheets/d/1Uw7-A9f9R21vMXxHZFNpYNeKFtG8_yji4HS352LGlSQ/edit?pli=1#gid=0"",""1_ACUM!A4:S""),11,FALSE))"),"")</f>
        <v/>
      </c>
      <c r="AW604" s="42" t="str">
        <f ca="1">IFERROR(__xludf.DUMMYFUNCTION("IFERROR(VLOOKUP(F618,IMPORTRANGE(""https://docs.google.com/spreadsheets/d/1Kvs4KS76FHFqLFIZfrDMff4kP08nblUkihrxltoGBjg/edit#gid=934712705"",""ESENCIAL!A6:BG""),15,FALSE))"),"")</f>
        <v/>
      </c>
      <c r="AX604" s="21" t="str">
        <f ca="1">IFERROR(__xludf.DUMMYFUNCTION("IFERROR(VLOOKUP(E618&amp;F618,IMPORTRANGE(""https://docs.google.com/spreadsheets/d/1Uw7-A9f9R21vMXxHZFNpYNeKFtG8_yji4HS352LGlSQ/edit?pli=1#gid=0"",""1_ACUM!A4:S""),12,FALSE))"),"")</f>
        <v/>
      </c>
      <c r="AY604" s="43" t="str">
        <f ca="1">IFERROR(__xludf.DUMMYFUNCTION("IFERROR(VLOOKUP(E618&amp;F618,IMPORTRANGE(""https://docs.google.com/spreadsheets/d/1Uw7-A9f9R21vMXxHZFNpYNeKFtG8_yji4HS352LGlSQ/edit?pli=1#gid=0"",""1_ACUM!A4:S""),13,FALSE))"),"")</f>
        <v/>
      </c>
      <c r="AZ604" s="43" t="str">
        <f ca="1">IFERROR(__xludf.DUMMYFUNCTION("IFERROR(VLOOKUP(E618&amp;F618,IMPORTRANGE(""https://docs.google.com/spreadsheets/d/1Uw7-A9f9R21vMXxHZFNpYNeKFtG8_yji4HS352LGlSQ/edit?pli=1#gid=0"",""1_ACUM!A4:S""),14,FALSE))"),"")</f>
        <v/>
      </c>
      <c r="BA604" s="43" t="str">
        <f ca="1">IFERROR(__xludf.DUMMYFUNCTION("IFERROR(VLOOKUP(E618&amp;F618,IMPORTRANGE(""https://docs.google.com/spreadsheets/d/1Uw7-A9f9R21vMXxHZFNpYNeKFtG8_yji4HS352LGlSQ/edit?pli=1#gid=0"",""1_ACUM!A4:S""),15,FALSE))"),"")</f>
        <v/>
      </c>
      <c r="BB604" s="43" t="str">
        <f ca="1">IFERROR(__xludf.DUMMYFUNCTION("IFERROR(VLOOKUP(E618&amp;F618,IMPORTRANGE(""https://docs.google.com/spreadsheets/d/1Uw7-A9f9R21vMXxHZFNpYNeKFtG8_yji4HS352LGlSQ/edit?pli=1#gid=0"",""1_ACUM!A4:S""),16,FALSE))"),"")</f>
        <v/>
      </c>
      <c r="BC604" s="43" t="str">
        <f ca="1">IFERROR(__xludf.DUMMYFUNCTION("IFERROR(VLOOKUP(E618&amp;F618,IMPORTRANGE(""https://docs.google.com/spreadsheets/d/1Uw7-A9f9R21vMXxHZFNpYNeKFtG8_yji4HS352LGlSQ/edit?pli=1#gid=0"",""1_ACUM!A4:S""),17,FALSE))"),"")</f>
        <v/>
      </c>
      <c r="BD604" s="44" t="str">
        <f ca="1">IFERROR(__xludf.DUMMYFUNCTION("IFERROR(VLOOKUP(E618&amp;F618,IMPORTRANGE(""https://docs.google.com/spreadsheets/d/1Uw7-A9f9R21vMXxHZFNpYNeKFtG8_yji4HS352LGlSQ/edit?pli=1#gid=0"",""1_ACUM!A4:S""),18,FALSE))"),"")</f>
        <v/>
      </c>
      <c r="BE604" s="44" t="str">
        <f ca="1">IFERROR(__xludf.DUMMYFUNCTION("IFERROR(VLOOKUP(E618&amp;F618,IMPORTRANGE(""https://docs.google.com/spreadsheets/d/1Uw7-A9f9R21vMXxHZFNpYNeKFtG8_yji4HS352LGlSQ/edit?pli=1#gid=0"",""1_ACUM!A4:S""),19,FALSE))"),"")</f>
        <v/>
      </c>
      <c r="BF604" s="98" t="str">
        <f ca="1">IFERROR(__xludf.DUMMYFUNCTION("IFERROR(VLOOKUP(F618,IMPORTRANGE(""https://docs.google.com/spreadsheets/d/1Kvs4KS76FHFqLFIZfrDMff4kP08nblUkihrxltoGBjg/edit#gid=934712705"",""ESENCIAL!A6:BG""),5,FALSE))"),"")</f>
        <v/>
      </c>
      <c r="BG604" s="98" t="str">
        <f t="shared" si="21"/>
        <v/>
      </c>
      <c r="BH604" s="99" t="str">
        <f t="shared" si="22"/>
        <v/>
      </c>
      <c r="BI604" s="100" t="str">
        <f ca="1">IFERROR(__xludf.DUMMYFUNCTION("IFERROR(VLOOKUP(F618,IMPORTRANGE(""https://docs.google.com/spreadsheets/d/1Kvs4KS76FHFqLFIZfrDMff4kP08nblUkihrxltoGBjg/edit#gid=934712705"",""ESENCIAL!A6:BG""),2,FALSE))"),"")</f>
        <v/>
      </c>
      <c r="BJ604" s="19" t="str">
        <f t="shared" si="23"/>
        <v/>
      </c>
      <c r="BK604" s="100"/>
      <c r="BL604" s="100"/>
    </row>
    <row r="605" spans="1:64" ht="15">
      <c r="A605" s="5"/>
      <c r="B605" s="5"/>
      <c r="G605" s="5" t="str">
        <f ca="1">IFERROR(__xludf.DUMMYFUNCTION("IFERROR(VLOOKUP(F619,IMPORTRANGE(""https://docs.google.com/spreadsheets/d/1Kvs4KS76FHFqLFIZfrDMff4kP08nblUkihrxltoGBjg/edit#gid=934712705"",""ESENCIAL!A6:BG""),3,FALSE))"),"")</f>
        <v/>
      </c>
      <c r="H605" s="5" t="str">
        <f ca="1">IFERROR(__xludf.DUMMYFUNCTION("IFERROR(VLOOKUP(F619,IMPORTRANGE(""https://docs.google.com/spreadsheets/d/1Kvs4KS76FHFqLFIZfrDMff4kP08nblUkihrxltoGBjg/edit#gid=934712705"",""ESENCIAL!A6:BG""),8,FALSE))"),"")</f>
        <v/>
      </c>
      <c r="L605" s="287"/>
      <c r="U605" s="40"/>
      <c r="AU605" s="41" t="str">
        <f t="shared" si="20"/>
        <v/>
      </c>
      <c r="AV605" s="5" t="str">
        <f ca="1">IFERROR(__xludf.DUMMYFUNCTION("IFERROR(VLOOKUP(E619&amp;F619,IMPORTRANGE(""https://docs.google.com/spreadsheets/d/1Uw7-A9f9R21vMXxHZFNpYNeKFtG8_yji4HS352LGlSQ/edit?pli=1#gid=0"",""1_ACUM!A4:S""),11,FALSE))"),"")</f>
        <v/>
      </c>
      <c r="AW605" s="42" t="str">
        <f ca="1">IFERROR(__xludf.DUMMYFUNCTION("IFERROR(VLOOKUP(F619,IMPORTRANGE(""https://docs.google.com/spreadsheets/d/1Kvs4KS76FHFqLFIZfrDMff4kP08nblUkihrxltoGBjg/edit#gid=934712705"",""ESENCIAL!A6:BG""),15,FALSE))"),"")</f>
        <v/>
      </c>
      <c r="AX605" s="21" t="str">
        <f ca="1">IFERROR(__xludf.DUMMYFUNCTION("IFERROR(VLOOKUP(E619&amp;F619,IMPORTRANGE(""https://docs.google.com/spreadsheets/d/1Uw7-A9f9R21vMXxHZFNpYNeKFtG8_yji4HS352LGlSQ/edit?pli=1#gid=0"",""1_ACUM!A4:S""),12,FALSE))"),"")</f>
        <v/>
      </c>
      <c r="AY605" s="43" t="str">
        <f ca="1">IFERROR(__xludf.DUMMYFUNCTION("IFERROR(VLOOKUP(E619&amp;F619,IMPORTRANGE(""https://docs.google.com/spreadsheets/d/1Uw7-A9f9R21vMXxHZFNpYNeKFtG8_yji4HS352LGlSQ/edit?pli=1#gid=0"",""1_ACUM!A4:S""),13,FALSE))"),"")</f>
        <v/>
      </c>
      <c r="AZ605" s="43" t="str">
        <f ca="1">IFERROR(__xludf.DUMMYFUNCTION("IFERROR(VLOOKUP(E619&amp;F619,IMPORTRANGE(""https://docs.google.com/spreadsheets/d/1Uw7-A9f9R21vMXxHZFNpYNeKFtG8_yji4HS352LGlSQ/edit?pli=1#gid=0"",""1_ACUM!A4:S""),14,FALSE))"),"")</f>
        <v/>
      </c>
      <c r="BA605" s="43" t="str">
        <f ca="1">IFERROR(__xludf.DUMMYFUNCTION("IFERROR(VLOOKUP(E619&amp;F619,IMPORTRANGE(""https://docs.google.com/spreadsheets/d/1Uw7-A9f9R21vMXxHZFNpYNeKFtG8_yji4HS352LGlSQ/edit?pli=1#gid=0"",""1_ACUM!A4:S""),15,FALSE))"),"")</f>
        <v/>
      </c>
      <c r="BB605" s="43" t="str">
        <f ca="1">IFERROR(__xludf.DUMMYFUNCTION("IFERROR(VLOOKUP(E619&amp;F619,IMPORTRANGE(""https://docs.google.com/spreadsheets/d/1Uw7-A9f9R21vMXxHZFNpYNeKFtG8_yji4HS352LGlSQ/edit?pli=1#gid=0"",""1_ACUM!A4:S""),16,FALSE))"),"")</f>
        <v/>
      </c>
      <c r="BC605" s="43" t="str">
        <f ca="1">IFERROR(__xludf.DUMMYFUNCTION("IFERROR(VLOOKUP(E619&amp;F619,IMPORTRANGE(""https://docs.google.com/spreadsheets/d/1Uw7-A9f9R21vMXxHZFNpYNeKFtG8_yji4HS352LGlSQ/edit?pli=1#gid=0"",""1_ACUM!A4:S""),17,FALSE))"),"")</f>
        <v/>
      </c>
      <c r="BD605" s="44" t="str">
        <f ca="1">IFERROR(__xludf.DUMMYFUNCTION("IFERROR(VLOOKUP(E619&amp;F619,IMPORTRANGE(""https://docs.google.com/spreadsheets/d/1Uw7-A9f9R21vMXxHZFNpYNeKFtG8_yji4HS352LGlSQ/edit?pli=1#gid=0"",""1_ACUM!A4:S""),18,FALSE))"),"")</f>
        <v/>
      </c>
      <c r="BE605" s="44" t="str">
        <f ca="1">IFERROR(__xludf.DUMMYFUNCTION("IFERROR(VLOOKUP(E619&amp;F619,IMPORTRANGE(""https://docs.google.com/spreadsheets/d/1Uw7-A9f9R21vMXxHZFNpYNeKFtG8_yji4HS352LGlSQ/edit?pli=1#gid=0"",""1_ACUM!A4:S""),19,FALSE))"),"")</f>
        <v/>
      </c>
      <c r="BF605" s="98" t="str">
        <f ca="1">IFERROR(__xludf.DUMMYFUNCTION("IFERROR(VLOOKUP(F619,IMPORTRANGE(""https://docs.google.com/spreadsheets/d/1Kvs4KS76FHFqLFIZfrDMff4kP08nblUkihrxltoGBjg/edit#gid=934712705"",""ESENCIAL!A6:BG""),5,FALSE))"),"")</f>
        <v/>
      </c>
      <c r="BG605" s="98" t="str">
        <f t="shared" si="21"/>
        <v/>
      </c>
      <c r="BH605" s="99" t="str">
        <f t="shared" si="22"/>
        <v/>
      </c>
      <c r="BI605" s="100" t="str">
        <f ca="1">IFERROR(__xludf.DUMMYFUNCTION("IFERROR(VLOOKUP(F619,IMPORTRANGE(""https://docs.google.com/spreadsheets/d/1Kvs4KS76FHFqLFIZfrDMff4kP08nblUkihrxltoGBjg/edit#gid=934712705"",""ESENCIAL!A6:BG""),2,FALSE))"),"")</f>
        <v/>
      </c>
      <c r="BJ605" s="19" t="str">
        <f t="shared" si="23"/>
        <v/>
      </c>
      <c r="BK605" s="100"/>
      <c r="BL605" s="100"/>
    </row>
    <row r="606" spans="1:64" ht="15">
      <c r="A606" s="5"/>
      <c r="B606" s="5"/>
      <c r="G606" s="5" t="str">
        <f ca="1">IFERROR(__xludf.DUMMYFUNCTION("IFERROR(VLOOKUP(F620,IMPORTRANGE(""https://docs.google.com/spreadsheets/d/1Kvs4KS76FHFqLFIZfrDMff4kP08nblUkihrxltoGBjg/edit#gid=934712705"",""ESENCIAL!A6:BG""),3,FALSE))"),"")</f>
        <v/>
      </c>
      <c r="H606" s="5" t="str">
        <f ca="1">IFERROR(__xludf.DUMMYFUNCTION("IFERROR(VLOOKUP(F620,IMPORTRANGE(""https://docs.google.com/spreadsheets/d/1Kvs4KS76FHFqLFIZfrDMff4kP08nblUkihrxltoGBjg/edit#gid=934712705"",""ESENCIAL!A6:BG""),8,FALSE))"),"")</f>
        <v/>
      </c>
      <c r="L606" s="287"/>
      <c r="U606" s="40"/>
      <c r="AU606" s="41" t="str">
        <f t="shared" si="20"/>
        <v/>
      </c>
      <c r="AV606" s="5" t="str">
        <f ca="1">IFERROR(__xludf.DUMMYFUNCTION("IFERROR(VLOOKUP(E620&amp;F620,IMPORTRANGE(""https://docs.google.com/spreadsheets/d/1Uw7-A9f9R21vMXxHZFNpYNeKFtG8_yji4HS352LGlSQ/edit?pli=1#gid=0"",""1_ACUM!A4:S""),11,FALSE))"),"")</f>
        <v/>
      </c>
      <c r="AW606" s="42" t="str">
        <f ca="1">IFERROR(__xludf.DUMMYFUNCTION("IFERROR(VLOOKUP(F620,IMPORTRANGE(""https://docs.google.com/spreadsheets/d/1Kvs4KS76FHFqLFIZfrDMff4kP08nblUkihrxltoGBjg/edit#gid=934712705"",""ESENCIAL!A6:BG""),15,FALSE))"),"")</f>
        <v/>
      </c>
      <c r="AX606" s="21" t="str">
        <f ca="1">IFERROR(__xludf.DUMMYFUNCTION("IFERROR(VLOOKUP(E620&amp;F620,IMPORTRANGE(""https://docs.google.com/spreadsheets/d/1Uw7-A9f9R21vMXxHZFNpYNeKFtG8_yji4HS352LGlSQ/edit?pli=1#gid=0"",""1_ACUM!A4:S""),12,FALSE))"),"")</f>
        <v/>
      </c>
      <c r="AY606" s="43" t="str">
        <f ca="1">IFERROR(__xludf.DUMMYFUNCTION("IFERROR(VLOOKUP(E620&amp;F620,IMPORTRANGE(""https://docs.google.com/spreadsheets/d/1Uw7-A9f9R21vMXxHZFNpYNeKFtG8_yji4HS352LGlSQ/edit?pli=1#gid=0"",""1_ACUM!A4:S""),13,FALSE))"),"")</f>
        <v/>
      </c>
      <c r="AZ606" s="43" t="str">
        <f ca="1">IFERROR(__xludf.DUMMYFUNCTION("IFERROR(VLOOKUP(E620&amp;F620,IMPORTRANGE(""https://docs.google.com/spreadsheets/d/1Uw7-A9f9R21vMXxHZFNpYNeKFtG8_yji4HS352LGlSQ/edit?pli=1#gid=0"",""1_ACUM!A4:S""),14,FALSE))"),"")</f>
        <v/>
      </c>
      <c r="BA606" s="43" t="str">
        <f ca="1">IFERROR(__xludf.DUMMYFUNCTION("IFERROR(VLOOKUP(E620&amp;F620,IMPORTRANGE(""https://docs.google.com/spreadsheets/d/1Uw7-A9f9R21vMXxHZFNpYNeKFtG8_yji4HS352LGlSQ/edit?pli=1#gid=0"",""1_ACUM!A4:S""),15,FALSE))"),"")</f>
        <v/>
      </c>
      <c r="BB606" s="43" t="str">
        <f ca="1">IFERROR(__xludf.DUMMYFUNCTION("IFERROR(VLOOKUP(E620&amp;F620,IMPORTRANGE(""https://docs.google.com/spreadsheets/d/1Uw7-A9f9R21vMXxHZFNpYNeKFtG8_yji4HS352LGlSQ/edit?pli=1#gid=0"",""1_ACUM!A4:S""),16,FALSE))"),"")</f>
        <v/>
      </c>
      <c r="BC606" s="43" t="str">
        <f ca="1">IFERROR(__xludf.DUMMYFUNCTION("IFERROR(VLOOKUP(E620&amp;F620,IMPORTRANGE(""https://docs.google.com/spreadsheets/d/1Uw7-A9f9R21vMXxHZFNpYNeKFtG8_yji4HS352LGlSQ/edit?pli=1#gid=0"",""1_ACUM!A4:S""),17,FALSE))"),"")</f>
        <v/>
      </c>
      <c r="BD606" s="44" t="str">
        <f ca="1">IFERROR(__xludf.DUMMYFUNCTION("IFERROR(VLOOKUP(E620&amp;F620,IMPORTRANGE(""https://docs.google.com/spreadsheets/d/1Uw7-A9f9R21vMXxHZFNpYNeKFtG8_yji4HS352LGlSQ/edit?pli=1#gid=0"",""1_ACUM!A4:S""),18,FALSE))"),"")</f>
        <v/>
      </c>
      <c r="BE606" s="44" t="str">
        <f ca="1">IFERROR(__xludf.DUMMYFUNCTION("IFERROR(VLOOKUP(E620&amp;F620,IMPORTRANGE(""https://docs.google.com/spreadsheets/d/1Uw7-A9f9R21vMXxHZFNpYNeKFtG8_yji4HS352LGlSQ/edit?pli=1#gid=0"",""1_ACUM!A4:S""),19,FALSE))"),"")</f>
        <v/>
      </c>
      <c r="BF606" s="98" t="str">
        <f ca="1">IFERROR(__xludf.DUMMYFUNCTION("IFERROR(VLOOKUP(F620,IMPORTRANGE(""https://docs.google.com/spreadsheets/d/1Kvs4KS76FHFqLFIZfrDMff4kP08nblUkihrxltoGBjg/edit#gid=934712705"",""ESENCIAL!A6:BG""),5,FALSE))"),"")</f>
        <v/>
      </c>
      <c r="BG606" s="98" t="str">
        <f t="shared" si="21"/>
        <v/>
      </c>
      <c r="BH606" s="99" t="str">
        <f t="shared" si="22"/>
        <v/>
      </c>
      <c r="BI606" s="100" t="str">
        <f ca="1">IFERROR(__xludf.DUMMYFUNCTION("IFERROR(VLOOKUP(F620,IMPORTRANGE(""https://docs.google.com/spreadsheets/d/1Kvs4KS76FHFqLFIZfrDMff4kP08nblUkihrxltoGBjg/edit#gid=934712705"",""ESENCIAL!A6:BG""),2,FALSE))"),"")</f>
        <v/>
      </c>
      <c r="BJ606" s="19" t="str">
        <f t="shared" si="23"/>
        <v/>
      </c>
      <c r="BK606" s="100"/>
      <c r="BL606" s="100"/>
    </row>
    <row r="607" spans="1:64" ht="15">
      <c r="A607" s="5"/>
      <c r="B607" s="5"/>
      <c r="G607" s="5" t="str">
        <f ca="1">IFERROR(__xludf.DUMMYFUNCTION("IFERROR(VLOOKUP(F621,IMPORTRANGE(""https://docs.google.com/spreadsheets/d/1Kvs4KS76FHFqLFIZfrDMff4kP08nblUkihrxltoGBjg/edit#gid=934712705"",""ESENCIAL!A6:BG""),3,FALSE))"),"")</f>
        <v/>
      </c>
      <c r="H607" s="5" t="str">
        <f ca="1">IFERROR(__xludf.DUMMYFUNCTION("IFERROR(VLOOKUP(F621,IMPORTRANGE(""https://docs.google.com/spreadsheets/d/1Kvs4KS76FHFqLFIZfrDMff4kP08nblUkihrxltoGBjg/edit#gid=934712705"",""ESENCIAL!A6:BG""),8,FALSE))"),"")</f>
        <v/>
      </c>
      <c r="L607" s="287"/>
      <c r="U607" s="40"/>
      <c r="AU607" s="41" t="str">
        <f t="shared" si="20"/>
        <v/>
      </c>
      <c r="AV607" s="5" t="str">
        <f ca="1">IFERROR(__xludf.DUMMYFUNCTION("IFERROR(VLOOKUP(E621&amp;F621,IMPORTRANGE(""https://docs.google.com/spreadsheets/d/1Uw7-A9f9R21vMXxHZFNpYNeKFtG8_yji4HS352LGlSQ/edit?pli=1#gid=0"",""1_ACUM!A4:S""),11,FALSE))"),"")</f>
        <v/>
      </c>
      <c r="AW607" s="42" t="str">
        <f ca="1">IFERROR(__xludf.DUMMYFUNCTION("IFERROR(VLOOKUP(F621,IMPORTRANGE(""https://docs.google.com/spreadsheets/d/1Kvs4KS76FHFqLFIZfrDMff4kP08nblUkihrxltoGBjg/edit#gid=934712705"",""ESENCIAL!A6:BG""),15,FALSE))"),"")</f>
        <v/>
      </c>
      <c r="AX607" s="21" t="str">
        <f ca="1">IFERROR(__xludf.DUMMYFUNCTION("IFERROR(VLOOKUP(E621&amp;F621,IMPORTRANGE(""https://docs.google.com/spreadsheets/d/1Uw7-A9f9R21vMXxHZFNpYNeKFtG8_yji4HS352LGlSQ/edit?pli=1#gid=0"",""1_ACUM!A4:S""),12,FALSE))"),"")</f>
        <v/>
      </c>
      <c r="AY607" s="43" t="str">
        <f ca="1">IFERROR(__xludf.DUMMYFUNCTION("IFERROR(VLOOKUP(E621&amp;F621,IMPORTRANGE(""https://docs.google.com/spreadsheets/d/1Uw7-A9f9R21vMXxHZFNpYNeKFtG8_yji4HS352LGlSQ/edit?pli=1#gid=0"",""1_ACUM!A4:S""),13,FALSE))"),"")</f>
        <v/>
      </c>
      <c r="AZ607" s="43" t="str">
        <f ca="1">IFERROR(__xludf.DUMMYFUNCTION("IFERROR(VLOOKUP(E621&amp;F621,IMPORTRANGE(""https://docs.google.com/spreadsheets/d/1Uw7-A9f9R21vMXxHZFNpYNeKFtG8_yji4HS352LGlSQ/edit?pli=1#gid=0"",""1_ACUM!A4:S""),14,FALSE))"),"")</f>
        <v/>
      </c>
      <c r="BA607" s="43" t="str">
        <f ca="1">IFERROR(__xludf.DUMMYFUNCTION("IFERROR(VLOOKUP(E621&amp;F621,IMPORTRANGE(""https://docs.google.com/spreadsheets/d/1Uw7-A9f9R21vMXxHZFNpYNeKFtG8_yji4HS352LGlSQ/edit?pli=1#gid=0"",""1_ACUM!A4:S""),15,FALSE))"),"")</f>
        <v/>
      </c>
      <c r="BB607" s="43" t="str">
        <f ca="1">IFERROR(__xludf.DUMMYFUNCTION("IFERROR(VLOOKUP(E621&amp;F621,IMPORTRANGE(""https://docs.google.com/spreadsheets/d/1Uw7-A9f9R21vMXxHZFNpYNeKFtG8_yji4HS352LGlSQ/edit?pli=1#gid=0"",""1_ACUM!A4:S""),16,FALSE))"),"")</f>
        <v/>
      </c>
      <c r="BC607" s="43" t="str">
        <f ca="1">IFERROR(__xludf.DUMMYFUNCTION("IFERROR(VLOOKUP(E621&amp;F621,IMPORTRANGE(""https://docs.google.com/spreadsheets/d/1Uw7-A9f9R21vMXxHZFNpYNeKFtG8_yji4HS352LGlSQ/edit?pli=1#gid=0"",""1_ACUM!A4:S""),17,FALSE))"),"")</f>
        <v/>
      </c>
      <c r="BD607" s="44" t="str">
        <f ca="1">IFERROR(__xludf.DUMMYFUNCTION("IFERROR(VLOOKUP(E621&amp;F621,IMPORTRANGE(""https://docs.google.com/spreadsheets/d/1Uw7-A9f9R21vMXxHZFNpYNeKFtG8_yji4HS352LGlSQ/edit?pli=1#gid=0"",""1_ACUM!A4:S""),18,FALSE))"),"")</f>
        <v/>
      </c>
      <c r="BE607" s="44" t="str">
        <f ca="1">IFERROR(__xludf.DUMMYFUNCTION("IFERROR(VLOOKUP(E621&amp;F621,IMPORTRANGE(""https://docs.google.com/spreadsheets/d/1Uw7-A9f9R21vMXxHZFNpYNeKFtG8_yji4HS352LGlSQ/edit?pli=1#gid=0"",""1_ACUM!A4:S""),19,FALSE))"),"")</f>
        <v/>
      </c>
      <c r="BF607" s="98" t="str">
        <f ca="1">IFERROR(__xludf.DUMMYFUNCTION("IFERROR(VLOOKUP(F621,IMPORTRANGE(""https://docs.google.com/spreadsheets/d/1Kvs4KS76FHFqLFIZfrDMff4kP08nblUkihrxltoGBjg/edit#gid=934712705"",""ESENCIAL!A6:BG""),5,FALSE))"),"")</f>
        <v/>
      </c>
      <c r="BG607" s="98" t="str">
        <f t="shared" si="21"/>
        <v/>
      </c>
      <c r="BH607" s="99" t="str">
        <f t="shared" si="22"/>
        <v/>
      </c>
      <c r="BI607" s="100" t="str">
        <f ca="1">IFERROR(__xludf.DUMMYFUNCTION("IFERROR(VLOOKUP(F621,IMPORTRANGE(""https://docs.google.com/spreadsheets/d/1Kvs4KS76FHFqLFIZfrDMff4kP08nblUkihrxltoGBjg/edit#gid=934712705"",""ESENCIAL!A6:BG""),2,FALSE))"),"")</f>
        <v/>
      </c>
      <c r="BJ607" s="19" t="str">
        <f t="shared" si="23"/>
        <v/>
      </c>
      <c r="BK607" s="100"/>
      <c r="BL607" s="100"/>
    </row>
    <row r="608" spans="1:64" ht="15">
      <c r="A608" s="5"/>
      <c r="B608" s="5"/>
      <c r="G608" s="5" t="str">
        <f ca="1">IFERROR(__xludf.DUMMYFUNCTION("IFERROR(VLOOKUP(F622,IMPORTRANGE(""https://docs.google.com/spreadsheets/d/1Kvs4KS76FHFqLFIZfrDMff4kP08nblUkihrxltoGBjg/edit#gid=934712705"",""ESENCIAL!A6:BG""),3,FALSE))"),"")</f>
        <v/>
      </c>
      <c r="H608" s="5" t="str">
        <f ca="1">IFERROR(__xludf.DUMMYFUNCTION("IFERROR(VLOOKUP(F622,IMPORTRANGE(""https://docs.google.com/spreadsheets/d/1Kvs4KS76FHFqLFIZfrDMff4kP08nblUkihrxltoGBjg/edit#gid=934712705"",""ESENCIAL!A6:BG""),8,FALSE))"),"")</f>
        <v/>
      </c>
      <c r="L608" s="287"/>
      <c r="U608" s="40"/>
      <c r="AU608" s="41" t="str">
        <f t="shared" si="20"/>
        <v/>
      </c>
      <c r="AV608" s="5" t="str">
        <f ca="1">IFERROR(__xludf.DUMMYFUNCTION("IFERROR(VLOOKUP(E622&amp;F622,IMPORTRANGE(""https://docs.google.com/spreadsheets/d/1Uw7-A9f9R21vMXxHZFNpYNeKFtG8_yji4HS352LGlSQ/edit?pli=1#gid=0"",""1_ACUM!A4:S""),11,FALSE))"),"")</f>
        <v/>
      </c>
      <c r="AW608" s="42" t="str">
        <f ca="1">IFERROR(__xludf.DUMMYFUNCTION("IFERROR(VLOOKUP(F622,IMPORTRANGE(""https://docs.google.com/spreadsheets/d/1Kvs4KS76FHFqLFIZfrDMff4kP08nblUkihrxltoGBjg/edit#gid=934712705"",""ESENCIAL!A6:BG""),15,FALSE))"),"")</f>
        <v/>
      </c>
      <c r="AX608" s="21" t="str">
        <f ca="1">IFERROR(__xludf.DUMMYFUNCTION("IFERROR(VLOOKUP(E622&amp;F622,IMPORTRANGE(""https://docs.google.com/spreadsheets/d/1Uw7-A9f9R21vMXxHZFNpYNeKFtG8_yji4HS352LGlSQ/edit?pli=1#gid=0"",""1_ACUM!A4:S""),12,FALSE))"),"")</f>
        <v/>
      </c>
      <c r="AY608" s="43" t="str">
        <f ca="1">IFERROR(__xludf.DUMMYFUNCTION("IFERROR(VLOOKUP(E622&amp;F622,IMPORTRANGE(""https://docs.google.com/spreadsheets/d/1Uw7-A9f9R21vMXxHZFNpYNeKFtG8_yji4HS352LGlSQ/edit?pli=1#gid=0"",""1_ACUM!A4:S""),13,FALSE))"),"")</f>
        <v/>
      </c>
      <c r="AZ608" s="43" t="str">
        <f ca="1">IFERROR(__xludf.DUMMYFUNCTION("IFERROR(VLOOKUP(E622&amp;F622,IMPORTRANGE(""https://docs.google.com/spreadsheets/d/1Uw7-A9f9R21vMXxHZFNpYNeKFtG8_yji4HS352LGlSQ/edit?pli=1#gid=0"",""1_ACUM!A4:S""),14,FALSE))"),"")</f>
        <v/>
      </c>
      <c r="BA608" s="43" t="str">
        <f ca="1">IFERROR(__xludf.DUMMYFUNCTION("IFERROR(VLOOKUP(E622&amp;F622,IMPORTRANGE(""https://docs.google.com/spreadsheets/d/1Uw7-A9f9R21vMXxHZFNpYNeKFtG8_yji4HS352LGlSQ/edit?pli=1#gid=0"",""1_ACUM!A4:S""),15,FALSE))"),"")</f>
        <v/>
      </c>
      <c r="BB608" s="43" t="str">
        <f ca="1">IFERROR(__xludf.DUMMYFUNCTION("IFERROR(VLOOKUP(E622&amp;F622,IMPORTRANGE(""https://docs.google.com/spreadsheets/d/1Uw7-A9f9R21vMXxHZFNpYNeKFtG8_yji4HS352LGlSQ/edit?pli=1#gid=0"",""1_ACUM!A4:S""),16,FALSE))"),"")</f>
        <v/>
      </c>
      <c r="BC608" s="43" t="str">
        <f ca="1">IFERROR(__xludf.DUMMYFUNCTION("IFERROR(VLOOKUP(E622&amp;F622,IMPORTRANGE(""https://docs.google.com/spreadsheets/d/1Uw7-A9f9R21vMXxHZFNpYNeKFtG8_yji4HS352LGlSQ/edit?pli=1#gid=0"",""1_ACUM!A4:S""),17,FALSE))"),"")</f>
        <v/>
      </c>
      <c r="BD608" s="44" t="str">
        <f ca="1">IFERROR(__xludf.DUMMYFUNCTION("IFERROR(VLOOKUP(E622&amp;F622,IMPORTRANGE(""https://docs.google.com/spreadsheets/d/1Uw7-A9f9R21vMXxHZFNpYNeKFtG8_yji4HS352LGlSQ/edit?pli=1#gid=0"",""1_ACUM!A4:S""),18,FALSE))"),"")</f>
        <v/>
      </c>
      <c r="BE608" s="44" t="str">
        <f ca="1">IFERROR(__xludf.DUMMYFUNCTION("IFERROR(VLOOKUP(E622&amp;F622,IMPORTRANGE(""https://docs.google.com/spreadsheets/d/1Uw7-A9f9R21vMXxHZFNpYNeKFtG8_yji4HS352LGlSQ/edit?pli=1#gid=0"",""1_ACUM!A4:S""),19,FALSE))"),"")</f>
        <v/>
      </c>
      <c r="BF608" s="98" t="str">
        <f ca="1">IFERROR(__xludf.DUMMYFUNCTION("IFERROR(VLOOKUP(F622,IMPORTRANGE(""https://docs.google.com/spreadsheets/d/1Kvs4KS76FHFqLFIZfrDMff4kP08nblUkihrxltoGBjg/edit#gid=934712705"",""ESENCIAL!A6:BG""),5,FALSE))"),"")</f>
        <v/>
      </c>
      <c r="BG608" s="98" t="str">
        <f t="shared" si="21"/>
        <v/>
      </c>
      <c r="BH608" s="99" t="str">
        <f t="shared" si="22"/>
        <v/>
      </c>
      <c r="BI608" s="100" t="str">
        <f ca="1">IFERROR(__xludf.DUMMYFUNCTION("IFERROR(VLOOKUP(F622,IMPORTRANGE(""https://docs.google.com/spreadsheets/d/1Kvs4KS76FHFqLFIZfrDMff4kP08nblUkihrxltoGBjg/edit#gid=934712705"",""ESENCIAL!A6:BG""),2,FALSE))"),"")</f>
        <v/>
      </c>
      <c r="BJ608" s="19" t="str">
        <f t="shared" si="23"/>
        <v/>
      </c>
      <c r="BK608" s="100"/>
      <c r="BL608" s="100"/>
    </row>
    <row r="609" spans="1:64" ht="15">
      <c r="A609" s="5"/>
      <c r="B609" s="5"/>
      <c r="G609" s="5" t="str">
        <f ca="1">IFERROR(__xludf.DUMMYFUNCTION("IFERROR(VLOOKUP(F623,IMPORTRANGE(""https://docs.google.com/spreadsheets/d/1Kvs4KS76FHFqLFIZfrDMff4kP08nblUkihrxltoGBjg/edit#gid=934712705"",""ESENCIAL!A6:BG""),3,FALSE))"),"")</f>
        <v/>
      </c>
      <c r="H609" s="5" t="str">
        <f ca="1">IFERROR(__xludf.DUMMYFUNCTION("IFERROR(VLOOKUP(F623,IMPORTRANGE(""https://docs.google.com/spreadsheets/d/1Kvs4KS76FHFqLFIZfrDMff4kP08nblUkihrxltoGBjg/edit#gid=934712705"",""ESENCIAL!A6:BG""),8,FALSE))"),"")</f>
        <v/>
      </c>
      <c r="L609" s="287"/>
      <c r="U609" s="40"/>
      <c r="AU609" s="41" t="str">
        <f t="shared" si="20"/>
        <v/>
      </c>
      <c r="AV609" s="5" t="str">
        <f ca="1">IFERROR(__xludf.DUMMYFUNCTION("IFERROR(VLOOKUP(E623&amp;F623,IMPORTRANGE(""https://docs.google.com/spreadsheets/d/1Uw7-A9f9R21vMXxHZFNpYNeKFtG8_yji4HS352LGlSQ/edit?pli=1#gid=0"",""1_ACUM!A4:S""),11,FALSE))"),"")</f>
        <v/>
      </c>
      <c r="AW609" s="42" t="str">
        <f ca="1">IFERROR(__xludf.DUMMYFUNCTION("IFERROR(VLOOKUP(F623,IMPORTRANGE(""https://docs.google.com/spreadsheets/d/1Kvs4KS76FHFqLFIZfrDMff4kP08nblUkihrxltoGBjg/edit#gid=934712705"",""ESENCIAL!A6:BG""),15,FALSE))"),"")</f>
        <v/>
      </c>
      <c r="AX609" s="21" t="str">
        <f ca="1">IFERROR(__xludf.DUMMYFUNCTION("IFERROR(VLOOKUP(E623&amp;F623,IMPORTRANGE(""https://docs.google.com/spreadsheets/d/1Uw7-A9f9R21vMXxHZFNpYNeKFtG8_yji4HS352LGlSQ/edit?pli=1#gid=0"",""1_ACUM!A4:S""),12,FALSE))"),"")</f>
        <v/>
      </c>
      <c r="AY609" s="43" t="str">
        <f ca="1">IFERROR(__xludf.DUMMYFUNCTION("IFERROR(VLOOKUP(E623&amp;F623,IMPORTRANGE(""https://docs.google.com/spreadsheets/d/1Uw7-A9f9R21vMXxHZFNpYNeKFtG8_yji4HS352LGlSQ/edit?pli=1#gid=0"",""1_ACUM!A4:S""),13,FALSE))"),"")</f>
        <v/>
      </c>
      <c r="AZ609" s="43" t="str">
        <f ca="1">IFERROR(__xludf.DUMMYFUNCTION("IFERROR(VLOOKUP(E623&amp;F623,IMPORTRANGE(""https://docs.google.com/spreadsheets/d/1Uw7-A9f9R21vMXxHZFNpYNeKFtG8_yji4HS352LGlSQ/edit?pli=1#gid=0"",""1_ACUM!A4:S""),14,FALSE))"),"")</f>
        <v/>
      </c>
      <c r="BA609" s="43" t="str">
        <f ca="1">IFERROR(__xludf.DUMMYFUNCTION("IFERROR(VLOOKUP(E623&amp;F623,IMPORTRANGE(""https://docs.google.com/spreadsheets/d/1Uw7-A9f9R21vMXxHZFNpYNeKFtG8_yji4HS352LGlSQ/edit?pli=1#gid=0"",""1_ACUM!A4:S""),15,FALSE))"),"")</f>
        <v/>
      </c>
      <c r="BB609" s="43" t="str">
        <f ca="1">IFERROR(__xludf.DUMMYFUNCTION("IFERROR(VLOOKUP(E623&amp;F623,IMPORTRANGE(""https://docs.google.com/spreadsheets/d/1Uw7-A9f9R21vMXxHZFNpYNeKFtG8_yji4HS352LGlSQ/edit?pli=1#gid=0"",""1_ACUM!A4:S""),16,FALSE))"),"")</f>
        <v/>
      </c>
      <c r="BC609" s="43" t="str">
        <f ca="1">IFERROR(__xludf.DUMMYFUNCTION("IFERROR(VLOOKUP(E623&amp;F623,IMPORTRANGE(""https://docs.google.com/spreadsheets/d/1Uw7-A9f9R21vMXxHZFNpYNeKFtG8_yji4HS352LGlSQ/edit?pli=1#gid=0"",""1_ACUM!A4:S""),17,FALSE))"),"")</f>
        <v/>
      </c>
      <c r="BD609" s="44" t="str">
        <f ca="1">IFERROR(__xludf.DUMMYFUNCTION("IFERROR(VLOOKUP(E623&amp;F623,IMPORTRANGE(""https://docs.google.com/spreadsheets/d/1Uw7-A9f9R21vMXxHZFNpYNeKFtG8_yji4HS352LGlSQ/edit?pli=1#gid=0"",""1_ACUM!A4:S""),18,FALSE))"),"")</f>
        <v/>
      </c>
      <c r="BE609" s="44" t="str">
        <f ca="1">IFERROR(__xludf.DUMMYFUNCTION("IFERROR(VLOOKUP(E623&amp;F623,IMPORTRANGE(""https://docs.google.com/spreadsheets/d/1Uw7-A9f9R21vMXxHZFNpYNeKFtG8_yji4HS352LGlSQ/edit?pli=1#gid=0"",""1_ACUM!A4:S""),19,FALSE))"),"")</f>
        <v/>
      </c>
      <c r="BF609" s="98" t="str">
        <f ca="1">IFERROR(__xludf.DUMMYFUNCTION("IFERROR(VLOOKUP(F623,IMPORTRANGE(""https://docs.google.com/spreadsheets/d/1Kvs4KS76FHFqLFIZfrDMff4kP08nblUkihrxltoGBjg/edit#gid=934712705"",""ESENCIAL!A6:BG""),5,FALSE))"),"")</f>
        <v/>
      </c>
      <c r="BG609" s="98" t="str">
        <f t="shared" si="21"/>
        <v/>
      </c>
      <c r="BH609" s="99" t="str">
        <f t="shared" si="22"/>
        <v/>
      </c>
      <c r="BI609" s="100" t="str">
        <f ca="1">IFERROR(__xludf.DUMMYFUNCTION("IFERROR(VLOOKUP(F623,IMPORTRANGE(""https://docs.google.com/spreadsheets/d/1Kvs4KS76FHFqLFIZfrDMff4kP08nblUkihrxltoGBjg/edit#gid=934712705"",""ESENCIAL!A6:BG""),2,FALSE))"),"")</f>
        <v/>
      </c>
      <c r="BJ609" s="19" t="str">
        <f t="shared" si="23"/>
        <v/>
      </c>
      <c r="BK609" s="100"/>
      <c r="BL609" s="100"/>
    </row>
    <row r="610" spans="1:64" ht="15">
      <c r="A610" s="5"/>
      <c r="B610" s="5"/>
      <c r="G610" s="5" t="str">
        <f ca="1">IFERROR(__xludf.DUMMYFUNCTION("IFERROR(VLOOKUP(F624,IMPORTRANGE(""https://docs.google.com/spreadsheets/d/1Kvs4KS76FHFqLFIZfrDMff4kP08nblUkihrxltoGBjg/edit#gid=934712705"",""ESENCIAL!A6:BG""),3,FALSE))"),"")</f>
        <v/>
      </c>
      <c r="H610" s="5" t="str">
        <f ca="1">IFERROR(__xludf.DUMMYFUNCTION("IFERROR(VLOOKUP(F624,IMPORTRANGE(""https://docs.google.com/spreadsheets/d/1Kvs4KS76FHFqLFIZfrDMff4kP08nblUkihrxltoGBjg/edit#gid=934712705"",""ESENCIAL!A6:BG""),8,FALSE))"),"")</f>
        <v/>
      </c>
      <c r="L610" s="287"/>
      <c r="U610" s="40"/>
      <c r="AU610" s="41" t="str">
        <f t="shared" si="20"/>
        <v/>
      </c>
      <c r="AV610" s="5" t="str">
        <f ca="1">IFERROR(__xludf.DUMMYFUNCTION("IFERROR(VLOOKUP(E624&amp;F624,IMPORTRANGE(""https://docs.google.com/spreadsheets/d/1Uw7-A9f9R21vMXxHZFNpYNeKFtG8_yji4HS352LGlSQ/edit?pli=1#gid=0"",""1_ACUM!A4:S""),11,FALSE))"),"")</f>
        <v/>
      </c>
      <c r="AW610" s="42" t="str">
        <f ca="1">IFERROR(__xludf.DUMMYFUNCTION("IFERROR(VLOOKUP(F624,IMPORTRANGE(""https://docs.google.com/spreadsheets/d/1Kvs4KS76FHFqLFIZfrDMff4kP08nblUkihrxltoGBjg/edit#gid=934712705"",""ESENCIAL!A6:BG""),15,FALSE))"),"")</f>
        <v/>
      </c>
      <c r="AX610" s="21" t="str">
        <f ca="1">IFERROR(__xludf.DUMMYFUNCTION("IFERROR(VLOOKUP(E624&amp;F624,IMPORTRANGE(""https://docs.google.com/spreadsheets/d/1Uw7-A9f9R21vMXxHZFNpYNeKFtG8_yji4HS352LGlSQ/edit?pli=1#gid=0"",""1_ACUM!A4:S""),12,FALSE))"),"")</f>
        <v/>
      </c>
      <c r="AY610" s="43" t="str">
        <f ca="1">IFERROR(__xludf.DUMMYFUNCTION("IFERROR(VLOOKUP(E624&amp;F624,IMPORTRANGE(""https://docs.google.com/spreadsheets/d/1Uw7-A9f9R21vMXxHZFNpYNeKFtG8_yji4HS352LGlSQ/edit?pli=1#gid=0"",""1_ACUM!A4:S""),13,FALSE))"),"")</f>
        <v/>
      </c>
      <c r="AZ610" s="43" t="str">
        <f ca="1">IFERROR(__xludf.DUMMYFUNCTION("IFERROR(VLOOKUP(E624&amp;F624,IMPORTRANGE(""https://docs.google.com/spreadsheets/d/1Uw7-A9f9R21vMXxHZFNpYNeKFtG8_yji4HS352LGlSQ/edit?pli=1#gid=0"",""1_ACUM!A4:S""),14,FALSE))"),"")</f>
        <v/>
      </c>
      <c r="BA610" s="43" t="str">
        <f ca="1">IFERROR(__xludf.DUMMYFUNCTION("IFERROR(VLOOKUP(E624&amp;F624,IMPORTRANGE(""https://docs.google.com/spreadsheets/d/1Uw7-A9f9R21vMXxHZFNpYNeKFtG8_yji4HS352LGlSQ/edit?pli=1#gid=0"",""1_ACUM!A4:S""),15,FALSE))"),"")</f>
        <v/>
      </c>
      <c r="BB610" s="43" t="str">
        <f ca="1">IFERROR(__xludf.DUMMYFUNCTION("IFERROR(VLOOKUP(E624&amp;F624,IMPORTRANGE(""https://docs.google.com/spreadsheets/d/1Uw7-A9f9R21vMXxHZFNpYNeKFtG8_yji4HS352LGlSQ/edit?pli=1#gid=0"",""1_ACUM!A4:S""),16,FALSE))"),"")</f>
        <v/>
      </c>
      <c r="BC610" s="43" t="str">
        <f ca="1">IFERROR(__xludf.DUMMYFUNCTION("IFERROR(VLOOKUP(E624&amp;F624,IMPORTRANGE(""https://docs.google.com/spreadsheets/d/1Uw7-A9f9R21vMXxHZFNpYNeKFtG8_yji4HS352LGlSQ/edit?pli=1#gid=0"",""1_ACUM!A4:S""),17,FALSE))"),"")</f>
        <v/>
      </c>
      <c r="BD610" s="44" t="str">
        <f ca="1">IFERROR(__xludf.DUMMYFUNCTION("IFERROR(VLOOKUP(E624&amp;F624,IMPORTRANGE(""https://docs.google.com/spreadsheets/d/1Uw7-A9f9R21vMXxHZFNpYNeKFtG8_yji4HS352LGlSQ/edit?pli=1#gid=0"",""1_ACUM!A4:S""),18,FALSE))"),"")</f>
        <v/>
      </c>
      <c r="BE610" s="44" t="str">
        <f ca="1">IFERROR(__xludf.DUMMYFUNCTION("IFERROR(VLOOKUP(E624&amp;F624,IMPORTRANGE(""https://docs.google.com/spreadsheets/d/1Uw7-A9f9R21vMXxHZFNpYNeKFtG8_yji4HS352LGlSQ/edit?pli=1#gid=0"",""1_ACUM!A4:S""),19,FALSE))"),"")</f>
        <v/>
      </c>
      <c r="BF610" s="98" t="str">
        <f ca="1">IFERROR(__xludf.DUMMYFUNCTION("IFERROR(VLOOKUP(F624,IMPORTRANGE(""https://docs.google.com/spreadsheets/d/1Kvs4KS76FHFqLFIZfrDMff4kP08nblUkihrxltoGBjg/edit#gid=934712705"",""ESENCIAL!A6:BG""),5,FALSE))"),"")</f>
        <v/>
      </c>
      <c r="BG610" s="98" t="str">
        <f t="shared" si="21"/>
        <v/>
      </c>
      <c r="BH610" s="99" t="str">
        <f t="shared" si="22"/>
        <v/>
      </c>
      <c r="BI610" s="100" t="str">
        <f ca="1">IFERROR(__xludf.DUMMYFUNCTION("IFERROR(VLOOKUP(F624,IMPORTRANGE(""https://docs.google.com/spreadsheets/d/1Kvs4KS76FHFqLFIZfrDMff4kP08nblUkihrxltoGBjg/edit#gid=934712705"",""ESENCIAL!A6:BG""),2,FALSE))"),"")</f>
        <v/>
      </c>
      <c r="BJ610" s="19" t="str">
        <f t="shared" si="23"/>
        <v/>
      </c>
      <c r="BK610" s="100"/>
      <c r="BL610" s="100"/>
    </row>
    <row r="611" spans="1:64" ht="15">
      <c r="A611" s="5"/>
      <c r="B611" s="5"/>
      <c r="G611" s="5" t="str">
        <f ca="1">IFERROR(__xludf.DUMMYFUNCTION("IFERROR(VLOOKUP(F625,IMPORTRANGE(""https://docs.google.com/spreadsheets/d/1Kvs4KS76FHFqLFIZfrDMff4kP08nblUkihrxltoGBjg/edit#gid=934712705"",""ESENCIAL!A6:BG""),3,FALSE))"),"")</f>
        <v/>
      </c>
      <c r="H611" s="5" t="str">
        <f ca="1">IFERROR(__xludf.DUMMYFUNCTION("IFERROR(VLOOKUP(F625,IMPORTRANGE(""https://docs.google.com/spreadsheets/d/1Kvs4KS76FHFqLFIZfrDMff4kP08nblUkihrxltoGBjg/edit#gid=934712705"",""ESENCIAL!A6:BG""),8,FALSE))"),"")</f>
        <v/>
      </c>
      <c r="L611" s="287"/>
      <c r="U611" s="40"/>
      <c r="AU611" s="41" t="str">
        <f t="shared" si="20"/>
        <v/>
      </c>
      <c r="AV611" s="5" t="str">
        <f ca="1">IFERROR(__xludf.DUMMYFUNCTION("IFERROR(VLOOKUP(E625&amp;F625,IMPORTRANGE(""https://docs.google.com/spreadsheets/d/1Uw7-A9f9R21vMXxHZFNpYNeKFtG8_yji4HS352LGlSQ/edit?pli=1#gid=0"",""1_ACUM!A4:S""),11,FALSE))"),"")</f>
        <v/>
      </c>
      <c r="AW611" s="42" t="str">
        <f ca="1">IFERROR(__xludf.DUMMYFUNCTION("IFERROR(VLOOKUP(F625,IMPORTRANGE(""https://docs.google.com/spreadsheets/d/1Kvs4KS76FHFqLFIZfrDMff4kP08nblUkihrxltoGBjg/edit#gid=934712705"",""ESENCIAL!A6:BG""),15,FALSE))"),"")</f>
        <v/>
      </c>
      <c r="AX611" s="21" t="str">
        <f ca="1">IFERROR(__xludf.DUMMYFUNCTION("IFERROR(VLOOKUP(E625&amp;F625,IMPORTRANGE(""https://docs.google.com/spreadsheets/d/1Uw7-A9f9R21vMXxHZFNpYNeKFtG8_yji4HS352LGlSQ/edit?pli=1#gid=0"",""1_ACUM!A4:S""),12,FALSE))"),"")</f>
        <v/>
      </c>
      <c r="AY611" s="43" t="str">
        <f ca="1">IFERROR(__xludf.DUMMYFUNCTION("IFERROR(VLOOKUP(E625&amp;F625,IMPORTRANGE(""https://docs.google.com/spreadsheets/d/1Uw7-A9f9R21vMXxHZFNpYNeKFtG8_yji4HS352LGlSQ/edit?pli=1#gid=0"",""1_ACUM!A4:S""),13,FALSE))"),"")</f>
        <v/>
      </c>
      <c r="AZ611" s="43" t="str">
        <f ca="1">IFERROR(__xludf.DUMMYFUNCTION("IFERROR(VLOOKUP(E625&amp;F625,IMPORTRANGE(""https://docs.google.com/spreadsheets/d/1Uw7-A9f9R21vMXxHZFNpYNeKFtG8_yji4HS352LGlSQ/edit?pli=1#gid=0"",""1_ACUM!A4:S""),14,FALSE))"),"")</f>
        <v/>
      </c>
      <c r="BA611" s="43" t="str">
        <f ca="1">IFERROR(__xludf.DUMMYFUNCTION("IFERROR(VLOOKUP(E625&amp;F625,IMPORTRANGE(""https://docs.google.com/spreadsheets/d/1Uw7-A9f9R21vMXxHZFNpYNeKFtG8_yji4HS352LGlSQ/edit?pli=1#gid=0"",""1_ACUM!A4:S""),15,FALSE))"),"")</f>
        <v/>
      </c>
      <c r="BB611" s="43" t="str">
        <f ca="1">IFERROR(__xludf.DUMMYFUNCTION("IFERROR(VLOOKUP(E625&amp;F625,IMPORTRANGE(""https://docs.google.com/spreadsheets/d/1Uw7-A9f9R21vMXxHZFNpYNeKFtG8_yji4HS352LGlSQ/edit?pli=1#gid=0"",""1_ACUM!A4:S""),16,FALSE))"),"")</f>
        <v/>
      </c>
      <c r="BC611" s="43" t="str">
        <f ca="1">IFERROR(__xludf.DUMMYFUNCTION("IFERROR(VLOOKUP(E625&amp;F625,IMPORTRANGE(""https://docs.google.com/spreadsheets/d/1Uw7-A9f9R21vMXxHZFNpYNeKFtG8_yji4HS352LGlSQ/edit?pli=1#gid=0"",""1_ACUM!A4:S""),17,FALSE))"),"")</f>
        <v/>
      </c>
      <c r="BD611" s="44" t="str">
        <f ca="1">IFERROR(__xludf.DUMMYFUNCTION("IFERROR(VLOOKUP(E625&amp;F625,IMPORTRANGE(""https://docs.google.com/spreadsheets/d/1Uw7-A9f9R21vMXxHZFNpYNeKFtG8_yji4HS352LGlSQ/edit?pli=1#gid=0"",""1_ACUM!A4:S""),18,FALSE))"),"")</f>
        <v/>
      </c>
      <c r="BE611" s="44" t="str">
        <f ca="1">IFERROR(__xludf.DUMMYFUNCTION("IFERROR(VLOOKUP(E625&amp;F625,IMPORTRANGE(""https://docs.google.com/spreadsheets/d/1Uw7-A9f9R21vMXxHZFNpYNeKFtG8_yji4HS352LGlSQ/edit?pli=1#gid=0"",""1_ACUM!A4:S""),19,FALSE))"),"")</f>
        <v/>
      </c>
      <c r="BF611" s="98" t="str">
        <f ca="1">IFERROR(__xludf.DUMMYFUNCTION("IFERROR(VLOOKUP(F625,IMPORTRANGE(""https://docs.google.com/spreadsheets/d/1Kvs4KS76FHFqLFIZfrDMff4kP08nblUkihrxltoGBjg/edit#gid=934712705"",""ESENCIAL!A6:BG""),5,FALSE))"),"")</f>
        <v/>
      </c>
      <c r="BG611" s="98" t="str">
        <f t="shared" si="21"/>
        <v/>
      </c>
      <c r="BH611" s="99" t="str">
        <f t="shared" si="22"/>
        <v/>
      </c>
      <c r="BI611" s="100" t="str">
        <f ca="1">IFERROR(__xludf.DUMMYFUNCTION("IFERROR(VLOOKUP(F625,IMPORTRANGE(""https://docs.google.com/spreadsheets/d/1Kvs4KS76FHFqLFIZfrDMff4kP08nblUkihrxltoGBjg/edit#gid=934712705"",""ESENCIAL!A6:BG""),2,FALSE))"),"")</f>
        <v/>
      </c>
      <c r="BJ611" s="19" t="str">
        <f t="shared" si="23"/>
        <v/>
      </c>
      <c r="BK611" s="100"/>
      <c r="BL611" s="100"/>
    </row>
    <row r="612" spans="1:64" ht="15">
      <c r="A612" s="5"/>
      <c r="B612" s="5"/>
      <c r="G612" s="5" t="str">
        <f ca="1">IFERROR(__xludf.DUMMYFUNCTION("IFERROR(VLOOKUP(F626,IMPORTRANGE(""https://docs.google.com/spreadsheets/d/1Kvs4KS76FHFqLFIZfrDMff4kP08nblUkihrxltoGBjg/edit#gid=934712705"",""ESENCIAL!A6:BG""),3,FALSE))"),"")</f>
        <v/>
      </c>
      <c r="H612" s="5" t="str">
        <f ca="1">IFERROR(__xludf.DUMMYFUNCTION("IFERROR(VLOOKUP(F626,IMPORTRANGE(""https://docs.google.com/spreadsheets/d/1Kvs4KS76FHFqLFIZfrDMff4kP08nblUkihrxltoGBjg/edit#gid=934712705"",""ESENCIAL!A6:BG""),8,FALSE))"),"")</f>
        <v/>
      </c>
      <c r="L612" s="287"/>
      <c r="U612" s="40"/>
      <c r="AU612" s="41" t="str">
        <f t="shared" si="20"/>
        <v/>
      </c>
      <c r="AV612" s="5" t="str">
        <f ca="1">IFERROR(__xludf.DUMMYFUNCTION("IFERROR(VLOOKUP(E626&amp;F626,IMPORTRANGE(""https://docs.google.com/spreadsheets/d/1Uw7-A9f9R21vMXxHZFNpYNeKFtG8_yji4HS352LGlSQ/edit?pli=1#gid=0"",""1_ACUM!A4:S""),11,FALSE))"),"")</f>
        <v/>
      </c>
      <c r="AW612" s="42" t="str">
        <f ca="1">IFERROR(__xludf.DUMMYFUNCTION("IFERROR(VLOOKUP(F626,IMPORTRANGE(""https://docs.google.com/spreadsheets/d/1Kvs4KS76FHFqLFIZfrDMff4kP08nblUkihrxltoGBjg/edit#gid=934712705"",""ESENCIAL!A6:BG""),15,FALSE))"),"")</f>
        <v/>
      </c>
      <c r="AX612" s="21" t="str">
        <f ca="1">IFERROR(__xludf.DUMMYFUNCTION("IFERROR(VLOOKUP(E626&amp;F626,IMPORTRANGE(""https://docs.google.com/spreadsheets/d/1Uw7-A9f9R21vMXxHZFNpYNeKFtG8_yji4HS352LGlSQ/edit?pli=1#gid=0"",""1_ACUM!A4:S""),12,FALSE))"),"")</f>
        <v/>
      </c>
      <c r="AY612" s="43" t="str">
        <f ca="1">IFERROR(__xludf.DUMMYFUNCTION("IFERROR(VLOOKUP(E626&amp;F626,IMPORTRANGE(""https://docs.google.com/spreadsheets/d/1Uw7-A9f9R21vMXxHZFNpYNeKFtG8_yji4HS352LGlSQ/edit?pli=1#gid=0"",""1_ACUM!A4:S""),13,FALSE))"),"")</f>
        <v/>
      </c>
      <c r="AZ612" s="43" t="str">
        <f ca="1">IFERROR(__xludf.DUMMYFUNCTION("IFERROR(VLOOKUP(E626&amp;F626,IMPORTRANGE(""https://docs.google.com/spreadsheets/d/1Uw7-A9f9R21vMXxHZFNpYNeKFtG8_yji4HS352LGlSQ/edit?pli=1#gid=0"",""1_ACUM!A4:S""),14,FALSE))"),"")</f>
        <v/>
      </c>
      <c r="BA612" s="43" t="str">
        <f ca="1">IFERROR(__xludf.DUMMYFUNCTION("IFERROR(VLOOKUP(E626&amp;F626,IMPORTRANGE(""https://docs.google.com/spreadsheets/d/1Uw7-A9f9R21vMXxHZFNpYNeKFtG8_yji4HS352LGlSQ/edit?pli=1#gid=0"",""1_ACUM!A4:S""),15,FALSE))"),"")</f>
        <v/>
      </c>
      <c r="BB612" s="43" t="str">
        <f ca="1">IFERROR(__xludf.DUMMYFUNCTION("IFERROR(VLOOKUP(E626&amp;F626,IMPORTRANGE(""https://docs.google.com/spreadsheets/d/1Uw7-A9f9R21vMXxHZFNpYNeKFtG8_yji4HS352LGlSQ/edit?pli=1#gid=0"",""1_ACUM!A4:S""),16,FALSE))"),"")</f>
        <v/>
      </c>
      <c r="BC612" s="43" t="str">
        <f ca="1">IFERROR(__xludf.DUMMYFUNCTION("IFERROR(VLOOKUP(E626&amp;F626,IMPORTRANGE(""https://docs.google.com/spreadsheets/d/1Uw7-A9f9R21vMXxHZFNpYNeKFtG8_yji4HS352LGlSQ/edit?pli=1#gid=0"",""1_ACUM!A4:S""),17,FALSE))"),"")</f>
        <v/>
      </c>
      <c r="BD612" s="44" t="str">
        <f ca="1">IFERROR(__xludf.DUMMYFUNCTION("IFERROR(VLOOKUP(E626&amp;F626,IMPORTRANGE(""https://docs.google.com/spreadsheets/d/1Uw7-A9f9R21vMXxHZFNpYNeKFtG8_yji4HS352LGlSQ/edit?pli=1#gid=0"",""1_ACUM!A4:S""),18,FALSE))"),"")</f>
        <v/>
      </c>
      <c r="BE612" s="44" t="str">
        <f ca="1">IFERROR(__xludf.DUMMYFUNCTION("IFERROR(VLOOKUP(E626&amp;F626,IMPORTRANGE(""https://docs.google.com/spreadsheets/d/1Uw7-A9f9R21vMXxHZFNpYNeKFtG8_yji4HS352LGlSQ/edit?pli=1#gid=0"",""1_ACUM!A4:S""),19,FALSE))"),"")</f>
        <v/>
      </c>
      <c r="BF612" s="98" t="str">
        <f ca="1">IFERROR(__xludf.DUMMYFUNCTION("IFERROR(VLOOKUP(F626,IMPORTRANGE(""https://docs.google.com/spreadsheets/d/1Kvs4KS76FHFqLFIZfrDMff4kP08nblUkihrxltoGBjg/edit#gid=934712705"",""ESENCIAL!A6:BG""),5,FALSE))"),"")</f>
        <v/>
      </c>
      <c r="BG612" s="98" t="str">
        <f t="shared" si="21"/>
        <v/>
      </c>
      <c r="BH612" s="99" t="str">
        <f t="shared" si="22"/>
        <v/>
      </c>
      <c r="BI612" s="100" t="str">
        <f ca="1">IFERROR(__xludf.DUMMYFUNCTION("IFERROR(VLOOKUP(F626,IMPORTRANGE(""https://docs.google.com/spreadsheets/d/1Kvs4KS76FHFqLFIZfrDMff4kP08nblUkihrxltoGBjg/edit#gid=934712705"",""ESENCIAL!A6:BG""),2,FALSE))"),"")</f>
        <v/>
      </c>
      <c r="BJ612" s="19" t="str">
        <f t="shared" si="23"/>
        <v/>
      </c>
      <c r="BK612" s="100"/>
      <c r="BL612" s="100"/>
    </row>
    <row r="613" spans="1:64" ht="15">
      <c r="A613" s="5"/>
      <c r="B613" s="5"/>
      <c r="G613" s="5" t="str">
        <f ca="1">IFERROR(__xludf.DUMMYFUNCTION("IFERROR(VLOOKUP(F627,IMPORTRANGE(""https://docs.google.com/spreadsheets/d/1Kvs4KS76FHFqLFIZfrDMff4kP08nblUkihrxltoGBjg/edit#gid=934712705"",""ESENCIAL!A6:BG""),3,FALSE))"),"")</f>
        <v/>
      </c>
      <c r="H613" s="5" t="str">
        <f ca="1">IFERROR(__xludf.DUMMYFUNCTION("IFERROR(VLOOKUP(F627,IMPORTRANGE(""https://docs.google.com/spreadsheets/d/1Kvs4KS76FHFqLFIZfrDMff4kP08nblUkihrxltoGBjg/edit#gid=934712705"",""ESENCIAL!A6:BG""),8,FALSE))"),"")</f>
        <v/>
      </c>
      <c r="L613" s="287"/>
      <c r="U613" s="40"/>
      <c r="AU613" s="41" t="str">
        <f t="shared" si="20"/>
        <v/>
      </c>
      <c r="AV613" s="5" t="str">
        <f ca="1">IFERROR(__xludf.DUMMYFUNCTION("IFERROR(VLOOKUP(E627&amp;F627,IMPORTRANGE(""https://docs.google.com/spreadsheets/d/1Uw7-A9f9R21vMXxHZFNpYNeKFtG8_yji4HS352LGlSQ/edit?pli=1#gid=0"",""1_ACUM!A4:S""),11,FALSE))"),"")</f>
        <v/>
      </c>
      <c r="AW613" s="42" t="str">
        <f ca="1">IFERROR(__xludf.DUMMYFUNCTION("IFERROR(VLOOKUP(F627,IMPORTRANGE(""https://docs.google.com/spreadsheets/d/1Kvs4KS76FHFqLFIZfrDMff4kP08nblUkihrxltoGBjg/edit#gid=934712705"",""ESENCIAL!A6:BG""),15,FALSE))"),"")</f>
        <v/>
      </c>
      <c r="AX613" s="21" t="str">
        <f ca="1">IFERROR(__xludf.DUMMYFUNCTION("IFERROR(VLOOKUP(E627&amp;F627,IMPORTRANGE(""https://docs.google.com/spreadsheets/d/1Uw7-A9f9R21vMXxHZFNpYNeKFtG8_yji4HS352LGlSQ/edit?pli=1#gid=0"",""1_ACUM!A4:S""),12,FALSE))"),"")</f>
        <v/>
      </c>
      <c r="AY613" s="43" t="str">
        <f ca="1">IFERROR(__xludf.DUMMYFUNCTION("IFERROR(VLOOKUP(E627&amp;F627,IMPORTRANGE(""https://docs.google.com/spreadsheets/d/1Uw7-A9f9R21vMXxHZFNpYNeKFtG8_yji4HS352LGlSQ/edit?pli=1#gid=0"",""1_ACUM!A4:S""),13,FALSE))"),"")</f>
        <v/>
      </c>
      <c r="AZ613" s="43" t="str">
        <f ca="1">IFERROR(__xludf.DUMMYFUNCTION("IFERROR(VLOOKUP(E627&amp;F627,IMPORTRANGE(""https://docs.google.com/spreadsheets/d/1Uw7-A9f9R21vMXxHZFNpYNeKFtG8_yji4HS352LGlSQ/edit?pli=1#gid=0"",""1_ACUM!A4:S""),14,FALSE))"),"")</f>
        <v/>
      </c>
      <c r="BA613" s="43" t="str">
        <f ca="1">IFERROR(__xludf.DUMMYFUNCTION("IFERROR(VLOOKUP(E627&amp;F627,IMPORTRANGE(""https://docs.google.com/spreadsheets/d/1Uw7-A9f9R21vMXxHZFNpYNeKFtG8_yji4HS352LGlSQ/edit?pli=1#gid=0"",""1_ACUM!A4:S""),15,FALSE))"),"")</f>
        <v/>
      </c>
      <c r="BB613" s="43" t="str">
        <f ca="1">IFERROR(__xludf.DUMMYFUNCTION("IFERROR(VLOOKUP(E627&amp;F627,IMPORTRANGE(""https://docs.google.com/spreadsheets/d/1Uw7-A9f9R21vMXxHZFNpYNeKFtG8_yji4HS352LGlSQ/edit?pli=1#gid=0"",""1_ACUM!A4:S""),16,FALSE))"),"")</f>
        <v/>
      </c>
      <c r="BC613" s="43" t="str">
        <f ca="1">IFERROR(__xludf.DUMMYFUNCTION("IFERROR(VLOOKUP(E627&amp;F627,IMPORTRANGE(""https://docs.google.com/spreadsheets/d/1Uw7-A9f9R21vMXxHZFNpYNeKFtG8_yji4HS352LGlSQ/edit?pli=1#gid=0"",""1_ACUM!A4:S""),17,FALSE))"),"")</f>
        <v/>
      </c>
      <c r="BD613" s="44" t="str">
        <f ca="1">IFERROR(__xludf.DUMMYFUNCTION("IFERROR(VLOOKUP(E627&amp;F627,IMPORTRANGE(""https://docs.google.com/spreadsheets/d/1Uw7-A9f9R21vMXxHZFNpYNeKFtG8_yji4HS352LGlSQ/edit?pli=1#gid=0"",""1_ACUM!A4:S""),18,FALSE))"),"")</f>
        <v/>
      </c>
      <c r="BE613" s="44" t="str">
        <f ca="1">IFERROR(__xludf.DUMMYFUNCTION("IFERROR(VLOOKUP(E627&amp;F627,IMPORTRANGE(""https://docs.google.com/spreadsheets/d/1Uw7-A9f9R21vMXxHZFNpYNeKFtG8_yji4HS352LGlSQ/edit?pli=1#gid=0"",""1_ACUM!A4:S""),19,FALSE))"),"")</f>
        <v/>
      </c>
      <c r="BF613" s="98" t="str">
        <f ca="1">IFERROR(__xludf.DUMMYFUNCTION("IFERROR(VLOOKUP(F627,IMPORTRANGE(""https://docs.google.com/spreadsheets/d/1Kvs4KS76FHFqLFIZfrDMff4kP08nblUkihrxltoGBjg/edit#gid=934712705"",""ESENCIAL!A6:BG""),5,FALSE))"),"")</f>
        <v/>
      </c>
      <c r="BG613" s="98" t="str">
        <f t="shared" si="21"/>
        <v/>
      </c>
      <c r="BH613" s="99" t="str">
        <f t="shared" si="22"/>
        <v/>
      </c>
      <c r="BI613" s="100" t="str">
        <f ca="1">IFERROR(__xludf.DUMMYFUNCTION("IFERROR(VLOOKUP(F627,IMPORTRANGE(""https://docs.google.com/spreadsheets/d/1Kvs4KS76FHFqLFIZfrDMff4kP08nblUkihrxltoGBjg/edit#gid=934712705"",""ESENCIAL!A6:BG""),2,FALSE))"),"")</f>
        <v/>
      </c>
      <c r="BJ613" s="19" t="str">
        <f t="shared" si="23"/>
        <v/>
      </c>
      <c r="BK613" s="100"/>
      <c r="BL613" s="100"/>
    </row>
    <row r="614" spans="1:64" ht="15">
      <c r="A614" s="5"/>
      <c r="B614" s="5"/>
      <c r="G614" s="5" t="str">
        <f ca="1">IFERROR(__xludf.DUMMYFUNCTION("IFERROR(VLOOKUP(F628,IMPORTRANGE(""https://docs.google.com/spreadsheets/d/1Kvs4KS76FHFqLFIZfrDMff4kP08nblUkihrxltoGBjg/edit#gid=934712705"",""ESENCIAL!A6:BG""),3,FALSE))"),"")</f>
        <v/>
      </c>
      <c r="H614" s="5" t="str">
        <f ca="1">IFERROR(__xludf.DUMMYFUNCTION("IFERROR(VLOOKUP(F628,IMPORTRANGE(""https://docs.google.com/spreadsheets/d/1Kvs4KS76FHFqLFIZfrDMff4kP08nblUkihrxltoGBjg/edit#gid=934712705"",""ESENCIAL!A6:BG""),8,FALSE))"),"")</f>
        <v/>
      </c>
      <c r="L614" s="287"/>
      <c r="U614" s="40"/>
      <c r="AU614" s="41" t="str">
        <f t="shared" si="20"/>
        <v/>
      </c>
      <c r="AV614" s="5" t="str">
        <f ca="1">IFERROR(__xludf.DUMMYFUNCTION("IFERROR(VLOOKUP(E628&amp;F628,IMPORTRANGE(""https://docs.google.com/spreadsheets/d/1Uw7-A9f9R21vMXxHZFNpYNeKFtG8_yji4HS352LGlSQ/edit?pli=1#gid=0"",""1_ACUM!A4:S""),11,FALSE))"),"")</f>
        <v/>
      </c>
      <c r="AW614" s="42" t="str">
        <f ca="1">IFERROR(__xludf.DUMMYFUNCTION("IFERROR(VLOOKUP(F628,IMPORTRANGE(""https://docs.google.com/spreadsheets/d/1Kvs4KS76FHFqLFIZfrDMff4kP08nblUkihrxltoGBjg/edit#gid=934712705"",""ESENCIAL!A6:BG""),15,FALSE))"),"")</f>
        <v/>
      </c>
      <c r="AX614" s="21" t="str">
        <f ca="1">IFERROR(__xludf.DUMMYFUNCTION("IFERROR(VLOOKUP(E628&amp;F628,IMPORTRANGE(""https://docs.google.com/spreadsheets/d/1Uw7-A9f9R21vMXxHZFNpYNeKFtG8_yji4HS352LGlSQ/edit?pli=1#gid=0"",""1_ACUM!A4:S""),12,FALSE))"),"")</f>
        <v/>
      </c>
      <c r="AY614" s="43" t="str">
        <f ca="1">IFERROR(__xludf.DUMMYFUNCTION("IFERROR(VLOOKUP(E628&amp;F628,IMPORTRANGE(""https://docs.google.com/spreadsheets/d/1Uw7-A9f9R21vMXxHZFNpYNeKFtG8_yji4HS352LGlSQ/edit?pli=1#gid=0"",""1_ACUM!A4:S""),13,FALSE))"),"")</f>
        <v/>
      </c>
      <c r="AZ614" s="43" t="str">
        <f ca="1">IFERROR(__xludf.DUMMYFUNCTION("IFERROR(VLOOKUP(E628&amp;F628,IMPORTRANGE(""https://docs.google.com/spreadsheets/d/1Uw7-A9f9R21vMXxHZFNpYNeKFtG8_yji4HS352LGlSQ/edit?pli=1#gid=0"",""1_ACUM!A4:S""),14,FALSE))"),"")</f>
        <v/>
      </c>
      <c r="BA614" s="43" t="str">
        <f ca="1">IFERROR(__xludf.DUMMYFUNCTION("IFERROR(VLOOKUP(E628&amp;F628,IMPORTRANGE(""https://docs.google.com/spreadsheets/d/1Uw7-A9f9R21vMXxHZFNpYNeKFtG8_yji4HS352LGlSQ/edit?pli=1#gid=0"",""1_ACUM!A4:S""),15,FALSE))"),"")</f>
        <v/>
      </c>
      <c r="BB614" s="43" t="str">
        <f ca="1">IFERROR(__xludf.DUMMYFUNCTION("IFERROR(VLOOKUP(E628&amp;F628,IMPORTRANGE(""https://docs.google.com/spreadsheets/d/1Uw7-A9f9R21vMXxHZFNpYNeKFtG8_yji4HS352LGlSQ/edit?pli=1#gid=0"",""1_ACUM!A4:S""),16,FALSE))"),"")</f>
        <v/>
      </c>
      <c r="BC614" s="43" t="str">
        <f ca="1">IFERROR(__xludf.DUMMYFUNCTION("IFERROR(VLOOKUP(E628&amp;F628,IMPORTRANGE(""https://docs.google.com/spreadsheets/d/1Uw7-A9f9R21vMXxHZFNpYNeKFtG8_yji4HS352LGlSQ/edit?pli=1#gid=0"",""1_ACUM!A4:S""),17,FALSE))"),"")</f>
        <v/>
      </c>
      <c r="BD614" s="44" t="str">
        <f ca="1">IFERROR(__xludf.DUMMYFUNCTION("IFERROR(VLOOKUP(E628&amp;F628,IMPORTRANGE(""https://docs.google.com/spreadsheets/d/1Uw7-A9f9R21vMXxHZFNpYNeKFtG8_yji4HS352LGlSQ/edit?pli=1#gid=0"",""1_ACUM!A4:S""),18,FALSE))"),"")</f>
        <v/>
      </c>
      <c r="BE614" s="44" t="str">
        <f ca="1">IFERROR(__xludf.DUMMYFUNCTION("IFERROR(VLOOKUP(E628&amp;F628,IMPORTRANGE(""https://docs.google.com/spreadsheets/d/1Uw7-A9f9R21vMXxHZFNpYNeKFtG8_yji4HS352LGlSQ/edit?pli=1#gid=0"",""1_ACUM!A4:S""),19,FALSE))"),"")</f>
        <v/>
      </c>
      <c r="BF614" s="98" t="str">
        <f ca="1">IFERROR(__xludf.DUMMYFUNCTION("IFERROR(VLOOKUP(F628,IMPORTRANGE(""https://docs.google.com/spreadsheets/d/1Kvs4KS76FHFqLFIZfrDMff4kP08nblUkihrxltoGBjg/edit#gid=934712705"",""ESENCIAL!A6:BG""),5,FALSE))"),"")</f>
        <v/>
      </c>
      <c r="BG614" s="98" t="str">
        <f t="shared" si="21"/>
        <v/>
      </c>
      <c r="BH614" s="99" t="str">
        <f t="shared" si="22"/>
        <v/>
      </c>
      <c r="BI614" s="100" t="str">
        <f ca="1">IFERROR(__xludf.DUMMYFUNCTION("IFERROR(VLOOKUP(F628,IMPORTRANGE(""https://docs.google.com/spreadsheets/d/1Kvs4KS76FHFqLFIZfrDMff4kP08nblUkihrxltoGBjg/edit#gid=934712705"",""ESENCIAL!A6:BG""),2,FALSE))"),"")</f>
        <v/>
      </c>
      <c r="BJ614" s="19" t="str">
        <f t="shared" si="23"/>
        <v/>
      </c>
      <c r="BK614" s="100"/>
      <c r="BL614" s="100"/>
    </row>
    <row r="615" spans="1:64" ht="15">
      <c r="A615" s="5"/>
      <c r="B615" s="5"/>
      <c r="G615" s="5" t="str">
        <f ca="1">IFERROR(__xludf.DUMMYFUNCTION("IFERROR(VLOOKUP(F629,IMPORTRANGE(""https://docs.google.com/spreadsheets/d/1Kvs4KS76FHFqLFIZfrDMff4kP08nblUkihrxltoGBjg/edit#gid=934712705"",""ESENCIAL!A6:BG""),3,FALSE))"),"")</f>
        <v/>
      </c>
      <c r="H615" s="5" t="str">
        <f ca="1">IFERROR(__xludf.DUMMYFUNCTION("IFERROR(VLOOKUP(F629,IMPORTRANGE(""https://docs.google.com/spreadsheets/d/1Kvs4KS76FHFqLFIZfrDMff4kP08nblUkihrxltoGBjg/edit#gid=934712705"",""ESENCIAL!A6:BG""),8,FALSE))"),"")</f>
        <v/>
      </c>
      <c r="L615" s="287"/>
      <c r="U615" s="40"/>
      <c r="AU615" s="41" t="str">
        <f t="shared" si="20"/>
        <v/>
      </c>
      <c r="AV615" s="5" t="str">
        <f ca="1">IFERROR(__xludf.DUMMYFUNCTION("IFERROR(VLOOKUP(E629&amp;F629,IMPORTRANGE(""https://docs.google.com/spreadsheets/d/1Uw7-A9f9R21vMXxHZFNpYNeKFtG8_yji4HS352LGlSQ/edit?pli=1#gid=0"",""1_ACUM!A4:S""),11,FALSE))"),"")</f>
        <v/>
      </c>
      <c r="AW615" s="42" t="str">
        <f ca="1">IFERROR(__xludf.DUMMYFUNCTION("IFERROR(VLOOKUP(F629,IMPORTRANGE(""https://docs.google.com/spreadsheets/d/1Kvs4KS76FHFqLFIZfrDMff4kP08nblUkihrxltoGBjg/edit#gid=934712705"",""ESENCIAL!A6:BG""),15,FALSE))"),"")</f>
        <v/>
      </c>
      <c r="AX615" s="21" t="str">
        <f ca="1">IFERROR(__xludf.DUMMYFUNCTION("IFERROR(VLOOKUP(E629&amp;F629,IMPORTRANGE(""https://docs.google.com/spreadsheets/d/1Uw7-A9f9R21vMXxHZFNpYNeKFtG8_yji4HS352LGlSQ/edit?pli=1#gid=0"",""1_ACUM!A4:S""),12,FALSE))"),"")</f>
        <v/>
      </c>
      <c r="AY615" s="43" t="str">
        <f ca="1">IFERROR(__xludf.DUMMYFUNCTION("IFERROR(VLOOKUP(E629&amp;F629,IMPORTRANGE(""https://docs.google.com/spreadsheets/d/1Uw7-A9f9R21vMXxHZFNpYNeKFtG8_yji4HS352LGlSQ/edit?pli=1#gid=0"",""1_ACUM!A4:S""),13,FALSE))"),"")</f>
        <v/>
      </c>
      <c r="AZ615" s="43" t="str">
        <f ca="1">IFERROR(__xludf.DUMMYFUNCTION("IFERROR(VLOOKUP(E629&amp;F629,IMPORTRANGE(""https://docs.google.com/spreadsheets/d/1Uw7-A9f9R21vMXxHZFNpYNeKFtG8_yji4HS352LGlSQ/edit?pli=1#gid=0"",""1_ACUM!A4:S""),14,FALSE))"),"")</f>
        <v/>
      </c>
      <c r="BA615" s="43" t="str">
        <f ca="1">IFERROR(__xludf.DUMMYFUNCTION("IFERROR(VLOOKUP(E629&amp;F629,IMPORTRANGE(""https://docs.google.com/spreadsheets/d/1Uw7-A9f9R21vMXxHZFNpYNeKFtG8_yji4HS352LGlSQ/edit?pli=1#gid=0"",""1_ACUM!A4:S""),15,FALSE))"),"")</f>
        <v/>
      </c>
      <c r="BB615" s="43" t="str">
        <f ca="1">IFERROR(__xludf.DUMMYFUNCTION("IFERROR(VLOOKUP(E629&amp;F629,IMPORTRANGE(""https://docs.google.com/spreadsheets/d/1Uw7-A9f9R21vMXxHZFNpYNeKFtG8_yji4HS352LGlSQ/edit?pli=1#gid=0"",""1_ACUM!A4:S""),16,FALSE))"),"")</f>
        <v/>
      </c>
      <c r="BC615" s="43" t="str">
        <f ca="1">IFERROR(__xludf.DUMMYFUNCTION("IFERROR(VLOOKUP(E629&amp;F629,IMPORTRANGE(""https://docs.google.com/spreadsheets/d/1Uw7-A9f9R21vMXxHZFNpYNeKFtG8_yji4HS352LGlSQ/edit?pli=1#gid=0"",""1_ACUM!A4:S""),17,FALSE))"),"")</f>
        <v/>
      </c>
      <c r="BD615" s="44" t="str">
        <f ca="1">IFERROR(__xludf.DUMMYFUNCTION("IFERROR(VLOOKUP(E629&amp;F629,IMPORTRANGE(""https://docs.google.com/spreadsheets/d/1Uw7-A9f9R21vMXxHZFNpYNeKFtG8_yji4HS352LGlSQ/edit?pli=1#gid=0"",""1_ACUM!A4:S""),18,FALSE))"),"")</f>
        <v/>
      </c>
      <c r="BE615" s="44" t="str">
        <f ca="1">IFERROR(__xludf.DUMMYFUNCTION("IFERROR(VLOOKUP(E629&amp;F629,IMPORTRANGE(""https://docs.google.com/spreadsheets/d/1Uw7-A9f9R21vMXxHZFNpYNeKFtG8_yji4HS352LGlSQ/edit?pli=1#gid=0"",""1_ACUM!A4:S""),19,FALSE))"),"")</f>
        <v/>
      </c>
      <c r="BF615" s="98" t="str">
        <f ca="1">IFERROR(__xludf.DUMMYFUNCTION("IFERROR(VLOOKUP(F629,IMPORTRANGE(""https://docs.google.com/spreadsheets/d/1Kvs4KS76FHFqLFIZfrDMff4kP08nblUkihrxltoGBjg/edit#gid=934712705"",""ESENCIAL!A6:BG""),5,FALSE))"),"")</f>
        <v/>
      </c>
      <c r="BG615" s="98" t="str">
        <f t="shared" si="21"/>
        <v/>
      </c>
      <c r="BH615" s="99" t="str">
        <f t="shared" si="22"/>
        <v/>
      </c>
      <c r="BI615" s="100" t="str">
        <f ca="1">IFERROR(__xludf.DUMMYFUNCTION("IFERROR(VLOOKUP(F629,IMPORTRANGE(""https://docs.google.com/spreadsheets/d/1Kvs4KS76FHFqLFIZfrDMff4kP08nblUkihrxltoGBjg/edit#gid=934712705"",""ESENCIAL!A6:BG""),2,FALSE))"),"")</f>
        <v/>
      </c>
      <c r="BJ615" s="19" t="str">
        <f t="shared" si="23"/>
        <v/>
      </c>
      <c r="BK615" s="100"/>
      <c r="BL615" s="100"/>
    </row>
    <row r="616" spans="1:64" ht="15">
      <c r="A616" s="5"/>
      <c r="B616" s="5"/>
      <c r="G616" s="5" t="str">
        <f ca="1">IFERROR(__xludf.DUMMYFUNCTION("IFERROR(VLOOKUP(F630,IMPORTRANGE(""https://docs.google.com/spreadsheets/d/1Kvs4KS76FHFqLFIZfrDMff4kP08nblUkihrxltoGBjg/edit#gid=934712705"",""ESENCIAL!A6:BG""),3,FALSE))"),"")</f>
        <v/>
      </c>
      <c r="H616" s="5" t="str">
        <f ca="1">IFERROR(__xludf.DUMMYFUNCTION("IFERROR(VLOOKUP(F630,IMPORTRANGE(""https://docs.google.com/spreadsheets/d/1Kvs4KS76FHFqLFIZfrDMff4kP08nblUkihrxltoGBjg/edit#gid=934712705"",""ESENCIAL!A6:BG""),8,FALSE))"),"")</f>
        <v/>
      </c>
      <c r="L616" s="287"/>
      <c r="U616" s="40"/>
      <c r="AU616" s="41" t="str">
        <f t="shared" si="20"/>
        <v/>
      </c>
      <c r="AV616" s="5" t="str">
        <f ca="1">IFERROR(__xludf.DUMMYFUNCTION("IFERROR(VLOOKUP(E630&amp;F630,IMPORTRANGE(""https://docs.google.com/spreadsheets/d/1Uw7-A9f9R21vMXxHZFNpYNeKFtG8_yji4HS352LGlSQ/edit?pli=1#gid=0"",""1_ACUM!A4:S""),11,FALSE))"),"")</f>
        <v/>
      </c>
      <c r="AW616" s="42" t="str">
        <f ca="1">IFERROR(__xludf.DUMMYFUNCTION("IFERROR(VLOOKUP(F630,IMPORTRANGE(""https://docs.google.com/spreadsheets/d/1Kvs4KS76FHFqLFIZfrDMff4kP08nblUkihrxltoGBjg/edit#gid=934712705"",""ESENCIAL!A6:BG""),15,FALSE))"),"")</f>
        <v/>
      </c>
      <c r="AX616" s="21" t="str">
        <f ca="1">IFERROR(__xludf.DUMMYFUNCTION("IFERROR(VLOOKUP(E630&amp;F630,IMPORTRANGE(""https://docs.google.com/spreadsheets/d/1Uw7-A9f9R21vMXxHZFNpYNeKFtG8_yji4HS352LGlSQ/edit?pli=1#gid=0"",""1_ACUM!A4:S""),12,FALSE))"),"")</f>
        <v/>
      </c>
      <c r="AY616" s="43" t="str">
        <f ca="1">IFERROR(__xludf.DUMMYFUNCTION("IFERROR(VLOOKUP(E630&amp;F630,IMPORTRANGE(""https://docs.google.com/spreadsheets/d/1Uw7-A9f9R21vMXxHZFNpYNeKFtG8_yji4HS352LGlSQ/edit?pli=1#gid=0"",""1_ACUM!A4:S""),13,FALSE))"),"")</f>
        <v/>
      </c>
      <c r="AZ616" s="43" t="str">
        <f ca="1">IFERROR(__xludf.DUMMYFUNCTION("IFERROR(VLOOKUP(E630&amp;F630,IMPORTRANGE(""https://docs.google.com/spreadsheets/d/1Uw7-A9f9R21vMXxHZFNpYNeKFtG8_yji4HS352LGlSQ/edit?pli=1#gid=0"",""1_ACUM!A4:S""),14,FALSE))"),"")</f>
        <v/>
      </c>
      <c r="BA616" s="43" t="str">
        <f ca="1">IFERROR(__xludf.DUMMYFUNCTION("IFERROR(VLOOKUP(E630&amp;F630,IMPORTRANGE(""https://docs.google.com/spreadsheets/d/1Uw7-A9f9R21vMXxHZFNpYNeKFtG8_yji4HS352LGlSQ/edit?pli=1#gid=0"",""1_ACUM!A4:S""),15,FALSE))"),"")</f>
        <v/>
      </c>
      <c r="BB616" s="43" t="str">
        <f ca="1">IFERROR(__xludf.DUMMYFUNCTION("IFERROR(VLOOKUP(E630&amp;F630,IMPORTRANGE(""https://docs.google.com/spreadsheets/d/1Uw7-A9f9R21vMXxHZFNpYNeKFtG8_yji4HS352LGlSQ/edit?pli=1#gid=0"",""1_ACUM!A4:S""),16,FALSE))"),"")</f>
        <v/>
      </c>
      <c r="BC616" s="43" t="str">
        <f ca="1">IFERROR(__xludf.DUMMYFUNCTION("IFERROR(VLOOKUP(E630&amp;F630,IMPORTRANGE(""https://docs.google.com/spreadsheets/d/1Uw7-A9f9R21vMXxHZFNpYNeKFtG8_yji4HS352LGlSQ/edit?pli=1#gid=0"",""1_ACUM!A4:S""),17,FALSE))"),"")</f>
        <v/>
      </c>
      <c r="BD616" s="44" t="str">
        <f ca="1">IFERROR(__xludf.DUMMYFUNCTION("IFERROR(VLOOKUP(E630&amp;F630,IMPORTRANGE(""https://docs.google.com/spreadsheets/d/1Uw7-A9f9R21vMXxHZFNpYNeKFtG8_yji4HS352LGlSQ/edit?pli=1#gid=0"",""1_ACUM!A4:S""),18,FALSE))"),"")</f>
        <v/>
      </c>
      <c r="BE616" s="44" t="str">
        <f ca="1">IFERROR(__xludf.DUMMYFUNCTION("IFERROR(VLOOKUP(E630&amp;F630,IMPORTRANGE(""https://docs.google.com/spreadsheets/d/1Uw7-A9f9R21vMXxHZFNpYNeKFtG8_yji4HS352LGlSQ/edit?pli=1#gid=0"",""1_ACUM!A4:S""),19,FALSE))"),"")</f>
        <v/>
      </c>
      <c r="BF616" s="98" t="str">
        <f ca="1">IFERROR(__xludf.DUMMYFUNCTION("IFERROR(VLOOKUP(F630,IMPORTRANGE(""https://docs.google.com/spreadsheets/d/1Kvs4KS76FHFqLFIZfrDMff4kP08nblUkihrxltoGBjg/edit#gid=934712705"",""ESENCIAL!A6:BG""),5,FALSE))"),"")</f>
        <v/>
      </c>
      <c r="BG616" s="98" t="str">
        <f t="shared" si="21"/>
        <v/>
      </c>
      <c r="BH616" s="99" t="str">
        <f t="shared" si="22"/>
        <v/>
      </c>
      <c r="BI616" s="100" t="str">
        <f ca="1">IFERROR(__xludf.DUMMYFUNCTION("IFERROR(VLOOKUP(F630,IMPORTRANGE(""https://docs.google.com/spreadsheets/d/1Kvs4KS76FHFqLFIZfrDMff4kP08nblUkihrxltoGBjg/edit#gid=934712705"",""ESENCIAL!A6:BG""),2,FALSE))"),"")</f>
        <v/>
      </c>
      <c r="BJ616" s="19" t="str">
        <f t="shared" si="23"/>
        <v/>
      </c>
      <c r="BK616" s="100"/>
      <c r="BL616" s="100"/>
    </row>
    <row r="617" spans="1:64" ht="15">
      <c r="A617" s="5"/>
      <c r="B617" s="5"/>
      <c r="G617" s="5" t="str">
        <f ca="1">IFERROR(__xludf.DUMMYFUNCTION("IFERROR(VLOOKUP(F631,IMPORTRANGE(""https://docs.google.com/spreadsheets/d/1Kvs4KS76FHFqLFIZfrDMff4kP08nblUkihrxltoGBjg/edit#gid=934712705"",""ESENCIAL!A6:BG""),3,FALSE))"),"")</f>
        <v/>
      </c>
      <c r="H617" s="5" t="str">
        <f ca="1">IFERROR(__xludf.DUMMYFUNCTION("IFERROR(VLOOKUP(F631,IMPORTRANGE(""https://docs.google.com/spreadsheets/d/1Kvs4KS76FHFqLFIZfrDMff4kP08nblUkihrxltoGBjg/edit#gid=934712705"",""ESENCIAL!A6:BG""),8,FALSE))"),"")</f>
        <v/>
      </c>
      <c r="L617" s="287"/>
      <c r="U617" s="40"/>
      <c r="AU617" s="41" t="str">
        <f t="shared" si="20"/>
        <v/>
      </c>
      <c r="AV617" s="5" t="str">
        <f ca="1">IFERROR(__xludf.DUMMYFUNCTION("IFERROR(VLOOKUP(E631&amp;F631,IMPORTRANGE(""https://docs.google.com/spreadsheets/d/1Uw7-A9f9R21vMXxHZFNpYNeKFtG8_yji4HS352LGlSQ/edit?pli=1#gid=0"",""1_ACUM!A4:S""),11,FALSE))"),"")</f>
        <v/>
      </c>
      <c r="AW617" s="42" t="str">
        <f ca="1">IFERROR(__xludf.DUMMYFUNCTION("IFERROR(VLOOKUP(F631,IMPORTRANGE(""https://docs.google.com/spreadsheets/d/1Kvs4KS76FHFqLFIZfrDMff4kP08nblUkihrxltoGBjg/edit#gid=934712705"",""ESENCIAL!A6:BG""),15,FALSE))"),"")</f>
        <v/>
      </c>
      <c r="AX617" s="21" t="str">
        <f ca="1">IFERROR(__xludf.DUMMYFUNCTION("IFERROR(VLOOKUP(E631&amp;F631,IMPORTRANGE(""https://docs.google.com/spreadsheets/d/1Uw7-A9f9R21vMXxHZFNpYNeKFtG8_yji4HS352LGlSQ/edit?pli=1#gid=0"",""1_ACUM!A4:S""),12,FALSE))"),"")</f>
        <v/>
      </c>
      <c r="AY617" s="43" t="str">
        <f ca="1">IFERROR(__xludf.DUMMYFUNCTION("IFERROR(VLOOKUP(E631&amp;F631,IMPORTRANGE(""https://docs.google.com/spreadsheets/d/1Uw7-A9f9R21vMXxHZFNpYNeKFtG8_yji4HS352LGlSQ/edit?pli=1#gid=0"",""1_ACUM!A4:S""),13,FALSE))"),"")</f>
        <v/>
      </c>
      <c r="AZ617" s="43" t="str">
        <f ca="1">IFERROR(__xludf.DUMMYFUNCTION("IFERROR(VLOOKUP(E631&amp;F631,IMPORTRANGE(""https://docs.google.com/spreadsheets/d/1Uw7-A9f9R21vMXxHZFNpYNeKFtG8_yji4HS352LGlSQ/edit?pli=1#gid=0"",""1_ACUM!A4:S""),14,FALSE))"),"")</f>
        <v/>
      </c>
      <c r="BA617" s="43" t="str">
        <f ca="1">IFERROR(__xludf.DUMMYFUNCTION("IFERROR(VLOOKUP(E631&amp;F631,IMPORTRANGE(""https://docs.google.com/spreadsheets/d/1Uw7-A9f9R21vMXxHZFNpYNeKFtG8_yji4HS352LGlSQ/edit?pli=1#gid=0"",""1_ACUM!A4:S""),15,FALSE))"),"")</f>
        <v/>
      </c>
      <c r="BB617" s="43" t="str">
        <f ca="1">IFERROR(__xludf.DUMMYFUNCTION("IFERROR(VLOOKUP(E631&amp;F631,IMPORTRANGE(""https://docs.google.com/spreadsheets/d/1Uw7-A9f9R21vMXxHZFNpYNeKFtG8_yji4HS352LGlSQ/edit?pli=1#gid=0"",""1_ACUM!A4:S""),16,FALSE))"),"")</f>
        <v/>
      </c>
      <c r="BC617" s="43" t="str">
        <f ca="1">IFERROR(__xludf.DUMMYFUNCTION("IFERROR(VLOOKUP(E631&amp;F631,IMPORTRANGE(""https://docs.google.com/spreadsheets/d/1Uw7-A9f9R21vMXxHZFNpYNeKFtG8_yji4HS352LGlSQ/edit?pli=1#gid=0"",""1_ACUM!A4:S""),17,FALSE))"),"")</f>
        <v/>
      </c>
      <c r="BD617" s="44" t="str">
        <f ca="1">IFERROR(__xludf.DUMMYFUNCTION("IFERROR(VLOOKUP(E631&amp;F631,IMPORTRANGE(""https://docs.google.com/spreadsheets/d/1Uw7-A9f9R21vMXxHZFNpYNeKFtG8_yji4HS352LGlSQ/edit?pli=1#gid=0"",""1_ACUM!A4:S""),18,FALSE))"),"")</f>
        <v/>
      </c>
      <c r="BE617" s="44" t="str">
        <f ca="1">IFERROR(__xludf.DUMMYFUNCTION("IFERROR(VLOOKUP(E631&amp;F631,IMPORTRANGE(""https://docs.google.com/spreadsheets/d/1Uw7-A9f9R21vMXxHZFNpYNeKFtG8_yji4HS352LGlSQ/edit?pli=1#gid=0"",""1_ACUM!A4:S""),19,FALSE))"),"")</f>
        <v/>
      </c>
      <c r="BF617" s="98" t="str">
        <f ca="1">IFERROR(__xludf.DUMMYFUNCTION("IFERROR(VLOOKUP(F631,IMPORTRANGE(""https://docs.google.com/spreadsheets/d/1Kvs4KS76FHFqLFIZfrDMff4kP08nblUkihrxltoGBjg/edit#gid=934712705"",""ESENCIAL!A6:BG""),5,FALSE))"),"")</f>
        <v/>
      </c>
      <c r="BG617" s="98" t="str">
        <f t="shared" si="21"/>
        <v/>
      </c>
      <c r="BH617" s="99" t="str">
        <f t="shared" si="22"/>
        <v/>
      </c>
      <c r="BI617" s="100" t="str">
        <f ca="1">IFERROR(__xludf.DUMMYFUNCTION("IFERROR(VLOOKUP(F631,IMPORTRANGE(""https://docs.google.com/spreadsheets/d/1Kvs4KS76FHFqLFIZfrDMff4kP08nblUkihrxltoGBjg/edit#gid=934712705"",""ESENCIAL!A6:BG""),2,FALSE))"),"")</f>
        <v/>
      </c>
      <c r="BJ617" s="19" t="str">
        <f t="shared" si="23"/>
        <v/>
      </c>
      <c r="BK617" s="100"/>
      <c r="BL617" s="100"/>
    </row>
    <row r="618" spans="1:64" ht="15">
      <c r="A618" s="5"/>
      <c r="B618" s="5"/>
      <c r="G618" s="5" t="str">
        <f ca="1">IFERROR(__xludf.DUMMYFUNCTION("IFERROR(VLOOKUP(F632,IMPORTRANGE(""https://docs.google.com/spreadsheets/d/1Kvs4KS76FHFqLFIZfrDMff4kP08nblUkihrxltoGBjg/edit#gid=934712705"",""ESENCIAL!A6:BG""),3,FALSE))"),"")</f>
        <v/>
      </c>
      <c r="H618" s="5" t="str">
        <f ca="1">IFERROR(__xludf.DUMMYFUNCTION("IFERROR(VLOOKUP(F632,IMPORTRANGE(""https://docs.google.com/spreadsheets/d/1Kvs4KS76FHFqLFIZfrDMff4kP08nblUkihrxltoGBjg/edit#gid=934712705"",""ESENCIAL!A6:BG""),8,FALSE))"),"")</f>
        <v/>
      </c>
      <c r="L618" s="287"/>
      <c r="U618" s="40"/>
      <c r="AU618" s="41" t="str">
        <f t="shared" si="20"/>
        <v/>
      </c>
      <c r="AV618" s="5" t="str">
        <f ca="1">IFERROR(__xludf.DUMMYFUNCTION("IFERROR(VLOOKUP(E632&amp;F632,IMPORTRANGE(""https://docs.google.com/spreadsheets/d/1Uw7-A9f9R21vMXxHZFNpYNeKFtG8_yji4HS352LGlSQ/edit?pli=1#gid=0"",""1_ACUM!A4:S""),11,FALSE))"),"")</f>
        <v/>
      </c>
      <c r="AW618" s="42" t="str">
        <f ca="1">IFERROR(__xludf.DUMMYFUNCTION("IFERROR(VLOOKUP(F632,IMPORTRANGE(""https://docs.google.com/spreadsheets/d/1Kvs4KS76FHFqLFIZfrDMff4kP08nblUkihrxltoGBjg/edit#gid=934712705"",""ESENCIAL!A6:BG""),15,FALSE))"),"")</f>
        <v/>
      </c>
      <c r="AX618" s="21" t="str">
        <f ca="1">IFERROR(__xludf.DUMMYFUNCTION("IFERROR(VLOOKUP(E632&amp;F632,IMPORTRANGE(""https://docs.google.com/spreadsheets/d/1Uw7-A9f9R21vMXxHZFNpYNeKFtG8_yji4HS352LGlSQ/edit?pli=1#gid=0"",""1_ACUM!A4:S""),12,FALSE))"),"")</f>
        <v/>
      </c>
      <c r="AY618" s="43" t="str">
        <f ca="1">IFERROR(__xludf.DUMMYFUNCTION("IFERROR(VLOOKUP(E632&amp;F632,IMPORTRANGE(""https://docs.google.com/spreadsheets/d/1Uw7-A9f9R21vMXxHZFNpYNeKFtG8_yji4HS352LGlSQ/edit?pli=1#gid=0"",""1_ACUM!A4:S""),13,FALSE))"),"")</f>
        <v/>
      </c>
      <c r="AZ618" s="43" t="str">
        <f ca="1">IFERROR(__xludf.DUMMYFUNCTION("IFERROR(VLOOKUP(E632&amp;F632,IMPORTRANGE(""https://docs.google.com/spreadsheets/d/1Uw7-A9f9R21vMXxHZFNpYNeKFtG8_yji4HS352LGlSQ/edit?pli=1#gid=0"",""1_ACUM!A4:S""),14,FALSE))"),"")</f>
        <v/>
      </c>
      <c r="BA618" s="43" t="str">
        <f ca="1">IFERROR(__xludf.DUMMYFUNCTION("IFERROR(VLOOKUP(E632&amp;F632,IMPORTRANGE(""https://docs.google.com/spreadsheets/d/1Uw7-A9f9R21vMXxHZFNpYNeKFtG8_yji4HS352LGlSQ/edit?pli=1#gid=0"",""1_ACUM!A4:S""),15,FALSE))"),"")</f>
        <v/>
      </c>
      <c r="BB618" s="43" t="str">
        <f ca="1">IFERROR(__xludf.DUMMYFUNCTION("IFERROR(VLOOKUP(E632&amp;F632,IMPORTRANGE(""https://docs.google.com/spreadsheets/d/1Uw7-A9f9R21vMXxHZFNpYNeKFtG8_yji4HS352LGlSQ/edit?pli=1#gid=0"",""1_ACUM!A4:S""),16,FALSE))"),"")</f>
        <v/>
      </c>
      <c r="BC618" s="43" t="str">
        <f ca="1">IFERROR(__xludf.DUMMYFUNCTION("IFERROR(VLOOKUP(E632&amp;F632,IMPORTRANGE(""https://docs.google.com/spreadsheets/d/1Uw7-A9f9R21vMXxHZFNpYNeKFtG8_yji4HS352LGlSQ/edit?pli=1#gid=0"",""1_ACUM!A4:S""),17,FALSE))"),"")</f>
        <v/>
      </c>
      <c r="BD618" s="44" t="str">
        <f ca="1">IFERROR(__xludf.DUMMYFUNCTION("IFERROR(VLOOKUP(E632&amp;F632,IMPORTRANGE(""https://docs.google.com/spreadsheets/d/1Uw7-A9f9R21vMXxHZFNpYNeKFtG8_yji4HS352LGlSQ/edit?pli=1#gid=0"",""1_ACUM!A4:S""),18,FALSE))"),"")</f>
        <v/>
      </c>
      <c r="BE618" s="44" t="str">
        <f ca="1">IFERROR(__xludf.DUMMYFUNCTION("IFERROR(VLOOKUP(E632&amp;F632,IMPORTRANGE(""https://docs.google.com/spreadsheets/d/1Uw7-A9f9R21vMXxHZFNpYNeKFtG8_yji4HS352LGlSQ/edit?pli=1#gid=0"",""1_ACUM!A4:S""),19,FALSE))"),"")</f>
        <v/>
      </c>
      <c r="BF618" s="98" t="str">
        <f ca="1">IFERROR(__xludf.DUMMYFUNCTION("IFERROR(VLOOKUP(F632,IMPORTRANGE(""https://docs.google.com/spreadsheets/d/1Kvs4KS76FHFqLFIZfrDMff4kP08nblUkihrxltoGBjg/edit#gid=934712705"",""ESENCIAL!A6:BG""),5,FALSE))"),"")</f>
        <v/>
      </c>
      <c r="BG618" s="98" t="str">
        <f t="shared" si="21"/>
        <v/>
      </c>
      <c r="BH618" s="99" t="str">
        <f t="shared" si="22"/>
        <v/>
      </c>
      <c r="BI618" s="100" t="str">
        <f ca="1">IFERROR(__xludf.DUMMYFUNCTION("IFERROR(VLOOKUP(F632,IMPORTRANGE(""https://docs.google.com/spreadsheets/d/1Kvs4KS76FHFqLFIZfrDMff4kP08nblUkihrxltoGBjg/edit#gid=934712705"",""ESENCIAL!A6:BG""),2,FALSE))"),"")</f>
        <v/>
      </c>
      <c r="BJ618" s="19" t="str">
        <f t="shared" si="23"/>
        <v/>
      </c>
      <c r="BK618" s="100"/>
      <c r="BL618" s="100"/>
    </row>
    <row r="619" spans="1:64" ht="15">
      <c r="A619" s="5"/>
      <c r="B619" s="5"/>
      <c r="G619" s="5" t="str">
        <f ca="1">IFERROR(__xludf.DUMMYFUNCTION("IFERROR(VLOOKUP(F633,IMPORTRANGE(""https://docs.google.com/spreadsheets/d/1Kvs4KS76FHFqLFIZfrDMff4kP08nblUkihrxltoGBjg/edit#gid=934712705"",""ESENCIAL!A6:BG""),3,FALSE))"),"")</f>
        <v/>
      </c>
      <c r="H619" s="5" t="str">
        <f ca="1">IFERROR(__xludf.DUMMYFUNCTION("IFERROR(VLOOKUP(F633,IMPORTRANGE(""https://docs.google.com/spreadsheets/d/1Kvs4KS76FHFqLFIZfrDMff4kP08nblUkihrxltoGBjg/edit#gid=934712705"",""ESENCIAL!A6:BG""),8,FALSE))"),"")</f>
        <v/>
      </c>
      <c r="L619" s="287"/>
      <c r="U619" s="40"/>
      <c r="AU619" s="41" t="str">
        <f t="shared" si="20"/>
        <v/>
      </c>
      <c r="AV619" s="5" t="str">
        <f ca="1">IFERROR(__xludf.DUMMYFUNCTION("IFERROR(VLOOKUP(E633&amp;F633,IMPORTRANGE(""https://docs.google.com/spreadsheets/d/1Uw7-A9f9R21vMXxHZFNpYNeKFtG8_yji4HS352LGlSQ/edit?pli=1#gid=0"",""1_ACUM!A4:S""),11,FALSE))"),"")</f>
        <v/>
      </c>
      <c r="AW619" s="42" t="str">
        <f ca="1">IFERROR(__xludf.DUMMYFUNCTION("IFERROR(VLOOKUP(F633,IMPORTRANGE(""https://docs.google.com/spreadsheets/d/1Kvs4KS76FHFqLFIZfrDMff4kP08nblUkihrxltoGBjg/edit#gid=934712705"",""ESENCIAL!A6:BG""),15,FALSE))"),"")</f>
        <v/>
      </c>
      <c r="AX619" s="21" t="str">
        <f ca="1">IFERROR(__xludf.DUMMYFUNCTION("IFERROR(VLOOKUP(E633&amp;F633,IMPORTRANGE(""https://docs.google.com/spreadsheets/d/1Uw7-A9f9R21vMXxHZFNpYNeKFtG8_yji4HS352LGlSQ/edit?pli=1#gid=0"",""1_ACUM!A4:S""),12,FALSE))"),"")</f>
        <v/>
      </c>
      <c r="AY619" s="43" t="str">
        <f ca="1">IFERROR(__xludf.DUMMYFUNCTION("IFERROR(VLOOKUP(E633&amp;F633,IMPORTRANGE(""https://docs.google.com/spreadsheets/d/1Uw7-A9f9R21vMXxHZFNpYNeKFtG8_yji4HS352LGlSQ/edit?pli=1#gid=0"",""1_ACUM!A4:S""),13,FALSE))"),"")</f>
        <v/>
      </c>
      <c r="AZ619" s="43" t="str">
        <f ca="1">IFERROR(__xludf.DUMMYFUNCTION("IFERROR(VLOOKUP(E633&amp;F633,IMPORTRANGE(""https://docs.google.com/spreadsheets/d/1Uw7-A9f9R21vMXxHZFNpYNeKFtG8_yji4HS352LGlSQ/edit?pli=1#gid=0"",""1_ACUM!A4:S""),14,FALSE))"),"")</f>
        <v/>
      </c>
      <c r="BA619" s="43" t="str">
        <f ca="1">IFERROR(__xludf.DUMMYFUNCTION("IFERROR(VLOOKUP(E633&amp;F633,IMPORTRANGE(""https://docs.google.com/spreadsheets/d/1Uw7-A9f9R21vMXxHZFNpYNeKFtG8_yji4HS352LGlSQ/edit?pli=1#gid=0"",""1_ACUM!A4:S""),15,FALSE))"),"")</f>
        <v/>
      </c>
      <c r="BB619" s="43" t="str">
        <f ca="1">IFERROR(__xludf.DUMMYFUNCTION("IFERROR(VLOOKUP(E633&amp;F633,IMPORTRANGE(""https://docs.google.com/spreadsheets/d/1Uw7-A9f9R21vMXxHZFNpYNeKFtG8_yji4HS352LGlSQ/edit?pli=1#gid=0"",""1_ACUM!A4:S""),16,FALSE))"),"")</f>
        <v/>
      </c>
      <c r="BC619" s="43" t="str">
        <f ca="1">IFERROR(__xludf.DUMMYFUNCTION("IFERROR(VLOOKUP(E633&amp;F633,IMPORTRANGE(""https://docs.google.com/spreadsheets/d/1Uw7-A9f9R21vMXxHZFNpYNeKFtG8_yji4HS352LGlSQ/edit?pli=1#gid=0"",""1_ACUM!A4:S""),17,FALSE))"),"")</f>
        <v/>
      </c>
      <c r="BD619" s="44" t="str">
        <f ca="1">IFERROR(__xludf.DUMMYFUNCTION("IFERROR(VLOOKUP(E633&amp;F633,IMPORTRANGE(""https://docs.google.com/spreadsheets/d/1Uw7-A9f9R21vMXxHZFNpYNeKFtG8_yji4HS352LGlSQ/edit?pli=1#gid=0"",""1_ACUM!A4:S""),18,FALSE))"),"")</f>
        <v/>
      </c>
      <c r="BE619" s="44" t="str">
        <f ca="1">IFERROR(__xludf.DUMMYFUNCTION("IFERROR(VLOOKUP(E633&amp;F633,IMPORTRANGE(""https://docs.google.com/spreadsheets/d/1Uw7-A9f9R21vMXxHZFNpYNeKFtG8_yji4HS352LGlSQ/edit?pli=1#gid=0"",""1_ACUM!A4:S""),19,FALSE))"),"")</f>
        <v/>
      </c>
      <c r="BF619" s="98" t="str">
        <f ca="1">IFERROR(__xludf.DUMMYFUNCTION("IFERROR(VLOOKUP(F633,IMPORTRANGE(""https://docs.google.com/spreadsheets/d/1Kvs4KS76FHFqLFIZfrDMff4kP08nblUkihrxltoGBjg/edit#gid=934712705"",""ESENCIAL!A6:BG""),5,FALSE))"),"")</f>
        <v/>
      </c>
      <c r="BG619" s="98" t="str">
        <f t="shared" si="21"/>
        <v/>
      </c>
      <c r="BH619" s="99" t="str">
        <f t="shared" si="22"/>
        <v/>
      </c>
      <c r="BI619" s="100" t="str">
        <f ca="1">IFERROR(__xludf.DUMMYFUNCTION("IFERROR(VLOOKUP(F633,IMPORTRANGE(""https://docs.google.com/spreadsheets/d/1Kvs4KS76FHFqLFIZfrDMff4kP08nblUkihrxltoGBjg/edit#gid=934712705"",""ESENCIAL!A6:BG""),2,FALSE))"),"")</f>
        <v/>
      </c>
      <c r="BJ619" s="19" t="str">
        <f t="shared" si="23"/>
        <v/>
      </c>
      <c r="BK619" s="100"/>
      <c r="BL619" s="100"/>
    </row>
    <row r="620" spans="1:64" ht="15">
      <c r="A620" s="5"/>
      <c r="B620" s="5"/>
      <c r="G620" s="5" t="str">
        <f ca="1">IFERROR(__xludf.DUMMYFUNCTION("IFERROR(VLOOKUP(F634,IMPORTRANGE(""https://docs.google.com/spreadsheets/d/1Kvs4KS76FHFqLFIZfrDMff4kP08nblUkihrxltoGBjg/edit#gid=934712705"",""ESENCIAL!A6:BG""),3,FALSE))"),"")</f>
        <v/>
      </c>
      <c r="H620" s="5" t="str">
        <f ca="1">IFERROR(__xludf.DUMMYFUNCTION("IFERROR(VLOOKUP(F634,IMPORTRANGE(""https://docs.google.com/spreadsheets/d/1Kvs4KS76FHFqLFIZfrDMff4kP08nblUkihrxltoGBjg/edit#gid=934712705"",""ESENCIAL!A6:BG""),8,FALSE))"),"")</f>
        <v/>
      </c>
      <c r="L620" s="287"/>
      <c r="U620" s="40"/>
      <c r="AU620" s="41" t="str">
        <f t="shared" si="20"/>
        <v/>
      </c>
      <c r="AV620" s="5" t="str">
        <f ca="1">IFERROR(__xludf.DUMMYFUNCTION("IFERROR(VLOOKUP(E634&amp;F634,IMPORTRANGE(""https://docs.google.com/spreadsheets/d/1Uw7-A9f9R21vMXxHZFNpYNeKFtG8_yji4HS352LGlSQ/edit?pli=1#gid=0"",""1_ACUM!A4:S""),11,FALSE))"),"")</f>
        <v/>
      </c>
      <c r="AW620" s="42" t="str">
        <f ca="1">IFERROR(__xludf.DUMMYFUNCTION("IFERROR(VLOOKUP(F634,IMPORTRANGE(""https://docs.google.com/spreadsheets/d/1Kvs4KS76FHFqLFIZfrDMff4kP08nblUkihrxltoGBjg/edit#gid=934712705"",""ESENCIAL!A6:BG""),15,FALSE))"),"")</f>
        <v/>
      </c>
      <c r="AX620" s="21" t="str">
        <f ca="1">IFERROR(__xludf.DUMMYFUNCTION("IFERROR(VLOOKUP(E634&amp;F634,IMPORTRANGE(""https://docs.google.com/spreadsheets/d/1Uw7-A9f9R21vMXxHZFNpYNeKFtG8_yji4HS352LGlSQ/edit?pli=1#gid=0"",""1_ACUM!A4:S""),12,FALSE))"),"")</f>
        <v/>
      </c>
      <c r="AY620" s="43" t="str">
        <f ca="1">IFERROR(__xludf.DUMMYFUNCTION("IFERROR(VLOOKUP(E634&amp;F634,IMPORTRANGE(""https://docs.google.com/spreadsheets/d/1Uw7-A9f9R21vMXxHZFNpYNeKFtG8_yji4HS352LGlSQ/edit?pli=1#gid=0"",""1_ACUM!A4:S""),13,FALSE))"),"")</f>
        <v/>
      </c>
      <c r="AZ620" s="43" t="str">
        <f ca="1">IFERROR(__xludf.DUMMYFUNCTION("IFERROR(VLOOKUP(E634&amp;F634,IMPORTRANGE(""https://docs.google.com/spreadsheets/d/1Uw7-A9f9R21vMXxHZFNpYNeKFtG8_yji4HS352LGlSQ/edit?pli=1#gid=0"",""1_ACUM!A4:S""),14,FALSE))"),"")</f>
        <v/>
      </c>
      <c r="BA620" s="43" t="str">
        <f ca="1">IFERROR(__xludf.DUMMYFUNCTION("IFERROR(VLOOKUP(E634&amp;F634,IMPORTRANGE(""https://docs.google.com/spreadsheets/d/1Uw7-A9f9R21vMXxHZFNpYNeKFtG8_yji4HS352LGlSQ/edit?pli=1#gid=0"",""1_ACUM!A4:S""),15,FALSE))"),"")</f>
        <v/>
      </c>
      <c r="BB620" s="43" t="str">
        <f ca="1">IFERROR(__xludf.DUMMYFUNCTION("IFERROR(VLOOKUP(E634&amp;F634,IMPORTRANGE(""https://docs.google.com/spreadsheets/d/1Uw7-A9f9R21vMXxHZFNpYNeKFtG8_yji4HS352LGlSQ/edit?pli=1#gid=0"",""1_ACUM!A4:S""),16,FALSE))"),"")</f>
        <v/>
      </c>
      <c r="BC620" s="43" t="str">
        <f ca="1">IFERROR(__xludf.DUMMYFUNCTION("IFERROR(VLOOKUP(E634&amp;F634,IMPORTRANGE(""https://docs.google.com/spreadsheets/d/1Uw7-A9f9R21vMXxHZFNpYNeKFtG8_yji4HS352LGlSQ/edit?pli=1#gid=0"",""1_ACUM!A4:S""),17,FALSE))"),"")</f>
        <v/>
      </c>
      <c r="BD620" s="44" t="str">
        <f ca="1">IFERROR(__xludf.DUMMYFUNCTION("IFERROR(VLOOKUP(E634&amp;F634,IMPORTRANGE(""https://docs.google.com/spreadsheets/d/1Uw7-A9f9R21vMXxHZFNpYNeKFtG8_yji4HS352LGlSQ/edit?pli=1#gid=0"",""1_ACUM!A4:S""),18,FALSE))"),"")</f>
        <v/>
      </c>
      <c r="BE620" s="44" t="str">
        <f ca="1">IFERROR(__xludf.DUMMYFUNCTION("IFERROR(VLOOKUP(E634&amp;F634,IMPORTRANGE(""https://docs.google.com/spreadsheets/d/1Uw7-A9f9R21vMXxHZFNpYNeKFtG8_yji4HS352LGlSQ/edit?pli=1#gid=0"",""1_ACUM!A4:S""),19,FALSE))"),"")</f>
        <v/>
      </c>
      <c r="BF620" s="98" t="str">
        <f ca="1">IFERROR(__xludf.DUMMYFUNCTION("IFERROR(VLOOKUP(F634,IMPORTRANGE(""https://docs.google.com/spreadsheets/d/1Kvs4KS76FHFqLFIZfrDMff4kP08nblUkihrxltoGBjg/edit#gid=934712705"",""ESENCIAL!A6:BG""),5,FALSE))"),"")</f>
        <v/>
      </c>
      <c r="BG620" s="98" t="str">
        <f t="shared" si="21"/>
        <v/>
      </c>
      <c r="BH620" s="99" t="str">
        <f t="shared" si="22"/>
        <v/>
      </c>
      <c r="BI620" s="100" t="str">
        <f ca="1">IFERROR(__xludf.DUMMYFUNCTION("IFERROR(VLOOKUP(F634,IMPORTRANGE(""https://docs.google.com/spreadsheets/d/1Kvs4KS76FHFqLFIZfrDMff4kP08nblUkihrxltoGBjg/edit#gid=934712705"",""ESENCIAL!A6:BG""),2,FALSE))"),"")</f>
        <v/>
      </c>
      <c r="BJ620" s="19" t="str">
        <f t="shared" si="23"/>
        <v/>
      </c>
      <c r="BK620" s="100"/>
      <c r="BL620" s="100"/>
    </row>
    <row r="621" spans="1:64" ht="15">
      <c r="A621" s="5"/>
      <c r="B621" s="5"/>
      <c r="G621" s="5" t="str">
        <f ca="1">IFERROR(__xludf.DUMMYFUNCTION("IFERROR(VLOOKUP(F635,IMPORTRANGE(""https://docs.google.com/spreadsheets/d/1Kvs4KS76FHFqLFIZfrDMff4kP08nblUkihrxltoGBjg/edit#gid=934712705"",""ESENCIAL!A6:BG""),3,FALSE))"),"")</f>
        <v/>
      </c>
      <c r="H621" s="5" t="str">
        <f ca="1">IFERROR(__xludf.DUMMYFUNCTION("IFERROR(VLOOKUP(F635,IMPORTRANGE(""https://docs.google.com/spreadsheets/d/1Kvs4KS76FHFqLFIZfrDMff4kP08nblUkihrxltoGBjg/edit#gid=934712705"",""ESENCIAL!A6:BG""),8,FALSE))"),"")</f>
        <v/>
      </c>
      <c r="L621" s="287"/>
      <c r="U621" s="40"/>
      <c r="AU621" s="41" t="str">
        <f t="shared" si="20"/>
        <v/>
      </c>
      <c r="AV621" s="5" t="str">
        <f ca="1">IFERROR(__xludf.DUMMYFUNCTION("IFERROR(VLOOKUP(E635&amp;F635,IMPORTRANGE(""https://docs.google.com/spreadsheets/d/1Uw7-A9f9R21vMXxHZFNpYNeKFtG8_yji4HS352LGlSQ/edit?pli=1#gid=0"",""1_ACUM!A4:S""),11,FALSE))"),"")</f>
        <v/>
      </c>
      <c r="AW621" s="42" t="str">
        <f ca="1">IFERROR(__xludf.DUMMYFUNCTION("IFERROR(VLOOKUP(F635,IMPORTRANGE(""https://docs.google.com/spreadsheets/d/1Kvs4KS76FHFqLFIZfrDMff4kP08nblUkihrxltoGBjg/edit#gid=934712705"",""ESENCIAL!A6:BG""),15,FALSE))"),"")</f>
        <v/>
      </c>
      <c r="AX621" s="21" t="str">
        <f ca="1">IFERROR(__xludf.DUMMYFUNCTION("IFERROR(VLOOKUP(E635&amp;F635,IMPORTRANGE(""https://docs.google.com/spreadsheets/d/1Uw7-A9f9R21vMXxHZFNpYNeKFtG8_yji4HS352LGlSQ/edit?pli=1#gid=0"",""1_ACUM!A4:S""),12,FALSE))"),"")</f>
        <v/>
      </c>
      <c r="AY621" s="43" t="str">
        <f ca="1">IFERROR(__xludf.DUMMYFUNCTION("IFERROR(VLOOKUP(E635&amp;F635,IMPORTRANGE(""https://docs.google.com/spreadsheets/d/1Uw7-A9f9R21vMXxHZFNpYNeKFtG8_yji4HS352LGlSQ/edit?pli=1#gid=0"",""1_ACUM!A4:S""),13,FALSE))"),"")</f>
        <v/>
      </c>
      <c r="AZ621" s="43" t="str">
        <f ca="1">IFERROR(__xludf.DUMMYFUNCTION("IFERROR(VLOOKUP(E635&amp;F635,IMPORTRANGE(""https://docs.google.com/spreadsheets/d/1Uw7-A9f9R21vMXxHZFNpYNeKFtG8_yji4HS352LGlSQ/edit?pli=1#gid=0"",""1_ACUM!A4:S""),14,FALSE))"),"")</f>
        <v/>
      </c>
      <c r="BA621" s="43" t="str">
        <f ca="1">IFERROR(__xludf.DUMMYFUNCTION("IFERROR(VLOOKUP(E635&amp;F635,IMPORTRANGE(""https://docs.google.com/spreadsheets/d/1Uw7-A9f9R21vMXxHZFNpYNeKFtG8_yji4HS352LGlSQ/edit?pli=1#gid=0"",""1_ACUM!A4:S""),15,FALSE))"),"")</f>
        <v/>
      </c>
      <c r="BB621" s="43" t="str">
        <f ca="1">IFERROR(__xludf.DUMMYFUNCTION("IFERROR(VLOOKUP(E635&amp;F635,IMPORTRANGE(""https://docs.google.com/spreadsheets/d/1Uw7-A9f9R21vMXxHZFNpYNeKFtG8_yji4HS352LGlSQ/edit?pli=1#gid=0"",""1_ACUM!A4:S""),16,FALSE))"),"")</f>
        <v/>
      </c>
      <c r="BC621" s="43" t="str">
        <f ca="1">IFERROR(__xludf.DUMMYFUNCTION("IFERROR(VLOOKUP(E635&amp;F635,IMPORTRANGE(""https://docs.google.com/spreadsheets/d/1Uw7-A9f9R21vMXxHZFNpYNeKFtG8_yji4HS352LGlSQ/edit?pli=1#gid=0"",""1_ACUM!A4:S""),17,FALSE))"),"")</f>
        <v/>
      </c>
      <c r="BD621" s="44" t="str">
        <f ca="1">IFERROR(__xludf.DUMMYFUNCTION("IFERROR(VLOOKUP(E635&amp;F635,IMPORTRANGE(""https://docs.google.com/spreadsheets/d/1Uw7-A9f9R21vMXxHZFNpYNeKFtG8_yji4HS352LGlSQ/edit?pli=1#gid=0"",""1_ACUM!A4:S""),18,FALSE))"),"")</f>
        <v/>
      </c>
      <c r="BE621" s="44" t="str">
        <f ca="1">IFERROR(__xludf.DUMMYFUNCTION("IFERROR(VLOOKUP(E635&amp;F635,IMPORTRANGE(""https://docs.google.com/spreadsheets/d/1Uw7-A9f9R21vMXxHZFNpYNeKFtG8_yji4HS352LGlSQ/edit?pli=1#gid=0"",""1_ACUM!A4:S""),19,FALSE))"),"")</f>
        <v/>
      </c>
      <c r="BF621" s="98" t="str">
        <f ca="1">IFERROR(__xludf.DUMMYFUNCTION("IFERROR(VLOOKUP(F635,IMPORTRANGE(""https://docs.google.com/spreadsheets/d/1Kvs4KS76FHFqLFIZfrDMff4kP08nblUkihrxltoGBjg/edit#gid=934712705"",""ESENCIAL!A6:BG""),5,FALSE))"),"")</f>
        <v/>
      </c>
      <c r="BG621" s="98" t="str">
        <f t="shared" si="21"/>
        <v/>
      </c>
      <c r="BH621" s="99" t="str">
        <f t="shared" si="22"/>
        <v/>
      </c>
      <c r="BI621" s="100" t="str">
        <f ca="1">IFERROR(__xludf.DUMMYFUNCTION("IFERROR(VLOOKUP(F635,IMPORTRANGE(""https://docs.google.com/spreadsheets/d/1Kvs4KS76FHFqLFIZfrDMff4kP08nblUkihrxltoGBjg/edit#gid=934712705"",""ESENCIAL!A6:BG""),2,FALSE))"),"")</f>
        <v/>
      </c>
      <c r="BJ621" s="19" t="str">
        <f t="shared" si="23"/>
        <v/>
      </c>
      <c r="BK621" s="100"/>
      <c r="BL621" s="100"/>
    </row>
    <row r="622" spans="1:64" ht="15">
      <c r="A622" s="5"/>
      <c r="B622" s="5"/>
      <c r="G622" s="5" t="str">
        <f ca="1">IFERROR(__xludf.DUMMYFUNCTION("IFERROR(VLOOKUP(F636,IMPORTRANGE(""https://docs.google.com/spreadsheets/d/1Kvs4KS76FHFqLFIZfrDMff4kP08nblUkihrxltoGBjg/edit#gid=934712705"",""ESENCIAL!A6:BG""),3,FALSE))"),"")</f>
        <v/>
      </c>
      <c r="H622" s="5" t="str">
        <f ca="1">IFERROR(__xludf.DUMMYFUNCTION("IFERROR(VLOOKUP(F636,IMPORTRANGE(""https://docs.google.com/spreadsheets/d/1Kvs4KS76FHFqLFIZfrDMff4kP08nblUkihrxltoGBjg/edit#gid=934712705"",""ESENCIAL!A6:BG""),8,FALSE))"),"")</f>
        <v/>
      </c>
      <c r="L622" s="287"/>
      <c r="U622" s="40"/>
      <c r="AU622" s="41" t="str">
        <f t="shared" si="20"/>
        <v/>
      </c>
      <c r="AV622" s="5" t="str">
        <f ca="1">IFERROR(__xludf.DUMMYFUNCTION("IFERROR(VLOOKUP(E636&amp;F636,IMPORTRANGE(""https://docs.google.com/spreadsheets/d/1Uw7-A9f9R21vMXxHZFNpYNeKFtG8_yji4HS352LGlSQ/edit?pli=1#gid=0"",""1_ACUM!A4:S""),11,FALSE))"),"")</f>
        <v/>
      </c>
      <c r="AW622" s="42" t="str">
        <f ca="1">IFERROR(__xludf.DUMMYFUNCTION("IFERROR(VLOOKUP(F636,IMPORTRANGE(""https://docs.google.com/spreadsheets/d/1Kvs4KS76FHFqLFIZfrDMff4kP08nblUkihrxltoGBjg/edit#gid=934712705"",""ESENCIAL!A6:BG""),15,FALSE))"),"")</f>
        <v/>
      </c>
      <c r="AX622" s="21" t="str">
        <f ca="1">IFERROR(__xludf.DUMMYFUNCTION("IFERROR(VLOOKUP(E636&amp;F636,IMPORTRANGE(""https://docs.google.com/spreadsheets/d/1Uw7-A9f9R21vMXxHZFNpYNeKFtG8_yji4HS352LGlSQ/edit?pli=1#gid=0"",""1_ACUM!A4:S""),12,FALSE))"),"")</f>
        <v/>
      </c>
      <c r="AY622" s="43" t="str">
        <f ca="1">IFERROR(__xludf.DUMMYFUNCTION("IFERROR(VLOOKUP(E636&amp;F636,IMPORTRANGE(""https://docs.google.com/spreadsheets/d/1Uw7-A9f9R21vMXxHZFNpYNeKFtG8_yji4HS352LGlSQ/edit?pli=1#gid=0"",""1_ACUM!A4:S""),13,FALSE))"),"")</f>
        <v/>
      </c>
      <c r="AZ622" s="43" t="str">
        <f ca="1">IFERROR(__xludf.DUMMYFUNCTION("IFERROR(VLOOKUP(E636&amp;F636,IMPORTRANGE(""https://docs.google.com/spreadsheets/d/1Uw7-A9f9R21vMXxHZFNpYNeKFtG8_yji4HS352LGlSQ/edit?pli=1#gid=0"",""1_ACUM!A4:S""),14,FALSE))"),"")</f>
        <v/>
      </c>
      <c r="BA622" s="43" t="str">
        <f ca="1">IFERROR(__xludf.DUMMYFUNCTION("IFERROR(VLOOKUP(E636&amp;F636,IMPORTRANGE(""https://docs.google.com/spreadsheets/d/1Uw7-A9f9R21vMXxHZFNpYNeKFtG8_yji4HS352LGlSQ/edit?pli=1#gid=0"",""1_ACUM!A4:S""),15,FALSE))"),"")</f>
        <v/>
      </c>
      <c r="BB622" s="43" t="str">
        <f ca="1">IFERROR(__xludf.DUMMYFUNCTION("IFERROR(VLOOKUP(E636&amp;F636,IMPORTRANGE(""https://docs.google.com/spreadsheets/d/1Uw7-A9f9R21vMXxHZFNpYNeKFtG8_yji4HS352LGlSQ/edit?pli=1#gid=0"",""1_ACUM!A4:S""),16,FALSE))"),"")</f>
        <v/>
      </c>
      <c r="BC622" s="43" t="str">
        <f ca="1">IFERROR(__xludf.DUMMYFUNCTION("IFERROR(VLOOKUP(E636&amp;F636,IMPORTRANGE(""https://docs.google.com/spreadsheets/d/1Uw7-A9f9R21vMXxHZFNpYNeKFtG8_yji4HS352LGlSQ/edit?pli=1#gid=0"",""1_ACUM!A4:S""),17,FALSE))"),"")</f>
        <v/>
      </c>
      <c r="BD622" s="44" t="str">
        <f ca="1">IFERROR(__xludf.DUMMYFUNCTION("IFERROR(VLOOKUP(E636&amp;F636,IMPORTRANGE(""https://docs.google.com/spreadsheets/d/1Uw7-A9f9R21vMXxHZFNpYNeKFtG8_yji4HS352LGlSQ/edit?pli=1#gid=0"",""1_ACUM!A4:S""),18,FALSE))"),"")</f>
        <v/>
      </c>
      <c r="BE622" s="44" t="str">
        <f ca="1">IFERROR(__xludf.DUMMYFUNCTION("IFERROR(VLOOKUP(E636&amp;F636,IMPORTRANGE(""https://docs.google.com/spreadsheets/d/1Uw7-A9f9R21vMXxHZFNpYNeKFtG8_yji4HS352LGlSQ/edit?pli=1#gid=0"",""1_ACUM!A4:S""),19,FALSE))"),"")</f>
        <v/>
      </c>
      <c r="BF622" s="98" t="str">
        <f ca="1">IFERROR(__xludf.DUMMYFUNCTION("IFERROR(VLOOKUP(F636,IMPORTRANGE(""https://docs.google.com/spreadsheets/d/1Kvs4KS76FHFqLFIZfrDMff4kP08nblUkihrxltoGBjg/edit#gid=934712705"",""ESENCIAL!A6:BG""),5,FALSE))"),"")</f>
        <v/>
      </c>
      <c r="BG622" s="98" t="str">
        <f t="shared" si="21"/>
        <v/>
      </c>
      <c r="BH622" s="99" t="str">
        <f t="shared" si="22"/>
        <v/>
      </c>
      <c r="BI622" s="100" t="str">
        <f ca="1">IFERROR(__xludf.DUMMYFUNCTION("IFERROR(VLOOKUP(F636,IMPORTRANGE(""https://docs.google.com/spreadsheets/d/1Kvs4KS76FHFqLFIZfrDMff4kP08nblUkihrxltoGBjg/edit#gid=934712705"",""ESENCIAL!A6:BG""),2,FALSE))"),"")</f>
        <v/>
      </c>
      <c r="BJ622" s="19" t="str">
        <f t="shared" si="23"/>
        <v/>
      </c>
      <c r="BK622" s="100"/>
      <c r="BL622" s="100"/>
    </row>
    <row r="623" spans="1:64" ht="15">
      <c r="A623" s="5"/>
      <c r="B623" s="5"/>
      <c r="G623" s="5" t="str">
        <f ca="1">IFERROR(__xludf.DUMMYFUNCTION("IFERROR(VLOOKUP(F637,IMPORTRANGE(""https://docs.google.com/spreadsheets/d/1Kvs4KS76FHFqLFIZfrDMff4kP08nblUkihrxltoGBjg/edit#gid=934712705"",""ESENCIAL!A6:BG""),3,FALSE))"),"")</f>
        <v/>
      </c>
      <c r="H623" s="5" t="str">
        <f ca="1">IFERROR(__xludf.DUMMYFUNCTION("IFERROR(VLOOKUP(F637,IMPORTRANGE(""https://docs.google.com/spreadsheets/d/1Kvs4KS76FHFqLFIZfrDMff4kP08nblUkihrxltoGBjg/edit#gid=934712705"",""ESENCIAL!A6:BG""),8,FALSE))"),"")</f>
        <v/>
      </c>
      <c r="L623" s="287"/>
      <c r="U623" s="40"/>
      <c r="AU623" s="41" t="str">
        <f t="shared" si="20"/>
        <v/>
      </c>
      <c r="AV623" s="5" t="str">
        <f ca="1">IFERROR(__xludf.DUMMYFUNCTION("IFERROR(VLOOKUP(E637&amp;F637,IMPORTRANGE(""https://docs.google.com/spreadsheets/d/1Uw7-A9f9R21vMXxHZFNpYNeKFtG8_yji4HS352LGlSQ/edit?pli=1#gid=0"",""1_ACUM!A4:S""),11,FALSE))"),"")</f>
        <v/>
      </c>
      <c r="AW623" s="42" t="str">
        <f ca="1">IFERROR(__xludf.DUMMYFUNCTION("IFERROR(VLOOKUP(F637,IMPORTRANGE(""https://docs.google.com/spreadsheets/d/1Kvs4KS76FHFqLFIZfrDMff4kP08nblUkihrxltoGBjg/edit#gid=934712705"",""ESENCIAL!A6:BG""),15,FALSE))"),"")</f>
        <v/>
      </c>
      <c r="AX623" s="21" t="str">
        <f ca="1">IFERROR(__xludf.DUMMYFUNCTION("IFERROR(VLOOKUP(E637&amp;F637,IMPORTRANGE(""https://docs.google.com/spreadsheets/d/1Uw7-A9f9R21vMXxHZFNpYNeKFtG8_yji4HS352LGlSQ/edit?pli=1#gid=0"",""1_ACUM!A4:S""),12,FALSE))"),"")</f>
        <v/>
      </c>
      <c r="AY623" s="43" t="str">
        <f ca="1">IFERROR(__xludf.DUMMYFUNCTION("IFERROR(VLOOKUP(E637&amp;F637,IMPORTRANGE(""https://docs.google.com/spreadsheets/d/1Uw7-A9f9R21vMXxHZFNpYNeKFtG8_yji4HS352LGlSQ/edit?pli=1#gid=0"",""1_ACUM!A4:S""),13,FALSE))"),"")</f>
        <v/>
      </c>
      <c r="AZ623" s="43" t="str">
        <f ca="1">IFERROR(__xludf.DUMMYFUNCTION("IFERROR(VLOOKUP(E637&amp;F637,IMPORTRANGE(""https://docs.google.com/spreadsheets/d/1Uw7-A9f9R21vMXxHZFNpYNeKFtG8_yji4HS352LGlSQ/edit?pli=1#gid=0"",""1_ACUM!A4:S""),14,FALSE))"),"")</f>
        <v/>
      </c>
      <c r="BA623" s="43" t="str">
        <f ca="1">IFERROR(__xludf.DUMMYFUNCTION("IFERROR(VLOOKUP(E637&amp;F637,IMPORTRANGE(""https://docs.google.com/spreadsheets/d/1Uw7-A9f9R21vMXxHZFNpYNeKFtG8_yji4HS352LGlSQ/edit?pli=1#gid=0"",""1_ACUM!A4:S""),15,FALSE))"),"")</f>
        <v/>
      </c>
      <c r="BB623" s="43" t="str">
        <f ca="1">IFERROR(__xludf.DUMMYFUNCTION("IFERROR(VLOOKUP(E637&amp;F637,IMPORTRANGE(""https://docs.google.com/spreadsheets/d/1Uw7-A9f9R21vMXxHZFNpYNeKFtG8_yji4HS352LGlSQ/edit?pli=1#gid=0"",""1_ACUM!A4:S""),16,FALSE))"),"")</f>
        <v/>
      </c>
      <c r="BC623" s="43" t="str">
        <f ca="1">IFERROR(__xludf.DUMMYFUNCTION("IFERROR(VLOOKUP(E637&amp;F637,IMPORTRANGE(""https://docs.google.com/spreadsheets/d/1Uw7-A9f9R21vMXxHZFNpYNeKFtG8_yji4HS352LGlSQ/edit?pli=1#gid=0"",""1_ACUM!A4:S""),17,FALSE))"),"")</f>
        <v/>
      </c>
      <c r="BD623" s="44" t="str">
        <f ca="1">IFERROR(__xludf.DUMMYFUNCTION("IFERROR(VLOOKUP(E637&amp;F637,IMPORTRANGE(""https://docs.google.com/spreadsheets/d/1Uw7-A9f9R21vMXxHZFNpYNeKFtG8_yji4HS352LGlSQ/edit?pli=1#gid=0"",""1_ACUM!A4:S""),18,FALSE))"),"")</f>
        <v/>
      </c>
      <c r="BE623" s="44" t="str">
        <f ca="1">IFERROR(__xludf.DUMMYFUNCTION("IFERROR(VLOOKUP(E637&amp;F637,IMPORTRANGE(""https://docs.google.com/spreadsheets/d/1Uw7-A9f9R21vMXxHZFNpYNeKFtG8_yji4HS352LGlSQ/edit?pli=1#gid=0"",""1_ACUM!A4:S""),19,FALSE))"),"")</f>
        <v/>
      </c>
      <c r="BF623" s="98" t="str">
        <f ca="1">IFERROR(__xludf.DUMMYFUNCTION("IFERROR(VLOOKUP(F637,IMPORTRANGE(""https://docs.google.com/spreadsheets/d/1Kvs4KS76FHFqLFIZfrDMff4kP08nblUkihrxltoGBjg/edit#gid=934712705"",""ESENCIAL!A6:BG""),5,FALSE))"),"")</f>
        <v/>
      </c>
      <c r="BG623" s="98" t="str">
        <f t="shared" si="21"/>
        <v/>
      </c>
      <c r="BH623" s="99" t="str">
        <f t="shared" si="22"/>
        <v/>
      </c>
      <c r="BI623" s="100" t="str">
        <f ca="1">IFERROR(__xludf.DUMMYFUNCTION("IFERROR(VLOOKUP(F637,IMPORTRANGE(""https://docs.google.com/spreadsheets/d/1Kvs4KS76FHFqLFIZfrDMff4kP08nblUkihrxltoGBjg/edit#gid=934712705"",""ESENCIAL!A6:BG""),2,FALSE))"),"")</f>
        <v/>
      </c>
      <c r="BJ623" s="19" t="str">
        <f t="shared" si="23"/>
        <v/>
      </c>
      <c r="BK623" s="100"/>
      <c r="BL623" s="100"/>
    </row>
    <row r="624" spans="1:64" ht="15">
      <c r="A624" s="5"/>
      <c r="B624" s="5"/>
      <c r="G624" s="5" t="str">
        <f ca="1">IFERROR(__xludf.DUMMYFUNCTION("IFERROR(VLOOKUP(F638,IMPORTRANGE(""https://docs.google.com/spreadsheets/d/1Kvs4KS76FHFqLFIZfrDMff4kP08nblUkihrxltoGBjg/edit#gid=934712705"",""ESENCIAL!A6:BG""),3,FALSE))"),"")</f>
        <v/>
      </c>
      <c r="H624" s="5" t="str">
        <f ca="1">IFERROR(__xludf.DUMMYFUNCTION("IFERROR(VLOOKUP(F638,IMPORTRANGE(""https://docs.google.com/spreadsheets/d/1Kvs4KS76FHFqLFIZfrDMff4kP08nblUkihrxltoGBjg/edit#gid=934712705"",""ESENCIAL!A6:BG""),8,FALSE))"),"")</f>
        <v/>
      </c>
      <c r="L624" s="287"/>
      <c r="U624" s="40"/>
      <c r="AU624" s="41" t="str">
        <f t="shared" si="20"/>
        <v/>
      </c>
      <c r="AV624" s="5" t="str">
        <f ca="1">IFERROR(__xludf.DUMMYFUNCTION("IFERROR(VLOOKUP(E638&amp;F638,IMPORTRANGE(""https://docs.google.com/spreadsheets/d/1Uw7-A9f9R21vMXxHZFNpYNeKFtG8_yji4HS352LGlSQ/edit?pli=1#gid=0"",""1_ACUM!A4:S""),11,FALSE))"),"")</f>
        <v/>
      </c>
      <c r="AW624" s="42" t="str">
        <f ca="1">IFERROR(__xludf.DUMMYFUNCTION("IFERROR(VLOOKUP(F638,IMPORTRANGE(""https://docs.google.com/spreadsheets/d/1Kvs4KS76FHFqLFIZfrDMff4kP08nblUkihrxltoGBjg/edit#gid=934712705"",""ESENCIAL!A6:BG""),15,FALSE))"),"")</f>
        <v/>
      </c>
      <c r="AX624" s="21" t="str">
        <f ca="1">IFERROR(__xludf.DUMMYFUNCTION("IFERROR(VLOOKUP(E638&amp;F638,IMPORTRANGE(""https://docs.google.com/spreadsheets/d/1Uw7-A9f9R21vMXxHZFNpYNeKFtG8_yji4HS352LGlSQ/edit?pli=1#gid=0"",""1_ACUM!A4:S""),12,FALSE))"),"")</f>
        <v/>
      </c>
      <c r="AY624" s="43" t="str">
        <f ca="1">IFERROR(__xludf.DUMMYFUNCTION("IFERROR(VLOOKUP(E638&amp;F638,IMPORTRANGE(""https://docs.google.com/spreadsheets/d/1Uw7-A9f9R21vMXxHZFNpYNeKFtG8_yji4HS352LGlSQ/edit?pli=1#gid=0"",""1_ACUM!A4:S""),13,FALSE))"),"")</f>
        <v/>
      </c>
      <c r="AZ624" s="43" t="str">
        <f ca="1">IFERROR(__xludf.DUMMYFUNCTION("IFERROR(VLOOKUP(E638&amp;F638,IMPORTRANGE(""https://docs.google.com/spreadsheets/d/1Uw7-A9f9R21vMXxHZFNpYNeKFtG8_yji4HS352LGlSQ/edit?pli=1#gid=0"",""1_ACUM!A4:S""),14,FALSE))"),"")</f>
        <v/>
      </c>
      <c r="BA624" s="43" t="str">
        <f ca="1">IFERROR(__xludf.DUMMYFUNCTION("IFERROR(VLOOKUP(E638&amp;F638,IMPORTRANGE(""https://docs.google.com/spreadsheets/d/1Uw7-A9f9R21vMXxHZFNpYNeKFtG8_yji4HS352LGlSQ/edit?pli=1#gid=0"",""1_ACUM!A4:S""),15,FALSE))"),"")</f>
        <v/>
      </c>
      <c r="BB624" s="43" t="str">
        <f ca="1">IFERROR(__xludf.DUMMYFUNCTION("IFERROR(VLOOKUP(E638&amp;F638,IMPORTRANGE(""https://docs.google.com/spreadsheets/d/1Uw7-A9f9R21vMXxHZFNpYNeKFtG8_yji4HS352LGlSQ/edit?pli=1#gid=0"",""1_ACUM!A4:S""),16,FALSE))"),"")</f>
        <v/>
      </c>
      <c r="BC624" s="43" t="str">
        <f ca="1">IFERROR(__xludf.DUMMYFUNCTION("IFERROR(VLOOKUP(E638&amp;F638,IMPORTRANGE(""https://docs.google.com/spreadsheets/d/1Uw7-A9f9R21vMXxHZFNpYNeKFtG8_yji4HS352LGlSQ/edit?pli=1#gid=0"",""1_ACUM!A4:S""),17,FALSE))"),"")</f>
        <v/>
      </c>
      <c r="BD624" s="44" t="str">
        <f ca="1">IFERROR(__xludf.DUMMYFUNCTION("IFERROR(VLOOKUP(E638&amp;F638,IMPORTRANGE(""https://docs.google.com/spreadsheets/d/1Uw7-A9f9R21vMXxHZFNpYNeKFtG8_yji4HS352LGlSQ/edit?pli=1#gid=0"",""1_ACUM!A4:S""),18,FALSE))"),"")</f>
        <v/>
      </c>
      <c r="BE624" s="44" t="str">
        <f ca="1">IFERROR(__xludf.DUMMYFUNCTION("IFERROR(VLOOKUP(E638&amp;F638,IMPORTRANGE(""https://docs.google.com/spreadsheets/d/1Uw7-A9f9R21vMXxHZFNpYNeKFtG8_yji4HS352LGlSQ/edit?pli=1#gid=0"",""1_ACUM!A4:S""),19,FALSE))"),"")</f>
        <v/>
      </c>
      <c r="BF624" s="98" t="str">
        <f ca="1">IFERROR(__xludf.DUMMYFUNCTION("IFERROR(VLOOKUP(F638,IMPORTRANGE(""https://docs.google.com/spreadsheets/d/1Kvs4KS76FHFqLFIZfrDMff4kP08nblUkihrxltoGBjg/edit#gid=934712705"",""ESENCIAL!A6:BG""),5,FALSE))"),"")</f>
        <v/>
      </c>
      <c r="BG624" s="98" t="str">
        <f t="shared" si="21"/>
        <v/>
      </c>
      <c r="BH624" s="99" t="str">
        <f t="shared" si="22"/>
        <v/>
      </c>
      <c r="BI624" s="100" t="str">
        <f ca="1">IFERROR(__xludf.DUMMYFUNCTION("IFERROR(VLOOKUP(F638,IMPORTRANGE(""https://docs.google.com/spreadsheets/d/1Kvs4KS76FHFqLFIZfrDMff4kP08nblUkihrxltoGBjg/edit#gid=934712705"",""ESENCIAL!A6:BG""),2,FALSE))"),"")</f>
        <v/>
      </c>
      <c r="BJ624" s="19" t="str">
        <f t="shared" si="23"/>
        <v/>
      </c>
      <c r="BK624" s="100"/>
      <c r="BL624" s="100"/>
    </row>
    <row r="625" spans="1:64" ht="15">
      <c r="A625" s="5"/>
      <c r="B625" s="5"/>
      <c r="G625" s="5" t="str">
        <f ca="1">IFERROR(__xludf.DUMMYFUNCTION("IFERROR(VLOOKUP(F639,IMPORTRANGE(""https://docs.google.com/spreadsheets/d/1Kvs4KS76FHFqLFIZfrDMff4kP08nblUkihrxltoGBjg/edit#gid=934712705"",""ESENCIAL!A6:BG""),3,FALSE))"),"")</f>
        <v/>
      </c>
      <c r="H625" s="5" t="str">
        <f ca="1">IFERROR(__xludf.DUMMYFUNCTION("IFERROR(VLOOKUP(F639,IMPORTRANGE(""https://docs.google.com/spreadsheets/d/1Kvs4KS76FHFqLFIZfrDMff4kP08nblUkihrxltoGBjg/edit#gid=934712705"",""ESENCIAL!A6:BG""),8,FALSE))"),"")</f>
        <v/>
      </c>
      <c r="L625" s="287"/>
      <c r="U625" s="40"/>
      <c r="AU625" s="41" t="str">
        <f t="shared" si="20"/>
        <v/>
      </c>
      <c r="AV625" s="5" t="str">
        <f ca="1">IFERROR(__xludf.DUMMYFUNCTION("IFERROR(VLOOKUP(E639&amp;F639,IMPORTRANGE(""https://docs.google.com/spreadsheets/d/1Uw7-A9f9R21vMXxHZFNpYNeKFtG8_yji4HS352LGlSQ/edit?pli=1#gid=0"",""1_ACUM!A4:S""),11,FALSE))"),"")</f>
        <v/>
      </c>
      <c r="AW625" s="42" t="str">
        <f ca="1">IFERROR(__xludf.DUMMYFUNCTION("IFERROR(VLOOKUP(F639,IMPORTRANGE(""https://docs.google.com/spreadsheets/d/1Kvs4KS76FHFqLFIZfrDMff4kP08nblUkihrxltoGBjg/edit#gid=934712705"",""ESENCIAL!A6:BG""),15,FALSE))"),"")</f>
        <v/>
      </c>
      <c r="AX625" s="21" t="str">
        <f ca="1">IFERROR(__xludf.DUMMYFUNCTION("IFERROR(VLOOKUP(E639&amp;F639,IMPORTRANGE(""https://docs.google.com/spreadsheets/d/1Uw7-A9f9R21vMXxHZFNpYNeKFtG8_yji4HS352LGlSQ/edit?pli=1#gid=0"",""1_ACUM!A4:S""),12,FALSE))"),"")</f>
        <v/>
      </c>
      <c r="AY625" s="43" t="str">
        <f ca="1">IFERROR(__xludf.DUMMYFUNCTION("IFERROR(VLOOKUP(E639&amp;F639,IMPORTRANGE(""https://docs.google.com/spreadsheets/d/1Uw7-A9f9R21vMXxHZFNpYNeKFtG8_yji4HS352LGlSQ/edit?pli=1#gid=0"",""1_ACUM!A4:S""),13,FALSE))"),"")</f>
        <v/>
      </c>
      <c r="AZ625" s="43" t="str">
        <f ca="1">IFERROR(__xludf.DUMMYFUNCTION("IFERROR(VLOOKUP(E639&amp;F639,IMPORTRANGE(""https://docs.google.com/spreadsheets/d/1Uw7-A9f9R21vMXxHZFNpYNeKFtG8_yji4HS352LGlSQ/edit?pli=1#gid=0"",""1_ACUM!A4:S""),14,FALSE))"),"")</f>
        <v/>
      </c>
      <c r="BA625" s="43" t="str">
        <f ca="1">IFERROR(__xludf.DUMMYFUNCTION("IFERROR(VLOOKUP(E639&amp;F639,IMPORTRANGE(""https://docs.google.com/spreadsheets/d/1Uw7-A9f9R21vMXxHZFNpYNeKFtG8_yji4HS352LGlSQ/edit?pli=1#gid=0"",""1_ACUM!A4:S""),15,FALSE))"),"")</f>
        <v/>
      </c>
      <c r="BB625" s="43" t="str">
        <f ca="1">IFERROR(__xludf.DUMMYFUNCTION("IFERROR(VLOOKUP(E639&amp;F639,IMPORTRANGE(""https://docs.google.com/spreadsheets/d/1Uw7-A9f9R21vMXxHZFNpYNeKFtG8_yji4HS352LGlSQ/edit?pli=1#gid=0"",""1_ACUM!A4:S""),16,FALSE))"),"")</f>
        <v/>
      </c>
      <c r="BC625" s="43" t="str">
        <f ca="1">IFERROR(__xludf.DUMMYFUNCTION("IFERROR(VLOOKUP(E639&amp;F639,IMPORTRANGE(""https://docs.google.com/spreadsheets/d/1Uw7-A9f9R21vMXxHZFNpYNeKFtG8_yji4HS352LGlSQ/edit?pli=1#gid=0"",""1_ACUM!A4:S""),17,FALSE))"),"")</f>
        <v/>
      </c>
      <c r="BD625" s="44" t="str">
        <f ca="1">IFERROR(__xludf.DUMMYFUNCTION("IFERROR(VLOOKUP(E639&amp;F639,IMPORTRANGE(""https://docs.google.com/spreadsheets/d/1Uw7-A9f9R21vMXxHZFNpYNeKFtG8_yji4HS352LGlSQ/edit?pli=1#gid=0"",""1_ACUM!A4:S""),18,FALSE))"),"")</f>
        <v/>
      </c>
      <c r="BE625" s="44" t="str">
        <f ca="1">IFERROR(__xludf.DUMMYFUNCTION("IFERROR(VLOOKUP(E639&amp;F639,IMPORTRANGE(""https://docs.google.com/spreadsheets/d/1Uw7-A9f9R21vMXxHZFNpYNeKFtG8_yji4HS352LGlSQ/edit?pli=1#gid=0"",""1_ACUM!A4:S""),19,FALSE))"),"")</f>
        <v/>
      </c>
      <c r="BF625" s="98" t="str">
        <f ca="1">IFERROR(__xludf.DUMMYFUNCTION("IFERROR(VLOOKUP(F639,IMPORTRANGE(""https://docs.google.com/spreadsheets/d/1Kvs4KS76FHFqLFIZfrDMff4kP08nblUkihrxltoGBjg/edit#gid=934712705"",""ESENCIAL!A6:BG""),5,FALSE))"),"")</f>
        <v/>
      </c>
      <c r="BG625" s="98" t="str">
        <f t="shared" si="21"/>
        <v/>
      </c>
      <c r="BH625" s="99" t="str">
        <f t="shared" si="22"/>
        <v/>
      </c>
      <c r="BI625" s="100" t="str">
        <f ca="1">IFERROR(__xludf.DUMMYFUNCTION("IFERROR(VLOOKUP(F639,IMPORTRANGE(""https://docs.google.com/spreadsheets/d/1Kvs4KS76FHFqLFIZfrDMff4kP08nblUkihrxltoGBjg/edit#gid=934712705"",""ESENCIAL!A6:BG""),2,FALSE))"),"")</f>
        <v/>
      </c>
      <c r="BJ625" s="19" t="str">
        <f t="shared" si="23"/>
        <v/>
      </c>
      <c r="BK625" s="100"/>
      <c r="BL625" s="100"/>
    </row>
    <row r="626" spans="1:64" ht="15">
      <c r="A626" s="5"/>
      <c r="B626" s="5"/>
      <c r="G626" s="5" t="str">
        <f ca="1">IFERROR(__xludf.DUMMYFUNCTION("IFERROR(VLOOKUP(F640,IMPORTRANGE(""https://docs.google.com/spreadsheets/d/1Kvs4KS76FHFqLFIZfrDMff4kP08nblUkihrxltoGBjg/edit#gid=934712705"",""ESENCIAL!A6:BG""),3,FALSE))"),"")</f>
        <v/>
      </c>
      <c r="H626" s="5" t="str">
        <f ca="1">IFERROR(__xludf.DUMMYFUNCTION("IFERROR(VLOOKUP(F640,IMPORTRANGE(""https://docs.google.com/spreadsheets/d/1Kvs4KS76FHFqLFIZfrDMff4kP08nblUkihrxltoGBjg/edit#gid=934712705"",""ESENCIAL!A6:BG""),8,FALSE))"),"")</f>
        <v/>
      </c>
      <c r="L626" s="287"/>
      <c r="U626" s="40"/>
      <c r="AU626" s="41" t="str">
        <f t="shared" si="20"/>
        <v/>
      </c>
      <c r="AV626" s="5" t="str">
        <f ca="1">IFERROR(__xludf.DUMMYFUNCTION("IFERROR(VLOOKUP(E640&amp;F640,IMPORTRANGE(""https://docs.google.com/spreadsheets/d/1Uw7-A9f9R21vMXxHZFNpYNeKFtG8_yji4HS352LGlSQ/edit?pli=1#gid=0"",""1_ACUM!A4:S""),11,FALSE))"),"")</f>
        <v/>
      </c>
      <c r="AW626" s="42" t="str">
        <f ca="1">IFERROR(__xludf.DUMMYFUNCTION("IFERROR(VLOOKUP(F640,IMPORTRANGE(""https://docs.google.com/spreadsheets/d/1Kvs4KS76FHFqLFIZfrDMff4kP08nblUkihrxltoGBjg/edit#gid=934712705"",""ESENCIAL!A6:BG""),15,FALSE))"),"")</f>
        <v/>
      </c>
      <c r="AX626" s="21" t="str">
        <f ca="1">IFERROR(__xludf.DUMMYFUNCTION("IFERROR(VLOOKUP(E640&amp;F640,IMPORTRANGE(""https://docs.google.com/spreadsheets/d/1Uw7-A9f9R21vMXxHZFNpYNeKFtG8_yji4HS352LGlSQ/edit?pli=1#gid=0"",""1_ACUM!A4:S""),12,FALSE))"),"")</f>
        <v/>
      </c>
      <c r="AY626" s="43" t="str">
        <f ca="1">IFERROR(__xludf.DUMMYFUNCTION("IFERROR(VLOOKUP(E640&amp;F640,IMPORTRANGE(""https://docs.google.com/spreadsheets/d/1Uw7-A9f9R21vMXxHZFNpYNeKFtG8_yji4HS352LGlSQ/edit?pli=1#gid=0"",""1_ACUM!A4:S""),13,FALSE))"),"")</f>
        <v/>
      </c>
      <c r="AZ626" s="43" t="str">
        <f ca="1">IFERROR(__xludf.DUMMYFUNCTION("IFERROR(VLOOKUP(E640&amp;F640,IMPORTRANGE(""https://docs.google.com/spreadsheets/d/1Uw7-A9f9R21vMXxHZFNpYNeKFtG8_yji4HS352LGlSQ/edit?pli=1#gid=0"",""1_ACUM!A4:S""),14,FALSE))"),"")</f>
        <v/>
      </c>
      <c r="BA626" s="43" t="str">
        <f ca="1">IFERROR(__xludf.DUMMYFUNCTION("IFERROR(VLOOKUP(E640&amp;F640,IMPORTRANGE(""https://docs.google.com/spreadsheets/d/1Uw7-A9f9R21vMXxHZFNpYNeKFtG8_yji4HS352LGlSQ/edit?pli=1#gid=0"",""1_ACUM!A4:S""),15,FALSE))"),"")</f>
        <v/>
      </c>
      <c r="BB626" s="43" t="str">
        <f ca="1">IFERROR(__xludf.DUMMYFUNCTION("IFERROR(VLOOKUP(E640&amp;F640,IMPORTRANGE(""https://docs.google.com/spreadsheets/d/1Uw7-A9f9R21vMXxHZFNpYNeKFtG8_yji4HS352LGlSQ/edit?pli=1#gid=0"",""1_ACUM!A4:S""),16,FALSE))"),"")</f>
        <v/>
      </c>
      <c r="BC626" s="43" t="str">
        <f ca="1">IFERROR(__xludf.DUMMYFUNCTION("IFERROR(VLOOKUP(E640&amp;F640,IMPORTRANGE(""https://docs.google.com/spreadsheets/d/1Uw7-A9f9R21vMXxHZFNpYNeKFtG8_yji4HS352LGlSQ/edit?pli=1#gid=0"",""1_ACUM!A4:S""),17,FALSE))"),"")</f>
        <v/>
      </c>
      <c r="BD626" s="44" t="str">
        <f ca="1">IFERROR(__xludf.DUMMYFUNCTION("IFERROR(VLOOKUP(E640&amp;F640,IMPORTRANGE(""https://docs.google.com/spreadsheets/d/1Uw7-A9f9R21vMXxHZFNpYNeKFtG8_yji4HS352LGlSQ/edit?pli=1#gid=0"",""1_ACUM!A4:S""),18,FALSE))"),"")</f>
        <v/>
      </c>
      <c r="BE626" s="44" t="str">
        <f ca="1">IFERROR(__xludf.DUMMYFUNCTION("IFERROR(VLOOKUP(E640&amp;F640,IMPORTRANGE(""https://docs.google.com/spreadsheets/d/1Uw7-A9f9R21vMXxHZFNpYNeKFtG8_yji4HS352LGlSQ/edit?pli=1#gid=0"",""1_ACUM!A4:S""),19,FALSE))"),"")</f>
        <v/>
      </c>
      <c r="BF626" s="98" t="str">
        <f ca="1">IFERROR(__xludf.DUMMYFUNCTION("IFERROR(VLOOKUP(F640,IMPORTRANGE(""https://docs.google.com/spreadsheets/d/1Kvs4KS76FHFqLFIZfrDMff4kP08nblUkihrxltoGBjg/edit#gid=934712705"",""ESENCIAL!A6:BG""),5,FALSE))"),"")</f>
        <v/>
      </c>
      <c r="BG626" s="98" t="str">
        <f t="shared" si="21"/>
        <v/>
      </c>
      <c r="BH626" s="99" t="str">
        <f t="shared" si="22"/>
        <v/>
      </c>
      <c r="BI626" s="100" t="str">
        <f ca="1">IFERROR(__xludf.DUMMYFUNCTION("IFERROR(VLOOKUP(F640,IMPORTRANGE(""https://docs.google.com/spreadsheets/d/1Kvs4KS76FHFqLFIZfrDMff4kP08nblUkihrxltoGBjg/edit#gid=934712705"",""ESENCIAL!A6:BG""),2,FALSE))"),"")</f>
        <v/>
      </c>
      <c r="BJ626" s="19" t="str">
        <f t="shared" si="23"/>
        <v/>
      </c>
      <c r="BK626" s="100"/>
      <c r="BL626" s="100"/>
    </row>
    <row r="627" spans="1:64" ht="15">
      <c r="A627" s="5"/>
      <c r="B627" s="5"/>
      <c r="G627" s="5" t="str">
        <f ca="1">IFERROR(__xludf.DUMMYFUNCTION("IFERROR(VLOOKUP(F641,IMPORTRANGE(""https://docs.google.com/spreadsheets/d/1Kvs4KS76FHFqLFIZfrDMff4kP08nblUkihrxltoGBjg/edit#gid=934712705"",""ESENCIAL!A6:BG""),3,FALSE))"),"")</f>
        <v/>
      </c>
      <c r="H627" s="5" t="str">
        <f ca="1">IFERROR(__xludf.DUMMYFUNCTION("IFERROR(VLOOKUP(F641,IMPORTRANGE(""https://docs.google.com/spreadsheets/d/1Kvs4KS76FHFqLFIZfrDMff4kP08nblUkihrxltoGBjg/edit#gid=934712705"",""ESENCIAL!A6:BG""),8,FALSE))"),"")</f>
        <v/>
      </c>
      <c r="L627" s="287"/>
      <c r="U627" s="40"/>
      <c r="AU627" s="41" t="str">
        <f t="shared" si="20"/>
        <v/>
      </c>
      <c r="AV627" s="5" t="str">
        <f ca="1">IFERROR(__xludf.DUMMYFUNCTION("IFERROR(VLOOKUP(E641&amp;F641,IMPORTRANGE(""https://docs.google.com/spreadsheets/d/1Uw7-A9f9R21vMXxHZFNpYNeKFtG8_yji4HS352LGlSQ/edit?pli=1#gid=0"",""1_ACUM!A4:S""),11,FALSE))"),"")</f>
        <v/>
      </c>
      <c r="AW627" s="42" t="str">
        <f ca="1">IFERROR(__xludf.DUMMYFUNCTION("IFERROR(VLOOKUP(F641,IMPORTRANGE(""https://docs.google.com/spreadsheets/d/1Kvs4KS76FHFqLFIZfrDMff4kP08nblUkihrxltoGBjg/edit#gid=934712705"",""ESENCIAL!A6:BG""),15,FALSE))"),"")</f>
        <v/>
      </c>
      <c r="AX627" s="21" t="str">
        <f ca="1">IFERROR(__xludf.DUMMYFUNCTION("IFERROR(VLOOKUP(E641&amp;F641,IMPORTRANGE(""https://docs.google.com/spreadsheets/d/1Uw7-A9f9R21vMXxHZFNpYNeKFtG8_yji4HS352LGlSQ/edit?pli=1#gid=0"",""1_ACUM!A4:S""),12,FALSE))"),"")</f>
        <v/>
      </c>
      <c r="AY627" s="43" t="str">
        <f ca="1">IFERROR(__xludf.DUMMYFUNCTION("IFERROR(VLOOKUP(E641&amp;F641,IMPORTRANGE(""https://docs.google.com/spreadsheets/d/1Uw7-A9f9R21vMXxHZFNpYNeKFtG8_yji4HS352LGlSQ/edit?pli=1#gid=0"",""1_ACUM!A4:S""),13,FALSE))"),"")</f>
        <v/>
      </c>
      <c r="AZ627" s="43" t="str">
        <f ca="1">IFERROR(__xludf.DUMMYFUNCTION("IFERROR(VLOOKUP(E641&amp;F641,IMPORTRANGE(""https://docs.google.com/spreadsheets/d/1Uw7-A9f9R21vMXxHZFNpYNeKFtG8_yji4HS352LGlSQ/edit?pli=1#gid=0"",""1_ACUM!A4:S""),14,FALSE))"),"")</f>
        <v/>
      </c>
      <c r="BA627" s="43" t="str">
        <f ca="1">IFERROR(__xludf.DUMMYFUNCTION("IFERROR(VLOOKUP(E641&amp;F641,IMPORTRANGE(""https://docs.google.com/spreadsheets/d/1Uw7-A9f9R21vMXxHZFNpYNeKFtG8_yji4HS352LGlSQ/edit?pli=1#gid=0"",""1_ACUM!A4:S""),15,FALSE))"),"")</f>
        <v/>
      </c>
      <c r="BB627" s="43" t="str">
        <f ca="1">IFERROR(__xludf.DUMMYFUNCTION("IFERROR(VLOOKUP(E641&amp;F641,IMPORTRANGE(""https://docs.google.com/spreadsheets/d/1Uw7-A9f9R21vMXxHZFNpYNeKFtG8_yji4HS352LGlSQ/edit?pli=1#gid=0"",""1_ACUM!A4:S""),16,FALSE))"),"")</f>
        <v/>
      </c>
      <c r="BC627" s="43" t="str">
        <f ca="1">IFERROR(__xludf.DUMMYFUNCTION("IFERROR(VLOOKUP(E641&amp;F641,IMPORTRANGE(""https://docs.google.com/spreadsheets/d/1Uw7-A9f9R21vMXxHZFNpYNeKFtG8_yji4HS352LGlSQ/edit?pli=1#gid=0"",""1_ACUM!A4:S""),17,FALSE))"),"")</f>
        <v/>
      </c>
      <c r="BD627" s="44" t="str">
        <f ca="1">IFERROR(__xludf.DUMMYFUNCTION("IFERROR(VLOOKUP(E641&amp;F641,IMPORTRANGE(""https://docs.google.com/spreadsheets/d/1Uw7-A9f9R21vMXxHZFNpYNeKFtG8_yji4HS352LGlSQ/edit?pli=1#gid=0"",""1_ACUM!A4:S""),18,FALSE))"),"")</f>
        <v/>
      </c>
      <c r="BE627" s="44" t="str">
        <f ca="1">IFERROR(__xludf.DUMMYFUNCTION("IFERROR(VLOOKUP(E641&amp;F641,IMPORTRANGE(""https://docs.google.com/spreadsheets/d/1Uw7-A9f9R21vMXxHZFNpYNeKFtG8_yji4HS352LGlSQ/edit?pli=1#gid=0"",""1_ACUM!A4:S""),19,FALSE))"),"")</f>
        <v/>
      </c>
      <c r="BF627" s="98" t="str">
        <f ca="1">IFERROR(__xludf.DUMMYFUNCTION("IFERROR(VLOOKUP(F641,IMPORTRANGE(""https://docs.google.com/spreadsheets/d/1Kvs4KS76FHFqLFIZfrDMff4kP08nblUkihrxltoGBjg/edit#gid=934712705"",""ESENCIAL!A6:BG""),5,FALSE))"),"")</f>
        <v/>
      </c>
      <c r="BG627" s="98" t="str">
        <f t="shared" si="21"/>
        <v/>
      </c>
      <c r="BH627" s="99" t="str">
        <f t="shared" si="22"/>
        <v/>
      </c>
      <c r="BI627" s="100" t="str">
        <f ca="1">IFERROR(__xludf.DUMMYFUNCTION("IFERROR(VLOOKUP(F641,IMPORTRANGE(""https://docs.google.com/spreadsheets/d/1Kvs4KS76FHFqLFIZfrDMff4kP08nblUkihrxltoGBjg/edit#gid=934712705"",""ESENCIAL!A6:BG""),2,FALSE))"),"")</f>
        <v/>
      </c>
      <c r="BJ627" s="19" t="str">
        <f t="shared" si="23"/>
        <v/>
      </c>
      <c r="BK627" s="100"/>
      <c r="BL627" s="100"/>
    </row>
    <row r="628" spans="1:64" ht="15">
      <c r="A628" s="5"/>
      <c r="B628" s="5"/>
      <c r="G628" s="5" t="str">
        <f ca="1">IFERROR(__xludf.DUMMYFUNCTION("IFERROR(VLOOKUP(F642,IMPORTRANGE(""https://docs.google.com/spreadsheets/d/1Kvs4KS76FHFqLFIZfrDMff4kP08nblUkihrxltoGBjg/edit#gid=934712705"",""ESENCIAL!A6:BG""),3,FALSE))"),"")</f>
        <v/>
      </c>
      <c r="H628" s="5" t="str">
        <f ca="1">IFERROR(__xludf.DUMMYFUNCTION("IFERROR(VLOOKUP(F642,IMPORTRANGE(""https://docs.google.com/spreadsheets/d/1Kvs4KS76FHFqLFIZfrDMff4kP08nblUkihrxltoGBjg/edit#gid=934712705"",""ESENCIAL!A6:BG""),8,FALSE))"),"")</f>
        <v/>
      </c>
      <c r="L628" s="287"/>
      <c r="U628" s="40"/>
      <c r="AU628" s="41" t="str">
        <f t="shared" si="20"/>
        <v/>
      </c>
      <c r="AV628" s="5" t="str">
        <f ca="1">IFERROR(__xludf.DUMMYFUNCTION("IFERROR(VLOOKUP(E642&amp;F642,IMPORTRANGE(""https://docs.google.com/spreadsheets/d/1Uw7-A9f9R21vMXxHZFNpYNeKFtG8_yji4HS352LGlSQ/edit?pli=1#gid=0"",""1_ACUM!A4:S""),11,FALSE))"),"")</f>
        <v/>
      </c>
      <c r="AW628" s="42" t="str">
        <f ca="1">IFERROR(__xludf.DUMMYFUNCTION("IFERROR(VLOOKUP(F642,IMPORTRANGE(""https://docs.google.com/spreadsheets/d/1Kvs4KS76FHFqLFIZfrDMff4kP08nblUkihrxltoGBjg/edit#gid=934712705"",""ESENCIAL!A6:BG""),15,FALSE))"),"")</f>
        <v/>
      </c>
      <c r="AX628" s="21" t="str">
        <f ca="1">IFERROR(__xludf.DUMMYFUNCTION("IFERROR(VLOOKUP(E642&amp;F642,IMPORTRANGE(""https://docs.google.com/spreadsheets/d/1Uw7-A9f9R21vMXxHZFNpYNeKFtG8_yji4HS352LGlSQ/edit?pli=1#gid=0"",""1_ACUM!A4:S""),12,FALSE))"),"")</f>
        <v/>
      </c>
      <c r="AY628" s="43" t="str">
        <f ca="1">IFERROR(__xludf.DUMMYFUNCTION("IFERROR(VLOOKUP(E642&amp;F642,IMPORTRANGE(""https://docs.google.com/spreadsheets/d/1Uw7-A9f9R21vMXxHZFNpYNeKFtG8_yji4HS352LGlSQ/edit?pli=1#gid=0"",""1_ACUM!A4:S""),13,FALSE))"),"")</f>
        <v/>
      </c>
      <c r="AZ628" s="43" t="str">
        <f ca="1">IFERROR(__xludf.DUMMYFUNCTION("IFERROR(VLOOKUP(E642&amp;F642,IMPORTRANGE(""https://docs.google.com/spreadsheets/d/1Uw7-A9f9R21vMXxHZFNpYNeKFtG8_yji4HS352LGlSQ/edit?pli=1#gid=0"",""1_ACUM!A4:S""),14,FALSE))"),"")</f>
        <v/>
      </c>
      <c r="BA628" s="43" t="str">
        <f ca="1">IFERROR(__xludf.DUMMYFUNCTION("IFERROR(VLOOKUP(E642&amp;F642,IMPORTRANGE(""https://docs.google.com/spreadsheets/d/1Uw7-A9f9R21vMXxHZFNpYNeKFtG8_yji4HS352LGlSQ/edit?pli=1#gid=0"",""1_ACUM!A4:S""),15,FALSE))"),"")</f>
        <v/>
      </c>
      <c r="BB628" s="43" t="str">
        <f ca="1">IFERROR(__xludf.DUMMYFUNCTION("IFERROR(VLOOKUP(E642&amp;F642,IMPORTRANGE(""https://docs.google.com/spreadsheets/d/1Uw7-A9f9R21vMXxHZFNpYNeKFtG8_yji4HS352LGlSQ/edit?pli=1#gid=0"",""1_ACUM!A4:S""),16,FALSE))"),"")</f>
        <v/>
      </c>
      <c r="BC628" s="43" t="str">
        <f ca="1">IFERROR(__xludf.DUMMYFUNCTION("IFERROR(VLOOKUP(E642&amp;F642,IMPORTRANGE(""https://docs.google.com/spreadsheets/d/1Uw7-A9f9R21vMXxHZFNpYNeKFtG8_yji4HS352LGlSQ/edit?pli=1#gid=0"",""1_ACUM!A4:S""),17,FALSE))"),"")</f>
        <v/>
      </c>
      <c r="BD628" s="44" t="str">
        <f ca="1">IFERROR(__xludf.DUMMYFUNCTION("IFERROR(VLOOKUP(E642&amp;F642,IMPORTRANGE(""https://docs.google.com/spreadsheets/d/1Uw7-A9f9R21vMXxHZFNpYNeKFtG8_yji4HS352LGlSQ/edit?pli=1#gid=0"",""1_ACUM!A4:S""),18,FALSE))"),"")</f>
        <v/>
      </c>
      <c r="BE628" s="44" t="str">
        <f ca="1">IFERROR(__xludf.DUMMYFUNCTION("IFERROR(VLOOKUP(E642&amp;F642,IMPORTRANGE(""https://docs.google.com/spreadsheets/d/1Uw7-A9f9R21vMXxHZFNpYNeKFtG8_yji4HS352LGlSQ/edit?pli=1#gid=0"",""1_ACUM!A4:S""),19,FALSE))"),"")</f>
        <v/>
      </c>
      <c r="BF628" s="98" t="str">
        <f ca="1">IFERROR(__xludf.DUMMYFUNCTION("IFERROR(VLOOKUP(F642,IMPORTRANGE(""https://docs.google.com/spreadsheets/d/1Kvs4KS76FHFqLFIZfrDMff4kP08nblUkihrxltoGBjg/edit#gid=934712705"",""ESENCIAL!A6:BG""),5,FALSE))"),"")</f>
        <v/>
      </c>
      <c r="BG628" s="98" t="str">
        <f t="shared" si="21"/>
        <v/>
      </c>
      <c r="BH628" s="99" t="str">
        <f t="shared" si="22"/>
        <v/>
      </c>
      <c r="BI628" s="100" t="str">
        <f ca="1">IFERROR(__xludf.DUMMYFUNCTION("IFERROR(VLOOKUP(F642,IMPORTRANGE(""https://docs.google.com/spreadsheets/d/1Kvs4KS76FHFqLFIZfrDMff4kP08nblUkihrxltoGBjg/edit#gid=934712705"",""ESENCIAL!A6:BG""),2,FALSE))"),"")</f>
        <v/>
      </c>
      <c r="BJ628" s="19" t="str">
        <f t="shared" si="23"/>
        <v/>
      </c>
      <c r="BK628" s="100"/>
      <c r="BL628" s="100"/>
    </row>
    <row r="629" spans="1:64" ht="15">
      <c r="A629" s="5"/>
      <c r="B629" s="5"/>
      <c r="G629" s="5" t="str">
        <f ca="1">IFERROR(__xludf.DUMMYFUNCTION("IFERROR(VLOOKUP(F643,IMPORTRANGE(""https://docs.google.com/spreadsheets/d/1Kvs4KS76FHFqLFIZfrDMff4kP08nblUkihrxltoGBjg/edit#gid=934712705"",""ESENCIAL!A6:BG""),3,FALSE))"),"")</f>
        <v/>
      </c>
      <c r="H629" s="5" t="str">
        <f ca="1">IFERROR(__xludf.DUMMYFUNCTION("IFERROR(VLOOKUP(F643,IMPORTRANGE(""https://docs.google.com/spreadsheets/d/1Kvs4KS76FHFqLFIZfrDMff4kP08nblUkihrxltoGBjg/edit#gid=934712705"",""ESENCIAL!A6:BG""),8,FALSE))"),"")</f>
        <v/>
      </c>
      <c r="L629" s="287"/>
      <c r="U629" s="40"/>
      <c r="AU629" s="41" t="str">
        <f t="shared" si="20"/>
        <v/>
      </c>
      <c r="AV629" s="5" t="str">
        <f ca="1">IFERROR(__xludf.DUMMYFUNCTION("IFERROR(VLOOKUP(E643&amp;F643,IMPORTRANGE(""https://docs.google.com/spreadsheets/d/1Uw7-A9f9R21vMXxHZFNpYNeKFtG8_yji4HS352LGlSQ/edit?pli=1#gid=0"",""1_ACUM!A4:S""),11,FALSE))"),"")</f>
        <v/>
      </c>
      <c r="AW629" s="42" t="str">
        <f ca="1">IFERROR(__xludf.DUMMYFUNCTION("IFERROR(VLOOKUP(F643,IMPORTRANGE(""https://docs.google.com/spreadsheets/d/1Kvs4KS76FHFqLFIZfrDMff4kP08nblUkihrxltoGBjg/edit#gid=934712705"",""ESENCIAL!A6:BG""),15,FALSE))"),"")</f>
        <v/>
      </c>
      <c r="AX629" s="21" t="str">
        <f ca="1">IFERROR(__xludf.DUMMYFUNCTION("IFERROR(VLOOKUP(E643&amp;F643,IMPORTRANGE(""https://docs.google.com/spreadsheets/d/1Uw7-A9f9R21vMXxHZFNpYNeKFtG8_yji4HS352LGlSQ/edit?pli=1#gid=0"",""1_ACUM!A4:S""),12,FALSE))"),"")</f>
        <v/>
      </c>
      <c r="AY629" s="43" t="str">
        <f ca="1">IFERROR(__xludf.DUMMYFUNCTION("IFERROR(VLOOKUP(E643&amp;F643,IMPORTRANGE(""https://docs.google.com/spreadsheets/d/1Uw7-A9f9R21vMXxHZFNpYNeKFtG8_yji4HS352LGlSQ/edit?pli=1#gid=0"",""1_ACUM!A4:S""),13,FALSE))"),"")</f>
        <v/>
      </c>
      <c r="AZ629" s="43" t="str">
        <f ca="1">IFERROR(__xludf.DUMMYFUNCTION("IFERROR(VLOOKUP(E643&amp;F643,IMPORTRANGE(""https://docs.google.com/spreadsheets/d/1Uw7-A9f9R21vMXxHZFNpYNeKFtG8_yji4HS352LGlSQ/edit?pli=1#gid=0"",""1_ACUM!A4:S""),14,FALSE))"),"")</f>
        <v/>
      </c>
      <c r="BA629" s="43" t="str">
        <f ca="1">IFERROR(__xludf.DUMMYFUNCTION("IFERROR(VLOOKUP(E643&amp;F643,IMPORTRANGE(""https://docs.google.com/spreadsheets/d/1Uw7-A9f9R21vMXxHZFNpYNeKFtG8_yji4HS352LGlSQ/edit?pli=1#gid=0"",""1_ACUM!A4:S""),15,FALSE))"),"")</f>
        <v/>
      </c>
      <c r="BB629" s="43" t="str">
        <f ca="1">IFERROR(__xludf.DUMMYFUNCTION("IFERROR(VLOOKUP(E643&amp;F643,IMPORTRANGE(""https://docs.google.com/spreadsheets/d/1Uw7-A9f9R21vMXxHZFNpYNeKFtG8_yji4HS352LGlSQ/edit?pli=1#gid=0"",""1_ACUM!A4:S""),16,FALSE))"),"")</f>
        <v/>
      </c>
      <c r="BC629" s="43" t="str">
        <f ca="1">IFERROR(__xludf.DUMMYFUNCTION("IFERROR(VLOOKUP(E643&amp;F643,IMPORTRANGE(""https://docs.google.com/spreadsheets/d/1Uw7-A9f9R21vMXxHZFNpYNeKFtG8_yji4HS352LGlSQ/edit?pli=1#gid=0"",""1_ACUM!A4:S""),17,FALSE))"),"")</f>
        <v/>
      </c>
      <c r="BD629" s="44" t="str">
        <f ca="1">IFERROR(__xludf.DUMMYFUNCTION("IFERROR(VLOOKUP(E643&amp;F643,IMPORTRANGE(""https://docs.google.com/spreadsheets/d/1Uw7-A9f9R21vMXxHZFNpYNeKFtG8_yji4HS352LGlSQ/edit?pli=1#gid=0"",""1_ACUM!A4:S""),18,FALSE))"),"")</f>
        <v/>
      </c>
      <c r="BE629" s="44" t="str">
        <f ca="1">IFERROR(__xludf.DUMMYFUNCTION("IFERROR(VLOOKUP(E643&amp;F643,IMPORTRANGE(""https://docs.google.com/spreadsheets/d/1Uw7-A9f9R21vMXxHZFNpYNeKFtG8_yji4HS352LGlSQ/edit?pli=1#gid=0"",""1_ACUM!A4:S""),19,FALSE))"),"")</f>
        <v/>
      </c>
      <c r="BF629" s="98" t="str">
        <f ca="1">IFERROR(__xludf.DUMMYFUNCTION("IFERROR(VLOOKUP(F643,IMPORTRANGE(""https://docs.google.com/spreadsheets/d/1Kvs4KS76FHFqLFIZfrDMff4kP08nblUkihrxltoGBjg/edit#gid=934712705"",""ESENCIAL!A6:BG""),5,FALSE))"),"")</f>
        <v/>
      </c>
      <c r="BG629" s="98" t="str">
        <f t="shared" si="21"/>
        <v/>
      </c>
      <c r="BH629" s="99" t="str">
        <f t="shared" si="22"/>
        <v/>
      </c>
      <c r="BI629" s="100" t="str">
        <f ca="1">IFERROR(__xludf.DUMMYFUNCTION("IFERROR(VLOOKUP(F643,IMPORTRANGE(""https://docs.google.com/spreadsheets/d/1Kvs4KS76FHFqLFIZfrDMff4kP08nblUkihrxltoGBjg/edit#gid=934712705"",""ESENCIAL!A6:BG""),2,FALSE))"),"")</f>
        <v/>
      </c>
      <c r="BJ629" s="19" t="str">
        <f t="shared" si="23"/>
        <v/>
      </c>
      <c r="BK629" s="100"/>
      <c r="BL629" s="100"/>
    </row>
    <row r="630" spans="1:64" ht="15">
      <c r="A630" s="5"/>
      <c r="B630" s="5"/>
      <c r="G630" s="5" t="str">
        <f ca="1">IFERROR(__xludf.DUMMYFUNCTION("IFERROR(VLOOKUP(F644,IMPORTRANGE(""https://docs.google.com/spreadsheets/d/1Kvs4KS76FHFqLFIZfrDMff4kP08nblUkihrxltoGBjg/edit#gid=934712705"",""ESENCIAL!A6:BG""),3,FALSE))"),"")</f>
        <v/>
      </c>
      <c r="H630" s="5" t="str">
        <f ca="1">IFERROR(__xludf.DUMMYFUNCTION("IFERROR(VLOOKUP(F644,IMPORTRANGE(""https://docs.google.com/spreadsheets/d/1Kvs4KS76FHFqLFIZfrDMff4kP08nblUkihrxltoGBjg/edit#gid=934712705"",""ESENCIAL!A6:BG""),8,FALSE))"),"")</f>
        <v/>
      </c>
      <c r="L630" s="287"/>
      <c r="U630" s="40"/>
      <c r="AU630" s="41" t="str">
        <f t="shared" si="20"/>
        <v/>
      </c>
      <c r="AV630" s="5" t="str">
        <f ca="1">IFERROR(__xludf.DUMMYFUNCTION("IFERROR(VLOOKUP(E644&amp;F644,IMPORTRANGE(""https://docs.google.com/spreadsheets/d/1Uw7-A9f9R21vMXxHZFNpYNeKFtG8_yji4HS352LGlSQ/edit?pli=1#gid=0"",""1_ACUM!A4:S""),11,FALSE))"),"")</f>
        <v/>
      </c>
      <c r="AW630" s="42" t="str">
        <f ca="1">IFERROR(__xludf.DUMMYFUNCTION("IFERROR(VLOOKUP(F644,IMPORTRANGE(""https://docs.google.com/spreadsheets/d/1Kvs4KS76FHFqLFIZfrDMff4kP08nblUkihrxltoGBjg/edit#gid=934712705"",""ESENCIAL!A6:BG""),15,FALSE))"),"")</f>
        <v/>
      </c>
      <c r="AX630" s="21" t="str">
        <f ca="1">IFERROR(__xludf.DUMMYFUNCTION("IFERROR(VLOOKUP(E644&amp;F644,IMPORTRANGE(""https://docs.google.com/spreadsheets/d/1Uw7-A9f9R21vMXxHZFNpYNeKFtG8_yji4HS352LGlSQ/edit?pli=1#gid=0"",""1_ACUM!A4:S""),12,FALSE))"),"")</f>
        <v/>
      </c>
      <c r="AY630" s="43" t="str">
        <f ca="1">IFERROR(__xludf.DUMMYFUNCTION("IFERROR(VLOOKUP(E644&amp;F644,IMPORTRANGE(""https://docs.google.com/spreadsheets/d/1Uw7-A9f9R21vMXxHZFNpYNeKFtG8_yji4HS352LGlSQ/edit?pli=1#gid=0"",""1_ACUM!A4:S""),13,FALSE))"),"")</f>
        <v/>
      </c>
      <c r="AZ630" s="43" t="str">
        <f ca="1">IFERROR(__xludf.DUMMYFUNCTION("IFERROR(VLOOKUP(E644&amp;F644,IMPORTRANGE(""https://docs.google.com/spreadsheets/d/1Uw7-A9f9R21vMXxHZFNpYNeKFtG8_yji4HS352LGlSQ/edit?pli=1#gid=0"",""1_ACUM!A4:S""),14,FALSE))"),"")</f>
        <v/>
      </c>
      <c r="BA630" s="43" t="str">
        <f ca="1">IFERROR(__xludf.DUMMYFUNCTION("IFERROR(VLOOKUP(E644&amp;F644,IMPORTRANGE(""https://docs.google.com/spreadsheets/d/1Uw7-A9f9R21vMXxHZFNpYNeKFtG8_yji4HS352LGlSQ/edit?pli=1#gid=0"",""1_ACUM!A4:S""),15,FALSE))"),"")</f>
        <v/>
      </c>
      <c r="BB630" s="43" t="str">
        <f ca="1">IFERROR(__xludf.DUMMYFUNCTION("IFERROR(VLOOKUP(E644&amp;F644,IMPORTRANGE(""https://docs.google.com/spreadsheets/d/1Uw7-A9f9R21vMXxHZFNpYNeKFtG8_yji4HS352LGlSQ/edit?pli=1#gid=0"",""1_ACUM!A4:S""),16,FALSE))"),"")</f>
        <v/>
      </c>
      <c r="BC630" s="43" t="str">
        <f ca="1">IFERROR(__xludf.DUMMYFUNCTION("IFERROR(VLOOKUP(E644&amp;F644,IMPORTRANGE(""https://docs.google.com/spreadsheets/d/1Uw7-A9f9R21vMXxHZFNpYNeKFtG8_yji4HS352LGlSQ/edit?pli=1#gid=0"",""1_ACUM!A4:S""),17,FALSE))"),"")</f>
        <v/>
      </c>
      <c r="BD630" s="44" t="str">
        <f ca="1">IFERROR(__xludf.DUMMYFUNCTION("IFERROR(VLOOKUP(E644&amp;F644,IMPORTRANGE(""https://docs.google.com/spreadsheets/d/1Uw7-A9f9R21vMXxHZFNpYNeKFtG8_yji4HS352LGlSQ/edit?pli=1#gid=0"",""1_ACUM!A4:S""),18,FALSE))"),"")</f>
        <v/>
      </c>
      <c r="BE630" s="44" t="str">
        <f ca="1">IFERROR(__xludf.DUMMYFUNCTION("IFERROR(VLOOKUP(E644&amp;F644,IMPORTRANGE(""https://docs.google.com/spreadsheets/d/1Uw7-A9f9R21vMXxHZFNpYNeKFtG8_yji4HS352LGlSQ/edit?pli=1#gid=0"",""1_ACUM!A4:S""),19,FALSE))"),"")</f>
        <v/>
      </c>
      <c r="BF630" s="98" t="str">
        <f ca="1">IFERROR(__xludf.DUMMYFUNCTION("IFERROR(VLOOKUP(F644,IMPORTRANGE(""https://docs.google.com/spreadsheets/d/1Kvs4KS76FHFqLFIZfrDMff4kP08nblUkihrxltoGBjg/edit#gid=934712705"",""ESENCIAL!A6:BG""),5,FALSE))"),"")</f>
        <v/>
      </c>
      <c r="BG630" s="98" t="str">
        <f t="shared" si="21"/>
        <v/>
      </c>
      <c r="BH630" s="99" t="str">
        <f t="shared" si="22"/>
        <v/>
      </c>
      <c r="BI630" s="100" t="str">
        <f ca="1">IFERROR(__xludf.DUMMYFUNCTION("IFERROR(VLOOKUP(F644,IMPORTRANGE(""https://docs.google.com/spreadsheets/d/1Kvs4KS76FHFqLFIZfrDMff4kP08nblUkihrxltoGBjg/edit#gid=934712705"",""ESENCIAL!A6:BG""),2,FALSE))"),"")</f>
        <v/>
      </c>
      <c r="BJ630" s="19" t="str">
        <f t="shared" si="23"/>
        <v/>
      </c>
      <c r="BK630" s="100"/>
      <c r="BL630" s="100"/>
    </row>
    <row r="631" spans="1:64" ht="15">
      <c r="A631" s="5"/>
      <c r="B631" s="5"/>
      <c r="G631" s="5" t="str">
        <f ca="1">IFERROR(__xludf.DUMMYFUNCTION("IFERROR(VLOOKUP(F645,IMPORTRANGE(""https://docs.google.com/spreadsheets/d/1Kvs4KS76FHFqLFIZfrDMff4kP08nblUkihrxltoGBjg/edit#gid=934712705"",""ESENCIAL!A6:BG""),3,FALSE))"),"")</f>
        <v/>
      </c>
      <c r="H631" s="5" t="str">
        <f ca="1">IFERROR(__xludf.DUMMYFUNCTION("IFERROR(VLOOKUP(F645,IMPORTRANGE(""https://docs.google.com/spreadsheets/d/1Kvs4KS76FHFqLFIZfrDMff4kP08nblUkihrxltoGBjg/edit#gid=934712705"",""ESENCIAL!A6:BG""),8,FALSE))"),"")</f>
        <v/>
      </c>
      <c r="L631" s="287"/>
      <c r="U631" s="40"/>
      <c r="AU631" s="41" t="str">
        <f t="shared" si="20"/>
        <v/>
      </c>
      <c r="AV631" s="5" t="str">
        <f ca="1">IFERROR(__xludf.DUMMYFUNCTION("IFERROR(VLOOKUP(E645&amp;F645,IMPORTRANGE(""https://docs.google.com/spreadsheets/d/1Uw7-A9f9R21vMXxHZFNpYNeKFtG8_yji4HS352LGlSQ/edit?pli=1#gid=0"",""1_ACUM!A4:S""),11,FALSE))"),"")</f>
        <v/>
      </c>
      <c r="AW631" s="42" t="str">
        <f ca="1">IFERROR(__xludf.DUMMYFUNCTION("IFERROR(VLOOKUP(F645,IMPORTRANGE(""https://docs.google.com/spreadsheets/d/1Kvs4KS76FHFqLFIZfrDMff4kP08nblUkihrxltoGBjg/edit#gid=934712705"",""ESENCIAL!A6:BG""),15,FALSE))"),"")</f>
        <v/>
      </c>
      <c r="AX631" s="21" t="str">
        <f ca="1">IFERROR(__xludf.DUMMYFUNCTION("IFERROR(VLOOKUP(E645&amp;F645,IMPORTRANGE(""https://docs.google.com/spreadsheets/d/1Uw7-A9f9R21vMXxHZFNpYNeKFtG8_yji4HS352LGlSQ/edit?pli=1#gid=0"",""1_ACUM!A4:S""),12,FALSE))"),"")</f>
        <v/>
      </c>
      <c r="AY631" s="43" t="str">
        <f ca="1">IFERROR(__xludf.DUMMYFUNCTION("IFERROR(VLOOKUP(E645&amp;F645,IMPORTRANGE(""https://docs.google.com/spreadsheets/d/1Uw7-A9f9R21vMXxHZFNpYNeKFtG8_yji4HS352LGlSQ/edit?pli=1#gid=0"",""1_ACUM!A4:S""),13,FALSE))"),"")</f>
        <v/>
      </c>
      <c r="AZ631" s="43" t="str">
        <f ca="1">IFERROR(__xludf.DUMMYFUNCTION("IFERROR(VLOOKUP(E645&amp;F645,IMPORTRANGE(""https://docs.google.com/spreadsheets/d/1Uw7-A9f9R21vMXxHZFNpYNeKFtG8_yji4HS352LGlSQ/edit?pli=1#gid=0"",""1_ACUM!A4:S""),14,FALSE))"),"")</f>
        <v/>
      </c>
      <c r="BA631" s="43" t="str">
        <f ca="1">IFERROR(__xludf.DUMMYFUNCTION("IFERROR(VLOOKUP(E645&amp;F645,IMPORTRANGE(""https://docs.google.com/spreadsheets/d/1Uw7-A9f9R21vMXxHZFNpYNeKFtG8_yji4HS352LGlSQ/edit?pli=1#gid=0"",""1_ACUM!A4:S""),15,FALSE))"),"")</f>
        <v/>
      </c>
      <c r="BB631" s="43" t="str">
        <f ca="1">IFERROR(__xludf.DUMMYFUNCTION("IFERROR(VLOOKUP(E645&amp;F645,IMPORTRANGE(""https://docs.google.com/spreadsheets/d/1Uw7-A9f9R21vMXxHZFNpYNeKFtG8_yji4HS352LGlSQ/edit?pli=1#gid=0"",""1_ACUM!A4:S""),16,FALSE))"),"")</f>
        <v/>
      </c>
      <c r="BC631" s="43" t="str">
        <f ca="1">IFERROR(__xludf.DUMMYFUNCTION("IFERROR(VLOOKUP(E645&amp;F645,IMPORTRANGE(""https://docs.google.com/spreadsheets/d/1Uw7-A9f9R21vMXxHZFNpYNeKFtG8_yji4HS352LGlSQ/edit?pli=1#gid=0"",""1_ACUM!A4:S""),17,FALSE))"),"")</f>
        <v/>
      </c>
      <c r="BD631" s="44" t="str">
        <f ca="1">IFERROR(__xludf.DUMMYFUNCTION("IFERROR(VLOOKUP(E645&amp;F645,IMPORTRANGE(""https://docs.google.com/spreadsheets/d/1Uw7-A9f9R21vMXxHZFNpYNeKFtG8_yji4HS352LGlSQ/edit?pli=1#gid=0"",""1_ACUM!A4:S""),18,FALSE))"),"")</f>
        <v/>
      </c>
      <c r="BE631" s="44" t="str">
        <f ca="1">IFERROR(__xludf.DUMMYFUNCTION("IFERROR(VLOOKUP(E645&amp;F645,IMPORTRANGE(""https://docs.google.com/spreadsheets/d/1Uw7-A9f9R21vMXxHZFNpYNeKFtG8_yji4HS352LGlSQ/edit?pli=1#gid=0"",""1_ACUM!A4:S""),19,FALSE))"),"")</f>
        <v/>
      </c>
      <c r="BF631" s="98" t="str">
        <f ca="1">IFERROR(__xludf.DUMMYFUNCTION("IFERROR(VLOOKUP(F645,IMPORTRANGE(""https://docs.google.com/spreadsheets/d/1Kvs4KS76FHFqLFIZfrDMff4kP08nblUkihrxltoGBjg/edit#gid=934712705"",""ESENCIAL!A6:BG""),5,FALSE))"),"")</f>
        <v/>
      </c>
      <c r="BG631" s="98" t="str">
        <f t="shared" si="21"/>
        <v/>
      </c>
      <c r="BH631" s="99" t="str">
        <f t="shared" si="22"/>
        <v/>
      </c>
      <c r="BI631" s="100" t="str">
        <f ca="1">IFERROR(__xludf.DUMMYFUNCTION("IFERROR(VLOOKUP(F645,IMPORTRANGE(""https://docs.google.com/spreadsheets/d/1Kvs4KS76FHFqLFIZfrDMff4kP08nblUkihrxltoGBjg/edit#gid=934712705"",""ESENCIAL!A6:BG""),2,FALSE))"),"")</f>
        <v/>
      </c>
      <c r="BJ631" s="19" t="str">
        <f t="shared" si="23"/>
        <v/>
      </c>
      <c r="BK631" s="100"/>
      <c r="BL631" s="100"/>
    </row>
    <row r="632" spans="1:64" ht="15">
      <c r="A632" s="5"/>
      <c r="B632" s="5"/>
      <c r="G632" s="5" t="str">
        <f ca="1">IFERROR(__xludf.DUMMYFUNCTION("IFERROR(VLOOKUP(F646,IMPORTRANGE(""https://docs.google.com/spreadsheets/d/1Kvs4KS76FHFqLFIZfrDMff4kP08nblUkihrxltoGBjg/edit#gid=934712705"",""ESENCIAL!A6:BG""),3,FALSE))"),"")</f>
        <v/>
      </c>
      <c r="H632" s="5" t="str">
        <f ca="1">IFERROR(__xludf.DUMMYFUNCTION("IFERROR(VLOOKUP(F646,IMPORTRANGE(""https://docs.google.com/spreadsheets/d/1Kvs4KS76FHFqLFIZfrDMff4kP08nblUkihrxltoGBjg/edit#gid=934712705"",""ESENCIAL!A6:BG""),8,FALSE))"),"")</f>
        <v/>
      </c>
      <c r="L632" s="287"/>
      <c r="U632" s="40"/>
      <c r="AU632" s="41" t="str">
        <f t="shared" si="20"/>
        <v/>
      </c>
      <c r="AV632" s="5" t="str">
        <f ca="1">IFERROR(__xludf.DUMMYFUNCTION("IFERROR(VLOOKUP(E646&amp;F646,IMPORTRANGE(""https://docs.google.com/spreadsheets/d/1Uw7-A9f9R21vMXxHZFNpYNeKFtG8_yji4HS352LGlSQ/edit?pli=1#gid=0"",""1_ACUM!A4:S""),11,FALSE))"),"")</f>
        <v/>
      </c>
      <c r="AW632" s="42" t="str">
        <f ca="1">IFERROR(__xludf.DUMMYFUNCTION("IFERROR(VLOOKUP(F646,IMPORTRANGE(""https://docs.google.com/spreadsheets/d/1Kvs4KS76FHFqLFIZfrDMff4kP08nblUkihrxltoGBjg/edit#gid=934712705"",""ESENCIAL!A6:BG""),15,FALSE))"),"")</f>
        <v/>
      </c>
      <c r="AX632" s="21" t="str">
        <f ca="1">IFERROR(__xludf.DUMMYFUNCTION("IFERROR(VLOOKUP(E646&amp;F646,IMPORTRANGE(""https://docs.google.com/spreadsheets/d/1Uw7-A9f9R21vMXxHZFNpYNeKFtG8_yji4HS352LGlSQ/edit?pli=1#gid=0"",""1_ACUM!A4:S""),12,FALSE))"),"")</f>
        <v/>
      </c>
      <c r="AY632" s="43" t="str">
        <f ca="1">IFERROR(__xludf.DUMMYFUNCTION("IFERROR(VLOOKUP(E646&amp;F646,IMPORTRANGE(""https://docs.google.com/spreadsheets/d/1Uw7-A9f9R21vMXxHZFNpYNeKFtG8_yji4HS352LGlSQ/edit?pli=1#gid=0"",""1_ACUM!A4:S""),13,FALSE))"),"")</f>
        <v/>
      </c>
      <c r="AZ632" s="43" t="str">
        <f ca="1">IFERROR(__xludf.DUMMYFUNCTION("IFERROR(VLOOKUP(E646&amp;F646,IMPORTRANGE(""https://docs.google.com/spreadsheets/d/1Uw7-A9f9R21vMXxHZFNpYNeKFtG8_yji4HS352LGlSQ/edit?pli=1#gid=0"",""1_ACUM!A4:S""),14,FALSE))"),"")</f>
        <v/>
      </c>
      <c r="BA632" s="43" t="str">
        <f ca="1">IFERROR(__xludf.DUMMYFUNCTION("IFERROR(VLOOKUP(E646&amp;F646,IMPORTRANGE(""https://docs.google.com/spreadsheets/d/1Uw7-A9f9R21vMXxHZFNpYNeKFtG8_yji4HS352LGlSQ/edit?pli=1#gid=0"",""1_ACUM!A4:S""),15,FALSE))"),"")</f>
        <v/>
      </c>
      <c r="BB632" s="43" t="str">
        <f ca="1">IFERROR(__xludf.DUMMYFUNCTION("IFERROR(VLOOKUP(E646&amp;F646,IMPORTRANGE(""https://docs.google.com/spreadsheets/d/1Uw7-A9f9R21vMXxHZFNpYNeKFtG8_yji4HS352LGlSQ/edit?pli=1#gid=0"",""1_ACUM!A4:S""),16,FALSE))"),"")</f>
        <v/>
      </c>
      <c r="BC632" s="43" t="str">
        <f ca="1">IFERROR(__xludf.DUMMYFUNCTION("IFERROR(VLOOKUP(E646&amp;F646,IMPORTRANGE(""https://docs.google.com/spreadsheets/d/1Uw7-A9f9R21vMXxHZFNpYNeKFtG8_yji4HS352LGlSQ/edit?pli=1#gid=0"",""1_ACUM!A4:S""),17,FALSE))"),"")</f>
        <v/>
      </c>
      <c r="BD632" s="44" t="str">
        <f ca="1">IFERROR(__xludf.DUMMYFUNCTION("IFERROR(VLOOKUP(E646&amp;F646,IMPORTRANGE(""https://docs.google.com/spreadsheets/d/1Uw7-A9f9R21vMXxHZFNpYNeKFtG8_yji4HS352LGlSQ/edit?pli=1#gid=0"",""1_ACUM!A4:S""),18,FALSE))"),"")</f>
        <v/>
      </c>
      <c r="BE632" s="44" t="str">
        <f ca="1">IFERROR(__xludf.DUMMYFUNCTION("IFERROR(VLOOKUP(E646&amp;F646,IMPORTRANGE(""https://docs.google.com/spreadsheets/d/1Uw7-A9f9R21vMXxHZFNpYNeKFtG8_yji4HS352LGlSQ/edit?pli=1#gid=0"",""1_ACUM!A4:S""),19,FALSE))"),"")</f>
        <v/>
      </c>
      <c r="BF632" s="98" t="str">
        <f ca="1">IFERROR(__xludf.DUMMYFUNCTION("IFERROR(VLOOKUP(F646,IMPORTRANGE(""https://docs.google.com/spreadsheets/d/1Kvs4KS76FHFqLFIZfrDMff4kP08nblUkihrxltoGBjg/edit#gid=934712705"",""ESENCIAL!A6:BG""),5,FALSE))"),"")</f>
        <v/>
      </c>
      <c r="BG632" s="98" t="str">
        <f t="shared" si="21"/>
        <v/>
      </c>
      <c r="BH632" s="99" t="str">
        <f t="shared" si="22"/>
        <v/>
      </c>
      <c r="BI632" s="100" t="str">
        <f ca="1">IFERROR(__xludf.DUMMYFUNCTION("IFERROR(VLOOKUP(F646,IMPORTRANGE(""https://docs.google.com/spreadsheets/d/1Kvs4KS76FHFqLFIZfrDMff4kP08nblUkihrxltoGBjg/edit#gid=934712705"",""ESENCIAL!A6:BG""),2,FALSE))"),"")</f>
        <v/>
      </c>
      <c r="BJ632" s="19" t="str">
        <f t="shared" si="23"/>
        <v/>
      </c>
      <c r="BK632" s="100"/>
      <c r="BL632" s="100"/>
    </row>
    <row r="633" spans="1:64" ht="15">
      <c r="A633" s="5"/>
      <c r="B633" s="5"/>
      <c r="G633" s="5" t="str">
        <f ca="1">IFERROR(__xludf.DUMMYFUNCTION("IFERROR(VLOOKUP(F647,IMPORTRANGE(""https://docs.google.com/spreadsheets/d/1Kvs4KS76FHFqLFIZfrDMff4kP08nblUkihrxltoGBjg/edit#gid=934712705"",""ESENCIAL!A6:BG""),3,FALSE))"),"")</f>
        <v/>
      </c>
      <c r="H633" s="5" t="str">
        <f ca="1">IFERROR(__xludf.DUMMYFUNCTION("IFERROR(VLOOKUP(F647,IMPORTRANGE(""https://docs.google.com/spreadsheets/d/1Kvs4KS76FHFqLFIZfrDMff4kP08nblUkihrxltoGBjg/edit#gid=934712705"",""ESENCIAL!A6:BG""),8,FALSE))"),"")</f>
        <v/>
      </c>
      <c r="L633" s="287"/>
      <c r="U633" s="40"/>
      <c r="AU633" s="41" t="str">
        <f t="shared" si="20"/>
        <v/>
      </c>
      <c r="AV633" s="5" t="str">
        <f ca="1">IFERROR(__xludf.DUMMYFUNCTION("IFERROR(VLOOKUP(E647&amp;F647,IMPORTRANGE(""https://docs.google.com/spreadsheets/d/1Uw7-A9f9R21vMXxHZFNpYNeKFtG8_yji4HS352LGlSQ/edit?pli=1#gid=0"",""1_ACUM!A4:S""),11,FALSE))"),"")</f>
        <v/>
      </c>
      <c r="AW633" s="42" t="str">
        <f ca="1">IFERROR(__xludf.DUMMYFUNCTION("IFERROR(VLOOKUP(F647,IMPORTRANGE(""https://docs.google.com/spreadsheets/d/1Kvs4KS76FHFqLFIZfrDMff4kP08nblUkihrxltoGBjg/edit#gid=934712705"",""ESENCIAL!A6:BG""),15,FALSE))"),"")</f>
        <v/>
      </c>
      <c r="AX633" s="21" t="str">
        <f ca="1">IFERROR(__xludf.DUMMYFUNCTION("IFERROR(VLOOKUP(E647&amp;F647,IMPORTRANGE(""https://docs.google.com/spreadsheets/d/1Uw7-A9f9R21vMXxHZFNpYNeKFtG8_yji4HS352LGlSQ/edit?pli=1#gid=0"",""1_ACUM!A4:S""),12,FALSE))"),"")</f>
        <v/>
      </c>
      <c r="AY633" s="43" t="str">
        <f ca="1">IFERROR(__xludf.DUMMYFUNCTION("IFERROR(VLOOKUP(E647&amp;F647,IMPORTRANGE(""https://docs.google.com/spreadsheets/d/1Uw7-A9f9R21vMXxHZFNpYNeKFtG8_yji4HS352LGlSQ/edit?pli=1#gid=0"",""1_ACUM!A4:S""),13,FALSE))"),"")</f>
        <v/>
      </c>
      <c r="AZ633" s="43" t="str">
        <f ca="1">IFERROR(__xludf.DUMMYFUNCTION("IFERROR(VLOOKUP(E647&amp;F647,IMPORTRANGE(""https://docs.google.com/spreadsheets/d/1Uw7-A9f9R21vMXxHZFNpYNeKFtG8_yji4HS352LGlSQ/edit?pli=1#gid=0"",""1_ACUM!A4:S""),14,FALSE))"),"")</f>
        <v/>
      </c>
      <c r="BA633" s="43" t="str">
        <f ca="1">IFERROR(__xludf.DUMMYFUNCTION("IFERROR(VLOOKUP(E647&amp;F647,IMPORTRANGE(""https://docs.google.com/spreadsheets/d/1Uw7-A9f9R21vMXxHZFNpYNeKFtG8_yji4HS352LGlSQ/edit?pli=1#gid=0"",""1_ACUM!A4:S""),15,FALSE))"),"")</f>
        <v/>
      </c>
      <c r="BB633" s="43" t="str">
        <f ca="1">IFERROR(__xludf.DUMMYFUNCTION("IFERROR(VLOOKUP(E647&amp;F647,IMPORTRANGE(""https://docs.google.com/spreadsheets/d/1Uw7-A9f9R21vMXxHZFNpYNeKFtG8_yji4HS352LGlSQ/edit?pli=1#gid=0"",""1_ACUM!A4:S""),16,FALSE))"),"")</f>
        <v/>
      </c>
      <c r="BC633" s="43" t="str">
        <f ca="1">IFERROR(__xludf.DUMMYFUNCTION("IFERROR(VLOOKUP(E647&amp;F647,IMPORTRANGE(""https://docs.google.com/spreadsheets/d/1Uw7-A9f9R21vMXxHZFNpYNeKFtG8_yji4HS352LGlSQ/edit?pli=1#gid=0"",""1_ACUM!A4:S""),17,FALSE))"),"")</f>
        <v/>
      </c>
      <c r="BD633" s="44" t="str">
        <f ca="1">IFERROR(__xludf.DUMMYFUNCTION("IFERROR(VLOOKUP(E647&amp;F647,IMPORTRANGE(""https://docs.google.com/spreadsheets/d/1Uw7-A9f9R21vMXxHZFNpYNeKFtG8_yji4HS352LGlSQ/edit?pli=1#gid=0"",""1_ACUM!A4:S""),18,FALSE))"),"")</f>
        <v/>
      </c>
      <c r="BE633" s="44" t="str">
        <f ca="1">IFERROR(__xludf.DUMMYFUNCTION("IFERROR(VLOOKUP(E647&amp;F647,IMPORTRANGE(""https://docs.google.com/spreadsheets/d/1Uw7-A9f9R21vMXxHZFNpYNeKFtG8_yji4HS352LGlSQ/edit?pli=1#gid=0"",""1_ACUM!A4:S""),19,FALSE))"),"")</f>
        <v/>
      </c>
      <c r="BF633" s="98" t="str">
        <f ca="1">IFERROR(__xludf.DUMMYFUNCTION("IFERROR(VLOOKUP(F647,IMPORTRANGE(""https://docs.google.com/spreadsheets/d/1Kvs4KS76FHFqLFIZfrDMff4kP08nblUkihrxltoGBjg/edit#gid=934712705"",""ESENCIAL!A6:BG""),5,FALSE))"),"")</f>
        <v/>
      </c>
      <c r="BG633" s="98" t="str">
        <f t="shared" si="21"/>
        <v/>
      </c>
      <c r="BH633" s="99" t="str">
        <f t="shared" si="22"/>
        <v/>
      </c>
      <c r="BI633" s="100" t="str">
        <f ca="1">IFERROR(__xludf.DUMMYFUNCTION("IFERROR(VLOOKUP(F647,IMPORTRANGE(""https://docs.google.com/spreadsheets/d/1Kvs4KS76FHFqLFIZfrDMff4kP08nblUkihrxltoGBjg/edit#gid=934712705"",""ESENCIAL!A6:BG""),2,FALSE))"),"")</f>
        <v/>
      </c>
      <c r="BJ633" s="19" t="str">
        <f t="shared" si="23"/>
        <v/>
      </c>
      <c r="BK633" s="100"/>
      <c r="BL633" s="100"/>
    </row>
    <row r="634" spans="1:64" ht="15">
      <c r="A634" s="5"/>
      <c r="B634" s="5"/>
      <c r="G634" s="5" t="str">
        <f ca="1">IFERROR(__xludf.DUMMYFUNCTION("IFERROR(VLOOKUP(F648,IMPORTRANGE(""https://docs.google.com/spreadsheets/d/1Kvs4KS76FHFqLFIZfrDMff4kP08nblUkihrxltoGBjg/edit#gid=934712705"",""ESENCIAL!A6:BG""),3,FALSE))"),"")</f>
        <v/>
      </c>
      <c r="H634" s="5" t="str">
        <f ca="1">IFERROR(__xludf.DUMMYFUNCTION("IFERROR(VLOOKUP(F648,IMPORTRANGE(""https://docs.google.com/spreadsheets/d/1Kvs4KS76FHFqLFIZfrDMff4kP08nblUkihrxltoGBjg/edit#gid=934712705"",""ESENCIAL!A6:BG""),8,FALSE))"),"")</f>
        <v/>
      </c>
      <c r="L634" s="287"/>
      <c r="U634" s="40"/>
      <c r="AU634" s="41" t="str">
        <f t="shared" si="20"/>
        <v/>
      </c>
      <c r="AV634" s="5" t="str">
        <f ca="1">IFERROR(__xludf.DUMMYFUNCTION("IFERROR(VLOOKUP(E648&amp;F648,IMPORTRANGE(""https://docs.google.com/spreadsheets/d/1Uw7-A9f9R21vMXxHZFNpYNeKFtG8_yji4HS352LGlSQ/edit?pli=1#gid=0"",""1_ACUM!A4:S""),11,FALSE))"),"")</f>
        <v/>
      </c>
      <c r="AW634" s="42" t="str">
        <f ca="1">IFERROR(__xludf.DUMMYFUNCTION("IFERROR(VLOOKUP(F648,IMPORTRANGE(""https://docs.google.com/spreadsheets/d/1Kvs4KS76FHFqLFIZfrDMff4kP08nblUkihrxltoGBjg/edit#gid=934712705"",""ESENCIAL!A6:BG""),15,FALSE))"),"")</f>
        <v/>
      </c>
      <c r="AX634" s="21" t="str">
        <f ca="1">IFERROR(__xludf.DUMMYFUNCTION("IFERROR(VLOOKUP(E648&amp;F648,IMPORTRANGE(""https://docs.google.com/spreadsheets/d/1Uw7-A9f9R21vMXxHZFNpYNeKFtG8_yji4HS352LGlSQ/edit?pli=1#gid=0"",""1_ACUM!A4:S""),12,FALSE))"),"")</f>
        <v/>
      </c>
      <c r="AY634" s="43" t="str">
        <f ca="1">IFERROR(__xludf.DUMMYFUNCTION("IFERROR(VLOOKUP(E648&amp;F648,IMPORTRANGE(""https://docs.google.com/spreadsheets/d/1Uw7-A9f9R21vMXxHZFNpYNeKFtG8_yji4HS352LGlSQ/edit?pli=1#gid=0"",""1_ACUM!A4:S""),13,FALSE))"),"")</f>
        <v/>
      </c>
      <c r="AZ634" s="43" t="str">
        <f ca="1">IFERROR(__xludf.DUMMYFUNCTION("IFERROR(VLOOKUP(E648&amp;F648,IMPORTRANGE(""https://docs.google.com/spreadsheets/d/1Uw7-A9f9R21vMXxHZFNpYNeKFtG8_yji4HS352LGlSQ/edit?pli=1#gid=0"",""1_ACUM!A4:S""),14,FALSE))"),"")</f>
        <v/>
      </c>
      <c r="BA634" s="43" t="str">
        <f ca="1">IFERROR(__xludf.DUMMYFUNCTION("IFERROR(VLOOKUP(E648&amp;F648,IMPORTRANGE(""https://docs.google.com/spreadsheets/d/1Uw7-A9f9R21vMXxHZFNpYNeKFtG8_yji4HS352LGlSQ/edit?pli=1#gid=0"",""1_ACUM!A4:S""),15,FALSE))"),"")</f>
        <v/>
      </c>
      <c r="BB634" s="43" t="str">
        <f ca="1">IFERROR(__xludf.DUMMYFUNCTION("IFERROR(VLOOKUP(E648&amp;F648,IMPORTRANGE(""https://docs.google.com/spreadsheets/d/1Uw7-A9f9R21vMXxHZFNpYNeKFtG8_yji4HS352LGlSQ/edit?pli=1#gid=0"",""1_ACUM!A4:S""),16,FALSE))"),"")</f>
        <v/>
      </c>
      <c r="BC634" s="43" t="str">
        <f ca="1">IFERROR(__xludf.DUMMYFUNCTION("IFERROR(VLOOKUP(E648&amp;F648,IMPORTRANGE(""https://docs.google.com/spreadsheets/d/1Uw7-A9f9R21vMXxHZFNpYNeKFtG8_yji4HS352LGlSQ/edit?pli=1#gid=0"",""1_ACUM!A4:S""),17,FALSE))"),"")</f>
        <v/>
      </c>
      <c r="BD634" s="44" t="str">
        <f ca="1">IFERROR(__xludf.DUMMYFUNCTION("IFERROR(VLOOKUP(E648&amp;F648,IMPORTRANGE(""https://docs.google.com/spreadsheets/d/1Uw7-A9f9R21vMXxHZFNpYNeKFtG8_yji4HS352LGlSQ/edit?pli=1#gid=0"",""1_ACUM!A4:S""),18,FALSE))"),"")</f>
        <v/>
      </c>
      <c r="BE634" s="44" t="str">
        <f ca="1">IFERROR(__xludf.DUMMYFUNCTION("IFERROR(VLOOKUP(E648&amp;F648,IMPORTRANGE(""https://docs.google.com/spreadsheets/d/1Uw7-A9f9R21vMXxHZFNpYNeKFtG8_yji4HS352LGlSQ/edit?pli=1#gid=0"",""1_ACUM!A4:S""),19,FALSE))"),"")</f>
        <v/>
      </c>
      <c r="BF634" s="98" t="str">
        <f ca="1">IFERROR(__xludf.DUMMYFUNCTION("IFERROR(VLOOKUP(F648,IMPORTRANGE(""https://docs.google.com/spreadsheets/d/1Kvs4KS76FHFqLFIZfrDMff4kP08nblUkihrxltoGBjg/edit#gid=934712705"",""ESENCIAL!A6:BG""),5,FALSE))"),"")</f>
        <v/>
      </c>
      <c r="BG634" s="98" t="str">
        <f t="shared" si="21"/>
        <v/>
      </c>
      <c r="BH634" s="99" t="str">
        <f t="shared" si="22"/>
        <v/>
      </c>
      <c r="BI634" s="100" t="str">
        <f ca="1">IFERROR(__xludf.DUMMYFUNCTION("IFERROR(VLOOKUP(F648,IMPORTRANGE(""https://docs.google.com/spreadsheets/d/1Kvs4KS76FHFqLFIZfrDMff4kP08nblUkihrxltoGBjg/edit#gid=934712705"",""ESENCIAL!A6:BG""),2,FALSE))"),"")</f>
        <v/>
      </c>
      <c r="BJ634" s="19" t="str">
        <f t="shared" si="23"/>
        <v/>
      </c>
      <c r="BK634" s="100"/>
      <c r="BL634" s="100"/>
    </row>
    <row r="635" spans="1:64" ht="15">
      <c r="A635" s="5"/>
      <c r="B635" s="5"/>
      <c r="G635" s="5" t="str">
        <f ca="1">IFERROR(__xludf.DUMMYFUNCTION("IFERROR(VLOOKUP(F649,IMPORTRANGE(""https://docs.google.com/spreadsheets/d/1Kvs4KS76FHFqLFIZfrDMff4kP08nblUkihrxltoGBjg/edit#gid=934712705"",""ESENCIAL!A6:BG""),3,FALSE))"),"")</f>
        <v/>
      </c>
      <c r="H635" s="5" t="str">
        <f ca="1">IFERROR(__xludf.DUMMYFUNCTION("IFERROR(VLOOKUP(F649,IMPORTRANGE(""https://docs.google.com/spreadsheets/d/1Kvs4KS76FHFqLFIZfrDMff4kP08nblUkihrxltoGBjg/edit#gid=934712705"",""ESENCIAL!A6:BG""),8,FALSE))"),"")</f>
        <v/>
      </c>
      <c r="L635" s="287"/>
      <c r="U635" s="40"/>
      <c r="AU635" s="41" t="str">
        <f t="shared" si="20"/>
        <v/>
      </c>
      <c r="AV635" s="5" t="str">
        <f ca="1">IFERROR(__xludf.DUMMYFUNCTION("IFERROR(VLOOKUP(E649&amp;F649,IMPORTRANGE(""https://docs.google.com/spreadsheets/d/1Uw7-A9f9R21vMXxHZFNpYNeKFtG8_yji4HS352LGlSQ/edit?pli=1#gid=0"",""1_ACUM!A4:S""),11,FALSE))"),"")</f>
        <v/>
      </c>
      <c r="AW635" s="42" t="str">
        <f ca="1">IFERROR(__xludf.DUMMYFUNCTION("IFERROR(VLOOKUP(F649,IMPORTRANGE(""https://docs.google.com/spreadsheets/d/1Kvs4KS76FHFqLFIZfrDMff4kP08nblUkihrxltoGBjg/edit#gid=934712705"",""ESENCIAL!A6:BG""),15,FALSE))"),"")</f>
        <v/>
      </c>
      <c r="AX635" s="21" t="str">
        <f ca="1">IFERROR(__xludf.DUMMYFUNCTION("IFERROR(VLOOKUP(E649&amp;F649,IMPORTRANGE(""https://docs.google.com/spreadsheets/d/1Uw7-A9f9R21vMXxHZFNpYNeKFtG8_yji4HS352LGlSQ/edit?pli=1#gid=0"",""1_ACUM!A4:S""),12,FALSE))"),"")</f>
        <v/>
      </c>
      <c r="AY635" s="43" t="str">
        <f ca="1">IFERROR(__xludf.DUMMYFUNCTION("IFERROR(VLOOKUP(E649&amp;F649,IMPORTRANGE(""https://docs.google.com/spreadsheets/d/1Uw7-A9f9R21vMXxHZFNpYNeKFtG8_yji4HS352LGlSQ/edit?pli=1#gid=0"",""1_ACUM!A4:S""),13,FALSE))"),"")</f>
        <v/>
      </c>
      <c r="AZ635" s="43" t="str">
        <f ca="1">IFERROR(__xludf.DUMMYFUNCTION("IFERROR(VLOOKUP(E649&amp;F649,IMPORTRANGE(""https://docs.google.com/spreadsheets/d/1Uw7-A9f9R21vMXxHZFNpYNeKFtG8_yji4HS352LGlSQ/edit?pli=1#gid=0"",""1_ACUM!A4:S""),14,FALSE))"),"")</f>
        <v/>
      </c>
      <c r="BA635" s="43" t="str">
        <f ca="1">IFERROR(__xludf.DUMMYFUNCTION("IFERROR(VLOOKUP(E649&amp;F649,IMPORTRANGE(""https://docs.google.com/spreadsheets/d/1Uw7-A9f9R21vMXxHZFNpYNeKFtG8_yji4HS352LGlSQ/edit?pli=1#gid=0"",""1_ACUM!A4:S""),15,FALSE))"),"")</f>
        <v/>
      </c>
      <c r="BB635" s="43" t="str">
        <f ca="1">IFERROR(__xludf.DUMMYFUNCTION("IFERROR(VLOOKUP(E649&amp;F649,IMPORTRANGE(""https://docs.google.com/spreadsheets/d/1Uw7-A9f9R21vMXxHZFNpYNeKFtG8_yji4HS352LGlSQ/edit?pli=1#gid=0"",""1_ACUM!A4:S""),16,FALSE))"),"")</f>
        <v/>
      </c>
      <c r="BC635" s="43" t="str">
        <f ca="1">IFERROR(__xludf.DUMMYFUNCTION("IFERROR(VLOOKUP(E649&amp;F649,IMPORTRANGE(""https://docs.google.com/spreadsheets/d/1Uw7-A9f9R21vMXxHZFNpYNeKFtG8_yji4HS352LGlSQ/edit?pli=1#gid=0"",""1_ACUM!A4:S""),17,FALSE))"),"")</f>
        <v/>
      </c>
      <c r="BD635" s="44" t="str">
        <f ca="1">IFERROR(__xludf.DUMMYFUNCTION("IFERROR(VLOOKUP(E649&amp;F649,IMPORTRANGE(""https://docs.google.com/spreadsheets/d/1Uw7-A9f9R21vMXxHZFNpYNeKFtG8_yji4HS352LGlSQ/edit?pli=1#gid=0"",""1_ACUM!A4:S""),18,FALSE))"),"")</f>
        <v/>
      </c>
      <c r="BE635" s="44" t="str">
        <f ca="1">IFERROR(__xludf.DUMMYFUNCTION("IFERROR(VLOOKUP(E649&amp;F649,IMPORTRANGE(""https://docs.google.com/spreadsheets/d/1Uw7-A9f9R21vMXxHZFNpYNeKFtG8_yji4HS352LGlSQ/edit?pli=1#gid=0"",""1_ACUM!A4:S""),19,FALSE))"),"")</f>
        <v/>
      </c>
      <c r="BF635" s="98" t="str">
        <f ca="1">IFERROR(__xludf.DUMMYFUNCTION("IFERROR(VLOOKUP(F649,IMPORTRANGE(""https://docs.google.com/spreadsheets/d/1Kvs4KS76FHFqLFIZfrDMff4kP08nblUkihrxltoGBjg/edit#gid=934712705"",""ESENCIAL!A6:BG""),5,FALSE))"),"")</f>
        <v/>
      </c>
      <c r="BG635" s="98" t="str">
        <f t="shared" si="21"/>
        <v/>
      </c>
      <c r="BH635" s="99" t="str">
        <f t="shared" si="22"/>
        <v/>
      </c>
      <c r="BI635" s="100" t="str">
        <f ca="1">IFERROR(__xludf.DUMMYFUNCTION("IFERROR(VLOOKUP(F649,IMPORTRANGE(""https://docs.google.com/spreadsheets/d/1Kvs4KS76FHFqLFIZfrDMff4kP08nblUkihrxltoGBjg/edit#gid=934712705"",""ESENCIAL!A6:BG""),2,FALSE))"),"")</f>
        <v/>
      </c>
      <c r="BJ635" s="19" t="str">
        <f t="shared" si="23"/>
        <v/>
      </c>
      <c r="BK635" s="100"/>
      <c r="BL635" s="100"/>
    </row>
    <row r="636" spans="1:64" ht="15">
      <c r="A636" s="5"/>
      <c r="B636" s="5"/>
      <c r="G636" s="5" t="str">
        <f ca="1">IFERROR(__xludf.DUMMYFUNCTION("IFERROR(VLOOKUP(F650,IMPORTRANGE(""https://docs.google.com/spreadsheets/d/1Kvs4KS76FHFqLFIZfrDMff4kP08nblUkihrxltoGBjg/edit#gid=934712705"",""ESENCIAL!A6:BG""),3,FALSE))"),"")</f>
        <v/>
      </c>
      <c r="H636" s="5" t="str">
        <f ca="1">IFERROR(__xludf.DUMMYFUNCTION("IFERROR(VLOOKUP(F650,IMPORTRANGE(""https://docs.google.com/spreadsheets/d/1Kvs4KS76FHFqLFIZfrDMff4kP08nblUkihrxltoGBjg/edit#gid=934712705"",""ESENCIAL!A6:BG""),8,FALSE))"),"")</f>
        <v/>
      </c>
      <c r="L636" s="287"/>
      <c r="U636" s="40"/>
      <c r="AU636" s="41" t="str">
        <f t="shared" si="20"/>
        <v/>
      </c>
      <c r="AV636" s="5" t="str">
        <f ca="1">IFERROR(__xludf.DUMMYFUNCTION("IFERROR(VLOOKUP(E650&amp;F650,IMPORTRANGE(""https://docs.google.com/spreadsheets/d/1Uw7-A9f9R21vMXxHZFNpYNeKFtG8_yji4HS352LGlSQ/edit?pli=1#gid=0"",""1_ACUM!A4:S""),11,FALSE))"),"")</f>
        <v/>
      </c>
      <c r="AW636" s="42" t="str">
        <f ca="1">IFERROR(__xludf.DUMMYFUNCTION("IFERROR(VLOOKUP(F650,IMPORTRANGE(""https://docs.google.com/spreadsheets/d/1Kvs4KS76FHFqLFIZfrDMff4kP08nblUkihrxltoGBjg/edit#gid=934712705"",""ESENCIAL!A6:BG""),15,FALSE))"),"")</f>
        <v/>
      </c>
      <c r="AX636" s="21" t="str">
        <f ca="1">IFERROR(__xludf.DUMMYFUNCTION("IFERROR(VLOOKUP(E650&amp;F650,IMPORTRANGE(""https://docs.google.com/spreadsheets/d/1Uw7-A9f9R21vMXxHZFNpYNeKFtG8_yji4HS352LGlSQ/edit?pli=1#gid=0"",""1_ACUM!A4:S""),12,FALSE))"),"")</f>
        <v/>
      </c>
      <c r="AY636" s="43" t="str">
        <f ca="1">IFERROR(__xludf.DUMMYFUNCTION("IFERROR(VLOOKUP(E650&amp;F650,IMPORTRANGE(""https://docs.google.com/spreadsheets/d/1Uw7-A9f9R21vMXxHZFNpYNeKFtG8_yji4HS352LGlSQ/edit?pli=1#gid=0"",""1_ACUM!A4:S""),13,FALSE))"),"")</f>
        <v/>
      </c>
      <c r="AZ636" s="43" t="str">
        <f ca="1">IFERROR(__xludf.DUMMYFUNCTION("IFERROR(VLOOKUP(E650&amp;F650,IMPORTRANGE(""https://docs.google.com/spreadsheets/d/1Uw7-A9f9R21vMXxHZFNpYNeKFtG8_yji4HS352LGlSQ/edit?pli=1#gid=0"",""1_ACUM!A4:S""),14,FALSE))"),"")</f>
        <v/>
      </c>
      <c r="BA636" s="43" t="str">
        <f ca="1">IFERROR(__xludf.DUMMYFUNCTION("IFERROR(VLOOKUP(E650&amp;F650,IMPORTRANGE(""https://docs.google.com/spreadsheets/d/1Uw7-A9f9R21vMXxHZFNpYNeKFtG8_yji4HS352LGlSQ/edit?pli=1#gid=0"",""1_ACUM!A4:S""),15,FALSE))"),"")</f>
        <v/>
      </c>
      <c r="BB636" s="43" t="str">
        <f ca="1">IFERROR(__xludf.DUMMYFUNCTION("IFERROR(VLOOKUP(E650&amp;F650,IMPORTRANGE(""https://docs.google.com/spreadsheets/d/1Uw7-A9f9R21vMXxHZFNpYNeKFtG8_yji4HS352LGlSQ/edit?pli=1#gid=0"",""1_ACUM!A4:S""),16,FALSE))"),"")</f>
        <v/>
      </c>
      <c r="BC636" s="43" t="str">
        <f ca="1">IFERROR(__xludf.DUMMYFUNCTION("IFERROR(VLOOKUP(E650&amp;F650,IMPORTRANGE(""https://docs.google.com/spreadsheets/d/1Uw7-A9f9R21vMXxHZFNpYNeKFtG8_yji4HS352LGlSQ/edit?pli=1#gid=0"",""1_ACUM!A4:S""),17,FALSE))"),"")</f>
        <v/>
      </c>
      <c r="BD636" s="44" t="str">
        <f ca="1">IFERROR(__xludf.DUMMYFUNCTION("IFERROR(VLOOKUP(E650&amp;F650,IMPORTRANGE(""https://docs.google.com/spreadsheets/d/1Uw7-A9f9R21vMXxHZFNpYNeKFtG8_yji4HS352LGlSQ/edit?pli=1#gid=0"",""1_ACUM!A4:S""),18,FALSE))"),"")</f>
        <v/>
      </c>
      <c r="BE636" s="44" t="str">
        <f ca="1">IFERROR(__xludf.DUMMYFUNCTION("IFERROR(VLOOKUP(E650&amp;F650,IMPORTRANGE(""https://docs.google.com/spreadsheets/d/1Uw7-A9f9R21vMXxHZFNpYNeKFtG8_yji4HS352LGlSQ/edit?pli=1#gid=0"",""1_ACUM!A4:S""),19,FALSE))"),"")</f>
        <v/>
      </c>
      <c r="BF636" s="98" t="str">
        <f ca="1">IFERROR(__xludf.DUMMYFUNCTION("IFERROR(VLOOKUP(F650,IMPORTRANGE(""https://docs.google.com/spreadsheets/d/1Kvs4KS76FHFqLFIZfrDMff4kP08nblUkihrxltoGBjg/edit#gid=934712705"",""ESENCIAL!A6:BG""),5,FALSE))"),"")</f>
        <v/>
      </c>
      <c r="BG636" s="98" t="str">
        <f t="shared" si="21"/>
        <v/>
      </c>
      <c r="BH636" s="99" t="str">
        <f t="shared" si="22"/>
        <v/>
      </c>
      <c r="BI636" s="100" t="str">
        <f ca="1">IFERROR(__xludf.DUMMYFUNCTION("IFERROR(VLOOKUP(F650,IMPORTRANGE(""https://docs.google.com/spreadsheets/d/1Kvs4KS76FHFqLFIZfrDMff4kP08nblUkihrxltoGBjg/edit#gid=934712705"",""ESENCIAL!A6:BG""),2,FALSE))"),"")</f>
        <v/>
      </c>
      <c r="BJ636" s="19" t="str">
        <f t="shared" si="23"/>
        <v/>
      </c>
      <c r="BK636" s="100"/>
      <c r="BL636" s="100"/>
    </row>
    <row r="637" spans="1:64" ht="15">
      <c r="A637" s="5"/>
      <c r="B637" s="5"/>
      <c r="G637" s="5" t="str">
        <f ca="1">IFERROR(__xludf.DUMMYFUNCTION("IFERROR(VLOOKUP(F651,IMPORTRANGE(""https://docs.google.com/spreadsheets/d/1Kvs4KS76FHFqLFIZfrDMff4kP08nblUkihrxltoGBjg/edit#gid=934712705"",""ESENCIAL!A6:BG""),3,FALSE))"),"")</f>
        <v/>
      </c>
      <c r="H637" s="5" t="str">
        <f ca="1">IFERROR(__xludf.DUMMYFUNCTION("IFERROR(VLOOKUP(F651,IMPORTRANGE(""https://docs.google.com/spreadsheets/d/1Kvs4KS76FHFqLFIZfrDMff4kP08nblUkihrxltoGBjg/edit#gid=934712705"",""ESENCIAL!A6:BG""),8,FALSE))"),"")</f>
        <v/>
      </c>
      <c r="L637" s="287"/>
      <c r="U637" s="40"/>
      <c r="AU637" s="41" t="str">
        <f t="shared" si="20"/>
        <v/>
      </c>
      <c r="AV637" s="5" t="str">
        <f ca="1">IFERROR(__xludf.DUMMYFUNCTION("IFERROR(VLOOKUP(E651&amp;F651,IMPORTRANGE(""https://docs.google.com/spreadsheets/d/1Uw7-A9f9R21vMXxHZFNpYNeKFtG8_yji4HS352LGlSQ/edit?pli=1#gid=0"",""1_ACUM!A4:S""),11,FALSE))"),"")</f>
        <v/>
      </c>
      <c r="AW637" s="42" t="str">
        <f ca="1">IFERROR(__xludf.DUMMYFUNCTION("IFERROR(VLOOKUP(F651,IMPORTRANGE(""https://docs.google.com/spreadsheets/d/1Kvs4KS76FHFqLFIZfrDMff4kP08nblUkihrxltoGBjg/edit#gid=934712705"",""ESENCIAL!A6:BG""),15,FALSE))"),"")</f>
        <v/>
      </c>
      <c r="AX637" s="21" t="str">
        <f ca="1">IFERROR(__xludf.DUMMYFUNCTION("IFERROR(VLOOKUP(E651&amp;F651,IMPORTRANGE(""https://docs.google.com/spreadsheets/d/1Uw7-A9f9R21vMXxHZFNpYNeKFtG8_yji4HS352LGlSQ/edit?pli=1#gid=0"",""1_ACUM!A4:S""),12,FALSE))"),"")</f>
        <v/>
      </c>
      <c r="AY637" s="43" t="str">
        <f ca="1">IFERROR(__xludf.DUMMYFUNCTION("IFERROR(VLOOKUP(E651&amp;F651,IMPORTRANGE(""https://docs.google.com/spreadsheets/d/1Uw7-A9f9R21vMXxHZFNpYNeKFtG8_yji4HS352LGlSQ/edit?pli=1#gid=0"",""1_ACUM!A4:S""),13,FALSE))"),"")</f>
        <v/>
      </c>
      <c r="AZ637" s="43" t="str">
        <f ca="1">IFERROR(__xludf.DUMMYFUNCTION("IFERROR(VLOOKUP(E651&amp;F651,IMPORTRANGE(""https://docs.google.com/spreadsheets/d/1Uw7-A9f9R21vMXxHZFNpYNeKFtG8_yji4HS352LGlSQ/edit?pli=1#gid=0"",""1_ACUM!A4:S""),14,FALSE))"),"")</f>
        <v/>
      </c>
      <c r="BA637" s="43" t="str">
        <f ca="1">IFERROR(__xludf.DUMMYFUNCTION("IFERROR(VLOOKUP(E651&amp;F651,IMPORTRANGE(""https://docs.google.com/spreadsheets/d/1Uw7-A9f9R21vMXxHZFNpYNeKFtG8_yji4HS352LGlSQ/edit?pli=1#gid=0"",""1_ACUM!A4:S""),15,FALSE))"),"")</f>
        <v/>
      </c>
      <c r="BB637" s="43" t="str">
        <f ca="1">IFERROR(__xludf.DUMMYFUNCTION("IFERROR(VLOOKUP(E651&amp;F651,IMPORTRANGE(""https://docs.google.com/spreadsheets/d/1Uw7-A9f9R21vMXxHZFNpYNeKFtG8_yji4HS352LGlSQ/edit?pli=1#gid=0"",""1_ACUM!A4:S""),16,FALSE))"),"")</f>
        <v/>
      </c>
      <c r="BC637" s="43" t="str">
        <f ca="1">IFERROR(__xludf.DUMMYFUNCTION("IFERROR(VLOOKUP(E651&amp;F651,IMPORTRANGE(""https://docs.google.com/spreadsheets/d/1Uw7-A9f9R21vMXxHZFNpYNeKFtG8_yji4HS352LGlSQ/edit?pli=1#gid=0"",""1_ACUM!A4:S""),17,FALSE))"),"")</f>
        <v/>
      </c>
      <c r="BD637" s="44" t="str">
        <f ca="1">IFERROR(__xludf.DUMMYFUNCTION("IFERROR(VLOOKUP(E651&amp;F651,IMPORTRANGE(""https://docs.google.com/spreadsheets/d/1Uw7-A9f9R21vMXxHZFNpYNeKFtG8_yji4HS352LGlSQ/edit?pli=1#gid=0"",""1_ACUM!A4:S""),18,FALSE))"),"")</f>
        <v/>
      </c>
      <c r="BE637" s="44" t="str">
        <f ca="1">IFERROR(__xludf.DUMMYFUNCTION("IFERROR(VLOOKUP(E651&amp;F651,IMPORTRANGE(""https://docs.google.com/spreadsheets/d/1Uw7-A9f9R21vMXxHZFNpYNeKFtG8_yji4HS352LGlSQ/edit?pli=1#gid=0"",""1_ACUM!A4:S""),19,FALSE))"),"")</f>
        <v/>
      </c>
      <c r="BF637" s="98" t="str">
        <f ca="1">IFERROR(__xludf.DUMMYFUNCTION("IFERROR(VLOOKUP(F651,IMPORTRANGE(""https://docs.google.com/spreadsheets/d/1Kvs4KS76FHFqLFIZfrDMff4kP08nblUkihrxltoGBjg/edit#gid=934712705"",""ESENCIAL!A6:BG""),5,FALSE))"),"")</f>
        <v/>
      </c>
      <c r="BG637" s="98" t="str">
        <f t="shared" si="21"/>
        <v/>
      </c>
      <c r="BH637" s="99" t="str">
        <f t="shared" si="22"/>
        <v/>
      </c>
      <c r="BI637" s="100" t="str">
        <f ca="1">IFERROR(__xludf.DUMMYFUNCTION("IFERROR(VLOOKUP(F651,IMPORTRANGE(""https://docs.google.com/spreadsheets/d/1Kvs4KS76FHFqLFIZfrDMff4kP08nblUkihrxltoGBjg/edit#gid=934712705"",""ESENCIAL!A6:BG""),2,FALSE))"),"")</f>
        <v/>
      </c>
      <c r="BJ637" s="19" t="str">
        <f t="shared" si="23"/>
        <v/>
      </c>
      <c r="BK637" s="100"/>
      <c r="BL637" s="100"/>
    </row>
    <row r="638" spans="1:64" ht="15">
      <c r="A638" s="5"/>
      <c r="B638" s="5"/>
      <c r="G638" s="5" t="str">
        <f ca="1">IFERROR(__xludf.DUMMYFUNCTION("IFERROR(VLOOKUP(F652,IMPORTRANGE(""https://docs.google.com/spreadsheets/d/1Kvs4KS76FHFqLFIZfrDMff4kP08nblUkihrxltoGBjg/edit#gid=934712705"",""ESENCIAL!A6:BG""),3,FALSE))"),"")</f>
        <v/>
      </c>
      <c r="H638" s="5" t="str">
        <f ca="1">IFERROR(__xludf.DUMMYFUNCTION("IFERROR(VLOOKUP(F652,IMPORTRANGE(""https://docs.google.com/spreadsheets/d/1Kvs4KS76FHFqLFIZfrDMff4kP08nblUkihrxltoGBjg/edit#gid=934712705"",""ESENCIAL!A6:BG""),8,FALSE))"),"")</f>
        <v/>
      </c>
      <c r="L638" s="287"/>
      <c r="U638" s="40"/>
      <c r="AU638" s="41" t="str">
        <f t="shared" si="20"/>
        <v/>
      </c>
      <c r="AV638" s="5" t="str">
        <f ca="1">IFERROR(__xludf.DUMMYFUNCTION("IFERROR(VLOOKUP(E652&amp;F652,IMPORTRANGE(""https://docs.google.com/spreadsheets/d/1Uw7-A9f9R21vMXxHZFNpYNeKFtG8_yji4HS352LGlSQ/edit?pli=1#gid=0"",""1_ACUM!A4:S""),11,FALSE))"),"")</f>
        <v/>
      </c>
      <c r="AW638" s="42" t="str">
        <f ca="1">IFERROR(__xludf.DUMMYFUNCTION("IFERROR(VLOOKUP(F652,IMPORTRANGE(""https://docs.google.com/spreadsheets/d/1Kvs4KS76FHFqLFIZfrDMff4kP08nblUkihrxltoGBjg/edit#gid=934712705"",""ESENCIAL!A6:BG""),15,FALSE))"),"")</f>
        <v/>
      </c>
      <c r="AX638" s="21" t="str">
        <f ca="1">IFERROR(__xludf.DUMMYFUNCTION("IFERROR(VLOOKUP(E652&amp;F652,IMPORTRANGE(""https://docs.google.com/spreadsheets/d/1Uw7-A9f9R21vMXxHZFNpYNeKFtG8_yji4HS352LGlSQ/edit?pli=1#gid=0"",""1_ACUM!A4:S""),12,FALSE))"),"")</f>
        <v/>
      </c>
      <c r="AY638" s="43" t="str">
        <f ca="1">IFERROR(__xludf.DUMMYFUNCTION("IFERROR(VLOOKUP(E652&amp;F652,IMPORTRANGE(""https://docs.google.com/spreadsheets/d/1Uw7-A9f9R21vMXxHZFNpYNeKFtG8_yji4HS352LGlSQ/edit?pli=1#gid=0"",""1_ACUM!A4:S""),13,FALSE))"),"")</f>
        <v/>
      </c>
      <c r="AZ638" s="43" t="str">
        <f ca="1">IFERROR(__xludf.DUMMYFUNCTION("IFERROR(VLOOKUP(E652&amp;F652,IMPORTRANGE(""https://docs.google.com/spreadsheets/d/1Uw7-A9f9R21vMXxHZFNpYNeKFtG8_yji4HS352LGlSQ/edit?pli=1#gid=0"",""1_ACUM!A4:S""),14,FALSE))"),"")</f>
        <v/>
      </c>
      <c r="BA638" s="43" t="str">
        <f ca="1">IFERROR(__xludf.DUMMYFUNCTION("IFERROR(VLOOKUP(E652&amp;F652,IMPORTRANGE(""https://docs.google.com/spreadsheets/d/1Uw7-A9f9R21vMXxHZFNpYNeKFtG8_yji4HS352LGlSQ/edit?pli=1#gid=0"",""1_ACUM!A4:S""),15,FALSE))"),"")</f>
        <v/>
      </c>
      <c r="BB638" s="43" t="str">
        <f ca="1">IFERROR(__xludf.DUMMYFUNCTION("IFERROR(VLOOKUP(E652&amp;F652,IMPORTRANGE(""https://docs.google.com/spreadsheets/d/1Uw7-A9f9R21vMXxHZFNpYNeKFtG8_yji4HS352LGlSQ/edit?pli=1#gid=0"",""1_ACUM!A4:S""),16,FALSE))"),"")</f>
        <v/>
      </c>
      <c r="BC638" s="43" t="str">
        <f ca="1">IFERROR(__xludf.DUMMYFUNCTION("IFERROR(VLOOKUP(E652&amp;F652,IMPORTRANGE(""https://docs.google.com/spreadsheets/d/1Uw7-A9f9R21vMXxHZFNpYNeKFtG8_yji4HS352LGlSQ/edit?pli=1#gid=0"",""1_ACUM!A4:S""),17,FALSE))"),"")</f>
        <v/>
      </c>
      <c r="BD638" s="44" t="str">
        <f ca="1">IFERROR(__xludf.DUMMYFUNCTION("IFERROR(VLOOKUP(E652&amp;F652,IMPORTRANGE(""https://docs.google.com/spreadsheets/d/1Uw7-A9f9R21vMXxHZFNpYNeKFtG8_yji4HS352LGlSQ/edit?pli=1#gid=0"",""1_ACUM!A4:S""),18,FALSE))"),"")</f>
        <v/>
      </c>
      <c r="BE638" s="44" t="str">
        <f ca="1">IFERROR(__xludf.DUMMYFUNCTION("IFERROR(VLOOKUP(E652&amp;F652,IMPORTRANGE(""https://docs.google.com/spreadsheets/d/1Uw7-A9f9R21vMXxHZFNpYNeKFtG8_yji4HS352LGlSQ/edit?pli=1#gid=0"",""1_ACUM!A4:S""),19,FALSE))"),"")</f>
        <v/>
      </c>
      <c r="BF638" s="98" t="str">
        <f ca="1">IFERROR(__xludf.DUMMYFUNCTION("IFERROR(VLOOKUP(F652,IMPORTRANGE(""https://docs.google.com/spreadsheets/d/1Kvs4KS76FHFqLFIZfrDMff4kP08nblUkihrxltoGBjg/edit#gid=934712705"",""ESENCIAL!A6:BG""),5,FALSE))"),"")</f>
        <v/>
      </c>
      <c r="BG638" s="98" t="str">
        <f t="shared" si="21"/>
        <v/>
      </c>
      <c r="BH638" s="99" t="str">
        <f t="shared" si="22"/>
        <v/>
      </c>
      <c r="BI638" s="100" t="str">
        <f ca="1">IFERROR(__xludf.DUMMYFUNCTION("IFERROR(VLOOKUP(F652,IMPORTRANGE(""https://docs.google.com/spreadsheets/d/1Kvs4KS76FHFqLFIZfrDMff4kP08nblUkihrxltoGBjg/edit#gid=934712705"",""ESENCIAL!A6:BG""),2,FALSE))"),"")</f>
        <v/>
      </c>
      <c r="BJ638" s="19" t="str">
        <f t="shared" si="23"/>
        <v/>
      </c>
      <c r="BK638" s="100"/>
      <c r="BL638" s="100"/>
    </row>
    <row r="639" spans="1:64" ht="15">
      <c r="A639" s="5"/>
      <c r="B639" s="5"/>
      <c r="G639" s="5" t="str">
        <f ca="1">IFERROR(__xludf.DUMMYFUNCTION("IFERROR(VLOOKUP(F653,IMPORTRANGE(""https://docs.google.com/spreadsheets/d/1Kvs4KS76FHFqLFIZfrDMff4kP08nblUkihrxltoGBjg/edit#gid=934712705"",""ESENCIAL!A6:BG""),3,FALSE))"),"")</f>
        <v/>
      </c>
      <c r="H639" s="5" t="str">
        <f ca="1">IFERROR(__xludf.DUMMYFUNCTION("IFERROR(VLOOKUP(F653,IMPORTRANGE(""https://docs.google.com/spreadsheets/d/1Kvs4KS76FHFqLFIZfrDMff4kP08nblUkihrxltoGBjg/edit#gid=934712705"",""ESENCIAL!A6:BG""),8,FALSE))"),"")</f>
        <v/>
      </c>
      <c r="L639" s="287"/>
      <c r="U639" s="40"/>
      <c r="AU639" s="41" t="str">
        <f t="shared" si="20"/>
        <v/>
      </c>
      <c r="AV639" s="5" t="str">
        <f ca="1">IFERROR(__xludf.DUMMYFUNCTION("IFERROR(VLOOKUP(E653&amp;F653,IMPORTRANGE(""https://docs.google.com/spreadsheets/d/1Uw7-A9f9R21vMXxHZFNpYNeKFtG8_yji4HS352LGlSQ/edit?pli=1#gid=0"",""1_ACUM!A4:S""),11,FALSE))"),"")</f>
        <v/>
      </c>
      <c r="AW639" s="42" t="str">
        <f ca="1">IFERROR(__xludf.DUMMYFUNCTION("IFERROR(VLOOKUP(F653,IMPORTRANGE(""https://docs.google.com/spreadsheets/d/1Kvs4KS76FHFqLFIZfrDMff4kP08nblUkihrxltoGBjg/edit#gid=934712705"",""ESENCIAL!A6:BG""),15,FALSE))"),"")</f>
        <v/>
      </c>
      <c r="AX639" s="21" t="str">
        <f ca="1">IFERROR(__xludf.DUMMYFUNCTION("IFERROR(VLOOKUP(E653&amp;F653,IMPORTRANGE(""https://docs.google.com/spreadsheets/d/1Uw7-A9f9R21vMXxHZFNpYNeKFtG8_yji4HS352LGlSQ/edit?pli=1#gid=0"",""1_ACUM!A4:S""),12,FALSE))"),"")</f>
        <v/>
      </c>
      <c r="AY639" s="43" t="str">
        <f ca="1">IFERROR(__xludf.DUMMYFUNCTION("IFERROR(VLOOKUP(E653&amp;F653,IMPORTRANGE(""https://docs.google.com/spreadsheets/d/1Uw7-A9f9R21vMXxHZFNpYNeKFtG8_yji4HS352LGlSQ/edit?pli=1#gid=0"",""1_ACUM!A4:S""),13,FALSE))"),"")</f>
        <v/>
      </c>
      <c r="AZ639" s="43" t="str">
        <f ca="1">IFERROR(__xludf.DUMMYFUNCTION("IFERROR(VLOOKUP(E653&amp;F653,IMPORTRANGE(""https://docs.google.com/spreadsheets/d/1Uw7-A9f9R21vMXxHZFNpYNeKFtG8_yji4HS352LGlSQ/edit?pli=1#gid=0"",""1_ACUM!A4:S""),14,FALSE))"),"")</f>
        <v/>
      </c>
      <c r="BA639" s="43" t="str">
        <f ca="1">IFERROR(__xludf.DUMMYFUNCTION("IFERROR(VLOOKUP(E653&amp;F653,IMPORTRANGE(""https://docs.google.com/spreadsheets/d/1Uw7-A9f9R21vMXxHZFNpYNeKFtG8_yji4HS352LGlSQ/edit?pli=1#gid=0"",""1_ACUM!A4:S""),15,FALSE))"),"")</f>
        <v/>
      </c>
      <c r="BB639" s="43" t="str">
        <f ca="1">IFERROR(__xludf.DUMMYFUNCTION("IFERROR(VLOOKUP(E653&amp;F653,IMPORTRANGE(""https://docs.google.com/spreadsheets/d/1Uw7-A9f9R21vMXxHZFNpYNeKFtG8_yji4HS352LGlSQ/edit?pli=1#gid=0"",""1_ACUM!A4:S""),16,FALSE))"),"")</f>
        <v/>
      </c>
      <c r="BC639" s="43" t="str">
        <f ca="1">IFERROR(__xludf.DUMMYFUNCTION("IFERROR(VLOOKUP(E653&amp;F653,IMPORTRANGE(""https://docs.google.com/spreadsheets/d/1Uw7-A9f9R21vMXxHZFNpYNeKFtG8_yji4HS352LGlSQ/edit?pli=1#gid=0"",""1_ACUM!A4:S""),17,FALSE))"),"")</f>
        <v/>
      </c>
      <c r="BD639" s="44" t="str">
        <f ca="1">IFERROR(__xludf.DUMMYFUNCTION("IFERROR(VLOOKUP(E653&amp;F653,IMPORTRANGE(""https://docs.google.com/spreadsheets/d/1Uw7-A9f9R21vMXxHZFNpYNeKFtG8_yji4HS352LGlSQ/edit?pli=1#gid=0"",""1_ACUM!A4:S""),18,FALSE))"),"")</f>
        <v/>
      </c>
      <c r="BE639" s="44" t="str">
        <f ca="1">IFERROR(__xludf.DUMMYFUNCTION("IFERROR(VLOOKUP(E653&amp;F653,IMPORTRANGE(""https://docs.google.com/spreadsheets/d/1Uw7-A9f9R21vMXxHZFNpYNeKFtG8_yji4HS352LGlSQ/edit?pli=1#gid=0"",""1_ACUM!A4:S""),19,FALSE))"),"")</f>
        <v/>
      </c>
      <c r="BF639" s="98" t="str">
        <f ca="1">IFERROR(__xludf.DUMMYFUNCTION("IFERROR(VLOOKUP(F653,IMPORTRANGE(""https://docs.google.com/spreadsheets/d/1Kvs4KS76FHFqLFIZfrDMff4kP08nblUkihrxltoGBjg/edit#gid=934712705"",""ESENCIAL!A6:BG""),5,FALSE))"),"")</f>
        <v/>
      </c>
      <c r="BG639" s="98" t="str">
        <f t="shared" si="21"/>
        <v/>
      </c>
      <c r="BH639" s="99" t="str">
        <f t="shared" si="22"/>
        <v/>
      </c>
      <c r="BI639" s="100" t="str">
        <f ca="1">IFERROR(__xludf.DUMMYFUNCTION("IFERROR(VLOOKUP(F653,IMPORTRANGE(""https://docs.google.com/spreadsheets/d/1Kvs4KS76FHFqLFIZfrDMff4kP08nblUkihrxltoGBjg/edit#gid=934712705"",""ESENCIAL!A6:BG""),2,FALSE))"),"")</f>
        <v/>
      </c>
      <c r="BJ639" s="19" t="str">
        <f t="shared" si="23"/>
        <v/>
      </c>
      <c r="BK639" s="100"/>
      <c r="BL639" s="100"/>
    </row>
    <row r="640" spans="1:64" ht="15">
      <c r="A640" s="5"/>
      <c r="B640" s="5"/>
      <c r="G640" s="5" t="str">
        <f ca="1">IFERROR(__xludf.DUMMYFUNCTION("IFERROR(VLOOKUP(F654,IMPORTRANGE(""https://docs.google.com/spreadsheets/d/1Kvs4KS76FHFqLFIZfrDMff4kP08nblUkihrxltoGBjg/edit#gid=934712705"",""ESENCIAL!A6:BG""),3,FALSE))"),"")</f>
        <v/>
      </c>
      <c r="H640" s="5" t="str">
        <f ca="1">IFERROR(__xludf.DUMMYFUNCTION("IFERROR(VLOOKUP(F654,IMPORTRANGE(""https://docs.google.com/spreadsheets/d/1Kvs4KS76FHFqLFIZfrDMff4kP08nblUkihrxltoGBjg/edit#gid=934712705"",""ESENCIAL!A6:BG""),8,FALSE))"),"")</f>
        <v/>
      </c>
      <c r="L640" s="287"/>
      <c r="U640" s="40"/>
      <c r="AU640" s="41" t="str">
        <f t="shared" si="20"/>
        <v/>
      </c>
      <c r="AV640" s="5" t="str">
        <f ca="1">IFERROR(__xludf.DUMMYFUNCTION("IFERROR(VLOOKUP(E654&amp;F654,IMPORTRANGE(""https://docs.google.com/spreadsheets/d/1Uw7-A9f9R21vMXxHZFNpYNeKFtG8_yji4HS352LGlSQ/edit?pli=1#gid=0"",""1_ACUM!A4:S""),11,FALSE))"),"")</f>
        <v/>
      </c>
      <c r="AW640" s="42" t="str">
        <f ca="1">IFERROR(__xludf.DUMMYFUNCTION("IFERROR(VLOOKUP(F654,IMPORTRANGE(""https://docs.google.com/spreadsheets/d/1Kvs4KS76FHFqLFIZfrDMff4kP08nblUkihrxltoGBjg/edit#gid=934712705"",""ESENCIAL!A6:BG""),15,FALSE))"),"")</f>
        <v/>
      </c>
      <c r="AX640" s="21" t="str">
        <f ca="1">IFERROR(__xludf.DUMMYFUNCTION("IFERROR(VLOOKUP(E654&amp;F654,IMPORTRANGE(""https://docs.google.com/spreadsheets/d/1Uw7-A9f9R21vMXxHZFNpYNeKFtG8_yji4HS352LGlSQ/edit?pli=1#gid=0"",""1_ACUM!A4:S""),12,FALSE))"),"")</f>
        <v/>
      </c>
      <c r="AY640" s="43" t="str">
        <f ca="1">IFERROR(__xludf.DUMMYFUNCTION("IFERROR(VLOOKUP(E654&amp;F654,IMPORTRANGE(""https://docs.google.com/spreadsheets/d/1Uw7-A9f9R21vMXxHZFNpYNeKFtG8_yji4HS352LGlSQ/edit?pli=1#gid=0"",""1_ACUM!A4:S""),13,FALSE))"),"")</f>
        <v/>
      </c>
      <c r="AZ640" s="43" t="str">
        <f ca="1">IFERROR(__xludf.DUMMYFUNCTION("IFERROR(VLOOKUP(E654&amp;F654,IMPORTRANGE(""https://docs.google.com/spreadsheets/d/1Uw7-A9f9R21vMXxHZFNpYNeKFtG8_yji4HS352LGlSQ/edit?pli=1#gid=0"",""1_ACUM!A4:S""),14,FALSE))"),"")</f>
        <v/>
      </c>
      <c r="BA640" s="43" t="str">
        <f ca="1">IFERROR(__xludf.DUMMYFUNCTION("IFERROR(VLOOKUP(E654&amp;F654,IMPORTRANGE(""https://docs.google.com/spreadsheets/d/1Uw7-A9f9R21vMXxHZFNpYNeKFtG8_yji4HS352LGlSQ/edit?pli=1#gid=0"",""1_ACUM!A4:S""),15,FALSE))"),"")</f>
        <v/>
      </c>
      <c r="BB640" s="43" t="str">
        <f ca="1">IFERROR(__xludf.DUMMYFUNCTION("IFERROR(VLOOKUP(E654&amp;F654,IMPORTRANGE(""https://docs.google.com/spreadsheets/d/1Uw7-A9f9R21vMXxHZFNpYNeKFtG8_yji4HS352LGlSQ/edit?pli=1#gid=0"",""1_ACUM!A4:S""),16,FALSE))"),"")</f>
        <v/>
      </c>
      <c r="BC640" s="43" t="str">
        <f ca="1">IFERROR(__xludf.DUMMYFUNCTION("IFERROR(VLOOKUP(E654&amp;F654,IMPORTRANGE(""https://docs.google.com/spreadsheets/d/1Uw7-A9f9R21vMXxHZFNpYNeKFtG8_yji4HS352LGlSQ/edit?pli=1#gid=0"",""1_ACUM!A4:S""),17,FALSE))"),"")</f>
        <v/>
      </c>
      <c r="BD640" s="44" t="str">
        <f ca="1">IFERROR(__xludf.DUMMYFUNCTION("IFERROR(VLOOKUP(E654&amp;F654,IMPORTRANGE(""https://docs.google.com/spreadsheets/d/1Uw7-A9f9R21vMXxHZFNpYNeKFtG8_yji4HS352LGlSQ/edit?pli=1#gid=0"",""1_ACUM!A4:S""),18,FALSE))"),"")</f>
        <v/>
      </c>
      <c r="BE640" s="44" t="str">
        <f ca="1">IFERROR(__xludf.DUMMYFUNCTION("IFERROR(VLOOKUP(E654&amp;F654,IMPORTRANGE(""https://docs.google.com/spreadsheets/d/1Uw7-A9f9R21vMXxHZFNpYNeKFtG8_yji4HS352LGlSQ/edit?pli=1#gid=0"",""1_ACUM!A4:S""),19,FALSE))"),"")</f>
        <v/>
      </c>
      <c r="BF640" s="98" t="str">
        <f ca="1">IFERROR(__xludf.DUMMYFUNCTION("IFERROR(VLOOKUP(F654,IMPORTRANGE(""https://docs.google.com/spreadsheets/d/1Kvs4KS76FHFqLFIZfrDMff4kP08nblUkihrxltoGBjg/edit#gid=934712705"",""ESENCIAL!A6:BG""),5,FALSE))"),"")</f>
        <v/>
      </c>
      <c r="BG640" s="98" t="str">
        <f t="shared" si="21"/>
        <v/>
      </c>
      <c r="BH640" s="99" t="str">
        <f t="shared" si="22"/>
        <v/>
      </c>
      <c r="BI640" s="100" t="str">
        <f ca="1">IFERROR(__xludf.DUMMYFUNCTION("IFERROR(VLOOKUP(F654,IMPORTRANGE(""https://docs.google.com/spreadsheets/d/1Kvs4KS76FHFqLFIZfrDMff4kP08nblUkihrxltoGBjg/edit#gid=934712705"",""ESENCIAL!A6:BG""),2,FALSE))"),"")</f>
        <v/>
      </c>
      <c r="BJ640" s="19" t="str">
        <f t="shared" si="23"/>
        <v/>
      </c>
      <c r="BK640" s="100"/>
      <c r="BL640" s="100"/>
    </row>
    <row r="641" spans="1:64" ht="15">
      <c r="A641" s="5"/>
      <c r="B641" s="5"/>
      <c r="G641" s="5" t="str">
        <f ca="1">IFERROR(__xludf.DUMMYFUNCTION("IFERROR(VLOOKUP(F655,IMPORTRANGE(""https://docs.google.com/spreadsheets/d/1Kvs4KS76FHFqLFIZfrDMff4kP08nblUkihrxltoGBjg/edit#gid=934712705"",""ESENCIAL!A6:BG""),3,FALSE))"),"")</f>
        <v/>
      </c>
      <c r="H641" s="5" t="str">
        <f ca="1">IFERROR(__xludf.DUMMYFUNCTION("IFERROR(VLOOKUP(F655,IMPORTRANGE(""https://docs.google.com/spreadsheets/d/1Kvs4KS76FHFqLFIZfrDMff4kP08nblUkihrxltoGBjg/edit#gid=934712705"",""ESENCIAL!A6:BG""),8,FALSE))"),"")</f>
        <v/>
      </c>
      <c r="L641" s="287"/>
      <c r="U641" s="40"/>
      <c r="AU641" s="41" t="str">
        <f t="shared" si="20"/>
        <v/>
      </c>
      <c r="AV641" s="5" t="str">
        <f ca="1">IFERROR(__xludf.DUMMYFUNCTION("IFERROR(VLOOKUP(E655&amp;F655,IMPORTRANGE(""https://docs.google.com/spreadsheets/d/1Uw7-A9f9R21vMXxHZFNpYNeKFtG8_yji4HS352LGlSQ/edit?pli=1#gid=0"",""1_ACUM!A4:S""),11,FALSE))"),"")</f>
        <v/>
      </c>
      <c r="AW641" s="42" t="str">
        <f ca="1">IFERROR(__xludf.DUMMYFUNCTION("IFERROR(VLOOKUP(F655,IMPORTRANGE(""https://docs.google.com/spreadsheets/d/1Kvs4KS76FHFqLFIZfrDMff4kP08nblUkihrxltoGBjg/edit#gid=934712705"",""ESENCIAL!A6:BG""),15,FALSE))"),"")</f>
        <v/>
      </c>
      <c r="AX641" s="21" t="str">
        <f ca="1">IFERROR(__xludf.DUMMYFUNCTION("IFERROR(VLOOKUP(E655&amp;F655,IMPORTRANGE(""https://docs.google.com/spreadsheets/d/1Uw7-A9f9R21vMXxHZFNpYNeKFtG8_yji4HS352LGlSQ/edit?pli=1#gid=0"",""1_ACUM!A4:S""),12,FALSE))"),"")</f>
        <v/>
      </c>
      <c r="AY641" s="43" t="str">
        <f ca="1">IFERROR(__xludf.DUMMYFUNCTION("IFERROR(VLOOKUP(E655&amp;F655,IMPORTRANGE(""https://docs.google.com/spreadsheets/d/1Uw7-A9f9R21vMXxHZFNpYNeKFtG8_yji4HS352LGlSQ/edit?pli=1#gid=0"",""1_ACUM!A4:S""),13,FALSE))"),"")</f>
        <v/>
      </c>
      <c r="AZ641" s="43" t="str">
        <f ca="1">IFERROR(__xludf.DUMMYFUNCTION("IFERROR(VLOOKUP(E655&amp;F655,IMPORTRANGE(""https://docs.google.com/spreadsheets/d/1Uw7-A9f9R21vMXxHZFNpYNeKFtG8_yji4HS352LGlSQ/edit?pli=1#gid=0"",""1_ACUM!A4:S""),14,FALSE))"),"")</f>
        <v/>
      </c>
      <c r="BA641" s="43" t="str">
        <f ca="1">IFERROR(__xludf.DUMMYFUNCTION("IFERROR(VLOOKUP(E655&amp;F655,IMPORTRANGE(""https://docs.google.com/spreadsheets/d/1Uw7-A9f9R21vMXxHZFNpYNeKFtG8_yji4HS352LGlSQ/edit?pli=1#gid=0"",""1_ACUM!A4:S""),15,FALSE))"),"")</f>
        <v/>
      </c>
      <c r="BB641" s="43" t="str">
        <f ca="1">IFERROR(__xludf.DUMMYFUNCTION("IFERROR(VLOOKUP(E655&amp;F655,IMPORTRANGE(""https://docs.google.com/spreadsheets/d/1Uw7-A9f9R21vMXxHZFNpYNeKFtG8_yji4HS352LGlSQ/edit?pli=1#gid=0"",""1_ACUM!A4:S""),16,FALSE))"),"")</f>
        <v/>
      </c>
      <c r="BC641" s="43" t="str">
        <f ca="1">IFERROR(__xludf.DUMMYFUNCTION("IFERROR(VLOOKUP(E655&amp;F655,IMPORTRANGE(""https://docs.google.com/spreadsheets/d/1Uw7-A9f9R21vMXxHZFNpYNeKFtG8_yji4HS352LGlSQ/edit?pli=1#gid=0"",""1_ACUM!A4:S""),17,FALSE))"),"")</f>
        <v/>
      </c>
      <c r="BD641" s="44" t="str">
        <f ca="1">IFERROR(__xludf.DUMMYFUNCTION("IFERROR(VLOOKUP(E655&amp;F655,IMPORTRANGE(""https://docs.google.com/spreadsheets/d/1Uw7-A9f9R21vMXxHZFNpYNeKFtG8_yji4HS352LGlSQ/edit?pli=1#gid=0"",""1_ACUM!A4:S""),18,FALSE))"),"")</f>
        <v/>
      </c>
      <c r="BE641" s="44" t="str">
        <f ca="1">IFERROR(__xludf.DUMMYFUNCTION("IFERROR(VLOOKUP(E655&amp;F655,IMPORTRANGE(""https://docs.google.com/spreadsheets/d/1Uw7-A9f9R21vMXxHZFNpYNeKFtG8_yji4HS352LGlSQ/edit?pli=1#gid=0"",""1_ACUM!A4:S""),19,FALSE))"),"")</f>
        <v/>
      </c>
      <c r="BF641" s="98" t="str">
        <f ca="1">IFERROR(__xludf.DUMMYFUNCTION("IFERROR(VLOOKUP(F655,IMPORTRANGE(""https://docs.google.com/spreadsheets/d/1Kvs4KS76FHFqLFIZfrDMff4kP08nblUkihrxltoGBjg/edit#gid=934712705"",""ESENCIAL!A6:BG""),5,FALSE))"),"")</f>
        <v/>
      </c>
      <c r="BG641" s="98" t="str">
        <f t="shared" si="21"/>
        <v/>
      </c>
      <c r="BH641" s="99" t="str">
        <f t="shared" si="22"/>
        <v/>
      </c>
      <c r="BI641" s="100" t="str">
        <f ca="1">IFERROR(__xludf.DUMMYFUNCTION("IFERROR(VLOOKUP(F655,IMPORTRANGE(""https://docs.google.com/spreadsheets/d/1Kvs4KS76FHFqLFIZfrDMff4kP08nblUkihrxltoGBjg/edit#gid=934712705"",""ESENCIAL!A6:BG""),2,FALSE))"),"")</f>
        <v/>
      </c>
      <c r="BJ641" s="19" t="str">
        <f t="shared" si="23"/>
        <v/>
      </c>
      <c r="BK641" s="100"/>
      <c r="BL641" s="100"/>
    </row>
    <row r="642" spans="1:64" ht="15">
      <c r="A642" s="5"/>
      <c r="B642" s="5"/>
      <c r="G642" s="5" t="str">
        <f ca="1">IFERROR(__xludf.DUMMYFUNCTION("IFERROR(VLOOKUP(F656,IMPORTRANGE(""https://docs.google.com/spreadsheets/d/1Kvs4KS76FHFqLFIZfrDMff4kP08nblUkihrxltoGBjg/edit#gid=934712705"",""ESENCIAL!A6:BG""),3,FALSE))"),"")</f>
        <v/>
      </c>
      <c r="H642" s="5" t="str">
        <f ca="1">IFERROR(__xludf.DUMMYFUNCTION("IFERROR(VLOOKUP(F656,IMPORTRANGE(""https://docs.google.com/spreadsheets/d/1Kvs4KS76FHFqLFIZfrDMff4kP08nblUkihrxltoGBjg/edit#gid=934712705"",""ESENCIAL!A6:BG""),8,FALSE))"),"")</f>
        <v/>
      </c>
      <c r="L642" s="287"/>
      <c r="U642" s="40"/>
      <c r="AU642" s="41" t="str">
        <f t="shared" si="20"/>
        <v/>
      </c>
      <c r="AV642" s="5" t="str">
        <f ca="1">IFERROR(__xludf.DUMMYFUNCTION("IFERROR(VLOOKUP(E656&amp;F656,IMPORTRANGE(""https://docs.google.com/spreadsheets/d/1Uw7-A9f9R21vMXxHZFNpYNeKFtG8_yji4HS352LGlSQ/edit?pli=1#gid=0"",""1_ACUM!A4:S""),11,FALSE))"),"")</f>
        <v/>
      </c>
      <c r="AW642" s="42" t="str">
        <f ca="1">IFERROR(__xludf.DUMMYFUNCTION("IFERROR(VLOOKUP(F656,IMPORTRANGE(""https://docs.google.com/spreadsheets/d/1Kvs4KS76FHFqLFIZfrDMff4kP08nblUkihrxltoGBjg/edit#gid=934712705"",""ESENCIAL!A6:BG""),15,FALSE))"),"")</f>
        <v/>
      </c>
      <c r="AX642" s="21" t="str">
        <f ca="1">IFERROR(__xludf.DUMMYFUNCTION("IFERROR(VLOOKUP(E656&amp;F656,IMPORTRANGE(""https://docs.google.com/spreadsheets/d/1Uw7-A9f9R21vMXxHZFNpYNeKFtG8_yji4HS352LGlSQ/edit?pli=1#gid=0"",""1_ACUM!A4:S""),12,FALSE))"),"")</f>
        <v/>
      </c>
      <c r="AY642" s="43" t="str">
        <f ca="1">IFERROR(__xludf.DUMMYFUNCTION("IFERROR(VLOOKUP(E656&amp;F656,IMPORTRANGE(""https://docs.google.com/spreadsheets/d/1Uw7-A9f9R21vMXxHZFNpYNeKFtG8_yji4HS352LGlSQ/edit?pli=1#gid=0"",""1_ACUM!A4:S""),13,FALSE))"),"")</f>
        <v/>
      </c>
      <c r="AZ642" s="43" t="str">
        <f ca="1">IFERROR(__xludf.DUMMYFUNCTION("IFERROR(VLOOKUP(E656&amp;F656,IMPORTRANGE(""https://docs.google.com/spreadsheets/d/1Uw7-A9f9R21vMXxHZFNpYNeKFtG8_yji4HS352LGlSQ/edit?pli=1#gid=0"",""1_ACUM!A4:S""),14,FALSE))"),"")</f>
        <v/>
      </c>
      <c r="BA642" s="43" t="str">
        <f ca="1">IFERROR(__xludf.DUMMYFUNCTION("IFERROR(VLOOKUP(E656&amp;F656,IMPORTRANGE(""https://docs.google.com/spreadsheets/d/1Uw7-A9f9R21vMXxHZFNpYNeKFtG8_yji4HS352LGlSQ/edit?pli=1#gid=0"",""1_ACUM!A4:S""),15,FALSE))"),"")</f>
        <v/>
      </c>
      <c r="BB642" s="43" t="str">
        <f ca="1">IFERROR(__xludf.DUMMYFUNCTION("IFERROR(VLOOKUP(E656&amp;F656,IMPORTRANGE(""https://docs.google.com/spreadsheets/d/1Uw7-A9f9R21vMXxHZFNpYNeKFtG8_yji4HS352LGlSQ/edit?pli=1#gid=0"",""1_ACUM!A4:S""),16,FALSE))"),"")</f>
        <v/>
      </c>
      <c r="BC642" s="43" t="str">
        <f ca="1">IFERROR(__xludf.DUMMYFUNCTION("IFERROR(VLOOKUP(E656&amp;F656,IMPORTRANGE(""https://docs.google.com/spreadsheets/d/1Uw7-A9f9R21vMXxHZFNpYNeKFtG8_yji4HS352LGlSQ/edit?pli=1#gid=0"",""1_ACUM!A4:S""),17,FALSE))"),"")</f>
        <v/>
      </c>
      <c r="BD642" s="44" t="str">
        <f ca="1">IFERROR(__xludf.DUMMYFUNCTION("IFERROR(VLOOKUP(E656&amp;F656,IMPORTRANGE(""https://docs.google.com/spreadsheets/d/1Uw7-A9f9R21vMXxHZFNpYNeKFtG8_yji4HS352LGlSQ/edit?pli=1#gid=0"",""1_ACUM!A4:S""),18,FALSE))"),"")</f>
        <v/>
      </c>
      <c r="BE642" s="44" t="str">
        <f ca="1">IFERROR(__xludf.DUMMYFUNCTION("IFERROR(VLOOKUP(E656&amp;F656,IMPORTRANGE(""https://docs.google.com/spreadsheets/d/1Uw7-A9f9R21vMXxHZFNpYNeKFtG8_yji4HS352LGlSQ/edit?pli=1#gid=0"",""1_ACUM!A4:S""),19,FALSE))"),"")</f>
        <v/>
      </c>
      <c r="BF642" s="98" t="str">
        <f ca="1">IFERROR(__xludf.DUMMYFUNCTION("IFERROR(VLOOKUP(F656,IMPORTRANGE(""https://docs.google.com/spreadsheets/d/1Kvs4KS76FHFqLFIZfrDMff4kP08nblUkihrxltoGBjg/edit#gid=934712705"",""ESENCIAL!A6:BG""),5,FALSE))"),"")</f>
        <v/>
      </c>
      <c r="BG642" s="98" t="str">
        <f t="shared" si="21"/>
        <v/>
      </c>
      <c r="BH642" s="99" t="str">
        <f t="shared" si="22"/>
        <v/>
      </c>
      <c r="BI642" s="100" t="str">
        <f ca="1">IFERROR(__xludf.DUMMYFUNCTION("IFERROR(VLOOKUP(F656,IMPORTRANGE(""https://docs.google.com/spreadsheets/d/1Kvs4KS76FHFqLFIZfrDMff4kP08nblUkihrxltoGBjg/edit#gid=934712705"",""ESENCIAL!A6:BG""),2,FALSE))"),"")</f>
        <v/>
      </c>
      <c r="BJ642" s="19" t="str">
        <f t="shared" si="23"/>
        <v/>
      </c>
      <c r="BK642" s="100"/>
      <c r="BL642" s="100"/>
    </row>
    <row r="643" spans="1:64" ht="15">
      <c r="A643" s="5"/>
      <c r="B643" s="5"/>
      <c r="G643" s="5" t="str">
        <f ca="1">IFERROR(__xludf.DUMMYFUNCTION("IFERROR(VLOOKUP(F657,IMPORTRANGE(""https://docs.google.com/spreadsheets/d/1Kvs4KS76FHFqLFIZfrDMff4kP08nblUkihrxltoGBjg/edit#gid=934712705"",""ESENCIAL!A6:BG""),3,FALSE))"),"")</f>
        <v/>
      </c>
      <c r="H643" s="5" t="str">
        <f ca="1">IFERROR(__xludf.DUMMYFUNCTION("IFERROR(VLOOKUP(F657,IMPORTRANGE(""https://docs.google.com/spreadsheets/d/1Kvs4KS76FHFqLFIZfrDMff4kP08nblUkihrxltoGBjg/edit#gid=934712705"",""ESENCIAL!A6:BG""),8,FALSE))"),"")</f>
        <v/>
      </c>
      <c r="L643" s="287"/>
      <c r="U643" s="40"/>
      <c r="AU643" s="41" t="str">
        <f t="shared" si="20"/>
        <v/>
      </c>
      <c r="AV643" s="5" t="str">
        <f ca="1">IFERROR(__xludf.DUMMYFUNCTION("IFERROR(VLOOKUP(E657&amp;F657,IMPORTRANGE(""https://docs.google.com/spreadsheets/d/1Uw7-A9f9R21vMXxHZFNpYNeKFtG8_yji4HS352LGlSQ/edit?pli=1#gid=0"",""1_ACUM!A4:S""),11,FALSE))"),"")</f>
        <v/>
      </c>
      <c r="AW643" s="42" t="str">
        <f ca="1">IFERROR(__xludf.DUMMYFUNCTION("IFERROR(VLOOKUP(F657,IMPORTRANGE(""https://docs.google.com/spreadsheets/d/1Kvs4KS76FHFqLFIZfrDMff4kP08nblUkihrxltoGBjg/edit#gid=934712705"",""ESENCIAL!A6:BG""),15,FALSE))"),"")</f>
        <v/>
      </c>
      <c r="AX643" s="21" t="str">
        <f ca="1">IFERROR(__xludf.DUMMYFUNCTION("IFERROR(VLOOKUP(E657&amp;F657,IMPORTRANGE(""https://docs.google.com/spreadsheets/d/1Uw7-A9f9R21vMXxHZFNpYNeKFtG8_yji4HS352LGlSQ/edit?pli=1#gid=0"",""1_ACUM!A4:S""),12,FALSE))"),"")</f>
        <v/>
      </c>
      <c r="AY643" s="43" t="str">
        <f ca="1">IFERROR(__xludf.DUMMYFUNCTION("IFERROR(VLOOKUP(E657&amp;F657,IMPORTRANGE(""https://docs.google.com/spreadsheets/d/1Uw7-A9f9R21vMXxHZFNpYNeKFtG8_yji4HS352LGlSQ/edit?pli=1#gid=0"",""1_ACUM!A4:S""),13,FALSE))"),"")</f>
        <v/>
      </c>
      <c r="AZ643" s="43" t="str">
        <f ca="1">IFERROR(__xludf.DUMMYFUNCTION("IFERROR(VLOOKUP(E657&amp;F657,IMPORTRANGE(""https://docs.google.com/spreadsheets/d/1Uw7-A9f9R21vMXxHZFNpYNeKFtG8_yji4HS352LGlSQ/edit?pli=1#gid=0"",""1_ACUM!A4:S""),14,FALSE))"),"")</f>
        <v/>
      </c>
      <c r="BA643" s="43" t="str">
        <f ca="1">IFERROR(__xludf.DUMMYFUNCTION("IFERROR(VLOOKUP(E657&amp;F657,IMPORTRANGE(""https://docs.google.com/spreadsheets/d/1Uw7-A9f9R21vMXxHZFNpYNeKFtG8_yji4HS352LGlSQ/edit?pli=1#gid=0"",""1_ACUM!A4:S""),15,FALSE))"),"")</f>
        <v/>
      </c>
      <c r="BB643" s="43" t="str">
        <f ca="1">IFERROR(__xludf.DUMMYFUNCTION("IFERROR(VLOOKUP(E657&amp;F657,IMPORTRANGE(""https://docs.google.com/spreadsheets/d/1Uw7-A9f9R21vMXxHZFNpYNeKFtG8_yji4HS352LGlSQ/edit?pli=1#gid=0"",""1_ACUM!A4:S""),16,FALSE))"),"")</f>
        <v/>
      </c>
      <c r="BC643" s="43" t="str">
        <f ca="1">IFERROR(__xludf.DUMMYFUNCTION("IFERROR(VLOOKUP(E657&amp;F657,IMPORTRANGE(""https://docs.google.com/spreadsheets/d/1Uw7-A9f9R21vMXxHZFNpYNeKFtG8_yji4HS352LGlSQ/edit?pli=1#gid=0"",""1_ACUM!A4:S""),17,FALSE))"),"")</f>
        <v/>
      </c>
      <c r="BD643" s="44" t="str">
        <f ca="1">IFERROR(__xludf.DUMMYFUNCTION("IFERROR(VLOOKUP(E657&amp;F657,IMPORTRANGE(""https://docs.google.com/spreadsheets/d/1Uw7-A9f9R21vMXxHZFNpYNeKFtG8_yji4HS352LGlSQ/edit?pli=1#gid=0"",""1_ACUM!A4:S""),18,FALSE))"),"")</f>
        <v/>
      </c>
      <c r="BE643" s="44" t="str">
        <f ca="1">IFERROR(__xludf.DUMMYFUNCTION("IFERROR(VLOOKUP(E657&amp;F657,IMPORTRANGE(""https://docs.google.com/spreadsheets/d/1Uw7-A9f9R21vMXxHZFNpYNeKFtG8_yji4HS352LGlSQ/edit?pli=1#gid=0"",""1_ACUM!A4:S""),19,FALSE))"),"")</f>
        <v/>
      </c>
      <c r="BF643" s="98" t="str">
        <f ca="1">IFERROR(__xludf.DUMMYFUNCTION("IFERROR(VLOOKUP(F657,IMPORTRANGE(""https://docs.google.com/spreadsheets/d/1Kvs4KS76FHFqLFIZfrDMff4kP08nblUkihrxltoGBjg/edit#gid=934712705"",""ESENCIAL!A6:BG""),5,FALSE))"),"")</f>
        <v/>
      </c>
      <c r="BG643" s="98" t="str">
        <f t="shared" si="21"/>
        <v/>
      </c>
      <c r="BH643" s="99" t="str">
        <f t="shared" si="22"/>
        <v/>
      </c>
      <c r="BI643" s="100" t="str">
        <f ca="1">IFERROR(__xludf.DUMMYFUNCTION("IFERROR(VLOOKUP(F657,IMPORTRANGE(""https://docs.google.com/spreadsheets/d/1Kvs4KS76FHFqLFIZfrDMff4kP08nblUkihrxltoGBjg/edit#gid=934712705"",""ESENCIAL!A6:BG""),2,FALSE))"),"")</f>
        <v/>
      </c>
      <c r="BJ643" s="19" t="str">
        <f t="shared" si="23"/>
        <v/>
      </c>
      <c r="BK643" s="100"/>
      <c r="BL643" s="100"/>
    </row>
    <row r="644" spans="1:64" ht="15">
      <c r="A644" s="5"/>
      <c r="B644" s="5"/>
      <c r="G644" s="5" t="str">
        <f ca="1">IFERROR(__xludf.DUMMYFUNCTION("IFERROR(VLOOKUP(F658,IMPORTRANGE(""https://docs.google.com/spreadsheets/d/1Kvs4KS76FHFqLFIZfrDMff4kP08nblUkihrxltoGBjg/edit#gid=934712705"",""ESENCIAL!A6:BG""),3,FALSE))"),"")</f>
        <v/>
      </c>
      <c r="H644" s="5" t="str">
        <f ca="1">IFERROR(__xludf.DUMMYFUNCTION("IFERROR(VLOOKUP(F658,IMPORTRANGE(""https://docs.google.com/spreadsheets/d/1Kvs4KS76FHFqLFIZfrDMff4kP08nblUkihrxltoGBjg/edit#gid=934712705"",""ESENCIAL!A6:BG""),8,FALSE))"),"")</f>
        <v/>
      </c>
      <c r="L644" s="287"/>
      <c r="U644" s="40"/>
      <c r="AU644" s="41" t="str">
        <f t="shared" si="20"/>
        <v/>
      </c>
      <c r="AV644" s="5" t="str">
        <f ca="1">IFERROR(__xludf.DUMMYFUNCTION("IFERROR(VLOOKUP(E658&amp;F658,IMPORTRANGE(""https://docs.google.com/spreadsheets/d/1Uw7-A9f9R21vMXxHZFNpYNeKFtG8_yji4HS352LGlSQ/edit?pli=1#gid=0"",""1_ACUM!A4:S""),11,FALSE))"),"")</f>
        <v/>
      </c>
      <c r="AW644" s="42" t="str">
        <f ca="1">IFERROR(__xludf.DUMMYFUNCTION("IFERROR(VLOOKUP(F658,IMPORTRANGE(""https://docs.google.com/spreadsheets/d/1Kvs4KS76FHFqLFIZfrDMff4kP08nblUkihrxltoGBjg/edit#gid=934712705"",""ESENCIAL!A6:BG""),15,FALSE))"),"")</f>
        <v/>
      </c>
      <c r="AX644" s="21" t="str">
        <f ca="1">IFERROR(__xludf.DUMMYFUNCTION("IFERROR(VLOOKUP(E658&amp;F658,IMPORTRANGE(""https://docs.google.com/spreadsheets/d/1Uw7-A9f9R21vMXxHZFNpYNeKFtG8_yji4HS352LGlSQ/edit?pli=1#gid=0"",""1_ACUM!A4:S""),12,FALSE))"),"")</f>
        <v/>
      </c>
      <c r="AY644" s="43" t="str">
        <f ca="1">IFERROR(__xludf.DUMMYFUNCTION("IFERROR(VLOOKUP(E658&amp;F658,IMPORTRANGE(""https://docs.google.com/spreadsheets/d/1Uw7-A9f9R21vMXxHZFNpYNeKFtG8_yji4HS352LGlSQ/edit?pli=1#gid=0"",""1_ACUM!A4:S""),13,FALSE))"),"")</f>
        <v/>
      </c>
      <c r="AZ644" s="43" t="str">
        <f ca="1">IFERROR(__xludf.DUMMYFUNCTION("IFERROR(VLOOKUP(E658&amp;F658,IMPORTRANGE(""https://docs.google.com/spreadsheets/d/1Uw7-A9f9R21vMXxHZFNpYNeKFtG8_yji4HS352LGlSQ/edit?pli=1#gid=0"",""1_ACUM!A4:S""),14,FALSE))"),"")</f>
        <v/>
      </c>
      <c r="BA644" s="43" t="str">
        <f ca="1">IFERROR(__xludf.DUMMYFUNCTION("IFERROR(VLOOKUP(E658&amp;F658,IMPORTRANGE(""https://docs.google.com/spreadsheets/d/1Uw7-A9f9R21vMXxHZFNpYNeKFtG8_yji4HS352LGlSQ/edit?pli=1#gid=0"",""1_ACUM!A4:S""),15,FALSE))"),"")</f>
        <v/>
      </c>
      <c r="BB644" s="43" t="str">
        <f ca="1">IFERROR(__xludf.DUMMYFUNCTION("IFERROR(VLOOKUP(E658&amp;F658,IMPORTRANGE(""https://docs.google.com/spreadsheets/d/1Uw7-A9f9R21vMXxHZFNpYNeKFtG8_yji4HS352LGlSQ/edit?pli=1#gid=0"",""1_ACUM!A4:S""),16,FALSE))"),"")</f>
        <v/>
      </c>
      <c r="BC644" s="43" t="str">
        <f ca="1">IFERROR(__xludf.DUMMYFUNCTION("IFERROR(VLOOKUP(E658&amp;F658,IMPORTRANGE(""https://docs.google.com/spreadsheets/d/1Uw7-A9f9R21vMXxHZFNpYNeKFtG8_yji4HS352LGlSQ/edit?pli=1#gid=0"",""1_ACUM!A4:S""),17,FALSE))"),"")</f>
        <v/>
      </c>
      <c r="BD644" s="44" t="str">
        <f ca="1">IFERROR(__xludf.DUMMYFUNCTION("IFERROR(VLOOKUP(E658&amp;F658,IMPORTRANGE(""https://docs.google.com/spreadsheets/d/1Uw7-A9f9R21vMXxHZFNpYNeKFtG8_yji4HS352LGlSQ/edit?pli=1#gid=0"",""1_ACUM!A4:S""),18,FALSE))"),"")</f>
        <v/>
      </c>
      <c r="BE644" s="44" t="str">
        <f ca="1">IFERROR(__xludf.DUMMYFUNCTION("IFERROR(VLOOKUP(E658&amp;F658,IMPORTRANGE(""https://docs.google.com/spreadsheets/d/1Uw7-A9f9R21vMXxHZFNpYNeKFtG8_yji4HS352LGlSQ/edit?pli=1#gid=0"",""1_ACUM!A4:S""),19,FALSE))"),"")</f>
        <v/>
      </c>
      <c r="BF644" s="98" t="str">
        <f ca="1">IFERROR(__xludf.DUMMYFUNCTION("IFERROR(VLOOKUP(F658,IMPORTRANGE(""https://docs.google.com/spreadsheets/d/1Kvs4KS76FHFqLFIZfrDMff4kP08nblUkihrxltoGBjg/edit#gid=934712705"",""ESENCIAL!A6:BG""),5,FALSE))"),"")</f>
        <v/>
      </c>
      <c r="BG644" s="98" t="str">
        <f t="shared" si="21"/>
        <v/>
      </c>
      <c r="BH644" s="99" t="str">
        <f t="shared" si="22"/>
        <v/>
      </c>
      <c r="BI644" s="100" t="str">
        <f ca="1">IFERROR(__xludf.DUMMYFUNCTION("IFERROR(VLOOKUP(F658,IMPORTRANGE(""https://docs.google.com/spreadsheets/d/1Kvs4KS76FHFqLFIZfrDMff4kP08nblUkihrxltoGBjg/edit#gid=934712705"",""ESENCIAL!A6:BG""),2,FALSE))"),"")</f>
        <v/>
      </c>
      <c r="BJ644" s="19" t="str">
        <f t="shared" si="23"/>
        <v/>
      </c>
      <c r="BK644" s="100"/>
      <c r="BL644" s="100"/>
    </row>
    <row r="645" spans="1:64" ht="15">
      <c r="A645" s="5"/>
      <c r="B645" s="5"/>
      <c r="G645" s="5" t="str">
        <f ca="1">IFERROR(__xludf.DUMMYFUNCTION("IFERROR(VLOOKUP(F659,IMPORTRANGE(""https://docs.google.com/spreadsheets/d/1Kvs4KS76FHFqLFIZfrDMff4kP08nblUkihrxltoGBjg/edit#gid=934712705"",""ESENCIAL!A6:BG""),3,FALSE))"),"")</f>
        <v/>
      </c>
      <c r="H645" s="5" t="str">
        <f ca="1">IFERROR(__xludf.DUMMYFUNCTION("IFERROR(VLOOKUP(F659,IMPORTRANGE(""https://docs.google.com/spreadsheets/d/1Kvs4KS76FHFqLFIZfrDMff4kP08nblUkihrxltoGBjg/edit#gid=934712705"",""ESENCIAL!A6:BG""),8,FALSE))"),"")</f>
        <v/>
      </c>
      <c r="L645" s="287"/>
      <c r="U645" s="40"/>
      <c r="AU645" s="41" t="str">
        <f t="shared" si="20"/>
        <v/>
      </c>
      <c r="AV645" s="5" t="str">
        <f ca="1">IFERROR(__xludf.DUMMYFUNCTION("IFERROR(VLOOKUP(E659&amp;F659,IMPORTRANGE(""https://docs.google.com/spreadsheets/d/1Uw7-A9f9R21vMXxHZFNpYNeKFtG8_yji4HS352LGlSQ/edit?pli=1#gid=0"",""1_ACUM!A4:S""),11,FALSE))"),"")</f>
        <v/>
      </c>
      <c r="AW645" s="42" t="str">
        <f ca="1">IFERROR(__xludf.DUMMYFUNCTION("IFERROR(VLOOKUP(F659,IMPORTRANGE(""https://docs.google.com/spreadsheets/d/1Kvs4KS76FHFqLFIZfrDMff4kP08nblUkihrxltoGBjg/edit#gid=934712705"",""ESENCIAL!A6:BG""),15,FALSE))"),"")</f>
        <v/>
      </c>
      <c r="AX645" s="21" t="str">
        <f ca="1">IFERROR(__xludf.DUMMYFUNCTION("IFERROR(VLOOKUP(E659&amp;F659,IMPORTRANGE(""https://docs.google.com/spreadsheets/d/1Uw7-A9f9R21vMXxHZFNpYNeKFtG8_yji4HS352LGlSQ/edit?pli=1#gid=0"",""1_ACUM!A4:S""),12,FALSE))"),"")</f>
        <v/>
      </c>
      <c r="AY645" s="43" t="str">
        <f ca="1">IFERROR(__xludf.DUMMYFUNCTION("IFERROR(VLOOKUP(E659&amp;F659,IMPORTRANGE(""https://docs.google.com/spreadsheets/d/1Uw7-A9f9R21vMXxHZFNpYNeKFtG8_yji4HS352LGlSQ/edit?pli=1#gid=0"",""1_ACUM!A4:S""),13,FALSE))"),"")</f>
        <v/>
      </c>
      <c r="AZ645" s="43" t="str">
        <f ca="1">IFERROR(__xludf.DUMMYFUNCTION("IFERROR(VLOOKUP(E659&amp;F659,IMPORTRANGE(""https://docs.google.com/spreadsheets/d/1Uw7-A9f9R21vMXxHZFNpYNeKFtG8_yji4HS352LGlSQ/edit?pli=1#gid=0"",""1_ACUM!A4:S""),14,FALSE))"),"")</f>
        <v/>
      </c>
      <c r="BA645" s="43" t="str">
        <f ca="1">IFERROR(__xludf.DUMMYFUNCTION("IFERROR(VLOOKUP(E659&amp;F659,IMPORTRANGE(""https://docs.google.com/spreadsheets/d/1Uw7-A9f9R21vMXxHZFNpYNeKFtG8_yji4HS352LGlSQ/edit?pli=1#gid=0"",""1_ACUM!A4:S""),15,FALSE))"),"")</f>
        <v/>
      </c>
      <c r="BB645" s="43" t="str">
        <f ca="1">IFERROR(__xludf.DUMMYFUNCTION("IFERROR(VLOOKUP(E659&amp;F659,IMPORTRANGE(""https://docs.google.com/spreadsheets/d/1Uw7-A9f9R21vMXxHZFNpYNeKFtG8_yji4HS352LGlSQ/edit?pli=1#gid=0"",""1_ACUM!A4:S""),16,FALSE))"),"")</f>
        <v/>
      </c>
      <c r="BC645" s="43" t="str">
        <f ca="1">IFERROR(__xludf.DUMMYFUNCTION("IFERROR(VLOOKUP(E659&amp;F659,IMPORTRANGE(""https://docs.google.com/spreadsheets/d/1Uw7-A9f9R21vMXxHZFNpYNeKFtG8_yji4HS352LGlSQ/edit?pli=1#gid=0"",""1_ACUM!A4:S""),17,FALSE))"),"")</f>
        <v/>
      </c>
      <c r="BD645" s="44" t="str">
        <f ca="1">IFERROR(__xludf.DUMMYFUNCTION("IFERROR(VLOOKUP(E659&amp;F659,IMPORTRANGE(""https://docs.google.com/spreadsheets/d/1Uw7-A9f9R21vMXxHZFNpYNeKFtG8_yji4HS352LGlSQ/edit?pli=1#gid=0"",""1_ACUM!A4:S""),18,FALSE))"),"")</f>
        <v/>
      </c>
      <c r="BE645" s="44" t="str">
        <f ca="1">IFERROR(__xludf.DUMMYFUNCTION("IFERROR(VLOOKUP(E659&amp;F659,IMPORTRANGE(""https://docs.google.com/spreadsheets/d/1Uw7-A9f9R21vMXxHZFNpYNeKFtG8_yji4HS352LGlSQ/edit?pli=1#gid=0"",""1_ACUM!A4:S""),19,FALSE))"),"")</f>
        <v/>
      </c>
      <c r="BF645" s="98" t="str">
        <f ca="1">IFERROR(__xludf.DUMMYFUNCTION("IFERROR(VLOOKUP(F659,IMPORTRANGE(""https://docs.google.com/spreadsheets/d/1Kvs4KS76FHFqLFIZfrDMff4kP08nblUkihrxltoGBjg/edit#gid=934712705"",""ESENCIAL!A6:BG""),5,FALSE))"),"")</f>
        <v/>
      </c>
      <c r="BG645" s="98" t="str">
        <f t="shared" si="21"/>
        <v/>
      </c>
      <c r="BH645" s="99" t="str">
        <f t="shared" si="22"/>
        <v/>
      </c>
      <c r="BI645" s="100" t="str">
        <f ca="1">IFERROR(__xludf.DUMMYFUNCTION("IFERROR(VLOOKUP(F659,IMPORTRANGE(""https://docs.google.com/spreadsheets/d/1Kvs4KS76FHFqLFIZfrDMff4kP08nblUkihrxltoGBjg/edit#gid=934712705"",""ESENCIAL!A6:BG""),2,FALSE))"),"")</f>
        <v/>
      </c>
      <c r="BJ645" s="19" t="str">
        <f t="shared" si="23"/>
        <v/>
      </c>
      <c r="BK645" s="100"/>
      <c r="BL645" s="100"/>
    </row>
    <row r="646" spans="1:64" ht="15">
      <c r="A646" s="5"/>
      <c r="B646" s="5"/>
      <c r="G646" s="5" t="str">
        <f ca="1">IFERROR(__xludf.DUMMYFUNCTION("IFERROR(VLOOKUP(F660,IMPORTRANGE(""https://docs.google.com/spreadsheets/d/1Kvs4KS76FHFqLFIZfrDMff4kP08nblUkihrxltoGBjg/edit#gid=934712705"",""ESENCIAL!A6:BG""),3,FALSE))"),"")</f>
        <v/>
      </c>
      <c r="H646" s="5" t="str">
        <f ca="1">IFERROR(__xludf.DUMMYFUNCTION("IFERROR(VLOOKUP(F660,IMPORTRANGE(""https://docs.google.com/spreadsheets/d/1Kvs4KS76FHFqLFIZfrDMff4kP08nblUkihrxltoGBjg/edit#gid=934712705"",""ESENCIAL!A6:BG""),8,FALSE))"),"")</f>
        <v/>
      </c>
      <c r="L646" s="287"/>
      <c r="U646" s="40"/>
      <c r="AU646" s="41" t="str">
        <f t="shared" si="20"/>
        <v/>
      </c>
      <c r="AV646" s="5" t="str">
        <f ca="1">IFERROR(__xludf.DUMMYFUNCTION("IFERROR(VLOOKUP(E660&amp;F660,IMPORTRANGE(""https://docs.google.com/spreadsheets/d/1Uw7-A9f9R21vMXxHZFNpYNeKFtG8_yji4HS352LGlSQ/edit?pli=1#gid=0"",""1_ACUM!A4:S""),11,FALSE))"),"")</f>
        <v/>
      </c>
      <c r="AW646" s="42" t="str">
        <f ca="1">IFERROR(__xludf.DUMMYFUNCTION("IFERROR(VLOOKUP(F660,IMPORTRANGE(""https://docs.google.com/spreadsheets/d/1Kvs4KS76FHFqLFIZfrDMff4kP08nblUkihrxltoGBjg/edit#gid=934712705"",""ESENCIAL!A6:BG""),15,FALSE))"),"")</f>
        <v/>
      </c>
      <c r="AX646" s="21" t="str">
        <f ca="1">IFERROR(__xludf.DUMMYFUNCTION("IFERROR(VLOOKUP(E660&amp;F660,IMPORTRANGE(""https://docs.google.com/spreadsheets/d/1Uw7-A9f9R21vMXxHZFNpYNeKFtG8_yji4HS352LGlSQ/edit?pli=1#gid=0"",""1_ACUM!A4:S""),12,FALSE))"),"")</f>
        <v/>
      </c>
      <c r="AY646" s="43" t="str">
        <f ca="1">IFERROR(__xludf.DUMMYFUNCTION("IFERROR(VLOOKUP(E660&amp;F660,IMPORTRANGE(""https://docs.google.com/spreadsheets/d/1Uw7-A9f9R21vMXxHZFNpYNeKFtG8_yji4HS352LGlSQ/edit?pli=1#gid=0"",""1_ACUM!A4:S""),13,FALSE))"),"")</f>
        <v/>
      </c>
      <c r="AZ646" s="43" t="str">
        <f ca="1">IFERROR(__xludf.DUMMYFUNCTION("IFERROR(VLOOKUP(E660&amp;F660,IMPORTRANGE(""https://docs.google.com/spreadsheets/d/1Uw7-A9f9R21vMXxHZFNpYNeKFtG8_yji4HS352LGlSQ/edit?pli=1#gid=0"",""1_ACUM!A4:S""),14,FALSE))"),"")</f>
        <v/>
      </c>
      <c r="BA646" s="43" t="str">
        <f ca="1">IFERROR(__xludf.DUMMYFUNCTION("IFERROR(VLOOKUP(E660&amp;F660,IMPORTRANGE(""https://docs.google.com/spreadsheets/d/1Uw7-A9f9R21vMXxHZFNpYNeKFtG8_yji4HS352LGlSQ/edit?pli=1#gid=0"",""1_ACUM!A4:S""),15,FALSE))"),"")</f>
        <v/>
      </c>
      <c r="BB646" s="43" t="str">
        <f ca="1">IFERROR(__xludf.DUMMYFUNCTION("IFERROR(VLOOKUP(E660&amp;F660,IMPORTRANGE(""https://docs.google.com/spreadsheets/d/1Uw7-A9f9R21vMXxHZFNpYNeKFtG8_yji4HS352LGlSQ/edit?pli=1#gid=0"",""1_ACUM!A4:S""),16,FALSE))"),"")</f>
        <v/>
      </c>
      <c r="BC646" s="43" t="str">
        <f ca="1">IFERROR(__xludf.DUMMYFUNCTION("IFERROR(VLOOKUP(E660&amp;F660,IMPORTRANGE(""https://docs.google.com/spreadsheets/d/1Uw7-A9f9R21vMXxHZFNpYNeKFtG8_yji4HS352LGlSQ/edit?pli=1#gid=0"",""1_ACUM!A4:S""),17,FALSE))"),"")</f>
        <v/>
      </c>
      <c r="BD646" s="44" t="str">
        <f ca="1">IFERROR(__xludf.DUMMYFUNCTION("IFERROR(VLOOKUP(E660&amp;F660,IMPORTRANGE(""https://docs.google.com/spreadsheets/d/1Uw7-A9f9R21vMXxHZFNpYNeKFtG8_yji4HS352LGlSQ/edit?pli=1#gid=0"",""1_ACUM!A4:S""),18,FALSE))"),"")</f>
        <v/>
      </c>
      <c r="BE646" s="44" t="str">
        <f ca="1">IFERROR(__xludf.DUMMYFUNCTION("IFERROR(VLOOKUP(E660&amp;F660,IMPORTRANGE(""https://docs.google.com/spreadsheets/d/1Uw7-A9f9R21vMXxHZFNpYNeKFtG8_yji4HS352LGlSQ/edit?pli=1#gid=0"",""1_ACUM!A4:S""),19,FALSE))"),"")</f>
        <v/>
      </c>
      <c r="BF646" s="98" t="str">
        <f ca="1">IFERROR(__xludf.DUMMYFUNCTION("IFERROR(VLOOKUP(F660,IMPORTRANGE(""https://docs.google.com/spreadsheets/d/1Kvs4KS76FHFqLFIZfrDMff4kP08nblUkihrxltoGBjg/edit#gid=934712705"",""ESENCIAL!A6:BG""),5,FALSE))"),"")</f>
        <v/>
      </c>
      <c r="BG646" s="98" t="str">
        <f t="shared" si="21"/>
        <v/>
      </c>
      <c r="BH646" s="99" t="str">
        <f t="shared" si="22"/>
        <v/>
      </c>
      <c r="BI646" s="100" t="str">
        <f ca="1">IFERROR(__xludf.DUMMYFUNCTION("IFERROR(VLOOKUP(F660,IMPORTRANGE(""https://docs.google.com/spreadsheets/d/1Kvs4KS76FHFqLFIZfrDMff4kP08nblUkihrxltoGBjg/edit#gid=934712705"",""ESENCIAL!A6:BG""),2,FALSE))"),"")</f>
        <v/>
      </c>
      <c r="BJ646" s="19" t="str">
        <f t="shared" si="23"/>
        <v/>
      </c>
      <c r="BK646" s="100"/>
      <c r="BL646" s="100"/>
    </row>
    <row r="647" spans="1:64" ht="15">
      <c r="A647" s="5"/>
      <c r="B647" s="5"/>
      <c r="G647" s="5" t="str">
        <f ca="1">IFERROR(__xludf.DUMMYFUNCTION("IFERROR(VLOOKUP(F661,IMPORTRANGE(""https://docs.google.com/spreadsheets/d/1Kvs4KS76FHFqLFIZfrDMff4kP08nblUkihrxltoGBjg/edit#gid=934712705"",""ESENCIAL!A6:BG""),3,FALSE))"),"")</f>
        <v/>
      </c>
      <c r="H647" s="5" t="str">
        <f ca="1">IFERROR(__xludf.DUMMYFUNCTION("IFERROR(VLOOKUP(F661,IMPORTRANGE(""https://docs.google.com/spreadsheets/d/1Kvs4KS76FHFqLFIZfrDMff4kP08nblUkihrxltoGBjg/edit#gid=934712705"",""ESENCIAL!A6:BG""),8,FALSE))"),"")</f>
        <v/>
      </c>
      <c r="L647" s="287"/>
      <c r="U647" s="40"/>
      <c r="AU647" s="41" t="str">
        <f t="shared" si="20"/>
        <v/>
      </c>
      <c r="AV647" s="5" t="str">
        <f ca="1">IFERROR(__xludf.DUMMYFUNCTION("IFERROR(VLOOKUP(E661&amp;F661,IMPORTRANGE(""https://docs.google.com/spreadsheets/d/1Uw7-A9f9R21vMXxHZFNpYNeKFtG8_yji4HS352LGlSQ/edit?pli=1#gid=0"",""1_ACUM!A4:S""),11,FALSE))"),"")</f>
        <v/>
      </c>
      <c r="AW647" s="42" t="str">
        <f ca="1">IFERROR(__xludf.DUMMYFUNCTION("IFERROR(VLOOKUP(F661,IMPORTRANGE(""https://docs.google.com/spreadsheets/d/1Kvs4KS76FHFqLFIZfrDMff4kP08nblUkihrxltoGBjg/edit#gid=934712705"",""ESENCIAL!A6:BG""),15,FALSE))"),"")</f>
        <v/>
      </c>
      <c r="AX647" s="21" t="str">
        <f ca="1">IFERROR(__xludf.DUMMYFUNCTION("IFERROR(VLOOKUP(E661&amp;F661,IMPORTRANGE(""https://docs.google.com/spreadsheets/d/1Uw7-A9f9R21vMXxHZFNpYNeKFtG8_yji4HS352LGlSQ/edit?pli=1#gid=0"",""1_ACUM!A4:S""),12,FALSE))"),"")</f>
        <v/>
      </c>
      <c r="AY647" s="43" t="str">
        <f ca="1">IFERROR(__xludf.DUMMYFUNCTION("IFERROR(VLOOKUP(E661&amp;F661,IMPORTRANGE(""https://docs.google.com/spreadsheets/d/1Uw7-A9f9R21vMXxHZFNpYNeKFtG8_yji4HS352LGlSQ/edit?pli=1#gid=0"",""1_ACUM!A4:S""),13,FALSE))"),"")</f>
        <v/>
      </c>
      <c r="AZ647" s="43" t="str">
        <f ca="1">IFERROR(__xludf.DUMMYFUNCTION("IFERROR(VLOOKUP(E661&amp;F661,IMPORTRANGE(""https://docs.google.com/spreadsheets/d/1Uw7-A9f9R21vMXxHZFNpYNeKFtG8_yji4HS352LGlSQ/edit?pli=1#gid=0"",""1_ACUM!A4:S""),14,FALSE))"),"")</f>
        <v/>
      </c>
      <c r="BA647" s="43" t="str">
        <f ca="1">IFERROR(__xludf.DUMMYFUNCTION("IFERROR(VLOOKUP(E661&amp;F661,IMPORTRANGE(""https://docs.google.com/spreadsheets/d/1Uw7-A9f9R21vMXxHZFNpYNeKFtG8_yji4HS352LGlSQ/edit?pli=1#gid=0"",""1_ACUM!A4:S""),15,FALSE))"),"")</f>
        <v/>
      </c>
      <c r="BB647" s="43" t="str">
        <f ca="1">IFERROR(__xludf.DUMMYFUNCTION("IFERROR(VLOOKUP(E661&amp;F661,IMPORTRANGE(""https://docs.google.com/spreadsheets/d/1Uw7-A9f9R21vMXxHZFNpYNeKFtG8_yji4HS352LGlSQ/edit?pli=1#gid=0"",""1_ACUM!A4:S""),16,FALSE))"),"")</f>
        <v/>
      </c>
      <c r="BC647" s="43" t="str">
        <f ca="1">IFERROR(__xludf.DUMMYFUNCTION("IFERROR(VLOOKUP(E661&amp;F661,IMPORTRANGE(""https://docs.google.com/spreadsheets/d/1Uw7-A9f9R21vMXxHZFNpYNeKFtG8_yji4HS352LGlSQ/edit?pli=1#gid=0"",""1_ACUM!A4:S""),17,FALSE))"),"")</f>
        <v/>
      </c>
      <c r="BD647" s="44" t="str">
        <f ca="1">IFERROR(__xludf.DUMMYFUNCTION("IFERROR(VLOOKUP(E661&amp;F661,IMPORTRANGE(""https://docs.google.com/spreadsheets/d/1Uw7-A9f9R21vMXxHZFNpYNeKFtG8_yji4HS352LGlSQ/edit?pli=1#gid=0"",""1_ACUM!A4:S""),18,FALSE))"),"")</f>
        <v/>
      </c>
      <c r="BE647" s="44" t="str">
        <f ca="1">IFERROR(__xludf.DUMMYFUNCTION("IFERROR(VLOOKUP(E661&amp;F661,IMPORTRANGE(""https://docs.google.com/spreadsheets/d/1Uw7-A9f9R21vMXxHZFNpYNeKFtG8_yji4HS352LGlSQ/edit?pli=1#gid=0"",""1_ACUM!A4:S""),19,FALSE))"),"")</f>
        <v/>
      </c>
      <c r="BF647" s="98" t="str">
        <f ca="1">IFERROR(__xludf.DUMMYFUNCTION("IFERROR(VLOOKUP(F661,IMPORTRANGE(""https://docs.google.com/spreadsheets/d/1Kvs4KS76FHFqLFIZfrDMff4kP08nblUkihrxltoGBjg/edit#gid=934712705"",""ESENCIAL!A6:BG""),5,FALSE))"),"")</f>
        <v/>
      </c>
      <c r="BG647" s="98" t="str">
        <f t="shared" si="21"/>
        <v/>
      </c>
      <c r="BH647" s="99" t="str">
        <f t="shared" si="22"/>
        <v/>
      </c>
      <c r="BI647" s="100" t="str">
        <f ca="1">IFERROR(__xludf.DUMMYFUNCTION("IFERROR(VLOOKUP(F661,IMPORTRANGE(""https://docs.google.com/spreadsheets/d/1Kvs4KS76FHFqLFIZfrDMff4kP08nblUkihrxltoGBjg/edit#gid=934712705"",""ESENCIAL!A6:BG""),2,FALSE))"),"")</f>
        <v/>
      </c>
      <c r="BJ647" s="19" t="str">
        <f t="shared" si="23"/>
        <v/>
      </c>
      <c r="BK647" s="100"/>
      <c r="BL647" s="100"/>
    </row>
    <row r="648" spans="1:64" ht="15">
      <c r="A648" s="5"/>
      <c r="B648" s="5"/>
      <c r="G648" s="5" t="str">
        <f ca="1">IFERROR(__xludf.DUMMYFUNCTION("IFERROR(VLOOKUP(F662,IMPORTRANGE(""https://docs.google.com/spreadsheets/d/1Kvs4KS76FHFqLFIZfrDMff4kP08nblUkihrxltoGBjg/edit#gid=934712705"",""ESENCIAL!A6:BG""),3,FALSE))"),"")</f>
        <v/>
      </c>
      <c r="H648" s="5" t="str">
        <f ca="1">IFERROR(__xludf.DUMMYFUNCTION("IFERROR(VLOOKUP(F662,IMPORTRANGE(""https://docs.google.com/spreadsheets/d/1Kvs4KS76FHFqLFIZfrDMff4kP08nblUkihrxltoGBjg/edit#gid=934712705"",""ESENCIAL!A6:BG""),8,FALSE))"),"")</f>
        <v/>
      </c>
      <c r="L648" s="287"/>
      <c r="U648" s="40"/>
      <c r="AU648" s="41" t="str">
        <f t="shared" si="20"/>
        <v/>
      </c>
      <c r="AV648" s="5" t="str">
        <f ca="1">IFERROR(__xludf.DUMMYFUNCTION("IFERROR(VLOOKUP(E662&amp;F662,IMPORTRANGE(""https://docs.google.com/spreadsheets/d/1Uw7-A9f9R21vMXxHZFNpYNeKFtG8_yji4HS352LGlSQ/edit?pli=1#gid=0"",""1_ACUM!A4:S""),11,FALSE))"),"")</f>
        <v/>
      </c>
      <c r="AW648" s="42" t="str">
        <f ca="1">IFERROR(__xludf.DUMMYFUNCTION("IFERROR(VLOOKUP(F662,IMPORTRANGE(""https://docs.google.com/spreadsheets/d/1Kvs4KS76FHFqLFIZfrDMff4kP08nblUkihrxltoGBjg/edit#gid=934712705"",""ESENCIAL!A6:BG""),15,FALSE))"),"")</f>
        <v/>
      </c>
      <c r="AX648" s="21" t="str">
        <f ca="1">IFERROR(__xludf.DUMMYFUNCTION("IFERROR(VLOOKUP(E662&amp;F662,IMPORTRANGE(""https://docs.google.com/spreadsheets/d/1Uw7-A9f9R21vMXxHZFNpYNeKFtG8_yji4HS352LGlSQ/edit?pli=1#gid=0"",""1_ACUM!A4:S""),12,FALSE))"),"")</f>
        <v/>
      </c>
      <c r="AY648" s="43" t="str">
        <f ca="1">IFERROR(__xludf.DUMMYFUNCTION("IFERROR(VLOOKUP(E662&amp;F662,IMPORTRANGE(""https://docs.google.com/spreadsheets/d/1Uw7-A9f9R21vMXxHZFNpYNeKFtG8_yji4HS352LGlSQ/edit?pli=1#gid=0"",""1_ACUM!A4:S""),13,FALSE))"),"")</f>
        <v/>
      </c>
      <c r="AZ648" s="43" t="str">
        <f ca="1">IFERROR(__xludf.DUMMYFUNCTION("IFERROR(VLOOKUP(E662&amp;F662,IMPORTRANGE(""https://docs.google.com/spreadsheets/d/1Uw7-A9f9R21vMXxHZFNpYNeKFtG8_yji4HS352LGlSQ/edit?pli=1#gid=0"",""1_ACUM!A4:S""),14,FALSE))"),"")</f>
        <v/>
      </c>
      <c r="BA648" s="43" t="str">
        <f ca="1">IFERROR(__xludf.DUMMYFUNCTION("IFERROR(VLOOKUP(E662&amp;F662,IMPORTRANGE(""https://docs.google.com/spreadsheets/d/1Uw7-A9f9R21vMXxHZFNpYNeKFtG8_yji4HS352LGlSQ/edit?pli=1#gid=0"",""1_ACUM!A4:S""),15,FALSE))"),"")</f>
        <v/>
      </c>
      <c r="BB648" s="43" t="str">
        <f ca="1">IFERROR(__xludf.DUMMYFUNCTION("IFERROR(VLOOKUP(E662&amp;F662,IMPORTRANGE(""https://docs.google.com/spreadsheets/d/1Uw7-A9f9R21vMXxHZFNpYNeKFtG8_yji4HS352LGlSQ/edit?pli=1#gid=0"",""1_ACUM!A4:S""),16,FALSE))"),"")</f>
        <v/>
      </c>
      <c r="BC648" s="43" t="str">
        <f ca="1">IFERROR(__xludf.DUMMYFUNCTION("IFERROR(VLOOKUP(E662&amp;F662,IMPORTRANGE(""https://docs.google.com/spreadsheets/d/1Uw7-A9f9R21vMXxHZFNpYNeKFtG8_yji4HS352LGlSQ/edit?pli=1#gid=0"",""1_ACUM!A4:S""),17,FALSE))"),"")</f>
        <v/>
      </c>
      <c r="BD648" s="44" t="str">
        <f ca="1">IFERROR(__xludf.DUMMYFUNCTION("IFERROR(VLOOKUP(E662&amp;F662,IMPORTRANGE(""https://docs.google.com/spreadsheets/d/1Uw7-A9f9R21vMXxHZFNpYNeKFtG8_yji4HS352LGlSQ/edit?pli=1#gid=0"",""1_ACUM!A4:S""),18,FALSE))"),"")</f>
        <v/>
      </c>
      <c r="BE648" s="44" t="str">
        <f ca="1">IFERROR(__xludf.DUMMYFUNCTION("IFERROR(VLOOKUP(E662&amp;F662,IMPORTRANGE(""https://docs.google.com/spreadsheets/d/1Uw7-A9f9R21vMXxHZFNpYNeKFtG8_yji4HS352LGlSQ/edit?pli=1#gid=0"",""1_ACUM!A4:S""),19,FALSE))"),"")</f>
        <v/>
      </c>
      <c r="BF648" s="98" t="str">
        <f ca="1">IFERROR(__xludf.DUMMYFUNCTION("IFERROR(VLOOKUP(F662,IMPORTRANGE(""https://docs.google.com/spreadsheets/d/1Kvs4KS76FHFqLFIZfrDMff4kP08nblUkihrxltoGBjg/edit#gid=934712705"",""ESENCIAL!A6:BG""),5,FALSE))"),"")</f>
        <v/>
      </c>
      <c r="BG648" s="98" t="str">
        <f t="shared" si="21"/>
        <v/>
      </c>
      <c r="BH648" s="99" t="str">
        <f t="shared" si="22"/>
        <v/>
      </c>
      <c r="BI648" s="100" t="str">
        <f ca="1">IFERROR(__xludf.DUMMYFUNCTION("IFERROR(VLOOKUP(F662,IMPORTRANGE(""https://docs.google.com/spreadsheets/d/1Kvs4KS76FHFqLFIZfrDMff4kP08nblUkihrxltoGBjg/edit#gid=934712705"",""ESENCIAL!A6:BG""),2,FALSE))"),"")</f>
        <v/>
      </c>
      <c r="BJ648" s="19" t="str">
        <f t="shared" si="23"/>
        <v/>
      </c>
      <c r="BK648" s="100"/>
      <c r="BL648" s="100"/>
    </row>
    <row r="649" spans="1:64" ht="15">
      <c r="A649" s="5"/>
      <c r="B649" s="5"/>
      <c r="G649" s="5" t="str">
        <f ca="1">IFERROR(__xludf.DUMMYFUNCTION("IFERROR(VLOOKUP(F663,IMPORTRANGE(""https://docs.google.com/spreadsheets/d/1Kvs4KS76FHFqLFIZfrDMff4kP08nblUkihrxltoGBjg/edit#gid=934712705"",""ESENCIAL!A6:BG""),3,FALSE))"),"")</f>
        <v/>
      </c>
      <c r="H649" s="5" t="str">
        <f ca="1">IFERROR(__xludf.DUMMYFUNCTION("IFERROR(VLOOKUP(F663,IMPORTRANGE(""https://docs.google.com/spreadsheets/d/1Kvs4KS76FHFqLFIZfrDMff4kP08nblUkihrxltoGBjg/edit#gid=934712705"",""ESENCIAL!A6:BG""),8,FALSE))"),"")</f>
        <v/>
      </c>
      <c r="L649" s="287"/>
      <c r="U649" s="40"/>
      <c r="AU649" s="41" t="str">
        <f t="shared" si="20"/>
        <v/>
      </c>
      <c r="AV649" s="5" t="str">
        <f ca="1">IFERROR(__xludf.DUMMYFUNCTION("IFERROR(VLOOKUP(E663&amp;F663,IMPORTRANGE(""https://docs.google.com/spreadsheets/d/1Uw7-A9f9R21vMXxHZFNpYNeKFtG8_yji4HS352LGlSQ/edit?pli=1#gid=0"",""1_ACUM!A4:S""),11,FALSE))"),"")</f>
        <v/>
      </c>
      <c r="AW649" s="42" t="str">
        <f ca="1">IFERROR(__xludf.DUMMYFUNCTION("IFERROR(VLOOKUP(F663,IMPORTRANGE(""https://docs.google.com/spreadsheets/d/1Kvs4KS76FHFqLFIZfrDMff4kP08nblUkihrxltoGBjg/edit#gid=934712705"",""ESENCIAL!A6:BG""),15,FALSE))"),"")</f>
        <v/>
      </c>
      <c r="AX649" s="21" t="str">
        <f ca="1">IFERROR(__xludf.DUMMYFUNCTION("IFERROR(VLOOKUP(E663&amp;F663,IMPORTRANGE(""https://docs.google.com/spreadsheets/d/1Uw7-A9f9R21vMXxHZFNpYNeKFtG8_yji4HS352LGlSQ/edit?pli=1#gid=0"",""1_ACUM!A4:S""),12,FALSE))"),"")</f>
        <v/>
      </c>
      <c r="AY649" s="43" t="str">
        <f ca="1">IFERROR(__xludf.DUMMYFUNCTION("IFERROR(VLOOKUP(E663&amp;F663,IMPORTRANGE(""https://docs.google.com/spreadsheets/d/1Uw7-A9f9R21vMXxHZFNpYNeKFtG8_yji4HS352LGlSQ/edit?pli=1#gid=0"",""1_ACUM!A4:S""),13,FALSE))"),"")</f>
        <v/>
      </c>
      <c r="AZ649" s="43" t="str">
        <f ca="1">IFERROR(__xludf.DUMMYFUNCTION("IFERROR(VLOOKUP(E663&amp;F663,IMPORTRANGE(""https://docs.google.com/spreadsheets/d/1Uw7-A9f9R21vMXxHZFNpYNeKFtG8_yji4HS352LGlSQ/edit?pli=1#gid=0"",""1_ACUM!A4:S""),14,FALSE))"),"")</f>
        <v/>
      </c>
      <c r="BA649" s="43" t="str">
        <f ca="1">IFERROR(__xludf.DUMMYFUNCTION("IFERROR(VLOOKUP(E663&amp;F663,IMPORTRANGE(""https://docs.google.com/spreadsheets/d/1Uw7-A9f9R21vMXxHZFNpYNeKFtG8_yji4HS352LGlSQ/edit?pli=1#gid=0"",""1_ACUM!A4:S""),15,FALSE))"),"")</f>
        <v/>
      </c>
      <c r="BB649" s="43" t="str">
        <f ca="1">IFERROR(__xludf.DUMMYFUNCTION("IFERROR(VLOOKUP(E663&amp;F663,IMPORTRANGE(""https://docs.google.com/spreadsheets/d/1Uw7-A9f9R21vMXxHZFNpYNeKFtG8_yji4HS352LGlSQ/edit?pli=1#gid=0"",""1_ACUM!A4:S""),16,FALSE))"),"")</f>
        <v/>
      </c>
      <c r="BC649" s="43" t="str">
        <f ca="1">IFERROR(__xludf.DUMMYFUNCTION("IFERROR(VLOOKUP(E663&amp;F663,IMPORTRANGE(""https://docs.google.com/spreadsheets/d/1Uw7-A9f9R21vMXxHZFNpYNeKFtG8_yji4HS352LGlSQ/edit?pli=1#gid=0"",""1_ACUM!A4:S""),17,FALSE))"),"")</f>
        <v/>
      </c>
      <c r="BD649" s="44" t="str">
        <f ca="1">IFERROR(__xludf.DUMMYFUNCTION("IFERROR(VLOOKUP(E663&amp;F663,IMPORTRANGE(""https://docs.google.com/spreadsheets/d/1Uw7-A9f9R21vMXxHZFNpYNeKFtG8_yji4HS352LGlSQ/edit?pli=1#gid=0"",""1_ACUM!A4:S""),18,FALSE))"),"")</f>
        <v/>
      </c>
      <c r="BE649" s="44" t="str">
        <f ca="1">IFERROR(__xludf.DUMMYFUNCTION("IFERROR(VLOOKUP(E663&amp;F663,IMPORTRANGE(""https://docs.google.com/spreadsheets/d/1Uw7-A9f9R21vMXxHZFNpYNeKFtG8_yji4HS352LGlSQ/edit?pli=1#gid=0"",""1_ACUM!A4:S""),19,FALSE))"),"")</f>
        <v/>
      </c>
      <c r="BF649" s="98" t="str">
        <f ca="1">IFERROR(__xludf.DUMMYFUNCTION("IFERROR(VLOOKUP(F663,IMPORTRANGE(""https://docs.google.com/spreadsheets/d/1Kvs4KS76FHFqLFIZfrDMff4kP08nblUkihrxltoGBjg/edit#gid=934712705"",""ESENCIAL!A6:BG""),5,FALSE))"),"")</f>
        <v/>
      </c>
      <c r="BG649" s="98" t="str">
        <f t="shared" si="21"/>
        <v/>
      </c>
      <c r="BH649" s="99" t="str">
        <f t="shared" si="22"/>
        <v/>
      </c>
      <c r="BI649" s="100" t="str">
        <f ca="1">IFERROR(__xludf.DUMMYFUNCTION("IFERROR(VLOOKUP(F663,IMPORTRANGE(""https://docs.google.com/spreadsheets/d/1Kvs4KS76FHFqLFIZfrDMff4kP08nblUkihrxltoGBjg/edit#gid=934712705"",""ESENCIAL!A6:BG""),2,FALSE))"),"")</f>
        <v/>
      </c>
      <c r="BJ649" s="19" t="str">
        <f t="shared" si="23"/>
        <v/>
      </c>
      <c r="BK649" s="100"/>
      <c r="BL649" s="100"/>
    </row>
    <row r="650" spans="1:64" ht="15">
      <c r="A650" s="5"/>
      <c r="B650" s="5"/>
      <c r="G650" s="5" t="str">
        <f ca="1">IFERROR(__xludf.DUMMYFUNCTION("IFERROR(VLOOKUP(F664,IMPORTRANGE(""https://docs.google.com/spreadsheets/d/1Kvs4KS76FHFqLFIZfrDMff4kP08nblUkihrxltoGBjg/edit#gid=934712705"",""ESENCIAL!A6:BG""),3,FALSE))"),"")</f>
        <v/>
      </c>
      <c r="H650" s="5" t="str">
        <f ca="1">IFERROR(__xludf.DUMMYFUNCTION("IFERROR(VLOOKUP(F664,IMPORTRANGE(""https://docs.google.com/spreadsheets/d/1Kvs4KS76FHFqLFIZfrDMff4kP08nblUkihrxltoGBjg/edit#gid=934712705"",""ESENCIAL!A6:BG""),8,FALSE))"),"")</f>
        <v/>
      </c>
      <c r="L650" s="287"/>
      <c r="U650" s="40"/>
      <c r="AU650" s="41" t="str">
        <f t="shared" si="20"/>
        <v/>
      </c>
      <c r="AV650" s="5" t="str">
        <f ca="1">IFERROR(__xludf.DUMMYFUNCTION("IFERROR(VLOOKUP(E664&amp;F664,IMPORTRANGE(""https://docs.google.com/spreadsheets/d/1Uw7-A9f9R21vMXxHZFNpYNeKFtG8_yji4HS352LGlSQ/edit?pli=1#gid=0"",""1_ACUM!A4:S""),11,FALSE))"),"")</f>
        <v/>
      </c>
      <c r="AW650" s="42" t="str">
        <f ca="1">IFERROR(__xludf.DUMMYFUNCTION("IFERROR(VLOOKUP(F664,IMPORTRANGE(""https://docs.google.com/spreadsheets/d/1Kvs4KS76FHFqLFIZfrDMff4kP08nblUkihrxltoGBjg/edit#gid=934712705"",""ESENCIAL!A6:BG""),15,FALSE))"),"")</f>
        <v/>
      </c>
      <c r="AX650" s="21" t="str">
        <f ca="1">IFERROR(__xludf.DUMMYFUNCTION("IFERROR(VLOOKUP(E664&amp;F664,IMPORTRANGE(""https://docs.google.com/spreadsheets/d/1Uw7-A9f9R21vMXxHZFNpYNeKFtG8_yji4HS352LGlSQ/edit?pli=1#gid=0"",""1_ACUM!A4:S""),12,FALSE))"),"")</f>
        <v/>
      </c>
      <c r="AY650" s="43" t="str">
        <f ca="1">IFERROR(__xludf.DUMMYFUNCTION("IFERROR(VLOOKUP(E664&amp;F664,IMPORTRANGE(""https://docs.google.com/spreadsheets/d/1Uw7-A9f9R21vMXxHZFNpYNeKFtG8_yji4HS352LGlSQ/edit?pli=1#gid=0"",""1_ACUM!A4:S""),13,FALSE))"),"")</f>
        <v/>
      </c>
      <c r="AZ650" s="43" t="str">
        <f ca="1">IFERROR(__xludf.DUMMYFUNCTION("IFERROR(VLOOKUP(E664&amp;F664,IMPORTRANGE(""https://docs.google.com/spreadsheets/d/1Uw7-A9f9R21vMXxHZFNpYNeKFtG8_yji4HS352LGlSQ/edit?pli=1#gid=0"",""1_ACUM!A4:S""),14,FALSE))"),"")</f>
        <v/>
      </c>
      <c r="BA650" s="43" t="str">
        <f ca="1">IFERROR(__xludf.DUMMYFUNCTION("IFERROR(VLOOKUP(E664&amp;F664,IMPORTRANGE(""https://docs.google.com/spreadsheets/d/1Uw7-A9f9R21vMXxHZFNpYNeKFtG8_yji4HS352LGlSQ/edit?pli=1#gid=0"",""1_ACUM!A4:S""),15,FALSE))"),"")</f>
        <v/>
      </c>
      <c r="BB650" s="43" t="str">
        <f ca="1">IFERROR(__xludf.DUMMYFUNCTION("IFERROR(VLOOKUP(E664&amp;F664,IMPORTRANGE(""https://docs.google.com/spreadsheets/d/1Uw7-A9f9R21vMXxHZFNpYNeKFtG8_yji4HS352LGlSQ/edit?pli=1#gid=0"",""1_ACUM!A4:S""),16,FALSE))"),"")</f>
        <v/>
      </c>
      <c r="BC650" s="43" t="str">
        <f ca="1">IFERROR(__xludf.DUMMYFUNCTION("IFERROR(VLOOKUP(E664&amp;F664,IMPORTRANGE(""https://docs.google.com/spreadsheets/d/1Uw7-A9f9R21vMXxHZFNpYNeKFtG8_yji4HS352LGlSQ/edit?pli=1#gid=0"",""1_ACUM!A4:S""),17,FALSE))"),"")</f>
        <v/>
      </c>
      <c r="BD650" s="44" t="str">
        <f ca="1">IFERROR(__xludf.DUMMYFUNCTION("IFERROR(VLOOKUP(E664&amp;F664,IMPORTRANGE(""https://docs.google.com/spreadsheets/d/1Uw7-A9f9R21vMXxHZFNpYNeKFtG8_yji4HS352LGlSQ/edit?pli=1#gid=0"",""1_ACUM!A4:S""),18,FALSE))"),"")</f>
        <v/>
      </c>
      <c r="BE650" s="44" t="str">
        <f ca="1">IFERROR(__xludf.DUMMYFUNCTION("IFERROR(VLOOKUP(E664&amp;F664,IMPORTRANGE(""https://docs.google.com/spreadsheets/d/1Uw7-A9f9R21vMXxHZFNpYNeKFtG8_yji4HS352LGlSQ/edit?pli=1#gid=0"",""1_ACUM!A4:S""),19,FALSE))"),"")</f>
        <v/>
      </c>
      <c r="BF650" s="98" t="str">
        <f ca="1">IFERROR(__xludf.DUMMYFUNCTION("IFERROR(VLOOKUP(F664,IMPORTRANGE(""https://docs.google.com/spreadsheets/d/1Kvs4KS76FHFqLFIZfrDMff4kP08nblUkihrxltoGBjg/edit#gid=934712705"",""ESENCIAL!A6:BG""),5,FALSE))"),"")</f>
        <v/>
      </c>
      <c r="BG650" s="98" t="str">
        <f t="shared" si="21"/>
        <v/>
      </c>
      <c r="BH650" s="99" t="str">
        <f t="shared" si="22"/>
        <v/>
      </c>
      <c r="BI650" s="100" t="str">
        <f ca="1">IFERROR(__xludf.DUMMYFUNCTION("IFERROR(VLOOKUP(F664,IMPORTRANGE(""https://docs.google.com/spreadsheets/d/1Kvs4KS76FHFqLFIZfrDMff4kP08nblUkihrxltoGBjg/edit#gid=934712705"",""ESENCIAL!A6:BG""),2,FALSE))"),"")</f>
        <v/>
      </c>
      <c r="BJ650" s="19" t="str">
        <f t="shared" si="23"/>
        <v/>
      </c>
      <c r="BK650" s="100"/>
      <c r="BL650" s="100"/>
    </row>
    <row r="651" spans="1:64" ht="15">
      <c r="A651" s="5"/>
      <c r="B651" s="5"/>
      <c r="G651" s="5" t="str">
        <f ca="1">IFERROR(__xludf.DUMMYFUNCTION("IFERROR(VLOOKUP(F665,IMPORTRANGE(""https://docs.google.com/spreadsheets/d/1Kvs4KS76FHFqLFIZfrDMff4kP08nblUkihrxltoGBjg/edit#gid=934712705"",""ESENCIAL!A6:BG""),3,FALSE))"),"")</f>
        <v/>
      </c>
      <c r="H651" s="5" t="str">
        <f ca="1">IFERROR(__xludf.DUMMYFUNCTION("IFERROR(VLOOKUP(F665,IMPORTRANGE(""https://docs.google.com/spreadsheets/d/1Kvs4KS76FHFqLFIZfrDMff4kP08nblUkihrxltoGBjg/edit#gid=934712705"",""ESENCIAL!A6:BG""),8,FALSE))"),"")</f>
        <v/>
      </c>
      <c r="L651" s="287"/>
      <c r="U651" s="40"/>
      <c r="AU651" s="41" t="str">
        <f t="shared" si="20"/>
        <v/>
      </c>
      <c r="AV651" s="5" t="str">
        <f ca="1">IFERROR(__xludf.DUMMYFUNCTION("IFERROR(VLOOKUP(E665&amp;F665,IMPORTRANGE(""https://docs.google.com/spreadsheets/d/1Uw7-A9f9R21vMXxHZFNpYNeKFtG8_yji4HS352LGlSQ/edit?pli=1#gid=0"",""1_ACUM!A4:S""),11,FALSE))"),"")</f>
        <v/>
      </c>
      <c r="AW651" s="42" t="str">
        <f ca="1">IFERROR(__xludf.DUMMYFUNCTION("IFERROR(VLOOKUP(F665,IMPORTRANGE(""https://docs.google.com/spreadsheets/d/1Kvs4KS76FHFqLFIZfrDMff4kP08nblUkihrxltoGBjg/edit#gid=934712705"",""ESENCIAL!A6:BG""),15,FALSE))"),"")</f>
        <v/>
      </c>
      <c r="AX651" s="21" t="str">
        <f ca="1">IFERROR(__xludf.DUMMYFUNCTION("IFERROR(VLOOKUP(E665&amp;F665,IMPORTRANGE(""https://docs.google.com/spreadsheets/d/1Uw7-A9f9R21vMXxHZFNpYNeKFtG8_yji4HS352LGlSQ/edit?pli=1#gid=0"",""1_ACUM!A4:S""),12,FALSE))"),"")</f>
        <v/>
      </c>
      <c r="AY651" s="43" t="str">
        <f ca="1">IFERROR(__xludf.DUMMYFUNCTION("IFERROR(VLOOKUP(E665&amp;F665,IMPORTRANGE(""https://docs.google.com/spreadsheets/d/1Uw7-A9f9R21vMXxHZFNpYNeKFtG8_yji4HS352LGlSQ/edit?pli=1#gid=0"",""1_ACUM!A4:S""),13,FALSE))"),"")</f>
        <v/>
      </c>
      <c r="AZ651" s="43" t="str">
        <f ca="1">IFERROR(__xludf.DUMMYFUNCTION("IFERROR(VLOOKUP(E665&amp;F665,IMPORTRANGE(""https://docs.google.com/spreadsheets/d/1Uw7-A9f9R21vMXxHZFNpYNeKFtG8_yji4HS352LGlSQ/edit?pli=1#gid=0"",""1_ACUM!A4:S""),14,FALSE))"),"")</f>
        <v/>
      </c>
      <c r="BA651" s="43" t="str">
        <f ca="1">IFERROR(__xludf.DUMMYFUNCTION("IFERROR(VLOOKUP(E665&amp;F665,IMPORTRANGE(""https://docs.google.com/spreadsheets/d/1Uw7-A9f9R21vMXxHZFNpYNeKFtG8_yji4HS352LGlSQ/edit?pli=1#gid=0"",""1_ACUM!A4:S""),15,FALSE))"),"")</f>
        <v/>
      </c>
      <c r="BB651" s="43" t="str">
        <f ca="1">IFERROR(__xludf.DUMMYFUNCTION("IFERROR(VLOOKUP(E665&amp;F665,IMPORTRANGE(""https://docs.google.com/spreadsheets/d/1Uw7-A9f9R21vMXxHZFNpYNeKFtG8_yji4HS352LGlSQ/edit?pli=1#gid=0"",""1_ACUM!A4:S""),16,FALSE))"),"")</f>
        <v/>
      </c>
      <c r="BC651" s="43" t="str">
        <f ca="1">IFERROR(__xludf.DUMMYFUNCTION("IFERROR(VLOOKUP(E665&amp;F665,IMPORTRANGE(""https://docs.google.com/spreadsheets/d/1Uw7-A9f9R21vMXxHZFNpYNeKFtG8_yji4HS352LGlSQ/edit?pli=1#gid=0"",""1_ACUM!A4:S""),17,FALSE))"),"")</f>
        <v/>
      </c>
      <c r="BD651" s="44" t="str">
        <f ca="1">IFERROR(__xludf.DUMMYFUNCTION("IFERROR(VLOOKUP(E665&amp;F665,IMPORTRANGE(""https://docs.google.com/spreadsheets/d/1Uw7-A9f9R21vMXxHZFNpYNeKFtG8_yji4HS352LGlSQ/edit?pli=1#gid=0"",""1_ACUM!A4:S""),18,FALSE))"),"")</f>
        <v/>
      </c>
      <c r="BE651" s="44" t="str">
        <f ca="1">IFERROR(__xludf.DUMMYFUNCTION("IFERROR(VLOOKUP(E665&amp;F665,IMPORTRANGE(""https://docs.google.com/spreadsheets/d/1Uw7-A9f9R21vMXxHZFNpYNeKFtG8_yji4HS352LGlSQ/edit?pli=1#gid=0"",""1_ACUM!A4:S""),19,FALSE))"),"")</f>
        <v/>
      </c>
      <c r="BF651" s="98" t="str">
        <f ca="1">IFERROR(__xludf.DUMMYFUNCTION("IFERROR(VLOOKUP(F665,IMPORTRANGE(""https://docs.google.com/spreadsheets/d/1Kvs4KS76FHFqLFIZfrDMff4kP08nblUkihrxltoGBjg/edit#gid=934712705"",""ESENCIAL!A6:BG""),5,FALSE))"),"")</f>
        <v/>
      </c>
      <c r="BG651" s="98" t="str">
        <f t="shared" si="21"/>
        <v/>
      </c>
      <c r="BH651" s="99" t="str">
        <f t="shared" si="22"/>
        <v/>
      </c>
      <c r="BI651" s="100" t="str">
        <f ca="1">IFERROR(__xludf.DUMMYFUNCTION("IFERROR(VLOOKUP(F665,IMPORTRANGE(""https://docs.google.com/spreadsheets/d/1Kvs4KS76FHFqLFIZfrDMff4kP08nblUkihrxltoGBjg/edit#gid=934712705"",""ESENCIAL!A6:BG""),2,FALSE))"),"")</f>
        <v/>
      </c>
      <c r="BJ651" s="19" t="str">
        <f t="shared" si="23"/>
        <v/>
      </c>
      <c r="BK651" s="100"/>
      <c r="BL651" s="100"/>
    </row>
    <row r="652" spans="1:64" ht="15">
      <c r="A652" s="5"/>
      <c r="B652" s="5"/>
      <c r="G652" s="5" t="str">
        <f ca="1">IFERROR(__xludf.DUMMYFUNCTION("IFERROR(VLOOKUP(F666,IMPORTRANGE(""https://docs.google.com/spreadsheets/d/1Kvs4KS76FHFqLFIZfrDMff4kP08nblUkihrxltoGBjg/edit#gid=934712705"",""ESENCIAL!A6:BG""),3,FALSE))"),"")</f>
        <v/>
      </c>
      <c r="H652" s="5" t="str">
        <f ca="1">IFERROR(__xludf.DUMMYFUNCTION("IFERROR(VLOOKUP(F666,IMPORTRANGE(""https://docs.google.com/spreadsheets/d/1Kvs4KS76FHFqLFIZfrDMff4kP08nblUkihrxltoGBjg/edit#gid=934712705"",""ESENCIAL!A6:BG""),8,FALSE))"),"")</f>
        <v/>
      </c>
      <c r="L652" s="287"/>
      <c r="U652" s="40"/>
      <c r="AU652" s="41" t="str">
        <f t="shared" si="20"/>
        <v/>
      </c>
      <c r="AV652" s="5" t="str">
        <f ca="1">IFERROR(__xludf.DUMMYFUNCTION("IFERROR(VLOOKUP(E666&amp;F666,IMPORTRANGE(""https://docs.google.com/spreadsheets/d/1Uw7-A9f9R21vMXxHZFNpYNeKFtG8_yji4HS352LGlSQ/edit?pli=1#gid=0"",""1_ACUM!A4:S""),11,FALSE))"),"")</f>
        <v/>
      </c>
      <c r="AW652" s="42" t="str">
        <f ca="1">IFERROR(__xludf.DUMMYFUNCTION("IFERROR(VLOOKUP(F666,IMPORTRANGE(""https://docs.google.com/spreadsheets/d/1Kvs4KS76FHFqLFIZfrDMff4kP08nblUkihrxltoGBjg/edit#gid=934712705"",""ESENCIAL!A6:BG""),15,FALSE))"),"")</f>
        <v/>
      </c>
      <c r="AX652" s="21" t="str">
        <f ca="1">IFERROR(__xludf.DUMMYFUNCTION("IFERROR(VLOOKUP(E666&amp;F666,IMPORTRANGE(""https://docs.google.com/spreadsheets/d/1Uw7-A9f9R21vMXxHZFNpYNeKFtG8_yji4HS352LGlSQ/edit?pli=1#gid=0"",""1_ACUM!A4:S""),12,FALSE))"),"")</f>
        <v/>
      </c>
      <c r="AY652" s="43" t="str">
        <f ca="1">IFERROR(__xludf.DUMMYFUNCTION("IFERROR(VLOOKUP(E666&amp;F666,IMPORTRANGE(""https://docs.google.com/spreadsheets/d/1Uw7-A9f9R21vMXxHZFNpYNeKFtG8_yji4HS352LGlSQ/edit?pli=1#gid=0"",""1_ACUM!A4:S""),13,FALSE))"),"")</f>
        <v/>
      </c>
      <c r="AZ652" s="43" t="str">
        <f ca="1">IFERROR(__xludf.DUMMYFUNCTION("IFERROR(VLOOKUP(E666&amp;F666,IMPORTRANGE(""https://docs.google.com/spreadsheets/d/1Uw7-A9f9R21vMXxHZFNpYNeKFtG8_yji4HS352LGlSQ/edit?pli=1#gid=0"",""1_ACUM!A4:S""),14,FALSE))"),"")</f>
        <v/>
      </c>
      <c r="BA652" s="43" t="str">
        <f ca="1">IFERROR(__xludf.DUMMYFUNCTION("IFERROR(VLOOKUP(E666&amp;F666,IMPORTRANGE(""https://docs.google.com/spreadsheets/d/1Uw7-A9f9R21vMXxHZFNpYNeKFtG8_yji4HS352LGlSQ/edit?pli=1#gid=0"",""1_ACUM!A4:S""),15,FALSE))"),"")</f>
        <v/>
      </c>
      <c r="BB652" s="43" t="str">
        <f ca="1">IFERROR(__xludf.DUMMYFUNCTION("IFERROR(VLOOKUP(E666&amp;F666,IMPORTRANGE(""https://docs.google.com/spreadsheets/d/1Uw7-A9f9R21vMXxHZFNpYNeKFtG8_yji4HS352LGlSQ/edit?pli=1#gid=0"",""1_ACUM!A4:S""),16,FALSE))"),"")</f>
        <v/>
      </c>
      <c r="BC652" s="43" t="str">
        <f ca="1">IFERROR(__xludf.DUMMYFUNCTION("IFERROR(VLOOKUP(E666&amp;F666,IMPORTRANGE(""https://docs.google.com/spreadsheets/d/1Uw7-A9f9R21vMXxHZFNpYNeKFtG8_yji4HS352LGlSQ/edit?pli=1#gid=0"",""1_ACUM!A4:S""),17,FALSE))"),"")</f>
        <v/>
      </c>
      <c r="BD652" s="44" t="str">
        <f ca="1">IFERROR(__xludf.DUMMYFUNCTION("IFERROR(VLOOKUP(E666&amp;F666,IMPORTRANGE(""https://docs.google.com/spreadsheets/d/1Uw7-A9f9R21vMXxHZFNpYNeKFtG8_yji4HS352LGlSQ/edit?pli=1#gid=0"",""1_ACUM!A4:S""),18,FALSE))"),"")</f>
        <v/>
      </c>
      <c r="BE652" s="44" t="str">
        <f ca="1">IFERROR(__xludf.DUMMYFUNCTION("IFERROR(VLOOKUP(E666&amp;F666,IMPORTRANGE(""https://docs.google.com/spreadsheets/d/1Uw7-A9f9R21vMXxHZFNpYNeKFtG8_yji4HS352LGlSQ/edit?pli=1#gid=0"",""1_ACUM!A4:S""),19,FALSE))"),"")</f>
        <v/>
      </c>
      <c r="BF652" s="98" t="str">
        <f ca="1">IFERROR(__xludf.DUMMYFUNCTION("IFERROR(VLOOKUP(F666,IMPORTRANGE(""https://docs.google.com/spreadsheets/d/1Kvs4KS76FHFqLFIZfrDMff4kP08nblUkihrxltoGBjg/edit#gid=934712705"",""ESENCIAL!A6:BG""),5,FALSE))"),"")</f>
        <v/>
      </c>
      <c r="BG652" s="98" t="str">
        <f t="shared" si="21"/>
        <v/>
      </c>
      <c r="BH652" s="99" t="str">
        <f t="shared" si="22"/>
        <v/>
      </c>
      <c r="BI652" s="100" t="str">
        <f ca="1">IFERROR(__xludf.DUMMYFUNCTION("IFERROR(VLOOKUP(F666,IMPORTRANGE(""https://docs.google.com/spreadsheets/d/1Kvs4KS76FHFqLFIZfrDMff4kP08nblUkihrxltoGBjg/edit#gid=934712705"",""ESENCIAL!A6:BG""),2,FALSE))"),"")</f>
        <v/>
      </c>
      <c r="BJ652" s="19" t="str">
        <f t="shared" si="23"/>
        <v/>
      </c>
      <c r="BK652" s="100"/>
      <c r="BL652" s="100"/>
    </row>
    <row r="653" spans="1:64" ht="15">
      <c r="A653" s="5"/>
      <c r="B653" s="5"/>
      <c r="G653" s="5" t="str">
        <f ca="1">IFERROR(__xludf.DUMMYFUNCTION("IFERROR(VLOOKUP(F667,IMPORTRANGE(""https://docs.google.com/spreadsheets/d/1Kvs4KS76FHFqLFIZfrDMff4kP08nblUkihrxltoGBjg/edit#gid=934712705"",""ESENCIAL!A6:BG""),3,FALSE))"),"")</f>
        <v/>
      </c>
      <c r="H653" s="5" t="str">
        <f ca="1">IFERROR(__xludf.DUMMYFUNCTION("IFERROR(VLOOKUP(F667,IMPORTRANGE(""https://docs.google.com/spreadsheets/d/1Kvs4KS76FHFqLFIZfrDMff4kP08nblUkihrxltoGBjg/edit#gid=934712705"",""ESENCIAL!A6:BG""),8,FALSE))"),"")</f>
        <v/>
      </c>
      <c r="L653" s="287"/>
      <c r="U653" s="40"/>
      <c r="AU653" s="41" t="str">
        <f t="shared" si="20"/>
        <v/>
      </c>
      <c r="AV653" s="5" t="str">
        <f ca="1">IFERROR(__xludf.DUMMYFUNCTION("IFERROR(VLOOKUP(E667&amp;F667,IMPORTRANGE(""https://docs.google.com/spreadsheets/d/1Uw7-A9f9R21vMXxHZFNpYNeKFtG8_yji4HS352LGlSQ/edit?pli=1#gid=0"",""1_ACUM!A4:S""),11,FALSE))"),"")</f>
        <v/>
      </c>
      <c r="AW653" s="42" t="str">
        <f ca="1">IFERROR(__xludf.DUMMYFUNCTION("IFERROR(VLOOKUP(F667,IMPORTRANGE(""https://docs.google.com/spreadsheets/d/1Kvs4KS76FHFqLFIZfrDMff4kP08nblUkihrxltoGBjg/edit#gid=934712705"",""ESENCIAL!A6:BG""),15,FALSE))"),"")</f>
        <v/>
      </c>
      <c r="AX653" s="21" t="str">
        <f ca="1">IFERROR(__xludf.DUMMYFUNCTION("IFERROR(VLOOKUP(E667&amp;F667,IMPORTRANGE(""https://docs.google.com/spreadsheets/d/1Uw7-A9f9R21vMXxHZFNpYNeKFtG8_yji4HS352LGlSQ/edit?pli=1#gid=0"",""1_ACUM!A4:S""),12,FALSE))"),"")</f>
        <v/>
      </c>
      <c r="AY653" s="43" t="str">
        <f ca="1">IFERROR(__xludf.DUMMYFUNCTION("IFERROR(VLOOKUP(E667&amp;F667,IMPORTRANGE(""https://docs.google.com/spreadsheets/d/1Uw7-A9f9R21vMXxHZFNpYNeKFtG8_yji4HS352LGlSQ/edit?pli=1#gid=0"",""1_ACUM!A4:S""),13,FALSE))"),"")</f>
        <v/>
      </c>
      <c r="AZ653" s="43" t="str">
        <f ca="1">IFERROR(__xludf.DUMMYFUNCTION("IFERROR(VLOOKUP(E667&amp;F667,IMPORTRANGE(""https://docs.google.com/spreadsheets/d/1Uw7-A9f9R21vMXxHZFNpYNeKFtG8_yji4HS352LGlSQ/edit?pli=1#gid=0"",""1_ACUM!A4:S""),14,FALSE))"),"")</f>
        <v/>
      </c>
      <c r="BA653" s="43" t="str">
        <f ca="1">IFERROR(__xludf.DUMMYFUNCTION("IFERROR(VLOOKUP(E667&amp;F667,IMPORTRANGE(""https://docs.google.com/spreadsheets/d/1Uw7-A9f9R21vMXxHZFNpYNeKFtG8_yji4HS352LGlSQ/edit?pli=1#gid=0"",""1_ACUM!A4:S""),15,FALSE))"),"")</f>
        <v/>
      </c>
      <c r="BB653" s="43" t="str">
        <f ca="1">IFERROR(__xludf.DUMMYFUNCTION("IFERROR(VLOOKUP(E667&amp;F667,IMPORTRANGE(""https://docs.google.com/spreadsheets/d/1Uw7-A9f9R21vMXxHZFNpYNeKFtG8_yji4HS352LGlSQ/edit?pli=1#gid=0"",""1_ACUM!A4:S""),16,FALSE))"),"")</f>
        <v/>
      </c>
      <c r="BC653" s="43" t="str">
        <f ca="1">IFERROR(__xludf.DUMMYFUNCTION("IFERROR(VLOOKUP(E667&amp;F667,IMPORTRANGE(""https://docs.google.com/spreadsheets/d/1Uw7-A9f9R21vMXxHZFNpYNeKFtG8_yji4HS352LGlSQ/edit?pli=1#gid=0"",""1_ACUM!A4:S""),17,FALSE))"),"")</f>
        <v/>
      </c>
      <c r="BD653" s="44" t="str">
        <f ca="1">IFERROR(__xludf.DUMMYFUNCTION("IFERROR(VLOOKUP(E667&amp;F667,IMPORTRANGE(""https://docs.google.com/spreadsheets/d/1Uw7-A9f9R21vMXxHZFNpYNeKFtG8_yji4HS352LGlSQ/edit?pli=1#gid=0"",""1_ACUM!A4:S""),18,FALSE))"),"")</f>
        <v/>
      </c>
      <c r="BE653" s="44" t="str">
        <f ca="1">IFERROR(__xludf.DUMMYFUNCTION("IFERROR(VLOOKUP(E667&amp;F667,IMPORTRANGE(""https://docs.google.com/spreadsheets/d/1Uw7-A9f9R21vMXxHZFNpYNeKFtG8_yji4HS352LGlSQ/edit?pli=1#gid=0"",""1_ACUM!A4:S""),19,FALSE))"),"")</f>
        <v/>
      </c>
      <c r="BF653" s="98" t="str">
        <f ca="1">IFERROR(__xludf.DUMMYFUNCTION("IFERROR(VLOOKUP(F667,IMPORTRANGE(""https://docs.google.com/spreadsheets/d/1Kvs4KS76FHFqLFIZfrDMff4kP08nblUkihrxltoGBjg/edit#gid=934712705"",""ESENCIAL!A6:BG""),5,FALSE))"),"")</f>
        <v/>
      </c>
      <c r="BG653" s="98" t="str">
        <f t="shared" si="21"/>
        <v/>
      </c>
      <c r="BH653" s="99" t="str">
        <f t="shared" si="22"/>
        <v/>
      </c>
      <c r="BI653" s="100" t="str">
        <f ca="1">IFERROR(__xludf.DUMMYFUNCTION("IFERROR(VLOOKUP(F667,IMPORTRANGE(""https://docs.google.com/spreadsheets/d/1Kvs4KS76FHFqLFIZfrDMff4kP08nblUkihrxltoGBjg/edit#gid=934712705"",""ESENCIAL!A6:BG""),2,FALSE))"),"")</f>
        <v/>
      </c>
      <c r="BJ653" s="19" t="str">
        <f t="shared" si="23"/>
        <v/>
      </c>
      <c r="BK653" s="100"/>
      <c r="BL653" s="100"/>
    </row>
    <row r="654" spans="1:64" ht="15">
      <c r="A654" s="5"/>
      <c r="B654" s="5"/>
      <c r="G654" s="5" t="str">
        <f ca="1">IFERROR(__xludf.DUMMYFUNCTION("IFERROR(VLOOKUP(F668,IMPORTRANGE(""https://docs.google.com/spreadsheets/d/1Kvs4KS76FHFqLFIZfrDMff4kP08nblUkihrxltoGBjg/edit#gid=934712705"",""ESENCIAL!A6:BG""),3,FALSE))"),"")</f>
        <v/>
      </c>
      <c r="H654" s="5" t="str">
        <f ca="1">IFERROR(__xludf.DUMMYFUNCTION("IFERROR(VLOOKUP(F668,IMPORTRANGE(""https://docs.google.com/spreadsheets/d/1Kvs4KS76FHFqLFIZfrDMff4kP08nblUkihrxltoGBjg/edit#gid=934712705"",""ESENCIAL!A6:BG""),8,FALSE))"),"")</f>
        <v/>
      </c>
      <c r="L654" s="287"/>
      <c r="U654" s="40"/>
      <c r="AU654" s="41" t="str">
        <f t="shared" si="20"/>
        <v/>
      </c>
      <c r="AV654" s="5" t="str">
        <f ca="1">IFERROR(__xludf.DUMMYFUNCTION("IFERROR(VLOOKUP(E668&amp;F668,IMPORTRANGE(""https://docs.google.com/spreadsheets/d/1Uw7-A9f9R21vMXxHZFNpYNeKFtG8_yji4HS352LGlSQ/edit?pli=1#gid=0"",""1_ACUM!A4:S""),11,FALSE))"),"")</f>
        <v/>
      </c>
      <c r="AW654" s="42" t="str">
        <f ca="1">IFERROR(__xludf.DUMMYFUNCTION("IFERROR(VLOOKUP(F668,IMPORTRANGE(""https://docs.google.com/spreadsheets/d/1Kvs4KS76FHFqLFIZfrDMff4kP08nblUkihrxltoGBjg/edit#gid=934712705"",""ESENCIAL!A6:BG""),15,FALSE))"),"")</f>
        <v/>
      </c>
      <c r="AX654" s="21" t="str">
        <f ca="1">IFERROR(__xludf.DUMMYFUNCTION("IFERROR(VLOOKUP(E668&amp;F668,IMPORTRANGE(""https://docs.google.com/spreadsheets/d/1Uw7-A9f9R21vMXxHZFNpYNeKFtG8_yji4HS352LGlSQ/edit?pli=1#gid=0"",""1_ACUM!A4:S""),12,FALSE))"),"")</f>
        <v/>
      </c>
      <c r="AY654" s="43" t="str">
        <f ca="1">IFERROR(__xludf.DUMMYFUNCTION("IFERROR(VLOOKUP(E668&amp;F668,IMPORTRANGE(""https://docs.google.com/spreadsheets/d/1Uw7-A9f9R21vMXxHZFNpYNeKFtG8_yji4HS352LGlSQ/edit?pli=1#gid=0"",""1_ACUM!A4:S""),13,FALSE))"),"")</f>
        <v/>
      </c>
      <c r="AZ654" s="43" t="str">
        <f ca="1">IFERROR(__xludf.DUMMYFUNCTION("IFERROR(VLOOKUP(E668&amp;F668,IMPORTRANGE(""https://docs.google.com/spreadsheets/d/1Uw7-A9f9R21vMXxHZFNpYNeKFtG8_yji4HS352LGlSQ/edit?pli=1#gid=0"",""1_ACUM!A4:S""),14,FALSE))"),"")</f>
        <v/>
      </c>
      <c r="BA654" s="43" t="str">
        <f ca="1">IFERROR(__xludf.DUMMYFUNCTION("IFERROR(VLOOKUP(E668&amp;F668,IMPORTRANGE(""https://docs.google.com/spreadsheets/d/1Uw7-A9f9R21vMXxHZFNpYNeKFtG8_yji4HS352LGlSQ/edit?pli=1#gid=0"",""1_ACUM!A4:S""),15,FALSE))"),"")</f>
        <v/>
      </c>
      <c r="BB654" s="43" t="str">
        <f ca="1">IFERROR(__xludf.DUMMYFUNCTION("IFERROR(VLOOKUP(E668&amp;F668,IMPORTRANGE(""https://docs.google.com/spreadsheets/d/1Uw7-A9f9R21vMXxHZFNpYNeKFtG8_yji4HS352LGlSQ/edit?pli=1#gid=0"",""1_ACUM!A4:S""),16,FALSE))"),"")</f>
        <v/>
      </c>
      <c r="BC654" s="43" t="str">
        <f ca="1">IFERROR(__xludf.DUMMYFUNCTION("IFERROR(VLOOKUP(E668&amp;F668,IMPORTRANGE(""https://docs.google.com/spreadsheets/d/1Uw7-A9f9R21vMXxHZFNpYNeKFtG8_yji4HS352LGlSQ/edit?pli=1#gid=0"",""1_ACUM!A4:S""),17,FALSE))"),"")</f>
        <v/>
      </c>
      <c r="BD654" s="44" t="str">
        <f ca="1">IFERROR(__xludf.DUMMYFUNCTION("IFERROR(VLOOKUP(E668&amp;F668,IMPORTRANGE(""https://docs.google.com/spreadsheets/d/1Uw7-A9f9R21vMXxHZFNpYNeKFtG8_yji4HS352LGlSQ/edit?pli=1#gid=0"",""1_ACUM!A4:S""),18,FALSE))"),"")</f>
        <v/>
      </c>
      <c r="BE654" s="44" t="str">
        <f ca="1">IFERROR(__xludf.DUMMYFUNCTION("IFERROR(VLOOKUP(E668&amp;F668,IMPORTRANGE(""https://docs.google.com/spreadsheets/d/1Uw7-A9f9R21vMXxHZFNpYNeKFtG8_yji4HS352LGlSQ/edit?pli=1#gid=0"",""1_ACUM!A4:S""),19,FALSE))"),"")</f>
        <v/>
      </c>
      <c r="BF654" s="98" t="str">
        <f ca="1">IFERROR(__xludf.DUMMYFUNCTION("IFERROR(VLOOKUP(F668,IMPORTRANGE(""https://docs.google.com/spreadsheets/d/1Kvs4KS76FHFqLFIZfrDMff4kP08nblUkihrxltoGBjg/edit#gid=934712705"",""ESENCIAL!A6:BG""),5,FALSE))"),"")</f>
        <v/>
      </c>
      <c r="BG654" s="98" t="str">
        <f t="shared" si="21"/>
        <v/>
      </c>
      <c r="BH654" s="99" t="str">
        <f t="shared" si="22"/>
        <v/>
      </c>
      <c r="BI654" s="100" t="str">
        <f ca="1">IFERROR(__xludf.DUMMYFUNCTION("IFERROR(VLOOKUP(F668,IMPORTRANGE(""https://docs.google.com/spreadsheets/d/1Kvs4KS76FHFqLFIZfrDMff4kP08nblUkihrxltoGBjg/edit#gid=934712705"",""ESENCIAL!A6:BG""),2,FALSE))"),"")</f>
        <v/>
      </c>
      <c r="BJ654" s="19" t="str">
        <f t="shared" si="23"/>
        <v/>
      </c>
      <c r="BK654" s="100"/>
      <c r="BL654" s="100"/>
    </row>
    <row r="655" spans="1:64" ht="15">
      <c r="A655" s="5"/>
      <c r="B655" s="5"/>
      <c r="G655" s="5" t="str">
        <f ca="1">IFERROR(__xludf.DUMMYFUNCTION("IFERROR(VLOOKUP(F669,IMPORTRANGE(""https://docs.google.com/spreadsheets/d/1Kvs4KS76FHFqLFIZfrDMff4kP08nblUkihrxltoGBjg/edit#gid=934712705"",""ESENCIAL!A6:BG""),3,FALSE))"),"")</f>
        <v/>
      </c>
      <c r="H655" s="5" t="str">
        <f ca="1">IFERROR(__xludf.DUMMYFUNCTION("IFERROR(VLOOKUP(F669,IMPORTRANGE(""https://docs.google.com/spreadsheets/d/1Kvs4KS76FHFqLFIZfrDMff4kP08nblUkihrxltoGBjg/edit#gid=934712705"",""ESENCIAL!A6:BG""),8,FALSE))"),"")</f>
        <v/>
      </c>
      <c r="L655" s="287"/>
      <c r="U655" s="40"/>
      <c r="AU655" s="41" t="str">
        <f t="shared" si="20"/>
        <v/>
      </c>
      <c r="AV655" s="5" t="str">
        <f ca="1">IFERROR(__xludf.DUMMYFUNCTION("IFERROR(VLOOKUP(E669&amp;F669,IMPORTRANGE(""https://docs.google.com/spreadsheets/d/1Uw7-A9f9R21vMXxHZFNpYNeKFtG8_yji4HS352LGlSQ/edit?pli=1#gid=0"",""1_ACUM!A4:S""),11,FALSE))"),"")</f>
        <v/>
      </c>
      <c r="AW655" s="42" t="str">
        <f ca="1">IFERROR(__xludf.DUMMYFUNCTION("IFERROR(VLOOKUP(F669,IMPORTRANGE(""https://docs.google.com/spreadsheets/d/1Kvs4KS76FHFqLFIZfrDMff4kP08nblUkihrxltoGBjg/edit#gid=934712705"",""ESENCIAL!A6:BG""),15,FALSE))"),"")</f>
        <v/>
      </c>
      <c r="AX655" s="21" t="str">
        <f ca="1">IFERROR(__xludf.DUMMYFUNCTION("IFERROR(VLOOKUP(E669&amp;F669,IMPORTRANGE(""https://docs.google.com/spreadsheets/d/1Uw7-A9f9R21vMXxHZFNpYNeKFtG8_yji4HS352LGlSQ/edit?pli=1#gid=0"",""1_ACUM!A4:S""),12,FALSE))"),"")</f>
        <v/>
      </c>
      <c r="AY655" s="43" t="str">
        <f ca="1">IFERROR(__xludf.DUMMYFUNCTION("IFERROR(VLOOKUP(E669&amp;F669,IMPORTRANGE(""https://docs.google.com/spreadsheets/d/1Uw7-A9f9R21vMXxHZFNpYNeKFtG8_yji4HS352LGlSQ/edit?pli=1#gid=0"",""1_ACUM!A4:S""),13,FALSE))"),"")</f>
        <v/>
      </c>
      <c r="AZ655" s="43" t="str">
        <f ca="1">IFERROR(__xludf.DUMMYFUNCTION("IFERROR(VLOOKUP(E669&amp;F669,IMPORTRANGE(""https://docs.google.com/spreadsheets/d/1Uw7-A9f9R21vMXxHZFNpYNeKFtG8_yji4HS352LGlSQ/edit?pli=1#gid=0"",""1_ACUM!A4:S""),14,FALSE))"),"")</f>
        <v/>
      </c>
      <c r="BA655" s="43" t="str">
        <f ca="1">IFERROR(__xludf.DUMMYFUNCTION("IFERROR(VLOOKUP(E669&amp;F669,IMPORTRANGE(""https://docs.google.com/spreadsheets/d/1Uw7-A9f9R21vMXxHZFNpYNeKFtG8_yji4HS352LGlSQ/edit?pli=1#gid=0"",""1_ACUM!A4:S""),15,FALSE))"),"")</f>
        <v/>
      </c>
      <c r="BB655" s="43" t="str">
        <f ca="1">IFERROR(__xludf.DUMMYFUNCTION("IFERROR(VLOOKUP(E669&amp;F669,IMPORTRANGE(""https://docs.google.com/spreadsheets/d/1Uw7-A9f9R21vMXxHZFNpYNeKFtG8_yji4HS352LGlSQ/edit?pli=1#gid=0"",""1_ACUM!A4:S""),16,FALSE))"),"")</f>
        <v/>
      </c>
      <c r="BC655" s="43" t="str">
        <f ca="1">IFERROR(__xludf.DUMMYFUNCTION("IFERROR(VLOOKUP(E669&amp;F669,IMPORTRANGE(""https://docs.google.com/spreadsheets/d/1Uw7-A9f9R21vMXxHZFNpYNeKFtG8_yji4HS352LGlSQ/edit?pli=1#gid=0"",""1_ACUM!A4:S""),17,FALSE))"),"")</f>
        <v/>
      </c>
      <c r="BD655" s="44" t="str">
        <f ca="1">IFERROR(__xludf.DUMMYFUNCTION("IFERROR(VLOOKUP(E669&amp;F669,IMPORTRANGE(""https://docs.google.com/spreadsheets/d/1Uw7-A9f9R21vMXxHZFNpYNeKFtG8_yji4HS352LGlSQ/edit?pli=1#gid=0"",""1_ACUM!A4:S""),18,FALSE))"),"")</f>
        <v/>
      </c>
      <c r="BE655" s="44" t="str">
        <f ca="1">IFERROR(__xludf.DUMMYFUNCTION("IFERROR(VLOOKUP(E669&amp;F669,IMPORTRANGE(""https://docs.google.com/spreadsheets/d/1Uw7-A9f9R21vMXxHZFNpYNeKFtG8_yji4HS352LGlSQ/edit?pli=1#gid=0"",""1_ACUM!A4:S""),19,FALSE))"),"")</f>
        <v/>
      </c>
      <c r="BF655" s="98" t="str">
        <f ca="1">IFERROR(__xludf.DUMMYFUNCTION("IFERROR(VLOOKUP(F669,IMPORTRANGE(""https://docs.google.com/spreadsheets/d/1Kvs4KS76FHFqLFIZfrDMff4kP08nblUkihrxltoGBjg/edit#gid=934712705"",""ESENCIAL!A6:BG""),5,FALSE))"),"")</f>
        <v/>
      </c>
      <c r="BG655" s="98" t="str">
        <f t="shared" si="21"/>
        <v/>
      </c>
      <c r="BH655" s="99" t="str">
        <f t="shared" si="22"/>
        <v/>
      </c>
      <c r="BI655" s="100" t="str">
        <f ca="1">IFERROR(__xludf.DUMMYFUNCTION("IFERROR(VLOOKUP(F669,IMPORTRANGE(""https://docs.google.com/spreadsheets/d/1Kvs4KS76FHFqLFIZfrDMff4kP08nblUkihrxltoGBjg/edit#gid=934712705"",""ESENCIAL!A6:BG""),2,FALSE))"),"")</f>
        <v/>
      </c>
      <c r="BJ655" s="19" t="str">
        <f t="shared" si="23"/>
        <v/>
      </c>
      <c r="BK655" s="100"/>
      <c r="BL655" s="100"/>
    </row>
    <row r="656" spans="1:64" ht="15">
      <c r="A656" s="5"/>
      <c r="B656" s="5"/>
      <c r="G656" s="5" t="str">
        <f ca="1">IFERROR(__xludf.DUMMYFUNCTION("IFERROR(VLOOKUP(F670,IMPORTRANGE(""https://docs.google.com/spreadsheets/d/1Kvs4KS76FHFqLFIZfrDMff4kP08nblUkihrxltoGBjg/edit#gid=934712705"",""ESENCIAL!A6:BG""),3,FALSE))"),"")</f>
        <v/>
      </c>
      <c r="H656" s="5" t="str">
        <f ca="1">IFERROR(__xludf.DUMMYFUNCTION("IFERROR(VLOOKUP(F670,IMPORTRANGE(""https://docs.google.com/spreadsheets/d/1Kvs4KS76FHFqLFIZfrDMff4kP08nblUkihrxltoGBjg/edit#gid=934712705"",""ESENCIAL!A6:BG""),8,FALSE))"),"")</f>
        <v/>
      </c>
      <c r="L656" s="287"/>
      <c r="U656" s="40"/>
      <c r="AU656" s="41" t="str">
        <f t="shared" si="20"/>
        <v/>
      </c>
      <c r="AV656" s="5" t="str">
        <f ca="1">IFERROR(__xludf.DUMMYFUNCTION("IFERROR(VLOOKUP(E670&amp;F670,IMPORTRANGE(""https://docs.google.com/spreadsheets/d/1Uw7-A9f9R21vMXxHZFNpYNeKFtG8_yji4HS352LGlSQ/edit?pli=1#gid=0"",""1_ACUM!A4:S""),11,FALSE))"),"")</f>
        <v/>
      </c>
      <c r="AW656" s="42" t="str">
        <f ca="1">IFERROR(__xludf.DUMMYFUNCTION("IFERROR(VLOOKUP(F670,IMPORTRANGE(""https://docs.google.com/spreadsheets/d/1Kvs4KS76FHFqLFIZfrDMff4kP08nblUkihrxltoGBjg/edit#gid=934712705"",""ESENCIAL!A6:BG""),15,FALSE))"),"")</f>
        <v/>
      </c>
      <c r="AX656" s="21" t="str">
        <f ca="1">IFERROR(__xludf.DUMMYFUNCTION("IFERROR(VLOOKUP(E670&amp;F670,IMPORTRANGE(""https://docs.google.com/spreadsheets/d/1Uw7-A9f9R21vMXxHZFNpYNeKFtG8_yji4HS352LGlSQ/edit?pli=1#gid=0"",""1_ACUM!A4:S""),12,FALSE))"),"")</f>
        <v/>
      </c>
      <c r="AY656" s="43" t="str">
        <f ca="1">IFERROR(__xludf.DUMMYFUNCTION("IFERROR(VLOOKUP(E670&amp;F670,IMPORTRANGE(""https://docs.google.com/spreadsheets/d/1Uw7-A9f9R21vMXxHZFNpYNeKFtG8_yji4HS352LGlSQ/edit?pli=1#gid=0"",""1_ACUM!A4:S""),13,FALSE))"),"")</f>
        <v/>
      </c>
      <c r="AZ656" s="43" t="str">
        <f ca="1">IFERROR(__xludf.DUMMYFUNCTION("IFERROR(VLOOKUP(E670&amp;F670,IMPORTRANGE(""https://docs.google.com/spreadsheets/d/1Uw7-A9f9R21vMXxHZFNpYNeKFtG8_yji4HS352LGlSQ/edit?pli=1#gid=0"",""1_ACUM!A4:S""),14,FALSE))"),"")</f>
        <v/>
      </c>
      <c r="BA656" s="43" t="str">
        <f ca="1">IFERROR(__xludf.DUMMYFUNCTION("IFERROR(VLOOKUP(E670&amp;F670,IMPORTRANGE(""https://docs.google.com/spreadsheets/d/1Uw7-A9f9R21vMXxHZFNpYNeKFtG8_yji4HS352LGlSQ/edit?pli=1#gid=0"",""1_ACUM!A4:S""),15,FALSE))"),"")</f>
        <v/>
      </c>
      <c r="BB656" s="43" t="str">
        <f ca="1">IFERROR(__xludf.DUMMYFUNCTION("IFERROR(VLOOKUP(E670&amp;F670,IMPORTRANGE(""https://docs.google.com/spreadsheets/d/1Uw7-A9f9R21vMXxHZFNpYNeKFtG8_yji4HS352LGlSQ/edit?pli=1#gid=0"",""1_ACUM!A4:S""),16,FALSE))"),"")</f>
        <v/>
      </c>
      <c r="BC656" s="43" t="str">
        <f ca="1">IFERROR(__xludf.DUMMYFUNCTION("IFERROR(VLOOKUP(E670&amp;F670,IMPORTRANGE(""https://docs.google.com/spreadsheets/d/1Uw7-A9f9R21vMXxHZFNpYNeKFtG8_yji4HS352LGlSQ/edit?pli=1#gid=0"",""1_ACUM!A4:S""),17,FALSE))"),"")</f>
        <v/>
      </c>
      <c r="BD656" s="44" t="str">
        <f ca="1">IFERROR(__xludf.DUMMYFUNCTION("IFERROR(VLOOKUP(E670&amp;F670,IMPORTRANGE(""https://docs.google.com/spreadsheets/d/1Uw7-A9f9R21vMXxHZFNpYNeKFtG8_yji4HS352LGlSQ/edit?pli=1#gid=0"",""1_ACUM!A4:S""),18,FALSE))"),"")</f>
        <v/>
      </c>
      <c r="BE656" s="44" t="str">
        <f ca="1">IFERROR(__xludf.DUMMYFUNCTION("IFERROR(VLOOKUP(E670&amp;F670,IMPORTRANGE(""https://docs.google.com/spreadsheets/d/1Uw7-A9f9R21vMXxHZFNpYNeKFtG8_yji4HS352LGlSQ/edit?pli=1#gid=0"",""1_ACUM!A4:S""),19,FALSE))"),"")</f>
        <v/>
      </c>
      <c r="BF656" s="98" t="str">
        <f ca="1">IFERROR(__xludf.DUMMYFUNCTION("IFERROR(VLOOKUP(F670,IMPORTRANGE(""https://docs.google.com/spreadsheets/d/1Kvs4KS76FHFqLFIZfrDMff4kP08nblUkihrxltoGBjg/edit#gid=934712705"",""ESENCIAL!A6:BG""),5,FALSE))"),"")</f>
        <v/>
      </c>
      <c r="BG656" s="98" t="str">
        <f t="shared" si="21"/>
        <v/>
      </c>
      <c r="BH656" s="99" t="str">
        <f t="shared" si="22"/>
        <v/>
      </c>
      <c r="BI656" s="100" t="str">
        <f ca="1">IFERROR(__xludf.DUMMYFUNCTION("IFERROR(VLOOKUP(F670,IMPORTRANGE(""https://docs.google.com/spreadsheets/d/1Kvs4KS76FHFqLFIZfrDMff4kP08nblUkihrxltoGBjg/edit#gid=934712705"",""ESENCIAL!A6:BG""),2,FALSE))"),"")</f>
        <v/>
      </c>
      <c r="BJ656" s="19" t="str">
        <f t="shared" si="23"/>
        <v/>
      </c>
      <c r="BK656" s="100"/>
      <c r="BL656" s="100"/>
    </row>
    <row r="657" spans="1:64" ht="15">
      <c r="A657" s="5"/>
      <c r="B657" s="5"/>
      <c r="G657" s="5" t="str">
        <f ca="1">IFERROR(__xludf.DUMMYFUNCTION("IFERROR(VLOOKUP(F671,IMPORTRANGE(""https://docs.google.com/spreadsheets/d/1Kvs4KS76FHFqLFIZfrDMff4kP08nblUkihrxltoGBjg/edit#gid=934712705"",""ESENCIAL!A6:BG""),3,FALSE))"),"")</f>
        <v/>
      </c>
      <c r="H657" s="5" t="str">
        <f ca="1">IFERROR(__xludf.DUMMYFUNCTION("IFERROR(VLOOKUP(F671,IMPORTRANGE(""https://docs.google.com/spreadsheets/d/1Kvs4KS76FHFqLFIZfrDMff4kP08nblUkihrxltoGBjg/edit#gid=934712705"",""ESENCIAL!A6:BG""),8,FALSE))"),"")</f>
        <v/>
      </c>
      <c r="L657" s="287"/>
      <c r="U657" s="40"/>
      <c r="AU657" s="41" t="str">
        <f t="shared" si="20"/>
        <v/>
      </c>
      <c r="AV657" s="5" t="str">
        <f ca="1">IFERROR(__xludf.DUMMYFUNCTION("IFERROR(VLOOKUP(E671&amp;F671,IMPORTRANGE(""https://docs.google.com/spreadsheets/d/1Uw7-A9f9R21vMXxHZFNpYNeKFtG8_yji4HS352LGlSQ/edit?pli=1#gid=0"",""1_ACUM!A4:S""),11,FALSE))"),"")</f>
        <v/>
      </c>
      <c r="AW657" s="42" t="str">
        <f ca="1">IFERROR(__xludf.DUMMYFUNCTION("IFERROR(VLOOKUP(F671,IMPORTRANGE(""https://docs.google.com/spreadsheets/d/1Kvs4KS76FHFqLFIZfrDMff4kP08nblUkihrxltoGBjg/edit#gid=934712705"",""ESENCIAL!A6:BG""),15,FALSE))"),"")</f>
        <v/>
      </c>
      <c r="AX657" s="21" t="str">
        <f ca="1">IFERROR(__xludf.DUMMYFUNCTION("IFERROR(VLOOKUP(E671&amp;F671,IMPORTRANGE(""https://docs.google.com/spreadsheets/d/1Uw7-A9f9R21vMXxHZFNpYNeKFtG8_yji4HS352LGlSQ/edit?pli=1#gid=0"",""1_ACUM!A4:S""),12,FALSE))"),"")</f>
        <v/>
      </c>
      <c r="AY657" s="43" t="str">
        <f ca="1">IFERROR(__xludf.DUMMYFUNCTION("IFERROR(VLOOKUP(E671&amp;F671,IMPORTRANGE(""https://docs.google.com/spreadsheets/d/1Uw7-A9f9R21vMXxHZFNpYNeKFtG8_yji4HS352LGlSQ/edit?pli=1#gid=0"",""1_ACUM!A4:S""),13,FALSE))"),"")</f>
        <v/>
      </c>
      <c r="AZ657" s="43" t="str">
        <f ca="1">IFERROR(__xludf.DUMMYFUNCTION("IFERROR(VLOOKUP(E671&amp;F671,IMPORTRANGE(""https://docs.google.com/spreadsheets/d/1Uw7-A9f9R21vMXxHZFNpYNeKFtG8_yji4HS352LGlSQ/edit?pli=1#gid=0"",""1_ACUM!A4:S""),14,FALSE))"),"")</f>
        <v/>
      </c>
      <c r="BA657" s="43" t="str">
        <f ca="1">IFERROR(__xludf.DUMMYFUNCTION("IFERROR(VLOOKUP(E671&amp;F671,IMPORTRANGE(""https://docs.google.com/spreadsheets/d/1Uw7-A9f9R21vMXxHZFNpYNeKFtG8_yji4HS352LGlSQ/edit?pli=1#gid=0"",""1_ACUM!A4:S""),15,FALSE))"),"")</f>
        <v/>
      </c>
      <c r="BB657" s="43" t="str">
        <f ca="1">IFERROR(__xludf.DUMMYFUNCTION("IFERROR(VLOOKUP(E671&amp;F671,IMPORTRANGE(""https://docs.google.com/spreadsheets/d/1Uw7-A9f9R21vMXxHZFNpYNeKFtG8_yji4HS352LGlSQ/edit?pli=1#gid=0"",""1_ACUM!A4:S""),16,FALSE))"),"")</f>
        <v/>
      </c>
      <c r="BC657" s="43" t="str">
        <f ca="1">IFERROR(__xludf.DUMMYFUNCTION("IFERROR(VLOOKUP(E671&amp;F671,IMPORTRANGE(""https://docs.google.com/spreadsheets/d/1Uw7-A9f9R21vMXxHZFNpYNeKFtG8_yji4HS352LGlSQ/edit?pli=1#gid=0"",""1_ACUM!A4:S""),17,FALSE))"),"")</f>
        <v/>
      </c>
      <c r="BD657" s="44" t="str">
        <f ca="1">IFERROR(__xludf.DUMMYFUNCTION("IFERROR(VLOOKUP(E671&amp;F671,IMPORTRANGE(""https://docs.google.com/spreadsheets/d/1Uw7-A9f9R21vMXxHZFNpYNeKFtG8_yji4HS352LGlSQ/edit?pli=1#gid=0"",""1_ACUM!A4:S""),18,FALSE))"),"")</f>
        <v/>
      </c>
      <c r="BE657" s="44" t="str">
        <f ca="1">IFERROR(__xludf.DUMMYFUNCTION("IFERROR(VLOOKUP(E671&amp;F671,IMPORTRANGE(""https://docs.google.com/spreadsheets/d/1Uw7-A9f9R21vMXxHZFNpYNeKFtG8_yji4HS352LGlSQ/edit?pli=1#gid=0"",""1_ACUM!A4:S""),19,FALSE))"),"")</f>
        <v/>
      </c>
      <c r="BF657" s="98" t="str">
        <f ca="1">IFERROR(__xludf.DUMMYFUNCTION("IFERROR(VLOOKUP(F671,IMPORTRANGE(""https://docs.google.com/spreadsheets/d/1Kvs4KS76FHFqLFIZfrDMff4kP08nblUkihrxltoGBjg/edit#gid=934712705"",""ESENCIAL!A6:BG""),5,FALSE))"),"")</f>
        <v/>
      </c>
      <c r="BG657" s="98" t="str">
        <f t="shared" si="21"/>
        <v/>
      </c>
      <c r="BH657" s="99" t="str">
        <f t="shared" si="22"/>
        <v/>
      </c>
      <c r="BI657" s="100" t="str">
        <f ca="1">IFERROR(__xludf.DUMMYFUNCTION("IFERROR(VLOOKUP(F671,IMPORTRANGE(""https://docs.google.com/spreadsheets/d/1Kvs4KS76FHFqLFIZfrDMff4kP08nblUkihrxltoGBjg/edit#gid=934712705"",""ESENCIAL!A6:BG""),2,FALSE))"),"")</f>
        <v/>
      </c>
      <c r="BJ657" s="19" t="str">
        <f t="shared" si="23"/>
        <v/>
      </c>
      <c r="BK657" s="100"/>
      <c r="BL657" s="100"/>
    </row>
    <row r="658" spans="1:64" ht="15">
      <c r="A658" s="5"/>
      <c r="B658" s="5"/>
      <c r="G658" s="5" t="str">
        <f ca="1">IFERROR(__xludf.DUMMYFUNCTION("IFERROR(VLOOKUP(F672,IMPORTRANGE(""https://docs.google.com/spreadsheets/d/1Kvs4KS76FHFqLFIZfrDMff4kP08nblUkihrxltoGBjg/edit#gid=934712705"",""ESENCIAL!A6:BG""),3,FALSE))"),"")</f>
        <v/>
      </c>
      <c r="H658" s="5" t="str">
        <f ca="1">IFERROR(__xludf.DUMMYFUNCTION("IFERROR(VLOOKUP(F672,IMPORTRANGE(""https://docs.google.com/spreadsheets/d/1Kvs4KS76FHFqLFIZfrDMff4kP08nblUkihrxltoGBjg/edit#gid=934712705"",""ESENCIAL!A6:BG""),8,FALSE))"),"")</f>
        <v/>
      </c>
      <c r="L658" s="287"/>
      <c r="U658" s="40"/>
      <c r="AU658" s="41" t="str">
        <f t="shared" si="20"/>
        <v/>
      </c>
      <c r="AV658" s="5" t="str">
        <f ca="1">IFERROR(__xludf.DUMMYFUNCTION("IFERROR(VLOOKUP(E672&amp;F672,IMPORTRANGE(""https://docs.google.com/spreadsheets/d/1Uw7-A9f9R21vMXxHZFNpYNeKFtG8_yji4HS352LGlSQ/edit?pli=1#gid=0"",""1_ACUM!A4:S""),11,FALSE))"),"")</f>
        <v/>
      </c>
      <c r="AW658" s="42" t="str">
        <f ca="1">IFERROR(__xludf.DUMMYFUNCTION("IFERROR(VLOOKUP(F672,IMPORTRANGE(""https://docs.google.com/spreadsheets/d/1Kvs4KS76FHFqLFIZfrDMff4kP08nblUkihrxltoGBjg/edit#gid=934712705"",""ESENCIAL!A6:BG""),15,FALSE))"),"")</f>
        <v/>
      </c>
      <c r="AX658" s="21" t="str">
        <f ca="1">IFERROR(__xludf.DUMMYFUNCTION("IFERROR(VLOOKUP(E672&amp;F672,IMPORTRANGE(""https://docs.google.com/spreadsheets/d/1Uw7-A9f9R21vMXxHZFNpYNeKFtG8_yji4HS352LGlSQ/edit?pli=1#gid=0"",""1_ACUM!A4:S""),12,FALSE))"),"")</f>
        <v/>
      </c>
      <c r="AY658" s="43" t="str">
        <f ca="1">IFERROR(__xludf.DUMMYFUNCTION("IFERROR(VLOOKUP(E672&amp;F672,IMPORTRANGE(""https://docs.google.com/spreadsheets/d/1Uw7-A9f9R21vMXxHZFNpYNeKFtG8_yji4HS352LGlSQ/edit?pli=1#gid=0"",""1_ACUM!A4:S""),13,FALSE))"),"")</f>
        <v/>
      </c>
      <c r="AZ658" s="43" t="str">
        <f ca="1">IFERROR(__xludf.DUMMYFUNCTION("IFERROR(VLOOKUP(E672&amp;F672,IMPORTRANGE(""https://docs.google.com/spreadsheets/d/1Uw7-A9f9R21vMXxHZFNpYNeKFtG8_yji4HS352LGlSQ/edit?pli=1#gid=0"",""1_ACUM!A4:S""),14,FALSE))"),"")</f>
        <v/>
      </c>
      <c r="BA658" s="43" t="str">
        <f ca="1">IFERROR(__xludf.DUMMYFUNCTION("IFERROR(VLOOKUP(E672&amp;F672,IMPORTRANGE(""https://docs.google.com/spreadsheets/d/1Uw7-A9f9R21vMXxHZFNpYNeKFtG8_yji4HS352LGlSQ/edit?pli=1#gid=0"",""1_ACUM!A4:S""),15,FALSE))"),"")</f>
        <v/>
      </c>
      <c r="BB658" s="43" t="str">
        <f ca="1">IFERROR(__xludf.DUMMYFUNCTION("IFERROR(VLOOKUP(E672&amp;F672,IMPORTRANGE(""https://docs.google.com/spreadsheets/d/1Uw7-A9f9R21vMXxHZFNpYNeKFtG8_yji4HS352LGlSQ/edit?pli=1#gid=0"",""1_ACUM!A4:S""),16,FALSE))"),"")</f>
        <v/>
      </c>
      <c r="BC658" s="43" t="str">
        <f ca="1">IFERROR(__xludf.DUMMYFUNCTION("IFERROR(VLOOKUP(E672&amp;F672,IMPORTRANGE(""https://docs.google.com/spreadsheets/d/1Uw7-A9f9R21vMXxHZFNpYNeKFtG8_yji4HS352LGlSQ/edit?pli=1#gid=0"",""1_ACUM!A4:S""),17,FALSE))"),"")</f>
        <v/>
      </c>
      <c r="BD658" s="44" t="str">
        <f ca="1">IFERROR(__xludf.DUMMYFUNCTION("IFERROR(VLOOKUP(E672&amp;F672,IMPORTRANGE(""https://docs.google.com/spreadsheets/d/1Uw7-A9f9R21vMXxHZFNpYNeKFtG8_yji4HS352LGlSQ/edit?pli=1#gid=0"",""1_ACUM!A4:S""),18,FALSE))"),"")</f>
        <v/>
      </c>
      <c r="BE658" s="44" t="str">
        <f ca="1">IFERROR(__xludf.DUMMYFUNCTION("IFERROR(VLOOKUP(E672&amp;F672,IMPORTRANGE(""https://docs.google.com/spreadsheets/d/1Uw7-A9f9R21vMXxHZFNpYNeKFtG8_yji4HS352LGlSQ/edit?pli=1#gid=0"",""1_ACUM!A4:S""),19,FALSE))"),"")</f>
        <v/>
      </c>
      <c r="BF658" s="98" t="str">
        <f ca="1">IFERROR(__xludf.DUMMYFUNCTION("IFERROR(VLOOKUP(F672,IMPORTRANGE(""https://docs.google.com/spreadsheets/d/1Kvs4KS76FHFqLFIZfrDMff4kP08nblUkihrxltoGBjg/edit#gid=934712705"",""ESENCIAL!A6:BG""),5,FALSE))"),"")</f>
        <v/>
      </c>
      <c r="BG658" s="98" t="str">
        <f t="shared" si="21"/>
        <v/>
      </c>
      <c r="BH658" s="99" t="str">
        <f t="shared" si="22"/>
        <v/>
      </c>
      <c r="BI658" s="100" t="str">
        <f ca="1">IFERROR(__xludf.DUMMYFUNCTION("IFERROR(VLOOKUP(F672,IMPORTRANGE(""https://docs.google.com/spreadsheets/d/1Kvs4KS76FHFqLFIZfrDMff4kP08nblUkihrxltoGBjg/edit#gid=934712705"",""ESENCIAL!A6:BG""),2,FALSE))"),"")</f>
        <v/>
      </c>
      <c r="BJ658" s="19" t="str">
        <f t="shared" si="23"/>
        <v/>
      </c>
      <c r="BK658" s="100"/>
      <c r="BL658" s="100"/>
    </row>
    <row r="659" spans="1:64" ht="15">
      <c r="A659" s="5"/>
      <c r="B659" s="5"/>
      <c r="G659" s="5" t="str">
        <f ca="1">IFERROR(__xludf.DUMMYFUNCTION("IFERROR(VLOOKUP(F673,IMPORTRANGE(""https://docs.google.com/spreadsheets/d/1Kvs4KS76FHFqLFIZfrDMff4kP08nblUkihrxltoGBjg/edit#gid=934712705"",""ESENCIAL!A6:BG""),3,FALSE))"),"")</f>
        <v/>
      </c>
      <c r="H659" s="5" t="str">
        <f ca="1">IFERROR(__xludf.DUMMYFUNCTION("IFERROR(VLOOKUP(F673,IMPORTRANGE(""https://docs.google.com/spreadsheets/d/1Kvs4KS76FHFqLFIZfrDMff4kP08nblUkihrxltoGBjg/edit#gid=934712705"",""ESENCIAL!A6:BG""),8,FALSE))"),"")</f>
        <v/>
      </c>
      <c r="L659" s="287"/>
      <c r="U659" s="40"/>
      <c r="AU659" s="41" t="str">
        <f t="shared" si="20"/>
        <v/>
      </c>
      <c r="AV659" s="5" t="str">
        <f ca="1">IFERROR(__xludf.DUMMYFUNCTION("IFERROR(VLOOKUP(E673&amp;F673,IMPORTRANGE(""https://docs.google.com/spreadsheets/d/1Uw7-A9f9R21vMXxHZFNpYNeKFtG8_yji4HS352LGlSQ/edit?pli=1#gid=0"",""1_ACUM!A4:S""),11,FALSE))"),"")</f>
        <v/>
      </c>
      <c r="AW659" s="42" t="str">
        <f ca="1">IFERROR(__xludf.DUMMYFUNCTION("IFERROR(VLOOKUP(F673,IMPORTRANGE(""https://docs.google.com/spreadsheets/d/1Kvs4KS76FHFqLFIZfrDMff4kP08nblUkihrxltoGBjg/edit#gid=934712705"",""ESENCIAL!A6:BG""),15,FALSE))"),"")</f>
        <v/>
      </c>
      <c r="AX659" s="21" t="str">
        <f ca="1">IFERROR(__xludf.DUMMYFUNCTION("IFERROR(VLOOKUP(E673&amp;F673,IMPORTRANGE(""https://docs.google.com/spreadsheets/d/1Uw7-A9f9R21vMXxHZFNpYNeKFtG8_yji4HS352LGlSQ/edit?pli=1#gid=0"",""1_ACUM!A4:S""),12,FALSE))"),"")</f>
        <v/>
      </c>
      <c r="AY659" s="43" t="str">
        <f ca="1">IFERROR(__xludf.DUMMYFUNCTION("IFERROR(VLOOKUP(E673&amp;F673,IMPORTRANGE(""https://docs.google.com/spreadsheets/d/1Uw7-A9f9R21vMXxHZFNpYNeKFtG8_yji4HS352LGlSQ/edit?pli=1#gid=0"",""1_ACUM!A4:S""),13,FALSE))"),"")</f>
        <v/>
      </c>
      <c r="AZ659" s="43" t="str">
        <f ca="1">IFERROR(__xludf.DUMMYFUNCTION("IFERROR(VLOOKUP(E673&amp;F673,IMPORTRANGE(""https://docs.google.com/spreadsheets/d/1Uw7-A9f9R21vMXxHZFNpYNeKFtG8_yji4HS352LGlSQ/edit?pli=1#gid=0"",""1_ACUM!A4:S""),14,FALSE))"),"")</f>
        <v/>
      </c>
      <c r="BA659" s="43" t="str">
        <f ca="1">IFERROR(__xludf.DUMMYFUNCTION("IFERROR(VLOOKUP(E673&amp;F673,IMPORTRANGE(""https://docs.google.com/spreadsheets/d/1Uw7-A9f9R21vMXxHZFNpYNeKFtG8_yji4HS352LGlSQ/edit?pli=1#gid=0"",""1_ACUM!A4:S""),15,FALSE))"),"")</f>
        <v/>
      </c>
      <c r="BB659" s="43" t="str">
        <f ca="1">IFERROR(__xludf.DUMMYFUNCTION("IFERROR(VLOOKUP(E673&amp;F673,IMPORTRANGE(""https://docs.google.com/spreadsheets/d/1Uw7-A9f9R21vMXxHZFNpYNeKFtG8_yji4HS352LGlSQ/edit?pli=1#gid=0"",""1_ACUM!A4:S""),16,FALSE))"),"")</f>
        <v/>
      </c>
      <c r="BC659" s="43" t="str">
        <f ca="1">IFERROR(__xludf.DUMMYFUNCTION("IFERROR(VLOOKUP(E673&amp;F673,IMPORTRANGE(""https://docs.google.com/spreadsheets/d/1Uw7-A9f9R21vMXxHZFNpYNeKFtG8_yji4HS352LGlSQ/edit?pli=1#gid=0"",""1_ACUM!A4:S""),17,FALSE))"),"")</f>
        <v/>
      </c>
      <c r="BD659" s="44" t="str">
        <f ca="1">IFERROR(__xludf.DUMMYFUNCTION("IFERROR(VLOOKUP(E673&amp;F673,IMPORTRANGE(""https://docs.google.com/spreadsheets/d/1Uw7-A9f9R21vMXxHZFNpYNeKFtG8_yji4HS352LGlSQ/edit?pli=1#gid=0"",""1_ACUM!A4:S""),18,FALSE))"),"")</f>
        <v/>
      </c>
      <c r="BE659" s="44" t="str">
        <f ca="1">IFERROR(__xludf.DUMMYFUNCTION("IFERROR(VLOOKUP(E673&amp;F673,IMPORTRANGE(""https://docs.google.com/spreadsheets/d/1Uw7-A9f9R21vMXxHZFNpYNeKFtG8_yji4HS352LGlSQ/edit?pli=1#gid=0"",""1_ACUM!A4:S""),19,FALSE))"),"")</f>
        <v/>
      </c>
      <c r="BF659" s="98" t="str">
        <f ca="1">IFERROR(__xludf.DUMMYFUNCTION("IFERROR(VLOOKUP(F673,IMPORTRANGE(""https://docs.google.com/spreadsheets/d/1Kvs4KS76FHFqLFIZfrDMff4kP08nblUkihrxltoGBjg/edit#gid=934712705"",""ESENCIAL!A6:BG""),5,FALSE))"),"")</f>
        <v/>
      </c>
      <c r="BG659" s="98" t="str">
        <f t="shared" si="21"/>
        <v/>
      </c>
      <c r="BH659" s="99" t="str">
        <f t="shared" si="22"/>
        <v/>
      </c>
      <c r="BI659" s="100" t="str">
        <f ca="1">IFERROR(__xludf.DUMMYFUNCTION("IFERROR(VLOOKUP(F673,IMPORTRANGE(""https://docs.google.com/spreadsheets/d/1Kvs4KS76FHFqLFIZfrDMff4kP08nblUkihrxltoGBjg/edit#gid=934712705"",""ESENCIAL!A6:BG""),2,FALSE))"),"")</f>
        <v/>
      </c>
      <c r="BJ659" s="19" t="str">
        <f t="shared" si="23"/>
        <v/>
      </c>
      <c r="BK659" s="100"/>
      <c r="BL659" s="100"/>
    </row>
    <row r="660" spans="1:64" ht="15">
      <c r="A660" s="5"/>
      <c r="B660" s="5"/>
      <c r="G660" s="5" t="str">
        <f ca="1">IFERROR(__xludf.DUMMYFUNCTION("IFERROR(VLOOKUP(F674,IMPORTRANGE(""https://docs.google.com/spreadsheets/d/1Kvs4KS76FHFqLFIZfrDMff4kP08nblUkihrxltoGBjg/edit#gid=934712705"",""ESENCIAL!A6:BG""),3,FALSE))"),"")</f>
        <v/>
      </c>
      <c r="H660" s="5" t="str">
        <f ca="1">IFERROR(__xludf.DUMMYFUNCTION("IFERROR(VLOOKUP(F674,IMPORTRANGE(""https://docs.google.com/spreadsheets/d/1Kvs4KS76FHFqLFIZfrDMff4kP08nblUkihrxltoGBjg/edit#gid=934712705"",""ESENCIAL!A6:BG""),8,FALSE))"),"")</f>
        <v/>
      </c>
      <c r="L660" s="287"/>
      <c r="U660" s="40"/>
      <c r="AU660" s="41" t="str">
        <f t="shared" si="20"/>
        <v/>
      </c>
      <c r="AV660" s="5" t="str">
        <f ca="1">IFERROR(__xludf.DUMMYFUNCTION("IFERROR(VLOOKUP(E674&amp;F674,IMPORTRANGE(""https://docs.google.com/spreadsheets/d/1Uw7-A9f9R21vMXxHZFNpYNeKFtG8_yji4HS352LGlSQ/edit?pli=1#gid=0"",""1_ACUM!A4:S""),11,FALSE))"),"")</f>
        <v/>
      </c>
      <c r="AW660" s="42" t="str">
        <f ca="1">IFERROR(__xludf.DUMMYFUNCTION("IFERROR(VLOOKUP(F674,IMPORTRANGE(""https://docs.google.com/spreadsheets/d/1Kvs4KS76FHFqLFIZfrDMff4kP08nblUkihrxltoGBjg/edit#gid=934712705"",""ESENCIAL!A6:BG""),15,FALSE))"),"")</f>
        <v/>
      </c>
      <c r="AX660" s="21" t="str">
        <f ca="1">IFERROR(__xludf.DUMMYFUNCTION("IFERROR(VLOOKUP(E674&amp;F674,IMPORTRANGE(""https://docs.google.com/spreadsheets/d/1Uw7-A9f9R21vMXxHZFNpYNeKFtG8_yji4HS352LGlSQ/edit?pli=1#gid=0"",""1_ACUM!A4:S""),12,FALSE))"),"")</f>
        <v/>
      </c>
      <c r="AY660" s="43" t="str">
        <f ca="1">IFERROR(__xludf.DUMMYFUNCTION("IFERROR(VLOOKUP(E674&amp;F674,IMPORTRANGE(""https://docs.google.com/spreadsheets/d/1Uw7-A9f9R21vMXxHZFNpYNeKFtG8_yji4HS352LGlSQ/edit?pli=1#gid=0"",""1_ACUM!A4:S""),13,FALSE))"),"")</f>
        <v/>
      </c>
      <c r="AZ660" s="43" t="str">
        <f ca="1">IFERROR(__xludf.DUMMYFUNCTION("IFERROR(VLOOKUP(E674&amp;F674,IMPORTRANGE(""https://docs.google.com/spreadsheets/d/1Uw7-A9f9R21vMXxHZFNpYNeKFtG8_yji4HS352LGlSQ/edit?pli=1#gid=0"",""1_ACUM!A4:S""),14,FALSE))"),"")</f>
        <v/>
      </c>
      <c r="BA660" s="43" t="str">
        <f ca="1">IFERROR(__xludf.DUMMYFUNCTION("IFERROR(VLOOKUP(E674&amp;F674,IMPORTRANGE(""https://docs.google.com/spreadsheets/d/1Uw7-A9f9R21vMXxHZFNpYNeKFtG8_yji4HS352LGlSQ/edit?pli=1#gid=0"",""1_ACUM!A4:S""),15,FALSE))"),"")</f>
        <v/>
      </c>
      <c r="BB660" s="43" t="str">
        <f ca="1">IFERROR(__xludf.DUMMYFUNCTION("IFERROR(VLOOKUP(E674&amp;F674,IMPORTRANGE(""https://docs.google.com/spreadsheets/d/1Uw7-A9f9R21vMXxHZFNpYNeKFtG8_yji4HS352LGlSQ/edit?pli=1#gid=0"",""1_ACUM!A4:S""),16,FALSE))"),"")</f>
        <v/>
      </c>
      <c r="BC660" s="43" t="str">
        <f ca="1">IFERROR(__xludf.DUMMYFUNCTION("IFERROR(VLOOKUP(E674&amp;F674,IMPORTRANGE(""https://docs.google.com/spreadsheets/d/1Uw7-A9f9R21vMXxHZFNpYNeKFtG8_yji4HS352LGlSQ/edit?pli=1#gid=0"",""1_ACUM!A4:S""),17,FALSE))"),"")</f>
        <v/>
      </c>
      <c r="BD660" s="44" t="str">
        <f ca="1">IFERROR(__xludf.DUMMYFUNCTION("IFERROR(VLOOKUP(E674&amp;F674,IMPORTRANGE(""https://docs.google.com/spreadsheets/d/1Uw7-A9f9R21vMXxHZFNpYNeKFtG8_yji4HS352LGlSQ/edit?pli=1#gid=0"",""1_ACUM!A4:S""),18,FALSE))"),"")</f>
        <v/>
      </c>
      <c r="BE660" s="44" t="str">
        <f ca="1">IFERROR(__xludf.DUMMYFUNCTION("IFERROR(VLOOKUP(E674&amp;F674,IMPORTRANGE(""https://docs.google.com/spreadsheets/d/1Uw7-A9f9R21vMXxHZFNpYNeKFtG8_yji4HS352LGlSQ/edit?pli=1#gid=0"",""1_ACUM!A4:S""),19,FALSE))"),"")</f>
        <v/>
      </c>
      <c r="BF660" s="98" t="str">
        <f ca="1">IFERROR(__xludf.DUMMYFUNCTION("IFERROR(VLOOKUP(F674,IMPORTRANGE(""https://docs.google.com/spreadsheets/d/1Kvs4KS76FHFqLFIZfrDMff4kP08nblUkihrxltoGBjg/edit#gid=934712705"",""ESENCIAL!A6:BG""),5,FALSE))"),"")</f>
        <v/>
      </c>
      <c r="BG660" s="98" t="str">
        <f t="shared" si="21"/>
        <v/>
      </c>
      <c r="BH660" s="99" t="str">
        <f t="shared" si="22"/>
        <v/>
      </c>
      <c r="BI660" s="100" t="str">
        <f ca="1">IFERROR(__xludf.DUMMYFUNCTION("IFERROR(VLOOKUP(F674,IMPORTRANGE(""https://docs.google.com/spreadsheets/d/1Kvs4KS76FHFqLFIZfrDMff4kP08nblUkihrxltoGBjg/edit#gid=934712705"",""ESENCIAL!A6:BG""),2,FALSE))"),"")</f>
        <v/>
      </c>
      <c r="BJ660" s="19" t="str">
        <f t="shared" si="23"/>
        <v/>
      </c>
      <c r="BK660" s="100"/>
      <c r="BL660" s="100"/>
    </row>
    <row r="661" spans="1:64" ht="15">
      <c r="A661" s="5"/>
      <c r="B661" s="5"/>
      <c r="G661" s="5" t="str">
        <f ca="1">IFERROR(__xludf.DUMMYFUNCTION("IFERROR(VLOOKUP(F675,IMPORTRANGE(""https://docs.google.com/spreadsheets/d/1Kvs4KS76FHFqLFIZfrDMff4kP08nblUkihrxltoGBjg/edit#gid=934712705"",""ESENCIAL!A6:BG""),3,FALSE))"),"")</f>
        <v/>
      </c>
      <c r="H661" s="5" t="str">
        <f ca="1">IFERROR(__xludf.DUMMYFUNCTION("IFERROR(VLOOKUP(F675,IMPORTRANGE(""https://docs.google.com/spreadsheets/d/1Kvs4KS76FHFqLFIZfrDMff4kP08nblUkihrxltoGBjg/edit#gid=934712705"",""ESENCIAL!A6:BG""),8,FALSE))"),"")</f>
        <v/>
      </c>
      <c r="L661" s="287"/>
      <c r="U661" s="40"/>
      <c r="AU661" s="41" t="str">
        <f t="shared" si="20"/>
        <v/>
      </c>
      <c r="AV661" s="5" t="str">
        <f ca="1">IFERROR(__xludf.DUMMYFUNCTION("IFERROR(VLOOKUP(E675&amp;F675,IMPORTRANGE(""https://docs.google.com/spreadsheets/d/1Uw7-A9f9R21vMXxHZFNpYNeKFtG8_yji4HS352LGlSQ/edit?pli=1#gid=0"",""1_ACUM!A4:S""),11,FALSE))"),"")</f>
        <v/>
      </c>
      <c r="AW661" s="42" t="str">
        <f ca="1">IFERROR(__xludf.DUMMYFUNCTION("IFERROR(VLOOKUP(F675,IMPORTRANGE(""https://docs.google.com/spreadsheets/d/1Kvs4KS76FHFqLFIZfrDMff4kP08nblUkihrxltoGBjg/edit#gid=934712705"",""ESENCIAL!A6:BG""),15,FALSE))"),"")</f>
        <v/>
      </c>
      <c r="AX661" s="21" t="str">
        <f ca="1">IFERROR(__xludf.DUMMYFUNCTION("IFERROR(VLOOKUP(E675&amp;F675,IMPORTRANGE(""https://docs.google.com/spreadsheets/d/1Uw7-A9f9R21vMXxHZFNpYNeKFtG8_yji4HS352LGlSQ/edit?pli=1#gid=0"",""1_ACUM!A4:S""),12,FALSE))"),"")</f>
        <v/>
      </c>
      <c r="AY661" s="43" t="str">
        <f ca="1">IFERROR(__xludf.DUMMYFUNCTION("IFERROR(VLOOKUP(E675&amp;F675,IMPORTRANGE(""https://docs.google.com/spreadsheets/d/1Uw7-A9f9R21vMXxHZFNpYNeKFtG8_yji4HS352LGlSQ/edit?pli=1#gid=0"",""1_ACUM!A4:S""),13,FALSE))"),"")</f>
        <v/>
      </c>
      <c r="AZ661" s="43" t="str">
        <f ca="1">IFERROR(__xludf.DUMMYFUNCTION("IFERROR(VLOOKUP(E675&amp;F675,IMPORTRANGE(""https://docs.google.com/spreadsheets/d/1Uw7-A9f9R21vMXxHZFNpYNeKFtG8_yji4HS352LGlSQ/edit?pli=1#gid=0"",""1_ACUM!A4:S""),14,FALSE))"),"")</f>
        <v/>
      </c>
      <c r="BA661" s="43" t="str">
        <f ca="1">IFERROR(__xludf.DUMMYFUNCTION("IFERROR(VLOOKUP(E675&amp;F675,IMPORTRANGE(""https://docs.google.com/spreadsheets/d/1Uw7-A9f9R21vMXxHZFNpYNeKFtG8_yji4HS352LGlSQ/edit?pli=1#gid=0"",""1_ACUM!A4:S""),15,FALSE))"),"")</f>
        <v/>
      </c>
      <c r="BB661" s="43" t="str">
        <f ca="1">IFERROR(__xludf.DUMMYFUNCTION("IFERROR(VLOOKUP(E675&amp;F675,IMPORTRANGE(""https://docs.google.com/spreadsheets/d/1Uw7-A9f9R21vMXxHZFNpYNeKFtG8_yji4HS352LGlSQ/edit?pli=1#gid=0"",""1_ACUM!A4:S""),16,FALSE))"),"")</f>
        <v/>
      </c>
      <c r="BC661" s="43" t="str">
        <f ca="1">IFERROR(__xludf.DUMMYFUNCTION("IFERROR(VLOOKUP(E675&amp;F675,IMPORTRANGE(""https://docs.google.com/spreadsheets/d/1Uw7-A9f9R21vMXxHZFNpYNeKFtG8_yji4HS352LGlSQ/edit?pli=1#gid=0"",""1_ACUM!A4:S""),17,FALSE))"),"")</f>
        <v/>
      </c>
      <c r="BD661" s="44" t="str">
        <f ca="1">IFERROR(__xludf.DUMMYFUNCTION("IFERROR(VLOOKUP(E675&amp;F675,IMPORTRANGE(""https://docs.google.com/spreadsheets/d/1Uw7-A9f9R21vMXxHZFNpYNeKFtG8_yji4HS352LGlSQ/edit?pli=1#gid=0"",""1_ACUM!A4:S""),18,FALSE))"),"")</f>
        <v/>
      </c>
      <c r="BE661" s="44" t="str">
        <f ca="1">IFERROR(__xludf.DUMMYFUNCTION("IFERROR(VLOOKUP(E675&amp;F675,IMPORTRANGE(""https://docs.google.com/spreadsheets/d/1Uw7-A9f9R21vMXxHZFNpYNeKFtG8_yji4HS352LGlSQ/edit?pli=1#gid=0"",""1_ACUM!A4:S""),19,FALSE))"),"")</f>
        <v/>
      </c>
      <c r="BF661" s="98" t="str">
        <f ca="1">IFERROR(__xludf.DUMMYFUNCTION("IFERROR(VLOOKUP(F675,IMPORTRANGE(""https://docs.google.com/spreadsheets/d/1Kvs4KS76FHFqLFIZfrDMff4kP08nblUkihrxltoGBjg/edit#gid=934712705"",""ESENCIAL!A6:BG""),5,FALSE))"),"")</f>
        <v/>
      </c>
      <c r="BG661" s="98" t="str">
        <f t="shared" si="21"/>
        <v/>
      </c>
      <c r="BH661" s="99" t="str">
        <f t="shared" si="22"/>
        <v/>
      </c>
      <c r="BI661" s="100" t="str">
        <f ca="1">IFERROR(__xludf.DUMMYFUNCTION("IFERROR(VLOOKUP(F675,IMPORTRANGE(""https://docs.google.com/spreadsheets/d/1Kvs4KS76FHFqLFIZfrDMff4kP08nblUkihrxltoGBjg/edit#gid=934712705"",""ESENCIAL!A6:BG""),2,FALSE))"),"")</f>
        <v/>
      </c>
      <c r="BJ661" s="19" t="str">
        <f t="shared" si="23"/>
        <v/>
      </c>
      <c r="BK661" s="100"/>
      <c r="BL661" s="100"/>
    </row>
    <row r="662" spans="1:64" ht="15">
      <c r="A662" s="5"/>
      <c r="B662" s="5"/>
      <c r="G662" s="5" t="str">
        <f ca="1">IFERROR(__xludf.DUMMYFUNCTION("IFERROR(VLOOKUP(F676,IMPORTRANGE(""https://docs.google.com/spreadsheets/d/1Kvs4KS76FHFqLFIZfrDMff4kP08nblUkihrxltoGBjg/edit#gid=934712705"",""ESENCIAL!A6:BG""),3,FALSE))"),"")</f>
        <v/>
      </c>
      <c r="H662" s="5" t="str">
        <f ca="1">IFERROR(__xludf.DUMMYFUNCTION("IFERROR(VLOOKUP(F676,IMPORTRANGE(""https://docs.google.com/spreadsheets/d/1Kvs4KS76FHFqLFIZfrDMff4kP08nblUkihrxltoGBjg/edit#gid=934712705"",""ESENCIAL!A6:BG""),8,FALSE))"),"")</f>
        <v/>
      </c>
      <c r="L662" s="287"/>
      <c r="U662" s="40"/>
      <c r="AU662" s="41" t="str">
        <f t="shared" si="20"/>
        <v/>
      </c>
      <c r="AV662" s="5" t="str">
        <f ca="1">IFERROR(__xludf.DUMMYFUNCTION("IFERROR(VLOOKUP(E676&amp;F676,IMPORTRANGE(""https://docs.google.com/spreadsheets/d/1Uw7-A9f9R21vMXxHZFNpYNeKFtG8_yji4HS352LGlSQ/edit?pli=1#gid=0"",""1_ACUM!A4:S""),11,FALSE))"),"")</f>
        <v/>
      </c>
      <c r="AW662" s="42" t="str">
        <f ca="1">IFERROR(__xludf.DUMMYFUNCTION("IFERROR(VLOOKUP(F676,IMPORTRANGE(""https://docs.google.com/spreadsheets/d/1Kvs4KS76FHFqLFIZfrDMff4kP08nblUkihrxltoGBjg/edit#gid=934712705"",""ESENCIAL!A6:BG""),15,FALSE))"),"")</f>
        <v/>
      </c>
      <c r="AX662" s="21" t="str">
        <f ca="1">IFERROR(__xludf.DUMMYFUNCTION("IFERROR(VLOOKUP(E676&amp;F676,IMPORTRANGE(""https://docs.google.com/spreadsheets/d/1Uw7-A9f9R21vMXxHZFNpYNeKFtG8_yji4HS352LGlSQ/edit?pli=1#gid=0"",""1_ACUM!A4:S""),12,FALSE))"),"")</f>
        <v/>
      </c>
      <c r="AY662" s="43" t="str">
        <f ca="1">IFERROR(__xludf.DUMMYFUNCTION("IFERROR(VLOOKUP(E676&amp;F676,IMPORTRANGE(""https://docs.google.com/spreadsheets/d/1Uw7-A9f9R21vMXxHZFNpYNeKFtG8_yji4HS352LGlSQ/edit?pli=1#gid=0"",""1_ACUM!A4:S""),13,FALSE))"),"")</f>
        <v/>
      </c>
      <c r="AZ662" s="43" t="str">
        <f ca="1">IFERROR(__xludf.DUMMYFUNCTION("IFERROR(VLOOKUP(E676&amp;F676,IMPORTRANGE(""https://docs.google.com/spreadsheets/d/1Uw7-A9f9R21vMXxHZFNpYNeKFtG8_yji4HS352LGlSQ/edit?pli=1#gid=0"",""1_ACUM!A4:S""),14,FALSE))"),"")</f>
        <v/>
      </c>
      <c r="BA662" s="43" t="str">
        <f ca="1">IFERROR(__xludf.DUMMYFUNCTION("IFERROR(VLOOKUP(E676&amp;F676,IMPORTRANGE(""https://docs.google.com/spreadsheets/d/1Uw7-A9f9R21vMXxHZFNpYNeKFtG8_yji4HS352LGlSQ/edit?pli=1#gid=0"",""1_ACUM!A4:S""),15,FALSE))"),"")</f>
        <v/>
      </c>
      <c r="BB662" s="43" t="str">
        <f ca="1">IFERROR(__xludf.DUMMYFUNCTION("IFERROR(VLOOKUP(E676&amp;F676,IMPORTRANGE(""https://docs.google.com/spreadsheets/d/1Uw7-A9f9R21vMXxHZFNpYNeKFtG8_yji4HS352LGlSQ/edit?pli=1#gid=0"",""1_ACUM!A4:S""),16,FALSE))"),"")</f>
        <v/>
      </c>
      <c r="BC662" s="43" t="str">
        <f ca="1">IFERROR(__xludf.DUMMYFUNCTION("IFERROR(VLOOKUP(E676&amp;F676,IMPORTRANGE(""https://docs.google.com/spreadsheets/d/1Uw7-A9f9R21vMXxHZFNpYNeKFtG8_yji4HS352LGlSQ/edit?pli=1#gid=0"",""1_ACUM!A4:S""),17,FALSE))"),"")</f>
        <v/>
      </c>
      <c r="BD662" s="44" t="str">
        <f ca="1">IFERROR(__xludf.DUMMYFUNCTION("IFERROR(VLOOKUP(E676&amp;F676,IMPORTRANGE(""https://docs.google.com/spreadsheets/d/1Uw7-A9f9R21vMXxHZFNpYNeKFtG8_yji4HS352LGlSQ/edit?pli=1#gid=0"",""1_ACUM!A4:S""),18,FALSE))"),"")</f>
        <v/>
      </c>
      <c r="BE662" s="44" t="str">
        <f ca="1">IFERROR(__xludf.DUMMYFUNCTION("IFERROR(VLOOKUP(E676&amp;F676,IMPORTRANGE(""https://docs.google.com/spreadsheets/d/1Uw7-A9f9R21vMXxHZFNpYNeKFtG8_yji4HS352LGlSQ/edit?pli=1#gid=0"",""1_ACUM!A4:S""),19,FALSE))"),"")</f>
        <v/>
      </c>
      <c r="BF662" s="98" t="str">
        <f ca="1">IFERROR(__xludf.DUMMYFUNCTION("IFERROR(VLOOKUP(F676,IMPORTRANGE(""https://docs.google.com/spreadsheets/d/1Kvs4KS76FHFqLFIZfrDMff4kP08nblUkihrxltoGBjg/edit#gid=934712705"",""ESENCIAL!A6:BG""),5,FALSE))"),"")</f>
        <v/>
      </c>
      <c r="BG662" s="98" t="str">
        <f t="shared" si="21"/>
        <v/>
      </c>
      <c r="BH662" s="99" t="str">
        <f t="shared" si="22"/>
        <v/>
      </c>
      <c r="BI662" s="100" t="str">
        <f ca="1">IFERROR(__xludf.DUMMYFUNCTION("IFERROR(VLOOKUP(F676,IMPORTRANGE(""https://docs.google.com/spreadsheets/d/1Kvs4KS76FHFqLFIZfrDMff4kP08nblUkihrxltoGBjg/edit#gid=934712705"",""ESENCIAL!A6:BG""),2,FALSE))"),"")</f>
        <v/>
      </c>
      <c r="BJ662" s="19" t="str">
        <f t="shared" si="23"/>
        <v/>
      </c>
      <c r="BK662" s="100"/>
      <c r="BL662" s="100"/>
    </row>
    <row r="663" spans="1:64" ht="15">
      <c r="A663" s="5"/>
      <c r="B663" s="5"/>
      <c r="G663" s="5" t="str">
        <f ca="1">IFERROR(__xludf.DUMMYFUNCTION("IFERROR(VLOOKUP(F677,IMPORTRANGE(""https://docs.google.com/spreadsheets/d/1Kvs4KS76FHFqLFIZfrDMff4kP08nblUkihrxltoGBjg/edit#gid=934712705"",""ESENCIAL!A6:BG""),3,FALSE))"),"")</f>
        <v/>
      </c>
      <c r="H663" s="5" t="str">
        <f ca="1">IFERROR(__xludf.DUMMYFUNCTION("IFERROR(VLOOKUP(F677,IMPORTRANGE(""https://docs.google.com/spreadsheets/d/1Kvs4KS76FHFqLFIZfrDMff4kP08nblUkihrxltoGBjg/edit#gid=934712705"",""ESENCIAL!A6:BG""),8,FALSE))"),"")</f>
        <v/>
      </c>
      <c r="L663" s="287"/>
      <c r="U663" s="40"/>
      <c r="AU663" s="41" t="str">
        <f t="shared" si="20"/>
        <v/>
      </c>
      <c r="AV663" s="5" t="str">
        <f ca="1">IFERROR(__xludf.DUMMYFUNCTION("IFERROR(VLOOKUP(E677&amp;F677,IMPORTRANGE(""https://docs.google.com/spreadsheets/d/1Uw7-A9f9R21vMXxHZFNpYNeKFtG8_yji4HS352LGlSQ/edit?pli=1#gid=0"",""1_ACUM!A4:S""),11,FALSE))"),"")</f>
        <v/>
      </c>
      <c r="AW663" s="42" t="str">
        <f ca="1">IFERROR(__xludf.DUMMYFUNCTION("IFERROR(VLOOKUP(F677,IMPORTRANGE(""https://docs.google.com/spreadsheets/d/1Kvs4KS76FHFqLFIZfrDMff4kP08nblUkihrxltoGBjg/edit#gid=934712705"",""ESENCIAL!A6:BG""),15,FALSE))"),"")</f>
        <v/>
      </c>
      <c r="AX663" s="21" t="str">
        <f ca="1">IFERROR(__xludf.DUMMYFUNCTION("IFERROR(VLOOKUP(E677&amp;F677,IMPORTRANGE(""https://docs.google.com/spreadsheets/d/1Uw7-A9f9R21vMXxHZFNpYNeKFtG8_yji4HS352LGlSQ/edit?pli=1#gid=0"",""1_ACUM!A4:S""),12,FALSE))"),"")</f>
        <v/>
      </c>
      <c r="AY663" s="43" t="str">
        <f ca="1">IFERROR(__xludf.DUMMYFUNCTION("IFERROR(VLOOKUP(E677&amp;F677,IMPORTRANGE(""https://docs.google.com/spreadsheets/d/1Uw7-A9f9R21vMXxHZFNpYNeKFtG8_yji4HS352LGlSQ/edit?pli=1#gid=0"",""1_ACUM!A4:S""),13,FALSE))"),"")</f>
        <v/>
      </c>
      <c r="AZ663" s="43" t="str">
        <f ca="1">IFERROR(__xludf.DUMMYFUNCTION("IFERROR(VLOOKUP(E677&amp;F677,IMPORTRANGE(""https://docs.google.com/spreadsheets/d/1Uw7-A9f9R21vMXxHZFNpYNeKFtG8_yji4HS352LGlSQ/edit?pli=1#gid=0"",""1_ACUM!A4:S""),14,FALSE))"),"")</f>
        <v/>
      </c>
      <c r="BA663" s="43" t="str">
        <f ca="1">IFERROR(__xludf.DUMMYFUNCTION("IFERROR(VLOOKUP(E677&amp;F677,IMPORTRANGE(""https://docs.google.com/spreadsheets/d/1Uw7-A9f9R21vMXxHZFNpYNeKFtG8_yji4HS352LGlSQ/edit?pli=1#gid=0"",""1_ACUM!A4:S""),15,FALSE))"),"")</f>
        <v/>
      </c>
      <c r="BB663" s="43" t="str">
        <f ca="1">IFERROR(__xludf.DUMMYFUNCTION("IFERROR(VLOOKUP(E677&amp;F677,IMPORTRANGE(""https://docs.google.com/spreadsheets/d/1Uw7-A9f9R21vMXxHZFNpYNeKFtG8_yji4HS352LGlSQ/edit?pli=1#gid=0"",""1_ACUM!A4:S""),16,FALSE))"),"")</f>
        <v/>
      </c>
      <c r="BC663" s="43" t="str">
        <f ca="1">IFERROR(__xludf.DUMMYFUNCTION("IFERROR(VLOOKUP(E677&amp;F677,IMPORTRANGE(""https://docs.google.com/spreadsheets/d/1Uw7-A9f9R21vMXxHZFNpYNeKFtG8_yji4HS352LGlSQ/edit?pli=1#gid=0"",""1_ACUM!A4:S""),17,FALSE))"),"")</f>
        <v/>
      </c>
      <c r="BD663" s="44" t="str">
        <f ca="1">IFERROR(__xludf.DUMMYFUNCTION("IFERROR(VLOOKUP(E677&amp;F677,IMPORTRANGE(""https://docs.google.com/spreadsheets/d/1Uw7-A9f9R21vMXxHZFNpYNeKFtG8_yji4HS352LGlSQ/edit?pli=1#gid=0"",""1_ACUM!A4:S""),18,FALSE))"),"")</f>
        <v/>
      </c>
      <c r="BE663" s="44" t="str">
        <f ca="1">IFERROR(__xludf.DUMMYFUNCTION("IFERROR(VLOOKUP(E677&amp;F677,IMPORTRANGE(""https://docs.google.com/spreadsheets/d/1Uw7-A9f9R21vMXxHZFNpYNeKFtG8_yji4HS352LGlSQ/edit?pli=1#gid=0"",""1_ACUM!A4:S""),19,FALSE))"),"")</f>
        <v/>
      </c>
      <c r="BF663" s="98" t="str">
        <f ca="1">IFERROR(__xludf.DUMMYFUNCTION("IFERROR(VLOOKUP(F677,IMPORTRANGE(""https://docs.google.com/spreadsheets/d/1Kvs4KS76FHFqLFIZfrDMff4kP08nblUkihrxltoGBjg/edit#gid=934712705"",""ESENCIAL!A6:BG""),5,FALSE))"),"")</f>
        <v/>
      </c>
      <c r="BG663" s="98" t="str">
        <f t="shared" si="21"/>
        <v/>
      </c>
      <c r="BH663" s="99" t="str">
        <f t="shared" si="22"/>
        <v/>
      </c>
      <c r="BI663" s="100" t="str">
        <f ca="1">IFERROR(__xludf.DUMMYFUNCTION("IFERROR(VLOOKUP(F677,IMPORTRANGE(""https://docs.google.com/spreadsheets/d/1Kvs4KS76FHFqLFIZfrDMff4kP08nblUkihrxltoGBjg/edit#gid=934712705"",""ESENCIAL!A6:BG""),2,FALSE))"),"")</f>
        <v/>
      </c>
      <c r="BJ663" s="19" t="str">
        <f t="shared" si="23"/>
        <v/>
      </c>
      <c r="BK663" s="100"/>
      <c r="BL663" s="100"/>
    </row>
    <row r="664" spans="1:64" ht="15">
      <c r="A664" s="5"/>
      <c r="B664" s="5"/>
      <c r="G664" s="5" t="str">
        <f ca="1">IFERROR(__xludf.DUMMYFUNCTION("IFERROR(VLOOKUP(F678,IMPORTRANGE(""https://docs.google.com/spreadsheets/d/1Kvs4KS76FHFqLFIZfrDMff4kP08nblUkihrxltoGBjg/edit#gid=934712705"",""ESENCIAL!A6:BG""),3,FALSE))"),"")</f>
        <v/>
      </c>
      <c r="H664" s="5" t="str">
        <f ca="1">IFERROR(__xludf.DUMMYFUNCTION("IFERROR(VLOOKUP(F678,IMPORTRANGE(""https://docs.google.com/spreadsheets/d/1Kvs4KS76FHFqLFIZfrDMff4kP08nblUkihrxltoGBjg/edit#gid=934712705"",""ESENCIAL!A6:BG""),8,FALSE))"),"")</f>
        <v/>
      </c>
      <c r="L664" s="287"/>
      <c r="U664" s="40"/>
      <c r="AU664" s="41" t="str">
        <f t="shared" si="20"/>
        <v/>
      </c>
      <c r="AV664" s="5" t="str">
        <f ca="1">IFERROR(__xludf.DUMMYFUNCTION("IFERROR(VLOOKUP(E678&amp;F678,IMPORTRANGE(""https://docs.google.com/spreadsheets/d/1Uw7-A9f9R21vMXxHZFNpYNeKFtG8_yji4HS352LGlSQ/edit?pli=1#gid=0"",""1_ACUM!A4:S""),11,FALSE))"),"")</f>
        <v/>
      </c>
      <c r="AW664" s="42" t="str">
        <f ca="1">IFERROR(__xludf.DUMMYFUNCTION("IFERROR(VLOOKUP(F678,IMPORTRANGE(""https://docs.google.com/spreadsheets/d/1Kvs4KS76FHFqLFIZfrDMff4kP08nblUkihrxltoGBjg/edit#gid=934712705"",""ESENCIAL!A6:BG""),15,FALSE))"),"")</f>
        <v/>
      </c>
      <c r="AX664" s="21" t="str">
        <f ca="1">IFERROR(__xludf.DUMMYFUNCTION("IFERROR(VLOOKUP(E678&amp;F678,IMPORTRANGE(""https://docs.google.com/spreadsheets/d/1Uw7-A9f9R21vMXxHZFNpYNeKFtG8_yji4HS352LGlSQ/edit?pli=1#gid=0"",""1_ACUM!A4:S""),12,FALSE))"),"")</f>
        <v/>
      </c>
      <c r="AY664" s="43" t="str">
        <f ca="1">IFERROR(__xludf.DUMMYFUNCTION("IFERROR(VLOOKUP(E678&amp;F678,IMPORTRANGE(""https://docs.google.com/spreadsheets/d/1Uw7-A9f9R21vMXxHZFNpYNeKFtG8_yji4HS352LGlSQ/edit?pli=1#gid=0"",""1_ACUM!A4:S""),13,FALSE))"),"")</f>
        <v/>
      </c>
      <c r="AZ664" s="43" t="str">
        <f ca="1">IFERROR(__xludf.DUMMYFUNCTION("IFERROR(VLOOKUP(E678&amp;F678,IMPORTRANGE(""https://docs.google.com/spreadsheets/d/1Uw7-A9f9R21vMXxHZFNpYNeKFtG8_yji4HS352LGlSQ/edit?pli=1#gid=0"",""1_ACUM!A4:S""),14,FALSE))"),"")</f>
        <v/>
      </c>
      <c r="BA664" s="43" t="str">
        <f ca="1">IFERROR(__xludf.DUMMYFUNCTION("IFERROR(VLOOKUP(E678&amp;F678,IMPORTRANGE(""https://docs.google.com/spreadsheets/d/1Uw7-A9f9R21vMXxHZFNpYNeKFtG8_yji4HS352LGlSQ/edit?pli=1#gid=0"",""1_ACUM!A4:S""),15,FALSE))"),"")</f>
        <v/>
      </c>
      <c r="BB664" s="43" t="str">
        <f ca="1">IFERROR(__xludf.DUMMYFUNCTION("IFERROR(VLOOKUP(E678&amp;F678,IMPORTRANGE(""https://docs.google.com/spreadsheets/d/1Uw7-A9f9R21vMXxHZFNpYNeKFtG8_yji4HS352LGlSQ/edit?pli=1#gid=0"",""1_ACUM!A4:S""),16,FALSE))"),"")</f>
        <v/>
      </c>
      <c r="BC664" s="43" t="str">
        <f ca="1">IFERROR(__xludf.DUMMYFUNCTION("IFERROR(VLOOKUP(E678&amp;F678,IMPORTRANGE(""https://docs.google.com/spreadsheets/d/1Uw7-A9f9R21vMXxHZFNpYNeKFtG8_yji4HS352LGlSQ/edit?pli=1#gid=0"",""1_ACUM!A4:S""),17,FALSE))"),"")</f>
        <v/>
      </c>
      <c r="BD664" s="44" t="str">
        <f ca="1">IFERROR(__xludf.DUMMYFUNCTION("IFERROR(VLOOKUP(E678&amp;F678,IMPORTRANGE(""https://docs.google.com/spreadsheets/d/1Uw7-A9f9R21vMXxHZFNpYNeKFtG8_yji4HS352LGlSQ/edit?pli=1#gid=0"",""1_ACUM!A4:S""),18,FALSE))"),"")</f>
        <v/>
      </c>
      <c r="BE664" s="44" t="str">
        <f ca="1">IFERROR(__xludf.DUMMYFUNCTION("IFERROR(VLOOKUP(E678&amp;F678,IMPORTRANGE(""https://docs.google.com/spreadsheets/d/1Uw7-A9f9R21vMXxHZFNpYNeKFtG8_yji4HS352LGlSQ/edit?pli=1#gid=0"",""1_ACUM!A4:S""),19,FALSE))"),"")</f>
        <v/>
      </c>
      <c r="BF664" s="98" t="str">
        <f ca="1">IFERROR(__xludf.DUMMYFUNCTION("IFERROR(VLOOKUP(F678,IMPORTRANGE(""https://docs.google.com/spreadsheets/d/1Kvs4KS76FHFqLFIZfrDMff4kP08nblUkihrxltoGBjg/edit#gid=934712705"",""ESENCIAL!A6:BG""),5,FALSE))"),"")</f>
        <v/>
      </c>
      <c r="BG664" s="98" t="str">
        <f t="shared" si="21"/>
        <v/>
      </c>
      <c r="BH664" s="99" t="str">
        <f t="shared" si="22"/>
        <v/>
      </c>
      <c r="BI664" s="100" t="str">
        <f ca="1">IFERROR(__xludf.DUMMYFUNCTION("IFERROR(VLOOKUP(F678,IMPORTRANGE(""https://docs.google.com/spreadsheets/d/1Kvs4KS76FHFqLFIZfrDMff4kP08nblUkihrxltoGBjg/edit#gid=934712705"",""ESENCIAL!A6:BG""),2,FALSE))"),"")</f>
        <v/>
      </c>
      <c r="BJ664" s="19" t="str">
        <f t="shared" si="23"/>
        <v/>
      </c>
      <c r="BK664" s="100"/>
      <c r="BL664" s="100"/>
    </row>
    <row r="665" spans="1:64" ht="15">
      <c r="A665" s="5"/>
      <c r="B665" s="5"/>
      <c r="G665" s="5" t="str">
        <f ca="1">IFERROR(__xludf.DUMMYFUNCTION("IFERROR(VLOOKUP(F679,IMPORTRANGE(""https://docs.google.com/spreadsheets/d/1Kvs4KS76FHFqLFIZfrDMff4kP08nblUkihrxltoGBjg/edit#gid=934712705"",""ESENCIAL!A6:BG""),3,FALSE))"),"")</f>
        <v/>
      </c>
      <c r="H665" s="5" t="str">
        <f ca="1">IFERROR(__xludf.DUMMYFUNCTION("IFERROR(VLOOKUP(F679,IMPORTRANGE(""https://docs.google.com/spreadsheets/d/1Kvs4KS76FHFqLFIZfrDMff4kP08nblUkihrxltoGBjg/edit#gid=934712705"",""ESENCIAL!A6:BG""),8,FALSE))"),"")</f>
        <v/>
      </c>
      <c r="L665" s="287"/>
      <c r="U665" s="40"/>
      <c r="AU665" s="41" t="str">
        <f t="shared" si="20"/>
        <v/>
      </c>
      <c r="AV665" s="5" t="str">
        <f ca="1">IFERROR(__xludf.DUMMYFUNCTION("IFERROR(VLOOKUP(E679&amp;F679,IMPORTRANGE(""https://docs.google.com/spreadsheets/d/1Uw7-A9f9R21vMXxHZFNpYNeKFtG8_yji4HS352LGlSQ/edit?pli=1#gid=0"",""1_ACUM!A4:S""),11,FALSE))"),"")</f>
        <v/>
      </c>
      <c r="AW665" s="42" t="str">
        <f ca="1">IFERROR(__xludf.DUMMYFUNCTION("IFERROR(VLOOKUP(F679,IMPORTRANGE(""https://docs.google.com/spreadsheets/d/1Kvs4KS76FHFqLFIZfrDMff4kP08nblUkihrxltoGBjg/edit#gid=934712705"",""ESENCIAL!A6:BG""),15,FALSE))"),"")</f>
        <v/>
      </c>
      <c r="AX665" s="21" t="str">
        <f ca="1">IFERROR(__xludf.DUMMYFUNCTION("IFERROR(VLOOKUP(E679&amp;F679,IMPORTRANGE(""https://docs.google.com/spreadsheets/d/1Uw7-A9f9R21vMXxHZFNpYNeKFtG8_yji4HS352LGlSQ/edit?pli=1#gid=0"",""1_ACUM!A4:S""),12,FALSE))"),"")</f>
        <v/>
      </c>
      <c r="AY665" s="43" t="str">
        <f ca="1">IFERROR(__xludf.DUMMYFUNCTION("IFERROR(VLOOKUP(E679&amp;F679,IMPORTRANGE(""https://docs.google.com/spreadsheets/d/1Uw7-A9f9R21vMXxHZFNpYNeKFtG8_yji4HS352LGlSQ/edit?pli=1#gid=0"",""1_ACUM!A4:S""),13,FALSE))"),"")</f>
        <v/>
      </c>
      <c r="AZ665" s="43" t="str">
        <f ca="1">IFERROR(__xludf.DUMMYFUNCTION("IFERROR(VLOOKUP(E679&amp;F679,IMPORTRANGE(""https://docs.google.com/spreadsheets/d/1Uw7-A9f9R21vMXxHZFNpYNeKFtG8_yji4HS352LGlSQ/edit?pli=1#gid=0"",""1_ACUM!A4:S""),14,FALSE))"),"")</f>
        <v/>
      </c>
      <c r="BA665" s="43" t="str">
        <f ca="1">IFERROR(__xludf.DUMMYFUNCTION("IFERROR(VLOOKUP(E679&amp;F679,IMPORTRANGE(""https://docs.google.com/spreadsheets/d/1Uw7-A9f9R21vMXxHZFNpYNeKFtG8_yji4HS352LGlSQ/edit?pli=1#gid=0"",""1_ACUM!A4:S""),15,FALSE))"),"")</f>
        <v/>
      </c>
      <c r="BB665" s="43" t="str">
        <f ca="1">IFERROR(__xludf.DUMMYFUNCTION("IFERROR(VLOOKUP(E679&amp;F679,IMPORTRANGE(""https://docs.google.com/spreadsheets/d/1Uw7-A9f9R21vMXxHZFNpYNeKFtG8_yji4HS352LGlSQ/edit?pli=1#gid=0"",""1_ACUM!A4:S""),16,FALSE))"),"")</f>
        <v/>
      </c>
      <c r="BC665" s="43" t="str">
        <f ca="1">IFERROR(__xludf.DUMMYFUNCTION("IFERROR(VLOOKUP(E679&amp;F679,IMPORTRANGE(""https://docs.google.com/spreadsheets/d/1Uw7-A9f9R21vMXxHZFNpYNeKFtG8_yji4HS352LGlSQ/edit?pli=1#gid=0"",""1_ACUM!A4:S""),17,FALSE))"),"")</f>
        <v/>
      </c>
      <c r="BD665" s="44" t="str">
        <f ca="1">IFERROR(__xludf.DUMMYFUNCTION("IFERROR(VLOOKUP(E679&amp;F679,IMPORTRANGE(""https://docs.google.com/spreadsheets/d/1Uw7-A9f9R21vMXxHZFNpYNeKFtG8_yji4HS352LGlSQ/edit?pli=1#gid=0"",""1_ACUM!A4:S""),18,FALSE))"),"")</f>
        <v/>
      </c>
      <c r="BE665" s="44" t="str">
        <f ca="1">IFERROR(__xludf.DUMMYFUNCTION("IFERROR(VLOOKUP(E679&amp;F679,IMPORTRANGE(""https://docs.google.com/spreadsheets/d/1Uw7-A9f9R21vMXxHZFNpYNeKFtG8_yji4HS352LGlSQ/edit?pli=1#gid=0"",""1_ACUM!A4:S""),19,FALSE))"),"")</f>
        <v/>
      </c>
      <c r="BF665" s="98" t="str">
        <f ca="1">IFERROR(__xludf.DUMMYFUNCTION("IFERROR(VLOOKUP(F679,IMPORTRANGE(""https://docs.google.com/spreadsheets/d/1Kvs4KS76FHFqLFIZfrDMff4kP08nblUkihrxltoGBjg/edit#gid=934712705"",""ESENCIAL!A6:BG""),5,FALSE))"),"")</f>
        <v/>
      </c>
      <c r="BG665" s="98" t="str">
        <f t="shared" si="21"/>
        <v/>
      </c>
      <c r="BH665" s="99" t="str">
        <f t="shared" si="22"/>
        <v/>
      </c>
      <c r="BI665" s="100" t="str">
        <f ca="1">IFERROR(__xludf.DUMMYFUNCTION("IFERROR(VLOOKUP(F679,IMPORTRANGE(""https://docs.google.com/spreadsheets/d/1Kvs4KS76FHFqLFIZfrDMff4kP08nblUkihrxltoGBjg/edit#gid=934712705"",""ESENCIAL!A6:BG""),2,FALSE))"),"")</f>
        <v/>
      </c>
      <c r="BJ665" s="19" t="str">
        <f t="shared" si="23"/>
        <v/>
      </c>
      <c r="BK665" s="100"/>
      <c r="BL665" s="100"/>
    </row>
    <row r="666" spans="1:64" ht="15">
      <c r="A666" s="5"/>
      <c r="B666" s="5"/>
      <c r="G666" s="5" t="str">
        <f ca="1">IFERROR(__xludf.DUMMYFUNCTION("IFERROR(VLOOKUP(F680,IMPORTRANGE(""https://docs.google.com/spreadsheets/d/1Kvs4KS76FHFqLFIZfrDMff4kP08nblUkihrxltoGBjg/edit#gid=934712705"",""ESENCIAL!A6:BG""),3,FALSE))"),"")</f>
        <v/>
      </c>
      <c r="H666" s="5" t="str">
        <f ca="1">IFERROR(__xludf.DUMMYFUNCTION("IFERROR(VLOOKUP(F680,IMPORTRANGE(""https://docs.google.com/spreadsheets/d/1Kvs4KS76FHFqLFIZfrDMff4kP08nblUkihrxltoGBjg/edit#gid=934712705"",""ESENCIAL!A6:BG""),8,FALSE))"),"")</f>
        <v/>
      </c>
      <c r="L666" s="287"/>
      <c r="U666" s="40"/>
      <c r="AU666" s="41" t="str">
        <f t="shared" si="20"/>
        <v/>
      </c>
      <c r="AV666" s="5" t="str">
        <f ca="1">IFERROR(__xludf.DUMMYFUNCTION("IFERROR(VLOOKUP(E680&amp;F680,IMPORTRANGE(""https://docs.google.com/spreadsheets/d/1Uw7-A9f9R21vMXxHZFNpYNeKFtG8_yji4HS352LGlSQ/edit?pli=1#gid=0"",""1_ACUM!A4:S""),11,FALSE))"),"")</f>
        <v/>
      </c>
      <c r="AW666" s="42" t="str">
        <f ca="1">IFERROR(__xludf.DUMMYFUNCTION("IFERROR(VLOOKUP(F680,IMPORTRANGE(""https://docs.google.com/spreadsheets/d/1Kvs4KS76FHFqLFIZfrDMff4kP08nblUkihrxltoGBjg/edit#gid=934712705"",""ESENCIAL!A6:BG""),15,FALSE))"),"")</f>
        <v/>
      </c>
      <c r="AX666" s="21" t="str">
        <f ca="1">IFERROR(__xludf.DUMMYFUNCTION("IFERROR(VLOOKUP(E680&amp;F680,IMPORTRANGE(""https://docs.google.com/spreadsheets/d/1Uw7-A9f9R21vMXxHZFNpYNeKFtG8_yji4HS352LGlSQ/edit?pli=1#gid=0"",""1_ACUM!A4:S""),12,FALSE))"),"")</f>
        <v/>
      </c>
      <c r="AY666" s="43" t="str">
        <f ca="1">IFERROR(__xludf.DUMMYFUNCTION("IFERROR(VLOOKUP(E680&amp;F680,IMPORTRANGE(""https://docs.google.com/spreadsheets/d/1Uw7-A9f9R21vMXxHZFNpYNeKFtG8_yji4HS352LGlSQ/edit?pli=1#gid=0"",""1_ACUM!A4:S""),13,FALSE))"),"")</f>
        <v/>
      </c>
      <c r="AZ666" s="43" t="str">
        <f ca="1">IFERROR(__xludf.DUMMYFUNCTION("IFERROR(VLOOKUP(E680&amp;F680,IMPORTRANGE(""https://docs.google.com/spreadsheets/d/1Uw7-A9f9R21vMXxHZFNpYNeKFtG8_yji4HS352LGlSQ/edit?pli=1#gid=0"",""1_ACUM!A4:S""),14,FALSE))"),"")</f>
        <v/>
      </c>
      <c r="BA666" s="43" t="str">
        <f ca="1">IFERROR(__xludf.DUMMYFUNCTION("IFERROR(VLOOKUP(E680&amp;F680,IMPORTRANGE(""https://docs.google.com/spreadsheets/d/1Uw7-A9f9R21vMXxHZFNpYNeKFtG8_yji4HS352LGlSQ/edit?pli=1#gid=0"",""1_ACUM!A4:S""),15,FALSE))"),"")</f>
        <v/>
      </c>
      <c r="BB666" s="43" t="str">
        <f ca="1">IFERROR(__xludf.DUMMYFUNCTION("IFERROR(VLOOKUP(E680&amp;F680,IMPORTRANGE(""https://docs.google.com/spreadsheets/d/1Uw7-A9f9R21vMXxHZFNpYNeKFtG8_yji4HS352LGlSQ/edit?pli=1#gid=0"",""1_ACUM!A4:S""),16,FALSE))"),"")</f>
        <v/>
      </c>
      <c r="BC666" s="43" t="str">
        <f ca="1">IFERROR(__xludf.DUMMYFUNCTION("IFERROR(VLOOKUP(E680&amp;F680,IMPORTRANGE(""https://docs.google.com/spreadsheets/d/1Uw7-A9f9R21vMXxHZFNpYNeKFtG8_yji4HS352LGlSQ/edit?pli=1#gid=0"",""1_ACUM!A4:S""),17,FALSE))"),"")</f>
        <v/>
      </c>
      <c r="BD666" s="44" t="str">
        <f ca="1">IFERROR(__xludf.DUMMYFUNCTION("IFERROR(VLOOKUP(E680&amp;F680,IMPORTRANGE(""https://docs.google.com/spreadsheets/d/1Uw7-A9f9R21vMXxHZFNpYNeKFtG8_yji4HS352LGlSQ/edit?pli=1#gid=0"",""1_ACUM!A4:S""),18,FALSE))"),"")</f>
        <v/>
      </c>
      <c r="BE666" s="44" t="str">
        <f ca="1">IFERROR(__xludf.DUMMYFUNCTION("IFERROR(VLOOKUP(E680&amp;F680,IMPORTRANGE(""https://docs.google.com/spreadsheets/d/1Uw7-A9f9R21vMXxHZFNpYNeKFtG8_yji4HS352LGlSQ/edit?pli=1#gid=0"",""1_ACUM!A4:S""),19,FALSE))"),"")</f>
        <v/>
      </c>
      <c r="BF666" s="98" t="str">
        <f ca="1">IFERROR(__xludf.DUMMYFUNCTION("IFERROR(VLOOKUP(F680,IMPORTRANGE(""https://docs.google.com/spreadsheets/d/1Kvs4KS76FHFqLFIZfrDMff4kP08nblUkihrxltoGBjg/edit#gid=934712705"",""ESENCIAL!A6:BG""),5,FALSE))"),"")</f>
        <v/>
      </c>
      <c r="BG666" s="98" t="str">
        <f t="shared" si="21"/>
        <v/>
      </c>
      <c r="BH666" s="99" t="str">
        <f t="shared" si="22"/>
        <v/>
      </c>
      <c r="BI666" s="100" t="str">
        <f ca="1">IFERROR(__xludf.DUMMYFUNCTION("IFERROR(VLOOKUP(F680,IMPORTRANGE(""https://docs.google.com/spreadsheets/d/1Kvs4KS76FHFqLFIZfrDMff4kP08nblUkihrxltoGBjg/edit#gid=934712705"",""ESENCIAL!A6:BG""),2,FALSE))"),"")</f>
        <v/>
      </c>
      <c r="BJ666" s="19" t="str">
        <f t="shared" si="23"/>
        <v/>
      </c>
      <c r="BK666" s="100"/>
      <c r="BL666" s="100"/>
    </row>
    <row r="667" spans="1:64" ht="15">
      <c r="A667" s="5"/>
      <c r="B667" s="5"/>
      <c r="G667" s="5" t="str">
        <f ca="1">IFERROR(__xludf.DUMMYFUNCTION("IFERROR(VLOOKUP(F681,IMPORTRANGE(""https://docs.google.com/spreadsheets/d/1Kvs4KS76FHFqLFIZfrDMff4kP08nblUkihrxltoGBjg/edit#gid=934712705"",""ESENCIAL!A6:BG""),3,FALSE))"),"")</f>
        <v/>
      </c>
      <c r="H667" s="5" t="str">
        <f ca="1">IFERROR(__xludf.DUMMYFUNCTION("IFERROR(VLOOKUP(F681,IMPORTRANGE(""https://docs.google.com/spreadsheets/d/1Kvs4KS76FHFqLFIZfrDMff4kP08nblUkihrxltoGBjg/edit#gid=934712705"",""ESENCIAL!A6:BG""),8,FALSE))"),"")</f>
        <v/>
      </c>
      <c r="L667" s="287"/>
      <c r="U667" s="40"/>
      <c r="AU667" s="41" t="str">
        <f t="shared" si="20"/>
        <v/>
      </c>
      <c r="AV667" s="5" t="str">
        <f ca="1">IFERROR(__xludf.DUMMYFUNCTION("IFERROR(VLOOKUP(E681&amp;F681,IMPORTRANGE(""https://docs.google.com/spreadsheets/d/1Uw7-A9f9R21vMXxHZFNpYNeKFtG8_yji4HS352LGlSQ/edit?pli=1#gid=0"",""1_ACUM!A4:S""),11,FALSE))"),"")</f>
        <v/>
      </c>
      <c r="AW667" s="42" t="str">
        <f ca="1">IFERROR(__xludf.DUMMYFUNCTION("IFERROR(VLOOKUP(F681,IMPORTRANGE(""https://docs.google.com/spreadsheets/d/1Kvs4KS76FHFqLFIZfrDMff4kP08nblUkihrxltoGBjg/edit#gid=934712705"",""ESENCIAL!A6:BG""),15,FALSE))"),"")</f>
        <v/>
      </c>
      <c r="AX667" s="21" t="str">
        <f ca="1">IFERROR(__xludf.DUMMYFUNCTION("IFERROR(VLOOKUP(E681&amp;F681,IMPORTRANGE(""https://docs.google.com/spreadsheets/d/1Uw7-A9f9R21vMXxHZFNpYNeKFtG8_yji4HS352LGlSQ/edit?pli=1#gid=0"",""1_ACUM!A4:S""),12,FALSE))"),"")</f>
        <v/>
      </c>
      <c r="AY667" s="43" t="str">
        <f ca="1">IFERROR(__xludf.DUMMYFUNCTION("IFERROR(VLOOKUP(E681&amp;F681,IMPORTRANGE(""https://docs.google.com/spreadsheets/d/1Uw7-A9f9R21vMXxHZFNpYNeKFtG8_yji4HS352LGlSQ/edit?pli=1#gid=0"",""1_ACUM!A4:S""),13,FALSE))"),"")</f>
        <v/>
      </c>
      <c r="AZ667" s="43" t="str">
        <f ca="1">IFERROR(__xludf.DUMMYFUNCTION("IFERROR(VLOOKUP(E681&amp;F681,IMPORTRANGE(""https://docs.google.com/spreadsheets/d/1Uw7-A9f9R21vMXxHZFNpYNeKFtG8_yji4HS352LGlSQ/edit?pli=1#gid=0"",""1_ACUM!A4:S""),14,FALSE))"),"")</f>
        <v/>
      </c>
      <c r="BA667" s="43" t="str">
        <f ca="1">IFERROR(__xludf.DUMMYFUNCTION("IFERROR(VLOOKUP(E681&amp;F681,IMPORTRANGE(""https://docs.google.com/spreadsheets/d/1Uw7-A9f9R21vMXxHZFNpYNeKFtG8_yji4HS352LGlSQ/edit?pli=1#gid=0"",""1_ACUM!A4:S""),15,FALSE))"),"")</f>
        <v/>
      </c>
      <c r="BB667" s="43" t="str">
        <f ca="1">IFERROR(__xludf.DUMMYFUNCTION("IFERROR(VLOOKUP(E681&amp;F681,IMPORTRANGE(""https://docs.google.com/spreadsheets/d/1Uw7-A9f9R21vMXxHZFNpYNeKFtG8_yji4HS352LGlSQ/edit?pli=1#gid=0"",""1_ACUM!A4:S""),16,FALSE))"),"")</f>
        <v/>
      </c>
      <c r="BC667" s="43" t="str">
        <f ca="1">IFERROR(__xludf.DUMMYFUNCTION("IFERROR(VLOOKUP(E681&amp;F681,IMPORTRANGE(""https://docs.google.com/spreadsheets/d/1Uw7-A9f9R21vMXxHZFNpYNeKFtG8_yji4HS352LGlSQ/edit?pli=1#gid=0"",""1_ACUM!A4:S""),17,FALSE))"),"")</f>
        <v/>
      </c>
      <c r="BD667" s="44" t="str">
        <f ca="1">IFERROR(__xludf.DUMMYFUNCTION("IFERROR(VLOOKUP(E681&amp;F681,IMPORTRANGE(""https://docs.google.com/spreadsheets/d/1Uw7-A9f9R21vMXxHZFNpYNeKFtG8_yji4HS352LGlSQ/edit?pli=1#gid=0"",""1_ACUM!A4:S""),18,FALSE))"),"")</f>
        <v/>
      </c>
      <c r="BE667" s="44" t="str">
        <f ca="1">IFERROR(__xludf.DUMMYFUNCTION("IFERROR(VLOOKUP(E681&amp;F681,IMPORTRANGE(""https://docs.google.com/spreadsheets/d/1Uw7-A9f9R21vMXxHZFNpYNeKFtG8_yji4HS352LGlSQ/edit?pli=1#gid=0"",""1_ACUM!A4:S""),19,FALSE))"),"")</f>
        <v/>
      </c>
      <c r="BF667" s="98" t="str">
        <f ca="1">IFERROR(__xludf.DUMMYFUNCTION("IFERROR(VLOOKUP(F681,IMPORTRANGE(""https://docs.google.com/spreadsheets/d/1Kvs4KS76FHFqLFIZfrDMff4kP08nblUkihrxltoGBjg/edit#gid=934712705"",""ESENCIAL!A6:BG""),5,FALSE))"),"")</f>
        <v/>
      </c>
      <c r="BG667" s="98" t="str">
        <f t="shared" si="21"/>
        <v/>
      </c>
      <c r="BH667" s="99" t="str">
        <f t="shared" si="22"/>
        <v/>
      </c>
      <c r="BI667" s="100" t="str">
        <f ca="1">IFERROR(__xludf.DUMMYFUNCTION("IFERROR(VLOOKUP(F681,IMPORTRANGE(""https://docs.google.com/spreadsheets/d/1Kvs4KS76FHFqLFIZfrDMff4kP08nblUkihrxltoGBjg/edit#gid=934712705"",""ESENCIAL!A6:BG""),2,FALSE))"),"")</f>
        <v/>
      </c>
      <c r="BJ667" s="19" t="str">
        <f t="shared" si="23"/>
        <v/>
      </c>
      <c r="BK667" s="100"/>
      <c r="BL667" s="100"/>
    </row>
    <row r="668" spans="1:64" ht="15">
      <c r="A668" s="5"/>
      <c r="B668" s="5"/>
      <c r="G668" s="5" t="str">
        <f ca="1">IFERROR(__xludf.DUMMYFUNCTION("IFERROR(VLOOKUP(F682,IMPORTRANGE(""https://docs.google.com/spreadsheets/d/1Kvs4KS76FHFqLFIZfrDMff4kP08nblUkihrxltoGBjg/edit#gid=934712705"",""ESENCIAL!A6:BG""),3,FALSE))"),"")</f>
        <v/>
      </c>
      <c r="H668" s="5" t="str">
        <f ca="1">IFERROR(__xludf.DUMMYFUNCTION("IFERROR(VLOOKUP(F682,IMPORTRANGE(""https://docs.google.com/spreadsheets/d/1Kvs4KS76FHFqLFIZfrDMff4kP08nblUkihrxltoGBjg/edit#gid=934712705"",""ESENCIAL!A6:BG""),8,FALSE))"),"")</f>
        <v/>
      </c>
      <c r="L668" s="287"/>
      <c r="U668" s="40"/>
      <c r="AU668" s="41" t="str">
        <f t="shared" si="20"/>
        <v/>
      </c>
      <c r="AV668" s="5" t="str">
        <f ca="1">IFERROR(__xludf.DUMMYFUNCTION("IFERROR(VLOOKUP(E682&amp;F682,IMPORTRANGE(""https://docs.google.com/spreadsheets/d/1Uw7-A9f9R21vMXxHZFNpYNeKFtG8_yji4HS352LGlSQ/edit?pli=1#gid=0"",""1_ACUM!A4:S""),11,FALSE))"),"")</f>
        <v/>
      </c>
      <c r="AW668" s="42" t="str">
        <f ca="1">IFERROR(__xludf.DUMMYFUNCTION("IFERROR(VLOOKUP(F682,IMPORTRANGE(""https://docs.google.com/spreadsheets/d/1Kvs4KS76FHFqLFIZfrDMff4kP08nblUkihrxltoGBjg/edit#gid=934712705"",""ESENCIAL!A6:BG""),15,FALSE))"),"")</f>
        <v/>
      </c>
      <c r="AX668" s="21" t="str">
        <f ca="1">IFERROR(__xludf.DUMMYFUNCTION("IFERROR(VLOOKUP(E682&amp;F682,IMPORTRANGE(""https://docs.google.com/spreadsheets/d/1Uw7-A9f9R21vMXxHZFNpYNeKFtG8_yji4HS352LGlSQ/edit?pli=1#gid=0"",""1_ACUM!A4:S""),12,FALSE))"),"")</f>
        <v/>
      </c>
      <c r="AY668" s="43" t="str">
        <f ca="1">IFERROR(__xludf.DUMMYFUNCTION("IFERROR(VLOOKUP(E682&amp;F682,IMPORTRANGE(""https://docs.google.com/spreadsheets/d/1Uw7-A9f9R21vMXxHZFNpYNeKFtG8_yji4HS352LGlSQ/edit?pli=1#gid=0"",""1_ACUM!A4:S""),13,FALSE))"),"")</f>
        <v/>
      </c>
      <c r="AZ668" s="43" t="str">
        <f ca="1">IFERROR(__xludf.DUMMYFUNCTION("IFERROR(VLOOKUP(E682&amp;F682,IMPORTRANGE(""https://docs.google.com/spreadsheets/d/1Uw7-A9f9R21vMXxHZFNpYNeKFtG8_yji4HS352LGlSQ/edit?pli=1#gid=0"",""1_ACUM!A4:S""),14,FALSE))"),"")</f>
        <v/>
      </c>
      <c r="BA668" s="43" t="str">
        <f ca="1">IFERROR(__xludf.DUMMYFUNCTION("IFERROR(VLOOKUP(E682&amp;F682,IMPORTRANGE(""https://docs.google.com/spreadsheets/d/1Uw7-A9f9R21vMXxHZFNpYNeKFtG8_yji4HS352LGlSQ/edit?pli=1#gid=0"",""1_ACUM!A4:S""),15,FALSE))"),"")</f>
        <v/>
      </c>
      <c r="BB668" s="43" t="str">
        <f ca="1">IFERROR(__xludf.DUMMYFUNCTION("IFERROR(VLOOKUP(E682&amp;F682,IMPORTRANGE(""https://docs.google.com/spreadsheets/d/1Uw7-A9f9R21vMXxHZFNpYNeKFtG8_yji4HS352LGlSQ/edit?pli=1#gid=0"",""1_ACUM!A4:S""),16,FALSE))"),"")</f>
        <v/>
      </c>
      <c r="BC668" s="43" t="str">
        <f ca="1">IFERROR(__xludf.DUMMYFUNCTION("IFERROR(VLOOKUP(E682&amp;F682,IMPORTRANGE(""https://docs.google.com/spreadsheets/d/1Uw7-A9f9R21vMXxHZFNpYNeKFtG8_yji4HS352LGlSQ/edit?pli=1#gid=0"",""1_ACUM!A4:S""),17,FALSE))"),"")</f>
        <v/>
      </c>
      <c r="BD668" s="44" t="str">
        <f ca="1">IFERROR(__xludf.DUMMYFUNCTION("IFERROR(VLOOKUP(E682&amp;F682,IMPORTRANGE(""https://docs.google.com/spreadsheets/d/1Uw7-A9f9R21vMXxHZFNpYNeKFtG8_yji4HS352LGlSQ/edit?pli=1#gid=0"",""1_ACUM!A4:S""),18,FALSE))"),"")</f>
        <v/>
      </c>
      <c r="BE668" s="44" t="str">
        <f ca="1">IFERROR(__xludf.DUMMYFUNCTION("IFERROR(VLOOKUP(E682&amp;F682,IMPORTRANGE(""https://docs.google.com/spreadsheets/d/1Uw7-A9f9R21vMXxHZFNpYNeKFtG8_yji4HS352LGlSQ/edit?pli=1#gid=0"",""1_ACUM!A4:S""),19,FALSE))"),"")</f>
        <v/>
      </c>
      <c r="BF668" s="98" t="str">
        <f ca="1">IFERROR(__xludf.DUMMYFUNCTION("IFERROR(VLOOKUP(F682,IMPORTRANGE(""https://docs.google.com/spreadsheets/d/1Kvs4KS76FHFqLFIZfrDMff4kP08nblUkihrxltoGBjg/edit#gid=934712705"",""ESENCIAL!A6:BG""),5,FALSE))"),"")</f>
        <v/>
      </c>
      <c r="BG668" s="98" t="str">
        <f t="shared" si="21"/>
        <v/>
      </c>
      <c r="BH668" s="99" t="str">
        <f t="shared" si="22"/>
        <v/>
      </c>
      <c r="BI668" s="100" t="str">
        <f ca="1">IFERROR(__xludf.DUMMYFUNCTION("IFERROR(VLOOKUP(F682,IMPORTRANGE(""https://docs.google.com/spreadsheets/d/1Kvs4KS76FHFqLFIZfrDMff4kP08nblUkihrxltoGBjg/edit#gid=934712705"",""ESENCIAL!A6:BG""),2,FALSE))"),"")</f>
        <v/>
      </c>
      <c r="BJ668" s="19" t="str">
        <f t="shared" si="23"/>
        <v/>
      </c>
      <c r="BK668" s="100"/>
      <c r="BL668" s="100"/>
    </row>
    <row r="669" spans="1:64" ht="15">
      <c r="A669" s="5"/>
      <c r="B669" s="5"/>
      <c r="G669" s="5" t="str">
        <f ca="1">IFERROR(__xludf.DUMMYFUNCTION("IFERROR(VLOOKUP(F683,IMPORTRANGE(""https://docs.google.com/spreadsheets/d/1Kvs4KS76FHFqLFIZfrDMff4kP08nblUkihrxltoGBjg/edit#gid=934712705"",""ESENCIAL!A6:BG""),3,FALSE))"),"")</f>
        <v/>
      </c>
      <c r="H669" s="5" t="str">
        <f ca="1">IFERROR(__xludf.DUMMYFUNCTION("IFERROR(VLOOKUP(F683,IMPORTRANGE(""https://docs.google.com/spreadsheets/d/1Kvs4KS76FHFqLFIZfrDMff4kP08nblUkihrxltoGBjg/edit#gid=934712705"",""ESENCIAL!A6:BG""),8,FALSE))"),"")</f>
        <v/>
      </c>
      <c r="L669" s="287"/>
      <c r="U669" s="40"/>
      <c r="AU669" s="41" t="str">
        <f t="shared" si="20"/>
        <v/>
      </c>
      <c r="AV669" s="5" t="str">
        <f ca="1">IFERROR(__xludf.DUMMYFUNCTION("IFERROR(VLOOKUP(E683&amp;F683,IMPORTRANGE(""https://docs.google.com/spreadsheets/d/1Uw7-A9f9R21vMXxHZFNpYNeKFtG8_yji4HS352LGlSQ/edit?pli=1#gid=0"",""1_ACUM!A4:S""),11,FALSE))"),"")</f>
        <v/>
      </c>
      <c r="AW669" s="42" t="str">
        <f ca="1">IFERROR(__xludf.DUMMYFUNCTION("IFERROR(VLOOKUP(F683,IMPORTRANGE(""https://docs.google.com/spreadsheets/d/1Kvs4KS76FHFqLFIZfrDMff4kP08nblUkihrxltoGBjg/edit#gid=934712705"",""ESENCIAL!A6:BG""),15,FALSE))"),"")</f>
        <v/>
      </c>
      <c r="AX669" s="21" t="str">
        <f ca="1">IFERROR(__xludf.DUMMYFUNCTION("IFERROR(VLOOKUP(E683&amp;F683,IMPORTRANGE(""https://docs.google.com/spreadsheets/d/1Uw7-A9f9R21vMXxHZFNpYNeKFtG8_yji4HS352LGlSQ/edit?pli=1#gid=0"",""1_ACUM!A4:S""),12,FALSE))"),"")</f>
        <v/>
      </c>
      <c r="AY669" s="43" t="str">
        <f ca="1">IFERROR(__xludf.DUMMYFUNCTION("IFERROR(VLOOKUP(E683&amp;F683,IMPORTRANGE(""https://docs.google.com/spreadsheets/d/1Uw7-A9f9R21vMXxHZFNpYNeKFtG8_yji4HS352LGlSQ/edit?pli=1#gid=0"",""1_ACUM!A4:S""),13,FALSE))"),"")</f>
        <v/>
      </c>
      <c r="AZ669" s="43" t="str">
        <f ca="1">IFERROR(__xludf.DUMMYFUNCTION("IFERROR(VLOOKUP(E683&amp;F683,IMPORTRANGE(""https://docs.google.com/spreadsheets/d/1Uw7-A9f9R21vMXxHZFNpYNeKFtG8_yji4HS352LGlSQ/edit?pli=1#gid=0"",""1_ACUM!A4:S""),14,FALSE))"),"")</f>
        <v/>
      </c>
      <c r="BA669" s="43" t="str">
        <f ca="1">IFERROR(__xludf.DUMMYFUNCTION("IFERROR(VLOOKUP(E683&amp;F683,IMPORTRANGE(""https://docs.google.com/spreadsheets/d/1Uw7-A9f9R21vMXxHZFNpYNeKFtG8_yji4HS352LGlSQ/edit?pli=1#gid=0"",""1_ACUM!A4:S""),15,FALSE))"),"")</f>
        <v/>
      </c>
      <c r="BB669" s="43" t="str">
        <f ca="1">IFERROR(__xludf.DUMMYFUNCTION("IFERROR(VLOOKUP(E683&amp;F683,IMPORTRANGE(""https://docs.google.com/spreadsheets/d/1Uw7-A9f9R21vMXxHZFNpYNeKFtG8_yji4HS352LGlSQ/edit?pli=1#gid=0"",""1_ACUM!A4:S""),16,FALSE))"),"")</f>
        <v/>
      </c>
      <c r="BC669" s="43" t="str">
        <f ca="1">IFERROR(__xludf.DUMMYFUNCTION("IFERROR(VLOOKUP(E683&amp;F683,IMPORTRANGE(""https://docs.google.com/spreadsheets/d/1Uw7-A9f9R21vMXxHZFNpYNeKFtG8_yji4HS352LGlSQ/edit?pli=1#gid=0"",""1_ACUM!A4:S""),17,FALSE))"),"")</f>
        <v/>
      </c>
      <c r="BD669" s="44" t="str">
        <f ca="1">IFERROR(__xludf.DUMMYFUNCTION("IFERROR(VLOOKUP(E683&amp;F683,IMPORTRANGE(""https://docs.google.com/spreadsheets/d/1Uw7-A9f9R21vMXxHZFNpYNeKFtG8_yji4HS352LGlSQ/edit?pli=1#gid=0"",""1_ACUM!A4:S""),18,FALSE))"),"")</f>
        <v/>
      </c>
      <c r="BE669" s="44" t="str">
        <f ca="1">IFERROR(__xludf.DUMMYFUNCTION("IFERROR(VLOOKUP(E683&amp;F683,IMPORTRANGE(""https://docs.google.com/spreadsheets/d/1Uw7-A9f9R21vMXxHZFNpYNeKFtG8_yji4HS352LGlSQ/edit?pli=1#gid=0"",""1_ACUM!A4:S""),19,FALSE))"),"")</f>
        <v/>
      </c>
      <c r="BF669" s="98" t="str">
        <f ca="1">IFERROR(__xludf.DUMMYFUNCTION("IFERROR(VLOOKUP(F683,IMPORTRANGE(""https://docs.google.com/spreadsheets/d/1Kvs4KS76FHFqLFIZfrDMff4kP08nblUkihrxltoGBjg/edit#gid=934712705"",""ESENCIAL!A6:BG""),5,FALSE))"),"")</f>
        <v/>
      </c>
      <c r="BG669" s="98" t="str">
        <f t="shared" si="21"/>
        <v/>
      </c>
      <c r="BH669" s="99" t="str">
        <f t="shared" si="22"/>
        <v/>
      </c>
      <c r="BI669" s="100" t="str">
        <f ca="1">IFERROR(__xludf.DUMMYFUNCTION("IFERROR(VLOOKUP(F683,IMPORTRANGE(""https://docs.google.com/spreadsheets/d/1Kvs4KS76FHFqLFIZfrDMff4kP08nblUkihrxltoGBjg/edit#gid=934712705"",""ESENCIAL!A6:BG""),2,FALSE))"),"")</f>
        <v/>
      </c>
      <c r="BJ669" s="19" t="str">
        <f t="shared" si="23"/>
        <v/>
      </c>
      <c r="BK669" s="100"/>
      <c r="BL669" s="100"/>
    </row>
    <row r="670" spans="1:64" ht="15">
      <c r="A670" s="5"/>
      <c r="B670" s="5"/>
      <c r="G670" s="5" t="str">
        <f ca="1">IFERROR(__xludf.DUMMYFUNCTION("IFERROR(VLOOKUP(F684,IMPORTRANGE(""https://docs.google.com/spreadsheets/d/1Kvs4KS76FHFqLFIZfrDMff4kP08nblUkihrxltoGBjg/edit#gid=934712705"",""ESENCIAL!A6:BG""),3,FALSE))"),"")</f>
        <v/>
      </c>
      <c r="H670" s="5" t="str">
        <f ca="1">IFERROR(__xludf.DUMMYFUNCTION("IFERROR(VLOOKUP(F684,IMPORTRANGE(""https://docs.google.com/spreadsheets/d/1Kvs4KS76FHFqLFIZfrDMff4kP08nblUkihrxltoGBjg/edit#gid=934712705"",""ESENCIAL!A6:BG""),8,FALSE))"),"")</f>
        <v/>
      </c>
      <c r="L670" s="287"/>
      <c r="U670" s="40"/>
      <c r="AU670" s="41" t="str">
        <f t="shared" si="20"/>
        <v/>
      </c>
      <c r="AV670" s="5" t="str">
        <f ca="1">IFERROR(__xludf.DUMMYFUNCTION("IFERROR(VLOOKUP(E684&amp;F684,IMPORTRANGE(""https://docs.google.com/spreadsheets/d/1Uw7-A9f9R21vMXxHZFNpYNeKFtG8_yji4HS352LGlSQ/edit?pli=1#gid=0"",""1_ACUM!A4:S""),11,FALSE))"),"")</f>
        <v/>
      </c>
      <c r="AW670" s="42" t="str">
        <f ca="1">IFERROR(__xludf.DUMMYFUNCTION("IFERROR(VLOOKUP(F684,IMPORTRANGE(""https://docs.google.com/spreadsheets/d/1Kvs4KS76FHFqLFIZfrDMff4kP08nblUkihrxltoGBjg/edit#gid=934712705"",""ESENCIAL!A6:BG""),15,FALSE))"),"")</f>
        <v/>
      </c>
      <c r="AX670" s="21" t="str">
        <f ca="1">IFERROR(__xludf.DUMMYFUNCTION("IFERROR(VLOOKUP(E684&amp;F684,IMPORTRANGE(""https://docs.google.com/spreadsheets/d/1Uw7-A9f9R21vMXxHZFNpYNeKFtG8_yji4HS352LGlSQ/edit?pli=1#gid=0"",""1_ACUM!A4:S""),12,FALSE))"),"")</f>
        <v/>
      </c>
      <c r="AY670" s="43" t="str">
        <f ca="1">IFERROR(__xludf.DUMMYFUNCTION("IFERROR(VLOOKUP(E684&amp;F684,IMPORTRANGE(""https://docs.google.com/spreadsheets/d/1Uw7-A9f9R21vMXxHZFNpYNeKFtG8_yji4HS352LGlSQ/edit?pli=1#gid=0"",""1_ACUM!A4:S""),13,FALSE))"),"")</f>
        <v/>
      </c>
      <c r="AZ670" s="43" t="str">
        <f ca="1">IFERROR(__xludf.DUMMYFUNCTION("IFERROR(VLOOKUP(E684&amp;F684,IMPORTRANGE(""https://docs.google.com/spreadsheets/d/1Uw7-A9f9R21vMXxHZFNpYNeKFtG8_yji4HS352LGlSQ/edit?pli=1#gid=0"",""1_ACUM!A4:S""),14,FALSE))"),"")</f>
        <v/>
      </c>
      <c r="BA670" s="43" t="str">
        <f ca="1">IFERROR(__xludf.DUMMYFUNCTION("IFERROR(VLOOKUP(E684&amp;F684,IMPORTRANGE(""https://docs.google.com/spreadsheets/d/1Uw7-A9f9R21vMXxHZFNpYNeKFtG8_yji4HS352LGlSQ/edit?pli=1#gid=0"",""1_ACUM!A4:S""),15,FALSE))"),"")</f>
        <v/>
      </c>
      <c r="BB670" s="43" t="str">
        <f ca="1">IFERROR(__xludf.DUMMYFUNCTION("IFERROR(VLOOKUP(E684&amp;F684,IMPORTRANGE(""https://docs.google.com/spreadsheets/d/1Uw7-A9f9R21vMXxHZFNpYNeKFtG8_yji4HS352LGlSQ/edit?pli=1#gid=0"",""1_ACUM!A4:S""),16,FALSE))"),"")</f>
        <v/>
      </c>
      <c r="BC670" s="43" t="str">
        <f ca="1">IFERROR(__xludf.DUMMYFUNCTION("IFERROR(VLOOKUP(E684&amp;F684,IMPORTRANGE(""https://docs.google.com/spreadsheets/d/1Uw7-A9f9R21vMXxHZFNpYNeKFtG8_yji4HS352LGlSQ/edit?pli=1#gid=0"",""1_ACUM!A4:S""),17,FALSE))"),"")</f>
        <v/>
      </c>
      <c r="BD670" s="44" t="str">
        <f ca="1">IFERROR(__xludf.DUMMYFUNCTION("IFERROR(VLOOKUP(E684&amp;F684,IMPORTRANGE(""https://docs.google.com/spreadsheets/d/1Uw7-A9f9R21vMXxHZFNpYNeKFtG8_yji4HS352LGlSQ/edit?pli=1#gid=0"",""1_ACUM!A4:S""),18,FALSE))"),"")</f>
        <v/>
      </c>
      <c r="BE670" s="44" t="str">
        <f ca="1">IFERROR(__xludf.DUMMYFUNCTION("IFERROR(VLOOKUP(E684&amp;F684,IMPORTRANGE(""https://docs.google.com/spreadsheets/d/1Uw7-A9f9R21vMXxHZFNpYNeKFtG8_yji4HS352LGlSQ/edit?pli=1#gid=0"",""1_ACUM!A4:S""),19,FALSE))"),"")</f>
        <v/>
      </c>
      <c r="BF670" s="98" t="str">
        <f ca="1">IFERROR(__xludf.DUMMYFUNCTION("IFERROR(VLOOKUP(F684,IMPORTRANGE(""https://docs.google.com/spreadsheets/d/1Kvs4KS76FHFqLFIZfrDMff4kP08nblUkihrxltoGBjg/edit#gid=934712705"",""ESENCIAL!A6:BG""),5,FALSE))"),"")</f>
        <v/>
      </c>
      <c r="BG670" s="98" t="str">
        <f t="shared" si="21"/>
        <v/>
      </c>
      <c r="BH670" s="99" t="str">
        <f t="shared" si="22"/>
        <v/>
      </c>
      <c r="BI670" s="100" t="str">
        <f ca="1">IFERROR(__xludf.DUMMYFUNCTION("IFERROR(VLOOKUP(F684,IMPORTRANGE(""https://docs.google.com/spreadsheets/d/1Kvs4KS76FHFqLFIZfrDMff4kP08nblUkihrxltoGBjg/edit#gid=934712705"",""ESENCIAL!A6:BG""),2,FALSE))"),"")</f>
        <v/>
      </c>
      <c r="BJ670" s="19" t="str">
        <f t="shared" si="23"/>
        <v/>
      </c>
      <c r="BK670" s="100"/>
      <c r="BL670" s="100"/>
    </row>
    <row r="671" spans="1:64" ht="15">
      <c r="A671" s="5"/>
      <c r="B671" s="5"/>
      <c r="G671" s="5" t="str">
        <f ca="1">IFERROR(__xludf.DUMMYFUNCTION("IFERROR(VLOOKUP(F685,IMPORTRANGE(""https://docs.google.com/spreadsheets/d/1Kvs4KS76FHFqLFIZfrDMff4kP08nblUkihrxltoGBjg/edit#gid=934712705"",""ESENCIAL!A6:BG""),3,FALSE))"),"")</f>
        <v/>
      </c>
      <c r="H671" s="5" t="str">
        <f ca="1">IFERROR(__xludf.DUMMYFUNCTION("IFERROR(VLOOKUP(F685,IMPORTRANGE(""https://docs.google.com/spreadsheets/d/1Kvs4KS76FHFqLFIZfrDMff4kP08nblUkihrxltoGBjg/edit#gid=934712705"",""ESENCIAL!A6:BG""),8,FALSE))"),"")</f>
        <v/>
      </c>
      <c r="L671" s="287"/>
      <c r="U671" s="40"/>
      <c r="AU671" s="41" t="str">
        <f t="shared" si="20"/>
        <v/>
      </c>
      <c r="AV671" s="5" t="str">
        <f ca="1">IFERROR(__xludf.DUMMYFUNCTION("IFERROR(VLOOKUP(E685&amp;F685,IMPORTRANGE(""https://docs.google.com/spreadsheets/d/1Uw7-A9f9R21vMXxHZFNpYNeKFtG8_yji4HS352LGlSQ/edit?pli=1#gid=0"",""1_ACUM!A4:S""),11,FALSE))"),"")</f>
        <v/>
      </c>
      <c r="AW671" s="42" t="str">
        <f ca="1">IFERROR(__xludf.DUMMYFUNCTION("IFERROR(VLOOKUP(F685,IMPORTRANGE(""https://docs.google.com/spreadsheets/d/1Kvs4KS76FHFqLFIZfrDMff4kP08nblUkihrxltoGBjg/edit#gid=934712705"",""ESENCIAL!A6:BG""),15,FALSE))"),"")</f>
        <v/>
      </c>
      <c r="AX671" s="21" t="str">
        <f ca="1">IFERROR(__xludf.DUMMYFUNCTION("IFERROR(VLOOKUP(E685&amp;F685,IMPORTRANGE(""https://docs.google.com/spreadsheets/d/1Uw7-A9f9R21vMXxHZFNpYNeKFtG8_yji4HS352LGlSQ/edit?pli=1#gid=0"",""1_ACUM!A4:S""),12,FALSE))"),"")</f>
        <v/>
      </c>
      <c r="AY671" s="43" t="str">
        <f ca="1">IFERROR(__xludf.DUMMYFUNCTION("IFERROR(VLOOKUP(E685&amp;F685,IMPORTRANGE(""https://docs.google.com/spreadsheets/d/1Uw7-A9f9R21vMXxHZFNpYNeKFtG8_yji4HS352LGlSQ/edit?pli=1#gid=0"",""1_ACUM!A4:S""),13,FALSE))"),"")</f>
        <v/>
      </c>
      <c r="AZ671" s="43" t="str">
        <f ca="1">IFERROR(__xludf.DUMMYFUNCTION("IFERROR(VLOOKUP(E685&amp;F685,IMPORTRANGE(""https://docs.google.com/spreadsheets/d/1Uw7-A9f9R21vMXxHZFNpYNeKFtG8_yji4HS352LGlSQ/edit?pli=1#gid=0"",""1_ACUM!A4:S""),14,FALSE))"),"")</f>
        <v/>
      </c>
      <c r="BA671" s="43" t="str">
        <f ca="1">IFERROR(__xludf.DUMMYFUNCTION("IFERROR(VLOOKUP(E685&amp;F685,IMPORTRANGE(""https://docs.google.com/spreadsheets/d/1Uw7-A9f9R21vMXxHZFNpYNeKFtG8_yji4HS352LGlSQ/edit?pli=1#gid=0"",""1_ACUM!A4:S""),15,FALSE))"),"")</f>
        <v/>
      </c>
      <c r="BB671" s="43" t="str">
        <f ca="1">IFERROR(__xludf.DUMMYFUNCTION("IFERROR(VLOOKUP(E685&amp;F685,IMPORTRANGE(""https://docs.google.com/spreadsheets/d/1Uw7-A9f9R21vMXxHZFNpYNeKFtG8_yji4HS352LGlSQ/edit?pli=1#gid=0"",""1_ACUM!A4:S""),16,FALSE))"),"")</f>
        <v/>
      </c>
      <c r="BC671" s="43" t="str">
        <f ca="1">IFERROR(__xludf.DUMMYFUNCTION("IFERROR(VLOOKUP(E685&amp;F685,IMPORTRANGE(""https://docs.google.com/spreadsheets/d/1Uw7-A9f9R21vMXxHZFNpYNeKFtG8_yji4HS352LGlSQ/edit?pli=1#gid=0"",""1_ACUM!A4:S""),17,FALSE))"),"")</f>
        <v/>
      </c>
      <c r="BD671" s="44" t="str">
        <f ca="1">IFERROR(__xludf.DUMMYFUNCTION("IFERROR(VLOOKUP(E685&amp;F685,IMPORTRANGE(""https://docs.google.com/spreadsheets/d/1Uw7-A9f9R21vMXxHZFNpYNeKFtG8_yji4HS352LGlSQ/edit?pli=1#gid=0"",""1_ACUM!A4:S""),18,FALSE))"),"")</f>
        <v/>
      </c>
      <c r="BE671" s="44" t="str">
        <f ca="1">IFERROR(__xludf.DUMMYFUNCTION("IFERROR(VLOOKUP(E685&amp;F685,IMPORTRANGE(""https://docs.google.com/spreadsheets/d/1Uw7-A9f9R21vMXxHZFNpYNeKFtG8_yji4HS352LGlSQ/edit?pli=1#gid=0"",""1_ACUM!A4:S""),19,FALSE))"),"")</f>
        <v/>
      </c>
      <c r="BF671" s="98" t="str">
        <f ca="1">IFERROR(__xludf.DUMMYFUNCTION("IFERROR(VLOOKUP(F685,IMPORTRANGE(""https://docs.google.com/spreadsheets/d/1Kvs4KS76FHFqLFIZfrDMff4kP08nblUkihrxltoGBjg/edit#gid=934712705"",""ESENCIAL!A6:BG""),5,FALSE))"),"")</f>
        <v/>
      </c>
      <c r="BG671" s="98" t="str">
        <f t="shared" si="21"/>
        <v/>
      </c>
      <c r="BH671" s="99" t="str">
        <f t="shared" si="22"/>
        <v/>
      </c>
      <c r="BI671" s="100" t="str">
        <f ca="1">IFERROR(__xludf.DUMMYFUNCTION("IFERROR(VLOOKUP(F685,IMPORTRANGE(""https://docs.google.com/spreadsheets/d/1Kvs4KS76FHFqLFIZfrDMff4kP08nblUkihrxltoGBjg/edit#gid=934712705"",""ESENCIAL!A6:BG""),2,FALSE))"),"")</f>
        <v/>
      </c>
      <c r="BJ671" s="19" t="str">
        <f t="shared" si="23"/>
        <v/>
      </c>
      <c r="BK671" s="100"/>
      <c r="BL671" s="100"/>
    </row>
    <row r="672" spans="1:64" ht="15">
      <c r="A672" s="5"/>
      <c r="B672" s="5"/>
      <c r="G672" s="5" t="str">
        <f ca="1">IFERROR(__xludf.DUMMYFUNCTION("IFERROR(VLOOKUP(F686,IMPORTRANGE(""https://docs.google.com/spreadsheets/d/1Kvs4KS76FHFqLFIZfrDMff4kP08nblUkihrxltoGBjg/edit#gid=934712705"",""ESENCIAL!A6:BG""),3,FALSE))"),"")</f>
        <v/>
      </c>
      <c r="H672" s="5" t="str">
        <f ca="1">IFERROR(__xludf.DUMMYFUNCTION("IFERROR(VLOOKUP(F686,IMPORTRANGE(""https://docs.google.com/spreadsheets/d/1Kvs4KS76FHFqLFIZfrDMff4kP08nblUkihrxltoGBjg/edit#gid=934712705"",""ESENCIAL!A6:BG""),8,FALSE))"),"")</f>
        <v/>
      </c>
      <c r="L672" s="287"/>
      <c r="U672" s="40"/>
      <c r="AU672" s="41" t="str">
        <f t="shared" si="20"/>
        <v/>
      </c>
      <c r="AV672" s="5" t="str">
        <f ca="1">IFERROR(__xludf.DUMMYFUNCTION("IFERROR(VLOOKUP(E686&amp;F686,IMPORTRANGE(""https://docs.google.com/spreadsheets/d/1Uw7-A9f9R21vMXxHZFNpYNeKFtG8_yji4HS352LGlSQ/edit?pli=1#gid=0"",""1_ACUM!A4:S""),11,FALSE))"),"")</f>
        <v/>
      </c>
      <c r="AW672" s="42" t="str">
        <f ca="1">IFERROR(__xludf.DUMMYFUNCTION("IFERROR(VLOOKUP(F686,IMPORTRANGE(""https://docs.google.com/spreadsheets/d/1Kvs4KS76FHFqLFIZfrDMff4kP08nblUkihrxltoGBjg/edit#gid=934712705"",""ESENCIAL!A6:BG""),15,FALSE))"),"")</f>
        <v/>
      </c>
      <c r="AX672" s="21" t="str">
        <f ca="1">IFERROR(__xludf.DUMMYFUNCTION("IFERROR(VLOOKUP(E686&amp;F686,IMPORTRANGE(""https://docs.google.com/spreadsheets/d/1Uw7-A9f9R21vMXxHZFNpYNeKFtG8_yji4HS352LGlSQ/edit?pli=1#gid=0"",""1_ACUM!A4:S""),12,FALSE))"),"")</f>
        <v/>
      </c>
      <c r="AY672" s="43" t="str">
        <f ca="1">IFERROR(__xludf.DUMMYFUNCTION("IFERROR(VLOOKUP(E686&amp;F686,IMPORTRANGE(""https://docs.google.com/spreadsheets/d/1Uw7-A9f9R21vMXxHZFNpYNeKFtG8_yji4HS352LGlSQ/edit?pli=1#gid=0"",""1_ACUM!A4:S""),13,FALSE))"),"")</f>
        <v/>
      </c>
      <c r="AZ672" s="43" t="str">
        <f ca="1">IFERROR(__xludf.DUMMYFUNCTION("IFERROR(VLOOKUP(E686&amp;F686,IMPORTRANGE(""https://docs.google.com/spreadsheets/d/1Uw7-A9f9R21vMXxHZFNpYNeKFtG8_yji4HS352LGlSQ/edit?pli=1#gid=0"",""1_ACUM!A4:S""),14,FALSE))"),"")</f>
        <v/>
      </c>
      <c r="BA672" s="43" t="str">
        <f ca="1">IFERROR(__xludf.DUMMYFUNCTION("IFERROR(VLOOKUP(E686&amp;F686,IMPORTRANGE(""https://docs.google.com/spreadsheets/d/1Uw7-A9f9R21vMXxHZFNpYNeKFtG8_yji4HS352LGlSQ/edit?pli=1#gid=0"",""1_ACUM!A4:S""),15,FALSE))"),"")</f>
        <v/>
      </c>
      <c r="BB672" s="43" t="str">
        <f ca="1">IFERROR(__xludf.DUMMYFUNCTION("IFERROR(VLOOKUP(E686&amp;F686,IMPORTRANGE(""https://docs.google.com/spreadsheets/d/1Uw7-A9f9R21vMXxHZFNpYNeKFtG8_yji4HS352LGlSQ/edit?pli=1#gid=0"",""1_ACUM!A4:S""),16,FALSE))"),"")</f>
        <v/>
      </c>
      <c r="BC672" s="43" t="str">
        <f ca="1">IFERROR(__xludf.DUMMYFUNCTION("IFERROR(VLOOKUP(E686&amp;F686,IMPORTRANGE(""https://docs.google.com/spreadsheets/d/1Uw7-A9f9R21vMXxHZFNpYNeKFtG8_yji4HS352LGlSQ/edit?pli=1#gid=0"",""1_ACUM!A4:S""),17,FALSE))"),"")</f>
        <v/>
      </c>
      <c r="BD672" s="44" t="str">
        <f ca="1">IFERROR(__xludf.DUMMYFUNCTION("IFERROR(VLOOKUP(E686&amp;F686,IMPORTRANGE(""https://docs.google.com/spreadsheets/d/1Uw7-A9f9R21vMXxHZFNpYNeKFtG8_yji4HS352LGlSQ/edit?pli=1#gid=0"",""1_ACUM!A4:S""),18,FALSE))"),"")</f>
        <v/>
      </c>
      <c r="BE672" s="44" t="str">
        <f ca="1">IFERROR(__xludf.DUMMYFUNCTION("IFERROR(VLOOKUP(E686&amp;F686,IMPORTRANGE(""https://docs.google.com/spreadsheets/d/1Uw7-A9f9R21vMXxHZFNpYNeKFtG8_yji4HS352LGlSQ/edit?pli=1#gid=0"",""1_ACUM!A4:S""),19,FALSE))"),"")</f>
        <v/>
      </c>
      <c r="BF672" s="98" t="str">
        <f ca="1">IFERROR(__xludf.DUMMYFUNCTION("IFERROR(VLOOKUP(F686,IMPORTRANGE(""https://docs.google.com/spreadsheets/d/1Kvs4KS76FHFqLFIZfrDMff4kP08nblUkihrxltoGBjg/edit#gid=934712705"",""ESENCIAL!A6:BG""),5,FALSE))"),"")</f>
        <v/>
      </c>
      <c r="BG672" s="98" t="str">
        <f t="shared" si="21"/>
        <v/>
      </c>
      <c r="BH672" s="99" t="str">
        <f t="shared" si="22"/>
        <v/>
      </c>
      <c r="BI672" s="100" t="str">
        <f ca="1">IFERROR(__xludf.DUMMYFUNCTION("IFERROR(VLOOKUP(F686,IMPORTRANGE(""https://docs.google.com/spreadsheets/d/1Kvs4KS76FHFqLFIZfrDMff4kP08nblUkihrxltoGBjg/edit#gid=934712705"",""ESENCIAL!A6:BG""),2,FALSE))"),"")</f>
        <v/>
      </c>
      <c r="BJ672" s="19" t="str">
        <f t="shared" si="23"/>
        <v/>
      </c>
      <c r="BK672" s="100"/>
      <c r="BL672" s="100"/>
    </row>
    <row r="673" spans="1:64" ht="15">
      <c r="A673" s="5"/>
      <c r="B673" s="5"/>
      <c r="G673" s="5" t="str">
        <f ca="1">IFERROR(__xludf.DUMMYFUNCTION("IFERROR(VLOOKUP(F687,IMPORTRANGE(""https://docs.google.com/spreadsheets/d/1Kvs4KS76FHFqLFIZfrDMff4kP08nblUkihrxltoGBjg/edit#gid=934712705"",""ESENCIAL!A6:BG""),3,FALSE))"),"")</f>
        <v/>
      </c>
      <c r="H673" s="5" t="str">
        <f ca="1">IFERROR(__xludf.DUMMYFUNCTION("IFERROR(VLOOKUP(F687,IMPORTRANGE(""https://docs.google.com/spreadsheets/d/1Kvs4KS76FHFqLFIZfrDMff4kP08nblUkihrxltoGBjg/edit#gid=934712705"",""ESENCIAL!A6:BG""),8,FALSE))"),"")</f>
        <v/>
      </c>
      <c r="L673" s="287"/>
      <c r="U673" s="40"/>
      <c r="AU673" s="41" t="str">
        <f t="shared" si="20"/>
        <v/>
      </c>
      <c r="AV673" s="5" t="str">
        <f ca="1">IFERROR(__xludf.DUMMYFUNCTION("IFERROR(VLOOKUP(E687&amp;F687,IMPORTRANGE(""https://docs.google.com/spreadsheets/d/1Uw7-A9f9R21vMXxHZFNpYNeKFtG8_yji4HS352LGlSQ/edit?pli=1#gid=0"",""1_ACUM!A4:S""),11,FALSE))"),"")</f>
        <v/>
      </c>
      <c r="AW673" s="42" t="str">
        <f ca="1">IFERROR(__xludf.DUMMYFUNCTION("IFERROR(VLOOKUP(F687,IMPORTRANGE(""https://docs.google.com/spreadsheets/d/1Kvs4KS76FHFqLFIZfrDMff4kP08nblUkihrxltoGBjg/edit#gid=934712705"",""ESENCIAL!A6:BG""),15,FALSE))"),"")</f>
        <v/>
      </c>
      <c r="AX673" s="21" t="str">
        <f ca="1">IFERROR(__xludf.DUMMYFUNCTION("IFERROR(VLOOKUP(E687&amp;F687,IMPORTRANGE(""https://docs.google.com/spreadsheets/d/1Uw7-A9f9R21vMXxHZFNpYNeKFtG8_yji4HS352LGlSQ/edit?pli=1#gid=0"",""1_ACUM!A4:S""),12,FALSE))"),"")</f>
        <v/>
      </c>
      <c r="AY673" s="43" t="str">
        <f ca="1">IFERROR(__xludf.DUMMYFUNCTION("IFERROR(VLOOKUP(E687&amp;F687,IMPORTRANGE(""https://docs.google.com/spreadsheets/d/1Uw7-A9f9R21vMXxHZFNpYNeKFtG8_yji4HS352LGlSQ/edit?pli=1#gid=0"",""1_ACUM!A4:S""),13,FALSE))"),"")</f>
        <v/>
      </c>
      <c r="AZ673" s="43" t="str">
        <f ca="1">IFERROR(__xludf.DUMMYFUNCTION("IFERROR(VLOOKUP(E687&amp;F687,IMPORTRANGE(""https://docs.google.com/spreadsheets/d/1Uw7-A9f9R21vMXxHZFNpYNeKFtG8_yji4HS352LGlSQ/edit?pli=1#gid=0"",""1_ACUM!A4:S""),14,FALSE))"),"")</f>
        <v/>
      </c>
      <c r="BA673" s="43" t="str">
        <f ca="1">IFERROR(__xludf.DUMMYFUNCTION("IFERROR(VLOOKUP(E687&amp;F687,IMPORTRANGE(""https://docs.google.com/spreadsheets/d/1Uw7-A9f9R21vMXxHZFNpYNeKFtG8_yji4HS352LGlSQ/edit?pli=1#gid=0"",""1_ACUM!A4:S""),15,FALSE))"),"")</f>
        <v/>
      </c>
      <c r="BB673" s="43" t="str">
        <f ca="1">IFERROR(__xludf.DUMMYFUNCTION("IFERROR(VLOOKUP(E687&amp;F687,IMPORTRANGE(""https://docs.google.com/spreadsheets/d/1Uw7-A9f9R21vMXxHZFNpYNeKFtG8_yji4HS352LGlSQ/edit?pli=1#gid=0"",""1_ACUM!A4:S""),16,FALSE))"),"")</f>
        <v/>
      </c>
      <c r="BC673" s="43" t="str">
        <f ca="1">IFERROR(__xludf.DUMMYFUNCTION("IFERROR(VLOOKUP(E687&amp;F687,IMPORTRANGE(""https://docs.google.com/spreadsheets/d/1Uw7-A9f9R21vMXxHZFNpYNeKFtG8_yji4HS352LGlSQ/edit?pli=1#gid=0"",""1_ACUM!A4:S""),17,FALSE))"),"")</f>
        <v/>
      </c>
      <c r="BD673" s="44" t="str">
        <f ca="1">IFERROR(__xludf.DUMMYFUNCTION("IFERROR(VLOOKUP(E687&amp;F687,IMPORTRANGE(""https://docs.google.com/spreadsheets/d/1Uw7-A9f9R21vMXxHZFNpYNeKFtG8_yji4HS352LGlSQ/edit?pli=1#gid=0"",""1_ACUM!A4:S""),18,FALSE))"),"")</f>
        <v/>
      </c>
      <c r="BE673" s="44" t="str">
        <f ca="1">IFERROR(__xludf.DUMMYFUNCTION("IFERROR(VLOOKUP(E687&amp;F687,IMPORTRANGE(""https://docs.google.com/spreadsheets/d/1Uw7-A9f9R21vMXxHZFNpYNeKFtG8_yji4HS352LGlSQ/edit?pli=1#gid=0"",""1_ACUM!A4:S""),19,FALSE))"),"")</f>
        <v/>
      </c>
      <c r="BF673" s="98" t="str">
        <f ca="1">IFERROR(__xludf.DUMMYFUNCTION("IFERROR(VLOOKUP(F687,IMPORTRANGE(""https://docs.google.com/spreadsheets/d/1Kvs4KS76FHFqLFIZfrDMff4kP08nblUkihrxltoGBjg/edit#gid=934712705"",""ESENCIAL!A6:BG""),5,FALSE))"),"")</f>
        <v/>
      </c>
      <c r="BG673" s="98" t="str">
        <f t="shared" si="21"/>
        <v/>
      </c>
      <c r="BH673" s="99" t="str">
        <f t="shared" si="22"/>
        <v/>
      </c>
      <c r="BI673" s="100" t="str">
        <f ca="1">IFERROR(__xludf.DUMMYFUNCTION("IFERROR(VLOOKUP(F687,IMPORTRANGE(""https://docs.google.com/spreadsheets/d/1Kvs4KS76FHFqLFIZfrDMff4kP08nblUkihrxltoGBjg/edit#gid=934712705"",""ESENCIAL!A6:BG""),2,FALSE))"),"")</f>
        <v/>
      </c>
      <c r="BJ673" s="19" t="str">
        <f t="shared" si="23"/>
        <v/>
      </c>
      <c r="BK673" s="100"/>
      <c r="BL673" s="100"/>
    </row>
    <row r="674" spans="1:64" ht="15">
      <c r="A674" s="5"/>
      <c r="B674" s="5"/>
      <c r="G674" s="5" t="str">
        <f ca="1">IFERROR(__xludf.DUMMYFUNCTION("IFERROR(VLOOKUP(F688,IMPORTRANGE(""https://docs.google.com/spreadsheets/d/1Kvs4KS76FHFqLFIZfrDMff4kP08nblUkihrxltoGBjg/edit#gid=934712705"",""ESENCIAL!A6:BG""),3,FALSE))"),"")</f>
        <v/>
      </c>
      <c r="H674" s="5" t="str">
        <f ca="1">IFERROR(__xludf.DUMMYFUNCTION("IFERROR(VLOOKUP(F688,IMPORTRANGE(""https://docs.google.com/spreadsheets/d/1Kvs4KS76FHFqLFIZfrDMff4kP08nblUkihrxltoGBjg/edit#gid=934712705"",""ESENCIAL!A6:BG""),8,FALSE))"),"")</f>
        <v/>
      </c>
      <c r="L674" s="287"/>
      <c r="U674" s="40"/>
      <c r="AU674" s="41" t="str">
        <f t="shared" si="20"/>
        <v/>
      </c>
      <c r="AV674" s="5" t="str">
        <f ca="1">IFERROR(__xludf.DUMMYFUNCTION("IFERROR(VLOOKUP(E688&amp;F688,IMPORTRANGE(""https://docs.google.com/spreadsheets/d/1Uw7-A9f9R21vMXxHZFNpYNeKFtG8_yji4HS352LGlSQ/edit?pli=1#gid=0"",""1_ACUM!A4:S""),11,FALSE))"),"")</f>
        <v/>
      </c>
      <c r="AW674" s="42" t="str">
        <f ca="1">IFERROR(__xludf.DUMMYFUNCTION("IFERROR(VLOOKUP(F688,IMPORTRANGE(""https://docs.google.com/spreadsheets/d/1Kvs4KS76FHFqLFIZfrDMff4kP08nblUkihrxltoGBjg/edit#gid=934712705"",""ESENCIAL!A6:BG""),15,FALSE))"),"")</f>
        <v/>
      </c>
      <c r="AX674" s="21" t="str">
        <f ca="1">IFERROR(__xludf.DUMMYFUNCTION("IFERROR(VLOOKUP(E688&amp;F688,IMPORTRANGE(""https://docs.google.com/spreadsheets/d/1Uw7-A9f9R21vMXxHZFNpYNeKFtG8_yji4HS352LGlSQ/edit?pli=1#gid=0"",""1_ACUM!A4:S""),12,FALSE))"),"")</f>
        <v/>
      </c>
      <c r="AY674" s="43" t="str">
        <f ca="1">IFERROR(__xludf.DUMMYFUNCTION("IFERROR(VLOOKUP(E688&amp;F688,IMPORTRANGE(""https://docs.google.com/spreadsheets/d/1Uw7-A9f9R21vMXxHZFNpYNeKFtG8_yji4HS352LGlSQ/edit?pli=1#gid=0"",""1_ACUM!A4:S""),13,FALSE))"),"")</f>
        <v/>
      </c>
      <c r="AZ674" s="43" t="str">
        <f ca="1">IFERROR(__xludf.DUMMYFUNCTION("IFERROR(VLOOKUP(E688&amp;F688,IMPORTRANGE(""https://docs.google.com/spreadsheets/d/1Uw7-A9f9R21vMXxHZFNpYNeKFtG8_yji4HS352LGlSQ/edit?pli=1#gid=0"",""1_ACUM!A4:S""),14,FALSE))"),"")</f>
        <v/>
      </c>
      <c r="BA674" s="43" t="str">
        <f ca="1">IFERROR(__xludf.DUMMYFUNCTION("IFERROR(VLOOKUP(E688&amp;F688,IMPORTRANGE(""https://docs.google.com/spreadsheets/d/1Uw7-A9f9R21vMXxHZFNpYNeKFtG8_yji4HS352LGlSQ/edit?pli=1#gid=0"",""1_ACUM!A4:S""),15,FALSE))"),"")</f>
        <v/>
      </c>
      <c r="BB674" s="43" t="str">
        <f ca="1">IFERROR(__xludf.DUMMYFUNCTION("IFERROR(VLOOKUP(E688&amp;F688,IMPORTRANGE(""https://docs.google.com/spreadsheets/d/1Uw7-A9f9R21vMXxHZFNpYNeKFtG8_yji4HS352LGlSQ/edit?pli=1#gid=0"",""1_ACUM!A4:S""),16,FALSE))"),"")</f>
        <v/>
      </c>
      <c r="BC674" s="43" t="str">
        <f ca="1">IFERROR(__xludf.DUMMYFUNCTION("IFERROR(VLOOKUP(E688&amp;F688,IMPORTRANGE(""https://docs.google.com/spreadsheets/d/1Uw7-A9f9R21vMXxHZFNpYNeKFtG8_yji4HS352LGlSQ/edit?pli=1#gid=0"",""1_ACUM!A4:S""),17,FALSE))"),"")</f>
        <v/>
      </c>
      <c r="BD674" s="44" t="str">
        <f ca="1">IFERROR(__xludf.DUMMYFUNCTION("IFERROR(VLOOKUP(E688&amp;F688,IMPORTRANGE(""https://docs.google.com/spreadsheets/d/1Uw7-A9f9R21vMXxHZFNpYNeKFtG8_yji4HS352LGlSQ/edit?pli=1#gid=0"",""1_ACUM!A4:S""),18,FALSE))"),"")</f>
        <v/>
      </c>
      <c r="BE674" s="44" t="str">
        <f ca="1">IFERROR(__xludf.DUMMYFUNCTION("IFERROR(VLOOKUP(E688&amp;F688,IMPORTRANGE(""https://docs.google.com/spreadsheets/d/1Uw7-A9f9R21vMXxHZFNpYNeKFtG8_yji4HS352LGlSQ/edit?pli=1#gid=0"",""1_ACUM!A4:S""),19,FALSE))"),"")</f>
        <v/>
      </c>
      <c r="BF674" s="98" t="str">
        <f ca="1">IFERROR(__xludf.DUMMYFUNCTION("IFERROR(VLOOKUP(F688,IMPORTRANGE(""https://docs.google.com/spreadsheets/d/1Kvs4KS76FHFqLFIZfrDMff4kP08nblUkihrxltoGBjg/edit#gid=934712705"",""ESENCIAL!A6:BG""),5,FALSE))"),"")</f>
        <v/>
      </c>
      <c r="BG674" s="98" t="str">
        <f t="shared" si="21"/>
        <v/>
      </c>
      <c r="BH674" s="99" t="str">
        <f t="shared" si="22"/>
        <v/>
      </c>
      <c r="BI674" s="100" t="str">
        <f ca="1">IFERROR(__xludf.DUMMYFUNCTION("IFERROR(VLOOKUP(F688,IMPORTRANGE(""https://docs.google.com/spreadsheets/d/1Kvs4KS76FHFqLFIZfrDMff4kP08nblUkihrxltoGBjg/edit#gid=934712705"",""ESENCIAL!A6:BG""),2,FALSE))"),"")</f>
        <v/>
      </c>
      <c r="BJ674" s="19" t="str">
        <f t="shared" si="23"/>
        <v/>
      </c>
      <c r="BK674" s="100"/>
      <c r="BL674" s="100"/>
    </row>
    <row r="675" spans="1:64" ht="15">
      <c r="A675" s="5"/>
      <c r="B675" s="5"/>
      <c r="G675" s="5" t="str">
        <f ca="1">IFERROR(__xludf.DUMMYFUNCTION("IFERROR(VLOOKUP(F689,IMPORTRANGE(""https://docs.google.com/spreadsheets/d/1Kvs4KS76FHFqLFIZfrDMff4kP08nblUkihrxltoGBjg/edit#gid=934712705"",""ESENCIAL!A6:BG""),3,FALSE))"),"")</f>
        <v/>
      </c>
      <c r="H675" s="5" t="str">
        <f ca="1">IFERROR(__xludf.DUMMYFUNCTION("IFERROR(VLOOKUP(F689,IMPORTRANGE(""https://docs.google.com/spreadsheets/d/1Kvs4KS76FHFqLFIZfrDMff4kP08nblUkihrxltoGBjg/edit#gid=934712705"",""ESENCIAL!A6:BG""),8,FALSE))"),"")</f>
        <v/>
      </c>
      <c r="L675" s="287"/>
      <c r="U675" s="40"/>
      <c r="AU675" s="41" t="str">
        <f t="shared" si="20"/>
        <v/>
      </c>
      <c r="AV675" s="5" t="str">
        <f ca="1">IFERROR(__xludf.DUMMYFUNCTION("IFERROR(VLOOKUP(E689&amp;F689,IMPORTRANGE(""https://docs.google.com/spreadsheets/d/1Uw7-A9f9R21vMXxHZFNpYNeKFtG8_yji4HS352LGlSQ/edit?pli=1#gid=0"",""1_ACUM!A4:S""),11,FALSE))"),"")</f>
        <v/>
      </c>
      <c r="AW675" s="42" t="str">
        <f ca="1">IFERROR(__xludf.DUMMYFUNCTION("IFERROR(VLOOKUP(F689,IMPORTRANGE(""https://docs.google.com/spreadsheets/d/1Kvs4KS76FHFqLFIZfrDMff4kP08nblUkihrxltoGBjg/edit#gid=934712705"",""ESENCIAL!A6:BG""),15,FALSE))"),"")</f>
        <v/>
      </c>
      <c r="AX675" s="21" t="str">
        <f ca="1">IFERROR(__xludf.DUMMYFUNCTION("IFERROR(VLOOKUP(E689&amp;F689,IMPORTRANGE(""https://docs.google.com/spreadsheets/d/1Uw7-A9f9R21vMXxHZFNpYNeKFtG8_yji4HS352LGlSQ/edit?pli=1#gid=0"",""1_ACUM!A4:S""),12,FALSE))"),"")</f>
        <v/>
      </c>
      <c r="AY675" s="43" t="str">
        <f ca="1">IFERROR(__xludf.DUMMYFUNCTION("IFERROR(VLOOKUP(E689&amp;F689,IMPORTRANGE(""https://docs.google.com/spreadsheets/d/1Uw7-A9f9R21vMXxHZFNpYNeKFtG8_yji4HS352LGlSQ/edit?pli=1#gid=0"",""1_ACUM!A4:S""),13,FALSE))"),"")</f>
        <v/>
      </c>
      <c r="AZ675" s="43" t="str">
        <f ca="1">IFERROR(__xludf.DUMMYFUNCTION("IFERROR(VLOOKUP(E689&amp;F689,IMPORTRANGE(""https://docs.google.com/spreadsheets/d/1Uw7-A9f9R21vMXxHZFNpYNeKFtG8_yji4HS352LGlSQ/edit?pli=1#gid=0"",""1_ACUM!A4:S""),14,FALSE))"),"")</f>
        <v/>
      </c>
      <c r="BA675" s="43" t="str">
        <f ca="1">IFERROR(__xludf.DUMMYFUNCTION("IFERROR(VLOOKUP(E689&amp;F689,IMPORTRANGE(""https://docs.google.com/spreadsheets/d/1Uw7-A9f9R21vMXxHZFNpYNeKFtG8_yji4HS352LGlSQ/edit?pli=1#gid=0"",""1_ACUM!A4:S""),15,FALSE))"),"")</f>
        <v/>
      </c>
      <c r="BB675" s="43" t="str">
        <f ca="1">IFERROR(__xludf.DUMMYFUNCTION("IFERROR(VLOOKUP(E689&amp;F689,IMPORTRANGE(""https://docs.google.com/spreadsheets/d/1Uw7-A9f9R21vMXxHZFNpYNeKFtG8_yji4HS352LGlSQ/edit?pli=1#gid=0"",""1_ACUM!A4:S""),16,FALSE))"),"")</f>
        <v/>
      </c>
      <c r="BC675" s="43" t="str">
        <f ca="1">IFERROR(__xludf.DUMMYFUNCTION("IFERROR(VLOOKUP(E689&amp;F689,IMPORTRANGE(""https://docs.google.com/spreadsheets/d/1Uw7-A9f9R21vMXxHZFNpYNeKFtG8_yji4HS352LGlSQ/edit?pli=1#gid=0"",""1_ACUM!A4:S""),17,FALSE))"),"")</f>
        <v/>
      </c>
      <c r="BD675" s="44" t="str">
        <f ca="1">IFERROR(__xludf.DUMMYFUNCTION("IFERROR(VLOOKUP(E689&amp;F689,IMPORTRANGE(""https://docs.google.com/spreadsheets/d/1Uw7-A9f9R21vMXxHZFNpYNeKFtG8_yji4HS352LGlSQ/edit?pli=1#gid=0"",""1_ACUM!A4:S""),18,FALSE))"),"")</f>
        <v/>
      </c>
      <c r="BE675" s="44" t="str">
        <f ca="1">IFERROR(__xludf.DUMMYFUNCTION("IFERROR(VLOOKUP(E689&amp;F689,IMPORTRANGE(""https://docs.google.com/spreadsheets/d/1Uw7-A9f9R21vMXxHZFNpYNeKFtG8_yji4HS352LGlSQ/edit?pli=1#gid=0"",""1_ACUM!A4:S""),19,FALSE))"),"")</f>
        <v/>
      </c>
      <c r="BF675" s="98" t="str">
        <f ca="1">IFERROR(__xludf.DUMMYFUNCTION("IFERROR(VLOOKUP(F689,IMPORTRANGE(""https://docs.google.com/spreadsheets/d/1Kvs4KS76FHFqLFIZfrDMff4kP08nblUkihrxltoGBjg/edit#gid=934712705"",""ESENCIAL!A6:BG""),5,FALSE))"),"")</f>
        <v/>
      </c>
      <c r="BG675" s="98" t="str">
        <f t="shared" si="21"/>
        <v/>
      </c>
      <c r="BH675" s="99" t="str">
        <f t="shared" si="22"/>
        <v/>
      </c>
      <c r="BI675" s="100" t="str">
        <f ca="1">IFERROR(__xludf.DUMMYFUNCTION("IFERROR(VLOOKUP(F689,IMPORTRANGE(""https://docs.google.com/spreadsheets/d/1Kvs4KS76FHFqLFIZfrDMff4kP08nblUkihrxltoGBjg/edit#gid=934712705"",""ESENCIAL!A6:BG""),2,FALSE))"),"")</f>
        <v/>
      </c>
      <c r="BJ675" s="19" t="str">
        <f t="shared" si="23"/>
        <v/>
      </c>
      <c r="BK675" s="100"/>
      <c r="BL675" s="100"/>
    </row>
    <row r="676" spans="1:64" ht="15">
      <c r="A676" s="5"/>
      <c r="B676" s="5"/>
      <c r="G676" s="5" t="str">
        <f ca="1">IFERROR(__xludf.DUMMYFUNCTION("IFERROR(VLOOKUP(F690,IMPORTRANGE(""https://docs.google.com/spreadsheets/d/1Kvs4KS76FHFqLFIZfrDMff4kP08nblUkihrxltoGBjg/edit#gid=934712705"",""ESENCIAL!A6:BG""),3,FALSE))"),"")</f>
        <v/>
      </c>
      <c r="H676" s="5" t="str">
        <f ca="1">IFERROR(__xludf.DUMMYFUNCTION("IFERROR(VLOOKUP(F690,IMPORTRANGE(""https://docs.google.com/spreadsheets/d/1Kvs4KS76FHFqLFIZfrDMff4kP08nblUkihrxltoGBjg/edit#gid=934712705"",""ESENCIAL!A6:BG""),8,FALSE))"),"")</f>
        <v/>
      </c>
      <c r="L676" s="287"/>
      <c r="U676" s="40"/>
      <c r="AU676" s="41" t="str">
        <f t="shared" si="20"/>
        <v/>
      </c>
      <c r="AV676" s="5" t="str">
        <f ca="1">IFERROR(__xludf.DUMMYFUNCTION("IFERROR(VLOOKUP(E690&amp;F690,IMPORTRANGE(""https://docs.google.com/spreadsheets/d/1Uw7-A9f9R21vMXxHZFNpYNeKFtG8_yji4HS352LGlSQ/edit?pli=1#gid=0"",""1_ACUM!A4:S""),11,FALSE))"),"")</f>
        <v/>
      </c>
      <c r="AW676" s="42" t="str">
        <f ca="1">IFERROR(__xludf.DUMMYFUNCTION("IFERROR(VLOOKUP(F690,IMPORTRANGE(""https://docs.google.com/spreadsheets/d/1Kvs4KS76FHFqLFIZfrDMff4kP08nblUkihrxltoGBjg/edit#gid=934712705"",""ESENCIAL!A6:BG""),15,FALSE))"),"")</f>
        <v/>
      </c>
      <c r="AX676" s="21" t="str">
        <f ca="1">IFERROR(__xludf.DUMMYFUNCTION("IFERROR(VLOOKUP(E690&amp;F690,IMPORTRANGE(""https://docs.google.com/spreadsheets/d/1Uw7-A9f9R21vMXxHZFNpYNeKFtG8_yji4HS352LGlSQ/edit?pli=1#gid=0"",""1_ACUM!A4:S""),12,FALSE))"),"")</f>
        <v/>
      </c>
      <c r="AY676" s="43" t="str">
        <f ca="1">IFERROR(__xludf.DUMMYFUNCTION("IFERROR(VLOOKUP(E690&amp;F690,IMPORTRANGE(""https://docs.google.com/spreadsheets/d/1Uw7-A9f9R21vMXxHZFNpYNeKFtG8_yji4HS352LGlSQ/edit?pli=1#gid=0"",""1_ACUM!A4:S""),13,FALSE))"),"")</f>
        <v/>
      </c>
      <c r="AZ676" s="43" t="str">
        <f ca="1">IFERROR(__xludf.DUMMYFUNCTION("IFERROR(VLOOKUP(E690&amp;F690,IMPORTRANGE(""https://docs.google.com/spreadsheets/d/1Uw7-A9f9R21vMXxHZFNpYNeKFtG8_yji4HS352LGlSQ/edit?pli=1#gid=0"",""1_ACUM!A4:S""),14,FALSE))"),"")</f>
        <v/>
      </c>
      <c r="BA676" s="43" t="str">
        <f ca="1">IFERROR(__xludf.DUMMYFUNCTION("IFERROR(VLOOKUP(E690&amp;F690,IMPORTRANGE(""https://docs.google.com/spreadsheets/d/1Uw7-A9f9R21vMXxHZFNpYNeKFtG8_yji4HS352LGlSQ/edit?pli=1#gid=0"",""1_ACUM!A4:S""),15,FALSE))"),"")</f>
        <v/>
      </c>
      <c r="BB676" s="43" t="str">
        <f ca="1">IFERROR(__xludf.DUMMYFUNCTION("IFERROR(VLOOKUP(E690&amp;F690,IMPORTRANGE(""https://docs.google.com/spreadsheets/d/1Uw7-A9f9R21vMXxHZFNpYNeKFtG8_yji4HS352LGlSQ/edit?pli=1#gid=0"",""1_ACUM!A4:S""),16,FALSE))"),"")</f>
        <v/>
      </c>
      <c r="BC676" s="43" t="str">
        <f ca="1">IFERROR(__xludf.DUMMYFUNCTION("IFERROR(VLOOKUP(E690&amp;F690,IMPORTRANGE(""https://docs.google.com/spreadsheets/d/1Uw7-A9f9R21vMXxHZFNpYNeKFtG8_yji4HS352LGlSQ/edit?pli=1#gid=0"",""1_ACUM!A4:S""),17,FALSE))"),"")</f>
        <v/>
      </c>
      <c r="BD676" s="44" t="str">
        <f ca="1">IFERROR(__xludf.DUMMYFUNCTION("IFERROR(VLOOKUP(E690&amp;F690,IMPORTRANGE(""https://docs.google.com/spreadsheets/d/1Uw7-A9f9R21vMXxHZFNpYNeKFtG8_yji4HS352LGlSQ/edit?pli=1#gid=0"",""1_ACUM!A4:S""),18,FALSE))"),"")</f>
        <v/>
      </c>
      <c r="BE676" s="44" t="str">
        <f ca="1">IFERROR(__xludf.DUMMYFUNCTION("IFERROR(VLOOKUP(E690&amp;F690,IMPORTRANGE(""https://docs.google.com/spreadsheets/d/1Uw7-A9f9R21vMXxHZFNpYNeKFtG8_yji4HS352LGlSQ/edit?pli=1#gid=0"",""1_ACUM!A4:S""),19,FALSE))"),"")</f>
        <v/>
      </c>
      <c r="BF676" s="98" t="str">
        <f ca="1">IFERROR(__xludf.DUMMYFUNCTION("IFERROR(VLOOKUP(F690,IMPORTRANGE(""https://docs.google.com/spreadsheets/d/1Kvs4KS76FHFqLFIZfrDMff4kP08nblUkihrxltoGBjg/edit#gid=934712705"",""ESENCIAL!A6:BG""),5,FALSE))"),"")</f>
        <v/>
      </c>
      <c r="BG676" s="98" t="str">
        <f t="shared" si="21"/>
        <v/>
      </c>
      <c r="BH676" s="99" t="str">
        <f t="shared" si="22"/>
        <v/>
      </c>
      <c r="BI676" s="100" t="str">
        <f ca="1">IFERROR(__xludf.DUMMYFUNCTION("IFERROR(VLOOKUP(F690,IMPORTRANGE(""https://docs.google.com/spreadsheets/d/1Kvs4KS76FHFqLFIZfrDMff4kP08nblUkihrxltoGBjg/edit#gid=934712705"",""ESENCIAL!A6:BG""),2,FALSE))"),"")</f>
        <v/>
      </c>
      <c r="BJ676" s="19" t="str">
        <f t="shared" si="23"/>
        <v/>
      </c>
      <c r="BK676" s="100"/>
      <c r="BL676" s="100"/>
    </row>
    <row r="677" spans="1:64" ht="15">
      <c r="A677" s="5"/>
      <c r="B677" s="5"/>
      <c r="G677" s="5" t="str">
        <f ca="1">IFERROR(__xludf.DUMMYFUNCTION("IFERROR(VLOOKUP(F691,IMPORTRANGE(""https://docs.google.com/spreadsheets/d/1Kvs4KS76FHFqLFIZfrDMff4kP08nblUkihrxltoGBjg/edit#gid=934712705"",""ESENCIAL!A6:BG""),3,FALSE))"),"")</f>
        <v/>
      </c>
      <c r="H677" s="5" t="str">
        <f ca="1">IFERROR(__xludf.DUMMYFUNCTION("IFERROR(VLOOKUP(F691,IMPORTRANGE(""https://docs.google.com/spreadsheets/d/1Kvs4KS76FHFqLFIZfrDMff4kP08nblUkihrxltoGBjg/edit#gid=934712705"",""ESENCIAL!A6:BG""),8,FALSE))"),"")</f>
        <v/>
      </c>
      <c r="L677" s="287"/>
      <c r="U677" s="40"/>
      <c r="AU677" s="41" t="str">
        <f t="shared" si="20"/>
        <v/>
      </c>
      <c r="AV677" s="5" t="str">
        <f ca="1">IFERROR(__xludf.DUMMYFUNCTION("IFERROR(VLOOKUP(E691&amp;F691,IMPORTRANGE(""https://docs.google.com/spreadsheets/d/1Uw7-A9f9R21vMXxHZFNpYNeKFtG8_yji4HS352LGlSQ/edit?pli=1#gid=0"",""1_ACUM!A4:S""),11,FALSE))"),"")</f>
        <v/>
      </c>
      <c r="AW677" s="42" t="str">
        <f ca="1">IFERROR(__xludf.DUMMYFUNCTION("IFERROR(VLOOKUP(F691,IMPORTRANGE(""https://docs.google.com/spreadsheets/d/1Kvs4KS76FHFqLFIZfrDMff4kP08nblUkihrxltoGBjg/edit#gid=934712705"",""ESENCIAL!A6:BG""),15,FALSE))"),"")</f>
        <v/>
      </c>
      <c r="AX677" s="21" t="str">
        <f ca="1">IFERROR(__xludf.DUMMYFUNCTION("IFERROR(VLOOKUP(E691&amp;F691,IMPORTRANGE(""https://docs.google.com/spreadsheets/d/1Uw7-A9f9R21vMXxHZFNpYNeKFtG8_yji4HS352LGlSQ/edit?pli=1#gid=0"",""1_ACUM!A4:S""),12,FALSE))"),"")</f>
        <v/>
      </c>
      <c r="AY677" s="43" t="str">
        <f ca="1">IFERROR(__xludf.DUMMYFUNCTION("IFERROR(VLOOKUP(E691&amp;F691,IMPORTRANGE(""https://docs.google.com/spreadsheets/d/1Uw7-A9f9R21vMXxHZFNpYNeKFtG8_yji4HS352LGlSQ/edit?pli=1#gid=0"",""1_ACUM!A4:S""),13,FALSE))"),"")</f>
        <v/>
      </c>
      <c r="AZ677" s="43" t="str">
        <f ca="1">IFERROR(__xludf.DUMMYFUNCTION("IFERROR(VLOOKUP(E691&amp;F691,IMPORTRANGE(""https://docs.google.com/spreadsheets/d/1Uw7-A9f9R21vMXxHZFNpYNeKFtG8_yji4HS352LGlSQ/edit?pli=1#gid=0"",""1_ACUM!A4:S""),14,FALSE))"),"")</f>
        <v/>
      </c>
      <c r="BA677" s="43" t="str">
        <f ca="1">IFERROR(__xludf.DUMMYFUNCTION("IFERROR(VLOOKUP(E691&amp;F691,IMPORTRANGE(""https://docs.google.com/spreadsheets/d/1Uw7-A9f9R21vMXxHZFNpYNeKFtG8_yji4HS352LGlSQ/edit?pli=1#gid=0"",""1_ACUM!A4:S""),15,FALSE))"),"")</f>
        <v/>
      </c>
      <c r="BB677" s="43" t="str">
        <f ca="1">IFERROR(__xludf.DUMMYFUNCTION("IFERROR(VLOOKUP(E691&amp;F691,IMPORTRANGE(""https://docs.google.com/spreadsheets/d/1Uw7-A9f9R21vMXxHZFNpYNeKFtG8_yji4HS352LGlSQ/edit?pli=1#gid=0"",""1_ACUM!A4:S""),16,FALSE))"),"")</f>
        <v/>
      </c>
      <c r="BC677" s="43" t="str">
        <f ca="1">IFERROR(__xludf.DUMMYFUNCTION("IFERROR(VLOOKUP(E691&amp;F691,IMPORTRANGE(""https://docs.google.com/spreadsheets/d/1Uw7-A9f9R21vMXxHZFNpYNeKFtG8_yji4HS352LGlSQ/edit?pli=1#gid=0"",""1_ACUM!A4:S""),17,FALSE))"),"")</f>
        <v/>
      </c>
      <c r="BD677" s="44" t="str">
        <f ca="1">IFERROR(__xludf.DUMMYFUNCTION("IFERROR(VLOOKUP(E691&amp;F691,IMPORTRANGE(""https://docs.google.com/spreadsheets/d/1Uw7-A9f9R21vMXxHZFNpYNeKFtG8_yji4HS352LGlSQ/edit?pli=1#gid=0"",""1_ACUM!A4:S""),18,FALSE))"),"")</f>
        <v/>
      </c>
      <c r="BE677" s="44" t="str">
        <f ca="1">IFERROR(__xludf.DUMMYFUNCTION("IFERROR(VLOOKUP(E691&amp;F691,IMPORTRANGE(""https://docs.google.com/spreadsheets/d/1Uw7-A9f9R21vMXxHZFNpYNeKFtG8_yji4HS352LGlSQ/edit?pli=1#gid=0"",""1_ACUM!A4:S""),19,FALSE))"),"")</f>
        <v/>
      </c>
      <c r="BF677" s="98" t="str">
        <f ca="1">IFERROR(__xludf.DUMMYFUNCTION("IFERROR(VLOOKUP(F691,IMPORTRANGE(""https://docs.google.com/spreadsheets/d/1Kvs4KS76FHFqLFIZfrDMff4kP08nblUkihrxltoGBjg/edit#gid=934712705"",""ESENCIAL!A6:BG""),5,FALSE))"),"")</f>
        <v/>
      </c>
      <c r="BG677" s="98" t="str">
        <f t="shared" si="21"/>
        <v/>
      </c>
      <c r="BH677" s="99" t="str">
        <f t="shared" si="22"/>
        <v/>
      </c>
      <c r="BI677" s="100" t="str">
        <f ca="1">IFERROR(__xludf.DUMMYFUNCTION("IFERROR(VLOOKUP(F691,IMPORTRANGE(""https://docs.google.com/spreadsheets/d/1Kvs4KS76FHFqLFIZfrDMff4kP08nblUkihrxltoGBjg/edit#gid=934712705"",""ESENCIAL!A6:BG""),2,FALSE))"),"")</f>
        <v/>
      </c>
      <c r="BJ677" s="19" t="str">
        <f t="shared" si="23"/>
        <v/>
      </c>
      <c r="BK677" s="100"/>
      <c r="BL677" s="100"/>
    </row>
    <row r="678" spans="1:64" ht="15">
      <c r="A678" s="5"/>
      <c r="B678" s="5"/>
      <c r="G678" s="5" t="str">
        <f ca="1">IFERROR(__xludf.DUMMYFUNCTION("IFERROR(VLOOKUP(F692,IMPORTRANGE(""https://docs.google.com/spreadsheets/d/1Kvs4KS76FHFqLFIZfrDMff4kP08nblUkihrxltoGBjg/edit#gid=934712705"",""ESENCIAL!A6:BG""),3,FALSE))"),"")</f>
        <v/>
      </c>
      <c r="H678" s="5" t="str">
        <f ca="1">IFERROR(__xludf.DUMMYFUNCTION("IFERROR(VLOOKUP(F692,IMPORTRANGE(""https://docs.google.com/spreadsheets/d/1Kvs4KS76FHFqLFIZfrDMff4kP08nblUkihrxltoGBjg/edit#gid=934712705"",""ESENCIAL!A6:BG""),8,FALSE))"),"")</f>
        <v/>
      </c>
      <c r="L678" s="287"/>
      <c r="U678" s="40"/>
      <c r="AU678" s="41" t="str">
        <f t="shared" si="20"/>
        <v/>
      </c>
      <c r="AV678" s="5" t="str">
        <f ca="1">IFERROR(__xludf.DUMMYFUNCTION("IFERROR(VLOOKUP(E692&amp;F692,IMPORTRANGE(""https://docs.google.com/spreadsheets/d/1Uw7-A9f9R21vMXxHZFNpYNeKFtG8_yji4HS352LGlSQ/edit?pli=1#gid=0"",""1_ACUM!A4:S""),11,FALSE))"),"")</f>
        <v/>
      </c>
      <c r="AW678" s="42" t="str">
        <f ca="1">IFERROR(__xludf.DUMMYFUNCTION("IFERROR(VLOOKUP(F692,IMPORTRANGE(""https://docs.google.com/spreadsheets/d/1Kvs4KS76FHFqLFIZfrDMff4kP08nblUkihrxltoGBjg/edit#gid=934712705"",""ESENCIAL!A6:BG""),15,FALSE))"),"")</f>
        <v/>
      </c>
      <c r="AX678" s="21" t="str">
        <f ca="1">IFERROR(__xludf.DUMMYFUNCTION("IFERROR(VLOOKUP(E692&amp;F692,IMPORTRANGE(""https://docs.google.com/spreadsheets/d/1Uw7-A9f9R21vMXxHZFNpYNeKFtG8_yji4HS352LGlSQ/edit?pli=1#gid=0"",""1_ACUM!A4:S""),12,FALSE))"),"")</f>
        <v/>
      </c>
      <c r="AY678" s="43" t="str">
        <f ca="1">IFERROR(__xludf.DUMMYFUNCTION("IFERROR(VLOOKUP(E692&amp;F692,IMPORTRANGE(""https://docs.google.com/spreadsheets/d/1Uw7-A9f9R21vMXxHZFNpYNeKFtG8_yji4HS352LGlSQ/edit?pli=1#gid=0"",""1_ACUM!A4:S""),13,FALSE))"),"")</f>
        <v/>
      </c>
      <c r="AZ678" s="43" t="str">
        <f ca="1">IFERROR(__xludf.DUMMYFUNCTION("IFERROR(VLOOKUP(E692&amp;F692,IMPORTRANGE(""https://docs.google.com/spreadsheets/d/1Uw7-A9f9R21vMXxHZFNpYNeKFtG8_yji4HS352LGlSQ/edit?pli=1#gid=0"",""1_ACUM!A4:S""),14,FALSE))"),"")</f>
        <v/>
      </c>
      <c r="BA678" s="43" t="str">
        <f ca="1">IFERROR(__xludf.DUMMYFUNCTION("IFERROR(VLOOKUP(E692&amp;F692,IMPORTRANGE(""https://docs.google.com/spreadsheets/d/1Uw7-A9f9R21vMXxHZFNpYNeKFtG8_yji4HS352LGlSQ/edit?pli=1#gid=0"",""1_ACUM!A4:S""),15,FALSE))"),"")</f>
        <v/>
      </c>
      <c r="BB678" s="43" t="str">
        <f ca="1">IFERROR(__xludf.DUMMYFUNCTION("IFERROR(VLOOKUP(E692&amp;F692,IMPORTRANGE(""https://docs.google.com/spreadsheets/d/1Uw7-A9f9R21vMXxHZFNpYNeKFtG8_yji4HS352LGlSQ/edit?pli=1#gid=0"",""1_ACUM!A4:S""),16,FALSE))"),"")</f>
        <v/>
      </c>
      <c r="BC678" s="43" t="str">
        <f ca="1">IFERROR(__xludf.DUMMYFUNCTION("IFERROR(VLOOKUP(E692&amp;F692,IMPORTRANGE(""https://docs.google.com/spreadsheets/d/1Uw7-A9f9R21vMXxHZFNpYNeKFtG8_yji4HS352LGlSQ/edit?pli=1#gid=0"",""1_ACUM!A4:S""),17,FALSE))"),"")</f>
        <v/>
      </c>
      <c r="BD678" s="44" t="str">
        <f ca="1">IFERROR(__xludf.DUMMYFUNCTION("IFERROR(VLOOKUP(E692&amp;F692,IMPORTRANGE(""https://docs.google.com/spreadsheets/d/1Uw7-A9f9R21vMXxHZFNpYNeKFtG8_yji4HS352LGlSQ/edit?pli=1#gid=0"",""1_ACUM!A4:S""),18,FALSE))"),"")</f>
        <v/>
      </c>
      <c r="BE678" s="44" t="str">
        <f ca="1">IFERROR(__xludf.DUMMYFUNCTION("IFERROR(VLOOKUP(E692&amp;F692,IMPORTRANGE(""https://docs.google.com/spreadsheets/d/1Uw7-A9f9R21vMXxHZFNpYNeKFtG8_yji4HS352LGlSQ/edit?pli=1#gid=0"",""1_ACUM!A4:S""),19,FALSE))"),"")</f>
        <v/>
      </c>
      <c r="BF678" s="98" t="str">
        <f ca="1">IFERROR(__xludf.DUMMYFUNCTION("IFERROR(VLOOKUP(F692,IMPORTRANGE(""https://docs.google.com/spreadsheets/d/1Kvs4KS76FHFqLFIZfrDMff4kP08nblUkihrxltoGBjg/edit#gid=934712705"",""ESENCIAL!A6:BG""),5,FALSE))"),"")</f>
        <v/>
      </c>
      <c r="BG678" s="98" t="str">
        <f t="shared" si="21"/>
        <v/>
      </c>
      <c r="BH678" s="99" t="str">
        <f t="shared" si="22"/>
        <v/>
      </c>
      <c r="BI678" s="100" t="str">
        <f ca="1">IFERROR(__xludf.DUMMYFUNCTION("IFERROR(VLOOKUP(F692,IMPORTRANGE(""https://docs.google.com/spreadsheets/d/1Kvs4KS76FHFqLFIZfrDMff4kP08nblUkihrxltoGBjg/edit#gid=934712705"",""ESENCIAL!A6:BG""),2,FALSE))"),"")</f>
        <v/>
      </c>
      <c r="BJ678" s="19" t="str">
        <f t="shared" si="23"/>
        <v/>
      </c>
      <c r="BK678" s="100"/>
      <c r="BL678" s="100"/>
    </row>
    <row r="679" spans="1:64" ht="15">
      <c r="A679" s="5"/>
      <c r="B679" s="5"/>
      <c r="G679" s="5" t="str">
        <f ca="1">IFERROR(__xludf.DUMMYFUNCTION("IFERROR(VLOOKUP(F693,IMPORTRANGE(""https://docs.google.com/spreadsheets/d/1Kvs4KS76FHFqLFIZfrDMff4kP08nblUkihrxltoGBjg/edit#gid=934712705"",""ESENCIAL!A6:BG""),3,FALSE))"),"")</f>
        <v/>
      </c>
      <c r="H679" s="5" t="str">
        <f ca="1">IFERROR(__xludf.DUMMYFUNCTION("IFERROR(VLOOKUP(F693,IMPORTRANGE(""https://docs.google.com/spreadsheets/d/1Kvs4KS76FHFqLFIZfrDMff4kP08nblUkihrxltoGBjg/edit#gid=934712705"",""ESENCIAL!A6:BG""),8,FALSE))"),"")</f>
        <v/>
      </c>
      <c r="L679" s="287"/>
      <c r="U679" s="40"/>
      <c r="AU679" s="41" t="str">
        <f t="shared" si="20"/>
        <v/>
      </c>
      <c r="AV679" s="5" t="str">
        <f ca="1">IFERROR(__xludf.DUMMYFUNCTION("IFERROR(VLOOKUP(E693&amp;F693,IMPORTRANGE(""https://docs.google.com/spreadsheets/d/1Uw7-A9f9R21vMXxHZFNpYNeKFtG8_yji4HS352LGlSQ/edit?pli=1#gid=0"",""1_ACUM!A4:S""),11,FALSE))"),"")</f>
        <v/>
      </c>
      <c r="AW679" s="42" t="str">
        <f ca="1">IFERROR(__xludf.DUMMYFUNCTION("IFERROR(VLOOKUP(F693,IMPORTRANGE(""https://docs.google.com/spreadsheets/d/1Kvs4KS76FHFqLFIZfrDMff4kP08nblUkihrxltoGBjg/edit#gid=934712705"",""ESENCIAL!A6:BG""),15,FALSE))"),"")</f>
        <v/>
      </c>
      <c r="AX679" s="21" t="str">
        <f ca="1">IFERROR(__xludf.DUMMYFUNCTION("IFERROR(VLOOKUP(E693&amp;F693,IMPORTRANGE(""https://docs.google.com/spreadsheets/d/1Uw7-A9f9R21vMXxHZFNpYNeKFtG8_yji4HS352LGlSQ/edit?pli=1#gid=0"",""1_ACUM!A4:S""),12,FALSE))"),"")</f>
        <v/>
      </c>
      <c r="AY679" s="43" t="str">
        <f ca="1">IFERROR(__xludf.DUMMYFUNCTION("IFERROR(VLOOKUP(E693&amp;F693,IMPORTRANGE(""https://docs.google.com/spreadsheets/d/1Uw7-A9f9R21vMXxHZFNpYNeKFtG8_yji4HS352LGlSQ/edit?pli=1#gid=0"",""1_ACUM!A4:S""),13,FALSE))"),"")</f>
        <v/>
      </c>
      <c r="AZ679" s="43" t="str">
        <f ca="1">IFERROR(__xludf.DUMMYFUNCTION("IFERROR(VLOOKUP(E693&amp;F693,IMPORTRANGE(""https://docs.google.com/spreadsheets/d/1Uw7-A9f9R21vMXxHZFNpYNeKFtG8_yji4HS352LGlSQ/edit?pli=1#gid=0"",""1_ACUM!A4:S""),14,FALSE))"),"")</f>
        <v/>
      </c>
      <c r="BA679" s="43" t="str">
        <f ca="1">IFERROR(__xludf.DUMMYFUNCTION("IFERROR(VLOOKUP(E693&amp;F693,IMPORTRANGE(""https://docs.google.com/spreadsheets/d/1Uw7-A9f9R21vMXxHZFNpYNeKFtG8_yji4HS352LGlSQ/edit?pli=1#gid=0"",""1_ACUM!A4:S""),15,FALSE))"),"")</f>
        <v/>
      </c>
      <c r="BB679" s="43" t="str">
        <f ca="1">IFERROR(__xludf.DUMMYFUNCTION("IFERROR(VLOOKUP(E693&amp;F693,IMPORTRANGE(""https://docs.google.com/spreadsheets/d/1Uw7-A9f9R21vMXxHZFNpYNeKFtG8_yji4HS352LGlSQ/edit?pli=1#gid=0"",""1_ACUM!A4:S""),16,FALSE))"),"")</f>
        <v/>
      </c>
      <c r="BC679" s="43" t="str">
        <f ca="1">IFERROR(__xludf.DUMMYFUNCTION("IFERROR(VLOOKUP(E693&amp;F693,IMPORTRANGE(""https://docs.google.com/spreadsheets/d/1Uw7-A9f9R21vMXxHZFNpYNeKFtG8_yji4HS352LGlSQ/edit?pli=1#gid=0"",""1_ACUM!A4:S""),17,FALSE))"),"")</f>
        <v/>
      </c>
      <c r="BD679" s="44" t="str">
        <f ca="1">IFERROR(__xludf.DUMMYFUNCTION("IFERROR(VLOOKUP(E693&amp;F693,IMPORTRANGE(""https://docs.google.com/spreadsheets/d/1Uw7-A9f9R21vMXxHZFNpYNeKFtG8_yji4HS352LGlSQ/edit?pli=1#gid=0"",""1_ACUM!A4:S""),18,FALSE))"),"")</f>
        <v/>
      </c>
      <c r="BE679" s="44" t="str">
        <f ca="1">IFERROR(__xludf.DUMMYFUNCTION("IFERROR(VLOOKUP(E693&amp;F693,IMPORTRANGE(""https://docs.google.com/spreadsheets/d/1Uw7-A9f9R21vMXxHZFNpYNeKFtG8_yji4HS352LGlSQ/edit?pli=1#gid=0"",""1_ACUM!A4:S""),19,FALSE))"),"")</f>
        <v/>
      </c>
      <c r="BF679" s="98" t="str">
        <f ca="1">IFERROR(__xludf.DUMMYFUNCTION("IFERROR(VLOOKUP(F693,IMPORTRANGE(""https://docs.google.com/spreadsheets/d/1Kvs4KS76FHFqLFIZfrDMff4kP08nblUkihrxltoGBjg/edit#gid=934712705"",""ESENCIAL!A6:BG""),5,FALSE))"),"")</f>
        <v/>
      </c>
      <c r="BG679" s="98" t="str">
        <f t="shared" si="21"/>
        <v/>
      </c>
      <c r="BH679" s="99" t="str">
        <f t="shared" si="22"/>
        <v/>
      </c>
      <c r="BI679" s="100" t="str">
        <f ca="1">IFERROR(__xludf.DUMMYFUNCTION("IFERROR(VLOOKUP(F693,IMPORTRANGE(""https://docs.google.com/spreadsheets/d/1Kvs4KS76FHFqLFIZfrDMff4kP08nblUkihrxltoGBjg/edit#gid=934712705"",""ESENCIAL!A6:BG""),2,FALSE))"),"")</f>
        <v/>
      </c>
      <c r="BJ679" s="19" t="str">
        <f t="shared" si="23"/>
        <v/>
      </c>
      <c r="BK679" s="100"/>
      <c r="BL679" s="100"/>
    </row>
    <row r="680" spans="1:64" ht="15">
      <c r="A680" s="5"/>
      <c r="B680" s="5"/>
      <c r="G680" s="5" t="str">
        <f ca="1">IFERROR(__xludf.DUMMYFUNCTION("IFERROR(VLOOKUP(F694,IMPORTRANGE(""https://docs.google.com/spreadsheets/d/1Kvs4KS76FHFqLFIZfrDMff4kP08nblUkihrxltoGBjg/edit#gid=934712705"",""ESENCIAL!A6:BG""),3,FALSE))"),"")</f>
        <v/>
      </c>
      <c r="H680" s="5" t="str">
        <f ca="1">IFERROR(__xludf.DUMMYFUNCTION("IFERROR(VLOOKUP(F694,IMPORTRANGE(""https://docs.google.com/spreadsheets/d/1Kvs4KS76FHFqLFIZfrDMff4kP08nblUkihrxltoGBjg/edit#gid=934712705"",""ESENCIAL!A6:BG""),8,FALSE))"),"")</f>
        <v/>
      </c>
      <c r="L680" s="287"/>
      <c r="U680" s="40"/>
      <c r="AU680" s="41" t="str">
        <f t="shared" si="20"/>
        <v/>
      </c>
      <c r="AV680" s="5" t="str">
        <f ca="1">IFERROR(__xludf.DUMMYFUNCTION("IFERROR(VLOOKUP(E694&amp;F694,IMPORTRANGE(""https://docs.google.com/spreadsheets/d/1Uw7-A9f9R21vMXxHZFNpYNeKFtG8_yji4HS352LGlSQ/edit?pli=1#gid=0"",""1_ACUM!A4:S""),11,FALSE))"),"")</f>
        <v/>
      </c>
      <c r="AW680" s="42" t="str">
        <f ca="1">IFERROR(__xludf.DUMMYFUNCTION("IFERROR(VLOOKUP(F694,IMPORTRANGE(""https://docs.google.com/spreadsheets/d/1Kvs4KS76FHFqLFIZfrDMff4kP08nblUkihrxltoGBjg/edit#gid=934712705"",""ESENCIAL!A6:BG""),15,FALSE))"),"")</f>
        <v/>
      </c>
      <c r="AX680" s="21" t="str">
        <f ca="1">IFERROR(__xludf.DUMMYFUNCTION("IFERROR(VLOOKUP(E694&amp;F694,IMPORTRANGE(""https://docs.google.com/spreadsheets/d/1Uw7-A9f9R21vMXxHZFNpYNeKFtG8_yji4HS352LGlSQ/edit?pli=1#gid=0"",""1_ACUM!A4:S""),12,FALSE))"),"")</f>
        <v/>
      </c>
      <c r="AY680" s="43" t="str">
        <f ca="1">IFERROR(__xludf.DUMMYFUNCTION("IFERROR(VLOOKUP(E694&amp;F694,IMPORTRANGE(""https://docs.google.com/spreadsheets/d/1Uw7-A9f9R21vMXxHZFNpYNeKFtG8_yji4HS352LGlSQ/edit?pli=1#gid=0"",""1_ACUM!A4:S""),13,FALSE))"),"")</f>
        <v/>
      </c>
      <c r="AZ680" s="43" t="str">
        <f ca="1">IFERROR(__xludf.DUMMYFUNCTION("IFERROR(VLOOKUP(E694&amp;F694,IMPORTRANGE(""https://docs.google.com/spreadsheets/d/1Uw7-A9f9R21vMXxHZFNpYNeKFtG8_yji4HS352LGlSQ/edit?pli=1#gid=0"",""1_ACUM!A4:S""),14,FALSE))"),"")</f>
        <v/>
      </c>
      <c r="BA680" s="43" t="str">
        <f ca="1">IFERROR(__xludf.DUMMYFUNCTION("IFERROR(VLOOKUP(E694&amp;F694,IMPORTRANGE(""https://docs.google.com/spreadsheets/d/1Uw7-A9f9R21vMXxHZFNpYNeKFtG8_yji4HS352LGlSQ/edit?pli=1#gid=0"",""1_ACUM!A4:S""),15,FALSE))"),"")</f>
        <v/>
      </c>
      <c r="BB680" s="43" t="str">
        <f ca="1">IFERROR(__xludf.DUMMYFUNCTION("IFERROR(VLOOKUP(E694&amp;F694,IMPORTRANGE(""https://docs.google.com/spreadsheets/d/1Uw7-A9f9R21vMXxHZFNpYNeKFtG8_yji4HS352LGlSQ/edit?pli=1#gid=0"",""1_ACUM!A4:S""),16,FALSE))"),"")</f>
        <v/>
      </c>
      <c r="BC680" s="43" t="str">
        <f ca="1">IFERROR(__xludf.DUMMYFUNCTION("IFERROR(VLOOKUP(E694&amp;F694,IMPORTRANGE(""https://docs.google.com/spreadsheets/d/1Uw7-A9f9R21vMXxHZFNpYNeKFtG8_yji4HS352LGlSQ/edit?pli=1#gid=0"",""1_ACUM!A4:S""),17,FALSE))"),"")</f>
        <v/>
      </c>
      <c r="BD680" s="44" t="str">
        <f ca="1">IFERROR(__xludf.DUMMYFUNCTION("IFERROR(VLOOKUP(E694&amp;F694,IMPORTRANGE(""https://docs.google.com/spreadsheets/d/1Uw7-A9f9R21vMXxHZFNpYNeKFtG8_yji4HS352LGlSQ/edit?pli=1#gid=0"",""1_ACUM!A4:S""),18,FALSE))"),"")</f>
        <v/>
      </c>
      <c r="BE680" s="44" t="str">
        <f ca="1">IFERROR(__xludf.DUMMYFUNCTION("IFERROR(VLOOKUP(E694&amp;F694,IMPORTRANGE(""https://docs.google.com/spreadsheets/d/1Uw7-A9f9R21vMXxHZFNpYNeKFtG8_yji4HS352LGlSQ/edit?pli=1#gid=0"",""1_ACUM!A4:S""),19,FALSE))"),"")</f>
        <v/>
      </c>
      <c r="BF680" s="98" t="str">
        <f ca="1">IFERROR(__xludf.DUMMYFUNCTION("IFERROR(VLOOKUP(F694,IMPORTRANGE(""https://docs.google.com/spreadsheets/d/1Kvs4KS76FHFqLFIZfrDMff4kP08nblUkihrxltoGBjg/edit#gid=934712705"",""ESENCIAL!A6:BG""),5,FALSE))"),"")</f>
        <v/>
      </c>
      <c r="BG680" s="98" t="str">
        <f t="shared" si="21"/>
        <v/>
      </c>
      <c r="BH680" s="99" t="str">
        <f t="shared" si="22"/>
        <v/>
      </c>
      <c r="BI680" s="100" t="str">
        <f ca="1">IFERROR(__xludf.DUMMYFUNCTION("IFERROR(VLOOKUP(F694,IMPORTRANGE(""https://docs.google.com/spreadsheets/d/1Kvs4KS76FHFqLFIZfrDMff4kP08nblUkihrxltoGBjg/edit#gid=934712705"",""ESENCIAL!A6:BG""),2,FALSE))"),"")</f>
        <v/>
      </c>
      <c r="BJ680" s="19" t="str">
        <f t="shared" si="23"/>
        <v/>
      </c>
      <c r="BK680" s="100"/>
      <c r="BL680" s="100"/>
    </row>
    <row r="681" spans="1:64" ht="15">
      <c r="A681" s="5"/>
      <c r="B681" s="5"/>
      <c r="G681" s="5" t="str">
        <f ca="1">IFERROR(__xludf.DUMMYFUNCTION("IFERROR(VLOOKUP(F695,IMPORTRANGE(""https://docs.google.com/spreadsheets/d/1Kvs4KS76FHFqLFIZfrDMff4kP08nblUkihrxltoGBjg/edit#gid=934712705"",""ESENCIAL!A6:BG""),3,FALSE))"),"")</f>
        <v/>
      </c>
      <c r="H681" s="5" t="str">
        <f ca="1">IFERROR(__xludf.DUMMYFUNCTION("IFERROR(VLOOKUP(F695,IMPORTRANGE(""https://docs.google.com/spreadsheets/d/1Kvs4KS76FHFqLFIZfrDMff4kP08nblUkihrxltoGBjg/edit#gid=934712705"",""ESENCIAL!A6:BG""),8,FALSE))"),"")</f>
        <v/>
      </c>
      <c r="L681" s="287"/>
      <c r="U681" s="40"/>
      <c r="AU681" s="41" t="str">
        <f t="shared" si="20"/>
        <v/>
      </c>
      <c r="AV681" s="5" t="str">
        <f ca="1">IFERROR(__xludf.DUMMYFUNCTION("IFERROR(VLOOKUP(E695&amp;F695,IMPORTRANGE(""https://docs.google.com/spreadsheets/d/1Uw7-A9f9R21vMXxHZFNpYNeKFtG8_yji4HS352LGlSQ/edit?pli=1#gid=0"",""1_ACUM!A4:S""),11,FALSE))"),"")</f>
        <v/>
      </c>
      <c r="AW681" s="42" t="str">
        <f ca="1">IFERROR(__xludf.DUMMYFUNCTION("IFERROR(VLOOKUP(F695,IMPORTRANGE(""https://docs.google.com/spreadsheets/d/1Kvs4KS76FHFqLFIZfrDMff4kP08nblUkihrxltoGBjg/edit#gid=934712705"",""ESENCIAL!A6:BG""),15,FALSE))"),"")</f>
        <v/>
      </c>
      <c r="AX681" s="21" t="str">
        <f ca="1">IFERROR(__xludf.DUMMYFUNCTION("IFERROR(VLOOKUP(E695&amp;F695,IMPORTRANGE(""https://docs.google.com/spreadsheets/d/1Uw7-A9f9R21vMXxHZFNpYNeKFtG8_yji4HS352LGlSQ/edit?pli=1#gid=0"",""1_ACUM!A4:S""),12,FALSE))"),"")</f>
        <v/>
      </c>
      <c r="AY681" s="43" t="str">
        <f ca="1">IFERROR(__xludf.DUMMYFUNCTION("IFERROR(VLOOKUP(E695&amp;F695,IMPORTRANGE(""https://docs.google.com/spreadsheets/d/1Uw7-A9f9R21vMXxHZFNpYNeKFtG8_yji4HS352LGlSQ/edit?pli=1#gid=0"",""1_ACUM!A4:S""),13,FALSE))"),"")</f>
        <v/>
      </c>
      <c r="AZ681" s="43" t="str">
        <f ca="1">IFERROR(__xludf.DUMMYFUNCTION("IFERROR(VLOOKUP(E695&amp;F695,IMPORTRANGE(""https://docs.google.com/spreadsheets/d/1Uw7-A9f9R21vMXxHZFNpYNeKFtG8_yji4HS352LGlSQ/edit?pli=1#gid=0"",""1_ACUM!A4:S""),14,FALSE))"),"")</f>
        <v/>
      </c>
      <c r="BA681" s="43" t="str">
        <f ca="1">IFERROR(__xludf.DUMMYFUNCTION("IFERROR(VLOOKUP(E695&amp;F695,IMPORTRANGE(""https://docs.google.com/spreadsheets/d/1Uw7-A9f9R21vMXxHZFNpYNeKFtG8_yji4HS352LGlSQ/edit?pli=1#gid=0"",""1_ACUM!A4:S""),15,FALSE))"),"")</f>
        <v/>
      </c>
      <c r="BB681" s="43" t="str">
        <f ca="1">IFERROR(__xludf.DUMMYFUNCTION("IFERROR(VLOOKUP(E695&amp;F695,IMPORTRANGE(""https://docs.google.com/spreadsheets/d/1Uw7-A9f9R21vMXxHZFNpYNeKFtG8_yji4HS352LGlSQ/edit?pli=1#gid=0"",""1_ACUM!A4:S""),16,FALSE))"),"")</f>
        <v/>
      </c>
      <c r="BC681" s="43" t="str">
        <f ca="1">IFERROR(__xludf.DUMMYFUNCTION("IFERROR(VLOOKUP(E695&amp;F695,IMPORTRANGE(""https://docs.google.com/spreadsheets/d/1Uw7-A9f9R21vMXxHZFNpYNeKFtG8_yji4HS352LGlSQ/edit?pli=1#gid=0"",""1_ACUM!A4:S""),17,FALSE))"),"")</f>
        <v/>
      </c>
      <c r="BD681" s="44" t="str">
        <f ca="1">IFERROR(__xludf.DUMMYFUNCTION("IFERROR(VLOOKUP(E695&amp;F695,IMPORTRANGE(""https://docs.google.com/spreadsheets/d/1Uw7-A9f9R21vMXxHZFNpYNeKFtG8_yji4HS352LGlSQ/edit?pli=1#gid=0"",""1_ACUM!A4:S""),18,FALSE))"),"")</f>
        <v/>
      </c>
      <c r="BE681" s="44" t="str">
        <f ca="1">IFERROR(__xludf.DUMMYFUNCTION("IFERROR(VLOOKUP(E695&amp;F695,IMPORTRANGE(""https://docs.google.com/spreadsheets/d/1Uw7-A9f9R21vMXxHZFNpYNeKFtG8_yji4HS352LGlSQ/edit?pli=1#gid=0"",""1_ACUM!A4:S""),19,FALSE))"),"")</f>
        <v/>
      </c>
      <c r="BF681" s="98" t="str">
        <f ca="1">IFERROR(__xludf.DUMMYFUNCTION("IFERROR(VLOOKUP(F695,IMPORTRANGE(""https://docs.google.com/spreadsheets/d/1Kvs4KS76FHFqLFIZfrDMff4kP08nblUkihrxltoGBjg/edit#gid=934712705"",""ESENCIAL!A6:BG""),5,FALSE))"),"")</f>
        <v/>
      </c>
      <c r="BG681" s="98" t="str">
        <f t="shared" si="21"/>
        <v/>
      </c>
      <c r="BH681" s="99" t="str">
        <f t="shared" si="22"/>
        <v/>
      </c>
      <c r="BI681" s="100" t="str">
        <f ca="1">IFERROR(__xludf.DUMMYFUNCTION("IFERROR(VLOOKUP(F695,IMPORTRANGE(""https://docs.google.com/spreadsheets/d/1Kvs4KS76FHFqLFIZfrDMff4kP08nblUkihrxltoGBjg/edit#gid=934712705"",""ESENCIAL!A6:BG""),2,FALSE))"),"")</f>
        <v/>
      </c>
      <c r="BJ681" s="19" t="str">
        <f t="shared" si="23"/>
        <v/>
      </c>
      <c r="BK681" s="100"/>
      <c r="BL681" s="100"/>
    </row>
    <row r="682" spans="1:64" ht="15">
      <c r="A682" s="5"/>
      <c r="B682" s="5"/>
      <c r="G682" s="5" t="str">
        <f ca="1">IFERROR(__xludf.DUMMYFUNCTION("IFERROR(VLOOKUP(F696,IMPORTRANGE(""https://docs.google.com/spreadsheets/d/1Kvs4KS76FHFqLFIZfrDMff4kP08nblUkihrxltoGBjg/edit#gid=934712705"",""ESENCIAL!A6:BG""),3,FALSE))"),"")</f>
        <v/>
      </c>
      <c r="H682" s="5" t="str">
        <f ca="1">IFERROR(__xludf.DUMMYFUNCTION("IFERROR(VLOOKUP(F696,IMPORTRANGE(""https://docs.google.com/spreadsheets/d/1Kvs4KS76FHFqLFIZfrDMff4kP08nblUkihrxltoGBjg/edit#gid=934712705"",""ESENCIAL!A6:BG""),8,FALSE))"),"")</f>
        <v/>
      </c>
      <c r="L682" s="287"/>
      <c r="U682" s="40"/>
      <c r="AU682" s="41" t="str">
        <f t="shared" si="20"/>
        <v/>
      </c>
      <c r="AV682" s="5" t="str">
        <f ca="1">IFERROR(__xludf.DUMMYFUNCTION("IFERROR(VLOOKUP(E696&amp;F696,IMPORTRANGE(""https://docs.google.com/spreadsheets/d/1Uw7-A9f9R21vMXxHZFNpYNeKFtG8_yji4HS352LGlSQ/edit?pli=1#gid=0"",""1_ACUM!A4:S""),11,FALSE))"),"")</f>
        <v/>
      </c>
      <c r="AW682" s="42" t="str">
        <f ca="1">IFERROR(__xludf.DUMMYFUNCTION("IFERROR(VLOOKUP(F696,IMPORTRANGE(""https://docs.google.com/spreadsheets/d/1Kvs4KS76FHFqLFIZfrDMff4kP08nblUkihrxltoGBjg/edit#gid=934712705"",""ESENCIAL!A6:BG""),15,FALSE))"),"")</f>
        <v/>
      </c>
      <c r="AX682" s="21" t="str">
        <f ca="1">IFERROR(__xludf.DUMMYFUNCTION("IFERROR(VLOOKUP(E696&amp;F696,IMPORTRANGE(""https://docs.google.com/spreadsheets/d/1Uw7-A9f9R21vMXxHZFNpYNeKFtG8_yji4HS352LGlSQ/edit?pli=1#gid=0"",""1_ACUM!A4:S""),12,FALSE))"),"")</f>
        <v/>
      </c>
      <c r="AY682" s="43" t="str">
        <f ca="1">IFERROR(__xludf.DUMMYFUNCTION("IFERROR(VLOOKUP(E696&amp;F696,IMPORTRANGE(""https://docs.google.com/spreadsheets/d/1Uw7-A9f9R21vMXxHZFNpYNeKFtG8_yji4HS352LGlSQ/edit?pli=1#gid=0"",""1_ACUM!A4:S""),13,FALSE))"),"")</f>
        <v/>
      </c>
      <c r="AZ682" s="43" t="str">
        <f ca="1">IFERROR(__xludf.DUMMYFUNCTION("IFERROR(VLOOKUP(E696&amp;F696,IMPORTRANGE(""https://docs.google.com/spreadsheets/d/1Uw7-A9f9R21vMXxHZFNpYNeKFtG8_yji4HS352LGlSQ/edit?pli=1#gid=0"",""1_ACUM!A4:S""),14,FALSE))"),"")</f>
        <v/>
      </c>
      <c r="BA682" s="43" t="str">
        <f ca="1">IFERROR(__xludf.DUMMYFUNCTION("IFERROR(VLOOKUP(E696&amp;F696,IMPORTRANGE(""https://docs.google.com/spreadsheets/d/1Uw7-A9f9R21vMXxHZFNpYNeKFtG8_yji4HS352LGlSQ/edit?pli=1#gid=0"",""1_ACUM!A4:S""),15,FALSE))"),"")</f>
        <v/>
      </c>
      <c r="BB682" s="43" t="str">
        <f ca="1">IFERROR(__xludf.DUMMYFUNCTION("IFERROR(VLOOKUP(E696&amp;F696,IMPORTRANGE(""https://docs.google.com/spreadsheets/d/1Uw7-A9f9R21vMXxHZFNpYNeKFtG8_yji4HS352LGlSQ/edit?pli=1#gid=0"",""1_ACUM!A4:S""),16,FALSE))"),"")</f>
        <v/>
      </c>
      <c r="BC682" s="43" t="str">
        <f ca="1">IFERROR(__xludf.DUMMYFUNCTION("IFERROR(VLOOKUP(E696&amp;F696,IMPORTRANGE(""https://docs.google.com/spreadsheets/d/1Uw7-A9f9R21vMXxHZFNpYNeKFtG8_yji4HS352LGlSQ/edit?pli=1#gid=0"",""1_ACUM!A4:S""),17,FALSE))"),"")</f>
        <v/>
      </c>
      <c r="BD682" s="44" t="str">
        <f ca="1">IFERROR(__xludf.DUMMYFUNCTION("IFERROR(VLOOKUP(E696&amp;F696,IMPORTRANGE(""https://docs.google.com/spreadsheets/d/1Uw7-A9f9R21vMXxHZFNpYNeKFtG8_yji4HS352LGlSQ/edit?pli=1#gid=0"",""1_ACUM!A4:S""),18,FALSE))"),"")</f>
        <v/>
      </c>
      <c r="BE682" s="44" t="str">
        <f ca="1">IFERROR(__xludf.DUMMYFUNCTION("IFERROR(VLOOKUP(E696&amp;F696,IMPORTRANGE(""https://docs.google.com/spreadsheets/d/1Uw7-A9f9R21vMXxHZFNpYNeKFtG8_yji4HS352LGlSQ/edit?pli=1#gid=0"",""1_ACUM!A4:S""),19,FALSE))"),"")</f>
        <v/>
      </c>
      <c r="BF682" s="98" t="str">
        <f ca="1">IFERROR(__xludf.DUMMYFUNCTION("IFERROR(VLOOKUP(F696,IMPORTRANGE(""https://docs.google.com/spreadsheets/d/1Kvs4KS76FHFqLFIZfrDMff4kP08nblUkihrxltoGBjg/edit#gid=934712705"",""ESENCIAL!A6:BG""),5,FALSE))"),"")</f>
        <v/>
      </c>
      <c r="BG682" s="98" t="str">
        <f t="shared" si="21"/>
        <v/>
      </c>
      <c r="BH682" s="99" t="str">
        <f t="shared" si="22"/>
        <v/>
      </c>
      <c r="BI682" s="100" t="str">
        <f ca="1">IFERROR(__xludf.DUMMYFUNCTION("IFERROR(VLOOKUP(F696,IMPORTRANGE(""https://docs.google.com/spreadsheets/d/1Kvs4KS76FHFqLFIZfrDMff4kP08nblUkihrxltoGBjg/edit#gid=934712705"",""ESENCIAL!A6:BG""),2,FALSE))"),"")</f>
        <v/>
      </c>
      <c r="BJ682" s="19" t="str">
        <f t="shared" si="23"/>
        <v/>
      </c>
      <c r="BK682" s="100"/>
      <c r="BL682" s="100"/>
    </row>
    <row r="683" spans="1:64" ht="15">
      <c r="A683" s="5"/>
      <c r="B683" s="5"/>
      <c r="G683" s="5" t="str">
        <f ca="1">IFERROR(__xludf.DUMMYFUNCTION("IFERROR(VLOOKUP(F697,IMPORTRANGE(""https://docs.google.com/spreadsheets/d/1Kvs4KS76FHFqLFIZfrDMff4kP08nblUkihrxltoGBjg/edit#gid=934712705"",""ESENCIAL!A6:BG""),3,FALSE))"),"")</f>
        <v/>
      </c>
      <c r="H683" s="5" t="str">
        <f ca="1">IFERROR(__xludf.DUMMYFUNCTION("IFERROR(VLOOKUP(F697,IMPORTRANGE(""https://docs.google.com/spreadsheets/d/1Kvs4KS76FHFqLFIZfrDMff4kP08nblUkihrxltoGBjg/edit#gid=934712705"",""ESENCIAL!A6:BG""),8,FALSE))"),"")</f>
        <v/>
      </c>
      <c r="L683" s="287"/>
      <c r="U683" s="40"/>
      <c r="AU683" s="41" t="str">
        <f t="shared" si="20"/>
        <v/>
      </c>
      <c r="AV683" s="5" t="str">
        <f ca="1">IFERROR(__xludf.DUMMYFUNCTION("IFERROR(VLOOKUP(E697&amp;F697,IMPORTRANGE(""https://docs.google.com/spreadsheets/d/1Uw7-A9f9R21vMXxHZFNpYNeKFtG8_yji4HS352LGlSQ/edit?pli=1#gid=0"",""1_ACUM!A4:S""),11,FALSE))"),"")</f>
        <v/>
      </c>
      <c r="AW683" s="42" t="str">
        <f ca="1">IFERROR(__xludf.DUMMYFUNCTION("IFERROR(VLOOKUP(F697,IMPORTRANGE(""https://docs.google.com/spreadsheets/d/1Kvs4KS76FHFqLFIZfrDMff4kP08nblUkihrxltoGBjg/edit#gid=934712705"",""ESENCIAL!A6:BG""),15,FALSE))"),"")</f>
        <v/>
      </c>
      <c r="AX683" s="21" t="str">
        <f ca="1">IFERROR(__xludf.DUMMYFUNCTION("IFERROR(VLOOKUP(E697&amp;F697,IMPORTRANGE(""https://docs.google.com/spreadsheets/d/1Uw7-A9f9R21vMXxHZFNpYNeKFtG8_yji4HS352LGlSQ/edit?pli=1#gid=0"",""1_ACUM!A4:S""),12,FALSE))"),"")</f>
        <v/>
      </c>
      <c r="AY683" s="43" t="str">
        <f ca="1">IFERROR(__xludf.DUMMYFUNCTION("IFERROR(VLOOKUP(E697&amp;F697,IMPORTRANGE(""https://docs.google.com/spreadsheets/d/1Uw7-A9f9R21vMXxHZFNpYNeKFtG8_yji4HS352LGlSQ/edit?pli=1#gid=0"",""1_ACUM!A4:S""),13,FALSE))"),"")</f>
        <v/>
      </c>
      <c r="AZ683" s="43" t="str">
        <f ca="1">IFERROR(__xludf.DUMMYFUNCTION("IFERROR(VLOOKUP(E697&amp;F697,IMPORTRANGE(""https://docs.google.com/spreadsheets/d/1Uw7-A9f9R21vMXxHZFNpYNeKFtG8_yji4HS352LGlSQ/edit?pli=1#gid=0"",""1_ACUM!A4:S""),14,FALSE))"),"")</f>
        <v/>
      </c>
      <c r="BA683" s="43" t="str">
        <f ca="1">IFERROR(__xludf.DUMMYFUNCTION("IFERROR(VLOOKUP(E697&amp;F697,IMPORTRANGE(""https://docs.google.com/spreadsheets/d/1Uw7-A9f9R21vMXxHZFNpYNeKFtG8_yji4HS352LGlSQ/edit?pli=1#gid=0"",""1_ACUM!A4:S""),15,FALSE))"),"")</f>
        <v/>
      </c>
      <c r="BB683" s="43" t="str">
        <f ca="1">IFERROR(__xludf.DUMMYFUNCTION("IFERROR(VLOOKUP(E697&amp;F697,IMPORTRANGE(""https://docs.google.com/spreadsheets/d/1Uw7-A9f9R21vMXxHZFNpYNeKFtG8_yji4HS352LGlSQ/edit?pli=1#gid=0"",""1_ACUM!A4:S""),16,FALSE))"),"")</f>
        <v/>
      </c>
      <c r="BC683" s="43" t="str">
        <f ca="1">IFERROR(__xludf.DUMMYFUNCTION("IFERROR(VLOOKUP(E697&amp;F697,IMPORTRANGE(""https://docs.google.com/spreadsheets/d/1Uw7-A9f9R21vMXxHZFNpYNeKFtG8_yji4HS352LGlSQ/edit?pli=1#gid=0"",""1_ACUM!A4:S""),17,FALSE))"),"")</f>
        <v/>
      </c>
      <c r="BD683" s="44" t="str">
        <f ca="1">IFERROR(__xludf.DUMMYFUNCTION("IFERROR(VLOOKUP(E697&amp;F697,IMPORTRANGE(""https://docs.google.com/spreadsheets/d/1Uw7-A9f9R21vMXxHZFNpYNeKFtG8_yji4HS352LGlSQ/edit?pli=1#gid=0"",""1_ACUM!A4:S""),18,FALSE))"),"")</f>
        <v/>
      </c>
      <c r="BE683" s="44" t="str">
        <f ca="1">IFERROR(__xludf.DUMMYFUNCTION("IFERROR(VLOOKUP(E697&amp;F697,IMPORTRANGE(""https://docs.google.com/spreadsheets/d/1Uw7-A9f9R21vMXxHZFNpYNeKFtG8_yji4HS352LGlSQ/edit?pli=1#gid=0"",""1_ACUM!A4:S""),19,FALSE))"),"")</f>
        <v/>
      </c>
      <c r="BF683" s="98" t="str">
        <f ca="1">IFERROR(__xludf.DUMMYFUNCTION("IFERROR(VLOOKUP(F697,IMPORTRANGE(""https://docs.google.com/spreadsheets/d/1Kvs4KS76FHFqLFIZfrDMff4kP08nblUkihrxltoGBjg/edit#gid=934712705"",""ESENCIAL!A6:BG""),5,FALSE))"),"")</f>
        <v/>
      </c>
      <c r="BG683" s="98" t="str">
        <f t="shared" si="21"/>
        <v/>
      </c>
      <c r="BH683" s="99" t="str">
        <f t="shared" si="22"/>
        <v/>
      </c>
      <c r="BI683" s="100" t="str">
        <f ca="1">IFERROR(__xludf.DUMMYFUNCTION("IFERROR(VLOOKUP(F697,IMPORTRANGE(""https://docs.google.com/spreadsheets/d/1Kvs4KS76FHFqLFIZfrDMff4kP08nblUkihrxltoGBjg/edit#gid=934712705"",""ESENCIAL!A6:BG""),2,FALSE))"),"")</f>
        <v/>
      </c>
      <c r="BJ683" s="19" t="str">
        <f t="shared" si="23"/>
        <v/>
      </c>
      <c r="BK683" s="100"/>
      <c r="BL683" s="100"/>
    </row>
    <row r="684" spans="1:64" ht="15">
      <c r="A684" s="5"/>
      <c r="B684" s="5"/>
      <c r="G684" s="5" t="str">
        <f ca="1">IFERROR(__xludf.DUMMYFUNCTION("IFERROR(VLOOKUP(F698,IMPORTRANGE(""https://docs.google.com/spreadsheets/d/1Kvs4KS76FHFqLFIZfrDMff4kP08nblUkihrxltoGBjg/edit#gid=934712705"",""ESENCIAL!A6:BG""),3,FALSE))"),"")</f>
        <v/>
      </c>
      <c r="H684" s="5" t="str">
        <f ca="1">IFERROR(__xludf.DUMMYFUNCTION("IFERROR(VLOOKUP(F698,IMPORTRANGE(""https://docs.google.com/spreadsheets/d/1Kvs4KS76FHFqLFIZfrDMff4kP08nblUkihrxltoGBjg/edit#gid=934712705"",""ESENCIAL!A6:BG""),8,FALSE))"),"")</f>
        <v/>
      </c>
      <c r="L684" s="287"/>
      <c r="U684" s="40"/>
      <c r="AU684" s="41" t="str">
        <f t="shared" si="20"/>
        <v/>
      </c>
      <c r="AV684" s="5" t="str">
        <f ca="1">IFERROR(__xludf.DUMMYFUNCTION("IFERROR(VLOOKUP(E698&amp;F698,IMPORTRANGE(""https://docs.google.com/spreadsheets/d/1Uw7-A9f9R21vMXxHZFNpYNeKFtG8_yji4HS352LGlSQ/edit?pli=1#gid=0"",""1_ACUM!A4:S""),11,FALSE))"),"")</f>
        <v/>
      </c>
      <c r="AW684" s="42" t="str">
        <f ca="1">IFERROR(__xludf.DUMMYFUNCTION("IFERROR(VLOOKUP(F698,IMPORTRANGE(""https://docs.google.com/spreadsheets/d/1Kvs4KS76FHFqLFIZfrDMff4kP08nblUkihrxltoGBjg/edit#gid=934712705"",""ESENCIAL!A6:BG""),15,FALSE))"),"")</f>
        <v/>
      </c>
      <c r="AX684" s="21" t="str">
        <f ca="1">IFERROR(__xludf.DUMMYFUNCTION("IFERROR(VLOOKUP(E698&amp;F698,IMPORTRANGE(""https://docs.google.com/spreadsheets/d/1Uw7-A9f9R21vMXxHZFNpYNeKFtG8_yji4HS352LGlSQ/edit?pli=1#gid=0"",""1_ACUM!A4:S""),12,FALSE))"),"")</f>
        <v/>
      </c>
      <c r="AY684" s="43" t="str">
        <f ca="1">IFERROR(__xludf.DUMMYFUNCTION("IFERROR(VLOOKUP(E698&amp;F698,IMPORTRANGE(""https://docs.google.com/spreadsheets/d/1Uw7-A9f9R21vMXxHZFNpYNeKFtG8_yji4HS352LGlSQ/edit?pli=1#gid=0"",""1_ACUM!A4:S""),13,FALSE))"),"")</f>
        <v/>
      </c>
      <c r="AZ684" s="43" t="str">
        <f ca="1">IFERROR(__xludf.DUMMYFUNCTION("IFERROR(VLOOKUP(E698&amp;F698,IMPORTRANGE(""https://docs.google.com/spreadsheets/d/1Uw7-A9f9R21vMXxHZFNpYNeKFtG8_yji4HS352LGlSQ/edit?pli=1#gid=0"",""1_ACUM!A4:S""),14,FALSE))"),"")</f>
        <v/>
      </c>
      <c r="BA684" s="43" t="str">
        <f ca="1">IFERROR(__xludf.DUMMYFUNCTION("IFERROR(VLOOKUP(E698&amp;F698,IMPORTRANGE(""https://docs.google.com/spreadsheets/d/1Uw7-A9f9R21vMXxHZFNpYNeKFtG8_yji4HS352LGlSQ/edit?pli=1#gid=0"",""1_ACUM!A4:S""),15,FALSE))"),"")</f>
        <v/>
      </c>
      <c r="BB684" s="43" t="str">
        <f ca="1">IFERROR(__xludf.DUMMYFUNCTION("IFERROR(VLOOKUP(E698&amp;F698,IMPORTRANGE(""https://docs.google.com/spreadsheets/d/1Uw7-A9f9R21vMXxHZFNpYNeKFtG8_yji4HS352LGlSQ/edit?pli=1#gid=0"",""1_ACUM!A4:S""),16,FALSE))"),"")</f>
        <v/>
      </c>
      <c r="BC684" s="43" t="str">
        <f ca="1">IFERROR(__xludf.DUMMYFUNCTION("IFERROR(VLOOKUP(E698&amp;F698,IMPORTRANGE(""https://docs.google.com/spreadsheets/d/1Uw7-A9f9R21vMXxHZFNpYNeKFtG8_yji4HS352LGlSQ/edit?pli=1#gid=0"",""1_ACUM!A4:S""),17,FALSE))"),"")</f>
        <v/>
      </c>
      <c r="BD684" s="44" t="str">
        <f ca="1">IFERROR(__xludf.DUMMYFUNCTION("IFERROR(VLOOKUP(E698&amp;F698,IMPORTRANGE(""https://docs.google.com/spreadsheets/d/1Uw7-A9f9R21vMXxHZFNpYNeKFtG8_yji4HS352LGlSQ/edit?pli=1#gid=0"",""1_ACUM!A4:S""),18,FALSE))"),"")</f>
        <v/>
      </c>
      <c r="BE684" s="44" t="str">
        <f ca="1">IFERROR(__xludf.DUMMYFUNCTION("IFERROR(VLOOKUP(E698&amp;F698,IMPORTRANGE(""https://docs.google.com/spreadsheets/d/1Uw7-A9f9R21vMXxHZFNpYNeKFtG8_yji4HS352LGlSQ/edit?pli=1#gid=0"",""1_ACUM!A4:S""),19,FALSE))"),"")</f>
        <v/>
      </c>
      <c r="BF684" s="98" t="str">
        <f ca="1">IFERROR(__xludf.DUMMYFUNCTION("IFERROR(VLOOKUP(F698,IMPORTRANGE(""https://docs.google.com/spreadsheets/d/1Kvs4KS76FHFqLFIZfrDMff4kP08nblUkihrxltoGBjg/edit#gid=934712705"",""ESENCIAL!A6:BG""),5,FALSE))"),"")</f>
        <v/>
      </c>
      <c r="BG684" s="98" t="str">
        <f t="shared" si="21"/>
        <v/>
      </c>
      <c r="BH684" s="99" t="str">
        <f t="shared" si="22"/>
        <v/>
      </c>
      <c r="BI684" s="100" t="str">
        <f ca="1">IFERROR(__xludf.DUMMYFUNCTION("IFERROR(VLOOKUP(F698,IMPORTRANGE(""https://docs.google.com/spreadsheets/d/1Kvs4KS76FHFqLFIZfrDMff4kP08nblUkihrxltoGBjg/edit#gid=934712705"",""ESENCIAL!A6:BG""),2,FALSE))"),"")</f>
        <v/>
      </c>
      <c r="BJ684" s="19" t="str">
        <f t="shared" si="23"/>
        <v/>
      </c>
      <c r="BK684" s="100"/>
      <c r="BL684" s="100"/>
    </row>
    <row r="685" spans="1:64" ht="15">
      <c r="A685" s="5"/>
      <c r="B685" s="5"/>
      <c r="G685" s="5" t="str">
        <f ca="1">IFERROR(__xludf.DUMMYFUNCTION("IFERROR(VLOOKUP(F699,IMPORTRANGE(""https://docs.google.com/spreadsheets/d/1Kvs4KS76FHFqLFIZfrDMff4kP08nblUkihrxltoGBjg/edit#gid=934712705"",""ESENCIAL!A6:BG""),3,FALSE))"),"")</f>
        <v/>
      </c>
      <c r="H685" s="5" t="str">
        <f ca="1">IFERROR(__xludf.DUMMYFUNCTION("IFERROR(VLOOKUP(F699,IMPORTRANGE(""https://docs.google.com/spreadsheets/d/1Kvs4KS76FHFqLFIZfrDMff4kP08nblUkihrxltoGBjg/edit#gid=934712705"",""ESENCIAL!A6:BG""),8,FALSE))"),"")</f>
        <v/>
      </c>
      <c r="L685" s="287"/>
      <c r="U685" s="40"/>
      <c r="AU685" s="41" t="str">
        <f t="shared" si="20"/>
        <v/>
      </c>
      <c r="AV685" s="5" t="str">
        <f ca="1">IFERROR(__xludf.DUMMYFUNCTION("IFERROR(VLOOKUP(E699&amp;F699,IMPORTRANGE(""https://docs.google.com/spreadsheets/d/1Uw7-A9f9R21vMXxHZFNpYNeKFtG8_yji4HS352LGlSQ/edit?pli=1#gid=0"",""1_ACUM!A4:S""),11,FALSE))"),"")</f>
        <v/>
      </c>
      <c r="AW685" s="42" t="str">
        <f ca="1">IFERROR(__xludf.DUMMYFUNCTION("IFERROR(VLOOKUP(F699,IMPORTRANGE(""https://docs.google.com/spreadsheets/d/1Kvs4KS76FHFqLFIZfrDMff4kP08nblUkihrxltoGBjg/edit#gid=934712705"",""ESENCIAL!A6:BG""),15,FALSE))"),"")</f>
        <v/>
      </c>
      <c r="AX685" s="21" t="str">
        <f ca="1">IFERROR(__xludf.DUMMYFUNCTION("IFERROR(VLOOKUP(E699&amp;F699,IMPORTRANGE(""https://docs.google.com/spreadsheets/d/1Uw7-A9f9R21vMXxHZFNpYNeKFtG8_yji4HS352LGlSQ/edit?pli=1#gid=0"",""1_ACUM!A4:S""),12,FALSE))"),"")</f>
        <v/>
      </c>
      <c r="AY685" s="43" t="str">
        <f ca="1">IFERROR(__xludf.DUMMYFUNCTION("IFERROR(VLOOKUP(E699&amp;F699,IMPORTRANGE(""https://docs.google.com/spreadsheets/d/1Uw7-A9f9R21vMXxHZFNpYNeKFtG8_yji4HS352LGlSQ/edit?pli=1#gid=0"",""1_ACUM!A4:S""),13,FALSE))"),"")</f>
        <v/>
      </c>
      <c r="AZ685" s="43" t="str">
        <f ca="1">IFERROR(__xludf.DUMMYFUNCTION("IFERROR(VLOOKUP(E699&amp;F699,IMPORTRANGE(""https://docs.google.com/spreadsheets/d/1Uw7-A9f9R21vMXxHZFNpYNeKFtG8_yji4HS352LGlSQ/edit?pli=1#gid=0"",""1_ACUM!A4:S""),14,FALSE))"),"")</f>
        <v/>
      </c>
      <c r="BA685" s="43" t="str">
        <f ca="1">IFERROR(__xludf.DUMMYFUNCTION("IFERROR(VLOOKUP(E699&amp;F699,IMPORTRANGE(""https://docs.google.com/spreadsheets/d/1Uw7-A9f9R21vMXxHZFNpYNeKFtG8_yji4HS352LGlSQ/edit?pli=1#gid=0"",""1_ACUM!A4:S""),15,FALSE))"),"")</f>
        <v/>
      </c>
      <c r="BB685" s="43" t="str">
        <f ca="1">IFERROR(__xludf.DUMMYFUNCTION("IFERROR(VLOOKUP(E699&amp;F699,IMPORTRANGE(""https://docs.google.com/spreadsheets/d/1Uw7-A9f9R21vMXxHZFNpYNeKFtG8_yji4HS352LGlSQ/edit?pli=1#gid=0"",""1_ACUM!A4:S""),16,FALSE))"),"")</f>
        <v/>
      </c>
      <c r="BC685" s="43" t="str">
        <f ca="1">IFERROR(__xludf.DUMMYFUNCTION("IFERROR(VLOOKUP(E699&amp;F699,IMPORTRANGE(""https://docs.google.com/spreadsheets/d/1Uw7-A9f9R21vMXxHZFNpYNeKFtG8_yji4HS352LGlSQ/edit?pli=1#gid=0"",""1_ACUM!A4:S""),17,FALSE))"),"")</f>
        <v/>
      </c>
      <c r="BD685" s="44" t="str">
        <f ca="1">IFERROR(__xludf.DUMMYFUNCTION("IFERROR(VLOOKUP(E699&amp;F699,IMPORTRANGE(""https://docs.google.com/spreadsheets/d/1Uw7-A9f9R21vMXxHZFNpYNeKFtG8_yji4HS352LGlSQ/edit?pli=1#gid=0"",""1_ACUM!A4:S""),18,FALSE))"),"")</f>
        <v/>
      </c>
      <c r="BE685" s="44" t="str">
        <f ca="1">IFERROR(__xludf.DUMMYFUNCTION("IFERROR(VLOOKUP(E699&amp;F699,IMPORTRANGE(""https://docs.google.com/spreadsheets/d/1Uw7-A9f9R21vMXxHZFNpYNeKFtG8_yji4HS352LGlSQ/edit?pli=1#gid=0"",""1_ACUM!A4:S""),19,FALSE))"),"")</f>
        <v/>
      </c>
      <c r="BF685" s="98" t="str">
        <f ca="1">IFERROR(__xludf.DUMMYFUNCTION("IFERROR(VLOOKUP(F699,IMPORTRANGE(""https://docs.google.com/spreadsheets/d/1Kvs4KS76FHFqLFIZfrDMff4kP08nblUkihrxltoGBjg/edit#gid=934712705"",""ESENCIAL!A6:BG""),5,FALSE))"),"")</f>
        <v/>
      </c>
      <c r="BG685" s="98" t="str">
        <f t="shared" si="21"/>
        <v/>
      </c>
      <c r="BH685" s="99" t="str">
        <f t="shared" si="22"/>
        <v/>
      </c>
      <c r="BI685" s="100" t="str">
        <f ca="1">IFERROR(__xludf.DUMMYFUNCTION("IFERROR(VLOOKUP(F699,IMPORTRANGE(""https://docs.google.com/spreadsheets/d/1Kvs4KS76FHFqLFIZfrDMff4kP08nblUkihrxltoGBjg/edit#gid=934712705"",""ESENCIAL!A6:BG""),2,FALSE))"),"")</f>
        <v/>
      </c>
      <c r="BJ685" s="19" t="str">
        <f t="shared" si="23"/>
        <v/>
      </c>
      <c r="BK685" s="100"/>
      <c r="BL685" s="100"/>
    </row>
    <row r="686" spans="1:64" ht="15">
      <c r="A686" s="5"/>
      <c r="B686" s="5"/>
      <c r="G686" s="5" t="str">
        <f ca="1">IFERROR(__xludf.DUMMYFUNCTION("IFERROR(VLOOKUP(F700,IMPORTRANGE(""https://docs.google.com/spreadsheets/d/1Kvs4KS76FHFqLFIZfrDMff4kP08nblUkihrxltoGBjg/edit#gid=934712705"",""ESENCIAL!A6:BG""),3,FALSE))"),"")</f>
        <v/>
      </c>
      <c r="H686" s="5" t="str">
        <f ca="1">IFERROR(__xludf.DUMMYFUNCTION("IFERROR(VLOOKUP(F700,IMPORTRANGE(""https://docs.google.com/spreadsheets/d/1Kvs4KS76FHFqLFIZfrDMff4kP08nblUkihrxltoGBjg/edit#gid=934712705"",""ESENCIAL!A6:BG""),8,FALSE))"),"")</f>
        <v/>
      </c>
      <c r="L686" s="287"/>
      <c r="U686" s="40"/>
      <c r="AU686" s="41" t="str">
        <f t="shared" si="20"/>
        <v/>
      </c>
      <c r="AV686" s="5" t="str">
        <f ca="1">IFERROR(__xludf.DUMMYFUNCTION("IFERROR(VLOOKUP(E700&amp;F700,IMPORTRANGE(""https://docs.google.com/spreadsheets/d/1Uw7-A9f9R21vMXxHZFNpYNeKFtG8_yji4HS352LGlSQ/edit?pli=1#gid=0"",""1_ACUM!A4:S""),11,FALSE))"),"")</f>
        <v/>
      </c>
      <c r="AW686" s="42" t="str">
        <f ca="1">IFERROR(__xludf.DUMMYFUNCTION("IFERROR(VLOOKUP(F700,IMPORTRANGE(""https://docs.google.com/spreadsheets/d/1Kvs4KS76FHFqLFIZfrDMff4kP08nblUkihrxltoGBjg/edit#gid=934712705"",""ESENCIAL!A6:BG""),15,FALSE))"),"")</f>
        <v/>
      </c>
      <c r="AX686" s="21" t="str">
        <f ca="1">IFERROR(__xludf.DUMMYFUNCTION("IFERROR(VLOOKUP(E700&amp;F700,IMPORTRANGE(""https://docs.google.com/spreadsheets/d/1Uw7-A9f9R21vMXxHZFNpYNeKFtG8_yji4HS352LGlSQ/edit?pli=1#gid=0"",""1_ACUM!A4:S""),12,FALSE))"),"")</f>
        <v/>
      </c>
      <c r="AY686" s="43" t="str">
        <f ca="1">IFERROR(__xludf.DUMMYFUNCTION("IFERROR(VLOOKUP(E700&amp;F700,IMPORTRANGE(""https://docs.google.com/spreadsheets/d/1Uw7-A9f9R21vMXxHZFNpYNeKFtG8_yji4HS352LGlSQ/edit?pli=1#gid=0"",""1_ACUM!A4:S""),13,FALSE))"),"")</f>
        <v/>
      </c>
      <c r="AZ686" s="43" t="str">
        <f ca="1">IFERROR(__xludf.DUMMYFUNCTION("IFERROR(VLOOKUP(E700&amp;F700,IMPORTRANGE(""https://docs.google.com/spreadsheets/d/1Uw7-A9f9R21vMXxHZFNpYNeKFtG8_yji4HS352LGlSQ/edit?pli=1#gid=0"",""1_ACUM!A4:S""),14,FALSE))"),"")</f>
        <v/>
      </c>
      <c r="BA686" s="43" t="str">
        <f ca="1">IFERROR(__xludf.DUMMYFUNCTION("IFERROR(VLOOKUP(E700&amp;F700,IMPORTRANGE(""https://docs.google.com/spreadsheets/d/1Uw7-A9f9R21vMXxHZFNpYNeKFtG8_yji4HS352LGlSQ/edit?pli=1#gid=0"",""1_ACUM!A4:S""),15,FALSE))"),"")</f>
        <v/>
      </c>
      <c r="BB686" s="43" t="str">
        <f ca="1">IFERROR(__xludf.DUMMYFUNCTION("IFERROR(VLOOKUP(E700&amp;F700,IMPORTRANGE(""https://docs.google.com/spreadsheets/d/1Uw7-A9f9R21vMXxHZFNpYNeKFtG8_yji4HS352LGlSQ/edit?pli=1#gid=0"",""1_ACUM!A4:S""),16,FALSE))"),"")</f>
        <v/>
      </c>
      <c r="BC686" s="43" t="str">
        <f ca="1">IFERROR(__xludf.DUMMYFUNCTION("IFERROR(VLOOKUP(E700&amp;F700,IMPORTRANGE(""https://docs.google.com/spreadsheets/d/1Uw7-A9f9R21vMXxHZFNpYNeKFtG8_yji4HS352LGlSQ/edit?pli=1#gid=0"",""1_ACUM!A4:S""),17,FALSE))"),"")</f>
        <v/>
      </c>
      <c r="BD686" s="44" t="str">
        <f ca="1">IFERROR(__xludf.DUMMYFUNCTION("IFERROR(VLOOKUP(E700&amp;F700,IMPORTRANGE(""https://docs.google.com/spreadsheets/d/1Uw7-A9f9R21vMXxHZFNpYNeKFtG8_yji4HS352LGlSQ/edit?pli=1#gid=0"",""1_ACUM!A4:S""),18,FALSE))"),"")</f>
        <v/>
      </c>
      <c r="BE686" s="44" t="str">
        <f ca="1">IFERROR(__xludf.DUMMYFUNCTION("IFERROR(VLOOKUP(E700&amp;F700,IMPORTRANGE(""https://docs.google.com/spreadsheets/d/1Uw7-A9f9R21vMXxHZFNpYNeKFtG8_yji4HS352LGlSQ/edit?pli=1#gid=0"",""1_ACUM!A4:S""),19,FALSE))"),"")</f>
        <v/>
      </c>
      <c r="BF686" s="98" t="str">
        <f ca="1">IFERROR(__xludf.DUMMYFUNCTION("IFERROR(VLOOKUP(F700,IMPORTRANGE(""https://docs.google.com/spreadsheets/d/1Kvs4KS76FHFqLFIZfrDMff4kP08nblUkihrxltoGBjg/edit#gid=934712705"",""ESENCIAL!A6:BG""),5,FALSE))"),"")</f>
        <v/>
      </c>
      <c r="BG686" s="98" t="str">
        <f t="shared" si="21"/>
        <v/>
      </c>
      <c r="BH686" s="99" t="str">
        <f t="shared" si="22"/>
        <v/>
      </c>
      <c r="BI686" s="100" t="str">
        <f ca="1">IFERROR(__xludf.DUMMYFUNCTION("IFERROR(VLOOKUP(F700,IMPORTRANGE(""https://docs.google.com/spreadsheets/d/1Kvs4KS76FHFqLFIZfrDMff4kP08nblUkihrxltoGBjg/edit#gid=934712705"",""ESENCIAL!A6:BG""),2,FALSE))"),"")</f>
        <v/>
      </c>
      <c r="BJ686" s="19" t="str">
        <f t="shared" si="23"/>
        <v/>
      </c>
      <c r="BK686" s="100"/>
      <c r="BL686" s="100"/>
    </row>
    <row r="687" spans="1:64" ht="15">
      <c r="A687" s="5"/>
      <c r="B687" s="5"/>
      <c r="G687" s="5" t="str">
        <f ca="1">IFERROR(__xludf.DUMMYFUNCTION("IFERROR(VLOOKUP(F701,IMPORTRANGE(""https://docs.google.com/spreadsheets/d/1Kvs4KS76FHFqLFIZfrDMff4kP08nblUkihrxltoGBjg/edit#gid=934712705"",""ESENCIAL!A6:BG""),3,FALSE))"),"")</f>
        <v/>
      </c>
      <c r="H687" s="5" t="str">
        <f ca="1">IFERROR(__xludf.DUMMYFUNCTION("IFERROR(VLOOKUP(F701,IMPORTRANGE(""https://docs.google.com/spreadsheets/d/1Kvs4KS76FHFqLFIZfrDMff4kP08nblUkihrxltoGBjg/edit#gid=934712705"",""ESENCIAL!A6:BG""),8,FALSE))"),"")</f>
        <v/>
      </c>
      <c r="L687" s="287"/>
      <c r="U687" s="40"/>
      <c r="AU687" s="41" t="str">
        <f t="shared" si="20"/>
        <v/>
      </c>
      <c r="AV687" s="5" t="str">
        <f ca="1">IFERROR(__xludf.DUMMYFUNCTION("IFERROR(VLOOKUP(E701&amp;F701,IMPORTRANGE(""https://docs.google.com/spreadsheets/d/1Uw7-A9f9R21vMXxHZFNpYNeKFtG8_yji4HS352LGlSQ/edit?pli=1#gid=0"",""1_ACUM!A4:S""),11,FALSE))"),"")</f>
        <v/>
      </c>
      <c r="AW687" s="42" t="str">
        <f ca="1">IFERROR(__xludf.DUMMYFUNCTION("IFERROR(VLOOKUP(F701,IMPORTRANGE(""https://docs.google.com/spreadsheets/d/1Kvs4KS76FHFqLFIZfrDMff4kP08nblUkihrxltoGBjg/edit#gid=934712705"",""ESENCIAL!A6:BG""),15,FALSE))"),"")</f>
        <v/>
      </c>
      <c r="AX687" s="21" t="str">
        <f ca="1">IFERROR(__xludf.DUMMYFUNCTION("IFERROR(VLOOKUP(E701&amp;F701,IMPORTRANGE(""https://docs.google.com/spreadsheets/d/1Uw7-A9f9R21vMXxHZFNpYNeKFtG8_yji4HS352LGlSQ/edit?pli=1#gid=0"",""1_ACUM!A4:S""),12,FALSE))"),"")</f>
        <v/>
      </c>
      <c r="AY687" s="43" t="str">
        <f ca="1">IFERROR(__xludf.DUMMYFUNCTION("IFERROR(VLOOKUP(E701&amp;F701,IMPORTRANGE(""https://docs.google.com/spreadsheets/d/1Uw7-A9f9R21vMXxHZFNpYNeKFtG8_yji4HS352LGlSQ/edit?pli=1#gid=0"",""1_ACUM!A4:S""),13,FALSE))"),"")</f>
        <v/>
      </c>
      <c r="AZ687" s="43" t="str">
        <f ca="1">IFERROR(__xludf.DUMMYFUNCTION("IFERROR(VLOOKUP(E701&amp;F701,IMPORTRANGE(""https://docs.google.com/spreadsheets/d/1Uw7-A9f9R21vMXxHZFNpYNeKFtG8_yji4HS352LGlSQ/edit?pli=1#gid=0"",""1_ACUM!A4:S""),14,FALSE))"),"")</f>
        <v/>
      </c>
      <c r="BA687" s="43" t="str">
        <f ca="1">IFERROR(__xludf.DUMMYFUNCTION("IFERROR(VLOOKUP(E701&amp;F701,IMPORTRANGE(""https://docs.google.com/spreadsheets/d/1Uw7-A9f9R21vMXxHZFNpYNeKFtG8_yji4HS352LGlSQ/edit?pli=1#gid=0"",""1_ACUM!A4:S""),15,FALSE))"),"")</f>
        <v/>
      </c>
      <c r="BB687" s="43" t="str">
        <f ca="1">IFERROR(__xludf.DUMMYFUNCTION("IFERROR(VLOOKUP(E701&amp;F701,IMPORTRANGE(""https://docs.google.com/spreadsheets/d/1Uw7-A9f9R21vMXxHZFNpYNeKFtG8_yji4HS352LGlSQ/edit?pli=1#gid=0"",""1_ACUM!A4:S""),16,FALSE))"),"")</f>
        <v/>
      </c>
      <c r="BC687" s="43" t="str">
        <f ca="1">IFERROR(__xludf.DUMMYFUNCTION("IFERROR(VLOOKUP(E701&amp;F701,IMPORTRANGE(""https://docs.google.com/spreadsheets/d/1Uw7-A9f9R21vMXxHZFNpYNeKFtG8_yji4HS352LGlSQ/edit?pli=1#gid=0"",""1_ACUM!A4:S""),17,FALSE))"),"")</f>
        <v/>
      </c>
      <c r="BD687" s="44" t="str">
        <f ca="1">IFERROR(__xludf.DUMMYFUNCTION("IFERROR(VLOOKUP(E701&amp;F701,IMPORTRANGE(""https://docs.google.com/spreadsheets/d/1Uw7-A9f9R21vMXxHZFNpYNeKFtG8_yji4HS352LGlSQ/edit?pli=1#gid=0"",""1_ACUM!A4:S""),18,FALSE))"),"")</f>
        <v/>
      </c>
      <c r="BE687" s="44" t="str">
        <f ca="1">IFERROR(__xludf.DUMMYFUNCTION("IFERROR(VLOOKUP(E701&amp;F701,IMPORTRANGE(""https://docs.google.com/spreadsheets/d/1Uw7-A9f9R21vMXxHZFNpYNeKFtG8_yji4HS352LGlSQ/edit?pli=1#gid=0"",""1_ACUM!A4:S""),19,FALSE))"),"")</f>
        <v/>
      </c>
      <c r="BF687" s="98" t="str">
        <f ca="1">IFERROR(__xludf.DUMMYFUNCTION("IFERROR(VLOOKUP(F701,IMPORTRANGE(""https://docs.google.com/spreadsheets/d/1Kvs4KS76FHFqLFIZfrDMff4kP08nblUkihrxltoGBjg/edit#gid=934712705"",""ESENCIAL!A6:BG""),5,FALSE))"),"")</f>
        <v/>
      </c>
      <c r="BG687" s="98" t="str">
        <f t="shared" si="21"/>
        <v/>
      </c>
      <c r="BH687" s="99" t="str">
        <f t="shared" si="22"/>
        <v/>
      </c>
      <c r="BI687" s="100" t="str">
        <f ca="1">IFERROR(__xludf.DUMMYFUNCTION("IFERROR(VLOOKUP(F701,IMPORTRANGE(""https://docs.google.com/spreadsheets/d/1Kvs4KS76FHFqLFIZfrDMff4kP08nblUkihrxltoGBjg/edit#gid=934712705"",""ESENCIAL!A6:BG""),2,FALSE))"),"")</f>
        <v/>
      </c>
      <c r="BJ687" s="19" t="str">
        <f t="shared" si="23"/>
        <v/>
      </c>
      <c r="BK687" s="100"/>
      <c r="BL687" s="100"/>
    </row>
    <row r="688" spans="1:64" ht="15">
      <c r="A688" s="5"/>
      <c r="B688" s="5"/>
      <c r="G688" s="5" t="str">
        <f ca="1">IFERROR(__xludf.DUMMYFUNCTION("IFERROR(VLOOKUP(F702,IMPORTRANGE(""https://docs.google.com/spreadsheets/d/1Kvs4KS76FHFqLFIZfrDMff4kP08nblUkihrxltoGBjg/edit#gid=934712705"",""ESENCIAL!A6:BG""),3,FALSE))"),"")</f>
        <v/>
      </c>
      <c r="H688" s="5" t="str">
        <f ca="1">IFERROR(__xludf.DUMMYFUNCTION("IFERROR(VLOOKUP(F702,IMPORTRANGE(""https://docs.google.com/spreadsheets/d/1Kvs4KS76FHFqLFIZfrDMff4kP08nblUkihrxltoGBjg/edit#gid=934712705"",""ESENCIAL!A6:BG""),8,FALSE))"),"")</f>
        <v/>
      </c>
      <c r="L688" s="287"/>
      <c r="U688" s="40"/>
      <c r="AU688" s="41" t="str">
        <f t="shared" si="20"/>
        <v/>
      </c>
      <c r="AV688" s="5" t="str">
        <f ca="1">IFERROR(__xludf.DUMMYFUNCTION("IFERROR(VLOOKUP(E702&amp;F702,IMPORTRANGE(""https://docs.google.com/spreadsheets/d/1Uw7-A9f9R21vMXxHZFNpYNeKFtG8_yji4HS352LGlSQ/edit?pli=1#gid=0"",""1_ACUM!A4:S""),11,FALSE))"),"")</f>
        <v/>
      </c>
      <c r="AW688" s="42" t="str">
        <f ca="1">IFERROR(__xludf.DUMMYFUNCTION("IFERROR(VLOOKUP(F702,IMPORTRANGE(""https://docs.google.com/spreadsheets/d/1Kvs4KS76FHFqLFIZfrDMff4kP08nblUkihrxltoGBjg/edit#gid=934712705"",""ESENCIAL!A6:BG""),15,FALSE))"),"")</f>
        <v/>
      </c>
      <c r="AX688" s="21" t="str">
        <f ca="1">IFERROR(__xludf.DUMMYFUNCTION("IFERROR(VLOOKUP(E702&amp;F702,IMPORTRANGE(""https://docs.google.com/spreadsheets/d/1Uw7-A9f9R21vMXxHZFNpYNeKFtG8_yji4HS352LGlSQ/edit?pli=1#gid=0"",""1_ACUM!A4:S""),12,FALSE))"),"")</f>
        <v/>
      </c>
      <c r="AY688" s="43" t="str">
        <f ca="1">IFERROR(__xludf.DUMMYFUNCTION("IFERROR(VLOOKUP(E702&amp;F702,IMPORTRANGE(""https://docs.google.com/spreadsheets/d/1Uw7-A9f9R21vMXxHZFNpYNeKFtG8_yji4HS352LGlSQ/edit?pli=1#gid=0"",""1_ACUM!A4:S""),13,FALSE))"),"")</f>
        <v/>
      </c>
      <c r="AZ688" s="43" t="str">
        <f ca="1">IFERROR(__xludf.DUMMYFUNCTION("IFERROR(VLOOKUP(E702&amp;F702,IMPORTRANGE(""https://docs.google.com/spreadsheets/d/1Uw7-A9f9R21vMXxHZFNpYNeKFtG8_yji4HS352LGlSQ/edit?pli=1#gid=0"",""1_ACUM!A4:S""),14,FALSE))"),"")</f>
        <v/>
      </c>
      <c r="BA688" s="43" t="str">
        <f ca="1">IFERROR(__xludf.DUMMYFUNCTION("IFERROR(VLOOKUP(E702&amp;F702,IMPORTRANGE(""https://docs.google.com/spreadsheets/d/1Uw7-A9f9R21vMXxHZFNpYNeKFtG8_yji4HS352LGlSQ/edit?pli=1#gid=0"",""1_ACUM!A4:S""),15,FALSE))"),"")</f>
        <v/>
      </c>
      <c r="BB688" s="43" t="str">
        <f ca="1">IFERROR(__xludf.DUMMYFUNCTION("IFERROR(VLOOKUP(E702&amp;F702,IMPORTRANGE(""https://docs.google.com/spreadsheets/d/1Uw7-A9f9R21vMXxHZFNpYNeKFtG8_yji4HS352LGlSQ/edit?pli=1#gid=0"",""1_ACUM!A4:S""),16,FALSE))"),"")</f>
        <v/>
      </c>
      <c r="BC688" s="43" t="str">
        <f ca="1">IFERROR(__xludf.DUMMYFUNCTION("IFERROR(VLOOKUP(E702&amp;F702,IMPORTRANGE(""https://docs.google.com/spreadsheets/d/1Uw7-A9f9R21vMXxHZFNpYNeKFtG8_yji4HS352LGlSQ/edit?pli=1#gid=0"",""1_ACUM!A4:S""),17,FALSE))"),"")</f>
        <v/>
      </c>
      <c r="BD688" s="44" t="str">
        <f ca="1">IFERROR(__xludf.DUMMYFUNCTION("IFERROR(VLOOKUP(E702&amp;F702,IMPORTRANGE(""https://docs.google.com/spreadsheets/d/1Uw7-A9f9R21vMXxHZFNpYNeKFtG8_yji4HS352LGlSQ/edit?pli=1#gid=0"",""1_ACUM!A4:S""),18,FALSE))"),"")</f>
        <v/>
      </c>
      <c r="BE688" s="44" t="str">
        <f ca="1">IFERROR(__xludf.DUMMYFUNCTION("IFERROR(VLOOKUP(E702&amp;F702,IMPORTRANGE(""https://docs.google.com/spreadsheets/d/1Uw7-A9f9R21vMXxHZFNpYNeKFtG8_yji4HS352LGlSQ/edit?pli=1#gid=0"",""1_ACUM!A4:S""),19,FALSE))"),"")</f>
        <v/>
      </c>
      <c r="BF688" s="98" t="str">
        <f ca="1">IFERROR(__xludf.DUMMYFUNCTION("IFERROR(VLOOKUP(F702,IMPORTRANGE(""https://docs.google.com/spreadsheets/d/1Kvs4KS76FHFqLFIZfrDMff4kP08nblUkihrxltoGBjg/edit#gid=934712705"",""ESENCIAL!A6:BG""),5,FALSE))"),"")</f>
        <v/>
      </c>
      <c r="BG688" s="98" t="str">
        <f t="shared" si="21"/>
        <v/>
      </c>
      <c r="BH688" s="99" t="str">
        <f t="shared" si="22"/>
        <v/>
      </c>
      <c r="BI688" s="100" t="str">
        <f ca="1">IFERROR(__xludf.DUMMYFUNCTION("IFERROR(VLOOKUP(F702,IMPORTRANGE(""https://docs.google.com/spreadsheets/d/1Kvs4KS76FHFqLFIZfrDMff4kP08nblUkihrxltoGBjg/edit#gid=934712705"",""ESENCIAL!A6:BG""),2,FALSE))"),"")</f>
        <v/>
      </c>
      <c r="BJ688" s="19" t="str">
        <f t="shared" si="23"/>
        <v/>
      </c>
      <c r="BK688" s="100"/>
      <c r="BL688" s="100"/>
    </row>
    <row r="689" spans="1:64" ht="15">
      <c r="A689" s="5"/>
      <c r="B689" s="5"/>
      <c r="G689" s="5" t="str">
        <f ca="1">IFERROR(__xludf.DUMMYFUNCTION("IFERROR(VLOOKUP(F703,IMPORTRANGE(""https://docs.google.com/spreadsheets/d/1Kvs4KS76FHFqLFIZfrDMff4kP08nblUkihrxltoGBjg/edit#gid=934712705"",""ESENCIAL!A6:BG""),3,FALSE))"),"")</f>
        <v/>
      </c>
      <c r="H689" s="5" t="str">
        <f ca="1">IFERROR(__xludf.DUMMYFUNCTION("IFERROR(VLOOKUP(F703,IMPORTRANGE(""https://docs.google.com/spreadsheets/d/1Kvs4KS76FHFqLFIZfrDMff4kP08nblUkihrxltoGBjg/edit#gid=934712705"",""ESENCIAL!A6:BG""),8,FALSE))"),"")</f>
        <v/>
      </c>
      <c r="L689" s="287"/>
      <c r="U689" s="40"/>
      <c r="AU689" s="41" t="str">
        <f t="shared" si="20"/>
        <v/>
      </c>
      <c r="AV689" s="5" t="str">
        <f ca="1">IFERROR(__xludf.DUMMYFUNCTION("IFERROR(VLOOKUP(E703&amp;F703,IMPORTRANGE(""https://docs.google.com/spreadsheets/d/1Uw7-A9f9R21vMXxHZFNpYNeKFtG8_yji4HS352LGlSQ/edit?pli=1#gid=0"",""1_ACUM!A4:S""),11,FALSE))"),"")</f>
        <v/>
      </c>
      <c r="AW689" s="42" t="str">
        <f ca="1">IFERROR(__xludf.DUMMYFUNCTION("IFERROR(VLOOKUP(F703,IMPORTRANGE(""https://docs.google.com/spreadsheets/d/1Kvs4KS76FHFqLFIZfrDMff4kP08nblUkihrxltoGBjg/edit#gid=934712705"",""ESENCIAL!A6:BG""),15,FALSE))"),"")</f>
        <v/>
      </c>
      <c r="AX689" s="21" t="str">
        <f ca="1">IFERROR(__xludf.DUMMYFUNCTION("IFERROR(VLOOKUP(E703&amp;F703,IMPORTRANGE(""https://docs.google.com/spreadsheets/d/1Uw7-A9f9R21vMXxHZFNpYNeKFtG8_yji4HS352LGlSQ/edit?pli=1#gid=0"",""1_ACUM!A4:S""),12,FALSE))"),"")</f>
        <v/>
      </c>
      <c r="AY689" s="43" t="str">
        <f ca="1">IFERROR(__xludf.DUMMYFUNCTION("IFERROR(VLOOKUP(E703&amp;F703,IMPORTRANGE(""https://docs.google.com/spreadsheets/d/1Uw7-A9f9R21vMXxHZFNpYNeKFtG8_yji4HS352LGlSQ/edit?pli=1#gid=0"",""1_ACUM!A4:S""),13,FALSE))"),"")</f>
        <v/>
      </c>
      <c r="AZ689" s="43" t="str">
        <f ca="1">IFERROR(__xludf.DUMMYFUNCTION("IFERROR(VLOOKUP(E703&amp;F703,IMPORTRANGE(""https://docs.google.com/spreadsheets/d/1Uw7-A9f9R21vMXxHZFNpYNeKFtG8_yji4HS352LGlSQ/edit?pli=1#gid=0"",""1_ACUM!A4:S""),14,FALSE))"),"")</f>
        <v/>
      </c>
      <c r="BA689" s="43" t="str">
        <f ca="1">IFERROR(__xludf.DUMMYFUNCTION("IFERROR(VLOOKUP(E703&amp;F703,IMPORTRANGE(""https://docs.google.com/spreadsheets/d/1Uw7-A9f9R21vMXxHZFNpYNeKFtG8_yji4HS352LGlSQ/edit?pli=1#gid=0"",""1_ACUM!A4:S""),15,FALSE))"),"")</f>
        <v/>
      </c>
      <c r="BB689" s="43" t="str">
        <f ca="1">IFERROR(__xludf.DUMMYFUNCTION("IFERROR(VLOOKUP(E703&amp;F703,IMPORTRANGE(""https://docs.google.com/spreadsheets/d/1Uw7-A9f9R21vMXxHZFNpYNeKFtG8_yji4HS352LGlSQ/edit?pli=1#gid=0"",""1_ACUM!A4:S""),16,FALSE))"),"")</f>
        <v/>
      </c>
      <c r="BC689" s="43" t="str">
        <f ca="1">IFERROR(__xludf.DUMMYFUNCTION("IFERROR(VLOOKUP(E703&amp;F703,IMPORTRANGE(""https://docs.google.com/spreadsheets/d/1Uw7-A9f9R21vMXxHZFNpYNeKFtG8_yji4HS352LGlSQ/edit?pli=1#gid=0"",""1_ACUM!A4:S""),17,FALSE))"),"")</f>
        <v/>
      </c>
      <c r="BD689" s="44" t="str">
        <f ca="1">IFERROR(__xludf.DUMMYFUNCTION("IFERROR(VLOOKUP(E703&amp;F703,IMPORTRANGE(""https://docs.google.com/spreadsheets/d/1Uw7-A9f9R21vMXxHZFNpYNeKFtG8_yji4HS352LGlSQ/edit?pli=1#gid=0"",""1_ACUM!A4:S""),18,FALSE))"),"")</f>
        <v/>
      </c>
      <c r="BE689" s="44" t="str">
        <f ca="1">IFERROR(__xludf.DUMMYFUNCTION("IFERROR(VLOOKUP(E703&amp;F703,IMPORTRANGE(""https://docs.google.com/spreadsheets/d/1Uw7-A9f9R21vMXxHZFNpYNeKFtG8_yji4HS352LGlSQ/edit?pli=1#gid=0"",""1_ACUM!A4:S""),19,FALSE))"),"")</f>
        <v/>
      </c>
      <c r="BF689" s="98" t="str">
        <f ca="1">IFERROR(__xludf.DUMMYFUNCTION("IFERROR(VLOOKUP(F703,IMPORTRANGE(""https://docs.google.com/spreadsheets/d/1Kvs4KS76FHFqLFIZfrDMff4kP08nblUkihrxltoGBjg/edit#gid=934712705"",""ESENCIAL!A6:BG""),5,FALSE))"),"")</f>
        <v/>
      </c>
      <c r="BG689" s="98" t="str">
        <f t="shared" si="21"/>
        <v/>
      </c>
      <c r="BH689" s="99" t="str">
        <f t="shared" si="22"/>
        <v/>
      </c>
      <c r="BI689" s="100" t="str">
        <f ca="1">IFERROR(__xludf.DUMMYFUNCTION("IFERROR(VLOOKUP(F703,IMPORTRANGE(""https://docs.google.com/spreadsheets/d/1Kvs4KS76FHFqLFIZfrDMff4kP08nblUkihrxltoGBjg/edit#gid=934712705"",""ESENCIAL!A6:BG""),2,FALSE))"),"")</f>
        <v/>
      </c>
      <c r="BJ689" s="19" t="str">
        <f t="shared" si="23"/>
        <v/>
      </c>
      <c r="BK689" s="100"/>
      <c r="BL689" s="100"/>
    </row>
    <row r="690" spans="1:64" ht="15">
      <c r="A690" s="5"/>
      <c r="B690" s="5"/>
      <c r="G690" s="5" t="str">
        <f ca="1">IFERROR(__xludf.DUMMYFUNCTION("IFERROR(VLOOKUP(F704,IMPORTRANGE(""https://docs.google.com/spreadsheets/d/1Kvs4KS76FHFqLFIZfrDMff4kP08nblUkihrxltoGBjg/edit#gid=934712705"",""ESENCIAL!A6:BG""),3,FALSE))"),"")</f>
        <v/>
      </c>
      <c r="H690" s="5" t="str">
        <f ca="1">IFERROR(__xludf.DUMMYFUNCTION("IFERROR(VLOOKUP(F704,IMPORTRANGE(""https://docs.google.com/spreadsheets/d/1Kvs4KS76FHFqLFIZfrDMff4kP08nblUkihrxltoGBjg/edit#gid=934712705"",""ESENCIAL!A6:BG""),8,FALSE))"),"")</f>
        <v/>
      </c>
      <c r="L690" s="287"/>
      <c r="U690" s="40"/>
      <c r="AU690" s="41" t="str">
        <f t="shared" si="20"/>
        <v/>
      </c>
      <c r="AV690" s="5" t="str">
        <f ca="1">IFERROR(__xludf.DUMMYFUNCTION("IFERROR(VLOOKUP(E704&amp;F704,IMPORTRANGE(""https://docs.google.com/spreadsheets/d/1Uw7-A9f9R21vMXxHZFNpYNeKFtG8_yji4HS352LGlSQ/edit?pli=1#gid=0"",""1_ACUM!A4:S""),11,FALSE))"),"")</f>
        <v/>
      </c>
      <c r="AW690" s="42" t="str">
        <f ca="1">IFERROR(__xludf.DUMMYFUNCTION("IFERROR(VLOOKUP(F704,IMPORTRANGE(""https://docs.google.com/spreadsheets/d/1Kvs4KS76FHFqLFIZfrDMff4kP08nblUkihrxltoGBjg/edit#gid=934712705"",""ESENCIAL!A6:BG""),15,FALSE))"),"")</f>
        <v/>
      </c>
      <c r="AX690" s="21" t="str">
        <f ca="1">IFERROR(__xludf.DUMMYFUNCTION("IFERROR(VLOOKUP(E704&amp;F704,IMPORTRANGE(""https://docs.google.com/spreadsheets/d/1Uw7-A9f9R21vMXxHZFNpYNeKFtG8_yji4HS352LGlSQ/edit?pli=1#gid=0"",""1_ACUM!A4:S""),12,FALSE))"),"")</f>
        <v/>
      </c>
      <c r="AY690" s="43" t="str">
        <f ca="1">IFERROR(__xludf.DUMMYFUNCTION("IFERROR(VLOOKUP(E704&amp;F704,IMPORTRANGE(""https://docs.google.com/spreadsheets/d/1Uw7-A9f9R21vMXxHZFNpYNeKFtG8_yji4HS352LGlSQ/edit?pli=1#gid=0"",""1_ACUM!A4:S""),13,FALSE))"),"")</f>
        <v/>
      </c>
      <c r="AZ690" s="43" t="str">
        <f ca="1">IFERROR(__xludf.DUMMYFUNCTION("IFERROR(VLOOKUP(E704&amp;F704,IMPORTRANGE(""https://docs.google.com/spreadsheets/d/1Uw7-A9f9R21vMXxHZFNpYNeKFtG8_yji4HS352LGlSQ/edit?pli=1#gid=0"",""1_ACUM!A4:S""),14,FALSE))"),"")</f>
        <v/>
      </c>
      <c r="BA690" s="43" t="str">
        <f ca="1">IFERROR(__xludf.DUMMYFUNCTION("IFERROR(VLOOKUP(E704&amp;F704,IMPORTRANGE(""https://docs.google.com/spreadsheets/d/1Uw7-A9f9R21vMXxHZFNpYNeKFtG8_yji4HS352LGlSQ/edit?pli=1#gid=0"",""1_ACUM!A4:S""),15,FALSE))"),"")</f>
        <v/>
      </c>
      <c r="BB690" s="43" t="str">
        <f ca="1">IFERROR(__xludf.DUMMYFUNCTION("IFERROR(VLOOKUP(E704&amp;F704,IMPORTRANGE(""https://docs.google.com/spreadsheets/d/1Uw7-A9f9R21vMXxHZFNpYNeKFtG8_yji4HS352LGlSQ/edit?pli=1#gid=0"",""1_ACUM!A4:S""),16,FALSE))"),"")</f>
        <v/>
      </c>
      <c r="BC690" s="43" t="str">
        <f ca="1">IFERROR(__xludf.DUMMYFUNCTION("IFERROR(VLOOKUP(E704&amp;F704,IMPORTRANGE(""https://docs.google.com/spreadsheets/d/1Uw7-A9f9R21vMXxHZFNpYNeKFtG8_yji4HS352LGlSQ/edit?pli=1#gid=0"",""1_ACUM!A4:S""),17,FALSE))"),"")</f>
        <v/>
      </c>
      <c r="BD690" s="44" t="str">
        <f ca="1">IFERROR(__xludf.DUMMYFUNCTION("IFERROR(VLOOKUP(E704&amp;F704,IMPORTRANGE(""https://docs.google.com/spreadsheets/d/1Uw7-A9f9R21vMXxHZFNpYNeKFtG8_yji4HS352LGlSQ/edit?pli=1#gid=0"",""1_ACUM!A4:S""),18,FALSE))"),"")</f>
        <v/>
      </c>
      <c r="BE690" s="44" t="str">
        <f ca="1">IFERROR(__xludf.DUMMYFUNCTION("IFERROR(VLOOKUP(E704&amp;F704,IMPORTRANGE(""https://docs.google.com/spreadsheets/d/1Uw7-A9f9R21vMXxHZFNpYNeKFtG8_yji4HS352LGlSQ/edit?pli=1#gid=0"",""1_ACUM!A4:S""),19,FALSE))"),"")</f>
        <v/>
      </c>
      <c r="BF690" s="98" t="str">
        <f ca="1">IFERROR(__xludf.DUMMYFUNCTION("IFERROR(VLOOKUP(F704,IMPORTRANGE(""https://docs.google.com/spreadsheets/d/1Kvs4KS76FHFqLFIZfrDMff4kP08nblUkihrxltoGBjg/edit#gid=934712705"",""ESENCIAL!A6:BG""),5,FALSE))"),"")</f>
        <v/>
      </c>
      <c r="BG690" s="98" t="str">
        <f t="shared" si="21"/>
        <v/>
      </c>
      <c r="BH690" s="99" t="str">
        <f t="shared" si="22"/>
        <v/>
      </c>
      <c r="BI690" s="100" t="str">
        <f ca="1">IFERROR(__xludf.DUMMYFUNCTION("IFERROR(VLOOKUP(F704,IMPORTRANGE(""https://docs.google.com/spreadsheets/d/1Kvs4KS76FHFqLFIZfrDMff4kP08nblUkihrxltoGBjg/edit#gid=934712705"",""ESENCIAL!A6:BG""),2,FALSE))"),"")</f>
        <v/>
      </c>
      <c r="BJ690" s="19" t="str">
        <f t="shared" si="23"/>
        <v/>
      </c>
      <c r="BK690" s="100"/>
      <c r="BL690" s="100"/>
    </row>
    <row r="691" spans="1:64" ht="15">
      <c r="A691" s="5"/>
      <c r="B691" s="5"/>
      <c r="G691" s="5" t="str">
        <f ca="1">IFERROR(__xludf.DUMMYFUNCTION("IFERROR(VLOOKUP(F705,IMPORTRANGE(""https://docs.google.com/spreadsheets/d/1Kvs4KS76FHFqLFIZfrDMff4kP08nblUkihrxltoGBjg/edit#gid=934712705"",""ESENCIAL!A6:BG""),3,FALSE))"),"")</f>
        <v/>
      </c>
      <c r="H691" s="5" t="str">
        <f ca="1">IFERROR(__xludf.DUMMYFUNCTION("IFERROR(VLOOKUP(F705,IMPORTRANGE(""https://docs.google.com/spreadsheets/d/1Kvs4KS76FHFqLFIZfrDMff4kP08nblUkihrxltoGBjg/edit#gid=934712705"",""ESENCIAL!A6:BG""),8,FALSE))"),"")</f>
        <v/>
      </c>
      <c r="L691" s="287"/>
      <c r="U691" s="40"/>
      <c r="AU691" s="41" t="str">
        <f t="shared" si="20"/>
        <v/>
      </c>
      <c r="AV691" s="5" t="str">
        <f ca="1">IFERROR(__xludf.DUMMYFUNCTION("IFERROR(VLOOKUP(E705&amp;F705,IMPORTRANGE(""https://docs.google.com/spreadsheets/d/1Uw7-A9f9R21vMXxHZFNpYNeKFtG8_yji4HS352LGlSQ/edit?pli=1#gid=0"",""1_ACUM!A4:S""),11,FALSE))"),"")</f>
        <v/>
      </c>
      <c r="AW691" s="42" t="str">
        <f ca="1">IFERROR(__xludf.DUMMYFUNCTION("IFERROR(VLOOKUP(F705,IMPORTRANGE(""https://docs.google.com/spreadsheets/d/1Kvs4KS76FHFqLFIZfrDMff4kP08nblUkihrxltoGBjg/edit#gid=934712705"",""ESENCIAL!A6:BG""),15,FALSE))"),"")</f>
        <v/>
      </c>
      <c r="AX691" s="21" t="str">
        <f ca="1">IFERROR(__xludf.DUMMYFUNCTION("IFERROR(VLOOKUP(E705&amp;F705,IMPORTRANGE(""https://docs.google.com/spreadsheets/d/1Uw7-A9f9R21vMXxHZFNpYNeKFtG8_yji4HS352LGlSQ/edit?pli=1#gid=0"",""1_ACUM!A4:S""),12,FALSE))"),"")</f>
        <v/>
      </c>
      <c r="AY691" s="43" t="str">
        <f ca="1">IFERROR(__xludf.DUMMYFUNCTION("IFERROR(VLOOKUP(E705&amp;F705,IMPORTRANGE(""https://docs.google.com/spreadsheets/d/1Uw7-A9f9R21vMXxHZFNpYNeKFtG8_yji4HS352LGlSQ/edit?pli=1#gid=0"",""1_ACUM!A4:S""),13,FALSE))"),"")</f>
        <v/>
      </c>
      <c r="AZ691" s="43" t="str">
        <f ca="1">IFERROR(__xludf.DUMMYFUNCTION("IFERROR(VLOOKUP(E705&amp;F705,IMPORTRANGE(""https://docs.google.com/spreadsheets/d/1Uw7-A9f9R21vMXxHZFNpYNeKFtG8_yji4HS352LGlSQ/edit?pli=1#gid=0"",""1_ACUM!A4:S""),14,FALSE))"),"")</f>
        <v/>
      </c>
      <c r="BA691" s="43" t="str">
        <f ca="1">IFERROR(__xludf.DUMMYFUNCTION("IFERROR(VLOOKUP(E705&amp;F705,IMPORTRANGE(""https://docs.google.com/spreadsheets/d/1Uw7-A9f9R21vMXxHZFNpYNeKFtG8_yji4HS352LGlSQ/edit?pli=1#gid=0"",""1_ACUM!A4:S""),15,FALSE))"),"")</f>
        <v/>
      </c>
      <c r="BB691" s="43" t="str">
        <f ca="1">IFERROR(__xludf.DUMMYFUNCTION("IFERROR(VLOOKUP(E705&amp;F705,IMPORTRANGE(""https://docs.google.com/spreadsheets/d/1Uw7-A9f9R21vMXxHZFNpYNeKFtG8_yji4HS352LGlSQ/edit?pli=1#gid=0"",""1_ACUM!A4:S""),16,FALSE))"),"")</f>
        <v/>
      </c>
      <c r="BC691" s="43" t="str">
        <f ca="1">IFERROR(__xludf.DUMMYFUNCTION("IFERROR(VLOOKUP(E705&amp;F705,IMPORTRANGE(""https://docs.google.com/spreadsheets/d/1Uw7-A9f9R21vMXxHZFNpYNeKFtG8_yji4HS352LGlSQ/edit?pli=1#gid=0"",""1_ACUM!A4:S""),17,FALSE))"),"")</f>
        <v/>
      </c>
      <c r="BD691" s="44" t="str">
        <f ca="1">IFERROR(__xludf.DUMMYFUNCTION("IFERROR(VLOOKUP(E705&amp;F705,IMPORTRANGE(""https://docs.google.com/spreadsheets/d/1Uw7-A9f9R21vMXxHZFNpYNeKFtG8_yji4HS352LGlSQ/edit?pli=1#gid=0"",""1_ACUM!A4:S""),18,FALSE))"),"")</f>
        <v/>
      </c>
      <c r="BE691" s="44" t="str">
        <f ca="1">IFERROR(__xludf.DUMMYFUNCTION("IFERROR(VLOOKUP(E705&amp;F705,IMPORTRANGE(""https://docs.google.com/spreadsheets/d/1Uw7-A9f9R21vMXxHZFNpYNeKFtG8_yji4HS352LGlSQ/edit?pli=1#gid=0"",""1_ACUM!A4:S""),19,FALSE))"),"")</f>
        <v/>
      </c>
      <c r="BF691" s="98" t="str">
        <f ca="1">IFERROR(__xludf.DUMMYFUNCTION("IFERROR(VLOOKUP(F705,IMPORTRANGE(""https://docs.google.com/spreadsheets/d/1Kvs4KS76FHFqLFIZfrDMff4kP08nblUkihrxltoGBjg/edit#gid=934712705"",""ESENCIAL!A6:BG""),5,FALSE))"),"")</f>
        <v/>
      </c>
      <c r="BG691" s="98" t="str">
        <f t="shared" si="21"/>
        <v/>
      </c>
      <c r="BH691" s="99" t="str">
        <f t="shared" si="22"/>
        <v/>
      </c>
      <c r="BI691" s="100" t="str">
        <f ca="1">IFERROR(__xludf.DUMMYFUNCTION("IFERROR(VLOOKUP(F705,IMPORTRANGE(""https://docs.google.com/spreadsheets/d/1Kvs4KS76FHFqLFIZfrDMff4kP08nblUkihrxltoGBjg/edit#gid=934712705"",""ESENCIAL!A6:BG""),2,FALSE))"),"")</f>
        <v/>
      </c>
      <c r="BJ691" s="19" t="str">
        <f t="shared" si="23"/>
        <v/>
      </c>
      <c r="BK691" s="100"/>
      <c r="BL691" s="100"/>
    </row>
    <row r="692" spans="1:64" ht="15">
      <c r="A692" s="5"/>
      <c r="B692" s="5"/>
      <c r="G692" s="5" t="str">
        <f ca="1">IFERROR(__xludf.DUMMYFUNCTION("IFERROR(VLOOKUP(F706,IMPORTRANGE(""https://docs.google.com/spreadsheets/d/1Kvs4KS76FHFqLFIZfrDMff4kP08nblUkihrxltoGBjg/edit#gid=934712705"",""ESENCIAL!A6:BG""),3,FALSE))"),"")</f>
        <v/>
      </c>
      <c r="H692" s="5" t="str">
        <f ca="1">IFERROR(__xludf.DUMMYFUNCTION("IFERROR(VLOOKUP(F706,IMPORTRANGE(""https://docs.google.com/spreadsheets/d/1Kvs4KS76FHFqLFIZfrDMff4kP08nblUkihrxltoGBjg/edit#gid=934712705"",""ESENCIAL!A6:BG""),8,FALSE))"),"")</f>
        <v/>
      </c>
      <c r="L692" s="287"/>
      <c r="U692" s="40"/>
      <c r="AU692" s="41" t="str">
        <f t="shared" si="20"/>
        <v/>
      </c>
      <c r="AV692" s="5" t="str">
        <f ca="1">IFERROR(__xludf.DUMMYFUNCTION("IFERROR(VLOOKUP(E706&amp;F706,IMPORTRANGE(""https://docs.google.com/spreadsheets/d/1Uw7-A9f9R21vMXxHZFNpYNeKFtG8_yji4HS352LGlSQ/edit?pli=1#gid=0"",""1_ACUM!A4:S""),11,FALSE))"),"")</f>
        <v/>
      </c>
      <c r="AW692" s="42" t="str">
        <f ca="1">IFERROR(__xludf.DUMMYFUNCTION("IFERROR(VLOOKUP(F706,IMPORTRANGE(""https://docs.google.com/spreadsheets/d/1Kvs4KS76FHFqLFIZfrDMff4kP08nblUkihrxltoGBjg/edit#gid=934712705"",""ESENCIAL!A6:BG""),15,FALSE))"),"")</f>
        <v/>
      </c>
      <c r="AX692" s="21" t="str">
        <f ca="1">IFERROR(__xludf.DUMMYFUNCTION("IFERROR(VLOOKUP(E706&amp;F706,IMPORTRANGE(""https://docs.google.com/spreadsheets/d/1Uw7-A9f9R21vMXxHZFNpYNeKFtG8_yji4HS352LGlSQ/edit?pli=1#gid=0"",""1_ACUM!A4:S""),12,FALSE))"),"")</f>
        <v/>
      </c>
      <c r="AY692" s="43" t="str">
        <f ca="1">IFERROR(__xludf.DUMMYFUNCTION("IFERROR(VLOOKUP(E706&amp;F706,IMPORTRANGE(""https://docs.google.com/spreadsheets/d/1Uw7-A9f9R21vMXxHZFNpYNeKFtG8_yji4HS352LGlSQ/edit?pli=1#gid=0"",""1_ACUM!A4:S""),13,FALSE))"),"")</f>
        <v/>
      </c>
      <c r="AZ692" s="43" t="str">
        <f ca="1">IFERROR(__xludf.DUMMYFUNCTION("IFERROR(VLOOKUP(E706&amp;F706,IMPORTRANGE(""https://docs.google.com/spreadsheets/d/1Uw7-A9f9R21vMXxHZFNpYNeKFtG8_yji4HS352LGlSQ/edit?pli=1#gid=0"",""1_ACUM!A4:S""),14,FALSE))"),"")</f>
        <v/>
      </c>
      <c r="BA692" s="43" t="str">
        <f ca="1">IFERROR(__xludf.DUMMYFUNCTION("IFERROR(VLOOKUP(E706&amp;F706,IMPORTRANGE(""https://docs.google.com/spreadsheets/d/1Uw7-A9f9R21vMXxHZFNpYNeKFtG8_yji4HS352LGlSQ/edit?pli=1#gid=0"",""1_ACUM!A4:S""),15,FALSE))"),"")</f>
        <v/>
      </c>
      <c r="BB692" s="43" t="str">
        <f ca="1">IFERROR(__xludf.DUMMYFUNCTION("IFERROR(VLOOKUP(E706&amp;F706,IMPORTRANGE(""https://docs.google.com/spreadsheets/d/1Uw7-A9f9R21vMXxHZFNpYNeKFtG8_yji4HS352LGlSQ/edit?pli=1#gid=0"",""1_ACUM!A4:S""),16,FALSE))"),"")</f>
        <v/>
      </c>
      <c r="BC692" s="43" t="str">
        <f ca="1">IFERROR(__xludf.DUMMYFUNCTION("IFERROR(VLOOKUP(E706&amp;F706,IMPORTRANGE(""https://docs.google.com/spreadsheets/d/1Uw7-A9f9R21vMXxHZFNpYNeKFtG8_yji4HS352LGlSQ/edit?pli=1#gid=0"",""1_ACUM!A4:S""),17,FALSE))"),"")</f>
        <v/>
      </c>
      <c r="BD692" s="44" t="str">
        <f ca="1">IFERROR(__xludf.DUMMYFUNCTION("IFERROR(VLOOKUP(E706&amp;F706,IMPORTRANGE(""https://docs.google.com/spreadsheets/d/1Uw7-A9f9R21vMXxHZFNpYNeKFtG8_yji4HS352LGlSQ/edit?pli=1#gid=0"",""1_ACUM!A4:S""),18,FALSE))"),"")</f>
        <v/>
      </c>
      <c r="BE692" s="44" t="str">
        <f ca="1">IFERROR(__xludf.DUMMYFUNCTION("IFERROR(VLOOKUP(E706&amp;F706,IMPORTRANGE(""https://docs.google.com/spreadsheets/d/1Uw7-A9f9R21vMXxHZFNpYNeKFtG8_yji4HS352LGlSQ/edit?pli=1#gid=0"",""1_ACUM!A4:S""),19,FALSE))"),"")</f>
        <v/>
      </c>
      <c r="BF692" s="98" t="str">
        <f ca="1">IFERROR(__xludf.DUMMYFUNCTION("IFERROR(VLOOKUP(F706,IMPORTRANGE(""https://docs.google.com/spreadsheets/d/1Kvs4KS76FHFqLFIZfrDMff4kP08nblUkihrxltoGBjg/edit#gid=934712705"",""ESENCIAL!A6:BG""),5,FALSE))"),"")</f>
        <v/>
      </c>
      <c r="BG692" s="98" t="str">
        <f t="shared" si="21"/>
        <v/>
      </c>
      <c r="BH692" s="99" t="str">
        <f t="shared" si="22"/>
        <v/>
      </c>
      <c r="BI692" s="100" t="str">
        <f ca="1">IFERROR(__xludf.DUMMYFUNCTION("IFERROR(VLOOKUP(F706,IMPORTRANGE(""https://docs.google.com/spreadsheets/d/1Kvs4KS76FHFqLFIZfrDMff4kP08nblUkihrxltoGBjg/edit#gid=934712705"",""ESENCIAL!A6:BG""),2,FALSE))"),"")</f>
        <v/>
      </c>
      <c r="BJ692" s="19" t="str">
        <f t="shared" si="23"/>
        <v/>
      </c>
      <c r="BK692" s="100"/>
      <c r="BL692" s="100"/>
    </row>
    <row r="693" spans="1:64" ht="15">
      <c r="A693" s="5"/>
      <c r="B693" s="5"/>
      <c r="G693" s="5" t="str">
        <f ca="1">IFERROR(__xludf.DUMMYFUNCTION("IFERROR(VLOOKUP(F707,IMPORTRANGE(""https://docs.google.com/spreadsheets/d/1Kvs4KS76FHFqLFIZfrDMff4kP08nblUkihrxltoGBjg/edit#gid=934712705"",""ESENCIAL!A6:BG""),3,FALSE))"),"")</f>
        <v/>
      </c>
      <c r="H693" s="5" t="str">
        <f ca="1">IFERROR(__xludf.DUMMYFUNCTION("IFERROR(VLOOKUP(F707,IMPORTRANGE(""https://docs.google.com/spreadsheets/d/1Kvs4KS76FHFqLFIZfrDMff4kP08nblUkihrxltoGBjg/edit#gid=934712705"",""ESENCIAL!A6:BG""),8,FALSE))"),"")</f>
        <v/>
      </c>
      <c r="L693" s="287"/>
      <c r="U693" s="40"/>
      <c r="AU693" s="41" t="str">
        <f t="shared" si="20"/>
        <v/>
      </c>
      <c r="AV693" s="5" t="str">
        <f ca="1">IFERROR(__xludf.DUMMYFUNCTION("IFERROR(VLOOKUP(E707&amp;F707,IMPORTRANGE(""https://docs.google.com/spreadsheets/d/1Uw7-A9f9R21vMXxHZFNpYNeKFtG8_yji4HS352LGlSQ/edit?pli=1#gid=0"",""1_ACUM!A4:S""),11,FALSE))"),"")</f>
        <v/>
      </c>
      <c r="AW693" s="42" t="str">
        <f ca="1">IFERROR(__xludf.DUMMYFUNCTION("IFERROR(VLOOKUP(F707,IMPORTRANGE(""https://docs.google.com/spreadsheets/d/1Kvs4KS76FHFqLFIZfrDMff4kP08nblUkihrxltoGBjg/edit#gid=934712705"",""ESENCIAL!A6:BG""),15,FALSE))"),"")</f>
        <v/>
      </c>
      <c r="AX693" s="21" t="str">
        <f ca="1">IFERROR(__xludf.DUMMYFUNCTION("IFERROR(VLOOKUP(E707&amp;F707,IMPORTRANGE(""https://docs.google.com/spreadsheets/d/1Uw7-A9f9R21vMXxHZFNpYNeKFtG8_yji4HS352LGlSQ/edit?pli=1#gid=0"",""1_ACUM!A4:S""),12,FALSE))"),"")</f>
        <v/>
      </c>
      <c r="AY693" s="43" t="str">
        <f ca="1">IFERROR(__xludf.DUMMYFUNCTION("IFERROR(VLOOKUP(E707&amp;F707,IMPORTRANGE(""https://docs.google.com/spreadsheets/d/1Uw7-A9f9R21vMXxHZFNpYNeKFtG8_yji4HS352LGlSQ/edit?pli=1#gid=0"",""1_ACUM!A4:S""),13,FALSE))"),"")</f>
        <v/>
      </c>
      <c r="AZ693" s="43" t="str">
        <f ca="1">IFERROR(__xludf.DUMMYFUNCTION("IFERROR(VLOOKUP(E707&amp;F707,IMPORTRANGE(""https://docs.google.com/spreadsheets/d/1Uw7-A9f9R21vMXxHZFNpYNeKFtG8_yji4HS352LGlSQ/edit?pli=1#gid=0"",""1_ACUM!A4:S""),14,FALSE))"),"")</f>
        <v/>
      </c>
      <c r="BA693" s="43" t="str">
        <f ca="1">IFERROR(__xludf.DUMMYFUNCTION("IFERROR(VLOOKUP(E707&amp;F707,IMPORTRANGE(""https://docs.google.com/spreadsheets/d/1Uw7-A9f9R21vMXxHZFNpYNeKFtG8_yji4HS352LGlSQ/edit?pli=1#gid=0"",""1_ACUM!A4:S""),15,FALSE))"),"")</f>
        <v/>
      </c>
      <c r="BB693" s="43" t="str">
        <f ca="1">IFERROR(__xludf.DUMMYFUNCTION("IFERROR(VLOOKUP(E707&amp;F707,IMPORTRANGE(""https://docs.google.com/spreadsheets/d/1Uw7-A9f9R21vMXxHZFNpYNeKFtG8_yji4HS352LGlSQ/edit?pli=1#gid=0"",""1_ACUM!A4:S""),16,FALSE))"),"")</f>
        <v/>
      </c>
      <c r="BC693" s="43" t="str">
        <f ca="1">IFERROR(__xludf.DUMMYFUNCTION("IFERROR(VLOOKUP(E707&amp;F707,IMPORTRANGE(""https://docs.google.com/spreadsheets/d/1Uw7-A9f9R21vMXxHZFNpYNeKFtG8_yji4HS352LGlSQ/edit?pli=1#gid=0"",""1_ACUM!A4:S""),17,FALSE))"),"")</f>
        <v/>
      </c>
      <c r="BD693" s="44" t="str">
        <f ca="1">IFERROR(__xludf.DUMMYFUNCTION("IFERROR(VLOOKUP(E707&amp;F707,IMPORTRANGE(""https://docs.google.com/spreadsheets/d/1Uw7-A9f9R21vMXxHZFNpYNeKFtG8_yji4HS352LGlSQ/edit?pli=1#gid=0"",""1_ACUM!A4:S""),18,FALSE))"),"")</f>
        <v/>
      </c>
      <c r="BE693" s="44" t="str">
        <f ca="1">IFERROR(__xludf.DUMMYFUNCTION("IFERROR(VLOOKUP(E707&amp;F707,IMPORTRANGE(""https://docs.google.com/spreadsheets/d/1Uw7-A9f9R21vMXxHZFNpYNeKFtG8_yji4HS352LGlSQ/edit?pli=1#gid=0"",""1_ACUM!A4:S""),19,FALSE))"),"")</f>
        <v/>
      </c>
      <c r="BF693" s="98" t="str">
        <f ca="1">IFERROR(__xludf.DUMMYFUNCTION("IFERROR(VLOOKUP(F707,IMPORTRANGE(""https://docs.google.com/spreadsheets/d/1Kvs4KS76FHFqLFIZfrDMff4kP08nblUkihrxltoGBjg/edit#gid=934712705"",""ESENCIAL!A6:BG""),5,FALSE))"),"")</f>
        <v/>
      </c>
      <c r="BG693" s="98" t="str">
        <f t="shared" si="21"/>
        <v/>
      </c>
      <c r="BH693" s="99" t="str">
        <f t="shared" si="22"/>
        <v/>
      </c>
      <c r="BI693" s="100" t="str">
        <f ca="1">IFERROR(__xludf.DUMMYFUNCTION("IFERROR(VLOOKUP(F707,IMPORTRANGE(""https://docs.google.com/spreadsheets/d/1Kvs4KS76FHFqLFIZfrDMff4kP08nblUkihrxltoGBjg/edit#gid=934712705"",""ESENCIAL!A6:BG""),2,FALSE))"),"")</f>
        <v/>
      </c>
      <c r="BJ693" s="19" t="str">
        <f t="shared" si="23"/>
        <v/>
      </c>
      <c r="BK693" s="100"/>
      <c r="BL693" s="100"/>
    </row>
    <row r="694" spans="1:64" ht="15">
      <c r="A694" s="5"/>
      <c r="B694" s="5"/>
      <c r="G694" s="5" t="str">
        <f ca="1">IFERROR(__xludf.DUMMYFUNCTION("IFERROR(VLOOKUP(F708,IMPORTRANGE(""https://docs.google.com/spreadsheets/d/1Kvs4KS76FHFqLFIZfrDMff4kP08nblUkihrxltoGBjg/edit#gid=934712705"",""ESENCIAL!A6:BG""),3,FALSE))"),"")</f>
        <v/>
      </c>
      <c r="H694" s="5" t="str">
        <f ca="1">IFERROR(__xludf.DUMMYFUNCTION("IFERROR(VLOOKUP(F708,IMPORTRANGE(""https://docs.google.com/spreadsheets/d/1Kvs4KS76FHFqLFIZfrDMff4kP08nblUkihrxltoGBjg/edit#gid=934712705"",""ESENCIAL!A6:BG""),8,FALSE))"),"")</f>
        <v/>
      </c>
      <c r="L694" s="287"/>
      <c r="U694" s="40"/>
      <c r="AU694" s="41" t="str">
        <f t="shared" si="20"/>
        <v/>
      </c>
      <c r="AV694" s="5" t="str">
        <f ca="1">IFERROR(__xludf.DUMMYFUNCTION("IFERROR(VLOOKUP(E708&amp;F708,IMPORTRANGE(""https://docs.google.com/spreadsheets/d/1Uw7-A9f9R21vMXxHZFNpYNeKFtG8_yji4HS352LGlSQ/edit?pli=1#gid=0"",""1_ACUM!A4:S""),11,FALSE))"),"")</f>
        <v/>
      </c>
      <c r="AW694" s="42" t="str">
        <f ca="1">IFERROR(__xludf.DUMMYFUNCTION("IFERROR(VLOOKUP(F708,IMPORTRANGE(""https://docs.google.com/spreadsheets/d/1Kvs4KS76FHFqLFIZfrDMff4kP08nblUkihrxltoGBjg/edit#gid=934712705"",""ESENCIAL!A6:BG""),15,FALSE))"),"")</f>
        <v/>
      </c>
      <c r="AX694" s="21" t="str">
        <f ca="1">IFERROR(__xludf.DUMMYFUNCTION("IFERROR(VLOOKUP(E708&amp;F708,IMPORTRANGE(""https://docs.google.com/spreadsheets/d/1Uw7-A9f9R21vMXxHZFNpYNeKFtG8_yji4HS352LGlSQ/edit?pli=1#gid=0"",""1_ACUM!A4:S""),12,FALSE))"),"")</f>
        <v/>
      </c>
      <c r="AY694" s="43" t="str">
        <f ca="1">IFERROR(__xludf.DUMMYFUNCTION("IFERROR(VLOOKUP(E708&amp;F708,IMPORTRANGE(""https://docs.google.com/spreadsheets/d/1Uw7-A9f9R21vMXxHZFNpYNeKFtG8_yji4HS352LGlSQ/edit?pli=1#gid=0"",""1_ACUM!A4:S""),13,FALSE))"),"")</f>
        <v/>
      </c>
      <c r="AZ694" s="43" t="str">
        <f ca="1">IFERROR(__xludf.DUMMYFUNCTION("IFERROR(VLOOKUP(E708&amp;F708,IMPORTRANGE(""https://docs.google.com/spreadsheets/d/1Uw7-A9f9R21vMXxHZFNpYNeKFtG8_yji4HS352LGlSQ/edit?pli=1#gid=0"",""1_ACUM!A4:S""),14,FALSE))"),"")</f>
        <v/>
      </c>
      <c r="BA694" s="43" t="str">
        <f ca="1">IFERROR(__xludf.DUMMYFUNCTION("IFERROR(VLOOKUP(E708&amp;F708,IMPORTRANGE(""https://docs.google.com/spreadsheets/d/1Uw7-A9f9R21vMXxHZFNpYNeKFtG8_yji4HS352LGlSQ/edit?pli=1#gid=0"",""1_ACUM!A4:S""),15,FALSE))"),"")</f>
        <v/>
      </c>
      <c r="BB694" s="43" t="str">
        <f ca="1">IFERROR(__xludf.DUMMYFUNCTION("IFERROR(VLOOKUP(E708&amp;F708,IMPORTRANGE(""https://docs.google.com/spreadsheets/d/1Uw7-A9f9R21vMXxHZFNpYNeKFtG8_yji4HS352LGlSQ/edit?pli=1#gid=0"",""1_ACUM!A4:S""),16,FALSE))"),"")</f>
        <v/>
      </c>
      <c r="BC694" s="43" t="str">
        <f ca="1">IFERROR(__xludf.DUMMYFUNCTION("IFERROR(VLOOKUP(E708&amp;F708,IMPORTRANGE(""https://docs.google.com/spreadsheets/d/1Uw7-A9f9R21vMXxHZFNpYNeKFtG8_yji4HS352LGlSQ/edit?pli=1#gid=0"",""1_ACUM!A4:S""),17,FALSE))"),"")</f>
        <v/>
      </c>
      <c r="BD694" s="44" t="str">
        <f ca="1">IFERROR(__xludf.DUMMYFUNCTION("IFERROR(VLOOKUP(E708&amp;F708,IMPORTRANGE(""https://docs.google.com/spreadsheets/d/1Uw7-A9f9R21vMXxHZFNpYNeKFtG8_yji4HS352LGlSQ/edit?pli=1#gid=0"",""1_ACUM!A4:S""),18,FALSE))"),"")</f>
        <v/>
      </c>
      <c r="BE694" s="44" t="str">
        <f ca="1">IFERROR(__xludf.DUMMYFUNCTION("IFERROR(VLOOKUP(E708&amp;F708,IMPORTRANGE(""https://docs.google.com/spreadsheets/d/1Uw7-A9f9R21vMXxHZFNpYNeKFtG8_yji4HS352LGlSQ/edit?pli=1#gid=0"",""1_ACUM!A4:S""),19,FALSE))"),"")</f>
        <v/>
      </c>
      <c r="BF694" s="98" t="str">
        <f ca="1">IFERROR(__xludf.DUMMYFUNCTION("IFERROR(VLOOKUP(F708,IMPORTRANGE(""https://docs.google.com/spreadsheets/d/1Kvs4KS76FHFqLFIZfrDMff4kP08nblUkihrxltoGBjg/edit#gid=934712705"",""ESENCIAL!A6:BG""),5,FALSE))"),"")</f>
        <v/>
      </c>
      <c r="BG694" s="98" t="str">
        <f t="shared" si="21"/>
        <v/>
      </c>
      <c r="BH694" s="99" t="str">
        <f t="shared" si="22"/>
        <v/>
      </c>
      <c r="BI694" s="100" t="str">
        <f ca="1">IFERROR(__xludf.DUMMYFUNCTION("IFERROR(VLOOKUP(F708,IMPORTRANGE(""https://docs.google.com/spreadsheets/d/1Kvs4KS76FHFqLFIZfrDMff4kP08nblUkihrxltoGBjg/edit#gid=934712705"",""ESENCIAL!A6:BG""),2,FALSE))"),"")</f>
        <v/>
      </c>
      <c r="BJ694" s="19" t="str">
        <f t="shared" si="23"/>
        <v/>
      </c>
      <c r="BK694" s="100"/>
      <c r="BL694" s="100"/>
    </row>
    <row r="695" spans="1:64" ht="15">
      <c r="A695" s="5"/>
      <c r="B695" s="5"/>
      <c r="G695" s="5" t="str">
        <f ca="1">IFERROR(__xludf.DUMMYFUNCTION("IFERROR(VLOOKUP(F709,IMPORTRANGE(""https://docs.google.com/spreadsheets/d/1Kvs4KS76FHFqLFIZfrDMff4kP08nblUkihrxltoGBjg/edit#gid=934712705"",""ESENCIAL!A6:BG""),3,FALSE))"),"")</f>
        <v/>
      </c>
      <c r="H695" s="5" t="str">
        <f ca="1">IFERROR(__xludf.DUMMYFUNCTION("IFERROR(VLOOKUP(F709,IMPORTRANGE(""https://docs.google.com/spreadsheets/d/1Kvs4KS76FHFqLFIZfrDMff4kP08nblUkihrxltoGBjg/edit#gid=934712705"",""ESENCIAL!A6:BG""),8,FALSE))"),"")</f>
        <v/>
      </c>
      <c r="L695" s="287"/>
      <c r="U695" s="40"/>
      <c r="AU695" s="41" t="str">
        <f t="shared" si="20"/>
        <v/>
      </c>
      <c r="AV695" s="5" t="str">
        <f ca="1">IFERROR(__xludf.DUMMYFUNCTION("IFERROR(VLOOKUP(E709&amp;F709,IMPORTRANGE(""https://docs.google.com/spreadsheets/d/1Uw7-A9f9R21vMXxHZFNpYNeKFtG8_yji4HS352LGlSQ/edit?pli=1#gid=0"",""1_ACUM!A4:S""),11,FALSE))"),"")</f>
        <v/>
      </c>
      <c r="AW695" s="42" t="str">
        <f ca="1">IFERROR(__xludf.DUMMYFUNCTION("IFERROR(VLOOKUP(F709,IMPORTRANGE(""https://docs.google.com/spreadsheets/d/1Kvs4KS76FHFqLFIZfrDMff4kP08nblUkihrxltoGBjg/edit#gid=934712705"",""ESENCIAL!A6:BG""),15,FALSE))"),"")</f>
        <v/>
      </c>
      <c r="AX695" s="21" t="str">
        <f ca="1">IFERROR(__xludf.DUMMYFUNCTION("IFERROR(VLOOKUP(E709&amp;F709,IMPORTRANGE(""https://docs.google.com/spreadsheets/d/1Uw7-A9f9R21vMXxHZFNpYNeKFtG8_yji4HS352LGlSQ/edit?pli=1#gid=0"",""1_ACUM!A4:S""),12,FALSE))"),"")</f>
        <v/>
      </c>
      <c r="AY695" s="43" t="str">
        <f ca="1">IFERROR(__xludf.DUMMYFUNCTION("IFERROR(VLOOKUP(E709&amp;F709,IMPORTRANGE(""https://docs.google.com/spreadsheets/d/1Uw7-A9f9R21vMXxHZFNpYNeKFtG8_yji4HS352LGlSQ/edit?pli=1#gid=0"",""1_ACUM!A4:S""),13,FALSE))"),"")</f>
        <v/>
      </c>
      <c r="AZ695" s="43" t="str">
        <f ca="1">IFERROR(__xludf.DUMMYFUNCTION("IFERROR(VLOOKUP(E709&amp;F709,IMPORTRANGE(""https://docs.google.com/spreadsheets/d/1Uw7-A9f9R21vMXxHZFNpYNeKFtG8_yji4HS352LGlSQ/edit?pli=1#gid=0"",""1_ACUM!A4:S""),14,FALSE))"),"")</f>
        <v/>
      </c>
      <c r="BA695" s="43" t="str">
        <f ca="1">IFERROR(__xludf.DUMMYFUNCTION("IFERROR(VLOOKUP(E709&amp;F709,IMPORTRANGE(""https://docs.google.com/spreadsheets/d/1Uw7-A9f9R21vMXxHZFNpYNeKFtG8_yji4HS352LGlSQ/edit?pli=1#gid=0"",""1_ACUM!A4:S""),15,FALSE))"),"")</f>
        <v/>
      </c>
      <c r="BB695" s="43" t="str">
        <f ca="1">IFERROR(__xludf.DUMMYFUNCTION("IFERROR(VLOOKUP(E709&amp;F709,IMPORTRANGE(""https://docs.google.com/spreadsheets/d/1Uw7-A9f9R21vMXxHZFNpYNeKFtG8_yji4HS352LGlSQ/edit?pli=1#gid=0"",""1_ACUM!A4:S""),16,FALSE))"),"")</f>
        <v/>
      </c>
      <c r="BC695" s="43" t="str">
        <f ca="1">IFERROR(__xludf.DUMMYFUNCTION("IFERROR(VLOOKUP(E709&amp;F709,IMPORTRANGE(""https://docs.google.com/spreadsheets/d/1Uw7-A9f9R21vMXxHZFNpYNeKFtG8_yji4HS352LGlSQ/edit?pli=1#gid=0"",""1_ACUM!A4:S""),17,FALSE))"),"")</f>
        <v/>
      </c>
      <c r="BD695" s="44" t="str">
        <f ca="1">IFERROR(__xludf.DUMMYFUNCTION("IFERROR(VLOOKUP(E709&amp;F709,IMPORTRANGE(""https://docs.google.com/spreadsheets/d/1Uw7-A9f9R21vMXxHZFNpYNeKFtG8_yji4HS352LGlSQ/edit?pli=1#gid=0"",""1_ACUM!A4:S""),18,FALSE))"),"")</f>
        <v/>
      </c>
      <c r="BE695" s="44" t="str">
        <f ca="1">IFERROR(__xludf.DUMMYFUNCTION("IFERROR(VLOOKUP(E709&amp;F709,IMPORTRANGE(""https://docs.google.com/spreadsheets/d/1Uw7-A9f9R21vMXxHZFNpYNeKFtG8_yji4HS352LGlSQ/edit?pli=1#gid=0"",""1_ACUM!A4:S""),19,FALSE))"),"")</f>
        <v/>
      </c>
      <c r="BF695" s="98" t="str">
        <f ca="1">IFERROR(__xludf.DUMMYFUNCTION("IFERROR(VLOOKUP(F709,IMPORTRANGE(""https://docs.google.com/spreadsheets/d/1Kvs4KS76FHFqLFIZfrDMff4kP08nblUkihrxltoGBjg/edit#gid=934712705"",""ESENCIAL!A6:BG""),5,FALSE))"),"")</f>
        <v/>
      </c>
      <c r="BG695" s="98" t="str">
        <f t="shared" si="21"/>
        <v/>
      </c>
      <c r="BH695" s="99" t="str">
        <f t="shared" si="22"/>
        <v/>
      </c>
      <c r="BI695" s="100" t="str">
        <f ca="1">IFERROR(__xludf.DUMMYFUNCTION("IFERROR(VLOOKUP(F709,IMPORTRANGE(""https://docs.google.com/spreadsheets/d/1Kvs4KS76FHFqLFIZfrDMff4kP08nblUkihrxltoGBjg/edit#gid=934712705"",""ESENCIAL!A6:BG""),2,FALSE))"),"")</f>
        <v/>
      </c>
      <c r="BJ695" s="19" t="str">
        <f t="shared" si="23"/>
        <v/>
      </c>
      <c r="BK695" s="100"/>
      <c r="BL695" s="100"/>
    </row>
    <row r="696" spans="1:64" ht="15">
      <c r="A696" s="5"/>
      <c r="B696" s="5"/>
      <c r="G696" s="5" t="str">
        <f ca="1">IFERROR(__xludf.DUMMYFUNCTION("IFERROR(VLOOKUP(F710,IMPORTRANGE(""https://docs.google.com/spreadsheets/d/1Kvs4KS76FHFqLFIZfrDMff4kP08nblUkihrxltoGBjg/edit#gid=934712705"",""ESENCIAL!A6:BG""),3,FALSE))"),"")</f>
        <v/>
      </c>
      <c r="H696" s="5" t="str">
        <f ca="1">IFERROR(__xludf.DUMMYFUNCTION("IFERROR(VLOOKUP(F710,IMPORTRANGE(""https://docs.google.com/spreadsheets/d/1Kvs4KS76FHFqLFIZfrDMff4kP08nblUkihrxltoGBjg/edit#gid=934712705"",""ESENCIAL!A6:BG""),8,FALSE))"),"")</f>
        <v/>
      </c>
      <c r="L696" s="287"/>
      <c r="U696" s="40"/>
      <c r="AU696" s="41" t="str">
        <f t="shared" si="20"/>
        <v/>
      </c>
      <c r="AV696" s="5" t="str">
        <f ca="1">IFERROR(__xludf.DUMMYFUNCTION("IFERROR(VLOOKUP(E710&amp;F710,IMPORTRANGE(""https://docs.google.com/spreadsheets/d/1Uw7-A9f9R21vMXxHZFNpYNeKFtG8_yji4HS352LGlSQ/edit?pli=1#gid=0"",""1_ACUM!A4:S""),11,FALSE))"),"")</f>
        <v/>
      </c>
      <c r="AW696" s="42" t="str">
        <f ca="1">IFERROR(__xludf.DUMMYFUNCTION("IFERROR(VLOOKUP(F710,IMPORTRANGE(""https://docs.google.com/spreadsheets/d/1Kvs4KS76FHFqLFIZfrDMff4kP08nblUkihrxltoGBjg/edit#gid=934712705"",""ESENCIAL!A6:BG""),15,FALSE))"),"")</f>
        <v/>
      </c>
      <c r="AX696" s="21" t="str">
        <f ca="1">IFERROR(__xludf.DUMMYFUNCTION("IFERROR(VLOOKUP(E710&amp;F710,IMPORTRANGE(""https://docs.google.com/spreadsheets/d/1Uw7-A9f9R21vMXxHZFNpYNeKFtG8_yji4HS352LGlSQ/edit?pli=1#gid=0"",""1_ACUM!A4:S""),12,FALSE))"),"")</f>
        <v/>
      </c>
      <c r="AY696" s="43" t="str">
        <f ca="1">IFERROR(__xludf.DUMMYFUNCTION("IFERROR(VLOOKUP(E710&amp;F710,IMPORTRANGE(""https://docs.google.com/spreadsheets/d/1Uw7-A9f9R21vMXxHZFNpYNeKFtG8_yji4HS352LGlSQ/edit?pli=1#gid=0"",""1_ACUM!A4:S""),13,FALSE))"),"")</f>
        <v/>
      </c>
      <c r="AZ696" s="43" t="str">
        <f ca="1">IFERROR(__xludf.DUMMYFUNCTION("IFERROR(VLOOKUP(E710&amp;F710,IMPORTRANGE(""https://docs.google.com/spreadsheets/d/1Uw7-A9f9R21vMXxHZFNpYNeKFtG8_yji4HS352LGlSQ/edit?pli=1#gid=0"",""1_ACUM!A4:S""),14,FALSE))"),"")</f>
        <v/>
      </c>
      <c r="BA696" s="43" t="str">
        <f ca="1">IFERROR(__xludf.DUMMYFUNCTION("IFERROR(VLOOKUP(E710&amp;F710,IMPORTRANGE(""https://docs.google.com/spreadsheets/d/1Uw7-A9f9R21vMXxHZFNpYNeKFtG8_yji4HS352LGlSQ/edit?pli=1#gid=0"",""1_ACUM!A4:S""),15,FALSE))"),"")</f>
        <v/>
      </c>
      <c r="BB696" s="43" t="str">
        <f ca="1">IFERROR(__xludf.DUMMYFUNCTION("IFERROR(VLOOKUP(E710&amp;F710,IMPORTRANGE(""https://docs.google.com/spreadsheets/d/1Uw7-A9f9R21vMXxHZFNpYNeKFtG8_yji4HS352LGlSQ/edit?pli=1#gid=0"",""1_ACUM!A4:S""),16,FALSE))"),"")</f>
        <v/>
      </c>
      <c r="BC696" s="43" t="str">
        <f ca="1">IFERROR(__xludf.DUMMYFUNCTION("IFERROR(VLOOKUP(E710&amp;F710,IMPORTRANGE(""https://docs.google.com/spreadsheets/d/1Uw7-A9f9R21vMXxHZFNpYNeKFtG8_yji4HS352LGlSQ/edit?pli=1#gid=0"",""1_ACUM!A4:S""),17,FALSE))"),"")</f>
        <v/>
      </c>
      <c r="BD696" s="44" t="str">
        <f ca="1">IFERROR(__xludf.DUMMYFUNCTION("IFERROR(VLOOKUP(E710&amp;F710,IMPORTRANGE(""https://docs.google.com/spreadsheets/d/1Uw7-A9f9R21vMXxHZFNpYNeKFtG8_yji4HS352LGlSQ/edit?pli=1#gid=0"",""1_ACUM!A4:S""),18,FALSE))"),"")</f>
        <v/>
      </c>
      <c r="BE696" s="44" t="str">
        <f ca="1">IFERROR(__xludf.DUMMYFUNCTION("IFERROR(VLOOKUP(E710&amp;F710,IMPORTRANGE(""https://docs.google.com/spreadsheets/d/1Uw7-A9f9R21vMXxHZFNpYNeKFtG8_yji4HS352LGlSQ/edit?pli=1#gid=0"",""1_ACUM!A4:S""),19,FALSE))"),"")</f>
        <v/>
      </c>
      <c r="BF696" s="98" t="str">
        <f ca="1">IFERROR(__xludf.DUMMYFUNCTION("IFERROR(VLOOKUP(F710,IMPORTRANGE(""https://docs.google.com/spreadsheets/d/1Kvs4KS76FHFqLFIZfrDMff4kP08nblUkihrxltoGBjg/edit#gid=934712705"",""ESENCIAL!A6:BG""),5,FALSE))"),"")</f>
        <v/>
      </c>
      <c r="BG696" s="98" t="str">
        <f t="shared" si="21"/>
        <v/>
      </c>
      <c r="BH696" s="99" t="str">
        <f t="shared" si="22"/>
        <v/>
      </c>
      <c r="BI696" s="100" t="str">
        <f ca="1">IFERROR(__xludf.DUMMYFUNCTION("IFERROR(VLOOKUP(F710,IMPORTRANGE(""https://docs.google.com/spreadsheets/d/1Kvs4KS76FHFqLFIZfrDMff4kP08nblUkihrxltoGBjg/edit#gid=934712705"",""ESENCIAL!A6:BG""),2,FALSE))"),"")</f>
        <v/>
      </c>
      <c r="BJ696" s="19" t="str">
        <f t="shared" si="23"/>
        <v/>
      </c>
      <c r="BK696" s="100"/>
      <c r="BL696" s="100"/>
    </row>
    <row r="697" spans="1:64" ht="15">
      <c r="A697" s="5"/>
      <c r="B697" s="5"/>
      <c r="G697" s="5" t="str">
        <f ca="1">IFERROR(__xludf.DUMMYFUNCTION("IFERROR(VLOOKUP(F711,IMPORTRANGE(""https://docs.google.com/spreadsheets/d/1Kvs4KS76FHFqLFIZfrDMff4kP08nblUkihrxltoGBjg/edit#gid=934712705"",""ESENCIAL!A6:BG""),3,FALSE))"),"")</f>
        <v/>
      </c>
      <c r="H697" s="5" t="str">
        <f ca="1">IFERROR(__xludf.DUMMYFUNCTION("IFERROR(VLOOKUP(F711,IMPORTRANGE(""https://docs.google.com/spreadsheets/d/1Kvs4KS76FHFqLFIZfrDMff4kP08nblUkihrxltoGBjg/edit#gid=934712705"",""ESENCIAL!A6:BG""),8,FALSE))"),"")</f>
        <v/>
      </c>
      <c r="L697" s="287"/>
      <c r="U697" s="40"/>
      <c r="AU697" s="41" t="str">
        <f t="shared" si="20"/>
        <v/>
      </c>
      <c r="AV697" s="5" t="str">
        <f ca="1">IFERROR(__xludf.DUMMYFUNCTION("IFERROR(VLOOKUP(E711&amp;F711,IMPORTRANGE(""https://docs.google.com/spreadsheets/d/1Uw7-A9f9R21vMXxHZFNpYNeKFtG8_yji4HS352LGlSQ/edit?pli=1#gid=0"",""1_ACUM!A4:S""),11,FALSE))"),"")</f>
        <v/>
      </c>
      <c r="AW697" s="42" t="str">
        <f ca="1">IFERROR(__xludf.DUMMYFUNCTION("IFERROR(VLOOKUP(F711,IMPORTRANGE(""https://docs.google.com/spreadsheets/d/1Kvs4KS76FHFqLFIZfrDMff4kP08nblUkihrxltoGBjg/edit#gid=934712705"",""ESENCIAL!A6:BG""),15,FALSE))"),"")</f>
        <v/>
      </c>
      <c r="AX697" s="21" t="str">
        <f ca="1">IFERROR(__xludf.DUMMYFUNCTION("IFERROR(VLOOKUP(E711&amp;F711,IMPORTRANGE(""https://docs.google.com/spreadsheets/d/1Uw7-A9f9R21vMXxHZFNpYNeKFtG8_yji4HS352LGlSQ/edit?pli=1#gid=0"",""1_ACUM!A4:S""),12,FALSE))"),"")</f>
        <v/>
      </c>
      <c r="AY697" s="43" t="str">
        <f ca="1">IFERROR(__xludf.DUMMYFUNCTION("IFERROR(VLOOKUP(E711&amp;F711,IMPORTRANGE(""https://docs.google.com/spreadsheets/d/1Uw7-A9f9R21vMXxHZFNpYNeKFtG8_yji4HS352LGlSQ/edit?pli=1#gid=0"",""1_ACUM!A4:S""),13,FALSE))"),"")</f>
        <v/>
      </c>
      <c r="AZ697" s="43" t="str">
        <f ca="1">IFERROR(__xludf.DUMMYFUNCTION("IFERROR(VLOOKUP(E711&amp;F711,IMPORTRANGE(""https://docs.google.com/spreadsheets/d/1Uw7-A9f9R21vMXxHZFNpYNeKFtG8_yji4HS352LGlSQ/edit?pli=1#gid=0"",""1_ACUM!A4:S""),14,FALSE))"),"")</f>
        <v/>
      </c>
      <c r="BA697" s="43" t="str">
        <f ca="1">IFERROR(__xludf.DUMMYFUNCTION("IFERROR(VLOOKUP(E711&amp;F711,IMPORTRANGE(""https://docs.google.com/spreadsheets/d/1Uw7-A9f9R21vMXxHZFNpYNeKFtG8_yji4HS352LGlSQ/edit?pli=1#gid=0"",""1_ACUM!A4:S""),15,FALSE))"),"")</f>
        <v/>
      </c>
      <c r="BB697" s="43" t="str">
        <f ca="1">IFERROR(__xludf.DUMMYFUNCTION("IFERROR(VLOOKUP(E711&amp;F711,IMPORTRANGE(""https://docs.google.com/spreadsheets/d/1Uw7-A9f9R21vMXxHZFNpYNeKFtG8_yji4HS352LGlSQ/edit?pli=1#gid=0"",""1_ACUM!A4:S""),16,FALSE))"),"")</f>
        <v/>
      </c>
      <c r="BC697" s="43" t="str">
        <f ca="1">IFERROR(__xludf.DUMMYFUNCTION("IFERROR(VLOOKUP(E711&amp;F711,IMPORTRANGE(""https://docs.google.com/spreadsheets/d/1Uw7-A9f9R21vMXxHZFNpYNeKFtG8_yji4HS352LGlSQ/edit?pli=1#gid=0"",""1_ACUM!A4:S""),17,FALSE))"),"")</f>
        <v/>
      </c>
      <c r="BD697" s="44" t="str">
        <f ca="1">IFERROR(__xludf.DUMMYFUNCTION("IFERROR(VLOOKUP(E711&amp;F711,IMPORTRANGE(""https://docs.google.com/spreadsheets/d/1Uw7-A9f9R21vMXxHZFNpYNeKFtG8_yji4HS352LGlSQ/edit?pli=1#gid=0"",""1_ACUM!A4:S""),18,FALSE))"),"")</f>
        <v/>
      </c>
      <c r="BE697" s="44" t="str">
        <f ca="1">IFERROR(__xludf.DUMMYFUNCTION("IFERROR(VLOOKUP(E711&amp;F711,IMPORTRANGE(""https://docs.google.com/spreadsheets/d/1Uw7-A9f9R21vMXxHZFNpYNeKFtG8_yji4HS352LGlSQ/edit?pli=1#gid=0"",""1_ACUM!A4:S""),19,FALSE))"),"")</f>
        <v/>
      </c>
      <c r="BF697" s="98" t="str">
        <f ca="1">IFERROR(__xludf.DUMMYFUNCTION("IFERROR(VLOOKUP(F711,IMPORTRANGE(""https://docs.google.com/spreadsheets/d/1Kvs4KS76FHFqLFIZfrDMff4kP08nblUkihrxltoGBjg/edit#gid=934712705"",""ESENCIAL!A6:BG""),5,FALSE))"),"")</f>
        <v/>
      </c>
      <c r="BG697" s="98" t="str">
        <f t="shared" si="21"/>
        <v/>
      </c>
      <c r="BH697" s="99" t="str">
        <f t="shared" si="22"/>
        <v/>
      </c>
      <c r="BI697" s="100" t="str">
        <f ca="1">IFERROR(__xludf.DUMMYFUNCTION("IFERROR(VLOOKUP(F711,IMPORTRANGE(""https://docs.google.com/spreadsheets/d/1Kvs4KS76FHFqLFIZfrDMff4kP08nblUkihrxltoGBjg/edit#gid=934712705"",""ESENCIAL!A6:BG""),2,FALSE))"),"")</f>
        <v/>
      </c>
      <c r="BJ697" s="19" t="str">
        <f t="shared" si="23"/>
        <v/>
      </c>
      <c r="BK697" s="100"/>
      <c r="BL697" s="100"/>
    </row>
    <row r="698" spans="1:64" ht="15">
      <c r="A698" s="5"/>
      <c r="B698" s="5"/>
      <c r="G698" s="5" t="str">
        <f ca="1">IFERROR(__xludf.DUMMYFUNCTION("IFERROR(VLOOKUP(F712,IMPORTRANGE(""https://docs.google.com/spreadsheets/d/1Kvs4KS76FHFqLFIZfrDMff4kP08nblUkihrxltoGBjg/edit#gid=934712705"",""ESENCIAL!A6:BG""),3,FALSE))"),"")</f>
        <v/>
      </c>
      <c r="H698" s="5" t="str">
        <f ca="1">IFERROR(__xludf.DUMMYFUNCTION("IFERROR(VLOOKUP(F712,IMPORTRANGE(""https://docs.google.com/spreadsheets/d/1Kvs4KS76FHFqLFIZfrDMff4kP08nblUkihrxltoGBjg/edit#gid=934712705"",""ESENCIAL!A6:BG""),8,FALSE))"),"")</f>
        <v/>
      </c>
      <c r="L698" s="287"/>
      <c r="U698" s="40"/>
      <c r="AU698" s="41" t="str">
        <f t="shared" si="20"/>
        <v/>
      </c>
      <c r="AV698" s="5" t="str">
        <f ca="1">IFERROR(__xludf.DUMMYFUNCTION("IFERROR(VLOOKUP(E712&amp;F712,IMPORTRANGE(""https://docs.google.com/spreadsheets/d/1Uw7-A9f9R21vMXxHZFNpYNeKFtG8_yji4HS352LGlSQ/edit?pli=1#gid=0"",""1_ACUM!A4:S""),11,FALSE))"),"")</f>
        <v/>
      </c>
      <c r="AW698" s="42" t="str">
        <f ca="1">IFERROR(__xludf.DUMMYFUNCTION("IFERROR(VLOOKUP(F712,IMPORTRANGE(""https://docs.google.com/spreadsheets/d/1Kvs4KS76FHFqLFIZfrDMff4kP08nblUkihrxltoGBjg/edit#gid=934712705"",""ESENCIAL!A6:BG""),15,FALSE))"),"")</f>
        <v/>
      </c>
      <c r="AX698" s="21" t="str">
        <f ca="1">IFERROR(__xludf.DUMMYFUNCTION("IFERROR(VLOOKUP(E712&amp;F712,IMPORTRANGE(""https://docs.google.com/spreadsheets/d/1Uw7-A9f9R21vMXxHZFNpYNeKFtG8_yji4HS352LGlSQ/edit?pli=1#gid=0"",""1_ACUM!A4:S""),12,FALSE))"),"")</f>
        <v/>
      </c>
      <c r="AY698" s="43" t="str">
        <f ca="1">IFERROR(__xludf.DUMMYFUNCTION("IFERROR(VLOOKUP(E712&amp;F712,IMPORTRANGE(""https://docs.google.com/spreadsheets/d/1Uw7-A9f9R21vMXxHZFNpYNeKFtG8_yji4HS352LGlSQ/edit?pli=1#gid=0"",""1_ACUM!A4:S""),13,FALSE))"),"")</f>
        <v/>
      </c>
      <c r="AZ698" s="43" t="str">
        <f ca="1">IFERROR(__xludf.DUMMYFUNCTION("IFERROR(VLOOKUP(E712&amp;F712,IMPORTRANGE(""https://docs.google.com/spreadsheets/d/1Uw7-A9f9R21vMXxHZFNpYNeKFtG8_yji4HS352LGlSQ/edit?pli=1#gid=0"",""1_ACUM!A4:S""),14,FALSE))"),"")</f>
        <v/>
      </c>
      <c r="BA698" s="43" t="str">
        <f ca="1">IFERROR(__xludf.DUMMYFUNCTION("IFERROR(VLOOKUP(E712&amp;F712,IMPORTRANGE(""https://docs.google.com/spreadsheets/d/1Uw7-A9f9R21vMXxHZFNpYNeKFtG8_yji4HS352LGlSQ/edit?pli=1#gid=0"",""1_ACUM!A4:S""),15,FALSE))"),"")</f>
        <v/>
      </c>
      <c r="BB698" s="43" t="str">
        <f ca="1">IFERROR(__xludf.DUMMYFUNCTION("IFERROR(VLOOKUP(E712&amp;F712,IMPORTRANGE(""https://docs.google.com/spreadsheets/d/1Uw7-A9f9R21vMXxHZFNpYNeKFtG8_yji4HS352LGlSQ/edit?pli=1#gid=0"",""1_ACUM!A4:S""),16,FALSE))"),"")</f>
        <v/>
      </c>
      <c r="BC698" s="43" t="str">
        <f ca="1">IFERROR(__xludf.DUMMYFUNCTION("IFERROR(VLOOKUP(E712&amp;F712,IMPORTRANGE(""https://docs.google.com/spreadsheets/d/1Uw7-A9f9R21vMXxHZFNpYNeKFtG8_yji4HS352LGlSQ/edit?pli=1#gid=0"",""1_ACUM!A4:S""),17,FALSE))"),"")</f>
        <v/>
      </c>
      <c r="BD698" s="44" t="str">
        <f ca="1">IFERROR(__xludf.DUMMYFUNCTION("IFERROR(VLOOKUP(E712&amp;F712,IMPORTRANGE(""https://docs.google.com/spreadsheets/d/1Uw7-A9f9R21vMXxHZFNpYNeKFtG8_yji4HS352LGlSQ/edit?pli=1#gid=0"",""1_ACUM!A4:S""),18,FALSE))"),"")</f>
        <v/>
      </c>
      <c r="BE698" s="44" t="str">
        <f ca="1">IFERROR(__xludf.DUMMYFUNCTION("IFERROR(VLOOKUP(E712&amp;F712,IMPORTRANGE(""https://docs.google.com/spreadsheets/d/1Uw7-A9f9R21vMXxHZFNpYNeKFtG8_yji4HS352LGlSQ/edit?pli=1#gid=0"",""1_ACUM!A4:S""),19,FALSE))"),"")</f>
        <v/>
      </c>
      <c r="BF698" s="98" t="str">
        <f ca="1">IFERROR(__xludf.DUMMYFUNCTION("IFERROR(VLOOKUP(F712,IMPORTRANGE(""https://docs.google.com/spreadsheets/d/1Kvs4KS76FHFqLFIZfrDMff4kP08nblUkihrxltoGBjg/edit#gid=934712705"",""ESENCIAL!A6:BG""),5,FALSE))"),"")</f>
        <v/>
      </c>
      <c r="BG698" s="98" t="str">
        <f t="shared" si="21"/>
        <v/>
      </c>
      <c r="BH698" s="99" t="str">
        <f t="shared" si="22"/>
        <v/>
      </c>
      <c r="BI698" s="100" t="str">
        <f ca="1">IFERROR(__xludf.DUMMYFUNCTION("IFERROR(VLOOKUP(F712,IMPORTRANGE(""https://docs.google.com/spreadsheets/d/1Kvs4KS76FHFqLFIZfrDMff4kP08nblUkihrxltoGBjg/edit#gid=934712705"",""ESENCIAL!A6:BG""),2,FALSE))"),"")</f>
        <v/>
      </c>
      <c r="BJ698" s="19" t="str">
        <f t="shared" si="23"/>
        <v/>
      </c>
      <c r="BK698" s="100"/>
      <c r="BL698" s="100"/>
    </row>
    <row r="699" spans="1:64" ht="15">
      <c r="A699" s="5"/>
      <c r="B699" s="5"/>
      <c r="G699" s="5" t="str">
        <f ca="1">IFERROR(__xludf.DUMMYFUNCTION("IFERROR(VLOOKUP(F713,IMPORTRANGE(""https://docs.google.com/spreadsheets/d/1Kvs4KS76FHFqLFIZfrDMff4kP08nblUkihrxltoGBjg/edit#gid=934712705"",""ESENCIAL!A6:BG""),3,FALSE))"),"")</f>
        <v/>
      </c>
      <c r="H699" s="5" t="str">
        <f ca="1">IFERROR(__xludf.DUMMYFUNCTION("IFERROR(VLOOKUP(F713,IMPORTRANGE(""https://docs.google.com/spreadsheets/d/1Kvs4KS76FHFqLFIZfrDMff4kP08nblUkihrxltoGBjg/edit#gid=934712705"",""ESENCIAL!A6:BG""),8,FALSE))"),"")</f>
        <v/>
      </c>
      <c r="L699" s="287"/>
      <c r="U699" s="40"/>
      <c r="AU699" s="41" t="str">
        <f t="shared" si="20"/>
        <v/>
      </c>
      <c r="AV699" s="5" t="str">
        <f ca="1">IFERROR(__xludf.DUMMYFUNCTION("IFERROR(VLOOKUP(E713&amp;F713,IMPORTRANGE(""https://docs.google.com/spreadsheets/d/1Uw7-A9f9R21vMXxHZFNpYNeKFtG8_yji4HS352LGlSQ/edit?pli=1#gid=0"",""1_ACUM!A4:S""),11,FALSE))"),"")</f>
        <v/>
      </c>
      <c r="AW699" s="42" t="str">
        <f ca="1">IFERROR(__xludf.DUMMYFUNCTION("IFERROR(VLOOKUP(F713,IMPORTRANGE(""https://docs.google.com/spreadsheets/d/1Kvs4KS76FHFqLFIZfrDMff4kP08nblUkihrxltoGBjg/edit#gid=934712705"",""ESENCIAL!A6:BG""),15,FALSE))"),"")</f>
        <v/>
      </c>
      <c r="AX699" s="21" t="str">
        <f ca="1">IFERROR(__xludf.DUMMYFUNCTION("IFERROR(VLOOKUP(E713&amp;F713,IMPORTRANGE(""https://docs.google.com/spreadsheets/d/1Uw7-A9f9R21vMXxHZFNpYNeKFtG8_yji4HS352LGlSQ/edit?pli=1#gid=0"",""1_ACUM!A4:S""),12,FALSE))"),"")</f>
        <v/>
      </c>
      <c r="AY699" s="43" t="str">
        <f ca="1">IFERROR(__xludf.DUMMYFUNCTION("IFERROR(VLOOKUP(E713&amp;F713,IMPORTRANGE(""https://docs.google.com/spreadsheets/d/1Uw7-A9f9R21vMXxHZFNpYNeKFtG8_yji4HS352LGlSQ/edit?pli=1#gid=0"",""1_ACUM!A4:S""),13,FALSE))"),"")</f>
        <v/>
      </c>
      <c r="AZ699" s="43" t="str">
        <f ca="1">IFERROR(__xludf.DUMMYFUNCTION("IFERROR(VLOOKUP(E713&amp;F713,IMPORTRANGE(""https://docs.google.com/spreadsheets/d/1Uw7-A9f9R21vMXxHZFNpYNeKFtG8_yji4HS352LGlSQ/edit?pli=1#gid=0"",""1_ACUM!A4:S""),14,FALSE))"),"")</f>
        <v/>
      </c>
      <c r="BA699" s="43" t="str">
        <f ca="1">IFERROR(__xludf.DUMMYFUNCTION("IFERROR(VLOOKUP(E713&amp;F713,IMPORTRANGE(""https://docs.google.com/spreadsheets/d/1Uw7-A9f9R21vMXxHZFNpYNeKFtG8_yji4HS352LGlSQ/edit?pli=1#gid=0"",""1_ACUM!A4:S""),15,FALSE))"),"")</f>
        <v/>
      </c>
      <c r="BB699" s="43" t="str">
        <f ca="1">IFERROR(__xludf.DUMMYFUNCTION("IFERROR(VLOOKUP(E713&amp;F713,IMPORTRANGE(""https://docs.google.com/spreadsheets/d/1Uw7-A9f9R21vMXxHZFNpYNeKFtG8_yji4HS352LGlSQ/edit?pli=1#gid=0"",""1_ACUM!A4:S""),16,FALSE))"),"")</f>
        <v/>
      </c>
      <c r="BC699" s="43" t="str">
        <f ca="1">IFERROR(__xludf.DUMMYFUNCTION("IFERROR(VLOOKUP(E713&amp;F713,IMPORTRANGE(""https://docs.google.com/spreadsheets/d/1Uw7-A9f9R21vMXxHZFNpYNeKFtG8_yji4HS352LGlSQ/edit?pli=1#gid=0"",""1_ACUM!A4:S""),17,FALSE))"),"")</f>
        <v/>
      </c>
      <c r="BD699" s="44" t="str">
        <f ca="1">IFERROR(__xludf.DUMMYFUNCTION("IFERROR(VLOOKUP(E713&amp;F713,IMPORTRANGE(""https://docs.google.com/spreadsheets/d/1Uw7-A9f9R21vMXxHZFNpYNeKFtG8_yji4HS352LGlSQ/edit?pli=1#gid=0"",""1_ACUM!A4:S""),18,FALSE))"),"")</f>
        <v/>
      </c>
      <c r="BE699" s="44" t="str">
        <f ca="1">IFERROR(__xludf.DUMMYFUNCTION("IFERROR(VLOOKUP(E713&amp;F713,IMPORTRANGE(""https://docs.google.com/spreadsheets/d/1Uw7-A9f9R21vMXxHZFNpYNeKFtG8_yji4HS352LGlSQ/edit?pli=1#gid=0"",""1_ACUM!A4:S""),19,FALSE))"),"")</f>
        <v/>
      </c>
      <c r="BF699" s="98" t="str">
        <f ca="1">IFERROR(__xludf.DUMMYFUNCTION("IFERROR(VLOOKUP(F713,IMPORTRANGE(""https://docs.google.com/spreadsheets/d/1Kvs4KS76FHFqLFIZfrDMff4kP08nblUkihrxltoGBjg/edit#gid=934712705"",""ESENCIAL!A6:BG""),5,FALSE))"),"")</f>
        <v/>
      </c>
      <c r="BG699" s="98" t="str">
        <f t="shared" si="21"/>
        <v/>
      </c>
      <c r="BH699" s="99" t="str">
        <f t="shared" si="22"/>
        <v/>
      </c>
      <c r="BI699" s="100" t="str">
        <f ca="1">IFERROR(__xludf.DUMMYFUNCTION("IFERROR(VLOOKUP(F713,IMPORTRANGE(""https://docs.google.com/spreadsheets/d/1Kvs4KS76FHFqLFIZfrDMff4kP08nblUkihrxltoGBjg/edit#gid=934712705"",""ESENCIAL!A6:BG""),2,FALSE))"),"")</f>
        <v/>
      </c>
      <c r="BJ699" s="19" t="str">
        <f t="shared" si="23"/>
        <v/>
      </c>
      <c r="BK699" s="100"/>
      <c r="BL699" s="100"/>
    </row>
    <row r="700" spans="1:64" ht="15">
      <c r="A700" s="5"/>
      <c r="B700" s="5"/>
      <c r="G700" s="5" t="str">
        <f ca="1">IFERROR(__xludf.DUMMYFUNCTION("IFERROR(VLOOKUP(F714,IMPORTRANGE(""https://docs.google.com/spreadsheets/d/1Kvs4KS76FHFqLFIZfrDMff4kP08nblUkihrxltoGBjg/edit#gid=934712705"",""ESENCIAL!A6:BG""),3,FALSE))"),"")</f>
        <v/>
      </c>
      <c r="H700" s="5" t="str">
        <f ca="1">IFERROR(__xludf.DUMMYFUNCTION("IFERROR(VLOOKUP(F714,IMPORTRANGE(""https://docs.google.com/spreadsheets/d/1Kvs4KS76FHFqLFIZfrDMff4kP08nblUkihrxltoGBjg/edit#gid=934712705"",""ESENCIAL!A6:BG""),8,FALSE))"),"")</f>
        <v/>
      </c>
      <c r="L700" s="287"/>
      <c r="U700" s="40"/>
      <c r="AU700" s="41" t="str">
        <f t="shared" si="20"/>
        <v/>
      </c>
      <c r="AV700" s="5" t="str">
        <f ca="1">IFERROR(__xludf.DUMMYFUNCTION("IFERROR(VLOOKUP(E714&amp;F714,IMPORTRANGE(""https://docs.google.com/spreadsheets/d/1Uw7-A9f9R21vMXxHZFNpYNeKFtG8_yji4HS352LGlSQ/edit?pli=1#gid=0"",""1_ACUM!A4:S""),11,FALSE))"),"")</f>
        <v/>
      </c>
      <c r="AW700" s="42" t="str">
        <f ca="1">IFERROR(__xludf.DUMMYFUNCTION("IFERROR(VLOOKUP(F714,IMPORTRANGE(""https://docs.google.com/spreadsheets/d/1Kvs4KS76FHFqLFIZfrDMff4kP08nblUkihrxltoGBjg/edit#gid=934712705"",""ESENCIAL!A6:BG""),15,FALSE))"),"")</f>
        <v/>
      </c>
      <c r="AX700" s="21" t="str">
        <f ca="1">IFERROR(__xludf.DUMMYFUNCTION("IFERROR(VLOOKUP(E714&amp;F714,IMPORTRANGE(""https://docs.google.com/spreadsheets/d/1Uw7-A9f9R21vMXxHZFNpYNeKFtG8_yji4HS352LGlSQ/edit?pli=1#gid=0"",""1_ACUM!A4:S""),12,FALSE))"),"")</f>
        <v/>
      </c>
      <c r="AY700" s="43" t="str">
        <f ca="1">IFERROR(__xludf.DUMMYFUNCTION("IFERROR(VLOOKUP(E714&amp;F714,IMPORTRANGE(""https://docs.google.com/spreadsheets/d/1Uw7-A9f9R21vMXxHZFNpYNeKFtG8_yji4HS352LGlSQ/edit?pli=1#gid=0"",""1_ACUM!A4:S""),13,FALSE))"),"")</f>
        <v/>
      </c>
      <c r="AZ700" s="43" t="str">
        <f ca="1">IFERROR(__xludf.DUMMYFUNCTION("IFERROR(VLOOKUP(E714&amp;F714,IMPORTRANGE(""https://docs.google.com/spreadsheets/d/1Uw7-A9f9R21vMXxHZFNpYNeKFtG8_yji4HS352LGlSQ/edit?pli=1#gid=0"",""1_ACUM!A4:S""),14,FALSE))"),"")</f>
        <v/>
      </c>
      <c r="BA700" s="43" t="str">
        <f ca="1">IFERROR(__xludf.DUMMYFUNCTION("IFERROR(VLOOKUP(E714&amp;F714,IMPORTRANGE(""https://docs.google.com/spreadsheets/d/1Uw7-A9f9R21vMXxHZFNpYNeKFtG8_yji4HS352LGlSQ/edit?pli=1#gid=0"",""1_ACUM!A4:S""),15,FALSE))"),"")</f>
        <v/>
      </c>
      <c r="BB700" s="43" t="str">
        <f ca="1">IFERROR(__xludf.DUMMYFUNCTION("IFERROR(VLOOKUP(E714&amp;F714,IMPORTRANGE(""https://docs.google.com/spreadsheets/d/1Uw7-A9f9R21vMXxHZFNpYNeKFtG8_yji4HS352LGlSQ/edit?pli=1#gid=0"",""1_ACUM!A4:S""),16,FALSE))"),"")</f>
        <v/>
      </c>
      <c r="BC700" s="43" t="str">
        <f ca="1">IFERROR(__xludf.DUMMYFUNCTION("IFERROR(VLOOKUP(E714&amp;F714,IMPORTRANGE(""https://docs.google.com/spreadsheets/d/1Uw7-A9f9R21vMXxHZFNpYNeKFtG8_yji4HS352LGlSQ/edit?pli=1#gid=0"",""1_ACUM!A4:S""),17,FALSE))"),"")</f>
        <v/>
      </c>
      <c r="BD700" s="44" t="str">
        <f ca="1">IFERROR(__xludf.DUMMYFUNCTION("IFERROR(VLOOKUP(E714&amp;F714,IMPORTRANGE(""https://docs.google.com/spreadsheets/d/1Uw7-A9f9R21vMXxHZFNpYNeKFtG8_yji4HS352LGlSQ/edit?pli=1#gid=0"",""1_ACUM!A4:S""),18,FALSE))"),"")</f>
        <v/>
      </c>
      <c r="BE700" s="44" t="str">
        <f ca="1">IFERROR(__xludf.DUMMYFUNCTION("IFERROR(VLOOKUP(E714&amp;F714,IMPORTRANGE(""https://docs.google.com/spreadsheets/d/1Uw7-A9f9R21vMXxHZFNpYNeKFtG8_yji4HS352LGlSQ/edit?pli=1#gid=0"",""1_ACUM!A4:S""),19,FALSE))"),"")</f>
        <v/>
      </c>
      <c r="BF700" s="98" t="str">
        <f ca="1">IFERROR(__xludf.DUMMYFUNCTION("IFERROR(VLOOKUP(F714,IMPORTRANGE(""https://docs.google.com/spreadsheets/d/1Kvs4KS76FHFqLFIZfrDMff4kP08nblUkihrxltoGBjg/edit#gid=934712705"",""ESENCIAL!A6:BG""),5,FALSE))"),"")</f>
        <v/>
      </c>
      <c r="BG700" s="98" t="str">
        <f t="shared" si="21"/>
        <v/>
      </c>
      <c r="BH700" s="99" t="str">
        <f t="shared" si="22"/>
        <v/>
      </c>
      <c r="BI700" s="100" t="str">
        <f ca="1">IFERROR(__xludf.DUMMYFUNCTION("IFERROR(VLOOKUP(F714,IMPORTRANGE(""https://docs.google.com/spreadsheets/d/1Kvs4KS76FHFqLFIZfrDMff4kP08nblUkihrxltoGBjg/edit#gid=934712705"",""ESENCIAL!A6:BG""),2,FALSE))"),"")</f>
        <v/>
      </c>
      <c r="BJ700" s="19" t="str">
        <f t="shared" si="23"/>
        <v/>
      </c>
      <c r="BK700" s="100"/>
      <c r="BL700" s="100"/>
    </row>
    <row r="701" spans="1:64" ht="15">
      <c r="A701" s="5"/>
      <c r="B701" s="5"/>
      <c r="G701" s="5" t="str">
        <f ca="1">IFERROR(__xludf.DUMMYFUNCTION("IFERROR(VLOOKUP(F715,IMPORTRANGE(""https://docs.google.com/spreadsheets/d/1Kvs4KS76FHFqLFIZfrDMff4kP08nblUkihrxltoGBjg/edit#gid=934712705"",""ESENCIAL!A6:BG""),3,FALSE))"),"")</f>
        <v/>
      </c>
      <c r="H701" s="5" t="str">
        <f ca="1">IFERROR(__xludf.DUMMYFUNCTION("IFERROR(VLOOKUP(F715,IMPORTRANGE(""https://docs.google.com/spreadsheets/d/1Kvs4KS76FHFqLFIZfrDMff4kP08nblUkihrxltoGBjg/edit#gid=934712705"",""ESENCIAL!A6:BG""),8,FALSE))"),"")</f>
        <v/>
      </c>
      <c r="L701" s="287"/>
      <c r="U701" s="40"/>
      <c r="AU701" s="41" t="str">
        <f t="shared" si="20"/>
        <v/>
      </c>
      <c r="AV701" s="5" t="str">
        <f ca="1">IFERROR(__xludf.DUMMYFUNCTION("IFERROR(VLOOKUP(E715&amp;F715,IMPORTRANGE(""https://docs.google.com/spreadsheets/d/1Uw7-A9f9R21vMXxHZFNpYNeKFtG8_yji4HS352LGlSQ/edit?pli=1#gid=0"",""1_ACUM!A4:S""),11,FALSE))"),"")</f>
        <v/>
      </c>
      <c r="AW701" s="42" t="str">
        <f ca="1">IFERROR(__xludf.DUMMYFUNCTION("IFERROR(VLOOKUP(F715,IMPORTRANGE(""https://docs.google.com/spreadsheets/d/1Kvs4KS76FHFqLFIZfrDMff4kP08nblUkihrxltoGBjg/edit#gid=934712705"",""ESENCIAL!A6:BG""),15,FALSE))"),"")</f>
        <v/>
      </c>
      <c r="AX701" s="21" t="str">
        <f ca="1">IFERROR(__xludf.DUMMYFUNCTION("IFERROR(VLOOKUP(E715&amp;F715,IMPORTRANGE(""https://docs.google.com/spreadsheets/d/1Uw7-A9f9R21vMXxHZFNpYNeKFtG8_yji4HS352LGlSQ/edit?pli=1#gid=0"",""1_ACUM!A4:S""),12,FALSE))"),"")</f>
        <v/>
      </c>
      <c r="AY701" s="43" t="str">
        <f ca="1">IFERROR(__xludf.DUMMYFUNCTION("IFERROR(VLOOKUP(E715&amp;F715,IMPORTRANGE(""https://docs.google.com/spreadsheets/d/1Uw7-A9f9R21vMXxHZFNpYNeKFtG8_yji4HS352LGlSQ/edit?pli=1#gid=0"",""1_ACUM!A4:S""),13,FALSE))"),"")</f>
        <v/>
      </c>
      <c r="AZ701" s="43" t="str">
        <f ca="1">IFERROR(__xludf.DUMMYFUNCTION("IFERROR(VLOOKUP(E715&amp;F715,IMPORTRANGE(""https://docs.google.com/spreadsheets/d/1Uw7-A9f9R21vMXxHZFNpYNeKFtG8_yji4HS352LGlSQ/edit?pli=1#gid=0"",""1_ACUM!A4:S""),14,FALSE))"),"")</f>
        <v/>
      </c>
      <c r="BA701" s="43" t="str">
        <f ca="1">IFERROR(__xludf.DUMMYFUNCTION("IFERROR(VLOOKUP(E715&amp;F715,IMPORTRANGE(""https://docs.google.com/spreadsheets/d/1Uw7-A9f9R21vMXxHZFNpYNeKFtG8_yji4HS352LGlSQ/edit?pli=1#gid=0"",""1_ACUM!A4:S""),15,FALSE))"),"")</f>
        <v/>
      </c>
      <c r="BB701" s="43" t="str">
        <f ca="1">IFERROR(__xludf.DUMMYFUNCTION("IFERROR(VLOOKUP(E715&amp;F715,IMPORTRANGE(""https://docs.google.com/spreadsheets/d/1Uw7-A9f9R21vMXxHZFNpYNeKFtG8_yji4HS352LGlSQ/edit?pli=1#gid=0"",""1_ACUM!A4:S""),16,FALSE))"),"")</f>
        <v/>
      </c>
      <c r="BC701" s="43" t="str">
        <f ca="1">IFERROR(__xludf.DUMMYFUNCTION("IFERROR(VLOOKUP(E715&amp;F715,IMPORTRANGE(""https://docs.google.com/spreadsheets/d/1Uw7-A9f9R21vMXxHZFNpYNeKFtG8_yji4HS352LGlSQ/edit?pli=1#gid=0"",""1_ACUM!A4:S""),17,FALSE))"),"")</f>
        <v/>
      </c>
      <c r="BD701" s="44" t="str">
        <f ca="1">IFERROR(__xludf.DUMMYFUNCTION("IFERROR(VLOOKUP(E715&amp;F715,IMPORTRANGE(""https://docs.google.com/spreadsheets/d/1Uw7-A9f9R21vMXxHZFNpYNeKFtG8_yji4HS352LGlSQ/edit?pli=1#gid=0"",""1_ACUM!A4:S""),18,FALSE))"),"")</f>
        <v/>
      </c>
      <c r="BE701" s="44" t="str">
        <f ca="1">IFERROR(__xludf.DUMMYFUNCTION("IFERROR(VLOOKUP(E715&amp;F715,IMPORTRANGE(""https://docs.google.com/spreadsheets/d/1Uw7-A9f9R21vMXxHZFNpYNeKFtG8_yji4HS352LGlSQ/edit?pli=1#gid=0"",""1_ACUM!A4:S""),19,FALSE))"),"")</f>
        <v/>
      </c>
      <c r="BF701" s="98" t="str">
        <f ca="1">IFERROR(__xludf.DUMMYFUNCTION("IFERROR(VLOOKUP(F715,IMPORTRANGE(""https://docs.google.com/spreadsheets/d/1Kvs4KS76FHFqLFIZfrDMff4kP08nblUkihrxltoGBjg/edit#gid=934712705"",""ESENCIAL!A6:BG""),5,FALSE))"),"")</f>
        <v/>
      </c>
      <c r="BG701" s="98" t="str">
        <f t="shared" si="21"/>
        <v/>
      </c>
      <c r="BH701" s="99" t="str">
        <f t="shared" si="22"/>
        <v/>
      </c>
      <c r="BI701" s="100" t="str">
        <f ca="1">IFERROR(__xludf.DUMMYFUNCTION("IFERROR(VLOOKUP(F715,IMPORTRANGE(""https://docs.google.com/spreadsheets/d/1Kvs4KS76FHFqLFIZfrDMff4kP08nblUkihrxltoGBjg/edit#gid=934712705"",""ESENCIAL!A6:BG""),2,FALSE))"),"")</f>
        <v/>
      </c>
      <c r="BJ701" s="19" t="str">
        <f t="shared" si="23"/>
        <v/>
      </c>
      <c r="BK701" s="100"/>
      <c r="BL701" s="100"/>
    </row>
    <row r="702" spans="1:64" ht="15">
      <c r="A702" s="5"/>
      <c r="B702" s="5"/>
      <c r="G702" s="5" t="str">
        <f ca="1">IFERROR(__xludf.DUMMYFUNCTION("IFERROR(VLOOKUP(F716,IMPORTRANGE(""https://docs.google.com/spreadsheets/d/1Kvs4KS76FHFqLFIZfrDMff4kP08nblUkihrxltoGBjg/edit#gid=934712705"",""ESENCIAL!A6:BG""),3,FALSE))"),"")</f>
        <v/>
      </c>
      <c r="H702" s="5" t="str">
        <f ca="1">IFERROR(__xludf.DUMMYFUNCTION("IFERROR(VLOOKUP(F716,IMPORTRANGE(""https://docs.google.com/spreadsheets/d/1Kvs4KS76FHFqLFIZfrDMff4kP08nblUkihrxltoGBjg/edit#gid=934712705"",""ESENCIAL!A6:BG""),8,FALSE))"),"")</f>
        <v/>
      </c>
      <c r="L702" s="287"/>
      <c r="U702" s="40"/>
      <c r="AU702" s="41" t="str">
        <f t="shared" si="20"/>
        <v/>
      </c>
      <c r="AV702" s="5" t="str">
        <f ca="1">IFERROR(__xludf.DUMMYFUNCTION("IFERROR(VLOOKUP(E716&amp;F716,IMPORTRANGE(""https://docs.google.com/spreadsheets/d/1Uw7-A9f9R21vMXxHZFNpYNeKFtG8_yji4HS352LGlSQ/edit?pli=1#gid=0"",""1_ACUM!A4:S""),11,FALSE))"),"")</f>
        <v/>
      </c>
      <c r="AW702" s="42" t="str">
        <f ca="1">IFERROR(__xludf.DUMMYFUNCTION("IFERROR(VLOOKUP(F716,IMPORTRANGE(""https://docs.google.com/spreadsheets/d/1Kvs4KS76FHFqLFIZfrDMff4kP08nblUkihrxltoGBjg/edit#gid=934712705"",""ESENCIAL!A6:BG""),15,FALSE))"),"")</f>
        <v/>
      </c>
      <c r="AX702" s="21" t="str">
        <f ca="1">IFERROR(__xludf.DUMMYFUNCTION("IFERROR(VLOOKUP(E716&amp;F716,IMPORTRANGE(""https://docs.google.com/spreadsheets/d/1Uw7-A9f9R21vMXxHZFNpYNeKFtG8_yji4HS352LGlSQ/edit?pli=1#gid=0"",""1_ACUM!A4:S""),12,FALSE))"),"")</f>
        <v/>
      </c>
      <c r="AY702" s="43" t="str">
        <f ca="1">IFERROR(__xludf.DUMMYFUNCTION("IFERROR(VLOOKUP(E716&amp;F716,IMPORTRANGE(""https://docs.google.com/spreadsheets/d/1Uw7-A9f9R21vMXxHZFNpYNeKFtG8_yji4HS352LGlSQ/edit?pli=1#gid=0"",""1_ACUM!A4:S""),13,FALSE))"),"")</f>
        <v/>
      </c>
      <c r="AZ702" s="43" t="str">
        <f ca="1">IFERROR(__xludf.DUMMYFUNCTION("IFERROR(VLOOKUP(E716&amp;F716,IMPORTRANGE(""https://docs.google.com/spreadsheets/d/1Uw7-A9f9R21vMXxHZFNpYNeKFtG8_yji4HS352LGlSQ/edit?pli=1#gid=0"",""1_ACUM!A4:S""),14,FALSE))"),"")</f>
        <v/>
      </c>
      <c r="BA702" s="43" t="str">
        <f ca="1">IFERROR(__xludf.DUMMYFUNCTION("IFERROR(VLOOKUP(E716&amp;F716,IMPORTRANGE(""https://docs.google.com/spreadsheets/d/1Uw7-A9f9R21vMXxHZFNpYNeKFtG8_yji4HS352LGlSQ/edit?pli=1#gid=0"",""1_ACUM!A4:S""),15,FALSE))"),"")</f>
        <v/>
      </c>
      <c r="BB702" s="43" t="str">
        <f ca="1">IFERROR(__xludf.DUMMYFUNCTION("IFERROR(VLOOKUP(E716&amp;F716,IMPORTRANGE(""https://docs.google.com/spreadsheets/d/1Uw7-A9f9R21vMXxHZFNpYNeKFtG8_yji4HS352LGlSQ/edit?pli=1#gid=0"",""1_ACUM!A4:S""),16,FALSE))"),"")</f>
        <v/>
      </c>
      <c r="BC702" s="43" t="str">
        <f ca="1">IFERROR(__xludf.DUMMYFUNCTION("IFERROR(VLOOKUP(E716&amp;F716,IMPORTRANGE(""https://docs.google.com/spreadsheets/d/1Uw7-A9f9R21vMXxHZFNpYNeKFtG8_yji4HS352LGlSQ/edit?pli=1#gid=0"",""1_ACUM!A4:S""),17,FALSE))"),"")</f>
        <v/>
      </c>
      <c r="BD702" s="44" t="str">
        <f ca="1">IFERROR(__xludf.DUMMYFUNCTION("IFERROR(VLOOKUP(E716&amp;F716,IMPORTRANGE(""https://docs.google.com/spreadsheets/d/1Uw7-A9f9R21vMXxHZFNpYNeKFtG8_yji4HS352LGlSQ/edit?pli=1#gid=0"",""1_ACUM!A4:S""),18,FALSE))"),"")</f>
        <v/>
      </c>
      <c r="BE702" s="44" t="str">
        <f ca="1">IFERROR(__xludf.DUMMYFUNCTION("IFERROR(VLOOKUP(E716&amp;F716,IMPORTRANGE(""https://docs.google.com/spreadsheets/d/1Uw7-A9f9R21vMXxHZFNpYNeKFtG8_yji4HS352LGlSQ/edit?pli=1#gid=0"",""1_ACUM!A4:S""),19,FALSE))"),"")</f>
        <v/>
      </c>
      <c r="BF702" s="98" t="str">
        <f ca="1">IFERROR(__xludf.DUMMYFUNCTION("IFERROR(VLOOKUP(F716,IMPORTRANGE(""https://docs.google.com/spreadsheets/d/1Kvs4KS76FHFqLFIZfrDMff4kP08nblUkihrxltoGBjg/edit#gid=934712705"",""ESENCIAL!A6:BG""),5,FALSE))"),"")</f>
        <v/>
      </c>
      <c r="BG702" s="98" t="str">
        <f t="shared" si="21"/>
        <v/>
      </c>
      <c r="BH702" s="99" t="str">
        <f t="shared" si="22"/>
        <v/>
      </c>
      <c r="BI702" s="100" t="str">
        <f ca="1">IFERROR(__xludf.DUMMYFUNCTION("IFERROR(VLOOKUP(F716,IMPORTRANGE(""https://docs.google.com/spreadsheets/d/1Kvs4KS76FHFqLFIZfrDMff4kP08nblUkihrxltoGBjg/edit#gid=934712705"",""ESENCIAL!A6:BG""),2,FALSE))"),"")</f>
        <v/>
      </c>
      <c r="BJ702" s="19" t="str">
        <f t="shared" si="23"/>
        <v/>
      </c>
      <c r="BK702" s="100"/>
      <c r="BL702" s="100"/>
    </row>
    <row r="703" spans="1:64" ht="15">
      <c r="A703" s="5"/>
      <c r="B703" s="5"/>
      <c r="G703" s="5" t="str">
        <f ca="1">IFERROR(__xludf.DUMMYFUNCTION("IFERROR(VLOOKUP(F717,IMPORTRANGE(""https://docs.google.com/spreadsheets/d/1Kvs4KS76FHFqLFIZfrDMff4kP08nblUkihrxltoGBjg/edit#gid=934712705"",""ESENCIAL!A6:BG""),3,FALSE))"),"")</f>
        <v/>
      </c>
      <c r="H703" s="5" t="str">
        <f ca="1">IFERROR(__xludf.DUMMYFUNCTION("IFERROR(VLOOKUP(F717,IMPORTRANGE(""https://docs.google.com/spreadsheets/d/1Kvs4KS76FHFqLFIZfrDMff4kP08nblUkihrxltoGBjg/edit#gid=934712705"",""ESENCIAL!A6:BG""),8,FALSE))"),"")</f>
        <v/>
      </c>
      <c r="L703" s="287"/>
      <c r="U703" s="40"/>
      <c r="AU703" s="41" t="str">
        <f t="shared" si="20"/>
        <v/>
      </c>
      <c r="AV703" s="5" t="str">
        <f ca="1">IFERROR(__xludf.DUMMYFUNCTION("IFERROR(VLOOKUP(E717&amp;F717,IMPORTRANGE(""https://docs.google.com/spreadsheets/d/1Uw7-A9f9R21vMXxHZFNpYNeKFtG8_yji4HS352LGlSQ/edit?pli=1#gid=0"",""1_ACUM!A4:S""),11,FALSE))"),"")</f>
        <v/>
      </c>
      <c r="AW703" s="42" t="str">
        <f ca="1">IFERROR(__xludf.DUMMYFUNCTION("IFERROR(VLOOKUP(F717,IMPORTRANGE(""https://docs.google.com/spreadsheets/d/1Kvs4KS76FHFqLFIZfrDMff4kP08nblUkihrxltoGBjg/edit#gid=934712705"",""ESENCIAL!A6:BG""),15,FALSE))"),"")</f>
        <v/>
      </c>
      <c r="AX703" s="21" t="str">
        <f ca="1">IFERROR(__xludf.DUMMYFUNCTION("IFERROR(VLOOKUP(E717&amp;F717,IMPORTRANGE(""https://docs.google.com/spreadsheets/d/1Uw7-A9f9R21vMXxHZFNpYNeKFtG8_yji4HS352LGlSQ/edit?pli=1#gid=0"",""1_ACUM!A4:S""),12,FALSE))"),"")</f>
        <v/>
      </c>
      <c r="AY703" s="43" t="str">
        <f ca="1">IFERROR(__xludf.DUMMYFUNCTION("IFERROR(VLOOKUP(E717&amp;F717,IMPORTRANGE(""https://docs.google.com/spreadsheets/d/1Uw7-A9f9R21vMXxHZFNpYNeKFtG8_yji4HS352LGlSQ/edit?pli=1#gid=0"",""1_ACUM!A4:S""),13,FALSE))"),"")</f>
        <v/>
      </c>
      <c r="AZ703" s="43" t="str">
        <f ca="1">IFERROR(__xludf.DUMMYFUNCTION("IFERROR(VLOOKUP(E717&amp;F717,IMPORTRANGE(""https://docs.google.com/spreadsheets/d/1Uw7-A9f9R21vMXxHZFNpYNeKFtG8_yji4HS352LGlSQ/edit?pli=1#gid=0"",""1_ACUM!A4:S""),14,FALSE))"),"")</f>
        <v/>
      </c>
      <c r="BA703" s="43" t="str">
        <f ca="1">IFERROR(__xludf.DUMMYFUNCTION("IFERROR(VLOOKUP(E717&amp;F717,IMPORTRANGE(""https://docs.google.com/spreadsheets/d/1Uw7-A9f9R21vMXxHZFNpYNeKFtG8_yji4HS352LGlSQ/edit?pli=1#gid=0"",""1_ACUM!A4:S""),15,FALSE))"),"")</f>
        <v/>
      </c>
      <c r="BB703" s="43" t="str">
        <f ca="1">IFERROR(__xludf.DUMMYFUNCTION("IFERROR(VLOOKUP(E717&amp;F717,IMPORTRANGE(""https://docs.google.com/spreadsheets/d/1Uw7-A9f9R21vMXxHZFNpYNeKFtG8_yji4HS352LGlSQ/edit?pli=1#gid=0"",""1_ACUM!A4:S""),16,FALSE))"),"")</f>
        <v/>
      </c>
      <c r="BC703" s="43" t="str">
        <f ca="1">IFERROR(__xludf.DUMMYFUNCTION("IFERROR(VLOOKUP(E717&amp;F717,IMPORTRANGE(""https://docs.google.com/spreadsheets/d/1Uw7-A9f9R21vMXxHZFNpYNeKFtG8_yji4HS352LGlSQ/edit?pli=1#gid=0"",""1_ACUM!A4:S""),17,FALSE))"),"")</f>
        <v/>
      </c>
      <c r="BD703" s="44" t="str">
        <f ca="1">IFERROR(__xludf.DUMMYFUNCTION("IFERROR(VLOOKUP(E717&amp;F717,IMPORTRANGE(""https://docs.google.com/spreadsheets/d/1Uw7-A9f9R21vMXxHZFNpYNeKFtG8_yji4HS352LGlSQ/edit?pli=1#gid=0"",""1_ACUM!A4:S""),18,FALSE))"),"")</f>
        <v/>
      </c>
      <c r="BE703" s="44" t="str">
        <f ca="1">IFERROR(__xludf.DUMMYFUNCTION("IFERROR(VLOOKUP(E717&amp;F717,IMPORTRANGE(""https://docs.google.com/spreadsheets/d/1Uw7-A9f9R21vMXxHZFNpYNeKFtG8_yji4HS352LGlSQ/edit?pli=1#gid=0"",""1_ACUM!A4:S""),19,FALSE))"),"")</f>
        <v/>
      </c>
      <c r="BF703" s="98" t="str">
        <f ca="1">IFERROR(__xludf.DUMMYFUNCTION("IFERROR(VLOOKUP(F717,IMPORTRANGE(""https://docs.google.com/spreadsheets/d/1Kvs4KS76FHFqLFIZfrDMff4kP08nblUkihrxltoGBjg/edit#gid=934712705"",""ESENCIAL!A6:BG""),5,FALSE))"),"")</f>
        <v/>
      </c>
      <c r="BG703" s="98" t="str">
        <f t="shared" si="21"/>
        <v/>
      </c>
      <c r="BH703" s="99" t="str">
        <f t="shared" si="22"/>
        <v/>
      </c>
      <c r="BI703" s="100" t="str">
        <f ca="1">IFERROR(__xludf.DUMMYFUNCTION("IFERROR(VLOOKUP(F717,IMPORTRANGE(""https://docs.google.com/spreadsheets/d/1Kvs4KS76FHFqLFIZfrDMff4kP08nblUkihrxltoGBjg/edit#gid=934712705"",""ESENCIAL!A6:BG""),2,FALSE))"),"")</f>
        <v/>
      </c>
      <c r="BJ703" s="19" t="str">
        <f t="shared" si="23"/>
        <v/>
      </c>
      <c r="BK703" s="100"/>
      <c r="BL703" s="100"/>
    </row>
    <row r="704" spans="1:64" ht="15">
      <c r="A704" s="5"/>
      <c r="B704" s="5"/>
      <c r="G704" s="5" t="str">
        <f ca="1">IFERROR(__xludf.DUMMYFUNCTION("IFERROR(VLOOKUP(F718,IMPORTRANGE(""https://docs.google.com/spreadsheets/d/1Kvs4KS76FHFqLFIZfrDMff4kP08nblUkihrxltoGBjg/edit#gid=934712705"",""ESENCIAL!A6:BG""),3,FALSE))"),"")</f>
        <v/>
      </c>
      <c r="H704" s="5" t="str">
        <f ca="1">IFERROR(__xludf.DUMMYFUNCTION("IFERROR(VLOOKUP(F718,IMPORTRANGE(""https://docs.google.com/spreadsheets/d/1Kvs4KS76FHFqLFIZfrDMff4kP08nblUkihrxltoGBjg/edit#gid=934712705"",""ESENCIAL!A6:BG""),8,FALSE))"),"")</f>
        <v/>
      </c>
      <c r="L704" s="287"/>
      <c r="U704" s="40"/>
      <c r="AU704" s="41" t="str">
        <f t="shared" si="20"/>
        <v/>
      </c>
      <c r="AV704" s="5" t="str">
        <f ca="1">IFERROR(__xludf.DUMMYFUNCTION("IFERROR(VLOOKUP(E718&amp;F718,IMPORTRANGE(""https://docs.google.com/spreadsheets/d/1Uw7-A9f9R21vMXxHZFNpYNeKFtG8_yji4HS352LGlSQ/edit?pli=1#gid=0"",""1_ACUM!A4:S""),11,FALSE))"),"")</f>
        <v/>
      </c>
      <c r="AW704" s="42" t="str">
        <f ca="1">IFERROR(__xludf.DUMMYFUNCTION("IFERROR(VLOOKUP(F718,IMPORTRANGE(""https://docs.google.com/spreadsheets/d/1Kvs4KS76FHFqLFIZfrDMff4kP08nblUkihrxltoGBjg/edit#gid=934712705"",""ESENCIAL!A6:BG""),15,FALSE))"),"")</f>
        <v/>
      </c>
      <c r="AX704" s="21" t="str">
        <f ca="1">IFERROR(__xludf.DUMMYFUNCTION("IFERROR(VLOOKUP(E718&amp;F718,IMPORTRANGE(""https://docs.google.com/spreadsheets/d/1Uw7-A9f9R21vMXxHZFNpYNeKFtG8_yji4HS352LGlSQ/edit?pli=1#gid=0"",""1_ACUM!A4:S""),12,FALSE))"),"")</f>
        <v/>
      </c>
      <c r="AY704" s="43" t="str">
        <f ca="1">IFERROR(__xludf.DUMMYFUNCTION("IFERROR(VLOOKUP(E718&amp;F718,IMPORTRANGE(""https://docs.google.com/spreadsheets/d/1Uw7-A9f9R21vMXxHZFNpYNeKFtG8_yji4HS352LGlSQ/edit?pli=1#gid=0"",""1_ACUM!A4:S""),13,FALSE))"),"")</f>
        <v/>
      </c>
      <c r="AZ704" s="43" t="str">
        <f ca="1">IFERROR(__xludf.DUMMYFUNCTION("IFERROR(VLOOKUP(E718&amp;F718,IMPORTRANGE(""https://docs.google.com/spreadsheets/d/1Uw7-A9f9R21vMXxHZFNpYNeKFtG8_yji4HS352LGlSQ/edit?pli=1#gid=0"",""1_ACUM!A4:S""),14,FALSE))"),"")</f>
        <v/>
      </c>
      <c r="BA704" s="43" t="str">
        <f ca="1">IFERROR(__xludf.DUMMYFUNCTION("IFERROR(VLOOKUP(E718&amp;F718,IMPORTRANGE(""https://docs.google.com/spreadsheets/d/1Uw7-A9f9R21vMXxHZFNpYNeKFtG8_yji4HS352LGlSQ/edit?pli=1#gid=0"",""1_ACUM!A4:S""),15,FALSE))"),"")</f>
        <v/>
      </c>
      <c r="BB704" s="43" t="str">
        <f ca="1">IFERROR(__xludf.DUMMYFUNCTION("IFERROR(VLOOKUP(E718&amp;F718,IMPORTRANGE(""https://docs.google.com/spreadsheets/d/1Uw7-A9f9R21vMXxHZFNpYNeKFtG8_yji4HS352LGlSQ/edit?pli=1#gid=0"",""1_ACUM!A4:S""),16,FALSE))"),"")</f>
        <v/>
      </c>
      <c r="BC704" s="43" t="str">
        <f ca="1">IFERROR(__xludf.DUMMYFUNCTION("IFERROR(VLOOKUP(E718&amp;F718,IMPORTRANGE(""https://docs.google.com/spreadsheets/d/1Uw7-A9f9R21vMXxHZFNpYNeKFtG8_yji4HS352LGlSQ/edit?pli=1#gid=0"",""1_ACUM!A4:S""),17,FALSE))"),"")</f>
        <v/>
      </c>
      <c r="BD704" s="44" t="str">
        <f ca="1">IFERROR(__xludf.DUMMYFUNCTION("IFERROR(VLOOKUP(E718&amp;F718,IMPORTRANGE(""https://docs.google.com/spreadsheets/d/1Uw7-A9f9R21vMXxHZFNpYNeKFtG8_yji4HS352LGlSQ/edit?pli=1#gid=0"",""1_ACUM!A4:S""),18,FALSE))"),"")</f>
        <v/>
      </c>
      <c r="BE704" s="44" t="str">
        <f ca="1">IFERROR(__xludf.DUMMYFUNCTION("IFERROR(VLOOKUP(E718&amp;F718,IMPORTRANGE(""https://docs.google.com/spreadsheets/d/1Uw7-A9f9R21vMXxHZFNpYNeKFtG8_yji4HS352LGlSQ/edit?pli=1#gid=0"",""1_ACUM!A4:S""),19,FALSE))"),"")</f>
        <v/>
      </c>
      <c r="BF704" s="98" t="str">
        <f ca="1">IFERROR(__xludf.DUMMYFUNCTION("IFERROR(VLOOKUP(F718,IMPORTRANGE(""https://docs.google.com/spreadsheets/d/1Kvs4KS76FHFqLFIZfrDMff4kP08nblUkihrxltoGBjg/edit#gid=934712705"",""ESENCIAL!A6:BG""),5,FALSE))"),"")</f>
        <v/>
      </c>
      <c r="BG704" s="98" t="str">
        <f t="shared" si="21"/>
        <v/>
      </c>
      <c r="BH704" s="99" t="str">
        <f t="shared" si="22"/>
        <v/>
      </c>
      <c r="BI704" s="100" t="str">
        <f ca="1">IFERROR(__xludf.DUMMYFUNCTION("IFERROR(VLOOKUP(F718,IMPORTRANGE(""https://docs.google.com/spreadsheets/d/1Kvs4KS76FHFqLFIZfrDMff4kP08nblUkihrxltoGBjg/edit#gid=934712705"",""ESENCIAL!A6:BG""),2,FALSE))"),"")</f>
        <v/>
      </c>
      <c r="BJ704" s="19" t="str">
        <f t="shared" si="23"/>
        <v/>
      </c>
      <c r="BK704" s="100"/>
      <c r="BL704" s="100"/>
    </row>
    <row r="705" spans="1:64" ht="15">
      <c r="A705" s="5"/>
      <c r="B705" s="5"/>
      <c r="G705" s="5" t="str">
        <f ca="1">IFERROR(__xludf.DUMMYFUNCTION("IFERROR(VLOOKUP(F719,IMPORTRANGE(""https://docs.google.com/spreadsheets/d/1Kvs4KS76FHFqLFIZfrDMff4kP08nblUkihrxltoGBjg/edit#gid=934712705"",""ESENCIAL!A6:BG""),3,FALSE))"),"")</f>
        <v/>
      </c>
      <c r="H705" s="5" t="str">
        <f ca="1">IFERROR(__xludf.DUMMYFUNCTION("IFERROR(VLOOKUP(F719,IMPORTRANGE(""https://docs.google.com/spreadsheets/d/1Kvs4KS76FHFqLFIZfrDMff4kP08nblUkihrxltoGBjg/edit#gid=934712705"",""ESENCIAL!A6:BG""),8,FALSE))"),"")</f>
        <v/>
      </c>
      <c r="L705" s="287"/>
      <c r="U705" s="40"/>
      <c r="AU705" s="41" t="str">
        <f t="shared" si="20"/>
        <v/>
      </c>
      <c r="AV705" s="5" t="str">
        <f ca="1">IFERROR(__xludf.DUMMYFUNCTION("IFERROR(VLOOKUP(E719&amp;F719,IMPORTRANGE(""https://docs.google.com/spreadsheets/d/1Uw7-A9f9R21vMXxHZFNpYNeKFtG8_yji4HS352LGlSQ/edit?pli=1#gid=0"",""1_ACUM!A4:S""),11,FALSE))"),"")</f>
        <v/>
      </c>
      <c r="AW705" s="42" t="str">
        <f ca="1">IFERROR(__xludf.DUMMYFUNCTION("IFERROR(VLOOKUP(F719,IMPORTRANGE(""https://docs.google.com/spreadsheets/d/1Kvs4KS76FHFqLFIZfrDMff4kP08nblUkihrxltoGBjg/edit#gid=934712705"",""ESENCIAL!A6:BG""),15,FALSE))"),"")</f>
        <v/>
      </c>
      <c r="AX705" s="21" t="str">
        <f ca="1">IFERROR(__xludf.DUMMYFUNCTION("IFERROR(VLOOKUP(E719&amp;F719,IMPORTRANGE(""https://docs.google.com/spreadsheets/d/1Uw7-A9f9R21vMXxHZFNpYNeKFtG8_yji4HS352LGlSQ/edit?pli=1#gid=0"",""1_ACUM!A4:S""),12,FALSE))"),"")</f>
        <v/>
      </c>
      <c r="AY705" s="43" t="str">
        <f ca="1">IFERROR(__xludf.DUMMYFUNCTION("IFERROR(VLOOKUP(E719&amp;F719,IMPORTRANGE(""https://docs.google.com/spreadsheets/d/1Uw7-A9f9R21vMXxHZFNpYNeKFtG8_yji4HS352LGlSQ/edit?pli=1#gid=0"",""1_ACUM!A4:S""),13,FALSE))"),"")</f>
        <v/>
      </c>
      <c r="AZ705" s="43" t="str">
        <f ca="1">IFERROR(__xludf.DUMMYFUNCTION("IFERROR(VLOOKUP(E719&amp;F719,IMPORTRANGE(""https://docs.google.com/spreadsheets/d/1Uw7-A9f9R21vMXxHZFNpYNeKFtG8_yji4HS352LGlSQ/edit?pli=1#gid=0"",""1_ACUM!A4:S""),14,FALSE))"),"")</f>
        <v/>
      </c>
      <c r="BA705" s="43" t="str">
        <f ca="1">IFERROR(__xludf.DUMMYFUNCTION("IFERROR(VLOOKUP(E719&amp;F719,IMPORTRANGE(""https://docs.google.com/spreadsheets/d/1Uw7-A9f9R21vMXxHZFNpYNeKFtG8_yji4HS352LGlSQ/edit?pli=1#gid=0"",""1_ACUM!A4:S""),15,FALSE))"),"")</f>
        <v/>
      </c>
      <c r="BB705" s="43" t="str">
        <f ca="1">IFERROR(__xludf.DUMMYFUNCTION("IFERROR(VLOOKUP(E719&amp;F719,IMPORTRANGE(""https://docs.google.com/spreadsheets/d/1Uw7-A9f9R21vMXxHZFNpYNeKFtG8_yji4HS352LGlSQ/edit?pli=1#gid=0"",""1_ACUM!A4:S""),16,FALSE))"),"")</f>
        <v/>
      </c>
      <c r="BC705" s="43" t="str">
        <f ca="1">IFERROR(__xludf.DUMMYFUNCTION("IFERROR(VLOOKUP(E719&amp;F719,IMPORTRANGE(""https://docs.google.com/spreadsheets/d/1Uw7-A9f9R21vMXxHZFNpYNeKFtG8_yji4HS352LGlSQ/edit?pli=1#gid=0"",""1_ACUM!A4:S""),17,FALSE))"),"")</f>
        <v/>
      </c>
      <c r="BD705" s="44" t="str">
        <f ca="1">IFERROR(__xludf.DUMMYFUNCTION("IFERROR(VLOOKUP(E719&amp;F719,IMPORTRANGE(""https://docs.google.com/spreadsheets/d/1Uw7-A9f9R21vMXxHZFNpYNeKFtG8_yji4HS352LGlSQ/edit?pli=1#gid=0"",""1_ACUM!A4:S""),18,FALSE))"),"")</f>
        <v/>
      </c>
      <c r="BE705" s="44" t="str">
        <f ca="1">IFERROR(__xludf.DUMMYFUNCTION("IFERROR(VLOOKUP(E719&amp;F719,IMPORTRANGE(""https://docs.google.com/spreadsheets/d/1Uw7-A9f9R21vMXxHZFNpYNeKFtG8_yji4HS352LGlSQ/edit?pli=1#gid=0"",""1_ACUM!A4:S""),19,FALSE))"),"")</f>
        <v/>
      </c>
      <c r="BF705" s="98" t="str">
        <f ca="1">IFERROR(__xludf.DUMMYFUNCTION("IFERROR(VLOOKUP(F719,IMPORTRANGE(""https://docs.google.com/spreadsheets/d/1Kvs4KS76FHFqLFIZfrDMff4kP08nblUkihrxltoGBjg/edit#gid=934712705"",""ESENCIAL!A6:BG""),5,FALSE))"),"")</f>
        <v/>
      </c>
      <c r="BG705" s="98" t="str">
        <f t="shared" si="21"/>
        <v/>
      </c>
      <c r="BH705" s="99" t="str">
        <f t="shared" si="22"/>
        <v/>
      </c>
      <c r="BI705" s="100" t="str">
        <f ca="1">IFERROR(__xludf.DUMMYFUNCTION("IFERROR(VLOOKUP(F719,IMPORTRANGE(""https://docs.google.com/spreadsheets/d/1Kvs4KS76FHFqLFIZfrDMff4kP08nblUkihrxltoGBjg/edit#gid=934712705"",""ESENCIAL!A6:BG""),2,FALSE))"),"")</f>
        <v/>
      </c>
      <c r="BJ705" s="19" t="str">
        <f t="shared" si="23"/>
        <v/>
      </c>
      <c r="BK705" s="100"/>
      <c r="BL705" s="100"/>
    </row>
    <row r="706" spans="1:64" ht="15">
      <c r="A706" s="5"/>
      <c r="B706" s="5"/>
      <c r="G706" s="5" t="str">
        <f ca="1">IFERROR(__xludf.DUMMYFUNCTION("IFERROR(VLOOKUP(F720,IMPORTRANGE(""https://docs.google.com/spreadsheets/d/1Kvs4KS76FHFqLFIZfrDMff4kP08nblUkihrxltoGBjg/edit#gid=934712705"",""ESENCIAL!A6:BG""),3,FALSE))"),"")</f>
        <v/>
      </c>
      <c r="H706" s="5" t="str">
        <f ca="1">IFERROR(__xludf.DUMMYFUNCTION("IFERROR(VLOOKUP(F720,IMPORTRANGE(""https://docs.google.com/spreadsheets/d/1Kvs4KS76FHFqLFIZfrDMff4kP08nblUkihrxltoGBjg/edit#gid=934712705"",""ESENCIAL!A6:BG""),8,FALSE))"),"")</f>
        <v/>
      </c>
      <c r="L706" s="287"/>
      <c r="U706" s="40"/>
      <c r="AU706" s="41" t="str">
        <f t="shared" si="20"/>
        <v/>
      </c>
      <c r="AV706" s="5" t="str">
        <f ca="1">IFERROR(__xludf.DUMMYFUNCTION("IFERROR(VLOOKUP(E720&amp;F720,IMPORTRANGE(""https://docs.google.com/spreadsheets/d/1Uw7-A9f9R21vMXxHZFNpYNeKFtG8_yji4HS352LGlSQ/edit?pli=1#gid=0"",""1_ACUM!A4:S""),11,FALSE))"),"")</f>
        <v/>
      </c>
      <c r="AW706" s="42" t="str">
        <f ca="1">IFERROR(__xludf.DUMMYFUNCTION("IFERROR(VLOOKUP(F720,IMPORTRANGE(""https://docs.google.com/spreadsheets/d/1Kvs4KS76FHFqLFIZfrDMff4kP08nblUkihrxltoGBjg/edit#gid=934712705"",""ESENCIAL!A6:BG""),15,FALSE))"),"")</f>
        <v/>
      </c>
      <c r="AX706" s="21" t="str">
        <f ca="1">IFERROR(__xludf.DUMMYFUNCTION("IFERROR(VLOOKUP(E720&amp;F720,IMPORTRANGE(""https://docs.google.com/spreadsheets/d/1Uw7-A9f9R21vMXxHZFNpYNeKFtG8_yji4HS352LGlSQ/edit?pli=1#gid=0"",""1_ACUM!A4:S""),12,FALSE))"),"")</f>
        <v/>
      </c>
      <c r="AY706" s="43" t="str">
        <f ca="1">IFERROR(__xludf.DUMMYFUNCTION("IFERROR(VLOOKUP(E720&amp;F720,IMPORTRANGE(""https://docs.google.com/spreadsheets/d/1Uw7-A9f9R21vMXxHZFNpYNeKFtG8_yji4HS352LGlSQ/edit?pli=1#gid=0"",""1_ACUM!A4:S""),13,FALSE))"),"")</f>
        <v/>
      </c>
      <c r="AZ706" s="43" t="str">
        <f ca="1">IFERROR(__xludf.DUMMYFUNCTION("IFERROR(VLOOKUP(E720&amp;F720,IMPORTRANGE(""https://docs.google.com/spreadsheets/d/1Uw7-A9f9R21vMXxHZFNpYNeKFtG8_yji4HS352LGlSQ/edit?pli=1#gid=0"",""1_ACUM!A4:S""),14,FALSE))"),"")</f>
        <v/>
      </c>
      <c r="BA706" s="43" t="str">
        <f ca="1">IFERROR(__xludf.DUMMYFUNCTION("IFERROR(VLOOKUP(E720&amp;F720,IMPORTRANGE(""https://docs.google.com/spreadsheets/d/1Uw7-A9f9R21vMXxHZFNpYNeKFtG8_yji4HS352LGlSQ/edit?pli=1#gid=0"",""1_ACUM!A4:S""),15,FALSE))"),"")</f>
        <v/>
      </c>
      <c r="BB706" s="43" t="str">
        <f ca="1">IFERROR(__xludf.DUMMYFUNCTION("IFERROR(VLOOKUP(E720&amp;F720,IMPORTRANGE(""https://docs.google.com/spreadsheets/d/1Uw7-A9f9R21vMXxHZFNpYNeKFtG8_yji4HS352LGlSQ/edit?pli=1#gid=0"",""1_ACUM!A4:S""),16,FALSE))"),"")</f>
        <v/>
      </c>
      <c r="BC706" s="43" t="str">
        <f ca="1">IFERROR(__xludf.DUMMYFUNCTION("IFERROR(VLOOKUP(E720&amp;F720,IMPORTRANGE(""https://docs.google.com/spreadsheets/d/1Uw7-A9f9R21vMXxHZFNpYNeKFtG8_yji4HS352LGlSQ/edit?pli=1#gid=0"",""1_ACUM!A4:S""),17,FALSE))"),"")</f>
        <v/>
      </c>
      <c r="BD706" s="44" t="str">
        <f ca="1">IFERROR(__xludf.DUMMYFUNCTION("IFERROR(VLOOKUP(E720&amp;F720,IMPORTRANGE(""https://docs.google.com/spreadsheets/d/1Uw7-A9f9R21vMXxHZFNpYNeKFtG8_yji4HS352LGlSQ/edit?pli=1#gid=0"",""1_ACUM!A4:S""),18,FALSE))"),"")</f>
        <v/>
      </c>
      <c r="BE706" s="44" t="str">
        <f ca="1">IFERROR(__xludf.DUMMYFUNCTION("IFERROR(VLOOKUP(E720&amp;F720,IMPORTRANGE(""https://docs.google.com/spreadsheets/d/1Uw7-A9f9R21vMXxHZFNpYNeKFtG8_yji4HS352LGlSQ/edit?pli=1#gid=0"",""1_ACUM!A4:S""),19,FALSE))"),"")</f>
        <v/>
      </c>
      <c r="BF706" s="98" t="str">
        <f ca="1">IFERROR(__xludf.DUMMYFUNCTION("IFERROR(VLOOKUP(F720,IMPORTRANGE(""https://docs.google.com/spreadsheets/d/1Kvs4KS76FHFqLFIZfrDMff4kP08nblUkihrxltoGBjg/edit#gid=934712705"",""ESENCIAL!A6:BG""),5,FALSE))"),"")</f>
        <v/>
      </c>
      <c r="BG706" s="98" t="str">
        <f t="shared" si="21"/>
        <v/>
      </c>
      <c r="BH706" s="99" t="str">
        <f t="shared" si="22"/>
        <v/>
      </c>
      <c r="BI706" s="100" t="str">
        <f ca="1">IFERROR(__xludf.DUMMYFUNCTION("IFERROR(VLOOKUP(F720,IMPORTRANGE(""https://docs.google.com/spreadsheets/d/1Kvs4KS76FHFqLFIZfrDMff4kP08nblUkihrxltoGBjg/edit#gid=934712705"",""ESENCIAL!A6:BG""),2,FALSE))"),"")</f>
        <v/>
      </c>
      <c r="BJ706" s="19" t="str">
        <f t="shared" si="23"/>
        <v/>
      </c>
      <c r="BK706" s="100"/>
      <c r="BL706" s="100"/>
    </row>
    <row r="707" spans="1:64" ht="15">
      <c r="A707" s="5"/>
      <c r="B707" s="5"/>
      <c r="G707" s="5" t="str">
        <f ca="1">IFERROR(__xludf.DUMMYFUNCTION("IFERROR(VLOOKUP(F721,IMPORTRANGE(""https://docs.google.com/spreadsheets/d/1Kvs4KS76FHFqLFIZfrDMff4kP08nblUkihrxltoGBjg/edit#gid=934712705"",""ESENCIAL!A6:BG""),3,FALSE))"),"")</f>
        <v/>
      </c>
      <c r="H707" s="5" t="str">
        <f ca="1">IFERROR(__xludf.DUMMYFUNCTION("IFERROR(VLOOKUP(F721,IMPORTRANGE(""https://docs.google.com/spreadsheets/d/1Kvs4KS76FHFqLFIZfrDMff4kP08nblUkihrxltoGBjg/edit#gid=934712705"",""ESENCIAL!A6:BG""),8,FALSE))"),"")</f>
        <v/>
      </c>
      <c r="L707" s="287"/>
      <c r="U707" s="40"/>
      <c r="AU707" s="41" t="str">
        <f t="shared" si="20"/>
        <v/>
      </c>
      <c r="AV707" s="5" t="str">
        <f ca="1">IFERROR(__xludf.DUMMYFUNCTION("IFERROR(VLOOKUP(E721&amp;F721,IMPORTRANGE(""https://docs.google.com/spreadsheets/d/1Uw7-A9f9R21vMXxHZFNpYNeKFtG8_yji4HS352LGlSQ/edit?pli=1#gid=0"",""1_ACUM!A4:S""),11,FALSE))"),"")</f>
        <v/>
      </c>
      <c r="AW707" s="42" t="str">
        <f ca="1">IFERROR(__xludf.DUMMYFUNCTION("IFERROR(VLOOKUP(F721,IMPORTRANGE(""https://docs.google.com/spreadsheets/d/1Kvs4KS76FHFqLFIZfrDMff4kP08nblUkihrxltoGBjg/edit#gid=934712705"",""ESENCIAL!A6:BG""),15,FALSE))"),"")</f>
        <v/>
      </c>
      <c r="AX707" s="21" t="str">
        <f ca="1">IFERROR(__xludf.DUMMYFUNCTION("IFERROR(VLOOKUP(E721&amp;F721,IMPORTRANGE(""https://docs.google.com/spreadsheets/d/1Uw7-A9f9R21vMXxHZFNpYNeKFtG8_yji4HS352LGlSQ/edit?pli=1#gid=0"",""1_ACUM!A4:S""),12,FALSE))"),"")</f>
        <v/>
      </c>
      <c r="AY707" s="43" t="str">
        <f ca="1">IFERROR(__xludf.DUMMYFUNCTION("IFERROR(VLOOKUP(E721&amp;F721,IMPORTRANGE(""https://docs.google.com/spreadsheets/d/1Uw7-A9f9R21vMXxHZFNpYNeKFtG8_yji4HS352LGlSQ/edit?pli=1#gid=0"",""1_ACUM!A4:S""),13,FALSE))"),"")</f>
        <v/>
      </c>
      <c r="AZ707" s="43" t="str">
        <f ca="1">IFERROR(__xludf.DUMMYFUNCTION("IFERROR(VLOOKUP(E721&amp;F721,IMPORTRANGE(""https://docs.google.com/spreadsheets/d/1Uw7-A9f9R21vMXxHZFNpYNeKFtG8_yji4HS352LGlSQ/edit?pli=1#gid=0"",""1_ACUM!A4:S""),14,FALSE))"),"")</f>
        <v/>
      </c>
      <c r="BA707" s="43" t="str">
        <f ca="1">IFERROR(__xludf.DUMMYFUNCTION("IFERROR(VLOOKUP(E721&amp;F721,IMPORTRANGE(""https://docs.google.com/spreadsheets/d/1Uw7-A9f9R21vMXxHZFNpYNeKFtG8_yji4HS352LGlSQ/edit?pli=1#gid=0"",""1_ACUM!A4:S""),15,FALSE))"),"")</f>
        <v/>
      </c>
      <c r="BB707" s="43" t="str">
        <f ca="1">IFERROR(__xludf.DUMMYFUNCTION("IFERROR(VLOOKUP(E721&amp;F721,IMPORTRANGE(""https://docs.google.com/spreadsheets/d/1Uw7-A9f9R21vMXxHZFNpYNeKFtG8_yji4HS352LGlSQ/edit?pli=1#gid=0"",""1_ACUM!A4:S""),16,FALSE))"),"")</f>
        <v/>
      </c>
      <c r="BC707" s="43" t="str">
        <f ca="1">IFERROR(__xludf.DUMMYFUNCTION("IFERROR(VLOOKUP(E721&amp;F721,IMPORTRANGE(""https://docs.google.com/spreadsheets/d/1Uw7-A9f9R21vMXxHZFNpYNeKFtG8_yji4HS352LGlSQ/edit?pli=1#gid=0"",""1_ACUM!A4:S""),17,FALSE))"),"")</f>
        <v/>
      </c>
      <c r="BD707" s="44" t="str">
        <f ca="1">IFERROR(__xludf.DUMMYFUNCTION("IFERROR(VLOOKUP(E721&amp;F721,IMPORTRANGE(""https://docs.google.com/spreadsheets/d/1Uw7-A9f9R21vMXxHZFNpYNeKFtG8_yji4HS352LGlSQ/edit?pli=1#gid=0"",""1_ACUM!A4:S""),18,FALSE))"),"")</f>
        <v/>
      </c>
      <c r="BE707" s="44" t="str">
        <f ca="1">IFERROR(__xludf.DUMMYFUNCTION("IFERROR(VLOOKUP(E721&amp;F721,IMPORTRANGE(""https://docs.google.com/spreadsheets/d/1Uw7-A9f9R21vMXxHZFNpYNeKFtG8_yji4HS352LGlSQ/edit?pli=1#gid=0"",""1_ACUM!A4:S""),19,FALSE))"),"")</f>
        <v/>
      </c>
      <c r="BF707" s="98" t="str">
        <f ca="1">IFERROR(__xludf.DUMMYFUNCTION("IFERROR(VLOOKUP(F721,IMPORTRANGE(""https://docs.google.com/spreadsheets/d/1Kvs4KS76FHFqLFIZfrDMff4kP08nblUkihrxltoGBjg/edit#gid=934712705"",""ESENCIAL!A6:BG""),5,FALSE))"),"")</f>
        <v/>
      </c>
      <c r="BG707" s="98" t="str">
        <f t="shared" si="21"/>
        <v/>
      </c>
      <c r="BH707" s="99" t="str">
        <f t="shared" si="22"/>
        <v/>
      </c>
      <c r="BI707" s="100" t="str">
        <f ca="1">IFERROR(__xludf.DUMMYFUNCTION("IFERROR(VLOOKUP(F721,IMPORTRANGE(""https://docs.google.com/spreadsheets/d/1Kvs4KS76FHFqLFIZfrDMff4kP08nblUkihrxltoGBjg/edit#gid=934712705"",""ESENCIAL!A6:BG""),2,FALSE))"),"")</f>
        <v/>
      </c>
      <c r="BJ707" s="19" t="str">
        <f t="shared" si="23"/>
        <v/>
      </c>
      <c r="BK707" s="100"/>
      <c r="BL707" s="100"/>
    </row>
    <row r="708" spans="1:64" ht="15">
      <c r="A708" s="5"/>
      <c r="B708" s="5"/>
      <c r="G708" s="5" t="str">
        <f ca="1">IFERROR(__xludf.DUMMYFUNCTION("IFERROR(VLOOKUP(F722,IMPORTRANGE(""https://docs.google.com/spreadsheets/d/1Kvs4KS76FHFqLFIZfrDMff4kP08nblUkihrxltoGBjg/edit#gid=934712705"",""ESENCIAL!A6:BG""),3,FALSE))"),"")</f>
        <v/>
      </c>
      <c r="H708" s="5" t="str">
        <f ca="1">IFERROR(__xludf.DUMMYFUNCTION("IFERROR(VLOOKUP(F722,IMPORTRANGE(""https://docs.google.com/spreadsheets/d/1Kvs4KS76FHFqLFIZfrDMff4kP08nblUkihrxltoGBjg/edit#gid=934712705"",""ESENCIAL!A6:BG""),8,FALSE))"),"")</f>
        <v/>
      </c>
      <c r="L708" s="287"/>
      <c r="U708" s="40"/>
      <c r="AU708" s="41" t="str">
        <f t="shared" si="20"/>
        <v/>
      </c>
      <c r="AV708" s="5" t="str">
        <f ca="1">IFERROR(__xludf.DUMMYFUNCTION("IFERROR(VLOOKUP(E722&amp;F722,IMPORTRANGE(""https://docs.google.com/spreadsheets/d/1Uw7-A9f9R21vMXxHZFNpYNeKFtG8_yji4HS352LGlSQ/edit?pli=1#gid=0"",""1_ACUM!A4:S""),11,FALSE))"),"")</f>
        <v/>
      </c>
      <c r="AW708" s="42" t="str">
        <f ca="1">IFERROR(__xludf.DUMMYFUNCTION("IFERROR(VLOOKUP(F722,IMPORTRANGE(""https://docs.google.com/spreadsheets/d/1Kvs4KS76FHFqLFIZfrDMff4kP08nblUkihrxltoGBjg/edit#gid=934712705"",""ESENCIAL!A6:BG""),15,FALSE))"),"")</f>
        <v/>
      </c>
      <c r="AX708" s="21" t="str">
        <f ca="1">IFERROR(__xludf.DUMMYFUNCTION("IFERROR(VLOOKUP(E722&amp;F722,IMPORTRANGE(""https://docs.google.com/spreadsheets/d/1Uw7-A9f9R21vMXxHZFNpYNeKFtG8_yji4HS352LGlSQ/edit?pli=1#gid=0"",""1_ACUM!A4:S""),12,FALSE))"),"")</f>
        <v/>
      </c>
      <c r="AY708" s="43" t="str">
        <f ca="1">IFERROR(__xludf.DUMMYFUNCTION("IFERROR(VLOOKUP(E722&amp;F722,IMPORTRANGE(""https://docs.google.com/spreadsheets/d/1Uw7-A9f9R21vMXxHZFNpYNeKFtG8_yji4HS352LGlSQ/edit?pli=1#gid=0"",""1_ACUM!A4:S""),13,FALSE))"),"")</f>
        <v/>
      </c>
      <c r="AZ708" s="43" t="str">
        <f ca="1">IFERROR(__xludf.DUMMYFUNCTION("IFERROR(VLOOKUP(E722&amp;F722,IMPORTRANGE(""https://docs.google.com/spreadsheets/d/1Uw7-A9f9R21vMXxHZFNpYNeKFtG8_yji4HS352LGlSQ/edit?pli=1#gid=0"",""1_ACUM!A4:S""),14,FALSE))"),"")</f>
        <v/>
      </c>
      <c r="BA708" s="43" t="str">
        <f ca="1">IFERROR(__xludf.DUMMYFUNCTION("IFERROR(VLOOKUP(E722&amp;F722,IMPORTRANGE(""https://docs.google.com/spreadsheets/d/1Uw7-A9f9R21vMXxHZFNpYNeKFtG8_yji4HS352LGlSQ/edit?pli=1#gid=0"",""1_ACUM!A4:S""),15,FALSE))"),"")</f>
        <v/>
      </c>
      <c r="BB708" s="43" t="str">
        <f ca="1">IFERROR(__xludf.DUMMYFUNCTION("IFERROR(VLOOKUP(E722&amp;F722,IMPORTRANGE(""https://docs.google.com/spreadsheets/d/1Uw7-A9f9R21vMXxHZFNpYNeKFtG8_yji4HS352LGlSQ/edit?pli=1#gid=0"",""1_ACUM!A4:S""),16,FALSE))"),"")</f>
        <v/>
      </c>
      <c r="BC708" s="43" t="str">
        <f ca="1">IFERROR(__xludf.DUMMYFUNCTION("IFERROR(VLOOKUP(E722&amp;F722,IMPORTRANGE(""https://docs.google.com/spreadsheets/d/1Uw7-A9f9R21vMXxHZFNpYNeKFtG8_yji4HS352LGlSQ/edit?pli=1#gid=0"",""1_ACUM!A4:S""),17,FALSE))"),"")</f>
        <v/>
      </c>
      <c r="BD708" s="44" t="str">
        <f ca="1">IFERROR(__xludf.DUMMYFUNCTION("IFERROR(VLOOKUP(E722&amp;F722,IMPORTRANGE(""https://docs.google.com/spreadsheets/d/1Uw7-A9f9R21vMXxHZFNpYNeKFtG8_yji4HS352LGlSQ/edit?pli=1#gid=0"",""1_ACUM!A4:S""),18,FALSE))"),"")</f>
        <v/>
      </c>
      <c r="BE708" s="44" t="str">
        <f ca="1">IFERROR(__xludf.DUMMYFUNCTION("IFERROR(VLOOKUP(E722&amp;F722,IMPORTRANGE(""https://docs.google.com/spreadsheets/d/1Uw7-A9f9R21vMXxHZFNpYNeKFtG8_yji4HS352LGlSQ/edit?pli=1#gid=0"",""1_ACUM!A4:S""),19,FALSE))"),"")</f>
        <v/>
      </c>
      <c r="BF708" s="98" t="str">
        <f ca="1">IFERROR(__xludf.DUMMYFUNCTION("IFERROR(VLOOKUP(F722,IMPORTRANGE(""https://docs.google.com/spreadsheets/d/1Kvs4KS76FHFqLFIZfrDMff4kP08nblUkihrxltoGBjg/edit#gid=934712705"",""ESENCIAL!A6:BG""),5,FALSE))"),"")</f>
        <v/>
      </c>
      <c r="BG708" s="98" t="str">
        <f t="shared" si="21"/>
        <v/>
      </c>
      <c r="BH708" s="99" t="str">
        <f t="shared" si="22"/>
        <v/>
      </c>
      <c r="BI708" s="100" t="str">
        <f ca="1">IFERROR(__xludf.DUMMYFUNCTION("IFERROR(VLOOKUP(F722,IMPORTRANGE(""https://docs.google.com/spreadsheets/d/1Kvs4KS76FHFqLFIZfrDMff4kP08nblUkihrxltoGBjg/edit#gid=934712705"",""ESENCIAL!A6:BG""),2,FALSE))"),"")</f>
        <v/>
      </c>
      <c r="BJ708" s="19" t="str">
        <f t="shared" si="23"/>
        <v/>
      </c>
      <c r="BK708" s="100"/>
      <c r="BL708" s="100"/>
    </row>
    <row r="709" spans="1:64" ht="15">
      <c r="A709" s="5"/>
      <c r="B709" s="5"/>
      <c r="G709" s="5" t="str">
        <f ca="1">IFERROR(__xludf.DUMMYFUNCTION("IFERROR(VLOOKUP(F723,IMPORTRANGE(""https://docs.google.com/spreadsheets/d/1Kvs4KS76FHFqLFIZfrDMff4kP08nblUkihrxltoGBjg/edit#gid=934712705"",""ESENCIAL!A6:BG""),3,FALSE))"),"")</f>
        <v/>
      </c>
      <c r="H709" s="5" t="str">
        <f ca="1">IFERROR(__xludf.DUMMYFUNCTION("IFERROR(VLOOKUP(F723,IMPORTRANGE(""https://docs.google.com/spreadsheets/d/1Kvs4KS76FHFqLFIZfrDMff4kP08nblUkihrxltoGBjg/edit#gid=934712705"",""ESENCIAL!A6:BG""),8,FALSE))"),"")</f>
        <v/>
      </c>
      <c r="L709" s="287"/>
      <c r="U709" s="40"/>
      <c r="AU709" s="41" t="str">
        <f t="shared" si="20"/>
        <v/>
      </c>
      <c r="AV709" s="5" t="str">
        <f ca="1">IFERROR(__xludf.DUMMYFUNCTION("IFERROR(VLOOKUP(E723&amp;F723,IMPORTRANGE(""https://docs.google.com/spreadsheets/d/1Uw7-A9f9R21vMXxHZFNpYNeKFtG8_yji4HS352LGlSQ/edit?pli=1#gid=0"",""1_ACUM!A4:S""),11,FALSE))"),"")</f>
        <v/>
      </c>
      <c r="AW709" s="42" t="str">
        <f ca="1">IFERROR(__xludf.DUMMYFUNCTION("IFERROR(VLOOKUP(F723,IMPORTRANGE(""https://docs.google.com/spreadsheets/d/1Kvs4KS76FHFqLFIZfrDMff4kP08nblUkihrxltoGBjg/edit#gid=934712705"",""ESENCIAL!A6:BG""),15,FALSE))"),"")</f>
        <v/>
      </c>
      <c r="AX709" s="21" t="str">
        <f ca="1">IFERROR(__xludf.DUMMYFUNCTION("IFERROR(VLOOKUP(E723&amp;F723,IMPORTRANGE(""https://docs.google.com/spreadsheets/d/1Uw7-A9f9R21vMXxHZFNpYNeKFtG8_yji4HS352LGlSQ/edit?pli=1#gid=0"",""1_ACUM!A4:S""),12,FALSE))"),"")</f>
        <v/>
      </c>
      <c r="AY709" s="43" t="str">
        <f ca="1">IFERROR(__xludf.DUMMYFUNCTION("IFERROR(VLOOKUP(E723&amp;F723,IMPORTRANGE(""https://docs.google.com/spreadsheets/d/1Uw7-A9f9R21vMXxHZFNpYNeKFtG8_yji4HS352LGlSQ/edit?pli=1#gid=0"",""1_ACUM!A4:S""),13,FALSE))"),"")</f>
        <v/>
      </c>
      <c r="AZ709" s="43" t="str">
        <f ca="1">IFERROR(__xludf.DUMMYFUNCTION("IFERROR(VLOOKUP(E723&amp;F723,IMPORTRANGE(""https://docs.google.com/spreadsheets/d/1Uw7-A9f9R21vMXxHZFNpYNeKFtG8_yji4HS352LGlSQ/edit?pli=1#gid=0"",""1_ACUM!A4:S""),14,FALSE))"),"")</f>
        <v/>
      </c>
      <c r="BA709" s="43" t="str">
        <f ca="1">IFERROR(__xludf.DUMMYFUNCTION("IFERROR(VLOOKUP(E723&amp;F723,IMPORTRANGE(""https://docs.google.com/spreadsheets/d/1Uw7-A9f9R21vMXxHZFNpYNeKFtG8_yji4HS352LGlSQ/edit?pli=1#gid=0"",""1_ACUM!A4:S""),15,FALSE))"),"")</f>
        <v/>
      </c>
      <c r="BB709" s="43" t="str">
        <f ca="1">IFERROR(__xludf.DUMMYFUNCTION("IFERROR(VLOOKUP(E723&amp;F723,IMPORTRANGE(""https://docs.google.com/spreadsheets/d/1Uw7-A9f9R21vMXxHZFNpYNeKFtG8_yji4HS352LGlSQ/edit?pli=1#gid=0"",""1_ACUM!A4:S""),16,FALSE))"),"")</f>
        <v/>
      </c>
      <c r="BC709" s="43" t="str">
        <f ca="1">IFERROR(__xludf.DUMMYFUNCTION("IFERROR(VLOOKUP(E723&amp;F723,IMPORTRANGE(""https://docs.google.com/spreadsheets/d/1Uw7-A9f9R21vMXxHZFNpYNeKFtG8_yji4HS352LGlSQ/edit?pli=1#gid=0"",""1_ACUM!A4:S""),17,FALSE))"),"")</f>
        <v/>
      </c>
      <c r="BD709" s="44" t="str">
        <f ca="1">IFERROR(__xludf.DUMMYFUNCTION("IFERROR(VLOOKUP(E723&amp;F723,IMPORTRANGE(""https://docs.google.com/spreadsheets/d/1Uw7-A9f9R21vMXxHZFNpYNeKFtG8_yji4HS352LGlSQ/edit?pli=1#gid=0"",""1_ACUM!A4:S""),18,FALSE))"),"")</f>
        <v/>
      </c>
      <c r="BE709" s="44" t="str">
        <f ca="1">IFERROR(__xludf.DUMMYFUNCTION("IFERROR(VLOOKUP(E723&amp;F723,IMPORTRANGE(""https://docs.google.com/spreadsheets/d/1Uw7-A9f9R21vMXxHZFNpYNeKFtG8_yji4HS352LGlSQ/edit?pli=1#gid=0"",""1_ACUM!A4:S""),19,FALSE))"),"")</f>
        <v/>
      </c>
      <c r="BF709" s="98" t="str">
        <f ca="1">IFERROR(__xludf.DUMMYFUNCTION("IFERROR(VLOOKUP(F723,IMPORTRANGE(""https://docs.google.com/spreadsheets/d/1Kvs4KS76FHFqLFIZfrDMff4kP08nblUkihrxltoGBjg/edit#gid=934712705"",""ESENCIAL!A6:BG""),5,FALSE))"),"")</f>
        <v/>
      </c>
      <c r="BG709" s="98" t="str">
        <f t="shared" si="21"/>
        <v/>
      </c>
      <c r="BH709" s="99" t="str">
        <f t="shared" si="22"/>
        <v/>
      </c>
      <c r="BI709" s="100" t="str">
        <f ca="1">IFERROR(__xludf.DUMMYFUNCTION("IFERROR(VLOOKUP(F723,IMPORTRANGE(""https://docs.google.com/spreadsheets/d/1Kvs4KS76FHFqLFIZfrDMff4kP08nblUkihrxltoGBjg/edit#gid=934712705"",""ESENCIAL!A6:BG""),2,FALSE))"),"")</f>
        <v/>
      </c>
      <c r="BJ709" s="19" t="str">
        <f t="shared" si="23"/>
        <v/>
      </c>
      <c r="BK709" s="100"/>
      <c r="BL709" s="100"/>
    </row>
    <row r="710" spans="1:64" ht="15">
      <c r="A710" s="5"/>
      <c r="B710" s="5"/>
      <c r="G710" s="5" t="str">
        <f ca="1">IFERROR(__xludf.DUMMYFUNCTION("IFERROR(VLOOKUP(F724,IMPORTRANGE(""https://docs.google.com/spreadsheets/d/1Kvs4KS76FHFqLFIZfrDMff4kP08nblUkihrxltoGBjg/edit#gid=934712705"",""ESENCIAL!A6:BG""),3,FALSE))"),"")</f>
        <v/>
      </c>
      <c r="H710" s="5" t="str">
        <f ca="1">IFERROR(__xludf.DUMMYFUNCTION("IFERROR(VLOOKUP(F724,IMPORTRANGE(""https://docs.google.com/spreadsheets/d/1Kvs4KS76FHFqLFIZfrDMff4kP08nblUkihrxltoGBjg/edit#gid=934712705"",""ESENCIAL!A6:BG""),8,FALSE))"),"")</f>
        <v/>
      </c>
      <c r="L710" s="287"/>
      <c r="U710" s="40"/>
      <c r="AU710" s="41" t="str">
        <f t="shared" si="20"/>
        <v/>
      </c>
      <c r="AV710" s="5" t="str">
        <f ca="1">IFERROR(__xludf.DUMMYFUNCTION("IFERROR(VLOOKUP(E724&amp;F724,IMPORTRANGE(""https://docs.google.com/spreadsheets/d/1Uw7-A9f9R21vMXxHZFNpYNeKFtG8_yji4HS352LGlSQ/edit?pli=1#gid=0"",""1_ACUM!A4:S""),11,FALSE))"),"")</f>
        <v/>
      </c>
      <c r="AW710" s="42" t="str">
        <f ca="1">IFERROR(__xludf.DUMMYFUNCTION("IFERROR(VLOOKUP(F724,IMPORTRANGE(""https://docs.google.com/spreadsheets/d/1Kvs4KS76FHFqLFIZfrDMff4kP08nblUkihrxltoGBjg/edit#gid=934712705"",""ESENCIAL!A6:BG""),15,FALSE))"),"")</f>
        <v/>
      </c>
      <c r="AX710" s="21" t="str">
        <f ca="1">IFERROR(__xludf.DUMMYFUNCTION("IFERROR(VLOOKUP(E724&amp;F724,IMPORTRANGE(""https://docs.google.com/spreadsheets/d/1Uw7-A9f9R21vMXxHZFNpYNeKFtG8_yji4HS352LGlSQ/edit?pli=1#gid=0"",""1_ACUM!A4:S""),12,FALSE))"),"")</f>
        <v/>
      </c>
      <c r="AY710" s="43" t="str">
        <f ca="1">IFERROR(__xludf.DUMMYFUNCTION("IFERROR(VLOOKUP(E724&amp;F724,IMPORTRANGE(""https://docs.google.com/spreadsheets/d/1Uw7-A9f9R21vMXxHZFNpYNeKFtG8_yji4HS352LGlSQ/edit?pli=1#gid=0"",""1_ACUM!A4:S""),13,FALSE))"),"")</f>
        <v/>
      </c>
      <c r="AZ710" s="43" t="str">
        <f ca="1">IFERROR(__xludf.DUMMYFUNCTION("IFERROR(VLOOKUP(E724&amp;F724,IMPORTRANGE(""https://docs.google.com/spreadsheets/d/1Uw7-A9f9R21vMXxHZFNpYNeKFtG8_yji4HS352LGlSQ/edit?pli=1#gid=0"",""1_ACUM!A4:S""),14,FALSE))"),"")</f>
        <v/>
      </c>
      <c r="BA710" s="43" t="str">
        <f ca="1">IFERROR(__xludf.DUMMYFUNCTION("IFERROR(VLOOKUP(E724&amp;F724,IMPORTRANGE(""https://docs.google.com/spreadsheets/d/1Uw7-A9f9R21vMXxHZFNpYNeKFtG8_yji4HS352LGlSQ/edit?pli=1#gid=0"",""1_ACUM!A4:S""),15,FALSE))"),"")</f>
        <v/>
      </c>
      <c r="BB710" s="43" t="str">
        <f ca="1">IFERROR(__xludf.DUMMYFUNCTION("IFERROR(VLOOKUP(E724&amp;F724,IMPORTRANGE(""https://docs.google.com/spreadsheets/d/1Uw7-A9f9R21vMXxHZFNpYNeKFtG8_yji4HS352LGlSQ/edit?pli=1#gid=0"",""1_ACUM!A4:S""),16,FALSE))"),"")</f>
        <v/>
      </c>
      <c r="BC710" s="43" t="str">
        <f ca="1">IFERROR(__xludf.DUMMYFUNCTION("IFERROR(VLOOKUP(E724&amp;F724,IMPORTRANGE(""https://docs.google.com/spreadsheets/d/1Uw7-A9f9R21vMXxHZFNpYNeKFtG8_yji4HS352LGlSQ/edit?pli=1#gid=0"",""1_ACUM!A4:S""),17,FALSE))"),"")</f>
        <v/>
      </c>
      <c r="BD710" s="44" t="str">
        <f ca="1">IFERROR(__xludf.DUMMYFUNCTION("IFERROR(VLOOKUP(E724&amp;F724,IMPORTRANGE(""https://docs.google.com/spreadsheets/d/1Uw7-A9f9R21vMXxHZFNpYNeKFtG8_yji4HS352LGlSQ/edit?pli=1#gid=0"",""1_ACUM!A4:S""),18,FALSE))"),"")</f>
        <v/>
      </c>
      <c r="BE710" s="44" t="str">
        <f ca="1">IFERROR(__xludf.DUMMYFUNCTION("IFERROR(VLOOKUP(E724&amp;F724,IMPORTRANGE(""https://docs.google.com/spreadsheets/d/1Uw7-A9f9R21vMXxHZFNpYNeKFtG8_yji4HS352LGlSQ/edit?pli=1#gid=0"",""1_ACUM!A4:S""),19,FALSE))"),"")</f>
        <v/>
      </c>
      <c r="BF710" s="98" t="str">
        <f ca="1">IFERROR(__xludf.DUMMYFUNCTION("IFERROR(VLOOKUP(F724,IMPORTRANGE(""https://docs.google.com/spreadsheets/d/1Kvs4KS76FHFqLFIZfrDMff4kP08nblUkihrxltoGBjg/edit#gid=934712705"",""ESENCIAL!A6:BG""),5,FALSE))"),"")</f>
        <v/>
      </c>
      <c r="BG710" s="98" t="str">
        <f t="shared" si="21"/>
        <v/>
      </c>
      <c r="BH710" s="99" t="str">
        <f t="shared" si="22"/>
        <v/>
      </c>
      <c r="BI710" s="100" t="str">
        <f ca="1">IFERROR(__xludf.DUMMYFUNCTION("IFERROR(VLOOKUP(F724,IMPORTRANGE(""https://docs.google.com/spreadsheets/d/1Kvs4KS76FHFqLFIZfrDMff4kP08nblUkihrxltoGBjg/edit#gid=934712705"",""ESENCIAL!A6:BG""),2,FALSE))"),"")</f>
        <v/>
      </c>
      <c r="BJ710" s="19" t="str">
        <f t="shared" si="23"/>
        <v/>
      </c>
      <c r="BK710" s="100"/>
      <c r="BL710" s="100"/>
    </row>
    <row r="711" spans="1:64" ht="15">
      <c r="A711" s="5"/>
      <c r="B711" s="5"/>
      <c r="G711" s="5" t="str">
        <f ca="1">IFERROR(__xludf.DUMMYFUNCTION("IFERROR(VLOOKUP(F725,IMPORTRANGE(""https://docs.google.com/spreadsheets/d/1Kvs4KS76FHFqLFIZfrDMff4kP08nblUkihrxltoGBjg/edit#gid=934712705"",""ESENCIAL!A6:BG""),3,FALSE))"),"")</f>
        <v/>
      </c>
      <c r="H711" s="5" t="str">
        <f ca="1">IFERROR(__xludf.DUMMYFUNCTION("IFERROR(VLOOKUP(F725,IMPORTRANGE(""https://docs.google.com/spreadsheets/d/1Kvs4KS76FHFqLFIZfrDMff4kP08nblUkihrxltoGBjg/edit#gid=934712705"",""ESENCIAL!A6:BG""),8,FALSE))"),"")</f>
        <v/>
      </c>
      <c r="L711" s="287"/>
      <c r="U711" s="40"/>
      <c r="AU711" s="41" t="str">
        <f t="shared" si="20"/>
        <v/>
      </c>
      <c r="AV711" s="5" t="str">
        <f ca="1">IFERROR(__xludf.DUMMYFUNCTION("IFERROR(VLOOKUP(E725&amp;F725,IMPORTRANGE(""https://docs.google.com/spreadsheets/d/1Uw7-A9f9R21vMXxHZFNpYNeKFtG8_yji4HS352LGlSQ/edit?pli=1#gid=0"",""1_ACUM!A4:S""),11,FALSE))"),"")</f>
        <v/>
      </c>
      <c r="AW711" s="42" t="str">
        <f ca="1">IFERROR(__xludf.DUMMYFUNCTION("IFERROR(VLOOKUP(F725,IMPORTRANGE(""https://docs.google.com/spreadsheets/d/1Kvs4KS76FHFqLFIZfrDMff4kP08nblUkihrxltoGBjg/edit#gid=934712705"",""ESENCIAL!A6:BG""),15,FALSE))"),"")</f>
        <v/>
      </c>
      <c r="AX711" s="21" t="str">
        <f ca="1">IFERROR(__xludf.DUMMYFUNCTION("IFERROR(VLOOKUP(E725&amp;F725,IMPORTRANGE(""https://docs.google.com/spreadsheets/d/1Uw7-A9f9R21vMXxHZFNpYNeKFtG8_yji4HS352LGlSQ/edit?pli=1#gid=0"",""1_ACUM!A4:S""),12,FALSE))"),"")</f>
        <v/>
      </c>
      <c r="AY711" s="43" t="str">
        <f ca="1">IFERROR(__xludf.DUMMYFUNCTION("IFERROR(VLOOKUP(E725&amp;F725,IMPORTRANGE(""https://docs.google.com/spreadsheets/d/1Uw7-A9f9R21vMXxHZFNpYNeKFtG8_yji4HS352LGlSQ/edit?pli=1#gid=0"",""1_ACUM!A4:S""),13,FALSE))"),"")</f>
        <v/>
      </c>
      <c r="AZ711" s="43" t="str">
        <f ca="1">IFERROR(__xludf.DUMMYFUNCTION("IFERROR(VLOOKUP(E725&amp;F725,IMPORTRANGE(""https://docs.google.com/spreadsheets/d/1Uw7-A9f9R21vMXxHZFNpYNeKFtG8_yji4HS352LGlSQ/edit?pli=1#gid=0"",""1_ACUM!A4:S""),14,FALSE))"),"")</f>
        <v/>
      </c>
      <c r="BA711" s="43" t="str">
        <f ca="1">IFERROR(__xludf.DUMMYFUNCTION("IFERROR(VLOOKUP(E725&amp;F725,IMPORTRANGE(""https://docs.google.com/spreadsheets/d/1Uw7-A9f9R21vMXxHZFNpYNeKFtG8_yji4HS352LGlSQ/edit?pli=1#gid=0"",""1_ACUM!A4:S""),15,FALSE))"),"")</f>
        <v/>
      </c>
      <c r="BB711" s="43" t="str">
        <f ca="1">IFERROR(__xludf.DUMMYFUNCTION("IFERROR(VLOOKUP(E725&amp;F725,IMPORTRANGE(""https://docs.google.com/spreadsheets/d/1Uw7-A9f9R21vMXxHZFNpYNeKFtG8_yji4HS352LGlSQ/edit?pli=1#gid=0"",""1_ACUM!A4:S""),16,FALSE))"),"")</f>
        <v/>
      </c>
      <c r="BC711" s="43" t="str">
        <f ca="1">IFERROR(__xludf.DUMMYFUNCTION("IFERROR(VLOOKUP(E725&amp;F725,IMPORTRANGE(""https://docs.google.com/spreadsheets/d/1Uw7-A9f9R21vMXxHZFNpYNeKFtG8_yji4HS352LGlSQ/edit?pli=1#gid=0"",""1_ACUM!A4:S""),17,FALSE))"),"")</f>
        <v/>
      </c>
      <c r="BD711" s="44" t="str">
        <f ca="1">IFERROR(__xludf.DUMMYFUNCTION("IFERROR(VLOOKUP(E725&amp;F725,IMPORTRANGE(""https://docs.google.com/spreadsheets/d/1Uw7-A9f9R21vMXxHZFNpYNeKFtG8_yji4HS352LGlSQ/edit?pli=1#gid=0"",""1_ACUM!A4:S""),18,FALSE))"),"")</f>
        <v/>
      </c>
      <c r="BE711" s="44" t="str">
        <f ca="1">IFERROR(__xludf.DUMMYFUNCTION("IFERROR(VLOOKUP(E725&amp;F725,IMPORTRANGE(""https://docs.google.com/spreadsheets/d/1Uw7-A9f9R21vMXxHZFNpYNeKFtG8_yji4HS352LGlSQ/edit?pli=1#gid=0"",""1_ACUM!A4:S""),19,FALSE))"),"")</f>
        <v/>
      </c>
      <c r="BF711" s="98" t="str">
        <f ca="1">IFERROR(__xludf.DUMMYFUNCTION("IFERROR(VLOOKUP(F725,IMPORTRANGE(""https://docs.google.com/spreadsheets/d/1Kvs4KS76FHFqLFIZfrDMff4kP08nblUkihrxltoGBjg/edit#gid=934712705"",""ESENCIAL!A6:BG""),5,FALSE))"),"")</f>
        <v/>
      </c>
      <c r="BG711" s="98" t="str">
        <f t="shared" si="21"/>
        <v/>
      </c>
      <c r="BH711" s="99" t="str">
        <f t="shared" si="22"/>
        <v/>
      </c>
      <c r="BI711" s="100" t="str">
        <f ca="1">IFERROR(__xludf.DUMMYFUNCTION("IFERROR(VLOOKUP(F725,IMPORTRANGE(""https://docs.google.com/spreadsheets/d/1Kvs4KS76FHFqLFIZfrDMff4kP08nblUkihrxltoGBjg/edit#gid=934712705"",""ESENCIAL!A6:BG""),2,FALSE))"),"")</f>
        <v/>
      </c>
      <c r="BJ711" s="19" t="str">
        <f t="shared" si="23"/>
        <v/>
      </c>
      <c r="BK711" s="100"/>
      <c r="BL711" s="100"/>
    </row>
    <row r="712" spans="1:64" ht="15">
      <c r="A712" s="5"/>
      <c r="B712" s="5"/>
      <c r="G712" s="5" t="str">
        <f ca="1">IFERROR(__xludf.DUMMYFUNCTION("IFERROR(VLOOKUP(F726,IMPORTRANGE(""https://docs.google.com/spreadsheets/d/1Kvs4KS76FHFqLFIZfrDMff4kP08nblUkihrxltoGBjg/edit#gid=934712705"",""ESENCIAL!A6:BG""),3,FALSE))"),"")</f>
        <v/>
      </c>
      <c r="H712" s="5" t="str">
        <f ca="1">IFERROR(__xludf.DUMMYFUNCTION("IFERROR(VLOOKUP(F726,IMPORTRANGE(""https://docs.google.com/spreadsheets/d/1Kvs4KS76FHFqLFIZfrDMff4kP08nblUkihrxltoGBjg/edit#gid=934712705"",""ESENCIAL!A6:BG""),8,FALSE))"),"")</f>
        <v/>
      </c>
      <c r="L712" s="287"/>
      <c r="U712" s="40"/>
      <c r="AU712" s="41" t="str">
        <f t="shared" si="20"/>
        <v/>
      </c>
      <c r="AV712" s="5" t="str">
        <f ca="1">IFERROR(__xludf.DUMMYFUNCTION("IFERROR(VLOOKUP(E726&amp;F726,IMPORTRANGE(""https://docs.google.com/spreadsheets/d/1Uw7-A9f9R21vMXxHZFNpYNeKFtG8_yji4HS352LGlSQ/edit?pli=1#gid=0"",""1_ACUM!A4:S""),11,FALSE))"),"")</f>
        <v/>
      </c>
      <c r="AW712" s="42" t="str">
        <f ca="1">IFERROR(__xludf.DUMMYFUNCTION("IFERROR(VLOOKUP(F726,IMPORTRANGE(""https://docs.google.com/spreadsheets/d/1Kvs4KS76FHFqLFIZfrDMff4kP08nblUkihrxltoGBjg/edit#gid=934712705"",""ESENCIAL!A6:BG""),15,FALSE))"),"")</f>
        <v/>
      </c>
      <c r="AX712" s="21" t="str">
        <f ca="1">IFERROR(__xludf.DUMMYFUNCTION("IFERROR(VLOOKUP(E726&amp;F726,IMPORTRANGE(""https://docs.google.com/spreadsheets/d/1Uw7-A9f9R21vMXxHZFNpYNeKFtG8_yji4HS352LGlSQ/edit?pli=1#gid=0"",""1_ACUM!A4:S""),12,FALSE))"),"")</f>
        <v/>
      </c>
      <c r="AY712" s="43" t="str">
        <f ca="1">IFERROR(__xludf.DUMMYFUNCTION("IFERROR(VLOOKUP(E726&amp;F726,IMPORTRANGE(""https://docs.google.com/spreadsheets/d/1Uw7-A9f9R21vMXxHZFNpYNeKFtG8_yji4HS352LGlSQ/edit?pli=1#gid=0"",""1_ACUM!A4:S""),13,FALSE))"),"")</f>
        <v/>
      </c>
      <c r="AZ712" s="43" t="str">
        <f ca="1">IFERROR(__xludf.DUMMYFUNCTION("IFERROR(VLOOKUP(E726&amp;F726,IMPORTRANGE(""https://docs.google.com/spreadsheets/d/1Uw7-A9f9R21vMXxHZFNpYNeKFtG8_yji4HS352LGlSQ/edit?pli=1#gid=0"",""1_ACUM!A4:S""),14,FALSE))"),"")</f>
        <v/>
      </c>
      <c r="BA712" s="43" t="str">
        <f ca="1">IFERROR(__xludf.DUMMYFUNCTION("IFERROR(VLOOKUP(E726&amp;F726,IMPORTRANGE(""https://docs.google.com/spreadsheets/d/1Uw7-A9f9R21vMXxHZFNpYNeKFtG8_yji4HS352LGlSQ/edit?pli=1#gid=0"",""1_ACUM!A4:S""),15,FALSE))"),"")</f>
        <v/>
      </c>
      <c r="BB712" s="43" t="str">
        <f ca="1">IFERROR(__xludf.DUMMYFUNCTION("IFERROR(VLOOKUP(E726&amp;F726,IMPORTRANGE(""https://docs.google.com/spreadsheets/d/1Uw7-A9f9R21vMXxHZFNpYNeKFtG8_yji4HS352LGlSQ/edit?pli=1#gid=0"",""1_ACUM!A4:S""),16,FALSE))"),"")</f>
        <v/>
      </c>
      <c r="BC712" s="43" t="str">
        <f ca="1">IFERROR(__xludf.DUMMYFUNCTION("IFERROR(VLOOKUP(E726&amp;F726,IMPORTRANGE(""https://docs.google.com/spreadsheets/d/1Uw7-A9f9R21vMXxHZFNpYNeKFtG8_yji4HS352LGlSQ/edit?pli=1#gid=0"",""1_ACUM!A4:S""),17,FALSE))"),"")</f>
        <v/>
      </c>
      <c r="BD712" s="44" t="str">
        <f ca="1">IFERROR(__xludf.DUMMYFUNCTION("IFERROR(VLOOKUP(E726&amp;F726,IMPORTRANGE(""https://docs.google.com/spreadsheets/d/1Uw7-A9f9R21vMXxHZFNpYNeKFtG8_yji4HS352LGlSQ/edit?pli=1#gid=0"",""1_ACUM!A4:S""),18,FALSE))"),"")</f>
        <v/>
      </c>
      <c r="BE712" s="44" t="str">
        <f ca="1">IFERROR(__xludf.DUMMYFUNCTION("IFERROR(VLOOKUP(E726&amp;F726,IMPORTRANGE(""https://docs.google.com/spreadsheets/d/1Uw7-A9f9R21vMXxHZFNpYNeKFtG8_yji4HS352LGlSQ/edit?pli=1#gid=0"",""1_ACUM!A4:S""),19,FALSE))"),"")</f>
        <v/>
      </c>
      <c r="BF712" s="98" t="str">
        <f ca="1">IFERROR(__xludf.DUMMYFUNCTION("IFERROR(VLOOKUP(F726,IMPORTRANGE(""https://docs.google.com/spreadsheets/d/1Kvs4KS76FHFqLFIZfrDMff4kP08nblUkihrxltoGBjg/edit#gid=934712705"",""ESENCIAL!A6:BG""),5,FALSE))"),"")</f>
        <v/>
      </c>
      <c r="BG712" s="98" t="str">
        <f t="shared" si="21"/>
        <v/>
      </c>
      <c r="BH712" s="99" t="str">
        <f t="shared" si="22"/>
        <v/>
      </c>
      <c r="BI712" s="100" t="str">
        <f ca="1">IFERROR(__xludf.DUMMYFUNCTION("IFERROR(VLOOKUP(F726,IMPORTRANGE(""https://docs.google.com/spreadsheets/d/1Kvs4KS76FHFqLFIZfrDMff4kP08nblUkihrxltoGBjg/edit#gid=934712705"",""ESENCIAL!A6:BG""),2,FALSE))"),"")</f>
        <v/>
      </c>
      <c r="BJ712" s="19" t="str">
        <f t="shared" si="23"/>
        <v/>
      </c>
      <c r="BK712" s="100"/>
      <c r="BL712" s="100"/>
    </row>
    <row r="713" spans="1:64" ht="15">
      <c r="A713" s="5"/>
      <c r="B713" s="5"/>
      <c r="G713" s="5" t="str">
        <f ca="1">IFERROR(__xludf.DUMMYFUNCTION("IFERROR(VLOOKUP(F727,IMPORTRANGE(""https://docs.google.com/spreadsheets/d/1Kvs4KS76FHFqLFIZfrDMff4kP08nblUkihrxltoGBjg/edit#gid=934712705"",""ESENCIAL!A6:BG""),3,FALSE))"),"")</f>
        <v/>
      </c>
      <c r="H713" s="5" t="str">
        <f ca="1">IFERROR(__xludf.DUMMYFUNCTION("IFERROR(VLOOKUP(F727,IMPORTRANGE(""https://docs.google.com/spreadsheets/d/1Kvs4KS76FHFqLFIZfrDMff4kP08nblUkihrxltoGBjg/edit#gid=934712705"",""ESENCIAL!A6:BG""),8,FALSE))"),"")</f>
        <v/>
      </c>
      <c r="L713" s="287"/>
      <c r="U713" s="40"/>
      <c r="AU713" s="41" t="str">
        <f t="shared" si="20"/>
        <v/>
      </c>
      <c r="AV713" s="5" t="str">
        <f ca="1">IFERROR(__xludf.DUMMYFUNCTION("IFERROR(VLOOKUP(E727&amp;F727,IMPORTRANGE(""https://docs.google.com/spreadsheets/d/1Uw7-A9f9R21vMXxHZFNpYNeKFtG8_yji4HS352LGlSQ/edit?pli=1#gid=0"",""1_ACUM!A4:S""),11,FALSE))"),"")</f>
        <v/>
      </c>
      <c r="AW713" s="42" t="str">
        <f ca="1">IFERROR(__xludf.DUMMYFUNCTION("IFERROR(VLOOKUP(F727,IMPORTRANGE(""https://docs.google.com/spreadsheets/d/1Kvs4KS76FHFqLFIZfrDMff4kP08nblUkihrxltoGBjg/edit#gid=934712705"",""ESENCIAL!A6:BG""),15,FALSE))"),"")</f>
        <v/>
      </c>
      <c r="AX713" s="21" t="str">
        <f ca="1">IFERROR(__xludf.DUMMYFUNCTION("IFERROR(VLOOKUP(E727&amp;F727,IMPORTRANGE(""https://docs.google.com/spreadsheets/d/1Uw7-A9f9R21vMXxHZFNpYNeKFtG8_yji4HS352LGlSQ/edit?pli=1#gid=0"",""1_ACUM!A4:S""),12,FALSE))"),"")</f>
        <v/>
      </c>
      <c r="AY713" s="43" t="str">
        <f ca="1">IFERROR(__xludf.DUMMYFUNCTION("IFERROR(VLOOKUP(E727&amp;F727,IMPORTRANGE(""https://docs.google.com/spreadsheets/d/1Uw7-A9f9R21vMXxHZFNpYNeKFtG8_yji4HS352LGlSQ/edit?pli=1#gid=0"",""1_ACUM!A4:S""),13,FALSE))"),"")</f>
        <v/>
      </c>
      <c r="AZ713" s="43" t="str">
        <f ca="1">IFERROR(__xludf.DUMMYFUNCTION("IFERROR(VLOOKUP(E727&amp;F727,IMPORTRANGE(""https://docs.google.com/spreadsheets/d/1Uw7-A9f9R21vMXxHZFNpYNeKFtG8_yji4HS352LGlSQ/edit?pli=1#gid=0"",""1_ACUM!A4:S""),14,FALSE))"),"")</f>
        <v/>
      </c>
      <c r="BA713" s="43" t="str">
        <f ca="1">IFERROR(__xludf.DUMMYFUNCTION("IFERROR(VLOOKUP(E727&amp;F727,IMPORTRANGE(""https://docs.google.com/spreadsheets/d/1Uw7-A9f9R21vMXxHZFNpYNeKFtG8_yji4HS352LGlSQ/edit?pli=1#gid=0"",""1_ACUM!A4:S""),15,FALSE))"),"")</f>
        <v/>
      </c>
      <c r="BB713" s="43" t="str">
        <f ca="1">IFERROR(__xludf.DUMMYFUNCTION("IFERROR(VLOOKUP(E727&amp;F727,IMPORTRANGE(""https://docs.google.com/spreadsheets/d/1Uw7-A9f9R21vMXxHZFNpYNeKFtG8_yji4HS352LGlSQ/edit?pli=1#gid=0"",""1_ACUM!A4:S""),16,FALSE))"),"")</f>
        <v/>
      </c>
      <c r="BC713" s="43" t="str">
        <f ca="1">IFERROR(__xludf.DUMMYFUNCTION("IFERROR(VLOOKUP(E727&amp;F727,IMPORTRANGE(""https://docs.google.com/spreadsheets/d/1Uw7-A9f9R21vMXxHZFNpYNeKFtG8_yji4HS352LGlSQ/edit?pli=1#gid=0"",""1_ACUM!A4:S""),17,FALSE))"),"")</f>
        <v/>
      </c>
      <c r="BD713" s="44" t="str">
        <f ca="1">IFERROR(__xludf.DUMMYFUNCTION("IFERROR(VLOOKUP(E727&amp;F727,IMPORTRANGE(""https://docs.google.com/spreadsheets/d/1Uw7-A9f9R21vMXxHZFNpYNeKFtG8_yji4HS352LGlSQ/edit?pli=1#gid=0"",""1_ACUM!A4:S""),18,FALSE))"),"")</f>
        <v/>
      </c>
      <c r="BE713" s="44" t="str">
        <f ca="1">IFERROR(__xludf.DUMMYFUNCTION("IFERROR(VLOOKUP(E727&amp;F727,IMPORTRANGE(""https://docs.google.com/spreadsheets/d/1Uw7-A9f9R21vMXxHZFNpYNeKFtG8_yji4HS352LGlSQ/edit?pli=1#gid=0"",""1_ACUM!A4:S""),19,FALSE))"),"")</f>
        <v/>
      </c>
      <c r="BF713" s="98" t="str">
        <f ca="1">IFERROR(__xludf.DUMMYFUNCTION("IFERROR(VLOOKUP(F727,IMPORTRANGE(""https://docs.google.com/spreadsheets/d/1Kvs4KS76FHFqLFIZfrDMff4kP08nblUkihrxltoGBjg/edit#gid=934712705"",""ESENCIAL!A6:BG""),5,FALSE))"),"")</f>
        <v/>
      </c>
      <c r="BG713" s="98" t="str">
        <f t="shared" si="21"/>
        <v/>
      </c>
      <c r="BH713" s="99" t="str">
        <f t="shared" si="22"/>
        <v/>
      </c>
      <c r="BI713" s="100" t="str">
        <f ca="1">IFERROR(__xludf.DUMMYFUNCTION("IFERROR(VLOOKUP(F727,IMPORTRANGE(""https://docs.google.com/spreadsheets/d/1Kvs4KS76FHFqLFIZfrDMff4kP08nblUkihrxltoGBjg/edit#gid=934712705"",""ESENCIAL!A6:BG""),2,FALSE))"),"")</f>
        <v/>
      </c>
      <c r="BJ713" s="19" t="str">
        <f t="shared" si="23"/>
        <v/>
      </c>
      <c r="BK713" s="100"/>
      <c r="BL713" s="100"/>
    </row>
    <row r="714" spans="1:64" ht="15">
      <c r="A714" s="5"/>
      <c r="B714" s="5"/>
      <c r="G714" s="5" t="str">
        <f ca="1">IFERROR(__xludf.DUMMYFUNCTION("IFERROR(VLOOKUP(F728,IMPORTRANGE(""https://docs.google.com/spreadsheets/d/1Kvs4KS76FHFqLFIZfrDMff4kP08nblUkihrxltoGBjg/edit#gid=934712705"",""ESENCIAL!A6:BG""),3,FALSE))"),"")</f>
        <v/>
      </c>
      <c r="H714" s="5" t="str">
        <f ca="1">IFERROR(__xludf.DUMMYFUNCTION("IFERROR(VLOOKUP(F728,IMPORTRANGE(""https://docs.google.com/spreadsheets/d/1Kvs4KS76FHFqLFIZfrDMff4kP08nblUkihrxltoGBjg/edit#gid=934712705"",""ESENCIAL!A6:BG""),8,FALSE))"),"")</f>
        <v/>
      </c>
      <c r="L714" s="287"/>
      <c r="U714" s="40"/>
      <c r="AU714" s="41" t="str">
        <f t="shared" si="20"/>
        <v/>
      </c>
      <c r="AV714" s="5" t="str">
        <f ca="1">IFERROR(__xludf.DUMMYFUNCTION("IFERROR(VLOOKUP(E728&amp;F728,IMPORTRANGE(""https://docs.google.com/spreadsheets/d/1Uw7-A9f9R21vMXxHZFNpYNeKFtG8_yji4HS352LGlSQ/edit?pli=1#gid=0"",""1_ACUM!A4:S""),11,FALSE))"),"")</f>
        <v/>
      </c>
      <c r="AW714" s="42" t="str">
        <f ca="1">IFERROR(__xludf.DUMMYFUNCTION("IFERROR(VLOOKUP(F728,IMPORTRANGE(""https://docs.google.com/spreadsheets/d/1Kvs4KS76FHFqLFIZfrDMff4kP08nblUkihrxltoGBjg/edit#gid=934712705"",""ESENCIAL!A6:BG""),15,FALSE))"),"")</f>
        <v/>
      </c>
      <c r="AX714" s="21" t="str">
        <f ca="1">IFERROR(__xludf.DUMMYFUNCTION("IFERROR(VLOOKUP(E728&amp;F728,IMPORTRANGE(""https://docs.google.com/spreadsheets/d/1Uw7-A9f9R21vMXxHZFNpYNeKFtG8_yji4HS352LGlSQ/edit?pli=1#gid=0"",""1_ACUM!A4:S""),12,FALSE))"),"")</f>
        <v/>
      </c>
      <c r="AY714" s="43" t="str">
        <f ca="1">IFERROR(__xludf.DUMMYFUNCTION("IFERROR(VLOOKUP(E728&amp;F728,IMPORTRANGE(""https://docs.google.com/spreadsheets/d/1Uw7-A9f9R21vMXxHZFNpYNeKFtG8_yji4HS352LGlSQ/edit?pli=1#gid=0"",""1_ACUM!A4:S""),13,FALSE))"),"")</f>
        <v/>
      </c>
      <c r="AZ714" s="43" t="str">
        <f ca="1">IFERROR(__xludf.DUMMYFUNCTION("IFERROR(VLOOKUP(E728&amp;F728,IMPORTRANGE(""https://docs.google.com/spreadsheets/d/1Uw7-A9f9R21vMXxHZFNpYNeKFtG8_yji4HS352LGlSQ/edit?pli=1#gid=0"",""1_ACUM!A4:S""),14,FALSE))"),"")</f>
        <v/>
      </c>
      <c r="BA714" s="43" t="str">
        <f ca="1">IFERROR(__xludf.DUMMYFUNCTION("IFERROR(VLOOKUP(E728&amp;F728,IMPORTRANGE(""https://docs.google.com/spreadsheets/d/1Uw7-A9f9R21vMXxHZFNpYNeKFtG8_yji4HS352LGlSQ/edit?pli=1#gid=0"",""1_ACUM!A4:S""),15,FALSE))"),"")</f>
        <v/>
      </c>
      <c r="BB714" s="43" t="str">
        <f ca="1">IFERROR(__xludf.DUMMYFUNCTION("IFERROR(VLOOKUP(E728&amp;F728,IMPORTRANGE(""https://docs.google.com/spreadsheets/d/1Uw7-A9f9R21vMXxHZFNpYNeKFtG8_yji4HS352LGlSQ/edit?pli=1#gid=0"",""1_ACUM!A4:S""),16,FALSE))"),"")</f>
        <v/>
      </c>
      <c r="BC714" s="43" t="str">
        <f ca="1">IFERROR(__xludf.DUMMYFUNCTION("IFERROR(VLOOKUP(E728&amp;F728,IMPORTRANGE(""https://docs.google.com/spreadsheets/d/1Uw7-A9f9R21vMXxHZFNpYNeKFtG8_yji4HS352LGlSQ/edit?pli=1#gid=0"",""1_ACUM!A4:S""),17,FALSE))"),"")</f>
        <v/>
      </c>
      <c r="BD714" s="44" t="str">
        <f ca="1">IFERROR(__xludf.DUMMYFUNCTION("IFERROR(VLOOKUP(E728&amp;F728,IMPORTRANGE(""https://docs.google.com/spreadsheets/d/1Uw7-A9f9R21vMXxHZFNpYNeKFtG8_yji4HS352LGlSQ/edit?pli=1#gid=0"",""1_ACUM!A4:S""),18,FALSE))"),"")</f>
        <v/>
      </c>
      <c r="BE714" s="44" t="str">
        <f ca="1">IFERROR(__xludf.DUMMYFUNCTION("IFERROR(VLOOKUP(E728&amp;F728,IMPORTRANGE(""https://docs.google.com/spreadsheets/d/1Uw7-A9f9R21vMXxHZFNpYNeKFtG8_yji4HS352LGlSQ/edit?pli=1#gid=0"",""1_ACUM!A4:S""),19,FALSE))"),"")</f>
        <v/>
      </c>
      <c r="BF714" s="98" t="str">
        <f ca="1">IFERROR(__xludf.DUMMYFUNCTION("IFERROR(VLOOKUP(F728,IMPORTRANGE(""https://docs.google.com/spreadsheets/d/1Kvs4KS76FHFqLFIZfrDMff4kP08nblUkihrxltoGBjg/edit#gid=934712705"",""ESENCIAL!A6:BG""),5,FALSE))"),"")</f>
        <v/>
      </c>
      <c r="BG714" s="98" t="str">
        <f t="shared" si="21"/>
        <v/>
      </c>
      <c r="BH714" s="99" t="str">
        <f t="shared" si="22"/>
        <v/>
      </c>
      <c r="BI714" s="100" t="str">
        <f ca="1">IFERROR(__xludf.DUMMYFUNCTION("IFERROR(VLOOKUP(F728,IMPORTRANGE(""https://docs.google.com/spreadsheets/d/1Kvs4KS76FHFqLFIZfrDMff4kP08nblUkihrxltoGBjg/edit#gid=934712705"",""ESENCIAL!A6:BG""),2,FALSE))"),"")</f>
        <v/>
      </c>
      <c r="BJ714" s="19" t="str">
        <f t="shared" si="23"/>
        <v/>
      </c>
      <c r="BK714" s="100"/>
      <c r="BL714" s="100"/>
    </row>
    <row r="715" spans="1:64" ht="15">
      <c r="A715" s="5"/>
      <c r="B715" s="5"/>
      <c r="G715" s="5" t="str">
        <f ca="1">IFERROR(__xludf.DUMMYFUNCTION("IFERROR(VLOOKUP(F729,IMPORTRANGE(""https://docs.google.com/spreadsheets/d/1Kvs4KS76FHFqLFIZfrDMff4kP08nblUkihrxltoGBjg/edit#gid=934712705"",""ESENCIAL!A6:BG""),3,FALSE))"),"")</f>
        <v/>
      </c>
      <c r="H715" s="5" t="str">
        <f ca="1">IFERROR(__xludf.DUMMYFUNCTION("IFERROR(VLOOKUP(F729,IMPORTRANGE(""https://docs.google.com/spreadsheets/d/1Kvs4KS76FHFqLFIZfrDMff4kP08nblUkihrxltoGBjg/edit#gid=934712705"",""ESENCIAL!A6:BG""),8,FALSE))"),"")</f>
        <v/>
      </c>
      <c r="L715" s="287"/>
      <c r="U715" s="40"/>
      <c r="AU715" s="41" t="str">
        <f t="shared" si="20"/>
        <v/>
      </c>
      <c r="AV715" s="5" t="str">
        <f ca="1">IFERROR(__xludf.DUMMYFUNCTION("IFERROR(VLOOKUP(E729&amp;F729,IMPORTRANGE(""https://docs.google.com/spreadsheets/d/1Uw7-A9f9R21vMXxHZFNpYNeKFtG8_yji4HS352LGlSQ/edit?pli=1#gid=0"",""1_ACUM!A4:S""),11,FALSE))"),"")</f>
        <v/>
      </c>
      <c r="AW715" s="42" t="str">
        <f ca="1">IFERROR(__xludf.DUMMYFUNCTION("IFERROR(VLOOKUP(F729,IMPORTRANGE(""https://docs.google.com/spreadsheets/d/1Kvs4KS76FHFqLFIZfrDMff4kP08nblUkihrxltoGBjg/edit#gid=934712705"",""ESENCIAL!A6:BG""),15,FALSE))"),"")</f>
        <v/>
      </c>
      <c r="AX715" s="21" t="str">
        <f ca="1">IFERROR(__xludf.DUMMYFUNCTION("IFERROR(VLOOKUP(E729&amp;F729,IMPORTRANGE(""https://docs.google.com/spreadsheets/d/1Uw7-A9f9R21vMXxHZFNpYNeKFtG8_yji4HS352LGlSQ/edit?pli=1#gid=0"",""1_ACUM!A4:S""),12,FALSE))"),"")</f>
        <v/>
      </c>
      <c r="AY715" s="43" t="str">
        <f ca="1">IFERROR(__xludf.DUMMYFUNCTION("IFERROR(VLOOKUP(E729&amp;F729,IMPORTRANGE(""https://docs.google.com/spreadsheets/d/1Uw7-A9f9R21vMXxHZFNpYNeKFtG8_yji4HS352LGlSQ/edit?pli=1#gid=0"",""1_ACUM!A4:S""),13,FALSE))"),"")</f>
        <v/>
      </c>
      <c r="AZ715" s="43" t="str">
        <f ca="1">IFERROR(__xludf.DUMMYFUNCTION("IFERROR(VLOOKUP(E729&amp;F729,IMPORTRANGE(""https://docs.google.com/spreadsheets/d/1Uw7-A9f9R21vMXxHZFNpYNeKFtG8_yji4HS352LGlSQ/edit?pli=1#gid=0"",""1_ACUM!A4:S""),14,FALSE))"),"")</f>
        <v/>
      </c>
      <c r="BA715" s="43" t="str">
        <f ca="1">IFERROR(__xludf.DUMMYFUNCTION("IFERROR(VLOOKUP(E729&amp;F729,IMPORTRANGE(""https://docs.google.com/spreadsheets/d/1Uw7-A9f9R21vMXxHZFNpYNeKFtG8_yji4HS352LGlSQ/edit?pli=1#gid=0"",""1_ACUM!A4:S""),15,FALSE))"),"")</f>
        <v/>
      </c>
      <c r="BB715" s="43" t="str">
        <f ca="1">IFERROR(__xludf.DUMMYFUNCTION("IFERROR(VLOOKUP(E729&amp;F729,IMPORTRANGE(""https://docs.google.com/spreadsheets/d/1Uw7-A9f9R21vMXxHZFNpYNeKFtG8_yji4HS352LGlSQ/edit?pli=1#gid=0"",""1_ACUM!A4:S""),16,FALSE))"),"")</f>
        <v/>
      </c>
      <c r="BC715" s="43" t="str">
        <f ca="1">IFERROR(__xludf.DUMMYFUNCTION("IFERROR(VLOOKUP(E729&amp;F729,IMPORTRANGE(""https://docs.google.com/spreadsheets/d/1Uw7-A9f9R21vMXxHZFNpYNeKFtG8_yji4HS352LGlSQ/edit?pli=1#gid=0"",""1_ACUM!A4:S""),17,FALSE))"),"")</f>
        <v/>
      </c>
      <c r="BD715" s="44" t="str">
        <f ca="1">IFERROR(__xludf.DUMMYFUNCTION("IFERROR(VLOOKUP(E729&amp;F729,IMPORTRANGE(""https://docs.google.com/spreadsheets/d/1Uw7-A9f9R21vMXxHZFNpYNeKFtG8_yji4HS352LGlSQ/edit?pli=1#gid=0"",""1_ACUM!A4:S""),18,FALSE))"),"")</f>
        <v/>
      </c>
      <c r="BE715" s="44" t="str">
        <f ca="1">IFERROR(__xludf.DUMMYFUNCTION("IFERROR(VLOOKUP(E729&amp;F729,IMPORTRANGE(""https://docs.google.com/spreadsheets/d/1Uw7-A9f9R21vMXxHZFNpYNeKFtG8_yji4HS352LGlSQ/edit?pli=1#gid=0"",""1_ACUM!A4:S""),19,FALSE))"),"")</f>
        <v/>
      </c>
      <c r="BF715" s="98" t="str">
        <f ca="1">IFERROR(__xludf.DUMMYFUNCTION("IFERROR(VLOOKUP(F729,IMPORTRANGE(""https://docs.google.com/spreadsheets/d/1Kvs4KS76FHFqLFIZfrDMff4kP08nblUkihrxltoGBjg/edit#gid=934712705"",""ESENCIAL!A6:BG""),5,FALSE))"),"")</f>
        <v/>
      </c>
      <c r="BG715" s="98" t="str">
        <f t="shared" si="21"/>
        <v/>
      </c>
      <c r="BH715" s="99" t="str">
        <f t="shared" si="22"/>
        <v/>
      </c>
      <c r="BI715" s="100" t="str">
        <f ca="1">IFERROR(__xludf.DUMMYFUNCTION("IFERROR(VLOOKUP(F729,IMPORTRANGE(""https://docs.google.com/spreadsheets/d/1Kvs4KS76FHFqLFIZfrDMff4kP08nblUkihrxltoGBjg/edit#gid=934712705"",""ESENCIAL!A6:BG""),2,FALSE))"),"")</f>
        <v/>
      </c>
      <c r="BJ715" s="19" t="str">
        <f t="shared" si="23"/>
        <v/>
      </c>
      <c r="BK715" s="100"/>
      <c r="BL715" s="100"/>
    </row>
    <row r="716" spans="1:64" ht="15">
      <c r="A716" s="5"/>
      <c r="B716" s="5"/>
      <c r="G716" s="5" t="str">
        <f ca="1">IFERROR(__xludf.DUMMYFUNCTION("IFERROR(VLOOKUP(F730,IMPORTRANGE(""https://docs.google.com/spreadsheets/d/1Kvs4KS76FHFqLFIZfrDMff4kP08nblUkihrxltoGBjg/edit#gid=934712705"",""ESENCIAL!A6:BG""),3,FALSE))"),"")</f>
        <v/>
      </c>
      <c r="H716" s="5" t="str">
        <f ca="1">IFERROR(__xludf.DUMMYFUNCTION("IFERROR(VLOOKUP(F730,IMPORTRANGE(""https://docs.google.com/spreadsheets/d/1Kvs4KS76FHFqLFIZfrDMff4kP08nblUkihrxltoGBjg/edit#gid=934712705"",""ESENCIAL!A6:BG""),8,FALSE))"),"")</f>
        <v/>
      </c>
      <c r="L716" s="287"/>
      <c r="U716" s="40"/>
      <c r="AU716" s="41" t="str">
        <f t="shared" si="20"/>
        <v/>
      </c>
      <c r="AV716" s="5" t="str">
        <f ca="1">IFERROR(__xludf.DUMMYFUNCTION("IFERROR(VLOOKUP(E730&amp;F730,IMPORTRANGE(""https://docs.google.com/spreadsheets/d/1Uw7-A9f9R21vMXxHZFNpYNeKFtG8_yji4HS352LGlSQ/edit?pli=1#gid=0"",""1_ACUM!A4:S""),11,FALSE))"),"")</f>
        <v/>
      </c>
      <c r="AW716" s="42" t="str">
        <f ca="1">IFERROR(__xludf.DUMMYFUNCTION("IFERROR(VLOOKUP(F730,IMPORTRANGE(""https://docs.google.com/spreadsheets/d/1Kvs4KS76FHFqLFIZfrDMff4kP08nblUkihrxltoGBjg/edit#gid=934712705"",""ESENCIAL!A6:BG""),15,FALSE))"),"")</f>
        <v/>
      </c>
      <c r="AX716" s="21" t="str">
        <f ca="1">IFERROR(__xludf.DUMMYFUNCTION("IFERROR(VLOOKUP(E730&amp;F730,IMPORTRANGE(""https://docs.google.com/spreadsheets/d/1Uw7-A9f9R21vMXxHZFNpYNeKFtG8_yji4HS352LGlSQ/edit?pli=1#gid=0"",""1_ACUM!A4:S""),12,FALSE))"),"")</f>
        <v/>
      </c>
      <c r="AY716" s="43" t="str">
        <f ca="1">IFERROR(__xludf.DUMMYFUNCTION("IFERROR(VLOOKUP(E730&amp;F730,IMPORTRANGE(""https://docs.google.com/spreadsheets/d/1Uw7-A9f9R21vMXxHZFNpYNeKFtG8_yji4HS352LGlSQ/edit?pli=1#gid=0"",""1_ACUM!A4:S""),13,FALSE))"),"")</f>
        <v/>
      </c>
      <c r="AZ716" s="43" t="str">
        <f ca="1">IFERROR(__xludf.DUMMYFUNCTION("IFERROR(VLOOKUP(E730&amp;F730,IMPORTRANGE(""https://docs.google.com/spreadsheets/d/1Uw7-A9f9R21vMXxHZFNpYNeKFtG8_yji4HS352LGlSQ/edit?pli=1#gid=0"",""1_ACUM!A4:S""),14,FALSE))"),"")</f>
        <v/>
      </c>
      <c r="BA716" s="43" t="str">
        <f ca="1">IFERROR(__xludf.DUMMYFUNCTION("IFERROR(VLOOKUP(E730&amp;F730,IMPORTRANGE(""https://docs.google.com/spreadsheets/d/1Uw7-A9f9R21vMXxHZFNpYNeKFtG8_yji4HS352LGlSQ/edit?pli=1#gid=0"",""1_ACUM!A4:S""),15,FALSE))"),"")</f>
        <v/>
      </c>
      <c r="BB716" s="43" t="str">
        <f ca="1">IFERROR(__xludf.DUMMYFUNCTION("IFERROR(VLOOKUP(E730&amp;F730,IMPORTRANGE(""https://docs.google.com/spreadsheets/d/1Uw7-A9f9R21vMXxHZFNpYNeKFtG8_yji4HS352LGlSQ/edit?pli=1#gid=0"",""1_ACUM!A4:S""),16,FALSE))"),"")</f>
        <v/>
      </c>
      <c r="BC716" s="43" t="str">
        <f ca="1">IFERROR(__xludf.DUMMYFUNCTION("IFERROR(VLOOKUP(E730&amp;F730,IMPORTRANGE(""https://docs.google.com/spreadsheets/d/1Uw7-A9f9R21vMXxHZFNpYNeKFtG8_yji4HS352LGlSQ/edit?pli=1#gid=0"",""1_ACUM!A4:S""),17,FALSE))"),"")</f>
        <v/>
      </c>
      <c r="BD716" s="44" t="str">
        <f ca="1">IFERROR(__xludf.DUMMYFUNCTION("IFERROR(VLOOKUP(E730&amp;F730,IMPORTRANGE(""https://docs.google.com/spreadsheets/d/1Uw7-A9f9R21vMXxHZFNpYNeKFtG8_yji4HS352LGlSQ/edit?pli=1#gid=0"",""1_ACUM!A4:S""),18,FALSE))"),"")</f>
        <v/>
      </c>
      <c r="BE716" s="44" t="str">
        <f ca="1">IFERROR(__xludf.DUMMYFUNCTION("IFERROR(VLOOKUP(E730&amp;F730,IMPORTRANGE(""https://docs.google.com/spreadsheets/d/1Uw7-A9f9R21vMXxHZFNpYNeKFtG8_yji4HS352LGlSQ/edit?pli=1#gid=0"",""1_ACUM!A4:S""),19,FALSE))"),"")</f>
        <v/>
      </c>
      <c r="BF716" s="98" t="str">
        <f ca="1">IFERROR(__xludf.DUMMYFUNCTION("IFERROR(VLOOKUP(F730,IMPORTRANGE(""https://docs.google.com/spreadsheets/d/1Kvs4KS76FHFqLFIZfrDMff4kP08nblUkihrxltoGBjg/edit#gid=934712705"",""ESENCIAL!A6:BG""),5,FALSE))"),"")</f>
        <v/>
      </c>
      <c r="BG716" s="98" t="str">
        <f t="shared" si="21"/>
        <v/>
      </c>
      <c r="BH716" s="99" t="str">
        <f t="shared" si="22"/>
        <v/>
      </c>
      <c r="BI716" s="100" t="str">
        <f ca="1">IFERROR(__xludf.DUMMYFUNCTION("IFERROR(VLOOKUP(F730,IMPORTRANGE(""https://docs.google.com/spreadsheets/d/1Kvs4KS76FHFqLFIZfrDMff4kP08nblUkihrxltoGBjg/edit#gid=934712705"",""ESENCIAL!A6:BG""),2,FALSE))"),"")</f>
        <v/>
      </c>
      <c r="BJ716" s="19" t="str">
        <f t="shared" si="23"/>
        <v/>
      </c>
      <c r="BK716" s="100"/>
      <c r="BL716" s="100"/>
    </row>
    <row r="717" spans="1:64" ht="15">
      <c r="A717" s="5"/>
      <c r="B717" s="5"/>
      <c r="G717" s="5" t="str">
        <f ca="1">IFERROR(__xludf.DUMMYFUNCTION("IFERROR(VLOOKUP(F731,IMPORTRANGE(""https://docs.google.com/spreadsheets/d/1Kvs4KS76FHFqLFIZfrDMff4kP08nblUkihrxltoGBjg/edit#gid=934712705"",""ESENCIAL!A6:BG""),3,FALSE))"),"")</f>
        <v/>
      </c>
      <c r="H717" s="5" t="str">
        <f ca="1">IFERROR(__xludf.DUMMYFUNCTION("IFERROR(VLOOKUP(F731,IMPORTRANGE(""https://docs.google.com/spreadsheets/d/1Kvs4KS76FHFqLFIZfrDMff4kP08nblUkihrxltoGBjg/edit#gid=934712705"",""ESENCIAL!A6:BG""),8,FALSE))"),"")</f>
        <v/>
      </c>
      <c r="L717" s="287"/>
      <c r="U717" s="40"/>
      <c r="AU717" s="41" t="str">
        <f t="shared" si="20"/>
        <v/>
      </c>
      <c r="AV717" s="5" t="str">
        <f ca="1">IFERROR(__xludf.DUMMYFUNCTION("IFERROR(VLOOKUP(E731&amp;F731,IMPORTRANGE(""https://docs.google.com/spreadsheets/d/1Uw7-A9f9R21vMXxHZFNpYNeKFtG8_yji4HS352LGlSQ/edit?pli=1#gid=0"",""1_ACUM!A4:S""),11,FALSE))"),"")</f>
        <v/>
      </c>
      <c r="AW717" s="42" t="str">
        <f ca="1">IFERROR(__xludf.DUMMYFUNCTION("IFERROR(VLOOKUP(F731,IMPORTRANGE(""https://docs.google.com/spreadsheets/d/1Kvs4KS76FHFqLFIZfrDMff4kP08nblUkihrxltoGBjg/edit#gid=934712705"",""ESENCIAL!A6:BG""),15,FALSE))"),"")</f>
        <v/>
      </c>
      <c r="AX717" s="21" t="str">
        <f ca="1">IFERROR(__xludf.DUMMYFUNCTION("IFERROR(VLOOKUP(E731&amp;F731,IMPORTRANGE(""https://docs.google.com/spreadsheets/d/1Uw7-A9f9R21vMXxHZFNpYNeKFtG8_yji4HS352LGlSQ/edit?pli=1#gid=0"",""1_ACUM!A4:S""),12,FALSE))"),"")</f>
        <v/>
      </c>
      <c r="AY717" s="43" t="str">
        <f ca="1">IFERROR(__xludf.DUMMYFUNCTION("IFERROR(VLOOKUP(E731&amp;F731,IMPORTRANGE(""https://docs.google.com/spreadsheets/d/1Uw7-A9f9R21vMXxHZFNpYNeKFtG8_yji4HS352LGlSQ/edit?pli=1#gid=0"",""1_ACUM!A4:S""),13,FALSE))"),"")</f>
        <v/>
      </c>
      <c r="AZ717" s="43" t="str">
        <f ca="1">IFERROR(__xludf.DUMMYFUNCTION("IFERROR(VLOOKUP(E731&amp;F731,IMPORTRANGE(""https://docs.google.com/spreadsheets/d/1Uw7-A9f9R21vMXxHZFNpYNeKFtG8_yji4HS352LGlSQ/edit?pli=1#gid=0"",""1_ACUM!A4:S""),14,FALSE))"),"")</f>
        <v/>
      </c>
      <c r="BA717" s="43" t="str">
        <f ca="1">IFERROR(__xludf.DUMMYFUNCTION("IFERROR(VLOOKUP(E731&amp;F731,IMPORTRANGE(""https://docs.google.com/spreadsheets/d/1Uw7-A9f9R21vMXxHZFNpYNeKFtG8_yji4HS352LGlSQ/edit?pli=1#gid=0"",""1_ACUM!A4:S""),15,FALSE))"),"")</f>
        <v/>
      </c>
      <c r="BB717" s="43" t="str">
        <f ca="1">IFERROR(__xludf.DUMMYFUNCTION("IFERROR(VLOOKUP(E731&amp;F731,IMPORTRANGE(""https://docs.google.com/spreadsheets/d/1Uw7-A9f9R21vMXxHZFNpYNeKFtG8_yji4HS352LGlSQ/edit?pli=1#gid=0"",""1_ACUM!A4:S""),16,FALSE))"),"")</f>
        <v/>
      </c>
      <c r="BC717" s="43" t="str">
        <f ca="1">IFERROR(__xludf.DUMMYFUNCTION("IFERROR(VLOOKUP(E731&amp;F731,IMPORTRANGE(""https://docs.google.com/spreadsheets/d/1Uw7-A9f9R21vMXxHZFNpYNeKFtG8_yji4HS352LGlSQ/edit?pli=1#gid=0"",""1_ACUM!A4:S""),17,FALSE))"),"")</f>
        <v/>
      </c>
      <c r="BD717" s="44" t="str">
        <f ca="1">IFERROR(__xludf.DUMMYFUNCTION("IFERROR(VLOOKUP(E731&amp;F731,IMPORTRANGE(""https://docs.google.com/spreadsheets/d/1Uw7-A9f9R21vMXxHZFNpYNeKFtG8_yji4HS352LGlSQ/edit?pli=1#gid=0"",""1_ACUM!A4:S""),18,FALSE))"),"")</f>
        <v/>
      </c>
      <c r="BE717" s="44" t="str">
        <f ca="1">IFERROR(__xludf.DUMMYFUNCTION("IFERROR(VLOOKUP(E731&amp;F731,IMPORTRANGE(""https://docs.google.com/spreadsheets/d/1Uw7-A9f9R21vMXxHZFNpYNeKFtG8_yji4HS352LGlSQ/edit?pli=1#gid=0"",""1_ACUM!A4:S""),19,FALSE))"),"")</f>
        <v/>
      </c>
      <c r="BF717" s="98" t="str">
        <f ca="1">IFERROR(__xludf.DUMMYFUNCTION("IFERROR(VLOOKUP(F731,IMPORTRANGE(""https://docs.google.com/spreadsheets/d/1Kvs4KS76FHFqLFIZfrDMff4kP08nblUkihrxltoGBjg/edit#gid=934712705"",""ESENCIAL!A6:BG""),5,FALSE))"),"")</f>
        <v/>
      </c>
      <c r="BG717" s="98" t="str">
        <f t="shared" si="21"/>
        <v/>
      </c>
      <c r="BH717" s="99" t="str">
        <f t="shared" si="22"/>
        <v/>
      </c>
      <c r="BI717" s="100" t="str">
        <f ca="1">IFERROR(__xludf.DUMMYFUNCTION("IFERROR(VLOOKUP(F731,IMPORTRANGE(""https://docs.google.com/spreadsheets/d/1Kvs4KS76FHFqLFIZfrDMff4kP08nblUkihrxltoGBjg/edit#gid=934712705"",""ESENCIAL!A6:BG""),2,FALSE))"),"")</f>
        <v/>
      </c>
      <c r="BJ717" s="19" t="str">
        <f t="shared" si="23"/>
        <v/>
      </c>
      <c r="BK717" s="100"/>
      <c r="BL717" s="100"/>
    </row>
    <row r="718" spans="1:64" ht="15">
      <c r="A718" s="5"/>
      <c r="B718" s="5"/>
      <c r="G718" s="5" t="str">
        <f ca="1">IFERROR(__xludf.DUMMYFUNCTION("IFERROR(VLOOKUP(F732,IMPORTRANGE(""https://docs.google.com/spreadsheets/d/1Kvs4KS76FHFqLFIZfrDMff4kP08nblUkihrxltoGBjg/edit#gid=934712705"",""ESENCIAL!A6:BG""),3,FALSE))"),"")</f>
        <v/>
      </c>
      <c r="H718" s="5" t="str">
        <f ca="1">IFERROR(__xludf.DUMMYFUNCTION("IFERROR(VLOOKUP(F732,IMPORTRANGE(""https://docs.google.com/spreadsheets/d/1Kvs4KS76FHFqLFIZfrDMff4kP08nblUkihrxltoGBjg/edit#gid=934712705"",""ESENCIAL!A6:BG""),8,FALSE))"),"")</f>
        <v/>
      </c>
      <c r="L718" s="287"/>
      <c r="U718" s="40"/>
      <c r="AU718" s="41" t="str">
        <f t="shared" si="20"/>
        <v/>
      </c>
      <c r="AV718" s="5" t="str">
        <f ca="1">IFERROR(__xludf.DUMMYFUNCTION("IFERROR(VLOOKUP(E732&amp;F732,IMPORTRANGE(""https://docs.google.com/spreadsheets/d/1Uw7-A9f9R21vMXxHZFNpYNeKFtG8_yji4HS352LGlSQ/edit?pli=1#gid=0"",""1_ACUM!A4:S""),11,FALSE))"),"")</f>
        <v/>
      </c>
      <c r="AW718" s="42" t="str">
        <f ca="1">IFERROR(__xludf.DUMMYFUNCTION("IFERROR(VLOOKUP(F732,IMPORTRANGE(""https://docs.google.com/spreadsheets/d/1Kvs4KS76FHFqLFIZfrDMff4kP08nblUkihrxltoGBjg/edit#gid=934712705"",""ESENCIAL!A6:BG""),15,FALSE))"),"")</f>
        <v/>
      </c>
      <c r="AX718" s="21" t="str">
        <f ca="1">IFERROR(__xludf.DUMMYFUNCTION("IFERROR(VLOOKUP(E732&amp;F732,IMPORTRANGE(""https://docs.google.com/spreadsheets/d/1Uw7-A9f9R21vMXxHZFNpYNeKFtG8_yji4HS352LGlSQ/edit?pli=1#gid=0"",""1_ACUM!A4:S""),12,FALSE))"),"")</f>
        <v/>
      </c>
      <c r="AY718" s="43" t="str">
        <f ca="1">IFERROR(__xludf.DUMMYFUNCTION("IFERROR(VLOOKUP(E732&amp;F732,IMPORTRANGE(""https://docs.google.com/spreadsheets/d/1Uw7-A9f9R21vMXxHZFNpYNeKFtG8_yji4HS352LGlSQ/edit?pli=1#gid=0"",""1_ACUM!A4:S""),13,FALSE))"),"")</f>
        <v/>
      </c>
      <c r="AZ718" s="43" t="str">
        <f ca="1">IFERROR(__xludf.DUMMYFUNCTION("IFERROR(VLOOKUP(E732&amp;F732,IMPORTRANGE(""https://docs.google.com/spreadsheets/d/1Uw7-A9f9R21vMXxHZFNpYNeKFtG8_yji4HS352LGlSQ/edit?pli=1#gid=0"",""1_ACUM!A4:S""),14,FALSE))"),"")</f>
        <v/>
      </c>
      <c r="BA718" s="43" t="str">
        <f ca="1">IFERROR(__xludf.DUMMYFUNCTION("IFERROR(VLOOKUP(E732&amp;F732,IMPORTRANGE(""https://docs.google.com/spreadsheets/d/1Uw7-A9f9R21vMXxHZFNpYNeKFtG8_yji4HS352LGlSQ/edit?pli=1#gid=0"",""1_ACUM!A4:S""),15,FALSE))"),"")</f>
        <v/>
      </c>
      <c r="BB718" s="43" t="str">
        <f ca="1">IFERROR(__xludf.DUMMYFUNCTION("IFERROR(VLOOKUP(E732&amp;F732,IMPORTRANGE(""https://docs.google.com/spreadsheets/d/1Uw7-A9f9R21vMXxHZFNpYNeKFtG8_yji4HS352LGlSQ/edit?pli=1#gid=0"",""1_ACUM!A4:S""),16,FALSE))"),"")</f>
        <v/>
      </c>
      <c r="BC718" s="43" t="str">
        <f ca="1">IFERROR(__xludf.DUMMYFUNCTION("IFERROR(VLOOKUP(E732&amp;F732,IMPORTRANGE(""https://docs.google.com/spreadsheets/d/1Uw7-A9f9R21vMXxHZFNpYNeKFtG8_yji4HS352LGlSQ/edit?pli=1#gid=0"",""1_ACUM!A4:S""),17,FALSE))"),"")</f>
        <v/>
      </c>
      <c r="BD718" s="44" t="str">
        <f ca="1">IFERROR(__xludf.DUMMYFUNCTION("IFERROR(VLOOKUP(E732&amp;F732,IMPORTRANGE(""https://docs.google.com/spreadsheets/d/1Uw7-A9f9R21vMXxHZFNpYNeKFtG8_yji4HS352LGlSQ/edit?pli=1#gid=0"",""1_ACUM!A4:S""),18,FALSE))"),"")</f>
        <v/>
      </c>
      <c r="BE718" s="44" t="str">
        <f ca="1">IFERROR(__xludf.DUMMYFUNCTION("IFERROR(VLOOKUP(E732&amp;F732,IMPORTRANGE(""https://docs.google.com/spreadsheets/d/1Uw7-A9f9R21vMXxHZFNpYNeKFtG8_yji4HS352LGlSQ/edit?pli=1#gid=0"",""1_ACUM!A4:S""),19,FALSE))"),"")</f>
        <v/>
      </c>
      <c r="BF718" s="98" t="str">
        <f ca="1">IFERROR(__xludf.DUMMYFUNCTION("IFERROR(VLOOKUP(F732,IMPORTRANGE(""https://docs.google.com/spreadsheets/d/1Kvs4KS76FHFqLFIZfrDMff4kP08nblUkihrxltoGBjg/edit#gid=934712705"",""ESENCIAL!A6:BG""),5,FALSE))"),"")</f>
        <v/>
      </c>
      <c r="BG718" s="98" t="str">
        <f t="shared" si="21"/>
        <v/>
      </c>
      <c r="BH718" s="99" t="str">
        <f t="shared" si="22"/>
        <v/>
      </c>
      <c r="BI718" s="100" t="str">
        <f ca="1">IFERROR(__xludf.DUMMYFUNCTION("IFERROR(VLOOKUP(F732,IMPORTRANGE(""https://docs.google.com/spreadsheets/d/1Kvs4KS76FHFqLFIZfrDMff4kP08nblUkihrxltoGBjg/edit#gid=934712705"",""ESENCIAL!A6:BG""),2,FALSE))"),"")</f>
        <v/>
      </c>
      <c r="BJ718" s="19" t="str">
        <f t="shared" si="23"/>
        <v/>
      </c>
      <c r="BK718" s="100"/>
      <c r="BL718" s="100"/>
    </row>
    <row r="719" spans="1:64" ht="15">
      <c r="A719" s="5"/>
      <c r="B719" s="5"/>
      <c r="G719" s="5" t="str">
        <f ca="1">IFERROR(__xludf.DUMMYFUNCTION("IFERROR(VLOOKUP(F733,IMPORTRANGE(""https://docs.google.com/spreadsheets/d/1Kvs4KS76FHFqLFIZfrDMff4kP08nblUkihrxltoGBjg/edit#gid=934712705"",""ESENCIAL!A6:BG""),3,FALSE))"),"")</f>
        <v/>
      </c>
      <c r="H719" s="5" t="str">
        <f ca="1">IFERROR(__xludf.DUMMYFUNCTION("IFERROR(VLOOKUP(F733,IMPORTRANGE(""https://docs.google.com/spreadsheets/d/1Kvs4KS76FHFqLFIZfrDMff4kP08nblUkihrxltoGBjg/edit#gid=934712705"",""ESENCIAL!A6:BG""),8,FALSE))"),"")</f>
        <v/>
      </c>
      <c r="L719" s="287"/>
      <c r="U719" s="40"/>
      <c r="AU719" s="41" t="str">
        <f t="shared" si="20"/>
        <v/>
      </c>
      <c r="AV719" s="5" t="str">
        <f ca="1">IFERROR(__xludf.DUMMYFUNCTION("IFERROR(VLOOKUP(E733&amp;F733,IMPORTRANGE(""https://docs.google.com/spreadsheets/d/1Uw7-A9f9R21vMXxHZFNpYNeKFtG8_yji4HS352LGlSQ/edit?pli=1#gid=0"",""1_ACUM!A4:S""),11,FALSE))"),"")</f>
        <v/>
      </c>
      <c r="AW719" s="42" t="str">
        <f ca="1">IFERROR(__xludf.DUMMYFUNCTION("IFERROR(VLOOKUP(F733,IMPORTRANGE(""https://docs.google.com/spreadsheets/d/1Kvs4KS76FHFqLFIZfrDMff4kP08nblUkihrxltoGBjg/edit#gid=934712705"",""ESENCIAL!A6:BG""),15,FALSE))"),"")</f>
        <v/>
      </c>
      <c r="AX719" s="21" t="str">
        <f ca="1">IFERROR(__xludf.DUMMYFUNCTION("IFERROR(VLOOKUP(E733&amp;F733,IMPORTRANGE(""https://docs.google.com/spreadsheets/d/1Uw7-A9f9R21vMXxHZFNpYNeKFtG8_yji4HS352LGlSQ/edit?pli=1#gid=0"",""1_ACUM!A4:S""),12,FALSE))"),"")</f>
        <v/>
      </c>
      <c r="AY719" s="43" t="str">
        <f ca="1">IFERROR(__xludf.DUMMYFUNCTION("IFERROR(VLOOKUP(E733&amp;F733,IMPORTRANGE(""https://docs.google.com/spreadsheets/d/1Uw7-A9f9R21vMXxHZFNpYNeKFtG8_yji4HS352LGlSQ/edit?pli=1#gid=0"",""1_ACUM!A4:S""),13,FALSE))"),"")</f>
        <v/>
      </c>
      <c r="AZ719" s="43" t="str">
        <f ca="1">IFERROR(__xludf.DUMMYFUNCTION("IFERROR(VLOOKUP(E733&amp;F733,IMPORTRANGE(""https://docs.google.com/spreadsheets/d/1Uw7-A9f9R21vMXxHZFNpYNeKFtG8_yji4HS352LGlSQ/edit?pli=1#gid=0"",""1_ACUM!A4:S""),14,FALSE))"),"")</f>
        <v/>
      </c>
      <c r="BA719" s="43" t="str">
        <f ca="1">IFERROR(__xludf.DUMMYFUNCTION("IFERROR(VLOOKUP(E733&amp;F733,IMPORTRANGE(""https://docs.google.com/spreadsheets/d/1Uw7-A9f9R21vMXxHZFNpYNeKFtG8_yji4HS352LGlSQ/edit?pli=1#gid=0"",""1_ACUM!A4:S""),15,FALSE))"),"")</f>
        <v/>
      </c>
      <c r="BB719" s="43" t="str">
        <f ca="1">IFERROR(__xludf.DUMMYFUNCTION("IFERROR(VLOOKUP(E733&amp;F733,IMPORTRANGE(""https://docs.google.com/spreadsheets/d/1Uw7-A9f9R21vMXxHZFNpYNeKFtG8_yji4HS352LGlSQ/edit?pli=1#gid=0"",""1_ACUM!A4:S""),16,FALSE))"),"")</f>
        <v/>
      </c>
      <c r="BC719" s="43" t="str">
        <f ca="1">IFERROR(__xludf.DUMMYFUNCTION("IFERROR(VLOOKUP(E733&amp;F733,IMPORTRANGE(""https://docs.google.com/spreadsheets/d/1Uw7-A9f9R21vMXxHZFNpYNeKFtG8_yji4HS352LGlSQ/edit?pli=1#gid=0"",""1_ACUM!A4:S""),17,FALSE))"),"")</f>
        <v/>
      </c>
      <c r="BD719" s="44" t="str">
        <f ca="1">IFERROR(__xludf.DUMMYFUNCTION("IFERROR(VLOOKUP(E733&amp;F733,IMPORTRANGE(""https://docs.google.com/spreadsheets/d/1Uw7-A9f9R21vMXxHZFNpYNeKFtG8_yji4HS352LGlSQ/edit?pli=1#gid=0"",""1_ACUM!A4:S""),18,FALSE))"),"")</f>
        <v/>
      </c>
      <c r="BE719" s="44" t="str">
        <f ca="1">IFERROR(__xludf.DUMMYFUNCTION("IFERROR(VLOOKUP(E733&amp;F733,IMPORTRANGE(""https://docs.google.com/spreadsheets/d/1Uw7-A9f9R21vMXxHZFNpYNeKFtG8_yji4HS352LGlSQ/edit?pli=1#gid=0"",""1_ACUM!A4:S""),19,FALSE))"),"")</f>
        <v/>
      </c>
      <c r="BF719" s="98" t="str">
        <f ca="1">IFERROR(__xludf.DUMMYFUNCTION("IFERROR(VLOOKUP(F733,IMPORTRANGE(""https://docs.google.com/spreadsheets/d/1Kvs4KS76FHFqLFIZfrDMff4kP08nblUkihrxltoGBjg/edit#gid=934712705"",""ESENCIAL!A6:BG""),5,FALSE))"),"")</f>
        <v/>
      </c>
      <c r="BG719" s="98" t="str">
        <f t="shared" si="21"/>
        <v/>
      </c>
      <c r="BH719" s="99" t="str">
        <f t="shared" si="22"/>
        <v/>
      </c>
      <c r="BI719" s="100" t="str">
        <f ca="1">IFERROR(__xludf.DUMMYFUNCTION("IFERROR(VLOOKUP(F733,IMPORTRANGE(""https://docs.google.com/spreadsheets/d/1Kvs4KS76FHFqLFIZfrDMff4kP08nblUkihrxltoGBjg/edit#gid=934712705"",""ESENCIAL!A6:BG""),2,FALSE))"),"")</f>
        <v/>
      </c>
      <c r="BJ719" s="19" t="str">
        <f t="shared" si="23"/>
        <v/>
      </c>
      <c r="BK719" s="100"/>
      <c r="BL719" s="100"/>
    </row>
    <row r="720" spans="1:64" ht="15">
      <c r="A720" s="5"/>
      <c r="B720" s="5"/>
      <c r="G720" s="5" t="str">
        <f ca="1">IFERROR(__xludf.DUMMYFUNCTION("IFERROR(VLOOKUP(F734,IMPORTRANGE(""https://docs.google.com/spreadsheets/d/1Kvs4KS76FHFqLFIZfrDMff4kP08nblUkihrxltoGBjg/edit#gid=934712705"",""ESENCIAL!A6:BG""),3,FALSE))"),"")</f>
        <v/>
      </c>
      <c r="H720" s="5" t="str">
        <f ca="1">IFERROR(__xludf.DUMMYFUNCTION("IFERROR(VLOOKUP(F734,IMPORTRANGE(""https://docs.google.com/spreadsheets/d/1Kvs4KS76FHFqLFIZfrDMff4kP08nblUkihrxltoGBjg/edit#gid=934712705"",""ESENCIAL!A6:BG""),8,FALSE))"),"")</f>
        <v/>
      </c>
      <c r="L720" s="287"/>
      <c r="U720" s="40"/>
      <c r="AU720" s="41" t="str">
        <f t="shared" si="20"/>
        <v/>
      </c>
      <c r="AV720" s="5" t="str">
        <f ca="1">IFERROR(__xludf.DUMMYFUNCTION("IFERROR(VLOOKUP(E734&amp;F734,IMPORTRANGE(""https://docs.google.com/spreadsheets/d/1Uw7-A9f9R21vMXxHZFNpYNeKFtG8_yji4HS352LGlSQ/edit?pli=1#gid=0"",""1_ACUM!A4:S""),11,FALSE))"),"")</f>
        <v/>
      </c>
      <c r="AW720" s="42" t="str">
        <f ca="1">IFERROR(__xludf.DUMMYFUNCTION("IFERROR(VLOOKUP(F734,IMPORTRANGE(""https://docs.google.com/spreadsheets/d/1Kvs4KS76FHFqLFIZfrDMff4kP08nblUkihrxltoGBjg/edit#gid=934712705"",""ESENCIAL!A6:BG""),15,FALSE))"),"")</f>
        <v/>
      </c>
      <c r="AX720" s="21" t="str">
        <f ca="1">IFERROR(__xludf.DUMMYFUNCTION("IFERROR(VLOOKUP(E734&amp;F734,IMPORTRANGE(""https://docs.google.com/spreadsheets/d/1Uw7-A9f9R21vMXxHZFNpYNeKFtG8_yji4HS352LGlSQ/edit?pli=1#gid=0"",""1_ACUM!A4:S""),12,FALSE))"),"")</f>
        <v/>
      </c>
      <c r="AY720" s="43" t="str">
        <f ca="1">IFERROR(__xludf.DUMMYFUNCTION("IFERROR(VLOOKUP(E734&amp;F734,IMPORTRANGE(""https://docs.google.com/spreadsheets/d/1Uw7-A9f9R21vMXxHZFNpYNeKFtG8_yji4HS352LGlSQ/edit?pli=1#gid=0"",""1_ACUM!A4:S""),13,FALSE))"),"")</f>
        <v/>
      </c>
      <c r="AZ720" s="43" t="str">
        <f ca="1">IFERROR(__xludf.DUMMYFUNCTION("IFERROR(VLOOKUP(E734&amp;F734,IMPORTRANGE(""https://docs.google.com/spreadsheets/d/1Uw7-A9f9R21vMXxHZFNpYNeKFtG8_yji4HS352LGlSQ/edit?pli=1#gid=0"",""1_ACUM!A4:S""),14,FALSE))"),"")</f>
        <v/>
      </c>
      <c r="BA720" s="43" t="str">
        <f ca="1">IFERROR(__xludf.DUMMYFUNCTION("IFERROR(VLOOKUP(E734&amp;F734,IMPORTRANGE(""https://docs.google.com/spreadsheets/d/1Uw7-A9f9R21vMXxHZFNpYNeKFtG8_yji4HS352LGlSQ/edit?pli=1#gid=0"",""1_ACUM!A4:S""),15,FALSE))"),"")</f>
        <v/>
      </c>
      <c r="BB720" s="43" t="str">
        <f ca="1">IFERROR(__xludf.DUMMYFUNCTION("IFERROR(VLOOKUP(E734&amp;F734,IMPORTRANGE(""https://docs.google.com/spreadsheets/d/1Uw7-A9f9R21vMXxHZFNpYNeKFtG8_yji4HS352LGlSQ/edit?pli=1#gid=0"",""1_ACUM!A4:S""),16,FALSE))"),"")</f>
        <v/>
      </c>
      <c r="BC720" s="43" t="str">
        <f ca="1">IFERROR(__xludf.DUMMYFUNCTION("IFERROR(VLOOKUP(E734&amp;F734,IMPORTRANGE(""https://docs.google.com/spreadsheets/d/1Uw7-A9f9R21vMXxHZFNpYNeKFtG8_yji4HS352LGlSQ/edit?pli=1#gid=0"",""1_ACUM!A4:S""),17,FALSE))"),"")</f>
        <v/>
      </c>
      <c r="BD720" s="44" t="str">
        <f ca="1">IFERROR(__xludf.DUMMYFUNCTION("IFERROR(VLOOKUP(E734&amp;F734,IMPORTRANGE(""https://docs.google.com/spreadsheets/d/1Uw7-A9f9R21vMXxHZFNpYNeKFtG8_yji4HS352LGlSQ/edit?pli=1#gid=0"",""1_ACUM!A4:S""),18,FALSE))"),"")</f>
        <v/>
      </c>
      <c r="BE720" s="44" t="str">
        <f ca="1">IFERROR(__xludf.DUMMYFUNCTION("IFERROR(VLOOKUP(E734&amp;F734,IMPORTRANGE(""https://docs.google.com/spreadsheets/d/1Uw7-A9f9R21vMXxHZFNpYNeKFtG8_yji4HS352LGlSQ/edit?pli=1#gid=0"",""1_ACUM!A4:S""),19,FALSE))"),"")</f>
        <v/>
      </c>
      <c r="BF720" s="98" t="str">
        <f ca="1">IFERROR(__xludf.DUMMYFUNCTION("IFERROR(VLOOKUP(F734,IMPORTRANGE(""https://docs.google.com/spreadsheets/d/1Kvs4KS76FHFqLFIZfrDMff4kP08nblUkihrxltoGBjg/edit#gid=934712705"",""ESENCIAL!A6:BG""),5,FALSE))"),"")</f>
        <v/>
      </c>
      <c r="BG720" s="98" t="str">
        <f t="shared" si="21"/>
        <v/>
      </c>
      <c r="BH720" s="99" t="str">
        <f t="shared" si="22"/>
        <v/>
      </c>
      <c r="BI720" s="100" t="str">
        <f ca="1">IFERROR(__xludf.DUMMYFUNCTION("IFERROR(VLOOKUP(F734,IMPORTRANGE(""https://docs.google.com/spreadsheets/d/1Kvs4KS76FHFqLFIZfrDMff4kP08nblUkihrxltoGBjg/edit#gid=934712705"",""ESENCIAL!A6:BG""),2,FALSE))"),"")</f>
        <v/>
      </c>
      <c r="BJ720" s="19" t="str">
        <f t="shared" si="23"/>
        <v/>
      </c>
      <c r="BK720" s="100"/>
      <c r="BL720" s="100"/>
    </row>
    <row r="721" spans="1:64" ht="15">
      <c r="A721" s="5"/>
      <c r="B721" s="5"/>
      <c r="G721" s="5" t="str">
        <f ca="1">IFERROR(__xludf.DUMMYFUNCTION("IFERROR(VLOOKUP(F735,IMPORTRANGE(""https://docs.google.com/spreadsheets/d/1Kvs4KS76FHFqLFIZfrDMff4kP08nblUkihrxltoGBjg/edit#gid=934712705"",""ESENCIAL!A6:BG""),3,FALSE))"),"")</f>
        <v/>
      </c>
      <c r="H721" s="5" t="str">
        <f ca="1">IFERROR(__xludf.DUMMYFUNCTION("IFERROR(VLOOKUP(F735,IMPORTRANGE(""https://docs.google.com/spreadsheets/d/1Kvs4KS76FHFqLFIZfrDMff4kP08nblUkihrxltoGBjg/edit#gid=934712705"",""ESENCIAL!A6:BG""),8,FALSE))"),"")</f>
        <v/>
      </c>
      <c r="L721" s="287"/>
      <c r="U721" s="40"/>
      <c r="AU721" s="41" t="str">
        <f t="shared" si="20"/>
        <v/>
      </c>
      <c r="AV721" s="5" t="str">
        <f ca="1">IFERROR(__xludf.DUMMYFUNCTION("IFERROR(VLOOKUP(E735&amp;F735,IMPORTRANGE(""https://docs.google.com/spreadsheets/d/1Uw7-A9f9R21vMXxHZFNpYNeKFtG8_yji4HS352LGlSQ/edit?pli=1#gid=0"",""1_ACUM!A4:S""),11,FALSE))"),"")</f>
        <v/>
      </c>
      <c r="AW721" s="42" t="str">
        <f ca="1">IFERROR(__xludf.DUMMYFUNCTION("IFERROR(VLOOKUP(F735,IMPORTRANGE(""https://docs.google.com/spreadsheets/d/1Kvs4KS76FHFqLFIZfrDMff4kP08nblUkihrxltoGBjg/edit#gid=934712705"",""ESENCIAL!A6:BG""),15,FALSE))"),"")</f>
        <v/>
      </c>
      <c r="AX721" s="21" t="str">
        <f ca="1">IFERROR(__xludf.DUMMYFUNCTION("IFERROR(VLOOKUP(E735&amp;F735,IMPORTRANGE(""https://docs.google.com/spreadsheets/d/1Uw7-A9f9R21vMXxHZFNpYNeKFtG8_yji4HS352LGlSQ/edit?pli=1#gid=0"",""1_ACUM!A4:S""),12,FALSE))"),"")</f>
        <v/>
      </c>
      <c r="AY721" s="43" t="str">
        <f ca="1">IFERROR(__xludf.DUMMYFUNCTION("IFERROR(VLOOKUP(E735&amp;F735,IMPORTRANGE(""https://docs.google.com/spreadsheets/d/1Uw7-A9f9R21vMXxHZFNpYNeKFtG8_yji4HS352LGlSQ/edit?pli=1#gid=0"",""1_ACUM!A4:S""),13,FALSE))"),"")</f>
        <v/>
      </c>
      <c r="AZ721" s="43" t="str">
        <f ca="1">IFERROR(__xludf.DUMMYFUNCTION("IFERROR(VLOOKUP(E735&amp;F735,IMPORTRANGE(""https://docs.google.com/spreadsheets/d/1Uw7-A9f9R21vMXxHZFNpYNeKFtG8_yji4HS352LGlSQ/edit?pli=1#gid=0"",""1_ACUM!A4:S""),14,FALSE))"),"")</f>
        <v/>
      </c>
      <c r="BA721" s="43" t="str">
        <f ca="1">IFERROR(__xludf.DUMMYFUNCTION("IFERROR(VLOOKUP(E735&amp;F735,IMPORTRANGE(""https://docs.google.com/spreadsheets/d/1Uw7-A9f9R21vMXxHZFNpYNeKFtG8_yji4HS352LGlSQ/edit?pli=1#gid=0"",""1_ACUM!A4:S""),15,FALSE))"),"")</f>
        <v/>
      </c>
      <c r="BB721" s="43" t="str">
        <f ca="1">IFERROR(__xludf.DUMMYFUNCTION("IFERROR(VLOOKUP(E735&amp;F735,IMPORTRANGE(""https://docs.google.com/spreadsheets/d/1Uw7-A9f9R21vMXxHZFNpYNeKFtG8_yji4HS352LGlSQ/edit?pli=1#gid=0"",""1_ACUM!A4:S""),16,FALSE))"),"")</f>
        <v/>
      </c>
      <c r="BC721" s="43" t="str">
        <f ca="1">IFERROR(__xludf.DUMMYFUNCTION("IFERROR(VLOOKUP(E735&amp;F735,IMPORTRANGE(""https://docs.google.com/spreadsheets/d/1Uw7-A9f9R21vMXxHZFNpYNeKFtG8_yji4HS352LGlSQ/edit?pli=1#gid=0"",""1_ACUM!A4:S""),17,FALSE))"),"")</f>
        <v/>
      </c>
      <c r="BD721" s="44" t="str">
        <f ca="1">IFERROR(__xludf.DUMMYFUNCTION("IFERROR(VLOOKUP(E735&amp;F735,IMPORTRANGE(""https://docs.google.com/spreadsheets/d/1Uw7-A9f9R21vMXxHZFNpYNeKFtG8_yji4HS352LGlSQ/edit?pli=1#gid=0"",""1_ACUM!A4:S""),18,FALSE))"),"")</f>
        <v/>
      </c>
      <c r="BE721" s="44" t="str">
        <f ca="1">IFERROR(__xludf.DUMMYFUNCTION("IFERROR(VLOOKUP(E735&amp;F735,IMPORTRANGE(""https://docs.google.com/spreadsheets/d/1Uw7-A9f9R21vMXxHZFNpYNeKFtG8_yji4HS352LGlSQ/edit?pli=1#gid=0"",""1_ACUM!A4:S""),19,FALSE))"),"")</f>
        <v/>
      </c>
      <c r="BF721" s="98" t="str">
        <f ca="1">IFERROR(__xludf.DUMMYFUNCTION("IFERROR(VLOOKUP(F735,IMPORTRANGE(""https://docs.google.com/spreadsheets/d/1Kvs4KS76FHFqLFIZfrDMff4kP08nblUkihrxltoGBjg/edit#gid=934712705"",""ESENCIAL!A6:BG""),5,FALSE))"),"")</f>
        <v/>
      </c>
      <c r="BG721" s="98" t="str">
        <f t="shared" si="21"/>
        <v/>
      </c>
      <c r="BH721" s="99" t="str">
        <f t="shared" si="22"/>
        <v/>
      </c>
      <c r="BI721" s="100" t="str">
        <f ca="1">IFERROR(__xludf.DUMMYFUNCTION("IFERROR(VLOOKUP(F735,IMPORTRANGE(""https://docs.google.com/spreadsheets/d/1Kvs4KS76FHFqLFIZfrDMff4kP08nblUkihrxltoGBjg/edit#gid=934712705"",""ESENCIAL!A6:BG""),2,FALSE))"),"")</f>
        <v/>
      </c>
      <c r="BJ721" s="19" t="str">
        <f t="shared" si="23"/>
        <v/>
      </c>
      <c r="BK721" s="100"/>
      <c r="BL721" s="100"/>
    </row>
    <row r="722" spans="1:64" ht="15">
      <c r="A722" s="5"/>
      <c r="B722" s="5"/>
      <c r="G722" s="5" t="str">
        <f ca="1">IFERROR(__xludf.DUMMYFUNCTION("IFERROR(VLOOKUP(F736,IMPORTRANGE(""https://docs.google.com/spreadsheets/d/1Kvs4KS76FHFqLFIZfrDMff4kP08nblUkihrxltoGBjg/edit#gid=934712705"",""ESENCIAL!A6:BG""),3,FALSE))"),"")</f>
        <v/>
      </c>
      <c r="H722" s="5" t="str">
        <f ca="1">IFERROR(__xludf.DUMMYFUNCTION("IFERROR(VLOOKUP(F736,IMPORTRANGE(""https://docs.google.com/spreadsheets/d/1Kvs4KS76FHFqLFIZfrDMff4kP08nblUkihrxltoGBjg/edit#gid=934712705"",""ESENCIAL!A6:BG""),8,FALSE))"),"")</f>
        <v/>
      </c>
      <c r="L722" s="287"/>
      <c r="U722" s="40"/>
      <c r="AU722" s="41" t="str">
        <f t="shared" si="20"/>
        <v/>
      </c>
      <c r="AV722" s="5" t="str">
        <f ca="1">IFERROR(__xludf.DUMMYFUNCTION("IFERROR(VLOOKUP(E736&amp;F736,IMPORTRANGE(""https://docs.google.com/spreadsheets/d/1Uw7-A9f9R21vMXxHZFNpYNeKFtG8_yji4HS352LGlSQ/edit?pli=1#gid=0"",""1_ACUM!A4:S""),11,FALSE))"),"")</f>
        <v/>
      </c>
      <c r="AW722" s="42" t="str">
        <f ca="1">IFERROR(__xludf.DUMMYFUNCTION("IFERROR(VLOOKUP(F736,IMPORTRANGE(""https://docs.google.com/spreadsheets/d/1Kvs4KS76FHFqLFIZfrDMff4kP08nblUkihrxltoGBjg/edit#gid=934712705"",""ESENCIAL!A6:BG""),15,FALSE))"),"")</f>
        <v/>
      </c>
      <c r="AX722" s="21" t="str">
        <f ca="1">IFERROR(__xludf.DUMMYFUNCTION("IFERROR(VLOOKUP(E736&amp;F736,IMPORTRANGE(""https://docs.google.com/spreadsheets/d/1Uw7-A9f9R21vMXxHZFNpYNeKFtG8_yji4HS352LGlSQ/edit?pli=1#gid=0"",""1_ACUM!A4:S""),12,FALSE))"),"")</f>
        <v/>
      </c>
      <c r="AY722" s="43" t="str">
        <f ca="1">IFERROR(__xludf.DUMMYFUNCTION("IFERROR(VLOOKUP(E736&amp;F736,IMPORTRANGE(""https://docs.google.com/spreadsheets/d/1Uw7-A9f9R21vMXxHZFNpYNeKFtG8_yji4HS352LGlSQ/edit?pli=1#gid=0"",""1_ACUM!A4:S""),13,FALSE))"),"")</f>
        <v/>
      </c>
      <c r="AZ722" s="43" t="str">
        <f ca="1">IFERROR(__xludf.DUMMYFUNCTION("IFERROR(VLOOKUP(E736&amp;F736,IMPORTRANGE(""https://docs.google.com/spreadsheets/d/1Uw7-A9f9R21vMXxHZFNpYNeKFtG8_yji4HS352LGlSQ/edit?pli=1#gid=0"",""1_ACUM!A4:S""),14,FALSE))"),"")</f>
        <v/>
      </c>
      <c r="BA722" s="43" t="str">
        <f ca="1">IFERROR(__xludf.DUMMYFUNCTION("IFERROR(VLOOKUP(E736&amp;F736,IMPORTRANGE(""https://docs.google.com/spreadsheets/d/1Uw7-A9f9R21vMXxHZFNpYNeKFtG8_yji4HS352LGlSQ/edit?pli=1#gid=0"",""1_ACUM!A4:S""),15,FALSE))"),"")</f>
        <v/>
      </c>
      <c r="BB722" s="43" t="str">
        <f ca="1">IFERROR(__xludf.DUMMYFUNCTION("IFERROR(VLOOKUP(E736&amp;F736,IMPORTRANGE(""https://docs.google.com/spreadsheets/d/1Uw7-A9f9R21vMXxHZFNpYNeKFtG8_yji4HS352LGlSQ/edit?pli=1#gid=0"",""1_ACUM!A4:S""),16,FALSE))"),"")</f>
        <v/>
      </c>
      <c r="BC722" s="43" t="str">
        <f ca="1">IFERROR(__xludf.DUMMYFUNCTION("IFERROR(VLOOKUP(E736&amp;F736,IMPORTRANGE(""https://docs.google.com/spreadsheets/d/1Uw7-A9f9R21vMXxHZFNpYNeKFtG8_yji4HS352LGlSQ/edit?pli=1#gid=0"",""1_ACUM!A4:S""),17,FALSE))"),"")</f>
        <v/>
      </c>
      <c r="BD722" s="44" t="str">
        <f ca="1">IFERROR(__xludf.DUMMYFUNCTION("IFERROR(VLOOKUP(E736&amp;F736,IMPORTRANGE(""https://docs.google.com/spreadsheets/d/1Uw7-A9f9R21vMXxHZFNpYNeKFtG8_yji4HS352LGlSQ/edit?pli=1#gid=0"",""1_ACUM!A4:S""),18,FALSE))"),"")</f>
        <v/>
      </c>
      <c r="BE722" s="44" t="str">
        <f ca="1">IFERROR(__xludf.DUMMYFUNCTION("IFERROR(VLOOKUP(E736&amp;F736,IMPORTRANGE(""https://docs.google.com/spreadsheets/d/1Uw7-A9f9R21vMXxHZFNpYNeKFtG8_yji4HS352LGlSQ/edit?pli=1#gid=0"",""1_ACUM!A4:S""),19,FALSE))"),"")</f>
        <v/>
      </c>
      <c r="BF722" s="98" t="str">
        <f ca="1">IFERROR(__xludf.DUMMYFUNCTION("IFERROR(VLOOKUP(F736,IMPORTRANGE(""https://docs.google.com/spreadsheets/d/1Kvs4KS76FHFqLFIZfrDMff4kP08nblUkihrxltoGBjg/edit#gid=934712705"",""ESENCIAL!A6:BG""),5,FALSE))"),"")</f>
        <v/>
      </c>
      <c r="BG722" s="98" t="str">
        <f t="shared" si="21"/>
        <v/>
      </c>
      <c r="BH722" s="99" t="str">
        <f t="shared" si="22"/>
        <v/>
      </c>
      <c r="BI722" s="100" t="str">
        <f ca="1">IFERROR(__xludf.DUMMYFUNCTION("IFERROR(VLOOKUP(F736,IMPORTRANGE(""https://docs.google.com/spreadsheets/d/1Kvs4KS76FHFqLFIZfrDMff4kP08nblUkihrxltoGBjg/edit#gid=934712705"",""ESENCIAL!A6:BG""),2,FALSE))"),"")</f>
        <v/>
      </c>
      <c r="BJ722" s="19" t="str">
        <f t="shared" si="23"/>
        <v/>
      </c>
      <c r="BK722" s="100"/>
      <c r="BL722" s="100"/>
    </row>
    <row r="723" spans="1:64" ht="15">
      <c r="A723" s="5"/>
      <c r="B723" s="5"/>
      <c r="G723" s="5" t="str">
        <f ca="1">IFERROR(__xludf.DUMMYFUNCTION("IFERROR(VLOOKUP(F737,IMPORTRANGE(""https://docs.google.com/spreadsheets/d/1Kvs4KS76FHFqLFIZfrDMff4kP08nblUkihrxltoGBjg/edit#gid=934712705"",""ESENCIAL!A6:BG""),3,FALSE))"),"")</f>
        <v/>
      </c>
      <c r="H723" s="5" t="str">
        <f ca="1">IFERROR(__xludf.DUMMYFUNCTION("IFERROR(VLOOKUP(F737,IMPORTRANGE(""https://docs.google.com/spreadsheets/d/1Kvs4KS76FHFqLFIZfrDMff4kP08nblUkihrxltoGBjg/edit#gid=934712705"",""ESENCIAL!A6:BG""),8,FALSE))"),"")</f>
        <v/>
      </c>
      <c r="L723" s="287"/>
      <c r="U723" s="40"/>
      <c r="AU723" s="41" t="str">
        <f t="shared" si="20"/>
        <v/>
      </c>
      <c r="AV723" s="5" t="str">
        <f ca="1">IFERROR(__xludf.DUMMYFUNCTION("IFERROR(VLOOKUP(E737&amp;F737,IMPORTRANGE(""https://docs.google.com/spreadsheets/d/1Uw7-A9f9R21vMXxHZFNpYNeKFtG8_yji4HS352LGlSQ/edit?pli=1#gid=0"",""1_ACUM!A4:S""),11,FALSE))"),"")</f>
        <v/>
      </c>
      <c r="AW723" s="42" t="str">
        <f ca="1">IFERROR(__xludf.DUMMYFUNCTION("IFERROR(VLOOKUP(F737,IMPORTRANGE(""https://docs.google.com/spreadsheets/d/1Kvs4KS76FHFqLFIZfrDMff4kP08nblUkihrxltoGBjg/edit#gid=934712705"",""ESENCIAL!A6:BG""),15,FALSE))"),"")</f>
        <v/>
      </c>
      <c r="AX723" s="21" t="str">
        <f ca="1">IFERROR(__xludf.DUMMYFUNCTION("IFERROR(VLOOKUP(E737&amp;F737,IMPORTRANGE(""https://docs.google.com/spreadsheets/d/1Uw7-A9f9R21vMXxHZFNpYNeKFtG8_yji4HS352LGlSQ/edit?pli=1#gid=0"",""1_ACUM!A4:S""),12,FALSE))"),"")</f>
        <v/>
      </c>
      <c r="AY723" s="43" t="str">
        <f ca="1">IFERROR(__xludf.DUMMYFUNCTION("IFERROR(VLOOKUP(E737&amp;F737,IMPORTRANGE(""https://docs.google.com/spreadsheets/d/1Uw7-A9f9R21vMXxHZFNpYNeKFtG8_yji4HS352LGlSQ/edit?pli=1#gid=0"",""1_ACUM!A4:S""),13,FALSE))"),"")</f>
        <v/>
      </c>
      <c r="AZ723" s="43" t="str">
        <f ca="1">IFERROR(__xludf.DUMMYFUNCTION("IFERROR(VLOOKUP(E737&amp;F737,IMPORTRANGE(""https://docs.google.com/spreadsheets/d/1Uw7-A9f9R21vMXxHZFNpYNeKFtG8_yji4HS352LGlSQ/edit?pli=1#gid=0"",""1_ACUM!A4:S""),14,FALSE))"),"")</f>
        <v/>
      </c>
      <c r="BA723" s="43" t="str">
        <f ca="1">IFERROR(__xludf.DUMMYFUNCTION("IFERROR(VLOOKUP(E737&amp;F737,IMPORTRANGE(""https://docs.google.com/spreadsheets/d/1Uw7-A9f9R21vMXxHZFNpYNeKFtG8_yji4HS352LGlSQ/edit?pli=1#gid=0"",""1_ACUM!A4:S""),15,FALSE))"),"")</f>
        <v/>
      </c>
      <c r="BB723" s="43" t="str">
        <f ca="1">IFERROR(__xludf.DUMMYFUNCTION("IFERROR(VLOOKUP(E737&amp;F737,IMPORTRANGE(""https://docs.google.com/spreadsheets/d/1Uw7-A9f9R21vMXxHZFNpYNeKFtG8_yji4HS352LGlSQ/edit?pli=1#gid=0"",""1_ACUM!A4:S""),16,FALSE))"),"")</f>
        <v/>
      </c>
      <c r="BC723" s="43" t="str">
        <f ca="1">IFERROR(__xludf.DUMMYFUNCTION("IFERROR(VLOOKUP(E737&amp;F737,IMPORTRANGE(""https://docs.google.com/spreadsheets/d/1Uw7-A9f9R21vMXxHZFNpYNeKFtG8_yji4HS352LGlSQ/edit?pli=1#gid=0"",""1_ACUM!A4:S""),17,FALSE))"),"")</f>
        <v/>
      </c>
      <c r="BD723" s="44" t="str">
        <f ca="1">IFERROR(__xludf.DUMMYFUNCTION("IFERROR(VLOOKUP(E737&amp;F737,IMPORTRANGE(""https://docs.google.com/spreadsheets/d/1Uw7-A9f9R21vMXxHZFNpYNeKFtG8_yji4HS352LGlSQ/edit?pli=1#gid=0"",""1_ACUM!A4:S""),18,FALSE))"),"")</f>
        <v/>
      </c>
      <c r="BE723" s="44" t="str">
        <f ca="1">IFERROR(__xludf.DUMMYFUNCTION("IFERROR(VLOOKUP(E737&amp;F737,IMPORTRANGE(""https://docs.google.com/spreadsheets/d/1Uw7-A9f9R21vMXxHZFNpYNeKFtG8_yji4HS352LGlSQ/edit?pli=1#gid=0"",""1_ACUM!A4:S""),19,FALSE))"),"")</f>
        <v/>
      </c>
      <c r="BF723" s="98" t="str">
        <f ca="1">IFERROR(__xludf.DUMMYFUNCTION("IFERROR(VLOOKUP(F737,IMPORTRANGE(""https://docs.google.com/spreadsheets/d/1Kvs4KS76FHFqLFIZfrDMff4kP08nblUkihrxltoGBjg/edit#gid=934712705"",""ESENCIAL!A6:BG""),5,FALSE))"),"")</f>
        <v/>
      </c>
      <c r="BG723" s="98" t="str">
        <f t="shared" si="21"/>
        <v/>
      </c>
      <c r="BH723" s="99" t="str">
        <f t="shared" si="22"/>
        <v/>
      </c>
      <c r="BI723" s="100" t="str">
        <f ca="1">IFERROR(__xludf.DUMMYFUNCTION("IFERROR(VLOOKUP(F737,IMPORTRANGE(""https://docs.google.com/spreadsheets/d/1Kvs4KS76FHFqLFIZfrDMff4kP08nblUkihrxltoGBjg/edit#gid=934712705"",""ESENCIAL!A6:BG""),2,FALSE))"),"")</f>
        <v/>
      </c>
      <c r="BJ723" s="19" t="str">
        <f t="shared" si="23"/>
        <v/>
      </c>
      <c r="BK723" s="100"/>
      <c r="BL723" s="100"/>
    </row>
    <row r="724" spans="1:64" ht="15">
      <c r="A724" s="5"/>
      <c r="B724" s="5"/>
      <c r="G724" s="5" t="str">
        <f ca="1">IFERROR(__xludf.DUMMYFUNCTION("IFERROR(VLOOKUP(F738,IMPORTRANGE(""https://docs.google.com/spreadsheets/d/1Kvs4KS76FHFqLFIZfrDMff4kP08nblUkihrxltoGBjg/edit#gid=934712705"",""ESENCIAL!A6:BG""),3,FALSE))"),"")</f>
        <v/>
      </c>
      <c r="H724" s="5" t="str">
        <f ca="1">IFERROR(__xludf.DUMMYFUNCTION("IFERROR(VLOOKUP(F738,IMPORTRANGE(""https://docs.google.com/spreadsheets/d/1Kvs4KS76FHFqLFIZfrDMff4kP08nblUkihrxltoGBjg/edit#gid=934712705"",""ESENCIAL!A6:BG""),8,FALSE))"),"")</f>
        <v/>
      </c>
      <c r="L724" s="287"/>
      <c r="U724" s="40"/>
      <c r="AU724" s="41" t="str">
        <f t="shared" si="20"/>
        <v/>
      </c>
      <c r="AV724" s="5" t="str">
        <f ca="1">IFERROR(__xludf.DUMMYFUNCTION("IFERROR(VLOOKUP(E738&amp;F738,IMPORTRANGE(""https://docs.google.com/spreadsheets/d/1Uw7-A9f9R21vMXxHZFNpYNeKFtG8_yji4HS352LGlSQ/edit?pli=1#gid=0"",""1_ACUM!A4:S""),11,FALSE))"),"")</f>
        <v/>
      </c>
      <c r="AW724" s="42" t="str">
        <f ca="1">IFERROR(__xludf.DUMMYFUNCTION("IFERROR(VLOOKUP(F738,IMPORTRANGE(""https://docs.google.com/spreadsheets/d/1Kvs4KS76FHFqLFIZfrDMff4kP08nblUkihrxltoGBjg/edit#gid=934712705"",""ESENCIAL!A6:BG""),15,FALSE))"),"")</f>
        <v/>
      </c>
      <c r="AX724" s="21" t="str">
        <f ca="1">IFERROR(__xludf.DUMMYFUNCTION("IFERROR(VLOOKUP(E738&amp;F738,IMPORTRANGE(""https://docs.google.com/spreadsheets/d/1Uw7-A9f9R21vMXxHZFNpYNeKFtG8_yji4HS352LGlSQ/edit?pli=1#gid=0"",""1_ACUM!A4:S""),12,FALSE))"),"")</f>
        <v/>
      </c>
      <c r="AY724" s="43" t="str">
        <f ca="1">IFERROR(__xludf.DUMMYFUNCTION("IFERROR(VLOOKUP(E738&amp;F738,IMPORTRANGE(""https://docs.google.com/spreadsheets/d/1Uw7-A9f9R21vMXxHZFNpYNeKFtG8_yji4HS352LGlSQ/edit?pli=1#gid=0"",""1_ACUM!A4:S""),13,FALSE))"),"")</f>
        <v/>
      </c>
      <c r="AZ724" s="43" t="str">
        <f ca="1">IFERROR(__xludf.DUMMYFUNCTION("IFERROR(VLOOKUP(E738&amp;F738,IMPORTRANGE(""https://docs.google.com/spreadsheets/d/1Uw7-A9f9R21vMXxHZFNpYNeKFtG8_yji4HS352LGlSQ/edit?pli=1#gid=0"",""1_ACUM!A4:S""),14,FALSE))"),"")</f>
        <v/>
      </c>
      <c r="BA724" s="43" t="str">
        <f ca="1">IFERROR(__xludf.DUMMYFUNCTION("IFERROR(VLOOKUP(E738&amp;F738,IMPORTRANGE(""https://docs.google.com/spreadsheets/d/1Uw7-A9f9R21vMXxHZFNpYNeKFtG8_yji4HS352LGlSQ/edit?pli=1#gid=0"",""1_ACUM!A4:S""),15,FALSE))"),"")</f>
        <v/>
      </c>
      <c r="BB724" s="43" t="str">
        <f ca="1">IFERROR(__xludf.DUMMYFUNCTION("IFERROR(VLOOKUP(E738&amp;F738,IMPORTRANGE(""https://docs.google.com/spreadsheets/d/1Uw7-A9f9R21vMXxHZFNpYNeKFtG8_yji4HS352LGlSQ/edit?pli=1#gid=0"",""1_ACUM!A4:S""),16,FALSE))"),"")</f>
        <v/>
      </c>
      <c r="BC724" s="43" t="str">
        <f ca="1">IFERROR(__xludf.DUMMYFUNCTION("IFERROR(VLOOKUP(E738&amp;F738,IMPORTRANGE(""https://docs.google.com/spreadsheets/d/1Uw7-A9f9R21vMXxHZFNpYNeKFtG8_yji4HS352LGlSQ/edit?pli=1#gid=0"",""1_ACUM!A4:S""),17,FALSE))"),"")</f>
        <v/>
      </c>
      <c r="BD724" s="44" t="str">
        <f ca="1">IFERROR(__xludf.DUMMYFUNCTION("IFERROR(VLOOKUP(E738&amp;F738,IMPORTRANGE(""https://docs.google.com/spreadsheets/d/1Uw7-A9f9R21vMXxHZFNpYNeKFtG8_yji4HS352LGlSQ/edit?pli=1#gid=0"",""1_ACUM!A4:S""),18,FALSE))"),"")</f>
        <v/>
      </c>
      <c r="BE724" s="44" t="str">
        <f ca="1">IFERROR(__xludf.DUMMYFUNCTION("IFERROR(VLOOKUP(E738&amp;F738,IMPORTRANGE(""https://docs.google.com/spreadsheets/d/1Uw7-A9f9R21vMXxHZFNpYNeKFtG8_yji4HS352LGlSQ/edit?pli=1#gid=0"",""1_ACUM!A4:S""),19,FALSE))"),"")</f>
        <v/>
      </c>
      <c r="BF724" s="98" t="str">
        <f ca="1">IFERROR(__xludf.DUMMYFUNCTION("IFERROR(VLOOKUP(F738,IMPORTRANGE(""https://docs.google.com/spreadsheets/d/1Kvs4KS76FHFqLFIZfrDMff4kP08nblUkihrxltoGBjg/edit#gid=934712705"",""ESENCIAL!A6:BG""),5,FALSE))"),"")</f>
        <v/>
      </c>
      <c r="BG724" s="98" t="str">
        <f t="shared" si="21"/>
        <v/>
      </c>
      <c r="BH724" s="99" t="str">
        <f t="shared" si="22"/>
        <v/>
      </c>
      <c r="BI724" s="100" t="str">
        <f ca="1">IFERROR(__xludf.DUMMYFUNCTION("IFERROR(VLOOKUP(F738,IMPORTRANGE(""https://docs.google.com/spreadsheets/d/1Kvs4KS76FHFqLFIZfrDMff4kP08nblUkihrxltoGBjg/edit#gid=934712705"",""ESENCIAL!A6:BG""),2,FALSE))"),"")</f>
        <v/>
      </c>
      <c r="BJ724" s="19" t="str">
        <f t="shared" si="23"/>
        <v/>
      </c>
      <c r="BK724" s="100"/>
      <c r="BL724" s="100"/>
    </row>
    <row r="725" spans="1:64" ht="15">
      <c r="A725" s="5"/>
      <c r="B725" s="5"/>
      <c r="G725" s="5" t="str">
        <f ca="1">IFERROR(__xludf.DUMMYFUNCTION("IFERROR(VLOOKUP(F739,IMPORTRANGE(""https://docs.google.com/spreadsheets/d/1Kvs4KS76FHFqLFIZfrDMff4kP08nblUkihrxltoGBjg/edit#gid=934712705"",""ESENCIAL!A6:BG""),3,FALSE))"),"")</f>
        <v/>
      </c>
      <c r="H725" s="5" t="str">
        <f ca="1">IFERROR(__xludf.DUMMYFUNCTION("IFERROR(VLOOKUP(F739,IMPORTRANGE(""https://docs.google.com/spreadsheets/d/1Kvs4KS76FHFqLFIZfrDMff4kP08nblUkihrxltoGBjg/edit#gid=934712705"",""ESENCIAL!A6:BG""),8,FALSE))"),"")</f>
        <v/>
      </c>
      <c r="L725" s="287"/>
      <c r="U725" s="40"/>
      <c r="AU725" s="41" t="str">
        <f t="shared" si="20"/>
        <v/>
      </c>
      <c r="AV725" s="5" t="str">
        <f ca="1">IFERROR(__xludf.DUMMYFUNCTION("IFERROR(VLOOKUP(E739&amp;F739,IMPORTRANGE(""https://docs.google.com/spreadsheets/d/1Uw7-A9f9R21vMXxHZFNpYNeKFtG8_yji4HS352LGlSQ/edit?pli=1#gid=0"",""1_ACUM!A4:S""),11,FALSE))"),"")</f>
        <v/>
      </c>
      <c r="AW725" s="42" t="str">
        <f ca="1">IFERROR(__xludf.DUMMYFUNCTION("IFERROR(VLOOKUP(F739,IMPORTRANGE(""https://docs.google.com/spreadsheets/d/1Kvs4KS76FHFqLFIZfrDMff4kP08nblUkihrxltoGBjg/edit#gid=934712705"",""ESENCIAL!A6:BG""),15,FALSE))"),"")</f>
        <v/>
      </c>
      <c r="AX725" s="21" t="str">
        <f ca="1">IFERROR(__xludf.DUMMYFUNCTION("IFERROR(VLOOKUP(E739&amp;F739,IMPORTRANGE(""https://docs.google.com/spreadsheets/d/1Uw7-A9f9R21vMXxHZFNpYNeKFtG8_yji4HS352LGlSQ/edit?pli=1#gid=0"",""1_ACUM!A4:S""),12,FALSE))"),"")</f>
        <v/>
      </c>
      <c r="AY725" s="43" t="str">
        <f ca="1">IFERROR(__xludf.DUMMYFUNCTION("IFERROR(VLOOKUP(E739&amp;F739,IMPORTRANGE(""https://docs.google.com/spreadsheets/d/1Uw7-A9f9R21vMXxHZFNpYNeKFtG8_yji4HS352LGlSQ/edit?pli=1#gid=0"",""1_ACUM!A4:S""),13,FALSE))"),"")</f>
        <v/>
      </c>
      <c r="AZ725" s="43" t="str">
        <f ca="1">IFERROR(__xludf.DUMMYFUNCTION("IFERROR(VLOOKUP(E739&amp;F739,IMPORTRANGE(""https://docs.google.com/spreadsheets/d/1Uw7-A9f9R21vMXxHZFNpYNeKFtG8_yji4HS352LGlSQ/edit?pli=1#gid=0"",""1_ACUM!A4:S""),14,FALSE))"),"")</f>
        <v/>
      </c>
      <c r="BA725" s="43" t="str">
        <f ca="1">IFERROR(__xludf.DUMMYFUNCTION("IFERROR(VLOOKUP(E739&amp;F739,IMPORTRANGE(""https://docs.google.com/spreadsheets/d/1Uw7-A9f9R21vMXxHZFNpYNeKFtG8_yji4HS352LGlSQ/edit?pli=1#gid=0"",""1_ACUM!A4:S""),15,FALSE))"),"")</f>
        <v/>
      </c>
      <c r="BB725" s="43" t="str">
        <f ca="1">IFERROR(__xludf.DUMMYFUNCTION("IFERROR(VLOOKUP(E739&amp;F739,IMPORTRANGE(""https://docs.google.com/spreadsheets/d/1Uw7-A9f9R21vMXxHZFNpYNeKFtG8_yji4HS352LGlSQ/edit?pli=1#gid=0"",""1_ACUM!A4:S""),16,FALSE))"),"")</f>
        <v/>
      </c>
      <c r="BC725" s="43" t="str">
        <f ca="1">IFERROR(__xludf.DUMMYFUNCTION("IFERROR(VLOOKUP(E739&amp;F739,IMPORTRANGE(""https://docs.google.com/spreadsheets/d/1Uw7-A9f9R21vMXxHZFNpYNeKFtG8_yji4HS352LGlSQ/edit?pli=1#gid=0"",""1_ACUM!A4:S""),17,FALSE))"),"")</f>
        <v/>
      </c>
      <c r="BD725" s="44" t="str">
        <f ca="1">IFERROR(__xludf.DUMMYFUNCTION("IFERROR(VLOOKUP(E739&amp;F739,IMPORTRANGE(""https://docs.google.com/spreadsheets/d/1Uw7-A9f9R21vMXxHZFNpYNeKFtG8_yji4HS352LGlSQ/edit?pli=1#gid=0"",""1_ACUM!A4:S""),18,FALSE))"),"")</f>
        <v/>
      </c>
      <c r="BE725" s="44" t="str">
        <f ca="1">IFERROR(__xludf.DUMMYFUNCTION("IFERROR(VLOOKUP(E739&amp;F739,IMPORTRANGE(""https://docs.google.com/spreadsheets/d/1Uw7-A9f9R21vMXxHZFNpYNeKFtG8_yji4HS352LGlSQ/edit?pli=1#gid=0"",""1_ACUM!A4:S""),19,FALSE))"),"")</f>
        <v/>
      </c>
      <c r="BF725" s="98" t="str">
        <f ca="1">IFERROR(__xludf.DUMMYFUNCTION("IFERROR(VLOOKUP(F739,IMPORTRANGE(""https://docs.google.com/spreadsheets/d/1Kvs4KS76FHFqLFIZfrDMff4kP08nblUkihrxltoGBjg/edit#gid=934712705"",""ESENCIAL!A6:BG""),5,FALSE))"),"")</f>
        <v/>
      </c>
      <c r="BG725" s="98" t="str">
        <f t="shared" si="21"/>
        <v/>
      </c>
      <c r="BH725" s="99" t="str">
        <f t="shared" si="22"/>
        <v/>
      </c>
      <c r="BI725" s="100" t="str">
        <f ca="1">IFERROR(__xludf.DUMMYFUNCTION("IFERROR(VLOOKUP(F739,IMPORTRANGE(""https://docs.google.com/spreadsheets/d/1Kvs4KS76FHFqLFIZfrDMff4kP08nblUkihrxltoGBjg/edit#gid=934712705"",""ESENCIAL!A6:BG""),2,FALSE))"),"")</f>
        <v/>
      </c>
      <c r="BJ725" s="19" t="str">
        <f t="shared" si="23"/>
        <v/>
      </c>
      <c r="BK725" s="100"/>
      <c r="BL725" s="100"/>
    </row>
    <row r="726" spans="1:64" ht="15">
      <c r="A726" s="5"/>
      <c r="B726" s="5"/>
      <c r="G726" s="5" t="str">
        <f ca="1">IFERROR(__xludf.DUMMYFUNCTION("IFERROR(VLOOKUP(F740,IMPORTRANGE(""https://docs.google.com/spreadsheets/d/1Kvs4KS76FHFqLFIZfrDMff4kP08nblUkihrxltoGBjg/edit#gid=934712705"",""ESENCIAL!A6:BG""),3,FALSE))"),"")</f>
        <v/>
      </c>
      <c r="H726" s="5" t="str">
        <f ca="1">IFERROR(__xludf.DUMMYFUNCTION("IFERROR(VLOOKUP(F740,IMPORTRANGE(""https://docs.google.com/spreadsheets/d/1Kvs4KS76FHFqLFIZfrDMff4kP08nblUkihrxltoGBjg/edit#gid=934712705"",""ESENCIAL!A6:BG""),8,FALSE))"),"")</f>
        <v/>
      </c>
      <c r="L726" s="287"/>
      <c r="U726" s="40"/>
      <c r="AU726" s="41" t="str">
        <f t="shared" si="20"/>
        <v/>
      </c>
      <c r="AV726" s="5" t="str">
        <f ca="1">IFERROR(__xludf.DUMMYFUNCTION("IFERROR(VLOOKUP(E740&amp;F740,IMPORTRANGE(""https://docs.google.com/spreadsheets/d/1Uw7-A9f9R21vMXxHZFNpYNeKFtG8_yji4HS352LGlSQ/edit?pli=1#gid=0"",""1_ACUM!A4:S""),11,FALSE))"),"")</f>
        <v/>
      </c>
      <c r="AW726" s="42" t="str">
        <f ca="1">IFERROR(__xludf.DUMMYFUNCTION("IFERROR(VLOOKUP(F740,IMPORTRANGE(""https://docs.google.com/spreadsheets/d/1Kvs4KS76FHFqLFIZfrDMff4kP08nblUkihrxltoGBjg/edit#gid=934712705"",""ESENCIAL!A6:BG""),15,FALSE))"),"")</f>
        <v/>
      </c>
      <c r="AX726" s="21" t="str">
        <f ca="1">IFERROR(__xludf.DUMMYFUNCTION("IFERROR(VLOOKUP(E740&amp;F740,IMPORTRANGE(""https://docs.google.com/spreadsheets/d/1Uw7-A9f9R21vMXxHZFNpYNeKFtG8_yji4HS352LGlSQ/edit?pli=1#gid=0"",""1_ACUM!A4:S""),12,FALSE))"),"")</f>
        <v/>
      </c>
      <c r="AY726" s="43" t="str">
        <f ca="1">IFERROR(__xludf.DUMMYFUNCTION("IFERROR(VLOOKUP(E740&amp;F740,IMPORTRANGE(""https://docs.google.com/spreadsheets/d/1Uw7-A9f9R21vMXxHZFNpYNeKFtG8_yji4HS352LGlSQ/edit?pli=1#gid=0"",""1_ACUM!A4:S""),13,FALSE))"),"")</f>
        <v/>
      </c>
      <c r="AZ726" s="43" t="str">
        <f ca="1">IFERROR(__xludf.DUMMYFUNCTION("IFERROR(VLOOKUP(E740&amp;F740,IMPORTRANGE(""https://docs.google.com/spreadsheets/d/1Uw7-A9f9R21vMXxHZFNpYNeKFtG8_yji4HS352LGlSQ/edit?pli=1#gid=0"",""1_ACUM!A4:S""),14,FALSE))"),"")</f>
        <v/>
      </c>
      <c r="BA726" s="43" t="str">
        <f ca="1">IFERROR(__xludf.DUMMYFUNCTION("IFERROR(VLOOKUP(E740&amp;F740,IMPORTRANGE(""https://docs.google.com/spreadsheets/d/1Uw7-A9f9R21vMXxHZFNpYNeKFtG8_yji4HS352LGlSQ/edit?pli=1#gid=0"",""1_ACUM!A4:S""),15,FALSE))"),"")</f>
        <v/>
      </c>
      <c r="BB726" s="43" t="str">
        <f ca="1">IFERROR(__xludf.DUMMYFUNCTION("IFERROR(VLOOKUP(E740&amp;F740,IMPORTRANGE(""https://docs.google.com/spreadsheets/d/1Uw7-A9f9R21vMXxHZFNpYNeKFtG8_yji4HS352LGlSQ/edit?pli=1#gid=0"",""1_ACUM!A4:S""),16,FALSE))"),"")</f>
        <v/>
      </c>
      <c r="BC726" s="43" t="str">
        <f ca="1">IFERROR(__xludf.DUMMYFUNCTION("IFERROR(VLOOKUP(E740&amp;F740,IMPORTRANGE(""https://docs.google.com/spreadsheets/d/1Uw7-A9f9R21vMXxHZFNpYNeKFtG8_yji4HS352LGlSQ/edit?pli=1#gid=0"",""1_ACUM!A4:S""),17,FALSE))"),"")</f>
        <v/>
      </c>
      <c r="BD726" s="44" t="str">
        <f ca="1">IFERROR(__xludf.DUMMYFUNCTION("IFERROR(VLOOKUP(E740&amp;F740,IMPORTRANGE(""https://docs.google.com/spreadsheets/d/1Uw7-A9f9R21vMXxHZFNpYNeKFtG8_yji4HS352LGlSQ/edit?pli=1#gid=0"",""1_ACUM!A4:S""),18,FALSE))"),"")</f>
        <v/>
      </c>
      <c r="BE726" s="44" t="str">
        <f ca="1">IFERROR(__xludf.DUMMYFUNCTION("IFERROR(VLOOKUP(E740&amp;F740,IMPORTRANGE(""https://docs.google.com/spreadsheets/d/1Uw7-A9f9R21vMXxHZFNpYNeKFtG8_yji4HS352LGlSQ/edit?pli=1#gid=0"",""1_ACUM!A4:S""),19,FALSE))"),"")</f>
        <v/>
      </c>
      <c r="BF726" s="98" t="str">
        <f ca="1">IFERROR(__xludf.DUMMYFUNCTION("IFERROR(VLOOKUP(F740,IMPORTRANGE(""https://docs.google.com/spreadsheets/d/1Kvs4KS76FHFqLFIZfrDMff4kP08nblUkihrxltoGBjg/edit#gid=934712705"",""ESENCIAL!A6:BG""),5,FALSE))"),"")</f>
        <v/>
      </c>
      <c r="BG726" s="98" t="str">
        <f t="shared" si="21"/>
        <v/>
      </c>
      <c r="BH726" s="99" t="str">
        <f t="shared" si="22"/>
        <v/>
      </c>
      <c r="BI726" s="100" t="str">
        <f ca="1">IFERROR(__xludf.DUMMYFUNCTION("IFERROR(VLOOKUP(F740,IMPORTRANGE(""https://docs.google.com/spreadsheets/d/1Kvs4KS76FHFqLFIZfrDMff4kP08nblUkihrxltoGBjg/edit#gid=934712705"",""ESENCIAL!A6:BG""),2,FALSE))"),"")</f>
        <v/>
      </c>
      <c r="BJ726" s="19" t="str">
        <f t="shared" si="23"/>
        <v/>
      </c>
      <c r="BK726" s="100"/>
      <c r="BL726" s="100"/>
    </row>
    <row r="727" spans="1:64" ht="15">
      <c r="A727" s="5"/>
      <c r="B727" s="5"/>
      <c r="G727" s="5" t="str">
        <f ca="1">IFERROR(__xludf.DUMMYFUNCTION("IFERROR(VLOOKUP(F741,IMPORTRANGE(""https://docs.google.com/spreadsheets/d/1Kvs4KS76FHFqLFIZfrDMff4kP08nblUkihrxltoGBjg/edit#gid=934712705"",""ESENCIAL!A6:BG""),3,FALSE))"),"")</f>
        <v/>
      </c>
      <c r="H727" s="5" t="str">
        <f ca="1">IFERROR(__xludf.DUMMYFUNCTION("IFERROR(VLOOKUP(F741,IMPORTRANGE(""https://docs.google.com/spreadsheets/d/1Kvs4KS76FHFqLFIZfrDMff4kP08nblUkihrxltoGBjg/edit#gid=934712705"",""ESENCIAL!A6:BG""),8,FALSE))"),"")</f>
        <v/>
      </c>
      <c r="L727" s="287"/>
      <c r="U727" s="40"/>
      <c r="AU727" s="41" t="str">
        <f t="shared" si="20"/>
        <v/>
      </c>
      <c r="AV727" s="5" t="str">
        <f ca="1">IFERROR(__xludf.DUMMYFUNCTION("IFERROR(VLOOKUP(E741&amp;F741,IMPORTRANGE(""https://docs.google.com/spreadsheets/d/1Uw7-A9f9R21vMXxHZFNpYNeKFtG8_yji4HS352LGlSQ/edit?pli=1#gid=0"",""1_ACUM!A4:S""),11,FALSE))"),"")</f>
        <v/>
      </c>
      <c r="AW727" s="42" t="str">
        <f ca="1">IFERROR(__xludf.DUMMYFUNCTION("IFERROR(VLOOKUP(F741,IMPORTRANGE(""https://docs.google.com/spreadsheets/d/1Kvs4KS76FHFqLFIZfrDMff4kP08nblUkihrxltoGBjg/edit#gid=934712705"",""ESENCIAL!A6:BG""),15,FALSE))"),"")</f>
        <v/>
      </c>
      <c r="AX727" s="21" t="str">
        <f ca="1">IFERROR(__xludf.DUMMYFUNCTION("IFERROR(VLOOKUP(E741&amp;F741,IMPORTRANGE(""https://docs.google.com/spreadsheets/d/1Uw7-A9f9R21vMXxHZFNpYNeKFtG8_yji4HS352LGlSQ/edit?pli=1#gid=0"",""1_ACUM!A4:S""),12,FALSE))"),"")</f>
        <v/>
      </c>
      <c r="AY727" s="43" t="str">
        <f ca="1">IFERROR(__xludf.DUMMYFUNCTION("IFERROR(VLOOKUP(E741&amp;F741,IMPORTRANGE(""https://docs.google.com/spreadsheets/d/1Uw7-A9f9R21vMXxHZFNpYNeKFtG8_yji4HS352LGlSQ/edit?pli=1#gid=0"",""1_ACUM!A4:S""),13,FALSE))"),"")</f>
        <v/>
      </c>
      <c r="AZ727" s="43" t="str">
        <f ca="1">IFERROR(__xludf.DUMMYFUNCTION("IFERROR(VLOOKUP(E741&amp;F741,IMPORTRANGE(""https://docs.google.com/spreadsheets/d/1Uw7-A9f9R21vMXxHZFNpYNeKFtG8_yji4HS352LGlSQ/edit?pli=1#gid=0"",""1_ACUM!A4:S""),14,FALSE))"),"")</f>
        <v/>
      </c>
      <c r="BA727" s="43" t="str">
        <f ca="1">IFERROR(__xludf.DUMMYFUNCTION("IFERROR(VLOOKUP(E741&amp;F741,IMPORTRANGE(""https://docs.google.com/spreadsheets/d/1Uw7-A9f9R21vMXxHZFNpYNeKFtG8_yji4HS352LGlSQ/edit?pli=1#gid=0"",""1_ACUM!A4:S""),15,FALSE))"),"")</f>
        <v/>
      </c>
      <c r="BB727" s="43" t="str">
        <f ca="1">IFERROR(__xludf.DUMMYFUNCTION("IFERROR(VLOOKUP(E741&amp;F741,IMPORTRANGE(""https://docs.google.com/spreadsheets/d/1Uw7-A9f9R21vMXxHZFNpYNeKFtG8_yji4HS352LGlSQ/edit?pli=1#gid=0"",""1_ACUM!A4:S""),16,FALSE))"),"")</f>
        <v/>
      </c>
      <c r="BC727" s="43" t="str">
        <f ca="1">IFERROR(__xludf.DUMMYFUNCTION("IFERROR(VLOOKUP(E741&amp;F741,IMPORTRANGE(""https://docs.google.com/spreadsheets/d/1Uw7-A9f9R21vMXxHZFNpYNeKFtG8_yji4HS352LGlSQ/edit?pli=1#gid=0"",""1_ACUM!A4:S""),17,FALSE))"),"")</f>
        <v/>
      </c>
      <c r="BD727" s="44" t="str">
        <f ca="1">IFERROR(__xludf.DUMMYFUNCTION("IFERROR(VLOOKUP(E741&amp;F741,IMPORTRANGE(""https://docs.google.com/spreadsheets/d/1Uw7-A9f9R21vMXxHZFNpYNeKFtG8_yji4HS352LGlSQ/edit?pli=1#gid=0"",""1_ACUM!A4:S""),18,FALSE))"),"")</f>
        <v/>
      </c>
      <c r="BE727" s="44" t="str">
        <f ca="1">IFERROR(__xludf.DUMMYFUNCTION("IFERROR(VLOOKUP(E741&amp;F741,IMPORTRANGE(""https://docs.google.com/spreadsheets/d/1Uw7-A9f9R21vMXxHZFNpYNeKFtG8_yji4HS352LGlSQ/edit?pli=1#gid=0"",""1_ACUM!A4:S""),19,FALSE))"),"")</f>
        <v/>
      </c>
      <c r="BF727" s="98" t="str">
        <f ca="1">IFERROR(__xludf.DUMMYFUNCTION("IFERROR(VLOOKUP(F741,IMPORTRANGE(""https://docs.google.com/spreadsheets/d/1Kvs4KS76FHFqLFIZfrDMff4kP08nblUkihrxltoGBjg/edit#gid=934712705"",""ESENCIAL!A6:BG""),5,FALSE))"),"")</f>
        <v/>
      </c>
      <c r="BG727" s="98" t="str">
        <f t="shared" si="21"/>
        <v/>
      </c>
      <c r="BH727" s="99" t="str">
        <f t="shared" si="22"/>
        <v/>
      </c>
      <c r="BI727" s="100" t="str">
        <f ca="1">IFERROR(__xludf.DUMMYFUNCTION("IFERROR(VLOOKUP(F741,IMPORTRANGE(""https://docs.google.com/spreadsheets/d/1Kvs4KS76FHFqLFIZfrDMff4kP08nblUkihrxltoGBjg/edit#gid=934712705"",""ESENCIAL!A6:BG""),2,FALSE))"),"")</f>
        <v/>
      </c>
      <c r="BJ727" s="19" t="str">
        <f t="shared" si="23"/>
        <v/>
      </c>
      <c r="BK727" s="100"/>
      <c r="BL727" s="100"/>
    </row>
    <row r="728" spans="1:64" ht="15">
      <c r="A728" s="5"/>
      <c r="B728" s="5"/>
      <c r="G728" s="5" t="str">
        <f ca="1">IFERROR(__xludf.DUMMYFUNCTION("IFERROR(VLOOKUP(F742,IMPORTRANGE(""https://docs.google.com/spreadsheets/d/1Kvs4KS76FHFqLFIZfrDMff4kP08nblUkihrxltoGBjg/edit#gid=934712705"",""ESENCIAL!A6:BG""),3,FALSE))"),"")</f>
        <v/>
      </c>
      <c r="H728" s="5" t="str">
        <f ca="1">IFERROR(__xludf.DUMMYFUNCTION("IFERROR(VLOOKUP(F742,IMPORTRANGE(""https://docs.google.com/spreadsheets/d/1Kvs4KS76FHFqLFIZfrDMff4kP08nblUkihrxltoGBjg/edit#gid=934712705"",""ESENCIAL!A6:BG""),8,FALSE))"),"")</f>
        <v/>
      </c>
      <c r="L728" s="287"/>
      <c r="U728" s="40"/>
      <c r="AU728" s="41" t="str">
        <f t="shared" si="20"/>
        <v/>
      </c>
      <c r="AV728" s="5" t="str">
        <f ca="1">IFERROR(__xludf.DUMMYFUNCTION("IFERROR(VLOOKUP(E742&amp;F742,IMPORTRANGE(""https://docs.google.com/spreadsheets/d/1Uw7-A9f9R21vMXxHZFNpYNeKFtG8_yji4HS352LGlSQ/edit?pli=1#gid=0"",""1_ACUM!A4:S""),11,FALSE))"),"")</f>
        <v/>
      </c>
      <c r="AW728" s="42" t="str">
        <f ca="1">IFERROR(__xludf.DUMMYFUNCTION("IFERROR(VLOOKUP(F742,IMPORTRANGE(""https://docs.google.com/spreadsheets/d/1Kvs4KS76FHFqLFIZfrDMff4kP08nblUkihrxltoGBjg/edit#gid=934712705"",""ESENCIAL!A6:BG""),15,FALSE))"),"")</f>
        <v/>
      </c>
      <c r="AX728" s="21" t="str">
        <f ca="1">IFERROR(__xludf.DUMMYFUNCTION("IFERROR(VLOOKUP(E742&amp;F742,IMPORTRANGE(""https://docs.google.com/spreadsheets/d/1Uw7-A9f9R21vMXxHZFNpYNeKFtG8_yji4HS352LGlSQ/edit?pli=1#gid=0"",""1_ACUM!A4:S""),12,FALSE))"),"")</f>
        <v/>
      </c>
      <c r="AY728" s="43" t="str">
        <f ca="1">IFERROR(__xludf.DUMMYFUNCTION("IFERROR(VLOOKUP(E742&amp;F742,IMPORTRANGE(""https://docs.google.com/spreadsheets/d/1Uw7-A9f9R21vMXxHZFNpYNeKFtG8_yji4HS352LGlSQ/edit?pli=1#gid=0"",""1_ACUM!A4:S""),13,FALSE))"),"")</f>
        <v/>
      </c>
      <c r="AZ728" s="43" t="str">
        <f ca="1">IFERROR(__xludf.DUMMYFUNCTION("IFERROR(VLOOKUP(E742&amp;F742,IMPORTRANGE(""https://docs.google.com/spreadsheets/d/1Uw7-A9f9R21vMXxHZFNpYNeKFtG8_yji4HS352LGlSQ/edit?pli=1#gid=0"",""1_ACUM!A4:S""),14,FALSE))"),"")</f>
        <v/>
      </c>
      <c r="BA728" s="43" t="str">
        <f ca="1">IFERROR(__xludf.DUMMYFUNCTION("IFERROR(VLOOKUP(E742&amp;F742,IMPORTRANGE(""https://docs.google.com/spreadsheets/d/1Uw7-A9f9R21vMXxHZFNpYNeKFtG8_yji4HS352LGlSQ/edit?pli=1#gid=0"",""1_ACUM!A4:S""),15,FALSE))"),"")</f>
        <v/>
      </c>
      <c r="BB728" s="43" t="str">
        <f ca="1">IFERROR(__xludf.DUMMYFUNCTION("IFERROR(VLOOKUP(E742&amp;F742,IMPORTRANGE(""https://docs.google.com/spreadsheets/d/1Uw7-A9f9R21vMXxHZFNpYNeKFtG8_yji4HS352LGlSQ/edit?pli=1#gid=0"",""1_ACUM!A4:S""),16,FALSE))"),"")</f>
        <v/>
      </c>
      <c r="BC728" s="43" t="str">
        <f ca="1">IFERROR(__xludf.DUMMYFUNCTION("IFERROR(VLOOKUP(E742&amp;F742,IMPORTRANGE(""https://docs.google.com/spreadsheets/d/1Uw7-A9f9R21vMXxHZFNpYNeKFtG8_yji4HS352LGlSQ/edit?pli=1#gid=0"",""1_ACUM!A4:S""),17,FALSE))"),"")</f>
        <v/>
      </c>
      <c r="BD728" s="44" t="str">
        <f ca="1">IFERROR(__xludf.DUMMYFUNCTION("IFERROR(VLOOKUP(E742&amp;F742,IMPORTRANGE(""https://docs.google.com/spreadsheets/d/1Uw7-A9f9R21vMXxHZFNpYNeKFtG8_yji4HS352LGlSQ/edit?pli=1#gid=0"",""1_ACUM!A4:S""),18,FALSE))"),"")</f>
        <v/>
      </c>
      <c r="BE728" s="44" t="str">
        <f ca="1">IFERROR(__xludf.DUMMYFUNCTION("IFERROR(VLOOKUP(E742&amp;F742,IMPORTRANGE(""https://docs.google.com/spreadsheets/d/1Uw7-A9f9R21vMXxHZFNpYNeKFtG8_yji4HS352LGlSQ/edit?pli=1#gid=0"",""1_ACUM!A4:S""),19,FALSE))"),"")</f>
        <v/>
      </c>
      <c r="BF728" s="98" t="str">
        <f ca="1">IFERROR(__xludf.DUMMYFUNCTION("IFERROR(VLOOKUP(F742,IMPORTRANGE(""https://docs.google.com/spreadsheets/d/1Kvs4KS76FHFqLFIZfrDMff4kP08nblUkihrxltoGBjg/edit#gid=934712705"",""ESENCIAL!A6:BG""),5,FALSE))"),"")</f>
        <v/>
      </c>
      <c r="BG728" s="98" t="str">
        <f t="shared" si="21"/>
        <v/>
      </c>
      <c r="BH728" s="99" t="str">
        <f t="shared" si="22"/>
        <v/>
      </c>
      <c r="BI728" s="100" t="str">
        <f ca="1">IFERROR(__xludf.DUMMYFUNCTION("IFERROR(VLOOKUP(F742,IMPORTRANGE(""https://docs.google.com/spreadsheets/d/1Kvs4KS76FHFqLFIZfrDMff4kP08nblUkihrxltoGBjg/edit#gid=934712705"",""ESENCIAL!A6:BG""),2,FALSE))"),"")</f>
        <v/>
      </c>
      <c r="BJ728" s="19" t="str">
        <f t="shared" si="23"/>
        <v/>
      </c>
      <c r="BK728" s="100"/>
      <c r="BL728" s="100"/>
    </row>
    <row r="729" spans="1:64" ht="15">
      <c r="A729" s="5"/>
      <c r="B729" s="5"/>
      <c r="G729" s="5" t="str">
        <f ca="1">IFERROR(__xludf.DUMMYFUNCTION("IFERROR(VLOOKUP(F743,IMPORTRANGE(""https://docs.google.com/spreadsheets/d/1Kvs4KS76FHFqLFIZfrDMff4kP08nblUkihrxltoGBjg/edit#gid=934712705"",""ESENCIAL!A6:BG""),3,FALSE))"),"")</f>
        <v/>
      </c>
      <c r="H729" s="5" t="str">
        <f ca="1">IFERROR(__xludf.DUMMYFUNCTION("IFERROR(VLOOKUP(F743,IMPORTRANGE(""https://docs.google.com/spreadsheets/d/1Kvs4KS76FHFqLFIZfrDMff4kP08nblUkihrxltoGBjg/edit#gid=934712705"",""ESENCIAL!A6:BG""),8,FALSE))"),"")</f>
        <v/>
      </c>
      <c r="L729" s="287"/>
      <c r="U729" s="40"/>
      <c r="AU729" s="41" t="str">
        <f t="shared" si="20"/>
        <v/>
      </c>
      <c r="AV729" s="5" t="str">
        <f ca="1">IFERROR(__xludf.DUMMYFUNCTION("IFERROR(VLOOKUP(E743&amp;F743,IMPORTRANGE(""https://docs.google.com/spreadsheets/d/1Uw7-A9f9R21vMXxHZFNpYNeKFtG8_yji4HS352LGlSQ/edit?pli=1#gid=0"",""1_ACUM!A4:S""),11,FALSE))"),"")</f>
        <v/>
      </c>
      <c r="AW729" s="42" t="str">
        <f ca="1">IFERROR(__xludf.DUMMYFUNCTION("IFERROR(VLOOKUP(F743,IMPORTRANGE(""https://docs.google.com/spreadsheets/d/1Kvs4KS76FHFqLFIZfrDMff4kP08nblUkihrxltoGBjg/edit#gid=934712705"",""ESENCIAL!A6:BG""),15,FALSE))"),"")</f>
        <v/>
      </c>
      <c r="AX729" s="21" t="str">
        <f ca="1">IFERROR(__xludf.DUMMYFUNCTION("IFERROR(VLOOKUP(E743&amp;F743,IMPORTRANGE(""https://docs.google.com/spreadsheets/d/1Uw7-A9f9R21vMXxHZFNpYNeKFtG8_yji4HS352LGlSQ/edit?pli=1#gid=0"",""1_ACUM!A4:S""),12,FALSE))"),"")</f>
        <v/>
      </c>
      <c r="AY729" s="43" t="str">
        <f ca="1">IFERROR(__xludf.DUMMYFUNCTION("IFERROR(VLOOKUP(E743&amp;F743,IMPORTRANGE(""https://docs.google.com/spreadsheets/d/1Uw7-A9f9R21vMXxHZFNpYNeKFtG8_yji4HS352LGlSQ/edit?pli=1#gid=0"",""1_ACUM!A4:S""),13,FALSE))"),"")</f>
        <v/>
      </c>
      <c r="AZ729" s="43" t="str">
        <f ca="1">IFERROR(__xludf.DUMMYFUNCTION("IFERROR(VLOOKUP(E743&amp;F743,IMPORTRANGE(""https://docs.google.com/spreadsheets/d/1Uw7-A9f9R21vMXxHZFNpYNeKFtG8_yji4HS352LGlSQ/edit?pli=1#gid=0"",""1_ACUM!A4:S""),14,FALSE))"),"")</f>
        <v/>
      </c>
      <c r="BA729" s="43" t="str">
        <f ca="1">IFERROR(__xludf.DUMMYFUNCTION("IFERROR(VLOOKUP(E743&amp;F743,IMPORTRANGE(""https://docs.google.com/spreadsheets/d/1Uw7-A9f9R21vMXxHZFNpYNeKFtG8_yji4HS352LGlSQ/edit?pli=1#gid=0"",""1_ACUM!A4:S""),15,FALSE))"),"")</f>
        <v/>
      </c>
      <c r="BB729" s="43" t="str">
        <f ca="1">IFERROR(__xludf.DUMMYFUNCTION("IFERROR(VLOOKUP(E743&amp;F743,IMPORTRANGE(""https://docs.google.com/spreadsheets/d/1Uw7-A9f9R21vMXxHZFNpYNeKFtG8_yji4HS352LGlSQ/edit?pli=1#gid=0"",""1_ACUM!A4:S""),16,FALSE))"),"")</f>
        <v/>
      </c>
      <c r="BC729" s="43" t="str">
        <f ca="1">IFERROR(__xludf.DUMMYFUNCTION("IFERROR(VLOOKUP(E743&amp;F743,IMPORTRANGE(""https://docs.google.com/spreadsheets/d/1Uw7-A9f9R21vMXxHZFNpYNeKFtG8_yji4HS352LGlSQ/edit?pli=1#gid=0"",""1_ACUM!A4:S""),17,FALSE))"),"")</f>
        <v/>
      </c>
      <c r="BD729" s="44" t="str">
        <f ca="1">IFERROR(__xludf.DUMMYFUNCTION("IFERROR(VLOOKUP(E743&amp;F743,IMPORTRANGE(""https://docs.google.com/spreadsheets/d/1Uw7-A9f9R21vMXxHZFNpYNeKFtG8_yji4HS352LGlSQ/edit?pli=1#gid=0"",""1_ACUM!A4:S""),18,FALSE))"),"")</f>
        <v/>
      </c>
      <c r="BE729" s="44" t="str">
        <f ca="1">IFERROR(__xludf.DUMMYFUNCTION("IFERROR(VLOOKUP(E743&amp;F743,IMPORTRANGE(""https://docs.google.com/spreadsheets/d/1Uw7-A9f9R21vMXxHZFNpYNeKFtG8_yji4HS352LGlSQ/edit?pli=1#gid=0"",""1_ACUM!A4:S""),19,FALSE))"),"")</f>
        <v/>
      </c>
      <c r="BF729" s="98" t="str">
        <f ca="1">IFERROR(__xludf.DUMMYFUNCTION("IFERROR(VLOOKUP(F743,IMPORTRANGE(""https://docs.google.com/spreadsheets/d/1Kvs4KS76FHFqLFIZfrDMff4kP08nblUkihrxltoGBjg/edit#gid=934712705"",""ESENCIAL!A6:BG""),5,FALSE))"),"")</f>
        <v/>
      </c>
      <c r="BG729" s="98" t="str">
        <f t="shared" si="21"/>
        <v/>
      </c>
      <c r="BH729" s="99" t="str">
        <f t="shared" si="22"/>
        <v/>
      </c>
      <c r="BI729" s="100" t="str">
        <f ca="1">IFERROR(__xludf.DUMMYFUNCTION("IFERROR(VLOOKUP(F743,IMPORTRANGE(""https://docs.google.com/spreadsheets/d/1Kvs4KS76FHFqLFIZfrDMff4kP08nblUkihrxltoGBjg/edit#gid=934712705"",""ESENCIAL!A6:BG""),2,FALSE))"),"")</f>
        <v/>
      </c>
      <c r="BJ729" s="19" t="str">
        <f t="shared" si="23"/>
        <v/>
      </c>
      <c r="BK729" s="100"/>
      <c r="BL729" s="100"/>
    </row>
    <row r="730" spans="1:64" ht="15">
      <c r="A730" s="5"/>
      <c r="B730" s="5"/>
      <c r="G730" s="5" t="str">
        <f ca="1">IFERROR(__xludf.DUMMYFUNCTION("IFERROR(VLOOKUP(F744,IMPORTRANGE(""https://docs.google.com/spreadsheets/d/1Kvs4KS76FHFqLFIZfrDMff4kP08nblUkihrxltoGBjg/edit#gid=934712705"",""ESENCIAL!A6:BG""),3,FALSE))"),"")</f>
        <v/>
      </c>
      <c r="H730" s="5" t="str">
        <f ca="1">IFERROR(__xludf.DUMMYFUNCTION("IFERROR(VLOOKUP(F744,IMPORTRANGE(""https://docs.google.com/spreadsheets/d/1Kvs4KS76FHFqLFIZfrDMff4kP08nblUkihrxltoGBjg/edit#gid=934712705"",""ESENCIAL!A6:BG""),8,FALSE))"),"")</f>
        <v/>
      </c>
      <c r="L730" s="287"/>
      <c r="U730" s="40"/>
      <c r="AU730" s="41" t="str">
        <f t="shared" si="20"/>
        <v/>
      </c>
      <c r="AV730" s="5" t="str">
        <f ca="1">IFERROR(__xludf.DUMMYFUNCTION("IFERROR(VLOOKUP(E744&amp;F744,IMPORTRANGE(""https://docs.google.com/spreadsheets/d/1Uw7-A9f9R21vMXxHZFNpYNeKFtG8_yji4HS352LGlSQ/edit?pli=1#gid=0"",""1_ACUM!A4:S""),11,FALSE))"),"")</f>
        <v/>
      </c>
      <c r="AW730" s="42" t="str">
        <f ca="1">IFERROR(__xludf.DUMMYFUNCTION("IFERROR(VLOOKUP(F744,IMPORTRANGE(""https://docs.google.com/spreadsheets/d/1Kvs4KS76FHFqLFIZfrDMff4kP08nblUkihrxltoGBjg/edit#gid=934712705"",""ESENCIAL!A6:BG""),15,FALSE))"),"")</f>
        <v/>
      </c>
      <c r="AX730" s="21" t="str">
        <f ca="1">IFERROR(__xludf.DUMMYFUNCTION("IFERROR(VLOOKUP(E744&amp;F744,IMPORTRANGE(""https://docs.google.com/spreadsheets/d/1Uw7-A9f9R21vMXxHZFNpYNeKFtG8_yji4HS352LGlSQ/edit?pli=1#gid=0"",""1_ACUM!A4:S""),12,FALSE))"),"")</f>
        <v/>
      </c>
      <c r="AY730" s="43" t="str">
        <f ca="1">IFERROR(__xludf.DUMMYFUNCTION("IFERROR(VLOOKUP(E744&amp;F744,IMPORTRANGE(""https://docs.google.com/spreadsheets/d/1Uw7-A9f9R21vMXxHZFNpYNeKFtG8_yji4HS352LGlSQ/edit?pli=1#gid=0"",""1_ACUM!A4:S""),13,FALSE))"),"")</f>
        <v/>
      </c>
      <c r="AZ730" s="43" t="str">
        <f ca="1">IFERROR(__xludf.DUMMYFUNCTION("IFERROR(VLOOKUP(E744&amp;F744,IMPORTRANGE(""https://docs.google.com/spreadsheets/d/1Uw7-A9f9R21vMXxHZFNpYNeKFtG8_yji4HS352LGlSQ/edit?pli=1#gid=0"",""1_ACUM!A4:S""),14,FALSE))"),"")</f>
        <v/>
      </c>
      <c r="BA730" s="43" t="str">
        <f ca="1">IFERROR(__xludf.DUMMYFUNCTION("IFERROR(VLOOKUP(E744&amp;F744,IMPORTRANGE(""https://docs.google.com/spreadsheets/d/1Uw7-A9f9R21vMXxHZFNpYNeKFtG8_yji4HS352LGlSQ/edit?pli=1#gid=0"",""1_ACUM!A4:S""),15,FALSE))"),"")</f>
        <v/>
      </c>
      <c r="BB730" s="43" t="str">
        <f ca="1">IFERROR(__xludf.DUMMYFUNCTION("IFERROR(VLOOKUP(E744&amp;F744,IMPORTRANGE(""https://docs.google.com/spreadsheets/d/1Uw7-A9f9R21vMXxHZFNpYNeKFtG8_yji4HS352LGlSQ/edit?pli=1#gid=0"",""1_ACUM!A4:S""),16,FALSE))"),"")</f>
        <v/>
      </c>
      <c r="BC730" s="43" t="str">
        <f ca="1">IFERROR(__xludf.DUMMYFUNCTION("IFERROR(VLOOKUP(E744&amp;F744,IMPORTRANGE(""https://docs.google.com/spreadsheets/d/1Uw7-A9f9R21vMXxHZFNpYNeKFtG8_yji4HS352LGlSQ/edit?pli=1#gid=0"",""1_ACUM!A4:S""),17,FALSE))"),"")</f>
        <v/>
      </c>
      <c r="BD730" s="44" t="str">
        <f ca="1">IFERROR(__xludf.DUMMYFUNCTION("IFERROR(VLOOKUP(E744&amp;F744,IMPORTRANGE(""https://docs.google.com/spreadsheets/d/1Uw7-A9f9R21vMXxHZFNpYNeKFtG8_yji4HS352LGlSQ/edit?pli=1#gid=0"",""1_ACUM!A4:S""),18,FALSE))"),"")</f>
        <v/>
      </c>
      <c r="BE730" s="44" t="str">
        <f ca="1">IFERROR(__xludf.DUMMYFUNCTION("IFERROR(VLOOKUP(E744&amp;F744,IMPORTRANGE(""https://docs.google.com/spreadsheets/d/1Uw7-A9f9R21vMXxHZFNpYNeKFtG8_yji4HS352LGlSQ/edit?pli=1#gid=0"",""1_ACUM!A4:S""),19,FALSE))"),"")</f>
        <v/>
      </c>
      <c r="BF730" s="98" t="str">
        <f ca="1">IFERROR(__xludf.DUMMYFUNCTION("IFERROR(VLOOKUP(F744,IMPORTRANGE(""https://docs.google.com/spreadsheets/d/1Kvs4KS76FHFqLFIZfrDMff4kP08nblUkihrxltoGBjg/edit#gid=934712705"",""ESENCIAL!A6:BG""),5,FALSE))"),"")</f>
        <v/>
      </c>
      <c r="BG730" s="98" t="str">
        <f t="shared" si="21"/>
        <v/>
      </c>
      <c r="BH730" s="99" t="str">
        <f t="shared" si="22"/>
        <v/>
      </c>
      <c r="BI730" s="100" t="str">
        <f ca="1">IFERROR(__xludf.DUMMYFUNCTION("IFERROR(VLOOKUP(F744,IMPORTRANGE(""https://docs.google.com/spreadsheets/d/1Kvs4KS76FHFqLFIZfrDMff4kP08nblUkihrxltoGBjg/edit#gid=934712705"",""ESENCIAL!A6:BG""),2,FALSE))"),"")</f>
        <v/>
      </c>
      <c r="BJ730" s="19" t="str">
        <f t="shared" si="23"/>
        <v/>
      </c>
      <c r="BK730" s="100"/>
      <c r="BL730" s="100"/>
    </row>
    <row r="731" spans="1:64" ht="15">
      <c r="A731" s="5"/>
      <c r="B731" s="5"/>
      <c r="G731" s="5" t="str">
        <f ca="1">IFERROR(__xludf.DUMMYFUNCTION("IFERROR(VLOOKUP(F745,IMPORTRANGE(""https://docs.google.com/spreadsheets/d/1Kvs4KS76FHFqLFIZfrDMff4kP08nblUkihrxltoGBjg/edit#gid=934712705"",""ESENCIAL!A6:BG""),3,FALSE))"),"")</f>
        <v/>
      </c>
      <c r="H731" s="5" t="str">
        <f ca="1">IFERROR(__xludf.DUMMYFUNCTION("IFERROR(VLOOKUP(F745,IMPORTRANGE(""https://docs.google.com/spreadsheets/d/1Kvs4KS76FHFqLFIZfrDMff4kP08nblUkihrxltoGBjg/edit#gid=934712705"",""ESENCIAL!A6:BG""),8,FALSE))"),"")</f>
        <v/>
      </c>
      <c r="L731" s="287"/>
      <c r="U731" s="40"/>
      <c r="AU731" s="41" t="str">
        <f t="shared" si="20"/>
        <v/>
      </c>
      <c r="AV731" s="5" t="str">
        <f ca="1">IFERROR(__xludf.DUMMYFUNCTION("IFERROR(VLOOKUP(E745&amp;F745,IMPORTRANGE(""https://docs.google.com/spreadsheets/d/1Uw7-A9f9R21vMXxHZFNpYNeKFtG8_yji4HS352LGlSQ/edit?pli=1#gid=0"",""1_ACUM!A4:S""),11,FALSE))"),"")</f>
        <v/>
      </c>
      <c r="AW731" s="42" t="str">
        <f ca="1">IFERROR(__xludf.DUMMYFUNCTION("IFERROR(VLOOKUP(F745,IMPORTRANGE(""https://docs.google.com/spreadsheets/d/1Kvs4KS76FHFqLFIZfrDMff4kP08nblUkihrxltoGBjg/edit#gid=934712705"",""ESENCIAL!A6:BG""),15,FALSE))"),"")</f>
        <v/>
      </c>
      <c r="AX731" s="21" t="str">
        <f ca="1">IFERROR(__xludf.DUMMYFUNCTION("IFERROR(VLOOKUP(E745&amp;F745,IMPORTRANGE(""https://docs.google.com/spreadsheets/d/1Uw7-A9f9R21vMXxHZFNpYNeKFtG8_yji4HS352LGlSQ/edit?pli=1#gid=0"",""1_ACUM!A4:S""),12,FALSE))"),"")</f>
        <v/>
      </c>
      <c r="AY731" s="43" t="str">
        <f ca="1">IFERROR(__xludf.DUMMYFUNCTION("IFERROR(VLOOKUP(E745&amp;F745,IMPORTRANGE(""https://docs.google.com/spreadsheets/d/1Uw7-A9f9R21vMXxHZFNpYNeKFtG8_yji4HS352LGlSQ/edit?pli=1#gid=0"",""1_ACUM!A4:S""),13,FALSE))"),"")</f>
        <v/>
      </c>
      <c r="AZ731" s="43" t="str">
        <f ca="1">IFERROR(__xludf.DUMMYFUNCTION("IFERROR(VLOOKUP(E745&amp;F745,IMPORTRANGE(""https://docs.google.com/spreadsheets/d/1Uw7-A9f9R21vMXxHZFNpYNeKFtG8_yji4HS352LGlSQ/edit?pli=1#gid=0"",""1_ACUM!A4:S""),14,FALSE))"),"")</f>
        <v/>
      </c>
      <c r="BA731" s="43" t="str">
        <f ca="1">IFERROR(__xludf.DUMMYFUNCTION("IFERROR(VLOOKUP(E745&amp;F745,IMPORTRANGE(""https://docs.google.com/spreadsheets/d/1Uw7-A9f9R21vMXxHZFNpYNeKFtG8_yji4HS352LGlSQ/edit?pli=1#gid=0"",""1_ACUM!A4:S""),15,FALSE))"),"")</f>
        <v/>
      </c>
      <c r="BB731" s="43" t="str">
        <f ca="1">IFERROR(__xludf.DUMMYFUNCTION("IFERROR(VLOOKUP(E745&amp;F745,IMPORTRANGE(""https://docs.google.com/spreadsheets/d/1Uw7-A9f9R21vMXxHZFNpYNeKFtG8_yji4HS352LGlSQ/edit?pli=1#gid=0"",""1_ACUM!A4:S""),16,FALSE))"),"")</f>
        <v/>
      </c>
      <c r="BC731" s="43" t="str">
        <f ca="1">IFERROR(__xludf.DUMMYFUNCTION("IFERROR(VLOOKUP(E745&amp;F745,IMPORTRANGE(""https://docs.google.com/spreadsheets/d/1Uw7-A9f9R21vMXxHZFNpYNeKFtG8_yji4HS352LGlSQ/edit?pli=1#gid=0"",""1_ACUM!A4:S""),17,FALSE))"),"")</f>
        <v/>
      </c>
      <c r="BD731" s="44" t="str">
        <f ca="1">IFERROR(__xludf.DUMMYFUNCTION("IFERROR(VLOOKUP(E745&amp;F745,IMPORTRANGE(""https://docs.google.com/spreadsheets/d/1Uw7-A9f9R21vMXxHZFNpYNeKFtG8_yji4HS352LGlSQ/edit?pli=1#gid=0"",""1_ACUM!A4:S""),18,FALSE))"),"")</f>
        <v/>
      </c>
      <c r="BE731" s="44" t="str">
        <f ca="1">IFERROR(__xludf.DUMMYFUNCTION("IFERROR(VLOOKUP(E745&amp;F745,IMPORTRANGE(""https://docs.google.com/spreadsheets/d/1Uw7-A9f9R21vMXxHZFNpYNeKFtG8_yji4HS352LGlSQ/edit?pli=1#gid=0"",""1_ACUM!A4:S""),19,FALSE))"),"")</f>
        <v/>
      </c>
      <c r="BF731" s="98" t="str">
        <f ca="1">IFERROR(__xludf.DUMMYFUNCTION("IFERROR(VLOOKUP(F745,IMPORTRANGE(""https://docs.google.com/spreadsheets/d/1Kvs4KS76FHFqLFIZfrDMff4kP08nblUkihrxltoGBjg/edit#gid=934712705"",""ESENCIAL!A6:BG""),5,FALSE))"),"")</f>
        <v/>
      </c>
      <c r="BG731" s="98" t="str">
        <f t="shared" si="21"/>
        <v/>
      </c>
      <c r="BH731" s="99" t="str">
        <f t="shared" si="22"/>
        <v/>
      </c>
      <c r="BI731" s="100" t="str">
        <f ca="1">IFERROR(__xludf.DUMMYFUNCTION("IFERROR(VLOOKUP(F745,IMPORTRANGE(""https://docs.google.com/spreadsheets/d/1Kvs4KS76FHFqLFIZfrDMff4kP08nblUkihrxltoGBjg/edit#gid=934712705"",""ESENCIAL!A6:BG""),2,FALSE))"),"")</f>
        <v/>
      </c>
      <c r="BJ731" s="19" t="str">
        <f t="shared" si="23"/>
        <v/>
      </c>
      <c r="BK731" s="100"/>
      <c r="BL731" s="100"/>
    </row>
    <row r="732" spans="1:64" ht="15">
      <c r="A732" s="5"/>
      <c r="B732" s="5"/>
      <c r="G732" s="5" t="str">
        <f ca="1">IFERROR(__xludf.DUMMYFUNCTION("IFERROR(VLOOKUP(F746,IMPORTRANGE(""https://docs.google.com/spreadsheets/d/1Kvs4KS76FHFqLFIZfrDMff4kP08nblUkihrxltoGBjg/edit#gid=934712705"",""ESENCIAL!A6:BG""),3,FALSE))"),"")</f>
        <v/>
      </c>
      <c r="H732" s="5" t="str">
        <f ca="1">IFERROR(__xludf.DUMMYFUNCTION("IFERROR(VLOOKUP(F746,IMPORTRANGE(""https://docs.google.com/spreadsheets/d/1Kvs4KS76FHFqLFIZfrDMff4kP08nblUkihrxltoGBjg/edit#gid=934712705"",""ESENCIAL!A6:BG""),8,FALSE))"),"")</f>
        <v/>
      </c>
      <c r="L732" s="287"/>
      <c r="U732" s="40"/>
      <c r="AU732" s="41" t="str">
        <f t="shared" si="20"/>
        <v/>
      </c>
      <c r="AV732" s="5" t="str">
        <f ca="1">IFERROR(__xludf.DUMMYFUNCTION("IFERROR(VLOOKUP(E746&amp;F746,IMPORTRANGE(""https://docs.google.com/spreadsheets/d/1Uw7-A9f9R21vMXxHZFNpYNeKFtG8_yji4HS352LGlSQ/edit?pli=1#gid=0"",""1_ACUM!A4:S""),11,FALSE))"),"")</f>
        <v/>
      </c>
      <c r="AW732" s="42" t="str">
        <f ca="1">IFERROR(__xludf.DUMMYFUNCTION("IFERROR(VLOOKUP(F746,IMPORTRANGE(""https://docs.google.com/spreadsheets/d/1Kvs4KS76FHFqLFIZfrDMff4kP08nblUkihrxltoGBjg/edit#gid=934712705"",""ESENCIAL!A6:BG""),15,FALSE))"),"")</f>
        <v/>
      </c>
      <c r="AX732" s="21" t="str">
        <f ca="1">IFERROR(__xludf.DUMMYFUNCTION("IFERROR(VLOOKUP(E746&amp;F746,IMPORTRANGE(""https://docs.google.com/spreadsheets/d/1Uw7-A9f9R21vMXxHZFNpYNeKFtG8_yji4HS352LGlSQ/edit?pli=1#gid=0"",""1_ACUM!A4:S""),12,FALSE))"),"")</f>
        <v/>
      </c>
      <c r="AY732" s="43" t="str">
        <f ca="1">IFERROR(__xludf.DUMMYFUNCTION("IFERROR(VLOOKUP(E746&amp;F746,IMPORTRANGE(""https://docs.google.com/spreadsheets/d/1Uw7-A9f9R21vMXxHZFNpYNeKFtG8_yji4HS352LGlSQ/edit?pli=1#gid=0"",""1_ACUM!A4:S""),13,FALSE))"),"")</f>
        <v/>
      </c>
      <c r="AZ732" s="43" t="str">
        <f ca="1">IFERROR(__xludf.DUMMYFUNCTION("IFERROR(VLOOKUP(E746&amp;F746,IMPORTRANGE(""https://docs.google.com/spreadsheets/d/1Uw7-A9f9R21vMXxHZFNpYNeKFtG8_yji4HS352LGlSQ/edit?pli=1#gid=0"",""1_ACUM!A4:S""),14,FALSE))"),"")</f>
        <v/>
      </c>
      <c r="BA732" s="43" t="str">
        <f ca="1">IFERROR(__xludf.DUMMYFUNCTION("IFERROR(VLOOKUP(E746&amp;F746,IMPORTRANGE(""https://docs.google.com/spreadsheets/d/1Uw7-A9f9R21vMXxHZFNpYNeKFtG8_yji4HS352LGlSQ/edit?pli=1#gid=0"",""1_ACUM!A4:S""),15,FALSE))"),"")</f>
        <v/>
      </c>
      <c r="BB732" s="43" t="str">
        <f ca="1">IFERROR(__xludf.DUMMYFUNCTION("IFERROR(VLOOKUP(E746&amp;F746,IMPORTRANGE(""https://docs.google.com/spreadsheets/d/1Uw7-A9f9R21vMXxHZFNpYNeKFtG8_yji4HS352LGlSQ/edit?pli=1#gid=0"",""1_ACUM!A4:S""),16,FALSE))"),"")</f>
        <v/>
      </c>
      <c r="BC732" s="43" t="str">
        <f ca="1">IFERROR(__xludf.DUMMYFUNCTION("IFERROR(VLOOKUP(E746&amp;F746,IMPORTRANGE(""https://docs.google.com/spreadsheets/d/1Uw7-A9f9R21vMXxHZFNpYNeKFtG8_yji4HS352LGlSQ/edit?pli=1#gid=0"",""1_ACUM!A4:S""),17,FALSE))"),"")</f>
        <v/>
      </c>
      <c r="BD732" s="44" t="str">
        <f ca="1">IFERROR(__xludf.DUMMYFUNCTION("IFERROR(VLOOKUP(E746&amp;F746,IMPORTRANGE(""https://docs.google.com/spreadsheets/d/1Uw7-A9f9R21vMXxHZFNpYNeKFtG8_yji4HS352LGlSQ/edit?pli=1#gid=0"",""1_ACUM!A4:S""),18,FALSE))"),"")</f>
        <v/>
      </c>
      <c r="BE732" s="44" t="str">
        <f ca="1">IFERROR(__xludf.DUMMYFUNCTION("IFERROR(VLOOKUP(E746&amp;F746,IMPORTRANGE(""https://docs.google.com/spreadsheets/d/1Uw7-A9f9R21vMXxHZFNpYNeKFtG8_yji4HS352LGlSQ/edit?pli=1#gid=0"",""1_ACUM!A4:S""),19,FALSE))"),"")</f>
        <v/>
      </c>
      <c r="BF732" s="98" t="str">
        <f ca="1">IFERROR(__xludf.DUMMYFUNCTION("IFERROR(VLOOKUP(F746,IMPORTRANGE(""https://docs.google.com/spreadsheets/d/1Kvs4KS76FHFqLFIZfrDMff4kP08nblUkihrxltoGBjg/edit#gid=934712705"",""ESENCIAL!A6:BG""),5,FALSE))"),"")</f>
        <v/>
      </c>
      <c r="BG732" s="98" t="str">
        <f t="shared" si="21"/>
        <v/>
      </c>
      <c r="BH732" s="99" t="str">
        <f t="shared" si="22"/>
        <v/>
      </c>
      <c r="BI732" s="100" t="str">
        <f ca="1">IFERROR(__xludf.DUMMYFUNCTION("IFERROR(VLOOKUP(F746,IMPORTRANGE(""https://docs.google.com/spreadsheets/d/1Kvs4KS76FHFqLFIZfrDMff4kP08nblUkihrxltoGBjg/edit#gid=934712705"",""ESENCIAL!A6:BG""),2,FALSE))"),"")</f>
        <v/>
      </c>
      <c r="BJ732" s="19" t="str">
        <f t="shared" si="23"/>
        <v/>
      </c>
      <c r="BK732" s="100"/>
      <c r="BL732" s="100"/>
    </row>
    <row r="733" spans="1:64" ht="15">
      <c r="A733" s="5"/>
      <c r="B733" s="5"/>
      <c r="G733" s="5" t="str">
        <f ca="1">IFERROR(__xludf.DUMMYFUNCTION("IFERROR(VLOOKUP(F747,IMPORTRANGE(""https://docs.google.com/spreadsheets/d/1Kvs4KS76FHFqLFIZfrDMff4kP08nblUkihrxltoGBjg/edit#gid=934712705"",""ESENCIAL!A6:BG""),3,FALSE))"),"")</f>
        <v/>
      </c>
      <c r="H733" s="5" t="str">
        <f ca="1">IFERROR(__xludf.DUMMYFUNCTION("IFERROR(VLOOKUP(F747,IMPORTRANGE(""https://docs.google.com/spreadsheets/d/1Kvs4KS76FHFqLFIZfrDMff4kP08nblUkihrxltoGBjg/edit#gid=934712705"",""ESENCIAL!A6:BG""),8,FALSE))"),"")</f>
        <v/>
      </c>
      <c r="L733" s="287"/>
      <c r="U733" s="40"/>
      <c r="AU733" s="41" t="str">
        <f t="shared" si="20"/>
        <v/>
      </c>
      <c r="AV733" s="5" t="str">
        <f ca="1">IFERROR(__xludf.DUMMYFUNCTION("IFERROR(VLOOKUP(E747&amp;F747,IMPORTRANGE(""https://docs.google.com/spreadsheets/d/1Uw7-A9f9R21vMXxHZFNpYNeKFtG8_yji4HS352LGlSQ/edit?pli=1#gid=0"",""1_ACUM!A4:S""),11,FALSE))"),"")</f>
        <v/>
      </c>
      <c r="AW733" s="42" t="str">
        <f ca="1">IFERROR(__xludf.DUMMYFUNCTION("IFERROR(VLOOKUP(F747,IMPORTRANGE(""https://docs.google.com/spreadsheets/d/1Kvs4KS76FHFqLFIZfrDMff4kP08nblUkihrxltoGBjg/edit#gid=934712705"",""ESENCIAL!A6:BG""),15,FALSE))"),"")</f>
        <v/>
      </c>
      <c r="AX733" s="21" t="str">
        <f ca="1">IFERROR(__xludf.DUMMYFUNCTION("IFERROR(VLOOKUP(E747&amp;F747,IMPORTRANGE(""https://docs.google.com/spreadsheets/d/1Uw7-A9f9R21vMXxHZFNpYNeKFtG8_yji4HS352LGlSQ/edit?pli=1#gid=0"",""1_ACUM!A4:S""),12,FALSE))"),"")</f>
        <v/>
      </c>
      <c r="AY733" s="43" t="str">
        <f ca="1">IFERROR(__xludf.DUMMYFUNCTION("IFERROR(VLOOKUP(E747&amp;F747,IMPORTRANGE(""https://docs.google.com/spreadsheets/d/1Uw7-A9f9R21vMXxHZFNpYNeKFtG8_yji4HS352LGlSQ/edit?pli=1#gid=0"",""1_ACUM!A4:S""),13,FALSE))"),"")</f>
        <v/>
      </c>
      <c r="AZ733" s="43" t="str">
        <f ca="1">IFERROR(__xludf.DUMMYFUNCTION("IFERROR(VLOOKUP(E747&amp;F747,IMPORTRANGE(""https://docs.google.com/spreadsheets/d/1Uw7-A9f9R21vMXxHZFNpYNeKFtG8_yji4HS352LGlSQ/edit?pli=1#gid=0"",""1_ACUM!A4:S""),14,FALSE))"),"")</f>
        <v/>
      </c>
      <c r="BA733" s="43" t="str">
        <f ca="1">IFERROR(__xludf.DUMMYFUNCTION("IFERROR(VLOOKUP(E747&amp;F747,IMPORTRANGE(""https://docs.google.com/spreadsheets/d/1Uw7-A9f9R21vMXxHZFNpYNeKFtG8_yji4HS352LGlSQ/edit?pli=1#gid=0"",""1_ACUM!A4:S""),15,FALSE))"),"")</f>
        <v/>
      </c>
      <c r="BB733" s="43" t="str">
        <f ca="1">IFERROR(__xludf.DUMMYFUNCTION("IFERROR(VLOOKUP(E747&amp;F747,IMPORTRANGE(""https://docs.google.com/spreadsheets/d/1Uw7-A9f9R21vMXxHZFNpYNeKFtG8_yji4HS352LGlSQ/edit?pli=1#gid=0"",""1_ACUM!A4:S""),16,FALSE))"),"")</f>
        <v/>
      </c>
      <c r="BC733" s="43" t="str">
        <f ca="1">IFERROR(__xludf.DUMMYFUNCTION("IFERROR(VLOOKUP(E747&amp;F747,IMPORTRANGE(""https://docs.google.com/spreadsheets/d/1Uw7-A9f9R21vMXxHZFNpYNeKFtG8_yji4HS352LGlSQ/edit?pli=1#gid=0"",""1_ACUM!A4:S""),17,FALSE))"),"")</f>
        <v/>
      </c>
      <c r="BD733" s="44" t="str">
        <f ca="1">IFERROR(__xludf.DUMMYFUNCTION("IFERROR(VLOOKUP(E747&amp;F747,IMPORTRANGE(""https://docs.google.com/spreadsheets/d/1Uw7-A9f9R21vMXxHZFNpYNeKFtG8_yji4HS352LGlSQ/edit?pli=1#gid=0"",""1_ACUM!A4:S""),18,FALSE))"),"")</f>
        <v/>
      </c>
      <c r="BE733" s="44" t="str">
        <f ca="1">IFERROR(__xludf.DUMMYFUNCTION("IFERROR(VLOOKUP(E747&amp;F747,IMPORTRANGE(""https://docs.google.com/spreadsheets/d/1Uw7-A9f9R21vMXxHZFNpYNeKFtG8_yji4HS352LGlSQ/edit?pli=1#gid=0"",""1_ACUM!A4:S""),19,FALSE))"),"")</f>
        <v/>
      </c>
      <c r="BF733" s="98" t="str">
        <f ca="1">IFERROR(__xludf.DUMMYFUNCTION("IFERROR(VLOOKUP(F747,IMPORTRANGE(""https://docs.google.com/spreadsheets/d/1Kvs4KS76FHFqLFIZfrDMff4kP08nblUkihrxltoGBjg/edit#gid=934712705"",""ESENCIAL!A6:BG""),5,FALSE))"),"")</f>
        <v/>
      </c>
      <c r="BG733" s="98" t="str">
        <f t="shared" si="21"/>
        <v/>
      </c>
      <c r="BH733" s="99" t="str">
        <f t="shared" si="22"/>
        <v/>
      </c>
      <c r="BI733" s="100" t="str">
        <f ca="1">IFERROR(__xludf.DUMMYFUNCTION("IFERROR(VLOOKUP(F747,IMPORTRANGE(""https://docs.google.com/spreadsheets/d/1Kvs4KS76FHFqLFIZfrDMff4kP08nblUkihrxltoGBjg/edit#gid=934712705"",""ESENCIAL!A6:BG""),2,FALSE))"),"")</f>
        <v/>
      </c>
      <c r="BJ733" s="19" t="str">
        <f t="shared" si="23"/>
        <v/>
      </c>
      <c r="BK733" s="100"/>
      <c r="BL733" s="100"/>
    </row>
    <row r="734" spans="1:64" ht="15">
      <c r="A734" s="5"/>
      <c r="B734" s="5"/>
      <c r="G734" s="5" t="str">
        <f ca="1">IFERROR(__xludf.DUMMYFUNCTION("IFERROR(VLOOKUP(F748,IMPORTRANGE(""https://docs.google.com/spreadsheets/d/1Kvs4KS76FHFqLFIZfrDMff4kP08nblUkihrxltoGBjg/edit#gid=934712705"",""ESENCIAL!A6:BG""),3,FALSE))"),"")</f>
        <v/>
      </c>
      <c r="H734" s="5" t="str">
        <f ca="1">IFERROR(__xludf.DUMMYFUNCTION("IFERROR(VLOOKUP(F748,IMPORTRANGE(""https://docs.google.com/spreadsheets/d/1Kvs4KS76FHFqLFIZfrDMff4kP08nblUkihrxltoGBjg/edit#gid=934712705"",""ESENCIAL!A6:BG""),8,FALSE))"),"")</f>
        <v/>
      </c>
      <c r="L734" s="287"/>
      <c r="U734" s="40"/>
      <c r="AU734" s="41" t="str">
        <f t="shared" si="20"/>
        <v/>
      </c>
      <c r="AV734" s="5" t="str">
        <f ca="1">IFERROR(__xludf.DUMMYFUNCTION("IFERROR(VLOOKUP(E748&amp;F748,IMPORTRANGE(""https://docs.google.com/spreadsheets/d/1Uw7-A9f9R21vMXxHZFNpYNeKFtG8_yji4HS352LGlSQ/edit?pli=1#gid=0"",""1_ACUM!A4:S""),11,FALSE))"),"")</f>
        <v/>
      </c>
      <c r="AW734" s="42" t="str">
        <f ca="1">IFERROR(__xludf.DUMMYFUNCTION("IFERROR(VLOOKUP(F748,IMPORTRANGE(""https://docs.google.com/spreadsheets/d/1Kvs4KS76FHFqLFIZfrDMff4kP08nblUkihrxltoGBjg/edit#gid=934712705"",""ESENCIAL!A6:BG""),15,FALSE))"),"")</f>
        <v/>
      </c>
      <c r="AX734" s="21" t="str">
        <f ca="1">IFERROR(__xludf.DUMMYFUNCTION("IFERROR(VLOOKUP(E748&amp;F748,IMPORTRANGE(""https://docs.google.com/spreadsheets/d/1Uw7-A9f9R21vMXxHZFNpYNeKFtG8_yji4HS352LGlSQ/edit?pli=1#gid=0"",""1_ACUM!A4:S""),12,FALSE))"),"")</f>
        <v/>
      </c>
      <c r="AY734" s="43" t="str">
        <f ca="1">IFERROR(__xludf.DUMMYFUNCTION("IFERROR(VLOOKUP(E748&amp;F748,IMPORTRANGE(""https://docs.google.com/spreadsheets/d/1Uw7-A9f9R21vMXxHZFNpYNeKFtG8_yji4HS352LGlSQ/edit?pli=1#gid=0"",""1_ACUM!A4:S""),13,FALSE))"),"")</f>
        <v/>
      </c>
      <c r="AZ734" s="43" t="str">
        <f ca="1">IFERROR(__xludf.DUMMYFUNCTION("IFERROR(VLOOKUP(E748&amp;F748,IMPORTRANGE(""https://docs.google.com/spreadsheets/d/1Uw7-A9f9R21vMXxHZFNpYNeKFtG8_yji4HS352LGlSQ/edit?pli=1#gid=0"",""1_ACUM!A4:S""),14,FALSE))"),"")</f>
        <v/>
      </c>
      <c r="BA734" s="43" t="str">
        <f ca="1">IFERROR(__xludf.DUMMYFUNCTION("IFERROR(VLOOKUP(E748&amp;F748,IMPORTRANGE(""https://docs.google.com/spreadsheets/d/1Uw7-A9f9R21vMXxHZFNpYNeKFtG8_yji4HS352LGlSQ/edit?pli=1#gid=0"",""1_ACUM!A4:S""),15,FALSE))"),"")</f>
        <v/>
      </c>
      <c r="BB734" s="43" t="str">
        <f ca="1">IFERROR(__xludf.DUMMYFUNCTION("IFERROR(VLOOKUP(E748&amp;F748,IMPORTRANGE(""https://docs.google.com/spreadsheets/d/1Uw7-A9f9R21vMXxHZFNpYNeKFtG8_yji4HS352LGlSQ/edit?pli=1#gid=0"",""1_ACUM!A4:S""),16,FALSE))"),"")</f>
        <v/>
      </c>
      <c r="BC734" s="43" t="str">
        <f ca="1">IFERROR(__xludf.DUMMYFUNCTION("IFERROR(VLOOKUP(E748&amp;F748,IMPORTRANGE(""https://docs.google.com/spreadsheets/d/1Uw7-A9f9R21vMXxHZFNpYNeKFtG8_yji4HS352LGlSQ/edit?pli=1#gid=0"",""1_ACUM!A4:S""),17,FALSE))"),"")</f>
        <v/>
      </c>
      <c r="BD734" s="44" t="str">
        <f ca="1">IFERROR(__xludf.DUMMYFUNCTION("IFERROR(VLOOKUP(E748&amp;F748,IMPORTRANGE(""https://docs.google.com/spreadsheets/d/1Uw7-A9f9R21vMXxHZFNpYNeKFtG8_yji4HS352LGlSQ/edit?pli=1#gid=0"",""1_ACUM!A4:S""),18,FALSE))"),"")</f>
        <v/>
      </c>
      <c r="BE734" s="44" t="str">
        <f ca="1">IFERROR(__xludf.DUMMYFUNCTION("IFERROR(VLOOKUP(E748&amp;F748,IMPORTRANGE(""https://docs.google.com/spreadsheets/d/1Uw7-A9f9R21vMXxHZFNpYNeKFtG8_yji4HS352LGlSQ/edit?pli=1#gid=0"",""1_ACUM!A4:S""),19,FALSE))"),"")</f>
        <v/>
      </c>
      <c r="BF734" s="98" t="str">
        <f ca="1">IFERROR(__xludf.DUMMYFUNCTION("IFERROR(VLOOKUP(F748,IMPORTRANGE(""https://docs.google.com/spreadsheets/d/1Kvs4KS76FHFqLFIZfrDMff4kP08nblUkihrxltoGBjg/edit#gid=934712705"",""ESENCIAL!A6:BG""),5,FALSE))"),"")</f>
        <v/>
      </c>
      <c r="BG734" s="98" t="str">
        <f t="shared" si="21"/>
        <v/>
      </c>
      <c r="BH734" s="99" t="str">
        <f t="shared" si="22"/>
        <v/>
      </c>
      <c r="BI734" s="100" t="str">
        <f ca="1">IFERROR(__xludf.DUMMYFUNCTION("IFERROR(VLOOKUP(F748,IMPORTRANGE(""https://docs.google.com/spreadsheets/d/1Kvs4KS76FHFqLFIZfrDMff4kP08nblUkihrxltoGBjg/edit#gid=934712705"",""ESENCIAL!A6:BG""),2,FALSE))"),"")</f>
        <v/>
      </c>
      <c r="BJ734" s="19" t="str">
        <f t="shared" si="23"/>
        <v/>
      </c>
      <c r="BK734" s="100"/>
      <c r="BL734" s="100"/>
    </row>
    <row r="735" spans="1:64" ht="15">
      <c r="A735" s="5"/>
      <c r="B735" s="5"/>
      <c r="G735" s="5" t="str">
        <f ca="1">IFERROR(__xludf.DUMMYFUNCTION("IFERROR(VLOOKUP(F749,IMPORTRANGE(""https://docs.google.com/spreadsheets/d/1Kvs4KS76FHFqLFIZfrDMff4kP08nblUkihrxltoGBjg/edit#gid=934712705"",""ESENCIAL!A6:BG""),3,FALSE))"),"")</f>
        <v/>
      </c>
      <c r="H735" s="5" t="str">
        <f ca="1">IFERROR(__xludf.DUMMYFUNCTION("IFERROR(VLOOKUP(F749,IMPORTRANGE(""https://docs.google.com/spreadsheets/d/1Kvs4KS76FHFqLFIZfrDMff4kP08nblUkihrxltoGBjg/edit#gid=934712705"",""ESENCIAL!A6:BG""),8,FALSE))"),"")</f>
        <v/>
      </c>
      <c r="L735" s="287"/>
      <c r="U735" s="40"/>
      <c r="AU735" s="41" t="str">
        <f t="shared" si="20"/>
        <v/>
      </c>
      <c r="AV735" s="5" t="str">
        <f ca="1">IFERROR(__xludf.DUMMYFUNCTION("IFERROR(VLOOKUP(E749&amp;F749,IMPORTRANGE(""https://docs.google.com/spreadsheets/d/1Uw7-A9f9R21vMXxHZFNpYNeKFtG8_yji4HS352LGlSQ/edit?pli=1#gid=0"",""1_ACUM!A4:S""),11,FALSE))"),"")</f>
        <v/>
      </c>
      <c r="AW735" s="42" t="str">
        <f ca="1">IFERROR(__xludf.DUMMYFUNCTION("IFERROR(VLOOKUP(F749,IMPORTRANGE(""https://docs.google.com/spreadsheets/d/1Kvs4KS76FHFqLFIZfrDMff4kP08nblUkihrxltoGBjg/edit#gid=934712705"",""ESENCIAL!A6:BG""),15,FALSE))"),"")</f>
        <v/>
      </c>
      <c r="AX735" s="21" t="str">
        <f ca="1">IFERROR(__xludf.DUMMYFUNCTION("IFERROR(VLOOKUP(E749&amp;F749,IMPORTRANGE(""https://docs.google.com/spreadsheets/d/1Uw7-A9f9R21vMXxHZFNpYNeKFtG8_yji4HS352LGlSQ/edit?pli=1#gid=0"",""1_ACUM!A4:S""),12,FALSE))"),"")</f>
        <v/>
      </c>
      <c r="AY735" s="43" t="str">
        <f ca="1">IFERROR(__xludf.DUMMYFUNCTION("IFERROR(VLOOKUP(E749&amp;F749,IMPORTRANGE(""https://docs.google.com/spreadsheets/d/1Uw7-A9f9R21vMXxHZFNpYNeKFtG8_yji4HS352LGlSQ/edit?pli=1#gid=0"",""1_ACUM!A4:S""),13,FALSE))"),"")</f>
        <v/>
      </c>
      <c r="AZ735" s="43" t="str">
        <f ca="1">IFERROR(__xludf.DUMMYFUNCTION("IFERROR(VLOOKUP(E749&amp;F749,IMPORTRANGE(""https://docs.google.com/spreadsheets/d/1Uw7-A9f9R21vMXxHZFNpYNeKFtG8_yji4HS352LGlSQ/edit?pli=1#gid=0"",""1_ACUM!A4:S""),14,FALSE))"),"")</f>
        <v/>
      </c>
      <c r="BA735" s="43" t="str">
        <f ca="1">IFERROR(__xludf.DUMMYFUNCTION("IFERROR(VLOOKUP(E749&amp;F749,IMPORTRANGE(""https://docs.google.com/spreadsheets/d/1Uw7-A9f9R21vMXxHZFNpYNeKFtG8_yji4HS352LGlSQ/edit?pli=1#gid=0"",""1_ACUM!A4:S""),15,FALSE))"),"")</f>
        <v/>
      </c>
      <c r="BB735" s="43" t="str">
        <f ca="1">IFERROR(__xludf.DUMMYFUNCTION("IFERROR(VLOOKUP(E749&amp;F749,IMPORTRANGE(""https://docs.google.com/spreadsheets/d/1Uw7-A9f9R21vMXxHZFNpYNeKFtG8_yji4HS352LGlSQ/edit?pli=1#gid=0"",""1_ACUM!A4:S""),16,FALSE))"),"")</f>
        <v/>
      </c>
      <c r="BC735" s="43" t="str">
        <f ca="1">IFERROR(__xludf.DUMMYFUNCTION("IFERROR(VLOOKUP(E749&amp;F749,IMPORTRANGE(""https://docs.google.com/spreadsheets/d/1Uw7-A9f9R21vMXxHZFNpYNeKFtG8_yji4HS352LGlSQ/edit?pli=1#gid=0"",""1_ACUM!A4:S""),17,FALSE))"),"")</f>
        <v/>
      </c>
      <c r="BD735" s="44" t="str">
        <f ca="1">IFERROR(__xludf.DUMMYFUNCTION("IFERROR(VLOOKUP(E749&amp;F749,IMPORTRANGE(""https://docs.google.com/spreadsheets/d/1Uw7-A9f9R21vMXxHZFNpYNeKFtG8_yji4HS352LGlSQ/edit?pli=1#gid=0"",""1_ACUM!A4:S""),18,FALSE))"),"")</f>
        <v/>
      </c>
      <c r="BE735" s="44" t="str">
        <f ca="1">IFERROR(__xludf.DUMMYFUNCTION("IFERROR(VLOOKUP(E749&amp;F749,IMPORTRANGE(""https://docs.google.com/spreadsheets/d/1Uw7-A9f9R21vMXxHZFNpYNeKFtG8_yji4HS352LGlSQ/edit?pli=1#gid=0"",""1_ACUM!A4:S""),19,FALSE))"),"")</f>
        <v/>
      </c>
      <c r="BF735" s="98" t="str">
        <f ca="1">IFERROR(__xludf.DUMMYFUNCTION("IFERROR(VLOOKUP(F749,IMPORTRANGE(""https://docs.google.com/spreadsheets/d/1Kvs4KS76FHFqLFIZfrDMff4kP08nblUkihrxltoGBjg/edit#gid=934712705"",""ESENCIAL!A6:BG""),5,FALSE))"),"")</f>
        <v/>
      </c>
      <c r="BG735" s="98" t="str">
        <f t="shared" si="21"/>
        <v/>
      </c>
      <c r="BH735" s="99" t="str">
        <f t="shared" si="22"/>
        <v/>
      </c>
      <c r="BI735" s="100" t="str">
        <f ca="1">IFERROR(__xludf.DUMMYFUNCTION("IFERROR(VLOOKUP(F749,IMPORTRANGE(""https://docs.google.com/spreadsheets/d/1Kvs4KS76FHFqLFIZfrDMff4kP08nblUkihrxltoGBjg/edit#gid=934712705"",""ESENCIAL!A6:BG""),2,FALSE))"),"")</f>
        <v/>
      </c>
      <c r="BJ735" s="19" t="str">
        <f t="shared" si="23"/>
        <v/>
      </c>
      <c r="BK735" s="100"/>
      <c r="BL735" s="100"/>
    </row>
    <row r="736" spans="1:64" ht="15">
      <c r="A736" s="5"/>
      <c r="B736" s="5"/>
      <c r="G736" s="5" t="str">
        <f ca="1">IFERROR(__xludf.DUMMYFUNCTION("IFERROR(VLOOKUP(F750,IMPORTRANGE(""https://docs.google.com/spreadsheets/d/1Kvs4KS76FHFqLFIZfrDMff4kP08nblUkihrxltoGBjg/edit#gid=934712705"",""ESENCIAL!A6:BG""),3,FALSE))"),"")</f>
        <v/>
      </c>
      <c r="H736" s="5" t="str">
        <f ca="1">IFERROR(__xludf.DUMMYFUNCTION("IFERROR(VLOOKUP(F750,IMPORTRANGE(""https://docs.google.com/spreadsheets/d/1Kvs4KS76FHFqLFIZfrDMff4kP08nblUkihrxltoGBjg/edit#gid=934712705"",""ESENCIAL!A6:BG""),8,FALSE))"),"")</f>
        <v/>
      </c>
      <c r="L736" s="287"/>
      <c r="U736" s="40"/>
      <c r="AU736" s="41" t="str">
        <f t="shared" si="20"/>
        <v/>
      </c>
      <c r="AV736" s="5" t="str">
        <f ca="1">IFERROR(__xludf.DUMMYFUNCTION("IFERROR(VLOOKUP(E750&amp;F750,IMPORTRANGE(""https://docs.google.com/spreadsheets/d/1Uw7-A9f9R21vMXxHZFNpYNeKFtG8_yji4HS352LGlSQ/edit?pli=1#gid=0"",""1_ACUM!A4:S""),11,FALSE))"),"")</f>
        <v/>
      </c>
      <c r="AW736" s="42" t="str">
        <f ca="1">IFERROR(__xludf.DUMMYFUNCTION("IFERROR(VLOOKUP(F750,IMPORTRANGE(""https://docs.google.com/spreadsheets/d/1Kvs4KS76FHFqLFIZfrDMff4kP08nblUkihrxltoGBjg/edit#gid=934712705"",""ESENCIAL!A6:BG""),15,FALSE))"),"")</f>
        <v/>
      </c>
      <c r="AX736" s="21" t="str">
        <f ca="1">IFERROR(__xludf.DUMMYFUNCTION("IFERROR(VLOOKUP(E750&amp;F750,IMPORTRANGE(""https://docs.google.com/spreadsheets/d/1Uw7-A9f9R21vMXxHZFNpYNeKFtG8_yji4HS352LGlSQ/edit?pli=1#gid=0"",""1_ACUM!A4:S""),12,FALSE))"),"")</f>
        <v/>
      </c>
      <c r="AY736" s="43" t="str">
        <f ca="1">IFERROR(__xludf.DUMMYFUNCTION("IFERROR(VLOOKUP(E750&amp;F750,IMPORTRANGE(""https://docs.google.com/spreadsheets/d/1Uw7-A9f9R21vMXxHZFNpYNeKFtG8_yji4HS352LGlSQ/edit?pli=1#gid=0"",""1_ACUM!A4:S""),13,FALSE))"),"")</f>
        <v/>
      </c>
      <c r="AZ736" s="43" t="str">
        <f ca="1">IFERROR(__xludf.DUMMYFUNCTION("IFERROR(VLOOKUP(E750&amp;F750,IMPORTRANGE(""https://docs.google.com/spreadsheets/d/1Uw7-A9f9R21vMXxHZFNpYNeKFtG8_yji4HS352LGlSQ/edit?pli=1#gid=0"",""1_ACUM!A4:S""),14,FALSE))"),"")</f>
        <v/>
      </c>
      <c r="BA736" s="43" t="str">
        <f ca="1">IFERROR(__xludf.DUMMYFUNCTION("IFERROR(VLOOKUP(E750&amp;F750,IMPORTRANGE(""https://docs.google.com/spreadsheets/d/1Uw7-A9f9R21vMXxHZFNpYNeKFtG8_yji4HS352LGlSQ/edit?pli=1#gid=0"",""1_ACUM!A4:S""),15,FALSE))"),"")</f>
        <v/>
      </c>
      <c r="BB736" s="43" t="str">
        <f ca="1">IFERROR(__xludf.DUMMYFUNCTION("IFERROR(VLOOKUP(E750&amp;F750,IMPORTRANGE(""https://docs.google.com/spreadsheets/d/1Uw7-A9f9R21vMXxHZFNpYNeKFtG8_yji4HS352LGlSQ/edit?pli=1#gid=0"",""1_ACUM!A4:S""),16,FALSE))"),"")</f>
        <v/>
      </c>
      <c r="BC736" s="43" t="str">
        <f ca="1">IFERROR(__xludf.DUMMYFUNCTION("IFERROR(VLOOKUP(E750&amp;F750,IMPORTRANGE(""https://docs.google.com/spreadsheets/d/1Uw7-A9f9R21vMXxHZFNpYNeKFtG8_yji4HS352LGlSQ/edit?pli=1#gid=0"",""1_ACUM!A4:S""),17,FALSE))"),"")</f>
        <v/>
      </c>
      <c r="BD736" s="44" t="str">
        <f ca="1">IFERROR(__xludf.DUMMYFUNCTION("IFERROR(VLOOKUP(E750&amp;F750,IMPORTRANGE(""https://docs.google.com/spreadsheets/d/1Uw7-A9f9R21vMXxHZFNpYNeKFtG8_yji4HS352LGlSQ/edit?pli=1#gid=0"",""1_ACUM!A4:S""),18,FALSE))"),"")</f>
        <v/>
      </c>
      <c r="BE736" s="44" t="str">
        <f ca="1">IFERROR(__xludf.DUMMYFUNCTION("IFERROR(VLOOKUP(E750&amp;F750,IMPORTRANGE(""https://docs.google.com/spreadsheets/d/1Uw7-A9f9R21vMXxHZFNpYNeKFtG8_yji4HS352LGlSQ/edit?pli=1#gid=0"",""1_ACUM!A4:S""),19,FALSE))"),"")</f>
        <v/>
      </c>
      <c r="BF736" s="98" t="str">
        <f ca="1">IFERROR(__xludf.DUMMYFUNCTION("IFERROR(VLOOKUP(F750,IMPORTRANGE(""https://docs.google.com/spreadsheets/d/1Kvs4KS76FHFqLFIZfrDMff4kP08nblUkihrxltoGBjg/edit#gid=934712705"",""ESENCIAL!A6:BG""),5,FALSE))"),"")</f>
        <v/>
      </c>
      <c r="BG736" s="98" t="str">
        <f t="shared" si="21"/>
        <v/>
      </c>
      <c r="BH736" s="99" t="str">
        <f t="shared" si="22"/>
        <v/>
      </c>
      <c r="BI736" s="100" t="str">
        <f ca="1">IFERROR(__xludf.DUMMYFUNCTION("IFERROR(VLOOKUP(F750,IMPORTRANGE(""https://docs.google.com/spreadsheets/d/1Kvs4KS76FHFqLFIZfrDMff4kP08nblUkihrxltoGBjg/edit#gid=934712705"",""ESENCIAL!A6:BG""),2,FALSE))"),"")</f>
        <v/>
      </c>
      <c r="BJ736" s="19" t="str">
        <f t="shared" si="23"/>
        <v/>
      </c>
      <c r="BK736" s="100"/>
      <c r="BL736" s="100"/>
    </row>
    <row r="737" spans="1:64" ht="15">
      <c r="A737" s="5"/>
      <c r="B737" s="5"/>
      <c r="G737" s="5" t="str">
        <f ca="1">IFERROR(__xludf.DUMMYFUNCTION("IFERROR(VLOOKUP(F751,IMPORTRANGE(""https://docs.google.com/spreadsheets/d/1Kvs4KS76FHFqLFIZfrDMff4kP08nblUkihrxltoGBjg/edit#gid=934712705"",""ESENCIAL!A6:BG""),3,FALSE))"),"")</f>
        <v/>
      </c>
      <c r="H737" s="5" t="str">
        <f ca="1">IFERROR(__xludf.DUMMYFUNCTION("IFERROR(VLOOKUP(F751,IMPORTRANGE(""https://docs.google.com/spreadsheets/d/1Kvs4KS76FHFqLFIZfrDMff4kP08nblUkihrxltoGBjg/edit#gid=934712705"",""ESENCIAL!A6:BG""),8,FALSE))"),"")</f>
        <v/>
      </c>
      <c r="L737" s="287"/>
      <c r="U737" s="40"/>
      <c r="AU737" s="41" t="str">
        <f t="shared" si="20"/>
        <v/>
      </c>
      <c r="AV737" s="5" t="str">
        <f ca="1">IFERROR(__xludf.DUMMYFUNCTION("IFERROR(VLOOKUP(E751&amp;F751,IMPORTRANGE(""https://docs.google.com/spreadsheets/d/1Uw7-A9f9R21vMXxHZFNpYNeKFtG8_yji4HS352LGlSQ/edit?pli=1#gid=0"",""1_ACUM!A4:S""),11,FALSE))"),"")</f>
        <v/>
      </c>
      <c r="AW737" s="42" t="str">
        <f ca="1">IFERROR(__xludf.DUMMYFUNCTION("IFERROR(VLOOKUP(F751,IMPORTRANGE(""https://docs.google.com/spreadsheets/d/1Kvs4KS76FHFqLFIZfrDMff4kP08nblUkihrxltoGBjg/edit#gid=934712705"",""ESENCIAL!A6:BG""),15,FALSE))"),"")</f>
        <v/>
      </c>
      <c r="AX737" s="21" t="str">
        <f ca="1">IFERROR(__xludf.DUMMYFUNCTION("IFERROR(VLOOKUP(E751&amp;F751,IMPORTRANGE(""https://docs.google.com/spreadsheets/d/1Uw7-A9f9R21vMXxHZFNpYNeKFtG8_yji4HS352LGlSQ/edit?pli=1#gid=0"",""1_ACUM!A4:S""),12,FALSE))"),"")</f>
        <v/>
      </c>
      <c r="AY737" s="43" t="str">
        <f ca="1">IFERROR(__xludf.DUMMYFUNCTION("IFERROR(VLOOKUP(E751&amp;F751,IMPORTRANGE(""https://docs.google.com/spreadsheets/d/1Uw7-A9f9R21vMXxHZFNpYNeKFtG8_yji4HS352LGlSQ/edit?pli=1#gid=0"",""1_ACUM!A4:S""),13,FALSE))"),"")</f>
        <v/>
      </c>
      <c r="AZ737" s="43" t="str">
        <f ca="1">IFERROR(__xludf.DUMMYFUNCTION("IFERROR(VLOOKUP(E751&amp;F751,IMPORTRANGE(""https://docs.google.com/spreadsheets/d/1Uw7-A9f9R21vMXxHZFNpYNeKFtG8_yji4HS352LGlSQ/edit?pli=1#gid=0"",""1_ACUM!A4:S""),14,FALSE))"),"")</f>
        <v/>
      </c>
      <c r="BA737" s="43" t="str">
        <f ca="1">IFERROR(__xludf.DUMMYFUNCTION("IFERROR(VLOOKUP(E751&amp;F751,IMPORTRANGE(""https://docs.google.com/spreadsheets/d/1Uw7-A9f9R21vMXxHZFNpYNeKFtG8_yji4HS352LGlSQ/edit?pli=1#gid=0"",""1_ACUM!A4:S""),15,FALSE))"),"")</f>
        <v/>
      </c>
      <c r="BB737" s="43" t="str">
        <f ca="1">IFERROR(__xludf.DUMMYFUNCTION("IFERROR(VLOOKUP(E751&amp;F751,IMPORTRANGE(""https://docs.google.com/spreadsheets/d/1Uw7-A9f9R21vMXxHZFNpYNeKFtG8_yji4HS352LGlSQ/edit?pli=1#gid=0"",""1_ACUM!A4:S""),16,FALSE))"),"")</f>
        <v/>
      </c>
      <c r="BC737" s="43" t="str">
        <f ca="1">IFERROR(__xludf.DUMMYFUNCTION("IFERROR(VLOOKUP(E751&amp;F751,IMPORTRANGE(""https://docs.google.com/spreadsheets/d/1Uw7-A9f9R21vMXxHZFNpYNeKFtG8_yji4HS352LGlSQ/edit?pli=1#gid=0"",""1_ACUM!A4:S""),17,FALSE))"),"")</f>
        <v/>
      </c>
      <c r="BD737" s="44" t="str">
        <f ca="1">IFERROR(__xludf.DUMMYFUNCTION("IFERROR(VLOOKUP(E751&amp;F751,IMPORTRANGE(""https://docs.google.com/spreadsheets/d/1Uw7-A9f9R21vMXxHZFNpYNeKFtG8_yji4HS352LGlSQ/edit?pli=1#gid=0"",""1_ACUM!A4:S""),18,FALSE))"),"")</f>
        <v/>
      </c>
      <c r="BE737" s="44" t="str">
        <f ca="1">IFERROR(__xludf.DUMMYFUNCTION("IFERROR(VLOOKUP(E751&amp;F751,IMPORTRANGE(""https://docs.google.com/spreadsheets/d/1Uw7-A9f9R21vMXxHZFNpYNeKFtG8_yji4HS352LGlSQ/edit?pli=1#gid=0"",""1_ACUM!A4:S""),19,FALSE))"),"")</f>
        <v/>
      </c>
      <c r="BF737" s="98" t="str">
        <f ca="1">IFERROR(__xludf.DUMMYFUNCTION("IFERROR(VLOOKUP(F751,IMPORTRANGE(""https://docs.google.com/spreadsheets/d/1Kvs4KS76FHFqLFIZfrDMff4kP08nblUkihrxltoGBjg/edit#gid=934712705"",""ESENCIAL!A6:BG""),5,FALSE))"),"")</f>
        <v/>
      </c>
      <c r="BG737" s="98" t="str">
        <f t="shared" si="21"/>
        <v/>
      </c>
      <c r="BH737" s="99" t="str">
        <f t="shared" si="22"/>
        <v/>
      </c>
      <c r="BI737" s="100" t="str">
        <f ca="1">IFERROR(__xludf.DUMMYFUNCTION("IFERROR(VLOOKUP(F751,IMPORTRANGE(""https://docs.google.com/spreadsheets/d/1Kvs4KS76FHFqLFIZfrDMff4kP08nblUkihrxltoGBjg/edit#gid=934712705"",""ESENCIAL!A6:BG""),2,FALSE))"),"")</f>
        <v/>
      </c>
      <c r="BJ737" s="19" t="str">
        <f t="shared" si="23"/>
        <v/>
      </c>
      <c r="BK737" s="100"/>
      <c r="BL737" s="100"/>
    </row>
    <row r="738" spans="1:64" ht="15">
      <c r="A738" s="5"/>
      <c r="B738" s="5"/>
      <c r="G738" s="5" t="str">
        <f ca="1">IFERROR(__xludf.DUMMYFUNCTION("IFERROR(VLOOKUP(F752,IMPORTRANGE(""https://docs.google.com/spreadsheets/d/1Kvs4KS76FHFqLFIZfrDMff4kP08nblUkihrxltoGBjg/edit#gid=934712705"",""ESENCIAL!A6:BG""),3,FALSE))"),"")</f>
        <v/>
      </c>
      <c r="H738" s="5" t="str">
        <f ca="1">IFERROR(__xludf.DUMMYFUNCTION("IFERROR(VLOOKUP(F752,IMPORTRANGE(""https://docs.google.com/spreadsheets/d/1Kvs4KS76FHFqLFIZfrDMff4kP08nblUkihrxltoGBjg/edit#gid=934712705"",""ESENCIAL!A6:BG""),8,FALSE))"),"")</f>
        <v/>
      </c>
      <c r="L738" s="287"/>
      <c r="U738" s="40"/>
      <c r="AU738" s="41" t="str">
        <f t="shared" si="20"/>
        <v/>
      </c>
      <c r="AV738" s="5" t="str">
        <f ca="1">IFERROR(__xludf.DUMMYFUNCTION("IFERROR(VLOOKUP(E752&amp;F752,IMPORTRANGE(""https://docs.google.com/spreadsheets/d/1Uw7-A9f9R21vMXxHZFNpYNeKFtG8_yji4HS352LGlSQ/edit?pli=1#gid=0"",""1_ACUM!A4:S""),11,FALSE))"),"")</f>
        <v/>
      </c>
      <c r="AW738" s="42" t="str">
        <f ca="1">IFERROR(__xludf.DUMMYFUNCTION("IFERROR(VLOOKUP(F752,IMPORTRANGE(""https://docs.google.com/spreadsheets/d/1Kvs4KS76FHFqLFIZfrDMff4kP08nblUkihrxltoGBjg/edit#gid=934712705"",""ESENCIAL!A6:BG""),15,FALSE))"),"")</f>
        <v/>
      </c>
      <c r="AX738" s="21" t="str">
        <f ca="1">IFERROR(__xludf.DUMMYFUNCTION("IFERROR(VLOOKUP(E752&amp;F752,IMPORTRANGE(""https://docs.google.com/spreadsheets/d/1Uw7-A9f9R21vMXxHZFNpYNeKFtG8_yji4HS352LGlSQ/edit?pli=1#gid=0"",""1_ACUM!A4:S""),12,FALSE))"),"")</f>
        <v/>
      </c>
      <c r="AY738" s="43" t="str">
        <f ca="1">IFERROR(__xludf.DUMMYFUNCTION("IFERROR(VLOOKUP(E752&amp;F752,IMPORTRANGE(""https://docs.google.com/spreadsheets/d/1Uw7-A9f9R21vMXxHZFNpYNeKFtG8_yji4HS352LGlSQ/edit?pli=1#gid=0"",""1_ACUM!A4:S""),13,FALSE))"),"")</f>
        <v/>
      </c>
      <c r="AZ738" s="43" t="str">
        <f ca="1">IFERROR(__xludf.DUMMYFUNCTION("IFERROR(VLOOKUP(E752&amp;F752,IMPORTRANGE(""https://docs.google.com/spreadsheets/d/1Uw7-A9f9R21vMXxHZFNpYNeKFtG8_yji4HS352LGlSQ/edit?pli=1#gid=0"",""1_ACUM!A4:S""),14,FALSE))"),"")</f>
        <v/>
      </c>
      <c r="BA738" s="43" t="str">
        <f ca="1">IFERROR(__xludf.DUMMYFUNCTION("IFERROR(VLOOKUP(E752&amp;F752,IMPORTRANGE(""https://docs.google.com/spreadsheets/d/1Uw7-A9f9R21vMXxHZFNpYNeKFtG8_yji4HS352LGlSQ/edit?pli=1#gid=0"",""1_ACUM!A4:S""),15,FALSE))"),"")</f>
        <v/>
      </c>
      <c r="BB738" s="43" t="str">
        <f ca="1">IFERROR(__xludf.DUMMYFUNCTION("IFERROR(VLOOKUP(E752&amp;F752,IMPORTRANGE(""https://docs.google.com/spreadsheets/d/1Uw7-A9f9R21vMXxHZFNpYNeKFtG8_yji4HS352LGlSQ/edit?pli=1#gid=0"",""1_ACUM!A4:S""),16,FALSE))"),"")</f>
        <v/>
      </c>
      <c r="BC738" s="43" t="str">
        <f ca="1">IFERROR(__xludf.DUMMYFUNCTION("IFERROR(VLOOKUP(E752&amp;F752,IMPORTRANGE(""https://docs.google.com/spreadsheets/d/1Uw7-A9f9R21vMXxHZFNpYNeKFtG8_yji4HS352LGlSQ/edit?pli=1#gid=0"",""1_ACUM!A4:S""),17,FALSE))"),"")</f>
        <v/>
      </c>
      <c r="BD738" s="44" t="str">
        <f ca="1">IFERROR(__xludf.DUMMYFUNCTION("IFERROR(VLOOKUP(E752&amp;F752,IMPORTRANGE(""https://docs.google.com/spreadsheets/d/1Uw7-A9f9R21vMXxHZFNpYNeKFtG8_yji4HS352LGlSQ/edit?pli=1#gid=0"",""1_ACUM!A4:S""),18,FALSE))"),"")</f>
        <v/>
      </c>
      <c r="BE738" s="44" t="str">
        <f ca="1">IFERROR(__xludf.DUMMYFUNCTION("IFERROR(VLOOKUP(E752&amp;F752,IMPORTRANGE(""https://docs.google.com/spreadsheets/d/1Uw7-A9f9R21vMXxHZFNpYNeKFtG8_yji4HS352LGlSQ/edit?pli=1#gid=0"",""1_ACUM!A4:S""),19,FALSE))"),"")</f>
        <v/>
      </c>
      <c r="BF738" s="98" t="str">
        <f ca="1">IFERROR(__xludf.DUMMYFUNCTION("IFERROR(VLOOKUP(F752,IMPORTRANGE(""https://docs.google.com/spreadsheets/d/1Kvs4KS76FHFqLFIZfrDMff4kP08nblUkihrxltoGBjg/edit#gid=934712705"",""ESENCIAL!A6:BG""),5,FALSE))"),"")</f>
        <v/>
      </c>
      <c r="BG738" s="98" t="str">
        <f t="shared" si="21"/>
        <v/>
      </c>
      <c r="BH738" s="99" t="str">
        <f t="shared" si="22"/>
        <v/>
      </c>
      <c r="BI738" s="100" t="str">
        <f ca="1">IFERROR(__xludf.DUMMYFUNCTION("IFERROR(VLOOKUP(F752,IMPORTRANGE(""https://docs.google.com/spreadsheets/d/1Kvs4KS76FHFqLFIZfrDMff4kP08nblUkihrxltoGBjg/edit#gid=934712705"",""ESENCIAL!A6:BG""),2,FALSE))"),"")</f>
        <v/>
      </c>
      <c r="BJ738" s="19" t="str">
        <f t="shared" si="23"/>
        <v/>
      </c>
      <c r="BK738" s="100"/>
      <c r="BL738" s="100"/>
    </row>
    <row r="739" spans="1:64" ht="15">
      <c r="A739" s="5"/>
      <c r="B739" s="5"/>
      <c r="G739" s="5" t="str">
        <f ca="1">IFERROR(__xludf.DUMMYFUNCTION("IFERROR(VLOOKUP(F753,IMPORTRANGE(""https://docs.google.com/spreadsheets/d/1Kvs4KS76FHFqLFIZfrDMff4kP08nblUkihrxltoGBjg/edit#gid=934712705"",""ESENCIAL!A6:BG""),3,FALSE))"),"")</f>
        <v/>
      </c>
      <c r="H739" s="5" t="str">
        <f ca="1">IFERROR(__xludf.DUMMYFUNCTION("IFERROR(VLOOKUP(F753,IMPORTRANGE(""https://docs.google.com/spreadsheets/d/1Kvs4KS76FHFqLFIZfrDMff4kP08nblUkihrxltoGBjg/edit#gid=934712705"",""ESENCIAL!A6:BG""),8,FALSE))"),"")</f>
        <v/>
      </c>
      <c r="L739" s="287"/>
      <c r="U739" s="40"/>
      <c r="AU739" s="41" t="str">
        <f t="shared" si="20"/>
        <v/>
      </c>
      <c r="AV739" s="5" t="str">
        <f ca="1">IFERROR(__xludf.DUMMYFUNCTION("IFERROR(VLOOKUP(E753&amp;F753,IMPORTRANGE(""https://docs.google.com/spreadsheets/d/1Uw7-A9f9R21vMXxHZFNpYNeKFtG8_yji4HS352LGlSQ/edit?pli=1#gid=0"",""1_ACUM!A4:S""),11,FALSE))"),"")</f>
        <v/>
      </c>
      <c r="AW739" s="42" t="str">
        <f ca="1">IFERROR(__xludf.DUMMYFUNCTION("IFERROR(VLOOKUP(F753,IMPORTRANGE(""https://docs.google.com/spreadsheets/d/1Kvs4KS76FHFqLFIZfrDMff4kP08nblUkihrxltoGBjg/edit#gid=934712705"",""ESENCIAL!A6:BG""),15,FALSE))"),"")</f>
        <v/>
      </c>
      <c r="AX739" s="21" t="str">
        <f ca="1">IFERROR(__xludf.DUMMYFUNCTION("IFERROR(VLOOKUP(E753&amp;F753,IMPORTRANGE(""https://docs.google.com/spreadsheets/d/1Uw7-A9f9R21vMXxHZFNpYNeKFtG8_yji4HS352LGlSQ/edit?pli=1#gid=0"",""1_ACUM!A4:S""),12,FALSE))"),"")</f>
        <v/>
      </c>
      <c r="AY739" s="43" t="str">
        <f ca="1">IFERROR(__xludf.DUMMYFUNCTION("IFERROR(VLOOKUP(E753&amp;F753,IMPORTRANGE(""https://docs.google.com/spreadsheets/d/1Uw7-A9f9R21vMXxHZFNpYNeKFtG8_yji4HS352LGlSQ/edit?pli=1#gid=0"",""1_ACUM!A4:S""),13,FALSE))"),"")</f>
        <v/>
      </c>
      <c r="AZ739" s="43" t="str">
        <f ca="1">IFERROR(__xludf.DUMMYFUNCTION("IFERROR(VLOOKUP(E753&amp;F753,IMPORTRANGE(""https://docs.google.com/spreadsheets/d/1Uw7-A9f9R21vMXxHZFNpYNeKFtG8_yji4HS352LGlSQ/edit?pli=1#gid=0"",""1_ACUM!A4:S""),14,FALSE))"),"")</f>
        <v/>
      </c>
      <c r="BA739" s="43" t="str">
        <f ca="1">IFERROR(__xludf.DUMMYFUNCTION("IFERROR(VLOOKUP(E753&amp;F753,IMPORTRANGE(""https://docs.google.com/spreadsheets/d/1Uw7-A9f9R21vMXxHZFNpYNeKFtG8_yji4HS352LGlSQ/edit?pli=1#gid=0"",""1_ACUM!A4:S""),15,FALSE))"),"")</f>
        <v/>
      </c>
      <c r="BB739" s="43" t="str">
        <f ca="1">IFERROR(__xludf.DUMMYFUNCTION("IFERROR(VLOOKUP(E753&amp;F753,IMPORTRANGE(""https://docs.google.com/spreadsheets/d/1Uw7-A9f9R21vMXxHZFNpYNeKFtG8_yji4HS352LGlSQ/edit?pli=1#gid=0"",""1_ACUM!A4:S""),16,FALSE))"),"")</f>
        <v/>
      </c>
      <c r="BC739" s="43" t="str">
        <f ca="1">IFERROR(__xludf.DUMMYFUNCTION("IFERROR(VLOOKUP(E753&amp;F753,IMPORTRANGE(""https://docs.google.com/spreadsheets/d/1Uw7-A9f9R21vMXxHZFNpYNeKFtG8_yji4HS352LGlSQ/edit?pli=1#gid=0"",""1_ACUM!A4:S""),17,FALSE))"),"")</f>
        <v/>
      </c>
      <c r="BD739" s="44" t="str">
        <f ca="1">IFERROR(__xludf.DUMMYFUNCTION("IFERROR(VLOOKUP(E753&amp;F753,IMPORTRANGE(""https://docs.google.com/spreadsheets/d/1Uw7-A9f9R21vMXxHZFNpYNeKFtG8_yji4HS352LGlSQ/edit?pli=1#gid=0"",""1_ACUM!A4:S""),18,FALSE))"),"")</f>
        <v/>
      </c>
      <c r="BE739" s="44" t="str">
        <f ca="1">IFERROR(__xludf.DUMMYFUNCTION("IFERROR(VLOOKUP(E753&amp;F753,IMPORTRANGE(""https://docs.google.com/spreadsheets/d/1Uw7-A9f9R21vMXxHZFNpYNeKFtG8_yji4HS352LGlSQ/edit?pli=1#gid=0"",""1_ACUM!A4:S""),19,FALSE))"),"")</f>
        <v/>
      </c>
      <c r="BF739" s="98" t="str">
        <f ca="1">IFERROR(__xludf.DUMMYFUNCTION("IFERROR(VLOOKUP(F753,IMPORTRANGE(""https://docs.google.com/spreadsheets/d/1Kvs4KS76FHFqLFIZfrDMff4kP08nblUkihrxltoGBjg/edit#gid=934712705"",""ESENCIAL!A6:BG""),5,FALSE))"),"")</f>
        <v/>
      </c>
      <c r="BG739" s="98" t="str">
        <f t="shared" si="21"/>
        <v/>
      </c>
      <c r="BH739" s="99" t="str">
        <f t="shared" si="22"/>
        <v/>
      </c>
      <c r="BI739" s="100" t="str">
        <f ca="1">IFERROR(__xludf.DUMMYFUNCTION("IFERROR(VLOOKUP(F753,IMPORTRANGE(""https://docs.google.com/spreadsheets/d/1Kvs4KS76FHFqLFIZfrDMff4kP08nblUkihrxltoGBjg/edit#gid=934712705"",""ESENCIAL!A6:BG""),2,FALSE))"),"")</f>
        <v/>
      </c>
      <c r="BJ739" s="19" t="str">
        <f t="shared" si="23"/>
        <v/>
      </c>
      <c r="BK739" s="100"/>
      <c r="BL739" s="100"/>
    </row>
    <row r="740" spans="1:64" ht="15">
      <c r="A740" s="5"/>
      <c r="B740" s="5"/>
      <c r="G740" s="5" t="str">
        <f ca="1">IFERROR(__xludf.DUMMYFUNCTION("IFERROR(VLOOKUP(F754,IMPORTRANGE(""https://docs.google.com/spreadsheets/d/1Kvs4KS76FHFqLFIZfrDMff4kP08nblUkihrxltoGBjg/edit#gid=934712705"",""ESENCIAL!A6:BG""),3,FALSE))"),"")</f>
        <v/>
      </c>
      <c r="H740" s="5" t="str">
        <f ca="1">IFERROR(__xludf.DUMMYFUNCTION("IFERROR(VLOOKUP(F754,IMPORTRANGE(""https://docs.google.com/spreadsheets/d/1Kvs4KS76FHFqLFIZfrDMff4kP08nblUkihrxltoGBjg/edit#gid=934712705"",""ESENCIAL!A6:BG""),8,FALSE))"),"")</f>
        <v/>
      </c>
      <c r="L740" s="287"/>
      <c r="U740" s="40"/>
      <c r="AU740" s="41" t="str">
        <f t="shared" si="20"/>
        <v/>
      </c>
      <c r="AV740" s="5" t="str">
        <f ca="1">IFERROR(__xludf.DUMMYFUNCTION("IFERROR(VLOOKUP(E754&amp;F754,IMPORTRANGE(""https://docs.google.com/spreadsheets/d/1Uw7-A9f9R21vMXxHZFNpYNeKFtG8_yji4HS352LGlSQ/edit?pli=1#gid=0"",""1_ACUM!A4:S""),11,FALSE))"),"")</f>
        <v/>
      </c>
      <c r="AW740" s="42" t="str">
        <f ca="1">IFERROR(__xludf.DUMMYFUNCTION("IFERROR(VLOOKUP(F754,IMPORTRANGE(""https://docs.google.com/spreadsheets/d/1Kvs4KS76FHFqLFIZfrDMff4kP08nblUkihrxltoGBjg/edit#gid=934712705"",""ESENCIAL!A6:BG""),15,FALSE))"),"")</f>
        <v/>
      </c>
      <c r="AX740" s="21" t="str">
        <f ca="1">IFERROR(__xludf.DUMMYFUNCTION("IFERROR(VLOOKUP(E754&amp;F754,IMPORTRANGE(""https://docs.google.com/spreadsheets/d/1Uw7-A9f9R21vMXxHZFNpYNeKFtG8_yji4HS352LGlSQ/edit?pli=1#gid=0"",""1_ACUM!A4:S""),12,FALSE))"),"")</f>
        <v/>
      </c>
      <c r="AY740" s="43" t="str">
        <f ca="1">IFERROR(__xludf.DUMMYFUNCTION("IFERROR(VLOOKUP(E754&amp;F754,IMPORTRANGE(""https://docs.google.com/spreadsheets/d/1Uw7-A9f9R21vMXxHZFNpYNeKFtG8_yji4HS352LGlSQ/edit?pli=1#gid=0"",""1_ACUM!A4:S""),13,FALSE))"),"")</f>
        <v/>
      </c>
      <c r="AZ740" s="43" t="str">
        <f ca="1">IFERROR(__xludf.DUMMYFUNCTION("IFERROR(VLOOKUP(E754&amp;F754,IMPORTRANGE(""https://docs.google.com/spreadsheets/d/1Uw7-A9f9R21vMXxHZFNpYNeKFtG8_yji4HS352LGlSQ/edit?pli=1#gid=0"",""1_ACUM!A4:S""),14,FALSE))"),"")</f>
        <v/>
      </c>
      <c r="BA740" s="43" t="str">
        <f ca="1">IFERROR(__xludf.DUMMYFUNCTION("IFERROR(VLOOKUP(E754&amp;F754,IMPORTRANGE(""https://docs.google.com/spreadsheets/d/1Uw7-A9f9R21vMXxHZFNpYNeKFtG8_yji4HS352LGlSQ/edit?pli=1#gid=0"",""1_ACUM!A4:S""),15,FALSE))"),"")</f>
        <v/>
      </c>
      <c r="BB740" s="43" t="str">
        <f ca="1">IFERROR(__xludf.DUMMYFUNCTION("IFERROR(VLOOKUP(E754&amp;F754,IMPORTRANGE(""https://docs.google.com/spreadsheets/d/1Uw7-A9f9R21vMXxHZFNpYNeKFtG8_yji4HS352LGlSQ/edit?pli=1#gid=0"",""1_ACUM!A4:S""),16,FALSE))"),"")</f>
        <v/>
      </c>
      <c r="BC740" s="43" t="str">
        <f ca="1">IFERROR(__xludf.DUMMYFUNCTION("IFERROR(VLOOKUP(E754&amp;F754,IMPORTRANGE(""https://docs.google.com/spreadsheets/d/1Uw7-A9f9R21vMXxHZFNpYNeKFtG8_yji4HS352LGlSQ/edit?pli=1#gid=0"",""1_ACUM!A4:S""),17,FALSE))"),"")</f>
        <v/>
      </c>
      <c r="BD740" s="44" t="str">
        <f ca="1">IFERROR(__xludf.DUMMYFUNCTION("IFERROR(VLOOKUP(E754&amp;F754,IMPORTRANGE(""https://docs.google.com/spreadsheets/d/1Uw7-A9f9R21vMXxHZFNpYNeKFtG8_yji4HS352LGlSQ/edit?pli=1#gid=0"",""1_ACUM!A4:S""),18,FALSE))"),"")</f>
        <v/>
      </c>
      <c r="BE740" s="44" t="str">
        <f ca="1">IFERROR(__xludf.DUMMYFUNCTION("IFERROR(VLOOKUP(E754&amp;F754,IMPORTRANGE(""https://docs.google.com/spreadsheets/d/1Uw7-A9f9R21vMXxHZFNpYNeKFtG8_yji4HS352LGlSQ/edit?pli=1#gid=0"",""1_ACUM!A4:S""),19,FALSE))"),"")</f>
        <v/>
      </c>
      <c r="BF740" s="98" t="str">
        <f ca="1">IFERROR(__xludf.DUMMYFUNCTION("IFERROR(VLOOKUP(F754,IMPORTRANGE(""https://docs.google.com/spreadsheets/d/1Kvs4KS76FHFqLFIZfrDMff4kP08nblUkihrxltoGBjg/edit#gid=934712705"",""ESENCIAL!A6:BG""),5,FALSE))"),"")</f>
        <v/>
      </c>
      <c r="BG740" s="98" t="str">
        <f t="shared" si="21"/>
        <v/>
      </c>
      <c r="BH740" s="99" t="str">
        <f t="shared" si="22"/>
        <v/>
      </c>
      <c r="BI740" s="100" t="str">
        <f ca="1">IFERROR(__xludf.DUMMYFUNCTION("IFERROR(VLOOKUP(F754,IMPORTRANGE(""https://docs.google.com/spreadsheets/d/1Kvs4KS76FHFqLFIZfrDMff4kP08nblUkihrxltoGBjg/edit#gid=934712705"",""ESENCIAL!A6:BG""),2,FALSE))"),"")</f>
        <v/>
      </c>
      <c r="BJ740" s="19" t="str">
        <f t="shared" si="23"/>
        <v/>
      </c>
      <c r="BK740" s="100"/>
      <c r="BL740" s="100"/>
    </row>
    <row r="741" spans="1:64" ht="15">
      <c r="A741" s="5"/>
      <c r="B741" s="5"/>
      <c r="G741" s="5" t="str">
        <f ca="1">IFERROR(__xludf.DUMMYFUNCTION("IFERROR(VLOOKUP(F755,IMPORTRANGE(""https://docs.google.com/spreadsheets/d/1Kvs4KS76FHFqLFIZfrDMff4kP08nblUkihrxltoGBjg/edit#gid=934712705"",""ESENCIAL!A6:BG""),3,FALSE))"),"")</f>
        <v/>
      </c>
      <c r="H741" s="5" t="str">
        <f ca="1">IFERROR(__xludf.DUMMYFUNCTION("IFERROR(VLOOKUP(F755,IMPORTRANGE(""https://docs.google.com/spreadsheets/d/1Kvs4KS76FHFqLFIZfrDMff4kP08nblUkihrxltoGBjg/edit#gid=934712705"",""ESENCIAL!A6:BG""),8,FALSE))"),"")</f>
        <v/>
      </c>
      <c r="L741" s="287"/>
      <c r="U741" s="40"/>
      <c r="AU741" s="41" t="str">
        <f t="shared" si="20"/>
        <v/>
      </c>
      <c r="AV741" s="5" t="str">
        <f ca="1">IFERROR(__xludf.DUMMYFUNCTION("IFERROR(VLOOKUP(E755&amp;F755,IMPORTRANGE(""https://docs.google.com/spreadsheets/d/1Uw7-A9f9R21vMXxHZFNpYNeKFtG8_yji4HS352LGlSQ/edit?pli=1#gid=0"",""1_ACUM!A4:S""),11,FALSE))"),"")</f>
        <v/>
      </c>
      <c r="AW741" s="42" t="str">
        <f ca="1">IFERROR(__xludf.DUMMYFUNCTION("IFERROR(VLOOKUP(F755,IMPORTRANGE(""https://docs.google.com/spreadsheets/d/1Kvs4KS76FHFqLFIZfrDMff4kP08nblUkihrxltoGBjg/edit#gid=934712705"",""ESENCIAL!A6:BG""),15,FALSE))"),"")</f>
        <v/>
      </c>
      <c r="AX741" s="21" t="str">
        <f ca="1">IFERROR(__xludf.DUMMYFUNCTION("IFERROR(VLOOKUP(E755&amp;F755,IMPORTRANGE(""https://docs.google.com/spreadsheets/d/1Uw7-A9f9R21vMXxHZFNpYNeKFtG8_yji4HS352LGlSQ/edit?pli=1#gid=0"",""1_ACUM!A4:S""),12,FALSE))"),"")</f>
        <v/>
      </c>
      <c r="AY741" s="43" t="str">
        <f ca="1">IFERROR(__xludf.DUMMYFUNCTION("IFERROR(VLOOKUP(E755&amp;F755,IMPORTRANGE(""https://docs.google.com/spreadsheets/d/1Uw7-A9f9R21vMXxHZFNpYNeKFtG8_yji4HS352LGlSQ/edit?pli=1#gid=0"",""1_ACUM!A4:S""),13,FALSE))"),"")</f>
        <v/>
      </c>
      <c r="AZ741" s="43" t="str">
        <f ca="1">IFERROR(__xludf.DUMMYFUNCTION("IFERROR(VLOOKUP(E755&amp;F755,IMPORTRANGE(""https://docs.google.com/spreadsheets/d/1Uw7-A9f9R21vMXxHZFNpYNeKFtG8_yji4HS352LGlSQ/edit?pli=1#gid=0"",""1_ACUM!A4:S""),14,FALSE))"),"")</f>
        <v/>
      </c>
      <c r="BA741" s="43" t="str">
        <f ca="1">IFERROR(__xludf.DUMMYFUNCTION("IFERROR(VLOOKUP(E755&amp;F755,IMPORTRANGE(""https://docs.google.com/spreadsheets/d/1Uw7-A9f9R21vMXxHZFNpYNeKFtG8_yji4HS352LGlSQ/edit?pli=1#gid=0"",""1_ACUM!A4:S""),15,FALSE))"),"")</f>
        <v/>
      </c>
      <c r="BB741" s="43" t="str">
        <f ca="1">IFERROR(__xludf.DUMMYFUNCTION("IFERROR(VLOOKUP(E755&amp;F755,IMPORTRANGE(""https://docs.google.com/spreadsheets/d/1Uw7-A9f9R21vMXxHZFNpYNeKFtG8_yji4HS352LGlSQ/edit?pli=1#gid=0"",""1_ACUM!A4:S""),16,FALSE))"),"")</f>
        <v/>
      </c>
      <c r="BC741" s="43" t="str">
        <f ca="1">IFERROR(__xludf.DUMMYFUNCTION("IFERROR(VLOOKUP(E755&amp;F755,IMPORTRANGE(""https://docs.google.com/spreadsheets/d/1Uw7-A9f9R21vMXxHZFNpYNeKFtG8_yji4HS352LGlSQ/edit?pli=1#gid=0"",""1_ACUM!A4:S""),17,FALSE))"),"")</f>
        <v/>
      </c>
      <c r="BD741" s="44" t="str">
        <f ca="1">IFERROR(__xludf.DUMMYFUNCTION("IFERROR(VLOOKUP(E755&amp;F755,IMPORTRANGE(""https://docs.google.com/spreadsheets/d/1Uw7-A9f9R21vMXxHZFNpYNeKFtG8_yji4HS352LGlSQ/edit?pli=1#gid=0"",""1_ACUM!A4:S""),18,FALSE))"),"")</f>
        <v/>
      </c>
      <c r="BE741" s="44" t="str">
        <f ca="1">IFERROR(__xludf.DUMMYFUNCTION("IFERROR(VLOOKUP(E755&amp;F755,IMPORTRANGE(""https://docs.google.com/spreadsheets/d/1Uw7-A9f9R21vMXxHZFNpYNeKFtG8_yji4HS352LGlSQ/edit?pli=1#gid=0"",""1_ACUM!A4:S""),19,FALSE))"),"")</f>
        <v/>
      </c>
      <c r="BF741" s="98" t="str">
        <f ca="1">IFERROR(__xludf.DUMMYFUNCTION("IFERROR(VLOOKUP(F755,IMPORTRANGE(""https://docs.google.com/spreadsheets/d/1Kvs4KS76FHFqLFIZfrDMff4kP08nblUkihrxltoGBjg/edit#gid=934712705"",""ESENCIAL!A6:BG""),5,FALSE))"),"")</f>
        <v/>
      </c>
      <c r="BG741" s="98" t="str">
        <f t="shared" si="21"/>
        <v/>
      </c>
      <c r="BH741" s="99" t="str">
        <f t="shared" si="22"/>
        <v/>
      </c>
      <c r="BI741" s="100" t="str">
        <f ca="1">IFERROR(__xludf.DUMMYFUNCTION("IFERROR(VLOOKUP(F755,IMPORTRANGE(""https://docs.google.com/spreadsheets/d/1Kvs4KS76FHFqLFIZfrDMff4kP08nblUkihrxltoGBjg/edit#gid=934712705"",""ESENCIAL!A6:BG""),2,FALSE))"),"")</f>
        <v/>
      </c>
      <c r="BJ741" s="19" t="str">
        <f t="shared" si="23"/>
        <v/>
      </c>
      <c r="BK741" s="100"/>
      <c r="BL741" s="100"/>
    </row>
    <row r="742" spans="1:64" ht="15">
      <c r="A742" s="5"/>
      <c r="B742" s="5"/>
      <c r="G742" s="5" t="str">
        <f ca="1">IFERROR(__xludf.DUMMYFUNCTION("IFERROR(VLOOKUP(F756,IMPORTRANGE(""https://docs.google.com/spreadsheets/d/1Kvs4KS76FHFqLFIZfrDMff4kP08nblUkihrxltoGBjg/edit#gid=934712705"",""ESENCIAL!A6:BG""),3,FALSE))"),"")</f>
        <v/>
      </c>
      <c r="H742" s="5" t="str">
        <f ca="1">IFERROR(__xludf.DUMMYFUNCTION("IFERROR(VLOOKUP(F756,IMPORTRANGE(""https://docs.google.com/spreadsheets/d/1Kvs4KS76FHFqLFIZfrDMff4kP08nblUkihrxltoGBjg/edit#gid=934712705"",""ESENCIAL!A6:BG""),8,FALSE))"),"")</f>
        <v/>
      </c>
      <c r="L742" s="287"/>
      <c r="U742" s="40"/>
      <c r="AU742" s="41" t="str">
        <f t="shared" si="20"/>
        <v/>
      </c>
      <c r="AV742" s="5" t="str">
        <f ca="1">IFERROR(__xludf.DUMMYFUNCTION("IFERROR(VLOOKUP(E756&amp;F756,IMPORTRANGE(""https://docs.google.com/spreadsheets/d/1Uw7-A9f9R21vMXxHZFNpYNeKFtG8_yji4HS352LGlSQ/edit?pli=1#gid=0"",""1_ACUM!A4:S""),11,FALSE))"),"")</f>
        <v/>
      </c>
      <c r="AW742" s="42" t="str">
        <f ca="1">IFERROR(__xludf.DUMMYFUNCTION("IFERROR(VLOOKUP(F756,IMPORTRANGE(""https://docs.google.com/spreadsheets/d/1Kvs4KS76FHFqLFIZfrDMff4kP08nblUkihrxltoGBjg/edit#gid=934712705"",""ESENCIAL!A6:BG""),15,FALSE))"),"")</f>
        <v/>
      </c>
      <c r="AX742" s="21" t="str">
        <f ca="1">IFERROR(__xludf.DUMMYFUNCTION("IFERROR(VLOOKUP(E756&amp;F756,IMPORTRANGE(""https://docs.google.com/spreadsheets/d/1Uw7-A9f9R21vMXxHZFNpYNeKFtG8_yji4HS352LGlSQ/edit?pli=1#gid=0"",""1_ACUM!A4:S""),12,FALSE))"),"")</f>
        <v/>
      </c>
      <c r="AY742" s="43" t="str">
        <f ca="1">IFERROR(__xludf.DUMMYFUNCTION("IFERROR(VLOOKUP(E756&amp;F756,IMPORTRANGE(""https://docs.google.com/spreadsheets/d/1Uw7-A9f9R21vMXxHZFNpYNeKFtG8_yji4HS352LGlSQ/edit?pli=1#gid=0"",""1_ACUM!A4:S""),13,FALSE))"),"")</f>
        <v/>
      </c>
      <c r="AZ742" s="43" t="str">
        <f ca="1">IFERROR(__xludf.DUMMYFUNCTION("IFERROR(VLOOKUP(E756&amp;F756,IMPORTRANGE(""https://docs.google.com/spreadsheets/d/1Uw7-A9f9R21vMXxHZFNpYNeKFtG8_yji4HS352LGlSQ/edit?pli=1#gid=0"",""1_ACUM!A4:S""),14,FALSE))"),"")</f>
        <v/>
      </c>
      <c r="BA742" s="43" t="str">
        <f ca="1">IFERROR(__xludf.DUMMYFUNCTION("IFERROR(VLOOKUP(E756&amp;F756,IMPORTRANGE(""https://docs.google.com/spreadsheets/d/1Uw7-A9f9R21vMXxHZFNpYNeKFtG8_yji4HS352LGlSQ/edit?pli=1#gid=0"",""1_ACUM!A4:S""),15,FALSE))"),"")</f>
        <v/>
      </c>
      <c r="BB742" s="43" t="str">
        <f ca="1">IFERROR(__xludf.DUMMYFUNCTION("IFERROR(VLOOKUP(E756&amp;F756,IMPORTRANGE(""https://docs.google.com/spreadsheets/d/1Uw7-A9f9R21vMXxHZFNpYNeKFtG8_yji4HS352LGlSQ/edit?pli=1#gid=0"",""1_ACUM!A4:S""),16,FALSE))"),"")</f>
        <v/>
      </c>
      <c r="BC742" s="43" t="str">
        <f ca="1">IFERROR(__xludf.DUMMYFUNCTION("IFERROR(VLOOKUP(E756&amp;F756,IMPORTRANGE(""https://docs.google.com/spreadsheets/d/1Uw7-A9f9R21vMXxHZFNpYNeKFtG8_yji4HS352LGlSQ/edit?pli=1#gid=0"",""1_ACUM!A4:S""),17,FALSE))"),"")</f>
        <v/>
      </c>
      <c r="BD742" s="44" t="str">
        <f ca="1">IFERROR(__xludf.DUMMYFUNCTION("IFERROR(VLOOKUP(E756&amp;F756,IMPORTRANGE(""https://docs.google.com/spreadsheets/d/1Uw7-A9f9R21vMXxHZFNpYNeKFtG8_yji4HS352LGlSQ/edit?pli=1#gid=0"",""1_ACUM!A4:S""),18,FALSE))"),"")</f>
        <v/>
      </c>
      <c r="BE742" s="44" t="str">
        <f ca="1">IFERROR(__xludf.DUMMYFUNCTION("IFERROR(VLOOKUP(E756&amp;F756,IMPORTRANGE(""https://docs.google.com/spreadsheets/d/1Uw7-A9f9R21vMXxHZFNpYNeKFtG8_yji4HS352LGlSQ/edit?pli=1#gid=0"",""1_ACUM!A4:S""),19,FALSE))"),"")</f>
        <v/>
      </c>
      <c r="BF742" s="98" t="str">
        <f ca="1">IFERROR(__xludf.DUMMYFUNCTION("IFERROR(VLOOKUP(F756,IMPORTRANGE(""https://docs.google.com/spreadsheets/d/1Kvs4KS76FHFqLFIZfrDMff4kP08nblUkihrxltoGBjg/edit#gid=934712705"",""ESENCIAL!A6:BG""),5,FALSE))"),"")</f>
        <v/>
      </c>
      <c r="BG742" s="98" t="str">
        <f t="shared" si="21"/>
        <v/>
      </c>
      <c r="BH742" s="99" t="str">
        <f t="shared" si="22"/>
        <v/>
      </c>
      <c r="BI742" s="100" t="str">
        <f ca="1">IFERROR(__xludf.DUMMYFUNCTION("IFERROR(VLOOKUP(F756,IMPORTRANGE(""https://docs.google.com/spreadsheets/d/1Kvs4KS76FHFqLFIZfrDMff4kP08nblUkihrxltoGBjg/edit#gid=934712705"",""ESENCIAL!A6:BG""),2,FALSE))"),"")</f>
        <v/>
      </c>
      <c r="BJ742" s="19" t="str">
        <f t="shared" si="23"/>
        <v/>
      </c>
      <c r="BK742" s="100"/>
      <c r="BL742" s="100"/>
    </row>
    <row r="743" spans="1:64" ht="15">
      <c r="A743" s="5"/>
      <c r="B743" s="5"/>
      <c r="G743" s="5" t="str">
        <f ca="1">IFERROR(__xludf.DUMMYFUNCTION("IFERROR(VLOOKUP(F757,IMPORTRANGE(""https://docs.google.com/spreadsheets/d/1Kvs4KS76FHFqLFIZfrDMff4kP08nblUkihrxltoGBjg/edit#gid=934712705"",""ESENCIAL!A6:BG""),3,FALSE))"),"")</f>
        <v/>
      </c>
      <c r="H743" s="5" t="str">
        <f ca="1">IFERROR(__xludf.DUMMYFUNCTION("IFERROR(VLOOKUP(F757,IMPORTRANGE(""https://docs.google.com/spreadsheets/d/1Kvs4KS76FHFqLFIZfrDMff4kP08nblUkihrxltoGBjg/edit#gid=934712705"",""ESENCIAL!A6:BG""),8,FALSE))"),"")</f>
        <v/>
      </c>
      <c r="L743" s="287"/>
      <c r="U743" s="40"/>
      <c r="AU743" s="41" t="str">
        <f t="shared" si="20"/>
        <v/>
      </c>
      <c r="AV743" s="5" t="str">
        <f ca="1">IFERROR(__xludf.DUMMYFUNCTION("IFERROR(VLOOKUP(E757&amp;F757,IMPORTRANGE(""https://docs.google.com/spreadsheets/d/1Uw7-A9f9R21vMXxHZFNpYNeKFtG8_yji4HS352LGlSQ/edit?pli=1#gid=0"",""1_ACUM!A4:S""),11,FALSE))"),"")</f>
        <v/>
      </c>
      <c r="AW743" s="42" t="str">
        <f ca="1">IFERROR(__xludf.DUMMYFUNCTION("IFERROR(VLOOKUP(F757,IMPORTRANGE(""https://docs.google.com/spreadsheets/d/1Kvs4KS76FHFqLFIZfrDMff4kP08nblUkihrxltoGBjg/edit#gid=934712705"",""ESENCIAL!A6:BG""),15,FALSE))"),"")</f>
        <v/>
      </c>
      <c r="AX743" s="21" t="str">
        <f ca="1">IFERROR(__xludf.DUMMYFUNCTION("IFERROR(VLOOKUP(E757&amp;F757,IMPORTRANGE(""https://docs.google.com/spreadsheets/d/1Uw7-A9f9R21vMXxHZFNpYNeKFtG8_yji4HS352LGlSQ/edit?pli=1#gid=0"",""1_ACUM!A4:S""),12,FALSE))"),"")</f>
        <v/>
      </c>
      <c r="AY743" s="43" t="str">
        <f ca="1">IFERROR(__xludf.DUMMYFUNCTION("IFERROR(VLOOKUP(E757&amp;F757,IMPORTRANGE(""https://docs.google.com/spreadsheets/d/1Uw7-A9f9R21vMXxHZFNpYNeKFtG8_yji4HS352LGlSQ/edit?pli=1#gid=0"",""1_ACUM!A4:S""),13,FALSE))"),"")</f>
        <v/>
      </c>
      <c r="AZ743" s="43" t="str">
        <f ca="1">IFERROR(__xludf.DUMMYFUNCTION("IFERROR(VLOOKUP(E757&amp;F757,IMPORTRANGE(""https://docs.google.com/spreadsheets/d/1Uw7-A9f9R21vMXxHZFNpYNeKFtG8_yji4HS352LGlSQ/edit?pli=1#gid=0"",""1_ACUM!A4:S""),14,FALSE))"),"")</f>
        <v/>
      </c>
      <c r="BA743" s="43" t="str">
        <f ca="1">IFERROR(__xludf.DUMMYFUNCTION("IFERROR(VLOOKUP(E757&amp;F757,IMPORTRANGE(""https://docs.google.com/spreadsheets/d/1Uw7-A9f9R21vMXxHZFNpYNeKFtG8_yji4HS352LGlSQ/edit?pli=1#gid=0"",""1_ACUM!A4:S""),15,FALSE))"),"")</f>
        <v/>
      </c>
      <c r="BB743" s="43" t="str">
        <f ca="1">IFERROR(__xludf.DUMMYFUNCTION("IFERROR(VLOOKUP(E757&amp;F757,IMPORTRANGE(""https://docs.google.com/spreadsheets/d/1Uw7-A9f9R21vMXxHZFNpYNeKFtG8_yji4HS352LGlSQ/edit?pli=1#gid=0"",""1_ACUM!A4:S""),16,FALSE))"),"")</f>
        <v/>
      </c>
      <c r="BC743" s="43" t="str">
        <f ca="1">IFERROR(__xludf.DUMMYFUNCTION("IFERROR(VLOOKUP(E757&amp;F757,IMPORTRANGE(""https://docs.google.com/spreadsheets/d/1Uw7-A9f9R21vMXxHZFNpYNeKFtG8_yji4HS352LGlSQ/edit?pli=1#gid=0"",""1_ACUM!A4:S""),17,FALSE))"),"")</f>
        <v/>
      </c>
      <c r="BD743" s="44" t="str">
        <f ca="1">IFERROR(__xludf.DUMMYFUNCTION("IFERROR(VLOOKUP(E757&amp;F757,IMPORTRANGE(""https://docs.google.com/spreadsheets/d/1Uw7-A9f9R21vMXxHZFNpYNeKFtG8_yji4HS352LGlSQ/edit?pli=1#gid=0"",""1_ACUM!A4:S""),18,FALSE))"),"")</f>
        <v/>
      </c>
      <c r="BE743" s="44" t="str">
        <f ca="1">IFERROR(__xludf.DUMMYFUNCTION("IFERROR(VLOOKUP(E757&amp;F757,IMPORTRANGE(""https://docs.google.com/spreadsheets/d/1Uw7-A9f9R21vMXxHZFNpYNeKFtG8_yji4HS352LGlSQ/edit?pli=1#gid=0"",""1_ACUM!A4:S""),19,FALSE))"),"")</f>
        <v/>
      </c>
      <c r="BF743" s="98" t="str">
        <f ca="1">IFERROR(__xludf.DUMMYFUNCTION("IFERROR(VLOOKUP(F757,IMPORTRANGE(""https://docs.google.com/spreadsheets/d/1Kvs4KS76FHFqLFIZfrDMff4kP08nblUkihrxltoGBjg/edit#gid=934712705"",""ESENCIAL!A6:BG""),5,FALSE))"),"")</f>
        <v/>
      </c>
      <c r="BG743" s="98" t="str">
        <f t="shared" si="21"/>
        <v/>
      </c>
      <c r="BH743" s="99" t="str">
        <f t="shared" si="22"/>
        <v/>
      </c>
      <c r="BI743" s="100" t="str">
        <f ca="1">IFERROR(__xludf.DUMMYFUNCTION("IFERROR(VLOOKUP(F757,IMPORTRANGE(""https://docs.google.com/spreadsheets/d/1Kvs4KS76FHFqLFIZfrDMff4kP08nblUkihrxltoGBjg/edit#gid=934712705"",""ESENCIAL!A6:BG""),2,FALSE))"),"")</f>
        <v/>
      </c>
      <c r="BJ743" s="19" t="str">
        <f t="shared" si="23"/>
        <v/>
      </c>
      <c r="BK743" s="100"/>
      <c r="BL743" s="100"/>
    </row>
    <row r="744" spans="1:64" ht="15">
      <c r="A744" s="5"/>
      <c r="B744" s="5"/>
      <c r="G744" s="5" t="str">
        <f ca="1">IFERROR(__xludf.DUMMYFUNCTION("IFERROR(VLOOKUP(F758,IMPORTRANGE(""https://docs.google.com/spreadsheets/d/1Kvs4KS76FHFqLFIZfrDMff4kP08nblUkihrxltoGBjg/edit#gid=934712705"",""ESENCIAL!A6:BG""),3,FALSE))"),"")</f>
        <v/>
      </c>
      <c r="H744" s="5" t="str">
        <f ca="1">IFERROR(__xludf.DUMMYFUNCTION("IFERROR(VLOOKUP(F758,IMPORTRANGE(""https://docs.google.com/spreadsheets/d/1Kvs4KS76FHFqLFIZfrDMff4kP08nblUkihrxltoGBjg/edit#gid=934712705"",""ESENCIAL!A6:BG""),8,FALSE))"),"")</f>
        <v/>
      </c>
      <c r="L744" s="287"/>
      <c r="U744" s="40"/>
      <c r="AU744" s="41" t="str">
        <f t="shared" si="20"/>
        <v/>
      </c>
      <c r="AV744" s="5" t="str">
        <f ca="1">IFERROR(__xludf.DUMMYFUNCTION("IFERROR(VLOOKUP(E758&amp;F758,IMPORTRANGE(""https://docs.google.com/spreadsheets/d/1Uw7-A9f9R21vMXxHZFNpYNeKFtG8_yji4HS352LGlSQ/edit?pli=1#gid=0"",""1_ACUM!A4:S""),11,FALSE))"),"")</f>
        <v/>
      </c>
      <c r="AW744" s="42" t="str">
        <f ca="1">IFERROR(__xludf.DUMMYFUNCTION("IFERROR(VLOOKUP(F758,IMPORTRANGE(""https://docs.google.com/spreadsheets/d/1Kvs4KS76FHFqLFIZfrDMff4kP08nblUkihrxltoGBjg/edit#gid=934712705"",""ESENCIAL!A6:BG""),15,FALSE))"),"")</f>
        <v/>
      </c>
      <c r="AX744" s="21" t="str">
        <f ca="1">IFERROR(__xludf.DUMMYFUNCTION("IFERROR(VLOOKUP(E758&amp;F758,IMPORTRANGE(""https://docs.google.com/spreadsheets/d/1Uw7-A9f9R21vMXxHZFNpYNeKFtG8_yji4HS352LGlSQ/edit?pli=1#gid=0"",""1_ACUM!A4:S""),12,FALSE))"),"")</f>
        <v/>
      </c>
      <c r="AY744" s="43" t="str">
        <f ca="1">IFERROR(__xludf.DUMMYFUNCTION("IFERROR(VLOOKUP(E758&amp;F758,IMPORTRANGE(""https://docs.google.com/spreadsheets/d/1Uw7-A9f9R21vMXxHZFNpYNeKFtG8_yji4HS352LGlSQ/edit?pli=1#gid=0"",""1_ACUM!A4:S""),13,FALSE))"),"")</f>
        <v/>
      </c>
      <c r="AZ744" s="43" t="str">
        <f ca="1">IFERROR(__xludf.DUMMYFUNCTION("IFERROR(VLOOKUP(E758&amp;F758,IMPORTRANGE(""https://docs.google.com/spreadsheets/d/1Uw7-A9f9R21vMXxHZFNpYNeKFtG8_yji4HS352LGlSQ/edit?pli=1#gid=0"",""1_ACUM!A4:S""),14,FALSE))"),"")</f>
        <v/>
      </c>
      <c r="BA744" s="43" t="str">
        <f ca="1">IFERROR(__xludf.DUMMYFUNCTION("IFERROR(VLOOKUP(E758&amp;F758,IMPORTRANGE(""https://docs.google.com/spreadsheets/d/1Uw7-A9f9R21vMXxHZFNpYNeKFtG8_yji4HS352LGlSQ/edit?pli=1#gid=0"",""1_ACUM!A4:S""),15,FALSE))"),"")</f>
        <v/>
      </c>
      <c r="BB744" s="43" t="str">
        <f ca="1">IFERROR(__xludf.DUMMYFUNCTION("IFERROR(VLOOKUP(E758&amp;F758,IMPORTRANGE(""https://docs.google.com/spreadsheets/d/1Uw7-A9f9R21vMXxHZFNpYNeKFtG8_yji4HS352LGlSQ/edit?pli=1#gid=0"",""1_ACUM!A4:S""),16,FALSE))"),"")</f>
        <v/>
      </c>
      <c r="BC744" s="43" t="str">
        <f ca="1">IFERROR(__xludf.DUMMYFUNCTION("IFERROR(VLOOKUP(E758&amp;F758,IMPORTRANGE(""https://docs.google.com/spreadsheets/d/1Uw7-A9f9R21vMXxHZFNpYNeKFtG8_yji4HS352LGlSQ/edit?pli=1#gid=0"",""1_ACUM!A4:S""),17,FALSE))"),"")</f>
        <v/>
      </c>
      <c r="BD744" s="44" t="str">
        <f ca="1">IFERROR(__xludf.DUMMYFUNCTION("IFERROR(VLOOKUP(E758&amp;F758,IMPORTRANGE(""https://docs.google.com/spreadsheets/d/1Uw7-A9f9R21vMXxHZFNpYNeKFtG8_yji4HS352LGlSQ/edit?pli=1#gid=0"",""1_ACUM!A4:S""),18,FALSE))"),"")</f>
        <v/>
      </c>
      <c r="BE744" s="44" t="str">
        <f ca="1">IFERROR(__xludf.DUMMYFUNCTION("IFERROR(VLOOKUP(E758&amp;F758,IMPORTRANGE(""https://docs.google.com/spreadsheets/d/1Uw7-A9f9R21vMXxHZFNpYNeKFtG8_yji4HS352LGlSQ/edit?pli=1#gid=0"",""1_ACUM!A4:S""),19,FALSE))"),"")</f>
        <v/>
      </c>
      <c r="BF744" s="98" t="str">
        <f ca="1">IFERROR(__xludf.DUMMYFUNCTION("IFERROR(VLOOKUP(F758,IMPORTRANGE(""https://docs.google.com/spreadsheets/d/1Kvs4KS76FHFqLFIZfrDMff4kP08nblUkihrxltoGBjg/edit#gid=934712705"",""ESENCIAL!A6:BG""),5,FALSE))"),"")</f>
        <v/>
      </c>
      <c r="BG744" s="98" t="str">
        <f t="shared" si="21"/>
        <v/>
      </c>
      <c r="BH744" s="99" t="str">
        <f t="shared" si="22"/>
        <v/>
      </c>
      <c r="BI744" s="100" t="str">
        <f ca="1">IFERROR(__xludf.DUMMYFUNCTION("IFERROR(VLOOKUP(F758,IMPORTRANGE(""https://docs.google.com/spreadsheets/d/1Kvs4KS76FHFqLFIZfrDMff4kP08nblUkihrxltoGBjg/edit#gid=934712705"",""ESENCIAL!A6:BG""),2,FALSE))"),"")</f>
        <v/>
      </c>
      <c r="BJ744" s="19" t="str">
        <f t="shared" si="23"/>
        <v/>
      </c>
      <c r="BK744" s="100"/>
      <c r="BL744" s="100"/>
    </row>
    <row r="745" spans="1:64" ht="15">
      <c r="A745" s="5"/>
      <c r="B745" s="5"/>
      <c r="G745" s="5" t="str">
        <f ca="1">IFERROR(__xludf.DUMMYFUNCTION("IFERROR(VLOOKUP(F759,IMPORTRANGE(""https://docs.google.com/spreadsheets/d/1Kvs4KS76FHFqLFIZfrDMff4kP08nblUkihrxltoGBjg/edit#gid=934712705"",""ESENCIAL!A6:BG""),3,FALSE))"),"")</f>
        <v/>
      </c>
      <c r="H745" s="5" t="str">
        <f ca="1">IFERROR(__xludf.DUMMYFUNCTION("IFERROR(VLOOKUP(F759,IMPORTRANGE(""https://docs.google.com/spreadsheets/d/1Kvs4KS76FHFqLFIZfrDMff4kP08nblUkihrxltoGBjg/edit#gid=934712705"",""ESENCIAL!A6:BG""),8,FALSE))"),"")</f>
        <v/>
      </c>
      <c r="L745" s="287"/>
      <c r="U745" s="40"/>
      <c r="AU745" s="41" t="str">
        <f t="shared" si="20"/>
        <v/>
      </c>
      <c r="AV745" s="5" t="str">
        <f ca="1">IFERROR(__xludf.DUMMYFUNCTION("IFERROR(VLOOKUP(E759&amp;F759,IMPORTRANGE(""https://docs.google.com/spreadsheets/d/1Uw7-A9f9R21vMXxHZFNpYNeKFtG8_yji4HS352LGlSQ/edit?pli=1#gid=0"",""1_ACUM!A4:S""),11,FALSE))"),"")</f>
        <v/>
      </c>
      <c r="AW745" s="42" t="str">
        <f ca="1">IFERROR(__xludf.DUMMYFUNCTION("IFERROR(VLOOKUP(F759,IMPORTRANGE(""https://docs.google.com/spreadsheets/d/1Kvs4KS76FHFqLFIZfrDMff4kP08nblUkihrxltoGBjg/edit#gid=934712705"",""ESENCIAL!A6:BG""),15,FALSE))"),"")</f>
        <v/>
      </c>
      <c r="AX745" s="21" t="str">
        <f ca="1">IFERROR(__xludf.DUMMYFUNCTION("IFERROR(VLOOKUP(E759&amp;F759,IMPORTRANGE(""https://docs.google.com/spreadsheets/d/1Uw7-A9f9R21vMXxHZFNpYNeKFtG8_yji4HS352LGlSQ/edit?pli=1#gid=0"",""1_ACUM!A4:S""),12,FALSE))"),"")</f>
        <v/>
      </c>
      <c r="AY745" s="43" t="str">
        <f ca="1">IFERROR(__xludf.DUMMYFUNCTION("IFERROR(VLOOKUP(E759&amp;F759,IMPORTRANGE(""https://docs.google.com/spreadsheets/d/1Uw7-A9f9R21vMXxHZFNpYNeKFtG8_yji4HS352LGlSQ/edit?pli=1#gid=0"",""1_ACUM!A4:S""),13,FALSE))"),"")</f>
        <v/>
      </c>
      <c r="AZ745" s="43" t="str">
        <f ca="1">IFERROR(__xludf.DUMMYFUNCTION("IFERROR(VLOOKUP(E759&amp;F759,IMPORTRANGE(""https://docs.google.com/spreadsheets/d/1Uw7-A9f9R21vMXxHZFNpYNeKFtG8_yji4HS352LGlSQ/edit?pli=1#gid=0"",""1_ACUM!A4:S""),14,FALSE))"),"")</f>
        <v/>
      </c>
      <c r="BA745" s="43" t="str">
        <f ca="1">IFERROR(__xludf.DUMMYFUNCTION("IFERROR(VLOOKUP(E759&amp;F759,IMPORTRANGE(""https://docs.google.com/spreadsheets/d/1Uw7-A9f9R21vMXxHZFNpYNeKFtG8_yji4HS352LGlSQ/edit?pli=1#gid=0"",""1_ACUM!A4:S""),15,FALSE))"),"")</f>
        <v/>
      </c>
      <c r="BB745" s="43" t="str">
        <f ca="1">IFERROR(__xludf.DUMMYFUNCTION("IFERROR(VLOOKUP(E759&amp;F759,IMPORTRANGE(""https://docs.google.com/spreadsheets/d/1Uw7-A9f9R21vMXxHZFNpYNeKFtG8_yji4HS352LGlSQ/edit?pli=1#gid=0"",""1_ACUM!A4:S""),16,FALSE))"),"")</f>
        <v/>
      </c>
      <c r="BC745" s="43" t="str">
        <f ca="1">IFERROR(__xludf.DUMMYFUNCTION("IFERROR(VLOOKUP(E759&amp;F759,IMPORTRANGE(""https://docs.google.com/spreadsheets/d/1Uw7-A9f9R21vMXxHZFNpYNeKFtG8_yji4HS352LGlSQ/edit?pli=1#gid=0"",""1_ACUM!A4:S""),17,FALSE))"),"")</f>
        <v/>
      </c>
      <c r="BD745" s="44" t="str">
        <f ca="1">IFERROR(__xludf.DUMMYFUNCTION("IFERROR(VLOOKUP(E759&amp;F759,IMPORTRANGE(""https://docs.google.com/spreadsheets/d/1Uw7-A9f9R21vMXxHZFNpYNeKFtG8_yji4HS352LGlSQ/edit?pli=1#gid=0"",""1_ACUM!A4:S""),18,FALSE))"),"")</f>
        <v/>
      </c>
      <c r="BE745" s="44" t="str">
        <f ca="1">IFERROR(__xludf.DUMMYFUNCTION("IFERROR(VLOOKUP(E759&amp;F759,IMPORTRANGE(""https://docs.google.com/spreadsheets/d/1Uw7-A9f9R21vMXxHZFNpYNeKFtG8_yji4HS352LGlSQ/edit?pli=1#gid=0"",""1_ACUM!A4:S""),19,FALSE))"),"")</f>
        <v/>
      </c>
      <c r="BF745" s="98" t="str">
        <f ca="1">IFERROR(__xludf.DUMMYFUNCTION("IFERROR(VLOOKUP(F759,IMPORTRANGE(""https://docs.google.com/spreadsheets/d/1Kvs4KS76FHFqLFIZfrDMff4kP08nblUkihrxltoGBjg/edit#gid=934712705"",""ESENCIAL!A6:BG""),5,FALSE))"),"")</f>
        <v/>
      </c>
      <c r="BG745" s="98" t="str">
        <f t="shared" si="21"/>
        <v/>
      </c>
      <c r="BH745" s="99" t="str">
        <f t="shared" si="22"/>
        <v/>
      </c>
      <c r="BI745" s="100" t="str">
        <f ca="1">IFERROR(__xludf.DUMMYFUNCTION("IFERROR(VLOOKUP(F759,IMPORTRANGE(""https://docs.google.com/spreadsheets/d/1Kvs4KS76FHFqLFIZfrDMff4kP08nblUkihrxltoGBjg/edit#gid=934712705"",""ESENCIAL!A6:BG""),2,FALSE))"),"")</f>
        <v/>
      </c>
      <c r="BJ745" s="19" t="str">
        <f t="shared" si="23"/>
        <v/>
      </c>
      <c r="BK745" s="100"/>
      <c r="BL745" s="100"/>
    </row>
    <row r="746" spans="1:64" ht="15">
      <c r="A746" s="5"/>
      <c r="B746" s="5"/>
      <c r="G746" s="5" t="str">
        <f ca="1">IFERROR(__xludf.DUMMYFUNCTION("IFERROR(VLOOKUP(F760,IMPORTRANGE(""https://docs.google.com/spreadsheets/d/1Kvs4KS76FHFqLFIZfrDMff4kP08nblUkihrxltoGBjg/edit#gid=934712705"",""ESENCIAL!A6:BG""),3,FALSE))"),"")</f>
        <v/>
      </c>
      <c r="H746" s="5" t="str">
        <f ca="1">IFERROR(__xludf.DUMMYFUNCTION("IFERROR(VLOOKUP(F760,IMPORTRANGE(""https://docs.google.com/spreadsheets/d/1Kvs4KS76FHFqLFIZfrDMff4kP08nblUkihrxltoGBjg/edit#gid=934712705"",""ESENCIAL!A6:BG""),8,FALSE))"),"")</f>
        <v/>
      </c>
      <c r="L746" s="287"/>
      <c r="U746" s="40"/>
      <c r="AU746" s="41" t="str">
        <f t="shared" si="20"/>
        <v/>
      </c>
      <c r="AV746" s="5" t="str">
        <f ca="1">IFERROR(__xludf.DUMMYFUNCTION("IFERROR(VLOOKUP(E760&amp;F760,IMPORTRANGE(""https://docs.google.com/spreadsheets/d/1Uw7-A9f9R21vMXxHZFNpYNeKFtG8_yji4HS352LGlSQ/edit?pli=1#gid=0"",""1_ACUM!A4:S""),11,FALSE))"),"")</f>
        <v/>
      </c>
      <c r="AW746" s="42" t="str">
        <f ca="1">IFERROR(__xludf.DUMMYFUNCTION("IFERROR(VLOOKUP(F760,IMPORTRANGE(""https://docs.google.com/spreadsheets/d/1Kvs4KS76FHFqLFIZfrDMff4kP08nblUkihrxltoGBjg/edit#gid=934712705"",""ESENCIAL!A6:BG""),15,FALSE))"),"")</f>
        <v/>
      </c>
      <c r="AX746" s="21" t="str">
        <f ca="1">IFERROR(__xludf.DUMMYFUNCTION("IFERROR(VLOOKUP(E760&amp;F760,IMPORTRANGE(""https://docs.google.com/spreadsheets/d/1Uw7-A9f9R21vMXxHZFNpYNeKFtG8_yji4HS352LGlSQ/edit?pli=1#gid=0"",""1_ACUM!A4:S""),12,FALSE))"),"")</f>
        <v/>
      </c>
      <c r="AY746" s="43" t="str">
        <f ca="1">IFERROR(__xludf.DUMMYFUNCTION("IFERROR(VLOOKUP(E760&amp;F760,IMPORTRANGE(""https://docs.google.com/spreadsheets/d/1Uw7-A9f9R21vMXxHZFNpYNeKFtG8_yji4HS352LGlSQ/edit?pli=1#gid=0"",""1_ACUM!A4:S""),13,FALSE))"),"")</f>
        <v/>
      </c>
      <c r="AZ746" s="43" t="str">
        <f ca="1">IFERROR(__xludf.DUMMYFUNCTION("IFERROR(VLOOKUP(E760&amp;F760,IMPORTRANGE(""https://docs.google.com/spreadsheets/d/1Uw7-A9f9R21vMXxHZFNpYNeKFtG8_yji4HS352LGlSQ/edit?pli=1#gid=0"",""1_ACUM!A4:S""),14,FALSE))"),"")</f>
        <v/>
      </c>
      <c r="BA746" s="43" t="str">
        <f ca="1">IFERROR(__xludf.DUMMYFUNCTION("IFERROR(VLOOKUP(E760&amp;F760,IMPORTRANGE(""https://docs.google.com/spreadsheets/d/1Uw7-A9f9R21vMXxHZFNpYNeKFtG8_yji4HS352LGlSQ/edit?pli=1#gid=0"",""1_ACUM!A4:S""),15,FALSE))"),"")</f>
        <v/>
      </c>
      <c r="BB746" s="43" t="str">
        <f ca="1">IFERROR(__xludf.DUMMYFUNCTION("IFERROR(VLOOKUP(E760&amp;F760,IMPORTRANGE(""https://docs.google.com/spreadsheets/d/1Uw7-A9f9R21vMXxHZFNpYNeKFtG8_yji4HS352LGlSQ/edit?pli=1#gid=0"",""1_ACUM!A4:S""),16,FALSE))"),"")</f>
        <v/>
      </c>
      <c r="BC746" s="43" t="str">
        <f ca="1">IFERROR(__xludf.DUMMYFUNCTION("IFERROR(VLOOKUP(E760&amp;F760,IMPORTRANGE(""https://docs.google.com/spreadsheets/d/1Uw7-A9f9R21vMXxHZFNpYNeKFtG8_yji4HS352LGlSQ/edit?pli=1#gid=0"",""1_ACUM!A4:S""),17,FALSE))"),"")</f>
        <v/>
      </c>
      <c r="BD746" s="44" t="str">
        <f ca="1">IFERROR(__xludf.DUMMYFUNCTION("IFERROR(VLOOKUP(E760&amp;F760,IMPORTRANGE(""https://docs.google.com/spreadsheets/d/1Uw7-A9f9R21vMXxHZFNpYNeKFtG8_yji4HS352LGlSQ/edit?pli=1#gid=0"",""1_ACUM!A4:S""),18,FALSE))"),"")</f>
        <v/>
      </c>
      <c r="BE746" s="44" t="str">
        <f ca="1">IFERROR(__xludf.DUMMYFUNCTION("IFERROR(VLOOKUP(E760&amp;F760,IMPORTRANGE(""https://docs.google.com/spreadsheets/d/1Uw7-A9f9R21vMXxHZFNpYNeKFtG8_yji4HS352LGlSQ/edit?pli=1#gid=0"",""1_ACUM!A4:S""),19,FALSE))"),"")</f>
        <v/>
      </c>
      <c r="BF746" s="98" t="str">
        <f ca="1">IFERROR(__xludf.DUMMYFUNCTION("IFERROR(VLOOKUP(F760,IMPORTRANGE(""https://docs.google.com/spreadsheets/d/1Kvs4KS76FHFqLFIZfrDMff4kP08nblUkihrxltoGBjg/edit#gid=934712705"",""ESENCIAL!A6:BG""),5,FALSE))"),"")</f>
        <v/>
      </c>
      <c r="BG746" s="98" t="str">
        <f t="shared" si="21"/>
        <v/>
      </c>
      <c r="BH746" s="99" t="str">
        <f t="shared" si="22"/>
        <v/>
      </c>
      <c r="BI746" s="100" t="str">
        <f ca="1">IFERROR(__xludf.DUMMYFUNCTION("IFERROR(VLOOKUP(F760,IMPORTRANGE(""https://docs.google.com/spreadsheets/d/1Kvs4KS76FHFqLFIZfrDMff4kP08nblUkihrxltoGBjg/edit#gid=934712705"",""ESENCIAL!A6:BG""),2,FALSE))"),"")</f>
        <v/>
      </c>
      <c r="BJ746" s="19" t="str">
        <f t="shared" si="23"/>
        <v/>
      </c>
      <c r="BK746" s="100"/>
      <c r="BL746" s="100"/>
    </row>
    <row r="747" spans="1:64" ht="15">
      <c r="A747" s="5"/>
      <c r="B747" s="5"/>
      <c r="G747" s="5" t="str">
        <f ca="1">IFERROR(__xludf.DUMMYFUNCTION("IFERROR(VLOOKUP(F761,IMPORTRANGE(""https://docs.google.com/spreadsheets/d/1Kvs4KS76FHFqLFIZfrDMff4kP08nblUkihrxltoGBjg/edit#gid=934712705"",""ESENCIAL!A6:BG""),3,FALSE))"),"")</f>
        <v/>
      </c>
      <c r="H747" s="5" t="str">
        <f ca="1">IFERROR(__xludf.DUMMYFUNCTION("IFERROR(VLOOKUP(F761,IMPORTRANGE(""https://docs.google.com/spreadsheets/d/1Kvs4KS76FHFqLFIZfrDMff4kP08nblUkihrxltoGBjg/edit#gid=934712705"",""ESENCIAL!A6:BG""),8,FALSE))"),"")</f>
        <v/>
      </c>
      <c r="L747" s="287"/>
      <c r="U747" s="40"/>
      <c r="AU747" s="41" t="str">
        <f t="shared" si="20"/>
        <v/>
      </c>
      <c r="AV747" s="5" t="str">
        <f ca="1">IFERROR(__xludf.DUMMYFUNCTION("IFERROR(VLOOKUP(E761&amp;F761,IMPORTRANGE(""https://docs.google.com/spreadsheets/d/1Uw7-A9f9R21vMXxHZFNpYNeKFtG8_yji4HS352LGlSQ/edit?pli=1#gid=0"",""1_ACUM!A4:S""),11,FALSE))"),"")</f>
        <v/>
      </c>
      <c r="AW747" s="42" t="str">
        <f ca="1">IFERROR(__xludf.DUMMYFUNCTION("IFERROR(VLOOKUP(F761,IMPORTRANGE(""https://docs.google.com/spreadsheets/d/1Kvs4KS76FHFqLFIZfrDMff4kP08nblUkihrxltoGBjg/edit#gid=934712705"",""ESENCIAL!A6:BG""),15,FALSE))"),"")</f>
        <v/>
      </c>
      <c r="AX747" s="21" t="str">
        <f ca="1">IFERROR(__xludf.DUMMYFUNCTION("IFERROR(VLOOKUP(E761&amp;F761,IMPORTRANGE(""https://docs.google.com/spreadsheets/d/1Uw7-A9f9R21vMXxHZFNpYNeKFtG8_yji4HS352LGlSQ/edit?pli=1#gid=0"",""1_ACUM!A4:S""),12,FALSE))"),"")</f>
        <v/>
      </c>
      <c r="AY747" s="43" t="str">
        <f ca="1">IFERROR(__xludf.DUMMYFUNCTION("IFERROR(VLOOKUP(E761&amp;F761,IMPORTRANGE(""https://docs.google.com/spreadsheets/d/1Uw7-A9f9R21vMXxHZFNpYNeKFtG8_yji4HS352LGlSQ/edit?pli=1#gid=0"",""1_ACUM!A4:S""),13,FALSE))"),"")</f>
        <v/>
      </c>
      <c r="AZ747" s="43" t="str">
        <f ca="1">IFERROR(__xludf.DUMMYFUNCTION("IFERROR(VLOOKUP(E761&amp;F761,IMPORTRANGE(""https://docs.google.com/spreadsheets/d/1Uw7-A9f9R21vMXxHZFNpYNeKFtG8_yji4HS352LGlSQ/edit?pli=1#gid=0"",""1_ACUM!A4:S""),14,FALSE))"),"")</f>
        <v/>
      </c>
      <c r="BA747" s="43" t="str">
        <f ca="1">IFERROR(__xludf.DUMMYFUNCTION("IFERROR(VLOOKUP(E761&amp;F761,IMPORTRANGE(""https://docs.google.com/spreadsheets/d/1Uw7-A9f9R21vMXxHZFNpYNeKFtG8_yji4HS352LGlSQ/edit?pli=1#gid=0"",""1_ACUM!A4:S""),15,FALSE))"),"")</f>
        <v/>
      </c>
      <c r="BB747" s="43" t="str">
        <f ca="1">IFERROR(__xludf.DUMMYFUNCTION("IFERROR(VLOOKUP(E761&amp;F761,IMPORTRANGE(""https://docs.google.com/spreadsheets/d/1Uw7-A9f9R21vMXxHZFNpYNeKFtG8_yji4HS352LGlSQ/edit?pli=1#gid=0"",""1_ACUM!A4:S""),16,FALSE))"),"")</f>
        <v/>
      </c>
      <c r="BC747" s="43" t="str">
        <f ca="1">IFERROR(__xludf.DUMMYFUNCTION("IFERROR(VLOOKUP(E761&amp;F761,IMPORTRANGE(""https://docs.google.com/spreadsheets/d/1Uw7-A9f9R21vMXxHZFNpYNeKFtG8_yji4HS352LGlSQ/edit?pli=1#gid=0"",""1_ACUM!A4:S""),17,FALSE))"),"")</f>
        <v/>
      </c>
      <c r="BD747" s="44" t="str">
        <f ca="1">IFERROR(__xludf.DUMMYFUNCTION("IFERROR(VLOOKUP(E761&amp;F761,IMPORTRANGE(""https://docs.google.com/spreadsheets/d/1Uw7-A9f9R21vMXxHZFNpYNeKFtG8_yji4HS352LGlSQ/edit?pli=1#gid=0"",""1_ACUM!A4:S""),18,FALSE))"),"")</f>
        <v/>
      </c>
      <c r="BE747" s="44" t="str">
        <f ca="1">IFERROR(__xludf.DUMMYFUNCTION("IFERROR(VLOOKUP(E761&amp;F761,IMPORTRANGE(""https://docs.google.com/spreadsheets/d/1Uw7-A9f9R21vMXxHZFNpYNeKFtG8_yji4HS352LGlSQ/edit?pli=1#gid=0"",""1_ACUM!A4:S""),19,FALSE))"),"")</f>
        <v/>
      </c>
      <c r="BF747" s="98" t="str">
        <f ca="1">IFERROR(__xludf.DUMMYFUNCTION("IFERROR(VLOOKUP(F761,IMPORTRANGE(""https://docs.google.com/spreadsheets/d/1Kvs4KS76FHFqLFIZfrDMff4kP08nblUkihrxltoGBjg/edit#gid=934712705"",""ESENCIAL!A6:BG""),5,FALSE))"),"")</f>
        <v/>
      </c>
      <c r="BG747" s="98" t="str">
        <f t="shared" si="21"/>
        <v/>
      </c>
      <c r="BH747" s="99" t="str">
        <f t="shared" si="22"/>
        <v/>
      </c>
      <c r="BI747" s="100" t="str">
        <f ca="1">IFERROR(__xludf.DUMMYFUNCTION("IFERROR(VLOOKUP(F761,IMPORTRANGE(""https://docs.google.com/spreadsheets/d/1Kvs4KS76FHFqLFIZfrDMff4kP08nblUkihrxltoGBjg/edit#gid=934712705"",""ESENCIAL!A6:BG""),2,FALSE))"),"")</f>
        <v/>
      </c>
      <c r="BJ747" s="19" t="str">
        <f t="shared" si="23"/>
        <v/>
      </c>
      <c r="BK747" s="100"/>
      <c r="BL747" s="100"/>
    </row>
    <row r="748" spans="1:64" ht="15">
      <c r="A748" s="5"/>
      <c r="B748" s="5"/>
      <c r="G748" s="5" t="str">
        <f ca="1">IFERROR(__xludf.DUMMYFUNCTION("IFERROR(VLOOKUP(F762,IMPORTRANGE(""https://docs.google.com/spreadsheets/d/1Kvs4KS76FHFqLFIZfrDMff4kP08nblUkihrxltoGBjg/edit#gid=934712705"",""ESENCIAL!A6:BG""),3,FALSE))"),"")</f>
        <v/>
      </c>
      <c r="H748" s="5" t="str">
        <f ca="1">IFERROR(__xludf.DUMMYFUNCTION("IFERROR(VLOOKUP(F762,IMPORTRANGE(""https://docs.google.com/spreadsheets/d/1Kvs4KS76FHFqLFIZfrDMff4kP08nblUkihrxltoGBjg/edit#gid=934712705"",""ESENCIAL!A6:BG""),8,FALSE))"),"")</f>
        <v/>
      </c>
      <c r="L748" s="287"/>
      <c r="U748" s="40"/>
      <c r="AU748" s="41" t="str">
        <f t="shared" si="20"/>
        <v/>
      </c>
      <c r="AV748" s="5" t="str">
        <f ca="1">IFERROR(__xludf.DUMMYFUNCTION("IFERROR(VLOOKUP(E762&amp;F762,IMPORTRANGE(""https://docs.google.com/spreadsheets/d/1Uw7-A9f9R21vMXxHZFNpYNeKFtG8_yji4HS352LGlSQ/edit?pli=1#gid=0"",""1_ACUM!A4:S""),11,FALSE))"),"")</f>
        <v/>
      </c>
      <c r="AW748" s="42" t="str">
        <f ca="1">IFERROR(__xludf.DUMMYFUNCTION("IFERROR(VLOOKUP(F762,IMPORTRANGE(""https://docs.google.com/spreadsheets/d/1Kvs4KS76FHFqLFIZfrDMff4kP08nblUkihrxltoGBjg/edit#gid=934712705"",""ESENCIAL!A6:BG""),15,FALSE))"),"")</f>
        <v/>
      </c>
      <c r="AX748" s="21" t="str">
        <f ca="1">IFERROR(__xludf.DUMMYFUNCTION("IFERROR(VLOOKUP(E762&amp;F762,IMPORTRANGE(""https://docs.google.com/spreadsheets/d/1Uw7-A9f9R21vMXxHZFNpYNeKFtG8_yji4HS352LGlSQ/edit?pli=1#gid=0"",""1_ACUM!A4:S""),12,FALSE))"),"")</f>
        <v/>
      </c>
      <c r="AY748" s="43" t="str">
        <f ca="1">IFERROR(__xludf.DUMMYFUNCTION("IFERROR(VLOOKUP(E762&amp;F762,IMPORTRANGE(""https://docs.google.com/spreadsheets/d/1Uw7-A9f9R21vMXxHZFNpYNeKFtG8_yji4HS352LGlSQ/edit?pli=1#gid=0"",""1_ACUM!A4:S""),13,FALSE))"),"")</f>
        <v/>
      </c>
      <c r="AZ748" s="43" t="str">
        <f ca="1">IFERROR(__xludf.DUMMYFUNCTION("IFERROR(VLOOKUP(E762&amp;F762,IMPORTRANGE(""https://docs.google.com/spreadsheets/d/1Uw7-A9f9R21vMXxHZFNpYNeKFtG8_yji4HS352LGlSQ/edit?pli=1#gid=0"",""1_ACUM!A4:S""),14,FALSE))"),"")</f>
        <v/>
      </c>
      <c r="BA748" s="43" t="str">
        <f ca="1">IFERROR(__xludf.DUMMYFUNCTION("IFERROR(VLOOKUP(E762&amp;F762,IMPORTRANGE(""https://docs.google.com/spreadsheets/d/1Uw7-A9f9R21vMXxHZFNpYNeKFtG8_yji4HS352LGlSQ/edit?pli=1#gid=0"",""1_ACUM!A4:S""),15,FALSE))"),"")</f>
        <v/>
      </c>
      <c r="BB748" s="43" t="str">
        <f ca="1">IFERROR(__xludf.DUMMYFUNCTION("IFERROR(VLOOKUP(E762&amp;F762,IMPORTRANGE(""https://docs.google.com/spreadsheets/d/1Uw7-A9f9R21vMXxHZFNpYNeKFtG8_yji4HS352LGlSQ/edit?pli=1#gid=0"",""1_ACUM!A4:S""),16,FALSE))"),"")</f>
        <v/>
      </c>
      <c r="BC748" s="43" t="str">
        <f ca="1">IFERROR(__xludf.DUMMYFUNCTION("IFERROR(VLOOKUP(E762&amp;F762,IMPORTRANGE(""https://docs.google.com/spreadsheets/d/1Uw7-A9f9R21vMXxHZFNpYNeKFtG8_yji4HS352LGlSQ/edit?pli=1#gid=0"",""1_ACUM!A4:S""),17,FALSE))"),"")</f>
        <v/>
      </c>
      <c r="BD748" s="44" t="str">
        <f ca="1">IFERROR(__xludf.DUMMYFUNCTION("IFERROR(VLOOKUP(E762&amp;F762,IMPORTRANGE(""https://docs.google.com/spreadsheets/d/1Uw7-A9f9R21vMXxHZFNpYNeKFtG8_yji4HS352LGlSQ/edit?pli=1#gid=0"",""1_ACUM!A4:S""),18,FALSE))"),"")</f>
        <v/>
      </c>
      <c r="BE748" s="44" t="str">
        <f ca="1">IFERROR(__xludf.DUMMYFUNCTION("IFERROR(VLOOKUP(E762&amp;F762,IMPORTRANGE(""https://docs.google.com/spreadsheets/d/1Uw7-A9f9R21vMXxHZFNpYNeKFtG8_yji4HS352LGlSQ/edit?pli=1#gid=0"",""1_ACUM!A4:S""),19,FALSE))"),"")</f>
        <v/>
      </c>
      <c r="BF748" s="98" t="str">
        <f ca="1">IFERROR(__xludf.DUMMYFUNCTION("IFERROR(VLOOKUP(F762,IMPORTRANGE(""https://docs.google.com/spreadsheets/d/1Kvs4KS76FHFqLFIZfrDMff4kP08nblUkihrxltoGBjg/edit#gid=934712705"",""ESENCIAL!A6:BG""),5,FALSE))"),"")</f>
        <v/>
      </c>
      <c r="BG748" s="98" t="str">
        <f t="shared" si="21"/>
        <v/>
      </c>
      <c r="BH748" s="99" t="str">
        <f t="shared" si="22"/>
        <v/>
      </c>
      <c r="BI748" s="100" t="str">
        <f ca="1">IFERROR(__xludf.DUMMYFUNCTION("IFERROR(VLOOKUP(F762,IMPORTRANGE(""https://docs.google.com/spreadsheets/d/1Kvs4KS76FHFqLFIZfrDMff4kP08nblUkihrxltoGBjg/edit#gid=934712705"",""ESENCIAL!A6:BG""),2,FALSE))"),"")</f>
        <v/>
      </c>
      <c r="BJ748" s="19" t="str">
        <f t="shared" si="23"/>
        <v/>
      </c>
      <c r="BK748" s="100"/>
      <c r="BL748" s="100"/>
    </row>
    <row r="749" spans="1:64" ht="15">
      <c r="A749" s="5"/>
      <c r="B749" s="5"/>
      <c r="G749" s="5" t="str">
        <f ca="1">IFERROR(__xludf.DUMMYFUNCTION("IFERROR(VLOOKUP(F763,IMPORTRANGE(""https://docs.google.com/spreadsheets/d/1Kvs4KS76FHFqLFIZfrDMff4kP08nblUkihrxltoGBjg/edit#gid=934712705"",""ESENCIAL!A6:BG""),3,FALSE))"),"")</f>
        <v/>
      </c>
      <c r="H749" s="5" t="str">
        <f ca="1">IFERROR(__xludf.DUMMYFUNCTION("IFERROR(VLOOKUP(F763,IMPORTRANGE(""https://docs.google.com/spreadsheets/d/1Kvs4KS76FHFqLFIZfrDMff4kP08nblUkihrxltoGBjg/edit#gid=934712705"",""ESENCIAL!A6:BG""),8,FALSE))"),"")</f>
        <v/>
      </c>
      <c r="L749" s="287"/>
      <c r="U749" s="40"/>
      <c r="AU749" s="41" t="str">
        <f t="shared" si="20"/>
        <v/>
      </c>
      <c r="AV749" s="5" t="str">
        <f ca="1">IFERROR(__xludf.DUMMYFUNCTION("IFERROR(VLOOKUP(E763&amp;F763,IMPORTRANGE(""https://docs.google.com/spreadsheets/d/1Uw7-A9f9R21vMXxHZFNpYNeKFtG8_yji4HS352LGlSQ/edit?pli=1#gid=0"",""1_ACUM!A4:S""),11,FALSE))"),"")</f>
        <v/>
      </c>
      <c r="AW749" s="42" t="str">
        <f ca="1">IFERROR(__xludf.DUMMYFUNCTION("IFERROR(VLOOKUP(F763,IMPORTRANGE(""https://docs.google.com/spreadsheets/d/1Kvs4KS76FHFqLFIZfrDMff4kP08nblUkihrxltoGBjg/edit#gid=934712705"",""ESENCIAL!A6:BG""),15,FALSE))"),"")</f>
        <v/>
      </c>
      <c r="AX749" s="21" t="str">
        <f ca="1">IFERROR(__xludf.DUMMYFUNCTION("IFERROR(VLOOKUP(E763&amp;F763,IMPORTRANGE(""https://docs.google.com/spreadsheets/d/1Uw7-A9f9R21vMXxHZFNpYNeKFtG8_yji4HS352LGlSQ/edit?pli=1#gid=0"",""1_ACUM!A4:S""),12,FALSE))"),"")</f>
        <v/>
      </c>
      <c r="AY749" s="43" t="str">
        <f ca="1">IFERROR(__xludf.DUMMYFUNCTION("IFERROR(VLOOKUP(E763&amp;F763,IMPORTRANGE(""https://docs.google.com/spreadsheets/d/1Uw7-A9f9R21vMXxHZFNpYNeKFtG8_yji4HS352LGlSQ/edit?pli=1#gid=0"",""1_ACUM!A4:S""),13,FALSE))"),"")</f>
        <v/>
      </c>
      <c r="AZ749" s="43" t="str">
        <f ca="1">IFERROR(__xludf.DUMMYFUNCTION("IFERROR(VLOOKUP(E763&amp;F763,IMPORTRANGE(""https://docs.google.com/spreadsheets/d/1Uw7-A9f9R21vMXxHZFNpYNeKFtG8_yji4HS352LGlSQ/edit?pli=1#gid=0"",""1_ACUM!A4:S""),14,FALSE))"),"")</f>
        <v/>
      </c>
      <c r="BA749" s="43" t="str">
        <f ca="1">IFERROR(__xludf.DUMMYFUNCTION("IFERROR(VLOOKUP(E763&amp;F763,IMPORTRANGE(""https://docs.google.com/spreadsheets/d/1Uw7-A9f9R21vMXxHZFNpYNeKFtG8_yji4HS352LGlSQ/edit?pli=1#gid=0"",""1_ACUM!A4:S""),15,FALSE))"),"")</f>
        <v/>
      </c>
      <c r="BB749" s="43" t="str">
        <f ca="1">IFERROR(__xludf.DUMMYFUNCTION("IFERROR(VLOOKUP(E763&amp;F763,IMPORTRANGE(""https://docs.google.com/spreadsheets/d/1Uw7-A9f9R21vMXxHZFNpYNeKFtG8_yji4HS352LGlSQ/edit?pli=1#gid=0"",""1_ACUM!A4:S""),16,FALSE))"),"")</f>
        <v/>
      </c>
      <c r="BC749" s="43" t="str">
        <f ca="1">IFERROR(__xludf.DUMMYFUNCTION("IFERROR(VLOOKUP(E763&amp;F763,IMPORTRANGE(""https://docs.google.com/spreadsheets/d/1Uw7-A9f9R21vMXxHZFNpYNeKFtG8_yji4HS352LGlSQ/edit?pli=1#gid=0"",""1_ACUM!A4:S""),17,FALSE))"),"")</f>
        <v/>
      </c>
      <c r="BD749" s="44" t="str">
        <f ca="1">IFERROR(__xludf.DUMMYFUNCTION("IFERROR(VLOOKUP(E763&amp;F763,IMPORTRANGE(""https://docs.google.com/spreadsheets/d/1Uw7-A9f9R21vMXxHZFNpYNeKFtG8_yji4HS352LGlSQ/edit?pli=1#gid=0"",""1_ACUM!A4:S""),18,FALSE))"),"")</f>
        <v/>
      </c>
      <c r="BE749" s="44" t="str">
        <f ca="1">IFERROR(__xludf.DUMMYFUNCTION("IFERROR(VLOOKUP(E763&amp;F763,IMPORTRANGE(""https://docs.google.com/spreadsheets/d/1Uw7-A9f9R21vMXxHZFNpYNeKFtG8_yji4HS352LGlSQ/edit?pli=1#gid=0"",""1_ACUM!A4:S""),19,FALSE))"),"")</f>
        <v/>
      </c>
      <c r="BF749" s="98" t="str">
        <f ca="1">IFERROR(__xludf.DUMMYFUNCTION("IFERROR(VLOOKUP(F763,IMPORTRANGE(""https://docs.google.com/spreadsheets/d/1Kvs4KS76FHFqLFIZfrDMff4kP08nblUkihrxltoGBjg/edit#gid=934712705"",""ESENCIAL!A6:BG""),5,FALSE))"),"")</f>
        <v/>
      </c>
      <c r="BG749" s="98" t="str">
        <f t="shared" si="21"/>
        <v/>
      </c>
      <c r="BH749" s="99" t="str">
        <f t="shared" si="22"/>
        <v/>
      </c>
      <c r="BI749" s="100" t="str">
        <f ca="1">IFERROR(__xludf.DUMMYFUNCTION("IFERROR(VLOOKUP(F763,IMPORTRANGE(""https://docs.google.com/spreadsheets/d/1Kvs4KS76FHFqLFIZfrDMff4kP08nblUkihrxltoGBjg/edit#gid=934712705"",""ESENCIAL!A6:BG""),2,FALSE))"),"")</f>
        <v/>
      </c>
      <c r="BJ749" s="19" t="str">
        <f t="shared" si="23"/>
        <v/>
      </c>
      <c r="BK749" s="100"/>
      <c r="BL749" s="100"/>
    </row>
    <row r="750" spans="1:64" ht="15">
      <c r="A750" s="5"/>
      <c r="B750" s="5"/>
      <c r="G750" s="5" t="str">
        <f ca="1">IFERROR(__xludf.DUMMYFUNCTION("IFERROR(VLOOKUP(F764,IMPORTRANGE(""https://docs.google.com/spreadsheets/d/1Kvs4KS76FHFqLFIZfrDMff4kP08nblUkihrxltoGBjg/edit#gid=934712705"",""ESENCIAL!A6:BG""),3,FALSE))"),"")</f>
        <v/>
      </c>
      <c r="H750" s="5" t="str">
        <f ca="1">IFERROR(__xludf.DUMMYFUNCTION("IFERROR(VLOOKUP(F764,IMPORTRANGE(""https://docs.google.com/spreadsheets/d/1Kvs4KS76FHFqLFIZfrDMff4kP08nblUkihrxltoGBjg/edit#gid=934712705"",""ESENCIAL!A6:BG""),8,FALSE))"),"")</f>
        <v/>
      </c>
      <c r="L750" s="287"/>
      <c r="U750" s="40"/>
      <c r="AU750" s="41" t="str">
        <f t="shared" si="20"/>
        <v/>
      </c>
      <c r="AV750" s="5" t="str">
        <f ca="1">IFERROR(__xludf.DUMMYFUNCTION("IFERROR(VLOOKUP(E764&amp;F764,IMPORTRANGE(""https://docs.google.com/spreadsheets/d/1Uw7-A9f9R21vMXxHZFNpYNeKFtG8_yji4HS352LGlSQ/edit?pli=1#gid=0"",""1_ACUM!A4:S""),11,FALSE))"),"")</f>
        <v/>
      </c>
      <c r="AW750" s="42" t="str">
        <f ca="1">IFERROR(__xludf.DUMMYFUNCTION("IFERROR(VLOOKUP(F764,IMPORTRANGE(""https://docs.google.com/spreadsheets/d/1Kvs4KS76FHFqLFIZfrDMff4kP08nblUkihrxltoGBjg/edit#gid=934712705"",""ESENCIAL!A6:BG""),15,FALSE))"),"")</f>
        <v/>
      </c>
      <c r="AX750" s="21" t="str">
        <f ca="1">IFERROR(__xludf.DUMMYFUNCTION("IFERROR(VLOOKUP(E764&amp;F764,IMPORTRANGE(""https://docs.google.com/spreadsheets/d/1Uw7-A9f9R21vMXxHZFNpYNeKFtG8_yji4HS352LGlSQ/edit?pli=1#gid=0"",""1_ACUM!A4:S""),12,FALSE))"),"")</f>
        <v/>
      </c>
      <c r="AY750" s="43" t="str">
        <f ca="1">IFERROR(__xludf.DUMMYFUNCTION("IFERROR(VLOOKUP(E764&amp;F764,IMPORTRANGE(""https://docs.google.com/spreadsheets/d/1Uw7-A9f9R21vMXxHZFNpYNeKFtG8_yji4HS352LGlSQ/edit?pli=1#gid=0"",""1_ACUM!A4:S""),13,FALSE))"),"")</f>
        <v/>
      </c>
      <c r="AZ750" s="43" t="str">
        <f ca="1">IFERROR(__xludf.DUMMYFUNCTION("IFERROR(VLOOKUP(E764&amp;F764,IMPORTRANGE(""https://docs.google.com/spreadsheets/d/1Uw7-A9f9R21vMXxHZFNpYNeKFtG8_yji4HS352LGlSQ/edit?pli=1#gid=0"",""1_ACUM!A4:S""),14,FALSE))"),"")</f>
        <v/>
      </c>
      <c r="BA750" s="43" t="str">
        <f ca="1">IFERROR(__xludf.DUMMYFUNCTION("IFERROR(VLOOKUP(E764&amp;F764,IMPORTRANGE(""https://docs.google.com/spreadsheets/d/1Uw7-A9f9R21vMXxHZFNpYNeKFtG8_yji4HS352LGlSQ/edit?pli=1#gid=0"",""1_ACUM!A4:S""),15,FALSE))"),"")</f>
        <v/>
      </c>
      <c r="BB750" s="43" t="str">
        <f ca="1">IFERROR(__xludf.DUMMYFUNCTION("IFERROR(VLOOKUP(E764&amp;F764,IMPORTRANGE(""https://docs.google.com/spreadsheets/d/1Uw7-A9f9R21vMXxHZFNpYNeKFtG8_yji4HS352LGlSQ/edit?pli=1#gid=0"",""1_ACUM!A4:S""),16,FALSE))"),"")</f>
        <v/>
      </c>
      <c r="BC750" s="43" t="str">
        <f ca="1">IFERROR(__xludf.DUMMYFUNCTION("IFERROR(VLOOKUP(E764&amp;F764,IMPORTRANGE(""https://docs.google.com/spreadsheets/d/1Uw7-A9f9R21vMXxHZFNpYNeKFtG8_yji4HS352LGlSQ/edit?pli=1#gid=0"",""1_ACUM!A4:S""),17,FALSE))"),"")</f>
        <v/>
      </c>
      <c r="BD750" s="44" t="str">
        <f ca="1">IFERROR(__xludf.DUMMYFUNCTION("IFERROR(VLOOKUP(E764&amp;F764,IMPORTRANGE(""https://docs.google.com/spreadsheets/d/1Uw7-A9f9R21vMXxHZFNpYNeKFtG8_yji4HS352LGlSQ/edit?pli=1#gid=0"",""1_ACUM!A4:S""),18,FALSE))"),"")</f>
        <v/>
      </c>
      <c r="BE750" s="44" t="str">
        <f ca="1">IFERROR(__xludf.DUMMYFUNCTION("IFERROR(VLOOKUP(E764&amp;F764,IMPORTRANGE(""https://docs.google.com/spreadsheets/d/1Uw7-A9f9R21vMXxHZFNpYNeKFtG8_yji4HS352LGlSQ/edit?pli=1#gid=0"",""1_ACUM!A4:S""),19,FALSE))"),"")</f>
        <v/>
      </c>
      <c r="BF750" s="98" t="str">
        <f ca="1">IFERROR(__xludf.DUMMYFUNCTION("IFERROR(VLOOKUP(F764,IMPORTRANGE(""https://docs.google.com/spreadsheets/d/1Kvs4KS76FHFqLFIZfrDMff4kP08nblUkihrxltoGBjg/edit#gid=934712705"",""ESENCIAL!A6:BG""),5,FALSE))"),"")</f>
        <v/>
      </c>
      <c r="BG750" s="98" t="str">
        <f t="shared" si="21"/>
        <v/>
      </c>
      <c r="BH750" s="99" t="str">
        <f t="shared" si="22"/>
        <v/>
      </c>
      <c r="BI750" s="100" t="str">
        <f ca="1">IFERROR(__xludf.DUMMYFUNCTION("IFERROR(VLOOKUP(F764,IMPORTRANGE(""https://docs.google.com/spreadsheets/d/1Kvs4KS76FHFqLFIZfrDMff4kP08nblUkihrxltoGBjg/edit#gid=934712705"",""ESENCIAL!A6:BG""),2,FALSE))"),"")</f>
        <v/>
      </c>
      <c r="BJ750" s="19" t="str">
        <f t="shared" si="23"/>
        <v/>
      </c>
      <c r="BK750" s="100"/>
      <c r="BL750" s="100"/>
    </row>
    <row r="751" spans="1:64" ht="15">
      <c r="A751" s="5"/>
      <c r="B751" s="5"/>
      <c r="G751" s="5" t="str">
        <f ca="1">IFERROR(__xludf.DUMMYFUNCTION("IFERROR(VLOOKUP(F765,IMPORTRANGE(""https://docs.google.com/spreadsheets/d/1Kvs4KS76FHFqLFIZfrDMff4kP08nblUkihrxltoGBjg/edit#gid=934712705"",""ESENCIAL!A6:BG""),3,FALSE))"),"")</f>
        <v/>
      </c>
      <c r="H751" s="5" t="str">
        <f ca="1">IFERROR(__xludf.DUMMYFUNCTION("IFERROR(VLOOKUP(F765,IMPORTRANGE(""https://docs.google.com/spreadsheets/d/1Kvs4KS76FHFqLFIZfrDMff4kP08nblUkihrxltoGBjg/edit#gid=934712705"",""ESENCIAL!A6:BG""),8,FALSE))"),"")</f>
        <v/>
      </c>
      <c r="L751" s="287"/>
      <c r="U751" s="40"/>
      <c r="AU751" s="41" t="str">
        <f t="shared" si="20"/>
        <v/>
      </c>
      <c r="AV751" s="5" t="str">
        <f ca="1">IFERROR(__xludf.DUMMYFUNCTION("IFERROR(VLOOKUP(E765&amp;F765,IMPORTRANGE(""https://docs.google.com/spreadsheets/d/1Uw7-A9f9R21vMXxHZFNpYNeKFtG8_yji4HS352LGlSQ/edit?pli=1#gid=0"",""1_ACUM!A4:S""),11,FALSE))"),"")</f>
        <v/>
      </c>
      <c r="AW751" s="42" t="str">
        <f ca="1">IFERROR(__xludf.DUMMYFUNCTION("IFERROR(VLOOKUP(F765,IMPORTRANGE(""https://docs.google.com/spreadsheets/d/1Kvs4KS76FHFqLFIZfrDMff4kP08nblUkihrxltoGBjg/edit#gid=934712705"",""ESENCIAL!A6:BG""),15,FALSE))"),"")</f>
        <v/>
      </c>
      <c r="AX751" s="21" t="str">
        <f ca="1">IFERROR(__xludf.DUMMYFUNCTION("IFERROR(VLOOKUP(E765&amp;F765,IMPORTRANGE(""https://docs.google.com/spreadsheets/d/1Uw7-A9f9R21vMXxHZFNpYNeKFtG8_yji4HS352LGlSQ/edit?pli=1#gid=0"",""1_ACUM!A4:S""),12,FALSE))"),"")</f>
        <v/>
      </c>
      <c r="AY751" s="43" t="str">
        <f ca="1">IFERROR(__xludf.DUMMYFUNCTION("IFERROR(VLOOKUP(E765&amp;F765,IMPORTRANGE(""https://docs.google.com/spreadsheets/d/1Uw7-A9f9R21vMXxHZFNpYNeKFtG8_yji4HS352LGlSQ/edit?pli=1#gid=0"",""1_ACUM!A4:S""),13,FALSE))"),"")</f>
        <v/>
      </c>
      <c r="AZ751" s="43" t="str">
        <f ca="1">IFERROR(__xludf.DUMMYFUNCTION("IFERROR(VLOOKUP(E765&amp;F765,IMPORTRANGE(""https://docs.google.com/spreadsheets/d/1Uw7-A9f9R21vMXxHZFNpYNeKFtG8_yji4HS352LGlSQ/edit?pli=1#gid=0"",""1_ACUM!A4:S""),14,FALSE))"),"")</f>
        <v/>
      </c>
      <c r="BA751" s="43" t="str">
        <f ca="1">IFERROR(__xludf.DUMMYFUNCTION("IFERROR(VLOOKUP(E765&amp;F765,IMPORTRANGE(""https://docs.google.com/spreadsheets/d/1Uw7-A9f9R21vMXxHZFNpYNeKFtG8_yji4HS352LGlSQ/edit?pli=1#gid=0"",""1_ACUM!A4:S""),15,FALSE))"),"")</f>
        <v/>
      </c>
      <c r="BB751" s="43" t="str">
        <f ca="1">IFERROR(__xludf.DUMMYFUNCTION("IFERROR(VLOOKUP(E765&amp;F765,IMPORTRANGE(""https://docs.google.com/spreadsheets/d/1Uw7-A9f9R21vMXxHZFNpYNeKFtG8_yji4HS352LGlSQ/edit?pli=1#gid=0"",""1_ACUM!A4:S""),16,FALSE))"),"")</f>
        <v/>
      </c>
      <c r="BC751" s="43" t="str">
        <f ca="1">IFERROR(__xludf.DUMMYFUNCTION("IFERROR(VLOOKUP(E765&amp;F765,IMPORTRANGE(""https://docs.google.com/spreadsheets/d/1Uw7-A9f9R21vMXxHZFNpYNeKFtG8_yji4HS352LGlSQ/edit?pli=1#gid=0"",""1_ACUM!A4:S""),17,FALSE))"),"")</f>
        <v/>
      </c>
      <c r="BD751" s="44" t="str">
        <f ca="1">IFERROR(__xludf.DUMMYFUNCTION("IFERROR(VLOOKUP(E765&amp;F765,IMPORTRANGE(""https://docs.google.com/spreadsheets/d/1Uw7-A9f9R21vMXxHZFNpYNeKFtG8_yji4HS352LGlSQ/edit?pli=1#gid=0"",""1_ACUM!A4:S""),18,FALSE))"),"")</f>
        <v/>
      </c>
      <c r="BE751" s="44" t="str">
        <f ca="1">IFERROR(__xludf.DUMMYFUNCTION("IFERROR(VLOOKUP(E765&amp;F765,IMPORTRANGE(""https://docs.google.com/spreadsheets/d/1Uw7-A9f9R21vMXxHZFNpYNeKFtG8_yji4HS352LGlSQ/edit?pli=1#gid=0"",""1_ACUM!A4:S""),19,FALSE))"),"")</f>
        <v/>
      </c>
      <c r="BF751" s="98" t="str">
        <f ca="1">IFERROR(__xludf.DUMMYFUNCTION("IFERROR(VLOOKUP(F765,IMPORTRANGE(""https://docs.google.com/spreadsheets/d/1Kvs4KS76FHFqLFIZfrDMff4kP08nblUkihrxltoGBjg/edit#gid=934712705"",""ESENCIAL!A6:BG""),5,FALSE))"),"")</f>
        <v/>
      </c>
      <c r="BG751" s="98" t="str">
        <f t="shared" si="21"/>
        <v/>
      </c>
      <c r="BH751" s="99" t="str">
        <f t="shared" si="22"/>
        <v/>
      </c>
      <c r="BI751" s="100" t="str">
        <f ca="1">IFERROR(__xludf.DUMMYFUNCTION("IFERROR(VLOOKUP(F765,IMPORTRANGE(""https://docs.google.com/spreadsheets/d/1Kvs4KS76FHFqLFIZfrDMff4kP08nblUkihrxltoGBjg/edit#gid=934712705"",""ESENCIAL!A6:BG""),2,FALSE))"),"")</f>
        <v/>
      </c>
      <c r="BJ751" s="19" t="str">
        <f t="shared" si="23"/>
        <v/>
      </c>
      <c r="BK751" s="100"/>
      <c r="BL751" s="100"/>
    </row>
    <row r="752" spans="1:64" ht="15">
      <c r="A752" s="5"/>
      <c r="B752" s="5"/>
      <c r="G752" s="5" t="str">
        <f ca="1">IFERROR(__xludf.DUMMYFUNCTION("IFERROR(VLOOKUP(F766,IMPORTRANGE(""https://docs.google.com/spreadsheets/d/1Kvs4KS76FHFqLFIZfrDMff4kP08nblUkihrxltoGBjg/edit#gid=934712705"",""ESENCIAL!A6:BG""),3,FALSE))"),"")</f>
        <v/>
      </c>
      <c r="H752" s="5" t="str">
        <f ca="1">IFERROR(__xludf.DUMMYFUNCTION("IFERROR(VLOOKUP(F766,IMPORTRANGE(""https://docs.google.com/spreadsheets/d/1Kvs4KS76FHFqLFIZfrDMff4kP08nblUkihrxltoGBjg/edit#gid=934712705"",""ESENCIAL!A6:BG""),8,FALSE))"),"")</f>
        <v/>
      </c>
      <c r="L752" s="287"/>
      <c r="U752" s="40"/>
      <c r="AU752" s="41" t="str">
        <f t="shared" si="20"/>
        <v/>
      </c>
      <c r="AV752" s="5" t="str">
        <f ca="1">IFERROR(__xludf.DUMMYFUNCTION("IFERROR(VLOOKUP(E766&amp;F766,IMPORTRANGE(""https://docs.google.com/spreadsheets/d/1Uw7-A9f9R21vMXxHZFNpYNeKFtG8_yji4HS352LGlSQ/edit?pli=1#gid=0"",""1_ACUM!A4:S""),11,FALSE))"),"")</f>
        <v/>
      </c>
      <c r="AW752" s="42" t="str">
        <f ca="1">IFERROR(__xludf.DUMMYFUNCTION("IFERROR(VLOOKUP(F766,IMPORTRANGE(""https://docs.google.com/spreadsheets/d/1Kvs4KS76FHFqLFIZfrDMff4kP08nblUkihrxltoGBjg/edit#gid=934712705"",""ESENCIAL!A6:BG""),15,FALSE))"),"")</f>
        <v/>
      </c>
      <c r="AX752" s="21" t="str">
        <f ca="1">IFERROR(__xludf.DUMMYFUNCTION("IFERROR(VLOOKUP(E766&amp;F766,IMPORTRANGE(""https://docs.google.com/spreadsheets/d/1Uw7-A9f9R21vMXxHZFNpYNeKFtG8_yji4HS352LGlSQ/edit?pli=1#gid=0"",""1_ACUM!A4:S""),12,FALSE))"),"")</f>
        <v/>
      </c>
      <c r="AY752" s="43" t="str">
        <f ca="1">IFERROR(__xludf.DUMMYFUNCTION("IFERROR(VLOOKUP(E766&amp;F766,IMPORTRANGE(""https://docs.google.com/spreadsheets/d/1Uw7-A9f9R21vMXxHZFNpYNeKFtG8_yji4HS352LGlSQ/edit?pli=1#gid=0"",""1_ACUM!A4:S""),13,FALSE))"),"")</f>
        <v/>
      </c>
      <c r="AZ752" s="43" t="str">
        <f ca="1">IFERROR(__xludf.DUMMYFUNCTION("IFERROR(VLOOKUP(E766&amp;F766,IMPORTRANGE(""https://docs.google.com/spreadsheets/d/1Uw7-A9f9R21vMXxHZFNpYNeKFtG8_yji4HS352LGlSQ/edit?pli=1#gid=0"",""1_ACUM!A4:S""),14,FALSE))"),"")</f>
        <v/>
      </c>
      <c r="BA752" s="43" t="str">
        <f ca="1">IFERROR(__xludf.DUMMYFUNCTION("IFERROR(VLOOKUP(E766&amp;F766,IMPORTRANGE(""https://docs.google.com/spreadsheets/d/1Uw7-A9f9R21vMXxHZFNpYNeKFtG8_yji4HS352LGlSQ/edit?pli=1#gid=0"",""1_ACUM!A4:S""),15,FALSE))"),"")</f>
        <v/>
      </c>
      <c r="BB752" s="43" t="str">
        <f ca="1">IFERROR(__xludf.DUMMYFUNCTION("IFERROR(VLOOKUP(E766&amp;F766,IMPORTRANGE(""https://docs.google.com/spreadsheets/d/1Uw7-A9f9R21vMXxHZFNpYNeKFtG8_yji4HS352LGlSQ/edit?pli=1#gid=0"",""1_ACUM!A4:S""),16,FALSE))"),"")</f>
        <v/>
      </c>
      <c r="BC752" s="43" t="str">
        <f ca="1">IFERROR(__xludf.DUMMYFUNCTION("IFERROR(VLOOKUP(E766&amp;F766,IMPORTRANGE(""https://docs.google.com/spreadsheets/d/1Uw7-A9f9R21vMXxHZFNpYNeKFtG8_yji4HS352LGlSQ/edit?pli=1#gid=0"",""1_ACUM!A4:S""),17,FALSE))"),"")</f>
        <v/>
      </c>
      <c r="BD752" s="44" t="str">
        <f ca="1">IFERROR(__xludf.DUMMYFUNCTION("IFERROR(VLOOKUP(E766&amp;F766,IMPORTRANGE(""https://docs.google.com/spreadsheets/d/1Uw7-A9f9R21vMXxHZFNpYNeKFtG8_yji4HS352LGlSQ/edit?pli=1#gid=0"",""1_ACUM!A4:S""),18,FALSE))"),"")</f>
        <v/>
      </c>
      <c r="BE752" s="44" t="str">
        <f ca="1">IFERROR(__xludf.DUMMYFUNCTION("IFERROR(VLOOKUP(E766&amp;F766,IMPORTRANGE(""https://docs.google.com/spreadsheets/d/1Uw7-A9f9R21vMXxHZFNpYNeKFtG8_yji4HS352LGlSQ/edit?pli=1#gid=0"",""1_ACUM!A4:S""),19,FALSE))"),"")</f>
        <v/>
      </c>
      <c r="BF752" s="98" t="str">
        <f ca="1">IFERROR(__xludf.DUMMYFUNCTION("IFERROR(VLOOKUP(F766,IMPORTRANGE(""https://docs.google.com/spreadsheets/d/1Kvs4KS76FHFqLFIZfrDMff4kP08nblUkihrxltoGBjg/edit#gid=934712705"",""ESENCIAL!A6:BG""),5,FALSE))"),"")</f>
        <v/>
      </c>
      <c r="BG752" s="98" t="str">
        <f t="shared" si="21"/>
        <v/>
      </c>
      <c r="BH752" s="99" t="str">
        <f t="shared" si="22"/>
        <v/>
      </c>
      <c r="BI752" s="100" t="str">
        <f ca="1">IFERROR(__xludf.DUMMYFUNCTION("IFERROR(VLOOKUP(F766,IMPORTRANGE(""https://docs.google.com/spreadsheets/d/1Kvs4KS76FHFqLFIZfrDMff4kP08nblUkihrxltoGBjg/edit#gid=934712705"",""ESENCIAL!A6:BG""),2,FALSE))"),"")</f>
        <v/>
      </c>
      <c r="BJ752" s="19" t="str">
        <f t="shared" si="23"/>
        <v/>
      </c>
      <c r="BK752" s="100"/>
      <c r="BL752" s="100"/>
    </row>
    <row r="753" spans="1:64" ht="15">
      <c r="A753" s="5"/>
      <c r="B753" s="5"/>
      <c r="G753" s="5" t="str">
        <f ca="1">IFERROR(__xludf.DUMMYFUNCTION("IFERROR(VLOOKUP(F767,IMPORTRANGE(""https://docs.google.com/spreadsheets/d/1Kvs4KS76FHFqLFIZfrDMff4kP08nblUkihrxltoGBjg/edit#gid=934712705"",""ESENCIAL!A6:BG""),3,FALSE))"),"")</f>
        <v/>
      </c>
      <c r="H753" s="5" t="str">
        <f ca="1">IFERROR(__xludf.DUMMYFUNCTION("IFERROR(VLOOKUP(F767,IMPORTRANGE(""https://docs.google.com/spreadsheets/d/1Kvs4KS76FHFqLFIZfrDMff4kP08nblUkihrxltoGBjg/edit#gid=934712705"",""ESENCIAL!A6:BG""),8,FALSE))"),"")</f>
        <v/>
      </c>
      <c r="L753" s="287"/>
      <c r="U753" s="40"/>
      <c r="AU753" s="41" t="str">
        <f t="shared" si="20"/>
        <v/>
      </c>
      <c r="AV753" s="5" t="str">
        <f ca="1">IFERROR(__xludf.DUMMYFUNCTION("IFERROR(VLOOKUP(E767&amp;F767,IMPORTRANGE(""https://docs.google.com/spreadsheets/d/1Uw7-A9f9R21vMXxHZFNpYNeKFtG8_yji4HS352LGlSQ/edit?pli=1#gid=0"",""1_ACUM!A4:S""),11,FALSE))"),"")</f>
        <v/>
      </c>
      <c r="AW753" s="42" t="str">
        <f ca="1">IFERROR(__xludf.DUMMYFUNCTION("IFERROR(VLOOKUP(F767,IMPORTRANGE(""https://docs.google.com/spreadsheets/d/1Kvs4KS76FHFqLFIZfrDMff4kP08nblUkihrxltoGBjg/edit#gid=934712705"",""ESENCIAL!A6:BG""),15,FALSE))"),"")</f>
        <v/>
      </c>
      <c r="AX753" s="21" t="str">
        <f ca="1">IFERROR(__xludf.DUMMYFUNCTION("IFERROR(VLOOKUP(E767&amp;F767,IMPORTRANGE(""https://docs.google.com/spreadsheets/d/1Uw7-A9f9R21vMXxHZFNpYNeKFtG8_yji4HS352LGlSQ/edit?pli=1#gid=0"",""1_ACUM!A4:S""),12,FALSE))"),"")</f>
        <v/>
      </c>
      <c r="AY753" s="43" t="str">
        <f ca="1">IFERROR(__xludf.DUMMYFUNCTION("IFERROR(VLOOKUP(E767&amp;F767,IMPORTRANGE(""https://docs.google.com/spreadsheets/d/1Uw7-A9f9R21vMXxHZFNpYNeKFtG8_yji4HS352LGlSQ/edit?pli=1#gid=0"",""1_ACUM!A4:S""),13,FALSE))"),"")</f>
        <v/>
      </c>
      <c r="AZ753" s="43" t="str">
        <f ca="1">IFERROR(__xludf.DUMMYFUNCTION("IFERROR(VLOOKUP(E767&amp;F767,IMPORTRANGE(""https://docs.google.com/spreadsheets/d/1Uw7-A9f9R21vMXxHZFNpYNeKFtG8_yji4HS352LGlSQ/edit?pli=1#gid=0"",""1_ACUM!A4:S""),14,FALSE))"),"")</f>
        <v/>
      </c>
      <c r="BA753" s="43" t="str">
        <f ca="1">IFERROR(__xludf.DUMMYFUNCTION("IFERROR(VLOOKUP(E767&amp;F767,IMPORTRANGE(""https://docs.google.com/spreadsheets/d/1Uw7-A9f9R21vMXxHZFNpYNeKFtG8_yji4HS352LGlSQ/edit?pli=1#gid=0"",""1_ACUM!A4:S""),15,FALSE))"),"")</f>
        <v/>
      </c>
      <c r="BB753" s="43" t="str">
        <f ca="1">IFERROR(__xludf.DUMMYFUNCTION("IFERROR(VLOOKUP(E767&amp;F767,IMPORTRANGE(""https://docs.google.com/spreadsheets/d/1Uw7-A9f9R21vMXxHZFNpYNeKFtG8_yji4HS352LGlSQ/edit?pli=1#gid=0"",""1_ACUM!A4:S""),16,FALSE))"),"")</f>
        <v/>
      </c>
      <c r="BC753" s="43" t="str">
        <f ca="1">IFERROR(__xludf.DUMMYFUNCTION("IFERROR(VLOOKUP(E767&amp;F767,IMPORTRANGE(""https://docs.google.com/spreadsheets/d/1Uw7-A9f9R21vMXxHZFNpYNeKFtG8_yji4HS352LGlSQ/edit?pli=1#gid=0"",""1_ACUM!A4:S""),17,FALSE))"),"")</f>
        <v/>
      </c>
      <c r="BD753" s="44" t="str">
        <f ca="1">IFERROR(__xludf.DUMMYFUNCTION("IFERROR(VLOOKUP(E767&amp;F767,IMPORTRANGE(""https://docs.google.com/spreadsheets/d/1Uw7-A9f9R21vMXxHZFNpYNeKFtG8_yji4HS352LGlSQ/edit?pli=1#gid=0"",""1_ACUM!A4:S""),18,FALSE))"),"")</f>
        <v/>
      </c>
      <c r="BE753" s="44" t="str">
        <f ca="1">IFERROR(__xludf.DUMMYFUNCTION("IFERROR(VLOOKUP(E767&amp;F767,IMPORTRANGE(""https://docs.google.com/spreadsheets/d/1Uw7-A9f9R21vMXxHZFNpYNeKFtG8_yji4HS352LGlSQ/edit?pli=1#gid=0"",""1_ACUM!A4:S""),19,FALSE))"),"")</f>
        <v/>
      </c>
      <c r="BF753" s="98" t="str">
        <f ca="1">IFERROR(__xludf.DUMMYFUNCTION("IFERROR(VLOOKUP(F767,IMPORTRANGE(""https://docs.google.com/spreadsheets/d/1Kvs4KS76FHFqLFIZfrDMff4kP08nblUkihrxltoGBjg/edit#gid=934712705"",""ESENCIAL!A6:BG""),5,FALSE))"),"")</f>
        <v/>
      </c>
      <c r="BG753" s="98" t="str">
        <f t="shared" si="21"/>
        <v/>
      </c>
      <c r="BH753" s="99" t="str">
        <f t="shared" si="22"/>
        <v/>
      </c>
      <c r="BI753" s="100" t="str">
        <f ca="1">IFERROR(__xludf.DUMMYFUNCTION("IFERROR(VLOOKUP(F767,IMPORTRANGE(""https://docs.google.com/spreadsheets/d/1Kvs4KS76FHFqLFIZfrDMff4kP08nblUkihrxltoGBjg/edit#gid=934712705"",""ESENCIAL!A6:BG""),2,FALSE))"),"")</f>
        <v/>
      </c>
      <c r="BJ753" s="19" t="str">
        <f t="shared" si="23"/>
        <v/>
      </c>
      <c r="BK753" s="100"/>
      <c r="BL753" s="100"/>
    </row>
    <row r="754" spans="1:64" ht="15">
      <c r="A754" s="5"/>
      <c r="B754" s="5"/>
      <c r="G754" s="5" t="str">
        <f ca="1">IFERROR(__xludf.DUMMYFUNCTION("IFERROR(VLOOKUP(F768,IMPORTRANGE(""https://docs.google.com/spreadsheets/d/1Kvs4KS76FHFqLFIZfrDMff4kP08nblUkihrxltoGBjg/edit#gid=934712705"",""ESENCIAL!A6:BG""),3,FALSE))"),"")</f>
        <v/>
      </c>
      <c r="H754" s="5" t="str">
        <f ca="1">IFERROR(__xludf.DUMMYFUNCTION("IFERROR(VLOOKUP(F768,IMPORTRANGE(""https://docs.google.com/spreadsheets/d/1Kvs4KS76FHFqLFIZfrDMff4kP08nblUkihrxltoGBjg/edit#gid=934712705"",""ESENCIAL!A6:BG""),8,FALSE))"),"")</f>
        <v/>
      </c>
      <c r="L754" s="287"/>
      <c r="U754" s="40"/>
      <c r="AU754" s="41" t="str">
        <f t="shared" ref="AU754:AU931" si="24">IF(E754&gt;0,IF(AND(BC754=1,AZ754=1),"Procede_E_P","NO_CUMPLE"),"")</f>
        <v/>
      </c>
      <c r="AV754" s="5" t="str">
        <f ca="1">IFERROR(__xludf.DUMMYFUNCTION("IFERROR(VLOOKUP(E768&amp;F768,IMPORTRANGE(""https://docs.google.com/spreadsheets/d/1Uw7-A9f9R21vMXxHZFNpYNeKFtG8_yji4HS352LGlSQ/edit?pli=1#gid=0"",""1_ACUM!A4:S""),11,FALSE))"),"")</f>
        <v/>
      </c>
      <c r="AW754" s="42" t="str">
        <f ca="1">IFERROR(__xludf.DUMMYFUNCTION("IFERROR(VLOOKUP(F768,IMPORTRANGE(""https://docs.google.com/spreadsheets/d/1Kvs4KS76FHFqLFIZfrDMff4kP08nblUkihrxltoGBjg/edit#gid=934712705"",""ESENCIAL!A6:BG""),15,FALSE))"),"")</f>
        <v/>
      </c>
      <c r="AX754" s="21" t="str">
        <f ca="1">IFERROR(__xludf.DUMMYFUNCTION("IFERROR(VLOOKUP(E768&amp;F768,IMPORTRANGE(""https://docs.google.com/spreadsheets/d/1Uw7-A9f9R21vMXxHZFNpYNeKFtG8_yji4HS352LGlSQ/edit?pli=1#gid=0"",""1_ACUM!A4:S""),12,FALSE))"),"")</f>
        <v/>
      </c>
      <c r="AY754" s="43" t="str">
        <f ca="1">IFERROR(__xludf.DUMMYFUNCTION("IFERROR(VLOOKUP(E768&amp;F768,IMPORTRANGE(""https://docs.google.com/spreadsheets/d/1Uw7-A9f9R21vMXxHZFNpYNeKFtG8_yji4HS352LGlSQ/edit?pli=1#gid=0"",""1_ACUM!A4:S""),13,FALSE))"),"")</f>
        <v/>
      </c>
      <c r="AZ754" s="43" t="str">
        <f ca="1">IFERROR(__xludf.DUMMYFUNCTION("IFERROR(VLOOKUP(E768&amp;F768,IMPORTRANGE(""https://docs.google.com/spreadsheets/d/1Uw7-A9f9R21vMXxHZFNpYNeKFtG8_yji4HS352LGlSQ/edit?pli=1#gid=0"",""1_ACUM!A4:S""),14,FALSE))"),"")</f>
        <v/>
      </c>
      <c r="BA754" s="43" t="str">
        <f ca="1">IFERROR(__xludf.DUMMYFUNCTION("IFERROR(VLOOKUP(E768&amp;F768,IMPORTRANGE(""https://docs.google.com/spreadsheets/d/1Uw7-A9f9R21vMXxHZFNpYNeKFtG8_yji4HS352LGlSQ/edit?pli=1#gid=0"",""1_ACUM!A4:S""),15,FALSE))"),"")</f>
        <v/>
      </c>
      <c r="BB754" s="43" t="str">
        <f ca="1">IFERROR(__xludf.DUMMYFUNCTION("IFERROR(VLOOKUP(E768&amp;F768,IMPORTRANGE(""https://docs.google.com/spreadsheets/d/1Uw7-A9f9R21vMXxHZFNpYNeKFtG8_yji4HS352LGlSQ/edit?pli=1#gid=0"",""1_ACUM!A4:S""),16,FALSE))"),"")</f>
        <v/>
      </c>
      <c r="BC754" s="43" t="str">
        <f ca="1">IFERROR(__xludf.DUMMYFUNCTION("IFERROR(VLOOKUP(E768&amp;F768,IMPORTRANGE(""https://docs.google.com/spreadsheets/d/1Uw7-A9f9R21vMXxHZFNpYNeKFtG8_yji4HS352LGlSQ/edit?pli=1#gid=0"",""1_ACUM!A4:S""),17,FALSE))"),"")</f>
        <v/>
      </c>
      <c r="BD754" s="44" t="str">
        <f ca="1">IFERROR(__xludf.DUMMYFUNCTION("IFERROR(VLOOKUP(E768&amp;F768,IMPORTRANGE(""https://docs.google.com/spreadsheets/d/1Uw7-A9f9R21vMXxHZFNpYNeKFtG8_yji4HS352LGlSQ/edit?pli=1#gid=0"",""1_ACUM!A4:S""),18,FALSE))"),"")</f>
        <v/>
      </c>
      <c r="BE754" s="44" t="str">
        <f ca="1">IFERROR(__xludf.DUMMYFUNCTION("IFERROR(VLOOKUP(E768&amp;F768,IMPORTRANGE(""https://docs.google.com/spreadsheets/d/1Uw7-A9f9R21vMXxHZFNpYNeKFtG8_yji4HS352LGlSQ/edit?pli=1#gid=0"",""1_ACUM!A4:S""),19,FALSE))"),"")</f>
        <v/>
      </c>
      <c r="BF754" s="98" t="str">
        <f ca="1">IFERROR(__xludf.DUMMYFUNCTION("IFERROR(VLOOKUP(F768,IMPORTRANGE(""https://docs.google.com/spreadsheets/d/1Kvs4KS76FHFqLFIZfrDMff4kP08nblUkihrxltoGBjg/edit#gid=934712705"",""ESENCIAL!A6:BG""),5,FALSE))"),"")</f>
        <v/>
      </c>
      <c r="BG754" s="98" t="str">
        <f t="shared" ref="BG754:BG931" si="25">IF(F754&gt;0,EDATE(BF754,18),"")</f>
        <v/>
      </c>
      <c r="BH754" s="99" t="str">
        <f t="shared" ref="BH754:BH931" si="26">IF(F754&gt;0,IF(BG754&lt;$BH$1,"FINALIZAR FICHA","FICHA EN TIEMPO-18 MESES"),"")</f>
        <v/>
      </c>
      <c r="BI754" s="100" t="str">
        <f ca="1">IFERROR(__xludf.DUMMYFUNCTION("IFERROR(VLOOKUP(F768,IMPORTRANGE(""https://docs.google.com/spreadsheets/d/1Kvs4KS76FHFqLFIZfrDMff4kP08nblUkihrxltoGBjg/edit#gid=934712705"",""ESENCIAL!A6:BG""),2,FALSE))"),"")</f>
        <v/>
      </c>
      <c r="BJ754" s="19" t="str">
        <f t="shared" ref="BJ754:BJ931" si="27">IF(F754&gt;0,"Yamboro","")</f>
        <v/>
      </c>
      <c r="BK754" s="100"/>
      <c r="BL754" s="100"/>
    </row>
    <row r="755" spans="1:64" ht="15">
      <c r="A755" s="5"/>
      <c r="B755" s="5"/>
      <c r="G755" s="5" t="str">
        <f ca="1">IFERROR(__xludf.DUMMYFUNCTION("IFERROR(VLOOKUP(F769,IMPORTRANGE(""https://docs.google.com/spreadsheets/d/1Kvs4KS76FHFqLFIZfrDMff4kP08nblUkihrxltoGBjg/edit#gid=934712705"",""ESENCIAL!A6:BG""),3,FALSE))"),"")</f>
        <v/>
      </c>
      <c r="H755" s="5" t="str">
        <f ca="1">IFERROR(__xludf.DUMMYFUNCTION("IFERROR(VLOOKUP(F769,IMPORTRANGE(""https://docs.google.com/spreadsheets/d/1Kvs4KS76FHFqLFIZfrDMff4kP08nblUkihrxltoGBjg/edit#gid=934712705"",""ESENCIAL!A6:BG""),8,FALSE))"),"")</f>
        <v/>
      </c>
      <c r="L755" s="287"/>
      <c r="U755" s="40"/>
      <c r="AU755" s="41" t="str">
        <f t="shared" si="24"/>
        <v/>
      </c>
      <c r="AV755" s="5" t="str">
        <f ca="1">IFERROR(__xludf.DUMMYFUNCTION("IFERROR(VLOOKUP(E769&amp;F769,IMPORTRANGE(""https://docs.google.com/spreadsheets/d/1Uw7-A9f9R21vMXxHZFNpYNeKFtG8_yji4HS352LGlSQ/edit?pli=1#gid=0"",""1_ACUM!A4:S""),11,FALSE))"),"")</f>
        <v/>
      </c>
      <c r="AW755" s="42" t="str">
        <f ca="1">IFERROR(__xludf.DUMMYFUNCTION("IFERROR(VLOOKUP(F769,IMPORTRANGE(""https://docs.google.com/spreadsheets/d/1Kvs4KS76FHFqLFIZfrDMff4kP08nblUkihrxltoGBjg/edit#gid=934712705"",""ESENCIAL!A6:BG""),15,FALSE))"),"")</f>
        <v/>
      </c>
      <c r="AX755" s="21" t="str">
        <f ca="1">IFERROR(__xludf.DUMMYFUNCTION("IFERROR(VLOOKUP(E769&amp;F769,IMPORTRANGE(""https://docs.google.com/spreadsheets/d/1Uw7-A9f9R21vMXxHZFNpYNeKFtG8_yji4HS352LGlSQ/edit?pli=1#gid=0"",""1_ACUM!A4:S""),12,FALSE))"),"")</f>
        <v/>
      </c>
      <c r="AY755" s="43" t="str">
        <f ca="1">IFERROR(__xludf.DUMMYFUNCTION("IFERROR(VLOOKUP(E769&amp;F769,IMPORTRANGE(""https://docs.google.com/spreadsheets/d/1Uw7-A9f9R21vMXxHZFNpYNeKFtG8_yji4HS352LGlSQ/edit?pli=1#gid=0"",""1_ACUM!A4:S""),13,FALSE))"),"")</f>
        <v/>
      </c>
      <c r="AZ755" s="43" t="str">
        <f ca="1">IFERROR(__xludf.DUMMYFUNCTION("IFERROR(VLOOKUP(E769&amp;F769,IMPORTRANGE(""https://docs.google.com/spreadsheets/d/1Uw7-A9f9R21vMXxHZFNpYNeKFtG8_yji4HS352LGlSQ/edit?pli=1#gid=0"",""1_ACUM!A4:S""),14,FALSE))"),"")</f>
        <v/>
      </c>
      <c r="BA755" s="43" t="str">
        <f ca="1">IFERROR(__xludf.DUMMYFUNCTION("IFERROR(VLOOKUP(E769&amp;F769,IMPORTRANGE(""https://docs.google.com/spreadsheets/d/1Uw7-A9f9R21vMXxHZFNpYNeKFtG8_yji4HS352LGlSQ/edit?pli=1#gid=0"",""1_ACUM!A4:S""),15,FALSE))"),"")</f>
        <v/>
      </c>
      <c r="BB755" s="43" t="str">
        <f ca="1">IFERROR(__xludf.DUMMYFUNCTION("IFERROR(VLOOKUP(E769&amp;F769,IMPORTRANGE(""https://docs.google.com/spreadsheets/d/1Uw7-A9f9R21vMXxHZFNpYNeKFtG8_yji4HS352LGlSQ/edit?pli=1#gid=0"",""1_ACUM!A4:S""),16,FALSE))"),"")</f>
        <v/>
      </c>
      <c r="BC755" s="43" t="str">
        <f ca="1">IFERROR(__xludf.DUMMYFUNCTION("IFERROR(VLOOKUP(E769&amp;F769,IMPORTRANGE(""https://docs.google.com/spreadsheets/d/1Uw7-A9f9R21vMXxHZFNpYNeKFtG8_yji4HS352LGlSQ/edit?pli=1#gid=0"",""1_ACUM!A4:S""),17,FALSE))"),"")</f>
        <v/>
      </c>
      <c r="BD755" s="44" t="str">
        <f ca="1">IFERROR(__xludf.DUMMYFUNCTION("IFERROR(VLOOKUP(E769&amp;F769,IMPORTRANGE(""https://docs.google.com/spreadsheets/d/1Uw7-A9f9R21vMXxHZFNpYNeKFtG8_yji4HS352LGlSQ/edit?pli=1#gid=0"",""1_ACUM!A4:S""),18,FALSE))"),"")</f>
        <v/>
      </c>
      <c r="BE755" s="44" t="str">
        <f ca="1">IFERROR(__xludf.DUMMYFUNCTION("IFERROR(VLOOKUP(E769&amp;F769,IMPORTRANGE(""https://docs.google.com/spreadsheets/d/1Uw7-A9f9R21vMXxHZFNpYNeKFtG8_yji4HS352LGlSQ/edit?pli=1#gid=0"",""1_ACUM!A4:S""),19,FALSE))"),"")</f>
        <v/>
      </c>
      <c r="BF755" s="98" t="str">
        <f ca="1">IFERROR(__xludf.DUMMYFUNCTION("IFERROR(VLOOKUP(F769,IMPORTRANGE(""https://docs.google.com/spreadsheets/d/1Kvs4KS76FHFqLFIZfrDMff4kP08nblUkihrxltoGBjg/edit#gid=934712705"",""ESENCIAL!A6:BG""),5,FALSE))"),"")</f>
        <v/>
      </c>
      <c r="BG755" s="98" t="str">
        <f t="shared" si="25"/>
        <v/>
      </c>
      <c r="BH755" s="99" t="str">
        <f t="shared" si="26"/>
        <v/>
      </c>
      <c r="BI755" s="100" t="str">
        <f ca="1">IFERROR(__xludf.DUMMYFUNCTION("IFERROR(VLOOKUP(F769,IMPORTRANGE(""https://docs.google.com/spreadsheets/d/1Kvs4KS76FHFqLFIZfrDMff4kP08nblUkihrxltoGBjg/edit#gid=934712705"",""ESENCIAL!A6:BG""),2,FALSE))"),"")</f>
        <v/>
      </c>
      <c r="BJ755" s="19" t="str">
        <f t="shared" si="27"/>
        <v/>
      </c>
      <c r="BK755" s="100"/>
      <c r="BL755" s="100"/>
    </row>
    <row r="756" spans="1:64" ht="15">
      <c r="A756" s="5"/>
      <c r="B756" s="5"/>
      <c r="G756" s="5" t="str">
        <f ca="1">IFERROR(__xludf.DUMMYFUNCTION("IFERROR(VLOOKUP(F770,IMPORTRANGE(""https://docs.google.com/spreadsheets/d/1Kvs4KS76FHFqLFIZfrDMff4kP08nblUkihrxltoGBjg/edit#gid=934712705"",""ESENCIAL!A6:BG""),3,FALSE))"),"")</f>
        <v/>
      </c>
      <c r="H756" s="5" t="str">
        <f ca="1">IFERROR(__xludf.DUMMYFUNCTION("IFERROR(VLOOKUP(F770,IMPORTRANGE(""https://docs.google.com/spreadsheets/d/1Kvs4KS76FHFqLFIZfrDMff4kP08nblUkihrxltoGBjg/edit#gid=934712705"",""ESENCIAL!A6:BG""),8,FALSE))"),"")</f>
        <v/>
      </c>
      <c r="L756" s="287"/>
      <c r="U756" s="40"/>
      <c r="AU756" s="41" t="str">
        <f t="shared" si="24"/>
        <v/>
      </c>
      <c r="AV756" s="5" t="str">
        <f ca="1">IFERROR(__xludf.DUMMYFUNCTION("IFERROR(VLOOKUP(E770&amp;F770,IMPORTRANGE(""https://docs.google.com/spreadsheets/d/1Uw7-A9f9R21vMXxHZFNpYNeKFtG8_yji4HS352LGlSQ/edit?pli=1#gid=0"",""1_ACUM!A4:S""),11,FALSE))"),"")</f>
        <v/>
      </c>
      <c r="AW756" s="42" t="str">
        <f ca="1">IFERROR(__xludf.DUMMYFUNCTION("IFERROR(VLOOKUP(F770,IMPORTRANGE(""https://docs.google.com/spreadsheets/d/1Kvs4KS76FHFqLFIZfrDMff4kP08nblUkihrxltoGBjg/edit#gid=934712705"",""ESENCIAL!A6:BG""),15,FALSE))"),"")</f>
        <v/>
      </c>
      <c r="AX756" s="21" t="str">
        <f ca="1">IFERROR(__xludf.DUMMYFUNCTION("IFERROR(VLOOKUP(E770&amp;F770,IMPORTRANGE(""https://docs.google.com/spreadsheets/d/1Uw7-A9f9R21vMXxHZFNpYNeKFtG8_yji4HS352LGlSQ/edit?pli=1#gid=0"",""1_ACUM!A4:S""),12,FALSE))"),"")</f>
        <v/>
      </c>
      <c r="AY756" s="43" t="str">
        <f ca="1">IFERROR(__xludf.DUMMYFUNCTION("IFERROR(VLOOKUP(E770&amp;F770,IMPORTRANGE(""https://docs.google.com/spreadsheets/d/1Uw7-A9f9R21vMXxHZFNpYNeKFtG8_yji4HS352LGlSQ/edit?pli=1#gid=0"",""1_ACUM!A4:S""),13,FALSE))"),"")</f>
        <v/>
      </c>
      <c r="AZ756" s="43" t="str">
        <f ca="1">IFERROR(__xludf.DUMMYFUNCTION("IFERROR(VLOOKUP(E770&amp;F770,IMPORTRANGE(""https://docs.google.com/spreadsheets/d/1Uw7-A9f9R21vMXxHZFNpYNeKFtG8_yji4HS352LGlSQ/edit?pli=1#gid=0"",""1_ACUM!A4:S""),14,FALSE))"),"")</f>
        <v/>
      </c>
      <c r="BA756" s="43" t="str">
        <f ca="1">IFERROR(__xludf.DUMMYFUNCTION("IFERROR(VLOOKUP(E770&amp;F770,IMPORTRANGE(""https://docs.google.com/spreadsheets/d/1Uw7-A9f9R21vMXxHZFNpYNeKFtG8_yji4HS352LGlSQ/edit?pli=1#gid=0"",""1_ACUM!A4:S""),15,FALSE))"),"")</f>
        <v/>
      </c>
      <c r="BB756" s="43" t="str">
        <f ca="1">IFERROR(__xludf.DUMMYFUNCTION("IFERROR(VLOOKUP(E770&amp;F770,IMPORTRANGE(""https://docs.google.com/spreadsheets/d/1Uw7-A9f9R21vMXxHZFNpYNeKFtG8_yji4HS352LGlSQ/edit?pli=1#gid=0"",""1_ACUM!A4:S""),16,FALSE))"),"")</f>
        <v/>
      </c>
      <c r="BC756" s="43" t="str">
        <f ca="1">IFERROR(__xludf.DUMMYFUNCTION("IFERROR(VLOOKUP(E770&amp;F770,IMPORTRANGE(""https://docs.google.com/spreadsheets/d/1Uw7-A9f9R21vMXxHZFNpYNeKFtG8_yji4HS352LGlSQ/edit?pli=1#gid=0"",""1_ACUM!A4:S""),17,FALSE))"),"")</f>
        <v/>
      </c>
      <c r="BD756" s="44" t="str">
        <f ca="1">IFERROR(__xludf.DUMMYFUNCTION("IFERROR(VLOOKUP(E770&amp;F770,IMPORTRANGE(""https://docs.google.com/spreadsheets/d/1Uw7-A9f9R21vMXxHZFNpYNeKFtG8_yji4HS352LGlSQ/edit?pli=1#gid=0"",""1_ACUM!A4:S""),18,FALSE))"),"")</f>
        <v/>
      </c>
      <c r="BE756" s="44" t="str">
        <f ca="1">IFERROR(__xludf.DUMMYFUNCTION("IFERROR(VLOOKUP(E770&amp;F770,IMPORTRANGE(""https://docs.google.com/spreadsheets/d/1Uw7-A9f9R21vMXxHZFNpYNeKFtG8_yji4HS352LGlSQ/edit?pli=1#gid=0"",""1_ACUM!A4:S""),19,FALSE))"),"")</f>
        <v/>
      </c>
      <c r="BF756" s="98" t="str">
        <f ca="1">IFERROR(__xludf.DUMMYFUNCTION("IFERROR(VLOOKUP(F770,IMPORTRANGE(""https://docs.google.com/spreadsheets/d/1Kvs4KS76FHFqLFIZfrDMff4kP08nblUkihrxltoGBjg/edit#gid=934712705"",""ESENCIAL!A6:BG""),5,FALSE))"),"")</f>
        <v/>
      </c>
      <c r="BG756" s="98" t="str">
        <f t="shared" si="25"/>
        <v/>
      </c>
      <c r="BH756" s="99" t="str">
        <f t="shared" si="26"/>
        <v/>
      </c>
      <c r="BI756" s="100" t="str">
        <f ca="1">IFERROR(__xludf.DUMMYFUNCTION("IFERROR(VLOOKUP(F770,IMPORTRANGE(""https://docs.google.com/spreadsheets/d/1Kvs4KS76FHFqLFIZfrDMff4kP08nblUkihrxltoGBjg/edit#gid=934712705"",""ESENCIAL!A6:BG""),2,FALSE))"),"")</f>
        <v/>
      </c>
      <c r="BJ756" s="19" t="str">
        <f t="shared" si="27"/>
        <v/>
      </c>
      <c r="BK756" s="100"/>
      <c r="BL756" s="100"/>
    </row>
    <row r="757" spans="1:64" ht="15">
      <c r="A757" s="5"/>
      <c r="B757" s="5"/>
      <c r="G757" s="5" t="str">
        <f ca="1">IFERROR(__xludf.DUMMYFUNCTION("IFERROR(VLOOKUP(F771,IMPORTRANGE(""https://docs.google.com/spreadsheets/d/1Kvs4KS76FHFqLFIZfrDMff4kP08nblUkihrxltoGBjg/edit#gid=934712705"",""ESENCIAL!A6:BG""),3,FALSE))"),"")</f>
        <v/>
      </c>
      <c r="H757" s="5" t="str">
        <f ca="1">IFERROR(__xludf.DUMMYFUNCTION("IFERROR(VLOOKUP(F771,IMPORTRANGE(""https://docs.google.com/spreadsheets/d/1Kvs4KS76FHFqLFIZfrDMff4kP08nblUkihrxltoGBjg/edit#gid=934712705"",""ESENCIAL!A6:BG""),8,FALSE))"),"")</f>
        <v/>
      </c>
      <c r="L757" s="287"/>
      <c r="U757" s="40"/>
      <c r="AU757" s="41" t="str">
        <f t="shared" si="24"/>
        <v/>
      </c>
      <c r="AV757" s="5" t="str">
        <f ca="1">IFERROR(__xludf.DUMMYFUNCTION("IFERROR(VLOOKUP(E771&amp;F771,IMPORTRANGE(""https://docs.google.com/spreadsheets/d/1Uw7-A9f9R21vMXxHZFNpYNeKFtG8_yji4HS352LGlSQ/edit?pli=1#gid=0"",""1_ACUM!A4:S""),11,FALSE))"),"")</f>
        <v/>
      </c>
      <c r="AW757" s="42" t="str">
        <f ca="1">IFERROR(__xludf.DUMMYFUNCTION("IFERROR(VLOOKUP(F771,IMPORTRANGE(""https://docs.google.com/spreadsheets/d/1Kvs4KS76FHFqLFIZfrDMff4kP08nblUkihrxltoGBjg/edit#gid=934712705"",""ESENCIAL!A6:BG""),15,FALSE))"),"")</f>
        <v/>
      </c>
      <c r="AX757" s="21" t="str">
        <f ca="1">IFERROR(__xludf.DUMMYFUNCTION("IFERROR(VLOOKUP(E771&amp;F771,IMPORTRANGE(""https://docs.google.com/spreadsheets/d/1Uw7-A9f9R21vMXxHZFNpYNeKFtG8_yji4HS352LGlSQ/edit?pli=1#gid=0"",""1_ACUM!A4:S""),12,FALSE))"),"")</f>
        <v/>
      </c>
      <c r="AY757" s="43" t="str">
        <f ca="1">IFERROR(__xludf.DUMMYFUNCTION("IFERROR(VLOOKUP(E771&amp;F771,IMPORTRANGE(""https://docs.google.com/spreadsheets/d/1Uw7-A9f9R21vMXxHZFNpYNeKFtG8_yji4HS352LGlSQ/edit?pli=1#gid=0"",""1_ACUM!A4:S""),13,FALSE))"),"")</f>
        <v/>
      </c>
      <c r="AZ757" s="43" t="str">
        <f ca="1">IFERROR(__xludf.DUMMYFUNCTION("IFERROR(VLOOKUP(E771&amp;F771,IMPORTRANGE(""https://docs.google.com/spreadsheets/d/1Uw7-A9f9R21vMXxHZFNpYNeKFtG8_yji4HS352LGlSQ/edit?pli=1#gid=0"",""1_ACUM!A4:S""),14,FALSE))"),"")</f>
        <v/>
      </c>
      <c r="BA757" s="43" t="str">
        <f ca="1">IFERROR(__xludf.DUMMYFUNCTION("IFERROR(VLOOKUP(E771&amp;F771,IMPORTRANGE(""https://docs.google.com/spreadsheets/d/1Uw7-A9f9R21vMXxHZFNpYNeKFtG8_yji4HS352LGlSQ/edit?pli=1#gid=0"",""1_ACUM!A4:S""),15,FALSE))"),"")</f>
        <v/>
      </c>
      <c r="BB757" s="43" t="str">
        <f ca="1">IFERROR(__xludf.DUMMYFUNCTION("IFERROR(VLOOKUP(E771&amp;F771,IMPORTRANGE(""https://docs.google.com/spreadsheets/d/1Uw7-A9f9R21vMXxHZFNpYNeKFtG8_yji4HS352LGlSQ/edit?pli=1#gid=0"",""1_ACUM!A4:S""),16,FALSE))"),"")</f>
        <v/>
      </c>
      <c r="BC757" s="43" t="str">
        <f ca="1">IFERROR(__xludf.DUMMYFUNCTION("IFERROR(VLOOKUP(E771&amp;F771,IMPORTRANGE(""https://docs.google.com/spreadsheets/d/1Uw7-A9f9R21vMXxHZFNpYNeKFtG8_yji4HS352LGlSQ/edit?pli=1#gid=0"",""1_ACUM!A4:S""),17,FALSE))"),"")</f>
        <v/>
      </c>
      <c r="BD757" s="44" t="str">
        <f ca="1">IFERROR(__xludf.DUMMYFUNCTION("IFERROR(VLOOKUP(E771&amp;F771,IMPORTRANGE(""https://docs.google.com/spreadsheets/d/1Uw7-A9f9R21vMXxHZFNpYNeKFtG8_yji4HS352LGlSQ/edit?pli=1#gid=0"",""1_ACUM!A4:S""),18,FALSE))"),"")</f>
        <v/>
      </c>
      <c r="BE757" s="44" t="str">
        <f ca="1">IFERROR(__xludf.DUMMYFUNCTION("IFERROR(VLOOKUP(E771&amp;F771,IMPORTRANGE(""https://docs.google.com/spreadsheets/d/1Uw7-A9f9R21vMXxHZFNpYNeKFtG8_yji4HS352LGlSQ/edit?pli=1#gid=0"",""1_ACUM!A4:S""),19,FALSE))"),"")</f>
        <v/>
      </c>
      <c r="BF757" s="98" t="str">
        <f ca="1">IFERROR(__xludf.DUMMYFUNCTION("IFERROR(VLOOKUP(F771,IMPORTRANGE(""https://docs.google.com/spreadsheets/d/1Kvs4KS76FHFqLFIZfrDMff4kP08nblUkihrxltoGBjg/edit#gid=934712705"",""ESENCIAL!A6:BG""),5,FALSE))"),"")</f>
        <v/>
      </c>
      <c r="BG757" s="98" t="str">
        <f t="shared" si="25"/>
        <v/>
      </c>
      <c r="BH757" s="99" t="str">
        <f t="shared" si="26"/>
        <v/>
      </c>
      <c r="BI757" s="100" t="str">
        <f ca="1">IFERROR(__xludf.DUMMYFUNCTION("IFERROR(VLOOKUP(F771,IMPORTRANGE(""https://docs.google.com/spreadsheets/d/1Kvs4KS76FHFqLFIZfrDMff4kP08nblUkihrxltoGBjg/edit#gid=934712705"",""ESENCIAL!A6:BG""),2,FALSE))"),"")</f>
        <v/>
      </c>
      <c r="BJ757" s="19" t="str">
        <f t="shared" si="27"/>
        <v/>
      </c>
      <c r="BK757" s="100"/>
      <c r="BL757" s="100"/>
    </row>
    <row r="758" spans="1:64" ht="15">
      <c r="A758" s="5"/>
      <c r="B758" s="5"/>
      <c r="G758" s="5" t="str">
        <f ca="1">IFERROR(__xludf.DUMMYFUNCTION("IFERROR(VLOOKUP(F772,IMPORTRANGE(""https://docs.google.com/spreadsheets/d/1Kvs4KS76FHFqLFIZfrDMff4kP08nblUkihrxltoGBjg/edit#gid=934712705"",""ESENCIAL!A6:BG""),3,FALSE))"),"")</f>
        <v/>
      </c>
      <c r="H758" s="5" t="str">
        <f ca="1">IFERROR(__xludf.DUMMYFUNCTION("IFERROR(VLOOKUP(F772,IMPORTRANGE(""https://docs.google.com/spreadsheets/d/1Kvs4KS76FHFqLFIZfrDMff4kP08nblUkihrxltoGBjg/edit#gid=934712705"",""ESENCIAL!A6:BG""),8,FALSE))"),"")</f>
        <v/>
      </c>
      <c r="L758" s="287"/>
      <c r="U758" s="40"/>
      <c r="AU758" s="41" t="str">
        <f t="shared" si="24"/>
        <v/>
      </c>
      <c r="AV758" s="5" t="str">
        <f ca="1">IFERROR(__xludf.DUMMYFUNCTION("IFERROR(VLOOKUP(E772&amp;F772,IMPORTRANGE(""https://docs.google.com/spreadsheets/d/1Uw7-A9f9R21vMXxHZFNpYNeKFtG8_yji4HS352LGlSQ/edit?pli=1#gid=0"",""1_ACUM!A4:S""),11,FALSE))"),"")</f>
        <v/>
      </c>
      <c r="AW758" s="42" t="str">
        <f ca="1">IFERROR(__xludf.DUMMYFUNCTION("IFERROR(VLOOKUP(F772,IMPORTRANGE(""https://docs.google.com/spreadsheets/d/1Kvs4KS76FHFqLFIZfrDMff4kP08nblUkihrxltoGBjg/edit#gid=934712705"",""ESENCIAL!A6:BG""),15,FALSE))"),"")</f>
        <v/>
      </c>
      <c r="AX758" s="21" t="str">
        <f ca="1">IFERROR(__xludf.DUMMYFUNCTION("IFERROR(VLOOKUP(E772&amp;F772,IMPORTRANGE(""https://docs.google.com/spreadsheets/d/1Uw7-A9f9R21vMXxHZFNpYNeKFtG8_yji4HS352LGlSQ/edit?pli=1#gid=0"",""1_ACUM!A4:S""),12,FALSE))"),"")</f>
        <v/>
      </c>
      <c r="AY758" s="43" t="str">
        <f ca="1">IFERROR(__xludf.DUMMYFUNCTION("IFERROR(VLOOKUP(E772&amp;F772,IMPORTRANGE(""https://docs.google.com/spreadsheets/d/1Uw7-A9f9R21vMXxHZFNpYNeKFtG8_yji4HS352LGlSQ/edit?pli=1#gid=0"",""1_ACUM!A4:S""),13,FALSE))"),"")</f>
        <v/>
      </c>
      <c r="AZ758" s="43" t="str">
        <f ca="1">IFERROR(__xludf.DUMMYFUNCTION("IFERROR(VLOOKUP(E772&amp;F772,IMPORTRANGE(""https://docs.google.com/spreadsheets/d/1Uw7-A9f9R21vMXxHZFNpYNeKFtG8_yji4HS352LGlSQ/edit?pli=1#gid=0"",""1_ACUM!A4:S""),14,FALSE))"),"")</f>
        <v/>
      </c>
      <c r="BA758" s="43" t="str">
        <f ca="1">IFERROR(__xludf.DUMMYFUNCTION("IFERROR(VLOOKUP(E772&amp;F772,IMPORTRANGE(""https://docs.google.com/spreadsheets/d/1Uw7-A9f9R21vMXxHZFNpYNeKFtG8_yji4HS352LGlSQ/edit?pli=1#gid=0"",""1_ACUM!A4:S""),15,FALSE))"),"")</f>
        <v/>
      </c>
      <c r="BB758" s="43" t="str">
        <f ca="1">IFERROR(__xludf.DUMMYFUNCTION("IFERROR(VLOOKUP(E772&amp;F772,IMPORTRANGE(""https://docs.google.com/spreadsheets/d/1Uw7-A9f9R21vMXxHZFNpYNeKFtG8_yji4HS352LGlSQ/edit?pli=1#gid=0"",""1_ACUM!A4:S""),16,FALSE))"),"")</f>
        <v/>
      </c>
      <c r="BC758" s="43" t="str">
        <f ca="1">IFERROR(__xludf.DUMMYFUNCTION("IFERROR(VLOOKUP(E772&amp;F772,IMPORTRANGE(""https://docs.google.com/spreadsheets/d/1Uw7-A9f9R21vMXxHZFNpYNeKFtG8_yji4HS352LGlSQ/edit?pli=1#gid=0"",""1_ACUM!A4:S""),17,FALSE))"),"")</f>
        <v/>
      </c>
      <c r="BD758" s="44" t="str">
        <f ca="1">IFERROR(__xludf.DUMMYFUNCTION("IFERROR(VLOOKUP(E772&amp;F772,IMPORTRANGE(""https://docs.google.com/spreadsheets/d/1Uw7-A9f9R21vMXxHZFNpYNeKFtG8_yji4HS352LGlSQ/edit?pli=1#gid=0"",""1_ACUM!A4:S""),18,FALSE))"),"")</f>
        <v/>
      </c>
      <c r="BE758" s="44" t="str">
        <f ca="1">IFERROR(__xludf.DUMMYFUNCTION("IFERROR(VLOOKUP(E772&amp;F772,IMPORTRANGE(""https://docs.google.com/spreadsheets/d/1Uw7-A9f9R21vMXxHZFNpYNeKFtG8_yji4HS352LGlSQ/edit?pli=1#gid=0"",""1_ACUM!A4:S""),19,FALSE))"),"")</f>
        <v/>
      </c>
      <c r="BF758" s="98" t="str">
        <f ca="1">IFERROR(__xludf.DUMMYFUNCTION("IFERROR(VLOOKUP(F772,IMPORTRANGE(""https://docs.google.com/spreadsheets/d/1Kvs4KS76FHFqLFIZfrDMff4kP08nblUkihrxltoGBjg/edit#gid=934712705"",""ESENCIAL!A6:BG""),5,FALSE))"),"")</f>
        <v/>
      </c>
      <c r="BG758" s="98" t="str">
        <f t="shared" si="25"/>
        <v/>
      </c>
      <c r="BH758" s="99" t="str">
        <f t="shared" si="26"/>
        <v/>
      </c>
      <c r="BI758" s="100" t="str">
        <f ca="1">IFERROR(__xludf.DUMMYFUNCTION("IFERROR(VLOOKUP(F772,IMPORTRANGE(""https://docs.google.com/spreadsheets/d/1Kvs4KS76FHFqLFIZfrDMff4kP08nblUkihrxltoGBjg/edit#gid=934712705"",""ESENCIAL!A6:BG""),2,FALSE))"),"")</f>
        <v/>
      </c>
      <c r="BJ758" s="19" t="str">
        <f t="shared" si="27"/>
        <v/>
      </c>
      <c r="BK758" s="100"/>
      <c r="BL758" s="100"/>
    </row>
    <row r="759" spans="1:64" ht="15">
      <c r="A759" s="5"/>
      <c r="B759" s="5"/>
      <c r="G759" s="5" t="str">
        <f ca="1">IFERROR(__xludf.DUMMYFUNCTION("IFERROR(VLOOKUP(F773,IMPORTRANGE(""https://docs.google.com/spreadsheets/d/1Kvs4KS76FHFqLFIZfrDMff4kP08nblUkihrxltoGBjg/edit#gid=934712705"",""ESENCIAL!A6:BG""),3,FALSE))"),"")</f>
        <v/>
      </c>
      <c r="H759" s="5" t="str">
        <f ca="1">IFERROR(__xludf.DUMMYFUNCTION("IFERROR(VLOOKUP(F773,IMPORTRANGE(""https://docs.google.com/spreadsheets/d/1Kvs4KS76FHFqLFIZfrDMff4kP08nblUkihrxltoGBjg/edit#gid=934712705"",""ESENCIAL!A6:BG""),8,FALSE))"),"")</f>
        <v/>
      </c>
      <c r="L759" s="287"/>
      <c r="U759" s="40"/>
      <c r="AU759" s="41" t="str">
        <f t="shared" si="24"/>
        <v/>
      </c>
      <c r="AV759" s="5" t="str">
        <f ca="1">IFERROR(__xludf.DUMMYFUNCTION("IFERROR(VLOOKUP(E773&amp;F773,IMPORTRANGE(""https://docs.google.com/spreadsheets/d/1Uw7-A9f9R21vMXxHZFNpYNeKFtG8_yji4HS352LGlSQ/edit?pli=1#gid=0"",""1_ACUM!A4:S""),11,FALSE))"),"")</f>
        <v/>
      </c>
      <c r="AW759" s="42" t="str">
        <f ca="1">IFERROR(__xludf.DUMMYFUNCTION("IFERROR(VLOOKUP(F773,IMPORTRANGE(""https://docs.google.com/spreadsheets/d/1Kvs4KS76FHFqLFIZfrDMff4kP08nblUkihrxltoGBjg/edit#gid=934712705"",""ESENCIAL!A6:BG""),15,FALSE))"),"")</f>
        <v/>
      </c>
      <c r="AX759" s="21" t="str">
        <f ca="1">IFERROR(__xludf.DUMMYFUNCTION("IFERROR(VLOOKUP(E773&amp;F773,IMPORTRANGE(""https://docs.google.com/spreadsheets/d/1Uw7-A9f9R21vMXxHZFNpYNeKFtG8_yji4HS352LGlSQ/edit?pli=1#gid=0"",""1_ACUM!A4:S""),12,FALSE))"),"")</f>
        <v/>
      </c>
      <c r="AY759" s="43" t="str">
        <f ca="1">IFERROR(__xludf.DUMMYFUNCTION("IFERROR(VLOOKUP(E773&amp;F773,IMPORTRANGE(""https://docs.google.com/spreadsheets/d/1Uw7-A9f9R21vMXxHZFNpYNeKFtG8_yji4HS352LGlSQ/edit?pli=1#gid=0"",""1_ACUM!A4:S""),13,FALSE))"),"")</f>
        <v/>
      </c>
      <c r="AZ759" s="43" t="str">
        <f ca="1">IFERROR(__xludf.DUMMYFUNCTION("IFERROR(VLOOKUP(E773&amp;F773,IMPORTRANGE(""https://docs.google.com/spreadsheets/d/1Uw7-A9f9R21vMXxHZFNpYNeKFtG8_yji4HS352LGlSQ/edit?pli=1#gid=0"",""1_ACUM!A4:S""),14,FALSE))"),"")</f>
        <v/>
      </c>
      <c r="BA759" s="43" t="str">
        <f ca="1">IFERROR(__xludf.DUMMYFUNCTION("IFERROR(VLOOKUP(E773&amp;F773,IMPORTRANGE(""https://docs.google.com/spreadsheets/d/1Uw7-A9f9R21vMXxHZFNpYNeKFtG8_yji4HS352LGlSQ/edit?pli=1#gid=0"",""1_ACUM!A4:S""),15,FALSE))"),"")</f>
        <v/>
      </c>
      <c r="BB759" s="43" t="str">
        <f ca="1">IFERROR(__xludf.DUMMYFUNCTION("IFERROR(VLOOKUP(E773&amp;F773,IMPORTRANGE(""https://docs.google.com/spreadsheets/d/1Uw7-A9f9R21vMXxHZFNpYNeKFtG8_yji4HS352LGlSQ/edit?pli=1#gid=0"",""1_ACUM!A4:S""),16,FALSE))"),"")</f>
        <v/>
      </c>
      <c r="BC759" s="43" t="str">
        <f ca="1">IFERROR(__xludf.DUMMYFUNCTION("IFERROR(VLOOKUP(E773&amp;F773,IMPORTRANGE(""https://docs.google.com/spreadsheets/d/1Uw7-A9f9R21vMXxHZFNpYNeKFtG8_yji4HS352LGlSQ/edit?pli=1#gid=0"",""1_ACUM!A4:S""),17,FALSE))"),"")</f>
        <v/>
      </c>
      <c r="BD759" s="44" t="str">
        <f ca="1">IFERROR(__xludf.DUMMYFUNCTION("IFERROR(VLOOKUP(E773&amp;F773,IMPORTRANGE(""https://docs.google.com/spreadsheets/d/1Uw7-A9f9R21vMXxHZFNpYNeKFtG8_yji4HS352LGlSQ/edit?pli=1#gid=0"",""1_ACUM!A4:S""),18,FALSE))"),"")</f>
        <v/>
      </c>
      <c r="BE759" s="44" t="str">
        <f ca="1">IFERROR(__xludf.DUMMYFUNCTION("IFERROR(VLOOKUP(E773&amp;F773,IMPORTRANGE(""https://docs.google.com/spreadsheets/d/1Uw7-A9f9R21vMXxHZFNpYNeKFtG8_yji4HS352LGlSQ/edit?pli=1#gid=0"",""1_ACUM!A4:S""),19,FALSE))"),"")</f>
        <v/>
      </c>
      <c r="BF759" s="98" t="str">
        <f ca="1">IFERROR(__xludf.DUMMYFUNCTION("IFERROR(VLOOKUP(F773,IMPORTRANGE(""https://docs.google.com/spreadsheets/d/1Kvs4KS76FHFqLFIZfrDMff4kP08nblUkihrxltoGBjg/edit#gid=934712705"",""ESENCIAL!A6:BG""),5,FALSE))"),"")</f>
        <v/>
      </c>
      <c r="BG759" s="98" t="str">
        <f t="shared" si="25"/>
        <v/>
      </c>
      <c r="BH759" s="99" t="str">
        <f t="shared" si="26"/>
        <v/>
      </c>
      <c r="BI759" s="100" t="str">
        <f ca="1">IFERROR(__xludf.DUMMYFUNCTION("IFERROR(VLOOKUP(F773,IMPORTRANGE(""https://docs.google.com/spreadsheets/d/1Kvs4KS76FHFqLFIZfrDMff4kP08nblUkihrxltoGBjg/edit#gid=934712705"",""ESENCIAL!A6:BG""),2,FALSE))"),"")</f>
        <v/>
      </c>
      <c r="BJ759" s="19" t="str">
        <f t="shared" si="27"/>
        <v/>
      </c>
      <c r="BK759" s="100"/>
      <c r="BL759" s="100"/>
    </row>
    <row r="760" spans="1:64" ht="15">
      <c r="A760" s="5"/>
      <c r="B760" s="5"/>
      <c r="G760" s="5" t="str">
        <f ca="1">IFERROR(__xludf.DUMMYFUNCTION("IFERROR(VLOOKUP(F774,IMPORTRANGE(""https://docs.google.com/spreadsheets/d/1Kvs4KS76FHFqLFIZfrDMff4kP08nblUkihrxltoGBjg/edit#gid=934712705"",""ESENCIAL!A6:BG""),3,FALSE))"),"")</f>
        <v/>
      </c>
      <c r="H760" s="5" t="str">
        <f ca="1">IFERROR(__xludf.DUMMYFUNCTION("IFERROR(VLOOKUP(F774,IMPORTRANGE(""https://docs.google.com/spreadsheets/d/1Kvs4KS76FHFqLFIZfrDMff4kP08nblUkihrxltoGBjg/edit#gid=934712705"",""ESENCIAL!A6:BG""),8,FALSE))"),"")</f>
        <v/>
      </c>
      <c r="L760" s="287"/>
      <c r="U760" s="40"/>
      <c r="AU760" s="41" t="str">
        <f t="shared" si="24"/>
        <v/>
      </c>
      <c r="AV760" s="5" t="str">
        <f ca="1">IFERROR(__xludf.DUMMYFUNCTION("IFERROR(VLOOKUP(E774&amp;F774,IMPORTRANGE(""https://docs.google.com/spreadsheets/d/1Uw7-A9f9R21vMXxHZFNpYNeKFtG8_yji4HS352LGlSQ/edit?pli=1#gid=0"",""1_ACUM!A4:S""),11,FALSE))"),"")</f>
        <v/>
      </c>
      <c r="AW760" s="42" t="str">
        <f ca="1">IFERROR(__xludf.DUMMYFUNCTION("IFERROR(VLOOKUP(F774,IMPORTRANGE(""https://docs.google.com/spreadsheets/d/1Kvs4KS76FHFqLFIZfrDMff4kP08nblUkihrxltoGBjg/edit#gid=934712705"",""ESENCIAL!A6:BG""),15,FALSE))"),"")</f>
        <v/>
      </c>
      <c r="AX760" s="21" t="str">
        <f ca="1">IFERROR(__xludf.DUMMYFUNCTION("IFERROR(VLOOKUP(E774&amp;F774,IMPORTRANGE(""https://docs.google.com/spreadsheets/d/1Uw7-A9f9R21vMXxHZFNpYNeKFtG8_yji4HS352LGlSQ/edit?pli=1#gid=0"",""1_ACUM!A4:S""),12,FALSE))"),"")</f>
        <v/>
      </c>
      <c r="AY760" s="43" t="str">
        <f ca="1">IFERROR(__xludf.DUMMYFUNCTION("IFERROR(VLOOKUP(E774&amp;F774,IMPORTRANGE(""https://docs.google.com/spreadsheets/d/1Uw7-A9f9R21vMXxHZFNpYNeKFtG8_yji4HS352LGlSQ/edit?pli=1#gid=0"",""1_ACUM!A4:S""),13,FALSE))"),"")</f>
        <v/>
      </c>
      <c r="AZ760" s="43" t="str">
        <f ca="1">IFERROR(__xludf.DUMMYFUNCTION("IFERROR(VLOOKUP(E774&amp;F774,IMPORTRANGE(""https://docs.google.com/spreadsheets/d/1Uw7-A9f9R21vMXxHZFNpYNeKFtG8_yji4HS352LGlSQ/edit?pli=1#gid=0"",""1_ACUM!A4:S""),14,FALSE))"),"")</f>
        <v/>
      </c>
      <c r="BA760" s="43" t="str">
        <f ca="1">IFERROR(__xludf.DUMMYFUNCTION("IFERROR(VLOOKUP(E774&amp;F774,IMPORTRANGE(""https://docs.google.com/spreadsheets/d/1Uw7-A9f9R21vMXxHZFNpYNeKFtG8_yji4HS352LGlSQ/edit?pli=1#gid=0"",""1_ACUM!A4:S""),15,FALSE))"),"")</f>
        <v/>
      </c>
      <c r="BB760" s="43" t="str">
        <f ca="1">IFERROR(__xludf.DUMMYFUNCTION("IFERROR(VLOOKUP(E774&amp;F774,IMPORTRANGE(""https://docs.google.com/spreadsheets/d/1Uw7-A9f9R21vMXxHZFNpYNeKFtG8_yji4HS352LGlSQ/edit?pli=1#gid=0"",""1_ACUM!A4:S""),16,FALSE))"),"")</f>
        <v/>
      </c>
      <c r="BC760" s="43" t="str">
        <f ca="1">IFERROR(__xludf.DUMMYFUNCTION("IFERROR(VLOOKUP(E774&amp;F774,IMPORTRANGE(""https://docs.google.com/spreadsheets/d/1Uw7-A9f9R21vMXxHZFNpYNeKFtG8_yji4HS352LGlSQ/edit?pli=1#gid=0"",""1_ACUM!A4:S""),17,FALSE))"),"")</f>
        <v/>
      </c>
      <c r="BD760" s="44" t="str">
        <f ca="1">IFERROR(__xludf.DUMMYFUNCTION("IFERROR(VLOOKUP(E774&amp;F774,IMPORTRANGE(""https://docs.google.com/spreadsheets/d/1Uw7-A9f9R21vMXxHZFNpYNeKFtG8_yji4HS352LGlSQ/edit?pli=1#gid=0"",""1_ACUM!A4:S""),18,FALSE))"),"")</f>
        <v/>
      </c>
      <c r="BE760" s="44" t="str">
        <f ca="1">IFERROR(__xludf.DUMMYFUNCTION("IFERROR(VLOOKUP(E774&amp;F774,IMPORTRANGE(""https://docs.google.com/spreadsheets/d/1Uw7-A9f9R21vMXxHZFNpYNeKFtG8_yji4HS352LGlSQ/edit?pli=1#gid=0"",""1_ACUM!A4:S""),19,FALSE))"),"")</f>
        <v/>
      </c>
      <c r="BF760" s="98" t="str">
        <f ca="1">IFERROR(__xludf.DUMMYFUNCTION("IFERROR(VLOOKUP(F774,IMPORTRANGE(""https://docs.google.com/spreadsheets/d/1Kvs4KS76FHFqLFIZfrDMff4kP08nblUkihrxltoGBjg/edit#gid=934712705"",""ESENCIAL!A6:BG""),5,FALSE))"),"")</f>
        <v/>
      </c>
      <c r="BG760" s="98" t="str">
        <f t="shared" si="25"/>
        <v/>
      </c>
      <c r="BH760" s="99" t="str">
        <f t="shared" si="26"/>
        <v/>
      </c>
      <c r="BI760" s="100" t="str">
        <f ca="1">IFERROR(__xludf.DUMMYFUNCTION("IFERROR(VLOOKUP(F774,IMPORTRANGE(""https://docs.google.com/spreadsheets/d/1Kvs4KS76FHFqLFIZfrDMff4kP08nblUkihrxltoGBjg/edit#gid=934712705"",""ESENCIAL!A6:BG""),2,FALSE))"),"")</f>
        <v/>
      </c>
      <c r="BJ760" s="19" t="str">
        <f t="shared" si="27"/>
        <v/>
      </c>
      <c r="BK760" s="100"/>
      <c r="BL760" s="100"/>
    </row>
    <row r="761" spans="1:64" ht="15">
      <c r="A761" s="5"/>
      <c r="B761" s="5"/>
      <c r="G761" s="5" t="str">
        <f ca="1">IFERROR(__xludf.DUMMYFUNCTION("IFERROR(VLOOKUP(F775,IMPORTRANGE(""https://docs.google.com/spreadsheets/d/1Kvs4KS76FHFqLFIZfrDMff4kP08nblUkihrxltoGBjg/edit#gid=934712705"",""ESENCIAL!A6:BG""),3,FALSE))"),"")</f>
        <v/>
      </c>
      <c r="H761" s="5" t="str">
        <f ca="1">IFERROR(__xludf.DUMMYFUNCTION("IFERROR(VLOOKUP(F775,IMPORTRANGE(""https://docs.google.com/spreadsheets/d/1Kvs4KS76FHFqLFIZfrDMff4kP08nblUkihrxltoGBjg/edit#gid=934712705"",""ESENCIAL!A6:BG""),8,FALSE))"),"")</f>
        <v/>
      </c>
      <c r="L761" s="287"/>
      <c r="U761" s="40"/>
      <c r="AU761" s="41" t="str">
        <f t="shared" si="24"/>
        <v/>
      </c>
      <c r="AV761" s="5" t="str">
        <f ca="1">IFERROR(__xludf.DUMMYFUNCTION("IFERROR(VLOOKUP(E775&amp;F775,IMPORTRANGE(""https://docs.google.com/spreadsheets/d/1Uw7-A9f9R21vMXxHZFNpYNeKFtG8_yji4HS352LGlSQ/edit?pli=1#gid=0"",""1_ACUM!A4:S""),11,FALSE))"),"")</f>
        <v/>
      </c>
      <c r="AW761" s="42" t="str">
        <f ca="1">IFERROR(__xludf.DUMMYFUNCTION("IFERROR(VLOOKUP(F775,IMPORTRANGE(""https://docs.google.com/spreadsheets/d/1Kvs4KS76FHFqLFIZfrDMff4kP08nblUkihrxltoGBjg/edit#gid=934712705"",""ESENCIAL!A6:BG""),15,FALSE))"),"")</f>
        <v/>
      </c>
      <c r="AX761" s="21" t="str">
        <f ca="1">IFERROR(__xludf.DUMMYFUNCTION("IFERROR(VLOOKUP(E775&amp;F775,IMPORTRANGE(""https://docs.google.com/spreadsheets/d/1Uw7-A9f9R21vMXxHZFNpYNeKFtG8_yji4HS352LGlSQ/edit?pli=1#gid=0"",""1_ACUM!A4:S""),12,FALSE))"),"")</f>
        <v/>
      </c>
      <c r="AY761" s="43" t="str">
        <f ca="1">IFERROR(__xludf.DUMMYFUNCTION("IFERROR(VLOOKUP(E775&amp;F775,IMPORTRANGE(""https://docs.google.com/spreadsheets/d/1Uw7-A9f9R21vMXxHZFNpYNeKFtG8_yji4HS352LGlSQ/edit?pli=1#gid=0"",""1_ACUM!A4:S""),13,FALSE))"),"")</f>
        <v/>
      </c>
      <c r="AZ761" s="43" t="str">
        <f ca="1">IFERROR(__xludf.DUMMYFUNCTION("IFERROR(VLOOKUP(E775&amp;F775,IMPORTRANGE(""https://docs.google.com/spreadsheets/d/1Uw7-A9f9R21vMXxHZFNpYNeKFtG8_yji4HS352LGlSQ/edit?pli=1#gid=0"",""1_ACUM!A4:S""),14,FALSE))"),"")</f>
        <v/>
      </c>
      <c r="BA761" s="43" t="str">
        <f ca="1">IFERROR(__xludf.DUMMYFUNCTION("IFERROR(VLOOKUP(E775&amp;F775,IMPORTRANGE(""https://docs.google.com/spreadsheets/d/1Uw7-A9f9R21vMXxHZFNpYNeKFtG8_yji4HS352LGlSQ/edit?pli=1#gid=0"",""1_ACUM!A4:S""),15,FALSE))"),"")</f>
        <v/>
      </c>
      <c r="BB761" s="43" t="str">
        <f ca="1">IFERROR(__xludf.DUMMYFUNCTION("IFERROR(VLOOKUP(E775&amp;F775,IMPORTRANGE(""https://docs.google.com/spreadsheets/d/1Uw7-A9f9R21vMXxHZFNpYNeKFtG8_yji4HS352LGlSQ/edit?pli=1#gid=0"",""1_ACUM!A4:S""),16,FALSE))"),"")</f>
        <v/>
      </c>
      <c r="BC761" s="43" t="str">
        <f ca="1">IFERROR(__xludf.DUMMYFUNCTION("IFERROR(VLOOKUP(E775&amp;F775,IMPORTRANGE(""https://docs.google.com/spreadsheets/d/1Uw7-A9f9R21vMXxHZFNpYNeKFtG8_yji4HS352LGlSQ/edit?pli=1#gid=0"",""1_ACUM!A4:S""),17,FALSE))"),"")</f>
        <v/>
      </c>
      <c r="BD761" s="44" t="str">
        <f ca="1">IFERROR(__xludf.DUMMYFUNCTION("IFERROR(VLOOKUP(E775&amp;F775,IMPORTRANGE(""https://docs.google.com/spreadsheets/d/1Uw7-A9f9R21vMXxHZFNpYNeKFtG8_yji4HS352LGlSQ/edit?pli=1#gid=0"",""1_ACUM!A4:S""),18,FALSE))"),"")</f>
        <v/>
      </c>
      <c r="BE761" s="44" t="str">
        <f ca="1">IFERROR(__xludf.DUMMYFUNCTION("IFERROR(VLOOKUP(E775&amp;F775,IMPORTRANGE(""https://docs.google.com/spreadsheets/d/1Uw7-A9f9R21vMXxHZFNpYNeKFtG8_yji4HS352LGlSQ/edit?pli=1#gid=0"",""1_ACUM!A4:S""),19,FALSE))"),"")</f>
        <v/>
      </c>
      <c r="BF761" s="98" t="str">
        <f ca="1">IFERROR(__xludf.DUMMYFUNCTION("IFERROR(VLOOKUP(F775,IMPORTRANGE(""https://docs.google.com/spreadsheets/d/1Kvs4KS76FHFqLFIZfrDMff4kP08nblUkihrxltoGBjg/edit#gid=934712705"",""ESENCIAL!A6:BG""),5,FALSE))"),"")</f>
        <v/>
      </c>
      <c r="BG761" s="98" t="str">
        <f t="shared" si="25"/>
        <v/>
      </c>
      <c r="BH761" s="99" t="str">
        <f t="shared" si="26"/>
        <v/>
      </c>
      <c r="BI761" s="100" t="str">
        <f ca="1">IFERROR(__xludf.DUMMYFUNCTION("IFERROR(VLOOKUP(F775,IMPORTRANGE(""https://docs.google.com/spreadsheets/d/1Kvs4KS76FHFqLFIZfrDMff4kP08nblUkihrxltoGBjg/edit#gid=934712705"",""ESENCIAL!A6:BG""),2,FALSE))"),"")</f>
        <v/>
      </c>
      <c r="BJ761" s="19" t="str">
        <f t="shared" si="27"/>
        <v/>
      </c>
      <c r="BK761" s="100"/>
      <c r="BL761" s="100"/>
    </row>
    <row r="762" spans="1:64" ht="15">
      <c r="A762" s="5"/>
      <c r="B762" s="5"/>
      <c r="G762" s="5" t="str">
        <f ca="1">IFERROR(__xludf.DUMMYFUNCTION("IFERROR(VLOOKUP(F776,IMPORTRANGE(""https://docs.google.com/spreadsheets/d/1Kvs4KS76FHFqLFIZfrDMff4kP08nblUkihrxltoGBjg/edit#gid=934712705"",""ESENCIAL!A6:BG""),3,FALSE))"),"")</f>
        <v/>
      </c>
      <c r="H762" s="5" t="str">
        <f ca="1">IFERROR(__xludf.DUMMYFUNCTION("IFERROR(VLOOKUP(F776,IMPORTRANGE(""https://docs.google.com/spreadsheets/d/1Kvs4KS76FHFqLFIZfrDMff4kP08nblUkihrxltoGBjg/edit#gid=934712705"",""ESENCIAL!A6:BG""),8,FALSE))"),"")</f>
        <v/>
      </c>
      <c r="L762" s="287"/>
      <c r="U762" s="40"/>
      <c r="AU762" s="41" t="str">
        <f t="shared" si="24"/>
        <v/>
      </c>
      <c r="AV762" s="5" t="str">
        <f ca="1">IFERROR(__xludf.DUMMYFUNCTION("IFERROR(VLOOKUP(E776&amp;F776,IMPORTRANGE(""https://docs.google.com/spreadsheets/d/1Uw7-A9f9R21vMXxHZFNpYNeKFtG8_yji4HS352LGlSQ/edit?pli=1#gid=0"",""1_ACUM!A4:S""),11,FALSE))"),"")</f>
        <v/>
      </c>
      <c r="AW762" s="42" t="str">
        <f ca="1">IFERROR(__xludf.DUMMYFUNCTION("IFERROR(VLOOKUP(F776,IMPORTRANGE(""https://docs.google.com/spreadsheets/d/1Kvs4KS76FHFqLFIZfrDMff4kP08nblUkihrxltoGBjg/edit#gid=934712705"",""ESENCIAL!A6:BG""),15,FALSE))"),"")</f>
        <v/>
      </c>
      <c r="AX762" s="21" t="str">
        <f ca="1">IFERROR(__xludf.DUMMYFUNCTION("IFERROR(VLOOKUP(E776&amp;F776,IMPORTRANGE(""https://docs.google.com/spreadsheets/d/1Uw7-A9f9R21vMXxHZFNpYNeKFtG8_yji4HS352LGlSQ/edit?pli=1#gid=0"",""1_ACUM!A4:S""),12,FALSE))"),"")</f>
        <v/>
      </c>
      <c r="AY762" s="43" t="str">
        <f ca="1">IFERROR(__xludf.DUMMYFUNCTION("IFERROR(VLOOKUP(E776&amp;F776,IMPORTRANGE(""https://docs.google.com/spreadsheets/d/1Uw7-A9f9R21vMXxHZFNpYNeKFtG8_yji4HS352LGlSQ/edit?pli=1#gid=0"",""1_ACUM!A4:S""),13,FALSE))"),"")</f>
        <v/>
      </c>
      <c r="AZ762" s="43" t="str">
        <f ca="1">IFERROR(__xludf.DUMMYFUNCTION("IFERROR(VLOOKUP(E776&amp;F776,IMPORTRANGE(""https://docs.google.com/spreadsheets/d/1Uw7-A9f9R21vMXxHZFNpYNeKFtG8_yji4HS352LGlSQ/edit?pli=1#gid=0"",""1_ACUM!A4:S""),14,FALSE))"),"")</f>
        <v/>
      </c>
      <c r="BA762" s="43" t="str">
        <f ca="1">IFERROR(__xludf.DUMMYFUNCTION("IFERROR(VLOOKUP(E776&amp;F776,IMPORTRANGE(""https://docs.google.com/spreadsheets/d/1Uw7-A9f9R21vMXxHZFNpYNeKFtG8_yji4HS352LGlSQ/edit?pli=1#gid=0"",""1_ACUM!A4:S""),15,FALSE))"),"")</f>
        <v/>
      </c>
      <c r="BB762" s="43" t="str">
        <f ca="1">IFERROR(__xludf.DUMMYFUNCTION("IFERROR(VLOOKUP(E776&amp;F776,IMPORTRANGE(""https://docs.google.com/spreadsheets/d/1Uw7-A9f9R21vMXxHZFNpYNeKFtG8_yji4HS352LGlSQ/edit?pli=1#gid=0"",""1_ACUM!A4:S""),16,FALSE))"),"")</f>
        <v/>
      </c>
      <c r="BC762" s="43" t="str">
        <f ca="1">IFERROR(__xludf.DUMMYFUNCTION("IFERROR(VLOOKUP(E776&amp;F776,IMPORTRANGE(""https://docs.google.com/spreadsheets/d/1Uw7-A9f9R21vMXxHZFNpYNeKFtG8_yji4HS352LGlSQ/edit?pli=1#gid=0"",""1_ACUM!A4:S""),17,FALSE))"),"")</f>
        <v/>
      </c>
      <c r="BD762" s="44" t="str">
        <f ca="1">IFERROR(__xludf.DUMMYFUNCTION("IFERROR(VLOOKUP(E776&amp;F776,IMPORTRANGE(""https://docs.google.com/spreadsheets/d/1Uw7-A9f9R21vMXxHZFNpYNeKFtG8_yji4HS352LGlSQ/edit?pli=1#gid=0"",""1_ACUM!A4:S""),18,FALSE))"),"")</f>
        <v/>
      </c>
      <c r="BE762" s="44" t="str">
        <f ca="1">IFERROR(__xludf.DUMMYFUNCTION("IFERROR(VLOOKUP(E776&amp;F776,IMPORTRANGE(""https://docs.google.com/spreadsheets/d/1Uw7-A9f9R21vMXxHZFNpYNeKFtG8_yji4HS352LGlSQ/edit?pli=1#gid=0"",""1_ACUM!A4:S""),19,FALSE))"),"")</f>
        <v/>
      </c>
      <c r="BF762" s="98" t="str">
        <f ca="1">IFERROR(__xludf.DUMMYFUNCTION("IFERROR(VLOOKUP(F776,IMPORTRANGE(""https://docs.google.com/spreadsheets/d/1Kvs4KS76FHFqLFIZfrDMff4kP08nblUkihrxltoGBjg/edit#gid=934712705"",""ESENCIAL!A6:BG""),5,FALSE))"),"")</f>
        <v/>
      </c>
      <c r="BG762" s="98" t="str">
        <f t="shared" si="25"/>
        <v/>
      </c>
      <c r="BH762" s="99" t="str">
        <f t="shared" si="26"/>
        <v/>
      </c>
      <c r="BI762" s="100" t="str">
        <f ca="1">IFERROR(__xludf.DUMMYFUNCTION("IFERROR(VLOOKUP(F776,IMPORTRANGE(""https://docs.google.com/spreadsheets/d/1Kvs4KS76FHFqLFIZfrDMff4kP08nblUkihrxltoGBjg/edit#gid=934712705"",""ESENCIAL!A6:BG""),2,FALSE))"),"")</f>
        <v/>
      </c>
      <c r="BJ762" s="19" t="str">
        <f t="shared" si="27"/>
        <v/>
      </c>
      <c r="BK762" s="100"/>
      <c r="BL762" s="100"/>
    </row>
    <row r="763" spans="1:64" ht="15">
      <c r="A763" s="5"/>
      <c r="B763" s="5"/>
      <c r="G763" s="5" t="str">
        <f ca="1">IFERROR(__xludf.DUMMYFUNCTION("IFERROR(VLOOKUP(F777,IMPORTRANGE(""https://docs.google.com/spreadsheets/d/1Kvs4KS76FHFqLFIZfrDMff4kP08nblUkihrxltoGBjg/edit#gid=934712705"",""ESENCIAL!A6:BG""),3,FALSE))"),"")</f>
        <v/>
      </c>
      <c r="H763" s="5" t="str">
        <f ca="1">IFERROR(__xludf.DUMMYFUNCTION("IFERROR(VLOOKUP(F777,IMPORTRANGE(""https://docs.google.com/spreadsheets/d/1Kvs4KS76FHFqLFIZfrDMff4kP08nblUkihrxltoGBjg/edit#gid=934712705"",""ESENCIAL!A6:BG""),8,FALSE))"),"")</f>
        <v/>
      </c>
      <c r="L763" s="287"/>
      <c r="U763" s="40"/>
      <c r="AU763" s="41" t="str">
        <f t="shared" si="24"/>
        <v/>
      </c>
      <c r="AV763" s="5" t="str">
        <f ca="1">IFERROR(__xludf.DUMMYFUNCTION("IFERROR(VLOOKUP(E777&amp;F777,IMPORTRANGE(""https://docs.google.com/spreadsheets/d/1Uw7-A9f9R21vMXxHZFNpYNeKFtG8_yji4HS352LGlSQ/edit?pli=1#gid=0"",""1_ACUM!A4:S""),11,FALSE))"),"")</f>
        <v/>
      </c>
      <c r="AW763" s="42" t="str">
        <f ca="1">IFERROR(__xludf.DUMMYFUNCTION("IFERROR(VLOOKUP(F777,IMPORTRANGE(""https://docs.google.com/spreadsheets/d/1Kvs4KS76FHFqLFIZfrDMff4kP08nblUkihrxltoGBjg/edit#gid=934712705"",""ESENCIAL!A6:BG""),15,FALSE))"),"")</f>
        <v/>
      </c>
      <c r="AX763" s="21" t="str">
        <f ca="1">IFERROR(__xludf.DUMMYFUNCTION("IFERROR(VLOOKUP(E777&amp;F777,IMPORTRANGE(""https://docs.google.com/spreadsheets/d/1Uw7-A9f9R21vMXxHZFNpYNeKFtG8_yji4HS352LGlSQ/edit?pli=1#gid=0"",""1_ACUM!A4:S""),12,FALSE))"),"")</f>
        <v/>
      </c>
      <c r="AY763" s="43" t="str">
        <f ca="1">IFERROR(__xludf.DUMMYFUNCTION("IFERROR(VLOOKUP(E777&amp;F777,IMPORTRANGE(""https://docs.google.com/spreadsheets/d/1Uw7-A9f9R21vMXxHZFNpYNeKFtG8_yji4HS352LGlSQ/edit?pli=1#gid=0"",""1_ACUM!A4:S""),13,FALSE))"),"")</f>
        <v/>
      </c>
      <c r="AZ763" s="43" t="str">
        <f ca="1">IFERROR(__xludf.DUMMYFUNCTION("IFERROR(VLOOKUP(E777&amp;F777,IMPORTRANGE(""https://docs.google.com/spreadsheets/d/1Uw7-A9f9R21vMXxHZFNpYNeKFtG8_yji4HS352LGlSQ/edit?pli=1#gid=0"",""1_ACUM!A4:S""),14,FALSE))"),"")</f>
        <v/>
      </c>
      <c r="BA763" s="43" t="str">
        <f ca="1">IFERROR(__xludf.DUMMYFUNCTION("IFERROR(VLOOKUP(E777&amp;F777,IMPORTRANGE(""https://docs.google.com/spreadsheets/d/1Uw7-A9f9R21vMXxHZFNpYNeKFtG8_yji4HS352LGlSQ/edit?pli=1#gid=0"",""1_ACUM!A4:S""),15,FALSE))"),"")</f>
        <v/>
      </c>
      <c r="BB763" s="43" t="str">
        <f ca="1">IFERROR(__xludf.DUMMYFUNCTION("IFERROR(VLOOKUP(E777&amp;F777,IMPORTRANGE(""https://docs.google.com/spreadsheets/d/1Uw7-A9f9R21vMXxHZFNpYNeKFtG8_yji4HS352LGlSQ/edit?pli=1#gid=0"",""1_ACUM!A4:S""),16,FALSE))"),"")</f>
        <v/>
      </c>
      <c r="BC763" s="43" t="str">
        <f ca="1">IFERROR(__xludf.DUMMYFUNCTION("IFERROR(VLOOKUP(E777&amp;F777,IMPORTRANGE(""https://docs.google.com/spreadsheets/d/1Uw7-A9f9R21vMXxHZFNpYNeKFtG8_yji4HS352LGlSQ/edit?pli=1#gid=0"",""1_ACUM!A4:S""),17,FALSE))"),"")</f>
        <v/>
      </c>
      <c r="BD763" s="44" t="str">
        <f ca="1">IFERROR(__xludf.DUMMYFUNCTION("IFERROR(VLOOKUP(E777&amp;F777,IMPORTRANGE(""https://docs.google.com/spreadsheets/d/1Uw7-A9f9R21vMXxHZFNpYNeKFtG8_yji4HS352LGlSQ/edit?pli=1#gid=0"",""1_ACUM!A4:S""),18,FALSE))"),"")</f>
        <v/>
      </c>
      <c r="BE763" s="44" t="str">
        <f ca="1">IFERROR(__xludf.DUMMYFUNCTION("IFERROR(VLOOKUP(E777&amp;F777,IMPORTRANGE(""https://docs.google.com/spreadsheets/d/1Uw7-A9f9R21vMXxHZFNpYNeKFtG8_yji4HS352LGlSQ/edit?pli=1#gid=0"",""1_ACUM!A4:S""),19,FALSE))"),"")</f>
        <v/>
      </c>
      <c r="BF763" s="98" t="str">
        <f ca="1">IFERROR(__xludf.DUMMYFUNCTION("IFERROR(VLOOKUP(F777,IMPORTRANGE(""https://docs.google.com/spreadsheets/d/1Kvs4KS76FHFqLFIZfrDMff4kP08nblUkihrxltoGBjg/edit#gid=934712705"",""ESENCIAL!A6:BG""),5,FALSE))"),"")</f>
        <v/>
      </c>
      <c r="BG763" s="98" t="str">
        <f t="shared" si="25"/>
        <v/>
      </c>
      <c r="BH763" s="99" t="str">
        <f t="shared" si="26"/>
        <v/>
      </c>
      <c r="BI763" s="100" t="str">
        <f ca="1">IFERROR(__xludf.DUMMYFUNCTION("IFERROR(VLOOKUP(F777,IMPORTRANGE(""https://docs.google.com/spreadsheets/d/1Kvs4KS76FHFqLFIZfrDMff4kP08nblUkihrxltoGBjg/edit#gid=934712705"",""ESENCIAL!A6:BG""),2,FALSE))"),"")</f>
        <v/>
      </c>
      <c r="BJ763" s="19" t="str">
        <f t="shared" si="27"/>
        <v/>
      </c>
      <c r="BK763" s="100"/>
      <c r="BL763" s="100"/>
    </row>
    <row r="764" spans="1:64" ht="15">
      <c r="A764" s="5"/>
      <c r="B764" s="5"/>
      <c r="G764" s="5" t="str">
        <f ca="1">IFERROR(__xludf.DUMMYFUNCTION("IFERROR(VLOOKUP(F778,IMPORTRANGE(""https://docs.google.com/spreadsheets/d/1Kvs4KS76FHFqLFIZfrDMff4kP08nblUkihrxltoGBjg/edit#gid=934712705"",""ESENCIAL!A6:BG""),3,FALSE))"),"")</f>
        <v/>
      </c>
      <c r="H764" s="5" t="str">
        <f ca="1">IFERROR(__xludf.DUMMYFUNCTION("IFERROR(VLOOKUP(F778,IMPORTRANGE(""https://docs.google.com/spreadsheets/d/1Kvs4KS76FHFqLFIZfrDMff4kP08nblUkihrxltoGBjg/edit#gid=934712705"",""ESENCIAL!A6:BG""),8,FALSE))"),"")</f>
        <v/>
      </c>
      <c r="L764" s="287"/>
      <c r="U764" s="40"/>
      <c r="AU764" s="41" t="str">
        <f t="shared" si="24"/>
        <v/>
      </c>
      <c r="AV764" s="5" t="str">
        <f ca="1">IFERROR(__xludf.DUMMYFUNCTION("IFERROR(VLOOKUP(E778&amp;F778,IMPORTRANGE(""https://docs.google.com/spreadsheets/d/1Uw7-A9f9R21vMXxHZFNpYNeKFtG8_yji4HS352LGlSQ/edit?pli=1#gid=0"",""1_ACUM!A4:S""),11,FALSE))"),"")</f>
        <v/>
      </c>
      <c r="AW764" s="42" t="str">
        <f ca="1">IFERROR(__xludf.DUMMYFUNCTION("IFERROR(VLOOKUP(F778,IMPORTRANGE(""https://docs.google.com/spreadsheets/d/1Kvs4KS76FHFqLFIZfrDMff4kP08nblUkihrxltoGBjg/edit#gid=934712705"",""ESENCIAL!A6:BG""),15,FALSE))"),"")</f>
        <v/>
      </c>
      <c r="AX764" s="21" t="str">
        <f ca="1">IFERROR(__xludf.DUMMYFUNCTION("IFERROR(VLOOKUP(E778&amp;F778,IMPORTRANGE(""https://docs.google.com/spreadsheets/d/1Uw7-A9f9R21vMXxHZFNpYNeKFtG8_yji4HS352LGlSQ/edit?pli=1#gid=0"",""1_ACUM!A4:S""),12,FALSE))"),"")</f>
        <v/>
      </c>
      <c r="AY764" s="43" t="str">
        <f ca="1">IFERROR(__xludf.DUMMYFUNCTION("IFERROR(VLOOKUP(E778&amp;F778,IMPORTRANGE(""https://docs.google.com/spreadsheets/d/1Uw7-A9f9R21vMXxHZFNpYNeKFtG8_yji4HS352LGlSQ/edit?pli=1#gid=0"",""1_ACUM!A4:S""),13,FALSE))"),"")</f>
        <v/>
      </c>
      <c r="AZ764" s="43" t="str">
        <f ca="1">IFERROR(__xludf.DUMMYFUNCTION("IFERROR(VLOOKUP(E778&amp;F778,IMPORTRANGE(""https://docs.google.com/spreadsheets/d/1Uw7-A9f9R21vMXxHZFNpYNeKFtG8_yji4HS352LGlSQ/edit?pli=1#gid=0"",""1_ACUM!A4:S""),14,FALSE))"),"")</f>
        <v/>
      </c>
      <c r="BA764" s="43" t="str">
        <f ca="1">IFERROR(__xludf.DUMMYFUNCTION("IFERROR(VLOOKUP(E778&amp;F778,IMPORTRANGE(""https://docs.google.com/spreadsheets/d/1Uw7-A9f9R21vMXxHZFNpYNeKFtG8_yji4HS352LGlSQ/edit?pli=1#gid=0"",""1_ACUM!A4:S""),15,FALSE))"),"")</f>
        <v/>
      </c>
      <c r="BB764" s="43" t="str">
        <f ca="1">IFERROR(__xludf.DUMMYFUNCTION("IFERROR(VLOOKUP(E778&amp;F778,IMPORTRANGE(""https://docs.google.com/spreadsheets/d/1Uw7-A9f9R21vMXxHZFNpYNeKFtG8_yji4HS352LGlSQ/edit?pli=1#gid=0"",""1_ACUM!A4:S""),16,FALSE))"),"")</f>
        <v/>
      </c>
      <c r="BC764" s="43" t="str">
        <f ca="1">IFERROR(__xludf.DUMMYFUNCTION("IFERROR(VLOOKUP(E778&amp;F778,IMPORTRANGE(""https://docs.google.com/spreadsheets/d/1Uw7-A9f9R21vMXxHZFNpYNeKFtG8_yji4HS352LGlSQ/edit?pli=1#gid=0"",""1_ACUM!A4:S""),17,FALSE))"),"")</f>
        <v/>
      </c>
      <c r="BD764" s="44" t="str">
        <f ca="1">IFERROR(__xludf.DUMMYFUNCTION("IFERROR(VLOOKUP(E778&amp;F778,IMPORTRANGE(""https://docs.google.com/spreadsheets/d/1Uw7-A9f9R21vMXxHZFNpYNeKFtG8_yji4HS352LGlSQ/edit?pli=1#gid=0"",""1_ACUM!A4:S""),18,FALSE))"),"")</f>
        <v/>
      </c>
      <c r="BE764" s="44" t="str">
        <f ca="1">IFERROR(__xludf.DUMMYFUNCTION("IFERROR(VLOOKUP(E778&amp;F778,IMPORTRANGE(""https://docs.google.com/spreadsheets/d/1Uw7-A9f9R21vMXxHZFNpYNeKFtG8_yji4HS352LGlSQ/edit?pli=1#gid=0"",""1_ACUM!A4:S""),19,FALSE))"),"")</f>
        <v/>
      </c>
      <c r="BF764" s="98" t="str">
        <f ca="1">IFERROR(__xludf.DUMMYFUNCTION("IFERROR(VLOOKUP(F778,IMPORTRANGE(""https://docs.google.com/spreadsheets/d/1Kvs4KS76FHFqLFIZfrDMff4kP08nblUkihrxltoGBjg/edit#gid=934712705"",""ESENCIAL!A6:BG""),5,FALSE))"),"")</f>
        <v/>
      </c>
      <c r="BG764" s="98" t="str">
        <f t="shared" si="25"/>
        <v/>
      </c>
      <c r="BH764" s="99" t="str">
        <f t="shared" si="26"/>
        <v/>
      </c>
      <c r="BI764" s="100" t="str">
        <f ca="1">IFERROR(__xludf.DUMMYFUNCTION("IFERROR(VLOOKUP(F778,IMPORTRANGE(""https://docs.google.com/spreadsheets/d/1Kvs4KS76FHFqLFIZfrDMff4kP08nblUkihrxltoGBjg/edit#gid=934712705"",""ESENCIAL!A6:BG""),2,FALSE))"),"")</f>
        <v/>
      </c>
      <c r="BJ764" s="19" t="str">
        <f t="shared" si="27"/>
        <v/>
      </c>
      <c r="BK764" s="100"/>
      <c r="BL764" s="100"/>
    </row>
    <row r="765" spans="1:64" ht="15">
      <c r="A765" s="5"/>
      <c r="B765" s="5"/>
      <c r="G765" s="5" t="str">
        <f ca="1">IFERROR(__xludf.DUMMYFUNCTION("IFERROR(VLOOKUP(F779,IMPORTRANGE(""https://docs.google.com/spreadsheets/d/1Kvs4KS76FHFqLFIZfrDMff4kP08nblUkihrxltoGBjg/edit#gid=934712705"",""ESENCIAL!A6:BG""),3,FALSE))"),"")</f>
        <v/>
      </c>
      <c r="H765" s="5" t="str">
        <f ca="1">IFERROR(__xludf.DUMMYFUNCTION("IFERROR(VLOOKUP(F779,IMPORTRANGE(""https://docs.google.com/spreadsheets/d/1Kvs4KS76FHFqLFIZfrDMff4kP08nblUkihrxltoGBjg/edit#gid=934712705"",""ESENCIAL!A6:BG""),8,FALSE))"),"")</f>
        <v/>
      </c>
      <c r="L765" s="287"/>
      <c r="U765" s="40"/>
      <c r="AU765" s="41" t="str">
        <f t="shared" si="24"/>
        <v/>
      </c>
      <c r="AV765" s="5" t="str">
        <f ca="1">IFERROR(__xludf.DUMMYFUNCTION("IFERROR(VLOOKUP(E779&amp;F779,IMPORTRANGE(""https://docs.google.com/spreadsheets/d/1Uw7-A9f9R21vMXxHZFNpYNeKFtG8_yji4HS352LGlSQ/edit?pli=1#gid=0"",""1_ACUM!A4:S""),11,FALSE))"),"")</f>
        <v/>
      </c>
      <c r="AW765" s="42" t="str">
        <f ca="1">IFERROR(__xludf.DUMMYFUNCTION("IFERROR(VLOOKUP(F779,IMPORTRANGE(""https://docs.google.com/spreadsheets/d/1Kvs4KS76FHFqLFIZfrDMff4kP08nblUkihrxltoGBjg/edit#gid=934712705"",""ESENCIAL!A6:BG""),15,FALSE))"),"")</f>
        <v/>
      </c>
      <c r="AX765" s="21" t="str">
        <f ca="1">IFERROR(__xludf.DUMMYFUNCTION("IFERROR(VLOOKUP(E779&amp;F779,IMPORTRANGE(""https://docs.google.com/spreadsheets/d/1Uw7-A9f9R21vMXxHZFNpYNeKFtG8_yji4HS352LGlSQ/edit?pli=1#gid=0"",""1_ACUM!A4:S""),12,FALSE))"),"")</f>
        <v/>
      </c>
      <c r="AY765" s="43" t="str">
        <f ca="1">IFERROR(__xludf.DUMMYFUNCTION("IFERROR(VLOOKUP(E779&amp;F779,IMPORTRANGE(""https://docs.google.com/spreadsheets/d/1Uw7-A9f9R21vMXxHZFNpYNeKFtG8_yji4HS352LGlSQ/edit?pli=1#gid=0"",""1_ACUM!A4:S""),13,FALSE))"),"")</f>
        <v/>
      </c>
      <c r="AZ765" s="43" t="str">
        <f ca="1">IFERROR(__xludf.DUMMYFUNCTION("IFERROR(VLOOKUP(E779&amp;F779,IMPORTRANGE(""https://docs.google.com/spreadsheets/d/1Uw7-A9f9R21vMXxHZFNpYNeKFtG8_yji4HS352LGlSQ/edit?pli=1#gid=0"",""1_ACUM!A4:S""),14,FALSE))"),"")</f>
        <v/>
      </c>
      <c r="BA765" s="43" t="str">
        <f ca="1">IFERROR(__xludf.DUMMYFUNCTION("IFERROR(VLOOKUP(E779&amp;F779,IMPORTRANGE(""https://docs.google.com/spreadsheets/d/1Uw7-A9f9R21vMXxHZFNpYNeKFtG8_yji4HS352LGlSQ/edit?pli=1#gid=0"",""1_ACUM!A4:S""),15,FALSE))"),"")</f>
        <v/>
      </c>
      <c r="BB765" s="43" t="str">
        <f ca="1">IFERROR(__xludf.DUMMYFUNCTION("IFERROR(VLOOKUP(E779&amp;F779,IMPORTRANGE(""https://docs.google.com/spreadsheets/d/1Uw7-A9f9R21vMXxHZFNpYNeKFtG8_yji4HS352LGlSQ/edit?pli=1#gid=0"",""1_ACUM!A4:S""),16,FALSE))"),"")</f>
        <v/>
      </c>
      <c r="BC765" s="43" t="str">
        <f ca="1">IFERROR(__xludf.DUMMYFUNCTION("IFERROR(VLOOKUP(E779&amp;F779,IMPORTRANGE(""https://docs.google.com/spreadsheets/d/1Uw7-A9f9R21vMXxHZFNpYNeKFtG8_yji4HS352LGlSQ/edit?pli=1#gid=0"",""1_ACUM!A4:S""),17,FALSE))"),"")</f>
        <v/>
      </c>
      <c r="BD765" s="44" t="str">
        <f ca="1">IFERROR(__xludf.DUMMYFUNCTION("IFERROR(VLOOKUP(E779&amp;F779,IMPORTRANGE(""https://docs.google.com/spreadsheets/d/1Uw7-A9f9R21vMXxHZFNpYNeKFtG8_yji4HS352LGlSQ/edit?pli=1#gid=0"",""1_ACUM!A4:S""),18,FALSE))"),"")</f>
        <v/>
      </c>
      <c r="BE765" s="44" t="str">
        <f ca="1">IFERROR(__xludf.DUMMYFUNCTION("IFERROR(VLOOKUP(E779&amp;F779,IMPORTRANGE(""https://docs.google.com/spreadsheets/d/1Uw7-A9f9R21vMXxHZFNpYNeKFtG8_yji4HS352LGlSQ/edit?pli=1#gid=0"",""1_ACUM!A4:S""),19,FALSE))"),"")</f>
        <v/>
      </c>
      <c r="BF765" s="98" t="str">
        <f ca="1">IFERROR(__xludf.DUMMYFUNCTION("IFERROR(VLOOKUP(F779,IMPORTRANGE(""https://docs.google.com/spreadsheets/d/1Kvs4KS76FHFqLFIZfrDMff4kP08nblUkihrxltoGBjg/edit#gid=934712705"",""ESENCIAL!A6:BG""),5,FALSE))"),"")</f>
        <v/>
      </c>
      <c r="BG765" s="98" t="str">
        <f t="shared" si="25"/>
        <v/>
      </c>
      <c r="BH765" s="99" t="str">
        <f t="shared" si="26"/>
        <v/>
      </c>
      <c r="BI765" s="100" t="str">
        <f ca="1">IFERROR(__xludf.DUMMYFUNCTION("IFERROR(VLOOKUP(F779,IMPORTRANGE(""https://docs.google.com/spreadsheets/d/1Kvs4KS76FHFqLFIZfrDMff4kP08nblUkihrxltoGBjg/edit#gid=934712705"",""ESENCIAL!A6:BG""),2,FALSE))"),"")</f>
        <v/>
      </c>
      <c r="BJ765" s="19" t="str">
        <f t="shared" si="27"/>
        <v/>
      </c>
      <c r="BK765" s="100"/>
      <c r="BL765" s="100"/>
    </row>
    <row r="766" spans="1:64" ht="15">
      <c r="A766" s="5"/>
      <c r="B766" s="5"/>
      <c r="G766" s="5" t="str">
        <f ca="1">IFERROR(__xludf.DUMMYFUNCTION("IFERROR(VLOOKUP(F780,IMPORTRANGE(""https://docs.google.com/spreadsheets/d/1Kvs4KS76FHFqLFIZfrDMff4kP08nblUkihrxltoGBjg/edit#gid=934712705"",""ESENCIAL!A6:BG""),3,FALSE))"),"")</f>
        <v/>
      </c>
      <c r="H766" s="5" t="str">
        <f ca="1">IFERROR(__xludf.DUMMYFUNCTION("IFERROR(VLOOKUP(F780,IMPORTRANGE(""https://docs.google.com/spreadsheets/d/1Kvs4KS76FHFqLFIZfrDMff4kP08nblUkihrxltoGBjg/edit#gid=934712705"",""ESENCIAL!A6:BG""),8,FALSE))"),"")</f>
        <v/>
      </c>
      <c r="L766" s="287"/>
      <c r="U766" s="40"/>
      <c r="AU766" s="41" t="str">
        <f t="shared" si="24"/>
        <v/>
      </c>
      <c r="AV766" s="5" t="str">
        <f ca="1">IFERROR(__xludf.DUMMYFUNCTION("IFERROR(VLOOKUP(E780&amp;F780,IMPORTRANGE(""https://docs.google.com/spreadsheets/d/1Uw7-A9f9R21vMXxHZFNpYNeKFtG8_yji4HS352LGlSQ/edit?pli=1#gid=0"",""1_ACUM!A4:S""),11,FALSE))"),"")</f>
        <v/>
      </c>
      <c r="AW766" s="42" t="str">
        <f ca="1">IFERROR(__xludf.DUMMYFUNCTION("IFERROR(VLOOKUP(F780,IMPORTRANGE(""https://docs.google.com/spreadsheets/d/1Kvs4KS76FHFqLFIZfrDMff4kP08nblUkihrxltoGBjg/edit#gid=934712705"",""ESENCIAL!A6:BG""),15,FALSE))"),"")</f>
        <v/>
      </c>
      <c r="AX766" s="21" t="str">
        <f ca="1">IFERROR(__xludf.DUMMYFUNCTION("IFERROR(VLOOKUP(E780&amp;F780,IMPORTRANGE(""https://docs.google.com/spreadsheets/d/1Uw7-A9f9R21vMXxHZFNpYNeKFtG8_yji4HS352LGlSQ/edit?pli=1#gid=0"",""1_ACUM!A4:S""),12,FALSE))"),"")</f>
        <v/>
      </c>
      <c r="AY766" s="43" t="str">
        <f ca="1">IFERROR(__xludf.DUMMYFUNCTION("IFERROR(VLOOKUP(E780&amp;F780,IMPORTRANGE(""https://docs.google.com/spreadsheets/d/1Uw7-A9f9R21vMXxHZFNpYNeKFtG8_yji4HS352LGlSQ/edit?pli=1#gid=0"",""1_ACUM!A4:S""),13,FALSE))"),"")</f>
        <v/>
      </c>
      <c r="AZ766" s="43" t="str">
        <f ca="1">IFERROR(__xludf.DUMMYFUNCTION("IFERROR(VLOOKUP(E780&amp;F780,IMPORTRANGE(""https://docs.google.com/spreadsheets/d/1Uw7-A9f9R21vMXxHZFNpYNeKFtG8_yji4HS352LGlSQ/edit?pli=1#gid=0"",""1_ACUM!A4:S""),14,FALSE))"),"")</f>
        <v/>
      </c>
      <c r="BA766" s="43" t="str">
        <f ca="1">IFERROR(__xludf.DUMMYFUNCTION("IFERROR(VLOOKUP(E780&amp;F780,IMPORTRANGE(""https://docs.google.com/spreadsheets/d/1Uw7-A9f9R21vMXxHZFNpYNeKFtG8_yji4HS352LGlSQ/edit?pli=1#gid=0"",""1_ACUM!A4:S""),15,FALSE))"),"")</f>
        <v/>
      </c>
      <c r="BB766" s="43" t="str">
        <f ca="1">IFERROR(__xludf.DUMMYFUNCTION("IFERROR(VLOOKUP(E780&amp;F780,IMPORTRANGE(""https://docs.google.com/spreadsheets/d/1Uw7-A9f9R21vMXxHZFNpYNeKFtG8_yji4HS352LGlSQ/edit?pli=1#gid=0"",""1_ACUM!A4:S""),16,FALSE))"),"")</f>
        <v/>
      </c>
      <c r="BC766" s="43" t="str">
        <f ca="1">IFERROR(__xludf.DUMMYFUNCTION("IFERROR(VLOOKUP(E780&amp;F780,IMPORTRANGE(""https://docs.google.com/spreadsheets/d/1Uw7-A9f9R21vMXxHZFNpYNeKFtG8_yji4HS352LGlSQ/edit?pli=1#gid=0"",""1_ACUM!A4:S""),17,FALSE))"),"")</f>
        <v/>
      </c>
      <c r="BD766" s="44" t="str">
        <f ca="1">IFERROR(__xludf.DUMMYFUNCTION("IFERROR(VLOOKUP(E780&amp;F780,IMPORTRANGE(""https://docs.google.com/spreadsheets/d/1Uw7-A9f9R21vMXxHZFNpYNeKFtG8_yji4HS352LGlSQ/edit?pli=1#gid=0"",""1_ACUM!A4:S""),18,FALSE))"),"")</f>
        <v/>
      </c>
      <c r="BE766" s="44" t="str">
        <f ca="1">IFERROR(__xludf.DUMMYFUNCTION("IFERROR(VLOOKUP(E780&amp;F780,IMPORTRANGE(""https://docs.google.com/spreadsheets/d/1Uw7-A9f9R21vMXxHZFNpYNeKFtG8_yji4HS352LGlSQ/edit?pli=1#gid=0"",""1_ACUM!A4:S""),19,FALSE))"),"")</f>
        <v/>
      </c>
      <c r="BF766" s="98" t="str">
        <f ca="1">IFERROR(__xludf.DUMMYFUNCTION("IFERROR(VLOOKUP(F780,IMPORTRANGE(""https://docs.google.com/spreadsheets/d/1Kvs4KS76FHFqLFIZfrDMff4kP08nblUkihrxltoGBjg/edit#gid=934712705"",""ESENCIAL!A6:BG""),5,FALSE))"),"")</f>
        <v/>
      </c>
      <c r="BG766" s="98" t="str">
        <f t="shared" si="25"/>
        <v/>
      </c>
      <c r="BH766" s="99" t="str">
        <f t="shared" si="26"/>
        <v/>
      </c>
      <c r="BI766" s="100" t="str">
        <f ca="1">IFERROR(__xludf.DUMMYFUNCTION("IFERROR(VLOOKUP(F780,IMPORTRANGE(""https://docs.google.com/spreadsheets/d/1Kvs4KS76FHFqLFIZfrDMff4kP08nblUkihrxltoGBjg/edit#gid=934712705"",""ESENCIAL!A6:BG""),2,FALSE))"),"")</f>
        <v/>
      </c>
      <c r="BJ766" s="19" t="str">
        <f t="shared" si="27"/>
        <v/>
      </c>
      <c r="BK766" s="100"/>
      <c r="BL766" s="100"/>
    </row>
    <row r="767" spans="1:64" ht="15">
      <c r="A767" s="5"/>
      <c r="B767" s="5"/>
      <c r="G767" s="5" t="str">
        <f ca="1">IFERROR(__xludf.DUMMYFUNCTION("IFERROR(VLOOKUP(F781,IMPORTRANGE(""https://docs.google.com/spreadsheets/d/1Kvs4KS76FHFqLFIZfrDMff4kP08nblUkihrxltoGBjg/edit#gid=934712705"",""ESENCIAL!A6:BG""),3,FALSE))"),"")</f>
        <v/>
      </c>
      <c r="H767" s="5" t="str">
        <f ca="1">IFERROR(__xludf.DUMMYFUNCTION("IFERROR(VLOOKUP(F781,IMPORTRANGE(""https://docs.google.com/spreadsheets/d/1Kvs4KS76FHFqLFIZfrDMff4kP08nblUkihrxltoGBjg/edit#gid=934712705"",""ESENCIAL!A6:BG""),8,FALSE))"),"")</f>
        <v/>
      </c>
      <c r="L767" s="287"/>
      <c r="U767" s="40"/>
      <c r="AU767" s="41" t="str">
        <f t="shared" si="24"/>
        <v/>
      </c>
      <c r="AV767" s="5" t="str">
        <f ca="1">IFERROR(__xludf.DUMMYFUNCTION("IFERROR(VLOOKUP(E781&amp;F781,IMPORTRANGE(""https://docs.google.com/spreadsheets/d/1Uw7-A9f9R21vMXxHZFNpYNeKFtG8_yji4HS352LGlSQ/edit?pli=1#gid=0"",""1_ACUM!A4:S""),11,FALSE))"),"")</f>
        <v/>
      </c>
      <c r="AW767" s="42" t="str">
        <f ca="1">IFERROR(__xludf.DUMMYFUNCTION("IFERROR(VLOOKUP(F781,IMPORTRANGE(""https://docs.google.com/spreadsheets/d/1Kvs4KS76FHFqLFIZfrDMff4kP08nblUkihrxltoGBjg/edit#gid=934712705"",""ESENCIAL!A6:BG""),15,FALSE))"),"")</f>
        <v/>
      </c>
      <c r="AX767" s="21" t="str">
        <f ca="1">IFERROR(__xludf.DUMMYFUNCTION("IFERROR(VLOOKUP(E781&amp;F781,IMPORTRANGE(""https://docs.google.com/spreadsheets/d/1Uw7-A9f9R21vMXxHZFNpYNeKFtG8_yji4HS352LGlSQ/edit?pli=1#gid=0"",""1_ACUM!A4:S""),12,FALSE))"),"")</f>
        <v/>
      </c>
      <c r="AY767" s="43" t="str">
        <f ca="1">IFERROR(__xludf.DUMMYFUNCTION("IFERROR(VLOOKUP(E781&amp;F781,IMPORTRANGE(""https://docs.google.com/spreadsheets/d/1Uw7-A9f9R21vMXxHZFNpYNeKFtG8_yji4HS352LGlSQ/edit?pli=1#gid=0"",""1_ACUM!A4:S""),13,FALSE))"),"")</f>
        <v/>
      </c>
      <c r="AZ767" s="43" t="str">
        <f ca="1">IFERROR(__xludf.DUMMYFUNCTION("IFERROR(VLOOKUP(E781&amp;F781,IMPORTRANGE(""https://docs.google.com/spreadsheets/d/1Uw7-A9f9R21vMXxHZFNpYNeKFtG8_yji4HS352LGlSQ/edit?pli=1#gid=0"",""1_ACUM!A4:S""),14,FALSE))"),"")</f>
        <v/>
      </c>
      <c r="BA767" s="43" t="str">
        <f ca="1">IFERROR(__xludf.DUMMYFUNCTION("IFERROR(VLOOKUP(E781&amp;F781,IMPORTRANGE(""https://docs.google.com/spreadsheets/d/1Uw7-A9f9R21vMXxHZFNpYNeKFtG8_yji4HS352LGlSQ/edit?pli=1#gid=0"",""1_ACUM!A4:S""),15,FALSE))"),"")</f>
        <v/>
      </c>
      <c r="BB767" s="43" t="str">
        <f ca="1">IFERROR(__xludf.DUMMYFUNCTION("IFERROR(VLOOKUP(E781&amp;F781,IMPORTRANGE(""https://docs.google.com/spreadsheets/d/1Uw7-A9f9R21vMXxHZFNpYNeKFtG8_yji4HS352LGlSQ/edit?pli=1#gid=0"",""1_ACUM!A4:S""),16,FALSE))"),"")</f>
        <v/>
      </c>
      <c r="BC767" s="43" t="str">
        <f ca="1">IFERROR(__xludf.DUMMYFUNCTION("IFERROR(VLOOKUP(E781&amp;F781,IMPORTRANGE(""https://docs.google.com/spreadsheets/d/1Uw7-A9f9R21vMXxHZFNpYNeKFtG8_yji4HS352LGlSQ/edit?pli=1#gid=0"",""1_ACUM!A4:S""),17,FALSE))"),"")</f>
        <v/>
      </c>
      <c r="BD767" s="44" t="str">
        <f ca="1">IFERROR(__xludf.DUMMYFUNCTION("IFERROR(VLOOKUP(E781&amp;F781,IMPORTRANGE(""https://docs.google.com/spreadsheets/d/1Uw7-A9f9R21vMXxHZFNpYNeKFtG8_yji4HS352LGlSQ/edit?pli=1#gid=0"",""1_ACUM!A4:S""),18,FALSE))"),"")</f>
        <v/>
      </c>
      <c r="BE767" s="44" t="str">
        <f ca="1">IFERROR(__xludf.DUMMYFUNCTION("IFERROR(VLOOKUP(E781&amp;F781,IMPORTRANGE(""https://docs.google.com/spreadsheets/d/1Uw7-A9f9R21vMXxHZFNpYNeKFtG8_yji4HS352LGlSQ/edit?pli=1#gid=0"",""1_ACUM!A4:S""),19,FALSE))"),"")</f>
        <v/>
      </c>
      <c r="BF767" s="98" t="str">
        <f ca="1">IFERROR(__xludf.DUMMYFUNCTION("IFERROR(VLOOKUP(F781,IMPORTRANGE(""https://docs.google.com/spreadsheets/d/1Kvs4KS76FHFqLFIZfrDMff4kP08nblUkihrxltoGBjg/edit#gid=934712705"",""ESENCIAL!A6:BG""),5,FALSE))"),"")</f>
        <v/>
      </c>
      <c r="BG767" s="98" t="str">
        <f t="shared" si="25"/>
        <v/>
      </c>
      <c r="BH767" s="99" t="str">
        <f t="shared" si="26"/>
        <v/>
      </c>
      <c r="BI767" s="100" t="str">
        <f ca="1">IFERROR(__xludf.DUMMYFUNCTION("IFERROR(VLOOKUP(F781,IMPORTRANGE(""https://docs.google.com/spreadsheets/d/1Kvs4KS76FHFqLFIZfrDMff4kP08nblUkihrxltoGBjg/edit#gid=934712705"",""ESENCIAL!A6:BG""),2,FALSE))"),"")</f>
        <v/>
      </c>
      <c r="BJ767" s="19" t="str">
        <f t="shared" si="27"/>
        <v/>
      </c>
      <c r="BK767" s="100"/>
      <c r="BL767" s="100"/>
    </row>
    <row r="768" spans="1:64" ht="15">
      <c r="A768" s="5"/>
      <c r="B768" s="5"/>
      <c r="G768" s="5" t="str">
        <f ca="1">IFERROR(__xludf.DUMMYFUNCTION("IFERROR(VLOOKUP(F782,IMPORTRANGE(""https://docs.google.com/spreadsheets/d/1Kvs4KS76FHFqLFIZfrDMff4kP08nblUkihrxltoGBjg/edit#gid=934712705"",""ESENCIAL!A6:BG""),3,FALSE))"),"")</f>
        <v/>
      </c>
      <c r="H768" s="5" t="str">
        <f ca="1">IFERROR(__xludf.DUMMYFUNCTION("IFERROR(VLOOKUP(F782,IMPORTRANGE(""https://docs.google.com/spreadsheets/d/1Kvs4KS76FHFqLFIZfrDMff4kP08nblUkihrxltoGBjg/edit#gid=934712705"",""ESENCIAL!A6:BG""),8,FALSE))"),"")</f>
        <v/>
      </c>
      <c r="L768" s="287"/>
      <c r="U768" s="40"/>
      <c r="AU768" s="41" t="str">
        <f t="shared" si="24"/>
        <v/>
      </c>
      <c r="AV768" s="5" t="str">
        <f ca="1">IFERROR(__xludf.DUMMYFUNCTION("IFERROR(VLOOKUP(E782&amp;F782,IMPORTRANGE(""https://docs.google.com/spreadsheets/d/1Uw7-A9f9R21vMXxHZFNpYNeKFtG8_yji4HS352LGlSQ/edit?pli=1#gid=0"",""1_ACUM!A4:S""),11,FALSE))"),"")</f>
        <v/>
      </c>
      <c r="AW768" s="42" t="str">
        <f ca="1">IFERROR(__xludf.DUMMYFUNCTION("IFERROR(VLOOKUP(F782,IMPORTRANGE(""https://docs.google.com/spreadsheets/d/1Kvs4KS76FHFqLFIZfrDMff4kP08nblUkihrxltoGBjg/edit#gid=934712705"",""ESENCIAL!A6:BG""),15,FALSE))"),"")</f>
        <v/>
      </c>
      <c r="AX768" s="21" t="str">
        <f ca="1">IFERROR(__xludf.DUMMYFUNCTION("IFERROR(VLOOKUP(E782&amp;F782,IMPORTRANGE(""https://docs.google.com/spreadsheets/d/1Uw7-A9f9R21vMXxHZFNpYNeKFtG8_yji4HS352LGlSQ/edit?pli=1#gid=0"",""1_ACUM!A4:S""),12,FALSE))"),"")</f>
        <v/>
      </c>
      <c r="AY768" s="43" t="str">
        <f ca="1">IFERROR(__xludf.DUMMYFUNCTION("IFERROR(VLOOKUP(E782&amp;F782,IMPORTRANGE(""https://docs.google.com/spreadsheets/d/1Uw7-A9f9R21vMXxHZFNpYNeKFtG8_yji4HS352LGlSQ/edit?pli=1#gid=0"",""1_ACUM!A4:S""),13,FALSE))"),"")</f>
        <v/>
      </c>
      <c r="AZ768" s="43" t="str">
        <f ca="1">IFERROR(__xludf.DUMMYFUNCTION("IFERROR(VLOOKUP(E782&amp;F782,IMPORTRANGE(""https://docs.google.com/spreadsheets/d/1Uw7-A9f9R21vMXxHZFNpYNeKFtG8_yji4HS352LGlSQ/edit?pli=1#gid=0"",""1_ACUM!A4:S""),14,FALSE))"),"")</f>
        <v/>
      </c>
      <c r="BA768" s="43" t="str">
        <f ca="1">IFERROR(__xludf.DUMMYFUNCTION("IFERROR(VLOOKUP(E782&amp;F782,IMPORTRANGE(""https://docs.google.com/spreadsheets/d/1Uw7-A9f9R21vMXxHZFNpYNeKFtG8_yji4HS352LGlSQ/edit?pli=1#gid=0"",""1_ACUM!A4:S""),15,FALSE))"),"")</f>
        <v/>
      </c>
      <c r="BB768" s="43" t="str">
        <f ca="1">IFERROR(__xludf.DUMMYFUNCTION("IFERROR(VLOOKUP(E782&amp;F782,IMPORTRANGE(""https://docs.google.com/spreadsheets/d/1Uw7-A9f9R21vMXxHZFNpYNeKFtG8_yji4HS352LGlSQ/edit?pli=1#gid=0"",""1_ACUM!A4:S""),16,FALSE))"),"")</f>
        <v/>
      </c>
      <c r="BC768" s="43" t="str">
        <f ca="1">IFERROR(__xludf.DUMMYFUNCTION("IFERROR(VLOOKUP(E782&amp;F782,IMPORTRANGE(""https://docs.google.com/spreadsheets/d/1Uw7-A9f9R21vMXxHZFNpYNeKFtG8_yji4HS352LGlSQ/edit?pli=1#gid=0"",""1_ACUM!A4:S""),17,FALSE))"),"")</f>
        <v/>
      </c>
      <c r="BD768" s="44" t="str">
        <f ca="1">IFERROR(__xludf.DUMMYFUNCTION("IFERROR(VLOOKUP(E782&amp;F782,IMPORTRANGE(""https://docs.google.com/spreadsheets/d/1Uw7-A9f9R21vMXxHZFNpYNeKFtG8_yji4HS352LGlSQ/edit?pli=1#gid=0"",""1_ACUM!A4:S""),18,FALSE))"),"")</f>
        <v/>
      </c>
      <c r="BE768" s="44" t="str">
        <f ca="1">IFERROR(__xludf.DUMMYFUNCTION("IFERROR(VLOOKUP(E782&amp;F782,IMPORTRANGE(""https://docs.google.com/spreadsheets/d/1Uw7-A9f9R21vMXxHZFNpYNeKFtG8_yji4HS352LGlSQ/edit?pli=1#gid=0"",""1_ACUM!A4:S""),19,FALSE))"),"")</f>
        <v/>
      </c>
      <c r="BF768" s="98" t="str">
        <f ca="1">IFERROR(__xludf.DUMMYFUNCTION("IFERROR(VLOOKUP(F782,IMPORTRANGE(""https://docs.google.com/spreadsheets/d/1Kvs4KS76FHFqLFIZfrDMff4kP08nblUkihrxltoGBjg/edit#gid=934712705"",""ESENCIAL!A6:BG""),5,FALSE))"),"")</f>
        <v/>
      </c>
      <c r="BG768" s="98" t="str">
        <f t="shared" si="25"/>
        <v/>
      </c>
      <c r="BH768" s="99" t="str">
        <f t="shared" si="26"/>
        <v/>
      </c>
      <c r="BI768" s="100" t="str">
        <f ca="1">IFERROR(__xludf.DUMMYFUNCTION("IFERROR(VLOOKUP(F782,IMPORTRANGE(""https://docs.google.com/spreadsheets/d/1Kvs4KS76FHFqLFIZfrDMff4kP08nblUkihrxltoGBjg/edit#gid=934712705"",""ESENCIAL!A6:BG""),2,FALSE))"),"")</f>
        <v/>
      </c>
      <c r="BJ768" s="19" t="str">
        <f t="shared" si="27"/>
        <v/>
      </c>
      <c r="BK768" s="100"/>
      <c r="BL768" s="100"/>
    </row>
    <row r="769" spans="1:64" ht="15">
      <c r="A769" s="5"/>
      <c r="B769" s="5"/>
      <c r="G769" s="5" t="str">
        <f ca="1">IFERROR(__xludf.DUMMYFUNCTION("IFERROR(VLOOKUP(F783,IMPORTRANGE(""https://docs.google.com/spreadsheets/d/1Kvs4KS76FHFqLFIZfrDMff4kP08nblUkihrxltoGBjg/edit#gid=934712705"",""ESENCIAL!A6:BG""),3,FALSE))"),"")</f>
        <v/>
      </c>
      <c r="H769" s="5" t="str">
        <f ca="1">IFERROR(__xludf.DUMMYFUNCTION("IFERROR(VLOOKUP(F783,IMPORTRANGE(""https://docs.google.com/spreadsheets/d/1Kvs4KS76FHFqLFIZfrDMff4kP08nblUkihrxltoGBjg/edit#gid=934712705"",""ESENCIAL!A6:BG""),8,FALSE))"),"")</f>
        <v/>
      </c>
      <c r="L769" s="287"/>
      <c r="U769" s="40"/>
      <c r="AU769" s="41" t="str">
        <f t="shared" si="24"/>
        <v/>
      </c>
      <c r="AV769" s="5" t="str">
        <f ca="1">IFERROR(__xludf.DUMMYFUNCTION("IFERROR(VLOOKUP(E783&amp;F783,IMPORTRANGE(""https://docs.google.com/spreadsheets/d/1Uw7-A9f9R21vMXxHZFNpYNeKFtG8_yji4HS352LGlSQ/edit?pli=1#gid=0"",""1_ACUM!A4:S""),11,FALSE))"),"")</f>
        <v/>
      </c>
      <c r="AW769" s="42" t="str">
        <f ca="1">IFERROR(__xludf.DUMMYFUNCTION("IFERROR(VLOOKUP(F783,IMPORTRANGE(""https://docs.google.com/spreadsheets/d/1Kvs4KS76FHFqLFIZfrDMff4kP08nblUkihrxltoGBjg/edit#gid=934712705"",""ESENCIAL!A6:BG""),15,FALSE))"),"")</f>
        <v/>
      </c>
      <c r="AX769" s="21" t="str">
        <f ca="1">IFERROR(__xludf.DUMMYFUNCTION("IFERROR(VLOOKUP(E783&amp;F783,IMPORTRANGE(""https://docs.google.com/spreadsheets/d/1Uw7-A9f9R21vMXxHZFNpYNeKFtG8_yji4HS352LGlSQ/edit?pli=1#gid=0"",""1_ACUM!A4:S""),12,FALSE))"),"")</f>
        <v/>
      </c>
      <c r="AY769" s="43" t="str">
        <f ca="1">IFERROR(__xludf.DUMMYFUNCTION("IFERROR(VLOOKUP(E783&amp;F783,IMPORTRANGE(""https://docs.google.com/spreadsheets/d/1Uw7-A9f9R21vMXxHZFNpYNeKFtG8_yji4HS352LGlSQ/edit?pli=1#gid=0"",""1_ACUM!A4:S""),13,FALSE))"),"")</f>
        <v/>
      </c>
      <c r="AZ769" s="43" t="str">
        <f ca="1">IFERROR(__xludf.DUMMYFUNCTION("IFERROR(VLOOKUP(E783&amp;F783,IMPORTRANGE(""https://docs.google.com/spreadsheets/d/1Uw7-A9f9R21vMXxHZFNpYNeKFtG8_yji4HS352LGlSQ/edit?pli=1#gid=0"",""1_ACUM!A4:S""),14,FALSE))"),"")</f>
        <v/>
      </c>
      <c r="BA769" s="43" t="str">
        <f ca="1">IFERROR(__xludf.DUMMYFUNCTION("IFERROR(VLOOKUP(E783&amp;F783,IMPORTRANGE(""https://docs.google.com/spreadsheets/d/1Uw7-A9f9R21vMXxHZFNpYNeKFtG8_yji4HS352LGlSQ/edit?pli=1#gid=0"",""1_ACUM!A4:S""),15,FALSE))"),"")</f>
        <v/>
      </c>
      <c r="BB769" s="43" t="str">
        <f ca="1">IFERROR(__xludf.DUMMYFUNCTION("IFERROR(VLOOKUP(E783&amp;F783,IMPORTRANGE(""https://docs.google.com/spreadsheets/d/1Uw7-A9f9R21vMXxHZFNpYNeKFtG8_yji4HS352LGlSQ/edit?pli=1#gid=0"",""1_ACUM!A4:S""),16,FALSE))"),"")</f>
        <v/>
      </c>
      <c r="BC769" s="43" t="str">
        <f ca="1">IFERROR(__xludf.DUMMYFUNCTION("IFERROR(VLOOKUP(E783&amp;F783,IMPORTRANGE(""https://docs.google.com/spreadsheets/d/1Uw7-A9f9R21vMXxHZFNpYNeKFtG8_yji4HS352LGlSQ/edit?pli=1#gid=0"",""1_ACUM!A4:S""),17,FALSE))"),"")</f>
        <v/>
      </c>
      <c r="BD769" s="44" t="str">
        <f ca="1">IFERROR(__xludf.DUMMYFUNCTION("IFERROR(VLOOKUP(E783&amp;F783,IMPORTRANGE(""https://docs.google.com/spreadsheets/d/1Uw7-A9f9R21vMXxHZFNpYNeKFtG8_yji4HS352LGlSQ/edit?pli=1#gid=0"",""1_ACUM!A4:S""),18,FALSE))"),"")</f>
        <v/>
      </c>
      <c r="BE769" s="44" t="str">
        <f ca="1">IFERROR(__xludf.DUMMYFUNCTION("IFERROR(VLOOKUP(E783&amp;F783,IMPORTRANGE(""https://docs.google.com/spreadsheets/d/1Uw7-A9f9R21vMXxHZFNpYNeKFtG8_yji4HS352LGlSQ/edit?pli=1#gid=0"",""1_ACUM!A4:S""),19,FALSE))"),"")</f>
        <v/>
      </c>
      <c r="BF769" s="98" t="str">
        <f ca="1">IFERROR(__xludf.DUMMYFUNCTION("IFERROR(VLOOKUP(F783,IMPORTRANGE(""https://docs.google.com/spreadsheets/d/1Kvs4KS76FHFqLFIZfrDMff4kP08nblUkihrxltoGBjg/edit#gid=934712705"",""ESENCIAL!A6:BG""),5,FALSE))"),"")</f>
        <v/>
      </c>
      <c r="BG769" s="98" t="str">
        <f t="shared" si="25"/>
        <v/>
      </c>
      <c r="BH769" s="99" t="str">
        <f t="shared" si="26"/>
        <v/>
      </c>
      <c r="BI769" s="100" t="str">
        <f ca="1">IFERROR(__xludf.DUMMYFUNCTION("IFERROR(VLOOKUP(F783,IMPORTRANGE(""https://docs.google.com/spreadsheets/d/1Kvs4KS76FHFqLFIZfrDMff4kP08nblUkihrxltoGBjg/edit#gid=934712705"",""ESENCIAL!A6:BG""),2,FALSE))"),"")</f>
        <v/>
      </c>
      <c r="BJ769" s="19" t="str">
        <f t="shared" si="27"/>
        <v/>
      </c>
      <c r="BK769" s="100"/>
      <c r="BL769" s="100"/>
    </row>
    <row r="770" spans="1:64" ht="15">
      <c r="A770" s="5"/>
      <c r="B770" s="5"/>
      <c r="G770" s="5" t="str">
        <f ca="1">IFERROR(__xludf.DUMMYFUNCTION("IFERROR(VLOOKUP(F784,IMPORTRANGE(""https://docs.google.com/spreadsheets/d/1Kvs4KS76FHFqLFIZfrDMff4kP08nblUkihrxltoGBjg/edit#gid=934712705"",""ESENCIAL!A6:BG""),3,FALSE))"),"")</f>
        <v/>
      </c>
      <c r="H770" s="5" t="str">
        <f ca="1">IFERROR(__xludf.DUMMYFUNCTION("IFERROR(VLOOKUP(F784,IMPORTRANGE(""https://docs.google.com/spreadsheets/d/1Kvs4KS76FHFqLFIZfrDMff4kP08nblUkihrxltoGBjg/edit#gid=934712705"",""ESENCIAL!A6:BG""),8,FALSE))"),"")</f>
        <v/>
      </c>
      <c r="L770" s="287"/>
      <c r="U770" s="40"/>
      <c r="AU770" s="41" t="str">
        <f t="shared" si="24"/>
        <v/>
      </c>
      <c r="AV770" s="5" t="str">
        <f ca="1">IFERROR(__xludf.DUMMYFUNCTION("IFERROR(VLOOKUP(E784&amp;F784,IMPORTRANGE(""https://docs.google.com/spreadsheets/d/1Uw7-A9f9R21vMXxHZFNpYNeKFtG8_yji4HS352LGlSQ/edit?pli=1#gid=0"",""1_ACUM!A4:S""),11,FALSE))"),"")</f>
        <v/>
      </c>
      <c r="AW770" s="42" t="str">
        <f ca="1">IFERROR(__xludf.DUMMYFUNCTION("IFERROR(VLOOKUP(F784,IMPORTRANGE(""https://docs.google.com/spreadsheets/d/1Kvs4KS76FHFqLFIZfrDMff4kP08nblUkihrxltoGBjg/edit#gid=934712705"",""ESENCIAL!A6:BG""),15,FALSE))"),"")</f>
        <v/>
      </c>
      <c r="AX770" s="21" t="str">
        <f ca="1">IFERROR(__xludf.DUMMYFUNCTION("IFERROR(VLOOKUP(E784&amp;F784,IMPORTRANGE(""https://docs.google.com/spreadsheets/d/1Uw7-A9f9R21vMXxHZFNpYNeKFtG8_yji4HS352LGlSQ/edit?pli=1#gid=0"",""1_ACUM!A4:S""),12,FALSE))"),"")</f>
        <v/>
      </c>
      <c r="AY770" s="43" t="str">
        <f ca="1">IFERROR(__xludf.DUMMYFUNCTION("IFERROR(VLOOKUP(E784&amp;F784,IMPORTRANGE(""https://docs.google.com/spreadsheets/d/1Uw7-A9f9R21vMXxHZFNpYNeKFtG8_yji4HS352LGlSQ/edit?pli=1#gid=0"",""1_ACUM!A4:S""),13,FALSE))"),"")</f>
        <v/>
      </c>
      <c r="AZ770" s="43" t="str">
        <f ca="1">IFERROR(__xludf.DUMMYFUNCTION("IFERROR(VLOOKUP(E784&amp;F784,IMPORTRANGE(""https://docs.google.com/spreadsheets/d/1Uw7-A9f9R21vMXxHZFNpYNeKFtG8_yji4HS352LGlSQ/edit?pli=1#gid=0"",""1_ACUM!A4:S""),14,FALSE))"),"")</f>
        <v/>
      </c>
      <c r="BA770" s="43" t="str">
        <f ca="1">IFERROR(__xludf.DUMMYFUNCTION("IFERROR(VLOOKUP(E784&amp;F784,IMPORTRANGE(""https://docs.google.com/spreadsheets/d/1Uw7-A9f9R21vMXxHZFNpYNeKFtG8_yji4HS352LGlSQ/edit?pli=1#gid=0"",""1_ACUM!A4:S""),15,FALSE))"),"")</f>
        <v/>
      </c>
      <c r="BB770" s="43" t="str">
        <f ca="1">IFERROR(__xludf.DUMMYFUNCTION("IFERROR(VLOOKUP(E784&amp;F784,IMPORTRANGE(""https://docs.google.com/spreadsheets/d/1Uw7-A9f9R21vMXxHZFNpYNeKFtG8_yji4HS352LGlSQ/edit?pli=1#gid=0"",""1_ACUM!A4:S""),16,FALSE))"),"")</f>
        <v/>
      </c>
      <c r="BC770" s="43" t="str">
        <f ca="1">IFERROR(__xludf.DUMMYFUNCTION("IFERROR(VLOOKUP(E784&amp;F784,IMPORTRANGE(""https://docs.google.com/spreadsheets/d/1Uw7-A9f9R21vMXxHZFNpYNeKFtG8_yji4HS352LGlSQ/edit?pli=1#gid=0"",""1_ACUM!A4:S""),17,FALSE))"),"")</f>
        <v/>
      </c>
      <c r="BD770" s="44" t="str">
        <f ca="1">IFERROR(__xludf.DUMMYFUNCTION("IFERROR(VLOOKUP(E784&amp;F784,IMPORTRANGE(""https://docs.google.com/spreadsheets/d/1Uw7-A9f9R21vMXxHZFNpYNeKFtG8_yji4HS352LGlSQ/edit?pli=1#gid=0"",""1_ACUM!A4:S""),18,FALSE))"),"")</f>
        <v/>
      </c>
      <c r="BE770" s="44" t="str">
        <f ca="1">IFERROR(__xludf.DUMMYFUNCTION("IFERROR(VLOOKUP(E784&amp;F784,IMPORTRANGE(""https://docs.google.com/spreadsheets/d/1Uw7-A9f9R21vMXxHZFNpYNeKFtG8_yji4HS352LGlSQ/edit?pli=1#gid=0"",""1_ACUM!A4:S""),19,FALSE))"),"")</f>
        <v/>
      </c>
      <c r="BF770" s="98" t="str">
        <f ca="1">IFERROR(__xludf.DUMMYFUNCTION("IFERROR(VLOOKUP(F784,IMPORTRANGE(""https://docs.google.com/spreadsheets/d/1Kvs4KS76FHFqLFIZfrDMff4kP08nblUkihrxltoGBjg/edit#gid=934712705"",""ESENCIAL!A6:BG""),5,FALSE))"),"")</f>
        <v/>
      </c>
      <c r="BG770" s="98" t="str">
        <f t="shared" si="25"/>
        <v/>
      </c>
      <c r="BH770" s="99" t="str">
        <f t="shared" si="26"/>
        <v/>
      </c>
      <c r="BI770" s="100" t="str">
        <f ca="1">IFERROR(__xludf.DUMMYFUNCTION("IFERROR(VLOOKUP(F784,IMPORTRANGE(""https://docs.google.com/spreadsheets/d/1Kvs4KS76FHFqLFIZfrDMff4kP08nblUkihrxltoGBjg/edit#gid=934712705"",""ESENCIAL!A6:BG""),2,FALSE))"),"")</f>
        <v/>
      </c>
      <c r="BJ770" s="19" t="str">
        <f t="shared" si="27"/>
        <v/>
      </c>
      <c r="BK770" s="100"/>
      <c r="BL770" s="100"/>
    </row>
    <row r="771" spans="1:64" ht="15">
      <c r="A771" s="5"/>
      <c r="B771" s="5"/>
      <c r="G771" s="5" t="str">
        <f ca="1">IFERROR(__xludf.DUMMYFUNCTION("IFERROR(VLOOKUP(F785,IMPORTRANGE(""https://docs.google.com/spreadsheets/d/1Kvs4KS76FHFqLFIZfrDMff4kP08nblUkihrxltoGBjg/edit#gid=934712705"",""ESENCIAL!A6:BG""),3,FALSE))"),"")</f>
        <v/>
      </c>
      <c r="H771" s="5" t="str">
        <f ca="1">IFERROR(__xludf.DUMMYFUNCTION("IFERROR(VLOOKUP(F785,IMPORTRANGE(""https://docs.google.com/spreadsheets/d/1Kvs4KS76FHFqLFIZfrDMff4kP08nblUkihrxltoGBjg/edit#gid=934712705"",""ESENCIAL!A6:BG""),8,FALSE))"),"")</f>
        <v/>
      </c>
      <c r="L771" s="287"/>
      <c r="U771" s="40"/>
      <c r="AU771" s="41" t="str">
        <f t="shared" si="24"/>
        <v/>
      </c>
      <c r="AV771" s="5" t="str">
        <f ca="1">IFERROR(__xludf.DUMMYFUNCTION("IFERROR(VLOOKUP(E785&amp;F785,IMPORTRANGE(""https://docs.google.com/spreadsheets/d/1Uw7-A9f9R21vMXxHZFNpYNeKFtG8_yji4HS352LGlSQ/edit?pli=1#gid=0"",""1_ACUM!A4:S""),11,FALSE))"),"")</f>
        <v/>
      </c>
      <c r="AW771" s="42" t="str">
        <f ca="1">IFERROR(__xludf.DUMMYFUNCTION("IFERROR(VLOOKUP(F785,IMPORTRANGE(""https://docs.google.com/spreadsheets/d/1Kvs4KS76FHFqLFIZfrDMff4kP08nblUkihrxltoGBjg/edit#gid=934712705"",""ESENCIAL!A6:BG""),15,FALSE))"),"")</f>
        <v/>
      </c>
      <c r="AX771" s="21" t="str">
        <f ca="1">IFERROR(__xludf.DUMMYFUNCTION("IFERROR(VLOOKUP(E785&amp;F785,IMPORTRANGE(""https://docs.google.com/spreadsheets/d/1Uw7-A9f9R21vMXxHZFNpYNeKFtG8_yji4HS352LGlSQ/edit?pli=1#gid=0"",""1_ACUM!A4:S""),12,FALSE))"),"")</f>
        <v/>
      </c>
      <c r="AY771" s="43" t="str">
        <f ca="1">IFERROR(__xludf.DUMMYFUNCTION("IFERROR(VLOOKUP(E785&amp;F785,IMPORTRANGE(""https://docs.google.com/spreadsheets/d/1Uw7-A9f9R21vMXxHZFNpYNeKFtG8_yji4HS352LGlSQ/edit?pli=1#gid=0"",""1_ACUM!A4:S""),13,FALSE))"),"")</f>
        <v/>
      </c>
      <c r="AZ771" s="43" t="str">
        <f ca="1">IFERROR(__xludf.DUMMYFUNCTION("IFERROR(VLOOKUP(E785&amp;F785,IMPORTRANGE(""https://docs.google.com/spreadsheets/d/1Uw7-A9f9R21vMXxHZFNpYNeKFtG8_yji4HS352LGlSQ/edit?pli=1#gid=0"",""1_ACUM!A4:S""),14,FALSE))"),"")</f>
        <v/>
      </c>
      <c r="BA771" s="43" t="str">
        <f ca="1">IFERROR(__xludf.DUMMYFUNCTION("IFERROR(VLOOKUP(E785&amp;F785,IMPORTRANGE(""https://docs.google.com/spreadsheets/d/1Uw7-A9f9R21vMXxHZFNpYNeKFtG8_yji4HS352LGlSQ/edit?pli=1#gid=0"",""1_ACUM!A4:S""),15,FALSE))"),"")</f>
        <v/>
      </c>
      <c r="BB771" s="43" t="str">
        <f ca="1">IFERROR(__xludf.DUMMYFUNCTION("IFERROR(VLOOKUP(E785&amp;F785,IMPORTRANGE(""https://docs.google.com/spreadsheets/d/1Uw7-A9f9R21vMXxHZFNpYNeKFtG8_yji4HS352LGlSQ/edit?pli=1#gid=0"",""1_ACUM!A4:S""),16,FALSE))"),"")</f>
        <v/>
      </c>
      <c r="BC771" s="43" t="str">
        <f ca="1">IFERROR(__xludf.DUMMYFUNCTION("IFERROR(VLOOKUP(E785&amp;F785,IMPORTRANGE(""https://docs.google.com/spreadsheets/d/1Uw7-A9f9R21vMXxHZFNpYNeKFtG8_yji4HS352LGlSQ/edit?pli=1#gid=0"",""1_ACUM!A4:S""),17,FALSE))"),"")</f>
        <v/>
      </c>
      <c r="BD771" s="44" t="str">
        <f ca="1">IFERROR(__xludf.DUMMYFUNCTION("IFERROR(VLOOKUP(E785&amp;F785,IMPORTRANGE(""https://docs.google.com/spreadsheets/d/1Uw7-A9f9R21vMXxHZFNpYNeKFtG8_yji4HS352LGlSQ/edit?pli=1#gid=0"",""1_ACUM!A4:S""),18,FALSE))"),"")</f>
        <v/>
      </c>
      <c r="BE771" s="44" t="str">
        <f ca="1">IFERROR(__xludf.DUMMYFUNCTION("IFERROR(VLOOKUP(E785&amp;F785,IMPORTRANGE(""https://docs.google.com/spreadsheets/d/1Uw7-A9f9R21vMXxHZFNpYNeKFtG8_yji4HS352LGlSQ/edit?pli=1#gid=0"",""1_ACUM!A4:S""),19,FALSE))"),"")</f>
        <v/>
      </c>
      <c r="BF771" s="98" t="str">
        <f ca="1">IFERROR(__xludf.DUMMYFUNCTION("IFERROR(VLOOKUP(F785,IMPORTRANGE(""https://docs.google.com/spreadsheets/d/1Kvs4KS76FHFqLFIZfrDMff4kP08nblUkihrxltoGBjg/edit#gid=934712705"",""ESENCIAL!A6:BG""),5,FALSE))"),"")</f>
        <v/>
      </c>
      <c r="BG771" s="98" t="str">
        <f t="shared" si="25"/>
        <v/>
      </c>
      <c r="BH771" s="99" t="str">
        <f t="shared" si="26"/>
        <v/>
      </c>
      <c r="BI771" s="100" t="str">
        <f ca="1">IFERROR(__xludf.DUMMYFUNCTION("IFERROR(VLOOKUP(F785,IMPORTRANGE(""https://docs.google.com/spreadsheets/d/1Kvs4KS76FHFqLFIZfrDMff4kP08nblUkihrxltoGBjg/edit#gid=934712705"",""ESENCIAL!A6:BG""),2,FALSE))"),"")</f>
        <v/>
      </c>
      <c r="BJ771" s="19" t="str">
        <f t="shared" si="27"/>
        <v/>
      </c>
      <c r="BK771" s="100"/>
      <c r="BL771" s="100"/>
    </row>
    <row r="772" spans="1:64" ht="15">
      <c r="A772" s="5"/>
      <c r="B772" s="5"/>
      <c r="G772" s="5" t="str">
        <f ca="1">IFERROR(__xludf.DUMMYFUNCTION("IFERROR(VLOOKUP(F786,IMPORTRANGE(""https://docs.google.com/spreadsheets/d/1Kvs4KS76FHFqLFIZfrDMff4kP08nblUkihrxltoGBjg/edit#gid=934712705"",""ESENCIAL!A6:BG""),3,FALSE))"),"")</f>
        <v/>
      </c>
      <c r="H772" s="5" t="str">
        <f ca="1">IFERROR(__xludf.DUMMYFUNCTION("IFERROR(VLOOKUP(F786,IMPORTRANGE(""https://docs.google.com/spreadsheets/d/1Kvs4KS76FHFqLFIZfrDMff4kP08nblUkihrxltoGBjg/edit#gid=934712705"",""ESENCIAL!A6:BG""),8,FALSE))"),"")</f>
        <v/>
      </c>
      <c r="L772" s="287"/>
      <c r="U772" s="40"/>
      <c r="AU772" s="41" t="str">
        <f t="shared" si="24"/>
        <v/>
      </c>
      <c r="AV772" s="5" t="str">
        <f ca="1">IFERROR(__xludf.DUMMYFUNCTION("IFERROR(VLOOKUP(E786&amp;F786,IMPORTRANGE(""https://docs.google.com/spreadsheets/d/1Uw7-A9f9R21vMXxHZFNpYNeKFtG8_yji4HS352LGlSQ/edit?pli=1#gid=0"",""1_ACUM!A4:S""),11,FALSE))"),"")</f>
        <v/>
      </c>
      <c r="AW772" s="42" t="str">
        <f ca="1">IFERROR(__xludf.DUMMYFUNCTION("IFERROR(VLOOKUP(F786,IMPORTRANGE(""https://docs.google.com/spreadsheets/d/1Kvs4KS76FHFqLFIZfrDMff4kP08nblUkihrxltoGBjg/edit#gid=934712705"",""ESENCIAL!A6:BG""),15,FALSE))"),"")</f>
        <v/>
      </c>
      <c r="AX772" s="21" t="str">
        <f ca="1">IFERROR(__xludf.DUMMYFUNCTION("IFERROR(VLOOKUP(E786&amp;F786,IMPORTRANGE(""https://docs.google.com/spreadsheets/d/1Uw7-A9f9R21vMXxHZFNpYNeKFtG8_yji4HS352LGlSQ/edit?pli=1#gid=0"",""1_ACUM!A4:S""),12,FALSE))"),"")</f>
        <v/>
      </c>
      <c r="AY772" s="43" t="str">
        <f ca="1">IFERROR(__xludf.DUMMYFUNCTION("IFERROR(VLOOKUP(E786&amp;F786,IMPORTRANGE(""https://docs.google.com/spreadsheets/d/1Uw7-A9f9R21vMXxHZFNpYNeKFtG8_yji4HS352LGlSQ/edit?pli=1#gid=0"",""1_ACUM!A4:S""),13,FALSE))"),"")</f>
        <v/>
      </c>
      <c r="AZ772" s="43" t="str">
        <f ca="1">IFERROR(__xludf.DUMMYFUNCTION("IFERROR(VLOOKUP(E786&amp;F786,IMPORTRANGE(""https://docs.google.com/spreadsheets/d/1Uw7-A9f9R21vMXxHZFNpYNeKFtG8_yji4HS352LGlSQ/edit?pli=1#gid=0"",""1_ACUM!A4:S""),14,FALSE))"),"")</f>
        <v/>
      </c>
      <c r="BA772" s="43" t="str">
        <f ca="1">IFERROR(__xludf.DUMMYFUNCTION("IFERROR(VLOOKUP(E786&amp;F786,IMPORTRANGE(""https://docs.google.com/spreadsheets/d/1Uw7-A9f9R21vMXxHZFNpYNeKFtG8_yji4HS352LGlSQ/edit?pli=1#gid=0"",""1_ACUM!A4:S""),15,FALSE))"),"")</f>
        <v/>
      </c>
      <c r="BB772" s="43" t="str">
        <f ca="1">IFERROR(__xludf.DUMMYFUNCTION("IFERROR(VLOOKUP(E786&amp;F786,IMPORTRANGE(""https://docs.google.com/spreadsheets/d/1Uw7-A9f9R21vMXxHZFNpYNeKFtG8_yji4HS352LGlSQ/edit?pli=1#gid=0"",""1_ACUM!A4:S""),16,FALSE))"),"")</f>
        <v/>
      </c>
      <c r="BC772" s="43" t="str">
        <f ca="1">IFERROR(__xludf.DUMMYFUNCTION("IFERROR(VLOOKUP(E786&amp;F786,IMPORTRANGE(""https://docs.google.com/spreadsheets/d/1Uw7-A9f9R21vMXxHZFNpYNeKFtG8_yji4HS352LGlSQ/edit?pli=1#gid=0"",""1_ACUM!A4:S""),17,FALSE))"),"")</f>
        <v/>
      </c>
      <c r="BD772" s="44" t="str">
        <f ca="1">IFERROR(__xludf.DUMMYFUNCTION("IFERROR(VLOOKUP(E786&amp;F786,IMPORTRANGE(""https://docs.google.com/spreadsheets/d/1Uw7-A9f9R21vMXxHZFNpYNeKFtG8_yji4HS352LGlSQ/edit?pli=1#gid=0"",""1_ACUM!A4:S""),18,FALSE))"),"")</f>
        <v/>
      </c>
      <c r="BE772" s="44" t="str">
        <f ca="1">IFERROR(__xludf.DUMMYFUNCTION("IFERROR(VLOOKUP(E786&amp;F786,IMPORTRANGE(""https://docs.google.com/spreadsheets/d/1Uw7-A9f9R21vMXxHZFNpYNeKFtG8_yji4HS352LGlSQ/edit?pli=1#gid=0"",""1_ACUM!A4:S""),19,FALSE))"),"")</f>
        <v/>
      </c>
      <c r="BF772" s="98" t="str">
        <f ca="1">IFERROR(__xludf.DUMMYFUNCTION("IFERROR(VLOOKUP(F786,IMPORTRANGE(""https://docs.google.com/spreadsheets/d/1Kvs4KS76FHFqLFIZfrDMff4kP08nblUkihrxltoGBjg/edit#gid=934712705"",""ESENCIAL!A6:BG""),5,FALSE))"),"")</f>
        <v/>
      </c>
      <c r="BG772" s="98" t="str">
        <f t="shared" si="25"/>
        <v/>
      </c>
      <c r="BH772" s="99" t="str">
        <f t="shared" si="26"/>
        <v/>
      </c>
      <c r="BI772" s="100" t="str">
        <f ca="1">IFERROR(__xludf.DUMMYFUNCTION("IFERROR(VLOOKUP(F786,IMPORTRANGE(""https://docs.google.com/spreadsheets/d/1Kvs4KS76FHFqLFIZfrDMff4kP08nblUkihrxltoGBjg/edit#gid=934712705"",""ESENCIAL!A6:BG""),2,FALSE))"),"")</f>
        <v/>
      </c>
      <c r="BJ772" s="19" t="str">
        <f t="shared" si="27"/>
        <v/>
      </c>
      <c r="BK772" s="100"/>
      <c r="BL772" s="100"/>
    </row>
    <row r="773" spans="1:64" ht="15">
      <c r="A773" s="5"/>
      <c r="B773" s="5"/>
      <c r="G773" s="5" t="str">
        <f ca="1">IFERROR(__xludf.DUMMYFUNCTION("IFERROR(VLOOKUP(F787,IMPORTRANGE(""https://docs.google.com/spreadsheets/d/1Kvs4KS76FHFqLFIZfrDMff4kP08nblUkihrxltoGBjg/edit#gid=934712705"",""ESENCIAL!A6:BG""),3,FALSE))"),"")</f>
        <v/>
      </c>
      <c r="H773" s="5" t="str">
        <f ca="1">IFERROR(__xludf.DUMMYFUNCTION("IFERROR(VLOOKUP(F787,IMPORTRANGE(""https://docs.google.com/spreadsheets/d/1Kvs4KS76FHFqLFIZfrDMff4kP08nblUkihrxltoGBjg/edit#gid=934712705"",""ESENCIAL!A6:BG""),8,FALSE))"),"")</f>
        <v/>
      </c>
      <c r="L773" s="287"/>
      <c r="U773" s="40"/>
      <c r="AU773" s="41" t="str">
        <f t="shared" si="24"/>
        <v/>
      </c>
      <c r="AV773" s="5" t="str">
        <f ca="1">IFERROR(__xludf.DUMMYFUNCTION("IFERROR(VLOOKUP(E787&amp;F787,IMPORTRANGE(""https://docs.google.com/spreadsheets/d/1Uw7-A9f9R21vMXxHZFNpYNeKFtG8_yji4HS352LGlSQ/edit?pli=1#gid=0"",""1_ACUM!A4:S""),11,FALSE))"),"")</f>
        <v/>
      </c>
      <c r="AW773" s="42" t="str">
        <f ca="1">IFERROR(__xludf.DUMMYFUNCTION("IFERROR(VLOOKUP(F787,IMPORTRANGE(""https://docs.google.com/spreadsheets/d/1Kvs4KS76FHFqLFIZfrDMff4kP08nblUkihrxltoGBjg/edit#gid=934712705"",""ESENCIAL!A6:BG""),15,FALSE))"),"")</f>
        <v/>
      </c>
      <c r="AX773" s="21" t="str">
        <f ca="1">IFERROR(__xludf.DUMMYFUNCTION("IFERROR(VLOOKUP(E787&amp;F787,IMPORTRANGE(""https://docs.google.com/spreadsheets/d/1Uw7-A9f9R21vMXxHZFNpYNeKFtG8_yji4HS352LGlSQ/edit?pli=1#gid=0"",""1_ACUM!A4:S""),12,FALSE))"),"")</f>
        <v/>
      </c>
      <c r="AY773" s="43" t="str">
        <f ca="1">IFERROR(__xludf.DUMMYFUNCTION("IFERROR(VLOOKUP(E787&amp;F787,IMPORTRANGE(""https://docs.google.com/spreadsheets/d/1Uw7-A9f9R21vMXxHZFNpYNeKFtG8_yji4HS352LGlSQ/edit?pli=1#gid=0"",""1_ACUM!A4:S""),13,FALSE))"),"")</f>
        <v/>
      </c>
      <c r="AZ773" s="43" t="str">
        <f ca="1">IFERROR(__xludf.DUMMYFUNCTION("IFERROR(VLOOKUP(E787&amp;F787,IMPORTRANGE(""https://docs.google.com/spreadsheets/d/1Uw7-A9f9R21vMXxHZFNpYNeKFtG8_yji4HS352LGlSQ/edit?pli=1#gid=0"",""1_ACUM!A4:S""),14,FALSE))"),"")</f>
        <v/>
      </c>
      <c r="BA773" s="43" t="str">
        <f ca="1">IFERROR(__xludf.DUMMYFUNCTION("IFERROR(VLOOKUP(E787&amp;F787,IMPORTRANGE(""https://docs.google.com/spreadsheets/d/1Uw7-A9f9R21vMXxHZFNpYNeKFtG8_yji4HS352LGlSQ/edit?pli=1#gid=0"",""1_ACUM!A4:S""),15,FALSE))"),"")</f>
        <v/>
      </c>
      <c r="BB773" s="43" t="str">
        <f ca="1">IFERROR(__xludf.DUMMYFUNCTION("IFERROR(VLOOKUP(E787&amp;F787,IMPORTRANGE(""https://docs.google.com/spreadsheets/d/1Uw7-A9f9R21vMXxHZFNpYNeKFtG8_yji4HS352LGlSQ/edit?pli=1#gid=0"",""1_ACUM!A4:S""),16,FALSE))"),"")</f>
        <v/>
      </c>
      <c r="BC773" s="43" t="str">
        <f ca="1">IFERROR(__xludf.DUMMYFUNCTION("IFERROR(VLOOKUP(E787&amp;F787,IMPORTRANGE(""https://docs.google.com/spreadsheets/d/1Uw7-A9f9R21vMXxHZFNpYNeKFtG8_yji4HS352LGlSQ/edit?pli=1#gid=0"",""1_ACUM!A4:S""),17,FALSE))"),"")</f>
        <v/>
      </c>
      <c r="BD773" s="44" t="str">
        <f ca="1">IFERROR(__xludf.DUMMYFUNCTION("IFERROR(VLOOKUP(E787&amp;F787,IMPORTRANGE(""https://docs.google.com/spreadsheets/d/1Uw7-A9f9R21vMXxHZFNpYNeKFtG8_yji4HS352LGlSQ/edit?pli=1#gid=0"",""1_ACUM!A4:S""),18,FALSE))"),"")</f>
        <v/>
      </c>
      <c r="BE773" s="44" t="str">
        <f ca="1">IFERROR(__xludf.DUMMYFUNCTION("IFERROR(VLOOKUP(E787&amp;F787,IMPORTRANGE(""https://docs.google.com/spreadsheets/d/1Uw7-A9f9R21vMXxHZFNpYNeKFtG8_yji4HS352LGlSQ/edit?pli=1#gid=0"",""1_ACUM!A4:S""),19,FALSE))"),"")</f>
        <v/>
      </c>
      <c r="BF773" s="98" t="str">
        <f ca="1">IFERROR(__xludf.DUMMYFUNCTION("IFERROR(VLOOKUP(F787,IMPORTRANGE(""https://docs.google.com/spreadsheets/d/1Kvs4KS76FHFqLFIZfrDMff4kP08nblUkihrxltoGBjg/edit#gid=934712705"",""ESENCIAL!A6:BG""),5,FALSE))"),"")</f>
        <v/>
      </c>
      <c r="BG773" s="98" t="str">
        <f t="shared" si="25"/>
        <v/>
      </c>
      <c r="BH773" s="99" t="str">
        <f t="shared" si="26"/>
        <v/>
      </c>
      <c r="BI773" s="100" t="str">
        <f ca="1">IFERROR(__xludf.DUMMYFUNCTION("IFERROR(VLOOKUP(F787,IMPORTRANGE(""https://docs.google.com/spreadsheets/d/1Kvs4KS76FHFqLFIZfrDMff4kP08nblUkihrxltoGBjg/edit#gid=934712705"",""ESENCIAL!A6:BG""),2,FALSE))"),"")</f>
        <v/>
      </c>
      <c r="BJ773" s="19" t="str">
        <f t="shared" si="27"/>
        <v/>
      </c>
      <c r="BK773" s="100"/>
      <c r="BL773" s="100"/>
    </row>
    <row r="774" spans="1:64" ht="15">
      <c r="A774" s="5"/>
      <c r="B774" s="5"/>
      <c r="G774" s="5" t="str">
        <f ca="1">IFERROR(__xludf.DUMMYFUNCTION("IFERROR(VLOOKUP(F788,IMPORTRANGE(""https://docs.google.com/spreadsheets/d/1Kvs4KS76FHFqLFIZfrDMff4kP08nblUkihrxltoGBjg/edit#gid=934712705"",""ESENCIAL!A6:BG""),3,FALSE))"),"")</f>
        <v/>
      </c>
      <c r="H774" s="5" t="str">
        <f ca="1">IFERROR(__xludf.DUMMYFUNCTION("IFERROR(VLOOKUP(F788,IMPORTRANGE(""https://docs.google.com/spreadsheets/d/1Kvs4KS76FHFqLFIZfrDMff4kP08nblUkihrxltoGBjg/edit#gid=934712705"",""ESENCIAL!A6:BG""),8,FALSE))"),"")</f>
        <v/>
      </c>
      <c r="L774" s="287"/>
      <c r="U774" s="40"/>
      <c r="AU774" s="41" t="str">
        <f t="shared" si="24"/>
        <v/>
      </c>
      <c r="AV774" s="5" t="str">
        <f ca="1">IFERROR(__xludf.DUMMYFUNCTION("IFERROR(VLOOKUP(E788&amp;F788,IMPORTRANGE(""https://docs.google.com/spreadsheets/d/1Uw7-A9f9R21vMXxHZFNpYNeKFtG8_yji4HS352LGlSQ/edit?pli=1#gid=0"",""1_ACUM!A4:S""),11,FALSE))"),"")</f>
        <v/>
      </c>
      <c r="AW774" s="42" t="str">
        <f ca="1">IFERROR(__xludf.DUMMYFUNCTION("IFERROR(VLOOKUP(F788,IMPORTRANGE(""https://docs.google.com/spreadsheets/d/1Kvs4KS76FHFqLFIZfrDMff4kP08nblUkihrxltoGBjg/edit#gid=934712705"",""ESENCIAL!A6:BG""),15,FALSE))"),"")</f>
        <v/>
      </c>
      <c r="AX774" s="21" t="str">
        <f ca="1">IFERROR(__xludf.DUMMYFUNCTION("IFERROR(VLOOKUP(E788&amp;F788,IMPORTRANGE(""https://docs.google.com/spreadsheets/d/1Uw7-A9f9R21vMXxHZFNpYNeKFtG8_yji4HS352LGlSQ/edit?pli=1#gid=0"",""1_ACUM!A4:S""),12,FALSE))"),"")</f>
        <v/>
      </c>
      <c r="AY774" s="43" t="str">
        <f ca="1">IFERROR(__xludf.DUMMYFUNCTION("IFERROR(VLOOKUP(E788&amp;F788,IMPORTRANGE(""https://docs.google.com/spreadsheets/d/1Uw7-A9f9R21vMXxHZFNpYNeKFtG8_yji4HS352LGlSQ/edit?pli=1#gid=0"",""1_ACUM!A4:S""),13,FALSE))"),"")</f>
        <v/>
      </c>
      <c r="AZ774" s="43" t="str">
        <f ca="1">IFERROR(__xludf.DUMMYFUNCTION("IFERROR(VLOOKUP(E788&amp;F788,IMPORTRANGE(""https://docs.google.com/spreadsheets/d/1Uw7-A9f9R21vMXxHZFNpYNeKFtG8_yji4HS352LGlSQ/edit?pli=1#gid=0"",""1_ACUM!A4:S""),14,FALSE))"),"")</f>
        <v/>
      </c>
      <c r="BA774" s="43" t="str">
        <f ca="1">IFERROR(__xludf.DUMMYFUNCTION("IFERROR(VLOOKUP(E788&amp;F788,IMPORTRANGE(""https://docs.google.com/spreadsheets/d/1Uw7-A9f9R21vMXxHZFNpYNeKFtG8_yji4HS352LGlSQ/edit?pli=1#gid=0"",""1_ACUM!A4:S""),15,FALSE))"),"")</f>
        <v/>
      </c>
      <c r="BB774" s="43" t="str">
        <f ca="1">IFERROR(__xludf.DUMMYFUNCTION("IFERROR(VLOOKUP(E788&amp;F788,IMPORTRANGE(""https://docs.google.com/spreadsheets/d/1Uw7-A9f9R21vMXxHZFNpYNeKFtG8_yji4HS352LGlSQ/edit?pli=1#gid=0"",""1_ACUM!A4:S""),16,FALSE))"),"")</f>
        <v/>
      </c>
      <c r="BC774" s="43" t="str">
        <f ca="1">IFERROR(__xludf.DUMMYFUNCTION("IFERROR(VLOOKUP(E788&amp;F788,IMPORTRANGE(""https://docs.google.com/spreadsheets/d/1Uw7-A9f9R21vMXxHZFNpYNeKFtG8_yji4HS352LGlSQ/edit?pli=1#gid=0"",""1_ACUM!A4:S""),17,FALSE))"),"")</f>
        <v/>
      </c>
      <c r="BD774" s="44" t="str">
        <f ca="1">IFERROR(__xludf.DUMMYFUNCTION("IFERROR(VLOOKUP(E788&amp;F788,IMPORTRANGE(""https://docs.google.com/spreadsheets/d/1Uw7-A9f9R21vMXxHZFNpYNeKFtG8_yji4HS352LGlSQ/edit?pli=1#gid=0"",""1_ACUM!A4:S""),18,FALSE))"),"")</f>
        <v/>
      </c>
      <c r="BE774" s="44" t="str">
        <f ca="1">IFERROR(__xludf.DUMMYFUNCTION("IFERROR(VLOOKUP(E788&amp;F788,IMPORTRANGE(""https://docs.google.com/spreadsheets/d/1Uw7-A9f9R21vMXxHZFNpYNeKFtG8_yji4HS352LGlSQ/edit?pli=1#gid=0"",""1_ACUM!A4:S""),19,FALSE))"),"")</f>
        <v/>
      </c>
      <c r="BF774" s="98" t="str">
        <f ca="1">IFERROR(__xludf.DUMMYFUNCTION("IFERROR(VLOOKUP(F788,IMPORTRANGE(""https://docs.google.com/spreadsheets/d/1Kvs4KS76FHFqLFIZfrDMff4kP08nblUkihrxltoGBjg/edit#gid=934712705"",""ESENCIAL!A6:BG""),5,FALSE))"),"")</f>
        <v/>
      </c>
      <c r="BG774" s="98" t="str">
        <f t="shared" si="25"/>
        <v/>
      </c>
      <c r="BH774" s="99" t="str">
        <f t="shared" si="26"/>
        <v/>
      </c>
      <c r="BI774" s="100" t="str">
        <f ca="1">IFERROR(__xludf.DUMMYFUNCTION("IFERROR(VLOOKUP(F788,IMPORTRANGE(""https://docs.google.com/spreadsheets/d/1Kvs4KS76FHFqLFIZfrDMff4kP08nblUkihrxltoGBjg/edit#gid=934712705"",""ESENCIAL!A6:BG""),2,FALSE))"),"")</f>
        <v/>
      </c>
      <c r="BJ774" s="19" t="str">
        <f t="shared" si="27"/>
        <v/>
      </c>
      <c r="BK774" s="100"/>
      <c r="BL774" s="100"/>
    </row>
    <row r="775" spans="1:64" ht="15">
      <c r="A775" s="5"/>
      <c r="B775" s="5"/>
      <c r="G775" s="5" t="str">
        <f ca="1">IFERROR(__xludf.DUMMYFUNCTION("IFERROR(VLOOKUP(F789,IMPORTRANGE(""https://docs.google.com/spreadsheets/d/1Kvs4KS76FHFqLFIZfrDMff4kP08nblUkihrxltoGBjg/edit#gid=934712705"",""ESENCIAL!A6:BG""),3,FALSE))"),"")</f>
        <v/>
      </c>
      <c r="H775" s="5" t="str">
        <f ca="1">IFERROR(__xludf.DUMMYFUNCTION("IFERROR(VLOOKUP(F789,IMPORTRANGE(""https://docs.google.com/spreadsheets/d/1Kvs4KS76FHFqLFIZfrDMff4kP08nblUkihrxltoGBjg/edit#gid=934712705"",""ESENCIAL!A6:BG""),8,FALSE))"),"")</f>
        <v/>
      </c>
      <c r="L775" s="287"/>
      <c r="U775" s="40"/>
      <c r="AU775" s="41" t="str">
        <f t="shared" si="24"/>
        <v/>
      </c>
      <c r="AV775" s="5" t="str">
        <f ca="1">IFERROR(__xludf.DUMMYFUNCTION("IFERROR(VLOOKUP(E789&amp;F789,IMPORTRANGE(""https://docs.google.com/spreadsheets/d/1Uw7-A9f9R21vMXxHZFNpYNeKFtG8_yji4HS352LGlSQ/edit?pli=1#gid=0"",""1_ACUM!A4:S""),11,FALSE))"),"")</f>
        <v/>
      </c>
      <c r="AW775" s="42" t="str">
        <f ca="1">IFERROR(__xludf.DUMMYFUNCTION("IFERROR(VLOOKUP(F789,IMPORTRANGE(""https://docs.google.com/spreadsheets/d/1Kvs4KS76FHFqLFIZfrDMff4kP08nblUkihrxltoGBjg/edit#gid=934712705"",""ESENCIAL!A6:BG""),15,FALSE))"),"")</f>
        <v/>
      </c>
      <c r="AX775" s="21" t="str">
        <f ca="1">IFERROR(__xludf.DUMMYFUNCTION("IFERROR(VLOOKUP(E789&amp;F789,IMPORTRANGE(""https://docs.google.com/spreadsheets/d/1Uw7-A9f9R21vMXxHZFNpYNeKFtG8_yji4HS352LGlSQ/edit?pli=1#gid=0"",""1_ACUM!A4:S""),12,FALSE))"),"")</f>
        <v/>
      </c>
      <c r="AY775" s="43" t="str">
        <f ca="1">IFERROR(__xludf.DUMMYFUNCTION("IFERROR(VLOOKUP(E789&amp;F789,IMPORTRANGE(""https://docs.google.com/spreadsheets/d/1Uw7-A9f9R21vMXxHZFNpYNeKFtG8_yji4HS352LGlSQ/edit?pli=1#gid=0"",""1_ACUM!A4:S""),13,FALSE))"),"")</f>
        <v/>
      </c>
      <c r="AZ775" s="43" t="str">
        <f ca="1">IFERROR(__xludf.DUMMYFUNCTION("IFERROR(VLOOKUP(E789&amp;F789,IMPORTRANGE(""https://docs.google.com/spreadsheets/d/1Uw7-A9f9R21vMXxHZFNpYNeKFtG8_yji4HS352LGlSQ/edit?pli=1#gid=0"",""1_ACUM!A4:S""),14,FALSE))"),"")</f>
        <v/>
      </c>
      <c r="BA775" s="43" t="str">
        <f ca="1">IFERROR(__xludf.DUMMYFUNCTION("IFERROR(VLOOKUP(E789&amp;F789,IMPORTRANGE(""https://docs.google.com/spreadsheets/d/1Uw7-A9f9R21vMXxHZFNpYNeKFtG8_yji4HS352LGlSQ/edit?pli=1#gid=0"",""1_ACUM!A4:S""),15,FALSE))"),"")</f>
        <v/>
      </c>
      <c r="BB775" s="43" t="str">
        <f ca="1">IFERROR(__xludf.DUMMYFUNCTION("IFERROR(VLOOKUP(E789&amp;F789,IMPORTRANGE(""https://docs.google.com/spreadsheets/d/1Uw7-A9f9R21vMXxHZFNpYNeKFtG8_yji4HS352LGlSQ/edit?pli=1#gid=0"",""1_ACUM!A4:S""),16,FALSE))"),"")</f>
        <v/>
      </c>
      <c r="BC775" s="43" t="str">
        <f ca="1">IFERROR(__xludf.DUMMYFUNCTION("IFERROR(VLOOKUP(E789&amp;F789,IMPORTRANGE(""https://docs.google.com/spreadsheets/d/1Uw7-A9f9R21vMXxHZFNpYNeKFtG8_yji4HS352LGlSQ/edit?pli=1#gid=0"",""1_ACUM!A4:S""),17,FALSE))"),"")</f>
        <v/>
      </c>
      <c r="BD775" s="44" t="str">
        <f ca="1">IFERROR(__xludf.DUMMYFUNCTION("IFERROR(VLOOKUP(E789&amp;F789,IMPORTRANGE(""https://docs.google.com/spreadsheets/d/1Uw7-A9f9R21vMXxHZFNpYNeKFtG8_yji4HS352LGlSQ/edit?pli=1#gid=0"",""1_ACUM!A4:S""),18,FALSE))"),"")</f>
        <v/>
      </c>
      <c r="BE775" s="44" t="str">
        <f ca="1">IFERROR(__xludf.DUMMYFUNCTION("IFERROR(VLOOKUP(E789&amp;F789,IMPORTRANGE(""https://docs.google.com/spreadsheets/d/1Uw7-A9f9R21vMXxHZFNpYNeKFtG8_yji4HS352LGlSQ/edit?pli=1#gid=0"",""1_ACUM!A4:S""),19,FALSE))"),"")</f>
        <v/>
      </c>
      <c r="BF775" s="98" t="str">
        <f ca="1">IFERROR(__xludf.DUMMYFUNCTION("IFERROR(VLOOKUP(F789,IMPORTRANGE(""https://docs.google.com/spreadsheets/d/1Kvs4KS76FHFqLFIZfrDMff4kP08nblUkihrxltoGBjg/edit#gid=934712705"",""ESENCIAL!A6:BG""),5,FALSE))"),"")</f>
        <v/>
      </c>
      <c r="BG775" s="98" t="str">
        <f t="shared" si="25"/>
        <v/>
      </c>
      <c r="BH775" s="99" t="str">
        <f t="shared" si="26"/>
        <v/>
      </c>
      <c r="BI775" s="100" t="str">
        <f ca="1">IFERROR(__xludf.DUMMYFUNCTION("IFERROR(VLOOKUP(F789,IMPORTRANGE(""https://docs.google.com/spreadsheets/d/1Kvs4KS76FHFqLFIZfrDMff4kP08nblUkihrxltoGBjg/edit#gid=934712705"",""ESENCIAL!A6:BG""),2,FALSE))"),"")</f>
        <v/>
      </c>
      <c r="BJ775" s="19" t="str">
        <f t="shared" si="27"/>
        <v/>
      </c>
      <c r="BK775" s="100"/>
      <c r="BL775" s="100"/>
    </row>
    <row r="776" spans="1:64" ht="15">
      <c r="A776" s="5"/>
      <c r="B776" s="5"/>
      <c r="G776" s="5" t="str">
        <f ca="1">IFERROR(__xludf.DUMMYFUNCTION("IFERROR(VLOOKUP(F790,IMPORTRANGE(""https://docs.google.com/spreadsheets/d/1Kvs4KS76FHFqLFIZfrDMff4kP08nblUkihrxltoGBjg/edit#gid=934712705"",""ESENCIAL!A6:BG""),3,FALSE))"),"")</f>
        <v/>
      </c>
      <c r="H776" s="5" t="str">
        <f ca="1">IFERROR(__xludf.DUMMYFUNCTION("IFERROR(VLOOKUP(F790,IMPORTRANGE(""https://docs.google.com/spreadsheets/d/1Kvs4KS76FHFqLFIZfrDMff4kP08nblUkihrxltoGBjg/edit#gid=934712705"",""ESENCIAL!A6:BG""),8,FALSE))"),"")</f>
        <v/>
      </c>
      <c r="L776" s="287"/>
      <c r="U776" s="40"/>
      <c r="AU776" s="41" t="str">
        <f t="shared" si="24"/>
        <v/>
      </c>
      <c r="AV776" s="5" t="str">
        <f ca="1">IFERROR(__xludf.DUMMYFUNCTION("IFERROR(VLOOKUP(E790&amp;F790,IMPORTRANGE(""https://docs.google.com/spreadsheets/d/1Uw7-A9f9R21vMXxHZFNpYNeKFtG8_yji4HS352LGlSQ/edit?pli=1#gid=0"",""1_ACUM!A4:S""),11,FALSE))"),"")</f>
        <v/>
      </c>
      <c r="AW776" s="42" t="str">
        <f ca="1">IFERROR(__xludf.DUMMYFUNCTION("IFERROR(VLOOKUP(F790,IMPORTRANGE(""https://docs.google.com/spreadsheets/d/1Kvs4KS76FHFqLFIZfrDMff4kP08nblUkihrxltoGBjg/edit#gid=934712705"",""ESENCIAL!A6:BG""),15,FALSE))"),"")</f>
        <v/>
      </c>
      <c r="AX776" s="21" t="str">
        <f ca="1">IFERROR(__xludf.DUMMYFUNCTION("IFERROR(VLOOKUP(E790&amp;F790,IMPORTRANGE(""https://docs.google.com/spreadsheets/d/1Uw7-A9f9R21vMXxHZFNpYNeKFtG8_yji4HS352LGlSQ/edit?pli=1#gid=0"",""1_ACUM!A4:S""),12,FALSE))"),"")</f>
        <v/>
      </c>
      <c r="AY776" s="43" t="str">
        <f ca="1">IFERROR(__xludf.DUMMYFUNCTION("IFERROR(VLOOKUP(E790&amp;F790,IMPORTRANGE(""https://docs.google.com/spreadsheets/d/1Uw7-A9f9R21vMXxHZFNpYNeKFtG8_yji4HS352LGlSQ/edit?pli=1#gid=0"",""1_ACUM!A4:S""),13,FALSE))"),"")</f>
        <v/>
      </c>
      <c r="AZ776" s="43" t="str">
        <f ca="1">IFERROR(__xludf.DUMMYFUNCTION("IFERROR(VLOOKUP(E790&amp;F790,IMPORTRANGE(""https://docs.google.com/spreadsheets/d/1Uw7-A9f9R21vMXxHZFNpYNeKFtG8_yji4HS352LGlSQ/edit?pli=1#gid=0"",""1_ACUM!A4:S""),14,FALSE))"),"")</f>
        <v/>
      </c>
      <c r="BA776" s="43" t="str">
        <f ca="1">IFERROR(__xludf.DUMMYFUNCTION("IFERROR(VLOOKUP(E790&amp;F790,IMPORTRANGE(""https://docs.google.com/spreadsheets/d/1Uw7-A9f9R21vMXxHZFNpYNeKFtG8_yji4HS352LGlSQ/edit?pli=1#gid=0"",""1_ACUM!A4:S""),15,FALSE))"),"")</f>
        <v/>
      </c>
      <c r="BB776" s="43" t="str">
        <f ca="1">IFERROR(__xludf.DUMMYFUNCTION("IFERROR(VLOOKUP(E790&amp;F790,IMPORTRANGE(""https://docs.google.com/spreadsheets/d/1Uw7-A9f9R21vMXxHZFNpYNeKFtG8_yji4HS352LGlSQ/edit?pli=1#gid=0"",""1_ACUM!A4:S""),16,FALSE))"),"")</f>
        <v/>
      </c>
      <c r="BC776" s="43" t="str">
        <f ca="1">IFERROR(__xludf.DUMMYFUNCTION("IFERROR(VLOOKUP(E790&amp;F790,IMPORTRANGE(""https://docs.google.com/spreadsheets/d/1Uw7-A9f9R21vMXxHZFNpYNeKFtG8_yji4HS352LGlSQ/edit?pli=1#gid=0"",""1_ACUM!A4:S""),17,FALSE))"),"")</f>
        <v/>
      </c>
      <c r="BD776" s="44" t="str">
        <f ca="1">IFERROR(__xludf.DUMMYFUNCTION("IFERROR(VLOOKUP(E790&amp;F790,IMPORTRANGE(""https://docs.google.com/spreadsheets/d/1Uw7-A9f9R21vMXxHZFNpYNeKFtG8_yji4HS352LGlSQ/edit?pli=1#gid=0"",""1_ACUM!A4:S""),18,FALSE))"),"")</f>
        <v/>
      </c>
      <c r="BE776" s="44" t="str">
        <f ca="1">IFERROR(__xludf.DUMMYFUNCTION("IFERROR(VLOOKUP(E790&amp;F790,IMPORTRANGE(""https://docs.google.com/spreadsheets/d/1Uw7-A9f9R21vMXxHZFNpYNeKFtG8_yji4HS352LGlSQ/edit?pli=1#gid=0"",""1_ACUM!A4:S""),19,FALSE))"),"")</f>
        <v/>
      </c>
      <c r="BF776" s="98" t="str">
        <f ca="1">IFERROR(__xludf.DUMMYFUNCTION("IFERROR(VLOOKUP(F790,IMPORTRANGE(""https://docs.google.com/spreadsheets/d/1Kvs4KS76FHFqLFIZfrDMff4kP08nblUkihrxltoGBjg/edit#gid=934712705"",""ESENCIAL!A6:BG""),5,FALSE))"),"")</f>
        <v/>
      </c>
      <c r="BG776" s="98" t="str">
        <f t="shared" si="25"/>
        <v/>
      </c>
      <c r="BH776" s="99" t="str">
        <f t="shared" si="26"/>
        <v/>
      </c>
      <c r="BI776" s="100" t="str">
        <f ca="1">IFERROR(__xludf.DUMMYFUNCTION("IFERROR(VLOOKUP(F790,IMPORTRANGE(""https://docs.google.com/spreadsheets/d/1Kvs4KS76FHFqLFIZfrDMff4kP08nblUkihrxltoGBjg/edit#gid=934712705"",""ESENCIAL!A6:BG""),2,FALSE))"),"")</f>
        <v/>
      </c>
      <c r="BJ776" s="19" t="str">
        <f t="shared" si="27"/>
        <v/>
      </c>
      <c r="BK776" s="100"/>
      <c r="BL776" s="100"/>
    </row>
    <row r="777" spans="1:64" ht="15">
      <c r="A777" s="5"/>
      <c r="B777" s="5"/>
      <c r="G777" s="5" t="str">
        <f ca="1">IFERROR(__xludf.DUMMYFUNCTION("IFERROR(VLOOKUP(F791,IMPORTRANGE(""https://docs.google.com/spreadsheets/d/1Kvs4KS76FHFqLFIZfrDMff4kP08nblUkihrxltoGBjg/edit#gid=934712705"",""ESENCIAL!A6:BG""),3,FALSE))"),"")</f>
        <v/>
      </c>
      <c r="H777" s="5" t="str">
        <f ca="1">IFERROR(__xludf.DUMMYFUNCTION("IFERROR(VLOOKUP(F791,IMPORTRANGE(""https://docs.google.com/spreadsheets/d/1Kvs4KS76FHFqLFIZfrDMff4kP08nblUkihrxltoGBjg/edit#gid=934712705"",""ESENCIAL!A6:BG""),8,FALSE))"),"")</f>
        <v/>
      </c>
      <c r="L777" s="287"/>
      <c r="U777" s="40"/>
      <c r="AU777" s="41" t="str">
        <f t="shared" si="24"/>
        <v/>
      </c>
      <c r="AV777" s="5" t="str">
        <f ca="1">IFERROR(__xludf.DUMMYFUNCTION("IFERROR(VLOOKUP(E791&amp;F791,IMPORTRANGE(""https://docs.google.com/spreadsheets/d/1Uw7-A9f9R21vMXxHZFNpYNeKFtG8_yji4HS352LGlSQ/edit?pli=1#gid=0"",""1_ACUM!A4:S""),11,FALSE))"),"")</f>
        <v/>
      </c>
      <c r="AW777" s="42" t="str">
        <f ca="1">IFERROR(__xludf.DUMMYFUNCTION("IFERROR(VLOOKUP(F791,IMPORTRANGE(""https://docs.google.com/spreadsheets/d/1Kvs4KS76FHFqLFIZfrDMff4kP08nblUkihrxltoGBjg/edit#gid=934712705"",""ESENCIAL!A6:BG""),15,FALSE))"),"")</f>
        <v/>
      </c>
      <c r="AX777" s="21" t="str">
        <f ca="1">IFERROR(__xludf.DUMMYFUNCTION("IFERROR(VLOOKUP(E791&amp;F791,IMPORTRANGE(""https://docs.google.com/spreadsheets/d/1Uw7-A9f9R21vMXxHZFNpYNeKFtG8_yji4HS352LGlSQ/edit?pli=1#gid=0"",""1_ACUM!A4:S""),12,FALSE))"),"")</f>
        <v/>
      </c>
      <c r="AY777" s="43" t="str">
        <f ca="1">IFERROR(__xludf.DUMMYFUNCTION("IFERROR(VLOOKUP(E791&amp;F791,IMPORTRANGE(""https://docs.google.com/spreadsheets/d/1Uw7-A9f9R21vMXxHZFNpYNeKFtG8_yji4HS352LGlSQ/edit?pli=1#gid=0"",""1_ACUM!A4:S""),13,FALSE))"),"")</f>
        <v/>
      </c>
      <c r="AZ777" s="43" t="str">
        <f ca="1">IFERROR(__xludf.DUMMYFUNCTION("IFERROR(VLOOKUP(E791&amp;F791,IMPORTRANGE(""https://docs.google.com/spreadsheets/d/1Uw7-A9f9R21vMXxHZFNpYNeKFtG8_yji4HS352LGlSQ/edit?pli=1#gid=0"",""1_ACUM!A4:S""),14,FALSE))"),"")</f>
        <v/>
      </c>
      <c r="BA777" s="43" t="str">
        <f ca="1">IFERROR(__xludf.DUMMYFUNCTION("IFERROR(VLOOKUP(E791&amp;F791,IMPORTRANGE(""https://docs.google.com/spreadsheets/d/1Uw7-A9f9R21vMXxHZFNpYNeKFtG8_yji4HS352LGlSQ/edit?pli=1#gid=0"",""1_ACUM!A4:S""),15,FALSE))"),"")</f>
        <v/>
      </c>
      <c r="BB777" s="43" t="str">
        <f ca="1">IFERROR(__xludf.DUMMYFUNCTION("IFERROR(VLOOKUP(E791&amp;F791,IMPORTRANGE(""https://docs.google.com/spreadsheets/d/1Uw7-A9f9R21vMXxHZFNpYNeKFtG8_yji4HS352LGlSQ/edit?pli=1#gid=0"",""1_ACUM!A4:S""),16,FALSE))"),"")</f>
        <v/>
      </c>
      <c r="BC777" s="43" t="str">
        <f ca="1">IFERROR(__xludf.DUMMYFUNCTION("IFERROR(VLOOKUP(E791&amp;F791,IMPORTRANGE(""https://docs.google.com/spreadsheets/d/1Uw7-A9f9R21vMXxHZFNpYNeKFtG8_yji4HS352LGlSQ/edit?pli=1#gid=0"",""1_ACUM!A4:S""),17,FALSE))"),"")</f>
        <v/>
      </c>
      <c r="BD777" s="44" t="str">
        <f ca="1">IFERROR(__xludf.DUMMYFUNCTION("IFERROR(VLOOKUP(E791&amp;F791,IMPORTRANGE(""https://docs.google.com/spreadsheets/d/1Uw7-A9f9R21vMXxHZFNpYNeKFtG8_yji4HS352LGlSQ/edit?pli=1#gid=0"",""1_ACUM!A4:S""),18,FALSE))"),"")</f>
        <v/>
      </c>
      <c r="BE777" s="44" t="str">
        <f ca="1">IFERROR(__xludf.DUMMYFUNCTION("IFERROR(VLOOKUP(E791&amp;F791,IMPORTRANGE(""https://docs.google.com/spreadsheets/d/1Uw7-A9f9R21vMXxHZFNpYNeKFtG8_yji4HS352LGlSQ/edit?pli=1#gid=0"",""1_ACUM!A4:S""),19,FALSE))"),"")</f>
        <v/>
      </c>
      <c r="BF777" s="98" t="str">
        <f ca="1">IFERROR(__xludf.DUMMYFUNCTION("IFERROR(VLOOKUP(F791,IMPORTRANGE(""https://docs.google.com/spreadsheets/d/1Kvs4KS76FHFqLFIZfrDMff4kP08nblUkihrxltoGBjg/edit#gid=934712705"",""ESENCIAL!A6:BG""),5,FALSE))"),"")</f>
        <v/>
      </c>
      <c r="BG777" s="98" t="str">
        <f t="shared" si="25"/>
        <v/>
      </c>
      <c r="BH777" s="99" t="str">
        <f t="shared" si="26"/>
        <v/>
      </c>
      <c r="BI777" s="100" t="str">
        <f ca="1">IFERROR(__xludf.DUMMYFUNCTION("IFERROR(VLOOKUP(F791,IMPORTRANGE(""https://docs.google.com/spreadsheets/d/1Kvs4KS76FHFqLFIZfrDMff4kP08nblUkihrxltoGBjg/edit#gid=934712705"",""ESENCIAL!A6:BG""),2,FALSE))"),"")</f>
        <v/>
      </c>
      <c r="BJ777" s="19" t="str">
        <f t="shared" si="27"/>
        <v/>
      </c>
      <c r="BK777" s="100"/>
      <c r="BL777" s="100"/>
    </row>
    <row r="778" spans="1:64" ht="15">
      <c r="A778" s="5"/>
      <c r="B778" s="5"/>
      <c r="G778" s="5" t="str">
        <f ca="1">IFERROR(__xludf.DUMMYFUNCTION("IFERROR(VLOOKUP(F792,IMPORTRANGE(""https://docs.google.com/spreadsheets/d/1Kvs4KS76FHFqLFIZfrDMff4kP08nblUkihrxltoGBjg/edit#gid=934712705"",""ESENCIAL!A6:BG""),3,FALSE))"),"")</f>
        <v/>
      </c>
      <c r="H778" s="5" t="str">
        <f ca="1">IFERROR(__xludf.DUMMYFUNCTION("IFERROR(VLOOKUP(F792,IMPORTRANGE(""https://docs.google.com/spreadsheets/d/1Kvs4KS76FHFqLFIZfrDMff4kP08nblUkihrxltoGBjg/edit#gid=934712705"",""ESENCIAL!A6:BG""),8,FALSE))"),"")</f>
        <v/>
      </c>
      <c r="L778" s="287"/>
      <c r="U778" s="40"/>
      <c r="AU778" s="41" t="str">
        <f t="shared" si="24"/>
        <v/>
      </c>
      <c r="AV778" s="5" t="str">
        <f ca="1">IFERROR(__xludf.DUMMYFUNCTION("IFERROR(VLOOKUP(E792&amp;F792,IMPORTRANGE(""https://docs.google.com/spreadsheets/d/1Uw7-A9f9R21vMXxHZFNpYNeKFtG8_yji4HS352LGlSQ/edit?pli=1#gid=0"",""1_ACUM!A4:S""),11,FALSE))"),"")</f>
        <v/>
      </c>
      <c r="AW778" s="42" t="str">
        <f ca="1">IFERROR(__xludf.DUMMYFUNCTION("IFERROR(VLOOKUP(F792,IMPORTRANGE(""https://docs.google.com/spreadsheets/d/1Kvs4KS76FHFqLFIZfrDMff4kP08nblUkihrxltoGBjg/edit#gid=934712705"",""ESENCIAL!A6:BG""),15,FALSE))"),"")</f>
        <v/>
      </c>
      <c r="AX778" s="21" t="str">
        <f ca="1">IFERROR(__xludf.DUMMYFUNCTION("IFERROR(VLOOKUP(E792&amp;F792,IMPORTRANGE(""https://docs.google.com/spreadsheets/d/1Uw7-A9f9R21vMXxHZFNpYNeKFtG8_yji4HS352LGlSQ/edit?pli=1#gid=0"",""1_ACUM!A4:S""),12,FALSE))"),"")</f>
        <v/>
      </c>
      <c r="AY778" s="43" t="str">
        <f ca="1">IFERROR(__xludf.DUMMYFUNCTION("IFERROR(VLOOKUP(E792&amp;F792,IMPORTRANGE(""https://docs.google.com/spreadsheets/d/1Uw7-A9f9R21vMXxHZFNpYNeKFtG8_yji4HS352LGlSQ/edit?pli=1#gid=0"",""1_ACUM!A4:S""),13,FALSE))"),"")</f>
        <v/>
      </c>
      <c r="AZ778" s="43" t="str">
        <f ca="1">IFERROR(__xludf.DUMMYFUNCTION("IFERROR(VLOOKUP(E792&amp;F792,IMPORTRANGE(""https://docs.google.com/spreadsheets/d/1Uw7-A9f9R21vMXxHZFNpYNeKFtG8_yji4HS352LGlSQ/edit?pli=1#gid=0"",""1_ACUM!A4:S""),14,FALSE))"),"")</f>
        <v/>
      </c>
      <c r="BA778" s="43" t="str">
        <f ca="1">IFERROR(__xludf.DUMMYFUNCTION("IFERROR(VLOOKUP(E792&amp;F792,IMPORTRANGE(""https://docs.google.com/spreadsheets/d/1Uw7-A9f9R21vMXxHZFNpYNeKFtG8_yji4HS352LGlSQ/edit?pli=1#gid=0"",""1_ACUM!A4:S""),15,FALSE))"),"")</f>
        <v/>
      </c>
      <c r="BB778" s="43" t="str">
        <f ca="1">IFERROR(__xludf.DUMMYFUNCTION("IFERROR(VLOOKUP(E792&amp;F792,IMPORTRANGE(""https://docs.google.com/spreadsheets/d/1Uw7-A9f9R21vMXxHZFNpYNeKFtG8_yji4HS352LGlSQ/edit?pli=1#gid=0"",""1_ACUM!A4:S""),16,FALSE))"),"")</f>
        <v/>
      </c>
      <c r="BC778" s="43" t="str">
        <f ca="1">IFERROR(__xludf.DUMMYFUNCTION("IFERROR(VLOOKUP(E792&amp;F792,IMPORTRANGE(""https://docs.google.com/spreadsheets/d/1Uw7-A9f9R21vMXxHZFNpYNeKFtG8_yji4HS352LGlSQ/edit?pli=1#gid=0"",""1_ACUM!A4:S""),17,FALSE))"),"")</f>
        <v/>
      </c>
      <c r="BD778" s="44" t="str">
        <f ca="1">IFERROR(__xludf.DUMMYFUNCTION("IFERROR(VLOOKUP(E792&amp;F792,IMPORTRANGE(""https://docs.google.com/spreadsheets/d/1Uw7-A9f9R21vMXxHZFNpYNeKFtG8_yji4HS352LGlSQ/edit?pli=1#gid=0"",""1_ACUM!A4:S""),18,FALSE))"),"")</f>
        <v/>
      </c>
      <c r="BE778" s="44" t="str">
        <f ca="1">IFERROR(__xludf.DUMMYFUNCTION("IFERROR(VLOOKUP(E792&amp;F792,IMPORTRANGE(""https://docs.google.com/spreadsheets/d/1Uw7-A9f9R21vMXxHZFNpYNeKFtG8_yji4HS352LGlSQ/edit?pli=1#gid=0"",""1_ACUM!A4:S""),19,FALSE))"),"")</f>
        <v/>
      </c>
      <c r="BF778" s="98" t="str">
        <f ca="1">IFERROR(__xludf.DUMMYFUNCTION("IFERROR(VLOOKUP(F792,IMPORTRANGE(""https://docs.google.com/spreadsheets/d/1Kvs4KS76FHFqLFIZfrDMff4kP08nblUkihrxltoGBjg/edit#gid=934712705"",""ESENCIAL!A6:BG""),5,FALSE))"),"")</f>
        <v/>
      </c>
      <c r="BG778" s="98" t="str">
        <f t="shared" si="25"/>
        <v/>
      </c>
      <c r="BH778" s="99" t="str">
        <f t="shared" si="26"/>
        <v/>
      </c>
      <c r="BI778" s="100" t="str">
        <f ca="1">IFERROR(__xludf.DUMMYFUNCTION("IFERROR(VLOOKUP(F792,IMPORTRANGE(""https://docs.google.com/spreadsheets/d/1Kvs4KS76FHFqLFIZfrDMff4kP08nblUkihrxltoGBjg/edit#gid=934712705"",""ESENCIAL!A6:BG""),2,FALSE))"),"")</f>
        <v/>
      </c>
      <c r="BJ778" s="19" t="str">
        <f t="shared" si="27"/>
        <v/>
      </c>
      <c r="BK778" s="100"/>
      <c r="BL778" s="100"/>
    </row>
    <row r="779" spans="1:64" ht="15">
      <c r="A779" s="5"/>
      <c r="B779" s="5"/>
      <c r="G779" s="5" t="str">
        <f ca="1">IFERROR(__xludf.DUMMYFUNCTION("IFERROR(VLOOKUP(F793,IMPORTRANGE(""https://docs.google.com/spreadsheets/d/1Kvs4KS76FHFqLFIZfrDMff4kP08nblUkihrxltoGBjg/edit#gid=934712705"",""ESENCIAL!A6:BG""),3,FALSE))"),"")</f>
        <v/>
      </c>
      <c r="H779" s="5" t="str">
        <f ca="1">IFERROR(__xludf.DUMMYFUNCTION("IFERROR(VLOOKUP(F793,IMPORTRANGE(""https://docs.google.com/spreadsheets/d/1Kvs4KS76FHFqLFIZfrDMff4kP08nblUkihrxltoGBjg/edit#gid=934712705"",""ESENCIAL!A6:BG""),8,FALSE))"),"")</f>
        <v/>
      </c>
      <c r="L779" s="287"/>
      <c r="U779" s="40"/>
      <c r="AU779" s="41" t="str">
        <f t="shared" si="24"/>
        <v/>
      </c>
      <c r="AV779" s="5" t="str">
        <f ca="1">IFERROR(__xludf.DUMMYFUNCTION("IFERROR(VLOOKUP(E793&amp;F793,IMPORTRANGE(""https://docs.google.com/spreadsheets/d/1Uw7-A9f9R21vMXxHZFNpYNeKFtG8_yji4HS352LGlSQ/edit?pli=1#gid=0"",""1_ACUM!A4:S""),11,FALSE))"),"")</f>
        <v/>
      </c>
      <c r="AW779" s="42" t="str">
        <f ca="1">IFERROR(__xludf.DUMMYFUNCTION("IFERROR(VLOOKUP(F793,IMPORTRANGE(""https://docs.google.com/spreadsheets/d/1Kvs4KS76FHFqLFIZfrDMff4kP08nblUkihrxltoGBjg/edit#gid=934712705"",""ESENCIAL!A6:BG""),15,FALSE))"),"")</f>
        <v/>
      </c>
      <c r="AX779" s="21" t="str">
        <f ca="1">IFERROR(__xludf.DUMMYFUNCTION("IFERROR(VLOOKUP(E793&amp;F793,IMPORTRANGE(""https://docs.google.com/spreadsheets/d/1Uw7-A9f9R21vMXxHZFNpYNeKFtG8_yji4HS352LGlSQ/edit?pli=1#gid=0"",""1_ACUM!A4:S""),12,FALSE))"),"")</f>
        <v/>
      </c>
      <c r="AY779" s="43" t="str">
        <f ca="1">IFERROR(__xludf.DUMMYFUNCTION("IFERROR(VLOOKUP(E793&amp;F793,IMPORTRANGE(""https://docs.google.com/spreadsheets/d/1Uw7-A9f9R21vMXxHZFNpYNeKFtG8_yji4HS352LGlSQ/edit?pli=1#gid=0"",""1_ACUM!A4:S""),13,FALSE))"),"")</f>
        <v/>
      </c>
      <c r="AZ779" s="43" t="str">
        <f ca="1">IFERROR(__xludf.DUMMYFUNCTION("IFERROR(VLOOKUP(E793&amp;F793,IMPORTRANGE(""https://docs.google.com/spreadsheets/d/1Uw7-A9f9R21vMXxHZFNpYNeKFtG8_yji4HS352LGlSQ/edit?pli=1#gid=0"",""1_ACUM!A4:S""),14,FALSE))"),"")</f>
        <v/>
      </c>
      <c r="BA779" s="43" t="str">
        <f ca="1">IFERROR(__xludf.DUMMYFUNCTION("IFERROR(VLOOKUP(E793&amp;F793,IMPORTRANGE(""https://docs.google.com/spreadsheets/d/1Uw7-A9f9R21vMXxHZFNpYNeKFtG8_yji4HS352LGlSQ/edit?pli=1#gid=0"",""1_ACUM!A4:S""),15,FALSE))"),"")</f>
        <v/>
      </c>
      <c r="BB779" s="43" t="str">
        <f ca="1">IFERROR(__xludf.DUMMYFUNCTION("IFERROR(VLOOKUP(E793&amp;F793,IMPORTRANGE(""https://docs.google.com/spreadsheets/d/1Uw7-A9f9R21vMXxHZFNpYNeKFtG8_yji4HS352LGlSQ/edit?pli=1#gid=0"",""1_ACUM!A4:S""),16,FALSE))"),"")</f>
        <v/>
      </c>
      <c r="BC779" s="43" t="str">
        <f ca="1">IFERROR(__xludf.DUMMYFUNCTION("IFERROR(VLOOKUP(E793&amp;F793,IMPORTRANGE(""https://docs.google.com/spreadsheets/d/1Uw7-A9f9R21vMXxHZFNpYNeKFtG8_yji4HS352LGlSQ/edit?pli=1#gid=0"",""1_ACUM!A4:S""),17,FALSE))"),"")</f>
        <v/>
      </c>
      <c r="BD779" s="44" t="str">
        <f ca="1">IFERROR(__xludf.DUMMYFUNCTION("IFERROR(VLOOKUP(E793&amp;F793,IMPORTRANGE(""https://docs.google.com/spreadsheets/d/1Uw7-A9f9R21vMXxHZFNpYNeKFtG8_yji4HS352LGlSQ/edit?pli=1#gid=0"",""1_ACUM!A4:S""),18,FALSE))"),"")</f>
        <v/>
      </c>
      <c r="BE779" s="44" t="str">
        <f ca="1">IFERROR(__xludf.DUMMYFUNCTION("IFERROR(VLOOKUP(E793&amp;F793,IMPORTRANGE(""https://docs.google.com/spreadsheets/d/1Uw7-A9f9R21vMXxHZFNpYNeKFtG8_yji4HS352LGlSQ/edit?pli=1#gid=0"",""1_ACUM!A4:S""),19,FALSE))"),"")</f>
        <v/>
      </c>
      <c r="BF779" s="98" t="str">
        <f ca="1">IFERROR(__xludf.DUMMYFUNCTION("IFERROR(VLOOKUP(F793,IMPORTRANGE(""https://docs.google.com/spreadsheets/d/1Kvs4KS76FHFqLFIZfrDMff4kP08nblUkihrxltoGBjg/edit#gid=934712705"",""ESENCIAL!A6:BG""),5,FALSE))"),"")</f>
        <v/>
      </c>
      <c r="BG779" s="98" t="str">
        <f t="shared" si="25"/>
        <v/>
      </c>
      <c r="BH779" s="99" t="str">
        <f t="shared" si="26"/>
        <v/>
      </c>
      <c r="BI779" s="100" t="str">
        <f ca="1">IFERROR(__xludf.DUMMYFUNCTION("IFERROR(VLOOKUP(F793,IMPORTRANGE(""https://docs.google.com/spreadsheets/d/1Kvs4KS76FHFqLFIZfrDMff4kP08nblUkihrxltoGBjg/edit#gid=934712705"",""ESENCIAL!A6:BG""),2,FALSE))"),"")</f>
        <v/>
      </c>
      <c r="BJ779" s="19" t="str">
        <f t="shared" si="27"/>
        <v/>
      </c>
      <c r="BK779" s="100"/>
      <c r="BL779" s="100"/>
    </row>
    <row r="780" spans="1:64" ht="15">
      <c r="A780" s="5"/>
      <c r="B780" s="5"/>
      <c r="G780" s="5" t="str">
        <f ca="1">IFERROR(__xludf.DUMMYFUNCTION("IFERROR(VLOOKUP(F794,IMPORTRANGE(""https://docs.google.com/spreadsheets/d/1Kvs4KS76FHFqLFIZfrDMff4kP08nblUkihrxltoGBjg/edit#gid=934712705"",""ESENCIAL!A6:BG""),3,FALSE))"),"")</f>
        <v/>
      </c>
      <c r="H780" s="5" t="str">
        <f ca="1">IFERROR(__xludf.DUMMYFUNCTION("IFERROR(VLOOKUP(F794,IMPORTRANGE(""https://docs.google.com/spreadsheets/d/1Kvs4KS76FHFqLFIZfrDMff4kP08nblUkihrxltoGBjg/edit#gid=934712705"",""ESENCIAL!A6:BG""),8,FALSE))"),"")</f>
        <v/>
      </c>
      <c r="L780" s="287"/>
      <c r="U780" s="40"/>
      <c r="AU780" s="41" t="str">
        <f t="shared" si="24"/>
        <v/>
      </c>
      <c r="AV780" s="5" t="str">
        <f ca="1">IFERROR(__xludf.DUMMYFUNCTION("IFERROR(VLOOKUP(E794&amp;F794,IMPORTRANGE(""https://docs.google.com/spreadsheets/d/1Uw7-A9f9R21vMXxHZFNpYNeKFtG8_yji4HS352LGlSQ/edit?pli=1#gid=0"",""1_ACUM!A4:S""),11,FALSE))"),"")</f>
        <v/>
      </c>
      <c r="AW780" s="42" t="str">
        <f ca="1">IFERROR(__xludf.DUMMYFUNCTION("IFERROR(VLOOKUP(F794,IMPORTRANGE(""https://docs.google.com/spreadsheets/d/1Kvs4KS76FHFqLFIZfrDMff4kP08nblUkihrxltoGBjg/edit#gid=934712705"",""ESENCIAL!A6:BG""),15,FALSE))"),"")</f>
        <v/>
      </c>
      <c r="AX780" s="21" t="str">
        <f ca="1">IFERROR(__xludf.DUMMYFUNCTION("IFERROR(VLOOKUP(E794&amp;F794,IMPORTRANGE(""https://docs.google.com/spreadsheets/d/1Uw7-A9f9R21vMXxHZFNpYNeKFtG8_yji4HS352LGlSQ/edit?pli=1#gid=0"",""1_ACUM!A4:S""),12,FALSE))"),"")</f>
        <v/>
      </c>
      <c r="AY780" s="43" t="str">
        <f ca="1">IFERROR(__xludf.DUMMYFUNCTION("IFERROR(VLOOKUP(E794&amp;F794,IMPORTRANGE(""https://docs.google.com/spreadsheets/d/1Uw7-A9f9R21vMXxHZFNpYNeKFtG8_yji4HS352LGlSQ/edit?pli=1#gid=0"",""1_ACUM!A4:S""),13,FALSE))"),"")</f>
        <v/>
      </c>
      <c r="AZ780" s="43" t="str">
        <f ca="1">IFERROR(__xludf.DUMMYFUNCTION("IFERROR(VLOOKUP(E794&amp;F794,IMPORTRANGE(""https://docs.google.com/spreadsheets/d/1Uw7-A9f9R21vMXxHZFNpYNeKFtG8_yji4HS352LGlSQ/edit?pli=1#gid=0"",""1_ACUM!A4:S""),14,FALSE))"),"")</f>
        <v/>
      </c>
      <c r="BA780" s="43" t="str">
        <f ca="1">IFERROR(__xludf.DUMMYFUNCTION("IFERROR(VLOOKUP(E794&amp;F794,IMPORTRANGE(""https://docs.google.com/spreadsheets/d/1Uw7-A9f9R21vMXxHZFNpYNeKFtG8_yji4HS352LGlSQ/edit?pli=1#gid=0"",""1_ACUM!A4:S""),15,FALSE))"),"")</f>
        <v/>
      </c>
      <c r="BB780" s="43" t="str">
        <f ca="1">IFERROR(__xludf.DUMMYFUNCTION("IFERROR(VLOOKUP(E794&amp;F794,IMPORTRANGE(""https://docs.google.com/spreadsheets/d/1Uw7-A9f9R21vMXxHZFNpYNeKFtG8_yji4HS352LGlSQ/edit?pli=1#gid=0"",""1_ACUM!A4:S""),16,FALSE))"),"")</f>
        <v/>
      </c>
      <c r="BC780" s="43" t="str">
        <f ca="1">IFERROR(__xludf.DUMMYFUNCTION("IFERROR(VLOOKUP(E794&amp;F794,IMPORTRANGE(""https://docs.google.com/spreadsheets/d/1Uw7-A9f9R21vMXxHZFNpYNeKFtG8_yji4HS352LGlSQ/edit?pli=1#gid=0"",""1_ACUM!A4:S""),17,FALSE))"),"")</f>
        <v/>
      </c>
      <c r="BD780" s="44" t="str">
        <f ca="1">IFERROR(__xludf.DUMMYFUNCTION("IFERROR(VLOOKUP(E794&amp;F794,IMPORTRANGE(""https://docs.google.com/spreadsheets/d/1Uw7-A9f9R21vMXxHZFNpYNeKFtG8_yji4HS352LGlSQ/edit?pli=1#gid=0"",""1_ACUM!A4:S""),18,FALSE))"),"")</f>
        <v/>
      </c>
      <c r="BE780" s="44" t="str">
        <f ca="1">IFERROR(__xludf.DUMMYFUNCTION("IFERROR(VLOOKUP(E794&amp;F794,IMPORTRANGE(""https://docs.google.com/spreadsheets/d/1Uw7-A9f9R21vMXxHZFNpYNeKFtG8_yji4HS352LGlSQ/edit?pli=1#gid=0"",""1_ACUM!A4:S""),19,FALSE))"),"")</f>
        <v/>
      </c>
      <c r="BF780" s="98" t="str">
        <f ca="1">IFERROR(__xludf.DUMMYFUNCTION("IFERROR(VLOOKUP(F794,IMPORTRANGE(""https://docs.google.com/spreadsheets/d/1Kvs4KS76FHFqLFIZfrDMff4kP08nblUkihrxltoGBjg/edit#gid=934712705"",""ESENCIAL!A6:BG""),5,FALSE))"),"")</f>
        <v/>
      </c>
      <c r="BG780" s="98" t="str">
        <f t="shared" si="25"/>
        <v/>
      </c>
      <c r="BH780" s="99" t="str">
        <f t="shared" si="26"/>
        <v/>
      </c>
      <c r="BI780" s="100" t="str">
        <f ca="1">IFERROR(__xludf.DUMMYFUNCTION("IFERROR(VLOOKUP(F794,IMPORTRANGE(""https://docs.google.com/spreadsheets/d/1Kvs4KS76FHFqLFIZfrDMff4kP08nblUkihrxltoGBjg/edit#gid=934712705"",""ESENCIAL!A6:BG""),2,FALSE))"),"")</f>
        <v/>
      </c>
      <c r="BJ780" s="19" t="str">
        <f t="shared" si="27"/>
        <v/>
      </c>
      <c r="BK780" s="100"/>
      <c r="BL780" s="100"/>
    </row>
    <row r="781" spans="1:64" ht="15">
      <c r="A781" s="5"/>
      <c r="B781" s="5"/>
      <c r="G781" s="5" t="str">
        <f ca="1">IFERROR(__xludf.DUMMYFUNCTION("IFERROR(VLOOKUP(F795,IMPORTRANGE(""https://docs.google.com/spreadsheets/d/1Kvs4KS76FHFqLFIZfrDMff4kP08nblUkihrxltoGBjg/edit#gid=934712705"",""ESENCIAL!A6:BG""),3,FALSE))"),"")</f>
        <v/>
      </c>
      <c r="H781" s="5" t="str">
        <f ca="1">IFERROR(__xludf.DUMMYFUNCTION("IFERROR(VLOOKUP(F795,IMPORTRANGE(""https://docs.google.com/spreadsheets/d/1Kvs4KS76FHFqLFIZfrDMff4kP08nblUkihrxltoGBjg/edit#gid=934712705"",""ESENCIAL!A6:BG""),8,FALSE))"),"")</f>
        <v/>
      </c>
      <c r="L781" s="287"/>
      <c r="U781" s="40"/>
      <c r="AU781" s="41" t="str">
        <f t="shared" si="24"/>
        <v/>
      </c>
      <c r="AV781" s="5" t="str">
        <f ca="1">IFERROR(__xludf.DUMMYFUNCTION("IFERROR(VLOOKUP(E795&amp;F795,IMPORTRANGE(""https://docs.google.com/spreadsheets/d/1Uw7-A9f9R21vMXxHZFNpYNeKFtG8_yji4HS352LGlSQ/edit?pli=1#gid=0"",""1_ACUM!A4:S""),11,FALSE))"),"")</f>
        <v/>
      </c>
      <c r="AW781" s="42" t="str">
        <f ca="1">IFERROR(__xludf.DUMMYFUNCTION("IFERROR(VLOOKUP(F795,IMPORTRANGE(""https://docs.google.com/spreadsheets/d/1Kvs4KS76FHFqLFIZfrDMff4kP08nblUkihrxltoGBjg/edit#gid=934712705"",""ESENCIAL!A6:BG""),15,FALSE))"),"")</f>
        <v/>
      </c>
      <c r="AX781" s="21" t="str">
        <f ca="1">IFERROR(__xludf.DUMMYFUNCTION("IFERROR(VLOOKUP(E795&amp;F795,IMPORTRANGE(""https://docs.google.com/spreadsheets/d/1Uw7-A9f9R21vMXxHZFNpYNeKFtG8_yji4HS352LGlSQ/edit?pli=1#gid=0"",""1_ACUM!A4:S""),12,FALSE))"),"")</f>
        <v/>
      </c>
      <c r="AY781" s="43" t="str">
        <f ca="1">IFERROR(__xludf.DUMMYFUNCTION("IFERROR(VLOOKUP(E795&amp;F795,IMPORTRANGE(""https://docs.google.com/spreadsheets/d/1Uw7-A9f9R21vMXxHZFNpYNeKFtG8_yji4HS352LGlSQ/edit?pli=1#gid=0"",""1_ACUM!A4:S""),13,FALSE))"),"")</f>
        <v/>
      </c>
      <c r="AZ781" s="43" t="str">
        <f ca="1">IFERROR(__xludf.DUMMYFUNCTION("IFERROR(VLOOKUP(E795&amp;F795,IMPORTRANGE(""https://docs.google.com/spreadsheets/d/1Uw7-A9f9R21vMXxHZFNpYNeKFtG8_yji4HS352LGlSQ/edit?pli=1#gid=0"",""1_ACUM!A4:S""),14,FALSE))"),"")</f>
        <v/>
      </c>
      <c r="BA781" s="43" t="str">
        <f ca="1">IFERROR(__xludf.DUMMYFUNCTION("IFERROR(VLOOKUP(E795&amp;F795,IMPORTRANGE(""https://docs.google.com/spreadsheets/d/1Uw7-A9f9R21vMXxHZFNpYNeKFtG8_yji4HS352LGlSQ/edit?pli=1#gid=0"",""1_ACUM!A4:S""),15,FALSE))"),"")</f>
        <v/>
      </c>
      <c r="BB781" s="43" t="str">
        <f ca="1">IFERROR(__xludf.DUMMYFUNCTION("IFERROR(VLOOKUP(E795&amp;F795,IMPORTRANGE(""https://docs.google.com/spreadsheets/d/1Uw7-A9f9R21vMXxHZFNpYNeKFtG8_yji4HS352LGlSQ/edit?pli=1#gid=0"",""1_ACUM!A4:S""),16,FALSE))"),"")</f>
        <v/>
      </c>
      <c r="BC781" s="43" t="str">
        <f ca="1">IFERROR(__xludf.DUMMYFUNCTION("IFERROR(VLOOKUP(E795&amp;F795,IMPORTRANGE(""https://docs.google.com/spreadsheets/d/1Uw7-A9f9R21vMXxHZFNpYNeKFtG8_yji4HS352LGlSQ/edit?pli=1#gid=0"",""1_ACUM!A4:S""),17,FALSE))"),"")</f>
        <v/>
      </c>
      <c r="BD781" s="44" t="str">
        <f ca="1">IFERROR(__xludf.DUMMYFUNCTION("IFERROR(VLOOKUP(E795&amp;F795,IMPORTRANGE(""https://docs.google.com/spreadsheets/d/1Uw7-A9f9R21vMXxHZFNpYNeKFtG8_yji4HS352LGlSQ/edit?pli=1#gid=0"",""1_ACUM!A4:S""),18,FALSE))"),"")</f>
        <v/>
      </c>
      <c r="BE781" s="44" t="str">
        <f ca="1">IFERROR(__xludf.DUMMYFUNCTION("IFERROR(VLOOKUP(E795&amp;F795,IMPORTRANGE(""https://docs.google.com/spreadsheets/d/1Uw7-A9f9R21vMXxHZFNpYNeKFtG8_yji4HS352LGlSQ/edit?pli=1#gid=0"",""1_ACUM!A4:S""),19,FALSE))"),"")</f>
        <v/>
      </c>
      <c r="BF781" s="98" t="str">
        <f ca="1">IFERROR(__xludf.DUMMYFUNCTION("IFERROR(VLOOKUP(F795,IMPORTRANGE(""https://docs.google.com/spreadsheets/d/1Kvs4KS76FHFqLFIZfrDMff4kP08nblUkihrxltoGBjg/edit#gid=934712705"",""ESENCIAL!A6:BG""),5,FALSE))"),"")</f>
        <v/>
      </c>
      <c r="BG781" s="98" t="str">
        <f t="shared" si="25"/>
        <v/>
      </c>
      <c r="BH781" s="99" t="str">
        <f t="shared" si="26"/>
        <v/>
      </c>
      <c r="BI781" s="100" t="str">
        <f ca="1">IFERROR(__xludf.DUMMYFUNCTION("IFERROR(VLOOKUP(F795,IMPORTRANGE(""https://docs.google.com/spreadsheets/d/1Kvs4KS76FHFqLFIZfrDMff4kP08nblUkihrxltoGBjg/edit#gid=934712705"",""ESENCIAL!A6:BG""),2,FALSE))"),"")</f>
        <v/>
      </c>
      <c r="BJ781" s="19" t="str">
        <f t="shared" si="27"/>
        <v/>
      </c>
      <c r="BK781" s="100"/>
      <c r="BL781" s="100"/>
    </row>
    <row r="782" spans="1:64" ht="15">
      <c r="A782" s="5"/>
      <c r="B782" s="5"/>
      <c r="G782" s="5" t="str">
        <f ca="1">IFERROR(__xludf.DUMMYFUNCTION("IFERROR(VLOOKUP(F796,IMPORTRANGE(""https://docs.google.com/spreadsheets/d/1Kvs4KS76FHFqLFIZfrDMff4kP08nblUkihrxltoGBjg/edit#gid=934712705"",""ESENCIAL!A6:BG""),3,FALSE))"),"")</f>
        <v/>
      </c>
      <c r="H782" s="5" t="str">
        <f ca="1">IFERROR(__xludf.DUMMYFUNCTION("IFERROR(VLOOKUP(F796,IMPORTRANGE(""https://docs.google.com/spreadsheets/d/1Kvs4KS76FHFqLFIZfrDMff4kP08nblUkihrxltoGBjg/edit#gid=934712705"",""ESENCIAL!A6:BG""),8,FALSE))"),"")</f>
        <v/>
      </c>
      <c r="L782" s="287"/>
      <c r="U782" s="40"/>
      <c r="AU782" s="41" t="str">
        <f t="shared" si="24"/>
        <v/>
      </c>
      <c r="AV782" s="5" t="str">
        <f ca="1">IFERROR(__xludf.DUMMYFUNCTION("IFERROR(VLOOKUP(E796&amp;F796,IMPORTRANGE(""https://docs.google.com/spreadsheets/d/1Uw7-A9f9R21vMXxHZFNpYNeKFtG8_yji4HS352LGlSQ/edit?pli=1#gid=0"",""1_ACUM!A4:S""),11,FALSE))"),"")</f>
        <v/>
      </c>
      <c r="AW782" s="42" t="str">
        <f ca="1">IFERROR(__xludf.DUMMYFUNCTION("IFERROR(VLOOKUP(F796,IMPORTRANGE(""https://docs.google.com/spreadsheets/d/1Kvs4KS76FHFqLFIZfrDMff4kP08nblUkihrxltoGBjg/edit#gid=934712705"",""ESENCIAL!A6:BG""),15,FALSE))"),"")</f>
        <v/>
      </c>
      <c r="AX782" s="21" t="str">
        <f ca="1">IFERROR(__xludf.DUMMYFUNCTION("IFERROR(VLOOKUP(E796&amp;F796,IMPORTRANGE(""https://docs.google.com/spreadsheets/d/1Uw7-A9f9R21vMXxHZFNpYNeKFtG8_yji4HS352LGlSQ/edit?pli=1#gid=0"",""1_ACUM!A4:S""),12,FALSE))"),"")</f>
        <v/>
      </c>
      <c r="AY782" s="43" t="str">
        <f ca="1">IFERROR(__xludf.DUMMYFUNCTION("IFERROR(VLOOKUP(E796&amp;F796,IMPORTRANGE(""https://docs.google.com/spreadsheets/d/1Uw7-A9f9R21vMXxHZFNpYNeKFtG8_yji4HS352LGlSQ/edit?pli=1#gid=0"",""1_ACUM!A4:S""),13,FALSE))"),"")</f>
        <v/>
      </c>
      <c r="AZ782" s="43" t="str">
        <f ca="1">IFERROR(__xludf.DUMMYFUNCTION("IFERROR(VLOOKUP(E796&amp;F796,IMPORTRANGE(""https://docs.google.com/spreadsheets/d/1Uw7-A9f9R21vMXxHZFNpYNeKFtG8_yji4HS352LGlSQ/edit?pli=1#gid=0"",""1_ACUM!A4:S""),14,FALSE))"),"")</f>
        <v/>
      </c>
      <c r="BA782" s="43" t="str">
        <f ca="1">IFERROR(__xludf.DUMMYFUNCTION("IFERROR(VLOOKUP(E796&amp;F796,IMPORTRANGE(""https://docs.google.com/spreadsheets/d/1Uw7-A9f9R21vMXxHZFNpYNeKFtG8_yji4HS352LGlSQ/edit?pli=1#gid=0"",""1_ACUM!A4:S""),15,FALSE))"),"")</f>
        <v/>
      </c>
      <c r="BB782" s="43" t="str">
        <f ca="1">IFERROR(__xludf.DUMMYFUNCTION("IFERROR(VLOOKUP(E796&amp;F796,IMPORTRANGE(""https://docs.google.com/spreadsheets/d/1Uw7-A9f9R21vMXxHZFNpYNeKFtG8_yji4HS352LGlSQ/edit?pli=1#gid=0"",""1_ACUM!A4:S""),16,FALSE))"),"")</f>
        <v/>
      </c>
      <c r="BC782" s="43" t="str">
        <f ca="1">IFERROR(__xludf.DUMMYFUNCTION("IFERROR(VLOOKUP(E796&amp;F796,IMPORTRANGE(""https://docs.google.com/spreadsheets/d/1Uw7-A9f9R21vMXxHZFNpYNeKFtG8_yji4HS352LGlSQ/edit?pli=1#gid=0"",""1_ACUM!A4:S""),17,FALSE))"),"")</f>
        <v/>
      </c>
      <c r="BD782" s="44" t="str">
        <f ca="1">IFERROR(__xludf.DUMMYFUNCTION("IFERROR(VLOOKUP(E796&amp;F796,IMPORTRANGE(""https://docs.google.com/spreadsheets/d/1Uw7-A9f9R21vMXxHZFNpYNeKFtG8_yji4HS352LGlSQ/edit?pli=1#gid=0"",""1_ACUM!A4:S""),18,FALSE))"),"")</f>
        <v/>
      </c>
      <c r="BE782" s="44" t="str">
        <f ca="1">IFERROR(__xludf.DUMMYFUNCTION("IFERROR(VLOOKUP(E796&amp;F796,IMPORTRANGE(""https://docs.google.com/spreadsheets/d/1Uw7-A9f9R21vMXxHZFNpYNeKFtG8_yji4HS352LGlSQ/edit?pli=1#gid=0"",""1_ACUM!A4:S""),19,FALSE))"),"")</f>
        <v/>
      </c>
      <c r="BF782" s="98" t="str">
        <f ca="1">IFERROR(__xludf.DUMMYFUNCTION("IFERROR(VLOOKUP(F796,IMPORTRANGE(""https://docs.google.com/spreadsheets/d/1Kvs4KS76FHFqLFIZfrDMff4kP08nblUkihrxltoGBjg/edit#gid=934712705"",""ESENCIAL!A6:BG""),5,FALSE))"),"")</f>
        <v/>
      </c>
      <c r="BG782" s="98" t="str">
        <f t="shared" si="25"/>
        <v/>
      </c>
      <c r="BH782" s="99" t="str">
        <f t="shared" si="26"/>
        <v/>
      </c>
      <c r="BI782" s="100" t="str">
        <f ca="1">IFERROR(__xludf.DUMMYFUNCTION("IFERROR(VLOOKUP(F796,IMPORTRANGE(""https://docs.google.com/spreadsheets/d/1Kvs4KS76FHFqLFIZfrDMff4kP08nblUkihrxltoGBjg/edit#gid=934712705"",""ESENCIAL!A6:BG""),2,FALSE))"),"")</f>
        <v/>
      </c>
      <c r="BJ782" s="19" t="str">
        <f t="shared" si="27"/>
        <v/>
      </c>
      <c r="BK782" s="100"/>
      <c r="BL782" s="100"/>
    </row>
    <row r="783" spans="1:64" ht="15">
      <c r="A783" s="5"/>
      <c r="B783" s="5"/>
      <c r="G783" s="5" t="str">
        <f ca="1">IFERROR(__xludf.DUMMYFUNCTION("IFERROR(VLOOKUP(F797,IMPORTRANGE(""https://docs.google.com/spreadsheets/d/1Kvs4KS76FHFqLFIZfrDMff4kP08nblUkihrxltoGBjg/edit#gid=934712705"",""ESENCIAL!A6:BG""),3,FALSE))"),"")</f>
        <v/>
      </c>
      <c r="H783" s="5" t="str">
        <f ca="1">IFERROR(__xludf.DUMMYFUNCTION("IFERROR(VLOOKUP(F797,IMPORTRANGE(""https://docs.google.com/spreadsheets/d/1Kvs4KS76FHFqLFIZfrDMff4kP08nblUkihrxltoGBjg/edit#gid=934712705"",""ESENCIAL!A6:BG""),8,FALSE))"),"")</f>
        <v/>
      </c>
      <c r="L783" s="287"/>
      <c r="U783" s="40"/>
      <c r="AU783" s="41" t="str">
        <f t="shared" si="24"/>
        <v/>
      </c>
      <c r="AV783" s="5" t="str">
        <f ca="1">IFERROR(__xludf.DUMMYFUNCTION("IFERROR(VLOOKUP(E797&amp;F797,IMPORTRANGE(""https://docs.google.com/spreadsheets/d/1Uw7-A9f9R21vMXxHZFNpYNeKFtG8_yji4HS352LGlSQ/edit?pli=1#gid=0"",""1_ACUM!A4:S""),11,FALSE))"),"")</f>
        <v/>
      </c>
      <c r="AW783" s="42" t="str">
        <f ca="1">IFERROR(__xludf.DUMMYFUNCTION("IFERROR(VLOOKUP(F797,IMPORTRANGE(""https://docs.google.com/spreadsheets/d/1Kvs4KS76FHFqLFIZfrDMff4kP08nblUkihrxltoGBjg/edit#gid=934712705"",""ESENCIAL!A6:BG""),15,FALSE))"),"")</f>
        <v/>
      </c>
      <c r="AX783" s="21" t="str">
        <f ca="1">IFERROR(__xludf.DUMMYFUNCTION("IFERROR(VLOOKUP(E797&amp;F797,IMPORTRANGE(""https://docs.google.com/spreadsheets/d/1Uw7-A9f9R21vMXxHZFNpYNeKFtG8_yji4HS352LGlSQ/edit?pli=1#gid=0"",""1_ACUM!A4:S""),12,FALSE))"),"")</f>
        <v/>
      </c>
      <c r="AY783" s="43" t="str">
        <f ca="1">IFERROR(__xludf.DUMMYFUNCTION("IFERROR(VLOOKUP(E797&amp;F797,IMPORTRANGE(""https://docs.google.com/spreadsheets/d/1Uw7-A9f9R21vMXxHZFNpYNeKFtG8_yji4HS352LGlSQ/edit?pli=1#gid=0"",""1_ACUM!A4:S""),13,FALSE))"),"")</f>
        <v/>
      </c>
      <c r="AZ783" s="43" t="str">
        <f ca="1">IFERROR(__xludf.DUMMYFUNCTION("IFERROR(VLOOKUP(E797&amp;F797,IMPORTRANGE(""https://docs.google.com/spreadsheets/d/1Uw7-A9f9R21vMXxHZFNpYNeKFtG8_yji4HS352LGlSQ/edit?pli=1#gid=0"",""1_ACUM!A4:S""),14,FALSE))"),"")</f>
        <v/>
      </c>
      <c r="BA783" s="43" t="str">
        <f ca="1">IFERROR(__xludf.DUMMYFUNCTION("IFERROR(VLOOKUP(E797&amp;F797,IMPORTRANGE(""https://docs.google.com/spreadsheets/d/1Uw7-A9f9R21vMXxHZFNpYNeKFtG8_yji4HS352LGlSQ/edit?pli=1#gid=0"",""1_ACUM!A4:S""),15,FALSE))"),"")</f>
        <v/>
      </c>
      <c r="BB783" s="43" t="str">
        <f ca="1">IFERROR(__xludf.DUMMYFUNCTION("IFERROR(VLOOKUP(E797&amp;F797,IMPORTRANGE(""https://docs.google.com/spreadsheets/d/1Uw7-A9f9R21vMXxHZFNpYNeKFtG8_yji4HS352LGlSQ/edit?pli=1#gid=0"",""1_ACUM!A4:S""),16,FALSE))"),"")</f>
        <v/>
      </c>
      <c r="BC783" s="43" t="str">
        <f ca="1">IFERROR(__xludf.DUMMYFUNCTION("IFERROR(VLOOKUP(E797&amp;F797,IMPORTRANGE(""https://docs.google.com/spreadsheets/d/1Uw7-A9f9R21vMXxHZFNpYNeKFtG8_yji4HS352LGlSQ/edit?pli=1#gid=0"",""1_ACUM!A4:S""),17,FALSE))"),"")</f>
        <v/>
      </c>
      <c r="BD783" s="44" t="str">
        <f ca="1">IFERROR(__xludf.DUMMYFUNCTION("IFERROR(VLOOKUP(E797&amp;F797,IMPORTRANGE(""https://docs.google.com/spreadsheets/d/1Uw7-A9f9R21vMXxHZFNpYNeKFtG8_yji4HS352LGlSQ/edit?pli=1#gid=0"",""1_ACUM!A4:S""),18,FALSE))"),"")</f>
        <v/>
      </c>
      <c r="BE783" s="44" t="str">
        <f ca="1">IFERROR(__xludf.DUMMYFUNCTION("IFERROR(VLOOKUP(E797&amp;F797,IMPORTRANGE(""https://docs.google.com/spreadsheets/d/1Uw7-A9f9R21vMXxHZFNpYNeKFtG8_yji4HS352LGlSQ/edit?pli=1#gid=0"",""1_ACUM!A4:S""),19,FALSE))"),"")</f>
        <v/>
      </c>
      <c r="BF783" s="98" t="str">
        <f ca="1">IFERROR(__xludf.DUMMYFUNCTION("IFERROR(VLOOKUP(F797,IMPORTRANGE(""https://docs.google.com/spreadsheets/d/1Kvs4KS76FHFqLFIZfrDMff4kP08nblUkihrxltoGBjg/edit#gid=934712705"",""ESENCIAL!A6:BG""),5,FALSE))"),"")</f>
        <v/>
      </c>
      <c r="BG783" s="98" t="str">
        <f t="shared" si="25"/>
        <v/>
      </c>
      <c r="BH783" s="99" t="str">
        <f t="shared" si="26"/>
        <v/>
      </c>
      <c r="BI783" s="100" t="str">
        <f ca="1">IFERROR(__xludf.DUMMYFUNCTION("IFERROR(VLOOKUP(F797,IMPORTRANGE(""https://docs.google.com/spreadsheets/d/1Kvs4KS76FHFqLFIZfrDMff4kP08nblUkihrxltoGBjg/edit#gid=934712705"",""ESENCIAL!A6:BG""),2,FALSE))"),"")</f>
        <v/>
      </c>
      <c r="BJ783" s="19" t="str">
        <f t="shared" si="27"/>
        <v/>
      </c>
      <c r="BK783" s="100"/>
      <c r="BL783" s="100"/>
    </row>
    <row r="784" spans="1:64" ht="15">
      <c r="A784" s="5"/>
      <c r="B784" s="5"/>
      <c r="G784" s="5" t="str">
        <f ca="1">IFERROR(__xludf.DUMMYFUNCTION("IFERROR(VLOOKUP(F798,IMPORTRANGE(""https://docs.google.com/spreadsheets/d/1Kvs4KS76FHFqLFIZfrDMff4kP08nblUkihrxltoGBjg/edit#gid=934712705"",""ESENCIAL!A6:BG""),3,FALSE))"),"")</f>
        <v/>
      </c>
      <c r="H784" s="5" t="str">
        <f ca="1">IFERROR(__xludf.DUMMYFUNCTION("IFERROR(VLOOKUP(F798,IMPORTRANGE(""https://docs.google.com/spreadsheets/d/1Kvs4KS76FHFqLFIZfrDMff4kP08nblUkihrxltoGBjg/edit#gid=934712705"",""ESENCIAL!A6:BG""),8,FALSE))"),"")</f>
        <v/>
      </c>
      <c r="L784" s="287"/>
      <c r="U784" s="40"/>
      <c r="AU784" s="41" t="str">
        <f t="shared" si="24"/>
        <v/>
      </c>
      <c r="AV784" s="5" t="str">
        <f ca="1">IFERROR(__xludf.DUMMYFUNCTION("IFERROR(VLOOKUP(E798&amp;F798,IMPORTRANGE(""https://docs.google.com/spreadsheets/d/1Uw7-A9f9R21vMXxHZFNpYNeKFtG8_yji4HS352LGlSQ/edit?pli=1#gid=0"",""1_ACUM!A4:S""),11,FALSE))"),"")</f>
        <v/>
      </c>
      <c r="AW784" s="42" t="str">
        <f ca="1">IFERROR(__xludf.DUMMYFUNCTION("IFERROR(VLOOKUP(F798,IMPORTRANGE(""https://docs.google.com/spreadsheets/d/1Kvs4KS76FHFqLFIZfrDMff4kP08nblUkihrxltoGBjg/edit#gid=934712705"",""ESENCIAL!A6:BG""),15,FALSE))"),"")</f>
        <v/>
      </c>
      <c r="AX784" s="21" t="str">
        <f ca="1">IFERROR(__xludf.DUMMYFUNCTION("IFERROR(VLOOKUP(E798&amp;F798,IMPORTRANGE(""https://docs.google.com/spreadsheets/d/1Uw7-A9f9R21vMXxHZFNpYNeKFtG8_yji4HS352LGlSQ/edit?pli=1#gid=0"",""1_ACUM!A4:S""),12,FALSE))"),"")</f>
        <v/>
      </c>
      <c r="AY784" s="43" t="str">
        <f ca="1">IFERROR(__xludf.DUMMYFUNCTION("IFERROR(VLOOKUP(E798&amp;F798,IMPORTRANGE(""https://docs.google.com/spreadsheets/d/1Uw7-A9f9R21vMXxHZFNpYNeKFtG8_yji4HS352LGlSQ/edit?pli=1#gid=0"",""1_ACUM!A4:S""),13,FALSE))"),"")</f>
        <v/>
      </c>
      <c r="AZ784" s="43" t="str">
        <f ca="1">IFERROR(__xludf.DUMMYFUNCTION("IFERROR(VLOOKUP(E798&amp;F798,IMPORTRANGE(""https://docs.google.com/spreadsheets/d/1Uw7-A9f9R21vMXxHZFNpYNeKFtG8_yji4HS352LGlSQ/edit?pli=1#gid=0"",""1_ACUM!A4:S""),14,FALSE))"),"")</f>
        <v/>
      </c>
      <c r="BA784" s="43" t="str">
        <f ca="1">IFERROR(__xludf.DUMMYFUNCTION("IFERROR(VLOOKUP(E798&amp;F798,IMPORTRANGE(""https://docs.google.com/spreadsheets/d/1Uw7-A9f9R21vMXxHZFNpYNeKFtG8_yji4HS352LGlSQ/edit?pli=1#gid=0"",""1_ACUM!A4:S""),15,FALSE))"),"")</f>
        <v/>
      </c>
      <c r="BB784" s="43" t="str">
        <f ca="1">IFERROR(__xludf.DUMMYFUNCTION("IFERROR(VLOOKUP(E798&amp;F798,IMPORTRANGE(""https://docs.google.com/spreadsheets/d/1Uw7-A9f9R21vMXxHZFNpYNeKFtG8_yji4HS352LGlSQ/edit?pli=1#gid=0"",""1_ACUM!A4:S""),16,FALSE))"),"")</f>
        <v/>
      </c>
      <c r="BC784" s="43" t="str">
        <f ca="1">IFERROR(__xludf.DUMMYFUNCTION("IFERROR(VLOOKUP(E798&amp;F798,IMPORTRANGE(""https://docs.google.com/spreadsheets/d/1Uw7-A9f9R21vMXxHZFNpYNeKFtG8_yji4HS352LGlSQ/edit?pli=1#gid=0"",""1_ACUM!A4:S""),17,FALSE))"),"")</f>
        <v/>
      </c>
      <c r="BD784" s="44" t="str">
        <f ca="1">IFERROR(__xludf.DUMMYFUNCTION("IFERROR(VLOOKUP(E798&amp;F798,IMPORTRANGE(""https://docs.google.com/spreadsheets/d/1Uw7-A9f9R21vMXxHZFNpYNeKFtG8_yji4HS352LGlSQ/edit?pli=1#gid=0"",""1_ACUM!A4:S""),18,FALSE))"),"")</f>
        <v/>
      </c>
      <c r="BE784" s="44" t="str">
        <f ca="1">IFERROR(__xludf.DUMMYFUNCTION("IFERROR(VLOOKUP(E798&amp;F798,IMPORTRANGE(""https://docs.google.com/spreadsheets/d/1Uw7-A9f9R21vMXxHZFNpYNeKFtG8_yji4HS352LGlSQ/edit?pli=1#gid=0"",""1_ACUM!A4:S""),19,FALSE))"),"")</f>
        <v/>
      </c>
      <c r="BF784" s="98" t="str">
        <f ca="1">IFERROR(__xludf.DUMMYFUNCTION("IFERROR(VLOOKUP(F798,IMPORTRANGE(""https://docs.google.com/spreadsheets/d/1Kvs4KS76FHFqLFIZfrDMff4kP08nblUkihrxltoGBjg/edit#gid=934712705"",""ESENCIAL!A6:BG""),5,FALSE))"),"")</f>
        <v/>
      </c>
      <c r="BG784" s="98" t="str">
        <f t="shared" si="25"/>
        <v/>
      </c>
      <c r="BH784" s="99" t="str">
        <f t="shared" si="26"/>
        <v/>
      </c>
      <c r="BI784" s="100" t="str">
        <f ca="1">IFERROR(__xludf.DUMMYFUNCTION("IFERROR(VLOOKUP(F798,IMPORTRANGE(""https://docs.google.com/spreadsheets/d/1Kvs4KS76FHFqLFIZfrDMff4kP08nblUkihrxltoGBjg/edit#gid=934712705"",""ESENCIAL!A6:BG""),2,FALSE))"),"")</f>
        <v/>
      </c>
      <c r="BJ784" s="19" t="str">
        <f t="shared" si="27"/>
        <v/>
      </c>
      <c r="BK784" s="100"/>
      <c r="BL784" s="100"/>
    </row>
    <row r="785" spans="1:64" ht="15">
      <c r="A785" s="5"/>
      <c r="B785" s="5"/>
      <c r="G785" s="5" t="str">
        <f ca="1">IFERROR(__xludf.DUMMYFUNCTION("IFERROR(VLOOKUP(F799,IMPORTRANGE(""https://docs.google.com/spreadsheets/d/1Kvs4KS76FHFqLFIZfrDMff4kP08nblUkihrxltoGBjg/edit#gid=934712705"",""ESENCIAL!A6:BG""),3,FALSE))"),"")</f>
        <v/>
      </c>
      <c r="H785" s="5" t="str">
        <f ca="1">IFERROR(__xludf.DUMMYFUNCTION("IFERROR(VLOOKUP(F799,IMPORTRANGE(""https://docs.google.com/spreadsheets/d/1Kvs4KS76FHFqLFIZfrDMff4kP08nblUkihrxltoGBjg/edit#gid=934712705"",""ESENCIAL!A6:BG""),8,FALSE))"),"")</f>
        <v/>
      </c>
      <c r="L785" s="287"/>
      <c r="U785" s="40"/>
      <c r="AU785" s="41" t="str">
        <f t="shared" si="24"/>
        <v/>
      </c>
      <c r="AV785" s="5" t="str">
        <f ca="1">IFERROR(__xludf.DUMMYFUNCTION("IFERROR(VLOOKUP(E799&amp;F799,IMPORTRANGE(""https://docs.google.com/spreadsheets/d/1Uw7-A9f9R21vMXxHZFNpYNeKFtG8_yji4HS352LGlSQ/edit?pli=1#gid=0"",""1_ACUM!A4:S""),11,FALSE))"),"")</f>
        <v/>
      </c>
      <c r="AW785" s="42" t="str">
        <f ca="1">IFERROR(__xludf.DUMMYFUNCTION("IFERROR(VLOOKUP(F799,IMPORTRANGE(""https://docs.google.com/spreadsheets/d/1Kvs4KS76FHFqLFIZfrDMff4kP08nblUkihrxltoGBjg/edit#gid=934712705"",""ESENCIAL!A6:BG""),15,FALSE))"),"")</f>
        <v/>
      </c>
      <c r="AX785" s="21" t="str">
        <f ca="1">IFERROR(__xludf.DUMMYFUNCTION("IFERROR(VLOOKUP(E799&amp;F799,IMPORTRANGE(""https://docs.google.com/spreadsheets/d/1Uw7-A9f9R21vMXxHZFNpYNeKFtG8_yji4HS352LGlSQ/edit?pli=1#gid=0"",""1_ACUM!A4:S""),12,FALSE))"),"")</f>
        <v/>
      </c>
      <c r="AY785" s="43" t="str">
        <f ca="1">IFERROR(__xludf.DUMMYFUNCTION("IFERROR(VLOOKUP(E799&amp;F799,IMPORTRANGE(""https://docs.google.com/spreadsheets/d/1Uw7-A9f9R21vMXxHZFNpYNeKFtG8_yji4HS352LGlSQ/edit?pli=1#gid=0"",""1_ACUM!A4:S""),13,FALSE))"),"")</f>
        <v/>
      </c>
      <c r="AZ785" s="43" t="str">
        <f ca="1">IFERROR(__xludf.DUMMYFUNCTION("IFERROR(VLOOKUP(E799&amp;F799,IMPORTRANGE(""https://docs.google.com/spreadsheets/d/1Uw7-A9f9R21vMXxHZFNpYNeKFtG8_yji4HS352LGlSQ/edit?pli=1#gid=0"",""1_ACUM!A4:S""),14,FALSE))"),"")</f>
        <v/>
      </c>
      <c r="BA785" s="43" t="str">
        <f ca="1">IFERROR(__xludf.DUMMYFUNCTION("IFERROR(VLOOKUP(E799&amp;F799,IMPORTRANGE(""https://docs.google.com/spreadsheets/d/1Uw7-A9f9R21vMXxHZFNpYNeKFtG8_yji4HS352LGlSQ/edit?pli=1#gid=0"",""1_ACUM!A4:S""),15,FALSE))"),"")</f>
        <v/>
      </c>
      <c r="BB785" s="43" t="str">
        <f ca="1">IFERROR(__xludf.DUMMYFUNCTION("IFERROR(VLOOKUP(E799&amp;F799,IMPORTRANGE(""https://docs.google.com/spreadsheets/d/1Uw7-A9f9R21vMXxHZFNpYNeKFtG8_yji4HS352LGlSQ/edit?pli=1#gid=0"",""1_ACUM!A4:S""),16,FALSE))"),"")</f>
        <v/>
      </c>
      <c r="BC785" s="43" t="str">
        <f ca="1">IFERROR(__xludf.DUMMYFUNCTION("IFERROR(VLOOKUP(E799&amp;F799,IMPORTRANGE(""https://docs.google.com/spreadsheets/d/1Uw7-A9f9R21vMXxHZFNpYNeKFtG8_yji4HS352LGlSQ/edit?pli=1#gid=0"",""1_ACUM!A4:S""),17,FALSE))"),"")</f>
        <v/>
      </c>
      <c r="BD785" s="44" t="str">
        <f ca="1">IFERROR(__xludf.DUMMYFUNCTION("IFERROR(VLOOKUP(E799&amp;F799,IMPORTRANGE(""https://docs.google.com/spreadsheets/d/1Uw7-A9f9R21vMXxHZFNpYNeKFtG8_yji4HS352LGlSQ/edit?pli=1#gid=0"",""1_ACUM!A4:S""),18,FALSE))"),"")</f>
        <v/>
      </c>
      <c r="BE785" s="44" t="str">
        <f ca="1">IFERROR(__xludf.DUMMYFUNCTION("IFERROR(VLOOKUP(E799&amp;F799,IMPORTRANGE(""https://docs.google.com/spreadsheets/d/1Uw7-A9f9R21vMXxHZFNpYNeKFtG8_yji4HS352LGlSQ/edit?pli=1#gid=0"",""1_ACUM!A4:S""),19,FALSE))"),"")</f>
        <v/>
      </c>
      <c r="BF785" s="98" t="str">
        <f ca="1">IFERROR(__xludf.DUMMYFUNCTION("IFERROR(VLOOKUP(F799,IMPORTRANGE(""https://docs.google.com/spreadsheets/d/1Kvs4KS76FHFqLFIZfrDMff4kP08nblUkihrxltoGBjg/edit#gid=934712705"",""ESENCIAL!A6:BG""),5,FALSE))"),"")</f>
        <v/>
      </c>
      <c r="BG785" s="98" t="str">
        <f t="shared" si="25"/>
        <v/>
      </c>
      <c r="BH785" s="99" t="str">
        <f t="shared" si="26"/>
        <v/>
      </c>
      <c r="BI785" s="100" t="str">
        <f ca="1">IFERROR(__xludf.DUMMYFUNCTION("IFERROR(VLOOKUP(F799,IMPORTRANGE(""https://docs.google.com/spreadsheets/d/1Kvs4KS76FHFqLFIZfrDMff4kP08nblUkihrxltoGBjg/edit#gid=934712705"",""ESENCIAL!A6:BG""),2,FALSE))"),"")</f>
        <v/>
      </c>
      <c r="BJ785" s="19" t="str">
        <f t="shared" si="27"/>
        <v/>
      </c>
      <c r="BK785" s="100"/>
      <c r="BL785" s="100"/>
    </row>
    <row r="786" spans="1:64" ht="15">
      <c r="A786" s="5"/>
      <c r="B786" s="5"/>
      <c r="G786" s="5" t="str">
        <f ca="1">IFERROR(__xludf.DUMMYFUNCTION("IFERROR(VLOOKUP(F800,IMPORTRANGE(""https://docs.google.com/spreadsheets/d/1Kvs4KS76FHFqLFIZfrDMff4kP08nblUkihrxltoGBjg/edit#gid=934712705"",""ESENCIAL!A6:BG""),3,FALSE))"),"")</f>
        <v/>
      </c>
      <c r="H786" s="5" t="str">
        <f ca="1">IFERROR(__xludf.DUMMYFUNCTION("IFERROR(VLOOKUP(F800,IMPORTRANGE(""https://docs.google.com/spreadsheets/d/1Kvs4KS76FHFqLFIZfrDMff4kP08nblUkihrxltoGBjg/edit#gid=934712705"",""ESENCIAL!A6:BG""),8,FALSE))"),"")</f>
        <v/>
      </c>
      <c r="L786" s="287"/>
      <c r="U786" s="40"/>
      <c r="AU786" s="41" t="str">
        <f t="shared" si="24"/>
        <v/>
      </c>
      <c r="AV786" s="5" t="str">
        <f ca="1">IFERROR(__xludf.DUMMYFUNCTION("IFERROR(VLOOKUP(E800&amp;F800,IMPORTRANGE(""https://docs.google.com/spreadsheets/d/1Uw7-A9f9R21vMXxHZFNpYNeKFtG8_yji4HS352LGlSQ/edit?pli=1#gid=0"",""1_ACUM!A4:S""),11,FALSE))"),"")</f>
        <v/>
      </c>
      <c r="AW786" s="42" t="str">
        <f ca="1">IFERROR(__xludf.DUMMYFUNCTION("IFERROR(VLOOKUP(F800,IMPORTRANGE(""https://docs.google.com/spreadsheets/d/1Kvs4KS76FHFqLFIZfrDMff4kP08nblUkihrxltoGBjg/edit#gid=934712705"",""ESENCIAL!A6:BG""),15,FALSE))"),"")</f>
        <v/>
      </c>
      <c r="AX786" s="21" t="str">
        <f ca="1">IFERROR(__xludf.DUMMYFUNCTION("IFERROR(VLOOKUP(E800&amp;F800,IMPORTRANGE(""https://docs.google.com/spreadsheets/d/1Uw7-A9f9R21vMXxHZFNpYNeKFtG8_yji4HS352LGlSQ/edit?pli=1#gid=0"",""1_ACUM!A4:S""),12,FALSE))"),"")</f>
        <v/>
      </c>
      <c r="AY786" s="43" t="str">
        <f ca="1">IFERROR(__xludf.DUMMYFUNCTION("IFERROR(VLOOKUP(E800&amp;F800,IMPORTRANGE(""https://docs.google.com/spreadsheets/d/1Uw7-A9f9R21vMXxHZFNpYNeKFtG8_yji4HS352LGlSQ/edit?pli=1#gid=0"",""1_ACUM!A4:S""),13,FALSE))"),"")</f>
        <v/>
      </c>
      <c r="AZ786" s="43" t="str">
        <f ca="1">IFERROR(__xludf.DUMMYFUNCTION("IFERROR(VLOOKUP(E800&amp;F800,IMPORTRANGE(""https://docs.google.com/spreadsheets/d/1Uw7-A9f9R21vMXxHZFNpYNeKFtG8_yji4HS352LGlSQ/edit?pli=1#gid=0"",""1_ACUM!A4:S""),14,FALSE))"),"")</f>
        <v/>
      </c>
      <c r="BA786" s="43" t="str">
        <f ca="1">IFERROR(__xludf.DUMMYFUNCTION("IFERROR(VLOOKUP(E800&amp;F800,IMPORTRANGE(""https://docs.google.com/spreadsheets/d/1Uw7-A9f9R21vMXxHZFNpYNeKFtG8_yji4HS352LGlSQ/edit?pli=1#gid=0"",""1_ACUM!A4:S""),15,FALSE))"),"")</f>
        <v/>
      </c>
      <c r="BB786" s="43" t="str">
        <f ca="1">IFERROR(__xludf.DUMMYFUNCTION("IFERROR(VLOOKUP(E800&amp;F800,IMPORTRANGE(""https://docs.google.com/spreadsheets/d/1Uw7-A9f9R21vMXxHZFNpYNeKFtG8_yji4HS352LGlSQ/edit?pli=1#gid=0"",""1_ACUM!A4:S""),16,FALSE))"),"")</f>
        <v/>
      </c>
      <c r="BC786" s="43" t="str">
        <f ca="1">IFERROR(__xludf.DUMMYFUNCTION("IFERROR(VLOOKUP(E800&amp;F800,IMPORTRANGE(""https://docs.google.com/spreadsheets/d/1Uw7-A9f9R21vMXxHZFNpYNeKFtG8_yji4HS352LGlSQ/edit?pli=1#gid=0"",""1_ACUM!A4:S""),17,FALSE))"),"")</f>
        <v/>
      </c>
      <c r="BD786" s="44" t="str">
        <f ca="1">IFERROR(__xludf.DUMMYFUNCTION("IFERROR(VLOOKUP(E800&amp;F800,IMPORTRANGE(""https://docs.google.com/spreadsheets/d/1Uw7-A9f9R21vMXxHZFNpYNeKFtG8_yji4HS352LGlSQ/edit?pli=1#gid=0"",""1_ACUM!A4:S""),18,FALSE))"),"")</f>
        <v/>
      </c>
      <c r="BE786" s="44" t="str">
        <f ca="1">IFERROR(__xludf.DUMMYFUNCTION("IFERROR(VLOOKUP(E800&amp;F800,IMPORTRANGE(""https://docs.google.com/spreadsheets/d/1Uw7-A9f9R21vMXxHZFNpYNeKFtG8_yji4HS352LGlSQ/edit?pli=1#gid=0"",""1_ACUM!A4:S""),19,FALSE))"),"")</f>
        <v/>
      </c>
      <c r="BF786" s="98" t="str">
        <f ca="1">IFERROR(__xludf.DUMMYFUNCTION("IFERROR(VLOOKUP(F800,IMPORTRANGE(""https://docs.google.com/spreadsheets/d/1Kvs4KS76FHFqLFIZfrDMff4kP08nblUkihrxltoGBjg/edit#gid=934712705"",""ESENCIAL!A6:BG""),5,FALSE))"),"")</f>
        <v/>
      </c>
      <c r="BG786" s="98" t="str">
        <f t="shared" si="25"/>
        <v/>
      </c>
      <c r="BH786" s="99" t="str">
        <f t="shared" si="26"/>
        <v/>
      </c>
      <c r="BI786" s="100" t="str">
        <f ca="1">IFERROR(__xludf.DUMMYFUNCTION("IFERROR(VLOOKUP(F800,IMPORTRANGE(""https://docs.google.com/spreadsheets/d/1Kvs4KS76FHFqLFIZfrDMff4kP08nblUkihrxltoGBjg/edit#gid=934712705"",""ESENCIAL!A6:BG""),2,FALSE))"),"")</f>
        <v/>
      </c>
      <c r="BJ786" s="19" t="str">
        <f t="shared" si="27"/>
        <v/>
      </c>
      <c r="BK786" s="100"/>
      <c r="BL786" s="100"/>
    </row>
    <row r="787" spans="1:64" ht="15">
      <c r="A787" s="5"/>
      <c r="B787" s="5"/>
      <c r="G787" s="5" t="str">
        <f ca="1">IFERROR(__xludf.DUMMYFUNCTION("IFERROR(VLOOKUP(F801,IMPORTRANGE(""https://docs.google.com/spreadsheets/d/1Kvs4KS76FHFqLFIZfrDMff4kP08nblUkihrxltoGBjg/edit#gid=934712705"",""ESENCIAL!A6:BG""),3,FALSE))"),"")</f>
        <v/>
      </c>
      <c r="H787" s="5" t="str">
        <f ca="1">IFERROR(__xludf.DUMMYFUNCTION("IFERROR(VLOOKUP(F801,IMPORTRANGE(""https://docs.google.com/spreadsheets/d/1Kvs4KS76FHFqLFIZfrDMff4kP08nblUkihrxltoGBjg/edit#gid=934712705"",""ESENCIAL!A6:BG""),8,FALSE))"),"")</f>
        <v/>
      </c>
      <c r="L787" s="287"/>
      <c r="U787" s="40"/>
      <c r="AU787" s="41" t="str">
        <f t="shared" si="24"/>
        <v/>
      </c>
      <c r="AV787" s="5" t="str">
        <f ca="1">IFERROR(__xludf.DUMMYFUNCTION("IFERROR(VLOOKUP(E801&amp;F801,IMPORTRANGE(""https://docs.google.com/spreadsheets/d/1Uw7-A9f9R21vMXxHZFNpYNeKFtG8_yji4HS352LGlSQ/edit?pli=1#gid=0"",""1_ACUM!A4:S""),11,FALSE))"),"")</f>
        <v/>
      </c>
      <c r="AW787" s="42" t="str">
        <f ca="1">IFERROR(__xludf.DUMMYFUNCTION("IFERROR(VLOOKUP(F801,IMPORTRANGE(""https://docs.google.com/spreadsheets/d/1Kvs4KS76FHFqLFIZfrDMff4kP08nblUkihrxltoGBjg/edit#gid=934712705"",""ESENCIAL!A6:BG""),15,FALSE))"),"")</f>
        <v/>
      </c>
      <c r="AX787" s="21" t="str">
        <f ca="1">IFERROR(__xludf.DUMMYFUNCTION("IFERROR(VLOOKUP(E801&amp;F801,IMPORTRANGE(""https://docs.google.com/spreadsheets/d/1Uw7-A9f9R21vMXxHZFNpYNeKFtG8_yji4HS352LGlSQ/edit?pli=1#gid=0"",""1_ACUM!A4:S""),12,FALSE))"),"")</f>
        <v/>
      </c>
      <c r="AY787" s="43" t="str">
        <f ca="1">IFERROR(__xludf.DUMMYFUNCTION("IFERROR(VLOOKUP(E801&amp;F801,IMPORTRANGE(""https://docs.google.com/spreadsheets/d/1Uw7-A9f9R21vMXxHZFNpYNeKFtG8_yji4HS352LGlSQ/edit?pli=1#gid=0"",""1_ACUM!A4:S""),13,FALSE))"),"")</f>
        <v/>
      </c>
      <c r="AZ787" s="43" t="str">
        <f ca="1">IFERROR(__xludf.DUMMYFUNCTION("IFERROR(VLOOKUP(E801&amp;F801,IMPORTRANGE(""https://docs.google.com/spreadsheets/d/1Uw7-A9f9R21vMXxHZFNpYNeKFtG8_yji4HS352LGlSQ/edit?pli=1#gid=0"",""1_ACUM!A4:S""),14,FALSE))"),"")</f>
        <v/>
      </c>
      <c r="BA787" s="43" t="str">
        <f ca="1">IFERROR(__xludf.DUMMYFUNCTION("IFERROR(VLOOKUP(E801&amp;F801,IMPORTRANGE(""https://docs.google.com/spreadsheets/d/1Uw7-A9f9R21vMXxHZFNpYNeKFtG8_yji4HS352LGlSQ/edit?pli=1#gid=0"",""1_ACUM!A4:S""),15,FALSE))"),"")</f>
        <v/>
      </c>
      <c r="BB787" s="43" t="str">
        <f ca="1">IFERROR(__xludf.DUMMYFUNCTION("IFERROR(VLOOKUP(E801&amp;F801,IMPORTRANGE(""https://docs.google.com/spreadsheets/d/1Uw7-A9f9R21vMXxHZFNpYNeKFtG8_yji4HS352LGlSQ/edit?pli=1#gid=0"",""1_ACUM!A4:S""),16,FALSE))"),"")</f>
        <v/>
      </c>
      <c r="BC787" s="43" t="str">
        <f ca="1">IFERROR(__xludf.DUMMYFUNCTION("IFERROR(VLOOKUP(E801&amp;F801,IMPORTRANGE(""https://docs.google.com/spreadsheets/d/1Uw7-A9f9R21vMXxHZFNpYNeKFtG8_yji4HS352LGlSQ/edit?pli=1#gid=0"",""1_ACUM!A4:S""),17,FALSE))"),"")</f>
        <v/>
      </c>
      <c r="BD787" s="44" t="str">
        <f ca="1">IFERROR(__xludf.DUMMYFUNCTION("IFERROR(VLOOKUP(E801&amp;F801,IMPORTRANGE(""https://docs.google.com/spreadsheets/d/1Uw7-A9f9R21vMXxHZFNpYNeKFtG8_yji4HS352LGlSQ/edit?pli=1#gid=0"",""1_ACUM!A4:S""),18,FALSE))"),"")</f>
        <v/>
      </c>
      <c r="BE787" s="44" t="str">
        <f ca="1">IFERROR(__xludf.DUMMYFUNCTION("IFERROR(VLOOKUP(E801&amp;F801,IMPORTRANGE(""https://docs.google.com/spreadsheets/d/1Uw7-A9f9R21vMXxHZFNpYNeKFtG8_yji4HS352LGlSQ/edit?pli=1#gid=0"",""1_ACUM!A4:S""),19,FALSE))"),"")</f>
        <v/>
      </c>
      <c r="BF787" s="98" t="str">
        <f ca="1">IFERROR(__xludf.DUMMYFUNCTION("IFERROR(VLOOKUP(F801,IMPORTRANGE(""https://docs.google.com/spreadsheets/d/1Kvs4KS76FHFqLFIZfrDMff4kP08nblUkihrxltoGBjg/edit#gid=934712705"",""ESENCIAL!A6:BG""),5,FALSE))"),"")</f>
        <v/>
      </c>
      <c r="BG787" s="98" t="str">
        <f t="shared" si="25"/>
        <v/>
      </c>
      <c r="BH787" s="99" t="str">
        <f t="shared" si="26"/>
        <v/>
      </c>
      <c r="BI787" s="100" t="str">
        <f ca="1">IFERROR(__xludf.DUMMYFUNCTION("IFERROR(VLOOKUP(F801,IMPORTRANGE(""https://docs.google.com/spreadsheets/d/1Kvs4KS76FHFqLFIZfrDMff4kP08nblUkihrxltoGBjg/edit#gid=934712705"",""ESENCIAL!A6:BG""),2,FALSE))"),"")</f>
        <v/>
      </c>
      <c r="BJ787" s="19" t="str">
        <f t="shared" si="27"/>
        <v/>
      </c>
      <c r="BK787" s="100"/>
      <c r="BL787" s="100"/>
    </row>
    <row r="788" spans="1:64" ht="15">
      <c r="A788" s="5"/>
      <c r="B788" s="5"/>
      <c r="G788" s="5" t="str">
        <f ca="1">IFERROR(__xludf.DUMMYFUNCTION("IFERROR(VLOOKUP(F802,IMPORTRANGE(""https://docs.google.com/spreadsheets/d/1Kvs4KS76FHFqLFIZfrDMff4kP08nblUkihrxltoGBjg/edit#gid=934712705"",""ESENCIAL!A6:BG""),3,FALSE))"),"")</f>
        <v/>
      </c>
      <c r="H788" s="5" t="str">
        <f ca="1">IFERROR(__xludf.DUMMYFUNCTION("IFERROR(VLOOKUP(F802,IMPORTRANGE(""https://docs.google.com/spreadsheets/d/1Kvs4KS76FHFqLFIZfrDMff4kP08nblUkihrxltoGBjg/edit#gid=934712705"",""ESENCIAL!A6:BG""),8,FALSE))"),"")</f>
        <v/>
      </c>
      <c r="L788" s="287"/>
      <c r="U788" s="40"/>
      <c r="AU788" s="41" t="str">
        <f t="shared" si="24"/>
        <v/>
      </c>
      <c r="AV788" s="5" t="str">
        <f ca="1">IFERROR(__xludf.DUMMYFUNCTION("IFERROR(VLOOKUP(E802&amp;F802,IMPORTRANGE(""https://docs.google.com/spreadsheets/d/1Uw7-A9f9R21vMXxHZFNpYNeKFtG8_yji4HS352LGlSQ/edit?pli=1#gid=0"",""1_ACUM!A4:S""),11,FALSE))"),"")</f>
        <v/>
      </c>
      <c r="AW788" s="42" t="str">
        <f ca="1">IFERROR(__xludf.DUMMYFUNCTION("IFERROR(VLOOKUP(F802,IMPORTRANGE(""https://docs.google.com/spreadsheets/d/1Kvs4KS76FHFqLFIZfrDMff4kP08nblUkihrxltoGBjg/edit#gid=934712705"",""ESENCIAL!A6:BG""),15,FALSE))"),"")</f>
        <v/>
      </c>
      <c r="AX788" s="21" t="str">
        <f ca="1">IFERROR(__xludf.DUMMYFUNCTION("IFERROR(VLOOKUP(E802&amp;F802,IMPORTRANGE(""https://docs.google.com/spreadsheets/d/1Uw7-A9f9R21vMXxHZFNpYNeKFtG8_yji4HS352LGlSQ/edit?pli=1#gid=0"",""1_ACUM!A4:S""),12,FALSE))"),"")</f>
        <v/>
      </c>
      <c r="AY788" s="43" t="str">
        <f ca="1">IFERROR(__xludf.DUMMYFUNCTION("IFERROR(VLOOKUP(E802&amp;F802,IMPORTRANGE(""https://docs.google.com/spreadsheets/d/1Uw7-A9f9R21vMXxHZFNpYNeKFtG8_yji4HS352LGlSQ/edit?pli=1#gid=0"",""1_ACUM!A4:S""),13,FALSE))"),"")</f>
        <v/>
      </c>
      <c r="AZ788" s="43" t="str">
        <f ca="1">IFERROR(__xludf.DUMMYFUNCTION("IFERROR(VLOOKUP(E802&amp;F802,IMPORTRANGE(""https://docs.google.com/spreadsheets/d/1Uw7-A9f9R21vMXxHZFNpYNeKFtG8_yji4HS352LGlSQ/edit?pli=1#gid=0"",""1_ACUM!A4:S""),14,FALSE))"),"")</f>
        <v/>
      </c>
      <c r="BA788" s="43" t="str">
        <f ca="1">IFERROR(__xludf.DUMMYFUNCTION("IFERROR(VLOOKUP(E802&amp;F802,IMPORTRANGE(""https://docs.google.com/spreadsheets/d/1Uw7-A9f9R21vMXxHZFNpYNeKFtG8_yji4HS352LGlSQ/edit?pli=1#gid=0"",""1_ACUM!A4:S""),15,FALSE))"),"")</f>
        <v/>
      </c>
      <c r="BB788" s="43" t="str">
        <f ca="1">IFERROR(__xludf.DUMMYFUNCTION("IFERROR(VLOOKUP(E802&amp;F802,IMPORTRANGE(""https://docs.google.com/spreadsheets/d/1Uw7-A9f9R21vMXxHZFNpYNeKFtG8_yji4HS352LGlSQ/edit?pli=1#gid=0"",""1_ACUM!A4:S""),16,FALSE))"),"")</f>
        <v/>
      </c>
      <c r="BC788" s="43" t="str">
        <f ca="1">IFERROR(__xludf.DUMMYFUNCTION("IFERROR(VLOOKUP(E802&amp;F802,IMPORTRANGE(""https://docs.google.com/spreadsheets/d/1Uw7-A9f9R21vMXxHZFNpYNeKFtG8_yji4HS352LGlSQ/edit?pli=1#gid=0"",""1_ACUM!A4:S""),17,FALSE))"),"")</f>
        <v/>
      </c>
      <c r="BD788" s="44" t="str">
        <f ca="1">IFERROR(__xludf.DUMMYFUNCTION("IFERROR(VLOOKUP(E802&amp;F802,IMPORTRANGE(""https://docs.google.com/spreadsheets/d/1Uw7-A9f9R21vMXxHZFNpYNeKFtG8_yji4HS352LGlSQ/edit?pli=1#gid=0"",""1_ACUM!A4:S""),18,FALSE))"),"")</f>
        <v/>
      </c>
      <c r="BE788" s="44" t="str">
        <f ca="1">IFERROR(__xludf.DUMMYFUNCTION("IFERROR(VLOOKUP(E802&amp;F802,IMPORTRANGE(""https://docs.google.com/spreadsheets/d/1Uw7-A9f9R21vMXxHZFNpYNeKFtG8_yji4HS352LGlSQ/edit?pli=1#gid=0"",""1_ACUM!A4:S""),19,FALSE))"),"")</f>
        <v/>
      </c>
      <c r="BF788" s="98" t="str">
        <f ca="1">IFERROR(__xludf.DUMMYFUNCTION("IFERROR(VLOOKUP(F802,IMPORTRANGE(""https://docs.google.com/spreadsheets/d/1Kvs4KS76FHFqLFIZfrDMff4kP08nblUkihrxltoGBjg/edit#gid=934712705"",""ESENCIAL!A6:BG""),5,FALSE))"),"")</f>
        <v/>
      </c>
      <c r="BG788" s="98" t="str">
        <f t="shared" si="25"/>
        <v/>
      </c>
      <c r="BH788" s="99" t="str">
        <f t="shared" si="26"/>
        <v/>
      </c>
      <c r="BI788" s="100" t="str">
        <f ca="1">IFERROR(__xludf.DUMMYFUNCTION("IFERROR(VLOOKUP(F802,IMPORTRANGE(""https://docs.google.com/spreadsheets/d/1Kvs4KS76FHFqLFIZfrDMff4kP08nblUkihrxltoGBjg/edit#gid=934712705"",""ESENCIAL!A6:BG""),2,FALSE))"),"")</f>
        <v/>
      </c>
      <c r="BJ788" s="19" t="str">
        <f t="shared" si="27"/>
        <v/>
      </c>
      <c r="BK788" s="100"/>
      <c r="BL788" s="100"/>
    </row>
    <row r="789" spans="1:64" ht="15">
      <c r="A789" s="5"/>
      <c r="B789" s="5"/>
      <c r="G789" s="5" t="str">
        <f ca="1">IFERROR(__xludf.DUMMYFUNCTION("IFERROR(VLOOKUP(F803,IMPORTRANGE(""https://docs.google.com/spreadsheets/d/1Kvs4KS76FHFqLFIZfrDMff4kP08nblUkihrxltoGBjg/edit#gid=934712705"",""ESENCIAL!A6:BG""),3,FALSE))"),"")</f>
        <v/>
      </c>
      <c r="H789" s="5" t="str">
        <f ca="1">IFERROR(__xludf.DUMMYFUNCTION("IFERROR(VLOOKUP(F803,IMPORTRANGE(""https://docs.google.com/spreadsheets/d/1Kvs4KS76FHFqLFIZfrDMff4kP08nblUkihrxltoGBjg/edit#gid=934712705"",""ESENCIAL!A6:BG""),8,FALSE))"),"")</f>
        <v/>
      </c>
      <c r="L789" s="287"/>
      <c r="U789" s="40"/>
      <c r="AU789" s="41" t="str">
        <f t="shared" si="24"/>
        <v/>
      </c>
      <c r="AV789" s="5" t="str">
        <f ca="1">IFERROR(__xludf.DUMMYFUNCTION("IFERROR(VLOOKUP(E803&amp;F803,IMPORTRANGE(""https://docs.google.com/spreadsheets/d/1Uw7-A9f9R21vMXxHZFNpYNeKFtG8_yji4HS352LGlSQ/edit?pli=1#gid=0"",""1_ACUM!A4:S""),11,FALSE))"),"")</f>
        <v/>
      </c>
      <c r="AW789" s="42" t="str">
        <f ca="1">IFERROR(__xludf.DUMMYFUNCTION("IFERROR(VLOOKUP(F803,IMPORTRANGE(""https://docs.google.com/spreadsheets/d/1Kvs4KS76FHFqLFIZfrDMff4kP08nblUkihrxltoGBjg/edit#gid=934712705"",""ESENCIAL!A6:BG""),15,FALSE))"),"")</f>
        <v/>
      </c>
      <c r="AX789" s="21" t="str">
        <f ca="1">IFERROR(__xludf.DUMMYFUNCTION("IFERROR(VLOOKUP(E803&amp;F803,IMPORTRANGE(""https://docs.google.com/spreadsheets/d/1Uw7-A9f9R21vMXxHZFNpYNeKFtG8_yji4HS352LGlSQ/edit?pli=1#gid=0"",""1_ACUM!A4:S""),12,FALSE))"),"")</f>
        <v/>
      </c>
      <c r="AY789" s="43" t="str">
        <f ca="1">IFERROR(__xludf.DUMMYFUNCTION("IFERROR(VLOOKUP(E803&amp;F803,IMPORTRANGE(""https://docs.google.com/spreadsheets/d/1Uw7-A9f9R21vMXxHZFNpYNeKFtG8_yji4HS352LGlSQ/edit?pli=1#gid=0"",""1_ACUM!A4:S""),13,FALSE))"),"")</f>
        <v/>
      </c>
      <c r="AZ789" s="43" t="str">
        <f ca="1">IFERROR(__xludf.DUMMYFUNCTION("IFERROR(VLOOKUP(E803&amp;F803,IMPORTRANGE(""https://docs.google.com/spreadsheets/d/1Uw7-A9f9R21vMXxHZFNpYNeKFtG8_yji4HS352LGlSQ/edit?pli=1#gid=0"",""1_ACUM!A4:S""),14,FALSE))"),"")</f>
        <v/>
      </c>
      <c r="BA789" s="43" t="str">
        <f ca="1">IFERROR(__xludf.DUMMYFUNCTION("IFERROR(VLOOKUP(E803&amp;F803,IMPORTRANGE(""https://docs.google.com/spreadsheets/d/1Uw7-A9f9R21vMXxHZFNpYNeKFtG8_yji4HS352LGlSQ/edit?pli=1#gid=0"",""1_ACUM!A4:S""),15,FALSE))"),"")</f>
        <v/>
      </c>
      <c r="BB789" s="43" t="str">
        <f ca="1">IFERROR(__xludf.DUMMYFUNCTION("IFERROR(VLOOKUP(E803&amp;F803,IMPORTRANGE(""https://docs.google.com/spreadsheets/d/1Uw7-A9f9R21vMXxHZFNpYNeKFtG8_yji4HS352LGlSQ/edit?pli=1#gid=0"",""1_ACUM!A4:S""),16,FALSE))"),"")</f>
        <v/>
      </c>
      <c r="BC789" s="43" t="str">
        <f ca="1">IFERROR(__xludf.DUMMYFUNCTION("IFERROR(VLOOKUP(E803&amp;F803,IMPORTRANGE(""https://docs.google.com/spreadsheets/d/1Uw7-A9f9R21vMXxHZFNpYNeKFtG8_yji4HS352LGlSQ/edit?pli=1#gid=0"",""1_ACUM!A4:S""),17,FALSE))"),"")</f>
        <v/>
      </c>
      <c r="BD789" s="44" t="str">
        <f ca="1">IFERROR(__xludf.DUMMYFUNCTION("IFERROR(VLOOKUP(E803&amp;F803,IMPORTRANGE(""https://docs.google.com/spreadsheets/d/1Uw7-A9f9R21vMXxHZFNpYNeKFtG8_yji4HS352LGlSQ/edit?pli=1#gid=0"",""1_ACUM!A4:S""),18,FALSE))"),"")</f>
        <v/>
      </c>
      <c r="BE789" s="44" t="str">
        <f ca="1">IFERROR(__xludf.DUMMYFUNCTION("IFERROR(VLOOKUP(E803&amp;F803,IMPORTRANGE(""https://docs.google.com/spreadsheets/d/1Uw7-A9f9R21vMXxHZFNpYNeKFtG8_yji4HS352LGlSQ/edit?pli=1#gid=0"",""1_ACUM!A4:S""),19,FALSE))"),"")</f>
        <v/>
      </c>
      <c r="BF789" s="98" t="str">
        <f ca="1">IFERROR(__xludf.DUMMYFUNCTION("IFERROR(VLOOKUP(F803,IMPORTRANGE(""https://docs.google.com/spreadsheets/d/1Kvs4KS76FHFqLFIZfrDMff4kP08nblUkihrxltoGBjg/edit#gid=934712705"",""ESENCIAL!A6:BG""),5,FALSE))"),"")</f>
        <v/>
      </c>
      <c r="BG789" s="98" t="str">
        <f t="shared" si="25"/>
        <v/>
      </c>
      <c r="BH789" s="99" t="str">
        <f t="shared" si="26"/>
        <v/>
      </c>
      <c r="BI789" s="100" t="str">
        <f ca="1">IFERROR(__xludf.DUMMYFUNCTION("IFERROR(VLOOKUP(F803,IMPORTRANGE(""https://docs.google.com/spreadsheets/d/1Kvs4KS76FHFqLFIZfrDMff4kP08nblUkihrxltoGBjg/edit#gid=934712705"",""ESENCIAL!A6:BG""),2,FALSE))"),"")</f>
        <v/>
      </c>
      <c r="BJ789" s="19" t="str">
        <f t="shared" si="27"/>
        <v/>
      </c>
      <c r="BK789" s="100"/>
      <c r="BL789" s="100"/>
    </row>
    <row r="790" spans="1:64" ht="15">
      <c r="A790" s="5"/>
      <c r="B790" s="5"/>
      <c r="G790" s="5" t="str">
        <f ca="1">IFERROR(__xludf.DUMMYFUNCTION("IFERROR(VLOOKUP(F804,IMPORTRANGE(""https://docs.google.com/spreadsheets/d/1Kvs4KS76FHFqLFIZfrDMff4kP08nblUkihrxltoGBjg/edit#gid=934712705"",""ESENCIAL!A6:BG""),3,FALSE))"),"")</f>
        <v/>
      </c>
      <c r="H790" s="5" t="str">
        <f ca="1">IFERROR(__xludf.DUMMYFUNCTION("IFERROR(VLOOKUP(F804,IMPORTRANGE(""https://docs.google.com/spreadsheets/d/1Kvs4KS76FHFqLFIZfrDMff4kP08nblUkihrxltoGBjg/edit#gid=934712705"",""ESENCIAL!A6:BG""),8,FALSE))"),"")</f>
        <v/>
      </c>
      <c r="L790" s="287"/>
      <c r="U790" s="40"/>
      <c r="AU790" s="41" t="str">
        <f t="shared" si="24"/>
        <v/>
      </c>
      <c r="AV790" s="5" t="str">
        <f ca="1">IFERROR(__xludf.DUMMYFUNCTION("IFERROR(VLOOKUP(E804&amp;F804,IMPORTRANGE(""https://docs.google.com/spreadsheets/d/1Uw7-A9f9R21vMXxHZFNpYNeKFtG8_yji4HS352LGlSQ/edit?pli=1#gid=0"",""1_ACUM!A4:S""),11,FALSE))"),"")</f>
        <v/>
      </c>
      <c r="AW790" s="42" t="str">
        <f ca="1">IFERROR(__xludf.DUMMYFUNCTION("IFERROR(VLOOKUP(F804,IMPORTRANGE(""https://docs.google.com/spreadsheets/d/1Kvs4KS76FHFqLFIZfrDMff4kP08nblUkihrxltoGBjg/edit#gid=934712705"",""ESENCIAL!A6:BG""),15,FALSE))"),"")</f>
        <v/>
      </c>
      <c r="AX790" s="21" t="str">
        <f ca="1">IFERROR(__xludf.DUMMYFUNCTION("IFERROR(VLOOKUP(E804&amp;F804,IMPORTRANGE(""https://docs.google.com/spreadsheets/d/1Uw7-A9f9R21vMXxHZFNpYNeKFtG8_yji4HS352LGlSQ/edit?pli=1#gid=0"",""1_ACUM!A4:S""),12,FALSE))"),"")</f>
        <v/>
      </c>
      <c r="AY790" s="43" t="str">
        <f ca="1">IFERROR(__xludf.DUMMYFUNCTION("IFERROR(VLOOKUP(E804&amp;F804,IMPORTRANGE(""https://docs.google.com/spreadsheets/d/1Uw7-A9f9R21vMXxHZFNpYNeKFtG8_yji4HS352LGlSQ/edit?pli=1#gid=0"",""1_ACUM!A4:S""),13,FALSE))"),"")</f>
        <v/>
      </c>
      <c r="AZ790" s="43" t="str">
        <f ca="1">IFERROR(__xludf.DUMMYFUNCTION("IFERROR(VLOOKUP(E804&amp;F804,IMPORTRANGE(""https://docs.google.com/spreadsheets/d/1Uw7-A9f9R21vMXxHZFNpYNeKFtG8_yji4HS352LGlSQ/edit?pli=1#gid=0"",""1_ACUM!A4:S""),14,FALSE))"),"")</f>
        <v/>
      </c>
      <c r="BA790" s="43" t="str">
        <f ca="1">IFERROR(__xludf.DUMMYFUNCTION("IFERROR(VLOOKUP(E804&amp;F804,IMPORTRANGE(""https://docs.google.com/spreadsheets/d/1Uw7-A9f9R21vMXxHZFNpYNeKFtG8_yji4HS352LGlSQ/edit?pli=1#gid=0"",""1_ACUM!A4:S""),15,FALSE))"),"")</f>
        <v/>
      </c>
      <c r="BB790" s="43" t="str">
        <f ca="1">IFERROR(__xludf.DUMMYFUNCTION("IFERROR(VLOOKUP(E804&amp;F804,IMPORTRANGE(""https://docs.google.com/spreadsheets/d/1Uw7-A9f9R21vMXxHZFNpYNeKFtG8_yji4HS352LGlSQ/edit?pli=1#gid=0"",""1_ACUM!A4:S""),16,FALSE))"),"")</f>
        <v/>
      </c>
      <c r="BC790" s="43" t="str">
        <f ca="1">IFERROR(__xludf.DUMMYFUNCTION("IFERROR(VLOOKUP(E804&amp;F804,IMPORTRANGE(""https://docs.google.com/spreadsheets/d/1Uw7-A9f9R21vMXxHZFNpYNeKFtG8_yji4HS352LGlSQ/edit?pli=1#gid=0"",""1_ACUM!A4:S""),17,FALSE))"),"")</f>
        <v/>
      </c>
      <c r="BD790" s="44" t="str">
        <f ca="1">IFERROR(__xludf.DUMMYFUNCTION("IFERROR(VLOOKUP(E804&amp;F804,IMPORTRANGE(""https://docs.google.com/spreadsheets/d/1Uw7-A9f9R21vMXxHZFNpYNeKFtG8_yji4HS352LGlSQ/edit?pli=1#gid=0"",""1_ACUM!A4:S""),18,FALSE))"),"")</f>
        <v/>
      </c>
      <c r="BE790" s="44" t="str">
        <f ca="1">IFERROR(__xludf.DUMMYFUNCTION("IFERROR(VLOOKUP(E804&amp;F804,IMPORTRANGE(""https://docs.google.com/spreadsheets/d/1Uw7-A9f9R21vMXxHZFNpYNeKFtG8_yji4HS352LGlSQ/edit?pli=1#gid=0"",""1_ACUM!A4:S""),19,FALSE))"),"")</f>
        <v/>
      </c>
      <c r="BF790" s="98" t="str">
        <f ca="1">IFERROR(__xludf.DUMMYFUNCTION("IFERROR(VLOOKUP(F804,IMPORTRANGE(""https://docs.google.com/spreadsheets/d/1Kvs4KS76FHFqLFIZfrDMff4kP08nblUkihrxltoGBjg/edit#gid=934712705"",""ESENCIAL!A6:BG""),5,FALSE))"),"")</f>
        <v/>
      </c>
      <c r="BG790" s="98" t="str">
        <f t="shared" si="25"/>
        <v/>
      </c>
      <c r="BH790" s="99" t="str">
        <f t="shared" si="26"/>
        <v/>
      </c>
      <c r="BI790" s="100" t="str">
        <f ca="1">IFERROR(__xludf.DUMMYFUNCTION("IFERROR(VLOOKUP(F804,IMPORTRANGE(""https://docs.google.com/spreadsheets/d/1Kvs4KS76FHFqLFIZfrDMff4kP08nblUkihrxltoGBjg/edit#gid=934712705"",""ESENCIAL!A6:BG""),2,FALSE))"),"")</f>
        <v/>
      </c>
      <c r="BJ790" s="19" t="str">
        <f t="shared" si="27"/>
        <v/>
      </c>
      <c r="BK790" s="100"/>
      <c r="BL790" s="100"/>
    </row>
    <row r="791" spans="1:64" ht="15">
      <c r="A791" s="5"/>
      <c r="B791" s="5"/>
      <c r="G791" s="5" t="str">
        <f ca="1">IFERROR(__xludf.DUMMYFUNCTION("IFERROR(VLOOKUP(F805,IMPORTRANGE(""https://docs.google.com/spreadsheets/d/1Kvs4KS76FHFqLFIZfrDMff4kP08nblUkihrxltoGBjg/edit#gid=934712705"",""ESENCIAL!A6:BG""),3,FALSE))"),"")</f>
        <v/>
      </c>
      <c r="H791" s="5" t="str">
        <f ca="1">IFERROR(__xludf.DUMMYFUNCTION("IFERROR(VLOOKUP(F805,IMPORTRANGE(""https://docs.google.com/spreadsheets/d/1Kvs4KS76FHFqLFIZfrDMff4kP08nblUkihrxltoGBjg/edit#gid=934712705"",""ESENCIAL!A6:BG""),8,FALSE))"),"")</f>
        <v/>
      </c>
      <c r="L791" s="287"/>
      <c r="U791" s="40"/>
      <c r="AU791" s="41" t="str">
        <f t="shared" si="24"/>
        <v/>
      </c>
      <c r="AV791" s="5" t="str">
        <f ca="1">IFERROR(__xludf.DUMMYFUNCTION("IFERROR(VLOOKUP(E805&amp;F805,IMPORTRANGE(""https://docs.google.com/spreadsheets/d/1Uw7-A9f9R21vMXxHZFNpYNeKFtG8_yji4HS352LGlSQ/edit?pli=1#gid=0"",""1_ACUM!A4:S""),11,FALSE))"),"")</f>
        <v/>
      </c>
      <c r="AW791" s="42" t="str">
        <f ca="1">IFERROR(__xludf.DUMMYFUNCTION("IFERROR(VLOOKUP(F805,IMPORTRANGE(""https://docs.google.com/spreadsheets/d/1Kvs4KS76FHFqLFIZfrDMff4kP08nblUkihrxltoGBjg/edit#gid=934712705"",""ESENCIAL!A6:BG""),15,FALSE))"),"")</f>
        <v/>
      </c>
      <c r="AX791" s="21" t="str">
        <f ca="1">IFERROR(__xludf.DUMMYFUNCTION("IFERROR(VLOOKUP(E805&amp;F805,IMPORTRANGE(""https://docs.google.com/spreadsheets/d/1Uw7-A9f9R21vMXxHZFNpYNeKFtG8_yji4HS352LGlSQ/edit?pli=1#gid=0"",""1_ACUM!A4:S""),12,FALSE))"),"")</f>
        <v/>
      </c>
      <c r="AY791" s="43" t="str">
        <f ca="1">IFERROR(__xludf.DUMMYFUNCTION("IFERROR(VLOOKUP(E805&amp;F805,IMPORTRANGE(""https://docs.google.com/spreadsheets/d/1Uw7-A9f9R21vMXxHZFNpYNeKFtG8_yji4HS352LGlSQ/edit?pli=1#gid=0"",""1_ACUM!A4:S""),13,FALSE))"),"")</f>
        <v/>
      </c>
      <c r="AZ791" s="43" t="str">
        <f ca="1">IFERROR(__xludf.DUMMYFUNCTION("IFERROR(VLOOKUP(E805&amp;F805,IMPORTRANGE(""https://docs.google.com/spreadsheets/d/1Uw7-A9f9R21vMXxHZFNpYNeKFtG8_yji4HS352LGlSQ/edit?pli=1#gid=0"",""1_ACUM!A4:S""),14,FALSE))"),"")</f>
        <v/>
      </c>
      <c r="BA791" s="43" t="str">
        <f ca="1">IFERROR(__xludf.DUMMYFUNCTION("IFERROR(VLOOKUP(E805&amp;F805,IMPORTRANGE(""https://docs.google.com/spreadsheets/d/1Uw7-A9f9R21vMXxHZFNpYNeKFtG8_yji4HS352LGlSQ/edit?pli=1#gid=0"",""1_ACUM!A4:S""),15,FALSE))"),"")</f>
        <v/>
      </c>
      <c r="BB791" s="43" t="str">
        <f ca="1">IFERROR(__xludf.DUMMYFUNCTION("IFERROR(VLOOKUP(E805&amp;F805,IMPORTRANGE(""https://docs.google.com/spreadsheets/d/1Uw7-A9f9R21vMXxHZFNpYNeKFtG8_yji4HS352LGlSQ/edit?pli=1#gid=0"",""1_ACUM!A4:S""),16,FALSE))"),"")</f>
        <v/>
      </c>
      <c r="BC791" s="43" t="str">
        <f ca="1">IFERROR(__xludf.DUMMYFUNCTION("IFERROR(VLOOKUP(E805&amp;F805,IMPORTRANGE(""https://docs.google.com/spreadsheets/d/1Uw7-A9f9R21vMXxHZFNpYNeKFtG8_yji4HS352LGlSQ/edit?pli=1#gid=0"",""1_ACUM!A4:S""),17,FALSE))"),"")</f>
        <v/>
      </c>
      <c r="BD791" s="44" t="str">
        <f ca="1">IFERROR(__xludf.DUMMYFUNCTION("IFERROR(VLOOKUP(E805&amp;F805,IMPORTRANGE(""https://docs.google.com/spreadsheets/d/1Uw7-A9f9R21vMXxHZFNpYNeKFtG8_yji4HS352LGlSQ/edit?pli=1#gid=0"",""1_ACUM!A4:S""),18,FALSE))"),"")</f>
        <v/>
      </c>
      <c r="BE791" s="44" t="str">
        <f ca="1">IFERROR(__xludf.DUMMYFUNCTION("IFERROR(VLOOKUP(E805&amp;F805,IMPORTRANGE(""https://docs.google.com/spreadsheets/d/1Uw7-A9f9R21vMXxHZFNpYNeKFtG8_yji4HS352LGlSQ/edit?pli=1#gid=0"",""1_ACUM!A4:S""),19,FALSE))"),"")</f>
        <v/>
      </c>
      <c r="BF791" s="98" t="str">
        <f ca="1">IFERROR(__xludf.DUMMYFUNCTION("IFERROR(VLOOKUP(F805,IMPORTRANGE(""https://docs.google.com/spreadsheets/d/1Kvs4KS76FHFqLFIZfrDMff4kP08nblUkihrxltoGBjg/edit#gid=934712705"",""ESENCIAL!A6:BG""),5,FALSE))"),"")</f>
        <v/>
      </c>
      <c r="BG791" s="98" t="str">
        <f t="shared" si="25"/>
        <v/>
      </c>
      <c r="BH791" s="99" t="str">
        <f t="shared" si="26"/>
        <v/>
      </c>
      <c r="BI791" s="100" t="str">
        <f ca="1">IFERROR(__xludf.DUMMYFUNCTION("IFERROR(VLOOKUP(F805,IMPORTRANGE(""https://docs.google.com/spreadsheets/d/1Kvs4KS76FHFqLFIZfrDMff4kP08nblUkihrxltoGBjg/edit#gid=934712705"",""ESENCIAL!A6:BG""),2,FALSE))"),"")</f>
        <v/>
      </c>
      <c r="BJ791" s="19" t="str">
        <f t="shared" si="27"/>
        <v/>
      </c>
      <c r="BK791" s="100"/>
      <c r="BL791" s="100"/>
    </row>
    <row r="792" spans="1:64" ht="15">
      <c r="A792" s="5"/>
      <c r="B792" s="5"/>
      <c r="G792" s="5" t="str">
        <f ca="1">IFERROR(__xludf.DUMMYFUNCTION("IFERROR(VLOOKUP(F806,IMPORTRANGE(""https://docs.google.com/spreadsheets/d/1Kvs4KS76FHFqLFIZfrDMff4kP08nblUkihrxltoGBjg/edit#gid=934712705"",""ESENCIAL!A6:BG""),3,FALSE))"),"")</f>
        <v/>
      </c>
      <c r="H792" s="5" t="str">
        <f ca="1">IFERROR(__xludf.DUMMYFUNCTION("IFERROR(VLOOKUP(F806,IMPORTRANGE(""https://docs.google.com/spreadsheets/d/1Kvs4KS76FHFqLFIZfrDMff4kP08nblUkihrxltoGBjg/edit#gid=934712705"",""ESENCIAL!A6:BG""),8,FALSE))"),"")</f>
        <v/>
      </c>
      <c r="L792" s="287"/>
      <c r="U792" s="40"/>
      <c r="AU792" s="41" t="str">
        <f t="shared" si="24"/>
        <v/>
      </c>
      <c r="AV792" s="5" t="str">
        <f ca="1">IFERROR(__xludf.DUMMYFUNCTION("IFERROR(VLOOKUP(E806&amp;F806,IMPORTRANGE(""https://docs.google.com/spreadsheets/d/1Uw7-A9f9R21vMXxHZFNpYNeKFtG8_yji4HS352LGlSQ/edit?pli=1#gid=0"",""1_ACUM!A4:S""),11,FALSE))"),"")</f>
        <v/>
      </c>
      <c r="AW792" s="42" t="str">
        <f ca="1">IFERROR(__xludf.DUMMYFUNCTION("IFERROR(VLOOKUP(F806,IMPORTRANGE(""https://docs.google.com/spreadsheets/d/1Kvs4KS76FHFqLFIZfrDMff4kP08nblUkihrxltoGBjg/edit#gid=934712705"",""ESENCIAL!A6:BG""),15,FALSE))"),"")</f>
        <v/>
      </c>
      <c r="AX792" s="21" t="str">
        <f ca="1">IFERROR(__xludf.DUMMYFUNCTION("IFERROR(VLOOKUP(E806&amp;F806,IMPORTRANGE(""https://docs.google.com/spreadsheets/d/1Uw7-A9f9R21vMXxHZFNpYNeKFtG8_yji4HS352LGlSQ/edit?pli=1#gid=0"",""1_ACUM!A4:S""),12,FALSE))"),"")</f>
        <v/>
      </c>
      <c r="AY792" s="43" t="str">
        <f ca="1">IFERROR(__xludf.DUMMYFUNCTION("IFERROR(VLOOKUP(E806&amp;F806,IMPORTRANGE(""https://docs.google.com/spreadsheets/d/1Uw7-A9f9R21vMXxHZFNpYNeKFtG8_yji4HS352LGlSQ/edit?pli=1#gid=0"",""1_ACUM!A4:S""),13,FALSE))"),"")</f>
        <v/>
      </c>
      <c r="AZ792" s="43" t="str">
        <f ca="1">IFERROR(__xludf.DUMMYFUNCTION("IFERROR(VLOOKUP(E806&amp;F806,IMPORTRANGE(""https://docs.google.com/spreadsheets/d/1Uw7-A9f9R21vMXxHZFNpYNeKFtG8_yji4HS352LGlSQ/edit?pli=1#gid=0"",""1_ACUM!A4:S""),14,FALSE))"),"")</f>
        <v/>
      </c>
      <c r="BA792" s="43" t="str">
        <f ca="1">IFERROR(__xludf.DUMMYFUNCTION("IFERROR(VLOOKUP(E806&amp;F806,IMPORTRANGE(""https://docs.google.com/spreadsheets/d/1Uw7-A9f9R21vMXxHZFNpYNeKFtG8_yji4HS352LGlSQ/edit?pli=1#gid=0"",""1_ACUM!A4:S""),15,FALSE))"),"")</f>
        <v/>
      </c>
      <c r="BB792" s="43" t="str">
        <f ca="1">IFERROR(__xludf.DUMMYFUNCTION("IFERROR(VLOOKUP(E806&amp;F806,IMPORTRANGE(""https://docs.google.com/spreadsheets/d/1Uw7-A9f9R21vMXxHZFNpYNeKFtG8_yji4HS352LGlSQ/edit?pli=1#gid=0"",""1_ACUM!A4:S""),16,FALSE))"),"")</f>
        <v/>
      </c>
      <c r="BC792" s="43" t="str">
        <f ca="1">IFERROR(__xludf.DUMMYFUNCTION("IFERROR(VLOOKUP(E806&amp;F806,IMPORTRANGE(""https://docs.google.com/spreadsheets/d/1Uw7-A9f9R21vMXxHZFNpYNeKFtG8_yji4HS352LGlSQ/edit?pli=1#gid=0"",""1_ACUM!A4:S""),17,FALSE))"),"")</f>
        <v/>
      </c>
      <c r="BD792" s="44" t="str">
        <f ca="1">IFERROR(__xludf.DUMMYFUNCTION("IFERROR(VLOOKUP(E806&amp;F806,IMPORTRANGE(""https://docs.google.com/spreadsheets/d/1Uw7-A9f9R21vMXxHZFNpYNeKFtG8_yji4HS352LGlSQ/edit?pli=1#gid=0"",""1_ACUM!A4:S""),18,FALSE))"),"")</f>
        <v/>
      </c>
      <c r="BE792" s="44" t="str">
        <f ca="1">IFERROR(__xludf.DUMMYFUNCTION("IFERROR(VLOOKUP(E806&amp;F806,IMPORTRANGE(""https://docs.google.com/spreadsheets/d/1Uw7-A9f9R21vMXxHZFNpYNeKFtG8_yji4HS352LGlSQ/edit?pli=1#gid=0"",""1_ACUM!A4:S""),19,FALSE))"),"")</f>
        <v/>
      </c>
      <c r="BF792" s="98" t="str">
        <f ca="1">IFERROR(__xludf.DUMMYFUNCTION("IFERROR(VLOOKUP(F806,IMPORTRANGE(""https://docs.google.com/spreadsheets/d/1Kvs4KS76FHFqLFIZfrDMff4kP08nblUkihrxltoGBjg/edit#gid=934712705"",""ESENCIAL!A6:BG""),5,FALSE))"),"")</f>
        <v/>
      </c>
      <c r="BG792" s="98" t="str">
        <f t="shared" si="25"/>
        <v/>
      </c>
      <c r="BH792" s="99" t="str">
        <f t="shared" si="26"/>
        <v/>
      </c>
      <c r="BI792" s="100" t="str">
        <f ca="1">IFERROR(__xludf.DUMMYFUNCTION("IFERROR(VLOOKUP(F806,IMPORTRANGE(""https://docs.google.com/spreadsheets/d/1Kvs4KS76FHFqLFIZfrDMff4kP08nblUkihrxltoGBjg/edit#gid=934712705"",""ESENCIAL!A6:BG""),2,FALSE))"),"")</f>
        <v/>
      </c>
      <c r="BJ792" s="19" t="str">
        <f t="shared" si="27"/>
        <v/>
      </c>
      <c r="BK792" s="100"/>
      <c r="BL792" s="100"/>
    </row>
    <row r="793" spans="1:64" ht="15">
      <c r="A793" s="5"/>
      <c r="B793" s="5"/>
      <c r="G793" s="5" t="str">
        <f ca="1">IFERROR(__xludf.DUMMYFUNCTION("IFERROR(VLOOKUP(F807,IMPORTRANGE(""https://docs.google.com/spreadsheets/d/1Kvs4KS76FHFqLFIZfrDMff4kP08nblUkihrxltoGBjg/edit#gid=934712705"",""ESENCIAL!A6:BG""),3,FALSE))"),"")</f>
        <v/>
      </c>
      <c r="H793" s="5" t="str">
        <f ca="1">IFERROR(__xludf.DUMMYFUNCTION("IFERROR(VLOOKUP(F807,IMPORTRANGE(""https://docs.google.com/spreadsheets/d/1Kvs4KS76FHFqLFIZfrDMff4kP08nblUkihrxltoGBjg/edit#gid=934712705"",""ESENCIAL!A6:BG""),8,FALSE))"),"")</f>
        <v/>
      </c>
      <c r="L793" s="287"/>
      <c r="U793" s="40"/>
      <c r="AU793" s="41" t="str">
        <f t="shared" si="24"/>
        <v/>
      </c>
      <c r="AV793" s="5" t="str">
        <f ca="1">IFERROR(__xludf.DUMMYFUNCTION("IFERROR(VLOOKUP(E807&amp;F807,IMPORTRANGE(""https://docs.google.com/spreadsheets/d/1Uw7-A9f9R21vMXxHZFNpYNeKFtG8_yji4HS352LGlSQ/edit?pli=1#gid=0"",""1_ACUM!A4:S""),11,FALSE))"),"")</f>
        <v/>
      </c>
      <c r="AW793" s="42" t="str">
        <f ca="1">IFERROR(__xludf.DUMMYFUNCTION("IFERROR(VLOOKUP(F807,IMPORTRANGE(""https://docs.google.com/spreadsheets/d/1Kvs4KS76FHFqLFIZfrDMff4kP08nblUkihrxltoGBjg/edit#gid=934712705"",""ESENCIAL!A6:BG""),15,FALSE))"),"")</f>
        <v/>
      </c>
      <c r="AX793" s="21" t="str">
        <f ca="1">IFERROR(__xludf.DUMMYFUNCTION("IFERROR(VLOOKUP(E807&amp;F807,IMPORTRANGE(""https://docs.google.com/spreadsheets/d/1Uw7-A9f9R21vMXxHZFNpYNeKFtG8_yji4HS352LGlSQ/edit?pli=1#gid=0"",""1_ACUM!A4:S""),12,FALSE))"),"")</f>
        <v/>
      </c>
      <c r="AY793" s="43" t="str">
        <f ca="1">IFERROR(__xludf.DUMMYFUNCTION("IFERROR(VLOOKUP(E807&amp;F807,IMPORTRANGE(""https://docs.google.com/spreadsheets/d/1Uw7-A9f9R21vMXxHZFNpYNeKFtG8_yji4HS352LGlSQ/edit?pli=1#gid=0"",""1_ACUM!A4:S""),13,FALSE))"),"")</f>
        <v/>
      </c>
      <c r="AZ793" s="43" t="str">
        <f ca="1">IFERROR(__xludf.DUMMYFUNCTION("IFERROR(VLOOKUP(E807&amp;F807,IMPORTRANGE(""https://docs.google.com/spreadsheets/d/1Uw7-A9f9R21vMXxHZFNpYNeKFtG8_yji4HS352LGlSQ/edit?pli=1#gid=0"",""1_ACUM!A4:S""),14,FALSE))"),"")</f>
        <v/>
      </c>
      <c r="BA793" s="43" t="str">
        <f ca="1">IFERROR(__xludf.DUMMYFUNCTION("IFERROR(VLOOKUP(E807&amp;F807,IMPORTRANGE(""https://docs.google.com/spreadsheets/d/1Uw7-A9f9R21vMXxHZFNpYNeKFtG8_yji4HS352LGlSQ/edit?pli=1#gid=0"",""1_ACUM!A4:S""),15,FALSE))"),"")</f>
        <v/>
      </c>
      <c r="BB793" s="43" t="str">
        <f ca="1">IFERROR(__xludf.DUMMYFUNCTION("IFERROR(VLOOKUP(E807&amp;F807,IMPORTRANGE(""https://docs.google.com/spreadsheets/d/1Uw7-A9f9R21vMXxHZFNpYNeKFtG8_yji4HS352LGlSQ/edit?pli=1#gid=0"",""1_ACUM!A4:S""),16,FALSE))"),"")</f>
        <v/>
      </c>
      <c r="BC793" s="43" t="str">
        <f ca="1">IFERROR(__xludf.DUMMYFUNCTION("IFERROR(VLOOKUP(E807&amp;F807,IMPORTRANGE(""https://docs.google.com/spreadsheets/d/1Uw7-A9f9R21vMXxHZFNpYNeKFtG8_yji4HS352LGlSQ/edit?pli=1#gid=0"",""1_ACUM!A4:S""),17,FALSE))"),"")</f>
        <v/>
      </c>
      <c r="BD793" s="44" t="str">
        <f ca="1">IFERROR(__xludf.DUMMYFUNCTION("IFERROR(VLOOKUP(E807&amp;F807,IMPORTRANGE(""https://docs.google.com/spreadsheets/d/1Uw7-A9f9R21vMXxHZFNpYNeKFtG8_yji4HS352LGlSQ/edit?pli=1#gid=0"",""1_ACUM!A4:S""),18,FALSE))"),"")</f>
        <v/>
      </c>
      <c r="BE793" s="44" t="str">
        <f ca="1">IFERROR(__xludf.DUMMYFUNCTION("IFERROR(VLOOKUP(E807&amp;F807,IMPORTRANGE(""https://docs.google.com/spreadsheets/d/1Uw7-A9f9R21vMXxHZFNpYNeKFtG8_yji4HS352LGlSQ/edit?pli=1#gid=0"",""1_ACUM!A4:S""),19,FALSE))"),"")</f>
        <v/>
      </c>
      <c r="BF793" s="98" t="str">
        <f ca="1">IFERROR(__xludf.DUMMYFUNCTION("IFERROR(VLOOKUP(F807,IMPORTRANGE(""https://docs.google.com/spreadsheets/d/1Kvs4KS76FHFqLFIZfrDMff4kP08nblUkihrxltoGBjg/edit#gid=934712705"",""ESENCIAL!A6:BG""),5,FALSE))"),"")</f>
        <v/>
      </c>
      <c r="BG793" s="98" t="str">
        <f t="shared" si="25"/>
        <v/>
      </c>
      <c r="BH793" s="99" t="str">
        <f t="shared" si="26"/>
        <v/>
      </c>
      <c r="BI793" s="100" t="str">
        <f ca="1">IFERROR(__xludf.DUMMYFUNCTION("IFERROR(VLOOKUP(F807,IMPORTRANGE(""https://docs.google.com/spreadsheets/d/1Kvs4KS76FHFqLFIZfrDMff4kP08nblUkihrxltoGBjg/edit#gid=934712705"",""ESENCIAL!A6:BG""),2,FALSE))"),"")</f>
        <v/>
      </c>
      <c r="BJ793" s="19" t="str">
        <f t="shared" si="27"/>
        <v/>
      </c>
      <c r="BK793" s="100"/>
      <c r="BL793" s="100"/>
    </row>
    <row r="794" spans="1:64" ht="15">
      <c r="A794" s="5"/>
      <c r="B794" s="5"/>
      <c r="G794" s="5" t="str">
        <f ca="1">IFERROR(__xludf.DUMMYFUNCTION("IFERROR(VLOOKUP(F808,IMPORTRANGE(""https://docs.google.com/spreadsheets/d/1Kvs4KS76FHFqLFIZfrDMff4kP08nblUkihrxltoGBjg/edit#gid=934712705"",""ESENCIAL!A6:BG""),3,FALSE))"),"")</f>
        <v/>
      </c>
      <c r="H794" s="5" t="str">
        <f ca="1">IFERROR(__xludf.DUMMYFUNCTION("IFERROR(VLOOKUP(F808,IMPORTRANGE(""https://docs.google.com/spreadsheets/d/1Kvs4KS76FHFqLFIZfrDMff4kP08nblUkihrxltoGBjg/edit#gid=934712705"",""ESENCIAL!A6:BG""),8,FALSE))"),"")</f>
        <v/>
      </c>
      <c r="L794" s="287"/>
      <c r="U794" s="40"/>
      <c r="AU794" s="41" t="str">
        <f t="shared" si="24"/>
        <v/>
      </c>
      <c r="AV794" s="5" t="str">
        <f ca="1">IFERROR(__xludf.DUMMYFUNCTION("IFERROR(VLOOKUP(E808&amp;F808,IMPORTRANGE(""https://docs.google.com/spreadsheets/d/1Uw7-A9f9R21vMXxHZFNpYNeKFtG8_yji4HS352LGlSQ/edit?pli=1#gid=0"",""1_ACUM!A4:S""),11,FALSE))"),"")</f>
        <v/>
      </c>
      <c r="AW794" s="42" t="str">
        <f ca="1">IFERROR(__xludf.DUMMYFUNCTION("IFERROR(VLOOKUP(F808,IMPORTRANGE(""https://docs.google.com/spreadsheets/d/1Kvs4KS76FHFqLFIZfrDMff4kP08nblUkihrxltoGBjg/edit#gid=934712705"",""ESENCIAL!A6:BG""),15,FALSE))"),"")</f>
        <v/>
      </c>
      <c r="AX794" s="21" t="str">
        <f ca="1">IFERROR(__xludf.DUMMYFUNCTION("IFERROR(VLOOKUP(E808&amp;F808,IMPORTRANGE(""https://docs.google.com/spreadsheets/d/1Uw7-A9f9R21vMXxHZFNpYNeKFtG8_yji4HS352LGlSQ/edit?pli=1#gid=0"",""1_ACUM!A4:S""),12,FALSE))"),"")</f>
        <v/>
      </c>
      <c r="AY794" s="43" t="str">
        <f ca="1">IFERROR(__xludf.DUMMYFUNCTION("IFERROR(VLOOKUP(E808&amp;F808,IMPORTRANGE(""https://docs.google.com/spreadsheets/d/1Uw7-A9f9R21vMXxHZFNpYNeKFtG8_yji4HS352LGlSQ/edit?pli=1#gid=0"",""1_ACUM!A4:S""),13,FALSE))"),"")</f>
        <v/>
      </c>
      <c r="AZ794" s="43" t="str">
        <f ca="1">IFERROR(__xludf.DUMMYFUNCTION("IFERROR(VLOOKUP(E808&amp;F808,IMPORTRANGE(""https://docs.google.com/spreadsheets/d/1Uw7-A9f9R21vMXxHZFNpYNeKFtG8_yji4HS352LGlSQ/edit?pli=1#gid=0"",""1_ACUM!A4:S""),14,FALSE))"),"")</f>
        <v/>
      </c>
      <c r="BA794" s="43" t="str">
        <f ca="1">IFERROR(__xludf.DUMMYFUNCTION("IFERROR(VLOOKUP(E808&amp;F808,IMPORTRANGE(""https://docs.google.com/spreadsheets/d/1Uw7-A9f9R21vMXxHZFNpYNeKFtG8_yji4HS352LGlSQ/edit?pli=1#gid=0"",""1_ACUM!A4:S""),15,FALSE))"),"")</f>
        <v/>
      </c>
      <c r="BB794" s="43" t="str">
        <f ca="1">IFERROR(__xludf.DUMMYFUNCTION("IFERROR(VLOOKUP(E808&amp;F808,IMPORTRANGE(""https://docs.google.com/spreadsheets/d/1Uw7-A9f9R21vMXxHZFNpYNeKFtG8_yji4HS352LGlSQ/edit?pli=1#gid=0"",""1_ACUM!A4:S""),16,FALSE))"),"")</f>
        <v/>
      </c>
      <c r="BC794" s="43" t="str">
        <f ca="1">IFERROR(__xludf.DUMMYFUNCTION("IFERROR(VLOOKUP(E808&amp;F808,IMPORTRANGE(""https://docs.google.com/spreadsheets/d/1Uw7-A9f9R21vMXxHZFNpYNeKFtG8_yji4HS352LGlSQ/edit?pli=1#gid=0"",""1_ACUM!A4:S""),17,FALSE))"),"")</f>
        <v/>
      </c>
      <c r="BD794" s="44" t="str">
        <f ca="1">IFERROR(__xludf.DUMMYFUNCTION("IFERROR(VLOOKUP(E808&amp;F808,IMPORTRANGE(""https://docs.google.com/spreadsheets/d/1Uw7-A9f9R21vMXxHZFNpYNeKFtG8_yji4HS352LGlSQ/edit?pli=1#gid=0"",""1_ACUM!A4:S""),18,FALSE))"),"")</f>
        <v/>
      </c>
      <c r="BE794" s="44" t="str">
        <f ca="1">IFERROR(__xludf.DUMMYFUNCTION("IFERROR(VLOOKUP(E808&amp;F808,IMPORTRANGE(""https://docs.google.com/spreadsheets/d/1Uw7-A9f9R21vMXxHZFNpYNeKFtG8_yji4HS352LGlSQ/edit?pli=1#gid=0"",""1_ACUM!A4:S""),19,FALSE))"),"")</f>
        <v/>
      </c>
      <c r="BF794" s="98" t="str">
        <f ca="1">IFERROR(__xludf.DUMMYFUNCTION("IFERROR(VLOOKUP(F808,IMPORTRANGE(""https://docs.google.com/spreadsheets/d/1Kvs4KS76FHFqLFIZfrDMff4kP08nblUkihrxltoGBjg/edit#gid=934712705"",""ESENCIAL!A6:BG""),5,FALSE))"),"")</f>
        <v/>
      </c>
      <c r="BG794" s="98" t="str">
        <f t="shared" si="25"/>
        <v/>
      </c>
      <c r="BH794" s="99" t="str">
        <f t="shared" si="26"/>
        <v/>
      </c>
      <c r="BI794" s="100" t="str">
        <f ca="1">IFERROR(__xludf.DUMMYFUNCTION("IFERROR(VLOOKUP(F808,IMPORTRANGE(""https://docs.google.com/spreadsheets/d/1Kvs4KS76FHFqLFIZfrDMff4kP08nblUkihrxltoGBjg/edit#gid=934712705"",""ESENCIAL!A6:BG""),2,FALSE))"),"")</f>
        <v/>
      </c>
      <c r="BJ794" s="19" t="str">
        <f t="shared" si="27"/>
        <v/>
      </c>
      <c r="BK794" s="100"/>
      <c r="BL794" s="100"/>
    </row>
    <row r="795" spans="1:64" ht="15">
      <c r="A795" s="5"/>
      <c r="B795" s="5"/>
      <c r="G795" s="5" t="str">
        <f ca="1">IFERROR(__xludf.DUMMYFUNCTION("IFERROR(VLOOKUP(F809,IMPORTRANGE(""https://docs.google.com/spreadsheets/d/1Kvs4KS76FHFqLFIZfrDMff4kP08nblUkihrxltoGBjg/edit#gid=934712705"",""ESENCIAL!A6:BG""),3,FALSE))"),"")</f>
        <v/>
      </c>
      <c r="H795" s="5" t="str">
        <f ca="1">IFERROR(__xludf.DUMMYFUNCTION("IFERROR(VLOOKUP(F809,IMPORTRANGE(""https://docs.google.com/spreadsheets/d/1Kvs4KS76FHFqLFIZfrDMff4kP08nblUkihrxltoGBjg/edit#gid=934712705"",""ESENCIAL!A6:BG""),8,FALSE))"),"")</f>
        <v/>
      </c>
      <c r="L795" s="287"/>
      <c r="U795" s="40"/>
      <c r="AU795" s="41" t="str">
        <f t="shared" si="24"/>
        <v/>
      </c>
      <c r="AV795" s="5" t="str">
        <f ca="1">IFERROR(__xludf.DUMMYFUNCTION("IFERROR(VLOOKUP(E809&amp;F809,IMPORTRANGE(""https://docs.google.com/spreadsheets/d/1Uw7-A9f9R21vMXxHZFNpYNeKFtG8_yji4HS352LGlSQ/edit?pli=1#gid=0"",""1_ACUM!A4:S""),11,FALSE))"),"")</f>
        <v/>
      </c>
      <c r="AW795" s="42" t="str">
        <f ca="1">IFERROR(__xludf.DUMMYFUNCTION("IFERROR(VLOOKUP(F809,IMPORTRANGE(""https://docs.google.com/spreadsheets/d/1Kvs4KS76FHFqLFIZfrDMff4kP08nblUkihrxltoGBjg/edit#gid=934712705"",""ESENCIAL!A6:BG""),15,FALSE))"),"")</f>
        <v/>
      </c>
      <c r="AX795" s="21" t="str">
        <f ca="1">IFERROR(__xludf.DUMMYFUNCTION("IFERROR(VLOOKUP(E809&amp;F809,IMPORTRANGE(""https://docs.google.com/spreadsheets/d/1Uw7-A9f9R21vMXxHZFNpYNeKFtG8_yji4HS352LGlSQ/edit?pli=1#gid=0"",""1_ACUM!A4:S""),12,FALSE))"),"")</f>
        <v/>
      </c>
      <c r="AY795" s="43" t="str">
        <f ca="1">IFERROR(__xludf.DUMMYFUNCTION("IFERROR(VLOOKUP(E809&amp;F809,IMPORTRANGE(""https://docs.google.com/spreadsheets/d/1Uw7-A9f9R21vMXxHZFNpYNeKFtG8_yji4HS352LGlSQ/edit?pli=1#gid=0"",""1_ACUM!A4:S""),13,FALSE))"),"")</f>
        <v/>
      </c>
      <c r="AZ795" s="43" t="str">
        <f ca="1">IFERROR(__xludf.DUMMYFUNCTION("IFERROR(VLOOKUP(E809&amp;F809,IMPORTRANGE(""https://docs.google.com/spreadsheets/d/1Uw7-A9f9R21vMXxHZFNpYNeKFtG8_yji4HS352LGlSQ/edit?pli=1#gid=0"",""1_ACUM!A4:S""),14,FALSE))"),"")</f>
        <v/>
      </c>
      <c r="BA795" s="43" t="str">
        <f ca="1">IFERROR(__xludf.DUMMYFUNCTION("IFERROR(VLOOKUP(E809&amp;F809,IMPORTRANGE(""https://docs.google.com/spreadsheets/d/1Uw7-A9f9R21vMXxHZFNpYNeKFtG8_yji4HS352LGlSQ/edit?pli=1#gid=0"",""1_ACUM!A4:S""),15,FALSE))"),"")</f>
        <v/>
      </c>
      <c r="BB795" s="43" t="str">
        <f ca="1">IFERROR(__xludf.DUMMYFUNCTION("IFERROR(VLOOKUP(E809&amp;F809,IMPORTRANGE(""https://docs.google.com/spreadsheets/d/1Uw7-A9f9R21vMXxHZFNpYNeKFtG8_yji4HS352LGlSQ/edit?pli=1#gid=0"",""1_ACUM!A4:S""),16,FALSE))"),"")</f>
        <v/>
      </c>
      <c r="BC795" s="43" t="str">
        <f ca="1">IFERROR(__xludf.DUMMYFUNCTION("IFERROR(VLOOKUP(E809&amp;F809,IMPORTRANGE(""https://docs.google.com/spreadsheets/d/1Uw7-A9f9R21vMXxHZFNpYNeKFtG8_yji4HS352LGlSQ/edit?pli=1#gid=0"",""1_ACUM!A4:S""),17,FALSE))"),"")</f>
        <v/>
      </c>
      <c r="BD795" s="44" t="str">
        <f ca="1">IFERROR(__xludf.DUMMYFUNCTION("IFERROR(VLOOKUP(E809&amp;F809,IMPORTRANGE(""https://docs.google.com/spreadsheets/d/1Uw7-A9f9R21vMXxHZFNpYNeKFtG8_yji4HS352LGlSQ/edit?pli=1#gid=0"",""1_ACUM!A4:S""),18,FALSE))"),"")</f>
        <v/>
      </c>
      <c r="BE795" s="44" t="str">
        <f ca="1">IFERROR(__xludf.DUMMYFUNCTION("IFERROR(VLOOKUP(E809&amp;F809,IMPORTRANGE(""https://docs.google.com/spreadsheets/d/1Uw7-A9f9R21vMXxHZFNpYNeKFtG8_yji4HS352LGlSQ/edit?pli=1#gid=0"",""1_ACUM!A4:S""),19,FALSE))"),"")</f>
        <v/>
      </c>
      <c r="BF795" s="98" t="str">
        <f ca="1">IFERROR(__xludf.DUMMYFUNCTION("IFERROR(VLOOKUP(F809,IMPORTRANGE(""https://docs.google.com/spreadsheets/d/1Kvs4KS76FHFqLFIZfrDMff4kP08nblUkihrxltoGBjg/edit#gid=934712705"",""ESENCIAL!A6:BG""),5,FALSE))"),"")</f>
        <v/>
      </c>
      <c r="BG795" s="98" t="str">
        <f t="shared" si="25"/>
        <v/>
      </c>
      <c r="BH795" s="99" t="str">
        <f t="shared" si="26"/>
        <v/>
      </c>
      <c r="BI795" s="100" t="str">
        <f ca="1">IFERROR(__xludf.DUMMYFUNCTION("IFERROR(VLOOKUP(F809,IMPORTRANGE(""https://docs.google.com/spreadsheets/d/1Kvs4KS76FHFqLFIZfrDMff4kP08nblUkihrxltoGBjg/edit#gid=934712705"",""ESENCIAL!A6:BG""),2,FALSE))"),"")</f>
        <v/>
      </c>
      <c r="BJ795" s="19" t="str">
        <f t="shared" si="27"/>
        <v/>
      </c>
      <c r="BK795" s="100"/>
      <c r="BL795" s="100"/>
    </row>
    <row r="796" spans="1:64" ht="15">
      <c r="A796" s="5"/>
      <c r="B796" s="5"/>
      <c r="G796" s="5" t="str">
        <f ca="1">IFERROR(__xludf.DUMMYFUNCTION("IFERROR(VLOOKUP(F810,IMPORTRANGE(""https://docs.google.com/spreadsheets/d/1Kvs4KS76FHFqLFIZfrDMff4kP08nblUkihrxltoGBjg/edit#gid=934712705"",""ESENCIAL!A6:BG""),3,FALSE))"),"")</f>
        <v/>
      </c>
      <c r="H796" s="5" t="str">
        <f ca="1">IFERROR(__xludf.DUMMYFUNCTION("IFERROR(VLOOKUP(F810,IMPORTRANGE(""https://docs.google.com/spreadsheets/d/1Kvs4KS76FHFqLFIZfrDMff4kP08nblUkihrxltoGBjg/edit#gid=934712705"",""ESENCIAL!A6:BG""),8,FALSE))"),"")</f>
        <v/>
      </c>
      <c r="L796" s="287"/>
      <c r="U796" s="40"/>
      <c r="AU796" s="41" t="str">
        <f t="shared" si="24"/>
        <v/>
      </c>
      <c r="AV796" s="5" t="str">
        <f ca="1">IFERROR(__xludf.DUMMYFUNCTION("IFERROR(VLOOKUP(E810&amp;F810,IMPORTRANGE(""https://docs.google.com/spreadsheets/d/1Uw7-A9f9R21vMXxHZFNpYNeKFtG8_yji4HS352LGlSQ/edit?pli=1#gid=0"",""1_ACUM!A4:S""),11,FALSE))"),"")</f>
        <v/>
      </c>
      <c r="AW796" s="42" t="str">
        <f ca="1">IFERROR(__xludf.DUMMYFUNCTION("IFERROR(VLOOKUP(F810,IMPORTRANGE(""https://docs.google.com/spreadsheets/d/1Kvs4KS76FHFqLFIZfrDMff4kP08nblUkihrxltoGBjg/edit#gid=934712705"",""ESENCIAL!A6:BG""),15,FALSE))"),"")</f>
        <v/>
      </c>
      <c r="AX796" s="21" t="str">
        <f ca="1">IFERROR(__xludf.DUMMYFUNCTION("IFERROR(VLOOKUP(E810&amp;F810,IMPORTRANGE(""https://docs.google.com/spreadsheets/d/1Uw7-A9f9R21vMXxHZFNpYNeKFtG8_yji4HS352LGlSQ/edit?pli=1#gid=0"",""1_ACUM!A4:S""),12,FALSE))"),"")</f>
        <v/>
      </c>
      <c r="AY796" s="43" t="str">
        <f ca="1">IFERROR(__xludf.DUMMYFUNCTION("IFERROR(VLOOKUP(E810&amp;F810,IMPORTRANGE(""https://docs.google.com/spreadsheets/d/1Uw7-A9f9R21vMXxHZFNpYNeKFtG8_yji4HS352LGlSQ/edit?pli=1#gid=0"",""1_ACUM!A4:S""),13,FALSE))"),"")</f>
        <v/>
      </c>
      <c r="AZ796" s="43" t="str">
        <f ca="1">IFERROR(__xludf.DUMMYFUNCTION("IFERROR(VLOOKUP(E810&amp;F810,IMPORTRANGE(""https://docs.google.com/spreadsheets/d/1Uw7-A9f9R21vMXxHZFNpYNeKFtG8_yji4HS352LGlSQ/edit?pli=1#gid=0"",""1_ACUM!A4:S""),14,FALSE))"),"")</f>
        <v/>
      </c>
      <c r="BA796" s="43" t="str">
        <f ca="1">IFERROR(__xludf.DUMMYFUNCTION("IFERROR(VLOOKUP(E810&amp;F810,IMPORTRANGE(""https://docs.google.com/spreadsheets/d/1Uw7-A9f9R21vMXxHZFNpYNeKFtG8_yji4HS352LGlSQ/edit?pli=1#gid=0"",""1_ACUM!A4:S""),15,FALSE))"),"")</f>
        <v/>
      </c>
      <c r="BB796" s="43" t="str">
        <f ca="1">IFERROR(__xludf.DUMMYFUNCTION("IFERROR(VLOOKUP(E810&amp;F810,IMPORTRANGE(""https://docs.google.com/spreadsheets/d/1Uw7-A9f9R21vMXxHZFNpYNeKFtG8_yji4HS352LGlSQ/edit?pli=1#gid=0"",""1_ACUM!A4:S""),16,FALSE))"),"")</f>
        <v/>
      </c>
      <c r="BC796" s="43" t="str">
        <f ca="1">IFERROR(__xludf.DUMMYFUNCTION("IFERROR(VLOOKUP(E810&amp;F810,IMPORTRANGE(""https://docs.google.com/spreadsheets/d/1Uw7-A9f9R21vMXxHZFNpYNeKFtG8_yji4HS352LGlSQ/edit?pli=1#gid=0"",""1_ACUM!A4:S""),17,FALSE))"),"")</f>
        <v/>
      </c>
      <c r="BD796" s="44" t="str">
        <f ca="1">IFERROR(__xludf.DUMMYFUNCTION("IFERROR(VLOOKUP(E810&amp;F810,IMPORTRANGE(""https://docs.google.com/spreadsheets/d/1Uw7-A9f9R21vMXxHZFNpYNeKFtG8_yji4HS352LGlSQ/edit?pli=1#gid=0"",""1_ACUM!A4:S""),18,FALSE))"),"")</f>
        <v/>
      </c>
      <c r="BE796" s="44" t="str">
        <f ca="1">IFERROR(__xludf.DUMMYFUNCTION("IFERROR(VLOOKUP(E810&amp;F810,IMPORTRANGE(""https://docs.google.com/spreadsheets/d/1Uw7-A9f9R21vMXxHZFNpYNeKFtG8_yji4HS352LGlSQ/edit?pli=1#gid=0"",""1_ACUM!A4:S""),19,FALSE))"),"")</f>
        <v/>
      </c>
      <c r="BF796" s="98" t="str">
        <f ca="1">IFERROR(__xludf.DUMMYFUNCTION("IFERROR(VLOOKUP(F810,IMPORTRANGE(""https://docs.google.com/spreadsheets/d/1Kvs4KS76FHFqLFIZfrDMff4kP08nblUkihrxltoGBjg/edit#gid=934712705"",""ESENCIAL!A6:BG""),5,FALSE))"),"")</f>
        <v/>
      </c>
      <c r="BG796" s="98" t="str">
        <f t="shared" si="25"/>
        <v/>
      </c>
      <c r="BH796" s="99" t="str">
        <f t="shared" si="26"/>
        <v/>
      </c>
      <c r="BI796" s="100" t="str">
        <f ca="1">IFERROR(__xludf.DUMMYFUNCTION("IFERROR(VLOOKUP(F810,IMPORTRANGE(""https://docs.google.com/spreadsheets/d/1Kvs4KS76FHFqLFIZfrDMff4kP08nblUkihrxltoGBjg/edit#gid=934712705"",""ESENCIAL!A6:BG""),2,FALSE))"),"")</f>
        <v/>
      </c>
      <c r="BJ796" s="19" t="str">
        <f t="shared" si="27"/>
        <v/>
      </c>
      <c r="BK796" s="100"/>
      <c r="BL796" s="100"/>
    </row>
    <row r="797" spans="1:64" ht="15">
      <c r="A797" s="5"/>
      <c r="B797" s="5"/>
      <c r="G797" s="5" t="str">
        <f ca="1">IFERROR(__xludf.DUMMYFUNCTION("IFERROR(VLOOKUP(F811,IMPORTRANGE(""https://docs.google.com/spreadsheets/d/1Kvs4KS76FHFqLFIZfrDMff4kP08nblUkihrxltoGBjg/edit#gid=934712705"",""ESENCIAL!A6:BG""),3,FALSE))"),"")</f>
        <v/>
      </c>
      <c r="H797" s="5" t="str">
        <f ca="1">IFERROR(__xludf.DUMMYFUNCTION("IFERROR(VLOOKUP(F811,IMPORTRANGE(""https://docs.google.com/spreadsheets/d/1Kvs4KS76FHFqLFIZfrDMff4kP08nblUkihrxltoGBjg/edit#gid=934712705"",""ESENCIAL!A6:BG""),8,FALSE))"),"")</f>
        <v/>
      </c>
      <c r="L797" s="287"/>
      <c r="U797" s="40"/>
      <c r="AU797" s="41" t="str">
        <f t="shared" si="24"/>
        <v/>
      </c>
      <c r="AV797" s="5" t="str">
        <f ca="1">IFERROR(__xludf.DUMMYFUNCTION("IFERROR(VLOOKUP(E811&amp;F811,IMPORTRANGE(""https://docs.google.com/spreadsheets/d/1Uw7-A9f9R21vMXxHZFNpYNeKFtG8_yji4HS352LGlSQ/edit?pli=1#gid=0"",""1_ACUM!A4:S""),11,FALSE))"),"")</f>
        <v/>
      </c>
      <c r="AW797" s="42" t="str">
        <f ca="1">IFERROR(__xludf.DUMMYFUNCTION("IFERROR(VLOOKUP(F811,IMPORTRANGE(""https://docs.google.com/spreadsheets/d/1Kvs4KS76FHFqLFIZfrDMff4kP08nblUkihrxltoGBjg/edit#gid=934712705"",""ESENCIAL!A6:BG""),15,FALSE))"),"")</f>
        <v/>
      </c>
      <c r="AX797" s="21" t="str">
        <f ca="1">IFERROR(__xludf.DUMMYFUNCTION("IFERROR(VLOOKUP(E811&amp;F811,IMPORTRANGE(""https://docs.google.com/spreadsheets/d/1Uw7-A9f9R21vMXxHZFNpYNeKFtG8_yji4HS352LGlSQ/edit?pli=1#gid=0"",""1_ACUM!A4:S""),12,FALSE))"),"")</f>
        <v/>
      </c>
      <c r="AY797" s="43" t="str">
        <f ca="1">IFERROR(__xludf.DUMMYFUNCTION("IFERROR(VLOOKUP(E811&amp;F811,IMPORTRANGE(""https://docs.google.com/spreadsheets/d/1Uw7-A9f9R21vMXxHZFNpYNeKFtG8_yji4HS352LGlSQ/edit?pli=1#gid=0"",""1_ACUM!A4:S""),13,FALSE))"),"")</f>
        <v/>
      </c>
      <c r="AZ797" s="43" t="str">
        <f ca="1">IFERROR(__xludf.DUMMYFUNCTION("IFERROR(VLOOKUP(E811&amp;F811,IMPORTRANGE(""https://docs.google.com/spreadsheets/d/1Uw7-A9f9R21vMXxHZFNpYNeKFtG8_yji4HS352LGlSQ/edit?pli=1#gid=0"",""1_ACUM!A4:S""),14,FALSE))"),"")</f>
        <v/>
      </c>
      <c r="BA797" s="43" t="str">
        <f ca="1">IFERROR(__xludf.DUMMYFUNCTION("IFERROR(VLOOKUP(E811&amp;F811,IMPORTRANGE(""https://docs.google.com/spreadsheets/d/1Uw7-A9f9R21vMXxHZFNpYNeKFtG8_yji4HS352LGlSQ/edit?pli=1#gid=0"",""1_ACUM!A4:S""),15,FALSE))"),"")</f>
        <v/>
      </c>
      <c r="BB797" s="43" t="str">
        <f ca="1">IFERROR(__xludf.DUMMYFUNCTION("IFERROR(VLOOKUP(E811&amp;F811,IMPORTRANGE(""https://docs.google.com/spreadsheets/d/1Uw7-A9f9R21vMXxHZFNpYNeKFtG8_yji4HS352LGlSQ/edit?pli=1#gid=0"",""1_ACUM!A4:S""),16,FALSE))"),"")</f>
        <v/>
      </c>
      <c r="BC797" s="43" t="str">
        <f ca="1">IFERROR(__xludf.DUMMYFUNCTION("IFERROR(VLOOKUP(E811&amp;F811,IMPORTRANGE(""https://docs.google.com/spreadsheets/d/1Uw7-A9f9R21vMXxHZFNpYNeKFtG8_yji4HS352LGlSQ/edit?pli=1#gid=0"",""1_ACUM!A4:S""),17,FALSE))"),"")</f>
        <v/>
      </c>
      <c r="BD797" s="44" t="str">
        <f ca="1">IFERROR(__xludf.DUMMYFUNCTION("IFERROR(VLOOKUP(E811&amp;F811,IMPORTRANGE(""https://docs.google.com/spreadsheets/d/1Uw7-A9f9R21vMXxHZFNpYNeKFtG8_yji4HS352LGlSQ/edit?pli=1#gid=0"",""1_ACUM!A4:S""),18,FALSE))"),"")</f>
        <v/>
      </c>
      <c r="BE797" s="44" t="str">
        <f ca="1">IFERROR(__xludf.DUMMYFUNCTION("IFERROR(VLOOKUP(E811&amp;F811,IMPORTRANGE(""https://docs.google.com/spreadsheets/d/1Uw7-A9f9R21vMXxHZFNpYNeKFtG8_yji4HS352LGlSQ/edit?pli=1#gid=0"",""1_ACUM!A4:S""),19,FALSE))"),"")</f>
        <v/>
      </c>
      <c r="BF797" s="98" t="str">
        <f ca="1">IFERROR(__xludf.DUMMYFUNCTION("IFERROR(VLOOKUP(F811,IMPORTRANGE(""https://docs.google.com/spreadsheets/d/1Kvs4KS76FHFqLFIZfrDMff4kP08nblUkihrxltoGBjg/edit#gid=934712705"",""ESENCIAL!A6:BG""),5,FALSE))"),"")</f>
        <v/>
      </c>
      <c r="BG797" s="98" t="str">
        <f t="shared" si="25"/>
        <v/>
      </c>
      <c r="BH797" s="99" t="str">
        <f t="shared" si="26"/>
        <v/>
      </c>
      <c r="BI797" s="100" t="str">
        <f ca="1">IFERROR(__xludf.DUMMYFUNCTION("IFERROR(VLOOKUP(F811,IMPORTRANGE(""https://docs.google.com/spreadsheets/d/1Kvs4KS76FHFqLFIZfrDMff4kP08nblUkihrxltoGBjg/edit#gid=934712705"",""ESENCIAL!A6:BG""),2,FALSE))"),"")</f>
        <v/>
      </c>
      <c r="BJ797" s="19" t="str">
        <f t="shared" si="27"/>
        <v/>
      </c>
      <c r="BK797" s="100"/>
      <c r="BL797" s="100"/>
    </row>
    <row r="798" spans="1:64" ht="15">
      <c r="A798" s="5"/>
      <c r="B798" s="5"/>
      <c r="G798" s="5" t="str">
        <f ca="1">IFERROR(__xludf.DUMMYFUNCTION("IFERROR(VLOOKUP(F812,IMPORTRANGE(""https://docs.google.com/spreadsheets/d/1Kvs4KS76FHFqLFIZfrDMff4kP08nblUkihrxltoGBjg/edit#gid=934712705"",""ESENCIAL!A6:BG""),3,FALSE))"),"")</f>
        <v/>
      </c>
      <c r="H798" s="5" t="str">
        <f ca="1">IFERROR(__xludf.DUMMYFUNCTION("IFERROR(VLOOKUP(F812,IMPORTRANGE(""https://docs.google.com/spreadsheets/d/1Kvs4KS76FHFqLFIZfrDMff4kP08nblUkihrxltoGBjg/edit#gid=934712705"",""ESENCIAL!A6:BG""),8,FALSE))"),"")</f>
        <v/>
      </c>
      <c r="L798" s="287"/>
      <c r="U798" s="40"/>
      <c r="AU798" s="41" t="str">
        <f t="shared" si="24"/>
        <v/>
      </c>
      <c r="AV798" s="5" t="str">
        <f ca="1">IFERROR(__xludf.DUMMYFUNCTION("IFERROR(VLOOKUP(E812&amp;F812,IMPORTRANGE(""https://docs.google.com/spreadsheets/d/1Uw7-A9f9R21vMXxHZFNpYNeKFtG8_yji4HS352LGlSQ/edit?pli=1#gid=0"",""1_ACUM!A4:S""),11,FALSE))"),"")</f>
        <v/>
      </c>
      <c r="AW798" s="42" t="str">
        <f ca="1">IFERROR(__xludf.DUMMYFUNCTION("IFERROR(VLOOKUP(F812,IMPORTRANGE(""https://docs.google.com/spreadsheets/d/1Kvs4KS76FHFqLFIZfrDMff4kP08nblUkihrxltoGBjg/edit#gid=934712705"",""ESENCIAL!A6:BG""),15,FALSE))"),"")</f>
        <v/>
      </c>
      <c r="AX798" s="21" t="str">
        <f ca="1">IFERROR(__xludf.DUMMYFUNCTION("IFERROR(VLOOKUP(E812&amp;F812,IMPORTRANGE(""https://docs.google.com/spreadsheets/d/1Uw7-A9f9R21vMXxHZFNpYNeKFtG8_yji4HS352LGlSQ/edit?pli=1#gid=0"",""1_ACUM!A4:S""),12,FALSE))"),"")</f>
        <v/>
      </c>
      <c r="AY798" s="43" t="str">
        <f ca="1">IFERROR(__xludf.DUMMYFUNCTION("IFERROR(VLOOKUP(E812&amp;F812,IMPORTRANGE(""https://docs.google.com/spreadsheets/d/1Uw7-A9f9R21vMXxHZFNpYNeKFtG8_yji4HS352LGlSQ/edit?pli=1#gid=0"",""1_ACUM!A4:S""),13,FALSE))"),"")</f>
        <v/>
      </c>
      <c r="AZ798" s="43" t="str">
        <f ca="1">IFERROR(__xludf.DUMMYFUNCTION("IFERROR(VLOOKUP(E812&amp;F812,IMPORTRANGE(""https://docs.google.com/spreadsheets/d/1Uw7-A9f9R21vMXxHZFNpYNeKFtG8_yji4HS352LGlSQ/edit?pli=1#gid=0"",""1_ACUM!A4:S""),14,FALSE))"),"")</f>
        <v/>
      </c>
      <c r="BA798" s="43" t="str">
        <f ca="1">IFERROR(__xludf.DUMMYFUNCTION("IFERROR(VLOOKUP(E812&amp;F812,IMPORTRANGE(""https://docs.google.com/spreadsheets/d/1Uw7-A9f9R21vMXxHZFNpYNeKFtG8_yji4HS352LGlSQ/edit?pli=1#gid=0"",""1_ACUM!A4:S""),15,FALSE))"),"")</f>
        <v/>
      </c>
      <c r="BB798" s="43" t="str">
        <f ca="1">IFERROR(__xludf.DUMMYFUNCTION("IFERROR(VLOOKUP(E812&amp;F812,IMPORTRANGE(""https://docs.google.com/spreadsheets/d/1Uw7-A9f9R21vMXxHZFNpYNeKFtG8_yji4HS352LGlSQ/edit?pli=1#gid=0"",""1_ACUM!A4:S""),16,FALSE))"),"")</f>
        <v/>
      </c>
      <c r="BC798" s="43" t="str">
        <f ca="1">IFERROR(__xludf.DUMMYFUNCTION("IFERROR(VLOOKUP(E812&amp;F812,IMPORTRANGE(""https://docs.google.com/spreadsheets/d/1Uw7-A9f9R21vMXxHZFNpYNeKFtG8_yji4HS352LGlSQ/edit?pli=1#gid=0"",""1_ACUM!A4:S""),17,FALSE))"),"")</f>
        <v/>
      </c>
      <c r="BD798" s="44" t="str">
        <f ca="1">IFERROR(__xludf.DUMMYFUNCTION("IFERROR(VLOOKUP(E812&amp;F812,IMPORTRANGE(""https://docs.google.com/spreadsheets/d/1Uw7-A9f9R21vMXxHZFNpYNeKFtG8_yji4HS352LGlSQ/edit?pli=1#gid=0"",""1_ACUM!A4:S""),18,FALSE))"),"")</f>
        <v/>
      </c>
      <c r="BE798" s="44" t="str">
        <f ca="1">IFERROR(__xludf.DUMMYFUNCTION("IFERROR(VLOOKUP(E812&amp;F812,IMPORTRANGE(""https://docs.google.com/spreadsheets/d/1Uw7-A9f9R21vMXxHZFNpYNeKFtG8_yji4HS352LGlSQ/edit?pli=1#gid=0"",""1_ACUM!A4:S""),19,FALSE))"),"")</f>
        <v/>
      </c>
      <c r="BF798" s="98" t="str">
        <f ca="1">IFERROR(__xludf.DUMMYFUNCTION("IFERROR(VLOOKUP(F812,IMPORTRANGE(""https://docs.google.com/spreadsheets/d/1Kvs4KS76FHFqLFIZfrDMff4kP08nblUkihrxltoGBjg/edit#gid=934712705"",""ESENCIAL!A6:BG""),5,FALSE))"),"")</f>
        <v/>
      </c>
      <c r="BG798" s="98" t="str">
        <f t="shared" si="25"/>
        <v/>
      </c>
      <c r="BH798" s="99" t="str">
        <f t="shared" si="26"/>
        <v/>
      </c>
      <c r="BI798" s="100" t="str">
        <f ca="1">IFERROR(__xludf.DUMMYFUNCTION("IFERROR(VLOOKUP(F812,IMPORTRANGE(""https://docs.google.com/spreadsheets/d/1Kvs4KS76FHFqLFIZfrDMff4kP08nblUkihrxltoGBjg/edit#gid=934712705"",""ESENCIAL!A6:BG""),2,FALSE))"),"")</f>
        <v/>
      </c>
      <c r="BJ798" s="19" t="str">
        <f t="shared" si="27"/>
        <v/>
      </c>
      <c r="BK798" s="100"/>
      <c r="BL798" s="100"/>
    </row>
    <row r="799" spans="1:64" ht="15">
      <c r="A799" s="5"/>
      <c r="B799" s="5"/>
      <c r="G799" s="5" t="str">
        <f ca="1">IFERROR(__xludf.DUMMYFUNCTION("IFERROR(VLOOKUP(F813,IMPORTRANGE(""https://docs.google.com/spreadsheets/d/1Kvs4KS76FHFqLFIZfrDMff4kP08nblUkihrxltoGBjg/edit#gid=934712705"",""ESENCIAL!A6:BG""),3,FALSE))"),"")</f>
        <v/>
      </c>
      <c r="H799" s="5" t="str">
        <f ca="1">IFERROR(__xludf.DUMMYFUNCTION("IFERROR(VLOOKUP(F813,IMPORTRANGE(""https://docs.google.com/spreadsheets/d/1Kvs4KS76FHFqLFIZfrDMff4kP08nblUkihrxltoGBjg/edit#gid=934712705"",""ESENCIAL!A6:BG""),8,FALSE))"),"")</f>
        <v/>
      </c>
      <c r="L799" s="287"/>
      <c r="U799" s="40"/>
      <c r="AU799" s="41" t="str">
        <f t="shared" si="24"/>
        <v/>
      </c>
      <c r="AV799" s="5" t="str">
        <f ca="1">IFERROR(__xludf.DUMMYFUNCTION("IFERROR(VLOOKUP(E813&amp;F813,IMPORTRANGE(""https://docs.google.com/spreadsheets/d/1Uw7-A9f9R21vMXxHZFNpYNeKFtG8_yji4HS352LGlSQ/edit?pli=1#gid=0"",""1_ACUM!A4:S""),11,FALSE))"),"")</f>
        <v/>
      </c>
      <c r="AW799" s="42" t="str">
        <f ca="1">IFERROR(__xludf.DUMMYFUNCTION("IFERROR(VLOOKUP(F813,IMPORTRANGE(""https://docs.google.com/spreadsheets/d/1Kvs4KS76FHFqLFIZfrDMff4kP08nblUkihrxltoGBjg/edit#gid=934712705"",""ESENCIAL!A6:BG""),15,FALSE))"),"")</f>
        <v/>
      </c>
      <c r="AX799" s="21" t="str">
        <f ca="1">IFERROR(__xludf.DUMMYFUNCTION("IFERROR(VLOOKUP(E813&amp;F813,IMPORTRANGE(""https://docs.google.com/spreadsheets/d/1Uw7-A9f9R21vMXxHZFNpYNeKFtG8_yji4HS352LGlSQ/edit?pli=1#gid=0"",""1_ACUM!A4:S""),12,FALSE))"),"")</f>
        <v/>
      </c>
      <c r="AY799" s="43" t="str">
        <f ca="1">IFERROR(__xludf.DUMMYFUNCTION("IFERROR(VLOOKUP(E813&amp;F813,IMPORTRANGE(""https://docs.google.com/spreadsheets/d/1Uw7-A9f9R21vMXxHZFNpYNeKFtG8_yji4HS352LGlSQ/edit?pli=1#gid=0"",""1_ACUM!A4:S""),13,FALSE))"),"")</f>
        <v/>
      </c>
      <c r="AZ799" s="43" t="str">
        <f ca="1">IFERROR(__xludf.DUMMYFUNCTION("IFERROR(VLOOKUP(E813&amp;F813,IMPORTRANGE(""https://docs.google.com/spreadsheets/d/1Uw7-A9f9R21vMXxHZFNpYNeKFtG8_yji4HS352LGlSQ/edit?pli=1#gid=0"",""1_ACUM!A4:S""),14,FALSE))"),"")</f>
        <v/>
      </c>
      <c r="BA799" s="43" t="str">
        <f ca="1">IFERROR(__xludf.DUMMYFUNCTION("IFERROR(VLOOKUP(E813&amp;F813,IMPORTRANGE(""https://docs.google.com/spreadsheets/d/1Uw7-A9f9R21vMXxHZFNpYNeKFtG8_yji4HS352LGlSQ/edit?pli=1#gid=0"",""1_ACUM!A4:S""),15,FALSE))"),"")</f>
        <v/>
      </c>
      <c r="BB799" s="43" t="str">
        <f ca="1">IFERROR(__xludf.DUMMYFUNCTION("IFERROR(VLOOKUP(E813&amp;F813,IMPORTRANGE(""https://docs.google.com/spreadsheets/d/1Uw7-A9f9R21vMXxHZFNpYNeKFtG8_yji4HS352LGlSQ/edit?pli=1#gid=0"",""1_ACUM!A4:S""),16,FALSE))"),"")</f>
        <v/>
      </c>
      <c r="BC799" s="43" t="str">
        <f ca="1">IFERROR(__xludf.DUMMYFUNCTION("IFERROR(VLOOKUP(E813&amp;F813,IMPORTRANGE(""https://docs.google.com/spreadsheets/d/1Uw7-A9f9R21vMXxHZFNpYNeKFtG8_yji4HS352LGlSQ/edit?pli=1#gid=0"",""1_ACUM!A4:S""),17,FALSE))"),"")</f>
        <v/>
      </c>
      <c r="BD799" s="44" t="str">
        <f ca="1">IFERROR(__xludf.DUMMYFUNCTION("IFERROR(VLOOKUP(E813&amp;F813,IMPORTRANGE(""https://docs.google.com/spreadsheets/d/1Uw7-A9f9R21vMXxHZFNpYNeKFtG8_yji4HS352LGlSQ/edit?pli=1#gid=0"",""1_ACUM!A4:S""),18,FALSE))"),"")</f>
        <v/>
      </c>
      <c r="BE799" s="44" t="str">
        <f ca="1">IFERROR(__xludf.DUMMYFUNCTION("IFERROR(VLOOKUP(E813&amp;F813,IMPORTRANGE(""https://docs.google.com/spreadsheets/d/1Uw7-A9f9R21vMXxHZFNpYNeKFtG8_yji4HS352LGlSQ/edit?pli=1#gid=0"",""1_ACUM!A4:S""),19,FALSE))"),"")</f>
        <v/>
      </c>
      <c r="BF799" s="98" t="str">
        <f ca="1">IFERROR(__xludf.DUMMYFUNCTION("IFERROR(VLOOKUP(F813,IMPORTRANGE(""https://docs.google.com/spreadsheets/d/1Kvs4KS76FHFqLFIZfrDMff4kP08nblUkihrxltoGBjg/edit#gid=934712705"",""ESENCIAL!A6:BG""),5,FALSE))"),"")</f>
        <v/>
      </c>
      <c r="BG799" s="98" t="str">
        <f t="shared" si="25"/>
        <v/>
      </c>
      <c r="BH799" s="99" t="str">
        <f t="shared" si="26"/>
        <v/>
      </c>
      <c r="BI799" s="100" t="str">
        <f ca="1">IFERROR(__xludf.DUMMYFUNCTION("IFERROR(VLOOKUP(F813,IMPORTRANGE(""https://docs.google.com/spreadsheets/d/1Kvs4KS76FHFqLFIZfrDMff4kP08nblUkihrxltoGBjg/edit#gid=934712705"",""ESENCIAL!A6:BG""),2,FALSE))"),"")</f>
        <v/>
      </c>
      <c r="BJ799" s="19" t="str">
        <f t="shared" si="27"/>
        <v/>
      </c>
      <c r="BK799" s="100"/>
      <c r="BL799" s="100"/>
    </row>
    <row r="800" spans="1:64" ht="15">
      <c r="A800" s="5"/>
      <c r="B800" s="5"/>
      <c r="G800" s="5" t="str">
        <f ca="1">IFERROR(__xludf.DUMMYFUNCTION("IFERROR(VLOOKUP(F814,IMPORTRANGE(""https://docs.google.com/spreadsheets/d/1Kvs4KS76FHFqLFIZfrDMff4kP08nblUkihrxltoGBjg/edit#gid=934712705"",""ESENCIAL!A6:BG""),3,FALSE))"),"")</f>
        <v/>
      </c>
      <c r="H800" s="5" t="str">
        <f ca="1">IFERROR(__xludf.DUMMYFUNCTION("IFERROR(VLOOKUP(F814,IMPORTRANGE(""https://docs.google.com/spreadsheets/d/1Kvs4KS76FHFqLFIZfrDMff4kP08nblUkihrxltoGBjg/edit#gid=934712705"",""ESENCIAL!A6:BG""),8,FALSE))"),"")</f>
        <v/>
      </c>
      <c r="L800" s="287"/>
      <c r="U800" s="40"/>
      <c r="AU800" s="41" t="str">
        <f t="shared" si="24"/>
        <v/>
      </c>
      <c r="AV800" s="5" t="str">
        <f ca="1">IFERROR(__xludf.DUMMYFUNCTION("IFERROR(VLOOKUP(E814&amp;F814,IMPORTRANGE(""https://docs.google.com/spreadsheets/d/1Uw7-A9f9R21vMXxHZFNpYNeKFtG8_yji4HS352LGlSQ/edit?pli=1#gid=0"",""1_ACUM!A4:S""),11,FALSE))"),"")</f>
        <v/>
      </c>
      <c r="AW800" s="42" t="str">
        <f ca="1">IFERROR(__xludf.DUMMYFUNCTION("IFERROR(VLOOKUP(F814,IMPORTRANGE(""https://docs.google.com/spreadsheets/d/1Kvs4KS76FHFqLFIZfrDMff4kP08nblUkihrxltoGBjg/edit#gid=934712705"",""ESENCIAL!A6:BG""),15,FALSE))"),"")</f>
        <v/>
      </c>
      <c r="AX800" s="21" t="str">
        <f ca="1">IFERROR(__xludf.DUMMYFUNCTION("IFERROR(VLOOKUP(E814&amp;F814,IMPORTRANGE(""https://docs.google.com/spreadsheets/d/1Uw7-A9f9R21vMXxHZFNpYNeKFtG8_yji4HS352LGlSQ/edit?pli=1#gid=0"",""1_ACUM!A4:S""),12,FALSE))"),"")</f>
        <v/>
      </c>
      <c r="AY800" s="43" t="str">
        <f ca="1">IFERROR(__xludf.DUMMYFUNCTION("IFERROR(VLOOKUP(E814&amp;F814,IMPORTRANGE(""https://docs.google.com/spreadsheets/d/1Uw7-A9f9R21vMXxHZFNpYNeKFtG8_yji4HS352LGlSQ/edit?pli=1#gid=0"",""1_ACUM!A4:S""),13,FALSE))"),"")</f>
        <v/>
      </c>
      <c r="AZ800" s="43" t="str">
        <f ca="1">IFERROR(__xludf.DUMMYFUNCTION("IFERROR(VLOOKUP(E814&amp;F814,IMPORTRANGE(""https://docs.google.com/spreadsheets/d/1Uw7-A9f9R21vMXxHZFNpYNeKFtG8_yji4HS352LGlSQ/edit?pli=1#gid=0"",""1_ACUM!A4:S""),14,FALSE))"),"")</f>
        <v/>
      </c>
      <c r="BA800" s="43" t="str">
        <f ca="1">IFERROR(__xludf.DUMMYFUNCTION("IFERROR(VLOOKUP(E814&amp;F814,IMPORTRANGE(""https://docs.google.com/spreadsheets/d/1Uw7-A9f9R21vMXxHZFNpYNeKFtG8_yji4HS352LGlSQ/edit?pli=1#gid=0"",""1_ACUM!A4:S""),15,FALSE))"),"")</f>
        <v/>
      </c>
      <c r="BB800" s="43" t="str">
        <f ca="1">IFERROR(__xludf.DUMMYFUNCTION("IFERROR(VLOOKUP(E814&amp;F814,IMPORTRANGE(""https://docs.google.com/spreadsheets/d/1Uw7-A9f9R21vMXxHZFNpYNeKFtG8_yji4HS352LGlSQ/edit?pli=1#gid=0"",""1_ACUM!A4:S""),16,FALSE))"),"")</f>
        <v/>
      </c>
      <c r="BC800" s="43" t="str">
        <f ca="1">IFERROR(__xludf.DUMMYFUNCTION("IFERROR(VLOOKUP(E814&amp;F814,IMPORTRANGE(""https://docs.google.com/spreadsheets/d/1Uw7-A9f9R21vMXxHZFNpYNeKFtG8_yji4HS352LGlSQ/edit?pli=1#gid=0"",""1_ACUM!A4:S""),17,FALSE))"),"")</f>
        <v/>
      </c>
      <c r="BD800" s="44" t="str">
        <f ca="1">IFERROR(__xludf.DUMMYFUNCTION("IFERROR(VLOOKUP(E814&amp;F814,IMPORTRANGE(""https://docs.google.com/spreadsheets/d/1Uw7-A9f9R21vMXxHZFNpYNeKFtG8_yji4HS352LGlSQ/edit?pli=1#gid=0"",""1_ACUM!A4:S""),18,FALSE))"),"")</f>
        <v/>
      </c>
      <c r="BE800" s="44" t="str">
        <f ca="1">IFERROR(__xludf.DUMMYFUNCTION("IFERROR(VLOOKUP(E814&amp;F814,IMPORTRANGE(""https://docs.google.com/spreadsheets/d/1Uw7-A9f9R21vMXxHZFNpYNeKFtG8_yji4HS352LGlSQ/edit?pli=1#gid=0"",""1_ACUM!A4:S""),19,FALSE))"),"")</f>
        <v/>
      </c>
      <c r="BF800" s="98" t="str">
        <f ca="1">IFERROR(__xludf.DUMMYFUNCTION("IFERROR(VLOOKUP(F814,IMPORTRANGE(""https://docs.google.com/spreadsheets/d/1Kvs4KS76FHFqLFIZfrDMff4kP08nblUkihrxltoGBjg/edit#gid=934712705"",""ESENCIAL!A6:BG""),5,FALSE))"),"")</f>
        <v/>
      </c>
      <c r="BG800" s="98" t="str">
        <f t="shared" si="25"/>
        <v/>
      </c>
      <c r="BH800" s="99" t="str">
        <f t="shared" si="26"/>
        <v/>
      </c>
      <c r="BI800" s="100" t="str">
        <f ca="1">IFERROR(__xludf.DUMMYFUNCTION("IFERROR(VLOOKUP(F814,IMPORTRANGE(""https://docs.google.com/spreadsheets/d/1Kvs4KS76FHFqLFIZfrDMff4kP08nblUkihrxltoGBjg/edit#gid=934712705"",""ESENCIAL!A6:BG""),2,FALSE))"),"")</f>
        <v/>
      </c>
      <c r="BJ800" s="19" t="str">
        <f t="shared" si="27"/>
        <v/>
      </c>
      <c r="BK800" s="100"/>
      <c r="BL800" s="100"/>
    </row>
    <row r="801" spans="1:64" ht="15">
      <c r="A801" s="5"/>
      <c r="B801" s="5"/>
      <c r="G801" s="5" t="str">
        <f ca="1">IFERROR(__xludf.DUMMYFUNCTION("IFERROR(VLOOKUP(F815,IMPORTRANGE(""https://docs.google.com/spreadsheets/d/1Kvs4KS76FHFqLFIZfrDMff4kP08nblUkihrxltoGBjg/edit#gid=934712705"",""ESENCIAL!A6:BG""),3,FALSE))"),"")</f>
        <v/>
      </c>
      <c r="H801" s="5" t="str">
        <f ca="1">IFERROR(__xludf.DUMMYFUNCTION("IFERROR(VLOOKUP(F815,IMPORTRANGE(""https://docs.google.com/spreadsheets/d/1Kvs4KS76FHFqLFIZfrDMff4kP08nblUkihrxltoGBjg/edit#gid=934712705"",""ESENCIAL!A6:BG""),8,FALSE))"),"")</f>
        <v/>
      </c>
      <c r="L801" s="287"/>
      <c r="U801" s="40"/>
      <c r="AU801" s="41" t="str">
        <f t="shared" si="24"/>
        <v/>
      </c>
      <c r="AV801" s="5" t="str">
        <f ca="1">IFERROR(__xludf.DUMMYFUNCTION("IFERROR(VLOOKUP(E815&amp;F815,IMPORTRANGE(""https://docs.google.com/spreadsheets/d/1Uw7-A9f9R21vMXxHZFNpYNeKFtG8_yji4HS352LGlSQ/edit?pli=1#gid=0"",""1_ACUM!A4:S""),11,FALSE))"),"")</f>
        <v/>
      </c>
      <c r="AW801" s="42" t="str">
        <f ca="1">IFERROR(__xludf.DUMMYFUNCTION("IFERROR(VLOOKUP(F815,IMPORTRANGE(""https://docs.google.com/spreadsheets/d/1Kvs4KS76FHFqLFIZfrDMff4kP08nblUkihrxltoGBjg/edit#gid=934712705"",""ESENCIAL!A6:BG""),15,FALSE))"),"")</f>
        <v/>
      </c>
      <c r="AX801" s="21" t="str">
        <f ca="1">IFERROR(__xludf.DUMMYFUNCTION("IFERROR(VLOOKUP(E815&amp;F815,IMPORTRANGE(""https://docs.google.com/spreadsheets/d/1Uw7-A9f9R21vMXxHZFNpYNeKFtG8_yji4HS352LGlSQ/edit?pli=1#gid=0"",""1_ACUM!A4:S""),12,FALSE))"),"")</f>
        <v/>
      </c>
      <c r="AY801" s="43" t="str">
        <f ca="1">IFERROR(__xludf.DUMMYFUNCTION("IFERROR(VLOOKUP(E815&amp;F815,IMPORTRANGE(""https://docs.google.com/spreadsheets/d/1Uw7-A9f9R21vMXxHZFNpYNeKFtG8_yji4HS352LGlSQ/edit?pli=1#gid=0"",""1_ACUM!A4:S""),13,FALSE))"),"")</f>
        <v/>
      </c>
      <c r="AZ801" s="43" t="str">
        <f ca="1">IFERROR(__xludf.DUMMYFUNCTION("IFERROR(VLOOKUP(E815&amp;F815,IMPORTRANGE(""https://docs.google.com/spreadsheets/d/1Uw7-A9f9R21vMXxHZFNpYNeKFtG8_yji4HS352LGlSQ/edit?pli=1#gid=0"",""1_ACUM!A4:S""),14,FALSE))"),"")</f>
        <v/>
      </c>
      <c r="BA801" s="43" t="str">
        <f ca="1">IFERROR(__xludf.DUMMYFUNCTION("IFERROR(VLOOKUP(E815&amp;F815,IMPORTRANGE(""https://docs.google.com/spreadsheets/d/1Uw7-A9f9R21vMXxHZFNpYNeKFtG8_yji4HS352LGlSQ/edit?pli=1#gid=0"",""1_ACUM!A4:S""),15,FALSE))"),"")</f>
        <v/>
      </c>
      <c r="BB801" s="43" t="str">
        <f ca="1">IFERROR(__xludf.DUMMYFUNCTION("IFERROR(VLOOKUP(E815&amp;F815,IMPORTRANGE(""https://docs.google.com/spreadsheets/d/1Uw7-A9f9R21vMXxHZFNpYNeKFtG8_yji4HS352LGlSQ/edit?pli=1#gid=0"",""1_ACUM!A4:S""),16,FALSE))"),"")</f>
        <v/>
      </c>
      <c r="BC801" s="43" t="str">
        <f ca="1">IFERROR(__xludf.DUMMYFUNCTION("IFERROR(VLOOKUP(E815&amp;F815,IMPORTRANGE(""https://docs.google.com/spreadsheets/d/1Uw7-A9f9R21vMXxHZFNpYNeKFtG8_yji4HS352LGlSQ/edit?pli=1#gid=0"",""1_ACUM!A4:S""),17,FALSE))"),"")</f>
        <v/>
      </c>
      <c r="BD801" s="44" t="str">
        <f ca="1">IFERROR(__xludf.DUMMYFUNCTION("IFERROR(VLOOKUP(E815&amp;F815,IMPORTRANGE(""https://docs.google.com/spreadsheets/d/1Uw7-A9f9R21vMXxHZFNpYNeKFtG8_yji4HS352LGlSQ/edit?pli=1#gid=0"",""1_ACUM!A4:S""),18,FALSE))"),"")</f>
        <v/>
      </c>
      <c r="BE801" s="44" t="str">
        <f ca="1">IFERROR(__xludf.DUMMYFUNCTION("IFERROR(VLOOKUP(E815&amp;F815,IMPORTRANGE(""https://docs.google.com/spreadsheets/d/1Uw7-A9f9R21vMXxHZFNpYNeKFtG8_yji4HS352LGlSQ/edit?pli=1#gid=0"",""1_ACUM!A4:S""),19,FALSE))"),"")</f>
        <v/>
      </c>
      <c r="BF801" s="98" t="str">
        <f ca="1">IFERROR(__xludf.DUMMYFUNCTION("IFERROR(VLOOKUP(F815,IMPORTRANGE(""https://docs.google.com/spreadsheets/d/1Kvs4KS76FHFqLFIZfrDMff4kP08nblUkihrxltoGBjg/edit#gid=934712705"",""ESENCIAL!A6:BG""),5,FALSE))"),"")</f>
        <v/>
      </c>
      <c r="BG801" s="98" t="str">
        <f t="shared" si="25"/>
        <v/>
      </c>
      <c r="BH801" s="99" t="str">
        <f t="shared" si="26"/>
        <v/>
      </c>
      <c r="BI801" s="100" t="str">
        <f ca="1">IFERROR(__xludf.DUMMYFUNCTION("IFERROR(VLOOKUP(F815,IMPORTRANGE(""https://docs.google.com/spreadsheets/d/1Kvs4KS76FHFqLFIZfrDMff4kP08nblUkihrxltoGBjg/edit#gid=934712705"",""ESENCIAL!A6:BG""),2,FALSE))"),"")</f>
        <v/>
      </c>
      <c r="BJ801" s="19" t="str">
        <f t="shared" si="27"/>
        <v/>
      </c>
      <c r="BK801" s="100"/>
      <c r="BL801" s="100"/>
    </row>
    <row r="802" spans="1:64" ht="15">
      <c r="A802" s="5"/>
      <c r="B802" s="5"/>
      <c r="G802" s="5" t="str">
        <f ca="1">IFERROR(__xludf.DUMMYFUNCTION("IFERROR(VLOOKUP(F816,IMPORTRANGE(""https://docs.google.com/spreadsheets/d/1Kvs4KS76FHFqLFIZfrDMff4kP08nblUkihrxltoGBjg/edit#gid=934712705"",""ESENCIAL!A6:BG""),3,FALSE))"),"")</f>
        <v/>
      </c>
      <c r="H802" s="5" t="str">
        <f ca="1">IFERROR(__xludf.DUMMYFUNCTION("IFERROR(VLOOKUP(F816,IMPORTRANGE(""https://docs.google.com/spreadsheets/d/1Kvs4KS76FHFqLFIZfrDMff4kP08nblUkihrxltoGBjg/edit#gid=934712705"",""ESENCIAL!A6:BG""),8,FALSE))"),"")</f>
        <v/>
      </c>
      <c r="L802" s="287"/>
      <c r="U802" s="40"/>
      <c r="AU802" s="41" t="str">
        <f t="shared" si="24"/>
        <v/>
      </c>
      <c r="AV802" s="5" t="str">
        <f ca="1">IFERROR(__xludf.DUMMYFUNCTION("IFERROR(VLOOKUP(E816&amp;F816,IMPORTRANGE(""https://docs.google.com/spreadsheets/d/1Uw7-A9f9R21vMXxHZFNpYNeKFtG8_yji4HS352LGlSQ/edit?pli=1#gid=0"",""1_ACUM!A4:S""),11,FALSE))"),"")</f>
        <v/>
      </c>
      <c r="AW802" s="42" t="str">
        <f ca="1">IFERROR(__xludf.DUMMYFUNCTION("IFERROR(VLOOKUP(F816,IMPORTRANGE(""https://docs.google.com/spreadsheets/d/1Kvs4KS76FHFqLFIZfrDMff4kP08nblUkihrxltoGBjg/edit#gid=934712705"",""ESENCIAL!A6:BG""),15,FALSE))"),"")</f>
        <v/>
      </c>
      <c r="AX802" s="21" t="str">
        <f ca="1">IFERROR(__xludf.DUMMYFUNCTION("IFERROR(VLOOKUP(E816&amp;F816,IMPORTRANGE(""https://docs.google.com/spreadsheets/d/1Uw7-A9f9R21vMXxHZFNpYNeKFtG8_yji4HS352LGlSQ/edit?pli=1#gid=0"",""1_ACUM!A4:S""),12,FALSE))"),"")</f>
        <v/>
      </c>
      <c r="AY802" s="43" t="str">
        <f ca="1">IFERROR(__xludf.DUMMYFUNCTION("IFERROR(VLOOKUP(E816&amp;F816,IMPORTRANGE(""https://docs.google.com/spreadsheets/d/1Uw7-A9f9R21vMXxHZFNpYNeKFtG8_yji4HS352LGlSQ/edit?pli=1#gid=0"",""1_ACUM!A4:S""),13,FALSE))"),"")</f>
        <v/>
      </c>
      <c r="AZ802" s="43" t="str">
        <f ca="1">IFERROR(__xludf.DUMMYFUNCTION("IFERROR(VLOOKUP(E816&amp;F816,IMPORTRANGE(""https://docs.google.com/spreadsheets/d/1Uw7-A9f9R21vMXxHZFNpYNeKFtG8_yji4HS352LGlSQ/edit?pli=1#gid=0"",""1_ACUM!A4:S""),14,FALSE))"),"")</f>
        <v/>
      </c>
      <c r="BA802" s="43" t="str">
        <f ca="1">IFERROR(__xludf.DUMMYFUNCTION("IFERROR(VLOOKUP(E816&amp;F816,IMPORTRANGE(""https://docs.google.com/spreadsheets/d/1Uw7-A9f9R21vMXxHZFNpYNeKFtG8_yji4HS352LGlSQ/edit?pli=1#gid=0"",""1_ACUM!A4:S""),15,FALSE))"),"")</f>
        <v/>
      </c>
      <c r="BB802" s="43" t="str">
        <f ca="1">IFERROR(__xludf.DUMMYFUNCTION("IFERROR(VLOOKUP(E816&amp;F816,IMPORTRANGE(""https://docs.google.com/spreadsheets/d/1Uw7-A9f9R21vMXxHZFNpYNeKFtG8_yji4HS352LGlSQ/edit?pli=1#gid=0"",""1_ACUM!A4:S""),16,FALSE))"),"")</f>
        <v/>
      </c>
      <c r="BC802" s="43" t="str">
        <f ca="1">IFERROR(__xludf.DUMMYFUNCTION("IFERROR(VLOOKUP(E816&amp;F816,IMPORTRANGE(""https://docs.google.com/spreadsheets/d/1Uw7-A9f9R21vMXxHZFNpYNeKFtG8_yji4HS352LGlSQ/edit?pli=1#gid=0"",""1_ACUM!A4:S""),17,FALSE))"),"")</f>
        <v/>
      </c>
      <c r="BD802" s="44" t="str">
        <f ca="1">IFERROR(__xludf.DUMMYFUNCTION("IFERROR(VLOOKUP(E816&amp;F816,IMPORTRANGE(""https://docs.google.com/spreadsheets/d/1Uw7-A9f9R21vMXxHZFNpYNeKFtG8_yji4HS352LGlSQ/edit?pli=1#gid=0"",""1_ACUM!A4:S""),18,FALSE))"),"")</f>
        <v/>
      </c>
      <c r="BE802" s="44" t="str">
        <f ca="1">IFERROR(__xludf.DUMMYFUNCTION("IFERROR(VLOOKUP(E816&amp;F816,IMPORTRANGE(""https://docs.google.com/spreadsheets/d/1Uw7-A9f9R21vMXxHZFNpYNeKFtG8_yji4HS352LGlSQ/edit?pli=1#gid=0"",""1_ACUM!A4:S""),19,FALSE))"),"")</f>
        <v/>
      </c>
      <c r="BF802" s="98" t="str">
        <f ca="1">IFERROR(__xludf.DUMMYFUNCTION("IFERROR(VLOOKUP(F816,IMPORTRANGE(""https://docs.google.com/spreadsheets/d/1Kvs4KS76FHFqLFIZfrDMff4kP08nblUkihrxltoGBjg/edit#gid=934712705"",""ESENCIAL!A6:BG""),5,FALSE))"),"")</f>
        <v/>
      </c>
      <c r="BG802" s="98" t="str">
        <f t="shared" si="25"/>
        <v/>
      </c>
      <c r="BH802" s="99" t="str">
        <f t="shared" si="26"/>
        <v/>
      </c>
      <c r="BI802" s="100" t="str">
        <f ca="1">IFERROR(__xludf.DUMMYFUNCTION("IFERROR(VLOOKUP(F816,IMPORTRANGE(""https://docs.google.com/spreadsheets/d/1Kvs4KS76FHFqLFIZfrDMff4kP08nblUkihrxltoGBjg/edit#gid=934712705"",""ESENCIAL!A6:BG""),2,FALSE))"),"")</f>
        <v/>
      </c>
      <c r="BJ802" s="19" t="str">
        <f t="shared" si="27"/>
        <v/>
      </c>
      <c r="BK802" s="100"/>
      <c r="BL802" s="100"/>
    </row>
    <row r="803" spans="1:64" ht="15">
      <c r="A803" s="5"/>
      <c r="B803" s="5"/>
      <c r="G803" s="5" t="str">
        <f ca="1">IFERROR(__xludf.DUMMYFUNCTION("IFERROR(VLOOKUP(F817,IMPORTRANGE(""https://docs.google.com/spreadsheets/d/1Kvs4KS76FHFqLFIZfrDMff4kP08nblUkihrxltoGBjg/edit#gid=934712705"",""ESENCIAL!A6:BG""),3,FALSE))"),"")</f>
        <v/>
      </c>
      <c r="H803" s="5" t="str">
        <f ca="1">IFERROR(__xludf.DUMMYFUNCTION("IFERROR(VLOOKUP(F817,IMPORTRANGE(""https://docs.google.com/spreadsheets/d/1Kvs4KS76FHFqLFIZfrDMff4kP08nblUkihrxltoGBjg/edit#gid=934712705"",""ESENCIAL!A6:BG""),8,FALSE))"),"")</f>
        <v/>
      </c>
      <c r="L803" s="287"/>
      <c r="U803" s="40"/>
      <c r="AU803" s="41" t="str">
        <f t="shared" si="24"/>
        <v/>
      </c>
      <c r="AV803" s="5" t="str">
        <f ca="1">IFERROR(__xludf.DUMMYFUNCTION("IFERROR(VLOOKUP(E817&amp;F817,IMPORTRANGE(""https://docs.google.com/spreadsheets/d/1Uw7-A9f9R21vMXxHZFNpYNeKFtG8_yji4HS352LGlSQ/edit?pli=1#gid=0"",""1_ACUM!A4:S""),11,FALSE))"),"")</f>
        <v/>
      </c>
      <c r="AW803" s="42" t="str">
        <f ca="1">IFERROR(__xludf.DUMMYFUNCTION("IFERROR(VLOOKUP(F817,IMPORTRANGE(""https://docs.google.com/spreadsheets/d/1Kvs4KS76FHFqLFIZfrDMff4kP08nblUkihrxltoGBjg/edit#gid=934712705"",""ESENCIAL!A6:BG""),15,FALSE))"),"")</f>
        <v/>
      </c>
      <c r="AX803" s="21" t="str">
        <f ca="1">IFERROR(__xludf.DUMMYFUNCTION("IFERROR(VLOOKUP(E817&amp;F817,IMPORTRANGE(""https://docs.google.com/spreadsheets/d/1Uw7-A9f9R21vMXxHZFNpYNeKFtG8_yji4HS352LGlSQ/edit?pli=1#gid=0"",""1_ACUM!A4:S""),12,FALSE))"),"")</f>
        <v/>
      </c>
      <c r="AY803" s="43" t="str">
        <f ca="1">IFERROR(__xludf.DUMMYFUNCTION("IFERROR(VLOOKUP(E817&amp;F817,IMPORTRANGE(""https://docs.google.com/spreadsheets/d/1Uw7-A9f9R21vMXxHZFNpYNeKFtG8_yji4HS352LGlSQ/edit?pli=1#gid=0"",""1_ACUM!A4:S""),13,FALSE))"),"")</f>
        <v/>
      </c>
      <c r="AZ803" s="43" t="str">
        <f ca="1">IFERROR(__xludf.DUMMYFUNCTION("IFERROR(VLOOKUP(E817&amp;F817,IMPORTRANGE(""https://docs.google.com/spreadsheets/d/1Uw7-A9f9R21vMXxHZFNpYNeKFtG8_yji4HS352LGlSQ/edit?pli=1#gid=0"",""1_ACUM!A4:S""),14,FALSE))"),"")</f>
        <v/>
      </c>
      <c r="BA803" s="43" t="str">
        <f ca="1">IFERROR(__xludf.DUMMYFUNCTION("IFERROR(VLOOKUP(E817&amp;F817,IMPORTRANGE(""https://docs.google.com/spreadsheets/d/1Uw7-A9f9R21vMXxHZFNpYNeKFtG8_yji4HS352LGlSQ/edit?pli=1#gid=0"",""1_ACUM!A4:S""),15,FALSE))"),"")</f>
        <v/>
      </c>
      <c r="BB803" s="43" t="str">
        <f ca="1">IFERROR(__xludf.DUMMYFUNCTION("IFERROR(VLOOKUP(E817&amp;F817,IMPORTRANGE(""https://docs.google.com/spreadsheets/d/1Uw7-A9f9R21vMXxHZFNpYNeKFtG8_yji4HS352LGlSQ/edit?pli=1#gid=0"",""1_ACUM!A4:S""),16,FALSE))"),"")</f>
        <v/>
      </c>
      <c r="BC803" s="43" t="str">
        <f ca="1">IFERROR(__xludf.DUMMYFUNCTION("IFERROR(VLOOKUP(E817&amp;F817,IMPORTRANGE(""https://docs.google.com/spreadsheets/d/1Uw7-A9f9R21vMXxHZFNpYNeKFtG8_yji4HS352LGlSQ/edit?pli=1#gid=0"",""1_ACUM!A4:S""),17,FALSE))"),"")</f>
        <v/>
      </c>
      <c r="BD803" s="44" t="str">
        <f ca="1">IFERROR(__xludf.DUMMYFUNCTION("IFERROR(VLOOKUP(E817&amp;F817,IMPORTRANGE(""https://docs.google.com/spreadsheets/d/1Uw7-A9f9R21vMXxHZFNpYNeKFtG8_yji4HS352LGlSQ/edit?pli=1#gid=0"",""1_ACUM!A4:S""),18,FALSE))"),"")</f>
        <v/>
      </c>
      <c r="BE803" s="44" t="str">
        <f ca="1">IFERROR(__xludf.DUMMYFUNCTION("IFERROR(VLOOKUP(E817&amp;F817,IMPORTRANGE(""https://docs.google.com/spreadsheets/d/1Uw7-A9f9R21vMXxHZFNpYNeKFtG8_yji4HS352LGlSQ/edit?pli=1#gid=0"",""1_ACUM!A4:S""),19,FALSE))"),"")</f>
        <v/>
      </c>
      <c r="BF803" s="98" t="str">
        <f ca="1">IFERROR(__xludf.DUMMYFUNCTION("IFERROR(VLOOKUP(F817,IMPORTRANGE(""https://docs.google.com/spreadsheets/d/1Kvs4KS76FHFqLFIZfrDMff4kP08nblUkihrxltoGBjg/edit#gid=934712705"",""ESENCIAL!A6:BG""),5,FALSE))"),"")</f>
        <v/>
      </c>
      <c r="BG803" s="98" t="str">
        <f t="shared" si="25"/>
        <v/>
      </c>
      <c r="BH803" s="99" t="str">
        <f t="shared" si="26"/>
        <v/>
      </c>
      <c r="BI803" s="100" t="str">
        <f ca="1">IFERROR(__xludf.DUMMYFUNCTION("IFERROR(VLOOKUP(F817,IMPORTRANGE(""https://docs.google.com/spreadsheets/d/1Kvs4KS76FHFqLFIZfrDMff4kP08nblUkihrxltoGBjg/edit#gid=934712705"",""ESENCIAL!A6:BG""),2,FALSE))"),"")</f>
        <v/>
      </c>
      <c r="BJ803" s="19" t="str">
        <f t="shared" si="27"/>
        <v/>
      </c>
      <c r="BK803" s="100"/>
      <c r="BL803" s="100"/>
    </row>
    <row r="804" spans="1:64" ht="15">
      <c r="A804" s="5"/>
      <c r="B804" s="5"/>
      <c r="G804" s="5" t="str">
        <f ca="1">IFERROR(__xludf.DUMMYFUNCTION("IFERROR(VLOOKUP(F818,IMPORTRANGE(""https://docs.google.com/spreadsheets/d/1Kvs4KS76FHFqLFIZfrDMff4kP08nblUkihrxltoGBjg/edit#gid=934712705"",""ESENCIAL!A6:BG""),3,FALSE))"),"")</f>
        <v/>
      </c>
      <c r="H804" s="5" t="str">
        <f ca="1">IFERROR(__xludf.DUMMYFUNCTION("IFERROR(VLOOKUP(F818,IMPORTRANGE(""https://docs.google.com/spreadsheets/d/1Kvs4KS76FHFqLFIZfrDMff4kP08nblUkihrxltoGBjg/edit#gid=934712705"",""ESENCIAL!A6:BG""),8,FALSE))"),"")</f>
        <v/>
      </c>
      <c r="L804" s="287"/>
      <c r="U804" s="40"/>
      <c r="AU804" s="41" t="str">
        <f t="shared" si="24"/>
        <v/>
      </c>
      <c r="AV804" s="5" t="str">
        <f ca="1">IFERROR(__xludf.DUMMYFUNCTION("IFERROR(VLOOKUP(E818&amp;F818,IMPORTRANGE(""https://docs.google.com/spreadsheets/d/1Uw7-A9f9R21vMXxHZFNpYNeKFtG8_yji4HS352LGlSQ/edit?pli=1#gid=0"",""1_ACUM!A4:S""),11,FALSE))"),"")</f>
        <v/>
      </c>
      <c r="AW804" s="42" t="str">
        <f ca="1">IFERROR(__xludf.DUMMYFUNCTION("IFERROR(VLOOKUP(F818,IMPORTRANGE(""https://docs.google.com/spreadsheets/d/1Kvs4KS76FHFqLFIZfrDMff4kP08nblUkihrxltoGBjg/edit#gid=934712705"",""ESENCIAL!A6:BG""),15,FALSE))"),"")</f>
        <v/>
      </c>
      <c r="AX804" s="21" t="str">
        <f ca="1">IFERROR(__xludf.DUMMYFUNCTION("IFERROR(VLOOKUP(E818&amp;F818,IMPORTRANGE(""https://docs.google.com/spreadsheets/d/1Uw7-A9f9R21vMXxHZFNpYNeKFtG8_yji4HS352LGlSQ/edit?pli=1#gid=0"",""1_ACUM!A4:S""),12,FALSE))"),"")</f>
        <v/>
      </c>
      <c r="AY804" s="43" t="str">
        <f ca="1">IFERROR(__xludf.DUMMYFUNCTION("IFERROR(VLOOKUP(E818&amp;F818,IMPORTRANGE(""https://docs.google.com/spreadsheets/d/1Uw7-A9f9R21vMXxHZFNpYNeKFtG8_yji4HS352LGlSQ/edit?pli=1#gid=0"",""1_ACUM!A4:S""),13,FALSE))"),"")</f>
        <v/>
      </c>
      <c r="AZ804" s="43" t="str">
        <f ca="1">IFERROR(__xludf.DUMMYFUNCTION("IFERROR(VLOOKUP(E818&amp;F818,IMPORTRANGE(""https://docs.google.com/spreadsheets/d/1Uw7-A9f9R21vMXxHZFNpYNeKFtG8_yji4HS352LGlSQ/edit?pli=1#gid=0"",""1_ACUM!A4:S""),14,FALSE))"),"")</f>
        <v/>
      </c>
      <c r="BA804" s="43" t="str">
        <f ca="1">IFERROR(__xludf.DUMMYFUNCTION("IFERROR(VLOOKUP(E818&amp;F818,IMPORTRANGE(""https://docs.google.com/spreadsheets/d/1Uw7-A9f9R21vMXxHZFNpYNeKFtG8_yji4HS352LGlSQ/edit?pli=1#gid=0"",""1_ACUM!A4:S""),15,FALSE))"),"")</f>
        <v/>
      </c>
      <c r="BB804" s="43" t="str">
        <f ca="1">IFERROR(__xludf.DUMMYFUNCTION("IFERROR(VLOOKUP(E818&amp;F818,IMPORTRANGE(""https://docs.google.com/spreadsheets/d/1Uw7-A9f9R21vMXxHZFNpYNeKFtG8_yji4HS352LGlSQ/edit?pli=1#gid=0"",""1_ACUM!A4:S""),16,FALSE))"),"")</f>
        <v/>
      </c>
      <c r="BC804" s="43" t="str">
        <f ca="1">IFERROR(__xludf.DUMMYFUNCTION("IFERROR(VLOOKUP(E818&amp;F818,IMPORTRANGE(""https://docs.google.com/spreadsheets/d/1Uw7-A9f9R21vMXxHZFNpYNeKFtG8_yji4HS352LGlSQ/edit?pli=1#gid=0"",""1_ACUM!A4:S""),17,FALSE))"),"")</f>
        <v/>
      </c>
      <c r="BD804" s="44" t="str">
        <f ca="1">IFERROR(__xludf.DUMMYFUNCTION("IFERROR(VLOOKUP(E818&amp;F818,IMPORTRANGE(""https://docs.google.com/spreadsheets/d/1Uw7-A9f9R21vMXxHZFNpYNeKFtG8_yji4HS352LGlSQ/edit?pli=1#gid=0"",""1_ACUM!A4:S""),18,FALSE))"),"")</f>
        <v/>
      </c>
      <c r="BE804" s="44" t="str">
        <f ca="1">IFERROR(__xludf.DUMMYFUNCTION("IFERROR(VLOOKUP(E818&amp;F818,IMPORTRANGE(""https://docs.google.com/spreadsheets/d/1Uw7-A9f9R21vMXxHZFNpYNeKFtG8_yji4HS352LGlSQ/edit?pli=1#gid=0"",""1_ACUM!A4:S""),19,FALSE))"),"")</f>
        <v/>
      </c>
      <c r="BF804" s="98" t="str">
        <f ca="1">IFERROR(__xludf.DUMMYFUNCTION("IFERROR(VLOOKUP(F818,IMPORTRANGE(""https://docs.google.com/spreadsheets/d/1Kvs4KS76FHFqLFIZfrDMff4kP08nblUkihrxltoGBjg/edit#gid=934712705"",""ESENCIAL!A6:BG""),5,FALSE))"),"")</f>
        <v/>
      </c>
      <c r="BG804" s="98" t="str">
        <f t="shared" si="25"/>
        <v/>
      </c>
      <c r="BH804" s="99" t="str">
        <f t="shared" si="26"/>
        <v/>
      </c>
      <c r="BI804" s="100" t="str">
        <f ca="1">IFERROR(__xludf.DUMMYFUNCTION("IFERROR(VLOOKUP(F818,IMPORTRANGE(""https://docs.google.com/spreadsheets/d/1Kvs4KS76FHFqLFIZfrDMff4kP08nblUkihrxltoGBjg/edit#gid=934712705"",""ESENCIAL!A6:BG""),2,FALSE))"),"")</f>
        <v/>
      </c>
      <c r="BJ804" s="19" t="str">
        <f t="shared" si="27"/>
        <v/>
      </c>
      <c r="BK804" s="100"/>
      <c r="BL804" s="100"/>
    </row>
    <row r="805" spans="1:64" ht="15">
      <c r="A805" s="5"/>
      <c r="B805" s="5"/>
      <c r="G805" s="5" t="str">
        <f ca="1">IFERROR(__xludf.DUMMYFUNCTION("IFERROR(VLOOKUP(F819,IMPORTRANGE(""https://docs.google.com/spreadsheets/d/1Kvs4KS76FHFqLFIZfrDMff4kP08nblUkihrxltoGBjg/edit#gid=934712705"",""ESENCIAL!A6:BG""),3,FALSE))"),"")</f>
        <v/>
      </c>
      <c r="H805" s="5" t="str">
        <f ca="1">IFERROR(__xludf.DUMMYFUNCTION("IFERROR(VLOOKUP(F819,IMPORTRANGE(""https://docs.google.com/spreadsheets/d/1Kvs4KS76FHFqLFIZfrDMff4kP08nblUkihrxltoGBjg/edit#gid=934712705"",""ESENCIAL!A6:BG""),8,FALSE))"),"")</f>
        <v/>
      </c>
      <c r="L805" s="287"/>
      <c r="U805" s="40"/>
      <c r="AU805" s="41" t="str">
        <f t="shared" si="24"/>
        <v/>
      </c>
      <c r="AV805" s="5" t="str">
        <f ca="1">IFERROR(__xludf.DUMMYFUNCTION("IFERROR(VLOOKUP(E819&amp;F819,IMPORTRANGE(""https://docs.google.com/spreadsheets/d/1Uw7-A9f9R21vMXxHZFNpYNeKFtG8_yji4HS352LGlSQ/edit?pli=1#gid=0"",""1_ACUM!A4:S""),11,FALSE))"),"")</f>
        <v/>
      </c>
      <c r="AW805" s="42" t="str">
        <f ca="1">IFERROR(__xludf.DUMMYFUNCTION("IFERROR(VLOOKUP(F819,IMPORTRANGE(""https://docs.google.com/spreadsheets/d/1Kvs4KS76FHFqLFIZfrDMff4kP08nblUkihrxltoGBjg/edit#gid=934712705"",""ESENCIAL!A6:BG""),15,FALSE))"),"")</f>
        <v/>
      </c>
      <c r="AX805" s="21" t="str">
        <f ca="1">IFERROR(__xludf.DUMMYFUNCTION("IFERROR(VLOOKUP(E819&amp;F819,IMPORTRANGE(""https://docs.google.com/spreadsheets/d/1Uw7-A9f9R21vMXxHZFNpYNeKFtG8_yji4HS352LGlSQ/edit?pli=1#gid=0"",""1_ACUM!A4:S""),12,FALSE))"),"")</f>
        <v/>
      </c>
      <c r="AY805" s="43" t="str">
        <f ca="1">IFERROR(__xludf.DUMMYFUNCTION("IFERROR(VLOOKUP(E819&amp;F819,IMPORTRANGE(""https://docs.google.com/spreadsheets/d/1Uw7-A9f9R21vMXxHZFNpYNeKFtG8_yji4HS352LGlSQ/edit?pli=1#gid=0"",""1_ACUM!A4:S""),13,FALSE))"),"")</f>
        <v/>
      </c>
      <c r="AZ805" s="43" t="str">
        <f ca="1">IFERROR(__xludf.DUMMYFUNCTION("IFERROR(VLOOKUP(E819&amp;F819,IMPORTRANGE(""https://docs.google.com/spreadsheets/d/1Uw7-A9f9R21vMXxHZFNpYNeKFtG8_yji4HS352LGlSQ/edit?pli=1#gid=0"",""1_ACUM!A4:S""),14,FALSE))"),"")</f>
        <v/>
      </c>
      <c r="BA805" s="43" t="str">
        <f ca="1">IFERROR(__xludf.DUMMYFUNCTION("IFERROR(VLOOKUP(E819&amp;F819,IMPORTRANGE(""https://docs.google.com/spreadsheets/d/1Uw7-A9f9R21vMXxHZFNpYNeKFtG8_yji4HS352LGlSQ/edit?pli=1#gid=0"",""1_ACUM!A4:S""),15,FALSE))"),"")</f>
        <v/>
      </c>
      <c r="BB805" s="43" t="str">
        <f ca="1">IFERROR(__xludf.DUMMYFUNCTION("IFERROR(VLOOKUP(E819&amp;F819,IMPORTRANGE(""https://docs.google.com/spreadsheets/d/1Uw7-A9f9R21vMXxHZFNpYNeKFtG8_yji4HS352LGlSQ/edit?pli=1#gid=0"",""1_ACUM!A4:S""),16,FALSE))"),"")</f>
        <v/>
      </c>
      <c r="BC805" s="43" t="str">
        <f ca="1">IFERROR(__xludf.DUMMYFUNCTION("IFERROR(VLOOKUP(E819&amp;F819,IMPORTRANGE(""https://docs.google.com/spreadsheets/d/1Uw7-A9f9R21vMXxHZFNpYNeKFtG8_yji4HS352LGlSQ/edit?pli=1#gid=0"",""1_ACUM!A4:S""),17,FALSE))"),"")</f>
        <v/>
      </c>
      <c r="BD805" s="44" t="str">
        <f ca="1">IFERROR(__xludf.DUMMYFUNCTION("IFERROR(VLOOKUP(E819&amp;F819,IMPORTRANGE(""https://docs.google.com/spreadsheets/d/1Uw7-A9f9R21vMXxHZFNpYNeKFtG8_yji4HS352LGlSQ/edit?pli=1#gid=0"",""1_ACUM!A4:S""),18,FALSE))"),"")</f>
        <v/>
      </c>
      <c r="BE805" s="44" t="str">
        <f ca="1">IFERROR(__xludf.DUMMYFUNCTION("IFERROR(VLOOKUP(E819&amp;F819,IMPORTRANGE(""https://docs.google.com/spreadsheets/d/1Uw7-A9f9R21vMXxHZFNpYNeKFtG8_yji4HS352LGlSQ/edit?pli=1#gid=0"",""1_ACUM!A4:S""),19,FALSE))"),"")</f>
        <v/>
      </c>
      <c r="BF805" s="98" t="str">
        <f ca="1">IFERROR(__xludf.DUMMYFUNCTION("IFERROR(VLOOKUP(F819,IMPORTRANGE(""https://docs.google.com/spreadsheets/d/1Kvs4KS76FHFqLFIZfrDMff4kP08nblUkihrxltoGBjg/edit#gid=934712705"",""ESENCIAL!A6:BG""),5,FALSE))"),"")</f>
        <v/>
      </c>
      <c r="BG805" s="98" t="str">
        <f t="shared" si="25"/>
        <v/>
      </c>
      <c r="BH805" s="99" t="str">
        <f t="shared" si="26"/>
        <v/>
      </c>
      <c r="BI805" s="100" t="str">
        <f ca="1">IFERROR(__xludf.DUMMYFUNCTION("IFERROR(VLOOKUP(F819,IMPORTRANGE(""https://docs.google.com/spreadsheets/d/1Kvs4KS76FHFqLFIZfrDMff4kP08nblUkihrxltoGBjg/edit#gid=934712705"",""ESENCIAL!A6:BG""),2,FALSE))"),"")</f>
        <v/>
      </c>
      <c r="BJ805" s="19" t="str">
        <f t="shared" si="27"/>
        <v/>
      </c>
      <c r="BK805" s="100"/>
      <c r="BL805" s="100"/>
    </row>
    <row r="806" spans="1:64" ht="15">
      <c r="A806" s="5"/>
      <c r="B806" s="5"/>
      <c r="G806" s="5" t="str">
        <f ca="1">IFERROR(__xludf.DUMMYFUNCTION("IFERROR(VLOOKUP(F820,IMPORTRANGE(""https://docs.google.com/spreadsheets/d/1Kvs4KS76FHFqLFIZfrDMff4kP08nblUkihrxltoGBjg/edit#gid=934712705"",""ESENCIAL!A6:BG""),3,FALSE))"),"")</f>
        <v/>
      </c>
      <c r="H806" s="5" t="str">
        <f ca="1">IFERROR(__xludf.DUMMYFUNCTION("IFERROR(VLOOKUP(F820,IMPORTRANGE(""https://docs.google.com/spreadsheets/d/1Kvs4KS76FHFqLFIZfrDMff4kP08nblUkihrxltoGBjg/edit#gid=934712705"",""ESENCIAL!A6:BG""),8,FALSE))"),"")</f>
        <v/>
      </c>
      <c r="L806" s="287"/>
      <c r="U806" s="40"/>
      <c r="AU806" s="41" t="str">
        <f t="shared" si="24"/>
        <v/>
      </c>
      <c r="AV806" s="5" t="str">
        <f ca="1">IFERROR(__xludf.DUMMYFUNCTION("IFERROR(VLOOKUP(E820&amp;F820,IMPORTRANGE(""https://docs.google.com/spreadsheets/d/1Uw7-A9f9R21vMXxHZFNpYNeKFtG8_yji4HS352LGlSQ/edit?pli=1#gid=0"",""1_ACUM!A4:S""),11,FALSE))"),"")</f>
        <v/>
      </c>
      <c r="AW806" s="42" t="str">
        <f ca="1">IFERROR(__xludf.DUMMYFUNCTION("IFERROR(VLOOKUP(F820,IMPORTRANGE(""https://docs.google.com/spreadsheets/d/1Kvs4KS76FHFqLFIZfrDMff4kP08nblUkihrxltoGBjg/edit#gid=934712705"",""ESENCIAL!A6:BG""),15,FALSE))"),"")</f>
        <v/>
      </c>
      <c r="AX806" s="21" t="str">
        <f ca="1">IFERROR(__xludf.DUMMYFUNCTION("IFERROR(VLOOKUP(E820&amp;F820,IMPORTRANGE(""https://docs.google.com/spreadsheets/d/1Uw7-A9f9R21vMXxHZFNpYNeKFtG8_yji4HS352LGlSQ/edit?pli=1#gid=0"",""1_ACUM!A4:S""),12,FALSE))"),"")</f>
        <v/>
      </c>
      <c r="AY806" s="43" t="str">
        <f ca="1">IFERROR(__xludf.DUMMYFUNCTION("IFERROR(VLOOKUP(E820&amp;F820,IMPORTRANGE(""https://docs.google.com/spreadsheets/d/1Uw7-A9f9R21vMXxHZFNpYNeKFtG8_yji4HS352LGlSQ/edit?pli=1#gid=0"",""1_ACUM!A4:S""),13,FALSE))"),"")</f>
        <v/>
      </c>
      <c r="AZ806" s="43" t="str">
        <f ca="1">IFERROR(__xludf.DUMMYFUNCTION("IFERROR(VLOOKUP(E820&amp;F820,IMPORTRANGE(""https://docs.google.com/spreadsheets/d/1Uw7-A9f9R21vMXxHZFNpYNeKFtG8_yji4HS352LGlSQ/edit?pli=1#gid=0"",""1_ACUM!A4:S""),14,FALSE))"),"")</f>
        <v/>
      </c>
      <c r="BA806" s="43" t="str">
        <f ca="1">IFERROR(__xludf.DUMMYFUNCTION("IFERROR(VLOOKUP(E820&amp;F820,IMPORTRANGE(""https://docs.google.com/spreadsheets/d/1Uw7-A9f9R21vMXxHZFNpYNeKFtG8_yji4HS352LGlSQ/edit?pli=1#gid=0"",""1_ACUM!A4:S""),15,FALSE))"),"")</f>
        <v/>
      </c>
      <c r="BB806" s="43" t="str">
        <f ca="1">IFERROR(__xludf.DUMMYFUNCTION("IFERROR(VLOOKUP(E820&amp;F820,IMPORTRANGE(""https://docs.google.com/spreadsheets/d/1Uw7-A9f9R21vMXxHZFNpYNeKFtG8_yji4HS352LGlSQ/edit?pli=1#gid=0"",""1_ACUM!A4:S""),16,FALSE))"),"")</f>
        <v/>
      </c>
      <c r="BC806" s="43" t="str">
        <f ca="1">IFERROR(__xludf.DUMMYFUNCTION("IFERROR(VLOOKUP(E820&amp;F820,IMPORTRANGE(""https://docs.google.com/spreadsheets/d/1Uw7-A9f9R21vMXxHZFNpYNeKFtG8_yji4HS352LGlSQ/edit?pli=1#gid=0"",""1_ACUM!A4:S""),17,FALSE))"),"")</f>
        <v/>
      </c>
      <c r="BD806" s="44" t="str">
        <f ca="1">IFERROR(__xludf.DUMMYFUNCTION("IFERROR(VLOOKUP(E820&amp;F820,IMPORTRANGE(""https://docs.google.com/spreadsheets/d/1Uw7-A9f9R21vMXxHZFNpYNeKFtG8_yji4HS352LGlSQ/edit?pli=1#gid=0"",""1_ACUM!A4:S""),18,FALSE))"),"")</f>
        <v/>
      </c>
      <c r="BE806" s="44" t="str">
        <f ca="1">IFERROR(__xludf.DUMMYFUNCTION("IFERROR(VLOOKUP(E820&amp;F820,IMPORTRANGE(""https://docs.google.com/spreadsheets/d/1Uw7-A9f9R21vMXxHZFNpYNeKFtG8_yji4HS352LGlSQ/edit?pli=1#gid=0"",""1_ACUM!A4:S""),19,FALSE))"),"")</f>
        <v/>
      </c>
      <c r="BF806" s="98" t="str">
        <f ca="1">IFERROR(__xludf.DUMMYFUNCTION("IFERROR(VLOOKUP(F820,IMPORTRANGE(""https://docs.google.com/spreadsheets/d/1Kvs4KS76FHFqLFIZfrDMff4kP08nblUkihrxltoGBjg/edit#gid=934712705"",""ESENCIAL!A6:BG""),5,FALSE))"),"")</f>
        <v/>
      </c>
      <c r="BG806" s="98" t="str">
        <f t="shared" si="25"/>
        <v/>
      </c>
      <c r="BH806" s="99" t="str">
        <f t="shared" si="26"/>
        <v/>
      </c>
      <c r="BI806" s="100" t="str">
        <f ca="1">IFERROR(__xludf.DUMMYFUNCTION("IFERROR(VLOOKUP(F820,IMPORTRANGE(""https://docs.google.com/spreadsheets/d/1Kvs4KS76FHFqLFIZfrDMff4kP08nblUkihrxltoGBjg/edit#gid=934712705"",""ESENCIAL!A6:BG""),2,FALSE))"),"")</f>
        <v/>
      </c>
      <c r="BJ806" s="19" t="str">
        <f t="shared" si="27"/>
        <v/>
      </c>
      <c r="BK806" s="100"/>
      <c r="BL806" s="100"/>
    </row>
    <row r="807" spans="1:64" ht="15">
      <c r="A807" s="5"/>
      <c r="B807" s="5"/>
      <c r="G807" s="5" t="str">
        <f ca="1">IFERROR(__xludf.DUMMYFUNCTION("IFERROR(VLOOKUP(F821,IMPORTRANGE(""https://docs.google.com/spreadsheets/d/1Kvs4KS76FHFqLFIZfrDMff4kP08nblUkihrxltoGBjg/edit#gid=934712705"",""ESENCIAL!A6:BG""),3,FALSE))"),"")</f>
        <v/>
      </c>
      <c r="H807" s="5" t="str">
        <f ca="1">IFERROR(__xludf.DUMMYFUNCTION("IFERROR(VLOOKUP(F821,IMPORTRANGE(""https://docs.google.com/spreadsheets/d/1Kvs4KS76FHFqLFIZfrDMff4kP08nblUkihrxltoGBjg/edit#gid=934712705"",""ESENCIAL!A6:BG""),8,FALSE))"),"")</f>
        <v/>
      </c>
      <c r="L807" s="287"/>
      <c r="U807" s="40"/>
      <c r="AU807" s="41" t="str">
        <f t="shared" si="24"/>
        <v/>
      </c>
      <c r="AV807" s="5" t="str">
        <f ca="1">IFERROR(__xludf.DUMMYFUNCTION("IFERROR(VLOOKUP(E821&amp;F821,IMPORTRANGE(""https://docs.google.com/spreadsheets/d/1Uw7-A9f9R21vMXxHZFNpYNeKFtG8_yji4HS352LGlSQ/edit?pli=1#gid=0"",""1_ACUM!A4:S""),11,FALSE))"),"")</f>
        <v/>
      </c>
      <c r="AW807" s="42" t="str">
        <f ca="1">IFERROR(__xludf.DUMMYFUNCTION("IFERROR(VLOOKUP(F821,IMPORTRANGE(""https://docs.google.com/spreadsheets/d/1Kvs4KS76FHFqLFIZfrDMff4kP08nblUkihrxltoGBjg/edit#gid=934712705"",""ESENCIAL!A6:BG""),15,FALSE))"),"")</f>
        <v/>
      </c>
      <c r="AX807" s="21" t="str">
        <f ca="1">IFERROR(__xludf.DUMMYFUNCTION("IFERROR(VLOOKUP(E821&amp;F821,IMPORTRANGE(""https://docs.google.com/spreadsheets/d/1Uw7-A9f9R21vMXxHZFNpYNeKFtG8_yji4HS352LGlSQ/edit?pli=1#gid=0"",""1_ACUM!A4:S""),12,FALSE))"),"")</f>
        <v/>
      </c>
      <c r="AY807" s="43" t="str">
        <f ca="1">IFERROR(__xludf.DUMMYFUNCTION("IFERROR(VLOOKUP(E821&amp;F821,IMPORTRANGE(""https://docs.google.com/spreadsheets/d/1Uw7-A9f9R21vMXxHZFNpYNeKFtG8_yji4HS352LGlSQ/edit?pli=1#gid=0"",""1_ACUM!A4:S""),13,FALSE))"),"")</f>
        <v/>
      </c>
      <c r="AZ807" s="43" t="str">
        <f ca="1">IFERROR(__xludf.DUMMYFUNCTION("IFERROR(VLOOKUP(E821&amp;F821,IMPORTRANGE(""https://docs.google.com/spreadsheets/d/1Uw7-A9f9R21vMXxHZFNpYNeKFtG8_yji4HS352LGlSQ/edit?pli=1#gid=0"",""1_ACUM!A4:S""),14,FALSE))"),"")</f>
        <v/>
      </c>
      <c r="BA807" s="43" t="str">
        <f ca="1">IFERROR(__xludf.DUMMYFUNCTION("IFERROR(VLOOKUP(E821&amp;F821,IMPORTRANGE(""https://docs.google.com/spreadsheets/d/1Uw7-A9f9R21vMXxHZFNpYNeKFtG8_yji4HS352LGlSQ/edit?pli=1#gid=0"",""1_ACUM!A4:S""),15,FALSE))"),"")</f>
        <v/>
      </c>
      <c r="BB807" s="43" t="str">
        <f ca="1">IFERROR(__xludf.DUMMYFUNCTION("IFERROR(VLOOKUP(E821&amp;F821,IMPORTRANGE(""https://docs.google.com/spreadsheets/d/1Uw7-A9f9R21vMXxHZFNpYNeKFtG8_yji4HS352LGlSQ/edit?pli=1#gid=0"",""1_ACUM!A4:S""),16,FALSE))"),"")</f>
        <v/>
      </c>
      <c r="BC807" s="43" t="str">
        <f ca="1">IFERROR(__xludf.DUMMYFUNCTION("IFERROR(VLOOKUP(E821&amp;F821,IMPORTRANGE(""https://docs.google.com/spreadsheets/d/1Uw7-A9f9R21vMXxHZFNpYNeKFtG8_yji4HS352LGlSQ/edit?pli=1#gid=0"",""1_ACUM!A4:S""),17,FALSE))"),"")</f>
        <v/>
      </c>
      <c r="BD807" s="44" t="str">
        <f ca="1">IFERROR(__xludf.DUMMYFUNCTION("IFERROR(VLOOKUP(E821&amp;F821,IMPORTRANGE(""https://docs.google.com/spreadsheets/d/1Uw7-A9f9R21vMXxHZFNpYNeKFtG8_yji4HS352LGlSQ/edit?pli=1#gid=0"",""1_ACUM!A4:S""),18,FALSE))"),"")</f>
        <v/>
      </c>
      <c r="BE807" s="44" t="str">
        <f ca="1">IFERROR(__xludf.DUMMYFUNCTION("IFERROR(VLOOKUP(E821&amp;F821,IMPORTRANGE(""https://docs.google.com/spreadsheets/d/1Uw7-A9f9R21vMXxHZFNpYNeKFtG8_yji4HS352LGlSQ/edit?pli=1#gid=0"",""1_ACUM!A4:S""),19,FALSE))"),"")</f>
        <v/>
      </c>
      <c r="BF807" s="98" t="str">
        <f ca="1">IFERROR(__xludf.DUMMYFUNCTION("IFERROR(VLOOKUP(F821,IMPORTRANGE(""https://docs.google.com/spreadsheets/d/1Kvs4KS76FHFqLFIZfrDMff4kP08nblUkihrxltoGBjg/edit#gid=934712705"",""ESENCIAL!A6:BG""),5,FALSE))"),"")</f>
        <v/>
      </c>
      <c r="BG807" s="98" t="str">
        <f t="shared" si="25"/>
        <v/>
      </c>
      <c r="BH807" s="99" t="str">
        <f t="shared" si="26"/>
        <v/>
      </c>
      <c r="BI807" s="100" t="str">
        <f ca="1">IFERROR(__xludf.DUMMYFUNCTION("IFERROR(VLOOKUP(F821,IMPORTRANGE(""https://docs.google.com/spreadsheets/d/1Kvs4KS76FHFqLFIZfrDMff4kP08nblUkihrxltoGBjg/edit#gid=934712705"",""ESENCIAL!A6:BG""),2,FALSE))"),"")</f>
        <v/>
      </c>
      <c r="BJ807" s="19" t="str">
        <f t="shared" si="27"/>
        <v/>
      </c>
      <c r="BK807" s="100"/>
      <c r="BL807" s="100"/>
    </row>
    <row r="808" spans="1:64" ht="15">
      <c r="A808" s="5"/>
      <c r="B808" s="5"/>
      <c r="G808" s="5" t="str">
        <f ca="1">IFERROR(__xludf.DUMMYFUNCTION("IFERROR(VLOOKUP(F822,IMPORTRANGE(""https://docs.google.com/spreadsheets/d/1Kvs4KS76FHFqLFIZfrDMff4kP08nblUkihrxltoGBjg/edit#gid=934712705"",""ESENCIAL!A6:BG""),3,FALSE))"),"")</f>
        <v/>
      </c>
      <c r="H808" s="5" t="str">
        <f ca="1">IFERROR(__xludf.DUMMYFUNCTION("IFERROR(VLOOKUP(F822,IMPORTRANGE(""https://docs.google.com/spreadsheets/d/1Kvs4KS76FHFqLFIZfrDMff4kP08nblUkihrxltoGBjg/edit#gid=934712705"",""ESENCIAL!A6:BG""),8,FALSE))"),"")</f>
        <v/>
      </c>
      <c r="L808" s="287"/>
      <c r="U808" s="40"/>
      <c r="AU808" s="41" t="str">
        <f t="shared" si="24"/>
        <v/>
      </c>
      <c r="AV808" s="5" t="str">
        <f ca="1">IFERROR(__xludf.DUMMYFUNCTION("IFERROR(VLOOKUP(E822&amp;F822,IMPORTRANGE(""https://docs.google.com/spreadsheets/d/1Uw7-A9f9R21vMXxHZFNpYNeKFtG8_yji4HS352LGlSQ/edit?pli=1#gid=0"",""1_ACUM!A4:S""),11,FALSE))"),"")</f>
        <v/>
      </c>
      <c r="AW808" s="42" t="str">
        <f ca="1">IFERROR(__xludf.DUMMYFUNCTION("IFERROR(VLOOKUP(F822,IMPORTRANGE(""https://docs.google.com/spreadsheets/d/1Kvs4KS76FHFqLFIZfrDMff4kP08nblUkihrxltoGBjg/edit#gid=934712705"",""ESENCIAL!A6:BG""),15,FALSE))"),"")</f>
        <v/>
      </c>
      <c r="AX808" s="21" t="str">
        <f ca="1">IFERROR(__xludf.DUMMYFUNCTION("IFERROR(VLOOKUP(E822&amp;F822,IMPORTRANGE(""https://docs.google.com/spreadsheets/d/1Uw7-A9f9R21vMXxHZFNpYNeKFtG8_yji4HS352LGlSQ/edit?pli=1#gid=0"",""1_ACUM!A4:S""),12,FALSE))"),"")</f>
        <v/>
      </c>
      <c r="AY808" s="43" t="str">
        <f ca="1">IFERROR(__xludf.DUMMYFUNCTION("IFERROR(VLOOKUP(E822&amp;F822,IMPORTRANGE(""https://docs.google.com/spreadsheets/d/1Uw7-A9f9R21vMXxHZFNpYNeKFtG8_yji4HS352LGlSQ/edit?pli=1#gid=0"",""1_ACUM!A4:S""),13,FALSE))"),"")</f>
        <v/>
      </c>
      <c r="AZ808" s="43" t="str">
        <f ca="1">IFERROR(__xludf.DUMMYFUNCTION("IFERROR(VLOOKUP(E822&amp;F822,IMPORTRANGE(""https://docs.google.com/spreadsheets/d/1Uw7-A9f9R21vMXxHZFNpYNeKFtG8_yji4HS352LGlSQ/edit?pli=1#gid=0"",""1_ACUM!A4:S""),14,FALSE))"),"")</f>
        <v/>
      </c>
      <c r="BA808" s="43" t="str">
        <f ca="1">IFERROR(__xludf.DUMMYFUNCTION("IFERROR(VLOOKUP(E822&amp;F822,IMPORTRANGE(""https://docs.google.com/spreadsheets/d/1Uw7-A9f9R21vMXxHZFNpYNeKFtG8_yji4HS352LGlSQ/edit?pli=1#gid=0"",""1_ACUM!A4:S""),15,FALSE))"),"")</f>
        <v/>
      </c>
      <c r="BB808" s="43" t="str">
        <f ca="1">IFERROR(__xludf.DUMMYFUNCTION("IFERROR(VLOOKUP(E822&amp;F822,IMPORTRANGE(""https://docs.google.com/spreadsheets/d/1Uw7-A9f9R21vMXxHZFNpYNeKFtG8_yji4HS352LGlSQ/edit?pli=1#gid=0"",""1_ACUM!A4:S""),16,FALSE))"),"")</f>
        <v/>
      </c>
      <c r="BC808" s="43" t="str">
        <f ca="1">IFERROR(__xludf.DUMMYFUNCTION("IFERROR(VLOOKUP(E822&amp;F822,IMPORTRANGE(""https://docs.google.com/spreadsheets/d/1Uw7-A9f9R21vMXxHZFNpYNeKFtG8_yji4HS352LGlSQ/edit?pli=1#gid=0"",""1_ACUM!A4:S""),17,FALSE))"),"")</f>
        <v/>
      </c>
      <c r="BD808" s="44" t="str">
        <f ca="1">IFERROR(__xludf.DUMMYFUNCTION("IFERROR(VLOOKUP(E822&amp;F822,IMPORTRANGE(""https://docs.google.com/spreadsheets/d/1Uw7-A9f9R21vMXxHZFNpYNeKFtG8_yji4HS352LGlSQ/edit?pli=1#gid=0"",""1_ACUM!A4:S""),18,FALSE))"),"")</f>
        <v/>
      </c>
      <c r="BE808" s="44" t="str">
        <f ca="1">IFERROR(__xludf.DUMMYFUNCTION("IFERROR(VLOOKUP(E822&amp;F822,IMPORTRANGE(""https://docs.google.com/spreadsheets/d/1Uw7-A9f9R21vMXxHZFNpYNeKFtG8_yji4HS352LGlSQ/edit?pli=1#gid=0"",""1_ACUM!A4:S""),19,FALSE))"),"")</f>
        <v/>
      </c>
      <c r="BF808" s="98" t="str">
        <f ca="1">IFERROR(__xludf.DUMMYFUNCTION("IFERROR(VLOOKUP(F822,IMPORTRANGE(""https://docs.google.com/spreadsheets/d/1Kvs4KS76FHFqLFIZfrDMff4kP08nblUkihrxltoGBjg/edit#gid=934712705"",""ESENCIAL!A6:BG""),5,FALSE))"),"")</f>
        <v/>
      </c>
      <c r="BG808" s="98" t="str">
        <f t="shared" si="25"/>
        <v/>
      </c>
      <c r="BH808" s="99" t="str">
        <f t="shared" si="26"/>
        <v/>
      </c>
      <c r="BI808" s="100" t="str">
        <f ca="1">IFERROR(__xludf.DUMMYFUNCTION("IFERROR(VLOOKUP(F822,IMPORTRANGE(""https://docs.google.com/spreadsheets/d/1Kvs4KS76FHFqLFIZfrDMff4kP08nblUkihrxltoGBjg/edit#gid=934712705"",""ESENCIAL!A6:BG""),2,FALSE))"),"")</f>
        <v/>
      </c>
      <c r="BJ808" s="19" t="str">
        <f t="shared" si="27"/>
        <v/>
      </c>
      <c r="BK808" s="100"/>
      <c r="BL808" s="100"/>
    </row>
    <row r="809" spans="1:64" ht="15">
      <c r="A809" s="5"/>
      <c r="B809" s="5"/>
      <c r="G809" s="5" t="str">
        <f ca="1">IFERROR(__xludf.DUMMYFUNCTION("IFERROR(VLOOKUP(F823,IMPORTRANGE(""https://docs.google.com/spreadsheets/d/1Kvs4KS76FHFqLFIZfrDMff4kP08nblUkihrxltoGBjg/edit#gid=934712705"",""ESENCIAL!A6:BG""),3,FALSE))"),"")</f>
        <v/>
      </c>
      <c r="H809" s="5" t="str">
        <f ca="1">IFERROR(__xludf.DUMMYFUNCTION("IFERROR(VLOOKUP(F823,IMPORTRANGE(""https://docs.google.com/spreadsheets/d/1Kvs4KS76FHFqLFIZfrDMff4kP08nblUkihrxltoGBjg/edit#gid=934712705"",""ESENCIAL!A6:BG""),8,FALSE))"),"")</f>
        <v/>
      </c>
      <c r="L809" s="287"/>
      <c r="U809" s="40"/>
      <c r="AU809" s="41" t="str">
        <f t="shared" si="24"/>
        <v/>
      </c>
      <c r="AV809" s="5" t="str">
        <f ca="1">IFERROR(__xludf.DUMMYFUNCTION("IFERROR(VLOOKUP(E823&amp;F823,IMPORTRANGE(""https://docs.google.com/spreadsheets/d/1Uw7-A9f9R21vMXxHZFNpYNeKFtG8_yji4HS352LGlSQ/edit?pli=1#gid=0"",""1_ACUM!A4:S""),11,FALSE))"),"")</f>
        <v/>
      </c>
      <c r="AW809" s="42" t="str">
        <f ca="1">IFERROR(__xludf.DUMMYFUNCTION("IFERROR(VLOOKUP(F823,IMPORTRANGE(""https://docs.google.com/spreadsheets/d/1Kvs4KS76FHFqLFIZfrDMff4kP08nblUkihrxltoGBjg/edit#gid=934712705"",""ESENCIAL!A6:BG""),15,FALSE))"),"")</f>
        <v/>
      </c>
      <c r="AX809" s="21" t="str">
        <f ca="1">IFERROR(__xludf.DUMMYFUNCTION("IFERROR(VLOOKUP(E823&amp;F823,IMPORTRANGE(""https://docs.google.com/spreadsheets/d/1Uw7-A9f9R21vMXxHZFNpYNeKFtG8_yji4HS352LGlSQ/edit?pli=1#gid=0"",""1_ACUM!A4:S""),12,FALSE))"),"")</f>
        <v/>
      </c>
      <c r="AY809" s="43" t="str">
        <f ca="1">IFERROR(__xludf.DUMMYFUNCTION("IFERROR(VLOOKUP(E823&amp;F823,IMPORTRANGE(""https://docs.google.com/spreadsheets/d/1Uw7-A9f9R21vMXxHZFNpYNeKFtG8_yji4HS352LGlSQ/edit?pli=1#gid=0"",""1_ACUM!A4:S""),13,FALSE))"),"")</f>
        <v/>
      </c>
      <c r="AZ809" s="43" t="str">
        <f ca="1">IFERROR(__xludf.DUMMYFUNCTION("IFERROR(VLOOKUP(E823&amp;F823,IMPORTRANGE(""https://docs.google.com/spreadsheets/d/1Uw7-A9f9R21vMXxHZFNpYNeKFtG8_yji4HS352LGlSQ/edit?pli=1#gid=0"",""1_ACUM!A4:S""),14,FALSE))"),"")</f>
        <v/>
      </c>
      <c r="BA809" s="43" t="str">
        <f ca="1">IFERROR(__xludf.DUMMYFUNCTION("IFERROR(VLOOKUP(E823&amp;F823,IMPORTRANGE(""https://docs.google.com/spreadsheets/d/1Uw7-A9f9R21vMXxHZFNpYNeKFtG8_yji4HS352LGlSQ/edit?pli=1#gid=0"",""1_ACUM!A4:S""),15,FALSE))"),"")</f>
        <v/>
      </c>
      <c r="BB809" s="43" t="str">
        <f ca="1">IFERROR(__xludf.DUMMYFUNCTION("IFERROR(VLOOKUP(E823&amp;F823,IMPORTRANGE(""https://docs.google.com/spreadsheets/d/1Uw7-A9f9R21vMXxHZFNpYNeKFtG8_yji4HS352LGlSQ/edit?pli=1#gid=0"",""1_ACUM!A4:S""),16,FALSE))"),"")</f>
        <v/>
      </c>
      <c r="BC809" s="43" t="str">
        <f ca="1">IFERROR(__xludf.DUMMYFUNCTION("IFERROR(VLOOKUP(E823&amp;F823,IMPORTRANGE(""https://docs.google.com/spreadsheets/d/1Uw7-A9f9R21vMXxHZFNpYNeKFtG8_yji4HS352LGlSQ/edit?pli=1#gid=0"",""1_ACUM!A4:S""),17,FALSE))"),"")</f>
        <v/>
      </c>
      <c r="BD809" s="44" t="str">
        <f ca="1">IFERROR(__xludf.DUMMYFUNCTION("IFERROR(VLOOKUP(E823&amp;F823,IMPORTRANGE(""https://docs.google.com/spreadsheets/d/1Uw7-A9f9R21vMXxHZFNpYNeKFtG8_yji4HS352LGlSQ/edit?pli=1#gid=0"",""1_ACUM!A4:S""),18,FALSE))"),"")</f>
        <v/>
      </c>
      <c r="BE809" s="44" t="str">
        <f ca="1">IFERROR(__xludf.DUMMYFUNCTION("IFERROR(VLOOKUP(E823&amp;F823,IMPORTRANGE(""https://docs.google.com/spreadsheets/d/1Uw7-A9f9R21vMXxHZFNpYNeKFtG8_yji4HS352LGlSQ/edit?pli=1#gid=0"",""1_ACUM!A4:S""),19,FALSE))"),"")</f>
        <v/>
      </c>
      <c r="BF809" s="98" t="str">
        <f ca="1">IFERROR(__xludf.DUMMYFUNCTION("IFERROR(VLOOKUP(F823,IMPORTRANGE(""https://docs.google.com/spreadsheets/d/1Kvs4KS76FHFqLFIZfrDMff4kP08nblUkihrxltoGBjg/edit#gid=934712705"",""ESENCIAL!A6:BG""),5,FALSE))"),"")</f>
        <v/>
      </c>
      <c r="BG809" s="98" t="str">
        <f t="shared" si="25"/>
        <v/>
      </c>
      <c r="BH809" s="99" t="str">
        <f t="shared" si="26"/>
        <v/>
      </c>
      <c r="BI809" s="100" t="str">
        <f ca="1">IFERROR(__xludf.DUMMYFUNCTION("IFERROR(VLOOKUP(F823,IMPORTRANGE(""https://docs.google.com/spreadsheets/d/1Kvs4KS76FHFqLFIZfrDMff4kP08nblUkihrxltoGBjg/edit#gid=934712705"",""ESENCIAL!A6:BG""),2,FALSE))"),"")</f>
        <v/>
      </c>
      <c r="BJ809" s="19" t="str">
        <f t="shared" si="27"/>
        <v/>
      </c>
      <c r="BK809" s="100"/>
      <c r="BL809" s="100"/>
    </row>
    <row r="810" spans="1:64" ht="15">
      <c r="A810" s="5"/>
      <c r="B810" s="5"/>
      <c r="G810" s="5" t="str">
        <f ca="1">IFERROR(__xludf.DUMMYFUNCTION("IFERROR(VLOOKUP(F824,IMPORTRANGE(""https://docs.google.com/spreadsheets/d/1Kvs4KS76FHFqLFIZfrDMff4kP08nblUkihrxltoGBjg/edit#gid=934712705"",""ESENCIAL!A6:BG""),3,FALSE))"),"")</f>
        <v/>
      </c>
      <c r="H810" s="5" t="str">
        <f ca="1">IFERROR(__xludf.DUMMYFUNCTION("IFERROR(VLOOKUP(F824,IMPORTRANGE(""https://docs.google.com/spreadsheets/d/1Kvs4KS76FHFqLFIZfrDMff4kP08nblUkihrxltoGBjg/edit#gid=934712705"",""ESENCIAL!A6:BG""),8,FALSE))"),"")</f>
        <v/>
      </c>
      <c r="L810" s="287"/>
      <c r="U810" s="40"/>
      <c r="AU810" s="41" t="str">
        <f t="shared" si="24"/>
        <v/>
      </c>
      <c r="AV810" s="5" t="str">
        <f ca="1">IFERROR(__xludf.DUMMYFUNCTION("IFERROR(VLOOKUP(E824&amp;F824,IMPORTRANGE(""https://docs.google.com/spreadsheets/d/1Uw7-A9f9R21vMXxHZFNpYNeKFtG8_yji4HS352LGlSQ/edit?pli=1#gid=0"",""1_ACUM!A4:S""),11,FALSE))"),"")</f>
        <v/>
      </c>
      <c r="AW810" s="42" t="str">
        <f ca="1">IFERROR(__xludf.DUMMYFUNCTION("IFERROR(VLOOKUP(F824,IMPORTRANGE(""https://docs.google.com/spreadsheets/d/1Kvs4KS76FHFqLFIZfrDMff4kP08nblUkihrxltoGBjg/edit#gid=934712705"",""ESENCIAL!A6:BG""),15,FALSE))"),"")</f>
        <v/>
      </c>
      <c r="AX810" s="21" t="str">
        <f ca="1">IFERROR(__xludf.DUMMYFUNCTION("IFERROR(VLOOKUP(E824&amp;F824,IMPORTRANGE(""https://docs.google.com/spreadsheets/d/1Uw7-A9f9R21vMXxHZFNpYNeKFtG8_yji4HS352LGlSQ/edit?pli=1#gid=0"",""1_ACUM!A4:S""),12,FALSE))"),"")</f>
        <v/>
      </c>
      <c r="AY810" s="43" t="str">
        <f ca="1">IFERROR(__xludf.DUMMYFUNCTION("IFERROR(VLOOKUP(E824&amp;F824,IMPORTRANGE(""https://docs.google.com/spreadsheets/d/1Uw7-A9f9R21vMXxHZFNpYNeKFtG8_yji4HS352LGlSQ/edit?pli=1#gid=0"",""1_ACUM!A4:S""),13,FALSE))"),"")</f>
        <v/>
      </c>
      <c r="AZ810" s="43" t="str">
        <f ca="1">IFERROR(__xludf.DUMMYFUNCTION("IFERROR(VLOOKUP(E824&amp;F824,IMPORTRANGE(""https://docs.google.com/spreadsheets/d/1Uw7-A9f9R21vMXxHZFNpYNeKFtG8_yji4HS352LGlSQ/edit?pli=1#gid=0"",""1_ACUM!A4:S""),14,FALSE))"),"")</f>
        <v/>
      </c>
      <c r="BA810" s="43" t="str">
        <f ca="1">IFERROR(__xludf.DUMMYFUNCTION("IFERROR(VLOOKUP(E824&amp;F824,IMPORTRANGE(""https://docs.google.com/spreadsheets/d/1Uw7-A9f9R21vMXxHZFNpYNeKFtG8_yji4HS352LGlSQ/edit?pli=1#gid=0"",""1_ACUM!A4:S""),15,FALSE))"),"")</f>
        <v/>
      </c>
      <c r="BB810" s="43" t="str">
        <f ca="1">IFERROR(__xludf.DUMMYFUNCTION("IFERROR(VLOOKUP(E824&amp;F824,IMPORTRANGE(""https://docs.google.com/spreadsheets/d/1Uw7-A9f9R21vMXxHZFNpYNeKFtG8_yji4HS352LGlSQ/edit?pli=1#gid=0"",""1_ACUM!A4:S""),16,FALSE))"),"")</f>
        <v/>
      </c>
      <c r="BC810" s="43" t="str">
        <f ca="1">IFERROR(__xludf.DUMMYFUNCTION("IFERROR(VLOOKUP(E824&amp;F824,IMPORTRANGE(""https://docs.google.com/spreadsheets/d/1Uw7-A9f9R21vMXxHZFNpYNeKFtG8_yji4HS352LGlSQ/edit?pli=1#gid=0"",""1_ACUM!A4:S""),17,FALSE))"),"")</f>
        <v/>
      </c>
      <c r="BD810" s="44" t="str">
        <f ca="1">IFERROR(__xludf.DUMMYFUNCTION("IFERROR(VLOOKUP(E824&amp;F824,IMPORTRANGE(""https://docs.google.com/spreadsheets/d/1Uw7-A9f9R21vMXxHZFNpYNeKFtG8_yji4HS352LGlSQ/edit?pli=1#gid=0"",""1_ACUM!A4:S""),18,FALSE))"),"")</f>
        <v/>
      </c>
      <c r="BE810" s="44" t="str">
        <f ca="1">IFERROR(__xludf.DUMMYFUNCTION("IFERROR(VLOOKUP(E824&amp;F824,IMPORTRANGE(""https://docs.google.com/spreadsheets/d/1Uw7-A9f9R21vMXxHZFNpYNeKFtG8_yji4HS352LGlSQ/edit?pli=1#gid=0"",""1_ACUM!A4:S""),19,FALSE))"),"")</f>
        <v/>
      </c>
      <c r="BF810" s="98" t="str">
        <f ca="1">IFERROR(__xludf.DUMMYFUNCTION("IFERROR(VLOOKUP(F824,IMPORTRANGE(""https://docs.google.com/spreadsheets/d/1Kvs4KS76FHFqLFIZfrDMff4kP08nblUkihrxltoGBjg/edit#gid=934712705"",""ESENCIAL!A6:BG""),5,FALSE))"),"")</f>
        <v/>
      </c>
      <c r="BG810" s="98" t="str">
        <f t="shared" si="25"/>
        <v/>
      </c>
      <c r="BH810" s="99" t="str">
        <f t="shared" si="26"/>
        <v/>
      </c>
      <c r="BI810" s="100" t="str">
        <f ca="1">IFERROR(__xludf.DUMMYFUNCTION("IFERROR(VLOOKUP(F824,IMPORTRANGE(""https://docs.google.com/spreadsheets/d/1Kvs4KS76FHFqLFIZfrDMff4kP08nblUkihrxltoGBjg/edit#gid=934712705"",""ESENCIAL!A6:BG""),2,FALSE))"),"")</f>
        <v/>
      </c>
      <c r="BJ810" s="19" t="str">
        <f t="shared" si="27"/>
        <v/>
      </c>
      <c r="BK810" s="100"/>
      <c r="BL810" s="100"/>
    </row>
    <row r="811" spans="1:64" ht="15">
      <c r="A811" s="5"/>
      <c r="B811" s="5"/>
      <c r="G811" s="5" t="str">
        <f ca="1">IFERROR(__xludf.DUMMYFUNCTION("IFERROR(VLOOKUP(F825,IMPORTRANGE(""https://docs.google.com/spreadsheets/d/1Kvs4KS76FHFqLFIZfrDMff4kP08nblUkihrxltoGBjg/edit#gid=934712705"",""ESENCIAL!A6:BG""),3,FALSE))"),"")</f>
        <v/>
      </c>
      <c r="H811" s="5" t="str">
        <f ca="1">IFERROR(__xludf.DUMMYFUNCTION("IFERROR(VLOOKUP(F825,IMPORTRANGE(""https://docs.google.com/spreadsheets/d/1Kvs4KS76FHFqLFIZfrDMff4kP08nblUkihrxltoGBjg/edit#gid=934712705"",""ESENCIAL!A6:BG""),8,FALSE))"),"")</f>
        <v/>
      </c>
      <c r="L811" s="287"/>
      <c r="U811" s="40"/>
      <c r="AU811" s="41" t="str">
        <f t="shared" si="24"/>
        <v/>
      </c>
      <c r="AV811" s="5" t="str">
        <f ca="1">IFERROR(__xludf.DUMMYFUNCTION("IFERROR(VLOOKUP(E825&amp;F825,IMPORTRANGE(""https://docs.google.com/spreadsheets/d/1Uw7-A9f9R21vMXxHZFNpYNeKFtG8_yji4HS352LGlSQ/edit?pli=1#gid=0"",""1_ACUM!A4:S""),11,FALSE))"),"")</f>
        <v/>
      </c>
      <c r="AW811" s="42" t="str">
        <f ca="1">IFERROR(__xludf.DUMMYFUNCTION("IFERROR(VLOOKUP(F825,IMPORTRANGE(""https://docs.google.com/spreadsheets/d/1Kvs4KS76FHFqLFIZfrDMff4kP08nblUkihrxltoGBjg/edit#gid=934712705"",""ESENCIAL!A6:BG""),15,FALSE))"),"")</f>
        <v/>
      </c>
      <c r="AX811" s="21" t="str">
        <f ca="1">IFERROR(__xludf.DUMMYFUNCTION("IFERROR(VLOOKUP(E825&amp;F825,IMPORTRANGE(""https://docs.google.com/spreadsheets/d/1Uw7-A9f9R21vMXxHZFNpYNeKFtG8_yji4HS352LGlSQ/edit?pli=1#gid=0"",""1_ACUM!A4:S""),12,FALSE))"),"")</f>
        <v/>
      </c>
      <c r="AY811" s="43" t="str">
        <f ca="1">IFERROR(__xludf.DUMMYFUNCTION("IFERROR(VLOOKUP(E825&amp;F825,IMPORTRANGE(""https://docs.google.com/spreadsheets/d/1Uw7-A9f9R21vMXxHZFNpYNeKFtG8_yji4HS352LGlSQ/edit?pli=1#gid=0"",""1_ACUM!A4:S""),13,FALSE))"),"")</f>
        <v/>
      </c>
      <c r="AZ811" s="43" t="str">
        <f ca="1">IFERROR(__xludf.DUMMYFUNCTION("IFERROR(VLOOKUP(E825&amp;F825,IMPORTRANGE(""https://docs.google.com/spreadsheets/d/1Uw7-A9f9R21vMXxHZFNpYNeKFtG8_yji4HS352LGlSQ/edit?pli=1#gid=0"",""1_ACUM!A4:S""),14,FALSE))"),"")</f>
        <v/>
      </c>
      <c r="BA811" s="43" t="str">
        <f ca="1">IFERROR(__xludf.DUMMYFUNCTION("IFERROR(VLOOKUP(E825&amp;F825,IMPORTRANGE(""https://docs.google.com/spreadsheets/d/1Uw7-A9f9R21vMXxHZFNpYNeKFtG8_yji4HS352LGlSQ/edit?pli=1#gid=0"",""1_ACUM!A4:S""),15,FALSE))"),"")</f>
        <v/>
      </c>
      <c r="BB811" s="43" t="str">
        <f ca="1">IFERROR(__xludf.DUMMYFUNCTION("IFERROR(VLOOKUP(E825&amp;F825,IMPORTRANGE(""https://docs.google.com/spreadsheets/d/1Uw7-A9f9R21vMXxHZFNpYNeKFtG8_yji4HS352LGlSQ/edit?pli=1#gid=0"",""1_ACUM!A4:S""),16,FALSE))"),"")</f>
        <v/>
      </c>
      <c r="BC811" s="43" t="str">
        <f ca="1">IFERROR(__xludf.DUMMYFUNCTION("IFERROR(VLOOKUP(E825&amp;F825,IMPORTRANGE(""https://docs.google.com/spreadsheets/d/1Uw7-A9f9R21vMXxHZFNpYNeKFtG8_yji4HS352LGlSQ/edit?pli=1#gid=0"",""1_ACUM!A4:S""),17,FALSE))"),"")</f>
        <v/>
      </c>
      <c r="BD811" s="44" t="str">
        <f ca="1">IFERROR(__xludf.DUMMYFUNCTION("IFERROR(VLOOKUP(E825&amp;F825,IMPORTRANGE(""https://docs.google.com/spreadsheets/d/1Uw7-A9f9R21vMXxHZFNpYNeKFtG8_yji4HS352LGlSQ/edit?pli=1#gid=0"",""1_ACUM!A4:S""),18,FALSE))"),"")</f>
        <v/>
      </c>
      <c r="BE811" s="44" t="str">
        <f ca="1">IFERROR(__xludf.DUMMYFUNCTION("IFERROR(VLOOKUP(E825&amp;F825,IMPORTRANGE(""https://docs.google.com/spreadsheets/d/1Uw7-A9f9R21vMXxHZFNpYNeKFtG8_yji4HS352LGlSQ/edit?pli=1#gid=0"",""1_ACUM!A4:S""),19,FALSE))"),"")</f>
        <v/>
      </c>
      <c r="BF811" s="98" t="str">
        <f ca="1">IFERROR(__xludf.DUMMYFUNCTION("IFERROR(VLOOKUP(F825,IMPORTRANGE(""https://docs.google.com/spreadsheets/d/1Kvs4KS76FHFqLFIZfrDMff4kP08nblUkihrxltoGBjg/edit#gid=934712705"",""ESENCIAL!A6:BG""),5,FALSE))"),"")</f>
        <v/>
      </c>
      <c r="BG811" s="98" t="str">
        <f t="shared" si="25"/>
        <v/>
      </c>
      <c r="BH811" s="99" t="str">
        <f t="shared" si="26"/>
        <v/>
      </c>
      <c r="BI811" s="100" t="str">
        <f ca="1">IFERROR(__xludf.DUMMYFUNCTION("IFERROR(VLOOKUP(F825,IMPORTRANGE(""https://docs.google.com/spreadsheets/d/1Kvs4KS76FHFqLFIZfrDMff4kP08nblUkihrxltoGBjg/edit#gid=934712705"",""ESENCIAL!A6:BG""),2,FALSE))"),"")</f>
        <v/>
      </c>
      <c r="BJ811" s="19" t="str">
        <f t="shared" si="27"/>
        <v/>
      </c>
      <c r="BK811" s="100"/>
      <c r="BL811" s="100"/>
    </row>
    <row r="812" spans="1:64" ht="15">
      <c r="A812" s="5"/>
      <c r="B812" s="5"/>
      <c r="G812" s="5" t="str">
        <f ca="1">IFERROR(__xludf.DUMMYFUNCTION("IFERROR(VLOOKUP(F826,IMPORTRANGE(""https://docs.google.com/spreadsheets/d/1Kvs4KS76FHFqLFIZfrDMff4kP08nblUkihrxltoGBjg/edit#gid=934712705"",""ESENCIAL!A6:BG""),3,FALSE))"),"")</f>
        <v/>
      </c>
      <c r="H812" s="5" t="str">
        <f ca="1">IFERROR(__xludf.DUMMYFUNCTION("IFERROR(VLOOKUP(F826,IMPORTRANGE(""https://docs.google.com/spreadsheets/d/1Kvs4KS76FHFqLFIZfrDMff4kP08nblUkihrxltoGBjg/edit#gid=934712705"",""ESENCIAL!A6:BG""),8,FALSE))"),"")</f>
        <v/>
      </c>
      <c r="L812" s="287"/>
      <c r="U812" s="40"/>
      <c r="AU812" s="41" t="str">
        <f t="shared" si="24"/>
        <v/>
      </c>
      <c r="AV812" s="5" t="str">
        <f ca="1">IFERROR(__xludf.DUMMYFUNCTION("IFERROR(VLOOKUP(E826&amp;F826,IMPORTRANGE(""https://docs.google.com/spreadsheets/d/1Uw7-A9f9R21vMXxHZFNpYNeKFtG8_yji4HS352LGlSQ/edit?pli=1#gid=0"",""1_ACUM!A4:S""),11,FALSE))"),"")</f>
        <v/>
      </c>
      <c r="AW812" s="42" t="str">
        <f ca="1">IFERROR(__xludf.DUMMYFUNCTION("IFERROR(VLOOKUP(F826,IMPORTRANGE(""https://docs.google.com/spreadsheets/d/1Kvs4KS76FHFqLFIZfrDMff4kP08nblUkihrxltoGBjg/edit#gid=934712705"",""ESENCIAL!A6:BG""),15,FALSE))"),"")</f>
        <v/>
      </c>
      <c r="AX812" s="21" t="str">
        <f ca="1">IFERROR(__xludf.DUMMYFUNCTION("IFERROR(VLOOKUP(E826&amp;F826,IMPORTRANGE(""https://docs.google.com/spreadsheets/d/1Uw7-A9f9R21vMXxHZFNpYNeKFtG8_yji4HS352LGlSQ/edit?pli=1#gid=0"",""1_ACUM!A4:S""),12,FALSE))"),"")</f>
        <v/>
      </c>
      <c r="AY812" s="43" t="str">
        <f ca="1">IFERROR(__xludf.DUMMYFUNCTION("IFERROR(VLOOKUP(E826&amp;F826,IMPORTRANGE(""https://docs.google.com/spreadsheets/d/1Uw7-A9f9R21vMXxHZFNpYNeKFtG8_yji4HS352LGlSQ/edit?pli=1#gid=0"",""1_ACUM!A4:S""),13,FALSE))"),"")</f>
        <v/>
      </c>
      <c r="AZ812" s="43" t="str">
        <f ca="1">IFERROR(__xludf.DUMMYFUNCTION("IFERROR(VLOOKUP(E826&amp;F826,IMPORTRANGE(""https://docs.google.com/spreadsheets/d/1Uw7-A9f9R21vMXxHZFNpYNeKFtG8_yji4HS352LGlSQ/edit?pli=1#gid=0"",""1_ACUM!A4:S""),14,FALSE))"),"")</f>
        <v/>
      </c>
      <c r="BA812" s="43" t="str">
        <f ca="1">IFERROR(__xludf.DUMMYFUNCTION("IFERROR(VLOOKUP(E826&amp;F826,IMPORTRANGE(""https://docs.google.com/spreadsheets/d/1Uw7-A9f9R21vMXxHZFNpYNeKFtG8_yji4HS352LGlSQ/edit?pli=1#gid=0"",""1_ACUM!A4:S""),15,FALSE))"),"")</f>
        <v/>
      </c>
      <c r="BB812" s="43" t="str">
        <f ca="1">IFERROR(__xludf.DUMMYFUNCTION("IFERROR(VLOOKUP(E826&amp;F826,IMPORTRANGE(""https://docs.google.com/spreadsheets/d/1Uw7-A9f9R21vMXxHZFNpYNeKFtG8_yji4HS352LGlSQ/edit?pli=1#gid=0"",""1_ACUM!A4:S""),16,FALSE))"),"")</f>
        <v/>
      </c>
      <c r="BC812" s="43" t="str">
        <f ca="1">IFERROR(__xludf.DUMMYFUNCTION("IFERROR(VLOOKUP(E826&amp;F826,IMPORTRANGE(""https://docs.google.com/spreadsheets/d/1Uw7-A9f9R21vMXxHZFNpYNeKFtG8_yji4HS352LGlSQ/edit?pli=1#gid=0"",""1_ACUM!A4:S""),17,FALSE))"),"")</f>
        <v/>
      </c>
      <c r="BD812" s="44" t="str">
        <f ca="1">IFERROR(__xludf.DUMMYFUNCTION("IFERROR(VLOOKUP(E826&amp;F826,IMPORTRANGE(""https://docs.google.com/spreadsheets/d/1Uw7-A9f9R21vMXxHZFNpYNeKFtG8_yji4HS352LGlSQ/edit?pli=1#gid=0"",""1_ACUM!A4:S""),18,FALSE))"),"")</f>
        <v/>
      </c>
      <c r="BE812" s="44" t="str">
        <f ca="1">IFERROR(__xludf.DUMMYFUNCTION("IFERROR(VLOOKUP(E826&amp;F826,IMPORTRANGE(""https://docs.google.com/spreadsheets/d/1Uw7-A9f9R21vMXxHZFNpYNeKFtG8_yji4HS352LGlSQ/edit?pli=1#gid=0"",""1_ACUM!A4:S""),19,FALSE))"),"")</f>
        <v/>
      </c>
      <c r="BF812" s="98" t="str">
        <f ca="1">IFERROR(__xludf.DUMMYFUNCTION("IFERROR(VLOOKUP(F826,IMPORTRANGE(""https://docs.google.com/spreadsheets/d/1Kvs4KS76FHFqLFIZfrDMff4kP08nblUkihrxltoGBjg/edit#gid=934712705"",""ESENCIAL!A6:BG""),5,FALSE))"),"")</f>
        <v/>
      </c>
      <c r="BG812" s="98" t="str">
        <f t="shared" si="25"/>
        <v/>
      </c>
      <c r="BH812" s="99" t="str">
        <f t="shared" si="26"/>
        <v/>
      </c>
      <c r="BI812" s="100" t="str">
        <f ca="1">IFERROR(__xludf.DUMMYFUNCTION("IFERROR(VLOOKUP(F826,IMPORTRANGE(""https://docs.google.com/spreadsheets/d/1Kvs4KS76FHFqLFIZfrDMff4kP08nblUkihrxltoGBjg/edit#gid=934712705"",""ESENCIAL!A6:BG""),2,FALSE))"),"")</f>
        <v/>
      </c>
      <c r="BJ812" s="19" t="str">
        <f t="shared" si="27"/>
        <v/>
      </c>
      <c r="BK812" s="100"/>
      <c r="BL812" s="100"/>
    </row>
    <row r="813" spans="1:64" ht="15">
      <c r="A813" s="5"/>
      <c r="B813" s="5"/>
      <c r="G813" s="5" t="str">
        <f ca="1">IFERROR(__xludf.DUMMYFUNCTION("IFERROR(VLOOKUP(F827,IMPORTRANGE(""https://docs.google.com/spreadsheets/d/1Kvs4KS76FHFqLFIZfrDMff4kP08nblUkihrxltoGBjg/edit#gid=934712705"",""ESENCIAL!A6:BG""),3,FALSE))"),"")</f>
        <v/>
      </c>
      <c r="H813" s="5" t="str">
        <f ca="1">IFERROR(__xludf.DUMMYFUNCTION("IFERROR(VLOOKUP(F827,IMPORTRANGE(""https://docs.google.com/spreadsheets/d/1Kvs4KS76FHFqLFIZfrDMff4kP08nblUkihrxltoGBjg/edit#gid=934712705"",""ESENCIAL!A6:BG""),8,FALSE))"),"")</f>
        <v/>
      </c>
      <c r="L813" s="287"/>
      <c r="U813" s="40"/>
      <c r="AU813" s="41" t="str">
        <f t="shared" si="24"/>
        <v/>
      </c>
      <c r="AV813" s="5" t="str">
        <f ca="1">IFERROR(__xludf.DUMMYFUNCTION("IFERROR(VLOOKUP(E827&amp;F827,IMPORTRANGE(""https://docs.google.com/spreadsheets/d/1Uw7-A9f9R21vMXxHZFNpYNeKFtG8_yji4HS352LGlSQ/edit?pli=1#gid=0"",""1_ACUM!A4:S""),11,FALSE))"),"")</f>
        <v/>
      </c>
      <c r="AW813" s="42" t="str">
        <f ca="1">IFERROR(__xludf.DUMMYFUNCTION("IFERROR(VLOOKUP(F827,IMPORTRANGE(""https://docs.google.com/spreadsheets/d/1Kvs4KS76FHFqLFIZfrDMff4kP08nblUkihrxltoGBjg/edit#gid=934712705"",""ESENCIAL!A6:BG""),15,FALSE))"),"")</f>
        <v/>
      </c>
      <c r="AX813" s="21" t="str">
        <f ca="1">IFERROR(__xludf.DUMMYFUNCTION("IFERROR(VLOOKUP(E827&amp;F827,IMPORTRANGE(""https://docs.google.com/spreadsheets/d/1Uw7-A9f9R21vMXxHZFNpYNeKFtG8_yji4HS352LGlSQ/edit?pli=1#gid=0"",""1_ACUM!A4:S""),12,FALSE))"),"")</f>
        <v/>
      </c>
      <c r="AY813" s="43" t="str">
        <f ca="1">IFERROR(__xludf.DUMMYFUNCTION("IFERROR(VLOOKUP(E827&amp;F827,IMPORTRANGE(""https://docs.google.com/spreadsheets/d/1Uw7-A9f9R21vMXxHZFNpYNeKFtG8_yji4HS352LGlSQ/edit?pli=1#gid=0"",""1_ACUM!A4:S""),13,FALSE))"),"")</f>
        <v/>
      </c>
      <c r="AZ813" s="43" t="str">
        <f ca="1">IFERROR(__xludf.DUMMYFUNCTION("IFERROR(VLOOKUP(E827&amp;F827,IMPORTRANGE(""https://docs.google.com/spreadsheets/d/1Uw7-A9f9R21vMXxHZFNpYNeKFtG8_yji4HS352LGlSQ/edit?pli=1#gid=0"",""1_ACUM!A4:S""),14,FALSE))"),"")</f>
        <v/>
      </c>
      <c r="BA813" s="43" t="str">
        <f ca="1">IFERROR(__xludf.DUMMYFUNCTION("IFERROR(VLOOKUP(E827&amp;F827,IMPORTRANGE(""https://docs.google.com/spreadsheets/d/1Uw7-A9f9R21vMXxHZFNpYNeKFtG8_yji4HS352LGlSQ/edit?pli=1#gid=0"",""1_ACUM!A4:S""),15,FALSE))"),"")</f>
        <v/>
      </c>
      <c r="BB813" s="43" t="str">
        <f ca="1">IFERROR(__xludf.DUMMYFUNCTION("IFERROR(VLOOKUP(E827&amp;F827,IMPORTRANGE(""https://docs.google.com/spreadsheets/d/1Uw7-A9f9R21vMXxHZFNpYNeKFtG8_yji4HS352LGlSQ/edit?pli=1#gid=0"",""1_ACUM!A4:S""),16,FALSE))"),"")</f>
        <v/>
      </c>
      <c r="BC813" s="43" t="str">
        <f ca="1">IFERROR(__xludf.DUMMYFUNCTION("IFERROR(VLOOKUP(E827&amp;F827,IMPORTRANGE(""https://docs.google.com/spreadsheets/d/1Uw7-A9f9R21vMXxHZFNpYNeKFtG8_yji4HS352LGlSQ/edit?pli=1#gid=0"",""1_ACUM!A4:S""),17,FALSE))"),"")</f>
        <v/>
      </c>
      <c r="BD813" s="44" t="str">
        <f ca="1">IFERROR(__xludf.DUMMYFUNCTION("IFERROR(VLOOKUP(E827&amp;F827,IMPORTRANGE(""https://docs.google.com/spreadsheets/d/1Uw7-A9f9R21vMXxHZFNpYNeKFtG8_yji4HS352LGlSQ/edit?pli=1#gid=0"",""1_ACUM!A4:S""),18,FALSE))"),"")</f>
        <v/>
      </c>
      <c r="BE813" s="44" t="str">
        <f ca="1">IFERROR(__xludf.DUMMYFUNCTION("IFERROR(VLOOKUP(E827&amp;F827,IMPORTRANGE(""https://docs.google.com/spreadsheets/d/1Uw7-A9f9R21vMXxHZFNpYNeKFtG8_yji4HS352LGlSQ/edit?pli=1#gid=0"",""1_ACUM!A4:S""),19,FALSE))"),"")</f>
        <v/>
      </c>
      <c r="BF813" s="98" t="str">
        <f ca="1">IFERROR(__xludf.DUMMYFUNCTION("IFERROR(VLOOKUP(F827,IMPORTRANGE(""https://docs.google.com/spreadsheets/d/1Kvs4KS76FHFqLFIZfrDMff4kP08nblUkihrxltoGBjg/edit#gid=934712705"",""ESENCIAL!A6:BG""),5,FALSE))"),"")</f>
        <v/>
      </c>
      <c r="BG813" s="98" t="str">
        <f t="shared" si="25"/>
        <v/>
      </c>
      <c r="BH813" s="99" t="str">
        <f t="shared" si="26"/>
        <v/>
      </c>
      <c r="BI813" s="100" t="str">
        <f ca="1">IFERROR(__xludf.DUMMYFUNCTION("IFERROR(VLOOKUP(F827,IMPORTRANGE(""https://docs.google.com/spreadsheets/d/1Kvs4KS76FHFqLFIZfrDMff4kP08nblUkihrxltoGBjg/edit#gid=934712705"",""ESENCIAL!A6:BG""),2,FALSE))"),"")</f>
        <v/>
      </c>
      <c r="BJ813" s="19" t="str">
        <f t="shared" si="27"/>
        <v/>
      </c>
      <c r="BK813" s="100"/>
      <c r="BL813" s="100"/>
    </row>
    <row r="814" spans="1:64" ht="15">
      <c r="A814" s="5"/>
      <c r="B814" s="5"/>
      <c r="G814" s="5" t="str">
        <f ca="1">IFERROR(__xludf.DUMMYFUNCTION("IFERROR(VLOOKUP(F828,IMPORTRANGE(""https://docs.google.com/spreadsheets/d/1Kvs4KS76FHFqLFIZfrDMff4kP08nblUkihrxltoGBjg/edit#gid=934712705"",""ESENCIAL!A6:BG""),3,FALSE))"),"")</f>
        <v/>
      </c>
      <c r="H814" s="5" t="str">
        <f ca="1">IFERROR(__xludf.DUMMYFUNCTION("IFERROR(VLOOKUP(F828,IMPORTRANGE(""https://docs.google.com/spreadsheets/d/1Kvs4KS76FHFqLFIZfrDMff4kP08nblUkihrxltoGBjg/edit#gid=934712705"",""ESENCIAL!A6:BG""),8,FALSE))"),"")</f>
        <v/>
      </c>
      <c r="L814" s="287"/>
      <c r="U814" s="40"/>
      <c r="AU814" s="41" t="str">
        <f t="shared" si="24"/>
        <v/>
      </c>
      <c r="AV814" s="5" t="str">
        <f ca="1">IFERROR(__xludf.DUMMYFUNCTION("IFERROR(VLOOKUP(E828&amp;F828,IMPORTRANGE(""https://docs.google.com/spreadsheets/d/1Uw7-A9f9R21vMXxHZFNpYNeKFtG8_yji4HS352LGlSQ/edit?pli=1#gid=0"",""1_ACUM!A4:S""),11,FALSE))"),"")</f>
        <v/>
      </c>
      <c r="AW814" s="42" t="str">
        <f ca="1">IFERROR(__xludf.DUMMYFUNCTION("IFERROR(VLOOKUP(F828,IMPORTRANGE(""https://docs.google.com/spreadsheets/d/1Kvs4KS76FHFqLFIZfrDMff4kP08nblUkihrxltoGBjg/edit#gid=934712705"",""ESENCIAL!A6:BG""),15,FALSE))"),"")</f>
        <v/>
      </c>
      <c r="AX814" s="21" t="str">
        <f ca="1">IFERROR(__xludf.DUMMYFUNCTION("IFERROR(VLOOKUP(E828&amp;F828,IMPORTRANGE(""https://docs.google.com/spreadsheets/d/1Uw7-A9f9R21vMXxHZFNpYNeKFtG8_yji4HS352LGlSQ/edit?pli=1#gid=0"",""1_ACUM!A4:S""),12,FALSE))"),"")</f>
        <v/>
      </c>
      <c r="AY814" s="43" t="str">
        <f ca="1">IFERROR(__xludf.DUMMYFUNCTION("IFERROR(VLOOKUP(E828&amp;F828,IMPORTRANGE(""https://docs.google.com/spreadsheets/d/1Uw7-A9f9R21vMXxHZFNpYNeKFtG8_yji4HS352LGlSQ/edit?pli=1#gid=0"",""1_ACUM!A4:S""),13,FALSE))"),"")</f>
        <v/>
      </c>
      <c r="AZ814" s="43" t="str">
        <f ca="1">IFERROR(__xludf.DUMMYFUNCTION("IFERROR(VLOOKUP(E828&amp;F828,IMPORTRANGE(""https://docs.google.com/spreadsheets/d/1Uw7-A9f9R21vMXxHZFNpYNeKFtG8_yji4HS352LGlSQ/edit?pli=1#gid=0"",""1_ACUM!A4:S""),14,FALSE))"),"")</f>
        <v/>
      </c>
      <c r="BA814" s="43" t="str">
        <f ca="1">IFERROR(__xludf.DUMMYFUNCTION("IFERROR(VLOOKUP(E828&amp;F828,IMPORTRANGE(""https://docs.google.com/spreadsheets/d/1Uw7-A9f9R21vMXxHZFNpYNeKFtG8_yji4HS352LGlSQ/edit?pli=1#gid=0"",""1_ACUM!A4:S""),15,FALSE))"),"")</f>
        <v/>
      </c>
      <c r="BB814" s="43" t="str">
        <f ca="1">IFERROR(__xludf.DUMMYFUNCTION("IFERROR(VLOOKUP(E828&amp;F828,IMPORTRANGE(""https://docs.google.com/spreadsheets/d/1Uw7-A9f9R21vMXxHZFNpYNeKFtG8_yji4HS352LGlSQ/edit?pli=1#gid=0"",""1_ACUM!A4:S""),16,FALSE))"),"")</f>
        <v/>
      </c>
      <c r="BC814" s="43" t="str">
        <f ca="1">IFERROR(__xludf.DUMMYFUNCTION("IFERROR(VLOOKUP(E828&amp;F828,IMPORTRANGE(""https://docs.google.com/spreadsheets/d/1Uw7-A9f9R21vMXxHZFNpYNeKFtG8_yji4HS352LGlSQ/edit?pli=1#gid=0"",""1_ACUM!A4:S""),17,FALSE))"),"")</f>
        <v/>
      </c>
      <c r="BD814" s="44" t="str">
        <f ca="1">IFERROR(__xludf.DUMMYFUNCTION("IFERROR(VLOOKUP(E828&amp;F828,IMPORTRANGE(""https://docs.google.com/spreadsheets/d/1Uw7-A9f9R21vMXxHZFNpYNeKFtG8_yji4HS352LGlSQ/edit?pli=1#gid=0"",""1_ACUM!A4:S""),18,FALSE))"),"")</f>
        <v/>
      </c>
      <c r="BE814" s="44" t="str">
        <f ca="1">IFERROR(__xludf.DUMMYFUNCTION("IFERROR(VLOOKUP(E828&amp;F828,IMPORTRANGE(""https://docs.google.com/spreadsheets/d/1Uw7-A9f9R21vMXxHZFNpYNeKFtG8_yji4HS352LGlSQ/edit?pli=1#gid=0"",""1_ACUM!A4:S""),19,FALSE))"),"")</f>
        <v/>
      </c>
      <c r="BF814" s="98" t="str">
        <f ca="1">IFERROR(__xludf.DUMMYFUNCTION("IFERROR(VLOOKUP(F828,IMPORTRANGE(""https://docs.google.com/spreadsheets/d/1Kvs4KS76FHFqLFIZfrDMff4kP08nblUkihrxltoGBjg/edit#gid=934712705"",""ESENCIAL!A6:BG""),5,FALSE))"),"")</f>
        <v/>
      </c>
      <c r="BG814" s="98" t="str">
        <f t="shared" si="25"/>
        <v/>
      </c>
      <c r="BH814" s="99" t="str">
        <f t="shared" si="26"/>
        <v/>
      </c>
      <c r="BI814" s="100" t="str">
        <f ca="1">IFERROR(__xludf.DUMMYFUNCTION("IFERROR(VLOOKUP(F828,IMPORTRANGE(""https://docs.google.com/spreadsheets/d/1Kvs4KS76FHFqLFIZfrDMff4kP08nblUkihrxltoGBjg/edit#gid=934712705"",""ESENCIAL!A6:BG""),2,FALSE))"),"")</f>
        <v/>
      </c>
      <c r="BJ814" s="19" t="str">
        <f t="shared" si="27"/>
        <v/>
      </c>
      <c r="BK814" s="100"/>
      <c r="BL814" s="100"/>
    </row>
    <row r="815" spans="1:64" ht="15">
      <c r="A815" s="5"/>
      <c r="B815" s="5"/>
      <c r="G815" s="5" t="str">
        <f ca="1">IFERROR(__xludf.DUMMYFUNCTION("IFERROR(VLOOKUP(F829,IMPORTRANGE(""https://docs.google.com/spreadsheets/d/1Kvs4KS76FHFqLFIZfrDMff4kP08nblUkihrxltoGBjg/edit#gid=934712705"",""ESENCIAL!A6:BG""),3,FALSE))"),"")</f>
        <v/>
      </c>
      <c r="H815" s="5" t="str">
        <f ca="1">IFERROR(__xludf.DUMMYFUNCTION("IFERROR(VLOOKUP(F829,IMPORTRANGE(""https://docs.google.com/spreadsheets/d/1Kvs4KS76FHFqLFIZfrDMff4kP08nblUkihrxltoGBjg/edit#gid=934712705"",""ESENCIAL!A6:BG""),8,FALSE))"),"")</f>
        <v/>
      </c>
      <c r="L815" s="287"/>
      <c r="U815" s="40"/>
      <c r="AU815" s="41" t="str">
        <f t="shared" si="24"/>
        <v/>
      </c>
      <c r="AV815" s="5" t="str">
        <f ca="1">IFERROR(__xludf.DUMMYFUNCTION("IFERROR(VLOOKUP(E829&amp;F829,IMPORTRANGE(""https://docs.google.com/spreadsheets/d/1Uw7-A9f9R21vMXxHZFNpYNeKFtG8_yji4HS352LGlSQ/edit?pli=1#gid=0"",""1_ACUM!A4:S""),11,FALSE))"),"")</f>
        <v/>
      </c>
      <c r="AW815" s="42" t="str">
        <f ca="1">IFERROR(__xludf.DUMMYFUNCTION("IFERROR(VLOOKUP(F829,IMPORTRANGE(""https://docs.google.com/spreadsheets/d/1Kvs4KS76FHFqLFIZfrDMff4kP08nblUkihrxltoGBjg/edit#gid=934712705"",""ESENCIAL!A6:BG""),15,FALSE))"),"")</f>
        <v/>
      </c>
      <c r="AX815" s="21" t="str">
        <f ca="1">IFERROR(__xludf.DUMMYFUNCTION("IFERROR(VLOOKUP(E829&amp;F829,IMPORTRANGE(""https://docs.google.com/spreadsheets/d/1Uw7-A9f9R21vMXxHZFNpYNeKFtG8_yji4HS352LGlSQ/edit?pli=1#gid=0"",""1_ACUM!A4:S""),12,FALSE))"),"")</f>
        <v/>
      </c>
      <c r="AY815" s="43" t="str">
        <f ca="1">IFERROR(__xludf.DUMMYFUNCTION("IFERROR(VLOOKUP(E829&amp;F829,IMPORTRANGE(""https://docs.google.com/spreadsheets/d/1Uw7-A9f9R21vMXxHZFNpYNeKFtG8_yji4HS352LGlSQ/edit?pli=1#gid=0"",""1_ACUM!A4:S""),13,FALSE))"),"")</f>
        <v/>
      </c>
      <c r="AZ815" s="43" t="str">
        <f ca="1">IFERROR(__xludf.DUMMYFUNCTION("IFERROR(VLOOKUP(E829&amp;F829,IMPORTRANGE(""https://docs.google.com/spreadsheets/d/1Uw7-A9f9R21vMXxHZFNpYNeKFtG8_yji4HS352LGlSQ/edit?pli=1#gid=0"",""1_ACUM!A4:S""),14,FALSE))"),"")</f>
        <v/>
      </c>
      <c r="BA815" s="43" t="str">
        <f ca="1">IFERROR(__xludf.DUMMYFUNCTION("IFERROR(VLOOKUP(E829&amp;F829,IMPORTRANGE(""https://docs.google.com/spreadsheets/d/1Uw7-A9f9R21vMXxHZFNpYNeKFtG8_yji4HS352LGlSQ/edit?pli=1#gid=0"",""1_ACUM!A4:S""),15,FALSE))"),"")</f>
        <v/>
      </c>
      <c r="BB815" s="43" t="str">
        <f ca="1">IFERROR(__xludf.DUMMYFUNCTION("IFERROR(VLOOKUP(E829&amp;F829,IMPORTRANGE(""https://docs.google.com/spreadsheets/d/1Uw7-A9f9R21vMXxHZFNpYNeKFtG8_yji4HS352LGlSQ/edit?pli=1#gid=0"",""1_ACUM!A4:S""),16,FALSE))"),"")</f>
        <v/>
      </c>
      <c r="BC815" s="43" t="str">
        <f ca="1">IFERROR(__xludf.DUMMYFUNCTION("IFERROR(VLOOKUP(E829&amp;F829,IMPORTRANGE(""https://docs.google.com/spreadsheets/d/1Uw7-A9f9R21vMXxHZFNpYNeKFtG8_yji4HS352LGlSQ/edit?pli=1#gid=0"",""1_ACUM!A4:S""),17,FALSE))"),"")</f>
        <v/>
      </c>
      <c r="BD815" s="44" t="str">
        <f ca="1">IFERROR(__xludf.DUMMYFUNCTION("IFERROR(VLOOKUP(E829&amp;F829,IMPORTRANGE(""https://docs.google.com/spreadsheets/d/1Uw7-A9f9R21vMXxHZFNpYNeKFtG8_yji4HS352LGlSQ/edit?pli=1#gid=0"",""1_ACUM!A4:S""),18,FALSE))"),"")</f>
        <v/>
      </c>
      <c r="BE815" s="44" t="str">
        <f ca="1">IFERROR(__xludf.DUMMYFUNCTION("IFERROR(VLOOKUP(E829&amp;F829,IMPORTRANGE(""https://docs.google.com/spreadsheets/d/1Uw7-A9f9R21vMXxHZFNpYNeKFtG8_yji4HS352LGlSQ/edit?pli=1#gid=0"",""1_ACUM!A4:S""),19,FALSE))"),"")</f>
        <v/>
      </c>
      <c r="BF815" s="98" t="str">
        <f ca="1">IFERROR(__xludf.DUMMYFUNCTION("IFERROR(VLOOKUP(F829,IMPORTRANGE(""https://docs.google.com/spreadsheets/d/1Kvs4KS76FHFqLFIZfrDMff4kP08nblUkihrxltoGBjg/edit#gid=934712705"",""ESENCIAL!A6:BG""),5,FALSE))"),"")</f>
        <v/>
      </c>
      <c r="BG815" s="98" t="str">
        <f t="shared" si="25"/>
        <v/>
      </c>
      <c r="BH815" s="99" t="str">
        <f t="shared" si="26"/>
        <v/>
      </c>
      <c r="BI815" s="100" t="str">
        <f ca="1">IFERROR(__xludf.DUMMYFUNCTION("IFERROR(VLOOKUP(F829,IMPORTRANGE(""https://docs.google.com/spreadsheets/d/1Kvs4KS76FHFqLFIZfrDMff4kP08nblUkihrxltoGBjg/edit#gid=934712705"",""ESENCIAL!A6:BG""),2,FALSE))"),"")</f>
        <v/>
      </c>
      <c r="BJ815" s="19" t="str">
        <f t="shared" si="27"/>
        <v/>
      </c>
      <c r="BK815" s="100"/>
      <c r="BL815" s="100"/>
    </row>
    <row r="816" spans="1:64" ht="15">
      <c r="A816" s="5"/>
      <c r="B816" s="5"/>
      <c r="G816" s="5" t="str">
        <f ca="1">IFERROR(__xludf.DUMMYFUNCTION("IFERROR(VLOOKUP(F830,IMPORTRANGE(""https://docs.google.com/spreadsheets/d/1Kvs4KS76FHFqLFIZfrDMff4kP08nblUkihrxltoGBjg/edit#gid=934712705"",""ESENCIAL!A6:BG""),3,FALSE))"),"")</f>
        <v/>
      </c>
      <c r="H816" s="5" t="str">
        <f ca="1">IFERROR(__xludf.DUMMYFUNCTION("IFERROR(VLOOKUP(F830,IMPORTRANGE(""https://docs.google.com/spreadsheets/d/1Kvs4KS76FHFqLFIZfrDMff4kP08nblUkihrxltoGBjg/edit#gid=934712705"",""ESENCIAL!A6:BG""),8,FALSE))"),"")</f>
        <v/>
      </c>
      <c r="L816" s="287"/>
      <c r="U816" s="40"/>
      <c r="AU816" s="41" t="str">
        <f t="shared" si="24"/>
        <v/>
      </c>
      <c r="AV816" s="5" t="str">
        <f ca="1">IFERROR(__xludf.DUMMYFUNCTION("IFERROR(VLOOKUP(E830&amp;F830,IMPORTRANGE(""https://docs.google.com/spreadsheets/d/1Uw7-A9f9R21vMXxHZFNpYNeKFtG8_yji4HS352LGlSQ/edit?pli=1#gid=0"",""1_ACUM!A4:S""),11,FALSE))"),"")</f>
        <v/>
      </c>
      <c r="AW816" s="42" t="str">
        <f ca="1">IFERROR(__xludf.DUMMYFUNCTION("IFERROR(VLOOKUP(F830,IMPORTRANGE(""https://docs.google.com/spreadsheets/d/1Kvs4KS76FHFqLFIZfrDMff4kP08nblUkihrxltoGBjg/edit#gid=934712705"",""ESENCIAL!A6:BG""),15,FALSE))"),"")</f>
        <v/>
      </c>
      <c r="AX816" s="21" t="str">
        <f ca="1">IFERROR(__xludf.DUMMYFUNCTION("IFERROR(VLOOKUP(E830&amp;F830,IMPORTRANGE(""https://docs.google.com/spreadsheets/d/1Uw7-A9f9R21vMXxHZFNpYNeKFtG8_yji4HS352LGlSQ/edit?pli=1#gid=0"",""1_ACUM!A4:S""),12,FALSE))"),"")</f>
        <v/>
      </c>
      <c r="AY816" s="43" t="str">
        <f ca="1">IFERROR(__xludf.DUMMYFUNCTION("IFERROR(VLOOKUP(E830&amp;F830,IMPORTRANGE(""https://docs.google.com/spreadsheets/d/1Uw7-A9f9R21vMXxHZFNpYNeKFtG8_yji4HS352LGlSQ/edit?pli=1#gid=0"",""1_ACUM!A4:S""),13,FALSE))"),"")</f>
        <v/>
      </c>
      <c r="AZ816" s="43" t="str">
        <f ca="1">IFERROR(__xludf.DUMMYFUNCTION("IFERROR(VLOOKUP(E830&amp;F830,IMPORTRANGE(""https://docs.google.com/spreadsheets/d/1Uw7-A9f9R21vMXxHZFNpYNeKFtG8_yji4HS352LGlSQ/edit?pli=1#gid=0"",""1_ACUM!A4:S""),14,FALSE))"),"")</f>
        <v/>
      </c>
      <c r="BA816" s="43" t="str">
        <f ca="1">IFERROR(__xludf.DUMMYFUNCTION("IFERROR(VLOOKUP(E830&amp;F830,IMPORTRANGE(""https://docs.google.com/spreadsheets/d/1Uw7-A9f9R21vMXxHZFNpYNeKFtG8_yji4HS352LGlSQ/edit?pli=1#gid=0"",""1_ACUM!A4:S""),15,FALSE))"),"")</f>
        <v/>
      </c>
      <c r="BB816" s="43" t="str">
        <f ca="1">IFERROR(__xludf.DUMMYFUNCTION("IFERROR(VLOOKUP(E830&amp;F830,IMPORTRANGE(""https://docs.google.com/spreadsheets/d/1Uw7-A9f9R21vMXxHZFNpYNeKFtG8_yji4HS352LGlSQ/edit?pli=1#gid=0"",""1_ACUM!A4:S""),16,FALSE))"),"")</f>
        <v/>
      </c>
      <c r="BC816" s="43" t="str">
        <f ca="1">IFERROR(__xludf.DUMMYFUNCTION("IFERROR(VLOOKUP(E830&amp;F830,IMPORTRANGE(""https://docs.google.com/spreadsheets/d/1Uw7-A9f9R21vMXxHZFNpYNeKFtG8_yji4HS352LGlSQ/edit?pli=1#gid=0"",""1_ACUM!A4:S""),17,FALSE))"),"")</f>
        <v/>
      </c>
      <c r="BD816" s="44" t="str">
        <f ca="1">IFERROR(__xludf.DUMMYFUNCTION("IFERROR(VLOOKUP(E830&amp;F830,IMPORTRANGE(""https://docs.google.com/spreadsheets/d/1Uw7-A9f9R21vMXxHZFNpYNeKFtG8_yji4HS352LGlSQ/edit?pli=1#gid=0"",""1_ACUM!A4:S""),18,FALSE))"),"")</f>
        <v/>
      </c>
      <c r="BE816" s="44" t="str">
        <f ca="1">IFERROR(__xludf.DUMMYFUNCTION("IFERROR(VLOOKUP(E830&amp;F830,IMPORTRANGE(""https://docs.google.com/spreadsheets/d/1Uw7-A9f9R21vMXxHZFNpYNeKFtG8_yji4HS352LGlSQ/edit?pli=1#gid=0"",""1_ACUM!A4:S""),19,FALSE))"),"")</f>
        <v/>
      </c>
      <c r="BF816" s="98" t="str">
        <f ca="1">IFERROR(__xludf.DUMMYFUNCTION("IFERROR(VLOOKUP(F830,IMPORTRANGE(""https://docs.google.com/spreadsheets/d/1Kvs4KS76FHFqLFIZfrDMff4kP08nblUkihrxltoGBjg/edit#gid=934712705"",""ESENCIAL!A6:BG""),5,FALSE))"),"")</f>
        <v/>
      </c>
      <c r="BG816" s="98" t="str">
        <f t="shared" si="25"/>
        <v/>
      </c>
      <c r="BH816" s="99" t="str">
        <f t="shared" si="26"/>
        <v/>
      </c>
      <c r="BI816" s="100" t="str">
        <f ca="1">IFERROR(__xludf.DUMMYFUNCTION("IFERROR(VLOOKUP(F830,IMPORTRANGE(""https://docs.google.com/spreadsheets/d/1Kvs4KS76FHFqLFIZfrDMff4kP08nblUkihrxltoGBjg/edit#gid=934712705"",""ESENCIAL!A6:BG""),2,FALSE))"),"")</f>
        <v/>
      </c>
      <c r="BJ816" s="19" t="str">
        <f t="shared" si="27"/>
        <v/>
      </c>
      <c r="BK816" s="100"/>
      <c r="BL816" s="100"/>
    </row>
    <row r="817" spans="1:64" ht="15">
      <c r="A817" s="5"/>
      <c r="B817" s="5"/>
      <c r="G817" s="5" t="str">
        <f ca="1">IFERROR(__xludf.DUMMYFUNCTION("IFERROR(VLOOKUP(F831,IMPORTRANGE(""https://docs.google.com/spreadsheets/d/1Kvs4KS76FHFqLFIZfrDMff4kP08nblUkihrxltoGBjg/edit#gid=934712705"",""ESENCIAL!A6:BG""),3,FALSE))"),"")</f>
        <v/>
      </c>
      <c r="H817" s="5" t="str">
        <f ca="1">IFERROR(__xludf.DUMMYFUNCTION("IFERROR(VLOOKUP(F831,IMPORTRANGE(""https://docs.google.com/spreadsheets/d/1Kvs4KS76FHFqLFIZfrDMff4kP08nblUkihrxltoGBjg/edit#gid=934712705"",""ESENCIAL!A6:BG""),8,FALSE))"),"")</f>
        <v/>
      </c>
      <c r="L817" s="287"/>
      <c r="U817" s="40"/>
      <c r="AU817" s="41" t="str">
        <f t="shared" si="24"/>
        <v/>
      </c>
      <c r="AV817" s="5" t="str">
        <f ca="1">IFERROR(__xludf.DUMMYFUNCTION("IFERROR(VLOOKUP(E831&amp;F831,IMPORTRANGE(""https://docs.google.com/spreadsheets/d/1Uw7-A9f9R21vMXxHZFNpYNeKFtG8_yji4HS352LGlSQ/edit?pli=1#gid=0"",""1_ACUM!A4:S""),11,FALSE))"),"")</f>
        <v/>
      </c>
      <c r="AW817" s="42" t="str">
        <f ca="1">IFERROR(__xludf.DUMMYFUNCTION("IFERROR(VLOOKUP(F831,IMPORTRANGE(""https://docs.google.com/spreadsheets/d/1Kvs4KS76FHFqLFIZfrDMff4kP08nblUkihrxltoGBjg/edit#gid=934712705"",""ESENCIAL!A6:BG""),15,FALSE))"),"")</f>
        <v/>
      </c>
      <c r="AX817" s="21" t="str">
        <f ca="1">IFERROR(__xludf.DUMMYFUNCTION("IFERROR(VLOOKUP(E831&amp;F831,IMPORTRANGE(""https://docs.google.com/spreadsheets/d/1Uw7-A9f9R21vMXxHZFNpYNeKFtG8_yji4HS352LGlSQ/edit?pli=1#gid=0"",""1_ACUM!A4:S""),12,FALSE))"),"")</f>
        <v/>
      </c>
      <c r="AY817" s="43" t="str">
        <f ca="1">IFERROR(__xludf.DUMMYFUNCTION("IFERROR(VLOOKUP(E831&amp;F831,IMPORTRANGE(""https://docs.google.com/spreadsheets/d/1Uw7-A9f9R21vMXxHZFNpYNeKFtG8_yji4HS352LGlSQ/edit?pli=1#gid=0"",""1_ACUM!A4:S""),13,FALSE))"),"")</f>
        <v/>
      </c>
      <c r="AZ817" s="43" t="str">
        <f ca="1">IFERROR(__xludf.DUMMYFUNCTION("IFERROR(VLOOKUP(E831&amp;F831,IMPORTRANGE(""https://docs.google.com/spreadsheets/d/1Uw7-A9f9R21vMXxHZFNpYNeKFtG8_yji4HS352LGlSQ/edit?pli=1#gid=0"",""1_ACUM!A4:S""),14,FALSE))"),"")</f>
        <v/>
      </c>
      <c r="BA817" s="43" t="str">
        <f ca="1">IFERROR(__xludf.DUMMYFUNCTION("IFERROR(VLOOKUP(E831&amp;F831,IMPORTRANGE(""https://docs.google.com/spreadsheets/d/1Uw7-A9f9R21vMXxHZFNpYNeKFtG8_yji4HS352LGlSQ/edit?pli=1#gid=0"",""1_ACUM!A4:S""),15,FALSE))"),"")</f>
        <v/>
      </c>
      <c r="BB817" s="43" t="str">
        <f ca="1">IFERROR(__xludf.DUMMYFUNCTION("IFERROR(VLOOKUP(E831&amp;F831,IMPORTRANGE(""https://docs.google.com/spreadsheets/d/1Uw7-A9f9R21vMXxHZFNpYNeKFtG8_yji4HS352LGlSQ/edit?pli=1#gid=0"",""1_ACUM!A4:S""),16,FALSE))"),"")</f>
        <v/>
      </c>
      <c r="BC817" s="43" t="str">
        <f ca="1">IFERROR(__xludf.DUMMYFUNCTION("IFERROR(VLOOKUP(E831&amp;F831,IMPORTRANGE(""https://docs.google.com/spreadsheets/d/1Uw7-A9f9R21vMXxHZFNpYNeKFtG8_yji4HS352LGlSQ/edit?pli=1#gid=0"",""1_ACUM!A4:S""),17,FALSE))"),"")</f>
        <v/>
      </c>
      <c r="BD817" s="44" t="str">
        <f ca="1">IFERROR(__xludf.DUMMYFUNCTION("IFERROR(VLOOKUP(E831&amp;F831,IMPORTRANGE(""https://docs.google.com/spreadsheets/d/1Uw7-A9f9R21vMXxHZFNpYNeKFtG8_yji4HS352LGlSQ/edit?pli=1#gid=0"",""1_ACUM!A4:S""),18,FALSE))"),"")</f>
        <v/>
      </c>
      <c r="BE817" s="44" t="str">
        <f ca="1">IFERROR(__xludf.DUMMYFUNCTION("IFERROR(VLOOKUP(E831&amp;F831,IMPORTRANGE(""https://docs.google.com/spreadsheets/d/1Uw7-A9f9R21vMXxHZFNpYNeKFtG8_yji4HS352LGlSQ/edit?pli=1#gid=0"",""1_ACUM!A4:S""),19,FALSE))"),"")</f>
        <v/>
      </c>
      <c r="BF817" s="98" t="str">
        <f ca="1">IFERROR(__xludf.DUMMYFUNCTION("IFERROR(VLOOKUP(F831,IMPORTRANGE(""https://docs.google.com/spreadsheets/d/1Kvs4KS76FHFqLFIZfrDMff4kP08nblUkihrxltoGBjg/edit#gid=934712705"",""ESENCIAL!A6:BG""),5,FALSE))"),"")</f>
        <v/>
      </c>
      <c r="BG817" s="98" t="str">
        <f t="shared" si="25"/>
        <v/>
      </c>
      <c r="BH817" s="99" t="str">
        <f t="shared" si="26"/>
        <v/>
      </c>
      <c r="BI817" s="100" t="str">
        <f ca="1">IFERROR(__xludf.DUMMYFUNCTION("IFERROR(VLOOKUP(F831,IMPORTRANGE(""https://docs.google.com/spreadsheets/d/1Kvs4KS76FHFqLFIZfrDMff4kP08nblUkihrxltoGBjg/edit#gid=934712705"",""ESENCIAL!A6:BG""),2,FALSE))"),"")</f>
        <v/>
      </c>
      <c r="BJ817" s="19" t="str">
        <f t="shared" si="27"/>
        <v/>
      </c>
      <c r="BK817" s="100"/>
      <c r="BL817" s="100"/>
    </row>
    <row r="818" spans="1:64" ht="15">
      <c r="A818" s="5"/>
      <c r="B818" s="5"/>
      <c r="G818" s="5" t="str">
        <f ca="1">IFERROR(__xludf.DUMMYFUNCTION("IFERROR(VLOOKUP(F832,IMPORTRANGE(""https://docs.google.com/spreadsheets/d/1Kvs4KS76FHFqLFIZfrDMff4kP08nblUkihrxltoGBjg/edit#gid=934712705"",""ESENCIAL!A6:BG""),3,FALSE))"),"")</f>
        <v/>
      </c>
      <c r="H818" s="5" t="str">
        <f ca="1">IFERROR(__xludf.DUMMYFUNCTION("IFERROR(VLOOKUP(F832,IMPORTRANGE(""https://docs.google.com/spreadsheets/d/1Kvs4KS76FHFqLFIZfrDMff4kP08nblUkihrxltoGBjg/edit#gid=934712705"",""ESENCIAL!A6:BG""),8,FALSE))"),"")</f>
        <v/>
      </c>
      <c r="L818" s="287"/>
      <c r="U818" s="40"/>
      <c r="AU818" s="41" t="str">
        <f t="shared" si="24"/>
        <v/>
      </c>
      <c r="AV818" s="5" t="str">
        <f ca="1">IFERROR(__xludf.DUMMYFUNCTION("IFERROR(VLOOKUP(E832&amp;F832,IMPORTRANGE(""https://docs.google.com/spreadsheets/d/1Uw7-A9f9R21vMXxHZFNpYNeKFtG8_yji4HS352LGlSQ/edit?pli=1#gid=0"",""1_ACUM!A4:S""),11,FALSE))"),"")</f>
        <v/>
      </c>
      <c r="AW818" s="42" t="str">
        <f ca="1">IFERROR(__xludf.DUMMYFUNCTION("IFERROR(VLOOKUP(F832,IMPORTRANGE(""https://docs.google.com/spreadsheets/d/1Kvs4KS76FHFqLFIZfrDMff4kP08nblUkihrxltoGBjg/edit#gid=934712705"",""ESENCIAL!A6:BG""),15,FALSE))"),"")</f>
        <v/>
      </c>
      <c r="AX818" s="21" t="str">
        <f ca="1">IFERROR(__xludf.DUMMYFUNCTION("IFERROR(VLOOKUP(E832&amp;F832,IMPORTRANGE(""https://docs.google.com/spreadsheets/d/1Uw7-A9f9R21vMXxHZFNpYNeKFtG8_yji4HS352LGlSQ/edit?pli=1#gid=0"",""1_ACUM!A4:S""),12,FALSE))"),"")</f>
        <v/>
      </c>
      <c r="AY818" s="43" t="str">
        <f ca="1">IFERROR(__xludf.DUMMYFUNCTION("IFERROR(VLOOKUP(E832&amp;F832,IMPORTRANGE(""https://docs.google.com/spreadsheets/d/1Uw7-A9f9R21vMXxHZFNpYNeKFtG8_yji4HS352LGlSQ/edit?pli=1#gid=0"",""1_ACUM!A4:S""),13,FALSE))"),"")</f>
        <v/>
      </c>
      <c r="AZ818" s="43" t="str">
        <f ca="1">IFERROR(__xludf.DUMMYFUNCTION("IFERROR(VLOOKUP(E832&amp;F832,IMPORTRANGE(""https://docs.google.com/spreadsheets/d/1Uw7-A9f9R21vMXxHZFNpYNeKFtG8_yji4HS352LGlSQ/edit?pli=1#gid=0"",""1_ACUM!A4:S""),14,FALSE))"),"")</f>
        <v/>
      </c>
      <c r="BA818" s="43" t="str">
        <f ca="1">IFERROR(__xludf.DUMMYFUNCTION("IFERROR(VLOOKUP(E832&amp;F832,IMPORTRANGE(""https://docs.google.com/spreadsheets/d/1Uw7-A9f9R21vMXxHZFNpYNeKFtG8_yji4HS352LGlSQ/edit?pli=1#gid=0"",""1_ACUM!A4:S""),15,FALSE))"),"")</f>
        <v/>
      </c>
      <c r="BB818" s="43" t="str">
        <f ca="1">IFERROR(__xludf.DUMMYFUNCTION("IFERROR(VLOOKUP(E832&amp;F832,IMPORTRANGE(""https://docs.google.com/spreadsheets/d/1Uw7-A9f9R21vMXxHZFNpYNeKFtG8_yji4HS352LGlSQ/edit?pli=1#gid=0"",""1_ACUM!A4:S""),16,FALSE))"),"")</f>
        <v/>
      </c>
      <c r="BC818" s="43" t="str">
        <f ca="1">IFERROR(__xludf.DUMMYFUNCTION("IFERROR(VLOOKUP(E832&amp;F832,IMPORTRANGE(""https://docs.google.com/spreadsheets/d/1Uw7-A9f9R21vMXxHZFNpYNeKFtG8_yji4HS352LGlSQ/edit?pli=1#gid=0"",""1_ACUM!A4:S""),17,FALSE))"),"")</f>
        <v/>
      </c>
      <c r="BD818" s="44" t="str">
        <f ca="1">IFERROR(__xludf.DUMMYFUNCTION("IFERROR(VLOOKUP(E832&amp;F832,IMPORTRANGE(""https://docs.google.com/spreadsheets/d/1Uw7-A9f9R21vMXxHZFNpYNeKFtG8_yji4HS352LGlSQ/edit?pli=1#gid=0"",""1_ACUM!A4:S""),18,FALSE))"),"")</f>
        <v/>
      </c>
      <c r="BE818" s="44" t="str">
        <f ca="1">IFERROR(__xludf.DUMMYFUNCTION("IFERROR(VLOOKUP(E832&amp;F832,IMPORTRANGE(""https://docs.google.com/spreadsheets/d/1Uw7-A9f9R21vMXxHZFNpYNeKFtG8_yji4HS352LGlSQ/edit?pli=1#gid=0"",""1_ACUM!A4:S""),19,FALSE))"),"")</f>
        <v/>
      </c>
      <c r="BF818" s="98" t="str">
        <f ca="1">IFERROR(__xludf.DUMMYFUNCTION("IFERROR(VLOOKUP(F832,IMPORTRANGE(""https://docs.google.com/spreadsheets/d/1Kvs4KS76FHFqLFIZfrDMff4kP08nblUkihrxltoGBjg/edit#gid=934712705"",""ESENCIAL!A6:BG""),5,FALSE))"),"")</f>
        <v/>
      </c>
      <c r="BG818" s="98" t="str">
        <f t="shared" si="25"/>
        <v/>
      </c>
      <c r="BH818" s="99" t="str">
        <f t="shared" si="26"/>
        <v/>
      </c>
      <c r="BI818" s="100" t="str">
        <f ca="1">IFERROR(__xludf.DUMMYFUNCTION("IFERROR(VLOOKUP(F832,IMPORTRANGE(""https://docs.google.com/spreadsheets/d/1Kvs4KS76FHFqLFIZfrDMff4kP08nblUkihrxltoGBjg/edit#gid=934712705"",""ESENCIAL!A6:BG""),2,FALSE))"),"")</f>
        <v/>
      </c>
      <c r="BJ818" s="19" t="str">
        <f t="shared" si="27"/>
        <v/>
      </c>
      <c r="BK818" s="100"/>
      <c r="BL818" s="100"/>
    </row>
    <row r="819" spans="1:64" ht="15">
      <c r="A819" s="5"/>
      <c r="B819" s="5"/>
      <c r="G819" s="5" t="str">
        <f ca="1">IFERROR(__xludf.DUMMYFUNCTION("IFERROR(VLOOKUP(F833,IMPORTRANGE(""https://docs.google.com/spreadsheets/d/1Kvs4KS76FHFqLFIZfrDMff4kP08nblUkihrxltoGBjg/edit#gid=934712705"",""ESENCIAL!A6:BG""),3,FALSE))"),"")</f>
        <v/>
      </c>
      <c r="H819" s="5" t="str">
        <f ca="1">IFERROR(__xludf.DUMMYFUNCTION("IFERROR(VLOOKUP(F833,IMPORTRANGE(""https://docs.google.com/spreadsheets/d/1Kvs4KS76FHFqLFIZfrDMff4kP08nblUkihrxltoGBjg/edit#gid=934712705"",""ESENCIAL!A6:BG""),8,FALSE))"),"")</f>
        <v/>
      </c>
      <c r="L819" s="287"/>
      <c r="U819" s="40"/>
      <c r="AU819" s="41" t="str">
        <f t="shared" si="24"/>
        <v/>
      </c>
      <c r="AV819" s="5" t="str">
        <f ca="1">IFERROR(__xludf.DUMMYFUNCTION("IFERROR(VLOOKUP(E833&amp;F833,IMPORTRANGE(""https://docs.google.com/spreadsheets/d/1Uw7-A9f9R21vMXxHZFNpYNeKFtG8_yji4HS352LGlSQ/edit?pli=1#gid=0"",""1_ACUM!A4:S""),11,FALSE))"),"")</f>
        <v/>
      </c>
      <c r="AW819" s="42" t="str">
        <f ca="1">IFERROR(__xludf.DUMMYFUNCTION("IFERROR(VLOOKUP(F833,IMPORTRANGE(""https://docs.google.com/spreadsheets/d/1Kvs4KS76FHFqLFIZfrDMff4kP08nblUkihrxltoGBjg/edit#gid=934712705"",""ESENCIAL!A6:BG""),15,FALSE))"),"")</f>
        <v/>
      </c>
      <c r="AX819" s="21" t="str">
        <f ca="1">IFERROR(__xludf.DUMMYFUNCTION("IFERROR(VLOOKUP(E833&amp;F833,IMPORTRANGE(""https://docs.google.com/spreadsheets/d/1Uw7-A9f9R21vMXxHZFNpYNeKFtG8_yji4HS352LGlSQ/edit?pli=1#gid=0"",""1_ACUM!A4:S""),12,FALSE))"),"")</f>
        <v/>
      </c>
      <c r="AY819" s="43" t="str">
        <f ca="1">IFERROR(__xludf.DUMMYFUNCTION("IFERROR(VLOOKUP(E833&amp;F833,IMPORTRANGE(""https://docs.google.com/spreadsheets/d/1Uw7-A9f9R21vMXxHZFNpYNeKFtG8_yji4HS352LGlSQ/edit?pli=1#gid=0"",""1_ACUM!A4:S""),13,FALSE))"),"")</f>
        <v/>
      </c>
      <c r="AZ819" s="43" t="str">
        <f ca="1">IFERROR(__xludf.DUMMYFUNCTION("IFERROR(VLOOKUP(E833&amp;F833,IMPORTRANGE(""https://docs.google.com/spreadsheets/d/1Uw7-A9f9R21vMXxHZFNpYNeKFtG8_yji4HS352LGlSQ/edit?pli=1#gid=0"",""1_ACUM!A4:S""),14,FALSE))"),"")</f>
        <v/>
      </c>
      <c r="BA819" s="43" t="str">
        <f ca="1">IFERROR(__xludf.DUMMYFUNCTION("IFERROR(VLOOKUP(E833&amp;F833,IMPORTRANGE(""https://docs.google.com/spreadsheets/d/1Uw7-A9f9R21vMXxHZFNpYNeKFtG8_yji4HS352LGlSQ/edit?pli=1#gid=0"",""1_ACUM!A4:S""),15,FALSE))"),"")</f>
        <v/>
      </c>
      <c r="BB819" s="43" t="str">
        <f ca="1">IFERROR(__xludf.DUMMYFUNCTION("IFERROR(VLOOKUP(E833&amp;F833,IMPORTRANGE(""https://docs.google.com/spreadsheets/d/1Uw7-A9f9R21vMXxHZFNpYNeKFtG8_yji4HS352LGlSQ/edit?pli=1#gid=0"",""1_ACUM!A4:S""),16,FALSE))"),"")</f>
        <v/>
      </c>
      <c r="BC819" s="43" t="str">
        <f ca="1">IFERROR(__xludf.DUMMYFUNCTION("IFERROR(VLOOKUP(E833&amp;F833,IMPORTRANGE(""https://docs.google.com/spreadsheets/d/1Uw7-A9f9R21vMXxHZFNpYNeKFtG8_yji4HS352LGlSQ/edit?pli=1#gid=0"",""1_ACUM!A4:S""),17,FALSE))"),"")</f>
        <v/>
      </c>
      <c r="BD819" s="44" t="str">
        <f ca="1">IFERROR(__xludf.DUMMYFUNCTION("IFERROR(VLOOKUP(E833&amp;F833,IMPORTRANGE(""https://docs.google.com/spreadsheets/d/1Uw7-A9f9R21vMXxHZFNpYNeKFtG8_yji4HS352LGlSQ/edit?pli=1#gid=0"",""1_ACUM!A4:S""),18,FALSE))"),"")</f>
        <v/>
      </c>
      <c r="BE819" s="44" t="str">
        <f ca="1">IFERROR(__xludf.DUMMYFUNCTION("IFERROR(VLOOKUP(E833&amp;F833,IMPORTRANGE(""https://docs.google.com/spreadsheets/d/1Uw7-A9f9R21vMXxHZFNpYNeKFtG8_yji4HS352LGlSQ/edit?pli=1#gid=0"",""1_ACUM!A4:S""),19,FALSE))"),"")</f>
        <v/>
      </c>
      <c r="BF819" s="98" t="str">
        <f ca="1">IFERROR(__xludf.DUMMYFUNCTION("IFERROR(VLOOKUP(F833,IMPORTRANGE(""https://docs.google.com/spreadsheets/d/1Kvs4KS76FHFqLFIZfrDMff4kP08nblUkihrxltoGBjg/edit#gid=934712705"",""ESENCIAL!A6:BG""),5,FALSE))"),"")</f>
        <v/>
      </c>
      <c r="BG819" s="98" t="str">
        <f t="shared" si="25"/>
        <v/>
      </c>
      <c r="BH819" s="99" t="str">
        <f t="shared" si="26"/>
        <v/>
      </c>
      <c r="BI819" s="100" t="str">
        <f ca="1">IFERROR(__xludf.DUMMYFUNCTION("IFERROR(VLOOKUP(F833,IMPORTRANGE(""https://docs.google.com/spreadsheets/d/1Kvs4KS76FHFqLFIZfrDMff4kP08nblUkihrxltoGBjg/edit#gid=934712705"",""ESENCIAL!A6:BG""),2,FALSE))"),"")</f>
        <v/>
      </c>
      <c r="BJ819" s="19" t="str">
        <f t="shared" si="27"/>
        <v/>
      </c>
      <c r="BK819" s="100"/>
      <c r="BL819" s="100"/>
    </row>
    <row r="820" spans="1:64" ht="15">
      <c r="A820" s="5"/>
      <c r="B820" s="5"/>
      <c r="G820" s="5" t="str">
        <f ca="1">IFERROR(__xludf.DUMMYFUNCTION("IFERROR(VLOOKUP(F834,IMPORTRANGE(""https://docs.google.com/spreadsheets/d/1Kvs4KS76FHFqLFIZfrDMff4kP08nblUkihrxltoGBjg/edit#gid=934712705"",""ESENCIAL!A6:BG""),3,FALSE))"),"")</f>
        <v/>
      </c>
      <c r="H820" s="5" t="str">
        <f ca="1">IFERROR(__xludf.DUMMYFUNCTION("IFERROR(VLOOKUP(F834,IMPORTRANGE(""https://docs.google.com/spreadsheets/d/1Kvs4KS76FHFqLFIZfrDMff4kP08nblUkihrxltoGBjg/edit#gid=934712705"",""ESENCIAL!A6:BG""),8,FALSE))"),"")</f>
        <v/>
      </c>
      <c r="L820" s="287"/>
      <c r="U820" s="40"/>
      <c r="AU820" s="41" t="str">
        <f t="shared" si="24"/>
        <v/>
      </c>
      <c r="AV820" s="5" t="str">
        <f ca="1">IFERROR(__xludf.DUMMYFUNCTION("IFERROR(VLOOKUP(E834&amp;F834,IMPORTRANGE(""https://docs.google.com/spreadsheets/d/1Uw7-A9f9R21vMXxHZFNpYNeKFtG8_yji4HS352LGlSQ/edit?pli=1#gid=0"",""1_ACUM!A4:S""),11,FALSE))"),"")</f>
        <v/>
      </c>
      <c r="AW820" s="42" t="str">
        <f ca="1">IFERROR(__xludf.DUMMYFUNCTION("IFERROR(VLOOKUP(F834,IMPORTRANGE(""https://docs.google.com/spreadsheets/d/1Kvs4KS76FHFqLFIZfrDMff4kP08nblUkihrxltoGBjg/edit#gid=934712705"",""ESENCIAL!A6:BG""),15,FALSE))"),"")</f>
        <v/>
      </c>
      <c r="AX820" s="21" t="str">
        <f ca="1">IFERROR(__xludf.DUMMYFUNCTION("IFERROR(VLOOKUP(E834&amp;F834,IMPORTRANGE(""https://docs.google.com/spreadsheets/d/1Uw7-A9f9R21vMXxHZFNpYNeKFtG8_yji4HS352LGlSQ/edit?pli=1#gid=0"",""1_ACUM!A4:S""),12,FALSE))"),"")</f>
        <v/>
      </c>
      <c r="AY820" s="43" t="str">
        <f ca="1">IFERROR(__xludf.DUMMYFUNCTION("IFERROR(VLOOKUP(E834&amp;F834,IMPORTRANGE(""https://docs.google.com/spreadsheets/d/1Uw7-A9f9R21vMXxHZFNpYNeKFtG8_yji4HS352LGlSQ/edit?pli=1#gid=0"",""1_ACUM!A4:S""),13,FALSE))"),"")</f>
        <v/>
      </c>
      <c r="AZ820" s="43" t="str">
        <f ca="1">IFERROR(__xludf.DUMMYFUNCTION("IFERROR(VLOOKUP(E834&amp;F834,IMPORTRANGE(""https://docs.google.com/spreadsheets/d/1Uw7-A9f9R21vMXxHZFNpYNeKFtG8_yji4HS352LGlSQ/edit?pli=1#gid=0"",""1_ACUM!A4:S""),14,FALSE))"),"")</f>
        <v/>
      </c>
      <c r="BA820" s="43" t="str">
        <f ca="1">IFERROR(__xludf.DUMMYFUNCTION("IFERROR(VLOOKUP(E834&amp;F834,IMPORTRANGE(""https://docs.google.com/spreadsheets/d/1Uw7-A9f9R21vMXxHZFNpYNeKFtG8_yji4HS352LGlSQ/edit?pli=1#gid=0"",""1_ACUM!A4:S""),15,FALSE))"),"")</f>
        <v/>
      </c>
      <c r="BB820" s="43" t="str">
        <f ca="1">IFERROR(__xludf.DUMMYFUNCTION("IFERROR(VLOOKUP(E834&amp;F834,IMPORTRANGE(""https://docs.google.com/spreadsheets/d/1Uw7-A9f9R21vMXxHZFNpYNeKFtG8_yji4HS352LGlSQ/edit?pli=1#gid=0"",""1_ACUM!A4:S""),16,FALSE))"),"")</f>
        <v/>
      </c>
      <c r="BC820" s="43" t="str">
        <f ca="1">IFERROR(__xludf.DUMMYFUNCTION("IFERROR(VLOOKUP(E834&amp;F834,IMPORTRANGE(""https://docs.google.com/spreadsheets/d/1Uw7-A9f9R21vMXxHZFNpYNeKFtG8_yji4HS352LGlSQ/edit?pli=1#gid=0"",""1_ACUM!A4:S""),17,FALSE))"),"")</f>
        <v/>
      </c>
      <c r="BD820" s="44" t="str">
        <f ca="1">IFERROR(__xludf.DUMMYFUNCTION("IFERROR(VLOOKUP(E834&amp;F834,IMPORTRANGE(""https://docs.google.com/spreadsheets/d/1Uw7-A9f9R21vMXxHZFNpYNeKFtG8_yji4HS352LGlSQ/edit?pli=1#gid=0"",""1_ACUM!A4:S""),18,FALSE))"),"")</f>
        <v/>
      </c>
      <c r="BE820" s="44" t="str">
        <f ca="1">IFERROR(__xludf.DUMMYFUNCTION("IFERROR(VLOOKUP(E834&amp;F834,IMPORTRANGE(""https://docs.google.com/spreadsheets/d/1Uw7-A9f9R21vMXxHZFNpYNeKFtG8_yji4HS352LGlSQ/edit?pli=1#gid=0"",""1_ACUM!A4:S""),19,FALSE))"),"")</f>
        <v/>
      </c>
      <c r="BF820" s="98" t="str">
        <f ca="1">IFERROR(__xludf.DUMMYFUNCTION("IFERROR(VLOOKUP(F834,IMPORTRANGE(""https://docs.google.com/spreadsheets/d/1Kvs4KS76FHFqLFIZfrDMff4kP08nblUkihrxltoGBjg/edit#gid=934712705"",""ESENCIAL!A6:BG""),5,FALSE))"),"")</f>
        <v/>
      </c>
      <c r="BG820" s="98" t="str">
        <f t="shared" si="25"/>
        <v/>
      </c>
      <c r="BH820" s="99" t="str">
        <f t="shared" si="26"/>
        <v/>
      </c>
      <c r="BI820" s="100" t="str">
        <f ca="1">IFERROR(__xludf.DUMMYFUNCTION("IFERROR(VLOOKUP(F834,IMPORTRANGE(""https://docs.google.com/spreadsheets/d/1Kvs4KS76FHFqLFIZfrDMff4kP08nblUkihrxltoGBjg/edit#gid=934712705"",""ESENCIAL!A6:BG""),2,FALSE))"),"")</f>
        <v/>
      </c>
      <c r="BJ820" s="19" t="str">
        <f t="shared" si="27"/>
        <v/>
      </c>
      <c r="BK820" s="100"/>
      <c r="BL820" s="100"/>
    </row>
    <row r="821" spans="1:64" ht="15">
      <c r="A821" s="5"/>
      <c r="B821" s="5"/>
      <c r="G821" s="5" t="str">
        <f ca="1">IFERROR(__xludf.DUMMYFUNCTION("IFERROR(VLOOKUP(F835,IMPORTRANGE(""https://docs.google.com/spreadsheets/d/1Kvs4KS76FHFqLFIZfrDMff4kP08nblUkihrxltoGBjg/edit#gid=934712705"",""ESENCIAL!A6:BG""),3,FALSE))"),"")</f>
        <v/>
      </c>
      <c r="H821" s="5" t="str">
        <f ca="1">IFERROR(__xludf.DUMMYFUNCTION("IFERROR(VLOOKUP(F835,IMPORTRANGE(""https://docs.google.com/spreadsheets/d/1Kvs4KS76FHFqLFIZfrDMff4kP08nblUkihrxltoGBjg/edit#gid=934712705"",""ESENCIAL!A6:BG""),8,FALSE))"),"")</f>
        <v/>
      </c>
      <c r="L821" s="287"/>
      <c r="U821" s="40"/>
      <c r="AU821" s="41" t="str">
        <f t="shared" si="24"/>
        <v/>
      </c>
      <c r="AV821" s="5" t="str">
        <f ca="1">IFERROR(__xludf.DUMMYFUNCTION("IFERROR(VLOOKUP(E835&amp;F835,IMPORTRANGE(""https://docs.google.com/spreadsheets/d/1Uw7-A9f9R21vMXxHZFNpYNeKFtG8_yji4HS352LGlSQ/edit?pli=1#gid=0"",""1_ACUM!A4:S""),11,FALSE))"),"")</f>
        <v/>
      </c>
      <c r="AW821" s="42" t="str">
        <f ca="1">IFERROR(__xludf.DUMMYFUNCTION("IFERROR(VLOOKUP(F835,IMPORTRANGE(""https://docs.google.com/spreadsheets/d/1Kvs4KS76FHFqLFIZfrDMff4kP08nblUkihrxltoGBjg/edit#gid=934712705"",""ESENCIAL!A6:BG""),15,FALSE))"),"")</f>
        <v/>
      </c>
      <c r="AX821" s="21" t="str">
        <f ca="1">IFERROR(__xludf.DUMMYFUNCTION("IFERROR(VLOOKUP(E835&amp;F835,IMPORTRANGE(""https://docs.google.com/spreadsheets/d/1Uw7-A9f9R21vMXxHZFNpYNeKFtG8_yji4HS352LGlSQ/edit?pli=1#gid=0"",""1_ACUM!A4:S""),12,FALSE))"),"")</f>
        <v/>
      </c>
      <c r="AY821" s="43" t="str">
        <f ca="1">IFERROR(__xludf.DUMMYFUNCTION("IFERROR(VLOOKUP(E835&amp;F835,IMPORTRANGE(""https://docs.google.com/spreadsheets/d/1Uw7-A9f9R21vMXxHZFNpYNeKFtG8_yji4HS352LGlSQ/edit?pli=1#gid=0"",""1_ACUM!A4:S""),13,FALSE))"),"")</f>
        <v/>
      </c>
      <c r="AZ821" s="43" t="str">
        <f ca="1">IFERROR(__xludf.DUMMYFUNCTION("IFERROR(VLOOKUP(E835&amp;F835,IMPORTRANGE(""https://docs.google.com/spreadsheets/d/1Uw7-A9f9R21vMXxHZFNpYNeKFtG8_yji4HS352LGlSQ/edit?pli=1#gid=0"",""1_ACUM!A4:S""),14,FALSE))"),"")</f>
        <v/>
      </c>
      <c r="BA821" s="43" t="str">
        <f ca="1">IFERROR(__xludf.DUMMYFUNCTION("IFERROR(VLOOKUP(E835&amp;F835,IMPORTRANGE(""https://docs.google.com/spreadsheets/d/1Uw7-A9f9R21vMXxHZFNpYNeKFtG8_yji4HS352LGlSQ/edit?pli=1#gid=0"",""1_ACUM!A4:S""),15,FALSE))"),"")</f>
        <v/>
      </c>
      <c r="BB821" s="43" t="str">
        <f ca="1">IFERROR(__xludf.DUMMYFUNCTION("IFERROR(VLOOKUP(E835&amp;F835,IMPORTRANGE(""https://docs.google.com/spreadsheets/d/1Uw7-A9f9R21vMXxHZFNpYNeKFtG8_yji4HS352LGlSQ/edit?pli=1#gid=0"",""1_ACUM!A4:S""),16,FALSE))"),"")</f>
        <v/>
      </c>
      <c r="BC821" s="43" t="str">
        <f ca="1">IFERROR(__xludf.DUMMYFUNCTION("IFERROR(VLOOKUP(E835&amp;F835,IMPORTRANGE(""https://docs.google.com/spreadsheets/d/1Uw7-A9f9R21vMXxHZFNpYNeKFtG8_yji4HS352LGlSQ/edit?pli=1#gid=0"",""1_ACUM!A4:S""),17,FALSE))"),"")</f>
        <v/>
      </c>
      <c r="BD821" s="44" t="str">
        <f ca="1">IFERROR(__xludf.DUMMYFUNCTION("IFERROR(VLOOKUP(E835&amp;F835,IMPORTRANGE(""https://docs.google.com/spreadsheets/d/1Uw7-A9f9R21vMXxHZFNpYNeKFtG8_yji4HS352LGlSQ/edit?pli=1#gid=0"",""1_ACUM!A4:S""),18,FALSE))"),"")</f>
        <v/>
      </c>
      <c r="BE821" s="44" t="str">
        <f ca="1">IFERROR(__xludf.DUMMYFUNCTION("IFERROR(VLOOKUP(E835&amp;F835,IMPORTRANGE(""https://docs.google.com/spreadsheets/d/1Uw7-A9f9R21vMXxHZFNpYNeKFtG8_yji4HS352LGlSQ/edit?pli=1#gid=0"",""1_ACUM!A4:S""),19,FALSE))"),"")</f>
        <v/>
      </c>
      <c r="BF821" s="98" t="str">
        <f ca="1">IFERROR(__xludf.DUMMYFUNCTION("IFERROR(VLOOKUP(F835,IMPORTRANGE(""https://docs.google.com/spreadsheets/d/1Kvs4KS76FHFqLFIZfrDMff4kP08nblUkihrxltoGBjg/edit#gid=934712705"",""ESENCIAL!A6:BG""),5,FALSE))"),"")</f>
        <v/>
      </c>
      <c r="BG821" s="98" t="str">
        <f t="shared" si="25"/>
        <v/>
      </c>
      <c r="BH821" s="99" t="str">
        <f t="shared" si="26"/>
        <v/>
      </c>
      <c r="BI821" s="100" t="str">
        <f ca="1">IFERROR(__xludf.DUMMYFUNCTION("IFERROR(VLOOKUP(F835,IMPORTRANGE(""https://docs.google.com/spreadsheets/d/1Kvs4KS76FHFqLFIZfrDMff4kP08nblUkihrxltoGBjg/edit#gid=934712705"",""ESENCIAL!A6:BG""),2,FALSE))"),"")</f>
        <v/>
      </c>
      <c r="BJ821" s="19" t="str">
        <f t="shared" si="27"/>
        <v/>
      </c>
      <c r="BK821" s="100"/>
      <c r="BL821" s="100"/>
    </row>
    <row r="822" spans="1:64" ht="15">
      <c r="A822" s="5"/>
      <c r="B822" s="5"/>
      <c r="G822" s="5" t="str">
        <f ca="1">IFERROR(__xludf.DUMMYFUNCTION("IFERROR(VLOOKUP(F836,IMPORTRANGE(""https://docs.google.com/spreadsheets/d/1Kvs4KS76FHFqLFIZfrDMff4kP08nblUkihrxltoGBjg/edit#gid=934712705"",""ESENCIAL!A6:BG""),3,FALSE))"),"")</f>
        <v/>
      </c>
      <c r="H822" s="5" t="str">
        <f ca="1">IFERROR(__xludf.DUMMYFUNCTION("IFERROR(VLOOKUP(F836,IMPORTRANGE(""https://docs.google.com/spreadsheets/d/1Kvs4KS76FHFqLFIZfrDMff4kP08nblUkihrxltoGBjg/edit#gid=934712705"",""ESENCIAL!A6:BG""),8,FALSE))"),"")</f>
        <v/>
      </c>
      <c r="L822" s="287"/>
      <c r="U822" s="40"/>
      <c r="AU822" s="41" t="str">
        <f t="shared" si="24"/>
        <v/>
      </c>
      <c r="AV822" s="5" t="str">
        <f ca="1">IFERROR(__xludf.DUMMYFUNCTION("IFERROR(VLOOKUP(E836&amp;F836,IMPORTRANGE(""https://docs.google.com/spreadsheets/d/1Uw7-A9f9R21vMXxHZFNpYNeKFtG8_yji4HS352LGlSQ/edit?pli=1#gid=0"",""1_ACUM!A4:S""),11,FALSE))"),"")</f>
        <v/>
      </c>
      <c r="AW822" s="42" t="str">
        <f ca="1">IFERROR(__xludf.DUMMYFUNCTION("IFERROR(VLOOKUP(F836,IMPORTRANGE(""https://docs.google.com/spreadsheets/d/1Kvs4KS76FHFqLFIZfrDMff4kP08nblUkihrxltoGBjg/edit#gid=934712705"",""ESENCIAL!A6:BG""),15,FALSE))"),"")</f>
        <v/>
      </c>
      <c r="AX822" s="21" t="str">
        <f ca="1">IFERROR(__xludf.DUMMYFUNCTION("IFERROR(VLOOKUP(E836&amp;F836,IMPORTRANGE(""https://docs.google.com/spreadsheets/d/1Uw7-A9f9R21vMXxHZFNpYNeKFtG8_yji4HS352LGlSQ/edit?pli=1#gid=0"",""1_ACUM!A4:S""),12,FALSE))"),"")</f>
        <v/>
      </c>
      <c r="AY822" s="43" t="str">
        <f ca="1">IFERROR(__xludf.DUMMYFUNCTION("IFERROR(VLOOKUP(E836&amp;F836,IMPORTRANGE(""https://docs.google.com/spreadsheets/d/1Uw7-A9f9R21vMXxHZFNpYNeKFtG8_yji4HS352LGlSQ/edit?pli=1#gid=0"",""1_ACUM!A4:S""),13,FALSE))"),"")</f>
        <v/>
      </c>
      <c r="AZ822" s="43" t="str">
        <f ca="1">IFERROR(__xludf.DUMMYFUNCTION("IFERROR(VLOOKUP(E836&amp;F836,IMPORTRANGE(""https://docs.google.com/spreadsheets/d/1Uw7-A9f9R21vMXxHZFNpYNeKFtG8_yji4HS352LGlSQ/edit?pli=1#gid=0"",""1_ACUM!A4:S""),14,FALSE))"),"")</f>
        <v/>
      </c>
      <c r="BA822" s="43" t="str">
        <f ca="1">IFERROR(__xludf.DUMMYFUNCTION("IFERROR(VLOOKUP(E836&amp;F836,IMPORTRANGE(""https://docs.google.com/spreadsheets/d/1Uw7-A9f9R21vMXxHZFNpYNeKFtG8_yji4HS352LGlSQ/edit?pli=1#gid=0"",""1_ACUM!A4:S""),15,FALSE))"),"")</f>
        <v/>
      </c>
      <c r="BB822" s="43" t="str">
        <f ca="1">IFERROR(__xludf.DUMMYFUNCTION("IFERROR(VLOOKUP(E836&amp;F836,IMPORTRANGE(""https://docs.google.com/spreadsheets/d/1Uw7-A9f9R21vMXxHZFNpYNeKFtG8_yji4HS352LGlSQ/edit?pli=1#gid=0"",""1_ACUM!A4:S""),16,FALSE))"),"")</f>
        <v/>
      </c>
      <c r="BC822" s="43" t="str">
        <f ca="1">IFERROR(__xludf.DUMMYFUNCTION("IFERROR(VLOOKUP(E836&amp;F836,IMPORTRANGE(""https://docs.google.com/spreadsheets/d/1Uw7-A9f9R21vMXxHZFNpYNeKFtG8_yji4HS352LGlSQ/edit?pli=1#gid=0"",""1_ACUM!A4:S""),17,FALSE))"),"")</f>
        <v/>
      </c>
      <c r="BD822" s="44" t="str">
        <f ca="1">IFERROR(__xludf.DUMMYFUNCTION("IFERROR(VLOOKUP(E836&amp;F836,IMPORTRANGE(""https://docs.google.com/spreadsheets/d/1Uw7-A9f9R21vMXxHZFNpYNeKFtG8_yji4HS352LGlSQ/edit?pli=1#gid=0"",""1_ACUM!A4:S""),18,FALSE))"),"")</f>
        <v/>
      </c>
      <c r="BE822" s="44" t="str">
        <f ca="1">IFERROR(__xludf.DUMMYFUNCTION("IFERROR(VLOOKUP(E836&amp;F836,IMPORTRANGE(""https://docs.google.com/spreadsheets/d/1Uw7-A9f9R21vMXxHZFNpYNeKFtG8_yji4HS352LGlSQ/edit?pli=1#gid=0"",""1_ACUM!A4:S""),19,FALSE))"),"")</f>
        <v/>
      </c>
      <c r="BF822" s="98" t="str">
        <f ca="1">IFERROR(__xludf.DUMMYFUNCTION("IFERROR(VLOOKUP(F836,IMPORTRANGE(""https://docs.google.com/spreadsheets/d/1Kvs4KS76FHFqLFIZfrDMff4kP08nblUkihrxltoGBjg/edit#gid=934712705"",""ESENCIAL!A6:BG""),5,FALSE))"),"")</f>
        <v/>
      </c>
      <c r="BG822" s="98" t="str">
        <f t="shared" si="25"/>
        <v/>
      </c>
      <c r="BH822" s="99" t="str">
        <f t="shared" si="26"/>
        <v/>
      </c>
      <c r="BI822" s="100" t="str">
        <f ca="1">IFERROR(__xludf.DUMMYFUNCTION("IFERROR(VLOOKUP(F836,IMPORTRANGE(""https://docs.google.com/spreadsheets/d/1Kvs4KS76FHFqLFIZfrDMff4kP08nblUkihrxltoGBjg/edit#gid=934712705"",""ESENCIAL!A6:BG""),2,FALSE))"),"")</f>
        <v/>
      </c>
      <c r="BJ822" s="19" t="str">
        <f t="shared" si="27"/>
        <v/>
      </c>
      <c r="BK822" s="100"/>
      <c r="BL822" s="100"/>
    </row>
    <row r="823" spans="1:64" ht="15">
      <c r="A823" s="5"/>
      <c r="B823" s="5"/>
      <c r="G823" s="5" t="str">
        <f ca="1">IFERROR(__xludf.DUMMYFUNCTION("IFERROR(VLOOKUP(F837,IMPORTRANGE(""https://docs.google.com/spreadsheets/d/1Kvs4KS76FHFqLFIZfrDMff4kP08nblUkihrxltoGBjg/edit#gid=934712705"",""ESENCIAL!A6:BG""),3,FALSE))"),"")</f>
        <v/>
      </c>
      <c r="H823" s="5" t="str">
        <f ca="1">IFERROR(__xludf.DUMMYFUNCTION("IFERROR(VLOOKUP(F837,IMPORTRANGE(""https://docs.google.com/spreadsheets/d/1Kvs4KS76FHFqLFIZfrDMff4kP08nblUkihrxltoGBjg/edit#gid=934712705"",""ESENCIAL!A6:BG""),8,FALSE))"),"")</f>
        <v/>
      </c>
      <c r="L823" s="287"/>
      <c r="U823" s="40"/>
      <c r="AU823" s="41" t="str">
        <f t="shared" si="24"/>
        <v/>
      </c>
      <c r="AV823" s="5" t="str">
        <f ca="1">IFERROR(__xludf.DUMMYFUNCTION("IFERROR(VLOOKUP(E837&amp;F837,IMPORTRANGE(""https://docs.google.com/spreadsheets/d/1Uw7-A9f9R21vMXxHZFNpYNeKFtG8_yji4HS352LGlSQ/edit?pli=1#gid=0"",""1_ACUM!A4:S""),11,FALSE))"),"")</f>
        <v/>
      </c>
      <c r="AW823" s="42" t="str">
        <f ca="1">IFERROR(__xludf.DUMMYFUNCTION("IFERROR(VLOOKUP(F837,IMPORTRANGE(""https://docs.google.com/spreadsheets/d/1Kvs4KS76FHFqLFIZfrDMff4kP08nblUkihrxltoGBjg/edit#gid=934712705"",""ESENCIAL!A6:BG""),15,FALSE))"),"")</f>
        <v/>
      </c>
      <c r="AX823" s="21" t="str">
        <f ca="1">IFERROR(__xludf.DUMMYFUNCTION("IFERROR(VLOOKUP(E837&amp;F837,IMPORTRANGE(""https://docs.google.com/spreadsheets/d/1Uw7-A9f9R21vMXxHZFNpYNeKFtG8_yji4HS352LGlSQ/edit?pli=1#gid=0"",""1_ACUM!A4:S""),12,FALSE))"),"")</f>
        <v/>
      </c>
      <c r="AY823" s="43" t="str">
        <f ca="1">IFERROR(__xludf.DUMMYFUNCTION("IFERROR(VLOOKUP(E837&amp;F837,IMPORTRANGE(""https://docs.google.com/spreadsheets/d/1Uw7-A9f9R21vMXxHZFNpYNeKFtG8_yji4HS352LGlSQ/edit?pli=1#gid=0"",""1_ACUM!A4:S""),13,FALSE))"),"")</f>
        <v/>
      </c>
      <c r="AZ823" s="43" t="str">
        <f ca="1">IFERROR(__xludf.DUMMYFUNCTION("IFERROR(VLOOKUP(E837&amp;F837,IMPORTRANGE(""https://docs.google.com/spreadsheets/d/1Uw7-A9f9R21vMXxHZFNpYNeKFtG8_yji4HS352LGlSQ/edit?pli=1#gid=0"",""1_ACUM!A4:S""),14,FALSE))"),"")</f>
        <v/>
      </c>
      <c r="BA823" s="43" t="str">
        <f ca="1">IFERROR(__xludf.DUMMYFUNCTION("IFERROR(VLOOKUP(E837&amp;F837,IMPORTRANGE(""https://docs.google.com/spreadsheets/d/1Uw7-A9f9R21vMXxHZFNpYNeKFtG8_yji4HS352LGlSQ/edit?pli=1#gid=0"",""1_ACUM!A4:S""),15,FALSE))"),"")</f>
        <v/>
      </c>
      <c r="BB823" s="43" t="str">
        <f ca="1">IFERROR(__xludf.DUMMYFUNCTION("IFERROR(VLOOKUP(E837&amp;F837,IMPORTRANGE(""https://docs.google.com/spreadsheets/d/1Uw7-A9f9R21vMXxHZFNpYNeKFtG8_yji4HS352LGlSQ/edit?pli=1#gid=0"",""1_ACUM!A4:S""),16,FALSE))"),"")</f>
        <v/>
      </c>
      <c r="BC823" s="43" t="str">
        <f ca="1">IFERROR(__xludf.DUMMYFUNCTION("IFERROR(VLOOKUP(E837&amp;F837,IMPORTRANGE(""https://docs.google.com/spreadsheets/d/1Uw7-A9f9R21vMXxHZFNpYNeKFtG8_yji4HS352LGlSQ/edit?pli=1#gid=0"",""1_ACUM!A4:S""),17,FALSE))"),"")</f>
        <v/>
      </c>
      <c r="BD823" s="44" t="str">
        <f ca="1">IFERROR(__xludf.DUMMYFUNCTION("IFERROR(VLOOKUP(E837&amp;F837,IMPORTRANGE(""https://docs.google.com/spreadsheets/d/1Uw7-A9f9R21vMXxHZFNpYNeKFtG8_yji4HS352LGlSQ/edit?pli=1#gid=0"",""1_ACUM!A4:S""),18,FALSE))"),"")</f>
        <v/>
      </c>
      <c r="BE823" s="44" t="str">
        <f ca="1">IFERROR(__xludf.DUMMYFUNCTION("IFERROR(VLOOKUP(E837&amp;F837,IMPORTRANGE(""https://docs.google.com/spreadsheets/d/1Uw7-A9f9R21vMXxHZFNpYNeKFtG8_yji4HS352LGlSQ/edit?pli=1#gid=0"",""1_ACUM!A4:S""),19,FALSE))"),"")</f>
        <v/>
      </c>
      <c r="BF823" s="98" t="str">
        <f ca="1">IFERROR(__xludf.DUMMYFUNCTION("IFERROR(VLOOKUP(F837,IMPORTRANGE(""https://docs.google.com/spreadsheets/d/1Kvs4KS76FHFqLFIZfrDMff4kP08nblUkihrxltoGBjg/edit#gid=934712705"",""ESENCIAL!A6:BG""),5,FALSE))"),"")</f>
        <v/>
      </c>
      <c r="BG823" s="98" t="str">
        <f t="shared" si="25"/>
        <v/>
      </c>
      <c r="BH823" s="99" t="str">
        <f t="shared" si="26"/>
        <v/>
      </c>
      <c r="BI823" s="100" t="str">
        <f ca="1">IFERROR(__xludf.DUMMYFUNCTION("IFERROR(VLOOKUP(F837,IMPORTRANGE(""https://docs.google.com/spreadsheets/d/1Kvs4KS76FHFqLFIZfrDMff4kP08nblUkihrxltoGBjg/edit#gid=934712705"",""ESENCIAL!A6:BG""),2,FALSE))"),"")</f>
        <v/>
      </c>
      <c r="BJ823" s="19" t="str">
        <f t="shared" si="27"/>
        <v/>
      </c>
      <c r="BK823" s="100"/>
      <c r="BL823" s="100"/>
    </row>
    <row r="824" spans="1:64" ht="15">
      <c r="A824" s="5"/>
      <c r="B824" s="5"/>
      <c r="G824" s="5" t="str">
        <f ca="1">IFERROR(__xludf.DUMMYFUNCTION("IFERROR(VLOOKUP(F838,IMPORTRANGE(""https://docs.google.com/spreadsheets/d/1Kvs4KS76FHFqLFIZfrDMff4kP08nblUkihrxltoGBjg/edit#gid=934712705"",""ESENCIAL!A6:BG""),3,FALSE))"),"")</f>
        <v/>
      </c>
      <c r="H824" s="5" t="str">
        <f ca="1">IFERROR(__xludf.DUMMYFUNCTION("IFERROR(VLOOKUP(F838,IMPORTRANGE(""https://docs.google.com/spreadsheets/d/1Kvs4KS76FHFqLFIZfrDMff4kP08nblUkihrxltoGBjg/edit#gid=934712705"",""ESENCIAL!A6:BG""),8,FALSE))"),"")</f>
        <v/>
      </c>
      <c r="L824" s="287"/>
      <c r="U824" s="40"/>
      <c r="AU824" s="41" t="str">
        <f t="shared" si="24"/>
        <v/>
      </c>
      <c r="AV824" s="5" t="str">
        <f ca="1">IFERROR(__xludf.DUMMYFUNCTION("IFERROR(VLOOKUP(E838&amp;F838,IMPORTRANGE(""https://docs.google.com/spreadsheets/d/1Uw7-A9f9R21vMXxHZFNpYNeKFtG8_yji4HS352LGlSQ/edit?pli=1#gid=0"",""1_ACUM!A4:S""),11,FALSE))"),"")</f>
        <v/>
      </c>
      <c r="AW824" s="42" t="str">
        <f ca="1">IFERROR(__xludf.DUMMYFUNCTION("IFERROR(VLOOKUP(F838,IMPORTRANGE(""https://docs.google.com/spreadsheets/d/1Kvs4KS76FHFqLFIZfrDMff4kP08nblUkihrxltoGBjg/edit#gid=934712705"",""ESENCIAL!A6:BG""),15,FALSE))"),"")</f>
        <v/>
      </c>
      <c r="AX824" s="21" t="str">
        <f ca="1">IFERROR(__xludf.DUMMYFUNCTION("IFERROR(VLOOKUP(E838&amp;F838,IMPORTRANGE(""https://docs.google.com/spreadsheets/d/1Uw7-A9f9R21vMXxHZFNpYNeKFtG8_yji4HS352LGlSQ/edit?pli=1#gid=0"",""1_ACUM!A4:S""),12,FALSE))"),"")</f>
        <v/>
      </c>
      <c r="AY824" s="43" t="str">
        <f ca="1">IFERROR(__xludf.DUMMYFUNCTION("IFERROR(VLOOKUP(E838&amp;F838,IMPORTRANGE(""https://docs.google.com/spreadsheets/d/1Uw7-A9f9R21vMXxHZFNpYNeKFtG8_yji4HS352LGlSQ/edit?pli=1#gid=0"",""1_ACUM!A4:S""),13,FALSE))"),"")</f>
        <v/>
      </c>
      <c r="AZ824" s="43" t="str">
        <f ca="1">IFERROR(__xludf.DUMMYFUNCTION("IFERROR(VLOOKUP(E838&amp;F838,IMPORTRANGE(""https://docs.google.com/spreadsheets/d/1Uw7-A9f9R21vMXxHZFNpYNeKFtG8_yji4HS352LGlSQ/edit?pli=1#gid=0"",""1_ACUM!A4:S""),14,FALSE))"),"")</f>
        <v/>
      </c>
      <c r="BA824" s="43" t="str">
        <f ca="1">IFERROR(__xludf.DUMMYFUNCTION("IFERROR(VLOOKUP(E838&amp;F838,IMPORTRANGE(""https://docs.google.com/spreadsheets/d/1Uw7-A9f9R21vMXxHZFNpYNeKFtG8_yji4HS352LGlSQ/edit?pli=1#gid=0"",""1_ACUM!A4:S""),15,FALSE))"),"")</f>
        <v/>
      </c>
      <c r="BB824" s="43" t="str">
        <f ca="1">IFERROR(__xludf.DUMMYFUNCTION("IFERROR(VLOOKUP(E838&amp;F838,IMPORTRANGE(""https://docs.google.com/spreadsheets/d/1Uw7-A9f9R21vMXxHZFNpYNeKFtG8_yji4HS352LGlSQ/edit?pli=1#gid=0"",""1_ACUM!A4:S""),16,FALSE))"),"")</f>
        <v/>
      </c>
      <c r="BC824" s="43" t="str">
        <f ca="1">IFERROR(__xludf.DUMMYFUNCTION("IFERROR(VLOOKUP(E838&amp;F838,IMPORTRANGE(""https://docs.google.com/spreadsheets/d/1Uw7-A9f9R21vMXxHZFNpYNeKFtG8_yji4HS352LGlSQ/edit?pli=1#gid=0"",""1_ACUM!A4:S""),17,FALSE))"),"")</f>
        <v/>
      </c>
      <c r="BD824" s="44" t="str">
        <f ca="1">IFERROR(__xludf.DUMMYFUNCTION("IFERROR(VLOOKUP(E838&amp;F838,IMPORTRANGE(""https://docs.google.com/spreadsheets/d/1Uw7-A9f9R21vMXxHZFNpYNeKFtG8_yji4HS352LGlSQ/edit?pli=1#gid=0"",""1_ACUM!A4:S""),18,FALSE))"),"")</f>
        <v/>
      </c>
      <c r="BE824" s="44" t="str">
        <f ca="1">IFERROR(__xludf.DUMMYFUNCTION("IFERROR(VLOOKUP(E838&amp;F838,IMPORTRANGE(""https://docs.google.com/spreadsheets/d/1Uw7-A9f9R21vMXxHZFNpYNeKFtG8_yji4HS352LGlSQ/edit?pli=1#gid=0"",""1_ACUM!A4:S""),19,FALSE))"),"")</f>
        <v/>
      </c>
      <c r="BF824" s="98" t="str">
        <f ca="1">IFERROR(__xludf.DUMMYFUNCTION("IFERROR(VLOOKUP(F838,IMPORTRANGE(""https://docs.google.com/spreadsheets/d/1Kvs4KS76FHFqLFIZfrDMff4kP08nblUkihrxltoGBjg/edit#gid=934712705"",""ESENCIAL!A6:BG""),5,FALSE))"),"")</f>
        <v/>
      </c>
      <c r="BG824" s="98" t="str">
        <f t="shared" si="25"/>
        <v/>
      </c>
      <c r="BH824" s="99" t="str">
        <f t="shared" si="26"/>
        <v/>
      </c>
      <c r="BI824" s="100" t="str">
        <f ca="1">IFERROR(__xludf.DUMMYFUNCTION("IFERROR(VLOOKUP(F838,IMPORTRANGE(""https://docs.google.com/spreadsheets/d/1Kvs4KS76FHFqLFIZfrDMff4kP08nblUkihrxltoGBjg/edit#gid=934712705"",""ESENCIAL!A6:BG""),2,FALSE))"),"")</f>
        <v/>
      </c>
      <c r="BJ824" s="19" t="str">
        <f t="shared" si="27"/>
        <v/>
      </c>
      <c r="BK824" s="100"/>
      <c r="BL824" s="100"/>
    </row>
    <row r="825" spans="1:64" ht="15">
      <c r="A825" s="5"/>
      <c r="B825" s="5"/>
      <c r="G825" s="5" t="str">
        <f ca="1">IFERROR(__xludf.DUMMYFUNCTION("IFERROR(VLOOKUP(F839,IMPORTRANGE(""https://docs.google.com/spreadsheets/d/1Kvs4KS76FHFqLFIZfrDMff4kP08nblUkihrxltoGBjg/edit#gid=934712705"",""ESENCIAL!A6:BG""),3,FALSE))"),"")</f>
        <v/>
      </c>
      <c r="H825" s="5" t="str">
        <f ca="1">IFERROR(__xludf.DUMMYFUNCTION("IFERROR(VLOOKUP(F839,IMPORTRANGE(""https://docs.google.com/spreadsheets/d/1Kvs4KS76FHFqLFIZfrDMff4kP08nblUkihrxltoGBjg/edit#gid=934712705"",""ESENCIAL!A6:BG""),8,FALSE))"),"")</f>
        <v/>
      </c>
      <c r="L825" s="287"/>
      <c r="U825" s="40"/>
      <c r="AU825" s="41" t="str">
        <f t="shared" si="24"/>
        <v/>
      </c>
      <c r="AV825" s="5" t="str">
        <f ca="1">IFERROR(__xludf.DUMMYFUNCTION("IFERROR(VLOOKUP(E839&amp;F839,IMPORTRANGE(""https://docs.google.com/spreadsheets/d/1Uw7-A9f9R21vMXxHZFNpYNeKFtG8_yji4HS352LGlSQ/edit?pli=1#gid=0"",""1_ACUM!A4:S""),11,FALSE))"),"")</f>
        <v/>
      </c>
      <c r="AW825" s="42" t="str">
        <f ca="1">IFERROR(__xludf.DUMMYFUNCTION("IFERROR(VLOOKUP(F839,IMPORTRANGE(""https://docs.google.com/spreadsheets/d/1Kvs4KS76FHFqLFIZfrDMff4kP08nblUkihrxltoGBjg/edit#gid=934712705"",""ESENCIAL!A6:BG""),15,FALSE))"),"")</f>
        <v/>
      </c>
      <c r="AX825" s="21" t="str">
        <f ca="1">IFERROR(__xludf.DUMMYFUNCTION("IFERROR(VLOOKUP(E839&amp;F839,IMPORTRANGE(""https://docs.google.com/spreadsheets/d/1Uw7-A9f9R21vMXxHZFNpYNeKFtG8_yji4HS352LGlSQ/edit?pli=1#gid=0"",""1_ACUM!A4:S""),12,FALSE))"),"")</f>
        <v/>
      </c>
      <c r="AY825" s="43" t="str">
        <f ca="1">IFERROR(__xludf.DUMMYFUNCTION("IFERROR(VLOOKUP(E839&amp;F839,IMPORTRANGE(""https://docs.google.com/spreadsheets/d/1Uw7-A9f9R21vMXxHZFNpYNeKFtG8_yji4HS352LGlSQ/edit?pli=1#gid=0"",""1_ACUM!A4:S""),13,FALSE))"),"")</f>
        <v/>
      </c>
      <c r="AZ825" s="43" t="str">
        <f ca="1">IFERROR(__xludf.DUMMYFUNCTION("IFERROR(VLOOKUP(E839&amp;F839,IMPORTRANGE(""https://docs.google.com/spreadsheets/d/1Uw7-A9f9R21vMXxHZFNpYNeKFtG8_yji4HS352LGlSQ/edit?pli=1#gid=0"",""1_ACUM!A4:S""),14,FALSE))"),"")</f>
        <v/>
      </c>
      <c r="BA825" s="43" t="str">
        <f ca="1">IFERROR(__xludf.DUMMYFUNCTION("IFERROR(VLOOKUP(E839&amp;F839,IMPORTRANGE(""https://docs.google.com/spreadsheets/d/1Uw7-A9f9R21vMXxHZFNpYNeKFtG8_yji4HS352LGlSQ/edit?pli=1#gid=0"",""1_ACUM!A4:S""),15,FALSE))"),"")</f>
        <v/>
      </c>
      <c r="BB825" s="43" t="str">
        <f ca="1">IFERROR(__xludf.DUMMYFUNCTION("IFERROR(VLOOKUP(E839&amp;F839,IMPORTRANGE(""https://docs.google.com/spreadsheets/d/1Uw7-A9f9R21vMXxHZFNpYNeKFtG8_yji4HS352LGlSQ/edit?pli=1#gid=0"",""1_ACUM!A4:S""),16,FALSE))"),"")</f>
        <v/>
      </c>
      <c r="BC825" s="43" t="str">
        <f ca="1">IFERROR(__xludf.DUMMYFUNCTION("IFERROR(VLOOKUP(E839&amp;F839,IMPORTRANGE(""https://docs.google.com/spreadsheets/d/1Uw7-A9f9R21vMXxHZFNpYNeKFtG8_yji4HS352LGlSQ/edit?pli=1#gid=0"",""1_ACUM!A4:S""),17,FALSE))"),"")</f>
        <v/>
      </c>
      <c r="BD825" s="44" t="str">
        <f ca="1">IFERROR(__xludf.DUMMYFUNCTION("IFERROR(VLOOKUP(E839&amp;F839,IMPORTRANGE(""https://docs.google.com/spreadsheets/d/1Uw7-A9f9R21vMXxHZFNpYNeKFtG8_yji4HS352LGlSQ/edit?pli=1#gid=0"",""1_ACUM!A4:S""),18,FALSE))"),"")</f>
        <v/>
      </c>
      <c r="BE825" s="44" t="str">
        <f ca="1">IFERROR(__xludf.DUMMYFUNCTION("IFERROR(VLOOKUP(E839&amp;F839,IMPORTRANGE(""https://docs.google.com/spreadsheets/d/1Uw7-A9f9R21vMXxHZFNpYNeKFtG8_yji4HS352LGlSQ/edit?pli=1#gid=0"",""1_ACUM!A4:S""),19,FALSE))"),"")</f>
        <v/>
      </c>
      <c r="BF825" s="98" t="str">
        <f ca="1">IFERROR(__xludf.DUMMYFUNCTION("IFERROR(VLOOKUP(F839,IMPORTRANGE(""https://docs.google.com/spreadsheets/d/1Kvs4KS76FHFqLFIZfrDMff4kP08nblUkihrxltoGBjg/edit#gid=934712705"",""ESENCIAL!A6:BG""),5,FALSE))"),"")</f>
        <v/>
      </c>
      <c r="BG825" s="98" t="str">
        <f t="shared" si="25"/>
        <v/>
      </c>
      <c r="BH825" s="99" t="str">
        <f t="shared" si="26"/>
        <v/>
      </c>
      <c r="BI825" s="100" t="str">
        <f ca="1">IFERROR(__xludf.DUMMYFUNCTION("IFERROR(VLOOKUP(F839,IMPORTRANGE(""https://docs.google.com/spreadsheets/d/1Kvs4KS76FHFqLFIZfrDMff4kP08nblUkihrxltoGBjg/edit#gid=934712705"",""ESENCIAL!A6:BG""),2,FALSE))"),"")</f>
        <v/>
      </c>
      <c r="BJ825" s="19" t="str">
        <f t="shared" si="27"/>
        <v/>
      </c>
      <c r="BK825" s="100"/>
      <c r="BL825" s="100"/>
    </row>
    <row r="826" spans="1:64" ht="15">
      <c r="A826" s="5"/>
      <c r="B826" s="5"/>
      <c r="G826" s="5" t="str">
        <f ca="1">IFERROR(__xludf.DUMMYFUNCTION("IFERROR(VLOOKUP(F840,IMPORTRANGE(""https://docs.google.com/spreadsheets/d/1Kvs4KS76FHFqLFIZfrDMff4kP08nblUkihrxltoGBjg/edit#gid=934712705"",""ESENCIAL!A6:BG""),3,FALSE))"),"")</f>
        <v/>
      </c>
      <c r="H826" s="5" t="str">
        <f ca="1">IFERROR(__xludf.DUMMYFUNCTION("IFERROR(VLOOKUP(F840,IMPORTRANGE(""https://docs.google.com/spreadsheets/d/1Kvs4KS76FHFqLFIZfrDMff4kP08nblUkihrxltoGBjg/edit#gid=934712705"",""ESENCIAL!A6:BG""),8,FALSE))"),"")</f>
        <v/>
      </c>
      <c r="L826" s="287"/>
      <c r="U826" s="40"/>
      <c r="AU826" s="41" t="str">
        <f t="shared" si="24"/>
        <v/>
      </c>
      <c r="AV826" s="5" t="str">
        <f ca="1">IFERROR(__xludf.DUMMYFUNCTION("IFERROR(VLOOKUP(E840&amp;F840,IMPORTRANGE(""https://docs.google.com/spreadsheets/d/1Uw7-A9f9R21vMXxHZFNpYNeKFtG8_yji4HS352LGlSQ/edit?pli=1#gid=0"",""1_ACUM!A4:S""),11,FALSE))"),"")</f>
        <v/>
      </c>
      <c r="AW826" s="42" t="str">
        <f ca="1">IFERROR(__xludf.DUMMYFUNCTION("IFERROR(VLOOKUP(F840,IMPORTRANGE(""https://docs.google.com/spreadsheets/d/1Kvs4KS76FHFqLFIZfrDMff4kP08nblUkihrxltoGBjg/edit#gid=934712705"",""ESENCIAL!A6:BG""),15,FALSE))"),"")</f>
        <v/>
      </c>
      <c r="AX826" s="21" t="str">
        <f ca="1">IFERROR(__xludf.DUMMYFUNCTION("IFERROR(VLOOKUP(E840&amp;F840,IMPORTRANGE(""https://docs.google.com/spreadsheets/d/1Uw7-A9f9R21vMXxHZFNpYNeKFtG8_yji4HS352LGlSQ/edit?pli=1#gid=0"",""1_ACUM!A4:S""),12,FALSE))"),"")</f>
        <v/>
      </c>
      <c r="AY826" s="43" t="str">
        <f ca="1">IFERROR(__xludf.DUMMYFUNCTION("IFERROR(VLOOKUP(E840&amp;F840,IMPORTRANGE(""https://docs.google.com/spreadsheets/d/1Uw7-A9f9R21vMXxHZFNpYNeKFtG8_yji4HS352LGlSQ/edit?pli=1#gid=0"",""1_ACUM!A4:S""),13,FALSE))"),"")</f>
        <v/>
      </c>
      <c r="AZ826" s="43" t="str">
        <f ca="1">IFERROR(__xludf.DUMMYFUNCTION("IFERROR(VLOOKUP(E840&amp;F840,IMPORTRANGE(""https://docs.google.com/spreadsheets/d/1Uw7-A9f9R21vMXxHZFNpYNeKFtG8_yji4HS352LGlSQ/edit?pli=1#gid=0"",""1_ACUM!A4:S""),14,FALSE))"),"")</f>
        <v/>
      </c>
      <c r="BA826" s="43" t="str">
        <f ca="1">IFERROR(__xludf.DUMMYFUNCTION("IFERROR(VLOOKUP(E840&amp;F840,IMPORTRANGE(""https://docs.google.com/spreadsheets/d/1Uw7-A9f9R21vMXxHZFNpYNeKFtG8_yji4HS352LGlSQ/edit?pli=1#gid=0"",""1_ACUM!A4:S""),15,FALSE))"),"")</f>
        <v/>
      </c>
      <c r="BB826" s="43" t="str">
        <f ca="1">IFERROR(__xludf.DUMMYFUNCTION("IFERROR(VLOOKUP(E840&amp;F840,IMPORTRANGE(""https://docs.google.com/spreadsheets/d/1Uw7-A9f9R21vMXxHZFNpYNeKFtG8_yji4HS352LGlSQ/edit?pli=1#gid=0"",""1_ACUM!A4:S""),16,FALSE))"),"")</f>
        <v/>
      </c>
      <c r="BC826" s="43" t="str">
        <f ca="1">IFERROR(__xludf.DUMMYFUNCTION("IFERROR(VLOOKUP(E840&amp;F840,IMPORTRANGE(""https://docs.google.com/spreadsheets/d/1Uw7-A9f9R21vMXxHZFNpYNeKFtG8_yji4HS352LGlSQ/edit?pli=1#gid=0"",""1_ACUM!A4:S""),17,FALSE))"),"")</f>
        <v/>
      </c>
      <c r="BD826" s="44" t="str">
        <f ca="1">IFERROR(__xludf.DUMMYFUNCTION("IFERROR(VLOOKUP(E840&amp;F840,IMPORTRANGE(""https://docs.google.com/spreadsheets/d/1Uw7-A9f9R21vMXxHZFNpYNeKFtG8_yji4HS352LGlSQ/edit?pli=1#gid=0"",""1_ACUM!A4:S""),18,FALSE))"),"")</f>
        <v/>
      </c>
      <c r="BE826" s="44" t="str">
        <f ca="1">IFERROR(__xludf.DUMMYFUNCTION("IFERROR(VLOOKUP(E840&amp;F840,IMPORTRANGE(""https://docs.google.com/spreadsheets/d/1Uw7-A9f9R21vMXxHZFNpYNeKFtG8_yji4HS352LGlSQ/edit?pli=1#gid=0"",""1_ACUM!A4:S""),19,FALSE))"),"")</f>
        <v/>
      </c>
      <c r="BF826" s="98" t="str">
        <f ca="1">IFERROR(__xludf.DUMMYFUNCTION("IFERROR(VLOOKUP(F840,IMPORTRANGE(""https://docs.google.com/spreadsheets/d/1Kvs4KS76FHFqLFIZfrDMff4kP08nblUkihrxltoGBjg/edit#gid=934712705"",""ESENCIAL!A6:BG""),5,FALSE))"),"")</f>
        <v/>
      </c>
      <c r="BG826" s="98" t="str">
        <f t="shared" si="25"/>
        <v/>
      </c>
      <c r="BH826" s="99" t="str">
        <f t="shared" si="26"/>
        <v/>
      </c>
      <c r="BI826" s="100" t="str">
        <f ca="1">IFERROR(__xludf.DUMMYFUNCTION("IFERROR(VLOOKUP(F840,IMPORTRANGE(""https://docs.google.com/spreadsheets/d/1Kvs4KS76FHFqLFIZfrDMff4kP08nblUkihrxltoGBjg/edit#gid=934712705"",""ESENCIAL!A6:BG""),2,FALSE))"),"")</f>
        <v/>
      </c>
      <c r="BJ826" s="19" t="str">
        <f t="shared" si="27"/>
        <v/>
      </c>
      <c r="BK826" s="100"/>
      <c r="BL826" s="100"/>
    </row>
    <row r="827" spans="1:64" ht="15">
      <c r="A827" s="5"/>
      <c r="B827" s="5"/>
      <c r="G827" s="5" t="str">
        <f ca="1">IFERROR(__xludf.DUMMYFUNCTION("IFERROR(VLOOKUP(F841,IMPORTRANGE(""https://docs.google.com/spreadsheets/d/1Kvs4KS76FHFqLFIZfrDMff4kP08nblUkihrxltoGBjg/edit#gid=934712705"",""ESENCIAL!A6:BG""),3,FALSE))"),"")</f>
        <v/>
      </c>
      <c r="H827" s="5" t="str">
        <f ca="1">IFERROR(__xludf.DUMMYFUNCTION("IFERROR(VLOOKUP(F841,IMPORTRANGE(""https://docs.google.com/spreadsheets/d/1Kvs4KS76FHFqLFIZfrDMff4kP08nblUkihrxltoGBjg/edit#gid=934712705"",""ESENCIAL!A6:BG""),8,FALSE))"),"")</f>
        <v/>
      </c>
      <c r="L827" s="287"/>
      <c r="U827" s="40"/>
      <c r="AU827" s="41" t="str">
        <f t="shared" si="24"/>
        <v/>
      </c>
      <c r="AV827" s="5" t="str">
        <f ca="1">IFERROR(__xludf.DUMMYFUNCTION("IFERROR(VLOOKUP(E841&amp;F841,IMPORTRANGE(""https://docs.google.com/spreadsheets/d/1Uw7-A9f9R21vMXxHZFNpYNeKFtG8_yji4HS352LGlSQ/edit?pli=1#gid=0"",""1_ACUM!A4:S""),11,FALSE))"),"")</f>
        <v/>
      </c>
      <c r="AW827" s="42" t="str">
        <f ca="1">IFERROR(__xludf.DUMMYFUNCTION("IFERROR(VLOOKUP(F841,IMPORTRANGE(""https://docs.google.com/spreadsheets/d/1Kvs4KS76FHFqLFIZfrDMff4kP08nblUkihrxltoGBjg/edit#gid=934712705"",""ESENCIAL!A6:BG""),15,FALSE))"),"")</f>
        <v/>
      </c>
      <c r="AX827" s="21" t="str">
        <f ca="1">IFERROR(__xludf.DUMMYFUNCTION("IFERROR(VLOOKUP(E841&amp;F841,IMPORTRANGE(""https://docs.google.com/spreadsheets/d/1Uw7-A9f9R21vMXxHZFNpYNeKFtG8_yji4HS352LGlSQ/edit?pli=1#gid=0"",""1_ACUM!A4:S""),12,FALSE))"),"")</f>
        <v/>
      </c>
      <c r="AY827" s="43" t="str">
        <f ca="1">IFERROR(__xludf.DUMMYFUNCTION("IFERROR(VLOOKUP(E841&amp;F841,IMPORTRANGE(""https://docs.google.com/spreadsheets/d/1Uw7-A9f9R21vMXxHZFNpYNeKFtG8_yji4HS352LGlSQ/edit?pli=1#gid=0"",""1_ACUM!A4:S""),13,FALSE))"),"")</f>
        <v/>
      </c>
      <c r="AZ827" s="43" t="str">
        <f ca="1">IFERROR(__xludf.DUMMYFUNCTION("IFERROR(VLOOKUP(E841&amp;F841,IMPORTRANGE(""https://docs.google.com/spreadsheets/d/1Uw7-A9f9R21vMXxHZFNpYNeKFtG8_yji4HS352LGlSQ/edit?pli=1#gid=0"",""1_ACUM!A4:S""),14,FALSE))"),"")</f>
        <v/>
      </c>
      <c r="BA827" s="43" t="str">
        <f ca="1">IFERROR(__xludf.DUMMYFUNCTION("IFERROR(VLOOKUP(E841&amp;F841,IMPORTRANGE(""https://docs.google.com/spreadsheets/d/1Uw7-A9f9R21vMXxHZFNpYNeKFtG8_yji4HS352LGlSQ/edit?pli=1#gid=0"",""1_ACUM!A4:S""),15,FALSE))"),"")</f>
        <v/>
      </c>
      <c r="BB827" s="43" t="str">
        <f ca="1">IFERROR(__xludf.DUMMYFUNCTION("IFERROR(VLOOKUP(E841&amp;F841,IMPORTRANGE(""https://docs.google.com/spreadsheets/d/1Uw7-A9f9R21vMXxHZFNpYNeKFtG8_yji4HS352LGlSQ/edit?pli=1#gid=0"",""1_ACUM!A4:S""),16,FALSE))"),"")</f>
        <v/>
      </c>
      <c r="BC827" s="43" t="str">
        <f ca="1">IFERROR(__xludf.DUMMYFUNCTION("IFERROR(VLOOKUP(E841&amp;F841,IMPORTRANGE(""https://docs.google.com/spreadsheets/d/1Uw7-A9f9R21vMXxHZFNpYNeKFtG8_yji4HS352LGlSQ/edit?pli=1#gid=0"",""1_ACUM!A4:S""),17,FALSE))"),"")</f>
        <v/>
      </c>
      <c r="BD827" s="44" t="str">
        <f ca="1">IFERROR(__xludf.DUMMYFUNCTION("IFERROR(VLOOKUP(E841&amp;F841,IMPORTRANGE(""https://docs.google.com/spreadsheets/d/1Uw7-A9f9R21vMXxHZFNpYNeKFtG8_yji4HS352LGlSQ/edit?pli=1#gid=0"",""1_ACUM!A4:S""),18,FALSE))"),"")</f>
        <v/>
      </c>
      <c r="BE827" s="44" t="str">
        <f ca="1">IFERROR(__xludf.DUMMYFUNCTION("IFERROR(VLOOKUP(E841&amp;F841,IMPORTRANGE(""https://docs.google.com/spreadsheets/d/1Uw7-A9f9R21vMXxHZFNpYNeKFtG8_yji4HS352LGlSQ/edit?pli=1#gid=0"",""1_ACUM!A4:S""),19,FALSE))"),"")</f>
        <v/>
      </c>
      <c r="BF827" s="98" t="str">
        <f ca="1">IFERROR(__xludf.DUMMYFUNCTION("IFERROR(VLOOKUP(F841,IMPORTRANGE(""https://docs.google.com/spreadsheets/d/1Kvs4KS76FHFqLFIZfrDMff4kP08nblUkihrxltoGBjg/edit#gid=934712705"",""ESENCIAL!A6:BG""),5,FALSE))"),"")</f>
        <v/>
      </c>
      <c r="BG827" s="98" t="str">
        <f t="shared" si="25"/>
        <v/>
      </c>
      <c r="BH827" s="99" t="str">
        <f t="shared" si="26"/>
        <v/>
      </c>
      <c r="BI827" s="100" t="str">
        <f ca="1">IFERROR(__xludf.DUMMYFUNCTION("IFERROR(VLOOKUP(F841,IMPORTRANGE(""https://docs.google.com/spreadsheets/d/1Kvs4KS76FHFqLFIZfrDMff4kP08nblUkihrxltoGBjg/edit#gid=934712705"",""ESENCIAL!A6:BG""),2,FALSE))"),"")</f>
        <v/>
      </c>
      <c r="BJ827" s="19" t="str">
        <f t="shared" si="27"/>
        <v/>
      </c>
      <c r="BK827" s="100"/>
      <c r="BL827" s="100"/>
    </row>
    <row r="828" spans="1:64" ht="15">
      <c r="A828" s="5"/>
      <c r="B828" s="5"/>
      <c r="G828" s="5" t="str">
        <f ca="1">IFERROR(__xludf.DUMMYFUNCTION("IFERROR(VLOOKUP(F842,IMPORTRANGE(""https://docs.google.com/spreadsheets/d/1Kvs4KS76FHFqLFIZfrDMff4kP08nblUkihrxltoGBjg/edit#gid=934712705"",""ESENCIAL!A6:BG""),3,FALSE))"),"")</f>
        <v/>
      </c>
      <c r="H828" s="5" t="str">
        <f ca="1">IFERROR(__xludf.DUMMYFUNCTION("IFERROR(VLOOKUP(F842,IMPORTRANGE(""https://docs.google.com/spreadsheets/d/1Kvs4KS76FHFqLFIZfrDMff4kP08nblUkihrxltoGBjg/edit#gid=934712705"",""ESENCIAL!A6:BG""),8,FALSE))"),"")</f>
        <v/>
      </c>
      <c r="L828" s="287"/>
      <c r="U828" s="40"/>
      <c r="AU828" s="41" t="str">
        <f t="shared" si="24"/>
        <v/>
      </c>
      <c r="AV828" s="5" t="str">
        <f ca="1">IFERROR(__xludf.DUMMYFUNCTION("IFERROR(VLOOKUP(E842&amp;F842,IMPORTRANGE(""https://docs.google.com/spreadsheets/d/1Uw7-A9f9R21vMXxHZFNpYNeKFtG8_yji4HS352LGlSQ/edit?pli=1#gid=0"",""1_ACUM!A4:S""),11,FALSE))"),"")</f>
        <v/>
      </c>
      <c r="AW828" s="42" t="str">
        <f ca="1">IFERROR(__xludf.DUMMYFUNCTION("IFERROR(VLOOKUP(F842,IMPORTRANGE(""https://docs.google.com/spreadsheets/d/1Kvs4KS76FHFqLFIZfrDMff4kP08nblUkihrxltoGBjg/edit#gid=934712705"",""ESENCIAL!A6:BG""),15,FALSE))"),"")</f>
        <v/>
      </c>
      <c r="AX828" s="21" t="str">
        <f ca="1">IFERROR(__xludf.DUMMYFUNCTION("IFERROR(VLOOKUP(E842&amp;F842,IMPORTRANGE(""https://docs.google.com/spreadsheets/d/1Uw7-A9f9R21vMXxHZFNpYNeKFtG8_yji4HS352LGlSQ/edit?pli=1#gid=0"",""1_ACUM!A4:S""),12,FALSE))"),"")</f>
        <v/>
      </c>
      <c r="AY828" s="43" t="str">
        <f ca="1">IFERROR(__xludf.DUMMYFUNCTION("IFERROR(VLOOKUP(E842&amp;F842,IMPORTRANGE(""https://docs.google.com/spreadsheets/d/1Uw7-A9f9R21vMXxHZFNpYNeKFtG8_yji4HS352LGlSQ/edit?pli=1#gid=0"",""1_ACUM!A4:S""),13,FALSE))"),"")</f>
        <v/>
      </c>
      <c r="AZ828" s="43" t="str">
        <f ca="1">IFERROR(__xludf.DUMMYFUNCTION("IFERROR(VLOOKUP(E842&amp;F842,IMPORTRANGE(""https://docs.google.com/spreadsheets/d/1Uw7-A9f9R21vMXxHZFNpYNeKFtG8_yji4HS352LGlSQ/edit?pli=1#gid=0"",""1_ACUM!A4:S""),14,FALSE))"),"")</f>
        <v/>
      </c>
      <c r="BA828" s="43" t="str">
        <f ca="1">IFERROR(__xludf.DUMMYFUNCTION("IFERROR(VLOOKUP(E842&amp;F842,IMPORTRANGE(""https://docs.google.com/spreadsheets/d/1Uw7-A9f9R21vMXxHZFNpYNeKFtG8_yji4HS352LGlSQ/edit?pli=1#gid=0"",""1_ACUM!A4:S""),15,FALSE))"),"")</f>
        <v/>
      </c>
      <c r="BB828" s="43" t="str">
        <f ca="1">IFERROR(__xludf.DUMMYFUNCTION("IFERROR(VLOOKUP(E842&amp;F842,IMPORTRANGE(""https://docs.google.com/spreadsheets/d/1Uw7-A9f9R21vMXxHZFNpYNeKFtG8_yji4HS352LGlSQ/edit?pli=1#gid=0"",""1_ACUM!A4:S""),16,FALSE))"),"")</f>
        <v/>
      </c>
      <c r="BC828" s="43" t="str">
        <f ca="1">IFERROR(__xludf.DUMMYFUNCTION("IFERROR(VLOOKUP(E842&amp;F842,IMPORTRANGE(""https://docs.google.com/spreadsheets/d/1Uw7-A9f9R21vMXxHZFNpYNeKFtG8_yji4HS352LGlSQ/edit?pli=1#gid=0"",""1_ACUM!A4:S""),17,FALSE))"),"")</f>
        <v/>
      </c>
      <c r="BD828" s="44" t="str">
        <f ca="1">IFERROR(__xludf.DUMMYFUNCTION("IFERROR(VLOOKUP(E842&amp;F842,IMPORTRANGE(""https://docs.google.com/spreadsheets/d/1Uw7-A9f9R21vMXxHZFNpYNeKFtG8_yji4HS352LGlSQ/edit?pli=1#gid=0"",""1_ACUM!A4:S""),18,FALSE))"),"")</f>
        <v/>
      </c>
      <c r="BE828" s="44" t="str">
        <f ca="1">IFERROR(__xludf.DUMMYFUNCTION("IFERROR(VLOOKUP(E842&amp;F842,IMPORTRANGE(""https://docs.google.com/spreadsheets/d/1Uw7-A9f9R21vMXxHZFNpYNeKFtG8_yji4HS352LGlSQ/edit?pli=1#gid=0"",""1_ACUM!A4:S""),19,FALSE))"),"")</f>
        <v/>
      </c>
      <c r="BF828" s="98" t="str">
        <f ca="1">IFERROR(__xludf.DUMMYFUNCTION("IFERROR(VLOOKUP(F842,IMPORTRANGE(""https://docs.google.com/spreadsheets/d/1Kvs4KS76FHFqLFIZfrDMff4kP08nblUkihrxltoGBjg/edit#gid=934712705"",""ESENCIAL!A6:BG""),5,FALSE))"),"")</f>
        <v/>
      </c>
      <c r="BG828" s="98" t="str">
        <f t="shared" si="25"/>
        <v/>
      </c>
      <c r="BH828" s="99" t="str">
        <f t="shared" si="26"/>
        <v/>
      </c>
      <c r="BI828" s="100" t="str">
        <f ca="1">IFERROR(__xludf.DUMMYFUNCTION("IFERROR(VLOOKUP(F842,IMPORTRANGE(""https://docs.google.com/spreadsheets/d/1Kvs4KS76FHFqLFIZfrDMff4kP08nblUkihrxltoGBjg/edit#gid=934712705"",""ESENCIAL!A6:BG""),2,FALSE))"),"")</f>
        <v/>
      </c>
      <c r="BJ828" s="19" t="str">
        <f t="shared" si="27"/>
        <v/>
      </c>
      <c r="BK828" s="100"/>
      <c r="BL828" s="100"/>
    </row>
    <row r="829" spans="1:64" ht="15">
      <c r="A829" s="5"/>
      <c r="B829" s="5"/>
      <c r="G829" s="5" t="str">
        <f ca="1">IFERROR(__xludf.DUMMYFUNCTION("IFERROR(VLOOKUP(F843,IMPORTRANGE(""https://docs.google.com/spreadsheets/d/1Kvs4KS76FHFqLFIZfrDMff4kP08nblUkihrxltoGBjg/edit#gid=934712705"",""ESENCIAL!A6:BG""),3,FALSE))"),"")</f>
        <v/>
      </c>
      <c r="H829" s="5" t="str">
        <f ca="1">IFERROR(__xludf.DUMMYFUNCTION("IFERROR(VLOOKUP(F843,IMPORTRANGE(""https://docs.google.com/spreadsheets/d/1Kvs4KS76FHFqLFIZfrDMff4kP08nblUkihrxltoGBjg/edit#gid=934712705"",""ESENCIAL!A6:BG""),8,FALSE))"),"")</f>
        <v/>
      </c>
      <c r="L829" s="287"/>
      <c r="U829" s="40"/>
      <c r="AU829" s="41" t="str">
        <f t="shared" si="24"/>
        <v/>
      </c>
      <c r="AV829" s="5" t="str">
        <f ca="1">IFERROR(__xludf.DUMMYFUNCTION("IFERROR(VLOOKUP(E843&amp;F843,IMPORTRANGE(""https://docs.google.com/spreadsheets/d/1Uw7-A9f9R21vMXxHZFNpYNeKFtG8_yji4HS352LGlSQ/edit?pli=1#gid=0"",""1_ACUM!A4:S""),11,FALSE))"),"")</f>
        <v/>
      </c>
      <c r="AW829" s="42" t="str">
        <f ca="1">IFERROR(__xludf.DUMMYFUNCTION("IFERROR(VLOOKUP(F843,IMPORTRANGE(""https://docs.google.com/spreadsheets/d/1Kvs4KS76FHFqLFIZfrDMff4kP08nblUkihrxltoGBjg/edit#gid=934712705"",""ESENCIAL!A6:BG""),15,FALSE))"),"")</f>
        <v/>
      </c>
      <c r="AX829" s="21" t="str">
        <f ca="1">IFERROR(__xludf.DUMMYFUNCTION("IFERROR(VLOOKUP(E843&amp;F843,IMPORTRANGE(""https://docs.google.com/spreadsheets/d/1Uw7-A9f9R21vMXxHZFNpYNeKFtG8_yji4HS352LGlSQ/edit?pli=1#gid=0"",""1_ACUM!A4:S""),12,FALSE))"),"")</f>
        <v/>
      </c>
      <c r="AY829" s="43" t="str">
        <f ca="1">IFERROR(__xludf.DUMMYFUNCTION("IFERROR(VLOOKUP(E843&amp;F843,IMPORTRANGE(""https://docs.google.com/spreadsheets/d/1Uw7-A9f9R21vMXxHZFNpYNeKFtG8_yji4HS352LGlSQ/edit?pli=1#gid=0"",""1_ACUM!A4:S""),13,FALSE))"),"")</f>
        <v/>
      </c>
      <c r="AZ829" s="43" t="str">
        <f ca="1">IFERROR(__xludf.DUMMYFUNCTION("IFERROR(VLOOKUP(E843&amp;F843,IMPORTRANGE(""https://docs.google.com/spreadsheets/d/1Uw7-A9f9R21vMXxHZFNpYNeKFtG8_yji4HS352LGlSQ/edit?pli=1#gid=0"",""1_ACUM!A4:S""),14,FALSE))"),"")</f>
        <v/>
      </c>
      <c r="BA829" s="43" t="str">
        <f ca="1">IFERROR(__xludf.DUMMYFUNCTION("IFERROR(VLOOKUP(E843&amp;F843,IMPORTRANGE(""https://docs.google.com/spreadsheets/d/1Uw7-A9f9R21vMXxHZFNpYNeKFtG8_yji4HS352LGlSQ/edit?pli=1#gid=0"",""1_ACUM!A4:S""),15,FALSE))"),"")</f>
        <v/>
      </c>
      <c r="BB829" s="43" t="str">
        <f ca="1">IFERROR(__xludf.DUMMYFUNCTION("IFERROR(VLOOKUP(E843&amp;F843,IMPORTRANGE(""https://docs.google.com/spreadsheets/d/1Uw7-A9f9R21vMXxHZFNpYNeKFtG8_yji4HS352LGlSQ/edit?pli=1#gid=0"",""1_ACUM!A4:S""),16,FALSE))"),"")</f>
        <v/>
      </c>
      <c r="BC829" s="43" t="str">
        <f ca="1">IFERROR(__xludf.DUMMYFUNCTION("IFERROR(VLOOKUP(E843&amp;F843,IMPORTRANGE(""https://docs.google.com/spreadsheets/d/1Uw7-A9f9R21vMXxHZFNpYNeKFtG8_yji4HS352LGlSQ/edit?pli=1#gid=0"",""1_ACUM!A4:S""),17,FALSE))"),"")</f>
        <v/>
      </c>
      <c r="BD829" s="44" t="str">
        <f ca="1">IFERROR(__xludf.DUMMYFUNCTION("IFERROR(VLOOKUP(E843&amp;F843,IMPORTRANGE(""https://docs.google.com/spreadsheets/d/1Uw7-A9f9R21vMXxHZFNpYNeKFtG8_yji4HS352LGlSQ/edit?pli=1#gid=0"",""1_ACUM!A4:S""),18,FALSE))"),"")</f>
        <v/>
      </c>
      <c r="BE829" s="44" t="str">
        <f ca="1">IFERROR(__xludf.DUMMYFUNCTION("IFERROR(VLOOKUP(E843&amp;F843,IMPORTRANGE(""https://docs.google.com/spreadsheets/d/1Uw7-A9f9R21vMXxHZFNpYNeKFtG8_yji4HS352LGlSQ/edit?pli=1#gid=0"",""1_ACUM!A4:S""),19,FALSE))"),"")</f>
        <v/>
      </c>
      <c r="BF829" s="98" t="str">
        <f ca="1">IFERROR(__xludf.DUMMYFUNCTION("IFERROR(VLOOKUP(F843,IMPORTRANGE(""https://docs.google.com/spreadsheets/d/1Kvs4KS76FHFqLFIZfrDMff4kP08nblUkihrxltoGBjg/edit#gid=934712705"",""ESENCIAL!A6:BG""),5,FALSE))"),"")</f>
        <v/>
      </c>
      <c r="BG829" s="98" t="str">
        <f t="shared" si="25"/>
        <v/>
      </c>
      <c r="BH829" s="99" t="str">
        <f t="shared" si="26"/>
        <v/>
      </c>
      <c r="BI829" s="100" t="str">
        <f ca="1">IFERROR(__xludf.DUMMYFUNCTION("IFERROR(VLOOKUP(F843,IMPORTRANGE(""https://docs.google.com/spreadsheets/d/1Kvs4KS76FHFqLFIZfrDMff4kP08nblUkihrxltoGBjg/edit#gid=934712705"",""ESENCIAL!A6:BG""),2,FALSE))"),"")</f>
        <v/>
      </c>
      <c r="BJ829" s="19" t="str">
        <f t="shared" si="27"/>
        <v/>
      </c>
      <c r="BK829" s="100"/>
      <c r="BL829" s="100"/>
    </row>
    <row r="830" spans="1:64" ht="15">
      <c r="A830" s="5"/>
      <c r="B830" s="5"/>
      <c r="G830" s="5" t="str">
        <f ca="1">IFERROR(__xludf.DUMMYFUNCTION("IFERROR(VLOOKUP(F844,IMPORTRANGE(""https://docs.google.com/spreadsheets/d/1Kvs4KS76FHFqLFIZfrDMff4kP08nblUkihrxltoGBjg/edit#gid=934712705"",""ESENCIAL!A6:BG""),3,FALSE))"),"")</f>
        <v/>
      </c>
      <c r="H830" s="5" t="str">
        <f ca="1">IFERROR(__xludf.DUMMYFUNCTION("IFERROR(VLOOKUP(F844,IMPORTRANGE(""https://docs.google.com/spreadsheets/d/1Kvs4KS76FHFqLFIZfrDMff4kP08nblUkihrxltoGBjg/edit#gid=934712705"",""ESENCIAL!A6:BG""),8,FALSE))"),"")</f>
        <v/>
      </c>
      <c r="L830" s="287"/>
      <c r="U830" s="40"/>
      <c r="AU830" s="41" t="str">
        <f t="shared" si="24"/>
        <v/>
      </c>
      <c r="AV830" s="5" t="str">
        <f ca="1">IFERROR(__xludf.DUMMYFUNCTION("IFERROR(VLOOKUP(E844&amp;F844,IMPORTRANGE(""https://docs.google.com/spreadsheets/d/1Uw7-A9f9R21vMXxHZFNpYNeKFtG8_yji4HS352LGlSQ/edit?pli=1#gid=0"",""1_ACUM!A4:S""),11,FALSE))"),"")</f>
        <v/>
      </c>
      <c r="AW830" s="42" t="str">
        <f ca="1">IFERROR(__xludf.DUMMYFUNCTION("IFERROR(VLOOKUP(F844,IMPORTRANGE(""https://docs.google.com/spreadsheets/d/1Kvs4KS76FHFqLFIZfrDMff4kP08nblUkihrxltoGBjg/edit#gid=934712705"",""ESENCIAL!A6:BG""),15,FALSE))"),"")</f>
        <v/>
      </c>
      <c r="AX830" s="21" t="str">
        <f ca="1">IFERROR(__xludf.DUMMYFUNCTION("IFERROR(VLOOKUP(E844&amp;F844,IMPORTRANGE(""https://docs.google.com/spreadsheets/d/1Uw7-A9f9R21vMXxHZFNpYNeKFtG8_yji4HS352LGlSQ/edit?pli=1#gid=0"",""1_ACUM!A4:S""),12,FALSE))"),"")</f>
        <v/>
      </c>
      <c r="AY830" s="43" t="str">
        <f ca="1">IFERROR(__xludf.DUMMYFUNCTION("IFERROR(VLOOKUP(E844&amp;F844,IMPORTRANGE(""https://docs.google.com/spreadsheets/d/1Uw7-A9f9R21vMXxHZFNpYNeKFtG8_yji4HS352LGlSQ/edit?pli=1#gid=0"",""1_ACUM!A4:S""),13,FALSE))"),"")</f>
        <v/>
      </c>
      <c r="AZ830" s="43" t="str">
        <f ca="1">IFERROR(__xludf.DUMMYFUNCTION("IFERROR(VLOOKUP(E844&amp;F844,IMPORTRANGE(""https://docs.google.com/spreadsheets/d/1Uw7-A9f9R21vMXxHZFNpYNeKFtG8_yji4HS352LGlSQ/edit?pli=1#gid=0"",""1_ACUM!A4:S""),14,FALSE))"),"")</f>
        <v/>
      </c>
      <c r="BA830" s="43" t="str">
        <f ca="1">IFERROR(__xludf.DUMMYFUNCTION("IFERROR(VLOOKUP(E844&amp;F844,IMPORTRANGE(""https://docs.google.com/spreadsheets/d/1Uw7-A9f9R21vMXxHZFNpYNeKFtG8_yji4HS352LGlSQ/edit?pli=1#gid=0"",""1_ACUM!A4:S""),15,FALSE))"),"")</f>
        <v/>
      </c>
      <c r="BB830" s="43" t="str">
        <f ca="1">IFERROR(__xludf.DUMMYFUNCTION("IFERROR(VLOOKUP(E844&amp;F844,IMPORTRANGE(""https://docs.google.com/spreadsheets/d/1Uw7-A9f9R21vMXxHZFNpYNeKFtG8_yji4HS352LGlSQ/edit?pli=1#gid=0"",""1_ACUM!A4:S""),16,FALSE))"),"")</f>
        <v/>
      </c>
      <c r="BC830" s="43" t="str">
        <f ca="1">IFERROR(__xludf.DUMMYFUNCTION("IFERROR(VLOOKUP(E844&amp;F844,IMPORTRANGE(""https://docs.google.com/spreadsheets/d/1Uw7-A9f9R21vMXxHZFNpYNeKFtG8_yji4HS352LGlSQ/edit?pli=1#gid=0"",""1_ACUM!A4:S""),17,FALSE))"),"")</f>
        <v/>
      </c>
      <c r="BD830" s="44" t="str">
        <f ca="1">IFERROR(__xludf.DUMMYFUNCTION("IFERROR(VLOOKUP(E844&amp;F844,IMPORTRANGE(""https://docs.google.com/spreadsheets/d/1Uw7-A9f9R21vMXxHZFNpYNeKFtG8_yji4HS352LGlSQ/edit?pli=1#gid=0"",""1_ACUM!A4:S""),18,FALSE))"),"")</f>
        <v/>
      </c>
      <c r="BE830" s="44" t="str">
        <f ca="1">IFERROR(__xludf.DUMMYFUNCTION("IFERROR(VLOOKUP(E844&amp;F844,IMPORTRANGE(""https://docs.google.com/spreadsheets/d/1Uw7-A9f9R21vMXxHZFNpYNeKFtG8_yji4HS352LGlSQ/edit?pli=1#gid=0"",""1_ACUM!A4:S""),19,FALSE))"),"")</f>
        <v/>
      </c>
      <c r="BF830" s="98" t="str">
        <f ca="1">IFERROR(__xludf.DUMMYFUNCTION("IFERROR(VLOOKUP(F844,IMPORTRANGE(""https://docs.google.com/spreadsheets/d/1Kvs4KS76FHFqLFIZfrDMff4kP08nblUkihrxltoGBjg/edit#gid=934712705"",""ESENCIAL!A6:BG""),5,FALSE))"),"")</f>
        <v/>
      </c>
      <c r="BG830" s="98" t="str">
        <f t="shared" si="25"/>
        <v/>
      </c>
      <c r="BH830" s="99" t="str">
        <f t="shared" si="26"/>
        <v/>
      </c>
      <c r="BI830" s="100" t="str">
        <f ca="1">IFERROR(__xludf.DUMMYFUNCTION("IFERROR(VLOOKUP(F844,IMPORTRANGE(""https://docs.google.com/spreadsheets/d/1Kvs4KS76FHFqLFIZfrDMff4kP08nblUkihrxltoGBjg/edit#gid=934712705"",""ESENCIAL!A6:BG""),2,FALSE))"),"")</f>
        <v/>
      </c>
      <c r="BJ830" s="19" t="str">
        <f t="shared" si="27"/>
        <v/>
      </c>
      <c r="BK830" s="100"/>
      <c r="BL830" s="100"/>
    </row>
    <row r="831" spans="1:64" ht="15">
      <c r="A831" s="5"/>
      <c r="B831" s="5"/>
      <c r="G831" s="5" t="str">
        <f ca="1">IFERROR(__xludf.DUMMYFUNCTION("IFERROR(VLOOKUP(F845,IMPORTRANGE(""https://docs.google.com/spreadsheets/d/1Kvs4KS76FHFqLFIZfrDMff4kP08nblUkihrxltoGBjg/edit#gid=934712705"",""ESENCIAL!A6:BG""),3,FALSE))"),"")</f>
        <v/>
      </c>
      <c r="H831" s="5" t="str">
        <f ca="1">IFERROR(__xludf.DUMMYFUNCTION("IFERROR(VLOOKUP(F845,IMPORTRANGE(""https://docs.google.com/spreadsheets/d/1Kvs4KS76FHFqLFIZfrDMff4kP08nblUkihrxltoGBjg/edit#gid=934712705"",""ESENCIAL!A6:BG""),8,FALSE))"),"")</f>
        <v/>
      </c>
      <c r="L831" s="287"/>
      <c r="U831" s="40"/>
      <c r="AU831" s="41" t="str">
        <f t="shared" si="24"/>
        <v/>
      </c>
      <c r="AV831" s="5" t="str">
        <f ca="1">IFERROR(__xludf.DUMMYFUNCTION("IFERROR(VLOOKUP(E845&amp;F845,IMPORTRANGE(""https://docs.google.com/spreadsheets/d/1Uw7-A9f9R21vMXxHZFNpYNeKFtG8_yji4HS352LGlSQ/edit?pli=1#gid=0"",""1_ACUM!A4:S""),11,FALSE))"),"")</f>
        <v/>
      </c>
      <c r="AW831" s="42" t="str">
        <f ca="1">IFERROR(__xludf.DUMMYFUNCTION("IFERROR(VLOOKUP(F845,IMPORTRANGE(""https://docs.google.com/spreadsheets/d/1Kvs4KS76FHFqLFIZfrDMff4kP08nblUkihrxltoGBjg/edit#gid=934712705"",""ESENCIAL!A6:BG""),15,FALSE))"),"")</f>
        <v/>
      </c>
      <c r="AX831" s="21" t="str">
        <f ca="1">IFERROR(__xludf.DUMMYFUNCTION("IFERROR(VLOOKUP(E845&amp;F845,IMPORTRANGE(""https://docs.google.com/spreadsheets/d/1Uw7-A9f9R21vMXxHZFNpYNeKFtG8_yji4HS352LGlSQ/edit?pli=1#gid=0"",""1_ACUM!A4:S""),12,FALSE))"),"")</f>
        <v/>
      </c>
      <c r="AY831" s="43" t="str">
        <f ca="1">IFERROR(__xludf.DUMMYFUNCTION("IFERROR(VLOOKUP(E845&amp;F845,IMPORTRANGE(""https://docs.google.com/spreadsheets/d/1Uw7-A9f9R21vMXxHZFNpYNeKFtG8_yji4HS352LGlSQ/edit?pli=1#gid=0"",""1_ACUM!A4:S""),13,FALSE))"),"")</f>
        <v/>
      </c>
      <c r="AZ831" s="43" t="str">
        <f ca="1">IFERROR(__xludf.DUMMYFUNCTION("IFERROR(VLOOKUP(E845&amp;F845,IMPORTRANGE(""https://docs.google.com/spreadsheets/d/1Uw7-A9f9R21vMXxHZFNpYNeKFtG8_yji4HS352LGlSQ/edit?pli=1#gid=0"",""1_ACUM!A4:S""),14,FALSE))"),"")</f>
        <v/>
      </c>
      <c r="BA831" s="43" t="str">
        <f ca="1">IFERROR(__xludf.DUMMYFUNCTION("IFERROR(VLOOKUP(E845&amp;F845,IMPORTRANGE(""https://docs.google.com/spreadsheets/d/1Uw7-A9f9R21vMXxHZFNpYNeKFtG8_yji4HS352LGlSQ/edit?pli=1#gid=0"",""1_ACUM!A4:S""),15,FALSE))"),"")</f>
        <v/>
      </c>
      <c r="BB831" s="43" t="str">
        <f ca="1">IFERROR(__xludf.DUMMYFUNCTION("IFERROR(VLOOKUP(E845&amp;F845,IMPORTRANGE(""https://docs.google.com/spreadsheets/d/1Uw7-A9f9R21vMXxHZFNpYNeKFtG8_yji4HS352LGlSQ/edit?pli=1#gid=0"",""1_ACUM!A4:S""),16,FALSE))"),"")</f>
        <v/>
      </c>
      <c r="BC831" s="43" t="str">
        <f ca="1">IFERROR(__xludf.DUMMYFUNCTION("IFERROR(VLOOKUP(E845&amp;F845,IMPORTRANGE(""https://docs.google.com/spreadsheets/d/1Uw7-A9f9R21vMXxHZFNpYNeKFtG8_yji4HS352LGlSQ/edit?pli=1#gid=0"",""1_ACUM!A4:S""),17,FALSE))"),"")</f>
        <v/>
      </c>
      <c r="BD831" s="44" t="str">
        <f ca="1">IFERROR(__xludf.DUMMYFUNCTION("IFERROR(VLOOKUP(E845&amp;F845,IMPORTRANGE(""https://docs.google.com/spreadsheets/d/1Uw7-A9f9R21vMXxHZFNpYNeKFtG8_yji4HS352LGlSQ/edit?pli=1#gid=0"",""1_ACUM!A4:S""),18,FALSE))"),"")</f>
        <v/>
      </c>
      <c r="BE831" s="44" t="str">
        <f ca="1">IFERROR(__xludf.DUMMYFUNCTION("IFERROR(VLOOKUP(E845&amp;F845,IMPORTRANGE(""https://docs.google.com/spreadsheets/d/1Uw7-A9f9R21vMXxHZFNpYNeKFtG8_yji4HS352LGlSQ/edit?pli=1#gid=0"",""1_ACUM!A4:S""),19,FALSE))"),"")</f>
        <v/>
      </c>
      <c r="BF831" s="98" t="str">
        <f ca="1">IFERROR(__xludf.DUMMYFUNCTION("IFERROR(VLOOKUP(F845,IMPORTRANGE(""https://docs.google.com/spreadsheets/d/1Kvs4KS76FHFqLFIZfrDMff4kP08nblUkihrxltoGBjg/edit#gid=934712705"",""ESENCIAL!A6:BG""),5,FALSE))"),"")</f>
        <v/>
      </c>
      <c r="BG831" s="98" t="str">
        <f t="shared" si="25"/>
        <v/>
      </c>
      <c r="BH831" s="99" t="str">
        <f t="shared" si="26"/>
        <v/>
      </c>
      <c r="BI831" s="100" t="str">
        <f ca="1">IFERROR(__xludf.DUMMYFUNCTION("IFERROR(VLOOKUP(F845,IMPORTRANGE(""https://docs.google.com/spreadsheets/d/1Kvs4KS76FHFqLFIZfrDMff4kP08nblUkihrxltoGBjg/edit#gid=934712705"",""ESENCIAL!A6:BG""),2,FALSE))"),"")</f>
        <v/>
      </c>
      <c r="BJ831" s="19" t="str">
        <f t="shared" si="27"/>
        <v/>
      </c>
      <c r="BK831" s="100"/>
      <c r="BL831" s="100"/>
    </row>
    <row r="832" spans="1:64" ht="15">
      <c r="A832" s="5"/>
      <c r="B832" s="5"/>
      <c r="G832" s="5" t="str">
        <f ca="1">IFERROR(__xludf.DUMMYFUNCTION("IFERROR(VLOOKUP(F846,IMPORTRANGE(""https://docs.google.com/spreadsheets/d/1Kvs4KS76FHFqLFIZfrDMff4kP08nblUkihrxltoGBjg/edit#gid=934712705"",""ESENCIAL!A6:BG""),3,FALSE))"),"")</f>
        <v/>
      </c>
      <c r="H832" s="5" t="str">
        <f ca="1">IFERROR(__xludf.DUMMYFUNCTION("IFERROR(VLOOKUP(F846,IMPORTRANGE(""https://docs.google.com/spreadsheets/d/1Kvs4KS76FHFqLFIZfrDMff4kP08nblUkihrxltoGBjg/edit#gid=934712705"",""ESENCIAL!A6:BG""),8,FALSE))"),"")</f>
        <v/>
      </c>
      <c r="L832" s="287"/>
      <c r="U832" s="40"/>
      <c r="AU832" s="41" t="str">
        <f t="shared" si="24"/>
        <v/>
      </c>
      <c r="AV832" s="5" t="str">
        <f ca="1">IFERROR(__xludf.DUMMYFUNCTION("IFERROR(VLOOKUP(E846&amp;F846,IMPORTRANGE(""https://docs.google.com/spreadsheets/d/1Uw7-A9f9R21vMXxHZFNpYNeKFtG8_yji4HS352LGlSQ/edit?pli=1#gid=0"",""1_ACUM!A4:S""),11,FALSE))"),"")</f>
        <v/>
      </c>
      <c r="AW832" s="42" t="str">
        <f ca="1">IFERROR(__xludf.DUMMYFUNCTION("IFERROR(VLOOKUP(F846,IMPORTRANGE(""https://docs.google.com/spreadsheets/d/1Kvs4KS76FHFqLFIZfrDMff4kP08nblUkihrxltoGBjg/edit#gid=934712705"",""ESENCIAL!A6:BG""),15,FALSE))"),"")</f>
        <v/>
      </c>
      <c r="AX832" s="21" t="str">
        <f ca="1">IFERROR(__xludf.DUMMYFUNCTION("IFERROR(VLOOKUP(E846&amp;F846,IMPORTRANGE(""https://docs.google.com/spreadsheets/d/1Uw7-A9f9R21vMXxHZFNpYNeKFtG8_yji4HS352LGlSQ/edit?pli=1#gid=0"",""1_ACUM!A4:S""),12,FALSE))"),"")</f>
        <v/>
      </c>
      <c r="AY832" s="43" t="str">
        <f ca="1">IFERROR(__xludf.DUMMYFUNCTION("IFERROR(VLOOKUP(E846&amp;F846,IMPORTRANGE(""https://docs.google.com/spreadsheets/d/1Uw7-A9f9R21vMXxHZFNpYNeKFtG8_yji4HS352LGlSQ/edit?pli=1#gid=0"",""1_ACUM!A4:S""),13,FALSE))"),"")</f>
        <v/>
      </c>
      <c r="AZ832" s="43" t="str">
        <f ca="1">IFERROR(__xludf.DUMMYFUNCTION("IFERROR(VLOOKUP(E846&amp;F846,IMPORTRANGE(""https://docs.google.com/spreadsheets/d/1Uw7-A9f9R21vMXxHZFNpYNeKFtG8_yji4HS352LGlSQ/edit?pli=1#gid=0"",""1_ACUM!A4:S""),14,FALSE))"),"")</f>
        <v/>
      </c>
      <c r="BA832" s="43" t="str">
        <f ca="1">IFERROR(__xludf.DUMMYFUNCTION("IFERROR(VLOOKUP(E846&amp;F846,IMPORTRANGE(""https://docs.google.com/spreadsheets/d/1Uw7-A9f9R21vMXxHZFNpYNeKFtG8_yji4HS352LGlSQ/edit?pli=1#gid=0"",""1_ACUM!A4:S""),15,FALSE))"),"")</f>
        <v/>
      </c>
      <c r="BB832" s="43" t="str">
        <f ca="1">IFERROR(__xludf.DUMMYFUNCTION("IFERROR(VLOOKUP(E846&amp;F846,IMPORTRANGE(""https://docs.google.com/spreadsheets/d/1Uw7-A9f9R21vMXxHZFNpYNeKFtG8_yji4HS352LGlSQ/edit?pli=1#gid=0"",""1_ACUM!A4:S""),16,FALSE))"),"")</f>
        <v/>
      </c>
      <c r="BC832" s="43" t="str">
        <f ca="1">IFERROR(__xludf.DUMMYFUNCTION("IFERROR(VLOOKUP(E846&amp;F846,IMPORTRANGE(""https://docs.google.com/spreadsheets/d/1Uw7-A9f9R21vMXxHZFNpYNeKFtG8_yji4HS352LGlSQ/edit?pli=1#gid=0"",""1_ACUM!A4:S""),17,FALSE))"),"")</f>
        <v/>
      </c>
      <c r="BD832" s="44" t="str">
        <f ca="1">IFERROR(__xludf.DUMMYFUNCTION("IFERROR(VLOOKUP(E846&amp;F846,IMPORTRANGE(""https://docs.google.com/spreadsheets/d/1Uw7-A9f9R21vMXxHZFNpYNeKFtG8_yji4HS352LGlSQ/edit?pli=1#gid=0"",""1_ACUM!A4:S""),18,FALSE))"),"")</f>
        <v/>
      </c>
      <c r="BE832" s="44" t="str">
        <f ca="1">IFERROR(__xludf.DUMMYFUNCTION("IFERROR(VLOOKUP(E846&amp;F846,IMPORTRANGE(""https://docs.google.com/spreadsheets/d/1Uw7-A9f9R21vMXxHZFNpYNeKFtG8_yji4HS352LGlSQ/edit?pli=1#gid=0"",""1_ACUM!A4:S""),19,FALSE))"),"")</f>
        <v/>
      </c>
      <c r="BF832" s="98" t="str">
        <f ca="1">IFERROR(__xludf.DUMMYFUNCTION("IFERROR(VLOOKUP(F846,IMPORTRANGE(""https://docs.google.com/spreadsheets/d/1Kvs4KS76FHFqLFIZfrDMff4kP08nblUkihrxltoGBjg/edit#gid=934712705"",""ESENCIAL!A6:BG""),5,FALSE))"),"")</f>
        <v/>
      </c>
      <c r="BG832" s="98" t="str">
        <f t="shared" si="25"/>
        <v/>
      </c>
      <c r="BH832" s="99" t="str">
        <f t="shared" si="26"/>
        <v/>
      </c>
      <c r="BI832" s="100" t="str">
        <f ca="1">IFERROR(__xludf.DUMMYFUNCTION("IFERROR(VLOOKUP(F846,IMPORTRANGE(""https://docs.google.com/spreadsheets/d/1Kvs4KS76FHFqLFIZfrDMff4kP08nblUkihrxltoGBjg/edit#gid=934712705"",""ESENCIAL!A6:BG""),2,FALSE))"),"")</f>
        <v/>
      </c>
      <c r="BJ832" s="19" t="str">
        <f t="shared" si="27"/>
        <v/>
      </c>
      <c r="BK832" s="100"/>
      <c r="BL832" s="100"/>
    </row>
    <row r="833" spans="1:64" ht="15">
      <c r="A833" s="5"/>
      <c r="B833" s="5"/>
      <c r="G833" s="5" t="str">
        <f ca="1">IFERROR(__xludf.DUMMYFUNCTION("IFERROR(VLOOKUP(F847,IMPORTRANGE(""https://docs.google.com/spreadsheets/d/1Kvs4KS76FHFqLFIZfrDMff4kP08nblUkihrxltoGBjg/edit#gid=934712705"",""ESENCIAL!A6:BG""),3,FALSE))"),"")</f>
        <v/>
      </c>
      <c r="H833" s="5" t="str">
        <f ca="1">IFERROR(__xludf.DUMMYFUNCTION("IFERROR(VLOOKUP(F847,IMPORTRANGE(""https://docs.google.com/spreadsheets/d/1Kvs4KS76FHFqLFIZfrDMff4kP08nblUkihrxltoGBjg/edit#gid=934712705"",""ESENCIAL!A6:BG""),8,FALSE))"),"")</f>
        <v/>
      </c>
      <c r="L833" s="287"/>
      <c r="U833" s="40"/>
      <c r="AU833" s="41" t="str">
        <f t="shared" si="24"/>
        <v/>
      </c>
      <c r="AV833" s="5" t="str">
        <f ca="1">IFERROR(__xludf.DUMMYFUNCTION("IFERROR(VLOOKUP(E847&amp;F847,IMPORTRANGE(""https://docs.google.com/spreadsheets/d/1Uw7-A9f9R21vMXxHZFNpYNeKFtG8_yji4HS352LGlSQ/edit?pli=1#gid=0"",""1_ACUM!A4:S""),11,FALSE))"),"")</f>
        <v/>
      </c>
      <c r="AW833" s="42" t="str">
        <f ca="1">IFERROR(__xludf.DUMMYFUNCTION("IFERROR(VLOOKUP(F847,IMPORTRANGE(""https://docs.google.com/spreadsheets/d/1Kvs4KS76FHFqLFIZfrDMff4kP08nblUkihrxltoGBjg/edit#gid=934712705"",""ESENCIAL!A6:BG""),15,FALSE))"),"")</f>
        <v/>
      </c>
      <c r="AX833" s="21" t="str">
        <f ca="1">IFERROR(__xludf.DUMMYFUNCTION("IFERROR(VLOOKUP(E847&amp;F847,IMPORTRANGE(""https://docs.google.com/spreadsheets/d/1Uw7-A9f9R21vMXxHZFNpYNeKFtG8_yji4HS352LGlSQ/edit?pli=1#gid=0"",""1_ACUM!A4:S""),12,FALSE))"),"")</f>
        <v/>
      </c>
      <c r="AY833" s="43" t="str">
        <f ca="1">IFERROR(__xludf.DUMMYFUNCTION("IFERROR(VLOOKUP(E847&amp;F847,IMPORTRANGE(""https://docs.google.com/spreadsheets/d/1Uw7-A9f9R21vMXxHZFNpYNeKFtG8_yji4HS352LGlSQ/edit?pli=1#gid=0"",""1_ACUM!A4:S""),13,FALSE))"),"")</f>
        <v/>
      </c>
      <c r="AZ833" s="43" t="str">
        <f ca="1">IFERROR(__xludf.DUMMYFUNCTION("IFERROR(VLOOKUP(E847&amp;F847,IMPORTRANGE(""https://docs.google.com/spreadsheets/d/1Uw7-A9f9R21vMXxHZFNpYNeKFtG8_yji4HS352LGlSQ/edit?pli=1#gid=0"",""1_ACUM!A4:S""),14,FALSE))"),"")</f>
        <v/>
      </c>
      <c r="BA833" s="43" t="str">
        <f ca="1">IFERROR(__xludf.DUMMYFUNCTION("IFERROR(VLOOKUP(E847&amp;F847,IMPORTRANGE(""https://docs.google.com/spreadsheets/d/1Uw7-A9f9R21vMXxHZFNpYNeKFtG8_yji4HS352LGlSQ/edit?pli=1#gid=0"",""1_ACUM!A4:S""),15,FALSE))"),"")</f>
        <v/>
      </c>
      <c r="BB833" s="43" t="str">
        <f ca="1">IFERROR(__xludf.DUMMYFUNCTION("IFERROR(VLOOKUP(E847&amp;F847,IMPORTRANGE(""https://docs.google.com/spreadsheets/d/1Uw7-A9f9R21vMXxHZFNpYNeKFtG8_yji4HS352LGlSQ/edit?pli=1#gid=0"",""1_ACUM!A4:S""),16,FALSE))"),"")</f>
        <v/>
      </c>
      <c r="BC833" s="43" t="str">
        <f ca="1">IFERROR(__xludf.DUMMYFUNCTION("IFERROR(VLOOKUP(E847&amp;F847,IMPORTRANGE(""https://docs.google.com/spreadsheets/d/1Uw7-A9f9R21vMXxHZFNpYNeKFtG8_yji4HS352LGlSQ/edit?pli=1#gid=0"",""1_ACUM!A4:S""),17,FALSE))"),"")</f>
        <v/>
      </c>
      <c r="BD833" s="44" t="str">
        <f ca="1">IFERROR(__xludf.DUMMYFUNCTION("IFERROR(VLOOKUP(E847&amp;F847,IMPORTRANGE(""https://docs.google.com/spreadsheets/d/1Uw7-A9f9R21vMXxHZFNpYNeKFtG8_yji4HS352LGlSQ/edit?pli=1#gid=0"",""1_ACUM!A4:S""),18,FALSE))"),"")</f>
        <v/>
      </c>
      <c r="BE833" s="44" t="str">
        <f ca="1">IFERROR(__xludf.DUMMYFUNCTION("IFERROR(VLOOKUP(E847&amp;F847,IMPORTRANGE(""https://docs.google.com/spreadsheets/d/1Uw7-A9f9R21vMXxHZFNpYNeKFtG8_yji4HS352LGlSQ/edit?pli=1#gid=0"",""1_ACUM!A4:S""),19,FALSE))"),"")</f>
        <v/>
      </c>
      <c r="BF833" s="98" t="str">
        <f ca="1">IFERROR(__xludf.DUMMYFUNCTION("IFERROR(VLOOKUP(F847,IMPORTRANGE(""https://docs.google.com/spreadsheets/d/1Kvs4KS76FHFqLFIZfrDMff4kP08nblUkihrxltoGBjg/edit#gid=934712705"",""ESENCIAL!A6:BG""),5,FALSE))"),"")</f>
        <v/>
      </c>
      <c r="BG833" s="98" t="str">
        <f t="shared" si="25"/>
        <v/>
      </c>
      <c r="BH833" s="99" t="str">
        <f t="shared" si="26"/>
        <v/>
      </c>
      <c r="BI833" s="100" t="str">
        <f ca="1">IFERROR(__xludf.DUMMYFUNCTION("IFERROR(VLOOKUP(F847,IMPORTRANGE(""https://docs.google.com/spreadsheets/d/1Kvs4KS76FHFqLFIZfrDMff4kP08nblUkihrxltoGBjg/edit#gid=934712705"",""ESENCIAL!A6:BG""),2,FALSE))"),"")</f>
        <v/>
      </c>
      <c r="BJ833" s="19" t="str">
        <f t="shared" si="27"/>
        <v/>
      </c>
      <c r="BK833" s="100"/>
      <c r="BL833" s="100"/>
    </row>
    <row r="834" spans="1:64" ht="15">
      <c r="A834" s="5"/>
      <c r="B834" s="5"/>
      <c r="G834" s="5" t="str">
        <f ca="1">IFERROR(__xludf.DUMMYFUNCTION("IFERROR(VLOOKUP(F848,IMPORTRANGE(""https://docs.google.com/spreadsheets/d/1Kvs4KS76FHFqLFIZfrDMff4kP08nblUkihrxltoGBjg/edit#gid=934712705"",""ESENCIAL!A6:BG""),3,FALSE))"),"")</f>
        <v/>
      </c>
      <c r="H834" s="5" t="str">
        <f ca="1">IFERROR(__xludf.DUMMYFUNCTION("IFERROR(VLOOKUP(F848,IMPORTRANGE(""https://docs.google.com/spreadsheets/d/1Kvs4KS76FHFqLFIZfrDMff4kP08nblUkihrxltoGBjg/edit#gid=934712705"",""ESENCIAL!A6:BG""),8,FALSE))"),"")</f>
        <v/>
      </c>
      <c r="L834" s="287"/>
      <c r="U834" s="40"/>
      <c r="AU834" s="41" t="str">
        <f t="shared" si="24"/>
        <v/>
      </c>
      <c r="AV834" s="5" t="str">
        <f ca="1">IFERROR(__xludf.DUMMYFUNCTION("IFERROR(VLOOKUP(E848&amp;F848,IMPORTRANGE(""https://docs.google.com/spreadsheets/d/1Uw7-A9f9R21vMXxHZFNpYNeKFtG8_yji4HS352LGlSQ/edit?pli=1#gid=0"",""1_ACUM!A4:S""),11,FALSE))"),"")</f>
        <v/>
      </c>
      <c r="AW834" s="42" t="str">
        <f ca="1">IFERROR(__xludf.DUMMYFUNCTION("IFERROR(VLOOKUP(F848,IMPORTRANGE(""https://docs.google.com/spreadsheets/d/1Kvs4KS76FHFqLFIZfrDMff4kP08nblUkihrxltoGBjg/edit#gid=934712705"",""ESENCIAL!A6:BG""),15,FALSE))"),"")</f>
        <v/>
      </c>
      <c r="AX834" s="21" t="str">
        <f ca="1">IFERROR(__xludf.DUMMYFUNCTION("IFERROR(VLOOKUP(E848&amp;F848,IMPORTRANGE(""https://docs.google.com/spreadsheets/d/1Uw7-A9f9R21vMXxHZFNpYNeKFtG8_yji4HS352LGlSQ/edit?pli=1#gid=0"",""1_ACUM!A4:S""),12,FALSE))"),"")</f>
        <v/>
      </c>
      <c r="AY834" s="43" t="str">
        <f ca="1">IFERROR(__xludf.DUMMYFUNCTION("IFERROR(VLOOKUP(E848&amp;F848,IMPORTRANGE(""https://docs.google.com/spreadsheets/d/1Uw7-A9f9R21vMXxHZFNpYNeKFtG8_yji4HS352LGlSQ/edit?pli=1#gid=0"",""1_ACUM!A4:S""),13,FALSE))"),"")</f>
        <v/>
      </c>
      <c r="AZ834" s="43" t="str">
        <f ca="1">IFERROR(__xludf.DUMMYFUNCTION("IFERROR(VLOOKUP(E848&amp;F848,IMPORTRANGE(""https://docs.google.com/spreadsheets/d/1Uw7-A9f9R21vMXxHZFNpYNeKFtG8_yji4HS352LGlSQ/edit?pli=1#gid=0"",""1_ACUM!A4:S""),14,FALSE))"),"")</f>
        <v/>
      </c>
      <c r="BA834" s="43" t="str">
        <f ca="1">IFERROR(__xludf.DUMMYFUNCTION("IFERROR(VLOOKUP(E848&amp;F848,IMPORTRANGE(""https://docs.google.com/spreadsheets/d/1Uw7-A9f9R21vMXxHZFNpYNeKFtG8_yji4HS352LGlSQ/edit?pli=1#gid=0"",""1_ACUM!A4:S""),15,FALSE))"),"")</f>
        <v/>
      </c>
      <c r="BB834" s="43" t="str">
        <f ca="1">IFERROR(__xludf.DUMMYFUNCTION("IFERROR(VLOOKUP(E848&amp;F848,IMPORTRANGE(""https://docs.google.com/spreadsheets/d/1Uw7-A9f9R21vMXxHZFNpYNeKFtG8_yji4HS352LGlSQ/edit?pli=1#gid=0"",""1_ACUM!A4:S""),16,FALSE))"),"")</f>
        <v/>
      </c>
      <c r="BC834" s="43" t="str">
        <f ca="1">IFERROR(__xludf.DUMMYFUNCTION("IFERROR(VLOOKUP(E848&amp;F848,IMPORTRANGE(""https://docs.google.com/spreadsheets/d/1Uw7-A9f9R21vMXxHZFNpYNeKFtG8_yji4HS352LGlSQ/edit?pli=1#gid=0"",""1_ACUM!A4:S""),17,FALSE))"),"")</f>
        <v/>
      </c>
      <c r="BD834" s="44" t="str">
        <f ca="1">IFERROR(__xludf.DUMMYFUNCTION("IFERROR(VLOOKUP(E848&amp;F848,IMPORTRANGE(""https://docs.google.com/spreadsheets/d/1Uw7-A9f9R21vMXxHZFNpYNeKFtG8_yji4HS352LGlSQ/edit?pli=1#gid=0"",""1_ACUM!A4:S""),18,FALSE))"),"")</f>
        <v/>
      </c>
      <c r="BE834" s="44" t="str">
        <f ca="1">IFERROR(__xludf.DUMMYFUNCTION("IFERROR(VLOOKUP(E848&amp;F848,IMPORTRANGE(""https://docs.google.com/spreadsheets/d/1Uw7-A9f9R21vMXxHZFNpYNeKFtG8_yji4HS352LGlSQ/edit?pli=1#gid=0"",""1_ACUM!A4:S""),19,FALSE))"),"")</f>
        <v/>
      </c>
      <c r="BF834" s="98" t="str">
        <f ca="1">IFERROR(__xludf.DUMMYFUNCTION("IFERROR(VLOOKUP(F848,IMPORTRANGE(""https://docs.google.com/spreadsheets/d/1Kvs4KS76FHFqLFIZfrDMff4kP08nblUkihrxltoGBjg/edit#gid=934712705"",""ESENCIAL!A6:BG""),5,FALSE))"),"")</f>
        <v/>
      </c>
      <c r="BG834" s="98" t="str">
        <f t="shared" si="25"/>
        <v/>
      </c>
      <c r="BH834" s="99" t="str">
        <f t="shared" si="26"/>
        <v/>
      </c>
      <c r="BI834" s="100" t="str">
        <f ca="1">IFERROR(__xludf.DUMMYFUNCTION("IFERROR(VLOOKUP(F848,IMPORTRANGE(""https://docs.google.com/spreadsheets/d/1Kvs4KS76FHFqLFIZfrDMff4kP08nblUkihrxltoGBjg/edit#gid=934712705"",""ESENCIAL!A6:BG""),2,FALSE))"),"")</f>
        <v/>
      </c>
      <c r="BJ834" s="19" t="str">
        <f t="shared" si="27"/>
        <v/>
      </c>
      <c r="BK834" s="100"/>
      <c r="BL834" s="100"/>
    </row>
    <row r="835" spans="1:64" ht="15">
      <c r="A835" s="5"/>
      <c r="B835" s="5"/>
      <c r="G835" s="5" t="str">
        <f ca="1">IFERROR(__xludf.DUMMYFUNCTION("IFERROR(VLOOKUP(F849,IMPORTRANGE(""https://docs.google.com/spreadsheets/d/1Kvs4KS76FHFqLFIZfrDMff4kP08nblUkihrxltoGBjg/edit#gid=934712705"",""ESENCIAL!A6:BG""),3,FALSE))"),"")</f>
        <v/>
      </c>
      <c r="H835" s="5" t="str">
        <f ca="1">IFERROR(__xludf.DUMMYFUNCTION("IFERROR(VLOOKUP(F849,IMPORTRANGE(""https://docs.google.com/spreadsheets/d/1Kvs4KS76FHFqLFIZfrDMff4kP08nblUkihrxltoGBjg/edit#gid=934712705"",""ESENCIAL!A6:BG""),8,FALSE))"),"")</f>
        <v/>
      </c>
      <c r="L835" s="287"/>
      <c r="U835" s="40"/>
      <c r="AU835" s="41" t="str">
        <f t="shared" si="24"/>
        <v/>
      </c>
      <c r="AV835" s="5" t="str">
        <f ca="1">IFERROR(__xludf.DUMMYFUNCTION("IFERROR(VLOOKUP(E849&amp;F849,IMPORTRANGE(""https://docs.google.com/spreadsheets/d/1Uw7-A9f9R21vMXxHZFNpYNeKFtG8_yji4HS352LGlSQ/edit?pli=1#gid=0"",""1_ACUM!A4:S""),11,FALSE))"),"")</f>
        <v/>
      </c>
      <c r="AW835" s="42" t="str">
        <f ca="1">IFERROR(__xludf.DUMMYFUNCTION("IFERROR(VLOOKUP(F849,IMPORTRANGE(""https://docs.google.com/spreadsheets/d/1Kvs4KS76FHFqLFIZfrDMff4kP08nblUkihrxltoGBjg/edit#gid=934712705"",""ESENCIAL!A6:BG""),15,FALSE))"),"")</f>
        <v/>
      </c>
      <c r="AX835" s="21" t="str">
        <f ca="1">IFERROR(__xludf.DUMMYFUNCTION("IFERROR(VLOOKUP(E849&amp;F849,IMPORTRANGE(""https://docs.google.com/spreadsheets/d/1Uw7-A9f9R21vMXxHZFNpYNeKFtG8_yji4HS352LGlSQ/edit?pli=1#gid=0"",""1_ACUM!A4:S""),12,FALSE))"),"")</f>
        <v/>
      </c>
      <c r="AY835" s="43" t="str">
        <f ca="1">IFERROR(__xludf.DUMMYFUNCTION("IFERROR(VLOOKUP(E849&amp;F849,IMPORTRANGE(""https://docs.google.com/spreadsheets/d/1Uw7-A9f9R21vMXxHZFNpYNeKFtG8_yji4HS352LGlSQ/edit?pli=1#gid=0"",""1_ACUM!A4:S""),13,FALSE))"),"")</f>
        <v/>
      </c>
      <c r="AZ835" s="43" t="str">
        <f ca="1">IFERROR(__xludf.DUMMYFUNCTION("IFERROR(VLOOKUP(E849&amp;F849,IMPORTRANGE(""https://docs.google.com/spreadsheets/d/1Uw7-A9f9R21vMXxHZFNpYNeKFtG8_yji4HS352LGlSQ/edit?pli=1#gid=0"",""1_ACUM!A4:S""),14,FALSE))"),"")</f>
        <v/>
      </c>
      <c r="BA835" s="43" t="str">
        <f ca="1">IFERROR(__xludf.DUMMYFUNCTION("IFERROR(VLOOKUP(E849&amp;F849,IMPORTRANGE(""https://docs.google.com/spreadsheets/d/1Uw7-A9f9R21vMXxHZFNpYNeKFtG8_yji4HS352LGlSQ/edit?pli=1#gid=0"",""1_ACUM!A4:S""),15,FALSE))"),"")</f>
        <v/>
      </c>
      <c r="BB835" s="43" t="str">
        <f ca="1">IFERROR(__xludf.DUMMYFUNCTION("IFERROR(VLOOKUP(E849&amp;F849,IMPORTRANGE(""https://docs.google.com/spreadsheets/d/1Uw7-A9f9R21vMXxHZFNpYNeKFtG8_yji4HS352LGlSQ/edit?pli=1#gid=0"",""1_ACUM!A4:S""),16,FALSE))"),"")</f>
        <v/>
      </c>
      <c r="BC835" s="43" t="str">
        <f ca="1">IFERROR(__xludf.DUMMYFUNCTION("IFERROR(VLOOKUP(E849&amp;F849,IMPORTRANGE(""https://docs.google.com/spreadsheets/d/1Uw7-A9f9R21vMXxHZFNpYNeKFtG8_yji4HS352LGlSQ/edit?pli=1#gid=0"",""1_ACUM!A4:S""),17,FALSE))"),"")</f>
        <v/>
      </c>
      <c r="BD835" s="44" t="str">
        <f ca="1">IFERROR(__xludf.DUMMYFUNCTION("IFERROR(VLOOKUP(E849&amp;F849,IMPORTRANGE(""https://docs.google.com/spreadsheets/d/1Uw7-A9f9R21vMXxHZFNpYNeKFtG8_yji4HS352LGlSQ/edit?pli=1#gid=0"",""1_ACUM!A4:S""),18,FALSE))"),"")</f>
        <v/>
      </c>
      <c r="BE835" s="44" t="str">
        <f ca="1">IFERROR(__xludf.DUMMYFUNCTION("IFERROR(VLOOKUP(E849&amp;F849,IMPORTRANGE(""https://docs.google.com/spreadsheets/d/1Uw7-A9f9R21vMXxHZFNpYNeKFtG8_yji4HS352LGlSQ/edit?pli=1#gid=0"",""1_ACUM!A4:S""),19,FALSE))"),"")</f>
        <v/>
      </c>
      <c r="BF835" s="98" t="str">
        <f ca="1">IFERROR(__xludf.DUMMYFUNCTION("IFERROR(VLOOKUP(F849,IMPORTRANGE(""https://docs.google.com/spreadsheets/d/1Kvs4KS76FHFqLFIZfrDMff4kP08nblUkihrxltoGBjg/edit#gid=934712705"",""ESENCIAL!A6:BG""),5,FALSE))"),"")</f>
        <v/>
      </c>
      <c r="BG835" s="98" t="str">
        <f t="shared" si="25"/>
        <v/>
      </c>
      <c r="BH835" s="99" t="str">
        <f t="shared" si="26"/>
        <v/>
      </c>
      <c r="BI835" s="100" t="str">
        <f ca="1">IFERROR(__xludf.DUMMYFUNCTION("IFERROR(VLOOKUP(F849,IMPORTRANGE(""https://docs.google.com/spreadsheets/d/1Kvs4KS76FHFqLFIZfrDMff4kP08nblUkihrxltoGBjg/edit#gid=934712705"",""ESENCIAL!A6:BG""),2,FALSE))"),"")</f>
        <v/>
      </c>
      <c r="BJ835" s="19" t="str">
        <f t="shared" si="27"/>
        <v/>
      </c>
      <c r="BK835" s="100"/>
      <c r="BL835" s="100"/>
    </row>
    <row r="836" spans="1:64" ht="15">
      <c r="A836" s="5"/>
      <c r="B836" s="5"/>
      <c r="G836" s="5" t="str">
        <f ca="1">IFERROR(__xludf.DUMMYFUNCTION("IFERROR(VLOOKUP(F850,IMPORTRANGE(""https://docs.google.com/spreadsheets/d/1Kvs4KS76FHFqLFIZfrDMff4kP08nblUkihrxltoGBjg/edit#gid=934712705"",""ESENCIAL!A6:BG""),3,FALSE))"),"")</f>
        <v/>
      </c>
      <c r="H836" s="5" t="str">
        <f ca="1">IFERROR(__xludf.DUMMYFUNCTION("IFERROR(VLOOKUP(F850,IMPORTRANGE(""https://docs.google.com/spreadsheets/d/1Kvs4KS76FHFqLFIZfrDMff4kP08nblUkihrxltoGBjg/edit#gid=934712705"",""ESENCIAL!A6:BG""),8,FALSE))"),"")</f>
        <v/>
      </c>
      <c r="L836" s="287"/>
      <c r="U836" s="40"/>
      <c r="AU836" s="41" t="str">
        <f t="shared" si="24"/>
        <v/>
      </c>
      <c r="AV836" s="5" t="str">
        <f ca="1">IFERROR(__xludf.DUMMYFUNCTION("IFERROR(VLOOKUP(E850&amp;F850,IMPORTRANGE(""https://docs.google.com/spreadsheets/d/1Uw7-A9f9R21vMXxHZFNpYNeKFtG8_yji4HS352LGlSQ/edit?pli=1#gid=0"",""1_ACUM!A4:S""),11,FALSE))"),"")</f>
        <v/>
      </c>
      <c r="AW836" s="42" t="str">
        <f ca="1">IFERROR(__xludf.DUMMYFUNCTION("IFERROR(VLOOKUP(F850,IMPORTRANGE(""https://docs.google.com/spreadsheets/d/1Kvs4KS76FHFqLFIZfrDMff4kP08nblUkihrxltoGBjg/edit#gid=934712705"",""ESENCIAL!A6:BG""),15,FALSE))"),"")</f>
        <v/>
      </c>
      <c r="AX836" s="21" t="str">
        <f ca="1">IFERROR(__xludf.DUMMYFUNCTION("IFERROR(VLOOKUP(E850&amp;F850,IMPORTRANGE(""https://docs.google.com/spreadsheets/d/1Uw7-A9f9R21vMXxHZFNpYNeKFtG8_yji4HS352LGlSQ/edit?pli=1#gid=0"",""1_ACUM!A4:S""),12,FALSE))"),"")</f>
        <v/>
      </c>
      <c r="AY836" s="43" t="str">
        <f ca="1">IFERROR(__xludf.DUMMYFUNCTION("IFERROR(VLOOKUP(E850&amp;F850,IMPORTRANGE(""https://docs.google.com/spreadsheets/d/1Uw7-A9f9R21vMXxHZFNpYNeKFtG8_yji4HS352LGlSQ/edit?pli=1#gid=0"",""1_ACUM!A4:S""),13,FALSE))"),"")</f>
        <v/>
      </c>
      <c r="AZ836" s="43" t="str">
        <f ca="1">IFERROR(__xludf.DUMMYFUNCTION("IFERROR(VLOOKUP(E850&amp;F850,IMPORTRANGE(""https://docs.google.com/spreadsheets/d/1Uw7-A9f9R21vMXxHZFNpYNeKFtG8_yji4HS352LGlSQ/edit?pli=1#gid=0"",""1_ACUM!A4:S""),14,FALSE))"),"")</f>
        <v/>
      </c>
      <c r="BA836" s="43" t="str">
        <f ca="1">IFERROR(__xludf.DUMMYFUNCTION("IFERROR(VLOOKUP(E850&amp;F850,IMPORTRANGE(""https://docs.google.com/spreadsheets/d/1Uw7-A9f9R21vMXxHZFNpYNeKFtG8_yji4HS352LGlSQ/edit?pli=1#gid=0"",""1_ACUM!A4:S""),15,FALSE))"),"")</f>
        <v/>
      </c>
      <c r="BB836" s="43" t="str">
        <f ca="1">IFERROR(__xludf.DUMMYFUNCTION("IFERROR(VLOOKUP(E850&amp;F850,IMPORTRANGE(""https://docs.google.com/spreadsheets/d/1Uw7-A9f9R21vMXxHZFNpYNeKFtG8_yji4HS352LGlSQ/edit?pli=1#gid=0"",""1_ACUM!A4:S""),16,FALSE))"),"")</f>
        <v/>
      </c>
      <c r="BC836" s="43" t="str">
        <f ca="1">IFERROR(__xludf.DUMMYFUNCTION("IFERROR(VLOOKUP(E850&amp;F850,IMPORTRANGE(""https://docs.google.com/spreadsheets/d/1Uw7-A9f9R21vMXxHZFNpYNeKFtG8_yji4HS352LGlSQ/edit?pli=1#gid=0"",""1_ACUM!A4:S""),17,FALSE))"),"")</f>
        <v/>
      </c>
      <c r="BD836" s="44" t="str">
        <f ca="1">IFERROR(__xludf.DUMMYFUNCTION("IFERROR(VLOOKUP(E850&amp;F850,IMPORTRANGE(""https://docs.google.com/spreadsheets/d/1Uw7-A9f9R21vMXxHZFNpYNeKFtG8_yji4HS352LGlSQ/edit?pli=1#gid=0"",""1_ACUM!A4:S""),18,FALSE))"),"")</f>
        <v/>
      </c>
      <c r="BE836" s="44" t="str">
        <f ca="1">IFERROR(__xludf.DUMMYFUNCTION("IFERROR(VLOOKUP(E850&amp;F850,IMPORTRANGE(""https://docs.google.com/spreadsheets/d/1Uw7-A9f9R21vMXxHZFNpYNeKFtG8_yji4HS352LGlSQ/edit?pli=1#gid=0"",""1_ACUM!A4:S""),19,FALSE))"),"")</f>
        <v/>
      </c>
      <c r="BF836" s="98" t="str">
        <f ca="1">IFERROR(__xludf.DUMMYFUNCTION("IFERROR(VLOOKUP(F850,IMPORTRANGE(""https://docs.google.com/spreadsheets/d/1Kvs4KS76FHFqLFIZfrDMff4kP08nblUkihrxltoGBjg/edit#gid=934712705"",""ESENCIAL!A6:BG""),5,FALSE))"),"")</f>
        <v/>
      </c>
      <c r="BG836" s="98" t="str">
        <f t="shared" si="25"/>
        <v/>
      </c>
      <c r="BH836" s="99" t="str">
        <f t="shared" si="26"/>
        <v/>
      </c>
      <c r="BI836" s="100" t="str">
        <f ca="1">IFERROR(__xludf.DUMMYFUNCTION("IFERROR(VLOOKUP(F850,IMPORTRANGE(""https://docs.google.com/spreadsheets/d/1Kvs4KS76FHFqLFIZfrDMff4kP08nblUkihrxltoGBjg/edit#gid=934712705"",""ESENCIAL!A6:BG""),2,FALSE))"),"")</f>
        <v/>
      </c>
      <c r="BJ836" s="19" t="str">
        <f t="shared" si="27"/>
        <v/>
      </c>
      <c r="BK836" s="100"/>
      <c r="BL836" s="100"/>
    </row>
    <row r="837" spans="1:64" ht="15">
      <c r="A837" s="5"/>
      <c r="B837" s="5"/>
      <c r="G837" s="5" t="str">
        <f ca="1">IFERROR(__xludf.DUMMYFUNCTION("IFERROR(VLOOKUP(F851,IMPORTRANGE(""https://docs.google.com/spreadsheets/d/1Kvs4KS76FHFqLFIZfrDMff4kP08nblUkihrxltoGBjg/edit#gid=934712705"",""ESENCIAL!A6:BG""),3,FALSE))"),"")</f>
        <v/>
      </c>
      <c r="H837" s="5" t="str">
        <f ca="1">IFERROR(__xludf.DUMMYFUNCTION("IFERROR(VLOOKUP(F851,IMPORTRANGE(""https://docs.google.com/spreadsheets/d/1Kvs4KS76FHFqLFIZfrDMff4kP08nblUkihrxltoGBjg/edit#gid=934712705"",""ESENCIAL!A6:BG""),8,FALSE))"),"")</f>
        <v/>
      </c>
      <c r="L837" s="287"/>
      <c r="U837" s="40"/>
      <c r="AU837" s="41" t="str">
        <f t="shared" si="24"/>
        <v/>
      </c>
      <c r="AV837" s="5" t="str">
        <f ca="1">IFERROR(__xludf.DUMMYFUNCTION("IFERROR(VLOOKUP(E851&amp;F851,IMPORTRANGE(""https://docs.google.com/spreadsheets/d/1Uw7-A9f9R21vMXxHZFNpYNeKFtG8_yji4HS352LGlSQ/edit?pli=1#gid=0"",""1_ACUM!A4:S""),11,FALSE))"),"")</f>
        <v/>
      </c>
      <c r="AW837" s="42" t="str">
        <f ca="1">IFERROR(__xludf.DUMMYFUNCTION("IFERROR(VLOOKUP(F851,IMPORTRANGE(""https://docs.google.com/spreadsheets/d/1Kvs4KS76FHFqLFIZfrDMff4kP08nblUkihrxltoGBjg/edit#gid=934712705"",""ESENCIAL!A6:BG""),15,FALSE))"),"")</f>
        <v/>
      </c>
      <c r="AX837" s="21" t="str">
        <f ca="1">IFERROR(__xludf.DUMMYFUNCTION("IFERROR(VLOOKUP(E851&amp;F851,IMPORTRANGE(""https://docs.google.com/spreadsheets/d/1Uw7-A9f9R21vMXxHZFNpYNeKFtG8_yji4HS352LGlSQ/edit?pli=1#gid=0"",""1_ACUM!A4:S""),12,FALSE))"),"")</f>
        <v/>
      </c>
      <c r="AY837" s="43" t="str">
        <f ca="1">IFERROR(__xludf.DUMMYFUNCTION("IFERROR(VLOOKUP(E851&amp;F851,IMPORTRANGE(""https://docs.google.com/spreadsheets/d/1Uw7-A9f9R21vMXxHZFNpYNeKFtG8_yji4HS352LGlSQ/edit?pli=1#gid=0"",""1_ACUM!A4:S""),13,FALSE))"),"")</f>
        <v/>
      </c>
      <c r="AZ837" s="43" t="str">
        <f ca="1">IFERROR(__xludf.DUMMYFUNCTION("IFERROR(VLOOKUP(E851&amp;F851,IMPORTRANGE(""https://docs.google.com/spreadsheets/d/1Uw7-A9f9R21vMXxHZFNpYNeKFtG8_yji4HS352LGlSQ/edit?pli=1#gid=0"",""1_ACUM!A4:S""),14,FALSE))"),"")</f>
        <v/>
      </c>
      <c r="BA837" s="43" t="str">
        <f ca="1">IFERROR(__xludf.DUMMYFUNCTION("IFERROR(VLOOKUP(E851&amp;F851,IMPORTRANGE(""https://docs.google.com/spreadsheets/d/1Uw7-A9f9R21vMXxHZFNpYNeKFtG8_yji4HS352LGlSQ/edit?pli=1#gid=0"",""1_ACUM!A4:S""),15,FALSE))"),"")</f>
        <v/>
      </c>
      <c r="BB837" s="43" t="str">
        <f ca="1">IFERROR(__xludf.DUMMYFUNCTION("IFERROR(VLOOKUP(E851&amp;F851,IMPORTRANGE(""https://docs.google.com/spreadsheets/d/1Uw7-A9f9R21vMXxHZFNpYNeKFtG8_yji4HS352LGlSQ/edit?pli=1#gid=0"",""1_ACUM!A4:S""),16,FALSE))"),"")</f>
        <v/>
      </c>
      <c r="BC837" s="43" t="str">
        <f ca="1">IFERROR(__xludf.DUMMYFUNCTION("IFERROR(VLOOKUP(E851&amp;F851,IMPORTRANGE(""https://docs.google.com/spreadsheets/d/1Uw7-A9f9R21vMXxHZFNpYNeKFtG8_yji4HS352LGlSQ/edit?pli=1#gid=0"",""1_ACUM!A4:S""),17,FALSE))"),"")</f>
        <v/>
      </c>
      <c r="BD837" s="44" t="str">
        <f ca="1">IFERROR(__xludf.DUMMYFUNCTION("IFERROR(VLOOKUP(E851&amp;F851,IMPORTRANGE(""https://docs.google.com/spreadsheets/d/1Uw7-A9f9R21vMXxHZFNpYNeKFtG8_yji4HS352LGlSQ/edit?pli=1#gid=0"",""1_ACUM!A4:S""),18,FALSE))"),"")</f>
        <v/>
      </c>
      <c r="BE837" s="44" t="str">
        <f ca="1">IFERROR(__xludf.DUMMYFUNCTION("IFERROR(VLOOKUP(E851&amp;F851,IMPORTRANGE(""https://docs.google.com/spreadsheets/d/1Uw7-A9f9R21vMXxHZFNpYNeKFtG8_yji4HS352LGlSQ/edit?pli=1#gid=0"",""1_ACUM!A4:S""),19,FALSE))"),"")</f>
        <v/>
      </c>
      <c r="BF837" s="98" t="str">
        <f ca="1">IFERROR(__xludf.DUMMYFUNCTION("IFERROR(VLOOKUP(F851,IMPORTRANGE(""https://docs.google.com/spreadsheets/d/1Kvs4KS76FHFqLFIZfrDMff4kP08nblUkihrxltoGBjg/edit#gid=934712705"",""ESENCIAL!A6:BG""),5,FALSE))"),"")</f>
        <v/>
      </c>
      <c r="BG837" s="98" t="str">
        <f t="shared" si="25"/>
        <v/>
      </c>
      <c r="BH837" s="99" t="str">
        <f t="shared" si="26"/>
        <v/>
      </c>
      <c r="BI837" s="100" t="str">
        <f ca="1">IFERROR(__xludf.DUMMYFUNCTION("IFERROR(VLOOKUP(F851,IMPORTRANGE(""https://docs.google.com/spreadsheets/d/1Kvs4KS76FHFqLFIZfrDMff4kP08nblUkihrxltoGBjg/edit#gid=934712705"",""ESENCIAL!A6:BG""),2,FALSE))"),"")</f>
        <v/>
      </c>
      <c r="BJ837" s="19" t="str">
        <f t="shared" si="27"/>
        <v/>
      </c>
      <c r="BK837" s="100"/>
      <c r="BL837" s="100"/>
    </row>
    <row r="838" spans="1:64" ht="15">
      <c r="A838" s="5"/>
      <c r="B838" s="5"/>
      <c r="G838" s="5" t="str">
        <f ca="1">IFERROR(__xludf.DUMMYFUNCTION("IFERROR(VLOOKUP(F852,IMPORTRANGE(""https://docs.google.com/spreadsheets/d/1Kvs4KS76FHFqLFIZfrDMff4kP08nblUkihrxltoGBjg/edit#gid=934712705"",""ESENCIAL!A6:BG""),3,FALSE))"),"")</f>
        <v/>
      </c>
      <c r="H838" s="5" t="str">
        <f ca="1">IFERROR(__xludf.DUMMYFUNCTION("IFERROR(VLOOKUP(F852,IMPORTRANGE(""https://docs.google.com/spreadsheets/d/1Kvs4KS76FHFqLFIZfrDMff4kP08nblUkihrxltoGBjg/edit#gid=934712705"",""ESENCIAL!A6:BG""),8,FALSE))"),"")</f>
        <v/>
      </c>
      <c r="L838" s="287"/>
      <c r="U838" s="40"/>
      <c r="AU838" s="41" t="str">
        <f t="shared" si="24"/>
        <v/>
      </c>
      <c r="AV838" s="5" t="str">
        <f ca="1">IFERROR(__xludf.DUMMYFUNCTION("IFERROR(VLOOKUP(E852&amp;F852,IMPORTRANGE(""https://docs.google.com/spreadsheets/d/1Uw7-A9f9R21vMXxHZFNpYNeKFtG8_yji4HS352LGlSQ/edit?pli=1#gid=0"",""1_ACUM!A4:S""),11,FALSE))"),"")</f>
        <v/>
      </c>
      <c r="AW838" s="42" t="str">
        <f ca="1">IFERROR(__xludf.DUMMYFUNCTION("IFERROR(VLOOKUP(F852,IMPORTRANGE(""https://docs.google.com/spreadsheets/d/1Kvs4KS76FHFqLFIZfrDMff4kP08nblUkihrxltoGBjg/edit#gid=934712705"",""ESENCIAL!A6:BG""),15,FALSE))"),"")</f>
        <v/>
      </c>
      <c r="AX838" s="21" t="str">
        <f ca="1">IFERROR(__xludf.DUMMYFUNCTION("IFERROR(VLOOKUP(E852&amp;F852,IMPORTRANGE(""https://docs.google.com/spreadsheets/d/1Uw7-A9f9R21vMXxHZFNpYNeKFtG8_yji4HS352LGlSQ/edit?pli=1#gid=0"",""1_ACUM!A4:S""),12,FALSE))"),"")</f>
        <v/>
      </c>
      <c r="AY838" s="43" t="str">
        <f ca="1">IFERROR(__xludf.DUMMYFUNCTION("IFERROR(VLOOKUP(E852&amp;F852,IMPORTRANGE(""https://docs.google.com/spreadsheets/d/1Uw7-A9f9R21vMXxHZFNpYNeKFtG8_yji4HS352LGlSQ/edit?pli=1#gid=0"",""1_ACUM!A4:S""),13,FALSE))"),"")</f>
        <v/>
      </c>
      <c r="AZ838" s="43" t="str">
        <f ca="1">IFERROR(__xludf.DUMMYFUNCTION("IFERROR(VLOOKUP(E852&amp;F852,IMPORTRANGE(""https://docs.google.com/spreadsheets/d/1Uw7-A9f9R21vMXxHZFNpYNeKFtG8_yji4HS352LGlSQ/edit?pli=1#gid=0"",""1_ACUM!A4:S""),14,FALSE))"),"")</f>
        <v/>
      </c>
      <c r="BA838" s="43" t="str">
        <f ca="1">IFERROR(__xludf.DUMMYFUNCTION("IFERROR(VLOOKUP(E852&amp;F852,IMPORTRANGE(""https://docs.google.com/spreadsheets/d/1Uw7-A9f9R21vMXxHZFNpYNeKFtG8_yji4HS352LGlSQ/edit?pli=1#gid=0"",""1_ACUM!A4:S""),15,FALSE))"),"")</f>
        <v/>
      </c>
      <c r="BB838" s="43" t="str">
        <f ca="1">IFERROR(__xludf.DUMMYFUNCTION("IFERROR(VLOOKUP(E852&amp;F852,IMPORTRANGE(""https://docs.google.com/spreadsheets/d/1Uw7-A9f9R21vMXxHZFNpYNeKFtG8_yji4HS352LGlSQ/edit?pli=1#gid=0"",""1_ACUM!A4:S""),16,FALSE))"),"")</f>
        <v/>
      </c>
      <c r="BC838" s="43" t="str">
        <f ca="1">IFERROR(__xludf.DUMMYFUNCTION("IFERROR(VLOOKUP(E852&amp;F852,IMPORTRANGE(""https://docs.google.com/spreadsheets/d/1Uw7-A9f9R21vMXxHZFNpYNeKFtG8_yji4HS352LGlSQ/edit?pli=1#gid=0"",""1_ACUM!A4:S""),17,FALSE))"),"")</f>
        <v/>
      </c>
      <c r="BD838" s="44" t="str">
        <f ca="1">IFERROR(__xludf.DUMMYFUNCTION("IFERROR(VLOOKUP(E852&amp;F852,IMPORTRANGE(""https://docs.google.com/spreadsheets/d/1Uw7-A9f9R21vMXxHZFNpYNeKFtG8_yji4HS352LGlSQ/edit?pli=1#gid=0"",""1_ACUM!A4:S""),18,FALSE))"),"")</f>
        <v/>
      </c>
      <c r="BE838" s="44" t="str">
        <f ca="1">IFERROR(__xludf.DUMMYFUNCTION("IFERROR(VLOOKUP(E852&amp;F852,IMPORTRANGE(""https://docs.google.com/spreadsheets/d/1Uw7-A9f9R21vMXxHZFNpYNeKFtG8_yji4HS352LGlSQ/edit?pli=1#gid=0"",""1_ACUM!A4:S""),19,FALSE))"),"")</f>
        <v/>
      </c>
      <c r="BF838" s="98" t="str">
        <f ca="1">IFERROR(__xludf.DUMMYFUNCTION("IFERROR(VLOOKUP(F852,IMPORTRANGE(""https://docs.google.com/spreadsheets/d/1Kvs4KS76FHFqLFIZfrDMff4kP08nblUkihrxltoGBjg/edit#gid=934712705"",""ESENCIAL!A6:BG""),5,FALSE))"),"")</f>
        <v/>
      </c>
      <c r="BG838" s="98" t="str">
        <f t="shared" si="25"/>
        <v/>
      </c>
      <c r="BH838" s="99" t="str">
        <f t="shared" si="26"/>
        <v/>
      </c>
      <c r="BI838" s="100" t="str">
        <f ca="1">IFERROR(__xludf.DUMMYFUNCTION("IFERROR(VLOOKUP(F852,IMPORTRANGE(""https://docs.google.com/spreadsheets/d/1Kvs4KS76FHFqLFIZfrDMff4kP08nblUkihrxltoGBjg/edit#gid=934712705"",""ESENCIAL!A6:BG""),2,FALSE))"),"")</f>
        <v/>
      </c>
      <c r="BJ838" s="19" t="str">
        <f t="shared" si="27"/>
        <v/>
      </c>
      <c r="BK838" s="100"/>
      <c r="BL838" s="100"/>
    </row>
    <row r="839" spans="1:64" ht="15">
      <c r="A839" s="5"/>
      <c r="B839" s="5"/>
      <c r="G839" s="5" t="str">
        <f ca="1">IFERROR(__xludf.DUMMYFUNCTION("IFERROR(VLOOKUP(F853,IMPORTRANGE(""https://docs.google.com/spreadsheets/d/1Kvs4KS76FHFqLFIZfrDMff4kP08nblUkihrxltoGBjg/edit#gid=934712705"",""ESENCIAL!A6:BG""),3,FALSE))"),"")</f>
        <v/>
      </c>
      <c r="H839" s="5" t="str">
        <f ca="1">IFERROR(__xludf.DUMMYFUNCTION("IFERROR(VLOOKUP(F853,IMPORTRANGE(""https://docs.google.com/spreadsheets/d/1Kvs4KS76FHFqLFIZfrDMff4kP08nblUkihrxltoGBjg/edit#gid=934712705"",""ESENCIAL!A6:BG""),8,FALSE))"),"")</f>
        <v/>
      </c>
      <c r="L839" s="287"/>
      <c r="U839" s="40"/>
      <c r="AU839" s="41" t="str">
        <f t="shared" si="24"/>
        <v/>
      </c>
      <c r="AV839" s="5" t="str">
        <f ca="1">IFERROR(__xludf.DUMMYFUNCTION("IFERROR(VLOOKUP(E853&amp;F853,IMPORTRANGE(""https://docs.google.com/spreadsheets/d/1Uw7-A9f9R21vMXxHZFNpYNeKFtG8_yji4HS352LGlSQ/edit?pli=1#gid=0"",""1_ACUM!A4:S""),11,FALSE))"),"")</f>
        <v/>
      </c>
      <c r="AW839" s="42" t="str">
        <f ca="1">IFERROR(__xludf.DUMMYFUNCTION("IFERROR(VLOOKUP(F853,IMPORTRANGE(""https://docs.google.com/spreadsheets/d/1Kvs4KS76FHFqLFIZfrDMff4kP08nblUkihrxltoGBjg/edit#gid=934712705"",""ESENCIAL!A6:BG""),15,FALSE))"),"")</f>
        <v/>
      </c>
      <c r="AX839" s="21" t="str">
        <f ca="1">IFERROR(__xludf.DUMMYFUNCTION("IFERROR(VLOOKUP(E853&amp;F853,IMPORTRANGE(""https://docs.google.com/spreadsheets/d/1Uw7-A9f9R21vMXxHZFNpYNeKFtG8_yji4HS352LGlSQ/edit?pli=1#gid=0"",""1_ACUM!A4:S""),12,FALSE))"),"")</f>
        <v/>
      </c>
      <c r="AY839" s="43" t="str">
        <f ca="1">IFERROR(__xludf.DUMMYFUNCTION("IFERROR(VLOOKUP(E853&amp;F853,IMPORTRANGE(""https://docs.google.com/spreadsheets/d/1Uw7-A9f9R21vMXxHZFNpYNeKFtG8_yji4HS352LGlSQ/edit?pli=1#gid=0"",""1_ACUM!A4:S""),13,FALSE))"),"")</f>
        <v/>
      </c>
      <c r="AZ839" s="43" t="str">
        <f ca="1">IFERROR(__xludf.DUMMYFUNCTION("IFERROR(VLOOKUP(E853&amp;F853,IMPORTRANGE(""https://docs.google.com/spreadsheets/d/1Uw7-A9f9R21vMXxHZFNpYNeKFtG8_yji4HS352LGlSQ/edit?pli=1#gid=0"",""1_ACUM!A4:S""),14,FALSE))"),"")</f>
        <v/>
      </c>
      <c r="BA839" s="43" t="str">
        <f ca="1">IFERROR(__xludf.DUMMYFUNCTION("IFERROR(VLOOKUP(E853&amp;F853,IMPORTRANGE(""https://docs.google.com/spreadsheets/d/1Uw7-A9f9R21vMXxHZFNpYNeKFtG8_yji4HS352LGlSQ/edit?pli=1#gid=0"",""1_ACUM!A4:S""),15,FALSE))"),"")</f>
        <v/>
      </c>
      <c r="BB839" s="43" t="str">
        <f ca="1">IFERROR(__xludf.DUMMYFUNCTION("IFERROR(VLOOKUP(E853&amp;F853,IMPORTRANGE(""https://docs.google.com/spreadsheets/d/1Uw7-A9f9R21vMXxHZFNpYNeKFtG8_yji4HS352LGlSQ/edit?pli=1#gid=0"",""1_ACUM!A4:S""),16,FALSE))"),"")</f>
        <v/>
      </c>
      <c r="BC839" s="43" t="str">
        <f ca="1">IFERROR(__xludf.DUMMYFUNCTION("IFERROR(VLOOKUP(E853&amp;F853,IMPORTRANGE(""https://docs.google.com/spreadsheets/d/1Uw7-A9f9R21vMXxHZFNpYNeKFtG8_yji4HS352LGlSQ/edit?pli=1#gid=0"",""1_ACUM!A4:S""),17,FALSE))"),"")</f>
        <v/>
      </c>
      <c r="BD839" s="44" t="str">
        <f ca="1">IFERROR(__xludf.DUMMYFUNCTION("IFERROR(VLOOKUP(E853&amp;F853,IMPORTRANGE(""https://docs.google.com/spreadsheets/d/1Uw7-A9f9R21vMXxHZFNpYNeKFtG8_yji4HS352LGlSQ/edit?pli=1#gid=0"",""1_ACUM!A4:S""),18,FALSE))"),"")</f>
        <v/>
      </c>
      <c r="BE839" s="44" t="str">
        <f ca="1">IFERROR(__xludf.DUMMYFUNCTION("IFERROR(VLOOKUP(E853&amp;F853,IMPORTRANGE(""https://docs.google.com/spreadsheets/d/1Uw7-A9f9R21vMXxHZFNpYNeKFtG8_yji4HS352LGlSQ/edit?pli=1#gid=0"",""1_ACUM!A4:S""),19,FALSE))"),"")</f>
        <v/>
      </c>
      <c r="BF839" s="98" t="str">
        <f ca="1">IFERROR(__xludf.DUMMYFUNCTION("IFERROR(VLOOKUP(F853,IMPORTRANGE(""https://docs.google.com/spreadsheets/d/1Kvs4KS76FHFqLFIZfrDMff4kP08nblUkihrxltoGBjg/edit#gid=934712705"",""ESENCIAL!A6:BG""),5,FALSE))"),"")</f>
        <v/>
      </c>
      <c r="BG839" s="98" t="str">
        <f t="shared" si="25"/>
        <v/>
      </c>
      <c r="BH839" s="99" t="str">
        <f t="shared" si="26"/>
        <v/>
      </c>
      <c r="BI839" s="100" t="str">
        <f ca="1">IFERROR(__xludf.DUMMYFUNCTION("IFERROR(VLOOKUP(F853,IMPORTRANGE(""https://docs.google.com/spreadsheets/d/1Kvs4KS76FHFqLFIZfrDMff4kP08nblUkihrxltoGBjg/edit#gid=934712705"",""ESENCIAL!A6:BG""),2,FALSE))"),"")</f>
        <v/>
      </c>
      <c r="BJ839" s="19" t="str">
        <f t="shared" si="27"/>
        <v/>
      </c>
      <c r="BK839" s="100"/>
      <c r="BL839" s="100"/>
    </row>
    <row r="840" spans="1:64" ht="15">
      <c r="A840" s="5"/>
      <c r="B840" s="5"/>
      <c r="G840" s="5" t="str">
        <f ca="1">IFERROR(__xludf.DUMMYFUNCTION("IFERROR(VLOOKUP(F854,IMPORTRANGE(""https://docs.google.com/spreadsheets/d/1Kvs4KS76FHFqLFIZfrDMff4kP08nblUkihrxltoGBjg/edit#gid=934712705"",""ESENCIAL!A6:BG""),3,FALSE))"),"")</f>
        <v/>
      </c>
      <c r="H840" s="5" t="str">
        <f ca="1">IFERROR(__xludf.DUMMYFUNCTION("IFERROR(VLOOKUP(F854,IMPORTRANGE(""https://docs.google.com/spreadsheets/d/1Kvs4KS76FHFqLFIZfrDMff4kP08nblUkihrxltoGBjg/edit#gid=934712705"",""ESENCIAL!A6:BG""),8,FALSE))"),"")</f>
        <v/>
      </c>
      <c r="L840" s="287"/>
      <c r="U840" s="40"/>
      <c r="AU840" s="41" t="str">
        <f t="shared" si="24"/>
        <v/>
      </c>
      <c r="AV840" s="5" t="str">
        <f ca="1">IFERROR(__xludf.DUMMYFUNCTION("IFERROR(VLOOKUP(E854&amp;F854,IMPORTRANGE(""https://docs.google.com/spreadsheets/d/1Uw7-A9f9R21vMXxHZFNpYNeKFtG8_yji4HS352LGlSQ/edit?pli=1#gid=0"",""1_ACUM!A4:S""),11,FALSE))"),"")</f>
        <v/>
      </c>
      <c r="AW840" s="42" t="str">
        <f ca="1">IFERROR(__xludf.DUMMYFUNCTION("IFERROR(VLOOKUP(F854,IMPORTRANGE(""https://docs.google.com/spreadsheets/d/1Kvs4KS76FHFqLFIZfrDMff4kP08nblUkihrxltoGBjg/edit#gid=934712705"",""ESENCIAL!A6:BG""),15,FALSE))"),"")</f>
        <v/>
      </c>
      <c r="AX840" s="21" t="str">
        <f ca="1">IFERROR(__xludf.DUMMYFUNCTION("IFERROR(VLOOKUP(E854&amp;F854,IMPORTRANGE(""https://docs.google.com/spreadsheets/d/1Uw7-A9f9R21vMXxHZFNpYNeKFtG8_yji4HS352LGlSQ/edit?pli=1#gid=0"",""1_ACUM!A4:S""),12,FALSE))"),"")</f>
        <v/>
      </c>
      <c r="AY840" s="43" t="str">
        <f ca="1">IFERROR(__xludf.DUMMYFUNCTION("IFERROR(VLOOKUP(E854&amp;F854,IMPORTRANGE(""https://docs.google.com/spreadsheets/d/1Uw7-A9f9R21vMXxHZFNpYNeKFtG8_yji4HS352LGlSQ/edit?pli=1#gid=0"",""1_ACUM!A4:S""),13,FALSE))"),"")</f>
        <v/>
      </c>
      <c r="AZ840" s="43" t="str">
        <f ca="1">IFERROR(__xludf.DUMMYFUNCTION("IFERROR(VLOOKUP(E854&amp;F854,IMPORTRANGE(""https://docs.google.com/spreadsheets/d/1Uw7-A9f9R21vMXxHZFNpYNeKFtG8_yji4HS352LGlSQ/edit?pli=1#gid=0"",""1_ACUM!A4:S""),14,FALSE))"),"")</f>
        <v/>
      </c>
      <c r="BA840" s="43" t="str">
        <f ca="1">IFERROR(__xludf.DUMMYFUNCTION("IFERROR(VLOOKUP(E854&amp;F854,IMPORTRANGE(""https://docs.google.com/spreadsheets/d/1Uw7-A9f9R21vMXxHZFNpYNeKFtG8_yji4HS352LGlSQ/edit?pli=1#gid=0"",""1_ACUM!A4:S""),15,FALSE))"),"")</f>
        <v/>
      </c>
      <c r="BB840" s="43" t="str">
        <f ca="1">IFERROR(__xludf.DUMMYFUNCTION("IFERROR(VLOOKUP(E854&amp;F854,IMPORTRANGE(""https://docs.google.com/spreadsheets/d/1Uw7-A9f9R21vMXxHZFNpYNeKFtG8_yji4HS352LGlSQ/edit?pli=1#gid=0"",""1_ACUM!A4:S""),16,FALSE))"),"")</f>
        <v/>
      </c>
      <c r="BC840" s="43" t="str">
        <f ca="1">IFERROR(__xludf.DUMMYFUNCTION("IFERROR(VLOOKUP(E854&amp;F854,IMPORTRANGE(""https://docs.google.com/spreadsheets/d/1Uw7-A9f9R21vMXxHZFNpYNeKFtG8_yji4HS352LGlSQ/edit?pli=1#gid=0"",""1_ACUM!A4:S""),17,FALSE))"),"")</f>
        <v/>
      </c>
      <c r="BD840" s="44" t="str">
        <f ca="1">IFERROR(__xludf.DUMMYFUNCTION("IFERROR(VLOOKUP(E854&amp;F854,IMPORTRANGE(""https://docs.google.com/spreadsheets/d/1Uw7-A9f9R21vMXxHZFNpYNeKFtG8_yji4HS352LGlSQ/edit?pli=1#gid=0"",""1_ACUM!A4:S""),18,FALSE))"),"")</f>
        <v/>
      </c>
      <c r="BE840" s="44" t="str">
        <f ca="1">IFERROR(__xludf.DUMMYFUNCTION("IFERROR(VLOOKUP(E854&amp;F854,IMPORTRANGE(""https://docs.google.com/spreadsheets/d/1Uw7-A9f9R21vMXxHZFNpYNeKFtG8_yji4HS352LGlSQ/edit?pli=1#gid=0"",""1_ACUM!A4:S""),19,FALSE))"),"")</f>
        <v/>
      </c>
      <c r="BF840" s="98" t="str">
        <f ca="1">IFERROR(__xludf.DUMMYFUNCTION("IFERROR(VLOOKUP(F854,IMPORTRANGE(""https://docs.google.com/spreadsheets/d/1Kvs4KS76FHFqLFIZfrDMff4kP08nblUkihrxltoGBjg/edit#gid=934712705"",""ESENCIAL!A6:BG""),5,FALSE))"),"")</f>
        <v/>
      </c>
      <c r="BG840" s="98" t="str">
        <f t="shared" si="25"/>
        <v/>
      </c>
      <c r="BH840" s="99" t="str">
        <f t="shared" si="26"/>
        <v/>
      </c>
      <c r="BI840" s="100" t="str">
        <f ca="1">IFERROR(__xludf.DUMMYFUNCTION("IFERROR(VLOOKUP(F854,IMPORTRANGE(""https://docs.google.com/spreadsheets/d/1Kvs4KS76FHFqLFIZfrDMff4kP08nblUkihrxltoGBjg/edit#gid=934712705"",""ESENCIAL!A6:BG""),2,FALSE))"),"")</f>
        <v/>
      </c>
      <c r="BJ840" s="19" t="str">
        <f t="shared" si="27"/>
        <v/>
      </c>
      <c r="BK840" s="100"/>
      <c r="BL840" s="100"/>
    </row>
    <row r="841" spans="1:64" ht="15">
      <c r="A841" s="5"/>
      <c r="B841" s="5"/>
      <c r="G841" s="5" t="str">
        <f ca="1">IFERROR(__xludf.DUMMYFUNCTION("IFERROR(VLOOKUP(F855,IMPORTRANGE(""https://docs.google.com/spreadsheets/d/1Kvs4KS76FHFqLFIZfrDMff4kP08nblUkihrxltoGBjg/edit#gid=934712705"",""ESENCIAL!A6:BG""),3,FALSE))"),"")</f>
        <v/>
      </c>
      <c r="H841" s="5" t="str">
        <f ca="1">IFERROR(__xludf.DUMMYFUNCTION("IFERROR(VLOOKUP(F855,IMPORTRANGE(""https://docs.google.com/spreadsheets/d/1Kvs4KS76FHFqLFIZfrDMff4kP08nblUkihrxltoGBjg/edit#gid=934712705"",""ESENCIAL!A6:BG""),8,FALSE))"),"")</f>
        <v/>
      </c>
      <c r="L841" s="287"/>
      <c r="U841" s="40"/>
      <c r="AU841" s="41" t="str">
        <f t="shared" si="24"/>
        <v/>
      </c>
      <c r="AV841" s="5" t="str">
        <f ca="1">IFERROR(__xludf.DUMMYFUNCTION("IFERROR(VLOOKUP(E855&amp;F855,IMPORTRANGE(""https://docs.google.com/spreadsheets/d/1Uw7-A9f9R21vMXxHZFNpYNeKFtG8_yji4HS352LGlSQ/edit?pli=1#gid=0"",""1_ACUM!A4:S""),11,FALSE))"),"")</f>
        <v/>
      </c>
      <c r="AW841" s="42" t="str">
        <f ca="1">IFERROR(__xludf.DUMMYFUNCTION("IFERROR(VLOOKUP(F855,IMPORTRANGE(""https://docs.google.com/spreadsheets/d/1Kvs4KS76FHFqLFIZfrDMff4kP08nblUkihrxltoGBjg/edit#gid=934712705"",""ESENCIAL!A6:BG""),15,FALSE))"),"")</f>
        <v/>
      </c>
      <c r="AX841" s="21" t="str">
        <f ca="1">IFERROR(__xludf.DUMMYFUNCTION("IFERROR(VLOOKUP(E855&amp;F855,IMPORTRANGE(""https://docs.google.com/spreadsheets/d/1Uw7-A9f9R21vMXxHZFNpYNeKFtG8_yji4HS352LGlSQ/edit?pli=1#gid=0"",""1_ACUM!A4:S""),12,FALSE))"),"")</f>
        <v/>
      </c>
      <c r="AY841" s="43" t="str">
        <f ca="1">IFERROR(__xludf.DUMMYFUNCTION("IFERROR(VLOOKUP(E855&amp;F855,IMPORTRANGE(""https://docs.google.com/spreadsheets/d/1Uw7-A9f9R21vMXxHZFNpYNeKFtG8_yji4HS352LGlSQ/edit?pli=1#gid=0"",""1_ACUM!A4:S""),13,FALSE))"),"")</f>
        <v/>
      </c>
      <c r="AZ841" s="43" t="str">
        <f ca="1">IFERROR(__xludf.DUMMYFUNCTION("IFERROR(VLOOKUP(E855&amp;F855,IMPORTRANGE(""https://docs.google.com/spreadsheets/d/1Uw7-A9f9R21vMXxHZFNpYNeKFtG8_yji4HS352LGlSQ/edit?pli=1#gid=0"",""1_ACUM!A4:S""),14,FALSE))"),"")</f>
        <v/>
      </c>
      <c r="BA841" s="43" t="str">
        <f ca="1">IFERROR(__xludf.DUMMYFUNCTION("IFERROR(VLOOKUP(E855&amp;F855,IMPORTRANGE(""https://docs.google.com/spreadsheets/d/1Uw7-A9f9R21vMXxHZFNpYNeKFtG8_yji4HS352LGlSQ/edit?pli=1#gid=0"",""1_ACUM!A4:S""),15,FALSE))"),"")</f>
        <v/>
      </c>
      <c r="BB841" s="43" t="str">
        <f ca="1">IFERROR(__xludf.DUMMYFUNCTION("IFERROR(VLOOKUP(E855&amp;F855,IMPORTRANGE(""https://docs.google.com/spreadsheets/d/1Uw7-A9f9R21vMXxHZFNpYNeKFtG8_yji4HS352LGlSQ/edit?pli=1#gid=0"",""1_ACUM!A4:S""),16,FALSE))"),"")</f>
        <v/>
      </c>
      <c r="BC841" s="43" t="str">
        <f ca="1">IFERROR(__xludf.DUMMYFUNCTION("IFERROR(VLOOKUP(E855&amp;F855,IMPORTRANGE(""https://docs.google.com/spreadsheets/d/1Uw7-A9f9R21vMXxHZFNpYNeKFtG8_yji4HS352LGlSQ/edit?pli=1#gid=0"",""1_ACUM!A4:S""),17,FALSE))"),"")</f>
        <v/>
      </c>
      <c r="BD841" s="44" t="str">
        <f ca="1">IFERROR(__xludf.DUMMYFUNCTION("IFERROR(VLOOKUP(E855&amp;F855,IMPORTRANGE(""https://docs.google.com/spreadsheets/d/1Uw7-A9f9R21vMXxHZFNpYNeKFtG8_yji4HS352LGlSQ/edit?pli=1#gid=0"",""1_ACUM!A4:S""),18,FALSE))"),"")</f>
        <v/>
      </c>
      <c r="BE841" s="44" t="str">
        <f ca="1">IFERROR(__xludf.DUMMYFUNCTION("IFERROR(VLOOKUP(E855&amp;F855,IMPORTRANGE(""https://docs.google.com/spreadsheets/d/1Uw7-A9f9R21vMXxHZFNpYNeKFtG8_yji4HS352LGlSQ/edit?pli=1#gid=0"",""1_ACUM!A4:S""),19,FALSE))"),"")</f>
        <v/>
      </c>
      <c r="BF841" s="98" t="str">
        <f ca="1">IFERROR(__xludf.DUMMYFUNCTION("IFERROR(VLOOKUP(F855,IMPORTRANGE(""https://docs.google.com/spreadsheets/d/1Kvs4KS76FHFqLFIZfrDMff4kP08nblUkihrxltoGBjg/edit#gid=934712705"",""ESENCIAL!A6:BG""),5,FALSE))"),"")</f>
        <v/>
      </c>
      <c r="BG841" s="98" t="str">
        <f t="shared" si="25"/>
        <v/>
      </c>
      <c r="BH841" s="99" t="str">
        <f t="shared" si="26"/>
        <v/>
      </c>
      <c r="BI841" s="100" t="str">
        <f ca="1">IFERROR(__xludf.DUMMYFUNCTION("IFERROR(VLOOKUP(F855,IMPORTRANGE(""https://docs.google.com/spreadsheets/d/1Kvs4KS76FHFqLFIZfrDMff4kP08nblUkihrxltoGBjg/edit#gid=934712705"",""ESENCIAL!A6:BG""),2,FALSE))"),"")</f>
        <v/>
      </c>
      <c r="BJ841" s="19" t="str">
        <f t="shared" si="27"/>
        <v/>
      </c>
      <c r="BK841" s="100"/>
      <c r="BL841" s="100"/>
    </row>
    <row r="842" spans="1:64" ht="15">
      <c r="A842" s="5"/>
      <c r="B842" s="5"/>
      <c r="G842" s="5" t="str">
        <f ca="1">IFERROR(__xludf.DUMMYFUNCTION("IFERROR(VLOOKUP(F856,IMPORTRANGE(""https://docs.google.com/spreadsheets/d/1Kvs4KS76FHFqLFIZfrDMff4kP08nblUkihrxltoGBjg/edit#gid=934712705"",""ESENCIAL!A6:BG""),3,FALSE))"),"")</f>
        <v/>
      </c>
      <c r="H842" s="5" t="str">
        <f ca="1">IFERROR(__xludf.DUMMYFUNCTION("IFERROR(VLOOKUP(F856,IMPORTRANGE(""https://docs.google.com/spreadsheets/d/1Kvs4KS76FHFqLFIZfrDMff4kP08nblUkihrxltoGBjg/edit#gid=934712705"",""ESENCIAL!A6:BG""),8,FALSE))"),"")</f>
        <v/>
      </c>
      <c r="L842" s="287"/>
      <c r="U842" s="40"/>
      <c r="AU842" s="41" t="str">
        <f t="shared" si="24"/>
        <v/>
      </c>
      <c r="AV842" s="5" t="str">
        <f ca="1">IFERROR(__xludf.DUMMYFUNCTION("IFERROR(VLOOKUP(E856&amp;F856,IMPORTRANGE(""https://docs.google.com/spreadsheets/d/1Uw7-A9f9R21vMXxHZFNpYNeKFtG8_yji4HS352LGlSQ/edit?pli=1#gid=0"",""1_ACUM!A4:S""),11,FALSE))"),"")</f>
        <v/>
      </c>
      <c r="AW842" s="42" t="str">
        <f ca="1">IFERROR(__xludf.DUMMYFUNCTION("IFERROR(VLOOKUP(F856,IMPORTRANGE(""https://docs.google.com/spreadsheets/d/1Kvs4KS76FHFqLFIZfrDMff4kP08nblUkihrxltoGBjg/edit#gid=934712705"",""ESENCIAL!A6:BG""),15,FALSE))"),"")</f>
        <v/>
      </c>
      <c r="AX842" s="21" t="str">
        <f ca="1">IFERROR(__xludf.DUMMYFUNCTION("IFERROR(VLOOKUP(E856&amp;F856,IMPORTRANGE(""https://docs.google.com/spreadsheets/d/1Uw7-A9f9R21vMXxHZFNpYNeKFtG8_yji4HS352LGlSQ/edit?pli=1#gid=0"",""1_ACUM!A4:S""),12,FALSE))"),"")</f>
        <v/>
      </c>
      <c r="AY842" s="43" t="str">
        <f ca="1">IFERROR(__xludf.DUMMYFUNCTION("IFERROR(VLOOKUP(E856&amp;F856,IMPORTRANGE(""https://docs.google.com/spreadsheets/d/1Uw7-A9f9R21vMXxHZFNpYNeKFtG8_yji4HS352LGlSQ/edit?pli=1#gid=0"",""1_ACUM!A4:S""),13,FALSE))"),"")</f>
        <v/>
      </c>
      <c r="AZ842" s="43" t="str">
        <f ca="1">IFERROR(__xludf.DUMMYFUNCTION("IFERROR(VLOOKUP(E856&amp;F856,IMPORTRANGE(""https://docs.google.com/spreadsheets/d/1Uw7-A9f9R21vMXxHZFNpYNeKFtG8_yji4HS352LGlSQ/edit?pli=1#gid=0"",""1_ACUM!A4:S""),14,FALSE))"),"")</f>
        <v/>
      </c>
      <c r="BA842" s="43" t="str">
        <f ca="1">IFERROR(__xludf.DUMMYFUNCTION("IFERROR(VLOOKUP(E856&amp;F856,IMPORTRANGE(""https://docs.google.com/spreadsheets/d/1Uw7-A9f9R21vMXxHZFNpYNeKFtG8_yji4HS352LGlSQ/edit?pli=1#gid=0"",""1_ACUM!A4:S""),15,FALSE))"),"")</f>
        <v/>
      </c>
      <c r="BB842" s="43" t="str">
        <f ca="1">IFERROR(__xludf.DUMMYFUNCTION("IFERROR(VLOOKUP(E856&amp;F856,IMPORTRANGE(""https://docs.google.com/spreadsheets/d/1Uw7-A9f9R21vMXxHZFNpYNeKFtG8_yji4HS352LGlSQ/edit?pli=1#gid=0"",""1_ACUM!A4:S""),16,FALSE))"),"")</f>
        <v/>
      </c>
      <c r="BC842" s="43" t="str">
        <f ca="1">IFERROR(__xludf.DUMMYFUNCTION("IFERROR(VLOOKUP(E856&amp;F856,IMPORTRANGE(""https://docs.google.com/spreadsheets/d/1Uw7-A9f9R21vMXxHZFNpYNeKFtG8_yji4HS352LGlSQ/edit?pli=1#gid=0"",""1_ACUM!A4:S""),17,FALSE))"),"")</f>
        <v/>
      </c>
      <c r="BD842" s="44" t="str">
        <f ca="1">IFERROR(__xludf.DUMMYFUNCTION("IFERROR(VLOOKUP(E856&amp;F856,IMPORTRANGE(""https://docs.google.com/spreadsheets/d/1Uw7-A9f9R21vMXxHZFNpYNeKFtG8_yji4HS352LGlSQ/edit?pli=1#gid=0"",""1_ACUM!A4:S""),18,FALSE))"),"")</f>
        <v/>
      </c>
      <c r="BE842" s="44" t="str">
        <f ca="1">IFERROR(__xludf.DUMMYFUNCTION("IFERROR(VLOOKUP(E856&amp;F856,IMPORTRANGE(""https://docs.google.com/spreadsheets/d/1Uw7-A9f9R21vMXxHZFNpYNeKFtG8_yji4HS352LGlSQ/edit?pli=1#gid=0"",""1_ACUM!A4:S""),19,FALSE))"),"")</f>
        <v/>
      </c>
      <c r="BF842" s="98" t="str">
        <f ca="1">IFERROR(__xludf.DUMMYFUNCTION("IFERROR(VLOOKUP(F856,IMPORTRANGE(""https://docs.google.com/spreadsheets/d/1Kvs4KS76FHFqLFIZfrDMff4kP08nblUkihrxltoGBjg/edit#gid=934712705"",""ESENCIAL!A6:BG""),5,FALSE))"),"")</f>
        <v/>
      </c>
      <c r="BG842" s="98" t="str">
        <f t="shared" si="25"/>
        <v/>
      </c>
      <c r="BH842" s="99" t="str">
        <f t="shared" si="26"/>
        <v/>
      </c>
      <c r="BI842" s="100" t="str">
        <f ca="1">IFERROR(__xludf.DUMMYFUNCTION("IFERROR(VLOOKUP(F856,IMPORTRANGE(""https://docs.google.com/spreadsheets/d/1Kvs4KS76FHFqLFIZfrDMff4kP08nblUkihrxltoGBjg/edit#gid=934712705"",""ESENCIAL!A6:BG""),2,FALSE))"),"")</f>
        <v/>
      </c>
      <c r="BJ842" s="19" t="str">
        <f t="shared" si="27"/>
        <v/>
      </c>
      <c r="BK842" s="100"/>
      <c r="BL842" s="100"/>
    </row>
    <row r="843" spans="1:64" ht="15">
      <c r="A843" s="5"/>
      <c r="B843" s="5"/>
      <c r="G843" s="5" t="str">
        <f ca="1">IFERROR(__xludf.DUMMYFUNCTION("IFERROR(VLOOKUP(F857,IMPORTRANGE(""https://docs.google.com/spreadsheets/d/1Kvs4KS76FHFqLFIZfrDMff4kP08nblUkihrxltoGBjg/edit#gid=934712705"",""ESENCIAL!A6:BG""),3,FALSE))"),"")</f>
        <v/>
      </c>
      <c r="H843" s="5" t="str">
        <f ca="1">IFERROR(__xludf.DUMMYFUNCTION("IFERROR(VLOOKUP(F857,IMPORTRANGE(""https://docs.google.com/spreadsheets/d/1Kvs4KS76FHFqLFIZfrDMff4kP08nblUkihrxltoGBjg/edit#gid=934712705"",""ESENCIAL!A6:BG""),8,FALSE))"),"")</f>
        <v/>
      </c>
      <c r="L843" s="287"/>
      <c r="U843" s="40"/>
      <c r="AU843" s="41" t="str">
        <f t="shared" si="24"/>
        <v/>
      </c>
      <c r="AV843" s="5" t="str">
        <f ca="1">IFERROR(__xludf.DUMMYFUNCTION("IFERROR(VLOOKUP(E857&amp;F857,IMPORTRANGE(""https://docs.google.com/spreadsheets/d/1Uw7-A9f9R21vMXxHZFNpYNeKFtG8_yji4HS352LGlSQ/edit?pli=1#gid=0"",""1_ACUM!A4:S""),11,FALSE))"),"")</f>
        <v/>
      </c>
      <c r="AW843" s="42" t="str">
        <f ca="1">IFERROR(__xludf.DUMMYFUNCTION("IFERROR(VLOOKUP(F857,IMPORTRANGE(""https://docs.google.com/spreadsheets/d/1Kvs4KS76FHFqLFIZfrDMff4kP08nblUkihrxltoGBjg/edit#gid=934712705"",""ESENCIAL!A6:BG""),15,FALSE))"),"")</f>
        <v/>
      </c>
      <c r="AX843" s="21" t="str">
        <f ca="1">IFERROR(__xludf.DUMMYFUNCTION("IFERROR(VLOOKUP(E857&amp;F857,IMPORTRANGE(""https://docs.google.com/spreadsheets/d/1Uw7-A9f9R21vMXxHZFNpYNeKFtG8_yji4HS352LGlSQ/edit?pli=1#gid=0"",""1_ACUM!A4:S""),12,FALSE))"),"")</f>
        <v/>
      </c>
      <c r="AY843" s="43" t="str">
        <f ca="1">IFERROR(__xludf.DUMMYFUNCTION("IFERROR(VLOOKUP(E857&amp;F857,IMPORTRANGE(""https://docs.google.com/spreadsheets/d/1Uw7-A9f9R21vMXxHZFNpYNeKFtG8_yji4HS352LGlSQ/edit?pli=1#gid=0"",""1_ACUM!A4:S""),13,FALSE))"),"")</f>
        <v/>
      </c>
      <c r="AZ843" s="43" t="str">
        <f ca="1">IFERROR(__xludf.DUMMYFUNCTION("IFERROR(VLOOKUP(E857&amp;F857,IMPORTRANGE(""https://docs.google.com/spreadsheets/d/1Uw7-A9f9R21vMXxHZFNpYNeKFtG8_yji4HS352LGlSQ/edit?pli=1#gid=0"",""1_ACUM!A4:S""),14,FALSE))"),"")</f>
        <v/>
      </c>
      <c r="BA843" s="43" t="str">
        <f ca="1">IFERROR(__xludf.DUMMYFUNCTION("IFERROR(VLOOKUP(E857&amp;F857,IMPORTRANGE(""https://docs.google.com/spreadsheets/d/1Uw7-A9f9R21vMXxHZFNpYNeKFtG8_yji4HS352LGlSQ/edit?pli=1#gid=0"",""1_ACUM!A4:S""),15,FALSE))"),"")</f>
        <v/>
      </c>
      <c r="BB843" s="43" t="str">
        <f ca="1">IFERROR(__xludf.DUMMYFUNCTION("IFERROR(VLOOKUP(E857&amp;F857,IMPORTRANGE(""https://docs.google.com/spreadsheets/d/1Uw7-A9f9R21vMXxHZFNpYNeKFtG8_yji4HS352LGlSQ/edit?pli=1#gid=0"",""1_ACUM!A4:S""),16,FALSE))"),"")</f>
        <v/>
      </c>
      <c r="BC843" s="43" t="str">
        <f ca="1">IFERROR(__xludf.DUMMYFUNCTION("IFERROR(VLOOKUP(E857&amp;F857,IMPORTRANGE(""https://docs.google.com/spreadsheets/d/1Uw7-A9f9R21vMXxHZFNpYNeKFtG8_yji4HS352LGlSQ/edit?pli=1#gid=0"",""1_ACUM!A4:S""),17,FALSE))"),"")</f>
        <v/>
      </c>
      <c r="BD843" s="44" t="str">
        <f ca="1">IFERROR(__xludf.DUMMYFUNCTION("IFERROR(VLOOKUP(E857&amp;F857,IMPORTRANGE(""https://docs.google.com/spreadsheets/d/1Uw7-A9f9R21vMXxHZFNpYNeKFtG8_yji4HS352LGlSQ/edit?pli=1#gid=0"",""1_ACUM!A4:S""),18,FALSE))"),"")</f>
        <v/>
      </c>
      <c r="BE843" s="44" t="str">
        <f ca="1">IFERROR(__xludf.DUMMYFUNCTION("IFERROR(VLOOKUP(E857&amp;F857,IMPORTRANGE(""https://docs.google.com/spreadsheets/d/1Uw7-A9f9R21vMXxHZFNpYNeKFtG8_yji4HS352LGlSQ/edit?pli=1#gid=0"",""1_ACUM!A4:S""),19,FALSE))"),"")</f>
        <v/>
      </c>
      <c r="BF843" s="98" t="str">
        <f ca="1">IFERROR(__xludf.DUMMYFUNCTION("IFERROR(VLOOKUP(F857,IMPORTRANGE(""https://docs.google.com/spreadsheets/d/1Kvs4KS76FHFqLFIZfrDMff4kP08nblUkihrxltoGBjg/edit#gid=934712705"",""ESENCIAL!A6:BG""),5,FALSE))"),"")</f>
        <v/>
      </c>
      <c r="BG843" s="98" t="str">
        <f t="shared" si="25"/>
        <v/>
      </c>
      <c r="BH843" s="99" t="str">
        <f t="shared" si="26"/>
        <v/>
      </c>
      <c r="BI843" s="100" t="str">
        <f ca="1">IFERROR(__xludf.DUMMYFUNCTION("IFERROR(VLOOKUP(F857,IMPORTRANGE(""https://docs.google.com/spreadsheets/d/1Kvs4KS76FHFqLFIZfrDMff4kP08nblUkihrxltoGBjg/edit#gid=934712705"",""ESENCIAL!A6:BG""),2,FALSE))"),"")</f>
        <v/>
      </c>
      <c r="BJ843" s="19" t="str">
        <f t="shared" si="27"/>
        <v/>
      </c>
      <c r="BK843" s="100"/>
      <c r="BL843" s="100"/>
    </row>
    <row r="844" spans="1:64" ht="15">
      <c r="A844" s="5"/>
      <c r="B844" s="5"/>
      <c r="G844" s="5" t="str">
        <f ca="1">IFERROR(__xludf.DUMMYFUNCTION("IFERROR(VLOOKUP(F858,IMPORTRANGE(""https://docs.google.com/spreadsheets/d/1Kvs4KS76FHFqLFIZfrDMff4kP08nblUkihrxltoGBjg/edit#gid=934712705"",""ESENCIAL!A6:BG""),3,FALSE))"),"")</f>
        <v/>
      </c>
      <c r="H844" s="5" t="str">
        <f ca="1">IFERROR(__xludf.DUMMYFUNCTION("IFERROR(VLOOKUP(F858,IMPORTRANGE(""https://docs.google.com/spreadsheets/d/1Kvs4KS76FHFqLFIZfrDMff4kP08nblUkihrxltoGBjg/edit#gid=934712705"",""ESENCIAL!A6:BG""),8,FALSE))"),"")</f>
        <v/>
      </c>
      <c r="L844" s="287"/>
      <c r="U844" s="40"/>
      <c r="AU844" s="41" t="str">
        <f t="shared" si="24"/>
        <v/>
      </c>
      <c r="AV844" s="5" t="str">
        <f ca="1">IFERROR(__xludf.DUMMYFUNCTION("IFERROR(VLOOKUP(E858&amp;F858,IMPORTRANGE(""https://docs.google.com/spreadsheets/d/1Uw7-A9f9R21vMXxHZFNpYNeKFtG8_yji4HS352LGlSQ/edit?pli=1#gid=0"",""1_ACUM!A4:S""),11,FALSE))"),"")</f>
        <v/>
      </c>
      <c r="AW844" s="42" t="str">
        <f ca="1">IFERROR(__xludf.DUMMYFUNCTION("IFERROR(VLOOKUP(F858,IMPORTRANGE(""https://docs.google.com/spreadsheets/d/1Kvs4KS76FHFqLFIZfrDMff4kP08nblUkihrxltoGBjg/edit#gid=934712705"",""ESENCIAL!A6:BG""),15,FALSE))"),"")</f>
        <v/>
      </c>
      <c r="AX844" s="21" t="str">
        <f ca="1">IFERROR(__xludf.DUMMYFUNCTION("IFERROR(VLOOKUP(E858&amp;F858,IMPORTRANGE(""https://docs.google.com/spreadsheets/d/1Uw7-A9f9R21vMXxHZFNpYNeKFtG8_yji4HS352LGlSQ/edit?pli=1#gid=0"",""1_ACUM!A4:S""),12,FALSE))"),"")</f>
        <v/>
      </c>
      <c r="AY844" s="43" t="str">
        <f ca="1">IFERROR(__xludf.DUMMYFUNCTION("IFERROR(VLOOKUP(E858&amp;F858,IMPORTRANGE(""https://docs.google.com/spreadsheets/d/1Uw7-A9f9R21vMXxHZFNpYNeKFtG8_yji4HS352LGlSQ/edit?pli=1#gid=0"",""1_ACUM!A4:S""),13,FALSE))"),"")</f>
        <v/>
      </c>
      <c r="AZ844" s="43" t="str">
        <f ca="1">IFERROR(__xludf.DUMMYFUNCTION("IFERROR(VLOOKUP(E858&amp;F858,IMPORTRANGE(""https://docs.google.com/spreadsheets/d/1Uw7-A9f9R21vMXxHZFNpYNeKFtG8_yji4HS352LGlSQ/edit?pli=1#gid=0"",""1_ACUM!A4:S""),14,FALSE))"),"")</f>
        <v/>
      </c>
      <c r="BA844" s="43" t="str">
        <f ca="1">IFERROR(__xludf.DUMMYFUNCTION("IFERROR(VLOOKUP(E858&amp;F858,IMPORTRANGE(""https://docs.google.com/spreadsheets/d/1Uw7-A9f9R21vMXxHZFNpYNeKFtG8_yji4HS352LGlSQ/edit?pli=1#gid=0"",""1_ACUM!A4:S""),15,FALSE))"),"")</f>
        <v/>
      </c>
      <c r="BB844" s="43" t="str">
        <f ca="1">IFERROR(__xludf.DUMMYFUNCTION("IFERROR(VLOOKUP(E858&amp;F858,IMPORTRANGE(""https://docs.google.com/spreadsheets/d/1Uw7-A9f9R21vMXxHZFNpYNeKFtG8_yji4HS352LGlSQ/edit?pli=1#gid=0"",""1_ACUM!A4:S""),16,FALSE))"),"")</f>
        <v/>
      </c>
      <c r="BC844" s="43" t="str">
        <f ca="1">IFERROR(__xludf.DUMMYFUNCTION("IFERROR(VLOOKUP(E858&amp;F858,IMPORTRANGE(""https://docs.google.com/spreadsheets/d/1Uw7-A9f9R21vMXxHZFNpYNeKFtG8_yji4HS352LGlSQ/edit?pli=1#gid=0"",""1_ACUM!A4:S""),17,FALSE))"),"")</f>
        <v/>
      </c>
      <c r="BD844" s="44" t="str">
        <f ca="1">IFERROR(__xludf.DUMMYFUNCTION("IFERROR(VLOOKUP(E858&amp;F858,IMPORTRANGE(""https://docs.google.com/spreadsheets/d/1Uw7-A9f9R21vMXxHZFNpYNeKFtG8_yji4HS352LGlSQ/edit?pli=1#gid=0"",""1_ACUM!A4:S""),18,FALSE))"),"")</f>
        <v/>
      </c>
      <c r="BE844" s="44" t="str">
        <f ca="1">IFERROR(__xludf.DUMMYFUNCTION("IFERROR(VLOOKUP(E858&amp;F858,IMPORTRANGE(""https://docs.google.com/spreadsheets/d/1Uw7-A9f9R21vMXxHZFNpYNeKFtG8_yji4HS352LGlSQ/edit?pli=1#gid=0"",""1_ACUM!A4:S""),19,FALSE))"),"")</f>
        <v/>
      </c>
      <c r="BF844" s="98" t="str">
        <f ca="1">IFERROR(__xludf.DUMMYFUNCTION("IFERROR(VLOOKUP(F858,IMPORTRANGE(""https://docs.google.com/spreadsheets/d/1Kvs4KS76FHFqLFIZfrDMff4kP08nblUkihrxltoGBjg/edit#gid=934712705"",""ESENCIAL!A6:BG""),5,FALSE))"),"")</f>
        <v/>
      </c>
      <c r="BG844" s="98" t="str">
        <f t="shared" si="25"/>
        <v/>
      </c>
      <c r="BH844" s="99" t="str">
        <f t="shared" si="26"/>
        <v/>
      </c>
      <c r="BI844" s="100" t="str">
        <f ca="1">IFERROR(__xludf.DUMMYFUNCTION("IFERROR(VLOOKUP(F858,IMPORTRANGE(""https://docs.google.com/spreadsheets/d/1Kvs4KS76FHFqLFIZfrDMff4kP08nblUkihrxltoGBjg/edit#gid=934712705"",""ESENCIAL!A6:BG""),2,FALSE))"),"")</f>
        <v/>
      </c>
      <c r="BJ844" s="19" t="str">
        <f t="shared" si="27"/>
        <v/>
      </c>
      <c r="BK844" s="100"/>
      <c r="BL844" s="100"/>
    </row>
    <row r="845" spans="1:64" ht="15">
      <c r="A845" s="5"/>
      <c r="B845" s="5"/>
      <c r="G845" s="5" t="str">
        <f ca="1">IFERROR(__xludf.DUMMYFUNCTION("IFERROR(VLOOKUP(F859,IMPORTRANGE(""https://docs.google.com/spreadsheets/d/1Kvs4KS76FHFqLFIZfrDMff4kP08nblUkihrxltoGBjg/edit#gid=934712705"",""ESENCIAL!A6:BG""),3,FALSE))"),"")</f>
        <v/>
      </c>
      <c r="H845" s="5" t="str">
        <f ca="1">IFERROR(__xludf.DUMMYFUNCTION("IFERROR(VLOOKUP(F859,IMPORTRANGE(""https://docs.google.com/spreadsheets/d/1Kvs4KS76FHFqLFIZfrDMff4kP08nblUkihrxltoGBjg/edit#gid=934712705"",""ESENCIAL!A6:BG""),8,FALSE))"),"")</f>
        <v/>
      </c>
      <c r="L845" s="287"/>
      <c r="U845" s="40"/>
      <c r="AU845" s="41" t="str">
        <f t="shared" si="24"/>
        <v/>
      </c>
      <c r="AV845" s="5" t="str">
        <f ca="1">IFERROR(__xludf.DUMMYFUNCTION("IFERROR(VLOOKUP(E859&amp;F859,IMPORTRANGE(""https://docs.google.com/spreadsheets/d/1Uw7-A9f9R21vMXxHZFNpYNeKFtG8_yji4HS352LGlSQ/edit?pli=1#gid=0"",""1_ACUM!A4:S""),11,FALSE))"),"")</f>
        <v/>
      </c>
      <c r="AW845" s="42" t="str">
        <f ca="1">IFERROR(__xludf.DUMMYFUNCTION("IFERROR(VLOOKUP(F859,IMPORTRANGE(""https://docs.google.com/spreadsheets/d/1Kvs4KS76FHFqLFIZfrDMff4kP08nblUkihrxltoGBjg/edit#gid=934712705"",""ESENCIAL!A6:BG""),15,FALSE))"),"")</f>
        <v/>
      </c>
      <c r="AX845" s="21" t="str">
        <f ca="1">IFERROR(__xludf.DUMMYFUNCTION("IFERROR(VLOOKUP(E859&amp;F859,IMPORTRANGE(""https://docs.google.com/spreadsheets/d/1Uw7-A9f9R21vMXxHZFNpYNeKFtG8_yji4HS352LGlSQ/edit?pli=1#gid=0"",""1_ACUM!A4:S""),12,FALSE))"),"")</f>
        <v/>
      </c>
      <c r="AY845" s="43" t="str">
        <f ca="1">IFERROR(__xludf.DUMMYFUNCTION("IFERROR(VLOOKUP(E859&amp;F859,IMPORTRANGE(""https://docs.google.com/spreadsheets/d/1Uw7-A9f9R21vMXxHZFNpYNeKFtG8_yji4HS352LGlSQ/edit?pli=1#gid=0"",""1_ACUM!A4:S""),13,FALSE))"),"")</f>
        <v/>
      </c>
      <c r="AZ845" s="43" t="str">
        <f ca="1">IFERROR(__xludf.DUMMYFUNCTION("IFERROR(VLOOKUP(E859&amp;F859,IMPORTRANGE(""https://docs.google.com/spreadsheets/d/1Uw7-A9f9R21vMXxHZFNpYNeKFtG8_yji4HS352LGlSQ/edit?pli=1#gid=0"",""1_ACUM!A4:S""),14,FALSE))"),"")</f>
        <v/>
      </c>
      <c r="BA845" s="43" t="str">
        <f ca="1">IFERROR(__xludf.DUMMYFUNCTION("IFERROR(VLOOKUP(E859&amp;F859,IMPORTRANGE(""https://docs.google.com/spreadsheets/d/1Uw7-A9f9R21vMXxHZFNpYNeKFtG8_yji4HS352LGlSQ/edit?pli=1#gid=0"",""1_ACUM!A4:S""),15,FALSE))"),"")</f>
        <v/>
      </c>
      <c r="BB845" s="43" t="str">
        <f ca="1">IFERROR(__xludf.DUMMYFUNCTION("IFERROR(VLOOKUP(E859&amp;F859,IMPORTRANGE(""https://docs.google.com/spreadsheets/d/1Uw7-A9f9R21vMXxHZFNpYNeKFtG8_yji4HS352LGlSQ/edit?pli=1#gid=0"",""1_ACUM!A4:S""),16,FALSE))"),"")</f>
        <v/>
      </c>
      <c r="BC845" s="43" t="str">
        <f ca="1">IFERROR(__xludf.DUMMYFUNCTION("IFERROR(VLOOKUP(E859&amp;F859,IMPORTRANGE(""https://docs.google.com/spreadsheets/d/1Uw7-A9f9R21vMXxHZFNpYNeKFtG8_yji4HS352LGlSQ/edit?pli=1#gid=0"",""1_ACUM!A4:S""),17,FALSE))"),"")</f>
        <v/>
      </c>
      <c r="BD845" s="44" t="str">
        <f ca="1">IFERROR(__xludf.DUMMYFUNCTION("IFERROR(VLOOKUP(E859&amp;F859,IMPORTRANGE(""https://docs.google.com/spreadsheets/d/1Uw7-A9f9R21vMXxHZFNpYNeKFtG8_yji4HS352LGlSQ/edit?pli=1#gid=0"",""1_ACUM!A4:S""),18,FALSE))"),"")</f>
        <v/>
      </c>
      <c r="BE845" s="44" t="str">
        <f ca="1">IFERROR(__xludf.DUMMYFUNCTION("IFERROR(VLOOKUP(E859&amp;F859,IMPORTRANGE(""https://docs.google.com/spreadsheets/d/1Uw7-A9f9R21vMXxHZFNpYNeKFtG8_yji4HS352LGlSQ/edit?pli=1#gid=0"",""1_ACUM!A4:S""),19,FALSE))"),"")</f>
        <v/>
      </c>
      <c r="BF845" s="98" t="str">
        <f ca="1">IFERROR(__xludf.DUMMYFUNCTION("IFERROR(VLOOKUP(F859,IMPORTRANGE(""https://docs.google.com/spreadsheets/d/1Kvs4KS76FHFqLFIZfrDMff4kP08nblUkihrxltoGBjg/edit#gid=934712705"",""ESENCIAL!A6:BG""),5,FALSE))"),"")</f>
        <v/>
      </c>
      <c r="BG845" s="98" t="str">
        <f t="shared" si="25"/>
        <v/>
      </c>
      <c r="BH845" s="99" t="str">
        <f t="shared" si="26"/>
        <v/>
      </c>
      <c r="BI845" s="100" t="str">
        <f ca="1">IFERROR(__xludf.DUMMYFUNCTION("IFERROR(VLOOKUP(F859,IMPORTRANGE(""https://docs.google.com/spreadsheets/d/1Kvs4KS76FHFqLFIZfrDMff4kP08nblUkihrxltoGBjg/edit#gid=934712705"",""ESENCIAL!A6:BG""),2,FALSE))"),"")</f>
        <v/>
      </c>
      <c r="BJ845" s="19" t="str">
        <f t="shared" si="27"/>
        <v/>
      </c>
      <c r="BK845" s="100"/>
      <c r="BL845" s="100"/>
    </row>
    <row r="846" spans="1:64" ht="15">
      <c r="A846" s="5"/>
      <c r="B846" s="5"/>
      <c r="G846" s="5" t="str">
        <f ca="1">IFERROR(__xludf.DUMMYFUNCTION("IFERROR(VLOOKUP(F860,IMPORTRANGE(""https://docs.google.com/spreadsheets/d/1Kvs4KS76FHFqLFIZfrDMff4kP08nblUkihrxltoGBjg/edit#gid=934712705"",""ESENCIAL!A6:BG""),3,FALSE))"),"")</f>
        <v/>
      </c>
      <c r="H846" s="5" t="str">
        <f ca="1">IFERROR(__xludf.DUMMYFUNCTION("IFERROR(VLOOKUP(F860,IMPORTRANGE(""https://docs.google.com/spreadsheets/d/1Kvs4KS76FHFqLFIZfrDMff4kP08nblUkihrxltoGBjg/edit#gid=934712705"",""ESENCIAL!A6:BG""),8,FALSE))"),"")</f>
        <v/>
      </c>
      <c r="L846" s="287"/>
      <c r="U846" s="40"/>
      <c r="AU846" s="41" t="str">
        <f t="shared" si="24"/>
        <v/>
      </c>
      <c r="AV846" s="5" t="str">
        <f ca="1">IFERROR(__xludf.DUMMYFUNCTION("IFERROR(VLOOKUP(E860&amp;F860,IMPORTRANGE(""https://docs.google.com/spreadsheets/d/1Uw7-A9f9R21vMXxHZFNpYNeKFtG8_yji4HS352LGlSQ/edit?pli=1#gid=0"",""1_ACUM!A4:S""),11,FALSE))"),"")</f>
        <v/>
      </c>
      <c r="AW846" s="42" t="str">
        <f ca="1">IFERROR(__xludf.DUMMYFUNCTION("IFERROR(VLOOKUP(F860,IMPORTRANGE(""https://docs.google.com/spreadsheets/d/1Kvs4KS76FHFqLFIZfrDMff4kP08nblUkihrxltoGBjg/edit#gid=934712705"",""ESENCIAL!A6:BG""),15,FALSE))"),"")</f>
        <v/>
      </c>
      <c r="AX846" s="21" t="str">
        <f ca="1">IFERROR(__xludf.DUMMYFUNCTION("IFERROR(VLOOKUP(E860&amp;F860,IMPORTRANGE(""https://docs.google.com/spreadsheets/d/1Uw7-A9f9R21vMXxHZFNpYNeKFtG8_yji4HS352LGlSQ/edit?pli=1#gid=0"",""1_ACUM!A4:S""),12,FALSE))"),"")</f>
        <v/>
      </c>
      <c r="AY846" s="43" t="str">
        <f ca="1">IFERROR(__xludf.DUMMYFUNCTION("IFERROR(VLOOKUP(E860&amp;F860,IMPORTRANGE(""https://docs.google.com/spreadsheets/d/1Uw7-A9f9R21vMXxHZFNpYNeKFtG8_yji4HS352LGlSQ/edit?pli=1#gid=0"",""1_ACUM!A4:S""),13,FALSE))"),"")</f>
        <v/>
      </c>
      <c r="AZ846" s="43" t="str">
        <f ca="1">IFERROR(__xludf.DUMMYFUNCTION("IFERROR(VLOOKUP(E860&amp;F860,IMPORTRANGE(""https://docs.google.com/spreadsheets/d/1Uw7-A9f9R21vMXxHZFNpYNeKFtG8_yji4HS352LGlSQ/edit?pli=1#gid=0"",""1_ACUM!A4:S""),14,FALSE))"),"")</f>
        <v/>
      </c>
      <c r="BA846" s="43" t="str">
        <f ca="1">IFERROR(__xludf.DUMMYFUNCTION("IFERROR(VLOOKUP(E860&amp;F860,IMPORTRANGE(""https://docs.google.com/spreadsheets/d/1Uw7-A9f9R21vMXxHZFNpYNeKFtG8_yji4HS352LGlSQ/edit?pli=1#gid=0"",""1_ACUM!A4:S""),15,FALSE))"),"")</f>
        <v/>
      </c>
      <c r="BB846" s="43" t="str">
        <f ca="1">IFERROR(__xludf.DUMMYFUNCTION("IFERROR(VLOOKUP(E860&amp;F860,IMPORTRANGE(""https://docs.google.com/spreadsheets/d/1Uw7-A9f9R21vMXxHZFNpYNeKFtG8_yji4HS352LGlSQ/edit?pli=1#gid=0"",""1_ACUM!A4:S""),16,FALSE))"),"")</f>
        <v/>
      </c>
      <c r="BC846" s="43" t="str">
        <f ca="1">IFERROR(__xludf.DUMMYFUNCTION("IFERROR(VLOOKUP(E860&amp;F860,IMPORTRANGE(""https://docs.google.com/spreadsheets/d/1Uw7-A9f9R21vMXxHZFNpYNeKFtG8_yji4HS352LGlSQ/edit?pli=1#gid=0"",""1_ACUM!A4:S""),17,FALSE))"),"")</f>
        <v/>
      </c>
      <c r="BD846" s="44" t="str">
        <f ca="1">IFERROR(__xludf.DUMMYFUNCTION("IFERROR(VLOOKUP(E860&amp;F860,IMPORTRANGE(""https://docs.google.com/spreadsheets/d/1Uw7-A9f9R21vMXxHZFNpYNeKFtG8_yji4HS352LGlSQ/edit?pli=1#gid=0"",""1_ACUM!A4:S""),18,FALSE))"),"")</f>
        <v/>
      </c>
      <c r="BE846" s="44" t="str">
        <f ca="1">IFERROR(__xludf.DUMMYFUNCTION("IFERROR(VLOOKUP(E860&amp;F860,IMPORTRANGE(""https://docs.google.com/spreadsheets/d/1Uw7-A9f9R21vMXxHZFNpYNeKFtG8_yji4HS352LGlSQ/edit?pli=1#gid=0"",""1_ACUM!A4:S""),19,FALSE))"),"")</f>
        <v/>
      </c>
      <c r="BF846" s="98" t="str">
        <f ca="1">IFERROR(__xludf.DUMMYFUNCTION("IFERROR(VLOOKUP(F860,IMPORTRANGE(""https://docs.google.com/spreadsheets/d/1Kvs4KS76FHFqLFIZfrDMff4kP08nblUkihrxltoGBjg/edit#gid=934712705"",""ESENCIAL!A6:BG""),5,FALSE))"),"")</f>
        <v/>
      </c>
      <c r="BG846" s="98" t="str">
        <f t="shared" si="25"/>
        <v/>
      </c>
      <c r="BH846" s="99" t="str">
        <f t="shared" si="26"/>
        <v/>
      </c>
      <c r="BI846" s="100" t="str">
        <f ca="1">IFERROR(__xludf.DUMMYFUNCTION("IFERROR(VLOOKUP(F860,IMPORTRANGE(""https://docs.google.com/spreadsheets/d/1Kvs4KS76FHFqLFIZfrDMff4kP08nblUkihrxltoGBjg/edit#gid=934712705"",""ESENCIAL!A6:BG""),2,FALSE))"),"")</f>
        <v/>
      </c>
      <c r="BJ846" s="19" t="str">
        <f t="shared" si="27"/>
        <v/>
      </c>
      <c r="BK846" s="100"/>
      <c r="BL846" s="100"/>
    </row>
    <row r="847" spans="1:64" ht="15">
      <c r="A847" s="5"/>
      <c r="B847" s="5"/>
      <c r="G847" s="5" t="str">
        <f ca="1">IFERROR(__xludf.DUMMYFUNCTION("IFERROR(VLOOKUP(F861,IMPORTRANGE(""https://docs.google.com/spreadsheets/d/1Kvs4KS76FHFqLFIZfrDMff4kP08nblUkihrxltoGBjg/edit#gid=934712705"",""ESENCIAL!A6:BG""),3,FALSE))"),"")</f>
        <v/>
      </c>
      <c r="H847" s="5" t="str">
        <f ca="1">IFERROR(__xludf.DUMMYFUNCTION("IFERROR(VLOOKUP(F861,IMPORTRANGE(""https://docs.google.com/spreadsheets/d/1Kvs4KS76FHFqLFIZfrDMff4kP08nblUkihrxltoGBjg/edit#gid=934712705"",""ESENCIAL!A6:BG""),8,FALSE))"),"")</f>
        <v/>
      </c>
      <c r="L847" s="287"/>
      <c r="U847" s="40"/>
      <c r="AU847" s="41" t="str">
        <f t="shared" si="24"/>
        <v/>
      </c>
      <c r="AV847" s="5" t="str">
        <f ca="1">IFERROR(__xludf.DUMMYFUNCTION("IFERROR(VLOOKUP(E861&amp;F861,IMPORTRANGE(""https://docs.google.com/spreadsheets/d/1Uw7-A9f9R21vMXxHZFNpYNeKFtG8_yji4HS352LGlSQ/edit?pli=1#gid=0"",""1_ACUM!A4:S""),11,FALSE))"),"")</f>
        <v/>
      </c>
      <c r="AW847" s="42" t="str">
        <f ca="1">IFERROR(__xludf.DUMMYFUNCTION("IFERROR(VLOOKUP(F861,IMPORTRANGE(""https://docs.google.com/spreadsheets/d/1Kvs4KS76FHFqLFIZfrDMff4kP08nblUkihrxltoGBjg/edit#gid=934712705"",""ESENCIAL!A6:BG""),15,FALSE))"),"")</f>
        <v/>
      </c>
      <c r="AX847" s="21" t="str">
        <f ca="1">IFERROR(__xludf.DUMMYFUNCTION("IFERROR(VLOOKUP(E861&amp;F861,IMPORTRANGE(""https://docs.google.com/spreadsheets/d/1Uw7-A9f9R21vMXxHZFNpYNeKFtG8_yji4HS352LGlSQ/edit?pli=1#gid=0"",""1_ACUM!A4:S""),12,FALSE))"),"")</f>
        <v/>
      </c>
      <c r="AY847" s="43" t="str">
        <f ca="1">IFERROR(__xludf.DUMMYFUNCTION("IFERROR(VLOOKUP(E861&amp;F861,IMPORTRANGE(""https://docs.google.com/spreadsheets/d/1Uw7-A9f9R21vMXxHZFNpYNeKFtG8_yji4HS352LGlSQ/edit?pli=1#gid=0"",""1_ACUM!A4:S""),13,FALSE))"),"")</f>
        <v/>
      </c>
      <c r="AZ847" s="43" t="str">
        <f ca="1">IFERROR(__xludf.DUMMYFUNCTION("IFERROR(VLOOKUP(E861&amp;F861,IMPORTRANGE(""https://docs.google.com/spreadsheets/d/1Uw7-A9f9R21vMXxHZFNpYNeKFtG8_yji4HS352LGlSQ/edit?pli=1#gid=0"",""1_ACUM!A4:S""),14,FALSE))"),"")</f>
        <v/>
      </c>
      <c r="BA847" s="43" t="str">
        <f ca="1">IFERROR(__xludf.DUMMYFUNCTION("IFERROR(VLOOKUP(E861&amp;F861,IMPORTRANGE(""https://docs.google.com/spreadsheets/d/1Uw7-A9f9R21vMXxHZFNpYNeKFtG8_yji4HS352LGlSQ/edit?pli=1#gid=0"",""1_ACUM!A4:S""),15,FALSE))"),"")</f>
        <v/>
      </c>
      <c r="BB847" s="43" t="str">
        <f ca="1">IFERROR(__xludf.DUMMYFUNCTION("IFERROR(VLOOKUP(E861&amp;F861,IMPORTRANGE(""https://docs.google.com/spreadsheets/d/1Uw7-A9f9R21vMXxHZFNpYNeKFtG8_yji4HS352LGlSQ/edit?pli=1#gid=0"",""1_ACUM!A4:S""),16,FALSE))"),"")</f>
        <v/>
      </c>
      <c r="BC847" s="43" t="str">
        <f ca="1">IFERROR(__xludf.DUMMYFUNCTION("IFERROR(VLOOKUP(E861&amp;F861,IMPORTRANGE(""https://docs.google.com/spreadsheets/d/1Uw7-A9f9R21vMXxHZFNpYNeKFtG8_yji4HS352LGlSQ/edit?pli=1#gid=0"",""1_ACUM!A4:S""),17,FALSE))"),"")</f>
        <v/>
      </c>
      <c r="BD847" s="44" t="str">
        <f ca="1">IFERROR(__xludf.DUMMYFUNCTION("IFERROR(VLOOKUP(E861&amp;F861,IMPORTRANGE(""https://docs.google.com/spreadsheets/d/1Uw7-A9f9R21vMXxHZFNpYNeKFtG8_yji4HS352LGlSQ/edit?pli=1#gid=0"",""1_ACUM!A4:S""),18,FALSE))"),"")</f>
        <v/>
      </c>
      <c r="BE847" s="44" t="str">
        <f ca="1">IFERROR(__xludf.DUMMYFUNCTION("IFERROR(VLOOKUP(E861&amp;F861,IMPORTRANGE(""https://docs.google.com/spreadsheets/d/1Uw7-A9f9R21vMXxHZFNpYNeKFtG8_yji4HS352LGlSQ/edit?pli=1#gid=0"",""1_ACUM!A4:S""),19,FALSE))"),"")</f>
        <v/>
      </c>
      <c r="BF847" s="98" t="str">
        <f ca="1">IFERROR(__xludf.DUMMYFUNCTION("IFERROR(VLOOKUP(F861,IMPORTRANGE(""https://docs.google.com/spreadsheets/d/1Kvs4KS76FHFqLFIZfrDMff4kP08nblUkihrxltoGBjg/edit#gid=934712705"",""ESENCIAL!A6:BG""),5,FALSE))"),"")</f>
        <v/>
      </c>
      <c r="BG847" s="98" t="str">
        <f t="shared" si="25"/>
        <v/>
      </c>
      <c r="BH847" s="99" t="str">
        <f t="shared" si="26"/>
        <v/>
      </c>
      <c r="BI847" s="100" t="str">
        <f ca="1">IFERROR(__xludf.DUMMYFUNCTION("IFERROR(VLOOKUP(F861,IMPORTRANGE(""https://docs.google.com/spreadsheets/d/1Kvs4KS76FHFqLFIZfrDMff4kP08nblUkihrxltoGBjg/edit#gid=934712705"",""ESENCIAL!A6:BG""),2,FALSE))"),"")</f>
        <v/>
      </c>
      <c r="BJ847" s="19" t="str">
        <f t="shared" si="27"/>
        <v/>
      </c>
      <c r="BK847" s="100"/>
      <c r="BL847" s="100"/>
    </row>
    <row r="848" spans="1:64" ht="15">
      <c r="A848" s="5"/>
      <c r="B848" s="5"/>
      <c r="G848" s="5" t="str">
        <f ca="1">IFERROR(__xludf.DUMMYFUNCTION("IFERROR(VLOOKUP(F862,IMPORTRANGE(""https://docs.google.com/spreadsheets/d/1Kvs4KS76FHFqLFIZfrDMff4kP08nblUkihrxltoGBjg/edit#gid=934712705"",""ESENCIAL!A6:BG""),3,FALSE))"),"")</f>
        <v/>
      </c>
      <c r="H848" s="5" t="str">
        <f ca="1">IFERROR(__xludf.DUMMYFUNCTION("IFERROR(VLOOKUP(F862,IMPORTRANGE(""https://docs.google.com/spreadsheets/d/1Kvs4KS76FHFqLFIZfrDMff4kP08nblUkihrxltoGBjg/edit#gid=934712705"",""ESENCIAL!A6:BG""),8,FALSE))"),"")</f>
        <v/>
      </c>
      <c r="L848" s="287"/>
      <c r="U848" s="40"/>
      <c r="AU848" s="41" t="str">
        <f t="shared" si="24"/>
        <v/>
      </c>
      <c r="AV848" s="5" t="str">
        <f ca="1">IFERROR(__xludf.DUMMYFUNCTION("IFERROR(VLOOKUP(E862&amp;F862,IMPORTRANGE(""https://docs.google.com/spreadsheets/d/1Uw7-A9f9R21vMXxHZFNpYNeKFtG8_yji4HS352LGlSQ/edit?pli=1#gid=0"",""1_ACUM!A4:S""),11,FALSE))"),"")</f>
        <v/>
      </c>
      <c r="AW848" s="42" t="str">
        <f ca="1">IFERROR(__xludf.DUMMYFUNCTION("IFERROR(VLOOKUP(F862,IMPORTRANGE(""https://docs.google.com/spreadsheets/d/1Kvs4KS76FHFqLFIZfrDMff4kP08nblUkihrxltoGBjg/edit#gid=934712705"",""ESENCIAL!A6:BG""),15,FALSE))"),"")</f>
        <v/>
      </c>
      <c r="AX848" s="21" t="str">
        <f ca="1">IFERROR(__xludf.DUMMYFUNCTION("IFERROR(VLOOKUP(E862&amp;F862,IMPORTRANGE(""https://docs.google.com/spreadsheets/d/1Uw7-A9f9R21vMXxHZFNpYNeKFtG8_yji4HS352LGlSQ/edit?pli=1#gid=0"",""1_ACUM!A4:S""),12,FALSE))"),"")</f>
        <v/>
      </c>
      <c r="AY848" s="43" t="str">
        <f ca="1">IFERROR(__xludf.DUMMYFUNCTION("IFERROR(VLOOKUP(E862&amp;F862,IMPORTRANGE(""https://docs.google.com/spreadsheets/d/1Uw7-A9f9R21vMXxHZFNpYNeKFtG8_yji4HS352LGlSQ/edit?pli=1#gid=0"",""1_ACUM!A4:S""),13,FALSE))"),"")</f>
        <v/>
      </c>
      <c r="AZ848" s="43" t="str">
        <f ca="1">IFERROR(__xludf.DUMMYFUNCTION("IFERROR(VLOOKUP(E862&amp;F862,IMPORTRANGE(""https://docs.google.com/spreadsheets/d/1Uw7-A9f9R21vMXxHZFNpYNeKFtG8_yji4HS352LGlSQ/edit?pli=1#gid=0"",""1_ACUM!A4:S""),14,FALSE))"),"")</f>
        <v/>
      </c>
      <c r="BA848" s="43" t="str">
        <f ca="1">IFERROR(__xludf.DUMMYFUNCTION("IFERROR(VLOOKUP(E862&amp;F862,IMPORTRANGE(""https://docs.google.com/spreadsheets/d/1Uw7-A9f9R21vMXxHZFNpYNeKFtG8_yji4HS352LGlSQ/edit?pli=1#gid=0"",""1_ACUM!A4:S""),15,FALSE))"),"")</f>
        <v/>
      </c>
      <c r="BB848" s="43" t="str">
        <f ca="1">IFERROR(__xludf.DUMMYFUNCTION("IFERROR(VLOOKUP(E862&amp;F862,IMPORTRANGE(""https://docs.google.com/spreadsheets/d/1Uw7-A9f9R21vMXxHZFNpYNeKFtG8_yji4HS352LGlSQ/edit?pli=1#gid=0"",""1_ACUM!A4:S""),16,FALSE))"),"")</f>
        <v/>
      </c>
      <c r="BC848" s="43" t="str">
        <f ca="1">IFERROR(__xludf.DUMMYFUNCTION("IFERROR(VLOOKUP(E862&amp;F862,IMPORTRANGE(""https://docs.google.com/spreadsheets/d/1Uw7-A9f9R21vMXxHZFNpYNeKFtG8_yji4HS352LGlSQ/edit?pli=1#gid=0"",""1_ACUM!A4:S""),17,FALSE))"),"")</f>
        <v/>
      </c>
      <c r="BD848" s="44" t="str">
        <f ca="1">IFERROR(__xludf.DUMMYFUNCTION("IFERROR(VLOOKUP(E862&amp;F862,IMPORTRANGE(""https://docs.google.com/spreadsheets/d/1Uw7-A9f9R21vMXxHZFNpYNeKFtG8_yji4HS352LGlSQ/edit?pli=1#gid=0"",""1_ACUM!A4:S""),18,FALSE))"),"")</f>
        <v/>
      </c>
      <c r="BE848" s="44" t="str">
        <f ca="1">IFERROR(__xludf.DUMMYFUNCTION("IFERROR(VLOOKUP(E862&amp;F862,IMPORTRANGE(""https://docs.google.com/spreadsheets/d/1Uw7-A9f9R21vMXxHZFNpYNeKFtG8_yji4HS352LGlSQ/edit?pli=1#gid=0"",""1_ACUM!A4:S""),19,FALSE))"),"")</f>
        <v/>
      </c>
      <c r="BF848" s="98" t="str">
        <f ca="1">IFERROR(__xludf.DUMMYFUNCTION("IFERROR(VLOOKUP(F862,IMPORTRANGE(""https://docs.google.com/spreadsheets/d/1Kvs4KS76FHFqLFIZfrDMff4kP08nblUkihrxltoGBjg/edit#gid=934712705"",""ESENCIAL!A6:BG""),5,FALSE))"),"")</f>
        <v/>
      </c>
      <c r="BG848" s="98" t="str">
        <f t="shared" si="25"/>
        <v/>
      </c>
      <c r="BH848" s="99" t="str">
        <f t="shared" si="26"/>
        <v/>
      </c>
      <c r="BI848" s="100" t="str">
        <f ca="1">IFERROR(__xludf.DUMMYFUNCTION("IFERROR(VLOOKUP(F862,IMPORTRANGE(""https://docs.google.com/spreadsheets/d/1Kvs4KS76FHFqLFIZfrDMff4kP08nblUkihrxltoGBjg/edit#gid=934712705"",""ESENCIAL!A6:BG""),2,FALSE))"),"")</f>
        <v/>
      </c>
      <c r="BJ848" s="19" t="str">
        <f t="shared" si="27"/>
        <v/>
      </c>
      <c r="BK848" s="100"/>
      <c r="BL848" s="100"/>
    </row>
    <row r="849" spans="1:64" ht="15">
      <c r="A849" s="5"/>
      <c r="B849" s="5"/>
      <c r="G849" s="5" t="str">
        <f ca="1">IFERROR(__xludf.DUMMYFUNCTION("IFERROR(VLOOKUP(F863,IMPORTRANGE(""https://docs.google.com/spreadsheets/d/1Kvs4KS76FHFqLFIZfrDMff4kP08nblUkihrxltoGBjg/edit#gid=934712705"",""ESENCIAL!A6:BG""),3,FALSE))"),"")</f>
        <v/>
      </c>
      <c r="H849" s="5" t="str">
        <f ca="1">IFERROR(__xludf.DUMMYFUNCTION("IFERROR(VLOOKUP(F863,IMPORTRANGE(""https://docs.google.com/spreadsheets/d/1Kvs4KS76FHFqLFIZfrDMff4kP08nblUkihrxltoGBjg/edit#gid=934712705"",""ESENCIAL!A6:BG""),8,FALSE))"),"")</f>
        <v/>
      </c>
      <c r="L849" s="287"/>
      <c r="U849" s="40"/>
      <c r="AU849" s="41" t="str">
        <f t="shared" si="24"/>
        <v/>
      </c>
      <c r="AV849" s="5" t="str">
        <f ca="1">IFERROR(__xludf.DUMMYFUNCTION("IFERROR(VLOOKUP(E863&amp;F863,IMPORTRANGE(""https://docs.google.com/spreadsheets/d/1Uw7-A9f9R21vMXxHZFNpYNeKFtG8_yji4HS352LGlSQ/edit?pli=1#gid=0"",""1_ACUM!A4:S""),11,FALSE))"),"")</f>
        <v/>
      </c>
      <c r="AW849" s="42" t="str">
        <f ca="1">IFERROR(__xludf.DUMMYFUNCTION("IFERROR(VLOOKUP(F863,IMPORTRANGE(""https://docs.google.com/spreadsheets/d/1Kvs4KS76FHFqLFIZfrDMff4kP08nblUkihrxltoGBjg/edit#gid=934712705"",""ESENCIAL!A6:BG""),15,FALSE))"),"")</f>
        <v/>
      </c>
      <c r="AX849" s="21" t="str">
        <f ca="1">IFERROR(__xludf.DUMMYFUNCTION("IFERROR(VLOOKUP(E863&amp;F863,IMPORTRANGE(""https://docs.google.com/spreadsheets/d/1Uw7-A9f9R21vMXxHZFNpYNeKFtG8_yji4HS352LGlSQ/edit?pli=1#gid=0"",""1_ACUM!A4:S""),12,FALSE))"),"")</f>
        <v/>
      </c>
      <c r="AY849" s="43" t="str">
        <f ca="1">IFERROR(__xludf.DUMMYFUNCTION("IFERROR(VLOOKUP(E863&amp;F863,IMPORTRANGE(""https://docs.google.com/spreadsheets/d/1Uw7-A9f9R21vMXxHZFNpYNeKFtG8_yji4HS352LGlSQ/edit?pli=1#gid=0"",""1_ACUM!A4:S""),13,FALSE))"),"")</f>
        <v/>
      </c>
      <c r="AZ849" s="43" t="str">
        <f ca="1">IFERROR(__xludf.DUMMYFUNCTION("IFERROR(VLOOKUP(E863&amp;F863,IMPORTRANGE(""https://docs.google.com/spreadsheets/d/1Uw7-A9f9R21vMXxHZFNpYNeKFtG8_yji4HS352LGlSQ/edit?pli=1#gid=0"",""1_ACUM!A4:S""),14,FALSE))"),"")</f>
        <v/>
      </c>
      <c r="BA849" s="43" t="str">
        <f ca="1">IFERROR(__xludf.DUMMYFUNCTION("IFERROR(VLOOKUP(E863&amp;F863,IMPORTRANGE(""https://docs.google.com/spreadsheets/d/1Uw7-A9f9R21vMXxHZFNpYNeKFtG8_yji4HS352LGlSQ/edit?pli=1#gid=0"",""1_ACUM!A4:S""),15,FALSE))"),"")</f>
        <v/>
      </c>
      <c r="BB849" s="43" t="str">
        <f ca="1">IFERROR(__xludf.DUMMYFUNCTION("IFERROR(VLOOKUP(E863&amp;F863,IMPORTRANGE(""https://docs.google.com/spreadsheets/d/1Uw7-A9f9R21vMXxHZFNpYNeKFtG8_yji4HS352LGlSQ/edit?pli=1#gid=0"",""1_ACUM!A4:S""),16,FALSE))"),"")</f>
        <v/>
      </c>
      <c r="BC849" s="43" t="str">
        <f ca="1">IFERROR(__xludf.DUMMYFUNCTION("IFERROR(VLOOKUP(E863&amp;F863,IMPORTRANGE(""https://docs.google.com/spreadsheets/d/1Uw7-A9f9R21vMXxHZFNpYNeKFtG8_yji4HS352LGlSQ/edit?pli=1#gid=0"",""1_ACUM!A4:S""),17,FALSE))"),"")</f>
        <v/>
      </c>
      <c r="BD849" s="44" t="str">
        <f ca="1">IFERROR(__xludf.DUMMYFUNCTION("IFERROR(VLOOKUP(E863&amp;F863,IMPORTRANGE(""https://docs.google.com/spreadsheets/d/1Uw7-A9f9R21vMXxHZFNpYNeKFtG8_yji4HS352LGlSQ/edit?pli=1#gid=0"",""1_ACUM!A4:S""),18,FALSE))"),"")</f>
        <v/>
      </c>
      <c r="BE849" s="44" t="str">
        <f ca="1">IFERROR(__xludf.DUMMYFUNCTION("IFERROR(VLOOKUP(E863&amp;F863,IMPORTRANGE(""https://docs.google.com/spreadsheets/d/1Uw7-A9f9R21vMXxHZFNpYNeKFtG8_yji4HS352LGlSQ/edit?pli=1#gid=0"",""1_ACUM!A4:S""),19,FALSE))"),"")</f>
        <v/>
      </c>
      <c r="BF849" s="98" t="str">
        <f ca="1">IFERROR(__xludf.DUMMYFUNCTION("IFERROR(VLOOKUP(F863,IMPORTRANGE(""https://docs.google.com/spreadsheets/d/1Kvs4KS76FHFqLFIZfrDMff4kP08nblUkihrxltoGBjg/edit#gid=934712705"",""ESENCIAL!A6:BG""),5,FALSE))"),"")</f>
        <v/>
      </c>
      <c r="BG849" s="98" t="str">
        <f t="shared" si="25"/>
        <v/>
      </c>
      <c r="BH849" s="99" t="str">
        <f t="shared" si="26"/>
        <v/>
      </c>
      <c r="BI849" s="100" t="str">
        <f ca="1">IFERROR(__xludf.DUMMYFUNCTION("IFERROR(VLOOKUP(F863,IMPORTRANGE(""https://docs.google.com/spreadsheets/d/1Kvs4KS76FHFqLFIZfrDMff4kP08nblUkihrxltoGBjg/edit#gid=934712705"",""ESENCIAL!A6:BG""),2,FALSE))"),"")</f>
        <v/>
      </c>
      <c r="BJ849" s="19" t="str">
        <f t="shared" si="27"/>
        <v/>
      </c>
      <c r="BK849" s="100"/>
      <c r="BL849" s="100"/>
    </row>
    <row r="850" spans="1:64" ht="15">
      <c r="A850" s="5"/>
      <c r="B850" s="5"/>
      <c r="G850" s="5" t="str">
        <f ca="1">IFERROR(__xludf.DUMMYFUNCTION("IFERROR(VLOOKUP(F864,IMPORTRANGE(""https://docs.google.com/spreadsheets/d/1Kvs4KS76FHFqLFIZfrDMff4kP08nblUkihrxltoGBjg/edit#gid=934712705"",""ESENCIAL!A6:BG""),3,FALSE))"),"")</f>
        <v/>
      </c>
      <c r="H850" s="5" t="str">
        <f ca="1">IFERROR(__xludf.DUMMYFUNCTION("IFERROR(VLOOKUP(F864,IMPORTRANGE(""https://docs.google.com/spreadsheets/d/1Kvs4KS76FHFqLFIZfrDMff4kP08nblUkihrxltoGBjg/edit#gid=934712705"",""ESENCIAL!A6:BG""),8,FALSE))"),"")</f>
        <v/>
      </c>
      <c r="L850" s="287"/>
      <c r="U850" s="40"/>
      <c r="AU850" s="41" t="str">
        <f t="shared" si="24"/>
        <v/>
      </c>
      <c r="AV850" s="5" t="str">
        <f ca="1">IFERROR(__xludf.DUMMYFUNCTION("IFERROR(VLOOKUP(E864&amp;F864,IMPORTRANGE(""https://docs.google.com/spreadsheets/d/1Uw7-A9f9R21vMXxHZFNpYNeKFtG8_yji4HS352LGlSQ/edit?pli=1#gid=0"",""1_ACUM!A4:S""),11,FALSE))"),"")</f>
        <v/>
      </c>
      <c r="AW850" s="42" t="str">
        <f ca="1">IFERROR(__xludf.DUMMYFUNCTION("IFERROR(VLOOKUP(F864,IMPORTRANGE(""https://docs.google.com/spreadsheets/d/1Kvs4KS76FHFqLFIZfrDMff4kP08nblUkihrxltoGBjg/edit#gid=934712705"",""ESENCIAL!A6:BG""),15,FALSE))"),"")</f>
        <v/>
      </c>
      <c r="AX850" s="21" t="str">
        <f ca="1">IFERROR(__xludf.DUMMYFUNCTION("IFERROR(VLOOKUP(E864&amp;F864,IMPORTRANGE(""https://docs.google.com/spreadsheets/d/1Uw7-A9f9R21vMXxHZFNpYNeKFtG8_yji4HS352LGlSQ/edit?pli=1#gid=0"",""1_ACUM!A4:S""),12,FALSE))"),"")</f>
        <v/>
      </c>
      <c r="AY850" s="43" t="str">
        <f ca="1">IFERROR(__xludf.DUMMYFUNCTION("IFERROR(VLOOKUP(E864&amp;F864,IMPORTRANGE(""https://docs.google.com/spreadsheets/d/1Uw7-A9f9R21vMXxHZFNpYNeKFtG8_yji4HS352LGlSQ/edit?pli=1#gid=0"",""1_ACUM!A4:S""),13,FALSE))"),"")</f>
        <v/>
      </c>
      <c r="AZ850" s="43" t="str">
        <f ca="1">IFERROR(__xludf.DUMMYFUNCTION("IFERROR(VLOOKUP(E864&amp;F864,IMPORTRANGE(""https://docs.google.com/spreadsheets/d/1Uw7-A9f9R21vMXxHZFNpYNeKFtG8_yji4HS352LGlSQ/edit?pli=1#gid=0"",""1_ACUM!A4:S""),14,FALSE))"),"")</f>
        <v/>
      </c>
      <c r="BA850" s="43" t="str">
        <f ca="1">IFERROR(__xludf.DUMMYFUNCTION("IFERROR(VLOOKUP(E864&amp;F864,IMPORTRANGE(""https://docs.google.com/spreadsheets/d/1Uw7-A9f9R21vMXxHZFNpYNeKFtG8_yji4HS352LGlSQ/edit?pli=1#gid=0"",""1_ACUM!A4:S""),15,FALSE))"),"")</f>
        <v/>
      </c>
      <c r="BB850" s="43" t="str">
        <f ca="1">IFERROR(__xludf.DUMMYFUNCTION("IFERROR(VLOOKUP(E864&amp;F864,IMPORTRANGE(""https://docs.google.com/spreadsheets/d/1Uw7-A9f9R21vMXxHZFNpYNeKFtG8_yji4HS352LGlSQ/edit?pli=1#gid=0"",""1_ACUM!A4:S""),16,FALSE))"),"")</f>
        <v/>
      </c>
      <c r="BC850" s="43" t="str">
        <f ca="1">IFERROR(__xludf.DUMMYFUNCTION("IFERROR(VLOOKUP(E864&amp;F864,IMPORTRANGE(""https://docs.google.com/spreadsheets/d/1Uw7-A9f9R21vMXxHZFNpYNeKFtG8_yji4HS352LGlSQ/edit?pli=1#gid=0"",""1_ACUM!A4:S""),17,FALSE))"),"")</f>
        <v/>
      </c>
      <c r="BD850" s="44" t="str">
        <f ca="1">IFERROR(__xludf.DUMMYFUNCTION("IFERROR(VLOOKUP(E864&amp;F864,IMPORTRANGE(""https://docs.google.com/spreadsheets/d/1Uw7-A9f9R21vMXxHZFNpYNeKFtG8_yji4HS352LGlSQ/edit?pli=1#gid=0"",""1_ACUM!A4:S""),18,FALSE))"),"")</f>
        <v/>
      </c>
      <c r="BE850" s="44" t="str">
        <f ca="1">IFERROR(__xludf.DUMMYFUNCTION("IFERROR(VLOOKUP(E864&amp;F864,IMPORTRANGE(""https://docs.google.com/spreadsheets/d/1Uw7-A9f9R21vMXxHZFNpYNeKFtG8_yji4HS352LGlSQ/edit?pli=1#gid=0"",""1_ACUM!A4:S""),19,FALSE))"),"")</f>
        <v/>
      </c>
      <c r="BF850" s="98" t="str">
        <f ca="1">IFERROR(__xludf.DUMMYFUNCTION("IFERROR(VLOOKUP(F864,IMPORTRANGE(""https://docs.google.com/spreadsheets/d/1Kvs4KS76FHFqLFIZfrDMff4kP08nblUkihrxltoGBjg/edit#gid=934712705"",""ESENCIAL!A6:BG""),5,FALSE))"),"")</f>
        <v/>
      </c>
      <c r="BG850" s="98" t="str">
        <f t="shared" si="25"/>
        <v/>
      </c>
      <c r="BH850" s="99" t="str">
        <f t="shared" si="26"/>
        <v/>
      </c>
      <c r="BI850" s="100" t="str">
        <f ca="1">IFERROR(__xludf.DUMMYFUNCTION("IFERROR(VLOOKUP(F864,IMPORTRANGE(""https://docs.google.com/spreadsheets/d/1Kvs4KS76FHFqLFIZfrDMff4kP08nblUkihrxltoGBjg/edit#gid=934712705"",""ESENCIAL!A6:BG""),2,FALSE))"),"")</f>
        <v/>
      </c>
      <c r="BJ850" s="19" t="str">
        <f t="shared" si="27"/>
        <v/>
      </c>
      <c r="BK850" s="100"/>
      <c r="BL850" s="100"/>
    </row>
    <row r="851" spans="1:64" ht="15">
      <c r="A851" s="5"/>
      <c r="B851" s="5"/>
      <c r="G851" s="5" t="str">
        <f ca="1">IFERROR(__xludf.DUMMYFUNCTION("IFERROR(VLOOKUP(F865,IMPORTRANGE(""https://docs.google.com/spreadsheets/d/1Kvs4KS76FHFqLFIZfrDMff4kP08nblUkihrxltoGBjg/edit#gid=934712705"",""ESENCIAL!A6:BG""),3,FALSE))"),"")</f>
        <v/>
      </c>
      <c r="H851" s="5" t="str">
        <f ca="1">IFERROR(__xludf.DUMMYFUNCTION("IFERROR(VLOOKUP(F865,IMPORTRANGE(""https://docs.google.com/spreadsheets/d/1Kvs4KS76FHFqLFIZfrDMff4kP08nblUkihrxltoGBjg/edit#gid=934712705"",""ESENCIAL!A6:BG""),8,FALSE))"),"")</f>
        <v/>
      </c>
      <c r="L851" s="287"/>
      <c r="U851" s="40"/>
      <c r="AU851" s="41" t="str">
        <f t="shared" si="24"/>
        <v/>
      </c>
      <c r="AV851" s="5" t="str">
        <f ca="1">IFERROR(__xludf.DUMMYFUNCTION("IFERROR(VLOOKUP(E865&amp;F865,IMPORTRANGE(""https://docs.google.com/spreadsheets/d/1Uw7-A9f9R21vMXxHZFNpYNeKFtG8_yji4HS352LGlSQ/edit?pli=1#gid=0"",""1_ACUM!A4:S""),11,FALSE))"),"")</f>
        <v/>
      </c>
      <c r="AW851" s="42" t="str">
        <f ca="1">IFERROR(__xludf.DUMMYFUNCTION("IFERROR(VLOOKUP(F865,IMPORTRANGE(""https://docs.google.com/spreadsheets/d/1Kvs4KS76FHFqLFIZfrDMff4kP08nblUkihrxltoGBjg/edit#gid=934712705"",""ESENCIAL!A6:BG""),15,FALSE))"),"")</f>
        <v/>
      </c>
      <c r="AX851" s="21" t="str">
        <f ca="1">IFERROR(__xludf.DUMMYFUNCTION("IFERROR(VLOOKUP(E865&amp;F865,IMPORTRANGE(""https://docs.google.com/spreadsheets/d/1Uw7-A9f9R21vMXxHZFNpYNeKFtG8_yji4HS352LGlSQ/edit?pli=1#gid=0"",""1_ACUM!A4:S""),12,FALSE))"),"")</f>
        <v/>
      </c>
      <c r="AY851" s="43" t="str">
        <f ca="1">IFERROR(__xludf.DUMMYFUNCTION("IFERROR(VLOOKUP(E865&amp;F865,IMPORTRANGE(""https://docs.google.com/spreadsheets/d/1Uw7-A9f9R21vMXxHZFNpYNeKFtG8_yji4HS352LGlSQ/edit?pli=1#gid=0"",""1_ACUM!A4:S""),13,FALSE))"),"")</f>
        <v/>
      </c>
      <c r="AZ851" s="43" t="str">
        <f ca="1">IFERROR(__xludf.DUMMYFUNCTION("IFERROR(VLOOKUP(E865&amp;F865,IMPORTRANGE(""https://docs.google.com/spreadsheets/d/1Uw7-A9f9R21vMXxHZFNpYNeKFtG8_yji4HS352LGlSQ/edit?pli=1#gid=0"",""1_ACUM!A4:S""),14,FALSE))"),"")</f>
        <v/>
      </c>
      <c r="BA851" s="43" t="str">
        <f ca="1">IFERROR(__xludf.DUMMYFUNCTION("IFERROR(VLOOKUP(E865&amp;F865,IMPORTRANGE(""https://docs.google.com/spreadsheets/d/1Uw7-A9f9R21vMXxHZFNpYNeKFtG8_yji4HS352LGlSQ/edit?pli=1#gid=0"",""1_ACUM!A4:S""),15,FALSE))"),"")</f>
        <v/>
      </c>
      <c r="BB851" s="43" t="str">
        <f ca="1">IFERROR(__xludf.DUMMYFUNCTION("IFERROR(VLOOKUP(E865&amp;F865,IMPORTRANGE(""https://docs.google.com/spreadsheets/d/1Uw7-A9f9R21vMXxHZFNpYNeKFtG8_yji4HS352LGlSQ/edit?pli=1#gid=0"",""1_ACUM!A4:S""),16,FALSE))"),"")</f>
        <v/>
      </c>
      <c r="BC851" s="43" t="str">
        <f ca="1">IFERROR(__xludf.DUMMYFUNCTION("IFERROR(VLOOKUP(E865&amp;F865,IMPORTRANGE(""https://docs.google.com/spreadsheets/d/1Uw7-A9f9R21vMXxHZFNpYNeKFtG8_yji4HS352LGlSQ/edit?pli=1#gid=0"",""1_ACUM!A4:S""),17,FALSE))"),"")</f>
        <v/>
      </c>
      <c r="BD851" s="44" t="str">
        <f ca="1">IFERROR(__xludf.DUMMYFUNCTION("IFERROR(VLOOKUP(E865&amp;F865,IMPORTRANGE(""https://docs.google.com/spreadsheets/d/1Uw7-A9f9R21vMXxHZFNpYNeKFtG8_yji4HS352LGlSQ/edit?pli=1#gid=0"",""1_ACUM!A4:S""),18,FALSE))"),"")</f>
        <v/>
      </c>
      <c r="BE851" s="44" t="str">
        <f ca="1">IFERROR(__xludf.DUMMYFUNCTION("IFERROR(VLOOKUP(E865&amp;F865,IMPORTRANGE(""https://docs.google.com/spreadsheets/d/1Uw7-A9f9R21vMXxHZFNpYNeKFtG8_yji4HS352LGlSQ/edit?pli=1#gid=0"",""1_ACUM!A4:S""),19,FALSE))"),"")</f>
        <v/>
      </c>
      <c r="BF851" s="98" t="str">
        <f ca="1">IFERROR(__xludf.DUMMYFUNCTION("IFERROR(VLOOKUP(F865,IMPORTRANGE(""https://docs.google.com/spreadsheets/d/1Kvs4KS76FHFqLFIZfrDMff4kP08nblUkihrxltoGBjg/edit#gid=934712705"",""ESENCIAL!A6:BG""),5,FALSE))"),"")</f>
        <v/>
      </c>
      <c r="BG851" s="98" t="str">
        <f t="shared" si="25"/>
        <v/>
      </c>
      <c r="BH851" s="99" t="str">
        <f t="shared" si="26"/>
        <v/>
      </c>
      <c r="BI851" s="100" t="str">
        <f ca="1">IFERROR(__xludf.DUMMYFUNCTION("IFERROR(VLOOKUP(F865,IMPORTRANGE(""https://docs.google.com/spreadsheets/d/1Kvs4KS76FHFqLFIZfrDMff4kP08nblUkihrxltoGBjg/edit#gid=934712705"",""ESENCIAL!A6:BG""),2,FALSE))"),"")</f>
        <v/>
      </c>
      <c r="BJ851" s="19" t="str">
        <f t="shared" si="27"/>
        <v/>
      </c>
      <c r="BK851" s="100"/>
      <c r="BL851" s="100"/>
    </row>
    <row r="852" spans="1:64" ht="15">
      <c r="A852" s="5"/>
      <c r="B852" s="5"/>
      <c r="G852" s="5" t="str">
        <f ca="1">IFERROR(__xludf.DUMMYFUNCTION("IFERROR(VLOOKUP(F866,IMPORTRANGE(""https://docs.google.com/spreadsheets/d/1Kvs4KS76FHFqLFIZfrDMff4kP08nblUkihrxltoGBjg/edit#gid=934712705"",""ESENCIAL!A6:BG""),3,FALSE))"),"")</f>
        <v/>
      </c>
      <c r="H852" s="5" t="str">
        <f ca="1">IFERROR(__xludf.DUMMYFUNCTION("IFERROR(VLOOKUP(F866,IMPORTRANGE(""https://docs.google.com/spreadsheets/d/1Kvs4KS76FHFqLFIZfrDMff4kP08nblUkihrxltoGBjg/edit#gid=934712705"",""ESENCIAL!A6:BG""),8,FALSE))"),"")</f>
        <v/>
      </c>
      <c r="L852" s="287"/>
      <c r="U852" s="40"/>
      <c r="AU852" s="41" t="str">
        <f t="shared" si="24"/>
        <v/>
      </c>
      <c r="AV852" s="5" t="str">
        <f ca="1">IFERROR(__xludf.DUMMYFUNCTION("IFERROR(VLOOKUP(E866&amp;F866,IMPORTRANGE(""https://docs.google.com/spreadsheets/d/1Uw7-A9f9R21vMXxHZFNpYNeKFtG8_yji4HS352LGlSQ/edit?pli=1#gid=0"",""1_ACUM!A4:S""),11,FALSE))"),"")</f>
        <v/>
      </c>
      <c r="AW852" s="42" t="str">
        <f ca="1">IFERROR(__xludf.DUMMYFUNCTION("IFERROR(VLOOKUP(F866,IMPORTRANGE(""https://docs.google.com/spreadsheets/d/1Kvs4KS76FHFqLFIZfrDMff4kP08nblUkihrxltoGBjg/edit#gid=934712705"",""ESENCIAL!A6:BG""),15,FALSE))"),"")</f>
        <v/>
      </c>
      <c r="AX852" s="21" t="str">
        <f ca="1">IFERROR(__xludf.DUMMYFUNCTION("IFERROR(VLOOKUP(E866&amp;F866,IMPORTRANGE(""https://docs.google.com/spreadsheets/d/1Uw7-A9f9R21vMXxHZFNpYNeKFtG8_yji4HS352LGlSQ/edit?pli=1#gid=0"",""1_ACUM!A4:S""),12,FALSE))"),"")</f>
        <v/>
      </c>
      <c r="AY852" s="43" t="str">
        <f ca="1">IFERROR(__xludf.DUMMYFUNCTION("IFERROR(VLOOKUP(E866&amp;F866,IMPORTRANGE(""https://docs.google.com/spreadsheets/d/1Uw7-A9f9R21vMXxHZFNpYNeKFtG8_yji4HS352LGlSQ/edit?pli=1#gid=0"",""1_ACUM!A4:S""),13,FALSE))"),"")</f>
        <v/>
      </c>
      <c r="AZ852" s="43" t="str">
        <f ca="1">IFERROR(__xludf.DUMMYFUNCTION("IFERROR(VLOOKUP(E866&amp;F866,IMPORTRANGE(""https://docs.google.com/spreadsheets/d/1Uw7-A9f9R21vMXxHZFNpYNeKFtG8_yji4HS352LGlSQ/edit?pli=1#gid=0"",""1_ACUM!A4:S""),14,FALSE))"),"")</f>
        <v/>
      </c>
      <c r="BA852" s="43" t="str">
        <f ca="1">IFERROR(__xludf.DUMMYFUNCTION("IFERROR(VLOOKUP(E866&amp;F866,IMPORTRANGE(""https://docs.google.com/spreadsheets/d/1Uw7-A9f9R21vMXxHZFNpYNeKFtG8_yji4HS352LGlSQ/edit?pli=1#gid=0"",""1_ACUM!A4:S""),15,FALSE))"),"")</f>
        <v/>
      </c>
      <c r="BB852" s="43" t="str">
        <f ca="1">IFERROR(__xludf.DUMMYFUNCTION("IFERROR(VLOOKUP(E866&amp;F866,IMPORTRANGE(""https://docs.google.com/spreadsheets/d/1Uw7-A9f9R21vMXxHZFNpYNeKFtG8_yji4HS352LGlSQ/edit?pli=1#gid=0"",""1_ACUM!A4:S""),16,FALSE))"),"")</f>
        <v/>
      </c>
      <c r="BC852" s="43" t="str">
        <f ca="1">IFERROR(__xludf.DUMMYFUNCTION("IFERROR(VLOOKUP(E866&amp;F866,IMPORTRANGE(""https://docs.google.com/spreadsheets/d/1Uw7-A9f9R21vMXxHZFNpYNeKFtG8_yji4HS352LGlSQ/edit?pli=1#gid=0"",""1_ACUM!A4:S""),17,FALSE))"),"")</f>
        <v/>
      </c>
      <c r="BD852" s="44" t="str">
        <f ca="1">IFERROR(__xludf.DUMMYFUNCTION("IFERROR(VLOOKUP(E866&amp;F866,IMPORTRANGE(""https://docs.google.com/spreadsheets/d/1Uw7-A9f9R21vMXxHZFNpYNeKFtG8_yji4HS352LGlSQ/edit?pli=1#gid=0"",""1_ACUM!A4:S""),18,FALSE))"),"")</f>
        <v/>
      </c>
      <c r="BE852" s="44" t="str">
        <f ca="1">IFERROR(__xludf.DUMMYFUNCTION("IFERROR(VLOOKUP(E866&amp;F866,IMPORTRANGE(""https://docs.google.com/spreadsheets/d/1Uw7-A9f9R21vMXxHZFNpYNeKFtG8_yji4HS352LGlSQ/edit?pli=1#gid=0"",""1_ACUM!A4:S""),19,FALSE))"),"")</f>
        <v/>
      </c>
      <c r="BF852" s="98" t="str">
        <f ca="1">IFERROR(__xludf.DUMMYFUNCTION("IFERROR(VLOOKUP(F866,IMPORTRANGE(""https://docs.google.com/spreadsheets/d/1Kvs4KS76FHFqLFIZfrDMff4kP08nblUkihrxltoGBjg/edit#gid=934712705"",""ESENCIAL!A6:BG""),5,FALSE))"),"")</f>
        <v/>
      </c>
      <c r="BG852" s="98" t="str">
        <f t="shared" si="25"/>
        <v/>
      </c>
      <c r="BH852" s="99" t="str">
        <f t="shared" si="26"/>
        <v/>
      </c>
      <c r="BI852" s="100" t="str">
        <f ca="1">IFERROR(__xludf.DUMMYFUNCTION("IFERROR(VLOOKUP(F866,IMPORTRANGE(""https://docs.google.com/spreadsheets/d/1Kvs4KS76FHFqLFIZfrDMff4kP08nblUkihrxltoGBjg/edit#gid=934712705"",""ESENCIAL!A6:BG""),2,FALSE))"),"")</f>
        <v/>
      </c>
      <c r="BJ852" s="19" t="str">
        <f t="shared" si="27"/>
        <v/>
      </c>
      <c r="BK852" s="100"/>
      <c r="BL852" s="100"/>
    </row>
    <row r="853" spans="1:64" ht="15">
      <c r="A853" s="5"/>
      <c r="B853" s="5"/>
      <c r="G853" s="5" t="str">
        <f ca="1">IFERROR(__xludf.DUMMYFUNCTION("IFERROR(VLOOKUP(F867,IMPORTRANGE(""https://docs.google.com/spreadsheets/d/1Kvs4KS76FHFqLFIZfrDMff4kP08nblUkihrxltoGBjg/edit#gid=934712705"",""ESENCIAL!A6:BG""),3,FALSE))"),"")</f>
        <v/>
      </c>
      <c r="H853" s="5" t="str">
        <f ca="1">IFERROR(__xludf.DUMMYFUNCTION("IFERROR(VLOOKUP(F867,IMPORTRANGE(""https://docs.google.com/spreadsheets/d/1Kvs4KS76FHFqLFIZfrDMff4kP08nblUkihrxltoGBjg/edit#gid=934712705"",""ESENCIAL!A6:BG""),8,FALSE))"),"")</f>
        <v/>
      </c>
      <c r="L853" s="287"/>
      <c r="U853" s="40"/>
      <c r="AU853" s="41" t="str">
        <f t="shared" si="24"/>
        <v/>
      </c>
      <c r="AV853" s="5" t="str">
        <f ca="1">IFERROR(__xludf.DUMMYFUNCTION("IFERROR(VLOOKUP(E867&amp;F867,IMPORTRANGE(""https://docs.google.com/spreadsheets/d/1Uw7-A9f9R21vMXxHZFNpYNeKFtG8_yji4HS352LGlSQ/edit?pli=1#gid=0"",""1_ACUM!A4:S""),11,FALSE))"),"")</f>
        <v/>
      </c>
      <c r="AW853" s="42" t="str">
        <f ca="1">IFERROR(__xludf.DUMMYFUNCTION("IFERROR(VLOOKUP(F867,IMPORTRANGE(""https://docs.google.com/spreadsheets/d/1Kvs4KS76FHFqLFIZfrDMff4kP08nblUkihrxltoGBjg/edit#gid=934712705"",""ESENCIAL!A6:BG""),15,FALSE))"),"")</f>
        <v/>
      </c>
      <c r="AX853" s="21" t="str">
        <f ca="1">IFERROR(__xludf.DUMMYFUNCTION("IFERROR(VLOOKUP(E867&amp;F867,IMPORTRANGE(""https://docs.google.com/spreadsheets/d/1Uw7-A9f9R21vMXxHZFNpYNeKFtG8_yji4HS352LGlSQ/edit?pli=1#gid=0"",""1_ACUM!A4:S""),12,FALSE))"),"")</f>
        <v/>
      </c>
      <c r="AY853" s="43" t="str">
        <f ca="1">IFERROR(__xludf.DUMMYFUNCTION("IFERROR(VLOOKUP(E867&amp;F867,IMPORTRANGE(""https://docs.google.com/spreadsheets/d/1Uw7-A9f9R21vMXxHZFNpYNeKFtG8_yji4HS352LGlSQ/edit?pli=1#gid=0"",""1_ACUM!A4:S""),13,FALSE))"),"")</f>
        <v/>
      </c>
      <c r="AZ853" s="43" t="str">
        <f ca="1">IFERROR(__xludf.DUMMYFUNCTION("IFERROR(VLOOKUP(E867&amp;F867,IMPORTRANGE(""https://docs.google.com/spreadsheets/d/1Uw7-A9f9R21vMXxHZFNpYNeKFtG8_yji4HS352LGlSQ/edit?pli=1#gid=0"",""1_ACUM!A4:S""),14,FALSE))"),"")</f>
        <v/>
      </c>
      <c r="BA853" s="43" t="str">
        <f ca="1">IFERROR(__xludf.DUMMYFUNCTION("IFERROR(VLOOKUP(E867&amp;F867,IMPORTRANGE(""https://docs.google.com/spreadsheets/d/1Uw7-A9f9R21vMXxHZFNpYNeKFtG8_yji4HS352LGlSQ/edit?pli=1#gid=0"",""1_ACUM!A4:S""),15,FALSE))"),"")</f>
        <v/>
      </c>
      <c r="BB853" s="43" t="str">
        <f ca="1">IFERROR(__xludf.DUMMYFUNCTION("IFERROR(VLOOKUP(E867&amp;F867,IMPORTRANGE(""https://docs.google.com/spreadsheets/d/1Uw7-A9f9R21vMXxHZFNpYNeKFtG8_yji4HS352LGlSQ/edit?pli=1#gid=0"",""1_ACUM!A4:S""),16,FALSE))"),"")</f>
        <v/>
      </c>
      <c r="BC853" s="43" t="str">
        <f ca="1">IFERROR(__xludf.DUMMYFUNCTION("IFERROR(VLOOKUP(E867&amp;F867,IMPORTRANGE(""https://docs.google.com/spreadsheets/d/1Uw7-A9f9R21vMXxHZFNpYNeKFtG8_yji4HS352LGlSQ/edit?pli=1#gid=0"",""1_ACUM!A4:S""),17,FALSE))"),"")</f>
        <v/>
      </c>
      <c r="BD853" s="44" t="str">
        <f ca="1">IFERROR(__xludf.DUMMYFUNCTION("IFERROR(VLOOKUP(E867&amp;F867,IMPORTRANGE(""https://docs.google.com/spreadsheets/d/1Uw7-A9f9R21vMXxHZFNpYNeKFtG8_yji4HS352LGlSQ/edit?pli=1#gid=0"",""1_ACUM!A4:S""),18,FALSE))"),"")</f>
        <v/>
      </c>
      <c r="BE853" s="44" t="str">
        <f ca="1">IFERROR(__xludf.DUMMYFUNCTION("IFERROR(VLOOKUP(E867&amp;F867,IMPORTRANGE(""https://docs.google.com/spreadsheets/d/1Uw7-A9f9R21vMXxHZFNpYNeKFtG8_yji4HS352LGlSQ/edit?pli=1#gid=0"",""1_ACUM!A4:S""),19,FALSE))"),"")</f>
        <v/>
      </c>
      <c r="BF853" s="98" t="str">
        <f ca="1">IFERROR(__xludf.DUMMYFUNCTION("IFERROR(VLOOKUP(F867,IMPORTRANGE(""https://docs.google.com/spreadsheets/d/1Kvs4KS76FHFqLFIZfrDMff4kP08nblUkihrxltoGBjg/edit#gid=934712705"",""ESENCIAL!A6:BG""),5,FALSE))"),"")</f>
        <v/>
      </c>
      <c r="BG853" s="98" t="str">
        <f t="shared" si="25"/>
        <v/>
      </c>
      <c r="BH853" s="99" t="str">
        <f t="shared" si="26"/>
        <v/>
      </c>
      <c r="BI853" s="100" t="str">
        <f ca="1">IFERROR(__xludf.DUMMYFUNCTION("IFERROR(VLOOKUP(F867,IMPORTRANGE(""https://docs.google.com/spreadsheets/d/1Kvs4KS76FHFqLFIZfrDMff4kP08nblUkihrxltoGBjg/edit#gid=934712705"",""ESENCIAL!A6:BG""),2,FALSE))"),"")</f>
        <v/>
      </c>
      <c r="BJ853" s="19" t="str">
        <f t="shared" si="27"/>
        <v/>
      </c>
      <c r="BK853" s="100"/>
      <c r="BL853" s="100"/>
    </row>
    <row r="854" spans="1:64" ht="15">
      <c r="A854" s="5"/>
      <c r="B854" s="5"/>
      <c r="G854" s="5" t="str">
        <f ca="1">IFERROR(__xludf.DUMMYFUNCTION("IFERROR(VLOOKUP(F868,IMPORTRANGE(""https://docs.google.com/spreadsheets/d/1Kvs4KS76FHFqLFIZfrDMff4kP08nblUkihrxltoGBjg/edit#gid=934712705"",""ESENCIAL!A6:BG""),3,FALSE))"),"")</f>
        <v/>
      </c>
      <c r="H854" s="5" t="str">
        <f ca="1">IFERROR(__xludf.DUMMYFUNCTION("IFERROR(VLOOKUP(F868,IMPORTRANGE(""https://docs.google.com/spreadsheets/d/1Kvs4KS76FHFqLFIZfrDMff4kP08nblUkihrxltoGBjg/edit#gid=934712705"",""ESENCIAL!A6:BG""),8,FALSE))"),"")</f>
        <v/>
      </c>
      <c r="L854" s="287"/>
      <c r="U854" s="40"/>
      <c r="AU854" s="41" t="str">
        <f t="shared" si="24"/>
        <v/>
      </c>
      <c r="AV854" s="5" t="str">
        <f ca="1">IFERROR(__xludf.DUMMYFUNCTION("IFERROR(VLOOKUP(E868&amp;F868,IMPORTRANGE(""https://docs.google.com/spreadsheets/d/1Uw7-A9f9R21vMXxHZFNpYNeKFtG8_yji4HS352LGlSQ/edit?pli=1#gid=0"",""1_ACUM!A4:S""),11,FALSE))"),"")</f>
        <v/>
      </c>
      <c r="AW854" s="42" t="str">
        <f ca="1">IFERROR(__xludf.DUMMYFUNCTION("IFERROR(VLOOKUP(F868,IMPORTRANGE(""https://docs.google.com/spreadsheets/d/1Kvs4KS76FHFqLFIZfrDMff4kP08nblUkihrxltoGBjg/edit#gid=934712705"",""ESENCIAL!A6:BG""),15,FALSE))"),"")</f>
        <v/>
      </c>
      <c r="AX854" s="21" t="str">
        <f ca="1">IFERROR(__xludf.DUMMYFUNCTION("IFERROR(VLOOKUP(E868&amp;F868,IMPORTRANGE(""https://docs.google.com/spreadsheets/d/1Uw7-A9f9R21vMXxHZFNpYNeKFtG8_yji4HS352LGlSQ/edit?pli=1#gid=0"",""1_ACUM!A4:S""),12,FALSE))"),"")</f>
        <v/>
      </c>
      <c r="AY854" s="43" t="str">
        <f ca="1">IFERROR(__xludf.DUMMYFUNCTION("IFERROR(VLOOKUP(E868&amp;F868,IMPORTRANGE(""https://docs.google.com/spreadsheets/d/1Uw7-A9f9R21vMXxHZFNpYNeKFtG8_yji4HS352LGlSQ/edit?pli=1#gid=0"",""1_ACUM!A4:S""),13,FALSE))"),"")</f>
        <v/>
      </c>
      <c r="AZ854" s="43" t="str">
        <f ca="1">IFERROR(__xludf.DUMMYFUNCTION("IFERROR(VLOOKUP(E868&amp;F868,IMPORTRANGE(""https://docs.google.com/spreadsheets/d/1Uw7-A9f9R21vMXxHZFNpYNeKFtG8_yji4HS352LGlSQ/edit?pli=1#gid=0"",""1_ACUM!A4:S""),14,FALSE))"),"")</f>
        <v/>
      </c>
      <c r="BA854" s="43" t="str">
        <f ca="1">IFERROR(__xludf.DUMMYFUNCTION("IFERROR(VLOOKUP(E868&amp;F868,IMPORTRANGE(""https://docs.google.com/spreadsheets/d/1Uw7-A9f9R21vMXxHZFNpYNeKFtG8_yji4HS352LGlSQ/edit?pli=1#gid=0"",""1_ACUM!A4:S""),15,FALSE))"),"")</f>
        <v/>
      </c>
      <c r="BB854" s="43" t="str">
        <f ca="1">IFERROR(__xludf.DUMMYFUNCTION("IFERROR(VLOOKUP(E868&amp;F868,IMPORTRANGE(""https://docs.google.com/spreadsheets/d/1Uw7-A9f9R21vMXxHZFNpYNeKFtG8_yji4HS352LGlSQ/edit?pli=1#gid=0"",""1_ACUM!A4:S""),16,FALSE))"),"")</f>
        <v/>
      </c>
      <c r="BC854" s="43" t="str">
        <f ca="1">IFERROR(__xludf.DUMMYFUNCTION("IFERROR(VLOOKUP(E868&amp;F868,IMPORTRANGE(""https://docs.google.com/spreadsheets/d/1Uw7-A9f9R21vMXxHZFNpYNeKFtG8_yji4HS352LGlSQ/edit?pli=1#gid=0"",""1_ACUM!A4:S""),17,FALSE))"),"")</f>
        <v/>
      </c>
      <c r="BD854" s="44" t="str">
        <f ca="1">IFERROR(__xludf.DUMMYFUNCTION("IFERROR(VLOOKUP(E868&amp;F868,IMPORTRANGE(""https://docs.google.com/spreadsheets/d/1Uw7-A9f9R21vMXxHZFNpYNeKFtG8_yji4HS352LGlSQ/edit?pli=1#gid=0"",""1_ACUM!A4:S""),18,FALSE))"),"")</f>
        <v/>
      </c>
      <c r="BE854" s="44" t="str">
        <f ca="1">IFERROR(__xludf.DUMMYFUNCTION("IFERROR(VLOOKUP(E868&amp;F868,IMPORTRANGE(""https://docs.google.com/spreadsheets/d/1Uw7-A9f9R21vMXxHZFNpYNeKFtG8_yji4HS352LGlSQ/edit?pli=1#gid=0"",""1_ACUM!A4:S""),19,FALSE))"),"")</f>
        <v/>
      </c>
      <c r="BF854" s="98" t="str">
        <f ca="1">IFERROR(__xludf.DUMMYFUNCTION("IFERROR(VLOOKUP(F868,IMPORTRANGE(""https://docs.google.com/spreadsheets/d/1Kvs4KS76FHFqLFIZfrDMff4kP08nblUkihrxltoGBjg/edit#gid=934712705"",""ESENCIAL!A6:BG""),5,FALSE))"),"")</f>
        <v/>
      </c>
      <c r="BG854" s="98" t="str">
        <f t="shared" si="25"/>
        <v/>
      </c>
      <c r="BH854" s="99" t="str">
        <f t="shared" si="26"/>
        <v/>
      </c>
      <c r="BI854" s="100" t="str">
        <f ca="1">IFERROR(__xludf.DUMMYFUNCTION("IFERROR(VLOOKUP(F868,IMPORTRANGE(""https://docs.google.com/spreadsheets/d/1Kvs4KS76FHFqLFIZfrDMff4kP08nblUkihrxltoGBjg/edit#gid=934712705"",""ESENCIAL!A6:BG""),2,FALSE))"),"")</f>
        <v/>
      </c>
      <c r="BJ854" s="19" t="str">
        <f t="shared" si="27"/>
        <v/>
      </c>
      <c r="BK854" s="100"/>
      <c r="BL854" s="100"/>
    </row>
    <row r="855" spans="1:64" ht="15">
      <c r="A855" s="5"/>
      <c r="B855" s="5"/>
      <c r="G855" s="5" t="str">
        <f ca="1">IFERROR(__xludf.DUMMYFUNCTION("IFERROR(VLOOKUP(F869,IMPORTRANGE(""https://docs.google.com/spreadsheets/d/1Kvs4KS76FHFqLFIZfrDMff4kP08nblUkihrxltoGBjg/edit#gid=934712705"",""ESENCIAL!A6:BG""),3,FALSE))"),"")</f>
        <v/>
      </c>
      <c r="H855" s="5" t="str">
        <f ca="1">IFERROR(__xludf.DUMMYFUNCTION("IFERROR(VLOOKUP(F869,IMPORTRANGE(""https://docs.google.com/spreadsheets/d/1Kvs4KS76FHFqLFIZfrDMff4kP08nblUkihrxltoGBjg/edit#gid=934712705"",""ESENCIAL!A6:BG""),8,FALSE))"),"")</f>
        <v/>
      </c>
      <c r="L855" s="287"/>
      <c r="U855" s="40"/>
      <c r="AU855" s="41" t="str">
        <f t="shared" si="24"/>
        <v/>
      </c>
      <c r="AV855" s="5" t="str">
        <f ca="1">IFERROR(__xludf.DUMMYFUNCTION("IFERROR(VLOOKUP(E869&amp;F869,IMPORTRANGE(""https://docs.google.com/spreadsheets/d/1Uw7-A9f9R21vMXxHZFNpYNeKFtG8_yji4HS352LGlSQ/edit?pli=1#gid=0"",""1_ACUM!A4:S""),11,FALSE))"),"")</f>
        <v/>
      </c>
      <c r="AW855" s="42" t="str">
        <f ca="1">IFERROR(__xludf.DUMMYFUNCTION("IFERROR(VLOOKUP(F869,IMPORTRANGE(""https://docs.google.com/spreadsheets/d/1Kvs4KS76FHFqLFIZfrDMff4kP08nblUkihrxltoGBjg/edit#gid=934712705"",""ESENCIAL!A6:BG""),15,FALSE))"),"")</f>
        <v/>
      </c>
      <c r="AX855" s="21" t="str">
        <f ca="1">IFERROR(__xludf.DUMMYFUNCTION("IFERROR(VLOOKUP(E869&amp;F869,IMPORTRANGE(""https://docs.google.com/spreadsheets/d/1Uw7-A9f9R21vMXxHZFNpYNeKFtG8_yji4HS352LGlSQ/edit?pli=1#gid=0"",""1_ACUM!A4:S""),12,FALSE))"),"")</f>
        <v/>
      </c>
      <c r="AY855" s="43" t="str">
        <f ca="1">IFERROR(__xludf.DUMMYFUNCTION("IFERROR(VLOOKUP(E869&amp;F869,IMPORTRANGE(""https://docs.google.com/spreadsheets/d/1Uw7-A9f9R21vMXxHZFNpYNeKFtG8_yji4HS352LGlSQ/edit?pli=1#gid=0"",""1_ACUM!A4:S""),13,FALSE))"),"")</f>
        <v/>
      </c>
      <c r="AZ855" s="43" t="str">
        <f ca="1">IFERROR(__xludf.DUMMYFUNCTION("IFERROR(VLOOKUP(E869&amp;F869,IMPORTRANGE(""https://docs.google.com/spreadsheets/d/1Uw7-A9f9R21vMXxHZFNpYNeKFtG8_yji4HS352LGlSQ/edit?pli=1#gid=0"",""1_ACUM!A4:S""),14,FALSE))"),"")</f>
        <v/>
      </c>
      <c r="BA855" s="43" t="str">
        <f ca="1">IFERROR(__xludf.DUMMYFUNCTION("IFERROR(VLOOKUP(E869&amp;F869,IMPORTRANGE(""https://docs.google.com/spreadsheets/d/1Uw7-A9f9R21vMXxHZFNpYNeKFtG8_yji4HS352LGlSQ/edit?pli=1#gid=0"",""1_ACUM!A4:S""),15,FALSE))"),"")</f>
        <v/>
      </c>
      <c r="BB855" s="43" t="str">
        <f ca="1">IFERROR(__xludf.DUMMYFUNCTION("IFERROR(VLOOKUP(E869&amp;F869,IMPORTRANGE(""https://docs.google.com/spreadsheets/d/1Uw7-A9f9R21vMXxHZFNpYNeKFtG8_yji4HS352LGlSQ/edit?pli=1#gid=0"",""1_ACUM!A4:S""),16,FALSE))"),"")</f>
        <v/>
      </c>
      <c r="BC855" s="43" t="str">
        <f ca="1">IFERROR(__xludf.DUMMYFUNCTION("IFERROR(VLOOKUP(E869&amp;F869,IMPORTRANGE(""https://docs.google.com/spreadsheets/d/1Uw7-A9f9R21vMXxHZFNpYNeKFtG8_yji4HS352LGlSQ/edit?pli=1#gid=0"",""1_ACUM!A4:S""),17,FALSE))"),"")</f>
        <v/>
      </c>
      <c r="BD855" s="44" t="str">
        <f ca="1">IFERROR(__xludf.DUMMYFUNCTION("IFERROR(VLOOKUP(E869&amp;F869,IMPORTRANGE(""https://docs.google.com/spreadsheets/d/1Uw7-A9f9R21vMXxHZFNpYNeKFtG8_yji4HS352LGlSQ/edit?pli=1#gid=0"",""1_ACUM!A4:S""),18,FALSE))"),"")</f>
        <v/>
      </c>
      <c r="BE855" s="44" t="str">
        <f ca="1">IFERROR(__xludf.DUMMYFUNCTION("IFERROR(VLOOKUP(E869&amp;F869,IMPORTRANGE(""https://docs.google.com/spreadsheets/d/1Uw7-A9f9R21vMXxHZFNpYNeKFtG8_yji4HS352LGlSQ/edit?pli=1#gid=0"",""1_ACUM!A4:S""),19,FALSE))"),"")</f>
        <v/>
      </c>
      <c r="BF855" s="98" t="str">
        <f ca="1">IFERROR(__xludf.DUMMYFUNCTION("IFERROR(VLOOKUP(F869,IMPORTRANGE(""https://docs.google.com/spreadsheets/d/1Kvs4KS76FHFqLFIZfrDMff4kP08nblUkihrxltoGBjg/edit#gid=934712705"",""ESENCIAL!A6:BG""),5,FALSE))"),"")</f>
        <v/>
      </c>
      <c r="BG855" s="98" t="str">
        <f t="shared" si="25"/>
        <v/>
      </c>
      <c r="BH855" s="99" t="str">
        <f t="shared" si="26"/>
        <v/>
      </c>
      <c r="BI855" s="100" t="str">
        <f ca="1">IFERROR(__xludf.DUMMYFUNCTION("IFERROR(VLOOKUP(F869,IMPORTRANGE(""https://docs.google.com/spreadsheets/d/1Kvs4KS76FHFqLFIZfrDMff4kP08nblUkihrxltoGBjg/edit#gid=934712705"",""ESENCIAL!A6:BG""),2,FALSE))"),"")</f>
        <v/>
      </c>
      <c r="BJ855" s="19" t="str">
        <f t="shared" si="27"/>
        <v/>
      </c>
      <c r="BK855" s="100"/>
      <c r="BL855" s="100"/>
    </row>
    <row r="856" spans="1:64" ht="15">
      <c r="A856" s="5"/>
      <c r="B856" s="5"/>
      <c r="G856" s="5" t="str">
        <f ca="1">IFERROR(__xludf.DUMMYFUNCTION("IFERROR(VLOOKUP(F870,IMPORTRANGE(""https://docs.google.com/spreadsheets/d/1Kvs4KS76FHFqLFIZfrDMff4kP08nblUkihrxltoGBjg/edit#gid=934712705"",""ESENCIAL!A6:BG""),3,FALSE))"),"")</f>
        <v/>
      </c>
      <c r="H856" s="5" t="str">
        <f ca="1">IFERROR(__xludf.DUMMYFUNCTION("IFERROR(VLOOKUP(F870,IMPORTRANGE(""https://docs.google.com/spreadsheets/d/1Kvs4KS76FHFqLFIZfrDMff4kP08nblUkihrxltoGBjg/edit#gid=934712705"",""ESENCIAL!A6:BG""),8,FALSE))"),"")</f>
        <v/>
      </c>
      <c r="L856" s="287"/>
      <c r="U856" s="40"/>
      <c r="AU856" s="41" t="str">
        <f t="shared" si="24"/>
        <v/>
      </c>
      <c r="AV856" s="5" t="str">
        <f ca="1">IFERROR(__xludf.DUMMYFUNCTION("IFERROR(VLOOKUP(E870&amp;F870,IMPORTRANGE(""https://docs.google.com/spreadsheets/d/1Uw7-A9f9R21vMXxHZFNpYNeKFtG8_yji4HS352LGlSQ/edit?pli=1#gid=0"",""1_ACUM!A4:S""),11,FALSE))"),"")</f>
        <v/>
      </c>
      <c r="AW856" s="42" t="str">
        <f ca="1">IFERROR(__xludf.DUMMYFUNCTION("IFERROR(VLOOKUP(F870,IMPORTRANGE(""https://docs.google.com/spreadsheets/d/1Kvs4KS76FHFqLFIZfrDMff4kP08nblUkihrxltoGBjg/edit#gid=934712705"",""ESENCIAL!A6:BG""),15,FALSE))"),"")</f>
        <v/>
      </c>
      <c r="AX856" s="21" t="str">
        <f ca="1">IFERROR(__xludf.DUMMYFUNCTION("IFERROR(VLOOKUP(E870&amp;F870,IMPORTRANGE(""https://docs.google.com/spreadsheets/d/1Uw7-A9f9R21vMXxHZFNpYNeKFtG8_yji4HS352LGlSQ/edit?pli=1#gid=0"",""1_ACUM!A4:S""),12,FALSE))"),"")</f>
        <v/>
      </c>
      <c r="AY856" s="43" t="str">
        <f ca="1">IFERROR(__xludf.DUMMYFUNCTION("IFERROR(VLOOKUP(E870&amp;F870,IMPORTRANGE(""https://docs.google.com/spreadsheets/d/1Uw7-A9f9R21vMXxHZFNpYNeKFtG8_yji4HS352LGlSQ/edit?pli=1#gid=0"",""1_ACUM!A4:S""),13,FALSE))"),"")</f>
        <v/>
      </c>
      <c r="AZ856" s="43" t="str">
        <f ca="1">IFERROR(__xludf.DUMMYFUNCTION("IFERROR(VLOOKUP(E870&amp;F870,IMPORTRANGE(""https://docs.google.com/spreadsheets/d/1Uw7-A9f9R21vMXxHZFNpYNeKFtG8_yji4HS352LGlSQ/edit?pli=1#gid=0"",""1_ACUM!A4:S""),14,FALSE))"),"")</f>
        <v/>
      </c>
      <c r="BA856" s="43" t="str">
        <f ca="1">IFERROR(__xludf.DUMMYFUNCTION("IFERROR(VLOOKUP(E870&amp;F870,IMPORTRANGE(""https://docs.google.com/spreadsheets/d/1Uw7-A9f9R21vMXxHZFNpYNeKFtG8_yji4HS352LGlSQ/edit?pli=1#gid=0"",""1_ACUM!A4:S""),15,FALSE))"),"")</f>
        <v/>
      </c>
      <c r="BB856" s="43" t="str">
        <f ca="1">IFERROR(__xludf.DUMMYFUNCTION("IFERROR(VLOOKUP(E870&amp;F870,IMPORTRANGE(""https://docs.google.com/spreadsheets/d/1Uw7-A9f9R21vMXxHZFNpYNeKFtG8_yji4HS352LGlSQ/edit?pli=1#gid=0"",""1_ACUM!A4:S""),16,FALSE))"),"")</f>
        <v/>
      </c>
      <c r="BC856" s="43" t="str">
        <f ca="1">IFERROR(__xludf.DUMMYFUNCTION("IFERROR(VLOOKUP(E870&amp;F870,IMPORTRANGE(""https://docs.google.com/spreadsheets/d/1Uw7-A9f9R21vMXxHZFNpYNeKFtG8_yji4HS352LGlSQ/edit?pli=1#gid=0"",""1_ACUM!A4:S""),17,FALSE))"),"")</f>
        <v/>
      </c>
      <c r="BD856" s="44" t="str">
        <f ca="1">IFERROR(__xludf.DUMMYFUNCTION("IFERROR(VLOOKUP(E870&amp;F870,IMPORTRANGE(""https://docs.google.com/spreadsheets/d/1Uw7-A9f9R21vMXxHZFNpYNeKFtG8_yji4HS352LGlSQ/edit?pli=1#gid=0"",""1_ACUM!A4:S""),18,FALSE))"),"")</f>
        <v/>
      </c>
      <c r="BE856" s="44" t="str">
        <f ca="1">IFERROR(__xludf.DUMMYFUNCTION("IFERROR(VLOOKUP(E870&amp;F870,IMPORTRANGE(""https://docs.google.com/spreadsheets/d/1Uw7-A9f9R21vMXxHZFNpYNeKFtG8_yji4HS352LGlSQ/edit?pli=1#gid=0"",""1_ACUM!A4:S""),19,FALSE))"),"")</f>
        <v/>
      </c>
      <c r="BF856" s="98" t="str">
        <f ca="1">IFERROR(__xludf.DUMMYFUNCTION("IFERROR(VLOOKUP(F870,IMPORTRANGE(""https://docs.google.com/spreadsheets/d/1Kvs4KS76FHFqLFIZfrDMff4kP08nblUkihrxltoGBjg/edit#gid=934712705"",""ESENCIAL!A6:BG""),5,FALSE))"),"")</f>
        <v/>
      </c>
      <c r="BG856" s="98" t="str">
        <f t="shared" si="25"/>
        <v/>
      </c>
      <c r="BH856" s="99" t="str">
        <f t="shared" si="26"/>
        <v/>
      </c>
      <c r="BI856" s="100" t="str">
        <f ca="1">IFERROR(__xludf.DUMMYFUNCTION("IFERROR(VLOOKUP(F870,IMPORTRANGE(""https://docs.google.com/spreadsheets/d/1Kvs4KS76FHFqLFIZfrDMff4kP08nblUkihrxltoGBjg/edit#gid=934712705"",""ESENCIAL!A6:BG""),2,FALSE))"),"")</f>
        <v/>
      </c>
      <c r="BJ856" s="19" t="str">
        <f t="shared" si="27"/>
        <v/>
      </c>
      <c r="BK856" s="100"/>
      <c r="BL856" s="100"/>
    </row>
    <row r="857" spans="1:64" ht="15">
      <c r="A857" s="5"/>
      <c r="B857" s="5"/>
      <c r="G857" s="5" t="str">
        <f ca="1">IFERROR(__xludf.DUMMYFUNCTION("IFERROR(VLOOKUP(F871,IMPORTRANGE(""https://docs.google.com/spreadsheets/d/1Kvs4KS76FHFqLFIZfrDMff4kP08nblUkihrxltoGBjg/edit#gid=934712705"",""ESENCIAL!A6:BG""),3,FALSE))"),"")</f>
        <v/>
      </c>
      <c r="H857" s="5" t="str">
        <f ca="1">IFERROR(__xludf.DUMMYFUNCTION("IFERROR(VLOOKUP(F871,IMPORTRANGE(""https://docs.google.com/spreadsheets/d/1Kvs4KS76FHFqLFIZfrDMff4kP08nblUkihrxltoGBjg/edit#gid=934712705"",""ESENCIAL!A6:BG""),8,FALSE))"),"")</f>
        <v/>
      </c>
      <c r="L857" s="287"/>
      <c r="U857" s="40"/>
      <c r="AU857" s="41" t="str">
        <f t="shared" si="24"/>
        <v/>
      </c>
      <c r="AV857" s="5" t="str">
        <f ca="1">IFERROR(__xludf.DUMMYFUNCTION("IFERROR(VLOOKUP(E871&amp;F871,IMPORTRANGE(""https://docs.google.com/spreadsheets/d/1Uw7-A9f9R21vMXxHZFNpYNeKFtG8_yji4HS352LGlSQ/edit?pli=1#gid=0"",""1_ACUM!A4:S""),11,FALSE))"),"")</f>
        <v/>
      </c>
      <c r="AW857" s="42" t="str">
        <f ca="1">IFERROR(__xludf.DUMMYFUNCTION("IFERROR(VLOOKUP(F871,IMPORTRANGE(""https://docs.google.com/spreadsheets/d/1Kvs4KS76FHFqLFIZfrDMff4kP08nblUkihrxltoGBjg/edit#gid=934712705"",""ESENCIAL!A6:BG""),15,FALSE))"),"")</f>
        <v/>
      </c>
      <c r="AX857" s="21" t="str">
        <f ca="1">IFERROR(__xludf.DUMMYFUNCTION("IFERROR(VLOOKUP(E871&amp;F871,IMPORTRANGE(""https://docs.google.com/spreadsheets/d/1Uw7-A9f9R21vMXxHZFNpYNeKFtG8_yji4HS352LGlSQ/edit?pli=1#gid=0"",""1_ACUM!A4:S""),12,FALSE))"),"")</f>
        <v/>
      </c>
      <c r="AY857" s="43" t="str">
        <f ca="1">IFERROR(__xludf.DUMMYFUNCTION("IFERROR(VLOOKUP(E871&amp;F871,IMPORTRANGE(""https://docs.google.com/spreadsheets/d/1Uw7-A9f9R21vMXxHZFNpYNeKFtG8_yji4HS352LGlSQ/edit?pli=1#gid=0"",""1_ACUM!A4:S""),13,FALSE))"),"")</f>
        <v/>
      </c>
      <c r="AZ857" s="43" t="str">
        <f ca="1">IFERROR(__xludf.DUMMYFUNCTION("IFERROR(VLOOKUP(E871&amp;F871,IMPORTRANGE(""https://docs.google.com/spreadsheets/d/1Uw7-A9f9R21vMXxHZFNpYNeKFtG8_yji4HS352LGlSQ/edit?pli=1#gid=0"",""1_ACUM!A4:S""),14,FALSE))"),"")</f>
        <v/>
      </c>
      <c r="BA857" s="43" t="str">
        <f ca="1">IFERROR(__xludf.DUMMYFUNCTION("IFERROR(VLOOKUP(E871&amp;F871,IMPORTRANGE(""https://docs.google.com/spreadsheets/d/1Uw7-A9f9R21vMXxHZFNpYNeKFtG8_yji4HS352LGlSQ/edit?pli=1#gid=0"",""1_ACUM!A4:S""),15,FALSE))"),"")</f>
        <v/>
      </c>
      <c r="BB857" s="43" t="str">
        <f ca="1">IFERROR(__xludf.DUMMYFUNCTION("IFERROR(VLOOKUP(E871&amp;F871,IMPORTRANGE(""https://docs.google.com/spreadsheets/d/1Uw7-A9f9R21vMXxHZFNpYNeKFtG8_yji4HS352LGlSQ/edit?pli=1#gid=0"",""1_ACUM!A4:S""),16,FALSE))"),"")</f>
        <v/>
      </c>
      <c r="BC857" s="43" t="str">
        <f ca="1">IFERROR(__xludf.DUMMYFUNCTION("IFERROR(VLOOKUP(E871&amp;F871,IMPORTRANGE(""https://docs.google.com/spreadsheets/d/1Uw7-A9f9R21vMXxHZFNpYNeKFtG8_yji4HS352LGlSQ/edit?pli=1#gid=0"",""1_ACUM!A4:S""),17,FALSE))"),"")</f>
        <v/>
      </c>
      <c r="BD857" s="44" t="str">
        <f ca="1">IFERROR(__xludf.DUMMYFUNCTION("IFERROR(VLOOKUP(E871&amp;F871,IMPORTRANGE(""https://docs.google.com/spreadsheets/d/1Uw7-A9f9R21vMXxHZFNpYNeKFtG8_yji4HS352LGlSQ/edit?pli=1#gid=0"",""1_ACUM!A4:S""),18,FALSE))"),"")</f>
        <v/>
      </c>
      <c r="BE857" s="44" t="str">
        <f ca="1">IFERROR(__xludf.DUMMYFUNCTION("IFERROR(VLOOKUP(E871&amp;F871,IMPORTRANGE(""https://docs.google.com/spreadsheets/d/1Uw7-A9f9R21vMXxHZFNpYNeKFtG8_yji4HS352LGlSQ/edit?pli=1#gid=0"",""1_ACUM!A4:S""),19,FALSE))"),"")</f>
        <v/>
      </c>
      <c r="BF857" s="98" t="str">
        <f ca="1">IFERROR(__xludf.DUMMYFUNCTION("IFERROR(VLOOKUP(F871,IMPORTRANGE(""https://docs.google.com/spreadsheets/d/1Kvs4KS76FHFqLFIZfrDMff4kP08nblUkihrxltoGBjg/edit#gid=934712705"",""ESENCIAL!A6:BG""),5,FALSE))"),"")</f>
        <v/>
      </c>
      <c r="BG857" s="98" t="str">
        <f t="shared" si="25"/>
        <v/>
      </c>
      <c r="BH857" s="99" t="str">
        <f t="shared" si="26"/>
        <v/>
      </c>
      <c r="BI857" s="100" t="str">
        <f ca="1">IFERROR(__xludf.DUMMYFUNCTION("IFERROR(VLOOKUP(F871,IMPORTRANGE(""https://docs.google.com/spreadsheets/d/1Kvs4KS76FHFqLFIZfrDMff4kP08nblUkihrxltoGBjg/edit#gid=934712705"",""ESENCIAL!A6:BG""),2,FALSE))"),"")</f>
        <v/>
      </c>
      <c r="BJ857" s="19" t="str">
        <f t="shared" si="27"/>
        <v/>
      </c>
      <c r="BK857" s="100"/>
      <c r="BL857" s="100"/>
    </row>
    <row r="858" spans="1:64" ht="15">
      <c r="A858" s="5"/>
      <c r="B858" s="5"/>
      <c r="G858" s="5" t="str">
        <f ca="1">IFERROR(__xludf.DUMMYFUNCTION("IFERROR(VLOOKUP(F872,IMPORTRANGE(""https://docs.google.com/spreadsheets/d/1Kvs4KS76FHFqLFIZfrDMff4kP08nblUkihrxltoGBjg/edit#gid=934712705"",""ESENCIAL!A6:BG""),3,FALSE))"),"")</f>
        <v/>
      </c>
      <c r="H858" s="5" t="str">
        <f ca="1">IFERROR(__xludf.DUMMYFUNCTION("IFERROR(VLOOKUP(F872,IMPORTRANGE(""https://docs.google.com/spreadsheets/d/1Kvs4KS76FHFqLFIZfrDMff4kP08nblUkihrxltoGBjg/edit#gid=934712705"",""ESENCIAL!A6:BG""),8,FALSE))"),"")</f>
        <v/>
      </c>
      <c r="L858" s="287"/>
      <c r="U858" s="40"/>
      <c r="AU858" s="41" t="str">
        <f t="shared" si="24"/>
        <v/>
      </c>
      <c r="AV858" s="5" t="str">
        <f ca="1">IFERROR(__xludf.DUMMYFUNCTION("IFERROR(VLOOKUP(E872&amp;F872,IMPORTRANGE(""https://docs.google.com/spreadsheets/d/1Uw7-A9f9R21vMXxHZFNpYNeKFtG8_yji4HS352LGlSQ/edit?pli=1#gid=0"",""1_ACUM!A4:S""),11,FALSE))"),"")</f>
        <v/>
      </c>
      <c r="AW858" s="42" t="str">
        <f ca="1">IFERROR(__xludf.DUMMYFUNCTION("IFERROR(VLOOKUP(F872,IMPORTRANGE(""https://docs.google.com/spreadsheets/d/1Kvs4KS76FHFqLFIZfrDMff4kP08nblUkihrxltoGBjg/edit#gid=934712705"",""ESENCIAL!A6:BG""),15,FALSE))"),"")</f>
        <v/>
      </c>
      <c r="AX858" s="21" t="str">
        <f ca="1">IFERROR(__xludf.DUMMYFUNCTION("IFERROR(VLOOKUP(E872&amp;F872,IMPORTRANGE(""https://docs.google.com/spreadsheets/d/1Uw7-A9f9R21vMXxHZFNpYNeKFtG8_yji4HS352LGlSQ/edit?pli=1#gid=0"",""1_ACUM!A4:S""),12,FALSE))"),"")</f>
        <v/>
      </c>
      <c r="AY858" s="43" t="str">
        <f ca="1">IFERROR(__xludf.DUMMYFUNCTION("IFERROR(VLOOKUP(E872&amp;F872,IMPORTRANGE(""https://docs.google.com/spreadsheets/d/1Uw7-A9f9R21vMXxHZFNpYNeKFtG8_yji4HS352LGlSQ/edit?pli=1#gid=0"",""1_ACUM!A4:S""),13,FALSE))"),"")</f>
        <v/>
      </c>
      <c r="AZ858" s="43" t="str">
        <f ca="1">IFERROR(__xludf.DUMMYFUNCTION("IFERROR(VLOOKUP(E872&amp;F872,IMPORTRANGE(""https://docs.google.com/spreadsheets/d/1Uw7-A9f9R21vMXxHZFNpYNeKFtG8_yji4HS352LGlSQ/edit?pli=1#gid=0"",""1_ACUM!A4:S""),14,FALSE))"),"")</f>
        <v/>
      </c>
      <c r="BA858" s="43" t="str">
        <f ca="1">IFERROR(__xludf.DUMMYFUNCTION("IFERROR(VLOOKUP(E872&amp;F872,IMPORTRANGE(""https://docs.google.com/spreadsheets/d/1Uw7-A9f9R21vMXxHZFNpYNeKFtG8_yji4HS352LGlSQ/edit?pli=1#gid=0"",""1_ACUM!A4:S""),15,FALSE))"),"")</f>
        <v/>
      </c>
      <c r="BB858" s="43" t="str">
        <f ca="1">IFERROR(__xludf.DUMMYFUNCTION("IFERROR(VLOOKUP(E872&amp;F872,IMPORTRANGE(""https://docs.google.com/spreadsheets/d/1Uw7-A9f9R21vMXxHZFNpYNeKFtG8_yji4HS352LGlSQ/edit?pli=1#gid=0"",""1_ACUM!A4:S""),16,FALSE))"),"")</f>
        <v/>
      </c>
      <c r="BC858" s="43" t="str">
        <f ca="1">IFERROR(__xludf.DUMMYFUNCTION("IFERROR(VLOOKUP(E872&amp;F872,IMPORTRANGE(""https://docs.google.com/spreadsheets/d/1Uw7-A9f9R21vMXxHZFNpYNeKFtG8_yji4HS352LGlSQ/edit?pli=1#gid=0"",""1_ACUM!A4:S""),17,FALSE))"),"")</f>
        <v/>
      </c>
      <c r="BD858" s="44" t="str">
        <f ca="1">IFERROR(__xludf.DUMMYFUNCTION("IFERROR(VLOOKUP(E872&amp;F872,IMPORTRANGE(""https://docs.google.com/spreadsheets/d/1Uw7-A9f9R21vMXxHZFNpYNeKFtG8_yji4HS352LGlSQ/edit?pli=1#gid=0"",""1_ACUM!A4:S""),18,FALSE))"),"")</f>
        <v/>
      </c>
      <c r="BE858" s="44" t="str">
        <f ca="1">IFERROR(__xludf.DUMMYFUNCTION("IFERROR(VLOOKUP(E872&amp;F872,IMPORTRANGE(""https://docs.google.com/spreadsheets/d/1Uw7-A9f9R21vMXxHZFNpYNeKFtG8_yji4HS352LGlSQ/edit?pli=1#gid=0"",""1_ACUM!A4:S""),19,FALSE))"),"")</f>
        <v/>
      </c>
      <c r="BF858" s="98" t="str">
        <f ca="1">IFERROR(__xludf.DUMMYFUNCTION("IFERROR(VLOOKUP(F872,IMPORTRANGE(""https://docs.google.com/spreadsheets/d/1Kvs4KS76FHFqLFIZfrDMff4kP08nblUkihrxltoGBjg/edit#gid=934712705"",""ESENCIAL!A6:BG""),5,FALSE))"),"")</f>
        <v/>
      </c>
      <c r="BG858" s="98" t="str">
        <f t="shared" si="25"/>
        <v/>
      </c>
      <c r="BH858" s="99" t="str">
        <f t="shared" si="26"/>
        <v/>
      </c>
      <c r="BI858" s="100" t="str">
        <f ca="1">IFERROR(__xludf.DUMMYFUNCTION("IFERROR(VLOOKUP(F872,IMPORTRANGE(""https://docs.google.com/spreadsheets/d/1Kvs4KS76FHFqLFIZfrDMff4kP08nblUkihrxltoGBjg/edit#gid=934712705"",""ESENCIAL!A6:BG""),2,FALSE))"),"")</f>
        <v/>
      </c>
      <c r="BJ858" s="19" t="str">
        <f t="shared" si="27"/>
        <v/>
      </c>
      <c r="BK858" s="100"/>
      <c r="BL858" s="100"/>
    </row>
    <row r="859" spans="1:64" ht="15">
      <c r="A859" s="5"/>
      <c r="B859" s="5"/>
      <c r="G859" s="5" t="str">
        <f ca="1">IFERROR(__xludf.DUMMYFUNCTION("IFERROR(VLOOKUP(F873,IMPORTRANGE(""https://docs.google.com/spreadsheets/d/1Kvs4KS76FHFqLFIZfrDMff4kP08nblUkihrxltoGBjg/edit#gid=934712705"",""ESENCIAL!A6:BG""),3,FALSE))"),"")</f>
        <v/>
      </c>
      <c r="H859" s="5" t="str">
        <f ca="1">IFERROR(__xludf.DUMMYFUNCTION("IFERROR(VLOOKUP(F873,IMPORTRANGE(""https://docs.google.com/spreadsheets/d/1Kvs4KS76FHFqLFIZfrDMff4kP08nblUkihrxltoGBjg/edit#gid=934712705"",""ESENCIAL!A6:BG""),8,FALSE))"),"")</f>
        <v/>
      </c>
      <c r="L859" s="287"/>
      <c r="U859" s="40"/>
      <c r="AU859" s="41" t="str">
        <f t="shared" si="24"/>
        <v/>
      </c>
      <c r="AV859" s="5" t="str">
        <f ca="1">IFERROR(__xludf.DUMMYFUNCTION("IFERROR(VLOOKUP(E873&amp;F873,IMPORTRANGE(""https://docs.google.com/spreadsheets/d/1Uw7-A9f9R21vMXxHZFNpYNeKFtG8_yji4HS352LGlSQ/edit?pli=1#gid=0"",""1_ACUM!A4:S""),11,FALSE))"),"")</f>
        <v/>
      </c>
      <c r="AW859" s="42" t="str">
        <f ca="1">IFERROR(__xludf.DUMMYFUNCTION("IFERROR(VLOOKUP(F873,IMPORTRANGE(""https://docs.google.com/spreadsheets/d/1Kvs4KS76FHFqLFIZfrDMff4kP08nblUkihrxltoGBjg/edit#gid=934712705"",""ESENCIAL!A6:BG""),15,FALSE))"),"")</f>
        <v/>
      </c>
      <c r="AX859" s="21" t="str">
        <f ca="1">IFERROR(__xludf.DUMMYFUNCTION("IFERROR(VLOOKUP(E873&amp;F873,IMPORTRANGE(""https://docs.google.com/spreadsheets/d/1Uw7-A9f9R21vMXxHZFNpYNeKFtG8_yji4HS352LGlSQ/edit?pli=1#gid=0"",""1_ACUM!A4:S""),12,FALSE))"),"")</f>
        <v/>
      </c>
      <c r="AY859" s="43" t="str">
        <f ca="1">IFERROR(__xludf.DUMMYFUNCTION("IFERROR(VLOOKUP(E873&amp;F873,IMPORTRANGE(""https://docs.google.com/spreadsheets/d/1Uw7-A9f9R21vMXxHZFNpYNeKFtG8_yji4HS352LGlSQ/edit?pli=1#gid=0"",""1_ACUM!A4:S""),13,FALSE))"),"")</f>
        <v/>
      </c>
      <c r="AZ859" s="43" t="str">
        <f ca="1">IFERROR(__xludf.DUMMYFUNCTION("IFERROR(VLOOKUP(E873&amp;F873,IMPORTRANGE(""https://docs.google.com/spreadsheets/d/1Uw7-A9f9R21vMXxHZFNpYNeKFtG8_yji4HS352LGlSQ/edit?pli=1#gid=0"",""1_ACUM!A4:S""),14,FALSE))"),"")</f>
        <v/>
      </c>
      <c r="BA859" s="43" t="str">
        <f ca="1">IFERROR(__xludf.DUMMYFUNCTION("IFERROR(VLOOKUP(E873&amp;F873,IMPORTRANGE(""https://docs.google.com/spreadsheets/d/1Uw7-A9f9R21vMXxHZFNpYNeKFtG8_yji4HS352LGlSQ/edit?pli=1#gid=0"",""1_ACUM!A4:S""),15,FALSE))"),"")</f>
        <v/>
      </c>
      <c r="BB859" s="43" t="str">
        <f ca="1">IFERROR(__xludf.DUMMYFUNCTION("IFERROR(VLOOKUP(E873&amp;F873,IMPORTRANGE(""https://docs.google.com/spreadsheets/d/1Uw7-A9f9R21vMXxHZFNpYNeKFtG8_yji4HS352LGlSQ/edit?pli=1#gid=0"",""1_ACUM!A4:S""),16,FALSE))"),"")</f>
        <v/>
      </c>
      <c r="BC859" s="43" t="str">
        <f ca="1">IFERROR(__xludf.DUMMYFUNCTION("IFERROR(VLOOKUP(E873&amp;F873,IMPORTRANGE(""https://docs.google.com/spreadsheets/d/1Uw7-A9f9R21vMXxHZFNpYNeKFtG8_yji4HS352LGlSQ/edit?pli=1#gid=0"",""1_ACUM!A4:S""),17,FALSE))"),"")</f>
        <v/>
      </c>
      <c r="BD859" s="44" t="str">
        <f ca="1">IFERROR(__xludf.DUMMYFUNCTION("IFERROR(VLOOKUP(E873&amp;F873,IMPORTRANGE(""https://docs.google.com/spreadsheets/d/1Uw7-A9f9R21vMXxHZFNpYNeKFtG8_yji4HS352LGlSQ/edit?pli=1#gid=0"",""1_ACUM!A4:S""),18,FALSE))"),"")</f>
        <v/>
      </c>
      <c r="BE859" s="44" t="str">
        <f ca="1">IFERROR(__xludf.DUMMYFUNCTION("IFERROR(VLOOKUP(E873&amp;F873,IMPORTRANGE(""https://docs.google.com/spreadsheets/d/1Uw7-A9f9R21vMXxHZFNpYNeKFtG8_yji4HS352LGlSQ/edit?pli=1#gid=0"",""1_ACUM!A4:S""),19,FALSE))"),"")</f>
        <v/>
      </c>
      <c r="BF859" s="98" t="str">
        <f ca="1">IFERROR(__xludf.DUMMYFUNCTION("IFERROR(VLOOKUP(F873,IMPORTRANGE(""https://docs.google.com/spreadsheets/d/1Kvs4KS76FHFqLFIZfrDMff4kP08nblUkihrxltoGBjg/edit#gid=934712705"",""ESENCIAL!A6:BG""),5,FALSE))"),"")</f>
        <v/>
      </c>
      <c r="BG859" s="98" t="str">
        <f t="shared" si="25"/>
        <v/>
      </c>
      <c r="BH859" s="99" t="str">
        <f t="shared" si="26"/>
        <v/>
      </c>
      <c r="BI859" s="100" t="str">
        <f ca="1">IFERROR(__xludf.DUMMYFUNCTION("IFERROR(VLOOKUP(F873,IMPORTRANGE(""https://docs.google.com/spreadsheets/d/1Kvs4KS76FHFqLFIZfrDMff4kP08nblUkihrxltoGBjg/edit#gid=934712705"",""ESENCIAL!A6:BG""),2,FALSE))"),"")</f>
        <v/>
      </c>
      <c r="BJ859" s="19" t="str">
        <f t="shared" si="27"/>
        <v/>
      </c>
      <c r="BK859" s="100"/>
      <c r="BL859" s="100"/>
    </row>
    <row r="860" spans="1:64" ht="15">
      <c r="A860" s="5"/>
      <c r="B860" s="5"/>
      <c r="G860" s="5" t="str">
        <f ca="1">IFERROR(__xludf.DUMMYFUNCTION("IFERROR(VLOOKUP(F874,IMPORTRANGE(""https://docs.google.com/spreadsheets/d/1Kvs4KS76FHFqLFIZfrDMff4kP08nblUkihrxltoGBjg/edit#gid=934712705"",""ESENCIAL!A6:BG""),3,FALSE))"),"")</f>
        <v/>
      </c>
      <c r="H860" s="5" t="str">
        <f ca="1">IFERROR(__xludf.DUMMYFUNCTION("IFERROR(VLOOKUP(F874,IMPORTRANGE(""https://docs.google.com/spreadsheets/d/1Kvs4KS76FHFqLFIZfrDMff4kP08nblUkihrxltoGBjg/edit#gid=934712705"",""ESENCIAL!A6:BG""),8,FALSE))"),"")</f>
        <v/>
      </c>
      <c r="L860" s="287"/>
      <c r="U860" s="40"/>
      <c r="AU860" s="41" t="str">
        <f t="shared" si="24"/>
        <v/>
      </c>
      <c r="AV860" s="5" t="str">
        <f ca="1">IFERROR(__xludf.DUMMYFUNCTION("IFERROR(VLOOKUP(E874&amp;F874,IMPORTRANGE(""https://docs.google.com/spreadsheets/d/1Uw7-A9f9R21vMXxHZFNpYNeKFtG8_yji4HS352LGlSQ/edit?pli=1#gid=0"",""1_ACUM!A4:S""),11,FALSE))"),"")</f>
        <v/>
      </c>
      <c r="AW860" s="42" t="str">
        <f ca="1">IFERROR(__xludf.DUMMYFUNCTION("IFERROR(VLOOKUP(F874,IMPORTRANGE(""https://docs.google.com/spreadsheets/d/1Kvs4KS76FHFqLFIZfrDMff4kP08nblUkihrxltoGBjg/edit#gid=934712705"",""ESENCIAL!A6:BG""),15,FALSE))"),"")</f>
        <v/>
      </c>
      <c r="AX860" s="21" t="str">
        <f ca="1">IFERROR(__xludf.DUMMYFUNCTION("IFERROR(VLOOKUP(E874&amp;F874,IMPORTRANGE(""https://docs.google.com/spreadsheets/d/1Uw7-A9f9R21vMXxHZFNpYNeKFtG8_yji4HS352LGlSQ/edit?pli=1#gid=0"",""1_ACUM!A4:S""),12,FALSE))"),"")</f>
        <v/>
      </c>
      <c r="AY860" s="43" t="str">
        <f ca="1">IFERROR(__xludf.DUMMYFUNCTION("IFERROR(VLOOKUP(E874&amp;F874,IMPORTRANGE(""https://docs.google.com/spreadsheets/d/1Uw7-A9f9R21vMXxHZFNpYNeKFtG8_yji4HS352LGlSQ/edit?pli=1#gid=0"",""1_ACUM!A4:S""),13,FALSE))"),"")</f>
        <v/>
      </c>
      <c r="AZ860" s="43" t="str">
        <f ca="1">IFERROR(__xludf.DUMMYFUNCTION("IFERROR(VLOOKUP(E874&amp;F874,IMPORTRANGE(""https://docs.google.com/spreadsheets/d/1Uw7-A9f9R21vMXxHZFNpYNeKFtG8_yji4HS352LGlSQ/edit?pli=1#gid=0"",""1_ACUM!A4:S""),14,FALSE))"),"")</f>
        <v/>
      </c>
      <c r="BA860" s="43" t="str">
        <f ca="1">IFERROR(__xludf.DUMMYFUNCTION("IFERROR(VLOOKUP(E874&amp;F874,IMPORTRANGE(""https://docs.google.com/spreadsheets/d/1Uw7-A9f9R21vMXxHZFNpYNeKFtG8_yji4HS352LGlSQ/edit?pli=1#gid=0"",""1_ACUM!A4:S""),15,FALSE))"),"")</f>
        <v/>
      </c>
      <c r="BB860" s="43" t="str">
        <f ca="1">IFERROR(__xludf.DUMMYFUNCTION("IFERROR(VLOOKUP(E874&amp;F874,IMPORTRANGE(""https://docs.google.com/spreadsheets/d/1Uw7-A9f9R21vMXxHZFNpYNeKFtG8_yji4HS352LGlSQ/edit?pli=1#gid=0"",""1_ACUM!A4:S""),16,FALSE))"),"")</f>
        <v/>
      </c>
      <c r="BC860" s="43" t="str">
        <f ca="1">IFERROR(__xludf.DUMMYFUNCTION("IFERROR(VLOOKUP(E874&amp;F874,IMPORTRANGE(""https://docs.google.com/spreadsheets/d/1Uw7-A9f9R21vMXxHZFNpYNeKFtG8_yji4HS352LGlSQ/edit?pli=1#gid=0"",""1_ACUM!A4:S""),17,FALSE))"),"")</f>
        <v/>
      </c>
      <c r="BD860" s="44" t="str">
        <f ca="1">IFERROR(__xludf.DUMMYFUNCTION("IFERROR(VLOOKUP(E874&amp;F874,IMPORTRANGE(""https://docs.google.com/spreadsheets/d/1Uw7-A9f9R21vMXxHZFNpYNeKFtG8_yji4HS352LGlSQ/edit?pli=1#gid=0"",""1_ACUM!A4:S""),18,FALSE))"),"")</f>
        <v/>
      </c>
      <c r="BE860" s="44" t="str">
        <f ca="1">IFERROR(__xludf.DUMMYFUNCTION("IFERROR(VLOOKUP(E874&amp;F874,IMPORTRANGE(""https://docs.google.com/spreadsheets/d/1Uw7-A9f9R21vMXxHZFNpYNeKFtG8_yji4HS352LGlSQ/edit?pli=1#gid=0"",""1_ACUM!A4:S""),19,FALSE))"),"")</f>
        <v/>
      </c>
      <c r="BF860" s="98" t="str">
        <f ca="1">IFERROR(__xludf.DUMMYFUNCTION("IFERROR(VLOOKUP(F874,IMPORTRANGE(""https://docs.google.com/spreadsheets/d/1Kvs4KS76FHFqLFIZfrDMff4kP08nblUkihrxltoGBjg/edit#gid=934712705"",""ESENCIAL!A6:BG""),5,FALSE))"),"")</f>
        <v/>
      </c>
      <c r="BG860" s="98" t="str">
        <f t="shared" si="25"/>
        <v/>
      </c>
      <c r="BH860" s="99" t="str">
        <f t="shared" si="26"/>
        <v/>
      </c>
      <c r="BI860" s="100" t="str">
        <f ca="1">IFERROR(__xludf.DUMMYFUNCTION("IFERROR(VLOOKUP(F874,IMPORTRANGE(""https://docs.google.com/spreadsheets/d/1Kvs4KS76FHFqLFIZfrDMff4kP08nblUkihrxltoGBjg/edit#gid=934712705"",""ESENCIAL!A6:BG""),2,FALSE))"),"")</f>
        <v/>
      </c>
      <c r="BJ860" s="19" t="str">
        <f t="shared" si="27"/>
        <v/>
      </c>
      <c r="BK860" s="100"/>
      <c r="BL860" s="100"/>
    </row>
    <row r="861" spans="1:64" ht="15">
      <c r="A861" s="5"/>
      <c r="B861" s="5"/>
      <c r="G861" s="5" t="str">
        <f ca="1">IFERROR(__xludf.DUMMYFUNCTION("IFERROR(VLOOKUP(F875,IMPORTRANGE(""https://docs.google.com/spreadsheets/d/1Kvs4KS76FHFqLFIZfrDMff4kP08nblUkihrxltoGBjg/edit#gid=934712705"",""ESENCIAL!A6:BG""),3,FALSE))"),"")</f>
        <v/>
      </c>
      <c r="H861" s="5" t="str">
        <f ca="1">IFERROR(__xludf.DUMMYFUNCTION("IFERROR(VLOOKUP(F875,IMPORTRANGE(""https://docs.google.com/spreadsheets/d/1Kvs4KS76FHFqLFIZfrDMff4kP08nblUkihrxltoGBjg/edit#gid=934712705"",""ESENCIAL!A6:BG""),8,FALSE))"),"")</f>
        <v/>
      </c>
      <c r="L861" s="287"/>
      <c r="U861" s="40"/>
      <c r="AU861" s="41" t="str">
        <f t="shared" si="24"/>
        <v/>
      </c>
      <c r="AV861" s="5" t="str">
        <f ca="1">IFERROR(__xludf.DUMMYFUNCTION("IFERROR(VLOOKUP(E875&amp;F875,IMPORTRANGE(""https://docs.google.com/spreadsheets/d/1Uw7-A9f9R21vMXxHZFNpYNeKFtG8_yji4HS352LGlSQ/edit?pli=1#gid=0"",""1_ACUM!A4:S""),11,FALSE))"),"")</f>
        <v/>
      </c>
      <c r="AW861" s="42" t="str">
        <f ca="1">IFERROR(__xludf.DUMMYFUNCTION("IFERROR(VLOOKUP(F875,IMPORTRANGE(""https://docs.google.com/spreadsheets/d/1Kvs4KS76FHFqLFIZfrDMff4kP08nblUkihrxltoGBjg/edit#gid=934712705"",""ESENCIAL!A6:BG""),15,FALSE))"),"")</f>
        <v/>
      </c>
      <c r="AX861" s="21" t="str">
        <f ca="1">IFERROR(__xludf.DUMMYFUNCTION("IFERROR(VLOOKUP(E875&amp;F875,IMPORTRANGE(""https://docs.google.com/spreadsheets/d/1Uw7-A9f9R21vMXxHZFNpYNeKFtG8_yji4HS352LGlSQ/edit?pli=1#gid=0"",""1_ACUM!A4:S""),12,FALSE))"),"")</f>
        <v/>
      </c>
      <c r="AY861" s="43" t="str">
        <f ca="1">IFERROR(__xludf.DUMMYFUNCTION("IFERROR(VLOOKUP(E875&amp;F875,IMPORTRANGE(""https://docs.google.com/spreadsheets/d/1Uw7-A9f9R21vMXxHZFNpYNeKFtG8_yji4HS352LGlSQ/edit?pli=1#gid=0"",""1_ACUM!A4:S""),13,FALSE))"),"")</f>
        <v/>
      </c>
      <c r="AZ861" s="43" t="str">
        <f ca="1">IFERROR(__xludf.DUMMYFUNCTION("IFERROR(VLOOKUP(E875&amp;F875,IMPORTRANGE(""https://docs.google.com/spreadsheets/d/1Uw7-A9f9R21vMXxHZFNpYNeKFtG8_yji4HS352LGlSQ/edit?pli=1#gid=0"",""1_ACUM!A4:S""),14,FALSE))"),"")</f>
        <v/>
      </c>
      <c r="BA861" s="43" t="str">
        <f ca="1">IFERROR(__xludf.DUMMYFUNCTION("IFERROR(VLOOKUP(E875&amp;F875,IMPORTRANGE(""https://docs.google.com/spreadsheets/d/1Uw7-A9f9R21vMXxHZFNpYNeKFtG8_yji4HS352LGlSQ/edit?pli=1#gid=0"",""1_ACUM!A4:S""),15,FALSE))"),"")</f>
        <v/>
      </c>
      <c r="BB861" s="43" t="str">
        <f ca="1">IFERROR(__xludf.DUMMYFUNCTION("IFERROR(VLOOKUP(E875&amp;F875,IMPORTRANGE(""https://docs.google.com/spreadsheets/d/1Uw7-A9f9R21vMXxHZFNpYNeKFtG8_yji4HS352LGlSQ/edit?pli=1#gid=0"",""1_ACUM!A4:S""),16,FALSE))"),"")</f>
        <v/>
      </c>
      <c r="BC861" s="43" t="str">
        <f ca="1">IFERROR(__xludf.DUMMYFUNCTION("IFERROR(VLOOKUP(E875&amp;F875,IMPORTRANGE(""https://docs.google.com/spreadsheets/d/1Uw7-A9f9R21vMXxHZFNpYNeKFtG8_yji4HS352LGlSQ/edit?pli=1#gid=0"",""1_ACUM!A4:S""),17,FALSE))"),"")</f>
        <v/>
      </c>
      <c r="BD861" s="44" t="str">
        <f ca="1">IFERROR(__xludf.DUMMYFUNCTION("IFERROR(VLOOKUP(E875&amp;F875,IMPORTRANGE(""https://docs.google.com/spreadsheets/d/1Uw7-A9f9R21vMXxHZFNpYNeKFtG8_yji4HS352LGlSQ/edit?pli=1#gid=0"",""1_ACUM!A4:S""),18,FALSE))"),"")</f>
        <v/>
      </c>
      <c r="BE861" s="44" t="str">
        <f ca="1">IFERROR(__xludf.DUMMYFUNCTION("IFERROR(VLOOKUP(E875&amp;F875,IMPORTRANGE(""https://docs.google.com/spreadsheets/d/1Uw7-A9f9R21vMXxHZFNpYNeKFtG8_yji4HS352LGlSQ/edit?pli=1#gid=0"",""1_ACUM!A4:S""),19,FALSE))"),"")</f>
        <v/>
      </c>
      <c r="BF861" s="98" t="str">
        <f ca="1">IFERROR(__xludf.DUMMYFUNCTION("IFERROR(VLOOKUP(F875,IMPORTRANGE(""https://docs.google.com/spreadsheets/d/1Kvs4KS76FHFqLFIZfrDMff4kP08nblUkihrxltoGBjg/edit#gid=934712705"",""ESENCIAL!A6:BG""),5,FALSE))"),"")</f>
        <v/>
      </c>
      <c r="BG861" s="98" t="str">
        <f t="shared" si="25"/>
        <v/>
      </c>
      <c r="BH861" s="99" t="str">
        <f t="shared" si="26"/>
        <v/>
      </c>
      <c r="BI861" s="100" t="str">
        <f ca="1">IFERROR(__xludf.DUMMYFUNCTION("IFERROR(VLOOKUP(F875,IMPORTRANGE(""https://docs.google.com/spreadsheets/d/1Kvs4KS76FHFqLFIZfrDMff4kP08nblUkihrxltoGBjg/edit#gid=934712705"",""ESENCIAL!A6:BG""),2,FALSE))"),"")</f>
        <v/>
      </c>
      <c r="BJ861" s="19" t="str">
        <f t="shared" si="27"/>
        <v/>
      </c>
      <c r="BK861" s="100"/>
      <c r="BL861" s="100"/>
    </row>
    <row r="862" spans="1:64" ht="15">
      <c r="A862" s="5"/>
      <c r="B862" s="5"/>
      <c r="G862" s="5" t="str">
        <f ca="1">IFERROR(__xludf.DUMMYFUNCTION("IFERROR(VLOOKUP(F876,IMPORTRANGE(""https://docs.google.com/spreadsheets/d/1Kvs4KS76FHFqLFIZfrDMff4kP08nblUkihrxltoGBjg/edit#gid=934712705"",""ESENCIAL!A6:BG""),3,FALSE))"),"")</f>
        <v/>
      </c>
      <c r="H862" s="5" t="str">
        <f ca="1">IFERROR(__xludf.DUMMYFUNCTION("IFERROR(VLOOKUP(F876,IMPORTRANGE(""https://docs.google.com/spreadsheets/d/1Kvs4KS76FHFqLFIZfrDMff4kP08nblUkihrxltoGBjg/edit#gid=934712705"",""ESENCIAL!A6:BG""),8,FALSE))"),"")</f>
        <v/>
      </c>
      <c r="L862" s="287"/>
      <c r="U862" s="40"/>
      <c r="AU862" s="41" t="str">
        <f t="shared" si="24"/>
        <v/>
      </c>
      <c r="AV862" s="5" t="str">
        <f ca="1">IFERROR(__xludf.DUMMYFUNCTION("IFERROR(VLOOKUP(E876&amp;F876,IMPORTRANGE(""https://docs.google.com/spreadsheets/d/1Uw7-A9f9R21vMXxHZFNpYNeKFtG8_yji4HS352LGlSQ/edit?pli=1#gid=0"",""1_ACUM!A4:S""),11,FALSE))"),"")</f>
        <v/>
      </c>
      <c r="AW862" s="42" t="str">
        <f ca="1">IFERROR(__xludf.DUMMYFUNCTION("IFERROR(VLOOKUP(F876,IMPORTRANGE(""https://docs.google.com/spreadsheets/d/1Kvs4KS76FHFqLFIZfrDMff4kP08nblUkihrxltoGBjg/edit#gid=934712705"",""ESENCIAL!A6:BG""),15,FALSE))"),"")</f>
        <v/>
      </c>
      <c r="AX862" s="21" t="str">
        <f ca="1">IFERROR(__xludf.DUMMYFUNCTION("IFERROR(VLOOKUP(E876&amp;F876,IMPORTRANGE(""https://docs.google.com/spreadsheets/d/1Uw7-A9f9R21vMXxHZFNpYNeKFtG8_yji4HS352LGlSQ/edit?pli=1#gid=0"",""1_ACUM!A4:S""),12,FALSE))"),"")</f>
        <v/>
      </c>
      <c r="AY862" s="43" t="str">
        <f ca="1">IFERROR(__xludf.DUMMYFUNCTION("IFERROR(VLOOKUP(E876&amp;F876,IMPORTRANGE(""https://docs.google.com/spreadsheets/d/1Uw7-A9f9R21vMXxHZFNpYNeKFtG8_yji4HS352LGlSQ/edit?pli=1#gid=0"",""1_ACUM!A4:S""),13,FALSE))"),"")</f>
        <v/>
      </c>
      <c r="AZ862" s="43" t="str">
        <f ca="1">IFERROR(__xludf.DUMMYFUNCTION("IFERROR(VLOOKUP(E876&amp;F876,IMPORTRANGE(""https://docs.google.com/spreadsheets/d/1Uw7-A9f9R21vMXxHZFNpYNeKFtG8_yji4HS352LGlSQ/edit?pli=1#gid=0"",""1_ACUM!A4:S""),14,FALSE))"),"")</f>
        <v/>
      </c>
      <c r="BA862" s="43" t="str">
        <f ca="1">IFERROR(__xludf.DUMMYFUNCTION("IFERROR(VLOOKUP(E876&amp;F876,IMPORTRANGE(""https://docs.google.com/spreadsheets/d/1Uw7-A9f9R21vMXxHZFNpYNeKFtG8_yji4HS352LGlSQ/edit?pli=1#gid=0"",""1_ACUM!A4:S""),15,FALSE))"),"")</f>
        <v/>
      </c>
      <c r="BB862" s="43" t="str">
        <f ca="1">IFERROR(__xludf.DUMMYFUNCTION("IFERROR(VLOOKUP(E876&amp;F876,IMPORTRANGE(""https://docs.google.com/spreadsheets/d/1Uw7-A9f9R21vMXxHZFNpYNeKFtG8_yji4HS352LGlSQ/edit?pli=1#gid=0"",""1_ACUM!A4:S""),16,FALSE))"),"")</f>
        <v/>
      </c>
      <c r="BC862" s="43" t="str">
        <f ca="1">IFERROR(__xludf.DUMMYFUNCTION("IFERROR(VLOOKUP(E876&amp;F876,IMPORTRANGE(""https://docs.google.com/spreadsheets/d/1Uw7-A9f9R21vMXxHZFNpYNeKFtG8_yji4HS352LGlSQ/edit?pli=1#gid=0"",""1_ACUM!A4:S""),17,FALSE))"),"")</f>
        <v/>
      </c>
      <c r="BD862" s="44" t="str">
        <f ca="1">IFERROR(__xludf.DUMMYFUNCTION("IFERROR(VLOOKUP(E876&amp;F876,IMPORTRANGE(""https://docs.google.com/spreadsheets/d/1Uw7-A9f9R21vMXxHZFNpYNeKFtG8_yji4HS352LGlSQ/edit?pli=1#gid=0"",""1_ACUM!A4:S""),18,FALSE))"),"")</f>
        <v/>
      </c>
      <c r="BE862" s="44" t="str">
        <f ca="1">IFERROR(__xludf.DUMMYFUNCTION("IFERROR(VLOOKUP(E876&amp;F876,IMPORTRANGE(""https://docs.google.com/spreadsheets/d/1Uw7-A9f9R21vMXxHZFNpYNeKFtG8_yji4HS352LGlSQ/edit?pli=1#gid=0"",""1_ACUM!A4:S""),19,FALSE))"),"")</f>
        <v/>
      </c>
      <c r="BF862" s="98" t="str">
        <f ca="1">IFERROR(__xludf.DUMMYFUNCTION("IFERROR(VLOOKUP(F876,IMPORTRANGE(""https://docs.google.com/spreadsheets/d/1Kvs4KS76FHFqLFIZfrDMff4kP08nblUkihrxltoGBjg/edit#gid=934712705"",""ESENCIAL!A6:BG""),5,FALSE))"),"")</f>
        <v/>
      </c>
      <c r="BG862" s="98" t="str">
        <f t="shared" si="25"/>
        <v/>
      </c>
      <c r="BH862" s="99" t="str">
        <f t="shared" si="26"/>
        <v/>
      </c>
      <c r="BI862" s="100" t="str">
        <f ca="1">IFERROR(__xludf.DUMMYFUNCTION("IFERROR(VLOOKUP(F876,IMPORTRANGE(""https://docs.google.com/spreadsheets/d/1Kvs4KS76FHFqLFIZfrDMff4kP08nblUkihrxltoGBjg/edit#gid=934712705"",""ESENCIAL!A6:BG""),2,FALSE))"),"")</f>
        <v/>
      </c>
      <c r="BJ862" s="19" t="str">
        <f t="shared" si="27"/>
        <v/>
      </c>
      <c r="BK862" s="100"/>
      <c r="BL862" s="100"/>
    </row>
    <row r="863" spans="1:64" ht="15">
      <c r="A863" s="5"/>
      <c r="B863" s="5"/>
      <c r="G863" s="5" t="str">
        <f ca="1">IFERROR(__xludf.DUMMYFUNCTION("IFERROR(VLOOKUP(F877,IMPORTRANGE(""https://docs.google.com/spreadsheets/d/1Kvs4KS76FHFqLFIZfrDMff4kP08nblUkihrxltoGBjg/edit#gid=934712705"",""ESENCIAL!A6:BG""),3,FALSE))"),"")</f>
        <v/>
      </c>
      <c r="H863" s="5" t="str">
        <f ca="1">IFERROR(__xludf.DUMMYFUNCTION("IFERROR(VLOOKUP(F877,IMPORTRANGE(""https://docs.google.com/spreadsheets/d/1Kvs4KS76FHFqLFIZfrDMff4kP08nblUkihrxltoGBjg/edit#gid=934712705"",""ESENCIAL!A6:BG""),8,FALSE))"),"")</f>
        <v/>
      </c>
      <c r="L863" s="287"/>
      <c r="U863" s="40"/>
      <c r="AU863" s="41" t="str">
        <f t="shared" si="24"/>
        <v/>
      </c>
      <c r="AV863" s="5" t="str">
        <f ca="1">IFERROR(__xludf.DUMMYFUNCTION("IFERROR(VLOOKUP(E877&amp;F877,IMPORTRANGE(""https://docs.google.com/spreadsheets/d/1Uw7-A9f9R21vMXxHZFNpYNeKFtG8_yji4HS352LGlSQ/edit?pli=1#gid=0"",""1_ACUM!A4:S""),11,FALSE))"),"")</f>
        <v/>
      </c>
      <c r="AW863" s="42" t="str">
        <f ca="1">IFERROR(__xludf.DUMMYFUNCTION("IFERROR(VLOOKUP(F877,IMPORTRANGE(""https://docs.google.com/spreadsheets/d/1Kvs4KS76FHFqLFIZfrDMff4kP08nblUkihrxltoGBjg/edit#gid=934712705"",""ESENCIAL!A6:BG""),15,FALSE))"),"")</f>
        <v/>
      </c>
      <c r="AX863" s="21" t="str">
        <f ca="1">IFERROR(__xludf.DUMMYFUNCTION("IFERROR(VLOOKUP(E877&amp;F877,IMPORTRANGE(""https://docs.google.com/spreadsheets/d/1Uw7-A9f9R21vMXxHZFNpYNeKFtG8_yji4HS352LGlSQ/edit?pli=1#gid=0"",""1_ACUM!A4:S""),12,FALSE))"),"")</f>
        <v/>
      </c>
      <c r="AY863" s="43" t="str">
        <f ca="1">IFERROR(__xludf.DUMMYFUNCTION("IFERROR(VLOOKUP(E877&amp;F877,IMPORTRANGE(""https://docs.google.com/spreadsheets/d/1Uw7-A9f9R21vMXxHZFNpYNeKFtG8_yji4HS352LGlSQ/edit?pli=1#gid=0"",""1_ACUM!A4:S""),13,FALSE))"),"")</f>
        <v/>
      </c>
      <c r="AZ863" s="43" t="str">
        <f ca="1">IFERROR(__xludf.DUMMYFUNCTION("IFERROR(VLOOKUP(E877&amp;F877,IMPORTRANGE(""https://docs.google.com/spreadsheets/d/1Uw7-A9f9R21vMXxHZFNpYNeKFtG8_yji4HS352LGlSQ/edit?pli=1#gid=0"",""1_ACUM!A4:S""),14,FALSE))"),"")</f>
        <v/>
      </c>
      <c r="BA863" s="43" t="str">
        <f ca="1">IFERROR(__xludf.DUMMYFUNCTION("IFERROR(VLOOKUP(E877&amp;F877,IMPORTRANGE(""https://docs.google.com/spreadsheets/d/1Uw7-A9f9R21vMXxHZFNpYNeKFtG8_yji4HS352LGlSQ/edit?pli=1#gid=0"",""1_ACUM!A4:S""),15,FALSE))"),"")</f>
        <v/>
      </c>
      <c r="BB863" s="43" t="str">
        <f ca="1">IFERROR(__xludf.DUMMYFUNCTION("IFERROR(VLOOKUP(E877&amp;F877,IMPORTRANGE(""https://docs.google.com/spreadsheets/d/1Uw7-A9f9R21vMXxHZFNpYNeKFtG8_yji4HS352LGlSQ/edit?pli=1#gid=0"",""1_ACUM!A4:S""),16,FALSE))"),"")</f>
        <v/>
      </c>
      <c r="BC863" s="43" t="str">
        <f ca="1">IFERROR(__xludf.DUMMYFUNCTION("IFERROR(VLOOKUP(E877&amp;F877,IMPORTRANGE(""https://docs.google.com/spreadsheets/d/1Uw7-A9f9R21vMXxHZFNpYNeKFtG8_yji4HS352LGlSQ/edit?pli=1#gid=0"",""1_ACUM!A4:S""),17,FALSE))"),"")</f>
        <v/>
      </c>
      <c r="BD863" s="44" t="str">
        <f ca="1">IFERROR(__xludf.DUMMYFUNCTION("IFERROR(VLOOKUP(E877&amp;F877,IMPORTRANGE(""https://docs.google.com/spreadsheets/d/1Uw7-A9f9R21vMXxHZFNpYNeKFtG8_yji4HS352LGlSQ/edit?pli=1#gid=0"",""1_ACUM!A4:S""),18,FALSE))"),"")</f>
        <v/>
      </c>
      <c r="BE863" s="44" t="str">
        <f ca="1">IFERROR(__xludf.DUMMYFUNCTION("IFERROR(VLOOKUP(E877&amp;F877,IMPORTRANGE(""https://docs.google.com/spreadsheets/d/1Uw7-A9f9R21vMXxHZFNpYNeKFtG8_yji4HS352LGlSQ/edit?pli=1#gid=0"",""1_ACUM!A4:S""),19,FALSE))"),"")</f>
        <v/>
      </c>
      <c r="BF863" s="98" t="str">
        <f ca="1">IFERROR(__xludf.DUMMYFUNCTION("IFERROR(VLOOKUP(F877,IMPORTRANGE(""https://docs.google.com/spreadsheets/d/1Kvs4KS76FHFqLFIZfrDMff4kP08nblUkihrxltoGBjg/edit#gid=934712705"",""ESENCIAL!A6:BG""),5,FALSE))"),"")</f>
        <v/>
      </c>
      <c r="BG863" s="98" t="str">
        <f t="shared" si="25"/>
        <v/>
      </c>
      <c r="BH863" s="99" t="str">
        <f t="shared" si="26"/>
        <v/>
      </c>
      <c r="BI863" s="100" t="str">
        <f ca="1">IFERROR(__xludf.DUMMYFUNCTION("IFERROR(VLOOKUP(F877,IMPORTRANGE(""https://docs.google.com/spreadsheets/d/1Kvs4KS76FHFqLFIZfrDMff4kP08nblUkihrxltoGBjg/edit#gid=934712705"",""ESENCIAL!A6:BG""),2,FALSE))"),"")</f>
        <v/>
      </c>
      <c r="BJ863" s="19" t="str">
        <f t="shared" si="27"/>
        <v/>
      </c>
      <c r="BK863" s="100"/>
      <c r="BL863" s="100"/>
    </row>
    <row r="864" spans="1:64" ht="15">
      <c r="A864" s="5"/>
      <c r="B864" s="5"/>
      <c r="G864" s="5" t="str">
        <f ca="1">IFERROR(__xludf.DUMMYFUNCTION("IFERROR(VLOOKUP(F878,IMPORTRANGE(""https://docs.google.com/spreadsheets/d/1Kvs4KS76FHFqLFIZfrDMff4kP08nblUkihrxltoGBjg/edit#gid=934712705"",""ESENCIAL!A6:BG""),3,FALSE))"),"")</f>
        <v/>
      </c>
      <c r="H864" s="5" t="str">
        <f ca="1">IFERROR(__xludf.DUMMYFUNCTION("IFERROR(VLOOKUP(F878,IMPORTRANGE(""https://docs.google.com/spreadsheets/d/1Kvs4KS76FHFqLFIZfrDMff4kP08nblUkihrxltoGBjg/edit#gid=934712705"",""ESENCIAL!A6:BG""),8,FALSE))"),"")</f>
        <v/>
      </c>
      <c r="L864" s="287"/>
      <c r="U864" s="40"/>
      <c r="AU864" s="41" t="str">
        <f t="shared" si="24"/>
        <v/>
      </c>
      <c r="AV864" s="5" t="str">
        <f ca="1">IFERROR(__xludf.DUMMYFUNCTION("IFERROR(VLOOKUP(E878&amp;F878,IMPORTRANGE(""https://docs.google.com/spreadsheets/d/1Uw7-A9f9R21vMXxHZFNpYNeKFtG8_yji4HS352LGlSQ/edit?pli=1#gid=0"",""1_ACUM!A4:S""),11,FALSE))"),"")</f>
        <v/>
      </c>
      <c r="AW864" s="42" t="str">
        <f ca="1">IFERROR(__xludf.DUMMYFUNCTION("IFERROR(VLOOKUP(F878,IMPORTRANGE(""https://docs.google.com/spreadsheets/d/1Kvs4KS76FHFqLFIZfrDMff4kP08nblUkihrxltoGBjg/edit#gid=934712705"",""ESENCIAL!A6:BG""),15,FALSE))"),"")</f>
        <v/>
      </c>
      <c r="AX864" s="21" t="str">
        <f ca="1">IFERROR(__xludf.DUMMYFUNCTION("IFERROR(VLOOKUP(E878&amp;F878,IMPORTRANGE(""https://docs.google.com/spreadsheets/d/1Uw7-A9f9R21vMXxHZFNpYNeKFtG8_yji4HS352LGlSQ/edit?pli=1#gid=0"",""1_ACUM!A4:S""),12,FALSE))"),"")</f>
        <v/>
      </c>
      <c r="AY864" s="43" t="str">
        <f ca="1">IFERROR(__xludf.DUMMYFUNCTION("IFERROR(VLOOKUP(E878&amp;F878,IMPORTRANGE(""https://docs.google.com/spreadsheets/d/1Uw7-A9f9R21vMXxHZFNpYNeKFtG8_yji4HS352LGlSQ/edit?pli=1#gid=0"",""1_ACUM!A4:S""),13,FALSE))"),"")</f>
        <v/>
      </c>
      <c r="AZ864" s="43" t="str">
        <f ca="1">IFERROR(__xludf.DUMMYFUNCTION("IFERROR(VLOOKUP(E878&amp;F878,IMPORTRANGE(""https://docs.google.com/spreadsheets/d/1Uw7-A9f9R21vMXxHZFNpYNeKFtG8_yji4HS352LGlSQ/edit?pli=1#gid=0"",""1_ACUM!A4:S""),14,FALSE))"),"")</f>
        <v/>
      </c>
      <c r="BA864" s="43" t="str">
        <f ca="1">IFERROR(__xludf.DUMMYFUNCTION("IFERROR(VLOOKUP(E878&amp;F878,IMPORTRANGE(""https://docs.google.com/spreadsheets/d/1Uw7-A9f9R21vMXxHZFNpYNeKFtG8_yji4HS352LGlSQ/edit?pli=1#gid=0"",""1_ACUM!A4:S""),15,FALSE))"),"")</f>
        <v/>
      </c>
      <c r="BB864" s="43" t="str">
        <f ca="1">IFERROR(__xludf.DUMMYFUNCTION("IFERROR(VLOOKUP(E878&amp;F878,IMPORTRANGE(""https://docs.google.com/spreadsheets/d/1Uw7-A9f9R21vMXxHZFNpYNeKFtG8_yji4HS352LGlSQ/edit?pli=1#gid=0"",""1_ACUM!A4:S""),16,FALSE))"),"")</f>
        <v/>
      </c>
      <c r="BC864" s="43" t="str">
        <f ca="1">IFERROR(__xludf.DUMMYFUNCTION("IFERROR(VLOOKUP(E878&amp;F878,IMPORTRANGE(""https://docs.google.com/spreadsheets/d/1Uw7-A9f9R21vMXxHZFNpYNeKFtG8_yji4HS352LGlSQ/edit?pli=1#gid=0"",""1_ACUM!A4:S""),17,FALSE))"),"")</f>
        <v/>
      </c>
      <c r="BD864" s="44" t="str">
        <f ca="1">IFERROR(__xludf.DUMMYFUNCTION("IFERROR(VLOOKUP(E878&amp;F878,IMPORTRANGE(""https://docs.google.com/spreadsheets/d/1Uw7-A9f9R21vMXxHZFNpYNeKFtG8_yji4HS352LGlSQ/edit?pli=1#gid=0"",""1_ACUM!A4:S""),18,FALSE))"),"")</f>
        <v/>
      </c>
      <c r="BE864" s="44" t="str">
        <f ca="1">IFERROR(__xludf.DUMMYFUNCTION("IFERROR(VLOOKUP(E878&amp;F878,IMPORTRANGE(""https://docs.google.com/spreadsheets/d/1Uw7-A9f9R21vMXxHZFNpYNeKFtG8_yji4HS352LGlSQ/edit?pli=1#gid=0"",""1_ACUM!A4:S""),19,FALSE))"),"")</f>
        <v/>
      </c>
      <c r="BF864" s="98" t="str">
        <f ca="1">IFERROR(__xludf.DUMMYFUNCTION("IFERROR(VLOOKUP(F878,IMPORTRANGE(""https://docs.google.com/spreadsheets/d/1Kvs4KS76FHFqLFIZfrDMff4kP08nblUkihrxltoGBjg/edit#gid=934712705"",""ESENCIAL!A6:BG""),5,FALSE))"),"")</f>
        <v/>
      </c>
      <c r="BG864" s="98" t="str">
        <f t="shared" si="25"/>
        <v/>
      </c>
      <c r="BH864" s="99" t="str">
        <f t="shared" si="26"/>
        <v/>
      </c>
      <c r="BI864" s="100" t="str">
        <f ca="1">IFERROR(__xludf.DUMMYFUNCTION("IFERROR(VLOOKUP(F878,IMPORTRANGE(""https://docs.google.com/spreadsheets/d/1Kvs4KS76FHFqLFIZfrDMff4kP08nblUkihrxltoGBjg/edit#gid=934712705"",""ESENCIAL!A6:BG""),2,FALSE))"),"")</f>
        <v/>
      </c>
      <c r="BJ864" s="19" t="str">
        <f t="shared" si="27"/>
        <v/>
      </c>
      <c r="BK864" s="100"/>
      <c r="BL864" s="100"/>
    </row>
    <row r="865" spans="1:64" ht="15">
      <c r="A865" s="5"/>
      <c r="B865" s="5"/>
      <c r="G865" s="5" t="str">
        <f ca="1">IFERROR(__xludf.DUMMYFUNCTION("IFERROR(VLOOKUP(F879,IMPORTRANGE(""https://docs.google.com/spreadsheets/d/1Kvs4KS76FHFqLFIZfrDMff4kP08nblUkihrxltoGBjg/edit#gid=934712705"",""ESENCIAL!A6:BG""),3,FALSE))"),"")</f>
        <v/>
      </c>
      <c r="H865" s="5" t="str">
        <f ca="1">IFERROR(__xludf.DUMMYFUNCTION("IFERROR(VLOOKUP(F879,IMPORTRANGE(""https://docs.google.com/spreadsheets/d/1Kvs4KS76FHFqLFIZfrDMff4kP08nblUkihrxltoGBjg/edit#gid=934712705"",""ESENCIAL!A6:BG""),8,FALSE))"),"")</f>
        <v/>
      </c>
      <c r="L865" s="287"/>
      <c r="U865" s="40"/>
      <c r="AU865" s="41" t="str">
        <f t="shared" si="24"/>
        <v/>
      </c>
      <c r="AV865" s="5" t="str">
        <f ca="1">IFERROR(__xludf.DUMMYFUNCTION("IFERROR(VLOOKUP(E879&amp;F879,IMPORTRANGE(""https://docs.google.com/spreadsheets/d/1Uw7-A9f9R21vMXxHZFNpYNeKFtG8_yji4HS352LGlSQ/edit?pli=1#gid=0"",""1_ACUM!A4:S""),11,FALSE))"),"")</f>
        <v/>
      </c>
      <c r="AW865" s="42" t="str">
        <f ca="1">IFERROR(__xludf.DUMMYFUNCTION("IFERROR(VLOOKUP(F879,IMPORTRANGE(""https://docs.google.com/spreadsheets/d/1Kvs4KS76FHFqLFIZfrDMff4kP08nblUkihrxltoGBjg/edit#gid=934712705"",""ESENCIAL!A6:BG""),15,FALSE))"),"")</f>
        <v/>
      </c>
      <c r="AX865" s="21" t="str">
        <f ca="1">IFERROR(__xludf.DUMMYFUNCTION("IFERROR(VLOOKUP(E879&amp;F879,IMPORTRANGE(""https://docs.google.com/spreadsheets/d/1Uw7-A9f9R21vMXxHZFNpYNeKFtG8_yji4HS352LGlSQ/edit?pli=1#gid=0"",""1_ACUM!A4:S""),12,FALSE))"),"")</f>
        <v/>
      </c>
      <c r="AY865" s="43" t="str">
        <f ca="1">IFERROR(__xludf.DUMMYFUNCTION("IFERROR(VLOOKUP(E879&amp;F879,IMPORTRANGE(""https://docs.google.com/spreadsheets/d/1Uw7-A9f9R21vMXxHZFNpYNeKFtG8_yji4HS352LGlSQ/edit?pli=1#gid=0"",""1_ACUM!A4:S""),13,FALSE))"),"")</f>
        <v/>
      </c>
      <c r="AZ865" s="43" t="str">
        <f ca="1">IFERROR(__xludf.DUMMYFUNCTION("IFERROR(VLOOKUP(E879&amp;F879,IMPORTRANGE(""https://docs.google.com/spreadsheets/d/1Uw7-A9f9R21vMXxHZFNpYNeKFtG8_yji4HS352LGlSQ/edit?pli=1#gid=0"",""1_ACUM!A4:S""),14,FALSE))"),"")</f>
        <v/>
      </c>
      <c r="BA865" s="43" t="str">
        <f ca="1">IFERROR(__xludf.DUMMYFUNCTION("IFERROR(VLOOKUP(E879&amp;F879,IMPORTRANGE(""https://docs.google.com/spreadsheets/d/1Uw7-A9f9R21vMXxHZFNpYNeKFtG8_yji4HS352LGlSQ/edit?pli=1#gid=0"",""1_ACUM!A4:S""),15,FALSE))"),"")</f>
        <v/>
      </c>
      <c r="BB865" s="43" t="str">
        <f ca="1">IFERROR(__xludf.DUMMYFUNCTION("IFERROR(VLOOKUP(E879&amp;F879,IMPORTRANGE(""https://docs.google.com/spreadsheets/d/1Uw7-A9f9R21vMXxHZFNpYNeKFtG8_yji4HS352LGlSQ/edit?pli=1#gid=0"",""1_ACUM!A4:S""),16,FALSE))"),"")</f>
        <v/>
      </c>
      <c r="BC865" s="43" t="str">
        <f ca="1">IFERROR(__xludf.DUMMYFUNCTION("IFERROR(VLOOKUP(E879&amp;F879,IMPORTRANGE(""https://docs.google.com/spreadsheets/d/1Uw7-A9f9R21vMXxHZFNpYNeKFtG8_yji4HS352LGlSQ/edit?pli=1#gid=0"",""1_ACUM!A4:S""),17,FALSE))"),"")</f>
        <v/>
      </c>
      <c r="BD865" s="44" t="str">
        <f ca="1">IFERROR(__xludf.DUMMYFUNCTION("IFERROR(VLOOKUP(E879&amp;F879,IMPORTRANGE(""https://docs.google.com/spreadsheets/d/1Uw7-A9f9R21vMXxHZFNpYNeKFtG8_yji4HS352LGlSQ/edit?pli=1#gid=0"",""1_ACUM!A4:S""),18,FALSE))"),"")</f>
        <v/>
      </c>
      <c r="BE865" s="44" t="str">
        <f ca="1">IFERROR(__xludf.DUMMYFUNCTION("IFERROR(VLOOKUP(E879&amp;F879,IMPORTRANGE(""https://docs.google.com/spreadsheets/d/1Uw7-A9f9R21vMXxHZFNpYNeKFtG8_yji4HS352LGlSQ/edit?pli=1#gid=0"",""1_ACUM!A4:S""),19,FALSE))"),"")</f>
        <v/>
      </c>
      <c r="BF865" s="98" t="str">
        <f ca="1">IFERROR(__xludf.DUMMYFUNCTION("IFERROR(VLOOKUP(F879,IMPORTRANGE(""https://docs.google.com/spreadsheets/d/1Kvs4KS76FHFqLFIZfrDMff4kP08nblUkihrxltoGBjg/edit#gid=934712705"",""ESENCIAL!A6:BG""),5,FALSE))"),"")</f>
        <v/>
      </c>
      <c r="BG865" s="98" t="str">
        <f t="shared" si="25"/>
        <v/>
      </c>
      <c r="BH865" s="99" t="str">
        <f t="shared" si="26"/>
        <v/>
      </c>
      <c r="BI865" s="100" t="str">
        <f ca="1">IFERROR(__xludf.DUMMYFUNCTION("IFERROR(VLOOKUP(F879,IMPORTRANGE(""https://docs.google.com/spreadsheets/d/1Kvs4KS76FHFqLFIZfrDMff4kP08nblUkihrxltoGBjg/edit#gid=934712705"",""ESENCIAL!A6:BG""),2,FALSE))"),"")</f>
        <v/>
      </c>
      <c r="BJ865" s="19" t="str">
        <f t="shared" si="27"/>
        <v/>
      </c>
      <c r="BK865" s="100"/>
      <c r="BL865" s="100"/>
    </row>
    <row r="866" spans="1:64" ht="15">
      <c r="A866" s="5"/>
      <c r="B866" s="5"/>
      <c r="G866" s="5" t="str">
        <f ca="1">IFERROR(__xludf.DUMMYFUNCTION("IFERROR(VLOOKUP(F880,IMPORTRANGE(""https://docs.google.com/spreadsheets/d/1Kvs4KS76FHFqLFIZfrDMff4kP08nblUkihrxltoGBjg/edit#gid=934712705"",""ESENCIAL!A6:BG""),3,FALSE))"),"")</f>
        <v/>
      </c>
      <c r="H866" s="5" t="str">
        <f ca="1">IFERROR(__xludf.DUMMYFUNCTION("IFERROR(VLOOKUP(F880,IMPORTRANGE(""https://docs.google.com/spreadsheets/d/1Kvs4KS76FHFqLFIZfrDMff4kP08nblUkihrxltoGBjg/edit#gid=934712705"",""ESENCIAL!A6:BG""),8,FALSE))"),"")</f>
        <v/>
      </c>
      <c r="L866" s="287"/>
      <c r="U866" s="40"/>
      <c r="AU866" s="41" t="str">
        <f t="shared" si="24"/>
        <v/>
      </c>
      <c r="AV866" s="5" t="str">
        <f ca="1">IFERROR(__xludf.DUMMYFUNCTION("IFERROR(VLOOKUP(E880&amp;F880,IMPORTRANGE(""https://docs.google.com/spreadsheets/d/1Uw7-A9f9R21vMXxHZFNpYNeKFtG8_yji4HS352LGlSQ/edit?pli=1#gid=0"",""1_ACUM!A4:S""),11,FALSE))"),"")</f>
        <v/>
      </c>
      <c r="AW866" s="42" t="str">
        <f ca="1">IFERROR(__xludf.DUMMYFUNCTION("IFERROR(VLOOKUP(F880,IMPORTRANGE(""https://docs.google.com/spreadsheets/d/1Kvs4KS76FHFqLFIZfrDMff4kP08nblUkihrxltoGBjg/edit#gid=934712705"",""ESENCIAL!A6:BG""),15,FALSE))"),"")</f>
        <v/>
      </c>
      <c r="AX866" s="21" t="str">
        <f ca="1">IFERROR(__xludf.DUMMYFUNCTION("IFERROR(VLOOKUP(E880&amp;F880,IMPORTRANGE(""https://docs.google.com/spreadsheets/d/1Uw7-A9f9R21vMXxHZFNpYNeKFtG8_yji4HS352LGlSQ/edit?pli=1#gid=0"",""1_ACUM!A4:S""),12,FALSE))"),"")</f>
        <v/>
      </c>
      <c r="AY866" s="43" t="str">
        <f ca="1">IFERROR(__xludf.DUMMYFUNCTION("IFERROR(VLOOKUP(E880&amp;F880,IMPORTRANGE(""https://docs.google.com/spreadsheets/d/1Uw7-A9f9R21vMXxHZFNpYNeKFtG8_yji4HS352LGlSQ/edit?pli=1#gid=0"",""1_ACUM!A4:S""),13,FALSE))"),"")</f>
        <v/>
      </c>
      <c r="AZ866" s="43" t="str">
        <f ca="1">IFERROR(__xludf.DUMMYFUNCTION("IFERROR(VLOOKUP(E880&amp;F880,IMPORTRANGE(""https://docs.google.com/spreadsheets/d/1Uw7-A9f9R21vMXxHZFNpYNeKFtG8_yji4HS352LGlSQ/edit?pli=1#gid=0"",""1_ACUM!A4:S""),14,FALSE))"),"")</f>
        <v/>
      </c>
      <c r="BA866" s="43" t="str">
        <f ca="1">IFERROR(__xludf.DUMMYFUNCTION("IFERROR(VLOOKUP(E880&amp;F880,IMPORTRANGE(""https://docs.google.com/spreadsheets/d/1Uw7-A9f9R21vMXxHZFNpYNeKFtG8_yji4HS352LGlSQ/edit?pli=1#gid=0"",""1_ACUM!A4:S""),15,FALSE))"),"")</f>
        <v/>
      </c>
      <c r="BB866" s="43" t="str">
        <f ca="1">IFERROR(__xludf.DUMMYFUNCTION("IFERROR(VLOOKUP(E880&amp;F880,IMPORTRANGE(""https://docs.google.com/spreadsheets/d/1Uw7-A9f9R21vMXxHZFNpYNeKFtG8_yji4HS352LGlSQ/edit?pli=1#gid=0"",""1_ACUM!A4:S""),16,FALSE))"),"")</f>
        <v/>
      </c>
      <c r="BC866" s="43" t="str">
        <f ca="1">IFERROR(__xludf.DUMMYFUNCTION("IFERROR(VLOOKUP(E880&amp;F880,IMPORTRANGE(""https://docs.google.com/spreadsheets/d/1Uw7-A9f9R21vMXxHZFNpYNeKFtG8_yji4HS352LGlSQ/edit?pli=1#gid=0"",""1_ACUM!A4:S""),17,FALSE))"),"")</f>
        <v/>
      </c>
      <c r="BD866" s="44" t="str">
        <f ca="1">IFERROR(__xludf.DUMMYFUNCTION("IFERROR(VLOOKUP(E880&amp;F880,IMPORTRANGE(""https://docs.google.com/spreadsheets/d/1Uw7-A9f9R21vMXxHZFNpYNeKFtG8_yji4HS352LGlSQ/edit?pli=1#gid=0"",""1_ACUM!A4:S""),18,FALSE))"),"")</f>
        <v/>
      </c>
      <c r="BE866" s="44" t="str">
        <f ca="1">IFERROR(__xludf.DUMMYFUNCTION("IFERROR(VLOOKUP(E880&amp;F880,IMPORTRANGE(""https://docs.google.com/spreadsheets/d/1Uw7-A9f9R21vMXxHZFNpYNeKFtG8_yji4HS352LGlSQ/edit?pli=1#gid=0"",""1_ACUM!A4:S""),19,FALSE))"),"")</f>
        <v/>
      </c>
      <c r="BF866" s="98" t="str">
        <f ca="1">IFERROR(__xludf.DUMMYFUNCTION("IFERROR(VLOOKUP(F880,IMPORTRANGE(""https://docs.google.com/spreadsheets/d/1Kvs4KS76FHFqLFIZfrDMff4kP08nblUkihrxltoGBjg/edit#gid=934712705"",""ESENCIAL!A6:BG""),5,FALSE))"),"")</f>
        <v/>
      </c>
      <c r="BG866" s="98" t="str">
        <f t="shared" si="25"/>
        <v/>
      </c>
      <c r="BH866" s="99" t="str">
        <f t="shared" si="26"/>
        <v/>
      </c>
      <c r="BI866" s="100" t="str">
        <f ca="1">IFERROR(__xludf.DUMMYFUNCTION("IFERROR(VLOOKUP(F880,IMPORTRANGE(""https://docs.google.com/spreadsheets/d/1Kvs4KS76FHFqLFIZfrDMff4kP08nblUkihrxltoGBjg/edit#gid=934712705"",""ESENCIAL!A6:BG""),2,FALSE))"),"")</f>
        <v/>
      </c>
      <c r="BJ866" s="19" t="str">
        <f t="shared" si="27"/>
        <v/>
      </c>
      <c r="BK866" s="100"/>
      <c r="BL866" s="100"/>
    </row>
    <row r="867" spans="1:64" ht="15">
      <c r="A867" s="5"/>
      <c r="B867" s="5"/>
      <c r="G867" s="5" t="str">
        <f ca="1">IFERROR(__xludf.DUMMYFUNCTION("IFERROR(VLOOKUP(F881,IMPORTRANGE(""https://docs.google.com/spreadsheets/d/1Kvs4KS76FHFqLFIZfrDMff4kP08nblUkihrxltoGBjg/edit#gid=934712705"",""ESENCIAL!A6:BG""),3,FALSE))"),"")</f>
        <v/>
      </c>
      <c r="H867" s="5" t="str">
        <f ca="1">IFERROR(__xludf.DUMMYFUNCTION("IFERROR(VLOOKUP(F881,IMPORTRANGE(""https://docs.google.com/spreadsheets/d/1Kvs4KS76FHFqLFIZfrDMff4kP08nblUkihrxltoGBjg/edit#gid=934712705"",""ESENCIAL!A6:BG""),8,FALSE))"),"")</f>
        <v/>
      </c>
      <c r="L867" s="287"/>
      <c r="U867" s="40"/>
      <c r="AU867" s="41" t="str">
        <f t="shared" si="24"/>
        <v/>
      </c>
      <c r="AV867" s="5" t="str">
        <f ca="1">IFERROR(__xludf.DUMMYFUNCTION("IFERROR(VLOOKUP(E881&amp;F881,IMPORTRANGE(""https://docs.google.com/spreadsheets/d/1Uw7-A9f9R21vMXxHZFNpYNeKFtG8_yji4HS352LGlSQ/edit?pli=1#gid=0"",""1_ACUM!A4:S""),11,FALSE))"),"")</f>
        <v/>
      </c>
      <c r="AW867" s="42" t="str">
        <f ca="1">IFERROR(__xludf.DUMMYFUNCTION("IFERROR(VLOOKUP(F881,IMPORTRANGE(""https://docs.google.com/spreadsheets/d/1Kvs4KS76FHFqLFIZfrDMff4kP08nblUkihrxltoGBjg/edit#gid=934712705"",""ESENCIAL!A6:BG""),15,FALSE))"),"")</f>
        <v/>
      </c>
      <c r="AX867" s="21" t="str">
        <f ca="1">IFERROR(__xludf.DUMMYFUNCTION("IFERROR(VLOOKUP(E881&amp;F881,IMPORTRANGE(""https://docs.google.com/spreadsheets/d/1Uw7-A9f9R21vMXxHZFNpYNeKFtG8_yji4HS352LGlSQ/edit?pli=1#gid=0"",""1_ACUM!A4:S""),12,FALSE))"),"")</f>
        <v/>
      </c>
      <c r="AY867" s="43" t="str">
        <f ca="1">IFERROR(__xludf.DUMMYFUNCTION("IFERROR(VLOOKUP(E881&amp;F881,IMPORTRANGE(""https://docs.google.com/spreadsheets/d/1Uw7-A9f9R21vMXxHZFNpYNeKFtG8_yji4HS352LGlSQ/edit?pli=1#gid=0"",""1_ACUM!A4:S""),13,FALSE))"),"")</f>
        <v/>
      </c>
      <c r="AZ867" s="43" t="str">
        <f ca="1">IFERROR(__xludf.DUMMYFUNCTION("IFERROR(VLOOKUP(E881&amp;F881,IMPORTRANGE(""https://docs.google.com/spreadsheets/d/1Uw7-A9f9R21vMXxHZFNpYNeKFtG8_yji4HS352LGlSQ/edit?pli=1#gid=0"",""1_ACUM!A4:S""),14,FALSE))"),"")</f>
        <v/>
      </c>
      <c r="BA867" s="43" t="str">
        <f ca="1">IFERROR(__xludf.DUMMYFUNCTION("IFERROR(VLOOKUP(E881&amp;F881,IMPORTRANGE(""https://docs.google.com/spreadsheets/d/1Uw7-A9f9R21vMXxHZFNpYNeKFtG8_yji4HS352LGlSQ/edit?pli=1#gid=0"",""1_ACUM!A4:S""),15,FALSE))"),"")</f>
        <v/>
      </c>
      <c r="BB867" s="43" t="str">
        <f ca="1">IFERROR(__xludf.DUMMYFUNCTION("IFERROR(VLOOKUP(E881&amp;F881,IMPORTRANGE(""https://docs.google.com/spreadsheets/d/1Uw7-A9f9R21vMXxHZFNpYNeKFtG8_yji4HS352LGlSQ/edit?pli=1#gid=0"",""1_ACUM!A4:S""),16,FALSE))"),"")</f>
        <v/>
      </c>
      <c r="BC867" s="43" t="str">
        <f ca="1">IFERROR(__xludf.DUMMYFUNCTION("IFERROR(VLOOKUP(E881&amp;F881,IMPORTRANGE(""https://docs.google.com/spreadsheets/d/1Uw7-A9f9R21vMXxHZFNpYNeKFtG8_yji4HS352LGlSQ/edit?pli=1#gid=0"",""1_ACUM!A4:S""),17,FALSE))"),"")</f>
        <v/>
      </c>
      <c r="BD867" s="44" t="str">
        <f ca="1">IFERROR(__xludf.DUMMYFUNCTION("IFERROR(VLOOKUP(E881&amp;F881,IMPORTRANGE(""https://docs.google.com/spreadsheets/d/1Uw7-A9f9R21vMXxHZFNpYNeKFtG8_yji4HS352LGlSQ/edit?pli=1#gid=0"",""1_ACUM!A4:S""),18,FALSE))"),"")</f>
        <v/>
      </c>
      <c r="BE867" s="44" t="str">
        <f ca="1">IFERROR(__xludf.DUMMYFUNCTION("IFERROR(VLOOKUP(E881&amp;F881,IMPORTRANGE(""https://docs.google.com/spreadsheets/d/1Uw7-A9f9R21vMXxHZFNpYNeKFtG8_yji4HS352LGlSQ/edit?pli=1#gid=0"",""1_ACUM!A4:S""),19,FALSE))"),"")</f>
        <v/>
      </c>
      <c r="BF867" s="98" t="str">
        <f ca="1">IFERROR(__xludf.DUMMYFUNCTION("IFERROR(VLOOKUP(F881,IMPORTRANGE(""https://docs.google.com/spreadsheets/d/1Kvs4KS76FHFqLFIZfrDMff4kP08nblUkihrxltoGBjg/edit#gid=934712705"",""ESENCIAL!A6:BG""),5,FALSE))"),"")</f>
        <v/>
      </c>
      <c r="BG867" s="98" t="str">
        <f t="shared" si="25"/>
        <v/>
      </c>
      <c r="BH867" s="99" t="str">
        <f t="shared" si="26"/>
        <v/>
      </c>
      <c r="BI867" s="100" t="str">
        <f ca="1">IFERROR(__xludf.DUMMYFUNCTION("IFERROR(VLOOKUP(F881,IMPORTRANGE(""https://docs.google.com/spreadsheets/d/1Kvs4KS76FHFqLFIZfrDMff4kP08nblUkihrxltoGBjg/edit#gid=934712705"",""ESENCIAL!A6:BG""),2,FALSE))"),"")</f>
        <v/>
      </c>
      <c r="BJ867" s="19" t="str">
        <f t="shared" si="27"/>
        <v/>
      </c>
      <c r="BK867" s="100"/>
      <c r="BL867" s="100"/>
    </row>
    <row r="868" spans="1:64" ht="15">
      <c r="A868" s="5"/>
      <c r="B868" s="5"/>
      <c r="G868" s="5" t="str">
        <f ca="1">IFERROR(__xludf.DUMMYFUNCTION("IFERROR(VLOOKUP(F882,IMPORTRANGE(""https://docs.google.com/spreadsheets/d/1Kvs4KS76FHFqLFIZfrDMff4kP08nblUkihrxltoGBjg/edit#gid=934712705"",""ESENCIAL!A6:BG""),3,FALSE))"),"")</f>
        <v/>
      </c>
      <c r="H868" s="5" t="str">
        <f ca="1">IFERROR(__xludf.DUMMYFUNCTION("IFERROR(VLOOKUP(F882,IMPORTRANGE(""https://docs.google.com/spreadsheets/d/1Kvs4KS76FHFqLFIZfrDMff4kP08nblUkihrxltoGBjg/edit#gid=934712705"",""ESENCIAL!A6:BG""),8,FALSE))"),"")</f>
        <v/>
      </c>
      <c r="L868" s="287"/>
      <c r="U868" s="40"/>
      <c r="AU868" s="41" t="str">
        <f t="shared" si="24"/>
        <v/>
      </c>
      <c r="AV868" s="5" t="str">
        <f ca="1">IFERROR(__xludf.DUMMYFUNCTION("IFERROR(VLOOKUP(E882&amp;F882,IMPORTRANGE(""https://docs.google.com/spreadsheets/d/1Uw7-A9f9R21vMXxHZFNpYNeKFtG8_yji4HS352LGlSQ/edit?pli=1#gid=0"",""1_ACUM!A4:S""),11,FALSE))"),"")</f>
        <v/>
      </c>
      <c r="AW868" s="42" t="str">
        <f ca="1">IFERROR(__xludf.DUMMYFUNCTION("IFERROR(VLOOKUP(F882,IMPORTRANGE(""https://docs.google.com/spreadsheets/d/1Kvs4KS76FHFqLFIZfrDMff4kP08nblUkihrxltoGBjg/edit#gid=934712705"",""ESENCIAL!A6:BG""),15,FALSE))"),"")</f>
        <v/>
      </c>
      <c r="AX868" s="21" t="str">
        <f ca="1">IFERROR(__xludf.DUMMYFUNCTION("IFERROR(VLOOKUP(E882&amp;F882,IMPORTRANGE(""https://docs.google.com/spreadsheets/d/1Uw7-A9f9R21vMXxHZFNpYNeKFtG8_yji4HS352LGlSQ/edit?pli=1#gid=0"",""1_ACUM!A4:S""),12,FALSE))"),"")</f>
        <v/>
      </c>
      <c r="AY868" s="43" t="str">
        <f ca="1">IFERROR(__xludf.DUMMYFUNCTION("IFERROR(VLOOKUP(E882&amp;F882,IMPORTRANGE(""https://docs.google.com/spreadsheets/d/1Uw7-A9f9R21vMXxHZFNpYNeKFtG8_yji4HS352LGlSQ/edit?pli=1#gid=0"",""1_ACUM!A4:S""),13,FALSE))"),"")</f>
        <v/>
      </c>
      <c r="AZ868" s="43" t="str">
        <f ca="1">IFERROR(__xludf.DUMMYFUNCTION("IFERROR(VLOOKUP(E882&amp;F882,IMPORTRANGE(""https://docs.google.com/spreadsheets/d/1Uw7-A9f9R21vMXxHZFNpYNeKFtG8_yji4HS352LGlSQ/edit?pli=1#gid=0"",""1_ACUM!A4:S""),14,FALSE))"),"")</f>
        <v/>
      </c>
      <c r="BA868" s="43" t="str">
        <f ca="1">IFERROR(__xludf.DUMMYFUNCTION("IFERROR(VLOOKUP(E882&amp;F882,IMPORTRANGE(""https://docs.google.com/spreadsheets/d/1Uw7-A9f9R21vMXxHZFNpYNeKFtG8_yji4HS352LGlSQ/edit?pli=1#gid=0"",""1_ACUM!A4:S""),15,FALSE))"),"")</f>
        <v/>
      </c>
      <c r="BB868" s="43" t="str">
        <f ca="1">IFERROR(__xludf.DUMMYFUNCTION("IFERROR(VLOOKUP(E882&amp;F882,IMPORTRANGE(""https://docs.google.com/spreadsheets/d/1Uw7-A9f9R21vMXxHZFNpYNeKFtG8_yji4HS352LGlSQ/edit?pli=1#gid=0"",""1_ACUM!A4:S""),16,FALSE))"),"")</f>
        <v/>
      </c>
      <c r="BC868" s="43" t="str">
        <f ca="1">IFERROR(__xludf.DUMMYFUNCTION("IFERROR(VLOOKUP(E882&amp;F882,IMPORTRANGE(""https://docs.google.com/spreadsheets/d/1Uw7-A9f9R21vMXxHZFNpYNeKFtG8_yji4HS352LGlSQ/edit?pli=1#gid=0"",""1_ACUM!A4:S""),17,FALSE))"),"")</f>
        <v/>
      </c>
      <c r="BD868" s="44" t="str">
        <f ca="1">IFERROR(__xludf.DUMMYFUNCTION("IFERROR(VLOOKUP(E882&amp;F882,IMPORTRANGE(""https://docs.google.com/spreadsheets/d/1Uw7-A9f9R21vMXxHZFNpYNeKFtG8_yji4HS352LGlSQ/edit?pli=1#gid=0"",""1_ACUM!A4:S""),18,FALSE))"),"")</f>
        <v/>
      </c>
      <c r="BE868" s="44" t="str">
        <f ca="1">IFERROR(__xludf.DUMMYFUNCTION("IFERROR(VLOOKUP(E882&amp;F882,IMPORTRANGE(""https://docs.google.com/spreadsheets/d/1Uw7-A9f9R21vMXxHZFNpYNeKFtG8_yji4HS352LGlSQ/edit?pli=1#gid=0"",""1_ACUM!A4:S""),19,FALSE))"),"")</f>
        <v/>
      </c>
      <c r="BF868" s="98" t="str">
        <f ca="1">IFERROR(__xludf.DUMMYFUNCTION("IFERROR(VLOOKUP(F882,IMPORTRANGE(""https://docs.google.com/spreadsheets/d/1Kvs4KS76FHFqLFIZfrDMff4kP08nblUkihrxltoGBjg/edit#gid=934712705"",""ESENCIAL!A6:BG""),5,FALSE))"),"")</f>
        <v/>
      </c>
      <c r="BG868" s="98" t="str">
        <f t="shared" si="25"/>
        <v/>
      </c>
      <c r="BH868" s="99" t="str">
        <f t="shared" si="26"/>
        <v/>
      </c>
      <c r="BI868" s="100" t="str">
        <f ca="1">IFERROR(__xludf.DUMMYFUNCTION("IFERROR(VLOOKUP(F882,IMPORTRANGE(""https://docs.google.com/spreadsheets/d/1Kvs4KS76FHFqLFIZfrDMff4kP08nblUkihrxltoGBjg/edit#gid=934712705"",""ESENCIAL!A6:BG""),2,FALSE))"),"")</f>
        <v/>
      </c>
      <c r="BJ868" s="19" t="str">
        <f t="shared" si="27"/>
        <v/>
      </c>
      <c r="BK868" s="100"/>
      <c r="BL868" s="100"/>
    </row>
    <row r="869" spans="1:64" ht="15">
      <c r="A869" s="5"/>
      <c r="B869" s="5"/>
      <c r="G869" s="5" t="str">
        <f ca="1">IFERROR(__xludf.DUMMYFUNCTION("IFERROR(VLOOKUP(F883,IMPORTRANGE(""https://docs.google.com/spreadsheets/d/1Kvs4KS76FHFqLFIZfrDMff4kP08nblUkihrxltoGBjg/edit#gid=934712705"",""ESENCIAL!A6:BG""),3,FALSE))"),"")</f>
        <v/>
      </c>
      <c r="H869" s="5" t="str">
        <f ca="1">IFERROR(__xludf.DUMMYFUNCTION("IFERROR(VLOOKUP(F883,IMPORTRANGE(""https://docs.google.com/spreadsheets/d/1Kvs4KS76FHFqLFIZfrDMff4kP08nblUkihrxltoGBjg/edit#gid=934712705"",""ESENCIAL!A6:BG""),8,FALSE))"),"")</f>
        <v/>
      </c>
      <c r="L869" s="287"/>
      <c r="U869" s="40"/>
      <c r="AU869" s="41" t="str">
        <f t="shared" si="24"/>
        <v/>
      </c>
      <c r="AV869" s="5" t="str">
        <f ca="1">IFERROR(__xludf.DUMMYFUNCTION("IFERROR(VLOOKUP(E883&amp;F883,IMPORTRANGE(""https://docs.google.com/spreadsheets/d/1Uw7-A9f9R21vMXxHZFNpYNeKFtG8_yji4HS352LGlSQ/edit?pli=1#gid=0"",""1_ACUM!A4:S""),11,FALSE))"),"")</f>
        <v/>
      </c>
      <c r="AW869" s="42" t="str">
        <f ca="1">IFERROR(__xludf.DUMMYFUNCTION("IFERROR(VLOOKUP(F883,IMPORTRANGE(""https://docs.google.com/spreadsheets/d/1Kvs4KS76FHFqLFIZfrDMff4kP08nblUkihrxltoGBjg/edit#gid=934712705"",""ESENCIAL!A6:BG""),15,FALSE))"),"")</f>
        <v/>
      </c>
      <c r="AX869" s="21" t="str">
        <f ca="1">IFERROR(__xludf.DUMMYFUNCTION("IFERROR(VLOOKUP(E883&amp;F883,IMPORTRANGE(""https://docs.google.com/spreadsheets/d/1Uw7-A9f9R21vMXxHZFNpYNeKFtG8_yji4HS352LGlSQ/edit?pli=1#gid=0"",""1_ACUM!A4:S""),12,FALSE))"),"")</f>
        <v/>
      </c>
      <c r="AY869" s="43" t="str">
        <f ca="1">IFERROR(__xludf.DUMMYFUNCTION("IFERROR(VLOOKUP(E883&amp;F883,IMPORTRANGE(""https://docs.google.com/spreadsheets/d/1Uw7-A9f9R21vMXxHZFNpYNeKFtG8_yji4HS352LGlSQ/edit?pli=1#gid=0"",""1_ACUM!A4:S""),13,FALSE))"),"")</f>
        <v/>
      </c>
      <c r="AZ869" s="43" t="str">
        <f ca="1">IFERROR(__xludf.DUMMYFUNCTION("IFERROR(VLOOKUP(E883&amp;F883,IMPORTRANGE(""https://docs.google.com/spreadsheets/d/1Uw7-A9f9R21vMXxHZFNpYNeKFtG8_yji4HS352LGlSQ/edit?pli=1#gid=0"",""1_ACUM!A4:S""),14,FALSE))"),"")</f>
        <v/>
      </c>
      <c r="BA869" s="43" t="str">
        <f ca="1">IFERROR(__xludf.DUMMYFUNCTION("IFERROR(VLOOKUP(E883&amp;F883,IMPORTRANGE(""https://docs.google.com/spreadsheets/d/1Uw7-A9f9R21vMXxHZFNpYNeKFtG8_yji4HS352LGlSQ/edit?pli=1#gid=0"",""1_ACUM!A4:S""),15,FALSE))"),"")</f>
        <v/>
      </c>
      <c r="BB869" s="43" t="str">
        <f ca="1">IFERROR(__xludf.DUMMYFUNCTION("IFERROR(VLOOKUP(E883&amp;F883,IMPORTRANGE(""https://docs.google.com/spreadsheets/d/1Uw7-A9f9R21vMXxHZFNpYNeKFtG8_yji4HS352LGlSQ/edit?pli=1#gid=0"",""1_ACUM!A4:S""),16,FALSE))"),"")</f>
        <v/>
      </c>
      <c r="BC869" s="43" t="str">
        <f ca="1">IFERROR(__xludf.DUMMYFUNCTION("IFERROR(VLOOKUP(E883&amp;F883,IMPORTRANGE(""https://docs.google.com/spreadsheets/d/1Uw7-A9f9R21vMXxHZFNpYNeKFtG8_yji4HS352LGlSQ/edit?pli=1#gid=0"",""1_ACUM!A4:S""),17,FALSE))"),"")</f>
        <v/>
      </c>
      <c r="BD869" s="44" t="str">
        <f ca="1">IFERROR(__xludf.DUMMYFUNCTION("IFERROR(VLOOKUP(E883&amp;F883,IMPORTRANGE(""https://docs.google.com/spreadsheets/d/1Uw7-A9f9R21vMXxHZFNpYNeKFtG8_yji4HS352LGlSQ/edit?pli=1#gid=0"",""1_ACUM!A4:S""),18,FALSE))"),"")</f>
        <v/>
      </c>
      <c r="BE869" s="44" t="str">
        <f ca="1">IFERROR(__xludf.DUMMYFUNCTION("IFERROR(VLOOKUP(E883&amp;F883,IMPORTRANGE(""https://docs.google.com/spreadsheets/d/1Uw7-A9f9R21vMXxHZFNpYNeKFtG8_yji4HS352LGlSQ/edit?pli=1#gid=0"",""1_ACUM!A4:S""),19,FALSE))"),"")</f>
        <v/>
      </c>
      <c r="BF869" s="98" t="str">
        <f ca="1">IFERROR(__xludf.DUMMYFUNCTION("IFERROR(VLOOKUP(F883,IMPORTRANGE(""https://docs.google.com/spreadsheets/d/1Kvs4KS76FHFqLFIZfrDMff4kP08nblUkihrxltoGBjg/edit#gid=934712705"",""ESENCIAL!A6:BG""),5,FALSE))"),"")</f>
        <v/>
      </c>
      <c r="BG869" s="98" t="str">
        <f t="shared" si="25"/>
        <v/>
      </c>
      <c r="BH869" s="99" t="str">
        <f t="shared" si="26"/>
        <v/>
      </c>
      <c r="BI869" s="100" t="str">
        <f ca="1">IFERROR(__xludf.DUMMYFUNCTION("IFERROR(VLOOKUP(F883,IMPORTRANGE(""https://docs.google.com/spreadsheets/d/1Kvs4KS76FHFqLFIZfrDMff4kP08nblUkihrxltoGBjg/edit#gid=934712705"",""ESENCIAL!A6:BG""),2,FALSE))"),"")</f>
        <v/>
      </c>
      <c r="BJ869" s="19" t="str">
        <f t="shared" si="27"/>
        <v/>
      </c>
      <c r="BK869" s="100"/>
      <c r="BL869" s="100"/>
    </row>
    <row r="870" spans="1:64" ht="15">
      <c r="A870" s="5"/>
      <c r="B870" s="5"/>
      <c r="G870" s="5" t="str">
        <f ca="1">IFERROR(__xludf.DUMMYFUNCTION("IFERROR(VLOOKUP(F884,IMPORTRANGE(""https://docs.google.com/spreadsheets/d/1Kvs4KS76FHFqLFIZfrDMff4kP08nblUkihrxltoGBjg/edit#gid=934712705"",""ESENCIAL!A6:BG""),3,FALSE))"),"")</f>
        <v/>
      </c>
      <c r="H870" s="5" t="str">
        <f ca="1">IFERROR(__xludf.DUMMYFUNCTION("IFERROR(VLOOKUP(F884,IMPORTRANGE(""https://docs.google.com/spreadsheets/d/1Kvs4KS76FHFqLFIZfrDMff4kP08nblUkihrxltoGBjg/edit#gid=934712705"",""ESENCIAL!A6:BG""),8,FALSE))"),"")</f>
        <v/>
      </c>
      <c r="L870" s="287"/>
      <c r="U870" s="40"/>
      <c r="AU870" s="41" t="str">
        <f t="shared" si="24"/>
        <v/>
      </c>
      <c r="AV870" s="5" t="str">
        <f ca="1">IFERROR(__xludf.DUMMYFUNCTION("IFERROR(VLOOKUP(E884&amp;F884,IMPORTRANGE(""https://docs.google.com/spreadsheets/d/1Uw7-A9f9R21vMXxHZFNpYNeKFtG8_yji4HS352LGlSQ/edit?pli=1#gid=0"",""1_ACUM!A4:S""),11,FALSE))"),"")</f>
        <v/>
      </c>
      <c r="AW870" s="42" t="str">
        <f ca="1">IFERROR(__xludf.DUMMYFUNCTION("IFERROR(VLOOKUP(F884,IMPORTRANGE(""https://docs.google.com/spreadsheets/d/1Kvs4KS76FHFqLFIZfrDMff4kP08nblUkihrxltoGBjg/edit#gid=934712705"",""ESENCIAL!A6:BG""),15,FALSE))"),"")</f>
        <v/>
      </c>
      <c r="AX870" s="21" t="str">
        <f ca="1">IFERROR(__xludf.DUMMYFUNCTION("IFERROR(VLOOKUP(E884&amp;F884,IMPORTRANGE(""https://docs.google.com/spreadsheets/d/1Uw7-A9f9R21vMXxHZFNpYNeKFtG8_yji4HS352LGlSQ/edit?pli=1#gid=0"",""1_ACUM!A4:S""),12,FALSE))"),"")</f>
        <v/>
      </c>
      <c r="AY870" s="43" t="str">
        <f ca="1">IFERROR(__xludf.DUMMYFUNCTION("IFERROR(VLOOKUP(E884&amp;F884,IMPORTRANGE(""https://docs.google.com/spreadsheets/d/1Uw7-A9f9R21vMXxHZFNpYNeKFtG8_yji4HS352LGlSQ/edit?pli=1#gid=0"",""1_ACUM!A4:S""),13,FALSE))"),"")</f>
        <v/>
      </c>
      <c r="AZ870" s="43" t="str">
        <f ca="1">IFERROR(__xludf.DUMMYFUNCTION("IFERROR(VLOOKUP(E884&amp;F884,IMPORTRANGE(""https://docs.google.com/spreadsheets/d/1Uw7-A9f9R21vMXxHZFNpYNeKFtG8_yji4HS352LGlSQ/edit?pli=1#gid=0"",""1_ACUM!A4:S""),14,FALSE))"),"")</f>
        <v/>
      </c>
      <c r="BA870" s="43" t="str">
        <f ca="1">IFERROR(__xludf.DUMMYFUNCTION("IFERROR(VLOOKUP(E884&amp;F884,IMPORTRANGE(""https://docs.google.com/spreadsheets/d/1Uw7-A9f9R21vMXxHZFNpYNeKFtG8_yji4HS352LGlSQ/edit?pli=1#gid=0"",""1_ACUM!A4:S""),15,FALSE))"),"")</f>
        <v/>
      </c>
      <c r="BB870" s="43" t="str">
        <f ca="1">IFERROR(__xludf.DUMMYFUNCTION("IFERROR(VLOOKUP(E884&amp;F884,IMPORTRANGE(""https://docs.google.com/spreadsheets/d/1Uw7-A9f9R21vMXxHZFNpYNeKFtG8_yji4HS352LGlSQ/edit?pli=1#gid=0"",""1_ACUM!A4:S""),16,FALSE))"),"")</f>
        <v/>
      </c>
      <c r="BC870" s="43" t="str">
        <f ca="1">IFERROR(__xludf.DUMMYFUNCTION("IFERROR(VLOOKUP(E884&amp;F884,IMPORTRANGE(""https://docs.google.com/spreadsheets/d/1Uw7-A9f9R21vMXxHZFNpYNeKFtG8_yji4HS352LGlSQ/edit?pli=1#gid=0"",""1_ACUM!A4:S""),17,FALSE))"),"")</f>
        <v/>
      </c>
      <c r="BD870" s="44" t="str">
        <f ca="1">IFERROR(__xludf.DUMMYFUNCTION("IFERROR(VLOOKUP(E884&amp;F884,IMPORTRANGE(""https://docs.google.com/spreadsheets/d/1Uw7-A9f9R21vMXxHZFNpYNeKFtG8_yji4HS352LGlSQ/edit?pli=1#gid=0"",""1_ACUM!A4:S""),18,FALSE))"),"")</f>
        <v/>
      </c>
      <c r="BE870" s="44" t="str">
        <f ca="1">IFERROR(__xludf.DUMMYFUNCTION("IFERROR(VLOOKUP(E884&amp;F884,IMPORTRANGE(""https://docs.google.com/spreadsheets/d/1Uw7-A9f9R21vMXxHZFNpYNeKFtG8_yji4HS352LGlSQ/edit?pli=1#gid=0"",""1_ACUM!A4:S""),19,FALSE))"),"")</f>
        <v/>
      </c>
      <c r="BF870" s="98" t="str">
        <f ca="1">IFERROR(__xludf.DUMMYFUNCTION("IFERROR(VLOOKUP(F884,IMPORTRANGE(""https://docs.google.com/spreadsheets/d/1Kvs4KS76FHFqLFIZfrDMff4kP08nblUkihrxltoGBjg/edit#gid=934712705"",""ESENCIAL!A6:BG""),5,FALSE))"),"")</f>
        <v/>
      </c>
      <c r="BG870" s="98" t="str">
        <f t="shared" si="25"/>
        <v/>
      </c>
      <c r="BH870" s="99" t="str">
        <f t="shared" si="26"/>
        <v/>
      </c>
      <c r="BI870" s="100" t="str">
        <f ca="1">IFERROR(__xludf.DUMMYFUNCTION("IFERROR(VLOOKUP(F884,IMPORTRANGE(""https://docs.google.com/spreadsheets/d/1Kvs4KS76FHFqLFIZfrDMff4kP08nblUkihrxltoGBjg/edit#gid=934712705"",""ESENCIAL!A6:BG""),2,FALSE))"),"")</f>
        <v/>
      </c>
      <c r="BJ870" s="19" t="str">
        <f t="shared" si="27"/>
        <v/>
      </c>
      <c r="BK870" s="100"/>
      <c r="BL870" s="100"/>
    </row>
    <row r="871" spans="1:64" ht="15">
      <c r="A871" s="5"/>
      <c r="B871" s="5"/>
      <c r="G871" s="5" t="str">
        <f ca="1">IFERROR(__xludf.DUMMYFUNCTION("IFERROR(VLOOKUP(F885,IMPORTRANGE(""https://docs.google.com/spreadsheets/d/1Kvs4KS76FHFqLFIZfrDMff4kP08nblUkihrxltoGBjg/edit#gid=934712705"",""ESENCIAL!A6:BG""),3,FALSE))"),"")</f>
        <v/>
      </c>
      <c r="H871" s="5" t="str">
        <f ca="1">IFERROR(__xludf.DUMMYFUNCTION("IFERROR(VLOOKUP(F885,IMPORTRANGE(""https://docs.google.com/spreadsheets/d/1Kvs4KS76FHFqLFIZfrDMff4kP08nblUkihrxltoGBjg/edit#gid=934712705"",""ESENCIAL!A6:BG""),8,FALSE))"),"")</f>
        <v/>
      </c>
      <c r="L871" s="287"/>
      <c r="U871" s="40"/>
      <c r="AU871" s="41" t="str">
        <f t="shared" si="24"/>
        <v/>
      </c>
      <c r="AV871" s="5" t="str">
        <f ca="1">IFERROR(__xludf.DUMMYFUNCTION("IFERROR(VLOOKUP(E885&amp;F885,IMPORTRANGE(""https://docs.google.com/spreadsheets/d/1Uw7-A9f9R21vMXxHZFNpYNeKFtG8_yji4HS352LGlSQ/edit?pli=1#gid=0"",""1_ACUM!A4:S""),11,FALSE))"),"")</f>
        <v/>
      </c>
      <c r="AW871" s="42" t="str">
        <f ca="1">IFERROR(__xludf.DUMMYFUNCTION("IFERROR(VLOOKUP(F885,IMPORTRANGE(""https://docs.google.com/spreadsheets/d/1Kvs4KS76FHFqLFIZfrDMff4kP08nblUkihrxltoGBjg/edit#gid=934712705"",""ESENCIAL!A6:BG""),15,FALSE))"),"")</f>
        <v/>
      </c>
      <c r="AX871" s="21" t="str">
        <f ca="1">IFERROR(__xludf.DUMMYFUNCTION("IFERROR(VLOOKUP(E885&amp;F885,IMPORTRANGE(""https://docs.google.com/spreadsheets/d/1Uw7-A9f9R21vMXxHZFNpYNeKFtG8_yji4HS352LGlSQ/edit?pli=1#gid=0"",""1_ACUM!A4:S""),12,FALSE))"),"")</f>
        <v/>
      </c>
      <c r="AY871" s="43" t="str">
        <f ca="1">IFERROR(__xludf.DUMMYFUNCTION("IFERROR(VLOOKUP(E885&amp;F885,IMPORTRANGE(""https://docs.google.com/spreadsheets/d/1Uw7-A9f9R21vMXxHZFNpYNeKFtG8_yji4HS352LGlSQ/edit?pli=1#gid=0"",""1_ACUM!A4:S""),13,FALSE))"),"")</f>
        <v/>
      </c>
      <c r="AZ871" s="43" t="str">
        <f ca="1">IFERROR(__xludf.DUMMYFUNCTION("IFERROR(VLOOKUP(E885&amp;F885,IMPORTRANGE(""https://docs.google.com/spreadsheets/d/1Uw7-A9f9R21vMXxHZFNpYNeKFtG8_yji4HS352LGlSQ/edit?pli=1#gid=0"",""1_ACUM!A4:S""),14,FALSE))"),"")</f>
        <v/>
      </c>
      <c r="BA871" s="43" t="str">
        <f ca="1">IFERROR(__xludf.DUMMYFUNCTION("IFERROR(VLOOKUP(E885&amp;F885,IMPORTRANGE(""https://docs.google.com/spreadsheets/d/1Uw7-A9f9R21vMXxHZFNpYNeKFtG8_yji4HS352LGlSQ/edit?pli=1#gid=0"",""1_ACUM!A4:S""),15,FALSE))"),"")</f>
        <v/>
      </c>
      <c r="BB871" s="43" t="str">
        <f ca="1">IFERROR(__xludf.DUMMYFUNCTION("IFERROR(VLOOKUP(E885&amp;F885,IMPORTRANGE(""https://docs.google.com/spreadsheets/d/1Uw7-A9f9R21vMXxHZFNpYNeKFtG8_yji4HS352LGlSQ/edit?pli=1#gid=0"",""1_ACUM!A4:S""),16,FALSE))"),"")</f>
        <v/>
      </c>
      <c r="BC871" s="43" t="str">
        <f ca="1">IFERROR(__xludf.DUMMYFUNCTION("IFERROR(VLOOKUP(E885&amp;F885,IMPORTRANGE(""https://docs.google.com/spreadsheets/d/1Uw7-A9f9R21vMXxHZFNpYNeKFtG8_yji4HS352LGlSQ/edit?pli=1#gid=0"",""1_ACUM!A4:S""),17,FALSE))"),"")</f>
        <v/>
      </c>
      <c r="BD871" s="44" t="str">
        <f ca="1">IFERROR(__xludf.DUMMYFUNCTION("IFERROR(VLOOKUP(E885&amp;F885,IMPORTRANGE(""https://docs.google.com/spreadsheets/d/1Uw7-A9f9R21vMXxHZFNpYNeKFtG8_yji4HS352LGlSQ/edit?pli=1#gid=0"",""1_ACUM!A4:S""),18,FALSE))"),"")</f>
        <v/>
      </c>
      <c r="BE871" s="44" t="str">
        <f ca="1">IFERROR(__xludf.DUMMYFUNCTION("IFERROR(VLOOKUP(E885&amp;F885,IMPORTRANGE(""https://docs.google.com/spreadsheets/d/1Uw7-A9f9R21vMXxHZFNpYNeKFtG8_yji4HS352LGlSQ/edit?pli=1#gid=0"",""1_ACUM!A4:S""),19,FALSE))"),"")</f>
        <v/>
      </c>
      <c r="BF871" s="98" t="str">
        <f ca="1">IFERROR(__xludf.DUMMYFUNCTION("IFERROR(VLOOKUP(F885,IMPORTRANGE(""https://docs.google.com/spreadsheets/d/1Kvs4KS76FHFqLFIZfrDMff4kP08nblUkihrxltoGBjg/edit#gid=934712705"",""ESENCIAL!A6:BG""),5,FALSE))"),"")</f>
        <v/>
      </c>
      <c r="BG871" s="98" t="str">
        <f t="shared" si="25"/>
        <v/>
      </c>
      <c r="BH871" s="99" t="str">
        <f t="shared" si="26"/>
        <v/>
      </c>
      <c r="BI871" s="100" t="str">
        <f ca="1">IFERROR(__xludf.DUMMYFUNCTION("IFERROR(VLOOKUP(F885,IMPORTRANGE(""https://docs.google.com/spreadsheets/d/1Kvs4KS76FHFqLFIZfrDMff4kP08nblUkihrxltoGBjg/edit#gid=934712705"",""ESENCIAL!A6:BG""),2,FALSE))"),"")</f>
        <v/>
      </c>
      <c r="BJ871" s="19" t="str">
        <f t="shared" si="27"/>
        <v/>
      </c>
      <c r="BK871" s="100"/>
      <c r="BL871" s="100"/>
    </row>
    <row r="872" spans="1:64" ht="15">
      <c r="A872" s="5"/>
      <c r="B872" s="5"/>
      <c r="G872" s="5" t="str">
        <f ca="1">IFERROR(__xludf.DUMMYFUNCTION("IFERROR(VLOOKUP(F886,IMPORTRANGE(""https://docs.google.com/spreadsheets/d/1Kvs4KS76FHFqLFIZfrDMff4kP08nblUkihrxltoGBjg/edit#gid=934712705"",""ESENCIAL!A6:BG""),3,FALSE))"),"")</f>
        <v/>
      </c>
      <c r="H872" s="5" t="str">
        <f ca="1">IFERROR(__xludf.DUMMYFUNCTION("IFERROR(VLOOKUP(F886,IMPORTRANGE(""https://docs.google.com/spreadsheets/d/1Kvs4KS76FHFqLFIZfrDMff4kP08nblUkihrxltoGBjg/edit#gid=934712705"",""ESENCIAL!A6:BG""),8,FALSE))"),"")</f>
        <v/>
      </c>
      <c r="L872" s="287"/>
      <c r="U872" s="40"/>
      <c r="AU872" s="41" t="str">
        <f t="shared" si="24"/>
        <v/>
      </c>
      <c r="AV872" s="5" t="str">
        <f ca="1">IFERROR(__xludf.DUMMYFUNCTION("IFERROR(VLOOKUP(E886&amp;F886,IMPORTRANGE(""https://docs.google.com/spreadsheets/d/1Uw7-A9f9R21vMXxHZFNpYNeKFtG8_yji4HS352LGlSQ/edit?pli=1#gid=0"",""1_ACUM!A4:S""),11,FALSE))"),"")</f>
        <v/>
      </c>
      <c r="AW872" s="42" t="str">
        <f ca="1">IFERROR(__xludf.DUMMYFUNCTION("IFERROR(VLOOKUP(F886,IMPORTRANGE(""https://docs.google.com/spreadsheets/d/1Kvs4KS76FHFqLFIZfrDMff4kP08nblUkihrxltoGBjg/edit#gid=934712705"",""ESENCIAL!A6:BG""),15,FALSE))"),"")</f>
        <v/>
      </c>
      <c r="AX872" s="21" t="str">
        <f ca="1">IFERROR(__xludf.DUMMYFUNCTION("IFERROR(VLOOKUP(E886&amp;F886,IMPORTRANGE(""https://docs.google.com/spreadsheets/d/1Uw7-A9f9R21vMXxHZFNpYNeKFtG8_yji4HS352LGlSQ/edit?pli=1#gid=0"",""1_ACUM!A4:S""),12,FALSE))"),"")</f>
        <v/>
      </c>
      <c r="AY872" s="43" t="str">
        <f ca="1">IFERROR(__xludf.DUMMYFUNCTION("IFERROR(VLOOKUP(E886&amp;F886,IMPORTRANGE(""https://docs.google.com/spreadsheets/d/1Uw7-A9f9R21vMXxHZFNpYNeKFtG8_yji4HS352LGlSQ/edit?pli=1#gid=0"",""1_ACUM!A4:S""),13,FALSE))"),"")</f>
        <v/>
      </c>
      <c r="AZ872" s="43" t="str">
        <f ca="1">IFERROR(__xludf.DUMMYFUNCTION("IFERROR(VLOOKUP(E886&amp;F886,IMPORTRANGE(""https://docs.google.com/spreadsheets/d/1Uw7-A9f9R21vMXxHZFNpYNeKFtG8_yji4HS352LGlSQ/edit?pli=1#gid=0"",""1_ACUM!A4:S""),14,FALSE))"),"")</f>
        <v/>
      </c>
      <c r="BA872" s="43" t="str">
        <f ca="1">IFERROR(__xludf.DUMMYFUNCTION("IFERROR(VLOOKUP(E886&amp;F886,IMPORTRANGE(""https://docs.google.com/spreadsheets/d/1Uw7-A9f9R21vMXxHZFNpYNeKFtG8_yji4HS352LGlSQ/edit?pli=1#gid=0"",""1_ACUM!A4:S""),15,FALSE))"),"")</f>
        <v/>
      </c>
      <c r="BB872" s="43" t="str">
        <f ca="1">IFERROR(__xludf.DUMMYFUNCTION("IFERROR(VLOOKUP(E886&amp;F886,IMPORTRANGE(""https://docs.google.com/spreadsheets/d/1Uw7-A9f9R21vMXxHZFNpYNeKFtG8_yji4HS352LGlSQ/edit?pli=1#gid=0"",""1_ACUM!A4:S""),16,FALSE))"),"")</f>
        <v/>
      </c>
      <c r="BC872" s="43" t="str">
        <f ca="1">IFERROR(__xludf.DUMMYFUNCTION("IFERROR(VLOOKUP(E886&amp;F886,IMPORTRANGE(""https://docs.google.com/spreadsheets/d/1Uw7-A9f9R21vMXxHZFNpYNeKFtG8_yji4HS352LGlSQ/edit?pli=1#gid=0"",""1_ACUM!A4:S""),17,FALSE))"),"")</f>
        <v/>
      </c>
      <c r="BD872" s="44" t="str">
        <f ca="1">IFERROR(__xludf.DUMMYFUNCTION("IFERROR(VLOOKUP(E886&amp;F886,IMPORTRANGE(""https://docs.google.com/spreadsheets/d/1Uw7-A9f9R21vMXxHZFNpYNeKFtG8_yji4HS352LGlSQ/edit?pli=1#gid=0"",""1_ACUM!A4:S""),18,FALSE))"),"")</f>
        <v/>
      </c>
      <c r="BE872" s="44" t="str">
        <f ca="1">IFERROR(__xludf.DUMMYFUNCTION("IFERROR(VLOOKUP(E886&amp;F886,IMPORTRANGE(""https://docs.google.com/spreadsheets/d/1Uw7-A9f9R21vMXxHZFNpYNeKFtG8_yji4HS352LGlSQ/edit?pli=1#gid=0"",""1_ACUM!A4:S""),19,FALSE))"),"")</f>
        <v/>
      </c>
      <c r="BF872" s="98" t="str">
        <f ca="1">IFERROR(__xludf.DUMMYFUNCTION("IFERROR(VLOOKUP(F886,IMPORTRANGE(""https://docs.google.com/spreadsheets/d/1Kvs4KS76FHFqLFIZfrDMff4kP08nblUkihrxltoGBjg/edit#gid=934712705"",""ESENCIAL!A6:BG""),5,FALSE))"),"")</f>
        <v/>
      </c>
      <c r="BG872" s="98" t="str">
        <f t="shared" si="25"/>
        <v/>
      </c>
      <c r="BH872" s="99" t="str">
        <f t="shared" si="26"/>
        <v/>
      </c>
      <c r="BI872" s="100" t="str">
        <f ca="1">IFERROR(__xludf.DUMMYFUNCTION("IFERROR(VLOOKUP(F886,IMPORTRANGE(""https://docs.google.com/spreadsheets/d/1Kvs4KS76FHFqLFIZfrDMff4kP08nblUkihrxltoGBjg/edit#gid=934712705"",""ESENCIAL!A6:BG""),2,FALSE))"),"")</f>
        <v/>
      </c>
      <c r="BJ872" s="19" t="str">
        <f t="shared" si="27"/>
        <v/>
      </c>
      <c r="BK872" s="100"/>
      <c r="BL872" s="100"/>
    </row>
    <row r="873" spans="1:64" ht="15">
      <c r="A873" s="5"/>
      <c r="B873" s="5"/>
      <c r="G873" s="5" t="str">
        <f ca="1">IFERROR(__xludf.DUMMYFUNCTION("IFERROR(VLOOKUP(F887,IMPORTRANGE(""https://docs.google.com/spreadsheets/d/1Kvs4KS76FHFqLFIZfrDMff4kP08nblUkihrxltoGBjg/edit#gid=934712705"",""ESENCIAL!A6:BG""),3,FALSE))"),"")</f>
        <v/>
      </c>
      <c r="H873" s="5" t="str">
        <f ca="1">IFERROR(__xludf.DUMMYFUNCTION("IFERROR(VLOOKUP(F887,IMPORTRANGE(""https://docs.google.com/spreadsheets/d/1Kvs4KS76FHFqLFIZfrDMff4kP08nblUkihrxltoGBjg/edit#gid=934712705"",""ESENCIAL!A6:BG""),8,FALSE))"),"")</f>
        <v/>
      </c>
      <c r="L873" s="287"/>
      <c r="U873" s="40"/>
      <c r="AU873" s="41" t="str">
        <f t="shared" si="24"/>
        <v/>
      </c>
      <c r="AV873" s="5" t="str">
        <f ca="1">IFERROR(__xludf.DUMMYFUNCTION("IFERROR(VLOOKUP(E887&amp;F887,IMPORTRANGE(""https://docs.google.com/spreadsheets/d/1Uw7-A9f9R21vMXxHZFNpYNeKFtG8_yji4HS352LGlSQ/edit?pli=1#gid=0"",""1_ACUM!A4:S""),11,FALSE))"),"")</f>
        <v/>
      </c>
      <c r="AW873" s="42" t="str">
        <f ca="1">IFERROR(__xludf.DUMMYFUNCTION("IFERROR(VLOOKUP(F887,IMPORTRANGE(""https://docs.google.com/spreadsheets/d/1Kvs4KS76FHFqLFIZfrDMff4kP08nblUkihrxltoGBjg/edit#gid=934712705"",""ESENCIAL!A6:BG""),15,FALSE))"),"")</f>
        <v/>
      </c>
      <c r="AX873" s="21" t="str">
        <f ca="1">IFERROR(__xludf.DUMMYFUNCTION("IFERROR(VLOOKUP(E887&amp;F887,IMPORTRANGE(""https://docs.google.com/spreadsheets/d/1Uw7-A9f9R21vMXxHZFNpYNeKFtG8_yji4HS352LGlSQ/edit?pli=1#gid=0"",""1_ACUM!A4:S""),12,FALSE))"),"")</f>
        <v/>
      </c>
      <c r="AY873" s="43" t="str">
        <f ca="1">IFERROR(__xludf.DUMMYFUNCTION("IFERROR(VLOOKUP(E887&amp;F887,IMPORTRANGE(""https://docs.google.com/spreadsheets/d/1Uw7-A9f9R21vMXxHZFNpYNeKFtG8_yji4HS352LGlSQ/edit?pli=1#gid=0"",""1_ACUM!A4:S""),13,FALSE))"),"")</f>
        <v/>
      </c>
      <c r="AZ873" s="43" t="str">
        <f ca="1">IFERROR(__xludf.DUMMYFUNCTION("IFERROR(VLOOKUP(E887&amp;F887,IMPORTRANGE(""https://docs.google.com/spreadsheets/d/1Uw7-A9f9R21vMXxHZFNpYNeKFtG8_yji4HS352LGlSQ/edit?pli=1#gid=0"",""1_ACUM!A4:S""),14,FALSE))"),"")</f>
        <v/>
      </c>
      <c r="BA873" s="43" t="str">
        <f ca="1">IFERROR(__xludf.DUMMYFUNCTION("IFERROR(VLOOKUP(E887&amp;F887,IMPORTRANGE(""https://docs.google.com/spreadsheets/d/1Uw7-A9f9R21vMXxHZFNpYNeKFtG8_yji4HS352LGlSQ/edit?pli=1#gid=0"",""1_ACUM!A4:S""),15,FALSE))"),"")</f>
        <v/>
      </c>
      <c r="BB873" s="43" t="str">
        <f ca="1">IFERROR(__xludf.DUMMYFUNCTION("IFERROR(VLOOKUP(E887&amp;F887,IMPORTRANGE(""https://docs.google.com/spreadsheets/d/1Uw7-A9f9R21vMXxHZFNpYNeKFtG8_yji4HS352LGlSQ/edit?pli=1#gid=0"",""1_ACUM!A4:S""),16,FALSE))"),"")</f>
        <v/>
      </c>
      <c r="BC873" s="43" t="str">
        <f ca="1">IFERROR(__xludf.DUMMYFUNCTION("IFERROR(VLOOKUP(E887&amp;F887,IMPORTRANGE(""https://docs.google.com/spreadsheets/d/1Uw7-A9f9R21vMXxHZFNpYNeKFtG8_yji4HS352LGlSQ/edit?pli=1#gid=0"",""1_ACUM!A4:S""),17,FALSE))"),"")</f>
        <v/>
      </c>
      <c r="BD873" s="44" t="str">
        <f ca="1">IFERROR(__xludf.DUMMYFUNCTION("IFERROR(VLOOKUP(E887&amp;F887,IMPORTRANGE(""https://docs.google.com/spreadsheets/d/1Uw7-A9f9R21vMXxHZFNpYNeKFtG8_yji4HS352LGlSQ/edit?pli=1#gid=0"",""1_ACUM!A4:S""),18,FALSE))"),"")</f>
        <v/>
      </c>
      <c r="BE873" s="44" t="str">
        <f ca="1">IFERROR(__xludf.DUMMYFUNCTION("IFERROR(VLOOKUP(E887&amp;F887,IMPORTRANGE(""https://docs.google.com/spreadsheets/d/1Uw7-A9f9R21vMXxHZFNpYNeKFtG8_yji4HS352LGlSQ/edit?pli=1#gid=0"",""1_ACUM!A4:S""),19,FALSE))"),"")</f>
        <v/>
      </c>
      <c r="BF873" s="98" t="str">
        <f ca="1">IFERROR(__xludf.DUMMYFUNCTION("IFERROR(VLOOKUP(F887,IMPORTRANGE(""https://docs.google.com/spreadsheets/d/1Kvs4KS76FHFqLFIZfrDMff4kP08nblUkihrxltoGBjg/edit#gid=934712705"",""ESENCIAL!A6:BG""),5,FALSE))"),"")</f>
        <v/>
      </c>
      <c r="BG873" s="98" t="str">
        <f t="shared" si="25"/>
        <v/>
      </c>
      <c r="BH873" s="99" t="str">
        <f t="shared" si="26"/>
        <v/>
      </c>
      <c r="BI873" s="100" t="str">
        <f ca="1">IFERROR(__xludf.DUMMYFUNCTION("IFERROR(VLOOKUP(F887,IMPORTRANGE(""https://docs.google.com/spreadsheets/d/1Kvs4KS76FHFqLFIZfrDMff4kP08nblUkihrxltoGBjg/edit#gid=934712705"",""ESENCIAL!A6:BG""),2,FALSE))"),"")</f>
        <v/>
      </c>
      <c r="BJ873" s="19" t="str">
        <f t="shared" si="27"/>
        <v/>
      </c>
      <c r="BK873" s="100"/>
      <c r="BL873" s="100"/>
    </row>
    <row r="874" spans="1:64" ht="15">
      <c r="A874" s="5"/>
      <c r="B874" s="5"/>
      <c r="G874" s="5" t="str">
        <f ca="1">IFERROR(__xludf.DUMMYFUNCTION("IFERROR(VLOOKUP(F888,IMPORTRANGE(""https://docs.google.com/spreadsheets/d/1Kvs4KS76FHFqLFIZfrDMff4kP08nblUkihrxltoGBjg/edit#gid=934712705"",""ESENCIAL!A6:BG""),3,FALSE))"),"")</f>
        <v/>
      </c>
      <c r="H874" s="5" t="str">
        <f ca="1">IFERROR(__xludf.DUMMYFUNCTION("IFERROR(VLOOKUP(F888,IMPORTRANGE(""https://docs.google.com/spreadsheets/d/1Kvs4KS76FHFqLFIZfrDMff4kP08nblUkihrxltoGBjg/edit#gid=934712705"",""ESENCIAL!A6:BG""),8,FALSE))"),"")</f>
        <v/>
      </c>
      <c r="L874" s="287"/>
      <c r="U874" s="40"/>
      <c r="AU874" s="41" t="str">
        <f t="shared" si="24"/>
        <v/>
      </c>
      <c r="AV874" s="5" t="str">
        <f ca="1">IFERROR(__xludf.DUMMYFUNCTION("IFERROR(VLOOKUP(E888&amp;F888,IMPORTRANGE(""https://docs.google.com/spreadsheets/d/1Uw7-A9f9R21vMXxHZFNpYNeKFtG8_yji4HS352LGlSQ/edit?pli=1#gid=0"",""1_ACUM!A4:S""),11,FALSE))"),"")</f>
        <v/>
      </c>
      <c r="AW874" s="42" t="str">
        <f ca="1">IFERROR(__xludf.DUMMYFUNCTION("IFERROR(VLOOKUP(F888,IMPORTRANGE(""https://docs.google.com/spreadsheets/d/1Kvs4KS76FHFqLFIZfrDMff4kP08nblUkihrxltoGBjg/edit#gid=934712705"",""ESENCIAL!A6:BG""),15,FALSE))"),"")</f>
        <v/>
      </c>
      <c r="AX874" s="21" t="str">
        <f ca="1">IFERROR(__xludf.DUMMYFUNCTION("IFERROR(VLOOKUP(E888&amp;F888,IMPORTRANGE(""https://docs.google.com/spreadsheets/d/1Uw7-A9f9R21vMXxHZFNpYNeKFtG8_yji4HS352LGlSQ/edit?pli=1#gid=0"",""1_ACUM!A4:S""),12,FALSE))"),"")</f>
        <v/>
      </c>
      <c r="AY874" s="43" t="str">
        <f ca="1">IFERROR(__xludf.DUMMYFUNCTION("IFERROR(VLOOKUP(E888&amp;F888,IMPORTRANGE(""https://docs.google.com/spreadsheets/d/1Uw7-A9f9R21vMXxHZFNpYNeKFtG8_yji4HS352LGlSQ/edit?pli=1#gid=0"",""1_ACUM!A4:S""),13,FALSE))"),"")</f>
        <v/>
      </c>
      <c r="AZ874" s="43" t="str">
        <f ca="1">IFERROR(__xludf.DUMMYFUNCTION("IFERROR(VLOOKUP(E888&amp;F888,IMPORTRANGE(""https://docs.google.com/spreadsheets/d/1Uw7-A9f9R21vMXxHZFNpYNeKFtG8_yji4HS352LGlSQ/edit?pli=1#gid=0"",""1_ACUM!A4:S""),14,FALSE))"),"")</f>
        <v/>
      </c>
      <c r="BA874" s="43" t="str">
        <f ca="1">IFERROR(__xludf.DUMMYFUNCTION("IFERROR(VLOOKUP(E888&amp;F888,IMPORTRANGE(""https://docs.google.com/spreadsheets/d/1Uw7-A9f9R21vMXxHZFNpYNeKFtG8_yji4HS352LGlSQ/edit?pli=1#gid=0"",""1_ACUM!A4:S""),15,FALSE))"),"")</f>
        <v/>
      </c>
      <c r="BB874" s="43" t="str">
        <f ca="1">IFERROR(__xludf.DUMMYFUNCTION("IFERROR(VLOOKUP(E888&amp;F888,IMPORTRANGE(""https://docs.google.com/spreadsheets/d/1Uw7-A9f9R21vMXxHZFNpYNeKFtG8_yji4HS352LGlSQ/edit?pli=1#gid=0"",""1_ACUM!A4:S""),16,FALSE))"),"")</f>
        <v/>
      </c>
      <c r="BC874" s="43" t="str">
        <f ca="1">IFERROR(__xludf.DUMMYFUNCTION("IFERROR(VLOOKUP(E888&amp;F888,IMPORTRANGE(""https://docs.google.com/spreadsheets/d/1Uw7-A9f9R21vMXxHZFNpYNeKFtG8_yji4HS352LGlSQ/edit?pli=1#gid=0"",""1_ACUM!A4:S""),17,FALSE))"),"")</f>
        <v/>
      </c>
      <c r="BD874" s="44" t="str">
        <f ca="1">IFERROR(__xludf.DUMMYFUNCTION("IFERROR(VLOOKUP(E888&amp;F888,IMPORTRANGE(""https://docs.google.com/spreadsheets/d/1Uw7-A9f9R21vMXxHZFNpYNeKFtG8_yji4HS352LGlSQ/edit?pli=1#gid=0"",""1_ACUM!A4:S""),18,FALSE))"),"")</f>
        <v/>
      </c>
      <c r="BE874" s="44" t="str">
        <f ca="1">IFERROR(__xludf.DUMMYFUNCTION("IFERROR(VLOOKUP(E888&amp;F888,IMPORTRANGE(""https://docs.google.com/spreadsheets/d/1Uw7-A9f9R21vMXxHZFNpYNeKFtG8_yji4HS352LGlSQ/edit?pli=1#gid=0"",""1_ACUM!A4:S""),19,FALSE))"),"")</f>
        <v/>
      </c>
      <c r="BF874" s="98" t="str">
        <f ca="1">IFERROR(__xludf.DUMMYFUNCTION("IFERROR(VLOOKUP(F888,IMPORTRANGE(""https://docs.google.com/spreadsheets/d/1Kvs4KS76FHFqLFIZfrDMff4kP08nblUkihrxltoGBjg/edit#gid=934712705"",""ESENCIAL!A6:BG""),5,FALSE))"),"")</f>
        <v/>
      </c>
      <c r="BG874" s="98" t="str">
        <f t="shared" si="25"/>
        <v/>
      </c>
      <c r="BH874" s="99" t="str">
        <f t="shared" si="26"/>
        <v/>
      </c>
      <c r="BI874" s="100" t="str">
        <f ca="1">IFERROR(__xludf.DUMMYFUNCTION("IFERROR(VLOOKUP(F888,IMPORTRANGE(""https://docs.google.com/spreadsheets/d/1Kvs4KS76FHFqLFIZfrDMff4kP08nblUkihrxltoGBjg/edit#gid=934712705"",""ESENCIAL!A6:BG""),2,FALSE))"),"")</f>
        <v/>
      </c>
      <c r="BJ874" s="19" t="str">
        <f t="shared" si="27"/>
        <v/>
      </c>
      <c r="BK874" s="100"/>
      <c r="BL874" s="100"/>
    </row>
    <row r="875" spans="1:64" ht="15">
      <c r="A875" s="5"/>
      <c r="B875" s="5"/>
      <c r="G875" s="5" t="str">
        <f ca="1">IFERROR(__xludf.DUMMYFUNCTION("IFERROR(VLOOKUP(F889,IMPORTRANGE(""https://docs.google.com/spreadsheets/d/1Kvs4KS76FHFqLFIZfrDMff4kP08nblUkihrxltoGBjg/edit#gid=934712705"",""ESENCIAL!A6:BG""),3,FALSE))"),"")</f>
        <v/>
      </c>
      <c r="H875" s="5" t="str">
        <f ca="1">IFERROR(__xludf.DUMMYFUNCTION("IFERROR(VLOOKUP(F889,IMPORTRANGE(""https://docs.google.com/spreadsheets/d/1Kvs4KS76FHFqLFIZfrDMff4kP08nblUkihrxltoGBjg/edit#gid=934712705"",""ESENCIAL!A6:BG""),8,FALSE))"),"")</f>
        <v/>
      </c>
      <c r="L875" s="287"/>
      <c r="U875" s="40"/>
      <c r="AU875" s="41" t="str">
        <f t="shared" si="24"/>
        <v/>
      </c>
      <c r="AV875" s="5" t="str">
        <f ca="1">IFERROR(__xludf.DUMMYFUNCTION("IFERROR(VLOOKUP(E889&amp;F889,IMPORTRANGE(""https://docs.google.com/spreadsheets/d/1Uw7-A9f9R21vMXxHZFNpYNeKFtG8_yji4HS352LGlSQ/edit?pli=1#gid=0"",""1_ACUM!A4:S""),11,FALSE))"),"")</f>
        <v/>
      </c>
      <c r="AW875" s="42" t="str">
        <f ca="1">IFERROR(__xludf.DUMMYFUNCTION("IFERROR(VLOOKUP(F889,IMPORTRANGE(""https://docs.google.com/spreadsheets/d/1Kvs4KS76FHFqLFIZfrDMff4kP08nblUkihrxltoGBjg/edit#gid=934712705"",""ESENCIAL!A6:BG""),15,FALSE))"),"")</f>
        <v/>
      </c>
      <c r="AX875" s="21" t="str">
        <f ca="1">IFERROR(__xludf.DUMMYFUNCTION("IFERROR(VLOOKUP(E889&amp;F889,IMPORTRANGE(""https://docs.google.com/spreadsheets/d/1Uw7-A9f9R21vMXxHZFNpYNeKFtG8_yji4HS352LGlSQ/edit?pli=1#gid=0"",""1_ACUM!A4:S""),12,FALSE))"),"")</f>
        <v/>
      </c>
      <c r="AY875" s="43" t="str">
        <f ca="1">IFERROR(__xludf.DUMMYFUNCTION("IFERROR(VLOOKUP(E889&amp;F889,IMPORTRANGE(""https://docs.google.com/spreadsheets/d/1Uw7-A9f9R21vMXxHZFNpYNeKFtG8_yji4HS352LGlSQ/edit?pli=1#gid=0"",""1_ACUM!A4:S""),13,FALSE))"),"")</f>
        <v/>
      </c>
      <c r="AZ875" s="43" t="str">
        <f ca="1">IFERROR(__xludf.DUMMYFUNCTION("IFERROR(VLOOKUP(E889&amp;F889,IMPORTRANGE(""https://docs.google.com/spreadsheets/d/1Uw7-A9f9R21vMXxHZFNpYNeKFtG8_yji4HS352LGlSQ/edit?pli=1#gid=0"",""1_ACUM!A4:S""),14,FALSE))"),"")</f>
        <v/>
      </c>
      <c r="BA875" s="43" t="str">
        <f ca="1">IFERROR(__xludf.DUMMYFUNCTION("IFERROR(VLOOKUP(E889&amp;F889,IMPORTRANGE(""https://docs.google.com/spreadsheets/d/1Uw7-A9f9R21vMXxHZFNpYNeKFtG8_yji4HS352LGlSQ/edit?pli=1#gid=0"",""1_ACUM!A4:S""),15,FALSE))"),"")</f>
        <v/>
      </c>
      <c r="BB875" s="43" t="str">
        <f ca="1">IFERROR(__xludf.DUMMYFUNCTION("IFERROR(VLOOKUP(E889&amp;F889,IMPORTRANGE(""https://docs.google.com/spreadsheets/d/1Uw7-A9f9R21vMXxHZFNpYNeKFtG8_yji4HS352LGlSQ/edit?pli=1#gid=0"",""1_ACUM!A4:S""),16,FALSE))"),"")</f>
        <v/>
      </c>
      <c r="BC875" s="43" t="str">
        <f ca="1">IFERROR(__xludf.DUMMYFUNCTION("IFERROR(VLOOKUP(E889&amp;F889,IMPORTRANGE(""https://docs.google.com/spreadsheets/d/1Uw7-A9f9R21vMXxHZFNpYNeKFtG8_yji4HS352LGlSQ/edit?pli=1#gid=0"",""1_ACUM!A4:S""),17,FALSE))"),"")</f>
        <v/>
      </c>
      <c r="BD875" s="44" t="str">
        <f ca="1">IFERROR(__xludf.DUMMYFUNCTION("IFERROR(VLOOKUP(E889&amp;F889,IMPORTRANGE(""https://docs.google.com/spreadsheets/d/1Uw7-A9f9R21vMXxHZFNpYNeKFtG8_yji4HS352LGlSQ/edit?pli=1#gid=0"",""1_ACUM!A4:S""),18,FALSE))"),"")</f>
        <v/>
      </c>
      <c r="BE875" s="44" t="str">
        <f ca="1">IFERROR(__xludf.DUMMYFUNCTION("IFERROR(VLOOKUP(E889&amp;F889,IMPORTRANGE(""https://docs.google.com/spreadsheets/d/1Uw7-A9f9R21vMXxHZFNpYNeKFtG8_yji4HS352LGlSQ/edit?pli=1#gid=0"",""1_ACUM!A4:S""),19,FALSE))"),"")</f>
        <v/>
      </c>
      <c r="BF875" s="98" t="str">
        <f ca="1">IFERROR(__xludf.DUMMYFUNCTION("IFERROR(VLOOKUP(F889,IMPORTRANGE(""https://docs.google.com/spreadsheets/d/1Kvs4KS76FHFqLFIZfrDMff4kP08nblUkihrxltoGBjg/edit#gid=934712705"",""ESENCIAL!A6:BG""),5,FALSE))"),"")</f>
        <v/>
      </c>
      <c r="BG875" s="98" t="str">
        <f t="shared" si="25"/>
        <v/>
      </c>
      <c r="BH875" s="99" t="str">
        <f t="shared" si="26"/>
        <v/>
      </c>
      <c r="BI875" s="100" t="str">
        <f ca="1">IFERROR(__xludf.DUMMYFUNCTION("IFERROR(VLOOKUP(F889,IMPORTRANGE(""https://docs.google.com/spreadsheets/d/1Kvs4KS76FHFqLFIZfrDMff4kP08nblUkihrxltoGBjg/edit#gid=934712705"",""ESENCIAL!A6:BG""),2,FALSE))"),"")</f>
        <v/>
      </c>
      <c r="BJ875" s="19" t="str">
        <f t="shared" si="27"/>
        <v/>
      </c>
      <c r="BK875" s="100"/>
      <c r="BL875" s="100"/>
    </row>
    <row r="876" spans="1:64" ht="15">
      <c r="A876" s="5"/>
      <c r="B876" s="5"/>
      <c r="G876" s="5" t="str">
        <f ca="1">IFERROR(__xludf.DUMMYFUNCTION("IFERROR(VLOOKUP(F890,IMPORTRANGE(""https://docs.google.com/spreadsheets/d/1Kvs4KS76FHFqLFIZfrDMff4kP08nblUkihrxltoGBjg/edit#gid=934712705"",""ESENCIAL!A6:BG""),3,FALSE))"),"")</f>
        <v/>
      </c>
      <c r="H876" s="5" t="str">
        <f ca="1">IFERROR(__xludf.DUMMYFUNCTION("IFERROR(VLOOKUP(F890,IMPORTRANGE(""https://docs.google.com/spreadsheets/d/1Kvs4KS76FHFqLFIZfrDMff4kP08nblUkihrxltoGBjg/edit#gid=934712705"",""ESENCIAL!A6:BG""),8,FALSE))"),"")</f>
        <v/>
      </c>
      <c r="L876" s="287"/>
      <c r="U876" s="40"/>
      <c r="AU876" s="41" t="str">
        <f t="shared" si="24"/>
        <v/>
      </c>
      <c r="AV876" s="5" t="str">
        <f ca="1">IFERROR(__xludf.DUMMYFUNCTION("IFERROR(VLOOKUP(E890&amp;F890,IMPORTRANGE(""https://docs.google.com/spreadsheets/d/1Uw7-A9f9R21vMXxHZFNpYNeKFtG8_yji4HS352LGlSQ/edit?pli=1#gid=0"",""1_ACUM!A4:S""),11,FALSE))"),"")</f>
        <v/>
      </c>
      <c r="AW876" s="42" t="str">
        <f ca="1">IFERROR(__xludf.DUMMYFUNCTION("IFERROR(VLOOKUP(F890,IMPORTRANGE(""https://docs.google.com/spreadsheets/d/1Kvs4KS76FHFqLFIZfrDMff4kP08nblUkihrxltoGBjg/edit#gid=934712705"",""ESENCIAL!A6:BG""),15,FALSE))"),"")</f>
        <v/>
      </c>
      <c r="AX876" s="21" t="str">
        <f ca="1">IFERROR(__xludf.DUMMYFUNCTION("IFERROR(VLOOKUP(E890&amp;F890,IMPORTRANGE(""https://docs.google.com/spreadsheets/d/1Uw7-A9f9R21vMXxHZFNpYNeKFtG8_yji4HS352LGlSQ/edit?pli=1#gid=0"",""1_ACUM!A4:S""),12,FALSE))"),"")</f>
        <v/>
      </c>
      <c r="AY876" s="43" t="str">
        <f ca="1">IFERROR(__xludf.DUMMYFUNCTION("IFERROR(VLOOKUP(E890&amp;F890,IMPORTRANGE(""https://docs.google.com/spreadsheets/d/1Uw7-A9f9R21vMXxHZFNpYNeKFtG8_yji4HS352LGlSQ/edit?pli=1#gid=0"",""1_ACUM!A4:S""),13,FALSE))"),"")</f>
        <v/>
      </c>
      <c r="AZ876" s="43" t="str">
        <f ca="1">IFERROR(__xludf.DUMMYFUNCTION("IFERROR(VLOOKUP(E890&amp;F890,IMPORTRANGE(""https://docs.google.com/spreadsheets/d/1Uw7-A9f9R21vMXxHZFNpYNeKFtG8_yji4HS352LGlSQ/edit?pli=1#gid=0"",""1_ACUM!A4:S""),14,FALSE))"),"")</f>
        <v/>
      </c>
      <c r="BA876" s="43" t="str">
        <f ca="1">IFERROR(__xludf.DUMMYFUNCTION("IFERROR(VLOOKUP(E890&amp;F890,IMPORTRANGE(""https://docs.google.com/spreadsheets/d/1Uw7-A9f9R21vMXxHZFNpYNeKFtG8_yji4HS352LGlSQ/edit?pli=1#gid=0"",""1_ACUM!A4:S""),15,FALSE))"),"")</f>
        <v/>
      </c>
      <c r="BB876" s="43" t="str">
        <f ca="1">IFERROR(__xludf.DUMMYFUNCTION("IFERROR(VLOOKUP(E890&amp;F890,IMPORTRANGE(""https://docs.google.com/spreadsheets/d/1Uw7-A9f9R21vMXxHZFNpYNeKFtG8_yji4HS352LGlSQ/edit?pli=1#gid=0"",""1_ACUM!A4:S""),16,FALSE))"),"")</f>
        <v/>
      </c>
      <c r="BC876" s="43" t="str">
        <f ca="1">IFERROR(__xludf.DUMMYFUNCTION("IFERROR(VLOOKUP(E890&amp;F890,IMPORTRANGE(""https://docs.google.com/spreadsheets/d/1Uw7-A9f9R21vMXxHZFNpYNeKFtG8_yji4HS352LGlSQ/edit?pli=1#gid=0"",""1_ACUM!A4:S""),17,FALSE))"),"")</f>
        <v/>
      </c>
      <c r="BD876" s="44" t="str">
        <f ca="1">IFERROR(__xludf.DUMMYFUNCTION("IFERROR(VLOOKUP(E890&amp;F890,IMPORTRANGE(""https://docs.google.com/spreadsheets/d/1Uw7-A9f9R21vMXxHZFNpYNeKFtG8_yji4HS352LGlSQ/edit?pli=1#gid=0"",""1_ACUM!A4:S""),18,FALSE))"),"")</f>
        <v/>
      </c>
      <c r="BE876" s="44" t="str">
        <f ca="1">IFERROR(__xludf.DUMMYFUNCTION("IFERROR(VLOOKUP(E890&amp;F890,IMPORTRANGE(""https://docs.google.com/spreadsheets/d/1Uw7-A9f9R21vMXxHZFNpYNeKFtG8_yji4HS352LGlSQ/edit?pli=1#gid=0"",""1_ACUM!A4:S""),19,FALSE))"),"")</f>
        <v/>
      </c>
      <c r="BF876" s="98" t="str">
        <f ca="1">IFERROR(__xludf.DUMMYFUNCTION("IFERROR(VLOOKUP(F890,IMPORTRANGE(""https://docs.google.com/spreadsheets/d/1Kvs4KS76FHFqLFIZfrDMff4kP08nblUkihrxltoGBjg/edit#gid=934712705"",""ESENCIAL!A6:BG""),5,FALSE))"),"")</f>
        <v/>
      </c>
      <c r="BG876" s="98" t="str">
        <f t="shared" si="25"/>
        <v/>
      </c>
      <c r="BH876" s="99" t="str">
        <f t="shared" si="26"/>
        <v/>
      </c>
      <c r="BI876" s="100" t="str">
        <f ca="1">IFERROR(__xludf.DUMMYFUNCTION("IFERROR(VLOOKUP(F890,IMPORTRANGE(""https://docs.google.com/spreadsheets/d/1Kvs4KS76FHFqLFIZfrDMff4kP08nblUkihrxltoGBjg/edit#gid=934712705"",""ESENCIAL!A6:BG""),2,FALSE))"),"")</f>
        <v/>
      </c>
      <c r="BJ876" s="19" t="str">
        <f t="shared" si="27"/>
        <v/>
      </c>
      <c r="BK876" s="100"/>
      <c r="BL876" s="100"/>
    </row>
    <row r="877" spans="1:64" ht="15">
      <c r="A877" s="5"/>
      <c r="B877" s="5"/>
      <c r="G877" s="5" t="str">
        <f ca="1">IFERROR(__xludf.DUMMYFUNCTION("IFERROR(VLOOKUP(F891,IMPORTRANGE(""https://docs.google.com/spreadsheets/d/1Kvs4KS76FHFqLFIZfrDMff4kP08nblUkihrxltoGBjg/edit#gid=934712705"",""ESENCIAL!A6:BG""),3,FALSE))"),"")</f>
        <v/>
      </c>
      <c r="H877" s="5" t="str">
        <f ca="1">IFERROR(__xludf.DUMMYFUNCTION("IFERROR(VLOOKUP(F891,IMPORTRANGE(""https://docs.google.com/spreadsheets/d/1Kvs4KS76FHFqLFIZfrDMff4kP08nblUkihrxltoGBjg/edit#gid=934712705"",""ESENCIAL!A6:BG""),8,FALSE))"),"")</f>
        <v/>
      </c>
      <c r="L877" s="287"/>
      <c r="U877" s="40"/>
      <c r="AU877" s="41" t="str">
        <f t="shared" si="24"/>
        <v/>
      </c>
      <c r="AV877" s="5" t="str">
        <f ca="1">IFERROR(__xludf.DUMMYFUNCTION("IFERROR(VLOOKUP(E891&amp;F891,IMPORTRANGE(""https://docs.google.com/spreadsheets/d/1Uw7-A9f9R21vMXxHZFNpYNeKFtG8_yji4HS352LGlSQ/edit?pli=1#gid=0"",""1_ACUM!A4:S""),11,FALSE))"),"")</f>
        <v/>
      </c>
      <c r="AW877" s="42" t="str">
        <f ca="1">IFERROR(__xludf.DUMMYFUNCTION("IFERROR(VLOOKUP(F891,IMPORTRANGE(""https://docs.google.com/spreadsheets/d/1Kvs4KS76FHFqLFIZfrDMff4kP08nblUkihrxltoGBjg/edit#gid=934712705"",""ESENCIAL!A6:BG""),15,FALSE))"),"")</f>
        <v/>
      </c>
      <c r="AX877" s="21" t="str">
        <f ca="1">IFERROR(__xludf.DUMMYFUNCTION("IFERROR(VLOOKUP(E891&amp;F891,IMPORTRANGE(""https://docs.google.com/spreadsheets/d/1Uw7-A9f9R21vMXxHZFNpYNeKFtG8_yji4HS352LGlSQ/edit?pli=1#gid=0"",""1_ACUM!A4:S""),12,FALSE))"),"")</f>
        <v/>
      </c>
      <c r="AY877" s="43" t="str">
        <f ca="1">IFERROR(__xludf.DUMMYFUNCTION("IFERROR(VLOOKUP(E891&amp;F891,IMPORTRANGE(""https://docs.google.com/spreadsheets/d/1Uw7-A9f9R21vMXxHZFNpYNeKFtG8_yji4HS352LGlSQ/edit?pli=1#gid=0"",""1_ACUM!A4:S""),13,FALSE))"),"")</f>
        <v/>
      </c>
      <c r="AZ877" s="43" t="str">
        <f ca="1">IFERROR(__xludf.DUMMYFUNCTION("IFERROR(VLOOKUP(E891&amp;F891,IMPORTRANGE(""https://docs.google.com/spreadsheets/d/1Uw7-A9f9R21vMXxHZFNpYNeKFtG8_yji4HS352LGlSQ/edit?pli=1#gid=0"",""1_ACUM!A4:S""),14,FALSE))"),"")</f>
        <v/>
      </c>
      <c r="BA877" s="43" t="str">
        <f ca="1">IFERROR(__xludf.DUMMYFUNCTION("IFERROR(VLOOKUP(E891&amp;F891,IMPORTRANGE(""https://docs.google.com/spreadsheets/d/1Uw7-A9f9R21vMXxHZFNpYNeKFtG8_yji4HS352LGlSQ/edit?pli=1#gid=0"",""1_ACUM!A4:S""),15,FALSE))"),"")</f>
        <v/>
      </c>
      <c r="BB877" s="43" t="str">
        <f ca="1">IFERROR(__xludf.DUMMYFUNCTION("IFERROR(VLOOKUP(E891&amp;F891,IMPORTRANGE(""https://docs.google.com/spreadsheets/d/1Uw7-A9f9R21vMXxHZFNpYNeKFtG8_yji4HS352LGlSQ/edit?pli=1#gid=0"",""1_ACUM!A4:S""),16,FALSE))"),"")</f>
        <v/>
      </c>
      <c r="BC877" s="43" t="str">
        <f ca="1">IFERROR(__xludf.DUMMYFUNCTION("IFERROR(VLOOKUP(E891&amp;F891,IMPORTRANGE(""https://docs.google.com/spreadsheets/d/1Uw7-A9f9R21vMXxHZFNpYNeKFtG8_yji4HS352LGlSQ/edit?pli=1#gid=0"",""1_ACUM!A4:S""),17,FALSE))"),"")</f>
        <v/>
      </c>
      <c r="BD877" s="44" t="str">
        <f ca="1">IFERROR(__xludf.DUMMYFUNCTION("IFERROR(VLOOKUP(E891&amp;F891,IMPORTRANGE(""https://docs.google.com/spreadsheets/d/1Uw7-A9f9R21vMXxHZFNpYNeKFtG8_yji4HS352LGlSQ/edit?pli=1#gid=0"",""1_ACUM!A4:S""),18,FALSE))"),"")</f>
        <v/>
      </c>
      <c r="BE877" s="44" t="str">
        <f ca="1">IFERROR(__xludf.DUMMYFUNCTION("IFERROR(VLOOKUP(E891&amp;F891,IMPORTRANGE(""https://docs.google.com/spreadsheets/d/1Uw7-A9f9R21vMXxHZFNpYNeKFtG8_yji4HS352LGlSQ/edit?pli=1#gid=0"",""1_ACUM!A4:S""),19,FALSE))"),"")</f>
        <v/>
      </c>
      <c r="BF877" s="98" t="str">
        <f ca="1">IFERROR(__xludf.DUMMYFUNCTION("IFERROR(VLOOKUP(F891,IMPORTRANGE(""https://docs.google.com/spreadsheets/d/1Kvs4KS76FHFqLFIZfrDMff4kP08nblUkihrxltoGBjg/edit#gid=934712705"",""ESENCIAL!A6:BG""),5,FALSE))"),"")</f>
        <v/>
      </c>
      <c r="BG877" s="98" t="str">
        <f t="shared" si="25"/>
        <v/>
      </c>
      <c r="BH877" s="99" t="str">
        <f t="shared" si="26"/>
        <v/>
      </c>
      <c r="BI877" s="100" t="str">
        <f ca="1">IFERROR(__xludf.DUMMYFUNCTION("IFERROR(VLOOKUP(F891,IMPORTRANGE(""https://docs.google.com/spreadsheets/d/1Kvs4KS76FHFqLFIZfrDMff4kP08nblUkihrxltoGBjg/edit#gid=934712705"",""ESENCIAL!A6:BG""),2,FALSE))"),"")</f>
        <v/>
      </c>
      <c r="BJ877" s="19" t="str">
        <f t="shared" si="27"/>
        <v/>
      </c>
      <c r="BK877" s="100"/>
      <c r="BL877" s="100"/>
    </row>
    <row r="878" spans="1:64" ht="15">
      <c r="A878" s="5"/>
      <c r="B878" s="5"/>
      <c r="G878" s="5" t="str">
        <f ca="1">IFERROR(__xludf.DUMMYFUNCTION("IFERROR(VLOOKUP(F892,IMPORTRANGE(""https://docs.google.com/spreadsheets/d/1Kvs4KS76FHFqLFIZfrDMff4kP08nblUkihrxltoGBjg/edit#gid=934712705"",""ESENCIAL!A6:BG""),3,FALSE))"),"")</f>
        <v/>
      </c>
      <c r="H878" s="5" t="str">
        <f ca="1">IFERROR(__xludf.DUMMYFUNCTION("IFERROR(VLOOKUP(F892,IMPORTRANGE(""https://docs.google.com/spreadsheets/d/1Kvs4KS76FHFqLFIZfrDMff4kP08nblUkihrxltoGBjg/edit#gid=934712705"",""ESENCIAL!A6:BG""),8,FALSE))"),"")</f>
        <v/>
      </c>
      <c r="L878" s="287"/>
      <c r="U878" s="40"/>
      <c r="AU878" s="41" t="str">
        <f t="shared" si="24"/>
        <v/>
      </c>
      <c r="AV878" s="5" t="str">
        <f ca="1">IFERROR(__xludf.DUMMYFUNCTION("IFERROR(VLOOKUP(E892&amp;F892,IMPORTRANGE(""https://docs.google.com/spreadsheets/d/1Uw7-A9f9R21vMXxHZFNpYNeKFtG8_yji4HS352LGlSQ/edit?pli=1#gid=0"",""1_ACUM!A4:S""),11,FALSE))"),"")</f>
        <v/>
      </c>
      <c r="AW878" s="42" t="str">
        <f ca="1">IFERROR(__xludf.DUMMYFUNCTION("IFERROR(VLOOKUP(F892,IMPORTRANGE(""https://docs.google.com/spreadsheets/d/1Kvs4KS76FHFqLFIZfrDMff4kP08nblUkihrxltoGBjg/edit#gid=934712705"",""ESENCIAL!A6:BG""),15,FALSE))"),"")</f>
        <v/>
      </c>
      <c r="AX878" s="21" t="str">
        <f ca="1">IFERROR(__xludf.DUMMYFUNCTION("IFERROR(VLOOKUP(E892&amp;F892,IMPORTRANGE(""https://docs.google.com/spreadsheets/d/1Uw7-A9f9R21vMXxHZFNpYNeKFtG8_yji4HS352LGlSQ/edit?pli=1#gid=0"",""1_ACUM!A4:S""),12,FALSE))"),"")</f>
        <v/>
      </c>
      <c r="AY878" s="43" t="str">
        <f ca="1">IFERROR(__xludf.DUMMYFUNCTION("IFERROR(VLOOKUP(E892&amp;F892,IMPORTRANGE(""https://docs.google.com/spreadsheets/d/1Uw7-A9f9R21vMXxHZFNpYNeKFtG8_yji4HS352LGlSQ/edit?pli=1#gid=0"",""1_ACUM!A4:S""),13,FALSE))"),"")</f>
        <v/>
      </c>
      <c r="AZ878" s="43" t="str">
        <f ca="1">IFERROR(__xludf.DUMMYFUNCTION("IFERROR(VLOOKUP(E892&amp;F892,IMPORTRANGE(""https://docs.google.com/spreadsheets/d/1Uw7-A9f9R21vMXxHZFNpYNeKFtG8_yji4HS352LGlSQ/edit?pli=1#gid=0"",""1_ACUM!A4:S""),14,FALSE))"),"")</f>
        <v/>
      </c>
      <c r="BA878" s="43" t="str">
        <f ca="1">IFERROR(__xludf.DUMMYFUNCTION("IFERROR(VLOOKUP(E892&amp;F892,IMPORTRANGE(""https://docs.google.com/spreadsheets/d/1Uw7-A9f9R21vMXxHZFNpYNeKFtG8_yji4HS352LGlSQ/edit?pli=1#gid=0"",""1_ACUM!A4:S""),15,FALSE))"),"")</f>
        <v/>
      </c>
      <c r="BB878" s="43" t="str">
        <f ca="1">IFERROR(__xludf.DUMMYFUNCTION("IFERROR(VLOOKUP(E892&amp;F892,IMPORTRANGE(""https://docs.google.com/spreadsheets/d/1Uw7-A9f9R21vMXxHZFNpYNeKFtG8_yji4HS352LGlSQ/edit?pli=1#gid=0"",""1_ACUM!A4:S""),16,FALSE))"),"")</f>
        <v/>
      </c>
      <c r="BC878" s="43" t="str">
        <f ca="1">IFERROR(__xludf.DUMMYFUNCTION("IFERROR(VLOOKUP(E892&amp;F892,IMPORTRANGE(""https://docs.google.com/spreadsheets/d/1Uw7-A9f9R21vMXxHZFNpYNeKFtG8_yji4HS352LGlSQ/edit?pli=1#gid=0"",""1_ACUM!A4:S""),17,FALSE))"),"")</f>
        <v/>
      </c>
      <c r="BD878" s="44" t="str">
        <f ca="1">IFERROR(__xludf.DUMMYFUNCTION("IFERROR(VLOOKUP(E892&amp;F892,IMPORTRANGE(""https://docs.google.com/spreadsheets/d/1Uw7-A9f9R21vMXxHZFNpYNeKFtG8_yji4HS352LGlSQ/edit?pli=1#gid=0"",""1_ACUM!A4:S""),18,FALSE))"),"")</f>
        <v/>
      </c>
      <c r="BE878" s="44" t="str">
        <f ca="1">IFERROR(__xludf.DUMMYFUNCTION("IFERROR(VLOOKUP(E892&amp;F892,IMPORTRANGE(""https://docs.google.com/spreadsheets/d/1Uw7-A9f9R21vMXxHZFNpYNeKFtG8_yji4HS352LGlSQ/edit?pli=1#gid=0"",""1_ACUM!A4:S""),19,FALSE))"),"")</f>
        <v/>
      </c>
      <c r="BF878" s="98" t="str">
        <f ca="1">IFERROR(__xludf.DUMMYFUNCTION("IFERROR(VLOOKUP(F892,IMPORTRANGE(""https://docs.google.com/spreadsheets/d/1Kvs4KS76FHFqLFIZfrDMff4kP08nblUkihrxltoGBjg/edit#gid=934712705"",""ESENCIAL!A6:BG""),5,FALSE))"),"")</f>
        <v/>
      </c>
      <c r="BG878" s="98" t="str">
        <f t="shared" si="25"/>
        <v/>
      </c>
      <c r="BH878" s="99" t="str">
        <f t="shared" si="26"/>
        <v/>
      </c>
      <c r="BI878" s="100" t="str">
        <f ca="1">IFERROR(__xludf.DUMMYFUNCTION("IFERROR(VLOOKUP(F892,IMPORTRANGE(""https://docs.google.com/spreadsheets/d/1Kvs4KS76FHFqLFIZfrDMff4kP08nblUkihrxltoGBjg/edit#gid=934712705"",""ESENCIAL!A6:BG""),2,FALSE))"),"")</f>
        <v/>
      </c>
      <c r="BJ878" s="19" t="str">
        <f t="shared" si="27"/>
        <v/>
      </c>
      <c r="BK878" s="100"/>
      <c r="BL878" s="100"/>
    </row>
    <row r="879" spans="1:64" ht="15">
      <c r="A879" s="5"/>
      <c r="B879" s="5"/>
      <c r="G879" s="5" t="str">
        <f ca="1">IFERROR(__xludf.DUMMYFUNCTION("IFERROR(VLOOKUP(F893,IMPORTRANGE(""https://docs.google.com/spreadsheets/d/1Kvs4KS76FHFqLFIZfrDMff4kP08nblUkihrxltoGBjg/edit#gid=934712705"",""ESENCIAL!A6:BG""),3,FALSE))"),"")</f>
        <v/>
      </c>
      <c r="H879" s="5" t="str">
        <f ca="1">IFERROR(__xludf.DUMMYFUNCTION("IFERROR(VLOOKUP(F893,IMPORTRANGE(""https://docs.google.com/spreadsheets/d/1Kvs4KS76FHFqLFIZfrDMff4kP08nblUkihrxltoGBjg/edit#gid=934712705"",""ESENCIAL!A6:BG""),8,FALSE))"),"")</f>
        <v/>
      </c>
      <c r="L879" s="287"/>
      <c r="U879" s="40"/>
      <c r="AU879" s="41" t="str">
        <f t="shared" si="24"/>
        <v/>
      </c>
      <c r="AV879" s="5" t="str">
        <f ca="1">IFERROR(__xludf.DUMMYFUNCTION("IFERROR(VLOOKUP(E893&amp;F893,IMPORTRANGE(""https://docs.google.com/spreadsheets/d/1Uw7-A9f9R21vMXxHZFNpYNeKFtG8_yji4HS352LGlSQ/edit?pli=1#gid=0"",""1_ACUM!A4:S""),11,FALSE))"),"")</f>
        <v/>
      </c>
      <c r="AW879" s="42" t="str">
        <f ca="1">IFERROR(__xludf.DUMMYFUNCTION("IFERROR(VLOOKUP(F893,IMPORTRANGE(""https://docs.google.com/spreadsheets/d/1Kvs4KS76FHFqLFIZfrDMff4kP08nblUkihrxltoGBjg/edit#gid=934712705"",""ESENCIAL!A6:BG""),15,FALSE))"),"")</f>
        <v/>
      </c>
      <c r="AX879" s="21" t="str">
        <f ca="1">IFERROR(__xludf.DUMMYFUNCTION("IFERROR(VLOOKUP(E893&amp;F893,IMPORTRANGE(""https://docs.google.com/spreadsheets/d/1Uw7-A9f9R21vMXxHZFNpYNeKFtG8_yji4HS352LGlSQ/edit?pli=1#gid=0"",""1_ACUM!A4:S""),12,FALSE))"),"")</f>
        <v/>
      </c>
      <c r="AY879" s="43" t="str">
        <f ca="1">IFERROR(__xludf.DUMMYFUNCTION("IFERROR(VLOOKUP(E893&amp;F893,IMPORTRANGE(""https://docs.google.com/spreadsheets/d/1Uw7-A9f9R21vMXxHZFNpYNeKFtG8_yji4HS352LGlSQ/edit?pli=1#gid=0"",""1_ACUM!A4:S""),13,FALSE))"),"")</f>
        <v/>
      </c>
      <c r="AZ879" s="43" t="str">
        <f ca="1">IFERROR(__xludf.DUMMYFUNCTION("IFERROR(VLOOKUP(E893&amp;F893,IMPORTRANGE(""https://docs.google.com/spreadsheets/d/1Uw7-A9f9R21vMXxHZFNpYNeKFtG8_yji4HS352LGlSQ/edit?pli=1#gid=0"",""1_ACUM!A4:S""),14,FALSE))"),"")</f>
        <v/>
      </c>
      <c r="BA879" s="43" t="str">
        <f ca="1">IFERROR(__xludf.DUMMYFUNCTION("IFERROR(VLOOKUP(E893&amp;F893,IMPORTRANGE(""https://docs.google.com/spreadsheets/d/1Uw7-A9f9R21vMXxHZFNpYNeKFtG8_yji4HS352LGlSQ/edit?pli=1#gid=0"",""1_ACUM!A4:S""),15,FALSE))"),"")</f>
        <v/>
      </c>
      <c r="BB879" s="43" t="str">
        <f ca="1">IFERROR(__xludf.DUMMYFUNCTION("IFERROR(VLOOKUP(E893&amp;F893,IMPORTRANGE(""https://docs.google.com/spreadsheets/d/1Uw7-A9f9R21vMXxHZFNpYNeKFtG8_yji4HS352LGlSQ/edit?pli=1#gid=0"",""1_ACUM!A4:S""),16,FALSE))"),"")</f>
        <v/>
      </c>
      <c r="BC879" s="43" t="str">
        <f ca="1">IFERROR(__xludf.DUMMYFUNCTION("IFERROR(VLOOKUP(E893&amp;F893,IMPORTRANGE(""https://docs.google.com/spreadsheets/d/1Uw7-A9f9R21vMXxHZFNpYNeKFtG8_yji4HS352LGlSQ/edit?pli=1#gid=0"",""1_ACUM!A4:S""),17,FALSE))"),"")</f>
        <v/>
      </c>
      <c r="BD879" s="44" t="str">
        <f ca="1">IFERROR(__xludf.DUMMYFUNCTION("IFERROR(VLOOKUP(E893&amp;F893,IMPORTRANGE(""https://docs.google.com/spreadsheets/d/1Uw7-A9f9R21vMXxHZFNpYNeKFtG8_yji4HS352LGlSQ/edit?pli=1#gid=0"",""1_ACUM!A4:S""),18,FALSE))"),"")</f>
        <v/>
      </c>
      <c r="BE879" s="44" t="str">
        <f ca="1">IFERROR(__xludf.DUMMYFUNCTION("IFERROR(VLOOKUP(E893&amp;F893,IMPORTRANGE(""https://docs.google.com/spreadsheets/d/1Uw7-A9f9R21vMXxHZFNpYNeKFtG8_yji4HS352LGlSQ/edit?pli=1#gid=0"",""1_ACUM!A4:S""),19,FALSE))"),"")</f>
        <v/>
      </c>
      <c r="BF879" s="98" t="str">
        <f ca="1">IFERROR(__xludf.DUMMYFUNCTION("IFERROR(VLOOKUP(F893,IMPORTRANGE(""https://docs.google.com/spreadsheets/d/1Kvs4KS76FHFqLFIZfrDMff4kP08nblUkihrxltoGBjg/edit#gid=934712705"",""ESENCIAL!A6:BG""),5,FALSE))"),"")</f>
        <v/>
      </c>
      <c r="BG879" s="98" t="str">
        <f t="shared" si="25"/>
        <v/>
      </c>
      <c r="BH879" s="99" t="str">
        <f t="shared" si="26"/>
        <v/>
      </c>
      <c r="BI879" s="100" t="str">
        <f ca="1">IFERROR(__xludf.DUMMYFUNCTION("IFERROR(VLOOKUP(F893,IMPORTRANGE(""https://docs.google.com/spreadsheets/d/1Kvs4KS76FHFqLFIZfrDMff4kP08nblUkihrxltoGBjg/edit#gid=934712705"",""ESENCIAL!A6:BG""),2,FALSE))"),"")</f>
        <v/>
      </c>
      <c r="BJ879" s="19" t="str">
        <f t="shared" si="27"/>
        <v/>
      </c>
      <c r="BK879" s="100"/>
      <c r="BL879" s="100"/>
    </row>
    <row r="880" spans="1:64" ht="15">
      <c r="A880" s="5"/>
      <c r="B880" s="5"/>
      <c r="G880" s="5" t="str">
        <f ca="1">IFERROR(__xludf.DUMMYFUNCTION("IFERROR(VLOOKUP(F894,IMPORTRANGE(""https://docs.google.com/spreadsheets/d/1Kvs4KS76FHFqLFIZfrDMff4kP08nblUkihrxltoGBjg/edit#gid=934712705"",""ESENCIAL!A6:BG""),3,FALSE))"),"")</f>
        <v/>
      </c>
      <c r="H880" s="5" t="str">
        <f ca="1">IFERROR(__xludf.DUMMYFUNCTION("IFERROR(VLOOKUP(F894,IMPORTRANGE(""https://docs.google.com/spreadsheets/d/1Kvs4KS76FHFqLFIZfrDMff4kP08nblUkihrxltoGBjg/edit#gid=934712705"",""ESENCIAL!A6:BG""),8,FALSE))"),"")</f>
        <v/>
      </c>
      <c r="L880" s="287"/>
      <c r="U880" s="40"/>
      <c r="AU880" s="41" t="str">
        <f t="shared" si="24"/>
        <v/>
      </c>
      <c r="AV880" s="5" t="str">
        <f ca="1">IFERROR(__xludf.DUMMYFUNCTION("IFERROR(VLOOKUP(E894&amp;F894,IMPORTRANGE(""https://docs.google.com/spreadsheets/d/1Uw7-A9f9R21vMXxHZFNpYNeKFtG8_yji4HS352LGlSQ/edit?pli=1#gid=0"",""1_ACUM!A4:S""),11,FALSE))"),"")</f>
        <v/>
      </c>
      <c r="AW880" s="42" t="str">
        <f ca="1">IFERROR(__xludf.DUMMYFUNCTION("IFERROR(VLOOKUP(F894,IMPORTRANGE(""https://docs.google.com/spreadsheets/d/1Kvs4KS76FHFqLFIZfrDMff4kP08nblUkihrxltoGBjg/edit#gid=934712705"",""ESENCIAL!A6:BG""),15,FALSE))"),"")</f>
        <v/>
      </c>
      <c r="AX880" s="21" t="str">
        <f ca="1">IFERROR(__xludf.DUMMYFUNCTION("IFERROR(VLOOKUP(E894&amp;F894,IMPORTRANGE(""https://docs.google.com/spreadsheets/d/1Uw7-A9f9R21vMXxHZFNpYNeKFtG8_yji4HS352LGlSQ/edit?pli=1#gid=0"",""1_ACUM!A4:S""),12,FALSE))"),"")</f>
        <v/>
      </c>
      <c r="AY880" s="43" t="str">
        <f ca="1">IFERROR(__xludf.DUMMYFUNCTION("IFERROR(VLOOKUP(E894&amp;F894,IMPORTRANGE(""https://docs.google.com/spreadsheets/d/1Uw7-A9f9R21vMXxHZFNpYNeKFtG8_yji4HS352LGlSQ/edit?pli=1#gid=0"",""1_ACUM!A4:S""),13,FALSE))"),"")</f>
        <v/>
      </c>
      <c r="AZ880" s="43" t="str">
        <f ca="1">IFERROR(__xludf.DUMMYFUNCTION("IFERROR(VLOOKUP(E894&amp;F894,IMPORTRANGE(""https://docs.google.com/spreadsheets/d/1Uw7-A9f9R21vMXxHZFNpYNeKFtG8_yji4HS352LGlSQ/edit?pli=1#gid=0"",""1_ACUM!A4:S""),14,FALSE))"),"")</f>
        <v/>
      </c>
      <c r="BA880" s="43" t="str">
        <f ca="1">IFERROR(__xludf.DUMMYFUNCTION("IFERROR(VLOOKUP(E894&amp;F894,IMPORTRANGE(""https://docs.google.com/spreadsheets/d/1Uw7-A9f9R21vMXxHZFNpYNeKFtG8_yji4HS352LGlSQ/edit?pli=1#gid=0"",""1_ACUM!A4:S""),15,FALSE))"),"")</f>
        <v/>
      </c>
      <c r="BB880" s="43" t="str">
        <f ca="1">IFERROR(__xludf.DUMMYFUNCTION("IFERROR(VLOOKUP(E894&amp;F894,IMPORTRANGE(""https://docs.google.com/spreadsheets/d/1Uw7-A9f9R21vMXxHZFNpYNeKFtG8_yji4HS352LGlSQ/edit?pli=1#gid=0"",""1_ACUM!A4:S""),16,FALSE))"),"")</f>
        <v/>
      </c>
      <c r="BC880" s="43" t="str">
        <f ca="1">IFERROR(__xludf.DUMMYFUNCTION("IFERROR(VLOOKUP(E894&amp;F894,IMPORTRANGE(""https://docs.google.com/spreadsheets/d/1Uw7-A9f9R21vMXxHZFNpYNeKFtG8_yji4HS352LGlSQ/edit?pli=1#gid=0"",""1_ACUM!A4:S""),17,FALSE))"),"")</f>
        <v/>
      </c>
      <c r="BD880" s="44" t="str">
        <f ca="1">IFERROR(__xludf.DUMMYFUNCTION("IFERROR(VLOOKUP(E894&amp;F894,IMPORTRANGE(""https://docs.google.com/spreadsheets/d/1Uw7-A9f9R21vMXxHZFNpYNeKFtG8_yji4HS352LGlSQ/edit?pli=1#gid=0"",""1_ACUM!A4:S""),18,FALSE))"),"")</f>
        <v/>
      </c>
      <c r="BE880" s="44" t="str">
        <f ca="1">IFERROR(__xludf.DUMMYFUNCTION("IFERROR(VLOOKUP(E894&amp;F894,IMPORTRANGE(""https://docs.google.com/spreadsheets/d/1Uw7-A9f9R21vMXxHZFNpYNeKFtG8_yji4HS352LGlSQ/edit?pli=1#gid=0"",""1_ACUM!A4:S""),19,FALSE))"),"")</f>
        <v/>
      </c>
      <c r="BF880" s="98" t="str">
        <f ca="1">IFERROR(__xludf.DUMMYFUNCTION("IFERROR(VLOOKUP(F894,IMPORTRANGE(""https://docs.google.com/spreadsheets/d/1Kvs4KS76FHFqLFIZfrDMff4kP08nblUkihrxltoGBjg/edit#gid=934712705"",""ESENCIAL!A6:BG""),5,FALSE))"),"")</f>
        <v/>
      </c>
      <c r="BG880" s="98" t="str">
        <f t="shared" si="25"/>
        <v/>
      </c>
      <c r="BH880" s="99" t="str">
        <f t="shared" si="26"/>
        <v/>
      </c>
      <c r="BI880" s="100" t="str">
        <f ca="1">IFERROR(__xludf.DUMMYFUNCTION("IFERROR(VLOOKUP(F894,IMPORTRANGE(""https://docs.google.com/spreadsheets/d/1Kvs4KS76FHFqLFIZfrDMff4kP08nblUkihrxltoGBjg/edit#gid=934712705"",""ESENCIAL!A6:BG""),2,FALSE))"),"")</f>
        <v/>
      </c>
      <c r="BJ880" s="19" t="str">
        <f t="shared" si="27"/>
        <v/>
      </c>
      <c r="BK880" s="100"/>
      <c r="BL880" s="100"/>
    </row>
    <row r="881" spans="1:64" ht="15">
      <c r="A881" s="5"/>
      <c r="B881" s="5"/>
      <c r="G881" s="5" t="str">
        <f ca="1">IFERROR(__xludf.DUMMYFUNCTION("IFERROR(VLOOKUP(F895,IMPORTRANGE(""https://docs.google.com/spreadsheets/d/1Kvs4KS76FHFqLFIZfrDMff4kP08nblUkihrxltoGBjg/edit#gid=934712705"",""ESENCIAL!A6:BG""),3,FALSE))"),"")</f>
        <v/>
      </c>
      <c r="H881" s="5" t="str">
        <f ca="1">IFERROR(__xludf.DUMMYFUNCTION("IFERROR(VLOOKUP(F895,IMPORTRANGE(""https://docs.google.com/spreadsheets/d/1Kvs4KS76FHFqLFIZfrDMff4kP08nblUkihrxltoGBjg/edit#gid=934712705"",""ESENCIAL!A6:BG""),8,FALSE))"),"")</f>
        <v/>
      </c>
      <c r="L881" s="287"/>
      <c r="U881" s="40"/>
      <c r="AU881" s="41" t="str">
        <f t="shared" si="24"/>
        <v/>
      </c>
      <c r="AV881" s="5" t="str">
        <f ca="1">IFERROR(__xludf.DUMMYFUNCTION("IFERROR(VLOOKUP(E895&amp;F895,IMPORTRANGE(""https://docs.google.com/spreadsheets/d/1Uw7-A9f9R21vMXxHZFNpYNeKFtG8_yji4HS352LGlSQ/edit?pli=1#gid=0"",""1_ACUM!A4:S""),11,FALSE))"),"")</f>
        <v/>
      </c>
      <c r="AW881" s="42" t="str">
        <f ca="1">IFERROR(__xludf.DUMMYFUNCTION("IFERROR(VLOOKUP(F895,IMPORTRANGE(""https://docs.google.com/spreadsheets/d/1Kvs4KS76FHFqLFIZfrDMff4kP08nblUkihrxltoGBjg/edit#gid=934712705"",""ESENCIAL!A6:BG""),15,FALSE))"),"")</f>
        <v/>
      </c>
      <c r="AX881" s="21" t="str">
        <f ca="1">IFERROR(__xludf.DUMMYFUNCTION("IFERROR(VLOOKUP(E895&amp;F895,IMPORTRANGE(""https://docs.google.com/spreadsheets/d/1Uw7-A9f9R21vMXxHZFNpYNeKFtG8_yji4HS352LGlSQ/edit?pli=1#gid=0"",""1_ACUM!A4:S""),12,FALSE))"),"")</f>
        <v/>
      </c>
      <c r="AY881" s="43" t="str">
        <f ca="1">IFERROR(__xludf.DUMMYFUNCTION("IFERROR(VLOOKUP(E895&amp;F895,IMPORTRANGE(""https://docs.google.com/spreadsheets/d/1Uw7-A9f9R21vMXxHZFNpYNeKFtG8_yji4HS352LGlSQ/edit?pli=1#gid=0"",""1_ACUM!A4:S""),13,FALSE))"),"")</f>
        <v/>
      </c>
      <c r="AZ881" s="43" t="str">
        <f ca="1">IFERROR(__xludf.DUMMYFUNCTION("IFERROR(VLOOKUP(E895&amp;F895,IMPORTRANGE(""https://docs.google.com/spreadsheets/d/1Uw7-A9f9R21vMXxHZFNpYNeKFtG8_yji4HS352LGlSQ/edit?pli=1#gid=0"",""1_ACUM!A4:S""),14,FALSE))"),"")</f>
        <v/>
      </c>
      <c r="BA881" s="43" t="str">
        <f ca="1">IFERROR(__xludf.DUMMYFUNCTION("IFERROR(VLOOKUP(E895&amp;F895,IMPORTRANGE(""https://docs.google.com/spreadsheets/d/1Uw7-A9f9R21vMXxHZFNpYNeKFtG8_yji4HS352LGlSQ/edit?pli=1#gid=0"",""1_ACUM!A4:S""),15,FALSE))"),"")</f>
        <v/>
      </c>
      <c r="BB881" s="43" t="str">
        <f ca="1">IFERROR(__xludf.DUMMYFUNCTION("IFERROR(VLOOKUP(E895&amp;F895,IMPORTRANGE(""https://docs.google.com/spreadsheets/d/1Uw7-A9f9R21vMXxHZFNpYNeKFtG8_yji4HS352LGlSQ/edit?pli=1#gid=0"",""1_ACUM!A4:S""),16,FALSE))"),"")</f>
        <v/>
      </c>
      <c r="BC881" s="43" t="str">
        <f ca="1">IFERROR(__xludf.DUMMYFUNCTION("IFERROR(VLOOKUP(E895&amp;F895,IMPORTRANGE(""https://docs.google.com/spreadsheets/d/1Uw7-A9f9R21vMXxHZFNpYNeKFtG8_yji4HS352LGlSQ/edit?pli=1#gid=0"",""1_ACUM!A4:S""),17,FALSE))"),"")</f>
        <v/>
      </c>
      <c r="BD881" s="44" t="str">
        <f ca="1">IFERROR(__xludf.DUMMYFUNCTION("IFERROR(VLOOKUP(E895&amp;F895,IMPORTRANGE(""https://docs.google.com/spreadsheets/d/1Uw7-A9f9R21vMXxHZFNpYNeKFtG8_yji4HS352LGlSQ/edit?pli=1#gid=0"",""1_ACUM!A4:S""),18,FALSE))"),"")</f>
        <v/>
      </c>
      <c r="BE881" s="44" t="str">
        <f ca="1">IFERROR(__xludf.DUMMYFUNCTION("IFERROR(VLOOKUP(E895&amp;F895,IMPORTRANGE(""https://docs.google.com/spreadsheets/d/1Uw7-A9f9R21vMXxHZFNpYNeKFtG8_yji4HS352LGlSQ/edit?pli=1#gid=0"",""1_ACUM!A4:S""),19,FALSE))"),"")</f>
        <v/>
      </c>
      <c r="BF881" s="98" t="str">
        <f ca="1">IFERROR(__xludf.DUMMYFUNCTION("IFERROR(VLOOKUP(F895,IMPORTRANGE(""https://docs.google.com/spreadsheets/d/1Kvs4KS76FHFqLFIZfrDMff4kP08nblUkihrxltoGBjg/edit#gid=934712705"",""ESENCIAL!A6:BG""),5,FALSE))"),"")</f>
        <v/>
      </c>
      <c r="BG881" s="98" t="str">
        <f t="shared" si="25"/>
        <v/>
      </c>
      <c r="BH881" s="99" t="str">
        <f t="shared" si="26"/>
        <v/>
      </c>
      <c r="BI881" s="100" t="str">
        <f ca="1">IFERROR(__xludf.DUMMYFUNCTION("IFERROR(VLOOKUP(F895,IMPORTRANGE(""https://docs.google.com/spreadsheets/d/1Kvs4KS76FHFqLFIZfrDMff4kP08nblUkihrxltoGBjg/edit#gid=934712705"",""ESENCIAL!A6:BG""),2,FALSE))"),"")</f>
        <v/>
      </c>
      <c r="BJ881" s="19" t="str">
        <f t="shared" si="27"/>
        <v/>
      </c>
      <c r="BK881" s="100"/>
      <c r="BL881" s="100"/>
    </row>
    <row r="882" spans="1:64" ht="15">
      <c r="A882" s="5"/>
      <c r="B882" s="5"/>
      <c r="G882" s="5" t="str">
        <f ca="1">IFERROR(__xludf.DUMMYFUNCTION("IFERROR(VLOOKUP(F896,IMPORTRANGE(""https://docs.google.com/spreadsheets/d/1Kvs4KS76FHFqLFIZfrDMff4kP08nblUkihrxltoGBjg/edit#gid=934712705"",""ESENCIAL!A6:BG""),3,FALSE))"),"")</f>
        <v/>
      </c>
      <c r="H882" s="5" t="str">
        <f ca="1">IFERROR(__xludf.DUMMYFUNCTION("IFERROR(VLOOKUP(F896,IMPORTRANGE(""https://docs.google.com/spreadsheets/d/1Kvs4KS76FHFqLFIZfrDMff4kP08nblUkihrxltoGBjg/edit#gid=934712705"",""ESENCIAL!A6:BG""),8,FALSE))"),"")</f>
        <v/>
      </c>
      <c r="L882" s="287"/>
      <c r="U882" s="40"/>
      <c r="AU882" s="41" t="str">
        <f t="shared" si="24"/>
        <v/>
      </c>
      <c r="AV882" s="5" t="str">
        <f ca="1">IFERROR(__xludf.DUMMYFUNCTION("IFERROR(VLOOKUP(E896&amp;F896,IMPORTRANGE(""https://docs.google.com/spreadsheets/d/1Uw7-A9f9R21vMXxHZFNpYNeKFtG8_yji4HS352LGlSQ/edit?pli=1#gid=0"",""1_ACUM!A4:S""),11,FALSE))"),"")</f>
        <v/>
      </c>
      <c r="AW882" s="42" t="str">
        <f ca="1">IFERROR(__xludf.DUMMYFUNCTION("IFERROR(VLOOKUP(F896,IMPORTRANGE(""https://docs.google.com/spreadsheets/d/1Kvs4KS76FHFqLFIZfrDMff4kP08nblUkihrxltoGBjg/edit#gid=934712705"",""ESENCIAL!A6:BG""),15,FALSE))"),"")</f>
        <v/>
      </c>
      <c r="AX882" s="21" t="str">
        <f ca="1">IFERROR(__xludf.DUMMYFUNCTION("IFERROR(VLOOKUP(E896&amp;F896,IMPORTRANGE(""https://docs.google.com/spreadsheets/d/1Uw7-A9f9R21vMXxHZFNpYNeKFtG8_yji4HS352LGlSQ/edit?pli=1#gid=0"",""1_ACUM!A4:S""),12,FALSE))"),"")</f>
        <v/>
      </c>
      <c r="AY882" s="43" t="str">
        <f ca="1">IFERROR(__xludf.DUMMYFUNCTION("IFERROR(VLOOKUP(E896&amp;F896,IMPORTRANGE(""https://docs.google.com/spreadsheets/d/1Uw7-A9f9R21vMXxHZFNpYNeKFtG8_yji4HS352LGlSQ/edit?pli=1#gid=0"",""1_ACUM!A4:S""),13,FALSE))"),"")</f>
        <v/>
      </c>
      <c r="AZ882" s="43" t="str">
        <f ca="1">IFERROR(__xludf.DUMMYFUNCTION("IFERROR(VLOOKUP(E896&amp;F896,IMPORTRANGE(""https://docs.google.com/spreadsheets/d/1Uw7-A9f9R21vMXxHZFNpYNeKFtG8_yji4HS352LGlSQ/edit?pli=1#gid=0"",""1_ACUM!A4:S""),14,FALSE))"),"")</f>
        <v/>
      </c>
      <c r="BA882" s="43" t="str">
        <f ca="1">IFERROR(__xludf.DUMMYFUNCTION("IFERROR(VLOOKUP(E896&amp;F896,IMPORTRANGE(""https://docs.google.com/spreadsheets/d/1Uw7-A9f9R21vMXxHZFNpYNeKFtG8_yji4HS352LGlSQ/edit?pli=1#gid=0"",""1_ACUM!A4:S""),15,FALSE))"),"")</f>
        <v/>
      </c>
      <c r="BB882" s="43" t="str">
        <f ca="1">IFERROR(__xludf.DUMMYFUNCTION("IFERROR(VLOOKUP(E896&amp;F896,IMPORTRANGE(""https://docs.google.com/spreadsheets/d/1Uw7-A9f9R21vMXxHZFNpYNeKFtG8_yji4HS352LGlSQ/edit?pli=1#gid=0"",""1_ACUM!A4:S""),16,FALSE))"),"")</f>
        <v/>
      </c>
      <c r="BC882" s="43" t="str">
        <f ca="1">IFERROR(__xludf.DUMMYFUNCTION("IFERROR(VLOOKUP(E896&amp;F896,IMPORTRANGE(""https://docs.google.com/spreadsheets/d/1Uw7-A9f9R21vMXxHZFNpYNeKFtG8_yji4HS352LGlSQ/edit?pli=1#gid=0"",""1_ACUM!A4:S""),17,FALSE))"),"")</f>
        <v/>
      </c>
      <c r="BD882" s="44" t="str">
        <f ca="1">IFERROR(__xludf.DUMMYFUNCTION("IFERROR(VLOOKUP(E896&amp;F896,IMPORTRANGE(""https://docs.google.com/spreadsheets/d/1Uw7-A9f9R21vMXxHZFNpYNeKFtG8_yji4HS352LGlSQ/edit?pli=1#gid=0"",""1_ACUM!A4:S""),18,FALSE))"),"")</f>
        <v/>
      </c>
      <c r="BE882" s="44" t="str">
        <f ca="1">IFERROR(__xludf.DUMMYFUNCTION("IFERROR(VLOOKUP(E896&amp;F896,IMPORTRANGE(""https://docs.google.com/spreadsheets/d/1Uw7-A9f9R21vMXxHZFNpYNeKFtG8_yji4HS352LGlSQ/edit?pli=1#gid=0"",""1_ACUM!A4:S""),19,FALSE))"),"")</f>
        <v/>
      </c>
      <c r="BF882" s="98" t="str">
        <f ca="1">IFERROR(__xludf.DUMMYFUNCTION("IFERROR(VLOOKUP(F896,IMPORTRANGE(""https://docs.google.com/spreadsheets/d/1Kvs4KS76FHFqLFIZfrDMff4kP08nblUkihrxltoGBjg/edit#gid=934712705"",""ESENCIAL!A6:BG""),5,FALSE))"),"")</f>
        <v/>
      </c>
      <c r="BG882" s="98" t="str">
        <f t="shared" si="25"/>
        <v/>
      </c>
      <c r="BH882" s="99" t="str">
        <f t="shared" si="26"/>
        <v/>
      </c>
      <c r="BI882" s="100" t="str">
        <f ca="1">IFERROR(__xludf.DUMMYFUNCTION("IFERROR(VLOOKUP(F896,IMPORTRANGE(""https://docs.google.com/spreadsheets/d/1Kvs4KS76FHFqLFIZfrDMff4kP08nblUkihrxltoGBjg/edit#gid=934712705"",""ESENCIAL!A6:BG""),2,FALSE))"),"")</f>
        <v/>
      </c>
      <c r="BJ882" s="19" t="str">
        <f t="shared" si="27"/>
        <v/>
      </c>
      <c r="BK882" s="100"/>
      <c r="BL882" s="100"/>
    </row>
    <row r="883" spans="1:64" ht="15">
      <c r="A883" s="5"/>
      <c r="B883" s="5"/>
      <c r="G883" s="5" t="str">
        <f ca="1">IFERROR(__xludf.DUMMYFUNCTION("IFERROR(VLOOKUP(F897,IMPORTRANGE(""https://docs.google.com/spreadsheets/d/1Kvs4KS76FHFqLFIZfrDMff4kP08nblUkihrxltoGBjg/edit#gid=934712705"",""ESENCIAL!A6:BG""),3,FALSE))"),"")</f>
        <v/>
      </c>
      <c r="H883" s="5" t="str">
        <f ca="1">IFERROR(__xludf.DUMMYFUNCTION("IFERROR(VLOOKUP(F897,IMPORTRANGE(""https://docs.google.com/spreadsheets/d/1Kvs4KS76FHFqLFIZfrDMff4kP08nblUkihrxltoGBjg/edit#gid=934712705"",""ESENCIAL!A6:BG""),8,FALSE))"),"")</f>
        <v/>
      </c>
      <c r="L883" s="287"/>
      <c r="U883" s="40"/>
      <c r="AU883" s="41" t="str">
        <f t="shared" si="24"/>
        <v/>
      </c>
      <c r="AV883" s="5" t="str">
        <f ca="1">IFERROR(__xludf.DUMMYFUNCTION("IFERROR(VLOOKUP(E897&amp;F897,IMPORTRANGE(""https://docs.google.com/spreadsheets/d/1Uw7-A9f9R21vMXxHZFNpYNeKFtG8_yji4HS352LGlSQ/edit?pli=1#gid=0"",""1_ACUM!A4:S""),11,FALSE))"),"")</f>
        <v/>
      </c>
      <c r="AW883" s="42" t="str">
        <f ca="1">IFERROR(__xludf.DUMMYFUNCTION("IFERROR(VLOOKUP(F897,IMPORTRANGE(""https://docs.google.com/spreadsheets/d/1Kvs4KS76FHFqLFIZfrDMff4kP08nblUkihrxltoGBjg/edit#gid=934712705"",""ESENCIAL!A6:BG""),15,FALSE))"),"")</f>
        <v/>
      </c>
      <c r="AX883" s="21" t="str">
        <f ca="1">IFERROR(__xludf.DUMMYFUNCTION("IFERROR(VLOOKUP(E897&amp;F897,IMPORTRANGE(""https://docs.google.com/spreadsheets/d/1Uw7-A9f9R21vMXxHZFNpYNeKFtG8_yji4HS352LGlSQ/edit?pli=1#gid=0"",""1_ACUM!A4:S""),12,FALSE))"),"")</f>
        <v/>
      </c>
      <c r="AY883" s="43" t="str">
        <f ca="1">IFERROR(__xludf.DUMMYFUNCTION("IFERROR(VLOOKUP(E897&amp;F897,IMPORTRANGE(""https://docs.google.com/spreadsheets/d/1Uw7-A9f9R21vMXxHZFNpYNeKFtG8_yji4HS352LGlSQ/edit?pli=1#gid=0"",""1_ACUM!A4:S""),13,FALSE))"),"")</f>
        <v/>
      </c>
      <c r="AZ883" s="43" t="str">
        <f ca="1">IFERROR(__xludf.DUMMYFUNCTION("IFERROR(VLOOKUP(E897&amp;F897,IMPORTRANGE(""https://docs.google.com/spreadsheets/d/1Uw7-A9f9R21vMXxHZFNpYNeKFtG8_yji4HS352LGlSQ/edit?pli=1#gid=0"",""1_ACUM!A4:S""),14,FALSE))"),"")</f>
        <v/>
      </c>
      <c r="BA883" s="43" t="str">
        <f ca="1">IFERROR(__xludf.DUMMYFUNCTION("IFERROR(VLOOKUP(E897&amp;F897,IMPORTRANGE(""https://docs.google.com/spreadsheets/d/1Uw7-A9f9R21vMXxHZFNpYNeKFtG8_yji4HS352LGlSQ/edit?pli=1#gid=0"",""1_ACUM!A4:S""),15,FALSE))"),"")</f>
        <v/>
      </c>
      <c r="BB883" s="43" t="str">
        <f ca="1">IFERROR(__xludf.DUMMYFUNCTION("IFERROR(VLOOKUP(E897&amp;F897,IMPORTRANGE(""https://docs.google.com/spreadsheets/d/1Uw7-A9f9R21vMXxHZFNpYNeKFtG8_yji4HS352LGlSQ/edit?pli=1#gid=0"",""1_ACUM!A4:S""),16,FALSE))"),"")</f>
        <v/>
      </c>
      <c r="BC883" s="43" t="str">
        <f ca="1">IFERROR(__xludf.DUMMYFUNCTION("IFERROR(VLOOKUP(E897&amp;F897,IMPORTRANGE(""https://docs.google.com/spreadsheets/d/1Uw7-A9f9R21vMXxHZFNpYNeKFtG8_yji4HS352LGlSQ/edit?pli=1#gid=0"",""1_ACUM!A4:S""),17,FALSE))"),"")</f>
        <v/>
      </c>
      <c r="BD883" s="44" t="str">
        <f ca="1">IFERROR(__xludf.DUMMYFUNCTION("IFERROR(VLOOKUP(E897&amp;F897,IMPORTRANGE(""https://docs.google.com/spreadsheets/d/1Uw7-A9f9R21vMXxHZFNpYNeKFtG8_yji4HS352LGlSQ/edit?pli=1#gid=0"",""1_ACUM!A4:S""),18,FALSE))"),"")</f>
        <v/>
      </c>
      <c r="BE883" s="44" t="str">
        <f ca="1">IFERROR(__xludf.DUMMYFUNCTION("IFERROR(VLOOKUP(E897&amp;F897,IMPORTRANGE(""https://docs.google.com/spreadsheets/d/1Uw7-A9f9R21vMXxHZFNpYNeKFtG8_yji4HS352LGlSQ/edit?pli=1#gid=0"",""1_ACUM!A4:S""),19,FALSE))"),"")</f>
        <v/>
      </c>
      <c r="BF883" s="98" t="str">
        <f ca="1">IFERROR(__xludf.DUMMYFUNCTION("IFERROR(VLOOKUP(F897,IMPORTRANGE(""https://docs.google.com/spreadsheets/d/1Kvs4KS76FHFqLFIZfrDMff4kP08nblUkihrxltoGBjg/edit#gid=934712705"",""ESENCIAL!A6:BG""),5,FALSE))"),"")</f>
        <v/>
      </c>
      <c r="BG883" s="98" t="str">
        <f t="shared" si="25"/>
        <v/>
      </c>
      <c r="BH883" s="99" t="str">
        <f t="shared" si="26"/>
        <v/>
      </c>
      <c r="BI883" s="100" t="str">
        <f ca="1">IFERROR(__xludf.DUMMYFUNCTION("IFERROR(VLOOKUP(F897,IMPORTRANGE(""https://docs.google.com/spreadsheets/d/1Kvs4KS76FHFqLFIZfrDMff4kP08nblUkihrxltoGBjg/edit#gid=934712705"",""ESENCIAL!A6:BG""),2,FALSE))"),"")</f>
        <v/>
      </c>
      <c r="BJ883" s="19" t="str">
        <f t="shared" si="27"/>
        <v/>
      </c>
      <c r="BK883" s="100"/>
      <c r="BL883" s="100"/>
    </row>
    <row r="884" spans="1:64" ht="15">
      <c r="A884" s="5"/>
      <c r="B884" s="5"/>
      <c r="G884" s="5" t="str">
        <f ca="1">IFERROR(__xludf.DUMMYFUNCTION("IFERROR(VLOOKUP(F898,IMPORTRANGE(""https://docs.google.com/spreadsheets/d/1Kvs4KS76FHFqLFIZfrDMff4kP08nblUkihrxltoGBjg/edit#gid=934712705"",""ESENCIAL!A6:BG""),3,FALSE))"),"")</f>
        <v/>
      </c>
      <c r="H884" s="5" t="str">
        <f ca="1">IFERROR(__xludf.DUMMYFUNCTION("IFERROR(VLOOKUP(F898,IMPORTRANGE(""https://docs.google.com/spreadsheets/d/1Kvs4KS76FHFqLFIZfrDMff4kP08nblUkihrxltoGBjg/edit#gid=934712705"",""ESENCIAL!A6:BG""),8,FALSE))"),"")</f>
        <v/>
      </c>
      <c r="L884" s="287"/>
      <c r="U884" s="40"/>
      <c r="AU884" s="41" t="str">
        <f t="shared" si="24"/>
        <v/>
      </c>
      <c r="AV884" s="5" t="str">
        <f ca="1">IFERROR(__xludf.DUMMYFUNCTION("IFERROR(VLOOKUP(E898&amp;F898,IMPORTRANGE(""https://docs.google.com/spreadsheets/d/1Uw7-A9f9R21vMXxHZFNpYNeKFtG8_yji4HS352LGlSQ/edit?pli=1#gid=0"",""1_ACUM!A4:S""),11,FALSE))"),"")</f>
        <v/>
      </c>
      <c r="AW884" s="42" t="str">
        <f ca="1">IFERROR(__xludf.DUMMYFUNCTION("IFERROR(VLOOKUP(F898,IMPORTRANGE(""https://docs.google.com/spreadsheets/d/1Kvs4KS76FHFqLFIZfrDMff4kP08nblUkihrxltoGBjg/edit#gid=934712705"",""ESENCIAL!A6:BG""),15,FALSE))"),"")</f>
        <v/>
      </c>
      <c r="AX884" s="21" t="str">
        <f ca="1">IFERROR(__xludf.DUMMYFUNCTION("IFERROR(VLOOKUP(E898&amp;F898,IMPORTRANGE(""https://docs.google.com/spreadsheets/d/1Uw7-A9f9R21vMXxHZFNpYNeKFtG8_yji4HS352LGlSQ/edit?pli=1#gid=0"",""1_ACUM!A4:S""),12,FALSE))"),"")</f>
        <v/>
      </c>
      <c r="AY884" s="43" t="str">
        <f ca="1">IFERROR(__xludf.DUMMYFUNCTION("IFERROR(VLOOKUP(E898&amp;F898,IMPORTRANGE(""https://docs.google.com/spreadsheets/d/1Uw7-A9f9R21vMXxHZFNpYNeKFtG8_yji4HS352LGlSQ/edit?pli=1#gid=0"",""1_ACUM!A4:S""),13,FALSE))"),"")</f>
        <v/>
      </c>
      <c r="AZ884" s="43" t="str">
        <f ca="1">IFERROR(__xludf.DUMMYFUNCTION("IFERROR(VLOOKUP(E898&amp;F898,IMPORTRANGE(""https://docs.google.com/spreadsheets/d/1Uw7-A9f9R21vMXxHZFNpYNeKFtG8_yji4HS352LGlSQ/edit?pli=1#gid=0"",""1_ACUM!A4:S""),14,FALSE))"),"")</f>
        <v/>
      </c>
      <c r="BA884" s="43" t="str">
        <f ca="1">IFERROR(__xludf.DUMMYFUNCTION("IFERROR(VLOOKUP(E898&amp;F898,IMPORTRANGE(""https://docs.google.com/spreadsheets/d/1Uw7-A9f9R21vMXxHZFNpYNeKFtG8_yji4HS352LGlSQ/edit?pli=1#gid=0"",""1_ACUM!A4:S""),15,FALSE))"),"")</f>
        <v/>
      </c>
      <c r="BB884" s="43" t="str">
        <f ca="1">IFERROR(__xludf.DUMMYFUNCTION("IFERROR(VLOOKUP(E898&amp;F898,IMPORTRANGE(""https://docs.google.com/spreadsheets/d/1Uw7-A9f9R21vMXxHZFNpYNeKFtG8_yji4HS352LGlSQ/edit?pli=1#gid=0"",""1_ACUM!A4:S""),16,FALSE))"),"")</f>
        <v/>
      </c>
      <c r="BC884" s="43" t="str">
        <f ca="1">IFERROR(__xludf.DUMMYFUNCTION("IFERROR(VLOOKUP(E898&amp;F898,IMPORTRANGE(""https://docs.google.com/spreadsheets/d/1Uw7-A9f9R21vMXxHZFNpYNeKFtG8_yji4HS352LGlSQ/edit?pli=1#gid=0"",""1_ACUM!A4:S""),17,FALSE))"),"")</f>
        <v/>
      </c>
      <c r="BD884" s="44" t="str">
        <f ca="1">IFERROR(__xludf.DUMMYFUNCTION("IFERROR(VLOOKUP(E898&amp;F898,IMPORTRANGE(""https://docs.google.com/spreadsheets/d/1Uw7-A9f9R21vMXxHZFNpYNeKFtG8_yji4HS352LGlSQ/edit?pli=1#gid=0"",""1_ACUM!A4:S""),18,FALSE))"),"")</f>
        <v/>
      </c>
      <c r="BE884" s="44" t="str">
        <f ca="1">IFERROR(__xludf.DUMMYFUNCTION("IFERROR(VLOOKUP(E898&amp;F898,IMPORTRANGE(""https://docs.google.com/spreadsheets/d/1Uw7-A9f9R21vMXxHZFNpYNeKFtG8_yji4HS352LGlSQ/edit?pli=1#gid=0"",""1_ACUM!A4:S""),19,FALSE))"),"")</f>
        <v/>
      </c>
      <c r="BF884" s="98" t="str">
        <f ca="1">IFERROR(__xludf.DUMMYFUNCTION("IFERROR(VLOOKUP(F898,IMPORTRANGE(""https://docs.google.com/spreadsheets/d/1Kvs4KS76FHFqLFIZfrDMff4kP08nblUkihrxltoGBjg/edit#gid=934712705"",""ESENCIAL!A6:BG""),5,FALSE))"),"")</f>
        <v/>
      </c>
      <c r="BG884" s="98" t="str">
        <f t="shared" si="25"/>
        <v/>
      </c>
      <c r="BH884" s="99" t="str">
        <f t="shared" si="26"/>
        <v/>
      </c>
      <c r="BI884" s="100" t="str">
        <f ca="1">IFERROR(__xludf.DUMMYFUNCTION("IFERROR(VLOOKUP(F898,IMPORTRANGE(""https://docs.google.com/spreadsheets/d/1Kvs4KS76FHFqLFIZfrDMff4kP08nblUkihrxltoGBjg/edit#gid=934712705"",""ESENCIAL!A6:BG""),2,FALSE))"),"")</f>
        <v/>
      </c>
      <c r="BJ884" s="19" t="str">
        <f t="shared" si="27"/>
        <v/>
      </c>
      <c r="BK884" s="100"/>
      <c r="BL884" s="100"/>
    </row>
    <row r="885" spans="1:64" ht="15">
      <c r="A885" s="5"/>
      <c r="B885" s="5"/>
      <c r="G885" s="5" t="str">
        <f ca="1">IFERROR(__xludf.DUMMYFUNCTION("IFERROR(VLOOKUP(F899,IMPORTRANGE(""https://docs.google.com/spreadsheets/d/1Kvs4KS76FHFqLFIZfrDMff4kP08nblUkihrxltoGBjg/edit#gid=934712705"",""ESENCIAL!A6:BG""),3,FALSE))"),"")</f>
        <v/>
      </c>
      <c r="H885" s="5" t="str">
        <f ca="1">IFERROR(__xludf.DUMMYFUNCTION("IFERROR(VLOOKUP(F899,IMPORTRANGE(""https://docs.google.com/spreadsheets/d/1Kvs4KS76FHFqLFIZfrDMff4kP08nblUkihrxltoGBjg/edit#gid=934712705"",""ESENCIAL!A6:BG""),8,FALSE))"),"")</f>
        <v/>
      </c>
      <c r="L885" s="287"/>
      <c r="U885" s="40"/>
      <c r="AU885" s="41" t="str">
        <f t="shared" si="24"/>
        <v/>
      </c>
      <c r="AV885" s="5" t="str">
        <f ca="1">IFERROR(__xludf.DUMMYFUNCTION("IFERROR(VLOOKUP(E899&amp;F899,IMPORTRANGE(""https://docs.google.com/spreadsheets/d/1Uw7-A9f9R21vMXxHZFNpYNeKFtG8_yji4HS352LGlSQ/edit?pli=1#gid=0"",""1_ACUM!A4:S""),11,FALSE))"),"")</f>
        <v/>
      </c>
      <c r="AW885" s="42" t="str">
        <f ca="1">IFERROR(__xludf.DUMMYFUNCTION("IFERROR(VLOOKUP(F899,IMPORTRANGE(""https://docs.google.com/spreadsheets/d/1Kvs4KS76FHFqLFIZfrDMff4kP08nblUkihrxltoGBjg/edit#gid=934712705"",""ESENCIAL!A6:BG""),15,FALSE))"),"")</f>
        <v/>
      </c>
      <c r="AX885" s="21" t="str">
        <f ca="1">IFERROR(__xludf.DUMMYFUNCTION("IFERROR(VLOOKUP(E899&amp;F899,IMPORTRANGE(""https://docs.google.com/spreadsheets/d/1Uw7-A9f9R21vMXxHZFNpYNeKFtG8_yji4HS352LGlSQ/edit?pli=1#gid=0"",""1_ACUM!A4:S""),12,FALSE))"),"")</f>
        <v/>
      </c>
      <c r="AY885" s="43" t="str">
        <f ca="1">IFERROR(__xludf.DUMMYFUNCTION("IFERROR(VLOOKUP(E899&amp;F899,IMPORTRANGE(""https://docs.google.com/spreadsheets/d/1Uw7-A9f9R21vMXxHZFNpYNeKFtG8_yji4HS352LGlSQ/edit?pli=1#gid=0"",""1_ACUM!A4:S""),13,FALSE))"),"")</f>
        <v/>
      </c>
      <c r="AZ885" s="43" t="str">
        <f ca="1">IFERROR(__xludf.DUMMYFUNCTION("IFERROR(VLOOKUP(E899&amp;F899,IMPORTRANGE(""https://docs.google.com/spreadsheets/d/1Uw7-A9f9R21vMXxHZFNpYNeKFtG8_yji4HS352LGlSQ/edit?pli=1#gid=0"",""1_ACUM!A4:S""),14,FALSE))"),"")</f>
        <v/>
      </c>
      <c r="BA885" s="43" t="str">
        <f ca="1">IFERROR(__xludf.DUMMYFUNCTION("IFERROR(VLOOKUP(E899&amp;F899,IMPORTRANGE(""https://docs.google.com/spreadsheets/d/1Uw7-A9f9R21vMXxHZFNpYNeKFtG8_yji4HS352LGlSQ/edit?pli=1#gid=0"",""1_ACUM!A4:S""),15,FALSE))"),"")</f>
        <v/>
      </c>
      <c r="BB885" s="43" t="str">
        <f ca="1">IFERROR(__xludf.DUMMYFUNCTION("IFERROR(VLOOKUP(E899&amp;F899,IMPORTRANGE(""https://docs.google.com/spreadsheets/d/1Uw7-A9f9R21vMXxHZFNpYNeKFtG8_yji4HS352LGlSQ/edit?pli=1#gid=0"",""1_ACUM!A4:S""),16,FALSE))"),"")</f>
        <v/>
      </c>
      <c r="BC885" s="43" t="str">
        <f ca="1">IFERROR(__xludf.DUMMYFUNCTION("IFERROR(VLOOKUP(E899&amp;F899,IMPORTRANGE(""https://docs.google.com/spreadsheets/d/1Uw7-A9f9R21vMXxHZFNpYNeKFtG8_yji4HS352LGlSQ/edit?pli=1#gid=0"",""1_ACUM!A4:S""),17,FALSE))"),"")</f>
        <v/>
      </c>
      <c r="BD885" s="44" t="str">
        <f ca="1">IFERROR(__xludf.DUMMYFUNCTION("IFERROR(VLOOKUP(E899&amp;F899,IMPORTRANGE(""https://docs.google.com/spreadsheets/d/1Uw7-A9f9R21vMXxHZFNpYNeKFtG8_yji4HS352LGlSQ/edit?pli=1#gid=0"",""1_ACUM!A4:S""),18,FALSE))"),"")</f>
        <v/>
      </c>
      <c r="BE885" s="44" t="str">
        <f ca="1">IFERROR(__xludf.DUMMYFUNCTION("IFERROR(VLOOKUP(E899&amp;F899,IMPORTRANGE(""https://docs.google.com/spreadsheets/d/1Uw7-A9f9R21vMXxHZFNpYNeKFtG8_yji4HS352LGlSQ/edit?pli=1#gid=0"",""1_ACUM!A4:S""),19,FALSE))"),"")</f>
        <v/>
      </c>
      <c r="BF885" s="98" t="str">
        <f ca="1">IFERROR(__xludf.DUMMYFUNCTION("IFERROR(VLOOKUP(F899,IMPORTRANGE(""https://docs.google.com/spreadsheets/d/1Kvs4KS76FHFqLFIZfrDMff4kP08nblUkihrxltoGBjg/edit#gid=934712705"",""ESENCIAL!A6:BG""),5,FALSE))"),"")</f>
        <v/>
      </c>
      <c r="BG885" s="98" t="str">
        <f t="shared" si="25"/>
        <v/>
      </c>
      <c r="BH885" s="99" t="str">
        <f t="shared" si="26"/>
        <v/>
      </c>
      <c r="BI885" s="100" t="str">
        <f ca="1">IFERROR(__xludf.DUMMYFUNCTION("IFERROR(VLOOKUP(F899,IMPORTRANGE(""https://docs.google.com/spreadsheets/d/1Kvs4KS76FHFqLFIZfrDMff4kP08nblUkihrxltoGBjg/edit#gid=934712705"",""ESENCIAL!A6:BG""),2,FALSE))"),"")</f>
        <v/>
      </c>
      <c r="BJ885" s="19" t="str">
        <f t="shared" si="27"/>
        <v/>
      </c>
      <c r="BK885" s="100"/>
      <c r="BL885" s="100"/>
    </row>
    <row r="886" spans="1:64" ht="15">
      <c r="A886" s="5"/>
      <c r="B886" s="5"/>
      <c r="G886" s="5" t="str">
        <f ca="1">IFERROR(__xludf.DUMMYFUNCTION("IFERROR(VLOOKUP(F900,IMPORTRANGE(""https://docs.google.com/spreadsheets/d/1Kvs4KS76FHFqLFIZfrDMff4kP08nblUkihrxltoGBjg/edit#gid=934712705"",""ESENCIAL!A6:BG""),3,FALSE))"),"")</f>
        <v/>
      </c>
      <c r="H886" s="5" t="str">
        <f ca="1">IFERROR(__xludf.DUMMYFUNCTION("IFERROR(VLOOKUP(F900,IMPORTRANGE(""https://docs.google.com/spreadsheets/d/1Kvs4KS76FHFqLFIZfrDMff4kP08nblUkihrxltoGBjg/edit#gid=934712705"",""ESENCIAL!A6:BG""),8,FALSE))"),"")</f>
        <v/>
      </c>
      <c r="L886" s="287"/>
      <c r="U886" s="40"/>
      <c r="AU886" s="41" t="str">
        <f t="shared" si="24"/>
        <v/>
      </c>
      <c r="AV886" s="5" t="str">
        <f ca="1">IFERROR(__xludf.DUMMYFUNCTION("IFERROR(VLOOKUP(E900&amp;F900,IMPORTRANGE(""https://docs.google.com/spreadsheets/d/1Uw7-A9f9R21vMXxHZFNpYNeKFtG8_yji4HS352LGlSQ/edit?pli=1#gid=0"",""1_ACUM!A4:S""),11,FALSE))"),"")</f>
        <v/>
      </c>
      <c r="AW886" s="42" t="str">
        <f ca="1">IFERROR(__xludf.DUMMYFUNCTION("IFERROR(VLOOKUP(F900,IMPORTRANGE(""https://docs.google.com/spreadsheets/d/1Kvs4KS76FHFqLFIZfrDMff4kP08nblUkihrxltoGBjg/edit#gid=934712705"",""ESENCIAL!A6:BG""),15,FALSE))"),"")</f>
        <v/>
      </c>
      <c r="AX886" s="21" t="str">
        <f ca="1">IFERROR(__xludf.DUMMYFUNCTION("IFERROR(VLOOKUP(E900&amp;F900,IMPORTRANGE(""https://docs.google.com/spreadsheets/d/1Uw7-A9f9R21vMXxHZFNpYNeKFtG8_yji4HS352LGlSQ/edit?pli=1#gid=0"",""1_ACUM!A4:S""),12,FALSE))"),"")</f>
        <v/>
      </c>
      <c r="AY886" s="43" t="str">
        <f ca="1">IFERROR(__xludf.DUMMYFUNCTION("IFERROR(VLOOKUP(E900&amp;F900,IMPORTRANGE(""https://docs.google.com/spreadsheets/d/1Uw7-A9f9R21vMXxHZFNpYNeKFtG8_yji4HS352LGlSQ/edit?pli=1#gid=0"",""1_ACUM!A4:S""),13,FALSE))"),"")</f>
        <v/>
      </c>
      <c r="AZ886" s="43" t="str">
        <f ca="1">IFERROR(__xludf.DUMMYFUNCTION("IFERROR(VLOOKUP(E900&amp;F900,IMPORTRANGE(""https://docs.google.com/spreadsheets/d/1Uw7-A9f9R21vMXxHZFNpYNeKFtG8_yji4HS352LGlSQ/edit?pli=1#gid=0"",""1_ACUM!A4:S""),14,FALSE))"),"")</f>
        <v/>
      </c>
      <c r="BA886" s="43" t="str">
        <f ca="1">IFERROR(__xludf.DUMMYFUNCTION("IFERROR(VLOOKUP(E900&amp;F900,IMPORTRANGE(""https://docs.google.com/spreadsheets/d/1Uw7-A9f9R21vMXxHZFNpYNeKFtG8_yji4HS352LGlSQ/edit?pli=1#gid=0"",""1_ACUM!A4:S""),15,FALSE))"),"")</f>
        <v/>
      </c>
      <c r="BB886" s="43" t="str">
        <f ca="1">IFERROR(__xludf.DUMMYFUNCTION("IFERROR(VLOOKUP(E900&amp;F900,IMPORTRANGE(""https://docs.google.com/spreadsheets/d/1Uw7-A9f9R21vMXxHZFNpYNeKFtG8_yji4HS352LGlSQ/edit?pli=1#gid=0"",""1_ACUM!A4:S""),16,FALSE))"),"")</f>
        <v/>
      </c>
      <c r="BC886" s="43" t="str">
        <f ca="1">IFERROR(__xludf.DUMMYFUNCTION("IFERROR(VLOOKUP(E900&amp;F900,IMPORTRANGE(""https://docs.google.com/spreadsheets/d/1Uw7-A9f9R21vMXxHZFNpYNeKFtG8_yji4HS352LGlSQ/edit?pli=1#gid=0"",""1_ACUM!A4:S""),17,FALSE))"),"")</f>
        <v/>
      </c>
      <c r="BD886" s="44" t="str">
        <f ca="1">IFERROR(__xludf.DUMMYFUNCTION("IFERROR(VLOOKUP(E900&amp;F900,IMPORTRANGE(""https://docs.google.com/spreadsheets/d/1Uw7-A9f9R21vMXxHZFNpYNeKFtG8_yji4HS352LGlSQ/edit?pli=1#gid=0"",""1_ACUM!A4:S""),18,FALSE))"),"")</f>
        <v/>
      </c>
      <c r="BE886" s="44" t="str">
        <f ca="1">IFERROR(__xludf.DUMMYFUNCTION("IFERROR(VLOOKUP(E900&amp;F900,IMPORTRANGE(""https://docs.google.com/spreadsheets/d/1Uw7-A9f9R21vMXxHZFNpYNeKFtG8_yji4HS352LGlSQ/edit?pli=1#gid=0"",""1_ACUM!A4:S""),19,FALSE))"),"")</f>
        <v/>
      </c>
      <c r="BF886" s="98" t="str">
        <f ca="1">IFERROR(__xludf.DUMMYFUNCTION("IFERROR(VLOOKUP(F900,IMPORTRANGE(""https://docs.google.com/spreadsheets/d/1Kvs4KS76FHFqLFIZfrDMff4kP08nblUkihrxltoGBjg/edit#gid=934712705"",""ESENCIAL!A6:BG""),5,FALSE))"),"")</f>
        <v/>
      </c>
      <c r="BG886" s="98" t="str">
        <f t="shared" si="25"/>
        <v/>
      </c>
      <c r="BH886" s="99" t="str">
        <f t="shared" si="26"/>
        <v/>
      </c>
      <c r="BI886" s="100" t="str">
        <f ca="1">IFERROR(__xludf.DUMMYFUNCTION("IFERROR(VLOOKUP(F900,IMPORTRANGE(""https://docs.google.com/spreadsheets/d/1Kvs4KS76FHFqLFIZfrDMff4kP08nblUkihrxltoGBjg/edit#gid=934712705"",""ESENCIAL!A6:BG""),2,FALSE))"),"")</f>
        <v/>
      </c>
      <c r="BJ886" s="19" t="str">
        <f t="shared" si="27"/>
        <v/>
      </c>
      <c r="BK886" s="100"/>
      <c r="BL886" s="100"/>
    </row>
    <row r="887" spans="1:64" ht="15">
      <c r="A887" s="5"/>
      <c r="B887" s="5"/>
      <c r="G887" s="5" t="str">
        <f ca="1">IFERROR(__xludf.DUMMYFUNCTION("IFERROR(VLOOKUP(F901,IMPORTRANGE(""https://docs.google.com/spreadsheets/d/1Kvs4KS76FHFqLFIZfrDMff4kP08nblUkihrxltoGBjg/edit#gid=934712705"",""ESENCIAL!A6:BG""),3,FALSE))"),"")</f>
        <v/>
      </c>
      <c r="H887" s="5" t="str">
        <f ca="1">IFERROR(__xludf.DUMMYFUNCTION("IFERROR(VLOOKUP(F901,IMPORTRANGE(""https://docs.google.com/spreadsheets/d/1Kvs4KS76FHFqLFIZfrDMff4kP08nblUkihrxltoGBjg/edit#gid=934712705"",""ESENCIAL!A6:BG""),8,FALSE))"),"")</f>
        <v/>
      </c>
      <c r="L887" s="287"/>
      <c r="U887" s="40"/>
      <c r="AU887" s="41" t="str">
        <f t="shared" si="24"/>
        <v/>
      </c>
      <c r="AV887" s="5" t="str">
        <f ca="1">IFERROR(__xludf.DUMMYFUNCTION("IFERROR(VLOOKUP(E901&amp;F901,IMPORTRANGE(""https://docs.google.com/spreadsheets/d/1Uw7-A9f9R21vMXxHZFNpYNeKFtG8_yji4HS352LGlSQ/edit?pli=1#gid=0"",""1_ACUM!A4:S""),11,FALSE))"),"")</f>
        <v/>
      </c>
      <c r="AW887" s="42" t="str">
        <f ca="1">IFERROR(__xludf.DUMMYFUNCTION("IFERROR(VLOOKUP(F901,IMPORTRANGE(""https://docs.google.com/spreadsheets/d/1Kvs4KS76FHFqLFIZfrDMff4kP08nblUkihrxltoGBjg/edit#gid=934712705"",""ESENCIAL!A6:BG""),15,FALSE))"),"")</f>
        <v/>
      </c>
      <c r="AX887" s="21" t="str">
        <f ca="1">IFERROR(__xludf.DUMMYFUNCTION("IFERROR(VLOOKUP(E901&amp;F901,IMPORTRANGE(""https://docs.google.com/spreadsheets/d/1Uw7-A9f9R21vMXxHZFNpYNeKFtG8_yji4HS352LGlSQ/edit?pli=1#gid=0"",""1_ACUM!A4:S""),12,FALSE))"),"")</f>
        <v/>
      </c>
      <c r="AY887" s="43" t="str">
        <f ca="1">IFERROR(__xludf.DUMMYFUNCTION("IFERROR(VLOOKUP(E901&amp;F901,IMPORTRANGE(""https://docs.google.com/spreadsheets/d/1Uw7-A9f9R21vMXxHZFNpYNeKFtG8_yji4HS352LGlSQ/edit?pli=1#gid=0"",""1_ACUM!A4:S""),13,FALSE))"),"")</f>
        <v/>
      </c>
      <c r="AZ887" s="43" t="str">
        <f ca="1">IFERROR(__xludf.DUMMYFUNCTION("IFERROR(VLOOKUP(E901&amp;F901,IMPORTRANGE(""https://docs.google.com/spreadsheets/d/1Uw7-A9f9R21vMXxHZFNpYNeKFtG8_yji4HS352LGlSQ/edit?pli=1#gid=0"",""1_ACUM!A4:S""),14,FALSE))"),"")</f>
        <v/>
      </c>
      <c r="BA887" s="43" t="str">
        <f ca="1">IFERROR(__xludf.DUMMYFUNCTION("IFERROR(VLOOKUP(E901&amp;F901,IMPORTRANGE(""https://docs.google.com/spreadsheets/d/1Uw7-A9f9R21vMXxHZFNpYNeKFtG8_yji4HS352LGlSQ/edit?pli=1#gid=0"",""1_ACUM!A4:S""),15,FALSE))"),"")</f>
        <v/>
      </c>
      <c r="BB887" s="43" t="str">
        <f ca="1">IFERROR(__xludf.DUMMYFUNCTION("IFERROR(VLOOKUP(E901&amp;F901,IMPORTRANGE(""https://docs.google.com/spreadsheets/d/1Uw7-A9f9R21vMXxHZFNpYNeKFtG8_yji4HS352LGlSQ/edit?pli=1#gid=0"",""1_ACUM!A4:S""),16,FALSE))"),"")</f>
        <v/>
      </c>
      <c r="BC887" s="43" t="str">
        <f ca="1">IFERROR(__xludf.DUMMYFUNCTION("IFERROR(VLOOKUP(E901&amp;F901,IMPORTRANGE(""https://docs.google.com/spreadsheets/d/1Uw7-A9f9R21vMXxHZFNpYNeKFtG8_yji4HS352LGlSQ/edit?pli=1#gid=0"",""1_ACUM!A4:S""),17,FALSE))"),"")</f>
        <v/>
      </c>
      <c r="BD887" s="44" t="str">
        <f ca="1">IFERROR(__xludf.DUMMYFUNCTION("IFERROR(VLOOKUP(E901&amp;F901,IMPORTRANGE(""https://docs.google.com/spreadsheets/d/1Uw7-A9f9R21vMXxHZFNpYNeKFtG8_yji4HS352LGlSQ/edit?pli=1#gid=0"",""1_ACUM!A4:S""),18,FALSE))"),"")</f>
        <v/>
      </c>
      <c r="BE887" s="44" t="str">
        <f ca="1">IFERROR(__xludf.DUMMYFUNCTION("IFERROR(VLOOKUP(E901&amp;F901,IMPORTRANGE(""https://docs.google.com/spreadsheets/d/1Uw7-A9f9R21vMXxHZFNpYNeKFtG8_yji4HS352LGlSQ/edit?pli=1#gid=0"",""1_ACUM!A4:S""),19,FALSE))"),"")</f>
        <v/>
      </c>
      <c r="BF887" s="98" t="str">
        <f ca="1">IFERROR(__xludf.DUMMYFUNCTION("IFERROR(VLOOKUP(F901,IMPORTRANGE(""https://docs.google.com/spreadsheets/d/1Kvs4KS76FHFqLFIZfrDMff4kP08nblUkihrxltoGBjg/edit#gid=934712705"",""ESENCIAL!A6:BG""),5,FALSE))"),"")</f>
        <v/>
      </c>
      <c r="BG887" s="98" t="str">
        <f t="shared" si="25"/>
        <v/>
      </c>
      <c r="BH887" s="99" t="str">
        <f t="shared" si="26"/>
        <v/>
      </c>
      <c r="BI887" s="100" t="str">
        <f ca="1">IFERROR(__xludf.DUMMYFUNCTION("IFERROR(VLOOKUP(F901,IMPORTRANGE(""https://docs.google.com/spreadsheets/d/1Kvs4KS76FHFqLFIZfrDMff4kP08nblUkihrxltoGBjg/edit#gid=934712705"",""ESENCIAL!A6:BG""),2,FALSE))"),"")</f>
        <v/>
      </c>
      <c r="BJ887" s="19" t="str">
        <f t="shared" si="27"/>
        <v/>
      </c>
      <c r="BK887" s="100"/>
      <c r="BL887" s="100"/>
    </row>
    <row r="888" spans="1:64" ht="15">
      <c r="A888" s="5"/>
      <c r="B888" s="5"/>
      <c r="G888" s="5" t="str">
        <f ca="1">IFERROR(__xludf.DUMMYFUNCTION("IFERROR(VLOOKUP(F902,IMPORTRANGE(""https://docs.google.com/spreadsheets/d/1Kvs4KS76FHFqLFIZfrDMff4kP08nblUkihrxltoGBjg/edit#gid=934712705"",""ESENCIAL!A6:BG""),3,FALSE))"),"")</f>
        <v/>
      </c>
      <c r="H888" s="5" t="str">
        <f ca="1">IFERROR(__xludf.DUMMYFUNCTION("IFERROR(VLOOKUP(F902,IMPORTRANGE(""https://docs.google.com/spreadsheets/d/1Kvs4KS76FHFqLFIZfrDMff4kP08nblUkihrxltoGBjg/edit#gid=934712705"",""ESENCIAL!A6:BG""),8,FALSE))"),"")</f>
        <v/>
      </c>
      <c r="L888" s="287"/>
      <c r="U888" s="40"/>
      <c r="AU888" s="41" t="str">
        <f t="shared" si="24"/>
        <v/>
      </c>
      <c r="AV888" s="5" t="str">
        <f ca="1">IFERROR(__xludf.DUMMYFUNCTION("IFERROR(VLOOKUP(E902&amp;F902,IMPORTRANGE(""https://docs.google.com/spreadsheets/d/1Uw7-A9f9R21vMXxHZFNpYNeKFtG8_yji4HS352LGlSQ/edit?pli=1#gid=0"",""1_ACUM!A4:S""),11,FALSE))"),"")</f>
        <v/>
      </c>
      <c r="AW888" s="42" t="str">
        <f ca="1">IFERROR(__xludf.DUMMYFUNCTION("IFERROR(VLOOKUP(F902,IMPORTRANGE(""https://docs.google.com/spreadsheets/d/1Kvs4KS76FHFqLFIZfrDMff4kP08nblUkihrxltoGBjg/edit#gid=934712705"",""ESENCIAL!A6:BG""),15,FALSE))"),"")</f>
        <v/>
      </c>
      <c r="AX888" s="21" t="str">
        <f ca="1">IFERROR(__xludf.DUMMYFUNCTION("IFERROR(VLOOKUP(E902&amp;F902,IMPORTRANGE(""https://docs.google.com/spreadsheets/d/1Uw7-A9f9R21vMXxHZFNpYNeKFtG8_yji4HS352LGlSQ/edit?pli=1#gid=0"",""1_ACUM!A4:S""),12,FALSE))"),"")</f>
        <v/>
      </c>
      <c r="AY888" s="43" t="str">
        <f ca="1">IFERROR(__xludf.DUMMYFUNCTION("IFERROR(VLOOKUP(E902&amp;F902,IMPORTRANGE(""https://docs.google.com/spreadsheets/d/1Uw7-A9f9R21vMXxHZFNpYNeKFtG8_yji4HS352LGlSQ/edit?pli=1#gid=0"",""1_ACUM!A4:S""),13,FALSE))"),"")</f>
        <v/>
      </c>
      <c r="AZ888" s="43" t="str">
        <f ca="1">IFERROR(__xludf.DUMMYFUNCTION("IFERROR(VLOOKUP(E902&amp;F902,IMPORTRANGE(""https://docs.google.com/spreadsheets/d/1Uw7-A9f9R21vMXxHZFNpYNeKFtG8_yji4HS352LGlSQ/edit?pli=1#gid=0"",""1_ACUM!A4:S""),14,FALSE))"),"")</f>
        <v/>
      </c>
      <c r="BA888" s="43" t="str">
        <f ca="1">IFERROR(__xludf.DUMMYFUNCTION("IFERROR(VLOOKUP(E902&amp;F902,IMPORTRANGE(""https://docs.google.com/spreadsheets/d/1Uw7-A9f9R21vMXxHZFNpYNeKFtG8_yji4HS352LGlSQ/edit?pli=1#gid=0"",""1_ACUM!A4:S""),15,FALSE))"),"")</f>
        <v/>
      </c>
      <c r="BB888" s="43" t="str">
        <f ca="1">IFERROR(__xludf.DUMMYFUNCTION("IFERROR(VLOOKUP(E902&amp;F902,IMPORTRANGE(""https://docs.google.com/spreadsheets/d/1Uw7-A9f9R21vMXxHZFNpYNeKFtG8_yji4HS352LGlSQ/edit?pli=1#gid=0"",""1_ACUM!A4:S""),16,FALSE))"),"")</f>
        <v/>
      </c>
      <c r="BC888" s="43" t="str">
        <f ca="1">IFERROR(__xludf.DUMMYFUNCTION("IFERROR(VLOOKUP(E902&amp;F902,IMPORTRANGE(""https://docs.google.com/spreadsheets/d/1Uw7-A9f9R21vMXxHZFNpYNeKFtG8_yji4HS352LGlSQ/edit?pli=1#gid=0"",""1_ACUM!A4:S""),17,FALSE))"),"")</f>
        <v/>
      </c>
      <c r="BD888" s="44" t="str">
        <f ca="1">IFERROR(__xludf.DUMMYFUNCTION("IFERROR(VLOOKUP(E902&amp;F902,IMPORTRANGE(""https://docs.google.com/spreadsheets/d/1Uw7-A9f9R21vMXxHZFNpYNeKFtG8_yji4HS352LGlSQ/edit?pli=1#gid=0"",""1_ACUM!A4:S""),18,FALSE))"),"")</f>
        <v/>
      </c>
      <c r="BE888" s="44" t="str">
        <f ca="1">IFERROR(__xludf.DUMMYFUNCTION("IFERROR(VLOOKUP(E902&amp;F902,IMPORTRANGE(""https://docs.google.com/spreadsheets/d/1Uw7-A9f9R21vMXxHZFNpYNeKFtG8_yji4HS352LGlSQ/edit?pli=1#gid=0"",""1_ACUM!A4:S""),19,FALSE))"),"")</f>
        <v/>
      </c>
      <c r="BF888" s="98" t="str">
        <f ca="1">IFERROR(__xludf.DUMMYFUNCTION("IFERROR(VLOOKUP(F902,IMPORTRANGE(""https://docs.google.com/spreadsheets/d/1Kvs4KS76FHFqLFIZfrDMff4kP08nblUkihrxltoGBjg/edit#gid=934712705"",""ESENCIAL!A6:BG""),5,FALSE))"),"")</f>
        <v/>
      </c>
      <c r="BG888" s="98" t="str">
        <f t="shared" si="25"/>
        <v/>
      </c>
      <c r="BH888" s="99" t="str">
        <f t="shared" si="26"/>
        <v/>
      </c>
      <c r="BI888" s="100" t="str">
        <f ca="1">IFERROR(__xludf.DUMMYFUNCTION("IFERROR(VLOOKUP(F902,IMPORTRANGE(""https://docs.google.com/spreadsheets/d/1Kvs4KS76FHFqLFIZfrDMff4kP08nblUkihrxltoGBjg/edit#gid=934712705"",""ESENCIAL!A6:BG""),2,FALSE))"),"")</f>
        <v/>
      </c>
      <c r="BJ888" s="19" t="str">
        <f t="shared" si="27"/>
        <v/>
      </c>
      <c r="BK888" s="100"/>
      <c r="BL888" s="100"/>
    </row>
    <row r="889" spans="1:64" ht="15">
      <c r="A889" s="5"/>
      <c r="B889" s="5"/>
      <c r="G889" s="5" t="str">
        <f ca="1">IFERROR(__xludf.DUMMYFUNCTION("IFERROR(VLOOKUP(F903,IMPORTRANGE(""https://docs.google.com/spreadsheets/d/1Kvs4KS76FHFqLFIZfrDMff4kP08nblUkihrxltoGBjg/edit#gid=934712705"",""ESENCIAL!A6:BG""),3,FALSE))"),"")</f>
        <v/>
      </c>
      <c r="H889" s="5" t="str">
        <f ca="1">IFERROR(__xludf.DUMMYFUNCTION("IFERROR(VLOOKUP(F903,IMPORTRANGE(""https://docs.google.com/spreadsheets/d/1Kvs4KS76FHFqLFIZfrDMff4kP08nblUkihrxltoGBjg/edit#gid=934712705"",""ESENCIAL!A6:BG""),8,FALSE))"),"")</f>
        <v/>
      </c>
      <c r="L889" s="287"/>
      <c r="U889" s="40"/>
      <c r="AU889" s="41" t="str">
        <f t="shared" si="24"/>
        <v/>
      </c>
      <c r="AV889" s="5" t="str">
        <f ca="1">IFERROR(__xludf.DUMMYFUNCTION("IFERROR(VLOOKUP(E903&amp;F903,IMPORTRANGE(""https://docs.google.com/spreadsheets/d/1Uw7-A9f9R21vMXxHZFNpYNeKFtG8_yji4HS352LGlSQ/edit?pli=1#gid=0"",""1_ACUM!A4:S""),11,FALSE))"),"")</f>
        <v/>
      </c>
      <c r="AW889" s="42" t="str">
        <f ca="1">IFERROR(__xludf.DUMMYFUNCTION("IFERROR(VLOOKUP(F903,IMPORTRANGE(""https://docs.google.com/spreadsheets/d/1Kvs4KS76FHFqLFIZfrDMff4kP08nblUkihrxltoGBjg/edit#gid=934712705"",""ESENCIAL!A6:BG""),15,FALSE))"),"")</f>
        <v/>
      </c>
      <c r="AX889" s="21" t="str">
        <f ca="1">IFERROR(__xludf.DUMMYFUNCTION("IFERROR(VLOOKUP(E903&amp;F903,IMPORTRANGE(""https://docs.google.com/spreadsheets/d/1Uw7-A9f9R21vMXxHZFNpYNeKFtG8_yji4HS352LGlSQ/edit?pli=1#gid=0"",""1_ACUM!A4:S""),12,FALSE))"),"")</f>
        <v/>
      </c>
      <c r="AY889" s="43" t="str">
        <f ca="1">IFERROR(__xludf.DUMMYFUNCTION("IFERROR(VLOOKUP(E903&amp;F903,IMPORTRANGE(""https://docs.google.com/spreadsheets/d/1Uw7-A9f9R21vMXxHZFNpYNeKFtG8_yji4HS352LGlSQ/edit?pli=1#gid=0"",""1_ACUM!A4:S""),13,FALSE))"),"")</f>
        <v/>
      </c>
      <c r="AZ889" s="43" t="str">
        <f ca="1">IFERROR(__xludf.DUMMYFUNCTION("IFERROR(VLOOKUP(E903&amp;F903,IMPORTRANGE(""https://docs.google.com/spreadsheets/d/1Uw7-A9f9R21vMXxHZFNpYNeKFtG8_yji4HS352LGlSQ/edit?pli=1#gid=0"",""1_ACUM!A4:S""),14,FALSE))"),"")</f>
        <v/>
      </c>
      <c r="BA889" s="43" t="str">
        <f ca="1">IFERROR(__xludf.DUMMYFUNCTION("IFERROR(VLOOKUP(E903&amp;F903,IMPORTRANGE(""https://docs.google.com/spreadsheets/d/1Uw7-A9f9R21vMXxHZFNpYNeKFtG8_yji4HS352LGlSQ/edit?pli=1#gid=0"",""1_ACUM!A4:S""),15,FALSE))"),"")</f>
        <v/>
      </c>
      <c r="BB889" s="43" t="str">
        <f ca="1">IFERROR(__xludf.DUMMYFUNCTION("IFERROR(VLOOKUP(E903&amp;F903,IMPORTRANGE(""https://docs.google.com/spreadsheets/d/1Uw7-A9f9R21vMXxHZFNpYNeKFtG8_yji4HS352LGlSQ/edit?pli=1#gid=0"",""1_ACUM!A4:S""),16,FALSE))"),"")</f>
        <v/>
      </c>
      <c r="BC889" s="43" t="str">
        <f ca="1">IFERROR(__xludf.DUMMYFUNCTION("IFERROR(VLOOKUP(E903&amp;F903,IMPORTRANGE(""https://docs.google.com/spreadsheets/d/1Uw7-A9f9R21vMXxHZFNpYNeKFtG8_yji4HS352LGlSQ/edit?pli=1#gid=0"",""1_ACUM!A4:S""),17,FALSE))"),"")</f>
        <v/>
      </c>
      <c r="BD889" s="44" t="str">
        <f ca="1">IFERROR(__xludf.DUMMYFUNCTION("IFERROR(VLOOKUP(E903&amp;F903,IMPORTRANGE(""https://docs.google.com/spreadsheets/d/1Uw7-A9f9R21vMXxHZFNpYNeKFtG8_yji4HS352LGlSQ/edit?pli=1#gid=0"",""1_ACUM!A4:S""),18,FALSE))"),"")</f>
        <v/>
      </c>
      <c r="BE889" s="44" t="str">
        <f ca="1">IFERROR(__xludf.DUMMYFUNCTION("IFERROR(VLOOKUP(E903&amp;F903,IMPORTRANGE(""https://docs.google.com/spreadsheets/d/1Uw7-A9f9R21vMXxHZFNpYNeKFtG8_yji4HS352LGlSQ/edit?pli=1#gid=0"",""1_ACUM!A4:S""),19,FALSE))"),"")</f>
        <v/>
      </c>
      <c r="BF889" s="98" t="str">
        <f ca="1">IFERROR(__xludf.DUMMYFUNCTION("IFERROR(VLOOKUP(F903,IMPORTRANGE(""https://docs.google.com/spreadsheets/d/1Kvs4KS76FHFqLFIZfrDMff4kP08nblUkihrxltoGBjg/edit#gid=934712705"",""ESENCIAL!A6:BG""),5,FALSE))"),"")</f>
        <v/>
      </c>
      <c r="BG889" s="98" t="str">
        <f t="shared" si="25"/>
        <v/>
      </c>
      <c r="BH889" s="99" t="str">
        <f t="shared" si="26"/>
        <v/>
      </c>
      <c r="BI889" s="100" t="str">
        <f ca="1">IFERROR(__xludf.DUMMYFUNCTION("IFERROR(VLOOKUP(F903,IMPORTRANGE(""https://docs.google.com/spreadsheets/d/1Kvs4KS76FHFqLFIZfrDMff4kP08nblUkihrxltoGBjg/edit#gid=934712705"",""ESENCIAL!A6:BG""),2,FALSE))"),"")</f>
        <v/>
      </c>
      <c r="BJ889" s="19" t="str">
        <f t="shared" si="27"/>
        <v/>
      </c>
      <c r="BK889" s="100"/>
      <c r="BL889" s="100"/>
    </row>
    <row r="890" spans="1:64" ht="15">
      <c r="A890" s="5"/>
      <c r="B890" s="5"/>
      <c r="G890" s="5" t="str">
        <f ca="1">IFERROR(__xludf.DUMMYFUNCTION("IFERROR(VLOOKUP(F904,IMPORTRANGE(""https://docs.google.com/spreadsheets/d/1Kvs4KS76FHFqLFIZfrDMff4kP08nblUkihrxltoGBjg/edit#gid=934712705"",""ESENCIAL!A6:BG""),3,FALSE))"),"")</f>
        <v/>
      </c>
      <c r="H890" s="5" t="str">
        <f ca="1">IFERROR(__xludf.DUMMYFUNCTION("IFERROR(VLOOKUP(F904,IMPORTRANGE(""https://docs.google.com/spreadsheets/d/1Kvs4KS76FHFqLFIZfrDMff4kP08nblUkihrxltoGBjg/edit#gid=934712705"",""ESENCIAL!A6:BG""),8,FALSE))"),"")</f>
        <v/>
      </c>
      <c r="L890" s="287"/>
      <c r="U890" s="40"/>
      <c r="AU890" s="41" t="str">
        <f t="shared" si="24"/>
        <v/>
      </c>
      <c r="AV890" s="5" t="str">
        <f ca="1">IFERROR(__xludf.DUMMYFUNCTION("IFERROR(VLOOKUP(E904&amp;F904,IMPORTRANGE(""https://docs.google.com/spreadsheets/d/1Uw7-A9f9R21vMXxHZFNpYNeKFtG8_yji4HS352LGlSQ/edit?pli=1#gid=0"",""1_ACUM!A4:S""),11,FALSE))"),"")</f>
        <v/>
      </c>
      <c r="AW890" s="42" t="str">
        <f ca="1">IFERROR(__xludf.DUMMYFUNCTION("IFERROR(VLOOKUP(F904,IMPORTRANGE(""https://docs.google.com/spreadsheets/d/1Kvs4KS76FHFqLFIZfrDMff4kP08nblUkihrxltoGBjg/edit#gid=934712705"",""ESENCIAL!A6:BG""),15,FALSE))"),"")</f>
        <v/>
      </c>
      <c r="AX890" s="21" t="str">
        <f ca="1">IFERROR(__xludf.DUMMYFUNCTION("IFERROR(VLOOKUP(E904&amp;F904,IMPORTRANGE(""https://docs.google.com/spreadsheets/d/1Uw7-A9f9R21vMXxHZFNpYNeKFtG8_yji4HS352LGlSQ/edit?pli=1#gid=0"",""1_ACUM!A4:S""),12,FALSE))"),"")</f>
        <v/>
      </c>
      <c r="AY890" s="43" t="str">
        <f ca="1">IFERROR(__xludf.DUMMYFUNCTION("IFERROR(VLOOKUP(E904&amp;F904,IMPORTRANGE(""https://docs.google.com/spreadsheets/d/1Uw7-A9f9R21vMXxHZFNpYNeKFtG8_yji4HS352LGlSQ/edit?pli=1#gid=0"",""1_ACUM!A4:S""),13,FALSE))"),"")</f>
        <v/>
      </c>
      <c r="AZ890" s="43" t="str">
        <f ca="1">IFERROR(__xludf.DUMMYFUNCTION("IFERROR(VLOOKUP(E904&amp;F904,IMPORTRANGE(""https://docs.google.com/spreadsheets/d/1Uw7-A9f9R21vMXxHZFNpYNeKFtG8_yji4HS352LGlSQ/edit?pli=1#gid=0"",""1_ACUM!A4:S""),14,FALSE))"),"")</f>
        <v/>
      </c>
      <c r="BA890" s="43" t="str">
        <f ca="1">IFERROR(__xludf.DUMMYFUNCTION("IFERROR(VLOOKUP(E904&amp;F904,IMPORTRANGE(""https://docs.google.com/spreadsheets/d/1Uw7-A9f9R21vMXxHZFNpYNeKFtG8_yji4HS352LGlSQ/edit?pli=1#gid=0"",""1_ACUM!A4:S""),15,FALSE))"),"")</f>
        <v/>
      </c>
      <c r="BB890" s="43" t="str">
        <f ca="1">IFERROR(__xludf.DUMMYFUNCTION("IFERROR(VLOOKUP(E904&amp;F904,IMPORTRANGE(""https://docs.google.com/spreadsheets/d/1Uw7-A9f9R21vMXxHZFNpYNeKFtG8_yji4HS352LGlSQ/edit?pli=1#gid=0"",""1_ACUM!A4:S""),16,FALSE))"),"")</f>
        <v/>
      </c>
      <c r="BC890" s="43" t="str">
        <f ca="1">IFERROR(__xludf.DUMMYFUNCTION("IFERROR(VLOOKUP(E904&amp;F904,IMPORTRANGE(""https://docs.google.com/spreadsheets/d/1Uw7-A9f9R21vMXxHZFNpYNeKFtG8_yji4HS352LGlSQ/edit?pli=1#gid=0"",""1_ACUM!A4:S""),17,FALSE))"),"")</f>
        <v/>
      </c>
      <c r="BD890" s="44" t="str">
        <f ca="1">IFERROR(__xludf.DUMMYFUNCTION("IFERROR(VLOOKUP(E904&amp;F904,IMPORTRANGE(""https://docs.google.com/spreadsheets/d/1Uw7-A9f9R21vMXxHZFNpYNeKFtG8_yji4HS352LGlSQ/edit?pli=1#gid=0"",""1_ACUM!A4:S""),18,FALSE))"),"")</f>
        <v/>
      </c>
      <c r="BE890" s="44" t="str">
        <f ca="1">IFERROR(__xludf.DUMMYFUNCTION("IFERROR(VLOOKUP(E904&amp;F904,IMPORTRANGE(""https://docs.google.com/spreadsheets/d/1Uw7-A9f9R21vMXxHZFNpYNeKFtG8_yji4HS352LGlSQ/edit?pli=1#gid=0"",""1_ACUM!A4:S""),19,FALSE))"),"")</f>
        <v/>
      </c>
      <c r="BF890" s="98" t="str">
        <f ca="1">IFERROR(__xludf.DUMMYFUNCTION("IFERROR(VLOOKUP(F904,IMPORTRANGE(""https://docs.google.com/spreadsheets/d/1Kvs4KS76FHFqLFIZfrDMff4kP08nblUkihrxltoGBjg/edit#gid=934712705"",""ESENCIAL!A6:BG""),5,FALSE))"),"")</f>
        <v/>
      </c>
      <c r="BG890" s="98" t="str">
        <f t="shared" si="25"/>
        <v/>
      </c>
      <c r="BH890" s="99" t="str">
        <f t="shared" si="26"/>
        <v/>
      </c>
      <c r="BI890" s="100" t="str">
        <f ca="1">IFERROR(__xludf.DUMMYFUNCTION("IFERROR(VLOOKUP(F904,IMPORTRANGE(""https://docs.google.com/spreadsheets/d/1Kvs4KS76FHFqLFIZfrDMff4kP08nblUkihrxltoGBjg/edit#gid=934712705"",""ESENCIAL!A6:BG""),2,FALSE))"),"")</f>
        <v/>
      </c>
      <c r="BJ890" s="19" t="str">
        <f t="shared" si="27"/>
        <v/>
      </c>
      <c r="BK890" s="100"/>
      <c r="BL890" s="100"/>
    </row>
    <row r="891" spans="1:64" ht="15">
      <c r="A891" s="5"/>
      <c r="B891" s="5"/>
      <c r="G891" s="5" t="str">
        <f ca="1">IFERROR(__xludf.DUMMYFUNCTION("IFERROR(VLOOKUP(F905,IMPORTRANGE(""https://docs.google.com/spreadsheets/d/1Kvs4KS76FHFqLFIZfrDMff4kP08nblUkihrxltoGBjg/edit#gid=934712705"",""ESENCIAL!A6:BG""),3,FALSE))"),"")</f>
        <v/>
      </c>
      <c r="H891" s="5" t="str">
        <f ca="1">IFERROR(__xludf.DUMMYFUNCTION("IFERROR(VLOOKUP(F905,IMPORTRANGE(""https://docs.google.com/spreadsheets/d/1Kvs4KS76FHFqLFIZfrDMff4kP08nblUkihrxltoGBjg/edit#gid=934712705"",""ESENCIAL!A6:BG""),8,FALSE))"),"")</f>
        <v/>
      </c>
      <c r="L891" s="287"/>
      <c r="U891" s="40"/>
      <c r="AU891" s="41" t="str">
        <f t="shared" si="24"/>
        <v/>
      </c>
      <c r="AV891" s="5" t="str">
        <f ca="1">IFERROR(__xludf.DUMMYFUNCTION("IFERROR(VLOOKUP(E905&amp;F905,IMPORTRANGE(""https://docs.google.com/spreadsheets/d/1Uw7-A9f9R21vMXxHZFNpYNeKFtG8_yji4HS352LGlSQ/edit?pli=1#gid=0"",""1_ACUM!A4:S""),11,FALSE))"),"")</f>
        <v/>
      </c>
      <c r="AW891" s="42" t="str">
        <f ca="1">IFERROR(__xludf.DUMMYFUNCTION("IFERROR(VLOOKUP(F905,IMPORTRANGE(""https://docs.google.com/spreadsheets/d/1Kvs4KS76FHFqLFIZfrDMff4kP08nblUkihrxltoGBjg/edit#gid=934712705"",""ESENCIAL!A6:BG""),15,FALSE))"),"")</f>
        <v/>
      </c>
      <c r="AX891" s="21" t="str">
        <f ca="1">IFERROR(__xludf.DUMMYFUNCTION("IFERROR(VLOOKUP(E905&amp;F905,IMPORTRANGE(""https://docs.google.com/spreadsheets/d/1Uw7-A9f9R21vMXxHZFNpYNeKFtG8_yji4HS352LGlSQ/edit?pli=1#gid=0"",""1_ACUM!A4:S""),12,FALSE))"),"")</f>
        <v/>
      </c>
      <c r="AY891" s="43" t="str">
        <f ca="1">IFERROR(__xludf.DUMMYFUNCTION("IFERROR(VLOOKUP(E905&amp;F905,IMPORTRANGE(""https://docs.google.com/spreadsheets/d/1Uw7-A9f9R21vMXxHZFNpYNeKFtG8_yji4HS352LGlSQ/edit?pli=1#gid=0"",""1_ACUM!A4:S""),13,FALSE))"),"")</f>
        <v/>
      </c>
      <c r="AZ891" s="43" t="str">
        <f ca="1">IFERROR(__xludf.DUMMYFUNCTION("IFERROR(VLOOKUP(E905&amp;F905,IMPORTRANGE(""https://docs.google.com/spreadsheets/d/1Uw7-A9f9R21vMXxHZFNpYNeKFtG8_yji4HS352LGlSQ/edit?pli=1#gid=0"",""1_ACUM!A4:S""),14,FALSE))"),"")</f>
        <v/>
      </c>
      <c r="BA891" s="43" t="str">
        <f ca="1">IFERROR(__xludf.DUMMYFUNCTION("IFERROR(VLOOKUP(E905&amp;F905,IMPORTRANGE(""https://docs.google.com/spreadsheets/d/1Uw7-A9f9R21vMXxHZFNpYNeKFtG8_yji4HS352LGlSQ/edit?pli=1#gid=0"",""1_ACUM!A4:S""),15,FALSE))"),"")</f>
        <v/>
      </c>
      <c r="BB891" s="43" t="str">
        <f ca="1">IFERROR(__xludf.DUMMYFUNCTION("IFERROR(VLOOKUP(E905&amp;F905,IMPORTRANGE(""https://docs.google.com/spreadsheets/d/1Uw7-A9f9R21vMXxHZFNpYNeKFtG8_yji4HS352LGlSQ/edit?pli=1#gid=0"",""1_ACUM!A4:S""),16,FALSE))"),"")</f>
        <v/>
      </c>
      <c r="BC891" s="43" t="str">
        <f ca="1">IFERROR(__xludf.DUMMYFUNCTION("IFERROR(VLOOKUP(E905&amp;F905,IMPORTRANGE(""https://docs.google.com/spreadsheets/d/1Uw7-A9f9R21vMXxHZFNpYNeKFtG8_yji4HS352LGlSQ/edit?pli=1#gid=0"",""1_ACUM!A4:S""),17,FALSE))"),"")</f>
        <v/>
      </c>
      <c r="BD891" s="44" t="str">
        <f ca="1">IFERROR(__xludf.DUMMYFUNCTION("IFERROR(VLOOKUP(E905&amp;F905,IMPORTRANGE(""https://docs.google.com/spreadsheets/d/1Uw7-A9f9R21vMXxHZFNpYNeKFtG8_yji4HS352LGlSQ/edit?pli=1#gid=0"",""1_ACUM!A4:S""),18,FALSE))"),"")</f>
        <v/>
      </c>
      <c r="BE891" s="44" t="str">
        <f ca="1">IFERROR(__xludf.DUMMYFUNCTION("IFERROR(VLOOKUP(E905&amp;F905,IMPORTRANGE(""https://docs.google.com/spreadsheets/d/1Uw7-A9f9R21vMXxHZFNpYNeKFtG8_yji4HS352LGlSQ/edit?pli=1#gid=0"",""1_ACUM!A4:S""),19,FALSE))"),"")</f>
        <v/>
      </c>
      <c r="BF891" s="98" t="str">
        <f ca="1">IFERROR(__xludf.DUMMYFUNCTION("IFERROR(VLOOKUP(F905,IMPORTRANGE(""https://docs.google.com/spreadsheets/d/1Kvs4KS76FHFqLFIZfrDMff4kP08nblUkihrxltoGBjg/edit#gid=934712705"",""ESENCIAL!A6:BG""),5,FALSE))"),"")</f>
        <v/>
      </c>
      <c r="BG891" s="98" t="str">
        <f t="shared" si="25"/>
        <v/>
      </c>
      <c r="BH891" s="99" t="str">
        <f t="shared" si="26"/>
        <v/>
      </c>
      <c r="BI891" s="100" t="str">
        <f ca="1">IFERROR(__xludf.DUMMYFUNCTION("IFERROR(VLOOKUP(F905,IMPORTRANGE(""https://docs.google.com/spreadsheets/d/1Kvs4KS76FHFqLFIZfrDMff4kP08nblUkihrxltoGBjg/edit#gid=934712705"",""ESENCIAL!A6:BG""),2,FALSE))"),"")</f>
        <v/>
      </c>
      <c r="BJ891" s="19" t="str">
        <f t="shared" si="27"/>
        <v/>
      </c>
      <c r="BK891" s="100"/>
      <c r="BL891" s="100"/>
    </row>
    <row r="892" spans="1:64" ht="15">
      <c r="A892" s="5"/>
      <c r="B892" s="5"/>
      <c r="G892" s="5" t="str">
        <f ca="1">IFERROR(__xludf.DUMMYFUNCTION("IFERROR(VLOOKUP(F906,IMPORTRANGE(""https://docs.google.com/spreadsheets/d/1Kvs4KS76FHFqLFIZfrDMff4kP08nblUkihrxltoGBjg/edit#gid=934712705"",""ESENCIAL!A6:BG""),3,FALSE))"),"")</f>
        <v/>
      </c>
      <c r="H892" s="5" t="str">
        <f ca="1">IFERROR(__xludf.DUMMYFUNCTION("IFERROR(VLOOKUP(F906,IMPORTRANGE(""https://docs.google.com/spreadsheets/d/1Kvs4KS76FHFqLFIZfrDMff4kP08nblUkihrxltoGBjg/edit#gid=934712705"",""ESENCIAL!A6:BG""),8,FALSE))"),"")</f>
        <v/>
      </c>
      <c r="L892" s="287"/>
      <c r="U892" s="40"/>
      <c r="AU892" s="41" t="str">
        <f t="shared" si="24"/>
        <v/>
      </c>
      <c r="AV892" s="5" t="str">
        <f ca="1">IFERROR(__xludf.DUMMYFUNCTION("IFERROR(VLOOKUP(E906&amp;F906,IMPORTRANGE(""https://docs.google.com/spreadsheets/d/1Uw7-A9f9R21vMXxHZFNpYNeKFtG8_yji4HS352LGlSQ/edit?pli=1#gid=0"",""1_ACUM!A4:S""),11,FALSE))"),"")</f>
        <v/>
      </c>
      <c r="AW892" s="42" t="str">
        <f ca="1">IFERROR(__xludf.DUMMYFUNCTION("IFERROR(VLOOKUP(F906,IMPORTRANGE(""https://docs.google.com/spreadsheets/d/1Kvs4KS76FHFqLFIZfrDMff4kP08nblUkihrxltoGBjg/edit#gid=934712705"",""ESENCIAL!A6:BG""),15,FALSE))"),"")</f>
        <v/>
      </c>
      <c r="AX892" s="21" t="str">
        <f ca="1">IFERROR(__xludf.DUMMYFUNCTION("IFERROR(VLOOKUP(E906&amp;F906,IMPORTRANGE(""https://docs.google.com/spreadsheets/d/1Uw7-A9f9R21vMXxHZFNpYNeKFtG8_yji4HS352LGlSQ/edit?pli=1#gid=0"",""1_ACUM!A4:S""),12,FALSE))"),"")</f>
        <v/>
      </c>
      <c r="AY892" s="43" t="str">
        <f ca="1">IFERROR(__xludf.DUMMYFUNCTION("IFERROR(VLOOKUP(E906&amp;F906,IMPORTRANGE(""https://docs.google.com/spreadsheets/d/1Uw7-A9f9R21vMXxHZFNpYNeKFtG8_yji4HS352LGlSQ/edit?pli=1#gid=0"",""1_ACUM!A4:S""),13,FALSE))"),"")</f>
        <v/>
      </c>
      <c r="AZ892" s="43" t="str">
        <f ca="1">IFERROR(__xludf.DUMMYFUNCTION("IFERROR(VLOOKUP(E906&amp;F906,IMPORTRANGE(""https://docs.google.com/spreadsheets/d/1Uw7-A9f9R21vMXxHZFNpYNeKFtG8_yji4HS352LGlSQ/edit?pli=1#gid=0"",""1_ACUM!A4:S""),14,FALSE))"),"")</f>
        <v/>
      </c>
      <c r="BA892" s="43" t="str">
        <f ca="1">IFERROR(__xludf.DUMMYFUNCTION("IFERROR(VLOOKUP(E906&amp;F906,IMPORTRANGE(""https://docs.google.com/spreadsheets/d/1Uw7-A9f9R21vMXxHZFNpYNeKFtG8_yji4HS352LGlSQ/edit?pli=1#gid=0"",""1_ACUM!A4:S""),15,FALSE))"),"")</f>
        <v/>
      </c>
      <c r="BB892" s="43" t="str">
        <f ca="1">IFERROR(__xludf.DUMMYFUNCTION("IFERROR(VLOOKUP(E906&amp;F906,IMPORTRANGE(""https://docs.google.com/spreadsheets/d/1Uw7-A9f9R21vMXxHZFNpYNeKFtG8_yji4HS352LGlSQ/edit?pli=1#gid=0"",""1_ACUM!A4:S""),16,FALSE))"),"")</f>
        <v/>
      </c>
      <c r="BC892" s="43" t="str">
        <f ca="1">IFERROR(__xludf.DUMMYFUNCTION("IFERROR(VLOOKUP(E906&amp;F906,IMPORTRANGE(""https://docs.google.com/spreadsheets/d/1Uw7-A9f9R21vMXxHZFNpYNeKFtG8_yji4HS352LGlSQ/edit?pli=1#gid=0"",""1_ACUM!A4:S""),17,FALSE))"),"")</f>
        <v/>
      </c>
      <c r="BD892" s="44" t="str">
        <f ca="1">IFERROR(__xludf.DUMMYFUNCTION("IFERROR(VLOOKUP(E906&amp;F906,IMPORTRANGE(""https://docs.google.com/spreadsheets/d/1Uw7-A9f9R21vMXxHZFNpYNeKFtG8_yji4HS352LGlSQ/edit?pli=1#gid=0"",""1_ACUM!A4:S""),18,FALSE))"),"")</f>
        <v/>
      </c>
      <c r="BE892" s="44" t="str">
        <f ca="1">IFERROR(__xludf.DUMMYFUNCTION("IFERROR(VLOOKUP(E906&amp;F906,IMPORTRANGE(""https://docs.google.com/spreadsheets/d/1Uw7-A9f9R21vMXxHZFNpYNeKFtG8_yji4HS352LGlSQ/edit?pli=1#gid=0"",""1_ACUM!A4:S""),19,FALSE))"),"")</f>
        <v/>
      </c>
      <c r="BF892" s="98" t="str">
        <f ca="1">IFERROR(__xludf.DUMMYFUNCTION("IFERROR(VLOOKUP(F906,IMPORTRANGE(""https://docs.google.com/spreadsheets/d/1Kvs4KS76FHFqLFIZfrDMff4kP08nblUkihrxltoGBjg/edit#gid=934712705"",""ESENCIAL!A6:BG""),5,FALSE))"),"")</f>
        <v/>
      </c>
      <c r="BG892" s="98" t="str">
        <f t="shared" si="25"/>
        <v/>
      </c>
      <c r="BH892" s="99" t="str">
        <f t="shared" si="26"/>
        <v/>
      </c>
      <c r="BI892" s="100" t="str">
        <f ca="1">IFERROR(__xludf.DUMMYFUNCTION("IFERROR(VLOOKUP(F906,IMPORTRANGE(""https://docs.google.com/spreadsheets/d/1Kvs4KS76FHFqLFIZfrDMff4kP08nblUkihrxltoGBjg/edit#gid=934712705"",""ESENCIAL!A6:BG""),2,FALSE))"),"")</f>
        <v/>
      </c>
      <c r="BJ892" s="19" t="str">
        <f t="shared" si="27"/>
        <v/>
      </c>
      <c r="BK892" s="100"/>
      <c r="BL892" s="100"/>
    </row>
    <row r="893" spans="1:64" ht="15">
      <c r="A893" s="5"/>
      <c r="B893" s="5"/>
      <c r="G893" s="5" t="str">
        <f ca="1">IFERROR(__xludf.DUMMYFUNCTION("IFERROR(VLOOKUP(F907,IMPORTRANGE(""https://docs.google.com/spreadsheets/d/1Kvs4KS76FHFqLFIZfrDMff4kP08nblUkihrxltoGBjg/edit#gid=934712705"",""ESENCIAL!A6:BG""),3,FALSE))"),"")</f>
        <v/>
      </c>
      <c r="H893" s="5" t="str">
        <f ca="1">IFERROR(__xludf.DUMMYFUNCTION("IFERROR(VLOOKUP(F907,IMPORTRANGE(""https://docs.google.com/spreadsheets/d/1Kvs4KS76FHFqLFIZfrDMff4kP08nblUkihrxltoGBjg/edit#gid=934712705"",""ESENCIAL!A6:BG""),8,FALSE))"),"")</f>
        <v/>
      </c>
      <c r="L893" s="287"/>
      <c r="U893" s="40"/>
      <c r="AU893" s="41" t="str">
        <f t="shared" si="24"/>
        <v/>
      </c>
      <c r="AV893" s="5" t="str">
        <f ca="1">IFERROR(__xludf.DUMMYFUNCTION("IFERROR(VLOOKUP(E907&amp;F907,IMPORTRANGE(""https://docs.google.com/spreadsheets/d/1Uw7-A9f9R21vMXxHZFNpYNeKFtG8_yji4HS352LGlSQ/edit?pli=1#gid=0"",""1_ACUM!A4:S""),11,FALSE))"),"")</f>
        <v/>
      </c>
      <c r="AW893" s="42" t="str">
        <f ca="1">IFERROR(__xludf.DUMMYFUNCTION("IFERROR(VLOOKUP(F907,IMPORTRANGE(""https://docs.google.com/spreadsheets/d/1Kvs4KS76FHFqLFIZfrDMff4kP08nblUkihrxltoGBjg/edit#gid=934712705"",""ESENCIAL!A6:BG""),15,FALSE))"),"")</f>
        <v/>
      </c>
      <c r="AX893" s="21" t="str">
        <f ca="1">IFERROR(__xludf.DUMMYFUNCTION("IFERROR(VLOOKUP(E907&amp;F907,IMPORTRANGE(""https://docs.google.com/spreadsheets/d/1Uw7-A9f9R21vMXxHZFNpYNeKFtG8_yji4HS352LGlSQ/edit?pli=1#gid=0"",""1_ACUM!A4:S""),12,FALSE))"),"")</f>
        <v/>
      </c>
      <c r="AY893" s="43" t="str">
        <f ca="1">IFERROR(__xludf.DUMMYFUNCTION("IFERROR(VLOOKUP(E907&amp;F907,IMPORTRANGE(""https://docs.google.com/spreadsheets/d/1Uw7-A9f9R21vMXxHZFNpYNeKFtG8_yji4HS352LGlSQ/edit?pli=1#gid=0"",""1_ACUM!A4:S""),13,FALSE))"),"")</f>
        <v/>
      </c>
      <c r="AZ893" s="43" t="str">
        <f ca="1">IFERROR(__xludf.DUMMYFUNCTION("IFERROR(VLOOKUP(E907&amp;F907,IMPORTRANGE(""https://docs.google.com/spreadsheets/d/1Uw7-A9f9R21vMXxHZFNpYNeKFtG8_yji4HS352LGlSQ/edit?pli=1#gid=0"",""1_ACUM!A4:S""),14,FALSE))"),"")</f>
        <v/>
      </c>
      <c r="BA893" s="43" t="str">
        <f ca="1">IFERROR(__xludf.DUMMYFUNCTION("IFERROR(VLOOKUP(E907&amp;F907,IMPORTRANGE(""https://docs.google.com/spreadsheets/d/1Uw7-A9f9R21vMXxHZFNpYNeKFtG8_yji4HS352LGlSQ/edit?pli=1#gid=0"",""1_ACUM!A4:S""),15,FALSE))"),"")</f>
        <v/>
      </c>
      <c r="BB893" s="43" t="str">
        <f ca="1">IFERROR(__xludf.DUMMYFUNCTION("IFERROR(VLOOKUP(E907&amp;F907,IMPORTRANGE(""https://docs.google.com/spreadsheets/d/1Uw7-A9f9R21vMXxHZFNpYNeKFtG8_yji4HS352LGlSQ/edit?pli=1#gid=0"",""1_ACUM!A4:S""),16,FALSE))"),"")</f>
        <v/>
      </c>
      <c r="BC893" s="43" t="str">
        <f ca="1">IFERROR(__xludf.DUMMYFUNCTION("IFERROR(VLOOKUP(E907&amp;F907,IMPORTRANGE(""https://docs.google.com/spreadsheets/d/1Uw7-A9f9R21vMXxHZFNpYNeKFtG8_yji4HS352LGlSQ/edit?pli=1#gid=0"",""1_ACUM!A4:S""),17,FALSE))"),"")</f>
        <v/>
      </c>
      <c r="BD893" s="44" t="str">
        <f ca="1">IFERROR(__xludf.DUMMYFUNCTION("IFERROR(VLOOKUP(E907&amp;F907,IMPORTRANGE(""https://docs.google.com/spreadsheets/d/1Uw7-A9f9R21vMXxHZFNpYNeKFtG8_yji4HS352LGlSQ/edit?pli=1#gid=0"",""1_ACUM!A4:S""),18,FALSE))"),"")</f>
        <v/>
      </c>
      <c r="BE893" s="44" t="str">
        <f ca="1">IFERROR(__xludf.DUMMYFUNCTION("IFERROR(VLOOKUP(E907&amp;F907,IMPORTRANGE(""https://docs.google.com/spreadsheets/d/1Uw7-A9f9R21vMXxHZFNpYNeKFtG8_yji4HS352LGlSQ/edit?pli=1#gid=0"",""1_ACUM!A4:S""),19,FALSE))"),"")</f>
        <v/>
      </c>
      <c r="BF893" s="98" t="str">
        <f ca="1">IFERROR(__xludf.DUMMYFUNCTION("IFERROR(VLOOKUP(F907,IMPORTRANGE(""https://docs.google.com/spreadsheets/d/1Kvs4KS76FHFqLFIZfrDMff4kP08nblUkihrxltoGBjg/edit#gid=934712705"",""ESENCIAL!A6:BG""),5,FALSE))"),"")</f>
        <v/>
      </c>
      <c r="BG893" s="98" t="str">
        <f t="shared" si="25"/>
        <v/>
      </c>
      <c r="BH893" s="99" t="str">
        <f t="shared" si="26"/>
        <v/>
      </c>
      <c r="BI893" s="100" t="str">
        <f ca="1">IFERROR(__xludf.DUMMYFUNCTION("IFERROR(VLOOKUP(F907,IMPORTRANGE(""https://docs.google.com/spreadsheets/d/1Kvs4KS76FHFqLFIZfrDMff4kP08nblUkihrxltoGBjg/edit#gid=934712705"",""ESENCIAL!A6:BG""),2,FALSE))"),"")</f>
        <v/>
      </c>
      <c r="BJ893" s="19" t="str">
        <f t="shared" si="27"/>
        <v/>
      </c>
      <c r="BK893" s="100"/>
      <c r="BL893" s="100"/>
    </row>
    <row r="894" spans="1:64" ht="15">
      <c r="A894" s="5"/>
      <c r="B894" s="5"/>
      <c r="G894" s="5" t="str">
        <f ca="1">IFERROR(__xludf.DUMMYFUNCTION("IFERROR(VLOOKUP(F908,IMPORTRANGE(""https://docs.google.com/spreadsheets/d/1Kvs4KS76FHFqLFIZfrDMff4kP08nblUkihrxltoGBjg/edit#gid=934712705"",""ESENCIAL!A6:BG""),3,FALSE))"),"")</f>
        <v/>
      </c>
      <c r="H894" s="5" t="str">
        <f ca="1">IFERROR(__xludf.DUMMYFUNCTION("IFERROR(VLOOKUP(F908,IMPORTRANGE(""https://docs.google.com/spreadsheets/d/1Kvs4KS76FHFqLFIZfrDMff4kP08nblUkihrxltoGBjg/edit#gid=934712705"",""ESENCIAL!A6:BG""),8,FALSE))"),"")</f>
        <v/>
      </c>
      <c r="L894" s="287"/>
      <c r="U894" s="40"/>
      <c r="AU894" s="41" t="str">
        <f t="shared" si="24"/>
        <v/>
      </c>
      <c r="AV894" s="5" t="str">
        <f ca="1">IFERROR(__xludf.DUMMYFUNCTION("IFERROR(VLOOKUP(E908&amp;F908,IMPORTRANGE(""https://docs.google.com/spreadsheets/d/1Uw7-A9f9R21vMXxHZFNpYNeKFtG8_yji4HS352LGlSQ/edit?pli=1#gid=0"",""1_ACUM!A4:S""),11,FALSE))"),"")</f>
        <v/>
      </c>
      <c r="AW894" s="42" t="str">
        <f ca="1">IFERROR(__xludf.DUMMYFUNCTION("IFERROR(VLOOKUP(F908,IMPORTRANGE(""https://docs.google.com/spreadsheets/d/1Kvs4KS76FHFqLFIZfrDMff4kP08nblUkihrxltoGBjg/edit#gid=934712705"",""ESENCIAL!A6:BG""),15,FALSE))"),"")</f>
        <v/>
      </c>
      <c r="AX894" s="21" t="str">
        <f ca="1">IFERROR(__xludf.DUMMYFUNCTION("IFERROR(VLOOKUP(E908&amp;F908,IMPORTRANGE(""https://docs.google.com/spreadsheets/d/1Uw7-A9f9R21vMXxHZFNpYNeKFtG8_yji4HS352LGlSQ/edit?pli=1#gid=0"",""1_ACUM!A4:S""),12,FALSE))"),"")</f>
        <v/>
      </c>
      <c r="AY894" s="43" t="str">
        <f ca="1">IFERROR(__xludf.DUMMYFUNCTION("IFERROR(VLOOKUP(E908&amp;F908,IMPORTRANGE(""https://docs.google.com/spreadsheets/d/1Uw7-A9f9R21vMXxHZFNpYNeKFtG8_yji4HS352LGlSQ/edit?pli=1#gid=0"",""1_ACUM!A4:S""),13,FALSE))"),"")</f>
        <v/>
      </c>
      <c r="AZ894" s="43" t="str">
        <f ca="1">IFERROR(__xludf.DUMMYFUNCTION("IFERROR(VLOOKUP(E908&amp;F908,IMPORTRANGE(""https://docs.google.com/spreadsheets/d/1Uw7-A9f9R21vMXxHZFNpYNeKFtG8_yji4HS352LGlSQ/edit?pli=1#gid=0"",""1_ACUM!A4:S""),14,FALSE))"),"")</f>
        <v/>
      </c>
      <c r="BA894" s="43" t="str">
        <f ca="1">IFERROR(__xludf.DUMMYFUNCTION("IFERROR(VLOOKUP(E908&amp;F908,IMPORTRANGE(""https://docs.google.com/spreadsheets/d/1Uw7-A9f9R21vMXxHZFNpYNeKFtG8_yji4HS352LGlSQ/edit?pli=1#gid=0"",""1_ACUM!A4:S""),15,FALSE))"),"")</f>
        <v/>
      </c>
      <c r="BB894" s="43" t="str">
        <f ca="1">IFERROR(__xludf.DUMMYFUNCTION("IFERROR(VLOOKUP(E908&amp;F908,IMPORTRANGE(""https://docs.google.com/spreadsheets/d/1Uw7-A9f9R21vMXxHZFNpYNeKFtG8_yji4HS352LGlSQ/edit?pli=1#gid=0"",""1_ACUM!A4:S""),16,FALSE))"),"")</f>
        <v/>
      </c>
      <c r="BC894" s="43" t="str">
        <f ca="1">IFERROR(__xludf.DUMMYFUNCTION("IFERROR(VLOOKUP(E908&amp;F908,IMPORTRANGE(""https://docs.google.com/spreadsheets/d/1Uw7-A9f9R21vMXxHZFNpYNeKFtG8_yji4HS352LGlSQ/edit?pli=1#gid=0"",""1_ACUM!A4:S""),17,FALSE))"),"")</f>
        <v/>
      </c>
      <c r="BD894" s="44" t="str">
        <f ca="1">IFERROR(__xludf.DUMMYFUNCTION("IFERROR(VLOOKUP(E908&amp;F908,IMPORTRANGE(""https://docs.google.com/spreadsheets/d/1Uw7-A9f9R21vMXxHZFNpYNeKFtG8_yji4HS352LGlSQ/edit?pli=1#gid=0"",""1_ACUM!A4:S""),18,FALSE))"),"")</f>
        <v/>
      </c>
      <c r="BE894" s="44" t="str">
        <f ca="1">IFERROR(__xludf.DUMMYFUNCTION("IFERROR(VLOOKUP(E908&amp;F908,IMPORTRANGE(""https://docs.google.com/spreadsheets/d/1Uw7-A9f9R21vMXxHZFNpYNeKFtG8_yji4HS352LGlSQ/edit?pli=1#gid=0"",""1_ACUM!A4:S""),19,FALSE))"),"")</f>
        <v/>
      </c>
      <c r="BF894" s="98" t="str">
        <f ca="1">IFERROR(__xludf.DUMMYFUNCTION("IFERROR(VLOOKUP(F908,IMPORTRANGE(""https://docs.google.com/spreadsheets/d/1Kvs4KS76FHFqLFIZfrDMff4kP08nblUkihrxltoGBjg/edit#gid=934712705"",""ESENCIAL!A6:BG""),5,FALSE))"),"")</f>
        <v/>
      </c>
      <c r="BG894" s="98" t="str">
        <f t="shared" si="25"/>
        <v/>
      </c>
      <c r="BH894" s="99" t="str">
        <f t="shared" si="26"/>
        <v/>
      </c>
      <c r="BI894" s="100" t="str">
        <f ca="1">IFERROR(__xludf.DUMMYFUNCTION("IFERROR(VLOOKUP(F908,IMPORTRANGE(""https://docs.google.com/spreadsheets/d/1Kvs4KS76FHFqLFIZfrDMff4kP08nblUkihrxltoGBjg/edit#gid=934712705"",""ESENCIAL!A6:BG""),2,FALSE))"),"")</f>
        <v/>
      </c>
      <c r="BJ894" s="19" t="str">
        <f t="shared" si="27"/>
        <v/>
      </c>
      <c r="BK894" s="100"/>
      <c r="BL894" s="100"/>
    </row>
    <row r="895" spans="1:64" ht="15">
      <c r="A895" s="5"/>
      <c r="B895" s="5"/>
      <c r="G895" s="5" t="str">
        <f ca="1">IFERROR(__xludf.DUMMYFUNCTION("IFERROR(VLOOKUP(F909,IMPORTRANGE(""https://docs.google.com/spreadsheets/d/1Kvs4KS76FHFqLFIZfrDMff4kP08nblUkihrxltoGBjg/edit#gid=934712705"",""ESENCIAL!A6:BG""),3,FALSE))"),"")</f>
        <v/>
      </c>
      <c r="H895" s="5" t="str">
        <f ca="1">IFERROR(__xludf.DUMMYFUNCTION("IFERROR(VLOOKUP(F909,IMPORTRANGE(""https://docs.google.com/spreadsheets/d/1Kvs4KS76FHFqLFIZfrDMff4kP08nblUkihrxltoGBjg/edit#gid=934712705"",""ESENCIAL!A6:BG""),8,FALSE))"),"")</f>
        <v/>
      </c>
      <c r="L895" s="287"/>
      <c r="U895" s="40"/>
      <c r="AU895" s="41" t="str">
        <f t="shared" si="24"/>
        <v/>
      </c>
      <c r="AV895" s="5" t="str">
        <f ca="1">IFERROR(__xludf.DUMMYFUNCTION("IFERROR(VLOOKUP(E909&amp;F909,IMPORTRANGE(""https://docs.google.com/spreadsheets/d/1Uw7-A9f9R21vMXxHZFNpYNeKFtG8_yji4HS352LGlSQ/edit?pli=1#gid=0"",""1_ACUM!A4:S""),11,FALSE))"),"")</f>
        <v/>
      </c>
      <c r="AW895" s="42" t="str">
        <f ca="1">IFERROR(__xludf.DUMMYFUNCTION("IFERROR(VLOOKUP(F909,IMPORTRANGE(""https://docs.google.com/spreadsheets/d/1Kvs4KS76FHFqLFIZfrDMff4kP08nblUkihrxltoGBjg/edit#gid=934712705"",""ESENCIAL!A6:BG""),15,FALSE))"),"")</f>
        <v/>
      </c>
      <c r="AX895" s="21" t="str">
        <f ca="1">IFERROR(__xludf.DUMMYFUNCTION("IFERROR(VLOOKUP(E909&amp;F909,IMPORTRANGE(""https://docs.google.com/spreadsheets/d/1Uw7-A9f9R21vMXxHZFNpYNeKFtG8_yji4HS352LGlSQ/edit?pli=1#gid=0"",""1_ACUM!A4:S""),12,FALSE))"),"")</f>
        <v/>
      </c>
      <c r="AY895" s="43" t="str">
        <f ca="1">IFERROR(__xludf.DUMMYFUNCTION("IFERROR(VLOOKUP(E909&amp;F909,IMPORTRANGE(""https://docs.google.com/spreadsheets/d/1Uw7-A9f9R21vMXxHZFNpYNeKFtG8_yji4HS352LGlSQ/edit?pli=1#gid=0"",""1_ACUM!A4:S""),13,FALSE))"),"")</f>
        <v/>
      </c>
      <c r="AZ895" s="43" t="str">
        <f ca="1">IFERROR(__xludf.DUMMYFUNCTION("IFERROR(VLOOKUP(E909&amp;F909,IMPORTRANGE(""https://docs.google.com/spreadsheets/d/1Uw7-A9f9R21vMXxHZFNpYNeKFtG8_yji4HS352LGlSQ/edit?pli=1#gid=0"",""1_ACUM!A4:S""),14,FALSE))"),"")</f>
        <v/>
      </c>
      <c r="BA895" s="43" t="str">
        <f ca="1">IFERROR(__xludf.DUMMYFUNCTION("IFERROR(VLOOKUP(E909&amp;F909,IMPORTRANGE(""https://docs.google.com/spreadsheets/d/1Uw7-A9f9R21vMXxHZFNpYNeKFtG8_yji4HS352LGlSQ/edit?pli=1#gid=0"",""1_ACUM!A4:S""),15,FALSE))"),"")</f>
        <v/>
      </c>
      <c r="BB895" s="43" t="str">
        <f ca="1">IFERROR(__xludf.DUMMYFUNCTION("IFERROR(VLOOKUP(E909&amp;F909,IMPORTRANGE(""https://docs.google.com/spreadsheets/d/1Uw7-A9f9R21vMXxHZFNpYNeKFtG8_yji4HS352LGlSQ/edit?pli=1#gid=0"",""1_ACUM!A4:S""),16,FALSE))"),"")</f>
        <v/>
      </c>
      <c r="BC895" s="43" t="str">
        <f ca="1">IFERROR(__xludf.DUMMYFUNCTION("IFERROR(VLOOKUP(E909&amp;F909,IMPORTRANGE(""https://docs.google.com/spreadsheets/d/1Uw7-A9f9R21vMXxHZFNpYNeKFtG8_yji4HS352LGlSQ/edit?pli=1#gid=0"",""1_ACUM!A4:S""),17,FALSE))"),"")</f>
        <v/>
      </c>
      <c r="BD895" s="44" t="str">
        <f ca="1">IFERROR(__xludf.DUMMYFUNCTION("IFERROR(VLOOKUP(E909&amp;F909,IMPORTRANGE(""https://docs.google.com/spreadsheets/d/1Uw7-A9f9R21vMXxHZFNpYNeKFtG8_yji4HS352LGlSQ/edit?pli=1#gid=0"",""1_ACUM!A4:S""),18,FALSE))"),"")</f>
        <v/>
      </c>
      <c r="BE895" s="44" t="str">
        <f ca="1">IFERROR(__xludf.DUMMYFUNCTION("IFERROR(VLOOKUP(E909&amp;F909,IMPORTRANGE(""https://docs.google.com/spreadsheets/d/1Uw7-A9f9R21vMXxHZFNpYNeKFtG8_yji4HS352LGlSQ/edit?pli=1#gid=0"",""1_ACUM!A4:S""),19,FALSE))"),"")</f>
        <v/>
      </c>
      <c r="BF895" s="98" t="str">
        <f ca="1">IFERROR(__xludf.DUMMYFUNCTION("IFERROR(VLOOKUP(F909,IMPORTRANGE(""https://docs.google.com/spreadsheets/d/1Kvs4KS76FHFqLFIZfrDMff4kP08nblUkihrxltoGBjg/edit#gid=934712705"",""ESENCIAL!A6:BG""),5,FALSE))"),"")</f>
        <v/>
      </c>
      <c r="BG895" s="98" t="str">
        <f t="shared" si="25"/>
        <v/>
      </c>
      <c r="BH895" s="99" t="str">
        <f t="shared" si="26"/>
        <v/>
      </c>
      <c r="BI895" s="100" t="str">
        <f ca="1">IFERROR(__xludf.DUMMYFUNCTION("IFERROR(VLOOKUP(F909,IMPORTRANGE(""https://docs.google.com/spreadsheets/d/1Kvs4KS76FHFqLFIZfrDMff4kP08nblUkihrxltoGBjg/edit#gid=934712705"",""ESENCIAL!A6:BG""),2,FALSE))"),"")</f>
        <v/>
      </c>
      <c r="BJ895" s="19" t="str">
        <f t="shared" si="27"/>
        <v/>
      </c>
      <c r="BK895" s="100"/>
      <c r="BL895" s="100"/>
    </row>
    <row r="896" spans="1:64" ht="15">
      <c r="A896" s="5"/>
      <c r="B896" s="5"/>
      <c r="G896" s="5" t="str">
        <f ca="1">IFERROR(__xludf.DUMMYFUNCTION("IFERROR(VLOOKUP(F910,IMPORTRANGE(""https://docs.google.com/spreadsheets/d/1Kvs4KS76FHFqLFIZfrDMff4kP08nblUkihrxltoGBjg/edit#gid=934712705"",""ESENCIAL!A6:BG""),3,FALSE))"),"")</f>
        <v/>
      </c>
      <c r="H896" s="5" t="str">
        <f ca="1">IFERROR(__xludf.DUMMYFUNCTION("IFERROR(VLOOKUP(F910,IMPORTRANGE(""https://docs.google.com/spreadsheets/d/1Kvs4KS76FHFqLFIZfrDMff4kP08nblUkihrxltoGBjg/edit#gid=934712705"",""ESENCIAL!A6:BG""),8,FALSE))"),"")</f>
        <v/>
      </c>
      <c r="L896" s="287"/>
      <c r="U896" s="40"/>
      <c r="AU896" s="41" t="str">
        <f t="shared" si="24"/>
        <v/>
      </c>
      <c r="AV896" s="5" t="str">
        <f ca="1">IFERROR(__xludf.DUMMYFUNCTION("IFERROR(VLOOKUP(E910&amp;F910,IMPORTRANGE(""https://docs.google.com/spreadsheets/d/1Uw7-A9f9R21vMXxHZFNpYNeKFtG8_yji4HS352LGlSQ/edit?pli=1#gid=0"",""1_ACUM!A4:S""),11,FALSE))"),"")</f>
        <v/>
      </c>
      <c r="AW896" s="42" t="str">
        <f ca="1">IFERROR(__xludf.DUMMYFUNCTION("IFERROR(VLOOKUP(F910,IMPORTRANGE(""https://docs.google.com/spreadsheets/d/1Kvs4KS76FHFqLFIZfrDMff4kP08nblUkihrxltoGBjg/edit#gid=934712705"",""ESENCIAL!A6:BG""),15,FALSE))"),"")</f>
        <v/>
      </c>
      <c r="AX896" s="21" t="str">
        <f ca="1">IFERROR(__xludf.DUMMYFUNCTION("IFERROR(VLOOKUP(E910&amp;F910,IMPORTRANGE(""https://docs.google.com/spreadsheets/d/1Uw7-A9f9R21vMXxHZFNpYNeKFtG8_yji4HS352LGlSQ/edit?pli=1#gid=0"",""1_ACUM!A4:S""),12,FALSE))"),"")</f>
        <v/>
      </c>
      <c r="AY896" s="43" t="str">
        <f ca="1">IFERROR(__xludf.DUMMYFUNCTION("IFERROR(VLOOKUP(E910&amp;F910,IMPORTRANGE(""https://docs.google.com/spreadsheets/d/1Uw7-A9f9R21vMXxHZFNpYNeKFtG8_yji4HS352LGlSQ/edit?pli=1#gid=0"",""1_ACUM!A4:S""),13,FALSE))"),"")</f>
        <v/>
      </c>
      <c r="AZ896" s="43" t="str">
        <f ca="1">IFERROR(__xludf.DUMMYFUNCTION("IFERROR(VLOOKUP(E910&amp;F910,IMPORTRANGE(""https://docs.google.com/spreadsheets/d/1Uw7-A9f9R21vMXxHZFNpYNeKFtG8_yji4HS352LGlSQ/edit?pli=1#gid=0"",""1_ACUM!A4:S""),14,FALSE))"),"")</f>
        <v/>
      </c>
      <c r="BA896" s="43" t="str">
        <f ca="1">IFERROR(__xludf.DUMMYFUNCTION("IFERROR(VLOOKUP(E910&amp;F910,IMPORTRANGE(""https://docs.google.com/spreadsheets/d/1Uw7-A9f9R21vMXxHZFNpYNeKFtG8_yji4HS352LGlSQ/edit?pli=1#gid=0"",""1_ACUM!A4:S""),15,FALSE))"),"")</f>
        <v/>
      </c>
      <c r="BB896" s="43" t="str">
        <f ca="1">IFERROR(__xludf.DUMMYFUNCTION("IFERROR(VLOOKUP(E910&amp;F910,IMPORTRANGE(""https://docs.google.com/spreadsheets/d/1Uw7-A9f9R21vMXxHZFNpYNeKFtG8_yji4HS352LGlSQ/edit?pli=1#gid=0"",""1_ACUM!A4:S""),16,FALSE))"),"")</f>
        <v/>
      </c>
      <c r="BC896" s="43" t="str">
        <f ca="1">IFERROR(__xludf.DUMMYFUNCTION("IFERROR(VLOOKUP(E910&amp;F910,IMPORTRANGE(""https://docs.google.com/spreadsheets/d/1Uw7-A9f9R21vMXxHZFNpYNeKFtG8_yji4HS352LGlSQ/edit?pli=1#gid=0"",""1_ACUM!A4:S""),17,FALSE))"),"")</f>
        <v/>
      </c>
      <c r="BD896" s="44" t="str">
        <f ca="1">IFERROR(__xludf.DUMMYFUNCTION("IFERROR(VLOOKUP(E910&amp;F910,IMPORTRANGE(""https://docs.google.com/spreadsheets/d/1Uw7-A9f9R21vMXxHZFNpYNeKFtG8_yji4HS352LGlSQ/edit?pli=1#gid=0"",""1_ACUM!A4:S""),18,FALSE))"),"")</f>
        <v/>
      </c>
      <c r="BE896" s="44" t="str">
        <f ca="1">IFERROR(__xludf.DUMMYFUNCTION("IFERROR(VLOOKUP(E910&amp;F910,IMPORTRANGE(""https://docs.google.com/spreadsheets/d/1Uw7-A9f9R21vMXxHZFNpYNeKFtG8_yji4HS352LGlSQ/edit?pli=1#gid=0"",""1_ACUM!A4:S""),19,FALSE))"),"")</f>
        <v/>
      </c>
      <c r="BF896" s="98" t="str">
        <f ca="1">IFERROR(__xludf.DUMMYFUNCTION("IFERROR(VLOOKUP(F910,IMPORTRANGE(""https://docs.google.com/spreadsheets/d/1Kvs4KS76FHFqLFIZfrDMff4kP08nblUkihrxltoGBjg/edit#gid=934712705"",""ESENCIAL!A6:BG""),5,FALSE))"),"")</f>
        <v/>
      </c>
      <c r="BG896" s="98" t="str">
        <f t="shared" si="25"/>
        <v/>
      </c>
      <c r="BH896" s="99" t="str">
        <f t="shared" si="26"/>
        <v/>
      </c>
      <c r="BI896" s="100" t="str">
        <f ca="1">IFERROR(__xludf.DUMMYFUNCTION("IFERROR(VLOOKUP(F910,IMPORTRANGE(""https://docs.google.com/spreadsheets/d/1Kvs4KS76FHFqLFIZfrDMff4kP08nblUkihrxltoGBjg/edit#gid=934712705"",""ESENCIAL!A6:BG""),2,FALSE))"),"")</f>
        <v/>
      </c>
      <c r="BJ896" s="19" t="str">
        <f t="shared" si="27"/>
        <v/>
      </c>
      <c r="BK896" s="100"/>
      <c r="BL896" s="100"/>
    </row>
    <row r="897" spans="1:64" ht="15">
      <c r="A897" s="5"/>
      <c r="B897" s="5"/>
      <c r="G897" s="5" t="str">
        <f ca="1">IFERROR(__xludf.DUMMYFUNCTION("IFERROR(VLOOKUP(F911,IMPORTRANGE(""https://docs.google.com/spreadsheets/d/1Kvs4KS76FHFqLFIZfrDMff4kP08nblUkihrxltoGBjg/edit#gid=934712705"",""ESENCIAL!A6:BG""),3,FALSE))"),"")</f>
        <v/>
      </c>
      <c r="H897" s="5" t="str">
        <f ca="1">IFERROR(__xludf.DUMMYFUNCTION("IFERROR(VLOOKUP(F911,IMPORTRANGE(""https://docs.google.com/spreadsheets/d/1Kvs4KS76FHFqLFIZfrDMff4kP08nblUkihrxltoGBjg/edit#gid=934712705"",""ESENCIAL!A6:BG""),8,FALSE))"),"")</f>
        <v/>
      </c>
      <c r="L897" s="287"/>
      <c r="U897" s="40"/>
      <c r="AU897" s="41" t="str">
        <f t="shared" si="24"/>
        <v/>
      </c>
      <c r="AV897" s="5" t="str">
        <f ca="1">IFERROR(__xludf.DUMMYFUNCTION("IFERROR(VLOOKUP(E911&amp;F911,IMPORTRANGE(""https://docs.google.com/spreadsheets/d/1Uw7-A9f9R21vMXxHZFNpYNeKFtG8_yji4HS352LGlSQ/edit?pli=1#gid=0"",""1_ACUM!A4:S""),11,FALSE))"),"")</f>
        <v/>
      </c>
      <c r="AW897" s="42" t="str">
        <f ca="1">IFERROR(__xludf.DUMMYFUNCTION("IFERROR(VLOOKUP(F911,IMPORTRANGE(""https://docs.google.com/spreadsheets/d/1Kvs4KS76FHFqLFIZfrDMff4kP08nblUkihrxltoGBjg/edit#gid=934712705"",""ESENCIAL!A6:BG""),15,FALSE))"),"")</f>
        <v/>
      </c>
      <c r="AX897" s="21" t="str">
        <f ca="1">IFERROR(__xludf.DUMMYFUNCTION("IFERROR(VLOOKUP(E911&amp;F911,IMPORTRANGE(""https://docs.google.com/spreadsheets/d/1Uw7-A9f9R21vMXxHZFNpYNeKFtG8_yji4HS352LGlSQ/edit?pli=1#gid=0"",""1_ACUM!A4:S""),12,FALSE))"),"")</f>
        <v/>
      </c>
      <c r="AY897" s="43" t="str">
        <f ca="1">IFERROR(__xludf.DUMMYFUNCTION("IFERROR(VLOOKUP(E911&amp;F911,IMPORTRANGE(""https://docs.google.com/spreadsheets/d/1Uw7-A9f9R21vMXxHZFNpYNeKFtG8_yji4HS352LGlSQ/edit?pli=1#gid=0"",""1_ACUM!A4:S""),13,FALSE))"),"")</f>
        <v/>
      </c>
      <c r="AZ897" s="43" t="str">
        <f ca="1">IFERROR(__xludf.DUMMYFUNCTION("IFERROR(VLOOKUP(E911&amp;F911,IMPORTRANGE(""https://docs.google.com/spreadsheets/d/1Uw7-A9f9R21vMXxHZFNpYNeKFtG8_yji4HS352LGlSQ/edit?pli=1#gid=0"",""1_ACUM!A4:S""),14,FALSE))"),"")</f>
        <v/>
      </c>
      <c r="BA897" s="43" t="str">
        <f ca="1">IFERROR(__xludf.DUMMYFUNCTION("IFERROR(VLOOKUP(E911&amp;F911,IMPORTRANGE(""https://docs.google.com/spreadsheets/d/1Uw7-A9f9R21vMXxHZFNpYNeKFtG8_yji4HS352LGlSQ/edit?pli=1#gid=0"",""1_ACUM!A4:S""),15,FALSE))"),"")</f>
        <v/>
      </c>
      <c r="BB897" s="43" t="str">
        <f ca="1">IFERROR(__xludf.DUMMYFUNCTION("IFERROR(VLOOKUP(E911&amp;F911,IMPORTRANGE(""https://docs.google.com/spreadsheets/d/1Uw7-A9f9R21vMXxHZFNpYNeKFtG8_yji4HS352LGlSQ/edit?pli=1#gid=0"",""1_ACUM!A4:S""),16,FALSE))"),"")</f>
        <v/>
      </c>
      <c r="BC897" s="43" t="str">
        <f ca="1">IFERROR(__xludf.DUMMYFUNCTION("IFERROR(VLOOKUP(E911&amp;F911,IMPORTRANGE(""https://docs.google.com/spreadsheets/d/1Uw7-A9f9R21vMXxHZFNpYNeKFtG8_yji4HS352LGlSQ/edit?pli=1#gid=0"",""1_ACUM!A4:S""),17,FALSE))"),"")</f>
        <v/>
      </c>
      <c r="BD897" s="44" t="str">
        <f ca="1">IFERROR(__xludf.DUMMYFUNCTION("IFERROR(VLOOKUP(E911&amp;F911,IMPORTRANGE(""https://docs.google.com/spreadsheets/d/1Uw7-A9f9R21vMXxHZFNpYNeKFtG8_yji4HS352LGlSQ/edit?pli=1#gid=0"",""1_ACUM!A4:S""),18,FALSE))"),"")</f>
        <v/>
      </c>
      <c r="BE897" s="44" t="str">
        <f ca="1">IFERROR(__xludf.DUMMYFUNCTION("IFERROR(VLOOKUP(E911&amp;F911,IMPORTRANGE(""https://docs.google.com/spreadsheets/d/1Uw7-A9f9R21vMXxHZFNpYNeKFtG8_yji4HS352LGlSQ/edit?pli=1#gid=0"",""1_ACUM!A4:S""),19,FALSE))"),"")</f>
        <v/>
      </c>
      <c r="BF897" s="98" t="str">
        <f ca="1">IFERROR(__xludf.DUMMYFUNCTION("IFERROR(VLOOKUP(F911,IMPORTRANGE(""https://docs.google.com/spreadsheets/d/1Kvs4KS76FHFqLFIZfrDMff4kP08nblUkihrxltoGBjg/edit#gid=934712705"",""ESENCIAL!A6:BG""),5,FALSE))"),"")</f>
        <v/>
      </c>
      <c r="BG897" s="98" t="str">
        <f t="shared" si="25"/>
        <v/>
      </c>
      <c r="BH897" s="99" t="str">
        <f t="shared" si="26"/>
        <v/>
      </c>
      <c r="BI897" s="100" t="str">
        <f ca="1">IFERROR(__xludf.DUMMYFUNCTION("IFERROR(VLOOKUP(F911,IMPORTRANGE(""https://docs.google.com/spreadsheets/d/1Kvs4KS76FHFqLFIZfrDMff4kP08nblUkihrxltoGBjg/edit#gid=934712705"",""ESENCIAL!A6:BG""),2,FALSE))"),"")</f>
        <v/>
      </c>
      <c r="BJ897" s="19" t="str">
        <f t="shared" si="27"/>
        <v/>
      </c>
      <c r="BK897" s="100"/>
      <c r="BL897" s="100"/>
    </row>
    <row r="898" spans="1:64" ht="15">
      <c r="A898" s="5"/>
      <c r="B898" s="5"/>
      <c r="G898" s="5" t="str">
        <f ca="1">IFERROR(__xludf.DUMMYFUNCTION("IFERROR(VLOOKUP(F912,IMPORTRANGE(""https://docs.google.com/spreadsheets/d/1Kvs4KS76FHFqLFIZfrDMff4kP08nblUkihrxltoGBjg/edit#gid=934712705"",""ESENCIAL!A6:BG""),3,FALSE))"),"")</f>
        <v/>
      </c>
      <c r="H898" s="5" t="str">
        <f ca="1">IFERROR(__xludf.DUMMYFUNCTION("IFERROR(VLOOKUP(F912,IMPORTRANGE(""https://docs.google.com/spreadsheets/d/1Kvs4KS76FHFqLFIZfrDMff4kP08nblUkihrxltoGBjg/edit#gid=934712705"",""ESENCIAL!A6:BG""),8,FALSE))"),"")</f>
        <v/>
      </c>
      <c r="L898" s="287"/>
      <c r="U898" s="40"/>
      <c r="AU898" s="41" t="str">
        <f t="shared" si="24"/>
        <v/>
      </c>
      <c r="AV898" s="5" t="str">
        <f ca="1">IFERROR(__xludf.DUMMYFUNCTION("IFERROR(VLOOKUP(E912&amp;F912,IMPORTRANGE(""https://docs.google.com/spreadsheets/d/1Uw7-A9f9R21vMXxHZFNpYNeKFtG8_yji4HS352LGlSQ/edit?pli=1#gid=0"",""1_ACUM!A4:S""),11,FALSE))"),"")</f>
        <v/>
      </c>
      <c r="AW898" s="42" t="str">
        <f ca="1">IFERROR(__xludf.DUMMYFUNCTION("IFERROR(VLOOKUP(F912,IMPORTRANGE(""https://docs.google.com/spreadsheets/d/1Kvs4KS76FHFqLFIZfrDMff4kP08nblUkihrxltoGBjg/edit#gid=934712705"",""ESENCIAL!A6:BG""),15,FALSE))"),"")</f>
        <v/>
      </c>
      <c r="AX898" s="21" t="str">
        <f ca="1">IFERROR(__xludf.DUMMYFUNCTION("IFERROR(VLOOKUP(E912&amp;F912,IMPORTRANGE(""https://docs.google.com/spreadsheets/d/1Uw7-A9f9R21vMXxHZFNpYNeKFtG8_yji4HS352LGlSQ/edit?pli=1#gid=0"",""1_ACUM!A4:S""),12,FALSE))"),"")</f>
        <v/>
      </c>
      <c r="AY898" s="43" t="str">
        <f ca="1">IFERROR(__xludf.DUMMYFUNCTION("IFERROR(VLOOKUP(E912&amp;F912,IMPORTRANGE(""https://docs.google.com/spreadsheets/d/1Uw7-A9f9R21vMXxHZFNpYNeKFtG8_yji4HS352LGlSQ/edit?pli=1#gid=0"",""1_ACUM!A4:S""),13,FALSE))"),"")</f>
        <v/>
      </c>
      <c r="AZ898" s="43" t="str">
        <f ca="1">IFERROR(__xludf.DUMMYFUNCTION("IFERROR(VLOOKUP(E912&amp;F912,IMPORTRANGE(""https://docs.google.com/spreadsheets/d/1Uw7-A9f9R21vMXxHZFNpYNeKFtG8_yji4HS352LGlSQ/edit?pli=1#gid=0"",""1_ACUM!A4:S""),14,FALSE))"),"")</f>
        <v/>
      </c>
      <c r="BA898" s="43" t="str">
        <f ca="1">IFERROR(__xludf.DUMMYFUNCTION("IFERROR(VLOOKUP(E912&amp;F912,IMPORTRANGE(""https://docs.google.com/spreadsheets/d/1Uw7-A9f9R21vMXxHZFNpYNeKFtG8_yji4HS352LGlSQ/edit?pli=1#gid=0"",""1_ACUM!A4:S""),15,FALSE))"),"")</f>
        <v/>
      </c>
      <c r="BB898" s="43" t="str">
        <f ca="1">IFERROR(__xludf.DUMMYFUNCTION("IFERROR(VLOOKUP(E912&amp;F912,IMPORTRANGE(""https://docs.google.com/spreadsheets/d/1Uw7-A9f9R21vMXxHZFNpYNeKFtG8_yji4HS352LGlSQ/edit?pli=1#gid=0"",""1_ACUM!A4:S""),16,FALSE))"),"")</f>
        <v/>
      </c>
      <c r="BC898" s="43" t="str">
        <f ca="1">IFERROR(__xludf.DUMMYFUNCTION("IFERROR(VLOOKUP(E912&amp;F912,IMPORTRANGE(""https://docs.google.com/spreadsheets/d/1Uw7-A9f9R21vMXxHZFNpYNeKFtG8_yji4HS352LGlSQ/edit?pli=1#gid=0"",""1_ACUM!A4:S""),17,FALSE))"),"")</f>
        <v/>
      </c>
      <c r="BD898" s="44" t="str">
        <f ca="1">IFERROR(__xludf.DUMMYFUNCTION("IFERROR(VLOOKUP(E912&amp;F912,IMPORTRANGE(""https://docs.google.com/spreadsheets/d/1Uw7-A9f9R21vMXxHZFNpYNeKFtG8_yji4HS352LGlSQ/edit?pli=1#gid=0"",""1_ACUM!A4:S""),18,FALSE))"),"")</f>
        <v/>
      </c>
      <c r="BE898" s="44" t="str">
        <f ca="1">IFERROR(__xludf.DUMMYFUNCTION("IFERROR(VLOOKUP(E912&amp;F912,IMPORTRANGE(""https://docs.google.com/spreadsheets/d/1Uw7-A9f9R21vMXxHZFNpYNeKFtG8_yji4HS352LGlSQ/edit?pli=1#gid=0"",""1_ACUM!A4:S""),19,FALSE))"),"")</f>
        <v/>
      </c>
      <c r="BF898" s="98" t="str">
        <f ca="1">IFERROR(__xludf.DUMMYFUNCTION("IFERROR(VLOOKUP(F912,IMPORTRANGE(""https://docs.google.com/spreadsheets/d/1Kvs4KS76FHFqLFIZfrDMff4kP08nblUkihrxltoGBjg/edit#gid=934712705"",""ESENCIAL!A6:BG""),5,FALSE))"),"")</f>
        <v/>
      </c>
      <c r="BG898" s="98" t="str">
        <f t="shared" si="25"/>
        <v/>
      </c>
      <c r="BH898" s="99" t="str">
        <f t="shared" si="26"/>
        <v/>
      </c>
      <c r="BI898" s="100" t="str">
        <f ca="1">IFERROR(__xludf.DUMMYFUNCTION("IFERROR(VLOOKUP(F912,IMPORTRANGE(""https://docs.google.com/spreadsheets/d/1Kvs4KS76FHFqLFIZfrDMff4kP08nblUkihrxltoGBjg/edit#gid=934712705"",""ESENCIAL!A6:BG""),2,FALSE))"),"")</f>
        <v/>
      </c>
      <c r="BJ898" s="19" t="str">
        <f t="shared" si="27"/>
        <v/>
      </c>
      <c r="BK898" s="100"/>
      <c r="BL898" s="100"/>
    </row>
    <row r="899" spans="1:64" ht="15">
      <c r="A899" s="5"/>
      <c r="B899" s="5"/>
      <c r="G899" s="5" t="str">
        <f ca="1">IFERROR(__xludf.DUMMYFUNCTION("IFERROR(VLOOKUP(F913,IMPORTRANGE(""https://docs.google.com/spreadsheets/d/1Kvs4KS76FHFqLFIZfrDMff4kP08nblUkihrxltoGBjg/edit#gid=934712705"",""ESENCIAL!A6:BG""),3,FALSE))"),"")</f>
        <v/>
      </c>
      <c r="H899" s="5" t="str">
        <f ca="1">IFERROR(__xludf.DUMMYFUNCTION("IFERROR(VLOOKUP(F913,IMPORTRANGE(""https://docs.google.com/spreadsheets/d/1Kvs4KS76FHFqLFIZfrDMff4kP08nblUkihrxltoGBjg/edit#gid=934712705"",""ESENCIAL!A6:BG""),8,FALSE))"),"")</f>
        <v/>
      </c>
      <c r="L899" s="287"/>
      <c r="U899" s="40"/>
      <c r="AU899" s="41" t="str">
        <f t="shared" si="24"/>
        <v/>
      </c>
      <c r="AV899" s="5" t="str">
        <f ca="1">IFERROR(__xludf.DUMMYFUNCTION("IFERROR(VLOOKUP(E913&amp;F913,IMPORTRANGE(""https://docs.google.com/spreadsheets/d/1Uw7-A9f9R21vMXxHZFNpYNeKFtG8_yji4HS352LGlSQ/edit?pli=1#gid=0"",""1_ACUM!A4:S""),11,FALSE))"),"")</f>
        <v/>
      </c>
      <c r="AW899" s="42" t="str">
        <f ca="1">IFERROR(__xludf.DUMMYFUNCTION("IFERROR(VLOOKUP(F913,IMPORTRANGE(""https://docs.google.com/spreadsheets/d/1Kvs4KS76FHFqLFIZfrDMff4kP08nblUkihrxltoGBjg/edit#gid=934712705"",""ESENCIAL!A6:BG""),15,FALSE))"),"")</f>
        <v/>
      </c>
      <c r="AX899" s="21" t="str">
        <f ca="1">IFERROR(__xludf.DUMMYFUNCTION("IFERROR(VLOOKUP(E913&amp;F913,IMPORTRANGE(""https://docs.google.com/spreadsheets/d/1Uw7-A9f9R21vMXxHZFNpYNeKFtG8_yji4HS352LGlSQ/edit?pli=1#gid=0"",""1_ACUM!A4:S""),12,FALSE))"),"")</f>
        <v/>
      </c>
      <c r="AY899" s="43" t="str">
        <f ca="1">IFERROR(__xludf.DUMMYFUNCTION("IFERROR(VLOOKUP(E913&amp;F913,IMPORTRANGE(""https://docs.google.com/spreadsheets/d/1Uw7-A9f9R21vMXxHZFNpYNeKFtG8_yji4HS352LGlSQ/edit?pli=1#gid=0"",""1_ACUM!A4:S""),13,FALSE))"),"")</f>
        <v/>
      </c>
      <c r="AZ899" s="43" t="str">
        <f ca="1">IFERROR(__xludf.DUMMYFUNCTION("IFERROR(VLOOKUP(E913&amp;F913,IMPORTRANGE(""https://docs.google.com/spreadsheets/d/1Uw7-A9f9R21vMXxHZFNpYNeKFtG8_yji4HS352LGlSQ/edit?pli=1#gid=0"",""1_ACUM!A4:S""),14,FALSE))"),"")</f>
        <v/>
      </c>
      <c r="BA899" s="43" t="str">
        <f ca="1">IFERROR(__xludf.DUMMYFUNCTION("IFERROR(VLOOKUP(E913&amp;F913,IMPORTRANGE(""https://docs.google.com/spreadsheets/d/1Uw7-A9f9R21vMXxHZFNpYNeKFtG8_yji4HS352LGlSQ/edit?pli=1#gid=0"",""1_ACUM!A4:S""),15,FALSE))"),"")</f>
        <v/>
      </c>
      <c r="BB899" s="43" t="str">
        <f ca="1">IFERROR(__xludf.DUMMYFUNCTION("IFERROR(VLOOKUP(E913&amp;F913,IMPORTRANGE(""https://docs.google.com/spreadsheets/d/1Uw7-A9f9R21vMXxHZFNpYNeKFtG8_yji4HS352LGlSQ/edit?pli=1#gid=0"",""1_ACUM!A4:S""),16,FALSE))"),"")</f>
        <v/>
      </c>
      <c r="BC899" s="43" t="str">
        <f ca="1">IFERROR(__xludf.DUMMYFUNCTION("IFERROR(VLOOKUP(E913&amp;F913,IMPORTRANGE(""https://docs.google.com/spreadsheets/d/1Uw7-A9f9R21vMXxHZFNpYNeKFtG8_yji4HS352LGlSQ/edit?pli=1#gid=0"",""1_ACUM!A4:S""),17,FALSE))"),"")</f>
        <v/>
      </c>
      <c r="BD899" s="44" t="str">
        <f ca="1">IFERROR(__xludf.DUMMYFUNCTION("IFERROR(VLOOKUP(E913&amp;F913,IMPORTRANGE(""https://docs.google.com/spreadsheets/d/1Uw7-A9f9R21vMXxHZFNpYNeKFtG8_yji4HS352LGlSQ/edit?pli=1#gid=0"",""1_ACUM!A4:S""),18,FALSE))"),"")</f>
        <v/>
      </c>
      <c r="BE899" s="44" t="str">
        <f ca="1">IFERROR(__xludf.DUMMYFUNCTION("IFERROR(VLOOKUP(E913&amp;F913,IMPORTRANGE(""https://docs.google.com/spreadsheets/d/1Uw7-A9f9R21vMXxHZFNpYNeKFtG8_yji4HS352LGlSQ/edit?pli=1#gid=0"",""1_ACUM!A4:S""),19,FALSE))"),"")</f>
        <v/>
      </c>
      <c r="BF899" s="98" t="str">
        <f ca="1">IFERROR(__xludf.DUMMYFUNCTION("IFERROR(VLOOKUP(F913,IMPORTRANGE(""https://docs.google.com/spreadsheets/d/1Kvs4KS76FHFqLFIZfrDMff4kP08nblUkihrxltoGBjg/edit#gid=934712705"",""ESENCIAL!A6:BG""),5,FALSE))"),"")</f>
        <v/>
      </c>
      <c r="BG899" s="98" t="str">
        <f t="shared" si="25"/>
        <v/>
      </c>
      <c r="BH899" s="99" t="str">
        <f t="shared" si="26"/>
        <v/>
      </c>
      <c r="BI899" s="100" t="str">
        <f ca="1">IFERROR(__xludf.DUMMYFUNCTION("IFERROR(VLOOKUP(F913,IMPORTRANGE(""https://docs.google.com/spreadsheets/d/1Kvs4KS76FHFqLFIZfrDMff4kP08nblUkihrxltoGBjg/edit#gid=934712705"",""ESENCIAL!A6:BG""),2,FALSE))"),"")</f>
        <v/>
      </c>
      <c r="BJ899" s="19" t="str">
        <f t="shared" si="27"/>
        <v/>
      </c>
      <c r="BK899" s="100"/>
      <c r="BL899" s="100"/>
    </row>
    <row r="900" spans="1:64" ht="15">
      <c r="A900" s="5"/>
      <c r="B900" s="5"/>
      <c r="G900" s="5" t="str">
        <f ca="1">IFERROR(__xludf.DUMMYFUNCTION("IFERROR(VLOOKUP(F914,IMPORTRANGE(""https://docs.google.com/spreadsheets/d/1Kvs4KS76FHFqLFIZfrDMff4kP08nblUkihrxltoGBjg/edit#gid=934712705"",""ESENCIAL!A6:BG""),3,FALSE))"),"")</f>
        <v/>
      </c>
      <c r="H900" s="5" t="str">
        <f ca="1">IFERROR(__xludf.DUMMYFUNCTION("IFERROR(VLOOKUP(F914,IMPORTRANGE(""https://docs.google.com/spreadsheets/d/1Kvs4KS76FHFqLFIZfrDMff4kP08nblUkihrxltoGBjg/edit#gid=934712705"",""ESENCIAL!A6:BG""),8,FALSE))"),"")</f>
        <v/>
      </c>
      <c r="L900" s="287"/>
      <c r="U900" s="40"/>
      <c r="AU900" s="41" t="str">
        <f t="shared" si="24"/>
        <v/>
      </c>
      <c r="AV900" s="5" t="str">
        <f ca="1">IFERROR(__xludf.DUMMYFUNCTION("IFERROR(VLOOKUP(E914&amp;F914,IMPORTRANGE(""https://docs.google.com/spreadsheets/d/1Uw7-A9f9R21vMXxHZFNpYNeKFtG8_yji4HS352LGlSQ/edit?pli=1#gid=0"",""1_ACUM!A4:S""),11,FALSE))"),"")</f>
        <v/>
      </c>
      <c r="AW900" s="42" t="str">
        <f ca="1">IFERROR(__xludf.DUMMYFUNCTION("IFERROR(VLOOKUP(F914,IMPORTRANGE(""https://docs.google.com/spreadsheets/d/1Kvs4KS76FHFqLFIZfrDMff4kP08nblUkihrxltoGBjg/edit#gid=934712705"",""ESENCIAL!A6:BG""),15,FALSE))"),"")</f>
        <v/>
      </c>
      <c r="AX900" s="21" t="str">
        <f ca="1">IFERROR(__xludf.DUMMYFUNCTION("IFERROR(VLOOKUP(E914&amp;F914,IMPORTRANGE(""https://docs.google.com/spreadsheets/d/1Uw7-A9f9R21vMXxHZFNpYNeKFtG8_yji4HS352LGlSQ/edit?pli=1#gid=0"",""1_ACUM!A4:S""),12,FALSE))"),"")</f>
        <v/>
      </c>
      <c r="AY900" s="43" t="str">
        <f ca="1">IFERROR(__xludf.DUMMYFUNCTION("IFERROR(VLOOKUP(E914&amp;F914,IMPORTRANGE(""https://docs.google.com/spreadsheets/d/1Uw7-A9f9R21vMXxHZFNpYNeKFtG8_yji4HS352LGlSQ/edit?pli=1#gid=0"",""1_ACUM!A4:S""),13,FALSE))"),"")</f>
        <v/>
      </c>
      <c r="AZ900" s="43" t="str">
        <f ca="1">IFERROR(__xludf.DUMMYFUNCTION("IFERROR(VLOOKUP(E914&amp;F914,IMPORTRANGE(""https://docs.google.com/spreadsheets/d/1Uw7-A9f9R21vMXxHZFNpYNeKFtG8_yji4HS352LGlSQ/edit?pli=1#gid=0"",""1_ACUM!A4:S""),14,FALSE))"),"")</f>
        <v/>
      </c>
      <c r="BA900" s="43" t="str">
        <f ca="1">IFERROR(__xludf.DUMMYFUNCTION("IFERROR(VLOOKUP(E914&amp;F914,IMPORTRANGE(""https://docs.google.com/spreadsheets/d/1Uw7-A9f9R21vMXxHZFNpYNeKFtG8_yji4HS352LGlSQ/edit?pli=1#gid=0"",""1_ACUM!A4:S""),15,FALSE))"),"")</f>
        <v/>
      </c>
      <c r="BB900" s="43" t="str">
        <f ca="1">IFERROR(__xludf.DUMMYFUNCTION("IFERROR(VLOOKUP(E914&amp;F914,IMPORTRANGE(""https://docs.google.com/spreadsheets/d/1Uw7-A9f9R21vMXxHZFNpYNeKFtG8_yji4HS352LGlSQ/edit?pli=1#gid=0"",""1_ACUM!A4:S""),16,FALSE))"),"")</f>
        <v/>
      </c>
      <c r="BC900" s="43" t="str">
        <f ca="1">IFERROR(__xludf.DUMMYFUNCTION("IFERROR(VLOOKUP(E914&amp;F914,IMPORTRANGE(""https://docs.google.com/spreadsheets/d/1Uw7-A9f9R21vMXxHZFNpYNeKFtG8_yji4HS352LGlSQ/edit?pli=1#gid=0"",""1_ACUM!A4:S""),17,FALSE))"),"")</f>
        <v/>
      </c>
      <c r="BD900" s="44" t="str">
        <f ca="1">IFERROR(__xludf.DUMMYFUNCTION("IFERROR(VLOOKUP(E914&amp;F914,IMPORTRANGE(""https://docs.google.com/spreadsheets/d/1Uw7-A9f9R21vMXxHZFNpYNeKFtG8_yji4HS352LGlSQ/edit?pli=1#gid=0"",""1_ACUM!A4:S""),18,FALSE))"),"")</f>
        <v/>
      </c>
      <c r="BE900" s="44" t="str">
        <f ca="1">IFERROR(__xludf.DUMMYFUNCTION("IFERROR(VLOOKUP(E914&amp;F914,IMPORTRANGE(""https://docs.google.com/spreadsheets/d/1Uw7-A9f9R21vMXxHZFNpYNeKFtG8_yji4HS352LGlSQ/edit?pli=1#gid=0"",""1_ACUM!A4:S""),19,FALSE))"),"")</f>
        <v/>
      </c>
      <c r="BF900" s="98" t="str">
        <f ca="1">IFERROR(__xludf.DUMMYFUNCTION("IFERROR(VLOOKUP(F914,IMPORTRANGE(""https://docs.google.com/spreadsheets/d/1Kvs4KS76FHFqLFIZfrDMff4kP08nblUkihrxltoGBjg/edit#gid=934712705"",""ESENCIAL!A6:BG""),5,FALSE))"),"")</f>
        <v/>
      </c>
      <c r="BG900" s="98" t="str">
        <f t="shared" si="25"/>
        <v/>
      </c>
      <c r="BH900" s="99" t="str">
        <f t="shared" si="26"/>
        <v/>
      </c>
      <c r="BI900" s="100" t="str">
        <f ca="1">IFERROR(__xludf.DUMMYFUNCTION("IFERROR(VLOOKUP(F914,IMPORTRANGE(""https://docs.google.com/spreadsheets/d/1Kvs4KS76FHFqLFIZfrDMff4kP08nblUkihrxltoGBjg/edit#gid=934712705"",""ESENCIAL!A6:BG""),2,FALSE))"),"")</f>
        <v/>
      </c>
      <c r="BJ900" s="19" t="str">
        <f t="shared" si="27"/>
        <v/>
      </c>
      <c r="BK900" s="100"/>
      <c r="BL900" s="100"/>
    </row>
    <row r="901" spans="1:64" ht="15">
      <c r="A901" s="5"/>
      <c r="B901" s="5"/>
      <c r="G901" s="5" t="str">
        <f ca="1">IFERROR(__xludf.DUMMYFUNCTION("IFERROR(VLOOKUP(F915,IMPORTRANGE(""https://docs.google.com/spreadsheets/d/1Kvs4KS76FHFqLFIZfrDMff4kP08nblUkihrxltoGBjg/edit#gid=934712705"",""ESENCIAL!A6:BG""),3,FALSE))"),"")</f>
        <v/>
      </c>
      <c r="H901" s="5" t="str">
        <f ca="1">IFERROR(__xludf.DUMMYFUNCTION("IFERROR(VLOOKUP(F915,IMPORTRANGE(""https://docs.google.com/spreadsheets/d/1Kvs4KS76FHFqLFIZfrDMff4kP08nblUkihrxltoGBjg/edit#gid=934712705"",""ESENCIAL!A6:BG""),8,FALSE))"),"")</f>
        <v/>
      </c>
      <c r="L901" s="287"/>
      <c r="U901" s="40"/>
      <c r="AU901" s="41" t="str">
        <f t="shared" si="24"/>
        <v/>
      </c>
      <c r="AV901" s="5" t="str">
        <f ca="1">IFERROR(__xludf.DUMMYFUNCTION("IFERROR(VLOOKUP(E915&amp;F915,IMPORTRANGE(""https://docs.google.com/spreadsheets/d/1Uw7-A9f9R21vMXxHZFNpYNeKFtG8_yji4HS352LGlSQ/edit?pli=1#gid=0"",""1_ACUM!A4:S""),11,FALSE))"),"")</f>
        <v/>
      </c>
      <c r="AW901" s="42" t="str">
        <f ca="1">IFERROR(__xludf.DUMMYFUNCTION("IFERROR(VLOOKUP(F915,IMPORTRANGE(""https://docs.google.com/spreadsheets/d/1Kvs4KS76FHFqLFIZfrDMff4kP08nblUkihrxltoGBjg/edit#gid=934712705"",""ESENCIAL!A6:BG""),15,FALSE))"),"")</f>
        <v/>
      </c>
      <c r="AX901" s="21" t="str">
        <f ca="1">IFERROR(__xludf.DUMMYFUNCTION("IFERROR(VLOOKUP(E915&amp;F915,IMPORTRANGE(""https://docs.google.com/spreadsheets/d/1Uw7-A9f9R21vMXxHZFNpYNeKFtG8_yji4HS352LGlSQ/edit?pli=1#gid=0"",""1_ACUM!A4:S""),12,FALSE))"),"")</f>
        <v/>
      </c>
      <c r="AY901" s="43" t="str">
        <f ca="1">IFERROR(__xludf.DUMMYFUNCTION("IFERROR(VLOOKUP(E915&amp;F915,IMPORTRANGE(""https://docs.google.com/spreadsheets/d/1Uw7-A9f9R21vMXxHZFNpYNeKFtG8_yji4HS352LGlSQ/edit?pli=1#gid=0"",""1_ACUM!A4:S""),13,FALSE))"),"")</f>
        <v/>
      </c>
      <c r="AZ901" s="43" t="str">
        <f ca="1">IFERROR(__xludf.DUMMYFUNCTION("IFERROR(VLOOKUP(E915&amp;F915,IMPORTRANGE(""https://docs.google.com/spreadsheets/d/1Uw7-A9f9R21vMXxHZFNpYNeKFtG8_yji4HS352LGlSQ/edit?pli=1#gid=0"",""1_ACUM!A4:S""),14,FALSE))"),"")</f>
        <v/>
      </c>
      <c r="BA901" s="43" t="str">
        <f ca="1">IFERROR(__xludf.DUMMYFUNCTION("IFERROR(VLOOKUP(E915&amp;F915,IMPORTRANGE(""https://docs.google.com/spreadsheets/d/1Uw7-A9f9R21vMXxHZFNpYNeKFtG8_yji4HS352LGlSQ/edit?pli=1#gid=0"",""1_ACUM!A4:S""),15,FALSE))"),"")</f>
        <v/>
      </c>
      <c r="BB901" s="43" t="str">
        <f ca="1">IFERROR(__xludf.DUMMYFUNCTION("IFERROR(VLOOKUP(E915&amp;F915,IMPORTRANGE(""https://docs.google.com/spreadsheets/d/1Uw7-A9f9R21vMXxHZFNpYNeKFtG8_yji4HS352LGlSQ/edit?pli=1#gid=0"",""1_ACUM!A4:S""),16,FALSE))"),"")</f>
        <v/>
      </c>
      <c r="BC901" s="43" t="str">
        <f ca="1">IFERROR(__xludf.DUMMYFUNCTION("IFERROR(VLOOKUP(E915&amp;F915,IMPORTRANGE(""https://docs.google.com/spreadsheets/d/1Uw7-A9f9R21vMXxHZFNpYNeKFtG8_yji4HS352LGlSQ/edit?pli=1#gid=0"",""1_ACUM!A4:S""),17,FALSE))"),"")</f>
        <v/>
      </c>
      <c r="BD901" s="44" t="str">
        <f ca="1">IFERROR(__xludf.DUMMYFUNCTION("IFERROR(VLOOKUP(E915&amp;F915,IMPORTRANGE(""https://docs.google.com/spreadsheets/d/1Uw7-A9f9R21vMXxHZFNpYNeKFtG8_yji4HS352LGlSQ/edit?pli=1#gid=0"",""1_ACUM!A4:S""),18,FALSE))"),"")</f>
        <v/>
      </c>
      <c r="BE901" s="44" t="str">
        <f ca="1">IFERROR(__xludf.DUMMYFUNCTION("IFERROR(VLOOKUP(E915&amp;F915,IMPORTRANGE(""https://docs.google.com/spreadsheets/d/1Uw7-A9f9R21vMXxHZFNpYNeKFtG8_yji4HS352LGlSQ/edit?pli=1#gid=0"",""1_ACUM!A4:S""),19,FALSE))"),"")</f>
        <v/>
      </c>
      <c r="BF901" s="98" t="str">
        <f ca="1">IFERROR(__xludf.DUMMYFUNCTION("IFERROR(VLOOKUP(F915,IMPORTRANGE(""https://docs.google.com/spreadsheets/d/1Kvs4KS76FHFqLFIZfrDMff4kP08nblUkihrxltoGBjg/edit#gid=934712705"",""ESENCIAL!A6:BG""),5,FALSE))"),"")</f>
        <v/>
      </c>
      <c r="BG901" s="98" t="str">
        <f t="shared" si="25"/>
        <v/>
      </c>
      <c r="BH901" s="99" t="str">
        <f t="shared" si="26"/>
        <v/>
      </c>
      <c r="BI901" s="100" t="str">
        <f ca="1">IFERROR(__xludf.DUMMYFUNCTION("IFERROR(VLOOKUP(F915,IMPORTRANGE(""https://docs.google.com/spreadsheets/d/1Kvs4KS76FHFqLFIZfrDMff4kP08nblUkihrxltoGBjg/edit#gid=934712705"",""ESENCIAL!A6:BG""),2,FALSE))"),"")</f>
        <v/>
      </c>
      <c r="BJ901" s="19" t="str">
        <f t="shared" si="27"/>
        <v/>
      </c>
      <c r="BK901" s="100"/>
      <c r="BL901" s="100"/>
    </row>
    <row r="902" spans="1:64" ht="15">
      <c r="A902" s="5"/>
      <c r="B902" s="5"/>
      <c r="G902" s="5" t="str">
        <f ca="1">IFERROR(__xludf.DUMMYFUNCTION("IFERROR(VLOOKUP(F916,IMPORTRANGE(""https://docs.google.com/spreadsheets/d/1Kvs4KS76FHFqLFIZfrDMff4kP08nblUkihrxltoGBjg/edit#gid=934712705"",""ESENCIAL!A6:BG""),3,FALSE))"),"")</f>
        <v/>
      </c>
      <c r="H902" s="5" t="str">
        <f ca="1">IFERROR(__xludf.DUMMYFUNCTION("IFERROR(VLOOKUP(F916,IMPORTRANGE(""https://docs.google.com/spreadsheets/d/1Kvs4KS76FHFqLFIZfrDMff4kP08nblUkihrxltoGBjg/edit#gid=934712705"",""ESENCIAL!A6:BG""),8,FALSE))"),"")</f>
        <v/>
      </c>
      <c r="L902" s="287"/>
      <c r="U902" s="40"/>
      <c r="AU902" s="41" t="str">
        <f t="shared" si="24"/>
        <v/>
      </c>
      <c r="AV902" s="5" t="str">
        <f ca="1">IFERROR(__xludf.DUMMYFUNCTION("IFERROR(VLOOKUP(E916&amp;F916,IMPORTRANGE(""https://docs.google.com/spreadsheets/d/1Uw7-A9f9R21vMXxHZFNpYNeKFtG8_yji4HS352LGlSQ/edit?pli=1#gid=0"",""1_ACUM!A4:S""),11,FALSE))"),"")</f>
        <v/>
      </c>
      <c r="AW902" s="42" t="str">
        <f ca="1">IFERROR(__xludf.DUMMYFUNCTION("IFERROR(VLOOKUP(F916,IMPORTRANGE(""https://docs.google.com/spreadsheets/d/1Kvs4KS76FHFqLFIZfrDMff4kP08nblUkihrxltoGBjg/edit#gid=934712705"",""ESENCIAL!A6:BG""),15,FALSE))"),"")</f>
        <v/>
      </c>
      <c r="AX902" s="21" t="str">
        <f ca="1">IFERROR(__xludf.DUMMYFUNCTION("IFERROR(VLOOKUP(E916&amp;F916,IMPORTRANGE(""https://docs.google.com/spreadsheets/d/1Uw7-A9f9R21vMXxHZFNpYNeKFtG8_yji4HS352LGlSQ/edit?pli=1#gid=0"",""1_ACUM!A4:S""),12,FALSE))"),"")</f>
        <v/>
      </c>
      <c r="AY902" s="43" t="str">
        <f ca="1">IFERROR(__xludf.DUMMYFUNCTION("IFERROR(VLOOKUP(E916&amp;F916,IMPORTRANGE(""https://docs.google.com/spreadsheets/d/1Uw7-A9f9R21vMXxHZFNpYNeKFtG8_yji4HS352LGlSQ/edit?pli=1#gid=0"",""1_ACUM!A4:S""),13,FALSE))"),"")</f>
        <v/>
      </c>
      <c r="AZ902" s="43" t="str">
        <f ca="1">IFERROR(__xludf.DUMMYFUNCTION("IFERROR(VLOOKUP(E916&amp;F916,IMPORTRANGE(""https://docs.google.com/spreadsheets/d/1Uw7-A9f9R21vMXxHZFNpYNeKFtG8_yji4HS352LGlSQ/edit?pli=1#gid=0"",""1_ACUM!A4:S""),14,FALSE))"),"")</f>
        <v/>
      </c>
      <c r="BA902" s="43" t="str">
        <f ca="1">IFERROR(__xludf.DUMMYFUNCTION("IFERROR(VLOOKUP(E916&amp;F916,IMPORTRANGE(""https://docs.google.com/spreadsheets/d/1Uw7-A9f9R21vMXxHZFNpYNeKFtG8_yji4HS352LGlSQ/edit?pli=1#gid=0"",""1_ACUM!A4:S""),15,FALSE))"),"")</f>
        <v/>
      </c>
      <c r="BB902" s="43" t="str">
        <f ca="1">IFERROR(__xludf.DUMMYFUNCTION("IFERROR(VLOOKUP(E916&amp;F916,IMPORTRANGE(""https://docs.google.com/spreadsheets/d/1Uw7-A9f9R21vMXxHZFNpYNeKFtG8_yji4HS352LGlSQ/edit?pli=1#gid=0"",""1_ACUM!A4:S""),16,FALSE))"),"")</f>
        <v/>
      </c>
      <c r="BC902" s="43" t="str">
        <f ca="1">IFERROR(__xludf.DUMMYFUNCTION("IFERROR(VLOOKUP(E916&amp;F916,IMPORTRANGE(""https://docs.google.com/spreadsheets/d/1Uw7-A9f9R21vMXxHZFNpYNeKFtG8_yji4HS352LGlSQ/edit?pli=1#gid=0"",""1_ACUM!A4:S""),17,FALSE))"),"")</f>
        <v/>
      </c>
      <c r="BD902" s="44" t="str">
        <f ca="1">IFERROR(__xludf.DUMMYFUNCTION("IFERROR(VLOOKUP(E916&amp;F916,IMPORTRANGE(""https://docs.google.com/spreadsheets/d/1Uw7-A9f9R21vMXxHZFNpYNeKFtG8_yji4HS352LGlSQ/edit?pli=1#gid=0"",""1_ACUM!A4:S""),18,FALSE))"),"")</f>
        <v/>
      </c>
      <c r="BE902" s="44" t="str">
        <f ca="1">IFERROR(__xludf.DUMMYFUNCTION("IFERROR(VLOOKUP(E916&amp;F916,IMPORTRANGE(""https://docs.google.com/spreadsheets/d/1Uw7-A9f9R21vMXxHZFNpYNeKFtG8_yji4HS352LGlSQ/edit?pli=1#gid=0"",""1_ACUM!A4:S""),19,FALSE))"),"")</f>
        <v/>
      </c>
      <c r="BF902" s="98" t="str">
        <f ca="1">IFERROR(__xludf.DUMMYFUNCTION("IFERROR(VLOOKUP(F916,IMPORTRANGE(""https://docs.google.com/spreadsheets/d/1Kvs4KS76FHFqLFIZfrDMff4kP08nblUkihrxltoGBjg/edit#gid=934712705"",""ESENCIAL!A6:BG""),5,FALSE))"),"")</f>
        <v/>
      </c>
      <c r="BG902" s="98" t="str">
        <f t="shared" si="25"/>
        <v/>
      </c>
      <c r="BH902" s="99" t="str">
        <f t="shared" si="26"/>
        <v/>
      </c>
      <c r="BI902" s="100" t="str">
        <f ca="1">IFERROR(__xludf.DUMMYFUNCTION("IFERROR(VLOOKUP(F916,IMPORTRANGE(""https://docs.google.com/spreadsheets/d/1Kvs4KS76FHFqLFIZfrDMff4kP08nblUkihrxltoGBjg/edit#gid=934712705"",""ESENCIAL!A6:BG""),2,FALSE))"),"")</f>
        <v/>
      </c>
      <c r="BJ902" s="19" t="str">
        <f t="shared" si="27"/>
        <v/>
      </c>
      <c r="BK902" s="100"/>
      <c r="BL902" s="100"/>
    </row>
    <row r="903" spans="1:64" ht="15">
      <c r="A903" s="5"/>
      <c r="B903" s="5"/>
      <c r="G903" s="5" t="str">
        <f ca="1">IFERROR(__xludf.DUMMYFUNCTION("IFERROR(VLOOKUP(F917,IMPORTRANGE(""https://docs.google.com/spreadsheets/d/1Kvs4KS76FHFqLFIZfrDMff4kP08nblUkihrxltoGBjg/edit#gid=934712705"",""ESENCIAL!A6:BG""),3,FALSE))"),"")</f>
        <v/>
      </c>
      <c r="H903" s="5" t="str">
        <f ca="1">IFERROR(__xludf.DUMMYFUNCTION("IFERROR(VLOOKUP(F917,IMPORTRANGE(""https://docs.google.com/spreadsheets/d/1Kvs4KS76FHFqLFIZfrDMff4kP08nblUkihrxltoGBjg/edit#gid=934712705"",""ESENCIAL!A6:BG""),8,FALSE))"),"")</f>
        <v/>
      </c>
      <c r="L903" s="287"/>
      <c r="U903" s="40"/>
      <c r="AU903" s="41" t="str">
        <f t="shared" si="24"/>
        <v/>
      </c>
      <c r="AV903" s="5" t="str">
        <f ca="1">IFERROR(__xludf.DUMMYFUNCTION("IFERROR(VLOOKUP(E917&amp;F917,IMPORTRANGE(""https://docs.google.com/spreadsheets/d/1Uw7-A9f9R21vMXxHZFNpYNeKFtG8_yji4HS352LGlSQ/edit?pli=1#gid=0"",""1_ACUM!A4:S""),11,FALSE))"),"")</f>
        <v/>
      </c>
      <c r="AW903" s="42" t="str">
        <f ca="1">IFERROR(__xludf.DUMMYFUNCTION("IFERROR(VLOOKUP(F917,IMPORTRANGE(""https://docs.google.com/spreadsheets/d/1Kvs4KS76FHFqLFIZfrDMff4kP08nblUkihrxltoGBjg/edit#gid=934712705"",""ESENCIAL!A6:BG""),15,FALSE))"),"")</f>
        <v/>
      </c>
      <c r="AX903" s="21" t="str">
        <f ca="1">IFERROR(__xludf.DUMMYFUNCTION("IFERROR(VLOOKUP(E917&amp;F917,IMPORTRANGE(""https://docs.google.com/spreadsheets/d/1Uw7-A9f9R21vMXxHZFNpYNeKFtG8_yji4HS352LGlSQ/edit?pli=1#gid=0"",""1_ACUM!A4:S""),12,FALSE))"),"")</f>
        <v/>
      </c>
      <c r="AY903" s="43" t="str">
        <f ca="1">IFERROR(__xludf.DUMMYFUNCTION("IFERROR(VLOOKUP(E917&amp;F917,IMPORTRANGE(""https://docs.google.com/spreadsheets/d/1Uw7-A9f9R21vMXxHZFNpYNeKFtG8_yji4HS352LGlSQ/edit?pli=1#gid=0"",""1_ACUM!A4:S""),13,FALSE))"),"")</f>
        <v/>
      </c>
      <c r="AZ903" s="43" t="str">
        <f ca="1">IFERROR(__xludf.DUMMYFUNCTION("IFERROR(VLOOKUP(E917&amp;F917,IMPORTRANGE(""https://docs.google.com/spreadsheets/d/1Uw7-A9f9R21vMXxHZFNpYNeKFtG8_yji4HS352LGlSQ/edit?pli=1#gid=0"",""1_ACUM!A4:S""),14,FALSE))"),"")</f>
        <v/>
      </c>
      <c r="BA903" s="43" t="str">
        <f ca="1">IFERROR(__xludf.DUMMYFUNCTION("IFERROR(VLOOKUP(E917&amp;F917,IMPORTRANGE(""https://docs.google.com/spreadsheets/d/1Uw7-A9f9R21vMXxHZFNpYNeKFtG8_yji4HS352LGlSQ/edit?pli=1#gid=0"",""1_ACUM!A4:S""),15,FALSE))"),"")</f>
        <v/>
      </c>
      <c r="BB903" s="43" t="str">
        <f ca="1">IFERROR(__xludf.DUMMYFUNCTION("IFERROR(VLOOKUP(E917&amp;F917,IMPORTRANGE(""https://docs.google.com/spreadsheets/d/1Uw7-A9f9R21vMXxHZFNpYNeKFtG8_yji4HS352LGlSQ/edit?pli=1#gid=0"",""1_ACUM!A4:S""),16,FALSE))"),"")</f>
        <v/>
      </c>
      <c r="BC903" s="43" t="str">
        <f ca="1">IFERROR(__xludf.DUMMYFUNCTION("IFERROR(VLOOKUP(E917&amp;F917,IMPORTRANGE(""https://docs.google.com/spreadsheets/d/1Uw7-A9f9R21vMXxHZFNpYNeKFtG8_yji4HS352LGlSQ/edit?pli=1#gid=0"",""1_ACUM!A4:S""),17,FALSE))"),"")</f>
        <v/>
      </c>
      <c r="BD903" s="44" t="str">
        <f ca="1">IFERROR(__xludf.DUMMYFUNCTION("IFERROR(VLOOKUP(E917&amp;F917,IMPORTRANGE(""https://docs.google.com/spreadsheets/d/1Uw7-A9f9R21vMXxHZFNpYNeKFtG8_yji4HS352LGlSQ/edit?pli=1#gid=0"",""1_ACUM!A4:S""),18,FALSE))"),"")</f>
        <v/>
      </c>
      <c r="BE903" s="44" t="str">
        <f ca="1">IFERROR(__xludf.DUMMYFUNCTION("IFERROR(VLOOKUP(E917&amp;F917,IMPORTRANGE(""https://docs.google.com/spreadsheets/d/1Uw7-A9f9R21vMXxHZFNpYNeKFtG8_yji4HS352LGlSQ/edit?pli=1#gid=0"",""1_ACUM!A4:S""),19,FALSE))"),"")</f>
        <v/>
      </c>
      <c r="BF903" s="98" t="str">
        <f ca="1">IFERROR(__xludf.DUMMYFUNCTION("IFERROR(VLOOKUP(F917,IMPORTRANGE(""https://docs.google.com/spreadsheets/d/1Kvs4KS76FHFqLFIZfrDMff4kP08nblUkihrxltoGBjg/edit#gid=934712705"",""ESENCIAL!A6:BG""),5,FALSE))"),"")</f>
        <v/>
      </c>
      <c r="BG903" s="98" t="str">
        <f t="shared" si="25"/>
        <v/>
      </c>
      <c r="BH903" s="99" t="str">
        <f t="shared" si="26"/>
        <v/>
      </c>
      <c r="BI903" s="100" t="str">
        <f ca="1">IFERROR(__xludf.DUMMYFUNCTION("IFERROR(VLOOKUP(F917,IMPORTRANGE(""https://docs.google.com/spreadsheets/d/1Kvs4KS76FHFqLFIZfrDMff4kP08nblUkihrxltoGBjg/edit#gid=934712705"",""ESENCIAL!A6:BG""),2,FALSE))"),"")</f>
        <v/>
      </c>
      <c r="BJ903" s="19" t="str">
        <f t="shared" si="27"/>
        <v/>
      </c>
      <c r="BK903" s="100"/>
      <c r="BL903" s="100"/>
    </row>
    <row r="904" spans="1:64" ht="15">
      <c r="A904" s="5"/>
      <c r="B904" s="5"/>
      <c r="G904" s="5" t="str">
        <f ca="1">IFERROR(__xludf.DUMMYFUNCTION("IFERROR(VLOOKUP(F918,IMPORTRANGE(""https://docs.google.com/spreadsheets/d/1Kvs4KS76FHFqLFIZfrDMff4kP08nblUkihrxltoGBjg/edit#gid=934712705"",""ESENCIAL!A6:BG""),3,FALSE))"),"")</f>
        <v/>
      </c>
      <c r="H904" s="5" t="str">
        <f ca="1">IFERROR(__xludf.DUMMYFUNCTION("IFERROR(VLOOKUP(F918,IMPORTRANGE(""https://docs.google.com/spreadsheets/d/1Kvs4KS76FHFqLFIZfrDMff4kP08nblUkihrxltoGBjg/edit#gid=934712705"",""ESENCIAL!A6:BG""),8,FALSE))"),"")</f>
        <v/>
      </c>
      <c r="L904" s="287"/>
      <c r="U904" s="40"/>
      <c r="AU904" s="41" t="str">
        <f t="shared" si="24"/>
        <v/>
      </c>
      <c r="AV904" s="5" t="str">
        <f ca="1">IFERROR(__xludf.DUMMYFUNCTION("IFERROR(VLOOKUP(E918&amp;F918,IMPORTRANGE(""https://docs.google.com/spreadsheets/d/1Uw7-A9f9R21vMXxHZFNpYNeKFtG8_yji4HS352LGlSQ/edit?pli=1#gid=0"",""1_ACUM!A4:S""),11,FALSE))"),"")</f>
        <v/>
      </c>
      <c r="AW904" s="42" t="str">
        <f ca="1">IFERROR(__xludf.DUMMYFUNCTION("IFERROR(VLOOKUP(F918,IMPORTRANGE(""https://docs.google.com/spreadsheets/d/1Kvs4KS76FHFqLFIZfrDMff4kP08nblUkihrxltoGBjg/edit#gid=934712705"",""ESENCIAL!A6:BG""),15,FALSE))"),"")</f>
        <v/>
      </c>
      <c r="AX904" s="21" t="str">
        <f ca="1">IFERROR(__xludf.DUMMYFUNCTION("IFERROR(VLOOKUP(E918&amp;F918,IMPORTRANGE(""https://docs.google.com/spreadsheets/d/1Uw7-A9f9R21vMXxHZFNpYNeKFtG8_yji4HS352LGlSQ/edit?pli=1#gid=0"",""1_ACUM!A4:S""),12,FALSE))"),"")</f>
        <v/>
      </c>
      <c r="AY904" s="43" t="str">
        <f ca="1">IFERROR(__xludf.DUMMYFUNCTION("IFERROR(VLOOKUP(E918&amp;F918,IMPORTRANGE(""https://docs.google.com/spreadsheets/d/1Uw7-A9f9R21vMXxHZFNpYNeKFtG8_yji4HS352LGlSQ/edit?pli=1#gid=0"",""1_ACUM!A4:S""),13,FALSE))"),"")</f>
        <v/>
      </c>
      <c r="AZ904" s="43" t="str">
        <f ca="1">IFERROR(__xludf.DUMMYFUNCTION("IFERROR(VLOOKUP(E918&amp;F918,IMPORTRANGE(""https://docs.google.com/spreadsheets/d/1Uw7-A9f9R21vMXxHZFNpYNeKFtG8_yji4HS352LGlSQ/edit?pli=1#gid=0"",""1_ACUM!A4:S""),14,FALSE))"),"")</f>
        <v/>
      </c>
      <c r="BA904" s="43" t="str">
        <f ca="1">IFERROR(__xludf.DUMMYFUNCTION("IFERROR(VLOOKUP(E918&amp;F918,IMPORTRANGE(""https://docs.google.com/spreadsheets/d/1Uw7-A9f9R21vMXxHZFNpYNeKFtG8_yji4HS352LGlSQ/edit?pli=1#gid=0"",""1_ACUM!A4:S""),15,FALSE))"),"")</f>
        <v/>
      </c>
      <c r="BB904" s="43" t="str">
        <f ca="1">IFERROR(__xludf.DUMMYFUNCTION("IFERROR(VLOOKUP(E918&amp;F918,IMPORTRANGE(""https://docs.google.com/spreadsheets/d/1Uw7-A9f9R21vMXxHZFNpYNeKFtG8_yji4HS352LGlSQ/edit?pli=1#gid=0"",""1_ACUM!A4:S""),16,FALSE))"),"")</f>
        <v/>
      </c>
      <c r="BC904" s="43" t="str">
        <f ca="1">IFERROR(__xludf.DUMMYFUNCTION("IFERROR(VLOOKUP(E918&amp;F918,IMPORTRANGE(""https://docs.google.com/spreadsheets/d/1Uw7-A9f9R21vMXxHZFNpYNeKFtG8_yji4HS352LGlSQ/edit?pli=1#gid=0"",""1_ACUM!A4:S""),17,FALSE))"),"")</f>
        <v/>
      </c>
      <c r="BD904" s="44" t="str">
        <f ca="1">IFERROR(__xludf.DUMMYFUNCTION("IFERROR(VLOOKUP(E918&amp;F918,IMPORTRANGE(""https://docs.google.com/spreadsheets/d/1Uw7-A9f9R21vMXxHZFNpYNeKFtG8_yji4HS352LGlSQ/edit?pli=1#gid=0"",""1_ACUM!A4:S""),18,FALSE))"),"")</f>
        <v/>
      </c>
      <c r="BE904" s="44" t="str">
        <f ca="1">IFERROR(__xludf.DUMMYFUNCTION("IFERROR(VLOOKUP(E918&amp;F918,IMPORTRANGE(""https://docs.google.com/spreadsheets/d/1Uw7-A9f9R21vMXxHZFNpYNeKFtG8_yji4HS352LGlSQ/edit?pli=1#gid=0"",""1_ACUM!A4:S""),19,FALSE))"),"")</f>
        <v/>
      </c>
      <c r="BF904" s="98" t="str">
        <f ca="1">IFERROR(__xludf.DUMMYFUNCTION("IFERROR(VLOOKUP(F918,IMPORTRANGE(""https://docs.google.com/spreadsheets/d/1Kvs4KS76FHFqLFIZfrDMff4kP08nblUkihrxltoGBjg/edit#gid=934712705"",""ESENCIAL!A6:BG""),5,FALSE))"),"")</f>
        <v/>
      </c>
      <c r="BG904" s="98" t="str">
        <f t="shared" si="25"/>
        <v/>
      </c>
      <c r="BH904" s="99" t="str">
        <f t="shared" si="26"/>
        <v/>
      </c>
      <c r="BI904" s="100" t="str">
        <f ca="1">IFERROR(__xludf.DUMMYFUNCTION("IFERROR(VLOOKUP(F918,IMPORTRANGE(""https://docs.google.com/spreadsheets/d/1Kvs4KS76FHFqLFIZfrDMff4kP08nblUkihrxltoGBjg/edit#gid=934712705"",""ESENCIAL!A6:BG""),2,FALSE))"),"")</f>
        <v/>
      </c>
      <c r="BJ904" s="19" t="str">
        <f t="shared" si="27"/>
        <v/>
      </c>
      <c r="BK904" s="100"/>
      <c r="BL904" s="100"/>
    </row>
    <row r="905" spans="1:64" ht="15">
      <c r="A905" s="5"/>
      <c r="B905" s="5"/>
      <c r="G905" s="5" t="str">
        <f ca="1">IFERROR(__xludf.DUMMYFUNCTION("IFERROR(VLOOKUP(F919,IMPORTRANGE(""https://docs.google.com/spreadsheets/d/1Kvs4KS76FHFqLFIZfrDMff4kP08nblUkihrxltoGBjg/edit#gid=934712705"",""ESENCIAL!A6:BG""),3,FALSE))"),"")</f>
        <v/>
      </c>
      <c r="H905" s="5" t="str">
        <f ca="1">IFERROR(__xludf.DUMMYFUNCTION("IFERROR(VLOOKUP(F919,IMPORTRANGE(""https://docs.google.com/spreadsheets/d/1Kvs4KS76FHFqLFIZfrDMff4kP08nblUkihrxltoGBjg/edit#gid=934712705"",""ESENCIAL!A6:BG""),8,FALSE))"),"")</f>
        <v/>
      </c>
      <c r="L905" s="287"/>
      <c r="U905" s="40"/>
      <c r="AU905" s="41" t="str">
        <f t="shared" si="24"/>
        <v/>
      </c>
      <c r="AV905" s="5" t="str">
        <f ca="1">IFERROR(__xludf.DUMMYFUNCTION("IFERROR(VLOOKUP(E919&amp;F919,IMPORTRANGE(""https://docs.google.com/spreadsheets/d/1Uw7-A9f9R21vMXxHZFNpYNeKFtG8_yji4HS352LGlSQ/edit?pli=1#gid=0"",""1_ACUM!A4:S""),11,FALSE))"),"")</f>
        <v/>
      </c>
      <c r="AW905" s="42" t="str">
        <f ca="1">IFERROR(__xludf.DUMMYFUNCTION("IFERROR(VLOOKUP(F919,IMPORTRANGE(""https://docs.google.com/spreadsheets/d/1Kvs4KS76FHFqLFIZfrDMff4kP08nblUkihrxltoGBjg/edit#gid=934712705"",""ESENCIAL!A6:BG""),15,FALSE))"),"")</f>
        <v/>
      </c>
      <c r="AX905" s="21" t="str">
        <f ca="1">IFERROR(__xludf.DUMMYFUNCTION("IFERROR(VLOOKUP(E919&amp;F919,IMPORTRANGE(""https://docs.google.com/spreadsheets/d/1Uw7-A9f9R21vMXxHZFNpYNeKFtG8_yji4HS352LGlSQ/edit?pli=1#gid=0"",""1_ACUM!A4:S""),12,FALSE))"),"")</f>
        <v/>
      </c>
      <c r="AY905" s="43" t="str">
        <f ca="1">IFERROR(__xludf.DUMMYFUNCTION("IFERROR(VLOOKUP(E919&amp;F919,IMPORTRANGE(""https://docs.google.com/spreadsheets/d/1Uw7-A9f9R21vMXxHZFNpYNeKFtG8_yji4HS352LGlSQ/edit?pli=1#gid=0"",""1_ACUM!A4:S""),13,FALSE))"),"")</f>
        <v/>
      </c>
      <c r="AZ905" s="43" t="str">
        <f ca="1">IFERROR(__xludf.DUMMYFUNCTION("IFERROR(VLOOKUP(E919&amp;F919,IMPORTRANGE(""https://docs.google.com/spreadsheets/d/1Uw7-A9f9R21vMXxHZFNpYNeKFtG8_yji4HS352LGlSQ/edit?pli=1#gid=0"",""1_ACUM!A4:S""),14,FALSE))"),"")</f>
        <v/>
      </c>
      <c r="BA905" s="43" t="str">
        <f ca="1">IFERROR(__xludf.DUMMYFUNCTION("IFERROR(VLOOKUP(E919&amp;F919,IMPORTRANGE(""https://docs.google.com/spreadsheets/d/1Uw7-A9f9R21vMXxHZFNpYNeKFtG8_yji4HS352LGlSQ/edit?pli=1#gid=0"",""1_ACUM!A4:S""),15,FALSE))"),"")</f>
        <v/>
      </c>
      <c r="BB905" s="43" t="str">
        <f ca="1">IFERROR(__xludf.DUMMYFUNCTION("IFERROR(VLOOKUP(E919&amp;F919,IMPORTRANGE(""https://docs.google.com/spreadsheets/d/1Uw7-A9f9R21vMXxHZFNpYNeKFtG8_yji4HS352LGlSQ/edit?pli=1#gid=0"",""1_ACUM!A4:S""),16,FALSE))"),"")</f>
        <v/>
      </c>
      <c r="BC905" s="43" t="str">
        <f ca="1">IFERROR(__xludf.DUMMYFUNCTION("IFERROR(VLOOKUP(E919&amp;F919,IMPORTRANGE(""https://docs.google.com/spreadsheets/d/1Uw7-A9f9R21vMXxHZFNpYNeKFtG8_yji4HS352LGlSQ/edit?pli=1#gid=0"",""1_ACUM!A4:S""),17,FALSE))"),"")</f>
        <v/>
      </c>
      <c r="BD905" s="44" t="str">
        <f ca="1">IFERROR(__xludf.DUMMYFUNCTION("IFERROR(VLOOKUP(E919&amp;F919,IMPORTRANGE(""https://docs.google.com/spreadsheets/d/1Uw7-A9f9R21vMXxHZFNpYNeKFtG8_yji4HS352LGlSQ/edit?pli=1#gid=0"",""1_ACUM!A4:S""),18,FALSE))"),"")</f>
        <v/>
      </c>
      <c r="BE905" s="44" t="str">
        <f ca="1">IFERROR(__xludf.DUMMYFUNCTION("IFERROR(VLOOKUP(E919&amp;F919,IMPORTRANGE(""https://docs.google.com/spreadsheets/d/1Uw7-A9f9R21vMXxHZFNpYNeKFtG8_yji4HS352LGlSQ/edit?pli=1#gid=0"",""1_ACUM!A4:S""),19,FALSE))"),"")</f>
        <v/>
      </c>
      <c r="BF905" s="98" t="str">
        <f ca="1">IFERROR(__xludf.DUMMYFUNCTION("IFERROR(VLOOKUP(F919,IMPORTRANGE(""https://docs.google.com/spreadsheets/d/1Kvs4KS76FHFqLFIZfrDMff4kP08nblUkihrxltoGBjg/edit#gid=934712705"",""ESENCIAL!A6:BG""),5,FALSE))"),"")</f>
        <v/>
      </c>
      <c r="BG905" s="98" t="str">
        <f t="shared" si="25"/>
        <v/>
      </c>
      <c r="BH905" s="99" t="str">
        <f t="shared" si="26"/>
        <v/>
      </c>
      <c r="BI905" s="100" t="str">
        <f ca="1">IFERROR(__xludf.DUMMYFUNCTION("IFERROR(VLOOKUP(F919,IMPORTRANGE(""https://docs.google.com/spreadsheets/d/1Kvs4KS76FHFqLFIZfrDMff4kP08nblUkihrxltoGBjg/edit#gid=934712705"",""ESENCIAL!A6:BG""),2,FALSE))"),"")</f>
        <v/>
      </c>
      <c r="BJ905" s="19" t="str">
        <f t="shared" si="27"/>
        <v/>
      </c>
      <c r="BK905" s="100"/>
      <c r="BL905" s="100"/>
    </row>
    <row r="906" spans="1:64" ht="15">
      <c r="A906" s="5"/>
      <c r="B906" s="5"/>
      <c r="G906" s="5" t="str">
        <f ca="1">IFERROR(__xludf.DUMMYFUNCTION("IFERROR(VLOOKUP(F920,IMPORTRANGE(""https://docs.google.com/spreadsheets/d/1Kvs4KS76FHFqLFIZfrDMff4kP08nblUkihrxltoGBjg/edit#gid=934712705"",""ESENCIAL!A6:BG""),3,FALSE))"),"")</f>
        <v/>
      </c>
      <c r="H906" s="5" t="str">
        <f ca="1">IFERROR(__xludf.DUMMYFUNCTION("IFERROR(VLOOKUP(F920,IMPORTRANGE(""https://docs.google.com/spreadsheets/d/1Kvs4KS76FHFqLFIZfrDMff4kP08nblUkihrxltoGBjg/edit#gid=934712705"",""ESENCIAL!A6:BG""),8,FALSE))"),"")</f>
        <v/>
      </c>
      <c r="L906" s="287"/>
      <c r="U906" s="40"/>
      <c r="AU906" s="41" t="str">
        <f t="shared" si="24"/>
        <v/>
      </c>
      <c r="AV906" s="5" t="str">
        <f ca="1">IFERROR(__xludf.DUMMYFUNCTION("IFERROR(VLOOKUP(E920&amp;F920,IMPORTRANGE(""https://docs.google.com/spreadsheets/d/1Uw7-A9f9R21vMXxHZFNpYNeKFtG8_yji4HS352LGlSQ/edit?pli=1#gid=0"",""1_ACUM!A4:S""),11,FALSE))"),"")</f>
        <v/>
      </c>
      <c r="AW906" s="42" t="str">
        <f ca="1">IFERROR(__xludf.DUMMYFUNCTION("IFERROR(VLOOKUP(F920,IMPORTRANGE(""https://docs.google.com/spreadsheets/d/1Kvs4KS76FHFqLFIZfrDMff4kP08nblUkihrxltoGBjg/edit#gid=934712705"",""ESENCIAL!A6:BG""),15,FALSE))"),"")</f>
        <v/>
      </c>
      <c r="AX906" s="21" t="str">
        <f ca="1">IFERROR(__xludf.DUMMYFUNCTION("IFERROR(VLOOKUP(E920&amp;F920,IMPORTRANGE(""https://docs.google.com/spreadsheets/d/1Uw7-A9f9R21vMXxHZFNpYNeKFtG8_yji4HS352LGlSQ/edit?pli=1#gid=0"",""1_ACUM!A4:S""),12,FALSE))"),"")</f>
        <v/>
      </c>
      <c r="AY906" s="43" t="str">
        <f ca="1">IFERROR(__xludf.DUMMYFUNCTION("IFERROR(VLOOKUP(E920&amp;F920,IMPORTRANGE(""https://docs.google.com/spreadsheets/d/1Uw7-A9f9R21vMXxHZFNpYNeKFtG8_yji4HS352LGlSQ/edit?pli=1#gid=0"",""1_ACUM!A4:S""),13,FALSE))"),"")</f>
        <v/>
      </c>
      <c r="AZ906" s="43" t="str">
        <f ca="1">IFERROR(__xludf.DUMMYFUNCTION("IFERROR(VLOOKUP(E920&amp;F920,IMPORTRANGE(""https://docs.google.com/spreadsheets/d/1Uw7-A9f9R21vMXxHZFNpYNeKFtG8_yji4HS352LGlSQ/edit?pli=1#gid=0"",""1_ACUM!A4:S""),14,FALSE))"),"")</f>
        <v/>
      </c>
      <c r="BA906" s="43" t="str">
        <f ca="1">IFERROR(__xludf.DUMMYFUNCTION("IFERROR(VLOOKUP(E920&amp;F920,IMPORTRANGE(""https://docs.google.com/spreadsheets/d/1Uw7-A9f9R21vMXxHZFNpYNeKFtG8_yji4HS352LGlSQ/edit?pli=1#gid=0"",""1_ACUM!A4:S""),15,FALSE))"),"")</f>
        <v/>
      </c>
      <c r="BB906" s="43" t="str">
        <f ca="1">IFERROR(__xludf.DUMMYFUNCTION("IFERROR(VLOOKUP(E920&amp;F920,IMPORTRANGE(""https://docs.google.com/spreadsheets/d/1Uw7-A9f9R21vMXxHZFNpYNeKFtG8_yji4HS352LGlSQ/edit?pli=1#gid=0"",""1_ACUM!A4:S""),16,FALSE))"),"")</f>
        <v/>
      </c>
      <c r="BC906" s="43" t="str">
        <f ca="1">IFERROR(__xludf.DUMMYFUNCTION("IFERROR(VLOOKUP(E920&amp;F920,IMPORTRANGE(""https://docs.google.com/spreadsheets/d/1Uw7-A9f9R21vMXxHZFNpYNeKFtG8_yji4HS352LGlSQ/edit?pli=1#gid=0"",""1_ACUM!A4:S""),17,FALSE))"),"")</f>
        <v/>
      </c>
      <c r="BD906" s="44" t="str">
        <f ca="1">IFERROR(__xludf.DUMMYFUNCTION("IFERROR(VLOOKUP(E920&amp;F920,IMPORTRANGE(""https://docs.google.com/spreadsheets/d/1Uw7-A9f9R21vMXxHZFNpYNeKFtG8_yji4HS352LGlSQ/edit?pli=1#gid=0"",""1_ACUM!A4:S""),18,FALSE))"),"")</f>
        <v/>
      </c>
      <c r="BE906" s="44" t="str">
        <f ca="1">IFERROR(__xludf.DUMMYFUNCTION("IFERROR(VLOOKUP(E920&amp;F920,IMPORTRANGE(""https://docs.google.com/spreadsheets/d/1Uw7-A9f9R21vMXxHZFNpYNeKFtG8_yji4HS352LGlSQ/edit?pli=1#gid=0"",""1_ACUM!A4:S""),19,FALSE))"),"")</f>
        <v/>
      </c>
      <c r="BF906" s="98" t="str">
        <f ca="1">IFERROR(__xludf.DUMMYFUNCTION("IFERROR(VLOOKUP(F920,IMPORTRANGE(""https://docs.google.com/spreadsheets/d/1Kvs4KS76FHFqLFIZfrDMff4kP08nblUkihrxltoGBjg/edit#gid=934712705"",""ESENCIAL!A6:BG""),5,FALSE))"),"")</f>
        <v/>
      </c>
      <c r="BG906" s="98" t="str">
        <f t="shared" si="25"/>
        <v/>
      </c>
      <c r="BH906" s="99" t="str">
        <f t="shared" si="26"/>
        <v/>
      </c>
      <c r="BI906" s="100" t="str">
        <f ca="1">IFERROR(__xludf.DUMMYFUNCTION("IFERROR(VLOOKUP(F920,IMPORTRANGE(""https://docs.google.com/spreadsheets/d/1Kvs4KS76FHFqLFIZfrDMff4kP08nblUkihrxltoGBjg/edit#gid=934712705"",""ESENCIAL!A6:BG""),2,FALSE))"),"")</f>
        <v/>
      </c>
      <c r="BJ906" s="19" t="str">
        <f t="shared" si="27"/>
        <v/>
      </c>
      <c r="BK906" s="100"/>
      <c r="BL906" s="100"/>
    </row>
    <row r="907" spans="1:64" ht="15">
      <c r="A907" s="5"/>
      <c r="B907" s="5"/>
      <c r="G907" s="5" t="str">
        <f ca="1">IFERROR(__xludf.DUMMYFUNCTION("IFERROR(VLOOKUP(F921,IMPORTRANGE(""https://docs.google.com/spreadsheets/d/1Kvs4KS76FHFqLFIZfrDMff4kP08nblUkihrxltoGBjg/edit#gid=934712705"",""ESENCIAL!A6:BG""),3,FALSE))"),"")</f>
        <v/>
      </c>
      <c r="H907" s="5" t="str">
        <f ca="1">IFERROR(__xludf.DUMMYFUNCTION("IFERROR(VLOOKUP(F921,IMPORTRANGE(""https://docs.google.com/spreadsheets/d/1Kvs4KS76FHFqLFIZfrDMff4kP08nblUkihrxltoGBjg/edit#gid=934712705"",""ESENCIAL!A6:BG""),8,FALSE))"),"")</f>
        <v/>
      </c>
      <c r="L907" s="287"/>
      <c r="U907" s="40"/>
      <c r="AU907" s="41" t="str">
        <f t="shared" si="24"/>
        <v/>
      </c>
      <c r="AV907" s="5" t="str">
        <f ca="1">IFERROR(__xludf.DUMMYFUNCTION("IFERROR(VLOOKUP(E921&amp;F921,IMPORTRANGE(""https://docs.google.com/spreadsheets/d/1Uw7-A9f9R21vMXxHZFNpYNeKFtG8_yji4HS352LGlSQ/edit?pli=1#gid=0"",""1_ACUM!A4:S""),11,FALSE))"),"")</f>
        <v/>
      </c>
      <c r="AW907" s="42" t="str">
        <f ca="1">IFERROR(__xludf.DUMMYFUNCTION("IFERROR(VLOOKUP(F921,IMPORTRANGE(""https://docs.google.com/spreadsheets/d/1Kvs4KS76FHFqLFIZfrDMff4kP08nblUkihrxltoGBjg/edit#gid=934712705"",""ESENCIAL!A6:BG""),15,FALSE))"),"")</f>
        <v/>
      </c>
      <c r="AX907" s="21" t="str">
        <f ca="1">IFERROR(__xludf.DUMMYFUNCTION("IFERROR(VLOOKUP(E921&amp;F921,IMPORTRANGE(""https://docs.google.com/spreadsheets/d/1Uw7-A9f9R21vMXxHZFNpYNeKFtG8_yji4HS352LGlSQ/edit?pli=1#gid=0"",""1_ACUM!A4:S""),12,FALSE))"),"")</f>
        <v/>
      </c>
      <c r="AY907" s="43" t="str">
        <f ca="1">IFERROR(__xludf.DUMMYFUNCTION("IFERROR(VLOOKUP(E921&amp;F921,IMPORTRANGE(""https://docs.google.com/spreadsheets/d/1Uw7-A9f9R21vMXxHZFNpYNeKFtG8_yji4HS352LGlSQ/edit?pli=1#gid=0"",""1_ACUM!A4:S""),13,FALSE))"),"")</f>
        <v/>
      </c>
      <c r="AZ907" s="43" t="str">
        <f ca="1">IFERROR(__xludf.DUMMYFUNCTION("IFERROR(VLOOKUP(E921&amp;F921,IMPORTRANGE(""https://docs.google.com/spreadsheets/d/1Uw7-A9f9R21vMXxHZFNpYNeKFtG8_yji4HS352LGlSQ/edit?pli=1#gid=0"",""1_ACUM!A4:S""),14,FALSE))"),"")</f>
        <v/>
      </c>
      <c r="BA907" s="43" t="str">
        <f ca="1">IFERROR(__xludf.DUMMYFUNCTION("IFERROR(VLOOKUP(E921&amp;F921,IMPORTRANGE(""https://docs.google.com/spreadsheets/d/1Uw7-A9f9R21vMXxHZFNpYNeKFtG8_yji4HS352LGlSQ/edit?pli=1#gid=0"",""1_ACUM!A4:S""),15,FALSE))"),"")</f>
        <v/>
      </c>
      <c r="BB907" s="43" t="str">
        <f ca="1">IFERROR(__xludf.DUMMYFUNCTION("IFERROR(VLOOKUP(E921&amp;F921,IMPORTRANGE(""https://docs.google.com/spreadsheets/d/1Uw7-A9f9R21vMXxHZFNpYNeKFtG8_yji4HS352LGlSQ/edit?pli=1#gid=0"",""1_ACUM!A4:S""),16,FALSE))"),"")</f>
        <v/>
      </c>
      <c r="BC907" s="43" t="str">
        <f ca="1">IFERROR(__xludf.DUMMYFUNCTION("IFERROR(VLOOKUP(E921&amp;F921,IMPORTRANGE(""https://docs.google.com/spreadsheets/d/1Uw7-A9f9R21vMXxHZFNpYNeKFtG8_yji4HS352LGlSQ/edit?pli=1#gid=0"",""1_ACUM!A4:S""),17,FALSE))"),"")</f>
        <v/>
      </c>
      <c r="BD907" s="44" t="str">
        <f ca="1">IFERROR(__xludf.DUMMYFUNCTION("IFERROR(VLOOKUP(E921&amp;F921,IMPORTRANGE(""https://docs.google.com/spreadsheets/d/1Uw7-A9f9R21vMXxHZFNpYNeKFtG8_yji4HS352LGlSQ/edit?pli=1#gid=0"",""1_ACUM!A4:S""),18,FALSE))"),"")</f>
        <v/>
      </c>
      <c r="BE907" s="44" t="str">
        <f ca="1">IFERROR(__xludf.DUMMYFUNCTION("IFERROR(VLOOKUP(E921&amp;F921,IMPORTRANGE(""https://docs.google.com/spreadsheets/d/1Uw7-A9f9R21vMXxHZFNpYNeKFtG8_yji4HS352LGlSQ/edit?pli=1#gid=0"",""1_ACUM!A4:S""),19,FALSE))"),"")</f>
        <v/>
      </c>
      <c r="BF907" s="98" t="str">
        <f ca="1">IFERROR(__xludf.DUMMYFUNCTION("IFERROR(VLOOKUP(F921,IMPORTRANGE(""https://docs.google.com/spreadsheets/d/1Kvs4KS76FHFqLFIZfrDMff4kP08nblUkihrxltoGBjg/edit#gid=934712705"",""ESENCIAL!A6:BG""),5,FALSE))"),"")</f>
        <v/>
      </c>
      <c r="BG907" s="98" t="str">
        <f t="shared" si="25"/>
        <v/>
      </c>
      <c r="BH907" s="99" t="str">
        <f t="shared" si="26"/>
        <v/>
      </c>
      <c r="BI907" s="100" t="str">
        <f ca="1">IFERROR(__xludf.DUMMYFUNCTION("IFERROR(VLOOKUP(F921,IMPORTRANGE(""https://docs.google.com/spreadsheets/d/1Kvs4KS76FHFqLFIZfrDMff4kP08nblUkihrxltoGBjg/edit#gid=934712705"",""ESENCIAL!A6:BG""),2,FALSE))"),"")</f>
        <v/>
      </c>
      <c r="BJ907" s="19" t="str">
        <f t="shared" si="27"/>
        <v/>
      </c>
      <c r="BK907" s="100"/>
      <c r="BL907" s="100"/>
    </row>
    <row r="908" spans="1:64" ht="15">
      <c r="A908" s="5"/>
      <c r="B908" s="5"/>
      <c r="G908" s="5" t="str">
        <f ca="1">IFERROR(__xludf.DUMMYFUNCTION("IFERROR(VLOOKUP(F922,IMPORTRANGE(""https://docs.google.com/spreadsheets/d/1Kvs4KS76FHFqLFIZfrDMff4kP08nblUkihrxltoGBjg/edit#gid=934712705"",""ESENCIAL!A6:BG""),3,FALSE))"),"")</f>
        <v/>
      </c>
      <c r="H908" s="5" t="str">
        <f ca="1">IFERROR(__xludf.DUMMYFUNCTION("IFERROR(VLOOKUP(F922,IMPORTRANGE(""https://docs.google.com/spreadsheets/d/1Kvs4KS76FHFqLFIZfrDMff4kP08nblUkihrxltoGBjg/edit#gid=934712705"",""ESENCIAL!A6:BG""),8,FALSE))"),"")</f>
        <v/>
      </c>
      <c r="L908" s="287"/>
      <c r="U908" s="40"/>
      <c r="AU908" s="41" t="str">
        <f t="shared" si="24"/>
        <v/>
      </c>
      <c r="AV908" s="5" t="str">
        <f ca="1">IFERROR(__xludf.DUMMYFUNCTION("IFERROR(VLOOKUP(E922&amp;F922,IMPORTRANGE(""https://docs.google.com/spreadsheets/d/1Uw7-A9f9R21vMXxHZFNpYNeKFtG8_yji4HS352LGlSQ/edit?pli=1#gid=0"",""1_ACUM!A4:S""),11,FALSE))"),"")</f>
        <v/>
      </c>
      <c r="AW908" s="42" t="str">
        <f ca="1">IFERROR(__xludf.DUMMYFUNCTION("IFERROR(VLOOKUP(F922,IMPORTRANGE(""https://docs.google.com/spreadsheets/d/1Kvs4KS76FHFqLFIZfrDMff4kP08nblUkihrxltoGBjg/edit#gid=934712705"",""ESENCIAL!A6:BG""),15,FALSE))"),"")</f>
        <v/>
      </c>
      <c r="AX908" s="21" t="str">
        <f ca="1">IFERROR(__xludf.DUMMYFUNCTION("IFERROR(VLOOKUP(E922&amp;F922,IMPORTRANGE(""https://docs.google.com/spreadsheets/d/1Uw7-A9f9R21vMXxHZFNpYNeKFtG8_yji4HS352LGlSQ/edit?pli=1#gid=0"",""1_ACUM!A4:S""),12,FALSE))"),"")</f>
        <v/>
      </c>
      <c r="AY908" s="43" t="str">
        <f ca="1">IFERROR(__xludf.DUMMYFUNCTION("IFERROR(VLOOKUP(E922&amp;F922,IMPORTRANGE(""https://docs.google.com/spreadsheets/d/1Uw7-A9f9R21vMXxHZFNpYNeKFtG8_yji4HS352LGlSQ/edit?pli=1#gid=0"",""1_ACUM!A4:S""),13,FALSE))"),"")</f>
        <v/>
      </c>
      <c r="AZ908" s="43" t="str">
        <f ca="1">IFERROR(__xludf.DUMMYFUNCTION("IFERROR(VLOOKUP(E922&amp;F922,IMPORTRANGE(""https://docs.google.com/spreadsheets/d/1Uw7-A9f9R21vMXxHZFNpYNeKFtG8_yji4HS352LGlSQ/edit?pli=1#gid=0"",""1_ACUM!A4:S""),14,FALSE))"),"")</f>
        <v/>
      </c>
      <c r="BA908" s="43" t="str">
        <f ca="1">IFERROR(__xludf.DUMMYFUNCTION("IFERROR(VLOOKUP(E922&amp;F922,IMPORTRANGE(""https://docs.google.com/spreadsheets/d/1Uw7-A9f9R21vMXxHZFNpYNeKFtG8_yji4HS352LGlSQ/edit?pli=1#gid=0"",""1_ACUM!A4:S""),15,FALSE))"),"")</f>
        <v/>
      </c>
      <c r="BB908" s="43" t="str">
        <f ca="1">IFERROR(__xludf.DUMMYFUNCTION("IFERROR(VLOOKUP(E922&amp;F922,IMPORTRANGE(""https://docs.google.com/spreadsheets/d/1Uw7-A9f9R21vMXxHZFNpYNeKFtG8_yji4HS352LGlSQ/edit?pli=1#gid=0"",""1_ACUM!A4:S""),16,FALSE))"),"")</f>
        <v/>
      </c>
      <c r="BC908" s="43" t="str">
        <f ca="1">IFERROR(__xludf.DUMMYFUNCTION("IFERROR(VLOOKUP(E922&amp;F922,IMPORTRANGE(""https://docs.google.com/spreadsheets/d/1Uw7-A9f9R21vMXxHZFNpYNeKFtG8_yji4HS352LGlSQ/edit?pli=1#gid=0"",""1_ACUM!A4:S""),17,FALSE))"),"")</f>
        <v/>
      </c>
      <c r="BD908" s="44" t="str">
        <f ca="1">IFERROR(__xludf.DUMMYFUNCTION("IFERROR(VLOOKUP(E922&amp;F922,IMPORTRANGE(""https://docs.google.com/spreadsheets/d/1Uw7-A9f9R21vMXxHZFNpYNeKFtG8_yji4HS352LGlSQ/edit?pli=1#gid=0"",""1_ACUM!A4:S""),18,FALSE))"),"")</f>
        <v/>
      </c>
      <c r="BE908" s="44" t="str">
        <f ca="1">IFERROR(__xludf.DUMMYFUNCTION("IFERROR(VLOOKUP(E922&amp;F922,IMPORTRANGE(""https://docs.google.com/spreadsheets/d/1Uw7-A9f9R21vMXxHZFNpYNeKFtG8_yji4HS352LGlSQ/edit?pli=1#gid=0"",""1_ACUM!A4:S""),19,FALSE))"),"")</f>
        <v/>
      </c>
      <c r="BF908" s="98" t="str">
        <f ca="1">IFERROR(__xludf.DUMMYFUNCTION("IFERROR(VLOOKUP(F922,IMPORTRANGE(""https://docs.google.com/spreadsheets/d/1Kvs4KS76FHFqLFIZfrDMff4kP08nblUkihrxltoGBjg/edit#gid=934712705"",""ESENCIAL!A6:BG""),5,FALSE))"),"")</f>
        <v/>
      </c>
      <c r="BG908" s="98" t="str">
        <f t="shared" si="25"/>
        <v/>
      </c>
      <c r="BH908" s="99" t="str">
        <f t="shared" si="26"/>
        <v/>
      </c>
      <c r="BI908" s="100" t="str">
        <f ca="1">IFERROR(__xludf.DUMMYFUNCTION("IFERROR(VLOOKUP(F922,IMPORTRANGE(""https://docs.google.com/spreadsheets/d/1Kvs4KS76FHFqLFIZfrDMff4kP08nblUkihrxltoGBjg/edit#gid=934712705"",""ESENCIAL!A6:BG""),2,FALSE))"),"")</f>
        <v/>
      </c>
      <c r="BJ908" s="19" t="str">
        <f t="shared" si="27"/>
        <v/>
      </c>
      <c r="BK908" s="100"/>
      <c r="BL908" s="100"/>
    </row>
    <row r="909" spans="1:64" ht="15">
      <c r="A909" s="5"/>
      <c r="B909" s="5"/>
      <c r="G909" s="5" t="str">
        <f ca="1">IFERROR(__xludf.DUMMYFUNCTION("IFERROR(VLOOKUP(F923,IMPORTRANGE(""https://docs.google.com/spreadsheets/d/1Kvs4KS76FHFqLFIZfrDMff4kP08nblUkihrxltoGBjg/edit#gid=934712705"",""ESENCIAL!A6:BG""),3,FALSE))"),"")</f>
        <v/>
      </c>
      <c r="H909" s="5" t="str">
        <f ca="1">IFERROR(__xludf.DUMMYFUNCTION("IFERROR(VLOOKUP(F923,IMPORTRANGE(""https://docs.google.com/spreadsheets/d/1Kvs4KS76FHFqLFIZfrDMff4kP08nblUkihrxltoGBjg/edit#gid=934712705"",""ESENCIAL!A6:BG""),8,FALSE))"),"")</f>
        <v/>
      </c>
      <c r="L909" s="287"/>
      <c r="U909" s="40"/>
      <c r="AU909" s="41" t="str">
        <f t="shared" si="24"/>
        <v/>
      </c>
      <c r="AV909" s="5" t="str">
        <f ca="1">IFERROR(__xludf.DUMMYFUNCTION("IFERROR(VLOOKUP(E923&amp;F923,IMPORTRANGE(""https://docs.google.com/spreadsheets/d/1Uw7-A9f9R21vMXxHZFNpYNeKFtG8_yji4HS352LGlSQ/edit?pli=1#gid=0"",""1_ACUM!A4:S""),11,FALSE))"),"")</f>
        <v/>
      </c>
      <c r="AW909" s="42" t="str">
        <f ca="1">IFERROR(__xludf.DUMMYFUNCTION("IFERROR(VLOOKUP(F923,IMPORTRANGE(""https://docs.google.com/spreadsheets/d/1Kvs4KS76FHFqLFIZfrDMff4kP08nblUkihrxltoGBjg/edit#gid=934712705"",""ESENCIAL!A6:BG""),15,FALSE))"),"")</f>
        <v/>
      </c>
      <c r="AX909" s="21" t="str">
        <f ca="1">IFERROR(__xludf.DUMMYFUNCTION("IFERROR(VLOOKUP(E923&amp;F923,IMPORTRANGE(""https://docs.google.com/spreadsheets/d/1Uw7-A9f9R21vMXxHZFNpYNeKFtG8_yji4HS352LGlSQ/edit?pli=1#gid=0"",""1_ACUM!A4:S""),12,FALSE))"),"")</f>
        <v/>
      </c>
      <c r="AY909" s="43" t="str">
        <f ca="1">IFERROR(__xludf.DUMMYFUNCTION("IFERROR(VLOOKUP(E923&amp;F923,IMPORTRANGE(""https://docs.google.com/spreadsheets/d/1Uw7-A9f9R21vMXxHZFNpYNeKFtG8_yji4HS352LGlSQ/edit?pli=1#gid=0"",""1_ACUM!A4:S""),13,FALSE))"),"")</f>
        <v/>
      </c>
      <c r="AZ909" s="43" t="str">
        <f ca="1">IFERROR(__xludf.DUMMYFUNCTION("IFERROR(VLOOKUP(E923&amp;F923,IMPORTRANGE(""https://docs.google.com/spreadsheets/d/1Uw7-A9f9R21vMXxHZFNpYNeKFtG8_yji4HS352LGlSQ/edit?pli=1#gid=0"",""1_ACUM!A4:S""),14,FALSE))"),"")</f>
        <v/>
      </c>
      <c r="BA909" s="43" t="str">
        <f ca="1">IFERROR(__xludf.DUMMYFUNCTION("IFERROR(VLOOKUP(E923&amp;F923,IMPORTRANGE(""https://docs.google.com/spreadsheets/d/1Uw7-A9f9R21vMXxHZFNpYNeKFtG8_yji4HS352LGlSQ/edit?pli=1#gid=0"",""1_ACUM!A4:S""),15,FALSE))"),"")</f>
        <v/>
      </c>
      <c r="BB909" s="43" t="str">
        <f ca="1">IFERROR(__xludf.DUMMYFUNCTION("IFERROR(VLOOKUP(E923&amp;F923,IMPORTRANGE(""https://docs.google.com/spreadsheets/d/1Uw7-A9f9R21vMXxHZFNpYNeKFtG8_yji4HS352LGlSQ/edit?pli=1#gid=0"",""1_ACUM!A4:S""),16,FALSE))"),"")</f>
        <v/>
      </c>
      <c r="BC909" s="43" t="str">
        <f ca="1">IFERROR(__xludf.DUMMYFUNCTION("IFERROR(VLOOKUP(E923&amp;F923,IMPORTRANGE(""https://docs.google.com/spreadsheets/d/1Uw7-A9f9R21vMXxHZFNpYNeKFtG8_yji4HS352LGlSQ/edit?pli=1#gid=0"",""1_ACUM!A4:S""),17,FALSE))"),"")</f>
        <v/>
      </c>
      <c r="BD909" s="44" t="str">
        <f ca="1">IFERROR(__xludf.DUMMYFUNCTION("IFERROR(VLOOKUP(E923&amp;F923,IMPORTRANGE(""https://docs.google.com/spreadsheets/d/1Uw7-A9f9R21vMXxHZFNpYNeKFtG8_yji4HS352LGlSQ/edit?pli=1#gid=0"",""1_ACUM!A4:S""),18,FALSE))"),"")</f>
        <v/>
      </c>
      <c r="BE909" s="44" t="str">
        <f ca="1">IFERROR(__xludf.DUMMYFUNCTION("IFERROR(VLOOKUP(E923&amp;F923,IMPORTRANGE(""https://docs.google.com/spreadsheets/d/1Uw7-A9f9R21vMXxHZFNpYNeKFtG8_yji4HS352LGlSQ/edit?pli=1#gid=0"",""1_ACUM!A4:S""),19,FALSE))"),"")</f>
        <v/>
      </c>
      <c r="BF909" s="98" t="str">
        <f ca="1">IFERROR(__xludf.DUMMYFUNCTION("IFERROR(VLOOKUP(F923,IMPORTRANGE(""https://docs.google.com/spreadsheets/d/1Kvs4KS76FHFqLFIZfrDMff4kP08nblUkihrxltoGBjg/edit#gid=934712705"",""ESENCIAL!A6:BG""),5,FALSE))"),"")</f>
        <v/>
      </c>
      <c r="BG909" s="98" t="str">
        <f t="shared" si="25"/>
        <v/>
      </c>
      <c r="BH909" s="99" t="str">
        <f t="shared" si="26"/>
        <v/>
      </c>
      <c r="BI909" s="100" t="str">
        <f ca="1">IFERROR(__xludf.DUMMYFUNCTION("IFERROR(VLOOKUP(F923,IMPORTRANGE(""https://docs.google.com/spreadsheets/d/1Kvs4KS76FHFqLFIZfrDMff4kP08nblUkihrxltoGBjg/edit#gid=934712705"",""ESENCIAL!A6:BG""),2,FALSE))"),"")</f>
        <v/>
      </c>
      <c r="BJ909" s="19" t="str">
        <f t="shared" si="27"/>
        <v/>
      </c>
      <c r="BK909" s="100"/>
      <c r="BL909" s="100"/>
    </row>
    <row r="910" spans="1:64" ht="15">
      <c r="A910" s="5"/>
      <c r="B910" s="5"/>
      <c r="G910" s="5" t="str">
        <f ca="1">IFERROR(__xludf.DUMMYFUNCTION("IFERROR(VLOOKUP(F924,IMPORTRANGE(""https://docs.google.com/spreadsheets/d/1Kvs4KS76FHFqLFIZfrDMff4kP08nblUkihrxltoGBjg/edit#gid=934712705"",""ESENCIAL!A6:BG""),3,FALSE))"),"")</f>
        <v/>
      </c>
      <c r="H910" s="5" t="str">
        <f ca="1">IFERROR(__xludf.DUMMYFUNCTION("IFERROR(VLOOKUP(F924,IMPORTRANGE(""https://docs.google.com/spreadsheets/d/1Kvs4KS76FHFqLFIZfrDMff4kP08nblUkihrxltoGBjg/edit#gid=934712705"",""ESENCIAL!A6:BG""),8,FALSE))"),"")</f>
        <v/>
      </c>
      <c r="L910" s="287"/>
      <c r="U910" s="40"/>
      <c r="AU910" s="41" t="str">
        <f t="shared" si="24"/>
        <v/>
      </c>
      <c r="AV910" s="5" t="str">
        <f ca="1">IFERROR(__xludf.DUMMYFUNCTION("IFERROR(VLOOKUP(E924&amp;F924,IMPORTRANGE(""https://docs.google.com/spreadsheets/d/1Uw7-A9f9R21vMXxHZFNpYNeKFtG8_yji4HS352LGlSQ/edit?pli=1#gid=0"",""1_ACUM!A4:S""),11,FALSE))"),"")</f>
        <v/>
      </c>
      <c r="AW910" s="42" t="str">
        <f ca="1">IFERROR(__xludf.DUMMYFUNCTION("IFERROR(VLOOKUP(F924,IMPORTRANGE(""https://docs.google.com/spreadsheets/d/1Kvs4KS76FHFqLFIZfrDMff4kP08nblUkihrxltoGBjg/edit#gid=934712705"",""ESENCIAL!A6:BG""),15,FALSE))"),"")</f>
        <v/>
      </c>
      <c r="AX910" s="21" t="str">
        <f ca="1">IFERROR(__xludf.DUMMYFUNCTION("IFERROR(VLOOKUP(E924&amp;F924,IMPORTRANGE(""https://docs.google.com/spreadsheets/d/1Uw7-A9f9R21vMXxHZFNpYNeKFtG8_yji4HS352LGlSQ/edit?pli=1#gid=0"",""1_ACUM!A4:S""),12,FALSE))"),"")</f>
        <v/>
      </c>
      <c r="AY910" s="43" t="str">
        <f ca="1">IFERROR(__xludf.DUMMYFUNCTION("IFERROR(VLOOKUP(E924&amp;F924,IMPORTRANGE(""https://docs.google.com/spreadsheets/d/1Uw7-A9f9R21vMXxHZFNpYNeKFtG8_yji4HS352LGlSQ/edit?pli=1#gid=0"",""1_ACUM!A4:S""),13,FALSE))"),"")</f>
        <v/>
      </c>
      <c r="AZ910" s="43" t="str">
        <f ca="1">IFERROR(__xludf.DUMMYFUNCTION("IFERROR(VLOOKUP(E924&amp;F924,IMPORTRANGE(""https://docs.google.com/spreadsheets/d/1Uw7-A9f9R21vMXxHZFNpYNeKFtG8_yji4HS352LGlSQ/edit?pli=1#gid=0"",""1_ACUM!A4:S""),14,FALSE))"),"")</f>
        <v/>
      </c>
      <c r="BA910" s="43" t="str">
        <f ca="1">IFERROR(__xludf.DUMMYFUNCTION("IFERROR(VLOOKUP(E924&amp;F924,IMPORTRANGE(""https://docs.google.com/spreadsheets/d/1Uw7-A9f9R21vMXxHZFNpYNeKFtG8_yji4HS352LGlSQ/edit?pli=1#gid=0"",""1_ACUM!A4:S""),15,FALSE))"),"")</f>
        <v/>
      </c>
      <c r="BB910" s="43" t="str">
        <f ca="1">IFERROR(__xludf.DUMMYFUNCTION("IFERROR(VLOOKUP(E924&amp;F924,IMPORTRANGE(""https://docs.google.com/spreadsheets/d/1Uw7-A9f9R21vMXxHZFNpYNeKFtG8_yji4HS352LGlSQ/edit?pli=1#gid=0"",""1_ACUM!A4:S""),16,FALSE))"),"")</f>
        <v/>
      </c>
      <c r="BC910" s="43" t="str">
        <f ca="1">IFERROR(__xludf.DUMMYFUNCTION("IFERROR(VLOOKUP(E924&amp;F924,IMPORTRANGE(""https://docs.google.com/spreadsheets/d/1Uw7-A9f9R21vMXxHZFNpYNeKFtG8_yji4HS352LGlSQ/edit?pli=1#gid=0"",""1_ACUM!A4:S""),17,FALSE))"),"")</f>
        <v/>
      </c>
      <c r="BD910" s="44" t="str">
        <f ca="1">IFERROR(__xludf.DUMMYFUNCTION("IFERROR(VLOOKUP(E924&amp;F924,IMPORTRANGE(""https://docs.google.com/spreadsheets/d/1Uw7-A9f9R21vMXxHZFNpYNeKFtG8_yji4HS352LGlSQ/edit?pli=1#gid=0"",""1_ACUM!A4:S""),18,FALSE))"),"")</f>
        <v/>
      </c>
      <c r="BE910" s="44" t="str">
        <f ca="1">IFERROR(__xludf.DUMMYFUNCTION("IFERROR(VLOOKUP(E924&amp;F924,IMPORTRANGE(""https://docs.google.com/spreadsheets/d/1Uw7-A9f9R21vMXxHZFNpYNeKFtG8_yji4HS352LGlSQ/edit?pli=1#gid=0"",""1_ACUM!A4:S""),19,FALSE))"),"")</f>
        <v/>
      </c>
      <c r="BF910" s="98" t="str">
        <f ca="1">IFERROR(__xludf.DUMMYFUNCTION("IFERROR(VLOOKUP(F924,IMPORTRANGE(""https://docs.google.com/spreadsheets/d/1Kvs4KS76FHFqLFIZfrDMff4kP08nblUkihrxltoGBjg/edit#gid=934712705"",""ESENCIAL!A6:BG""),5,FALSE))"),"")</f>
        <v/>
      </c>
      <c r="BG910" s="98" t="str">
        <f t="shared" si="25"/>
        <v/>
      </c>
      <c r="BH910" s="99" t="str">
        <f t="shared" si="26"/>
        <v/>
      </c>
      <c r="BI910" s="100" t="str">
        <f ca="1">IFERROR(__xludf.DUMMYFUNCTION("IFERROR(VLOOKUP(F924,IMPORTRANGE(""https://docs.google.com/spreadsheets/d/1Kvs4KS76FHFqLFIZfrDMff4kP08nblUkihrxltoGBjg/edit#gid=934712705"",""ESENCIAL!A6:BG""),2,FALSE))"),"")</f>
        <v/>
      </c>
      <c r="BJ910" s="19" t="str">
        <f t="shared" si="27"/>
        <v/>
      </c>
      <c r="BK910" s="100"/>
      <c r="BL910" s="100"/>
    </row>
    <row r="911" spans="1:64" ht="15">
      <c r="A911" s="5"/>
      <c r="B911" s="5"/>
      <c r="G911" s="5" t="str">
        <f ca="1">IFERROR(__xludf.DUMMYFUNCTION("IFERROR(VLOOKUP(F925,IMPORTRANGE(""https://docs.google.com/spreadsheets/d/1Kvs4KS76FHFqLFIZfrDMff4kP08nblUkihrxltoGBjg/edit#gid=934712705"",""ESENCIAL!A6:BG""),3,FALSE))"),"")</f>
        <v/>
      </c>
      <c r="H911" s="5" t="str">
        <f ca="1">IFERROR(__xludf.DUMMYFUNCTION("IFERROR(VLOOKUP(F925,IMPORTRANGE(""https://docs.google.com/spreadsheets/d/1Kvs4KS76FHFqLFIZfrDMff4kP08nblUkihrxltoGBjg/edit#gid=934712705"",""ESENCIAL!A6:BG""),8,FALSE))"),"")</f>
        <v/>
      </c>
      <c r="L911" s="287"/>
      <c r="U911" s="40"/>
      <c r="AU911" s="41" t="str">
        <f t="shared" si="24"/>
        <v/>
      </c>
      <c r="AV911" s="5" t="str">
        <f ca="1">IFERROR(__xludf.DUMMYFUNCTION("IFERROR(VLOOKUP(E925&amp;F925,IMPORTRANGE(""https://docs.google.com/spreadsheets/d/1Uw7-A9f9R21vMXxHZFNpYNeKFtG8_yji4HS352LGlSQ/edit?pli=1#gid=0"",""1_ACUM!A4:S""),11,FALSE))"),"")</f>
        <v/>
      </c>
      <c r="AW911" s="42" t="str">
        <f ca="1">IFERROR(__xludf.DUMMYFUNCTION("IFERROR(VLOOKUP(F925,IMPORTRANGE(""https://docs.google.com/spreadsheets/d/1Kvs4KS76FHFqLFIZfrDMff4kP08nblUkihrxltoGBjg/edit#gid=934712705"",""ESENCIAL!A6:BG""),15,FALSE))"),"")</f>
        <v/>
      </c>
      <c r="AX911" s="21" t="str">
        <f ca="1">IFERROR(__xludf.DUMMYFUNCTION("IFERROR(VLOOKUP(E925&amp;F925,IMPORTRANGE(""https://docs.google.com/spreadsheets/d/1Uw7-A9f9R21vMXxHZFNpYNeKFtG8_yji4HS352LGlSQ/edit?pli=1#gid=0"",""1_ACUM!A4:S""),12,FALSE))"),"")</f>
        <v/>
      </c>
      <c r="AY911" s="43" t="str">
        <f ca="1">IFERROR(__xludf.DUMMYFUNCTION("IFERROR(VLOOKUP(E925&amp;F925,IMPORTRANGE(""https://docs.google.com/spreadsheets/d/1Uw7-A9f9R21vMXxHZFNpYNeKFtG8_yji4HS352LGlSQ/edit?pli=1#gid=0"",""1_ACUM!A4:S""),13,FALSE))"),"")</f>
        <v/>
      </c>
      <c r="AZ911" s="43" t="str">
        <f ca="1">IFERROR(__xludf.DUMMYFUNCTION("IFERROR(VLOOKUP(E925&amp;F925,IMPORTRANGE(""https://docs.google.com/spreadsheets/d/1Uw7-A9f9R21vMXxHZFNpYNeKFtG8_yji4HS352LGlSQ/edit?pli=1#gid=0"",""1_ACUM!A4:S""),14,FALSE))"),"")</f>
        <v/>
      </c>
      <c r="BA911" s="43" t="str">
        <f ca="1">IFERROR(__xludf.DUMMYFUNCTION("IFERROR(VLOOKUP(E925&amp;F925,IMPORTRANGE(""https://docs.google.com/spreadsheets/d/1Uw7-A9f9R21vMXxHZFNpYNeKFtG8_yji4HS352LGlSQ/edit?pli=1#gid=0"",""1_ACUM!A4:S""),15,FALSE))"),"")</f>
        <v/>
      </c>
      <c r="BB911" s="43" t="str">
        <f ca="1">IFERROR(__xludf.DUMMYFUNCTION("IFERROR(VLOOKUP(E925&amp;F925,IMPORTRANGE(""https://docs.google.com/spreadsheets/d/1Uw7-A9f9R21vMXxHZFNpYNeKFtG8_yji4HS352LGlSQ/edit?pli=1#gid=0"",""1_ACUM!A4:S""),16,FALSE))"),"")</f>
        <v/>
      </c>
      <c r="BC911" s="43" t="str">
        <f ca="1">IFERROR(__xludf.DUMMYFUNCTION("IFERROR(VLOOKUP(E925&amp;F925,IMPORTRANGE(""https://docs.google.com/spreadsheets/d/1Uw7-A9f9R21vMXxHZFNpYNeKFtG8_yji4HS352LGlSQ/edit?pli=1#gid=0"",""1_ACUM!A4:S""),17,FALSE))"),"")</f>
        <v/>
      </c>
      <c r="BD911" s="44" t="str">
        <f ca="1">IFERROR(__xludf.DUMMYFUNCTION("IFERROR(VLOOKUP(E925&amp;F925,IMPORTRANGE(""https://docs.google.com/spreadsheets/d/1Uw7-A9f9R21vMXxHZFNpYNeKFtG8_yji4HS352LGlSQ/edit?pli=1#gid=0"",""1_ACUM!A4:S""),18,FALSE))"),"")</f>
        <v/>
      </c>
      <c r="BE911" s="44" t="str">
        <f ca="1">IFERROR(__xludf.DUMMYFUNCTION("IFERROR(VLOOKUP(E925&amp;F925,IMPORTRANGE(""https://docs.google.com/spreadsheets/d/1Uw7-A9f9R21vMXxHZFNpYNeKFtG8_yji4HS352LGlSQ/edit?pli=1#gid=0"",""1_ACUM!A4:S""),19,FALSE))"),"")</f>
        <v/>
      </c>
      <c r="BF911" s="98" t="str">
        <f ca="1">IFERROR(__xludf.DUMMYFUNCTION("IFERROR(VLOOKUP(F925,IMPORTRANGE(""https://docs.google.com/spreadsheets/d/1Kvs4KS76FHFqLFIZfrDMff4kP08nblUkihrxltoGBjg/edit#gid=934712705"",""ESENCIAL!A6:BG""),5,FALSE))"),"")</f>
        <v/>
      </c>
      <c r="BG911" s="98" t="str">
        <f t="shared" si="25"/>
        <v/>
      </c>
      <c r="BH911" s="99" t="str">
        <f t="shared" si="26"/>
        <v/>
      </c>
      <c r="BI911" s="100" t="str">
        <f ca="1">IFERROR(__xludf.DUMMYFUNCTION("IFERROR(VLOOKUP(F925,IMPORTRANGE(""https://docs.google.com/spreadsheets/d/1Kvs4KS76FHFqLFIZfrDMff4kP08nblUkihrxltoGBjg/edit#gid=934712705"",""ESENCIAL!A6:BG""),2,FALSE))"),"")</f>
        <v/>
      </c>
      <c r="BJ911" s="19" t="str">
        <f t="shared" si="27"/>
        <v/>
      </c>
      <c r="BK911" s="100"/>
      <c r="BL911" s="100"/>
    </row>
    <row r="912" spans="1:64" ht="15">
      <c r="A912" s="5"/>
      <c r="B912" s="5"/>
      <c r="G912" s="5" t="str">
        <f ca="1">IFERROR(__xludf.DUMMYFUNCTION("IFERROR(VLOOKUP(F926,IMPORTRANGE(""https://docs.google.com/spreadsheets/d/1Kvs4KS76FHFqLFIZfrDMff4kP08nblUkihrxltoGBjg/edit#gid=934712705"",""ESENCIAL!A6:BG""),3,FALSE))"),"")</f>
        <v/>
      </c>
      <c r="H912" s="5" t="str">
        <f ca="1">IFERROR(__xludf.DUMMYFUNCTION("IFERROR(VLOOKUP(F926,IMPORTRANGE(""https://docs.google.com/spreadsheets/d/1Kvs4KS76FHFqLFIZfrDMff4kP08nblUkihrxltoGBjg/edit#gid=934712705"",""ESENCIAL!A6:BG""),8,FALSE))"),"")</f>
        <v/>
      </c>
      <c r="L912" s="287"/>
      <c r="U912" s="40"/>
      <c r="AU912" s="41" t="str">
        <f t="shared" si="24"/>
        <v/>
      </c>
      <c r="AV912" s="5" t="str">
        <f ca="1">IFERROR(__xludf.DUMMYFUNCTION("IFERROR(VLOOKUP(E926&amp;F926,IMPORTRANGE(""https://docs.google.com/spreadsheets/d/1Uw7-A9f9R21vMXxHZFNpYNeKFtG8_yji4HS352LGlSQ/edit?pli=1#gid=0"",""1_ACUM!A4:S""),11,FALSE))"),"")</f>
        <v/>
      </c>
      <c r="AW912" s="42" t="str">
        <f ca="1">IFERROR(__xludf.DUMMYFUNCTION("IFERROR(VLOOKUP(F926,IMPORTRANGE(""https://docs.google.com/spreadsheets/d/1Kvs4KS76FHFqLFIZfrDMff4kP08nblUkihrxltoGBjg/edit#gid=934712705"",""ESENCIAL!A6:BG""),15,FALSE))"),"")</f>
        <v/>
      </c>
      <c r="AX912" s="21" t="str">
        <f ca="1">IFERROR(__xludf.DUMMYFUNCTION("IFERROR(VLOOKUP(E926&amp;F926,IMPORTRANGE(""https://docs.google.com/spreadsheets/d/1Uw7-A9f9R21vMXxHZFNpYNeKFtG8_yji4HS352LGlSQ/edit?pli=1#gid=0"",""1_ACUM!A4:S""),12,FALSE))"),"")</f>
        <v/>
      </c>
      <c r="AY912" s="43" t="str">
        <f ca="1">IFERROR(__xludf.DUMMYFUNCTION("IFERROR(VLOOKUP(E926&amp;F926,IMPORTRANGE(""https://docs.google.com/spreadsheets/d/1Uw7-A9f9R21vMXxHZFNpYNeKFtG8_yji4HS352LGlSQ/edit?pli=1#gid=0"",""1_ACUM!A4:S""),13,FALSE))"),"")</f>
        <v/>
      </c>
      <c r="AZ912" s="43" t="str">
        <f ca="1">IFERROR(__xludf.DUMMYFUNCTION("IFERROR(VLOOKUP(E926&amp;F926,IMPORTRANGE(""https://docs.google.com/spreadsheets/d/1Uw7-A9f9R21vMXxHZFNpYNeKFtG8_yji4HS352LGlSQ/edit?pli=1#gid=0"",""1_ACUM!A4:S""),14,FALSE))"),"")</f>
        <v/>
      </c>
      <c r="BA912" s="43" t="str">
        <f ca="1">IFERROR(__xludf.DUMMYFUNCTION("IFERROR(VLOOKUP(E926&amp;F926,IMPORTRANGE(""https://docs.google.com/spreadsheets/d/1Uw7-A9f9R21vMXxHZFNpYNeKFtG8_yji4HS352LGlSQ/edit?pli=1#gid=0"",""1_ACUM!A4:S""),15,FALSE))"),"")</f>
        <v/>
      </c>
      <c r="BB912" s="43" t="str">
        <f ca="1">IFERROR(__xludf.DUMMYFUNCTION("IFERROR(VLOOKUP(E926&amp;F926,IMPORTRANGE(""https://docs.google.com/spreadsheets/d/1Uw7-A9f9R21vMXxHZFNpYNeKFtG8_yji4HS352LGlSQ/edit?pli=1#gid=0"",""1_ACUM!A4:S""),16,FALSE))"),"")</f>
        <v/>
      </c>
      <c r="BC912" s="43" t="str">
        <f ca="1">IFERROR(__xludf.DUMMYFUNCTION("IFERROR(VLOOKUP(E926&amp;F926,IMPORTRANGE(""https://docs.google.com/spreadsheets/d/1Uw7-A9f9R21vMXxHZFNpYNeKFtG8_yji4HS352LGlSQ/edit?pli=1#gid=0"",""1_ACUM!A4:S""),17,FALSE))"),"")</f>
        <v/>
      </c>
      <c r="BD912" s="44" t="str">
        <f ca="1">IFERROR(__xludf.DUMMYFUNCTION("IFERROR(VLOOKUP(E926&amp;F926,IMPORTRANGE(""https://docs.google.com/spreadsheets/d/1Uw7-A9f9R21vMXxHZFNpYNeKFtG8_yji4HS352LGlSQ/edit?pli=1#gid=0"",""1_ACUM!A4:S""),18,FALSE))"),"")</f>
        <v/>
      </c>
      <c r="BE912" s="44" t="str">
        <f ca="1">IFERROR(__xludf.DUMMYFUNCTION("IFERROR(VLOOKUP(E926&amp;F926,IMPORTRANGE(""https://docs.google.com/spreadsheets/d/1Uw7-A9f9R21vMXxHZFNpYNeKFtG8_yji4HS352LGlSQ/edit?pli=1#gid=0"",""1_ACUM!A4:S""),19,FALSE))"),"")</f>
        <v/>
      </c>
      <c r="BF912" s="98" t="str">
        <f ca="1">IFERROR(__xludf.DUMMYFUNCTION("IFERROR(VLOOKUP(F926,IMPORTRANGE(""https://docs.google.com/spreadsheets/d/1Kvs4KS76FHFqLFIZfrDMff4kP08nblUkihrxltoGBjg/edit#gid=934712705"",""ESENCIAL!A6:BG""),5,FALSE))"),"")</f>
        <v/>
      </c>
      <c r="BG912" s="98" t="str">
        <f t="shared" si="25"/>
        <v/>
      </c>
      <c r="BH912" s="99" t="str">
        <f t="shared" si="26"/>
        <v/>
      </c>
      <c r="BI912" s="100" t="str">
        <f ca="1">IFERROR(__xludf.DUMMYFUNCTION("IFERROR(VLOOKUP(F926,IMPORTRANGE(""https://docs.google.com/spreadsheets/d/1Kvs4KS76FHFqLFIZfrDMff4kP08nblUkihrxltoGBjg/edit#gid=934712705"",""ESENCIAL!A6:BG""),2,FALSE))"),"")</f>
        <v/>
      </c>
      <c r="BJ912" s="19" t="str">
        <f t="shared" si="27"/>
        <v/>
      </c>
      <c r="BK912" s="100"/>
      <c r="BL912" s="100"/>
    </row>
    <row r="913" spans="1:64" ht="15">
      <c r="A913" s="5"/>
      <c r="B913" s="5"/>
      <c r="G913" s="5" t="str">
        <f ca="1">IFERROR(__xludf.DUMMYFUNCTION("IFERROR(VLOOKUP(F927,IMPORTRANGE(""https://docs.google.com/spreadsheets/d/1Kvs4KS76FHFqLFIZfrDMff4kP08nblUkihrxltoGBjg/edit#gid=934712705"",""ESENCIAL!A6:BG""),3,FALSE))"),"")</f>
        <v/>
      </c>
      <c r="H913" s="5" t="str">
        <f ca="1">IFERROR(__xludf.DUMMYFUNCTION("IFERROR(VLOOKUP(F927,IMPORTRANGE(""https://docs.google.com/spreadsheets/d/1Kvs4KS76FHFqLFIZfrDMff4kP08nblUkihrxltoGBjg/edit#gid=934712705"",""ESENCIAL!A6:BG""),8,FALSE))"),"")</f>
        <v/>
      </c>
      <c r="L913" s="287"/>
      <c r="U913" s="40"/>
      <c r="AU913" s="41" t="str">
        <f t="shared" si="24"/>
        <v/>
      </c>
      <c r="AV913" s="5" t="str">
        <f ca="1">IFERROR(__xludf.DUMMYFUNCTION("IFERROR(VLOOKUP(E927&amp;F927,IMPORTRANGE(""https://docs.google.com/spreadsheets/d/1Uw7-A9f9R21vMXxHZFNpYNeKFtG8_yji4HS352LGlSQ/edit?pli=1#gid=0"",""1_ACUM!A4:S""),11,FALSE))"),"")</f>
        <v/>
      </c>
      <c r="AW913" s="42" t="str">
        <f ca="1">IFERROR(__xludf.DUMMYFUNCTION("IFERROR(VLOOKUP(F927,IMPORTRANGE(""https://docs.google.com/spreadsheets/d/1Kvs4KS76FHFqLFIZfrDMff4kP08nblUkihrxltoGBjg/edit#gid=934712705"",""ESENCIAL!A6:BG""),15,FALSE))"),"")</f>
        <v/>
      </c>
      <c r="AX913" s="21" t="str">
        <f ca="1">IFERROR(__xludf.DUMMYFUNCTION("IFERROR(VLOOKUP(E927&amp;F927,IMPORTRANGE(""https://docs.google.com/spreadsheets/d/1Uw7-A9f9R21vMXxHZFNpYNeKFtG8_yji4HS352LGlSQ/edit?pli=1#gid=0"",""1_ACUM!A4:S""),12,FALSE))"),"")</f>
        <v/>
      </c>
      <c r="AY913" s="43" t="str">
        <f ca="1">IFERROR(__xludf.DUMMYFUNCTION("IFERROR(VLOOKUP(E927&amp;F927,IMPORTRANGE(""https://docs.google.com/spreadsheets/d/1Uw7-A9f9R21vMXxHZFNpYNeKFtG8_yji4HS352LGlSQ/edit?pli=1#gid=0"",""1_ACUM!A4:S""),13,FALSE))"),"")</f>
        <v/>
      </c>
      <c r="AZ913" s="43" t="str">
        <f ca="1">IFERROR(__xludf.DUMMYFUNCTION("IFERROR(VLOOKUP(E927&amp;F927,IMPORTRANGE(""https://docs.google.com/spreadsheets/d/1Uw7-A9f9R21vMXxHZFNpYNeKFtG8_yji4HS352LGlSQ/edit?pli=1#gid=0"",""1_ACUM!A4:S""),14,FALSE))"),"")</f>
        <v/>
      </c>
      <c r="BA913" s="43" t="str">
        <f ca="1">IFERROR(__xludf.DUMMYFUNCTION("IFERROR(VLOOKUP(E927&amp;F927,IMPORTRANGE(""https://docs.google.com/spreadsheets/d/1Uw7-A9f9R21vMXxHZFNpYNeKFtG8_yji4HS352LGlSQ/edit?pli=1#gid=0"",""1_ACUM!A4:S""),15,FALSE))"),"")</f>
        <v/>
      </c>
      <c r="BB913" s="43" t="str">
        <f ca="1">IFERROR(__xludf.DUMMYFUNCTION("IFERROR(VLOOKUP(E927&amp;F927,IMPORTRANGE(""https://docs.google.com/spreadsheets/d/1Uw7-A9f9R21vMXxHZFNpYNeKFtG8_yji4HS352LGlSQ/edit?pli=1#gid=0"",""1_ACUM!A4:S""),16,FALSE))"),"")</f>
        <v/>
      </c>
      <c r="BC913" s="43" t="str">
        <f ca="1">IFERROR(__xludf.DUMMYFUNCTION("IFERROR(VLOOKUP(E927&amp;F927,IMPORTRANGE(""https://docs.google.com/spreadsheets/d/1Uw7-A9f9R21vMXxHZFNpYNeKFtG8_yji4HS352LGlSQ/edit?pli=1#gid=0"",""1_ACUM!A4:S""),17,FALSE))"),"")</f>
        <v/>
      </c>
      <c r="BD913" s="44" t="str">
        <f ca="1">IFERROR(__xludf.DUMMYFUNCTION("IFERROR(VLOOKUP(E927&amp;F927,IMPORTRANGE(""https://docs.google.com/spreadsheets/d/1Uw7-A9f9R21vMXxHZFNpYNeKFtG8_yji4HS352LGlSQ/edit?pli=1#gid=0"",""1_ACUM!A4:S""),18,FALSE))"),"")</f>
        <v/>
      </c>
      <c r="BE913" s="44" t="str">
        <f ca="1">IFERROR(__xludf.DUMMYFUNCTION("IFERROR(VLOOKUP(E927&amp;F927,IMPORTRANGE(""https://docs.google.com/spreadsheets/d/1Uw7-A9f9R21vMXxHZFNpYNeKFtG8_yji4HS352LGlSQ/edit?pli=1#gid=0"",""1_ACUM!A4:S""),19,FALSE))"),"")</f>
        <v/>
      </c>
      <c r="BF913" s="98" t="str">
        <f ca="1">IFERROR(__xludf.DUMMYFUNCTION("IFERROR(VLOOKUP(F927,IMPORTRANGE(""https://docs.google.com/spreadsheets/d/1Kvs4KS76FHFqLFIZfrDMff4kP08nblUkihrxltoGBjg/edit#gid=934712705"",""ESENCIAL!A6:BG""),5,FALSE))"),"")</f>
        <v/>
      </c>
      <c r="BG913" s="98" t="str">
        <f t="shared" si="25"/>
        <v/>
      </c>
      <c r="BH913" s="99" t="str">
        <f t="shared" si="26"/>
        <v/>
      </c>
      <c r="BI913" s="100" t="str">
        <f ca="1">IFERROR(__xludf.DUMMYFUNCTION("IFERROR(VLOOKUP(F927,IMPORTRANGE(""https://docs.google.com/spreadsheets/d/1Kvs4KS76FHFqLFIZfrDMff4kP08nblUkihrxltoGBjg/edit#gid=934712705"",""ESENCIAL!A6:BG""),2,FALSE))"),"")</f>
        <v/>
      </c>
      <c r="BJ913" s="19" t="str">
        <f t="shared" si="27"/>
        <v/>
      </c>
      <c r="BK913" s="100"/>
      <c r="BL913" s="100"/>
    </row>
    <row r="914" spans="1:64" ht="15">
      <c r="A914" s="5"/>
      <c r="B914" s="5"/>
      <c r="G914" s="5" t="str">
        <f ca="1">IFERROR(__xludf.DUMMYFUNCTION("IFERROR(VLOOKUP(F928,IMPORTRANGE(""https://docs.google.com/spreadsheets/d/1Kvs4KS76FHFqLFIZfrDMff4kP08nblUkihrxltoGBjg/edit#gid=934712705"",""ESENCIAL!A6:BG""),3,FALSE))"),"")</f>
        <v/>
      </c>
      <c r="H914" s="5" t="str">
        <f ca="1">IFERROR(__xludf.DUMMYFUNCTION("IFERROR(VLOOKUP(F928,IMPORTRANGE(""https://docs.google.com/spreadsheets/d/1Kvs4KS76FHFqLFIZfrDMff4kP08nblUkihrxltoGBjg/edit#gid=934712705"",""ESENCIAL!A6:BG""),8,FALSE))"),"")</f>
        <v/>
      </c>
      <c r="L914" s="287"/>
      <c r="U914" s="40"/>
      <c r="AU914" s="41" t="str">
        <f t="shared" si="24"/>
        <v/>
      </c>
      <c r="AV914" s="5" t="str">
        <f ca="1">IFERROR(__xludf.DUMMYFUNCTION("IFERROR(VLOOKUP(E928&amp;F928,IMPORTRANGE(""https://docs.google.com/spreadsheets/d/1Uw7-A9f9R21vMXxHZFNpYNeKFtG8_yji4HS352LGlSQ/edit?pli=1#gid=0"",""1_ACUM!A4:S""),11,FALSE))"),"")</f>
        <v/>
      </c>
      <c r="AW914" s="42" t="str">
        <f ca="1">IFERROR(__xludf.DUMMYFUNCTION("IFERROR(VLOOKUP(F928,IMPORTRANGE(""https://docs.google.com/spreadsheets/d/1Kvs4KS76FHFqLFIZfrDMff4kP08nblUkihrxltoGBjg/edit#gid=934712705"",""ESENCIAL!A6:BG""),15,FALSE))"),"")</f>
        <v/>
      </c>
      <c r="AX914" s="21" t="str">
        <f ca="1">IFERROR(__xludf.DUMMYFUNCTION("IFERROR(VLOOKUP(E928&amp;F928,IMPORTRANGE(""https://docs.google.com/spreadsheets/d/1Uw7-A9f9R21vMXxHZFNpYNeKFtG8_yji4HS352LGlSQ/edit?pli=1#gid=0"",""1_ACUM!A4:S""),12,FALSE))"),"")</f>
        <v/>
      </c>
      <c r="AY914" s="43" t="str">
        <f ca="1">IFERROR(__xludf.DUMMYFUNCTION("IFERROR(VLOOKUP(E928&amp;F928,IMPORTRANGE(""https://docs.google.com/spreadsheets/d/1Uw7-A9f9R21vMXxHZFNpYNeKFtG8_yji4HS352LGlSQ/edit?pli=1#gid=0"",""1_ACUM!A4:S""),13,FALSE))"),"")</f>
        <v/>
      </c>
      <c r="AZ914" s="43" t="str">
        <f ca="1">IFERROR(__xludf.DUMMYFUNCTION("IFERROR(VLOOKUP(E928&amp;F928,IMPORTRANGE(""https://docs.google.com/spreadsheets/d/1Uw7-A9f9R21vMXxHZFNpYNeKFtG8_yji4HS352LGlSQ/edit?pli=1#gid=0"",""1_ACUM!A4:S""),14,FALSE))"),"")</f>
        <v/>
      </c>
      <c r="BA914" s="43" t="str">
        <f ca="1">IFERROR(__xludf.DUMMYFUNCTION("IFERROR(VLOOKUP(E928&amp;F928,IMPORTRANGE(""https://docs.google.com/spreadsheets/d/1Uw7-A9f9R21vMXxHZFNpYNeKFtG8_yji4HS352LGlSQ/edit?pli=1#gid=0"",""1_ACUM!A4:S""),15,FALSE))"),"")</f>
        <v/>
      </c>
      <c r="BB914" s="43" t="str">
        <f ca="1">IFERROR(__xludf.DUMMYFUNCTION("IFERROR(VLOOKUP(E928&amp;F928,IMPORTRANGE(""https://docs.google.com/spreadsheets/d/1Uw7-A9f9R21vMXxHZFNpYNeKFtG8_yji4HS352LGlSQ/edit?pli=1#gid=0"",""1_ACUM!A4:S""),16,FALSE))"),"")</f>
        <v/>
      </c>
      <c r="BC914" s="43" t="str">
        <f ca="1">IFERROR(__xludf.DUMMYFUNCTION("IFERROR(VLOOKUP(E928&amp;F928,IMPORTRANGE(""https://docs.google.com/spreadsheets/d/1Uw7-A9f9R21vMXxHZFNpYNeKFtG8_yji4HS352LGlSQ/edit?pli=1#gid=0"",""1_ACUM!A4:S""),17,FALSE))"),"")</f>
        <v/>
      </c>
      <c r="BD914" s="44" t="str">
        <f ca="1">IFERROR(__xludf.DUMMYFUNCTION("IFERROR(VLOOKUP(E928&amp;F928,IMPORTRANGE(""https://docs.google.com/spreadsheets/d/1Uw7-A9f9R21vMXxHZFNpYNeKFtG8_yji4HS352LGlSQ/edit?pli=1#gid=0"",""1_ACUM!A4:S""),18,FALSE))"),"")</f>
        <v/>
      </c>
      <c r="BE914" s="44" t="str">
        <f ca="1">IFERROR(__xludf.DUMMYFUNCTION("IFERROR(VLOOKUP(E928&amp;F928,IMPORTRANGE(""https://docs.google.com/spreadsheets/d/1Uw7-A9f9R21vMXxHZFNpYNeKFtG8_yji4HS352LGlSQ/edit?pli=1#gid=0"",""1_ACUM!A4:S""),19,FALSE))"),"")</f>
        <v/>
      </c>
      <c r="BF914" s="98" t="str">
        <f ca="1">IFERROR(__xludf.DUMMYFUNCTION("IFERROR(VLOOKUP(F928,IMPORTRANGE(""https://docs.google.com/spreadsheets/d/1Kvs4KS76FHFqLFIZfrDMff4kP08nblUkihrxltoGBjg/edit#gid=934712705"",""ESENCIAL!A6:BG""),5,FALSE))"),"")</f>
        <v/>
      </c>
      <c r="BG914" s="98" t="str">
        <f t="shared" si="25"/>
        <v/>
      </c>
      <c r="BH914" s="99" t="str">
        <f t="shared" si="26"/>
        <v/>
      </c>
      <c r="BI914" s="100" t="str">
        <f ca="1">IFERROR(__xludf.DUMMYFUNCTION("IFERROR(VLOOKUP(F928,IMPORTRANGE(""https://docs.google.com/spreadsheets/d/1Kvs4KS76FHFqLFIZfrDMff4kP08nblUkihrxltoGBjg/edit#gid=934712705"",""ESENCIAL!A6:BG""),2,FALSE))"),"")</f>
        <v/>
      </c>
      <c r="BJ914" s="19" t="str">
        <f t="shared" si="27"/>
        <v/>
      </c>
      <c r="BK914" s="100"/>
      <c r="BL914" s="100"/>
    </row>
    <row r="915" spans="1:64" ht="15">
      <c r="A915" s="5"/>
      <c r="B915" s="5"/>
      <c r="G915" s="5" t="str">
        <f ca="1">IFERROR(__xludf.DUMMYFUNCTION("IFERROR(VLOOKUP(F929,IMPORTRANGE(""https://docs.google.com/spreadsheets/d/1Kvs4KS76FHFqLFIZfrDMff4kP08nblUkihrxltoGBjg/edit#gid=934712705"",""ESENCIAL!A6:BG""),3,FALSE))"),"")</f>
        <v/>
      </c>
      <c r="H915" s="5" t="str">
        <f ca="1">IFERROR(__xludf.DUMMYFUNCTION("IFERROR(VLOOKUP(F929,IMPORTRANGE(""https://docs.google.com/spreadsheets/d/1Kvs4KS76FHFqLFIZfrDMff4kP08nblUkihrxltoGBjg/edit#gid=934712705"",""ESENCIAL!A6:BG""),8,FALSE))"),"")</f>
        <v/>
      </c>
      <c r="L915" s="287"/>
      <c r="U915" s="40"/>
      <c r="AU915" s="41" t="str">
        <f t="shared" si="24"/>
        <v/>
      </c>
      <c r="AV915" s="5" t="str">
        <f ca="1">IFERROR(__xludf.DUMMYFUNCTION("IFERROR(VLOOKUP(E929&amp;F929,IMPORTRANGE(""https://docs.google.com/spreadsheets/d/1Uw7-A9f9R21vMXxHZFNpYNeKFtG8_yji4HS352LGlSQ/edit?pli=1#gid=0"",""1_ACUM!A4:S""),11,FALSE))"),"")</f>
        <v/>
      </c>
      <c r="AW915" s="42" t="str">
        <f ca="1">IFERROR(__xludf.DUMMYFUNCTION("IFERROR(VLOOKUP(F929,IMPORTRANGE(""https://docs.google.com/spreadsheets/d/1Kvs4KS76FHFqLFIZfrDMff4kP08nblUkihrxltoGBjg/edit#gid=934712705"",""ESENCIAL!A6:BG""),15,FALSE))"),"")</f>
        <v/>
      </c>
      <c r="AX915" s="21" t="str">
        <f ca="1">IFERROR(__xludf.DUMMYFUNCTION("IFERROR(VLOOKUP(E929&amp;F929,IMPORTRANGE(""https://docs.google.com/spreadsheets/d/1Uw7-A9f9R21vMXxHZFNpYNeKFtG8_yji4HS352LGlSQ/edit?pli=1#gid=0"",""1_ACUM!A4:S""),12,FALSE))"),"")</f>
        <v/>
      </c>
      <c r="AY915" s="43" t="str">
        <f ca="1">IFERROR(__xludf.DUMMYFUNCTION("IFERROR(VLOOKUP(E929&amp;F929,IMPORTRANGE(""https://docs.google.com/spreadsheets/d/1Uw7-A9f9R21vMXxHZFNpYNeKFtG8_yji4HS352LGlSQ/edit?pli=1#gid=0"",""1_ACUM!A4:S""),13,FALSE))"),"")</f>
        <v/>
      </c>
      <c r="AZ915" s="43" t="str">
        <f ca="1">IFERROR(__xludf.DUMMYFUNCTION("IFERROR(VLOOKUP(E929&amp;F929,IMPORTRANGE(""https://docs.google.com/spreadsheets/d/1Uw7-A9f9R21vMXxHZFNpYNeKFtG8_yji4HS352LGlSQ/edit?pli=1#gid=0"",""1_ACUM!A4:S""),14,FALSE))"),"")</f>
        <v/>
      </c>
      <c r="BA915" s="43" t="str">
        <f ca="1">IFERROR(__xludf.DUMMYFUNCTION("IFERROR(VLOOKUP(E929&amp;F929,IMPORTRANGE(""https://docs.google.com/spreadsheets/d/1Uw7-A9f9R21vMXxHZFNpYNeKFtG8_yji4HS352LGlSQ/edit?pli=1#gid=0"",""1_ACUM!A4:S""),15,FALSE))"),"")</f>
        <v/>
      </c>
      <c r="BB915" s="43" t="str">
        <f ca="1">IFERROR(__xludf.DUMMYFUNCTION("IFERROR(VLOOKUP(E929&amp;F929,IMPORTRANGE(""https://docs.google.com/spreadsheets/d/1Uw7-A9f9R21vMXxHZFNpYNeKFtG8_yji4HS352LGlSQ/edit?pli=1#gid=0"",""1_ACUM!A4:S""),16,FALSE))"),"")</f>
        <v/>
      </c>
      <c r="BC915" s="43" t="str">
        <f ca="1">IFERROR(__xludf.DUMMYFUNCTION("IFERROR(VLOOKUP(E929&amp;F929,IMPORTRANGE(""https://docs.google.com/spreadsheets/d/1Uw7-A9f9R21vMXxHZFNpYNeKFtG8_yji4HS352LGlSQ/edit?pli=1#gid=0"",""1_ACUM!A4:S""),17,FALSE))"),"")</f>
        <v/>
      </c>
      <c r="BD915" s="44" t="str">
        <f ca="1">IFERROR(__xludf.DUMMYFUNCTION("IFERROR(VLOOKUP(E929&amp;F929,IMPORTRANGE(""https://docs.google.com/spreadsheets/d/1Uw7-A9f9R21vMXxHZFNpYNeKFtG8_yji4HS352LGlSQ/edit?pli=1#gid=0"",""1_ACUM!A4:S""),18,FALSE))"),"")</f>
        <v/>
      </c>
      <c r="BE915" s="44" t="str">
        <f ca="1">IFERROR(__xludf.DUMMYFUNCTION("IFERROR(VLOOKUP(E929&amp;F929,IMPORTRANGE(""https://docs.google.com/spreadsheets/d/1Uw7-A9f9R21vMXxHZFNpYNeKFtG8_yji4HS352LGlSQ/edit?pli=1#gid=0"",""1_ACUM!A4:S""),19,FALSE))"),"")</f>
        <v/>
      </c>
      <c r="BF915" s="98" t="str">
        <f ca="1">IFERROR(__xludf.DUMMYFUNCTION("IFERROR(VLOOKUP(F929,IMPORTRANGE(""https://docs.google.com/spreadsheets/d/1Kvs4KS76FHFqLFIZfrDMff4kP08nblUkihrxltoGBjg/edit#gid=934712705"",""ESENCIAL!A6:BG""),5,FALSE))"),"")</f>
        <v/>
      </c>
      <c r="BG915" s="98" t="str">
        <f t="shared" si="25"/>
        <v/>
      </c>
      <c r="BH915" s="99" t="str">
        <f t="shared" si="26"/>
        <v/>
      </c>
      <c r="BI915" s="100" t="str">
        <f ca="1">IFERROR(__xludf.DUMMYFUNCTION("IFERROR(VLOOKUP(F929,IMPORTRANGE(""https://docs.google.com/spreadsheets/d/1Kvs4KS76FHFqLFIZfrDMff4kP08nblUkihrxltoGBjg/edit#gid=934712705"",""ESENCIAL!A6:BG""),2,FALSE))"),"")</f>
        <v/>
      </c>
      <c r="BJ915" s="19" t="str">
        <f t="shared" si="27"/>
        <v/>
      </c>
      <c r="BK915" s="100"/>
      <c r="BL915" s="100"/>
    </row>
    <row r="916" spans="1:64" ht="15">
      <c r="A916" s="5"/>
      <c r="B916" s="5"/>
      <c r="G916" s="5" t="str">
        <f ca="1">IFERROR(__xludf.DUMMYFUNCTION("IFERROR(VLOOKUP(F930,IMPORTRANGE(""https://docs.google.com/spreadsheets/d/1Kvs4KS76FHFqLFIZfrDMff4kP08nblUkihrxltoGBjg/edit#gid=934712705"",""ESENCIAL!A6:BG""),3,FALSE))"),"")</f>
        <v/>
      </c>
      <c r="H916" s="5" t="str">
        <f ca="1">IFERROR(__xludf.DUMMYFUNCTION("IFERROR(VLOOKUP(F930,IMPORTRANGE(""https://docs.google.com/spreadsheets/d/1Kvs4KS76FHFqLFIZfrDMff4kP08nblUkihrxltoGBjg/edit#gid=934712705"",""ESENCIAL!A6:BG""),8,FALSE))"),"")</f>
        <v/>
      </c>
      <c r="L916" s="287"/>
      <c r="U916" s="40"/>
      <c r="AU916" s="41" t="str">
        <f t="shared" si="24"/>
        <v/>
      </c>
      <c r="AV916" s="5" t="str">
        <f ca="1">IFERROR(__xludf.DUMMYFUNCTION("IFERROR(VLOOKUP(E930&amp;F930,IMPORTRANGE(""https://docs.google.com/spreadsheets/d/1Uw7-A9f9R21vMXxHZFNpYNeKFtG8_yji4HS352LGlSQ/edit?pli=1#gid=0"",""1_ACUM!A4:S""),11,FALSE))"),"")</f>
        <v/>
      </c>
      <c r="AW916" s="42" t="str">
        <f ca="1">IFERROR(__xludf.DUMMYFUNCTION("IFERROR(VLOOKUP(F930,IMPORTRANGE(""https://docs.google.com/spreadsheets/d/1Kvs4KS76FHFqLFIZfrDMff4kP08nblUkihrxltoGBjg/edit#gid=934712705"",""ESENCIAL!A6:BG""),15,FALSE))"),"")</f>
        <v/>
      </c>
      <c r="AX916" s="21" t="str">
        <f ca="1">IFERROR(__xludf.DUMMYFUNCTION("IFERROR(VLOOKUP(E930&amp;F930,IMPORTRANGE(""https://docs.google.com/spreadsheets/d/1Uw7-A9f9R21vMXxHZFNpYNeKFtG8_yji4HS352LGlSQ/edit?pli=1#gid=0"",""1_ACUM!A4:S""),12,FALSE))"),"")</f>
        <v/>
      </c>
      <c r="AY916" s="43" t="str">
        <f ca="1">IFERROR(__xludf.DUMMYFUNCTION("IFERROR(VLOOKUP(E930&amp;F930,IMPORTRANGE(""https://docs.google.com/spreadsheets/d/1Uw7-A9f9R21vMXxHZFNpYNeKFtG8_yji4HS352LGlSQ/edit?pli=1#gid=0"",""1_ACUM!A4:S""),13,FALSE))"),"")</f>
        <v/>
      </c>
      <c r="AZ916" s="43" t="str">
        <f ca="1">IFERROR(__xludf.DUMMYFUNCTION("IFERROR(VLOOKUP(E930&amp;F930,IMPORTRANGE(""https://docs.google.com/spreadsheets/d/1Uw7-A9f9R21vMXxHZFNpYNeKFtG8_yji4HS352LGlSQ/edit?pli=1#gid=0"",""1_ACUM!A4:S""),14,FALSE))"),"")</f>
        <v/>
      </c>
      <c r="BA916" s="43" t="str">
        <f ca="1">IFERROR(__xludf.DUMMYFUNCTION("IFERROR(VLOOKUP(E930&amp;F930,IMPORTRANGE(""https://docs.google.com/spreadsheets/d/1Uw7-A9f9R21vMXxHZFNpYNeKFtG8_yji4HS352LGlSQ/edit?pli=1#gid=0"",""1_ACUM!A4:S""),15,FALSE))"),"")</f>
        <v/>
      </c>
      <c r="BB916" s="43" t="str">
        <f ca="1">IFERROR(__xludf.DUMMYFUNCTION("IFERROR(VLOOKUP(E930&amp;F930,IMPORTRANGE(""https://docs.google.com/spreadsheets/d/1Uw7-A9f9R21vMXxHZFNpYNeKFtG8_yji4HS352LGlSQ/edit?pli=1#gid=0"",""1_ACUM!A4:S""),16,FALSE))"),"")</f>
        <v/>
      </c>
      <c r="BC916" s="43" t="str">
        <f ca="1">IFERROR(__xludf.DUMMYFUNCTION("IFERROR(VLOOKUP(E930&amp;F930,IMPORTRANGE(""https://docs.google.com/spreadsheets/d/1Uw7-A9f9R21vMXxHZFNpYNeKFtG8_yji4HS352LGlSQ/edit?pli=1#gid=0"",""1_ACUM!A4:S""),17,FALSE))"),"")</f>
        <v/>
      </c>
      <c r="BD916" s="44" t="str">
        <f ca="1">IFERROR(__xludf.DUMMYFUNCTION("IFERROR(VLOOKUP(E930&amp;F930,IMPORTRANGE(""https://docs.google.com/spreadsheets/d/1Uw7-A9f9R21vMXxHZFNpYNeKFtG8_yji4HS352LGlSQ/edit?pli=1#gid=0"",""1_ACUM!A4:S""),18,FALSE))"),"")</f>
        <v/>
      </c>
      <c r="BE916" s="44" t="str">
        <f ca="1">IFERROR(__xludf.DUMMYFUNCTION("IFERROR(VLOOKUP(E930&amp;F930,IMPORTRANGE(""https://docs.google.com/spreadsheets/d/1Uw7-A9f9R21vMXxHZFNpYNeKFtG8_yji4HS352LGlSQ/edit?pli=1#gid=0"",""1_ACUM!A4:S""),19,FALSE))"),"")</f>
        <v/>
      </c>
      <c r="BF916" s="98" t="str">
        <f ca="1">IFERROR(__xludf.DUMMYFUNCTION("IFERROR(VLOOKUP(F930,IMPORTRANGE(""https://docs.google.com/spreadsheets/d/1Kvs4KS76FHFqLFIZfrDMff4kP08nblUkihrxltoGBjg/edit#gid=934712705"",""ESENCIAL!A6:BG""),5,FALSE))"),"")</f>
        <v/>
      </c>
      <c r="BG916" s="98" t="str">
        <f t="shared" si="25"/>
        <v/>
      </c>
      <c r="BH916" s="99" t="str">
        <f t="shared" si="26"/>
        <v/>
      </c>
      <c r="BI916" s="100" t="str">
        <f ca="1">IFERROR(__xludf.DUMMYFUNCTION("IFERROR(VLOOKUP(F930,IMPORTRANGE(""https://docs.google.com/spreadsheets/d/1Kvs4KS76FHFqLFIZfrDMff4kP08nblUkihrxltoGBjg/edit#gid=934712705"",""ESENCIAL!A6:BG""),2,FALSE))"),"")</f>
        <v/>
      </c>
      <c r="BJ916" s="19" t="str">
        <f t="shared" si="27"/>
        <v/>
      </c>
      <c r="BK916" s="100"/>
      <c r="BL916" s="100"/>
    </row>
    <row r="917" spans="1:64" ht="15">
      <c r="A917" s="5"/>
      <c r="B917" s="5"/>
      <c r="G917" s="5" t="str">
        <f ca="1">IFERROR(__xludf.DUMMYFUNCTION("IFERROR(VLOOKUP(F931,IMPORTRANGE(""https://docs.google.com/spreadsheets/d/1Kvs4KS76FHFqLFIZfrDMff4kP08nblUkihrxltoGBjg/edit#gid=934712705"",""ESENCIAL!A6:BG""),3,FALSE))"),"")</f>
        <v/>
      </c>
      <c r="H917" s="5" t="str">
        <f ca="1">IFERROR(__xludf.DUMMYFUNCTION("IFERROR(VLOOKUP(F931,IMPORTRANGE(""https://docs.google.com/spreadsheets/d/1Kvs4KS76FHFqLFIZfrDMff4kP08nblUkihrxltoGBjg/edit#gid=934712705"",""ESENCIAL!A6:BG""),8,FALSE))"),"")</f>
        <v/>
      </c>
      <c r="L917" s="287"/>
      <c r="U917" s="40"/>
      <c r="AU917" s="41" t="str">
        <f t="shared" si="24"/>
        <v/>
      </c>
      <c r="AV917" s="5" t="str">
        <f ca="1">IFERROR(__xludf.DUMMYFUNCTION("IFERROR(VLOOKUP(E931&amp;F931,IMPORTRANGE(""https://docs.google.com/spreadsheets/d/1Uw7-A9f9R21vMXxHZFNpYNeKFtG8_yji4HS352LGlSQ/edit?pli=1#gid=0"",""1_ACUM!A4:S""),11,FALSE))"),"")</f>
        <v/>
      </c>
      <c r="AW917" s="42" t="str">
        <f ca="1">IFERROR(__xludf.DUMMYFUNCTION("IFERROR(VLOOKUP(F931,IMPORTRANGE(""https://docs.google.com/spreadsheets/d/1Kvs4KS76FHFqLFIZfrDMff4kP08nblUkihrxltoGBjg/edit#gid=934712705"",""ESENCIAL!A6:BG""),15,FALSE))"),"")</f>
        <v/>
      </c>
      <c r="AX917" s="21" t="str">
        <f ca="1">IFERROR(__xludf.DUMMYFUNCTION("IFERROR(VLOOKUP(E931&amp;F931,IMPORTRANGE(""https://docs.google.com/spreadsheets/d/1Uw7-A9f9R21vMXxHZFNpYNeKFtG8_yji4HS352LGlSQ/edit?pli=1#gid=0"",""1_ACUM!A4:S""),12,FALSE))"),"")</f>
        <v/>
      </c>
      <c r="AY917" s="43" t="str">
        <f ca="1">IFERROR(__xludf.DUMMYFUNCTION("IFERROR(VLOOKUP(E931&amp;F931,IMPORTRANGE(""https://docs.google.com/spreadsheets/d/1Uw7-A9f9R21vMXxHZFNpYNeKFtG8_yji4HS352LGlSQ/edit?pli=1#gid=0"",""1_ACUM!A4:S""),13,FALSE))"),"")</f>
        <v/>
      </c>
      <c r="AZ917" s="43" t="str">
        <f ca="1">IFERROR(__xludf.DUMMYFUNCTION("IFERROR(VLOOKUP(E931&amp;F931,IMPORTRANGE(""https://docs.google.com/spreadsheets/d/1Uw7-A9f9R21vMXxHZFNpYNeKFtG8_yji4HS352LGlSQ/edit?pli=1#gid=0"",""1_ACUM!A4:S""),14,FALSE))"),"")</f>
        <v/>
      </c>
      <c r="BA917" s="43" t="str">
        <f ca="1">IFERROR(__xludf.DUMMYFUNCTION("IFERROR(VLOOKUP(E931&amp;F931,IMPORTRANGE(""https://docs.google.com/spreadsheets/d/1Uw7-A9f9R21vMXxHZFNpYNeKFtG8_yji4HS352LGlSQ/edit?pli=1#gid=0"",""1_ACUM!A4:S""),15,FALSE))"),"")</f>
        <v/>
      </c>
      <c r="BB917" s="43" t="str">
        <f ca="1">IFERROR(__xludf.DUMMYFUNCTION("IFERROR(VLOOKUP(E931&amp;F931,IMPORTRANGE(""https://docs.google.com/spreadsheets/d/1Uw7-A9f9R21vMXxHZFNpYNeKFtG8_yji4HS352LGlSQ/edit?pli=1#gid=0"",""1_ACUM!A4:S""),16,FALSE))"),"")</f>
        <v/>
      </c>
      <c r="BC917" s="43" t="str">
        <f ca="1">IFERROR(__xludf.DUMMYFUNCTION("IFERROR(VLOOKUP(E931&amp;F931,IMPORTRANGE(""https://docs.google.com/spreadsheets/d/1Uw7-A9f9R21vMXxHZFNpYNeKFtG8_yji4HS352LGlSQ/edit?pli=1#gid=0"",""1_ACUM!A4:S""),17,FALSE))"),"")</f>
        <v/>
      </c>
      <c r="BD917" s="44" t="str">
        <f ca="1">IFERROR(__xludf.DUMMYFUNCTION("IFERROR(VLOOKUP(E931&amp;F931,IMPORTRANGE(""https://docs.google.com/spreadsheets/d/1Uw7-A9f9R21vMXxHZFNpYNeKFtG8_yji4HS352LGlSQ/edit?pli=1#gid=0"",""1_ACUM!A4:S""),18,FALSE))"),"")</f>
        <v/>
      </c>
      <c r="BE917" s="44" t="str">
        <f ca="1">IFERROR(__xludf.DUMMYFUNCTION("IFERROR(VLOOKUP(E931&amp;F931,IMPORTRANGE(""https://docs.google.com/spreadsheets/d/1Uw7-A9f9R21vMXxHZFNpYNeKFtG8_yji4HS352LGlSQ/edit?pli=1#gid=0"",""1_ACUM!A4:S""),19,FALSE))"),"")</f>
        <v/>
      </c>
      <c r="BF917" s="98" t="str">
        <f ca="1">IFERROR(__xludf.DUMMYFUNCTION("IFERROR(VLOOKUP(F931,IMPORTRANGE(""https://docs.google.com/spreadsheets/d/1Kvs4KS76FHFqLFIZfrDMff4kP08nblUkihrxltoGBjg/edit#gid=934712705"",""ESENCIAL!A6:BG""),5,FALSE))"),"")</f>
        <v/>
      </c>
      <c r="BG917" s="98" t="str">
        <f t="shared" si="25"/>
        <v/>
      </c>
      <c r="BH917" s="99" t="str">
        <f t="shared" si="26"/>
        <v/>
      </c>
      <c r="BI917" s="100" t="str">
        <f ca="1">IFERROR(__xludf.DUMMYFUNCTION("IFERROR(VLOOKUP(F931,IMPORTRANGE(""https://docs.google.com/spreadsheets/d/1Kvs4KS76FHFqLFIZfrDMff4kP08nblUkihrxltoGBjg/edit#gid=934712705"",""ESENCIAL!A6:BG""),2,FALSE))"),"")</f>
        <v/>
      </c>
      <c r="BJ917" s="19" t="str">
        <f t="shared" si="27"/>
        <v/>
      </c>
      <c r="BK917" s="100"/>
      <c r="BL917" s="100"/>
    </row>
    <row r="918" spans="1:64" ht="15">
      <c r="A918" s="5"/>
      <c r="B918" s="5"/>
      <c r="G918" s="5" t="str">
        <f ca="1">IFERROR(__xludf.DUMMYFUNCTION("IFERROR(VLOOKUP(F932,IMPORTRANGE(""https://docs.google.com/spreadsheets/d/1Kvs4KS76FHFqLFIZfrDMff4kP08nblUkihrxltoGBjg/edit#gid=934712705"",""ESENCIAL!A6:BG""),3,FALSE))"),"")</f>
        <v/>
      </c>
      <c r="H918" s="5" t="str">
        <f ca="1">IFERROR(__xludf.DUMMYFUNCTION("IFERROR(VLOOKUP(F932,IMPORTRANGE(""https://docs.google.com/spreadsheets/d/1Kvs4KS76FHFqLFIZfrDMff4kP08nblUkihrxltoGBjg/edit#gid=934712705"",""ESENCIAL!A6:BG""),8,FALSE))"),"")</f>
        <v/>
      </c>
      <c r="L918" s="287"/>
      <c r="U918" s="40"/>
      <c r="AU918" s="41" t="str">
        <f t="shared" si="24"/>
        <v/>
      </c>
      <c r="AV918" s="5" t="str">
        <f ca="1">IFERROR(__xludf.DUMMYFUNCTION("IFERROR(VLOOKUP(E932&amp;F932,IMPORTRANGE(""https://docs.google.com/spreadsheets/d/1Uw7-A9f9R21vMXxHZFNpYNeKFtG8_yji4HS352LGlSQ/edit?pli=1#gid=0"",""1_ACUM!A4:S""),11,FALSE))"),"")</f>
        <v/>
      </c>
      <c r="AW918" s="42" t="str">
        <f ca="1">IFERROR(__xludf.DUMMYFUNCTION("IFERROR(VLOOKUP(F932,IMPORTRANGE(""https://docs.google.com/spreadsheets/d/1Kvs4KS76FHFqLFIZfrDMff4kP08nblUkihrxltoGBjg/edit#gid=934712705"",""ESENCIAL!A6:BG""),15,FALSE))"),"")</f>
        <v/>
      </c>
      <c r="AX918" s="21" t="str">
        <f ca="1">IFERROR(__xludf.DUMMYFUNCTION("IFERROR(VLOOKUP(E932&amp;F932,IMPORTRANGE(""https://docs.google.com/spreadsheets/d/1Uw7-A9f9R21vMXxHZFNpYNeKFtG8_yji4HS352LGlSQ/edit?pli=1#gid=0"",""1_ACUM!A4:S""),12,FALSE))"),"")</f>
        <v/>
      </c>
      <c r="AY918" s="43" t="str">
        <f ca="1">IFERROR(__xludf.DUMMYFUNCTION("IFERROR(VLOOKUP(E932&amp;F932,IMPORTRANGE(""https://docs.google.com/spreadsheets/d/1Uw7-A9f9R21vMXxHZFNpYNeKFtG8_yji4HS352LGlSQ/edit?pli=1#gid=0"",""1_ACUM!A4:S""),13,FALSE))"),"")</f>
        <v/>
      </c>
      <c r="AZ918" s="43" t="str">
        <f ca="1">IFERROR(__xludf.DUMMYFUNCTION("IFERROR(VLOOKUP(E932&amp;F932,IMPORTRANGE(""https://docs.google.com/spreadsheets/d/1Uw7-A9f9R21vMXxHZFNpYNeKFtG8_yji4HS352LGlSQ/edit?pli=1#gid=0"",""1_ACUM!A4:S""),14,FALSE))"),"")</f>
        <v/>
      </c>
      <c r="BA918" s="43" t="str">
        <f ca="1">IFERROR(__xludf.DUMMYFUNCTION("IFERROR(VLOOKUP(E932&amp;F932,IMPORTRANGE(""https://docs.google.com/spreadsheets/d/1Uw7-A9f9R21vMXxHZFNpYNeKFtG8_yji4HS352LGlSQ/edit?pli=1#gid=0"",""1_ACUM!A4:S""),15,FALSE))"),"")</f>
        <v/>
      </c>
      <c r="BB918" s="43" t="str">
        <f ca="1">IFERROR(__xludf.DUMMYFUNCTION("IFERROR(VLOOKUP(E932&amp;F932,IMPORTRANGE(""https://docs.google.com/spreadsheets/d/1Uw7-A9f9R21vMXxHZFNpYNeKFtG8_yji4HS352LGlSQ/edit?pli=1#gid=0"",""1_ACUM!A4:S""),16,FALSE))"),"")</f>
        <v/>
      </c>
      <c r="BC918" s="43" t="str">
        <f ca="1">IFERROR(__xludf.DUMMYFUNCTION("IFERROR(VLOOKUP(E932&amp;F932,IMPORTRANGE(""https://docs.google.com/spreadsheets/d/1Uw7-A9f9R21vMXxHZFNpYNeKFtG8_yji4HS352LGlSQ/edit?pli=1#gid=0"",""1_ACUM!A4:S""),17,FALSE))"),"")</f>
        <v/>
      </c>
      <c r="BD918" s="44" t="str">
        <f ca="1">IFERROR(__xludf.DUMMYFUNCTION("IFERROR(VLOOKUP(E932&amp;F932,IMPORTRANGE(""https://docs.google.com/spreadsheets/d/1Uw7-A9f9R21vMXxHZFNpYNeKFtG8_yji4HS352LGlSQ/edit?pli=1#gid=0"",""1_ACUM!A4:S""),18,FALSE))"),"")</f>
        <v/>
      </c>
      <c r="BE918" s="44" t="str">
        <f ca="1">IFERROR(__xludf.DUMMYFUNCTION("IFERROR(VLOOKUP(E932&amp;F932,IMPORTRANGE(""https://docs.google.com/spreadsheets/d/1Uw7-A9f9R21vMXxHZFNpYNeKFtG8_yji4HS352LGlSQ/edit?pli=1#gid=0"",""1_ACUM!A4:S""),19,FALSE))"),"")</f>
        <v/>
      </c>
      <c r="BF918" s="98" t="str">
        <f ca="1">IFERROR(__xludf.DUMMYFUNCTION("IFERROR(VLOOKUP(F932,IMPORTRANGE(""https://docs.google.com/spreadsheets/d/1Kvs4KS76FHFqLFIZfrDMff4kP08nblUkihrxltoGBjg/edit#gid=934712705"",""ESENCIAL!A6:BG""),5,FALSE))"),"")</f>
        <v/>
      </c>
      <c r="BG918" s="98" t="str">
        <f t="shared" si="25"/>
        <v/>
      </c>
      <c r="BH918" s="99" t="str">
        <f t="shared" si="26"/>
        <v/>
      </c>
      <c r="BI918" s="100" t="str">
        <f ca="1">IFERROR(__xludf.DUMMYFUNCTION("IFERROR(VLOOKUP(F932,IMPORTRANGE(""https://docs.google.com/spreadsheets/d/1Kvs4KS76FHFqLFIZfrDMff4kP08nblUkihrxltoGBjg/edit#gid=934712705"",""ESENCIAL!A6:BG""),2,FALSE))"),"")</f>
        <v/>
      </c>
      <c r="BJ918" s="19" t="str">
        <f t="shared" si="27"/>
        <v/>
      </c>
      <c r="BK918" s="100"/>
      <c r="BL918" s="100"/>
    </row>
    <row r="919" spans="1:64" ht="15">
      <c r="A919" s="5"/>
      <c r="B919" s="5"/>
      <c r="G919" s="5" t="str">
        <f ca="1">IFERROR(__xludf.DUMMYFUNCTION("IFERROR(VLOOKUP(F933,IMPORTRANGE(""https://docs.google.com/spreadsheets/d/1Kvs4KS76FHFqLFIZfrDMff4kP08nblUkihrxltoGBjg/edit#gid=934712705"",""ESENCIAL!A6:BG""),3,FALSE))"),"")</f>
        <v/>
      </c>
      <c r="H919" s="5" t="str">
        <f ca="1">IFERROR(__xludf.DUMMYFUNCTION("IFERROR(VLOOKUP(F933,IMPORTRANGE(""https://docs.google.com/spreadsheets/d/1Kvs4KS76FHFqLFIZfrDMff4kP08nblUkihrxltoGBjg/edit#gid=934712705"",""ESENCIAL!A6:BG""),8,FALSE))"),"")</f>
        <v/>
      </c>
      <c r="L919" s="287"/>
      <c r="U919" s="40"/>
      <c r="AU919" s="41" t="str">
        <f t="shared" si="24"/>
        <v/>
      </c>
      <c r="AV919" s="5" t="str">
        <f ca="1">IFERROR(__xludf.DUMMYFUNCTION("IFERROR(VLOOKUP(E933&amp;F933,IMPORTRANGE(""https://docs.google.com/spreadsheets/d/1Uw7-A9f9R21vMXxHZFNpYNeKFtG8_yji4HS352LGlSQ/edit?pli=1#gid=0"",""1_ACUM!A4:S""),11,FALSE))"),"")</f>
        <v/>
      </c>
      <c r="AW919" s="42" t="str">
        <f ca="1">IFERROR(__xludf.DUMMYFUNCTION("IFERROR(VLOOKUP(F933,IMPORTRANGE(""https://docs.google.com/spreadsheets/d/1Kvs4KS76FHFqLFIZfrDMff4kP08nblUkihrxltoGBjg/edit#gid=934712705"",""ESENCIAL!A6:BG""),15,FALSE))"),"")</f>
        <v/>
      </c>
      <c r="AX919" s="21" t="str">
        <f ca="1">IFERROR(__xludf.DUMMYFUNCTION("IFERROR(VLOOKUP(E933&amp;F933,IMPORTRANGE(""https://docs.google.com/spreadsheets/d/1Uw7-A9f9R21vMXxHZFNpYNeKFtG8_yji4HS352LGlSQ/edit?pli=1#gid=0"",""1_ACUM!A4:S""),12,FALSE))"),"")</f>
        <v/>
      </c>
      <c r="AY919" s="43" t="str">
        <f ca="1">IFERROR(__xludf.DUMMYFUNCTION("IFERROR(VLOOKUP(E933&amp;F933,IMPORTRANGE(""https://docs.google.com/spreadsheets/d/1Uw7-A9f9R21vMXxHZFNpYNeKFtG8_yji4HS352LGlSQ/edit?pli=1#gid=0"",""1_ACUM!A4:S""),13,FALSE))"),"")</f>
        <v/>
      </c>
      <c r="AZ919" s="43" t="str">
        <f ca="1">IFERROR(__xludf.DUMMYFUNCTION("IFERROR(VLOOKUP(E933&amp;F933,IMPORTRANGE(""https://docs.google.com/spreadsheets/d/1Uw7-A9f9R21vMXxHZFNpYNeKFtG8_yji4HS352LGlSQ/edit?pli=1#gid=0"",""1_ACUM!A4:S""),14,FALSE))"),"")</f>
        <v/>
      </c>
      <c r="BA919" s="43" t="str">
        <f ca="1">IFERROR(__xludf.DUMMYFUNCTION("IFERROR(VLOOKUP(E933&amp;F933,IMPORTRANGE(""https://docs.google.com/spreadsheets/d/1Uw7-A9f9R21vMXxHZFNpYNeKFtG8_yji4HS352LGlSQ/edit?pli=1#gid=0"",""1_ACUM!A4:S""),15,FALSE))"),"")</f>
        <v/>
      </c>
      <c r="BB919" s="43" t="str">
        <f ca="1">IFERROR(__xludf.DUMMYFUNCTION("IFERROR(VLOOKUP(E933&amp;F933,IMPORTRANGE(""https://docs.google.com/spreadsheets/d/1Uw7-A9f9R21vMXxHZFNpYNeKFtG8_yji4HS352LGlSQ/edit?pli=1#gid=0"",""1_ACUM!A4:S""),16,FALSE))"),"")</f>
        <v/>
      </c>
      <c r="BC919" s="43" t="str">
        <f ca="1">IFERROR(__xludf.DUMMYFUNCTION("IFERROR(VLOOKUP(E933&amp;F933,IMPORTRANGE(""https://docs.google.com/spreadsheets/d/1Uw7-A9f9R21vMXxHZFNpYNeKFtG8_yji4HS352LGlSQ/edit?pli=1#gid=0"",""1_ACUM!A4:S""),17,FALSE))"),"")</f>
        <v/>
      </c>
      <c r="BD919" s="44" t="str">
        <f ca="1">IFERROR(__xludf.DUMMYFUNCTION("IFERROR(VLOOKUP(E933&amp;F933,IMPORTRANGE(""https://docs.google.com/spreadsheets/d/1Uw7-A9f9R21vMXxHZFNpYNeKFtG8_yji4HS352LGlSQ/edit?pli=1#gid=0"",""1_ACUM!A4:S""),18,FALSE))"),"")</f>
        <v/>
      </c>
      <c r="BE919" s="44" t="str">
        <f ca="1">IFERROR(__xludf.DUMMYFUNCTION("IFERROR(VLOOKUP(E933&amp;F933,IMPORTRANGE(""https://docs.google.com/spreadsheets/d/1Uw7-A9f9R21vMXxHZFNpYNeKFtG8_yji4HS352LGlSQ/edit?pli=1#gid=0"",""1_ACUM!A4:S""),19,FALSE))"),"")</f>
        <v/>
      </c>
      <c r="BF919" s="98" t="str">
        <f ca="1">IFERROR(__xludf.DUMMYFUNCTION("IFERROR(VLOOKUP(F933,IMPORTRANGE(""https://docs.google.com/spreadsheets/d/1Kvs4KS76FHFqLFIZfrDMff4kP08nblUkihrxltoGBjg/edit#gid=934712705"",""ESENCIAL!A6:BG""),5,FALSE))"),"")</f>
        <v/>
      </c>
      <c r="BG919" s="98" t="str">
        <f t="shared" si="25"/>
        <v/>
      </c>
      <c r="BH919" s="99" t="str">
        <f t="shared" si="26"/>
        <v/>
      </c>
      <c r="BI919" s="100" t="str">
        <f ca="1">IFERROR(__xludf.DUMMYFUNCTION("IFERROR(VLOOKUP(F933,IMPORTRANGE(""https://docs.google.com/spreadsheets/d/1Kvs4KS76FHFqLFIZfrDMff4kP08nblUkihrxltoGBjg/edit#gid=934712705"",""ESENCIAL!A6:BG""),2,FALSE))"),"")</f>
        <v/>
      </c>
      <c r="BJ919" s="19" t="str">
        <f t="shared" si="27"/>
        <v/>
      </c>
      <c r="BK919" s="100"/>
      <c r="BL919" s="100"/>
    </row>
    <row r="920" spans="1:64" ht="15">
      <c r="A920" s="5"/>
      <c r="B920" s="5"/>
      <c r="G920" s="5" t="str">
        <f ca="1">IFERROR(__xludf.DUMMYFUNCTION("IFERROR(VLOOKUP(F934,IMPORTRANGE(""https://docs.google.com/spreadsheets/d/1Kvs4KS76FHFqLFIZfrDMff4kP08nblUkihrxltoGBjg/edit#gid=934712705"",""ESENCIAL!A6:BG""),3,FALSE))"),"")</f>
        <v/>
      </c>
      <c r="H920" s="5" t="str">
        <f ca="1">IFERROR(__xludf.DUMMYFUNCTION("IFERROR(VLOOKUP(F934,IMPORTRANGE(""https://docs.google.com/spreadsheets/d/1Kvs4KS76FHFqLFIZfrDMff4kP08nblUkihrxltoGBjg/edit#gid=934712705"",""ESENCIAL!A6:BG""),8,FALSE))"),"")</f>
        <v/>
      </c>
      <c r="L920" s="287"/>
      <c r="U920" s="40"/>
      <c r="AU920" s="41" t="str">
        <f t="shared" si="24"/>
        <v/>
      </c>
      <c r="AV920" s="5" t="str">
        <f ca="1">IFERROR(__xludf.DUMMYFUNCTION("IFERROR(VLOOKUP(E934&amp;F934,IMPORTRANGE(""https://docs.google.com/spreadsheets/d/1Uw7-A9f9R21vMXxHZFNpYNeKFtG8_yji4HS352LGlSQ/edit?pli=1#gid=0"",""1_ACUM!A4:S""),11,FALSE))"),"")</f>
        <v/>
      </c>
      <c r="AW920" s="42" t="str">
        <f ca="1">IFERROR(__xludf.DUMMYFUNCTION("IFERROR(VLOOKUP(F934,IMPORTRANGE(""https://docs.google.com/spreadsheets/d/1Kvs4KS76FHFqLFIZfrDMff4kP08nblUkihrxltoGBjg/edit#gid=934712705"",""ESENCIAL!A6:BG""),15,FALSE))"),"")</f>
        <v/>
      </c>
      <c r="AX920" s="21" t="str">
        <f ca="1">IFERROR(__xludf.DUMMYFUNCTION("IFERROR(VLOOKUP(E934&amp;F934,IMPORTRANGE(""https://docs.google.com/spreadsheets/d/1Uw7-A9f9R21vMXxHZFNpYNeKFtG8_yji4HS352LGlSQ/edit?pli=1#gid=0"",""1_ACUM!A4:S""),12,FALSE))"),"")</f>
        <v/>
      </c>
      <c r="AY920" s="43" t="str">
        <f ca="1">IFERROR(__xludf.DUMMYFUNCTION("IFERROR(VLOOKUP(E934&amp;F934,IMPORTRANGE(""https://docs.google.com/spreadsheets/d/1Uw7-A9f9R21vMXxHZFNpYNeKFtG8_yji4HS352LGlSQ/edit?pli=1#gid=0"",""1_ACUM!A4:S""),13,FALSE))"),"")</f>
        <v/>
      </c>
      <c r="AZ920" s="43" t="str">
        <f ca="1">IFERROR(__xludf.DUMMYFUNCTION("IFERROR(VLOOKUP(E934&amp;F934,IMPORTRANGE(""https://docs.google.com/spreadsheets/d/1Uw7-A9f9R21vMXxHZFNpYNeKFtG8_yji4HS352LGlSQ/edit?pli=1#gid=0"",""1_ACUM!A4:S""),14,FALSE))"),"")</f>
        <v/>
      </c>
      <c r="BA920" s="43" t="str">
        <f ca="1">IFERROR(__xludf.DUMMYFUNCTION("IFERROR(VLOOKUP(E934&amp;F934,IMPORTRANGE(""https://docs.google.com/spreadsheets/d/1Uw7-A9f9R21vMXxHZFNpYNeKFtG8_yji4HS352LGlSQ/edit?pli=1#gid=0"",""1_ACUM!A4:S""),15,FALSE))"),"")</f>
        <v/>
      </c>
      <c r="BB920" s="43" t="str">
        <f ca="1">IFERROR(__xludf.DUMMYFUNCTION("IFERROR(VLOOKUP(E934&amp;F934,IMPORTRANGE(""https://docs.google.com/spreadsheets/d/1Uw7-A9f9R21vMXxHZFNpYNeKFtG8_yji4HS352LGlSQ/edit?pli=1#gid=0"",""1_ACUM!A4:S""),16,FALSE))"),"")</f>
        <v/>
      </c>
      <c r="BC920" s="43" t="str">
        <f ca="1">IFERROR(__xludf.DUMMYFUNCTION("IFERROR(VLOOKUP(E934&amp;F934,IMPORTRANGE(""https://docs.google.com/spreadsheets/d/1Uw7-A9f9R21vMXxHZFNpYNeKFtG8_yji4HS352LGlSQ/edit?pli=1#gid=0"",""1_ACUM!A4:S""),17,FALSE))"),"")</f>
        <v/>
      </c>
      <c r="BD920" s="44" t="str">
        <f ca="1">IFERROR(__xludf.DUMMYFUNCTION("IFERROR(VLOOKUP(E934&amp;F934,IMPORTRANGE(""https://docs.google.com/spreadsheets/d/1Uw7-A9f9R21vMXxHZFNpYNeKFtG8_yji4HS352LGlSQ/edit?pli=1#gid=0"",""1_ACUM!A4:S""),18,FALSE))"),"")</f>
        <v/>
      </c>
      <c r="BE920" s="44" t="str">
        <f ca="1">IFERROR(__xludf.DUMMYFUNCTION("IFERROR(VLOOKUP(E934&amp;F934,IMPORTRANGE(""https://docs.google.com/spreadsheets/d/1Uw7-A9f9R21vMXxHZFNpYNeKFtG8_yji4HS352LGlSQ/edit?pli=1#gid=0"",""1_ACUM!A4:S""),19,FALSE))"),"")</f>
        <v/>
      </c>
      <c r="BF920" s="98" t="str">
        <f ca="1">IFERROR(__xludf.DUMMYFUNCTION("IFERROR(VLOOKUP(F934,IMPORTRANGE(""https://docs.google.com/spreadsheets/d/1Kvs4KS76FHFqLFIZfrDMff4kP08nblUkihrxltoGBjg/edit#gid=934712705"",""ESENCIAL!A6:BG""),5,FALSE))"),"")</f>
        <v/>
      </c>
      <c r="BG920" s="98" t="str">
        <f t="shared" si="25"/>
        <v/>
      </c>
      <c r="BH920" s="99" t="str">
        <f t="shared" si="26"/>
        <v/>
      </c>
      <c r="BI920" s="100" t="str">
        <f ca="1">IFERROR(__xludf.DUMMYFUNCTION("IFERROR(VLOOKUP(F934,IMPORTRANGE(""https://docs.google.com/spreadsheets/d/1Kvs4KS76FHFqLFIZfrDMff4kP08nblUkihrxltoGBjg/edit#gid=934712705"",""ESENCIAL!A6:BG""),2,FALSE))"),"")</f>
        <v/>
      </c>
      <c r="BJ920" s="19" t="str">
        <f t="shared" si="27"/>
        <v/>
      </c>
      <c r="BK920" s="100"/>
      <c r="BL920" s="100"/>
    </row>
    <row r="921" spans="1:64" ht="15">
      <c r="A921" s="5"/>
      <c r="B921" s="5"/>
      <c r="G921" s="5" t="str">
        <f ca="1">IFERROR(__xludf.DUMMYFUNCTION("IFERROR(VLOOKUP(F935,IMPORTRANGE(""https://docs.google.com/spreadsheets/d/1Kvs4KS76FHFqLFIZfrDMff4kP08nblUkihrxltoGBjg/edit#gid=934712705"",""ESENCIAL!A6:BG""),3,FALSE))"),"")</f>
        <v/>
      </c>
      <c r="H921" s="5" t="str">
        <f ca="1">IFERROR(__xludf.DUMMYFUNCTION("IFERROR(VLOOKUP(F935,IMPORTRANGE(""https://docs.google.com/spreadsheets/d/1Kvs4KS76FHFqLFIZfrDMff4kP08nblUkihrxltoGBjg/edit#gid=934712705"",""ESENCIAL!A6:BG""),8,FALSE))"),"")</f>
        <v/>
      </c>
      <c r="L921" s="287"/>
      <c r="U921" s="40"/>
      <c r="AU921" s="41" t="str">
        <f t="shared" si="24"/>
        <v/>
      </c>
      <c r="AV921" s="5" t="str">
        <f ca="1">IFERROR(__xludf.DUMMYFUNCTION("IFERROR(VLOOKUP(E935&amp;F935,IMPORTRANGE(""https://docs.google.com/spreadsheets/d/1Uw7-A9f9R21vMXxHZFNpYNeKFtG8_yji4HS352LGlSQ/edit?pli=1#gid=0"",""1_ACUM!A4:S""),11,FALSE))"),"")</f>
        <v/>
      </c>
      <c r="AW921" s="42" t="str">
        <f ca="1">IFERROR(__xludf.DUMMYFUNCTION("IFERROR(VLOOKUP(F935,IMPORTRANGE(""https://docs.google.com/spreadsheets/d/1Kvs4KS76FHFqLFIZfrDMff4kP08nblUkihrxltoGBjg/edit#gid=934712705"",""ESENCIAL!A6:BG""),15,FALSE))"),"")</f>
        <v/>
      </c>
      <c r="AX921" s="21" t="str">
        <f ca="1">IFERROR(__xludf.DUMMYFUNCTION("IFERROR(VLOOKUP(E935&amp;F935,IMPORTRANGE(""https://docs.google.com/spreadsheets/d/1Uw7-A9f9R21vMXxHZFNpYNeKFtG8_yji4HS352LGlSQ/edit?pli=1#gid=0"",""1_ACUM!A4:S""),12,FALSE))"),"")</f>
        <v/>
      </c>
      <c r="AY921" s="43" t="str">
        <f ca="1">IFERROR(__xludf.DUMMYFUNCTION("IFERROR(VLOOKUP(E935&amp;F935,IMPORTRANGE(""https://docs.google.com/spreadsheets/d/1Uw7-A9f9R21vMXxHZFNpYNeKFtG8_yji4HS352LGlSQ/edit?pli=1#gid=0"",""1_ACUM!A4:S""),13,FALSE))"),"")</f>
        <v/>
      </c>
      <c r="AZ921" s="43" t="str">
        <f ca="1">IFERROR(__xludf.DUMMYFUNCTION("IFERROR(VLOOKUP(E935&amp;F935,IMPORTRANGE(""https://docs.google.com/spreadsheets/d/1Uw7-A9f9R21vMXxHZFNpYNeKFtG8_yji4HS352LGlSQ/edit?pli=1#gid=0"",""1_ACUM!A4:S""),14,FALSE))"),"")</f>
        <v/>
      </c>
      <c r="BA921" s="43" t="str">
        <f ca="1">IFERROR(__xludf.DUMMYFUNCTION("IFERROR(VLOOKUP(E935&amp;F935,IMPORTRANGE(""https://docs.google.com/spreadsheets/d/1Uw7-A9f9R21vMXxHZFNpYNeKFtG8_yji4HS352LGlSQ/edit?pli=1#gid=0"",""1_ACUM!A4:S""),15,FALSE))"),"")</f>
        <v/>
      </c>
      <c r="BB921" s="43" t="str">
        <f ca="1">IFERROR(__xludf.DUMMYFUNCTION("IFERROR(VLOOKUP(E935&amp;F935,IMPORTRANGE(""https://docs.google.com/spreadsheets/d/1Uw7-A9f9R21vMXxHZFNpYNeKFtG8_yji4HS352LGlSQ/edit?pli=1#gid=0"",""1_ACUM!A4:S""),16,FALSE))"),"")</f>
        <v/>
      </c>
      <c r="BC921" s="43" t="str">
        <f ca="1">IFERROR(__xludf.DUMMYFUNCTION("IFERROR(VLOOKUP(E935&amp;F935,IMPORTRANGE(""https://docs.google.com/spreadsheets/d/1Uw7-A9f9R21vMXxHZFNpYNeKFtG8_yji4HS352LGlSQ/edit?pli=1#gid=0"",""1_ACUM!A4:S""),17,FALSE))"),"")</f>
        <v/>
      </c>
      <c r="BD921" s="44" t="str">
        <f ca="1">IFERROR(__xludf.DUMMYFUNCTION("IFERROR(VLOOKUP(E935&amp;F935,IMPORTRANGE(""https://docs.google.com/spreadsheets/d/1Uw7-A9f9R21vMXxHZFNpYNeKFtG8_yji4HS352LGlSQ/edit?pli=1#gid=0"",""1_ACUM!A4:S""),18,FALSE))"),"")</f>
        <v/>
      </c>
      <c r="BE921" s="44" t="str">
        <f ca="1">IFERROR(__xludf.DUMMYFUNCTION("IFERROR(VLOOKUP(E935&amp;F935,IMPORTRANGE(""https://docs.google.com/spreadsheets/d/1Uw7-A9f9R21vMXxHZFNpYNeKFtG8_yji4HS352LGlSQ/edit?pli=1#gid=0"",""1_ACUM!A4:S""),19,FALSE))"),"")</f>
        <v/>
      </c>
      <c r="BF921" s="98" t="str">
        <f ca="1">IFERROR(__xludf.DUMMYFUNCTION("IFERROR(VLOOKUP(F935,IMPORTRANGE(""https://docs.google.com/spreadsheets/d/1Kvs4KS76FHFqLFIZfrDMff4kP08nblUkihrxltoGBjg/edit#gid=934712705"",""ESENCIAL!A6:BG""),5,FALSE))"),"")</f>
        <v/>
      </c>
      <c r="BG921" s="98" t="str">
        <f t="shared" si="25"/>
        <v/>
      </c>
      <c r="BH921" s="99" t="str">
        <f t="shared" si="26"/>
        <v/>
      </c>
      <c r="BI921" s="100" t="str">
        <f ca="1">IFERROR(__xludf.DUMMYFUNCTION("IFERROR(VLOOKUP(F935,IMPORTRANGE(""https://docs.google.com/spreadsheets/d/1Kvs4KS76FHFqLFIZfrDMff4kP08nblUkihrxltoGBjg/edit#gid=934712705"",""ESENCIAL!A6:BG""),2,FALSE))"),"")</f>
        <v/>
      </c>
      <c r="BJ921" s="19" t="str">
        <f t="shared" si="27"/>
        <v/>
      </c>
      <c r="BK921" s="100"/>
      <c r="BL921" s="100"/>
    </row>
    <row r="922" spans="1:64" ht="15">
      <c r="A922" s="5"/>
      <c r="B922" s="5"/>
      <c r="G922" s="5" t="str">
        <f ca="1">IFERROR(__xludf.DUMMYFUNCTION("IFERROR(VLOOKUP(F936,IMPORTRANGE(""https://docs.google.com/spreadsheets/d/1Kvs4KS76FHFqLFIZfrDMff4kP08nblUkihrxltoGBjg/edit#gid=934712705"",""ESENCIAL!A6:BG""),3,FALSE))"),"")</f>
        <v/>
      </c>
      <c r="H922" s="5" t="str">
        <f ca="1">IFERROR(__xludf.DUMMYFUNCTION("IFERROR(VLOOKUP(F936,IMPORTRANGE(""https://docs.google.com/spreadsheets/d/1Kvs4KS76FHFqLFIZfrDMff4kP08nblUkihrxltoGBjg/edit#gid=934712705"",""ESENCIAL!A6:BG""),8,FALSE))"),"")</f>
        <v/>
      </c>
      <c r="L922" s="287"/>
      <c r="U922" s="40"/>
      <c r="AU922" s="41" t="str">
        <f t="shared" si="24"/>
        <v/>
      </c>
      <c r="AV922" s="5" t="str">
        <f ca="1">IFERROR(__xludf.DUMMYFUNCTION("IFERROR(VLOOKUP(E936&amp;F936,IMPORTRANGE(""https://docs.google.com/spreadsheets/d/1Uw7-A9f9R21vMXxHZFNpYNeKFtG8_yji4HS352LGlSQ/edit?pli=1#gid=0"",""1_ACUM!A4:S""),11,FALSE))"),"")</f>
        <v/>
      </c>
      <c r="AW922" s="42" t="str">
        <f ca="1">IFERROR(__xludf.DUMMYFUNCTION("IFERROR(VLOOKUP(F936,IMPORTRANGE(""https://docs.google.com/spreadsheets/d/1Kvs4KS76FHFqLFIZfrDMff4kP08nblUkihrxltoGBjg/edit#gid=934712705"",""ESENCIAL!A6:BG""),15,FALSE))"),"")</f>
        <v/>
      </c>
      <c r="AX922" s="21" t="str">
        <f ca="1">IFERROR(__xludf.DUMMYFUNCTION("IFERROR(VLOOKUP(E936&amp;F936,IMPORTRANGE(""https://docs.google.com/spreadsheets/d/1Uw7-A9f9R21vMXxHZFNpYNeKFtG8_yji4HS352LGlSQ/edit?pli=1#gid=0"",""1_ACUM!A4:S""),12,FALSE))"),"")</f>
        <v/>
      </c>
      <c r="AY922" s="43" t="str">
        <f ca="1">IFERROR(__xludf.DUMMYFUNCTION("IFERROR(VLOOKUP(E936&amp;F936,IMPORTRANGE(""https://docs.google.com/spreadsheets/d/1Uw7-A9f9R21vMXxHZFNpYNeKFtG8_yji4HS352LGlSQ/edit?pli=1#gid=0"",""1_ACUM!A4:S""),13,FALSE))"),"")</f>
        <v/>
      </c>
      <c r="AZ922" s="43" t="str">
        <f ca="1">IFERROR(__xludf.DUMMYFUNCTION("IFERROR(VLOOKUP(E936&amp;F936,IMPORTRANGE(""https://docs.google.com/spreadsheets/d/1Uw7-A9f9R21vMXxHZFNpYNeKFtG8_yji4HS352LGlSQ/edit?pli=1#gid=0"",""1_ACUM!A4:S""),14,FALSE))"),"")</f>
        <v/>
      </c>
      <c r="BA922" s="43" t="str">
        <f ca="1">IFERROR(__xludf.DUMMYFUNCTION("IFERROR(VLOOKUP(E936&amp;F936,IMPORTRANGE(""https://docs.google.com/spreadsheets/d/1Uw7-A9f9R21vMXxHZFNpYNeKFtG8_yji4HS352LGlSQ/edit?pli=1#gid=0"",""1_ACUM!A4:S""),15,FALSE))"),"")</f>
        <v/>
      </c>
      <c r="BB922" s="43" t="str">
        <f ca="1">IFERROR(__xludf.DUMMYFUNCTION("IFERROR(VLOOKUP(E936&amp;F936,IMPORTRANGE(""https://docs.google.com/spreadsheets/d/1Uw7-A9f9R21vMXxHZFNpYNeKFtG8_yji4HS352LGlSQ/edit?pli=1#gid=0"",""1_ACUM!A4:S""),16,FALSE))"),"")</f>
        <v/>
      </c>
      <c r="BC922" s="43" t="str">
        <f ca="1">IFERROR(__xludf.DUMMYFUNCTION("IFERROR(VLOOKUP(E936&amp;F936,IMPORTRANGE(""https://docs.google.com/spreadsheets/d/1Uw7-A9f9R21vMXxHZFNpYNeKFtG8_yji4HS352LGlSQ/edit?pli=1#gid=0"",""1_ACUM!A4:S""),17,FALSE))"),"")</f>
        <v/>
      </c>
      <c r="BD922" s="44" t="str">
        <f ca="1">IFERROR(__xludf.DUMMYFUNCTION("IFERROR(VLOOKUP(E936&amp;F936,IMPORTRANGE(""https://docs.google.com/spreadsheets/d/1Uw7-A9f9R21vMXxHZFNpYNeKFtG8_yji4HS352LGlSQ/edit?pli=1#gid=0"",""1_ACUM!A4:S""),18,FALSE))"),"")</f>
        <v/>
      </c>
      <c r="BE922" s="44" t="str">
        <f ca="1">IFERROR(__xludf.DUMMYFUNCTION("IFERROR(VLOOKUP(E936&amp;F936,IMPORTRANGE(""https://docs.google.com/spreadsheets/d/1Uw7-A9f9R21vMXxHZFNpYNeKFtG8_yji4HS352LGlSQ/edit?pli=1#gid=0"",""1_ACUM!A4:S""),19,FALSE))"),"")</f>
        <v/>
      </c>
      <c r="BF922" s="98" t="str">
        <f ca="1">IFERROR(__xludf.DUMMYFUNCTION("IFERROR(VLOOKUP(F936,IMPORTRANGE(""https://docs.google.com/spreadsheets/d/1Kvs4KS76FHFqLFIZfrDMff4kP08nblUkihrxltoGBjg/edit#gid=934712705"",""ESENCIAL!A6:BG""),5,FALSE))"),"")</f>
        <v/>
      </c>
      <c r="BG922" s="98" t="str">
        <f t="shared" si="25"/>
        <v/>
      </c>
      <c r="BH922" s="99" t="str">
        <f t="shared" si="26"/>
        <v/>
      </c>
      <c r="BI922" s="100" t="str">
        <f ca="1">IFERROR(__xludf.DUMMYFUNCTION("IFERROR(VLOOKUP(F936,IMPORTRANGE(""https://docs.google.com/spreadsheets/d/1Kvs4KS76FHFqLFIZfrDMff4kP08nblUkihrxltoGBjg/edit#gid=934712705"",""ESENCIAL!A6:BG""),2,FALSE))"),"")</f>
        <v/>
      </c>
      <c r="BJ922" s="19" t="str">
        <f t="shared" si="27"/>
        <v/>
      </c>
      <c r="BK922" s="100"/>
      <c r="BL922" s="100"/>
    </row>
    <row r="923" spans="1:64" ht="15">
      <c r="A923" s="5"/>
      <c r="B923" s="5"/>
      <c r="G923" s="5" t="str">
        <f ca="1">IFERROR(__xludf.DUMMYFUNCTION("IFERROR(VLOOKUP(F937,IMPORTRANGE(""https://docs.google.com/spreadsheets/d/1Kvs4KS76FHFqLFIZfrDMff4kP08nblUkihrxltoGBjg/edit#gid=934712705"",""ESENCIAL!A6:BG""),3,FALSE))"),"")</f>
        <v/>
      </c>
      <c r="H923" s="5" t="str">
        <f ca="1">IFERROR(__xludf.DUMMYFUNCTION("IFERROR(VLOOKUP(F937,IMPORTRANGE(""https://docs.google.com/spreadsheets/d/1Kvs4KS76FHFqLFIZfrDMff4kP08nblUkihrxltoGBjg/edit#gid=934712705"",""ESENCIAL!A6:BG""),8,FALSE))"),"")</f>
        <v/>
      </c>
      <c r="L923" s="287"/>
      <c r="U923" s="40"/>
      <c r="AU923" s="41" t="str">
        <f t="shared" si="24"/>
        <v/>
      </c>
      <c r="AV923" s="5" t="str">
        <f ca="1">IFERROR(__xludf.DUMMYFUNCTION("IFERROR(VLOOKUP(E937&amp;F937,IMPORTRANGE(""https://docs.google.com/spreadsheets/d/1Uw7-A9f9R21vMXxHZFNpYNeKFtG8_yji4HS352LGlSQ/edit?pli=1#gid=0"",""1_ACUM!A4:S""),11,FALSE))"),"")</f>
        <v/>
      </c>
      <c r="AW923" s="42" t="str">
        <f ca="1">IFERROR(__xludf.DUMMYFUNCTION("IFERROR(VLOOKUP(F937,IMPORTRANGE(""https://docs.google.com/spreadsheets/d/1Kvs4KS76FHFqLFIZfrDMff4kP08nblUkihrxltoGBjg/edit#gid=934712705"",""ESENCIAL!A6:BG""),15,FALSE))"),"")</f>
        <v/>
      </c>
      <c r="AX923" s="21" t="str">
        <f ca="1">IFERROR(__xludf.DUMMYFUNCTION("IFERROR(VLOOKUP(E937&amp;F937,IMPORTRANGE(""https://docs.google.com/spreadsheets/d/1Uw7-A9f9R21vMXxHZFNpYNeKFtG8_yji4HS352LGlSQ/edit?pli=1#gid=0"",""1_ACUM!A4:S""),12,FALSE))"),"")</f>
        <v/>
      </c>
      <c r="AY923" s="43" t="str">
        <f ca="1">IFERROR(__xludf.DUMMYFUNCTION("IFERROR(VLOOKUP(E937&amp;F937,IMPORTRANGE(""https://docs.google.com/spreadsheets/d/1Uw7-A9f9R21vMXxHZFNpYNeKFtG8_yji4HS352LGlSQ/edit?pli=1#gid=0"",""1_ACUM!A4:S""),13,FALSE))"),"")</f>
        <v/>
      </c>
      <c r="AZ923" s="43" t="str">
        <f ca="1">IFERROR(__xludf.DUMMYFUNCTION("IFERROR(VLOOKUP(E937&amp;F937,IMPORTRANGE(""https://docs.google.com/spreadsheets/d/1Uw7-A9f9R21vMXxHZFNpYNeKFtG8_yji4HS352LGlSQ/edit?pli=1#gid=0"",""1_ACUM!A4:S""),14,FALSE))"),"")</f>
        <v/>
      </c>
      <c r="BA923" s="43" t="str">
        <f ca="1">IFERROR(__xludf.DUMMYFUNCTION("IFERROR(VLOOKUP(E937&amp;F937,IMPORTRANGE(""https://docs.google.com/spreadsheets/d/1Uw7-A9f9R21vMXxHZFNpYNeKFtG8_yji4HS352LGlSQ/edit?pli=1#gid=0"",""1_ACUM!A4:S""),15,FALSE))"),"")</f>
        <v/>
      </c>
      <c r="BB923" s="43" t="str">
        <f ca="1">IFERROR(__xludf.DUMMYFUNCTION("IFERROR(VLOOKUP(E937&amp;F937,IMPORTRANGE(""https://docs.google.com/spreadsheets/d/1Uw7-A9f9R21vMXxHZFNpYNeKFtG8_yji4HS352LGlSQ/edit?pli=1#gid=0"",""1_ACUM!A4:S""),16,FALSE))"),"")</f>
        <v/>
      </c>
      <c r="BC923" s="43" t="str">
        <f ca="1">IFERROR(__xludf.DUMMYFUNCTION("IFERROR(VLOOKUP(E937&amp;F937,IMPORTRANGE(""https://docs.google.com/spreadsheets/d/1Uw7-A9f9R21vMXxHZFNpYNeKFtG8_yji4HS352LGlSQ/edit?pli=1#gid=0"",""1_ACUM!A4:S""),17,FALSE))"),"")</f>
        <v/>
      </c>
      <c r="BD923" s="44" t="str">
        <f ca="1">IFERROR(__xludf.DUMMYFUNCTION("IFERROR(VLOOKUP(E937&amp;F937,IMPORTRANGE(""https://docs.google.com/spreadsheets/d/1Uw7-A9f9R21vMXxHZFNpYNeKFtG8_yji4HS352LGlSQ/edit?pli=1#gid=0"",""1_ACUM!A4:S""),18,FALSE))"),"")</f>
        <v/>
      </c>
      <c r="BE923" s="44" t="str">
        <f ca="1">IFERROR(__xludf.DUMMYFUNCTION("IFERROR(VLOOKUP(E937&amp;F937,IMPORTRANGE(""https://docs.google.com/spreadsheets/d/1Uw7-A9f9R21vMXxHZFNpYNeKFtG8_yji4HS352LGlSQ/edit?pli=1#gid=0"",""1_ACUM!A4:S""),19,FALSE))"),"")</f>
        <v/>
      </c>
      <c r="BF923" s="98" t="str">
        <f ca="1">IFERROR(__xludf.DUMMYFUNCTION("IFERROR(VLOOKUP(F937,IMPORTRANGE(""https://docs.google.com/spreadsheets/d/1Kvs4KS76FHFqLFIZfrDMff4kP08nblUkihrxltoGBjg/edit#gid=934712705"",""ESENCIAL!A6:BG""),5,FALSE))"),"")</f>
        <v/>
      </c>
      <c r="BG923" s="98" t="str">
        <f t="shared" si="25"/>
        <v/>
      </c>
      <c r="BH923" s="99" t="str">
        <f t="shared" si="26"/>
        <v/>
      </c>
      <c r="BI923" s="100" t="str">
        <f ca="1">IFERROR(__xludf.DUMMYFUNCTION("IFERROR(VLOOKUP(F937,IMPORTRANGE(""https://docs.google.com/spreadsheets/d/1Kvs4KS76FHFqLFIZfrDMff4kP08nblUkihrxltoGBjg/edit#gid=934712705"",""ESENCIAL!A6:BG""),2,FALSE))"),"")</f>
        <v/>
      </c>
      <c r="BJ923" s="19" t="str">
        <f t="shared" si="27"/>
        <v/>
      </c>
      <c r="BK923" s="100"/>
      <c r="BL923" s="100"/>
    </row>
    <row r="924" spans="1:64" ht="15">
      <c r="A924" s="5"/>
      <c r="B924" s="5"/>
      <c r="G924" s="5" t="str">
        <f ca="1">IFERROR(__xludf.DUMMYFUNCTION("IFERROR(VLOOKUP(F938,IMPORTRANGE(""https://docs.google.com/spreadsheets/d/1Kvs4KS76FHFqLFIZfrDMff4kP08nblUkihrxltoGBjg/edit#gid=934712705"",""ESENCIAL!A6:BG""),3,FALSE))"),"")</f>
        <v/>
      </c>
      <c r="H924" s="5" t="str">
        <f ca="1">IFERROR(__xludf.DUMMYFUNCTION("IFERROR(VLOOKUP(F938,IMPORTRANGE(""https://docs.google.com/spreadsheets/d/1Kvs4KS76FHFqLFIZfrDMff4kP08nblUkihrxltoGBjg/edit#gid=934712705"",""ESENCIAL!A6:BG""),8,FALSE))"),"")</f>
        <v/>
      </c>
      <c r="L924" s="287"/>
      <c r="U924" s="40"/>
      <c r="AU924" s="41" t="str">
        <f t="shared" si="24"/>
        <v/>
      </c>
      <c r="AV924" s="5" t="str">
        <f ca="1">IFERROR(__xludf.DUMMYFUNCTION("IFERROR(VLOOKUP(E938&amp;F938,IMPORTRANGE(""https://docs.google.com/spreadsheets/d/1Uw7-A9f9R21vMXxHZFNpYNeKFtG8_yji4HS352LGlSQ/edit?pli=1#gid=0"",""1_ACUM!A4:S""),11,FALSE))"),"")</f>
        <v/>
      </c>
      <c r="AW924" s="42" t="str">
        <f ca="1">IFERROR(__xludf.DUMMYFUNCTION("IFERROR(VLOOKUP(F938,IMPORTRANGE(""https://docs.google.com/spreadsheets/d/1Kvs4KS76FHFqLFIZfrDMff4kP08nblUkihrxltoGBjg/edit#gid=934712705"",""ESENCIAL!A6:BG""),15,FALSE))"),"")</f>
        <v/>
      </c>
      <c r="AX924" s="21" t="str">
        <f ca="1">IFERROR(__xludf.DUMMYFUNCTION("IFERROR(VLOOKUP(E938&amp;F938,IMPORTRANGE(""https://docs.google.com/spreadsheets/d/1Uw7-A9f9R21vMXxHZFNpYNeKFtG8_yji4HS352LGlSQ/edit?pli=1#gid=0"",""1_ACUM!A4:S""),12,FALSE))"),"")</f>
        <v/>
      </c>
      <c r="AY924" s="43" t="str">
        <f ca="1">IFERROR(__xludf.DUMMYFUNCTION("IFERROR(VLOOKUP(E938&amp;F938,IMPORTRANGE(""https://docs.google.com/spreadsheets/d/1Uw7-A9f9R21vMXxHZFNpYNeKFtG8_yji4HS352LGlSQ/edit?pli=1#gid=0"",""1_ACUM!A4:S""),13,FALSE))"),"")</f>
        <v/>
      </c>
      <c r="AZ924" s="43" t="str">
        <f ca="1">IFERROR(__xludf.DUMMYFUNCTION("IFERROR(VLOOKUP(E938&amp;F938,IMPORTRANGE(""https://docs.google.com/spreadsheets/d/1Uw7-A9f9R21vMXxHZFNpYNeKFtG8_yji4HS352LGlSQ/edit?pli=1#gid=0"",""1_ACUM!A4:S""),14,FALSE))"),"")</f>
        <v/>
      </c>
      <c r="BA924" s="43" t="str">
        <f ca="1">IFERROR(__xludf.DUMMYFUNCTION("IFERROR(VLOOKUP(E938&amp;F938,IMPORTRANGE(""https://docs.google.com/spreadsheets/d/1Uw7-A9f9R21vMXxHZFNpYNeKFtG8_yji4HS352LGlSQ/edit?pli=1#gid=0"",""1_ACUM!A4:S""),15,FALSE))"),"")</f>
        <v/>
      </c>
      <c r="BB924" s="43" t="str">
        <f ca="1">IFERROR(__xludf.DUMMYFUNCTION("IFERROR(VLOOKUP(E938&amp;F938,IMPORTRANGE(""https://docs.google.com/spreadsheets/d/1Uw7-A9f9R21vMXxHZFNpYNeKFtG8_yji4HS352LGlSQ/edit?pli=1#gid=0"",""1_ACUM!A4:S""),16,FALSE))"),"")</f>
        <v/>
      </c>
      <c r="BC924" s="43" t="str">
        <f ca="1">IFERROR(__xludf.DUMMYFUNCTION("IFERROR(VLOOKUP(E938&amp;F938,IMPORTRANGE(""https://docs.google.com/spreadsheets/d/1Uw7-A9f9R21vMXxHZFNpYNeKFtG8_yji4HS352LGlSQ/edit?pli=1#gid=0"",""1_ACUM!A4:S""),17,FALSE))"),"")</f>
        <v/>
      </c>
      <c r="BD924" s="44" t="str">
        <f ca="1">IFERROR(__xludf.DUMMYFUNCTION("IFERROR(VLOOKUP(E938&amp;F938,IMPORTRANGE(""https://docs.google.com/spreadsheets/d/1Uw7-A9f9R21vMXxHZFNpYNeKFtG8_yji4HS352LGlSQ/edit?pli=1#gid=0"",""1_ACUM!A4:S""),18,FALSE))"),"")</f>
        <v/>
      </c>
      <c r="BE924" s="44" t="str">
        <f ca="1">IFERROR(__xludf.DUMMYFUNCTION("IFERROR(VLOOKUP(E938&amp;F938,IMPORTRANGE(""https://docs.google.com/spreadsheets/d/1Uw7-A9f9R21vMXxHZFNpYNeKFtG8_yji4HS352LGlSQ/edit?pli=1#gid=0"",""1_ACUM!A4:S""),19,FALSE))"),"")</f>
        <v/>
      </c>
      <c r="BF924" s="98" t="str">
        <f ca="1">IFERROR(__xludf.DUMMYFUNCTION("IFERROR(VLOOKUP(F938,IMPORTRANGE(""https://docs.google.com/spreadsheets/d/1Kvs4KS76FHFqLFIZfrDMff4kP08nblUkihrxltoGBjg/edit#gid=934712705"",""ESENCIAL!A6:BG""),5,FALSE))"),"")</f>
        <v/>
      </c>
      <c r="BG924" s="98" t="str">
        <f t="shared" si="25"/>
        <v/>
      </c>
      <c r="BH924" s="99" t="str">
        <f t="shared" si="26"/>
        <v/>
      </c>
      <c r="BI924" s="100" t="str">
        <f ca="1">IFERROR(__xludf.DUMMYFUNCTION("IFERROR(VLOOKUP(F938,IMPORTRANGE(""https://docs.google.com/spreadsheets/d/1Kvs4KS76FHFqLFIZfrDMff4kP08nblUkihrxltoGBjg/edit#gid=934712705"",""ESENCIAL!A6:BG""),2,FALSE))"),"")</f>
        <v/>
      </c>
      <c r="BJ924" s="19" t="str">
        <f t="shared" si="27"/>
        <v/>
      </c>
      <c r="BK924" s="100"/>
      <c r="BL924" s="100"/>
    </row>
    <row r="925" spans="1:64" ht="15">
      <c r="A925" s="5"/>
      <c r="B925" s="5"/>
      <c r="G925" s="5" t="str">
        <f ca="1">IFERROR(__xludf.DUMMYFUNCTION("IFERROR(VLOOKUP(F939,IMPORTRANGE(""https://docs.google.com/spreadsheets/d/1Kvs4KS76FHFqLFIZfrDMff4kP08nblUkihrxltoGBjg/edit#gid=934712705"",""ESENCIAL!A6:BG""),3,FALSE))"),"")</f>
        <v/>
      </c>
      <c r="H925" s="5" t="str">
        <f ca="1">IFERROR(__xludf.DUMMYFUNCTION("IFERROR(VLOOKUP(F939,IMPORTRANGE(""https://docs.google.com/spreadsheets/d/1Kvs4KS76FHFqLFIZfrDMff4kP08nblUkihrxltoGBjg/edit#gid=934712705"",""ESENCIAL!A6:BG""),8,FALSE))"),"")</f>
        <v/>
      </c>
      <c r="L925" s="287"/>
      <c r="U925" s="40"/>
      <c r="AU925" s="41" t="str">
        <f t="shared" si="24"/>
        <v/>
      </c>
      <c r="AV925" s="5" t="str">
        <f ca="1">IFERROR(__xludf.DUMMYFUNCTION("IFERROR(VLOOKUP(E939&amp;F939,IMPORTRANGE(""https://docs.google.com/spreadsheets/d/1Uw7-A9f9R21vMXxHZFNpYNeKFtG8_yji4HS352LGlSQ/edit?pli=1#gid=0"",""1_ACUM!A4:S""),11,FALSE))"),"")</f>
        <v/>
      </c>
      <c r="AW925" s="42" t="str">
        <f ca="1">IFERROR(__xludf.DUMMYFUNCTION("IFERROR(VLOOKUP(F939,IMPORTRANGE(""https://docs.google.com/spreadsheets/d/1Kvs4KS76FHFqLFIZfrDMff4kP08nblUkihrxltoGBjg/edit#gid=934712705"",""ESENCIAL!A6:BG""),15,FALSE))"),"")</f>
        <v/>
      </c>
      <c r="AX925" s="21" t="str">
        <f ca="1">IFERROR(__xludf.DUMMYFUNCTION("IFERROR(VLOOKUP(E939&amp;F939,IMPORTRANGE(""https://docs.google.com/spreadsheets/d/1Uw7-A9f9R21vMXxHZFNpYNeKFtG8_yji4HS352LGlSQ/edit?pli=1#gid=0"",""1_ACUM!A4:S""),12,FALSE))"),"")</f>
        <v/>
      </c>
      <c r="AY925" s="43" t="str">
        <f ca="1">IFERROR(__xludf.DUMMYFUNCTION("IFERROR(VLOOKUP(E939&amp;F939,IMPORTRANGE(""https://docs.google.com/spreadsheets/d/1Uw7-A9f9R21vMXxHZFNpYNeKFtG8_yji4HS352LGlSQ/edit?pli=1#gid=0"",""1_ACUM!A4:S""),13,FALSE))"),"")</f>
        <v/>
      </c>
      <c r="AZ925" s="43" t="str">
        <f ca="1">IFERROR(__xludf.DUMMYFUNCTION("IFERROR(VLOOKUP(E939&amp;F939,IMPORTRANGE(""https://docs.google.com/spreadsheets/d/1Uw7-A9f9R21vMXxHZFNpYNeKFtG8_yji4HS352LGlSQ/edit?pli=1#gid=0"",""1_ACUM!A4:S""),14,FALSE))"),"")</f>
        <v/>
      </c>
      <c r="BA925" s="43" t="str">
        <f ca="1">IFERROR(__xludf.DUMMYFUNCTION("IFERROR(VLOOKUP(E939&amp;F939,IMPORTRANGE(""https://docs.google.com/spreadsheets/d/1Uw7-A9f9R21vMXxHZFNpYNeKFtG8_yji4HS352LGlSQ/edit?pli=1#gid=0"",""1_ACUM!A4:S""),15,FALSE))"),"")</f>
        <v/>
      </c>
      <c r="BB925" s="43" t="str">
        <f ca="1">IFERROR(__xludf.DUMMYFUNCTION("IFERROR(VLOOKUP(E939&amp;F939,IMPORTRANGE(""https://docs.google.com/spreadsheets/d/1Uw7-A9f9R21vMXxHZFNpYNeKFtG8_yji4HS352LGlSQ/edit?pli=1#gid=0"",""1_ACUM!A4:S""),16,FALSE))"),"")</f>
        <v/>
      </c>
      <c r="BC925" s="43" t="str">
        <f ca="1">IFERROR(__xludf.DUMMYFUNCTION("IFERROR(VLOOKUP(E939&amp;F939,IMPORTRANGE(""https://docs.google.com/spreadsheets/d/1Uw7-A9f9R21vMXxHZFNpYNeKFtG8_yji4HS352LGlSQ/edit?pli=1#gid=0"",""1_ACUM!A4:S""),17,FALSE))"),"")</f>
        <v/>
      </c>
      <c r="BD925" s="44" t="str">
        <f ca="1">IFERROR(__xludf.DUMMYFUNCTION("IFERROR(VLOOKUP(E939&amp;F939,IMPORTRANGE(""https://docs.google.com/spreadsheets/d/1Uw7-A9f9R21vMXxHZFNpYNeKFtG8_yji4HS352LGlSQ/edit?pli=1#gid=0"",""1_ACUM!A4:S""),18,FALSE))"),"")</f>
        <v/>
      </c>
      <c r="BE925" s="44" t="str">
        <f ca="1">IFERROR(__xludf.DUMMYFUNCTION("IFERROR(VLOOKUP(E939&amp;F939,IMPORTRANGE(""https://docs.google.com/spreadsheets/d/1Uw7-A9f9R21vMXxHZFNpYNeKFtG8_yji4HS352LGlSQ/edit?pli=1#gid=0"",""1_ACUM!A4:S""),19,FALSE))"),"")</f>
        <v/>
      </c>
      <c r="BF925" s="98" t="str">
        <f ca="1">IFERROR(__xludf.DUMMYFUNCTION("IFERROR(VLOOKUP(F939,IMPORTRANGE(""https://docs.google.com/spreadsheets/d/1Kvs4KS76FHFqLFIZfrDMff4kP08nblUkihrxltoGBjg/edit#gid=934712705"",""ESENCIAL!A6:BG""),5,FALSE))"),"")</f>
        <v/>
      </c>
      <c r="BG925" s="98" t="str">
        <f t="shared" si="25"/>
        <v/>
      </c>
      <c r="BH925" s="99" t="str">
        <f t="shared" si="26"/>
        <v/>
      </c>
      <c r="BI925" s="100" t="str">
        <f ca="1">IFERROR(__xludf.DUMMYFUNCTION("IFERROR(VLOOKUP(F939,IMPORTRANGE(""https://docs.google.com/spreadsheets/d/1Kvs4KS76FHFqLFIZfrDMff4kP08nblUkihrxltoGBjg/edit#gid=934712705"",""ESENCIAL!A6:BG""),2,FALSE))"),"")</f>
        <v/>
      </c>
      <c r="BJ925" s="19" t="str">
        <f t="shared" si="27"/>
        <v/>
      </c>
      <c r="BK925" s="100"/>
      <c r="BL925" s="100"/>
    </row>
    <row r="926" spans="1:64" ht="15">
      <c r="A926" s="5"/>
      <c r="B926" s="5"/>
      <c r="G926" s="5" t="str">
        <f ca="1">IFERROR(__xludf.DUMMYFUNCTION("IFERROR(VLOOKUP(F940,IMPORTRANGE(""https://docs.google.com/spreadsheets/d/1Kvs4KS76FHFqLFIZfrDMff4kP08nblUkihrxltoGBjg/edit#gid=934712705"",""ESENCIAL!A6:BG""),3,FALSE))"),"")</f>
        <v/>
      </c>
      <c r="H926" s="5" t="str">
        <f ca="1">IFERROR(__xludf.DUMMYFUNCTION("IFERROR(VLOOKUP(F940,IMPORTRANGE(""https://docs.google.com/spreadsheets/d/1Kvs4KS76FHFqLFIZfrDMff4kP08nblUkihrxltoGBjg/edit#gid=934712705"",""ESENCIAL!A6:BG""),8,FALSE))"),"")</f>
        <v/>
      </c>
      <c r="L926" s="287"/>
      <c r="U926" s="40"/>
      <c r="AU926" s="41" t="str">
        <f t="shared" si="24"/>
        <v/>
      </c>
      <c r="AV926" s="5" t="str">
        <f ca="1">IFERROR(__xludf.DUMMYFUNCTION("IFERROR(VLOOKUP(E940&amp;F940,IMPORTRANGE(""https://docs.google.com/spreadsheets/d/1Uw7-A9f9R21vMXxHZFNpYNeKFtG8_yji4HS352LGlSQ/edit?pli=1#gid=0"",""1_ACUM!A4:S""),11,FALSE))"),"")</f>
        <v/>
      </c>
      <c r="AW926" s="42" t="str">
        <f ca="1">IFERROR(__xludf.DUMMYFUNCTION("IFERROR(VLOOKUP(F940,IMPORTRANGE(""https://docs.google.com/spreadsheets/d/1Kvs4KS76FHFqLFIZfrDMff4kP08nblUkihrxltoGBjg/edit#gid=934712705"",""ESENCIAL!A6:BG""),15,FALSE))"),"")</f>
        <v/>
      </c>
      <c r="AX926" s="21" t="str">
        <f ca="1">IFERROR(__xludf.DUMMYFUNCTION("IFERROR(VLOOKUP(E940&amp;F940,IMPORTRANGE(""https://docs.google.com/spreadsheets/d/1Uw7-A9f9R21vMXxHZFNpYNeKFtG8_yji4HS352LGlSQ/edit?pli=1#gid=0"",""1_ACUM!A4:S""),12,FALSE))"),"")</f>
        <v/>
      </c>
      <c r="AY926" s="43" t="str">
        <f ca="1">IFERROR(__xludf.DUMMYFUNCTION("IFERROR(VLOOKUP(E940&amp;F940,IMPORTRANGE(""https://docs.google.com/spreadsheets/d/1Uw7-A9f9R21vMXxHZFNpYNeKFtG8_yji4HS352LGlSQ/edit?pli=1#gid=0"",""1_ACUM!A4:S""),13,FALSE))"),"")</f>
        <v/>
      </c>
      <c r="AZ926" s="43" t="str">
        <f ca="1">IFERROR(__xludf.DUMMYFUNCTION("IFERROR(VLOOKUP(E940&amp;F940,IMPORTRANGE(""https://docs.google.com/spreadsheets/d/1Uw7-A9f9R21vMXxHZFNpYNeKFtG8_yji4HS352LGlSQ/edit?pli=1#gid=0"",""1_ACUM!A4:S""),14,FALSE))"),"")</f>
        <v/>
      </c>
      <c r="BA926" s="43" t="str">
        <f ca="1">IFERROR(__xludf.DUMMYFUNCTION("IFERROR(VLOOKUP(E940&amp;F940,IMPORTRANGE(""https://docs.google.com/spreadsheets/d/1Uw7-A9f9R21vMXxHZFNpYNeKFtG8_yji4HS352LGlSQ/edit?pli=1#gid=0"",""1_ACUM!A4:S""),15,FALSE))"),"")</f>
        <v/>
      </c>
      <c r="BB926" s="43" t="str">
        <f ca="1">IFERROR(__xludf.DUMMYFUNCTION("IFERROR(VLOOKUP(E940&amp;F940,IMPORTRANGE(""https://docs.google.com/spreadsheets/d/1Uw7-A9f9R21vMXxHZFNpYNeKFtG8_yji4HS352LGlSQ/edit?pli=1#gid=0"",""1_ACUM!A4:S""),16,FALSE))"),"")</f>
        <v/>
      </c>
      <c r="BC926" s="43" t="str">
        <f ca="1">IFERROR(__xludf.DUMMYFUNCTION("IFERROR(VLOOKUP(E940&amp;F940,IMPORTRANGE(""https://docs.google.com/spreadsheets/d/1Uw7-A9f9R21vMXxHZFNpYNeKFtG8_yji4HS352LGlSQ/edit?pli=1#gid=0"",""1_ACUM!A4:S""),17,FALSE))"),"")</f>
        <v/>
      </c>
      <c r="BD926" s="44" t="str">
        <f ca="1">IFERROR(__xludf.DUMMYFUNCTION("IFERROR(VLOOKUP(E940&amp;F940,IMPORTRANGE(""https://docs.google.com/spreadsheets/d/1Uw7-A9f9R21vMXxHZFNpYNeKFtG8_yji4HS352LGlSQ/edit?pli=1#gid=0"",""1_ACUM!A4:S""),18,FALSE))"),"")</f>
        <v/>
      </c>
      <c r="BE926" s="44" t="str">
        <f ca="1">IFERROR(__xludf.DUMMYFUNCTION("IFERROR(VLOOKUP(E940&amp;F940,IMPORTRANGE(""https://docs.google.com/spreadsheets/d/1Uw7-A9f9R21vMXxHZFNpYNeKFtG8_yji4HS352LGlSQ/edit?pli=1#gid=0"",""1_ACUM!A4:S""),19,FALSE))"),"")</f>
        <v/>
      </c>
      <c r="BF926" s="98" t="str">
        <f ca="1">IFERROR(__xludf.DUMMYFUNCTION("IFERROR(VLOOKUP(F940,IMPORTRANGE(""https://docs.google.com/spreadsheets/d/1Kvs4KS76FHFqLFIZfrDMff4kP08nblUkihrxltoGBjg/edit#gid=934712705"",""ESENCIAL!A6:BG""),5,FALSE))"),"")</f>
        <v/>
      </c>
      <c r="BG926" s="98" t="str">
        <f t="shared" si="25"/>
        <v/>
      </c>
      <c r="BH926" s="99" t="str">
        <f t="shared" si="26"/>
        <v/>
      </c>
      <c r="BI926" s="100" t="str">
        <f ca="1">IFERROR(__xludf.DUMMYFUNCTION("IFERROR(VLOOKUP(F940,IMPORTRANGE(""https://docs.google.com/spreadsheets/d/1Kvs4KS76FHFqLFIZfrDMff4kP08nblUkihrxltoGBjg/edit#gid=934712705"",""ESENCIAL!A6:BG""),2,FALSE))"),"")</f>
        <v/>
      </c>
      <c r="BJ926" s="19" t="str">
        <f t="shared" si="27"/>
        <v/>
      </c>
      <c r="BK926" s="100"/>
      <c r="BL926" s="100"/>
    </row>
    <row r="927" spans="1:64" ht="15">
      <c r="A927" s="5"/>
      <c r="B927" s="5"/>
      <c r="G927" s="5" t="str">
        <f ca="1">IFERROR(__xludf.DUMMYFUNCTION("IFERROR(VLOOKUP(F941,IMPORTRANGE(""https://docs.google.com/spreadsheets/d/1Kvs4KS76FHFqLFIZfrDMff4kP08nblUkihrxltoGBjg/edit#gid=934712705"",""ESENCIAL!A6:BG""),3,FALSE))"),"")</f>
        <v/>
      </c>
      <c r="H927" s="5" t="str">
        <f ca="1">IFERROR(__xludf.DUMMYFUNCTION("IFERROR(VLOOKUP(F941,IMPORTRANGE(""https://docs.google.com/spreadsheets/d/1Kvs4KS76FHFqLFIZfrDMff4kP08nblUkihrxltoGBjg/edit#gid=934712705"",""ESENCIAL!A6:BG""),8,FALSE))"),"")</f>
        <v/>
      </c>
      <c r="L927" s="287"/>
      <c r="U927" s="40"/>
      <c r="AU927" s="41" t="str">
        <f t="shared" si="24"/>
        <v/>
      </c>
      <c r="AV927" s="5" t="str">
        <f ca="1">IFERROR(__xludf.DUMMYFUNCTION("IFERROR(VLOOKUP(E941&amp;F941,IMPORTRANGE(""https://docs.google.com/spreadsheets/d/1Uw7-A9f9R21vMXxHZFNpYNeKFtG8_yji4HS352LGlSQ/edit?pli=1#gid=0"",""1_ACUM!A4:S""),11,FALSE))"),"")</f>
        <v/>
      </c>
      <c r="AW927" s="42" t="str">
        <f ca="1">IFERROR(__xludf.DUMMYFUNCTION("IFERROR(VLOOKUP(F941,IMPORTRANGE(""https://docs.google.com/spreadsheets/d/1Kvs4KS76FHFqLFIZfrDMff4kP08nblUkihrxltoGBjg/edit#gid=934712705"",""ESENCIAL!A6:BG""),15,FALSE))"),"")</f>
        <v/>
      </c>
      <c r="AX927" s="21" t="str">
        <f ca="1">IFERROR(__xludf.DUMMYFUNCTION("IFERROR(VLOOKUP(E941&amp;F941,IMPORTRANGE(""https://docs.google.com/spreadsheets/d/1Uw7-A9f9R21vMXxHZFNpYNeKFtG8_yji4HS352LGlSQ/edit?pli=1#gid=0"",""1_ACUM!A4:S""),12,FALSE))"),"")</f>
        <v/>
      </c>
      <c r="AY927" s="43" t="str">
        <f ca="1">IFERROR(__xludf.DUMMYFUNCTION("IFERROR(VLOOKUP(E941&amp;F941,IMPORTRANGE(""https://docs.google.com/spreadsheets/d/1Uw7-A9f9R21vMXxHZFNpYNeKFtG8_yji4HS352LGlSQ/edit?pli=1#gid=0"",""1_ACUM!A4:S""),13,FALSE))"),"")</f>
        <v/>
      </c>
      <c r="AZ927" s="43" t="str">
        <f ca="1">IFERROR(__xludf.DUMMYFUNCTION("IFERROR(VLOOKUP(E941&amp;F941,IMPORTRANGE(""https://docs.google.com/spreadsheets/d/1Uw7-A9f9R21vMXxHZFNpYNeKFtG8_yji4HS352LGlSQ/edit?pli=1#gid=0"",""1_ACUM!A4:S""),14,FALSE))"),"")</f>
        <v/>
      </c>
      <c r="BA927" s="43" t="str">
        <f ca="1">IFERROR(__xludf.DUMMYFUNCTION("IFERROR(VLOOKUP(E941&amp;F941,IMPORTRANGE(""https://docs.google.com/spreadsheets/d/1Uw7-A9f9R21vMXxHZFNpYNeKFtG8_yji4HS352LGlSQ/edit?pli=1#gid=0"",""1_ACUM!A4:S""),15,FALSE))"),"")</f>
        <v/>
      </c>
      <c r="BB927" s="43" t="str">
        <f ca="1">IFERROR(__xludf.DUMMYFUNCTION("IFERROR(VLOOKUP(E941&amp;F941,IMPORTRANGE(""https://docs.google.com/spreadsheets/d/1Uw7-A9f9R21vMXxHZFNpYNeKFtG8_yji4HS352LGlSQ/edit?pli=1#gid=0"",""1_ACUM!A4:S""),16,FALSE))"),"")</f>
        <v/>
      </c>
      <c r="BC927" s="43" t="str">
        <f ca="1">IFERROR(__xludf.DUMMYFUNCTION("IFERROR(VLOOKUP(E941&amp;F941,IMPORTRANGE(""https://docs.google.com/spreadsheets/d/1Uw7-A9f9R21vMXxHZFNpYNeKFtG8_yji4HS352LGlSQ/edit?pli=1#gid=0"",""1_ACUM!A4:S""),17,FALSE))"),"")</f>
        <v/>
      </c>
      <c r="BD927" s="44" t="str">
        <f ca="1">IFERROR(__xludf.DUMMYFUNCTION("IFERROR(VLOOKUP(E941&amp;F941,IMPORTRANGE(""https://docs.google.com/spreadsheets/d/1Uw7-A9f9R21vMXxHZFNpYNeKFtG8_yji4HS352LGlSQ/edit?pli=1#gid=0"",""1_ACUM!A4:S""),18,FALSE))"),"")</f>
        <v/>
      </c>
      <c r="BE927" s="44" t="str">
        <f ca="1">IFERROR(__xludf.DUMMYFUNCTION("IFERROR(VLOOKUP(E941&amp;F941,IMPORTRANGE(""https://docs.google.com/spreadsheets/d/1Uw7-A9f9R21vMXxHZFNpYNeKFtG8_yji4HS352LGlSQ/edit?pli=1#gid=0"",""1_ACUM!A4:S""),19,FALSE))"),"")</f>
        <v/>
      </c>
      <c r="BF927" s="98" t="str">
        <f ca="1">IFERROR(__xludf.DUMMYFUNCTION("IFERROR(VLOOKUP(F941,IMPORTRANGE(""https://docs.google.com/spreadsheets/d/1Kvs4KS76FHFqLFIZfrDMff4kP08nblUkihrxltoGBjg/edit#gid=934712705"",""ESENCIAL!A6:BG""),5,FALSE))"),"")</f>
        <v/>
      </c>
      <c r="BG927" s="98" t="str">
        <f t="shared" si="25"/>
        <v/>
      </c>
      <c r="BH927" s="99" t="str">
        <f t="shared" si="26"/>
        <v/>
      </c>
      <c r="BI927" s="100" t="str">
        <f ca="1">IFERROR(__xludf.DUMMYFUNCTION("IFERROR(VLOOKUP(F941,IMPORTRANGE(""https://docs.google.com/spreadsheets/d/1Kvs4KS76FHFqLFIZfrDMff4kP08nblUkihrxltoGBjg/edit#gid=934712705"",""ESENCIAL!A6:BG""),2,FALSE))"),"")</f>
        <v/>
      </c>
      <c r="BJ927" s="19" t="str">
        <f t="shared" si="27"/>
        <v/>
      </c>
      <c r="BK927" s="100"/>
      <c r="BL927" s="100"/>
    </row>
    <row r="928" spans="1:64" ht="15">
      <c r="A928" s="5"/>
      <c r="B928" s="5"/>
      <c r="G928" s="5" t="str">
        <f ca="1">IFERROR(__xludf.DUMMYFUNCTION("IFERROR(VLOOKUP(F942,IMPORTRANGE(""https://docs.google.com/spreadsheets/d/1Kvs4KS76FHFqLFIZfrDMff4kP08nblUkihrxltoGBjg/edit#gid=934712705"",""ESENCIAL!A6:BG""),3,FALSE))"),"")</f>
        <v/>
      </c>
      <c r="H928" s="5" t="str">
        <f ca="1">IFERROR(__xludf.DUMMYFUNCTION("IFERROR(VLOOKUP(F942,IMPORTRANGE(""https://docs.google.com/spreadsheets/d/1Kvs4KS76FHFqLFIZfrDMff4kP08nblUkihrxltoGBjg/edit#gid=934712705"",""ESENCIAL!A6:BG""),8,FALSE))"),"")</f>
        <v/>
      </c>
      <c r="L928" s="287"/>
      <c r="U928" s="40"/>
      <c r="AU928" s="41" t="str">
        <f t="shared" si="24"/>
        <v/>
      </c>
      <c r="AV928" s="5" t="str">
        <f ca="1">IFERROR(__xludf.DUMMYFUNCTION("IFERROR(VLOOKUP(E942&amp;F942,IMPORTRANGE(""https://docs.google.com/spreadsheets/d/1Uw7-A9f9R21vMXxHZFNpYNeKFtG8_yji4HS352LGlSQ/edit?pli=1#gid=0"",""1_ACUM!A4:S""),11,FALSE))"),"")</f>
        <v/>
      </c>
      <c r="AW928" s="42" t="str">
        <f ca="1">IFERROR(__xludf.DUMMYFUNCTION("IFERROR(VLOOKUP(F942,IMPORTRANGE(""https://docs.google.com/spreadsheets/d/1Kvs4KS76FHFqLFIZfrDMff4kP08nblUkihrxltoGBjg/edit#gid=934712705"",""ESENCIAL!A6:BG""),15,FALSE))"),"")</f>
        <v/>
      </c>
      <c r="AX928" s="21" t="str">
        <f ca="1">IFERROR(__xludf.DUMMYFUNCTION("IFERROR(VLOOKUP(E942&amp;F942,IMPORTRANGE(""https://docs.google.com/spreadsheets/d/1Uw7-A9f9R21vMXxHZFNpYNeKFtG8_yji4HS352LGlSQ/edit?pli=1#gid=0"",""1_ACUM!A4:S""),12,FALSE))"),"")</f>
        <v/>
      </c>
      <c r="AY928" s="43" t="str">
        <f ca="1">IFERROR(__xludf.DUMMYFUNCTION("IFERROR(VLOOKUP(E942&amp;F942,IMPORTRANGE(""https://docs.google.com/spreadsheets/d/1Uw7-A9f9R21vMXxHZFNpYNeKFtG8_yji4HS352LGlSQ/edit?pli=1#gid=0"",""1_ACUM!A4:S""),13,FALSE))"),"")</f>
        <v/>
      </c>
      <c r="AZ928" s="43" t="str">
        <f ca="1">IFERROR(__xludf.DUMMYFUNCTION("IFERROR(VLOOKUP(E942&amp;F942,IMPORTRANGE(""https://docs.google.com/spreadsheets/d/1Uw7-A9f9R21vMXxHZFNpYNeKFtG8_yji4HS352LGlSQ/edit?pli=1#gid=0"",""1_ACUM!A4:S""),14,FALSE))"),"")</f>
        <v/>
      </c>
      <c r="BA928" s="43" t="str">
        <f ca="1">IFERROR(__xludf.DUMMYFUNCTION("IFERROR(VLOOKUP(E942&amp;F942,IMPORTRANGE(""https://docs.google.com/spreadsheets/d/1Uw7-A9f9R21vMXxHZFNpYNeKFtG8_yji4HS352LGlSQ/edit?pli=1#gid=0"",""1_ACUM!A4:S""),15,FALSE))"),"")</f>
        <v/>
      </c>
      <c r="BB928" s="43" t="str">
        <f ca="1">IFERROR(__xludf.DUMMYFUNCTION("IFERROR(VLOOKUP(E942&amp;F942,IMPORTRANGE(""https://docs.google.com/spreadsheets/d/1Uw7-A9f9R21vMXxHZFNpYNeKFtG8_yji4HS352LGlSQ/edit?pli=1#gid=0"",""1_ACUM!A4:S""),16,FALSE))"),"")</f>
        <v/>
      </c>
      <c r="BC928" s="43" t="str">
        <f ca="1">IFERROR(__xludf.DUMMYFUNCTION("IFERROR(VLOOKUP(E942&amp;F942,IMPORTRANGE(""https://docs.google.com/spreadsheets/d/1Uw7-A9f9R21vMXxHZFNpYNeKFtG8_yji4HS352LGlSQ/edit?pli=1#gid=0"",""1_ACUM!A4:S""),17,FALSE))"),"")</f>
        <v/>
      </c>
      <c r="BD928" s="44" t="str">
        <f ca="1">IFERROR(__xludf.DUMMYFUNCTION("IFERROR(VLOOKUP(E942&amp;F942,IMPORTRANGE(""https://docs.google.com/spreadsheets/d/1Uw7-A9f9R21vMXxHZFNpYNeKFtG8_yji4HS352LGlSQ/edit?pli=1#gid=0"",""1_ACUM!A4:S""),18,FALSE))"),"")</f>
        <v/>
      </c>
      <c r="BE928" s="44" t="str">
        <f ca="1">IFERROR(__xludf.DUMMYFUNCTION("IFERROR(VLOOKUP(E942&amp;F942,IMPORTRANGE(""https://docs.google.com/spreadsheets/d/1Uw7-A9f9R21vMXxHZFNpYNeKFtG8_yji4HS352LGlSQ/edit?pli=1#gid=0"",""1_ACUM!A4:S""),19,FALSE))"),"")</f>
        <v/>
      </c>
      <c r="BF928" s="98" t="str">
        <f ca="1">IFERROR(__xludf.DUMMYFUNCTION("IFERROR(VLOOKUP(F942,IMPORTRANGE(""https://docs.google.com/spreadsheets/d/1Kvs4KS76FHFqLFIZfrDMff4kP08nblUkihrxltoGBjg/edit#gid=934712705"",""ESENCIAL!A6:BG""),5,FALSE))"),"")</f>
        <v/>
      </c>
      <c r="BG928" s="98" t="str">
        <f t="shared" si="25"/>
        <v/>
      </c>
      <c r="BH928" s="99" t="str">
        <f t="shared" si="26"/>
        <v/>
      </c>
      <c r="BI928" s="100" t="str">
        <f ca="1">IFERROR(__xludf.DUMMYFUNCTION("IFERROR(VLOOKUP(F942,IMPORTRANGE(""https://docs.google.com/spreadsheets/d/1Kvs4KS76FHFqLFIZfrDMff4kP08nblUkihrxltoGBjg/edit#gid=934712705"",""ESENCIAL!A6:BG""),2,FALSE))"),"")</f>
        <v/>
      </c>
      <c r="BJ928" s="19" t="str">
        <f t="shared" si="27"/>
        <v/>
      </c>
      <c r="BK928" s="100"/>
      <c r="BL928" s="100"/>
    </row>
    <row r="929" spans="1:64" ht="15">
      <c r="A929" s="5"/>
      <c r="B929" s="5"/>
      <c r="G929" s="5" t="str">
        <f ca="1">IFERROR(__xludf.DUMMYFUNCTION("IFERROR(VLOOKUP(F943,IMPORTRANGE(""https://docs.google.com/spreadsheets/d/1Kvs4KS76FHFqLFIZfrDMff4kP08nblUkihrxltoGBjg/edit#gid=934712705"",""ESENCIAL!A6:BG""),3,FALSE))"),"")</f>
        <v/>
      </c>
      <c r="H929" s="5" t="str">
        <f ca="1">IFERROR(__xludf.DUMMYFUNCTION("IFERROR(VLOOKUP(F943,IMPORTRANGE(""https://docs.google.com/spreadsheets/d/1Kvs4KS76FHFqLFIZfrDMff4kP08nblUkihrxltoGBjg/edit#gid=934712705"",""ESENCIAL!A6:BG""),8,FALSE))"),"")</f>
        <v/>
      </c>
      <c r="L929" s="287"/>
      <c r="U929" s="40"/>
      <c r="AU929" s="41" t="str">
        <f t="shared" si="24"/>
        <v/>
      </c>
      <c r="AV929" s="5" t="str">
        <f ca="1">IFERROR(__xludf.DUMMYFUNCTION("IFERROR(VLOOKUP(E943&amp;F943,IMPORTRANGE(""https://docs.google.com/spreadsheets/d/1Uw7-A9f9R21vMXxHZFNpYNeKFtG8_yji4HS352LGlSQ/edit?pli=1#gid=0"",""1_ACUM!A4:S""),11,FALSE))"),"")</f>
        <v/>
      </c>
      <c r="AW929" s="42" t="str">
        <f ca="1">IFERROR(__xludf.DUMMYFUNCTION("IFERROR(VLOOKUP(F943,IMPORTRANGE(""https://docs.google.com/spreadsheets/d/1Kvs4KS76FHFqLFIZfrDMff4kP08nblUkihrxltoGBjg/edit#gid=934712705"",""ESENCIAL!A6:BG""),15,FALSE))"),"")</f>
        <v/>
      </c>
      <c r="AX929" s="21" t="str">
        <f ca="1">IFERROR(__xludf.DUMMYFUNCTION("IFERROR(VLOOKUP(E943&amp;F943,IMPORTRANGE(""https://docs.google.com/spreadsheets/d/1Uw7-A9f9R21vMXxHZFNpYNeKFtG8_yji4HS352LGlSQ/edit?pli=1#gid=0"",""1_ACUM!A4:S""),12,FALSE))"),"")</f>
        <v/>
      </c>
      <c r="AY929" s="43" t="str">
        <f ca="1">IFERROR(__xludf.DUMMYFUNCTION("IFERROR(VLOOKUP(E943&amp;F943,IMPORTRANGE(""https://docs.google.com/spreadsheets/d/1Uw7-A9f9R21vMXxHZFNpYNeKFtG8_yji4HS352LGlSQ/edit?pli=1#gid=0"",""1_ACUM!A4:S""),13,FALSE))"),"")</f>
        <v/>
      </c>
      <c r="AZ929" s="43" t="str">
        <f ca="1">IFERROR(__xludf.DUMMYFUNCTION("IFERROR(VLOOKUP(E943&amp;F943,IMPORTRANGE(""https://docs.google.com/spreadsheets/d/1Uw7-A9f9R21vMXxHZFNpYNeKFtG8_yji4HS352LGlSQ/edit?pli=1#gid=0"",""1_ACUM!A4:S""),14,FALSE))"),"")</f>
        <v/>
      </c>
      <c r="BA929" s="43" t="str">
        <f ca="1">IFERROR(__xludf.DUMMYFUNCTION("IFERROR(VLOOKUP(E943&amp;F943,IMPORTRANGE(""https://docs.google.com/spreadsheets/d/1Uw7-A9f9R21vMXxHZFNpYNeKFtG8_yji4HS352LGlSQ/edit?pli=1#gid=0"",""1_ACUM!A4:S""),15,FALSE))"),"")</f>
        <v/>
      </c>
      <c r="BB929" s="43" t="str">
        <f ca="1">IFERROR(__xludf.DUMMYFUNCTION("IFERROR(VLOOKUP(E943&amp;F943,IMPORTRANGE(""https://docs.google.com/spreadsheets/d/1Uw7-A9f9R21vMXxHZFNpYNeKFtG8_yji4HS352LGlSQ/edit?pli=1#gid=0"",""1_ACUM!A4:S""),16,FALSE))"),"")</f>
        <v/>
      </c>
      <c r="BC929" s="43" t="str">
        <f ca="1">IFERROR(__xludf.DUMMYFUNCTION("IFERROR(VLOOKUP(E943&amp;F943,IMPORTRANGE(""https://docs.google.com/spreadsheets/d/1Uw7-A9f9R21vMXxHZFNpYNeKFtG8_yji4HS352LGlSQ/edit?pli=1#gid=0"",""1_ACUM!A4:S""),17,FALSE))"),"")</f>
        <v/>
      </c>
      <c r="BD929" s="44" t="str">
        <f ca="1">IFERROR(__xludf.DUMMYFUNCTION("IFERROR(VLOOKUP(E943&amp;F943,IMPORTRANGE(""https://docs.google.com/spreadsheets/d/1Uw7-A9f9R21vMXxHZFNpYNeKFtG8_yji4HS352LGlSQ/edit?pli=1#gid=0"",""1_ACUM!A4:S""),18,FALSE))"),"")</f>
        <v/>
      </c>
      <c r="BE929" s="44" t="str">
        <f ca="1">IFERROR(__xludf.DUMMYFUNCTION("IFERROR(VLOOKUP(E943&amp;F943,IMPORTRANGE(""https://docs.google.com/spreadsheets/d/1Uw7-A9f9R21vMXxHZFNpYNeKFtG8_yji4HS352LGlSQ/edit?pli=1#gid=0"",""1_ACUM!A4:S""),19,FALSE))"),"")</f>
        <v/>
      </c>
      <c r="BF929" s="98" t="str">
        <f ca="1">IFERROR(__xludf.DUMMYFUNCTION("IFERROR(VLOOKUP(F943,IMPORTRANGE(""https://docs.google.com/spreadsheets/d/1Kvs4KS76FHFqLFIZfrDMff4kP08nblUkihrxltoGBjg/edit#gid=934712705"",""ESENCIAL!A6:BG""),5,FALSE))"),"")</f>
        <v/>
      </c>
      <c r="BG929" s="98" t="str">
        <f t="shared" si="25"/>
        <v/>
      </c>
      <c r="BH929" s="99" t="str">
        <f t="shared" si="26"/>
        <v/>
      </c>
      <c r="BI929" s="100" t="str">
        <f ca="1">IFERROR(__xludf.DUMMYFUNCTION("IFERROR(VLOOKUP(F943,IMPORTRANGE(""https://docs.google.com/spreadsheets/d/1Kvs4KS76FHFqLFIZfrDMff4kP08nblUkihrxltoGBjg/edit#gid=934712705"",""ESENCIAL!A6:BG""),2,FALSE))"),"")</f>
        <v/>
      </c>
      <c r="BJ929" s="19" t="str">
        <f t="shared" si="27"/>
        <v/>
      </c>
      <c r="BK929" s="100"/>
      <c r="BL929" s="100"/>
    </row>
    <row r="930" spans="1:64" ht="15">
      <c r="A930" s="5"/>
      <c r="B930" s="5"/>
      <c r="G930" s="5" t="str">
        <f ca="1">IFERROR(__xludf.DUMMYFUNCTION("IFERROR(VLOOKUP(F944,IMPORTRANGE(""https://docs.google.com/spreadsheets/d/1Kvs4KS76FHFqLFIZfrDMff4kP08nblUkihrxltoGBjg/edit#gid=934712705"",""ESENCIAL!A6:BG""),3,FALSE))"),"")</f>
        <v/>
      </c>
      <c r="H930" s="5" t="str">
        <f ca="1">IFERROR(__xludf.DUMMYFUNCTION("IFERROR(VLOOKUP(F944,IMPORTRANGE(""https://docs.google.com/spreadsheets/d/1Kvs4KS76FHFqLFIZfrDMff4kP08nblUkihrxltoGBjg/edit#gid=934712705"",""ESENCIAL!A6:BG""),8,FALSE))"),"")</f>
        <v/>
      </c>
      <c r="L930" s="287"/>
      <c r="U930" s="40"/>
      <c r="AU930" s="41" t="str">
        <f t="shared" si="24"/>
        <v/>
      </c>
      <c r="AV930" s="5" t="str">
        <f ca="1">IFERROR(__xludf.DUMMYFUNCTION("IFERROR(VLOOKUP(E944&amp;F944,IMPORTRANGE(""https://docs.google.com/spreadsheets/d/1Uw7-A9f9R21vMXxHZFNpYNeKFtG8_yji4HS352LGlSQ/edit?pli=1#gid=0"",""1_ACUM!A4:S""),11,FALSE))"),"")</f>
        <v/>
      </c>
      <c r="AW930" s="42" t="str">
        <f ca="1">IFERROR(__xludf.DUMMYFUNCTION("IFERROR(VLOOKUP(F944,IMPORTRANGE(""https://docs.google.com/spreadsheets/d/1Kvs4KS76FHFqLFIZfrDMff4kP08nblUkihrxltoGBjg/edit#gid=934712705"",""ESENCIAL!A6:BG""),15,FALSE))"),"")</f>
        <v/>
      </c>
      <c r="AX930" s="21" t="str">
        <f ca="1">IFERROR(__xludf.DUMMYFUNCTION("IFERROR(VLOOKUP(E944&amp;F944,IMPORTRANGE(""https://docs.google.com/spreadsheets/d/1Uw7-A9f9R21vMXxHZFNpYNeKFtG8_yji4HS352LGlSQ/edit?pli=1#gid=0"",""1_ACUM!A4:S""),12,FALSE))"),"")</f>
        <v/>
      </c>
      <c r="AY930" s="43" t="str">
        <f ca="1">IFERROR(__xludf.DUMMYFUNCTION("IFERROR(VLOOKUP(E944&amp;F944,IMPORTRANGE(""https://docs.google.com/spreadsheets/d/1Uw7-A9f9R21vMXxHZFNpYNeKFtG8_yji4HS352LGlSQ/edit?pli=1#gid=0"",""1_ACUM!A4:S""),13,FALSE))"),"")</f>
        <v/>
      </c>
      <c r="AZ930" s="43" t="str">
        <f ca="1">IFERROR(__xludf.DUMMYFUNCTION("IFERROR(VLOOKUP(E944&amp;F944,IMPORTRANGE(""https://docs.google.com/spreadsheets/d/1Uw7-A9f9R21vMXxHZFNpYNeKFtG8_yji4HS352LGlSQ/edit?pli=1#gid=0"",""1_ACUM!A4:S""),14,FALSE))"),"")</f>
        <v/>
      </c>
      <c r="BA930" s="43" t="str">
        <f ca="1">IFERROR(__xludf.DUMMYFUNCTION("IFERROR(VLOOKUP(E944&amp;F944,IMPORTRANGE(""https://docs.google.com/spreadsheets/d/1Uw7-A9f9R21vMXxHZFNpYNeKFtG8_yji4HS352LGlSQ/edit?pli=1#gid=0"",""1_ACUM!A4:S""),15,FALSE))"),"")</f>
        <v/>
      </c>
      <c r="BB930" s="43" t="str">
        <f ca="1">IFERROR(__xludf.DUMMYFUNCTION("IFERROR(VLOOKUP(E944&amp;F944,IMPORTRANGE(""https://docs.google.com/spreadsheets/d/1Uw7-A9f9R21vMXxHZFNpYNeKFtG8_yji4HS352LGlSQ/edit?pli=1#gid=0"",""1_ACUM!A4:S""),16,FALSE))"),"")</f>
        <v/>
      </c>
      <c r="BC930" s="43" t="str">
        <f ca="1">IFERROR(__xludf.DUMMYFUNCTION("IFERROR(VLOOKUP(E944&amp;F944,IMPORTRANGE(""https://docs.google.com/spreadsheets/d/1Uw7-A9f9R21vMXxHZFNpYNeKFtG8_yji4HS352LGlSQ/edit?pli=1#gid=0"",""1_ACUM!A4:S""),17,FALSE))"),"")</f>
        <v/>
      </c>
      <c r="BD930" s="44" t="str">
        <f ca="1">IFERROR(__xludf.DUMMYFUNCTION("IFERROR(VLOOKUP(E944&amp;F944,IMPORTRANGE(""https://docs.google.com/spreadsheets/d/1Uw7-A9f9R21vMXxHZFNpYNeKFtG8_yji4HS352LGlSQ/edit?pli=1#gid=0"",""1_ACUM!A4:S""),18,FALSE))"),"")</f>
        <v/>
      </c>
      <c r="BE930" s="44" t="str">
        <f ca="1">IFERROR(__xludf.DUMMYFUNCTION("IFERROR(VLOOKUP(E944&amp;F944,IMPORTRANGE(""https://docs.google.com/spreadsheets/d/1Uw7-A9f9R21vMXxHZFNpYNeKFtG8_yji4HS352LGlSQ/edit?pli=1#gid=0"",""1_ACUM!A4:S""),19,FALSE))"),"")</f>
        <v/>
      </c>
      <c r="BF930" s="98" t="str">
        <f ca="1">IFERROR(__xludf.DUMMYFUNCTION("IFERROR(VLOOKUP(F944,IMPORTRANGE(""https://docs.google.com/spreadsheets/d/1Kvs4KS76FHFqLFIZfrDMff4kP08nblUkihrxltoGBjg/edit#gid=934712705"",""ESENCIAL!A6:BG""),5,FALSE))"),"")</f>
        <v/>
      </c>
      <c r="BG930" s="98" t="str">
        <f t="shared" si="25"/>
        <v/>
      </c>
      <c r="BH930" s="99" t="str">
        <f t="shared" si="26"/>
        <v/>
      </c>
      <c r="BI930" s="100" t="str">
        <f ca="1">IFERROR(__xludf.DUMMYFUNCTION("IFERROR(VLOOKUP(F944,IMPORTRANGE(""https://docs.google.com/spreadsheets/d/1Kvs4KS76FHFqLFIZfrDMff4kP08nblUkihrxltoGBjg/edit#gid=934712705"",""ESENCIAL!A6:BG""),2,FALSE))"),"")</f>
        <v/>
      </c>
      <c r="BJ930" s="19" t="str">
        <f t="shared" si="27"/>
        <v/>
      </c>
      <c r="BK930" s="100"/>
      <c r="BL930" s="100"/>
    </row>
    <row r="931" spans="1:64" ht="15.75" customHeight="1">
      <c r="A931" s="5"/>
      <c r="G931" s="5" t="str">
        <f ca="1">IFERROR(__xludf.DUMMYFUNCTION("IFERROR(VLOOKUP(F945,IMPORTRANGE(""https://docs.google.com/spreadsheets/d/1Kvs4KS76FHFqLFIZfrDMff4kP08nblUkihrxltoGBjg/edit#gid=934712705"",""ESENCIAL!A6:BG""),3,FALSE))"),"")</f>
        <v/>
      </c>
      <c r="H931" s="5" t="str">
        <f ca="1">IFERROR(__xludf.DUMMYFUNCTION("IFERROR(VLOOKUP(F945,IMPORTRANGE(""https://docs.google.com/spreadsheets/d/1Kvs4KS76FHFqLFIZfrDMff4kP08nblUkihrxltoGBjg/edit#gid=934712705"",""ESENCIAL!A6:BG""),8,FALSE))"),"")</f>
        <v/>
      </c>
      <c r="L931" s="287"/>
      <c r="U931" s="40"/>
      <c r="AU931" s="41" t="str">
        <f t="shared" si="24"/>
        <v/>
      </c>
      <c r="AV931" s="5" t="str">
        <f ca="1">IFERROR(__xludf.DUMMYFUNCTION("IFERROR(VLOOKUP(E945&amp;F945,IMPORTRANGE(""https://docs.google.com/spreadsheets/d/1Uw7-A9f9R21vMXxHZFNpYNeKFtG8_yji4HS352LGlSQ/edit?pli=1#gid=0"",""1_ACUM!A4:S""),11,FALSE))"),"")</f>
        <v/>
      </c>
      <c r="AW931" s="42" t="str">
        <f ca="1">IFERROR(__xludf.DUMMYFUNCTION("IFERROR(VLOOKUP(F945,IMPORTRANGE(""https://docs.google.com/spreadsheets/d/1Kvs4KS76FHFqLFIZfrDMff4kP08nblUkihrxltoGBjg/edit#gid=934712705"",""ESENCIAL!A6:BG""),15,FALSE))"),"")</f>
        <v/>
      </c>
      <c r="AX931" s="21" t="str">
        <f ca="1">IFERROR(__xludf.DUMMYFUNCTION("IFERROR(VLOOKUP(E945&amp;F945,IMPORTRANGE(""https://docs.google.com/spreadsheets/d/1Uw7-A9f9R21vMXxHZFNpYNeKFtG8_yji4HS352LGlSQ/edit?pli=1#gid=0"",""1_ACUM!A4:S""),12,FALSE))"),"")</f>
        <v/>
      </c>
      <c r="AY931" s="43" t="str">
        <f ca="1">IFERROR(__xludf.DUMMYFUNCTION("IFERROR(VLOOKUP(E945&amp;F945,IMPORTRANGE(""https://docs.google.com/spreadsheets/d/1Uw7-A9f9R21vMXxHZFNpYNeKFtG8_yji4HS352LGlSQ/edit?pli=1#gid=0"",""1_ACUM!A4:S""),13,FALSE))"),"")</f>
        <v/>
      </c>
      <c r="AZ931" s="43" t="str">
        <f ca="1">IFERROR(__xludf.DUMMYFUNCTION("IFERROR(VLOOKUP(E945&amp;F945,IMPORTRANGE(""https://docs.google.com/spreadsheets/d/1Uw7-A9f9R21vMXxHZFNpYNeKFtG8_yji4HS352LGlSQ/edit?pli=1#gid=0"",""1_ACUM!A4:S""),14,FALSE))"),"")</f>
        <v/>
      </c>
      <c r="BA931" s="43" t="str">
        <f ca="1">IFERROR(__xludf.DUMMYFUNCTION("IFERROR(VLOOKUP(E945&amp;F945,IMPORTRANGE(""https://docs.google.com/spreadsheets/d/1Uw7-A9f9R21vMXxHZFNpYNeKFtG8_yji4HS352LGlSQ/edit?pli=1#gid=0"",""1_ACUM!A4:S""),15,FALSE))"),"")</f>
        <v/>
      </c>
      <c r="BB931" s="43" t="str">
        <f ca="1">IFERROR(__xludf.DUMMYFUNCTION("IFERROR(VLOOKUP(E945&amp;F945,IMPORTRANGE(""https://docs.google.com/spreadsheets/d/1Uw7-A9f9R21vMXxHZFNpYNeKFtG8_yji4HS352LGlSQ/edit?pli=1#gid=0"",""1_ACUM!A4:S""),16,FALSE))"),"")</f>
        <v/>
      </c>
      <c r="BC931" s="43" t="str">
        <f ca="1">IFERROR(__xludf.DUMMYFUNCTION("IFERROR(VLOOKUP(E945&amp;F945,IMPORTRANGE(""https://docs.google.com/spreadsheets/d/1Uw7-A9f9R21vMXxHZFNpYNeKFtG8_yji4HS352LGlSQ/edit?pli=1#gid=0"",""1_ACUM!A4:S""),17,FALSE))"),"")</f>
        <v/>
      </c>
      <c r="BD931" s="44" t="str">
        <f ca="1">IFERROR(__xludf.DUMMYFUNCTION("IFERROR(VLOOKUP(E945&amp;F945,IMPORTRANGE(""https://docs.google.com/spreadsheets/d/1Uw7-A9f9R21vMXxHZFNpYNeKFtG8_yji4HS352LGlSQ/edit?pli=1#gid=0"",""1_ACUM!A4:S""),18,FALSE))"),"")</f>
        <v/>
      </c>
      <c r="BE931" s="44" t="str">
        <f ca="1">IFERROR(__xludf.DUMMYFUNCTION("IFERROR(VLOOKUP(E945&amp;F945,IMPORTRANGE(""https://docs.google.com/spreadsheets/d/1Uw7-A9f9R21vMXxHZFNpYNeKFtG8_yji4HS352LGlSQ/edit?pli=1#gid=0"",""1_ACUM!A4:S""),19,FALSE))"),"")</f>
        <v/>
      </c>
      <c r="BF931" s="98" t="str">
        <f ca="1">IFERROR(__xludf.DUMMYFUNCTION("IFERROR(VLOOKUP(F945,IMPORTRANGE(""https://docs.google.com/spreadsheets/d/1Kvs4KS76FHFqLFIZfrDMff4kP08nblUkihrxltoGBjg/edit#gid=934712705"",""ESENCIAL!A6:BG""),5,FALSE))"),"")</f>
        <v/>
      </c>
      <c r="BG931" s="98" t="str">
        <f t="shared" si="25"/>
        <v/>
      </c>
      <c r="BH931" s="99" t="str">
        <f t="shared" si="26"/>
        <v/>
      </c>
      <c r="BI931" s="100" t="str">
        <f ca="1">IFERROR(__xludf.DUMMYFUNCTION("IFERROR(VLOOKUP(F945,IMPORTRANGE(""https://docs.google.com/spreadsheets/d/1Kvs4KS76FHFqLFIZfrDMff4kP08nblUkihrxltoGBjg/edit#gid=934712705"",""ESENCIAL!A6:BG""),2,FALSE))"),"")</f>
        <v/>
      </c>
      <c r="BJ931" s="19" t="str">
        <f t="shared" si="27"/>
        <v/>
      </c>
    </row>
    <row r="932" spans="1:64" ht="15.75" customHeight="1">
      <c r="L932" s="287"/>
    </row>
    <row r="933" spans="1:64" ht="15.75" customHeight="1">
      <c r="L933" s="287"/>
    </row>
    <row r="934" spans="1:64" ht="15.75" customHeight="1">
      <c r="L934" s="287"/>
    </row>
    <row r="935" spans="1:64" ht="15.75" customHeight="1">
      <c r="L935" s="287"/>
    </row>
    <row r="936" spans="1:64" ht="15.75" customHeight="1">
      <c r="L936" s="287"/>
    </row>
    <row r="937" spans="1:64" ht="15.75" customHeight="1">
      <c r="L937" s="287"/>
    </row>
    <row r="938" spans="1:64" ht="15.75" customHeight="1">
      <c r="L938" s="287"/>
    </row>
    <row r="939" spans="1:64" ht="15.75" customHeight="1">
      <c r="L939" s="287"/>
    </row>
    <row r="940" spans="1:64" ht="15.75" customHeight="1">
      <c r="L940" s="287"/>
    </row>
    <row r="941" spans="1:64" ht="15.75" customHeight="1">
      <c r="L941" s="287"/>
    </row>
    <row r="942" spans="1:64" ht="15.75" customHeight="1">
      <c r="L942" s="287"/>
    </row>
    <row r="943" spans="1:64" ht="15.75" customHeight="1">
      <c r="L943" s="287"/>
    </row>
    <row r="944" spans="1:64" ht="15.75" customHeight="1">
      <c r="L944" s="287"/>
    </row>
    <row r="945" spans="12:12" ht="15.75" customHeight="1">
      <c r="L945" s="287"/>
    </row>
    <row r="946" spans="12:12" ht="15.75" customHeight="1">
      <c r="L946" s="287"/>
    </row>
    <row r="947" spans="12:12" ht="15.75" customHeight="1">
      <c r="L947" s="287"/>
    </row>
    <row r="948" spans="12:12" ht="15.75" customHeight="1">
      <c r="L948" s="287"/>
    </row>
    <row r="949" spans="12:12" ht="15.75" customHeight="1">
      <c r="L949" s="287"/>
    </row>
    <row r="950" spans="12:12" ht="15.75" customHeight="1">
      <c r="L950" s="287"/>
    </row>
    <row r="951" spans="12:12" ht="15.75" customHeight="1">
      <c r="L951" s="287"/>
    </row>
    <row r="952" spans="12:12" ht="15.75" customHeight="1">
      <c r="L952" s="287"/>
    </row>
    <row r="953" spans="12:12" ht="15.75" customHeight="1">
      <c r="L953" s="287"/>
    </row>
    <row r="954" spans="12:12" ht="15.75" customHeight="1">
      <c r="L954" s="287"/>
    </row>
    <row r="955" spans="12:12" ht="15.75" customHeight="1">
      <c r="L955" s="287"/>
    </row>
    <row r="956" spans="12:12" ht="15.75" customHeight="1">
      <c r="L956" s="287"/>
    </row>
    <row r="957" spans="12:12" ht="15.75" customHeight="1">
      <c r="L957" s="287"/>
    </row>
    <row r="958" spans="12:12" ht="15.75" customHeight="1">
      <c r="L958" s="287"/>
    </row>
    <row r="959" spans="12:12" ht="15.75" customHeight="1">
      <c r="L959" s="287"/>
    </row>
    <row r="960" spans="12:12" ht="15.75" customHeight="1">
      <c r="L960" s="287"/>
    </row>
    <row r="961" spans="12:12" ht="15.75" customHeight="1">
      <c r="L961" s="287"/>
    </row>
    <row r="962" spans="12:12" ht="15.75" customHeight="1">
      <c r="L962" s="287"/>
    </row>
    <row r="963" spans="12:12" ht="15.75" customHeight="1">
      <c r="L963" s="287"/>
    </row>
    <row r="964" spans="12:12" ht="15.75" customHeight="1">
      <c r="L964" s="287"/>
    </row>
    <row r="965" spans="12:12" ht="15.75" customHeight="1">
      <c r="L965" s="287"/>
    </row>
    <row r="966" spans="12:12" ht="15.75" customHeight="1">
      <c r="L966" s="287"/>
    </row>
    <row r="967" spans="12:12" ht="15.75" customHeight="1">
      <c r="L967" s="287"/>
    </row>
    <row r="968" spans="12:12" ht="15.75" customHeight="1">
      <c r="L968" s="287"/>
    </row>
    <row r="969" spans="12:12" ht="15.75" customHeight="1">
      <c r="L969" s="287"/>
    </row>
    <row r="970" spans="12:12" ht="15.75" customHeight="1">
      <c r="L970" s="287"/>
    </row>
    <row r="971" spans="12:12" ht="15.75" customHeight="1">
      <c r="L971" s="287"/>
    </row>
    <row r="972" spans="12:12" ht="15.75" customHeight="1">
      <c r="L972" s="287"/>
    </row>
    <row r="973" spans="12:12" ht="15.75" customHeight="1">
      <c r="L973" s="287"/>
    </row>
    <row r="974" spans="12:12" ht="15.75" customHeight="1">
      <c r="L974" s="287"/>
    </row>
    <row r="975" spans="12:12" ht="15.75" customHeight="1">
      <c r="L975" s="287"/>
    </row>
    <row r="976" spans="12:12" ht="15.75" customHeight="1">
      <c r="L976" s="287"/>
    </row>
    <row r="977" spans="12:12" ht="15.75" customHeight="1">
      <c r="L977" s="287"/>
    </row>
    <row r="978" spans="12:12" ht="15.75" customHeight="1">
      <c r="L978" s="287"/>
    </row>
    <row r="979" spans="12:12" ht="15.75" customHeight="1">
      <c r="L979" s="287"/>
    </row>
    <row r="980" spans="12:12" ht="15.75" customHeight="1">
      <c r="L980" s="287"/>
    </row>
    <row r="981" spans="12:12" ht="15.75" customHeight="1">
      <c r="L981" s="287"/>
    </row>
    <row r="982" spans="12:12" ht="15.75" customHeight="1">
      <c r="L982" s="287"/>
    </row>
    <row r="983" spans="12:12" ht="15.75" customHeight="1">
      <c r="L983" s="287"/>
    </row>
    <row r="984" spans="12:12" ht="15.75" customHeight="1">
      <c r="L984" s="287"/>
    </row>
    <row r="985" spans="12:12" ht="15.75" customHeight="1">
      <c r="L985" s="287"/>
    </row>
    <row r="986" spans="12:12" ht="15.75" customHeight="1">
      <c r="L986" s="287"/>
    </row>
    <row r="987" spans="12:12" ht="15.75" customHeight="1">
      <c r="L987" s="287"/>
    </row>
    <row r="988" spans="12:12" ht="15.75" customHeight="1">
      <c r="L988" s="287"/>
    </row>
    <row r="989" spans="12:12" ht="15.75" customHeight="1">
      <c r="L989" s="287"/>
    </row>
    <row r="990" spans="12:12" ht="15.75" customHeight="1">
      <c r="L990" s="287"/>
    </row>
    <row r="991" spans="12:12" ht="15.75" customHeight="1">
      <c r="L991" s="287"/>
    </row>
    <row r="992" spans="12:12" ht="15.75" customHeight="1">
      <c r="L992" s="287"/>
    </row>
    <row r="993" spans="12:12" ht="15.75" customHeight="1">
      <c r="L993" s="287"/>
    </row>
    <row r="994" spans="12:12" ht="15.75" customHeight="1">
      <c r="L994" s="287"/>
    </row>
    <row r="995" spans="12:12" ht="15.75" customHeight="1">
      <c r="L995" s="287"/>
    </row>
    <row r="996" spans="12:12" ht="15.75" customHeight="1">
      <c r="L996" s="287"/>
    </row>
    <row r="997" spans="12:12" ht="15.75" customHeight="1">
      <c r="L997" s="287"/>
    </row>
    <row r="998" spans="12:12" ht="15.75" customHeight="1">
      <c r="L998" s="287"/>
    </row>
    <row r="999" spans="12:12" ht="15.75" customHeight="1">
      <c r="L999" s="287"/>
    </row>
    <row r="1000" spans="12:12" ht="15.75" customHeight="1">
      <c r="L1000" s="287"/>
    </row>
    <row r="1001" spans="12:12" ht="15.75" customHeight="1">
      <c r="L1001" s="287"/>
    </row>
    <row r="1002" spans="12:12" ht="15.75" customHeight="1">
      <c r="L1002" s="287"/>
    </row>
    <row r="1003" spans="12:12" ht="15.75" customHeight="1">
      <c r="L1003" s="287"/>
    </row>
    <row r="1004" spans="12:12" ht="15.75" customHeight="1">
      <c r="L1004" s="287"/>
    </row>
    <row r="1005" spans="12:12" ht="15.75" customHeight="1">
      <c r="L1005" s="287"/>
    </row>
    <row r="1006" spans="12:12" ht="15.75" customHeight="1">
      <c r="L1006" s="287"/>
    </row>
    <row r="1007" spans="12:12" ht="15.75" customHeight="1">
      <c r="L1007" s="287"/>
    </row>
    <row r="1008" spans="12:12" ht="15.75" customHeight="1">
      <c r="L1008" s="287"/>
    </row>
    <row r="1009" spans="12:12" ht="15.75" customHeight="1">
      <c r="L1009" s="287"/>
    </row>
    <row r="1010" spans="12:12" ht="15.75" customHeight="1">
      <c r="L1010" s="287"/>
    </row>
    <row r="1011" spans="12:12" ht="15.75" customHeight="1">
      <c r="L1011" s="287"/>
    </row>
    <row r="1012" spans="12:12" ht="15.75" customHeight="1">
      <c r="L1012" s="287"/>
    </row>
    <row r="1013" spans="12:12" ht="15.75" customHeight="1">
      <c r="L1013" s="287"/>
    </row>
    <row r="1014" spans="12:12" ht="15.75" customHeight="1">
      <c r="L1014" s="287"/>
    </row>
    <row r="1015" spans="12:12" ht="15.75" customHeight="1">
      <c r="L1015" s="287"/>
    </row>
    <row r="1016" spans="12:12" ht="15.75" customHeight="1">
      <c r="L1016" s="287"/>
    </row>
    <row r="1017" spans="12:12" ht="15.75" customHeight="1">
      <c r="L1017" s="287"/>
    </row>
    <row r="1018" spans="12:12" ht="15.75" customHeight="1">
      <c r="L1018" s="287"/>
    </row>
    <row r="1019" spans="12:12" ht="15.75" customHeight="1">
      <c r="L1019" s="287"/>
    </row>
    <row r="1020" spans="12:12" ht="15.75" customHeight="1">
      <c r="L1020" s="287"/>
    </row>
    <row r="1021" spans="12:12" ht="15.75" customHeight="1">
      <c r="L1021" s="287"/>
    </row>
    <row r="1022" spans="12:12" ht="15.75" customHeight="1">
      <c r="L1022" s="287"/>
    </row>
    <row r="1023" spans="12:12" ht="15.75" customHeight="1">
      <c r="L1023" s="287"/>
    </row>
    <row r="1024" spans="12:12" ht="15.75" customHeight="1">
      <c r="L1024" s="287"/>
    </row>
    <row r="1025" spans="12:12" ht="15.75" customHeight="1">
      <c r="L1025" s="287"/>
    </row>
    <row r="1026" spans="12:12" ht="15.75" customHeight="1">
      <c r="L1026" s="287"/>
    </row>
    <row r="1027" spans="12:12" ht="15.75" customHeight="1">
      <c r="L1027" s="287"/>
    </row>
    <row r="1028" spans="12:12" ht="15.75" customHeight="1">
      <c r="L1028" s="287"/>
    </row>
    <row r="1029" spans="12:12" ht="15.75" customHeight="1">
      <c r="L1029" s="287"/>
    </row>
    <row r="1030" spans="12:12" ht="15.75" customHeight="1">
      <c r="L1030" s="287"/>
    </row>
    <row r="1031" spans="12:12" ht="15.75" customHeight="1">
      <c r="L1031" s="287"/>
    </row>
    <row r="1032" spans="12:12" ht="15.75" customHeight="1">
      <c r="L1032" s="287"/>
    </row>
    <row r="1033" spans="12:12" ht="15.75" customHeight="1">
      <c r="L1033" s="287"/>
    </row>
    <row r="1034" spans="12:12" ht="15.75" customHeight="1">
      <c r="L1034" s="287"/>
    </row>
    <row r="1035" spans="12:12" ht="15.75" customHeight="1">
      <c r="L1035" s="287"/>
    </row>
    <row r="1036" spans="12:12" ht="15.75" customHeight="1">
      <c r="L1036" s="287"/>
    </row>
    <row r="1037" spans="12:12" ht="15.75" customHeight="1">
      <c r="L1037" s="287"/>
    </row>
    <row r="1038" spans="12:12" ht="15.75" customHeight="1">
      <c r="L1038" s="287"/>
    </row>
    <row r="1039" spans="12:12" ht="15.75" customHeight="1">
      <c r="L1039" s="287"/>
    </row>
    <row r="1040" spans="12:12" ht="15.75" customHeight="1">
      <c r="L1040" s="287"/>
    </row>
    <row r="1041" spans="12:12" ht="15.75" customHeight="1">
      <c r="L1041" s="287"/>
    </row>
    <row r="1042" spans="12:12" ht="15.75" customHeight="1">
      <c r="L1042" s="287"/>
    </row>
    <row r="1043" spans="12:12" ht="15.75" customHeight="1">
      <c r="L1043" s="287"/>
    </row>
    <row r="1044" spans="12:12" ht="15.75" customHeight="1">
      <c r="L1044" s="287"/>
    </row>
    <row r="1045" spans="12:12" ht="15.75" customHeight="1">
      <c r="L1045" s="287"/>
    </row>
    <row r="1046" spans="12:12" ht="15.75" customHeight="1">
      <c r="L1046" s="287"/>
    </row>
    <row r="1047" spans="12:12" ht="15.75" customHeight="1">
      <c r="L1047" s="287"/>
    </row>
    <row r="1048" spans="12:12" ht="15.75" customHeight="1">
      <c r="L1048" s="287"/>
    </row>
    <row r="1049" spans="12:12" ht="15.75" customHeight="1">
      <c r="L1049" s="287"/>
    </row>
    <row r="1050" spans="12:12" ht="15.75" customHeight="1">
      <c r="L1050" s="287"/>
    </row>
    <row r="1051" spans="12:12" ht="15.75" customHeight="1">
      <c r="L1051" s="287"/>
    </row>
    <row r="1052" spans="12:12" ht="15.75" customHeight="1">
      <c r="L1052" s="287"/>
    </row>
    <row r="1053" spans="12:12" ht="15.75" customHeight="1">
      <c r="L1053" s="287"/>
    </row>
    <row r="1054" spans="12:12" ht="15.75" customHeight="1">
      <c r="L1054" s="287"/>
    </row>
    <row r="1055" spans="12:12" ht="15.75" customHeight="1">
      <c r="L1055" s="287"/>
    </row>
    <row r="1056" spans="12:12" ht="15.75" customHeight="1">
      <c r="L1056" s="287"/>
    </row>
    <row r="1057" spans="12:12" ht="15.75" customHeight="1">
      <c r="L1057" s="287"/>
    </row>
    <row r="1058" spans="12:12" ht="15.75" customHeight="1">
      <c r="L1058" s="287"/>
    </row>
    <row r="1059" spans="12:12" ht="15.75" customHeight="1">
      <c r="L1059" s="287"/>
    </row>
    <row r="1060" spans="12:12" ht="15.75" customHeight="1">
      <c r="L1060" s="287"/>
    </row>
    <row r="1061" spans="12:12" ht="15.75" customHeight="1">
      <c r="L1061" s="287"/>
    </row>
    <row r="1062" spans="12:12" ht="15.75" customHeight="1">
      <c r="L1062" s="287"/>
    </row>
    <row r="1063" spans="12:12" ht="15.75" customHeight="1">
      <c r="L1063" s="287"/>
    </row>
    <row r="1064" spans="12:12" ht="15.75" customHeight="1">
      <c r="L1064" s="287"/>
    </row>
    <row r="1065" spans="12:12" ht="15.75" customHeight="1">
      <c r="L1065" s="287"/>
    </row>
    <row r="1066" spans="12:12" ht="15.75" customHeight="1">
      <c r="L1066" s="287"/>
    </row>
    <row r="1067" spans="12:12" ht="15.75" customHeight="1">
      <c r="L1067" s="287"/>
    </row>
    <row r="1068" spans="12:12" ht="15.75" customHeight="1">
      <c r="L1068" s="287"/>
    </row>
    <row r="1069" spans="12:12" ht="15.75" customHeight="1">
      <c r="L1069" s="287"/>
    </row>
    <row r="1070" spans="12:12" ht="15.75" customHeight="1">
      <c r="L1070" s="287"/>
    </row>
    <row r="1071" spans="12:12" ht="15.75" customHeight="1">
      <c r="L1071" s="287"/>
    </row>
    <row r="1072" spans="12:12" ht="15.75" customHeight="1">
      <c r="L1072" s="287"/>
    </row>
    <row r="1073" spans="12:12" ht="15.75" customHeight="1">
      <c r="L1073" s="287"/>
    </row>
    <row r="1074" spans="12:12" ht="15.75" customHeight="1">
      <c r="L1074" s="287"/>
    </row>
    <row r="1075" spans="12:12" ht="15.75" customHeight="1">
      <c r="L1075" s="287"/>
    </row>
    <row r="1076" spans="12:12" ht="15.75" customHeight="1">
      <c r="L1076" s="287"/>
    </row>
    <row r="1077" spans="12:12" ht="15.75" customHeight="1">
      <c r="L1077" s="287"/>
    </row>
    <row r="1078" spans="12:12" ht="15.75" customHeight="1">
      <c r="L1078" s="287"/>
    </row>
    <row r="1079" spans="12:12" ht="15.75" customHeight="1">
      <c r="L1079" s="287"/>
    </row>
    <row r="1080" spans="12:12" ht="15.75" customHeight="1">
      <c r="L1080" s="287"/>
    </row>
    <row r="1081" spans="12:12" ht="15.75" customHeight="1">
      <c r="L1081" s="287"/>
    </row>
    <row r="1082" spans="12:12" ht="15.75" customHeight="1">
      <c r="L1082" s="287"/>
    </row>
    <row r="1083" spans="12:12" ht="15.75" customHeight="1">
      <c r="L1083" s="287"/>
    </row>
    <row r="1084" spans="12:12" ht="15.75" customHeight="1">
      <c r="L1084" s="287"/>
    </row>
    <row r="1085" spans="12:12" ht="15.75" customHeight="1">
      <c r="L1085" s="287"/>
    </row>
    <row r="1086" spans="12:12" ht="15.75" customHeight="1">
      <c r="L1086" s="287"/>
    </row>
    <row r="1087" spans="12:12" ht="15.75" customHeight="1">
      <c r="L1087" s="287"/>
    </row>
    <row r="1088" spans="12:12" ht="15.75" customHeight="1">
      <c r="L1088" s="287"/>
    </row>
    <row r="1089" spans="12:12" ht="15.75" customHeight="1">
      <c r="L1089" s="287"/>
    </row>
    <row r="1090" spans="12:12" ht="15.75" customHeight="1">
      <c r="L1090" s="287"/>
    </row>
    <row r="1091" spans="12:12" ht="15.75" customHeight="1">
      <c r="L1091" s="287"/>
    </row>
    <row r="1092" spans="12:12" ht="15.75" customHeight="1">
      <c r="L1092" s="287"/>
    </row>
    <row r="1093" spans="12:12" ht="15.75" customHeight="1">
      <c r="L1093" s="287"/>
    </row>
    <row r="1094" spans="12:12" ht="15.75" customHeight="1">
      <c r="L1094" s="287"/>
    </row>
    <row r="1095" spans="12:12" ht="15.75" customHeight="1">
      <c r="L1095" s="287"/>
    </row>
    <row r="1096" spans="12:12" ht="15.75" customHeight="1">
      <c r="L1096" s="287"/>
    </row>
    <row r="1097" spans="12:12" ht="15.75" customHeight="1">
      <c r="L1097" s="287"/>
    </row>
    <row r="1098" spans="12:12" ht="15.75" customHeight="1">
      <c r="L1098" s="287"/>
    </row>
    <row r="1099" spans="12:12" ht="15.75" customHeight="1">
      <c r="L1099" s="287"/>
    </row>
    <row r="1100" spans="12:12" ht="15.75" customHeight="1">
      <c r="L1100" s="287"/>
    </row>
    <row r="1101" spans="12:12" ht="15.75" customHeight="1">
      <c r="L1101" s="287"/>
    </row>
    <row r="1102" spans="12:12" ht="15.75" customHeight="1">
      <c r="L1102" s="287"/>
    </row>
    <row r="1103" spans="12:12" ht="15.75" customHeight="1">
      <c r="L1103" s="287"/>
    </row>
    <row r="1104" spans="12:12" ht="15.75" customHeight="1">
      <c r="L1104" s="287"/>
    </row>
    <row r="1105" spans="12:12" ht="15.75" customHeight="1">
      <c r="L1105" s="287"/>
    </row>
    <row r="1106" spans="12:12" ht="15.75" customHeight="1">
      <c r="L1106" s="287"/>
    </row>
    <row r="1107" spans="12:12" ht="15.75" customHeight="1">
      <c r="L1107" s="287"/>
    </row>
    <row r="1108" spans="12:12" ht="15.75" customHeight="1">
      <c r="L1108" s="287"/>
    </row>
    <row r="1109" spans="12:12" ht="15.75" customHeight="1">
      <c r="L1109" s="287"/>
    </row>
    <row r="1110" spans="12:12" ht="15.75" customHeight="1">
      <c r="L1110" s="287"/>
    </row>
    <row r="1111" spans="12:12" ht="15.75" customHeight="1">
      <c r="L1111" s="287"/>
    </row>
    <row r="1112" spans="12:12" ht="15.75" customHeight="1">
      <c r="L1112" s="287"/>
    </row>
    <row r="1113" spans="12:12" ht="15.75" customHeight="1">
      <c r="L1113" s="287"/>
    </row>
    <row r="1114" spans="12:12" ht="15.75" customHeight="1">
      <c r="L1114" s="287"/>
    </row>
    <row r="1115" spans="12:12" ht="15.75" customHeight="1">
      <c r="L1115" s="287"/>
    </row>
    <row r="1116" spans="12:12" ht="15.75" customHeight="1">
      <c r="L1116" s="287"/>
    </row>
    <row r="1117" spans="12:12" ht="15.75" customHeight="1">
      <c r="L1117" s="287"/>
    </row>
    <row r="1118" spans="12:12" ht="15.75" customHeight="1">
      <c r="L1118" s="287"/>
    </row>
    <row r="1119" spans="12:12" ht="15.75" customHeight="1">
      <c r="L1119" s="287"/>
    </row>
    <row r="1120" spans="12:12" ht="15.75" customHeight="1">
      <c r="L1120" s="287"/>
    </row>
    <row r="1121" spans="12:12" ht="15.75" customHeight="1">
      <c r="L1121" s="287"/>
    </row>
    <row r="1122" spans="12:12" ht="15.75" customHeight="1">
      <c r="L1122" s="287"/>
    </row>
    <row r="1123" spans="12:12" ht="15.75" customHeight="1">
      <c r="L1123" s="287"/>
    </row>
    <row r="1124" spans="12:12" ht="15.75" customHeight="1">
      <c r="L1124" s="287"/>
    </row>
    <row r="1125" spans="12:12" ht="15.75" customHeight="1">
      <c r="L1125" s="287"/>
    </row>
    <row r="1126" spans="12:12" ht="15.75" customHeight="1">
      <c r="L1126" s="287"/>
    </row>
    <row r="1127" spans="12:12" ht="15.75" customHeight="1">
      <c r="L1127" s="287"/>
    </row>
    <row r="1128" spans="12:12" ht="15.75" customHeight="1">
      <c r="L1128" s="287"/>
    </row>
    <row r="1129" spans="12:12" ht="15.75" customHeight="1">
      <c r="L1129" s="287"/>
    </row>
    <row r="1130" spans="12:12" ht="15.75" customHeight="1">
      <c r="L1130" s="287"/>
    </row>
    <row r="1131" spans="12:12" ht="15.75" customHeight="1">
      <c r="L1131" s="287"/>
    </row>
    <row r="1132" spans="12:12" ht="15.75" customHeight="1">
      <c r="L1132" s="287"/>
    </row>
    <row r="1133" spans="12:12" ht="15.75" customHeight="1">
      <c r="L1133" s="287"/>
    </row>
    <row r="1134" spans="12:12" ht="15.75" customHeight="1">
      <c r="L1134" s="287"/>
    </row>
    <row r="1135" spans="12:12" ht="15.75" customHeight="1">
      <c r="L1135" s="287"/>
    </row>
    <row r="1136" spans="12:12" ht="15.75" customHeight="1">
      <c r="L1136" s="287"/>
    </row>
    <row r="1137" spans="12:12" ht="15.75" customHeight="1">
      <c r="L1137" s="287"/>
    </row>
    <row r="1138" spans="12:12" ht="15.75" customHeight="1">
      <c r="L1138" s="287"/>
    </row>
    <row r="1139" spans="12:12" ht="15.75" customHeight="1">
      <c r="L1139" s="287"/>
    </row>
    <row r="1140" spans="12:12" ht="15.75" customHeight="1">
      <c r="L1140" s="287"/>
    </row>
    <row r="1141" spans="12:12" ht="15.75" customHeight="1">
      <c r="L1141" s="287"/>
    </row>
    <row r="1142" spans="12:12" ht="15.75" customHeight="1">
      <c r="L1142" s="287"/>
    </row>
    <row r="1143" spans="12:12" ht="15.75" customHeight="1">
      <c r="L1143" s="287"/>
    </row>
    <row r="1144" spans="12:12" ht="15.75" customHeight="1">
      <c r="L1144" s="287"/>
    </row>
    <row r="1145" spans="12:12" ht="15.75" customHeight="1">
      <c r="L1145" s="287"/>
    </row>
    <row r="1146" spans="12:12" ht="15.75" customHeight="1">
      <c r="L1146" s="287"/>
    </row>
    <row r="1147" spans="12:12" ht="15.75" customHeight="1">
      <c r="L1147" s="287"/>
    </row>
    <row r="1148" spans="12:12" ht="15.75" customHeight="1">
      <c r="L1148" s="287"/>
    </row>
    <row r="1149" spans="12:12" ht="15.75" customHeight="1">
      <c r="L1149" s="287"/>
    </row>
    <row r="1150" spans="12:12" ht="15.75" customHeight="1">
      <c r="L1150" s="287"/>
    </row>
    <row r="1151" spans="12:12" ht="15.75" customHeight="1">
      <c r="L1151" s="287"/>
    </row>
    <row r="1152" spans="12:12" ht="15.75" customHeight="1">
      <c r="L1152" s="287"/>
    </row>
    <row r="1153" spans="12:12" ht="15.75" customHeight="1">
      <c r="L1153" s="287"/>
    </row>
    <row r="1154" spans="12:12" ht="15.75" customHeight="1">
      <c r="L1154" s="287"/>
    </row>
    <row r="1155" spans="12:12" ht="15.75" customHeight="1">
      <c r="L1155" s="287"/>
    </row>
    <row r="1156" spans="12:12" ht="15.75" customHeight="1">
      <c r="L1156" s="287"/>
    </row>
    <row r="1157" spans="12:12" ht="15.75" customHeight="1">
      <c r="L1157" s="287"/>
    </row>
    <row r="1158" spans="12:12" ht="15.75" customHeight="1">
      <c r="L1158" s="287"/>
    </row>
    <row r="1159" spans="12:12" ht="15.75" customHeight="1">
      <c r="L1159" s="287"/>
    </row>
    <row r="1160" spans="12:12" ht="15.75" customHeight="1">
      <c r="L1160" s="287"/>
    </row>
    <row r="1161" spans="12:12" ht="15.75" customHeight="1">
      <c r="L1161" s="287"/>
    </row>
    <row r="1162" spans="12:12" ht="15.75" customHeight="1">
      <c r="L1162" s="287"/>
    </row>
    <row r="1163" spans="12:12" ht="15.75" customHeight="1">
      <c r="L1163" s="287"/>
    </row>
  </sheetData>
  <customSheetViews>
    <customSheetView guid="{58B89FF3-C647-47FD-9CC2-FAEF34225D14}" filter="1" showAutoFilter="1">
      <pageMargins left="0" right="0" top="0" bottom="0" header="0" footer="0"/>
      <autoFilter ref="A2:AK945" xr:uid="{A5494D8F-B1C2-0C44-A690-B3504F878330}">
        <filterColumn colId="3">
          <filters blank="1">
            <filter val="TI"/>
          </filters>
        </filterColumn>
        <filterColumn colId="11">
          <filters blank="1">
            <filter val="NO HA INICIADO ETAPA PRODUCTIVA"/>
            <filter val="PASANTÍAS"/>
          </filters>
        </filterColumn>
      </autoFilter>
    </customSheetView>
    <customSheetView guid="{F538DE6E-16F6-4729-8AE2-7E15099C785E}" filter="1" showAutoFilter="1">
      <pageMargins left="0" right="0" top="0" bottom="0" header="0" footer="0"/>
      <autoFilter ref="A2:AK945" xr:uid="{7F09C073-A80A-0B4E-8F00-0E6F34779098}">
        <filterColumn colId="3">
          <filters>
            <filter val="CC"/>
            <filter val="TI"/>
          </filters>
        </filterColumn>
        <filterColumn colId="11">
          <filters blank="1">
            <filter val="NO HA INICIADO ETAPA PRODUCTIVA"/>
            <filter val="PASANTÍAS"/>
          </filters>
        </filterColumn>
      </autoFilter>
    </customSheetView>
    <customSheetView guid="{EAC82E0D-75FA-41B7-8B62-97FB6A6849EA}" filter="1" showAutoFilter="1">
      <pageMargins left="0" right="0" top="0" bottom="0" header="0" footer="0"/>
      <autoFilter ref="A2:AK945" xr:uid="{64777D40-C9B4-D24B-A0CF-972BCED663C0}">
        <filterColumn colId="1">
          <filters blank="1">
            <filter val="CONDICIONADO 18/10/2022"/>
            <filter val="FORMACIÓN 18/10/2022"/>
          </filters>
        </filterColumn>
      </autoFilter>
    </customSheetView>
    <customSheetView guid="{84E55A85-4999-488C-B8FB-CF76BA148A0B}" filter="1" showAutoFilter="1">
      <pageMargins left="0" right="0" top="0" bottom="0" header="0" footer="0"/>
      <autoFilter ref="A2:AK945" xr:uid="{DEA55752-84B7-6B46-B537-659CDBEEE41E}"/>
    </customSheetView>
  </customSheetViews>
  <mergeCells count="3">
    <mergeCell ref="C1:L1"/>
    <mergeCell ref="M1:Q1"/>
    <mergeCell ref="R1:T1"/>
  </mergeCells>
  <conditionalFormatting sqref="L54:L1163">
    <cfRule type="notContainsBlanks" dxfId="64" priority="2">
      <formula>LEN(TRIM(L54))&gt;0</formula>
    </cfRule>
  </conditionalFormatting>
  <dataValidations count="2">
    <dataValidation type="list" allowBlank="1" showInputMessage="1" showErrorMessage="1" prompt="Haz clic e introduce un valor de la lista de elementos" sqref="L3:L4 L8 L11 L15 L17:L18 L27 L33:L34 L49" xr:uid="{00000000-0002-0000-0500-000000000000}">
      <formula1>"UNIDAD PRODUCTIVA,CONTRATO DE APRENDIZAJE,NO HA INICIADO ETAPA PRODUCTIVA,NO TIENE LEGALIZACIÓN,NO VA A RELIZAR ETAPA PRODUCTIVA,PASANTÍAS,PENDIENTE,PROYECTO PRODUCTIVO,PRODUCTIVO,RENUNCIO A CONTRATO DE APRENDIZAJE,RETIRO DE SU ETAPA PRODUCTIVA,RETIRO VOL"&amp;"UNTARIO,SI REALIZO PRACTICAS,TERMINADO,TERMINO CONTRATO DE APRENDIZAJE,TRABAJADOR(A) INDEPENDIENTE,VINCULACIÓN LABORAL"</formula1>
    </dataValidation>
    <dataValidation type="list" allowBlank="1" showInputMessage="1" showErrorMessage="1" sqref="L9:L10 L12:L14 L16 L19:L26 L28:L32 L35:L48 L50:L1163 L5:L7" xr:uid="{7C2893ED-C068-4FDC-8B19-A50D975B2866}">
      <formula1>"CONTRATO DE APRENDIZAJE,NO HA INICIADO ETAPA PRODUCTIVA,PASANTÍAS,PROYECTO PRODUCTIVO,RENUNCIO A CONTRATO DE APRENDIZAJE,TERMINADO,TERMINADO EL CONTRATO,VINCULACIÓN LABORAL"</formula1>
    </dataValidation>
  </dataValidations>
  <hyperlinks>
    <hyperlink ref="J4" r:id="rId1" xr:uid="{00000000-0004-0000-0500-000000000000}"/>
    <hyperlink ref="J5" r:id="rId2" xr:uid="{00000000-0004-0000-0500-000001000000}"/>
    <hyperlink ref="J6" r:id="rId3" xr:uid="{00000000-0004-0000-0500-000003000000}"/>
    <hyperlink ref="J8" r:id="rId4" xr:uid="{00000000-0004-0000-0500-000004000000}"/>
    <hyperlink ref="Q49" r:id="rId5" xr:uid="{E4C675E4-E629-4C4C-A764-0D1DACAFC956}"/>
    <hyperlink ref="J52" r:id="rId6" xr:uid="{08F87523-0CA3-4AD9-8329-3B503E1E3A17}"/>
    <hyperlink ref="J7" r:id="rId7" xr:uid="{34A2DB4C-0287-4473-9673-1DB53EFAE62B}"/>
    <hyperlink ref="Q7" r:id="rId8" xr:uid="{C6F74212-371A-4007-8B40-7DAA2D482007}"/>
  </hyperlinks>
  <pageMargins left="0" right="0" top="0" bottom="0" header="0" footer="0"/>
  <tableParts count="1">
    <tablePart r:id="rId9"/>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L1050"/>
  <sheetViews>
    <sheetView showGridLines="0" topLeftCell="F1" workbookViewId="0">
      <selection activeCell="T20" sqref="T20"/>
    </sheetView>
  </sheetViews>
  <sheetFormatPr baseColWidth="10" defaultColWidth="12.5" defaultRowHeight="15.75" customHeight="1"/>
  <cols>
    <col min="48" max="48" width="17.5" customWidth="1"/>
  </cols>
  <sheetData>
    <row r="1" spans="1:64" ht="15">
      <c r="A1" s="124"/>
      <c r="B1" s="125"/>
      <c r="C1" s="636" t="s">
        <v>0</v>
      </c>
      <c r="D1" s="623"/>
      <c r="E1" s="623"/>
      <c r="F1" s="623"/>
      <c r="G1" s="623"/>
      <c r="H1" s="623"/>
      <c r="I1" s="623"/>
      <c r="J1" s="623"/>
      <c r="K1" s="623"/>
      <c r="L1" s="621"/>
      <c r="M1" s="637" t="s">
        <v>1</v>
      </c>
      <c r="N1" s="623"/>
      <c r="O1" s="623"/>
      <c r="P1" s="623"/>
      <c r="Q1" s="621"/>
      <c r="R1" s="638" t="s">
        <v>2</v>
      </c>
      <c r="S1" s="621"/>
      <c r="T1" s="638" t="s">
        <v>1737</v>
      </c>
      <c r="U1" s="623"/>
      <c r="V1" s="623"/>
      <c r="W1" s="623"/>
      <c r="X1" s="623"/>
      <c r="Y1" s="623"/>
      <c r="Z1" s="621"/>
      <c r="AA1" s="126"/>
      <c r="AB1" s="126"/>
      <c r="AC1" s="127"/>
      <c r="AD1" s="128"/>
      <c r="AE1" s="128"/>
      <c r="AF1" s="128"/>
      <c r="AG1" s="128"/>
      <c r="AH1" s="128"/>
      <c r="AI1" s="128"/>
      <c r="AJ1" s="128"/>
      <c r="AK1" s="128"/>
      <c r="AL1" s="128"/>
      <c r="AM1" s="128"/>
      <c r="AN1" s="128"/>
      <c r="AO1" s="128"/>
      <c r="AP1" s="128"/>
      <c r="AQ1" s="5"/>
      <c r="AR1" s="5"/>
      <c r="AS1" s="5"/>
      <c r="AT1" s="5"/>
      <c r="AU1" s="5"/>
      <c r="AV1" s="5"/>
      <c r="AW1" s="5"/>
      <c r="AX1" s="5"/>
      <c r="AY1" s="5"/>
      <c r="AZ1" s="5"/>
      <c r="BA1" s="5"/>
      <c r="BB1" s="5"/>
      <c r="BC1" s="5"/>
      <c r="BD1" s="5"/>
      <c r="BE1" s="5"/>
      <c r="BF1" s="5"/>
      <c r="BG1" s="129" t="s">
        <v>540</v>
      </c>
      <c r="BH1" s="130">
        <f ca="1">TODAY()</f>
        <v>45028</v>
      </c>
      <c r="BI1" s="5"/>
      <c r="BJ1" s="5"/>
      <c r="BK1" s="5"/>
      <c r="BL1" s="5"/>
    </row>
    <row r="2" spans="1:64" ht="68">
      <c r="A2" s="131" t="s">
        <v>3</v>
      </c>
      <c r="B2" s="132" t="s">
        <v>4</v>
      </c>
      <c r="C2" s="133" t="s">
        <v>182</v>
      </c>
      <c r="D2" s="133" t="s">
        <v>6</v>
      </c>
      <c r="E2" s="133" t="s">
        <v>7</v>
      </c>
      <c r="F2" s="134" t="s">
        <v>8</v>
      </c>
      <c r="G2" s="133" t="s">
        <v>9</v>
      </c>
      <c r="H2" s="133" t="s">
        <v>1738</v>
      </c>
      <c r="I2" s="133" t="s">
        <v>11</v>
      </c>
      <c r="J2" s="133" t="s">
        <v>12</v>
      </c>
      <c r="K2" s="133" t="s">
        <v>13</v>
      </c>
      <c r="L2" s="135" t="s">
        <v>14</v>
      </c>
      <c r="M2" s="133" t="s">
        <v>15</v>
      </c>
      <c r="N2" s="133" t="s">
        <v>16</v>
      </c>
      <c r="O2" s="133" t="s">
        <v>17</v>
      </c>
      <c r="P2" s="133" t="s">
        <v>18</v>
      </c>
      <c r="Q2" s="133" t="s">
        <v>19</v>
      </c>
      <c r="R2" s="133" t="s">
        <v>20</v>
      </c>
      <c r="S2" s="133" t="s">
        <v>21</v>
      </c>
      <c r="T2" s="132" t="s">
        <v>22</v>
      </c>
      <c r="U2" s="132" t="s">
        <v>183</v>
      </c>
      <c r="V2" s="132" t="s">
        <v>24</v>
      </c>
      <c r="W2" s="132" t="s">
        <v>184</v>
      </c>
      <c r="X2" s="132" t="s">
        <v>185</v>
      </c>
      <c r="Y2" s="132" t="s">
        <v>186</v>
      </c>
      <c r="Z2" s="132" t="s">
        <v>187</v>
      </c>
      <c r="AA2" s="132" t="s">
        <v>188</v>
      </c>
      <c r="AB2" s="132" t="s">
        <v>189</v>
      </c>
      <c r="AC2" s="136" t="s">
        <v>190</v>
      </c>
      <c r="AD2" s="132" t="s">
        <v>191</v>
      </c>
      <c r="AE2" s="132" t="s">
        <v>192</v>
      </c>
      <c r="AF2" s="134" t="s">
        <v>193</v>
      </c>
      <c r="AG2" s="132" t="s">
        <v>194</v>
      </c>
      <c r="AH2" s="134" t="s">
        <v>195</v>
      </c>
      <c r="AI2" s="132" t="s">
        <v>196</v>
      </c>
      <c r="AJ2" s="134" t="s">
        <v>197</v>
      </c>
      <c r="AK2" s="132" t="s">
        <v>198</v>
      </c>
      <c r="AL2" s="134" t="s">
        <v>199</v>
      </c>
      <c r="AM2" s="132" t="s">
        <v>200</v>
      </c>
      <c r="AN2" s="134" t="s">
        <v>201</v>
      </c>
      <c r="AO2" s="132" t="s">
        <v>202</v>
      </c>
      <c r="AP2" s="134" t="s">
        <v>203</v>
      </c>
      <c r="AQ2" s="137"/>
      <c r="AR2" s="137"/>
      <c r="AS2" s="137"/>
      <c r="AT2" s="137"/>
      <c r="AU2" s="138" t="s">
        <v>546</v>
      </c>
      <c r="AV2" s="138" t="s">
        <v>547</v>
      </c>
      <c r="AW2" s="138" t="s">
        <v>548</v>
      </c>
      <c r="AX2" s="138" t="s">
        <v>549</v>
      </c>
      <c r="AY2" s="138" t="s">
        <v>550</v>
      </c>
      <c r="AZ2" s="138" t="s">
        <v>551</v>
      </c>
      <c r="BA2" s="138" t="s">
        <v>552</v>
      </c>
      <c r="BB2" s="138" t="s">
        <v>553</v>
      </c>
      <c r="BC2" s="138" t="s">
        <v>554</v>
      </c>
      <c r="BD2" s="138" t="s">
        <v>204</v>
      </c>
      <c r="BE2" s="138" t="s">
        <v>205</v>
      </c>
      <c r="BF2" s="139" t="s">
        <v>206</v>
      </c>
      <c r="BG2" s="139" t="s">
        <v>207</v>
      </c>
      <c r="BH2" s="15" t="s">
        <v>208</v>
      </c>
      <c r="BI2" s="15" t="s">
        <v>209</v>
      </c>
      <c r="BJ2" s="15" t="s">
        <v>555</v>
      </c>
      <c r="BK2" s="15"/>
      <c r="BL2" s="15"/>
    </row>
    <row r="3" spans="1:64" ht="13">
      <c r="A3" s="40" t="str">
        <f ca="1">IFERROR(__xludf.DUMMYFUNCTION("QUERY({aprendices_con_fichas_cerradas_!A3:BL1591;CONSTRUCCION!A3:BL1591;COCINA!A3:BL1591;AREA_AMBIENTAL!A3:BL1591;AGROPECUARIA!A3:BL1591;DEPORTES!A3:BL1591;TICS!A3:BL1591},""SELECT * WHERE Col2&lt;&gt;''"")"),"")</f>
        <v/>
      </c>
      <c r="B3" s="40" t="str">
        <f ca="1">IFERROR(__xludf.DUMMYFUNCTION("""COMPUTED_VALUE"""),"FORMACION.. Revisado 06/05/2022")</f>
        <v>FORMACION.. Revisado 06/05/2022</v>
      </c>
      <c r="C3" s="40" t="str">
        <f ca="1">IFERROR(__xludf.DUMMYFUNCTION("""COMPUTED_VALUE"""),"ROMAN SANTIAGO MALES RENGIFO")</f>
        <v>ROMAN SANTIAGO MALES RENGIFO</v>
      </c>
      <c r="D3" s="40" t="str">
        <f ca="1">IFERROR(__xludf.DUMMYFUNCTION("""COMPUTED_VALUE"""),"TI")</f>
        <v>TI</v>
      </c>
      <c r="E3" s="40">
        <f ca="1">IFERROR(__xludf.DUMMYFUNCTION("""COMPUTED_VALUE"""),1004418843)</f>
        <v>1004418843</v>
      </c>
      <c r="F3" s="40">
        <f ca="1">IFERROR(__xludf.DUMMYFUNCTION("""COMPUTED_VALUE"""),1832592)</f>
        <v>1832592</v>
      </c>
      <c r="G3" s="40" t="str">
        <f ca="1">IFERROR(__xludf.DUMMYFUNCTION("""COMPUTED_VALUE"""),"TÉCNICO")</f>
        <v>TÉCNICO</v>
      </c>
      <c r="H3" s="40" t="str">
        <f ca="1">IFERROR(__xludf.DUMMYFUNCTION("""COMPUTED_VALUE"""),"DIBUJO ARQUITECTÓNICO")</f>
        <v>DIBUJO ARQUITECTÓNICO</v>
      </c>
      <c r="I3" s="40"/>
      <c r="J3" s="40" t="str">
        <f ca="1">IFERROR(__xludf.DUMMYFUNCTION("""COMPUTED_VALUE"""),"santhimales473@gmail.com")</f>
        <v>santhimales473@gmail.com</v>
      </c>
      <c r="K3" s="40"/>
      <c r="L3" s="40" t="str">
        <f ca="1">IFERROR(__xludf.DUMMYFUNCTION("""COMPUTED_VALUE"""),"NO HA INICIADO ETAPA PRODUCTIVA")</f>
        <v>NO HA INICIADO ETAPA PRODUCTIVA</v>
      </c>
      <c r="M3" s="40"/>
      <c r="N3" s="40"/>
      <c r="O3" s="40"/>
      <c r="P3" s="40"/>
      <c r="Q3" s="40"/>
      <c r="R3" s="140"/>
      <c r="S3" s="140"/>
      <c r="T3" s="40" t="str">
        <f ca="1">IFERROR(__xludf.DUMMYFUNCTION("""COMPUTED_VALUE"""),"debe resultados de promover e ingles")</f>
        <v>debe resultados de promover e ingles</v>
      </c>
      <c r="U3" s="40"/>
      <c r="V3" s="40"/>
      <c r="W3" s="40"/>
      <c r="X3" s="40"/>
      <c r="Y3" s="40"/>
      <c r="Z3" s="40"/>
      <c r="AA3" s="40" t="str">
        <f ca="1">IFERROR(__xludf.DUMMYFUNCTION("""COMPUTED_VALUE"""),"Revisado 15/06/2022")</f>
        <v>Revisado 15/06/2022</v>
      </c>
      <c r="AB3" s="40"/>
      <c r="AC3" s="40"/>
      <c r="AD3" s="40"/>
      <c r="AE3" s="40"/>
      <c r="AF3" s="40"/>
      <c r="AG3" s="40"/>
      <c r="AH3" s="40"/>
      <c r="AI3" s="40"/>
      <c r="AJ3" s="40"/>
      <c r="AK3" s="40"/>
      <c r="AL3" s="40"/>
      <c r="AM3" s="40"/>
      <c r="AN3" s="40"/>
      <c r="AO3" s="40"/>
      <c r="AP3" s="40"/>
      <c r="AQ3" s="40"/>
      <c r="AR3" s="40"/>
      <c r="AS3" s="40"/>
      <c r="AT3" s="40"/>
      <c r="AU3" s="40" t="str">
        <f ca="1">IFERROR(__xludf.DUMMYFUNCTION("""COMPUTED_VALUE"""),"NO_CUMPLE")</f>
        <v>NO_CUMPLE</v>
      </c>
      <c r="AV3" s="40" t="str">
        <f ca="1">IFERROR(__xludf.DUMMYFUNCTION("""COMPUTED_VALUE"""),"EN FORMACION")</f>
        <v>EN FORMACION</v>
      </c>
      <c r="AW3" s="40" t="str">
        <f ca="1">IFERROR(__xludf.DUMMYFUNCTION("""COMPUTED_VALUE"""),"BIOCONSTRUCCION")</f>
        <v>BIOCONSTRUCCION</v>
      </c>
      <c r="AX3" s="141">
        <f ca="1">IFERROR(__xludf.DUMMYFUNCTION("""COMPUTED_VALUE"""),44848)</f>
        <v>44848</v>
      </c>
      <c r="AY3" s="40">
        <f ca="1">IFERROR(__xludf.DUMMYFUNCTION("""COMPUTED_VALUE"""),2)</f>
        <v>2</v>
      </c>
      <c r="AZ3" s="40">
        <f ca="1">IFERROR(__xludf.DUMMYFUNCTION("""COMPUTED_VALUE"""),1)</f>
        <v>1</v>
      </c>
      <c r="BA3" s="40">
        <f ca="1">IFERROR(__xludf.DUMMYFUNCTION("""COMPUTED_VALUE"""),3)</f>
        <v>3</v>
      </c>
      <c r="BB3" s="40">
        <f ca="1">IFERROR(__xludf.DUMMYFUNCTION("""COMPUTED_VALUE"""),0)</f>
        <v>0</v>
      </c>
      <c r="BC3" s="40">
        <f ca="1">IFERROR(__xludf.DUMMYFUNCTION("""COMPUTED_VALUE"""),6)</f>
        <v>6</v>
      </c>
      <c r="BD3" s="141">
        <f ca="1">IFERROR(__xludf.DUMMYFUNCTION("""COMPUTED_VALUE"""),43577)</f>
        <v>43577</v>
      </c>
      <c r="BE3" s="141">
        <f ca="1">IFERROR(__xludf.DUMMYFUNCTION("""COMPUTED_VALUE"""),43760)</f>
        <v>43760</v>
      </c>
      <c r="BF3" s="141">
        <f ca="1">IFERROR(__xludf.DUMMYFUNCTION("""COMPUTED_VALUE"""),43943)</f>
        <v>43943</v>
      </c>
      <c r="BG3" s="141">
        <f ca="1">IFERROR(__xludf.DUMMYFUNCTION("""COMPUTED_VALUE"""),44491)</f>
        <v>44491</v>
      </c>
      <c r="BH3" s="40" t="str">
        <f ca="1">IFERROR(__xludf.DUMMYFUNCTION("""COMPUTED_VALUE"""),"FINALIZAR FICHA")</f>
        <v>FINALIZAR FICHA</v>
      </c>
      <c r="BI3" s="40" t="str">
        <f ca="1">IFERROR(__xludf.DUMMYFUNCTION("""COMPUTED_VALUE"""),"Terminada por Fecha     ")</f>
        <v xml:space="preserve">Terminada por Fecha     </v>
      </c>
      <c r="BJ3" s="40" t="str">
        <f ca="1">IFERROR(__xludf.DUMMYFUNCTION("""COMPUTED_VALUE"""),"Yamboro")</f>
        <v>Yamboro</v>
      </c>
      <c r="BK3" s="40"/>
      <c r="BL3" s="40"/>
    </row>
    <row r="4" spans="1:64" ht="13">
      <c r="A4" s="40"/>
      <c r="B4" s="40" t="str">
        <f ca="1">IFERROR(__xludf.DUMMYFUNCTION("""COMPUTED_VALUE"""),"FORMACION.. Revisado 06/05/2022")</f>
        <v>FORMACION.. Revisado 06/05/2022</v>
      </c>
      <c r="C4" s="40" t="str">
        <f ca="1">IFERROR(__xludf.DUMMYFUNCTION("""COMPUTED_VALUE"""),"MICHAEL QUIRA CATAÑO")</f>
        <v>MICHAEL QUIRA CATAÑO</v>
      </c>
      <c r="D4" s="40" t="str">
        <f ca="1">IFERROR(__xludf.DUMMYFUNCTION("""COMPUTED_VALUE"""),"TI")</f>
        <v>TI</v>
      </c>
      <c r="E4" s="40">
        <f ca="1">IFERROR(__xludf.DUMMYFUNCTION("""COMPUTED_VALUE"""),1007220910)</f>
        <v>1007220910</v>
      </c>
      <c r="F4" s="40">
        <f ca="1">IFERROR(__xludf.DUMMYFUNCTION("""COMPUTED_VALUE"""),1832592)</f>
        <v>1832592</v>
      </c>
      <c r="G4" s="40" t="str">
        <f ca="1">IFERROR(__xludf.DUMMYFUNCTION("""COMPUTED_VALUE"""),"TÉCNICO")</f>
        <v>TÉCNICO</v>
      </c>
      <c r="H4" s="40" t="str">
        <f ca="1">IFERROR(__xludf.DUMMYFUNCTION("""COMPUTED_VALUE"""),"DIBUJO ARQUITECTÓNICO")</f>
        <v>DIBUJO ARQUITECTÓNICO</v>
      </c>
      <c r="I4" s="40">
        <f ca="1">IFERROR(__xludf.DUMMYFUNCTION("""COMPUTED_VALUE"""),3209436274)</f>
        <v>3209436274</v>
      </c>
      <c r="J4" s="40" t="str">
        <f ca="1">IFERROR(__xludf.DUMMYFUNCTION("""COMPUTED_VALUE"""),"mquiracatano@gmail.com")</f>
        <v>mquiracatano@gmail.com</v>
      </c>
      <c r="K4" s="40"/>
      <c r="L4" s="40" t="str">
        <f ca="1">IFERROR(__xludf.DUMMYFUNCTION("""COMPUTED_VALUE"""),"NO HA INICIADO ETAPA PRODUCTIVA")</f>
        <v>NO HA INICIADO ETAPA PRODUCTIVA</v>
      </c>
      <c r="M4" s="40"/>
      <c r="N4" s="40"/>
      <c r="O4" s="40"/>
      <c r="P4" s="40"/>
      <c r="Q4" s="40"/>
      <c r="R4" s="140"/>
      <c r="S4" s="140"/>
      <c r="T4" s="40" t="str">
        <f ca="1">IFERROR(__xludf.DUMMYFUNCTION("""COMPUTED_VALUE"""),"debe resultados de ingles")</f>
        <v>debe resultados de ingles</v>
      </c>
      <c r="U4" s="40"/>
      <c r="V4" s="40"/>
      <c r="W4" s="40"/>
      <c r="X4" s="40"/>
      <c r="Y4" s="40"/>
      <c r="Z4" s="40"/>
      <c r="AA4" s="40" t="str">
        <f ca="1">IFERROR(__xludf.DUMMYFUNCTION("""COMPUTED_VALUE"""),"Revisado 15/06/2022")</f>
        <v>Revisado 15/06/2022</v>
      </c>
      <c r="AB4" s="40"/>
      <c r="AC4" s="40"/>
      <c r="AD4" s="40"/>
      <c r="AE4" s="40"/>
      <c r="AF4" s="40"/>
      <c r="AG4" s="40"/>
      <c r="AH4" s="40"/>
      <c r="AI4" s="40"/>
      <c r="AJ4" s="40"/>
      <c r="AK4" s="40"/>
      <c r="AL4" s="40"/>
      <c r="AM4" s="40"/>
      <c r="AN4" s="40"/>
      <c r="AO4" s="40"/>
      <c r="AP4" s="40"/>
      <c r="AQ4" s="40"/>
      <c r="AR4" s="40"/>
      <c r="AS4" s="40"/>
      <c r="AT4" s="40"/>
      <c r="AU4" s="40" t="str">
        <f ca="1">IFERROR(__xludf.DUMMYFUNCTION("""COMPUTED_VALUE"""),"NO_CUMPLE")</f>
        <v>NO_CUMPLE</v>
      </c>
      <c r="AV4" s="40" t="str">
        <f ca="1">IFERROR(__xludf.DUMMYFUNCTION("""COMPUTED_VALUE"""),"EN FORMACION")</f>
        <v>EN FORMACION</v>
      </c>
      <c r="AW4" s="40" t="str">
        <f ca="1">IFERROR(__xludf.DUMMYFUNCTION("""COMPUTED_VALUE"""),"BIOCONSTRUCCION")</f>
        <v>BIOCONSTRUCCION</v>
      </c>
      <c r="AX4" s="141">
        <f ca="1">IFERROR(__xludf.DUMMYFUNCTION("""COMPUTED_VALUE"""),44848)</f>
        <v>44848</v>
      </c>
      <c r="AY4" s="40">
        <f ca="1">IFERROR(__xludf.DUMMYFUNCTION("""COMPUTED_VALUE"""),0)</f>
        <v>0</v>
      </c>
      <c r="AZ4" s="40">
        <f ca="1">IFERROR(__xludf.DUMMYFUNCTION("""COMPUTED_VALUE"""),1)</f>
        <v>1</v>
      </c>
      <c r="BA4" s="40">
        <f ca="1">IFERROR(__xludf.DUMMYFUNCTION("""COMPUTED_VALUE"""),3)</f>
        <v>3</v>
      </c>
      <c r="BB4" s="40">
        <f ca="1">IFERROR(__xludf.DUMMYFUNCTION("""COMPUTED_VALUE"""),0)</f>
        <v>0</v>
      </c>
      <c r="BC4" s="40">
        <f ca="1">IFERROR(__xludf.DUMMYFUNCTION("""COMPUTED_VALUE"""),4)</f>
        <v>4</v>
      </c>
      <c r="BD4" s="141">
        <f ca="1">IFERROR(__xludf.DUMMYFUNCTION("""COMPUTED_VALUE"""),43577)</f>
        <v>43577</v>
      </c>
      <c r="BE4" s="141">
        <f ca="1">IFERROR(__xludf.DUMMYFUNCTION("""COMPUTED_VALUE"""),43760)</f>
        <v>43760</v>
      </c>
      <c r="BF4" s="141">
        <f ca="1">IFERROR(__xludf.DUMMYFUNCTION("""COMPUTED_VALUE"""),43943)</f>
        <v>43943</v>
      </c>
      <c r="BG4" s="141">
        <f ca="1">IFERROR(__xludf.DUMMYFUNCTION("""COMPUTED_VALUE"""),44491)</f>
        <v>44491</v>
      </c>
      <c r="BH4" s="40" t="str">
        <f ca="1">IFERROR(__xludf.DUMMYFUNCTION("""COMPUTED_VALUE"""),"FINALIZAR FICHA")</f>
        <v>FINALIZAR FICHA</v>
      </c>
      <c r="BI4" s="40" t="str">
        <f ca="1">IFERROR(__xludf.DUMMYFUNCTION("""COMPUTED_VALUE"""),"Terminada por Fecha     ")</f>
        <v xml:space="preserve">Terminada por Fecha     </v>
      </c>
      <c r="BJ4" s="40" t="str">
        <f ca="1">IFERROR(__xludf.DUMMYFUNCTION("""COMPUTED_VALUE"""),"Yamboro")</f>
        <v>Yamboro</v>
      </c>
      <c r="BK4" s="40"/>
      <c r="BL4" s="40"/>
    </row>
    <row r="5" spans="1:64" ht="13">
      <c r="A5" s="40"/>
      <c r="B5" s="40" t="str">
        <f ca="1">IFERROR(__xludf.DUMMYFUNCTION("""COMPUTED_VALUE"""),"FORMACION.. Revisado 06/05/2022")</f>
        <v>FORMACION.. Revisado 06/05/2022</v>
      </c>
      <c r="C5" s="40" t="str">
        <f ca="1">IFERROR(__xludf.DUMMYFUNCTION("""COMPUTED_VALUE"""),"YEIMI XIOMARA ALVIRA CORTEZ")</f>
        <v>YEIMI XIOMARA ALVIRA CORTEZ</v>
      </c>
      <c r="D5" s="40" t="str">
        <f ca="1">IFERROR(__xludf.DUMMYFUNCTION("""COMPUTED_VALUE"""),"CC")</f>
        <v>CC</v>
      </c>
      <c r="E5" s="40">
        <f ca="1">IFERROR(__xludf.DUMMYFUNCTION("""COMPUTED_VALUE"""),1007284821)</f>
        <v>1007284821</v>
      </c>
      <c r="F5" s="40">
        <f ca="1">IFERROR(__xludf.DUMMYFUNCTION("""COMPUTED_VALUE"""),1832592)</f>
        <v>1832592</v>
      </c>
      <c r="G5" s="40" t="str">
        <f ca="1">IFERROR(__xludf.DUMMYFUNCTION("""COMPUTED_VALUE"""),"TÉCNICO")</f>
        <v>TÉCNICO</v>
      </c>
      <c r="H5" s="40" t="str">
        <f ca="1">IFERROR(__xludf.DUMMYFUNCTION("""COMPUTED_VALUE"""),"DIBUJO ARQUITECTÓNICO")</f>
        <v>DIBUJO ARQUITECTÓNICO</v>
      </c>
      <c r="I5" s="40">
        <f ca="1">IFERROR(__xludf.DUMMYFUNCTION("""COMPUTED_VALUE"""),3135546461)</f>
        <v>3135546461</v>
      </c>
      <c r="J5" s="40" t="str">
        <f ca="1">IFERROR(__xludf.DUMMYFUNCTION("""COMPUTED_VALUE"""),"xiomy5819@gmail.com")</f>
        <v>xiomy5819@gmail.com</v>
      </c>
      <c r="K5" s="40"/>
      <c r="L5" s="40" t="str">
        <f ca="1">IFERROR(__xludf.DUMMYFUNCTION("""COMPUTED_VALUE"""),"NO HA INICIADO ETAPA PRODUCTIVA")</f>
        <v>NO HA INICIADO ETAPA PRODUCTIVA</v>
      </c>
      <c r="M5" s="40"/>
      <c r="N5" s="40"/>
      <c r="O5" s="40"/>
      <c r="P5" s="40"/>
      <c r="Q5" s="40"/>
      <c r="R5" s="140"/>
      <c r="S5" s="140"/>
      <c r="T5" s="40" t="str">
        <f ca="1">IFERROR(__xludf.DUMMYFUNCTION("""COMPUTED_VALUE"""),"debe resultados de promover")</f>
        <v>debe resultados de promover</v>
      </c>
      <c r="U5" s="40"/>
      <c r="V5" s="40"/>
      <c r="W5" s="40"/>
      <c r="X5" s="40"/>
      <c r="Y5" s="40"/>
      <c r="Z5" s="40"/>
      <c r="AA5" s="40" t="str">
        <f ca="1">IFERROR(__xludf.DUMMYFUNCTION("""COMPUTED_VALUE"""),"Revisado 15/06/2022")</f>
        <v>Revisado 15/06/2022</v>
      </c>
      <c r="AB5" s="40"/>
      <c r="AC5" s="40"/>
      <c r="AD5" s="40"/>
      <c r="AE5" s="40"/>
      <c r="AF5" s="40"/>
      <c r="AG5" s="40"/>
      <c r="AH5" s="40"/>
      <c r="AI5" s="40"/>
      <c r="AJ5" s="40"/>
      <c r="AK5" s="40"/>
      <c r="AL5" s="40"/>
      <c r="AM5" s="40"/>
      <c r="AN5" s="40"/>
      <c r="AO5" s="40"/>
      <c r="AP5" s="40"/>
      <c r="AQ5" s="40"/>
      <c r="AR5" s="40"/>
      <c r="AS5" s="40"/>
      <c r="AT5" s="40"/>
      <c r="AU5" s="40" t="str">
        <f ca="1">IFERROR(__xludf.DUMMYFUNCTION("""COMPUTED_VALUE"""),"NO_CUMPLE")</f>
        <v>NO_CUMPLE</v>
      </c>
      <c r="AV5" s="40" t="str">
        <f ca="1">IFERROR(__xludf.DUMMYFUNCTION("""COMPUTED_VALUE"""),"EN FORMACION")</f>
        <v>EN FORMACION</v>
      </c>
      <c r="AW5" s="40" t="str">
        <f ca="1">IFERROR(__xludf.DUMMYFUNCTION("""COMPUTED_VALUE"""),"BIOCONSTRUCCION")</f>
        <v>BIOCONSTRUCCION</v>
      </c>
      <c r="AX5" s="141">
        <f ca="1">IFERROR(__xludf.DUMMYFUNCTION("""COMPUTED_VALUE"""),44848)</f>
        <v>44848</v>
      </c>
      <c r="AY5" s="40">
        <f ca="1">IFERROR(__xludf.DUMMYFUNCTION("""COMPUTED_VALUE"""),2)</f>
        <v>2</v>
      </c>
      <c r="AZ5" s="40">
        <f ca="1">IFERROR(__xludf.DUMMYFUNCTION("""COMPUTED_VALUE"""),1)</f>
        <v>1</v>
      </c>
      <c r="BA5" s="40">
        <f ca="1">IFERROR(__xludf.DUMMYFUNCTION("""COMPUTED_VALUE"""),0)</f>
        <v>0</v>
      </c>
      <c r="BB5" s="40">
        <f ca="1">IFERROR(__xludf.DUMMYFUNCTION("""COMPUTED_VALUE"""),0)</f>
        <v>0</v>
      </c>
      <c r="BC5" s="40">
        <f ca="1">IFERROR(__xludf.DUMMYFUNCTION("""COMPUTED_VALUE"""),3)</f>
        <v>3</v>
      </c>
      <c r="BD5" s="141">
        <f ca="1">IFERROR(__xludf.DUMMYFUNCTION("""COMPUTED_VALUE"""),43577)</f>
        <v>43577</v>
      </c>
      <c r="BE5" s="141">
        <f ca="1">IFERROR(__xludf.DUMMYFUNCTION("""COMPUTED_VALUE"""),43760)</f>
        <v>43760</v>
      </c>
      <c r="BF5" s="141">
        <f ca="1">IFERROR(__xludf.DUMMYFUNCTION("""COMPUTED_VALUE"""),43943)</f>
        <v>43943</v>
      </c>
      <c r="BG5" s="141">
        <f ca="1">IFERROR(__xludf.DUMMYFUNCTION("""COMPUTED_VALUE"""),44491)</f>
        <v>44491</v>
      </c>
      <c r="BH5" s="40" t="str">
        <f ca="1">IFERROR(__xludf.DUMMYFUNCTION("""COMPUTED_VALUE"""),"FINALIZAR FICHA")</f>
        <v>FINALIZAR FICHA</v>
      </c>
      <c r="BI5" s="40" t="str">
        <f ca="1">IFERROR(__xludf.DUMMYFUNCTION("""COMPUTED_VALUE"""),"Terminada por Fecha     ")</f>
        <v xml:space="preserve">Terminada por Fecha     </v>
      </c>
      <c r="BJ5" s="40" t="str">
        <f ca="1">IFERROR(__xludf.DUMMYFUNCTION("""COMPUTED_VALUE"""),"Yamboro")</f>
        <v>Yamboro</v>
      </c>
      <c r="BK5" s="40"/>
      <c r="BL5" s="40"/>
    </row>
    <row r="6" spans="1:64" ht="13">
      <c r="A6" s="40"/>
      <c r="B6" s="40" t="str">
        <f ca="1">IFERROR(__xludf.DUMMYFUNCTION("""COMPUTED_VALUE"""),"FORMACION.. Revisado 06/05/2022")</f>
        <v>FORMACION.. Revisado 06/05/2022</v>
      </c>
      <c r="C6" s="40" t="str">
        <f ca="1">IFERROR(__xludf.DUMMYFUNCTION("""COMPUTED_VALUE"""),"IVAN ERNESTO CORDOBA BEJARANO")</f>
        <v>IVAN ERNESTO CORDOBA BEJARANO</v>
      </c>
      <c r="D6" s="40" t="str">
        <f ca="1">IFERROR(__xludf.DUMMYFUNCTION("""COMPUTED_VALUE"""),"CC")</f>
        <v>CC</v>
      </c>
      <c r="E6" s="40">
        <f ca="1">IFERROR(__xludf.DUMMYFUNCTION("""COMPUTED_VALUE"""),1007319277)</f>
        <v>1007319277</v>
      </c>
      <c r="F6" s="40">
        <f ca="1">IFERROR(__xludf.DUMMYFUNCTION("""COMPUTED_VALUE"""),1832592)</f>
        <v>1832592</v>
      </c>
      <c r="G6" s="40" t="str">
        <f ca="1">IFERROR(__xludf.DUMMYFUNCTION("""COMPUTED_VALUE"""),"TÉCNICO")</f>
        <v>TÉCNICO</v>
      </c>
      <c r="H6" s="40" t="str">
        <f ca="1">IFERROR(__xludf.DUMMYFUNCTION("""COMPUTED_VALUE"""),"DIBUJO ARQUITECTÓNICO")</f>
        <v>DIBUJO ARQUITECTÓNICO</v>
      </c>
      <c r="I6" s="40">
        <f ca="1">IFERROR(__xludf.DUMMYFUNCTION("""COMPUTED_VALUE"""),3192638858)</f>
        <v>3192638858</v>
      </c>
      <c r="J6" s="40" t="str">
        <f ca="1">IFERROR(__xludf.DUMMYFUNCTION("""COMPUTED_VALUE"""),"cordobaivan097@gmail.com")</f>
        <v>cordobaivan097@gmail.com</v>
      </c>
      <c r="K6" s="40" t="str">
        <f ca="1">IFERROR(__xludf.DUMMYFUNCTION("""COMPUTED_VALUE"""),"PITALITO")</f>
        <v>PITALITO</v>
      </c>
      <c r="L6" s="40" t="str">
        <f ca="1">IFERROR(__xludf.DUMMYFUNCTION("""COMPUTED_VALUE"""),"NO HA INICIADO ETAPA PRODUCTIVA")</f>
        <v>NO HA INICIADO ETAPA PRODUCTIVA</v>
      </c>
      <c r="M6" s="40"/>
      <c r="N6" s="40"/>
      <c r="O6" s="40"/>
      <c r="P6" s="40"/>
      <c r="Q6" s="40"/>
      <c r="R6" s="140"/>
      <c r="S6" s="140"/>
      <c r="T6" s="40"/>
      <c r="U6" s="40"/>
      <c r="V6" s="40"/>
      <c r="W6" s="40"/>
      <c r="X6" s="40"/>
      <c r="Y6" s="40"/>
      <c r="Z6" s="40"/>
      <c r="AA6" s="40" t="str">
        <f ca="1">IFERROR(__xludf.DUMMYFUNCTION("""COMPUTED_VALUE"""),"Revisado 15/06/2022")</f>
        <v>Revisado 15/06/2022</v>
      </c>
      <c r="AB6" s="40"/>
      <c r="AC6" s="40"/>
      <c r="AD6" s="40"/>
      <c r="AE6" s="40"/>
      <c r="AF6" s="40"/>
      <c r="AG6" s="40"/>
      <c r="AH6" s="40"/>
      <c r="AI6" s="40"/>
      <c r="AJ6" s="40"/>
      <c r="AK6" s="40"/>
      <c r="AL6" s="40"/>
      <c r="AM6" s="40"/>
      <c r="AN6" s="40"/>
      <c r="AO6" s="40"/>
      <c r="AP6" s="40"/>
      <c r="AQ6" s="40"/>
      <c r="AR6" s="40"/>
      <c r="AS6" s="40"/>
      <c r="AT6" s="40"/>
      <c r="AU6" s="40" t="str">
        <f ca="1">IFERROR(__xludf.DUMMYFUNCTION("""COMPUTED_VALUE"""),"Procede_E_P")</f>
        <v>Procede_E_P</v>
      </c>
      <c r="AV6" s="40" t="str">
        <f ca="1">IFERROR(__xludf.DUMMYFUNCTION("""COMPUTED_VALUE"""),"EN FORMACION")</f>
        <v>EN FORMACION</v>
      </c>
      <c r="AW6" s="40" t="str">
        <f ca="1">IFERROR(__xludf.DUMMYFUNCTION("""COMPUTED_VALUE"""),"BIOCONSTRUCCION")</f>
        <v>BIOCONSTRUCCION</v>
      </c>
      <c r="AX6" s="141">
        <f ca="1">IFERROR(__xludf.DUMMYFUNCTION("""COMPUTED_VALUE"""),44848)</f>
        <v>44848</v>
      </c>
      <c r="AY6" s="40">
        <f ca="1">IFERROR(__xludf.DUMMYFUNCTION("""COMPUTED_VALUE"""),0)</f>
        <v>0</v>
      </c>
      <c r="AZ6" s="40">
        <f ca="1">IFERROR(__xludf.DUMMYFUNCTION("""COMPUTED_VALUE"""),1)</f>
        <v>1</v>
      </c>
      <c r="BA6" s="40">
        <f ca="1">IFERROR(__xludf.DUMMYFUNCTION("""COMPUTED_VALUE"""),0)</f>
        <v>0</v>
      </c>
      <c r="BB6" s="40">
        <f ca="1">IFERROR(__xludf.DUMMYFUNCTION("""COMPUTED_VALUE"""),0)</f>
        <v>0</v>
      </c>
      <c r="BC6" s="40">
        <f ca="1">IFERROR(__xludf.DUMMYFUNCTION("""COMPUTED_VALUE"""),1)</f>
        <v>1</v>
      </c>
      <c r="BD6" s="141">
        <f ca="1">IFERROR(__xludf.DUMMYFUNCTION("""COMPUTED_VALUE"""),43577)</f>
        <v>43577</v>
      </c>
      <c r="BE6" s="141">
        <f ca="1">IFERROR(__xludf.DUMMYFUNCTION("""COMPUTED_VALUE"""),43760)</f>
        <v>43760</v>
      </c>
      <c r="BF6" s="141">
        <f ca="1">IFERROR(__xludf.DUMMYFUNCTION("""COMPUTED_VALUE"""),43943)</f>
        <v>43943</v>
      </c>
      <c r="BG6" s="141">
        <f ca="1">IFERROR(__xludf.DUMMYFUNCTION("""COMPUTED_VALUE"""),44491)</f>
        <v>44491</v>
      </c>
      <c r="BH6" s="40" t="str">
        <f ca="1">IFERROR(__xludf.DUMMYFUNCTION("""COMPUTED_VALUE"""),"FINALIZAR FICHA")</f>
        <v>FINALIZAR FICHA</v>
      </c>
      <c r="BI6" s="40" t="str">
        <f ca="1">IFERROR(__xludf.DUMMYFUNCTION("""COMPUTED_VALUE"""),"Terminada por Fecha     ")</f>
        <v xml:space="preserve">Terminada por Fecha     </v>
      </c>
      <c r="BJ6" s="40" t="str">
        <f ca="1">IFERROR(__xludf.DUMMYFUNCTION("""COMPUTED_VALUE"""),"Yamboro")</f>
        <v>Yamboro</v>
      </c>
      <c r="BK6" s="40"/>
      <c r="BL6" s="40"/>
    </row>
    <row r="7" spans="1:64" ht="13">
      <c r="A7" s="40"/>
      <c r="B7" s="40" t="str">
        <f ca="1">IFERROR(__xludf.DUMMYFUNCTION("""COMPUTED_VALUE"""),"FORMACION.. Revisado 06/05/2022")</f>
        <v>FORMACION.. Revisado 06/05/2022</v>
      </c>
      <c r="C7" s="40" t="str">
        <f ca="1">IFERROR(__xludf.DUMMYFUNCTION("""COMPUTED_VALUE"""),"MARIA LILIANA OSPINO RAMIREZ")</f>
        <v>MARIA LILIANA OSPINO RAMIREZ</v>
      </c>
      <c r="D7" s="40" t="str">
        <f ca="1">IFERROR(__xludf.DUMMYFUNCTION("""COMPUTED_VALUE"""),"CC")</f>
        <v>CC</v>
      </c>
      <c r="E7" s="40">
        <f ca="1">IFERROR(__xludf.DUMMYFUNCTION("""COMPUTED_VALUE"""),1007698553)</f>
        <v>1007698553</v>
      </c>
      <c r="F7" s="40">
        <f ca="1">IFERROR(__xludf.DUMMYFUNCTION("""COMPUTED_VALUE"""),1832592)</f>
        <v>1832592</v>
      </c>
      <c r="G7" s="40" t="str">
        <f ca="1">IFERROR(__xludf.DUMMYFUNCTION("""COMPUTED_VALUE"""),"TÉCNICO")</f>
        <v>TÉCNICO</v>
      </c>
      <c r="H7" s="40" t="str">
        <f ca="1">IFERROR(__xludf.DUMMYFUNCTION("""COMPUTED_VALUE"""),"DIBUJO ARQUITECTÓNICO")</f>
        <v>DIBUJO ARQUITECTÓNICO</v>
      </c>
      <c r="I7" s="40">
        <f ca="1">IFERROR(__xludf.DUMMYFUNCTION("""COMPUTED_VALUE"""),3118407716)</f>
        <v>3118407716</v>
      </c>
      <c r="J7" s="40" t="str">
        <f ca="1">IFERROR(__xludf.DUMMYFUNCTION("""COMPUTED_VALUE"""),"lilianaospino04@gmail.com")</f>
        <v>lilianaospino04@gmail.com</v>
      </c>
      <c r="K7" s="40"/>
      <c r="L7" s="40" t="str">
        <f ca="1">IFERROR(__xludf.DUMMYFUNCTION("""COMPUTED_VALUE"""),"NO HA INICIADO ETAPA PRODUCTIVA")</f>
        <v>NO HA INICIADO ETAPA PRODUCTIVA</v>
      </c>
      <c r="M7" s="40"/>
      <c r="N7" s="40"/>
      <c r="O7" s="40"/>
      <c r="P7" s="40"/>
      <c r="Q7" s="40"/>
      <c r="R7" s="140"/>
      <c r="S7" s="140"/>
      <c r="T7" s="40" t="str">
        <f ca="1">IFERROR(__xludf.DUMMYFUNCTION("""COMPUTED_VALUE"""),"debe resultados de promover e ingles")</f>
        <v>debe resultados de promover e ingles</v>
      </c>
      <c r="U7" s="40"/>
      <c r="V7" s="40"/>
      <c r="W7" s="40"/>
      <c r="X7" s="40"/>
      <c r="Y7" s="40"/>
      <c r="Z7" s="40"/>
      <c r="AA7" s="40" t="str">
        <f ca="1">IFERROR(__xludf.DUMMYFUNCTION("""COMPUTED_VALUE"""),"Revisado 15/06/2022")</f>
        <v>Revisado 15/06/2022</v>
      </c>
      <c r="AB7" s="40"/>
      <c r="AC7" s="40"/>
      <c r="AD7" s="40"/>
      <c r="AE7" s="40"/>
      <c r="AF7" s="40"/>
      <c r="AG7" s="40"/>
      <c r="AH7" s="40"/>
      <c r="AI7" s="40"/>
      <c r="AJ7" s="40"/>
      <c r="AK7" s="40"/>
      <c r="AL7" s="40"/>
      <c r="AM7" s="40"/>
      <c r="AN7" s="40"/>
      <c r="AO7" s="40"/>
      <c r="AP7" s="40"/>
      <c r="AQ7" s="40"/>
      <c r="AR7" s="40"/>
      <c r="AS7" s="40"/>
      <c r="AT7" s="40"/>
      <c r="AU7" s="40" t="str">
        <f ca="1">IFERROR(__xludf.DUMMYFUNCTION("""COMPUTED_VALUE"""),"NO_CUMPLE")</f>
        <v>NO_CUMPLE</v>
      </c>
      <c r="AV7" s="40" t="str">
        <f ca="1">IFERROR(__xludf.DUMMYFUNCTION("""COMPUTED_VALUE"""),"EN FORMACION")</f>
        <v>EN FORMACION</v>
      </c>
      <c r="AW7" s="40" t="str">
        <f ca="1">IFERROR(__xludf.DUMMYFUNCTION("""COMPUTED_VALUE"""),"BIOCONSTRUCCION")</f>
        <v>BIOCONSTRUCCION</v>
      </c>
      <c r="AX7" s="141">
        <f ca="1">IFERROR(__xludf.DUMMYFUNCTION("""COMPUTED_VALUE"""),44848)</f>
        <v>44848</v>
      </c>
      <c r="AY7" s="40">
        <f ca="1">IFERROR(__xludf.DUMMYFUNCTION("""COMPUTED_VALUE"""),2)</f>
        <v>2</v>
      </c>
      <c r="AZ7" s="40">
        <f ca="1">IFERROR(__xludf.DUMMYFUNCTION("""COMPUTED_VALUE"""),1)</f>
        <v>1</v>
      </c>
      <c r="BA7" s="40">
        <f ca="1">IFERROR(__xludf.DUMMYFUNCTION("""COMPUTED_VALUE"""),3)</f>
        <v>3</v>
      </c>
      <c r="BB7" s="40">
        <f ca="1">IFERROR(__xludf.DUMMYFUNCTION("""COMPUTED_VALUE"""),0)</f>
        <v>0</v>
      </c>
      <c r="BC7" s="40">
        <f ca="1">IFERROR(__xludf.DUMMYFUNCTION("""COMPUTED_VALUE"""),6)</f>
        <v>6</v>
      </c>
      <c r="BD7" s="141">
        <f ca="1">IFERROR(__xludf.DUMMYFUNCTION("""COMPUTED_VALUE"""),43577)</f>
        <v>43577</v>
      </c>
      <c r="BE7" s="141">
        <f ca="1">IFERROR(__xludf.DUMMYFUNCTION("""COMPUTED_VALUE"""),43760)</f>
        <v>43760</v>
      </c>
      <c r="BF7" s="141">
        <f ca="1">IFERROR(__xludf.DUMMYFUNCTION("""COMPUTED_VALUE"""),43943)</f>
        <v>43943</v>
      </c>
      <c r="BG7" s="141">
        <f ca="1">IFERROR(__xludf.DUMMYFUNCTION("""COMPUTED_VALUE"""),44491)</f>
        <v>44491</v>
      </c>
      <c r="BH7" s="40" t="str">
        <f ca="1">IFERROR(__xludf.DUMMYFUNCTION("""COMPUTED_VALUE"""),"FINALIZAR FICHA")</f>
        <v>FINALIZAR FICHA</v>
      </c>
      <c r="BI7" s="40" t="str">
        <f ca="1">IFERROR(__xludf.DUMMYFUNCTION("""COMPUTED_VALUE"""),"Terminada por Fecha     ")</f>
        <v xml:space="preserve">Terminada por Fecha     </v>
      </c>
      <c r="BJ7" s="40" t="str">
        <f ca="1">IFERROR(__xludf.DUMMYFUNCTION("""COMPUTED_VALUE"""),"Yamboro")</f>
        <v>Yamboro</v>
      </c>
      <c r="BK7" s="40"/>
      <c r="BL7" s="40"/>
    </row>
    <row r="8" spans="1:64" ht="13">
      <c r="A8" s="40"/>
      <c r="B8" s="40" t="str">
        <f ca="1">IFERROR(__xludf.DUMMYFUNCTION("""COMPUTED_VALUE"""),"FORMACION.. Revisado 06/05/2022")</f>
        <v>FORMACION.. Revisado 06/05/2022</v>
      </c>
      <c r="C8" s="40" t="str">
        <f ca="1">IFERROR(__xludf.DUMMYFUNCTION("""COMPUTED_VALUE"""),"LINDA LUCIA CALLEJAS REALPE")</f>
        <v>LINDA LUCIA CALLEJAS REALPE</v>
      </c>
      <c r="D8" s="40" t="str">
        <f ca="1">IFERROR(__xludf.DUMMYFUNCTION("""COMPUTED_VALUE"""),"CC")</f>
        <v>CC</v>
      </c>
      <c r="E8" s="40">
        <f ca="1">IFERROR(__xludf.DUMMYFUNCTION("""COMPUTED_VALUE"""),1083910421)</f>
        <v>1083910421</v>
      </c>
      <c r="F8" s="40">
        <f ca="1">IFERROR(__xludf.DUMMYFUNCTION("""COMPUTED_VALUE"""),1832592)</f>
        <v>1832592</v>
      </c>
      <c r="G8" s="40" t="str">
        <f ca="1">IFERROR(__xludf.DUMMYFUNCTION("""COMPUTED_VALUE"""),"TÉCNICO")</f>
        <v>TÉCNICO</v>
      </c>
      <c r="H8" s="40" t="str">
        <f ca="1">IFERROR(__xludf.DUMMYFUNCTION("""COMPUTED_VALUE"""),"DIBUJO ARQUITECTÓNICO")</f>
        <v>DIBUJO ARQUITECTÓNICO</v>
      </c>
      <c r="I8" s="40"/>
      <c r="J8" s="40" t="str">
        <f ca="1">IFERROR(__xludf.DUMMYFUNCTION("""COMPUTED_VALUE"""),"lindacallejasrealpe@hotmail.com")</f>
        <v>lindacallejasrealpe@hotmail.com</v>
      </c>
      <c r="K8" s="40"/>
      <c r="L8" s="40" t="str">
        <f ca="1">IFERROR(__xludf.DUMMYFUNCTION("""COMPUTED_VALUE"""),"NO HA INICIADO ETAPA PRODUCTIVA")</f>
        <v>NO HA INICIADO ETAPA PRODUCTIVA</v>
      </c>
      <c r="M8" s="40"/>
      <c r="N8" s="40"/>
      <c r="O8" s="40"/>
      <c r="P8" s="40"/>
      <c r="Q8" s="40"/>
      <c r="R8" s="140"/>
      <c r="S8" s="140"/>
      <c r="T8" s="40" t="str">
        <f ca="1">IFERROR(__xludf.DUMMYFUNCTION("""COMPUTED_VALUE"""),"debe resultados de promover e ingles")</f>
        <v>debe resultados de promover e ingles</v>
      </c>
      <c r="U8" s="40"/>
      <c r="V8" s="40"/>
      <c r="W8" s="40"/>
      <c r="X8" s="40"/>
      <c r="Y8" s="40"/>
      <c r="Z8" s="40"/>
      <c r="AA8" s="40" t="str">
        <f ca="1">IFERROR(__xludf.DUMMYFUNCTION("""COMPUTED_VALUE"""),"Revisado 15/06/2022")</f>
        <v>Revisado 15/06/2022</v>
      </c>
      <c r="AB8" s="40"/>
      <c r="AC8" s="40"/>
      <c r="AD8" s="40"/>
      <c r="AE8" s="40"/>
      <c r="AF8" s="40"/>
      <c r="AG8" s="40"/>
      <c r="AH8" s="40"/>
      <c r="AI8" s="40"/>
      <c r="AJ8" s="40"/>
      <c r="AK8" s="40"/>
      <c r="AL8" s="40"/>
      <c r="AM8" s="40"/>
      <c r="AN8" s="40"/>
      <c r="AO8" s="40"/>
      <c r="AP8" s="40"/>
      <c r="AQ8" s="40"/>
      <c r="AR8" s="40"/>
      <c r="AS8" s="40"/>
      <c r="AT8" s="40"/>
      <c r="AU8" s="40" t="str">
        <f ca="1">IFERROR(__xludf.DUMMYFUNCTION("""COMPUTED_VALUE"""),"NO_CUMPLE")</f>
        <v>NO_CUMPLE</v>
      </c>
      <c r="AV8" s="40" t="str">
        <f ca="1">IFERROR(__xludf.DUMMYFUNCTION("""COMPUTED_VALUE"""),"EN FORMACION")</f>
        <v>EN FORMACION</v>
      </c>
      <c r="AW8" s="40" t="str">
        <f ca="1">IFERROR(__xludf.DUMMYFUNCTION("""COMPUTED_VALUE"""),"BIOCONSTRUCCION")</f>
        <v>BIOCONSTRUCCION</v>
      </c>
      <c r="AX8" s="141">
        <f ca="1">IFERROR(__xludf.DUMMYFUNCTION("""COMPUTED_VALUE"""),44848)</f>
        <v>44848</v>
      </c>
      <c r="AY8" s="40">
        <f ca="1">IFERROR(__xludf.DUMMYFUNCTION("""COMPUTED_VALUE"""),1)</f>
        <v>1</v>
      </c>
      <c r="AZ8" s="40">
        <f ca="1">IFERROR(__xludf.DUMMYFUNCTION("""COMPUTED_VALUE"""),1)</f>
        <v>1</v>
      </c>
      <c r="BA8" s="40">
        <f ca="1">IFERROR(__xludf.DUMMYFUNCTION("""COMPUTED_VALUE"""),2)</f>
        <v>2</v>
      </c>
      <c r="BB8" s="40">
        <f ca="1">IFERROR(__xludf.DUMMYFUNCTION("""COMPUTED_VALUE"""),0)</f>
        <v>0</v>
      </c>
      <c r="BC8" s="40">
        <f ca="1">IFERROR(__xludf.DUMMYFUNCTION("""COMPUTED_VALUE"""),4)</f>
        <v>4</v>
      </c>
      <c r="BD8" s="141">
        <f ca="1">IFERROR(__xludf.DUMMYFUNCTION("""COMPUTED_VALUE"""),43577)</f>
        <v>43577</v>
      </c>
      <c r="BE8" s="141">
        <f ca="1">IFERROR(__xludf.DUMMYFUNCTION("""COMPUTED_VALUE"""),43760)</f>
        <v>43760</v>
      </c>
      <c r="BF8" s="141">
        <f ca="1">IFERROR(__xludf.DUMMYFUNCTION("""COMPUTED_VALUE"""),43943)</f>
        <v>43943</v>
      </c>
      <c r="BG8" s="141">
        <f ca="1">IFERROR(__xludf.DUMMYFUNCTION("""COMPUTED_VALUE"""),44491)</f>
        <v>44491</v>
      </c>
      <c r="BH8" s="40" t="str">
        <f ca="1">IFERROR(__xludf.DUMMYFUNCTION("""COMPUTED_VALUE"""),"FINALIZAR FICHA")</f>
        <v>FINALIZAR FICHA</v>
      </c>
      <c r="BI8" s="40" t="str">
        <f ca="1">IFERROR(__xludf.DUMMYFUNCTION("""COMPUTED_VALUE"""),"Terminada por Fecha     ")</f>
        <v xml:space="preserve">Terminada por Fecha     </v>
      </c>
      <c r="BJ8" s="40" t="str">
        <f ca="1">IFERROR(__xludf.DUMMYFUNCTION("""COMPUTED_VALUE"""),"Yamboro")</f>
        <v>Yamboro</v>
      </c>
      <c r="BK8" s="40"/>
      <c r="BL8" s="40"/>
    </row>
    <row r="9" spans="1:64" ht="13">
      <c r="A9" s="40"/>
      <c r="B9" s="40" t="str">
        <f ca="1">IFERROR(__xludf.DUMMYFUNCTION("""COMPUTED_VALUE"""),"FORMACION.. Revisado 06/05/2022")</f>
        <v>FORMACION.. Revisado 06/05/2022</v>
      </c>
      <c r="C9" s="40" t="str">
        <f ca="1">IFERROR(__xludf.DUMMYFUNCTION("""COMPUTED_VALUE"""),"DIEGO FERNANDO SIERRA HERNANDEZ")</f>
        <v>DIEGO FERNANDO SIERRA HERNANDEZ</v>
      </c>
      <c r="D9" s="40" t="str">
        <f ca="1">IFERROR(__xludf.DUMMYFUNCTION("""COMPUTED_VALUE"""),"CC")</f>
        <v>CC</v>
      </c>
      <c r="E9" s="40">
        <f ca="1">IFERROR(__xludf.DUMMYFUNCTION("""COMPUTED_VALUE"""),1083929978)</f>
        <v>1083929978</v>
      </c>
      <c r="F9" s="40">
        <f ca="1">IFERROR(__xludf.DUMMYFUNCTION("""COMPUTED_VALUE"""),1832592)</f>
        <v>1832592</v>
      </c>
      <c r="G9" s="40" t="str">
        <f ca="1">IFERROR(__xludf.DUMMYFUNCTION("""COMPUTED_VALUE"""),"TÉCNICO")</f>
        <v>TÉCNICO</v>
      </c>
      <c r="H9" s="40" t="str">
        <f ca="1">IFERROR(__xludf.DUMMYFUNCTION("""COMPUTED_VALUE"""),"DIBUJO ARQUITECTÓNICO")</f>
        <v>DIBUJO ARQUITECTÓNICO</v>
      </c>
      <c r="I9" s="40"/>
      <c r="J9" s="40" t="str">
        <f ca="1">IFERROR(__xludf.DUMMYFUNCTION("""COMPUTED_VALUE"""),"diegofsierra109@gmail.com")</f>
        <v>diegofsierra109@gmail.com</v>
      </c>
      <c r="K9" s="40"/>
      <c r="L9" s="40" t="str">
        <f ca="1">IFERROR(__xludf.DUMMYFUNCTION("""COMPUTED_VALUE"""),"NO HA INICIADO ETAPA PRODUCTIVA")</f>
        <v>NO HA INICIADO ETAPA PRODUCTIVA</v>
      </c>
      <c r="M9" s="40"/>
      <c r="N9" s="40"/>
      <c r="O9" s="40"/>
      <c r="P9" s="40"/>
      <c r="Q9" s="40"/>
      <c r="R9" s="140"/>
      <c r="S9" s="140"/>
      <c r="T9" s="40" t="str">
        <f ca="1">IFERROR(__xludf.DUMMYFUNCTION("""COMPUTED_VALUE"""),"debe resultados de ingles")</f>
        <v>debe resultados de ingles</v>
      </c>
      <c r="U9" s="40"/>
      <c r="V9" s="40"/>
      <c r="W9" s="40"/>
      <c r="X9" s="40"/>
      <c r="Y9" s="40"/>
      <c r="Z9" s="40"/>
      <c r="AA9" s="40" t="str">
        <f ca="1">IFERROR(__xludf.DUMMYFUNCTION("""COMPUTED_VALUE"""),"Revisado 15/06/2022")</f>
        <v>Revisado 15/06/2022</v>
      </c>
      <c r="AB9" s="40"/>
      <c r="AC9" s="40"/>
      <c r="AD9" s="40"/>
      <c r="AE9" s="40"/>
      <c r="AF9" s="40"/>
      <c r="AG9" s="40"/>
      <c r="AH9" s="40"/>
      <c r="AI9" s="40"/>
      <c r="AJ9" s="40"/>
      <c r="AK9" s="40"/>
      <c r="AL9" s="40"/>
      <c r="AM9" s="40"/>
      <c r="AN9" s="40"/>
      <c r="AO9" s="40"/>
      <c r="AP9" s="40"/>
      <c r="AQ9" s="40"/>
      <c r="AR9" s="40"/>
      <c r="AS9" s="40"/>
      <c r="AT9" s="40"/>
      <c r="AU9" s="40" t="str">
        <f ca="1">IFERROR(__xludf.DUMMYFUNCTION("""COMPUTED_VALUE"""),"NO_CUMPLE")</f>
        <v>NO_CUMPLE</v>
      </c>
      <c r="AV9" s="40" t="str">
        <f ca="1">IFERROR(__xludf.DUMMYFUNCTION("""COMPUTED_VALUE"""),"EN FORMACION")</f>
        <v>EN FORMACION</v>
      </c>
      <c r="AW9" s="40" t="str">
        <f ca="1">IFERROR(__xludf.DUMMYFUNCTION("""COMPUTED_VALUE"""),"BIOCONSTRUCCION")</f>
        <v>BIOCONSTRUCCION</v>
      </c>
      <c r="AX9" s="141">
        <f ca="1">IFERROR(__xludf.DUMMYFUNCTION("""COMPUTED_VALUE"""),44848)</f>
        <v>44848</v>
      </c>
      <c r="AY9" s="40">
        <f ca="1">IFERROR(__xludf.DUMMYFUNCTION("""COMPUTED_VALUE"""),0)</f>
        <v>0</v>
      </c>
      <c r="AZ9" s="40">
        <f ca="1">IFERROR(__xludf.DUMMYFUNCTION("""COMPUTED_VALUE"""),1)</f>
        <v>1</v>
      </c>
      <c r="BA9" s="40">
        <f ca="1">IFERROR(__xludf.DUMMYFUNCTION("""COMPUTED_VALUE"""),2)</f>
        <v>2</v>
      </c>
      <c r="BB9" s="40">
        <f ca="1">IFERROR(__xludf.DUMMYFUNCTION("""COMPUTED_VALUE"""),0)</f>
        <v>0</v>
      </c>
      <c r="BC9" s="40">
        <f ca="1">IFERROR(__xludf.DUMMYFUNCTION("""COMPUTED_VALUE"""),3)</f>
        <v>3</v>
      </c>
      <c r="BD9" s="141">
        <f ca="1">IFERROR(__xludf.DUMMYFUNCTION("""COMPUTED_VALUE"""),43577)</f>
        <v>43577</v>
      </c>
      <c r="BE9" s="141">
        <f ca="1">IFERROR(__xludf.DUMMYFUNCTION("""COMPUTED_VALUE"""),43760)</f>
        <v>43760</v>
      </c>
      <c r="BF9" s="141">
        <f ca="1">IFERROR(__xludf.DUMMYFUNCTION("""COMPUTED_VALUE"""),43943)</f>
        <v>43943</v>
      </c>
      <c r="BG9" s="141">
        <f ca="1">IFERROR(__xludf.DUMMYFUNCTION("""COMPUTED_VALUE"""),44491)</f>
        <v>44491</v>
      </c>
      <c r="BH9" s="40" t="str">
        <f ca="1">IFERROR(__xludf.DUMMYFUNCTION("""COMPUTED_VALUE"""),"FINALIZAR FICHA")</f>
        <v>FINALIZAR FICHA</v>
      </c>
      <c r="BI9" s="40" t="str">
        <f ca="1">IFERROR(__xludf.DUMMYFUNCTION("""COMPUTED_VALUE"""),"Terminada por Fecha     ")</f>
        <v xml:space="preserve">Terminada por Fecha     </v>
      </c>
      <c r="BJ9" s="40" t="str">
        <f ca="1">IFERROR(__xludf.DUMMYFUNCTION("""COMPUTED_VALUE"""),"Yamboro")</f>
        <v>Yamboro</v>
      </c>
      <c r="BK9" s="40"/>
      <c r="BL9" s="40"/>
    </row>
    <row r="10" spans="1:64" ht="13">
      <c r="A10" s="40"/>
      <c r="B10" s="40" t="str">
        <f ca="1">IFERROR(__xludf.DUMMYFUNCTION("""COMPUTED_VALUE"""),"FORMACION.. Revisado 06/05/2022")</f>
        <v>FORMACION.. Revisado 06/05/2022</v>
      </c>
      <c r="C10" s="40" t="str">
        <f ca="1">IFERROR(__xludf.DUMMYFUNCTION("""COMPUTED_VALUE"""),"LINDA YAZMIN REINOSO LOSADA")</f>
        <v>LINDA YAZMIN REINOSO LOSADA</v>
      </c>
      <c r="D10" s="40" t="str">
        <f ca="1">IFERROR(__xludf.DUMMYFUNCTION("""COMPUTED_VALUE"""),"CC")</f>
        <v>CC</v>
      </c>
      <c r="E10" s="40">
        <f ca="1">IFERROR(__xludf.DUMMYFUNCTION("""COMPUTED_VALUE"""),1118469025)</f>
        <v>1118469025</v>
      </c>
      <c r="F10" s="40">
        <f ca="1">IFERROR(__xludf.DUMMYFUNCTION("""COMPUTED_VALUE"""),1832592)</f>
        <v>1832592</v>
      </c>
      <c r="G10" s="40" t="str">
        <f ca="1">IFERROR(__xludf.DUMMYFUNCTION("""COMPUTED_VALUE"""),"TÉCNICO")</f>
        <v>TÉCNICO</v>
      </c>
      <c r="H10" s="40" t="str">
        <f ca="1">IFERROR(__xludf.DUMMYFUNCTION("""COMPUTED_VALUE"""),"DIBUJO ARQUITECTÓNICO")</f>
        <v>DIBUJO ARQUITECTÓNICO</v>
      </c>
      <c r="I10" s="40">
        <f ca="1">IFERROR(__xludf.DUMMYFUNCTION("""COMPUTED_VALUE"""),3184747699)</f>
        <v>3184747699</v>
      </c>
      <c r="J10" s="40" t="str">
        <f ca="1">IFERROR(__xludf.DUMMYFUNCTION("""COMPUTED_VALUE"""),"mfmr0205@hotmail.com")</f>
        <v>mfmr0205@hotmail.com</v>
      </c>
      <c r="K10" s="40" t="str">
        <f ca="1">IFERROR(__xludf.DUMMYFUNCTION("""COMPUTED_VALUE"""),"PITALITO")</f>
        <v>PITALITO</v>
      </c>
      <c r="L10" s="40" t="str">
        <f ca="1">IFERROR(__xludf.DUMMYFUNCTION("""COMPUTED_VALUE"""),"NO HA INICIADO ETAPA PRODUCTIVA")</f>
        <v>NO HA INICIADO ETAPA PRODUCTIVA</v>
      </c>
      <c r="M10" s="40"/>
      <c r="N10" s="40"/>
      <c r="O10" s="40"/>
      <c r="P10" s="40"/>
      <c r="Q10" s="40"/>
      <c r="R10" s="140"/>
      <c r="S10" s="140"/>
      <c r="T10" s="40" t="str">
        <f ca="1">IFERROR(__xludf.DUMMYFUNCTION("""COMPUTED_VALUE"""),"debe resultados")</f>
        <v>debe resultados</v>
      </c>
      <c r="U10" s="40"/>
      <c r="V10" s="40"/>
      <c r="W10" s="40"/>
      <c r="X10" s="40"/>
      <c r="Y10" s="40"/>
      <c r="Z10" s="40"/>
      <c r="AA10" s="40" t="str">
        <f ca="1">IFERROR(__xludf.DUMMYFUNCTION("""COMPUTED_VALUE"""),"Revisado 15/06/2022")</f>
        <v>Revisado 15/06/2022</v>
      </c>
      <c r="AB10" s="40"/>
      <c r="AC10" s="40"/>
      <c r="AD10" s="40"/>
      <c r="AE10" s="40"/>
      <c r="AF10" s="40"/>
      <c r="AG10" s="40"/>
      <c r="AH10" s="40"/>
      <c r="AI10" s="40"/>
      <c r="AJ10" s="40"/>
      <c r="AK10" s="40"/>
      <c r="AL10" s="40"/>
      <c r="AM10" s="40"/>
      <c r="AN10" s="40"/>
      <c r="AO10" s="40"/>
      <c r="AP10" s="40"/>
      <c r="AQ10" s="40"/>
      <c r="AR10" s="40"/>
      <c r="AS10" s="40"/>
      <c r="AT10" s="40"/>
      <c r="AU10" s="40" t="str">
        <f ca="1">IFERROR(__xludf.DUMMYFUNCTION("""COMPUTED_VALUE"""),"NO_CUMPLE")</f>
        <v>NO_CUMPLE</v>
      </c>
      <c r="AV10" s="40" t="str">
        <f ca="1">IFERROR(__xludf.DUMMYFUNCTION("""COMPUTED_VALUE"""),"EN FORMACION")</f>
        <v>EN FORMACION</v>
      </c>
      <c r="AW10" s="40" t="str">
        <f ca="1">IFERROR(__xludf.DUMMYFUNCTION("""COMPUTED_VALUE"""),"BIOCONSTRUCCION")</f>
        <v>BIOCONSTRUCCION</v>
      </c>
      <c r="AX10" s="141">
        <f ca="1">IFERROR(__xludf.DUMMYFUNCTION("""COMPUTED_VALUE"""),44848)</f>
        <v>44848</v>
      </c>
      <c r="AY10" s="40">
        <f ca="1">IFERROR(__xludf.DUMMYFUNCTION("""COMPUTED_VALUE"""),0)</f>
        <v>0</v>
      </c>
      <c r="AZ10" s="40">
        <f ca="1">IFERROR(__xludf.DUMMYFUNCTION("""COMPUTED_VALUE"""),1)</f>
        <v>1</v>
      </c>
      <c r="BA10" s="40">
        <f ca="1">IFERROR(__xludf.DUMMYFUNCTION("""COMPUTED_VALUE"""),0)</f>
        <v>0</v>
      </c>
      <c r="BB10" s="40">
        <f ca="1">IFERROR(__xludf.DUMMYFUNCTION("""COMPUTED_VALUE"""),2)</f>
        <v>2</v>
      </c>
      <c r="BC10" s="40">
        <f ca="1">IFERROR(__xludf.DUMMYFUNCTION("""COMPUTED_VALUE"""),3)</f>
        <v>3</v>
      </c>
      <c r="BD10" s="141">
        <f ca="1">IFERROR(__xludf.DUMMYFUNCTION("""COMPUTED_VALUE"""),43577)</f>
        <v>43577</v>
      </c>
      <c r="BE10" s="141">
        <f ca="1">IFERROR(__xludf.DUMMYFUNCTION("""COMPUTED_VALUE"""),43760)</f>
        <v>43760</v>
      </c>
      <c r="BF10" s="141">
        <f ca="1">IFERROR(__xludf.DUMMYFUNCTION("""COMPUTED_VALUE"""),43943)</f>
        <v>43943</v>
      </c>
      <c r="BG10" s="141">
        <f ca="1">IFERROR(__xludf.DUMMYFUNCTION("""COMPUTED_VALUE"""),44491)</f>
        <v>44491</v>
      </c>
      <c r="BH10" s="40" t="str">
        <f ca="1">IFERROR(__xludf.DUMMYFUNCTION("""COMPUTED_VALUE"""),"FINALIZAR FICHA")</f>
        <v>FINALIZAR FICHA</v>
      </c>
      <c r="BI10" s="40" t="str">
        <f ca="1">IFERROR(__xludf.DUMMYFUNCTION("""COMPUTED_VALUE"""),"Terminada por Fecha     ")</f>
        <v xml:space="preserve">Terminada por Fecha     </v>
      </c>
      <c r="BJ10" s="40" t="str">
        <f ca="1">IFERROR(__xludf.DUMMYFUNCTION("""COMPUTED_VALUE"""),"Yamboro")</f>
        <v>Yamboro</v>
      </c>
      <c r="BK10" s="40"/>
      <c r="BL10" s="40"/>
    </row>
    <row r="11" spans="1:64" ht="13">
      <c r="A11" s="40"/>
      <c r="B11" s="40" t="str">
        <f ca="1">IFERROR(__xludf.DUMMYFUNCTION("""COMPUTED_VALUE"""),"FORMACION.. Revisado 06/05/2022")</f>
        <v>FORMACION.. Revisado 06/05/2022</v>
      </c>
      <c r="C11" s="40" t="str">
        <f ca="1">IFERROR(__xludf.DUMMYFUNCTION("""COMPUTED_VALUE"""),"DANNY MAURICIO FONSECA RAMIREZ")</f>
        <v>DANNY MAURICIO FONSECA RAMIREZ</v>
      </c>
      <c r="D11" s="40" t="str">
        <f ca="1">IFERROR(__xludf.DUMMYFUNCTION("""COMPUTED_VALUE"""),"CC")</f>
        <v>CC</v>
      </c>
      <c r="E11" s="40">
        <f ca="1">IFERROR(__xludf.DUMMYFUNCTION("""COMPUTED_VALUE"""),12241779)</f>
        <v>12241779</v>
      </c>
      <c r="F11" s="40">
        <f ca="1">IFERROR(__xludf.DUMMYFUNCTION("""COMPUTED_VALUE"""),1832592)</f>
        <v>1832592</v>
      </c>
      <c r="G11" s="40" t="str">
        <f ca="1">IFERROR(__xludf.DUMMYFUNCTION("""COMPUTED_VALUE"""),"TÉCNICO")</f>
        <v>TÉCNICO</v>
      </c>
      <c r="H11" s="40" t="str">
        <f ca="1">IFERROR(__xludf.DUMMYFUNCTION("""COMPUTED_VALUE"""),"DIBUJO ARQUITECTÓNICO")</f>
        <v>DIBUJO ARQUITECTÓNICO</v>
      </c>
      <c r="I11" s="40">
        <f ca="1">IFERROR(__xludf.DUMMYFUNCTION("""COMPUTED_VALUE"""),3102416373)</f>
        <v>3102416373</v>
      </c>
      <c r="J11" s="40" t="str">
        <f ca="1">IFERROR(__xludf.DUMMYFUNCTION("""COMPUTED_VALUE"""),"danny yim.fonceca@misena.esu.co")</f>
        <v>danny yim.fonceca@misena.esu.co</v>
      </c>
      <c r="K11" s="40" t="str">
        <f ca="1">IFERROR(__xludf.DUMMYFUNCTION("""COMPUTED_VALUE"""),"ESTA VIVIENDO EN BOGOTA")</f>
        <v>ESTA VIVIENDO EN BOGOTA</v>
      </c>
      <c r="L11" s="40" t="str">
        <f ca="1">IFERROR(__xludf.DUMMYFUNCTION("""COMPUTED_VALUE"""),"NO HA INICIADO ETAPA PRODUCTIVA")</f>
        <v>NO HA INICIADO ETAPA PRODUCTIVA</v>
      </c>
      <c r="M11" s="40"/>
      <c r="N11" s="40"/>
      <c r="O11" s="40"/>
      <c r="P11" s="40"/>
      <c r="Q11" s="40"/>
      <c r="R11" s="140"/>
      <c r="S11" s="140"/>
      <c r="T11" s="40" t="str">
        <f ca="1">IFERROR(__xludf.DUMMYFUNCTION("""COMPUTED_VALUE"""),"debe ingles")</f>
        <v>debe ingles</v>
      </c>
      <c r="U11" s="40"/>
      <c r="V11" s="40"/>
      <c r="W11" s="40"/>
      <c r="X11" s="40"/>
      <c r="Y11" s="40"/>
      <c r="Z11" s="40"/>
      <c r="AA11" s="40" t="str">
        <f ca="1">IFERROR(__xludf.DUMMYFUNCTION("""COMPUTED_VALUE"""),"Revisado 15/06/2022")</f>
        <v>Revisado 15/06/2022</v>
      </c>
      <c r="AB11" s="40"/>
      <c r="AC11" s="40"/>
      <c r="AD11" s="40"/>
      <c r="AE11" s="40"/>
      <c r="AF11" s="40"/>
      <c r="AG11" s="40"/>
      <c r="AH11" s="40"/>
      <c r="AI11" s="40"/>
      <c r="AJ11" s="40"/>
      <c r="AK11" s="40"/>
      <c r="AL11" s="40"/>
      <c r="AM11" s="40"/>
      <c r="AN11" s="40"/>
      <c r="AO11" s="40"/>
      <c r="AP11" s="40"/>
      <c r="AQ11" s="40"/>
      <c r="AR11" s="40"/>
      <c r="AS11" s="40"/>
      <c r="AT11" s="40"/>
      <c r="AU11" s="40" t="str">
        <f ca="1">IFERROR(__xludf.DUMMYFUNCTION("""COMPUTED_VALUE"""),"NO_CUMPLE")</f>
        <v>NO_CUMPLE</v>
      </c>
      <c r="AV11" s="40" t="str">
        <f ca="1">IFERROR(__xludf.DUMMYFUNCTION("""COMPUTED_VALUE"""),"EN FORMACION")</f>
        <v>EN FORMACION</v>
      </c>
      <c r="AW11" s="40" t="str">
        <f ca="1">IFERROR(__xludf.DUMMYFUNCTION("""COMPUTED_VALUE"""),"BIOCONSTRUCCION")</f>
        <v>BIOCONSTRUCCION</v>
      </c>
      <c r="AX11" s="141">
        <f ca="1">IFERROR(__xludf.DUMMYFUNCTION("""COMPUTED_VALUE"""),44848)</f>
        <v>44848</v>
      </c>
      <c r="AY11" s="40">
        <f ca="1">IFERROR(__xludf.DUMMYFUNCTION("""COMPUTED_VALUE"""),0)</f>
        <v>0</v>
      </c>
      <c r="AZ11" s="40">
        <f ca="1">IFERROR(__xludf.DUMMYFUNCTION("""COMPUTED_VALUE"""),1)</f>
        <v>1</v>
      </c>
      <c r="BA11" s="40">
        <f ca="1">IFERROR(__xludf.DUMMYFUNCTION("""COMPUTED_VALUE"""),2)</f>
        <v>2</v>
      </c>
      <c r="BB11" s="40">
        <f ca="1">IFERROR(__xludf.DUMMYFUNCTION("""COMPUTED_VALUE"""),0)</f>
        <v>0</v>
      </c>
      <c r="BC11" s="40">
        <f ca="1">IFERROR(__xludf.DUMMYFUNCTION("""COMPUTED_VALUE"""),3)</f>
        <v>3</v>
      </c>
      <c r="BD11" s="141">
        <f ca="1">IFERROR(__xludf.DUMMYFUNCTION("""COMPUTED_VALUE"""),43577)</f>
        <v>43577</v>
      </c>
      <c r="BE11" s="141">
        <f ca="1">IFERROR(__xludf.DUMMYFUNCTION("""COMPUTED_VALUE"""),43760)</f>
        <v>43760</v>
      </c>
      <c r="BF11" s="141">
        <f ca="1">IFERROR(__xludf.DUMMYFUNCTION("""COMPUTED_VALUE"""),43943)</f>
        <v>43943</v>
      </c>
      <c r="BG11" s="141">
        <f ca="1">IFERROR(__xludf.DUMMYFUNCTION("""COMPUTED_VALUE"""),44491)</f>
        <v>44491</v>
      </c>
      <c r="BH11" s="40" t="str">
        <f ca="1">IFERROR(__xludf.DUMMYFUNCTION("""COMPUTED_VALUE"""),"FINALIZAR FICHA")</f>
        <v>FINALIZAR FICHA</v>
      </c>
      <c r="BI11" s="40" t="str">
        <f ca="1">IFERROR(__xludf.DUMMYFUNCTION("""COMPUTED_VALUE"""),"Terminada por Fecha     ")</f>
        <v xml:space="preserve">Terminada por Fecha     </v>
      </c>
      <c r="BJ11" s="40" t="str">
        <f ca="1">IFERROR(__xludf.DUMMYFUNCTION("""COMPUTED_VALUE"""),"Yamboro")</f>
        <v>Yamboro</v>
      </c>
      <c r="BK11" s="40"/>
      <c r="BL11" s="40"/>
    </row>
    <row r="12" spans="1:64" ht="13">
      <c r="A12" s="40"/>
      <c r="B12" s="40" t="str">
        <f ca="1">IFERROR(__xludf.DUMMYFUNCTION("""COMPUTED_VALUE"""),"FORMACION.. Revisado 03/05/2022")</f>
        <v>FORMACION.. Revisado 03/05/2022</v>
      </c>
      <c r="C12" s="40" t="str">
        <f ca="1">IFERROR(__xludf.DUMMYFUNCTION("""COMPUTED_VALUE"""),"CARLOS ANDRÉS CARDONA BETANCUR")</f>
        <v>CARLOS ANDRÉS CARDONA BETANCUR</v>
      </c>
      <c r="D12" s="40" t="str">
        <f ca="1">IFERROR(__xludf.DUMMYFUNCTION("""COMPUTED_VALUE"""),"TI")</f>
        <v>TI</v>
      </c>
      <c r="E12" s="40">
        <f ca="1">IFERROR(__xludf.DUMMYFUNCTION("""COMPUTED_VALUE"""),1004253160)</f>
        <v>1004253160</v>
      </c>
      <c r="F12" s="40">
        <f ca="1">IFERROR(__xludf.DUMMYFUNCTION("""COMPUTED_VALUE"""),1802847)</f>
        <v>1802847</v>
      </c>
      <c r="G12" s="40" t="str">
        <f ca="1">IFERROR(__xludf.DUMMYFUNCTION("""COMPUTED_VALUE"""),"TÉCNICO")</f>
        <v>TÉCNICO</v>
      </c>
      <c r="H12" s="40" t="str">
        <f ca="1">IFERROR(__xludf.DUMMYFUNCTION("""COMPUTED_VALUE"""),"SERVICIOS DE BARISMO")</f>
        <v>SERVICIOS DE BARISMO</v>
      </c>
      <c r="I12" s="40">
        <f ca="1">IFERROR(__xludf.DUMMYFUNCTION("""COMPUTED_VALUE"""),3228102295)</f>
        <v>3228102295</v>
      </c>
      <c r="J12" s="40"/>
      <c r="K12" s="40"/>
      <c r="L12" s="40" t="str">
        <f ca="1">IFERROR(__xludf.DUMMYFUNCTION("""COMPUTED_VALUE"""),"NO HA INICIADO ETAPA PRODUCTIVA")</f>
        <v>NO HA INICIADO ETAPA PRODUCTIVA</v>
      </c>
      <c r="M12" s="40" t="str">
        <f ca="1">IFERROR(__xludf.DUMMYFUNCTION("""COMPUTED_VALUE"""),"beelah")</f>
        <v>beelah</v>
      </c>
      <c r="N12" s="40"/>
      <c r="O12" s="40"/>
      <c r="P12" s="40"/>
      <c r="Q12" s="40"/>
      <c r="R12" s="140"/>
      <c r="S12" s="140"/>
      <c r="T12" s="40"/>
      <c r="U12" s="40"/>
      <c r="V12" s="40"/>
      <c r="W12" s="40"/>
      <c r="X12" s="40"/>
      <c r="Y12" s="40"/>
      <c r="Z12" s="40"/>
      <c r="AA12" s="40" t="str">
        <f ca="1">IFERROR(__xludf.DUMMYFUNCTION("""COMPUTED_VALUE"""),"Revisado 15/06/2022")</f>
        <v>Revisado 15/06/2022</v>
      </c>
      <c r="AB12" s="40"/>
      <c r="AC12" s="40"/>
      <c r="AD12" s="40"/>
      <c r="AE12" s="40"/>
      <c r="AF12" s="40"/>
      <c r="AG12" s="40"/>
      <c r="AH12" s="40"/>
      <c r="AI12" s="40"/>
      <c r="AJ12" s="40"/>
      <c r="AK12" s="40"/>
      <c r="AL12" s="40"/>
      <c r="AM12" s="40"/>
      <c r="AN12" s="40"/>
      <c r="AO12" s="40"/>
      <c r="AP12" s="40"/>
      <c r="AQ12" s="40"/>
      <c r="AR12" s="40"/>
      <c r="AS12" s="40"/>
      <c r="AT12" s="40"/>
      <c r="AU12" s="40" t="str">
        <f ca="1">IFERROR(__xludf.DUMMYFUNCTION("""COMPUTED_VALUE"""),"NO_CUMPLE")</f>
        <v>NO_CUMPLE</v>
      </c>
      <c r="AV12" s="40" t="str">
        <f ca="1">IFERROR(__xludf.DUMMYFUNCTION("""COMPUTED_VALUE"""),"EN FORMACION")</f>
        <v>EN FORMACION</v>
      </c>
      <c r="AW12" s="40" t="str">
        <f ca="1">IFERROR(__xludf.DUMMYFUNCTION("""COMPUTED_VALUE"""),"TURISMO")</f>
        <v>TURISMO</v>
      </c>
      <c r="AX12" s="141">
        <f ca="1">IFERROR(__xludf.DUMMYFUNCTION("""COMPUTED_VALUE"""),44848)</f>
        <v>44848</v>
      </c>
      <c r="AY12" s="40">
        <f ca="1">IFERROR(__xludf.DUMMYFUNCTION("""COMPUTED_VALUE"""),0)</f>
        <v>0</v>
      </c>
      <c r="AZ12" s="40">
        <f ca="1">IFERROR(__xludf.DUMMYFUNCTION("""COMPUTED_VALUE"""),1)</f>
        <v>1</v>
      </c>
      <c r="BA12" s="40">
        <f ca="1">IFERROR(__xludf.DUMMYFUNCTION("""COMPUTED_VALUE"""),1)</f>
        <v>1</v>
      </c>
      <c r="BB12" s="40">
        <f ca="1">IFERROR(__xludf.DUMMYFUNCTION("""COMPUTED_VALUE"""),0)</f>
        <v>0</v>
      </c>
      <c r="BC12" s="40">
        <f ca="1">IFERROR(__xludf.DUMMYFUNCTION("""COMPUTED_VALUE"""),2)</f>
        <v>2</v>
      </c>
      <c r="BD12" s="141">
        <f ca="1">IFERROR(__xludf.DUMMYFUNCTION("""COMPUTED_VALUE"""),43493)</f>
        <v>43493</v>
      </c>
      <c r="BE12" s="141">
        <f ca="1">IFERROR(__xludf.DUMMYFUNCTION("""COMPUTED_VALUE"""),43766)</f>
        <v>43766</v>
      </c>
      <c r="BF12" s="141">
        <f ca="1">IFERROR(__xludf.DUMMYFUNCTION("""COMPUTED_VALUE"""),43949)</f>
        <v>43949</v>
      </c>
      <c r="BG12" s="141">
        <f ca="1">IFERROR(__xludf.DUMMYFUNCTION("""COMPUTED_VALUE"""),44497)</f>
        <v>44497</v>
      </c>
      <c r="BH12" s="40" t="str">
        <f ca="1">IFERROR(__xludf.DUMMYFUNCTION("""COMPUTED_VALUE"""),"FINALIZAR FICHA")</f>
        <v>FINALIZAR FICHA</v>
      </c>
      <c r="BI12" s="40" t="str">
        <f ca="1">IFERROR(__xludf.DUMMYFUNCTION("""COMPUTED_VALUE"""),"Terminada por Fecha     ")</f>
        <v xml:space="preserve">Terminada por Fecha     </v>
      </c>
      <c r="BJ12" s="40" t="str">
        <f ca="1">IFERROR(__xludf.DUMMYFUNCTION("""COMPUTED_VALUE"""),"Yamboro")</f>
        <v>Yamboro</v>
      </c>
      <c r="BK12" s="40"/>
      <c r="BL12" s="40"/>
    </row>
    <row r="13" spans="1:64" ht="13">
      <c r="A13" s="40"/>
      <c r="B13" s="40" t="str">
        <f ca="1">IFERROR(__xludf.DUMMYFUNCTION("""COMPUTED_VALUE"""),"FORMACION.. Revisado 03/05/2022")</f>
        <v>FORMACION.. Revisado 03/05/2022</v>
      </c>
      <c r="C13" s="40" t="str">
        <f ca="1">IFERROR(__xludf.DUMMYFUNCTION("""COMPUTED_VALUE"""),"JESÚS FELIPE OSORIO STERLING")</f>
        <v>JESÚS FELIPE OSORIO STERLING</v>
      </c>
      <c r="D13" s="40" t="str">
        <f ca="1">IFERROR(__xludf.DUMMYFUNCTION("""COMPUTED_VALUE"""),"CC")</f>
        <v>CC</v>
      </c>
      <c r="E13" s="40">
        <f ca="1">IFERROR(__xludf.DUMMYFUNCTION("""COMPUTED_VALUE"""),1007575878)</f>
        <v>1007575878</v>
      </c>
      <c r="F13" s="40">
        <f ca="1">IFERROR(__xludf.DUMMYFUNCTION("""COMPUTED_VALUE"""),1802847)</f>
        <v>1802847</v>
      </c>
      <c r="G13" s="40" t="str">
        <f ca="1">IFERROR(__xludf.DUMMYFUNCTION("""COMPUTED_VALUE"""),"TÉCNICO")</f>
        <v>TÉCNICO</v>
      </c>
      <c r="H13" s="40" t="str">
        <f ca="1">IFERROR(__xludf.DUMMYFUNCTION("""COMPUTED_VALUE"""),"SERVICIOS DE BARISMO")</f>
        <v>SERVICIOS DE BARISMO</v>
      </c>
      <c r="I13" s="40">
        <f ca="1">IFERROR(__xludf.DUMMYFUNCTION("""COMPUTED_VALUE"""),3152953929)</f>
        <v>3152953929</v>
      </c>
      <c r="J13" s="40"/>
      <c r="K13" s="40"/>
      <c r="L13" s="40" t="str">
        <f ca="1">IFERROR(__xludf.DUMMYFUNCTION("""COMPUTED_VALUE"""),"NO HA INICIADO ETAPA PRODUCTIVA")</f>
        <v>NO HA INICIADO ETAPA PRODUCTIVA</v>
      </c>
      <c r="M13" s="40"/>
      <c r="N13" s="40"/>
      <c r="O13" s="40"/>
      <c r="P13" s="40"/>
      <c r="Q13" s="40"/>
      <c r="R13" s="140"/>
      <c r="S13" s="140"/>
      <c r="T13" s="40"/>
      <c r="U13" s="40"/>
      <c r="V13" s="40"/>
      <c r="W13" s="40"/>
      <c r="X13" s="40"/>
      <c r="Y13" s="40"/>
      <c r="Z13" s="40"/>
      <c r="AA13" s="40" t="str">
        <f ca="1">IFERROR(__xludf.DUMMYFUNCTION("""COMPUTED_VALUE"""),"Revisado 15/06/2022")</f>
        <v>Revisado 15/06/2022</v>
      </c>
      <c r="AB13" s="40"/>
      <c r="AC13" s="40"/>
      <c r="AD13" s="40"/>
      <c r="AE13" s="40"/>
      <c r="AF13" s="40"/>
      <c r="AG13" s="40"/>
      <c r="AH13" s="40"/>
      <c r="AI13" s="40"/>
      <c r="AJ13" s="40"/>
      <c r="AK13" s="40"/>
      <c r="AL13" s="40"/>
      <c r="AM13" s="40"/>
      <c r="AN13" s="40"/>
      <c r="AO13" s="40"/>
      <c r="AP13" s="40"/>
      <c r="AQ13" s="40"/>
      <c r="AR13" s="40"/>
      <c r="AS13" s="40"/>
      <c r="AT13" s="40"/>
      <c r="AU13" s="40" t="str">
        <f ca="1">IFERROR(__xludf.DUMMYFUNCTION("""COMPUTED_VALUE"""),"NO_CUMPLE")</f>
        <v>NO_CUMPLE</v>
      </c>
      <c r="AV13" s="40" t="str">
        <f ca="1">IFERROR(__xludf.DUMMYFUNCTION("""COMPUTED_VALUE"""),"EN FORMACION")</f>
        <v>EN FORMACION</v>
      </c>
      <c r="AW13" s="40" t="str">
        <f ca="1">IFERROR(__xludf.DUMMYFUNCTION("""COMPUTED_VALUE"""),"TURISMO")</f>
        <v>TURISMO</v>
      </c>
      <c r="AX13" s="141">
        <f ca="1">IFERROR(__xludf.DUMMYFUNCTION("""COMPUTED_VALUE"""),44848)</f>
        <v>44848</v>
      </c>
      <c r="AY13" s="40">
        <f ca="1">IFERROR(__xludf.DUMMYFUNCTION("""COMPUTED_VALUE"""),0)</f>
        <v>0</v>
      </c>
      <c r="AZ13" s="40">
        <f ca="1">IFERROR(__xludf.DUMMYFUNCTION("""COMPUTED_VALUE"""),1)</f>
        <v>1</v>
      </c>
      <c r="BA13" s="40">
        <f ca="1">IFERROR(__xludf.DUMMYFUNCTION("""COMPUTED_VALUE"""),1)</f>
        <v>1</v>
      </c>
      <c r="BB13" s="40">
        <f ca="1">IFERROR(__xludf.DUMMYFUNCTION("""COMPUTED_VALUE"""),0)</f>
        <v>0</v>
      </c>
      <c r="BC13" s="40">
        <f ca="1">IFERROR(__xludf.DUMMYFUNCTION("""COMPUTED_VALUE"""),2)</f>
        <v>2</v>
      </c>
      <c r="BD13" s="141">
        <f ca="1">IFERROR(__xludf.DUMMYFUNCTION("""COMPUTED_VALUE"""),43493)</f>
        <v>43493</v>
      </c>
      <c r="BE13" s="141">
        <f ca="1">IFERROR(__xludf.DUMMYFUNCTION("""COMPUTED_VALUE"""),43766)</f>
        <v>43766</v>
      </c>
      <c r="BF13" s="141">
        <f ca="1">IFERROR(__xludf.DUMMYFUNCTION("""COMPUTED_VALUE"""),43949)</f>
        <v>43949</v>
      </c>
      <c r="BG13" s="141">
        <f ca="1">IFERROR(__xludf.DUMMYFUNCTION("""COMPUTED_VALUE"""),44497)</f>
        <v>44497</v>
      </c>
      <c r="BH13" s="40" t="str">
        <f ca="1">IFERROR(__xludf.DUMMYFUNCTION("""COMPUTED_VALUE"""),"FINALIZAR FICHA")</f>
        <v>FINALIZAR FICHA</v>
      </c>
      <c r="BI13" s="40" t="str">
        <f ca="1">IFERROR(__xludf.DUMMYFUNCTION("""COMPUTED_VALUE"""),"Terminada por Fecha     ")</f>
        <v xml:space="preserve">Terminada por Fecha     </v>
      </c>
      <c r="BJ13" s="40" t="str">
        <f ca="1">IFERROR(__xludf.DUMMYFUNCTION("""COMPUTED_VALUE"""),"Yamboro")</f>
        <v>Yamboro</v>
      </c>
      <c r="BK13" s="40"/>
      <c r="BL13" s="40"/>
    </row>
    <row r="14" spans="1:64" ht="13">
      <c r="A14" s="40"/>
      <c r="B14" s="40" t="str">
        <f ca="1">IFERROR(__xludf.DUMMYFUNCTION("""COMPUTED_VALUE"""),"FORMACION.. Revisado 03/05/2022")</f>
        <v>FORMACION.. Revisado 03/05/2022</v>
      </c>
      <c r="C14" s="40" t="str">
        <f ca="1">IFERROR(__xludf.DUMMYFUNCTION("""COMPUTED_VALUE"""),"DIANA CRISTINA VARGAS SANCHEZ")</f>
        <v>DIANA CRISTINA VARGAS SANCHEZ</v>
      </c>
      <c r="D14" s="40" t="str">
        <f ca="1">IFERROR(__xludf.DUMMYFUNCTION("""COMPUTED_VALUE"""),"CC")</f>
        <v>CC</v>
      </c>
      <c r="E14" s="40">
        <f ca="1">IFERROR(__xludf.DUMMYFUNCTION("""COMPUTED_VALUE"""),26428939)</f>
        <v>26428939</v>
      </c>
      <c r="F14" s="40">
        <f ca="1">IFERROR(__xludf.DUMMYFUNCTION("""COMPUTED_VALUE"""),1802847)</f>
        <v>1802847</v>
      </c>
      <c r="G14" s="40" t="str">
        <f ca="1">IFERROR(__xludf.DUMMYFUNCTION("""COMPUTED_VALUE"""),"TÉCNICO")</f>
        <v>TÉCNICO</v>
      </c>
      <c r="H14" s="40" t="str">
        <f ca="1">IFERROR(__xludf.DUMMYFUNCTION("""COMPUTED_VALUE"""),"SERVICIOS DE BARISMO")</f>
        <v>SERVICIOS DE BARISMO</v>
      </c>
      <c r="I14" s="40"/>
      <c r="J14" s="40"/>
      <c r="K14" s="40"/>
      <c r="L14" s="40" t="str">
        <f ca="1">IFERROR(__xludf.DUMMYFUNCTION("""COMPUTED_VALUE"""),"NO HA INICIADO ETAPA PRODUCTIVA")</f>
        <v>NO HA INICIADO ETAPA PRODUCTIVA</v>
      </c>
      <c r="M14" s="40"/>
      <c r="N14" s="40"/>
      <c r="O14" s="40"/>
      <c r="P14" s="40"/>
      <c r="Q14" s="40"/>
      <c r="R14" s="140"/>
      <c r="S14" s="140"/>
      <c r="T14" s="40"/>
      <c r="U14" s="40"/>
      <c r="V14" s="40"/>
      <c r="W14" s="40"/>
      <c r="X14" s="40"/>
      <c r="Y14" s="40"/>
      <c r="Z14" s="40"/>
      <c r="AA14" s="40" t="str">
        <f ca="1">IFERROR(__xludf.DUMMYFUNCTION("""COMPUTED_VALUE"""),"Revisado 15/06/2022")</f>
        <v>Revisado 15/06/2022</v>
      </c>
      <c r="AB14" s="40"/>
      <c r="AC14" s="40"/>
      <c r="AD14" s="40"/>
      <c r="AE14" s="40"/>
      <c r="AF14" s="40"/>
      <c r="AG14" s="40"/>
      <c r="AH14" s="40"/>
      <c r="AI14" s="40"/>
      <c r="AJ14" s="40"/>
      <c r="AK14" s="40"/>
      <c r="AL14" s="40"/>
      <c r="AM14" s="40"/>
      <c r="AN14" s="40"/>
      <c r="AO14" s="40"/>
      <c r="AP14" s="40"/>
      <c r="AQ14" s="40"/>
      <c r="AR14" s="40"/>
      <c r="AS14" s="40"/>
      <c r="AT14" s="40"/>
      <c r="AU14" s="40" t="str">
        <f ca="1">IFERROR(__xludf.DUMMYFUNCTION("""COMPUTED_VALUE"""),"Procede_E_P")</f>
        <v>Procede_E_P</v>
      </c>
      <c r="AV14" s="40" t="str">
        <f ca="1">IFERROR(__xludf.DUMMYFUNCTION("""COMPUTED_VALUE"""),"EN FORMACION")</f>
        <v>EN FORMACION</v>
      </c>
      <c r="AW14" s="40" t="str">
        <f ca="1">IFERROR(__xludf.DUMMYFUNCTION("""COMPUTED_VALUE"""),"TURISMO")</f>
        <v>TURISMO</v>
      </c>
      <c r="AX14" s="141">
        <f ca="1">IFERROR(__xludf.DUMMYFUNCTION("""COMPUTED_VALUE"""),44848)</f>
        <v>44848</v>
      </c>
      <c r="AY14" s="40">
        <f ca="1">IFERROR(__xludf.DUMMYFUNCTION("""COMPUTED_VALUE"""),0)</f>
        <v>0</v>
      </c>
      <c r="AZ14" s="40">
        <f ca="1">IFERROR(__xludf.DUMMYFUNCTION("""COMPUTED_VALUE"""),1)</f>
        <v>1</v>
      </c>
      <c r="BA14" s="40">
        <f ca="1">IFERROR(__xludf.DUMMYFUNCTION("""COMPUTED_VALUE"""),0)</f>
        <v>0</v>
      </c>
      <c r="BB14" s="40">
        <f ca="1">IFERROR(__xludf.DUMMYFUNCTION("""COMPUTED_VALUE"""),0)</f>
        <v>0</v>
      </c>
      <c r="BC14" s="40">
        <f ca="1">IFERROR(__xludf.DUMMYFUNCTION("""COMPUTED_VALUE"""),1)</f>
        <v>1</v>
      </c>
      <c r="BD14" s="141">
        <f ca="1">IFERROR(__xludf.DUMMYFUNCTION("""COMPUTED_VALUE"""),43493)</f>
        <v>43493</v>
      </c>
      <c r="BE14" s="141">
        <f ca="1">IFERROR(__xludf.DUMMYFUNCTION("""COMPUTED_VALUE"""),43766)</f>
        <v>43766</v>
      </c>
      <c r="BF14" s="141">
        <f ca="1">IFERROR(__xludf.DUMMYFUNCTION("""COMPUTED_VALUE"""),43949)</f>
        <v>43949</v>
      </c>
      <c r="BG14" s="141">
        <f ca="1">IFERROR(__xludf.DUMMYFUNCTION("""COMPUTED_VALUE"""),44497)</f>
        <v>44497</v>
      </c>
      <c r="BH14" s="40" t="str">
        <f ca="1">IFERROR(__xludf.DUMMYFUNCTION("""COMPUTED_VALUE"""),"FINALIZAR FICHA")</f>
        <v>FINALIZAR FICHA</v>
      </c>
      <c r="BI14" s="40" t="str">
        <f ca="1">IFERROR(__xludf.DUMMYFUNCTION("""COMPUTED_VALUE"""),"Terminada por Fecha     ")</f>
        <v xml:space="preserve">Terminada por Fecha     </v>
      </c>
      <c r="BJ14" s="40" t="str">
        <f ca="1">IFERROR(__xludf.DUMMYFUNCTION("""COMPUTED_VALUE"""),"Yamboro")</f>
        <v>Yamboro</v>
      </c>
      <c r="BK14" s="40"/>
      <c r="BL14" s="40"/>
    </row>
    <row r="15" spans="1:64" ht="13">
      <c r="A15" s="40"/>
      <c r="B15" s="40" t="str">
        <f ca="1">IFERROR(__xludf.DUMMYFUNCTION("""COMPUTED_VALUE"""),"FORMACION.. Revisado 06/05/2022")</f>
        <v>FORMACION.. Revisado 06/05/2022</v>
      </c>
      <c r="C15" s="40" t="str">
        <f ca="1">IFERROR(__xludf.DUMMYFUNCTION("""COMPUTED_VALUE"""),"JULIAN ESTEBAN MARTINEZ MALES")</f>
        <v>JULIAN ESTEBAN MARTINEZ MALES</v>
      </c>
      <c r="D15" s="40" t="str">
        <f ca="1">IFERROR(__xludf.DUMMYFUNCTION("""COMPUTED_VALUE"""),"CC")</f>
        <v>CC</v>
      </c>
      <c r="E15" s="40">
        <f ca="1">IFERROR(__xludf.DUMMYFUNCTION("""COMPUTED_VALUE"""),1082778178)</f>
        <v>1082778178</v>
      </c>
      <c r="F15" s="40">
        <f ca="1">IFERROR(__xludf.DUMMYFUNCTION("""COMPUTED_VALUE"""),1818466)</f>
        <v>1818466</v>
      </c>
      <c r="G15" s="40" t="str">
        <f ca="1">IFERROR(__xludf.DUMMYFUNCTION("""COMPUTED_VALUE"""),"TÉCNICO")</f>
        <v>TÉCNICO</v>
      </c>
      <c r="H15" s="40" t="str">
        <f ca="1">IFERROR(__xludf.DUMMYFUNCTION("""COMPUTED_VALUE"""),"EJECUCION DE PROGRAMAS DEPORTIVOS")</f>
        <v>EJECUCION DE PROGRAMAS DEPORTIVOS</v>
      </c>
      <c r="I15" s="40">
        <f ca="1">IFERROR(__xludf.DUMMYFUNCTION("""COMPUTED_VALUE"""),3112411493)</f>
        <v>3112411493</v>
      </c>
      <c r="J15" s="40"/>
      <c r="K15" s="40"/>
      <c r="L15" s="40" t="str">
        <f ca="1">IFERROR(__xludf.DUMMYFUNCTION("""COMPUTED_VALUE"""),"NO HA INICIADO ETAPA PRODUCTIVA")</f>
        <v>NO HA INICIADO ETAPA PRODUCTIVA</v>
      </c>
      <c r="M15" s="40"/>
      <c r="N15" s="40"/>
      <c r="O15" s="40"/>
      <c r="P15" s="40"/>
      <c r="Q15" s="40"/>
      <c r="R15" s="140"/>
      <c r="S15" s="140"/>
      <c r="T15" s="40"/>
      <c r="U15" s="40"/>
      <c r="V15" s="40"/>
      <c r="W15" s="40"/>
      <c r="X15" s="40"/>
      <c r="Y15" s="40"/>
      <c r="Z15" s="40"/>
      <c r="AA15" s="40" t="str">
        <f ca="1">IFERROR(__xludf.DUMMYFUNCTION("""COMPUTED_VALUE"""),"Revisado 15/06/2022")</f>
        <v>Revisado 15/06/2022</v>
      </c>
      <c r="AB15" s="40"/>
      <c r="AC15" s="40"/>
      <c r="AD15" s="40"/>
      <c r="AE15" s="40"/>
      <c r="AF15" s="40"/>
      <c r="AG15" s="40"/>
      <c r="AH15" s="40"/>
      <c r="AI15" s="40"/>
      <c r="AJ15" s="40"/>
      <c r="AK15" s="40"/>
      <c r="AL15" s="40"/>
      <c r="AM15" s="40"/>
      <c r="AN15" s="40"/>
      <c r="AO15" s="40"/>
      <c r="AP15" s="40"/>
      <c r="AQ15" s="40"/>
      <c r="AR15" s="40"/>
      <c r="AS15" s="40"/>
      <c r="AT15" s="40"/>
      <c r="AU15" s="40" t="str">
        <f ca="1">IFERROR(__xludf.DUMMYFUNCTION("""COMPUTED_VALUE"""),"Procede_E_P")</f>
        <v>Procede_E_P</v>
      </c>
      <c r="AV15" s="40" t="str">
        <f ca="1">IFERROR(__xludf.DUMMYFUNCTION("""COMPUTED_VALUE"""),"EN FORMACION")</f>
        <v>EN FORMACION</v>
      </c>
      <c r="AW15" s="40" t="str">
        <f ca="1">IFERROR(__xludf.DUMMYFUNCTION("""COMPUTED_VALUE"""),"TURISMO")</f>
        <v>TURISMO</v>
      </c>
      <c r="AX15" s="141">
        <f ca="1">IFERROR(__xludf.DUMMYFUNCTION("""COMPUTED_VALUE"""),44848)</f>
        <v>44848</v>
      </c>
      <c r="AY15" s="40">
        <f ca="1">IFERROR(__xludf.DUMMYFUNCTION("""COMPUTED_VALUE"""),0)</f>
        <v>0</v>
      </c>
      <c r="AZ15" s="40">
        <f ca="1">IFERROR(__xludf.DUMMYFUNCTION("""COMPUTED_VALUE"""),1)</f>
        <v>1</v>
      </c>
      <c r="BA15" s="40">
        <f ca="1">IFERROR(__xludf.DUMMYFUNCTION("""COMPUTED_VALUE"""),0)</f>
        <v>0</v>
      </c>
      <c r="BB15" s="40">
        <f ca="1">IFERROR(__xludf.DUMMYFUNCTION("""COMPUTED_VALUE"""),0)</f>
        <v>0</v>
      </c>
      <c r="BC15" s="40">
        <f ca="1">IFERROR(__xludf.DUMMYFUNCTION("""COMPUTED_VALUE"""),1)</f>
        <v>1</v>
      </c>
      <c r="BD15" s="141">
        <f ca="1">IFERROR(__xludf.DUMMYFUNCTION("""COMPUTED_VALUE"""),43419)</f>
        <v>43419</v>
      </c>
      <c r="BE15" s="141">
        <f ca="1">IFERROR(__xludf.DUMMYFUNCTION("""COMPUTED_VALUE"""),43692)</f>
        <v>43692</v>
      </c>
      <c r="BF15" s="141">
        <f ca="1">IFERROR(__xludf.DUMMYFUNCTION("""COMPUTED_VALUE"""),43876)</f>
        <v>43876</v>
      </c>
      <c r="BG15" s="141">
        <f ca="1">IFERROR(__xludf.DUMMYFUNCTION("""COMPUTED_VALUE"""),44423)</f>
        <v>44423</v>
      </c>
      <c r="BH15" s="40" t="str">
        <f ca="1">IFERROR(__xludf.DUMMYFUNCTION("""COMPUTED_VALUE"""),"FINALIZAR FICHA")</f>
        <v>FINALIZAR FICHA</v>
      </c>
      <c r="BI15" s="40" t="str">
        <f ca="1">IFERROR(__xludf.DUMMYFUNCTION("""COMPUTED_VALUE"""),"Terminada por Fecha     ")</f>
        <v xml:space="preserve">Terminada por Fecha     </v>
      </c>
      <c r="BJ15" s="40" t="str">
        <f ca="1">IFERROR(__xludf.DUMMYFUNCTION("""COMPUTED_VALUE"""),"Yamboro")</f>
        <v>Yamboro</v>
      </c>
      <c r="BK15" s="40"/>
      <c r="BL15" s="40"/>
    </row>
    <row r="16" spans="1:64" ht="13">
      <c r="A16" s="40"/>
      <c r="B16" s="40" t="str">
        <f ca="1">IFERROR(__xludf.DUMMYFUNCTION("""COMPUTED_VALUE"""),"FORMACION.. Revisado 06/05/2022")</f>
        <v>FORMACION.. Revisado 06/05/2022</v>
      </c>
      <c r="C16" s="40" t="str">
        <f ca="1">IFERROR(__xludf.DUMMYFUNCTION("""COMPUTED_VALUE"""),"NELSON FERNANDO ILES TOVAR")</f>
        <v>NELSON FERNANDO ILES TOVAR</v>
      </c>
      <c r="D16" s="40" t="str">
        <f ca="1">IFERROR(__xludf.DUMMYFUNCTION("""COMPUTED_VALUE"""),"CC")</f>
        <v>CC</v>
      </c>
      <c r="E16" s="40">
        <f ca="1">IFERROR(__xludf.DUMMYFUNCTION("""COMPUTED_VALUE"""),12143705)</f>
        <v>12143705</v>
      </c>
      <c r="F16" s="40">
        <f ca="1">IFERROR(__xludf.DUMMYFUNCTION("""COMPUTED_VALUE"""),1818466)</f>
        <v>1818466</v>
      </c>
      <c r="G16" s="40" t="str">
        <f ca="1">IFERROR(__xludf.DUMMYFUNCTION("""COMPUTED_VALUE"""),"TÉCNICO")</f>
        <v>TÉCNICO</v>
      </c>
      <c r="H16" s="40" t="str">
        <f ca="1">IFERROR(__xludf.DUMMYFUNCTION("""COMPUTED_VALUE"""),"EJECUCION DE PROGRAMAS DEPORTIVOS")</f>
        <v>EJECUCION DE PROGRAMAS DEPORTIVOS</v>
      </c>
      <c r="I16" s="40"/>
      <c r="J16" s="40"/>
      <c r="K16" s="40"/>
      <c r="L16" s="40" t="str">
        <f ca="1">IFERROR(__xludf.DUMMYFUNCTION("""COMPUTED_VALUE"""),"NO HA INICIADO ETAPA PRODUCTIVA")</f>
        <v>NO HA INICIADO ETAPA PRODUCTIVA</v>
      </c>
      <c r="M16" s="40"/>
      <c r="N16" s="40"/>
      <c r="O16" s="40"/>
      <c r="P16" s="40"/>
      <c r="Q16" s="40"/>
      <c r="R16" s="140"/>
      <c r="S16" s="140"/>
      <c r="T16" s="40"/>
      <c r="U16" s="40"/>
      <c r="V16" s="40"/>
      <c r="W16" s="40"/>
      <c r="X16" s="40"/>
      <c r="Y16" s="40"/>
      <c r="Z16" s="40"/>
      <c r="AA16" s="40" t="str">
        <f ca="1">IFERROR(__xludf.DUMMYFUNCTION("""COMPUTED_VALUE"""),"Revisado 15/06/2022")</f>
        <v>Revisado 15/06/2022</v>
      </c>
      <c r="AB16" s="40"/>
      <c r="AC16" s="40"/>
      <c r="AD16" s="40"/>
      <c r="AE16" s="40"/>
      <c r="AF16" s="40"/>
      <c r="AG16" s="40"/>
      <c r="AH16" s="40"/>
      <c r="AI16" s="40"/>
      <c r="AJ16" s="40"/>
      <c r="AK16" s="40"/>
      <c r="AL16" s="40"/>
      <c r="AM16" s="40"/>
      <c r="AN16" s="40"/>
      <c r="AO16" s="40"/>
      <c r="AP16" s="40"/>
      <c r="AQ16" s="40"/>
      <c r="AR16" s="40"/>
      <c r="AS16" s="40"/>
      <c r="AT16" s="40"/>
      <c r="AU16" s="40" t="str">
        <f ca="1">IFERROR(__xludf.DUMMYFUNCTION("""COMPUTED_VALUE"""),"Procede_E_P")</f>
        <v>Procede_E_P</v>
      </c>
      <c r="AV16" s="40" t="str">
        <f ca="1">IFERROR(__xludf.DUMMYFUNCTION("""COMPUTED_VALUE"""),"EN FORMACION")</f>
        <v>EN FORMACION</v>
      </c>
      <c r="AW16" s="40" t="str">
        <f ca="1">IFERROR(__xludf.DUMMYFUNCTION("""COMPUTED_VALUE"""),"TURISMO")</f>
        <v>TURISMO</v>
      </c>
      <c r="AX16" s="141">
        <f ca="1">IFERROR(__xludf.DUMMYFUNCTION("""COMPUTED_VALUE"""),44848)</f>
        <v>44848</v>
      </c>
      <c r="AY16" s="40">
        <f ca="1">IFERROR(__xludf.DUMMYFUNCTION("""COMPUTED_VALUE"""),0)</f>
        <v>0</v>
      </c>
      <c r="AZ16" s="40">
        <f ca="1">IFERROR(__xludf.DUMMYFUNCTION("""COMPUTED_VALUE"""),1)</f>
        <v>1</v>
      </c>
      <c r="BA16" s="40">
        <f ca="1">IFERROR(__xludf.DUMMYFUNCTION("""COMPUTED_VALUE"""),0)</f>
        <v>0</v>
      </c>
      <c r="BB16" s="40">
        <f ca="1">IFERROR(__xludf.DUMMYFUNCTION("""COMPUTED_VALUE"""),0)</f>
        <v>0</v>
      </c>
      <c r="BC16" s="40">
        <f ca="1">IFERROR(__xludf.DUMMYFUNCTION("""COMPUTED_VALUE"""),1)</f>
        <v>1</v>
      </c>
      <c r="BD16" s="141">
        <f ca="1">IFERROR(__xludf.DUMMYFUNCTION("""COMPUTED_VALUE"""),43419)</f>
        <v>43419</v>
      </c>
      <c r="BE16" s="141">
        <f ca="1">IFERROR(__xludf.DUMMYFUNCTION("""COMPUTED_VALUE"""),43692)</f>
        <v>43692</v>
      </c>
      <c r="BF16" s="141">
        <f ca="1">IFERROR(__xludf.DUMMYFUNCTION("""COMPUTED_VALUE"""),43876)</f>
        <v>43876</v>
      </c>
      <c r="BG16" s="141">
        <f ca="1">IFERROR(__xludf.DUMMYFUNCTION("""COMPUTED_VALUE"""),44423)</f>
        <v>44423</v>
      </c>
      <c r="BH16" s="40" t="str">
        <f ca="1">IFERROR(__xludf.DUMMYFUNCTION("""COMPUTED_VALUE"""),"FINALIZAR FICHA")</f>
        <v>FINALIZAR FICHA</v>
      </c>
      <c r="BI16" s="40" t="str">
        <f ca="1">IFERROR(__xludf.DUMMYFUNCTION("""COMPUTED_VALUE"""),"Terminada por Fecha     ")</f>
        <v xml:space="preserve">Terminada por Fecha     </v>
      </c>
      <c r="BJ16" s="40" t="str">
        <f ca="1">IFERROR(__xludf.DUMMYFUNCTION("""COMPUTED_VALUE"""),"Yamboro")</f>
        <v>Yamboro</v>
      </c>
      <c r="BK16" s="40"/>
      <c r="BL16" s="40"/>
    </row>
    <row r="17" spans="1:64" ht="13">
      <c r="A17" s="40"/>
      <c r="B17" s="40" t="str">
        <f ca="1">IFERROR(__xludf.DUMMYFUNCTION("""COMPUTED_VALUE"""),"FORMACION.. Revisado 06/05/2022")</f>
        <v>FORMACION.. Revisado 06/05/2022</v>
      </c>
      <c r="C17" s="40" t="str">
        <f ca="1">IFERROR(__xludf.DUMMYFUNCTION("""COMPUTED_VALUE"""),"EDISON CHAUX MALES")</f>
        <v>EDISON CHAUX MALES</v>
      </c>
      <c r="D17" s="40" t="str">
        <f ca="1">IFERROR(__xludf.DUMMYFUNCTION("""COMPUTED_VALUE"""),"CC")</f>
        <v>CC</v>
      </c>
      <c r="E17" s="40">
        <f ca="1">IFERROR(__xludf.DUMMYFUNCTION("""COMPUTED_VALUE"""),12180259)</f>
        <v>12180259</v>
      </c>
      <c r="F17" s="40">
        <f ca="1">IFERROR(__xludf.DUMMYFUNCTION("""COMPUTED_VALUE"""),1818466)</f>
        <v>1818466</v>
      </c>
      <c r="G17" s="40" t="str">
        <f ca="1">IFERROR(__xludf.DUMMYFUNCTION("""COMPUTED_VALUE"""),"TÉCNICO")</f>
        <v>TÉCNICO</v>
      </c>
      <c r="H17" s="40" t="str">
        <f ca="1">IFERROR(__xludf.DUMMYFUNCTION("""COMPUTED_VALUE"""),"EJECUCION DE PROGRAMAS DEPORTIVOS")</f>
        <v>EJECUCION DE PROGRAMAS DEPORTIVOS</v>
      </c>
      <c r="I17" s="40">
        <f ca="1">IFERROR(__xludf.DUMMYFUNCTION("""COMPUTED_VALUE"""),3167296460)</f>
        <v>3167296460</v>
      </c>
      <c r="J17" s="40" t="str">
        <f ca="1">IFERROR(__xludf.DUMMYFUNCTION("""COMPUTED_VALUE"""),"edichama1977@gmail.com")</f>
        <v>edichama1977@gmail.com</v>
      </c>
      <c r="K17" s="40" t="str">
        <f ca="1">IFERROR(__xludf.DUMMYFUNCTION("""COMPUTED_VALUE"""),"SAN AGUSTÍN")</f>
        <v>SAN AGUSTÍN</v>
      </c>
      <c r="L17" s="40" t="str">
        <f ca="1">IFERROR(__xludf.DUMMYFUNCTION("""COMPUTED_VALUE"""),"NO HA INICIADO ETAPA PRODUCTIVA")</f>
        <v>NO HA INICIADO ETAPA PRODUCTIVA</v>
      </c>
      <c r="M17" s="40"/>
      <c r="N17" s="40"/>
      <c r="O17" s="40"/>
      <c r="P17" s="40"/>
      <c r="Q17" s="40"/>
      <c r="R17" s="140"/>
      <c r="S17" s="140"/>
      <c r="T17" s="40"/>
      <c r="U17" s="40"/>
      <c r="V17" s="40"/>
      <c r="W17" s="40"/>
      <c r="X17" s="40"/>
      <c r="Y17" s="40"/>
      <c r="Z17" s="40"/>
      <c r="AA17" s="40" t="str">
        <f ca="1">IFERROR(__xludf.DUMMYFUNCTION("""COMPUTED_VALUE"""),"Revisado 15/06/2022")</f>
        <v>Revisado 15/06/2022</v>
      </c>
      <c r="AB17" s="40"/>
      <c r="AC17" s="40"/>
      <c r="AD17" s="40"/>
      <c r="AE17" s="40"/>
      <c r="AF17" s="40"/>
      <c r="AG17" s="40"/>
      <c r="AH17" s="40"/>
      <c r="AI17" s="40"/>
      <c r="AJ17" s="40"/>
      <c r="AK17" s="40"/>
      <c r="AL17" s="40"/>
      <c r="AM17" s="40"/>
      <c r="AN17" s="40"/>
      <c r="AO17" s="40"/>
      <c r="AP17" s="40"/>
      <c r="AQ17" s="40"/>
      <c r="AR17" s="40"/>
      <c r="AS17" s="40"/>
      <c r="AT17" s="40"/>
      <c r="AU17" s="40" t="str">
        <f ca="1">IFERROR(__xludf.DUMMYFUNCTION("""COMPUTED_VALUE"""),"Procede_E_P")</f>
        <v>Procede_E_P</v>
      </c>
      <c r="AV17" s="40" t="str">
        <f ca="1">IFERROR(__xludf.DUMMYFUNCTION("""COMPUTED_VALUE"""),"EN FORMACION")</f>
        <v>EN FORMACION</v>
      </c>
      <c r="AW17" s="40" t="str">
        <f ca="1">IFERROR(__xludf.DUMMYFUNCTION("""COMPUTED_VALUE"""),"TURISMO")</f>
        <v>TURISMO</v>
      </c>
      <c r="AX17" s="141">
        <f ca="1">IFERROR(__xludf.DUMMYFUNCTION("""COMPUTED_VALUE"""),44848)</f>
        <v>44848</v>
      </c>
      <c r="AY17" s="40">
        <f ca="1">IFERROR(__xludf.DUMMYFUNCTION("""COMPUTED_VALUE"""),0)</f>
        <v>0</v>
      </c>
      <c r="AZ17" s="40">
        <f ca="1">IFERROR(__xludf.DUMMYFUNCTION("""COMPUTED_VALUE"""),1)</f>
        <v>1</v>
      </c>
      <c r="BA17" s="40">
        <f ca="1">IFERROR(__xludf.DUMMYFUNCTION("""COMPUTED_VALUE"""),0)</f>
        <v>0</v>
      </c>
      <c r="BB17" s="40">
        <f ca="1">IFERROR(__xludf.DUMMYFUNCTION("""COMPUTED_VALUE"""),0)</f>
        <v>0</v>
      </c>
      <c r="BC17" s="40">
        <f ca="1">IFERROR(__xludf.DUMMYFUNCTION("""COMPUTED_VALUE"""),1)</f>
        <v>1</v>
      </c>
      <c r="BD17" s="141">
        <f ca="1">IFERROR(__xludf.DUMMYFUNCTION("""COMPUTED_VALUE"""),43419)</f>
        <v>43419</v>
      </c>
      <c r="BE17" s="141">
        <f ca="1">IFERROR(__xludf.DUMMYFUNCTION("""COMPUTED_VALUE"""),43692)</f>
        <v>43692</v>
      </c>
      <c r="BF17" s="141">
        <f ca="1">IFERROR(__xludf.DUMMYFUNCTION("""COMPUTED_VALUE"""),43876)</f>
        <v>43876</v>
      </c>
      <c r="BG17" s="141">
        <f ca="1">IFERROR(__xludf.DUMMYFUNCTION("""COMPUTED_VALUE"""),44423)</f>
        <v>44423</v>
      </c>
      <c r="BH17" s="40" t="str">
        <f ca="1">IFERROR(__xludf.DUMMYFUNCTION("""COMPUTED_VALUE"""),"FINALIZAR FICHA")</f>
        <v>FINALIZAR FICHA</v>
      </c>
      <c r="BI17" s="40" t="str">
        <f ca="1">IFERROR(__xludf.DUMMYFUNCTION("""COMPUTED_VALUE"""),"Terminada por Fecha     ")</f>
        <v xml:space="preserve">Terminada por Fecha     </v>
      </c>
      <c r="BJ17" s="40" t="str">
        <f ca="1">IFERROR(__xludf.DUMMYFUNCTION("""COMPUTED_VALUE"""),"Yamboro")</f>
        <v>Yamboro</v>
      </c>
      <c r="BK17" s="40"/>
      <c r="BL17" s="40"/>
    </row>
    <row r="18" spans="1:64" ht="13">
      <c r="A18" s="40"/>
      <c r="B18" s="40" t="str">
        <f ca="1">IFERROR(__xludf.DUMMYFUNCTION("""COMPUTED_VALUE"""),"FORMACION.. Revisado 06/05/2022")</f>
        <v>FORMACION.. Revisado 06/05/2022</v>
      </c>
      <c r="C18" s="40" t="str">
        <f ca="1">IFERROR(__xludf.DUMMYFUNCTION("""COMPUTED_VALUE"""),"EIVAR CUELLAR OCHOA")</f>
        <v>EIVAR CUELLAR OCHOA</v>
      </c>
      <c r="D18" s="40" t="str">
        <f ca="1">IFERROR(__xludf.DUMMYFUNCTION("""COMPUTED_VALUE"""),"CC")</f>
        <v>CC</v>
      </c>
      <c r="E18" s="40">
        <f ca="1">IFERROR(__xludf.DUMMYFUNCTION("""COMPUTED_VALUE"""),12181563)</f>
        <v>12181563</v>
      </c>
      <c r="F18" s="40">
        <f ca="1">IFERROR(__xludf.DUMMYFUNCTION("""COMPUTED_VALUE"""),1818466)</f>
        <v>1818466</v>
      </c>
      <c r="G18" s="40" t="str">
        <f ca="1">IFERROR(__xludf.DUMMYFUNCTION("""COMPUTED_VALUE"""),"TÉCNICO")</f>
        <v>TÉCNICO</v>
      </c>
      <c r="H18" s="40" t="str">
        <f ca="1">IFERROR(__xludf.DUMMYFUNCTION("""COMPUTED_VALUE"""),"EJECUCION DE PROGRAMAS DEPORTIVOS")</f>
        <v>EJECUCION DE PROGRAMAS DEPORTIVOS</v>
      </c>
      <c r="I18" s="40">
        <f ca="1">IFERROR(__xludf.DUMMYFUNCTION("""COMPUTED_VALUE"""),3155070758)</f>
        <v>3155070758</v>
      </c>
      <c r="J18" s="40"/>
      <c r="K18" s="40"/>
      <c r="L18" s="40" t="str">
        <f ca="1">IFERROR(__xludf.DUMMYFUNCTION("""COMPUTED_VALUE"""),"NO HA INICIADO ETAPA PRODUCTIVA")</f>
        <v>NO HA INICIADO ETAPA PRODUCTIVA</v>
      </c>
      <c r="M18" s="40"/>
      <c r="N18" s="40"/>
      <c r="O18" s="40"/>
      <c r="P18" s="40"/>
      <c r="Q18" s="40"/>
      <c r="R18" s="140"/>
      <c r="S18" s="140"/>
      <c r="T18" s="40"/>
      <c r="U18" s="40"/>
      <c r="V18" s="40"/>
      <c r="W18" s="40"/>
      <c r="X18" s="40"/>
      <c r="Y18" s="40"/>
      <c r="Z18" s="40"/>
      <c r="AA18" s="40" t="str">
        <f ca="1">IFERROR(__xludf.DUMMYFUNCTION("""COMPUTED_VALUE"""),"Revisado 15/06/2022")</f>
        <v>Revisado 15/06/2022</v>
      </c>
      <c r="AB18" s="40"/>
      <c r="AC18" s="40"/>
      <c r="AD18" s="40"/>
      <c r="AE18" s="40"/>
      <c r="AF18" s="40"/>
      <c r="AG18" s="40"/>
      <c r="AH18" s="40"/>
      <c r="AI18" s="40"/>
      <c r="AJ18" s="40"/>
      <c r="AK18" s="40"/>
      <c r="AL18" s="40"/>
      <c r="AM18" s="40"/>
      <c r="AN18" s="40"/>
      <c r="AO18" s="40"/>
      <c r="AP18" s="40"/>
      <c r="AQ18" s="40"/>
      <c r="AR18" s="40"/>
      <c r="AS18" s="40"/>
      <c r="AT18" s="40"/>
      <c r="AU18" s="40" t="str">
        <f ca="1">IFERROR(__xludf.DUMMYFUNCTION("""COMPUTED_VALUE"""),"Procede_E_P")</f>
        <v>Procede_E_P</v>
      </c>
      <c r="AV18" s="40" t="str">
        <f ca="1">IFERROR(__xludf.DUMMYFUNCTION("""COMPUTED_VALUE"""),"EN FORMACION")</f>
        <v>EN FORMACION</v>
      </c>
      <c r="AW18" s="40" t="str">
        <f ca="1">IFERROR(__xludf.DUMMYFUNCTION("""COMPUTED_VALUE"""),"TURISMO")</f>
        <v>TURISMO</v>
      </c>
      <c r="AX18" s="141">
        <f ca="1">IFERROR(__xludf.DUMMYFUNCTION("""COMPUTED_VALUE"""),44848)</f>
        <v>44848</v>
      </c>
      <c r="AY18" s="40">
        <f ca="1">IFERROR(__xludf.DUMMYFUNCTION("""COMPUTED_VALUE"""),0)</f>
        <v>0</v>
      </c>
      <c r="AZ18" s="40">
        <f ca="1">IFERROR(__xludf.DUMMYFUNCTION("""COMPUTED_VALUE"""),1)</f>
        <v>1</v>
      </c>
      <c r="BA18" s="40">
        <f ca="1">IFERROR(__xludf.DUMMYFUNCTION("""COMPUTED_VALUE"""),0)</f>
        <v>0</v>
      </c>
      <c r="BB18" s="40">
        <f ca="1">IFERROR(__xludf.DUMMYFUNCTION("""COMPUTED_VALUE"""),0)</f>
        <v>0</v>
      </c>
      <c r="BC18" s="40">
        <f ca="1">IFERROR(__xludf.DUMMYFUNCTION("""COMPUTED_VALUE"""),1)</f>
        <v>1</v>
      </c>
      <c r="BD18" s="141">
        <f ca="1">IFERROR(__xludf.DUMMYFUNCTION("""COMPUTED_VALUE"""),43419)</f>
        <v>43419</v>
      </c>
      <c r="BE18" s="141">
        <f ca="1">IFERROR(__xludf.DUMMYFUNCTION("""COMPUTED_VALUE"""),43692)</f>
        <v>43692</v>
      </c>
      <c r="BF18" s="141">
        <f ca="1">IFERROR(__xludf.DUMMYFUNCTION("""COMPUTED_VALUE"""),43876)</f>
        <v>43876</v>
      </c>
      <c r="BG18" s="141">
        <f ca="1">IFERROR(__xludf.DUMMYFUNCTION("""COMPUTED_VALUE"""),44423)</f>
        <v>44423</v>
      </c>
      <c r="BH18" s="40" t="str">
        <f ca="1">IFERROR(__xludf.DUMMYFUNCTION("""COMPUTED_VALUE"""),"FINALIZAR FICHA")</f>
        <v>FINALIZAR FICHA</v>
      </c>
      <c r="BI18" s="40" t="str">
        <f ca="1">IFERROR(__xludf.DUMMYFUNCTION("""COMPUTED_VALUE"""),"Terminada por Fecha     ")</f>
        <v xml:space="preserve">Terminada por Fecha     </v>
      </c>
      <c r="BJ18" s="40" t="str">
        <f ca="1">IFERROR(__xludf.DUMMYFUNCTION("""COMPUTED_VALUE"""),"Yamboro")</f>
        <v>Yamboro</v>
      </c>
      <c r="BK18" s="40"/>
      <c r="BL18" s="40"/>
    </row>
    <row r="19" spans="1:64" ht="13">
      <c r="A19" s="40"/>
      <c r="B19" s="40" t="str">
        <f ca="1">IFERROR(__xludf.DUMMYFUNCTION("""COMPUTED_VALUE"""),"FORMACIÓN 08/06//2022")</f>
        <v>FORMACIÓN 08/06//2022</v>
      </c>
      <c r="C19" s="40" t="str">
        <f ca="1">IFERROR(__xludf.DUMMYFUNCTION("""COMPUTED_VALUE"""),"JUAN FELIPE FIGUEROA CABRERA")</f>
        <v>JUAN FELIPE FIGUEROA CABRERA</v>
      </c>
      <c r="D19" s="40" t="str">
        <f ca="1">IFERROR(__xludf.DUMMYFUNCTION("""COMPUTED_VALUE"""),"CC")</f>
        <v>CC</v>
      </c>
      <c r="E19" s="40">
        <f ca="1">IFERROR(__xludf.DUMMYFUNCTION("""COMPUTED_VALUE"""),1004446245)</f>
        <v>1004446245</v>
      </c>
      <c r="F19" s="40">
        <f ca="1">IFERROR(__xludf.DUMMYFUNCTION("""COMPUTED_VALUE"""),1835249)</f>
        <v>1835249</v>
      </c>
      <c r="G19" s="40" t="str">
        <f ca="1">IFERROR(__xludf.DUMMYFUNCTION("""COMPUTED_VALUE"""),"TÉCNICO")</f>
        <v>TÉCNICO</v>
      </c>
      <c r="H19" s="40" t="str">
        <f ca="1">IFERROR(__xludf.DUMMYFUNCTION("""COMPUTED_VALUE"""),"PRODUCCIÓN DE CAFÉS ESPECIALES")</f>
        <v>PRODUCCIÓN DE CAFÉS ESPECIALES</v>
      </c>
      <c r="I19" s="40">
        <f ca="1">IFERROR(__xludf.DUMMYFUNCTION("""COMPUTED_VALUE"""),3134218254)</f>
        <v>3134218254</v>
      </c>
      <c r="J19" s="40" t="str">
        <f ca="1">IFERROR(__xludf.DUMMYFUNCTION("""COMPUTED_VALUE"""),"juanfeia01@gmail.com")</f>
        <v>juanfeia01@gmail.com</v>
      </c>
      <c r="K19" s="40" t="str">
        <f ca="1">IFERROR(__xludf.DUMMYFUNCTION("""COMPUTED_VALUE"""),"PITALITO")</f>
        <v>PITALITO</v>
      </c>
      <c r="L19" s="40" t="str">
        <f ca="1">IFERROR(__xludf.DUMMYFUNCTION("""COMPUTED_VALUE"""),"NO HA INICIADO ETAPA PRODUCTIVA")</f>
        <v>NO HA INICIADO ETAPA PRODUCTIVA</v>
      </c>
      <c r="M19" s="40" t="str">
        <f ca="1">IFERROR(__xludf.DUMMYFUNCTION("""COMPUTED_VALUE"""),"pendiente")</f>
        <v>pendiente</v>
      </c>
      <c r="N19" s="40"/>
      <c r="O19" s="40"/>
      <c r="P19" s="40"/>
      <c r="Q19" s="40"/>
      <c r="R19" s="140"/>
      <c r="S19" s="140"/>
      <c r="T19" s="40"/>
      <c r="U19" s="40"/>
      <c r="V19" s="40"/>
      <c r="W19" s="40"/>
      <c r="X19" s="40"/>
      <c r="Y19" s="40"/>
      <c r="Z19" s="40"/>
      <c r="AA19" s="40" t="str">
        <f ca="1">IFERROR(__xludf.DUMMYFUNCTION("""COMPUTED_VALUE"""),"Revisado 15/06/2022")</f>
        <v>Revisado 15/06/2022</v>
      </c>
      <c r="AB19" s="40"/>
      <c r="AC19" s="40"/>
      <c r="AD19" s="40"/>
      <c r="AE19" s="40"/>
      <c r="AF19" s="40"/>
      <c r="AG19" s="40"/>
      <c r="AH19" s="40"/>
      <c r="AI19" s="40"/>
      <c r="AJ19" s="40"/>
      <c r="AK19" s="40"/>
      <c r="AL19" s="40"/>
      <c r="AM19" s="40"/>
      <c r="AN19" s="40"/>
      <c r="AO19" s="40"/>
      <c r="AP19" s="40"/>
      <c r="AQ19" s="40"/>
      <c r="AR19" s="40"/>
      <c r="AS19" s="40"/>
      <c r="AT19" s="40"/>
      <c r="AU19" s="40" t="str">
        <f ca="1">IFERROR(__xludf.DUMMYFUNCTION("""COMPUTED_VALUE"""),"Procede_E_P")</f>
        <v>Procede_E_P</v>
      </c>
      <c r="AV19" s="40" t="str">
        <f ca="1">IFERROR(__xludf.DUMMYFUNCTION("""COMPUTED_VALUE"""),"EN FORMACION")</f>
        <v>EN FORMACION</v>
      </c>
      <c r="AW19" s="40" t="str">
        <f ca="1">IFERROR(__xludf.DUMMYFUNCTION("""COMPUTED_VALUE"""),"AGROPECUARIO")</f>
        <v>AGROPECUARIO</v>
      </c>
      <c r="AX19" s="141">
        <f ca="1">IFERROR(__xludf.DUMMYFUNCTION("""COMPUTED_VALUE"""),44848)</f>
        <v>44848</v>
      </c>
      <c r="AY19" s="40">
        <f ca="1">IFERROR(__xludf.DUMMYFUNCTION("""COMPUTED_VALUE"""),0)</f>
        <v>0</v>
      </c>
      <c r="AZ19" s="40">
        <f ca="1">IFERROR(__xludf.DUMMYFUNCTION("""COMPUTED_VALUE"""),1)</f>
        <v>1</v>
      </c>
      <c r="BA19" s="40">
        <f ca="1">IFERROR(__xludf.DUMMYFUNCTION("""COMPUTED_VALUE"""),0)</f>
        <v>0</v>
      </c>
      <c r="BB19" s="40">
        <f ca="1">IFERROR(__xludf.DUMMYFUNCTION("""COMPUTED_VALUE"""),0)</f>
        <v>0</v>
      </c>
      <c r="BC19" s="40">
        <f ca="1">IFERROR(__xludf.DUMMYFUNCTION("""COMPUTED_VALUE"""),1)</f>
        <v>1</v>
      </c>
      <c r="BD19" s="141">
        <f ca="1">IFERROR(__xludf.DUMMYFUNCTION("""COMPUTED_VALUE"""),43577)</f>
        <v>43577</v>
      </c>
      <c r="BE19" s="141">
        <f ca="1">IFERROR(__xludf.DUMMYFUNCTION("""COMPUTED_VALUE"""),43760)</f>
        <v>43760</v>
      </c>
      <c r="BF19" s="141">
        <f ca="1">IFERROR(__xludf.DUMMYFUNCTION("""COMPUTED_VALUE"""),43943)</f>
        <v>43943</v>
      </c>
      <c r="BG19" s="141">
        <f ca="1">IFERROR(__xludf.DUMMYFUNCTION("""COMPUTED_VALUE"""),44491)</f>
        <v>44491</v>
      </c>
      <c r="BH19" s="40" t="str">
        <f ca="1">IFERROR(__xludf.DUMMYFUNCTION("""COMPUTED_VALUE"""),"FINALIZAR FICHA")</f>
        <v>FINALIZAR FICHA</v>
      </c>
      <c r="BI19" s="40" t="str">
        <f ca="1">IFERROR(__xludf.DUMMYFUNCTION("""COMPUTED_VALUE"""),"Terminada por Fecha     ")</f>
        <v xml:space="preserve">Terminada por Fecha     </v>
      </c>
      <c r="BJ19" s="40" t="str">
        <f ca="1">IFERROR(__xludf.DUMMYFUNCTION("""COMPUTED_VALUE"""),"Yamboro")</f>
        <v>Yamboro</v>
      </c>
      <c r="BK19" s="40"/>
      <c r="BL19" s="40"/>
    </row>
    <row r="20" spans="1:64" ht="13">
      <c r="A20" s="40"/>
      <c r="B20" s="40" t="str">
        <f ca="1">IFERROR(__xludf.DUMMYFUNCTION("""COMPUTED_VALUE"""),"FORMACIÓN 08/06//2022")</f>
        <v>FORMACIÓN 08/06//2022</v>
      </c>
      <c r="C20" s="40" t="str">
        <f ca="1">IFERROR(__xludf.DUMMYFUNCTION("""COMPUTED_VALUE"""),"NINI JOHANA MUÑOZ TORRES")</f>
        <v>NINI JOHANA MUÑOZ TORRES</v>
      </c>
      <c r="D20" s="40" t="str">
        <f ca="1">IFERROR(__xludf.DUMMYFUNCTION("""COMPUTED_VALUE"""),"CC")</f>
        <v>CC</v>
      </c>
      <c r="E20" s="40">
        <f ca="1">IFERROR(__xludf.DUMMYFUNCTION("""COMPUTED_VALUE"""),1007411816)</f>
        <v>1007411816</v>
      </c>
      <c r="F20" s="40">
        <f ca="1">IFERROR(__xludf.DUMMYFUNCTION("""COMPUTED_VALUE"""),1835249)</f>
        <v>1835249</v>
      </c>
      <c r="G20" s="40" t="str">
        <f ca="1">IFERROR(__xludf.DUMMYFUNCTION("""COMPUTED_VALUE"""),"TÉCNICO")</f>
        <v>TÉCNICO</v>
      </c>
      <c r="H20" s="40" t="str">
        <f ca="1">IFERROR(__xludf.DUMMYFUNCTION("""COMPUTED_VALUE"""),"PRODUCCIÓN DE CAFÉS ESPECIALES")</f>
        <v>PRODUCCIÓN DE CAFÉS ESPECIALES</v>
      </c>
      <c r="I20" s="40"/>
      <c r="J20" s="40"/>
      <c r="K20" s="40"/>
      <c r="L20" s="40" t="str">
        <f ca="1">IFERROR(__xludf.DUMMYFUNCTION("""COMPUTED_VALUE"""),"NO HA INICIADO ETAPA PRODUCTIVA")</f>
        <v>NO HA INICIADO ETAPA PRODUCTIVA</v>
      </c>
      <c r="M20" s="40" t="str">
        <f ca="1">IFERROR(__xludf.DUMMYFUNCTION("""COMPUTED_VALUE"""),"ya inico")</f>
        <v>ya inico</v>
      </c>
      <c r="N20" s="40"/>
      <c r="O20" s="40"/>
      <c r="P20" s="40"/>
      <c r="Q20" s="40"/>
      <c r="R20" s="140"/>
      <c r="S20" s="140"/>
      <c r="T20" s="40"/>
      <c r="U20" s="40"/>
      <c r="V20" s="40"/>
      <c r="W20" s="40"/>
      <c r="X20" s="40"/>
      <c r="Y20" s="40"/>
      <c r="Z20" s="40"/>
      <c r="AA20" s="40" t="str">
        <f ca="1">IFERROR(__xludf.DUMMYFUNCTION("""COMPUTED_VALUE"""),"Revisado 15/06/2022")</f>
        <v>Revisado 15/06/2022</v>
      </c>
      <c r="AB20" s="40"/>
      <c r="AC20" s="40"/>
      <c r="AD20" s="40"/>
      <c r="AE20" s="40"/>
      <c r="AF20" s="40"/>
      <c r="AG20" s="40"/>
      <c r="AH20" s="40"/>
      <c r="AI20" s="40"/>
      <c r="AJ20" s="40"/>
      <c r="AK20" s="40"/>
      <c r="AL20" s="40"/>
      <c r="AM20" s="40"/>
      <c r="AN20" s="40"/>
      <c r="AO20" s="40"/>
      <c r="AP20" s="40"/>
      <c r="AQ20" s="40"/>
      <c r="AR20" s="40"/>
      <c r="AS20" s="40"/>
      <c r="AT20" s="40"/>
      <c r="AU20" s="40" t="str">
        <f ca="1">IFERROR(__xludf.DUMMYFUNCTION("""COMPUTED_VALUE"""),"NO_CUMPLE")</f>
        <v>NO_CUMPLE</v>
      </c>
      <c r="AV20" s="40" t="str">
        <f ca="1">IFERROR(__xludf.DUMMYFUNCTION("""COMPUTED_VALUE"""),"EN FORMACION")</f>
        <v>EN FORMACION</v>
      </c>
      <c r="AW20" s="40" t="str">
        <f ca="1">IFERROR(__xludf.DUMMYFUNCTION("""COMPUTED_VALUE"""),"AGROPECUARIO")</f>
        <v>AGROPECUARIO</v>
      </c>
      <c r="AX20" s="141">
        <f ca="1">IFERROR(__xludf.DUMMYFUNCTION("""COMPUTED_VALUE"""),44848)</f>
        <v>44848</v>
      </c>
      <c r="AY20" s="40">
        <f ca="1">IFERROR(__xludf.DUMMYFUNCTION("""COMPUTED_VALUE"""),1)</f>
        <v>1</v>
      </c>
      <c r="AZ20" s="40">
        <f ca="1">IFERROR(__xludf.DUMMYFUNCTION("""COMPUTED_VALUE"""),1)</f>
        <v>1</v>
      </c>
      <c r="BA20" s="40">
        <f ca="1">IFERROR(__xludf.DUMMYFUNCTION("""COMPUTED_VALUE"""),2)</f>
        <v>2</v>
      </c>
      <c r="BB20" s="40">
        <f ca="1">IFERROR(__xludf.DUMMYFUNCTION("""COMPUTED_VALUE"""),0)</f>
        <v>0</v>
      </c>
      <c r="BC20" s="40">
        <f ca="1">IFERROR(__xludf.DUMMYFUNCTION("""COMPUTED_VALUE"""),4)</f>
        <v>4</v>
      </c>
      <c r="BD20" s="141">
        <f ca="1">IFERROR(__xludf.DUMMYFUNCTION("""COMPUTED_VALUE"""),43577)</f>
        <v>43577</v>
      </c>
      <c r="BE20" s="141">
        <f ca="1">IFERROR(__xludf.DUMMYFUNCTION("""COMPUTED_VALUE"""),43760)</f>
        <v>43760</v>
      </c>
      <c r="BF20" s="141">
        <f ca="1">IFERROR(__xludf.DUMMYFUNCTION("""COMPUTED_VALUE"""),43943)</f>
        <v>43943</v>
      </c>
      <c r="BG20" s="141">
        <f ca="1">IFERROR(__xludf.DUMMYFUNCTION("""COMPUTED_VALUE"""),44491)</f>
        <v>44491</v>
      </c>
      <c r="BH20" s="40" t="str">
        <f ca="1">IFERROR(__xludf.DUMMYFUNCTION("""COMPUTED_VALUE"""),"FINALIZAR FICHA")</f>
        <v>FINALIZAR FICHA</v>
      </c>
      <c r="BI20" s="40" t="str">
        <f ca="1">IFERROR(__xludf.DUMMYFUNCTION("""COMPUTED_VALUE"""),"Terminada por Fecha     ")</f>
        <v xml:space="preserve">Terminada por Fecha     </v>
      </c>
      <c r="BJ20" s="40" t="str">
        <f ca="1">IFERROR(__xludf.DUMMYFUNCTION("""COMPUTED_VALUE"""),"Yamboro")</f>
        <v>Yamboro</v>
      </c>
      <c r="BK20" s="40"/>
      <c r="BL20" s="40"/>
    </row>
    <row r="21" spans="1:64" ht="13">
      <c r="A21" s="40"/>
      <c r="B21" s="40" t="str">
        <f ca="1">IFERROR(__xludf.DUMMYFUNCTION("""COMPUTED_VALUE"""),"FORMACIÓN 08/06//2022")</f>
        <v>FORMACIÓN 08/06//2022</v>
      </c>
      <c r="C21" s="40" t="str">
        <f ca="1">IFERROR(__xludf.DUMMYFUNCTION("""COMPUTED_VALUE"""),"HAROLD LUIGI GAMA PEÑA")</f>
        <v>HAROLD LUIGI GAMA PEÑA</v>
      </c>
      <c r="D21" s="40" t="str">
        <f ca="1">IFERROR(__xludf.DUMMYFUNCTION("""COMPUTED_VALUE"""),"CC")</f>
        <v>CC</v>
      </c>
      <c r="E21" s="40">
        <f ca="1">IFERROR(__xludf.DUMMYFUNCTION("""COMPUTED_VALUE"""),1051589619)</f>
        <v>1051589619</v>
      </c>
      <c r="F21" s="40">
        <f ca="1">IFERROR(__xludf.DUMMYFUNCTION("""COMPUTED_VALUE"""),1835249)</f>
        <v>1835249</v>
      </c>
      <c r="G21" s="40" t="str">
        <f ca="1">IFERROR(__xludf.DUMMYFUNCTION("""COMPUTED_VALUE"""),"TÉCNICO")</f>
        <v>TÉCNICO</v>
      </c>
      <c r="H21" s="40" t="str">
        <f ca="1">IFERROR(__xludf.DUMMYFUNCTION("""COMPUTED_VALUE"""),"PRODUCCIÓN DE CAFÉS ESPECIALES")</f>
        <v>PRODUCCIÓN DE CAFÉS ESPECIALES</v>
      </c>
      <c r="I21" s="40">
        <f ca="1">IFERROR(__xludf.DUMMYFUNCTION("""COMPUTED_VALUE"""),3118247453)</f>
        <v>3118247453</v>
      </c>
      <c r="J21" s="40"/>
      <c r="K21" s="40"/>
      <c r="L21" s="40" t="str">
        <f ca="1">IFERROR(__xludf.DUMMYFUNCTION("""COMPUTED_VALUE"""),"NO HA INICIADO ETAPA PRODUCTIVA")</f>
        <v>NO HA INICIADO ETAPA PRODUCTIVA</v>
      </c>
      <c r="M21" s="40" t="str">
        <f ca="1">IFERROR(__xludf.DUMMYFUNCTION("""COMPUTED_VALUE"""),"pendiente")</f>
        <v>pendiente</v>
      </c>
      <c r="N21" s="40"/>
      <c r="O21" s="40"/>
      <c r="P21" s="40"/>
      <c r="Q21" s="40"/>
      <c r="R21" s="140"/>
      <c r="S21" s="140"/>
      <c r="T21" s="40"/>
      <c r="U21" s="40"/>
      <c r="V21" s="40"/>
      <c r="W21" s="40"/>
      <c r="X21" s="40"/>
      <c r="Y21" s="40"/>
      <c r="Z21" s="40"/>
      <c r="AA21" s="40" t="str">
        <f ca="1">IFERROR(__xludf.DUMMYFUNCTION("""COMPUTED_VALUE"""),"Revisado 15/06/2022")</f>
        <v>Revisado 15/06/2022</v>
      </c>
      <c r="AB21" s="40"/>
      <c r="AC21" s="40"/>
      <c r="AD21" s="40"/>
      <c r="AE21" s="40"/>
      <c r="AF21" s="40"/>
      <c r="AG21" s="40"/>
      <c r="AH21" s="40"/>
      <c r="AI21" s="40"/>
      <c r="AJ21" s="40"/>
      <c r="AK21" s="40"/>
      <c r="AL21" s="40"/>
      <c r="AM21" s="40"/>
      <c r="AN21" s="40"/>
      <c r="AO21" s="40"/>
      <c r="AP21" s="40"/>
      <c r="AQ21" s="40"/>
      <c r="AR21" s="40"/>
      <c r="AS21" s="40"/>
      <c r="AT21" s="40"/>
      <c r="AU21" s="40" t="str">
        <f ca="1">IFERROR(__xludf.DUMMYFUNCTION("""COMPUTED_VALUE"""),"Procede_E_P")</f>
        <v>Procede_E_P</v>
      </c>
      <c r="AV21" s="40" t="str">
        <f ca="1">IFERROR(__xludf.DUMMYFUNCTION("""COMPUTED_VALUE"""),"EN FORMACION")</f>
        <v>EN FORMACION</v>
      </c>
      <c r="AW21" s="40" t="str">
        <f ca="1">IFERROR(__xludf.DUMMYFUNCTION("""COMPUTED_VALUE"""),"AGROPECUARIO")</f>
        <v>AGROPECUARIO</v>
      </c>
      <c r="AX21" s="141">
        <f ca="1">IFERROR(__xludf.DUMMYFUNCTION("""COMPUTED_VALUE"""),44848)</f>
        <v>44848</v>
      </c>
      <c r="AY21" s="40">
        <f ca="1">IFERROR(__xludf.DUMMYFUNCTION("""COMPUTED_VALUE"""),0)</f>
        <v>0</v>
      </c>
      <c r="AZ21" s="40">
        <f ca="1">IFERROR(__xludf.DUMMYFUNCTION("""COMPUTED_VALUE"""),1)</f>
        <v>1</v>
      </c>
      <c r="BA21" s="40">
        <f ca="1">IFERROR(__xludf.DUMMYFUNCTION("""COMPUTED_VALUE"""),0)</f>
        <v>0</v>
      </c>
      <c r="BB21" s="40">
        <f ca="1">IFERROR(__xludf.DUMMYFUNCTION("""COMPUTED_VALUE"""),0)</f>
        <v>0</v>
      </c>
      <c r="BC21" s="40">
        <f ca="1">IFERROR(__xludf.DUMMYFUNCTION("""COMPUTED_VALUE"""),1)</f>
        <v>1</v>
      </c>
      <c r="BD21" s="141">
        <f ca="1">IFERROR(__xludf.DUMMYFUNCTION("""COMPUTED_VALUE"""),43577)</f>
        <v>43577</v>
      </c>
      <c r="BE21" s="141">
        <f ca="1">IFERROR(__xludf.DUMMYFUNCTION("""COMPUTED_VALUE"""),43760)</f>
        <v>43760</v>
      </c>
      <c r="BF21" s="141">
        <f ca="1">IFERROR(__xludf.DUMMYFUNCTION("""COMPUTED_VALUE"""),43943)</f>
        <v>43943</v>
      </c>
      <c r="BG21" s="141">
        <f ca="1">IFERROR(__xludf.DUMMYFUNCTION("""COMPUTED_VALUE"""),44491)</f>
        <v>44491</v>
      </c>
      <c r="BH21" s="40" t="str">
        <f ca="1">IFERROR(__xludf.DUMMYFUNCTION("""COMPUTED_VALUE"""),"FINALIZAR FICHA")</f>
        <v>FINALIZAR FICHA</v>
      </c>
      <c r="BI21" s="40" t="str">
        <f ca="1">IFERROR(__xludf.DUMMYFUNCTION("""COMPUTED_VALUE"""),"Terminada por Fecha     ")</f>
        <v xml:space="preserve">Terminada por Fecha     </v>
      </c>
      <c r="BJ21" s="40" t="str">
        <f ca="1">IFERROR(__xludf.DUMMYFUNCTION("""COMPUTED_VALUE"""),"Yamboro")</f>
        <v>Yamboro</v>
      </c>
      <c r="BK21" s="40"/>
      <c r="BL21" s="40"/>
    </row>
    <row r="22" spans="1:64" ht="13">
      <c r="A22" s="40"/>
      <c r="B22" s="40" t="str">
        <f ca="1">IFERROR(__xludf.DUMMYFUNCTION("""COMPUTED_VALUE"""),"FORMACIÓN 08/06//2022")</f>
        <v>FORMACIÓN 08/06//2022</v>
      </c>
      <c r="C22" s="40" t="str">
        <f ca="1">IFERROR(__xludf.DUMMYFUNCTION("""COMPUTED_VALUE"""),"WILFRAN ALEXANDER VARGAS OSORIO")</f>
        <v>WILFRAN ALEXANDER VARGAS OSORIO</v>
      </c>
      <c r="D22" s="40" t="str">
        <f ca="1">IFERROR(__xludf.DUMMYFUNCTION("""COMPUTED_VALUE"""),"CC")</f>
        <v>CC</v>
      </c>
      <c r="E22" s="40">
        <f ca="1">IFERROR(__xludf.DUMMYFUNCTION("""COMPUTED_VALUE"""),1079534017)</f>
        <v>1079534017</v>
      </c>
      <c r="F22" s="40">
        <f ca="1">IFERROR(__xludf.DUMMYFUNCTION("""COMPUTED_VALUE"""),1835249)</f>
        <v>1835249</v>
      </c>
      <c r="G22" s="40" t="str">
        <f ca="1">IFERROR(__xludf.DUMMYFUNCTION("""COMPUTED_VALUE"""),"TÉCNICO")</f>
        <v>TÉCNICO</v>
      </c>
      <c r="H22" s="40" t="str">
        <f ca="1">IFERROR(__xludf.DUMMYFUNCTION("""COMPUTED_VALUE"""),"PRODUCCIÓN DE CAFÉS ESPECIALES")</f>
        <v>PRODUCCIÓN DE CAFÉS ESPECIALES</v>
      </c>
      <c r="I22" s="40">
        <f ca="1">IFERROR(__xludf.DUMMYFUNCTION("""COMPUTED_VALUE"""),3224039805)</f>
        <v>3224039805</v>
      </c>
      <c r="J22" s="40"/>
      <c r="K22" s="40"/>
      <c r="L22" s="40" t="str">
        <f ca="1">IFERROR(__xludf.DUMMYFUNCTION("""COMPUTED_VALUE"""),"NO HA INICIADO ETAPA PRODUCTIVA")</f>
        <v>NO HA INICIADO ETAPA PRODUCTIVA</v>
      </c>
      <c r="M22" s="40" t="str">
        <f ca="1">IFERROR(__xludf.DUMMYFUNCTION("""COMPUTED_VALUE"""),"pendiente")</f>
        <v>pendiente</v>
      </c>
      <c r="N22" s="40"/>
      <c r="O22" s="40"/>
      <c r="P22" s="40"/>
      <c r="Q22" s="40"/>
      <c r="R22" s="140"/>
      <c r="S22" s="140"/>
      <c r="T22" s="40"/>
      <c r="U22" s="40"/>
      <c r="V22" s="40"/>
      <c r="W22" s="40"/>
      <c r="X22" s="40"/>
      <c r="Y22" s="40"/>
      <c r="Z22" s="40"/>
      <c r="AA22" s="40" t="str">
        <f ca="1">IFERROR(__xludf.DUMMYFUNCTION("""COMPUTED_VALUE"""),"Revisado 15/06/2022")</f>
        <v>Revisado 15/06/2022</v>
      </c>
      <c r="AB22" s="40"/>
      <c r="AC22" s="40"/>
      <c r="AD22" s="40"/>
      <c r="AE22" s="40"/>
      <c r="AF22" s="40"/>
      <c r="AG22" s="40"/>
      <c r="AH22" s="40"/>
      <c r="AI22" s="40"/>
      <c r="AJ22" s="40"/>
      <c r="AK22" s="40"/>
      <c r="AL22" s="40"/>
      <c r="AM22" s="40"/>
      <c r="AN22" s="40"/>
      <c r="AO22" s="40"/>
      <c r="AP22" s="40"/>
      <c r="AQ22" s="40"/>
      <c r="AR22" s="40"/>
      <c r="AS22" s="40"/>
      <c r="AT22" s="40"/>
      <c r="AU22" s="40" t="str">
        <f ca="1">IFERROR(__xludf.DUMMYFUNCTION("""COMPUTED_VALUE"""),"NO_CUMPLE")</f>
        <v>NO_CUMPLE</v>
      </c>
      <c r="AV22" s="40" t="str">
        <f ca="1">IFERROR(__xludf.DUMMYFUNCTION("""COMPUTED_VALUE"""),"EN FORMACION")</f>
        <v>EN FORMACION</v>
      </c>
      <c r="AW22" s="40" t="str">
        <f ca="1">IFERROR(__xludf.DUMMYFUNCTION("""COMPUTED_VALUE"""),"AGROPECUARIO")</f>
        <v>AGROPECUARIO</v>
      </c>
      <c r="AX22" s="141">
        <f ca="1">IFERROR(__xludf.DUMMYFUNCTION("""COMPUTED_VALUE"""),44848)</f>
        <v>44848</v>
      </c>
      <c r="AY22" s="40">
        <f ca="1">IFERROR(__xludf.DUMMYFUNCTION("""COMPUTED_VALUE"""),2)</f>
        <v>2</v>
      </c>
      <c r="AZ22" s="40">
        <f ca="1">IFERROR(__xludf.DUMMYFUNCTION("""COMPUTED_VALUE"""),1)</f>
        <v>1</v>
      </c>
      <c r="BA22" s="40">
        <f ca="1">IFERROR(__xludf.DUMMYFUNCTION("""COMPUTED_VALUE"""),2)</f>
        <v>2</v>
      </c>
      <c r="BB22" s="40">
        <f ca="1">IFERROR(__xludf.DUMMYFUNCTION("""COMPUTED_VALUE"""),0)</f>
        <v>0</v>
      </c>
      <c r="BC22" s="40">
        <f ca="1">IFERROR(__xludf.DUMMYFUNCTION("""COMPUTED_VALUE"""),5)</f>
        <v>5</v>
      </c>
      <c r="BD22" s="141">
        <f ca="1">IFERROR(__xludf.DUMMYFUNCTION("""COMPUTED_VALUE"""),43577)</f>
        <v>43577</v>
      </c>
      <c r="BE22" s="141">
        <f ca="1">IFERROR(__xludf.DUMMYFUNCTION("""COMPUTED_VALUE"""),43760)</f>
        <v>43760</v>
      </c>
      <c r="BF22" s="141">
        <f ca="1">IFERROR(__xludf.DUMMYFUNCTION("""COMPUTED_VALUE"""),43943)</f>
        <v>43943</v>
      </c>
      <c r="BG22" s="141">
        <f ca="1">IFERROR(__xludf.DUMMYFUNCTION("""COMPUTED_VALUE"""),44491)</f>
        <v>44491</v>
      </c>
      <c r="BH22" s="40" t="str">
        <f ca="1">IFERROR(__xludf.DUMMYFUNCTION("""COMPUTED_VALUE"""),"FINALIZAR FICHA")</f>
        <v>FINALIZAR FICHA</v>
      </c>
      <c r="BI22" s="40" t="str">
        <f ca="1">IFERROR(__xludf.DUMMYFUNCTION("""COMPUTED_VALUE"""),"Terminada por Fecha     ")</f>
        <v xml:space="preserve">Terminada por Fecha     </v>
      </c>
      <c r="BJ22" s="40" t="str">
        <f ca="1">IFERROR(__xludf.DUMMYFUNCTION("""COMPUTED_VALUE"""),"Yamboro")</f>
        <v>Yamboro</v>
      </c>
      <c r="BK22" s="40"/>
      <c r="BL22" s="40"/>
    </row>
    <row r="23" spans="1:64" ht="13">
      <c r="A23" s="40"/>
      <c r="B23" s="40" t="str">
        <f ca="1">IFERROR(__xludf.DUMMYFUNCTION("""COMPUTED_VALUE"""),"FORMACIÓN 08/06//2022")</f>
        <v>FORMACIÓN 08/06//2022</v>
      </c>
      <c r="C23" s="40" t="str">
        <f ca="1">IFERROR(__xludf.DUMMYFUNCTION("""COMPUTED_VALUE"""),"LINA MARIA ROJAS CASTRILLON")</f>
        <v>LINA MARIA ROJAS CASTRILLON</v>
      </c>
      <c r="D23" s="40" t="str">
        <f ca="1">IFERROR(__xludf.DUMMYFUNCTION("""COMPUTED_VALUE"""),"CC")</f>
        <v>CC</v>
      </c>
      <c r="E23" s="40">
        <f ca="1">IFERROR(__xludf.DUMMYFUNCTION("""COMPUTED_VALUE"""),1083918706)</f>
        <v>1083918706</v>
      </c>
      <c r="F23" s="40">
        <f ca="1">IFERROR(__xludf.DUMMYFUNCTION("""COMPUTED_VALUE"""),1835249)</f>
        <v>1835249</v>
      </c>
      <c r="G23" s="40" t="str">
        <f ca="1">IFERROR(__xludf.DUMMYFUNCTION("""COMPUTED_VALUE"""),"TÉCNICO")</f>
        <v>TÉCNICO</v>
      </c>
      <c r="H23" s="40" t="str">
        <f ca="1">IFERROR(__xludf.DUMMYFUNCTION("""COMPUTED_VALUE"""),"PRODUCCIÓN DE CAFÉS ESPECIALES")</f>
        <v>PRODUCCIÓN DE CAFÉS ESPECIALES</v>
      </c>
      <c r="I23" s="40">
        <f ca="1">IFERROR(__xludf.DUMMYFUNCTION("""COMPUTED_VALUE"""),3209826764)</f>
        <v>3209826764</v>
      </c>
      <c r="J23" s="40" t="str">
        <f ca="1">IFERROR(__xludf.DUMMYFUNCTION("""COMPUTED_VALUE"""),"linamariarojas00@gmail.com")</f>
        <v>linamariarojas00@gmail.com</v>
      </c>
      <c r="K23" s="40"/>
      <c r="L23" s="40" t="str">
        <f ca="1">IFERROR(__xludf.DUMMYFUNCTION("""COMPUTED_VALUE"""),"NO HA INICIADO ETAPA PRODUCTIVA")</f>
        <v>NO HA INICIADO ETAPA PRODUCTIVA</v>
      </c>
      <c r="M23" s="40"/>
      <c r="N23" s="40"/>
      <c r="O23" s="40"/>
      <c r="P23" s="40"/>
      <c r="Q23" s="40"/>
      <c r="R23" s="140"/>
      <c r="S23" s="140"/>
      <c r="T23" s="40"/>
      <c r="U23" s="40"/>
      <c r="V23" s="40"/>
      <c r="W23" s="40"/>
      <c r="X23" s="40"/>
      <c r="Y23" s="40"/>
      <c r="Z23" s="40"/>
      <c r="AA23" s="40" t="str">
        <f ca="1">IFERROR(__xludf.DUMMYFUNCTION("""COMPUTED_VALUE"""),"Revisado 15/06/2022")</f>
        <v>Revisado 15/06/2022</v>
      </c>
      <c r="AB23" s="40"/>
      <c r="AC23" s="40"/>
      <c r="AD23" s="40"/>
      <c r="AE23" s="40"/>
      <c r="AF23" s="40"/>
      <c r="AG23" s="40"/>
      <c r="AH23" s="40"/>
      <c r="AI23" s="40"/>
      <c r="AJ23" s="40"/>
      <c r="AK23" s="40"/>
      <c r="AL23" s="40"/>
      <c r="AM23" s="40"/>
      <c r="AN23" s="40"/>
      <c r="AO23" s="40"/>
      <c r="AP23" s="40"/>
      <c r="AQ23" s="40"/>
      <c r="AR23" s="40"/>
      <c r="AS23" s="40"/>
      <c r="AT23" s="40"/>
      <c r="AU23" s="40" t="str">
        <f ca="1">IFERROR(__xludf.DUMMYFUNCTION("""COMPUTED_VALUE"""),"Procede_E_P")</f>
        <v>Procede_E_P</v>
      </c>
      <c r="AV23" s="40" t="str">
        <f ca="1">IFERROR(__xludf.DUMMYFUNCTION("""COMPUTED_VALUE"""),"EN FORMACION")</f>
        <v>EN FORMACION</v>
      </c>
      <c r="AW23" s="40" t="str">
        <f ca="1">IFERROR(__xludf.DUMMYFUNCTION("""COMPUTED_VALUE"""),"AGROPECUARIO")</f>
        <v>AGROPECUARIO</v>
      </c>
      <c r="AX23" s="141">
        <f ca="1">IFERROR(__xludf.DUMMYFUNCTION("""COMPUTED_VALUE"""),44848)</f>
        <v>44848</v>
      </c>
      <c r="AY23" s="40">
        <f ca="1">IFERROR(__xludf.DUMMYFUNCTION("""COMPUTED_VALUE"""),0)</f>
        <v>0</v>
      </c>
      <c r="AZ23" s="40">
        <f ca="1">IFERROR(__xludf.DUMMYFUNCTION("""COMPUTED_VALUE"""),1)</f>
        <v>1</v>
      </c>
      <c r="BA23" s="40">
        <f ca="1">IFERROR(__xludf.DUMMYFUNCTION("""COMPUTED_VALUE"""),0)</f>
        <v>0</v>
      </c>
      <c r="BB23" s="40">
        <f ca="1">IFERROR(__xludf.DUMMYFUNCTION("""COMPUTED_VALUE"""),0)</f>
        <v>0</v>
      </c>
      <c r="BC23" s="40">
        <f ca="1">IFERROR(__xludf.DUMMYFUNCTION("""COMPUTED_VALUE"""),1)</f>
        <v>1</v>
      </c>
      <c r="BD23" s="141">
        <f ca="1">IFERROR(__xludf.DUMMYFUNCTION("""COMPUTED_VALUE"""),43577)</f>
        <v>43577</v>
      </c>
      <c r="BE23" s="141">
        <f ca="1">IFERROR(__xludf.DUMMYFUNCTION("""COMPUTED_VALUE"""),43760)</f>
        <v>43760</v>
      </c>
      <c r="BF23" s="141">
        <f ca="1">IFERROR(__xludf.DUMMYFUNCTION("""COMPUTED_VALUE"""),43943)</f>
        <v>43943</v>
      </c>
      <c r="BG23" s="141">
        <f ca="1">IFERROR(__xludf.DUMMYFUNCTION("""COMPUTED_VALUE"""),44491)</f>
        <v>44491</v>
      </c>
      <c r="BH23" s="40" t="str">
        <f ca="1">IFERROR(__xludf.DUMMYFUNCTION("""COMPUTED_VALUE"""),"FINALIZAR FICHA")</f>
        <v>FINALIZAR FICHA</v>
      </c>
      <c r="BI23" s="40" t="str">
        <f ca="1">IFERROR(__xludf.DUMMYFUNCTION("""COMPUTED_VALUE"""),"Terminada por Fecha     ")</f>
        <v xml:space="preserve">Terminada por Fecha     </v>
      </c>
      <c r="BJ23" s="40" t="str">
        <f ca="1">IFERROR(__xludf.DUMMYFUNCTION("""COMPUTED_VALUE"""),"Yamboro")</f>
        <v>Yamboro</v>
      </c>
      <c r="BK23" s="40"/>
      <c r="BL23" s="40"/>
    </row>
    <row r="24" spans="1:64" ht="13">
      <c r="A24" s="40"/>
      <c r="B24" s="40" t="str">
        <f ca="1">IFERROR(__xludf.DUMMYFUNCTION("""COMPUTED_VALUE"""),"FORMACION.. Revisado 06/05/2022")</f>
        <v>FORMACION.. Revisado 06/05/2022</v>
      </c>
      <c r="C24" s="40" t="str">
        <f ca="1">IFERROR(__xludf.DUMMYFUNCTION("""COMPUTED_VALUE"""),"STEFANY SOFIA ENRIQUEZ GUACA")</f>
        <v>STEFANY SOFIA ENRIQUEZ GUACA</v>
      </c>
      <c r="D24" s="40" t="str">
        <f ca="1">IFERROR(__xludf.DUMMYFUNCTION("""COMPUTED_VALUE"""),"TI")</f>
        <v>TI</v>
      </c>
      <c r="E24" s="40">
        <f ca="1">IFERROR(__xludf.DUMMYFUNCTION("""COMPUTED_VALUE"""),1004440427)</f>
        <v>1004440427</v>
      </c>
      <c r="F24" s="40">
        <f ca="1">IFERROR(__xludf.DUMMYFUNCTION("""COMPUTED_VALUE"""),1853739)</f>
        <v>1853739</v>
      </c>
      <c r="G24" s="40" t="str">
        <f ca="1">IFERROR(__xludf.DUMMYFUNCTION("""COMPUTED_VALUE"""),"TÉCNICO")</f>
        <v>TÉCNICO</v>
      </c>
      <c r="H24" s="40" t="str">
        <f ca="1">IFERROR(__xludf.DUMMYFUNCTION("""COMPUTED_VALUE"""),"SISTEMAS")</f>
        <v>SISTEMAS</v>
      </c>
      <c r="I24" s="40"/>
      <c r="J24" s="40"/>
      <c r="K24" s="40"/>
      <c r="L24" s="40" t="str">
        <f ca="1">IFERROR(__xludf.DUMMYFUNCTION("""COMPUTED_VALUE"""),"NO HA INICIADO ETAPA PRODUCTIVA")</f>
        <v>NO HA INICIADO ETAPA PRODUCTIVA</v>
      </c>
      <c r="M24" s="40"/>
      <c r="N24" s="40"/>
      <c r="O24" s="40"/>
      <c r="P24" s="40"/>
      <c r="Q24" s="40"/>
      <c r="R24" s="140"/>
      <c r="S24" s="140"/>
      <c r="T24" s="40"/>
      <c r="U24" s="40"/>
      <c r="V24" s="40"/>
      <c r="W24" s="40"/>
      <c r="X24" s="40"/>
      <c r="Y24" s="40"/>
      <c r="Z24" s="40"/>
      <c r="AA24" s="40" t="str">
        <f ca="1">IFERROR(__xludf.DUMMYFUNCTION("""COMPUTED_VALUE"""),"Revisado 15/06/2022")</f>
        <v>Revisado 15/06/2022</v>
      </c>
      <c r="AB24" s="40"/>
      <c r="AC24" s="40"/>
      <c r="AD24" s="40"/>
      <c r="AE24" s="40"/>
      <c r="AF24" s="40"/>
      <c r="AG24" s="40"/>
      <c r="AH24" s="40"/>
      <c r="AI24" s="40"/>
      <c r="AJ24" s="40"/>
      <c r="AK24" s="40"/>
      <c r="AL24" s="40"/>
      <c r="AM24" s="40"/>
      <c r="AN24" s="40"/>
      <c r="AO24" s="40"/>
      <c r="AP24" s="40"/>
      <c r="AQ24" s="40"/>
      <c r="AR24" s="40"/>
      <c r="AS24" s="40"/>
      <c r="AT24" s="40"/>
      <c r="AU24" s="40" t="str">
        <f ca="1">IFERROR(__xludf.DUMMYFUNCTION("""COMPUTED_VALUE"""),"Procede_E_P")</f>
        <v>Procede_E_P</v>
      </c>
      <c r="AV24" s="40" t="str">
        <f ca="1">IFERROR(__xludf.DUMMYFUNCTION("""COMPUTED_VALUE"""),"EN FORMACION")</f>
        <v>EN FORMACION</v>
      </c>
      <c r="AW24" s="40" t="str">
        <f ca="1">IFERROR(__xludf.DUMMYFUNCTION("""COMPUTED_VALUE"""),"TIC")</f>
        <v>TIC</v>
      </c>
      <c r="AX24" s="141">
        <f ca="1">IFERROR(__xludf.DUMMYFUNCTION("""COMPUTED_VALUE"""),44848)</f>
        <v>44848</v>
      </c>
      <c r="AY24" s="40">
        <f ca="1">IFERROR(__xludf.DUMMYFUNCTION("""COMPUTED_VALUE"""),0)</f>
        <v>0</v>
      </c>
      <c r="AZ24" s="40">
        <f ca="1">IFERROR(__xludf.DUMMYFUNCTION("""COMPUTED_VALUE"""),1)</f>
        <v>1</v>
      </c>
      <c r="BA24" s="40">
        <f ca="1">IFERROR(__xludf.DUMMYFUNCTION("""COMPUTED_VALUE"""),0)</f>
        <v>0</v>
      </c>
      <c r="BB24" s="40">
        <f ca="1">IFERROR(__xludf.DUMMYFUNCTION("""COMPUTED_VALUE"""),0)</f>
        <v>0</v>
      </c>
      <c r="BC24" s="40">
        <f ca="1">IFERROR(__xludf.DUMMYFUNCTION("""COMPUTED_VALUE"""),1)</f>
        <v>1</v>
      </c>
      <c r="BD24" s="141">
        <f ca="1">IFERROR(__xludf.DUMMYFUNCTION("""COMPUTED_VALUE"""),43531)</f>
        <v>43531</v>
      </c>
      <c r="BE24" s="141">
        <f ca="1">IFERROR(__xludf.DUMMYFUNCTION("""COMPUTED_VALUE"""),43715)</f>
        <v>43715</v>
      </c>
      <c r="BF24" s="141">
        <f ca="1">IFERROR(__xludf.DUMMYFUNCTION("""COMPUTED_VALUE"""),43897)</f>
        <v>43897</v>
      </c>
      <c r="BG24" s="141">
        <f ca="1">IFERROR(__xludf.DUMMYFUNCTION("""COMPUTED_VALUE"""),44446)</f>
        <v>44446</v>
      </c>
      <c r="BH24" s="40" t="str">
        <f ca="1">IFERROR(__xludf.DUMMYFUNCTION("""COMPUTED_VALUE"""),"FINALIZAR FICHA")</f>
        <v>FINALIZAR FICHA</v>
      </c>
      <c r="BI24" s="40" t="str">
        <f ca="1">IFERROR(__xludf.DUMMYFUNCTION("""COMPUTED_VALUE"""),"Terminada por Fecha     ")</f>
        <v xml:space="preserve">Terminada por Fecha     </v>
      </c>
      <c r="BJ24" s="40" t="str">
        <f ca="1">IFERROR(__xludf.DUMMYFUNCTION("""COMPUTED_VALUE"""),"Yamboro")</f>
        <v>Yamboro</v>
      </c>
      <c r="BK24" s="40"/>
      <c r="BL24" s="40"/>
    </row>
    <row r="25" spans="1:64" ht="13">
      <c r="A25" s="40"/>
      <c r="B25" s="40" t="str">
        <f ca="1">IFERROR(__xludf.DUMMYFUNCTION("""COMPUTED_VALUE"""),"FORMACION.. Revisado 06/05/2022")</f>
        <v>FORMACION.. Revisado 06/05/2022</v>
      </c>
      <c r="C25" s="40" t="str">
        <f ca="1">IFERROR(__xludf.DUMMYFUNCTION("""COMPUTED_VALUE"""),"LUIS GIOVANNY BUESAQUILLO NAVIA")</f>
        <v>LUIS GIOVANNY BUESAQUILLO NAVIA</v>
      </c>
      <c r="D25" s="40" t="str">
        <f ca="1">IFERROR(__xludf.DUMMYFUNCTION("""COMPUTED_VALUE"""),"CC")</f>
        <v>CC</v>
      </c>
      <c r="E25" s="40">
        <f ca="1">IFERROR(__xludf.DUMMYFUNCTION("""COMPUTED_VALUE"""),1004441128)</f>
        <v>1004441128</v>
      </c>
      <c r="F25" s="40">
        <f ca="1">IFERROR(__xludf.DUMMYFUNCTION("""COMPUTED_VALUE"""),1853739)</f>
        <v>1853739</v>
      </c>
      <c r="G25" s="40" t="str">
        <f ca="1">IFERROR(__xludf.DUMMYFUNCTION("""COMPUTED_VALUE"""),"TÉCNICO")</f>
        <v>TÉCNICO</v>
      </c>
      <c r="H25" s="40" t="str">
        <f ca="1">IFERROR(__xludf.DUMMYFUNCTION("""COMPUTED_VALUE"""),"SISTEMAS")</f>
        <v>SISTEMAS</v>
      </c>
      <c r="I25" s="40"/>
      <c r="J25" s="40"/>
      <c r="K25" s="40"/>
      <c r="L25" s="40" t="str">
        <f ca="1">IFERROR(__xludf.DUMMYFUNCTION("""COMPUTED_VALUE"""),"NO HA INICIADO ETAPA PRODUCTIVA")</f>
        <v>NO HA INICIADO ETAPA PRODUCTIVA</v>
      </c>
      <c r="M25" s="40"/>
      <c r="N25" s="40"/>
      <c r="O25" s="40"/>
      <c r="P25" s="40"/>
      <c r="Q25" s="40"/>
      <c r="R25" s="140"/>
      <c r="S25" s="140"/>
      <c r="T25" s="40"/>
      <c r="U25" s="40"/>
      <c r="V25" s="40"/>
      <c r="W25" s="40"/>
      <c r="X25" s="40"/>
      <c r="Y25" s="40"/>
      <c r="Z25" s="40"/>
      <c r="AA25" s="40" t="str">
        <f ca="1">IFERROR(__xludf.DUMMYFUNCTION("""COMPUTED_VALUE"""),"Revisado 15/06/2022")</f>
        <v>Revisado 15/06/2022</v>
      </c>
      <c r="AB25" s="40"/>
      <c r="AC25" s="40"/>
      <c r="AD25" s="40"/>
      <c r="AE25" s="40"/>
      <c r="AF25" s="40"/>
      <c r="AG25" s="40"/>
      <c r="AH25" s="40"/>
      <c r="AI25" s="40"/>
      <c r="AJ25" s="40"/>
      <c r="AK25" s="40"/>
      <c r="AL25" s="40"/>
      <c r="AM25" s="40"/>
      <c r="AN25" s="40"/>
      <c r="AO25" s="40"/>
      <c r="AP25" s="40"/>
      <c r="AQ25" s="40"/>
      <c r="AR25" s="40"/>
      <c r="AS25" s="40"/>
      <c r="AT25" s="40"/>
      <c r="AU25" s="40" t="str">
        <f ca="1">IFERROR(__xludf.DUMMYFUNCTION("""COMPUTED_VALUE"""),"Procede_E_P")</f>
        <v>Procede_E_P</v>
      </c>
      <c r="AV25" s="40" t="str">
        <f ca="1">IFERROR(__xludf.DUMMYFUNCTION("""COMPUTED_VALUE"""),"EN FORMACION")</f>
        <v>EN FORMACION</v>
      </c>
      <c r="AW25" s="40" t="str">
        <f ca="1">IFERROR(__xludf.DUMMYFUNCTION("""COMPUTED_VALUE"""),"TIC")</f>
        <v>TIC</v>
      </c>
      <c r="AX25" s="141">
        <f ca="1">IFERROR(__xludf.DUMMYFUNCTION("""COMPUTED_VALUE"""),44848)</f>
        <v>44848</v>
      </c>
      <c r="AY25" s="40">
        <f ca="1">IFERROR(__xludf.DUMMYFUNCTION("""COMPUTED_VALUE"""),0)</f>
        <v>0</v>
      </c>
      <c r="AZ25" s="40">
        <f ca="1">IFERROR(__xludf.DUMMYFUNCTION("""COMPUTED_VALUE"""),1)</f>
        <v>1</v>
      </c>
      <c r="BA25" s="40">
        <f ca="1">IFERROR(__xludf.DUMMYFUNCTION("""COMPUTED_VALUE"""),0)</f>
        <v>0</v>
      </c>
      <c r="BB25" s="40">
        <f ca="1">IFERROR(__xludf.DUMMYFUNCTION("""COMPUTED_VALUE"""),0)</f>
        <v>0</v>
      </c>
      <c r="BC25" s="40">
        <f ca="1">IFERROR(__xludf.DUMMYFUNCTION("""COMPUTED_VALUE"""),1)</f>
        <v>1</v>
      </c>
      <c r="BD25" s="141">
        <f ca="1">IFERROR(__xludf.DUMMYFUNCTION("""COMPUTED_VALUE"""),43531)</f>
        <v>43531</v>
      </c>
      <c r="BE25" s="141">
        <f ca="1">IFERROR(__xludf.DUMMYFUNCTION("""COMPUTED_VALUE"""),43715)</f>
        <v>43715</v>
      </c>
      <c r="BF25" s="141">
        <f ca="1">IFERROR(__xludf.DUMMYFUNCTION("""COMPUTED_VALUE"""),43897)</f>
        <v>43897</v>
      </c>
      <c r="BG25" s="141">
        <f ca="1">IFERROR(__xludf.DUMMYFUNCTION("""COMPUTED_VALUE"""),44446)</f>
        <v>44446</v>
      </c>
      <c r="BH25" s="40" t="str">
        <f ca="1">IFERROR(__xludf.DUMMYFUNCTION("""COMPUTED_VALUE"""),"FINALIZAR FICHA")</f>
        <v>FINALIZAR FICHA</v>
      </c>
      <c r="BI25" s="40" t="str">
        <f ca="1">IFERROR(__xludf.DUMMYFUNCTION("""COMPUTED_VALUE"""),"Terminada por Fecha     ")</f>
        <v xml:space="preserve">Terminada por Fecha     </v>
      </c>
      <c r="BJ25" s="40" t="str">
        <f ca="1">IFERROR(__xludf.DUMMYFUNCTION("""COMPUTED_VALUE"""),"Yamboro")</f>
        <v>Yamboro</v>
      </c>
      <c r="BK25" s="40"/>
      <c r="BL25" s="40"/>
    </row>
    <row r="26" spans="1:64" ht="13">
      <c r="A26" s="40"/>
      <c r="B26" s="40" t="str">
        <f ca="1">IFERROR(__xludf.DUMMYFUNCTION("""COMPUTED_VALUE"""),"FORMACION.. Revisado 06/05/2022")</f>
        <v>FORMACION.. Revisado 06/05/2022</v>
      </c>
      <c r="C26" s="40" t="str">
        <f ca="1">IFERROR(__xludf.DUMMYFUNCTION("""COMPUTED_VALUE"""),"YURENA ALEXANDRA FAJARDO HOYOS")</f>
        <v>YURENA ALEXANDRA FAJARDO HOYOS</v>
      </c>
      <c r="D26" s="40" t="str">
        <f ca="1">IFERROR(__xludf.DUMMYFUNCTION("""COMPUTED_VALUE"""),"CC")</f>
        <v>CC</v>
      </c>
      <c r="E26" s="40">
        <f ca="1">IFERROR(__xludf.DUMMYFUNCTION("""COMPUTED_VALUE"""),1004441679)</f>
        <v>1004441679</v>
      </c>
      <c r="F26" s="40">
        <f ca="1">IFERROR(__xludf.DUMMYFUNCTION("""COMPUTED_VALUE"""),1853739)</f>
        <v>1853739</v>
      </c>
      <c r="G26" s="40" t="str">
        <f ca="1">IFERROR(__xludf.DUMMYFUNCTION("""COMPUTED_VALUE"""),"TÉCNICO")</f>
        <v>TÉCNICO</v>
      </c>
      <c r="H26" s="40" t="str">
        <f ca="1">IFERROR(__xludf.DUMMYFUNCTION("""COMPUTED_VALUE"""),"SISTEMAS")</f>
        <v>SISTEMAS</v>
      </c>
      <c r="I26" s="40"/>
      <c r="J26" s="40"/>
      <c r="K26" s="40"/>
      <c r="L26" s="40" t="str">
        <f ca="1">IFERROR(__xludf.DUMMYFUNCTION("""COMPUTED_VALUE"""),"NO HA INICIADO ETAPA PRODUCTIVA")</f>
        <v>NO HA INICIADO ETAPA PRODUCTIVA</v>
      </c>
      <c r="M26" s="40"/>
      <c r="N26" s="40"/>
      <c r="O26" s="40"/>
      <c r="P26" s="40"/>
      <c r="Q26" s="40"/>
      <c r="R26" s="140"/>
      <c r="S26" s="140"/>
      <c r="T26" s="40"/>
      <c r="U26" s="40"/>
      <c r="V26" s="40"/>
      <c r="W26" s="40"/>
      <c r="X26" s="40"/>
      <c r="Y26" s="40"/>
      <c r="Z26" s="40"/>
      <c r="AA26" s="40" t="str">
        <f ca="1">IFERROR(__xludf.DUMMYFUNCTION("""COMPUTED_VALUE"""),"Revisado 15/06/2022")</f>
        <v>Revisado 15/06/2022</v>
      </c>
      <c r="AB26" s="40"/>
      <c r="AC26" s="40"/>
      <c r="AD26" s="40"/>
      <c r="AE26" s="40"/>
      <c r="AF26" s="40"/>
      <c r="AG26" s="40"/>
      <c r="AH26" s="40"/>
      <c r="AI26" s="40"/>
      <c r="AJ26" s="40"/>
      <c r="AK26" s="40"/>
      <c r="AL26" s="40"/>
      <c r="AM26" s="40"/>
      <c r="AN26" s="40"/>
      <c r="AO26" s="40"/>
      <c r="AP26" s="40"/>
      <c r="AQ26" s="40"/>
      <c r="AR26" s="40"/>
      <c r="AS26" s="40"/>
      <c r="AT26" s="40"/>
      <c r="AU26" s="40" t="str">
        <f ca="1">IFERROR(__xludf.DUMMYFUNCTION("""COMPUTED_VALUE"""),"Procede_E_P")</f>
        <v>Procede_E_P</v>
      </c>
      <c r="AV26" s="40" t="str">
        <f ca="1">IFERROR(__xludf.DUMMYFUNCTION("""COMPUTED_VALUE"""),"EN FORMACION")</f>
        <v>EN FORMACION</v>
      </c>
      <c r="AW26" s="40" t="str">
        <f ca="1">IFERROR(__xludf.DUMMYFUNCTION("""COMPUTED_VALUE"""),"TIC")</f>
        <v>TIC</v>
      </c>
      <c r="AX26" s="141">
        <f ca="1">IFERROR(__xludf.DUMMYFUNCTION("""COMPUTED_VALUE"""),44848)</f>
        <v>44848</v>
      </c>
      <c r="AY26" s="40">
        <f ca="1">IFERROR(__xludf.DUMMYFUNCTION("""COMPUTED_VALUE"""),0)</f>
        <v>0</v>
      </c>
      <c r="AZ26" s="40">
        <f ca="1">IFERROR(__xludf.DUMMYFUNCTION("""COMPUTED_VALUE"""),1)</f>
        <v>1</v>
      </c>
      <c r="BA26" s="40">
        <f ca="1">IFERROR(__xludf.DUMMYFUNCTION("""COMPUTED_VALUE"""),0)</f>
        <v>0</v>
      </c>
      <c r="BB26" s="40">
        <f ca="1">IFERROR(__xludf.DUMMYFUNCTION("""COMPUTED_VALUE"""),0)</f>
        <v>0</v>
      </c>
      <c r="BC26" s="40">
        <f ca="1">IFERROR(__xludf.DUMMYFUNCTION("""COMPUTED_VALUE"""),1)</f>
        <v>1</v>
      </c>
      <c r="BD26" s="141">
        <f ca="1">IFERROR(__xludf.DUMMYFUNCTION("""COMPUTED_VALUE"""),43531)</f>
        <v>43531</v>
      </c>
      <c r="BE26" s="141">
        <f ca="1">IFERROR(__xludf.DUMMYFUNCTION("""COMPUTED_VALUE"""),43715)</f>
        <v>43715</v>
      </c>
      <c r="BF26" s="141">
        <f ca="1">IFERROR(__xludf.DUMMYFUNCTION("""COMPUTED_VALUE"""),43897)</f>
        <v>43897</v>
      </c>
      <c r="BG26" s="141">
        <f ca="1">IFERROR(__xludf.DUMMYFUNCTION("""COMPUTED_VALUE"""),44446)</f>
        <v>44446</v>
      </c>
      <c r="BH26" s="40" t="str">
        <f ca="1">IFERROR(__xludf.DUMMYFUNCTION("""COMPUTED_VALUE"""),"FINALIZAR FICHA")</f>
        <v>FINALIZAR FICHA</v>
      </c>
      <c r="BI26" s="40" t="str">
        <f ca="1">IFERROR(__xludf.DUMMYFUNCTION("""COMPUTED_VALUE"""),"Terminada por Fecha     ")</f>
        <v xml:space="preserve">Terminada por Fecha     </v>
      </c>
      <c r="BJ26" s="40" t="str">
        <f ca="1">IFERROR(__xludf.DUMMYFUNCTION("""COMPUTED_VALUE"""),"Yamboro")</f>
        <v>Yamboro</v>
      </c>
      <c r="BK26" s="40"/>
      <c r="BL26" s="40"/>
    </row>
    <row r="27" spans="1:64" ht="13">
      <c r="A27" s="40"/>
      <c r="B27" s="40" t="str">
        <f ca="1">IFERROR(__xludf.DUMMYFUNCTION("""COMPUTED_VALUE"""),"FORMACION.. Revisado 06/05/2022")</f>
        <v>FORMACION.. Revisado 06/05/2022</v>
      </c>
      <c r="C27" s="40" t="str">
        <f ca="1">IFERROR(__xludf.DUMMYFUNCTION("""COMPUTED_VALUE"""),"ANGELA MARCELA ENRIQUEZ SAMBONI")</f>
        <v>ANGELA MARCELA ENRIQUEZ SAMBONI</v>
      </c>
      <c r="D27" s="40" t="str">
        <f ca="1">IFERROR(__xludf.DUMMYFUNCTION("""COMPUTED_VALUE"""),"CC")</f>
        <v>CC</v>
      </c>
      <c r="E27" s="40">
        <f ca="1">IFERROR(__xludf.DUMMYFUNCTION("""COMPUTED_VALUE"""),1004442118)</f>
        <v>1004442118</v>
      </c>
      <c r="F27" s="40">
        <f ca="1">IFERROR(__xludf.DUMMYFUNCTION("""COMPUTED_VALUE"""),1853739)</f>
        <v>1853739</v>
      </c>
      <c r="G27" s="40" t="str">
        <f ca="1">IFERROR(__xludf.DUMMYFUNCTION("""COMPUTED_VALUE"""),"TÉCNICO")</f>
        <v>TÉCNICO</v>
      </c>
      <c r="H27" s="40" t="str">
        <f ca="1">IFERROR(__xludf.DUMMYFUNCTION("""COMPUTED_VALUE"""),"SISTEMAS")</f>
        <v>SISTEMAS</v>
      </c>
      <c r="I27" s="40"/>
      <c r="J27" s="40" t="str">
        <f ca="1">IFERROR(__xludf.DUMMYFUNCTION("""COMPUTED_VALUE"""),"enriquezangela710@gmail.com")</f>
        <v>enriquezangela710@gmail.com</v>
      </c>
      <c r="K27" s="40"/>
      <c r="L27" s="40" t="str">
        <f ca="1">IFERROR(__xludf.DUMMYFUNCTION("""COMPUTED_VALUE"""),"NO HA INICIADO ETAPA PRODUCTIVA")</f>
        <v>NO HA INICIADO ETAPA PRODUCTIVA</v>
      </c>
      <c r="M27" s="40"/>
      <c r="N27" s="40"/>
      <c r="O27" s="40"/>
      <c r="P27" s="40"/>
      <c r="Q27" s="40"/>
      <c r="R27" s="140"/>
      <c r="S27" s="140"/>
      <c r="T27" s="40"/>
      <c r="U27" s="40"/>
      <c r="V27" s="40"/>
      <c r="W27" s="40"/>
      <c r="X27" s="40"/>
      <c r="Y27" s="40"/>
      <c r="Z27" s="40"/>
      <c r="AA27" s="40" t="str">
        <f ca="1">IFERROR(__xludf.DUMMYFUNCTION("""COMPUTED_VALUE"""),"Revisado 15/06/2022")</f>
        <v>Revisado 15/06/2022</v>
      </c>
      <c r="AB27" s="40"/>
      <c r="AC27" s="40"/>
      <c r="AD27" s="40"/>
      <c r="AE27" s="40"/>
      <c r="AF27" s="40"/>
      <c r="AG27" s="40"/>
      <c r="AH27" s="40"/>
      <c r="AI27" s="40"/>
      <c r="AJ27" s="40"/>
      <c r="AK27" s="40"/>
      <c r="AL27" s="40"/>
      <c r="AM27" s="40"/>
      <c r="AN27" s="40"/>
      <c r="AO27" s="40"/>
      <c r="AP27" s="40"/>
      <c r="AQ27" s="40"/>
      <c r="AR27" s="40"/>
      <c r="AS27" s="40"/>
      <c r="AT27" s="40"/>
      <c r="AU27" s="40" t="str">
        <f ca="1">IFERROR(__xludf.DUMMYFUNCTION("""COMPUTED_VALUE"""),"Procede_E_P")</f>
        <v>Procede_E_P</v>
      </c>
      <c r="AV27" s="40" t="str">
        <f ca="1">IFERROR(__xludf.DUMMYFUNCTION("""COMPUTED_VALUE"""),"EN FORMACION")</f>
        <v>EN FORMACION</v>
      </c>
      <c r="AW27" s="40" t="str">
        <f ca="1">IFERROR(__xludf.DUMMYFUNCTION("""COMPUTED_VALUE"""),"TIC")</f>
        <v>TIC</v>
      </c>
      <c r="AX27" s="141">
        <f ca="1">IFERROR(__xludf.DUMMYFUNCTION("""COMPUTED_VALUE"""),44848)</f>
        <v>44848</v>
      </c>
      <c r="AY27" s="40">
        <f ca="1">IFERROR(__xludf.DUMMYFUNCTION("""COMPUTED_VALUE"""),0)</f>
        <v>0</v>
      </c>
      <c r="AZ27" s="40">
        <f ca="1">IFERROR(__xludf.DUMMYFUNCTION("""COMPUTED_VALUE"""),1)</f>
        <v>1</v>
      </c>
      <c r="BA27" s="40">
        <f ca="1">IFERROR(__xludf.DUMMYFUNCTION("""COMPUTED_VALUE"""),0)</f>
        <v>0</v>
      </c>
      <c r="BB27" s="40">
        <f ca="1">IFERROR(__xludf.DUMMYFUNCTION("""COMPUTED_VALUE"""),0)</f>
        <v>0</v>
      </c>
      <c r="BC27" s="40">
        <f ca="1">IFERROR(__xludf.DUMMYFUNCTION("""COMPUTED_VALUE"""),1)</f>
        <v>1</v>
      </c>
      <c r="BD27" s="141">
        <f ca="1">IFERROR(__xludf.DUMMYFUNCTION("""COMPUTED_VALUE"""),43531)</f>
        <v>43531</v>
      </c>
      <c r="BE27" s="141">
        <f ca="1">IFERROR(__xludf.DUMMYFUNCTION("""COMPUTED_VALUE"""),43715)</f>
        <v>43715</v>
      </c>
      <c r="BF27" s="141">
        <f ca="1">IFERROR(__xludf.DUMMYFUNCTION("""COMPUTED_VALUE"""),43897)</f>
        <v>43897</v>
      </c>
      <c r="BG27" s="141">
        <f ca="1">IFERROR(__xludf.DUMMYFUNCTION("""COMPUTED_VALUE"""),44446)</f>
        <v>44446</v>
      </c>
      <c r="BH27" s="40" t="str">
        <f ca="1">IFERROR(__xludf.DUMMYFUNCTION("""COMPUTED_VALUE"""),"FINALIZAR FICHA")</f>
        <v>FINALIZAR FICHA</v>
      </c>
      <c r="BI27" s="40" t="str">
        <f ca="1">IFERROR(__xludf.DUMMYFUNCTION("""COMPUTED_VALUE"""),"Terminada por Fecha     ")</f>
        <v xml:space="preserve">Terminada por Fecha     </v>
      </c>
      <c r="BJ27" s="40" t="str">
        <f ca="1">IFERROR(__xludf.DUMMYFUNCTION("""COMPUTED_VALUE"""),"Yamboro")</f>
        <v>Yamboro</v>
      </c>
      <c r="BK27" s="40"/>
      <c r="BL27" s="40"/>
    </row>
    <row r="28" spans="1:64" ht="13">
      <c r="A28" s="40"/>
      <c r="B28" s="40" t="str">
        <f ca="1">IFERROR(__xludf.DUMMYFUNCTION("""COMPUTED_VALUE"""),"FORMACION.. Revisado 06/05/2022")</f>
        <v>FORMACION.. Revisado 06/05/2022</v>
      </c>
      <c r="C28" s="40" t="str">
        <f ca="1">IFERROR(__xludf.DUMMYFUNCTION("""COMPUTED_VALUE"""),"CRISTIAN DAVID GARCIA IMBACHI")</f>
        <v>CRISTIAN DAVID GARCIA IMBACHI</v>
      </c>
      <c r="D28" s="40" t="str">
        <f ca="1">IFERROR(__xludf.DUMMYFUNCTION("""COMPUTED_VALUE"""),"CC")</f>
        <v>CC</v>
      </c>
      <c r="E28" s="40">
        <f ca="1">IFERROR(__xludf.DUMMYFUNCTION("""COMPUTED_VALUE"""),1004442123)</f>
        <v>1004442123</v>
      </c>
      <c r="F28" s="40">
        <f ca="1">IFERROR(__xludf.DUMMYFUNCTION("""COMPUTED_VALUE"""),1853739)</f>
        <v>1853739</v>
      </c>
      <c r="G28" s="40" t="str">
        <f ca="1">IFERROR(__xludf.DUMMYFUNCTION("""COMPUTED_VALUE"""),"TÉCNICO")</f>
        <v>TÉCNICO</v>
      </c>
      <c r="H28" s="40" t="str">
        <f ca="1">IFERROR(__xludf.DUMMYFUNCTION("""COMPUTED_VALUE"""),"SISTEMAS")</f>
        <v>SISTEMAS</v>
      </c>
      <c r="I28" s="40"/>
      <c r="J28" s="40"/>
      <c r="K28" s="40"/>
      <c r="L28" s="40" t="str">
        <f ca="1">IFERROR(__xludf.DUMMYFUNCTION("""COMPUTED_VALUE"""),"NO HA INICIADO ETAPA PRODUCTIVA")</f>
        <v>NO HA INICIADO ETAPA PRODUCTIVA</v>
      </c>
      <c r="M28" s="40"/>
      <c r="N28" s="40"/>
      <c r="O28" s="40"/>
      <c r="P28" s="40"/>
      <c r="Q28" s="40"/>
      <c r="R28" s="140"/>
      <c r="S28" s="140"/>
      <c r="T28" s="40"/>
      <c r="U28" s="40"/>
      <c r="V28" s="40"/>
      <c r="W28" s="40"/>
      <c r="X28" s="40"/>
      <c r="Y28" s="40"/>
      <c r="Z28" s="40"/>
      <c r="AA28" s="40" t="str">
        <f ca="1">IFERROR(__xludf.DUMMYFUNCTION("""COMPUTED_VALUE"""),"Revisado 15/06/2022")</f>
        <v>Revisado 15/06/2022</v>
      </c>
      <c r="AB28" s="40"/>
      <c r="AC28" s="40"/>
      <c r="AD28" s="40"/>
      <c r="AE28" s="40"/>
      <c r="AF28" s="40"/>
      <c r="AG28" s="40"/>
      <c r="AH28" s="40"/>
      <c r="AI28" s="40"/>
      <c r="AJ28" s="40"/>
      <c r="AK28" s="40"/>
      <c r="AL28" s="40"/>
      <c r="AM28" s="40"/>
      <c r="AN28" s="40"/>
      <c r="AO28" s="40"/>
      <c r="AP28" s="40"/>
      <c r="AQ28" s="40"/>
      <c r="AR28" s="40"/>
      <c r="AS28" s="40"/>
      <c r="AT28" s="40"/>
      <c r="AU28" s="40" t="str">
        <f ca="1">IFERROR(__xludf.DUMMYFUNCTION("""COMPUTED_VALUE"""),"Procede_E_P")</f>
        <v>Procede_E_P</v>
      </c>
      <c r="AV28" s="40" t="str">
        <f ca="1">IFERROR(__xludf.DUMMYFUNCTION("""COMPUTED_VALUE"""),"EN FORMACION")</f>
        <v>EN FORMACION</v>
      </c>
      <c r="AW28" s="40" t="str">
        <f ca="1">IFERROR(__xludf.DUMMYFUNCTION("""COMPUTED_VALUE"""),"TIC")</f>
        <v>TIC</v>
      </c>
      <c r="AX28" s="141">
        <f ca="1">IFERROR(__xludf.DUMMYFUNCTION("""COMPUTED_VALUE"""),44848)</f>
        <v>44848</v>
      </c>
      <c r="AY28" s="40">
        <f ca="1">IFERROR(__xludf.DUMMYFUNCTION("""COMPUTED_VALUE"""),0)</f>
        <v>0</v>
      </c>
      <c r="AZ28" s="40">
        <f ca="1">IFERROR(__xludf.DUMMYFUNCTION("""COMPUTED_VALUE"""),1)</f>
        <v>1</v>
      </c>
      <c r="BA28" s="40">
        <f ca="1">IFERROR(__xludf.DUMMYFUNCTION("""COMPUTED_VALUE"""),0)</f>
        <v>0</v>
      </c>
      <c r="BB28" s="40">
        <f ca="1">IFERROR(__xludf.DUMMYFUNCTION("""COMPUTED_VALUE"""),0)</f>
        <v>0</v>
      </c>
      <c r="BC28" s="40">
        <f ca="1">IFERROR(__xludf.DUMMYFUNCTION("""COMPUTED_VALUE"""),1)</f>
        <v>1</v>
      </c>
      <c r="BD28" s="141">
        <f ca="1">IFERROR(__xludf.DUMMYFUNCTION("""COMPUTED_VALUE"""),43531)</f>
        <v>43531</v>
      </c>
      <c r="BE28" s="141">
        <f ca="1">IFERROR(__xludf.DUMMYFUNCTION("""COMPUTED_VALUE"""),43715)</f>
        <v>43715</v>
      </c>
      <c r="BF28" s="141">
        <f ca="1">IFERROR(__xludf.DUMMYFUNCTION("""COMPUTED_VALUE"""),43897)</f>
        <v>43897</v>
      </c>
      <c r="BG28" s="141">
        <f ca="1">IFERROR(__xludf.DUMMYFUNCTION("""COMPUTED_VALUE"""),44446)</f>
        <v>44446</v>
      </c>
      <c r="BH28" s="40" t="str">
        <f ca="1">IFERROR(__xludf.DUMMYFUNCTION("""COMPUTED_VALUE"""),"FINALIZAR FICHA")</f>
        <v>FINALIZAR FICHA</v>
      </c>
      <c r="BI28" s="40" t="str">
        <f ca="1">IFERROR(__xludf.DUMMYFUNCTION("""COMPUTED_VALUE"""),"Terminada por Fecha     ")</f>
        <v xml:space="preserve">Terminada por Fecha     </v>
      </c>
      <c r="BJ28" s="40" t="str">
        <f ca="1">IFERROR(__xludf.DUMMYFUNCTION("""COMPUTED_VALUE"""),"Yamboro")</f>
        <v>Yamboro</v>
      </c>
      <c r="BK28" s="40"/>
      <c r="BL28" s="40"/>
    </row>
    <row r="29" spans="1:64" ht="13">
      <c r="A29" s="40"/>
      <c r="B29" s="40" t="str">
        <f ca="1">IFERROR(__xludf.DUMMYFUNCTION("""COMPUTED_VALUE"""),"FORMACION.. Revisado 06/05/2022")</f>
        <v>FORMACION.. Revisado 06/05/2022</v>
      </c>
      <c r="C29" s="40" t="str">
        <f ca="1">IFERROR(__xludf.DUMMYFUNCTION("""COMPUTED_VALUE"""),"MONICA MUÑOZ MUÑOZ")</f>
        <v>MONICA MUÑOZ MUÑOZ</v>
      </c>
      <c r="D29" s="40" t="str">
        <f ca="1">IFERROR(__xludf.DUMMYFUNCTION("""COMPUTED_VALUE"""),"TI")</f>
        <v>TI</v>
      </c>
      <c r="E29" s="40">
        <f ca="1">IFERROR(__xludf.DUMMYFUNCTION("""COMPUTED_VALUE"""),1004442400)</f>
        <v>1004442400</v>
      </c>
      <c r="F29" s="40">
        <f ca="1">IFERROR(__xludf.DUMMYFUNCTION("""COMPUTED_VALUE"""),1853739)</f>
        <v>1853739</v>
      </c>
      <c r="G29" s="40" t="str">
        <f ca="1">IFERROR(__xludf.DUMMYFUNCTION("""COMPUTED_VALUE"""),"TÉCNICO")</f>
        <v>TÉCNICO</v>
      </c>
      <c r="H29" s="40" t="str">
        <f ca="1">IFERROR(__xludf.DUMMYFUNCTION("""COMPUTED_VALUE"""),"SISTEMAS")</f>
        <v>SISTEMAS</v>
      </c>
      <c r="I29" s="40"/>
      <c r="J29" s="40"/>
      <c r="K29" s="40"/>
      <c r="L29" s="40" t="str">
        <f ca="1">IFERROR(__xludf.DUMMYFUNCTION("""COMPUTED_VALUE"""),"NO HA INICIADO ETAPA PRODUCTIVA")</f>
        <v>NO HA INICIADO ETAPA PRODUCTIVA</v>
      </c>
      <c r="M29" s="40"/>
      <c r="N29" s="40"/>
      <c r="O29" s="40"/>
      <c r="P29" s="40"/>
      <c r="Q29" s="40"/>
      <c r="R29" s="140"/>
      <c r="S29" s="140"/>
      <c r="T29" s="40"/>
      <c r="U29" s="40"/>
      <c r="V29" s="40"/>
      <c r="W29" s="40"/>
      <c r="X29" s="40"/>
      <c r="Y29" s="40"/>
      <c r="Z29" s="40"/>
      <c r="AA29" s="40" t="str">
        <f ca="1">IFERROR(__xludf.DUMMYFUNCTION("""COMPUTED_VALUE"""),"Revisado 15/06/2022")</f>
        <v>Revisado 15/06/2022</v>
      </c>
      <c r="AB29" s="40"/>
      <c r="AC29" s="40"/>
      <c r="AD29" s="40"/>
      <c r="AE29" s="40"/>
      <c r="AF29" s="40"/>
      <c r="AG29" s="40"/>
      <c r="AH29" s="40"/>
      <c r="AI29" s="40"/>
      <c r="AJ29" s="40"/>
      <c r="AK29" s="40"/>
      <c r="AL29" s="40"/>
      <c r="AM29" s="40"/>
      <c r="AN29" s="40"/>
      <c r="AO29" s="40"/>
      <c r="AP29" s="40"/>
      <c r="AQ29" s="40"/>
      <c r="AR29" s="40"/>
      <c r="AS29" s="40"/>
      <c r="AT29" s="40"/>
      <c r="AU29" s="40" t="str">
        <f ca="1">IFERROR(__xludf.DUMMYFUNCTION("""COMPUTED_VALUE"""),"Procede_E_P")</f>
        <v>Procede_E_P</v>
      </c>
      <c r="AV29" s="40" t="str">
        <f ca="1">IFERROR(__xludf.DUMMYFUNCTION("""COMPUTED_VALUE"""),"EN FORMACION")</f>
        <v>EN FORMACION</v>
      </c>
      <c r="AW29" s="40" t="str">
        <f ca="1">IFERROR(__xludf.DUMMYFUNCTION("""COMPUTED_VALUE"""),"TIC")</f>
        <v>TIC</v>
      </c>
      <c r="AX29" s="141">
        <f ca="1">IFERROR(__xludf.DUMMYFUNCTION("""COMPUTED_VALUE"""),44848)</f>
        <v>44848</v>
      </c>
      <c r="AY29" s="40">
        <f ca="1">IFERROR(__xludf.DUMMYFUNCTION("""COMPUTED_VALUE"""),0)</f>
        <v>0</v>
      </c>
      <c r="AZ29" s="40">
        <f ca="1">IFERROR(__xludf.DUMMYFUNCTION("""COMPUTED_VALUE"""),1)</f>
        <v>1</v>
      </c>
      <c r="BA29" s="40">
        <f ca="1">IFERROR(__xludf.DUMMYFUNCTION("""COMPUTED_VALUE"""),0)</f>
        <v>0</v>
      </c>
      <c r="BB29" s="40">
        <f ca="1">IFERROR(__xludf.DUMMYFUNCTION("""COMPUTED_VALUE"""),0)</f>
        <v>0</v>
      </c>
      <c r="BC29" s="40">
        <f ca="1">IFERROR(__xludf.DUMMYFUNCTION("""COMPUTED_VALUE"""),1)</f>
        <v>1</v>
      </c>
      <c r="BD29" s="141">
        <f ca="1">IFERROR(__xludf.DUMMYFUNCTION("""COMPUTED_VALUE"""),43531)</f>
        <v>43531</v>
      </c>
      <c r="BE29" s="141">
        <f ca="1">IFERROR(__xludf.DUMMYFUNCTION("""COMPUTED_VALUE"""),43715)</f>
        <v>43715</v>
      </c>
      <c r="BF29" s="141">
        <f ca="1">IFERROR(__xludf.DUMMYFUNCTION("""COMPUTED_VALUE"""),43897)</f>
        <v>43897</v>
      </c>
      <c r="BG29" s="141">
        <f ca="1">IFERROR(__xludf.DUMMYFUNCTION("""COMPUTED_VALUE"""),44446)</f>
        <v>44446</v>
      </c>
      <c r="BH29" s="40" t="str">
        <f ca="1">IFERROR(__xludf.DUMMYFUNCTION("""COMPUTED_VALUE"""),"FINALIZAR FICHA")</f>
        <v>FINALIZAR FICHA</v>
      </c>
      <c r="BI29" s="40" t="str">
        <f ca="1">IFERROR(__xludf.DUMMYFUNCTION("""COMPUTED_VALUE"""),"Terminada por Fecha     ")</f>
        <v xml:space="preserve">Terminada por Fecha     </v>
      </c>
      <c r="BJ29" s="40" t="str">
        <f ca="1">IFERROR(__xludf.DUMMYFUNCTION("""COMPUTED_VALUE"""),"Yamboro")</f>
        <v>Yamboro</v>
      </c>
      <c r="BK29" s="40"/>
      <c r="BL29" s="40"/>
    </row>
    <row r="30" spans="1:64" ht="13">
      <c r="A30" s="40"/>
      <c r="B30" s="40" t="str">
        <f ca="1">IFERROR(__xludf.DUMMYFUNCTION("""COMPUTED_VALUE"""),"FORMACION.. Revisado 06/05/2022")</f>
        <v>FORMACION.. Revisado 06/05/2022</v>
      </c>
      <c r="C30" s="40" t="str">
        <f ca="1">IFERROR(__xludf.DUMMYFUNCTION("""COMPUTED_VALUE"""),"TATIANA SOFIA SANCHEZ BOLAÑOS")</f>
        <v>TATIANA SOFIA SANCHEZ BOLAÑOS</v>
      </c>
      <c r="D30" s="40" t="str">
        <f ca="1">IFERROR(__xludf.DUMMYFUNCTION("""COMPUTED_VALUE"""),"CC")</f>
        <v>CC</v>
      </c>
      <c r="E30" s="40">
        <f ca="1">IFERROR(__xludf.DUMMYFUNCTION("""COMPUTED_VALUE"""),1004442424)</f>
        <v>1004442424</v>
      </c>
      <c r="F30" s="40">
        <f ca="1">IFERROR(__xludf.DUMMYFUNCTION("""COMPUTED_VALUE"""),1853739)</f>
        <v>1853739</v>
      </c>
      <c r="G30" s="40" t="str">
        <f ca="1">IFERROR(__xludf.DUMMYFUNCTION("""COMPUTED_VALUE"""),"TÉCNICO")</f>
        <v>TÉCNICO</v>
      </c>
      <c r="H30" s="40" t="str">
        <f ca="1">IFERROR(__xludf.DUMMYFUNCTION("""COMPUTED_VALUE"""),"SISTEMAS")</f>
        <v>SISTEMAS</v>
      </c>
      <c r="I30" s="40"/>
      <c r="J30" s="40"/>
      <c r="K30" s="40"/>
      <c r="L30" s="40" t="str">
        <f ca="1">IFERROR(__xludf.DUMMYFUNCTION("""COMPUTED_VALUE"""),"NO HA INICIADO ETAPA PRODUCTIVA")</f>
        <v>NO HA INICIADO ETAPA PRODUCTIVA</v>
      </c>
      <c r="M30" s="40"/>
      <c r="N30" s="40"/>
      <c r="O30" s="40"/>
      <c r="P30" s="40"/>
      <c r="Q30" s="40"/>
      <c r="R30" s="140"/>
      <c r="S30" s="140"/>
      <c r="T30" s="40"/>
      <c r="U30" s="40"/>
      <c r="V30" s="40"/>
      <c r="W30" s="40"/>
      <c r="X30" s="40"/>
      <c r="Y30" s="40"/>
      <c r="Z30" s="40"/>
      <c r="AA30" s="40" t="str">
        <f ca="1">IFERROR(__xludf.DUMMYFUNCTION("""COMPUTED_VALUE"""),"Revisado 15/06/2022")</f>
        <v>Revisado 15/06/2022</v>
      </c>
      <c r="AB30" s="40"/>
      <c r="AC30" s="40"/>
      <c r="AD30" s="40"/>
      <c r="AE30" s="40"/>
      <c r="AF30" s="40"/>
      <c r="AG30" s="40"/>
      <c r="AH30" s="40"/>
      <c r="AI30" s="40"/>
      <c r="AJ30" s="40"/>
      <c r="AK30" s="40"/>
      <c r="AL30" s="40"/>
      <c r="AM30" s="40"/>
      <c r="AN30" s="40"/>
      <c r="AO30" s="40"/>
      <c r="AP30" s="40"/>
      <c r="AQ30" s="40"/>
      <c r="AR30" s="40"/>
      <c r="AS30" s="40"/>
      <c r="AT30" s="40"/>
      <c r="AU30" s="40" t="str">
        <f ca="1">IFERROR(__xludf.DUMMYFUNCTION("""COMPUTED_VALUE"""),"Procede_E_P")</f>
        <v>Procede_E_P</v>
      </c>
      <c r="AV30" s="40" t="str">
        <f ca="1">IFERROR(__xludf.DUMMYFUNCTION("""COMPUTED_VALUE"""),"EN FORMACION")</f>
        <v>EN FORMACION</v>
      </c>
      <c r="AW30" s="40" t="str">
        <f ca="1">IFERROR(__xludf.DUMMYFUNCTION("""COMPUTED_VALUE"""),"TIC")</f>
        <v>TIC</v>
      </c>
      <c r="AX30" s="141">
        <f ca="1">IFERROR(__xludf.DUMMYFUNCTION("""COMPUTED_VALUE"""),44848)</f>
        <v>44848</v>
      </c>
      <c r="AY30" s="40">
        <f ca="1">IFERROR(__xludf.DUMMYFUNCTION("""COMPUTED_VALUE"""),0)</f>
        <v>0</v>
      </c>
      <c r="AZ30" s="40">
        <f ca="1">IFERROR(__xludf.DUMMYFUNCTION("""COMPUTED_VALUE"""),1)</f>
        <v>1</v>
      </c>
      <c r="BA30" s="40">
        <f ca="1">IFERROR(__xludf.DUMMYFUNCTION("""COMPUTED_VALUE"""),0)</f>
        <v>0</v>
      </c>
      <c r="BB30" s="40">
        <f ca="1">IFERROR(__xludf.DUMMYFUNCTION("""COMPUTED_VALUE"""),0)</f>
        <v>0</v>
      </c>
      <c r="BC30" s="40">
        <f ca="1">IFERROR(__xludf.DUMMYFUNCTION("""COMPUTED_VALUE"""),1)</f>
        <v>1</v>
      </c>
      <c r="BD30" s="141">
        <f ca="1">IFERROR(__xludf.DUMMYFUNCTION("""COMPUTED_VALUE"""),43531)</f>
        <v>43531</v>
      </c>
      <c r="BE30" s="141">
        <f ca="1">IFERROR(__xludf.DUMMYFUNCTION("""COMPUTED_VALUE"""),43715)</f>
        <v>43715</v>
      </c>
      <c r="BF30" s="141">
        <f ca="1">IFERROR(__xludf.DUMMYFUNCTION("""COMPUTED_VALUE"""),43897)</f>
        <v>43897</v>
      </c>
      <c r="BG30" s="141">
        <f ca="1">IFERROR(__xludf.DUMMYFUNCTION("""COMPUTED_VALUE"""),44446)</f>
        <v>44446</v>
      </c>
      <c r="BH30" s="40" t="str">
        <f ca="1">IFERROR(__xludf.DUMMYFUNCTION("""COMPUTED_VALUE"""),"FINALIZAR FICHA")</f>
        <v>FINALIZAR FICHA</v>
      </c>
      <c r="BI30" s="40" t="str">
        <f ca="1">IFERROR(__xludf.DUMMYFUNCTION("""COMPUTED_VALUE"""),"Terminada por Fecha     ")</f>
        <v xml:space="preserve">Terminada por Fecha     </v>
      </c>
      <c r="BJ30" s="40" t="str">
        <f ca="1">IFERROR(__xludf.DUMMYFUNCTION("""COMPUTED_VALUE"""),"Yamboro")</f>
        <v>Yamboro</v>
      </c>
      <c r="BK30" s="40"/>
      <c r="BL30" s="40"/>
    </row>
    <row r="31" spans="1:64" ht="13">
      <c r="A31" s="40"/>
      <c r="B31" s="40" t="str">
        <f ca="1">IFERROR(__xludf.DUMMYFUNCTION("""COMPUTED_VALUE"""),"FORMACION.. Revisado 06/05/2022")</f>
        <v>FORMACION.. Revisado 06/05/2022</v>
      </c>
      <c r="C31" s="40" t="str">
        <f ca="1">IFERROR(__xludf.DUMMYFUNCTION("""COMPUTED_VALUE"""),"DANIA ALEXANDRA ILES SAMBONI")</f>
        <v>DANIA ALEXANDRA ILES SAMBONI</v>
      </c>
      <c r="D31" s="40" t="str">
        <f ca="1">IFERROR(__xludf.DUMMYFUNCTION("""COMPUTED_VALUE"""),"TI")</f>
        <v>TI</v>
      </c>
      <c r="E31" s="40">
        <f ca="1">IFERROR(__xludf.DUMMYFUNCTION("""COMPUTED_VALUE"""),1004442542)</f>
        <v>1004442542</v>
      </c>
      <c r="F31" s="40">
        <f ca="1">IFERROR(__xludf.DUMMYFUNCTION("""COMPUTED_VALUE"""),1853739)</f>
        <v>1853739</v>
      </c>
      <c r="G31" s="40" t="str">
        <f ca="1">IFERROR(__xludf.DUMMYFUNCTION("""COMPUTED_VALUE"""),"TÉCNICO")</f>
        <v>TÉCNICO</v>
      </c>
      <c r="H31" s="40" t="str">
        <f ca="1">IFERROR(__xludf.DUMMYFUNCTION("""COMPUTED_VALUE"""),"SISTEMAS")</f>
        <v>SISTEMAS</v>
      </c>
      <c r="I31" s="40"/>
      <c r="J31" s="40"/>
      <c r="K31" s="40"/>
      <c r="L31" s="40" t="str">
        <f ca="1">IFERROR(__xludf.DUMMYFUNCTION("""COMPUTED_VALUE"""),"NO HA INICIADO ETAPA PRODUCTIVA")</f>
        <v>NO HA INICIADO ETAPA PRODUCTIVA</v>
      </c>
      <c r="M31" s="40"/>
      <c r="N31" s="40"/>
      <c r="O31" s="40"/>
      <c r="P31" s="40"/>
      <c r="Q31" s="40"/>
      <c r="R31" s="140"/>
      <c r="S31" s="140"/>
      <c r="T31" s="40"/>
      <c r="U31" s="40"/>
      <c r="V31" s="40"/>
      <c r="W31" s="40"/>
      <c r="X31" s="40"/>
      <c r="Y31" s="40"/>
      <c r="Z31" s="40"/>
      <c r="AA31" s="40" t="str">
        <f ca="1">IFERROR(__xludf.DUMMYFUNCTION("""COMPUTED_VALUE"""),"Revisado 15/06/2022")</f>
        <v>Revisado 15/06/2022</v>
      </c>
      <c r="AB31" s="40"/>
      <c r="AC31" s="40"/>
      <c r="AD31" s="40"/>
      <c r="AE31" s="40"/>
      <c r="AF31" s="40"/>
      <c r="AG31" s="40"/>
      <c r="AH31" s="40"/>
      <c r="AI31" s="40"/>
      <c r="AJ31" s="40"/>
      <c r="AK31" s="40"/>
      <c r="AL31" s="40"/>
      <c r="AM31" s="40"/>
      <c r="AN31" s="40"/>
      <c r="AO31" s="40"/>
      <c r="AP31" s="40"/>
      <c r="AQ31" s="40"/>
      <c r="AR31" s="40"/>
      <c r="AS31" s="40"/>
      <c r="AT31" s="40"/>
      <c r="AU31" s="40" t="str">
        <f ca="1">IFERROR(__xludf.DUMMYFUNCTION("""COMPUTED_VALUE"""),"Procede_E_P")</f>
        <v>Procede_E_P</v>
      </c>
      <c r="AV31" s="40" t="str">
        <f ca="1">IFERROR(__xludf.DUMMYFUNCTION("""COMPUTED_VALUE"""),"EN FORMACION")</f>
        <v>EN FORMACION</v>
      </c>
      <c r="AW31" s="40" t="str">
        <f ca="1">IFERROR(__xludf.DUMMYFUNCTION("""COMPUTED_VALUE"""),"TIC")</f>
        <v>TIC</v>
      </c>
      <c r="AX31" s="141">
        <f ca="1">IFERROR(__xludf.DUMMYFUNCTION("""COMPUTED_VALUE"""),44848)</f>
        <v>44848</v>
      </c>
      <c r="AY31" s="40">
        <f ca="1">IFERROR(__xludf.DUMMYFUNCTION("""COMPUTED_VALUE"""),0)</f>
        <v>0</v>
      </c>
      <c r="AZ31" s="40">
        <f ca="1">IFERROR(__xludf.DUMMYFUNCTION("""COMPUTED_VALUE"""),1)</f>
        <v>1</v>
      </c>
      <c r="BA31" s="40">
        <f ca="1">IFERROR(__xludf.DUMMYFUNCTION("""COMPUTED_VALUE"""),0)</f>
        <v>0</v>
      </c>
      <c r="BB31" s="40">
        <f ca="1">IFERROR(__xludf.DUMMYFUNCTION("""COMPUTED_VALUE"""),0)</f>
        <v>0</v>
      </c>
      <c r="BC31" s="40">
        <f ca="1">IFERROR(__xludf.DUMMYFUNCTION("""COMPUTED_VALUE"""),1)</f>
        <v>1</v>
      </c>
      <c r="BD31" s="141">
        <f ca="1">IFERROR(__xludf.DUMMYFUNCTION("""COMPUTED_VALUE"""),43531)</f>
        <v>43531</v>
      </c>
      <c r="BE31" s="141">
        <f ca="1">IFERROR(__xludf.DUMMYFUNCTION("""COMPUTED_VALUE"""),43715)</f>
        <v>43715</v>
      </c>
      <c r="BF31" s="141">
        <f ca="1">IFERROR(__xludf.DUMMYFUNCTION("""COMPUTED_VALUE"""),43897)</f>
        <v>43897</v>
      </c>
      <c r="BG31" s="141">
        <f ca="1">IFERROR(__xludf.DUMMYFUNCTION("""COMPUTED_VALUE"""),44446)</f>
        <v>44446</v>
      </c>
      <c r="BH31" s="40" t="str">
        <f ca="1">IFERROR(__xludf.DUMMYFUNCTION("""COMPUTED_VALUE"""),"FINALIZAR FICHA")</f>
        <v>FINALIZAR FICHA</v>
      </c>
      <c r="BI31" s="40" t="str">
        <f ca="1">IFERROR(__xludf.DUMMYFUNCTION("""COMPUTED_VALUE"""),"Terminada por Fecha     ")</f>
        <v xml:space="preserve">Terminada por Fecha     </v>
      </c>
      <c r="BJ31" s="40" t="str">
        <f ca="1">IFERROR(__xludf.DUMMYFUNCTION("""COMPUTED_VALUE"""),"Yamboro")</f>
        <v>Yamboro</v>
      </c>
      <c r="BK31" s="40"/>
      <c r="BL31" s="40"/>
    </row>
    <row r="32" spans="1:64" ht="13">
      <c r="A32" s="40"/>
      <c r="B32" s="40" t="str">
        <f ca="1">IFERROR(__xludf.DUMMYFUNCTION("""COMPUTED_VALUE"""),"FORMACION.. Revisado 06/05/2022")</f>
        <v>FORMACION.. Revisado 06/05/2022</v>
      </c>
      <c r="C32" s="40" t="str">
        <f ca="1">IFERROR(__xludf.DUMMYFUNCTION("""COMPUTED_VALUE"""),"OSCAR JULIAN NAVIA NAVIA")</f>
        <v>OSCAR JULIAN NAVIA NAVIA</v>
      </c>
      <c r="D32" s="40" t="str">
        <f ca="1">IFERROR(__xludf.DUMMYFUNCTION("""COMPUTED_VALUE"""),"TI")</f>
        <v>TI</v>
      </c>
      <c r="E32" s="40">
        <f ca="1">IFERROR(__xludf.DUMMYFUNCTION("""COMPUTED_VALUE"""),1004442931)</f>
        <v>1004442931</v>
      </c>
      <c r="F32" s="40">
        <f ca="1">IFERROR(__xludf.DUMMYFUNCTION("""COMPUTED_VALUE"""),1853739)</f>
        <v>1853739</v>
      </c>
      <c r="G32" s="40" t="str">
        <f ca="1">IFERROR(__xludf.DUMMYFUNCTION("""COMPUTED_VALUE"""),"TÉCNICO")</f>
        <v>TÉCNICO</v>
      </c>
      <c r="H32" s="40" t="str">
        <f ca="1">IFERROR(__xludf.DUMMYFUNCTION("""COMPUTED_VALUE"""),"SISTEMAS")</f>
        <v>SISTEMAS</v>
      </c>
      <c r="I32" s="40"/>
      <c r="J32" s="40"/>
      <c r="K32" s="40"/>
      <c r="L32" s="40" t="str">
        <f ca="1">IFERROR(__xludf.DUMMYFUNCTION("""COMPUTED_VALUE"""),"NO HA INICIADO ETAPA PRODUCTIVA")</f>
        <v>NO HA INICIADO ETAPA PRODUCTIVA</v>
      </c>
      <c r="M32" s="40"/>
      <c r="N32" s="40"/>
      <c r="O32" s="40"/>
      <c r="P32" s="40"/>
      <c r="Q32" s="40"/>
      <c r="R32" s="140"/>
      <c r="S32" s="140"/>
      <c r="T32" s="40"/>
      <c r="U32" s="40"/>
      <c r="V32" s="40"/>
      <c r="W32" s="40"/>
      <c r="X32" s="40"/>
      <c r="Y32" s="40"/>
      <c r="Z32" s="40"/>
      <c r="AA32" s="40" t="str">
        <f ca="1">IFERROR(__xludf.DUMMYFUNCTION("""COMPUTED_VALUE"""),"Revisado 15/06/2022")</f>
        <v>Revisado 15/06/2022</v>
      </c>
      <c r="AB32" s="40"/>
      <c r="AC32" s="40"/>
      <c r="AD32" s="40"/>
      <c r="AE32" s="40"/>
      <c r="AF32" s="40"/>
      <c r="AG32" s="40"/>
      <c r="AH32" s="40"/>
      <c r="AI32" s="40"/>
      <c r="AJ32" s="40"/>
      <c r="AK32" s="40"/>
      <c r="AL32" s="40"/>
      <c r="AM32" s="40"/>
      <c r="AN32" s="40"/>
      <c r="AO32" s="40"/>
      <c r="AP32" s="40"/>
      <c r="AQ32" s="40"/>
      <c r="AR32" s="40"/>
      <c r="AS32" s="40"/>
      <c r="AT32" s="40"/>
      <c r="AU32" s="40" t="str">
        <f ca="1">IFERROR(__xludf.DUMMYFUNCTION("""COMPUTED_VALUE"""),"Procede_E_P")</f>
        <v>Procede_E_P</v>
      </c>
      <c r="AV32" s="40" t="str">
        <f ca="1">IFERROR(__xludf.DUMMYFUNCTION("""COMPUTED_VALUE"""),"EN FORMACION")</f>
        <v>EN FORMACION</v>
      </c>
      <c r="AW32" s="40" t="str">
        <f ca="1">IFERROR(__xludf.DUMMYFUNCTION("""COMPUTED_VALUE"""),"TIC")</f>
        <v>TIC</v>
      </c>
      <c r="AX32" s="141">
        <f ca="1">IFERROR(__xludf.DUMMYFUNCTION("""COMPUTED_VALUE"""),44848)</f>
        <v>44848</v>
      </c>
      <c r="AY32" s="40">
        <f ca="1">IFERROR(__xludf.DUMMYFUNCTION("""COMPUTED_VALUE"""),0)</f>
        <v>0</v>
      </c>
      <c r="AZ32" s="40">
        <f ca="1">IFERROR(__xludf.DUMMYFUNCTION("""COMPUTED_VALUE"""),1)</f>
        <v>1</v>
      </c>
      <c r="BA32" s="40">
        <f ca="1">IFERROR(__xludf.DUMMYFUNCTION("""COMPUTED_VALUE"""),0)</f>
        <v>0</v>
      </c>
      <c r="BB32" s="40">
        <f ca="1">IFERROR(__xludf.DUMMYFUNCTION("""COMPUTED_VALUE"""),0)</f>
        <v>0</v>
      </c>
      <c r="BC32" s="40">
        <f ca="1">IFERROR(__xludf.DUMMYFUNCTION("""COMPUTED_VALUE"""),1)</f>
        <v>1</v>
      </c>
      <c r="BD32" s="141">
        <f ca="1">IFERROR(__xludf.DUMMYFUNCTION("""COMPUTED_VALUE"""),43531)</f>
        <v>43531</v>
      </c>
      <c r="BE32" s="141">
        <f ca="1">IFERROR(__xludf.DUMMYFUNCTION("""COMPUTED_VALUE"""),43715)</f>
        <v>43715</v>
      </c>
      <c r="BF32" s="141">
        <f ca="1">IFERROR(__xludf.DUMMYFUNCTION("""COMPUTED_VALUE"""),43897)</f>
        <v>43897</v>
      </c>
      <c r="BG32" s="141">
        <f ca="1">IFERROR(__xludf.DUMMYFUNCTION("""COMPUTED_VALUE"""),44446)</f>
        <v>44446</v>
      </c>
      <c r="BH32" s="40" t="str">
        <f ca="1">IFERROR(__xludf.DUMMYFUNCTION("""COMPUTED_VALUE"""),"FINALIZAR FICHA")</f>
        <v>FINALIZAR FICHA</v>
      </c>
      <c r="BI32" s="40" t="str">
        <f ca="1">IFERROR(__xludf.DUMMYFUNCTION("""COMPUTED_VALUE"""),"Terminada por Fecha     ")</f>
        <v xml:space="preserve">Terminada por Fecha     </v>
      </c>
      <c r="BJ32" s="40" t="str">
        <f ca="1">IFERROR(__xludf.DUMMYFUNCTION("""COMPUTED_VALUE"""),"Yamboro")</f>
        <v>Yamboro</v>
      </c>
      <c r="BK32" s="40"/>
      <c r="BL32" s="40"/>
    </row>
    <row r="33" spans="1:64" ht="13">
      <c r="A33" s="40"/>
      <c r="B33" s="40" t="str">
        <f ca="1">IFERROR(__xludf.DUMMYFUNCTION("""COMPUTED_VALUE"""),"FORMACION.. Revisado 06/05/2022")</f>
        <v>FORMACION.. Revisado 06/05/2022</v>
      </c>
      <c r="C33" s="40" t="str">
        <f ca="1">IFERROR(__xludf.DUMMYFUNCTION("""COMPUTED_VALUE"""),"KAREN YESENIA MUÑOZ SOTELO")</f>
        <v>KAREN YESENIA MUÑOZ SOTELO</v>
      </c>
      <c r="D33" s="40" t="str">
        <f ca="1">IFERROR(__xludf.DUMMYFUNCTION("""COMPUTED_VALUE"""),"CC")</f>
        <v>CC</v>
      </c>
      <c r="E33" s="40">
        <f ca="1">IFERROR(__xludf.DUMMYFUNCTION("""COMPUTED_VALUE"""),1070332672)</f>
        <v>1070332672</v>
      </c>
      <c r="F33" s="40">
        <f ca="1">IFERROR(__xludf.DUMMYFUNCTION("""COMPUTED_VALUE"""),1853739)</f>
        <v>1853739</v>
      </c>
      <c r="G33" s="40" t="str">
        <f ca="1">IFERROR(__xludf.DUMMYFUNCTION("""COMPUTED_VALUE"""),"TÉCNICO")</f>
        <v>TÉCNICO</v>
      </c>
      <c r="H33" s="40" t="str">
        <f ca="1">IFERROR(__xludf.DUMMYFUNCTION("""COMPUTED_VALUE"""),"SISTEMAS")</f>
        <v>SISTEMAS</v>
      </c>
      <c r="I33" s="40"/>
      <c r="J33" s="40"/>
      <c r="K33" s="40"/>
      <c r="L33" s="40" t="str">
        <f ca="1">IFERROR(__xludf.DUMMYFUNCTION("""COMPUTED_VALUE"""),"NO HA INICIADO ETAPA PRODUCTIVA")</f>
        <v>NO HA INICIADO ETAPA PRODUCTIVA</v>
      </c>
      <c r="M33" s="40"/>
      <c r="N33" s="40"/>
      <c r="O33" s="40"/>
      <c r="P33" s="40"/>
      <c r="Q33" s="40"/>
      <c r="R33" s="140"/>
      <c r="S33" s="140"/>
      <c r="T33" s="40"/>
      <c r="U33" s="40"/>
      <c r="V33" s="40"/>
      <c r="W33" s="40"/>
      <c r="X33" s="40"/>
      <c r="Y33" s="40"/>
      <c r="Z33" s="40"/>
      <c r="AA33" s="40" t="str">
        <f ca="1">IFERROR(__xludf.DUMMYFUNCTION("""COMPUTED_VALUE"""),"Revisado 15/06/2022")</f>
        <v>Revisado 15/06/2022</v>
      </c>
      <c r="AB33" s="40"/>
      <c r="AC33" s="40"/>
      <c r="AD33" s="40"/>
      <c r="AE33" s="40"/>
      <c r="AF33" s="40"/>
      <c r="AG33" s="40"/>
      <c r="AH33" s="40"/>
      <c r="AI33" s="40"/>
      <c r="AJ33" s="40"/>
      <c r="AK33" s="40"/>
      <c r="AL33" s="40"/>
      <c r="AM33" s="40"/>
      <c r="AN33" s="40"/>
      <c r="AO33" s="40"/>
      <c r="AP33" s="40"/>
      <c r="AQ33" s="40"/>
      <c r="AR33" s="40"/>
      <c r="AS33" s="40"/>
      <c r="AT33" s="40"/>
      <c r="AU33" s="40" t="str">
        <f ca="1">IFERROR(__xludf.DUMMYFUNCTION("""COMPUTED_VALUE"""),"Procede_E_P")</f>
        <v>Procede_E_P</v>
      </c>
      <c r="AV33" s="40" t="str">
        <f ca="1">IFERROR(__xludf.DUMMYFUNCTION("""COMPUTED_VALUE"""),"EN FORMACION")</f>
        <v>EN FORMACION</v>
      </c>
      <c r="AW33" s="40" t="str">
        <f ca="1">IFERROR(__xludf.DUMMYFUNCTION("""COMPUTED_VALUE"""),"TIC")</f>
        <v>TIC</v>
      </c>
      <c r="AX33" s="141">
        <f ca="1">IFERROR(__xludf.DUMMYFUNCTION("""COMPUTED_VALUE"""),44848)</f>
        <v>44848</v>
      </c>
      <c r="AY33" s="40">
        <f ca="1">IFERROR(__xludf.DUMMYFUNCTION("""COMPUTED_VALUE"""),0)</f>
        <v>0</v>
      </c>
      <c r="AZ33" s="40">
        <f ca="1">IFERROR(__xludf.DUMMYFUNCTION("""COMPUTED_VALUE"""),1)</f>
        <v>1</v>
      </c>
      <c r="BA33" s="40">
        <f ca="1">IFERROR(__xludf.DUMMYFUNCTION("""COMPUTED_VALUE"""),0)</f>
        <v>0</v>
      </c>
      <c r="BB33" s="40">
        <f ca="1">IFERROR(__xludf.DUMMYFUNCTION("""COMPUTED_VALUE"""),0)</f>
        <v>0</v>
      </c>
      <c r="BC33" s="40">
        <f ca="1">IFERROR(__xludf.DUMMYFUNCTION("""COMPUTED_VALUE"""),1)</f>
        <v>1</v>
      </c>
      <c r="BD33" s="141">
        <f ca="1">IFERROR(__xludf.DUMMYFUNCTION("""COMPUTED_VALUE"""),43531)</f>
        <v>43531</v>
      </c>
      <c r="BE33" s="141">
        <f ca="1">IFERROR(__xludf.DUMMYFUNCTION("""COMPUTED_VALUE"""),43715)</f>
        <v>43715</v>
      </c>
      <c r="BF33" s="141">
        <f ca="1">IFERROR(__xludf.DUMMYFUNCTION("""COMPUTED_VALUE"""),43897)</f>
        <v>43897</v>
      </c>
      <c r="BG33" s="141">
        <f ca="1">IFERROR(__xludf.DUMMYFUNCTION("""COMPUTED_VALUE"""),44446)</f>
        <v>44446</v>
      </c>
      <c r="BH33" s="40" t="str">
        <f ca="1">IFERROR(__xludf.DUMMYFUNCTION("""COMPUTED_VALUE"""),"FINALIZAR FICHA")</f>
        <v>FINALIZAR FICHA</v>
      </c>
      <c r="BI33" s="40" t="str">
        <f ca="1">IFERROR(__xludf.DUMMYFUNCTION("""COMPUTED_VALUE"""),"Terminada por Fecha     ")</f>
        <v xml:space="preserve">Terminada por Fecha     </v>
      </c>
      <c r="BJ33" s="40" t="str">
        <f ca="1">IFERROR(__xludf.DUMMYFUNCTION("""COMPUTED_VALUE"""),"Yamboro")</f>
        <v>Yamboro</v>
      </c>
      <c r="BK33" s="40"/>
      <c r="BL33" s="40"/>
    </row>
    <row r="34" spans="1:64" ht="13">
      <c r="A34" s="40"/>
      <c r="B34" s="40" t="str">
        <f ca="1">IFERROR(__xludf.DUMMYFUNCTION("""COMPUTED_VALUE"""),"FORMACION.. Revisado 06/05/2022")</f>
        <v>FORMACION.. Revisado 06/05/2022</v>
      </c>
      <c r="C34" s="40" t="str">
        <f ca="1">IFERROR(__xludf.DUMMYFUNCTION("""COMPUTED_VALUE"""),"YURY MARCELA GARCIA IMBACHI")</f>
        <v>YURY MARCELA GARCIA IMBACHI</v>
      </c>
      <c r="D34" s="40" t="str">
        <f ca="1">IFERROR(__xludf.DUMMYFUNCTION("""COMPUTED_VALUE"""),"CC")</f>
        <v>CC</v>
      </c>
      <c r="E34" s="40">
        <f ca="1">IFERROR(__xludf.DUMMYFUNCTION("""COMPUTED_VALUE"""),1083926766)</f>
        <v>1083926766</v>
      </c>
      <c r="F34" s="40">
        <f ca="1">IFERROR(__xludf.DUMMYFUNCTION("""COMPUTED_VALUE"""),1853739)</f>
        <v>1853739</v>
      </c>
      <c r="G34" s="40" t="str">
        <f ca="1">IFERROR(__xludf.DUMMYFUNCTION("""COMPUTED_VALUE"""),"TÉCNICO")</f>
        <v>TÉCNICO</v>
      </c>
      <c r="H34" s="40" t="str">
        <f ca="1">IFERROR(__xludf.DUMMYFUNCTION("""COMPUTED_VALUE"""),"SISTEMAS")</f>
        <v>SISTEMAS</v>
      </c>
      <c r="I34" s="40">
        <f ca="1">IFERROR(__xludf.DUMMYFUNCTION("""COMPUTED_VALUE"""),3223719992)</f>
        <v>3223719992</v>
      </c>
      <c r="J34" s="40" t="str">
        <f ca="1">IFERROR(__xludf.DUMMYFUNCTION("""COMPUTED_VALUE"""),"yurimarce61@gmail.com")</f>
        <v>yurimarce61@gmail.com</v>
      </c>
      <c r="K34" s="40"/>
      <c r="L34" s="40" t="str">
        <f ca="1">IFERROR(__xludf.DUMMYFUNCTION("""COMPUTED_VALUE"""),"NO HA INICIADO ETAPA PRODUCTIVA")</f>
        <v>NO HA INICIADO ETAPA PRODUCTIVA</v>
      </c>
      <c r="M34" s="40"/>
      <c r="N34" s="40"/>
      <c r="O34" s="40"/>
      <c r="P34" s="40"/>
      <c r="Q34" s="40"/>
      <c r="R34" s="140"/>
      <c r="S34" s="140"/>
      <c r="T34" s="40"/>
      <c r="U34" s="40"/>
      <c r="V34" s="40"/>
      <c r="W34" s="40"/>
      <c r="X34" s="40"/>
      <c r="Y34" s="40"/>
      <c r="Z34" s="40"/>
      <c r="AA34" s="40" t="str">
        <f ca="1">IFERROR(__xludf.DUMMYFUNCTION("""COMPUTED_VALUE"""),"Revisado 15/06/2022")</f>
        <v>Revisado 15/06/2022</v>
      </c>
      <c r="AB34" s="40"/>
      <c r="AC34" s="40"/>
      <c r="AD34" s="40"/>
      <c r="AE34" s="40"/>
      <c r="AF34" s="40"/>
      <c r="AG34" s="40"/>
      <c r="AH34" s="40"/>
      <c r="AI34" s="40"/>
      <c r="AJ34" s="40"/>
      <c r="AK34" s="40"/>
      <c r="AL34" s="40"/>
      <c r="AM34" s="40"/>
      <c r="AN34" s="40"/>
      <c r="AO34" s="40"/>
      <c r="AP34" s="40"/>
      <c r="AQ34" s="40"/>
      <c r="AR34" s="40"/>
      <c r="AS34" s="40"/>
      <c r="AT34" s="40"/>
      <c r="AU34" s="40" t="str">
        <f ca="1">IFERROR(__xludf.DUMMYFUNCTION("""COMPUTED_VALUE"""),"Procede_E_P")</f>
        <v>Procede_E_P</v>
      </c>
      <c r="AV34" s="40" t="str">
        <f ca="1">IFERROR(__xludf.DUMMYFUNCTION("""COMPUTED_VALUE"""),"EN FORMACION")</f>
        <v>EN FORMACION</v>
      </c>
      <c r="AW34" s="40" t="str">
        <f ca="1">IFERROR(__xludf.DUMMYFUNCTION("""COMPUTED_VALUE"""),"TIC")</f>
        <v>TIC</v>
      </c>
      <c r="AX34" s="141">
        <f ca="1">IFERROR(__xludf.DUMMYFUNCTION("""COMPUTED_VALUE"""),44848)</f>
        <v>44848</v>
      </c>
      <c r="AY34" s="40">
        <f ca="1">IFERROR(__xludf.DUMMYFUNCTION("""COMPUTED_VALUE"""),0)</f>
        <v>0</v>
      </c>
      <c r="AZ34" s="40">
        <f ca="1">IFERROR(__xludf.DUMMYFUNCTION("""COMPUTED_VALUE"""),1)</f>
        <v>1</v>
      </c>
      <c r="BA34" s="40">
        <f ca="1">IFERROR(__xludf.DUMMYFUNCTION("""COMPUTED_VALUE"""),0)</f>
        <v>0</v>
      </c>
      <c r="BB34" s="40">
        <f ca="1">IFERROR(__xludf.DUMMYFUNCTION("""COMPUTED_VALUE"""),0)</f>
        <v>0</v>
      </c>
      <c r="BC34" s="40">
        <f ca="1">IFERROR(__xludf.DUMMYFUNCTION("""COMPUTED_VALUE"""),1)</f>
        <v>1</v>
      </c>
      <c r="BD34" s="141">
        <f ca="1">IFERROR(__xludf.DUMMYFUNCTION("""COMPUTED_VALUE"""),43531)</f>
        <v>43531</v>
      </c>
      <c r="BE34" s="141">
        <f ca="1">IFERROR(__xludf.DUMMYFUNCTION("""COMPUTED_VALUE"""),43715)</f>
        <v>43715</v>
      </c>
      <c r="BF34" s="141">
        <f ca="1">IFERROR(__xludf.DUMMYFUNCTION("""COMPUTED_VALUE"""),43897)</f>
        <v>43897</v>
      </c>
      <c r="BG34" s="141">
        <f ca="1">IFERROR(__xludf.DUMMYFUNCTION("""COMPUTED_VALUE"""),44446)</f>
        <v>44446</v>
      </c>
      <c r="BH34" s="40" t="str">
        <f ca="1">IFERROR(__xludf.DUMMYFUNCTION("""COMPUTED_VALUE"""),"FINALIZAR FICHA")</f>
        <v>FINALIZAR FICHA</v>
      </c>
      <c r="BI34" s="40" t="str">
        <f ca="1">IFERROR(__xludf.DUMMYFUNCTION("""COMPUTED_VALUE"""),"Terminada por Fecha     ")</f>
        <v xml:space="preserve">Terminada por Fecha     </v>
      </c>
      <c r="BJ34" s="40" t="str">
        <f ca="1">IFERROR(__xludf.DUMMYFUNCTION("""COMPUTED_VALUE"""),"Yamboro")</f>
        <v>Yamboro</v>
      </c>
      <c r="BK34" s="40"/>
      <c r="BL34" s="40"/>
    </row>
    <row r="35" spans="1:64" ht="13">
      <c r="A35" s="40"/>
      <c r="B35" s="40" t="str">
        <f ca="1">IFERROR(__xludf.DUMMYFUNCTION("""COMPUTED_VALUE"""),"FORMACION.. Revisado 06/05/2022")</f>
        <v>FORMACION.. Revisado 06/05/2022</v>
      </c>
      <c r="C35" s="40" t="str">
        <f ca="1">IFERROR(__xludf.DUMMYFUNCTION("""COMPUTED_VALUE"""),"ADRIANA MARCELA GARCIA IMBACHI")</f>
        <v>ADRIANA MARCELA GARCIA IMBACHI</v>
      </c>
      <c r="D35" s="40" t="str">
        <f ca="1">IFERROR(__xludf.DUMMYFUNCTION("""COMPUTED_VALUE"""),"CC")</f>
        <v>CC</v>
      </c>
      <c r="E35" s="40">
        <f ca="1">IFERROR(__xludf.DUMMYFUNCTION("""COMPUTED_VALUE"""),1084254045)</f>
        <v>1084254045</v>
      </c>
      <c r="F35" s="40">
        <f ca="1">IFERROR(__xludf.DUMMYFUNCTION("""COMPUTED_VALUE"""),1853739)</f>
        <v>1853739</v>
      </c>
      <c r="G35" s="40" t="str">
        <f ca="1">IFERROR(__xludf.DUMMYFUNCTION("""COMPUTED_VALUE"""),"TÉCNICO")</f>
        <v>TÉCNICO</v>
      </c>
      <c r="H35" s="40" t="str">
        <f ca="1">IFERROR(__xludf.DUMMYFUNCTION("""COMPUTED_VALUE"""),"SISTEMAS")</f>
        <v>SISTEMAS</v>
      </c>
      <c r="I35" s="40">
        <f ca="1">IFERROR(__xludf.DUMMYFUNCTION("""COMPUTED_VALUE"""),3203847896)</f>
        <v>3203847896</v>
      </c>
      <c r="J35" s="40" t="str">
        <f ca="1">IFERROR(__xludf.DUMMYFUNCTION("""COMPUTED_VALUE"""),"amgarcia540@misena.edu.co")</f>
        <v>amgarcia540@misena.edu.co</v>
      </c>
      <c r="K35" s="40"/>
      <c r="L35" s="40" t="str">
        <f ca="1">IFERROR(__xludf.DUMMYFUNCTION("""COMPUTED_VALUE"""),"NO HA INICIADO ETAPA PRODUCTIVA")</f>
        <v>NO HA INICIADO ETAPA PRODUCTIVA</v>
      </c>
      <c r="M35" s="40"/>
      <c r="N35" s="40"/>
      <c r="O35" s="40"/>
      <c r="P35" s="40"/>
      <c r="Q35" s="40"/>
      <c r="R35" s="140"/>
      <c r="S35" s="140"/>
      <c r="T35" s="40"/>
      <c r="U35" s="40"/>
      <c r="V35" s="40"/>
      <c r="W35" s="40"/>
      <c r="X35" s="40"/>
      <c r="Y35" s="40"/>
      <c r="Z35" s="40"/>
      <c r="AA35" s="40" t="str">
        <f ca="1">IFERROR(__xludf.DUMMYFUNCTION("""COMPUTED_VALUE"""),"Revisado 15/06/2022")</f>
        <v>Revisado 15/06/2022</v>
      </c>
      <c r="AB35" s="40"/>
      <c r="AC35" s="40"/>
      <c r="AD35" s="40"/>
      <c r="AE35" s="40"/>
      <c r="AF35" s="40"/>
      <c r="AG35" s="40"/>
      <c r="AH35" s="40"/>
      <c r="AI35" s="40"/>
      <c r="AJ35" s="40"/>
      <c r="AK35" s="40"/>
      <c r="AL35" s="40"/>
      <c r="AM35" s="40"/>
      <c r="AN35" s="40"/>
      <c r="AO35" s="40"/>
      <c r="AP35" s="40"/>
      <c r="AQ35" s="40"/>
      <c r="AR35" s="40"/>
      <c r="AS35" s="40"/>
      <c r="AT35" s="40"/>
      <c r="AU35" s="40" t="str">
        <f ca="1">IFERROR(__xludf.DUMMYFUNCTION("""COMPUTED_VALUE"""),"Procede_E_P")</f>
        <v>Procede_E_P</v>
      </c>
      <c r="AV35" s="40" t="str">
        <f ca="1">IFERROR(__xludf.DUMMYFUNCTION("""COMPUTED_VALUE"""),"EN FORMACION")</f>
        <v>EN FORMACION</v>
      </c>
      <c r="AW35" s="40" t="str">
        <f ca="1">IFERROR(__xludf.DUMMYFUNCTION("""COMPUTED_VALUE"""),"TIC")</f>
        <v>TIC</v>
      </c>
      <c r="AX35" s="141">
        <f ca="1">IFERROR(__xludf.DUMMYFUNCTION("""COMPUTED_VALUE"""),44848)</f>
        <v>44848</v>
      </c>
      <c r="AY35" s="40">
        <f ca="1">IFERROR(__xludf.DUMMYFUNCTION("""COMPUTED_VALUE"""),0)</f>
        <v>0</v>
      </c>
      <c r="AZ35" s="40">
        <f ca="1">IFERROR(__xludf.DUMMYFUNCTION("""COMPUTED_VALUE"""),1)</f>
        <v>1</v>
      </c>
      <c r="BA35" s="40">
        <f ca="1">IFERROR(__xludf.DUMMYFUNCTION("""COMPUTED_VALUE"""),0)</f>
        <v>0</v>
      </c>
      <c r="BB35" s="40">
        <f ca="1">IFERROR(__xludf.DUMMYFUNCTION("""COMPUTED_VALUE"""),0)</f>
        <v>0</v>
      </c>
      <c r="BC35" s="40">
        <f ca="1">IFERROR(__xludf.DUMMYFUNCTION("""COMPUTED_VALUE"""),1)</f>
        <v>1</v>
      </c>
      <c r="BD35" s="141">
        <f ca="1">IFERROR(__xludf.DUMMYFUNCTION("""COMPUTED_VALUE"""),43531)</f>
        <v>43531</v>
      </c>
      <c r="BE35" s="141">
        <f ca="1">IFERROR(__xludf.DUMMYFUNCTION("""COMPUTED_VALUE"""),43715)</f>
        <v>43715</v>
      </c>
      <c r="BF35" s="141">
        <f ca="1">IFERROR(__xludf.DUMMYFUNCTION("""COMPUTED_VALUE"""),43897)</f>
        <v>43897</v>
      </c>
      <c r="BG35" s="141">
        <f ca="1">IFERROR(__xludf.DUMMYFUNCTION("""COMPUTED_VALUE"""),44446)</f>
        <v>44446</v>
      </c>
      <c r="BH35" s="40" t="str">
        <f ca="1">IFERROR(__xludf.DUMMYFUNCTION("""COMPUTED_VALUE"""),"FINALIZAR FICHA")</f>
        <v>FINALIZAR FICHA</v>
      </c>
      <c r="BI35" s="40" t="str">
        <f ca="1">IFERROR(__xludf.DUMMYFUNCTION("""COMPUTED_VALUE"""),"Terminada por Fecha     ")</f>
        <v xml:space="preserve">Terminada por Fecha     </v>
      </c>
      <c r="BJ35" s="40" t="str">
        <f ca="1">IFERROR(__xludf.DUMMYFUNCTION("""COMPUTED_VALUE"""),"Yamboro")</f>
        <v>Yamboro</v>
      </c>
      <c r="BK35" s="40"/>
      <c r="BL35" s="40"/>
    </row>
    <row r="36" spans="1:64" ht="13">
      <c r="A36" s="40"/>
      <c r="B36" s="40" t="str">
        <f ca="1">IFERROR(__xludf.DUMMYFUNCTION("""COMPUTED_VALUE"""),"FORMACION.. Revisado 06/05/2022")</f>
        <v>FORMACION.. Revisado 06/05/2022</v>
      </c>
      <c r="C36" s="40" t="str">
        <f ca="1">IFERROR(__xludf.DUMMYFUNCTION("""COMPUTED_VALUE"""),"EDILMA GARCIA IMBACHI")</f>
        <v>EDILMA GARCIA IMBACHI</v>
      </c>
      <c r="D36" s="40" t="str">
        <f ca="1">IFERROR(__xludf.DUMMYFUNCTION("""COMPUTED_VALUE"""),"CC")</f>
        <v>CC</v>
      </c>
      <c r="E36" s="40">
        <f ca="1">IFERROR(__xludf.DUMMYFUNCTION("""COMPUTED_VALUE"""),1084254098)</f>
        <v>1084254098</v>
      </c>
      <c r="F36" s="40">
        <f ca="1">IFERROR(__xludf.DUMMYFUNCTION("""COMPUTED_VALUE"""),1853739)</f>
        <v>1853739</v>
      </c>
      <c r="G36" s="40" t="str">
        <f ca="1">IFERROR(__xludf.DUMMYFUNCTION("""COMPUTED_VALUE"""),"TÉCNICO")</f>
        <v>TÉCNICO</v>
      </c>
      <c r="H36" s="40" t="str">
        <f ca="1">IFERROR(__xludf.DUMMYFUNCTION("""COMPUTED_VALUE"""),"SISTEMAS")</f>
        <v>SISTEMAS</v>
      </c>
      <c r="I36" s="40"/>
      <c r="J36" s="40"/>
      <c r="K36" s="40"/>
      <c r="L36" s="40" t="str">
        <f ca="1">IFERROR(__xludf.DUMMYFUNCTION("""COMPUTED_VALUE"""),"NO HA INICIADO ETAPA PRODUCTIVA")</f>
        <v>NO HA INICIADO ETAPA PRODUCTIVA</v>
      </c>
      <c r="M36" s="40"/>
      <c r="N36" s="40"/>
      <c r="O36" s="40"/>
      <c r="P36" s="40"/>
      <c r="Q36" s="40"/>
      <c r="R36" s="140"/>
      <c r="S36" s="140"/>
      <c r="T36" s="40"/>
      <c r="U36" s="40"/>
      <c r="V36" s="40"/>
      <c r="W36" s="40"/>
      <c r="X36" s="40"/>
      <c r="Y36" s="40"/>
      <c r="Z36" s="40"/>
      <c r="AA36" s="40" t="str">
        <f ca="1">IFERROR(__xludf.DUMMYFUNCTION("""COMPUTED_VALUE"""),"Revisado 15/06/2022")</f>
        <v>Revisado 15/06/2022</v>
      </c>
      <c r="AB36" s="40"/>
      <c r="AC36" s="40"/>
      <c r="AD36" s="40"/>
      <c r="AE36" s="40"/>
      <c r="AF36" s="40"/>
      <c r="AG36" s="40"/>
      <c r="AH36" s="40"/>
      <c r="AI36" s="40"/>
      <c r="AJ36" s="40"/>
      <c r="AK36" s="40"/>
      <c r="AL36" s="40"/>
      <c r="AM36" s="40"/>
      <c r="AN36" s="40"/>
      <c r="AO36" s="40"/>
      <c r="AP36" s="40"/>
      <c r="AQ36" s="40"/>
      <c r="AR36" s="40"/>
      <c r="AS36" s="40"/>
      <c r="AT36" s="40"/>
      <c r="AU36" s="40" t="str">
        <f ca="1">IFERROR(__xludf.DUMMYFUNCTION("""COMPUTED_VALUE"""),"Procede_E_P")</f>
        <v>Procede_E_P</v>
      </c>
      <c r="AV36" s="40" t="str">
        <f ca="1">IFERROR(__xludf.DUMMYFUNCTION("""COMPUTED_VALUE"""),"EN FORMACION")</f>
        <v>EN FORMACION</v>
      </c>
      <c r="AW36" s="40" t="str">
        <f ca="1">IFERROR(__xludf.DUMMYFUNCTION("""COMPUTED_VALUE"""),"TIC")</f>
        <v>TIC</v>
      </c>
      <c r="AX36" s="141">
        <f ca="1">IFERROR(__xludf.DUMMYFUNCTION("""COMPUTED_VALUE"""),44848)</f>
        <v>44848</v>
      </c>
      <c r="AY36" s="40">
        <f ca="1">IFERROR(__xludf.DUMMYFUNCTION("""COMPUTED_VALUE"""),0)</f>
        <v>0</v>
      </c>
      <c r="AZ36" s="40">
        <f ca="1">IFERROR(__xludf.DUMMYFUNCTION("""COMPUTED_VALUE"""),1)</f>
        <v>1</v>
      </c>
      <c r="BA36" s="40">
        <f ca="1">IFERROR(__xludf.DUMMYFUNCTION("""COMPUTED_VALUE"""),0)</f>
        <v>0</v>
      </c>
      <c r="BB36" s="40">
        <f ca="1">IFERROR(__xludf.DUMMYFUNCTION("""COMPUTED_VALUE"""),0)</f>
        <v>0</v>
      </c>
      <c r="BC36" s="40">
        <f ca="1">IFERROR(__xludf.DUMMYFUNCTION("""COMPUTED_VALUE"""),1)</f>
        <v>1</v>
      </c>
      <c r="BD36" s="141">
        <f ca="1">IFERROR(__xludf.DUMMYFUNCTION("""COMPUTED_VALUE"""),43531)</f>
        <v>43531</v>
      </c>
      <c r="BE36" s="141">
        <f ca="1">IFERROR(__xludf.DUMMYFUNCTION("""COMPUTED_VALUE"""),43715)</f>
        <v>43715</v>
      </c>
      <c r="BF36" s="141">
        <f ca="1">IFERROR(__xludf.DUMMYFUNCTION("""COMPUTED_VALUE"""),43897)</f>
        <v>43897</v>
      </c>
      <c r="BG36" s="141">
        <f ca="1">IFERROR(__xludf.DUMMYFUNCTION("""COMPUTED_VALUE"""),44446)</f>
        <v>44446</v>
      </c>
      <c r="BH36" s="40" t="str">
        <f ca="1">IFERROR(__xludf.DUMMYFUNCTION("""COMPUTED_VALUE"""),"FINALIZAR FICHA")</f>
        <v>FINALIZAR FICHA</v>
      </c>
      <c r="BI36" s="40" t="str">
        <f ca="1">IFERROR(__xludf.DUMMYFUNCTION("""COMPUTED_VALUE"""),"Terminada por Fecha     ")</f>
        <v xml:space="preserve">Terminada por Fecha     </v>
      </c>
      <c r="BJ36" s="40" t="str">
        <f ca="1">IFERROR(__xludf.DUMMYFUNCTION("""COMPUTED_VALUE"""),"Yamboro")</f>
        <v>Yamboro</v>
      </c>
      <c r="BK36" s="40"/>
      <c r="BL36" s="40"/>
    </row>
    <row r="37" spans="1:64" ht="13">
      <c r="A37" s="40"/>
      <c r="B37" s="40" t="str">
        <f ca="1">IFERROR(__xludf.DUMMYFUNCTION("""COMPUTED_VALUE"""),"FORMACION.. Revisado 06/05/2022")</f>
        <v>FORMACION.. Revisado 06/05/2022</v>
      </c>
      <c r="C37" s="40" t="str">
        <f ca="1">IFERROR(__xludf.DUMMYFUNCTION("""COMPUTED_VALUE"""),"OLGA LUCIA GARCIA IMBACHI")</f>
        <v>OLGA LUCIA GARCIA IMBACHI</v>
      </c>
      <c r="D37" s="40" t="str">
        <f ca="1">IFERROR(__xludf.DUMMYFUNCTION("""COMPUTED_VALUE"""),"CC")</f>
        <v>CC</v>
      </c>
      <c r="E37" s="40">
        <f ca="1">IFERROR(__xludf.DUMMYFUNCTION("""COMPUTED_VALUE"""),1084255393)</f>
        <v>1084255393</v>
      </c>
      <c r="F37" s="40">
        <f ca="1">IFERROR(__xludf.DUMMYFUNCTION("""COMPUTED_VALUE"""),1853739)</f>
        <v>1853739</v>
      </c>
      <c r="G37" s="40" t="str">
        <f ca="1">IFERROR(__xludf.DUMMYFUNCTION("""COMPUTED_VALUE"""),"TÉCNICO")</f>
        <v>TÉCNICO</v>
      </c>
      <c r="H37" s="40" t="str">
        <f ca="1">IFERROR(__xludf.DUMMYFUNCTION("""COMPUTED_VALUE"""),"SISTEMAS")</f>
        <v>SISTEMAS</v>
      </c>
      <c r="I37" s="40"/>
      <c r="J37" s="40"/>
      <c r="K37" s="40"/>
      <c r="L37" s="40" t="str">
        <f ca="1">IFERROR(__xludf.DUMMYFUNCTION("""COMPUTED_VALUE"""),"NO HA INICIADO ETAPA PRODUCTIVA")</f>
        <v>NO HA INICIADO ETAPA PRODUCTIVA</v>
      </c>
      <c r="M37" s="40"/>
      <c r="N37" s="40"/>
      <c r="O37" s="40"/>
      <c r="P37" s="40"/>
      <c r="Q37" s="40"/>
      <c r="R37" s="140"/>
      <c r="S37" s="140"/>
      <c r="T37" s="40"/>
      <c r="U37" s="40"/>
      <c r="V37" s="40"/>
      <c r="W37" s="40"/>
      <c r="X37" s="40"/>
      <c r="Y37" s="40"/>
      <c r="Z37" s="40"/>
      <c r="AA37" s="40" t="str">
        <f ca="1">IFERROR(__xludf.DUMMYFUNCTION("""COMPUTED_VALUE"""),"Revisado 15/06/2022")</f>
        <v>Revisado 15/06/2022</v>
      </c>
      <c r="AB37" s="40"/>
      <c r="AC37" s="40"/>
      <c r="AD37" s="40"/>
      <c r="AE37" s="40"/>
      <c r="AF37" s="40"/>
      <c r="AG37" s="40"/>
      <c r="AH37" s="40"/>
      <c r="AI37" s="40"/>
      <c r="AJ37" s="40"/>
      <c r="AK37" s="40"/>
      <c r="AL37" s="40"/>
      <c r="AM37" s="40"/>
      <c r="AN37" s="40"/>
      <c r="AO37" s="40"/>
      <c r="AP37" s="40"/>
      <c r="AQ37" s="40"/>
      <c r="AR37" s="40"/>
      <c r="AS37" s="40"/>
      <c r="AT37" s="40"/>
      <c r="AU37" s="40" t="str">
        <f ca="1">IFERROR(__xludf.DUMMYFUNCTION("""COMPUTED_VALUE"""),"Procede_E_P")</f>
        <v>Procede_E_P</v>
      </c>
      <c r="AV37" s="40" t="str">
        <f ca="1">IFERROR(__xludf.DUMMYFUNCTION("""COMPUTED_VALUE"""),"EN FORMACION")</f>
        <v>EN FORMACION</v>
      </c>
      <c r="AW37" s="40" t="str">
        <f ca="1">IFERROR(__xludf.DUMMYFUNCTION("""COMPUTED_VALUE"""),"TIC")</f>
        <v>TIC</v>
      </c>
      <c r="AX37" s="141">
        <f ca="1">IFERROR(__xludf.DUMMYFUNCTION("""COMPUTED_VALUE"""),44848)</f>
        <v>44848</v>
      </c>
      <c r="AY37" s="40">
        <f ca="1">IFERROR(__xludf.DUMMYFUNCTION("""COMPUTED_VALUE"""),0)</f>
        <v>0</v>
      </c>
      <c r="AZ37" s="40">
        <f ca="1">IFERROR(__xludf.DUMMYFUNCTION("""COMPUTED_VALUE"""),1)</f>
        <v>1</v>
      </c>
      <c r="BA37" s="40">
        <f ca="1">IFERROR(__xludf.DUMMYFUNCTION("""COMPUTED_VALUE"""),0)</f>
        <v>0</v>
      </c>
      <c r="BB37" s="40">
        <f ca="1">IFERROR(__xludf.DUMMYFUNCTION("""COMPUTED_VALUE"""),0)</f>
        <v>0</v>
      </c>
      <c r="BC37" s="40">
        <f ca="1">IFERROR(__xludf.DUMMYFUNCTION("""COMPUTED_VALUE"""),1)</f>
        <v>1</v>
      </c>
      <c r="BD37" s="141">
        <f ca="1">IFERROR(__xludf.DUMMYFUNCTION("""COMPUTED_VALUE"""),43531)</f>
        <v>43531</v>
      </c>
      <c r="BE37" s="141">
        <f ca="1">IFERROR(__xludf.DUMMYFUNCTION("""COMPUTED_VALUE"""),43715)</f>
        <v>43715</v>
      </c>
      <c r="BF37" s="141">
        <f ca="1">IFERROR(__xludf.DUMMYFUNCTION("""COMPUTED_VALUE"""),43897)</f>
        <v>43897</v>
      </c>
      <c r="BG37" s="141">
        <f ca="1">IFERROR(__xludf.DUMMYFUNCTION("""COMPUTED_VALUE"""),44446)</f>
        <v>44446</v>
      </c>
      <c r="BH37" s="40" t="str">
        <f ca="1">IFERROR(__xludf.DUMMYFUNCTION("""COMPUTED_VALUE"""),"FINALIZAR FICHA")</f>
        <v>FINALIZAR FICHA</v>
      </c>
      <c r="BI37" s="40" t="str">
        <f ca="1">IFERROR(__xludf.DUMMYFUNCTION("""COMPUTED_VALUE"""),"Terminada por Fecha     ")</f>
        <v xml:space="preserve">Terminada por Fecha     </v>
      </c>
      <c r="BJ37" s="40" t="str">
        <f ca="1">IFERROR(__xludf.DUMMYFUNCTION("""COMPUTED_VALUE"""),"Yamboro")</f>
        <v>Yamboro</v>
      </c>
      <c r="BK37" s="40"/>
      <c r="BL37" s="40"/>
    </row>
    <row r="38" spans="1:64" ht="13">
      <c r="A38" s="40"/>
      <c r="B38" s="40" t="str">
        <f ca="1">IFERROR(__xludf.DUMMYFUNCTION("""COMPUTED_VALUE"""),"FORMACION.. Revisado 06/05/2022")</f>
        <v>FORMACION.. Revisado 06/05/2022</v>
      </c>
      <c r="C38" s="40" t="str">
        <f ca="1">IFERROR(__xludf.DUMMYFUNCTION("""COMPUTED_VALUE"""),"KELLY JHOANNA MUÑOZ ZUÑIGA")</f>
        <v>KELLY JHOANNA MUÑOZ ZUÑIGA</v>
      </c>
      <c r="D38" s="40" t="str">
        <f ca="1">IFERROR(__xludf.DUMMYFUNCTION("""COMPUTED_VALUE"""),"CC")</f>
        <v>CC</v>
      </c>
      <c r="E38" s="40">
        <f ca="1">IFERROR(__xludf.DUMMYFUNCTION("""COMPUTED_VALUE"""),1084257415)</f>
        <v>1084257415</v>
      </c>
      <c r="F38" s="40">
        <f ca="1">IFERROR(__xludf.DUMMYFUNCTION("""COMPUTED_VALUE"""),1853739)</f>
        <v>1853739</v>
      </c>
      <c r="G38" s="40" t="str">
        <f ca="1">IFERROR(__xludf.DUMMYFUNCTION("""COMPUTED_VALUE"""),"TÉCNICO")</f>
        <v>TÉCNICO</v>
      </c>
      <c r="H38" s="40" t="str">
        <f ca="1">IFERROR(__xludf.DUMMYFUNCTION("""COMPUTED_VALUE"""),"SISTEMAS")</f>
        <v>SISTEMAS</v>
      </c>
      <c r="I38" s="40"/>
      <c r="J38" s="40" t="str">
        <f ca="1">IFERROR(__xludf.DUMMYFUNCTION("""COMPUTED_VALUE"""),"munozkelly814@gmail.com")</f>
        <v>munozkelly814@gmail.com</v>
      </c>
      <c r="K38" s="40"/>
      <c r="L38" s="40" t="str">
        <f ca="1">IFERROR(__xludf.DUMMYFUNCTION("""COMPUTED_VALUE"""),"NO HA INICIADO ETAPA PRODUCTIVA")</f>
        <v>NO HA INICIADO ETAPA PRODUCTIVA</v>
      </c>
      <c r="M38" s="40"/>
      <c r="N38" s="40"/>
      <c r="O38" s="40"/>
      <c r="P38" s="40"/>
      <c r="Q38" s="40"/>
      <c r="R38" s="140"/>
      <c r="S38" s="140"/>
      <c r="T38" s="40"/>
      <c r="U38" s="40"/>
      <c r="V38" s="40"/>
      <c r="W38" s="40"/>
      <c r="X38" s="40"/>
      <c r="Y38" s="40"/>
      <c r="Z38" s="40"/>
      <c r="AA38" s="40" t="str">
        <f ca="1">IFERROR(__xludf.DUMMYFUNCTION("""COMPUTED_VALUE"""),"Revisado 15/06/2022")</f>
        <v>Revisado 15/06/2022</v>
      </c>
      <c r="AB38" s="40"/>
      <c r="AC38" s="40"/>
      <c r="AD38" s="40"/>
      <c r="AE38" s="40"/>
      <c r="AF38" s="40"/>
      <c r="AG38" s="40"/>
      <c r="AH38" s="40"/>
      <c r="AI38" s="40"/>
      <c r="AJ38" s="40"/>
      <c r="AK38" s="40"/>
      <c r="AL38" s="40"/>
      <c r="AM38" s="40"/>
      <c r="AN38" s="40"/>
      <c r="AO38" s="40"/>
      <c r="AP38" s="40"/>
      <c r="AQ38" s="40"/>
      <c r="AR38" s="40"/>
      <c r="AS38" s="40"/>
      <c r="AT38" s="40"/>
      <c r="AU38" s="40" t="str">
        <f ca="1">IFERROR(__xludf.DUMMYFUNCTION("""COMPUTED_VALUE"""),"Procede_E_P")</f>
        <v>Procede_E_P</v>
      </c>
      <c r="AV38" s="40" t="str">
        <f ca="1">IFERROR(__xludf.DUMMYFUNCTION("""COMPUTED_VALUE"""),"EN FORMACION")</f>
        <v>EN FORMACION</v>
      </c>
      <c r="AW38" s="40" t="str">
        <f ca="1">IFERROR(__xludf.DUMMYFUNCTION("""COMPUTED_VALUE"""),"TIC")</f>
        <v>TIC</v>
      </c>
      <c r="AX38" s="141">
        <f ca="1">IFERROR(__xludf.DUMMYFUNCTION("""COMPUTED_VALUE"""),44848)</f>
        <v>44848</v>
      </c>
      <c r="AY38" s="40">
        <f ca="1">IFERROR(__xludf.DUMMYFUNCTION("""COMPUTED_VALUE"""),0)</f>
        <v>0</v>
      </c>
      <c r="AZ38" s="40">
        <f ca="1">IFERROR(__xludf.DUMMYFUNCTION("""COMPUTED_VALUE"""),1)</f>
        <v>1</v>
      </c>
      <c r="BA38" s="40">
        <f ca="1">IFERROR(__xludf.DUMMYFUNCTION("""COMPUTED_VALUE"""),0)</f>
        <v>0</v>
      </c>
      <c r="BB38" s="40">
        <f ca="1">IFERROR(__xludf.DUMMYFUNCTION("""COMPUTED_VALUE"""),0)</f>
        <v>0</v>
      </c>
      <c r="BC38" s="40">
        <f ca="1">IFERROR(__xludf.DUMMYFUNCTION("""COMPUTED_VALUE"""),1)</f>
        <v>1</v>
      </c>
      <c r="BD38" s="141">
        <f ca="1">IFERROR(__xludf.DUMMYFUNCTION("""COMPUTED_VALUE"""),43531)</f>
        <v>43531</v>
      </c>
      <c r="BE38" s="141">
        <f ca="1">IFERROR(__xludf.DUMMYFUNCTION("""COMPUTED_VALUE"""),43715)</f>
        <v>43715</v>
      </c>
      <c r="BF38" s="141">
        <f ca="1">IFERROR(__xludf.DUMMYFUNCTION("""COMPUTED_VALUE"""),43897)</f>
        <v>43897</v>
      </c>
      <c r="BG38" s="141">
        <f ca="1">IFERROR(__xludf.DUMMYFUNCTION("""COMPUTED_VALUE"""),44446)</f>
        <v>44446</v>
      </c>
      <c r="BH38" s="40" t="str">
        <f ca="1">IFERROR(__xludf.DUMMYFUNCTION("""COMPUTED_VALUE"""),"FINALIZAR FICHA")</f>
        <v>FINALIZAR FICHA</v>
      </c>
      <c r="BI38" s="40" t="str">
        <f ca="1">IFERROR(__xludf.DUMMYFUNCTION("""COMPUTED_VALUE"""),"Terminada por Fecha     ")</f>
        <v xml:space="preserve">Terminada por Fecha     </v>
      </c>
      <c r="BJ38" s="40" t="str">
        <f ca="1">IFERROR(__xludf.DUMMYFUNCTION("""COMPUTED_VALUE"""),"Yamboro")</f>
        <v>Yamboro</v>
      </c>
      <c r="BK38" s="40"/>
      <c r="BL38" s="40"/>
    </row>
    <row r="39" spans="1:64" ht="13">
      <c r="A39" s="40"/>
      <c r="B39" s="40" t="str">
        <f ca="1">IFERROR(__xludf.DUMMYFUNCTION("""COMPUTED_VALUE"""),"FORMACION.. Revisado 06/05/2022")</f>
        <v>FORMACION.. Revisado 06/05/2022</v>
      </c>
      <c r="C39" s="40" t="str">
        <f ca="1">IFERROR(__xludf.DUMMYFUNCTION("""COMPUTED_VALUE"""),"LEIDI MARCELA MUÑOZ ZUÑIGA")</f>
        <v>LEIDI MARCELA MUÑOZ ZUÑIGA</v>
      </c>
      <c r="D39" s="40" t="str">
        <f ca="1">IFERROR(__xludf.DUMMYFUNCTION("""COMPUTED_VALUE"""),"CC")</f>
        <v>CC</v>
      </c>
      <c r="E39" s="40">
        <f ca="1">IFERROR(__xludf.DUMMYFUNCTION("""COMPUTED_VALUE"""),1084258809)</f>
        <v>1084258809</v>
      </c>
      <c r="F39" s="40">
        <f ca="1">IFERROR(__xludf.DUMMYFUNCTION("""COMPUTED_VALUE"""),1853739)</f>
        <v>1853739</v>
      </c>
      <c r="G39" s="40" t="str">
        <f ca="1">IFERROR(__xludf.DUMMYFUNCTION("""COMPUTED_VALUE"""),"TÉCNICO")</f>
        <v>TÉCNICO</v>
      </c>
      <c r="H39" s="40" t="str">
        <f ca="1">IFERROR(__xludf.DUMMYFUNCTION("""COMPUTED_VALUE"""),"SISTEMAS")</f>
        <v>SISTEMAS</v>
      </c>
      <c r="I39" s="40">
        <f ca="1">IFERROR(__xludf.DUMMYFUNCTION("""COMPUTED_VALUE"""),3126683198)</f>
        <v>3126683198</v>
      </c>
      <c r="J39" s="40" t="str">
        <f ca="1">IFERROR(__xludf.DUMMYFUNCTION("""COMPUTED_VALUE"""),"lmmunoz908@misena.edu.co")</f>
        <v>lmmunoz908@misena.edu.co</v>
      </c>
      <c r="K39" s="40"/>
      <c r="L39" s="40" t="str">
        <f ca="1">IFERROR(__xludf.DUMMYFUNCTION("""COMPUTED_VALUE"""),"NO HA INICIADO ETAPA PRODUCTIVA")</f>
        <v>NO HA INICIADO ETAPA PRODUCTIVA</v>
      </c>
      <c r="M39" s="40"/>
      <c r="N39" s="40"/>
      <c r="O39" s="40"/>
      <c r="P39" s="40"/>
      <c r="Q39" s="40"/>
      <c r="R39" s="140"/>
      <c r="S39" s="140"/>
      <c r="T39" s="40"/>
      <c r="U39" s="40"/>
      <c r="V39" s="40"/>
      <c r="W39" s="40"/>
      <c r="X39" s="40"/>
      <c r="Y39" s="40"/>
      <c r="Z39" s="40"/>
      <c r="AA39" s="40" t="str">
        <f ca="1">IFERROR(__xludf.DUMMYFUNCTION("""COMPUTED_VALUE"""),"Revisado 15/06/2022")</f>
        <v>Revisado 15/06/2022</v>
      </c>
      <c r="AB39" s="40"/>
      <c r="AC39" s="40"/>
      <c r="AD39" s="40"/>
      <c r="AE39" s="40"/>
      <c r="AF39" s="40"/>
      <c r="AG39" s="40"/>
      <c r="AH39" s="40"/>
      <c r="AI39" s="40"/>
      <c r="AJ39" s="40"/>
      <c r="AK39" s="40"/>
      <c r="AL39" s="40"/>
      <c r="AM39" s="40"/>
      <c r="AN39" s="40"/>
      <c r="AO39" s="40"/>
      <c r="AP39" s="40"/>
      <c r="AQ39" s="40"/>
      <c r="AR39" s="40"/>
      <c r="AS39" s="40"/>
      <c r="AT39" s="40"/>
      <c r="AU39" s="40" t="str">
        <f ca="1">IFERROR(__xludf.DUMMYFUNCTION("""COMPUTED_VALUE"""),"Procede_E_P")</f>
        <v>Procede_E_P</v>
      </c>
      <c r="AV39" s="40" t="str">
        <f ca="1">IFERROR(__xludf.DUMMYFUNCTION("""COMPUTED_VALUE"""),"EN FORMACION")</f>
        <v>EN FORMACION</v>
      </c>
      <c r="AW39" s="40" t="str">
        <f ca="1">IFERROR(__xludf.DUMMYFUNCTION("""COMPUTED_VALUE"""),"TIC")</f>
        <v>TIC</v>
      </c>
      <c r="AX39" s="141">
        <f ca="1">IFERROR(__xludf.DUMMYFUNCTION("""COMPUTED_VALUE"""),44848)</f>
        <v>44848</v>
      </c>
      <c r="AY39" s="40">
        <f ca="1">IFERROR(__xludf.DUMMYFUNCTION("""COMPUTED_VALUE"""),0)</f>
        <v>0</v>
      </c>
      <c r="AZ39" s="40">
        <f ca="1">IFERROR(__xludf.DUMMYFUNCTION("""COMPUTED_VALUE"""),1)</f>
        <v>1</v>
      </c>
      <c r="BA39" s="40">
        <f ca="1">IFERROR(__xludf.DUMMYFUNCTION("""COMPUTED_VALUE"""),0)</f>
        <v>0</v>
      </c>
      <c r="BB39" s="40">
        <f ca="1">IFERROR(__xludf.DUMMYFUNCTION("""COMPUTED_VALUE"""),0)</f>
        <v>0</v>
      </c>
      <c r="BC39" s="40">
        <f ca="1">IFERROR(__xludf.DUMMYFUNCTION("""COMPUTED_VALUE"""),1)</f>
        <v>1</v>
      </c>
      <c r="BD39" s="141">
        <f ca="1">IFERROR(__xludf.DUMMYFUNCTION("""COMPUTED_VALUE"""),43531)</f>
        <v>43531</v>
      </c>
      <c r="BE39" s="141">
        <f ca="1">IFERROR(__xludf.DUMMYFUNCTION("""COMPUTED_VALUE"""),43715)</f>
        <v>43715</v>
      </c>
      <c r="BF39" s="141">
        <f ca="1">IFERROR(__xludf.DUMMYFUNCTION("""COMPUTED_VALUE"""),43897)</f>
        <v>43897</v>
      </c>
      <c r="BG39" s="141">
        <f ca="1">IFERROR(__xludf.DUMMYFUNCTION("""COMPUTED_VALUE"""),44446)</f>
        <v>44446</v>
      </c>
      <c r="BH39" s="40" t="str">
        <f ca="1">IFERROR(__xludf.DUMMYFUNCTION("""COMPUTED_VALUE"""),"FINALIZAR FICHA")</f>
        <v>FINALIZAR FICHA</v>
      </c>
      <c r="BI39" s="40" t="str">
        <f ca="1">IFERROR(__xludf.DUMMYFUNCTION("""COMPUTED_VALUE"""),"Terminada por Fecha     ")</f>
        <v xml:space="preserve">Terminada por Fecha     </v>
      </c>
      <c r="BJ39" s="40" t="str">
        <f ca="1">IFERROR(__xludf.DUMMYFUNCTION("""COMPUTED_VALUE"""),"Yamboro")</f>
        <v>Yamboro</v>
      </c>
      <c r="BK39" s="40"/>
      <c r="BL39" s="40"/>
    </row>
    <row r="40" spans="1:64" ht="13">
      <c r="A40" s="40"/>
      <c r="B40" s="40" t="str">
        <f ca="1">IFERROR(__xludf.DUMMYFUNCTION("""COMPUTED_VALUE"""),"FORMACION.. Revisado 06/05/2022")</f>
        <v>FORMACION.. Revisado 06/05/2022</v>
      </c>
      <c r="C40" s="40" t="str">
        <f ca="1">IFERROR(__xludf.DUMMYFUNCTION("""COMPUTED_VALUE"""),"YUDY ANDREA GARCIA IMBACHI")</f>
        <v>YUDY ANDREA GARCIA IMBACHI</v>
      </c>
      <c r="D40" s="40" t="str">
        <f ca="1">IFERROR(__xludf.DUMMYFUNCTION("""COMPUTED_VALUE"""),"CC")</f>
        <v>CC</v>
      </c>
      <c r="E40" s="40">
        <f ca="1">IFERROR(__xludf.DUMMYFUNCTION("""COMPUTED_VALUE"""),1084259110)</f>
        <v>1084259110</v>
      </c>
      <c r="F40" s="40">
        <f ca="1">IFERROR(__xludf.DUMMYFUNCTION("""COMPUTED_VALUE"""),1853739)</f>
        <v>1853739</v>
      </c>
      <c r="G40" s="40" t="str">
        <f ca="1">IFERROR(__xludf.DUMMYFUNCTION("""COMPUTED_VALUE"""),"TÉCNICO")</f>
        <v>TÉCNICO</v>
      </c>
      <c r="H40" s="40" t="str">
        <f ca="1">IFERROR(__xludf.DUMMYFUNCTION("""COMPUTED_VALUE"""),"SISTEMAS")</f>
        <v>SISTEMAS</v>
      </c>
      <c r="I40" s="40"/>
      <c r="J40" s="40"/>
      <c r="K40" s="40"/>
      <c r="L40" s="40" t="str">
        <f ca="1">IFERROR(__xludf.DUMMYFUNCTION("""COMPUTED_VALUE"""),"NO HA INICIADO ETAPA PRODUCTIVA")</f>
        <v>NO HA INICIADO ETAPA PRODUCTIVA</v>
      </c>
      <c r="M40" s="40"/>
      <c r="N40" s="40"/>
      <c r="O40" s="40"/>
      <c r="P40" s="40"/>
      <c r="Q40" s="40"/>
      <c r="R40" s="140"/>
      <c r="S40" s="140"/>
      <c r="T40" s="40"/>
      <c r="U40" s="40"/>
      <c r="V40" s="40"/>
      <c r="W40" s="40"/>
      <c r="X40" s="40"/>
      <c r="Y40" s="40"/>
      <c r="Z40" s="40"/>
      <c r="AA40" s="40" t="str">
        <f ca="1">IFERROR(__xludf.DUMMYFUNCTION("""COMPUTED_VALUE"""),"Revisado 15/06/2022")</f>
        <v>Revisado 15/06/2022</v>
      </c>
      <c r="AB40" s="40"/>
      <c r="AC40" s="40"/>
      <c r="AD40" s="40"/>
      <c r="AE40" s="40"/>
      <c r="AF40" s="40"/>
      <c r="AG40" s="40"/>
      <c r="AH40" s="40"/>
      <c r="AI40" s="40"/>
      <c r="AJ40" s="40"/>
      <c r="AK40" s="40"/>
      <c r="AL40" s="40"/>
      <c r="AM40" s="40"/>
      <c r="AN40" s="40"/>
      <c r="AO40" s="40"/>
      <c r="AP40" s="40"/>
      <c r="AQ40" s="40"/>
      <c r="AR40" s="40"/>
      <c r="AS40" s="40"/>
      <c r="AT40" s="40"/>
      <c r="AU40" s="40" t="str">
        <f ca="1">IFERROR(__xludf.DUMMYFUNCTION("""COMPUTED_VALUE"""),"Procede_E_P")</f>
        <v>Procede_E_P</v>
      </c>
      <c r="AV40" s="40" t="str">
        <f ca="1">IFERROR(__xludf.DUMMYFUNCTION("""COMPUTED_VALUE"""),"EN FORMACION")</f>
        <v>EN FORMACION</v>
      </c>
      <c r="AW40" s="40" t="str">
        <f ca="1">IFERROR(__xludf.DUMMYFUNCTION("""COMPUTED_VALUE"""),"TIC")</f>
        <v>TIC</v>
      </c>
      <c r="AX40" s="141">
        <f ca="1">IFERROR(__xludf.DUMMYFUNCTION("""COMPUTED_VALUE"""),44848)</f>
        <v>44848</v>
      </c>
      <c r="AY40" s="40">
        <f ca="1">IFERROR(__xludf.DUMMYFUNCTION("""COMPUTED_VALUE"""),0)</f>
        <v>0</v>
      </c>
      <c r="AZ40" s="40">
        <f ca="1">IFERROR(__xludf.DUMMYFUNCTION("""COMPUTED_VALUE"""),1)</f>
        <v>1</v>
      </c>
      <c r="BA40" s="40">
        <f ca="1">IFERROR(__xludf.DUMMYFUNCTION("""COMPUTED_VALUE"""),0)</f>
        <v>0</v>
      </c>
      <c r="BB40" s="40">
        <f ca="1">IFERROR(__xludf.DUMMYFUNCTION("""COMPUTED_VALUE"""),0)</f>
        <v>0</v>
      </c>
      <c r="BC40" s="40">
        <f ca="1">IFERROR(__xludf.DUMMYFUNCTION("""COMPUTED_VALUE"""),1)</f>
        <v>1</v>
      </c>
      <c r="BD40" s="141">
        <f ca="1">IFERROR(__xludf.DUMMYFUNCTION("""COMPUTED_VALUE"""),43531)</f>
        <v>43531</v>
      </c>
      <c r="BE40" s="141">
        <f ca="1">IFERROR(__xludf.DUMMYFUNCTION("""COMPUTED_VALUE"""),43715)</f>
        <v>43715</v>
      </c>
      <c r="BF40" s="141">
        <f ca="1">IFERROR(__xludf.DUMMYFUNCTION("""COMPUTED_VALUE"""),43897)</f>
        <v>43897</v>
      </c>
      <c r="BG40" s="141">
        <f ca="1">IFERROR(__xludf.DUMMYFUNCTION("""COMPUTED_VALUE"""),44446)</f>
        <v>44446</v>
      </c>
      <c r="BH40" s="40" t="str">
        <f ca="1">IFERROR(__xludf.DUMMYFUNCTION("""COMPUTED_VALUE"""),"FINALIZAR FICHA")</f>
        <v>FINALIZAR FICHA</v>
      </c>
      <c r="BI40" s="40" t="str">
        <f ca="1">IFERROR(__xludf.DUMMYFUNCTION("""COMPUTED_VALUE"""),"Terminada por Fecha     ")</f>
        <v xml:space="preserve">Terminada por Fecha     </v>
      </c>
      <c r="BJ40" s="40" t="str">
        <f ca="1">IFERROR(__xludf.DUMMYFUNCTION("""COMPUTED_VALUE"""),"Yamboro")</f>
        <v>Yamboro</v>
      </c>
      <c r="BK40" s="40"/>
      <c r="BL40" s="40"/>
    </row>
    <row r="41" spans="1:64" ht="13">
      <c r="A41" s="40"/>
      <c r="B41" s="40" t="str">
        <f ca="1">IFERROR(__xludf.DUMMYFUNCTION("""COMPUTED_VALUE"""),"FORMACION.. Revisado 06/05/2022")</f>
        <v>FORMACION.. Revisado 06/05/2022</v>
      </c>
      <c r="C41" s="40" t="str">
        <f ca="1">IFERROR(__xludf.DUMMYFUNCTION("""COMPUTED_VALUE"""),"TATIANA VALENTINA OME PORTILLA
")</f>
        <v xml:space="preserve">TATIANA VALENTINA OME PORTILLA
</v>
      </c>
      <c r="D41" s="40" t="str">
        <f ca="1">IFERROR(__xludf.DUMMYFUNCTION("""COMPUTED_VALUE"""),"CC")</f>
        <v>CC</v>
      </c>
      <c r="E41" s="40">
        <f ca="1">IFERROR(__xludf.DUMMYFUNCTION("""COMPUTED_VALUE"""),1000776318)</f>
        <v>1000776318</v>
      </c>
      <c r="F41" s="40">
        <f ca="1">IFERROR(__xludf.DUMMYFUNCTION("""COMPUTED_VALUE"""),1856678)</f>
        <v>1856678</v>
      </c>
      <c r="G41" s="40" t="str">
        <f ca="1">IFERROR(__xludf.DUMMYFUNCTION("""COMPUTED_VALUE"""),"TÉCNICO")</f>
        <v>TÉCNICO</v>
      </c>
      <c r="H41" s="40" t="str">
        <f ca="1">IFERROR(__xludf.DUMMYFUNCTION("""COMPUTED_VALUE"""),"SISTEMAS")</f>
        <v>SISTEMAS</v>
      </c>
      <c r="I41" s="40"/>
      <c r="J41" s="40"/>
      <c r="K41" s="40"/>
      <c r="L41" s="40" t="str">
        <f ca="1">IFERROR(__xludf.DUMMYFUNCTION("""COMPUTED_VALUE"""),"NO HA INICIADO ETAPA PRODUCTIVA")</f>
        <v>NO HA INICIADO ETAPA PRODUCTIVA</v>
      </c>
      <c r="M41" s="40"/>
      <c r="N41" s="40"/>
      <c r="O41" s="40"/>
      <c r="P41" s="40"/>
      <c r="Q41" s="40"/>
      <c r="R41" s="140"/>
      <c r="S41" s="140"/>
      <c r="T41" s="40"/>
      <c r="U41" s="40"/>
      <c r="V41" s="40"/>
      <c r="W41" s="40"/>
      <c r="X41" s="40"/>
      <c r="Y41" s="40"/>
      <c r="Z41" s="40"/>
      <c r="AA41" s="40" t="str">
        <f ca="1">IFERROR(__xludf.DUMMYFUNCTION("""COMPUTED_VALUE"""),"Revisado 15/06/2022")</f>
        <v>Revisado 15/06/2022</v>
      </c>
      <c r="AB41" s="40"/>
      <c r="AC41" s="40"/>
      <c r="AD41" s="40"/>
      <c r="AE41" s="40"/>
      <c r="AF41" s="40"/>
      <c r="AG41" s="40"/>
      <c r="AH41" s="40"/>
      <c r="AI41" s="40"/>
      <c r="AJ41" s="40"/>
      <c r="AK41" s="40"/>
      <c r="AL41" s="40"/>
      <c r="AM41" s="40"/>
      <c r="AN41" s="40"/>
      <c r="AO41" s="40"/>
      <c r="AP41" s="40"/>
      <c r="AQ41" s="40"/>
      <c r="AR41" s="40"/>
      <c r="AS41" s="40"/>
      <c r="AT41" s="40"/>
      <c r="AU41" s="40" t="str">
        <f ca="1">IFERROR(__xludf.DUMMYFUNCTION("""COMPUTED_VALUE"""),"Procede_E_P")</f>
        <v>Procede_E_P</v>
      </c>
      <c r="AV41" s="40" t="str">
        <f ca="1">IFERROR(__xludf.DUMMYFUNCTION("""COMPUTED_VALUE"""),"EN FORMACION")</f>
        <v>EN FORMACION</v>
      </c>
      <c r="AW41" s="40" t="str">
        <f ca="1">IFERROR(__xludf.DUMMYFUNCTION("""COMPUTED_VALUE"""),"TIC")</f>
        <v>TIC</v>
      </c>
      <c r="AX41" s="141">
        <f ca="1">IFERROR(__xludf.DUMMYFUNCTION("""COMPUTED_VALUE"""),44848)</f>
        <v>44848</v>
      </c>
      <c r="AY41" s="40">
        <f ca="1">IFERROR(__xludf.DUMMYFUNCTION("""COMPUTED_VALUE"""),0)</f>
        <v>0</v>
      </c>
      <c r="AZ41" s="40">
        <f ca="1">IFERROR(__xludf.DUMMYFUNCTION("""COMPUTED_VALUE"""),1)</f>
        <v>1</v>
      </c>
      <c r="BA41" s="40">
        <f ca="1">IFERROR(__xludf.DUMMYFUNCTION("""COMPUTED_VALUE"""),0)</f>
        <v>0</v>
      </c>
      <c r="BB41" s="40">
        <f ca="1">IFERROR(__xludf.DUMMYFUNCTION("""COMPUTED_VALUE"""),0)</f>
        <v>0</v>
      </c>
      <c r="BC41" s="40">
        <f ca="1">IFERROR(__xludf.DUMMYFUNCTION("""COMPUTED_VALUE"""),1)</f>
        <v>1</v>
      </c>
      <c r="BD41" s="141">
        <f ca="1">IFERROR(__xludf.DUMMYFUNCTION("""COMPUTED_VALUE"""),43536)</f>
        <v>43536</v>
      </c>
      <c r="BE41" s="141">
        <f ca="1">IFERROR(__xludf.DUMMYFUNCTION("""COMPUTED_VALUE"""),43720)</f>
        <v>43720</v>
      </c>
      <c r="BF41" s="141">
        <f ca="1">IFERROR(__xludf.DUMMYFUNCTION("""COMPUTED_VALUE"""),43902)</f>
        <v>43902</v>
      </c>
      <c r="BG41" s="141">
        <f ca="1">IFERROR(__xludf.DUMMYFUNCTION("""COMPUTED_VALUE"""),44451)</f>
        <v>44451</v>
      </c>
      <c r="BH41" s="40" t="str">
        <f ca="1">IFERROR(__xludf.DUMMYFUNCTION("""COMPUTED_VALUE"""),"FINALIZAR FICHA")</f>
        <v>FINALIZAR FICHA</v>
      </c>
      <c r="BI41" s="40" t="str">
        <f ca="1">IFERROR(__xludf.DUMMYFUNCTION("""COMPUTED_VALUE"""),"Terminada por Fecha     ")</f>
        <v xml:space="preserve">Terminada por Fecha     </v>
      </c>
      <c r="BJ41" s="40" t="str">
        <f ca="1">IFERROR(__xludf.DUMMYFUNCTION("""COMPUTED_VALUE"""),"Yamboro")</f>
        <v>Yamboro</v>
      </c>
      <c r="BK41" s="40"/>
      <c r="BL41" s="40"/>
    </row>
    <row r="42" spans="1:64" ht="13">
      <c r="A42" s="40"/>
      <c r="B42" s="40" t="str">
        <f ca="1">IFERROR(__xludf.DUMMYFUNCTION("""COMPUTED_VALUE"""),"FORMACION.. Revisado 06/05/2022")</f>
        <v>FORMACION.. Revisado 06/05/2022</v>
      </c>
      <c r="C42" s="40" t="str">
        <f ca="1">IFERROR(__xludf.DUMMYFUNCTION("""COMPUTED_VALUE"""),"LUZ ADRIANA SAMBONI FIGUEROA")</f>
        <v>LUZ ADRIANA SAMBONI FIGUEROA</v>
      </c>
      <c r="D42" s="40" t="str">
        <f ca="1">IFERROR(__xludf.DUMMYFUNCTION("""COMPUTED_VALUE"""),"TI")</f>
        <v>TI</v>
      </c>
      <c r="E42" s="40">
        <f ca="1">IFERROR(__xludf.DUMMYFUNCTION("""COMPUTED_VALUE"""),1007163792)</f>
        <v>1007163792</v>
      </c>
      <c r="F42" s="40">
        <f ca="1">IFERROR(__xludf.DUMMYFUNCTION("""COMPUTED_VALUE"""),1856678)</f>
        <v>1856678</v>
      </c>
      <c r="G42" s="40" t="str">
        <f ca="1">IFERROR(__xludf.DUMMYFUNCTION("""COMPUTED_VALUE"""),"TÉCNICO")</f>
        <v>TÉCNICO</v>
      </c>
      <c r="H42" s="40" t="str">
        <f ca="1">IFERROR(__xludf.DUMMYFUNCTION("""COMPUTED_VALUE"""),"SISTEMAS")</f>
        <v>SISTEMAS</v>
      </c>
      <c r="I42" s="40"/>
      <c r="J42" s="40" t="str">
        <f ca="1">IFERROR(__xludf.DUMMYFUNCTION("""COMPUTED_VALUE"""),"lasambony2@misena.edu.co")</f>
        <v>lasambony2@misena.edu.co</v>
      </c>
      <c r="K42" s="40"/>
      <c r="L42" s="40" t="str">
        <f ca="1">IFERROR(__xludf.DUMMYFUNCTION("""COMPUTED_VALUE"""),"NO HA INICIADO ETAPA PRODUCTIVA")</f>
        <v>NO HA INICIADO ETAPA PRODUCTIVA</v>
      </c>
      <c r="M42" s="40"/>
      <c r="N42" s="40"/>
      <c r="O42" s="40"/>
      <c r="P42" s="40"/>
      <c r="Q42" s="40"/>
      <c r="R42" s="140"/>
      <c r="S42" s="140"/>
      <c r="T42" s="40"/>
      <c r="U42" s="40"/>
      <c r="V42" s="40"/>
      <c r="W42" s="40"/>
      <c r="X42" s="40"/>
      <c r="Y42" s="40"/>
      <c r="Z42" s="40"/>
      <c r="AA42" s="40" t="str">
        <f ca="1">IFERROR(__xludf.DUMMYFUNCTION("""COMPUTED_VALUE"""),"Revisado 15/06/2022")</f>
        <v>Revisado 15/06/2022</v>
      </c>
      <c r="AB42" s="40"/>
      <c r="AC42" s="40"/>
      <c r="AD42" s="40"/>
      <c r="AE42" s="40"/>
      <c r="AF42" s="40"/>
      <c r="AG42" s="40"/>
      <c r="AH42" s="40"/>
      <c r="AI42" s="40"/>
      <c r="AJ42" s="40"/>
      <c r="AK42" s="40"/>
      <c r="AL42" s="40"/>
      <c r="AM42" s="40"/>
      <c r="AN42" s="40"/>
      <c r="AO42" s="40"/>
      <c r="AP42" s="40"/>
      <c r="AQ42" s="40"/>
      <c r="AR42" s="40"/>
      <c r="AS42" s="40"/>
      <c r="AT42" s="40"/>
      <c r="AU42" s="40" t="str">
        <f ca="1">IFERROR(__xludf.DUMMYFUNCTION("""COMPUTED_VALUE"""),"Procede_E_P")</f>
        <v>Procede_E_P</v>
      </c>
      <c r="AV42" s="40" t="str">
        <f ca="1">IFERROR(__xludf.DUMMYFUNCTION("""COMPUTED_VALUE"""),"EN FORMACION")</f>
        <v>EN FORMACION</v>
      </c>
      <c r="AW42" s="40" t="str">
        <f ca="1">IFERROR(__xludf.DUMMYFUNCTION("""COMPUTED_VALUE"""),"TIC")</f>
        <v>TIC</v>
      </c>
      <c r="AX42" s="141">
        <f ca="1">IFERROR(__xludf.DUMMYFUNCTION("""COMPUTED_VALUE"""),44848)</f>
        <v>44848</v>
      </c>
      <c r="AY42" s="40">
        <f ca="1">IFERROR(__xludf.DUMMYFUNCTION("""COMPUTED_VALUE"""),0)</f>
        <v>0</v>
      </c>
      <c r="AZ42" s="40">
        <f ca="1">IFERROR(__xludf.DUMMYFUNCTION("""COMPUTED_VALUE"""),1)</f>
        <v>1</v>
      </c>
      <c r="BA42" s="40">
        <f ca="1">IFERROR(__xludf.DUMMYFUNCTION("""COMPUTED_VALUE"""),0)</f>
        <v>0</v>
      </c>
      <c r="BB42" s="40">
        <f ca="1">IFERROR(__xludf.DUMMYFUNCTION("""COMPUTED_VALUE"""),0)</f>
        <v>0</v>
      </c>
      <c r="BC42" s="40">
        <f ca="1">IFERROR(__xludf.DUMMYFUNCTION("""COMPUTED_VALUE"""),1)</f>
        <v>1</v>
      </c>
      <c r="BD42" s="141">
        <f ca="1">IFERROR(__xludf.DUMMYFUNCTION("""COMPUTED_VALUE"""),43536)</f>
        <v>43536</v>
      </c>
      <c r="BE42" s="141">
        <f ca="1">IFERROR(__xludf.DUMMYFUNCTION("""COMPUTED_VALUE"""),43720)</f>
        <v>43720</v>
      </c>
      <c r="BF42" s="141">
        <f ca="1">IFERROR(__xludf.DUMMYFUNCTION("""COMPUTED_VALUE"""),43902)</f>
        <v>43902</v>
      </c>
      <c r="BG42" s="141">
        <f ca="1">IFERROR(__xludf.DUMMYFUNCTION("""COMPUTED_VALUE"""),44451)</f>
        <v>44451</v>
      </c>
      <c r="BH42" s="40" t="str">
        <f ca="1">IFERROR(__xludf.DUMMYFUNCTION("""COMPUTED_VALUE"""),"FINALIZAR FICHA")</f>
        <v>FINALIZAR FICHA</v>
      </c>
      <c r="BI42" s="40" t="str">
        <f ca="1">IFERROR(__xludf.DUMMYFUNCTION("""COMPUTED_VALUE"""),"Terminada por Fecha     ")</f>
        <v xml:space="preserve">Terminada por Fecha     </v>
      </c>
      <c r="BJ42" s="40" t="str">
        <f ca="1">IFERROR(__xludf.DUMMYFUNCTION("""COMPUTED_VALUE"""),"Yamboro")</f>
        <v>Yamboro</v>
      </c>
      <c r="BK42" s="40"/>
      <c r="BL42" s="40"/>
    </row>
    <row r="43" spans="1:64" ht="13">
      <c r="A43" s="40"/>
      <c r="B43" s="40" t="str">
        <f ca="1">IFERROR(__xludf.DUMMYFUNCTION("""COMPUTED_VALUE"""),"FORMACION.. Revisado 06/05/2022")</f>
        <v>FORMACION.. Revisado 06/05/2022</v>
      </c>
      <c r="C43" s="40" t="str">
        <f ca="1">IFERROR(__xludf.DUMMYFUNCTION("""COMPUTED_VALUE"""),"ADRIANA QUINTERO ONCAR")</f>
        <v>ADRIANA QUINTERO ONCAR</v>
      </c>
      <c r="D43" s="40" t="str">
        <f ca="1">IFERROR(__xludf.DUMMYFUNCTION("""COMPUTED_VALUE"""),"TI")</f>
        <v>TI</v>
      </c>
      <c r="E43" s="40">
        <f ca="1">IFERROR(__xludf.DUMMYFUNCTION("""COMPUTED_VALUE"""),1007524949)</f>
        <v>1007524949</v>
      </c>
      <c r="F43" s="40">
        <f ca="1">IFERROR(__xludf.DUMMYFUNCTION("""COMPUTED_VALUE"""),1856678)</f>
        <v>1856678</v>
      </c>
      <c r="G43" s="40" t="str">
        <f ca="1">IFERROR(__xludf.DUMMYFUNCTION("""COMPUTED_VALUE"""),"TÉCNICO")</f>
        <v>TÉCNICO</v>
      </c>
      <c r="H43" s="40" t="str">
        <f ca="1">IFERROR(__xludf.DUMMYFUNCTION("""COMPUTED_VALUE"""),"SISTEMAS")</f>
        <v>SISTEMAS</v>
      </c>
      <c r="I43" s="40"/>
      <c r="J43" s="40" t="str">
        <f ca="1">IFERROR(__xludf.DUMMYFUNCTION("""COMPUTED_VALUE"""),"quinadri2020@gmail.com")</f>
        <v>quinadri2020@gmail.com</v>
      </c>
      <c r="K43" s="40"/>
      <c r="L43" s="40" t="str">
        <f ca="1">IFERROR(__xludf.DUMMYFUNCTION("""COMPUTED_VALUE"""),"NO HA INICIADO ETAPA PRODUCTIVA")</f>
        <v>NO HA INICIADO ETAPA PRODUCTIVA</v>
      </c>
      <c r="M43" s="40"/>
      <c r="N43" s="40"/>
      <c r="O43" s="40"/>
      <c r="P43" s="40"/>
      <c r="Q43" s="40"/>
      <c r="R43" s="140"/>
      <c r="S43" s="140"/>
      <c r="T43" s="40"/>
      <c r="U43" s="40"/>
      <c r="V43" s="40"/>
      <c r="W43" s="40"/>
      <c r="X43" s="40"/>
      <c r="Y43" s="40"/>
      <c r="Z43" s="40"/>
      <c r="AA43" s="40" t="str">
        <f ca="1">IFERROR(__xludf.DUMMYFUNCTION("""COMPUTED_VALUE"""),"Revisado 15/06/2022")</f>
        <v>Revisado 15/06/2022</v>
      </c>
      <c r="AB43" s="40"/>
      <c r="AC43" s="40"/>
      <c r="AD43" s="40"/>
      <c r="AE43" s="40"/>
      <c r="AF43" s="40"/>
      <c r="AG43" s="40"/>
      <c r="AH43" s="40"/>
      <c r="AI43" s="40"/>
      <c r="AJ43" s="40"/>
      <c r="AK43" s="40"/>
      <c r="AL43" s="40"/>
      <c r="AM43" s="40"/>
      <c r="AN43" s="40"/>
      <c r="AO43" s="40"/>
      <c r="AP43" s="40"/>
      <c r="AQ43" s="40"/>
      <c r="AR43" s="40"/>
      <c r="AS43" s="40"/>
      <c r="AT43" s="40"/>
      <c r="AU43" s="40" t="str">
        <f ca="1">IFERROR(__xludf.DUMMYFUNCTION("""COMPUTED_VALUE"""),"Procede_E_P")</f>
        <v>Procede_E_P</v>
      </c>
      <c r="AV43" s="40" t="str">
        <f ca="1">IFERROR(__xludf.DUMMYFUNCTION("""COMPUTED_VALUE"""),"EN FORMACION")</f>
        <v>EN FORMACION</v>
      </c>
      <c r="AW43" s="40" t="str">
        <f ca="1">IFERROR(__xludf.DUMMYFUNCTION("""COMPUTED_VALUE"""),"TIC")</f>
        <v>TIC</v>
      </c>
      <c r="AX43" s="141">
        <f ca="1">IFERROR(__xludf.DUMMYFUNCTION("""COMPUTED_VALUE"""),44848)</f>
        <v>44848</v>
      </c>
      <c r="AY43" s="40">
        <f ca="1">IFERROR(__xludf.DUMMYFUNCTION("""COMPUTED_VALUE"""),0)</f>
        <v>0</v>
      </c>
      <c r="AZ43" s="40">
        <f ca="1">IFERROR(__xludf.DUMMYFUNCTION("""COMPUTED_VALUE"""),1)</f>
        <v>1</v>
      </c>
      <c r="BA43" s="40">
        <f ca="1">IFERROR(__xludf.DUMMYFUNCTION("""COMPUTED_VALUE"""),0)</f>
        <v>0</v>
      </c>
      <c r="BB43" s="40">
        <f ca="1">IFERROR(__xludf.DUMMYFUNCTION("""COMPUTED_VALUE"""),0)</f>
        <v>0</v>
      </c>
      <c r="BC43" s="40">
        <f ca="1">IFERROR(__xludf.DUMMYFUNCTION("""COMPUTED_VALUE"""),1)</f>
        <v>1</v>
      </c>
      <c r="BD43" s="141">
        <f ca="1">IFERROR(__xludf.DUMMYFUNCTION("""COMPUTED_VALUE"""),43536)</f>
        <v>43536</v>
      </c>
      <c r="BE43" s="141">
        <f ca="1">IFERROR(__xludf.DUMMYFUNCTION("""COMPUTED_VALUE"""),43720)</f>
        <v>43720</v>
      </c>
      <c r="BF43" s="141">
        <f ca="1">IFERROR(__xludf.DUMMYFUNCTION("""COMPUTED_VALUE"""),43902)</f>
        <v>43902</v>
      </c>
      <c r="BG43" s="141">
        <f ca="1">IFERROR(__xludf.DUMMYFUNCTION("""COMPUTED_VALUE"""),44451)</f>
        <v>44451</v>
      </c>
      <c r="BH43" s="40" t="str">
        <f ca="1">IFERROR(__xludf.DUMMYFUNCTION("""COMPUTED_VALUE"""),"FINALIZAR FICHA")</f>
        <v>FINALIZAR FICHA</v>
      </c>
      <c r="BI43" s="40" t="str">
        <f ca="1">IFERROR(__xludf.DUMMYFUNCTION("""COMPUTED_VALUE"""),"Terminada por Fecha     ")</f>
        <v xml:space="preserve">Terminada por Fecha     </v>
      </c>
      <c r="BJ43" s="40" t="str">
        <f ca="1">IFERROR(__xludf.DUMMYFUNCTION("""COMPUTED_VALUE"""),"Yamboro")</f>
        <v>Yamboro</v>
      </c>
      <c r="BK43" s="40"/>
      <c r="BL43" s="40"/>
    </row>
    <row r="44" spans="1:64" ht="13">
      <c r="A44" s="40"/>
      <c r="B44" s="40" t="str">
        <f ca="1">IFERROR(__xludf.DUMMYFUNCTION("""COMPUTED_VALUE"""),"FORMACION.. Revisado 06/05/2022")</f>
        <v>FORMACION.. Revisado 06/05/2022</v>
      </c>
      <c r="C44" s="40" t="str">
        <f ca="1">IFERROR(__xludf.DUMMYFUNCTION("""COMPUTED_VALUE"""),"LEYDI DIANA LOMELIN CHICUE")</f>
        <v>LEYDI DIANA LOMELIN CHICUE</v>
      </c>
      <c r="D44" s="40" t="str">
        <f ca="1">IFERROR(__xludf.DUMMYFUNCTION("""COMPUTED_VALUE"""),"CC")</f>
        <v>CC</v>
      </c>
      <c r="E44" s="40">
        <f ca="1">IFERROR(__xludf.DUMMYFUNCTION("""COMPUTED_VALUE"""),36296134)</f>
        <v>36296134</v>
      </c>
      <c r="F44" s="40">
        <f ca="1">IFERROR(__xludf.DUMMYFUNCTION("""COMPUTED_VALUE"""),1856678)</f>
        <v>1856678</v>
      </c>
      <c r="G44" s="40" t="str">
        <f ca="1">IFERROR(__xludf.DUMMYFUNCTION("""COMPUTED_VALUE"""),"TÉCNICO")</f>
        <v>TÉCNICO</v>
      </c>
      <c r="H44" s="40" t="str">
        <f ca="1">IFERROR(__xludf.DUMMYFUNCTION("""COMPUTED_VALUE"""),"SISTEMAS")</f>
        <v>SISTEMAS</v>
      </c>
      <c r="I44" s="40"/>
      <c r="J44" s="40" t="str">
        <f ca="1">IFERROR(__xludf.DUMMYFUNCTION("""COMPUTED_VALUE"""),"ldlomelin4@misena.edu.co")</f>
        <v>ldlomelin4@misena.edu.co</v>
      </c>
      <c r="K44" s="40" t="str">
        <f ca="1">IFERROR(__xludf.DUMMYFUNCTION("""COMPUTED_VALUE"""),"TIMANÁ")</f>
        <v>TIMANÁ</v>
      </c>
      <c r="L44" s="40" t="str">
        <f ca="1">IFERROR(__xludf.DUMMYFUNCTION("""COMPUTED_VALUE"""),"NO HA INICIADO ETAPA PRODUCTIVA")</f>
        <v>NO HA INICIADO ETAPA PRODUCTIVA</v>
      </c>
      <c r="M44" s="40"/>
      <c r="N44" s="40"/>
      <c r="O44" s="40"/>
      <c r="P44" s="40"/>
      <c r="Q44" s="40"/>
      <c r="R44" s="140"/>
      <c r="S44" s="140"/>
      <c r="T44" s="40"/>
      <c r="U44" s="40"/>
      <c r="V44" s="40"/>
      <c r="W44" s="40"/>
      <c r="X44" s="40"/>
      <c r="Y44" s="40"/>
      <c r="Z44" s="40"/>
      <c r="AA44" s="40" t="str">
        <f ca="1">IFERROR(__xludf.DUMMYFUNCTION("""COMPUTED_VALUE"""),"Revisado 15/06/2022")</f>
        <v>Revisado 15/06/2022</v>
      </c>
      <c r="AB44" s="40"/>
      <c r="AC44" s="40"/>
      <c r="AD44" s="40"/>
      <c r="AE44" s="40"/>
      <c r="AF44" s="40"/>
      <c r="AG44" s="40"/>
      <c r="AH44" s="40"/>
      <c r="AI44" s="40"/>
      <c r="AJ44" s="40"/>
      <c r="AK44" s="40"/>
      <c r="AL44" s="40"/>
      <c r="AM44" s="40"/>
      <c r="AN44" s="40"/>
      <c r="AO44" s="40"/>
      <c r="AP44" s="40"/>
      <c r="AQ44" s="40"/>
      <c r="AR44" s="40"/>
      <c r="AS44" s="40"/>
      <c r="AT44" s="40"/>
      <c r="AU44" s="40" t="str">
        <f ca="1">IFERROR(__xludf.DUMMYFUNCTION("""COMPUTED_VALUE"""),"Procede_E_P")</f>
        <v>Procede_E_P</v>
      </c>
      <c r="AV44" s="40" t="str">
        <f ca="1">IFERROR(__xludf.DUMMYFUNCTION("""COMPUTED_VALUE"""),"EN FORMACION")</f>
        <v>EN FORMACION</v>
      </c>
      <c r="AW44" s="40" t="str">
        <f ca="1">IFERROR(__xludf.DUMMYFUNCTION("""COMPUTED_VALUE"""),"TIC")</f>
        <v>TIC</v>
      </c>
      <c r="AX44" s="141">
        <f ca="1">IFERROR(__xludf.DUMMYFUNCTION("""COMPUTED_VALUE"""),44848)</f>
        <v>44848</v>
      </c>
      <c r="AY44" s="40">
        <f ca="1">IFERROR(__xludf.DUMMYFUNCTION("""COMPUTED_VALUE"""),0)</f>
        <v>0</v>
      </c>
      <c r="AZ44" s="40">
        <f ca="1">IFERROR(__xludf.DUMMYFUNCTION("""COMPUTED_VALUE"""),1)</f>
        <v>1</v>
      </c>
      <c r="BA44" s="40">
        <f ca="1">IFERROR(__xludf.DUMMYFUNCTION("""COMPUTED_VALUE"""),0)</f>
        <v>0</v>
      </c>
      <c r="BB44" s="40">
        <f ca="1">IFERROR(__xludf.DUMMYFUNCTION("""COMPUTED_VALUE"""),0)</f>
        <v>0</v>
      </c>
      <c r="BC44" s="40">
        <f ca="1">IFERROR(__xludf.DUMMYFUNCTION("""COMPUTED_VALUE"""),1)</f>
        <v>1</v>
      </c>
      <c r="BD44" s="141">
        <f ca="1">IFERROR(__xludf.DUMMYFUNCTION("""COMPUTED_VALUE"""),43536)</f>
        <v>43536</v>
      </c>
      <c r="BE44" s="141">
        <f ca="1">IFERROR(__xludf.DUMMYFUNCTION("""COMPUTED_VALUE"""),43720)</f>
        <v>43720</v>
      </c>
      <c r="BF44" s="141">
        <f ca="1">IFERROR(__xludf.DUMMYFUNCTION("""COMPUTED_VALUE"""),43902)</f>
        <v>43902</v>
      </c>
      <c r="BG44" s="141">
        <f ca="1">IFERROR(__xludf.DUMMYFUNCTION("""COMPUTED_VALUE"""),44451)</f>
        <v>44451</v>
      </c>
      <c r="BH44" s="40" t="str">
        <f ca="1">IFERROR(__xludf.DUMMYFUNCTION("""COMPUTED_VALUE"""),"FINALIZAR FICHA")</f>
        <v>FINALIZAR FICHA</v>
      </c>
      <c r="BI44" s="40" t="str">
        <f ca="1">IFERROR(__xludf.DUMMYFUNCTION("""COMPUTED_VALUE"""),"Terminada por Fecha     ")</f>
        <v xml:space="preserve">Terminada por Fecha     </v>
      </c>
      <c r="BJ44" s="40" t="str">
        <f ca="1">IFERROR(__xludf.DUMMYFUNCTION("""COMPUTED_VALUE"""),"Yamboro")</f>
        <v>Yamboro</v>
      </c>
      <c r="BK44" s="40"/>
      <c r="BL44" s="40"/>
    </row>
    <row r="45" spans="1:64" ht="13">
      <c r="A45" s="40"/>
      <c r="B45" s="40" t="str">
        <f ca="1">IFERROR(__xludf.DUMMYFUNCTION("""COMPUTED_VALUE"""),"FORMACIÓN ...07/04/2022")</f>
        <v>FORMACIÓN ...07/04/2022</v>
      </c>
      <c r="C45" s="40" t="str">
        <f ca="1">IFERROR(__xludf.DUMMYFUNCTION("""COMPUTED_VALUE"""),"YEIDY MARCELA MOLINA ORTEGA
")</f>
        <v xml:space="preserve">YEIDY MARCELA MOLINA ORTEGA
</v>
      </c>
      <c r="D45" s="40" t="str">
        <f ca="1">IFERROR(__xludf.DUMMYFUNCTION("""COMPUTED_VALUE"""),"TI")</f>
        <v>TI</v>
      </c>
      <c r="E45" s="40">
        <f ca="1">IFERROR(__xludf.DUMMYFUNCTION("""COMPUTED_VALUE"""),1004440624)</f>
        <v>1004440624</v>
      </c>
      <c r="F45" s="40">
        <f ca="1">IFERROR(__xludf.DUMMYFUNCTION("""COMPUTED_VALUE"""),1883507)</f>
        <v>1883507</v>
      </c>
      <c r="G45" s="40" t="str">
        <f ca="1">IFERROR(__xludf.DUMMYFUNCTION("""COMPUTED_VALUE"""),"TÉCNICO")</f>
        <v>TÉCNICO</v>
      </c>
      <c r="H45" s="40" t="str">
        <f ca="1">IFERROR(__xludf.DUMMYFUNCTION("""COMPUTED_VALUE"""),"SISTEMAS")</f>
        <v>SISTEMAS</v>
      </c>
      <c r="I45" s="40"/>
      <c r="J45" s="40"/>
      <c r="K45" s="40"/>
      <c r="L45" s="40" t="str">
        <f ca="1">IFERROR(__xludf.DUMMYFUNCTION("""COMPUTED_VALUE"""),"NO HA INICIADO ETAPA PRODUCTIVA")</f>
        <v>NO HA INICIADO ETAPA PRODUCTIVA</v>
      </c>
      <c r="M45" s="40"/>
      <c r="N45" s="40"/>
      <c r="O45" s="40"/>
      <c r="P45" s="40"/>
      <c r="Q45" s="40"/>
      <c r="R45" s="140"/>
      <c r="S45" s="140"/>
      <c r="T45" s="40"/>
      <c r="U45" s="40"/>
      <c r="V45" s="40"/>
      <c r="W45" s="40"/>
      <c r="X45" s="40"/>
      <c r="Y45" s="40"/>
      <c r="Z45" s="40"/>
      <c r="AA45" s="40" t="str">
        <f ca="1">IFERROR(__xludf.DUMMYFUNCTION("""COMPUTED_VALUE"""),"Revisado 15/06/2022")</f>
        <v>Revisado 15/06/2022</v>
      </c>
      <c r="AB45" s="40"/>
      <c r="AC45" s="40"/>
      <c r="AD45" s="40"/>
      <c r="AE45" s="40"/>
      <c r="AF45" s="40"/>
      <c r="AG45" s="40"/>
      <c r="AH45" s="40"/>
      <c r="AI45" s="40"/>
      <c r="AJ45" s="40"/>
      <c r="AK45" s="40"/>
      <c r="AL45" s="40"/>
      <c r="AM45" s="40"/>
      <c r="AN45" s="40"/>
      <c r="AO45" s="40"/>
      <c r="AP45" s="40"/>
      <c r="AQ45" s="40"/>
      <c r="AR45" s="40"/>
      <c r="AS45" s="40"/>
      <c r="AT45" s="40"/>
      <c r="AU45" s="40" t="str">
        <f ca="1">IFERROR(__xludf.DUMMYFUNCTION("""COMPUTED_VALUE"""),"Procede_E_P")</f>
        <v>Procede_E_P</v>
      </c>
      <c r="AV45" s="40" t="str">
        <f ca="1">IFERROR(__xludf.DUMMYFUNCTION("""COMPUTED_VALUE"""),"EN FORMACION")</f>
        <v>EN FORMACION</v>
      </c>
      <c r="AW45" s="40" t="str">
        <f ca="1">IFERROR(__xludf.DUMMYFUNCTION("""COMPUTED_VALUE"""),"TIC")</f>
        <v>TIC</v>
      </c>
      <c r="AX45" s="141">
        <f ca="1">IFERROR(__xludf.DUMMYFUNCTION("""COMPUTED_VALUE"""),44848)</f>
        <v>44848</v>
      </c>
      <c r="AY45" s="40">
        <f ca="1">IFERROR(__xludf.DUMMYFUNCTION("""COMPUTED_VALUE"""),0)</f>
        <v>0</v>
      </c>
      <c r="AZ45" s="40">
        <f ca="1">IFERROR(__xludf.DUMMYFUNCTION("""COMPUTED_VALUE"""),1)</f>
        <v>1</v>
      </c>
      <c r="BA45" s="40">
        <f ca="1">IFERROR(__xludf.DUMMYFUNCTION("""COMPUTED_VALUE"""),0)</f>
        <v>0</v>
      </c>
      <c r="BB45" s="40">
        <f ca="1">IFERROR(__xludf.DUMMYFUNCTION("""COMPUTED_VALUE"""),0)</f>
        <v>0</v>
      </c>
      <c r="BC45" s="40">
        <f ca="1">IFERROR(__xludf.DUMMYFUNCTION("""COMPUTED_VALUE"""),1)</f>
        <v>1</v>
      </c>
      <c r="BD45" s="141">
        <f ca="1">IFERROR(__xludf.DUMMYFUNCTION("""COMPUTED_VALUE"""),43577)</f>
        <v>43577</v>
      </c>
      <c r="BE45" s="141">
        <f ca="1">IFERROR(__xludf.DUMMYFUNCTION("""COMPUTED_VALUE"""),43760)</f>
        <v>43760</v>
      </c>
      <c r="BF45" s="141">
        <f ca="1">IFERROR(__xludf.DUMMYFUNCTION("""COMPUTED_VALUE"""),43943)</f>
        <v>43943</v>
      </c>
      <c r="BG45" s="141">
        <f ca="1">IFERROR(__xludf.DUMMYFUNCTION("""COMPUTED_VALUE"""),44491)</f>
        <v>44491</v>
      </c>
      <c r="BH45" s="40" t="str">
        <f ca="1">IFERROR(__xludf.DUMMYFUNCTION("""COMPUTED_VALUE"""),"FINALIZAR FICHA")</f>
        <v>FINALIZAR FICHA</v>
      </c>
      <c r="BI45" s="40" t="str">
        <f ca="1">IFERROR(__xludf.DUMMYFUNCTION("""COMPUTED_VALUE"""),"Terminada por Fecha     ")</f>
        <v xml:space="preserve">Terminada por Fecha     </v>
      </c>
      <c r="BJ45" s="40" t="str">
        <f ca="1">IFERROR(__xludf.DUMMYFUNCTION("""COMPUTED_VALUE"""),"Yamboro")</f>
        <v>Yamboro</v>
      </c>
      <c r="BK45" s="40"/>
      <c r="BL45" s="40"/>
    </row>
    <row r="46" spans="1:64" ht="13">
      <c r="A46" s="40"/>
      <c r="B46" s="40" t="str">
        <f ca="1">IFERROR(__xludf.DUMMYFUNCTION("""COMPUTED_VALUE"""),"FORMACION.. Revisado 06/05/2022")</f>
        <v>FORMACION.. Revisado 06/05/2022</v>
      </c>
      <c r="C46" s="40" t="str">
        <f ca="1">IFERROR(__xludf.DUMMYFUNCTION("""COMPUTED_VALUE"""),"LINA LUCERO ACOSTA TENORIO")</f>
        <v>LINA LUCERO ACOSTA TENORIO</v>
      </c>
      <c r="D46" s="40" t="str">
        <f ca="1">IFERROR(__xludf.DUMMYFUNCTION("""COMPUTED_VALUE"""),"TI")</f>
        <v>TI</v>
      </c>
      <c r="E46" s="40">
        <f ca="1">IFERROR(__xludf.DUMMYFUNCTION("""COMPUTED_VALUE"""),1004266634)</f>
        <v>1004266634</v>
      </c>
      <c r="F46" s="40">
        <f ca="1">IFERROR(__xludf.DUMMYFUNCTION("""COMPUTED_VALUE"""),1893537)</f>
        <v>1893537</v>
      </c>
      <c r="G46" s="40" t="str">
        <f ca="1">IFERROR(__xludf.DUMMYFUNCTION("""COMPUTED_VALUE"""),"TÉCNICO")</f>
        <v>TÉCNICO</v>
      </c>
      <c r="H46" s="40" t="str">
        <f ca="1">IFERROR(__xludf.DUMMYFUNCTION("""COMPUTED_VALUE"""),"SISTEMAS")</f>
        <v>SISTEMAS</v>
      </c>
      <c r="I46" s="40"/>
      <c r="J46" s="40" t="str">
        <f ca="1">IFERROR(__xludf.DUMMYFUNCTION("""COMPUTED_VALUE"""),"llacosta43@misena.edu.co")</f>
        <v>llacosta43@misena.edu.co</v>
      </c>
      <c r="K46" s="40"/>
      <c r="L46" s="40" t="str">
        <f ca="1">IFERROR(__xludf.DUMMYFUNCTION("""COMPUTED_VALUE"""),"NO HA INICIADO ETAPA PRODUCTIVA")</f>
        <v>NO HA INICIADO ETAPA PRODUCTIVA</v>
      </c>
      <c r="M46" s="40"/>
      <c r="N46" s="40"/>
      <c r="O46" s="40"/>
      <c r="P46" s="40"/>
      <c r="Q46" s="40"/>
      <c r="R46" s="140"/>
      <c r="S46" s="140"/>
      <c r="T46" s="40"/>
      <c r="U46" s="40"/>
      <c r="V46" s="40"/>
      <c r="W46" s="40"/>
      <c r="X46" s="40"/>
      <c r="Y46" s="40"/>
      <c r="Z46" s="40"/>
      <c r="AA46" s="40" t="str">
        <f ca="1">IFERROR(__xludf.DUMMYFUNCTION("""COMPUTED_VALUE"""),"Revisado 15/06/2022")</f>
        <v>Revisado 15/06/2022</v>
      </c>
      <c r="AB46" s="40"/>
      <c r="AC46" s="40"/>
      <c r="AD46" s="40"/>
      <c r="AE46" s="40"/>
      <c r="AF46" s="40"/>
      <c r="AG46" s="40"/>
      <c r="AH46" s="40"/>
      <c r="AI46" s="40"/>
      <c r="AJ46" s="40"/>
      <c r="AK46" s="40"/>
      <c r="AL46" s="40"/>
      <c r="AM46" s="40"/>
      <c r="AN46" s="40"/>
      <c r="AO46" s="40"/>
      <c r="AP46" s="40"/>
      <c r="AQ46" s="40"/>
      <c r="AR46" s="40"/>
      <c r="AS46" s="40"/>
      <c r="AT46" s="40"/>
      <c r="AU46" s="40" t="str">
        <f ca="1">IFERROR(__xludf.DUMMYFUNCTION("""COMPUTED_VALUE"""),"Procede_E_P")</f>
        <v>Procede_E_P</v>
      </c>
      <c r="AV46" s="40" t="str">
        <f ca="1">IFERROR(__xludf.DUMMYFUNCTION("""COMPUTED_VALUE"""),"EN FORMACION")</f>
        <v>EN FORMACION</v>
      </c>
      <c r="AW46" s="40" t="str">
        <f ca="1">IFERROR(__xludf.DUMMYFUNCTION("""COMPUTED_VALUE"""),"TIC")</f>
        <v>TIC</v>
      </c>
      <c r="AX46" s="141">
        <f ca="1">IFERROR(__xludf.DUMMYFUNCTION("""COMPUTED_VALUE"""),44848)</f>
        <v>44848</v>
      </c>
      <c r="AY46" s="40">
        <f ca="1">IFERROR(__xludf.DUMMYFUNCTION("""COMPUTED_VALUE"""),0)</f>
        <v>0</v>
      </c>
      <c r="AZ46" s="40">
        <f ca="1">IFERROR(__xludf.DUMMYFUNCTION("""COMPUTED_VALUE"""),1)</f>
        <v>1</v>
      </c>
      <c r="BA46" s="40">
        <f ca="1">IFERROR(__xludf.DUMMYFUNCTION("""COMPUTED_VALUE"""),0)</f>
        <v>0</v>
      </c>
      <c r="BB46" s="40">
        <f ca="1">IFERROR(__xludf.DUMMYFUNCTION("""COMPUTED_VALUE"""),0)</f>
        <v>0</v>
      </c>
      <c r="BC46" s="40">
        <f ca="1">IFERROR(__xludf.DUMMYFUNCTION("""COMPUTED_VALUE"""),1)</f>
        <v>1</v>
      </c>
      <c r="BD46" s="141">
        <f ca="1">IFERROR(__xludf.DUMMYFUNCTION("""COMPUTED_VALUE"""),43591)</f>
        <v>43591</v>
      </c>
      <c r="BE46" s="141">
        <f ca="1">IFERROR(__xludf.DUMMYFUNCTION("""COMPUTED_VALUE"""),43774)</f>
        <v>43774</v>
      </c>
      <c r="BF46" s="141">
        <f ca="1">IFERROR(__xludf.DUMMYFUNCTION("""COMPUTED_VALUE"""),43956)</f>
        <v>43956</v>
      </c>
      <c r="BG46" s="141">
        <f ca="1">IFERROR(__xludf.DUMMYFUNCTION("""COMPUTED_VALUE"""),44505)</f>
        <v>44505</v>
      </c>
      <c r="BH46" s="40" t="str">
        <f ca="1">IFERROR(__xludf.DUMMYFUNCTION("""COMPUTED_VALUE"""),"FINALIZAR FICHA")</f>
        <v>FINALIZAR FICHA</v>
      </c>
      <c r="BI46" s="40" t="str">
        <f ca="1">IFERROR(__xludf.DUMMYFUNCTION("""COMPUTED_VALUE"""),"Terminada por Fecha     ")</f>
        <v xml:space="preserve">Terminada por Fecha     </v>
      </c>
      <c r="BJ46" s="40" t="str">
        <f ca="1">IFERROR(__xludf.DUMMYFUNCTION("""COMPUTED_VALUE"""),"Yamboro")</f>
        <v>Yamboro</v>
      </c>
      <c r="BK46" s="40"/>
      <c r="BL46" s="40"/>
    </row>
    <row r="47" spans="1:64" ht="13">
      <c r="A47" s="40"/>
      <c r="B47" s="40" t="str">
        <f ca="1">IFERROR(__xludf.DUMMYFUNCTION("""COMPUTED_VALUE"""),"FORMACION.. Revisado 06/05/2022")</f>
        <v>FORMACION.. Revisado 06/05/2022</v>
      </c>
      <c r="C47" s="40" t="str">
        <f ca="1">IFERROR(__xludf.DUMMYFUNCTION("""COMPUTED_VALUE"""),"YUREINI GISSELA RODRIGUEZ RAMOS")</f>
        <v>YUREINI GISSELA RODRIGUEZ RAMOS</v>
      </c>
      <c r="D47" s="40" t="str">
        <f ca="1">IFERROR(__xludf.DUMMYFUNCTION("""COMPUTED_VALUE"""),"TI")</f>
        <v>TI</v>
      </c>
      <c r="E47" s="40">
        <f ca="1">IFERROR(__xludf.DUMMYFUNCTION("""COMPUTED_VALUE"""),1006431437)</f>
        <v>1006431437</v>
      </c>
      <c r="F47" s="40">
        <f ca="1">IFERROR(__xludf.DUMMYFUNCTION("""COMPUTED_VALUE"""),1893537)</f>
        <v>1893537</v>
      </c>
      <c r="G47" s="40" t="str">
        <f ca="1">IFERROR(__xludf.DUMMYFUNCTION("""COMPUTED_VALUE"""),"TÉCNICO")</f>
        <v>TÉCNICO</v>
      </c>
      <c r="H47" s="40" t="str">
        <f ca="1">IFERROR(__xludf.DUMMYFUNCTION("""COMPUTED_VALUE"""),"SISTEMAS")</f>
        <v>SISTEMAS</v>
      </c>
      <c r="I47" s="40"/>
      <c r="J47" s="40" t="str">
        <f ca="1">IFERROR(__xludf.DUMMYFUNCTION("""COMPUTED_VALUE"""),"ryureny02@gmail.com")</f>
        <v>ryureny02@gmail.com</v>
      </c>
      <c r="K47" s="40"/>
      <c r="L47" s="40" t="str">
        <f ca="1">IFERROR(__xludf.DUMMYFUNCTION("""COMPUTED_VALUE"""),"NO HA INICIADO ETAPA PRODUCTIVA")</f>
        <v>NO HA INICIADO ETAPA PRODUCTIVA</v>
      </c>
      <c r="M47" s="40"/>
      <c r="N47" s="40"/>
      <c r="O47" s="40"/>
      <c r="P47" s="40"/>
      <c r="Q47" s="40"/>
      <c r="R47" s="140"/>
      <c r="S47" s="140"/>
      <c r="T47" s="40"/>
      <c r="U47" s="40"/>
      <c r="V47" s="40"/>
      <c r="W47" s="40"/>
      <c r="X47" s="40"/>
      <c r="Y47" s="40"/>
      <c r="Z47" s="40"/>
      <c r="AA47" s="40" t="str">
        <f ca="1">IFERROR(__xludf.DUMMYFUNCTION("""COMPUTED_VALUE"""),"Revisado 15/06/2022")</f>
        <v>Revisado 15/06/2022</v>
      </c>
      <c r="AB47" s="40"/>
      <c r="AC47" s="40"/>
      <c r="AD47" s="40"/>
      <c r="AE47" s="40"/>
      <c r="AF47" s="40"/>
      <c r="AG47" s="40"/>
      <c r="AH47" s="40"/>
      <c r="AI47" s="40"/>
      <c r="AJ47" s="40"/>
      <c r="AK47" s="40"/>
      <c r="AL47" s="40"/>
      <c r="AM47" s="40"/>
      <c r="AN47" s="40"/>
      <c r="AO47" s="40"/>
      <c r="AP47" s="40"/>
      <c r="AQ47" s="40"/>
      <c r="AR47" s="40"/>
      <c r="AS47" s="40"/>
      <c r="AT47" s="40"/>
      <c r="AU47" s="40" t="str">
        <f ca="1">IFERROR(__xludf.DUMMYFUNCTION("""COMPUTED_VALUE"""),"Procede_E_P")</f>
        <v>Procede_E_P</v>
      </c>
      <c r="AV47" s="40" t="str">
        <f ca="1">IFERROR(__xludf.DUMMYFUNCTION("""COMPUTED_VALUE"""),"EN FORMACION")</f>
        <v>EN FORMACION</v>
      </c>
      <c r="AW47" s="40" t="str">
        <f ca="1">IFERROR(__xludf.DUMMYFUNCTION("""COMPUTED_VALUE"""),"TIC")</f>
        <v>TIC</v>
      </c>
      <c r="AX47" s="141">
        <f ca="1">IFERROR(__xludf.DUMMYFUNCTION("""COMPUTED_VALUE"""),44848)</f>
        <v>44848</v>
      </c>
      <c r="AY47" s="40">
        <f ca="1">IFERROR(__xludf.DUMMYFUNCTION("""COMPUTED_VALUE"""),0)</f>
        <v>0</v>
      </c>
      <c r="AZ47" s="40">
        <f ca="1">IFERROR(__xludf.DUMMYFUNCTION("""COMPUTED_VALUE"""),1)</f>
        <v>1</v>
      </c>
      <c r="BA47" s="40">
        <f ca="1">IFERROR(__xludf.DUMMYFUNCTION("""COMPUTED_VALUE"""),0)</f>
        <v>0</v>
      </c>
      <c r="BB47" s="40">
        <f ca="1">IFERROR(__xludf.DUMMYFUNCTION("""COMPUTED_VALUE"""),0)</f>
        <v>0</v>
      </c>
      <c r="BC47" s="40">
        <f ca="1">IFERROR(__xludf.DUMMYFUNCTION("""COMPUTED_VALUE"""),1)</f>
        <v>1</v>
      </c>
      <c r="BD47" s="141">
        <f ca="1">IFERROR(__xludf.DUMMYFUNCTION("""COMPUTED_VALUE"""),43591)</f>
        <v>43591</v>
      </c>
      <c r="BE47" s="141">
        <f ca="1">IFERROR(__xludf.DUMMYFUNCTION("""COMPUTED_VALUE"""),43774)</f>
        <v>43774</v>
      </c>
      <c r="BF47" s="141">
        <f ca="1">IFERROR(__xludf.DUMMYFUNCTION("""COMPUTED_VALUE"""),43956)</f>
        <v>43956</v>
      </c>
      <c r="BG47" s="141">
        <f ca="1">IFERROR(__xludf.DUMMYFUNCTION("""COMPUTED_VALUE"""),44505)</f>
        <v>44505</v>
      </c>
      <c r="BH47" s="40" t="str">
        <f ca="1">IFERROR(__xludf.DUMMYFUNCTION("""COMPUTED_VALUE"""),"FINALIZAR FICHA")</f>
        <v>FINALIZAR FICHA</v>
      </c>
      <c r="BI47" s="40" t="str">
        <f ca="1">IFERROR(__xludf.DUMMYFUNCTION("""COMPUTED_VALUE"""),"Terminada por Fecha     ")</f>
        <v xml:space="preserve">Terminada por Fecha     </v>
      </c>
      <c r="BJ47" s="40" t="str">
        <f ca="1">IFERROR(__xludf.DUMMYFUNCTION("""COMPUTED_VALUE"""),"Yamboro")</f>
        <v>Yamboro</v>
      </c>
      <c r="BK47" s="40"/>
      <c r="BL47" s="40"/>
    </row>
    <row r="48" spans="1:64" ht="13">
      <c r="A48" s="40"/>
      <c r="B48" s="40" t="str">
        <f ca="1">IFERROR(__xludf.DUMMYFUNCTION("""COMPUTED_VALUE"""),"FORMACION.. Revisado 06/05/2022")</f>
        <v>FORMACION.. Revisado 06/05/2022</v>
      </c>
      <c r="C48" s="40" t="str">
        <f ca="1">IFERROR(__xludf.DUMMYFUNCTION("""COMPUTED_VALUE"""),"YESSIKA TABORDA CHALARCA")</f>
        <v>YESSIKA TABORDA CHALARCA</v>
      </c>
      <c r="D48" s="40" t="str">
        <f ca="1">IFERROR(__xludf.DUMMYFUNCTION("""COMPUTED_VALUE"""),"CC")</f>
        <v>CC</v>
      </c>
      <c r="E48" s="40">
        <f ca="1">IFERROR(__xludf.DUMMYFUNCTION("""COMPUTED_VALUE"""),1081702114)</f>
        <v>1081702114</v>
      </c>
      <c r="F48" s="40">
        <f ca="1">IFERROR(__xludf.DUMMYFUNCTION("""COMPUTED_VALUE"""),1893537)</f>
        <v>1893537</v>
      </c>
      <c r="G48" s="40" t="str">
        <f ca="1">IFERROR(__xludf.DUMMYFUNCTION("""COMPUTED_VALUE"""),"TÉCNICO")</f>
        <v>TÉCNICO</v>
      </c>
      <c r="H48" s="40" t="str">
        <f ca="1">IFERROR(__xludf.DUMMYFUNCTION("""COMPUTED_VALUE"""),"SISTEMAS")</f>
        <v>SISTEMAS</v>
      </c>
      <c r="I48" s="40"/>
      <c r="J48" s="40" t="str">
        <f ca="1">IFERROR(__xludf.DUMMYFUNCTION("""COMPUTED_VALUE"""),"yessikataborda66@gmail.com")</f>
        <v>yessikataborda66@gmail.com</v>
      </c>
      <c r="K48" s="40"/>
      <c r="L48" s="40" t="str">
        <f ca="1">IFERROR(__xludf.DUMMYFUNCTION("""COMPUTED_VALUE"""),"NO HA INICIADO ETAPA PRODUCTIVA")</f>
        <v>NO HA INICIADO ETAPA PRODUCTIVA</v>
      </c>
      <c r="M48" s="40"/>
      <c r="N48" s="40"/>
      <c r="O48" s="40"/>
      <c r="P48" s="40"/>
      <c r="Q48" s="40"/>
      <c r="R48" s="140"/>
      <c r="S48" s="140"/>
      <c r="T48" s="40"/>
      <c r="U48" s="40"/>
      <c r="V48" s="40"/>
      <c r="W48" s="40"/>
      <c r="X48" s="40"/>
      <c r="Y48" s="40"/>
      <c r="Z48" s="40"/>
      <c r="AA48" s="40" t="str">
        <f ca="1">IFERROR(__xludf.DUMMYFUNCTION("""COMPUTED_VALUE"""),"Revisado 15/06/2022")</f>
        <v>Revisado 15/06/2022</v>
      </c>
      <c r="AB48" s="40"/>
      <c r="AC48" s="40"/>
      <c r="AD48" s="40"/>
      <c r="AE48" s="40"/>
      <c r="AF48" s="40"/>
      <c r="AG48" s="40"/>
      <c r="AH48" s="40"/>
      <c r="AI48" s="40"/>
      <c r="AJ48" s="40"/>
      <c r="AK48" s="40"/>
      <c r="AL48" s="40"/>
      <c r="AM48" s="40"/>
      <c r="AN48" s="40"/>
      <c r="AO48" s="40"/>
      <c r="AP48" s="40"/>
      <c r="AQ48" s="40"/>
      <c r="AR48" s="40"/>
      <c r="AS48" s="40"/>
      <c r="AT48" s="40"/>
      <c r="AU48" s="40" t="str">
        <f ca="1">IFERROR(__xludf.DUMMYFUNCTION("""COMPUTED_VALUE"""),"Procede_E_P")</f>
        <v>Procede_E_P</v>
      </c>
      <c r="AV48" s="40" t="str">
        <f ca="1">IFERROR(__xludf.DUMMYFUNCTION("""COMPUTED_VALUE"""),"EN FORMACION")</f>
        <v>EN FORMACION</v>
      </c>
      <c r="AW48" s="40" t="str">
        <f ca="1">IFERROR(__xludf.DUMMYFUNCTION("""COMPUTED_VALUE"""),"TIC")</f>
        <v>TIC</v>
      </c>
      <c r="AX48" s="141">
        <f ca="1">IFERROR(__xludf.DUMMYFUNCTION("""COMPUTED_VALUE"""),44848)</f>
        <v>44848</v>
      </c>
      <c r="AY48" s="40">
        <f ca="1">IFERROR(__xludf.DUMMYFUNCTION("""COMPUTED_VALUE"""),0)</f>
        <v>0</v>
      </c>
      <c r="AZ48" s="40">
        <f ca="1">IFERROR(__xludf.DUMMYFUNCTION("""COMPUTED_VALUE"""),1)</f>
        <v>1</v>
      </c>
      <c r="BA48" s="40">
        <f ca="1">IFERROR(__xludf.DUMMYFUNCTION("""COMPUTED_VALUE"""),0)</f>
        <v>0</v>
      </c>
      <c r="BB48" s="40">
        <f ca="1">IFERROR(__xludf.DUMMYFUNCTION("""COMPUTED_VALUE"""),0)</f>
        <v>0</v>
      </c>
      <c r="BC48" s="40">
        <f ca="1">IFERROR(__xludf.DUMMYFUNCTION("""COMPUTED_VALUE"""),1)</f>
        <v>1</v>
      </c>
      <c r="BD48" s="141">
        <f ca="1">IFERROR(__xludf.DUMMYFUNCTION("""COMPUTED_VALUE"""),43591)</f>
        <v>43591</v>
      </c>
      <c r="BE48" s="141">
        <f ca="1">IFERROR(__xludf.DUMMYFUNCTION("""COMPUTED_VALUE"""),43774)</f>
        <v>43774</v>
      </c>
      <c r="BF48" s="141">
        <f ca="1">IFERROR(__xludf.DUMMYFUNCTION("""COMPUTED_VALUE"""),43956)</f>
        <v>43956</v>
      </c>
      <c r="BG48" s="141">
        <f ca="1">IFERROR(__xludf.DUMMYFUNCTION("""COMPUTED_VALUE"""),44505)</f>
        <v>44505</v>
      </c>
      <c r="BH48" s="40" t="str">
        <f ca="1">IFERROR(__xludf.DUMMYFUNCTION("""COMPUTED_VALUE"""),"FINALIZAR FICHA")</f>
        <v>FINALIZAR FICHA</v>
      </c>
      <c r="BI48" s="40" t="str">
        <f ca="1">IFERROR(__xludf.DUMMYFUNCTION("""COMPUTED_VALUE"""),"Terminada por Fecha     ")</f>
        <v xml:space="preserve">Terminada por Fecha     </v>
      </c>
      <c r="BJ48" s="40" t="str">
        <f ca="1">IFERROR(__xludf.DUMMYFUNCTION("""COMPUTED_VALUE"""),"Yamboro")</f>
        <v>Yamboro</v>
      </c>
      <c r="BK48" s="40"/>
      <c r="BL48" s="40"/>
    </row>
    <row r="49" spans="1:64" ht="13">
      <c r="A49" s="40"/>
      <c r="B49" s="40" t="str">
        <f ca="1">IFERROR(__xludf.DUMMYFUNCTION("""COMPUTED_VALUE"""),"FORMACION.. Revisado 06/05/2022")</f>
        <v>FORMACION.. Revisado 06/05/2022</v>
      </c>
      <c r="C49" s="40" t="str">
        <f ca="1">IFERROR(__xludf.DUMMYFUNCTION("""COMPUTED_VALUE"""),"DANNY XIMENA VALENCIA QUINAYAS")</f>
        <v>DANNY XIMENA VALENCIA QUINAYAS</v>
      </c>
      <c r="D49" s="40" t="str">
        <f ca="1">IFERROR(__xludf.DUMMYFUNCTION("""COMPUTED_VALUE"""),"CC")</f>
        <v>CC</v>
      </c>
      <c r="E49" s="40">
        <f ca="1">IFERROR(__xludf.DUMMYFUNCTION("""COMPUTED_VALUE"""),1081702317)</f>
        <v>1081702317</v>
      </c>
      <c r="F49" s="40">
        <f ca="1">IFERROR(__xludf.DUMMYFUNCTION("""COMPUTED_VALUE"""),1893537)</f>
        <v>1893537</v>
      </c>
      <c r="G49" s="40" t="str">
        <f ca="1">IFERROR(__xludf.DUMMYFUNCTION("""COMPUTED_VALUE"""),"TÉCNICO")</f>
        <v>TÉCNICO</v>
      </c>
      <c r="H49" s="40" t="str">
        <f ca="1">IFERROR(__xludf.DUMMYFUNCTION("""COMPUTED_VALUE"""),"SISTEMAS")</f>
        <v>SISTEMAS</v>
      </c>
      <c r="I49" s="40"/>
      <c r="J49" s="40" t="str">
        <f ca="1">IFERROR(__xludf.DUMMYFUNCTION("""COMPUTED_VALUE"""),"dxvalencia71@misena.edu.co")</f>
        <v>dxvalencia71@misena.edu.co</v>
      </c>
      <c r="K49" s="40"/>
      <c r="L49" s="40" t="str">
        <f ca="1">IFERROR(__xludf.DUMMYFUNCTION("""COMPUTED_VALUE"""),"NO HA INICIADO ETAPA PRODUCTIVA")</f>
        <v>NO HA INICIADO ETAPA PRODUCTIVA</v>
      </c>
      <c r="M49" s="40"/>
      <c r="N49" s="40"/>
      <c r="O49" s="40"/>
      <c r="P49" s="40"/>
      <c r="Q49" s="40"/>
      <c r="R49" s="140"/>
      <c r="S49" s="140"/>
      <c r="T49" s="40"/>
      <c r="U49" s="40"/>
      <c r="V49" s="40"/>
      <c r="W49" s="40"/>
      <c r="X49" s="40"/>
      <c r="Y49" s="40"/>
      <c r="Z49" s="40"/>
      <c r="AA49" s="40" t="str">
        <f ca="1">IFERROR(__xludf.DUMMYFUNCTION("""COMPUTED_VALUE"""),"Revisado 15/06/2022")</f>
        <v>Revisado 15/06/2022</v>
      </c>
      <c r="AB49" s="40"/>
      <c r="AC49" s="40"/>
      <c r="AD49" s="40"/>
      <c r="AE49" s="40"/>
      <c r="AF49" s="40"/>
      <c r="AG49" s="40"/>
      <c r="AH49" s="40"/>
      <c r="AI49" s="40"/>
      <c r="AJ49" s="40"/>
      <c r="AK49" s="40"/>
      <c r="AL49" s="40"/>
      <c r="AM49" s="40"/>
      <c r="AN49" s="40"/>
      <c r="AO49" s="40"/>
      <c r="AP49" s="40"/>
      <c r="AQ49" s="40"/>
      <c r="AR49" s="40"/>
      <c r="AS49" s="40"/>
      <c r="AT49" s="40"/>
      <c r="AU49" s="40" t="str">
        <f ca="1">IFERROR(__xludf.DUMMYFUNCTION("""COMPUTED_VALUE"""),"Procede_E_P")</f>
        <v>Procede_E_P</v>
      </c>
      <c r="AV49" s="40" t="str">
        <f ca="1">IFERROR(__xludf.DUMMYFUNCTION("""COMPUTED_VALUE"""),"EN FORMACION")</f>
        <v>EN FORMACION</v>
      </c>
      <c r="AW49" s="40" t="str">
        <f ca="1">IFERROR(__xludf.DUMMYFUNCTION("""COMPUTED_VALUE"""),"TIC")</f>
        <v>TIC</v>
      </c>
      <c r="AX49" s="141">
        <f ca="1">IFERROR(__xludf.DUMMYFUNCTION("""COMPUTED_VALUE"""),44848)</f>
        <v>44848</v>
      </c>
      <c r="AY49" s="40">
        <f ca="1">IFERROR(__xludf.DUMMYFUNCTION("""COMPUTED_VALUE"""),0)</f>
        <v>0</v>
      </c>
      <c r="AZ49" s="40">
        <f ca="1">IFERROR(__xludf.DUMMYFUNCTION("""COMPUTED_VALUE"""),1)</f>
        <v>1</v>
      </c>
      <c r="BA49" s="40">
        <f ca="1">IFERROR(__xludf.DUMMYFUNCTION("""COMPUTED_VALUE"""),0)</f>
        <v>0</v>
      </c>
      <c r="BB49" s="40">
        <f ca="1">IFERROR(__xludf.DUMMYFUNCTION("""COMPUTED_VALUE"""),0)</f>
        <v>0</v>
      </c>
      <c r="BC49" s="40">
        <f ca="1">IFERROR(__xludf.DUMMYFUNCTION("""COMPUTED_VALUE"""),1)</f>
        <v>1</v>
      </c>
      <c r="BD49" s="141">
        <f ca="1">IFERROR(__xludf.DUMMYFUNCTION("""COMPUTED_VALUE"""),43591)</f>
        <v>43591</v>
      </c>
      <c r="BE49" s="141">
        <f ca="1">IFERROR(__xludf.DUMMYFUNCTION("""COMPUTED_VALUE"""),43774)</f>
        <v>43774</v>
      </c>
      <c r="BF49" s="141">
        <f ca="1">IFERROR(__xludf.DUMMYFUNCTION("""COMPUTED_VALUE"""),43956)</f>
        <v>43956</v>
      </c>
      <c r="BG49" s="141">
        <f ca="1">IFERROR(__xludf.DUMMYFUNCTION("""COMPUTED_VALUE"""),44505)</f>
        <v>44505</v>
      </c>
      <c r="BH49" s="40" t="str">
        <f ca="1">IFERROR(__xludf.DUMMYFUNCTION("""COMPUTED_VALUE"""),"FINALIZAR FICHA")</f>
        <v>FINALIZAR FICHA</v>
      </c>
      <c r="BI49" s="40" t="str">
        <f ca="1">IFERROR(__xludf.DUMMYFUNCTION("""COMPUTED_VALUE"""),"Terminada por Fecha     ")</f>
        <v xml:space="preserve">Terminada por Fecha     </v>
      </c>
      <c r="BJ49" s="40" t="str">
        <f ca="1">IFERROR(__xludf.DUMMYFUNCTION("""COMPUTED_VALUE"""),"Yamboro")</f>
        <v>Yamboro</v>
      </c>
      <c r="BK49" s="40"/>
      <c r="BL49" s="40"/>
    </row>
    <row r="50" spans="1:64" ht="13">
      <c r="A50" s="40"/>
      <c r="B50" s="40" t="str">
        <f ca="1">IFERROR(__xludf.DUMMYFUNCTION("""COMPUTED_VALUE"""),"FORMACIÓN...07/04/2022")</f>
        <v>FORMACIÓN...07/04/2022</v>
      </c>
      <c r="C50" s="40" t="str">
        <f ca="1">IFERROR(__xludf.DUMMYFUNCTION("""COMPUTED_VALUE"""),"HILDA JANETH JUSPIAN JIMENEZ")</f>
        <v>HILDA JANETH JUSPIAN JIMENEZ</v>
      </c>
      <c r="D50" s="40" t="str">
        <f ca="1">IFERROR(__xludf.DUMMYFUNCTION("""COMPUTED_VALUE"""),"CC")</f>
        <v>CC</v>
      </c>
      <c r="E50" s="40">
        <f ca="1">IFERROR(__xludf.DUMMYFUNCTION("""COMPUTED_VALUE"""),1004343427)</f>
        <v>1004343427</v>
      </c>
      <c r="F50" s="40">
        <f ca="1">IFERROR(__xludf.DUMMYFUNCTION("""COMPUTED_VALUE"""),1859891)</f>
        <v>1859891</v>
      </c>
      <c r="G50" s="40" t="str">
        <f ca="1">IFERROR(__xludf.DUMMYFUNCTION("""COMPUTED_VALUE"""),"TÉCNICO")</f>
        <v>TÉCNICO</v>
      </c>
      <c r="H50" s="40" t="str">
        <f ca="1">IFERROR(__xludf.DUMMYFUNCTION("""COMPUTED_VALUE"""),"SISTEMAS")</f>
        <v>SISTEMAS</v>
      </c>
      <c r="I50" s="40">
        <f ca="1">IFERROR(__xludf.DUMMYFUNCTION("""COMPUTED_VALUE"""),3143719296)</f>
        <v>3143719296</v>
      </c>
      <c r="J50" s="40" t="str">
        <f ca="1">IFERROR(__xludf.DUMMYFUNCTION("""COMPUTED_VALUE"""),"hildajanethjus1991@gmail.com")</f>
        <v>hildajanethjus1991@gmail.com</v>
      </c>
      <c r="K50" s="40" t="str">
        <f ca="1">IFERROR(__xludf.DUMMYFUNCTION("""COMPUTED_VALUE"""),"SAN AGUSTÍN")</f>
        <v>SAN AGUSTÍN</v>
      </c>
      <c r="L50" s="40" t="str">
        <f ca="1">IFERROR(__xludf.DUMMYFUNCTION("""COMPUTED_VALUE"""),"NO HA INICIADO ETAPA PRODUCTIVA")</f>
        <v>NO HA INICIADO ETAPA PRODUCTIVA</v>
      </c>
      <c r="M50" s="40"/>
      <c r="N50" s="40"/>
      <c r="O50" s="40"/>
      <c r="P50" s="40"/>
      <c r="Q50" s="40"/>
      <c r="R50" s="140"/>
      <c r="S50" s="140"/>
      <c r="T50" s="40"/>
      <c r="U50" s="40"/>
      <c r="V50" s="40"/>
      <c r="W50" s="40"/>
      <c r="X50" s="40"/>
      <c r="Y50" s="40"/>
      <c r="Z50" s="40"/>
      <c r="AA50" s="40" t="str">
        <f ca="1">IFERROR(__xludf.DUMMYFUNCTION("""COMPUTED_VALUE"""),"Revisado 15/06/2022")</f>
        <v>Revisado 15/06/2022</v>
      </c>
      <c r="AB50" s="40"/>
      <c r="AC50" s="40"/>
      <c r="AD50" s="40"/>
      <c r="AE50" s="40"/>
      <c r="AF50" s="40"/>
      <c r="AG50" s="40"/>
      <c r="AH50" s="40"/>
      <c r="AI50" s="40"/>
      <c r="AJ50" s="40"/>
      <c r="AK50" s="40"/>
      <c r="AL50" s="40"/>
      <c r="AM50" s="40"/>
      <c r="AN50" s="40"/>
      <c r="AO50" s="40"/>
      <c r="AP50" s="40"/>
      <c r="AQ50" s="40"/>
      <c r="AR50" s="40"/>
      <c r="AS50" s="40"/>
      <c r="AT50" s="40"/>
      <c r="AU50" s="40" t="str">
        <f ca="1">IFERROR(__xludf.DUMMYFUNCTION("""COMPUTED_VALUE"""),"Procede_E_P")</f>
        <v>Procede_E_P</v>
      </c>
      <c r="AV50" s="40" t="str">
        <f ca="1">IFERROR(__xludf.DUMMYFUNCTION("""COMPUTED_VALUE"""),"EN FORMACION")</f>
        <v>EN FORMACION</v>
      </c>
      <c r="AW50" s="40" t="str">
        <f ca="1">IFERROR(__xludf.DUMMYFUNCTION("""COMPUTED_VALUE"""),"TIC")</f>
        <v>TIC</v>
      </c>
      <c r="AX50" s="141">
        <f ca="1">IFERROR(__xludf.DUMMYFUNCTION("""COMPUTED_VALUE"""),44848)</f>
        <v>44848</v>
      </c>
      <c r="AY50" s="40">
        <f ca="1">IFERROR(__xludf.DUMMYFUNCTION("""COMPUTED_VALUE"""),0)</f>
        <v>0</v>
      </c>
      <c r="AZ50" s="40">
        <f ca="1">IFERROR(__xludf.DUMMYFUNCTION("""COMPUTED_VALUE"""),1)</f>
        <v>1</v>
      </c>
      <c r="BA50" s="40">
        <f ca="1">IFERROR(__xludf.DUMMYFUNCTION("""COMPUTED_VALUE"""),0)</f>
        <v>0</v>
      </c>
      <c r="BB50" s="40">
        <f ca="1">IFERROR(__xludf.DUMMYFUNCTION("""COMPUTED_VALUE"""),0)</f>
        <v>0</v>
      </c>
      <c r="BC50" s="40">
        <f ca="1">IFERROR(__xludf.DUMMYFUNCTION("""COMPUTED_VALUE"""),1)</f>
        <v>1</v>
      </c>
      <c r="BD50" s="141">
        <f ca="1">IFERROR(__xludf.DUMMYFUNCTION("""COMPUTED_VALUE"""),43542)</f>
        <v>43542</v>
      </c>
      <c r="BE50" s="141">
        <f ca="1">IFERROR(__xludf.DUMMYFUNCTION("""COMPUTED_VALUE"""),43726)</f>
        <v>43726</v>
      </c>
      <c r="BF50" s="141">
        <f ca="1">IFERROR(__xludf.DUMMYFUNCTION("""COMPUTED_VALUE"""),43908)</f>
        <v>43908</v>
      </c>
      <c r="BG50" s="141">
        <f ca="1">IFERROR(__xludf.DUMMYFUNCTION("""COMPUTED_VALUE"""),44457)</f>
        <v>44457</v>
      </c>
      <c r="BH50" s="40" t="str">
        <f ca="1">IFERROR(__xludf.DUMMYFUNCTION("""COMPUTED_VALUE"""),"FINALIZAR FICHA")</f>
        <v>FINALIZAR FICHA</v>
      </c>
      <c r="BI50" s="40" t="str">
        <f ca="1">IFERROR(__xludf.DUMMYFUNCTION("""COMPUTED_VALUE"""),"Terminada por Fecha     ")</f>
        <v xml:space="preserve">Terminada por Fecha     </v>
      </c>
      <c r="BJ50" s="40" t="str">
        <f ca="1">IFERROR(__xludf.DUMMYFUNCTION("""COMPUTED_VALUE"""),"Yamboro")</f>
        <v>Yamboro</v>
      </c>
      <c r="BK50" s="40"/>
      <c r="BL50" s="40"/>
    </row>
    <row r="51" spans="1:64" ht="13">
      <c r="A51" s="40"/>
      <c r="B51" s="40" t="str">
        <f ca="1">IFERROR(__xludf.DUMMYFUNCTION("""COMPUTED_VALUE"""),"FORMACIÓN...07/04/2022")</f>
        <v>FORMACIÓN...07/04/2022</v>
      </c>
      <c r="C51" s="40" t="str">
        <f ca="1">IFERROR(__xludf.DUMMYFUNCTION("""COMPUTED_VALUE"""),"ANGIE NATALIA SAMBONI JOAQUI")</f>
        <v>ANGIE NATALIA SAMBONI JOAQUI</v>
      </c>
      <c r="D51" s="40" t="str">
        <f ca="1">IFERROR(__xludf.DUMMYFUNCTION("""COMPUTED_VALUE"""),"CC")</f>
        <v>CC</v>
      </c>
      <c r="E51" s="40">
        <f ca="1">IFERROR(__xludf.DUMMYFUNCTION("""COMPUTED_VALUE"""),1004441312)</f>
        <v>1004441312</v>
      </c>
      <c r="F51" s="40">
        <f ca="1">IFERROR(__xludf.DUMMYFUNCTION("""COMPUTED_VALUE"""),1859891)</f>
        <v>1859891</v>
      </c>
      <c r="G51" s="40" t="str">
        <f ca="1">IFERROR(__xludf.DUMMYFUNCTION("""COMPUTED_VALUE"""),"TÉCNICO")</f>
        <v>TÉCNICO</v>
      </c>
      <c r="H51" s="40" t="str">
        <f ca="1">IFERROR(__xludf.DUMMYFUNCTION("""COMPUTED_VALUE"""),"SISTEMAS")</f>
        <v>SISTEMAS</v>
      </c>
      <c r="I51" s="40">
        <f ca="1">IFERROR(__xludf.DUMMYFUNCTION("""COMPUTED_VALUE"""),3232815120)</f>
        <v>3232815120</v>
      </c>
      <c r="J51" s="40"/>
      <c r="K51" s="40" t="str">
        <f ca="1">IFERROR(__xludf.DUMMYFUNCTION("""COMPUTED_VALUE"""),"SAN AGUSTÍN")</f>
        <v>SAN AGUSTÍN</v>
      </c>
      <c r="L51" s="40" t="str">
        <f ca="1">IFERROR(__xludf.DUMMYFUNCTION("""COMPUTED_VALUE"""),"NO HA INICIADO ETAPA PRODUCTIVA")</f>
        <v>NO HA INICIADO ETAPA PRODUCTIVA</v>
      </c>
      <c r="M51" s="40"/>
      <c r="N51" s="40"/>
      <c r="O51" s="40"/>
      <c r="P51" s="40"/>
      <c r="Q51" s="40"/>
      <c r="R51" s="140"/>
      <c r="S51" s="140"/>
      <c r="T51" s="40"/>
      <c r="U51" s="40"/>
      <c r="V51" s="40"/>
      <c r="W51" s="40"/>
      <c r="X51" s="40"/>
      <c r="Y51" s="40"/>
      <c r="Z51" s="40"/>
      <c r="AA51" s="40" t="str">
        <f ca="1">IFERROR(__xludf.DUMMYFUNCTION("""COMPUTED_VALUE"""),"Revisado 15/06/2022")</f>
        <v>Revisado 15/06/2022</v>
      </c>
      <c r="AB51" s="40"/>
      <c r="AC51" s="40"/>
      <c r="AD51" s="40"/>
      <c r="AE51" s="40"/>
      <c r="AF51" s="40"/>
      <c r="AG51" s="40"/>
      <c r="AH51" s="40"/>
      <c r="AI51" s="40"/>
      <c r="AJ51" s="40"/>
      <c r="AK51" s="40"/>
      <c r="AL51" s="40"/>
      <c r="AM51" s="40"/>
      <c r="AN51" s="40"/>
      <c r="AO51" s="40"/>
      <c r="AP51" s="40"/>
      <c r="AQ51" s="40"/>
      <c r="AR51" s="40"/>
      <c r="AS51" s="40"/>
      <c r="AT51" s="40"/>
      <c r="AU51" s="40" t="str">
        <f ca="1">IFERROR(__xludf.DUMMYFUNCTION("""COMPUTED_VALUE"""),"Procede_E_P")</f>
        <v>Procede_E_P</v>
      </c>
      <c r="AV51" s="40" t="str">
        <f ca="1">IFERROR(__xludf.DUMMYFUNCTION("""COMPUTED_VALUE"""),"EN FORMACION")</f>
        <v>EN FORMACION</v>
      </c>
      <c r="AW51" s="40" t="str">
        <f ca="1">IFERROR(__xludf.DUMMYFUNCTION("""COMPUTED_VALUE"""),"TIC")</f>
        <v>TIC</v>
      </c>
      <c r="AX51" s="141">
        <f ca="1">IFERROR(__xludf.DUMMYFUNCTION("""COMPUTED_VALUE"""),44848)</f>
        <v>44848</v>
      </c>
      <c r="AY51" s="40">
        <f ca="1">IFERROR(__xludf.DUMMYFUNCTION("""COMPUTED_VALUE"""),0)</f>
        <v>0</v>
      </c>
      <c r="AZ51" s="40">
        <f ca="1">IFERROR(__xludf.DUMMYFUNCTION("""COMPUTED_VALUE"""),1)</f>
        <v>1</v>
      </c>
      <c r="BA51" s="40">
        <f ca="1">IFERROR(__xludf.DUMMYFUNCTION("""COMPUTED_VALUE"""),0)</f>
        <v>0</v>
      </c>
      <c r="BB51" s="40">
        <f ca="1">IFERROR(__xludf.DUMMYFUNCTION("""COMPUTED_VALUE"""),0)</f>
        <v>0</v>
      </c>
      <c r="BC51" s="40">
        <f ca="1">IFERROR(__xludf.DUMMYFUNCTION("""COMPUTED_VALUE"""),1)</f>
        <v>1</v>
      </c>
      <c r="BD51" s="141">
        <f ca="1">IFERROR(__xludf.DUMMYFUNCTION("""COMPUTED_VALUE"""),43542)</f>
        <v>43542</v>
      </c>
      <c r="BE51" s="141">
        <f ca="1">IFERROR(__xludf.DUMMYFUNCTION("""COMPUTED_VALUE"""),43726)</f>
        <v>43726</v>
      </c>
      <c r="BF51" s="141">
        <f ca="1">IFERROR(__xludf.DUMMYFUNCTION("""COMPUTED_VALUE"""),43908)</f>
        <v>43908</v>
      </c>
      <c r="BG51" s="141">
        <f ca="1">IFERROR(__xludf.DUMMYFUNCTION("""COMPUTED_VALUE"""),44457)</f>
        <v>44457</v>
      </c>
      <c r="BH51" s="40" t="str">
        <f ca="1">IFERROR(__xludf.DUMMYFUNCTION("""COMPUTED_VALUE"""),"FINALIZAR FICHA")</f>
        <v>FINALIZAR FICHA</v>
      </c>
      <c r="BI51" s="40" t="str">
        <f ca="1">IFERROR(__xludf.DUMMYFUNCTION("""COMPUTED_VALUE"""),"Terminada por Fecha     ")</f>
        <v xml:space="preserve">Terminada por Fecha     </v>
      </c>
      <c r="BJ51" s="40" t="str">
        <f ca="1">IFERROR(__xludf.DUMMYFUNCTION("""COMPUTED_VALUE"""),"Yamboro")</f>
        <v>Yamboro</v>
      </c>
      <c r="BK51" s="40"/>
      <c r="BL51" s="40"/>
    </row>
    <row r="52" spans="1:64" ht="13">
      <c r="A52" s="40"/>
      <c r="B52" s="40" t="str">
        <f ca="1">IFERROR(__xludf.DUMMYFUNCTION("""COMPUTED_VALUE"""),"FORMACIÓN...07/04/2022")</f>
        <v>FORMACIÓN...07/04/2022</v>
      </c>
      <c r="C52" s="40" t="str">
        <f ca="1">IFERROR(__xludf.DUMMYFUNCTION("""COMPUTED_VALUE"""),"YURLEY ANDREA CASTRO GOMEZ")</f>
        <v>YURLEY ANDREA CASTRO GOMEZ</v>
      </c>
      <c r="D52" s="40" t="str">
        <f ca="1">IFERROR(__xludf.DUMMYFUNCTION("""COMPUTED_VALUE"""),"CC")</f>
        <v>CC</v>
      </c>
      <c r="E52" s="40">
        <f ca="1">IFERROR(__xludf.DUMMYFUNCTION("""COMPUTED_VALUE"""),1019135263)</f>
        <v>1019135263</v>
      </c>
      <c r="F52" s="40">
        <f ca="1">IFERROR(__xludf.DUMMYFUNCTION("""COMPUTED_VALUE"""),1859891)</f>
        <v>1859891</v>
      </c>
      <c r="G52" s="40" t="str">
        <f ca="1">IFERROR(__xludf.DUMMYFUNCTION("""COMPUTED_VALUE"""),"TÉCNICO")</f>
        <v>TÉCNICO</v>
      </c>
      <c r="H52" s="40" t="str">
        <f ca="1">IFERROR(__xludf.DUMMYFUNCTION("""COMPUTED_VALUE"""),"SISTEMAS")</f>
        <v>SISTEMAS</v>
      </c>
      <c r="I52" s="40">
        <f ca="1">IFERROR(__xludf.DUMMYFUNCTION("""COMPUTED_VALUE"""),3138624009)</f>
        <v>3138624009</v>
      </c>
      <c r="J52" s="40" t="str">
        <f ca="1">IFERROR(__xludf.DUMMYFUNCTION("""COMPUTED_VALUE"""),"gomez2014andre@hotmail.com")</f>
        <v>gomez2014andre@hotmail.com</v>
      </c>
      <c r="K52" s="40" t="str">
        <f ca="1">IFERROR(__xludf.DUMMYFUNCTION("""COMPUTED_VALUE"""),"SAN AGUSTIN")</f>
        <v>SAN AGUSTIN</v>
      </c>
      <c r="L52" s="40" t="str">
        <f ca="1">IFERROR(__xludf.DUMMYFUNCTION("""COMPUTED_VALUE"""),"NO HA INICIADO ETAPA PRODUCTIVA")</f>
        <v>NO HA INICIADO ETAPA PRODUCTIVA</v>
      </c>
      <c r="M52" s="40"/>
      <c r="N52" s="40"/>
      <c r="O52" s="40"/>
      <c r="P52" s="40"/>
      <c r="Q52" s="40"/>
      <c r="R52" s="140"/>
      <c r="S52" s="140"/>
      <c r="T52" s="40"/>
      <c r="U52" s="40"/>
      <c r="V52" s="40"/>
      <c r="W52" s="40"/>
      <c r="X52" s="40"/>
      <c r="Y52" s="40"/>
      <c r="Z52" s="40"/>
      <c r="AA52" s="40" t="str">
        <f ca="1">IFERROR(__xludf.DUMMYFUNCTION("""COMPUTED_VALUE"""),"Revisado 15/06/2022")</f>
        <v>Revisado 15/06/2022</v>
      </c>
      <c r="AB52" s="40"/>
      <c r="AC52" s="40"/>
      <c r="AD52" s="40"/>
      <c r="AE52" s="40"/>
      <c r="AF52" s="40"/>
      <c r="AG52" s="40"/>
      <c r="AH52" s="40"/>
      <c r="AI52" s="40"/>
      <c r="AJ52" s="40"/>
      <c r="AK52" s="40"/>
      <c r="AL52" s="40"/>
      <c r="AM52" s="40"/>
      <c r="AN52" s="40"/>
      <c r="AO52" s="40"/>
      <c r="AP52" s="40"/>
      <c r="AQ52" s="40"/>
      <c r="AR52" s="40"/>
      <c r="AS52" s="40"/>
      <c r="AT52" s="40"/>
      <c r="AU52" s="40" t="str">
        <f ca="1">IFERROR(__xludf.DUMMYFUNCTION("""COMPUTED_VALUE"""),"Procede_E_P")</f>
        <v>Procede_E_P</v>
      </c>
      <c r="AV52" s="40" t="str">
        <f ca="1">IFERROR(__xludf.DUMMYFUNCTION("""COMPUTED_VALUE"""),"EN FORMACION")</f>
        <v>EN FORMACION</v>
      </c>
      <c r="AW52" s="40" t="str">
        <f ca="1">IFERROR(__xludf.DUMMYFUNCTION("""COMPUTED_VALUE"""),"TIC")</f>
        <v>TIC</v>
      </c>
      <c r="AX52" s="141">
        <f ca="1">IFERROR(__xludf.DUMMYFUNCTION("""COMPUTED_VALUE"""),44848)</f>
        <v>44848</v>
      </c>
      <c r="AY52" s="40">
        <f ca="1">IFERROR(__xludf.DUMMYFUNCTION("""COMPUTED_VALUE"""),0)</f>
        <v>0</v>
      </c>
      <c r="AZ52" s="40">
        <f ca="1">IFERROR(__xludf.DUMMYFUNCTION("""COMPUTED_VALUE"""),1)</f>
        <v>1</v>
      </c>
      <c r="BA52" s="40">
        <f ca="1">IFERROR(__xludf.DUMMYFUNCTION("""COMPUTED_VALUE"""),0)</f>
        <v>0</v>
      </c>
      <c r="BB52" s="40">
        <f ca="1">IFERROR(__xludf.DUMMYFUNCTION("""COMPUTED_VALUE"""),0)</f>
        <v>0</v>
      </c>
      <c r="BC52" s="40">
        <f ca="1">IFERROR(__xludf.DUMMYFUNCTION("""COMPUTED_VALUE"""),1)</f>
        <v>1</v>
      </c>
      <c r="BD52" s="141">
        <f ca="1">IFERROR(__xludf.DUMMYFUNCTION("""COMPUTED_VALUE"""),43542)</f>
        <v>43542</v>
      </c>
      <c r="BE52" s="141">
        <f ca="1">IFERROR(__xludf.DUMMYFUNCTION("""COMPUTED_VALUE"""),43726)</f>
        <v>43726</v>
      </c>
      <c r="BF52" s="141">
        <f ca="1">IFERROR(__xludf.DUMMYFUNCTION("""COMPUTED_VALUE"""),43908)</f>
        <v>43908</v>
      </c>
      <c r="BG52" s="141">
        <f ca="1">IFERROR(__xludf.DUMMYFUNCTION("""COMPUTED_VALUE"""),44457)</f>
        <v>44457</v>
      </c>
      <c r="BH52" s="40" t="str">
        <f ca="1">IFERROR(__xludf.DUMMYFUNCTION("""COMPUTED_VALUE"""),"FINALIZAR FICHA")</f>
        <v>FINALIZAR FICHA</v>
      </c>
      <c r="BI52" s="40" t="str">
        <f ca="1">IFERROR(__xludf.DUMMYFUNCTION("""COMPUTED_VALUE"""),"Terminada por Fecha     ")</f>
        <v xml:space="preserve">Terminada por Fecha     </v>
      </c>
      <c r="BJ52" s="40" t="str">
        <f ca="1">IFERROR(__xludf.DUMMYFUNCTION("""COMPUTED_VALUE"""),"Yamboro")</f>
        <v>Yamboro</v>
      </c>
      <c r="BK52" s="40"/>
      <c r="BL52" s="40"/>
    </row>
    <row r="53" spans="1:64" ht="13">
      <c r="A53" s="40"/>
      <c r="B53" s="40" t="str">
        <f ca="1">IFERROR(__xludf.DUMMYFUNCTION("""COMPUTED_VALUE"""),"FORMACIÓN...07/04/2022")</f>
        <v>FORMACIÓN...07/04/2022</v>
      </c>
      <c r="C53" s="40" t="str">
        <f ca="1">IFERROR(__xludf.DUMMYFUNCTION("""COMPUTED_VALUE"""),"TATIANA FERNANDA HIDALGO SCHEUERMAN")</f>
        <v>TATIANA FERNANDA HIDALGO SCHEUERMAN</v>
      </c>
      <c r="D53" s="40" t="str">
        <f ca="1">IFERROR(__xludf.DUMMYFUNCTION("""COMPUTED_VALUE"""),"CC")</f>
        <v>CC</v>
      </c>
      <c r="E53" s="40">
        <f ca="1">IFERROR(__xludf.DUMMYFUNCTION("""COMPUTED_VALUE"""),1073520144)</f>
        <v>1073520144</v>
      </c>
      <c r="F53" s="40">
        <f ca="1">IFERROR(__xludf.DUMMYFUNCTION("""COMPUTED_VALUE"""),1859891)</f>
        <v>1859891</v>
      </c>
      <c r="G53" s="40" t="str">
        <f ca="1">IFERROR(__xludf.DUMMYFUNCTION("""COMPUTED_VALUE"""),"TÉCNICO")</f>
        <v>TÉCNICO</v>
      </c>
      <c r="H53" s="40" t="str">
        <f ca="1">IFERROR(__xludf.DUMMYFUNCTION("""COMPUTED_VALUE"""),"SISTEMAS")</f>
        <v>SISTEMAS</v>
      </c>
      <c r="I53" s="40">
        <f ca="1">IFERROR(__xludf.DUMMYFUNCTION("""COMPUTED_VALUE"""),3158188365)</f>
        <v>3158188365</v>
      </c>
      <c r="J53" s="40" t="str">
        <f ca="1">IFERROR(__xludf.DUMMYFUNCTION("""COMPUTED_VALUE"""),"tatisfer3112@gmail.com")</f>
        <v>tatisfer3112@gmail.com</v>
      </c>
      <c r="K53" s="40" t="str">
        <f ca="1">IFERROR(__xludf.DUMMYFUNCTION("""COMPUTED_VALUE"""),"SAN AGUSTIN")</f>
        <v>SAN AGUSTIN</v>
      </c>
      <c r="L53" s="40" t="str">
        <f ca="1">IFERROR(__xludf.DUMMYFUNCTION("""COMPUTED_VALUE"""),"NO HA INICIADO ETAPA PRODUCTIVA")</f>
        <v>NO HA INICIADO ETAPA PRODUCTIVA</v>
      </c>
      <c r="M53" s="40"/>
      <c r="N53" s="40"/>
      <c r="O53" s="40"/>
      <c r="P53" s="40"/>
      <c r="Q53" s="40"/>
      <c r="R53" s="140"/>
      <c r="S53" s="140"/>
      <c r="T53" s="40"/>
      <c r="U53" s="40"/>
      <c r="V53" s="40"/>
      <c r="W53" s="40"/>
      <c r="X53" s="40"/>
      <c r="Y53" s="40"/>
      <c r="Z53" s="40"/>
      <c r="AA53" s="40" t="str">
        <f ca="1">IFERROR(__xludf.DUMMYFUNCTION("""COMPUTED_VALUE"""),"Revisado 15/06/2022")</f>
        <v>Revisado 15/06/2022</v>
      </c>
      <c r="AB53" s="40"/>
      <c r="AC53" s="40"/>
      <c r="AD53" s="40"/>
      <c r="AE53" s="40"/>
      <c r="AF53" s="40"/>
      <c r="AG53" s="40"/>
      <c r="AH53" s="40"/>
      <c r="AI53" s="40"/>
      <c r="AJ53" s="40"/>
      <c r="AK53" s="40"/>
      <c r="AL53" s="40"/>
      <c r="AM53" s="40"/>
      <c r="AN53" s="40"/>
      <c r="AO53" s="40"/>
      <c r="AP53" s="40"/>
      <c r="AQ53" s="40"/>
      <c r="AR53" s="40"/>
      <c r="AS53" s="40"/>
      <c r="AT53" s="40"/>
      <c r="AU53" s="40" t="str">
        <f ca="1">IFERROR(__xludf.DUMMYFUNCTION("""COMPUTED_VALUE"""),"Procede_E_P")</f>
        <v>Procede_E_P</v>
      </c>
      <c r="AV53" s="40" t="str">
        <f ca="1">IFERROR(__xludf.DUMMYFUNCTION("""COMPUTED_VALUE"""),"EN FORMACION")</f>
        <v>EN FORMACION</v>
      </c>
      <c r="AW53" s="40" t="str">
        <f ca="1">IFERROR(__xludf.DUMMYFUNCTION("""COMPUTED_VALUE"""),"TIC")</f>
        <v>TIC</v>
      </c>
      <c r="AX53" s="141">
        <f ca="1">IFERROR(__xludf.DUMMYFUNCTION("""COMPUTED_VALUE"""),44848)</f>
        <v>44848</v>
      </c>
      <c r="AY53" s="40">
        <f ca="1">IFERROR(__xludf.DUMMYFUNCTION("""COMPUTED_VALUE"""),0)</f>
        <v>0</v>
      </c>
      <c r="AZ53" s="40">
        <f ca="1">IFERROR(__xludf.DUMMYFUNCTION("""COMPUTED_VALUE"""),1)</f>
        <v>1</v>
      </c>
      <c r="BA53" s="40">
        <f ca="1">IFERROR(__xludf.DUMMYFUNCTION("""COMPUTED_VALUE"""),0)</f>
        <v>0</v>
      </c>
      <c r="BB53" s="40">
        <f ca="1">IFERROR(__xludf.DUMMYFUNCTION("""COMPUTED_VALUE"""),0)</f>
        <v>0</v>
      </c>
      <c r="BC53" s="40">
        <f ca="1">IFERROR(__xludf.DUMMYFUNCTION("""COMPUTED_VALUE"""),1)</f>
        <v>1</v>
      </c>
      <c r="BD53" s="141">
        <f ca="1">IFERROR(__xludf.DUMMYFUNCTION("""COMPUTED_VALUE"""),43542)</f>
        <v>43542</v>
      </c>
      <c r="BE53" s="141">
        <f ca="1">IFERROR(__xludf.DUMMYFUNCTION("""COMPUTED_VALUE"""),43726)</f>
        <v>43726</v>
      </c>
      <c r="BF53" s="141">
        <f ca="1">IFERROR(__xludf.DUMMYFUNCTION("""COMPUTED_VALUE"""),43908)</f>
        <v>43908</v>
      </c>
      <c r="BG53" s="141">
        <f ca="1">IFERROR(__xludf.DUMMYFUNCTION("""COMPUTED_VALUE"""),44457)</f>
        <v>44457</v>
      </c>
      <c r="BH53" s="40" t="str">
        <f ca="1">IFERROR(__xludf.DUMMYFUNCTION("""COMPUTED_VALUE"""),"FINALIZAR FICHA")</f>
        <v>FINALIZAR FICHA</v>
      </c>
      <c r="BI53" s="40" t="str">
        <f ca="1">IFERROR(__xludf.DUMMYFUNCTION("""COMPUTED_VALUE"""),"Terminada por Fecha     ")</f>
        <v xml:space="preserve">Terminada por Fecha     </v>
      </c>
      <c r="BJ53" s="40" t="str">
        <f ca="1">IFERROR(__xludf.DUMMYFUNCTION("""COMPUTED_VALUE"""),"Yamboro")</f>
        <v>Yamboro</v>
      </c>
      <c r="BK53" s="40"/>
      <c r="BL53" s="40"/>
    </row>
    <row r="54" spans="1:64" ht="13">
      <c r="A54" s="40"/>
      <c r="B54" s="40" t="str">
        <f ca="1">IFERROR(__xludf.DUMMYFUNCTION("""COMPUTED_VALUE"""),"FORMACIÓN...07/04/2022")</f>
        <v>FORMACIÓN...07/04/2022</v>
      </c>
      <c r="C54" s="40" t="str">
        <f ca="1">IFERROR(__xludf.DUMMYFUNCTION("""COMPUTED_VALUE"""),"EDNA CONSTANZA CORDOBA CABRERA")</f>
        <v>EDNA CONSTANZA CORDOBA CABRERA</v>
      </c>
      <c r="D54" s="40" t="str">
        <f ca="1">IFERROR(__xludf.DUMMYFUNCTION("""COMPUTED_VALUE"""),"CC")</f>
        <v>CC</v>
      </c>
      <c r="E54" s="40">
        <f ca="1">IFERROR(__xludf.DUMMYFUNCTION("""COMPUTED_VALUE"""),1082773270)</f>
        <v>1082773270</v>
      </c>
      <c r="F54" s="40">
        <f ca="1">IFERROR(__xludf.DUMMYFUNCTION("""COMPUTED_VALUE"""),1859891)</f>
        <v>1859891</v>
      </c>
      <c r="G54" s="40" t="str">
        <f ca="1">IFERROR(__xludf.DUMMYFUNCTION("""COMPUTED_VALUE"""),"TÉCNICO")</f>
        <v>TÉCNICO</v>
      </c>
      <c r="H54" s="40" t="str">
        <f ca="1">IFERROR(__xludf.DUMMYFUNCTION("""COMPUTED_VALUE"""),"SISTEMAS")</f>
        <v>SISTEMAS</v>
      </c>
      <c r="I54" s="40">
        <f ca="1">IFERROR(__xludf.DUMMYFUNCTION("""COMPUTED_VALUE"""),3108194071)</f>
        <v>3108194071</v>
      </c>
      <c r="J54" s="40" t="str">
        <f ca="1">IFERROR(__xludf.DUMMYFUNCTION("""COMPUTED_VALUE"""),"edcosal0315@gmail.com")</f>
        <v>edcosal0315@gmail.com</v>
      </c>
      <c r="K54" s="40" t="str">
        <f ca="1">IFERROR(__xludf.DUMMYFUNCTION("""COMPUTED_VALUE"""),"SAN AGUSTIN")</f>
        <v>SAN AGUSTIN</v>
      </c>
      <c r="L54" s="40" t="str">
        <f ca="1">IFERROR(__xludf.DUMMYFUNCTION("""COMPUTED_VALUE"""),"NO HA INICIADO ETAPA PRODUCTIVA")</f>
        <v>NO HA INICIADO ETAPA PRODUCTIVA</v>
      </c>
      <c r="M54" s="40"/>
      <c r="N54" s="40"/>
      <c r="O54" s="40"/>
      <c r="P54" s="40"/>
      <c r="Q54" s="40"/>
      <c r="R54" s="140"/>
      <c r="S54" s="140"/>
      <c r="T54" s="40"/>
      <c r="U54" s="40"/>
      <c r="V54" s="40"/>
      <c r="W54" s="40"/>
      <c r="X54" s="40"/>
      <c r="Y54" s="40"/>
      <c r="Z54" s="40"/>
      <c r="AA54" s="40" t="str">
        <f ca="1">IFERROR(__xludf.DUMMYFUNCTION("""COMPUTED_VALUE"""),"Revisado 15/06/2022")</f>
        <v>Revisado 15/06/2022</v>
      </c>
      <c r="AB54" s="40"/>
      <c r="AC54" s="40"/>
      <c r="AD54" s="40"/>
      <c r="AE54" s="40"/>
      <c r="AF54" s="40"/>
      <c r="AG54" s="40"/>
      <c r="AH54" s="40"/>
      <c r="AI54" s="40"/>
      <c r="AJ54" s="40"/>
      <c r="AK54" s="40"/>
      <c r="AL54" s="40"/>
      <c r="AM54" s="40"/>
      <c r="AN54" s="40"/>
      <c r="AO54" s="40"/>
      <c r="AP54" s="40"/>
      <c r="AQ54" s="40"/>
      <c r="AR54" s="40"/>
      <c r="AS54" s="40"/>
      <c r="AT54" s="40"/>
      <c r="AU54" s="40" t="str">
        <f ca="1">IFERROR(__xludf.DUMMYFUNCTION("""COMPUTED_VALUE"""),"Procede_E_P")</f>
        <v>Procede_E_P</v>
      </c>
      <c r="AV54" s="40" t="str">
        <f ca="1">IFERROR(__xludf.DUMMYFUNCTION("""COMPUTED_VALUE"""),"EN FORMACION")</f>
        <v>EN FORMACION</v>
      </c>
      <c r="AW54" s="40" t="str">
        <f ca="1">IFERROR(__xludf.DUMMYFUNCTION("""COMPUTED_VALUE"""),"TIC")</f>
        <v>TIC</v>
      </c>
      <c r="AX54" s="141">
        <f ca="1">IFERROR(__xludf.DUMMYFUNCTION("""COMPUTED_VALUE"""),44848)</f>
        <v>44848</v>
      </c>
      <c r="AY54" s="40">
        <f ca="1">IFERROR(__xludf.DUMMYFUNCTION("""COMPUTED_VALUE"""),0)</f>
        <v>0</v>
      </c>
      <c r="AZ54" s="40">
        <f ca="1">IFERROR(__xludf.DUMMYFUNCTION("""COMPUTED_VALUE"""),1)</f>
        <v>1</v>
      </c>
      <c r="BA54" s="40">
        <f ca="1">IFERROR(__xludf.DUMMYFUNCTION("""COMPUTED_VALUE"""),0)</f>
        <v>0</v>
      </c>
      <c r="BB54" s="40">
        <f ca="1">IFERROR(__xludf.DUMMYFUNCTION("""COMPUTED_VALUE"""),0)</f>
        <v>0</v>
      </c>
      <c r="BC54" s="40">
        <f ca="1">IFERROR(__xludf.DUMMYFUNCTION("""COMPUTED_VALUE"""),1)</f>
        <v>1</v>
      </c>
      <c r="BD54" s="141">
        <f ca="1">IFERROR(__xludf.DUMMYFUNCTION("""COMPUTED_VALUE"""),43542)</f>
        <v>43542</v>
      </c>
      <c r="BE54" s="141">
        <f ca="1">IFERROR(__xludf.DUMMYFUNCTION("""COMPUTED_VALUE"""),43726)</f>
        <v>43726</v>
      </c>
      <c r="BF54" s="141">
        <f ca="1">IFERROR(__xludf.DUMMYFUNCTION("""COMPUTED_VALUE"""),43908)</f>
        <v>43908</v>
      </c>
      <c r="BG54" s="141">
        <f ca="1">IFERROR(__xludf.DUMMYFUNCTION("""COMPUTED_VALUE"""),44457)</f>
        <v>44457</v>
      </c>
      <c r="BH54" s="40" t="str">
        <f ca="1">IFERROR(__xludf.DUMMYFUNCTION("""COMPUTED_VALUE"""),"FINALIZAR FICHA")</f>
        <v>FINALIZAR FICHA</v>
      </c>
      <c r="BI54" s="40" t="str">
        <f ca="1">IFERROR(__xludf.DUMMYFUNCTION("""COMPUTED_VALUE"""),"Terminada por Fecha     ")</f>
        <v xml:space="preserve">Terminada por Fecha     </v>
      </c>
      <c r="BJ54" s="40" t="str">
        <f ca="1">IFERROR(__xludf.DUMMYFUNCTION("""COMPUTED_VALUE"""),"Yamboro")</f>
        <v>Yamboro</v>
      </c>
      <c r="BK54" s="40"/>
      <c r="BL54" s="40"/>
    </row>
    <row r="55" spans="1:64" ht="13">
      <c r="A55" s="40"/>
      <c r="B55" s="40" t="str">
        <f ca="1">IFERROR(__xludf.DUMMYFUNCTION("""COMPUTED_VALUE"""),"FORMACIÓN...07/04/2022")</f>
        <v>FORMACIÓN...07/04/2022</v>
      </c>
      <c r="C55" s="40" t="str">
        <f ca="1">IFERROR(__xludf.DUMMYFUNCTION("""COMPUTED_VALUE"""),"IRMA CERON PIAMBA")</f>
        <v>IRMA CERON PIAMBA</v>
      </c>
      <c r="D55" s="40" t="str">
        <f ca="1">IFERROR(__xludf.DUMMYFUNCTION("""COMPUTED_VALUE"""),"CC")</f>
        <v>CC</v>
      </c>
      <c r="E55" s="40">
        <f ca="1">IFERROR(__xludf.DUMMYFUNCTION("""COMPUTED_VALUE"""),1082775982)</f>
        <v>1082775982</v>
      </c>
      <c r="F55" s="40">
        <f ca="1">IFERROR(__xludf.DUMMYFUNCTION("""COMPUTED_VALUE"""),1859891)</f>
        <v>1859891</v>
      </c>
      <c r="G55" s="40" t="str">
        <f ca="1">IFERROR(__xludf.DUMMYFUNCTION("""COMPUTED_VALUE"""),"TÉCNICO")</f>
        <v>TÉCNICO</v>
      </c>
      <c r="H55" s="40" t="str">
        <f ca="1">IFERROR(__xludf.DUMMYFUNCTION("""COMPUTED_VALUE"""),"SISTEMAS")</f>
        <v>SISTEMAS</v>
      </c>
      <c r="I55" s="40">
        <f ca="1">IFERROR(__xludf.DUMMYFUNCTION("""COMPUTED_VALUE"""),3108690927)</f>
        <v>3108690927</v>
      </c>
      <c r="J55" s="40" t="str">
        <f ca="1">IFERROR(__xludf.DUMMYFUNCTION("""COMPUTED_VALUE"""),"ceronirmadana@gmail.com")</f>
        <v>ceronirmadana@gmail.com</v>
      </c>
      <c r="K55" s="40" t="str">
        <f ca="1">IFERROR(__xludf.DUMMYFUNCTION("""COMPUTED_VALUE"""),"SAN AGUSTIN")</f>
        <v>SAN AGUSTIN</v>
      </c>
      <c r="L55" s="40" t="str">
        <f ca="1">IFERROR(__xludf.DUMMYFUNCTION("""COMPUTED_VALUE"""),"NO HA INICIADO ETAPA PRODUCTIVA")</f>
        <v>NO HA INICIADO ETAPA PRODUCTIVA</v>
      </c>
      <c r="M55" s="40"/>
      <c r="N55" s="40"/>
      <c r="O55" s="40"/>
      <c r="P55" s="40"/>
      <c r="Q55" s="40"/>
      <c r="R55" s="140"/>
      <c r="S55" s="140"/>
      <c r="T55" s="40"/>
      <c r="U55" s="40"/>
      <c r="V55" s="40"/>
      <c r="W55" s="40"/>
      <c r="X55" s="40"/>
      <c r="Y55" s="40"/>
      <c r="Z55" s="40"/>
      <c r="AA55" s="40" t="str">
        <f ca="1">IFERROR(__xludf.DUMMYFUNCTION("""COMPUTED_VALUE"""),"Revisado 15/06/2022")</f>
        <v>Revisado 15/06/2022</v>
      </c>
      <c r="AB55" s="40"/>
      <c r="AC55" s="40"/>
      <c r="AD55" s="40"/>
      <c r="AE55" s="40"/>
      <c r="AF55" s="40"/>
      <c r="AG55" s="40"/>
      <c r="AH55" s="40"/>
      <c r="AI55" s="40"/>
      <c r="AJ55" s="40"/>
      <c r="AK55" s="40"/>
      <c r="AL55" s="40"/>
      <c r="AM55" s="40"/>
      <c r="AN55" s="40"/>
      <c r="AO55" s="40"/>
      <c r="AP55" s="40"/>
      <c r="AQ55" s="40"/>
      <c r="AR55" s="40"/>
      <c r="AS55" s="40"/>
      <c r="AT55" s="40"/>
      <c r="AU55" s="40" t="str">
        <f ca="1">IFERROR(__xludf.DUMMYFUNCTION("""COMPUTED_VALUE"""),"Procede_E_P")</f>
        <v>Procede_E_P</v>
      </c>
      <c r="AV55" s="40" t="str">
        <f ca="1">IFERROR(__xludf.DUMMYFUNCTION("""COMPUTED_VALUE"""),"EN FORMACION")</f>
        <v>EN FORMACION</v>
      </c>
      <c r="AW55" s="40" t="str">
        <f ca="1">IFERROR(__xludf.DUMMYFUNCTION("""COMPUTED_VALUE"""),"TIC")</f>
        <v>TIC</v>
      </c>
      <c r="AX55" s="141">
        <f ca="1">IFERROR(__xludf.DUMMYFUNCTION("""COMPUTED_VALUE"""),44848)</f>
        <v>44848</v>
      </c>
      <c r="AY55" s="40">
        <f ca="1">IFERROR(__xludf.DUMMYFUNCTION("""COMPUTED_VALUE"""),0)</f>
        <v>0</v>
      </c>
      <c r="AZ55" s="40">
        <f ca="1">IFERROR(__xludf.DUMMYFUNCTION("""COMPUTED_VALUE"""),1)</f>
        <v>1</v>
      </c>
      <c r="BA55" s="40">
        <f ca="1">IFERROR(__xludf.DUMMYFUNCTION("""COMPUTED_VALUE"""),0)</f>
        <v>0</v>
      </c>
      <c r="BB55" s="40">
        <f ca="1">IFERROR(__xludf.DUMMYFUNCTION("""COMPUTED_VALUE"""),0)</f>
        <v>0</v>
      </c>
      <c r="BC55" s="40">
        <f ca="1">IFERROR(__xludf.DUMMYFUNCTION("""COMPUTED_VALUE"""),1)</f>
        <v>1</v>
      </c>
      <c r="BD55" s="141">
        <f ca="1">IFERROR(__xludf.DUMMYFUNCTION("""COMPUTED_VALUE"""),43542)</f>
        <v>43542</v>
      </c>
      <c r="BE55" s="141">
        <f ca="1">IFERROR(__xludf.DUMMYFUNCTION("""COMPUTED_VALUE"""),43726)</f>
        <v>43726</v>
      </c>
      <c r="BF55" s="141">
        <f ca="1">IFERROR(__xludf.DUMMYFUNCTION("""COMPUTED_VALUE"""),43908)</f>
        <v>43908</v>
      </c>
      <c r="BG55" s="141">
        <f ca="1">IFERROR(__xludf.DUMMYFUNCTION("""COMPUTED_VALUE"""),44457)</f>
        <v>44457</v>
      </c>
      <c r="BH55" s="40" t="str">
        <f ca="1">IFERROR(__xludf.DUMMYFUNCTION("""COMPUTED_VALUE"""),"FINALIZAR FICHA")</f>
        <v>FINALIZAR FICHA</v>
      </c>
      <c r="BI55" s="40" t="str">
        <f ca="1">IFERROR(__xludf.DUMMYFUNCTION("""COMPUTED_VALUE"""),"Terminada por Fecha     ")</f>
        <v xml:space="preserve">Terminada por Fecha     </v>
      </c>
      <c r="BJ55" s="40" t="str">
        <f ca="1">IFERROR(__xludf.DUMMYFUNCTION("""COMPUTED_VALUE"""),"Yamboro")</f>
        <v>Yamboro</v>
      </c>
      <c r="BK55" s="40"/>
      <c r="BL55" s="40"/>
    </row>
    <row r="56" spans="1:64" ht="13">
      <c r="A56" s="40"/>
      <c r="B56" s="40" t="str">
        <f ca="1">IFERROR(__xludf.DUMMYFUNCTION("""COMPUTED_VALUE"""),"FORMACIÓN...07/04/2022")</f>
        <v>FORMACIÓN...07/04/2022</v>
      </c>
      <c r="C56" s="40" t="str">
        <f ca="1">IFERROR(__xludf.DUMMYFUNCTION("""COMPUTED_VALUE"""),"WILLIAN ANTONIO CERON ORDOÑEZ")</f>
        <v>WILLIAN ANTONIO CERON ORDOÑEZ</v>
      </c>
      <c r="D56" s="40" t="str">
        <f ca="1">IFERROR(__xludf.DUMMYFUNCTION("""COMPUTED_VALUE"""),"CC")</f>
        <v>CC</v>
      </c>
      <c r="E56" s="40">
        <f ca="1">IFERROR(__xludf.DUMMYFUNCTION("""COMPUTED_VALUE"""),1082780215)</f>
        <v>1082780215</v>
      </c>
      <c r="F56" s="40">
        <f ca="1">IFERROR(__xludf.DUMMYFUNCTION("""COMPUTED_VALUE"""),1859891)</f>
        <v>1859891</v>
      </c>
      <c r="G56" s="40" t="str">
        <f ca="1">IFERROR(__xludf.DUMMYFUNCTION("""COMPUTED_VALUE"""),"TÉCNICO")</f>
        <v>TÉCNICO</v>
      </c>
      <c r="H56" s="40" t="str">
        <f ca="1">IFERROR(__xludf.DUMMYFUNCTION("""COMPUTED_VALUE"""),"SISTEMAS")</f>
        <v>SISTEMAS</v>
      </c>
      <c r="I56" s="40">
        <f ca="1">IFERROR(__xludf.DUMMYFUNCTION("""COMPUTED_VALUE"""),3214882579)</f>
        <v>3214882579</v>
      </c>
      <c r="J56" s="40" t="str">
        <f ca="1">IFERROR(__xludf.DUMMYFUNCTION("""COMPUTED_VALUE"""),"williamceron93@gmail.com")</f>
        <v>williamceron93@gmail.com</v>
      </c>
      <c r="K56" s="40" t="str">
        <f ca="1">IFERROR(__xludf.DUMMYFUNCTION("""COMPUTED_VALUE"""),"SAN AGUSTIN")</f>
        <v>SAN AGUSTIN</v>
      </c>
      <c r="L56" s="40" t="str">
        <f ca="1">IFERROR(__xludf.DUMMYFUNCTION("""COMPUTED_VALUE"""),"NO HA INICIADO ETAPA PRODUCTIVA")</f>
        <v>NO HA INICIADO ETAPA PRODUCTIVA</v>
      </c>
      <c r="M56" s="40"/>
      <c r="N56" s="40"/>
      <c r="O56" s="40"/>
      <c r="P56" s="40"/>
      <c r="Q56" s="40"/>
      <c r="R56" s="140"/>
      <c r="S56" s="140"/>
      <c r="T56" s="40"/>
      <c r="U56" s="40"/>
      <c r="V56" s="40"/>
      <c r="W56" s="40"/>
      <c r="X56" s="40"/>
      <c r="Y56" s="40"/>
      <c r="Z56" s="40"/>
      <c r="AA56" s="40" t="str">
        <f ca="1">IFERROR(__xludf.DUMMYFUNCTION("""COMPUTED_VALUE"""),"Revisado 15/06/2022")</f>
        <v>Revisado 15/06/2022</v>
      </c>
      <c r="AB56" s="40"/>
      <c r="AC56" s="40"/>
      <c r="AD56" s="40"/>
      <c r="AE56" s="40"/>
      <c r="AF56" s="40"/>
      <c r="AG56" s="40"/>
      <c r="AH56" s="40"/>
      <c r="AI56" s="40"/>
      <c r="AJ56" s="40"/>
      <c r="AK56" s="40"/>
      <c r="AL56" s="40"/>
      <c r="AM56" s="40"/>
      <c r="AN56" s="40"/>
      <c r="AO56" s="40"/>
      <c r="AP56" s="40"/>
      <c r="AQ56" s="40"/>
      <c r="AR56" s="40"/>
      <c r="AS56" s="40"/>
      <c r="AT56" s="40"/>
      <c r="AU56" s="40" t="str">
        <f ca="1">IFERROR(__xludf.DUMMYFUNCTION("""COMPUTED_VALUE"""),"Procede_E_P")</f>
        <v>Procede_E_P</v>
      </c>
      <c r="AV56" s="40" t="str">
        <f ca="1">IFERROR(__xludf.DUMMYFUNCTION("""COMPUTED_VALUE"""),"EN FORMACION")</f>
        <v>EN FORMACION</v>
      </c>
      <c r="AW56" s="40" t="str">
        <f ca="1">IFERROR(__xludf.DUMMYFUNCTION("""COMPUTED_VALUE"""),"TIC")</f>
        <v>TIC</v>
      </c>
      <c r="AX56" s="141">
        <f ca="1">IFERROR(__xludf.DUMMYFUNCTION("""COMPUTED_VALUE"""),44848)</f>
        <v>44848</v>
      </c>
      <c r="AY56" s="40">
        <f ca="1">IFERROR(__xludf.DUMMYFUNCTION("""COMPUTED_VALUE"""),0)</f>
        <v>0</v>
      </c>
      <c r="AZ56" s="40">
        <f ca="1">IFERROR(__xludf.DUMMYFUNCTION("""COMPUTED_VALUE"""),1)</f>
        <v>1</v>
      </c>
      <c r="BA56" s="40">
        <f ca="1">IFERROR(__xludf.DUMMYFUNCTION("""COMPUTED_VALUE"""),0)</f>
        <v>0</v>
      </c>
      <c r="BB56" s="40">
        <f ca="1">IFERROR(__xludf.DUMMYFUNCTION("""COMPUTED_VALUE"""),0)</f>
        <v>0</v>
      </c>
      <c r="BC56" s="40">
        <f ca="1">IFERROR(__xludf.DUMMYFUNCTION("""COMPUTED_VALUE"""),1)</f>
        <v>1</v>
      </c>
      <c r="BD56" s="141">
        <f ca="1">IFERROR(__xludf.DUMMYFUNCTION("""COMPUTED_VALUE"""),43542)</f>
        <v>43542</v>
      </c>
      <c r="BE56" s="141">
        <f ca="1">IFERROR(__xludf.DUMMYFUNCTION("""COMPUTED_VALUE"""),43726)</f>
        <v>43726</v>
      </c>
      <c r="BF56" s="141">
        <f ca="1">IFERROR(__xludf.DUMMYFUNCTION("""COMPUTED_VALUE"""),43908)</f>
        <v>43908</v>
      </c>
      <c r="BG56" s="141">
        <f ca="1">IFERROR(__xludf.DUMMYFUNCTION("""COMPUTED_VALUE"""),44457)</f>
        <v>44457</v>
      </c>
      <c r="BH56" s="40" t="str">
        <f ca="1">IFERROR(__xludf.DUMMYFUNCTION("""COMPUTED_VALUE"""),"FINALIZAR FICHA")</f>
        <v>FINALIZAR FICHA</v>
      </c>
      <c r="BI56" s="40" t="str">
        <f ca="1">IFERROR(__xludf.DUMMYFUNCTION("""COMPUTED_VALUE"""),"Terminada por Fecha     ")</f>
        <v xml:space="preserve">Terminada por Fecha     </v>
      </c>
      <c r="BJ56" s="40" t="str">
        <f ca="1">IFERROR(__xludf.DUMMYFUNCTION("""COMPUTED_VALUE"""),"Yamboro")</f>
        <v>Yamboro</v>
      </c>
      <c r="BK56" s="40"/>
      <c r="BL56" s="40"/>
    </row>
    <row r="57" spans="1:64" ht="13">
      <c r="A57" s="40"/>
      <c r="B57" s="40" t="str">
        <f ca="1">IFERROR(__xludf.DUMMYFUNCTION("""COMPUTED_VALUE"""),"FORMACIÓN...07/04/2022")</f>
        <v>FORMACIÓN...07/04/2022</v>
      </c>
      <c r="C57" s="40" t="str">
        <f ca="1">IFERROR(__xludf.DUMMYFUNCTION("""COMPUTED_VALUE"""),"INGRID FANERY CHICANGANA JOAQUI")</f>
        <v>INGRID FANERY CHICANGANA JOAQUI</v>
      </c>
      <c r="D57" s="40" t="str">
        <f ca="1">IFERROR(__xludf.DUMMYFUNCTION("""COMPUTED_VALUE"""),"CC")</f>
        <v>CC</v>
      </c>
      <c r="E57" s="40">
        <f ca="1">IFERROR(__xludf.DUMMYFUNCTION("""COMPUTED_VALUE"""),1082780880)</f>
        <v>1082780880</v>
      </c>
      <c r="F57" s="40">
        <f ca="1">IFERROR(__xludf.DUMMYFUNCTION("""COMPUTED_VALUE"""),1859891)</f>
        <v>1859891</v>
      </c>
      <c r="G57" s="40" t="str">
        <f ca="1">IFERROR(__xludf.DUMMYFUNCTION("""COMPUTED_VALUE"""),"TÉCNICO")</f>
        <v>TÉCNICO</v>
      </c>
      <c r="H57" s="40" t="str">
        <f ca="1">IFERROR(__xludf.DUMMYFUNCTION("""COMPUTED_VALUE"""),"SISTEMAS")</f>
        <v>SISTEMAS</v>
      </c>
      <c r="I57" s="40">
        <f ca="1">IFERROR(__xludf.DUMMYFUNCTION("""COMPUTED_VALUE"""),3104238241)</f>
        <v>3104238241</v>
      </c>
      <c r="J57" s="40" t="str">
        <f ca="1">IFERROR(__xludf.DUMMYFUNCTION("""COMPUTED_VALUE"""),"ingridf2301@gmail.com")</f>
        <v>ingridf2301@gmail.com</v>
      </c>
      <c r="K57" s="40" t="str">
        <f ca="1">IFERROR(__xludf.DUMMYFUNCTION("""COMPUTED_VALUE"""),"SAN AGUSTIN")</f>
        <v>SAN AGUSTIN</v>
      </c>
      <c r="L57" s="40" t="str">
        <f ca="1">IFERROR(__xludf.DUMMYFUNCTION("""COMPUTED_VALUE"""),"NO HA INICIADO ETAPA PRODUCTIVA")</f>
        <v>NO HA INICIADO ETAPA PRODUCTIVA</v>
      </c>
      <c r="M57" s="40"/>
      <c r="N57" s="40"/>
      <c r="O57" s="40"/>
      <c r="P57" s="40"/>
      <c r="Q57" s="40"/>
      <c r="R57" s="140"/>
      <c r="S57" s="140"/>
      <c r="T57" s="40"/>
      <c r="U57" s="40"/>
      <c r="V57" s="40"/>
      <c r="W57" s="40"/>
      <c r="X57" s="40"/>
      <c r="Y57" s="40"/>
      <c r="Z57" s="40"/>
      <c r="AA57" s="40" t="str">
        <f ca="1">IFERROR(__xludf.DUMMYFUNCTION("""COMPUTED_VALUE"""),"Revisado 15/06/2022")</f>
        <v>Revisado 15/06/2022</v>
      </c>
      <c r="AB57" s="40"/>
      <c r="AC57" s="40"/>
      <c r="AD57" s="40"/>
      <c r="AE57" s="40"/>
      <c r="AF57" s="40"/>
      <c r="AG57" s="40"/>
      <c r="AH57" s="40"/>
      <c r="AI57" s="40"/>
      <c r="AJ57" s="40"/>
      <c r="AK57" s="40"/>
      <c r="AL57" s="40"/>
      <c r="AM57" s="40"/>
      <c r="AN57" s="40"/>
      <c r="AO57" s="40"/>
      <c r="AP57" s="40"/>
      <c r="AQ57" s="40"/>
      <c r="AR57" s="40"/>
      <c r="AS57" s="40"/>
      <c r="AT57" s="40"/>
      <c r="AU57" s="40" t="str">
        <f ca="1">IFERROR(__xludf.DUMMYFUNCTION("""COMPUTED_VALUE"""),"Procede_E_P")</f>
        <v>Procede_E_P</v>
      </c>
      <c r="AV57" s="40" t="str">
        <f ca="1">IFERROR(__xludf.DUMMYFUNCTION("""COMPUTED_VALUE"""),"EN FORMACION")</f>
        <v>EN FORMACION</v>
      </c>
      <c r="AW57" s="40" t="str">
        <f ca="1">IFERROR(__xludf.DUMMYFUNCTION("""COMPUTED_VALUE"""),"TIC")</f>
        <v>TIC</v>
      </c>
      <c r="AX57" s="141">
        <f ca="1">IFERROR(__xludf.DUMMYFUNCTION("""COMPUTED_VALUE"""),44848)</f>
        <v>44848</v>
      </c>
      <c r="AY57" s="40">
        <f ca="1">IFERROR(__xludf.DUMMYFUNCTION("""COMPUTED_VALUE"""),0)</f>
        <v>0</v>
      </c>
      <c r="AZ57" s="40">
        <f ca="1">IFERROR(__xludf.DUMMYFUNCTION("""COMPUTED_VALUE"""),1)</f>
        <v>1</v>
      </c>
      <c r="BA57" s="40">
        <f ca="1">IFERROR(__xludf.DUMMYFUNCTION("""COMPUTED_VALUE"""),0)</f>
        <v>0</v>
      </c>
      <c r="BB57" s="40">
        <f ca="1">IFERROR(__xludf.DUMMYFUNCTION("""COMPUTED_VALUE"""),0)</f>
        <v>0</v>
      </c>
      <c r="BC57" s="40">
        <f ca="1">IFERROR(__xludf.DUMMYFUNCTION("""COMPUTED_VALUE"""),1)</f>
        <v>1</v>
      </c>
      <c r="BD57" s="141">
        <f ca="1">IFERROR(__xludf.DUMMYFUNCTION("""COMPUTED_VALUE"""),43542)</f>
        <v>43542</v>
      </c>
      <c r="BE57" s="141">
        <f ca="1">IFERROR(__xludf.DUMMYFUNCTION("""COMPUTED_VALUE"""),43726)</f>
        <v>43726</v>
      </c>
      <c r="BF57" s="141">
        <f ca="1">IFERROR(__xludf.DUMMYFUNCTION("""COMPUTED_VALUE"""),43908)</f>
        <v>43908</v>
      </c>
      <c r="BG57" s="141">
        <f ca="1">IFERROR(__xludf.DUMMYFUNCTION("""COMPUTED_VALUE"""),44457)</f>
        <v>44457</v>
      </c>
      <c r="BH57" s="40" t="str">
        <f ca="1">IFERROR(__xludf.DUMMYFUNCTION("""COMPUTED_VALUE"""),"FINALIZAR FICHA")</f>
        <v>FINALIZAR FICHA</v>
      </c>
      <c r="BI57" s="40" t="str">
        <f ca="1">IFERROR(__xludf.DUMMYFUNCTION("""COMPUTED_VALUE"""),"Terminada por Fecha     ")</f>
        <v xml:space="preserve">Terminada por Fecha     </v>
      </c>
      <c r="BJ57" s="40" t="str">
        <f ca="1">IFERROR(__xludf.DUMMYFUNCTION("""COMPUTED_VALUE"""),"Yamboro")</f>
        <v>Yamboro</v>
      </c>
      <c r="BK57" s="40"/>
      <c r="BL57" s="40"/>
    </row>
    <row r="58" spans="1:64" ht="13">
      <c r="A58" s="40"/>
      <c r="B58" s="40" t="str">
        <f ca="1">IFERROR(__xludf.DUMMYFUNCTION("""COMPUTED_VALUE"""),"FORMACIÓN...07/04/2022")</f>
        <v>FORMACIÓN...07/04/2022</v>
      </c>
      <c r="C58" s="40" t="str">
        <f ca="1">IFERROR(__xludf.DUMMYFUNCTION("""COMPUTED_VALUE"""),"DANIELA ALEJANDRA GIRON HERNANDEZ")</f>
        <v>DANIELA ALEJANDRA GIRON HERNANDEZ</v>
      </c>
      <c r="D58" s="40" t="str">
        <f ca="1">IFERROR(__xludf.DUMMYFUNCTION("""COMPUTED_VALUE"""),"CC")</f>
        <v>CC</v>
      </c>
      <c r="E58" s="40">
        <f ca="1">IFERROR(__xludf.DUMMYFUNCTION("""COMPUTED_VALUE"""),1082780951)</f>
        <v>1082780951</v>
      </c>
      <c r="F58" s="40">
        <f ca="1">IFERROR(__xludf.DUMMYFUNCTION("""COMPUTED_VALUE"""),1859891)</f>
        <v>1859891</v>
      </c>
      <c r="G58" s="40" t="str">
        <f ca="1">IFERROR(__xludf.DUMMYFUNCTION("""COMPUTED_VALUE"""),"TÉCNICO")</f>
        <v>TÉCNICO</v>
      </c>
      <c r="H58" s="40" t="str">
        <f ca="1">IFERROR(__xludf.DUMMYFUNCTION("""COMPUTED_VALUE"""),"SISTEMAS")</f>
        <v>SISTEMAS</v>
      </c>
      <c r="I58" s="40">
        <f ca="1">IFERROR(__xludf.DUMMYFUNCTION("""COMPUTED_VALUE"""),3213915077)</f>
        <v>3213915077</v>
      </c>
      <c r="J58" s="40" t="str">
        <f ca="1">IFERROR(__xludf.DUMMYFUNCTION("""COMPUTED_VALUE"""),"danialeja2612@gmail.com")</f>
        <v>danialeja2612@gmail.com</v>
      </c>
      <c r="K58" s="40" t="str">
        <f ca="1">IFERROR(__xludf.DUMMYFUNCTION("""COMPUTED_VALUE"""),"SAN AGUSTIN")</f>
        <v>SAN AGUSTIN</v>
      </c>
      <c r="L58" s="40" t="str">
        <f ca="1">IFERROR(__xludf.DUMMYFUNCTION("""COMPUTED_VALUE"""),"NO HA INICIADO ETAPA PRODUCTIVA")</f>
        <v>NO HA INICIADO ETAPA PRODUCTIVA</v>
      </c>
      <c r="M58" s="40"/>
      <c r="N58" s="40"/>
      <c r="O58" s="40"/>
      <c r="P58" s="40"/>
      <c r="Q58" s="40"/>
      <c r="R58" s="140"/>
      <c r="S58" s="140"/>
      <c r="T58" s="40"/>
      <c r="U58" s="40"/>
      <c r="V58" s="40"/>
      <c r="W58" s="40"/>
      <c r="X58" s="40"/>
      <c r="Y58" s="40"/>
      <c r="Z58" s="40"/>
      <c r="AA58" s="40" t="str">
        <f ca="1">IFERROR(__xludf.DUMMYFUNCTION("""COMPUTED_VALUE"""),"Revisado 15/06/2022")</f>
        <v>Revisado 15/06/2022</v>
      </c>
      <c r="AB58" s="40"/>
      <c r="AC58" s="40"/>
      <c r="AD58" s="40"/>
      <c r="AE58" s="40"/>
      <c r="AF58" s="40"/>
      <c r="AG58" s="40"/>
      <c r="AH58" s="40"/>
      <c r="AI58" s="40"/>
      <c r="AJ58" s="40"/>
      <c r="AK58" s="40"/>
      <c r="AL58" s="40"/>
      <c r="AM58" s="40"/>
      <c r="AN58" s="40"/>
      <c r="AO58" s="40"/>
      <c r="AP58" s="40"/>
      <c r="AQ58" s="40"/>
      <c r="AR58" s="40"/>
      <c r="AS58" s="40"/>
      <c r="AT58" s="40"/>
      <c r="AU58" s="40" t="str">
        <f ca="1">IFERROR(__xludf.DUMMYFUNCTION("""COMPUTED_VALUE"""),"Procede_E_P")</f>
        <v>Procede_E_P</v>
      </c>
      <c r="AV58" s="40" t="str">
        <f ca="1">IFERROR(__xludf.DUMMYFUNCTION("""COMPUTED_VALUE"""),"EN FORMACION")</f>
        <v>EN FORMACION</v>
      </c>
      <c r="AW58" s="40" t="str">
        <f ca="1">IFERROR(__xludf.DUMMYFUNCTION("""COMPUTED_VALUE"""),"TIC")</f>
        <v>TIC</v>
      </c>
      <c r="AX58" s="141">
        <f ca="1">IFERROR(__xludf.DUMMYFUNCTION("""COMPUTED_VALUE"""),44848)</f>
        <v>44848</v>
      </c>
      <c r="AY58" s="40">
        <f ca="1">IFERROR(__xludf.DUMMYFUNCTION("""COMPUTED_VALUE"""),0)</f>
        <v>0</v>
      </c>
      <c r="AZ58" s="40">
        <f ca="1">IFERROR(__xludf.DUMMYFUNCTION("""COMPUTED_VALUE"""),1)</f>
        <v>1</v>
      </c>
      <c r="BA58" s="40">
        <f ca="1">IFERROR(__xludf.DUMMYFUNCTION("""COMPUTED_VALUE"""),0)</f>
        <v>0</v>
      </c>
      <c r="BB58" s="40">
        <f ca="1">IFERROR(__xludf.DUMMYFUNCTION("""COMPUTED_VALUE"""),0)</f>
        <v>0</v>
      </c>
      <c r="BC58" s="40">
        <f ca="1">IFERROR(__xludf.DUMMYFUNCTION("""COMPUTED_VALUE"""),1)</f>
        <v>1</v>
      </c>
      <c r="BD58" s="141">
        <f ca="1">IFERROR(__xludf.DUMMYFUNCTION("""COMPUTED_VALUE"""),43542)</f>
        <v>43542</v>
      </c>
      <c r="BE58" s="141">
        <f ca="1">IFERROR(__xludf.DUMMYFUNCTION("""COMPUTED_VALUE"""),43726)</f>
        <v>43726</v>
      </c>
      <c r="BF58" s="141">
        <f ca="1">IFERROR(__xludf.DUMMYFUNCTION("""COMPUTED_VALUE"""),43908)</f>
        <v>43908</v>
      </c>
      <c r="BG58" s="141">
        <f ca="1">IFERROR(__xludf.DUMMYFUNCTION("""COMPUTED_VALUE"""),44457)</f>
        <v>44457</v>
      </c>
      <c r="BH58" s="40" t="str">
        <f ca="1">IFERROR(__xludf.DUMMYFUNCTION("""COMPUTED_VALUE"""),"FINALIZAR FICHA")</f>
        <v>FINALIZAR FICHA</v>
      </c>
      <c r="BI58" s="40" t="str">
        <f ca="1">IFERROR(__xludf.DUMMYFUNCTION("""COMPUTED_VALUE"""),"Terminada por Fecha     ")</f>
        <v xml:space="preserve">Terminada por Fecha     </v>
      </c>
      <c r="BJ58" s="40" t="str">
        <f ca="1">IFERROR(__xludf.DUMMYFUNCTION("""COMPUTED_VALUE"""),"Yamboro")</f>
        <v>Yamboro</v>
      </c>
      <c r="BK58" s="40"/>
      <c r="BL58" s="40"/>
    </row>
    <row r="59" spans="1:64" ht="13">
      <c r="A59" s="40"/>
      <c r="B59" s="40" t="str">
        <f ca="1">IFERROR(__xludf.DUMMYFUNCTION("""COMPUTED_VALUE"""),"FORMACIÓN...07/04/2022")</f>
        <v>FORMACIÓN...07/04/2022</v>
      </c>
      <c r="C59" s="40" t="str">
        <f ca="1">IFERROR(__xludf.DUMMYFUNCTION("""COMPUTED_VALUE"""),"ALBENIS HOYOS MORALES")</f>
        <v>ALBENIS HOYOS MORALES</v>
      </c>
      <c r="D59" s="40" t="str">
        <f ca="1">IFERROR(__xludf.DUMMYFUNCTION("""COMPUTED_VALUE"""),"CC")</f>
        <v>CC</v>
      </c>
      <c r="E59" s="40">
        <f ca="1">IFERROR(__xludf.DUMMYFUNCTION("""COMPUTED_VALUE"""),1082781196)</f>
        <v>1082781196</v>
      </c>
      <c r="F59" s="40">
        <f ca="1">IFERROR(__xludf.DUMMYFUNCTION("""COMPUTED_VALUE"""),1859891)</f>
        <v>1859891</v>
      </c>
      <c r="G59" s="40" t="str">
        <f ca="1">IFERROR(__xludf.DUMMYFUNCTION("""COMPUTED_VALUE"""),"TÉCNICO")</f>
        <v>TÉCNICO</v>
      </c>
      <c r="H59" s="40" t="str">
        <f ca="1">IFERROR(__xludf.DUMMYFUNCTION("""COMPUTED_VALUE"""),"SISTEMAS")</f>
        <v>SISTEMAS</v>
      </c>
      <c r="I59" s="40">
        <f ca="1">IFERROR(__xludf.DUMMYFUNCTION("""COMPUTED_VALUE"""),3115473719)</f>
        <v>3115473719</v>
      </c>
      <c r="J59" s="40" t="str">
        <f ca="1">IFERROR(__xludf.DUMMYFUNCTION("""COMPUTED_VALUE"""),"albenishm@gmail.com")</f>
        <v>albenishm@gmail.com</v>
      </c>
      <c r="K59" s="40" t="str">
        <f ca="1">IFERROR(__xludf.DUMMYFUNCTION("""COMPUTED_VALUE"""),"SAN AGUSTIN")</f>
        <v>SAN AGUSTIN</v>
      </c>
      <c r="L59" s="40" t="str">
        <f ca="1">IFERROR(__xludf.DUMMYFUNCTION("""COMPUTED_VALUE"""),"NO HA INICIADO ETAPA PRODUCTIVA")</f>
        <v>NO HA INICIADO ETAPA PRODUCTIVA</v>
      </c>
      <c r="M59" s="40"/>
      <c r="N59" s="40"/>
      <c r="O59" s="40"/>
      <c r="P59" s="40"/>
      <c r="Q59" s="40"/>
      <c r="R59" s="140"/>
      <c r="S59" s="140"/>
      <c r="T59" s="40"/>
      <c r="U59" s="40"/>
      <c r="V59" s="40"/>
      <c r="W59" s="40"/>
      <c r="X59" s="40"/>
      <c r="Y59" s="40"/>
      <c r="Z59" s="40"/>
      <c r="AA59" s="40" t="str">
        <f ca="1">IFERROR(__xludf.DUMMYFUNCTION("""COMPUTED_VALUE"""),"Revisado 15/06/2022")</f>
        <v>Revisado 15/06/2022</v>
      </c>
      <c r="AB59" s="40"/>
      <c r="AC59" s="40"/>
      <c r="AD59" s="40"/>
      <c r="AE59" s="40"/>
      <c r="AF59" s="40"/>
      <c r="AG59" s="40"/>
      <c r="AH59" s="40"/>
      <c r="AI59" s="40"/>
      <c r="AJ59" s="40"/>
      <c r="AK59" s="40"/>
      <c r="AL59" s="40"/>
      <c r="AM59" s="40"/>
      <c r="AN59" s="40"/>
      <c r="AO59" s="40"/>
      <c r="AP59" s="40"/>
      <c r="AQ59" s="40"/>
      <c r="AR59" s="40"/>
      <c r="AS59" s="40"/>
      <c r="AT59" s="40"/>
      <c r="AU59" s="40" t="str">
        <f ca="1">IFERROR(__xludf.DUMMYFUNCTION("""COMPUTED_VALUE"""),"Procede_E_P")</f>
        <v>Procede_E_P</v>
      </c>
      <c r="AV59" s="40" t="str">
        <f ca="1">IFERROR(__xludf.DUMMYFUNCTION("""COMPUTED_VALUE"""),"RETIRO VOLUNTARIO")</f>
        <v>RETIRO VOLUNTARIO</v>
      </c>
      <c r="AW59" s="40" t="str">
        <f ca="1">IFERROR(__xludf.DUMMYFUNCTION("""COMPUTED_VALUE"""),"TIC")</f>
        <v>TIC</v>
      </c>
      <c r="AX59" s="141">
        <f ca="1">IFERROR(__xludf.DUMMYFUNCTION("""COMPUTED_VALUE"""),44848)</f>
        <v>44848</v>
      </c>
      <c r="AY59" s="40">
        <f ca="1">IFERROR(__xludf.DUMMYFUNCTION("""COMPUTED_VALUE"""),0)</f>
        <v>0</v>
      </c>
      <c r="AZ59" s="40">
        <f ca="1">IFERROR(__xludf.DUMMYFUNCTION("""COMPUTED_VALUE"""),1)</f>
        <v>1</v>
      </c>
      <c r="BA59" s="40">
        <f ca="1">IFERROR(__xludf.DUMMYFUNCTION("""COMPUTED_VALUE"""),0)</f>
        <v>0</v>
      </c>
      <c r="BB59" s="40">
        <f ca="1">IFERROR(__xludf.DUMMYFUNCTION("""COMPUTED_VALUE"""),0)</f>
        <v>0</v>
      </c>
      <c r="BC59" s="40">
        <f ca="1">IFERROR(__xludf.DUMMYFUNCTION("""COMPUTED_VALUE"""),1)</f>
        <v>1</v>
      </c>
      <c r="BD59" s="141">
        <f ca="1">IFERROR(__xludf.DUMMYFUNCTION("""COMPUTED_VALUE"""),43542)</f>
        <v>43542</v>
      </c>
      <c r="BE59" s="141">
        <f ca="1">IFERROR(__xludf.DUMMYFUNCTION("""COMPUTED_VALUE"""),43726)</f>
        <v>43726</v>
      </c>
      <c r="BF59" s="141">
        <f ca="1">IFERROR(__xludf.DUMMYFUNCTION("""COMPUTED_VALUE"""),43908)</f>
        <v>43908</v>
      </c>
      <c r="BG59" s="141">
        <f ca="1">IFERROR(__xludf.DUMMYFUNCTION("""COMPUTED_VALUE"""),44457)</f>
        <v>44457</v>
      </c>
      <c r="BH59" s="40" t="str">
        <f ca="1">IFERROR(__xludf.DUMMYFUNCTION("""COMPUTED_VALUE"""),"FINALIZAR FICHA")</f>
        <v>FINALIZAR FICHA</v>
      </c>
      <c r="BI59" s="40" t="str">
        <f ca="1">IFERROR(__xludf.DUMMYFUNCTION("""COMPUTED_VALUE"""),"Terminada por Fecha     ")</f>
        <v xml:space="preserve">Terminada por Fecha     </v>
      </c>
      <c r="BJ59" s="40" t="str">
        <f ca="1">IFERROR(__xludf.DUMMYFUNCTION("""COMPUTED_VALUE"""),"Yamboro")</f>
        <v>Yamboro</v>
      </c>
      <c r="BK59" s="40"/>
      <c r="BL59" s="40"/>
    </row>
    <row r="60" spans="1:64" ht="13">
      <c r="A60" s="40"/>
      <c r="B60" s="40" t="str">
        <f ca="1">IFERROR(__xludf.DUMMYFUNCTION("""COMPUTED_VALUE"""),"FORMACIÓN...07/04/2022")</f>
        <v>FORMACIÓN...07/04/2022</v>
      </c>
      <c r="C60" s="40" t="str">
        <f ca="1">IFERROR(__xludf.DUMMYFUNCTION("""COMPUTED_VALUE"""),"JULIAN ANDRES RODRIGUEZ RUIZ")</f>
        <v>JULIAN ANDRES RODRIGUEZ RUIZ</v>
      </c>
      <c r="D60" s="40" t="str">
        <f ca="1">IFERROR(__xludf.DUMMYFUNCTION("""COMPUTED_VALUE"""),"CC")</f>
        <v>CC</v>
      </c>
      <c r="E60" s="40">
        <f ca="1">IFERROR(__xludf.DUMMYFUNCTION("""COMPUTED_VALUE"""),1082781448)</f>
        <v>1082781448</v>
      </c>
      <c r="F60" s="40">
        <f ca="1">IFERROR(__xludf.DUMMYFUNCTION("""COMPUTED_VALUE"""),1859891)</f>
        <v>1859891</v>
      </c>
      <c r="G60" s="40" t="str">
        <f ca="1">IFERROR(__xludf.DUMMYFUNCTION("""COMPUTED_VALUE"""),"TÉCNICO")</f>
        <v>TÉCNICO</v>
      </c>
      <c r="H60" s="40" t="str">
        <f ca="1">IFERROR(__xludf.DUMMYFUNCTION("""COMPUTED_VALUE"""),"SISTEMAS")</f>
        <v>SISTEMAS</v>
      </c>
      <c r="I60" s="40">
        <f ca="1">IFERROR(__xludf.DUMMYFUNCTION("""COMPUTED_VALUE"""),3142423092)</f>
        <v>3142423092</v>
      </c>
      <c r="J60" s="40" t="str">
        <f ca="1">IFERROR(__xludf.DUMMYFUNCTION("""COMPUTED_VALUE"""),"rodriguezjulian323@gmail.com")</f>
        <v>rodriguezjulian323@gmail.com</v>
      </c>
      <c r="K60" s="40" t="str">
        <f ca="1">IFERROR(__xludf.DUMMYFUNCTION("""COMPUTED_VALUE"""),"SAN AGUSTIN")</f>
        <v>SAN AGUSTIN</v>
      </c>
      <c r="L60" s="40" t="str">
        <f ca="1">IFERROR(__xludf.DUMMYFUNCTION("""COMPUTED_VALUE"""),"NO HA INICIADO ETAPA PRODUCTIVA")</f>
        <v>NO HA INICIADO ETAPA PRODUCTIVA</v>
      </c>
      <c r="M60" s="40"/>
      <c r="N60" s="40"/>
      <c r="O60" s="40"/>
      <c r="P60" s="40"/>
      <c r="Q60" s="40"/>
      <c r="R60" s="140"/>
      <c r="S60" s="140"/>
      <c r="T60" s="40"/>
      <c r="U60" s="40"/>
      <c r="V60" s="40"/>
      <c r="W60" s="40"/>
      <c r="X60" s="40"/>
      <c r="Y60" s="40"/>
      <c r="Z60" s="40"/>
      <c r="AA60" s="40" t="str">
        <f ca="1">IFERROR(__xludf.DUMMYFUNCTION("""COMPUTED_VALUE"""),"Revisado 15/06/2022")</f>
        <v>Revisado 15/06/2022</v>
      </c>
      <c r="AB60" s="40"/>
      <c r="AC60" s="40"/>
      <c r="AD60" s="40"/>
      <c r="AE60" s="40"/>
      <c r="AF60" s="40"/>
      <c r="AG60" s="40"/>
      <c r="AH60" s="40"/>
      <c r="AI60" s="40"/>
      <c r="AJ60" s="40"/>
      <c r="AK60" s="40"/>
      <c r="AL60" s="40"/>
      <c r="AM60" s="40"/>
      <c r="AN60" s="40"/>
      <c r="AO60" s="40"/>
      <c r="AP60" s="40"/>
      <c r="AQ60" s="40"/>
      <c r="AR60" s="40"/>
      <c r="AS60" s="40"/>
      <c r="AT60" s="40"/>
      <c r="AU60" s="40" t="str">
        <f ca="1">IFERROR(__xludf.DUMMYFUNCTION("""COMPUTED_VALUE"""),"Procede_E_P")</f>
        <v>Procede_E_P</v>
      </c>
      <c r="AV60" s="40" t="str">
        <f ca="1">IFERROR(__xludf.DUMMYFUNCTION("""COMPUTED_VALUE"""),"EN FORMACION")</f>
        <v>EN FORMACION</v>
      </c>
      <c r="AW60" s="40" t="str">
        <f ca="1">IFERROR(__xludf.DUMMYFUNCTION("""COMPUTED_VALUE"""),"TIC")</f>
        <v>TIC</v>
      </c>
      <c r="AX60" s="141">
        <f ca="1">IFERROR(__xludf.DUMMYFUNCTION("""COMPUTED_VALUE"""),44848)</f>
        <v>44848</v>
      </c>
      <c r="AY60" s="40">
        <f ca="1">IFERROR(__xludf.DUMMYFUNCTION("""COMPUTED_VALUE"""),0)</f>
        <v>0</v>
      </c>
      <c r="AZ60" s="40">
        <f ca="1">IFERROR(__xludf.DUMMYFUNCTION("""COMPUTED_VALUE"""),1)</f>
        <v>1</v>
      </c>
      <c r="BA60" s="40">
        <f ca="1">IFERROR(__xludf.DUMMYFUNCTION("""COMPUTED_VALUE"""),0)</f>
        <v>0</v>
      </c>
      <c r="BB60" s="40">
        <f ca="1">IFERROR(__xludf.DUMMYFUNCTION("""COMPUTED_VALUE"""),0)</f>
        <v>0</v>
      </c>
      <c r="BC60" s="40">
        <f ca="1">IFERROR(__xludf.DUMMYFUNCTION("""COMPUTED_VALUE"""),1)</f>
        <v>1</v>
      </c>
      <c r="BD60" s="141">
        <f ca="1">IFERROR(__xludf.DUMMYFUNCTION("""COMPUTED_VALUE"""),43542)</f>
        <v>43542</v>
      </c>
      <c r="BE60" s="141">
        <f ca="1">IFERROR(__xludf.DUMMYFUNCTION("""COMPUTED_VALUE"""),43726)</f>
        <v>43726</v>
      </c>
      <c r="BF60" s="141">
        <f ca="1">IFERROR(__xludf.DUMMYFUNCTION("""COMPUTED_VALUE"""),43908)</f>
        <v>43908</v>
      </c>
      <c r="BG60" s="141">
        <f ca="1">IFERROR(__xludf.DUMMYFUNCTION("""COMPUTED_VALUE"""),44457)</f>
        <v>44457</v>
      </c>
      <c r="BH60" s="40" t="str">
        <f ca="1">IFERROR(__xludf.DUMMYFUNCTION("""COMPUTED_VALUE"""),"FINALIZAR FICHA")</f>
        <v>FINALIZAR FICHA</v>
      </c>
      <c r="BI60" s="40" t="str">
        <f ca="1">IFERROR(__xludf.DUMMYFUNCTION("""COMPUTED_VALUE"""),"Terminada por Fecha     ")</f>
        <v xml:space="preserve">Terminada por Fecha     </v>
      </c>
      <c r="BJ60" s="40" t="str">
        <f ca="1">IFERROR(__xludf.DUMMYFUNCTION("""COMPUTED_VALUE"""),"Yamboro")</f>
        <v>Yamboro</v>
      </c>
      <c r="BK60" s="40"/>
      <c r="BL60" s="40"/>
    </row>
    <row r="61" spans="1:64" ht="13">
      <c r="A61" s="40"/>
      <c r="B61" s="40" t="str">
        <f ca="1">IFERROR(__xludf.DUMMYFUNCTION("""COMPUTED_VALUE"""),"FORMACIÓN...07/04/2022")</f>
        <v>FORMACIÓN...07/04/2022</v>
      </c>
      <c r="C61" s="40" t="str">
        <f ca="1">IFERROR(__xludf.DUMMYFUNCTION("""COMPUTED_VALUE"""),"DANNY PAOLA ALBAN ARCOS")</f>
        <v>DANNY PAOLA ALBAN ARCOS</v>
      </c>
      <c r="D61" s="40" t="str">
        <f ca="1">IFERROR(__xludf.DUMMYFUNCTION("""COMPUTED_VALUE"""),"CC")</f>
        <v>CC</v>
      </c>
      <c r="E61" s="40">
        <f ca="1">IFERROR(__xludf.DUMMYFUNCTION("""COMPUTED_VALUE"""),1083899241)</f>
        <v>1083899241</v>
      </c>
      <c r="F61" s="40">
        <f ca="1">IFERROR(__xludf.DUMMYFUNCTION("""COMPUTED_VALUE"""),1859891)</f>
        <v>1859891</v>
      </c>
      <c r="G61" s="40" t="str">
        <f ca="1">IFERROR(__xludf.DUMMYFUNCTION("""COMPUTED_VALUE"""),"TÉCNICO")</f>
        <v>TÉCNICO</v>
      </c>
      <c r="H61" s="40" t="str">
        <f ca="1">IFERROR(__xludf.DUMMYFUNCTION("""COMPUTED_VALUE"""),"SISTEMAS")</f>
        <v>SISTEMAS</v>
      </c>
      <c r="I61" s="40">
        <f ca="1">IFERROR(__xludf.DUMMYFUNCTION("""COMPUTED_VALUE"""),3125406898)</f>
        <v>3125406898</v>
      </c>
      <c r="J61" s="40" t="str">
        <f ca="1">IFERROR(__xludf.DUMMYFUNCTION("""COMPUTED_VALUE"""),"dannyalban818@gmail.com")</f>
        <v>dannyalban818@gmail.com</v>
      </c>
      <c r="K61" s="40" t="str">
        <f ca="1">IFERROR(__xludf.DUMMYFUNCTION("""COMPUTED_VALUE"""),"SAN AGUSTIN")</f>
        <v>SAN AGUSTIN</v>
      </c>
      <c r="L61" s="40" t="str">
        <f ca="1">IFERROR(__xludf.DUMMYFUNCTION("""COMPUTED_VALUE"""),"NO HA INICIADO ETAPA PRODUCTIVA")</f>
        <v>NO HA INICIADO ETAPA PRODUCTIVA</v>
      </c>
      <c r="M61" s="40"/>
      <c r="N61" s="40"/>
      <c r="O61" s="40"/>
      <c r="P61" s="40"/>
      <c r="Q61" s="40"/>
      <c r="R61" s="140"/>
      <c r="S61" s="140"/>
      <c r="T61" s="40"/>
      <c r="U61" s="40"/>
      <c r="V61" s="40"/>
      <c r="W61" s="40"/>
      <c r="X61" s="40"/>
      <c r="Y61" s="40"/>
      <c r="Z61" s="40"/>
      <c r="AA61" s="40" t="str">
        <f ca="1">IFERROR(__xludf.DUMMYFUNCTION("""COMPUTED_VALUE"""),"Revisado 15/06/2022")</f>
        <v>Revisado 15/06/2022</v>
      </c>
      <c r="AB61" s="40"/>
      <c r="AC61" s="40"/>
      <c r="AD61" s="40"/>
      <c r="AE61" s="40"/>
      <c r="AF61" s="40"/>
      <c r="AG61" s="40"/>
      <c r="AH61" s="40"/>
      <c r="AI61" s="40"/>
      <c r="AJ61" s="40"/>
      <c r="AK61" s="40"/>
      <c r="AL61" s="40"/>
      <c r="AM61" s="40"/>
      <c r="AN61" s="40"/>
      <c r="AO61" s="40"/>
      <c r="AP61" s="40"/>
      <c r="AQ61" s="40"/>
      <c r="AR61" s="40"/>
      <c r="AS61" s="40"/>
      <c r="AT61" s="40"/>
      <c r="AU61" s="40" t="str">
        <f ca="1">IFERROR(__xludf.DUMMYFUNCTION("""COMPUTED_VALUE"""),"Procede_E_P")</f>
        <v>Procede_E_P</v>
      </c>
      <c r="AV61" s="40" t="str">
        <f ca="1">IFERROR(__xludf.DUMMYFUNCTION("""COMPUTED_VALUE"""),"EN FORMACION")</f>
        <v>EN FORMACION</v>
      </c>
      <c r="AW61" s="40" t="str">
        <f ca="1">IFERROR(__xludf.DUMMYFUNCTION("""COMPUTED_VALUE"""),"TIC")</f>
        <v>TIC</v>
      </c>
      <c r="AX61" s="141">
        <f ca="1">IFERROR(__xludf.DUMMYFUNCTION("""COMPUTED_VALUE"""),44848)</f>
        <v>44848</v>
      </c>
      <c r="AY61" s="40">
        <f ca="1">IFERROR(__xludf.DUMMYFUNCTION("""COMPUTED_VALUE"""),0)</f>
        <v>0</v>
      </c>
      <c r="AZ61" s="40">
        <f ca="1">IFERROR(__xludf.DUMMYFUNCTION("""COMPUTED_VALUE"""),1)</f>
        <v>1</v>
      </c>
      <c r="BA61" s="40">
        <f ca="1">IFERROR(__xludf.DUMMYFUNCTION("""COMPUTED_VALUE"""),0)</f>
        <v>0</v>
      </c>
      <c r="BB61" s="40">
        <f ca="1">IFERROR(__xludf.DUMMYFUNCTION("""COMPUTED_VALUE"""),0)</f>
        <v>0</v>
      </c>
      <c r="BC61" s="40">
        <f ca="1">IFERROR(__xludf.DUMMYFUNCTION("""COMPUTED_VALUE"""),1)</f>
        <v>1</v>
      </c>
      <c r="BD61" s="141">
        <f ca="1">IFERROR(__xludf.DUMMYFUNCTION("""COMPUTED_VALUE"""),43542)</f>
        <v>43542</v>
      </c>
      <c r="BE61" s="141">
        <f ca="1">IFERROR(__xludf.DUMMYFUNCTION("""COMPUTED_VALUE"""),43726)</f>
        <v>43726</v>
      </c>
      <c r="BF61" s="141">
        <f ca="1">IFERROR(__xludf.DUMMYFUNCTION("""COMPUTED_VALUE"""),43908)</f>
        <v>43908</v>
      </c>
      <c r="BG61" s="141">
        <f ca="1">IFERROR(__xludf.DUMMYFUNCTION("""COMPUTED_VALUE"""),44457)</f>
        <v>44457</v>
      </c>
      <c r="BH61" s="40" t="str">
        <f ca="1">IFERROR(__xludf.DUMMYFUNCTION("""COMPUTED_VALUE"""),"FINALIZAR FICHA")</f>
        <v>FINALIZAR FICHA</v>
      </c>
      <c r="BI61" s="40" t="str">
        <f ca="1">IFERROR(__xludf.DUMMYFUNCTION("""COMPUTED_VALUE"""),"Terminada por Fecha     ")</f>
        <v xml:space="preserve">Terminada por Fecha     </v>
      </c>
      <c r="BJ61" s="40" t="str">
        <f ca="1">IFERROR(__xludf.DUMMYFUNCTION("""COMPUTED_VALUE"""),"Yamboro")</f>
        <v>Yamboro</v>
      </c>
      <c r="BK61" s="40"/>
      <c r="BL61" s="40"/>
    </row>
    <row r="62" spans="1:64" ht="13">
      <c r="A62" s="40"/>
      <c r="B62" s="40" t="str">
        <f ca="1">IFERROR(__xludf.DUMMYFUNCTION("""COMPUTED_VALUE"""),"FORMACION.. Revisado 03/05/2022")</f>
        <v>FORMACION.. Revisado 03/05/2022</v>
      </c>
      <c r="C62" s="40" t="str">
        <f ca="1">IFERROR(__xludf.DUMMYFUNCTION("""COMPUTED_VALUE"""),"LUIS FELIPE RODRIGUEZ IBARRA")</f>
        <v>LUIS FELIPE RODRIGUEZ IBARRA</v>
      </c>
      <c r="D62" s="40" t="str">
        <f ca="1">IFERROR(__xludf.DUMMYFUNCTION("""COMPUTED_VALUE"""),"CC")</f>
        <v>CC</v>
      </c>
      <c r="E62" s="40">
        <f ca="1">IFERROR(__xludf.DUMMYFUNCTION("""COMPUTED_VALUE"""),1004441056)</f>
        <v>1004441056</v>
      </c>
      <c r="F62" s="40">
        <f ca="1">IFERROR(__xludf.DUMMYFUNCTION("""COMPUTED_VALUE"""),1828388)</f>
        <v>1828388</v>
      </c>
      <c r="G62" s="40" t="str">
        <f ca="1">IFERROR(__xludf.DUMMYFUNCTION("""COMPUTED_VALUE"""),"TECNÓLOGO")</f>
        <v>TECNÓLOGO</v>
      </c>
      <c r="H62" s="40" t="str">
        <f ca="1">IFERROR(__xludf.DUMMYFUNCTION("""COMPUTED_VALUE"""),"GESTIÓN DE RECURSOS NATURALES")</f>
        <v>GESTIÓN DE RECURSOS NATURALES</v>
      </c>
      <c r="I62" s="40"/>
      <c r="J62" s="40" t="str">
        <f ca="1">IFERROR(__xludf.DUMMYFUNCTION("""COMPUTED_VALUE"""),"lfrodriguez650@misena.edu.co")</f>
        <v>lfrodriguez650@misena.edu.co</v>
      </c>
      <c r="K62" s="40" t="str">
        <f ca="1">IFERROR(__xludf.DUMMYFUNCTION("""COMPUTED_VALUE"""),"ISNOS")</f>
        <v>ISNOS</v>
      </c>
      <c r="L62" s="40" t="str">
        <f ca="1">IFERROR(__xludf.DUMMYFUNCTION("""COMPUTED_VALUE"""),"NO HA INICIADO ETAPA PRODUCTIVA")</f>
        <v>NO HA INICIADO ETAPA PRODUCTIVA</v>
      </c>
      <c r="M62" s="40"/>
      <c r="N62" s="40"/>
      <c r="O62" s="40"/>
      <c r="P62" s="40"/>
      <c r="Q62" s="40"/>
      <c r="R62" s="140"/>
      <c r="S62" s="140"/>
      <c r="T62" s="40"/>
      <c r="U62" s="40"/>
      <c r="V62" s="40"/>
      <c r="W62" s="40"/>
      <c r="X62" s="40"/>
      <c r="Y62" s="40"/>
      <c r="Z62" s="40"/>
      <c r="AA62" s="40" t="str">
        <f ca="1">IFERROR(__xludf.DUMMYFUNCTION("""COMPUTED_VALUE"""),"Revisado 15/06/2022")</f>
        <v>Revisado 15/06/2022</v>
      </c>
      <c r="AB62" s="40"/>
      <c r="AC62" s="40"/>
      <c r="AD62" s="40"/>
      <c r="AE62" s="40"/>
      <c r="AF62" s="40"/>
      <c r="AG62" s="40"/>
      <c r="AH62" s="40"/>
      <c r="AI62" s="40"/>
      <c r="AJ62" s="40"/>
      <c r="AK62" s="40"/>
      <c r="AL62" s="40"/>
      <c r="AM62" s="40"/>
      <c r="AN62" s="40"/>
      <c r="AO62" s="40"/>
      <c r="AP62" s="40"/>
      <c r="AQ62" s="40"/>
      <c r="AR62" s="40"/>
      <c r="AS62" s="40"/>
      <c r="AT62" s="40"/>
      <c r="AU62" s="40" t="str">
        <f ca="1">IFERROR(__xludf.DUMMYFUNCTION("""COMPUTED_VALUE"""),"Procede_E_P")</f>
        <v>Procede_E_P</v>
      </c>
      <c r="AV62" s="40" t="str">
        <f ca="1">IFERROR(__xludf.DUMMYFUNCTION("""COMPUTED_VALUE"""),"EN FORMACION")</f>
        <v>EN FORMACION</v>
      </c>
      <c r="AW62" s="40" t="str">
        <f ca="1">IFERROR(__xludf.DUMMYFUNCTION("""COMPUTED_VALUE"""),"AMBIENTAL")</f>
        <v>AMBIENTAL</v>
      </c>
      <c r="AX62" s="141">
        <f ca="1">IFERROR(__xludf.DUMMYFUNCTION("""COMPUTED_VALUE"""),44848)</f>
        <v>44848</v>
      </c>
      <c r="AY62" s="40">
        <f ca="1">IFERROR(__xludf.DUMMYFUNCTION("""COMPUTED_VALUE"""),0)</f>
        <v>0</v>
      </c>
      <c r="AZ62" s="40">
        <f ca="1">IFERROR(__xludf.DUMMYFUNCTION("""COMPUTED_VALUE"""),1)</f>
        <v>1</v>
      </c>
      <c r="BA62" s="40">
        <f ca="1">IFERROR(__xludf.DUMMYFUNCTION("""COMPUTED_VALUE"""),0)</f>
        <v>0</v>
      </c>
      <c r="BB62" s="40">
        <f ca="1">IFERROR(__xludf.DUMMYFUNCTION("""COMPUTED_VALUE"""),0)</f>
        <v>0</v>
      </c>
      <c r="BC62" s="40">
        <f ca="1">IFERROR(__xludf.DUMMYFUNCTION("""COMPUTED_VALUE"""),1)</f>
        <v>1</v>
      </c>
      <c r="BD62" s="141">
        <f ca="1">IFERROR(__xludf.DUMMYFUNCTION("""COMPUTED_VALUE"""),43448)</f>
        <v>43448</v>
      </c>
      <c r="BE62" s="141">
        <f ca="1">IFERROR(__xludf.DUMMYFUNCTION("""COMPUTED_VALUE"""),44008)</f>
        <v>44008</v>
      </c>
      <c r="BF62" s="141">
        <f ca="1">IFERROR(__xludf.DUMMYFUNCTION("""COMPUTED_VALUE"""),44191)</f>
        <v>44191</v>
      </c>
      <c r="BG62" s="141">
        <f ca="1">IFERROR(__xludf.DUMMYFUNCTION("""COMPUTED_VALUE"""),44738)</f>
        <v>44738</v>
      </c>
      <c r="BH62" s="40" t="str">
        <f ca="1">IFERROR(__xludf.DUMMYFUNCTION("""COMPUTED_VALUE"""),"FINALIZAR FICHA")</f>
        <v>FINALIZAR FICHA</v>
      </c>
      <c r="BI62" s="40" t="str">
        <f ca="1">IFERROR(__xludf.DUMMYFUNCTION("""COMPUTED_VALUE"""),"Terminada por Fecha     ")</f>
        <v xml:space="preserve">Terminada por Fecha     </v>
      </c>
      <c r="BJ62" s="40" t="str">
        <f ca="1">IFERROR(__xludf.DUMMYFUNCTION("""COMPUTED_VALUE"""),"Yamboro")</f>
        <v>Yamboro</v>
      </c>
      <c r="BK62" s="40"/>
      <c r="BL62" s="40"/>
    </row>
    <row r="63" spans="1:64" ht="13">
      <c r="A63" s="40"/>
      <c r="B63" s="40" t="str">
        <f ca="1">IFERROR(__xludf.DUMMYFUNCTION("""COMPUTED_VALUE"""),"FORMACION.. Revisado 03/05/2022")</f>
        <v>FORMACION.. Revisado 03/05/2022</v>
      </c>
      <c r="C63" s="40" t="str">
        <f ca="1">IFERROR(__xludf.DUMMYFUNCTION("""COMPUTED_VALUE"""),"LAURA CRISTINA SCARPETTA FRANCO
")</f>
        <v xml:space="preserve">LAURA CRISTINA SCARPETTA FRANCO
</v>
      </c>
      <c r="D63" s="40" t="str">
        <f ca="1">IFERROR(__xludf.DUMMYFUNCTION("""COMPUTED_VALUE"""),"CC")</f>
        <v>CC</v>
      </c>
      <c r="E63" s="40">
        <f ca="1">IFERROR(__xludf.DUMMYFUNCTION("""COMPUTED_VALUE"""),1006484736)</f>
        <v>1006484736</v>
      </c>
      <c r="F63" s="40">
        <f ca="1">IFERROR(__xludf.DUMMYFUNCTION("""COMPUTED_VALUE"""),1828388)</f>
        <v>1828388</v>
      </c>
      <c r="G63" s="40" t="str">
        <f ca="1">IFERROR(__xludf.DUMMYFUNCTION("""COMPUTED_VALUE"""),"TECNÓLOGO")</f>
        <v>TECNÓLOGO</v>
      </c>
      <c r="H63" s="40" t="str">
        <f ca="1">IFERROR(__xludf.DUMMYFUNCTION("""COMPUTED_VALUE"""),"GESTIÓN DE RECURSOS NATURALES")</f>
        <v>GESTIÓN DE RECURSOS NATURALES</v>
      </c>
      <c r="I63" s="40"/>
      <c r="J63" s="40"/>
      <c r="K63" s="40"/>
      <c r="L63" s="40" t="str">
        <f ca="1">IFERROR(__xludf.DUMMYFUNCTION("""COMPUTED_VALUE"""),"NO HA INICIADO ETAPA PRODUCTIVA")</f>
        <v>NO HA INICIADO ETAPA PRODUCTIVA</v>
      </c>
      <c r="M63" s="40"/>
      <c r="N63" s="40"/>
      <c r="O63" s="40"/>
      <c r="P63" s="40"/>
      <c r="Q63" s="40"/>
      <c r="R63" s="140"/>
      <c r="S63" s="140"/>
      <c r="T63" s="40"/>
      <c r="U63" s="40"/>
      <c r="V63" s="40"/>
      <c r="W63" s="40"/>
      <c r="X63" s="40"/>
      <c r="Y63" s="40"/>
      <c r="Z63" s="40"/>
      <c r="AA63" s="40" t="str">
        <f ca="1">IFERROR(__xludf.DUMMYFUNCTION("""COMPUTED_VALUE"""),"Revisado 15/06/2022")</f>
        <v>Revisado 15/06/2022</v>
      </c>
      <c r="AB63" s="40"/>
      <c r="AC63" s="40"/>
      <c r="AD63" s="40"/>
      <c r="AE63" s="40"/>
      <c r="AF63" s="40"/>
      <c r="AG63" s="40"/>
      <c r="AH63" s="40"/>
      <c r="AI63" s="40"/>
      <c r="AJ63" s="40"/>
      <c r="AK63" s="40"/>
      <c r="AL63" s="40"/>
      <c r="AM63" s="40"/>
      <c r="AN63" s="40"/>
      <c r="AO63" s="40"/>
      <c r="AP63" s="40"/>
      <c r="AQ63" s="40"/>
      <c r="AR63" s="40"/>
      <c r="AS63" s="40"/>
      <c r="AT63" s="40"/>
      <c r="AU63" s="40" t="str">
        <f ca="1">IFERROR(__xludf.DUMMYFUNCTION("""COMPUTED_VALUE"""),"Procede_E_P")</f>
        <v>Procede_E_P</v>
      </c>
      <c r="AV63" s="40" t="str">
        <f ca="1">IFERROR(__xludf.DUMMYFUNCTION("""COMPUTED_VALUE"""),"EN FORMACION")</f>
        <v>EN FORMACION</v>
      </c>
      <c r="AW63" s="40" t="str">
        <f ca="1">IFERROR(__xludf.DUMMYFUNCTION("""COMPUTED_VALUE"""),"AMBIENTAL")</f>
        <v>AMBIENTAL</v>
      </c>
      <c r="AX63" s="141">
        <f ca="1">IFERROR(__xludf.DUMMYFUNCTION("""COMPUTED_VALUE"""),44848)</f>
        <v>44848</v>
      </c>
      <c r="AY63" s="40">
        <f ca="1">IFERROR(__xludf.DUMMYFUNCTION("""COMPUTED_VALUE"""),0)</f>
        <v>0</v>
      </c>
      <c r="AZ63" s="40">
        <f ca="1">IFERROR(__xludf.DUMMYFUNCTION("""COMPUTED_VALUE"""),1)</f>
        <v>1</v>
      </c>
      <c r="BA63" s="40">
        <f ca="1">IFERROR(__xludf.DUMMYFUNCTION("""COMPUTED_VALUE"""),0)</f>
        <v>0</v>
      </c>
      <c r="BB63" s="40">
        <f ca="1">IFERROR(__xludf.DUMMYFUNCTION("""COMPUTED_VALUE"""),0)</f>
        <v>0</v>
      </c>
      <c r="BC63" s="40">
        <f ca="1">IFERROR(__xludf.DUMMYFUNCTION("""COMPUTED_VALUE"""),1)</f>
        <v>1</v>
      </c>
      <c r="BD63" s="141">
        <f ca="1">IFERROR(__xludf.DUMMYFUNCTION("""COMPUTED_VALUE"""),43448)</f>
        <v>43448</v>
      </c>
      <c r="BE63" s="141">
        <f ca="1">IFERROR(__xludf.DUMMYFUNCTION("""COMPUTED_VALUE"""),44008)</f>
        <v>44008</v>
      </c>
      <c r="BF63" s="141">
        <f ca="1">IFERROR(__xludf.DUMMYFUNCTION("""COMPUTED_VALUE"""),44191)</f>
        <v>44191</v>
      </c>
      <c r="BG63" s="141">
        <f ca="1">IFERROR(__xludf.DUMMYFUNCTION("""COMPUTED_VALUE"""),44738)</f>
        <v>44738</v>
      </c>
      <c r="BH63" s="40" t="str">
        <f ca="1">IFERROR(__xludf.DUMMYFUNCTION("""COMPUTED_VALUE"""),"FINALIZAR FICHA")</f>
        <v>FINALIZAR FICHA</v>
      </c>
      <c r="BI63" s="40" t="str">
        <f ca="1">IFERROR(__xludf.DUMMYFUNCTION("""COMPUTED_VALUE"""),"Terminada por Fecha     ")</f>
        <v xml:space="preserve">Terminada por Fecha     </v>
      </c>
      <c r="BJ63" s="40" t="str">
        <f ca="1">IFERROR(__xludf.DUMMYFUNCTION("""COMPUTED_VALUE"""),"Yamboro")</f>
        <v>Yamboro</v>
      </c>
      <c r="BK63" s="40"/>
      <c r="BL63" s="40"/>
    </row>
    <row r="64" spans="1:64" ht="13">
      <c r="A64" s="40"/>
      <c r="B64" s="40" t="str">
        <f ca="1">IFERROR(__xludf.DUMMYFUNCTION("""COMPUTED_VALUE"""),"FORMACION.. Revisado 03/05/2022")</f>
        <v>FORMACION.. Revisado 03/05/2022</v>
      </c>
      <c r="C64" s="40" t="str">
        <f ca="1">IFERROR(__xludf.DUMMYFUNCTION("""COMPUTED_VALUE"""),"JULIETH TATIANA POBRE ROJAS")</f>
        <v>JULIETH TATIANA POBRE ROJAS</v>
      </c>
      <c r="D64" s="40" t="str">
        <f ca="1">IFERROR(__xludf.DUMMYFUNCTION("""COMPUTED_VALUE"""),"CC")</f>
        <v>CC</v>
      </c>
      <c r="E64" s="40">
        <f ca="1">IFERROR(__xludf.DUMMYFUNCTION("""COMPUTED_VALUE"""),1007411878)</f>
        <v>1007411878</v>
      </c>
      <c r="F64" s="40">
        <f ca="1">IFERROR(__xludf.DUMMYFUNCTION("""COMPUTED_VALUE"""),1828388)</f>
        <v>1828388</v>
      </c>
      <c r="G64" s="40" t="str">
        <f ca="1">IFERROR(__xludf.DUMMYFUNCTION("""COMPUTED_VALUE"""),"TECNÓLOGO")</f>
        <v>TECNÓLOGO</v>
      </c>
      <c r="H64" s="40" t="str">
        <f ca="1">IFERROR(__xludf.DUMMYFUNCTION("""COMPUTED_VALUE"""),"GESTIÓN DE RECURSOS NATURALES")</f>
        <v>GESTIÓN DE RECURSOS NATURALES</v>
      </c>
      <c r="I64" s="40"/>
      <c r="J64" s="40" t="str">
        <f ca="1">IFERROR(__xludf.DUMMYFUNCTION("""COMPUTED_VALUE"""),"yuliethtatiama@gmail.com")</f>
        <v>yuliethtatiama@gmail.com</v>
      </c>
      <c r="K64" s="40"/>
      <c r="L64" s="40" t="str">
        <f ca="1">IFERROR(__xludf.DUMMYFUNCTION("""COMPUTED_VALUE"""),"NO HA INICIADO ETAPA PRODUCTIVA")</f>
        <v>NO HA INICIADO ETAPA PRODUCTIVA</v>
      </c>
      <c r="M64" s="40"/>
      <c r="N64" s="40"/>
      <c r="O64" s="40"/>
      <c r="P64" s="40"/>
      <c r="Q64" s="40"/>
      <c r="R64" s="140"/>
      <c r="S64" s="140"/>
      <c r="T64" s="40"/>
      <c r="U64" s="40"/>
      <c r="V64" s="40"/>
      <c r="W64" s="40"/>
      <c r="X64" s="40"/>
      <c r="Y64" s="40"/>
      <c r="Z64" s="40"/>
      <c r="AA64" s="40" t="str">
        <f ca="1">IFERROR(__xludf.DUMMYFUNCTION("""COMPUTED_VALUE"""),"Revisado 15/06/2022")</f>
        <v>Revisado 15/06/2022</v>
      </c>
      <c r="AB64" s="40"/>
      <c r="AC64" s="40"/>
      <c r="AD64" s="40"/>
      <c r="AE64" s="40"/>
      <c r="AF64" s="40"/>
      <c r="AG64" s="40"/>
      <c r="AH64" s="40"/>
      <c r="AI64" s="40"/>
      <c r="AJ64" s="40"/>
      <c r="AK64" s="40"/>
      <c r="AL64" s="40"/>
      <c r="AM64" s="40"/>
      <c r="AN64" s="40"/>
      <c r="AO64" s="40"/>
      <c r="AP64" s="40"/>
      <c r="AQ64" s="40"/>
      <c r="AR64" s="40"/>
      <c r="AS64" s="40"/>
      <c r="AT64" s="40"/>
      <c r="AU64" s="40" t="str">
        <f ca="1">IFERROR(__xludf.DUMMYFUNCTION("""COMPUTED_VALUE"""),"Procede_E_P")</f>
        <v>Procede_E_P</v>
      </c>
      <c r="AV64" s="40" t="str">
        <f ca="1">IFERROR(__xludf.DUMMYFUNCTION("""COMPUTED_VALUE"""),"EN FORMACION")</f>
        <v>EN FORMACION</v>
      </c>
      <c r="AW64" s="40" t="str">
        <f ca="1">IFERROR(__xludf.DUMMYFUNCTION("""COMPUTED_VALUE"""),"AMBIENTAL")</f>
        <v>AMBIENTAL</v>
      </c>
      <c r="AX64" s="141">
        <f ca="1">IFERROR(__xludf.DUMMYFUNCTION("""COMPUTED_VALUE"""),44848)</f>
        <v>44848</v>
      </c>
      <c r="AY64" s="40">
        <f ca="1">IFERROR(__xludf.DUMMYFUNCTION("""COMPUTED_VALUE"""),0)</f>
        <v>0</v>
      </c>
      <c r="AZ64" s="40">
        <f ca="1">IFERROR(__xludf.DUMMYFUNCTION("""COMPUTED_VALUE"""),1)</f>
        <v>1</v>
      </c>
      <c r="BA64" s="40">
        <f ca="1">IFERROR(__xludf.DUMMYFUNCTION("""COMPUTED_VALUE"""),0)</f>
        <v>0</v>
      </c>
      <c r="BB64" s="40">
        <f ca="1">IFERROR(__xludf.DUMMYFUNCTION("""COMPUTED_VALUE"""),0)</f>
        <v>0</v>
      </c>
      <c r="BC64" s="40">
        <f ca="1">IFERROR(__xludf.DUMMYFUNCTION("""COMPUTED_VALUE"""),1)</f>
        <v>1</v>
      </c>
      <c r="BD64" s="141">
        <f ca="1">IFERROR(__xludf.DUMMYFUNCTION("""COMPUTED_VALUE"""),43448)</f>
        <v>43448</v>
      </c>
      <c r="BE64" s="141">
        <f ca="1">IFERROR(__xludf.DUMMYFUNCTION("""COMPUTED_VALUE"""),44008)</f>
        <v>44008</v>
      </c>
      <c r="BF64" s="141">
        <f ca="1">IFERROR(__xludf.DUMMYFUNCTION("""COMPUTED_VALUE"""),44191)</f>
        <v>44191</v>
      </c>
      <c r="BG64" s="141">
        <f ca="1">IFERROR(__xludf.DUMMYFUNCTION("""COMPUTED_VALUE"""),44738)</f>
        <v>44738</v>
      </c>
      <c r="BH64" s="40" t="str">
        <f ca="1">IFERROR(__xludf.DUMMYFUNCTION("""COMPUTED_VALUE"""),"FINALIZAR FICHA")</f>
        <v>FINALIZAR FICHA</v>
      </c>
      <c r="BI64" s="40" t="str">
        <f ca="1">IFERROR(__xludf.DUMMYFUNCTION("""COMPUTED_VALUE"""),"Terminada por Fecha     ")</f>
        <v xml:space="preserve">Terminada por Fecha     </v>
      </c>
      <c r="BJ64" s="40" t="str">
        <f ca="1">IFERROR(__xludf.DUMMYFUNCTION("""COMPUTED_VALUE"""),"Yamboro")</f>
        <v>Yamboro</v>
      </c>
      <c r="BK64" s="40"/>
      <c r="BL64" s="40"/>
    </row>
    <row r="65" spans="1:64" ht="13">
      <c r="A65" s="40"/>
      <c r="B65" s="40" t="str">
        <f ca="1">IFERROR(__xludf.DUMMYFUNCTION("""COMPUTED_VALUE"""),"FORMACION.. Revisado 03/05/2022")</f>
        <v>FORMACION.. Revisado 03/05/2022</v>
      </c>
      <c r="C65" s="40" t="str">
        <f ca="1">IFERROR(__xludf.DUMMYFUNCTION("""COMPUTED_VALUE"""),"LISETH DANIELA MARIN ORDOÑEZ")</f>
        <v>LISETH DANIELA MARIN ORDOÑEZ</v>
      </c>
      <c r="D65" s="40" t="str">
        <f ca="1">IFERROR(__xludf.DUMMYFUNCTION("""COMPUTED_VALUE"""),"TI")</f>
        <v>TI</v>
      </c>
      <c r="E65" s="40">
        <f ca="1">IFERROR(__xludf.DUMMYFUNCTION("""COMPUTED_VALUE"""),1007600722)</f>
        <v>1007600722</v>
      </c>
      <c r="F65" s="40">
        <f ca="1">IFERROR(__xludf.DUMMYFUNCTION("""COMPUTED_VALUE"""),1828388)</f>
        <v>1828388</v>
      </c>
      <c r="G65" s="40" t="str">
        <f ca="1">IFERROR(__xludf.DUMMYFUNCTION("""COMPUTED_VALUE"""),"TECNÓLOGO")</f>
        <v>TECNÓLOGO</v>
      </c>
      <c r="H65" s="40" t="str">
        <f ca="1">IFERROR(__xludf.DUMMYFUNCTION("""COMPUTED_VALUE"""),"GESTIÓN DE RECURSOS NATURALES")</f>
        <v>GESTIÓN DE RECURSOS NATURALES</v>
      </c>
      <c r="I65" s="40"/>
      <c r="J65" s="40" t="str">
        <f ca="1">IFERROR(__xludf.DUMMYFUNCTION("""COMPUTED_VALUE"""),"LicethmarinKaren@gmail.com")</f>
        <v>LicethmarinKaren@gmail.com</v>
      </c>
      <c r="K65" s="40"/>
      <c r="L65" s="40" t="str">
        <f ca="1">IFERROR(__xludf.DUMMYFUNCTION("""COMPUTED_VALUE"""),"NO HA INICIADO ETAPA PRODUCTIVA")</f>
        <v>NO HA INICIADO ETAPA PRODUCTIVA</v>
      </c>
      <c r="M65" s="40"/>
      <c r="N65" s="40"/>
      <c r="O65" s="40"/>
      <c r="P65" s="40"/>
      <c r="Q65" s="40"/>
      <c r="R65" s="140"/>
      <c r="S65" s="140"/>
      <c r="T65" s="40"/>
      <c r="U65" s="40"/>
      <c r="V65" s="40"/>
      <c r="W65" s="40"/>
      <c r="X65" s="40"/>
      <c r="Y65" s="40"/>
      <c r="Z65" s="40"/>
      <c r="AA65" s="40" t="str">
        <f ca="1">IFERROR(__xludf.DUMMYFUNCTION("""COMPUTED_VALUE"""),"Revisado 15/06/2022")</f>
        <v>Revisado 15/06/2022</v>
      </c>
      <c r="AB65" s="40"/>
      <c r="AC65" s="40"/>
      <c r="AD65" s="40"/>
      <c r="AE65" s="40"/>
      <c r="AF65" s="40"/>
      <c r="AG65" s="40"/>
      <c r="AH65" s="40"/>
      <c r="AI65" s="40"/>
      <c r="AJ65" s="40"/>
      <c r="AK65" s="40"/>
      <c r="AL65" s="40"/>
      <c r="AM65" s="40"/>
      <c r="AN65" s="40"/>
      <c r="AO65" s="40"/>
      <c r="AP65" s="40"/>
      <c r="AQ65" s="40"/>
      <c r="AR65" s="40"/>
      <c r="AS65" s="40"/>
      <c r="AT65" s="40"/>
      <c r="AU65" s="40" t="str">
        <f ca="1">IFERROR(__xludf.DUMMYFUNCTION("""COMPUTED_VALUE"""),"Procede_E_P")</f>
        <v>Procede_E_P</v>
      </c>
      <c r="AV65" s="40" t="str">
        <f ca="1">IFERROR(__xludf.DUMMYFUNCTION("""COMPUTED_VALUE"""),"EN FORMACION")</f>
        <v>EN FORMACION</v>
      </c>
      <c r="AW65" s="40" t="str">
        <f ca="1">IFERROR(__xludf.DUMMYFUNCTION("""COMPUTED_VALUE"""),"AMBIENTAL")</f>
        <v>AMBIENTAL</v>
      </c>
      <c r="AX65" s="141">
        <f ca="1">IFERROR(__xludf.DUMMYFUNCTION("""COMPUTED_VALUE"""),44848)</f>
        <v>44848</v>
      </c>
      <c r="AY65" s="40">
        <f ca="1">IFERROR(__xludf.DUMMYFUNCTION("""COMPUTED_VALUE"""),0)</f>
        <v>0</v>
      </c>
      <c r="AZ65" s="40">
        <f ca="1">IFERROR(__xludf.DUMMYFUNCTION("""COMPUTED_VALUE"""),1)</f>
        <v>1</v>
      </c>
      <c r="BA65" s="40">
        <f ca="1">IFERROR(__xludf.DUMMYFUNCTION("""COMPUTED_VALUE"""),0)</f>
        <v>0</v>
      </c>
      <c r="BB65" s="40">
        <f ca="1">IFERROR(__xludf.DUMMYFUNCTION("""COMPUTED_VALUE"""),0)</f>
        <v>0</v>
      </c>
      <c r="BC65" s="40">
        <f ca="1">IFERROR(__xludf.DUMMYFUNCTION("""COMPUTED_VALUE"""),1)</f>
        <v>1</v>
      </c>
      <c r="BD65" s="141">
        <f ca="1">IFERROR(__xludf.DUMMYFUNCTION("""COMPUTED_VALUE"""),43448)</f>
        <v>43448</v>
      </c>
      <c r="BE65" s="141">
        <f ca="1">IFERROR(__xludf.DUMMYFUNCTION("""COMPUTED_VALUE"""),44008)</f>
        <v>44008</v>
      </c>
      <c r="BF65" s="141">
        <f ca="1">IFERROR(__xludf.DUMMYFUNCTION("""COMPUTED_VALUE"""),44191)</f>
        <v>44191</v>
      </c>
      <c r="BG65" s="141">
        <f ca="1">IFERROR(__xludf.DUMMYFUNCTION("""COMPUTED_VALUE"""),44738)</f>
        <v>44738</v>
      </c>
      <c r="BH65" s="40" t="str">
        <f ca="1">IFERROR(__xludf.DUMMYFUNCTION("""COMPUTED_VALUE"""),"FINALIZAR FICHA")</f>
        <v>FINALIZAR FICHA</v>
      </c>
      <c r="BI65" s="40" t="str">
        <f ca="1">IFERROR(__xludf.DUMMYFUNCTION("""COMPUTED_VALUE"""),"Terminada por Fecha     ")</f>
        <v xml:space="preserve">Terminada por Fecha     </v>
      </c>
      <c r="BJ65" s="40" t="str">
        <f ca="1">IFERROR(__xludf.DUMMYFUNCTION("""COMPUTED_VALUE"""),"Yamboro")</f>
        <v>Yamboro</v>
      </c>
      <c r="BK65" s="40"/>
      <c r="BL65" s="40"/>
    </row>
    <row r="66" spans="1:64" ht="13">
      <c r="A66" s="40"/>
      <c r="B66" s="40" t="str">
        <f ca="1">IFERROR(__xludf.DUMMYFUNCTION("""COMPUTED_VALUE"""),"FORMACION.. Revisado 03/05/2022")</f>
        <v>FORMACION.. Revisado 03/05/2022</v>
      </c>
      <c r="C66" s="40" t="str">
        <f ca="1">IFERROR(__xludf.DUMMYFUNCTION("""COMPUTED_VALUE"""),"YENNIFER ARENAS MENESES")</f>
        <v>YENNIFER ARENAS MENESES</v>
      </c>
      <c r="D66" s="40" t="str">
        <f ca="1">IFERROR(__xludf.DUMMYFUNCTION("""COMPUTED_VALUE"""),"TI")</f>
        <v>TI</v>
      </c>
      <c r="E66" s="40">
        <f ca="1">IFERROR(__xludf.DUMMYFUNCTION("""COMPUTED_VALUE"""),1007401557)</f>
        <v>1007401557</v>
      </c>
      <c r="F66" s="40">
        <f ca="1">IFERROR(__xludf.DUMMYFUNCTION("""COMPUTED_VALUE"""),1816833)</f>
        <v>1816833</v>
      </c>
      <c r="G66" s="40" t="str">
        <f ca="1">IFERROR(__xludf.DUMMYFUNCTION("""COMPUTED_VALUE"""),"TECNÓLOGO")</f>
        <v>TECNÓLOGO</v>
      </c>
      <c r="H66" s="40" t="str">
        <f ca="1">IFERROR(__xludf.DUMMYFUNCTION("""COMPUTED_VALUE"""),"CONTROL AMBIENTAL")</f>
        <v>CONTROL AMBIENTAL</v>
      </c>
      <c r="I66" s="40">
        <f ca="1">IFERROR(__xludf.DUMMYFUNCTION("""COMPUTED_VALUE"""),3219917794)</f>
        <v>3219917794</v>
      </c>
      <c r="J66" s="40" t="str">
        <f ca="1">IFERROR(__xludf.DUMMYFUNCTION("""COMPUTED_VALUE"""),"yarenas679@gmail.com")</f>
        <v>yarenas679@gmail.com</v>
      </c>
      <c r="K66" s="40" t="str">
        <f ca="1">IFERROR(__xludf.DUMMYFUNCTION("""COMPUTED_VALUE"""),"Saladoblanco")</f>
        <v>Saladoblanco</v>
      </c>
      <c r="L66" s="40" t="str">
        <f ca="1">IFERROR(__xludf.DUMMYFUNCTION("""COMPUTED_VALUE"""),"NO HA INICIADO ETAPA PRODUCTIVA")</f>
        <v>NO HA INICIADO ETAPA PRODUCTIVA</v>
      </c>
      <c r="M66" s="40"/>
      <c r="N66" s="40"/>
      <c r="O66" s="40"/>
      <c r="P66" s="40"/>
      <c r="Q66" s="40"/>
      <c r="R66" s="140"/>
      <c r="S66" s="140"/>
      <c r="T66" s="40" t="str">
        <f ca="1">IFERROR(__xludf.DUMMYFUNCTION("""COMPUTED_VALUE"""),"Inicia en jinio 2022 ( empresa biorganicos)")</f>
        <v>Inicia en jinio 2022 ( empresa biorganicos)</v>
      </c>
      <c r="U66" s="40"/>
      <c r="V66" s="40"/>
      <c r="W66" s="40"/>
      <c r="X66" s="40"/>
      <c r="Y66" s="40"/>
      <c r="Z66" s="40"/>
      <c r="AA66" s="40" t="str">
        <f ca="1">IFERROR(__xludf.DUMMYFUNCTION("""COMPUTED_VALUE"""),"Revisado 15/06/2022")</f>
        <v>Revisado 15/06/2022</v>
      </c>
      <c r="AB66" s="40"/>
      <c r="AC66" s="40"/>
      <c r="AD66" s="40"/>
      <c r="AE66" s="40"/>
      <c r="AF66" s="40"/>
      <c r="AG66" s="40"/>
      <c r="AH66" s="40"/>
      <c r="AI66" s="40"/>
      <c r="AJ66" s="40"/>
      <c r="AK66" s="40"/>
      <c r="AL66" s="40"/>
      <c r="AM66" s="40"/>
      <c r="AN66" s="40"/>
      <c r="AO66" s="40"/>
      <c r="AP66" s="40"/>
      <c r="AQ66" s="40"/>
      <c r="AR66" s="40"/>
      <c r="AS66" s="40"/>
      <c r="AT66" s="40"/>
      <c r="AU66" s="40" t="str">
        <f ca="1">IFERROR(__xludf.DUMMYFUNCTION("""COMPUTED_VALUE"""),"Procede_E_P")</f>
        <v>Procede_E_P</v>
      </c>
      <c r="AV66" s="40" t="str">
        <f ca="1">IFERROR(__xludf.DUMMYFUNCTION("""COMPUTED_VALUE"""),"EN FORMACION")</f>
        <v>EN FORMACION</v>
      </c>
      <c r="AW66" s="40" t="str">
        <f ca="1">IFERROR(__xludf.DUMMYFUNCTION("""COMPUTED_VALUE"""),"AMBIENTAL")</f>
        <v>AMBIENTAL</v>
      </c>
      <c r="AX66" s="141">
        <f ca="1">IFERROR(__xludf.DUMMYFUNCTION("""COMPUTED_VALUE"""),44848)</f>
        <v>44848</v>
      </c>
      <c r="AY66" s="40">
        <f ca="1">IFERROR(__xludf.DUMMYFUNCTION("""COMPUTED_VALUE"""),0)</f>
        <v>0</v>
      </c>
      <c r="AZ66" s="40">
        <f ca="1">IFERROR(__xludf.DUMMYFUNCTION("""COMPUTED_VALUE"""),1)</f>
        <v>1</v>
      </c>
      <c r="BA66" s="40">
        <f ca="1">IFERROR(__xludf.DUMMYFUNCTION("""COMPUTED_VALUE"""),0)</f>
        <v>0</v>
      </c>
      <c r="BB66" s="40">
        <f ca="1">IFERROR(__xludf.DUMMYFUNCTION("""COMPUTED_VALUE"""),0)</f>
        <v>0</v>
      </c>
      <c r="BC66" s="40">
        <f ca="1">IFERROR(__xludf.DUMMYFUNCTION("""COMPUTED_VALUE"""),1)</f>
        <v>1</v>
      </c>
      <c r="BD66" s="141">
        <f ca="1">IFERROR(__xludf.DUMMYFUNCTION("""COMPUTED_VALUE"""),43417)</f>
        <v>43417</v>
      </c>
      <c r="BE66" s="141">
        <f ca="1">IFERROR(__xludf.DUMMYFUNCTION("""COMPUTED_VALUE"""),43978)</f>
        <v>43978</v>
      </c>
      <c r="BF66" s="141">
        <f ca="1">IFERROR(__xludf.DUMMYFUNCTION("""COMPUTED_VALUE"""),44162)</f>
        <v>44162</v>
      </c>
      <c r="BG66" s="141">
        <f ca="1">IFERROR(__xludf.DUMMYFUNCTION("""COMPUTED_VALUE"""),44708)</f>
        <v>44708</v>
      </c>
      <c r="BH66" s="40" t="str">
        <f ca="1">IFERROR(__xludf.DUMMYFUNCTION("""COMPUTED_VALUE"""),"FINALIZAR FICHA")</f>
        <v>FINALIZAR FICHA</v>
      </c>
      <c r="BI66" s="40" t="str">
        <f ca="1">IFERROR(__xludf.DUMMYFUNCTION("""COMPUTED_VALUE"""),"Terminada por Fecha     ")</f>
        <v xml:space="preserve">Terminada por Fecha     </v>
      </c>
      <c r="BJ66" s="40" t="str">
        <f ca="1">IFERROR(__xludf.DUMMYFUNCTION("""COMPUTED_VALUE"""),"Yamboro")</f>
        <v>Yamboro</v>
      </c>
      <c r="BK66" s="40"/>
      <c r="BL66" s="40"/>
    </row>
    <row r="67" spans="1:64" ht="13">
      <c r="A67" s="40"/>
      <c r="B67" s="40" t="str">
        <f ca="1">IFERROR(__xludf.DUMMYFUNCTION("""COMPUTED_VALUE"""),"FORMACION.. Revisado 03/05/2022")</f>
        <v>FORMACION.. Revisado 03/05/2022</v>
      </c>
      <c r="C67" s="40" t="str">
        <f ca="1">IFERROR(__xludf.DUMMYFUNCTION("""COMPUTED_VALUE"""),"LUIS MIGUEL ARTUNDUAGA MENESES")</f>
        <v>LUIS MIGUEL ARTUNDUAGA MENESES</v>
      </c>
      <c r="D67" s="40" t="str">
        <f ca="1">IFERROR(__xludf.DUMMYFUNCTION("""COMPUTED_VALUE"""),"CC")</f>
        <v>CC</v>
      </c>
      <c r="E67" s="40">
        <f ca="1">IFERROR(__xludf.DUMMYFUNCTION("""COMPUTED_VALUE"""),1083908460)</f>
        <v>1083908460</v>
      </c>
      <c r="F67" s="40">
        <f ca="1">IFERROR(__xludf.DUMMYFUNCTION("""COMPUTED_VALUE"""),1816833)</f>
        <v>1816833</v>
      </c>
      <c r="G67" s="40" t="str">
        <f ca="1">IFERROR(__xludf.DUMMYFUNCTION("""COMPUTED_VALUE"""),"TECNÓLOGO")</f>
        <v>TECNÓLOGO</v>
      </c>
      <c r="H67" s="40" t="str">
        <f ca="1">IFERROR(__xludf.DUMMYFUNCTION("""COMPUTED_VALUE"""),"CONTROL AMBIENTAL")</f>
        <v>CONTROL AMBIENTAL</v>
      </c>
      <c r="I67" s="40"/>
      <c r="J67" s="40"/>
      <c r="K67" s="40"/>
      <c r="L67" s="40" t="str">
        <f ca="1">IFERROR(__xludf.DUMMYFUNCTION("""COMPUTED_VALUE"""),"NO HA INICIADO ETAPA PRODUCTIVA")</f>
        <v>NO HA INICIADO ETAPA PRODUCTIVA</v>
      </c>
      <c r="M67" s="40"/>
      <c r="N67" s="40"/>
      <c r="O67" s="40"/>
      <c r="P67" s="40"/>
      <c r="Q67" s="40"/>
      <c r="R67" s="140"/>
      <c r="S67" s="140"/>
      <c r="T67" s="40"/>
      <c r="U67" s="40"/>
      <c r="V67" s="40"/>
      <c r="W67" s="40"/>
      <c r="X67" s="40"/>
      <c r="Y67" s="40"/>
      <c r="Z67" s="40"/>
      <c r="AA67" s="40" t="str">
        <f ca="1">IFERROR(__xludf.DUMMYFUNCTION("""COMPUTED_VALUE"""),"Revisado 15/06/2022")</f>
        <v>Revisado 15/06/2022</v>
      </c>
      <c r="AB67" s="40"/>
      <c r="AC67" s="40"/>
      <c r="AD67" s="40"/>
      <c r="AE67" s="40"/>
      <c r="AF67" s="40"/>
      <c r="AG67" s="40"/>
      <c r="AH67" s="40"/>
      <c r="AI67" s="40"/>
      <c r="AJ67" s="40"/>
      <c r="AK67" s="40"/>
      <c r="AL67" s="40"/>
      <c r="AM67" s="40"/>
      <c r="AN67" s="40"/>
      <c r="AO67" s="40"/>
      <c r="AP67" s="40"/>
      <c r="AQ67" s="40"/>
      <c r="AR67" s="40"/>
      <c r="AS67" s="40"/>
      <c r="AT67" s="40"/>
      <c r="AU67" s="40" t="str">
        <f ca="1">IFERROR(__xludf.DUMMYFUNCTION("""COMPUTED_VALUE"""),"Procede_E_P")</f>
        <v>Procede_E_P</v>
      </c>
      <c r="AV67" s="40" t="str">
        <f ca="1">IFERROR(__xludf.DUMMYFUNCTION("""COMPUTED_VALUE"""),"EN FORMACION")</f>
        <v>EN FORMACION</v>
      </c>
      <c r="AW67" s="40" t="str">
        <f ca="1">IFERROR(__xludf.DUMMYFUNCTION("""COMPUTED_VALUE"""),"AMBIENTAL")</f>
        <v>AMBIENTAL</v>
      </c>
      <c r="AX67" s="141">
        <f ca="1">IFERROR(__xludf.DUMMYFUNCTION("""COMPUTED_VALUE"""),44848)</f>
        <v>44848</v>
      </c>
      <c r="AY67" s="40">
        <f ca="1">IFERROR(__xludf.DUMMYFUNCTION("""COMPUTED_VALUE"""),0)</f>
        <v>0</v>
      </c>
      <c r="AZ67" s="40">
        <f ca="1">IFERROR(__xludf.DUMMYFUNCTION("""COMPUTED_VALUE"""),1)</f>
        <v>1</v>
      </c>
      <c r="BA67" s="40">
        <f ca="1">IFERROR(__xludf.DUMMYFUNCTION("""COMPUTED_VALUE"""),0)</f>
        <v>0</v>
      </c>
      <c r="BB67" s="40">
        <f ca="1">IFERROR(__xludf.DUMMYFUNCTION("""COMPUTED_VALUE"""),0)</f>
        <v>0</v>
      </c>
      <c r="BC67" s="40">
        <f ca="1">IFERROR(__xludf.DUMMYFUNCTION("""COMPUTED_VALUE"""),1)</f>
        <v>1</v>
      </c>
      <c r="BD67" s="141">
        <f ca="1">IFERROR(__xludf.DUMMYFUNCTION("""COMPUTED_VALUE"""),43417)</f>
        <v>43417</v>
      </c>
      <c r="BE67" s="141">
        <f ca="1">IFERROR(__xludf.DUMMYFUNCTION("""COMPUTED_VALUE"""),43978)</f>
        <v>43978</v>
      </c>
      <c r="BF67" s="141">
        <f ca="1">IFERROR(__xludf.DUMMYFUNCTION("""COMPUTED_VALUE"""),44162)</f>
        <v>44162</v>
      </c>
      <c r="BG67" s="141">
        <f ca="1">IFERROR(__xludf.DUMMYFUNCTION("""COMPUTED_VALUE"""),44708)</f>
        <v>44708</v>
      </c>
      <c r="BH67" s="40" t="str">
        <f ca="1">IFERROR(__xludf.DUMMYFUNCTION("""COMPUTED_VALUE"""),"FINALIZAR FICHA")</f>
        <v>FINALIZAR FICHA</v>
      </c>
      <c r="BI67" s="40" t="str">
        <f ca="1">IFERROR(__xludf.DUMMYFUNCTION("""COMPUTED_VALUE"""),"Terminada por Fecha     ")</f>
        <v xml:space="preserve">Terminada por Fecha     </v>
      </c>
      <c r="BJ67" s="40" t="str">
        <f ca="1">IFERROR(__xludf.DUMMYFUNCTION("""COMPUTED_VALUE"""),"Yamboro")</f>
        <v>Yamboro</v>
      </c>
      <c r="BK67" s="40"/>
      <c r="BL67" s="40"/>
    </row>
    <row r="68" spans="1:64" ht="13">
      <c r="A68" s="40"/>
      <c r="B68" s="40" t="str">
        <f ca="1">IFERROR(__xludf.DUMMYFUNCTION("""COMPUTED_VALUE"""),"FORMACION.. Revisado 03/05/2022")</f>
        <v>FORMACION.. Revisado 03/05/2022</v>
      </c>
      <c r="C68" s="40" t="str">
        <f ca="1">IFERROR(__xludf.DUMMYFUNCTION("""COMPUTED_VALUE"""),"YERSON DANIEL PARRA SANTANILLA")</f>
        <v>YERSON DANIEL PARRA SANTANILLA</v>
      </c>
      <c r="D68" s="40" t="str">
        <f ca="1">IFERROR(__xludf.DUMMYFUNCTION("""COMPUTED_VALUE"""),"CC")</f>
        <v>CC</v>
      </c>
      <c r="E68" s="40">
        <f ca="1">IFERROR(__xludf.DUMMYFUNCTION("""COMPUTED_VALUE"""),1004268482)</f>
        <v>1004268482</v>
      </c>
      <c r="F68" s="40">
        <f ca="1">IFERROR(__xludf.DUMMYFUNCTION("""COMPUTED_VALUE"""),1828387)</f>
        <v>1828387</v>
      </c>
      <c r="G68" s="40" t="str">
        <f ca="1">IFERROR(__xludf.DUMMYFUNCTION("""COMPUTED_VALUE"""),"TECNÓLOGO")</f>
        <v>TECNÓLOGO</v>
      </c>
      <c r="H68" s="40" t="str">
        <f ca="1">IFERROR(__xludf.DUMMYFUNCTION("""COMPUTED_VALUE"""),"PRODUCCIÓN AGROPECUARIA ECOLÓGICA")</f>
        <v>PRODUCCIÓN AGROPECUARIA ECOLÓGICA</v>
      </c>
      <c r="I68" s="40">
        <f ca="1">IFERROR(__xludf.DUMMYFUNCTION("""COMPUTED_VALUE"""),3209761449)</f>
        <v>3209761449</v>
      </c>
      <c r="J68" s="40" t="str">
        <f ca="1">IFERROR(__xludf.DUMMYFUNCTION("""COMPUTED_VALUE"""),"yersonparra68@gmail.com")</f>
        <v>yersonparra68@gmail.com</v>
      </c>
      <c r="K68" s="40"/>
      <c r="L68" s="40" t="str">
        <f ca="1">IFERROR(__xludf.DUMMYFUNCTION("""COMPUTED_VALUE"""),"NO HA INICIADO ETAPA PRODUCTIVA")</f>
        <v>NO HA INICIADO ETAPA PRODUCTIVA</v>
      </c>
      <c r="M68" s="40"/>
      <c r="N68" s="40"/>
      <c r="O68" s="40"/>
      <c r="P68" s="40"/>
      <c r="Q68" s="40"/>
      <c r="R68" s="140"/>
      <c r="S68" s="140"/>
      <c r="T68" s="40" t="str">
        <f ca="1">IFERROR(__xludf.DUMMYFUNCTION("""COMPUTED_VALUE"""),"tiene pensado por proyecto productivo")</f>
        <v>tiene pensado por proyecto productivo</v>
      </c>
      <c r="U68" s="40"/>
      <c r="V68" s="40"/>
      <c r="W68" s="40"/>
      <c r="X68" s="40"/>
      <c r="Y68" s="40"/>
      <c r="Z68" s="40"/>
      <c r="AA68" s="40" t="str">
        <f ca="1">IFERROR(__xludf.DUMMYFUNCTION("""COMPUTED_VALUE"""),"Revisado 15/06/2022")</f>
        <v>Revisado 15/06/2022</v>
      </c>
      <c r="AB68" s="40"/>
      <c r="AC68" s="40"/>
      <c r="AD68" s="40"/>
      <c r="AE68" s="40"/>
      <c r="AF68" s="40"/>
      <c r="AG68" s="40"/>
      <c r="AH68" s="40"/>
      <c r="AI68" s="40"/>
      <c r="AJ68" s="40"/>
      <c r="AK68" s="40"/>
      <c r="AL68" s="40"/>
      <c r="AM68" s="40"/>
      <c r="AN68" s="40"/>
      <c r="AO68" s="40"/>
      <c r="AP68" s="40"/>
      <c r="AQ68" s="40"/>
      <c r="AR68" s="40"/>
      <c r="AS68" s="40"/>
      <c r="AT68" s="40"/>
      <c r="AU68" s="40" t="str">
        <f ca="1">IFERROR(__xludf.DUMMYFUNCTION("""COMPUTED_VALUE"""),"Procede_E_P")</f>
        <v>Procede_E_P</v>
      </c>
      <c r="AV68" s="40" t="str">
        <f ca="1">IFERROR(__xludf.DUMMYFUNCTION("""COMPUTED_VALUE"""),"EN FORMACION")</f>
        <v>EN FORMACION</v>
      </c>
      <c r="AW68" s="40" t="str">
        <f ca="1">IFERROR(__xludf.DUMMYFUNCTION("""COMPUTED_VALUE"""),"AGROPECUARIO")</f>
        <v>AGROPECUARIO</v>
      </c>
      <c r="AX68" s="141">
        <f ca="1">IFERROR(__xludf.DUMMYFUNCTION("""COMPUTED_VALUE"""),44848)</f>
        <v>44848</v>
      </c>
      <c r="AY68" s="40">
        <f ca="1">IFERROR(__xludf.DUMMYFUNCTION("""COMPUTED_VALUE"""),0)</f>
        <v>0</v>
      </c>
      <c r="AZ68" s="40">
        <f ca="1">IFERROR(__xludf.DUMMYFUNCTION("""COMPUTED_VALUE"""),1)</f>
        <v>1</v>
      </c>
      <c r="BA68" s="40">
        <f ca="1">IFERROR(__xludf.DUMMYFUNCTION("""COMPUTED_VALUE"""),0)</f>
        <v>0</v>
      </c>
      <c r="BB68" s="40">
        <f ca="1">IFERROR(__xludf.DUMMYFUNCTION("""COMPUTED_VALUE"""),0)</f>
        <v>0</v>
      </c>
      <c r="BC68" s="40">
        <f ca="1">IFERROR(__xludf.DUMMYFUNCTION("""COMPUTED_VALUE"""),1)</f>
        <v>1</v>
      </c>
      <c r="BD68" s="141">
        <f ca="1">IFERROR(__xludf.DUMMYFUNCTION("""COMPUTED_VALUE"""),43448)</f>
        <v>43448</v>
      </c>
      <c r="BE68" s="141">
        <f ca="1">IFERROR(__xludf.DUMMYFUNCTION("""COMPUTED_VALUE"""),44008)</f>
        <v>44008</v>
      </c>
      <c r="BF68" s="141">
        <f ca="1">IFERROR(__xludf.DUMMYFUNCTION("""COMPUTED_VALUE"""),44191)</f>
        <v>44191</v>
      </c>
      <c r="BG68" s="141">
        <f ca="1">IFERROR(__xludf.DUMMYFUNCTION("""COMPUTED_VALUE"""),44738)</f>
        <v>44738</v>
      </c>
      <c r="BH68" s="40" t="str">
        <f ca="1">IFERROR(__xludf.DUMMYFUNCTION("""COMPUTED_VALUE"""),"FINALIZAR FICHA")</f>
        <v>FINALIZAR FICHA</v>
      </c>
      <c r="BI68" s="40" t="str">
        <f ca="1">IFERROR(__xludf.DUMMYFUNCTION("""COMPUTED_VALUE"""),"Terminada por Fecha     ")</f>
        <v xml:space="preserve">Terminada por Fecha     </v>
      </c>
      <c r="BJ68" s="40" t="str">
        <f ca="1">IFERROR(__xludf.DUMMYFUNCTION("""COMPUTED_VALUE"""),"Yamboro")</f>
        <v>Yamboro</v>
      </c>
      <c r="BK68" s="40"/>
      <c r="BL68" s="40"/>
    </row>
    <row r="69" spans="1:64" ht="13">
      <c r="A69" s="40"/>
      <c r="B69" s="40" t="str">
        <f ca="1">IFERROR(__xludf.DUMMYFUNCTION("""COMPUTED_VALUE"""),"FORMACION.. Revisado 03/05/2022")</f>
        <v>FORMACION.. Revisado 03/05/2022</v>
      </c>
      <c r="C69" s="40" t="str">
        <f ca="1">IFERROR(__xludf.DUMMYFUNCTION("""COMPUTED_VALUE"""),"MARIA VANESSA VALDERRAMA BERMEO")</f>
        <v>MARIA VANESSA VALDERRAMA BERMEO</v>
      </c>
      <c r="D69" s="40" t="str">
        <f ca="1">IFERROR(__xludf.DUMMYFUNCTION("""COMPUTED_VALUE"""),"CC")</f>
        <v>CC</v>
      </c>
      <c r="E69" s="40">
        <f ca="1">IFERROR(__xludf.DUMMYFUNCTION("""COMPUTED_VALUE"""),1004268713)</f>
        <v>1004268713</v>
      </c>
      <c r="F69" s="40">
        <f ca="1">IFERROR(__xludf.DUMMYFUNCTION("""COMPUTED_VALUE"""),1828387)</f>
        <v>1828387</v>
      </c>
      <c r="G69" s="40" t="str">
        <f ca="1">IFERROR(__xludf.DUMMYFUNCTION("""COMPUTED_VALUE"""),"TECNÓLOGO")</f>
        <v>TECNÓLOGO</v>
      </c>
      <c r="H69" s="40" t="str">
        <f ca="1">IFERROR(__xludf.DUMMYFUNCTION("""COMPUTED_VALUE"""),"PRODUCCIÓN AGROPECUARIA ECOLÓGICA")</f>
        <v>PRODUCCIÓN AGROPECUARIA ECOLÓGICA</v>
      </c>
      <c r="I69" s="40">
        <f ca="1">IFERROR(__xludf.DUMMYFUNCTION("""COMPUTED_VALUE"""),3148546685)</f>
        <v>3148546685</v>
      </c>
      <c r="J69" s="40" t="str">
        <f ca="1">IFERROR(__xludf.DUMMYFUNCTION("""COMPUTED_VALUE"""),"vanessavalderrama2000@gmail.com")</f>
        <v>vanessavalderrama2000@gmail.com</v>
      </c>
      <c r="K69" s="40" t="str">
        <f ca="1">IFERROR(__xludf.DUMMYFUNCTION("""COMPUTED_VALUE"""),"Saladoblanco")</f>
        <v>Saladoblanco</v>
      </c>
      <c r="L69" s="40" t="str">
        <f ca="1">IFERROR(__xludf.DUMMYFUNCTION("""COMPUTED_VALUE"""),"NO HA INICIADO ETAPA PRODUCTIVA")</f>
        <v>NO HA INICIADO ETAPA PRODUCTIVA</v>
      </c>
      <c r="M69" s="40"/>
      <c r="N69" s="40"/>
      <c r="O69" s="40"/>
      <c r="P69" s="40"/>
      <c r="Q69" s="40"/>
      <c r="R69" s="140"/>
      <c r="S69" s="140"/>
      <c r="T69" s="40"/>
      <c r="U69" s="40"/>
      <c r="V69" s="40"/>
      <c r="W69" s="40"/>
      <c r="X69" s="40"/>
      <c r="Y69" s="40"/>
      <c r="Z69" s="40"/>
      <c r="AA69" s="40" t="str">
        <f ca="1">IFERROR(__xludf.DUMMYFUNCTION("""COMPUTED_VALUE"""),"Revisado 15/06/2022")</f>
        <v>Revisado 15/06/2022</v>
      </c>
      <c r="AB69" s="40"/>
      <c r="AC69" s="40"/>
      <c r="AD69" s="40"/>
      <c r="AE69" s="40"/>
      <c r="AF69" s="40"/>
      <c r="AG69" s="40"/>
      <c r="AH69" s="40"/>
      <c r="AI69" s="40"/>
      <c r="AJ69" s="40"/>
      <c r="AK69" s="40"/>
      <c r="AL69" s="40"/>
      <c r="AM69" s="40"/>
      <c r="AN69" s="40"/>
      <c r="AO69" s="40"/>
      <c r="AP69" s="40"/>
      <c r="AQ69" s="40"/>
      <c r="AR69" s="40"/>
      <c r="AS69" s="40"/>
      <c r="AT69" s="40"/>
      <c r="AU69" s="40" t="str">
        <f ca="1">IFERROR(__xludf.DUMMYFUNCTION("""COMPUTED_VALUE"""),"Procede_E_P")</f>
        <v>Procede_E_P</v>
      </c>
      <c r="AV69" s="40" t="str">
        <f ca="1">IFERROR(__xludf.DUMMYFUNCTION("""COMPUTED_VALUE"""),"EN FORMACION")</f>
        <v>EN FORMACION</v>
      </c>
      <c r="AW69" s="40" t="str">
        <f ca="1">IFERROR(__xludf.DUMMYFUNCTION("""COMPUTED_VALUE"""),"AGROPECUARIO")</f>
        <v>AGROPECUARIO</v>
      </c>
      <c r="AX69" s="141">
        <f ca="1">IFERROR(__xludf.DUMMYFUNCTION("""COMPUTED_VALUE"""),44848)</f>
        <v>44848</v>
      </c>
      <c r="AY69" s="40">
        <f ca="1">IFERROR(__xludf.DUMMYFUNCTION("""COMPUTED_VALUE"""),0)</f>
        <v>0</v>
      </c>
      <c r="AZ69" s="40">
        <f ca="1">IFERROR(__xludf.DUMMYFUNCTION("""COMPUTED_VALUE"""),1)</f>
        <v>1</v>
      </c>
      <c r="BA69" s="40">
        <f ca="1">IFERROR(__xludf.DUMMYFUNCTION("""COMPUTED_VALUE"""),0)</f>
        <v>0</v>
      </c>
      <c r="BB69" s="40">
        <f ca="1">IFERROR(__xludf.DUMMYFUNCTION("""COMPUTED_VALUE"""),0)</f>
        <v>0</v>
      </c>
      <c r="BC69" s="40">
        <f ca="1">IFERROR(__xludf.DUMMYFUNCTION("""COMPUTED_VALUE"""),1)</f>
        <v>1</v>
      </c>
      <c r="BD69" s="141">
        <f ca="1">IFERROR(__xludf.DUMMYFUNCTION("""COMPUTED_VALUE"""),43448)</f>
        <v>43448</v>
      </c>
      <c r="BE69" s="141">
        <f ca="1">IFERROR(__xludf.DUMMYFUNCTION("""COMPUTED_VALUE"""),44008)</f>
        <v>44008</v>
      </c>
      <c r="BF69" s="141">
        <f ca="1">IFERROR(__xludf.DUMMYFUNCTION("""COMPUTED_VALUE"""),44191)</f>
        <v>44191</v>
      </c>
      <c r="BG69" s="141">
        <f ca="1">IFERROR(__xludf.DUMMYFUNCTION("""COMPUTED_VALUE"""),44738)</f>
        <v>44738</v>
      </c>
      <c r="BH69" s="40" t="str">
        <f ca="1">IFERROR(__xludf.DUMMYFUNCTION("""COMPUTED_VALUE"""),"FINALIZAR FICHA")</f>
        <v>FINALIZAR FICHA</v>
      </c>
      <c r="BI69" s="40" t="str">
        <f ca="1">IFERROR(__xludf.DUMMYFUNCTION("""COMPUTED_VALUE"""),"Terminada por Fecha     ")</f>
        <v xml:space="preserve">Terminada por Fecha     </v>
      </c>
      <c r="BJ69" s="40" t="str">
        <f ca="1">IFERROR(__xludf.DUMMYFUNCTION("""COMPUTED_VALUE"""),"Yamboro")</f>
        <v>Yamboro</v>
      </c>
      <c r="BK69" s="40"/>
      <c r="BL69" s="40"/>
    </row>
    <row r="70" spans="1:64" ht="13">
      <c r="A70" s="40"/>
      <c r="B70" s="40" t="str">
        <f ca="1">IFERROR(__xludf.DUMMYFUNCTION("""COMPUTED_VALUE"""),"FORMACION.. Revisado 03/05/2022")</f>
        <v>FORMACION.. Revisado 03/05/2022</v>
      </c>
      <c r="C70" s="40" t="str">
        <f ca="1">IFERROR(__xludf.DUMMYFUNCTION("""COMPUTED_VALUE"""),"NIYERETH ANDREA MEZA DAVILA")</f>
        <v>NIYERETH ANDREA MEZA DAVILA</v>
      </c>
      <c r="D70" s="40" t="str">
        <f ca="1">IFERROR(__xludf.DUMMYFUNCTION("""COMPUTED_VALUE"""),"TI")</f>
        <v>TI</v>
      </c>
      <c r="E70" s="40">
        <f ca="1">IFERROR(__xludf.DUMMYFUNCTION("""COMPUTED_VALUE"""),1006962174)</f>
        <v>1006962174</v>
      </c>
      <c r="F70" s="40">
        <f ca="1">IFERROR(__xludf.DUMMYFUNCTION("""COMPUTED_VALUE"""),1828387)</f>
        <v>1828387</v>
      </c>
      <c r="G70" s="40" t="str">
        <f ca="1">IFERROR(__xludf.DUMMYFUNCTION("""COMPUTED_VALUE"""),"TECNÓLOGO")</f>
        <v>TECNÓLOGO</v>
      </c>
      <c r="H70" s="40" t="str">
        <f ca="1">IFERROR(__xludf.DUMMYFUNCTION("""COMPUTED_VALUE"""),"PRODUCCIÓN AGROPECUARIA ECOLÓGICA")</f>
        <v>PRODUCCIÓN AGROPECUARIA ECOLÓGICA</v>
      </c>
      <c r="I70" s="40"/>
      <c r="J70" s="40" t="str">
        <f ca="1">IFERROR(__xludf.DUMMYFUNCTION("""COMPUTED_VALUE"""),"3105529430andrea.meza@gmail.com")</f>
        <v>3105529430andrea.meza@gmail.com</v>
      </c>
      <c r="K70" s="40"/>
      <c r="L70" s="40" t="str">
        <f ca="1">IFERROR(__xludf.DUMMYFUNCTION("""COMPUTED_VALUE"""),"NO HA INICIADO ETAPA PRODUCTIVA")</f>
        <v>NO HA INICIADO ETAPA PRODUCTIVA</v>
      </c>
      <c r="M70" s="40"/>
      <c r="N70" s="40"/>
      <c r="O70" s="40"/>
      <c r="P70" s="40"/>
      <c r="Q70" s="40"/>
      <c r="R70" s="140"/>
      <c r="S70" s="140"/>
      <c r="T70" s="40"/>
      <c r="U70" s="40"/>
      <c r="V70" s="40"/>
      <c r="W70" s="40"/>
      <c r="X70" s="40"/>
      <c r="Y70" s="40"/>
      <c r="Z70" s="40"/>
      <c r="AA70" s="40" t="str">
        <f ca="1">IFERROR(__xludf.DUMMYFUNCTION("""COMPUTED_VALUE"""),"Revisado 15/06/2022")</f>
        <v>Revisado 15/06/2022</v>
      </c>
      <c r="AB70" s="40"/>
      <c r="AC70" s="40"/>
      <c r="AD70" s="40"/>
      <c r="AE70" s="40"/>
      <c r="AF70" s="40"/>
      <c r="AG70" s="40"/>
      <c r="AH70" s="40"/>
      <c r="AI70" s="40"/>
      <c r="AJ70" s="40"/>
      <c r="AK70" s="40"/>
      <c r="AL70" s="40"/>
      <c r="AM70" s="40"/>
      <c r="AN70" s="40"/>
      <c r="AO70" s="40"/>
      <c r="AP70" s="40"/>
      <c r="AQ70" s="40"/>
      <c r="AR70" s="40"/>
      <c r="AS70" s="40"/>
      <c r="AT70" s="40"/>
      <c r="AU70" s="40" t="str">
        <f ca="1">IFERROR(__xludf.DUMMYFUNCTION("""COMPUTED_VALUE"""),"Procede_E_P")</f>
        <v>Procede_E_P</v>
      </c>
      <c r="AV70" s="40" t="str">
        <f ca="1">IFERROR(__xludf.DUMMYFUNCTION("""COMPUTED_VALUE"""),"EN FORMACION")</f>
        <v>EN FORMACION</v>
      </c>
      <c r="AW70" s="40" t="str">
        <f ca="1">IFERROR(__xludf.DUMMYFUNCTION("""COMPUTED_VALUE"""),"AGROPECUARIO")</f>
        <v>AGROPECUARIO</v>
      </c>
      <c r="AX70" s="141">
        <f ca="1">IFERROR(__xludf.DUMMYFUNCTION("""COMPUTED_VALUE"""),44848)</f>
        <v>44848</v>
      </c>
      <c r="AY70" s="40">
        <f ca="1">IFERROR(__xludf.DUMMYFUNCTION("""COMPUTED_VALUE"""),0)</f>
        <v>0</v>
      </c>
      <c r="AZ70" s="40">
        <f ca="1">IFERROR(__xludf.DUMMYFUNCTION("""COMPUTED_VALUE"""),1)</f>
        <v>1</v>
      </c>
      <c r="BA70" s="40">
        <f ca="1">IFERROR(__xludf.DUMMYFUNCTION("""COMPUTED_VALUE"""),0)</f>
        <v>0</v>
      </c>
      <c r="BB70" s="40">
        <f ca="1">IFERROR(__xludf.DUMMYFUNCTION("""COMPUTED_VALUE"""),0)</f>
        <v>0</v>
      </c>
      <c r="BC70" s="40">
        <f ca="1">IFERROR(__xludf.DUMMYFUNCTION("""COMPUTED_VALUE"""),1)</f>
        <v>1</v>
      </c>
      <c r="BD70" s="141">
        <f ca="1">IFERROR(__xludf.DUMMYFUNCTION("""COMPUTED_VALUE"""),43448)</f>
        <v>43448</v>
      </c>
      <c r="BE70" s="141">
        <f ca="1">IFERROR(__xludf.DUMMYFUNCTION("""COMPUTED_VALUE"""),44008)</f>
        <v>44008</v>
      </c>
      <c r="BF70" s="141">
        <f ca="1">IFERROR(__xludf.DUMMYFUNCTION("""COMPUTED_VALUE"""),44191)</f>
        <v>44191</v>
      </c>
      <c r="BG70" s="141">
        <f ca="1">IFERROR(__xludf.DUMMYFUNCTION("""COMPUTED_VALUE"""),44738)</f>
        <v>44738</v>
      </c>
      <c r="BH70" s="40" t="str">
        <f ca="1">IFERROR(__xludf.DUMMYFUNCTION("""COMPUTED_VALUE"""),"FINALIZAR FICHA")</f>
        <v>FINALIZAR FICHA</v>
      </c>
      <c r="BI70" s="40" t="str">
        <f ca="1">IFERROR(__xludf.DUMMYFUNCTION("""COMPUTED_VALUE"""),"Terminada por Fecha     ")</f>
        <v xml:space="preserve">Terminada por Fecha     </v>
      </c>
      <c r="BJ70" s="40" t="str">
        <f ca="1">IFERROR(__xludf.DUMMYFUNCTION("""COMPUTED_VALUE"""),"Yamboro")</f>
        <v>Yamboro</v>
      </c>
      <c r="BK70" s="40"/>
      <c r="BL70" s="40"/>
    </row>
    <row r="71" spans="1:64" ht="13">
      <c r="A71" s="40"/>
      <c r="B71" s="40" t="str">
        <f ca="1">IFERROR(__xludf.DUMMYFUNCTION("""COMPUTED_VALUE"""),"FORMACION.. Revisado 03/05/2022")</f>
        <v>FORMACION.. Revisado 03/05/2022</v>
      </c>
      <c r="C71" s="40" t="str">
        <f ca="1">IFERROR(__xludf.DUMMYFUNCTION("""COMPUTED_VALUE"""),"KAROL DAYANA NAVIA ARTUNDUAGA")</f>
        <v>KAROL DAYANA NAVIA ARTUNDUAGA</v>
      </c>
      <c r="D71" s="40" t="str">
        <f ca="1">IFERROR(__xludf.DUMMYFUNCTION("""COMPUTED_VALUE"""),"TI")</f>
        <v>TI</v>
      </c>
      <c r="E71" s="40">
        <f ca="1">IFERROR(__xludf.DUMMYFUNCTION("""COMPUTED_VALUE"""),1007659446)</f>
        <v>1007659446</v>
      </c>
      <c r="F71" s="40">
        <f ca="1">IFERROR(__xludf.DUMMYFUNCTION("""COMPUTED_VALUE"""),1828387)</f>
        <v>1828387</v>
      </c>
      <c r="G71" s="40" t="str">
        <f ca="1">IFERROR(__xludf.DUMMYFUNCTION("""COMPUTED_VALUE"""),"TECNÓLOGO")</f>
        <v>TECNÓLOGO</v>
      </c>
      <c r="H71" s="40" t="str">
        <f ca="1">IFERROR(__xludf.DUMMYFUNCTION("""COMPUTED_VALUE"""),"PRODUCCIÓN AGROPECUARIA ECOLÓGICA")</f>
        <v>PRODUCCIÓN AGROPECUARIA ECOLÓGICA</v>
      </c>
      <c r="I71" s="40">
        <f ca="1">IFERROR(__xludf.DUMMYFUNCTION("""COMPUTED_VALUE"""),3104784977)</f>
        <v>3104784977</v>
      </c>
      <c r="J71" s="40" t="str">
        <f ca="1">IFERROR(__xludf.DUMMYFUNCTION("""COMPUTED_VALUE"""),"artunduaganaviak@gmail.com")</f>
        <v>artunduaganaviak@gmail.com</v>
      </c>
      <c r="K71" s="40" t="str">
        <f ca="1">IFERROR(__xludf.DUMMYFUNCTION("""COMPUTED_VALUE"""),"SALADOBLANCO")</f>
        <v>SALADOBLANCO</v>
      </c>
      <c r="L71" s="40" t="str">
        <f ca="1">IFERROR(__xludf.DUMMYFUNCTION("""COMPUTED_VALUE"""),"NO HA INICIADO ETAPA PRODUCTIVA")</f>
        <v>NO HA INICIADO ETAPA PRODUCTIVA</v>
      </c>
      <c r="M71" s="40"/>
      <c r="N71" s="40"/>
      <c r="O71" s="40"/>
      <c r="P71" s="40"/>
      <c r="Q71" s="40"/>
      <c r="R71" s="140"/>
      <c r="S71" s="140"/>
      <c r="T71" s="40"/>
      <c r="U71" s="40"/>
      <c r="V71" s="40"/>
      <c r="W71" s="40"/>
      <c r="X71" s="40"/>
      <c r="Y71" s="40"/>
      <c r="Z71" s="40"/>
      <c r="AA71" s="40" t="str">
        <f ca="1">IFERROR(__xludf.DUMMYFUNCTION("""COMPUTED_VALUE"""),"Revisado 15/06/2022")</f>
        <v>Revisado 15/06/2022</v>
      </c>
      <c r="AB71" s="40"/>
      <c r="AC71" s="40"/>
      <c r="AD71" s="40"/>
      <c r="AE71" s="40"/>
      <c r="AF71" s="40"/>
      <c r="AG71" s="40"/>
      <c r="AH71" s="40"/>
      <c r="AI71" s="40"/>
      <c r="AJ71" s="40"/>
      <c r="AK71" s="40"/>
      <c r="AL71" s="40"/>
      <c r="AM71" s="40"/>
      <c r="AN71" s="40"/>
      <c r="AO71" s="40"/>
      <c r="AP71" s="40"/>
      <c r="AQ71" s="40"/>
      <c r="AR71" s="40"/>
      <c r="AS71" s="40"/>
      <c r="AT71" s="40"/>
      <c r="AU71" s="40" t="str">
        <f ca="1">IFERROR(__xludf.DUMMYFUNCTION("""COMPUTED_VALUE"""),"Procede_E_P")</f>
        <v>Procede_E_P</v>
      </c>
      <c r="AV71" s="40" t="str">
        <f ca="1">IFERROR(__xludf.DUMMYFUNCTION("""COMPUTED_VALUE"""),"EN FORMACION")</f>
        <v>EN FORMACION</v>
      </c>
      <c r="AW71" s="40" t="str">
        <f ca="1">IFERROR(__xludf.DUMMYFUNCTION("""COMPUTED_VALUE"""),"AGROPECUARIO")</f>
        <v>AGROPECUARIO</v>
      </c>
      <c r="AX71" s="141">
        <f ca="1">IFERROR(__xludf.DUMMYFUNCTION("""COMPUTED_VALUE"""),44848)</f>
        <v>44848</v>
      </c>
      <c r="AY71" s="40">
        <f ca="1">IFERROR(__xludf.DUMMYFUNCTION("""COMPUTED_VALUE"""),0)</f>
        <v>0</v>
      </c>
      <c r="AZ71" s="40">
        <f ca="1">IFERROR(__xludf.DUMMYFUNCTION("""COMPUTED_VALUE"""),1)</f>
        <v>1</v>
      </c>
      <c r="BA71" s="40">
        <f ca="1">IFERROR(__xludf.DUMMYFUNCTION("""COMPUTED_VALUE"""),0)</f>
        <v>0</v>
      </c>
      <c r="BB71" s="40">
        <f ca="1">IFERROR(__xludf.DUMMYFUNCTION("""COMPUTED_VALUE"""),0)</f>
        <v>0</v>
      </c>
      <c r="BC71" s="40">
        <f ca="1">IFERROR(__xludf.DUMMYFUNCTION("""COMPUTED_VALUE"""),1)</f>
        <v>1</v>
      </c>
      <c r="BD71" s="141">
        <f ca="1">IFERROR(__xludf.DUMMYFUNCTION("""COMPUTED_VALUE"""),43448)</f>
        <v>43448</v>
      </c>
      <c r="BE71" s="141">
        <f ca="1">IFERROR(__xludf.DUMMYFUNCTION("""COMPUTED_VALUE"""),44008)</f>
        <v>44008</v>
      </c>
      <c r="BF71" s="141">
        <f ca="1">IFERROR(__xludf.DUMMYFUNCTION("""COMPUTED_VALUE"""),44191)</f>
        <v>44191</v>
      </c>
      <c r="BG71" s="141">
        <f ca="1">IFERROR(__xludf.DUMMYFUNCTION("""COMPUTED_VALUE"""),44738)</f>
        <v>44738</v>
      </c>
      <c r="BH71" s="40" t="str">
        <f ca="1">IFERROR(__xludf.DUMMYFUNCTION("""COMPUTED_VALUE"""),"FINALIZAR FICHA")</f>
        <v>FINALIZAR FICHA</v>
      </c>
      <c r="BI71" s="40" t="str">
        <f ca="1">IFERROR(__xludf.DUMMYFUNCTION("""COMPUTED_VALUE"""),"Terminada por Fecha     ")</f>
        <v xml:space="preserve">Terminada por Fecha     </v>
      </c>
      <c r="BJ71" s="40" t="str">
        <f ca="1">IFERROR(__xludf.DUMMYFUNCTION("""COMPUTED_VALUE"""),"Yamboro")</f>
        <v>Yamboro</v>
      </c>
      <c r="BK71" s="40"/>
      <c r="BL71" s="40"/>
    </row>
    <row r="72" spans="1:64" ht="13">
      <c r="A72" s="40"/>
      <c r="B72" s="40" t="str">
        <f ca="1">IFERROR(__xludf.DUMMYFUNCTION("""COMPUTED_VALUE"""),"FORMACION.. Revisado 03/05/2022")</f>
        <v>FORMACION.. Revisado 03/05/2022</v>
      </c>
      <c r="C72" s="40" t="str">
        <f ca="1">IFERROR(__xludf.DUMMYFUNCTION("""COMPUTED_VALUE"""),"KEVIN SEBASTIAN GALINDO ARTUNDUAGA")</f>
        <v>KEVIN SEBASTIAN GALINDO ARTUNDUAGA</v>
      </c>
      <c r="D72" s="40" t="str">
        <f ca="1">IFERROR(__xludf.DUMMYFUNCTION("""COMPUTED_VALUE"""),"CC")</f>
        <v>CC</v>
      </c>
      <c r="E72" s="40">
        <f ca="1">IFERROR(__xludf.DUMMYFUNCTION("""COMPUTED_VALUE"""),1007897744)</f>
        <v>1007897744</v>
      </c>
      <c r="F72" s="40">
        <f ca="1">IFERROR(__xludf.DUMMYFUNCTION("""COMPUTED_VALUE"""),1828387)</f>
        <v>1828387</v>
      </c>
      <c r="G72" s="40" t="str">
        <f ca="1">IFERROR(__xludf.DUMMYFUNCTION("""COMPUTED_VALUE"""),"TECNÓLOGO")</f>
        <v>TECNÓLOGO</v>
      </c>
      <c r="H72" s="40" t="str">
        <f ca="1">IFERROR(__xludf.DUMMYFUNCTION("""COMPUTED_VALUE"""),"PRODUCCIÓN AGROPECUARIA ECOLÓGICA")</f>
        <v>PRODUCCIÓN AGROPECUARIA ECOLÓGICA</v>
      </c>
      <c r="I72" s="40"/>
      <c r="J72" s="40" t="str">
        <f ca="1">IFERROR(__xludf.DUMMYFUNCTION("""COMPUTED_VALUE"""),"Ksgalindo1@gmail.com")</f>
        <v>Ksgalindo1@gmail.com</v>
      </c>
      <c r="K72" s="40"/>
      <c r="L72" s="40" t="str">
        <f ca="1">IFERROR(__xludf.DUMMYFUNCTION("""COMPUTED_VALUE"""),"NO HA INICIADO ETAPA PRODUCTIVA")</f>
        <v>NO HA INICIADO ETAPA PRODUCTIVA</v>
      </c>
      <c r="M72" s="40"/>
      <c r="N72" s="40"/>
      <c r="O72" s="40"/>
      <c r="P72" s="40"/>
      <c r="Q72" s="40"/>
      <c r="R72" s="140"/>
      <c r="S72" s="140"/>
      <c r="T72" s="40"/>
      <c r="U72" s="40"/>
      <c r="V72" s="40"/>
      <c r="W72" s="40"/>
      <c r="X72" s="40"/>
      <c r="Y72" s="40"/>
      <c r="Z72" s="40"/>
      <c r="AA72" s="40" t="str">
        <f ca="1">IFERROR(__xludf.DUMMYFUNCTION("""COMPUTED_VALUE"""),"Revisado 15/06/2022")</f>
        <v>Revisado 15/06/2022</v>
      </c>
      <c r="AB72" s="40"/>
      <c r="AC72" s="40"/>
      <c r="AD72" s="40"/>
      <c r="AE72" s="40"/>
      <c r="AF72" s="40"/>
      <c r="AG72" s="40"/>
      <c r="AH72" s="40"/>
      <c r="AI72" s="40"/>
      <c r="AJ72" s="40"/>
      <c r="AK72" s="40"/>
      <c r="AL72" s="40"/>
      <c r="AM72" s="40"/>
      <c r="AN72" s="40"/>
      <c r="AO72" s="40"/>
      <c r="AP72" s="40"/>
      <c r="AQ72" s="40"/>
      <c r="AR72" s="40"/>
      <c r="AS72" s="40"/>
      <c r="AT72" s="40"/>
      <c r="AU72" s="40" t="str">
        <f ca="1">IFERROR(__xludf.DUMMYFUNCTION("""COMPUTED_VALUE"""),"Procede_E_P")</f>
        <v>Procede_E_P</v>
      </c>
      <c r="AV72" s="40" t="str">
        <f ca="1">IFERROR(__xludf.DUMMYFUNCTION("""COMPUTED_VALUE"""),"EN FORMACION")</f>
        <v>EN FORMACION</v>
      </c>
      <c r="AW72" s="40" t="str">
        <f ca="1">IFERROR(__xludf.DUMMYFUNCTION("""COMPUTED_VALUE"""),"AGROPECUARIO")</f>
        <v>AGROPECUARIO</v>
      </c>
      <c r="AX72" s="141">
        <f ca="1">IFERROR(__xludf.DUMMYFUNCTION("""COMPUTED_VALUE"""),44848)</f>
        <v>44848</v>
      </c>
      <c r="AY72" s="40">
        <f ca="1">IFERROR(__xludf.DUMMYFUNCTION("""COMPUTED_VALUE"""),0)</f>
        <v>0</v>
      </c>
      <c r="AZ72" s="40">
        <f ca="1">IFERROR(__xludf.DUMMYFUNCTION("""COMPUTED_VALUE"""),1)</f>
        <v>1</v>
      </c>
      <c r="BA72" s="40">
        <f ca="1">IFERROR(__xludf.DUMMYFUNCTION("""COMPUTED_VALUE"""),0)</f>
        <v>0</v>
      </c>
      <c r="BB72" s="40">
        <f ca="1">IFERROR(__xludf.DUMMYFUNCTION("""COMPUTED_VALUE"""),0)</f>
        <v>0</v>
      </c>
      <c r="BC72" s="40">
        <f ca="1">IFERROR(__xludf.DUMMYFUNCTION("""COMPUTED_VALUE"""),1)</f>
        <v>1</v>
      </c>
      <c r="BD72" s="141">
        <f ca="1">IFERROR(__xludf.DUMMYFUNCTION("""COMPUTED_VALUE"""),43448)</f>
        <v>43448</v>
      </c>
      <c r="BE72" s="141">
        <f ca="1">IFERROR(__xludf.DUMMYFUNCTION("""COMPUTED_VALUE"""),44008)</f>
        <v>44008</v>
      </c>
      <c r="BF72" s="141">
        <f ca="1">IFERROR(__xludf.DUMMYFUNCTION("""COMPUTED_VALUE"""),44191)</f>
        <v>44191</v>
      </c>
      <c r="BG72" s="141">
        <f ca="1">IFERROR(__xludf.DUMMYFUNCTION("""COMPUTED_VALUE"""),44738)</f>
        <v>44738</v>
      </c>
      <c r="BH72" s="40" t="str">
        <f ca="1">IFERROR(__xludf.DUMMYFUNCTION("""COMPUTED_VALUE"""),"FINALIZAR FICHA")</f>
        <v>FINALIZAR FICHA</v>
      </c>
      <c r="BI72" s="40" t="str">
        <f ca="1">IFERROR(__xludf.DUMMYFUNCTION("""COMPUTED_VALUE"""),"Terminada por Fecha     ")</f>
        <v xml:space="preserve">Terminada por Fecha     </v>
      </c>
      <c r="BJ72" s="40" t="str">
        <f ca="1">IFERROR(__xludf.DUMMYFUNCTION("""COMPUTED_VALUE"""),"Yamboro")</f>
        <v>Yamboro</v>
      </c>
      <c r="BK72" s="40"/>
      <c r="BL72" s="40"/>
    </row>
    <row r="73" spans="1:64" ht="13">
      <c r="A73" s="40"/>
      <c r="B73" s="40" t="str">
        <f ca="1">IFERROR(__xludf.DUMMYFUNCTION("""COMPUTED_VALUE"""),"FORMACION.. Revisado 03/05/2022")</f>
        <v>FORMACION.. Revisado 03/05/2022</v>
      </c>
      <c r="C73" s="40" t="str">
        <f ca="1">IFERROR(__xludf.DUMMYFUNCTION("""COMPUTED_VALUE"""),"JOHN WILMER LOPEZ OBANDO")</f>
        <v>JOHN WILMER LOPEZ OBANDO</v>
      </c>
      <c r="D73" s="40" t="str">
        <f ca="1">IFERROR(__xludf.DUMMYFUNCTION("""COMPUTED_VALUE"""),"CC")</f>
        <v>CC</v>
      </c>
      <c r="E73" s="40">
        <f ca="1">IFERROR(__xludf.DUMMYFUNCTION("""COMPUTED_VALUE"""),83040270)</f>
        <v>83040270</v>
      </c>
      <c r="F73" s="40">
        <f ca="1">IFERROR(__xludf.DUMMYFUNCTION("""COMPUTED_VALUE"""),2051421)</f>
        <v>2051421</v>
      </c>
      <c r="G73" s="40" t="str">
        <f ca="1">IFERROR(__xludf.DUMMYFUNCTION("""COMPUTED_VALUE"""),"TÉCNICO")</f>
        <v>TÉCNICO</v>
      </c>
      <c r="H73" s="40" t="str">
        <f ca="1">IFERROR(__xludf.DUMMYFUNCTION("""COMPUTED_VALUE"""),"ASEGURAMIENTO DE LA CALIDAD DEL CAFE EN LA FINCA")</f>
        <v>ASEGURAMIENTO DE LA CALIDAD DEL CAFE EN LA FINCA</v>
      </c>
      <c r="I73" s="40"/>
      <c r="J73" s="40"/>
      <c r="K73" s="40"/>
      <c r="L73" s="40" t="str">
        <f ca="1">IFERROR(__xludf.DUMMYFUNCTION("""COMPUTED_VALUE"""),"UNIDAD PRODUCTIVA")</f>
        <v>UNIDAD PRODUCTIVA</v>
      </c>
      <c r="M73" s="40"/>
      <c r="N73" s="40"/>
      <c r="O73" s="40"/>
      <c r="P73" s="40"/>
      <c r="Q73" s="40"/>
      <c r="R73" s="140"/>
      <c r="S73" s="140"/>
      <c r="T73" s="40"/>
      <c r="U73" s="40"/>
      <c r="V73" s="40"/>
      <c r="W73" s="40"/>
      <c r="X73" s="40"/>
      <c r="Y73" s="40"/>
      <c r="Z73" s="40"/>
      <c r="AA73" s="40" t="str">
        <f ca="1">IFERROR(__xludf.DUMMYFUNCTION("""COMPUTED_VALUE"""),"Revisado 15/06/2022")</f>
        <v>Revisado 15/06/2022</v>
      </c>
      <c r="AB73" s="40"/>
      <c r="AC73" s="40"/>
      <c r="AD73" s="40"/>
      <c r="AE73" s="40"/>
      <c r="AF73" s="40"/>
      <c r="AG73" s="40"/>
      <c r="AH73" s="40"/>
      <c r="AI73" s="40"/>
      <c r="AJ73" s="40"/>
      <c r="AK73" s="40"/>
      <c r="AL73" s="40"/>
      <c r="AM73" s="40"/>
      <c r="AN73" s="40"/>
      <c r="AO73" s="40"/>
      <c r="AP73" s="40"/>
      <c r="AQ73" s="40"/>
      <c r="AR73" s="40"/>
      <c r="AS73" s="40"/>
      <c r="AT73" s="40"/>
      <c r="AU73" s="40" t="str">
        <f ca="1">IFERROR(__xludf.DUMMYFUNCTION("""COMPUTED_VALUE"""),"NO_CUMPLE")</f>
        <v>NO_CUMPLE</v>
      </c>
      <c r="AV73" s="40" t="str">
        <f ca="1">IFERROR(__xludf.DUMMYFUNCTION("""COMPUTED_VALUE"""),"EN FORMACION")</f>
        <v>EN FORMACION</v>
      </c>
      <c r="AW73" s="40" t="str">
        <f ca="1">IFERROR(__xludf.DUMMYFUNCTION("""COMPUTED_VALUE"""),"AGROPECUARIO")</f>
        <v>AGROPECUARIO</v>
      </c>
      <c r="AX73" s="141">
        <f ca="1">IFERROR(__xludf.DUMMYFUNCTION("""COMPUTED_VALUE"""),44848)</f>
        <v>44848</v>
      </c>
      <c r="AY73" s="40">
        <f ca="1">IFERROR(__xludf.DUMMYFUNCTION("""COMPUTED_VALUE"""),0)</f>
        <v>0</v>
      </c>
      <c r="AZ73" s="40">
        <f ca="1">IFERROR(__xludf.DUMMYFUNCTION("""COMPUTED_VALUE"""),1)</f>
        <v>1</v>
      </c>
      <c r="BA73" s="40">
        <f ca="1">IFERROR(__xludf.DUMMYFUNCTION("""COMPUTED_VALUE"""),0)</f>
        <v>0</v>
      </c>
      <c r="BB73" s="40">
        <f ca="1">IFERROR(__xludf.DUMMYFUNCTION("""COMPUTED_VALUE"""),6)</f>
        <v>6</v>
      </c>
      <c r="BC73" s="40">
        <f ca="1">IFERROR(__xludf.DUMMYFUNCTION("""COMPUTED_VALUE"""),7)</f>
        <v>7</v>
      </c>
      <c r="BD73" s="141">
        <f ca="1">IFERROR(__xludf.DUMMYFUNCTION("""COMPUTED_VALUE"""),43801)</f>
        <v>43801</v>
      </c>
      <c r="BE73" s="141">
        <f ca="1">IFERROR(__xludf.DUMMYFUNCTION("""COMPUTED_VALUE"""),44103)</f>
        <v>44103</v>
      </c>
      <c r="BF73" s="141">
        <f ca="1">IFERROR(__xludf.DUMMYFUNCTION("""COMPUTED_VALUE"""),44284)</f>
        <v>44284</v>
      </c>
      <c r="BG73" s="141">
        <f ca="1">IFERROR(__xludf.DUMMYFUNCTION("""COMPUTED_VALUE"""),44833)</f>
        <v>44833</v>
      </c>
      <c r="BH73" s="40" t="str">
        <f ca="1">IFERROR(__xludf.DUMMYFUNCTION("""COMPUTED_VALUE"""),"FINALIZAR FICHA")</f>
        <v>FINALIZAR FICHA</v>
      </c>
      <c r="BI73" s="40" t="str">
        <f ca="1">IFERROR(__xludf.DUMMYFUNCTION("""COMPUTED_VALUE"""),"Terminada por fecha")</f>
        <v>Terminada por fecha</v>
      </c>
      <c r="BJ73" s="40" t="str">
        <f ca="1">IFERROR(__xludf.DUMMYFUNCTION("""COMPUTED_VALUE"""),"Yamboro")</f>
        <v>Yamboro</v>
      </c>
      <c r="BK73" s="40"/>
      <c r="BL73" s="40"/>
    </row>
    <row r="74" spans="1:64" ht="13">
      <c r="A74" s="40"/>
      <c r="B74" s="40" t="str">
        <f ca="1">IFERROR(__xludf.DUMMYFUNCTION("""COMPUTED_VALUE"""),"FORMACION.. Revisado 18/05/2022")</f>
        <v>FORMACION.. Revisado 18/05/2022</v>
      </c>
      <c r="C74" s="40" t="str">
        <f ca="1">IFERROR(__xludf.DUMMYFUNCTION("""COMPUTED_VALUE"""),"RICARDO FERNANDEZ BARRIOS")</f>
        <v>RICARDO FERNANDEZ BARRIOS</v>
      </c>
      <c r="D74" s="40" t="str">
        <f ca="1">IFERROR(__xludf.DUMMYFUNCTION("""COMPUTED_VALUE"""),"CC")</f>
        <v>CC</v>
      </c>
      <c r="E74" s="40">
        <f ca="1">IFERROR(__xludf.DUMMYFUNCTION("""COMPUTED_VALUE"""),1004417118)</f>
        <v>1004417118</v>
      </c>
      <c r="F74" s="40">
        <f ca="1">IFERROR(__xludf.DUMMYFUNCTION("""COMPUTED_VALUE"""),1905821)</f>
        <v>1905821</v>
      </c>
      <c r="G74" s="40" t="str">
        <f ca="1">IFERROR(__xludf.DUMMYFUNCTION("""COMPUTED_VALUE"""),"TÉCNICO")</f>
        <v>TÉCNICO</v>
      </c>
      <c r="H74" s="40" t="str">
        <f ca="1">IFERROR(__xludf.DUMMYFUNCTION("""COMPUTED_VALUE"""),"COCINA.")</f>
        <v>COCINA.</v>
      </c>
      <c r="I74" s="40">
        <f ca="1">IFERROR(__xludf.DUMMYFUNCTION("""COMPUTED_VALUE"""),3143993100)</f>
        <v>3143993100</v>
      </c>
      <c r="J74" s="40" t="str">
        <f ca="1">IFERROR(__xludf.DUMMYFUNCTION("""COMPUTED_VALUE"""),"Ricardofernandezbarrios2014@gmail.com")</f>
        <v>Ricardofernandezbarrios2014@gmail.com</v>
      </c>
      <c r="K74" s="40" t="str">
        <f ca="1">IFERROR(__xludf.DUMMYFUNCTION("""COMPUTED_VALUE"""),"PITALITO")</f>
        <v>PITALITO</v>
      </c>
      <c r="L74" s="40" t="str">
        <f ca="1">IFERROR(__xludf.DUMMYFUNCTION("""COMPUTED_VALUE"""),"NO HA INICIADO ETAPA PRODUCTIVA")</f>
        <v>NO HA INICIADO ETAPA PRODUCTIVA</v>
      </c>
      <c r="M74" s="40"/>
      <c r="N74" s="40"/>
      <c r="O74" s="40"/>
      <c r="P74" s="40"/>
      <c r="Q74" s="40"/>
      <c r="R74" s="140"/>
      <c r="S74" s="140"/>
      <c r="T74" s="40"/>
      <c r="U74" s="40"/>
      <c r="V74" s="40"/>
      <c r="W74" s="40"/>
      <c r="X74" s="40"/>
      <c r="Y74" s="40"/>
      <c r="Z74" s="40"/>
      <c r="AA74" s="40" t="str">
        <f ca="1">IFERROR(__xludf.DUMMYFUNCTION("""COMPUTED_VALUE"""),"Revisado 15/06/2022")</f>
        <v>Revisado 15/06/2022</v>
      </c>
      <c r="AB74" s="40"/>
      <c r="AC74" s="40"/>
      <c r="AD74" s="40"/>
      <c r="AE74" s="40"/>
      <c r="AF74" s="40"/>
      <c r="AG74" s="40"/>
      <c r="AH74" s="40"/>
      <c r="AI74" s="40"/>
      <c r="AJ74" s="40"/>
      <c r="AK74" s="40"/>
      <c r="AL74" s="40"/>
      <c r="AM74" s="40"/>
      <c r="AN74" s="40"/>
      <c r="AO74" s="40"/>
      <c r="AP74" s="40"/>
      <c r="AQ74" s="40"/>
      <c r="AR74" s="40"/>
      <c r="AS74" s="40"/>
      <c r="AT74" s="40"/>
      <c r="AU74" s="40" t="str">
        <f ca="1">IFERROR(__xludf.DUMMYFUNCTION("""COMPUTED_VALUE"""),"Procede_E_P")</f>
        <v>Procede_E_P</v>
      </c>
      <c r="AV74" s="40" t="str">
        <f ca="1">IFERROR(__xludf.DUMMYFUNCTION("""COMPUTED_VALUE"""),"EN FORMACION")</f>
        <v>EN FORMACION</v>
      </c>
      <c r="AW74" s="40" t="str">
        <f ca="1">IFERROR(__xludf.DUMMYFUNCTION("""COMPUTED_VALUE"""),"TURISMO")</f>
        <v>TURISMO</v>
      </c>
      <c r="AX74" s="141">
        <f ca="1">IFERROR(__xludf.DUMMYFUNCTION("""COMPUTED_VALUE"""),44848)</f>
        <v>44848</v>
      </c>
      <c r="AY74" s="40">
        <f ca="1">IFERROR(__xludf.DUMMYFUNCTION("""COMPUTED_VALUE"""),0)</f>
        <v>0</v>
      </c>
      <c r="AZ74" s="40">
        <f ca="1">IFERROR(__xludf.DUMMYFUNCTION("""COMPUTED_VALUE"""),1)</f>
        <v>1</v>
      </c>
      <c r="BA74" s="40">
        <f ca="1">IFERROR(__xludf.DUMMYFUNCTION("""COMPUTED_VALUE"""),0)</f>
        <v>0</v>
      </c>
      <c r="BB74" s="40">
        <f ca="1">IFERROR(__xludf.DUMMYFUNCTION("""COMPUTED_VALUE"""),0)</f>
        <v>0</v>
      </c>
      <c r="BC74" s="40">
        <f ca="1">IFERROR(__xludf.DUMMYFUNCTION("""COMPUTED_VALUE"""),1)</f>
        <v>1</v>
      </c>
      <c r="BD74" s="141">
        <f ca="1">IFERROR(__xludf.DUMMYFUNCTION("""COMPUTED_VALUE"""),43668)</f>
        <v>43668</v>
      </c>
      <c r="BE74" s="141">
        <f ca="1">IFERROR(__xludf.DUMMYFUNCTION("""COMPUTED_VALUE"""),44113)</f>
        <v>44113</v>
      </c>
      <c r="BF74" s="141">
        <f ca="1">IFERROR(__xludf.DUMMYFUNCTION("""COMPUTED_VALUE"""),44295)</f>
        <v>44295</v>
      </c>
      <c r="BG74" s="141">
        <f ca="1">IFERROR(__xludf.DUMMYFUNCTION("""COMPUTED_VALUE"""),44843)</f>
        <v>44843</v>
      </c>
      <c r="BH74" s="40" t="str">
        <f ca="1">IFERROR(__xludf.DUMMYFUNCTION("""COMPUTED_VALUE"""),"FINALIZAR FICHA")</f>
        <v>FINALIZAR FICHA</v>
      </c>
      <c r="BI74" s="40" t="str">
        <f ca="1">IFERROR(__xludf.DUMMYFUNCTION("""COMPUTED_VALUE"""),"Terminada por fecha")</f>
        <v>Terminada por fecha</v>
      </c>
      <c r="BJ74" s="40" t="str">
        <f ca="1">IFERROR(__xludf.DUMMYFUNCTION("""COMPUTED_VALUE"""),"Yamboro")</f>
        <v>Yamboro</v>
      </c>
      <c r="BK74" s="40"/>
      <c r="BL74" s="40"/>
    </row>
    <row r="75" spans="1:64" ht="13">
      <c r="A75" s="40"/>
      <c r="B75" s="40" t="str">
        <f ca="1">IFERROR(__xludf.DUMMYFUNCTION("""COMPUTED_VALUE"""),"FORMACION.. Revisado 18/05/2022")</f>
        <v>FORMACION.. Revisado 18/05/2022</v>
      </c>
      <c r="C75" s="40" t="str">
        <f ca="1">IFERROR(__xludf.DUMMYFUNCTION("""COMPUTED_VALUE"""),"WILSON SANCHEZ PAPAMIJA")</f>
        <v>WILSON SANCHEZ PAPAMIJA</v>
      </c>
      <c r="D75" s="40" t="str">
        <f ca="1">IFERROR(__xludf.DUMMYFUNCTION("""COMPUTED_VALUE"""),"CC")</f>
        <v>CC</v>
      </c>
      <c r="E75" s="40">
        <f ca="1">IFERROR(__xludf.DUMMYFUNCTION("""COMPUTED_VALUE"""),1006549591)</f>
        <v>1006549591</v>
      </c>
      <c r="F75" s="40">
        <f ca="1">IFERROR(__xludf.DUMMYFUNCTION("""COMPUTED_VALUE"""),1905821)</f>
        <v>1905821</v>
      </c>
      <c r="G75" s="40" t="str">
        <f ca="1">IFERROR(__xludf.DUMMYFUNCTION("""COMPUTED_VALUE"""),"TÉCNICO")</f>
        <v>TÉCNICO</v>
      </c>
      <c r="H75" s="40" t="str">
        <f ca="1">IFERROR(__xludf.DUMMYFUNCTION("""COMPUTED_VALUE"""),"COCINA.")</f>
        <v>COCINA.</v>
      </c>
      <c r="I75" s="40">
        <f ca="1">IFERROR(__xludf.DUMMYFUNCTION("""COMPUTED_VALUE"""),3209444029)</f>
        <v>3209444029</v>
      </c>
      <c r="J75" s="40" t="str">
        <f ca="1">IFERROR(__xludf.DUMMYFUNCTION("""COMPUTED_VALUE"""),"wsanchez1611@gmail.com")</f>
        <v>wsanchez1611@gmail.com</v>
      </c>
      <c r="K75" s="40" t="str">
        <f ca="1">IFERROR(__xludf.DUMMYFUNCTION("""COMPUTED_VALUE"""),"PITALITO")</f>
        <v>PITALITO</v>
      </c>
      <c r="L75" s="40" t="str">
        <f ca="1">IFERROR(__xludf.DUMMYFUNCTION("""COMPUTED_VALUE"""),"NO HA INICIADO ETAPA PRODUCTIVA")</f>
        <v>NO HA INICIADO ETAPA PRODUCTIVA</v>
      </c>
      <c r="M75" s="40"/>
      <c r="N75" s="40"/>
      <c r="O75" s="40"/>
      <c r="P75" s="40"/>
      <c r="Q75" s="40"/>
      <c r="R75" s="140"/>
      <c r="S75" s="140"/>
      <c r="T75" s="40"/>
      <c r="U75" s="40"/>
      <c r="V75" s="40"/>
      <c r="W75" s="40"/>
      <c r="X75" s="40"/>
      <c r="Y75" s="40"/>
      <c r="Z75" s="40"/>
      <c r="AA75" s="40" t="str">
        <f ca="1">IFERROR(__xludf.DUMMYFUNCTION("""COMPUTED_VALUE"""),"Revisado 15/06/2022")</f>
        <v>Revisado 15/06/2022</v>
      </c>
      <c r="AB75" s="40"/>
      <c r="AC75" s="40"/>
      <c r="AD75" s="40"/>
      <c r="AE75" s="40"/>
      <c r="AF75" s="40"/>
      <c r="AG75" s="40"/>
      <c r="AH75" s="40"/>
      <c r="AI75" s="40"/>
      <c r="AJ75" s="40"/>
      <c r="AK75" s="40"/>
      <c r="AL75" s="40"/>
      <c r="AM75" s="40"/>
      <c r="AN75" s="40"/>
      <c r="AO75" s="40"/>
      <c r="AP75" s="40"/>
      <c r="AQ75" s="40"/>
      <c r="AR75" s="40"/>
      <c r="AS75" s="40"/>
      <c r="AT75" s="40"/>
      <c r="AU75" s="40" t="str">
        <f ca="1">IFERROR(__xludf.DUMMYFUNCTION("""COMPUTED_VALUE"""),"Procede_E_P")</f>
        <v>Procede_E_P</v>
      </c>
      <c r="AV75" s="40" t="str">
        <f ca="1">IFERROR(__xludf.DUMMYFUNCTION("""COMPUTED_VALUE"""),"EN FORMACION")</f>
        <v>EN FORMACION</v>
      </c>
      <c r="AW75" s="40" t="str">
        <f ca="1">IFERROR(__xludf.DUMMYFUNCTION("""COMPUTED_VALUE"""),"TURISMO")</f>
        <v>TURISMO</v>
      </c>
      <c r="AX75" s="141">
        <f ca="1">IFERROR(__xludf.DUMMYFUNCTION("""COMPUTED_VALUE"""),44848)</f>
        <v>44848</v>
      </c>
      <c r="AY75" s="40">
        <f ca="1">IFERROR(__xludf.DUMMYFUNCTION("""COMPUTED_VALUE"""),0)</f>
        <v>0</v>
      </c>
      <c r="AZ75" s="40">
        <f ca="1">IFERROR(__xludf.DUMMYFUNCTION("""COMPUTED_VALUE"""),1)</f>
        <v>1</v>
      </c>
      <c r="BA75" s="40">
        <f ca="1">IFERROR(__xludf.DUMMYFUNCTION("""COMPUTED_VALUE"""),0)</f>
        <v>0</v>
      </c>
      <c r="BB75" s="40">
        <f ca="1">IFERROR(__xludf.DUMMYFUNCTION("""COMPUTED_VALUE"""),0)</f>
        <v>0</v>
      </c>
      <c r="BC75" s="40">
        <f ca="1">IFERROR(__xludf.DUMMYFUNCTION("""COMPUTED_VALUE"""),1)</f>
        <v>1</v>
      </c>
      <c r="BD75" s="141">
        <f ca="1">IFERROR(__xludf.DUMMYFUNCTION("""COMPUTED_VALUE"""),43668)</f>
        <v>43668</v>
      </c>
      <c r="BE75" s="141">
        <f ca="1">IFERROR(__xludf.DUMMYFUNCTION("""COMPUTED_VALUE"""),44113)</f>
        <v>44113</v>
      </c>
      <c r="BF75" s="141">
        <f ca="1">IFERROR(__xludf.DUMMYFUNCTION("""COMPUTED_VALUE"""),44295)</f>
        <v>44295</v>
      </c>
      <c r="BG75" s="141">
        <f ca="1">IFERROR(__xludf.DUMMYFUNCTION("""COMPUTED_VALUE"""),44843)</f>
        <v>44843</v>
      </c>
      <c r="BH75" s="40" t="str">
        <f ca="1">IFERROR(__xludf.DUMMYFUNCTION("""COMPUTED_VALUE"""),"FINALIZAR FICHA")</f>
        <v>FINALIZAR FICHA</v>
      </c>
      <c r="BI75" s="40" t="str">
        <f ca="1">IFERROR(__xludf.DUMMYFUNCTION("""COMPUTED_VALUE"""),"Terminada por fecha")</f>
        <v>Terminada por fecha</v>
      </c>
      <c r="BJ75" s="40" t="str">
        <f ca="1">IFERROR(__xludf.DUMMYFUNCTION("""COMPUTED_VALUE"""),"Yamboro")</f>
        <v>Yamboro</v>
      </c>
      <c r="BK75" s="40"/>
      <c r="BL75" s="40"/>
    </row>
    <row r="76" spans="1:64" ht="13">
      <c r="A76" s="40"/>
      <c r="B76" s="40" t="str">
        <f ca="1">IFERROR(__xludf.DUMMYFUNCTION("""COMPUTED_VALUE"""),"FORMACION.. Revisado 18/05/2022")</f>
        <v>FORMACION.. Revisado 18/05/2022</v>
      </c>
      <c r="C76" s="40" t="str">
        <f ca="1">IFERROR(__xludf.DUMMYFUNCTION("""COMPUTED_VALUE"""),"JEYSON ALEXANDER RODRIGUEZ MORA")</f>
        <v>JEYSON ALEXANDER RODRIGUEZ MORA</v>
      </c>
      <c r="D76" s="40" t="str">
        <f ca="1">IFERROR(__xludf.DUMMYFUNCTION("""COMPUTED_VALUE"""),"CC")</f>
        <v>CC</v>
      </c>
      <c r="E76" s="40">
        <f ca="1">IFERROR(__xludf.DUMMYFUNCTION("""COMPUTED_VALUE"""),1006999462)</f>
        <v>1006999462</v>
      </c>
      <c r="F76" s="40">
        <f ca="1">IFERROR(__xludf.DUMMYFUNCTION("""COMPUTED_VALUE"""),1905821)</f>
        <v>1905821</v>
      </c>
      <c r="G76" s="40" t="str">
        <f ca="1">IFERROR(__xludf.DUMMYFUNCTION("""COMPUTED_VALUE"""),"TÉCNICO")</f>
        <v>TÉCNICO</v>
      </c>
      <c r="H76" s="40" t="str">
        <f ca="1">IFERROR(__xludf.DUMMYFUNCTION("""COMPUTED_VALUE"""),"COCINA.")</f>
        <v>COCINA.</v>
      </c>
      <c r="I76" s="40">
        <f ca="1">IFERROR(__xludf.DUMMYFUNCTION("""COMPUTED_VALUE"""),3166306548)</f>
        <v>3166306548</v>
      </c>
      <c r="J76" s="40" t="str">
        <f ca="1">IFERROR(__xludf.DUMMYFUNCTION("""COMPUTED_VALUE"""),"jeysonmora21@gmail.com")</f>
        <v>jeysonmora21@gmail.com</v>
      </c>
      <c r="K76" s="40" t="str">
        <f ca="1">IFERROR(__xludf.DUMMYFUNCTION("""COMPUTED_VALUE"""),"HORMIGA - PUTUMAYO")</f>
        <v>HORMIGA - PUTUMAYO</v>
      </c>
      <c r="L76" s="40" t="str">
        <f ca="1">IFERROR(__xludf.DUMMYFUNCTION("""COMPUTED_VALUE"""),"NO HA INICIADO ETAPA PRODUCTIVA")</f>
        <v>NO HA INICIADO ETAPA PRODUCTIVA</v>
      </c>
      <c r="M76" s="40"/>
      <c r="N76" s="40"/>
      <c r="O76" s="40"/>
      <c r="P76" s="40"/>
      <c r="Q76" s="40"/>
      <c r="R76" s="140"/>
      <c r="S76" s="140"/>
      <c r="T76" s="40"/>
      <c r="U76" s="40"/>
      <c r="V76" s="40"/>
      <c r="W76" s="40"/>
      <c r="X76" s="40"/>
      <c r="Y76" s="40"/>
      <c r="Z76" s="40"/>
      <c r="AA76" s="40" t="str">
        <f ca="1">IFERROR(__xludf.DUMMYFUNCTION("""COMPUTED_VALUE"""),"Revisado 15/06/2022")</f>
        <v>Revisado 15/06/2022</v>
      </c>
      <c r="AB76" s="40"/>
      <c r="AC76" s="40"/>
      <c r="AD76" s="40"/>
      <c r="AE76" s="40"/>
      <c r="AF76" s="40"/>
      <c r="AG76" s="40"/>
      <c r="AH76" s="40"/>
      <c r="AI76" s="40"/>
      <c r="AJ76" s="40"/>
      <c r="AK76" s="40"/>
      <c r="AL76" s="40"/>
      <c r="AM76" s="40"/>
      <c r="AN76" s="40"/>
      <c r="AO76" s="40"/>
      <c r="AP76" s="40"/>
      <c r="AQ76" s="40"/>
      <c r="AR76" s="40"/>
      <c r="AS76" s="40"/>
      <c r="AT76" s="40"/>
      <c r="AU76" s="40" t="str">
        <f ca="1">IFERROR(__xludf.DUMMYFUNCTION("""COMPUTED_VALUE"""),"Procede_E_P")</f>
        <v>Procede_E_P</v>
      </c>
      <c r="AV76" s="40" t="str">
        <f ca="1">IFERROR(__xludf.DUMMYFUNCTION("""COMPUTED_VALUE"""),"EN FORMACION")</f>
        <v>EN FORMACION</v>
      </c>
      <c r="AW76" s="40" t="str">
        <f ca="1">IFERROR(__xludf.DUMMYFUNCTION("""COMPUTED_VALUE"""),"TURISMO")</f>
        <v>TURISMO</v>
      </c>
      <c r="AX76" s="141">
        <f ca="1">IFERROR(__xludf.DUMMYFUNCTION("""COMPUTED_VALUE"""),44848)</f>
        <v>44848</v>
      </c>
      <c r="AY76" s="40">
        <f ca="1">IFERROR(__xludf.DUMMYFUNCTION("""COMPUTED_VALUE"""),0)</f>
        <v>0</v>
      </c>
      <c r="AZ76" s="40">
        <f ca="1">IFERROR(__xludf.DUMMYFUNCTION("""COMPUTED_VALUE"""),1)</f>
        <v>1</v>
      </c>
      <c r="BA76" s="40">
        <f ca="1">IFERROR(__xludf.DUMMYFUNCTION("""COMPUTED_VALUE"""),0)</f>
        <v>0</v>
      </c>
      <c r="BB76" s="40">
        <f ca="1">IFERROR(__xludf.DUMMYFUNCTION("""COMPUTED_VALUE"""),0)</f>
        <v>0</v>
      </c>
      <c r="BC76" s="40">
        <f ca="1">IFERROR(__xludf.DUMMYFUNCTION("""COMPUTED_VALUE"""),1)</f>
        <v>1</v>
      </c>
      <c r="BD76" s="141">
        <f ca="1">IFERROR(__xludf.DUMMYFUNCTION("""COMPUTED_VALUE"""),43668)</f>
        <v>43668</v>
      </c>
      <c r="BE76" s="141">
        <f ca="1">IFERROR(__xludf.DUMMYFUNCTION("""COMPUTED_VALUE"""),44113)</f>
        <v>44113</v>
      </c>
      <c r="BF76" s="141">
        <f ca="1">IFERROR(__xludf.DUMMYFUNCTION("""COMPUTED_VALUE"""),44295)</f>
        <v>44295</v>
      </c>
      <c r="BG76" s="141">
        <f ca="1">IFERROR(__xludf.DUMMYFUNCTION("""COMPUTED_VALUE"""),44843)</f>
        <v>44843</v>
      </c>
      <c r="BH76" s="40" t="str">
        <f ca="1">IFERROR(__xludf.DUMMYFUNCTION("""COMPUTED_VALUE"""),"FINALIZAR FICHA")</f>
        <v>FINALIZAR FICHA</v>
      </c>
      <c r="BI76" s="40" t="str">
        <f ca="1">IFERROR(__xludf.DUMMYFUNCTION("""COMPUTED_VALUE"""),"Terminada por fecha")</f>
        <v>Terminada por fecha</v>
      </c>
      <c r="BJ76" s="40" t="str">
        <f ca="1">IFERROR(__xludf.DUMMYFUNCTION("""COMPUTED_VALUE"""),"Yamboro")</f>
        <v>Yamboro</v>
      </c>
      <c r="BK76" s="40"/>
      <c r="BL76" s="40"/>
    </row>
    <row r="77" spans="1:64" ht="13">
      <c r="A77" s="40"/>
      <c r="B77" s="40" t="str">
        <f ca="1">IFERROR(__xludf.DUMMYFUNCTION("""COMPUTED_VALUE"""),"FORMACIÓN 19//07/2022")</f>
        <v>FORMACIÓN 19//07/2022</v>
      </c>
      <c r="C77" s="40" t="str">
        <f ca="1">IFERROR(__xludf.DUMMYFUNCTION("""COMPUTED_VALUE"""),"CRISTIAN MATEO MORALES ANACONA")</f>
        <v>CRISTIAN MATEO MORALES ANACONA</v>
      </c>
      <c r="D77" s="40" t="str">
        <f ca="1">IFERROR(__xludf.DUMMYFUNCTION("""COMPUTED_VALUE"""),"CC")</f>
        <v>CC</v>
      </c>
      <c r="E77" s="40">
        <f ca="1">IFERROR(__xludf.DUMMYFUNCTION("""COMPUTED_VALUE"""),1007319349)</f>
        <v>1007319349</v>
      </c>
      <c r="F77" s="40">
        <f ca="1">IFERROR(__xludf.DUMMYFUNCTION("""COMPUTED_VALUE"""),1905821)</f>
        <v>1905821</v>
      </c>
      <c r="G77" s="40" t="str">
        <f ca="1">IFERROR(__xludf.DUMMYFUNCTION("""COMPUTED_VALUE"""),"TÉCNICO")</f>
        <v>TÉCNICO</v>
      </c>
      <c r="H77" s="40" t="str">
        <f ca="1">IFERROR(__xludf.DUMMYFUNCTION("""COMPUTED_VALUE"""),"COCINA.")</f>
        <v>COCINA.</v>
      </c>
      <c r="I77" s="40"/>
      <c r="J77" s="40" t="str">
        <f ca="1">IFERROR(__xludf.DUMMYFUNCTION("""COMPUTED_VALUE"""),"cm138860@gmail.com")</f>
        <v>cm138860@gmail.com</v>
      </c>
      <c r="K77" s="40"/>
      <c r="L77" s="40" t="str">
        <f ca="1">IFERROR(__xludf.DUMMYFUNCTION("""COMPUTED_VALUE"""),"NO HA INICIADO ETAPA PRODUCTIVA")</f>
        <v>NO HA INICIADO ETAPA PRODUCTIVA</v>
      </c>
      <c r="M77" s="40"/>
      <c r="N77" s="40"/>
      <c r="O77" s="40"/>
      <c r="P77" s="40"/>
      <c r="Q77" s="40"/>
      <c r="R77" s="140"/>
      <c r="S77" s="140"/>
      <c r="T77" s="40"/>
      <c r="U77" s="40"/>
      <c r="V77" s="40"/>
      <c r="W77" s="40"/>
      <c r="X77" s="40"/>
      <c r="Y77" s="40"/>
      <c r="Z77" s="40"/>
      <c r="AA77" s="40" t="str">
        <f ca="1">IFERROR(__xludf.DUMMYFUNCTION("""COMPUTED_VALUE"""),"Revisado 15/06/2022")</f>
        <v>Revisado 15/06/2022</v>
      </c>
      <c r="AB77" s="40"/>
      <c r="AC77" s="40"/>
      <c r="AD77" s="40"/>
      <c r="AE77" s="40"/>
      <c r="AF77" s="40"/>
      <c r="AG77" s="40"/>
      <c r="AH77" s="40"/>
      <c r="AI77" s="40"/>
      <c r="AJ77" s="40"/>
      <c r="AK77" s="40"/>
      <c r="AL77" s="40"/>
      <c r="AM77" s="40"/>
      <c r="AN77" s="40"/>
      <c r="AO77" s="40"/>
      <c r="AP77" s="40"/>
      <c r="AQ77" s="40"/>
      <c r="AR77" s="40"/>
      <c r="AS77" s="40"/>
      <c r="AT77" s="40"/>
      <c r="AU77" s="40" t="str">
        <f ca="1">IFERROR(__xludf.DUMMYFUNCTION("""COMPUTED_VALUE"""),"Procede_E_P")</f>
        <v>Procede_E_P</v>
      </c>
      <c r="AV77" s="40" t="str">
        <f ca="1">IFERROR(__xludf.DUMMYFUNCTION("""COMPUTED_VALUE"""),"EN FORMACION")</f>
        <v>EN FORMACION</v>
      </c>
      <c r="AW77" s="40" t="str">
        <f ca="1">IFERROR(__xludf.DUMMYFUNCTION("""COMPUTED_VALUE"""),"TURISMO")</f>
        <v>TURISMO</v>
      </c>
      <c r="AX77" s="141">
        <f ca="1">IFERROR(__xludf.DUMMYFUNCTION("""COMPUTED_VALUE"""),44848)</f>
        <v>44848</v>
      </c>
      <c r="AY77" s="40">
        <f ca="1">IFERROR(__xludf.DUMMYFUNCTION("""COMPUTED_VALUE"""),0)</f>
        <v>0</v>
      </c>
      <c r="AZ77" s="40">
        <f ca="1">IFERROR(__xludf.DUMMYFUNCTION("""COMPUTED_VALUE"""),1)</f>
        <v>1</v>
      </c>
      <c r="BA77" s="40">
        <f ca="1">IFERROR(__xludf.DUMMYFUNCTION("""COMPUTED_VALUE"""),0)</f>
        <v>0</v>
      </c>
      <c r="BB77" s="40">
        <f ca="1">IFERROR(__xludf.DUMMYFUNCTION("""COMPUTED_VALUE"""),0)</f>
        <v>0</v>
      </c>
      <c r="BC77" s="40">
        <f ca="1">IFERROR(__xludf.DUMMYFUNCTION("""COMPUTED_VALUE"""),1)</f>
        <v>1</v>
      </c>
      <c r="BD77" s="141">
        <f ca="1">IFERROR(__xludf.DUMMYFUNCTION("""COMPUTED_VALUE"""),43668)</f>
        <v>43668</v>
      </c>
      <c r="BE77" s="141">
        <f ca="1">IFERROR(__xludf.DUMMYFUNCTION("""COMPUTED_VALUE"""),44113)</f>
        <v>44113</v>
      </c>
      <c r="BF77" s="141">
        <f ca="1">IFERROR(__xludf.DUMMYFUNCTION("""COMPUTED_VALUE"""),44295)</f>
        <v>44295</v>
      </c>
      <c r="BG77" s="141">
        <f ca="1">IFERROR(__xludf.DUMMYFUNCTION("""COMPUTED_VALUE"""),44843)</f>
        <v>44843</v>
      </c>
      <c r="BH77" s="40" t="str">
        <f ca="1">IFERROR(__xludf.DUMMYFUNCTION("""COMPUTED_VALUE"""),"FINALIZAR FICHA")</f>
        <v>FINALIZAR FICHA</v>
      </c>
      <c r="BI77" s="40" t="str">
        <f ca="1">IFERROR(__xludf.DUMMYFUNCTION("""COMPUTED_VALUE"""),"Terminada por fecha")</f>
        <v>Terminada por fecha</v>
      </c>
      <c r="BJ77" s="40" t="str">
        <f ca="1">IFERROR(__xludf.DUMMYFUNCTION("""COMPUTED_VALUE"""),"Yamboro")</f>
        <v>Yamboro</v>
      </c>
      <c r="BK77" s="40"/>
      <c r="BL77" s="40"/>
    </row>
    <row r="78" spans="1:64" ht="13">
      <c r="A78" s="40"/>
      <c r="B78" s="40" t="str">
        <f ca="1">IFERROR(__xludf.DUMMYFUNCTION("""COMPUTED_VALUE"""),"FORMACIÓN 19//07/2022")</f>
        <v>FORMACIÓN 19//07/2022</v>
      </c>
      <c r="C78" s="40" t="str">
        <f ca="1">IFERROR(__xludf.DUMMYFUNCTION("""COMPUTED_VALUE"""),"JOSE DAVID CAMACHO TOVAR")</f>
        <v>JOSE DAVID CAMACHO TOVAR</v>
      </c>
      <c r="D78" s="40" t="str">
        <f ca="1">IFERROR(__xludf.DUMMYFUNCTION("""COMPUTED_VALUE"""),"TI")</f>
        <v>TI</v>
      </c>
      <c r="E78" s="40">
        <f ca="1">IFERROR(__xludf.DUMMYFUNCTION("""COMPUTED_VALUE"""),1007502916)</f>
        <v>1007502916</v>
      </c>
      <c r="F78" s="40">
        <f ca="1">IFERROR(__xludf.DUMMYFUNCTION("""COMPUTED_VALUE"""),1905821)</f>
        <v>1905821</v>
      </c>
      <c r="G78" s="40" t="str">
        <f ca="1">IFERROR(__xludf.DUMMYFUNCTION("""COMPUTED_VALUE"""),"TÉCNICO")</f>
        <v>TÉCNICO</v>
      </c>
      <c r="H78" s="40" t="str">
        <f ca="1">IFERROR(__xludf.DUMMYFUNCTION("""COMPUTED_VALUE"""),"COCINA.")</f>
        <v>COCINA.</v>
      </c>
      <c r="I78" s="40">
        <f ca="1">IFERROR(__xludf.DUMMYFUNCTION("""COMPUTED_VALUE"""),3177921844)</f>
        <v>3177921844</v>
      </c>
      <c r="J78" s="40" t="str">
        <f ca="1">IFERROR(__xludf.DUMMYFUNCTION("""COMPUTED_VALUE"""),"jose_camachot@hotmail.com")</f>
        <v>jose_camachot@hotmail.com</v>
      </c>
      <c r="K78" s="40" t="str">
        <f ca="1">IFERROR(__xludf.DUMMYFUNCTION("""COMPUTED_VALUE"""),"PITALITO")</f>
        <v>PITALITO</v>
      </c>
      <c r="L78" s="40" t="str">
        <f ca="1">IFERROR(__xludf.DUMMYFUNCTION("""COMPUTED_VALUE"""),"NO HA INICIADO ETAPA PRODUCTIVA")</f>
        <v>NO HA INICIADO ETAPA PRODUCTIVA</v>
      </c>
      <c r="M78" s="40"/>
      <c r="N78" s="40"/>
      <c r="O78" s="40"/>
      <c r="P78" s="40"/>
      <c r="Q78" s="40"/>
      <c r="R78" s="140"/>
      <c r="S78" s="140"/>
      <c r="T78" s="40"/>
      <c r="U78" s="40"/>
      <c r="V78" s="40"/>
      <c r="W78" s="40"/>
      <c r="X78" s="40"/>
      <c r="Y78" s="40"/>
      <c r="Z78" s="40"/>
      <c r="AA78" s="40" t="str">
        <f ca="1">IFERROR(__xludf.DUMMYFUNCTION("""COMPUTED_VALUE"""),"Revisado 15/06/2022")</f>
        <v>Revisado 15/06/2022</v>
      </c>
      <c r="AB78" s="40"/>
      <c r="AC78" s="40"/>
      <c r="AD78" s="40"/>
      <c r="AE78" s="40"/>
      <c r="AF78" s="40"/>
      <c r="AG78" s="40"/>
      <c r="AH78" s="40"/>
      <c r="AI78" s="40"/>
      <c r="AJ78" s="40"/>
      <c r="AK78" s="40"/>
      <c r="AL78" s="40"/>
      <c r="AM78" s="40"/>
      <c r="AN78" s="40"/>
      <c r="AO78" s="40"/>
      <c r="AP78" s="40"/>
      <c r="AQ78" s="40"/>
      <c r="AR78" s="40"/>
      <c r="AS78" s="40"/>
      <c r="AT78" s="40"/>
      <c r="AU78" s="40" t="str">
        <f ca="1">IFERROR(__xludf.DUMMYFUNCTION("""COMPUTED_VALUE"""),"NO_CUMPLE")</f>
        <v>NO_CUMPLE</v>
      </c>
      <c r="AV78" s="40" t="str">
        <f ca="1">IFERROR(__xludf.DUMMYFUNCTION("""COMPUTED_VALUE"""),"EN FORMACION")</f>
        <v>EN FORMACION</v>
      </c>
      <c r="AW78" s="40" t="str">
        <f ca="1">IFERROR(__xludf.DUMMYFUNCTION("""COMPUTED_VALUE"""),"TURISMO")</f>
        <v>TURISMO</v>
      </c>
      <c r="AX78" s="141">
        <f ca="1">IFERROR(__xludf.DUMMYFUNCTION("""COMPUTED_VALUE"""),44848)</f>
        <v>44848</v>
      </c>
      <c r="AY78" s="40">
        <f ca="1">IFERROR(__xludf.DUMMYFUNCTION("""COMPUTED_VALUE"""),5)</f>
        <v>5</v>
      </c>
      <c r="AZ78" s="40">
        <f ca="1">IFERROR(__xludf.DUMMYFUNCTION("""COMPUTED_VALUE"""),1)</f>
        <v>1</v>
      </c>
      <c r="BA78" s="40">
        <f ca="1">IFERROR(__xludf.DUMMYFUNCTION("""COMPUTED_VALUE"""),1)</f>
        <v>1</v>
      </c>
      <c r="BB78" s="40">
        <f ca="1">IFERROR(__xludf.DUMMYFUNCTION("""COMPUTED_VALUE"""),0)</f>
        <v>0</v>
      </c>
      <c r="BC78" s="40">
        <f ca="1">IFERROR(__xludf.DUMMYFUNCTION("""COMPUTED_VALUE"""),7)</f>
        <v>7</v>
      </c>
      <c r="BD78" s="141">
        <f ca="1">IFERROR(__xludf.DUMMYFUNCTION("""COMPUTED_VALUE"""),43668)</f>
        <v>43668</v>
      </c>
      <c r="BE78" s="141">
        <f ca="1">IFERROR(__xludf.DUMMYFUNCTION("""COMPUTED_VALUE"""),44113)</f>
        <v>44113</v>
      </c>
      <c r="BF78" s="141">
        <f ca="1">IFERROR(__xludf.DUMMYFUNCTION("""COMPUTED_VALUE"""),44295)</f>
        <v>44295</v>
      </c>
      <c r="BG78" s="141">
        <f ca="1">IFERROR(__xludf.DUMMYFUNCTION("""COMPUTED_VALUE"""),44843)</f>
        <v>44843</v>
      </c>
      <c r="BH78" s="40" t="str">
        <f ca="1">IFERROR(__xludf.DUMMYFUNCTION("""COMPUTED_VALUE"""),"FINALIZAR FICHA")</f>
        <v>FINALIZAR FICHA</v>
      </c>
      <c r="BI78" s="40" t="str">
        <f ca="1">IFERROR(__xludf.DUMMYFUNCTION("""COMPUTED_VALUE"""),"Terminada por fecha")</f>
        <v>Terminada por fecha</v>
      </c>
      <c r="BJ78" s="40" t="str">
        <f ca="1">IFERROR(__xludf.DUMMYFUNCTION("""COMPUTED_VALUE"""),"Yamboro")</f>
        <v>Yamboro</v>
      </c>
      <c r="BK78" s="40"/>
      <c r="BL78" s="40"/>
    </row>
    <row r="79" spans="1:64" ht="13">
      <c r="A79" s="40"/>
      <c r="B79" s="40" t="str">
        <f ca="1">IFERROR(__xludf.DUMMYFUNCTION("""COMPUTED_VALUE"""),"FORMACIÓN 19//07/2022")</f>
        <v>FORMACIÓN 19//07/2022</v>
      </c>
      <c r="C79" s="40" t="str">
        <f ca="1">IFERROR(__xludf.DUMMYFUNCTION("""COMPUTED_VALUE"""),"VIVIANA FAISURY NARVAEZ QUISABONI")</f>
        <v>VIVIANA FAISURY NARVAEZ QUISABONI</v>
      </c>
      <c r="D79" s="40" t="str">
        <f ca="1">IFERROR(__xludf.DUMMYFUNCTION("""COMPUTED_VALUE"""),"CC")</f>
        <v>CC</v>
      </c>
      <c r="E79" s="40">
        <f ca="1">IFERROR(__xludf.DUMMYFUNCTION("""COMPUTED_VALUE"""),1007583025)</f>
        <v>1007583025</v>
      </c>
      <c r="F79" s="40">
        <f ca="1">IFERROR(__xludf.DUMMYFUNCTION("""COMPUTED_VALUE"""),1905821)</f>
        <v>1905821</v>
      </c>
      <c r="G79" s="40" t="str">
        <f ca="1">IFERROR(__xludf.DUMMYFUNCTION("""COMPUTED_VALUE"""),"TÉCNICO")</f>
        <v>TÉCNICO</v>
      </c>
      <c r="H79" s="40" t="str">
        <f ca="1">IFERROR(__xludf.DUMMYFUNCTION("""COMPUTED_VALUE"""),"COCINA.")</f>
        <v>COCINA.</v>
      </c>
      <c r="I79" s="40">
        <f ca="1">IFERROR(__xludf.DUMMYFUNCTION("""COMPUTED_VALUE"""),3143775095)</f>
        <v>3143775095</v>
      </c>
      <c r="J79" s="40" t="str">
        <f ca="1">IFERROR(__xludf.DUMMYFUNCTION("""COMPUTED_VALUE"""),"vivianafaisury12@gmail.com")</f>
        <v>vivianafaisury12@gmail.com</v>
      </c>
      <c r="K79" s="40"/>
      <c r="L79" s="40" t="str">
        <f ca="1">IFERROR(__xludf.DUMMYFUNCTION("""COMPUTED_VALUE"""),"NO HA INICIADO ETAPA PRODUCTIVA")</f>
        <v>NO HA INICIADO ETAPA PRODUCTIVA</v>
      </c>
      <c r="M79" s="40"/>
      <c r="N79" s="40"/>
      <c r="O79" s="40"/>
      <c r="P79" s="40"/>
      <c r="Q79" s="40"/>
      <c r="R79" s="140"/>
      <c r="S79" s="140"/>
      <c r="T79" s="40"/>
      <c r="U79" s="40"/>
      <c r="V79" s="40"/>
      <c r="W79" s="40"/>
      <c r="X79" s="40"/>
      <c r="Y79" s="40"/>
      <c r="Z79" s="40"/>
      <c r="AA79" s="40" t="str">
        <f ca="1">IFERROR(__xludf.DUMMYFUNCTION("""COMPUTED_VALUE"""),"Revisado 15/06/2022")</f>
        <v>Revisado 15/06/2022</v>
      </c>
      <c r="AB79" s="40"/>
      <c r="AC79" s="40"/>
      <c r="AD79" s="40"/>
      <c r="AE79" s="40"/>
      <c r="AF79" s="40"/>
      <c r="AG79" s="40"/>
      <c r="AH79" s="40"/>
      <c r="AI79" s="40"/>
      <c r="AJ79" s="40"/>
      <c r="AK79" s="40"/>
      <c r="AL79" s="40"/>
      <c r="AM79" s="40"/>
      <c r="AN79" s="40"/>
      <c r="AO79" s="40"/>
      <c r="AP79" s="40"/>
      <c r="AQ79" s="40"/>
      <c r="AR79" s="40"/>
      <c r="AS79" s="40"/>
      <c r="AT79" s="40"/>
      <c r="AU79" s="40" t="str">
        <f ca="1">IFERROR(__xludf.DUMMYFUNCTION("""COMPUTED_VALUE"""),"Procede_E_P")</f>
        <v>Procede_E_P</v>
      </c>
      <c r="AV79" s="40" t="str">
        <f ca="1">IFERROR(__xludf.DUMMYFUNCTION("""COMPUTED_VALUE"""),"EN FORMACION")</f>
        <v>EN FORMACION</v>
      </c>
      <c r="AW79" s="40" t="str">
        <f ca="1">IFERROR(__xludf.DUMMYFUNCTION("""COMPUTED_VALUE"""),"TURISMO")</f>
        <v>TURISMO</v>
      </c>
      <c r="AX79" s="141">
        <f ca="1">IFERROR(__xludf.DUMMYFUNCTION("""COMPUTED_VALUE"""),44848)</f>
        <v>44848</v>
      </c>
      <c r="AY79" s="40">
        <f ca="1">IFERROR(__xludf.DUMMYFUNCTION("""COMPUTED_VALUE"""),0)</f>
        <v>0</v>
      </c>
      <c r="AZ79" s="40">
        <f ca="1">IFERROR(__xludf.DUMMYFUNCTION("""COMPUTED_VALUE"""),1)</f>
        <v>1</v>
      </c>
      <c r="BA79" s="40">
        <f ca="1">IFERROR(__xludf.DUMMYFUNCTION("""COMPUTED_VALUE"""),0)</f>
        <v>0</v>
      </c>
      <c r="BB79" s="40">
        <f ca="1">IFERROR(__xludf.DUMMYFUNCTION("""COMPUTED_VALUE"""),0)</f>
        <v>0</v>
      </c>
      <c r="BC79" s="40">
        <f ca="1">IFERROR(__xludf.DUMMYFUNCTION("""COMPUTED_VALUE"""),1)</f>
        <v>1</v>
      </c>
      <c r="BD79" s="141">
        <f ca="1">IFERROR(__xludf.DUMMYFUNCTION("""COMPUTED_VALUE"""),43668)</f>
        <v>43668</v>
      </c>
      <c r="BE79" s="141">
        <f ca="1">IFERROR(__xludf.DUMMYFUNCTION("""COMPUTED_VALUE"""),44113)</f>
        <v>44113</v>
      </c>
      <c r="BF79" s="141">
        <f ca="1">IFERROR(__xludf.DUMMYFUNCTION("""COMPUTED_VALUE"""),44295)</f>
        <v>44295</v>
      </c>
      <c r="BG79" s="141">
        <f ca="1">IFERROR(__xludf.DUMMYFUNCTION("""COMPUTED_VALUE"""),44843)</f>
        <v>44843</v>
      </c>
      <c r="BH79" s="40" t="str">
        <f ca="1">IFERROR(__xludf.DUMMYFUNCTION("""COMPUTED_VALUE"""),"FINALIZAR FICHA")</f>
        <v>FINALIZAR FICHA</v>
      </c>
      <c r="BI79" s="40" t="str">
        <f ca="1">IFERROR(__xludf.DUMMYFUNCTION("""COMPUTED_VALUE"""),"Terminada por fecha")</f>
        <v>Terminada por fecha</v>
      </c>
      <c r="BJ79" s="40" t="str">
        <f ca="1">IFERROR(__xludf.DUMMYFUNCTION("""COMPUTED_VALUE"""),"Yamboro")</f>
        <v>Yamboro</v>
      </c>
      <c r="BK79" s="40"/>
      <c r="BL79" s="40"/>
    </row>
    <row r="80" spans="1:64" ht="13">
      <c r="A80" s="40"/>
      <c r="B80" s="40" t="str">
        <f ca="1">IFERROR(__xludf.DUMMYFUNCTION("""COMPUTED_VALUE"""),"FORMACIÓN 19//07/2022")</f>
        <v>FORMACIÓN 19//07/2022</v>
      </c>
      <c r="C80" s="40" t="str">
        <f ca="1">IFERROR(__xludf.DUMMYFUNCTION("""COMPUTED_VALUE"""),"SOFIA ORTIZ DAZA")</f>
        <v>SOFIA ORTIZ DAZA</v>
      </c>
      <c r="D80" s="40" t="str">
        <f ca="1">IFERROR(__xludf.DUMMYFUNCTION("""COMPUTED_VALUE"""),"CC")</f>
        <v>CC</v>
      </c>
      <c r="E80" s="40">
        <f ca="1">IFERROR(__xludf.DUMMYFUNCTION("""COMPUTED_VALUE"""),1007600664)</f>
        <v>1007600664</v>
      </c>
      <c r="F80" s="40">
        <f ca="1">IFERROR(__xludf.DUMMYFUNCTION("""COMPUTED_VALUE"""),1905821)</f>
        <v>1905821</v>
      </c>
      <c r="G80" s="40" t="str">
        <f ca="1">IFERROR(__xludf.DUMMYFUNCTION("""COMPUTED_VALUE"""),"TÉCNICO")</f>
        <v>TÉCNICO</v>
      </c>
      <c r="H80" s="40" t="str">
        <f ca="1">IFERROR(__xludf.DUMMYFUNCTION("""COMPUTED_VALUE"""),"COCINA.")</f>
        <v>COCINA.</v>
      </c>
      <c r="I80" s="40"/>
      <c r="J80" s="40" t="str">
        <f ca="1">IFERROR(__xludf.DUMMYFUNCTION("""COMPUTED_VALUE"""),"sofiaortizdaza73@gmail.com")</f>
        <v>sofiaortizdaza73@gmail.com</v>
      </c>
      <c r="K80" s="40"/>
      <c r="L80" s="40" t="str">
        <f ca="1">IFERROR(__xludf.DUMMYFUNCTION("""COMPUTED_VALUE"""),"NO HA INICIADO ETAPA PRODUCTIVA")</f>
        <v>NO HA INICIADO ETAPA PRODUCTIVA</v>
      </c>
      <c r="M80" s="40"/>
      <c r="N80" s="40"/>
      <c r="O80" s="40"/>
      <c r="P80" s="40"/>
      <c r="Q80" s="40"/>
      <c r="R80" s="140"/>
      <c r="S80" s="140"/>
      <c r="T80" s="40"/>
      <c r="U80" s="40"/>
      <c r="V80" s="40"/>
      <c r="W80" s="40"/>
      <c r="X80" s="40"/>
      <c r="Y80" s="40"/>
      <c r="Z80" s="40"/>
      <c r="AA80" s="40" t="str">
        <f ca="1">IFERROR(__xludf.DUMMYFUNCTION("""COMPUTED_VALUE"""),"Revisado 15/06/2022")</f>
        <v>Revisado 15/06/2022</v>
      </c>
      <c r="AB80" s="40"/>
      <c r="AC80" s="40"/>
      <c r="AD80" s="40"/>
      <c r="AE80" s="40"/>
      <c r="AF80" s="40"/>
      <c r="AG80" s="40"/>
      <c r="AH80" s="40"/>
      <c r="AI80" s="40"/>
      <c r="AJ80" s="40"/>
      <c r="AK80" s="40"/>
      <c r="AL80" s="40"/>
      <c r="AM80" s="40"/>
      <c r="AN80" s="40"/>
      <c r="AO80" s="40"/>
      <c r="AP80" s="40"/>
      <c r="AQ80" s="40"/>
      <c r="AR80" s="40"/>
      <c r="AS80" s="40"/>
      <c r="AT80" s="40"/>
      <c r="AU80" s="40" t="str">
        <f ca="1">IFERROR(__xludf.DUMMYFUNCTION("""COMPUTED_VALUE"""),"Procede_E_P")</f>
        <v>Procede_E_P</v>
      </c>
      <c r="AV80" s="40" t="str">
        <f ca="1">IFERROR(__xludf.DUMMYFUNCTION("""COMPUTED_VALUE"""),"EN FORMACION")</f>
        <v>EN FORMACION</v>
      </c>
      <c r="AW80" s="40" t="str">
        <f ca="1">IFERROR(__xludf.DUMMYFUNCTION("""COMPUTED_VALUE"""),"TURISMO")</f>
        <v>TURISMO</v>
      </c>
      <c r="AX80" s="141">
        <f ca="1">IFERROR(__xludf.DUMMYFUNCTION("""COMPUTED_VALUE"""),44848)</f>
        <v>44848</v>
      </c>
      <c r="AY80" s="40">
        <f ca="1">IFERROR(__xludf.DUMMYFUNCTION("""COMPUTED_VALUE"""),0)</f>
        <v>0</v>
      </c>
      <c r="AZ80" s="40">
        <f ca="1">IFERROR(__xludf.DUMMYFUNCTION("""COMPUTED_VALUE"""),1)</f>
        <v>1</v>
      </c>
      <c r="BA80" s="40">
        <f ca="1">IFERROR(__xludf.DUMMYFUNCTION("""COMPUTED_VALUE"""),0)</f>
        <v>0</v>
      </c>
      <c r="BB80" s="40">
        <f ca="1">IFERROR(__xludf.DUMMYFUNCTION("""COMPUTED_VALUE"""),0)</f>
        <v>0</v>
      </c>
      <c r="BC80" s="40">
        <f ca="1">IFERROR(__xludf.DUMMYFUNCTION("""COMPUTED_VALUE"""),1)</f>
        <v>1</v>
      </c>
      <c r="BD80" s="141">
        <f ca="1">IFERROR(__xludf.DUMMYFUNCTION("""COMPUTED_VALUE"""),43668)</f>
        <v>43668</v>
      </c>
      <c r="BE80" s="141">
        <f ca="1">IFERROR(__xludf.DUMMYFUNCTION("""COMPUTED_VALUE"""),44113)</f>
        <v>44113</v>
      </c>
      <c r="BF80" s="141">
        <f ca="1">IFERROR(__xludf.DUMMYFUNCTION("""COMPUTED_VALUE"""),44295)</f>
        <v>44295</v>
      </c>
      <c r="BG80" s="141">
        <f ca="1">IFERROR(__xludf.DUMMYFUNCTION("""COMPUTED_VALUE"""),44843)</f>
        <v>44843</v>
      </c>
      <c r="BH80" s="40" t="str">
        <f ca="1">IFERROR(__xludf.DUMMYFUNCTION("""COMPUTED_VALUE"""),"FINALIZAR FICHA")</f>
        <v>FINALIZAR FICHA</v>
      </c>
      <c r="BI80" s="40" t="str">
        <f ca="1">IFERROR(__xludf.DUMMYFUNCTION("""COMPUTED_VALUE"""),"Terminada por fecha")</f>
        <v>Terminada por fecha</v>
      </c>
      <c r="BJ80" s="40" t="str">
        <f ca="1">IFERROR(__xludf.DUMMYFUNCTION("""COMPUTED_VALUE"""),"Yamboro")</f>
        <v>Yamboro</v>
      </c>
      <c r="BK80" s="40"/>
      <c r="BL80" s="40"/>
    </row>
    <row r="81" spans="1:64" ht="13">
      <c r="A81" s="40"/>
      <c r="B81" s="40" t="str">
        <f ca="1">IFERROR(__xludf.DUMMYFUNCTION("""COMPUTED_VALUE"""),"FORMACIÓN 19//07/2022")</f>
        <v>FORMACIÓN 19//07/2022</v>
      </c>
      <c r="C81" s="40" t="str">
        <f ca="1">IFERROR(__xludf.DUMMYFUNCTION("""COMPUTED_VALUE"""),"CARLOS EDUARDO ARISTIZABAL DIAZ")</f>
        <v>CARLOS EDUARDO ARISTIZABAL DIAZ</v>
      </c>
      <c r="D81" s="40" t="str">
        <f ca="1">IFERROR(__xludf.DUMMYFUNCTION("""COMPUTED_VALUE"""),"CC")</f>
        <v>CC</v>
      </c>
      <c r="E81" s="40">
        <f ca="1">IFERROR(__xludf.DUMMYFUNCTION("""COMPUTED_VALUE"""),1082779308)</f>
        <v>1082779308</v>
      </c>
      <c r="F81" s="40">
        <f ca="1">IFERROR(__xludf.DUMMYFUNCTION("""COMPUTED_VALUE"""),1905821)</f>
        <v>1905821</v>
      </c>
      <c r="G81" s="40" t="str">
        <f ca="1">IFERROR(__xludf.DUMMYFUNCTION("""COMPUTED_VALUE"""),"TÉCNICO")</f>
        <v>TÉCNICO</v>
      </c>
      <c r="H81" s="40" t="str">
        <f ca="1">IFERROR(__xludf.DUMMYFUNCTION("""COMPUTED_VALUE"""),"COCINA.")</f>
        <v>COCINA.</v>
      </c>
      <c r="I81" s="40">
        <f ca="1">IFERROR(__xludf.DUMMYFUNCTION("""COMPUTED_VALUE"""),3145118061)</f>
        <v>3145118061</v>
      </c>
      <c r="J81" s="40" t="str">
        <f ca="1">IFERROR(__xludf.DUMMYFUNCTION("""COMPUTED_VALUE"""),"cardiaz820@gmail.com")</f>
        <v>cardiaz820@gmail.com</v>
      </c>
      <c r="K81" s="40"/>
      <c r="L81" s="40" t="str">
        <f ca="1">IFERROR(__xludf.DUMMYFUNCTION("""COMPUTED_VALUE"""),"NO HA INICIADO ETAPA PRODUCTIVA")</f>
        <v>NO HA INICIADO ETAPA PRODUCTIVA</v>
      </c>
      <c r="M81" s="40"/>
      <c r="N81" s="40"/>
      <c r="O81" s="40"/>
      <c r="P81" s="40"/>
      <c r="Q81" s="40"/>
      <c r="R81" s="140"/>
      <c r="S81" s="140"/>
      <c r="T81" s="40"/>
      <c r="U81" s="40"/>
      <c r="V81" s="40"/>
      <c r="W81" s="40"/>
      <c r="X81" s="40"/>
      <c r="Y81" s="40"/>
      <c r="Z81" s="40"/>
      <c r="AA81" s="40" t="str">
        <f ca="1">IFERROR(__xludf.DUMMYFUNCTION("""COMPUTED_VALUE"""),"Revisado 15/06/2022")</f>
        <v>Revisado 15/06/2022</v>
      </c>
      <c r="AB81" s="40"/>
      <c r="AC81" s="40"/>
      <c r="AD81" s="40"/>
      <c r="AE81" s="40"/>
      <c r="AF81" s="40"/>
      <c r="AG81" s="40"/>
      <c r="AH81" s="40"/>
      <c r="AI81" s="40"/>
      <c r="AJ81" s="40"/>
      <c r="AK81" s="40"/>
      <c r="AL81" s="40"/>
      <c r="AM81" s="40"/>
      <c r="AN81" s="40"/>
      <c r="AO81" s="40"/>
      <c r="AP81" s="40"/>
      <c r="AQ81" s="40"/>
      <c r="AR81" s="40"/>
      <c r="AS81" s="40"/>
      <c r="AT81" s="40"/>
      <c r="AU81" s="40" t="str">
        <f ca="1">IFERROR(__xludf.DUMMYFUNCTION("""COMPUTED_VALUE"""),"NO_CUMPLE")</f>
        <v>NO_CUMPLE</v>
      </c>
      <c r="AV81" s="40" t="str">
        <f ca="1">IFERROR(__xludf.DUMMYFUNCTION("""COMPUTED_VALUE"""),"EN FORMACION")</f>
        <v>EN FORMACION</v>
      </c>
      <c r="AW81" s="40" t="str">
        <f ca="1">IFERROR(__xludf.DUMMYFUNCTION("""COMPUTED_VALUE"""),"TURISMO")</f>
        <v>TURISMO</v>
      </c>
      <c r="AX81" s="141">
        <f ca="1">IFERROR(__xludf.DUMMYFUNCTION("""COMPUTED_VALUE"""),44848)</f>
        <v>44848</v>
      </c>
      <c r="AY81" s="40">
        <f ca="1">IFERROR(__xludf.DUMMYFUNCTION("""COMPUTED_VALUE"""),4)</f>
        <v>4</v>
      </c>
      <c r="AZ81" s="40">
        <f ca="1">IFERROR(__xludf.DUMMYFUNCTION("""COMPUTED_VALUE"""),1)</f>
        <v>1</v>
      </c>
      <c r="BA81" s="40">
        <f ca="1">IFERROR(__xludf.DUMMYFUNCTION("""COMPUTED_VALUE"""),0)</f>
        <v>0</v>
      </c>
      <c r="BB81" s="40">
        <f ca="1">IFERROR(__xludf.DUMMYFUNCTION("""COMPUTED_VALUE"""),0)</f>
        <v>0</v>
      </c>
      <c r="BC81" s="40">
        <f ca="1">IFERROR(__xludf.DUMMYFUNCTION("""COMPUTED_VALUE"""),5)</f>
        <v>5</v>
      </c>
      <c r="BD81" s="141">
        <f ca="1">IFERROR(__xludf.DUMMYFUNCTION("""COMPUTED_VALUE"""),43668)</f>
        <v>43668</v>
      </c>
      <c r="BE81" s="141">
        <f ca="1">IFERROR(__xludf.DUMMYFUNCTION("""COMPUTED_VALUE"""),44113)</f>
        <v>44113</v>
      </c>
      <c r="BF81" s="141">
        <f ca="1">IFERROR(__xludf.DUMMYFUNCTION("""COMPUTED_VALUE"""),44295)</f>
        <v>44295</v>
      </c>
      <c r="BG81" s="141">
        <f ca="1">IFERROR(__xludf.DUMMYFUNCTION("""COMPUTED_VALUE"""),44843)</f>
        <v>44843</v>
      </c>
      <c r="BH81" s="40" t="str">
        <f ca="1">IFERROR(__xludf.DUMMYFUNCTION("""COMPUTED_VALUE"""),"FINALIZAR FICHA")</f>
        <v>FINALIZAR FICHA</v>
      </c>
      <c r="BI81" s="40" t="str">
        <f ca="1">IFERROR(__xludf.DUMMYFUNCTION("""COMPUTED_VALUE"""),"Terminada por fecha")</f>
        <v>Terminada por fecha</v>
      </c>
      <c r="BJ81" s="40" t="str">
        <f ca="1">IFERROR(__xludf.DUMMYFUNCTION("""COMPUTED_VALUE"""),"Yamboro")</f>
        <v>Yamboro</v>
      </c>
      <c r="BK81" s="40"/>
      <c r="BL81" s="40"/>
    </row>
    <row r="82" spans="1:64" ht="13">
      <c r="A82" s="40"/>
      <c r="B82" s="40" t="str">
        <f ca="1">IFERROR(__xludf.DUMMYFUNCTION("""COMPUTED_VALUE"""),"FORMACIÓN 19//07/2022")</f>
        <v>FORMACIÓN 19//07/2022</v>
      </c>
      <c r="C82" s="40" t="str">
        <f ca="1">IFERROR(__xludf.DUMMYFUNCTION("""COMPUTED_VALUE"""),"BRANDON STEVEN MEDINA MANA")</f>
        <v>BRANDON STEVEN MEDINA MANA</v>
      </c>
      <c r="D82" s="40" t="str">
        <f ca="1">IFERROR(__xludf.DUMMYFUNCTION("""COMPUTED_VALUE"""),"TI")</f>
        <v>TI</v>
      </c>
      <c r="E82" s="40">
        <f ca="1">IFERROR(__xludf.DUMMYFUNCTION("""COMPUTED_VALUE"""),1193107511)</f>
        <v>1193107511</v>
      </c>
      <c r="F82" s="40">
        <f ca="1">IFERROR(__xludf.DUMMYFUNCTION("""COMPUTED_VALUE"""),1905821)</f>
        <v>1905821</v>
      </c>
      <c r="G82" s="40" t="str">
        <f ca="1">IFERROR(__xludf.DUMMYFUNCTION("""COMPUTED_VALUE"""),"TÉCNICO")</f>
        <v>TÉCNICO</v>
      </c>
      <c r="H82" s="40" t="str">
        <f ca="1">IFERROR(__xludf.DUMMYFUNCTION("""COMPUTED_VALUE"""),"COCINA.")</f>
        <v>COCINA.</v>
      </c>
      <c r="I82" s="40"/>
      <c r="J82" s="40" t="str">
        <f ca="1">IFERROR(__xludf.DUMMYFUNCTION("""COMPUTED_VALUE"""),"medinamanabrandon2203@gmail.com")</f>
        <v>medinamanabrandon2203@gmail.com</v>
      </c>
      <c r="K82" s="40"/>
      <c r="L82" s="40" t="str">
        <f ca="1">IFERROR(__xludf.DUMMYFUNCTION("""COMPUTED_VALUE"""),"NO HA INICIADO ETAPA PRODUCTIVA")</f>
        <v>NO HA INICIADO ETAPA PRODUCTIVA</v>
      </c>
      <c r="M82" s="40"/>
      <c r="N82" s="40"/>
      <c r="O82" s="40"/>
      <c r="P82" s="40"/>
      <c r="Q82" s="40"/>
      <c r="R82" s="140"/>
      <c r="S82" s="140"/>
      <c r="T82" s="40"/>
      <c r="U82" s="40"/>
      <c r="V82" s="40"/>
      <c r="W82" s="40"/>
      <c r="X82" s="40"/>
      <c r="Y82" s="40"/>
      <c r="Z82" s="40"/>
      <c r="AA82" s="40" t="str">
        <f ca="1">IFERROR(__xludf.DUMMYFUNCTION("""COMPUTED_VALUE"""),"Revisado 15/06/2022")</f>
        <v>Revisado 15/06/2022</v>
      </c>
      <c r="AB82" s="40"/>
      <c r="AC82" s="40"/>
      <c r="AD82" s="40"/>
      <c r="AE82" s="40"/>
      <c r="AF82" s="40"/>
      <c r="AG82" s="40"/>
      <c r="AH82" s="40"/>
      <c r="AI82" s="40"/>
      <c r="AJ82" s="40"/>
      <c r="AK82" s="40"/>
      <c r="AL82" s="40"/>
      <c r="AM82" s="40"/>
      <c r="AN82" s="40"/>
      <c r="AO82" s="40"/>
      <c r="AP82" s="40"/>
      <c r="AQ82" s="40"/>
      <c r="AR82" s="40"/>
      <c r="AS82" s="40"/>
      <c r="AT82" s="40"/>
      <c r="AU82" s="40" t="str">
        <f ca="1">IFERROR(__xludf.DUMMYFUNCTION("""COMPUTED_VALUE"""),"NO_CUMPLE")</f>
        <v>NO_CUMPLE</v>
      </c>
      <c r="AV82" s="40" t="str">
        <f ca="1">IFERROR(__xludf.DUMMYFUNCTION("""COMPUTED_VALUE"""),"EN FORMACION")</f>
        <v>EN FORMACION</v>
      </c>
      <c r="AW82" s="40" t="str">
        <f ca="1">IFERROR(__xludf.DUMMYFUNCTION("""COMPUTED_VALUE"""),"TURISMO")</f>
        <v>TURISMO</v>
      </c>
      <c r="AX82" s="141">
        <f ca="1">IFERROR(__xludf.DUMMYFUNCTION("""COMPUTED_VALUE"""),44848)</f>
        <v>44848</v>
      </c>
      <c r="AY82" s="40">
        <f ca="1">IFERROR(__xludf.DUMMYFUNCTION("""COMPUTED_VALUE"""),4)</f>
        <v>4</v>
      </c>
      <c r="AZ82" s="40">
        <f ca="1">IFERROR(__xludf.DUMMYFUNCTION("""COMPUTED_VALUE"""),1)</f>
        <v>1</v>
      </c>
      <c r="BA82" s="40">
        <f ca="1">IFERROR(__xludf.DUMMYFUNCTION("""COMPUTED_VALUE"""),3)</f>
        <v>3</v>
      </c>
      <c r="BB82" s="40">
        <f ca="1">IFERROR(__xludf.DUMMYFUNCTION("""COMPUTED_VALUE"""),0)</f>
        <v>0</v>
      </c>
      <c r="BC82" s="40">
        <f ca="1">IFERROR(__xludf.DUMMYFUNCTION("""COMPUTED_VALUE"""),8)</f>
        <v>8</v>
      </c>
      <c r="BD82" s="141">
        <f ca="1">IFERROR(__xludf.DUMMYFUNCTION("""COMPUTED_VALUE"""),43668)</f>
        <v>43668</v>
      </c>
      <c r="BE82" s="141">
        <f ca="1">IFERROR(__xludf.DUMMYFUNCTION("""COMPUTED_VALUE"""),44113)</f>
        <v>44113</v>
      </c>
      <c r="BF82" s="141">
        <f ca="1">IFERROR(__xludf.DUMMYFUNCTION("""COMPUTED_VALUE"""),44295)</f>
        <v>44295</v>
      </c>
      <c r="BG82" s="141">
        <f ca="1">IFERROR(__xludf.DUMMYFUNCTION("""COMPUTED_VALUE"""),44843)</f>
        <v>44843</v>
      </c>
      <c r="BH82" s="40" t="str">
        <f ca="1">IFERROR(__xludf.DUMMYFUNCTION("""COMPUTED_VALUE"""),"FINALIZAR FICHA")</f>
        <v>FINALIZAR FICHA</v>
      </c>
      <c r="BI82" s="40" t="str">
        <f ca="1">IFERROR(__xludf.DUMMYFUNCTION("""COMPUTED_VALUE"""),"Terminada por fecha")</f>
        <v>Terminada por fecha</v>
      </c>
      <c r="BJ82" s="40" t="str">
        <f ca="1">IFERROR(__xludf.DUMMYFUNCTION("""COMPUTED_VALUE"""),"Yamboro")</f>
        <v>Yamboro</v>
      </c>
      <c r="BK82" s="40"/>
      <c r="BL82" s="40"/>
    </row>
    <row r="83" spans="1:64" ht="13">
      <c r="A83" s="40"/>
      <c r="B83" s="40" t="str">
        <f ca="1">IFERROR(__xludf.DUMMYFUNCTION("""COMPUTED_VALUE"""),"FORMACIÓN 19//07/2022")</f>
        <v>FORMACIÓN 19//07/2022</v>
      </c>
      <c r="C83" s="40" t="str">
        <f ca="1">IFERROR(__xludf.DUMMYFUNCTION("""COMPUTED_VALUE"""),"JENNIFER NATALY ALVIS BONILLA")</f>
        <v>JENNIFER NATALY ALVIS BONILLA</v>
      </c>
      <c r="D83" s="40" t="str">
        <f ca="1">IFERROR(__xludf.DUMMYFUNCTION("""COMPUTED_VALUE"""),"CC")</f>
        <v>CC</v>
      </c>
      <c r="E83" s="40">
        <f ca="1">IFERROR(__xludf.DUMMYFUNCTION("""COMPUTED_VALUE"""),1007295575)</f>
        <v>1007295575</v>
      </c>
      <c r="F83" s="40">
        <f ca="1">IFERROR(__xludf.DUMMYFUNCTION("""COMPUTED_VALUE"""),1961854)</f>
        <v>1961854</v>
      </c>
      <c r="G83" s="40" t="str">
        <f ca="1">IFERROR(__xludf.DUMMYFUNCTION("""COMPUTED_VALUE"""),"TÉCNICO")</f>
        <v>TÉCNICO</v>
      </c>
      <c r="H83" s="40" t="str">
        <f ca="1">IFERROR(__xludf.DUMMYFUNCTION("""COMPUTED_VALUE"""),"COCINA.")</f>
        <v>COCINA.</v>
      </c>
      <c r="I83" s="40"/>
      <c r="J83" s="40" t="str">
        <f ca="1">IFERROR(__xludf.DUMMYFUNCTION("""COMPUTED_VALUE"""),"natalyalviss98@gmail.com")</f>
        <v>natalyalviss98@gmail.com</v>
      </c>
      <c r="K83" s="40"/>
      <c r="L83" s="40" t="str">
        <f ca="1">IFERROR(__xludf.DUMMYFUNCTION("""COMPUTED_VALUE"""),"NO HA INICIADO ETAPA PRODUCTIVA")</f>
        <v>NO HA INICIADO ETAPA PRODUCTIVA</v>
      </c>
      <c r="M83" s="40"/>
      <c r="N83" s="40"/>
      <c r="O83" s="40"/>
      <c r="P83" s="40"/>
      <c r="Q83" s="40"/>
      <c r="R83" s="140"/>
      <c r="S83" s="140"/>
      <c r="T83" s="40"/>
      <c r="U83" s="40"/>
      <c r="V83" s="40"/>
      <c r="W83" s="40"/>
      <c r="X83" s="40"/>
      <c r="Y83" s="40"/>
      <c r="Z83" s="40"/>
      <c r="AA83" s="40" t="str">
        <f ca="1">IFERROR(__xludf.DUMMYFUNCTION("""COMPUTED_VALUE"""),"Revisado 15/06/2022")</f>
        <v>Revisado 15/06/2022</v>
      </c>
      <c r="AB83" s="40"/>
      <c r="AC83" s="40"/>
      <c r="AD83" s="40"/>
      <c r="AE83" s="40"/>
      <c r="AF83" s="40"/>
      <c r="AG83" s="40"/>
      <c r="AH83" s="40"/>
      <c r="AI83" s="40"/>
      <c r="AJ83" s="40"/>
      <c r="AK83" s="40"/>
      <c r="AL83" s="40"/>
      <c r="AM83" s="40"/>
      <c r="AN83" s="40"/>
      <c r="AO83" s="40"/>
      <c r="AP83" s="40"/>
      <c r="AQ83" s="40"/>
      <c r="AR83" s="40"/>
      <c r="AS83" s="40"/>
      <c r="AT83" s="40"/>
      <c r="AU83" s="40" t="str">
        <f ca="1">IFERROR(__xludf.DUMMYFUNCTION("""COMPUTED_VALUE"""),"NO_CUMPLE")</f>
        <v>NO_CUMPLE</v>
      </c>
      <c r="AV83" s="40" t="str">
        <f ca="1">IFERROR(__xludf.DUMMYFUNCTION("""COMPUTED_VALUE"""),"EN FORMACION")</f>
        <v>EN FORMACION</v>
      </c>
      <c r="AW83" s="40" t="str">
        <f ca="1">IFERROR(__xludf.DUMMYFUNCTION("""COMPUTED_VALUE"""),"TURISMO")</f>
        <v>TURISMO</v>
      </c>
      <c r="AX83" s="141">
        <f ca="1">IFERROR(__xludf.DUMMYFUNCTION("""COMPUTED_VALUE"""),44848)</f>
        <v>44848</v>
      </c>
      <c r="AY83" s="40">
        <f ca="1">IFERROR(__xludf.DUMMYFUNCTION("""COMPUTED_VALUE"""),4)</f>
        <v>4</v>
      </c>
      <c r="AZ83" s="40">
        <f ca="1">IFERROR(__xludf.DUMMYFUNCTION("""COMPUTED_VALUE"""),1)</f>
        <v>1</v>
      </c>
      <c r="BA83" s="40">
        <f ca="1">IFERROR(__xludf.DUMMYFUNCTION("""COMPUTED_VALUE"""),6)</f>
        <v>6</v>
      </c>
      <c r="BB83" s="40">
        <f ca="1">IFERROR(__xludf.DUMMYFUNCTION("""COMPUTED_VALUE"""),0)</f>
        <v>0</v>
      </c>
      <c r="BC83" s="40">
        <f ca="1">IFERROR(__xludf.DUMMYFUNCTION("""COMPUTED_VALUE"""),11)</f>
        <v>11</v>
      </c>
      <c r="BD83" s="141">
        <f ca="1">IFERROR(__xludf.DUMMYFUNCTION("""COMPUTED_VALUE"""),43745)</f>
        <v>43745</v>
      </c>
      <c r="BE83" s="141">
        <f ca="1">IFERROR(__xludf.DUMMYFUNCTION("""COMPUTED_VALUE"""),44113)</f>
        <v>44113</v>
      </c>
      <c r="BF83" s="141">
        <f ca="1">IFERROR(__xludf.DUMMYFUNCTION("""COMPUTED_VALUE"""),44295)</f>
        <v>44295</v>
      </c>
      <c r="BG83" s="141">
        <f ca="1">IFERROR(__xludf.DUMMYFUNCTION("""COMPUTED_VALUE"""),44843)</f>
        <v>44843</v>
      </c>
      <c r="BH83" s="40" t="str">
        <f ca="1">IFERROR(__xludf.DUMMYFUNCTION("""COMPUTED_VALUE"""),"FINALIZAR FICHA")</f>
        <v>FINALIZAR FICHA</v>
      </c>
      <c r="BI83" s="40" t="str">
        <f ca="1">IFERROR(__xludf.DUMMYFUNCTION("""COMPUTED_VALUE"""),"Terminada por fecha")</f>
        <v>Terminada por fecha</v>
      </c>
      <c r="BJ83" s="40" t="str">
        <f ca="1">IFERROR(__xludf.DUMMYFUNCTION("""COMPUTED_VALUE"""),"Yamboro")</f>
        <v>Yamboro</v>
      </c>
      <c r="BK83" s="40"/>
      <c r="BL83" s="40"/>
    </row>
    <row r="84" spans="1:64" ht="13">
      <c r="A84" s="40"/>
      <c r="B84" s="40" t="str">
        <f ca="1">IFERROR(__xludf.DUMMYFUNCTION("""COMPUTED_VALUE"""),"FORMACIÓN 19//07/2022")</f>
        <v>FORMACIÓN 19//07/2022</v>
      </c>
      <c r="C84" s="40" t="str">
        <f ca="1">IFERROR(__xludf.DUMMYFUNCTION("""COMPUTED_VALUE"""),"LUZ STEFANNY ROJAS LOZANO")</f>
        <v>LUZ STEFANNY ROJAS LOZANO</v>
      </c>
      <c r="D84" s="40" t="str">
        <f ca="1">IFERROR(__xludf.DUMMYFUNCTION("""COMPUTED_VALUE"""),"CC")</f>
        <v>CC</v>
      </c>
      <c r="E84" s="40">
        <f ca="1">IFERROR(__xludf.DUMMYFUNCTION("""COMPUTED_VALUE"""),1023001763)</f>
        <v>1023001763</v>
      </c>
      <c r="F84" s="40">
        <f ca="1">IFERROR(__xludf.DUMMYFUNCTION("""COMPUTED_VALUE"""),1961854)</f>
        <v>1961854</v>
      </c>
      <c r="G84" s="40" t="str">
        <f ca="1">IFERROR(__xludf.DUMMYFUNCTION("""COMPUTED_VALUE"""),"TÉCNICO")</f>
        <v>TÉCNICO</v>
      </c>
      <c r="H84" s="40" t="str">
        <f ca="1">IFERROR(__xludf.DUMMYFUNCTION("""COMPUTED_VALUE"""),"COCINA.")</f>
        <v>COCINA.</v>
      </c>
      <c r="I84" s="40">
        <f ca="1">IFERROR(__xludf.DUMMYFUNCTION("""COMPUTED_VALUE"""),3156388738)</f>
        <v>3156388738</v>
      </c>
      <c r="J84" s="40" t="str">
        <f ca="1">IFERROR(__xludf.DUMMYFUNCTION("""COMPUTED_VALUE"""),"luxyta950@gmail.com")</f>
        <v>luxyta950@gmail.com</v>
      </c>
      <c r="K84" s="40" t="str">
        <f ca="1">IFERROR(__xludf.DUMMYFUNCTION("""COMPUTED_VALUE"""),"PITALITO")</f>
        <v>PITALITO</v>
      </c>
      <c r="L84" s="40" t="str">
        <f ca="1">IFERROR(__xludf.DUMMYFUNCTION("""COMPUTED_VALUE"""),"TERMINADO")</f>
        <v>TERMINADO</v>
      </c>
      <c r="M84" s="40"/>
      <c r="N84" s="40"/>
      <c r="O84" s="40"/>
      <c r="P84" s="40"/>
      <c r="Q84" s="40"/>
      <c r="R84" s="140"/>
      <c r="S84" s="140"/>
      <c r="T84" s="40"/>
      <c r="U84" s="40"/>
      <c r="V84" s="40"/>
      <c r="W84" s="40"/>
      <c r="X84" s="40"/>
      <c r="Y84" s="40"/>
      <c r="Z84" s="40"/>
      <c r="AA84" s="40" t="str">
        <f ca="1">IFERROR(__xludf.DUMMYFUNCTION("""COMPUTED_VALUE"""),"Revisado 15/06/2022")</f>
        <v>Revisado 15/06/2022</v>
      </c>
      <c r="AB84" s="40"/>
      <c r="AC84" s="40"/>
      <c r="AD84" s="40"/>
      <c r="AE84" s="40"/>
      <c r="AF84" s="40"/>
      <c r="AG84" s="40"/>
      <c r="AH84" s="40"/>
      <c r="AI84" s="40"/>
      <c r="AJ84" s="40"/>
      <c r="AK84" s="40"/>
      <c r="AL84" s="40"/>
      <c r="AM84" s="40"/>
      <c r="AN84" s="40"/>
      <c r="AO84" s="40"/>
      <c r="AP84" s="40"/>
      <c r="AQ84" s="40"/>
      <c r="AR84" s="40"/>
      <c r="AS84" s="40"/>
      <c r="AT84" s="40"/>
      <c r="AU84" s="40" t="str">
        <f ca="1">IFERROR(__xludf.DUMMYFUNCTION("""COMPUTED_VALUE"""),"Procede_E_P")</f>
        <v>Procede_E_P</v>
      </c>
      <c r="AV84" s="40" t="str">
        <f ca="1">IFERROR(__xludf.DUMMYFUNCTION("""COMPUTED_VALUE"""),"EN FORMACION")</f>
        <v>EN FORMACION</v>
      </c>
      <c r="AW84" s="40" t="str">
        <f ca="1">IFERROR(__xludf.DUMMYFUNCTION("""COMPUTED_VALUE"""),"TURISMO")</f>
        <v>TURISMO</v>
      </c>
      <c r="AX84" s="141">
        <f ca="1">IFERROR(__xludf.DUMMYFUNCTION("""COMPUTED_VALUE"""),44848)</f>
        <v>44848</v>
      </c>
      <c r="AY84" s="40">
        <f ca="1">IFERROR(__xludf.DUMMYFUNCTION("""COMPUTED_VALUE"""),0)</f>
        <v>0</v>
      </c>
      <c r="AZ84" s="40">
        <f ca="1">IFERROR(__xludf.DUMMYFUNCTION("""COMPUTED_VALUE"""),1)</f>
        <v>1</v>
      </c>
      <c r="BA84" s="40">
        <f ca="1">IFERROR(__xludf.DUMMYFUNCTION("""COMPUTED_VALUE"""),0)</f>
        <v>0</v>
      </c>
      <c r="BB84" s="40">
        <f ca="1">IFERROR(__xludf.DUMMYFUNCTION("""COMPUTED_VALUE"""),0)</f>
        <v>0</v>
      </c>
      <c r="BC84" s="40">
        <f ca="1">IFERROR(__xludf.DUMMYFUNCTION("""COMPUTED_VALUE"""),1)</f>
        <v>1</v>
      </c>
      <c r="BD84" s="141">
        <f ca="1">IFERROR(__xludf.DUMMYFUNCTION("""COMPUTED_VALUE"""),43745)</f>
        <v>43745</v>
      </c>
      <c r="BE84" s="141">
        <f ca="1">IFERROR(__xludf.DUMMYFUNCTION("""COMPUTED_VALUE"""),44113)</f>
        <v>44113</v>
      </c>
      <c r="BF84" s="141">
        <f ca="1">IFERROR(__xludf.DUMMYFUNCTION("""COMPUTED_VALUE"""),44295)</f>
        <v>44295</v>
      </c>
      <c r="BG84" s="141">
        <f ca="1">IFERROR(__xludf.DUMMYFUNCTION("""COMPUTED_VALUE"""),44843)</f>
        <v>44843</v>
      </c>
      <c r="BH84" s="40" t="str">
        <f ca="1">IFERROR(__xludf.DUMMYFUNCTION("""COMPUTED_VALUE"""),"FINALIZAR FICHA")</f>
        <v>FINALIZAR FICHA</v>
      </c>
      <c r="BI84" s="40" t="str">
        <f ca="1">IFERROR(__xludf.DUMMYFUNCTION("""COMPUTED_VALUE"""),"Terminada por fecha")</f>
        <v>Terminada por fecha</v>
      </c>
      <c r="BJ84" s="40" t="str">
        <f ca="1">IFERROR(__xludf.DUMMYFUNCTION("""COMPUTED_VALUE"""),"Yamboro")</f>
        <v>Yamboro</v>
      </c>
      <c r="BK84" s="40"/>
      <c r="BL84" s="40"/>
    </row>
    <row r="85" spans="1:64" ht="13">
      <c r="A85" s="40"/>
      <c r="B85" s="40" t="str">
        <f ca="1">IFERROR(__xludf.DUMMYFUNCTION("""COMPUTED_VALUE"""),"FORMACIÓN 19//07/2022")</f>
        <v>FORMACIÓN 19//07/2022</v>
      </c>
      <c r="C85" s="40" t="str">
        <f ca="1">IFERROR(__xludf.DUMMYFUNCTION("""COMPUTED_VALUE"""),"DANIEL ECHEVERRY RODRIGUEZ")</f>
        <v>DANIEL ECHEVERRY RODRIGUEZ</v>
      </c>
      <c r="D85" s="40" t="str">
        <f ca="1">IFERROR(__xludf.DUMMYFUNCTION("""COMPUTED_VALUE"""),"CC")</f>
        <v>CC</v>
      </c>
      <c r="E85" s="40">
        <f ca="1">IFERROR(__xludf.DUMMYFUNCTION("""COMPUTED_VALUE"""),1113314358)</f>
        <v>1113314358</v>
      </c>
      <c r="F85" s="40">
        <f ca="1">IFERROR(__xludf.DUMMYFUNCTION("""COMPUTED_VALUE"""),1961854)</f>
        <v>1961854</v>
      </c>
      <c r="G85" s="40" t="str">
        <f ca="1">IFERROR(__xludf.DUMMYFUNCTION("""COMPUTED_VALUE"""),"TÉCNICO")</f>
        <v>TÉCNICO</v>
      </c>
      <c r="H85" s="40" t="str">
        <f ca="1">IFERROR(__xludf.DUMMYFUNCTION("""COMPUTED_VALUE"""),"COCINA.")</f>
        <v>COCINA.</v>
      </c>
      <c r="I85" s="40">
        <f ca="1">IFERROR(__xludf.DUMMYFUNCTION("""COMPUTED_VALUE"""),3219925776)</f>
        <v>3219925776</v>
      </c>
      <c r="J85" s="40" t="str">
        <f ca="1">IFERROR(__xludf.DUMMYFUNCTION("""COMPUTED_VALUE"""),"decheverryrodriguez@gmail.com")</f>
        <v>decheverryrodriguez@gmail.com</v>
      </c>
      <c r="K85" s="40"/>
      <c r="L85" s="40" t="str">
        <f ca="1">IFERROR(__xludf.DUMMYFUNCTION("""COMPUTED_VALUE"""),"TERMINADO")</f>
        <v>TERMINADO</v>
      </c>
      <c r="M85" s="40"/>
      <c r="N85" s="40"/>
      <c r="O85" s="40"/>
      <c r="P85" s="40"/>
      <c r="Q85" s="40"/>
      <c r="R85" s="140"/>
      <c r="S85" s="140"/>
      <c r="T85" s="40"/>
      <c r="U85" s="40"/>
      <c r="V85" s="40"/>
      <c r="W85" s="40"/>
      <c r="X85" s="40"/>
      <c r="Y85" s="40"/>
      <c r="Z85" s="40"/>
      <c r="AA85" s="40" t="str">
        <f ca="1">IFERROR(__xludf.DUMMYFUNCTION("""COMPUTED_VALUE"""),"Revisado 15/06/2022")</f>
        <v>Revisado 15/06/2022</v>
      </c>
      <c r="AB85" s="40"/>
      <c r="AC85" s="40"/>
      <c r="AD85" s="40"/>
      <c r="AE85" s="40"/>
      <c r="AF85" s="40"/>
      <c r="AG85" s="40"/>
      <c r="AH85" s="40"/>
      <c r="AI85" s="40"/>
      <c r="AJ85" s="40"/>
      <c r="AK85" s="40"/>
      <c r="AL85" s="40"/>
      <c r="AM85" s="40"/>
      <c r="AN85" s="40"/>
      <c r="AO85" s="40"/>
      <c r="AP85" s="40"/>
      <c r="AQ85" s="40"/>
      <c r="AR85" s="40"/>
      <c r="AS85" s="40"/>
      <c r="AT85" s="40"/>
      <c r="AU85" s="40" t="str">
        <f ca="1">IFERROR(__xludf.DUMMYFUNCTION("""COMPUTED_VALUE"""),"Procede_E_P")</f>
        <v>Procede_E_P</v>
      </c>
      <c r="AV85" s="40" t="str">
        <f ca="1">IFERROR(__xludf.DUMMYFUNCTION("""COMPUTED_VALUE"""),"EN FORMACION")</f>
        <v>EN FORMACION</v>
      </c>
      <c r="AW85" s="40" t="str">
        <f ca="1">IFERROR(__xludf.DUMMYFUNCTION("""COMPUTED_VALUE"""),"TURISMO")</f>
        <v>TURISMO</v>
      </c>
      <c r="AX85" s="141">
        <f ca="1">IFERROR(__xludf.DUMMYFUNCTION("""COMPUTED_VALUE"""),44848)</f>
        <v>44848</v>
      </c>
      <c r="AY85" s="40">
        <f ca="1">IFERROR(__xludf.DUMMYFUNCTION("""COMPUTED_VALUE"""),0)</f>
        <v>0</v>
      </c>
      <c r="AZ85" s="40">
        <f ca="1">IFERROR(__xludf.DUMMYFUNCTION("""COMPUTED_VALUE"""),1)</f>
        <v>1</v>
      </c>
      <c r="BA85" s="40">
        <f ca="1">IFERROR(__xludf.DUMMYFUNCTION("""COMPUTED_VALUE"""),0)</f>
        <v>0</v>
      </c>
      <c r="BB85" s="40">
        <f ca="1">IFERROR(__xludf.DUMMYFUNCTION("""COMPUTED_VALUE"""),0)</f>
        <v>0</v>
      </c>
      <c r="BC85" s="40">
        <f ca="1">IFERROR(__xludf.DUMMYFUNCTION("""COMPUTED_VALUE"""),1)</f>
        <v>1</v>
      </c>
      <c r="BD85" s="141">
        <f ca="1">IFERROR(__xludf.DUMMYFUNCTION("""COMPUTED_VALUE"""),43745)</f>
        <v>43745</v>
      </c>
      <c r="BE85" s="141">
        <f ca="1">IFERROR(__xludf.DUMMYFUNCTION("""COMPUTED_VALUE"""),44113)</f>
        <v>44113</v>
      </c>
      <c r="BF85" s="141">
        <f ca="1">IFERROR(__xludf.DUMMYFUNCTION("""COMPUTED_VALUE"""),44295)</f>
        <v>44295</v>
      </c>
      <c r="BG85" s="141">
        <f ca="1">IFERROR(__xludf.DUMMYFUNCTION("""COMPUTED_VALUE"""),44843)</f>
        <v>44843</v>
      </c>
      <c r="BH85" s="40" t="str">
        <f ca="1">IFERROR(__xludf.DUMMYFUNCTION("""COMPUTED_VALUE"""),"FINALIZAR FICHA")</f>
        <v>FINALIZAR FICHA</v>
      </c>
      <c r="BI85" s="40" t="str">
        <f ca="1">IFERROR(__xludf.DUMMYFUNCTION("""COMPUTED_VALUE"""),"Terminada por fecha")</f>
        <v>Terminada por fecha</v>
      </c>
      <c r="BJ85" s="40" t="str">
        <f ca="1">IFERROR(__xludf.DUMMYFUNCTION("""COMPUTED_VALUE"""),"Yamboro")</f>
        <v>Yamboro</v>
      </c>
      <c r="BK85" s="40"/>
      <c r="BL85" s="40"/>
    </row>
    <row r="86" spans="1:64" ht="13">
      <c r="A86" s="40"/>
      <c r="B86" s="40" t="str">
        <f ca="1">IFERROR(__xludf.DUMMYFUNCTION("""COMPUTED_VALUE"""),"FORMACIÓN 19//07/2022")</f>
        <v>FORMACIÓN 19//07/2022</v>
      </c>
      <c r="C86" s="40" t="str">
        <f ca="1">IFERROR(__xludf.DUMMYFUNCTION("""COMPUTED_VALUE"""),"JAIME ARLES PASAJE COLLAZOS")</f>
        <v>JAIME ARLES PASAJE COLLAZOS</v>
      </c>
      <c r="D86" s="40" t="str">
        <f ca="1">IFERROR(__xludf.DUMMYFUNCTION("""COMPUTED_VALUE"""),"CC")</f>
        <v>CC</v>
      </c>
      <c r="E86" s="40">
        <f ca="1">IFERROR(__xludf.DUMMYFUNCTION("""COMPUTED_VALUE"""),12180794)</f>
        <v>12180794</v>
      </c>
      <c r="F86" s="40">
        <f ca="1">IFERROR(__xludf.DUMMYFUNCTION("""COMPUTED_VALUE"""),1992810)</f>
        <v>1992810</v>
      </c>
      <c r="G86" s="40" t="str">
        <f ca="1">IFERROR(__xludf.DUMMYFUNCTION("""COMPUTED_VALUE"""),"TÉCNICO")</f>
        <v>TÉCNICO</v>
      </c>
      <c r="H86" s="40" t="str">
        <f ca="1">IFERROR(__xludf.DUMMYFUNCTION("""COMPUTED_VALUE"""),"INSTALACIONES ELECTRICAS RESIDENCIALES")</f>
        <v>INSTALACIONES ELECTRICAS RESIDENCIALES</v>
      </c>
      <c r="I86" s="40">
        <f ca="1">IFERROR(__xludf.DUMMYFUNCTION("""COMPUTED_VALUE"""),3125548141)</f>
        <v>3125548141</v>
      </c>
      <c r="J86" s="40" t="str">
        <f ca="1">IFERROR(__xludf.DUMMYFUNCTION("""COMPUTED_VALUE"""),"emes-10@hotmail.com")</f>
        <v>emes-10@hotmail.com</v>
      </c>
      <c r="K86" s="40"/>
      <c r="L86" s="40" t="str">
        <f ca="1">IFERROR(__xludf.DUMMYFUNCTION("""COMPUTED_VALUE"""),"TERMINADO")</f>
        <v>TERMINADO</v>
      </c>
      <c r="M86" s="40"/>
      <c r="N86" s="40"/>
      <c r="O86" s="40"/>
      <c r="P86" s="40"/>
      <c r="Q86" s="40"/>
      <c r="R86" s="140"/>
      <c r="S86" s="140"/>
      <c r="T86" s="40"/>
      <c r="U86" s="40"/>
      <c r="V86" s="40"/>
      <c r="W86" s="40"/>
      <c r="X86" s="40"/>
      <c r="Y86" s="40"/>
      <c r="Z86" s="40"/>
      <c r="AA86" s="40" t="str">
        <f ca="1">IFERROR(__xludf.DUMMYFUNCTION("""COMPUTED_VALUE"""),"Revisado 15/06/2022")</f>
        <v>Revisado 15/06/2022</v>
      </c>
      <c r="AB86" s="40"/>
      <c r="AC86" s="40"/>
      <c r="AD86" s="40"/>
      <c r="AE86" s="40"/>
      <c r="AF86" s="40"/>
      <c r="AG86" s="40"/>
      <c r="AH86" s="40"/>
      <c r="AI86" s="40"/>
      <c r="AJ86" s="40"/>
      <c r="AK86" s="40"/>
      <c r="AL86" s="40"/>
      <c r="AM86" s="40"/>
      <c r="AN86" s="40"/>
      <c r="AO86" s="40"/>
      <c r="AP86" s="40"/>
      <c r="AQ86" s="40"/>
      <c r="AR86" s="40"/>
      <c r="AS86" s="40"/>
      <c r="AT86" s="40"/>
      <c r="AU86" s="40" t="str">
        <f ca="1">IFERROR(__xludf.DUMMYFUNCTION("""COMPUTED_VALUE"""),"Procede_E_P")</f>
        <v>Procede_E_P</v>
      </c>
      <c r="AV86" s="40" t="str">
        <f ca="1">IFERROR(__xludf.DUMMYFUNCTION("""COMPUTED_VALUE"""),"EN FORMACION")</f>
        <v>EN FORMACION</v>
      </c>
      <c r="AW86" s="40" t="str">
        <f ca="1">IFERROR(__xludf.DUMMYFUNCTION("""COMPUTED_VALUE"""),"BIOCONSTRUCCION")</f>
        <v>BIOCONSTRUCCION</v>
      </c>
      <c r="AX86" s="141">
        <f ca="1">IFERROR(__xludf.DUMMYFUNCTION("""COMPUTED_VALUE"""),44848)</f>
        <v>44848</v>
      </c>
      <c r="AY86" s="40">
        <f ca="1">IFERROR(__xludf.DUMMYFUNCTION("""COMPUTED_VALUE"""),0)</f>
        <v>0</v>
      </c>
      <c r="AZ86" s="40">
        <f ca="1">IFERROR(__xludf.DUMMYFUNCTION("""COMPUTED_VALUE"""),1)</f>
        <v>1</v>
      </c>
      <c r="BA86" s="40">
        <f ca="1">IFERROR(__xludf.DUMMYFUNCTION("""COMPUTED_VALUE"""),0)</f>
        <v>0</v>
      </c>
      <c r="BB86" s="40">
        <f ca="1">IFERROR(__xludf.DUMMYFUNCTION("""COMPUTED_VALUE"""),0)</f>
        <v>0</v>
      </c>
      <c r="BC86" s="40">
        <f ca="1">IFERROR(__xludf.DUMMYFUNCTION("""COMPUTED_VALUE"""),1)</f>
        <v>1</v>
      </c>
      <c r="BD86" s="141">
        <f ca="1">IFERROR(__xludf.DUMMYFUNCTION("""COMPUTED_VALUE"""),43724)</f>
        <v>43724</v>
      </c>
      <c r="BE86" s="141">
        <f ca="1">IFERROR(__xludf.DUMMYFUNCTION("""COMPUTED_VALUE"""),44012)</f>
        <v>44012</v>
      </c>
      <c r="BF86" s="141">
        <f ca="1">IFERROR(__xludf.DUMMYFUNCTION("""COMPUTED_VALUE"""),44195)</f>
        <v>44195</v>
      </c>
      <c r="BG86" s="141">
        <f ca="1">IFERROR(__xludf.DUMMYFUNCTION("""COMPUTED_VALUE"""),44742)</f>
        <v>44742</v>
      </c>
      <c r="BH86" s="40" t="str">
        <f ca="1">IFERROR(__xludf.DUMMYFUNCTION("""COMPUTED_VALUE"""),"FINALIZAR FICHA")</f>
        <v>FINALIZAR FICHA</v>
      </c>
      <c r="BI86" s="40" t="str">
        <f ca="1">IFERROR(__xludf.DUMMYFUNCTION("""COMPUTED_VALUE"""),"Terminada por Fecha     ")</f>
        <v xml:space="preserve">Terminada por Fecha     </v>
      </c>
      <c r="BJ86" s="40" t="str">
        <f ca="1">IFERROR(__xludf.DUMMYFUNCTION("""COMPUTED_VALUE"""),"Yamboro")</f>
        <v>Yamboro</v>
      </c>
      <c r="BK86" s="40"/>
      <c r="BL86" s="40"/>
    </row>
    <row r="87" spans="1:64" ht="13">
      <c r="A87" s="40"/>
      <c r="B87" s="40" t="str">
        <f ca="1">IFERROR(__xludf.DUMMYFUNCTION("""COMPUTED_VALUE"""),"FORMACIÓN 19//07/2022")</f>
        <v>FORMACIÓN 19//07/2022</v>
      </c>
      <c r="C87" s="40" t="str">
        <f ca="1">IFERROR(__xludf.DUMMYFUNCTION("""COMPUTED_VALUE"""),"JOHN JAIVER JOSA MUTIS")</f>
        <v>JOHN JAIVER JOSA MUTIS</v>
      </c>
      <c r="D87" s="40" t="str">
        <f ca="1">IFERROR(__xludf.DUMMYFUNCTION("""COMPUTED_VALUE"""),"CC")</f>
        <v>CC</v>
      </c>
      <c r="E87" s="40">
        <f ca="1">IFERROR(__xludf.DUMMYFUNCTION("""COMPUTED_VALUE"""),12263813)</f>
        <v>12263813</v>
      </c>
      <c r="F87" s="40">
        <f ca="1">IFERROR(__xludf.DUMMYFUNCTION("""COMPUTED_VALUE"""),1992810)</f>
        <v>1992810</v>
      </c>
      <c r="G87" s="40" t="str">
        <f ca="1">IFERROR(__xludf.DUMMYFUNCTION("""COMPUTED_VALUE"""),"TÉCNICO")</f>
        <v>TÉCNICO</v>
      </c>
      <c r="H87" s="40" t="str">
        <f ca="1">IFERROR(__xludf.DUMMYFUNCTION("""COMPUTED_VALUE"""),"INSTALACIONES ELECTRICAS RESIDENCIALES")</f>
        <v>INSTALACIONES ELECTRICAS RESIDENCIALES</v>
      </c>
      <c r="I87" s="40">
        <f ca="1">IFERROR(__xludf.DUMMYFUNCTION("""COMPUTED_VALUE"""),3138381684)</f>
        <v>3138381684</v>
      </c>
      <c r="J87" s="40" t="str">
        <f ca="1">IFERROR(__xludf.DUMMYFUNCTION("""COMPUTED_VALUE"""),"chatol_852@hotmail.es")</f>
        <v>chatol_852@hotmail.es</v>
      </c>
      <c r="K87" s="40"/>
      <c r="L87" s="40" t="str">
        <f ca="1">IFERROR(__xludf.DUMMYFUNCTION("""COMPUTED_VALUE"""),"TERMINADO")</f>
        <v>TERMINADO</v>
      </c>
      <c r="M87" s="40"/>
      <c r="N87" s="40"/>
      <c r="O87" s="40"/>
      <c r="P87" s="40"/>
      <c r="Q87" s="40"/>
      <c r="R87" s="140"/>
      <c r="S87" s="140"/>
      <c r="T87" s="40"/>
      <c r="U87" s="40"/>
      <c r="V87" s="40"/>
      <c r="W87" s="40"/>
      <c r="X87" s="40"/>
      <c r="Y87" s="40"/>
      <c r="Z87" s="40"/>
      <c r="AA87" s="40" t="str">
        <f ca="1">IFERROR(__xludf.DUMMYFUNCTION("""COMPUTED_VALUE"""),"Revisado 15/06/2022")</f>
        <v>Revisado 15/06/2022</v>
      </c>
      <c r="AB87" s="40"/>
      <c r="AC87" s="40"/>
      <c r="AD87" s="40"/>
      <c r="AE87" s="40"/>
      <c r="AF87" s="40"/>
      <c r="AG87" s="40"/>
      <c r="AH87" s="40"/>
      <c r="AI87" s="40"/>
      <c r="AJ87" s="40"/>
      <c r="AK87" s="40"/>
      <c r="AL87" s="40"/>
      <c r="AM87" s="40"/>
      <c r="AN87" s="40"/>
      <c r="AO87" s="40"/>
      <c r="AP87" s="40"/>
      <c r="AQ87" s="40"/>
      <c r="AR87" s="40"/>
      <c r="AS87" s="40"/>
      <c r="AT87" s="40"/>
      <c r="AU87" s="40" t="str">
        <f ca="1">IFERROR(__xludf.DUMMYFUNCTION("""COMPUTED_VALUE"""),"Procede_E_P")</f>
        <v>Procede_E_P</v>
      </c>
      <c r="AV87" s="40" t="str">
        <f ca="1">IFERROR(__xludf.DUMMYFUNCTION("""COMPUTED_VALUE"""),"EN FORMACION")</f>
        <v>EN FORMACION</v>
      </c>
      <c r="AW87" s="40" t="str">
        <f ca="1">IFERROR(__xludf.DUMMYFUNCTION("""COMPUTED_VALUE"""),"BIOCONSTRUCCION")</f>
        <v>BIOCONSTRUCCION</v>
      </c>
      <c r="AX87" s="141">
        <f ca="1">IFERROR(__xludf.DUMMYFUNCTION("""COMPUTED_VALUE"""),44848)</f>
        <v>44848</v>
      </c>
      <c r="AY87" s="40">
        <f ca="1">IFERROR(__xludf.DUMMYFUNCTION("""COMPUTED_VALUE"""),0)</f>
        <v>0</v>
      </c>
      <c r="AZ87" s="40">
        <f ca="1">IFERROR(__xludf.DUMMYFUNCTION("""COMPUTED_VALUE"""),1)</f>
        <v>1</v>
      </c>
      <c r="BA87" s="40">
        <f ca="1">IFERROR(__xludf.DUMMYFUNCTION("""COMPUTED_VALUE"""),0)</f>
        <v>0</v>
      </c>
      <c r="BB87" s="40">
        <f ca="1">IFERROR(__xludf.DUMMYFUNCTION("""COMPUTED_VALUE"""),0)</f>
        <v>0</v>
      </c>
      <c r="BC87" s="40">
        <f ca="1">IFERROR(__xludf.DUMMYFUNCTION("""COMPUTED_VALUE"""),1)</f>
        <v>1</v>
      </c>
      <c r="BD87" s="141">
        <f ca="1">IFERROR(__xludf.DUMMYFUNCTION("""COMPUTED_VALUE"""),43724)</f>
        <v>43724</v>
      </c>
      <c r="BE87" s="141">
        <f ca="1">IFERROR(__xludf.DUMMYFUNCTION("""COMPUTED_VALUE"""),44012)</f>
        <v>44012</v>
      </c>
      <c r="BF87" s="141">
        <f ca="1">IFERROR(__xludf.DUMMYFUNCTION("""COMPUTED_VALUE"""),44195)</f>
        <v>44195</v>
      </c>
      <c r="BG87" s="141">
        <f ca="1">IFERROR(__xludf.DUMMYFUNCTION("""COMPUTED_VALUE"""),44742)</f>
        <v>44742</v>
      </c>
      <c r="BH87" s="40" t="str">
        <f ca="1">IFERROR(__xludf.DUMMYFUNCTION("""COMPUTED_VALUE"""),"FINALIZAR FICHA")</f>
        <v>FINALIZAR FICHA</v>
      </c>
      <c r="BI87" s="40" t="str">
        <f ca="1">IFERROR(__xludf.DUMMYFUNCTION("""COMPUTED_VALUE"""),"Terminada por Fecha     ")</f>
        <v xml:space="preserve">Terminada por Fecha     </v>
      </c>
      <c r="BJ87" s="40" t="str">
        <f ca="1">IFERROR(__xludf.DUMMYFUNCTION("""COMPUTED_VALUE"""),"Yamboro")</f>
        <v>Yamboro</v>
      </c>
      <c r="BK87" s="40"/>
      <c r="BL87" s="40"/>
    </row>
    <row r="88" spans="1:64" ht="13">
      <c r="A88" s="40"/>
      <c r="B88" s="40" t="str">
        <f ca="1">IFERROR(__xludf.DUMMYFUNCTION("""COMPUTED_VALUE"""),"FORMACIÓN 19//07/2022")</f>
        <v>FORMACIÓN 19//07/2022</v>
      </c>
      <c r="C88" s="40" t="str">
        <f ca="1">IFERROR(__xludf.DUMMYFUNCTION("""COMPUTED_VALUE"""),"JAVIER YECID CORDOBA CHAVEZ")</f>
        <v>JAVIER YECID CORDOBA CHAVEZ</v>
      </c>
      <c r="D88" s="40" t="str">
        <f ca="1">IFERROR(__xludf.DUMMYFUNCTION("""COMPUTED_VALUE"""),"CC")</f>
        <v>CC</v>
      </c>
      <c r="E88" s="40">
        <f ca="1">IFERROR(__xludf.DUMMYFUNCTION("""COMPUTED_VALUE"""),12264443)</f>
        <v>12264443</v>
      </c>
      <c r="F88" s="40">
        <f ca="1">IFERROR(__xludf.DUMMYFUNCTION("""COMPUTED_VALUE"""),1992810)</f>
        <v>1992810</v>
      </c>
      <c r="G88" s="40" t="str">
        <f ca="1">IFERROR(__xludf.DUMMYFUNCTION("""COMPUTED_VALUE"""),"TÉCNICO")</f>
        <v>TÉCNICO</v>
      </c>
      <c r="H88" s="40" t="str">
        <f ca="1">IFERROR(__xludf.DUMMYFUNCTION("""COMPUTED_VALUE"""),"INSTALACIONES ELECTRICAS RESIDENCIALES")</f>
        <v>INSTALACIONES ELECTRICAS RESIDENCIALES</v>
      </c>
      <c r="I88" s="40"/>
      <c r="J88" s="40" t="str">
        <f ca="1">IFERROR(__xludf.DUMMYFUNCTION("""COMPUTED_VALUE"""),"emes-10@hotmail.com")</f>
        <v>emes-10@hotmail.com</v>
      </c>
      <c r="K88" s="40"/>
      <c r="L88" s="40" t="str">
        <f ca="1">IFERROR(__xludf.DUMMYFUNCTION("""COMPUTED_VALUE"""),"NO HA INICIADO ETAPA PRODUCTIVA")</f>
        <v>NO HA INICIADO ETAPA PRODUCTIVA</v>
      </c>
      <c r="M88" s="40"/>
      <c r="N88" s="40"/>
      <c r="O88" s="40"/>
      <c r="P88" s="40"/>
      <c r="Q88" s="40"/>
      <c r="R88" s="140"/>
      <c r="S88" s="140"/>
      <c r="T88" s="40"/>
      <c r="U88" s="40"/>
      <c r="V88" s="40"/>
      <c r="W88" s="40"/>
      <c r="X88" s="40"/>
      <c r="Y88" s="40"/>
      <c r="Z88" s="40"/>
      <c r="AA88" s="40" t="str">
        <f ca="1">IFERROR(__xludf.DUMMYFUNCTION("""COMPUTED_VALUE"""),"Revisado 15/06/2022")</f>
        <v>Revisado 15/06/2022</v>
      </c>
      <c r="AB88" s="40"/>
      <c r="AC88" s="40"/>
      <c r="AD88" s="40"/>
      <c r="AE88" s="40"/>
      <c r="AF88" s="40"/>
      <c r="AG88" s="40"/>
      <c r="AH88" s="40"/>
      <c r="AI88" s="40"/>
      <c r="AJ88" s="40"/>
      <c r="AK88" s="40"/>
      <c r="AL88" s="40"/>
      <c r="AM88" s="40"/>
      <c r="AN88" s="40"/>
      <c r="AO88" s="40"/>
      <c r="AP88" s="40"/>
      <c r="AQ88" s="40"/>
      <c r="AR88" s="40"/>
      <c r="AS88" s="40"/>
      <c r="AT88" s="40"/>
      <c r="AU88" s="40" t="str">
        <f ca="1">IFERROR(__xludf.DUMMYFUNCTION("""COMPUTED_VALUE"""),"Procede_E_P")</f>
        <v>Procede_E_P</v>
      </c>
      <c r="AV88" s="40" t="str">
        <f ca="1">IFERROR(__xludf.DUMMYFUNCTION("""COMPUTED_VALUE"""),"EN FORMACION")</f>
        <v>EN FORMACION</v>
      </c>
      <c r="AW88" s="40" t="str">
        <f ca="1">IFERROR(__xludf.DUMMYFUNCTION("""COMPUTED_VALUE"""),"BIOCONSTRUCCION")</f>
        <v>BIOCONSTRUCCION</v>
      </c>
      <c r="AX88" s="141">
        <f ca="1">IFERROR(__xludf.DUMMYFUNCTION("""COMPUTED_VALUE"""),44848)</f>
        <v>44848</v>
      </c>
      <c r="AY88" s="40">
        <f ca="1">IFERROR(__xludf.DUMMYFUNCTION("""COMPUTED_VALUE"""),0)</f>
        <v>0</v>
      </c>
      <c r="AZ88" s="40">
        <f ca="1">IFERROR(__xludf.DUMMYFUNCTION("""COMPUTED_VALUE"""),1)</f>
        <v>1</v>
      </c>
      <c r="BA88" s="40">
        <f ca="1">IFERROR(__xludf.DUMMYFUNCTION("""COMPUTED_VALUE"""),0)</f>
        <v>0</v>
      </c>
      <c r="BB88" s="40">
        <f ca="1">IFERROR(__xludf.DUMMYFUNCTION("""COMPUTED_VALUE"""),0)</f>
        <v>0</v>
      </c>
      <c r="BC88" s="40">
        <f ca="1">IFERROR(__xludf.DUMMYFUNCTION("""COMPUTED_VALUE"""),1)</f>
        <v>1</v>
      </c>
      <c r="BD88" s="141">
        <f ca="1">IFERROR(__xludf.DUMMYFUNCTION("""COMPUTED_VALUE"""),43724)</f>
        <v>43724</v>
      </c>
      <c r="BE88" s="141">
        <f ca="1">IFERROR(__xludf.DUMMYFUNCTION("""COMPUTED_VALUE"""),44012)</f>
        <v>44012</v>
      </c>
      <c r="BF88" s="141">
        <f ca="1">IFERROR(__xludf.DUMMYFUNCTION("""COMPUTED_VALUE"""),44195)</f>
        <v>44195</v>
      </c>
      <c r="BG88" s="141">
        <f ca="1">IFERROR(__xludf.DUMMYFUNCTION("""COMPUTED_VALUE"""),44742)</f>
        <v>44742</v>
      </c>
      <c r="BH88" s="40" t="str">
        <f ca="1">IFERROR(__xludf.DUMMYFUNCTION("""COMPUTED_VALUE"""),"FINALIZAR FICHA")</f>
        <v>FINALIZAR FICHA</v>
      </c>
      <c r="BI88" s="40" t="str">
        <f ca="1">IFERROR(__xludf.DUMMYFUNCTION("""COMPUTED_VALUE"""),"Terminada por Fecha     ")</f>
        <v xml:space="preserve">Terminada por Fecha     </v>
      </c>
      <c r="BJ88" s="40" t="str">
        <f ca="1">IFERROR(__xludf.DUMMYFUNCTION("""COMPUTED_VALUE"""),"Yamboro")</f>
        <v>Yamboro</v>
      </c>
      <c r="BK88" s="40"/>
      <c r="BL88" s="40"/>
    </row>
    <row r="89" spans="1:64" ht="13">
      <c r="A89" s="40"/>
      <c r="B89" s="40" t="str">
        <f ca="1">IFERROR(__xludf.DUMMYFUNCTION("""COMPUTED_VALUE"""),"FORMACIÓN 19//07/2022")</f>
        <v>FORMACIÓN 19//07/2022</v>
      </c>
      <c r="C89" s="40" t="str">
        <f ca="1">IFERROR(__xludf.DUMMYFUNCTION("""COMPUTED_VALUE"""),"EDGAR QUIÑONES BUITRON")</f>
        <v>EDGAR QUIÑONES BUITRON</v>
      </c>
      <c r="D89" s="40" t="str">
        <f ca="1">IFERROR(__xludf.DUMMYFUNCTION("""COMPUTED_VALUE"""),"CC")</f>
        <v>CC</v>
      </c>
      <c r="E89" s="40">
        <f ca="1">IFERROR(__xludf.DUMMYFUNCTION("""COMPUTED_VALUE"""),12265015)</f>
        <v>12265015</v>
      </c>
      <c r="F89" s="40">
        <f ca="1">IFERROR(__xludf.DUMMYFUNCTION("""COMPUTED_VALUE"""),1992810)</f>
        <v>1992810</v>
      </c>
      <c r="G89" s="40" t="str">
        <f ca="1">IFERROR(__xludf.DUMMYFUNCTION("""COMPUTED_VALUE"""),"TÉCNICO")</f>
        <v>TÉCNICO</v>
      </c>
      <c r="H89" s="40" t="str">
        <f ca="1">IFERROR(__xludf.DUMMYFUNCTION("""COMPUTED_VALUE"""),"INSTALACIONES ELECTRICAS RESIDENCIALES")</f>
        <v>INSTALACIONES ELECTRICAS RESIDENCIALES</v>
      </c>
      <c r="I89" s="40"/>
      <c r="J89" s="40" t="str">
        <f ca="1">IFERROR(__xludf.DUMMYFUNCTION("""COMPUTED_VALUE"""),"emes-10@hotmail.com")</f>
        <v>emes-10@hotmail.com</v>
      </c>
      <c r="K89" s="40"/>
      <c r="L89" s="40" t="str">
        <f ca="1">IFERROR(__xludf.DUMMYFUNCTION("""COMPUTED_VALUE"""),"NO HA INICIADO ETAPA PRODUCTIVA")</f>
        <v>NO HA INICIADO ETAPA PRODUCTIVA</v>
      </c>
      <c r="M89" s="40"/>
      <c r="N89" s="40"/>
      <c r="O89" s="40"/>
      <c r="P89" s="40"/>
      <c r="Q89" s="40"/>
      <c r="R89" s="140"/>
      <c r="S89" s="140"/>
      <c r="T89" s="40"/>
      <c r="U89" s="40"/>
      <c r="V89" s="40"/>
      <c r="W89" s="40"/>
      <c r="X89" s="40"/>
      <c r="Y89" s="40"/>
      <c r="Z89" s="40"/>
      <c r="AA89" s="40" t="str">
        <f ca="1">IFERROR(__xludf.DUMMYFUNCTION("""COMPUTED_VALUE"""),"Revisado 15/06/2022")</f>
        <v>Revisado 15/06/2022</v>
      </c>
      <c r="AB89" s="40"/>
      <c r="AC89" s="40"/>
      <c r="AD89" s="40"/>
      <c r="AE89" s="40"/>
      <c r="AF89" s="40"/>
      <c r="AG89" s="40"/>
      <c r="AH89" s="40"/>
      <c r="AI89" s="40"/>
      <c r="AJ89" s="40"/>
      <c r="AK89" s="40"/>
      <c r="AL89" s="40"/>
      <c r="AM89" s="40"/>
      <c r="AN89" s="40"/>
      <c r="AO89" s="40"/>
      <c r="AP89" s="40"/>
      <c r="AQ89" s="40"/>
      <c r="AR89" s="40"/>
      <c r="AS89" s="40"/>
      <c r="AT89" s="40"/>
      <c r="AU89" s="40" t="str">
        <f ca="1">IFERROR(__xludf.DUMMYFUNCTION("""COMPUTED_VALUE"""),"Procede_E_P")</f>
        <v>Procede_E_P</v>
      </c>
      <c r="AV89" s="40" t="str">
        <f ca="1">IFERROR(__xludf.DUMMYFUNCTION("""COMPUTED_VALUE"""),"EN FORMACION")</f>
        <v>EN FORMACION</v>
      </c>
      <c r="AW89" s="40" t="str">
        <f ca="1">IFERROR(__xludf.DUMMYFUNCTION("""COMPUTED_VALUE"""),"BIOCONSTRUCCION")</f>
        <v>BIOCONSTRUCCION</v>
      </c>
      <c r="AX89" s="141">
        <f ca="1">IFERROR(__xludf.DUMMYFUNCTION("""COMPUTED_VALUE"""),44848)</f>
        <v>44848</v>
      </c>
      <c r="AY89" s="40">
        <f ca="1">IFERROR(__xludf.DUMMYFUNCTION("""COMPUTED_VALUE"""),0)</f>
        <v>0</v>
      </c>
      <c r="AZ89" s="40">
        <f ca="1">IFERROR(__xludf.DUMMYFUNCTION("""COMPUTED_VALUE"""),1)</f>
        <v>1</v>
      </c>
      <c r="BA89" s="40">
        <f ca="1">IFERROR(__xludf.DUMMYFUNCTION("""COMPUTED_VALUE"""),0)</f>
        <v>0</v>
      </c>
      <c r="BB89" s="40">
        <f ca="1">IFERROR(__xludf.DUMMYFUNCTION("""COMPUTED_VALUE"""),0)</f>
        <v>0</v>
      </c>
      <c r="BC89" s="40">
        <f ca="1">IFERROR(__xludf.DUMMYFUNCTION("""COMPUTED_VALUE"""),1)</f>
        <v>1</v>
      </c>
      <c r="BD89" s="141">
        <f ca="1">IFERROR(__xludf.DUMMYFUNCTION("""COMPUTED_VALUE"""),43724)</f>
        <v>43724</v>
      </c>
      <c r="BE89" s="141">
        <f ca="1">IFERROR(__xludf.DUMMYFUNCTION("""COMPUTED_VALUE"""),44012)</f>
        <v>44012</v>
      </c>
      <c r="BF89" s="141">
        <f ca="1">IFERROR(__xludf.DUMMYFUNCTION("""COMPUTED_VALUE"""),44195)</f>
        <v>44195</v>
      </c>
      <c r="BG89" s="141">
        <f ca="1">IFERROR(__xludf.DUMMYFUNCTION("""COMPUTED_VALUE"""),44742)</f>
        <v>44742</v>
      </c>
      <c r="BH89" s="40" t="str">
        <f ca="1">IFERROR(__xludf.DUMMYFUNCTION("""COMPUTED_VALUE"""),"FINALIZAR FICHA")</f>
        <v>FINALIZAR FICHA</v>
      </c>
      <c r="BI89" s="40" t="str">
        <f ca="1">IFERROR(__xludf.DUMMYFUNCTION("""COMPUTED_VALUE"""),"Terminada por Fecha     ")</f>
        <v xml:space="preserve">Terminada por Fecha     </v>
      </c>
      <c r="BJ89" s="40" t="str">
        <f ca="1">IFERROR(__xludf.DUMMYFUNCTION("""COMPUTED_VALUE"""),"Yamboro")</f>
        <v>Yamboro</v>
      </c>
      <c r="BK89" s="40"/>
      <c r="BL89" s="40"/>
    </row>
    <row r="90" spans="1:64" ht="13">
      <c r="A90" s="40"/>
      <c r="B90" s="40" t="str">
        <f ca="1">IFERROR(__xludf.DUMMYFUNCTION("""COMPUTED_VALUE"""),"FORMACIÓN 19//07/2022")</f>
        <v>FORMACIÓN 19//07/2022</v>
      </c>
      <c r="C90" s="40" t="str">
        <f ca="1">IFERROR(__xludf.DUMMYFUNCTION("""COMPUTED_VALUE"""),"JHON FREDY TORRES SANCHEZ")</f>
        <v>JHON FREDY TORRES SANCHEZ</v>
      </c>
      <c r="D90" s="40" t="str">
        <f ca="1">IFERROR(__xludf.DUMMYFUNCTION("""COMPUTED_VALUE"""),"CC")</f>
        <v>CC</v>
      </c>
      <c r="E90" s="40">
        <f ca="1">IFERROR(__xludf.DUMMYFUNCTION("""COMPUTED_VALUE"""),12266782)</f>
        <v>12266782</v>
      </c>
      <c r="F90" s="40">
        <f ca="1">IFERROR(__xludf.DUMMYFUNCTION("""COMPUTED_VALUE"""),1992810)</f>
        <v>1992810</v>
      </c>
      <c r="G90" s="40" t="str">
        <f ca="1">IFERROR(__xludf.DUMMYFUNCTION("""COMPUTED_VALUE"""),"TÉCNICO")</f>
        <v>TÉCNICO</v>
      </c>
      <c r="H90" s="40" t="str">
        <f ca="1">IFERROR(__xludf.DUMMYFUNCTION("""COMPUTED_VALUE"""),"INSTALACIONES ELECTRICAS RESIDENCIALES")</f>
        <v>INSTALACIONES ELECTRICAS RESIDENCIALES</v>
      </c>
      <c r="I90" s="40"/>
      <c r="J90" s="40" t="str">
        <f ca="1">IFERROR(__xludf.DUMMYFUNCTION("""COMPUTED_VALUE"""),"emes-10@hotmail.com")</f>
        <v>emes-10@hotmail.com</v>
      </c>
      <c r="K90" s="40"/>
      <c r="L90" s="40" t="str">
        <f ca="1">IFERROR(__xludf.DUMMYFUNCTION("""COMPUTED_VALUE"""),"NO HA INICIADO ETAPA PRODUCTIVA")</f>
        <v>NO HA INICIADO ETAPA PRODUCTIVA</v>
      </c>
      <c r="M90" s="40"/>
      <c r="N90" s="40"/>
      <c r="O90" s="40"/>
      <c r="P90" s="40"/>
      <c r="Q90" s="40"/>
      <c r="R90" s="140"/>
      <c r="S90" s="140"/>
      <c r="T90" s="40"/>
      <c r="U90" s="40"/>
      <c r="V90" s="40"/>
      <c r="W90" s="40"/>
      <c r="X90" s="40"/>
      <c r="Y90" s="40"/>
      <c r="Z90" s="40"/>
      <c r="AA90" s="40" t="str">
        <f ca="1">IFERROR(__xludf.DUMMYFUNCTION("""COMPUTED_VALUE"""),"Revisado 15/06/2022")</f>
        <v>Revisado 15/06/2022</v>
      </c>
      <c r="AB90" s="40"/>
      <c r="AC90" s="40"/>
      <c r="AD90" s="40"/>
      <c r="AE90" s="40"/>
      <c r="AF90" s="40"/>
      <c r="AG90" s="40"/>
      <c r="AH90" s="40"/>
      <c r="AI90" s="40"/>
      <c r="AJ90" s="40"/>
      <c r="AK90" s="40"/>
      <c r="AL90" s="40"/>
      <c r="AM90" s="40"/>
      <c r="AN90" s="40"/>
      <c r="AO90" s="40"/>
      <c r="AP90" s="40"/>
      <c r="AQ90" s="40"/>
      <c r="AR90" s="40"/>
      <c r="AS90" s="40"/>
      <c r="AT90" s="40"/>
      <c r="AU90" s="40" t="str">
        <f ca="1">IFERROR(__xludf.DUMMYFUNCTION("""COMPUTED_VALUE"""),"Procede_E_P")</f>
        <v>Procede_E_P</v>
      </c>
      <c r="AV90" s="40" t="str">
        <f ca="1">IFERROR(__xludf.DUMMYFUNCTION("""COMPUTED_VALUE"""),"EN FORMACION")</f>
        <v>EN FORMACION</v>
      </c>
      <c r="AW90" s="40" t="str">
        <f ca="1">IFERROR(__xludf.DUMMYFUNCTION("""COMPUTED_VALUE"""),"BIOCONSTRUCCION")</f>
        <v>BIOCONSTRUCCION</v>
      </c>
      <c r="AX90" s="141">
        <f ca="1">IFERROR(__xludf.DUMMYFUNCTION("""COMPUTED_VALUE"""),44848)</f>
        <v>44848</v>
      </c>
      <c r="AY90" s="40">
        <f ca="1">IFERROR(__xludf.DUMMYFUNCTION("""COMPUTED_VALUE"""),0)</f>
        <v>0</v>
      </c>
      <c r="AZ90" s="40">
        <f ca="1">IFERROR(__xludf.DUMMYFUNCTION("""COMPUTED_VALUE"""),1)</f>
        <v>1</v>
      </c>
      <c r="BA90" s="40">
        <f ca="1">IFERROR(__xludf.DUMMYFUNCTION("""COMPUTED_VALUE"""),0)</f>
        <v>0</v>
      </c>
      <c r="BB90" s="40">
        <f ca="1">IFERROR(__xludf.DUMMYFUNCTION("""COMPUTED_VALUE"""),0)</f>
        <v>0</v>
      </c>
      <c r="BC90" s="40">
        <f ca="1">IFERROR(__xludf.DUMMYFUNCTION("""COMPUTED_VALUE"""),1)</f>
        <v>1</v>
      </c>
      <c r="BD90" s="141">
        <f ca="1">IFERROR(__xludf.DUMMYFUNCTION("""COMPUTED_VALUE"""),43724)</f>
        <v>43724</v>
      </c>
      <c r="BE90" s="141">
        <f ca="1">IFERROR(__xludf.DUMMYFUNCTION("""COMPUTED_VALUE"""),44012)</f>
        <v>44012</v>
      </c>
      <c r="BF90" s="141">
        <f ca="1">IFERROR(__xludf.DUMMYFUNCTION("""COMPUTED_VALUE"""),44195)</f>
        <v>44195</v>
      </c>
      <c r="BG90" s="141">
        <f ca="1">IFERROR(__xludf.DUMMYFUNCTION("""COMPUTED_VALUE"""),44742)</f>
        <v>44742</v>
      </c>
      <c r="BH90" s="40" t="str">
        <f ca="1">IFERROR(__xludf.DUMMYFUNCTION("""COMPUTED_VALUE"""),"FINALIZAR FICHA")</f>
        <v>FINALIZAR FICHA</v>
      </c>
      <c r="BI90" s="40" t="str">
        <f ca="1">IFERROR(__xludf.DUMMYFUNCTION("""COMPUTED_VALUE"""),"Terminada por Fecha     ")</f>
        <v xml:space="preserve">Terminada por Fecha     </v>
      </c>
      <c r="BJ90" s="40" t="str">
        <f ca="1">IFERROR(__xludf.DUMMYFUNCTION("""COMPUTED_VALUE"""),"Yamboro")</f>
        <v>Yamboro</v>
      </c>
      <c r="BK90" s="40"/>
      <c r="BL90" s="40"/>
    </row>
    <row r="91" spans="1:64" ht="13">
      <c r="A91" s="40"/>
      <c r="B91" s="40" t="str">
        <f ca="1">IFERROR(__xludf.DUMMYFUNCTION("""COMPUTED_VALUE"""),"FORMACIÓN 19//07/2022")</f>
        <v>FORMACIÓN 19//07/2022</v>
      </c>
      <c r="C91" s="40" t="str">
        <f ca="1">IFERROR(__xludf.DUMMYFUNCTION("""COMPUTED_VALUE"""),"EDGAR IVAN DE LA CRUZ BELTRAN")</f>
        <v>EDGAR IVAN DE LA CRUZ BELTRAN</v>
      </c>
      <c r="D91" s="40" t="str">
        <f ca="1">IFERROR(__xludf.DUMMYFUNCTION("""COMPUTED_VALUE"""),"CC")</f>
        <v>CC</v>
      </c>
      <c r="E91" s="40">
        <f ca="1">IFERROR(__xludf.DUMMYFUNCTION("""COMPUTED_VALUE"""),4929049)</f>
        <v>4929049</v>
      </c>
      <c r="F91" s="40">
        <f ca="1">IFERROR(__xludf.DUMMYFUNCTION("""COMPUTED_VALUE"""),1992810)</f>
        <v>1992810</v>
      </c>
      <c r="G91" s="40" t="str">
        <f ca="1">IFERROR(__xludf.DUMMYFUNCTION("""COMPUTED_VALUE"""),"TÉCNICO")</f>
        <v>TÉCNICO</v>
      </c>
      <c r="H91" s="40" t="str">
        <f ca="1">IFERROR(__xludf.DUMMYFUNCTION("""COMPUTED_VALUE"""),"INSTALACIONES ELECTRICAS RESIDENCIALES")</f>
        <v>INSTALACIONES ELECTRICAS RESIDENCIALES</v>
      </c>
      <c r="I91" s="40"/>
      <c r="J91" s="40" t="str">
        <f ca="1">IFERROR(__xludf.DUMMYFUNCTION("""COMPUTED_VALUE"""),"edgarvan1113@gmail.com")</f>
        <v>edgarvan1113@gmail.com</v>
      </c>
      <c r="K91" s="40"/>
      <c r="L91" s="40" t="str">
        <f ca="1">IFERROR(__xludf.DUMMYFUNCTION("""COMPUTED_VALUE"""),"NO HA INICIADO ETAPA PRODUCTIVA")</f>
        <v>NO HA INICIADO ETAPA PRODUCTIVA</v>
      </c>
      <c r="M91" s="40"/>
      <c r="N91" s="40"/>
      <c r="O91" s="40"/>
      <c r="P91" s="40"/>
      <c r="Q91" s="40"/>
      <c r="R91" s="140"/>
      <c r="S91" s="140"/>
      <c r="T91" s="40"/>
      <c r="U91" s="40"/>
      <c r="V91" s="40"/>
      <c r="W91" s="40"/>
      <c r="X91" s="40"/>
      <c r="Y91" s="40"/>
      <c r="Z91" s="40"/>
      <c r="AA91" s="40" t="str">
        <f ca="1">IFERROR(__xludf.DUMMYFUNCTION("""COMPUTED_VALUE"""),"Revisado 15/06/2022")</f>
        <v>Revisado 15/06/2022</v>
      </c>
      <c r="AB91" s="40"/>
      <c r="AC91" s="40"/>
      <c r="AD91" s="40"/>
      <c r="AE91" s="40"/>
      <c r="AF91" s="40"/>
      <c r="AG91" s="40"/>
      <c r="AH91" s="40"/>
      <c r="AI91" s="40"/>
      <c r="AJ91" s="40"/>
      <c r="AK91" s="40"/>
      <c r="AL91" s="40"/>
      <c r="AM91" s="40"/>
      <c r="AN91" s="40"/>
      <c r="AO91" s="40"/>
      <c r="AP91" s="40"/>
      <c r="AQ91" s="40"/>
      <c r="AR91" s="40"/>
      <c r="AS91" s="40"/>
      <c r="AT91" s="40"/>
      <c r="AU91" s="40" t="str">
        <f ca="1">IFERROR(__xludf.DUMMYFUNCTION("""COMPUTED_VALUE"""),"Procede_E_P")</f>
        <v>Procede_E_P</v>
      </c>
      <c r="AV91" s="40" t="str">
        <f ca="1">IFERROR(__xludf.DUMMYFUNCTION("""COMPUTED_VALUE"""),"EN FORMACION")</f>
        <v>EN FORMACION</v>
      </c>
      <c r="AW91" s="40" t="str">
        <f ca="1">IFERROR(__xludf.DUMMYFUNCTION("""COMPUTED_VALUE"""),"BIOCONSTRUCCION")</f>
        <v>BIOCONSTRUCCION</v>
      </c>
      <c r="AX91" s="141">
        <f ca="1">IFERROR(__xludf.DUMMYFUNCTION("""COMPUTED_VALUE"""),44848)</f>
        <v>44848</v>
      </c>
      <c r="AY91" s="40">
        <f ca="1">IFERROR(__xludf.DUMMYFUNCTION("""COMPUTED_VALUE"""),0)</f>
        <v>0</v>
      </c>
      <c r="AZ91" s="40">
        <f ca="1">IFERROR(__xludf.DUMMYFUNCTION("""COMPUTED_VALUE"""),1)</f>
        <v>1</v>
      </c>
      <c r="BA91" s="40">
        <f ca="1">IFERROR(__xludf.DUMMYFUNCTION("""COMPUTED_VALUE"""),0)</f>
        <v>0</v>
      </c>
      <c r="BB91" s="40">
        <f ca="1">IFERROR(__xludf.DUMMYFUNCTION("""COMPUTED_VALUE"""),0)</f>
        <v>0</v>
      </c>
      <c r="BC91" s="40">
        <f ca="1">IFERROR(__xludf.DUMMYFUNCTION("""COMPUTED_VALUE"""),1)</f>
        <v>1</v>
      </c>
      <c r="BD91" s="141">
        <f ca="1">IFERROR(__xludf.DUMMYFUNCTION("""COMPUTED_VALUE"""),43724)</f>
        <v>43724</v>
      </c>
      <c r="BE91" s="141">
        <f ca="1">IFERROR(__xludf.DUMMYFUNCTION("""COMPUTED_VALUE"""),44012)</f>
        <v>44012</v>
      </c>
      <c r="BF91" s="141">
        <f ca="1">IFERROR(__xludf.DUMMYFUNCTION("""COMPUTED_VALUE"""),44195)</f>
        <v>44195</v>
      </c>
      <c r="BG91" s="141">
        <f ca="1">IFERROR(__xludf.DUMMYFUNCTION("""COMPUTED_VALUE"""),44742)</f>
        <v>44742</v>
      </c>
      <c r="BH91" s="40" t="str">
        <f ca="1">IFERROR(__xludf.DUMMYFUNCTION("""COMPUTED_VALUE"""),"FINALIZAR FICHA")</f>
        <v>FINALIZAR FICHA</v>
      </c>
      <c r="BI91" s="40" t="str">
        <f ca="1">IFERROR(__xludf.DUMMYFUNCTION("""COMPUTED_VALUE"""),"Terminada por Fecha     ")</f>
        <v xml:space="preserve">Terminada por Fecha     </v>
      </c>
      <c r="BJ91" s="40" t="str">
        <f ca="1">IFERROR(__xludf.DUMMYFUNCTION("""COMPUTED_VALUE"""),"Yamboro")</f>
        <v>Yamboro</v>
      </c>
      <c r="BK91" s="40"/>
      <c r="BL91" s="40"/>
    </row>
    <row r="92" spans="1:64" ht="13">
      <c r="A92" s="40"/>
      <c r="B92" s="40" t="str">
        <f ca="1">IFERROR(__xludf.DUMMYFUNCTION("""COMPUTED_VALUE"""),"FORMACIÓN 19//07/2022")</f>
        <v>FORMACIÓN 19//07/2022</v>
      </c>
      <c r="C92" s="40" t="str">
        <f ca="1">IFERROR(__xludf.DUMMYFUNCTION("""COMPUTED_VALUE"""),"WILFER LEONIDAS TRIVIÑO")</f>
        <v>WILFER LEONIDAS TRIVIÑO</v>
      </c>
      <c r="D92" s="40" t="str">
        <f ca="1">IFERROR(__xludf.DUMMYFUNCTION("""COMPUTED_VALUE"""),"CC")</f>
        <v>CC</v>
      </c>
      <c r="E92" s="40">
        <f ca="1">IFERROR(__xludf.DUMMYFUNCTION("""COMPUTED_VALUE"""),7716655)</f>
        <v>7716655</v>
      </c>
      <c r="F92" s="40">
        <f ca="1">IFERROR(__xludf.DUMMYFUNCTION("""COMPUTED_VALUE"""),1992810)</f>
        <v>1992810</v>
      </c>
      <c r="G92" s="40" t="str">
        <f ca="1">IFERROR(__xludf.DUMMYFUNCTION("""COMPUTED_VALUE"""),"TÉCNICO")</f>
        <v>TÉCNICO</v>
      </c>
      <c r="H92" s="40" t="str">
        <f ca="1">IFERROR(__xludf.DUMMYFUNCTION("""COMPUTED_VALUE"""),"INSTALACIONES ELECTRICAS RESIDENCIALES")</f>
        <v>INSTALACIONES ELECTRICAS RESIDENCIALES</v>
      </c>
      <c r="I92" s="40"/>
      <c r="J92" s="40" t="str">
        <f ca="1">IFERROR(__xludf.DUMMYFUNCTION("""COMPUTED_VALUE"""),"fertrivino0@gmail.com")</f>
        <v>fertrivino0@gmail.com</v>
      </c>
      <c r="K92" s="40"/>
      <c r="L92" s="40" t="str">
        <f ca="1">IFERROR(__xludf.DUMMYFUNCTION("""COMPUTED_VALUE"""),"NO HA INICIADO ETAPA PRODUCTIVA")</f>
        <v>NO HA INICIADO ETAPA PRODUCTIVA</v>
      </c>
      <c r="M92" s="40"/>
      <c r="N92" s="40"/>
      <c r="O92" s="40"/>
      <c r="P92" s="40"/>
      <c r="Q92" s="40"/>
      <c r="R92" s="140"/>
      <c r="S92" s="140"/>
      <c r="T92" s="40"/>
      <c r="U92" s="40"/>
      <c r="V92" s="40"/>
      <c r="W92" s="40"/>
      <c r="X92" s="40"/>
      <c r="Y92" s="40"/>
      <c r="Z92" s="40"/>
      <c r="AA92" s="40" t="str">
        <f ca="1">IFERROR(__xludf.DUMMYFUNCTION("""COMPUTED_VALUE"""),"Revisado 15/06/2022")</f>
        <v>Revisado 15/06/2022</v>
      </c>
      <c r="AB92" s="40"/>
      <c r="AC92" s="40"/>
      <c r="AD92" s="40"/>
      <c r="AE92" s="40"/>
      <c r="AF92" s="40"/>
      <c r="AG92" s="40"/>
      <c r="AH92" s="40"/>
      <c r="AI92" s="40"/>
      <c r="AJ92" s="40"/>
      <c r="AK92" s="40"/>
      <c r="AL92" s="40"/>
      <c r="AM92" s="40"/>
      <c r="AN92" s="40"/>
      <c r="AO92" s="40"/>
      <c r="AP92" s="40"/>
      <c r="AQ92" s="40"/>
      <c r="AR92" s="40"/>
      <c r="AS92" s="40"/>
      <c r="AT92" s="40"/>
      <c r="AU92" s="40" t="str">
        <f ca="1">IFERROR(__xludf.DUMMYFUNCTION("""COMPUTED_VALUE"""),"Procede_E_P")</f>
        <v>Procede_E_P</v>
      </c>
      <c r="AV92" s="40" t="str">
        <f ca="1">IFERROR(__xludf.DUMMYFUNCTION("""COMPUTED_VALUE"""),"EN FORMACION")</f>
        <v>EN FORMACION</v>
      </c>
      <c r="AW92" s="40" t="str">
        <f ca="1">IFERROR(__xludf.DUMMYFUNCTION("""COMPUTED_VALUE"""),"BIOCONSTRUCCION")</f>
        <v>BIOCONSTRUCCION</v>
      </c>
      <c r="AX92" s="141">
        <f ca="1">IFERROR(__xludf.DUMMYFUNCTION("""COMPUTED_VALUE"""),44848)</f>
        <v>44848</v>
      </c>
      <c r="AY92" s="40">
        <f ca="1">IFERROR(__xludf.DUMMYFUNCTION("""COMPUTED_VALUE"""),0)</f>
        <v>0</v>
      </c>
      <c r="AZ92" s="40">
        <f ca="1">IFERROR(__xludf.DUMMYFUNCTION("""COMPUTED_VALUE"""),1)</f>
        <v>1</v>
      </c>
      <c r="BA92" s="40">
        <f ca="1">IFERROR(__xludf.DUMMYFUNCTION("""COMPUTED_VALUE"""),0)</f>
        <v>0</v>
      </c>
      <c r="BB92" s="40">
        <f ca="1">IFERROR(__xludf.DUMMYFUNCTION("""COMPUTED_VALUE"""),0)</f>
        <v>0</v>
      </c>
      <c r="BC92" s="40">
        <f ca="1">IFERROR(__xludf.DUMMYFUNCTION("""COMPUTED_VALUE"""),1)</f>
        <v>1</v>
      </c>
      <c r="BD92" s="141">
        <f ca="1">IFERROR(__xludf.DUMMYFUNCTION("""COMPUTED_VALUE"""),43724)</f>
        <v>43724</v>
      </c>
      <c r="BE92" s="141">
        <f ca="1">IFERROR(__xludf.DUMMYFUNCTION("""COMPUTED_VALUE"""),44012)</f>
        <v>44012</v>
      </c>
      <c r="BF92" s="141">
        <f ca="1">IFERROR(__xludf.DUMMYFUNCTION("""COMPUTED_VALUE"""),44195)</f>
        <v>44195</v>
      </c>
      <c r="BG92" s="141">
        <f ca="1">IFERROR(__xludf.DUMMYFUNCTION("""COMPUTED_VALUE"""),44742)</f>
        <v>44742</v>
      </c>
      <c r="BH92" s="40" t="str">
        <f ca="1">IFERROR(__xludf.DUMMYFUNCTION("""COMPUTED_VALUE"""),"FINALIZAR FICHA")</f>
        <v>FINALIZAR FICHA</v>
      </c>
      <c r="BI92" s="40" t="str">
        <f ca="1">IFERROR(__xludf.DUMMYFUNCTION("""COMPUTED_VALUE"""),"Terminada por Fecha     ")</f>
        <v xml:space="preserve">Terminada por Fecha     </v>
      </c>
      <c r="BJ92" s="40" t="str">
        <f ca="1">IFERROR(__xludf.DUMMYFUNCTION("""COMPUTED_VALUE"""),"Yamboro")</f>
        <v>Yamboro</v>
      </c>
      <c r="BK92" s="40"/>
      <c r="BL92" s="40"/>
    </row>
    <row r="93" spans="1:64" ht="13">
      <c r="A93" s="40"/>
      <c r="B93" s="40" t="str">
        <f ca="1">IFERROR(__xludf.DUMMYFUNCTION("""COMPUTED_VALUE"""),"FORMACIÓN 19//07/2022")</f>
        <v>FORMACIÓN 19//07/2022</v>
      </c>
      <c r="C93" s="40" t="str">
        <f ca="1">IFERROR(__xludf.DUMMYFUNCTION("""COMPUTED_VALUE"""),"EMERSON MURCIA GUTIERREZ")</f>
        <v>EMERSON MURCIA GUTIERREZ</v>
      </c>
      <c r="D93" s="40" t="str">
        <f ca="1">IFERROR(__xludf.DUMMYFUNCTION("""COMPUTED_VALUE"""),"CC")</f>
        <v>CC</v>
      </c>
      <c r="E93" s="40">
        <f ca="1">IFERROR(__xludf.DUMMYFUNCTION("""COMPUTED_VALUE"""),83040928)</f>
        <v>83040928</v>
      </c>
      <c r="F93" s="40">
        <f ca="1">IFERROR(__xludf.DUMMYFUNCTION("""COMPUTED_VALUE"""),1992810)</f>
        <v>1992810</v>
      </c>
      <c r="G93" s="40" t="str">
        <f ca="1">IFERROR(__xludf.DUMMYFUNCTION("""COMPUTED_VALUE"""),"TÉCNICO")</f>
        <v>TÉCNICO</v>
      </c>
      <c r="H93" s="40" t="str">
        <f ca="1">IFERROR(__xludf.DUMMYFUNCTION("""COMPUTED_VALUE"""),"INSTALACIONES ELECTRICAS RESIDENCIALES")</f>
        <v>INSTALACIONES ELECTRICAS RESIDENCIALES</v>
      </c>
      <c r="I93" s="40"/>
      <c r="J93" s="40" t="str">
        <f ca="1">IFERROR(__xludf.DUMMYFUNCTION("""COMPUTED_VALUE"""),"emes-10@hotmail.com")</f>
        <v>emes-10@hotmail.com</v>
      </c>
      <c r="K93" s="40"/>
      <c r="L93" s="40" t="str">
        <f ca="1">IFERROR(__xludf.DUMMYFUNCTION("""COMPUTED_VALUE"""),"NO HA INICIADO ETAPA PRODUCTIVA")</f>
        <v>NO HA INICIADO ETAPA PRODUCTIVA</v>
      </c>
      <c r="M93" s="40"/>
      <c r="N93" s="40"/>
      <c r="O93" s="40"/>
      <c r="P93" s="40"/>
      <c r="Q93" s="40"/>
      <c r="R93" s="140"/>
      <c r="S93" s="140"/>
      <c r="T93" s="40"/>
      <c r="U93" s="40"/>
      <c r="V93" s="40"/>
      <c r="W93" s="40"/>
      <c r="X93" s="40"/>
      <c r="Y93" s="40"/>
      <c r="Z93" s="40"/>
      <c r="AA93" s="40" t="str">
        <f ca="1">IFERROR(__xludf.DUMMYFUNCTION("""COMPUTED_VALUE"""),"Revisado 15/06/2022")</f>
        <v>Revisado 15/06/2022</v>
      </c>
      <c r="AB93" s="40"/>
      <c r="AC93" s="40"/>
      <c r="AD93" s="40"/>
      <c r="AE93" s="40"/>
      <c r="AF93" s="40"/>
      <c r="AG93" s="40"/>
      <c r="AH93" s="40"/>
      <c r="AI93" s="40"/>
      <c r="AJ93" s="40"/>
      <c r="AK93" s="40"/>
      <c r="AL93" s="40"/>
      <c r="AM93" s="40"/>
      <c r="AN93" s="40"/>
      <c r="AO93" s="40"/>
      <c r="AP93" s="40"/>
      <c r="AQ93" s="40"/>
      <c r="AR93" s="40"/>
      <c r="AS93" s="40"/>
      <c r="AT93" s="40"/>
      <c r="AU93" s="40" t="str">
        <f ca="1">IFERROR(__xludf.DUMMYFUNCTION("""COMPUTED_VALUE"""),"Procede_E_P")</f>
        <v>Procede_E_P</v>
      </c>
      <c r="AV93" s="40" t="str">
        <f ca="1">IFERROR(__xludf.DUMMYFUNCTION("""COMPUTED_VALUE"""),"EN FORMACION")</f>
        <v>EN FORMACION</v>
      </c>
      <c r="AW93" s="40" t="str">
        <f ca="1">IFERROR(__xludf.DUMMYFUNCTION("""COMPUTED_VALUE"""),"BIOCONSTRUCCION")</f>
        <v>BIOCONSTRUCCION</v>
      </c>
      <c r="AX93" s="141">
        <f ca="1">IFERROR(__xludf.DUMMYFUNCTION("""COMPUTED_VALUE"""),44848)</f>
        <v>44848</v>
      </c>
      <c r="AY93" s="40">
        <f ca="1">IFERROR(__xludf.DUMMYFUNCTION("""COMPUTED_VALUE"""),0)</f>
        <v>0</v>
      </c>
      <c r="AZ93" s="40">
        <f ca="1">IFERROR(__xludf.DUMMYFUNCTION("""COMPUTED_VALUE"""),1)</f>
        <v>1</v>
      </c>
      <c r="BA93" s="40">
        <f ca="1">IFERROR(__xludf.DUMMYFUNCTION("""COMPUTED_VALUE"""),0)</f>
        <v>0</v>
      </c>
      <c r="BB93" s="40">
        <f ca="1">IFERROR(__xludf.DUMMYFUNCTION("""COMPUTED_VALUE"""),0)</f>
        <v>0</v>
      </c>
      <c r="BC93" s="40">
        <f ca="1">IFERROR(__xludf.DUMMYFUNCTION("""COMPUTED_VALUE"""),1)</f>
        <v>1</v>
      </c>
      <c r="BD93" s="141">
        <f ca="1">IFERROR(__xludf.DUMMYFUNCTION("""COMPUTED_VALUE"""),43724)</f>
        <v>43724</v>
      </c>
      <c r="BE93" s="141">
        <f ca="1">IFERROR(__xludf.DUMMYFUNCTION("""COMPUTED_VALUE"""),44012)</f>
        <v>44012</v>
      </c>
      <c r="BF93" s="141">
        <f ca="1">IFERROR(__xludf.DUMMYFUNCTION("""COMPUTED_VALUE"""),44195)</f>
        <v>44195</v>
      </c>
      <c r="BG93" s="141">
        <f ca="1">IFERROR(__xludf.DUMMYFUNCTION("""COMPUTED_VALUE"""),44742)</f>
        <v>44742</v>
      </c>
      <c r="BH93" s="40" t="str">
        <f ca="1">IFERROR(__xludf.DUMMYFUNCTION("""COMPUTED_VALUE"""),"FINALIZAR FICHA")</f>
        <v>FINALIZAR FICHA</v>
      </c>
      <c r="BI93" s="40" t="str">
        <f ca="1">IFERROR(__xludf.DUMMYFUNCTION("""COMPUTED_VALUE"""),"Terminada por Fecha     ")</f>
        <v xml:space="preserve">Terminada por Fecha     </v>
      </c>
      <c r="BJ93" s="40" t="str">
        <f ca="1">IFERROR(__xludf.DUMMYFUNCTION("""COMPUTED_VALUE"""),"Yamboro")</f>
        <v>Yamboro</v>
      </c>
      <c r="BK93" s="40"/>
      <c r="BL93" s="40"/>
    </row>
    <row r="94" spans="1:64" ht="13">
      <c r="A94" s="40"/>
      <c r="B94" s="40" t="str">
        <f ca="1">IFERROR(__xludf.DUMMYFUNCTION("""COMPUTED_VALUE"""),"FORMACIÓN 19//07/2022")</f>
        <v>FORMACIÓN 19//07/2022</v>
      </c>
      <c r="C94" s="40" t="str">
        <f ca="1">IFERROR(__xludf.DUMMYFUNCTION("""COMPUTED_VALUE"""),"LAURA SOFIA TRIANA ESPINOSA")</f>
        <v>LAURA SOFIA TRIANA ESPINOSA</v>
      </c>
      <c r="D94" s="40" t="str">
        <f ca="1">IFERROR(__xludf.DUMMYFUNCTION("""COMPUTED_VALUE"""),"CC")</f>
        <v>CC</v>
      </c>
      <c r="E94" s="40">
        <f ca="1">IFERROR(__xludf.DUMMYFUNCTION("""COMPUTED_VALUE"""),1000594075)</f>
        <v>1000594075</v>
      </c>
      <c r="F94" s="40">
        <f ca="1">IFERROR(__xludf.DUMMYFUNCTION("""COMPUTED_VALUE"""),2066212)</f>
        <v>2066212</v>
      </c>
      <c r="G94" s="40" t="str">
        <f ca="1">IFERROR(__xludf.DUMMYFUNCTION("""COMPUTED_VALUE"""),"TÉCNICO")</f>
        <v>TÉCNICO</v>
      </c>
      <c r="H94" s="40" t="str">
        <f ca="1">IFERROR(__xludf.DUMMYFUNCTION("""COMPUTED_VALUE"""),"DIBUJO ARQUITECTÓNICO")</f>
        <v>DIBUJO ARQUITECTÓNICO</v>
      </c>
      <c r="I94" s="40">
        <f ca="1">IFERROR(__xludf.DUMMYFUNCTION("""COMPUTED_VALUE"""),3222189311)</f>
        <v>3222189311</v>
      </c>
      <c r="J94" s="40" t="str">
        <f ca="1">IFERROR(__xludf.DUMMYFUNCTION("""COMPUTED_VALUE"""),"lalissofi25@gmail.com")</f>
        <v>lalissofi25@gmail.com</v>
      </c>
      <c r="K94" s="40"/>
      <c r="L94" s="40" t="str">
        <f ca="1">IFERROR(__xludf.DUMMYFUNCTION("""COMPUTED_VALUE"""),"NO HA INICIADO ETAPA PRODUCTIVA")</f>
        <v>NO HA INICIADO ETAPA PRODUCTIVA</v>
      </c>
      <c r="M94" s="40"/>
      <c r="N94" s="40"/>
      <c r="O94" s="40"/>
      <c r="P94" s="40"/>
      <c r="Q94" s="40"/>
      <c r="R94" s="140"/>
      <c r="S94" s="140"/>
      <c r="T94" s="40"/>
      <c r="U94" s="40" t="str">
        <f ca="1">IFERROR(__xludf.DUMMYFUNCTION("""COMPUTED_VALUE"""),"JUAN CARLOS GOMEZ")</f>
        <v>JUAN CARLOS GOMEZ</v>
      </c>
      <c r="V94" s="40" t="str">
        <f ca="1">IFERROR(__xludf.DUMMYFUNCTION("""COMPUTED_VALUE"""),"NO tiene seguimiento ...Revisado 08/04/2022")</f>
        <v>NO tiene seguimiento ...Revisado 08/04/2022</v>
      </c>
      <c r="W94" s="40"/>
      <c r="X94" s="40"/>
      <c r="Y94" s="40"/>
      <c r="Z94" s="40"/>
      <c r="AA94" s="40" t="str">
        <f ca="1">IFERROR(__xludf.DUMMYFUNCTION("""COMPUTED_VALUE"""),"Revisado 15/06/2022")</f>
        <v>Revisado 15/06/2022</v>
      </c>
      <c r="AB94" s="40"/>
      <c r="AC94" s="40"/>
      <c r="AD94" s="40"/>
      <c r="AE94" s="40"/>
      <c r="AF94" s="40"/>
      <c r="AG94" s="40"/>
      <c r="AH94" s="40"/>
      <c r="AI94" s="40"/>
      <c r="AJ94" s="40"/>
      <c r="AK94" s="40"/>
      <c r="AL94" s="40"/>
      <c r="AM94" s="40"/>
      <c r="AN94" s="40"/>
      <c r="AO94" s="40"/>
      <c r="AP94" s="40"/>
      <c r="AQ94" s="40"/>
      <c r="AR94" s="40"/>
      <c r="AS94" s="40"/>
      <c r="AT94" s="40"/>
      <c r="AU94" s="40" t="str">
        <f ca="1">IFERROR(__xludf.DUMMYFUNCTION("""COMPUTED_VALUE"""),"Procede_E_P")</f>
        <v>Procede_E_P</v>
      </c>
      <c r="AV94" s="40" t="str">
        <f ca="1">IFERROR(__xludf.DUMMYFUNCTION("""COMPUTED_VALUE"""),"EN FORMACION")</f>
        <v>EN FORMACION</v>
      </c>
      <c r="AW94" s="40" t="str">
        <f ca="1">IFERROR(__xludf.DUMMYFUNCTION("""COMPUTED_VALUE"""),"BIOCONSTRUCCION")</f>
        <v>BIOCONSTRUCCION</v>
      </c>
      <c r="AX94" s="141">
        <f ca="1">IFERROR(__xludf.DUMMYFUNCTION("""COMPUTED_VALUE"""),44848)</f>
        <v>44848</v>
      </c>
      <c r="AY94" s="40">
        <f ca="1">IFERROR(__xludf.DUMMYFUNCTION("""COMPUTED_VALUE"""),0)</f>
        <v>0</v>
      </c>
      <c r="AZ94" s="40">
        <f ca="1">IFERROR(__xludf.DUMMYFUNCTION("""COMPUTED_VALUE"""),1)</f>
        <v>1</v>
      </c>
      <c r="BA94" s="40">
        <f ca="1">IFERROR(__xludf.DUMMYFUNCTION("""COMPUTED_VALUE"""),0)</f>
        <v>0</v>
      </c>
      <c r="BB94" s="40">
        <f ca="1">IFERROR(__xludf.DUMMYFUNCTION("""COMPUTED_VALUE"""),0)</f>
        <v>0</v>
      </c>
      <c r="BC94" s="40">
        <f ca="1">IFERROR(__xludf.DUMMYFUNCTION("""COMPUTED_VALUE"""),1)</f>
        <v>1</v>
      </c>
      <c r="BD94" s="141">
        <f ca="1">IFERROR(__xludf.DUMMYFUNCTION("""COMPUTED_VALUE"""),43934)</f>
        <v>43934</v>
      </c>
      <c r="BE94" s="141">
        <f ca="1">IFERROR(__xludf.DUMMYFUNCTION("""COMPUTED_VALUE"""),44147)</f>
        <v>44147</v>
      </c>
      <c r="BF94" s="141">
        <f ca="1">IFERROR(__xludf.DUMMYFUNCTION("""COMPUTED_VALUE"""),44328)</f>
        <v>44328</v>
      </c>
      <c r="BG94" s="141">
        <f ca="1">IFERROR(__xludf.DUMMYFUNCTION("""COMPUTED_VALUE"""),44877)</f>
        <v>44877</v>
      </c>
      <c r="BH94" s="40" t="str">
        <f ca="1">IFERROR(__xludf.DUMMYFUNCTION("""COMPUTED_VALUE"""),"FINALIZAR FICHA")</f>
        <v>FINALIZAR FICHA</v>
      </c>
      <c r="BI94" s="40" t="str">
        <f ca="1">IFERROR(__xludf.DUMMYFUNCTION("""COMPUTED_VALUE"""),"Terminada por fecha")</f>
        <v>Terminada por fecha</v>
      </c>
      <c r="BJ94" s="40" t="str">
        <f ca="1">IFERROR(__xludf.DUMMYFUNCTION("""COMPUTED_VALUE"""),"Yamboro")</f>
        <v>Yamboro</v>
      </c>
      <c r="BK94" s="40"/>
      <c r="BL94" s="40"/>
    </row>
    <row r="95" spans="1:64" ht="13">
      <c r="A95" s="40"/>
      <c r="B95" s="40" t="str">
        <f ca="1">IFERROR(__xludf.DUMMYFUNCTION("""COMPUTED_VALUE"""),"FORMACIÓN 19//07/2022")</f>
        <v>FORMACIÓN 19//07/2022</v>
      </c>
      <c r="C95" s="40" t="str">
        <f ca="1">IFERROR(__xludf.DUMMYFUNCTION("""COMPUTED_VALUE"""),"MARIA FERNANDA ICABUCO DUARTE")</f>
        <v>MARIA FERNANDA ICABUCO DUARTE</v>
      </c>
      <c r="D95" s="40" t="str">
        <f ca="1">IFERROR(__xludf.DUMMYFUNCTION("""COMPUTED_VALUE"""),"CC")</f>
        <v>CC</v>
      </c>
      <c r="E95" s="40">
        <f ca="1">IFERROR(__xludf.DUMMYFUNCTION("""COMPUTED_VALUE"""),1001328074)</f>
        <v>1001328074</v>
      </c>
      <c r="F95" s="40">
        <f ca="1">IFERROR(__xludf.DUMMYFUNCTION("""COMPUTED_VALUE"""),2066212)</f>
        <v>2066212</v>
      </c>
      <c r="G95" s="40" t="str">
        <f ca="1">IFERROR(__xludf.DUMMYFUNCTION("""COMPUTED_VALUE"""),"TÉCNICO")</f>
        <v>TÉCNICO</v>
      </c>
      <c r="H95" s="40" t="str">
        <f ca="1">IFERROR(__xludf.DUMMYFUNCTION("""COMPUTED_VALUE"""),"DIBUJO ARQUITECTÓNICO")</f>
        <v>DIBUJO ARQUITECTÓNICO</v>
      </c>
      <c r="I95" s="40">
        <f ca="1">IFERROR(__xludf.DUMMYFUNCTION("""COMPUTED_VALUE"""),3134638460)</f>
        <v>3134638460</v>
      </c>
      <c r="J95" s="40" t="str">
        <f ca="1">IFERROR(__xludf.DUMMYFUNCTION("""COMPUTED_VALUE"""),"mficabuco@misena.edu.co")</f>
        <v>mficabuco@misena.edu.co</v>
      </c>
      <c r="K95" s="40"/>
      <c r="L95" s="40" t="str">
        <f ca="1">IFERROR(__xludf.DUMMYFUNCTION("""COMPUTED_VALUE"""),"NO HA INICIADO ETAPA PRODUCTIVA")</f>
        <v>NO HA INICIADO ETAPA PRODUCTIVA</v>
      </c>
      <c r="M95" s="40"/>
      <c r="N95" s="40"/>
      <c r="O95" s="40"/>
      <c r="P95" s="40"/>
      <c r="Q95" s="40"/>
      <c r="R95" s="140"/>
      <c r="S95" s="140"/>
      <c r="T95" s="40"/>
      <c r="U95" s="40" t="str">
        <f ca="1">IFERROR(__xludf.DUMMYFUNCTION("""COMPUTED_VALUE"""),"JUAN CARLOS GOMEZ")</f>
        <v>JUAN CARLOS GOMEZ</v>
      </c>
      <c r="V95" s="40" t="str">
        <f ca="1">IFERROR(__xludf.DUMMYFUNCTION("""COMPUTED_VALUE"""),"NO tiene seguimiento ...Revisado 08/04/2022")</f>
        <v>NO tiene seguimiento ...Revisado 08/04/2022</v>
      </c>
      <c r="W95" s="40"/>
      <c r="X95" s="40"/>
      <c r="Y95" s="40"/>
      <c r="Z95" s="40"/>
      <c r="AA95" s="40" t="str">
        <f ca="1">IFERROR(__xludf.DUMMYFUNCTION("""COMPUTED_VALUE"""),"Revisado 15/06/2022")</f>
        <v>Revisado 15/06/2022</v>
      </c>
      <c r="AB95" s="40"/>
      <c r="AC95" s="40"/>
      <c r="AD95" s="40"/>
      <c r="AE95" s="40"/>
      <c r="AF95" s="40"/>
      <c r="AG95" s="40"/>
      <c r="AH95" s="40"/>
      <c r="AI95" s="40"/>
      <c r="AJ95" s="40"/>
      <c r="AK95" s="40"/>
      <c r="AL95" s="40"/>
      <c r="AM95" s="40"/>
      <c r="AN95" s="40"/>
      <c r="AO95" s="40"/>
      <c r="AP95" s="40"/>
      <c r="AQ95" s="40"/>
      <c r="AR95" s="40"/>
      <c r="AS95" s="40"/>
      <c r="AT95" s="40"/>
      <c r="AU95" s="40" t="str">
        <f ca="1">IFERROR(__xludf.DUMMYFUNCTION("""COMPUTED_VALUE"""),"NO_CUMPLE")</f>
        <v>NO_CUMPLE</v>
      </c>
      <c r="AV95" s="40" t="str">
        <f ca="1">IFERROR(__xludf.DUMMYFUNCTION("""COMPUTED_VALUE"""),"CERTIFICADO")</f>
        <v>CERTIFICADO</v>
      </c>
      <c r="AW95" s="40" t="str">
        <f ca="1">IFERROR(__xludf.DUMMYFUNCTION("""COMPUTED_VALUE"""),"BIOCONSTRUCCION")</f>
        <v>BIOCONSTRUCCION</v>
      </c>
      <c r="AX95" s="141">
        <f ca="1">IFERROR(__xludf.DUMMYFUNCTION("""COMPUTED_VALUE"""),44848)</f>
        <v>44848</v>
      </c>
      <c r="AY95" s="40">
        <f ca="1">IFERROR(__xludf.DUMMYFUNCTION("""COMPUTED_VALUE"""),0)</f>
        <v>0</v>
      </c>
      <c r="AZ95" s="40">
        <f ca="1">IFERROR(__xludf.DUMMYFUNCTION("""COMPUTED_VALUE"""),0)</f>
        <v>0</v>
      </c>
      <c r="BA95" s="40">
        <f ca="1">IFERROR(__xludf.DUMMYFUNCTION("""COMPUTED_VALUE"""),0)</f>
        <v>0</v>
      </c>
      <c r="BB95" s="40">
        <f ca="1">IFERROR(__xludf.DUMMYFUNCTION("""COMPUTED_VALUE"""),0)</f>
        <v>0</v>
      </c>
      <c r="BC95" s="40">
        <f ca="1">IFERROR(__xludf.DUMMYFUNCTION("""COMPUTED_VALUE"""),0)</f>
        <v>0</v>
      </c>
      <c r="BD95" s="141">
        <f ca="1">IFERROR(__xludf.DUMMYFUNCTION("""COMPUTED_VALUE"""),43934)</f>
        <v>43934</v>
      </c>
      <c r="BE95" s="141">
        <f ca="1">IFERROR(__xludf.DUMMYFUNCTION("""COMPUTED_VALUE"""),44147)</f>
        <v>44147</v>
      </c>
      <c r="BF95" s="141">
        <f ca="1">IFERROR(__xludf.DUMMYFUNCTION("""COMPUTED_VALUE"""),44328)</f>
        <v>44328</v>
      </c>
      <c r="BG95" s="141">
        <f ca="1">IFERROR(__xludf.DUMMYFUNCTION("""COMPUTED_VALUE"""),44877)</f>
        <v>44877</v>
      </c>
      <c r="BH95" s="40" t="str">
        <f ca="1">IFERROR(__xludf.DUMMYFUNCTION("""COMPUTED_VALUE"""),"FINALIZAR FICHA")</f>
        <v>FINALIZAR FICHA</v>
      </c>
      <c r="BI95" s="40" t="str">
        <f ca="1">IFERROR(__xludf.DUMMYFUNCTION("""COMPUTED_VALUE"""),"Terminada por fecha")</f>
        <v>Terminada por fecha</v>
      </c>
      <c r="BJ95" s="40" t="str">
        <f ca="1">IFERROR(__xludf.DUMMYFUNCTION("""COMPUTED_VALUE"""),"Yamboro")</f>
        <v>Yamboro</v>
      </c>
      <c r="BK95" s="40"/>
      <c r="BL95" s="40"/>
    </row>
    <row r="96" spans="1:64" ht="13">
      <c r="A96" s="40"/>
      <c r="B96" s="40" t="str">
        <f ca="1">IFERROR(__xludf.DUMMYFUNCTION("""COMPUTED_VALUE"""),"FORMACIÓN 19//07/2022")</f>
        <v>FORMACIÓN 19//07/2022</v>
      </c>
      <c r="C96" s="40" t="str">
        <f ca="1">IFERROR(__xludf.DUMMYFUNCTION("""COMPUTED_VALUE"""),"LAURA SOFIA GOMEZ FIGUEROA")</f>
        <v>LAURA SOFIA GOMEZ FIGUEROA</v>
      </c>
      <c r="D96" s="40" t="str">
        <f ca="1">IFERROR(__xludf.DUMMYFUNCTION("""COMPUTED_VALUE"""),"TI")</f>
        <v>TI</v>
      </c>
      <c r="E96" s="40">
        <f ca="1">IFERROR(__xludf.DUMMYFUNCTION("""COMPUTED_VALUE"""),1004208640)</f>
        <v>1004208640</v>
      </c>
      <c r="F96" s="40">
        <f ca="1">IFERROR(__xludf.DUMMYFUNCTION("""COMPUTED_VALUE"""),2066212)</f>
        <v>2066212</v>
      </c>
      <c r="G96" s="40" t="str">
        <f ca="1">IFERROR(__xludf.DUMMYFUNCTION("""COMPUTED_VALUE"""),"TÉCNICO")</f>
        <v>TÉCNICO</v>
      </c>
      <c r="H96" s="40" t="str">
        <f ca="1">IFERROR(__xludf.DUMMYFUNCTION("""COMPUTED_VALUE"""),"DIBUJO ARQUITECTÓNICO")</f>
        <v>DIBUJO ARQUITECTÓNICO</v>
      </c>
      <c r="I96" s="40"/>
      <c r="J96" s="40" t="str">
        <f ca="1">IFERROR(__xludf.DUMMYFUNCTION("""COMPUTED_VALUE"""),"lauragomezfig@gmail.com")</f>
        <v>lauragomezfig@gmail.com</v>
      </c>
      <c r="K96" s="40"/>
      <c r="L96" s="40" t="str">
        <f ca="1">IFERROR(__xludf.DUMMYFUNCTION("""COMPUTED_VALUE"""),"NO HA INICIADO ETAPA PRODUCTIVA")</f>
        <v>NO HA INICIADO ETAPA PRODUCTIVA</v>
      </c>
      <c r="M96" s="40"/>
      <c r="N96" s="40"/>
      <c r="O96" s="40"/>
      <c r="P96" s="40"/>
      <c r="Q96" s="40"/>
      <c r="R96" s="140"/>
      <c r="S96" s="140"/>
      <c r="T96" s="40" t="str">
        <f ca="1">IFERROR(__xludf.DUMMYFUNCTION("""COMPUTED_VALUE"""),"debe resultados de aprendizaje")</f>
        <v>debe resultados de aprendizaje</v>
      </c>
      <c r="U96" s="40" t="str">
        <f ca="1">IFERROR(__xludf.DUMMYFUNCTION("""COMPUTED_VALUE"""),"JUAN CARLOS GOMEZ")</f>
        <v>JUAN CARLOS GOMEZ</v>
      </c>
      <c r="V96" s="40" t="str">
        <f ca="1">IFERROR(__xludf.DUMMYFUNCTION("""COMPUTED_VALUE"""),"NO tiene seguimiento ...Revisado 08/04/2022")</f>
        <v>NO tiene seguimiento ...Revisado 08/04/2022</v>
      </c>
      <c r="W96" s="40"/>
      <c r="X96" s="40"/>
      <c r="Y96" s="40"/>
      <c r="Z96" s="40"/>
      <c r="AA96" s="40" t="str">
        <f ca="1">IFERROR(__xludf.DUMMYFUNCTION("""COMPUTED_VALUE"""),"Revisado 15/06/2022")</f>
        <v>Revisado 15/06/2022</v>
      </c>
      <c r="AB96" s="40"/>
      <c r="AC96" s="40"/>
      <c r="AD96" s="40"/>
      <c r="AE96" s="40"/>
      <c r="AF96" s="40"/>
      <c r="AG96" s="40"/>
      <c r="AH96" s="40"/>
      <c r="AI96" s="40"/>
      <c r="AJ96" s="40"/>
      <c r="AK96" s="40"/>
      <c r="AL96" s="40"/>
      <c r="AM96" s="40"/>
      <c r="AN96" s="40"/>
      <c r="AO96" s="40"/>
      <c r="AP96" s="40"/>
      <c r="AQ96" s="40"/>
      <c r="AR96" s="40"/>
      <c r="AS96" s="40"/>
      <c r="AT96" s="40"/>
      <c r="AU96" s="40" t="str">
        <f ca="1">IFERROR(__xludf.DUMMYFUNCTION("""COMPUTED_VALUE"""),"NO_CUMPLE")</f>
        <v>NO_CUMPLE</v>
      </c>
      <c r="AV96" s="40" t="str">
        <f ca="1">IFERROR(__xludf.DUMMYFUNCTION("""COMPUTED_VALUE"""),"EN FORMACION")</f>
        <v>EN FORMACION</v>
      </c>
      <c r="AW96" s="40" t="str">
        <f ca="1">IFERROR(__xludf.DUMMYFUNCTION("""COMPUTED_VALUE"""),"BIOCONSTRUCCION")</f>
        <v>BIOCONSTRUCCION</v>
      </c>
      <c r="AX96" s="141">
        <f ca="1">IFERROR(__xludf.DUMMYFUNCTION("""COMPUTED_VALUE"""),44848)</f>
        <v>44848</v>
      </c>
      <c r="AY96" s="40">
        <f ca="1">IFERROR(__xludf.DUMMYFUNCTION("""COMPUTED_VALUE"""),0)</f>
        <v>0</v>
      </c>
      <c r="AZ96" s="40">
        <f ca="1">IFERROR(__xludf.DUMMYFUNCTION("""COMPUTED_VALUE"""),1)</f>
        <v>1</v>
      </c>
      <c r="BA96" s="40">
        <f ca="1">IFERROR(__xludf.DUMMYFUNCTION("""COMPUTED_VALUE"""),0)</f>
        <v>0</v>
      </c>
      <c r="BB96" s="40">
        <f ca="1">IFERROR(__xludf.DUMMYFUNCTION("""COMPUTED_VALUE"""),1)</f>
        <v>1</v>
      </c>
      <c r="BC96" s="40">
        <f ca="1">IFERROR(__xludf.DUMMYFUNCTION("""COMPUTED_VALUE"""),2)</f>
        <v>2</v>
      </c>
      <c r="BD96" s="141">
        <f ca="1">IFERROR(__xludf.DUMMYFUNCTION("""COMPUTED_VALUE"""),43934)</f>
        <v>43934</v>
      </c>
      <c r="BE96" s="141">
        <f ca="1">IFERROR(__xludf.DUMMYFUNCTION("""COMPUTED_VALUE"""),44147)</f>
        <v>44147</v>
      </c>
      <c r="BF96" s="141">
        <f ca="1">IFERROR(__xludf.DUMMYFUNCTION("""COMPUTED_VALUE"""),44328)</f>
        <v>44328</v>
      </c>
      <c r="BG96" s="141">
        <f ca="1">IFERROR(__xludf.DUMMYFUNCTION("""COMPUTED_VALUE"""),44877)</f>
        <v>44877</v>
      </c>
      <c r="BH96" s="40" t="str">
        <f ca="1">IFERROR(__xludf.DUMMYFUNCTION("""COMPUTED_VALUE"""),"FINALIZAR FICHA")</f>
        <v>FINALIZAR FICHA</v>
      </c>
      <c r="BI96" s="40" t="str">
        <f ca="1">IFERROR(__xludf.DUMMYFUNCTION("""COMPUTED_VALUE"""),"Terminada por fecha")</f>
        <v>Terminada por fecha</v>
      </c>
      <c r="BJ96" s="40" t="str">
        <f ca="1">IFERROR(__xludf.DUMMYFUNCTION("""COMPUTED_VALUE"""),"Yamboro")</f>
        <v>Yamboro</v>
      </c>
      <c r="BK96" s="40"/>
      <c r="BL96" s="40"/>
    </row>
    <row r="97" spans="1:64" ht="13">
      <c r="A97" s="40"/>
      <c r="B97" s="40" t="str">
        <f ca="1">IFERROR(__xludf.DUMMYFUNCTION("""COMPUTED_VALUE"""),"FORMACIÓN 19//07/2022")</f>
        <v>FORMACIÓN 19//07/2022</v>
      </c>
      <c r="C97" s="40" t="str">
        <f ca="1">IFERROR(__xludf.DUMMYFUNCTION("""COMPUTED_VALUE"""),"JUAN ESTEBAN BURITICA SANTOS")</f>
        <v>JUAN ESTEBAN BURITICA SANTOS</v>
      </c>
      <c r="D97" s="40" t="str">
        <f ca="1">IFERROR(__xludf.DUMMYFUNCTION("""COMPUTED_VALUE"""),"TI")</f>
        <v>TI</v>
      </c>
      <c r="E97" s="40">
        <f ca="1">IFERROR(__xludf.DUMMYFUNCTION("""COMPUTED_VALUE"""),1004418086)</f>
        <v>1004418086</v>
      </c>
      <c r="F97" s="40">
        <f ca="1">IFERROR(__xludf.DUMMYFUNCTION("""COMPUTED_VALUE"""),2066212)</f>
        <v>2066212</v>
      </c>
      <c r="G97" s="40" t="str">
        <f ca="1">IFERROR(__xludf.DUMMYFUNCTION("""COMPUTED_VALUE"""),"TÉCNICO")</f>
        <v>TÉCNICO</v>
      </c>
      <c r="H97" s="40" t="str">
        <f ca="1">IFERROR(__xludf.DUMMYFUNCTION("""COMPUTED_VALUE"""),"DIBUJO ARQUITECTÓNICO")</f>
        <v>DIBUJO ARQUITECTÓNICO</v>
      </c>
      <c r="I97" s="40"/>
      <c r="J97" s="40" t="str">
        <f ca="1">IFERROR(__xludf.DUMMYFUNCTION("""COMPUTED_VALUE"""),"juanes-santos777@hotmail.com")</f>
        <v>juanes-santos777@hotmail.com</v>
      </c>
      <c r="K97" s="40"/>
      <c r="L97" s="40" t="str">
        <f ca="1">IFERROR(__xludf.DUMMYFUNCTION("""COMPUTED_VALUE"""),"NO HA INICIADO ETAPA PRODUCTIVA")</f>
        <v>NO HA INICIADO ETAPA PRODUCTIVA</v>
      </c>
      <c r="M97" s="40"/>
      <c r="N97" s="40"/>
      <c r="O97" s="40"/>
      <c r="P97" s="40"/>
      <c r="Q97" s="40"/>
      <c r="R97" s="140"/>
      <c r="S97" s="140"/>
      <c r="T97" s="40" t="str">
        <f ca="1">IFERROR(__xludf.DUMMYFUNCTION("""COMPUTED_VALUE"""),"debe resultados de promover")</f>
        <v>debe resultados de promover</v>
      </c>
      <c r="U97" s="40" t="str">
        <f ca="1">IFERROR(__xludf.DUMMYFUNCTION("""COMPUTED_VALUE"""),"JUAN CARLOS GOMEZ")</f>
        <v>JUAN CARLOS GOMEZ</v>
      </c>
      <c r="V97" s="40" t="str">
        <f ca="1">IFERROR(__xludf.DUMMYFUNCTION("""COMPUTED_VALUE"""),"NO tiene seguimiento ...Revisado 08/04/2022")</f>
        <v>NO tiene seguimiento ...Revisado 08/04/2022</v>
      </c>
      <c r="W97" s="40"/>
      <c r="X97" s="40"/>
      <c r="Y97" s="40"/>
      <c r="Z97" s="40"/>
      <c r="AA97" s="40" t="str">
        <f ca="1">IFERROR(__xludf.DUMMYFUNCTION("""COMPUTED_VALUE"""),"Revisado 15/06/2022")</f>
        <v>Revisado 15/06/2022</v>
      </c>
      <c r="AB97" s="40"/>
      <c r="AC97" s="40"/>
      <c r="AD97" s="40"/>
      <c r="AE97" s="40"/>
      <c r="AF97" s="40"/>
      <c r="AG97" s="40"/>
      <c r="AH97" s="40"/>
      <c r="AI97" s="40"/>
      <c r="AJ97" s="40"/>
      <c r="AK97" s="40"/>
      <c r="AL97" s="40"/>
      <c r="AM97" s="40"/>
      <c r="AN97" s="40"/>
      <c r="AO97" s="40"/>
      <c r="AP97" s="40"/>
      <c r="AQ97" s="40"/>
      <c r="AR97" s="40"/>
      <c r="AS97" s="40"/>
      <c r="AT97" s="40"/>
      <c r="AU97" s="40" t="str">
        <f ca="1">IFERROR(__xludf.DUMMYFUNCTION("""COMPUTED_VALUE"""),"NO_CUMPLE")</f>
        <v>NO_CUMPLE</v>
      </c>
      <c r="AV97" s="40" t="str">
        <f ca="1">IFERROR(__xludf.DUMMYFUNCTION("""COMPUTED_VALUE"""),"EN FORMACION")</f>
        <v>EN FORMACION</v>
      </c>
      <c r="AW97" s="40" t="str">
        <f ca="1">IFERROR(__xludf.DUMMYFUNCTION("""COMPUTED_VALUE"""),"BIOCONSTRUCCION")</f>
        <v>BIOCONSTRUCCION</v>
      </c>
      <c r="AX97" s="141">
        <f ca="1">IFERROR(__xludf.DUMMYFUNCTION("""COMPUTED_VALUE"""),44848)</f>
        <v>44848</v>
      </c>
      <c r="AY97" s="40">
        <f ca="1">IFERROR(__xludf.DUMMYFUNCTION("""COMPUTED_VALUE"""),3)</f>
        <v>3</v>
      </c>
      <c r="AZ97" s="40">
        <f ca="1">IFERROR(__xludf.DUMMYFUNCTION("""COMPUTED_VALUE"""),1)</f>
        <v>1</v>
      </c>
      <c r="BA97" s="40">
        <f ca="1">IFERROR(__xludf.DUMMYFUNCTION("""COMPUTED_VALUE"""),0)</f>
        <v>0</v>
      </c>
      <c r="BB97" s="40">
        <f ca="1">IFERROR(__xludf.DUMMYFUNCTION("""COMPUTED_VALUE"""),0)</f>
        <v>0</v>
      </c>
      <c r="BC97" s="40">
        <f ca="1">IFERROR(__xludf.DUMMYFUNCTION("""COMPUTED_VALUE"""),4)</f>
        <v>4</v>
      </c>
      <c r="BD97" s="141">
        <f ca="1">IFERROR(__xludf.DUMMYFUNCTION("""COMPUTED_VALUE"""),43934)</f>
        <v>43934</v>
      </c>
      <c r="BE97" s="141">
        <f ca="1">IFERROR(__xludf.DUMMYFUNCTION("""COMPUTED_VALUE"""),44147)</f>
        <v>44147</v>
      </c>
      <c r="BF97" s="141">
        <f ca="1">IFERROR(__xludf.DUMMYFUNCTION("""COMPUTED_VALUE"""),44328)</f>
        <v>44328</v>
      </c>
      <c r="BG97" s="141">
        <f ca="1">IFERROR(__xludf.DUMMYFUNCTION("""COMPUTED_VALUE"""),44877)</f>
        <v>44877</v>
      </c>
      <c r="BH97" s="40" t="str">
        <f ca="1">IFERROR(__xludf.DUMMYFUNCTION("""COMPUTED_VALUE"""),"FINALIZAR FICHA")</f>
        <v>FINALIZAR FICHA</v>
      </c>
      <c r="BI97" s="40" t="str">
        <f ca="1">IFERROR(__xludf.DUMMYFUNCTION("""COMPUTED_VALUE"""),"Terminada por fecha")</f>
        <v>Terminada por fecha</v>
      </c>
      <c r="BJ97" s="40" t="str">
        <f ca="1">IFERROR(__xludf.DUMMYFUNCTION("""COMPUTED_VALUE"""),"Yamboro")</f>
        <v>Yamboro</v>
      </c>
      <c r="BK97" s="40"/>
      <c r="BL97" s="40"/>
    </row>
    <row r="98" spans="1:64" ht="13">
      <c r="A98" s="40"/>
      <c r="B98" s="40" t="str">
        <f ca="1">IFERROR(__xludf.DUMMYFUNCTION("""COMPUTED_VALUE"""),"FORMACIÓN 19//07/2022")</f>
        <v>FORMACIÓN 19//07/2022</v>
      </c>
      <c r="C98" s="40" t="str">
        <f ca="1">IFERROR(__xludf.DUMMYFUNCTION("""COMPUTED_VALUE"""),"TATIHANA JULIETH CABRERA MUÑOZ")</f>
        <v>TATIHANA JULIETH CABRERA MUÑOZ</v>
      </c>
      <c r="D98" s="40" t="str">
        <f ca="1">IFERROR(__xludf.DUMMYFUNCTION("""COMPUTED_VALUE"""),"CC")</f>
        <v>CC</v>
      </c>
      <c r="E98" s="40">
        <f ca="1">IFERROR(__xludf.DUMMYFUNCTION("""COMPUTED_VALUE"""),1007361378)</f>
        <v>1007361378</v>
      </c>
      <c r="F98" s="40">
        <f ca="1">IFERROR(__xludf.DUMMYFUNCTION("""COMPUTED_VALUE"""),2066212)</f>
        <v>2066212</v>
      </c>
      <c r="G98" s="40" t="str">
        <f ca="1">IFERROR(__xludf.DUMMYFUNCTION("""COMPUTED_VALUE"""),"TÉCNICO")</f>
        <v>TÉCNICO</v>
      </c>
      <c r="H98" s="40" t="str">
        <f ca="1">IFERROR(__xludf.DUMMYFUNCTION("""COMPUTED_VALUE"""),"DIBUJO ARQUITECTÓNICO")</f>
        <v>DIBUJO ARQUITECTÓNICO</v>
      </c>
      <c r="I98" s="40">
        <f ca="1">IFERROR(__xludf.DUMMYFUNCTION("""COMPUTED_VALUE"""),3123567100)</f>
        <v>3123567100</v>
      </c>
      <c r="J98" s="40" t="str">
        <f ca="1">IFERROR(__xludf.DUMMYFUNCTION("""COMPUTED_VALUE"""),"tatihanajuli@outlook.com")</f>
        <v>tatihanajuli@outlook.com</v>
      </c>
      <c r="K98" s="40"/>
      <c r="L98" s="40" t="str">
        <f ca="1">IFERROR(__xludf.DUMMYFUNCTION("""COMPUTED_VALUE"""),"NO HA INICIADO ETAPA PRODUCTIVA")</f>
        <v>NO HA INICIADO ETAPA PRODUCTIVA</v>
      </c>
      <c r="M98" s="40"/>
      <c r="N98" s="40"/>
      <c r="O98" s="40"/>
      <c r="P98" s="40"/>
      <c r="Q98" s="40"/>
      <c r="R98" s="140"/>
      <c r="S98" s="140"/>
      <c r="T98" s="40" t="str">
        <f ca="1">IFERROR(__xludf.DUMMYFUNCTION("""COMPUTED_VALUE"""),"debe resultados de aprendizaje")</f>
        <v>debe resultados de aprendizaje</v>
      </c>
      <c r="U98" s="40" t="str">
        <f ca="1">IFERROR(__xludf.DUMMYFUNCTION("""COMPUTED_VALUE"""),"JUAN CARLOS GOMEZ")</f>
        <v>JUAN CARLOS GOMEZ</v>
      </c>
      <c r="V98" s="40" t="str">
        <f ca="1">IFERROR(__xludf.DUMMYFUNCTION("""COMPUTED_VALUE"""),"NO tiene seguimiento ...Revisado 08/04/2022")</f>
        <v>NO tiene seguimiento ...Revisado 08/04/2022</v>
      </c>
      <c r="W98" s="40"/>
      <c r="X98" s="40"/>
      <c r="Y98" s="40"/>
      <c r="Z98" s="40"/>
      <c r="AA98" s="40" t="str">
        <f ca="1">IFERROR(__xludf.DUMMYFUNCTION("""COMPUTED_VALUE"""),"Revisado 15/06/2022")</f>
        <v>Revisado 15/06/2022</v>
      </c>
      <c r="AB98" s="40"/>
      <c r="AC98" s="40"/>
      <c r="AD98" s="40"/>
      <c r="AE98" s="40"/>
      <c r="AF98" s="40"/>
      <c r="AG98" s="40"/>
      <c r="AH98" s="40"/>
      <c r="AI98" s="40"/>
      <c r="AJ98" s="40"/>
      <c r="AK98" s="40"/>
      <c r="AL98" s="40"/>
      <c r="AM98" s="40"/>
      <c r="AN98" s="40"/>
      <c r="AO98" s="40"/>
      <c r="AP98" s="40"/>
      <c r="AQ98" s="40"/>
      <c r="AR98" s="40"/>
      <c r="AS98" s="40"/>
      <c r="AT98" s="40"/>
      <c r="AU98" s="40" t="str">
        <f ca="1">IFERROR(__xludf.DUMMYFUNCTION("""COMPUTED_VALUE"""),"NO_CUMPLE")</f>
        <v>NO_CUMPLE</v>
      </c>
      <c r="AV98" s="40" t="str">
        <f ca="1">IFERROR(__xludf.DUMMYFUNCTION("""COMPUTED_VALUE"""),"EN FORMACION")</f>
        <v>EN FORMACION</v>
      </c>
      <c r="AW98" s="40" t="str">
        <f ca="1">IFERROR(__xludf.DUMMYFUNCTION("""COMPUTED_VALUE"""),"BIOCONSTRUCCION")</f>
        <v>BIOCONSTRUCCION</v>
      </c>
      <c r="AX98" s="141">
        <f ca="1">IFERROR(__xludf.DUMMYFUNCTION("""COMPUTED_VALUE"""),44848)</f>
        <v>44848</v>
      </c>
      <c r="AY98" s="40">
        <f ca="1">IFERROR(__xludf.DUMMYFUNCTION("""COMPUTED_VALUE"""),1)</f>
        <v>1</v>
      </c>
      <c r="AZ98" s="40">
        <f ca="1">IFERROR(__xludf.DUMMYFUNCTION("""COMPUTED_VALUE"""),1)</f>
        <v>1</v>
      </c>
      <c r="BA98" s="40">
        <f ca="1">IFERROR(__xludf.DUMMYFUNCTION("""COMPUTED_VALUE"""),0)</f>
        <v>0</v>
      </c>
      <c r="BB98" s="40">
        <f ca="1">IFERROR(__xludf.DUMMYFUNCTION("""COMPUTED_VALUE"""),2)</f>
        <v>2</v>
      </c>
      <c r="BC98" s="40">
        <f ca="1">IFERROR(__xludf.DUMMYFUNCTION("""COMPUTED_VALUE"""),4)</f>
        <v>4</v>
      </c>
      <c r="BD98" s="141">
        <f ca="1">IFERROR(__xludf.DUMMYFUNCTION("""COMPUTED_VALUE"""),43934)</f>
        <v>43934</v>
      </c>
      <c r="BE98" s="141">
        <f ca="1">IFERROR(__xludf.DUMMYFUNCTION("""COMPUTED_VALUE"""),44147)</f>
        <v>44147</v>
      </c>
      <c r="BF98" s="141">
        <f ca="1">IFERROR(__xludf.DUMMYFUNCTION("""COMPUTED_VALUE"""),44328)</f>
        <v>44328</v>
      </c>
      <c r="BG98" s="141">
        <f ca="1">IFERROR(__xludf.DUMMYFUNCTION("""COMPUTED_VALUE"""),44877)</f>
        <v>44877</v>
      </c>
      <c r="BH98" s="40" t="str">
        <f ca="1">IFERROR(__xludf.DUMMYFUNCTION("""COMPUTED_VALUE"""),"FINALIZAR FICHA")</f>
        <v>FINALIZAR FICHA</v>
      </c>
      <c r="BI98" s="40" t="str">
        <f ca="1">IFERROR(__xludf.DUMMYFUNCTION("""COMPUTED_VALUE"""),"Terminada por fecha")</f>
        <v>Terminada por fecha</v>
      </c>
      <c r="BJ98" s="40" t="str">
        <f ca="1">IFERROR(__xludf.DUMMYFUNCTION("""COMPUTED_VALUE"""),"Yamboro")</f>
        <v>Yamboro</v>
      </c>
      <c r="BK98" s="40"/>
      <c r="BL98" s="40"/>
    </row>
    <row r="99" spans="1:64" ht="13">
      <c r="A99" s="40"/>
      <c r="B99" s="40" t="str">
        <f ca="1">IFERROR(__xludf.DUMMYFUNCTION("""COMPUTED_VALUE"""),"FORMACIÓN 19//07/2022")</f>
        <v>FORMACIÓN 19//07/2022</v>
      </c>
      <c r="C99" s="40" t="str">
        <f ca="1">IFERROR(__xludf.DUMMYFUNCTION("""COMPUTED_VALUE"""),"ALEJANDRO MUÑOZ QUINAYAZ")</f>
        <v>ALEJANDRO MUÑOZ QUINAYAZ</v>
      </c>
      <c r="D99" s="40" t="str">
        <f ca="1">IFERROR(__xludf.DUMMYFUNCTION("""COMPUTED_VALUE"""),"CC")</f>
        <v>CC</v>
      </c>
      <c r="E99" s="40">
        <f ca="1">IFERROR(__xludf.DUMMYFUNCTION("""COMPUTED_VALUE"""),1007520938)</f>
        <v>1007520938</v>
      </c>
      <c r="F99" s="40">
        <f ca="1">IFERROR(__xludf.DUMMYFUNCTION("""COMPUTED_VALUE"""),2066212)</f>
        <v>2066212</v>
      </c>
      <c r="G99" s="40" t="str">
        <f ca="1">IFERROR(__xludf.DUMMYFUNCTION("""COMPUTED_VALUE"""),"TÉCNICO")</f>
        <v>TÉCNICO</v>
      </c>
      <c r="H99" s="40" t="str">
        <f ca="1">IFERROR(__xludf.DUMMYFUNCTION("""COMPUTED_VALUE"""),"DIBUJO ARQUITECTÓNICO")</f>
        <v>DIBUJO ARQUITECTÓNICO</v>
      </c>
      <c r="I99" s="40">
        <f ca="1">IFERROR(__xludf.DUMMYFUNCTION("""COMPUTED_VALUE"""),3102625784)</f>
        <v>3102625784</v>
      </c>
      <c r="J99" s="40" t="str">
        <f ca="1">IFERROR(__xludf.DUMMYFUNCTION("""COMPUTED_VALUE"""),"munozquinayasalejandro@gmail.com")</f>
        <v>munozquinayasalejandro@gmail.com</v>
      </c>
      <c r="K99" s="40"/>
      <c r="L99" s="40" t="str">
        <f ca="1">IFERROR(__xludf.DUMMYFUNCTION("""COMPUTED_VALUE"""),"NO HA INICIADO ETAPA PRODUCTIVA")</f>
        <v>NO HA INICIADO ETAPA PRODUCTIVA</v>
      </c>
      <c r="M99" s="40"/>
      <c r="N99" s="40"/>
      <c r="O99" s="40"/>
      <c r="P99" s="40"/>
      <c r="Q99" s="40"/>
      <c r="R99" s="140"/>
      <c r="S99" s="140"/>
      <c r="T99" s="40"/>
      <c r="U99" s="40" t="str">
        <f ca="1">IFERROR(__xludf.DUMMYFUNCTION("""COMPUTED_VALUE"""),"JUAN CARLOS GOMEZ")</f>
        <v>JUAN CARLOS GOMEZ</v>
      </c>
      <c r="V99" s="40" t="str">
        <f ca="1">IFERROR(__xludf.DUMMYFUNCTION("""COMPUTED_VALUE"""),"NO tiene seguimiento ...Revisado 08/04/2022")</f>
        <v>NO tiene seguimiento ...Revisado 08/04/2022</v>
      </c>
      <c r="W99" s="40"/>
      <c r="X99" s="40"/>
      <c r="Y99" s="40"/>
      <c r="Z99" s="40"/>
      <c r="AA99" s="40" t="str">
        <f ca="1">IFERROR(__xludf.DUMMYFUNCTION("""COMPUTED_VALUE"""),"Revisado 15/06/2022")</f>
        <v>Revisado 15/06/2022</v>
      </c>
      <c r="AB99" s="40"/>
      <c r="AC99" s="40"/>
      <c r="AD99" s="40"/>
      <c r="AE99" s="40"/>
      <c r="AF99" s="40"/>
      <c r="AG99" s="40"/>
      <c r="AH99" s="40"/>
      <c r="AI99" s="40"/>
      <c r="AJ99" s="40"/>
      <c r="AK99" s="40"/>
      <c r="AL99" s="40"/>
      <c r="AM99" s="40"/>
      <c r="AN99" s="40"/>
      <c r="AO99" s="40"/>
      <c r="AP99" s="40"/>
      <c r="AQ99" s="40"/>
      <c r="AR99" s="40"/>
      <c r="AS99" s="40"/>
      <c r="AT99" s="40"/>
      <c r="AU99" s="40" t="str">
        <f ca="1">IFERROR(__xludf.DUMMYFUNCTION("""COMPUTED_VALUE"""),"Procede_E_P")</f>
        <v>Procede_E_P</v>
      </c>
      <c r="AV99" s="40" t="str">
        <f ca="1">IFERROR(__xludf.DUMMYFUNCTION("""COMPUTED_VALUE"""),"EN FORMACION")</f>
        <v>EN FORMACION</v>
      </c>
      <c r="AW99" s="40" t="str">
        <f ca="1">IFERROR(__xludf.DUMMYFUNCTION("""COMPUTED_VALUE"""),"BIOCONSTRUCCION")</f>
        <v>BIOCONSTRUCCION</v>
      </c>
      <c r="AX99" s="141">
        <f ca="1">IFERROR(__xludf.DUMMYFUNCTION("""COMPUTED_VALUE"""),44848)</f>
        <v>44848</v>
      </c>
      <c r="AY99" s="40">
        <f ca="1">IFERROR(__xludf.DUMMYFUNCTION("""COMPUTED_VALUE"""),0)</f>
        <v>0</v>
      </c>
      <c r="AZ99" s="40">
        <f ca="1">IFERROR(__xludf.DUMMYFUNCTION("""COMPUTED_VALUE"""),1)</f>
        <v>1</v>
      </c>
      <c r="BA99" s="40">
        <f ca="1">IFERROR(__xludf.DUMMYFUNCTION("""COMPUTED_VALUE"""),0)</f>
        <v>0</v>
      </c>
      <c r="BB99" s="40">
        <f ca="1">IFERROR(__xludf.DUMMYFUNCTION("""COMPUTED_VALUE"""),0)</f>
        <v>0</v>
      </c>
      <c r="BC99" s="40">
        <f ca="1">IFERROR(__xludf.DUMMYFUNCTION("""COMPUTED_VALUE"""),1)</f>
        <v>1</v>
      </c>
      <c r="BD99" s="141">
        <f ca="1">IFERROR(__xludf.DUMMYFUNCTION("""COMPUTED_VALUE"""),43934)</f>
        <v>43934</v>
      </c>
      <c r="BE99" s="141">
        <f ca="1">IFERROR(__xludf.DUMMYFUNCTION("""COMPUTED_VALUE"""),44147)</f>
        <v>44147</v>
      </c>
      <c r="BF99" s="141">
        <f ca="1">IFERROR(__xludf.DUMMYFUNCTION("""COMPUTED_VALUE"""),44328)</f>
        <v>44328</v>
      </c>
      <c r="BG99" s="141">
        <f ca="1">IFERROR(__xludf.DUMMYFUNCTION("""COMPUTED_VALUE"""),44877)</f>
        <v>44877</v>
      </c>
      <c r="BH99" s="40" t="str">
        <f ca="1">IFERROR(__xludf.DUMMYFUNCTION("""COMPUTED_VALUE"""),"FINALIZAR FICHA")</f>
        <v>FINALIZAR FICHA</v>
      </c>
      <c r="BI99" s="40" t="str">
        <f ca="1">IFERROR(__xludf.DUMMYFUNCTION("""COMPUTED_VALUE"""),"Terminada por fecha")</f>
        <v>Terminada por fecha</v>
      </c>
      <c r="BJ99" s="40" t="str">
        <f ca="1">IFERROR(__xludf.DUMMYFUNCTION("""COMPUTED_VALUE"""),"Yamboro")</f>
        <v>Yamboro</v>
      </c>
      <c r="BK99" s="40"/>
      <c r="BL99" s="40"/>
    </row>
    <row r="100" spans="1:64" ht="13">
      <c r="A100" s="40"/>
      <c r="B100" s="40" t="str">
        <f ca="1">IFERROR(__xludf.DUMMYFUNCTION("""COMPUTED_VALUE"""),"FORMACIÓN 19//07/2022")</f>
        <v>FORMACIÓN 19//07/2022</v>
      </c>
      <c r="C100" s="40" t="str">
        <f ca="1">IFERROR(__xludf.DUMMYFUNCTION("""COMPUTED_VALUE"""),"DAVID ALEJANDRO CEBALLOS VILLEGAS")</f>
        <v>DAVID ALEJANDRO CEBALLOS VILLEGAS</v>
      </c>
      <c r="D100" s="40" t="str">
        <f ca="1">IFERROR(__xludf.DUMMYFUNCTION("""COMPUTED_VALUE"""),"CC")</f>
        <v>CC</v>
      </c>
      <c r="E100" s="40">
        <f ca="1">IFERROR(__xludf.DUMMYFUNCTION("""COMPUTED_VALUE"""),1007575898)</f>
        <v>1007575898</v>
      </c>
      <c r="F100" s="40">
        <f ca="1">IFERROR(__xludf.DUMMYFUNCTION("""COMPUTED_VALUE"""),2066212)</f>
        <v>2066212</v>
      </c>
      <c r="G100" s="40" t="str">
        <f ca="1">IFERROR(__xludf.DUMMYFUNCTION("""COMPUTED_VALUE"""),"TÉCNICO")</f>
        <v>TÉCNICO</v>
      </c>
      <c r="H100" s="40" t="str">
        <f ca="1">IFERROR(__xludf.DUMMYFUNCTION("""COMPUTED_VALUE"""),"DIBUJO ARQUITECTÓNICO")</f>
        <v>DIBUJO ARQUITECTÓNICO</v>
      </c>
      <c r="I100" s="40">
        <f ca="1">IFERROR(__xludf.DUMMYFUNCTION("""COMPUTED_VALUE"""),3224826897)</f>
        <v>3224826897</v>
      </c>
      <c r="J100" s="40" t="str">
        <f ca="1">IFERROR(__xludf.DUMMYFUNCTION("""COMPUTED_VALUE"""),"Davidalejandro0415@gmail.com")</f>
        <v>Davidalejandro0415@gmail.com</v>
      </c>
      <c r="K100" s="40"/>
      <c r="L100" s="40" t="str">
        <f ca="1">IFERROR(__xludf.DUMMYFUNCTION("""COMPUTED_VALUE"""),"NO HA INICIADO ETAPA PRODUCTIVA")</f>
        <v>NO HA INICIADO ETAPA PRODUCTIVA</v>
      </c>
      <c r="M100" s="40"/>
      <c r="N100" s="40"/>
      <c r="O100" s="40"/>
      <c r="P100" s="40"/>
      <c r="Q100" s="40"/>
      <c r="R100" s="140"/>
      <c r="S100" s="140"/>
      <c r="T100" s="40"/>
      <c r="U100" s="40" t="str">
        <f ca="1">IFERROR(__xludf.DUMMYFUNCTION("""COMPUTED_VALUE"""),"JUAN CARLOS GOMEZ")</f>
        <v>JUAN CARLOS GOMEZ</v>
      </c>
      <c r="V100" s="40" t="str">
        <f ca="1">IFERROR(__xludf.DUMMYFUNCTION("""COMPUTED_VALUE"""),"NO tiene seguimiento ...Revisado 08/04/2022")</f>
        <v>NO tiene seguimiento ...Revisado 08/04/2022</v>
      </c>
      <c r="W100" s="40"/>
      <c r="X100" s="40"/>
      <c r="Y100" s="40"/>
      <c r="Z100" s="40"/>
      <c r="AA100" s="40" t="str">
        <f ca="1">IFERROR(__xludf.DUMMYFUNCTION("""COMPUTED_VALUE"""),"Revisado 15/06/2022")</f>
        <v>Revisado 15/06/2022</v>
      </c>
      <c r="AB100" s="40"/>
      <c r="AC100" s="40"/>
      <c r="AD100" s="40"/>
      <c r="AE100" s="40"/>
      <c r="AF100" s="40"/>
      <c r="AG100" s="40"/>
      <c r="AH100" s="40"/>
      <c r="AI100" s="40"/>
      <c r="AJ100" s="40"/>
      <c r="AK100" s="40"/>
      <c r="AL100" s="40"/>
      <c r="AM100" s="40"/>
      <c r="AN100" s="40"/>
      <c r="AO100" s="40"/>
      <c r="AP100" s="40"/>
      <c r="AQ100" s="40"/>
      <c r="AR100" s="40"/>
      <c r="AS100" s="40"/>
      <c r="AT100" s="40"/>
      <c r="AU100" s="40" t="str">
        <f ca="1">IFERROR(__xludf.DUMMYFUNCTION("""COMPUTED_VALUE"""),"Procede_E_P")</f>
        <v>Procede_E_P</v>
      </c>
      <c r="AV100" s="40" t="str">
        <f ca="1">IFERROR(__xludf.DUMMYFUNCTION("""COMPUTED_VALUE"""),"EN FORMACION")</f>
        <v>EN FORMACION</v>
      </c>
      <c r="AW100" s="40" t="str">
        <f ca="1">IFERROR(__xludf.DUMMYFUNCTION("""COMPUTED_VALUE"""),"BIOCONSTRUCCION")</f>
        <v>BIOCONSTRUCCION</v>
      </c>
      <c r="AX100" s="141">
        <f ca="1">IFERROR(__xludf.DUMMYFUNCTION("""COMPUTED_VALUE"""),44848)</f>
        <v>44848</v>
      </c>
      <c r="AY100" s="40">
        <f ca="1">IFERROR(__xludf.DUMMYFUNCTION("""COMPUTED_VALUE"""),0)</f>
        <v>0</v>
      </c>
      <c r="AZ100" s="40">
        <f ca="1">IFERROR(__xludf.DUMMYFUNCTION("""COMPUTED_VALUE"""),1)</f>
        <v>1</v>
      </c>
      <c r="BA100" s="40">
        <f ca="1">IFERROR(__xludf.DUMMYFUNCTION("""COMPUTED_VALUE"""),0)</f>
        <v>0</v>
      </c>
      <c r="BB100" s="40">
        <f ca="1">IFERROR(__xludf.DUMMYFUNCTION("""COMPUTED_VALUE"""),0)</f>
        <v>0</v>
      </c>
      <c r="BC100" s="40">
        <f ca="1">IFERROR(__xludf.DUMMYFUNCTION("""COMPUTED_VALUE"""),1)</f>
        <v>1</v>
      </c>
      <c r="BD100" s="141">
        <f ca="1">IFERROR(__xludf.DUMMYFUNCTION("""COMPUTED_VALUE"""),43934)</f>
        <v>43934</v>
      </c>
      <c r="BE100" s="141">
        <f ca="1">IFERROR(__xludf.DUMMYFUNCTION("""COMPUTED_VALUE"""),44147)</f>
        <v>44147</v>
      </c>
      <c r="BF100" s="141">
        <f ca="1">IFERROR(__xludf.DUMMYFUNCTION("""COMPUTED_VALUE"""),44328)</f>
        <v>44328</v>
      </c>
      <c r="BG100" s="141">
        <f ca="1">IFERROR(__xludf.DUMMYFUNCTION("""COMPUTED_VALUE"""),44877)</f>
        <v>44877</v>
      </c>
      <c r="BH100" s="40" t="str">
        <f ca="1">IFERROR(__xludf.DUMMYFUNCTION("""COMPUTED_VALUE"""),"FINALIZAR FICHA")</f>
        <v>FINALIZAR FICHA</v>
      </c>
      <c r="BI100" s="40" t="str">
        <f ca="1">IFERROR(__xludf.DUMMYFUNCTION("""COMPUTED_VALUE"""),"Terminada por fecha")</f>
        <v>Terminada por fecha</v>
      </c>
      <c r="BJ100" s="40" t="str">
        <f ca="1">IFERROR(__xludf.DUMMYFUNCTION("""COMPUTED_VALUE"""),"Yamboro")</f>
        <v>Yamboro</v>
      </c>
      <c r="BK100" s="40"/>
      <c r="BL100" s="40"/>
    </row>
    <row r="101" spans="1:64" ht="13">
      <c r="A101" s="40"/>
      <c r="B101" s="40" t="str">
        <f ca="1">IFERROR(__xludf.DUMMYFUNCTION("""COMPUTED_VALUE"""),"FORMACIÓN 19//07/2022")</f>
        <v>FORMACIÓN 19//07/2022</v>
      </c>
      <c r="C101" s="40" t="str">
        <f ca="1">IFERROR(__xludf.DUMMYFUNCTION("""COMPUTED_VALUE"""),"DERLY JULIETH SILVA CAMACHO")</f>
        <v>DERLY JULIETH SILVA CAMACHO</v>
      </c>
      <c r="D101" s="40" t="str">
        <f ca="1">IFERROR(__xludf.DUMMYFUNCTION("""COMPUTED_VALUE"""),"CC")</f>
        <v>CC</v>
      </c>
      <c r="E101" s="40">
        <f ca="1">IFERROR(__xludf.DUMMYFUNCTION("""COMPUTED_VALUE"""),1083931277)</f>
        <v>1083931277</v>
      </c>
      <c r="F101" s="40">
        <f ca="1">IFERROR(__xludf.DUMMYFUNCTION("""COMPUTED_VALUE"""),2066212)</f>
        <v>2066212</v>
      </c>
      <c r="G101" s="40" t="str">
        <f ca="1">IFERROR(__xludf.DUMMYFUNCTION("""COMPUTED_VALUE"""),"TÉCNICO")</f>
        <v>TÉCNICO</v>
      </c>
      <c r="H101" s="40" t="str">
        <f ca="1">IFERROR(__xludf.DUMMYFUNCTION("""COMPUTED_VALUE"""),"DIBUJO ARQUITECTÓNICO")</f>
        <v>DIBUJO ARQUITECTÓNICO</v>
      </c>
      <c r="I101" s="40">
        <f ca="1">IFERROR(__xludf.DUMMYFUNCTION("""COMPUTED_VALUE"""),3214215917)</f>
        <v>3214215917</v>
      </c>
      <c r="J101" s="40" t="str">
        <f ca="1">IFERROR(__xludf.DUMMYFUNCTION("""COMPUTED_VALUE"""),"csilvajulieth05@gmail.com")</f>
        <v>csilvajulieth05@gmail.com</v>
      </c>
      <c r="K101" s="40"/>
      <c r="L101" s="40" t="str">
        <f ca="1">IFERROR(__xludf.DUMMYFUNCTION("""COMPUTED_VALUE"""),"NO HA INICIADO ETAPA PRODUCTIVA")</f>
        <v>NO HA INICIADO ETAPA PRODUCTIVA</v>
      </c>
      <c r="M101" s="40"/>
      <c r="N101" s="40"/>
      <c r="O101" s="40"/>
      <c r="P101" s="40"/>
      <c r="Q101" s="40"/>
      <c r="R101" s="140"/>
      <c r="S101" s="140"/>
      <c r="T101" s="40"/>
      <c r="U101" s="40" t="str">
        <f ca="1">IFERROR(__xludf.DUMMYFUNCTION("""COMPUTED_VALUE"""),"JUAN CARLOS GOMEZ")</f>
        <v>JUAN CARLOS GOMEZ</v>
      </c>
      <c r="V101" s="40" t="str">
        <f ca="1">IFERROR(__xludf.DUMMYFUNCTION("""COMPUTED_VALUE"""),"NO tiene seguimiento ...Revisado 08/04/2022")</f>
        <v>NO tiene seguimiento ...Revisado 08/04/2022</v>
      </c>
      <c r="W101" s="40"/>
      <c r="X101" s="40"/>
      <c r="Y101" s="40"/>
      <c r="Z101" s="40"/>
      <c r="AA101" s="40" t="str">
        <f ca="1">IFERROR(__xludf.DUMMYFUNCTION("""COMPUTED_VALUE"""),"Revisado 15/06/2022")</f>
        <v>Revisado 15/06/2022</v>
      </c>
      <c r="AB101" s="40"/>
      <c r="AC101" s="40"/>
      <c r="AD101" s="40"/>
      <c r="AE101" s="40"/>
      <c r="AF101" s="40"/>
      <c r="AG101" s="40"/>
      <c r="AH101" s="40"/>
      <c r="AI101" s="40"/>
      <c r="AJ101" s="40"/>
      <c r="AK101" s="40"/>
      <c r="AL101" s="40"/>
      <c r="AM101" s="40"/>
      <c r="AN101" s="40"/>
      <c r="AO101" s="40"/>
      <c r="AP101" s="40"/>
      <c r="AQ101" s="40"/>
      <c r="AR101" s="40"/>
      <c r="AS101" s="40"/>
      <c r="AT101" s="40"/>
      <c r="AU101" s="40" t="str">
        <f ca="1">IFERROR(__xludf.DUMMYFUNCTION("""COMPUTED_VALUE"""),"Procede_E_P")</f>
        <v>Procede_E_P</v>
      </c>
      <c r="AV101" s="40" t="str">
        <f ca="1">IFERROR(__xludf.DUMMYFUNCTION("""COMPUTED_VALUE"""),"EN FORMACION")</f>
        <v>EN FORMACION</v>
      </c>
      <c r="AW101" s="40" t="str">
        <f ca="1">IFERROR(__xludf.DUMMYFUNCTION("""COMPUTED_VALUE"""),"BIOCONSTRUCCION")</f>
        <v>BIOCONSTRUCCION</v>
      </c>
      <c r="AX101" s="141">
        <f ca="1">IFERROR(__xludf.DUMMYFUNCTION("""COMPUTED_VALUE"""),44848)</f>
        <v>44848</v>
      </c>
      <c r="AY101" s="40">
        <f ca="1">IFERROR(__xludf.DUMMYFUNCTION("""COMPUTED_VALUE"""),0)</f>
        <v>0</v>
      </c>
      <c r="AZ101" s="40">
        <f ca="1">IFERROR(__xludf.DUMMYFUNCTION("""COMPUTED_VALUE"""),1)</f>
        <v>1</v>
      </c>
      <c r="BA101" s="40">
        <f ca="1">IFERROR(__xludf.DUMMYFUNCTION("""COMPUTED_VALUE"""),0)</f>
        <v>0</v>
      </c>
      <c r="BB101" s="40">
        <f ca="1">IFERROR(__xludf.DUMMYFUNCTION("""COMPUTED_VALUE"""),0)</f>
        <v>0</v>
      </c>
      <c r="BC101" s="40">
        <f ca="1">IFERROR(__xludf.DUMMYFUNCTION("""COMPUTED_VALUE"""),1)</f>
        <v>1</v>
      </c>
      <c r="BD101" s="141">
        <f ca="1">IFERROR(__xludf.DUMMYFUNCTION("""COMPUTED_VALUE"""),43934)</f>
        <v>43934</v>
      </c>
      <c r="BE101" s="141">
        <f ca="1">IFERROR(__xludf.DUMMYFUNCTION("""COMPUTED_VALUE"""),44147)</f>
        <v>44147</v>
      </c>
      <c r="BF101" s="141">
        <f ca="1">IFERROR(__xludf.DUMMYFUNCTION("""COMPUTED_VALUE"""),44328)</f>
        <v>44328</v>
      </c>
      <c r="BG101" s="141">
        <f ca="1">IFERROR(__xludf.DUMMYFUNCTION("""COMPUTED_VALUE"""),44877)</f>
        <v>44877</v>
      </c>
      <c r="BH101" s="40" t="str">
        <f ca="1">IFERROR(__xludf.DUMMYFUNCTION("""COMPUTED_VALUE"""),"FINALIZAR FICHA")</f>
        <v>FINALIZAR FICHA</v>
      </c>
      <c r="BI101" s="40" t="str">
        <f ca="1">IFERROR(__xludf.DUMMYFUNCTION("""COMPUTED_VALUE"""),"Terminada por fecha")</f>
        <v>Terminada por fecha</v>
      </c>
      <c r="BJ101" s="40" t="str">
        <f ca="1">IFERROR(__xludf.DUMMYFUNCTION("""COMPUTED_VALUE"""),"Yamboro")</f>
        <v>Yamboro</v>
      </c>
      <c r="BK101" s="40"/>
      <c r="BL101" s="40"/>
    </row>
    <row r="102" spans="1:64" ht="13">
      <c r="A102" s="40"/>
      <c r="B102" s="40" t="str">
        <f ca="1">IFERROR(__xludf.DUMMYFUNCTION("""COMPUTED_VALUE"""),"FORMACIÓN 19//07/2022")</f>
        <v>FORMACIÓN 19//07/2022</v>
      </c>
      <c r="C102" s="40" t="str">
        <f ca="1">IFERROR(__xludf.DUMMYFUNCTION("""COMPUTED_VALUE"""),"JOSE ORLANDO GOMEZ JIMENEZ")</f>
        <v>JOSE ORLANDO GOMEZ JIMENEZ</v>
      </c>
      <c r="D102" s="40" t="str">
        <f ca="1">IFERROR(__xludf.DUMMYFUNCTION("""COMPUTED_VALUE"""),"CC")</f>
        <v>CC</v>
      </c>
      <c r="E102" s="40">
        <f ca="1">IFERROR(__xludf.DUMMYFUNCTION("""COMPUTED_VALUE"""),1084261165)</f>
        <v>1084261165</v>
      </c>
      <c r="F102" s="40">
        <f ca="1">IFERROR(__xludf.DUMMYFUNCTION("""COMPUTED_VALUE"""),2066212)</f>
        <v>2066212</v>
      </c>
      <c r="G102" s="40" t="str">
        <f ca="1">IFERROR(__xludf.DUMMYFUNCTION("""COMPUTED_VALUE"""),"TÉCNICO")</f>
        <v>TÉCNICO</v>
      </c>
      <c r="H102" s="40" t="str">
        <f ca="1">IFERROR(__xludf.DUMMYFUNCTION("""COMPUTED_VALUE"""),"DIBUJO ARQUITECTÓNICO")</f>
        <v>DIBUJO ARQUITECTÓNICO</v>
      </c>
      <c r="I102" s="40"/>
      <c r="J102" s="40" t="str">
        <f ca="1">IFERROR(__xludf.DUMMYFUNCTION("""COMPUTED_VALUE"""),"gjoseorlando@gmail.com")</f>
        <v>gjoseorlando@gmail.com</v>
      </c>
      <c r="K102" s="40"/>
      <c r="L102" s="40" t="str">
        <f ca="1">IFERROR(__xludf.DUMMYFUNCTION("""COMPUTED_VALUE"""),"NO HA INICIADO ETAPA PRODUCTIVA")</f>
        <v>NO HA INICIADO ETAPA PRODUCTIVA</v>
      </c>
      <c r="M102" s="40"/>
      <c r="N102" s="40"/>
      <c r="O102" s="40"/>
      <c r="P102" s="40"/>
      <c r="Q102" s="40"/>
      <c r="R102" s="140"/>
      <c r="S102" s="140"/>
      <c r="T102" s="40" t="str">
        <f ca="1">IFERROR(__xludf.DUMMYFUNCTION("""COMPUTED_VALUE"""),"debe resultados de promover")</f>
        <v>debe resultados de promover</v>
      </c>
      <c r="U102" s="40" t="str">
        <f ca="1">IFERROR(__xludf.DUMMYFUNCTION("""COMPUTED_VALUE"""),"JUAN CARLOS GOMEZ")</f>
        <v>JUAN CARLOS GOMEZ</v>
      </c>
      <c r="V102" s="40" t="str">
        <f ca="1">IFERROR(__xludf.DUMMYFUNCTION("""COMPUTED_VALUE"""),"NO tiene seguimiento ...Revisado 08/04/2022")</f>
        <v>NO tiene seguimiento ...Revisado 08/04/2022</v>
      </c>
      <c r="W102" s="40"/>
      <c r="X102" s="40"/>
      <c r="Y102" s="40"/>
      <c r="Z102" s="40"/>
      <c r="AA102" s="40" t="str">
        <f ca="1">IFERROR(__xludf.DUMMYFUNCTION("""COMPUTED_VALUE"""),"Revisado 15/06/2022")</f>
        <v>Revisado 15/06/2022</v>
      </c>
      <c r="AB102" s="40"/>
      <c r="AC102" s="40"/>
      <c r="AD102" s="40"/>
      <c r="AE102" s="40"/>
      <c r="AF102" s="40"/>
      <c r="AG102" s="40"/>
      <c r="AH102" s="40"/>
      <c r="AI102" s="40"/>
      <c r="AJ102" s="40"/>
      <c r="AK102" s="40"/>
      <c r="AL102" s="40"/>
      <c r="AM102" s="40"/>
      <c r="AN102" s="40"/>
      <c r="AO102" s="40"/>
      <c r="AP102" s="40"/>
      <c r="AQ102" s="40"/>
      <c r="AR102" s="40"/>
      <c r="AS102" s="40"/>
      <c r="AT102" s="40"/>
      <c r="AU102" s="40" t="str">
        <f ca="1">IFERROR(__xludf.DUMMYFUNCTION("""COMPUTED_VALUE"""),"NO_CUMPLE")</f>
        <v>NO_CUMPLE</v>
      </c>
      <c r="AV102" s="40" t="str">
        <f ca="1">IFERROR(__xludf.DUMMYFUNCTION("""COMPUTED_VALUE"""),"EN FORMACION")</f>
        <v>EN FORMACION</v>
      </c>
      <c r="AW102" s="40" t="str">
        <f ca="1">IFERROR(__xludf.DUMMYFUNCTION("""COMPUTED_VALUE"""),"BIOCONSTRUCCION")</f>
        <v>BIOCONSTRUCCION</v>
      </c>
      <c r="AX102" s="141">
        <f ca="1">IFERROR(__xludf.DUMMYFUNCTION("""COMPUTED_VALUE"""),44848)</f>
        <v>44848</v>
      </c>
      <c r="AY102" s="40">
        <f ca="1">IFERROR(__xludf.DUMMYFUNCTION("""COMPUTED_VALUE"""),3)</f>
        <v>3</v>
      </c>
      <c r="AZ102" s="40">
        <f ca="1">IFERROR(__xludf.DUMMYFUNCTION("""COMPUTED_VALUE"""),1)</f>
        <v>1</v>
      </c>
      <c r="BA102" s="40">
        <f ca="1">IFERROR(__xludf.DUMMYFUNCTION("""COMPUTED_VALUE"""),0)</f>
        <v>0</v>
      </c>
      <c r="BB102" s="40">
        <f ca="1">IFERROR(__xludf.DUMMYFUNCTION("""COMPUTED_VALUE"""),0)</f>
        <v>0</v>
      </c>
      <c r="BC102" s="40">
        <f ca="1">IFERROR(__xludf.DUMMYFUNCTION("""COMPUTED_VALUE"""),4)</f>
        <v>4</v>
      </c>
      <c r="BD102" s="141">
        <f ca="1">IFERROR(__xludf.DUMMYFUNCTION("""COMPUTED_VALUE"""),43934)</f>
        <v>43934</v>
      </c>
      <c r="BE102" s="141">
        <f ca="1">IFERROR(__xludf.DUMMYFUNCTION("""COMPUTED_VALUE"""),44147)</f>
        <v>44147</v>
      </c>
      <c r="BF102" s="141">
        <f ca="1">IFERROR(__xludf.DUMMYFUNCTION("""COMPUTED_VALUE"""),44328)</f>
        <v>44328</v>
      </c>
      <c r="BG102" s="141">
        <f ca="1">IFERROR(__xludf.DUMMYFUNCTION("""COMPUTED_VALUE"""),44877)</f>
        <v>44877</v>
      </c>
      <c r="BH102" s="40" t="str">
        <f ca="1">IFERROR(__xludf.DUMMYFUNCTION("""COMPUTED_VALUE"""),"FINALIZAR FICHA")</f>
        <v>FINALIZAR FICHA</v>
      </c>
      <c r="BI102" s="40" t="str">
        <f ca="1">IFERROR(__xludf.DUMMYFUNCTION("""COMPUTED_VALUE"""),"Terminada por fecha")</f>
        <v>Terminada por fecha</v>
      </c>
      <c r="BJ102" s="40" t="str">
        <f ca="1">IFERROR(__xludf.DUMMYFUNCTION("""COMPUTED_VALUE"""),"Yamboro")</f>
        <v>Yamboro</v>
      </c>
      <c r="BK102" s="40"/>
      <c r="BL102" s="40"/>
    </row>
    <row r="103" spans="1:64" ht="13">
      <c r="A103" s="40"/>
      <c r="B103" s="40" t="str">
        <f ca="1">IFERROR(__xludf.DUMMYFUNCTION("""COMPUTED_VALUE"""),"FORMACIÓN 19//07/2022")</f>
        <v>FORMACIÓN 19//07/2022</v>
      </c>
      <c r="C103" s="40" t="str">
        <f ca="1">IFERROR(__xludf.DUMMYFUNCTION("""COMPUTED_VALUE"""),"RUTBEL VELA SARMIENTO")</f>
        <v>RUTBEL VELA SARMIENTO</v>
      </c>
      <c r="D103" s="40" t="str">
        <f ca="1">IFERROR(__xludf.DUMMYFUNCTION("""COMPUTED_VALUE"""),"CC")</f>
        <v>CC</v>
      </c>
      <c r="E103" s="40">
        <f ca="1">IFERROR(__xludf.DUMMYFUNCTION("""COMPUTED_VALUE"""),12258026)</f>
        <v>12258026</v>
      </c>
      <c r="F103" s="40">
        <f ca="1">IFERROR(__xludf.DUMMYFUNCTION("""COMPUTED_VALUE"""),2055235)</f>
        <v>2055235</v>
      </c>
      <c r="G103" s="40" t="str">
        <f ca="1">IFERROR(__xludf.DUMMYFUNCTION("""COMPUTED_VALUE"""),"TÉCNICO")</f>
        <v>TÉCNICO</v>
      </c>
      <c r="H103" s="40" t="str">
        <f ca="1">IFERROR(__xludf.DUMMYFUNCTION("""COMPUTED_VALUE"""),"INSTALACIONES ELECTRICAS RESIDENCIALES")</f>
        <v>INSTALACIONES ELECTRICAS RESIDENCIALES</v>
      </c>
      <c r="I103" s="40">
        <f ca="1">IFERROR(__xludf.DUMMYFUNCTION("""COMPUTED_VALUE"""),3005465656)</f>
        <v>3005465656</v>
      </c>
      <c r="J103" s="40" t="str">
        <f ca="1">IFERROR(__xludf.DUMMYFUNCTION("""COMPUTED_VALUE"""),"royer7704@hotmail.com")</f>
        <v>royer7704@hotmail.com</v>
      </c>
      <c r="K103" s="40"/>
      <c r="L103" s="40" t="str">
        <f ca="1">IFERROR(__xludf.DUMMYFUNCTION("""COMPUTED_VALUE"""),"NO HA INICIADO ETAPA PRODUCTIVA")</f>
        <v>NO HA INICIADO ETAPA PRODUCTIVA</v>
      </c>
      <c r="M103" s="40"/>
      <c r="N103" s="40"/>
      <c r="O103" s="40"/>
      <c r="P103" s="40"/>
      <c r="Q103" s="40"/>
      <c r="R103" s="140"/>
      <c r="S103" s="140"/>
      <c r="T103" s="40"/>
      <c r="U103" s="40"/>
      <c r="V103" s="40"/>
      <c r="W103" s="40"/>
      <c r="X103" s="40"/>
      <c r="Y103" s="40"/>
      <c r="Z103" s="40"/>
      <c r="AA103" s="40" t="str">
        <f ca="1">IFERROR(__xludf.DUMMYFUNCTION("""COMPUTED_VALUE"""),"Revisado 15/06/2022")</f>
        <v>Revisado 15/06/2022</v>
      </c>
      <c r="AB103" s="40"/>
      <c r="AC103" s="40"/>
      <c r="AD103" s="40"/>
      <c r="AE103" s="40"/>
      <c r="AF103" s="40"/>
      <c r="AG103" s="40"/>
      <c r="AH103" s="40"/>
      <c r="AI103" s="40"/>
      <c r="AJ103" s="40"/>
      <c r="AK103" s="40"/>
      <c r="AL103" s="40"/>
      <c r="AM103" s="40"/>
      <c r="AN103" s="40"/>
      <c r="AO103" s="40"/>
      <c r="AP103" s="40"/>
      <c r="AQ103" s="40"/>
      <c r="AR103" s="40"/>
      <c r="AS103" s="40"/>
      <c r="AT103" s="40"/>
      <c r="AU103" s="40" t="str">
        <f ca="1">IFERROR(__xludf.DUMMYFUNCTION("""COMPUTED_VALUE"""),"Procede_E_P")</f>
        <v>Procede_E_P</v>
      </c>
      <c r="AV103" s="40" t="str">
        <f ca="1">IFERROR(__xludf.DUMMYFUNCTION("""COMPUTED_VALUE"""),"EN FORMACION")</f>
        <v>EN FORMACION</v>
      </c>
      <c r="AW103" s="40" t="str">
        <f ca="1">IFERROR(__xludf.DUMMYFUNCTION("""COMPUTED_VALUE"""),"BIOCONSTRUCCION")</f>
        <v>BIOCONSTRUCCION</v>
      </c>
      <c r="AX103" s="141">
        <f ca="1">IFERROR(__xludf.DUMMYFUNCTION("""COMPUTED_VALUE"""),44848)</f>
        <v>44848</v>
      </c>
      <c r="AY103" s="40">
        <f ca="1">IFERROR(__xludf.DUMMYFUNCTION("""COMPUTED_VALUE"""),0)</f>
        <v>0</v>
      </c>
      <c r="AZ103" s="40">
        <f ca="1">IFERROR(__xludf.DUMMYFUNCTION("""COMPUTED_VALUE"""),1)</f>
        <v>1</v>
      </c>
      <c r="BA103" s="40">
        <f ca="1">IFERROR(__xludf.DUMMYFUNCTION("""COMPUTED_VALUE"""),0)</f>
        <v>0</v>
      </c>
      <c r="BB103" s="40">
        <f ca="1">IFERROR(__xludf.DUMMYFUNCTION("""COMPUTED_VALUE"""),0)</f>
        <v>0</v>
      </c>
      <c r="BC103" s="40">
        <f ca="1">IFERROR(__xludf.DUMMYFUNCTION("""COMPUTED_VALUE"""),1)</f>
        <v>1</v>
      </c>
      <c r="BD103" s="141">
        <f ca="1">IFERROR(__xludf.DUMMYFUNCTION("""COMPUTED_VALUE"""),43801)</f>
        <v>43801</v>
      </c>
      <c r="BE103" s="141">
        <f ca="1">IFERROR(__xludf.DUMMYFUNCTION("""COMPUTED_VALUE"""),44105)</f>
        <v>44105</v>
      </c>
      <c r="BF103" s="141">
        <f ca="1">IFERROR(__xludf.DUMMYFUNCTION("""COMPUTED_VALUE"""),44287)</f>
        <v>44287</v>
      </c>
      <c r="BG103" s="141">
        <f ca="1">IFERROR(__xludf.DUMMYFUNCTION("""COMPUTED_VALUE"""),44835)</f>
        <v>44835</v>
      </c>
      <c r="BH103" s="40" t="str">
        <f ca="1">IFERROR(__xludf.DUMMYFUNCTION("""COMPUTED_VALUE"""),"FINALIZAR FICHA")</f>
        <v>FINALIZAR FICHA</v>
      </c>
      <c r="BI103" s="40" t="str">
        <f ca="1">IFERROR(__xludf.DUMMYFUNCTION("""COMPUTED_VALUE"""),"Terminada por fecha")</f>
        <v>Terminada por fecha</v>
      </c>
      <c r="BJ103" s="40" t="str">
        <f ca="1">IFERROR(__xludf.DUMMYFUNCTION("""COMPUTED_VALUE"""),"Yamboro")</f>
        <v>Yamboro</v>
      </c>
      <c r="BK103" s="40"/>
      <c r="BL103" s="40"/>
    </row>
    <row r="104" spans="1:64" ht="13">
      <c r="A104" s="40"/>
      <c r="B104" s="40" t="str">
        <f ca="1">IFERROR(__xludf.DUMMYFUNCTION("""COMPUTED_VALUE"""),"FORMACIÓN 19//07/2022")</f>
        <v>FORMACIÓN 19//07/2022</v>
      </c>
      <c r="C104" s="40" t="str">
        <f ca="1">IFERROR(__xludf.DUMMYFUNCTION("""COMPUTED_VALUE"""),"LISARDO MACIAS")</f>
        <v>LISARDO MACIAS</v>
      </c>
      <c r="D104" s="40" t="str">
        <f ca="1">IFERROR(__xludf.DUMMYFUNCTION("""COMPUTED_VALUE"""),"CC")</f>
        <v>CC</v>
      </c>
      <c r="E104" s="40">
        <f ca="1">IFERROR(__xludf.DUMMYFUNCTION("""COMPUTED_VALUE"""),12263056)</f>
        <v>12263056</v>
      </c>
      <c r="F104" s="40">
        <f ca="1">IFERROR(__xludf.DUMMYFUNCTION("""COMPUTED_VALUE"""),2055235)</f>
        <v>2055235</v>
      </c>
      <c r="G104" s="40" t="str">
        <f ca="1">IFERROR(__xludf.DUMMYFUNCTION("""COMPUTED_VALUE"""),"TÉCNICO")</f>
        <v>TÉCNICO</v>
      </c>
      <c r="H104" s="40" t="str">
        <f ca="1">IFERROR(__xludf.DUMMYFUNCTION("""COMPUTED_VALUE"""),"INSTALACIONES ELECTRICAS RESIDENCIALES")</f>
        <v>INSTALACIONES ELECTRICAS RESIDENCIALES</v>
      </c>
      <c r="I104" s="40">
        <f ca="1">IFERROR(__xludf.DUMMYFUNCTION("""COMPUTED_VALUE"""),3144450258)</f>
        <v>3144450258</v>
      </c>
      <c r="J104" s="40" t="str">
        <f ca="1">IFERROR(__xludf.DUMMYFUNCTION("""COMPUTED_VALUE"""),"Massi122630@gmail.com")</f>
        <v>Massi122630@gmail.com</v>
      </c>
      <c r="K104" s="40" t="str">
        <f ca="1">IFERROR(__xludf.DUMMYFUNCTION("""COMPUTED_VALUE"""),"PITALITO")</f>
        <v>PITALITO</v>
      </c>
      <c r="L104" s="40" t="str">
        <f ca="1">IFERROR(__xludf.DUMMYFUNCTION("""COMPUTED_VALUE"""),"NO HA INICIADO ETAPA PRODUCTIVA")</f>
        <v>NO HA INICIADO ETAPA PRODUCTIVA</v>
      </c>
      <c r="M104" s="40"/>
      <c r="N104" s="40"/>
      <c r="O104" s="40"/>
      <c r="P104" s="40"/>
      <c r="Q104" s="40"/>
      <c r="R104" s="140"/>
      <c r="S104" s="140"/>
      <c r="T104" s="40"/>
      <c r="U104" s="40"/>
      <c r="V104" s="40"/>
      <c r="W104" s="40"/>
      <c r="X104" s="40"/>
      <c r="Y104" s="40"/>
      <c r="Z104" s="40"/>
      <c r="AA104" s="40" t="str">
        <f ca="1">IFERROR(__xludf.DUMMYFUNCTION("""COMPUTED_VALUE"""),"Revisado 15/06/2022")</f>
        <v>Revisado 15/06/2022</v>
      </c>
      <c r="AB104" s="40"/>
      <c r="AC104" s="40"/>
      <c r="AD104" s="40"/>
      <c r="AE104" s="40"/>
      <c r="AF104" s="40"/>
      <c r="AG104" s="40"/>
      <c r="AH104" s="40"/>
      <c r="AI104" s="40"/>
      <c r="AJ104" s="40"/>
      <c r="AK104" s="40"/>
      <c r="AL104" s="40"/>
      <c r="AM104" s="40"/>
      <c r="AN104" s="40"/>
      <c r="AO104" s="40"/>
      <c r="AP104" s="40"/>
      <c r="AQ104" s="40"/>
      <c r="AR104" s="40"/>
      <c r="AS104" s="40"/>
      <c r="AT104" s="40"/>
      <c r="AU104" s="40" t="str">
        <f ca="1">IFERROR(__xludf.DUMMYFUNCTION("""COMPUTED_VALUE"""),"Procede_E_P")</f>
        <v>Procede_E_P</v>
      </c>
      <c r="AV104" s="40" t="str">
        <f ca="1">IFERROR(__xludf.DUMMYFUNCTION("""COMPUTED_VALUE"""),"EN FORMACION")</f>
        <v>EN FORMACION</v>
      </c>
      <c r="AW104" s="40" t="str">
        <f ca="1">IFERROR(__xludf.DUMMYFUNCTION("""COMPUTED_VALUE"""),"BIOCONSTRUCCION")</f>
        <v>BIOCONSTRUCCION</v>
      </c>
      <c r="AX104" s="141">
        <f ca="1">IFERROR(__xludf.DUMMYFUNCTION("""COMPUTED_VALUE"""),44848)</f>
        <v>44848</v>
      </c>
      <c r="AY104" s="40">
        <f ca="1">IFERROR(__xludf.DUMMYFUNCTION("""COMPUTED_VALUE"""),0)</f>
        <v>0</v>
      </c>
      <c r="AZ104" s="40">
        <f ca="1">IFERROR(__xludf.DUMMYFUNCTION("""COMPUTED_VALUE"""),1)</f>
        <v>1</v>
      </c>
      <c r="BA104" s="40">
        <f ca="1">IFERROR(__xludf.DUMMYFUNCTION("""COMPUTED_VALUE"""),0)</f>
        <v>0</v>
      </c>
      <c r="BB104" s="40">
        <f ca="1">IFERROR(__xludf.DUMMYFUNCTION("""COMPUTED_VALUE"""),0)</f>
        <v>0</v>
      </c>
      <c r="BC104" s="40">
        <f ca="1">IFERROR(__xludf.DUMMYFUNCTION("""COMPUTED_VALUE"""),1)</f>
        <v>1</v>
      </c>
      <c r="BD104" s="141">
        <f ca="1">IFERROR(__xludf.DUMMYFUNCTION("""COMPUTED_VALUE"""),43801)</f>
        <v>43801</v>
      </c>
      <c r="BE104" s="141">
        <f ca="1">IFERROR(__xludf.DUMMYFUNCTION("""COMPUTED_VALUE"""),44105)</f>
        <v>44105</v>
      </c>
      <c r="BF104" s="141">
        <f ca="1">IFERROR(__xludf.DUMMYFUNCTION("""COMPUTED_VALUE"""),44287)</f>
        <v>44287</v>
      </c>
      <c r="BG104" s="141">
        <f ca="1">IFERROR(__xludf.DUMMYFUNCTION("""COMPUTED_VALUE"""),44835)</f>
        <v>44835</v>
      </c>
      <c r="BH104" s="40" t="str">
        <f ca="1">IFERROR(__xludf.DUMMYFUNCTION("""COMPUTED_VALUE"""),"FINALIZAR FICHA")</f>
        <v>FINALIZAR FICHA</v>
      </c>
      <c r="BI104" s="40" t="str">
        <f ca="1">IFERROR(__xludf.DUMMYFUNCTION("""COMPUTED_VALUE"""),"Terminada por fecha")</f>
        <v>Terminada por fecha</v>
      </c>
      <c r="BJ104" s="40" t="str">
        <f ca="1">IFERROR(__xludf.DUMMYFUNCTION("""COMPUTED_VALUE"""),"Yamboro")</f>
        <v>Yamboro</v>
      </c>
      <c r="BK104" s="40"/>
      <c r="BL104" s="40"/>
    </row>
    <row r="105" spans="1:64" ht="13">
      <c r="A105" s="40"/>
      <c r="B105" s="40" t="str">
        <f ca="1">IFERROR(__xludf.DUMMYFUNCTION("""COMPUTED_VALUE"""),"FORMACIÓN 19//07/2022")</f>
        <v>FORMACIÓN 19//07/2022</v>
      </c>
      <c r="C105" s="40" t="str">
        <f ca="1">IFERROR(__xludf.DUMMYFUNCTION("""COMPUTED_VALUE"""),"HENRY PARDO ÑAÑEZ")</f>
        <v>HENRY PARDO ÑAÑEZ</v>
      </c>
      <c r="D105" s="40" t="str">
        <f ca="1">IFERROR(__xludf.DUMMYFUNCTION("""COMPUTED_VALUE"""),"CC")</f>
        <v>CC</v>
      </c>
      <c r="E105" s="40">
        <f ca="1">IFERROR(__xludf.DUMMYFUNCTION("""COMPUTED_VALUE"""),12263823)</f>
        <v>12263823</v>
      </c>
      <c r="F105" s="40">
        <f ca="1">IFERROR(__xludf.DUMMYFUNCTION("""COMPUTED_VALUE"""),2055235)</f>
        <v>2055235</v>
      </c>
      <c r="G105" s="40" t="str">
        <f ca="1">IFERROR(__xludf.DUMMYFUNCTION("""COMPUTED_VALUE"""),"TÉCNICO")</f>
        <v>TÉCNICO</v>
      </c>
      <c r="H105" s="40" t="str">
        <f ca="1">IFERROR(__xludf.DUMMYFUNCTION("""COMPUTED_VALUE"""),"INSTALACIONES ELECTRICAS RESIDENCIALES")</f>
        <v>INSTALACIONES ELECTRICAS RESIDENCIALES</v>
      </c>
      <c r="I105" s="40"/>
      <c r="J105" s="40" t="str">
        <f ca="1">IFERROR(__xludf.DUMMYFUNCTION("""COMPUTED_VALUE"""),"crear@gmail.com")</f>
        <v>crear@gmail.com</v>
      </c>
      <c r="K105" s="40"/>
      <c r="L105" s="40" t="str">
        <f ca="1">IFERROR(__xludf.DUMMYFUNCTION("""COMPUTED_VALUE"""),"NO HA INICIADO ETAPA PRODUCTIVA")</f>
        <v>NO HA INICIADO ETAPA PRODUCTIVA</v>
      </c>
      <c r="M105" s="40"/>
      <c r="N105" s="40"/>
      <c r="O105" s="40"/>
      <c r="P105" s="40"/>
      <c r="Q105" s="40"/>
      <c r="R105" s="140"/>
      <c r="S105" s="140"/>
      <c r="T105" s="40"/>
      <c r="U105" s="40"/>
      <c r="V105" s="40"/>
      <c r="W105" s="40"/>
      <c r="X105" s="40"/>
      <c r="Y105" s="40"/>
      <c r="Z105" s="40"/>
      <c r="AA105" s="40" t="str">
        <f ca="1">IFERROR(__xludf.DUMMYFUNCTION("""COMPUTED_VALUE"""),"Revisado 15/06/2022")</f>
        <v>Revisado 15/06/2022</v>
      </c>
      <c r="AB105" s="40"/>
      <c r="AC105" s="40"/>
      <c r="AD105" s="40"/>
      <c r="AE105" s="40"/>
      <c r="AF105" s="40"/>
      <c r="AG105" s="40"/>
      <c r="AH105" s="40"/>
      <c r="AI105" s="40"/>
      <c r="AJ105" s="40"/>
      <c r="AK105" s="40"/>
      <c r="AL105" s="40"/>
      <c r="AM105" s="40"/>
      <c r="AN105" s="40"/>
      <c r="AO105" s="40"/>
      <c r="AP105" s="40"/>
      <c r="AQ105" s="40"/>
      <c r="AR105" s="40"/>
      <c r="AS105" s="40"/>
      <c r="AT105" s="40"/>
      <c r="AU105" s="40" t="str">
        <f ca="1">IFERROR(__xludf.DUMMYFUNCTION("""COMPUTED_VALUE"""),"Procede_E_P")</f>
        <v>Procede_E_P</v>
      </c>
      <c r="AV105" s="40" t="str">
        <f ca="1">IFERROR(__xludf.DUMMYFUNCTION("""COMPUTED_VALUE"""),"EN FORMACION")</f>
        <v>EN FORMACION</v>
      </c>
      <c r="AW105" s="40" t="str">
        <f ca="1">IFERROR(__xludf.DUMMYFUNCTION("""COMPUTED_VALUE"""),"BIOCONSTRUCCION")</f>
        <v>BIOCONSTRUCCION</v>
      </c>
      <c r="AX105" s="141">
        <f ca="1">IFERROR(__xludf.DUMMYFUNCTION("""COMPUTED_VALUE"""),44848)</f>
        <v>44848</v>
      </c>
      <c r="AY105" s="40">
        <f ca="1">IFERROR(__xludf.DUMMYFUNCTION("""COMPUTED_VALUE"""),0)</f>
        <v>0</v>
      </c>
      <c r="AZ105" s="40">
        <f ca="1">IFERROR(__xludf.DUMMYFUNCTION("""COMPUTED_VALUE"""),1)</f>
        <v>1</v>
      </c>
      <c r="BA105" s="40">
        <f ca="1">IFERROR(__xludf.DUMMYFUNCTION("""COMPUTED_VALUE"""),0)</f>
        <v>0</v>
      </c>
      <c r="BB105" s="40">
        <f ca="1">IFERROR(__xludf.DUMMYFUNCTION("""COMPUTED_VALUE"""),0)</f>
        <v>0</v>
      </c>
      <c r="BC105" s="40">
        <f ca="1">IFERROR(__xludf.DUMMYFUNCTION("""COMPUTED_VALUE"""),1)</f>
        <v>1</v>
      </c>
      <c r="BD105" s="141">
        <f ca="1">IFERROR(__xludf.DUMMYFUNCTION("""COMPUTED_VALUE"""),43801)</f>
        <v>43801</v>
      </c>
      <c r="BE105" s="141">
        <f ca="1">IFERROR(__xludf.DUMMYFUNCTION("""COMPUTED_VALUE"""),44105)</f>
        <v>44105</v>
      </c>
      <c r="BF105" s="141">
        <f ca="1">IFERROR(__xludf.DUMMYFUNCTION("""COMPUTED_VALUE"""),44287)</f>
        <v>44287</v>
      </c>
      <c r="BG105" s="141">
        <f ca="1">IFERROR(__xludf.DUMMYFUNCTION("""COMPUTED_VALUE"""),44835)</f>
        <v>44835</v>
      </c>
      <c r="BH105" s="40" t="str">
        <f ca="1">IFERROR(__xludf.DUMMYFUNCTION("""COMPUTED_VALUE"""),"FINALIZAR FICHA")</f>
        <v>FINALIZAR FICHA</v>
      </c>
      <c r="BI105" s="40" t="str">
        <f ca="1">IFERROR(__xludf.DUMMYFUNCTION("""COMPUTED_VALUE"""),"Terminada por fecha")</f>
        <v>Terminada por fecha</v>
      </c>
      <c r="BJ105" s="40" t="str">
        <f ca="1">IFERROR(__xludf.DUMMYFUNCTION("""COMPUTED_VALUE"""),"Yamboro")</f>
        <v>Yamboro</v>
      </c>
      <c r="BK105" s="40"/>
      <c r="BL105" s="40"/>
    </row>
    <row r="106" spans="1:64" ht="13">
      <c r="A106" s="40"/>
      <c r="B106" s="40" t="str">
        <f ca="1">IFERROR(__xludf.DUMMYFUNCTION("""COMPUTED_VALUE"""),"FORMACIÓN 19//07/2022")</f>
        <v>FORMACIÓN 19//07/2022</v>
      </c>
      <c r="C106" s="40" t="str">
        <f ca="1">IFERROR(__xludf.DUMMYFUNCTION("""COMPUTED_VALUE"""),"JHON DAVID BOLAÑOS BURBANO")</f>
        <v>JHON DAVID BOLAÑOS BURBANO</v>
      </c>
      <c r="D106" s="40" t="str">
        <f ca="1">IFERROR(__xludf.DUMMYFUNCTION("""COMPUTED_VALUE"""),"CC")</f>
        <v>CC</v>
      </c>
      <c r="E106" s="40">
        <f ca="1">IFERROR(__xludf.DUMMYFUNCTION("""COMPUTED_VALUE"""),12264076)</f>
        <v>12264076</v>
      </c>
      <c r="F106" s="40">
        <f ca="1">IFERROR(__xludf.DUMMYFUNCTION("""COMPUTED_VALUE"""),2055235)</f>
        <v>2055235</v>
      </c>
      <c r="G106" s="40" t="str">
        <f ca="1">IFERROR(__xludf.DUMMYFUNCTION("""COMPUTED_VALUE"""),"TÉCNICO")</f>
        <v>TÉCNICO</v>
      </c>
      <c r="H106" s="40" t="str">
        <f ca="1">IFERROR(__xludf.DUMMYFUNCTION("""COMPUTED_VALUE"""),"INSTALACIONES ELECTRICAS RESIDENCIALES")</f>
        <v>INSTALACIONES ELECTRICAS RESIDENCIALES</v>
      </c>
      <c r="I106" s="40"/>
      <c r="J106" s="40" t="str">
        <f ca="1">IFERROR(__xludf.DUMMYFUNCTION("""COMPUTED_VALUE"""),"jhodabos@hotmail.com")</f>
        <v>jhodabos@hotmail.com</v>
      </c>
      <c r="K106" s="40"/>
      <c r="L106" s="40" t="str">
        <f ca="1">IFERROR(__xludf.DUMMYFUNCTION("""COMPUTED_VALUE"""),"NO HA INICIADO ETAPA PRODUCTIVA")</f>
        <v>NO HA INICIADO ETAPA PRODUCTIVA</v>
      </c>
      <c r="M106" s="40"/>
      <c r="N106" s="40"/>
      <c r="O106" s="40"/>
      <c r="P106" s="40"/>
      <c r="Q106" s="40"/>
      <c r="R106" s="140"/>
      <c r="S106" s="140"/>
      <c r="T106" s="40"/>
      <c r="U106" s="40"/>
      <c r="V106" s="40"/>
      <c r="W106" s="40"/>
      <c r="X106" s="40"/>
      <c r="Y106" s="40"/>
      <c r="Z106" s="40"/>
      <c r="AA106" s="40" t="str">
        <f ca="1">IFERROR(__xludf.DUMMYFUNCTION("""COMPUTED_VALUE"""),"Revisado 15/06/2022")</f>
        <v>Revisado 15/06/2022</v>
      </c>
      <c r="AB106" s="40"/>
      <c r="AC106" s="40"/>
      <c r="AD106" s="40"/>
      <c r="AE106" s="40"/>
      <c r="AF106" s="40"/>
      <c r="AG106" s="40"/>
      <c r="AH106" s="40"/>
      <c r="AI106" s="40"/>
      <c r="AJ106" s="40"/>
      <c r="AK106" s="40"/>
      <c r="AL106" s="40"/>
      <c r="AM106" s="40"/>
      <c r="AN106" s="40"/>
      <c r="AO106" s="40"/>
      <c r="AP106" s="40"/>
      <c r="AQ106" s="40"/>
      <c r="AR106" s="40"/>
      <c r="AS106" s="40"/>
      <c r="AT106" s="40"/>
      <c r="AU106" s="40" t="str">
        <f ca="1">IFERROR(__xludf.DUMMYFUNCTION("""COMPUTED_VALUE"""),"Procede_E_P")</f>
        <v>Procede_E_P</v>
      </c>
      <c r="AV106" s="40" t="str">
        <f ca="1">IFERROR(__xludf.DUMMYFUNCTION("""COMPUTED_VALUE"""),"EN FORMACION")</f>
        <v>EN FORMACION</v>
      </c>
      <c r="AW106" s="40" t="str">
        <f ca="1">IFERROR(__xludf.DUMMYFUNCTION("""COMPUTED_VALUE"""),"BIOCONSTRUCCION")</f>
        <v>BIOCONSTRUCCION</v>
      </c>
      <c r="AX106" s="141">
        <f ca="1">IFERROR(__xludf.DUMMYFUNCTION("""COMPUTED_VALUE"""),44848)</f>
        <v>44848</v>
      </c>
      <c r="AY106" s="40">
        <f ca="1">IFERROR(__xludf.DUMMYFUNCTION("""COMPUTED_VALUE"""),0)</f>
        <v>0</v>
      </c>
      <c r="AZ106" s="40">
        <f ca="1">IFERROR(__xludf.DUMMYFUNCTION("""COMPUTED_VALUE"""),1)</f>
        <v>1</v>
      </c>
      <c r="BA106" s="40">
        <f ca="1">IFERROR(__xludf.DUMMYFUNCTION("""COMPUTED_VALUE"""),0)</f>
        <v>0</v>
      </c>
      <c r="BB106" s="40">
        <f ca="1">IFERROR(__xludf.DUMMYFUNCTION("""COMPUTED_VALUE"""),0)</f>
        <v>0</v>
      </c>
      <c r="BC106" s="40">
        <f ca="1">IFERROR(__xludf.DUMMYFUNCTION("""COMPUTED_VALUE"""),1)</f>
        <v>1</v>
      </c>
      <c r="BD106" s="141">
        <f ca="1">IFERROR(__xludf.DUMMYFUNCTION("""COMPUTED_VALUE"""),43801)</f>
        <v>43801</v>
      </c>
      <c r="BE106" s="141">
        <f ca="1">IFERROR(__xludf.DUMMYFUNCTION("""COMPUTED_VALUE"""),44105)</f>
        <v>44105</v>
      </c>
      <c r="BF106" s="141">
        <f ca="1">IFERROR(__xludf.DUMMYFUNCTION("""COMPUTED_VALUE"""),44287)</f>
        <v>44287</v>
      </c>
      <c r="BG106" s="141">
        <f ca="1">IFERROR(__xludf.DUMMYFUNCTION("""COMPUTED_VALUE"""),44835)</f>
        <v>44835</v>
      </c>
      <c r="BH106" s="40" t="str">
        <f ca="1">IFERROR(__xludf.DUMMYFUNCTION("""COMPUTED_VALUE"""),"FINALIZAR FICHA")</f>
        <v>FINALIZAR FICHA</v>
      </c>
      <c r="BI106" s="40" t="str">
        <f ca="1">IFERROR(__xludf.DUMMYFUNCTION("""COMPUTED_VALUE"""),"Terminada por fecha")</f>
        <v>Terminada por fecha</v>
      </c>
      <c r="BJ106" s="40" t="str">
        <f ca="1">IFERROR(__xludf.DUMMYFUNCTION("""COMPUTED_VALUE"""),"Yamboro")</f>
        <v>Yamboro</v>
      </c>
      <c r="BK106" s="40"/>
      <c r="BL106" s="40"/>
    </row>
    <row r="107" spans="1:64" ht="13">
      <c r="A107" s="40"/>
      <c r="B107" s="40" t="str">
        <f ca="1">IFERROR(__xludf.DUMMYFUNCTION("""COMPUTED_VALUE"""),"FORMACIÓN 19//07/2022")</f>
        <v>FORMACIÓN 19//07/2022</v>
      </c>
      <c r="C107" s="40" t="str">
        <f ca="1">IFERROR(__xludf.DUMMYFUNCTION("""COMPUTED_VALUE"""),"EMIRO GASCA VALENCIA")</f>
        <v>EMIRO GASCA VALENCIA</v>
      </c>
      <c r="D107" s="40" t="str">
        <f ca="1">IFERROR(__xludf.DUMMYFUNCTION("""COMPUTED_VALUE"""),"CC")</f>
        <v>CC</v>
      </c>
      <c r="E107" s="40">
        <f ca="1">IFERROR(__xludf.DUMMYFUNCTION("""COMPUTED_VALUE"""),16189172)</f>
        <v>16189172</v>
      </c>
      <c r="F107" s="40">
        <f ca="1">IFERROR(__xludf.DUMMYFUNCTION("""COMPUTED_VALUE"""),2055235)</f>
        <v>2055235</v>
      </c>
      <c r="G107" s="40" t="str">
        <f ca="1">IFERROR(__xludf.DUMMYFUNCTION("""COMPUTED_VALUE"""),"TÉCNICO")</f>
        <v>TÉCNICO</v>
      </c>
      <c r="H107" s="40" t="str">
        <f ca="1">IFERROR(__xludf.DUMMYFUNCTION("""COMPUTED_VALUE"""),"INSTALACIONES ELECTRICAS RESIDENCIALES")</f>
        <v>INSTALACIONES ELECTRICAS RESIDENCIALES</v>
      </c>
      <c r="I107" s="40">
        <f ca="1">IFERROR(__xludf.DUMMYFUNCTION("""COMPUTED_VALUE"""),3124113387)</f>
        <v>3124113387</v>
      </c>
      <c r="J107" s="40" t="str">
        <f ca="1">IFERROR(__xludf.DUMMYFUNCTION("""COMPUTED_VALUE"""),"gascavalencia123@gmail.com")</f>
        <v>gascavalencia123@gmail.com</v>
      </c>
      <c r="K107" s="40" t="str">
        <f ca="1">IFERROR(__xludf.DUMMYFUNCTION("""COMPUTED_VALUE"""),"PITALITO")</f>
        <v>PITALITO</v>
      </c>
      <c r="L107" s="40" t="str">
        <f ca="1">IFERROR(__xludf.DUMMYFUNCTION("""COMPUTED_VALUE"""),"NO HA INICIADO ETAPA PRODUCTIVA")</f>
        <v>NO HA INICIADO ETAPA PRODUCTIVA</v>
      </c>
      <c r="M107" s="40"/>
      <c r="N107" s="40"/>
      <c r="O107" s="40"/>
      <c r="P107" s="40"/>
      <c r="Q107" s="40"/>
      <c r="R107" s="140"/>
      <c r="S107" s="140"/>
      <c r="T107" s="40"/>
      <c r="U107" s="40"/>
      <c r="V107" s="40"/>
      <c r="W107" s="40"/>
      <c r="X107" s="40"/>
      <c r="Y107" s="40"/>
      <c r="Z107" s="40"/>
      <c r="AA107" s="40" t="str">
        <f ca="1">IFERROR(__xludf.DUMMYFUNCTION("""COMPUTED_VALUE"""),"Revisado 15/06/2022")</f>
        <v>Revisado 15/06/2022</v>
      </c>
      <c r="AB107" s="40"/>
      <c r="AC107" s="40"/>
      <c r="AD107" s="40"/>
      <c r="AE107" s="40"/>
      <c r="AF107" s="40"/>
      <c r="AG107" s="40"/>
      <c r="AH107" s="40"/>
      <c r="AI107" s="40"/>
      <c r="AJ107" s="40"/>
      <c r="AK107" s="40"/>
      <c r="AL107" s="40"/>
      <c r="AM107" s="40"/>
      <c r="AN107" s="40"/>
      <c r="AO107" s="40"/>
      <c r="AP107" s="40"/>
      <c r="AQ107" s="40"/>
      <c r="AR107" s="40"/>
      <c r="AS107" s="40"/>
      <c r="AT107" s="40"/>
      <c r="AU107" s="40" t="str">
        <f ca="1">IFERROR(__xludf.DUMMYFUNCTION("""COMPUTED_VALUE"""),"Procede_E_P")</f>
        <v>Procede_E_P</v>
      </c>
      <c r="AV107" s="40" t="str">
        <f ca="1">IFERROR(__xludf.DUMMYFUNCTION("""COMPUTED_VALUE"""),"EN FORMACION")</f>
        <v>EN FORMACION</v>
      </c>
      <c r="AW107" s="40" t="str">
        <f ca="1">IFERROR(__xludf.DUMMYFUNCTION("""COMPUTED_VALUE"""),"BIOCONSTRUCCION")</f>
        <v>BIOCONSTRUCCION</v>
      </c>
      <c r="AX107" s="141">
        <f ca="1">IFERROR(__xludf.DUMMYFUNCTION("""COMPUTED_VALUE"""),44848)</f>
        <v>44848</v>
      </c>
      <c r="AY107" s="40">
        <f ca="1">IFERROR(__xludf.DUMMYFUNCTION("""COMPUTED_VALUE"""),0)</f>
        <v>0</v>
      </c>
      <c r="AZ107" s="40">
        <f ca="1">IFERROR(__xludf.DUMMYFUNCTION("""COMPUTED_VALUE"""),1)</f>
        <v>1</v>
      </c>
      <c r="BA107" s="40">
        <f ca="1">IFERROR(__xludf.DUMMYFUNCTION("""COMPUTED_VALUE"""),0)</f>
        <v>0</v>
      </c>
      <c r="BB107" s="40">
        <f ca="1">IFERROR(__xludf.DUMMYFUNCTION("""COMPUTED_VALUE"""),0)</f>
        <v>0</v>
      </c>
      <c r="BC107" s="40">
        <f ca="1">IFERROR(__xludf.DUMMYFUNCTION("""COMPUTED_VALUE"""),1)</f>
        <v>1</v>
      </c>
      <c r="BD107" s="141">
        <f ca="1">IFERROR(__xludf.DUMMYFUNCTION("""COMPUTED_VALUE"""),43801)</f>
        <v>43801</v>
      </c>
      <c r="BE107" s="141">
        <f ca="1">IFERROR(__xludf.DUMMYFUNCTION("""COMPUTED_VALUE"""),44105)</f>
        <v>44105</v>
      </c>
      <c r="BF107" s="141">
        <f ca="1">IFERROR(__xludf.DUMMYFUNCTION("""COMPUTED_VALUE"""),44287)</f>
        <v>44287</v>
      </c>
      <c r="BG107" s="141">
        <f ca="1">IFERROR(__xludf.DUMMYFUNCTION("""COMPUTED_VALUE"""),44835)</f>
        <v>44835</v>
      </c>
      <c r="BH107" s="40" t="str">
        <f ca="1">IFERROR(__xludf.DUMMYFUNCTION("""COMPUTED_VALUE"""),"FINALIZAR FICHA")</f>
        <v>FINALIZAR FICHA</v>
      </c>
      <c r="BI107" s="40" t="str">
        <f ca="1">IFERROR(__xludf.DUMMYFUNCTION("""COMPUTED_VALUE"""),"Terminada por fecha")</f>
        <v>Terminada por fecha</v>
      </c>
      <c r="BJ107" s="40" t="str">
        <f ca="1">IFERROR(__xludf.DUMMYFUNCTION("""COMPUTED_VALUE"""),"Yamboro")</f>
        <v>Yamboro</v>
      </c>
      <c r="BK107" s="40"/>
      <c r="BL107" s="40"/>
    </row>
    <row r="108" spans="1:64" ht="13">
      <c r="A108" s="40"/>
      <c r="B108" s="40" t="str">
        <f ca="1">IFERROR(__xludf.DUMMYFUNCTION("""COMPUTED_VALUE"""),"FORMACIÓN 19//07/2022")</f>
        <v>FORMACIÓN 19//07/2022</v>
      </c>
      <c r="C108" s="40" t="str">
        <f ca="1">IFERROR(__xludf.DUMMYFUNCTION("""COMPUTED_VALUE"""),"ARLLENSON NIEVA CUADROS")</f>
        <v>ARLLENSON NIEVA CUADROS</v>
      </c>
      <c r="D108" s="40" t="str">
        <f ca="1">IFERROR(__xludf.DUMMYFUNCTION("""COMPUTED_VALUE"""),"CC")</f>
        <v>CC</v>
      </c>
      <c r="E108" s="40">
        <f ca="1">IFERROR(__xludf.DUMMYFUNCTION("""COMPUTED_VALUE"""),16931369)</f>
        <v>16931369</v>
      </c>
      <c r="F108" s="40">
        <f ca="1">IFERROR(__xludf.DUMMYFUNCTION("""COMPUTED_VALUE"""),2055235)</f>
        <v>2055235</v>
      </c>
      <c r="G108" s="40" t="str">
        <f ca="1">IFERROR(__xludf.DUMMYFUNCTION("""COMPUTED_VALUE"""),"TÉCNICO")</f>
        <v>TÉCNICO</v>
      </c>
      <c r="H108" s="40" t="str">
        <f ca="1">IFERROR(__xludf.DUMMYFUNCTION("""COMPUTED_VALUE"""),"INSTALACIONES ELECTRICAS RESIDENCIALES")</f>
        <v>INSTALACIONES ELECTRICAS RESIDENCIALES</v>
      </c>
      <c r="I108" s="40"/>
      <c r="J108" s="40" t="str">
        <f ca="1">IFERROR(__xludf.DUMMYFUNCTION("""COMPUTED_VALUE"""),"arllensonnievacuadros@gmail.com")</f>
        <v>arllensonnievacuadros@gmail.com</v>
      </c>
      <c r="K108" s="40"/>
      <c r="L108" s="40" t="str">
        <f ca="1">IFERROR(__xludf.DUMMYFUNCTION("""COMPUTED_VALUE"""),"NO HA INICIADO ETAPA PRODUCTIVA")</f>
        <v>NO HA INICIADO ETAPA PRODUCTIVA</v>
      </c>
      <c r="M108" s="40"/>
      <c r="N108" s="40"/>
      <c r="O108" s="40"/>
      <c r="P108" s="40"/>
      <c r="Q108" s="40"/>
      <c r="R108" s="140"/>
      <c r="S108" s="140"/>
      <c r="T108" s="40" t="str">
        <f ca="1">IFERROR(__xludf.DUMMYFUNCTION("""COMPUTED_VALUE"""),"debe resultado de promover")</f>
        <v>debe resultado de promover</v>
      </c>
      <c r="U108" s="40"/>
      <c r="V108" s="40"/>
      <c r="W108" s="40"/>
      <c r="X108" s="40"/>
      <c r="Y108" s="40"/>
      <c r="Z108" s="40"/>
      <c r="AA108" s="40" t="str">
        <f ca="1">IFERROR(__xludf.DUMMYFUNCTION("""COMPUTED_VALUE"""),"Revisado 15/06/2022")</f>
        <v>Revisado 15/06/2022</v>
      </c>
      <c r="AB108" s="40"/>
      <c r="AC108" s="40"/>
      <c r="AD108" s="40"/>
      <c r="AE108" s="40"/>
      <c r="AF108" s="40"/>
      <c r="AG108" s="40"/>
      <c r="AH108" s="40"/>
      <c r="AI108" s="40"/>
      <c r="AJ108" s="40"/>
      <c r="AK108" s="40"/>
      <c r="AL108" s="40"/>
      <c r="AM108" s="40"/>
      <c r="AN108" s="40"/>
      <c r="AO108" s="40"/>
      <c r="AP108" s="40"/>
      <c r="AQ108" s="40"/>
      <c r="AR108" s="40"/>
      <c r="AS108" s="40"/>
      <c r="AT108" s="40"/>
      <c r="AU108" s="40" t="str">
        <f ca="1">IFERROR(__xludf.DUMMYFUNCTION("""COMPUTED_VALUE"""),"NO_CUMPLE")</f>
        <v>NO_CUMPLE</v>
      </c>
      <c r="AV108" s="40" t="str">
        <f ca="1">IFERROR(__xludf.DUMMYFUNCTION("""COMPUTED_VALUE"""),"EN FORMACION")</f>
        <v>EN FORMACION</v>
      </c>
      <c r="AW108" s="40" t="str">
        <f ca="1">IFERROR(__xludf.DUMMYFUNCTION("""COMPUTED_VALUE"""),"BIOCONSTRUCCION")</f>
        <v>BIOCONSTRUCCION</v>
      </c>
      <c r="AX108" s="141">
        <f ca="1">IFERROR(__xludf.DUMMYFUNCTION("""COMPUTED_VALUE"""),44848)</f>
        <v>44848</v>
      </c>
      <c r="AY108" s="40">
        <f ca="1">IFERROR(__xludf.DUMMYFUNCTION("""COMPUTED_VALUE"""),1)</f>
        <v>1</v>
      </c>
      <c r="AZ108" s="40">
        <f ca="1">IFERROR(__xludf.DUMMYFUNCTION("""COMPUTED_VALUE"""),1)</f>
        <v>1</v>
      </c>
      <c r="BA108" s="40">
        <f ca="1">IFERROR(__xludf.DUMMYFUNCTION("""COMPUTED_VALUE"""),0)</f>
        <v>0</v>
      </c>
      <c r="BB108" s="40">
        <f ca="1">IFERROR(__xludf.DUMMYFUNCTION("""COMPUTED_VALUE"""),0)</f>
        <v>0</v>
      </c>
      <c r="BC108" s="40">
        <f ca="1">IFERROR(__xludf.DUMMYFUNCTION("""COMPUTED_VALUE"""),2)</f>
        <v>2</v>
      </c>
      <c r="BD108" s="141">
        <f ca="1">IFERROR(__xludf.DUMMYFUNCTION("""COMPUTED_VALUE"""),43801)</f>
        <v>43801</v>
      </c>
      <c r="BE108" s="141">
        <f ca="1">IFERROR(__xludf.DUMMYFUNCTION("""COMPUTED_VALUE"""),44105)</f>
        <v>44105</v>
      </c>
      <c r="BF108" s="141">
        <f ca="1">IFERROR(__xludf.DUMMYFUNCTION("""COMPUTED_VALUE"""),44287)</f>
        <v>44287</v>
      </c>
      <c r="BG108" s="141">
        <f ca="1">IFERROR(__xludf.DUMMYFUNCTION("""COMPUTED_VALUE"""),44835)</f>
        <v>44835</v>
      </c>
      <c r="BH108" s="40" t="str">
        <f ca="1">IFERROR(__xludf.DUMMYFUNCTION("""COMPUTED_VALUE"""),"FINALIZAR FICHA")</f>
        <v>FINALIZAR FICHA</v>
      </c>
      <c r="BI108" s="40" t="str">
        <f ca="1">IFERROR(__xludf.DUMMYFUNCTION("""COMPUTED_VALUE"""),"Terminada por fecha")</f>
        <v>Terminada por fecha</v>
      </c>
      <c r="BJ108" s="40" t="str">
        <f ca="1">IFERROR(__xludf.DUMMYFUNCTION("""COMPUTED_VALUE"""),"Yamboro")</f>
        <v>Yamboro</v>
      </c>
      <c r="BK108" s="40"/>
      <c r="BL108" s="40"/>
    </row>
    <row r="109" spans="1:64" ht="13">
      <c r="A109" s="40"/>
      <c r="B109" s="40" t="str">
        <f ca="1">IFERROR(__xludf.DUMMYFUNCTION("""COMPUTED_VALUE"""),"FORMACIÓN 19//07/2022")</f>
        <v>FORMACIÓN 19//07/2022</v>
      </c>
      <c r="C109" s="40" t="str">
        <f ca="1">IFERROR(__xludf.DUMMYFUNCTION("""COMPUTED_VALUE"""),"CESAR AUGUSTO BUITRAGO MARTINEZ")</f>
        <v>CESAR AUGUSTO BUITRAGO MARTINEZ</v>
      </c>
      <c r="D109" s="40" t="str">
        <f ca="1">IFERROR(__xludf.DUMMYFUNCTION("""COMPUTED_VALUE"""),"CC")</f>
        <v>CC</v>
      </c>
      <c r="E109" s="40">
        <f ca="1">IFERROR(__xludf.DUMMYFUNCTION("""COMPUTED_VALUE"""),3121571)</f>
        <v>3121571</v>
      </c>
      <c r="F109" s="40">
        <f ca="1">IFERROR(__xludf.DUMMYFUNCTION("""COMPUTED_VALUE"""),2055235)</f>
        <v>2055235</v>
      </c>
      <c r="G109" s="40" t="str">
        <f ca="1">IFERROR(__xludf.DUMMYFUNCTION("""COMPUTED_VALUE"""),"TÉCNICO")</f>
        <v>TÉCNICO</v>
      </c>
      <c r="H109" s="40" t="str">
        <f ca="1">IFERROR(__xludf.DUMMYFUNCTION("""COMPUTED_VALUE"""),"INSTALACIONES ELECTRICAS RESIDENCIALES")</f>
        <v>INSTALACIONES ELECTRICAS RESIDENCIALES</v>
      </c>
      <c r="I109" s="40"/>
      <c r="J109" s="40" t="str">
        <f ca="1">IFERROR(__xludf.DUMMYFUNCTION("""COMPUTED_VALUE"""),"cesarau29buitra@gmail.com")</f>
        <v>cesarau29buitra@gmail.com</v>
      </c>
      <c r="K109" s="40"/>
      <c r="L109" s="40" t="str">
        <f ca="1">IFERROR(__xludf.DUMMYFUNCTION("""COMPUTED_VALUE"""),"NO HA INICIADO ETAPA PRODUCTIVA")</f>
        <v>NO HA INICIADO ETAPA PRODUCTIVA</v>
      </c>
      <c r="M109" s="40"/>
      <c r="N109" s="40"/>
      <c r="O109" s="40"/>
      <c r="P109" s="40"/>
      <c r="Q109" s="40"/>
      <c r="R109" s="140"/>
      <c r="S109" s="140"/>
      <c r="T109" s="40" t="str">
        <f ca="1">IFERROR(__xludf.DUMMYFUNCTION("""COMPUTED_VALUE"""),"debe resultados de aprendizaje")</f>
        <v>debe resultados de aprendizaje</v>
      </c>
      <c r="U109" s="40"/>
      <c r="V109" s="40"/>
      <c r="W109" s="40"/>
      <c r="X109" s="40"/>
      <c r="Y109" s="40"/>
      <c r="Z109" s="40"/>
      <c r="AA109" s="40" t="str">
        <f ca="1">IFERROR(__xludf.DUMMYFUNCTION("""COMPUTED_VALUE"""),"Revisado 15/06/2022")</f>
        <v>Revisado 15/06/2022</v>
      </c>
      <c r="AB109" s="40"/>
      <c r="AC109" s="40"/>
      <c r="AD109" s="40"/>
      <c r="AE109" s="40"/>
      <c r="AF109" s="40"/>
      <c r="AG109" s="40"/>
      <c r="AH109" s="40"/>
      <c r="AI109" s="40"/>
      <c r="AJ109" s="40"/>
      <c r="AK109" s="40"/>
      <c r="AL109" s="40"/>
      <c r="AM109" s="40"/>
      <c r="AN109" s="40"/>
      <c r="AO109" s="40"/>
      <c r="AP109" s="40"/>
      <c r="AQ109" s="40"/>
      <c r="AR109" s="40"/>
      <c r="AS109" s="40"/>
      <c r="AT109" s="40"/>
      <c r="AU109" s="40" t="str">
        <f ca="1">IFERROR(__xludf.DUMMYFUNCTION("""COMPUTED_VALUE"""),"NO_CUMPLE")</f>
        <v>NO_CUMPLE</v>
      </c>
      <c r="AV109" s="40" t="str">
        <f ca="1">IFERROR(__xludf.DUMMYFUNCTION("""COMPUTED_VALUE"""),"EN FORMACION")</f>
        <v>EN FORMACION</v>
      </c>
      <c r="AW109" s="40" t="str">
        <f ca="1">IFERROR(__xludf.DUMMYFUNCTION("""COMPUTED_VALUE"""),"BIOCONSTRUCCION")</f>
        <v>BIOCONSTRUCCION</v>
      </c>
      <c r="AX109" s="141">
        <f ca="1">IFERROR(__xludf.DUMMYFUNCTION("""COMPUTED_VALUE"""),44848)</f>
        <v>44848</v>
      </c>
      <c r="AY109" s="40">
        <f ca="1">IFERROR(__xludf.DUMMYFUNCTION("""COMPUTED_VALUE"""),1)</f>
        <v>1</v>
      </c>
      <c r="AZ109" s="40">
        <f ca="1">IFERROR(__xludf.DUMMYFUNCTION("""COMPUTED_VALUE"""),1)</f>
        <v>1</v>
      </c>
      <c r="BA109" s="40">
        <f ca="1">IFERROR(__xludf.DUMMYFUNCTION("""COMPUTED_VALUE"""),7)</f>
        <v>7</v>
      </c>
      <c r="BB109" s="40">
        <f ca="1">IFERROR(__xludf.DUMMYFUNCTION("""COMPUTED_VALUE"""),3)</f>
        <v>3</v>
      </c>
      <c r="BC109" s="40">
        <f ca="1">IFERROR(__xludf.DUMMYFUNCTION("""COMPUTED_VALUE"""),12)</f>
        <v>12</v>
      </c>
      <c r="BD109" s="141">
        <f ca="1">IFERROR(__xludf.DUMMYFUNCTION("""COMPUTED_VALUE"""),43801)</f>
        <v>43801</v>
      </c>
      <c r="BE109" s="141">
        <f ca="1">IFERROR(__xludf.DUMMYFUNCTION("""COMPUTED_VALUE"""),44105)</f>
        <v>44105</v>
      </c>
      <c r="BF109" s="141">
        <f ca="1">IFERROR(__xludf.DUMMYFUNCTION("""COMPUTED_VALUE"""),44287)</f>
        <v>44287</v>
      </c>
      <c r="BG109" s="141">
        <f ca="1">IFERROR(__xludf.DUMMYFUNCTION("""COMPUTED_VALUE"""),44835)</f>
        <v>44835</v>
      </c>
      <c r="BH109" s="40" t="str">
        <f ca="1">IFERROR(__xludf.DUMMYFUNCTION("""COMPUTED_VALUE"""),"FINALIZAR FICHA")</f>
        <v>FINALIZAR FICHA</v>
      </c>
      <c r="BI109" s="40" t="str">
        <f ca="1">IFERROR(__xludf.DUMMYFUNCTION("""COMPUTED_VALUE"""),"Terminada por fecha")</f>
        <v>Terminada por fecha</v>
      </c>
      <c r="BJ109" s="40" t="str">
        <f ca="1">IFERROR(__xludf.DUMMYFUNCTION("""COMPUTED_VALUE"""),"Yamboro")</f>
        <v>Yamboro</v>
      </c>
      <c r="BK109" s="40"/>
      <c r="BL109" s="40"/>
    </row>
    <row r="110" spans="1:64" ht="13">
      <c r="A110" s="40"/>
      <c r="B110" s="40" t="str">
        <f ca="1">IFERROR(__xludf.DUMMYFUNCTION("""COMPUTED_VALUE"""),"FORMACIÓN 19//07/2022")</f>
        <v>FORMACIÓN 19//07/2022</v>
      </c>
      <c r="C110" s="40" t="str">
        <f ca="1">IFERROR(__xludf.DUMMYFUNCTION("""COMPUTED_VALUE"""),"JAIRO ALONSO GUZMAN RAMIREZ")</f>
        <v>JAIRO ALONSO GUZMAN RAMIREZ</v>
      </c>
      <c r="D110" s="40" t="str">
        <f ca="1">IFERROR(__xludf.DUMMYFUNCTION("""COMPUTED_VALUE"""),"CC")</f>
        <v>CC</v>
      </c>
      <c r="E110" s="40">
        <f ca="1">IFERROR(__xludf.DUMMYFUNCTION("""COMPUTED_VALUE"""),5828603)</f>
        <v>5828603</v>
      </c>
      <c r="F110" s="40">
        <f ca="1">IFERROR(__xludf.DUMMYFUNCTION("""COMPUTED_VALUE"""),2055235)</f>
        <v>2055235</v>
      </c>
      <c r="G110" s="40" t="str">
        <f ca="1">IFERROR(__xludf.DUMMYFUNCTION("""COMPUTED_VALUE"""),"TÉCNICO")</f>
        <v>TÉCNICO</v>
      </c>
      <c r="H110" s="40" t="str">
        <f ca="1">IFERROR(__xludf.DUMMYFUNCTION("""COMPUTED_VALUE"""),"INSTALACIONES ELECTRICAS RESIDENCIALES")</f>
        <v>INSTALACIONES ELECTRICAS RESIDENCIALES</v>
      </c>
      <c r="I110" s="40">
        <f ca="1">IFERROR(__xludf.DUMMYFUNCTION("""COMPUTED_VALUE"""),3124496414)</f>
        <v>3124496414</v>
      </c>
      <c r="J110" s="40" t="str">
        <f ca="1">IFERROR(__xludf.DUMMYFUNCTION("""COMPUTED_VALUE"""),"jairoguzman13@hotmail.com")</f>
        <v>jairoguzman13@hotmail.com</v>
      </c>
      <c r="K110" s="40" t="str">
        <f ca="1">IFERROR(__xludf.DUMMYFUNCTION("""COMPUTED_VALUE"""),"PITALITO")</f>
        <v>PITALITO</v>
      </c>
      <c r="L110" s="40" t="str">
        <f ca="1">IFERROR(__xludf.DUMMYFUNCTION("""COMPUTED_VALUE"""),"NO HA INICIADO ETAPA PRODUCTIVA")</f>
        <v>NO HA INICIADO ETAPA PRODUCTIVA</v>
      </c>
      <c r="M110" s="40"/>
      <c r="N110" s="40"/>
      <c r="O110" s="40"/>
      <c r="P110" s="40"/>
      <c r="Q110" s="40"/>
      <c r="R110" s="140"/>
      <c r="S110" s="140"/>
      <c r="T110" s="40"/>
      <c r="U110" s="40"/>
      <c r="V110" s="40"/>
      <c r="W110" s="40"/>
      <c r="X110" s="40"/>
      <c r="Y110" s="40"/>
      <c r="Z110" s="40"/>
      <c r="AA110" s="40" t="str">
        <f ca="1">IFERROR(__xludf.DUMMYFUNCTION("""COMPUTED_VALUE"""),"Revisado 15/06/2022")</f>
        <v>Revisado 15/06/2022</v>
      </c>
      <c r="AB110" s="40"/>
      <c r="AC110" s="40"/>
      <c r="AD110" s="40"/>
      <c r="AE110" s="40"/>
      <c r="AF110" s="40"/>
      <c r="AG110" s="40"/>
      <c r="AH110" s="40"/>
      <c r="AI110" s="40"/>
      <c r="AJ110" s="40"/>
      <c r="AK110" s="40"/>
      <c r="AL110" s="40"/>
      <c r="AM110" s="40"/>
      <c r="AN110" s="40"/>
      <c r="AO110" s="40"/>
      <c r="AP110" s="40"/>
      <c r="AQ110" s="40"/>
      <c r="AR110" s="40"/>
      <c r="AS110" s="40"/>
      <c r="AT110" s="40"/>
      <c r="AU110" s="40" t="str">
        <f ca="1">IFERROR(__xludf.DUMMYFUNCTION("""COMPUTED_VALUE"""),"Procede_E_P")</f>
        <v>Procede_E_P</v>
      </c>
      <c r="AV110" s="40" t="str">
        <f ca="1">IFERROR(__xludf.DUMMYFUNCTION("""COMPUTED_VALUE"""),"EN FORMACION")</f>
        <v>EN FORMACION</v>
      </c>
      <c r="AW110" s="40" t="str">
        <f ca="1">IFERROR(__xludf.DUMMYFUNCTION("""COMPUTED_VALUE"""),"BIOCONSTRUCCION")</f>
        <v>BIOCONSTRUCCION</v>
      </c>
      <c r="AX110" s="141">
        <f ca="1">IFERROR(__xludf.DUMMYFUNCTION("""COMPUTED_VALUE"""),44848)</f>
        <v>44848</v>
      </c>
      <c r="AY110" s="40">
        <f ca="1">IFERROR(__xludf.DUMMYFUNCTION("""COMPUTED_VALUE"""),0)</f>
        <v>0</v>
      </c>
      <c r="AZ110" s="40">
        <f ca="1">IFERROR(__xludf.DUMMYFUNCTION("""COMPUTED_VALUE"""),1)</f>
        <v>1</v>
      </c>
      <c r="BA110" s="40">
        <f ca="1">IFERROR(__xludf.DUMMYFUNCTION("""COMPUTED_VALUE"""),0)</f>
        <v>0</v>
      </c>
      <c r="BB110" s="40">
        <f ca="1">IFERROR(__xludf.DUMMYFUNCTION("""COMPUTED_VALUE"""),0)</f>
        <v>0</v>
      </c>
      <c r="BC110" s="40">
        <f ca="1">IFERROR(__xludf.DUMMYFUNCTION("""COMPUTED_VALUE"""),1)</f>
        <v>1</v>
      </c>
      <c r="BD110" s="141">
        <f ca="1">IFERROR(__xludf.DUMMYFUNCTION("""COMPUTED_VALUE"""),43801)</f>
        <v>43801</v>
      </c>
      <c r="BE110" s="141">
        <f ca="1">IFERROR(__xludf.DUMMYFUNCTION("""COMPUTED_VALUE"""),44105)</f>
        <v>44105</v>
      </c>
      <c r="BF110" s="141">
        <f ca="1">IFERROR(__xludf.DUMMYFUNCTION("""COMPUTED_VALUE"""),44287)</f>
        <v>44287</v>
      </c>
      <c r="BG110" s="141">
        <f ca="1">IFERROR(__xludf.DUMMYFUNCTION("""COMPUTED_VALUE"""),44835)</f>
        <v>44835</v>
      </c>
      <c r="BH110" s="40" t="str">
        <f ca="1">IFERROR(__xludf.DUMMYFUNCTION("""COMPUTED_VALUE"""),"FINALIZAR FICHA")</f>
        <v>FINALIZAR FICHA</v>
      </c>
      <c r="BI110" s="40" t="str">
        <f ca="1">IFERROR(__xludf.DUMMYFUNCTION("""COMPUTED_VALUE"""),"Terminada por fecha")</f>
        <v>Terminada por fecha</v>
      </c>
      <c r="BJ110" s="40" t="str">
        <f ca="1">IFERROR(__xludf.DUMMYFUNCTION("""COMPUTED_VALUE"""),"Yamboro")</f>
        <v>Yamboro</v>
      </c>
      <c r="BK110" s="40"/>
      <c r="BL110" s="40"/>
    </row>
    <row r="111" spans="1:64" ht="13">
      <c r="A111" s="40"/>
      <c r="B111" s="40" t="str">
        <f ca="1">IFERROR(__xludf.DUMMYFUNCTION("""COMPUTED_VALUE"""),"FORMACIÓN 19//07/2022")</f>
        <v>FORMACIÓN 19//07/2022</v>
      </c>
      <c r="C111" s="40" t="str">
        <f ca="1">IFERROR(__xludf.DUMMYFUNCTION("""COMPUTED_VALUE"""),"ERDIN RODRIGUEZ ORTIZ")</f>
        <v>ERDIN RODRIGUEZ ORTIZ</v>
      </c>
      <c r="D111" s="40" t="str">
        <f ca="1">IFERROR(__xludf.DUMMYFUNCTION("""COMPUTED_VALUE"""),"CC")</f>
        <v>CC</v>
      </c>
      <c r="E111" s="40">
        <f ca="1">IFERROR(__xludf.DUMMYFUNCTION("""COMPUTED_VALUE"""),7709924)</f>
        <v>7709924</v>
      </c>
      <c r="F111" s="40">
        <f ca="1">IFERROR(__xludf.DUMMYFUNCTION("""COMPUTED_VALUE"""),2055235)</f>
        <v>2055235</v>
      </c>
      <c r="G111" s="40" t="str">
        <f ca="1">IFERROR(__xludf.DUMMYFUNCTION("""COMPUTED_VALUE"""),"TÉCNICO")</f>
        <v>TÉCNICO</v>
      </c>
      <c r="H111" s="40" t="str">
        <f ca="1">IFERROR(__xludf.DUMMYFUNCTION("""COMPUTED_VALUE"""),"INSTALACIONES ELECTRICAS RESIDENCIALES")</f>
        <v>INSTALACIONES ELECTRICAS RESIDENCIALES</v>
      </c>
      <c r="I111" s="40"/>
      <c r="J111" s="40" t="str">
        <f ca="1">IFERROR(__xludf.DUMMYFUNCTION("""COMPUTED_VALUE"""),"erdinortiz709@gmail.com")</f>
        <v>erdinortiz709@gmail.com</v>
      </c>
      <c r="K111" s="40"/>
      <c r="L111" s="40" t="str">
        <f ca="1">IFERROR(__xludf.DUMMYFUNCTION("""COMPUTED_VALUE"""),"NO HA INICIADO ETAPA PRODUCTIVA")</f>
        <v>NO HA INICIADO ETAPA PRODUCTIVA</v>
      </c>
      <c r="M111" s="40"/>
      <c r="N111" s="40"/>
      <c r="O111" s="40"/>
      <c r="P111" s="40"/>
      <c r="Q111" s="40"/>
      <c r="R111" s="140"/>
      <c r="S111" s="140"/>
      <c r="T111" s="40" t="str">
        <f ca="1">IFERROR(__xludf.DUMMYFUNCTION("""COMPUTED_VALUE"""),"debe resultados deaprendizaje")</f>
        <v>debe resultados deaprendizaje</v>
      </c>
      <c r="U111" s="40"/>
      <c r="V111" s="40"/>
      <c r="W111" s="40"/>
      <c r="X111" s="40"/>
      <c r="Y111" s="40"/>
      <c r="Z111" s="40"/>
      <c r="AA111" s="40" t="str">
        <f ca="1">IFERROR(__xludf.DUMMYFUNCTION("""COMPUTED_VALUE"""),"Revisado 15/06/2022")</f>
        <v>Revisado 15/06/2022</v>
      </c>
      <c r="AB111" s="40"/>
      <c r="AC111" s="40"/>
      <c r="AD111" s="40"/>
      <c r="AE111" s="40"/>
      <c r="AF111" s="40"/>
      <c r="AG111" s="40"/>
      <c r="AH111" s="40"/>
      <c r="AI111" s="40"/>
      <c r="AJ111" s="40"/>
      <c r="AK111" s="40"/>
      <c r="AL111" s="40"/>
      <c r="AM111" s="40"/>
      <c r="AN111" s="40"/>
      <c r="AO111" s="40"/>
      <c r="AP111" s="40"/>
      <c r="AQ111" s="40"/>
      <c r="AR111" s="40"/>
      <c r="AS111" s="40"/>
      <c r="AT111" s="40"/>
      <c r="AU111" s="40" t="str">
        <f ca="1">IFERROR(__xludf.DUMMYFUNCTION("""COMPUTED_VALUE"""),"NO_CUMPLE")</f>
        <v>NO_CUMPLE</v>
      </c>
      <c r="AV111" s="40" t="str">
        <f ca="1">IFERROR(__xludf.DUMMYFUNCTION("""COMPUTED_VALUE"""),"EN FORMACION")</f>
        <v>EN FORMACION</v>
      </c>
      <c r="AW111" s="40" t="str">
        <f ca="1">IFERROR(__xludf.DUMMYFUNCTION("""COMPUTED_VALUE"""),"BIOCONSTRUCCION")</f>
        <v>BIOCONSTRUCCION</v>
      </c>
      <c r="AX111" s="141">
        <f ca="1">IFERROR(__xludf.DUMMYFUNCTION("""COMPUTED_VALUE"""),44848)</f>
        <v>44848</v>
      </c>
      <c r="AY111" s="40">
        <f ca="1">IFERROR(__xludf.DUMMYFUNCTION("""COMPUTED_VALUE"""),1)</f>
        <v>1</v>
      </c>
      <c r="AZ111" s="40">
        <f ca="1">IFERROR(__xludf.DUMMYFUNCTION("""COMPUTED_VALUE"""),1)</f>
        <v>1</v>
      </c>
      <c r="BA111" s="40">
        <f ca="1">IFERROR(__xludf.DUMMYFUNCTION("""COMPUTED_VALUE"""),7)</f>
        <v>7</v>
      </c>
      <c r="BB111" s="40">
        <f ca="1">IFERROR(__xludf.DUMMYFUNCTION("""COMPUTED_VALUE"""),9)</f>
        <v>9</v>
      </c>
      <c r="BC111" s="40">
        <f ca="1">IFERROR(__xludf.DUMMYFUNCTION("""COMPUTED_VALUE"""),18)</f>
        <v>18</v>
      </c>
      <c r="BD111" s="141">
        <f ca="1">IFERROR(__xludf.DUMMYFUNCTION("""COMPUTED_VALUE"""),43801)</f>
        <v>43801</v>
      </c>
      <c r="BE111" s="141">
        <f ca="1">IFERROR(__xludf.DUMMYFUNCTION("""COMPUTED_VALUE"""),44105)</f>
        <v>44105</v>
      </c>
      <c r="BF111" s="141">
        <f ca="1">IFERROR(__xludf.DUMMYFUNCTION("""COMPUTED_VALUE"""),44287)</f>
        <v>44287</v>
      </c>
      <c r="BG111" s="141">
        <f ca="1">IFERROR(__xludf.DUMMYFUNCTION("""COMPUTED_VALUE"""),44835)</f>
        <v>44835</v>
      </c>
      <c r="BH111" s="40" t="str">
        <f ca="1">IFERROR(__xludf.DUMMYFUNCTION("""COMPUTED_VALUE"""),"FINALIZAR FICHA")</f>
        <v>FINALIZAR FICHA</v>
      </c>
      <c r="BI111" s="40" t="str">
        <f ca="1">IFERROR(__xludf.DUMMYFUNCTION("""COMPUTED_VALUE"""),"Terminada por fecha")</f>
        <v>Terminada por fecha</v>
      </c>
      <c r="BJ111" s="40" t="str">
        <f ca="1">IFERROR(__xludf.DUMMYFUNCTION("""COMPUTED_VALUE"""),"Yamboro")</f>
        <v>Yamboro</v>
      </c>
      <c r="BK111" s="40"/>
      <c r="BL111" s="40"/>
    </row>
    <row r="112" spans="1:64" ht="13">
      <c r="A112" s="40"/>
      <c r="B112" s="40" t="str">
        <f ca="1">IFERROR(__xludf.DUMMYFUNCTION("""COMPUTED_VALUE"""),"FORMACIÓN 19//07/2022")</f>
        <v>FORMACIÓN 19//07/2022</v>
      </c>
      <c r="C112" s="40" t="str">
        <f ca="1">IFERROR(__xludf.DUMMYFUNCTION("""COMPUTED_VALUE"""),"ORANGEL TOLEDO PIMENTEL")</f>
        <v>ORANGEL TOLEDO PIMENTEL</v>
      </c>
      <c r="D112" s="40" t="str">
        <f ca="1">IFERROR(__xludf.DUMMYFUNCTION("""COMPUTED_VALUE"""),"CC")</f>
        <v>CC</v>
      </c>
      <c r="E112" s="40">
        <f ca="1">IFERROR(__xludf.DUMMYFUNCTION("""COMPUTED_VALUE"""),7713992)</f>
        <v>7713992</v>
      </c>
      <c r="F112" s="40">
        <f ca="1">IFERROR(__xludf.DUMMYFUNCTION("""COMPUTED_VALUE"""),2055235)</f>
        <v>2055235</v>
      </c>
      <c r="G112" s="40" t="str">
        <f ca="1">IFERROR(__xludf.DUMMYFUNCTION("""COMPUTED_VALUE"""),"TÉCNICO")</f>
        <v>TÉCNICO</v>
      </c>
      <c r="H112" s="40" t="str">
        <f ca="1">IFERROR(__xludf.DUMMYFUNCTION("""COMPUTED_VALUE"""),"INSTALACIONES ELECTRICAS RESIDENCIALES")</f>
        <v>INSTALACIONES ELECTRICAS RESIDENCIALES</v>
      </c>
      <c r="I112" s="40"/>
      <c r="J112" s="40" t="str">
        <f ca="1">IFERROR(__xludf.DUMMYFUNCTION("""COMPUTED_VALUE"""),"crear@gmail.com")</f>
        <v>crear@gmail.com</v>
      </c>
      <c r="K112" s="40"/>
      <c r="L112" s="40" t="str">
        <f ca="1">IFERROR(__xludf.DUMMYFUNCTION("""COMPUTED_VALUE"""),"NO HA INICIADO ETAPA PRODUCTIVA")</f>
        <v>NO HA INICIADO ETAPA PRODUCTIVA</v>
      </c>
      <c r="M112" s="40"/>
      <c r="N112" s="40"/>
      <c r="O112" s="40"/>
      <c r="P112" s="40"/>
      <c r="Q112" s="40"/>
      <c r="R112" s="140"/>
      <c r="S112" s="140"/>
      <c r="T112" s="40"/>
      <c r="U112" s="40"/>
      <c r="V112" s="40"/>
      <c r="W112" s="40"/>
      <c r="X112" s="40"/>
      <c r="Y112" s="40"/>
      <c r="Z112" s="40"/>
      <c r="AA112" s="40" t="str">
        <f ca="1">IFERROR(__xludf.DUMMYFUNCTION("""COMPUTED_VALUE"""),"Revisado 15/06/2022")</f>
        <v>Revisado 15/06/2022</v>
      </c>
      <c r="AB112" s="40"/>
      <c r="AC112" s="40"/>
      <c r="AD112" s="40"/>
      <c r="AE112" s="40"/>
      <c r="AF112" s="40"/>
      <c r="AG112" s="40"/>
      <c r="AH112" s="40"/>
      <c r="AI112" s="40"/>
      <c r="AJ112" s="40"/>
      <c r="AK112" s="40"/>
      <c r="AL112" s="40"/>
      <c r="AM112" s="40"/>
      <c r="AN112" s="40"/>
      <c r="AO112" s="40"/>
      <c r="AP112" s="40"/>
      <c r="AQ112" s="40"/>
      <c r="AR112" s="40"/>
      <c r="AS112" s="40"/>
      <c r="AT112" s="40"/>
      <c r="AU112" s="40" t="str">
        <f ca="1">IFERROR(__xludf.DUMMYFUNCTION("""COMPUTED_VALUE"""),"Procede_E_P")</f>
        <v>Procede_E_P</v>
      </c>
      <c r="AV112" s="40" t="str">
        <f ca="1">IFERROR(__xludf.DUMMYFUNCTION("""COMPUTED_VALUE"""),"EN FORMACION")</f>
        <v>EN FORMACION</v>
      </c>
      <c r="AW112" s="40" t="str">
        <f ca="1">IFERROR(__xludf.DUMMYFUNCTION("""COMPUTED_VALUE"""),"BIOCONSTRUCCION")</f>
        <v>BIOCONSTRUCCION</v>
      </c>
      <c r="AX112" s="141">
        <f ca="1">IFERROR(__xludf.DUMMYFUNCTION("""COMPUTED_VALUE"""),44848)</f>
        <v>44848</v>
      </c>
      <c r="AY112" s="40">
        <f ca="1">IFERROR(__xludf.DUMMYFUNCTION("""COMPUTED_VALUE"""),0)</f>
        <v>0</v>
      </c>
      <c r="AZ112" s="40">
        <f ca="1">IFERROR(__xludf.DUMMYFUNCTION("""COMPUTED_VALUE"""),1)</f>
        <v>1</v>
      </c>
      <c r="BA112" s="40">
        <f ca="1">IFERROR(__xludf.DUMMYFUNCTION("""COMPUTED_VALUE"""),0)</f>
        <v>0</v>
      </c>
      <c r="BB112" s="40">
        <f ca="1">IFERROR(__xludf.DUMMYFUNCTION("""COMPUTED_VALUE"""),0)</f>
        <v>0</v>
      </c>
      <c r="BC112" s="40">
        <f ca="1">IFERROR(__xludf.DUMMYFUNCTION("""COMPUTED_VALUE"""),1)</f>
        <v>1</v>
      </c>
      <c r="BD112" s="141">
        <f ca="1">IFERROR(__xludf.DUMMYFUNCTION("""COMPUTED_VALUE"""),43801)</f>
        <v>43801</v>
      </c>
      <c r="BE112" s="141">
        <f ca="1">IFERROR(__xludf.DUMMYFUNCTION("""COMPUTED_VALUE"""),44105)</f>
        <v>44105</v>
      </c>
      <c r="BF112" s="141">
        <f ca="1">IFERROR(__xludf.DUMMYFUNCTION("""COMPUTED_VALUE"""),44287)</f>
        <v>44287</v>
      </c>
      <c r="BG112" s="141">
        <f ca="1">IFERROR(__xludf.DUMMYFUNCTION("""COMPUTED_VALUE"""),44835)</f>
        <v>44835</v>
      </c>
      <c r="BH112" s="40" t="str">
        <f ca="1">IFERROR(__xludf.DUMMYFUNCTION("""COMPUTED_VALUE"""),"FINALIZAR FICHA")</f>
        <v>FINALIZAR FICHA</v>
      </c>
      <c r="BI112" s="40" t="str">
        <f ca="1">IFERROR(__xludf.DUMMYFUNCTION("""COMPUTED_VALUE"""),"Terminada por fecha")</f>
        <v>Terminada por fecha</v>
      </c>
      <c r="BJ112" s="40" t="str">
        <f ca="1">IFERROR(__xludf.DUMMYFUNCTION("""COMPUTED_VALUE"""),"Yamboro")</f>
        <v>Yamboro</v>
      </c>
      <c r="BK112" s="40"/>
      <c r="BL112" s="40"/>
    </row>
    <row r="113" spans="1:64" ht="13">
      <c r="A113" s="40"/>
      <c r="B113" s="40" t="str">
        <f ca="1">IFERROR(__xludf.DUMMYFUNCTION("""COMPUTED_VALUE"""),"FORMACIÓN 19//07/2022")</f>
        <v>FORMACIÓN 19//07/2022</v>
      </c>
      <c r="C113" s="40" t="str">
        <f ca="1">IFERROR(__xludf.DUMMYFUNCTION("""COMPUTED_VALUE"""),"DHASMAR GAVIRIA")</f>
        <v>DHASMAR GAVIRIA</v>
      </c>
      <c r="D113" s="40" t="str">
        <f ca="1">IFERROR(__xludf.DUMMYFUNCTION("""COMPUTED_VALUE"""),"CC")</f>
        <v>CC</v>
      </c>
      <c r="E113" s="40">
        <f ca="1">IFERROR(__xludf.DUMMYFUNCTION("""COMPUTED_VALUE"""),7718028)</f>
        <v>7718028</v>
      </c>
      <c r="F113" s="40">
        <f ca="1">IFERROR(__xludf.DUMMYFUNCTION("""COMPUTED_VALUE"""),2055235)</f>
        <v>2055235</v>
      </c>
      <c r="G113" s="40" t="str">
        <f ca="1">IFERROR(__xludf.DUMMYFUNCTION("""COMPUTED_VALUE"""),"TÉCNICO")</f>
        <v>TÉCNICO</v>
      </c>
      <c r="H113" s="40" t="str">
        <f ca="1">IFERROR(__xludf.DUMMYFUNCTION("""COMPUTED_VALUE"""),"INSTALACIONES ELECTRICAS RESIDENCIALES")</f>
        <v>INSTALACIONES ELECTRICAS RESIDENCIALES</v>
      </c>
      <c r="I113" s="40">
        <f ca="1">IFERROR(__xludf.DUMMYFUNCTION("""COMPUTED_VALUE"""),3001234567)</f>
        <v>3001234567</v>
      </c>
      <c r="J113" s="40" t="str">
        <f ca="1">IFERROR(__xludf.DUMMYFUNCTION("""COMPUTED_VALUE"""),"dhasmar160979@gmail.com")</f>
        <v>dhasmar160979@gmail.com</v>
      </c>
      <c r="K113" s="40"/>
      <c r="L113" s="40" t="str">
        <f ca="1">IFERROR(__xludf.DUMMYFUNCTION("""COMPUTED_VALUE"""),"NO HA INICIADO ETAPA PRODUCTIVA")</f>
        <v>NO HA INICIADO ETAPA PRODUCTIVA</v>
      </c>
      <c r="M113" s="40"/>
      <c r="N113" s="40"/>
      <c r="O113" s="40"/>
      <c r="P113" s="40"/>
      <c r="Q113" s="40"/>
      <c r="R113" s="140"/>
      <c r="S113" s="140"/>
      <c r="T113" s="40"/>
      <c r="U113" s="40"/>
      <c r="V113" s="40"/>
      <c r="W113" s="40"/>
      <c r="X113" s="40"/>
      <c r="Y113" s="40"/>
      <c r="Z113" s="40"/>
      <c r="AA113" s="40" t="str">
        <f ca="1">IFERROR(__xludf.DUMMYFUNCTION("""COMPUTED_VALUE"""),"Revisado 15/06/2022")</f>
        <v>Revisado 15/06/2022</v>
      </c>
      <c r="AB113" s="40"/>
      <c r="AC113" s="40"/>
      <c r="AD113" s="40"/>
      <c r="AE113" s="40"/>
      <c r="AF113" s="40"/>
      <c r="AG113" s="40"/>
      <c r="AH113" s="40"/>
      <c r="AI113" s="40"/>
      <c r="AJ113" s="40"/>
      <c r="AK113" s="40"/>
      <c r="AL113" s="40"/>
      <c r="AM113" s="40"/>
      <c r="AN113" s="40"/>
      <c r="AO113" s="40"/>
      <c r="AP113" s="40"/>
      <c r="AQ113" s="40"/>
      <c r="AR113" s="40"/>
      <c r="AS113" s="40"/>
      <c r="AT113" s="40"/>
      <c r="AU113" s="40" t="str">
        <f ca="1">IFERROR(__xludf.DUMMYFUNCTION("""COMPUTED_VALUE"""),"NO_CUMPLE")</f>
        <v>NO_CUMPLE</v>
      </c>
      <c r="AV113" s="40" t="str">
        <f ca="1">IFERROR(__xludf.DUMMYFUNCTION("""COMPUTED_VALUE"""),"POR CERTIFICAR")</f>
        <v>POR CERTIFICAR</v>
      </c>
      <c r="AW113" s="40" t="str">
        <f ca="1">IFERROR(__xludf.DUMMYFUNCTION("""COMPUTED_VALUE"""),"BIOCONSTRUCCION")</f>
        <v>BIOCONSTRUCCION</v>
      </c>
      <c r="AX113" s="141">
        <f ca="1">IFERROR(__xludf.DUMMYFUNCTION("""COMPUTED_VALUE"""),44848)</f>
        <v>44848</v>
      </c>
      <c r="AY113" s="40">
        <f ca="1">IFERROR(__xludf.DUMMYFUNCTION("""COMPUTED_VALUE"""),0)</f>
        <v>0</v>
      </c>
      <c r="AZ113" s="40">
        <f ca="1">IFERROR(__xludf.DUMMYFUNCTION("""COMPUTED_VALUE"""),0)</f>
        <v>0</v>
      </c>
      <c r="BA113" s="40">
        <f ca="1">IFERROR(__xludf.DUMMYFUNCTION("""COMPUTED_VALUE"""),0)</f>
        <v>0</v>
      </c>
      <c r="BB113" s="40">
        <f ca="1">IFERROR(__xludf.DUMMYFUNCTION("""COMPUTED_VALUE"""),0)</f>
        <v>0</v>
      </c>
      <c r="BC113" s="40">
        <f ca="1">IFERROR(__xludf.DUMMYFUNCTION("""COMPUTED_VALUE"""),0)</f>
        <v>0</v>
      </c>
      <c r="BD113" s="141">
        <f ca="1">IFERROR(__xludf.DUMMYFUNCTION("""COMPUTED_VALUE"""),43801)</f>
        <v>43801</v>
      </c>
      <c r="BE113" s="141">
        <f ca="1">IFERROR(__xludf.DUMMYFUNCTION("""COMPUTED_VALUE"""),44105)</f>
        <v>44105</v>
      </c>
      <c r="BF113" s="141">
        <f ca="1">IFERROR(__xludf.DUMMYFUNCTION("""COMPUTED_VALUE"""),44287)</f>
        <v>44287</v>
      </c>
      <c r="BG113" s="141">
        <f ca="1">IFERROR(__xludf.DUMMYFUNCTION("""COMPUTED_VALUE"""),44835)</f>
        <v>44835</v>
      </c>
      <c r="BH113" s="40" t="str">
        <f ca="1">IFERROR(__xludf.DUMMYFUNCTION("""COMPUTED_VALUE"""),"FINALIZAR FICHA")</f>
        <v>FINALIZAR FICHA</v>
      </c>
      <c r="BI113" s="40" t="str">
        <f ca="1">IFERROR(__xludf.DUMMYFUNCTION("""COMPUTED_VALUE"""),"Terminada por fecha")</f>
        <v>Terminada por fecha</v>
      </c>
      <c r="BJ113" s="40" t="str">
        <f ca="1">IFERROR(__xludf.DUMMYFUNCTION("""COMPUTED_VALUE"""),"Yamboro")</f>
        <v>Yamboro</v>
      </c>
      <c r="BK113" s="40"/>
      <c r="BL113" s="40"/>
    </row>
    <row r="114" spans="1:64" ht="13">
      <c r="A114" s="40"/>
      <c r="B114" s="40" t="str">
        <f ca="1">IFERROR(__xludf.DUMMYFUNCTION("""COMPUTED_VALUE"""),"FORMACIÓN 19//07/2022")</f>
        <v>FORMACIÓN 19//07/2022</v>
      </c>
      <c r="C114" s="40" t="str">
        <f ca="1">IFERROR(__xludf.DUMMYFUNCTION("""COMPUTED_VALUE"""),"IVAN MAURICIO BELTRAN")</f>
        <v>IVAN MAURICIO BELTRAN</v>
      </c>
      <c r="D114" s="40" t="str">
        <f ca="1">IFERROR(__xludf.DUMMYFUNCTION("""COMPUTED_VALUE"""),"CC")</f>
        <v>CC</v>
      </c>
      <c r="E114" s="40">
        <f ca="1">IFERROR(__xludf.DUMMYFUNCTION("""COMPUTED_VALUE"""),80019462)</f>
        <v>80019462</v>
      </c>
      <c r="F114" s="40">
        <f ca="1">IFERROR(__xludf.DUMMYFUNCTION("""COMPUTED_VALUE"""),2055235)</f>
        <v>2055235</v>
      </c>
      <c r="G114" s="40" t="str">
        <f ca="1">IFERROR(__xludf.DUMMYFUNCTION("""COMPUTED_VALUE"""),"TÉCNICO")</f>
        <v>TÉCNICO</v>
      </c>
      <c r="H114" s="40" t="str">
        <f ca="1">IFERROR(__xludf.DUMMYFUNCTION("""COMPUTED_VALUE"""),"INSTALACIONES ELECTRICAS RESIDENCIALES")</f>
        <v>INSTALACIONES ELECTRICAS RESIDENCIALES</v>
      </c>
      <c r="I114" s="40"/>
      <c r="J114" s="40" t="str">
        <f ca="1">IFERROR(__xludf.DUMMYFUNCTION("""COMPUTED_VALUE"""),"papelerialaeconomia1@gmail.com")</f>
        <v>papelerialaeconomia1@gmail.com</v>
      </c>
      <c r="K114" s="40"/>
      <c r="L114" s="40" t="str">
        <f ca="1">IFERROR(__xludf.DUMMYFUNCTION("""COMPUTED_VALUE"""),"NO HA INICIADO ETAPA PRODUCTIVA")</f>
        <v>NO HA INICIADO ETAPA PRODUCTIVA</v>
      </c>
      <c r="M114" s="40"/>
      <c r="N114" s="40"/>
      <c r="O114" s="40"/>
      <c r="P114" s="40"/>
      <c r="Q114" s="40"/>
      <c r="R114" s="140"/>
      <c r="S114" s="140"/>
      <c r="T114" s="40"/>
      <c r="U114" s="40"/>
      <c r="V114" s="40"/>
      <c r="W114" s="40"/>
      <c r="X114" s="40"/>
      <c r="Y114" s="40"/>
      <c r="Z114" s="40"/>
      <c r="AA114" s="40" t="str">
        <f ca="1">IFERROR(__xludf.DUMMYFUNCTION("""COMPUTED_VALUE"""),"Revisado 15/06/2022")</f>
        <v>Revisado 15/06/2022</v>
      </c>
      <c r="AB114" s="40"/>
      <c r="AC114" s="40"/>
      <c r="AD114" s="40"/>
      <c r="AE114" s="40"/>
      <c r="AF114" s="40"/>
      <c r="AG114" s="40"/>
      <c r="AH114" s="40"/>
      <c r="AI114" s="40"/>
      <c r="AJ114" s="40"/>
      <c r="AK114" s="40"/>
      <c r="AL114" s="40"/>
      <c r="AM114" s="40"/>
      <c r="AN114" s="40"/>
      <c r="AO114" s="40"/>
      <c r="AP114" s="40"/>
      <c r="AQ114" s="40"/>
      <c r="AR114" s="40"/>
      <c r="AS114" s="40"/>
      <c r="AT114" s="40"/>
      <c r="AU114" s="40" t="str">
        <f ca="1">IFERROR(__xludf.DUMMYFUNCTION("""COMPUTED_VALUE"""),"Procede_E_P")</f>
        <v>Procede_E_P</v>
      </c>
      <c r="AV114" s="40" t="str">
        <f ca="1">IFERROR(__xludf.DUMMYFUNCTION("""COMPUTED_VALUE"""),"EN FORMACION")</f>
        <v>EN FORMACION</v>
      </c>
      <c r="AW114" s="40" t="str">
        <f ca="1">IFERROR(__xludf.DUMMYFUNCTION("""COMPUTED_VALUE"""),"BIOCONSTRUCCION")</f>
        <v>BIOCONSTRUCCION</v>
      </c>
      <c r="AX114" s="141">
        <f ca="1">IFERROR(__xludf.DUMMYFUNCTION("""COMPUTED_VALUE"""),44848)</f>
        <v>44848</v>
      </c>
      <c r="AY114" s="40">
        <f ca="1">IFERROR(__xludf.DUMMYFUNCTION("""COMPUTED_VALUE"""),0)</f>
        <v>0</v>
      </c>
      <c r="AZ114" s="40">
        <f ca="1">IFERROR(__xludf.DUMMYFUNCTION("""COMPUTED_VALUE"""),1)</f>
        <v>1</v>
      </c>
      <c r="BA114" s="40">
        <f ca="1">IFERROR(__xludf.DUMMYFUNCTION("""COMPUTED_VALUE"""),0)</f>
        <v>0</v>
      </c>
      <c r="BB114" s="40">
        <f ca="1">IFERROR(__xludf.DUMMYFUNCTION("""COMPUTED_VALUE"""),0)</f>
        <v>0</v>
      </c>
      <c r="BC114" s="40">
        <f ca="1">IFERROR(__xludf.DUMMYFUNCTION("""COMPUTED_VALUE"""),1)</f>
        <v>1</v>
      </c>
      <c r="BD114" s="141">
        <f ca="1">IFERROR(__xludf.DUMMYFUNCTION("""COMPUTED_VALUE"""),43801)</f>
        <v>43801</v>
      </c>
      <c r="BE114" s="141">
        <f ca="1">IFERROR(__xludf.DUMMYFUNCTION("""COMPUTED_VALUE"""),44105)</f>
        <v>44105</v>
      </c>
      <c r="BF114" s="141">
        <f ca="1">IFERROR(__xludf.DUMMYFUNCTION("""COMPUTED_VALUE"""),44287)</f>
        <v>44287</v>
      </c>
      <c r="BG114" s="141">
        <f ca="1">IFERROR(__xludf.DUMMYFUNCTION("""COMPUTED_VALUE"""),44835)</f>
        <v>44835</v>
      </c>
      <c r="BH114" s="40" t="str">
        <f ca="1">IFERROR(__xludf.DUMMYFUNCTION("""COMPUTED_VALUE"""),"FINALIZAR FICHA")</f>
        <v>FINALIZAR FICHA</v>
      </c>
      <c r="BI114" s="40" t="str">
        <f ca="1">IFERROR(__xludf.DUMMYFUNCTION("""COMPUTED_VALUE"""),"Terminada por fecha")</f>
        <v>Terminada por fecha</v>
      </c>
      <c r="BJ114" s="40" t="str">
        <f ca="1">IFERROR(__xludf.DUMMYFUNCTION("""COMPUTED_VALUE"""),"Yamboro")</f>
        <v>Yamboro</v>
      </c>
      <c r="BK114" s="40"/>
      <c r="BL114" s="40"/>
    </row>
    <row r="115" spans="1:64" ht="13">
      <c r="A115" s="40"/>
      <c r="B115" s="40" t="str">
        <f ca="1">IFERROR(__xludf.DUMMYFUNCTION("""COMPUTED_VALUE"""),"FORMACIÓN 19//07/2022")</f>
        <v>FORMACIÓN 19//07/2022</v>
      </c>
      <c r="C115" s="40" t="str">
        <f ca="1">IFERROR(__xludf.DUMMYFUNCTION("""COMPUTED_VALUE"""),"SILVERIO GUZMAN HOYOS")</f>
        <v>SILVERIO GUZMAN HOYOS</v>
      </c>
      <c r="D115" s="40" t="str">
        <f ca="1">IFERROR(__xludf.DUMMYFUNCTION("""COMPUTED_VALUE"""),"CC")</f>
        <v>CC</v>
      </c>
      <c r="E115" s="40">
        <f ca="1">IFERROR(__xludf.DUMMYFUNCTION("""COMPUTED_VALUE"""),83029400)</f>
        <v>83029400</v>
      </c>
      <c r="F115" s="40">
        <f ca="1">IFERROR(__xludf.DUMMYFUNCTION("""COMPUTED_VALUE"""),2055235)</f>
        <v>2055235</v>
      </c>
      <c r="G115" s="40" t="str">
        <f ca="1">IFERROR(__xludf.DUMMYFUNCTION("""COMPUTED_VALUE"""),"TÉCNICO")</f>
        <v>TÉCNICO</v>
      </c>
      <c r="H115" s="40" t="str">
        <f ca="1">IFERROR(__xludf.DUMMYFUNCTION("""COMPUTED_VALUE"""),"INSTALACIONES ELECTRICAS RESIDENCIALES")</f>
        <v>INSTALACIONES ELECTRICAS RESIDENCIALES</v>
      </c>
      <c r="I115" s="40"/>
      <c r="J115" s="40" t="str">
        <f ca="1">IFERROR(__xludf.DUMMYFUNCTION("""COMPUTED_VALUE"""),"silverioguzmanhoyos@gmail.com")</f>
        <v>silverioguzmanhoyos@gmail.com</v>
      </c>
      <c r="K115" s="40"/>
      <c r="L115" s="40" t="str">
        <f ca="1">IFERROR(__xludf.DUMMYFUNCTION("""COMPUTED_VALUE"""),"NO HA INICIADO ETAPA PRODUCTIVA")</f>
        <v>NO HA INICIADO ETAPA PRODUCTIVA</v>
      </c>
      <c r="M115" s="40"/>
      <c r="N115" s="40"/>
      <c r="O115" s="40"/>
      <c r="P115" s="40"/>
      <c r="Q115" s="40"/>
      <c r="R115" s="140"/>
      <c r="S115" s="140"/>
      <c r="T115" s="40"/>
      <c r="U115" s="40"/>
      <c r="V115" s="40"/>
      <c r="W115" s="40"/>
      <c r="X115" s="40"/>
      <c r="Y115" s="40"/>
      <c r="Z115" s="40"/>
      <c r="AA115" s="40" t="str">
        <f ca="1">IFERROR(__xludf.DUMMYFUNCTION("""COMPUTED_VALUE"""),"Revisado 15/06/2022")</f>
        <v>Revisado 15/06/2022</v>
      </c>
      <c r="AB115" s="40"/>
      <c r="AC115" s="40"/>
      <c r="AD115" s="40"/>
      <c r="AE115" s="40"/>
      <c r="AF115" s="40"/>
      <c r="AG115" s="40"/>
      <c r="AH115" s="40"/>
      <c r="AI115" s="40"/>
      <c r="AJ115" s="40"/>
      <c r="AK115" s="40"/>
      <c r="AL115" s="40"/>
      <c r="AM115" s="40"/>
      <c r="AN115" s="40"/>
      <c r="AO115" s="40"/>
      <c r="AP115" s="40"/>
      <c r="AQ115" s="40"/>
      <c r="AR115" s="40"/>
      <c r="AS115" s="40"/>
      <c r="AT115" s="40"/>
      <c r="AU115" s="40" t="str">
        <f ca="1">IFERROR(__xludf.DUMMYFUNCTION("""COMPUTED_VALUE"""),"Procede_E_P")</f>
        <v>Procede_E_P</v>
      </c>
      <c r="AV115" s="40" t="str">
        <f ca="1">IFERROR(__xludf.DUMMYFUNCTION("""COMPUTED_VALUE"""),"EN FORMACION")</f>
        <v>EN FORMACION</v>
      </c>
      <c r="AW115" s="40" t="str">
        <f ca="1">IFERROR(__xludf.DUMMYFUNCTION("""COMPUTED_VALUE"""),"BIOCONSTRUCCION")</f>
        <v>BIOCONSTRUCCION</v>
      </c>
      <c r="AX115" s="141">
        <f ca="1">IFERROR(__xludf.DUMMYFUNCTION("""COMPUTED_VALUE"""),44848)</f>
        <v>44848</v>
      </c>
      <c r="AY115" s="40">
        <f ca="1">IFERROR(__xludf.DUMMYFUNCTION("""COMPUTED_VALUE"""),0)</f>
        <v>0</v>
      </c>
      <c r="AZ115" s="40">
        <f ca="1">IFERROR(__xludf.DUMMYFUNCTION("""COMPUTED_VALUE"""),1)</f>
        <v>1</v>
      </c>
      <c r="BA115" s="40">
        <f ca="1">IFERROR(__xludf.DUMMYFUNCTION("""COMPUTED_VALUE"""),0)</f>
        <v>0</v>
      </c>
      <c r="BB115" s="40">
        <f ca="1">IFERROR(__xludf.DUMMYFUNCTION("""COMPUTED_VALUE"""),0)</f>
        <v>0</v>
      </c>
      <c r="BC115" s="40">
        <f ca="1">IFERROR(__xludf.DUMMYFUNCTION("""COMPUTED_VALUE"""),1)</f>
        <v>1</v>
      </c>
      <c r="BD115" s="141">
        <f ca="1">IFERROR(__xludf.DUMMYFUNCTION("""COMPUTED_VALUE"""),43801)</f>
        <v>43801</v>
      </c>
      <c r="BE115" s="141">
        <f ca="1">IFERROR(__xludf.DUMMYFUNCTION("""COMPUTED_VALUE"""),44105)</f>
        <v>44105</v>
      </c>
      <c r="BF115" s="141">
        <f ca="1">IFERROR(__xludf.DUMMYFUNCTION("""COMPUTED_VALUE"""),44287)</f>
        <v>44287</v>
      </c>
      <c r="BG115" s="141">
        <f ca="1">IFERROR(__xludf.DUMMYFUNCTION("""COMPUTED_VALUE"""),44835)</f>
        <v>44835</v>
      </c>
      <c r="BH115" s="40" t="str">
        <f ca="1">IFERROR(__xludf.DUMMYFUNCTION("""COMPUTED_VALUE"""),"FINALIZAR FICHA")</f>
        <v>FINALIZAR FICHA</v>
      </c>
      <c r="BI115" s="40" t="str">
        <f ca="1">IFERROR(__xludf.DUMMYFUNCTION("""COMPUTED_VALUE"""),"Terminada por fecha")</f>
        <v>Terminada por fecha</v>
      </c>
      <c r="BJ115" s="40" t="str">
        <f ca="1">IFERROR(__xludf.DUMMYFUNCTION("""COMPUTED_VALUE"""),"Yamboro")</f>
        <v>Yamboro</v>
      </c>
      <c r="BK115" s="40"/>
      <c r="BL115" s="40"/>
    </row>
    <row r="116" spans="1:64" ht="13">
      <c r="A116" s="40"/>
      <c r="B116" s="40" t="str">
        <f ca="1">IFERROR(__xludf.DUMMYFUNCTION("""COMPUTED_VALUE"""),"FORMACIÓN 19//07/2022")</f>
        <v>FORMACIÓN 19//07/2022</v>
      </c>
      <c r="C116" s="40" t="str">
        <f ca="1">IFERROR(__xludf.DUMMYFUNCTION("""COMPUTED_VALUE"""),"FAIBER JAIR ORTIZ SAENZ")</f>
        <v>FAIBER JAIR ORTIZ SAENZ</v>
      </c>
      <c r="D116" s="40" t="str">
        <f ca="1">IFERROR(__xludf.DUMMYFUNCTION("""COMPUTED_VALUE"""),"CC")</f>
        <v>CC</v>
      </c>
      <c r="E116" s="40">
        <f ca="1">IFERROR(__xludf.DUMMYFUNCTION("""COMPUTED_VALUE"""),83040624)</f>
        <v>83040624</v>
      </c>
      <c r="F116" s="40">
        <f ca="1">IFERROR(__xludf.DUMMYFUNCTION("""COMPUTED_VALUE"""),2055235)</f>
        <v>2055235</v>
      </c>
      <c r="G116" s="40" t="str">
        <f ca="1">IFERROR(__xludf.DUMMYFUNCTION("""COMPUTED_VALUE"""),"TÉCNICO")</f>
        <v>TÉCNICO</v>
      </c>
      <c r="H116" s="40" t="str">
        <f ca="1">IFERROR(__xludf.DUMMYFUNCTION("""COMPUTED_VALUE"""),"INSTALACIONES ELECTRICAS RESIDENCIALES")</f>
        <v>INSTALACIONES ELECTRICAS RESIDENCIALES</v>
      </c>
      <c r="I116" s="40">
        <f ca="1">IFERROR(__xludf.DUMMYFUNCTION("""COMPUTED_VALUE"""),3001234567)</f>
        <v>3001234567</v>
      </c>
      <c r="J116" s="40" t="str">
        <f ca="1">IFERROR(__xludf.DUMMYFUNCTION("""COMPUTED_VALUE"""),"faior-98@hotmail.com")</f>
        <v>faior-98@hotmail.com</v>
      </c>
      <c r="K116" s="40"/>
      <c r="L116" s="40" t="str">
        <f ca="1">IFERROR(__xludf.DUMMYFUNCTION("""COMPUTED_VALUE"""),"NO HA INICIADO ETAPA PRODUCTIVA")</f>
        <v>NO HA INICIADO ETAPA PRODUCTIVA</v>
      </c>
      <c r="M116" s="40"/>
      <c r="N116" s="40"/>
      <c r="O116" s="40"/>
      <c r="P116" s="40"/>
      <c r="Q116" s="40"/>
      <c r="R116" s="140"/>
      <c r="S116" s="140"/>
      <c r="T116" s="40"/>
      <c r="U116" s="40"/>
      <c r="V116" s="40"/>
      <c r="W116" s="40"/>
      <c r="X116" s="40"/>
      <c r="Y116" s="40"/>
      <c r="Z116" s="40"/>
      <c r="AA116" s="40" t="str">
        <f ca="1">IFERROR(__xludf.DUMMYFUNCTION("""COMPUTED_VALUE"""),"Revisado 15/06/2022")</f>
        <v>Revisado 15/06/2022</v>
      </c>
      <c r="AB116" s="40"/>
      <c r="AC116" s="40"/>
      <c r="AD116" s="40"/>
      <c r="AE116" s="40"/>
      <c r="AF116" s="40"/>
      <c r="AG116" s="40"/>
      <c r="AH116" s="40"/>
      <c r="AI116" s="40"/>
      <c r="AJ116" s="40"/>
      <c r="AK116" s="40"/>
      <c r="AL116" s="40"/>
      <c r="AM116" s="40"/>
      <c r="AN116" s="40"/>
      <c r="AO116" s="40"/>
      <c r="AP116" s="40"/>
      <c r="AQ116" s="40"/>
      <c r="AR116" s="40"/>
      <c r="AS116" s="40"/>
      <c r="AT116" s="40"/>
      <c r="AU116" s="40" t="str">
        <f ca="1">IFERROR(__xludf.DUMMYFUNCTION("""COMPUTED_VALUE"""),"Procede_E_P")</f>
        <v>Procede_E_P</v>
      </c>
      <c r="AV116" s="40" t="str">
        <f ca="1">IFERROR(__xludf.DUMMYFUNCTION("""COMPUTED_VALUE"""),"EN FORMACION")</f>
        <v>EN FORMACION</v>
      </c>
      <c r="AW116" s="40" t="str">
        <f ca="1">IFERROR(__xludf.DUMMYFUNCTION("""COMPUTED_VALUE"""),"BIOCONSTRUCCION")</f>
        <v>BIOCONSTRUCCION</v>
      </c>
      <c r="AX116" s="141">
        <f ca="1">IFERROR(__xludf.DUMMYFUNCTION("""COMPUTED_VALUE"""),44848)</f>
        <v>44848</v>
      </c>
      <c r="AY116" s="40">
        <f ca="1">IFERROR(__xludf.DUMMYFUNCTION("""COMPUTED_VALUE"""),0)</f>
        <v>0</v>
      </c>
      <c r="AZ116" s="40">
        <f ca="1">IFERROR(__xludf.DUMMYFUNCTION("""COMPUTED_VALUE"""),1)</f>
        <v>1</v>
      </c>
      <c r="BA116" s="40">
        <f ca="1">IFERROR(__xludf.DUMMYFUNCTION("""COMPUTED_VALUE"""),0)</f>
        <v>0</v>
      </c>
      <c r="BB116" s="40">
        <f ca="1">IFERROR(__xludf.DUMMYFUNCTION("""COMPUTED_VALUE"""),0)</f>
        <v>0</v>
      </c>
      <c r="BC116" s="40">
        <f ca="1">IFERROR(__xludf.DUMMYFUNCTION("""COMPUTED_VALUE"""),1)</f>
        <v>1</v>
      </c>
      <c r="BD116" s="141">
        <f ca="1">IFERROR(__xludf.DUMMYFUNCTION("""COMPUTED_VALUE"""),43801)</f>
        <v>43801</v>
      </c>
      <c r="BE116" s="141">
        <f ca="1">IFERROR(__xludf.DUMMYFUNCTION("""COMPUTED_VALUE"""),44105)</f>
        <v>44105</v>
      </c>
      <c r="BF116" s="141">
        <f ca="1">IFERROR(__xludf.DUMMYFUNCTION("""COMPUTED_VALUE"""),44287)</f>
        <v>44287</v>
      </c>
      <c r="BG116" s="141">
        <f ca="1">IFERROR(__xludf.DUMMYFUNCTION("""COMPUTED_VALUE"""),44835)</f>
        <v>44835</v>
      </c>
      <c r="BH116" s="40" t="str">
        <f ca="1">IFERROR(__xludf.DUMMYFUNCTION("""COMPUTED_VALUE"""),"FINALIZAR FICHA")</f>
        <v>FINALIZAR FICHA</v>
      </c>
      <c r="BI116" s="40" t="str">
        <f ca="1">IFERROR(__xludf.DUMMYFUNCTION("""COMPUTED_VALUE"""),"Terminada por fecha")</f>
        <v>Terminada por fecha</v>
      </c>
      <c r="BJ116" s="40" t="str">
        <f ca="1">IFERROR(__xludf.DUMMYFUNCTION("""COMPUTED_VALUE"""),"Yamboro")</f>
        <v>Yamboro</v>
      </c>
      <c r="BK116" s="40"/>
      <c r="BL116" s="40"/>
    </row>
    <row r="117" spans="1:64" ht="13">
      <c r="A117" s="40"/>
      <c r="B117" s="40" t="str">
        <f ca="1">IFERROR(__xludf.DUMMYFUNCTION("""COMPUTED_VALUE"""),"FORMACIÓN 19//07/2022")</f>
        <v>FORMACIÓN 19//07/2022</v>
      </c>
      <c r="C117" s="40" t="str">
        <f ca="1">IFERROR(__xludf.DUMMYFUNCTION("""COMPUTED_VALUE"""),"LUIS ANTONIO SANCHEZ CAMAYO")</f>
        <v>LUIS ANTONIO SANCHEZ CAMAYO</v>
      </c>
      <c r="D117" s="40" t="str">
        <f ca="1">IFERROR(__xludf.DUMMYFUNCTION("""COMPUTED_VALUE"""),"CC")</f>
        <v>CC</v>
      </c>
      <c r="E117" s="40">
        <f ca="1">IFERROR(__xludf.DUMMYFUNCTION("""COMPUTED_VALUE"""),83041216)</f>
        <v>83041216</v>
      </c>
      <c r="F117" s="40">
        <f ca="1">IFERROR(__xludf.DUMMYFUNCTION("""COMPUTED_VALUE"""),2055235)</f>
        <v>2055235</v>
      </c>
      <c r="G117" s="40" t="str">
        <f ca="1">IFERROR(__xludf.DUMMYFUNCTION("""COMPUTED_VALUE"""),"TÉCNICO")</f>
        <v>TÉCNICO</v>
      </c>
      <c r="H117" s="40" t="str">
        <f ca="1">IFERROR(__xludf.DUMMYFUNCTION("""COMPUTED_VALUE"""),"INSTALACIONES ELECTRICAS RESIDENCIALES")</f>
        <v>INSTALACIONES ELECTRICAS RESIDENCIALES</v>
      </c>
      <c r="I117" s="40"/>
      <c r="J117" s="40" t="str">
        <f ca="1">IFERROR(__xludf.DUMMYFUNCTION("""COMPUTED_VALUE"""),"luchosanchez8213@gmail.com")</f>
        <v>luchosanchez8213@gmail.com</v>
      </c>
      <c r="K117" s="40"/>
      <c r="L117" s="40" t="str">
        <f ca="1">IFERROR(__xludf.DUMMYFUNCTION("""COMPUTED_VALUE"""),"NO HA INICIADO ETAPA PRODUCTIVA")</f>
        <v>NO HA INICIADO ETAPA PRODUCTIVA</v>
      </c>
      <c r="M117" s="40"/>
      <c r="N117" s="40"/>
      <c r="O117" s="40"/>
      <c r="P117" s="40"/>
      <c r="Q117" s="40"/>
      <c r="R117" s="140"/>
      <c r="S117" s="140"/>
      <c r="T117" s="40" t="str">
        <f ca="1">IFERROR(__xludf.DUMMYFUNCTION("""COMPUTED_VALUE"""),"debe resultados de aprendizaje")</f>
        <v>debe resultados de aprendizaje</v>
      </c>
      <c r="U117" s="40"/>
      <c r="V117" s="40"/>
      <c r="W117" s="40"/>
      <c r="X117" s="40"/>
      <c r="Y117" s="40"/>
      <c r="Z117" s="40"/>
      <c r="AA117" s="40" t="str">
        <f ca="1">IFERROR(__xludf.DUMMYFUNCTION("""COMPUTED_VALUE"""),"Revisado 15/06/2022")</f>
        <v>Revisado 15/06/2022</v>
      </c>
      <c r="AB117" s="40"/>
      <c r="AC117" s="40"/>
      <c r="AD117" s="40"/>
      <c r="AE117" s="40"/>
      <c r="AF117" s="40"/>
      <c r="AG117" s="40"/>
      <c r="AH117" s="40"/>
      <c r="AI117" s="40"/>
      <c r="AJ117" s="40"/>
      <c r="AK117" s="40"/>
      <c r="AL117" s="40"/>
      <c r="AM117" s="40"/>
      <c r="AN117" s="40"/>
      <c r="AO117" s="40"/>
      <c r="AP117" s="40"/>
      <c r="AQ117" s="40"/>
      <c r="AR117" s="40"/>
      <c r="AS117" s="40"/>
      <c r="AT117" s="40"/>
      <c r="AU117" s="40" t="str">
        <f ca="1">IFERROR(__xludf.DUMMYFUNCTION("""COMPUTED_VALUE"""),"NO_CUMPLE")</f>
        <v>NO_CUMPLE</v>
      </c>
      <c r="AV117" s="40" t="str">
        <f ca="1">IFERROR(__xludf.DUMMYFUNCTION("""COMPUTED_VALUE"""),"EN FORMACION")</f>
        <v>EN FORMACION</v>
      </c>
      <c r="AW117" s="40" t="str">
        <f ca="1">IFERROR(__xludf.DUMMYFUNCTION("""COMPUTED_VALUE"""),"BIOCONSTRUCCION")</f>
        <v>BIOCONSTRUCCION</v>
      </c>
      <c r="AX117" s="141">
        <f ca="1">IFERROR(__xludf.DUMMYFUNCTION("""COMPUTED_VALUE"""),44848)</f>
        <v>44848</v>
      </c>
      <c r="AY117" s="40">
        <f ca="1">IFERROR(__xludf.DUMMYFUNCTION("""COMPUTED_VALUE"""),0)</f>
        <v>0</v>
      </c>
      <c r="AZ117" s="40">
        <f ca="1">IFERROR(__xludf.DUMMYFUNCTION("""COMPUTED_VALUE"""),1)</f>
        <v>1</v>
      </c>
      <c r="BA117" s="40">
        <f ca="1">IFERROR(__xludf.DUMMYFUNCTION("""COMPUTED_VALUE"""),6)</f>
        <v>6</v>
      </c>
      <c r="BB117" s="40">
        <f ca="1">IFERROR(__xludf.DUMMYFUNCTION("""COMPUTED_VALUE"""),6)</f>
        <v>6</v>
      </c>
      <c r="BC117" s="40">
        <f ca="1">IFERROR(__xludf.DUMMYFUNCTION("""COMPUTED_VALUE"""),13)</f>
        <v>13</v>
      </c>
      <c r="BD117" s="141">
        <f ca="1">IFERROR(__xludf.DUMMYFUNCTION("""COMPUTED_VALUE"""),43801)</f>
        <v>43801</v>
      </c>
      <c r="BE117" s="141">
        <f ca="1">IFERROR(__xludf.DUMMYFUNCTION("""COMPUTED_VALUE"""),44105)</f>
        <v>44105</v>
      </c>
      <c r="BF117" s="141">
        <f ca="1">IFERROR(__xludf.DUMMYFUNCTION("""COMPUTED_VALUE"""),44287)</f>
        <v>44287</v>
      </c>
      <c r="BG117" s="141">
        <f ca="1">IFERROR(__xludf.DUMMYFUNCTION("""COMPUTED_VALUE"""),44835)</f>
        <v>44835</v>
      </c>
      <c r="BH117" s="40" t="str">
        <f ca="1">IFERROR(__xludf.DUMMYFUNCTION("""COMPUTED_VALUE"""),"FINALIZAR FICHA")</f>
        <v>FINALIZAR FICHA</v>
      </c>
      <c r="BI117" s="40" t="str">
        <f ca="1">IFERROR(__xludf.DUMMYFUNCTION("""COMPUTED_VALUE"""),"Terminada por fecha")</f>
        <v>Terminada por fecha</v>
      </c>
      <c r="BJ117" s="40" t="str">
        <f ca="1">IFERROR(__xludf.DUMMYFUNCTION("""COMPUTED_VALUE"""),"Yamboro")</f>
        <v>Yamboro</v>
      </c>
      <c r="BK117" s="40"/>
      <c r="BL117" s="40"/>
    </row>
    <row r="118" spans="1:64" ht="13">
      <c r="A118" s="40"/>
      <c r="B118" s="40" t="str">
        <f ca="1">IFERROR(__xludf.DUMMYFUNCTION("""COMPUTED_VALUE"""),"FORMACIÓN 19//07/2022")</f>
        <v>FORMACIÓN 19//07/2022</v>
      </c>
      <c r="C118" s="40" t="str">
        <f ca="1">IFERROR(__xludf.DUMMYFUNCTION("""COMPUTED_VALUE"""),"SAMUEL OSORIO RODRIGUEZ")</f>
        <v>SAMUEL OSORIO RODRIGUEZ</v>
      </c>
      <c r="D118" s="40" t="str">
        <f ca="1">IFERROR(__xludf.DUMMYFUNCTION("""COMPUTED_VALUE"""),"CC")</f>
        <v>CC</v>
      </c>
      <c r="E118" s="40">
        <f ca="1">IFERROR(__xludf.DUMMYFUNCTION("""COMPUTED_VALUE"""),83117303)</f>
        <v>83117303</v>
      </c>
      <c r="F118" s="40">
        <f ca="1">IFERROR(__xludf.DUMMYFUNCTION("""COMPUTED_VALUE"""),2055235)</f>
        <v>2055235</v>
      </c>
      <c r="G118" s="40" t="str">
        <f ca="1">IFERROR(__xludf.DUMMYFUNCTION("""COMPUTED_VALUE"""),"TÉCNICO")</f>
        <v>TÉCNICO</v>
      </c>
      <c r="H118" s="40" t="str">
        <f ca="1">IFERROR(__xludf.DUMMYFUNCTION("""COMPUTED_VALUE"""),"INSTALACIONES ELECTRICAS RESIDENCIALES")</f>
        <v>INSTALACIONES ELECTRICAS RESIDENCIALES</v>
      </c>
      <c r="I118" s="40"/>
      <c r="J118" s="40" t="str">
        <f ca="1">IFERROR(__xludf.DUMMYFUNCTION("""COMPUTED_VALUE"""),"osorio.ejercito@hotmail.com")</f>
        <v>osorio.ejercito@hotmail.com</v>
      </c>
      <c r="K118" s="40"/>
      <c r="L118" s="40" t="str">
        <f ca="1">IFERROR(__xludf.DUMMYFUNCTION("""COMPUTED_VALUE"""),"NO HA INICIADO ETAPA PRODUCTIVA")</f>
        <v>NO HA INICIADO ETAPA PRODUCTIVA</v>
      </c>
      <c r="M118" s="40"/>
      <c r="N118" s="40"/>
      <c r="O118" s="40"/>
      <c r="P118" s="40"/>
      <c r="Q118" s="40"/>
      <c r="R118" s="140"/>
      <c r="S118" s="140"/>
      <c r="T118" s="40"/>
      <c r="U118" s="40"/>
      <c r="V118" s="40"/>
      <c r="W118" s="40"/>
      <c r="X118" s="40"/>
      <c r="Y118" s="40"/>
      <c r="Z118" s="40"/>
      <c r="AA118" s="40" t="str">
        <f ca="1">IFERROR(__xludf.DUMMYFUNCTION("""COMPUTED_VALUE"""),"Revisado 15/06/2022")</f>
        <v>Revisado 15/06/2022</v>
      </c>
      <c r="AB118" s="40"/>
      <c r="AC118" s="40"/>
      <c r="AD118" s="40"/>
      <c r="AE118" s="40"/>
      <c r="AF118" s="40"/>
      <c r="AG118" s="40"/>
      <c r="AH118" s="40"/>
      <c r="AI118" s="40"/>
      <c r="AJ118" s="40"/>
      <c r="AK118" s="40"/>
      <c r="AL118" s="40"/>
      <c r="AM118" s="40"/>
      <c r="AN118" s="40"/>
      <c r="AO118" s="40"/>
      <c r="AP118" s="40"/>
      <c r="AQ118" s="40"/>
      <c r="AR118" s="40"/>
      <c r="AS118" s="40"/>
      <c r="AT118" s="40"/>
      <c r="AU118" s="40" t="str">
        <f ca="1">IFERROR(__xludf.DUMMYFUNCTION("""COMPUTED_VALUE"""),"Procede_E_P")</f>
        <v>Procede_E_P</v>
      </c>
      <c r="AV118" s="40" t="str">
        <f ca="1">IFERROR(__xludf.DUMMYFUNCTION("""COMPUTED_VALUE"""),"EN FORMACION")</f>
        <v>EN FORMACION</v>
      </c>
      <c r="AW118" s="40" t="str">
        <f ca="1">IFERROR(__xludf.DUMMYFUNCTION("""COMPUTED_VALUE"""),"BIOCONSTRUCCION")</f>
        <v>BIOCONSTRUCCION</v>
      </c>
      <c r="AX118" s="141">
        <f ca="1">IFERROR(__xludf.DUMMYFUNCTION("""COMPUTED_VALUE"""),44848)</f>
        <v>44848</v>
      </c>
      <c r="AY118" s="40">
        <f ca="1">IFERROR(__xludf.DUMMYFUNCTION("""COMPUTED_VALUE"""),0)</f>
        <v>0</v>
      </c>
      <c r="AZ118" s="40">
        <f ca="1">IFERROR(__xludf.DUMMYFUNCTION("""COMPUTED_VALUE"""),1)</f>
        <v>1</v>
      </c>
      <c r="BA118" s="40">
        <f ca="1">IFERROR(__xludf.DUMMYFUNCTION("""COMPUTED_VALUE"""),0)</f>
        <v>0</v>
      </c>
      <c r="BB118" s="40">
        <f ca="1">IFERROR(__xludf.DUMMYFUNCTION("""COMPUTED_VALUE"""),0)</f>
        <v>0</v>
      </c>
      <c r="BC118" s="40">
        <f ca="1">IFERROR(__xludf.DUMMYFUNCTION("""COMPUTED_VALUE"""),1)</f>
        <v>1</v>
      </c>
      <c r="BD118" s="141">
        <f ca="1">IFERROR(__xludf.DUMMYFUNCTION("""COMPUTED_VALUE"""),43801)</f>
        <v>43801</v>
      </c>
      <c r="BE118" s="141">
        <f ca="1">IFERROR(__xludf.DUMMYFUNCTION("""COMPUTED_VALUE"""),44105)</f>
        <v>44105</v>
      </c>
      <c r="BF118" s="141">
        <f ca="1">IFERROR(__xludf.DUMMYFUNCTION("""COMPUTED_VALUE"""),44287)</f>
        <v>44287</v>
      </c>
      <c r="BG118" s="141">
        <f ca="1">IFERROR(__xludf.DUMMYFUNCTION("""COMPUTED_VALUE"""),44835)</f>
        <v>44835</v>
      </c>
      <c r="BH118" s="40" t="str">
        <f ca="1">IFERROR(__xludf.DUMMYFUNCTION("""COMPUTED_VALUE"""),"FINALIZAR FICHA")</f>
        <v>FINALIZAR FICHA</v>
      </c>
      <c r="BI118" s="40" t="str">
        <f ca="1">IFERROR(__xludf.DUMMYFUNCTION("""COMPUTED_VALUE"""),"Terminada por fecha")</f>
        <v>Terminada por fecha</v>
      </c>
      <c r="BJ118" s="40" t="str">
        <f ca="1">IFERROR(__xludf.DUMMYFUNCTION("""COMPUTED_VALUE"""),"Yamboro")</f>
        <v>Yamboro</v>
      </c>
      <c r="BK118" s="40"/>
      <c r="BL118" s="40"/>
    </row>
    <row r="119" spans="1:64" ht="13">
      <c r="A119" s="40"/>
      <c r="B119" s="40" t="str">
        <f ca="1">IFERROR(__xludf.DUMMYFUNCTION("""COMPUTED_VALUE"""),"FORMACIÓN 19//07/2022")</f>
        <v>FORMACIÓN 19//07/2022</v>
      </c>
      <c r="C119" s="40" t="str">
        <f ca="1">IFERROR(__xludf.DUMMYFUNCTION("""COMPUTED_VALUE"""),"ALBEIRO DIAZ ROA")</f>
        <v>ALBEIRO DIAZ ROA</v>
      </c>
      <c r="D119" s="40" t="str">
        <f ca="1">IFERROR(__xludf.DUMMYFUNCTION("""COMPUTED_VALUE"""),"CC")</f>
        <v>CC</v>
      </c>
      <c r="E119" s="40">
        <f ca="1">IFERROR(__xludf.DUMMYFUNCTION("""COMPUTED_VALUE"""),83161215)</f>
        <v>83161215</v>
      </c>
      <c r="F119" s="40">
        <f ca="1">IFERROR(__xludf.DUMMYFUNCTION("""COMPUTED_VALUE"""),2055235)</f>
        <v>2055235</v>
      </c>
      <c r="G119" s="40" t="str">
        <f ca="1">IFERROR(__xludf.DUMMYFUNCTION("""COMPUTED_VALUE"""),"TÉCNICO")</f>
        <v>TÉCNICO</v>
      </c>
      <c r="H119" s="40" t="str">
        <f ca="1">IFERROR(__xludf.DUMMYFUNCTION("""COMPUTED_VALUE"""),"INSTALACIONES ELECTRICAS RESIDENCIALES")</f>
        <v>INSTALACIONES ELECTRICAS RESIDENCIALES</v>
      </c>
      <c r="I119" s="40">
        <f ca="1">IFERROR(__xludf.DUMMYFUNCTION("""COMPUTED_VALUE"""),3144431820)</f>
        <v>3144431820</v>
      </c>
      <c r="J119" s="40" t="str">
        <f ca="1">IFERROR(__xludf.DUMMYFUNCTION("""COMPUTED_VALUE"""),"albeirodiaz20@hotmail.com")</f>
        <v>albeirodiaz20@hotmail.com</v>
      </c>
      <c r="K119" s="40" t="str">
        <f ca="1">IFERROR(__xludf.DUMMYFUNCTION("""COMPUTED_VALUE"""),"PITALITO")</f>
        <v>PITALITO</v>
      </c>
      <c r="L119" s="40" t="str">
        <f ca="1">IFERROR(__xludf.DUMMYFUNCTION("""COMPUTED_VALUE"""),"NO HA INICIADO ETAPA PRODUCTIVA")</f>
        <v>NO HA INICIADO ETAPA PRODUCTIVA</v>
      </c>
      <c r="M119" s="40"/>
      <c r="N119" s="40"/>
      <c r="O119" s="40"/>
      <c r="P119" s="40"/>
      <c r="Q119" s="40"/>
      <c r="R119" s="140"/>
      <c r="S119" s="140"/>
      <c r="T119" s="40" t="str">
        <f ca="1">IFERROR(__xludf.DUMMYFUNCTION("""COMPUTED_VALUE"""),"se llamó y dice que esá pendiente de legalizar")</f>
        <v>se llamó y dice que esá pendiente de legalizar</v>
      </c>
      <c r="U119" s="40"/>
      <c r="V119" s="40"/>
      <c r="W119" s="40"/>
      <c r="X119" s="40"/>
      <c r="Y119" s="40"/>
      <c r="Z119" s="40"/>
      <c r="AA119" s="40" t="str">
        <f ca="1">IFERROR(__xludf.DUMMYFUNCTION("""COMPUTED_VALUE"""),"Revisado 15/06/2022")</f>
        <v>Revisado 15/06/2022</v>
      </c>
      <c r="AB119" s="40"/>
      <c r="AC119" s="40"/>
      <c r="AD119" s="40"/>
      <c r="AE119" s="40"/>
      <c r="AF119" s="40"/>
      <c r="AG119" s="40"/>
      <c r="AH119" s="40"/>
      <c r="AI119" s="40"/>
      <c r="AJ119" s="40"/>
      <c r="AK119" s="40"/>
      <c r="AL119" s="40"/>
      <c r="AM119" s="40"/>
      <c r="AN119" s="40"/>
      <c r="AO119" s="40"/>
      <c r="AP119" s="40"/>
      <c r="AQ119" s="40"/>
      <c r="AR119" s="40"/>
      <c r="AS119" s="40"/>
      <c r="AT119" s="40"/>
      <c r="AU119" s="40" t="str">
        <f ca="1">IFERROR(__xludf.DUMMYFUNCTION("""COMPUTED_VALUE"""),"Procede_E_P")</f>
        <v>Procede_E_P</v>
      </c>
      <c r="AV119" s="40" t="str">
        <f ca="1">IFERROR(__xludf.DUMMYFUNCTION("""COMPUTED_VALUE"""),"EN FORMACION")</f>
        <v>EN FORMACION</v>
      </c>
      <c r="AW119" s="40" t="str">
        <f ca="1">IFERROR(__xludf.DUMMYFUNCTION("""COMPUTED_VALUE"""),"BIOCONSTRUCCION")</f>
        <v>BIOCONSTRUCCION</v>
      </c>
      <c r="AX119" s="141">
        <f ca="1">IFERROR(__xludf.DUMMYFUNCTION("""COMPUTED_VALUE"""),44848)</f>
        <v>44848</v>
      </c>
      <c r="AY119" s="40">
        <f ca="1">IFERROR(__xludf.DUMMYFUNCTION("""COMPUTED_VALUE"""),0)</f>
        <v>0</v>
      </c>
      <c r="AZ119" s="40">
        <f ca="1">IFERROR(__xludf.DUMMYFUNCTION("""COMPUTED_VALUE"""),1)</f>
        <v>1</v>
      </c>
      <c r="BA119" s="40">
        <f ca="1">IFERROR(__xludf.DUMMYFUNCTION("""COMPUTED_VALUE"""),0)</f>
        <v>0</v>
      </c>
      <c r="BB119" s="40">
        <f ca="1">IFERROR(__xludf.DUMMYFUNCTION("""COMPUTED_VALUE"""),0)</f>
        <v>0</v>
      </c>
      <c r="BC119" s="40">
        <f ca="1">IFERROR(__xludf.DUMMYFUNCTION("""COMPUTED_VALUE"""),1)</f>
        <v>1</v>
      </c>
      <c r="BD119" s="141">
        <f ca="1">IFERROR(__xludf.DUMMYFUNCTION("""COMPUTED_VALUE"""),43801)</f>
        <v>43801</v>
      </c>
      <c r="BE119" s="141">
        <f ca="1">IFERROR(__xludf.DUMMYFUNCTION("""COMPUTED_VALUE"""),44105)</f>
        <v>44105</v>
      </c>
      <c r="BF119" s="141">
        <f ca="1">IFERROR(__xludf.DUMMYFUNCTION("""COMPUTED_VALUE"""),44287)</f>
        <v>44287</v>
      </c>
      <c r="BG119" s="141">
        <f ca="1">IFERROR(__xludf.DUMMYFUNCTION("""COMPUTED_VALUE"""),44835)</f>
        <v>44835</v>
      </c>
      <c r="BH119" s="40" t="str">
        <f ca="1">IFERROR(__xludf.DUMMYFUNCTION("""COMPUTED_VALUE"""),"FINALIZAR FICHA")</f>
        <v>FINALIZAR FICHA</v>
      </c>
      <c r="BI119" s="40" t="str">
        <f ca="1">IFERROR(__xludf.DUMMYFUNCTION("""COMPUTED_VALUE"""),"Terminada por fecha")</f>
        <v>Terminada por fecha</v>
      </c>
      <c r="BJ119" s="40" t="str">
        <f ca="1">IFERROR(__xludf.DUMMYFUNCTION("""COMPUTED_VALUE"""),"Yamboro")</f>
        <v>Yamboro</v>
      </c>
      <c r="BK119" s="40"/>
      <c r="BL119" s="40"/>
    </row>
    <row r="120" spans="1:64" ht="13">
      <c r="A120" s="40"/>
      <c r="B120" s="40" t="str">
        <f ca="1">IFERROR(__xludf.DUMMYFUNCTION("""COMPUTED_VALUE"""),"FORMACIÓN 19//07/2022")</f>
        <v>FORMACIÓN 19//07/2022</v>
      </c>
      <c r="C120" s="40" t="str">
        <f ca="1">IFERROR(__xludf.DUMMYFUNCTION("""COMPUTED_VALUE"""),"YUVI JOEL RIVERA CABRERA")</f>
        <v>YUVI JOEL RIVERA CABRERA</v>
      </c>
      <c r="D120" s="40" t="str">
        <f ca="1">IFERROR(__xludf.DUMMYFUNCTION("""COMPUTED_VALUE"""),"CC")</f>
        <v>CC</v>
      </c>
      <c r="E120" s="40">
        <f ca="1">IFERROR(__xludf.DUMMYFUNCTION("""COMPUTED_VALUE"""),83211699)</f>
        <v>83211699</v>
      </c>
      <c r="F120" s="40">
        <f ca="1">IFERROR(__xludf.DUMMYFUNCTION("""COMPUTED_VALUE"""),2055235)</f>
        <v>2055235</v>
      </c>
      <c r="G120" s="40" t="str">
        <f ca="1">IFERROR(__xludf.DUMMYFUNCTION("""COMPUTED_VALUE"""),"TÉCNICO")</f>
        <v>TÉCNICO</v>
      </c>
      <c r="H120" s="40" t="str">
        <f ca="1">IFERROR(__xludf.DUMMYFUNCTION("""COMPUTED_VALUE"""),"INSTALACIONES ELECTRICAS RESIDENCIALES")</f>
        <v>INSTALACIONES ELECTRICAS RESIDENCIALES</v>
      </c>
      <c r="I120" s="40">
        <f ca="1">IFERROR(__xludf.DUMMYFUNCTION("""COMPUTED_VALUE"""),3204530826)</f>
        <v>3204530826</v>
      </c>
      <c r="J120" s="40" t="str">
        <f ca="1">IFERROR(__xludf.DUMMYFUNCTION("""COMPUTED_VALUE"""),"yina.07@hotmail.com")</f>
        <v>yina.07@hotmail.com</v>
      </c>
      <c r="K120" s="40" t="str">
        <f ca="1">IFERROR(__xludf.DUMMYFUNCTION("""COMPUTED_VALUE"""),"PITALITO")</f>
        <v>PITALITO</v>
      </c>
      <c r="L120" s="40" t="str">
        <f ca="1">IFERROR(__xludf.DUMMYFUNCTION("""COMPUTED_VALUE"""),"NO HA INICIADO ETAPA PRODUCTIVA")</f>
        <v>NO HA INICIADO ETAPA PRODUCTIVA</v>
      </c>
      <c r="M120" s="40"/>
      <c r="N120" s="40"/>
      <c r="O120" s="40"/>
      <c r="P120" s="40"/>
      <c r="Q120" s="40"/>
      <c r="R120" s="140"/>
      <c r="S120" s="140"/>
      <c r="T120" s="40"/>
      <c r="U120" s="40"/>
      <c r="V120" s="40"/>
      <c r="W120" s="40"/>
      <c r="X120" s="40"/>
      <c r="Y120" s="40"/>
      <c r="Z120" s="40"/>
      <c r="AA120" s="40" t="str">
        <f ca="1">IFERROR(__xludf.DUMMYFUNCTION("""COMPUTED_VALUE"""),"Revisado 15/06/2022")</f>
        <v>Revisado 15/06/2022</v>
      </c>
      <c r="AB120" s="40"/>
      <c r="AC120" s="40"/>
      <c r="AD120" s="40"/>
      <c r="AE120" s="40"/>
      <c r="AF120" s="40"/>
      <c r="AG120" s="40"/>
      <c r="AH120" s="40"/>
      <c r="AI120" s="40"/>
      <c r="AJ120" s="40"/>
      <c r="AK120" s="40"/>
      <c r="AL120" s="40"/>
      <c r="AM120" s="40"/>
      <c r="AN120" s="40"/>
      <c r="AO120" s="40"/>
      <c r="AP120" s="40"/>
      <c r="AQ120" s="40"/>
      <c r="AR120" s="40"/>
      <c r="AS120" s="40"/>
      <c r="AT120" s="40"/>
      <c r="AU120" s="40" t="str">
        <f ca="1">IFERROR(__xludf.DUMMYFUNCTION("""COMPUTED_VALUE"""),"Procede_E_P")</f>
        <v>Procede_E_P</v>
      </c>
      <c r="AV120" s="40" t="str">
        <f ca="1">IFERROR(__xludf.DUMMYFUNCTION("""COMPUTED_VALUE"""),"EN FORMACION")</f>
        <v>EN FORMACION</v>
      </c>
      <c r="AW120" s="40" t="str">
        <f ca="1">IFERROR(__xludf.DUMMYFUNCTION("""COMPUTED_VALUE"""),"BIOCONSTRUCCION")</f>
        <v>BIOCONSTRUCCION</v>
      </c>
      <c r="AX120" s="141">
        <f ca="1">IFERROR(__xludf.DUMMYFUNCTION("""COMPUTED_VALUE"""),44848)</f>
        <v>44848</v>
      </c>
      <c r="AY120" s="40">
        <f ca="1">IFERROR(__xludf.DUMMYFUNCTION("""COMPUTED_VALUE"""),0)</f>
        <v>0</v>
      </c>
      <c r="AZ120" s="40">
        <f ca="1">IFERROR(__xludf.DUMMYFUNCTION("""COMPUTED_VALUE"""),1)</f>
        <v>1</v>
      </c>
      <c r="BA120" s="40">
        <f ca="1">IFERROR(__xludf.DUMMYFUNCTION("""COMPUTED_VALUE"""),0)</f>
        <v>0</v>
      </c>
      <c r="BB120" s="40">
        <f ca="1">IFERROR(__xludf.DUMMYFUNCTION("""COMPUTED_VALUE"""),0)</f>
        <v>0</v>
      </c>
      <c r="BC120" s="40">
        <f ca="1">IFERROR(__xludf.DUMMYFUNCTION("""COMPUTED_VALUE"""),1)</f>
        <v>1</v>
      </c>
      <c r="BD120" s="141">
        <f ca="1">IFERROR(__xludf.DUMMYFUNCTION("""COMPUTED_VALUE"""),43801)</f>
        <v>43801</v>
      </c>
      <c r="BE120" s="141">
        <f ca="1">IFERROR(__xludf.DUMMYFUNCTION("""COMPUTED_VALUE"""),44105)</f>
        <v>44105</v>
      </c>
      <c r="BF120" s="141">
        <f ca="1">IFERROR(__xludf.DUMMYFUNCTION("""COMPUTED_VALUE"""),44287)</f>
        <v>44287</v>
      </c>
      <c r="BG120" s="141">
        <f ca="1">IFERROR(__xludf.DUMMYFUNCTION("""COMPUTED_VALUE"""),44835)</f>
        <v>44835</v>
      </c>
      <c r="BH120" s="40" t="str">
        <f ca="1">IFERROR(__xludf.DUMMYFUNCTION("""COMPUTED_VALUE"""),"FINALIZAR FICHA")</f>
        <v>FINALIZAR FICHA</v>
      </c>
      <c r="BI120" s="40" t="str">
        <f ca="1">IFERROR(__xludf.DUMMYFUNCTION("""COMPUTED_VALUE"""),"Terminada por fecha")</f>
        <v>Terminada por fecha</v>
      </c>
      <c r="BJ120" s="40" t="str">
        <f ca="1">IFERROR(__xludf.DUMMYFUNCTION("""COMPUTED_VALUE"""),"Yamboro")</f>
        <v>Yamboro</v>
      </c>
      <c r="BK120" s="40"/>
      <c r="BL120" s="40"/>
    </row>
    <row r="121" spans="1:64" ht="13">
      <c r="A121" s="40"/>
      <c r="B121" s="40" t="str">
        <f ca="1">IFERROR(__xludf.DUMMYFUNCTION("""COMPUTED_VALUE"""),"FORMACIÓN 19//07/2022")</f>
        <v>FORMACIÓN 19//07/2022</v>
      </c>
      <c r="C121" s="40" t="str">
        <f ca="1">IFERROR(__xludf.DUMMYFUNCTION("""COMPUTED_VALUE"""),"WILMAR CARDOSO ANACONA")</f>
        <v>WILMAR CARDOSO ANACONA</v>
      </c>
      <c r="D121" s="40" t="str">
        <f ca="1">IFERROR(__xludf.DUMMYFUNCTION("""COMPUTED_VALUE"""),"CC")</f>
        <v>CC</v>
      </c>
      <c r="E121" s="40">
        <f ca="1">IFERROR(__xludf.DUMMYFUNCTION("""COMPUTED_VALUE"""),83232529)</f>
        <v>83232529</v>
      </c>
      <c r="F121" s="40">
        <f ca="1">IFERROR(__xludf.DUMMYFUNCTION("""COMPUTED_VALUE"""),2055235)</f>
        <v>2055235</v>
      </c>
      <c r="G121" s="40" t="str">
        <f ca="1">IFERROR(__xludf.DUMMYFUNCTION("""COMPUTED_VALUE"""),"TÉCNICO")</f>
        <v>TÉCNICO</v>
      </c>
      <c r="H121" s="40" t="str">
        <f ca="1">IFERROR(__xludf.DUMMYFUNCTION("""COMPUTED_VALUE"""),"INSTALACIONES ELECTRICAS RESIDENCIALES")</f>
        <v>INSTALACIONES ELECTRICAS RESIDENCIALES</v>
      </c>
      <c r="I121" s="40"/>
      <c r="J121" s="40" t="str">
        <f ca="1">IFERROR(__xludf.DUMMYFUNCTION("""COMPUTED_VALUE"""),"Wilmarcardosoanacona1979@gmail.com")</f>
        <v>Wilmarcardosoanacona1979@gmail.com</v>
      </c>
      <c r="K121" s="40"/>
      <c r="L121" s="40" t="str">
        <f ca="1">IFERROR(__xludf.DUMMYFUNCTION("""COMPUTED_VALUE"""),"NO HA INICIADO ETAPA PRODUCTIVA")</f>
        <v>NO HA INICIADO ETAPA PRODUCTIVA</v>
      </c>
      <c r="M121" s="40"/>
      <c r="N121" s="40"/>
      <c r="O121" s="40"/>
      <c r="P121" s="40"/>
      <c r="Q121" s="40"/>
      <c r="R121" s="140"/>
      <c r="S121" s="140"/>
      <c r="T121" s="40"/>
      <c r="U121" s="40"/>
      <c r="V121" s="40"/>
      <c r="W121" s="40"/>
      <c r="X121" s="40"/>
      <c r="Y121" s="40"/>
      <c r="Z121" s="40"/>
      <c r="AA121" s="40" t="str">
        <f ca="1">IFERROR(__xludf.DUMMYFUNCTION("""COMPUTED_VALUE"""),"Revisado 15/06/2022")</f>
        <v>Revisado 15/06/2022</v>
      </c>
      <c r="AB121" s="40"/>
      <c r="AC121" s="40"/>
      <c r="AD121" s="40"/>
      <c r="AE121" s="40"/>
      <c r="AF121" s="40"/>
      <c r="AG121" s="40"/>
      <c r="AH121" s="40"/>
      <c r="AI121" s="40"/>
      <c r="AJ121" s="40"/>
      <c r="AK121" s="40"/>
      <c r="AL121" s="40"/>
      <c r="AM121" s="40"/>
      <c r="AN121" s="40"/>
      <c r="AO121" s="40"/>
      <c r="AP121" s="40"/>
      <c r="AQ121" s="40"/>
      <c r="AR121" s="40"/>
      <c r="AS121" s="40"/>
      <c r="AT121" s="40"/>
      <c r="AU121" s="40" t="str">
        <f ca="1">IFERROR(__xludf.DUMMYFUNCTION("""COMPUTED_VALUE"""),"Procede_E_P")</f>
        <v>Procede_E_P</v>
      </c>
      <c r="AV121" s="40" t="str">
        <f ca="1">IFERROR(__xludf.DUMMYFUNCTION("""COMPUTED_VALUE"""),"EN FORMACION")</f>
        <v>EN FORMACION</v>
      </c>
      <c r="AW121" s="40" t="str">
        <f ca="1">IFERROR(__xludf.DUMMYFUNCTION("""COMPUTED_VALUE"""),"BIOCONSTRUCCION")</f>
        <v>BIOCONSTRUCCION</v>
      </c>
      <c r="AX121" s="141">
        <f ca="1">IFERROR(__xludf.DUMMYFUNCTION("""COMPUTED_VALUE"""),44848)</f>
        <v>44848</v>
      </c>
      <c r="AY121" s="40">
        <f ca="1">IFERROR(__xludf.DUMMYFUNCTION("""COMPUTED_VALUE"""),0)</f>
        <v>0</v>
      </c>
      <c r="AZ121" s="40">
        <f ca="1">IFERROR(__xludf.DUMMYFUNCTION("""COMPUTED_VALUE"""),1)</f>
        <v>1</v>
      </c>
      <c r="BA121" s="40">
        <f ca="1">IFERROR(__xludf.DUMMYFUNCTION("""COMPUTED_VALUE"""),0)</f>
        <v>0</v>
      </c>
      <c r="BB121" s="40">
        <f ca="1">IFERROR(__xludf.DUMMYFUNCTION("""COMPUTED_VALUE"""),0)</f>
        <v>0</v>
      </c>
      <c r="BC121" s="40">
        <f ca="1">IFERROR(__xludf.DUMMYFUNCTION("""COMPUTED_VALUE"""),1)</f>
        <v>1</v>
      </c>
      <c r="BD121" s="141">
        <f ca="1">IFERROR(__xludf.DUMMYFUNCTION("""COMPUTED_VALUE"""),43801)</f>
        <v>43801</v>
      </c>
      <c r="BE121" s="141">
        <f ca="1">IFERROR(__xludf.DUMMYFUNCTION("""COMPUTED_VALUE"""),44105)</f>
        <v>44105</v>
      </c>
      <c r="BF121" s="141">
        <f ca="1">IFERROR(__xludf.DUMMYFUNCTION("""COMPUTED_VALUE"""),44287)</f>
        <v>44287</v>
      </c>
      <c r="BG121" s="141">
        <f ca="1">IFERROR(__xludf.DUMMYFUNCTION("""COMPUTED_VALUE"""),44835)</f>
        <v>44835</v>
      </c>
      <c r="BH121" s="40" t="str">
        <f ca="1">IFERROR(__xludf.DUMMYFUNCTION("""COMPUTED_VALUE"""),"FINALIZAR FICHA")</f>
        <v>FINALIZAR FICHA</v>
      </c>
      <c r="BI121" s="40" t="str">
        <f ca="1">IFERROR(__xludf.DUMMYFUNCTION("""COMPUTED_VALUE"""),"Terminada por fecha")</f>
        <v>Terminada por fecha</v>
      </c>
      <c r="BJ121" s="40" t="str">
        <f ca="1">IFERROR(__xludf.DUMMYFUNCTION("""COMPUTED_VALUE"""),"Yamboro")</f>
        <v>Yamboro</v>
      </c>
      <c r="BK121" s="40"/>
      <c r="BL121" s="40"/>
    </row>
    <row r="122" spans="1:64" ht="13">
      <c r="A122" s="40"/>
      <c r="B122" s="40" t="str">
        <f ca="1">IFERROR(__xludf.DUMMYFUNCTION("""COMPUTED_VALUE"""),"FORMACIÓN 19//07/2022")</f>
        <v>FORMACIÓN 19//07/2022</v>
      </c>
      <c r="C122" s="40" t="str">
        <f ca="1">IFERROR(__xludf.DUMMYFUNCTION("""COMPUTED_VALUE"""),"HERMIDES PEDRAZA CONDE")</f>
        <v>HERMIDES PEDRAZA CONDE</v>
      </c>
      <c r="D122" s="40" t="str">
        <f ca="1">IFERROR(__xludf.DUMMYFUNCTION("""COMPUTED_VALUE"""),"CC")</f>
        <v>CC</v>
      </c>
      <c r="E122" s="40">
        <f ca="1">IFERROR(__xludf.DUMMYFUNCTION("""COMPUTED_VALUE"""),83234915)</f>
        <v>83234915</v>
      </c>
      <c r="F122" s="40">
        <f ca="1">IFERROR(__xludf.DUMMYFUNCTION("""COMPUTED_VALUE"""),2055235)</f>
        <v>2055235</v>
      </c>
      <c r="G122" s="40" t="str">
        <f ca="1">IFERROR(__xludf.DUMMYFUNCTION("""COMPUTED_VALUE"""),"TÉCNICO")</f>
        <v>TÉCNICO</v>
      </c>
      <c r="H122" s="40" t="str">
        <f ca="1">IFERROR(__xludf.DUMMYFUNCTION("""COMPUTED_VALUE"""),"INSTALACIONES ELECTRICAS RESIDENCIALES")</f>
        <v>INSTALACIONES ELECTRICAS RESIDENCIALES</v>
      </c>
      <c r="I122" s="40">
        <f ca="1">IFERROR(__xludf.DUMMYFUNCTION("""COMPUTED_VALUE"""),3001222222)</f>
        <v>3001222222</v>
      </c>
      <c r="J122" s="40" t="str">
        <f ca="1">IFERROR(__xludf.DUMMYFUNCTION("""COMPUTED_VALUE"""),"pedrazaconde@gmail.com")</f>
        <v>pedrazaconde@gmail.com</v>
      </c>
      <c r="K122" s="40"/>
      <c r="L122" s="40" t="str">
        <f ca="1">IFERROR(__xludf.DUMMYFUNCTION("""COMPUTED_VALUE"""),"NO HA INICIADO ETAPA PRODUCTIVA")</f>
        <v>NO HA INICIADO ETAPA PRODUCTIVA</v>
      </c>
      <c r="M122" s="40"/>
      <c r="N122" s="40"/>
      <c r="O122" s="40"/>
      <c r="P122" s="40"/>
      <c r="Q122" s="40"/>
      <c r="R122" s="140"/>
      <c r="S122" s="140"/>
      <c r="T122" s="40"/>
      <c r="U122" s="40"/>
      <c r="V122" s="40"/>
      <c r="W122" s="40"/>
      <c r="X122" s="40"/>
      <c r="Y122" s="40"/>
      <c r="Z122" s="40"/>
      <c r="AA122" s="40" t="str">
        <f ca="1">IFERROR(__xludf.DUMMYFUNCTION("""COMPUTED_VALUE"""),"Revisado 15/06/2022")</f>
        <v>Revisado 15/06/2022</v>
      </c>
      <c r="AB122" s="40"/>
      <c r="AC122" s="40"/>
      <c r="AD122" s="40"/>
      <c r="AE122" s="40"/>
      <c r="AF122" s="40"/>
      <c r="AG122" s="40"/>
      <c r="AH122" s="40"/>
      <c r="AI122" s="40"/>
      <c r="AJ122" s="40"/>
      <c r="AK122" s="40"/>
      <c r="AL122" s="40"/>
      <c r="AM122" s="40"/>
      <c r="AN122" s="40"/>
      <c r="AO122" s="40"/>
      <c r="AP122" s="40"/>
      <c r="AQ122" s="40"/>
      <c r="AR122" s="40"/>
      <c r="AS122" s="40"/>
      <c r="AT122" s="40"/>
      <c r="AU122" s="40" t="str">
        <f ca="1">IFERROR(__xludf.DUMMYFUNCTION("""COMPUTED_VALUE"""),"Procede_E_P")</f>
        <v>Procede_E_P</v>
      </c>
      <c r="AV122" s="40" t="str">
        <f ca="1">IFERROR(__xludf.DUMMYFUNCTION("""COMPUTED_VALUE"""),"EN FORMACION")</f>
        <v>EN FORMACION</v>
      </c>
      <c r="AW122" s="40" t="str">
        <f ca="1">IFERROR(__xludf.DUMMYFUNCTION("""COMPUTED_VALUE"""),"BIOCONSTRUCCION")</f>
        <v>BIOCONSTRUCCION</v>
      </c>
      <c r="AX122" s="141">
        <f ca="1">IFERROR(__xludf.DUMMYFUNCTION("""COMPUTED_VALUE"""),44848)</f>
        <v>44848</v>
      </c>
      <c r="AY122" s="40">
        <f ca="1">IFERROR(__xludf.DUMMYFUNCTION("""COMPUTED_VALUE"""),0)</f>
        <v>0</v>
      </c>
      <c r="AZ122" s="40">
        <f ca="1">IFERROR(__xludf.DUMMYFUNCTION("""COMPUTED_VALUE"""),1)</f>
        <v>1</v>
      </c>
      <c r="BA122" s="40">
        <f ca="1">IFERROR(__xludf.DUMMYFUNCTION("""COMPUTED_VALUE"""),0)</f>
        <v>0</v>
      </c>
      <c r="BB122" s="40">
        <f ca="1">IFERROR(__xludf.DUMMYFUNCTION("""COMPUTED_VALUE"""),0)</f>
        <v>0</v>
      </c>
      <c r="BC122" s="40">
        <f ca="1">IFERROR(__xludf.DUMMYFUNCTION("""COMPUTED_VALUE"""),1)</f>
        <v>1</v>
      </c>
      <c r="BD122" s="141">
        <f ca="1">IFERROR(__xludf.DUMMYFUNCTION("""COMPUTED_VALUE"""),43801)</f>
        <v>43801</v>
      </c>
      <c r="BE122" s="141">
        <f ca="1">IFERROR(__xludf.DUMMYFUNCTION("""COMPUTED_VALUE"""),44105)</f>
        <v>44105</v>
      </c>
      <c r="BF122" s="141">
        <f ca="1">IFERROR(__xludf.DUMMYFUNCTION("""COMPUTED_VALUE"""),44287)</f>
        <v>44287</v>
      </c>
      <c r="BG122" s="141">
        <f ca="1">IFERROR(__xludf.DUMMYFUNCTION("""COMPUTED_VALUE"""),44835)</f>
        <v>44835</v>
      </c>
      <c r="BH122" s="40" t="str">
        <f ca="1">IFERROR(__xludf.DUMMYFUNCTION("""COMPUTED_VALUE"""),"FINALIZAR FICHA")</f>
        <v>FINALIZAR FICHA</v>
      </c>
      <c r="BI122" s="40" t="str">
        <f ca="1">IFERROR(__xludf.DUMMYFUNCTION("""COMPUTED_VALUE"""),"Terminada por fecha")</f>
        <v>Terminada por fecha</v>
      </c>
      <c r="BJ122" s="40" t="str">
        <f ca="1">IFERROR(__xludf.DUMMYFUNCTION("""COMPUTED_VALUE"""),"Yamboro")</f>
        <v>Yamboro</v>
      </c>
      <c r="BK122" s="40"/>
      <c r="BL122" s="40"/>
    </row>
    <row r="123" spans="1:64" ht="13">
      <c r="A123" s="40"/>
      <c r="B123" s="40" t="str">
        <f ca="1">IFERROR(__xludf.DUMMYFUNCTION("""COMPUTED_VALUE"""),"FORMACIÓN 19//07/2022")</f>
        <v>FORMACIÓN 19//07/2022</v>
      </c>
      <c r="C123" s="40" t="str">
        <f ca="1">IFERROR(__xludf.DUMMYFUNCTION("""COMPUTED_VALUE"""),"JHON FREDDY RUIZ GUERRERO")</f>
        <v>JHON FREDDY RUIZ GUERRERO</v>
      </c>
      <c r="D123" s="40" t="str">
        <f ca="1">IFERROR(__xludf.DUMMYFUNCTION("""COMPUTED_VALUE"""),"CC")</f>
        <v>CC</v>
      </c>
      <c r="E123" s="40">
        <f ca="1">IFERROR(__xludf.DUMMYFUNCTION("""COMPUTED_VALUE"""),86060191)</f>
        <v>86060191</v>
      </c>
      <c r="F123" s="40">
        <f ca="1">IFERROR(__xludf.DUMMYFUNCTION("""COMPUTED_VALUE"""),2055235)</f>
        <v>2055235</v>
      </c>
      <c r="G123" s="40" t="str">
        <f ca="1">IFERROR(__xludf.DUMMYFUNCTION("""COMPUTED_VALUE"""),"TÉCNICO")</f>
        <v>TÉCNICO</v>
      </c>
      <c r="H123" s="40" t="str">
        <f ca="1">IFERROR(__xludf.DUMMYFUNCTION("""COMPUTED_VALUE"""),"INSTALACIONES ELECTRICAS RESIDENCIALES")</f>
        <v>INSTALACIONES ELECTRICAS RESIDENCIALES</v>
      </c>
      <c r="I123" s="40">
        <f ca="1">IFERROR(__xludf.DUMMYFUNCTION("""COMPUTED_VALUE"""),3208801356)</f>
        <v>3208801356</v>
      </c>
      <c r="J123" s="40" t="str">
        <f ca="1">IFERROR(__xludf.DUMMYFUNCTION("""COMPUTED_VALUE"""),"fr0708955@gmail.com")</f>
        <v>fr0708955@gmail.com</v>
      </c>
      <c r="K123" s="40"/>
      <c r="L123" s="40" t="str">
        <f ca="1">IFERROR(__xludf.DUMMYFUNCTION("""COMPUTED_VALUE"""),"NO HA INICIADO ETAPA PRODUCTIVA")</f>
        <v>NO HA INICIADO ETAPA PRODUCTIVA</v>
      </c>
      <c r="M123" s="40"/>
      <c r="N123" s="40"/>
      <c r="O123" s="40"/>
      <c r="P123" s="40"/>
      <c r="Q123" s="40"/>
      <c r="R123" s="140"/>
      <c r="S123" s="140"/>
      <c r="T123" s="40" t="str">
        <f ca="1">IFERROR(__xludf.DUMMYFUNCTION("""COMPUTED_VALUE"""),"debe resultados de aprendizaje")</f>
        <v>debe resultados de aprendizaje</v>
      </c>
      <c r="U123" s="40"/>
      <c r="V123" s="40"/>
      <c r="W123" s="40"/>
      <c r="X123" s="40"/>
      <c r="Y123" s="40"/>
      <c r="Z123" s="40"/>
      <c r="AA123" s="40" t="str">
        <f ca="1">IFERROR(__xludf.DUMMYFUNCTION("""COMPUTED_VALUE"""),"Revisado 15/06/2022")</f>
        <v>Revisado 15/06/2022</v>
      </c>
      <c r="AB123" s="40"/>
      <c r="AC123" s="40"/>
      <c r="AD123" s="40"/>
      <c r="AE123" s="40"/>
      <c r="AF123" s="40"/>
      <c r="AG123" s="40"/>
      <c r="AH123" s="40"/>
      <c r="AI123" s="40"/>
      <c r="AJ123" s="40"/>
      <c r="AK123" s="40"/>
      <c r="AL123" s="40"/>
      <c r="AM123" s="40"/>
      <c r="AN123" s="40"/>
      <c r="AO123" s="40"/>
      <c r="AP123" s="40"/>
      <c r="AQ123" s="40"/>
      <c r="AR123" s="40"/>
      <c r="AS123" s="40"/>
      <c r="AT123" s="40"/>
      <c r="AU123" s="40" t="str">
        <f ca="1">IFERROR(__xludf.DUMMYFUNCTION("""COMPUTED_VALUE"""),"NO_CUMPLE")</f>
        <v>NO_CUMPLE</v>
      </c>
      <c r="AV123" s="40" t="str">
        <f ca="1">IFERROR(__xludf.DUMMYFUNCTION("""COMPUTED_VALUE"""),"EN FORMACION")</f>
        <v>EN FORMACION</v>
      </c>
      <c r="AW123" s="40" t="str">
        <f ca="1">IFERROR(__xludf.DUMMYFUNCTION("""COMPUTED_VALUE"""),"BIOCONSTRUCCION")</f>
        <v>BIOCONSTRUCCION</v>
      </c>
      <c r="AX123" s="141">
        <f ca="1">IFERROR(__xludf.DUMMYFUNCTION("""COMPUTED_VALUE"""),44848)</f>
        <v>44848</v>
      </c>
      <c r="AY123" s="40">
        <f ca="1">IFERROR(__xludf.DUMMYFUNCTION("""COMPUTED_VALUE"""),1)</f>
        <v>1</v>
      </c>
      <c r="AZ123" s="40">
        <f ca="1">IFERROR(__xludf.DUMMYFUNCTION("""COMPUTED_VALUE"""),1)</f>
        <v>1</v>
      </c>
      <c r="BA123" s="40">
        <f ca="1">IFERROR(__xludf.DUMMYFUNCTION("""COMPUTED_VALUE"""),0)</f>
        <v>0</v>
      </c>
      <c r="BB123" s="40">
        <f ca="1">IFERROR(__xludf.DUMMYFUNCTION("""COMPUTED_VALUE"""),4)</f>
        <v>4</v>
      </c>
      <c r="BC123" s="40">
        <f ca="1">IFERROR(__xludf.DUMMYFUNCTION("""COMPUTED_VALUE"""),6)</f>
        <v>6</v>
      </c>
      <c r="BD123" s="141">
        <f ca="1">IFERROR(__xludf.DUMMYFUNCTION("""COMPUTED_VALUE"""),43801)</f>
        <v>43801</v>
      </c>
      <c r="BE123" s="141">
        <f ca="1">IFERROR(__xludf.DUMMYFUNCTION("""COMPUTED_VALUE"""),44105)</f>
        <v>44105</v>
      </c>
      <c r="BF123" s="141">
        <f ca="1">IFERROR(__xludf.DUMMYFUNCTION("""COMPUTED_VALUE"""),44287)</f>
        <v>44287</v>
      </c>
      <c r="BG123" s="141">
        <f ca="1">IFERROR(__xludf.DUMMYFUNCTION("""COMPUTED_VALUE"""),44835)</f>
        <v>44835</v>
      </c>
      <c r="BH123" s="40" t="str">
        <f ca="1">IFERROR(__xludf.DUMMYFUNCTION("""COMPUTED_VALUE"""),"FINALIZAR FICHA")</f>
        <v>FINALIZAR FICHA</v>
      </c>
      <c r="BI123" s="40" t="str">
        <f ca="1">IFERROR(__xludf.DUMMYFUNCTION("""COMPUTED_VALUE"""),"Terminada por fecha")</f>
        <v>Terminada por fecha</v>
      </c>
      <c r="BJ123" s="40" t="str">
        <f ca="1">IFERROR(__xludf.DUMMYFUNCTION("""COMPUTED_VALUE"""),"Yamboro")</f>
        <v>Yamboro</v>
      </c>
      <c r="BK123" s="40"/>
      <c r="BL123" s="40"/>
    </row>
    <row r="124" spans="1:64" ht="13">
      <c r="A124" s="40"/>
      <c r="B124" s="40" t="str">
        <f ca="1">IFERROR(__xludf.DUMMYFUNCTION("""COMPUTED_VALUE"""),"FORMACIÓN 19//07/2022")</f>
        <v>FORMACIÓN 19//07/2022</v>
      </c>
      <c r="C124" s="40" t="str">
        <f ca="1">IFERROR(__xludf.DUMMYFUNCTION("""COMPUTED_VALUE"""),"JULIO FERNEY CAPERA OSPINA")</f>
        <v>JULIO FERNEY CAPERA OSPINA</v>
      </c>
      <c r="D124" s="40" t="str">
        <f ca="1">IFERROR(__xludf.DUMMYFUNCTION("""COMPUTED_VALUE"""),"CC")</f>
        <v>CC</v>
      </c>
      <c r="E124" s="40">
        <f ca="1">IFERROR(__xludf.DUMMYFUNCTION("""COMPUTED_VALUE"""),93020442)</f>
        <v>93020442</v>
      </c>
      <c r="F124" s="40">
        <f ca="1">IFERROR(__xludf.DUMMYFUNCTION("""COMPUTED_VALUE"""),2055235)</f>
        <v>2055235</v>
      </c>
      <c r="G124" s="40" t="str">
        <f ca="1">IFERROR(__xludf.DUMMYFUNCTION("""COMPUTED_VALUE"""),"TÉCNICO")</f>
        <v>TÉCNICO</v>
      </c>
      <c r="H124" s="40" t="str">
        <f ca="1">IFERROR(__xludf.DUMMYFUNCTION("""COMPUTED_VALUE"""),"INSTALACIONES ELECTRICAS RESIDENCIALES")</f>
        <v>INSTALACIONES ELECTRICAS RESIDENCIALES</v>
      </c>
      <c r="I124" s="40"/>
      <c r="J124" s="40" t="str">
        <f ca="1">IFERROR(__xludf.DUMMYFUNCTION("""COMPUTED_VALUE"""),"juliocapera1@gmail.com")</f>
        <v>juliocapera1@gmail.com</v>
      </c>
      <c r="K124" s="40"/>
      <c r="L124" s="40" t="str">
        <f ca="1">IFERROR(__xludf.DUMMYFUNCTION("""COMPUTED_VALUE"""),"NO HA INICIADO ETAPA PRODUCTIVA")</f>
        <v>NO HA INICIADO ETAPA PRODUCTIVA</v>
      </c>
      <c r="M124" s="40"/>
      <c r="N124" s="40"/>
      <c r="O124" s="40"/>
      <c r="P124" s="40"/>
      <c r="Q124" s="40"/>
      <c r="R124" s="140"/>
      <c r="S124" s="140"/>
      <c r="T124" s="40" t="str">
        <f ca="1">IFERROR(__xludf.DUMMYFUNCTION("""COMPUTED_VALUE"""),"debe resultados de aprendizaje")</f>
        <v>debe resultados de aprendizaje</v>
      </c>
      <c r="U124" s="40"/>
      <c r="V124" s="40"/>
      <c r="W124" s="40"/>
      <c r="X124" s="40"/>
      <c r="Y124" s="40"/>
      <c r="Z124" s="40"/>
      <c r="AA124" s="40" t="str">
        <f ca="1">IFERROR(__xludf.DUMMYFUNCTION("""COMPUTED_VALUE"""),"Revisado 15/06/2022")</f>
        <v>Revisado 15/06/2022</v>
      </c>
      <c r="AB124" s="40"/>
      <c r="AC124" s="40"/>
      <c r="AD124" s="40"/>
      <c r="AE124" s="40"/>
      <c r="AF124" s="40"/>
      <c r="AG124" s="40"/>
      <c r="AH124" s="40"/>
      <c r="AI124" s="40"/>
      <c r="AJ124" s="40"/>
      <c r="AK124" s="40"/>
      <c r="AL124" s="40"/>
      <c r="AM124" s="40"/>
      <c r="AN124" s="40"/>
      <c r="AO124" s="40"/>
      <c r="AP124" s="40"/>
      <c r="AQ124" s="40"/>
      <c r="AR124" s="40"/>
      <c r="AS124" s="40"/>
      <c r="AT124" s="40"/>
      <c r="AU124" s="40" t="str">
        <f ca="1">IFERROR(__xludf.DUMMYFUNCTION("""COMPUTED_VALUE"""),"NO_CUMPLE")</f>
        <v>NO_CUMPLE</v>
      </c>
      <c r="AV124" s="40" t="str">
        <f ca="1">IFERROR(__xludf.DUMMYFUNCTION("""COMPUTED_VALUE"""),"EN FORMACION")</f>
        <v>EN FORMACION</v>
      </c>
      <c r="AW124" s="40" t="str">
        <f ca="1">IFERROR(__xludf.DUMMYFUNCTION("""COMPUTED_VALUE"""),"BIOCONSTRUCCION")</f>
        <v>BIOCONSTRUCCION</v>
      </c>
      <c r="AX124" s="141">
        <f ca="1">IFERROR(__xludf.DUMMYFUNCTION("""COMPUTED_VALUE"""),44848)</f>
        <v>44848</v>
      </c>
      <c r="AY124" s="40">
        <f ca="1">IFERROR(__xludf.DUMMYFUNCTION("""COMPUTED_VALUE"""),1)</f>
        <v>1</v>
      </c>
      <c r="AZ124" s="40">
        <f ca="1">IFERROR(__xludf.DUMMYFUNCTION("""COMPUTED_VALUE"""),1)</f>
        <v>1</v>
      </c>
      <c r="BA124" s="40">
        <f ca="1">IFERROR(__xludf.DUMMYFUNCTION("""COMPUTED_VALUE"""),3)</f>
        <v>3</v>
      </c>
      <c r="BB124" s="40">
        <f ca="1">IFERROR(__xludf.DUMMYFUNCTION("""COMPUTED_VALUE"""),6)</f>
        <v>6</v>
      </c>
      <c r="BC124" s="40">
        <f ca="1">IFERROR(__xludf.DUMMYFUNCTION("""COMPUTED_VALUE"""),11)</f>
        <v>11</v>
      </c>
      <c r="BD124" s="141">
        <f ca="1">IFERROR(__xludf.DUMMYFUNCTION("""COMPUTED_VALUE"""),43801)</f>
        <v>43801</v>
      </c>
      <c r="BE124" s="141">
        <f ca="1">IFERROR(__xludf.DUMMYFUNCTION("""COMPUTED_VALUE"""),44105)</f>
        <v>44105</v>
      </c>
      <c r="BF124" s="141">
        <f ca="1">IFERROR(__xludf.DUMMYFUNCTION("""COMPUTED_VALUE"""),44287)</f>
        <v>44287</v>
      </c>
      <c r="BG124" s="141">
        <f ca="1">IFERROR(__xludf.DUMMYFUNCTION("""COMPUTED_VALUE"""),44835)</f>
        <v>44835</v>
      </c>
      <c r="BH124" s="40" t="str">
        <f ca="1">IFERROR(__xludf.DUMMYFUNCTION("""COMPUTED_VALUE"""),"FINALIZAR FICHA")</f>
        <v>FINALIZAR FICHA</v>
      </c>
      <c r="BI124" s="40" t="str">
        <f ca="1">IFERROR(__xludf.DUMMYFUNCTION("""COMPUTED_VALUE"""),"Terminada por fecha")</f>
        <v>Terminada por fecha</v>
      </c>
      <c r="BJ124" s="40" t="str">
        <f ca="1">IFERROR(__xludf.DUMMYFUNCTION("""COMPUTED_VALUE"""),"Yamboro")</f>
        <v>Yamboro</v>
      </c>
      <c r="BK124" s="40"/>
      <c r="BL124" s="40"/>
    </row>
    <row r="125" spans="1:64" ht="13">
      <c r="A125" s="40"/>
      <c r="B125" s="40" t="str">
        <f ca="1">IFERROR(__xludf.DUMMYFUNCTION("""COMPUTED_VALUE"""),"FORMACIÓN 19//07/2022")</f>
        <v>FORMACIÓN 19//07/2022</v>
      </c>
      <c r="C125" s="40" t="str">
        <f ca="1">IFERROR(__xludf.DUMMYFUNCTION("""COMPUTED_VALUE"""),"KEVIN ALEJANDRO MOLINA SAMBONY")</f>
        <v>KEVIN ALEJANDRO MOLINA SAMBONY</v>
      </c>
      <c r="D125" s="40" t="str">
        <f ca="1">IFERROR(__xludf.DUMMYFUNCTION("""COMPUTED_VALUE"""),"CC")</f>
        <v>CC</v>
      </c>
      <c r="E125" s="40">
        <f ca="1">IFERROR(__xludf.DUMMYFUNCTION("""COMPUTED_VALUE"""),1004417600)</f>
        <v>1004417600</v>
      </c>
      <c r="F125" s="40">
        <f ca="1">IFERROR(__xludf.DUMMYFUNCTION("""COMPUTED_VALUE"""),1966567)</f>
        <v>1966567</v>
      </c>
      <c r="G125" s="40" t="str">
        <f ca="1">IFERROR(__xludf.DUMMYFUNCTION("""COMPUTED_VALUE"""),"TÉCNICO")</f>
        <v>TÉCNICO</v>
      </c>
      <c r="H125" s="40" t="str">
        <f ca="1">IFERROR(__xludf.DUMMYFUNCTION("""COMPUTED_VALUE"""),"EJECUCION DE PROGRAMAS DEPORTIVOS")</f>
        <v>EJECUCION DE PROGRAMAS DEPORTIVOS</v>
      </c>
      <c r="I125" s="40">
        <f ca="1">IFERROR(__xludf.DUMMYFUNCTION("""COMPUTED_VALUE"""),3165689460)</f>
        <v>3165689460</v>
      </c>
      <c r="J125" s="40" t="str">
        <f ca="1">IFERROR(__xludf.DUMMYFUNCTION("""COMPUTED_VALUE"""),"alejomolina128@gmail.com")</f>
        <v>alejomolina128@gmail.com</v>
      </c>
      <c r="K125" s="40"/>
      <c r="L125" s="40" t="str">
        <f ca="1">IFERROR(__xludf.DUMMYFUNCTION("""COMPUTED_VALUE"""),"NO HA INICIADO ETAPA PRODUCTIVA")</f>
        <v>NO HA INICIADO ETAPA PRODUCTIVA</v>
      </c>
      <c r="M125" s="40"/>
      <c r="N125" s="40"/>
      <c r="O125" s="40"/>
      <c r="P125" s="40"/>
      <c r="Q125" s="40"/>
      <c r="R125" s="140"/>
      <c r="S125" s="140"/>
      <c r="T125" s="40"/>
      <c r="U125" s="40"/>
      <c r="V125" s="40"/>
      <c r="W125" s="40"/>
      <c r="X125" s="40"/>
      <c r="Y125" s="40"/>
      <c r="Z125" s="40"/>
      <c r="AA125" s="40" t="str">
        <f ca="1">IFERROR(__xludf.DUMMYFUNCTION("""COMPUTED_VALUE"""),"Revisado 15/06/2022")</f>
        <v>Revisado 15/06/2022</v>
      </c>
      <c r="AB125" s="40"/>
      <c r="AC125" s="40"/>
      <c r="AD125" s="40"/>
      <c r="AE125" s="40"/>
      <c r="AF125" s="40"/>
      <c r="AG125" s="40"/>
      <c r="AH125" s="40"/>
      <c r="AI125" s="40"/>
      <c r="AJ125" s="40"/>
      <c r="AK125" s="40"/>
      <c r="AL125" s="40"/>
      <c r="AM125" s="40"/>
      <c r="AN125" s="40"/>
      <c r="AO125" s="40"/>
      <c r="AP125" s="40"/>
      <c r="AQ125" s="40"/>
      <c r="AR125" s="40"/>
      <c r="AS125" s="40"/>
      <c r="AT125" s="40"/>
      <c r="AU125" s="40" t="str">
        <f ca="1">IFERROR(__xludf.DUMMYFUNCTION("""COMPUTED_VALUE"""),"Procede_E_P")</f>
        <v>Procede_E_P</v>
      </c>
      <c r="AV125" s="40" t="str">
        <f ca="1">IFERROR(__xludf.DUMMYFUNCTION("""COMPUTED_VALUE"""),"EN FORMACION")</f>
        <v>EN FORMACION</v>
      </c>
      <c r="AW125" s="40" t="str">
        <f ca="1">IFERROR(__xludf.DUMMYFUNCTION("""COMPUTED_VALUE"""),"TURISMO")</f>
        <v>TURISMO</v>
      </c>
      <c r="AX125" s="141">
        <f ca="1">IFERROR(__xludf.DUMMYFUNCTION("""COMPUTED_VALUE"""),44848)</f>
        <v>44848</v>
      </c>
      <c r="AY125" s="40">
        <f ca="1">IFERROR(__xludf.DUMMYFUNCTION("""COMPUTED_VALUE"""),0)</f>
        <v>0</v>
      </c>
      <c r="AZ125" s="40">
        <f ca="1">IFERROR(__xludf.DUMMYFUNCTION("""COMPUTED_VALUE"""),1)</f>
        <v>1</v>
      </c>
      <c r="BA125" s="40">
        <f ca="1">IFERROR(__xludf.DUMMYFUNCTION("""COMPUTED_VALUE"""),0)</f>
        <v>0</v>
      </c>
      <c r="BB125" s="40">
        <f ca="1">IFERROR(__xludf.DUMMYFUNCTION("""COMPUTED_VALUE"""),0)</f>
        <v>0</v>
      </c>
      <c r="BC125" s="40">
        <f ca="1">IFERROR(__xludf.DUMMYFUNCTION("""COMPUTED_VALUE"""),1)</f>
        <v>1</v>
      </c>
      <c r="BD125" s="141">
        <f ca="1">IFERROR(__xludf.DUMMYFUNCTION("""COMPUTED_VALUE"""),43683)</f>
        <v>43683</v>
      </c>
      <c r="BE125" s="141">
        <f ca="1">IFERROR(__xludf.DUMMYFUNCTION("""COMPUTED_VALUE"""),43971)</f>
        <v>43971</v>
      </c>
      <c r="BF125" s="141">
        <f ca="1">IFERROR(__xludf.DUMMYFUNCTION("""COMPUTED_VALUE"""),44155)</f>
        <v>44155</v>
      </c>
      <c r="BG125" s="141">
        <f ca="1">IFERROR(__xludf.DUMMYFUNCTION("""COMPUTED_VALUE"""),44701)</f>
        <v>44701</v>
      </c>
      <c r="BH125" s="40" t="str">
        <f ca="1">IFERROR(__xludf.DUMMYFUNCTION("""COMPUTED_VALUE"""),"FINALIZAR FICHA")</f>
        <v>FINALIZAR FICHA</v>
      </c>
      <c r="BI125" s="40" t="str">
        <f ca="1">IFERROR(__xludf.DUMMYFUNCTION("""COMPUTED_VALUE"""),"Terminada por Fecha     ")</f>
        <v xml:space="preserve">Terminada por Fecha     </v>
      </c>
      <c r="BJ125" s="40" t="str">
        <f ca="1">IFERROR(__xludf.DUMMYFUNCTION("""COMPUTED_VALUE"""),"Yamboro")</f>
        <v>Yamboro</v>
      </c>
      <c r="BK125" s="40"/>
      <c r="BL125" s="40"/>
    </row>
    <row r="126" spans="1:64" ht="13">
      <c r="A126" s="40"/>
      <c r="B126" s="40" t="str">
        <f ca="1">IFERROR(__xludf.DUMMYFUNCTION("""COMPUTED_VALUE"""),"FORMACIÓN 19//07/2022")</f>
        <v>FORMACIÓN 19//07/2022</v>
      </c>
      <c r="C126" s="40" t="str">
        <f ca="1">IFERROR(__xludf.DUMMYFUNCTION("""COMPUTED_VALUE"""),"FARID POLANIA CARVAJAL")</f>
        <v>FARID POLANIA CARVAJAL</v>
      </c>
      <c r="D126" s="40" t="str">
        <f ca="1">IFERROR(__xludf.DUMMYFUNCTION("""COMPUTED_VALUE"""),"CC")</f>
        <v>CC</v>
      </c>
      <c r="E126" s="40">
        <f ca="1">IFERROR(__xludf.DUMMYFUNCTION("""COMPUTED_VALUE"""),1004417869)</f>
        <v>1004417869</v>
      </c>
      <c r="F126" s="40">
        <f ca="1">IFERROR(__xludf.DUMMYFUNCTION("""COMPUTED_VALUE"""),1966567)</f>
        <v>1966567</v>
      </c>
      <c r="G126" s="40" t="str">
        <f ca="1">IFERROR(__xludf.DUMMYFUNCTION("""COMPUTED_VALUE"""),"TÉCNICO")</f>
        <v>TÉCNICO</v>
      </c>
      <c r="H126" s="40" t="str">
        <f ca="1">IFERROR(__xludf.DUMMYFUNCTION("""COMPUTED_VALUE"""),"EJECUCION DE PROGRAMAS DEPORTIVOS")</f>
        <v>EJECUCION DE PROGRAMAS DEPORTIVOS</v>
      </c>
      <c r="I126" s="40"/>
      <c r="J126" s="40" t="str">
        <f ca="1">IFERROR(__xludf.DUMMYFUNCTION("""COMPUTED_VALUE"""),"polaniafarid50.1@gmail.com")</f>
        <v>polaniafarid50.1@gmail.com</v>
      </c>
      <c r="K126" s="40"/>
      <c r="L126" s="40" t="str">
        <f ca="1">IFERROR(__xludf.DUMMYFUNCTION("""COMPUTED_VALUE"""),"NO HA INICIADO ETAPA PRODUCTIVA")</f>
        <v>NO HA INICIADO ETAPA PRODUCTIVA</v>
      </c>
      <c r="M126" s="40"/>
      <c r="N126" s="40"/>
      <c r="O126" s="40"/>
      <c r="P126" s="40"/>
      <c r="Q126" s="40"/>
      <c r="R126" s="140"/>
      <c r="S126" s="140"/>
      <c r="T126" s="40"/>
      <c r="U126" s="40"/>
      <c r="V126" s="40"/>
      <c r="W126" s="40"/>
      <c r="X126" s="40"/>
      <c r="Y126" s="40"/>
      <c r="Z126" s="40"/>
      <c r="AA126" s="40" t="str">
        <f ca="1">IFERROR(__xludf.DUMMYFUNCTION("""COMPUTED_VALUE"""),"Revisado 15/06/2022")</f>
        <v>Revisado 15/06/2022</v>
      </c>
      <c r="AB126" s="40"/>
      <c r="AC126" s="40"/>
      <c r="AD126" s="40"/>
      <c r="AE126" s="40"/>
      <c r="AF126" s="40"/>
      <c r="AG126" s="40"/>
      <c r="AH126" s="40"/>
      <c r="AI126" s="40"/>
      <c r="AJ126" s="40"/>
      <c r="AK126" s="40"/>
      <c r="AL126" s="40"/>
      <c r="AM126" s="40"/>
      <c r="AN126" s="40"/>
      <c r="AO126" s="40"/>
      <c r="AP126" s="40"/>
      <c r="AQ126" s="40"/>
      <c r="AR126" s="40"/>
      <c r="AS126" s="40"/>
      <c r="AT126" s="40"/>
      <c r="AU126" s="40" t="str">
        <f ca="1">IFERROR(__xludf.DUMMYFUNCTION("""COMPUTED_VALUE"""),"Procede_E_P")</f>
        <v>Procede_E_P</v>
      </c>
      <c r="AV126" s="40" t="str">
        <f ca="1">IFERROR(__xludf.DUMMYFUNCTION("""COMPUTED_VALUE"""),"EN FORMACION")</f>
        <v>EN FORMACION</v>
      </c>
      <c r="AW126" s="40" t="str">
        <f ca="1">IFERROR(__xludf.DUMMYFUNCTION("""COMPUTED_VALUE"""),"TURISMO")</f>
        <v>TURISMO</v>
      </c>
      <c r="AX126" s="141">
        <f ca="1">IFERROR(__xludf.DUMMYFUNCTION("""COMPUTED_VALUE"""),44848)</f>
        <v>44848</v>
      </c>
      <c r="AY126" s="40">
        <f ca="1">IFERROR(__xludf.DUMMYFUNCTION("""COMPUTED_VALUE"""),0)</f>
        <v>0</v>
      </c>
      <c r="AZ126" s="40">
        <f ca="1">IFERROR(__xludf.DUMMYFUNCTION("""COMPUTED_VALUE"""),1)</f>
        <v>1</v>
      </c>
      <c r="BA126" s="40">
        <f ca="1">IFERROR(__xludf.DUMMYFUNCTION("""COMPUTED_VALUE"""),0)</f>
        <v>0</v>
      </c>
      <c r="BB126" s="40">
        <f ca="1">IFERROR(__xludf.DUMMYFUNCTION("""COMPUTED_VALUE"""),0)</f>
        <v>0</v>
      </c>
      <c r="BC126" s="40">
        <f ca="1">IFERROR(__xludf.DUMMYFUNCTION("""COMPUTED_VALUE"""),1)</f>
        <v>1</v>
      </c>
      <c r="BD126" s="141">
        <f ca="1">IFERROR(__xludf.DUMMYFUNCTION("""COMPUTED_VALUE"""),43683)</f>
        <v>43683</v>
      </c>
      <c r="BE126" s="141">
        <f ca="1">IFERROR(__xludf.DUMMYFUNCTION("""COMPUTED_VALUE"""),43971)</f>
        <v>43971</v>
      </c>
      <c r="BF126" s="141">
        <f ca="1">IFERROR(__xludf.DUMMYFUNCTION("""COMPUTED_VALUE"""),44155)</f>
        <v>44155</v>
      </c>
      <c r="BG126" s="141">
        <f ca="1">IFERROR(__xludf.DUMMYFUNCTION("""COMPUTED_VALUE"""),44701)</f>
        <v>44701</v>
      </c>
      <c r="BH126" s="40" t="str">
        <f ca="1">IFERROR(__xludf.DUMMYFUNCTION("""COMPUTED_VALUE"""),"FINALIZAR FICHA")</f>
        <v>FINALIZAR FICHA</v>
      </c>
      <c r="BI126" s="40" t="str">
        <f ca="1">IFERROR(__xludf.DUMMYFUNCTION("""COMPUTED_VALUE"""),"Terminada por Fecha     ")</f>
        <v xml:space="preserve">Terminada por Fecha     </v>
      </c>
      <c r="BJ126" s="40" t="str">
        <f ca="1">IFERROR(__xludf.DUMMYFUNCTION("""COMPUTED_VALUE"""),"Yamboro")</f>
        <v>Yamboro</v>
      </c>
      <c r="BK126" s="40"/>
      <c r="BL126" s="40"/>
    </row>
    <row r="127" spans="1:64" ht="13">
      <c r="A127" s="40"/>
      <c r="B127" s="40" t="str">
        <f ca="1">IFERROR(__xludf.DUMMYFUNCTION("""COMPUTED_VALUE"""),"FORMACIÓN 19//07/2022")</f>
        <v>FORMACIÓN 19//07/2022</v>
      </c>
      <c r="C127" s="40" t="str">
        <f ca="1">IFERROR(__xludf.DUMMYFUNCTION("""COMPUTED_VALUE"""),"HELLEN FERNANDA GOMEZ PINEDA")</f>
        <v>HELLEN FERNANDA GOMEZ PINEDA</v>
      </c>
      <c r="D127" s="40" t="str">
        <f ca="1">IFERROR(__xludf.DUMMYFUNCTION("""COMPUTED_VALUE"""),"TI")</f>
        <v>TI</v>
      </c>
      <c r="E127" s="40">
        <f ca="1">IFERROR(__xludf.DUMMYFUNCTION("""COMPUTED_VALUE"""),1004440436)</f>
        <v>1004440436</v>
      </c>
      <c r="F127" s="40">
        <f ca="1">IFERROR(__xludf.DUMMYFUNCTION("""COMPUTED_VALUE"""),1966567)</f>
        <v>1966567</v>
      </c>
      <c r="G127" s="40" t="str">
        <f ca="1">IFERROR(__xludf.DUMMYFUNCTION("""COMPUTED_VALUE"""),"TÉCNICO")</f>
        <v>TÉCNICO</v>
      </c>
      <c r="H127" s="40" t="str">
        <f ca="1">IFERROR(__xludf.DUMMYFUNCTION("""COMPUTED_VALUE"""),"EJECUCION DE PROGRAMAS DEPORTIVOS")</f>
        <v>EJECUCION DE PROGRAMAS DEPORTIVOS</v>
      </c>
      <c r="I127" s="40">
        <f ca="1">IFERROR(__xludf.DUMMYFUNCTION("""COMPUTED_VALUE"""),3185413587)</f>
        <v>3185413587</v>
      </c>
      <c r="J127" s="40" t="str">
        <f ca="1">IFERROR(__xludf.DUMMYFUNCTION("""COMPUTED_VALUE"""),"gomezhellen544@gmail.com")</f>
        <v>gomezhellen544@gmail.com</v>
      </c>
      <c r="K127" s="40" t="str">
        <f ca="1">IFERROR(__xludf.DUMMYFUNCTION("""COMPUTED_VALUE"""),"PITALITO")</f>
        <v>PITALITO</v>
      </c>
      <c r="L127" s="40" t="str">
        <f ca="1">IFERROR(__xludf.DUMMYFUNCTION("""COMPUTED_VALUE"""),"NO HA INICIADO ETAPA PRODUCTIVA")</f>
        <v>NO HA INICIADO ETAPA PRODUCTIVA</v>
      </c>
      <c r="M127" s="40"/>
      <c r="N127" s="40"/>
      <c r="O127" s="40"/>
      <c r="P127" s="40"/>
      <c r="Q127" s="40"/>
      <c r="R127" s="140"/>
      <c r="S127" s="140"/>
      <c r="T127" s="40" t="str">
        <f ca="1">IFERROR(__xludf.DUMMYFUNCTION("""COMPUTED_VALUE"""),"debe un resultado de promover")</f>
        <v>debe un resultado de promover</v>
      </c>
      <c r="U127" s="40"/>
      <c r="V127" s="40"/>
      <c r="W127" s="40"/>
      <c r="X127" s="40"/>
      <c r="Y127" s="40"/>
      <c r="Z127" s="40"/>
      <c r="AA127" s="40" t="str">
        <f ca="1">IFERROR(__xludf.DUMMYFUNCTION("""COMPUTED_VALUE"""),"Revisado 15/06/2022")</f>
        <v>Revisado 15/06/2022</v>
      </c>
      <c r="AB127" s="40"/>
      <c r="AC127" s="40"/>
      <c r="AD127" s="40"/>
      <c r="AE127" s="40"/>
      <c r="AF127" s="40"/>
      <c r="AG127" s="40"/>
      <c r="AH127" s="40"/>
      <c r="AI127" s="40"/>
      <c r="AJ127" s="40"/>
      <c r="AK127" s="40"/>
      <c r="AL127" s="40"/>
      <c r="AM127" s="40"/>
      <c r="AN127" s="40"/>
      <c r="AO127" s="40"/>
      <c r="AP127" s="40"/>
      <c r="AQ127" s="40"/>
      <c r="AR127" s="40"/>
      <c r="AS127" s="40"/>
      <c r="AT127" s="40"/>
      <c r="AU127" s="40" t="str">
        <f ca="1">IFERROR(__xludf.DUMMYFUNCTION("""COMPUTED_VALUE"""),"NO_CUMPLE")</f>
        <v>NO_CUMPLE</v>
      </c>
      <c r="AV127" s="40" t="str">
        <f ca="1">IFERROR(__xludf.DUMMYFUNCTION("""COMPUTED_VALUE"""),"EN FORMACION")</f>
        <v>EN FORMACION</v>
      </c>
      <c r="AW127" s="40" t="str">
        <f ca="1">IFERROR(__xludf.DUMMYFUNCTION("""COMPUTED_VALUE"""),"TURISMO")</f>
        <v>TURISMO</v>
      </c>
      <c r="AX127" s="141">
        <f ca="1">IFERROR(__xludf.DUMMYFUNCTION("""COMPUTED_VALUE"""),44848)</f>
        <v>44848</v>
      </c>
      <c r="AY127" s="40">
        <f ca="1">IFERROR(__xludf.DUMMYFUNCTION("""COMPUTED_VALUE"""),1)</f>
        <v>1</v>
      </c>
      <c r="AZ127" s="40">
        <f ca="1">IFERROR(__xludf.DUMMYFUNCTION("""COMPUTED_VALUE"""),1)</f>
        <v>1</v>
      </c>
      <c r="BA127" s="40">
        <f ca="1">IFERROR(__xludf.DUMMYFUNCTION("""COMPUTED_VALUE"""),0)</f>
        <v>0</v>
      </c>
      <c r="BB127" s="40">
        <f ca="1">IFERROR(__xludf.DUMMYFUNCTION("""COMPUTED_VALUE"""),0)</f>
        <v>0</v>
      </c>
      <c r="BC127" s="40">
        <f ca="1">IFERROR(__xludf.DUMMYFUNCTION("""COMPUTED_VALUE"""),2)</f>
        <v>2</v>
      </c>
      <c r="BD127" s="141">
        <f ca="1">IFERROR(__xludf.DUMMYFUNCTION("""COMPUTED_VALUE"""),43683)</f>
        <v>43683</v>
      </c>
      <c r="BE127" s="141">
        <f ca="1">IFERROR(__xludf.DUMMYFUNCTION("""COMPUTED_VALUE"""),43971)</f>
        <v>43971</v>
      </c>
      <c r="BF127" s="141">
        <f ca="1">IFERROR(__xludf.DUMMYFUNCTION("""COMPUTED_VALUE"""),44155)</f>
        <v>44155</v>
      </c>
      <c r="BG127" s="141">
        <f ca="1">IFERROR(__xludf.DUMMYFUNCTION("""COMPUTED_VALUE"""),44701)</f>
        <v>44701</v>
      </c>
      <c r="BH127" s="40" t="str">
        <f ca="1">IFERROR(__xludf.DUMMYFUNCTION("""COMPUTED_VALUE"""),"FINALIZAR FICHA")</f>
        <v>FINALIZAR FICHA</v>
      </c>
      <c r="BI127" s="40" t="str">
        <f ca="1">IFERROR(__xludf.DUMMYFUNCTION("""COMPUTED_VALUE"""),"Terminada por Fecha     ")</f>
        <v xml:space="preserve">Terminada por Fecha     </v>
      </c>
      <c r="BJ127" s="40" t="str">
        <f ca="1">IFERROR(__xludf.DUMMYFUNCTION("""COMPUTED_VALUE"""),"Yamboro")</f>
        <v>Yamboro</v>
      </c>
      <c r="BK127" s="40"/>
      <c r="BL127" s="40"/>
    </row>
    <row r="128" spans="1:64" ht="13">
      <c r="A128" s="40"/>
      <c r="B128" s="40" t="str">
        <f ca="1">IFERROR(__xludf.DUMMYFUNCTION("""COMPUTED_VALUE"""),"FORMACIÓN 19//07/2022")</f>
        <v>FORMACIÓN 19//07/2022</v>
      </c>
      <c r="C128" s="40" t="str">
        <f ca="1">IFERROR(__xludf.DUMMYFUNCTION("""COMPUTED_VALUE"""),"KOSTAR FABIAN ZUÑIGA FIGUEROA")</f>
        <v>KOSTAR FABIAN ZUÑIGA FIGUEROA</v>
      </c>
      <c r="D128" s="40" t="str">
        <f ca="1">IFERROR(__xludf.DUMMYFUNCTION("""COMPUTED_VALUE"""),"TI")</f>
        <v>TI</v>
      </c>
      <c r="E128" s="40">
        <f ca="1">IFERROR(__xludf.DUMMYFUNCTION("""COMPUTED_VALUE"""),1004446273)</f>
        <v>1004446273</v>
      </c>
      <c r="F128" s="40">
        <f ca="1">IFERROR(__xludf.DUMMYFUNCTION("""COMPUTED_VALUE"""),1966567)</f>
        <v>1966567</v>
      </c>
      <c r="G128" s="40" t="str">
        <f ca="1">IFERROR(__xludf.DUMMYFUNCTION("""COMPUTED_VALUE"""),"TÉCNICO")</f>
        <v>TÉCNICO</v>
      </c>
      <c r="H128" s="40" t="str">
        <f ca="1">IFERROR(__xludf.DUMMYFUNCTION("""COMPUTED_VALUE"""),"EJECUCION DE PROGRAMAS DEPORTIVOS")</f>
        <v>EJECUCION DE PROGRAMAS DEPORTIVOS</v>
      </c>
      <c r="I128" s="40">
        <f ca="1">IFERROR(__xludf.DUMMYFUNCTION("""COMPUTED_VALUE"""),3102549982)</f>
        <v>3102549982</v>
      </c>
      <c r="J128" s="40"/>
      <c r="K128" s="40" t="str">
        <f ca="1">IFERROR(__xludf.DUMMYFUNCTION("""COMPUTED_VALUE"""),"PITALITO")</f>
        <v>PITALITO</v>
      </c>
      <c r="L128" s="40" t="str">
        <f ca="1">IFERROR(__xludf.DUMMYFUNCTION("""COMPUTED_VALUE"""),"NO HA INICIADO ETAPA PRODUCTIVA")</f>
        <v>NO HA INICIADO ETAPA PRODUCTIVA</v>
      </c>
      <c r="M128" s="40"/>
      <c r="N128" s="40"/>
      <c r="O128" s="40"/>
      <c r="P128" s="40"/>
      <c r="Q128" s="40"/>
      <c r="R128" s="140"/>
      <c r="S128" s="140"/>
      <c r="T128" s="40" t="str">
        <f ca="1">IFERROR(__xludf.DUMMYFUNCTION("""COMPUTED_VALUE"""),"debe un resultado de promover")</f>
        <v>debe un resultado de promover</v>
      </c>
      <c r="U128" s="40"/>
      <c r="V128" s="40"/>
      <c r="W128" s="40"/>
      <c r="X128" s="40"/>
      <c r="Y128" s="40"/>
      <c r="Z128" s="40"/>
      <c r="AA128" s="40" t="str">
        <f ca="1">IFERROR(__xludf.DUMMYFUNCTION("""COMPUTED_VALUE"""),"Revisado 15/06/2022")</f>
        <v>Revisado 15/06/2022</v>
      </c>
      <c r="AB128" s="40"/>
      <c r="AC128" s="40"/>
      <c r="AD128" s="40"/>
      <c r="AE128" s="40"/>
      <c r="AF128" s="40"/>
      <c r="AG128" s="40"/>
      <c r="AH128" s="40"/>
      <c r="AI128" s="40"/>
      <c r="AJ128" s="40"/>
      <c r="AK128" s="40"/>
      <c r="AL128" s="40"/>
      <c r="AM128" s="40"/>
      <c r="AN128" s="40"/>
      <c r="AO128" s="40"/>
      <c r="AP128" s="40"/>
      <c r="AQ128" s="40"/>
      <c r="AR128" s="40"/>
      <c r="AS128" s="40"/>
      <c r="AT128" s="40"/>
      <c r="AU128" s="40" t="str">
        <f ca="1">IFERROR(__xludf.DUMMYFUNCTION("""COMPUTED_VALUE"""),"NO_CUMPLE")</f>
        <v>NO_CUMPLE</v>
      </c>
      <c r="AV128" s="40" t="str">
        <f ca="1">IFERROR(__xludf.DUMMYFUNCTION("""COMPUTED_VALUE"""),"EN FORMACION")</f>
        <v>EN FORMACION</v>
      </c>
      <c r="AW128" s="40" t="str">
        <f ca="1">IFERROR(__xludf.DUMMYFUNCTION("""COMPUTED_VALUE"""),"TURISMO")</f>
        <v>TURISMO</v>
      </c>
      <c r="AX128" s="141">
        <f ca="1">IFERROR(__xludf.DUMMYFUNCTION("""COMPUTED_VALUE"""),44848)</f>
        <v>44848</v>
      </c>
      <c r="AY128" s="40">
        <f ca="1">IFERROR(__xludf.DUMMYFUNCTION("""COMPUTED_VALUE"""),1)</f>
        <v>1</v>
      </c>
      <c r="AZ128" s="40">
        <f ca="1">IFERROR(__xludf.DUMMYFUNCTION("""COMPUTED_VALUE"""),1)</f>
        <v>1</v>
      </c>
      <c r="BA128" s="40">
        <f ca="1">IFERROR(__xludf.DUMMYFUNCTION("""COMPUTED_VALUE"""),0)</f>
        <v>0</v>
      </c>
      <c r="BB128" s="40">
        <f ca="1">IFERROR(__xludf.DUMMYFUNCTION("""COMPUTED_VALUE"""),0)</f>
        <v>0</v>
      </c>
      <c r="BC128" s="40">
        <f ca="1">IFERROR(__xludf.DUMMYFUNCTION("""COMPUTED_VALUE"""),2)</f>
        <v>2</v>
      </c>
      <c r="BD128" s="141">
        <f ca="1">IFERROR(__xludf.DUMMYFUNCTION("""COMPUTED_VALUE"""),43683)</f>
        <v>43683</v>
      </c>
      <c r="BE128" s="141">
        <f ca="1">IFERROR(__xludf.DUMMYFUNCTION("""COMPUTED_VALUE"""),43971)</f>
        <v>43971</v>
      </c>
      <c r="BF128" s="141">
        <f ca="1">IFERROR(__xludf.DUMMYFUNCTION("""COMPUTED_VALUE"""),44155)</f>
        <v>44155</v>
      </c>
      <c r="BG128" s="141">
        <f ca="1">IFERROR(__xludf.DUMMYFUNCTION("""COMPUTED_VALUE"""),44701)</f>
        <v>44701</v>
      </c>
      <c r="BH128" s="40" t="str">
        <f ca="1">IFERROR(__xludf.DUMMYFUNCTION("""COMPUTED_VALUE"""),"FINALIZAR FICHA")</f>
        <v>FINALIZAR FICHA</v>
      </c>
      <c r="BI128" s="40" t="str">
        <f ca="1">IFERROR(__xludf.DUMMYFUNCTION("""COMPUTED_VALUE"""),"Terminada por Fecha     ")</f>
        <v xml:space="preserve">Terminada por Fecha     </v>
      </c>
      <c r="BJ128" s="40" t="str">
        <f ca="1">IFERROR(__xludf.DUMMYFUNCTION("""COMPUTED_VALUE"""),"Yamboro")</f>
        <v>Yamboro</v>
      </c>
      <c r="BK128" s="40"/>
      <c r="BL128" s="40"/>
    </row>
    <row r="129" spans="1:64" ht="13">
      <c r="A129" s="40"/>
      <c r="B129" s="40" t="str">
        <f ca="1">IFERROR(__xludf.DUMMYFUNCTION("""COMPUTED_VALUE"""),"FORMACIÓN 19//07/2022")</f>
        <v>FORMACIÓN 19//07/2022</v>
      </c>
      <c r="C129" s="40" t="str">
        <f ca="1">IFERROR(__xludf.DUMMYFUNCTION("""COMPUTED_VALUE"""),"ANDERSON ALEXIS ORDOÑEZ MACIAS")</f>
        <v>ANDERSON ALEXIS ORDOÑEZ MACIAS</v>
      </c>
      <c r="D129" s="40" t="str">
        <f ca="1">IFERROR(__xludf.DUMMYFUNCTION("""COMPUTED_VALUE"""),"CC")</f>
        <v>CC</v>
      </c>
      <c r="E129" s="40">
        <f ca="1">IFERROR(__xludf.DUMMYFUNCTION("""COMPUTED_VALUE"""),1007337217)</f>
        <v>1007337217</v>
      </c>
      <c r="F129" s="40">
        <f ca="1">IFERROR(__xludf.DUMMYFUNCTION("""COMPUTED_VALUE"""),1966567)</f>
        <v>1966567</v>
      </c>
      <c r="G129" s="40" t="str">
        <f ca="1">IFERROR(__xludf.DUMMYFUNCTION("""COMPUTED_VALUE"""),"TÉCNICO")</f>
        <v>TÉCNICO</v>
      </c>
      <c r="H129" s="40" t="str">
        <f ca="1">IFERROR(__xludf.DUMMYFUNCTION("""COMPUTED_VALUE"""),"EJECUCION DE PROGRAMAS DEPORTIVOS")</f>
        <v>EJECUCION DE PROGRAMAS DEPORTIVOS</v>
      </c>
      <c r="I129" s="40">
        <f ca="1">IFERROR(__xludf.DUMMYFUNCTION("""COMPUTED_VALUE"""),3185380817)</f>
        <v>3185380817</v>
      </c>
      <c r="J129" s="40" t="str">
        <f ca="1">IFERROR(__xludf.DUMMYFUNCTION("""COMPUTED_VALUE"""),"alexisordoez09@gmail.com")</f>
        <v>alexisordoez09@gmail.com</v>
      </c>
      <c r="K129" s="40" t="str">
        <f ca="1">IFERROR(__xludf.DUMMYFUNCTION("""COMPUTED_VALUE"""),"PITALITO")</f>
        <v>PITALITO</v>
      </c>
      <c r="L129" s="40" t="str">
        <f ca="1">IFERROR(__xludf.DUMMYFUNCTION("""COMPUTED_VALUE"""),"NO HA INICIADO ETAPA PRODUCTIVA")</f>
        <v>NO HA INICIADO ETAPA PRODUCTIVA</v>
      </c>
      <c r="M129" s="40"/>
      <c r="N129" s="40"/>
      <c r="O129" s="40"/>
      <c r="P129" s="40"/>
      <c r="Q129" s="40"/>
      <c r="R129" s="140"/>
      <c r="S129" s="140"/>
      <c r="T129" s="40"/>
      <c r="U129" s="40"/>
      <c r="V129" s="40"/>
      <c r="W129" s="40"/>
      <c r="X129" s="40"/>
      <c r="Y129" s="40"/>
      <c r="Z129" s="40"/>
      <c r="AA129" s="40" t="str">
        <f ca="1">IFERROR(__xludf.DUMMYFUNCTION("""COMPUTED_VALUE"""),"Revisado 15/06/2022")</f>
        <v>Revisado 15/06/2022</v>
      </c>
      <c r="AB129" s="40"/>
      <c r="AC129" s="40"/>
      <c r="AD129" s="40"/>
      <c r="AE129" s="40"/>
      <c r="AF129" s="40"/>
      <c r="AG129" s="40"/>
      <c r="AH129" s="40"/>
      <c r="AI129" s="40"/>
      <c r="AJ129" s="40"/>
      <c r="AK129" s="40"/>
      <c r="AL129" s="40"/>
      <c r="AM129" s="40"/>
      <c r="AN129" s="40"/>
      <c r="AO129" s="40"/>
      <c r="AP129" s="40"/>
      <c r="AQ129" s="40"/>
      <c r="AR129" s="40"/>
      <c r="AS129" s="40"/>
      <c r="AT129" s="40"/>
      <c r="AU129" s="40" t="str">
        <f ca="1">IFERROR(__xludf.DUMMYFUNCTION("""COMPUTED_VALUE"""),"Procede_E_P")</f>
        <v>Procede_E_P</v>
      </c>
      <c r="AV129" s="40" t="str">
        <f ca="1">IFERROR(__xludf.DUMMYFUNCTION("""COMPUTED_VALUE"""),"EN FORMACION")</f>
        <v>EN FORMACION</v>
      </c>
      <c r="AW129" s="40" t="str">
        <f ca="1">IFERROR(__xludf.DUMMYFUNCTION("""COMPUTED_VALUE"""),"TURISMO")</f>
        <v>TURISMO</v>
      </c>
      <c r="AX129" s="141">
        <f ca="1">IFERROR(__xludf.DUMMYFUNCTION("""COMPUTED_VALUE"""),44848)</f>
        <v>44848</v>
      </c>
      <c r="AY129" s="40">
        <f ca="1">IFERROR(__xludf.DUMMYFUNCTION("""COMPUTED_VALUE"""),0)</f>
        <v>0</v>
      </c>
      <c r="AZ129" s="40">
        <f ca="1">IFERROR(__xludf.DUMMYFUNCTION("""COMPUTED_VALUE"""),1)</f>
        <v>1</v>
      </c>
      <c r="BA129" s="40">
        <f ca="1">IFERROR(__xludf.DUMMYFUNCTION("""COMPUTED_VALUE"""),0)</f>
        <v>0</v>
      </c>
      <c r="BB129" s="40">
        <f ca="1">IFERROR(__xludf.DUMMYFUNCTION("""COMPUTED_VALUE"""),0)</f>
        <v>0</v>
      </c>
      <c r="BC129" s="40">
        <f ca="1">IFERROR(__xludf.DUMMYFUNCTION("""COMPUTED_VALUE"""),1)</f>
        <v>1</v>
      </c>
      <c r="BD129" s="141">
        <f ca="1">IFERROR(__xludf.DUMMYFUNCTION("""COMPUTED_VALUE"""),43683)</f>
        <v>43683</v>
      </c>
      <c r="BE129" s="141">
        <f ca="1">IFERROR(__xludf.DUMMYFUNCTION("""COMPUTED_VALUE"""),43971)</f>
        <v>43971</v>
      </c>
      <c r="BF129" s="141">
        <f ca="1">IFERROR(__xludf.DUMMYFUNCTION("""COMPUTED_VALUE"""),44155)</f>
        <v>44155</v>
      </c>
      <c r="BG129" s="141">
        <f ca="1">IFERROR(__xludf.DUMMYFUNCTION("""COMPUTED_VALUE"""),44701)</f>
        <v>44701</v>
      </c>
      <c r="BH129" s="40" t="str">
        <f ca="1">IFERROR(__xludf.DUMMYFUNCTION("""COMPUTED_VALUE"""),"FINALIZAR FICHA")</f>
        <v>FINALIZAR FICHA</v>
      </c>
      <c r="BI129" s="40" t="str">
        <f ca="1">IFERROR(__xludf.DUMMYFUNCTION("""COMPUTED_VALUE"""),"Terminada por Fecha     ")</f>
        <v xml:space="preserve">Terminada por Fecha     </v>
      </c>
      <c r="BJ129" s="40" t="str">
        <f ca="1">IFERROR(__xludf.DUMMYFUNCTION("""COMPUTED_VALUE"""),"Yamboro")</f>
        <v>Yamboro</v>
      </c>
      <c r="BK129" s="40"/>
      <c r="BL129" s="40"/>
    </row>
    <row r="130" spans="1:64" ht="13">
      <c r="A130" s="40"/>
      <c r="B130" s="40" t="str">
        <f ca="1">IFERROR(__xludf.DUMMYFUNCTION("""COMPUTED_VALUE"""),"FORMACIÓN 19//07/2022")</f>
        <v>FORMACIÓN 19//07/2022</v>
      </c>
      <c r="C130" s="40" t="str">
        <f ca="1">IFERROR(__xludf.DUMMYFUNCTION("""COMPUTED_VALUE"""),"MANUEL FELIPE RAMIREZ PLAZA")</f>
        <v>MANUEL FELIPE RAMIREZ PLAZA</v>
      </c>
      <c r="D130" s="40" t="str">
        <f ca="1">IFERROR(__xludf.DUMMYFUNCTION("""COMPUTED_VALUE"""),"TI")</f>
        <v>TI</v>
      </c>
      <c r="E130" s="40">
        <f ca="1">IFERROR(__xludf.DUMMYFUNCTION("""COMPUTED_VALUE"""),1007446995)</f>
        <v>1007446995</v>
      </c>
      <c r="F130" s="40">
        <f ca="1">IFERROR(__xludf.DUMMYFUNCTION("""COMPUTED_VALUE"""),1966567)</f>
        <v>1966567</v>
      </c>
      <c r="G130" s="40" t="str">
        <f ca="1">IFERROR(__xludf.DUMMYFUNCTION("""COMPUTED_VALUE"""),"TÉCNICO")</f>
        <v>TÉCNICO</v>
      </c>
      <c r="H130" s="40" t="str">
        <f ca="1">IFERROR(__xludf.DUMMYFUNCTION("""COMPUTED_VALUE"""),"EJECUCION DE PROGRAMAS DEPORTIVOS")</f>
        <v>EJECUCION DE PROGRAMAS DEPORTIVOS</v>
      </c>
      <c r="I130" s="40">
        <f ca="1">IFERROR(__xludf.DUMMYFUNCTION("""COMPUTED_VALUE"""),3227702626)</f>
        <v>3227702626</v>
      </c>
      <c r="J130" s="40" t="str">
        <f ca="1">IFERROR(__xludf.DUMMYFUNCTION("""COMPUTED_VALUE"""),"mramirezplaza723@gmail.com")</f>
        <v>mramirezplaza723@gmail.com</v>
      </c>
      <c r="K130" s="40"/>
      <c r="L130" s="40" t="str">
        <f ca="1">IFERROR(__xludf.DUMMYFUNCTION("""COMPUTED_VALUE"""),"NO HA INICIADO ETAPA PRODUCTIVA")</f>
        <v>NO HA INICIADO ETAPA PRODUCTIVA</v>
      </c>
      <c r="M130" s="40" t="str">
        <f ca="1">IFERROR(__xludf.DUMMYFUNCTION("""COMPUTED_VALUE"""),"No ha podido iniciar pasantias porque el colegio esta cerrado. Institucion educativa Gallardo.")</f>
        <v>No ha podido iniciar pasantias porque el colegio esta cerrado. Institucion educativa Gallardo.</v>
      </c>
      <c r="N130" s="40"/>
      <c r="O130" s="40"/>
      <c r="P130" s="40"/>
      <c r="Q130" s="40"/>
      <c r="R130" s="140"/>
      <c r="S130" s="140"/>
      <c r="T130" s="40"/>
      <c r="U130" s="40"/>
      <c r="V130" s="40"/>
      <c r="W130" s="40"/>
      <c r="X130" s="40"/>
      <c r="Y130" s="40"/>
      <c r="Z130" s="40"/>
      <c r="AA130" s="40" t="str">
        <f ca="1">IFERROR(__xludf.DUMMYFUNCTION("""COMPUTED_VALUE"""),"Revisado 15/06/2022")</f>
        <v>Revisado 15/06/2022</v>
      </c>
      <c r="AB130" s="40"/>
      <c r="AC130" s="40"/>
      <c r="AD130" s="40"/>
      <c r="AE130" s="40"/>
      <c r="AF130" s="40"/>
      <c r="AG130" s="40"/>
      <c r="AH130" s="40"/>
      <c r="AI130" s="40"/>
      <c r="AJ130" s="40"/>
      <c r="AK130" s="40"/>
      <c r="AL130" s="40"/>
      <c r="AM130" s="40"/>
      <c r="AN130" s="40"/>
      <c r="AO130" s="40"/>
      <c r="AP130" s="40"/>
      <c r="AQ130" s="40"/>
      <c r="AR130" s="40"/>
      <c r="AS130" s="40"/>
      <c r="AT130" s="40"/>
      <c r="AU130" s="40" t="str">
        <f ca="1">IFERROR(__xludf.DUMMYFUNCTION("""COMPUTED_VALUE"""),"Procede_E_P")</f>
        <v>Procede_E_P</v>
      </c>
      <c r="AV130" s="40" t="str">
        <f ca="1">IFERROR(__xludf.DUMMYFUNCTION("""COMPUTED_VALUE"""),"EN FORMACION")</f>
        <v>EN FORMACION</v>
      </c>
      <c r="AW130" s="40" t="str">
        <f ca="1">IFERROR(__xludf.DUMMYFUNCTION("""COMPUTED_VALUE"""),"TURISMO")</f>
        <v>TURISMO</v>
      </c>
      <c r="AX130" s="141">
        <f ca="1">IFERROR(__xludf.DUMMYFUNCTION("""COMPUTED_VALUE"""),44848)</f>
        <v>44848</v>
      </c>
      <c r="AY130" s="40">
        <f ca="1">IFERROR(__xludf.DUMMYFUNCTION("""COMPUTED_VALUE"""),0)</f>
        <v>0</v>
      </c>
      <c r="AZ130" s="40">
        <f ca="1">IFERROR(__xludf.DUMMYFUNCTION("""COMPUTED_VALUE"""),1)</f>
        <v>1</v>
      </c>
      <c r="BA130" s="40">
        <f ca="1">IFERROR(__xludf.DUMMYFUNCTION("""COMPUTED_VALUE"""),0)</f>
        <v>0</v>
      </c>
      <c r="BB130" s="40">
        <f ca="1">IFERROR(__xludf.DUMMYFUNCTION("""COMPUTED_VALUE"""),0)</f>
        <v>0</v>
      </c>
      <c r="BC130" s="40">
        <f ca="1">IFERROR(__xludf.DUMMYFUNCTION("""COMPUTED_VALUE"""),1)</f>
        <v>1</v>
      </c>
      <c r="BD130" s="141">
        <f ca="1">IFERROR(__xludf.DUMMYFUNCTION("""COMPUTED_VALUE"""),43683)</f>
        <v>43683</v>
      </c>
      <c r="BE130" s="141">
        <f ca="1">IFERROR(__xludf.DUMMYFUNCTION("""COMPUTED_VALUE"""),43971)</f>
        <v>43971</v>
      </c>
      <c r="BF130" s="141">
        <f ca="1">IFERROR(__xludf.DUMMYFUNCTION("""COMPUTED_VALUE"""),44155)</f>
        <v>44155</v>
      </c>
      <c r="BG130" s="141">
        <f ca="1">IFERROR(__xludf.DUMMYFUNCTION("""COMPUTED_VALUE"""),44701)</f>
        <v>44701</v>
      </c>
      <c r="BH130" s="40" t="str">
        <f ca="1">IFERROR(__xludf.DUMMYFUNCTION("""COMPUTED_VALUE"""),"FINALIZAR FICHA")</f>
        <v>FINALIZAR FICHA</v>
      </c>
      <c r="BI130" s="40" t="str">
        <f ca="1">IFERROR(__xludf.DUMMYFUNCTION("""COMPUTED_VALUE"""),"Terminada por Fecha     ")</f>
        <v xml:space="preserve">Terminada por Fecha     </v>
      </c>
      <c r="BJ130" s="40" t="str">
        <f ca="1">IFERROR(__xludf.DUMMYFUNCTION("""COMPUTED_VALUE"""),"Yamboro")</f>
        <v>Yamboro</v>
      </c>
      <c r="BK130" s="40"/>
      <c r="BL130" s="40"/>
    </row>
    <row r="131" spans="1:64" ht="13">
      <c r="A131" s="40"/>
      <c r="B131" s="40" t="str">
        <f ca="1">IFERROR(__xludf.DUMMYFUNCTION("""COMPUTED_VALUE"""),"FORMACIÓN 19//07/2022")</f>
        <v>FORMACIÓN 19//07/2022</v>
      </c>
      <c r="C131" s="40" t="str">
        <f ca="1">IFERROR(__xludf.DUMMYFUNCTION("""COMPUTED_VALUE"""),"JEFFERSON ESTIVEN MOLINA SAMBONY")</f>
        <v>JEFFERSON ESTIVEN MOLINA SAMBONY</v>
      </c>
      <c r="D131" s="40" t="str">
        <f ca="1">IFERROR(__xludf.DUMMYFUNCTION("""COMPUTED_VALUE"""),"TI")</f>
        <v>TI</v>
      </c>
      <c r="E131" s="40">
        <f ca="1">IFERROR(__xludf.DUMMYFUNCTION("""COMPUTED_VALUE"""),1007531646)</f>
        <v>1007531646</v>
      </c>
      <c r="F131" s="40">
        <f ca="1">IFERROR(__xludf.DUMMYFUNCTION("""COMPUTED_VALUE"""),1966567)</f>
        <v>1966567</v>
      </c>
      <c r="G131" s="40" t="str">
        <f ca="1">IFERROR(__xludf.DUMMYFUNCTION("""COMPUTED_VALUE"""),"TÉCNICO")</f>
        <v>TÉCNICO</v>
      </c>
      <c r="H131" s="40" t="str">
        <f ca="1">IFERROR(__xludf.DUMMYFUNCTION("""COMPUTED_VALUE"""),"EJECUCION DE PROGRAMAS DEPORTIVOS")</f>
        <v>EJECUCION DE PROGRAMAS DEPORTIVOS</v>
      </c>
      <c r="I131" s="40">
        <f ca="1">IFERROR(__xludf.DUMMYFUNCTION("""COMPUTED_VALUE"""),3166828492)</f>
        <v>3166828492</v>
      </c>
      <c r="J131" s="40" t="str">
        <f ca="1">IFERROR(__xludf.DUMMYFUNCTION("""COMPUTED_VALUE"""),"Stivenmolina691@gmail.com")</f>
        <v>Stivenmolina691@gmail.com</v>
      </c>
      <c r="K131" s="40"/>
      <c r="L131" s="40" t="str">
        <f ca="1">IFERROR(__xludf.DUMMYFUNCTION("""COMPUTED_VALUE"""),"NO HA INICIADO ETAPA PRODUCTIVA")</f>
        <v>NO HA INICIADO ETAPA PRODUCTIVA</v>
      </c>
      <c r="M131" s="40"/>
      <c r="N131" s="40"/>
      <c r="O131" s="40"/>
      <c r="P131" s="40"/>
      <c r="Q131" s="40"/>
      <c r="R131" s="140"/>
      <c r="S131" s="140"/>
      <c r="T131" s="40"/>
      <c r="U131" s="40"/>
      <c r="V131" s="40"/>
      <c r="W131" s="40"/>
      <c r="X131" s="40"/>
      <c r="Y131" s="40"/>
      <c r="Z131" s="40"/>
      <c r="AA131" s="40" t="str">
        <f ca="1">IFERROR(__xludf.DUMMYFUNCTION("""COMPUTED_VALUE"""),"Revisado 15/06/2022")</f>
        <v>Revisado 15/06/2022</v>
      </c>
      <c r="AB131" s="40"/>
      <c r="AC131" s="40"/>
      <c r="AD131" s="40"/>
      <c r="AE131" s="40"/>
      <c r="AF131" s="40"/>
      <c r="AG131" s="40"/>
      <c r="AH131" s="40"/>
      <c r="AI131" s="40"/>
      <c r="AJ131" s="40"/>
      <c r="AK131" s="40"/>
      <c r="AL131" s="40"/>
      <c r="AM131" s="40"/>
      <c r="AN131" s="40"/>
      <c r="AO131" s="40"/>
      <c r="AP131" s="40"/>
      <c r="AQ131" s="40"/>
      <c r="AR131" s="40"/>
      <c r="AS131" s="40"/>
      <c r="AT131" s="40"/>
      <c r="AU131" s="40" t="str">
        <f ca="1">IFERROR(__xludf.DUMMYFUNCTION("""COMPUTED_VALUE"""),"Procede_E_P")</f>
        <v>Procede_E_P</v>
      </c>
      <c r="AV131" s="40" t="str">
        <f ca="1">IFERROR(__xludf.DUMMYFUNCTION("""COMPUTED_VALUE"""),"EN FORMACION")</f>
        <v>EN FORMACION</v>
      </c>
      <c r="AW131" s="40" t="str">
        <f ca="1">IFERROR(__xludf.DUMMYFUNCTION("""COMPUTED_VALUE"""),"TURISMO")</f>
        <v>TURISMO</v>
      </c>
      <c r="AX131" s="141">
        <f ca="1">IFERROR(__xludf.DUMMYFUNCTION("""COMPUTED_VALUE"""),44848)</f>
        <v>44848</v>
      </c>
      <c r="AY131" s="40">
        <f ca="1">IFERROR(__xludf.DUMMYFUNCTION("""COMPUTED_VALUE"""),0)</f>
        <v>0</v>
      </c>
      <c r="AZ131" s="40">
        <f ca="1">IFERROR(__xludf.DUMMYFUNCTION("""COMPUTED_VALUE"""),1)</f>
        <v>1</v>
      </c>
      <c r="BA131" s="40">
        <f ca="1">IFERROR(__xludf.DUMMYFUNCTION("""COMPUTED_VALUE"""),0)</f>
        <v>0</v>
      </c>
      <c r="BB131" s="40">
        <f ca="1">IFERROR(__xludf.DUMMYFUNCTION("""COMPUTED_VALUE"""),0)</f>
        <v>0</v>
      </c>
      <c r="BC131" s="40">
        <f ca="1">IFERROR(__xludf.DUMMYFUNCTION("""COMPUTED_VALUE"""),1)</f>
        <v>1</v>
      </c>
      <c r="BD131" s="141">
        <f ca="1">IFERROR(__xludf.DUMMYFUNCTION("""COMPUTED_VALUE"""),43683)</f>
        <v>43683</v>
      </c>
      <c r="BE131" s="141">
        <f ca="1">IFERROR(__xludf.DUMMYFUNCTION("""COMPUTED_VALUE"""),43971)</f>
        <v>43971</v>
      </c>
      <c r="BF131" s="141">
        <f ca="1">IFERROR(__xludf.DUMMYFUNCTION("""COMPUTED_VALUE"""),44155)</f>
        <v>44155</v>
      </c>
      <c r="BG131" s="141">
        <f ca="1">IFERROR(__xludf.DUMMYFUNCTION("""COMPUTED_VALUE"""),44701)</f>
        <v>44701</v>
      </c>
      <c r="BH131" s="40" t="str">
        <f ca="1">IFERROR(__xludf.DUMMYFUNCTION("""COMPUTED_VALUE"""),"FINALIZAR FICHA")</f>
        <v>FINALIZAR FICHA</v>
      </c>
      <c r="BI131" s="40" t="str">
        <f ca="1">IFERROR(__xludf.DUMMYFUNCTION("""COMPUTED_VALUE"""),"Terminada por Fecha     ")</f>
        <v xml:space="preserve">Terminada por Fecha     </v>
      </c>
      <c r="BJ131" s="40" t="str">
        <f ca="1">IFERROR(__xludf.DUMMYFUNCTION("""COMPUTED_VALUE"""),"Yamboro")</f>
        <v>Yamboro</v>
      </c>
      <c r="BK131" s="40"/>
      <c r="BL131" s="40"/>
    </row>
    <row r="132" spans="1:64" ht="13">
      <c r="A132" s="40"/>
      <c r="B132" s="40" t="str">
        <f ca="1">IFERROR(__xludf.DUMMYFUNCTION("""COMPUTED_VALUE"""),"FORMACIÓN 19//07/2022")</f>
        <v>FORMACIÓN 19//07/2022</v>
      </c>
      <c r="C132" s="40" t="str">
        <f ca="1">IFERROR(__xludf.DUMMYFUNCTION("""COMPUTED_VALUE"""),"YULIANA VARGAS URRIAGO")</f>
        <v>YULIANA VARGAS URRIAGO</v>
      </c>
      <c r="D132" s="40" t="str">
        <f ca="1">IFERROR(__xludf.DUMMYFUNCTION("""COMPUTED_VALUE"""),"CC")</f>
        <v>CC</v>
      </c>
      <c r="E132" s="40">
        <f ca="1">IFERROR(__xludf.DUMMYFUNCTION("""COMPUTED_VALUE"""),1007745465)</f>
        <v>1007745465</v>
      </c>
      <c r="F132" s="40">
        <f ca="1">IFERROR(__xludf.DUMMYFUNCTION("""COMPUTED_VALUE"""),1966567)</f>
        <v>1966567</v>
      </c>
      <c r="G132" s="40" t="str">
        <f ca="1">IFERROR(__xludf.DUMMYFUNCTION("""COMPUTED_VALUE"""),"TÉCNICO")</f>
        <v>TÉCNICO</v>
      </c>
      <c r="H132" s="40" t="str">
        <f ca="1">IFERROR(__xludf.DUMMYFUNCTION("""COMPUTED_VALUE"""),"EJECUCION DE PROGRAMAS DEPORTIVOS")</f>
        <v>EJECUCION DE PROGRAMAS DEPORTIVOS</v>
      </c>
      <c r="I132" s="40">
        <f ca="1">IFERROR(__xludf.DUMMYFUNCTION("""COMPUTED_VALUE"""),3208350902)</f>
        <v>3208350902</v>
      </c>
      <c r="J132" s="40" t="str">
        <f ca="1">IFERROR(__xludf.DUMMYFUNCTION("""COMPUTED_VALUE"""),"yulianavargasurriago@gmail.com")</f>
        <v>yulianavargasurriago@gmail.com</v>
      </c>
      <c r="K132" s="40" t="str">
        <f ca="1">IFERROR(__xludf.DUMMYFUNCTION("""COMPUTED_VALUE"""),"PITALITO")</f>
        <v>PITALITO</v>
      </c>
      <c r="L132" s="40" t="str">
        <f ca="1">IFERROR(__xludf.DUMMYFUNCTION("""COMPUTED_VALUE"""),"NO HA INICIADO ETAPA PRODUCTIVA")</f>
        <v>NO HA INICIADO ETAPA PRODUCTIVA</v>
      </c>
      <c r="M132" s="40"/>
      <c r="N132" s="40"/>
      <c r="O132" s="40"/>
      <c r="P132" s="40"/>
      <c r="Q132" s="40"/>
      <c r="R132" s="140"/>
      <c r="S132" s="140"/>
      <c r="T132" s="40"/>
      <c r="U132" s="40"/>
      <c r="V132" s="40"/>
      <c r="W132" s="40"/>
      <c r="X132" s="40"/>
      <c r="Y132" s="40"/>
      <c r="Z132" s="40"/>
      <c r="AA132" s="40" t="str">
        <f ca="1">IFERROR(__xludf.DUMMYFUNCTION("""COMPUTED_VALUE"""),"Revisado 15/06/2022")</f>
        <v>Revisado 15/06/2022</v>
      </c>
      <c r="AB132" s="40"/>
      <c r="AC132" s="40"/>
      <c r="AD132" s="40"/>
      <c r="AE132" s="40"/>
      <c r="AF132" s="40"/>
      <c r="AG132" s="40"/>
      <c r="AH132" s="40"/>
      <c r="AI132" s="40"/>
      <c r="AJ132" s="40"/>
      <c r="AK132" s="40"/>
      <c r="AL132" s="40"/>
      <c r="AM132" s="40"/>
      <c r="AN132" s="40"/>
      <c r="AO132" s="40"/>
      <c r="AP132" s="40"/>
      <c r="AQ132" s="40"/>
      <c r="AR132" s="40"/>
      <c r="AS132" s="40"/>
      <c r="AT132" s="40"/>
      <c r="AU132" s="40" t="str">
        <f ca="1">IFERROR(__xludf.DUMMYFUNCTION("""COMPUTED_VALUE"""),"Procede_E_P")</f>
        <v>Procede_E_P</v>
      </c>
      <c r="AV132" s="40" t="str">
        <f ca="1">IFERROR(__xludf.DUMMYFUNCTION("""COMPUTED_VALUE"""),"EN FORMACION")</f>
        <v>EN FORMACION</v>
      </c>
      <c r="AW132" s="40" t="str">
        <f ca="1">IFERROR(__xludf.DUMMYFUNCTION("""COMPUTED_VALUE"""),"TURISMO")</f>
        <v>TURISMO</v>
      </c>
      <c r="AX132" s="141">
        <f ca="1">IFERROR(__xludf.DUMMYFUNCTION("""COMPUTED_VALUE"""),44848)</f>
        <v>44848</v>
      </c>
      <c r="AY132" s="40">
        <f ca="1">IFERROR(__xludf.DUMMYFUNCTION("""COMPUTED_VALUE"""),0)</f>
        <v>0</v>
      </c>
      <c r="AZ132" s="40">
        <f ca="1">IFERROR(__xludf.DUMMYFUNCTION("""COMPUTED_VALUE"""),1)</f>
        <v>1</v>
      </c>
      <c r="BA132" s="40">
        <f ca="1">IFERROR(__xludf.DUMMYFUNCTION("""COMPUTED_VALUE"""),0)</f>
        <v>0</v>
      </c>
      <c r="BB132" s="40">
        <f ca="1">IFERROR(__xludf.DUMMYFUNCTION("""COMPUTED_VALUE"""),0)</f>
        <v>0</v>
      </c>
      <c r="BC132" s="40">
        <f ca="1">IFERROR(__xludf.DUMMYFUNCTION("""COMPUTED_VALUE"""),1)</f>
        <v>1</v>
      </c>
      <c r="BD132" s="141">
        <f ca="1">IFERROR(__xludf.DUMMYFUNCTION("""COMPUTED_VALUE"""),43683)</f>
        <v>43683</v>
      </c>
      <c r="BE132" s="141">
        <f ca="1">IFERROR(__xludf.DUMMYFUNCTION("""COMPUTED_VALUE"""),43971)</f>
        <v>43971</v>
      </c>
      <c r="BF132" s="141">
        <f ca="1">IFERROR(__xludf.DUMMYFUNCTION("""COMPUTED_VALUE"""),44155)</f>
        <v>44155</v>
      </c>
      <c r="BG132" s="141">
        <f ca="1">IFERROR(__xludf.DUMMYFUNCTION("""COMPUTED_VALUE"""),44701)</f>
        <v>44701</v>
      </c>
      <c r="BH132" s="40" t="str">
        <f ca="1">IFERROR(__xludf.DUMMYFUNCTION("""COMPUTED_VALUE"""),"FINALIZAR FICHA")</f>
        <v>FINALIZAR FICHA</v>
      </c>
      <c r="BI132" s="40" t="str">
        <f ca="1">IFERROR(__xludf.DUMMYFUNCTION("""COMPUTED_VALUE"""),"Terminada por Fecha     ")</f>
        <v xml:space="preserve">Terminada por Fecha     </v>
      </c>
      <c r="BJ132" s="40" t="str">
        <f ca="1">IFERROR(__xludf.DUMMYFUNCTION("""COMPUTED_VALUE"""),"Yamboro")</f>
        <v>Yamboro</v>
      </c>
      <c r="BK132" s="40"/>
      <c r="BL132" s="40"/>
    </row>
    <row r="133" spans="1:64" ht="13">
      <c r="A133" s="40"/>
      <c r="B133" s="40" t="str">
        <f ca="1">IFERROR(__xludf.DUMMYFUNCTION("""COMPUTED_VALUE"""),"FORMACIÓN 19//07/2022")</f>
        <v>FORMACIÓN 19//07/2022</v>
      </c>
      <c r="C133" s="40" t="str">
        <f ca="1">IFERROR(__xludf.DUMMYFUNCTION("""COMPUTED_VALUE"""),"JULIAN ANDRES SANCHEZ ROJAS")</f>
        <v>JULIAN ANDRES SANCHEZ ROJAS</v>
      </c>
      <c r="D133" s="40" t="str">
        <f ca="1">IFERROR(__xludf.DUMMYFUNCTION("""COMPUTED_VALUE"""),"CC")</f>
        <v>CC</v>
      </c>
      <c r="E133" s="40">
        <f ca="1">IFERROR(__xludf.DUMMYFUNCTION("""COMPUTED_VALUE"""),1075275394)</f>
        <v>1075275394</v>
      </c>
      <c r="F133" s="40">
        <f ca="1">IFERROR(__xludf.DUMMYFUNCTION("""COMPUTED_VALUE"""),1966567)</f>
        <v>1966567</v>
      </c>
      <c r="G133" s="40" t="str">
        <f ca="1">IFERROR(__xludf.DUMMYFUNCTION("""COMPUTED_VALUE"""),"TÉCNICO")</f>
        <v>TÉCNICO</v>
      </c>
      <c r="H133" s="40" t="str">
        <f ca="1">IFERROR(__xludf.DUMMYFUNCTION("""COMPUTED_VALUE"""),"EJECUCION DE PROGRAMAS DEPORTIVOS")</f>
        <v>EJECUCION DE PROGRAMAS DEPORTIVOS</v>
      </c>
      <c r="I133" s="40"/>
      <c r="J133" s="40" t="str">
        <f ca="1">IFERROR(__xludf.DUMMYFUNCTION("""COMPUTED_VALUE"""),"julitosanz.93@gmail.com")</f>
        <v>julitosanz.93@gmail.com</v>
      </c>
      <c r="K133" s="40" t="str">
        <f ca="1">IFERROR(__xludf.DUMMYFUNCTION("""COMPUTED_VALUE"""),"PITALITO")</f>
        <v>PITALITO</v>
      </c>
      <c r="L133" s="40" t="str">
        <f ca="1">IFERROR(__xludf.DUMMYFUNCTION("""COMPUTED_VALUE"""),"NO HA INICIADO ETAPA PRODUCTIVA")</f>
        <v>NO HA INICIADO ETAPA PRODUCTIVA</v>
      </c>
      <c r="M133" s="40"/>
      <c r="N133" s="40"/>
      <c r="O133" s="40"/>
      <c r="P133" s="40"/>
      <c r="Q133" s="40"/>
      <c r="R133" s="140"/>
      <c r="S133" s="140"/>
      <c r="T133" s="40" t="str">
        <f ca="1">IFERROR(__xludf.DUMMYFUNCTION("""COMPUTED_VALUE"""),"debe un resultado de promover")</f>
        <v>debe un resultado de promover</v>
      </c>
      <c r="U133" s="40"/>
      <c r="V133" s="40"/>
      <c r="W133" s="40"/>
      <c r="X133" s="40"/>
      <c r="Y133" s="40"/>
      <c r="Z133" s="40"/>
      <c r="AA133" s="40" t="str">
        <f ca="1">IFERROR(__xludf.DUMMYFUNCTION("""COMPUTED_VALUE"""),"Revisado 15/06/2022")</f>
        <v>Revisado 15/06/2022</v>
      </c>
      <c r="AB133" s="40"/>
      <c r="AC133" s="40"/>
      <c r="AD133" s="40"/>
      <c r="AE133" s="40"/>
      <c r="AF133" s="40"/>
      <c r="AG133" s="40"/>
      <c r="AH133" s="40"/>
      <c r="AI133" s="40"/>
      <c r="AJ133" s="40"/>
      <c r="AK133" s="40"/>
      <c r="AL133" s="40"/>
      <c r="AM133" s="40"/>
      <c r="AN133" s="40"/>
      <c r="AO133" s="40"/>
      <c r="AP133" s="40"/>
      <c r="AQ133" s="40"/>
      <c r="AR133" s="40"/>
      <c r="AS133" s="40"/>
      <c r="AT133" s="40"/>
      <c r="AU133" s="40" t="str">
        <f ca="1">IFERROR(__xludf.DUMMYFUNCTION("""COMPUTED_VALUE"""),"NO_CUMPLE")</f>
        <v>NO_CUMPLE</v>
      </c>
      <c r="AV133" s="40" t="str">
        <f ca="1">IFERROR(__xludf.DUMMYFUNCTION("""COMPUTED_VALUE"""),"EN FORMACION")</f>
        <v>EN FORMACION</v>
      </c>
      <c r="AW133" s="40" t="str">
        <f ca="1">IFERROR(__xludf.DUMMYFUNCTION("""COMPUTED_VALUE"""),"TURISMO")</f>
        <v>TURISMO</v>
      </c>
      <c r="AX133" s="141">
        <f ca="1">IFERROR(__xludf.DUMMYFUNCTION("""COMPUTED_VALUE"""),44848)</f>
        <v>44848</v>
      </c>
      <c r="AY133" s="40">
        <f ca="1">IFERROR(__xludf.DUMMYFUNCTION("""COMPUTED_VALUE"""),1)</f>
        <v>1</v>
      </c>
      <c r="AZ133" s="40">
        <f ca="1">IFERROR(__xludf.DUMMYFUNCTION("""COMPUTED_VALUE"""),1)</f>
        <v>1</v>
      </c>
      <c r="BA133" s="40">
        <f ca="1">IFERROR(__xludf.DUMMYFUNCTION("""COMPUTED_VALUE"""),0)</f>
        <v>0</v>
      </c>
      <c r="BB133" s="40">
        <f ca="1">IFERROR(__xludf.DUMMYFUNCTION("""COMPUTED_VALUE"""),0)</f>
        <v>0</v>
      </c>
      <c r="BC133" s="40">
        <f ca="1">IFERROR(__xludf.DUMMYFUNCTION("""COMPUTED_VALUE"""),2)</f>
        <v>2</v>
      </c>
      <c r="BD133" s="141">
        <f ca="1">IFERROR(__xludf.DUMMYFUNCTION("""COMPUTED_VALUE"""),43683)</f>
        <v>43683</v>
      </c>
      <c r="BE133" s="141">
        <f ca="1">IFERROR(__xludf.DUMMYFUNCTION("""COMPUTED_VALUE"""),43971)</f>
        <v>43971</v>
      </c>
      <c r="BF133" s="141">
        <f ca="1">IFERROR(__xludf.DUMMYFUNCTION("""COMPUTED_VALUE"""),44155)</f>
        <v>44155</v>
      </c>
      <c r="BG133" s="141">
        <f ca="1">IFERROR(__xludf.DUMMYFUNCTION("""COMPUTED_VALUE"""),44701)</f>
        <v>44701</v>
      </c>
      <c r="BH133" s="40" t="str">
        <f ca="1">IFERROR(__xludf.DUMMYFUNCTION("""COMPUTED_VALUE"""),"FINALIZAR FICHA")</f>
        <v>FINALIZAR FICHA</v>
      </c>
      <c r="BI133" s="40" t="str">
        <f ca="1">IFERROR(__xludf.DUMMYFUNCTION("""COMPUTED_VALUE"""),"Terminada por Fecha     ")</f>
        <v xml:space="preserve">Terminada por Fecha     </v>
      </c>
      <c r="BJ133" s="40" t="str">
        <f ca="1">IFERROR(__xludf.DUMMYFUNCTION("""COMPUTED_VALUE"""),"Yamboro")</f>
        <v>Yamboro</v>
      </c>
      <c r="BK133" s="40"/>
      <c r="BL133" s="40"/>
    </row>
    <row r="134" spans="1:64" ht="13">
      <c r="A134" s="40"/>
      <c r="B134" s="40" t="str">
        <f ca="1">IFERROR(__xludf.DUMMYFUNCTION("""COMPUTED_VALUE"""),"FORMACIÓN 06/09/2022")</f>
        <v>FORMACIÓN 06/09/2022</v>
      </c>
      <c r="C134" s="40" t="str">
        <f ca="1">IFERROR(__xludf.DUMMYFUNCTION("""COMPUTED_VALUE"""),"DUVERNEY CORREA HOMES")</f>
        <v>DUVERNEY CORREA HOMES</v>
      </c>
      <c r="D134" s="40" t="str">
        <f ca="1">IFERROR(__xludf.DUMMYFUNCTION("""COMPUTED_VALUE"""),"CC")</f>
        <v>CC</v>
      </c>
      <c r="E134" s="40">
        <f ca="1">IFERROR(__xludf.DUMMYFUNCTION("""COMPUTED_VALUE"""),1006550353)</f>
        <v>1006550353</v>
      </c>
      <c r="F134" s="40">
        <f ca="1">IFERROR(__xludf.DUMMYFUNCTION("""COMPUTED_VALUE"""),1905259)</f>
        <v>1905259</v>
      </c>
      <c r="G134" s="40" t="str">
        <f ca="1">IFERROR(__xludf.DUMMYFUNCTION("""COMPUTED_VALUE"""),"TECNÓLOGO")</f>
        <v>TECNÓLOGO</v>
      </c>
      <c r="H134" s="40" t="str">
        <f ca="1">IFERROR(__xludf.DUMMYFUNCTION("""COMPUTED_VALUE"""),"CONTROL AMBIENTAL")</f>
        <v>CONTROL AMBIENTAL</v>
      </c>
      <c r="I134" s="40">
        <f ca="1">IFERROR(__xludf.DUMMYFUNCTION("""COMPUTED_VALUE"""),3202543724)</f>
        <v>3202543724</v>
      </c>
      <c r="J134" s="40" t="str">
        <f ca="1">IFERROR(__xludf.DUMMYFUNCTION("""COMPUTED_VALUE"""),"homes28102000@gmail.com")</f>
        <v>homes28102000@gmail.com</v>
      </c>
      <c r="K134" s="40"/>
      <c r="L134" s="40" t="str">
        <f ca="1">IFERROR(__xludf.DUMMYFUNCTION("""COMPUTED_VALUE"""),"TERMINADO")</f>
        <v>TERMINADO</v>
      </c>
      <c r="M134" s="40" t="str">
        <f ca="1">IFERROR(__xludf.DUMMYFUNCTION("""COMPUTED_VALUE"""),"CI PISCICOLA BOTERO S A")</f>
        <v>CI PISCICOLA BOTERO S A</v>
      </c>
      <c r="N134" s="40" t="str">
        <f ca="1">IFERROR(__xludf.DUMMYFUNCTION("""COMPUTED_VALUE"""),"cra 5 #10-49 oficina 501 edificio plaza real")</f>
        <v>cra 5 #10-49 oficina 501 edificio plaza real</v>
      </c>
      <c r="O134" s="40">
        <f ca="1">IFERROR(__xludf.DUMMYFUNCTION("""COMPUTED_VALUE"""),3173650676)</f>
        <v>3173650676</v>
      </c>
      <c r="P134" s="40" t="str">
        <f ca="1">IFERROR(__xludf.DUMMYFUNCTION("""COMPUTED_VALUE"""),"BOGOTA D.C.")</f>
        <v>BOGOTA D.C.</v>
      </c>
      <c r="Q134" s="40" t="str">
        <f ca="1">IFERROR(__xludf.DUMMYFUNCTION("""COMPUTED_VALUE"""),"talentohumano@botero.com.co")</f>
        <v>talentohumano@botero.com.co</v>
      </c>
      <c r="R134" s="140">
        <f ca="1">IFERROR(__xludf.DUMMYFUNCTION("""COMPUTED_VALUE"""),44608)</f>
        <v>44608</v>
      </c>
      <c r="S134" s="140">
        <f ca="1">IFERROR(__xludf.DUMMYFUNCTION("""COMPUTED_VALUE"""),44788)</f>
        <v>44788</v>
      </c>
      <c r="T134" s="40" t="str">
        <f ca="1">IFERROR(__xludf.DUMMYFUNCTION("""COMPUTED_VALUE"""),"Tiene contrato, Inicial,  parcial Bitacoras 1,2,3,4, 5, 6 y 7  ...falta final  certificación y bitácoras 8,9,10,11y 12  ...Revisado 10/06/2022")</f>
        <v>Tiene contrato, Inicial,  parcial Bitacoras 1,2,3,4, 5, 6 y 7  ...falta final  certificación y bitácoras 8,9,10,11y 12  ...Revisado 10/06/2022</v>
      </c>
      <c r="U134" s="40" t="str">
        <f ca="1">IFERROR(__xludf.DUMMYFUNCTION("""COMPUTED_VALUE"""),"MAGDA LORENA ROJAS QUINAYAS - Subiò bitacoras 1 y 2...Revisado 30/03/2022 - Inicial , bitácoras 3,4 y 5 ... Revisado 18/05/2022 DIANA LORENA AVILA DUSSAN - Subió Parcial - bitácoras 6 y 7 ... Revisado 10/06/2022")</f>
        <v>MAGDA LORENA ROJAS QUINAYAS - Subiò bitacoras 1 y 2...Revisado 30/03/2022 - Inicial , bitácoras 3,4 y 5 ... Revisado 18/05/2022 DIANA LORENA AVILA DUSSAN - Subió Parcial - bitácoras 6 y 7 ... Revisado 10/06/2022</v>
      </c>
      <c r="V134" s="40" t="str">
        <f ca="1">IFERROR(__xludf.DUMMYFUNCTION("""COMPUTED_VALUE"""),"Si tiene seguimiento marzo...18/05/2022")</f>
        <v>Si tiene seguimiento marzo...18/05/2022</v>
      </c>
      <c r="W134" s="40" t="str">
        <f ca="1">IFERROR(__xludf.DUMMYFUNCTION("""COMPUTED_VALUE"""),"Si tiene seguimiento mes de marzo 30/03/2022")</f>
        <v>Si tiene seguimiento mes de marzo 30/03/2022</v>
      </c>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t="str">
        <f ca="1">IFERROR(__xludf.DUMMYFUNCTION("""COMPUTED_VALUE"""),"NO_CUMPLE")</f>
        <v>NO_CUMPLE</v>
      </c>
      <c r="AV134" s="40" t="str">
        <f ca="1">IFERROR(__xludf.DUMMYFUNCTION("""COMPUTED_VALUE"""),"CERTIFICADO")</f>
        <v>CERTIFICADO</v>
      </c>
      <c r="AW134" s="40" t="str">
        <f ca="1">IFERROR(__xludf.DUMMYFUNCTION("""COMPUTED_VALUE"""),"AMBIENTAL")</f>
        <v>AMBIENTAL</v>
      </c>
      <c r="AX134" s="141">
        <f ca="1">IFERROR(__xludf.DUMMYFUNCTION("""COMPUTED_VALUE"""),44848)</f>
        <v>44848</v>
      </c>
      <c r="AY134" s="40">
        <f ca="1">IFERROR(__xludf.DUMMYFUNCTION("""COMPUTED_VALUE"""),0)</f>
        <v>0</v>
      </c>
      <c r="AZ134" s="40">
        <f ca="1">IFERROR(__xludf.DUMMYFUNCTION("""COMPUTED_VALUE"""),0)</f>
        <v>0</v>
      </c>
      <c r="BA134" s="40">
        <f ca="1">IFERROR(__xludf.DUMMYFUNCTION("""COMPUTED_VALUE"""),0)</f>
        <v>0</v>
      </c>
      <c r="BB134" s="40">
        <f ca="1">IFERROR(__xludf.DUMMYFUNCTION("""COMPUTED_VALUE"""),0)</f>
        <v>0</v>
      </c>
      <c r="BC134" s="40">
        <f ca="1">IFERROR(__xludf.DUMMYFUNCTION("""COMPUTED_VALUE"""),0)</f>
        <v>0</v>
      </c>
      <c r="BD134" s="141">
        <f ca="1">IFERROR(__xludf.DUMMYFUNCTION("""COMPUTED_VALUE"""),43668)</f>
        <v>43668</v>
      </c>
      <c r="BE134" s="141">
        <f ca="1">IFERROR(__xludf.DUMMYFUNCTION("""COMPUTED_VALUE"""),44217)</f>
        <v>44217</v>
      </c>
      <c r="BF134" s="141">
        <f ca="1">IFERROR(__xludf.DUMMYFUNCTION("""COMPUTED_VALUE"""),44398)</f>
        <v>44398</v>
      </c>
      <c r="BG134" s="141">
        <f ca="1">IFERROR(__xludf.DUMMYFUNCTION("""COMPUTED_VALUE"""),44947)</f>
        <v>44947</v>
      </c>
      <c r="BH134" s="40" t="str">
        <f ca="1">IFERROR(__xludf.DUMMYFUNCTION("""COMPUTED_VALUE"""),"FICHA EN TIEMPO-18 MESES")</f>
        <v>FICHA EN TIEMPO-18 MESES</v>
      </c>
      <c r="BI134" s="40" t="str">
        <f ca="1">IFERROR(__xludf.DUMMYFUNCTION("""COMPUTED_VALUE"""),"Terminada por fecha")</f>
        <v>Terminada por fecha</v>
      </c>
      <c r="BJ134" s="40" t="str">
        <f ca="1">IFERROR(__xludf.DUMMYFUNCTION("""COMPUTED_VALUE"""),"Yamboro")</f>
        <v>Yamboro</v>
      </c>
      <c r="BK134" s="40"/>
      <c r="BL134" s="40"/>
    </row>
    <row r="135" spans="1:64" ht="13">
      <c r="A135" s="40"/>
      <c r="B135" s="40" t="str">
        <f ca="1">IFERROR(__xludf.DUMMYFUNCTION("""COMPUTED_VALUE"""),"FORMACIÓN 06/09/2022")</f>
        <v>FORMACIÓN 06/09/2022</v>
      </c>
      <c r="C135" s="40" t="str">
        <f ca="1">IFERROR(__xludf.DUMMYFUNCTION("""COMPUTED_VALUE"""),"ANDRES ESTIBEN CLAROS CAICEDO")</f>
        <v>ANDRES ESTIBEN CLAROS CAICEDO</v>
      </c>
      <c r="D135" s="40" t="str">
        <f ca="1">IFERROR(__xludf.DUMMYFUNCTION("""COMPUTED_VALUE"""),"TI")</f>
        <v>TI</v>
      </c>
      <c r="E135" s="40">
        <f ca="1">IFERROR(__xludf.DUMMYFUNCTION("""COMPUTED_VALUE"""),1007475106)</f>
        <v>1007475106</v>
      </c>
      <c r="F135" s="40">
        <f ca="1">IFERROR(__xludf.DUMMYFUNCTION("""COMPUTED_VALUE"""),2166528)</f>
        <v>2166528</v>
      </c>
      <c r="G135" s="40" t="str">
        <f ca="1">IFERROR(__xludf.DUMMYFUNCTION("""COMPUTED_VALUE"""),"TÉCNICO")</f>
        <v>TÉCNICO</v>
      </c>
      <c r="H135" s="40" t="str">
        <f ca="1">IFERROR(__xludf.DUMMYFUNCTION("""COMPUTED_VALUE"""),"CONSTRUCCIÓN DE EDIFICACIONES")</f>
        <v>CONSTRUCCIÓN DE EDIFICACIONES</v>
      </c>
      <c r="I135" s="40"/>
      <c r="J135" s="40" t="str">
        <f ca="1">IFERROR(__xludf.DUMMYFUNCTION("""COMPUTED_VALUE"""),"andresestivenc10@gmail.com")</f>
        <v>andresestivenc10@gmail.com</v>
      </c>
      <c r="K135" s="40"/>
      <c r="L135" s="40" t="str">
        <f ca="1">IFERROR(__xludf.DUMMYFUNCTION("""COMPUTED_VALUE"""),"NO HA INICIADO ETAPA PRODUCTIVA")</f>
        <v>NO HA INICIADO ETAPA PRODUCTIVA</v>
      </c>
      <c r="M135" s="40"/>
      <c r="N135" s="40"/>
      <c r="O135" s="40"/>
      <c r="P135" s="40"/>
      <c r="Q135" s="40"/>
      <c r="R135" s="140"/>
      <c r="S135" s="1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t="str">
        <f ca="1">IFERROR(__xludf.DUMMYFUNCTION("""COMPUTED_VALUE"""),"Procede_E_P")</f>
        <v>Procede_E_P</v>
      </c>
      <c r="AV135" s="40" t="str">
        <f ca="1">IFERROR(__xludf.DUMMYFUNCTION("""COMPUTED_VALUE"""),"EN FORMACION")</f>
        <v>EN FORMACION</v>
      </c>
      <c r="AW135" s="40" t="str">
        <f ca="1">IFERROR(__xludf.DUMMYFUNCTION("""COMPUTED_VALUE"""),"BIOCONSTRUCCION")</f>
        <v>BIOCONSTRUCCION</v>
      </c>
      <c r="AX135" s="141">
        <f ca="1">IFERROR(__xludf.DUMMYFUNCTION("""COMPUTED_VALUE"""),44848)</f>
        <v>44848</v>
      </c>
      <c r="AY135" s="40">
        <f ca="1">IFERROR(__xludf.DUMMYFUNCTION("""COMPUTED_VALUE"""),0)</f>
        <v>0</v>
      </c>
      <c r="AZ135" s="40">
        <f ca="1">IFERROR(__xludf.DUMMYFUNCTION("""COMPUTED_VALUE"""),1)</f>
        <v>1</v>
      </c>
      <c r="BA135" s="40">
        <f ca="1">IFERROR(__xludf.DUMMYFUNCTION("""COMPUTED_VALUE"""),0)</f>
        <v>0</v>
      </c>
      <c r="BB135" s="40">
        <f ca="1">IFERROR(__xludf.DUMMYFUNCTION("""COMPUTED_VALUE"""),0)</f>
        <v>0</v>
      </c>
      <c r="BC135" s="40">
        <f ca="1">IFERROR(__xludf.DUMMYFUNCTION("""COMPUTED_VALUE"""),1)</f>
        <v>1</v>
      </c>
      <c r="BD135" s="141">
        <f ca="1">IFERROR(__xludf.DUMMYFUNCTION("""COMPUTED_VALUE"""),44075)</f>
        <v>44075</v>
      </c>
      <c r="BE135" s="141">
        <f ca="1">IFERROR(__xludf.DUMMYFUNCTION("""COMPUTED_VALUE"""),44285)</f>
        <v>44285</v>
      </c>
      <c r="BF135" s="141">
        <f ca="1">IFERROR(__xludf.DUMMYFUNCTION("""COMPUTED_VALUE"""),44469)</f>
        <v>44469</v>
      </c>
      <c r="BG135" s="141">
        <f ca="1">IFERROR(__xludf.DUMMYFUNCTION("""COMPUTED_VALUE"""),45015)</f>
        <v>45015</v>
      </c>
      <c r="BH135" s="40" t="str">
        <f ca="1">IFERROR(__xludf.DUMMYFUNCTION("""COMPUTED_VALUE"""),"FICHA EN TIEMPO-18 MESES")</f>
        <v>FICHA EN TIEMPO-18 MESES</v>
      </c>
      <c r="BI135" s="40" t="str">
        <f ca="1">IFERROR(__xludf.DUMMYFUNCTION("""COMPUTED_VALUE"""),"Terminada por fecha")</f>
        <v>Terminada por fecha</v>
      </c>
      <c r="BJ135" s="40" t="str">
        <f ca="1">IFERROR(__xludf.DUMMYFUNCTION("""COMPUTED_VALUE"""),"Yamboro")</f>
        <v>Yamboro</v>
      </c>
      <c r="BK135" s="40"/>
      <c r="BL135" s="40"/>
    </row>
    <row r="136" spans="1:64" ht="13">
      <c r="A136" s="40"/>
      <c r="B136" s="40" t="str">
        <f ca="1">IFERROR(__xludf.DUMMYFUNCTION("""COMPUTED_VALUE"""),"FORMACIÓN 06/09/2022")</f>
        <v>FORMACIÓN 06/09/2022</v>
      </c>
      <c r="C136" s="40" t="str">
        <f ca="1">IFERROR(__xludf.DUMMYFUNCTION("""COMPUTED_VALUE"""),"JULIAN ANDRES GOMEZ CORDOBA")</f>
        <v>JULIAN ANDRES GOMEZ CORDOBA</v>
      </c>
      <c r="D136" s="40" t="str">
        <f ca="1">IFERROR(__xludf.DUMMYFUNCTION("""COMPUTED_VALUE"""),"CC")</f>
        <v>CC</v>
      </c>
      <c r="E136" s="40">
        <f ca="1">IFERROR(__xludf.DUMMYFUNCTION("""COMPUTED_VALUE"""),1083921329)</f>
        <v>1083921329</v>
      </c>
      <c r="F136" s="40">
        <f ca="1">IFERROR(__xludf.DUMMYFUNCTION("""COMPUTED_VALUE"""),2205962)</f>
        <v>2205962</v>
      </c>
      <c r="G136" s="40" t="str">
        <f ca="1">IFERROR(__xludf.DUMMYFUNCTION("""COMPUTED_VALUE"""),"TÉCNICO")</f>
        <v>TÉCNICO</v>
      </c>
      <c r="H136" s="40" t="str">
        <f ca="1">IFERROR(__xludf.DUMMYFUNCTION("""COMPUTED_VALUE"""),"CONSTRUCCIÓN DE EDIFICACIONES")</f>
        <v>CONSTRUCCIÓN DE EDIFICACIONES</v>
      </c>
      <c r="I136" s="40">
        <f ca="1">IFERROR(__xludf.DUMMYFUNCTION("""COMPUTED_VALUE"""),3112675686)</f>
        <v>3112675686</v>
      </c>
      <c r="J136" s="40" t="str">
        <f ca="1">IFERROR(__xludf.DUMMYFUNCTION("""COMPUTED_VALUE"""),"Julian.gomez-c@uniminuto.edu.co")</f>
        <v>Julian.gomez-c@uniminuto.edu.co</v>
      </c>
      <c r="K136" s="40"/>
      <c r="L136" s="40" t="str">
        <f ca="1">IFERROR(__xludf.DUMMYFUNCTION("""COMPUTED_VALUE"""),"NO HA INICIADO ETAPA PRODUCTIVA")</f>
        <v>NO HA INICIADO ETAPA PRODUCTIVA</v>
      </c>
      <c r="M136" s="40"/>
      <c r="N136" s="40"/>
      <c r="O136" s="40"/>
      <c r="P136" s="40"/>
      <c r="Q136" s="40"/>
      <c r="R136" s="140"/>
      <c r="S136" s="140"/>
      <c r="T136" s="40" t="str">
        <f ca="1">IFERROR(__xludf.DUMMYFUNCTION("""COMPUTED_VALUE"""),"debe  3 resultados de aprendizaje")</f>
        <v>debe  3 resultados de aprendizaje</v>
      </c>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t="str">
        <f ca="1">IFERROR(__xludf.DUMMYFUNCTION("""COMPUTED_VALUE"""),"NO_CUMPLE")</f>
        <v>NO_CUMPLE</v>
      </c>
      <c r="AV136" s="40" t="str">
        <f ca="1">IFERROR(__xludf.DUMMYFUNCTION("""COMPUTED_VALUE"""),"EN FORMACION")</f>
        <v>EN FORMACION</v>
      </c>
      <c r="AW136" s="40" t="str">
        <f ca="1">IFERROR(__xludf.DUMMYFUNCTION("""COMPUTED_VALUE"""),"BIOCONSTRUCCION")</f>
        <v>BIOCONSTRUCCION</v>
      </c>
      <c r="AX136" s="141">
        <f ca="1">IFERROR(__xludf.DUMMYFUNCTION("""COMPUTED_VALUE"""),44848)</f>
        <v>44848</v>
      </c>
      <c r="AY136" s="40">
        <f ca="1">IFERROR(__xludf.DUMMYFUNCTION("""COMPUTED_VALUE"""),2)</f>
        <v>2</v>
      </c>
      <c r="AZ136" s="40">
        <f ca="1">IFERROR(__xludf.DUMMYFUNCTION("""COMPUTED_VALUE"""),1)</f>
        <v>1</v>
      </c>
      <c r="BA136" s="40">
        <f ca="1">IFERROR(__xludf.DUMMYFUNCTION("""COMPUTED_VALUE"""),0)</f>
        <v>0</v>
      </c>
      <c r="BB136" s="40">
        <f ca="1">IFERROR(__xludf.DUMMYFUNCTION("""COMPUTED_VALUE"""),0)</f>
        <v>0</v>
      </c>
      <c r="BC136" s="40">
        <f ca="1">IFERROR(__xludf.DUMMYFUNCTION("""COMPUTED_VALUE"""),3)</f>
        <v>3</v>
      </c>
      <c r="BD136" s="141">
        <f ca="1">IFERROR(__xludf.DUMMYFUNCTION("""COMPUTED_VALUE"""),44105)</f>
        <v>44105</v>
      </c>
      <c r="BE136" s="141">
        <f ca="1">IFERROR(__xludf.DUMMYFUNCTION("""COMPUTED_VALUE"""),44285)</f>
        <v>44285</v>
      </c>
      <c r="BF136" s="141">
        <f ca="1">IFERROR(__xludf.DUMMYFUNCTION("""COMPUTED_VALUE"""),44469)</f>
        <v>44469</v>
      </c>
      <c r="BG136" s="141">
        <f ca="1">IFERROR(__xludf.DUMMYFUNCTION("""COMPUTED_VALUE"""),45015)</f>
        <v>45015</v>
      </c>
      <c r="BH136" s="40" t="str">
        <f ca="1">IFERROR(__xludf.DUMMYFUNCTION("""COMPUTED_VALUE"""),"FICHA EN TIEMPO-18 MESES")</f>
        <v>FICHA EN TIEMPO-18 MESES</v>
      </c>
      <c r="BI136" s="40" t="str">
        <f ca="1">IFERROR(__xludf.DUMMYFUNCTION("""COMPUTED_VALUE"""),"Terminada por fecha")</f>
        <v>Terminada por fecha</v>
      </c>
      <c r="BJ136" s="40" t="str">
        <f ca="1">IFERROR(__xludf.DUMMYFUNCTION("""COMPUTED_VALUE"""),"Yamboro")</f>
        <v>Yamboro</v>
      </c>
      <c r="BK136" s="40"/>
      <c r="BL136" s="40"/>
    </row>
    <row r="137" spans="1:64" ht="13">
      <c r="A137" s="40"/>
      <c r="B137" s="40" t="str">
        <f ca="1">IFERROR(__xludf.DUMMYFUNCTION("""COMPUTED_VALUE"""),"FORMACIÓN 06/09/2022")</f>
        <v>FORMACIÓN 06/09/2022</v>
      </c>
      <c r="C137" s="40" t="str">
        <f ca="1">IFERROR(__xludf.DUMMYFUNCTION("""COMPUTED_VALUE"""),"JORGE ANDRES ALVARADO DOMINGUEZ")</f>
        <v>JORGE ANDRES ALVARADO DOMINGUEZ</v>
      </c>
      <c r="D137" s="40" t="str">
        <f ca="1">IFERROR(__xludf.DUMMYFUNCTION("""COMPUTED_VALUE"""),"CC")</f>
        <v>CC</v>
      </c>
      <c r="E137" s="40">
        <f ca="1">IFERROR(__xludf.DUMMYFUNCTION("""COMPUTED_VALUE"""),1118468542)</f>
        <v>1118468542</v>
      </c>
      <c r="F137" s="40">
        <f ca="1">IFERROR(__xludf.DUMMYFUNCTION("""COMPUTED_VALUE"""),2205962)</f>
        <v>2205962</v>
      </c>
      <c r="G137" s="40" t="str">
        <f ca="1">IFERROR(__xludf.DUMMYFUNCTION("""COMPUTED_VALUE"""),"TÉCNICO")</f>
        <v>TÉCNICO</v>
      </c>
      <c r="H137" s="40" t="str">
        <f ca="1">IFERROR(__xludf.DUMMYFUNCTION("""COMPUTED_VALUE"""),"CONSTRUCCIÓN DE EDIFICACIONES")</f>
        <v>CONSTRUCCIÓN DE EDIFICACIONES</v>
      </c>
      <c r="I137" s="40">
        <f ca="1">IFERROR(__xludf.DUMMYFUNCTION("""COMPUTED_VALUE"""),3215063894)</f>
        <v>3215063894</v>
      </c>
      <c r="J137" s="40" t="str">
        <f ca="1">IFERROR(__xludf.DUMMYFUNCTION("""COMPUTED_VALUE"""),"alvaradodominguezjorgeandres@gmail.com")</f>
        <v>alvaradodominguezjorgeandres@gmail.com</v>
      </c>
      <c r="K137" s="40"/>
      <c r="L137" s="40" t="str">
        <f ca="1">IFERROR(__xludf.DUMMYFUNCTION("""COMPUTED_VALUE"""),"NO HA INICIADO ETAPA PRODUCTIVA")</f>
        <v>NO HA INICIADO ETAPA PRODUCTIVA</v>
      </c>
      <c r="M137" s="40"/>
      <c r="N137" s="40"/>
      <c r="O137" s="40"/>
      <c r="P137" s="40"/>
      <c r="Q137" s="40"/>
      <c r="R137" s="140"/>
      <c r="S137" s="140"/>
      <c r="T137" s="40" t="str">
        <f ca="1">IFERROR(__xludf.DUMMYFUNCTION("""COMPUTED_VALUE"""),"debe  3 resultados de aprendizaje")</f>
        <v>debe  3 resultados de aprendizaje</v>
      </c>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t="str">
        <f ca="1">IFERROR(__xludf.DUMMYFUNCTION("""COMPUTED_VALUE"""),"NO_CUMPLE")</f>
        <v>NO_CUMPLE</v>
      </c>
      <c r="AV137" s="40" t="str">
        <f ca="1">IFERROR(__xludf.DUMMYFUNCTION("""COMPUTED_VALUE"""),"EN FORMACION")</f>
        <v>EN FORMACION</v>
      </c>
      <c r="AW137" s="40" t="str">
        <f ca="1">IFERROR(__xludf.DUMMYFUNCTION("""COMPUTED_VALUE"""),"BIOCONSTRUCCION")</f>
        <v>BIOCONSTRUCCION</v>
      </c>
      <c r="AX137" s="141">
        <f ca="1">IFERROR(__xludf.DUMMYFUNCTION("""COMPUTED_VALUE"""),44848)</f>
        <v>44848</v>
      </c>
      <c r="AY137" s="40">
        <f ca="1">IFERROR(__xludf.DUMMYFUNCTION("""COMPUTED_VALUE"""),3)</f>
        <v>3</v>
      </c>
      <c r="AZ137" s="40">
        <f ca="1">IFERROR(__xludf.DUMMYFUNCTION("""COMPUTED_VALUE"""),1)</f>
        <v>1</v>
      </c>
      <c r="BA137" s="40">
        <f ca="1">IFERROR(__xludf.DUMMYFUNCTION("""COMPUTED_VALUE"""),0)</f>
        <v>0</v>
      </c>
      <c r="BB137" s="40">
        <f ca="1">IFERROR(__xludf.DUMMYFUNCTION("""COMPUTED_VALUE"""),0)</f>
        <v>0</v>
      </c>
      <c r="BC137" s="40">
        <f ca="1">IFERROR(__xludf.DUMMYFUNCTION("""COMPUTED_VALUE"""),4)</f>
        <v>4</v>
      </c>
      <c r="BD137" s="141">
        <f ca="1">IFERROR(__xludf.DUMMYFUNCTION("""COMPUTED_VALUE"""),44105)</f>
        <v>44105</v>
      </c>
      <c r="BE137" s="141">
        <f ca="1">IFERROR(__xludf.DUMMYFUNCTION("""COMPUTED_VALUE"""),44285)</f>
        <v>44285</v>
      </c>
      <c r="BF137" s="141">
        <f ca="1">IFERROR(__xludf.DUMMYFUNCTION("""COMPUTED_VALUE"""),44469)</f>
        <v>44469</v>
      </c>
      <c r="BG137" s="141">
        <f ca="1">IFERROR(__xludf.DUMMYFUNCTION("""COMPUTED_VALUE"""),45015)</f>
        <v>45015</v>
      </c>
      <c r="BH137" s="40" t="str">
        <f ca="1">IFERROR(__xludf.DUMMYFUNCTION("""COMPUTED_VALUE"""),"FICHA EN TIEMPO-18 MESES")</f>
        <v>FICHA EN TIEMPO-18 MESES</v>
      </c>
      <c r="BI137" s="40" t="str">
        <f ca="1">IFERROR(__xludf.DUMMYFUNCTION("""COMPUTED_VALUE"""),"Terminada por fecha")</f>
        <v>Terminada por fecha</v>
      </c>
      <c r="BJ137" s="40" t="str">
        <f ca="1">IFERROR(__xludf.DUMMYFUNCTION("""COMPUTED_VALUE"""),"Yamboro")</f>
        <v>Yamboro</v>
      </c>
      <c r="BK137" s="40"/>
      <c r="BL137" s="40"/>
    </row>
    <row r="138" spans="1:64" ht="13">
      <c r="A138" s="40"/>
      <c r="B138" s="40" t="str">
        <f ca="1">IFERROR(__xludf.DUMMYFUNCTION("""COMPUTED_VALUE"""),"FORMACIÓN 06/09/2022")</f>
        <v>FORMACIÓN 06/09/2022</v>
      </c>
      <c r="C138" s="40" t="str">
        <f ca="1">IFERROR(__xludf.DUMMYFUNCTION("""COMPUTED_VALUE"""),"NENCER PERDOMO BAHAMON")</f>
        <v>NENCER PERDOMO BAHAMON</v>
      </c>
      <c r="D138" s="40" t="str">
        <f ca="1">IFERROR(__xludf.DUMMYFUNCTION("""COMPUTED_VALUE"""),"CC")</f>
        <v>CC</v>
      </c>
      <c r="E138" s="40">
        <f ca="1">IFERROR(__xludf.DUMMYFUNCTION("""COMPUTED_VALUE"""),17293898)</f>
        <v>17293898</v>
      </c>
      <c r="F138" s="40">
        <f ca="1">IFERROR(__xludf.DUMMYFUNCTION("""COMPUTED_VALUE"""),2205962)</f>
        <v>2205962</v>
      </c>
      <c r="G138" s="40" t="str">
        <f ca="1">IFERROR(__xludf.DUMMYFUNCTION("""COMPUTED_VALUE"""),"TÉCNICO")</f>
        <v>TÉCNICO</v>
      </c>
      <c r="H138" s="40" t="str">
        <f ca="1">IFERROR(__xludf.DUMMYFUNCTION("""COMPUTED_VALUE"""),"CONSTRUCCIÓN DE EDIFICACIONES")</f>
        <v>CONSTRUCCIÓN DE EDIFICACIONES</v>
      </c>
      <c r="I138" s="40">
        <f ca="1">IFERROR(__xludf.DUMMYFUNCTION("""COMPUTED_VALUE"""),3112254692)</f>
        <v>3112254692</v>
      </c>
      <c r="J138" s="40" t="str">
        <f ca="1">IFERROR(__xludf.DUMMYFUNCTION("""COMPUTED_VALUE"""),"nencerperdomo@hotmail.com")</f>
        <v>nencerperdomo@hotmail.com</v>
      </c>
      <c r="K138" s="40" t="str">
        <f ca="1">IFERROR(__xludf.DUMMYFUNCTION("""COMPUTED_VALUE"""),"PITALITO")</f>
        <v>PITALITO</v>
      </c>
      <c r="L138" s="40" t="str">
        <f ca="1">IFERROR(__xludf.DUMMYFUNCTION("""COMPUTED_VALUE"""),"NO HA INICIADO ETAPA PRODUCTIVA")</f>
        <v>NO HA INICIADO ETAPA PRODUCTIVA</v>
      </c>
      <c r="M138" s="40"/>
      <c r="N138" s="40"/>
      <c r="O138" s="40"/>
      <c r="P138" s="40"/>
      <c r="Q138" s="40"/>
      <c r="R138" s="140"/>
      <c r="S138" s="140"/>
      <c r="T138" s="40" t="str">
        <f ca="1">IFERROR(__xludf.DUMMYFUNCTION("""COMPUTED_VALUE"""),"debe  3 resultados de aprendizaje")</f>
        <v>debe  3 resultados de aprendizaje</v>
      </c>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t="str">
        <f ca="1">IFERROR(__xludf.DUMMYFUNCTION("""COMPUTED_VALUE"""),"NO_CUMPLE")</f>
        <v>NO_CUMPLE</v>
      </c>
      <c r="AV138" s="40" t="str">
        <f ca="1">IFERROR(__xludf.DUMMYFUNCTION("""COMPUTED_VALUE"""),"EN FORMACION")</f>
        <v>EN FORMACION</v>
      </c>
      <c r="AW138" s="40" t="str">
        <f ca="1">IFERROR(__xludf.DUMMYFUNCTION("""COMPUTED_VALUE"""),"BIOCONSTRUCCION")</f>
        <v>BIOCONSTRUCCION</v>
      </c>
      <c r="AX138" s="141">
        <f ca="1">IFERROR(__xludf.DUMMYFUNCTION("""COMPUTED_VALUE"""),44848)</f>
        <v>44848</v>
      </c>
      <c r="AY138" s="40">
        <f ca="1">IFERROR(__xludf.DUMMYFUNCTION("""COMPUTED_VALUE"""),2)</f>
        <v>2</v>
      </c>
      <c r="AZ138" s="40">
        <f ca="1">IFERROR(__xludf.DUMMYFUNCTION("""COMPUTED_VALUE"""),1)</f>
        <v>1</v>
      </c>
      <c r="BA138" s="40">
        <f ca="1">IFERROR(__xludf.DUMMYFUNCTION("""COMPUTED_VALUE"""),0)</f>
        <v>0</v>
      </c>
      <c r="BB138" s="40">
        <f ca="1">IFERROR(__xludf.DUMMYFUNCTION("""COMPUTED_VALUE"""),0)</f>
        <v>0</v>
      </c>
      <c r="BC138" s="40">
        <f ca="1">IFERROR(__xludf.DUMMYFUNCTION("""COMPUTED_VALUE"""),3)</f>
        <v>3</v>
      </c>
      <c r="BD138" s="141">
        <f ca="1">IFERROR(__xludf.DUMMYFUNCTION("""COMPUTED_VALUE"""),44105)</f>
        <v>44105</v>
      </c>
      <c r="BE138" s="141">
        <f ca="1">IFERROR(__xludf.DUMMYFUNCTION("""COMPUTED_VALUE"""),44285)</f>
        <v>44285</v>
      </c>
      <c r="BF138" s="141">
        <f ca="1">IFERROR(__xludf.DUMMYFUNCTION("""COMPUTED_VALUE"""),44469)</f>
        <v>44469</v>
      </c>
      <c r="BG138" s="141">
        <f ca="1">IFERROR(__xludf.DUMMYFUNCTION("""COMPUTED_VALUE"""),45015)</f>
        <v>45015</v>
      </c>
      <c r="BH138" s="40" t="str">
        <f ca="1">IFERROR(__xludf.DUMMYFUNCTION("""COMPUTED_VALUE"""),"FICHA EN TIEMPO-18 MESES")</f>
        <v>FICHA EN TIEMPO-18 MESES</v>
      </c>
      <c r="BI138" s="40" t="str">
        <f ca="1">IFERROR(__xludf.DUMMYFUNCTION("""COMPUTED_VALUE"""),"Terminada por fecha")</f>
        <v>Terminada por fecha</v>
      </c>
      <c r="BJ138" s="40" t="str">
        <f ca="1">IFERROR(__xludf.DUMMYFUNCTION("""COMPUTED_VALUE"""),"Yamboro")</f>
        <v>Yamboro</v>
      </c>
      <c r="BK138" s="40"/>
      <c r="BL138" s="40"/>
    </row>
    <row r="139" spans="1:64" ht="13">
      <c r="A139" s="40"/>
      <c r="B139" s="40" t="str">
        <f ca="1">IFERROR(__xludf.DUMMYFUNCTION("""COMPUTED_VALUE"""),"FORMACIÓN 06/09/2022")</f>
        <v>FORMACIÓN 06/09/2022</v>
      </c>
      <c r="C139" s="40" t="str">
        <f ca="1">IFERROR(__xludf.DUMMYFUNCTION("""COMPUTED_VALUE"""),"JORGE ANDRES VIDAL CORREA")</f>
        <v>JORGE ANDRES VIDAL CORREA</v>
      </c>
      <c r="D139" s="40" t="str">
        <f ca="1">IFERROR(__xludf.DUMMYFUNCTION("""COMPUTED_VALUE"""),"CC")</f>
        <v>CC</v>
      </c>
      <c r="E139" s="40">
        <f ca="1">IFERROR(__xludf.DUMMYFUNCTION("""COMPUTED_VALUE"""),1004209672)</f>
        <v>1004209672</v>
      </c>
      <c r="F139" s="40">
        <f ca="1">IFERROR(__xludf.DUMMYFUNCTION("""COMPUTED_VALUE"""),1832952)</f>
        <v>1832952</v>
      </c>
      <c r="G139" s="40" t="str">
        <f ca="1">IFERROR(__xludf.DUMMYFUNCTION("""COMPUTED_VALUE"""),"TECNÓLOGO")</f>
        <v>TECNÓLOGO</v>
      </c>
      <c r="H139" s="40" t="str">
        <f ca="1">IFERROR(__xludf.DUMMYFUNCTION("""COMPUTED_VALUE"""),"PRODUCCIÓN AGROPECUARIA ECOLÓGICA")</f>
        <v>PRODUCCIÓN AGROPECUARIA ECOLÓGICA</v>
      </c>
      <c r="I139" s="40">
        <f ca="1">IFERROR(__xludf.DUMMYFUNCTION("""COMPUTED_VALUE"""),3148649319)</f>
        <v>3148649319</v>
      </c>
      <c r="J139" s="40" t="str">
        <f ca="1">IFERROR(__xludf.DUMMYFUNCTION("""COMPUTED_VALUE"""),"26vidalandres@gmail.com")</f>
        <v>26vidalandres@gmail.com</v>
      </c>
      <c r="K139" s="40"/>
      <c r="L139" s="40" t="str">
        <f ca="1">IFERROR(__xludf.DUMMYFUNCTION("""COMPUTED_VALUE"""),"NO HA INICIADO ETAPA PRODUCTIVA")</f>
        <v>NO HA INICIADO ETAPA PRODUCTIVA</v>
      </c>
      <c r="M139" s="40"/>
      <c r="N139" s="40"/>
      <c r="O139" s="40"/>
      <c r="P139" s="40"/>
      <c r="Q139" s="40"/>
      <c r="R139" s="140"/>
      <c r="S139" s="1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t="str">
        <f ca="1">IFERROR(__xludf.DUMMYFUNCTION("""COMPUTED_VALUE"""),"Procede_E_P")</f>
        <v>Procede_E_P</v>
      </c>
      <c r="AV139" s="40" t="str">
        <f ca="1">IFERROR(__xludf.DUMMYFUNCTION("""COMPUTED_VALUE"""),"EN FORMACION")</f>
        <v>EN FORMACION</v>
      </c>
      <c r="AW139" s="40" t="str">
        <f ca="1">IFERROR(__xludf.DUMMYFUNCTION("""COMPUTED_VALUE"""),"AGROPECUARIO")</f>
        <v>AGROPECUARIO</v>
      </c>
      <c r="AX139" s="141">
        <f ca="1">IFERROR(__xludf.DUMMYFUNCTION("""COMPUTED_VALUE"""),44848)</f>
        <v>44848</v>
      </c>
      <c r="AY139" s="40">
        <f ca="1">IFERROR(__xludf.DUMMYFUNCTION("""COMPUTED_VALUE"""),0)</f>
        <v>0</v>
      </c>
      <c r="AZ139" s="40">
        <f ca="1">IFERROR(__xludf.DUMMYFUNCTION("""COMPUTED_VALUE"""),1)</f>
        <v>1</v>
      </c>
      <c r="BA139" s="40">
        <f ca="1">IFERROR(__xludf.DUMMYFUNCTION("""COMPUTED_VALUE"""),0)</f>
        <v>0</v>
      </c>
      <c r="BB139" s="40">
        <f ca="1">IFERROR(__xludf.DUMMYFUNCTION("""COMPUTED_VALUE"""),0)</f>
        <v>0</v>
      </c>
      <c r="BC139" s="40">
        <f ca="1">IFERROR(__xludf.DUMMYFUNCTION("""COMPUTED_VALUE"""),1)</f>
        <v>1</v>
      </c>
      <c r="BD139" s="141">
        <f ca="1">IFERROR(__xludf.DUMMYFUNCTION("""COMPUTED_VALUE"""),43577)</f>
        <v>43577</v>
      </c>
      <c r="BE139" s="141">
        <f ca="1">IFERROR(__xludf.DUMMYFUNCTION("""COMPUTED_VALUE"""),44168)</f>
        <v>44168</v>
      </c>
      <c r="BF139" s="141">
        <f ca="1">IFERROR(__xludf.DUMMYFUNCTION("""COMPUTED_VALUE"""),44350)</f>
        <v>44350</v>
      </c>
      <c r="BG139" s="141">
        <f ca="1">IFERROR(__xludf.DUMMYFUNCTION("""COMPUTED_VALUE"""),44898)</f>
        <v>44898</v>
      </c>
      <c r="BH139" s="40" t="str">
        <f ca="1">IFERROR(__xludf.DUMMYFUNCTION("""COMPUTED_VALUE"""),"FICHA EN TIEMPO-18 MESES")</f>
        <v>FICHA EN TIEMPO-18 MESES</v>
      </c>
      <c r="BI139" s="40" t="str">
        <f ca="1">IFERROR(__xludf.DUMMYFUNCTION("""COMPUTED_VALUE"""),"Terminada por fecha")</f>
        <v>Terminada por fecha</v>
      </c>
      <c r="BJ139" s="40" t="str">
        <f ca="1">IFERROR(__xludf.DUMMYFUNCTION("""COMPUTED_VALUE"""),"Yamboro")</f>
        <v>Yamboro</v>
      </c>
      <c r="BK139" s="40"/>
      <c r="BL139" s="40"/>
    </row>
    <row r="140" spans="1:64" ht="13">
      <c r="A140" s="40"/>
      <c r="B140" s="40" t="str">
        <f ca="1">IFERROR(__xludf.DUMMYFUNCTION("""COMPUTED_VALUE"""),"FORMACIÓN 06/09/2022")</f>
        <v>FORMACIÓN 06/09/2022</v>
      </c>
      <c r="C140" s="40" t="str">
        <f ca="1">IFERROR(__xludf.DUMMYFUNCTION("""COMPUTED_VALUE"""),"DIEGO FERNANDO RUIZ MAMIAN")</f>
        <v>DIEGO FERNANDO RUIZ MAMIAN</v>
      </c>
      <c r="D140" s="40" t="str">
        <f ca="1">IFERROR(__xludf.DUMMYFUNCTION("""COMPUTED_VALUE"""),"CC")</f>
        <v>CC</v>
      </c>
      <c r="E140" s="40">
        <f ca="1">IFERROR(__xludf.DUMMYFUNCTION("""COMPUTED_VALUE"""),1081702847)</f>
        <v>1081702847</v>
      </c>
      <c r="F140" s="40">
        <f ca="1">IFERROR(__xludf.DUMMYFUNCTION("""COMPUTED_VALUE"""),1832952)</f>
        <v>1832952</v>
      </c>
      <c r="G140" s="40" t="str">
        <f ca="1">IFERROR(__xludf.DUMMYFUNCTION("""COMPUTED_VALUE"""),"TECNÓLOGO")</f>
        <v>TECNÓLOGO</v>
      </c>
      <c r="H140" s="40" t="str">
        <f ca="1">IFERROR(__xludf.DUMMYFUNCTION("""COMPUTED_VALUE"""),"PRODUCCIÓN AGROPECUARIA ECOLÓGICA")</f>
        <v>PRODUCCIÓN AGROPECUARIA ECOLÓGICA</v>
      </c>
      <c r="I140" s="40"/>
      <c r="J140" s="40"/>
      <c r="K140" s="40"/>
      <c r="L140" s="40" t="str">
        <f ca="1">IFERROR(__xludf.DUMMYFUNCTION("""COMPUTED_VALUE"""),"NO HA INICIADO ETAPA PRODUCTIVA")</f>
        <v>NO HA INICIADO ETAPA PRODUCTIVA</v>
      </c>
      <c r="M140" s="40"/>
      <c r="N140" s="40"/>
      <c r="O140" s="40"/>
      <c r="P140" s="40"/>
      <c r="Q140" s="40"/>
      <c r="R140" s="140"/>
      <c r="S140" s="1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t="str">
        <f ca="1">IFERROR(__xludf.DUMMYFUNCTION("""COMPUTED_VALUE"""),"NO_CUMPLE")</f>
        <v>NO_CUMPLE</v>
      </c>
      <c r="AV140" s="40" t="str">
        <f ca="1">IFERROR(__xludf.DUMMYFUNCTION("""COMPUTED_VALUE"""),"EN FORMACION")</f>
        <v>EN FORMACION</v>
      </c>
      <c r="AW140" s="40" t="str">
        <f ca="1">IFERROR(__xludf.DUMMYFUNCTION("""COMPUTED_VALUE"""),"AGROPECUARIO")</f>
        <v>AGROPECUARIO</v>
      </c>
      <c r="AX140" s="141">
        <f ca="1">IFERROR(__xludf.DUMMYFUNCTION("""COMPUTED_VALUE"""),44848)</f>
        <v>44848</v>
      </c>
      <c r="AY140" s="40">
        <f ca="1">IFERROR(__xludf.DUMMYFUNCTION("""COMPUTED_VALUE"""),0)</f>
        <v>0</v>
      </c>
      <c r="AZ140" s="40">
        <f ca="1">IFERROR(__xludf.DUMMYFUNCTION("""COMPUTED_VALUE"""),1)</f>
        <v>1</v>
      </c>
      <c r="BA140" s="40">
        <f ca="1">IFERROR(__xludf.DUMMYFUNCTION("""COMPUTED_VALUE"""),15)</f>
        <v>15</v>
      </c>
      <c r="BB140" s="40">
        <f ca="1">IFERROR(__xludf.DUMMYFUNCTION("""COMPUTED_VALUE"""),3)</f>
        <v>3</v>
      </c>
      <c r="BC140" s="40">
        <f ca="1">IFERROR(__xludf.DUMMYFUNCTION("""COMPUTED_VALUE"""),19)</f>
        <v>19</v>
      </c>
      <c r="BD140" s="141">
        <f ca="1">IFERROR(__xludf.DUMMYFUNCTION("""COMPUTED_VALUE"""),43577)</f>
        <v>43577</v>
      </c>
      <c r="BE140" s="141">
        <f ca="1">IFERROR(__xludf.DUMMYFUNCTION("""COMPUTED_VALUE"""),44168)</f>
        <v>44168</v>
      </c>
      <c r="BF140" s="141">
        <f ca="1">IFERROR(__xludf.DUMMYFUNCTION("""COMPUTED_VALUE"""),44350)</f>
        <v>44350</v>
      </c>
      <c r="BG140" s="141">
        <f ca="1">IFERROR(__xludf.DUMMYFUNCTION("""COMPUTED_VALUE"""),44898)</f>
        <v>44898</v>
      </c>
      <c r="BH140" s="40" t="str">
        <f ca="1">IFERROR(__xludf.DUMMYFUNCTION("""COMPUTED_VALUE"""),"FICHA EN TIEMPO-18 MESES")</f>
        <v>FICHA EN TIEMPO-18 MESES</v>
      </c>
      <c r="BI140" s="40" t="str">
        <f ca="1">IFERROR(__xludf.DUMMYFUNCTION("""COMPUTED_VALUE"""),"Terminada por fecha")</f>
        <v>Terminada por fecha</v>
      </c>
      <c r="BJ140" s="40" t="str">
        <f ca="1">IFERROR(__xludf.DUMMYFUNCTION("""COMPUTED_VALUE"""),"Yamboro")</f>
        <v>Yamboro</v>
      </c>
      <c r="BK140" s="40"/>
      <c r="BL140" s="40"/>
    </row>
    <row r="141" spans="1:64" ht="13">
      <c r="A141" s="40"/>
      <c r="B141" s="40" t="str">
        <f ca="1">IFERROR(__xludf.DUMMYFUNCTION("""COMPUTED_VALUE"""),"FORMACIÓN 06/09/2022")</f>
        <v>FORMACIÓN 06/09/2022</v>
      </c>
      <c r="C141" s="40" t="str">
        <f ca="1">IFERROR(__xludf.DUMMYFUNCTION("""COMPUTED_VALUE"""),"FERNANDO CRUZ ORDOÑEZ")</f>
        <v>FERNANDO CRUZ ORDOÑEZ</v>
      </c>
      <c r="D141" s="40" t="str">
        <f ca="1">IFERROR(__xludf.DUMMYFUNCTION("""COMPUTED_VALUE"""),"CC")</f>
        <v>CC</v>
      </c>
      <c r="E141" s="40">
        <f ca="1">IFERROR(__xludf.DUMMYFUNCTION("""COMPUTED_VALUE"""),1082780220)</f>
        <v>1082780220</v>
      </c>
      <c r="F141" s="40">
        <f ca="1">IFERROR(__xludf.DUMMYFUNCTION("""COMPUTED_VALUE"""),1832952)</f>
        <v>1832952</v>
      </c>
      <c r="G141" s="40" t="str">
        <f ca="1">IFERROR(__xludf.DUMMYFUNCTION("""COMPUTED_VALUE"""),"TECNÓLOGO")</f>
        <v>TECNÓLOGO</v>
      </c>
      <c r="H141" s="40" t="str">
        <f ca="1">IFERROR(__xludf.DUMMYFUNCTION("""COMPUTED_VALUE"""),"PRODUCCIÓN AGROPECUARIA ECOLÓGICA")</f>
        <v>PRODUCCIÓN AGROPECUARIA ECOLÓGICA</v>
      </c>
      <c r="I141" s="40">
        <f ca="1">IFERROR(__xludf.DUMMYFUNCTION("""COMPUTED_VALUE"""),3229132792)</f>
        <v>3229132792</v>
      </c>
      <c r="J141" s="40"/>
      <c r="K141" s="40"/>
      <c r="L141" s="40" t="str">
        <f ca="1">IFERROR(__xludf.DUMMYFUNCTION("""COMPUTED_VALUE"""),"NO HA INICIADO ETAPA PRODUCTIVA")</f>
        <v>NO HA INICIADO ETAPA PRODUCTIVA</v>
      </c>
      <c r="M141" s="40"/>
      <c r="N141" s="40"/>
      <c r="O141" s="40"/>
      <c r="P141" s="40"/>
      <c r="Q141" s="40"/>
      <c r="R141" s="140"/>
      <c r="S141" s="1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t="str">
        <f ca="1">IFERROR(__xludf.DUMMYFUNCTION("""COMPUTED_VALUE"""),"NO_CUMPLE")</f>
        <v>NO_CUMPLE</v>
      </c>
      <c r="AV141" s="40" t="str">
        <f ca="1">IFERROR(__xludf.DUMMYFUNCTION("""COMPUTED_VALUE"""),"EN FORMACION")</f>
        <v>EN FORMACION</v>
      </c>
      <c r="AW141" s="40" t="str">
        <f ca="1">IFERROR(__xludf.DUMMYFUNCTION("""COMPUTED_VALUE"""),"AGROPECUARIO")</f>
        <v>AGROPECUARIO</v>
      </c>
      <c r="AX141" s="141">
        <f ca="1">IFERROR(__xludf.DUMMYFUNCTION("""COMPUTED_VALUE"""),44848)</f>
        <v>44848</v>
      </c>
      <c r="AY141" s="40">
        <f ca="1">IFERROR(__xludf.DUMMYFUNCTION("""COMPUTED_VALUE"""),0)</f>
        <v>0</v>
      </c>
      <c r="AZ141" s="40">
        <f ca="1">IFERROR(__xludf.DUMMYFUNCTION("""COMPUTED_VALUE"""),1)</f>
        <v>1</v>
      </c>
      <c r="BA141" s="40">
        <f ca="1">IFERROR(__xludf.DUMMYFUNCTION("""COMPUTED_VALUE"""),15)</f>
        <v>15</v>
      </c>
      <c r="BB141" s="40">
        <f ca="1">IFERROR(__xludf.DUMMYFUNCTION("""COMPUTED_VALUE"""),25)</f>
        <v>25</v>
      </c>
      <c r="BC141" s="40">
        <f ca="1">IFERROR(__xludf.DUMMYFUNCTION("""COMPUTED_VALUE"""),41)</f>
        <v>41</v>
      </c>
      <c r="BD141" s="141">
        <f ca="1">IFERROR(__xludf.DUMMYFUNCTION("""COMPUTED_VALUE"""),43577)</f>
        <v>43577</v>
      </c>
      <c r="BE141" s="141">
        <f ca="1">IFERROR(__xludf.DUMMYFUNCTION("""COMPUTED_VALUE"""),44168)</f>
        <v>44168</v>
      </c>
      <c r="BF141" s="141">
        <f ca="1">IFERROR(__xludf.DUMMYFUNCTION("""COMPUTED_VALUE"""),44350)</f>
        <v>44350</v>
      </c>
      <c r="BG141" s="141">
        <f ca="1">IFERROR(__xludf.DUMMYFUNCTION("""COMPUTED_VALUE"""),44898)</f>
        <v>44898</v>
      </c>
      <c r="BH141" s="40" t="str">
        <f ca="1">IFERROR(__xludf.DUMMYFUNCTION("""COMPUTED_VALUE"""),"FICHA EN TIEMPO-18 MESES")</f>
        <v>FICHA EN TIEMPO-18 MESES</v>
      </c>
      <c r="BI141" s="40" t="str">
        <f ca="1">IFERROR(__xludf.DUMMYFUNCTION("""COMPUTED_VALUE"""),"Terminada por fecha")</f>
        <v>Terminada por fecha</v>
      </c>
      <c r="BJ141" s="40" t="str">
        <f ca="1">IFERROR(__xludf.DUMMYFUNCTION("""COMPUTED_VALUE"""),"Yamboro")</f>
        <v>Yamboro</v>
      </c>
      <c r="BK141" s="40"/>
      <c r="BL141" s="40"/>
    </row>
    <row r="142" spans="1:64" ht="13">
      <c r="A142" s="40"/>
      <c r="B142" s="40" t="str">
        <f ca="1">IFERROR(__xludf.DUMMYFUNCTION("""COMPUTED_VALUE"""),"APLAZADO  06/09/2022")</f>
        <v>APLAZADO  06/09/2022</v>
      </c>
      <c r="C142" s="40" t="str">
        <f ca="1">IFERROR(__xludf.DUMMYFUNCTION("""COMPUTED_VALUE"""),"JEAN CARLOS MAZABEL CABRERA")</f>
        <v>JEAN CARLOS MAZABEL CABRERA</v>
      </c>
      <c r="D142" s="40" t="str">
        <f ca="1">IFERROR(__xludf.DUMMYFUNCTION("""COMPUTED_VALUE"""),"CC")</f>
        <v>CC</v>
      </c>
      <c r="E142" s="40">
        <f ca="1">IFERROR(__xludf.DUMMYFUNCTION("""COMPUTED_VALUE"""),1004493218)</f>
        <v>1004493218</v>
      </c>
      <c r="F142" s="40">
        <f ca="1">IFERROR(__xludf.DUMMYFUNCTION("""COMPUTED_VALUE"""),1832952)</f>
        <v>1832952</v>
      </c>
      <c r="G142" s="40" t="str">
        <f ca="1">IFERROR(__xludf.DUMMYFUNCTION("""COMPUTED_VALUE"""),"TECNÓLOGO")</f>
        <v>TECNÓLOGO</v>
      </c>
      <c r="H142" s="40" t="str">
        <f ca="1">IFERROR(__xludf.DUMMYFUNCTION("""COMPUTED_VALUE"""),"PRODUCCIÓN AGROPECUARIA ECOLÓGICA")</f>
        <v>PRODUCCIÓN AGROPECUARIA ECOLÓGICA</v>
      </c>
      <c r="I142" s="40"/>
      <c r="J142" s="40"/>
      <c r="K142" s="40"/>
      <c r="L142" s="40" t="str">
        <f ca="1">IFERROR(__xludf.DUMMYFUNCTION("""COMPUTED_VALUE"""),"NO HA INICIADO ETAPA PRODUCTIVA")</f>
        <v>NO HA INICIADO ETAPA PRODUCTIVA</v>
      </c>
      <c r="M142" s="40"/>
      <c r="N142" s="40"/>
      <c r="O142" s="40"/>
      <c r="P142" s="40"/>
      <c r="Q142" s="40"/>
      <c r="R142" s="140"/>
      <c r="S142" s="1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t="str">
        <f ca="1">IFERROR(__xludf.DUMMYFUNCTION("""COMPUTED_VALUE"""),"NO_CUMPLE")</f>
        <v>NO_CUMPLE</v>
      </c>
      <c r="AV142" s="40" t="str">
        <f ca="1">IFERROR(__xludf.DUMMYFUNCTION("""COMPUTED_VALUE"""),"APLAZADO")</f>
        <v>APLAZADO</v>
      </c>
      <c r="AW142" s="40" t="str">
        <f ca="1">IFERROR(__xludf.DUMMYFUNCTION("""COMPUTED_VALUE"""),"AGROPECUARIO")</f>
        <v>AGROPECUARIO</v>
      </c>
      <c r="AX142" s="141">
        <f ca="1">IFERROR(__xludf.DUMMYFUNCTION("""COMPUTED_VALUE"""),44848)</f>
        <v>44848</v>
      </c>
      <c r="AY142" s="40">
        <f ca="1">IFERROR(__xludf.DUMMYFUNCTION("""COMPUTED_VALUE"""),0)</f>
        <v>0</v>
      </c>
      <c r="AZ142" s="40">
        <f ca="1">IFERROR(__xludf.DUMMYFUNCTION("""COMPUTED_VALUE"""),1)</f>
        <v>1</v>
      </c>
      <c r="BA142" s="40">
        <f ca="1">IFERROR(__xludf.DUMMYFUNCTION("""COMPUTED_VALUE"""),15)</f>
        <v>15</v>
      </c>
      <c r="BB142" s="40">
        <f ca="1">IFERROR(__xludf.DUMMYFUNCTION("""COMPUTED_VALUE"""),20)</f>
        <v>20</v>
      </c>
      <c r="BC142" s="40">
        <f ca="1">IFERROR(__xludf.DUMMYFUNCTION("""COMPUTED_VALUE"""),36)</f>
        <v>36</v>
      </c>
      <c r="BD142" s="141">
        <f ca="1">IFERROR(__xludf.DUMMYFUNCTION("""COMPUTED_VALUE"""),43577)</f>
        <v>43577</v>
      </c>
      <c r="BE142" s="141">
        <f ca="1">IFERROR(__xludf.DUMMYFUNCTION("""COMPUTED_VALUE"""),44168)</f>
        <v>44168</v>
      </c>
      <c r="BF142" s="141">
        <f ca="1">IFERROR(__xludf.DUMMYFUNCTION("""COMPUTED_VALUE"""),44350)</f>
        <v>44350</v>
      </c>
      <c r="BG142" s="141">
        <f ca="1">IFERROR(__xludf.DUMMYFUNCTION("""COMPUTED_VALUE"""),44898)</f>
        <v>44898</v>
      </c>
      <c r="BH142" s="40" t="str">
        <f ca="1">IFERROR(__xludf.DUMMYFUNCTION("""COMPUTED_VALUE"""),"FICHA EN TIEMPO-18 MESES")</f>
        <v>FICHA EN TIEMPO-18 MESES</v>
      </c>
      <c r="BI142" s="40" t="str">
        <f ca="1">IFERROR(__xludf.DUMMYFUNCTION("""COMPUTED_VALUE"""),"Terminada por fecha")</f>
        <v>Terminada por fecha</v>
      </c>
      <c r="BJ142" s="40" t="str">
        <f ca="1">IFERROR(__xludf.DUMMYFUNCTION("""COMPUTED_VALUE"""),"Yamboro")</f>
        <v>Yamboro</v>
      </c>
      <c r="BK142" s="40"/>
      <c r="BL142" s="40"/>
    </row>
    <row r="143" spans="1:64" ht="13">
      <c r="A143" s="40"/>
      <c r="B143" s="40" t="str">
        <f ca="1">IFERROR(__xludf.DUMMYFUNCTION("""COMPUTED_VALUE"""),"APLAZADO  06/09/2022")</f>
        <v>APLAZADO  06/09/2022</v>
      </c>
      <c r="C143" s="40" t="str">
        <f ca="1">IFERROR(__xludf.DUMMYFUNCTION("""COMPUTED_VALUE"""),"DIEGO ALEJANDRO CRUZ AMAYA")</f>
        <v>DIEGO ALEJANDRO CRUZ AMAYA</v>
      </c>
      <c r="D143" s="40" t="str">
        <f ca="1">IFERROR(__xludf.DUMMYFUNCTION("""COMPUTED_VALUE"""),"CC")</f>
        <v>CC</v>
      </c>
      <c r="E143" s="40">
        <f ca="1">IFERROR(__xludf.DUMMYFUNCTION("""COMPUTED_VALUE"""),1007194761)</f>
        <v>1007194761</v>
      </c>
      <c r="F143" s="40">
        <f ca="1">IFERROR(__xludf.DUMMYFUNCTION("""COMPUTED_VALUE"""),1832952)</f>
        <v>1832952</v>
      </c>
      <c r="G143" s="40" t="str">
        <f ca="1">IFERROR(__xludf.DUMMYFUNCTION("""COMPUTED_VALUE"""),"TECNÓLOGO")</f>
        <v>TECNÓLOGO</v>
      </c>
      <c r="H143" s="40" t="str">
        <f ca="1">IFERROR(__xludf.DUMMYFUNCTION("""COMPUTED_VALUE"""),"PRODUCCIÓN AGROPECUARIA ECOLÓGICA")</f>
        <v>PRODUCCIÓN AGROPECUARIA ECOLÓGICA</v>
      </c>
      <c r="I143" s="40"/>
      <c r="J143" s="40"/>
      <c r="K143" s="40"/>
      <c r="L143" s="40" t="str">
        <f ca="1">IFERROR(__xludf.DUMMYFUNCTION("""COMPUTED_VALUE"""),"NO HA INICIADO ETAPA PRODUCTIVA")</f>
        <v>NO HA INICIADO ETAPA PRODUCTIVA</v>
      </c>
      <c r="M143" s="40"/>
      <c r="N143" s="40"/>
      <c r="O143" s="40"/>
      <c r="P143" s="40"/>
      <c r="Q143" s="40"/>
      <c r="R143" s="140"/>
      <c r="S143" s="1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t="str">
        <f ca="1">IFERROR(__xludf.DUMMYFUNCTION("""COMPUTED_VALUE"""),"NO_CUMPLE")</f>
        <v>NO_CUMPLE</v>
      </c>
      <c r="AV143" s="40" t="str">
        <f ca="1">IFERROR(__xludf.DUMMYFUNCTION("""COMPUTED_VALUE"""),"APLAZADO")</f>
        <v>APLAZADO</v>
      </c>
      <c r="AW143" s="40" t="str">
        <f ca="1">IFERROR(__xludf.DUMMYFUNCTION("""COMPUTED_VALUE"""),"AGROPECUARIO")</f>
        <v>AGROPECUARIO</v>
      </c>
      <c r="AX143" s="141">
        <f ca="1">IFERROR(__xludf.DUMMYFUNCTION("""COMPUTED_VALUE"""),44848)</f>
        <v>44848</v>
      </c>
      <c r="AY143" s="40">
        <f ca="1">IFERROR(__xludf.DUMMYFUNCTION("""COMPUTED_VALUE"""),0)</f>
        <v>0</v>
      </c>
      <c r="AZ143" s="40">
        <f ca="1">IFERROR(__xludf.DUMMYFUNCTION("""COMPUTED_VALUE"""),1)</f>
        <v>1</v>
      </c>
      <c r="BA143" s="40">
        <f ca="1">IFERROR(__xludf.DUMMYFUNCTION("""COMPUTED_VALUE"""),15)</f>
        <v>15</v>
      </c>
      <c r="BB143" s="40">
        <f ca="1">IFERROR(__xludf.DUMMYFUNCTION("""COMPUTED_VALUE"""),16)</f>
        <v>16</v>
      </c>
      <c r="BC143" s="40">
        <f ca="1">IFERROR(__xludf.DUMMYFUNCTION("""COMPUTED_VALUE"""),32)</f>
        <v>32</v>
      </c>
      <c r="BD143" s="141">
        <f ca="1">IFERROR(__xludf.DUMMYFUNCTION("""COMPUTED_VALUE"""),43577)</f>
        <v>43577</v>
      </c>
      <c r="BE143" s="141">
        <f ca="1">IFERROR(__xludf.DUMMYFUNCTION("""COMPUTED_VALUE"""),44168)</f>
        <v>44168</v>
      </c>
      <c r="BF143" s="141">
        <f ca="1">IFERROR(__xludf.DUMMYFUNCTION("""COMPUTED_VALUE"""),44350)</f>
        <v>44350</v>
      </c>
      <c r="BG143" s="141">
        <f ca="1">IFERROR(__xludf.DUMMYFUNCTION("""COMPUTED_VALUE"""),44898)</f>
        <v>44898</v>
      </c>
      <c r="BH143" s="40" t="str">
        <f ca="1">IFERROR(__xludf.DUMMYFUNCTION("""COMPUTED_VALUE"""),"FICHA EN TIEMPO-18 MESES")</f>
        <v>FICHA EN TIEMPO-18 MESES</v>
      </c>
      <c r="BI143" s="40" t="str">
        <f ca="1">IFERROR(__xludf.DUMMYFUNCTION("""COMPUTED_VALUE"""),"Terminada por fecha")</f>
        <v>Terminada por fecha</v>
      </c>
      <c r="BJ143" s="40" t="str">
        <f ca="1">IFERROR(__xludf.DUMMYFUNCTION("""COMPUTED_VALUE"""),"Yamboro")</f>
        <v>Yamboro</v>
      </c>
      <c r="BK143" s="40"/>
      <c r="BL143" s="40"/>
    </row>
    <row r="144" spans="1:64" ht="13">
      <c r="A144" s="40"/>
      <c r="B144" s="40" t="str">
        <f ca="1">IFERROR(__xludf.DUMMYFUNCTION("""COMPUTED_VALUE"""),"APLAZADO  06/09/2022")</f>
        <v>APLAZADO  06/09/2022</v>
      </c>
      <c r="C144" s="40" t="str">
        <f ca="1">IFERROR(__xludf.DUMMYFUNCTION("""COMPUTED_VALUE"""),"DIEGO FERNANDO ANACONA GUAÑARITA")</f>
        <v>DIEGO FERNANDO ANACONA GUAÑARITA</v>
      </c>
      <c r="D144" s="40" t="str">
        <f ca="1">IFERROR(__xludf.DUMMYFUNCTION("""COMPUTED_VALUE"""),"TI")</f>
        <v>TI</v>
      </c>
      <c r="E144" s="40">
        <f ca="1">IFERROR(__xludf.DUMMYFUNCTION("""COMPUTED_VALUE"""),1007520875)</f>
        <v>1007520875</v>
      </c>
      <c r="F144" s="40">
        <f ca="1">IFERROR(__xludf.DUMMYFUNCTION("""COMPUTED_VALUE"""),1832952)</f>
        <v>1832952</v>
      </c>
      <c r="G144" s="40" t="str">
        <f ca="1">IFERROR(__xludf.DUMMYFUNCTION("""COMPUTED_VALUE"""),"TECNÓLOGO")</f>
        <v>TECNÓLOGO</v>
      </c>
      <c r="H144" s="40" t="str">
        <f ca="1">IFERROR(__xludf.DUMMYFUNCTION("""COMPUTED_VALUE"""),"PRODUCCIÓN AGROPECUARIA ECOLÓGICA")</f>
        <v>PRODUCCIÓN AGROPECUARIA ECOLÓGICA</v>
      </c>
      <c r="I144" s="40"/>
      <c r="J144" s="40"/>
      <c r="K144" s="40"/>
      <c r="L144" s="40" t="str">
        <f ca="1">IFERROR(__xludf.DUMMYFUNCTION("""COMPUTED_VALUE"""),"NO HA INICIADO ETAPA PRODUCTIVA")</f>
        <v>NO HA INICIADO ETAPA PRODUCTIVA</v>
      </c>
      <c r="M144" s="40"/>
      <c r="N144" s="40"/>
      <c r="O144" s="40"/>
      <c r="P144" s="40"/>
      <c r="Q144" s="40"/>
      <c r="R144" s="140"/>
      <c r="S144" s="1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t="str">
        <f ca="1">IFERROR(__xludf.DUMMYFUNCTION("""COMPUTED_VALUE"""),"NO_CUMPLE")</f>
        <v>NO_CUMPLE</v>
      </c>
      <c r="AV144" s="40" t="str">
        <f ca="1">IFERROR(__xludf.DUMMYFUNCTION("""COMPUTED_VALUE"""),"APLAZADO")</f>
        <v>APLAZADO</v>
      </c>
      <c r="AW144" s="40" t="str">
        <f ca="1">IFERROR(__xludf.DUMMYFUNCTION("""COMPUTED_VALUE"""),"AGROPECUARIO")</f>
        <v>AGROPECUARIO</v>
      </c>
      <c r="AX144" s="141">
        <f ca="1">IFERROR(__xludf.DUMMYFUNCTION("""COMPUTED_VALUE"""),44848)</f>
        <v>44848</v>
      </c>
      <c r="AY144" s="40">
        <f ca="1">IFERROR(__xludf.DUMMYFUNCTION("""COMPUTED_VALUE"""),0)</f>
        <v>0</v>
      </c>
      <c r="AZ144" s="40">
        <f ca="1">IFERROR(__xludf.DUMMYFUNCTION("""COMPUTED_VALUE"""),1)</f>
        <v>1</v>
      </c>
      <c r="BA144" s="40">
        <f ca="1">IFERROR(__xludf.DUMMYFUNCTION("""COMPUTED_VALUE"""),15)</f>
        <v>15</v>
      </c>
      <c r="BB144" s="40">
        <f ca="1">IFERROR(__xludf.DUMMYFUNCTION("""COMPUTED_VALUE"""),20)</f>
        <v>20</v>
      </c>
      <c r="BC144" s="40">
        <f ca="1">IFERROR(__xludf.DUMMYFUNCTION("""COMPUTED_VALUE"""),36)</f>
        <v>36</v>
      </c>
      <c r="BD144" s="141">
        <f ca="1">IFERROR(__xludf.DUMMYFUNCTION("""COMPUTED_VALUE"""),43577)</f>
        <v>43577</v>
      </c>
      <c r="BE144" s="141">
        <f ca="1">IFERROR(__xludf.DUMMYFUNCTION("""COMPUTED_VALUE"""),44168)</f>
        <v>44168</v>
      </c>
      <c r="BF144" s="141">
        <f ca="1">IFERROR(__xludf.DUMMYFUNCTION("""COMPUTED_VALUE"""),44350)</f>
        <v>44350</v>
      </c>
      <c r="BG144" s="141">
        <f ca="1">IFERROR(__xludf.DUMMYFUNCTION("""COMPUTED_VALUE"""),44898)</f>
        <v>44898</v>
      </c>
      <c r="BH144" s="40" t="str">
        <f ca="1">IFERROR(__xludf.DUMMYFUNCTION("""COMPUTED_VALUE"""),"FICHA EN TIEMPO-18 MESES")</f>
        <v>FICHA EN TIEMPO-18 MESES</v>
      </c>
      <c r="BI144" s="40" t="str">
        <f ca="1">IFERROR(__xludf.DUMMYFUNCTION("""COMPUTED_VALUE"""),"Terminada por fecha")</f>
        <v>Terminada por fecha</v>
      </c>
      <c r="BJ144" s="40" t="str">
        <f ca="1">IFERROR(__xludf.DUMMYFUNCTION("""COMPUTED_VALUE"""),"Yamboro")</f>
        <v>Yamboro</v>
      </c>
      <c r="BK144" s="40"/>
      <c r="BL144" s="40"/>
    </row>
    <row r="145" spans="1:64" ht="13">
      <c r="A145" s="40"/>
      <c r="B145" s="40" t="str">
        <f ca="1">IFERROR(__xludf.DUMMYFUNCTION("""COMPUTED_VALUE"""),"APLAZADO  06/09/2022")</f>
        <v>APLAZADO  06/09/2022</v>
      </c>
      <c r="C145" s="40" t="str">
        <f ca="1">IFERROR(__xludf.DUMMYFUNCTION("""COMPUTED_VALUE"""),"OMAR JULIAN ROJAS RODRIGUEZ")</f>
        <v>OMAR JULIAN ROJAS RODRIGUEZ</v>
      </c>
      <c r="D145" s="40" t="str">
        <f ca="1">IFERROR(__xludf.DUMMYFUNCTION("""COMPUTED_VALUE"""),"CC")</f>
        <v>CC</v>
      </c>
      <c r="E145" s="40">
        <f ca="1">IFERROR(__xludf.DUMMYFUNCTION("""COMPUTED_VALUE"""),1081702474)</f>
        <v>1081702474</v>
      </c>
      <c r="F145" s="40">
        <f ca="1">IFERROR(__xludf.DUMMYFUNCTION("""COMPUTED_VALUE"""),1832952)</f>
        <v>1832952</v>
      </c>
      <c r="G145" s="40" t="str">
        <f ca="1">IFERROR(__xludf.DUMMYFUNCTION("""COMPUTED_VALUE"""),"TECNÓLOGO")</f>
        <v>TECNÓLOGO</v>
      </c>
      <c r="H145" s="40" t="str">
        <f ca="1">IFERROR(__xludf.DUMMYFUNCTION("""COMPUTED_VALUE"""),"PRODUCCIÓN AGROPECUARIA ECOLÓGICA")</f>
        <v>PRODUCCIÓN AGROPECUARIA ECOLÓGICA</v>
      </c>
      <c r="I145" s="40"/>
      <c r="J145" s="40"/>
      <c r="K145" s="40"/>
      <c r="L145" s="40" t="str">
        <f ca="1">IFERROR(__xludf.DUMMYFUNCTION("""COMPUTED_VALUE"""),"NO HA INICIADO ETAPA PRODUCTIVA")</f>
        <v>NO HA INICIADO ETAPA PRODUCTIVA</v>
      </c>
      <c r="M145" s="40"/>
      <c r="N145" s="40"/>
      <c r="O145" s="40"/>
      <c r="P145" s="40"/>
      <c r="Q145" s="40"/>
      <c r="R145" s="140"/>
      <c r="S145" s="1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t="str">
        <f ca="1">IFERROR(__xludf.DUMMYFUNCTION("""COMPUTED_VALUE"""),"NO_CUMPLE")</f>
        <v>NO_CUMPLE</v>
      </c>
      <c r="AV145" s="40" t="str">
        <f ca="1">IFERROR(__xludf.DUMMYFUNCTION("""COMPUTED_VALUE"""),"APLAZADO")</f>
        <v>APLAZADO</v>
      </c>
      <c r="AW145" s="40" t="str">
        <f ca="1">IFERROR(__xludf.DUMMYFUNCTION("""COMPUTED_VALUE"""),"AGROPECUARIO")</f>
        <v>AGROPECUARIO</v>
      </c>
      <c r="AX145" s="141">
        <f ca="1">IFERROR(__xludf.DUMMYFUNCTION("""COMPUTED_VALUE"""),44848)</f>
        <v>44848</v>
      </c>
      <c r="AY145" s="40">
        <f ca="1">IFERROR(__xludf.DUMMYFUNCTION("""COMPUTED_VALUE"""),0)</f>
        <v>0</v>
      </c>
      <c r="AZ145" s="40">
        <f ca="1">IFERROR(__xludf.DUMMYFUNCTION("""COMPUTED_VALUE"""),1)</f>
        <v>1</v>
      </c>
      <c r="BA145" s="40">
        <f ca="1">IFERROR(__xludf.DUMMYFUNCTION("""COMPUTED_VALUE"""),15)</f>
        <v>15</v>
      </c>
      <c r="BB145" s="40">
        <f ca="1">IFERROR(__xludf.DUMMYFUNCTION("""COMPUTED_VALUE"""),19)</f>
        <v>19</v>
      </c>
      <c r="BC145" s="40">
        <f ca="1">IFERROR(__xludf.DUMMYFUNCTION("""COMPUTED_VALUE"""),35)</f>
        <v>35</v>
      </c>
      <c r="BD145" s="141">
        <f ca="1">IFERROR(__xludf.DUMMYFUNCTION("""COMPUTED_VALUE"""),43577)</f>
        <v>43577</v>
      </c>
      <c r="BE145" s="141">
        <f ca="1">IFERROR(__xludf.DUMMYFUNCTION("""COMPUTED_VALUE"""),44168)</f>
        <v>44168</v>
      </c>
      <c r="BF145" s="141">
        <f ca="1">IFERROR(__xludf.DUMMYFUNCTION("""COMPUTED_VALUE"""),44350)</f>
        <v>44350</v>
      </c>
      <c r="BG145" s="141">
        <f ca="1">IFERROR(__xludf.DUMMYFUNCTION("""COMPUTED_VALUE"""),44898)</f>
        <v>44898</v>
      </c>
      <c r="BH145" s="40" t="str">
        <f ca="1">IFERROR(__xludf.DUMMYFUNCTION("""COMPUTED_VALUE"""),"FICHA EN TIEMPO-18 MESES")</f>
        <v>FICHA EN TIEMPO-18 MESES</v>
      </c>
      <c r="BI145" s="40" t="str">
        <f ca="1">IFERROR(__xludf.DUMMYFUNCTION("""COMPUTED_VALUE"""),"Terminada por fecha")</f>
        <v>Terminada por fecha</v>
      </c>
      <c r="BJ145" s="40" t="str">
        <f ca="1">IFERROR(__xludf.DUMMYFUNCTION("""COMPUTED_VALUE"""),"Yamboro")</f>
        <v>Yamboro</v>
      </c>
      <c r="BK145" s="40"/>
      <c r="BL145" s="40"/>
    </row>
    <row r="146" spans="1:64" ht="13">
      <c r="A146" s="40"/>
      <c r="B146" s="40" t="str">
        <f ca="1">IFERROR(__xludf.DUMMYFUNCTION("""COMPUTED_VALUE"""),"FORMACIÓN 06/09/2022")</f>
        <v>FORMACIÓN 06/09/2022</v>
      </c>
      <c r="C146" s="40" t="str">
        <f ca="1">IFERROR(__xludf.DUMMYFUNCTION("""COMPUTED_VALUE"""),"LUIS ALBERTO GOMEZ BUESAQUILLO")</f>
        <v>LUIS ALBERTO GOMEZ BUESAQUILLO</v>
      </c>
      <c r="D146" s="40" t="str">
        <f ca="1">IFERROR(__xludf.DUMMYFUNCTION("""COMPUTED_VALUE"""),"CC")</f>
        <v>CC</v>
      </c>
      <c r="E146" s="40">
        <f ca="1">IFERROR(__xludf.DUMMYFUNCTION("""COMPUTED_VALUE"""),1004266103)</f>
        <v>1004266103</v>
      </c>
      <c r="F146" s="40">
        <f ca="1">IFERROR(__xludf.DUMMYFUNCTION("""COMPUTED_VALUE"""),1828387)</f>
        <v>1828387</v>
      </c>
      <c r="G146" s="40" t="str">
        <f ca="1">IFERROR(__xludf.DUMMYFUNCTION("""COMPUTED_VALUE"""),"TECNÓLOGO")</f>
        <v>TECNÓLOGO</v>
      </c>
      <c r="H146" s="40" t="str">
        <f ca="1">IFERROR(__xludf.DUMMYFUNCTION("""COMPUTED_VALUE"""),"PRODUCCIÓN AGROPECUARIA ECOLÓGICA")</f>
        <v>PRODUCCIÓN AGROPECUARIA ECOLÓGICA</v>
      </c>
      <c r="I146" s="40">
        <f ca="1">IFERROR(__xludf.DUMMYFUNCTION("""COMPUTED_VALUE"""),3214588933)</f>
        <v>3214588933</v>
      </c>
      <c r="J146" s="40" t="str">
        <f ca="1">IFERROR(__xludf.DUMMYFUNCTION("""COMPUTED_VALUE"""),"luis.agb.2001@gmail.com")</f>
        <v>luis.agb.2001@gmail.com</v>
      </c>
      <c r="K146" s="40"/>
      <c r="L146" s="40" t="str">
        <f ca="1">IFERROR(__xludf.DUMMYFUNCTION("""COMPUTED_VALUE"""),"TERMINO CONTRATO DE APRENDIZAJE")</f>
        <v>TERMINO CONTRATO DE APRENDIZAJE</v>
      </c>
      <c r="M146" s="40" t="str">
        <f ca="1">IFERROR(__xludf.DUMMYFUNCTION("""COMPUTED_VALUE"""),"Luis Fernanda Gaitan")</f>
        <v>Luis Fernanda Gaitan</v>
      </c>
      <c r="N146" s="40" t="str">
        <f ca="1">IFERROR(__xludf.DUMMYFUNCTION("""COMPUTED_VALUE"""),"Vereda El ricon del contador")</f>
        <v>Vereda El ricon del contador</v>
      </c>
      <c r="O146" s="40">
        <f ca="1">IFERROR(__xludf.DUMMYFUNCTION("""COMPUTED_VALUE"""),3118439997)</f>
        <v>3118439997</v>
      </c>
      <c r="P146" s="40" t="str">
        <f ca="1">IFERROR(__xludf.DUMMYFUNCTION("""COMPUTED_VALUE"""),"PITALITO")</f>
        <v>PITALITO</v>
      </c>
      <c r="Q146" s="40"/>
      <c r="R146" s="140">
        <f ca="1">IFERROR(__xludf.DUMMYFUNCTION("""COMPUTED_VALUE"""),44166)</f>
        <v>44166</v>
      </c>
      <c r="S146" s="140">
        <f ca="1">IFERROR(__xludf.DUMMYFUNCTION("""COMPUTED_VALUE"""),44346)</f>
        <v>44346</v>
      </c>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t="str">
        <f ca="1">IFERROR(__xludf.DUMMYFUNCTION("""COMPUTED_VALUE"""),"Procede_E_P")</f>
        <v>Procede_E_P</v>
      </c>
      <c r="AV146" s="40" t="str">
        <f ca="1">IFERROR(__xludf.DUMMYFUNCTION("""COMPUTED_VALUE"""),"EN FORMACION")</f>
        <v>EN FORMACION</v>
      </c>
      <c r="AW146" s="40" t="str">
        <f ca="1">IFERROR(__xludf.DUMMYFUNCTION("""COMPUTED_VALUE"""),"AGROPECUARIO")</f>
        <v>AGROPECUARIO</v>
      </c>
      <c r="AX146" s="141">
        <f ca="1">IFERROR(__xludf.DUMMYFUNCTION("""COMPUTED_VALUE"""),44848)</f>
        <v>44848</v>
      </c>
      <c r="AY146" s="40">
        <f ca="1">IFERROR(__xludf.DUMMYFUNCTION("""COMPUTED_VALUE"""),0)</f>
        <v>0</v>
      </c>
      <c r="AZ146" s="40">
        <f ca="1">IFERROR(__xludf.DUMMYFUNCTION("""COMPUTED_VALUE"""),1)</f>
        <v>1</v>
      </c>
      <c r="BA146" s="40">
        <f ca="1">IFERROR(__xludf.DUMMYFUNCTION("""COMPUTED_VALUE"""),0)</f>
        <v>0</v>
      </c>
      <c r="BB146" s="40">
        <f ca="1">IFERROR(__xludf.DUMMYFUNCTION("""COMPUTED_VALUE"""),0)</f>
        <v>0</v>
      </c>
      <c r="BC146" s="40">
        <f ca="1">IFERROR(__xludf.DUMMYFUNCTION("""COMPUTED_VALUE"""),1)</f>
        <v>1</v>
      </c>
      <c r="BD146" s="141">
        <f ca="1">IFERROR(__xludf.DUMMYFUNCTION("""COMPUTED_VALUE"""),43448)</f>
        <v>43448</v>
      </c>
      <c r="BE146" s="141">
        <f ca="1">IFERROR(__xludf.DUMMYFUNCTION("""COMPUTED_VALUE"""),44008)</f>
        <v>44008</v>
      </c>
      <c r="BF146" s="141">
        <f ca="1">IFERROR(__xludf.DUMMYFUNCTION("""COMPUTED_VALUE"""),44191)</f>
        <v>44191</v>
      </c>
      <c r="BG146" s="141">
        <f ca="1">IFERROR(__xludf.DUMMYFUNCTION("""COMPUTED_VALUE"""),44738)</f>
        <v>44738</v>
      </c>
      <c r="BH146" s="40" t="str">
        <f ca="1">IFERROR(__xludf.DUMMYFUNCTION("""COMPUTED_VALUE"""),"FINALIZAR FICHA")</f>
        <v>FINALIZAR FICHA</v>
      </c>
      <c r="BI146" s="40" t="str">
        <f ca="1">IFERROR(__xludf.DUMMYFUNCTION("""COMPUTED_VALUE"""),"Terminada por Fecha     ")</f>
        <v xml:space="preserve">Terminada por Fecha     </v>
      </c>
      <c r="BJ146" s="40" t="str">
        <f ca="1">IFERROR(__xludf.DUMMYFUNCTION("""COMPUTED_VALUE"""),"Yamboro")</f>
        <v>Yamboro</v>
      </c>
      <c r="BK146" s="40"/>
      <c r="BL146" s="40"/>
    </row>
    <row r="147" spans="1:64" ht="13">
      <c r="A147" s="40"/>
      <c r="B147" s="40" t="str">
        <f ca="1">IFERROR(__xludf.DUMMYFUNCTION("""COMPUTED_VALUE"""),"FORMACIÓN 06/09/2022")</f>
        <v>FORMACIÓN 06/09/2022</v>
      </c>
      <c r="C147" s="40" t="str">
        <f ca="1">IFERROR(__xludf.DUMMYFUNCTION("""COMPUTED_VALUE"""),"JEFFERSON ALEXANDER ILES MALES")</f>
        <v>JEFFERSON ALEXANDER ILES MALES</v>
      </c>
      <c r="D147" s="40" t="str">
        <f ca="1">IFERROR(__xludf.DUMMYFUNCTION("""COMPUTED_VALUE"""),"CC")</f>
        <v>CC</v>
      </c>
      <c r="E147" s="40">
        <f ca="1">IFERROR(__xludf.DUMMYFUNCTION("""COMPUTED_VALUE"""),1004266864)</f>
        <v>1004266864</v>
      </c>
      <c r="F147" s="40">
        <f ca="1">IFERROR(__xludf.DUMMYFUNCTION("""COMPUTED_VALUE"""),1828387)</f>
        <v>1828387</v>
      </c>
      <c r="G147" s="40" t="str">
        <f ca="1">IFERROR(__xludf.DUMMYFUNCTION("""COMPUTED_VALUE"""),"TECNÓLOGO")</f>
        <v>TECNÓLOGO</v>
      </c>
      <c r="H147" s="40" t="str">
        <f ca="1">IFERROR(__xludf.DUMMYFUNCTION("""COMPUTED_VALUE"""),"PRODUCCIÓN AGROPECUARIA ECOLÓGICA")</f>
        <v>PRODUCCIÓN AGROPECUARIA ECOLÓGICA</v>
      </c>
      <c r="I147" s="40">
        <f ca="1">IFERROR(__xludf.DUMMYFUNCTION("""COMPUTED_VALUE"""),3187009810)</f>
        <v>3187009810</v>
      </c>
      <c r="J147" s="40" t="str">
        <f ca="1">IFERROR(__xludf.DUMMYFUNCTION("""COMPUTED_VALUE"""),"Jefferson1011iles@gmail.com")</f>
        <v>Jefferson1011iles@gmail.com</v>
      </c>
      <c r="K147" s="40"/>
      <c r="L147" s="40" t="str">
        <f ca="1">IFERROR(__xludf.DUMMYFUNCTION("""COMPUTED_VALUE"""),"Terminado ")</f>
        <v xml:space="preserve">Terminado </v>
      </c>
      <c r="M147" s="40" t="str">
        <f ca="1">IFERROR(__xludf.DUMMYFUNCTION("""COMPUTED_VALUE"""),"GRUPO PRONUM SAS")</f>
        <v>GRUPO PRONUM SAS</v>
      </c>
      <c r="N147" s="40"/>
      <c r="O147" s="40"/>
      <c r="P147" s="40"/>
      <c r="Q147" s="40"/>
      <c r="R147" s="140">
        <f ca="1">IFERROR(__xludf.DUMMYFUNCTION("""COMPUTED_VALUE"""),44319)</f>
        <v>44319</v>
      </c>
      <c r="S147" s="140">
        <f ca="1">IFERROR(__xludf.DUMMYFUNCTION("""COMPUTED_VALUE"""),44502)</f>
        <v>44502</v>
      </c>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t="str">
        <f ca="1">IFERROR(__xludf.DUMMYFUNCTION("""COMPUTED_VALUE"""),"Procede_E_P")</f>
        <v>Procede_E_P</v>
      </c>
      <c r="AV147" s="40" t="str">
        <f ca="1">IFERROR(__xludf.DUMMYFUNCTION("""COMPUTED_VALUE"""),"EN FORMACION")</f>
        <v>EN FORMACION</v>
      </c>
      <c r="AW147" s="40" t="str">
        <f ca="1">IFERROR(__xludf.DUMMYFUNCTION("""COMPUTED_VALUE"""),"AGROPECUARIO")</f>
        <v>AGROPECUARIO</v>
      </c>
      <c r="AX147" s="141">
        <f ca="1">IFERROR(__xludf.DUMMYFUNCTION("""COMPUTED_VALUE"""),44848)</f>
        <v>44848</v>
      </c>
      <c r="AY147" s="40">
        <f ca="1">IFERROR(__xludf.DUMMYFUNCTION("""COMPUTED_VALUE"""),0)</f>
        <v>0</v>
      </c>
      <c r="AZ147" s="40">
        <f ca="1">IFERROR(__xludf.DUMMYFUNCTION("""COMPUTED_VALUE"""),1)</f>
        <v>1</v>
      </c>
      <c r="BA147" s="40">
        <f ca="1">IFERROR(__xludf.DUMMYFUNCTION("""COMPUTED_VALUE"""),0)</f>
        <v>0</v>
      </c>
      <c r="BB147" s="40">
        <f ca="1">IFERROR(__xludf.DUMMYFUNCTION("""COMPUTED_VALUE"""),0)</f>
        <v>0</v>
      </c>
      <c r="BC147" s="40">
        <f ca="1">IFERROR(__xludf.DUMMYFUNCTION("""COMPUTED_VALUE"""),1)</f>
        <v>1</v>
      </c>
      <c r="BD147" s="141">
        <f ca="1">IFERROR(__xludf.DUMMYFUNCTION("""COMPUTED_VALUE"""),43448)</f>
        <v>43448</v>
      </c>
      <c r="BE147" s="141">
        <f ca="1">IFERROR(__xludf.DUMMYFUNCTION("""COMPUTED_VALUE"""),44008)</f>
        <v>44008</v>
      </c>
      <c r="BF147" s="141">
        <f ca="1">IFERROR(__xludf.DUMMYFUNCTION("""COMPUTED_VALUE"""),44191)</f>
        <v>44191</v>
      </c>
      <c r="BG147" s="141">
        <f ca="1">IFERROR(__xludf.DUMMYFUNCTION("""COMPUTED_VALUE"""),44738)</f>
        <v>44738</v>
      </c>
      <c r="BH147" s="40" t="str">
        <f ca="1">IFERROR(__xludf.DUMMYFUNCTION("""COMPUTED_VALUE"""),"FINALIZAR FICHA")</f>
        <v>FINALIZAR FICHA</v>
      </c>
      <c r="BI147" s="40" t="str">
        <f ca="1">IFERROR(__xludf.DUMMYFUNCTION("""COMPUTED_VALUE"""),"Terminada por Fecha     ")</f>
        <v xml:space="preserve">Terminada por Fecha     </v>
      </c>
      <c r="BJ147" s="40" t="str">
        <f ca="1">IFERROR(__xludf.DUMMYFUNCTION("""COMPUTED_VALUE"""),"Yamboro")</f>
        <v>Yamboro</v>
      </c>
      <c r="BK147" s="40"/>
      <c r="BL147" s="40"/>
    </row>
    <row r="148" spans="1:64" ht="13">
      <c r="A148" s="40"/>
      <c r="B148" s="40" t="str">
        <f ca="1">IFERROR(__xludf.DUMMYFUNCTION("""COMPUTED_VALUE"""),"FORMACIÓN 06/09/2022")</f>
        <v>FORMACIÓN 06/09/2022</v>
      </c>
      <c r="C148" s="40" t="str">
        <f ca="1">IFERROR(__xludf.DUMMYFUNCTION("""COMPUTED_VALUE"""),"INGRID JAZMIN MARTINEZ SALAZAR")</f>
        <v>INGRID JAZMIN MARTINEZ SALAZAR</v>
      </c>
      <c r="D148" s="40" t="str">
        <f ca="1">IFERROR(__xludf.DUMMYFUNCTION("""COMPUTED_VALUE"""),"TI")</f>
        <v>TI</v>
      </c>
      <c r="E148" s="40">
        <f ca="1">IFERROR(__xludf.DUMMYFUNCTION("""COMPUTED_VALUE"""),1006956305)</f>
        <v>1006956305</v>
      </c>
      <c r="F148" s="40">
        <f ca="1">IFERROR(__xludf.DUMMYFUNCTION("""COMPUTED_VALUE"""),1828387)</f>
        <v>1828387</v>
      </c>
      <c r="G148" s="40" t="str">
        <f ca="1">IFERROR(__xludf.DUMMYFUNCTION("""COMPUTED_VALUE"""),"TECNÓLOGO")</f>
        <v>TECNÓLOGO</v>
      </c>
      <c r="H148" s="40" t="str">
        <f ca="1">IFERROR(__xludf.DUMMYFUNCTION("""COMPUTED_VALUE"""),"PRODUCCIÓN AGROPECUARIA ECOLÓGICA")</f>
        <v>PRODUCCIÓN AGROPECUARIA ECOLÓGICA</v>
      </c>
      <c r="I148" s="40">
        <f ca="1">IFERROR(__xludf.DUMMYFUNCTION("""COMPUTED_VALUE"""),3186577821)</f>
        <v>3186577821</v>
      </c>
      <c r="J148" s="40" t="str">
        <f ca="1">IFERROR(__xludf.DUMMYFUNCTION("""COMPUTED_VALUE""")," Ingridmartinez2018@gmail.com")</f>
        <v xml:space="preserve"> Ingridmartinez2018@gmail.com</v>
      </c>
      <c r="K148" s="40"/>
      <c r="L148" s="40" t="str">
        <f ca="1">IFERROR(__xludf.DUMMYFUNCTION("""COMPUTED_VALUE"""),"TERMINADO")</f>
        <v>TERMINADO</v>
      </c>
      <c r="M148" s="40" t="str">
        <f ca="1">IFERROR(__xludf.DUMMYFUNCTION("""COMPUTED_VALUE"""),"COMPAÑIA ADH SAS")</f>
        <v>COMPAÑIA ADH SAS</v>
      </c>
      <c r="N148" s="40"/>
      <c r="O148" s="40"/>
      <c r="P148" s="40"/>
      <c r="Q148" s="40"/>
      <c r="R148" s="140">
        <f ca="1">IFERROR(__xludf.DUMMYFUNCTION("""COMPUTED_VALUE"""),44503)</f>
        <v>44503</v>
      </c>
      <c r="S148" s="140">
        <f ca="1">IFERROR(__xludf.DUMMYFUNCTION("""COMPUTED_VALUE"""),44923)</f>
        <v>44923</v>
      </c>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t="str">
        <f ca="1">IFERROR(__xludf.DUMMYFUNCTION("""COMPUTED_VALUE"""),"Procede_E_P")</f>
        <v>Procede_E_P</v>
      </c>
      <c r="AV148" s="40" t="str">
        <f ca="1">IFERROR(__xludf.DUMMYFUNCTION("""COMPUTED_VALUE"""),"EN FORMACION")</f>
        <v>EN FORMACION</v>
      </c>
      <c r="AW148" s="40" t="str">
        <f ca="1">IFERROR(__xludf.DUMMYFUNCTION("""COMPUTED_VALUE"""),"AGROPECUARIO")</f>
        <v>AGROPECUARIO</v>
      </c>
      <c r="AX148" s="141">
        <f ca="1">IFERROR(__xludf.DUMMYFUNCTION("""COMPUTED_VALUE"""),44848)</f>
        <v>44848</v>
      </c>
      <c r="AY148" s="40">
        <f ca="1">IFERROR(__xludf.DUMMYFUNCTION("""COMPUTED_VALUE"""),0)</f>
        <v>0</v>
      </c>
      <c r="AZ148" s="40">
        <f ca="1">IFERROR(__xludf.DUMMYFUNCTION("""COMPUTED_VALUE"""),1)</f>
        <v>1</v>
      </c>
      <c r="BA148" s="40">
        <f ca="1">IFERROR(__xludf.DUMMYFUNCTION("""COMPUTED_VALUE"""),0)</f>
        <v>0</v>
      </c>
      <c r="BB148" s="40">
        <f ca="1">IFERROR(__xludf.DUMMYFUNCTION("""COMPUTED_VALUE"""),0)</f>
        <v>0</v>
      </c>
      <c r="BC148" s="40">
        <f ca="1">IFERROR(__xludf.DUMMYFUNCTION("""COMPUTED_VALUE"""),1)</f>
        <v>1</v>
      </c>
      <c r="BD148" s="141">
        <f ca="1">IFERROR(__xludf.DUMMYFUNCTION("""COMPUTED_VALUE"""),43448)</f>
        <v>43448</v>
      </c>
      <c r="BE148" s="141">
        <f ca="1">IFERROR(__xludf.DUMMYFUNCTION("""COMPUTED_VALUE"""),44008)</f>
        <v>44008</v>
      </c>
      <c r="BF148" s="141">
        <f ca="1">IFERROR(__xludf.DUMMYFUNCTION("""COMPUTED_VALUE"""),44191)</f>
        <v>44191</v>
      </c>
      <c r="BG148" s="141">
        <f ca="1">IFERROR(__xludf.DUMMYFUNCTION("""COMPUTED_VALUE"""),44738)</f>
        <v>44738</v>
      </c>
      <c r="BH148" s="40" t="str">
        <f ca="1">IFERROR(__xludf.DUMMYFUNCTION("""COMPUTED_VALUE"""),"FINALIZAR FICHA")</f>
        <v>FINALIZAR FICHA</v>
      </c>
      <c r="BI148" s="40" t="str">
        <f ca="1">IFERROR(__xludf.DUMMYFUNCTION("""COMPUTED_VALUE"""),"Terminada por Fecha     ")</f>
        <v xml:space="preserve">Terminada por Fecha     </v>
      </c>
      <c r="BJ148" s="40" t="str">
        <f ca="1">IFERROR(__xludf.DUMMYFUNCTION("""COMPUTED_VALUE"""),"Yamboro")</f>
        <v>Yamboro</v>
      </c>
      <c r="BK148" s="40"/>
      <c r="BL148" s="40"/>
    </row>
    <row r="149" spans="1:64" ht="13">
      <c r="A149" s="40"/>
      <c r="B149" s="40" t="str">
        <f ca="1">IFERROR(__xludf.DUMMYFUNCTION("""COMPUTED_VALUE"""),"FORMACIÓN 06/09/2022")</f>
        <v>FORMACIÓN 06/09/2022</v>
      </c>
      <c r="C149" s="40" t="str">
        <f ca="1">IFERROR(__xludf.DUMMYFUNCTION("""COMPUTED_VALUE"""),"MARIA PAULA GULUMA VARGAS")</f>
        <v>MARIA PAULA GULUMA VARGAS</v>
      </c>
      <c r="D149" s="40" t="str">
        <f ca="1">IFERROR(__xludf.DUMMYFUNCTION("""COMPUTED_VALUE"""),"CC")</f>
        <v>CC</v>
      </c>
      <c r="E149" s="40">
        <f ca="1">IFERROR(__xludf.DUMMYFUNCTION("""COMPUTED_VALUE"""),1083929504)</f>
        <v>1083929504</v>
      </c>
      <c r="F149" s="40">
        <f ca="1">IFERROR(__xludf.DUMMYFUNCTION("""COMPUTED_VALUE"""),1828387)</f>
        <v>1828387</v>
      </c>
      <c r="G149" s="40" t="str">
        <f ca="1">IFERROR(__xludf.DUMMYFUNCTION("""COMPUTED_VALUE"""),"TECNÓLOGO")</f>
        <v>TECNÓLOGO</v>
      </c>
      <c r="H149" s="40" t="str">
        <f ca="1">IFERROR(__xludf.DUMMYFUNCTION("""COMPUTED_VALUE"""),"PRODUCCIÓN AGROPECUARIA ECOLÓGICA")</f>
        <v>PRODUCCIÓN AGROPECUARIA ECOLÓGICA</v>
      </c>
      <c r="I149" s="40">
        <f ca="1">IFERROR(__xludf.DUMMYFUNCTION("""COMPUTED_VALUE"""),3222947788)</f>
        <v>3222947788</v>
      </c>
      <c r="J149" s="40" t="str">
        <f ca="1">IFERROR(__xludf.DUMMYFUNCTION("""COMPUTED_VALUE"""),"Mpguluma@misena.edu.co")</f>
        <v>Mpguluma@misena.edu.co</v>
      </c>
      <c r="K149" s="40"/>
      <c r="L149" s="40" t="str">
        <f ca="1">IFERROR(__xludf.DUMMYFUNCTION("""COMPUTED_VALUE"""),"TERMINADO")</f>
        <v>TERMINADO</v>
      </c>
      <c r="M149" s="40"/>
      <c r="N149" s="40"/>
      <c r="O149" s="40"/>
      <c r="P149" s="40"/>
      <c r="Q149" s="40"/>
      <c r="R149" s="140"/>
      <c r="S149" s="140"/>
      <c r="T149" s="40" t="str">
        <f ca="1">IFERROR(__xludf.DUMMYFUNCTION("""COMPUTED_VALUE"""),"Terminación de contrato por justa causa..Revisado 21/02/2022")</f>
        <v>Terminación de contrato por justa causa..Revisado 21/02/2022</v>
      </c>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t="str">
        <f ca="1">IFERROR(__xludf.DUMMYFUNCTION("""COMPUTED_VALUE"""),"Procede_E_P")</f>
        <v>Procede_E_P</v>
      </c>
      <c r="AV149" s="40" t="str">
        <f ca="1">IFERROR(__xludf.DUMMYFUNCTION("""COMPUTED_VALUE"""),"EN FORMACION")</f>
        <v>EN FORMACION</v>
      </c>
      <c r="AW149" s="40" t="str">
        <f ca="1">IFERROR(__xludf.DUMMYFUNCTION("""COMPUTED_VALUE"""),"AGROPECUARIO")</f>
        <v>AGROPECUARIO</v>
      </c>
      <c r="AX149" s="141">
        <f ca="1">IFERROR(__xludf.DUMMYFUNCTION("""COMPUTED_VALUE"""),44848)</f>
        <v>44848</v>
      </c>
      <c r="AY149" s="40">
        <f ca="1">IFERROR(__xludf.DUMMYFUNCTION("""COMPUTED_VALUE"""),0)</f>
        <v>0</v>
      </c>
      <c r="AZ149" s="40">
        <f ca="1">IFERROR(__xludf.DUMMYFUNCTION("""COMPUTED_VALUE"""),1)</f>
        <v>1</v>
      </c>
      <c r="BA149" s="40">
        <f ca="1">IFERROR(__xludf.DUMMYFUNCTION("""COMPUTED_VALUE"""),0)</f>
        <v>0</v>
      </c>
      <c r="BB149" s="40">
        <f ca="1">IFERROR(__xludf.DUMMYFUNCTION("""COMPUTED_VALUE"""),0)</f>
        <v>0</v>
      </c>
      <c r="BC149" s="40">
        <f ca="1">IFERROR(__xludf.DUMMYFUNCTION("""COMPUTED_VALUE"""),1)</f>
        <v>1</v>
      </c>
      <c r="BD149" s="141">
        <f ca="1">IFERROR(__xludf.DUMMYFUNCTION("""COMPUTED_VALUE"""),43448)</f>
        <v>43448</v>
      </c>
      <c r="BE149" s="141">
        <f ca="1">IFERROR(__xludf.DUMMYFUNCTION("""COMPUTED_VALUE"""),44008)</f>
        <v>44008</v>
      </c>
      <c r="BF149" s="141">
        <f ca="1">IFERROR(__xludf.DUMMYFUNCTION("""COMPUTED_VALUE"""),44191)</f>
        <v>44191</v>
      </c>
      <c r="BG149" s="141">
        <f ca="1">IFERROR(__xludf.DUMMYFUNCTION("""COMPUTED_VALUE"""),44738)</f>
        <v>44738</v>
      </c>
      <c r="BH149" s="40" t="str">
        <f ca="1">IFERROR(__xludf.DUMMYFUNCTION("""COMPUTED_VALUE"""),"FINALIZAR FICHA")</f>
        <v>FINALIZAR FICHA</v>
      </c>
      <c r="BI149" s="40" t="str">
        <f ca="1">IFERROR(__xludf.DUMMYFUNCTION("""COMPUTED_VALUE"""),"Terminada por Fecha     ")</f>
        <v xml:space="preserve">Terminada por Fecha     </v>
      </c>
      <c r="BJ149" s="40" t="str">
        <f ca="1">IFERROR(__xludf.DUMMYFUNCTION("""COMPUTED_VALUE"""),"Yamboro")</f>
        <v>Yamboro</v>
      </c>
      <c r="BK149" s="40"/>
      <c r="BL149" s="40"/>
    </row>
    <row r="150" spans="1:64" ht="13">
      <c r="A150" s="40"/>
      <c r="B150" s="40" t="str">
        <f ca="1">IFERROR(__xludf.DUMMYFUNCTION("""COMPUTED_VALUE"""),"FORMACIÓN 06/09/2022")</f>
        <v>FORMACIÓN 06/09/2022</v>
      </c>
      <c r="C150" s="40" t="str">
        <f ca="1">IFERROR(__xludf.DUMMYFUNCTION("""COMPUTED_VALUE"""),"MARIA VANESSA VALDERRAMA BERMEO")</f>
        <v>MARIA VANESSA VALDERRAMA BERMEO</v>
      </c>
      <c r="D150" s="40" t="str">
        <f ca="1">IFERROR(__xludf.DUMMYFUNCTION("""COMPUTED_VALUE"""),"CC")</f>
        <v>CC</v>
      </c>
      <c r="E150" s="40">
        <f ca="1">IFERROR(__xludf.DUMMYFUNCTION("""COMPUTED_VALUE"""),1004268713)</f>
        <v>1004268713</v>
      </c>
      <c r="F150" s="40">
        <f ca="1">IFERROR(__xludf.DUMMYFUNCTION("""COMPUTED_VALUE"""),1828387)</f>
        <v>1828387</v>
      </c>
      <c r="G150" s="40" t="str">
        <f ca="1">IFERROR(__xludf.DUMMYFUNCTION("""COMPUTED_VALUE"""),"TECNÓLOGO")</f>
        <v>TECNÓLOGO</v>
      </c>
      <c r="H150" s="40" t="str">
        <f ca="1">IFERROR(__xludf.DUMMYFUNCTION("""COMPUTED_VALUE"""),"PRODUCCIÓN AGROPECUARIA ECOLÓGICA")</f>
        <v>PRODUCCIÓN AGROPECUARIA ECOLÓGICA</v>
      </c>
      <c r="I150" s="40"/>
      <c r="J150" s="40"/>
      <c r="K150" s="40"/>
      <c r="L150" s="40" t="str">
        <f ca="1">IFERROR(__xludf.DUMMYFUNCTION("""COMPUTED_VALUE"""),"NO HA INICIADO ETAPA PRODUCTIVA")</f>
        <v>NO HA INICIADO ETAPA PRODUCTIVA</v>
      </c>
      <c r="M150" s="40"/>
      <c r="N150" s="40"/>
      <c r="O150" s="40"/>
      <c r="P150" s="40"/>
      <c r="Q150" s="40"/>
      <c r="R150" s="140"/>
      <c r="S150" s="1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t="str">
        <f ca="1">IFERROR(__xludf.DUMMYFUNCTION("""COMPUTED_VALUE"""),"Procede_E_P")</f>
        <v>Procede_E_P</v>
      </c>
      <c r="AV150" s="40" t="str">
        <f ca="1">IFERROR(__xludf.DUMMYFUNCTION("""COMPUTED_VALUE"""),"EN FORMACION")</f>
        <v>EN FORMACION</v>
      </c>
      <c r="AW150" s="40" t="str">
        <f ca="1">IFERROR(__xludf.DUMMYFUNCTION("""COMPUTED_VALUE"""),"AGROPECUARIO")</f>
        <v>AGROPECUARIO</v>
      </c>
      <c r="AX150" s="141">
        <f ca="1">IFERROR(__xludf.DUMMYFUNCTION("""COMPUTED_VALUE"""),44848)</f>
        <v>44848</v>
      </c>
      <c r="AY150" s="40">
        <f ca="1">IFERROR(__xludf.DUMMYFUNCTION("""COMPUTED_VALUE"""),0)</f>
        <v>0</v>
      </c>
      <c r="AZ150" s="40">
        <f ca="1">IFERROR(__xludf.DUMMYFUNCTION("""COMPUTED_VALUE"""),1)</f>
        <v>1</v>
      </c>
      <c r="BA150" s="40">
        <f ca="1">IFERROR(__xludf.DUMMYFUNCTION("""COMPUTED_VALUE"""),0)</f>
        <v>0</v>
      </c>
      <c r="BB150" s="40">
        <f ca="1">IFERROR(__xludf.DUMMYFUNCTION("""COMPUTED_VALUE"""),0)</f>
        <v>0</v>
      </c>
      <c r="BC150" s="40">
        <f ca="1">IFERROR(__xludf.DUMMYFUNCTION("""COMPUTED_VALUE"""),1)</f>
        <v>1</v>
      </c>
      <c r="BD150" s="141">
        <f ca="1">IFERROR(__xludf.DUMMYFUNCTION("""COMPUTED_VALUE"""),43448)</f>
        <v>43448</v>
      </c>
      <c r="BE150" s="141">
        <f ca="1">IFERROR(__xludf.DUMMYFUNCTION("""COMPUTED_VALUE"""),44008)</f>
        <v>44008</v>
      </c>
      <c r="BF150" s="141">
        <f ca="1">IFERROR(__xludf.DUMMYFUNCTION("""COMPUTED_VALUE"""),44191)</f>
        <v>44191</v>
      </c>
      <c r="BG150" s="141">
        <f ca="1">IFERROR(__xludf.DUMMYFUNCTION("""COMPUTED_VALUE"""),44738)</f>
        <v>44738</v>
      </c>
      <c r="BH150" s="40" t="str">
        <f ca="1">IFERROR(__xludf.DUMMYFUNCTION("""COMPUTED_VALUE"""),"FINALIZAR FICHA")</f>
        <v>FINALIZAR FICHA</v>
      </c>
      <c r="BI150" s="40" t="str">
        <f ca="1">IFERROR(__xludf.DUMMYFUNCTION("""COMPUTED_VALUE"""),"Terminada por Fecha     ")</f>
        <v xml:space="preserve">Terminada por Fecha     </v>
      </c>
      <c r="BJ150" s="40" t="str">
        <f ca="1">IFERROR(__xludf.DUMMYFUNCTION("""COMPUTED_VALUE"""),"Yamboro")</f>
        <v>Yamboro</v>
      </c>
      <c r="BK150" s="40"/>
      <c r="BL150" s="40"/>
    </row>
    <row r="151" spans="1:64" ht="13">
      <c r="A151" s="40"/>
      <c r="B151" s="40" t="str">
        <f ca="1">IFERROR(__xludf.DUMMYFUNCTION("""COMPUTED_VALUE"""),"FORMACIÓN 06/09/2022")</f>
        <v>FORMACIÓN 06/09/2022</v>
      </c>
      <c r="C151" s="40" t="str">
        <f ca="1">IFERROR(__xludf.DUMMYFUNCTION("""COMPUTED_VALUE"""),"NIYERETH ANDREA MEZA DAVILA")</f>
        <v>NIYERETH ANDREA MEZA DAVILA</v>
      </c>
      <c r="D151" s="40" t="str">
        <f ca="1">IFERROR(__xludf.DUMMYFUNCTION("""COMPUTED_VALUE"""),"CC")</f>
        <v>CC</v>
      </c>
      <c r="E151" s="40">
        <f ca="1">IFERROR(__xludf.DUMMYFUNCTION("""COMPUTED_VALUE"""),1006962174)</f>
        <v>1006962174</v>
      </c>
      <c r="F151" s="40">
        <f ca="1">IFERROR(__xludf.DUMMYFUNCTION("""COMPUTED_VALUE"""),1828387)</f>
        <v>1828387</v>
      </c>
      <c r="G151" s="40" t="str">
        <f ca="1">IFERROR(__xludf.DUMMYFUNCTION("""COMPUTED_VALUE"""),"TECNÓLOGO")</f>
        <v>TECNÓLOGO</v>
      </c>
      <c r="H151" s="40" t="str">
        <f ca="1">IFERROR(__xludf.DUMMYFUNCTION("""COMPUTED_VALUE"""),"PRODUCCIÓN AGROPECUARIA ECOLÓGICA")</f>
        <v>PRODUCCIÓN AGROPECUARIA ECOLÓGICA</v>
      </c>
      <c r="I151" s="40"/>
      <c r="J151" s="40"/>
      <c r="K151" s="40"/>
      <c r="L151" s="40" t="str">
        <f ca="1">IFERROR(__xludf.DUMMYFUNCTION("""COMPUTED_VALUE"""),"NO HA INICIADO ETAPA PRODUCTIVA")</f>
        <v>NO HA INICIADO ETAPA PRODUCTIVA</v>
      </c>
      <c r="M151" s="40"/>
      <c r="N151" s="40"/>
      <c r="O151" s="40"/>
      <c r="P151" s="40"/>
      <c r="Q151" s="40"/>
      <c r="R151" s="140"/>
      <c r="S151" s="1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t="str">
        <f ca="1">IFERROR(__xludf.DUMMYFUNCTION("""COMPUTED_VALUE"""),"Procede_E_P")</f>
        <v>Procede_E_P</v>
      </c>
      <c r="AV151" s="40" t="str">
        <f ca="1">IFERROR(__xludf.DUMMYFUNCTION("""COMPUTED_VALUE"""),"EN FORMACION")</f>
        <v>EN FORMACION</v>
      </c>
      <c r="AW151" s="40" t="str">
        <f ca="1">IFERROR(__xludf.DUMMYFUNCTION("""COMPUTED_VALUE"""),"AGROPECUARIO")</f>
        <v>AGROPECUARIO</v>
      </c>
      <c r="AX151" s="141">
        <f ca="1">IFERROR(__xludf.DUMMYFUNCTION("""COMPUTED_VALUE"""),44848)</f>
        <v>44848</v>
      </c>
      <c r="AY151" s="40">
        <f ca="1">IFERROR(__xludf.DUMMYFUNCTION("""COMPUTED_VALUE"""),0)</f>
        <v>0</v>
      </c>
      <c r="AZ151" s="40">
        <f ca="1">IFERROR(__xludf.DUMMYFUNCTION("""COMPUTED_VALUE"""),1)</f>
        <v>1</v>
      </c>
      <c r="BA151" s="40">
        <f ca="1">IFERROR(__xludf.DUMMYFUNCTION("""COMPUTED_VALUE"""),0)</f>
        <v>0</v>
      </c>
      <c r="BB151" s="40">
        <f ca="1">IFERROR(__xludf.DUMMYFUNCTION("""COMPUTED_VALUE"""),0)</f>
        <v>0</v>
      </c>
      <c r="BC151" s="40">
        <f ca="1">IFERROR(__xludf.DUMMYFUNCTION("""COMPUTED_VALUE"""),1)</f>
        <v>1</v>
      </c>
      <c r="BD151" s="141">
        <f ca="1">IFERROR(__xludf.DUMMYFUNCTION("""COMPUTED_VALUE"""),43448)</f>
        <v>43448</v>
      </c>
      <c r="BE151" s="141">
        <f ca="1">IFERROR(__xludf.DUMMYFUNCTION("""COMPUTED_VALUE"""),44008)</f>
        <v>44008</v>
      </c>
      <c r="BF151" s="141">
        <f ca="1">IFERROR(__xludf.DUMMYFUNCTION("""COMPUTED_VALUE"""),44191)</f>
        <v>44191</v>
      </c>
      <c r="BG151" s="141">
        <f ca="1">IFERROR(__xludf.DUMMYFUNCTION("""COMPUTED_VALUE"""),44738)</f>
        <v>44738</v>
      </c>
      <c r="BH151" s="40" t="str">
        <f ca="1">IFERROR(__xludf.DUMMYFUNCTION("""COMPUTED_VALUE"""),"FINALIZAR FICHA")</f>
        <v>FINALIZAR FICHA</v>
      </c>
      <c r="BI151" s="40" t="str">
        <f ca="1">IFERROR(__xludf.DUMMYFUNCTION("""COMPUTED_VALUE"""),"Terminada por Fecha     ")</f>
        <v xml:space="preserve">Terminada por Fecha     </v>
      </c>
      <c r="BJ151" s="40" t="str">
        <f ca="1">IFERROR(__xludf.DUMMYFUNCTION("""COMPUTED_VALUE"""),"Yamboro")</f>
        <v>Yamboro</v>
      </c>
      <c r="BK151" s="40"/>
      <c r="BL151" s="40"/>
    </row>
    <row r="152" spans="1:64" ht="13">
      <c r="A152" s="40"/>
      <c r="B152" s="40" t="str">
        <f ca="1">IFERROR(__xludf.DUMMYFUNCTION("""COMPUTED_VALUE"""),"FORMACIÓN 06/09/2022")</f>
        <v>FORMACIÓN 06/09/2022</v>
      </c>
      <c r="C152" s="40" t="str">
        <f ca="1">IFERROR(__xludf.DUMMYFUNCTION("""COMPUTED_VALUE"""),"KAROL DAYANA NAVIA ARTUNDUAGA")</f>
        <v>KAROL DAYANA NAVIA ARTUNDUAGA</v>
      </c>
      <c r="D152" s="40" t="str">
        <f ca="1">IFERROR(__xludf.DUMMYFUNCTION("""COMPUTED_VALUE"""),"CC")</f>
        <v>CC</v>
      </c>
      <c r="E152" s="40">
        <f ca="1">IFERROR(__xludf.DUMMYFUNCTION("""COMPUTED_VALUE"""),1007659446)</f>
        <v>1007659446</v>
      </c>
      <c r="F152" s="40">
        <f ca="1">IFERROR(__xludf.DUMMYFUNCTION("""COMPUTED_VALUE"""),1828387)</f>
        <v>1828387</v>
      </c>
      <c r="G152" s="40" t="str">
        <f ca="1">IFERROR(__xludf.DUMMYFUNCTION("""COMPUTED_VALUE"""),"TECNÓLOGO")</f>
        <v>TECNÓLOGO</v>
      </c>
      <c r="H152" s="40" t="str">
        <f ca="1">IFERROR(__xludf.DUMMYFUNCTION("""COMPUTED_VALUE"""),"PRODUCCIÓN AGROPECUARIA ECOLÓGICA")</f>
        <v>PRODUCCIÓN AGROPECUARIA ECOLÓGICA</v>
      </c>
      <c r="I152" s="40"/>
      <c r="J152" s="40"/>
      <c r="K152" s="40"/>
      <c r="L152" s="40" t="str">
        <f ca="1">IFERROR(__xludf.DUMMYFUNCTION("""COMPUTED_VALUE"""),"NO HA INICIADO ETAPA PRODUCTIVA")</f>
        <v>NO HA INICIADO ETAPA PRODUCTIVA</v>
      </c>
      <c r="M152" s="40"/>
      <c r="N152" s="40"/>
      <c r="O152" s="40"/>
      <c r="P152" s="40"/>
      <c r="Q152" s="40"/>
      <c r="R152" s="140"/>
      <c r="S152" s="1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t="str">
        <f ca="1">IFERROR(__xludf.DUMMYFUNCTION("""COMPUTED_VALUE"""),"Procede_E_P")</f>
        <v>Procede_E_P</v>
      </c>
      <c r="AV152" s="40" t="str">
        <f ca="1">IFERROR(__xludf.DUMMYFUNCTION("""COMPUTED_VALUE"""),"EN FORMACION")</f>
        <v>EN FORMACION</v>
      </c>
      <c r="AW152" s="40" t="str">
        <f ca="1">IFERROR(__xludf.DUMMYFUNCTION("""COMPUTED_VALUE"""),"AGROPECUARIO")</f>
        <v>AGROPECUARIO</v>
      </c>
      <c r="AX152" s="141">
        <f ca="1">IFERROR(__xludf.DUMMYFUNCTION("""COMPUTED_VALUE"""),44848)</f>
        <v>44848</v>
      </c>
      <c r="AY152" s="40">
        <f ca="1">IFERROR(__xludf.DUMMYFUNCTION("""COMPUTED_VALUE"""),0)</f>
        <v>0</v>
      </c>
      <c r="AZ152" s="40">
        <f ca="1">IFERROR(__xludf.DUMMYFUNCTION("""COMPUTED_VALUE"""),1)</f>
        <v>1</v>
      </c>
      <c r="BA152" s="40">
        <f ca="1">IFERROR(__xludf.DUMMYFUNCTION("""COMPUTED_VALUE"""),0)</f>
        <v>0</v>
      </c>
      <c r="BB152" s="40">
        <f ca="1">IFERROR(__xludf.DUMMYFUNCTION("""COMPUTED_VALUE"""),0)</f>
        <v>0</v>
      </c>
      <c r="BC152" s="40">
        <f ca="1">IFERROR(__xludf.DUMMYFUNCTION("""COMPUTED_VALUE"""),1)</f>
        <v>1</v>
      </c>
      <c r="BD152" s="141">
        <f ca="1">IFERROR(__xludf.DUMMYFUNCTION("""COMPUTED_VALUE"""),43448)</f>
        <v>43448</v>
      </c>
      <c r="BE152" s="141">
        <f ca="1">IFERROR(__xludf.DUMMYFUNCTION("""COMPUTED_VALUE"""),44008)</f>
        <v>44008</v>
      </c>
      <c r="BF152" s="141">
        <f ca="1">IFERROR(__xludf.DUMMYFUNCTION("""COMPUTED_VALUE"""),44191)</f>
        <v>44191</v>
      </c>
      <c r="BG152" s="141">
        <f ca="1">IFERROR(__xludf.DUMMYFUNCTION("""COMPUTED_VALUE"""),44738)</f>
        <v>44738</v>
      </c>
      <c r="BH152" s="40" t="str">
        <f ca="1">IFERROR(__xludf.DUMMYFUNCTION("""COMPUTED_VALUE"""),"FINALIZAR FICHA")</f>
        <v>FINALIZAR FICHA</v>
      </c>
      <c r="BI152" s="40" t="str">
        <f ca="1">IFERROR(__xludf.DUMMYFUNCTION("""COMPUTED_VALUE"""),"Terminada por Fecha     ")</f>
        <v xml:space="preserve">Terminada por Fecha     </v>
      </c>
      <c r="BJ152" s="40" t="str">
        <f ca="1">IFERROR(__xludf.DUMMYFUNCTION("""COMPUTED_VALUE"""),"Yamboro")</f>
        <v>Yamboro</v>
      </c>
      <c r="BK152" s="40"/>
      <c r="BL152" s="40"/>
    </row>
    <row r="153" spans="1:64" ht="13">
      <c r="A153" s="40"/>
      <c r="B153" s="40" t="str">
        <f ca="1">IFERROR(__xludf.DUMMYFUNCTION("""COMPUTED_VALUE"""),"FORMACIÓN 06/09/2022")</f>
        <v>FORMACIÓN 06/09/2022</v>
      </c>
      <c r="C153" s="40" t="str">
        <f ca="1">IFERROR(__xludf.DUMMYFUNCTION("""COMPUTED_VALUE"""),"KEVIN SEBASTIAN GALINDO ARTUNDUAGA")</f>
        <v>KEVIN SEBASTIAN GALINDO ARTUNDUAGA</v>
      </c>
      <c r="D153" s="40" t="str">
        <f ca="1">IFERROR(__xludf.DUMMYFUNCTION("""COMPUTED_VALUE"""),"CC")</f>
        <v>CC</v>
      </c>
      <c r="E153" s="40">
        <f ca="1">IFERROR(__xludf.DUMMYFUNCTION("""COMPUTED_VALUE"""),1007897744)</f>
        <v>1007897744</v>
      </c>
      <c r="F153" s="40">
        <f ca="1">IFERROR(__xludf.DUMMYFUNCTION("""COMPUTED_VALUE"""),1828387)</f>
        <v>1828387</v>
      </c>
      <c r="G153" s="40" t="str">
        <f ca="1">IFERROR(__xludf.DUMMYFUNCTION("""COMPUTED_VALUE"""),"TECNÓLOGO")</f>
        <v>TECNÓLOGO</v>
      </c>
      <c r="H153" s="40" t="str">
        <f ca="1">IFERROR(__xludf.DUMMYFUNCTION("""COMPUTED_VALUE"""),"PRODUCCIÓN AGROPECUARIA ECOLÓGICA")</f>
        <v>PRODUCCIÓN AGROPECUARIA ECOLÓGICA</v>
      </c>
      <c r="I153" s="40"/>
      <c r="J153" s="40"/>
      <c r="K153" s="40"/>
      <c r="L153" s="40" t="str">
        <f ca="1">IFERROR(__xludf.DUMMYFUNCTION("""COMPUTED_VALUE"""),"NO HA INICIADO ETAPA PRODUCTIVA")</f>
        <v>NO HA INICIADO ETAPA PRODUCTIVA</v>
      </c>
      <c r="M153" s="40"/>
      <c r="N153" s="40"/>
      <c r="O153" s="40"/>
      <c r="P153" s="40"/>
      <c r="Q153" s="40"/>
      <c r="R153" s="140"/>
      <c r="S153" s="1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t="str">
        <f ca="1">IFERROR(__xludf.DUMMYFUNCTION("""COMPUTED_VALUE"""),"Procede_E_P")</f>
        <v>Procede_E_P</v>
      </c>
      <c r="AV153" s="40" t="str">
        <f ca="1">IFERROR(__xludf.DUMMYFUNCTION("""COMPUTED_VALUE"""),"EN FORMACION")</f>
        <v>EN FORMACION</v>
      </c>
      <c r="AW153" s="40" t="str">
        <f ca="1">IFERROR(__xludf.DUMMYFUNCTION("""COMPUTED_VALUE"""),"AGROPECUARIO")</f>
        <v>AGROPECUARIO</v>
      </c>
      <c r="AX153" s="141">
        <f ca="1">IFERROR(__xludf.DUMMYFUNCTION("""COMPUTED_VALUE"""),44848)</f>
        <v>44848</v>
      </c>
      <c r="AY153" s="40">
        <f ca="1">IFERROR(__xludf.DUMMYFUNCTION("""COMPUTED_VALUE"""),0)</f>
        <v>0</v>
      </c>
      <c r="AZ153" s="40">
        <f ca="1">IFERROR(__xludf.DUMMYFUNCTION("""COMPUTED_VALUE"""),1)</f>
        <v>1</v>
      </c>
      <c r="BA153" s="40">
        <f ca="1">IFERROR(__xludf.DUMMYFUNCTION("""COMPUTED_VALUE"""),0)</f>
        <v>0</v>
      </c>
      <c r="BB153" s="40">
        <f ca="1">IFERROR(__xludf.DUMMYFUNCTION("""COMPUTED_VALUE"""),0)</f>
        <v>0</v>
      </c>
      <c r="BC153" s="40">
        <f ca="1">IFERROR(__xludf.DUMMYFUNCTION("""COMPUTED_VALUE"""),1)</f>
        <v>1</v>
      </c>
      <c r="BD153" s="141">
        <f ca="1">IFERROR(__xludf.DUMMYFUNCTION("""COMPUTED_VALUE"""),43448)</f>
        <v>43448</v>
      </c>
      <c r="BE153" s="141">
        <f ca="1">IFERROR(__xludf.DUMMYFUNCTION("""COMPUTED_VALUE"""),44008)</f>
        <v>44008</v>
      </c>
      <c r="BF153" s="141">
        <f ca="1">IFERROR(__xludf.DUMMYFUNCTION("""COMPUTED_VALUE"""),44191)</f>
        <v>44191</v>
      </c>
      <c r="BG153" s="141">
        <f ca="1">IFERROR(__xludf.DUMMYFUNCTION("""COMPUTED_VALUE"""),44738)</f>
        <v>44738</v>
      </c>
      <c r="BH153" s="40" t="str">
        <f ca="1">IFERROR(__xludf.DUMMYFUNCTION("""COMPUTED_VALUE"""),"FINALIZAR FICHA")</f>
        <v>FINALIZAR FICHA</v>
      </c>
      <c r="BI153" s="40" t="str">
        <f ca="1">IFERROR(__xludf.DUMMYFUNCTION("""COMPUTED_VALUE"""),"Terminada por Fecha     ")</f>
        <v xml:space="preserve">Terminada por Fecha     </v>
      </c>
      <c r="BJ153" s="40" t="str">
        <f ca="1">IFERROR(__xludf.DUMMYFUNCTION("""COMPUTED_VALUE"""),"Yamboro")</f>
        <v>Yamboro</v>
      </c>
      <c r="BK153" s="40"/>
      <c r="BL153" s="40"/>
    </row>
    <row r="154" spans="1:64" ht="13">
      <c r="A154" s="40"/>
      <c r="B154" s="40" t="str">
        <f ca="1">IFERROR(__xludf.DUMMYFUNCTION("""COMPUTED_VALUE"""),"FORMACIÓN 06/09/2022")</f>
        <v>FORMACIÓN 06/09/2022</v>
      </c>
      <c r="C154" s="40" t="str">
        <f ca="1">IFERROR(__xludf.DUMMYFUNCTION("""COMPUTED_VALUE"""),"YERSON DANIEL PARRA SANTANILLA")</f>
        <v>YERSON DANIEL PARRA SANTANILLA</v>
      </c>
      <c r="D154" s="40" t="str">
        <f ca="1">IFERROR(__xludf.DUMMYFUNCTION("""COMPUTED_VALUE"""),"CC")</f>
        <v>CC</v>
      </c>
      <c r="E154" s="40">
        <f ca="1">IFERROR(__xludf.DUMMYFUNCTION("""COMPUTED_VALUE"""),1004268482)</f>
        <v>1004268482</v>
      </c>
      <c r="F154" s="40">
        <f ca="1">IFERROR(__xludf.DUMMYFUNCTION("""COMPUTED_VALUE"""),1828387)</f>
        <v>1828387</v>
      </c>
      <c r="G154" s="40" t="str">
        <f ca="1">IFERROR(__xludf.DUMMYFUNCTION("""COMPUTED_VALUE"""),"TECNÓLOGO")</f>
        <v>TECNÓLOGO</v>
      </c>
      <c r="H154" s="40" t="str">
        <f ca="1">IFERROR(__xludf.DUMMYFUNCTION("""COMPUTED_VALUE"""),"PRODUCCIÓN AGROPECUARIA ECOLÓGICA")</f>
        <v>PRODUCCIÓN AGROPECUARIA ECOLÓGICA</v>
      </c>
      <c r="I154" s="40"/>
      <c r="J154" s="40"/>
      <c r="K154" s="40"/>
      <c r="L154" s="40" t="str">
        <f ca="1">IFERROR(__xludf.DUMMYFUNCTION("""COMPUTED_VALUE"""),"NO HA INICIADO ETAPA PRODUCTIVA")</f>
        <v>NO HA INICIADO ETAPA PRODUCTIVA</v>
      </c>
      <c r="M154" s="40"/>
      <c r="N154" s="40"/>
      <c r="O154" s="40"/>
      <c r="P154" s="40"/>
      <c r="Q154" s="40"/>
      <c r="R154" s="140"/>
      <c r="S154" s="1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t="str">
        <f ca="1">IFERROR(__xludf.DUMMYFUNCTION("""COMPUTED_VALUE"""),"Procede_E_P")</f>
        <v>Procede_E_P</v>
      </c>
      <c r="AV154" s="40" t="str">
        <f ca="1">IFERROR(__xludf.DUMMYFUNCTION("""COMPUTED_VALUE"""),"EN FORMACION")</f>
        <v>EN FORMACION</v>
      </c>
      <c r="AW154" s="40" t="str">
        <f ca="1">IFERROR(__xludf.DUMMYFUNCTION("""COMPUTED_VALUE"""),"AGROPECUARIO")</f>
        <v>AGROPECUARIO</v>
      </c>
      <c r="AX154" s="141">
        <f ca="1">IFERROR(__xludf.DUMMYFUNCTION("""COMPUTED_VALUE"""),44848)</f>
        <v>44848</v>
      </c>
      <c r="AY154" s="40">
        <f ca="1">IFERROR(__xludf.DUMMYFUNCTION("""COMPUTED_VALUE"""),0)</f>
        <v>0</v>
      </c>
      <c r="AZ154" s="40">
        <f ca="1">IFERROR(__xludf.DUMMYFUNCTION("""COMPUTED_VALUE"""),1)</f>
        <v>1</v>
      </c>
      <c r="BA154" s="40">
        <f ca="1">IFERROR(__xludf.DUMMYFUNCTION("""COMPUTED_VALUE"""),0)</f>
        <v>0</v>
      </c>
      <c r="BB154" s="40">
        <f ca="1">IFERROR(__xludf.DUMMYFUNCTION("""COMPUTED_VALUE"""),0)</f>
        <v>0</v>
      </c>
      <c r="BC154" s="40">
        <f ca="1">IFERROR(__xludf.DUMMYFUNCTION("""COMPUTED_VALUE"""),1)</f>
        <v>1</v>
      </c>
      <c r="BD154" s="141">
        <f ca="1">IFERROR(__xludf.DUMMYFUNCTION("""COMPUTED_VALUE"""),43448)</f>
        <v>43448</v>
      </c>
      <c r="BE154" s="141">
        <f ca="1">IFERROR(__xludf.DUMMYFUNCTION("""COMPUTED_VALUE"""),44008)</f>
        <v>44008</v>
      </c>
      <c r="BF154" s="141">
        <f ca="1">IFERROR(__xludf.DUMMYFUNCTION("""COMPUTED_VALUE"""),44191)</f>
        <v>44191</v>
      </c>
      <c r="BG154" s="141">
        <f ca="1">IFERROR(__xludf.DUMMYFUNCTION("""COMPUTED_VALUE"""),44738)</f>
        <v>44738</v>
      </c>
      <c r="BH154" s="40" t="str">
        <f ca="1">IFERROR(__xludf.DUMMYFUNCTION("""COMPUTED_VALUE"""),"FINALIZAR FICHA")</f>
        <v>FINALIZAR FICHA</v>
      </c>
      <c r="BI154" s="40" t="str">
        <f ca="1">IFERROR(__xludf.DUMMYFUNCTION("""COMPUTED_VALUE"""),"Terminada por Fecha     ")</f>
        <v xml:space="preserve">Terminada por Fecha     </v>
      </c>
      <c r="BJ154" s="40" t="str">
        <f ca="1">IFERROR(__xludf.DUMMYFUNCTION("""COMPUTED_VALUE"""),"Yamboro")</f>
        <v>Yamboro</v>
      </c>
      <c r="BK154" s="40"/>
      <c r="BL154" s="40"/>
    </row>
    <row r="155" spans="1:64" ht="13">
      <c r="A155" s="40"/>
      <c r="B155" s="40" t="str">
        <f ca="1">IFERROR(__xludf.DUMMYFUNCTION("""COMPUTED_VALUE"""),"FORMACIÓN 06/09/2022")</f>
        <v>FORMACIÓN 06/09/2022</v>
      </c>
      <c r="C155" s="40" t="str">
        <f ca="1">IFERROR(__xludf.DUMMYFUNCTION("""COMPUTED_VALUE"""),"MARIA XIMENA RODRIGUEZ BUITRAGO")</f>
        <v>MARIA XIMENA RODRIGUEZ BUITRAGO</v>
      </c>
      <c r="D155" s="40" t="str">
        <f ca="1">IFERROR(__xludf.DUMMYFUNCTION("""COMPUTED_VALUE"""),"CC")</f>
        <v>CC</v>
      </c>
      <c r="E155" s="40">
        <f ca="1">IFERROR(__xludf.DUMMYFUNCTION("""COMPUTED_VALUE"""),1003966775)</f>
        <v>1003966775</v>
      </c>
      <c r="F155" s="40">
        <f ca="1">IFERROR(__xludf.DUMMYFUNCTION("""COMPUTED_VALUE"""),1962300)</f>
        <v>1962300</v>
      </c>
      <c r="G155" s="40" t="str">
        <f ca="1">IFERROR(__xludf.DUMMYFUNCTION("""COMPUTED_VALUE"""),"TECNÓLOGO")</f>
        <v>TECNÓLOGO</v>
      </c>
      <c r="H155" s="40" t="str">
        <f ca="1">IFERROR(__xludf.DUMMYFUNCTION("""COMPUTED_VALUE"""),"GESTIÓN DE EMPRESAS AGROPECUARIAS")</f>
        <v>GESTIÓN DE EMPRESAS AGROPECUARIAS</v>
      </c>
      <c r="I155" s="40"/>
      <c r="J155" s="40" t="str">
        <f ca="1">IFERROR(__xludf.DUMMYFUNCTION("""COMPUTED_VALUE"""),"ximenaro1119@gmail.com")</f>
        <v>ximenaro1119@gmail.com</v>
      </c>
      <c r="K155" s="40"/>
      <c r="L155" s="40" t="str">
        <f ca="1">IFERROR(__xludf.DUMMYFUNCTION("""COMPUTED_VALUE"""),"NO HA INICIADO ETAPA PRODUCTIVA")</f>
        <v>NO HA INICIADO ETAPA PRODUCTIVA</v>
      </c>
      <c r="M155" s="40"/>
      <c r="N155" s="40"/>
      <c r="O155" s="40"/>
      <c r="P155" s="40"/>
      <c r="Q155" s="40"/>
      <c r="R155" s="140"/>
      <c r="S155" s="1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t="str">
        <f ca="1">IFERROR(__xludf.DUMMYFUNCTION("""COMPUTED_VALUE"""),"NO_CUMPLE")</f>
        <v>NO_CUMPLE</v>
      </c>
      <c r="AV155" s="40" t="str">
        <f ca="1">IFERROR(__xludf.DUMMYFUNCTION("""COMPUTED_VALUE"""),"EN FORMACION")</f>
        <v>EN FORMACION</v>
      </c>
      <c r="AW155" s="40" t="str">
        <f ca="1">IFERROR(__xludf.DUMMYFUNCTION("""COMPUTED_VALUE"""),"AGROPECUARIO")</f>
        <v>AGROPECUARIO</v>
      </c>
      <c r="AX155" s="141">
        <f ca="1">IFERROR(__xludf.DUMMYFUNCTION("""COMPUTED_VALUE"""),44848)</f>
        <v>44848</v>
      </c>
      <c r="AY155" s="40">
        <f ca="1">IFERROR(__xludf.DUMMYFUNCTION("""COMPUTED_VALUE"""),1)</f>
        <v>1</v>
      </c>
      <c r="AZ155" s="40">
        <f ca="1">IFERROR(__xludf.DUMMYFUNCTION("""COMPUTED_VALUE"""),1)</f>
        <v>1</v>
      </c>
      <c r="BA155" s="40">
        <f ca="1">IFERROR(__xludf.DUMMYFUNCTION("""COMPUTED_VALUE"""),0)</f>
        <v>0</v>
      </c>
      <c r="BB155" s="40">
        <f ca="1">IFERROR(__xludf.DUMMYFUNCTION("""COMPUTED_VALUE"""),1)</f>
        <v>1</v>
      </c>
      <c r="BC155" s="40">
        <f ca="1">IFERROR(__xludf.DUMMYFUNCTION("""COMPUTED_VALUE"""),3)</f>
        <v>3</v>
      </c>
      <c r="BD155" s="141">
        <f ca="1">IFERROR(__xludf.DUMMYFUNCTION("""COMPUTED_VALUE"""),43682)</f>
        <v>43682</v>
      </c>
      <c r="BE155" s="141">
        <f ca="1">IFERROR(__xludf.DUMMYFUNCTION("""COMPUTED_VALUE"""),44232)</f>
        <v>44232</v>
      </c>
      <c r="BF155" s="141">
        <f ca="1">IFERROR(__xludf.DUMMYFUNCTION("""COMPUTED_VALUE"""),44413)</f>
        <v>44413</v>
      </c>
      <c r="BG155" s="141">
        <f ca="1">IFERROR(__xludf.DUMMYFUNCTION("""COMPUTED_VALUE"""),44962)</f>
        <v>44962</v>
      </c>
      <c r="BH155" s="40" t="str">
        <f ca="1">IFERROR(__xludf.DUMMYFUNCTION("""COMPUTED_VALUE"""),"FICHA EN TIEMPO-18 MESES")</f>
        <v>FICHA EN TIEMPO-18 MESES</v>
      </c>
      <c r="BI155" s="40" t="str">
        <f ca="1">IFERROR(__xludf.DUMMYFUNCTION("""COMPUTED_VALUE"""),"Terminada por fecha")</f>
        <v>Terminada por fecha</v>
      </c>
      <c r="BJ155" s="40" t="str">
        <f ca="1">IFERROR(__xludf.DUMMYFUNCTION("""COMPUTED_VALUE"""),"Yamboro")</f>
        <v>Yamboro</v>
      </c>
      <c r="BK155" s="40"/>
      <c r="BL155" s="40"/>
    </row>
    <row r="156" spans="1:64" ht="13">
      <c r="A156" s="40"/>
      <c r="B156" s="40" t="str">
        <f ca="1">IFERROR(__xludf.DUMMYFUNCTION("""COMPUTED_VALUE"""),"FORMACIÓN 06/09/2022")</f>
        <v>FORMACIÓN 06/09/2022</v>
      </c>
      <c r="C156" s="40" t="str">
        <f ca="1">IFERROR(__xludf.DUMMYFUNCTION("""COMPUTED_VALUE"""),"ANYI CAROLINA CUELLAR COLONIA")</f>
        <v>ANYI CAROLINA CUELLAR COLONIA</v>
      </c>
      <c r="D156" s="40" t="str">
        <f ca="1">IFERROR(__xludf.DUMMYFUNCTION("""COMPUTED_VALUE"""),"TI")</f>
        <v>TI</v>
      </c>
      <c r="E156" s="40">
        <f ca="1">IFERROR(__xludf.DUMMYFUNCTION("""COMPUTED_VALUE"""),1004208673)</f>
        <v>1004208673</v>
      </c>
      <c r="F156" s="40">
        <f ca="1">IFERROR(__xludf.DUMMYFUNCTION("""COMPUTED_VALUE"""),1962300)</f>
        <v>1962300</v>
      </c>
      <c r="G156" s="40" t="str">
        <f ca="1">IFERROR(__xludf.DUMMYFUNCTION("""COMPUTED_VALUE"""),"TECNÓLOGO")</f>
        <v>TECNÓLOGO</v>
      </c>
      <c r="H156" s="40" t="str">
        <f ca="1">IFERROR(__xludf.DUMMYFUNCTION("""COMPUTED_VALUE"""),"GESTIÓN DE EMPRESAS AGROPECUARIAS")</f>
        <v>GESTIÓN DE EMPRESAS AGROPECUARIAS</v>
      </c>
      <c r="I156" s="40"/>
      <c r="J156" s="40" t="str">
        <f ca="1">IFERROR(__xludf.DUMMYFUNCTION("""COMPUTED_VALUE"""),"angiecarolinacuellarcolonia14@gmail.com")</f>
        <v>angiecarolinacuellarcolonia14@gmail.com</v>
      </c>
      <c r="K156" s="40"/>
      <c r="L156" s="40" t="str">
        <f ca="1">IFERROR(__xludf.DUMMYFUNCTION("""COMPUTED_VALUE"""),"NO HA INICIADO ETAPA PRODUCTIVA")</f>
        <v>NO HA INICIADO ETAPA PRODUCTIVA</v>
      </c>
      <c r="M156" s="40"/>
      <c r="N156" s="40"/>
      <c r="O156" s="40"/>
      <c r="P156" s="40"/>
      <c r="Q156" s="40"/>
      <c r="R156" s="140"/>
      <c r="S156" s="1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t="str">
        <f ca="1">IFERROR(__xludf.DUMMYFUNCTION("""COMPUTED_VALUE"""),"NO_CUMPLE")</f>
        <v>NO_CUMPLE</v>
      </c>
      <c r="AV156" s="40" t="str">
        <f ca="1">IFERROR(__xludf.DUMMYFUNCTION("""COMPUTED_VALUE"""),"EN FORMACION")</f>
        <v>EN FORMACION</v>
      </c>
      <c r="AW156" s="40" t="str">
        <f ca="1">IFERROR(__xludf.DUMMYFUNCTION("""COMPUTED_VALUE"""),"AGROPECUARIO")</f>
        <v>AGROPECUARIO</v>
      </c>
      <c r="AX156" s="141">
        <f ca="1">IFERROR(__xludf.DUMMYFUNCTION("""COMPUTED_VALUE"""),44848)</f>
        <v>44848</v>
      </c>
      <c r="AY156" s="40">
        <f ca="1">IFERROR(__xludf.DUMMYFUNCTION("""COMPUTED_VALUE"""),1)</f>
        <v>1</v>
      </c>
      <c r="AZ156" s="40">
        <f ca="1">IFERROR(__xludf.DUMMYFUNCTION("""COMPUTED_VALUE"""),1)</f>
        <v>1</v>
      </c>
      <c r="BA156" s="40">
        <f ca="1">IFERROR(__xludf.DUMMYFUNCTION("""COMPUTED_VALUE"""),8)</f>
        <v>8</v>
      </c>
      <c r="BB156" s="40">
        <f ca="1">IFERROR(__xludf.DUMMYFUNCTION("""COMPUTED_VALUE"""),0)</f>
        <v>0</v>
      </c>
      <c r="BC156" s="40">
        <f ca="1">IFERROR(__xludf.DUMMYFUNCTION("""COMPUTED_VALUE"""),10)</f>
        <v>10</v>
      </c>
      <c r="BD156" s="141">
        <f ca="1">IFERROR(__xludf.DUMMYFUNCTION("""COMPUTED_VALUE"""),43682)</f>
        <v>43682</v>
      </c>
      <c r="BE156" s="141">
        <f ca="1">IFERROR(__xludf.DUMMYFUNCTION("""COMPUTED_VALUE"""),44232)</f>
        <v>44232</v>
      </c>
      <c r="BF156" s="141">
        <f ca="1">IFERROR(__xludf.DUMMYFUNCTION("""COMPUTED_VALUE"""),44413)</f>
        <v>44413</v>
      </c>
      <c r="BG156" s="141">
        <f ca="1">IFERROR(__xludf.DUMMYFUNCTION("""COMPUTED_VALUE"""),44962)</f>
        <v>44962</v>
      </c>
      <c r="BH156" s="40" t="str">
        <f ca="1">IFERROR(__xludf.DUMMYFUNCTION("""COMPUTED_VALUE"""),"FICHA EN TIEMPO-18 MESES")</f>
        <v>FICHA EN TIEMPO-18 MESES</v>
      </c>
      <c r="BI156" s="40" t="str">
        <f ca="1">IFERROR(__xludf.DUMMYFUNCTION("""COMPUTED_VALUE"""),"Terminada por fecha")</f>
        <v>Terminada por fecha</v>
      </c>
      <c r="BJ156" s="40" t="str">
        <f ca="1">IFERROR(__xludf.DUMMYFUNCTION("""COMPUTED_VALUE"""),"Yamboro")</f>
        <v>Yamboro</v>
      </c>
      <c r="BK156" s="40"/>
      <c r="BL156" s="40"/>
    </row>
    <row r="157" spans="1:64" ht="13">
      <c r="A157" s="40"/>
      <c r="B157" s="40" t="str">
        <f ca="1">IFERROR(__xludf.DUMMYFUNCTION("""COMPUTED_VALUE"""),"FORMACIÓN 06/09/2022")</f>
        <v>FORMACIÓN 06/09/2022</v>
      </c>
      <c r="C157" s="40" t="str">
        <f ca="1">IFERROR(__xludf.DUMMYFUNCTION("""COMPUTED_VALUE"""),"HADER ALEXANDER ROJAS CALDERON")</f>
        <v>HADER ALEXANDER ROJAS CALDERON</v>
      </c>
      <c r="D157" s="40" t="str">
        <f ca="1">IFERROR(__xludf.DUMMYFUNCTION("""COMPUTED_VALUE"""),"CC")</f>
        <v>CC</v>
      </c>
      <c r="E157" s="40">
        <f ca="1">IFERROR(__xludf.DUMMYFUNCTION("""COMPUTED_VALUE"""),1004209276)</f>
        <v>1004209276</v>
      </c>
      <c r="F157" s="40">
        <f ca="1">IFERROR(__xludf.DUMMYFUNCTION("""COMPUTED_VALUE"""),1962300)</f>
        <v>1962300</v>
      </c>
      <c r="G157" s="40" t="str">
        <f ca="1">IFERROR(__xludf.DUMMYFUNCTION("""COMPUTED_VALUE"""),"TECNÓLOGO")</f>
        <v>TECNÓLOGO</v>
      </c>
      <c r="H157" s="40" t="str">
        <f ca="1">IFERROR(__xludf.DUMMYFUNCTION("""COMPUTED_VALUE"""),"GESTIÓN DE EMPRESAS AGROPECUARIAS")</f>
        <v>GESTIÓN DE EMPRESAS AGROPECUARIAS</v>
      </c>
      <c r="I157" s="40"/>
      <c r="J157" s="40" t="str">
        <f ca="1">IFERROR(__xludf.DUMMYFUNCTION("""COMPUTED_VALUE"""),"haderrojas65@gmail.com")</f>
        <v>haderrojas65@gmail.com</v>
      </c>
      <c r="K157" s="40"/>
      <c r="L157" s="40" t="str">
        <f ca="1">IFERROR(__xludf.DUMMYFUNCTION("""COMPUTED_VALUE"""),"NO HA INICIADO ETAPA PRODUCTIVA")</f>
        <v>NO HA INICIADO ETAPA PRODUCTIVA</v>
      </c>
      <c r="M157" s="40"/>
      <c r="N157" s="40"/>
      <c r="O157" s="40"/>
      <c r="P157" s="40"/>
      <c r="Q157" s="40"/>
      <c r="R157" s="140"/>
      <c r="S157" s="1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t="str">
        <f ca="1">IFERROR(__xludf.DUMMYFUNCTION("""COMPUTED_VALUE"""),"NO_CUMPLE")</f>
        <v>NO_CUMPLE</v>
      </c>
      <c r="AV157" s="40" t="str">
        <f ca="1">IFERROR(__xludf.DUMMYFUNCTION("""COMPUTED_VALUE"""),"EN FORMACION")</f>
        <v>EN FORMACION</v>
      </c>
      <c r="AW157" s="40" t="str">
        <f ca="1">IFERROR(__xludf.DUMMYFUNCTION("""COMPUTED_VALUE"""),"AGROPECUARIO")</f>
        <v>AGROPECUARIO</v>
      </c>
      <c r="AX157" s="141">
        <f ca="1">IFERROR(__xludf.DUMMYFUNCTION("""COMPUTED_VALUE"""),44848)</f>
        <v>44848</v>
      </c>
      <c r="AY157" s="40">
        <f ca="1">IFERROR(__xludf.DUMMYFUNCTION("""COMPUTED_VALUE"""),1)</f>
        <v>1</v>
      </c>
      <c r="AZ157" s="40">
        <f ca="1">IFERROR(__xludf.DUMMYFUNCTION("""COMPUTED_VALUE"""),1)</f>
        <v>1</v>
      </c>
      <c r="BA157" s="40">
        <f ca="1">IFERROR(__xludf.DUMMYFUNCTION("""COMPUTED_VALUE"""),15)</f>
        <v>15</v>
      </c>
      <c r="BB157" s="40">
        <f ca="1">IFERROR(__xludf.DUMMYFUNCTION("""COMPUTED_VALUE"""),4)</f>
        <v>4</v>
      </c>
      <c r="BC157" s="40">
        <f ca="1">IFERROR(__xludf.DUMMYFUNCTION("""COMPUTED_VALUE"""),21)</f>
        <v>21</v>
      </c>
      <c r="BD157" s="141">
        <f ca="1">IFERROR(__xludf.DUMMYFUNCTION("""COMPUTED_VALUE"""),43682)</f>
        <v>43682</v>
      </c>
      <c r="BE157" s="141">
        <f ca="1">IFERROR(__xludf.DUMMYFUNCTION("""COMPUTED_VALUE"""),44232)</f>
        <v>44232</v>
      </c>
      <c r="BF157" s="141">
        <f ca="1">IFERROR(__xludf.DUMMYFUNCTION("""COMPUTED_VALUE"""),44413)</f>
        <v>44413</v>
      </c>
      <c r="BG157" s="141">
        <f ca="1">IFERROR(__xludf.DUMMYFUNCTION("""COMPUTED_VALUE"""),44962)</f>
        <v>44962</v>
      </c>
      <c r="BH157" s="40" t="str">
        <f ca="1">IFERROR(__xludf.DUMMYFUNCTION("""COMPUTED_VALUE"""),"FICHA EN TIEMPO-18 MESES")</f>
        <v>FICHA EN TIEMPO-18 MESES</v>
      </c>
      <c r="BI157" s="40" t="str">
        <f ca="1">IFERROR(__xludf.DUMMYFUNCTION("""COMPUTED_VALUE"""),"Terminada por fecha")</f>
        <v>Terminada por fecha</v>
      </c>
      <c r="BJ157" s="40" t="str">
        <f ca="1">IFERROR(__xludf.DUMMYFUNCTION("""COMPUTED_VALUE"""),"Yamboro")</f>
        <v>Yamboro</v>
      </c>
      <c r="BK157" s="40"/>
      <c r="BL157" s="40"/>
    </row>
    <row r="158" spans="1:64" ht="13">
      <c r="A158" s="40"/>
      <c r="B158" s="40" t="str">
        <f ca="1">IFERROR(__xludf.DUMMYFUNCTION("""COMPUTED_VALUE"""),"FORMACIÓN 06/09/2022")</f>
        <v>FORMACIÓN 06/09/2022</v>
      </c>
      <c r="C158" s="40" t="str">
        <f ca="1">IFERROR(__xludf.DUMMYFUNCTION("""COMPUTED_VALUE"""),"BRAYAN ESTIVEN VASQUEZ HERNANDEZ")</f>
        <v>BRAYAN ESTIVEN VASQUEZ HERNANDEZ</v>
      </c>
      <c r="D158" s="40" t="str">
        <f ca="1">IFERROR(__xludf.DUMMYFUNCTION("""COMPUTED_VALUE"""),"CC")</f>
        <v>CC</v>
      </c>
      <c r="E158" s="40">
        <f ca="1">IFERROR(__xludf.DUMMYFUNCTION("""COMPUTED_VALUE"""),1007105959)</f>
        <v>1007105959</v>
      </c>
      <c r="F158" s="40">
        <f ca="1">IFERROR(__xludf.DUMMYFUNCTION("""COMPUTED_VALUE"""),1962300)</f>
        <v>1962300</v>
      </c>
      <c r="G158" s="40" t="str">
        <f ca="1">IFERROR(__xludf.DUMMYFUNCTION("""COMPUTED_VALUE"""),"TECNÓLOGO")</f>
        <v>TECNÓLOGO</v>
      </c>
      <c r="H158" s="40" t="str">
        <f ca="1">IFERROR(__xludf.DUMMYFUNCTION("""COMPUTED_VALUE"""),"GESTIÓN DE EMPRESAS AGROPECUARIAS")</f>
        <v>GESTIÓN DE EMPRESAS AGROPECUARIAS</v>
      </c>
      <c r="I158" s="40"/>
      <c r="J158" s="40" t="str">
        <f ca="1">IFERROR(__xludf.DUMMYFUNCTION("""COMPUTED_VALUE"""),"19hernandezbrayan26@gmail.com")</f>
        <v>19hernandezbrayan26@gmail.com</v>
      </c>
      <c r="K158" s="40"/>
      <c r="L158" s="40" t="str">
        <f ca="1">IFERROR(__xludf.DUMMYFUNCTION("""COMPUTED_VALUE"""),"NO HA INICIADO ETAPA PRODUCTIVA")</f>
        <v>NO HA INICIADO ETAPA PRODUCTIVA</v>
      </c>
      <c r="M158" s="40"/>
      <c r="N158" s="40"/>
      <c r="O158" s="40"/>
      <c r="P158" s="40"/>
      <c r="Q158" s="40"/>
      <c r="R158" s="140"/>
      <c r="S158" s="1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t="str">
        <f ca="1">IFERROR(__xludf.DUMMYFUNCTION("""COMPUTED_VALUE"""),"Procede_E_P")</f>
        <v>Procede_E_P</v>
      </c>
      <c r="AV158" s="40" t="str">
        <f ca="1">IFERROR(__xludf.DUMMYFUNCTION("""COMPUTED_VALUE"""),"EN FORMACION")</f>
        <v>EN FORMACION</v>
      </c>
      <c r="AW158" s="40" t="str">
        <f ca="1">IFERROR(__xludf.DUMMYFUNCTION("""COMPUTED_VALUE"""),"AGROPECUARIO")</f>
        <v>AGROPECUARIO</v>
      </c>
      <c r="AX158" s="141">
        <f ca="1">IFERROR(__xludf.DUMMYFUNCTION("""COMPUTED_VALUE"""),44848)</f>
        <v>44848</v>
      </c>
      <c r="AY158" s="40">
        <f ca="1">IFERROR(__xludf.DUMMYFUNCTION("""COMPUTED_VALUE"""),0)</f>
        <v>0</v>
      </c>
      <c r="AZ158" s="40">
        <f ca="1">IFERROR(__xludf.DUMMYFUNCTION("""COMPUTED_VALUE"""),1)</f>
        <v>1</v>
      </c>
      <c r="BA158" s="40">
        <f ca="1">IFERROR(__xludf.DUMMYFUNCTION("""COMPUTED_VALUE"""),0)</f>
        <v>0</v>
      </c>
      <c r="BB158" s="40">
        <f ca="1">IFERROR(__xludf.DUMMYFUNCTION("""COMPUTED_VALUE"""),0)</f>
        <v>0</v>
      </c>
      <c r="BC158" s="40">
        <f ca="1">IFERROR(__xludf.DUMMYFUNCTION("""COMPUTED_VALUE"""),1)</f>
        <v>1</v>
      </c>
      <c r="BD158" s="141">
        <f ca="1">IFERROR(__xludf.DUMMYFUNCTION("""COMPUTED_VALUE"""),43682)</f>
        <v>43682</v>
      </c>
      <c r="BE158" s="141">
        <f ca="1">IFERROR(__xludf.DUMMYFUNCTION("""COMPUTED_VALUE"""),44232)</f>
        <v>44232</v>
      </c>
      <c r="BF158" s="141">
        <f ca="1">IFERROR(__xludf.DUMMYFUNCTION("""COMPUTED_VALUE"""),44413)</f>
        <v>44413</v>
      </c>
      <c r="BG158" s="141">
        <f ca="1">IFERROR(__xludf.DUMMYFUNCTION("""COMPUTED_VALUE"""),44962)</f>
        <v>44962</v>
      </c>
      <c r="BH158" s="40" t="str">
        <f ca="1">IFERROR(__xludf.DUMMYFUNCTION("""COMPUTED_VALUE"""),"FICHA EN TIEMPO-18 MESES")</f>
        <v>FICHA EN TIEMPO-18 MESES</v>
      </c>
      <c r="BI158" s="40" t="str">
        <f ca="1">IFERROR(__xludf.DUMMYFUNCTION("""COMPUTED_VALUE"""),"Terminada por fecha")</f>
        <v>Terminada por fecha</v>
      </c>
      <c r="BJ158" s="40" t="str">
        <f ca="1">IFERROR(__xludf.DUMMYFUNCTION("""COMPUTED_VALUE"""),"Yamboro")</f>
        <v>Yamboro</v>
      </c>
      <c r="BK158" s="40"/>
      <c r="BL158" s="40"/>
    </row>
    <row r="159" spans="1:64" ht="13">
      <c r="A159" s="40"/>
      <c r="B159" s="40" t="str">
        <f ca="1">IFERROR(__xludf.DUMMYFUNCTION("""COMPUTED_VALUE"""),"FORMACIÓN 06/09/2022")</f>
        <v>FORMACIÓN 06/09/2022</v>
      </c>
      <c r="C159" s="40" t="str">
        <f ca="1">IFERROR(__xludf.DUMMYFUNCTION("""COMPUTED_VALUE"""),"YULIANA CAROLINA BOLAÑOS URBANO")</f>
        <v>YULIANA CAROLINA BOLAÑOS URBANO</v>
      </c>
      <c r="D159" s="40" t="str">
        <f ca="1">IFERROR(__xludf.DUMMYFUNCTION("""COMPUTED_VALUE"""),"CC")</f>
        <v>CC</v>
      </c>
      <c r="E159" s="40">
        <f ca="1">IFERROR(__xludf.DUMMYFUNCTION("""COMPUTED_VALUE"""),1007750865)</f>
        <v>1007750865</v>
      </c>
      <c r="F159" s="40">
        <f ca="1">IFERROR(__xludf.DUMMYFUNCTION("""COMPUTED_VALUE"""),1962300)</f>
        <v>1962300</v>
      </c>
      <c r="G159" s="40" t="str">
        <f ca="1">IFERROR(__xludf.DUMMYFUNCTION("""COMPUTED_VALUE"""),"TECNÓLOGO")</f>
        <v>TECNÓLOGO</v>
      </c>
      <c r="H159" s="40" t="str">
        <f ca="1">IFERROR(__xludf.DUMMYFUNCTION("""COMPUTED_VALUE"""),"GESTIÓN DE EMPRESAS AGROPECUARIAS")</f>
        <v>GESTIÓN DE EMPRESAS AGROPECUARIAS</v>
      </c>
      <c r="I159" s="40">
        <f ca="1">IFERROR(__xludf.DUMMYFUNCTION("""COMPUTED_VALUE"""),3227447469)</f>
        <v>3227447469</v>
      </c>
      <c r="J159" s="40" t="str">
        <f ca="1">IFERROR(__xludf.DUMMYFUNCTION("""COMPUTED_VALUE"""),"karob2425@gmail.com")</f>
        <v>karob2425@gmail.com</v>
      </c>
      <c r="K159" s="40"/>
      <c r="L159" s="40" t="str">
        <f ca="1">IFERROR(__xludf.DUMMYFUNCTION("""COMPUTED_VALUE"""),"NO HA INICIADO ETAPA PRODUCTIVA")</f>
        <v>NO HA INICIADO ETAPA PRODUCTIVA</v>
      </c>
      <c r="M159" s="40"/>
      <c r="N159" s="40"/>
      <c r="O159" s="40"/>
      <c r="P159" s="40"/>
      <c r="Q159" s="40"/>
      <c r="R159" s="140"/>
      <c r="S159" s="1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t="str">
        <f ca="1">IFERROR(__xludf.DUMMYFUNCTION("""COMPUTED_VALUE"""),"NO_CUMPLE")</f>
        <v>NO_CUMPLE</v>
      </c>
      <c r="AV159" s="40" t="str">
        <f ca="1">IFERROR(__xludf.DUMMYFUNCTION("""COMPUTED_VALUE"""),"EN FORMACION")</f>
        <v>EN FORMACION</v>
      </c>
      <c r="AW159" s="40" t="str">
        <f ca="1">IFERROR(__xludf.DUMMYFUNCTION("""COMPUTED_VALUE"""),"AGROPECUARIO")</f>
        <v>AGROPECUARIO</v>
      </c>
      <c r="AX159" s="141">
        <f ca="1">IFERROR(__xludf.DUMMYFUNCTION("""COMPUTED_VALUE"""),44848)</f>
        <v>44848</v>
      </c>
      <c r="AY159" s="40">
        <f ca="1">IFERROR(__xludf.DUMMYFUNCTION("""COMPUTED_VALUE"""),1)</f>
        <v>1</v>
      </c>
      <c r="AZ159" s="40">
        <f ca="1">IFERROR(__xludf.DUMMYFUNCTION("""COMPUTED_VALUE"""),1)</f>
        <v>1</v>
      </c>
      <c r="BA159" s="40">
        <f ca="1">IFERROR(__xludf.DUMMYFUNCTION("""COMPUTED_VALUE"""),0)</f>
        <v>0</v>
      </c>
      <c r="BB159" s="40">
        <f ca="1">IFERROR(__xludf.DUMMYFUNCTION("""COMPUTED_VALUE"""),0)</f>
        <v>0</v>
      </c>
      <c r="BC159" s="40">
        <f ca="1">IFERROR(__xludf.DUMMYFUNCTION("""COMPUTED_VALUE"""),2)</f>
        <v>2</v>
      </c>
      <c r="BD159" s="141">
        <f ca="1">IFERROR(__xludf.DUMMYFUNCTION("""COMPUTED_VALUE"""),43682)</f>
        <v>43682</v>
      </c>
      <c r="BE159" s="141">
        <f ca="1">IFERROR(__xludf.DUMMYFUNCTION("""COMPUTED_VALUE"""),44232)</f>
        <v>44232</v>
      </c>
      <c r="BF159" s="141">
        <f ca="1">IFERROR(__xludf.DUMMYFUNCTION("""COMPUTED_VALUE"""),44413)</f>
        <v>44413</v>
      </c>
      <c r="BG159" s="141">
        <f ca="1">IFERROR(__xludf.DUMMYFUNCTION("""COMPUTED_VALUE"""),44962)</f>
        <v>44962</v>
      </c>
      <c r="BH159" s="40" t="str">
        <f ca="1">IFERROR(__xludf.DUMMYFUNCTION("""COMPUTED_VALUE"""),"FICHA EN TIEMPO-18 MESES")</f>
        <v>FICHA EN TIEMPO-18 MESES</v>
      </c>
      <c r="BI159" s="40" t="str">
        <f ca="1">IFERROR(__xludf.DUMMYFUNCTION("""COMPUTED_VALUE"""),"Terminada por fecha")</f>
        <v>Terminada por fecha</v>
      </c>
      <c r="BJ159" s="40" t="str">
        <f ca="1">IFERROR(__xludf.DUMMYFUNCTION("""COMPUTED_VALUE"""),"Yamboro")</f>
        <v>Yamboro</v>
      </c>
      <c r="BK159" s="40"/>
      <c r="BL159" s="40"/>
    </row>
    <row r="160" spans="1:64" ht="13">
      <c r="A160" s="40"/>
      <c r="B160" s="40" t="str">
        <f ca="1">IFERROR(__xludf.DUMMYFUNCTION("""COMPUTED_VALUE"""),"FORMACIÓN 06/09/2022")</f>
        <v>FORMACIÓN 06/09/2022</v>
      </c>
      <c r="C160" s="40" t="str">
        <f ca="1">IFERROR(__xludf.DUMMYFUNCTION("""COMPUTED_VALUE"""),"CLAUDIA SOLANYI ZAMORA BARRETO")</f>
        <v>CLAUDIA SOLANYI ZAMORA BARRETO</v>
      </c>
      <c r="D160" s="40" t="str">
        <f ca="1">IFERROR(__xludf.DUMMYFUNCTION("""COMPUTED_VALUE"""),"CC")</f>
        <v>CC</v>
      </c>
      <c r="E160" s="40">
        <f ca="1">IFERROR(__xludf.DUMMYFUNCTION("""COMPUTED_VALUE"""),1069749143)</f>
        <v>1069749143</v>
      </c>
      <c r="F160" s="40">
        <f ca="1">IFERROR(__xludf.DUMMYFUNCTION("""COMPUTED_VALUE"""),1962300)</f>
        <v>1962300</v>
      </c>
      <c r="G160" s="40" t="str">
        <f ca="1">IFERROR(__xludf.DUMMYFUNCTION("""COMPUTED_VALUE"""),"TECNÓLOGO")</f>
        <v>TECNÓLOGO</v>
      </c>
      <c r="H160" s="40" t="str">
        <f ca="1">IFERROR(__xludf.DUMMYFUNCTION("""COMPUTED_VALUE"""),"GESTIÓN DE EMPRESAS AGROPECUARIAS")</f>
        <v>GESTIÓN DE EMPRESAS AGROPECUARIAS</v>
      </c>
      <c r="I160" s="40">
        <f ca="1">IFERROR(__xludf.DUMMYFUNCTION("""COMPUTED_VALUE"""),3208789084)</f>
        <v>3208789084</v>
      </c>
      <c r="J160" s="40" t="str">
        <f ca="1">IFERROR(__xludf.DUMMYFUNCTION("""COMPUTED_VALUE"""),"clausol1499@gmail.com")</f>
        <v>clausol1499@gmail.com</v>
      </c>
      <c r="K160" s="40"/>
      <c r="L160" s="40" t="str">
        <f ca="1">IFERROR(__xludf.DUMMYFUNCTION("""COMPUTED_VALUE"""),"NO HA INICIADO ETAPA PRODUCTIVA")</f>
        <v>NO HA INICIADO ETAPA PRODUCTIVA</v>
      </c>
      <c r="M160" s="40"/>
      <c r="N160" s="40"/>
      <c r="O160" s="40"/>
      <c r="P160" s="40"/>
      <c r="Q160" s="40"/>
      <c r="R160" s="140"/>
      <c r="S160" s="1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t="str">
        <f ca="1">IFERROR(__xludf.DUMMYFUNCTION("""COMPUTED_VALUE"""),"Procede_E_P")</f>
        <v>Procede_E_P</v>
      </c>
      <c r="AV160" s="40" t="str">
        <f ca="1">IFERROR(__xludf.DUMMYFUNCTION("""COMPUTED_VALUE"""),"EN FORMACION")</f>
        <v>EN FORMACION</v>
      </c>
      <c r="AW160" s="40" t="str">
        <f ca="1">IFERROR(__xludf.DUMMYFUNCTION("""COMPUTED_VALUE"""),"AGROPECUARIO")</f>
        <v>AGROPECUARIO</v>
      </c>
      <c r="AX160" s="141">
        <f ca="1">IFERROR(__xludf.DUMMYFUNCTION("""COMPUTED_VALUE"""),44848)</f>
        <v>44848</v>
      </c>
      <c r="AY160" s="40">
        <f ca="1">IFERROR(__xludf.DUMMYFUNCTION("""COMPUTED_VALUE"""),0)</f>
        <v>0</v>
      </c>
      <c r="AZ160" s="40">
        <f ca="1">IFERROR(__xludf.DUMMYFUNCTION("""COMPUTED_VALUE"""),1)</f>
        <v>1</v>
      </c>
      <c r="BA160" s="40">
        <f ca="1">IFERROR(__xludf.DUMMYFUNCTION("""COMPUTED_VALUE"""),0)</f>
        <v>0</v>
      </c>
      <c r="BB160" s="40">
        <f ca="1">IFERROR(__xludf.DUMMYFUNCTION("""COMPUTED_VALUE"""),0)</f>
        <v>0</v>
      </c>
      <c r="BC160" s="40">
        <f ca="1">IFERROR(__xludf.DUMMYFUNCTION("""COMPUTED_VALUE"""),1)</f>
        <v>1</v>
      </c>
      <c r="BD160" s="141">
        <f ca="1">IFERROR(__xludf.DUMMYFUNCTION("""COMPUTED_VALUE"""),43682)</f>
        <v>43682</v>
      </c>
      <c r="BE160" s="141">
        <f ca="1">IFERROR(__xludf.DUMMYFUNCTION("""COMPUTED_VALUE"""),44232)</f>
        <v>44232</v>
      </c>
      <c r="BF160" s="141">
        <f ca="1">IFERROR(__xludf.DUMMYFUNCTION("""COMPUTED_VALUE"""),44413)</f>
        <v>44413</v>
      </c>
      <c r="BG160" s="141">
        <f ca="1">IFERROR(__xludf.DUMMYFUNCTION("""COMPUTED_VALUE"""),44962)</f>
        <v>44962</v>
      </c>
      <c r="BH160" s="40" t="str">
        <f ca="1">IFERROR(__xludf.DUMMYFUNCTION("""COMPUTED_VALUE"""),"FICHA EN TIEMPO-18 MESES")</f>
        <v>FICHA EN TIEMPO-18 MESES</v>
      </c>
      <c r="BI160" s="40" t="str">
        <f ca="1">IFERROR(__xludf.DUMMYFUNCTION("""COMPUTED_VALUE"""),"Terminada por fecha")</f>
        <v>Terminada por fecha</v>
      </c>
      <c r="BJ160" s="40" t="str">
        <f ca="1">IFERROR(__xludf.DUMMYFUNCTION("""COMPUTED_VALUE"""),"Yamboro")</f>
        <v>Yamboro</v>
      </c>
      <c r="BK160" s="40"/>
      <c r="BL160" s="40"/>
    </row>
    <row r="161" spans="1:64" ht="13">
      <c r="A161" s="40"/>
      <c r="B161" s="40" t="str">
        <f ca="1">IFERROR(__xludf.DUMMYFUNCTION("""COMPUTED_VALUE"""),"FORMACIÓN 06/09/2022")</f>
        <v>FORMACIÓN 06/09/2022</v>
      </c>
      <c r="C161" s="40" t="str">
        <f ca="1">IFERROR(__xludf.DUMMYFUNCTION("""COMPUTED_VALUE"""),"HARRINSON SOTO ROA")</f>
        <v>HARRINSON SOTO ROA</v>
      </c>
      <c r="D161" s="40" t="str">
        <f ca="1">IFERROR(__xludf.DUMMYFUNCTION("""COMPUTED_VALUE"""),"CC")</f>
        <v>CC</v>
      </c>
      <c r="E161" s="40">
        <f ca="1">IFERROR(__xludf.DUMMYFUNCTION("""COMPUTED_VALUE"""),1082124493)</f>
        <v>1082124493</v>
      </c>
      <c r="F161" s="40">
        <f ca="1">IFERROR(__xludf.DUMMYFUNCTION("""COMPUTED_VALUE"""),1962300)</f>
        <v>1962300</v>
      </c>
      <c r="G161" s="40" t="str">
        <f ca="1">IFERROR(__xludf.DUMMYFUNCTION("""COMPUTED_VALUE"""),"TECNÓLOGO")</f>
        <v>TECNÓLOGO</v>
      </c>
      <c r="H161" s="40" t="str">
        <f ca="1">IFERROR(__xludf.DUMMYFUNCTION("""COMPUTED_VALUE"""),"GESTIÓN DE EMPRESAS AGROPECUARIAS")</f>
        <v>GESTIÓN DE EMPRESAS AGROPECUARIAS</v>
      </c>
      <c r="I161" s="40">
        <f ca="1">IFERROR(__xludf.DUMMYFUNCTION("""COMPUTED_VALUE"""),3102892096)</f>
        <v>3102892096</v>
      </c>
      <c r="J161" s="40" t="str">
        <f ca="1">IFERROR(__xludf.DUMMYFUNCTION("""COMPUTED_VALUE"""),"hsotoroa@gmail.com")</f>
        <v>hsotoroa@gmail.com</v>
      </c>
      <c r="K161" s="40" t="str">
        <f ca="1">IFERROR(__xludf.DUMMYFUNCTION("""COMPUTED_VALUE"""),"Guadalupe")</f>
        <v>Guadalupe</v>
      </c>
      <c r="L161" s="40" t="str">
        <f ca="1">IFERROR(__xludf.DUMMYFUNCTION("""COMPUTED_VALUE"""),"NO HA INICIADO ETAPA PRODUCTIVA")</f>
        <v>NO HA INICIADO ETAPA PRODUCTIVA</v>
      </c>
      <c r="M161" s="40"/>
      <c r="N161" s="40"/>
      <c r="O161" s="40"/>
      <c r="P161" s="40"/>
      <c r="Q161" s="40"/>
      <c r="R161" s="140"/>
      <c r="S161" s="1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t="str">
        <f ca="1">IFERROR(__xludf.DUMMYFUNCTION("""COMPUTED_VALUE"""),"Procede_E_P")</f>
        <v>Procede_E_P</v>
      </c>
      <c r="AV161" s="40" t="str">
        <f ca="1">IFERROR(__xludf.DUMMYFUNCTION("""COMPUTED_VALUE"""),"EN FORMACION")</f>
        <v>EN FORMACION</v>
      </c>
      <c r="AW161" s="40" t="str">
        <f ca="1">IFERROR(__xludf.DUMMYFUNCTION("""COMPUTED_VALUE"""),"AGROPECUARIO")</f>
        <v>AGROPECUARIO</v>
      </c>
      <c r="AX161" s="141">
        <f ca="1">IFERROR(__xludf.DUMMYFUNCTION("""COMPUTED_VALUE"""),44848)</f>
        <v>44848</v>
      </c>
      <c r="AY161" s="40">
        <f ca="1">IFERROR(__xludf.DUMMYFUNCTION("""COMPUTED_VALUE"""),0)</f>
        <v>0</v>
      </c>
      <c r="AZ161" s="40">
        <f ca="1">IFERROR(__xludf.DUMMYFUNCTION("""COMPUTED_VALUE"""),1)</f>
        <v>1</v>
      </c>
      <c r="BA161" s="40">
        <f ca="1">IFERROR(__xludf.DUMMYFUNCTION("""COMPUTED_VALUE"""),0)</f>
        <v>0</v>
      </c>
      <c r="BB161" s="40">
        <f ca="1">IFERROR(__xludf.DUMMYFUNCTION("""COMPUTED_VALUE"""),0)</f>
        <v>0</v>
      </c>
      <c r="BC161" s="40">
        <f ca="1">IFERROR(__xludf.DUMMYFUNCTION("""COMPUTED_VALUE"""),1)</f>
        <v>1</v>
      </c>
      <c r="BD161" s="141">
        <f ca="1">IFERROR(__xludf.DUMMYFUNCTION("""COMPUTED_VALUE"""),43682)</f>
        <v>43682</v>
      </c>
      <c r="BE161" s="141">
        <f ca="1">IFERROR(__xludf.DUMMYFUNCTION("""COMPUTED_VALUE"""),44232)</f>
        <v>44232</v>
      </c>
      <c r="BF161" s="141">
        <f ca="1">IFERROR(__xludf.DUMMYFUNCTION("""COMPUTED_VALUE"""),44413)</f>
        <v>44413</v>
      </c>
      <c r="BG161" s="141">
        <f ca="1">IFERROR(__xludf.DUMMYFUNCTION("""COMPUTED_VALUE"""),44962)</f>
        <v>44962</v>
      </c>
      <c r="BH161" s="40" t="str">
        <f ca="1">IFERROR(__xludf.DUMMYFUNCTION("""COMPUTED_VALUE"""),"FICHA EN TIEMPO-18 MESES")</f>
        <v>FICHA EN TIEMPO-18 MESES</v>
      </c>
      <c r="BI161" s="40" t="str">
        <f ca="1">IFERROR(__xludf.DUMMYFUNCTION("""COMPUTED_VALUE"""),"Terminada por fecha")</f>
        <v>Terminada por fecha</v>
      </c>
      <c r="BJ161" s="40" t="str">
        <f ca="1">IFERROR(__xludf.DUMMYFUNCTION("""COMPUTED_VALUE"""),"Yamboro")</f>
        <v>Yamboro</v>
      </c>
      <c r="BK161" s="40"/>
      <c r="BL161" s="40"/>
    </row>
    <row r="162" spans="1:64" ht="13">
      <c r="A162" s="40"/>
      <c r="B162" s="40" t="str">
        <f ca="1">IFERROR(__xludf.DUMMYFUNCTION("""COMPUTED_VALUE"""),"FORMACIÓN 06/09/2022")</f>
        <v>FORMACIÓN 06/09/2022</v>
      </c>
      <c r="C162" s="40" t="str">
        <f ca="1">IFERROR(__xludf.DUMMYFUNCTION("""COMPUTED_VALUE"""),"JAVIER HERNANDO AUDOR SARMIENTO")</f>
        <v>JAVIER HERNANDO AUDOR SARMIENTO</v>
      </c>
      <c r="D162" s="40" t="str">
        <f ca="1">IFERROR(__xludf.DUMMYFUNCTION("""COMPUTED_VALUE"""),"CC")</f>
        <v>CC</v>
      </c>
      <c r="E162" s="40">
        <f ca="1">IFERROR(__xludf.DUMMYFUNCTION("""COMPUTED_VALUE"""),1080362456)</f>
        <v>1080362456</v>
      </c>
      <c r="F162" s="40">
        <f ca="1">IFERROR(__xludf.DUMMYFUNCTION("""COMPUTED_VALUE"""),1965985)</f>
        <v>1965985</v>
      </c>
      <c r="G162" s="40" t="str">
        <f ca="1">IFERROR(__xludf.DUMMYFUNCTION("""COMPUTED_VALUE"""),"TECNÓLOGO")</f>
        <v>TECNÓLOGO</v>
      </c>
      <c r="H162" s="40" t="str">
        <f ca="1">IFERROR(__xludf.DUMMYFUNCTION("""COMPUTED_VALUE"""),"ANALISIS Y DESARROLLO DE SISTEMAS DE INFORMACION")</f>
        <v>ANALISIS Y DESARROLLO DE SISTEMAS DE INFORMACION</v>
      </c>
      <c r="I162" s="40"/>
      <c r="J162" s="40" t="str">
        <f ca="1">IFERROR(__xludf.DUMMYFUNCTION("""COMPUTED_VALUE"""),"javier.audor@gmail.com")</f>
        <v>javier.audor@gmail.com</v>
      </c>
      <c r="K162" s="40"/>
      <c r="L162" s="40" t="str">
        <f ca="1">IFERROR(__xludf.DUMMYFUNCTION("""COMPUTED_VALUE"""),"NO HA INICIADO ETAPA PRODUCTIVA")</f>
        <v>NO HA INICIADO ETAPA PRODUCTIVA</v>
      </c>
      <c r="M162" s="40"/>
      <c r="N162" s="40"/>
      <c r="O162" s="40"/>
      <c r="P162" s="40"/>
      <c r="Q162" s="40"/>
      <c r="R162" s="140"/>
      <c r="S162" s="140"/>
      <c r="T162" s="40"/>
      <c r="U162" s="40" t="str">
        <f ca="1">IFERROR(__xludf.DUMMYFUNCTION("""COMPUTED_VALUE"""),"GUSTAVO RAMON")</f>
        <v>GUSTAVO RAMON</v>
      </c>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t="str">
        <f ca="1">IFERROR(__xludf.DUMMYFUNCTION("""COMPUTED_VALUE"""),"Procede_E_P")</f>
        <v>Procede_E_P</v>
      </c>
      <c r="AV162" s="40" t="str">
        <f ca="1">IFERROR(__xludf.DUMMYFUNCTION("""COMPUTED_VALUE"""),"EN FORMACION")</f>
        <v>EN FORMACION</v>
      </c>
      <c r="AW162" s="40" t="str">
        <f ca="1">IFERROR(__xludf.DUMMYFUNCTION("""COMPUTED_VALUE"""),"TIC")</f>
        <v>TIC</v>
      </c>
      <c r="AX162" s="141">
        <f ca="1">IFERROR(__xludf.DUMMYFUNCTION("""COMPUTED_VALUE"""),44848)</f>
        <v>44848</v>
      </c>
      <c r="AY162" s="40">
        <f ca="1">IFERROR(__xludf.DUMMYFUNCTION("""COMPUTED_VALUE"""),0)</f>
        <v>0</v>
      </c>
      <c r="AZ162" s="40">
        <f ca="1">IFERROR(__xludf.DUMMYFUNCTION("""COMPUTED_VALUE"""),1)</f>
        <v>1</v>
      </c>
      <c r="BA162" s="40">
        <f ca="1">IFERROR(__xludf.DUMMYFUNCTION("""COMPUTED_VALUE"""),0)</f>
        <v>0</v>
      </c>
      <c r="BB162" s="40">
        <f ca="1">IFERROR(__xludf.DUMMYFUNCTION("""COMPUTED_VALUE"""),0)</f>
        <v>0</v>
      </c>
      <c r="BC162" s="40">
        <f ca="1">IFERROR(__xludf.DUMMYFUNCTION("""COMPUTED_VALUE"""),1)</f>
        <v>1</v>
      </c>
      <c r="BD162" s="141">
        <f ca="1">IFERROR(__xludf.DUMMYFUNCTION("""COMPUTED_VALUE"""),43704)</f>
        <v>43704</v>
      </c>
      <c r="BE162" s="141">
        <f ca="1">IFERROR(__xludf.DUMMYFUNCTION("""COMPUTED_VALUE"""),44254)</f>
        <v>44254</v>
      </c>
      <c r="BF162" s="141">
        <f ca="1">IFERROR(__xludf.DUMMYFUNCTION("""COMPUTED_VALUE"""),44435)</f>
        <v>44435</v>
      </c>
      <c r="BG162" s="141">
        <f ca="1">IFERROR(__xludf.DUMMYFUNCTION("""COMPUTED_VALUE"""),44984)</f>
        <v>44984</v>
      </c>
      <c r="BH162" s="40" t="str">
        <f ca="1">IFERROR(__xludf.DUMMYFUNCTION("""COMPUTED_VALUE"""),"FICHA EN TIEMPO-18 MESES")</f>
        <v>FICHA EN TIEMPO-18 MESES</v>
      </c>
      <c r="BI162" s="40" t="str">
        <f ca="1">IFERROR(__xludf.DUMMYFUNCTION("""COMPUTED_VALUE"""),"Terminada por fecha")</f>
        <v>Terminada por fecha</v>
      </c>
      <c r="BJ162" s="40" t="str">
        <f ca="1">IFERROR(__xludf.DUMMYFUNCTION("""COMPUTED_VALUE"""),"Yamboro")</f>
        <v>Yamboro</v>
      </c>
      <c r="BK162" s="40"/>
      <c r="BL162" s="40"/>
    </row>
    <row r="163" spans="1:64" ht="13">
      <c r="A163" s="40"/>
      <c r="B163" s="40" t="str">
        <f ca="1">IFERROR(__xludf.DUMMYFUNCTION("""COMPUTED_VALUE"""),"FORMACIÓN 06/09/2022")</f>
        <v>FORMACIÓN 06/09/2022</v>
      </c>
      <c r="C163" s="40" t="str">
        <f ca="1">IFERROR(__xludf.DUMMYFUNCTION("""COMPUTED_VALUE"""),"MARIA CAMILA MARIN ALVARAN")</f>
        <v>MARIA CAMILA MARIN ALVARAN</v>
      </c>
      <c r="D163" s="40" t="str">
        <f ca="1">IFERROR(__xludf.DUMMYFUNCTION("""COMPUTED_VALUE"""),"CC")</f>
        <v>CC</v>
      </c>
      <c r="E163" s="40">
        <f ca="1">IFERROR(__xludf.DUMMYFUNCTION("""COMPUTED_VALUE"""),1214746283)</f>
        <v>1214746283</v>
      </c>
      <c r="F163" s="40">
        <f ca="1">IFERROR(__xludf.DUMMYFUNCTION("""COMPUTED_VALUE"""),1965985)</f>
        <v>1965985</v>
      </c>
      <c r="G163" s="40" t="str">
        <f ca="1">IFERROR(__xludf.DUMMYFUNCTION("""COMPUTED_VALUE"""),"TECNÓLOGO")</f>
        <v>TECNÓLOGO</v>
      </c>
      <c r="H163" s="40" t="str">
        <f ca="1">IFERROR(__xludf.DUMMYFUNCTION("""COMPUTED_VALUE"""),"ANALISIS Y DESARROLLO DE SISTEMAS DE INFORMACION")</f>
        <v>ANALISIS Y DESARROLLO DE SISTEMAS DE INFORMACION</v>
      </c>
      <c r="I163" s="40">
        <f ca="1">IFERROR(__xludf.DUMMYFUNCTION("""COMPUTED_VALUE"""),3196553361)</f>
        <v>3196553361</v>
      </c>
      <c r="J163" s="40" t="str">
        <f ca="1">IFERROR(__xludf.DUMMYFUNCTION("""COMPUTED_VALUE"""),"marincamila3@gmail.com")</f>
        <v>marincamila3@gmail.com</v>
      </c>
      <c r="K163" s="40" t="str">
        <f ca="1">IFERROR(__xludf.DUMMYFUNCTION("""COMPUTED_VALUE"""),"Medellín")</f>
        <v>Medellín</v>
      </c>
      <c r="L163" s="40" t="str">
        <f ca="1">IFERROR(__xludf.DUMMYFUNCTION("""COMPUTED_VALUE"""),"NO HA INICIADO ETAPA PRODUCTIVA")</f>
        <v>NO HA INICIADO ETAPA PRODUCTIVA</v>
      </c>
      <c r="M163" s="40"/>
      <c r="N163" s="40"/>
      <c r="O163" s="40"/>
      <c r="P163" s="40"/>
      <c r="Q163" s="40"/>
      <c r="R163" s="140"/>
      <c r="S163" s="140"/>
      <c r="T163" s="40"/>
      <c r="U163" s="40" t="str">
        <f ca="1">IFERROR(__xludf.DUMMYFUNCTION("""COMPUTED_VALUE"""),"GUSTAVO RAMON")</f>
        <v>GUSTAVO RAMON</v>
      </c>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t="str">
        <f ca="1">IFERROR(__xludf.DUMMYFUNCTION("""COMPUTED_VALUE"""),"Procede_E_P")</f>
        <v>Procede_E_P</v>
      </c>
      <c r="AV163" s="40" t="str">
        <f ca="1">IFERROR(__xludf.DUMMYFUNCTION("""COMPUTED_VALUE"""),"EN FORMACION")</f>
        <v>EN FORMACION</v>
      </c>
      <c r="AW163" s="40" t="str">
        <f ca="1">IFERROR(__xludf.DUMMYFUNCTION("""COMPUTED_VALUE"""),"TIC")</f>
        <v>TIC</v>
      </c>
      <c r="AX163" s="141">
        <f ca="1">IFERROR(__xludf.DUMMYFUNCTION("""COMPUTED_VALUE"""),44848)</f>
        <v>44848</v>
      </c>
      <c r="AY163" s="40">
        <f ca="1">IFERROR(__xludf.DUMMYFUNCTION("""COMPUTED_VALUE"""),0)</f>
        <v>0</v>
      </c>
      <c r="AZ163" s="40">
        <f ca="1">IFERROR(__xludf.DUMMYFUNCTION("""COMPUTED_VALUE"""),1)</f>
        <v>1</v>
      </c>
      <c r="BA163" s="40">
        <f ca="1">IFERROR(__xludf.DUMMYFUNCTION("""COMPUTED_VALUE"""),0)</f>
        <v>0</v>
      </c>
      <c r="BB163" s="40">
        <f ca="1">IFERROR(__xludf.DUMMYFUNCTION("""COMPUTED_VALUE"""),0)</f>
        <v>0</v>
      </c>
      <c r="BC163" s="40">
        <f ca="1">IFERROR(__xludf.DUMMYFUNCTION("""COMPUTED_VALUE"""),1)</f>
        <v>1</v>
      </c>
      <c r="BD163" s="141">
        <f ca="1">IFERROR(__xludf.DUMMYFUNCTION("""COMPUTED_VALUE"""),43704)</f>
        <v>43704</v>
      </c>
      <c r="BE163" s="141">
        <f ca="1">IFERROR(__xludf.DUMMYFUNCTION("""COMPUTED_VALUE"""),44254)</f>
        <v>44254</v>
      </c>
      <c r="BF163" s="141">
        <f ca="1">IFERROR(__xludf.DUMMYFUNCTION("""COMPUTED_VALUE"""),44435)</f>
        <v>44435</v>
      </c>
      <c r="BG163" s="141">
        <f ca="1">IFERROR(__xludf.DUMMYFUNCTION("""COMPUTED_VALUE"""),44984)</f>
        <v>44984</v>
      </c>
      <c r="BH163" s="40" t="str">
        <f ca="1">IFERROR(__xludf.DUMMYFUNCTION("""COMPUTED_VALUE"""),"FICHA EN TIEMPO-18 MESES")</f>
        <v>FICHA EN TIEMPO-18 MESES</v>
      </c>
      <c r="BI163" s="40" t="str">
        <f ca="1">IFERROR(__xludf.DUMMYFUNCTION("""COMPUTED_VALUE"""),"Terminada por fecha")</f>
        <v>Terminada por fecha</v>
      </c>
      <c r="BJ163" s="40" t="str">
        <f ca="1">IFERROR(__xludf.DUMMYFUNCTION("""COMPUTED_VALUE"""),"Yamboro")</f>
        <v>Yamboro</v>
      </c>
      <c r="BK163" s="40"/>
      <c r="BL163" s="40"/>
    </row>
    <row r="164" spans="1:64" ht="13">
      <c r="A164" s="40"/>
      <c r="B164" s="40" t="str">
        <f ca="1">IFERROR(__xludf.DUMMYFUNCTION("""COMPUTED_VALUE"""),"FORMACIÓN 06/09/2022")</f>
        <v>FORMACIÓN 06/09/2022</v>
      </c>
      <c r="C164" s="40" t="str">
        <f ca="1">IFERROR(__xludf.DUMMYFUNCTION("""COMPUTED_VALUE"""),"JUAN PABLO ESCARRAGA BUITRAGO")</f>
        <v>JUAN PABLO ESCARRAGA BUITRAGO</v>
      </c>
      <c r="D164" s="40" t="str">
        <f ca="1">IFERROR(__xludf.DUMMYFUNCTION("""COMPUTED_VALUE"""),"CC")</f>
        <v>CC</v>
      </c>
      <c r="E164" s="40">
        <f ca="1">IFERROR(__xludf.DUMMYFUNCTION("""COMPUTED_VALUE"""),1070018208)</f>
        <v>1070018208</v>
      </c>
      <c r="F164" s="40">
        <f ca="1">IFERROR(__xludf.DUMMYFUNCTION("""COMPUTED_VALUE"""),1966052)</f>
        <v>1966052</v>
      </c>
      <c r="G164" s="40" t="str">
        <f ca="1">IFERROR(__xludf.DUMMYFUNCTION("""COMPUTED_VALUE"""),"TECNÓLOGO")</f>
        <v>TECNÓLOGO</v>
      </c>
      <c r="H164" s="40" t="str">
        <f ca="1">IFERROR(__xludf.DUMMYFUNCTION("""COMPUTED_VALUE"""),"PRODUCCION DE MULTIMEDIA")</f>
        <v>PRODUCCION DE MULTIMEDIA</v>
      </c>
      <c r="I164" s="40"/>
      <c r="J164" s="40"/>
      <c r="K164" s="40"/>
      <c r="L164" s="40" t="str">
        <f ca="1">IFERROR(__xludf.DUMMYFUNCTION("""COMPUTED_VALUE"""),"NO HA INICIADO ETAPA PRODUCTIVA")</f>
        <v>NO HA INICIADO ETAPA PRODUCTIVA</v>
      </c>
      <c r="M164" s="40"/>
      <c r="N164" s="40"/>
      <c r="O164" s="40"/>
      <c r="P164" s="40"/>
      <c r="Q164" s="40"/>
      <c r="R164" s="140"/>
      <c r="S164" s="140"/>
      <c r="T164" s="40"/>
      <c r="U164" s="40" t="str">
        <f ca="1">IFERROR(__xludf.DUMMYFUNCTION("""COMPUTED_VALUE"""),"Diana Ávila")</f>
        <v>Diana Ávila</v>
      </c>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t="str">
        <f ca="1">IFERROR(__xludf.DUMMYFUNCTION("""COMPUTED_VALUE"""),"Procede_E_P")</f>
        <v>Procede_E_P</v>
      </c>
      <c r="AV164" s="40" t="str">
        <f ca="1">IFERROR(__xludf.DUMMYFUNCTION("""COMPUTED_VALUE"""),"EN FORMACION")</f>
        <v>EN FORMACION</v>
      </c>
      <c r="AW164" s="40" t="str">
        <f ca="1">IFERROR(__xludf.DUMMYFUNCTION("""COMPUTED_VALUE"""),"TIC")</f>
        <v>TIC</v>
      </c>
      <c r="AX164" s="141">
        <f ca="1">IFERROR(__xludf.DUMMYFUNCTION("""COMPUTED_VALUE"""),44848)</f>
        <v>44848</v>
      </c>
      <c r="AY164" s="40">
        <f ca="1">IFERROR(__xludf.DUMMYFUNCTION("""COMPUTED_VALUE"""),0)</f>
        <v>0</v>
      </c>
      <c r="AZ164" s="40">
        <f ca="1">IFERROR(__xludf.DUMMYFUNCTION("""COMPUTED_VALUE"""),1)</f>
        <v>1</v>
      </c>
      <c r="BA164" s="40">
        <f ca="1">IFERROR(__xludf.DUMMYFUNCTION("""COMPUTED_VALUE"""),0)</f>
        <v>0</v>
      </c>
      <c r="BB164" s="40">
        <f ca="1">IFERROR(__xludf.DUMMYFUNCTION("""COMPUTED_VALUE"""),0)</f>
        <v>0</v>
      </c>
      <c r="BC164" s="40">
        <f ca="1">IFERROR(__xludf.DUMMYFUNCTION("""COMPUTED_VALUE"""),1)</f>
        <v>1</v>
      </c>
      <c r="BD164" s="141">
        <f ca="1">IFERROR(__xludf.DUMMYFUNCTION("""COMPUTED_VALUE"""),43704)</f>
        <v>43704</v>
      </c>
      <c r="BE164" s="141">
        <f ca="1">IFERROR(__xludf.DUMMYFUNCTION("""COMPUTED_VALUE"""),44254)</f>
        <v>44254</v>
      </c>
      <c r="BF164" s="141">
        <f ca="1">IFERROR(__xludf.DUMMYFUNCTION("""COMPUTED_VALUE"""),44435)</f>
        <v>44435</v>
      </c>
      <c r="BG164" s="141">
        <f ca="1">IFERROR(__xludf.DUMMYFUNCTION("""COMPUTED_VALUE"""),44984)</f>
        <v>44984</v>
      </c>
      <c r="BH164" s="40" t="str">
        <f ca="1">IFERROR(__xludf.DUMMYFUNCTION("""COMPUTED_VALUE"""),"FICHA EN TIEMPO-18 MESES")</f>
        <v>FICHA EN TIEMPO-18 MESES</v>
      </c>
      <c r="BI164" s="40" t="str">
        <f ca="1">IFERROR(__xludf.DUMMYFUNCTION("""COMPUTED_VALUE"""),"Terminada por fecha")</f>
        <v>Terminada por fecha</v>
      </c>
      <c r="BJ164" s="40" t="str">
        <f ca="1">IFERROR(__xludf.DUMMYFUNCTION("""COMPUTED_VALUE"""),"Yamboro")</f>
        <v>Yamboro</v>
      </c>
      <c r="BK164" s="40"/>
      <c r="BL164" s="40"/>
    </row>
    <row r="165" spans="1:64" ht="13">
      <c r="A165" s="40"/>
      <c r="B165" s="40" t="str">
        <f ca="1">IFERROR(__xludf.DUMMYFUNCTION("""COMPUTED_VALUE"""),"FORMACIÓN 25/08/2022")</f>
        <v>FORMACIÓN 25/08/2022</v>
      </c>
      <c r="C165" s="40" t="str">
        <f ca="1">IFERROR(__xludf.DUMMYFUNCTION("""COMPUTED_VALUE"""),"ANDRES FELIPE CORDOBA IMBACHI")</f>
        <v>ANDRES FELIPE CORDOBA IMBACHI</v>
      </c>
      <c r="D165" s="40" t="str">
        <f ca="1">IFERROR(__xludf.DUMMYFUNCTION("""COMPUTED_VALUE"""),"TI")</f>
        <v>TI</v>
      </c>
      <c r="E165" s="40">
        <f ca="1">IFERROR(__xludf.DUMMYFUNCTION("""COMPUTED_VALUE"""),1004440247)</f>
        <v>1004440247</v>
      </c>
      <c r="F165" s="40">
        <f ca="1">IFERROR(__xludf.DUMMYFUNCTION("""COMPUTED_VALUE"""),1853739)</f>
        <v>1853739</v>
      </c>
      <c r="G165" s="40" t="str">
        <f ca="1">IFERROR(__xludf.DUMMYFUNCTION("""COMPUTED_VALUE"""),"TÉCNICO")</f>
        <v>TÉCNICO</v>
      </c>
      <c r="H165" s="40" t="str">
        <f ca="1">IFERROR(__xludf.DUMMYFUNCTION("""COMPUTED_VALUE"""),"SISTEMAS")</f>
        <v>SISTEMAS</v>
      </c>
      <c r="I165" s="40">
        <f ca="1">IFERROR(__xludf.DUMMYFUNCTION("""COMPUTED_VALUE"""),3142781874)</f>
        <v>3142781874</v>
      </c>
      <c r="J165" s="40" t="str">
        <f ca="1">IFERROR(__xludf.DUMMYFUNCTION("""COMPUTED_VALUE"""),"andresfelipec932@gmail.com")</f>
        <v>andresfelipec932@gmail.com</v>
      </c>
      <c r="K165" s="40"/>
      <c r="L165" s="40" t="str">
        <f ca="1">IFERROR(__xludf.DUMMYFUNCTION("""COMPUTED_VALUE"""),"PASANTÍAS")</f>
        <v>PASANTÍAS</v>
      </c>
      <c r="M165" s="40" t="str">
        <f ca="1">IFERROR(__xludf.DUMMYFUNCTION("""COMPUTED_VALUE"""),"INSTITUCIÓN EDUCATIVA BELEN")</f>
        <v>INSTITUCIÓN EDUCATIVA BELEN</v>
      </c>
      <c r="N165" s="40" t="str">
        <f ca="1">IFERROR(__xludf.DUMMYFUNCTION("""COMPUTED_VALUE"""),"ISNOS")</f>
        <v>ISNOS</v>
      </c>
      <c r="O165" s="40">
        <f ca="1">IFERROR(__xludf.DUMMYFUNCTION("""COMPUTED_VALUE"""),3186693084)</f>
        <v>3186693084</v>
      </c>
      <c r="P165" s="40" t="str">
        <f ca="1">IFERROR(__xludf.DUMMYFUNCTION("""COMPUTED_VALUE"""),"ISNOS")</f>
        <v>ISNOS</v>
      </c>
      <c r="Q165" s="40" t="str">
        <f ca="1">IFERROR(__xludf.DUMMYFUNCTION("""COMPUTED_VALUE"""),"institucionbelen.isnos@gmail.com")</f>
        <v>institucionbelen.isnos@gmail.com</v>
      </c>
      <c r="R165" s="140">
        <f ca="1">IFERROR(__xludf.DUMMYFUNCTION("""COMPUTED_VALUE"""),43891)</f>
        <v>43891</v>
      </c>
      <c r="S165" s="140">
        <f ca="1">IFERROR(__xludf.DUMMYFUNCTION("""COMPUTED_VALUE"""),44074)</f>
        <v>44074</v>
      </c>
      <c r="T165" s="40" t="str">
        <f ca="1">IFERROR(__xludf.DUMMYFUNCTION("""COMPUTED_VALUE""")," No ha sido posible ubicar por ningún medio sigo en proceso de búsqueda(norma perez)")</f>
        <v xml:space="preserve"> No ha sido posible ubicar por ningún medio sigo en proceso de búsqueda(norma perez)</v>
      </c>
      <c r="U165" s="40"/>
      <c r="V165" s="40" t="str">
        <f ca="1">IFERROR(__xludf.DUMMYFUNCTION("""COMPUTED_VALUE"""),"No tiene seguimiento ...Revisado 25/04/2022")</f>
        <v>No tiene seguimiento ...Revisado 25/04/2022</v>
      </c>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t="str">
        <f ca="1">IFERROR(__xludf.DUMMYFUNCTION("""COMPUTED_VALUE"""),"Procede_E_P")</f>
        <v>Procede_E_P</v>
      </c>
      <c r="AV165" s="40" t="str">
        <f ca="1">IFERROR(__xludf.DUMMYFUNCTION("""COMPUTED_VALUE"""),"EN FORMACION")</f>
        <v>EN FORMACION</v>
      </c>
      <c r="AW165" s="40" t="str">
        <f ca="1">IFERROR(__xludf.DUMMYFUNCTION("""COMPUTED_VALUE"""),"TIC")</f>
        <v>TIC</v>
      </c>
      <c r="AX165" s="141">
        <f ca="1">IFERROR(__xludf.DUMMYFUNCTION("""COMPUTED_VALUE"""),44848)</f>
        <v>44848</v>
      </c>
      <c r="AY165" s="40">
        <f ca="1">IFERROR(__xludf.DUMMYFUNCTION("""COMPUTED_VALUE"""),0)</f>
        <v>0</v>
      </c>
      <c r="AZ165" s="40">
        <f ca="1">IFERROR(__xludf.DUMMYFUNCTION("""COMPUTED_VALUE"""),1)</f>
        <v>1</v>
      </c>
      <c r="BA165" s="40">
        <f ca="1">IFERROR(__xludf.DUMMYFUNCTION("""COMPUTED_VALUE"""),0)</f>
        <v>0</v>
      </c>
      <c r="BB165" s="40">
        <f ca="1">IFERROR(__xludf.DUMMYFUNCTION("""COMPUTED_VALUE"""),0)</f>
        <v>0</v>
      </c>
      <c r="BC165" s="40">
        <f ca="1">IFERROR(__xludf.DUMMYFUNCTION("""COMPUTED_VALUE"""),1)</f>
        <v>1</v>
      </c>
      <c r="BD165" s="141">
        <f ca="1">IFERROR(__xludf.DUMMYFUNCTION("""COMPUTED_VALUE"""),43531)</f>
        <v>43531</v>
      </c>
      <c r="BE165" s="141">
        <f ca="1">IFERROR(__xludf.DUMMYFUNCTION("""COMPUTED_VALUE"""),43715)</f>
        <v>43715</v>
      </c>
      <c r="BF165" s="141">
        <f ca="1">IFERROR(__xludf.DUMMYFUNCTION("""COMPUTED_VALUE"""),43897)</f>
        <v>43897</v>
      </c>
      <c r="BG165" s="141">
        <f ca="1">IFERROR(__xludf.DUMMYFUNCTION("""COMPUTED_VALUE"""),44446)</f>
        <v>44446</v>
      </c>
      <c r="BH165" s="40" t="str">
        <f ca="1">IFERROR(__xludf.DUMMYFUNCTION("""COMPUTED_VALUE"""),"FINALIZAR FICHA")</f>
        <v>FINALIZAR FICHA</v>
      </c>
      <c r="BI165" s="40" t="str">
        <f ca="1">IFERROR(__xludf.DUMMYFUNCTION("""COMPUTED_VALUE"""),"Terminada por Fecha     ")</f>
        <v xml:space="preserve">Terminada por Fecha     </v>
      </c>
      <c r="BJ165" s="40" t="str">
        <f ca="1">IFERROR(__xludf.DUMMYFUNCTION("""COMPUTED_VALUE"""),"Yamboro")</f>
        <v>Yamboro</v>
      </c>
      <c r="BK165" s="40"/>
      <c r="BL165" s="40"/>
    </row>
    <row r="166" spans="1:64" ht="13">
      <c r="A166" s="40"/>
      <c r="B166" s="40" t="str">
        <f ca="1">IFERROR(__xludf.DUMMYFUNCTION("""COMPUTED_VALUE"""),"FORMACIÓN 25/08/2022")</f>
        <v>FORMACIÓN 25/08/2022</v>
      </c>
      <c r="C166" s="40" t="str">
        <f ca="1">IFERROR(__xludf.DUMMYFUNCTION("""COMPUTED_VALUE"""),"NELSON DELGADO BOLAÑOS")</f>
        <v>NELSON DELGADO BOLAÑOS</v>
      </c>
      <c r="D166" s="40" t="str">
        <f ca="1">IFERROR(__xludf.DUMMYFUNCTION("""COMPUTED_VALUE"""),"CC")</f>
        <v>CC</v>
      </c>
      <c r="E166" s="40">
        <f ca="1">IFERROR(__xludf.DUMMYFUNCTION("""COMPUTED_VALUE"""),94385088)</f>
        <v>94385088</v>
      </c>
      <c r="F166" s="40">
        <f ca="1">IFERROR(__xludf.DUMMYFUNCTION("""COMPUTED_VALUE"""),1853739)</f>
        <v>1853739</v>
      </c>
      <c r="G166" s="40" t="str">
        <f ca="1">IFERROR(__xludf.DUMMYFUNCTION("""COMPUTED_VALUE"""),"TÉCNICO")</f>
        <v>TÉCNICO</v>
      </c>
      <c r="H166" s="40" t="str">
        <f ca="1">IFERROR(__xludf.DUMMYFUNCTION("""COMPUTED_VALUE"""),"SISTEMAS")</f>
        <v>SISTEMAS</v>
      </c>
      <c r="I166" s="40"/>
      <c r="J166" s="40" t="str">
        <f ca="1">IFERROR(__xludf.DUMMYFUNCTION("""COMPUTED_VALUE"""),"nedelgadobolanos@misena.edu.co")</f>
        <v>nedelgadobolanos@misena.edu.co</v>
      </c>
      <c r="K166" s="40"/>
      <c r="L166" s="40" t="str">
        <f ca="1">IFERROR(__xludf.DUMMYFUNCTION("""COMPUTED_VALUE"""),"PASANTÍAS")</f>
        <v>PASANTÍAS</v>
      </c>
      <c r="M166" s="40" t="str">
        <f ca="1">IFERROR(__xludf.DUMMYFUNCTION("""COMPUTED_VALUE"""),"INSTITUCIÓN EDUCATIVA BELÉN")</f>
        <v>INSTITUCIÓN EDUCATIVA BELÉN</v>
      </c>
      <c r="N166" s="40" t="str">
        <f ca="1">IFERROR(__xludf.DUMMYFUNCTION("""COMPUTED_VALUE"""),"ISNOS")</f>
        <v>ISNOS</v>
      </c>
      <c r="O166" s="40">
        <f ca="1">IFERROR(__xludf.DUMMYFUNCTION("""COMPUTED_VALUE"""),3186693084)</f>
        <v>3186693084</v>
      </c>
      <c r="P166" s="40" t="str">
        <f ca="1">IFERROR(__xludf.DUMMYFUNCTION("""COMPUTED_VALUE"""),"ISNOS")</f>
        <v>ISNOS</v>
      </c>
      <c r="Q166" s="40" t="str">
        <f ca="1">IFERROR(__xludf.DUMMYFUNCTION("""COMPUTED_VALUE"""),"institucionbelen.isnos@gmail.com")</f>
        <v>institucionbelen.isnos@gmail.com</v>
      </c>
      <c r="R166" s="140">
        <f ca="1">IFERROR(__xludf.DUMMYFUNCTION("""COMPUTED_VALUE"""),43759)</f>
        <v>43759</v>
      </c>
      <c r="S166" s="140">
        <f ca="1">IFERROR(__xludf.DUMMYFUNCTION("""COMPUTED_VALUE"""),43942)</f>
        <v>43942</v>
      </c>
      <c r="T166" s="40" t="str">
        <f ca="1">IFERROR(__xludf.DUMMYFUNCTION("""COMPUTED_VALUE"""),"o ha sido posible ubicar por ningún medio. Sigo en proceso de búsqueda.( norma perez)")</f>
        <v>o ha sido posible ubicar por ningún medio. Sigo en proceso de búsqueda.( norma perez)</v>
      </c>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t="str">
        <f ca="1">IFERROR(__xludf.DUMMYFUNCTION("""COMPUTED_VALUE"""),"Procede_E_P")</f>
        <v>Procede_E_P</v>
      </c>
      <c r="AV166" s="40" t="str">
        <f ca="1">IFERROR(__xludf.DUMMYFUNCTION("""COMPUTED_VALUE"""),"EN FORMACION")</f>
        <v>EN FORMACION</v>
      </c>
      <c r="AW166" s="40" t="str">
        <f ca="1">IFERROR(__xludf.DUMMYFUNCTION("""COMPUTED_VALUE"""),"TIC")</f>
        <v>TIC</v>
      </c>
      <c r="AX166" s="141">
        <f ca="1">IFERROR(__xludf.DUMMYFUNCTION("""COMPUTED_VALUE"""),44848)</f>
        <v>44848</v>
      </c>
      <c r="AY166" s="40">
        <f ca="1">IFERROR(__xludf.DUMMYFUNCTION("""COMPUTED_VALUE"""),0)</f>
        <v>0</v>
      </c>
      <c r="AZ166" s="40">
        <f ca="1">IFERROR(__xludf.DUMMYFUNCTION("""COMPUTED_VALUE"""),1)</f>
        <v>1</v>
      </c>
      <c r="BA166" s="40">
        <f ca="1">IFERROR(__xludf.DUMMYFUNCTION("""COMPUTED_VALUE"""),0)</f>
        <v>0</v>
      </c>
      <c r="BB166" s="40">
        <f ca="1">IFERROR(__xludf.DUMMYFUNCTION("""COMPUTED_VALUE"""),0)</f>
        <v>0</v>
      </c>
      <c r="BC166" s="40">
        <f ca="1">IFERROR(__xludf.DUMMYFUNCTION("""COMPUTED_VALUE"""),1)</f>
        <v>1</v>
      </c>
      <c r="BD166" s="141">
        <f ca="1">IFERROR(__xludf.DUMMYFUNCTION("""COMPUTED_VALUE"""),43531)</f>
        <v>43531</v>
      </c>
      <c r="BE166" s="141">
        <f ca="1">IFERROR(__xludf.DUMMYFUNCTION("""COMPUTED_VALUE"""),43715)</f>
        <v>43715</v>
      </c>
      <c r="BF166" s="141">
        <f ca="1">IFERROR(__xludf.DUMMYFUNCTION("""COMPUTED_VALUE"""),43897)</f>
        <v>43897</v>
      </c>
      <c r="BG166" s="141">
        <f ca="1">IFERROR(__xludf.DUMMYFUNCTION("""COMPUTED_VALUE"""),44446)</f>
        <v>44446</v>
      </c>
      <c r="BH166" s="40" t="str">
        <f ca="1">IFERROR(__xludf.DUMMYFUNCTION("""COMPUTED_VALUE"""),"FINALIZAR FICHA")</f>
        <v>FINALIZAR FICHA</v>
      </c>
      <c r="BI166" s="40" t="str">
        <f ca="1">IFERROR(__xludf.DUMMYFUNCTION("""COMPUTED_VALUE"""),"Terminada por Fecha     ")</f>
        <v xml:space="preserve">Terminada por Fecha     </v>
      </c>
      <c r="BJ166" s="40" t="str">
        <f ca="1">IFERROR(__xludf.DUMMYFUNCTION("""COMPUTED_VALUE"""),"Yamboro")</f>
        <v>Yamboro</v>
      </c>
      <c r="BK166" s="40"/>
      <c r="BL166" s="40"/>
    </row>
    <row r="167" spans="1:64" ht="13">
      <c r="A167" s="40"/>
      <c r="B167" s="40" t="str">
        <f ca="1">IFERROR(__xludf.DUMMYFUNCTION("""COMPUTED_VALUE"""),"FORMACIÓN 25/08/2022")</f>
        <v>FORMACIÓN 25/08/2022</v>
      </c>
      <c r="C167" s="40" t="str">
        <f ca="1">IFERROR(__xludf.DUMMYFUNCTION("""COMPUTED_VALUE"""),"STEFANY SOFIA ENRIQUEZ GUACA")</f>
        <v>STEFANY SOFIA ENRIQUEZ GUACA</v>
      </c>
      <c r="D167" s="40" t="str">
        <f ca="1">IFERROR(__xludf.DUMMYFUNCTION("""COMPUTED_VALUE"""),"TI")</f>
        <v>TI</v>
      </c>
      <c r="E167" s="40">
        <f ca="1">IFERROR(__xludf.DUMMYFUNCTION("""COMPUTED_VALUE"""),1004440427)</f>
        <v>1004440427</v>
      </c>
      <c r="F167" s="40">
        <f ca="1">IFERROR(__xludf.DUMMYFUNCTION("""COMPUTED_VALUE"""),1853739)</f>
        <v>1853739</v>
      </c>
      <c r="G167" s="40" t="str">
        <f ca="1">IFERROR(__xludf.DUMMYFUNCTION("""COMPUTED_VALUE"""),"TÉCNICO")</f>
        <v>TÉCNICO</v>
      </c>
      <c r="H167" s="40" t="str">
        <f ca="1">IFERROR(__xludf.DUMMYFUNCTION("""COMPUTED_VALUE"""),"SISTEMAS")</f>
        <v>SISTEMAS</v>
      </c>
      <c r="I167" s="40"/>
      <c r="J167" s="40"/>
      <c r="K167" s="40"/>
      <c r="L167" s="40" t="str">
        <f ca="1">IFERROR(__xludf.DUMMYFUNCTION("""COMPUTED_VALUE"""),"NO HA INICIADO ETAPA PRODUCTIVA")</f>
        <v>NO HA INICIADO ETAPA PRODUCTIVA</v>
      </c>
      <c r="M167" s="40"/>
      <c r="N167" s="40"/>
      <c r="O167" s="40"/>
      <c r="P167" s="40"/>
      <c r="Q167" s="40"/>
      <c r="R167" s="140"/>
      <c r="S167" s="1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t="str">
        <f ca="1">IFERROR(__xludf.DUMMYFUNCTION("""COMPUTED_VALUE"""),"Procede_E_P")</f>
        <v>Procede_E_P</v>
      </c>
      <c r="AV167" s="40" t="str">
        <f ca="1">IFERROR(__xludf.DUMMYFUNCTION("""COMPUTED_VALUE"""),"EN FORMACION")</f>
        <v>EN FORMACION</v>
      </c>
      <c r="AW167" s="40" t="str">
        <f ca="1">IFERROR(__xludf.DUMMYFUNCTION("""COMPUTED_VALUE"""),"TIC")</f>
        <v>TIC</v>
      </c>
      <c r="AX167" s="141">
        <f ca="1">IFERROR(__xludf.DUMMYFUNCTION("""COMPUTED_VALUE"""),44848)</f>
        <v>44848</v>
      </c>
      <c r="AY167" s="40">
        <f ca="1">IFERROR(__xludf.DUMMYFUNCTION("""COMPUTED_VALUE"""),0)</f>
        <v>0</v>
      </c>
      <c r="AZ167" s="40">
        <f ca="1">IFERROR(__xludf.DUMMYFUNCTION("""COMPUTED_VALUE"""),1)</f>
        <v>1</v>
      </c>
      <c r="BA167" s="40">
        <f ca="1">IFERROR(__xludf.DUMMYFUNCTION("""COMPUTED_VALUE"""),0)</f>
        <v>0</v>
      </c>
      <c r="BB167" s="40">
        <f ca="1">IFERROR(__xludf.DUMMYFUNCTION("""COMPUTED_VALUE"""),0)</f>
        <v>0</v>
      </c>
      <c r="BC167" s="40">
        <f ca="1">IFERROR(__xludf.DUMMYFUNCTION("""COMPUTED_VALUE"""),1)</f>
        <v>1</v>
      </c>
      <c r="BD167" s="141">
        <f ca="1">IFERROR(__xludf.DUMMYFUNCTION("""COMPUTED_VALUE"""),43531)</f>
        <v>43531</v>
      </c>
      <c r="BE167" s="141">
        <f ca="1">IFERROR(__xludf.DUMMYFUNCTION("""COMPUTED_VALUE"""),43715)</f>
        <v>43715</v>
      </c>
      <c r="BF167" s="141">
        <f ca="1">IFERROR(__xludf.DUMMYFUNCTION("""COMPUTED_VALUE"""),43897)</f>
        <v>43897</v>
      </c>
      <c r="BG167" s="141">
        <f ca="1">IFERROR(__xludf.DUMMYFUNCTION("""COMPUTED_VALUE"""),44446)</f>
        <v>44446</v>
      </c>
      <c r="BH167" s="40" t="str">
        <f ca="1">IFERROR(__xludf.DUMMYFUNCTION("""COMPUTED_VALUE"""),"FINALIZAR FICHA")</f>
        <v>FINALIZAR FICHA</v>
      </c>
      <c r="BI167" s="40" t="str">
        <f ca="1">IFERROR(__xludf.DUMMYFUNCTION("""COMPUTED_VALUE"""),"Terminada por Fecha     ")</f>
        <v xml:space="preserve">Terminada por Fecha     </v>
      </c>
      <c r="BJ167" s="40" t="str">
        <f ca="1">IFERROR(__xludf.DUMMYFUNCTION("""COMPUTED_VALUE"""),"Yamboro")</f>
        <v>Yamboro</v>
      </c>
      <c r="BK167" s="40"/>
      <c r="BL167" s="40"/>
    </row>
    <row r="168" spans="1:64" ht="13">
      <c r="A168" s="40"/>
      <c r="B168" s="40" t="str">
        <f ca="1">IFERROR(__xludf.DUMMYFUNCTION("""COMPUTED_VALUE"""),"FORMACIÓN 25/08/2022")</f>
        <v>FORMACIÓN 25/08/2022</v>
      </c>
      <c r="C168" s="40" t="str">
        <f ca="1">IFERROR(__xludf.DUMMYFUNCTION("""COMPUTED_VALUE"""),"LUIS GIOVANNY BUESAQUILLO NAVIA")</f>
        <v>LUIS GIOVANNY BUESAQUILLO NAVIA</v>
      </c>
      <c r="D168" s="40" t="str">
        <f ca="1">IFERROR(__xludf.DUMMYFUNCTION("""COMPUTED_VALUE"""),"CC")</f>
        <v>CC</v>
      </c>
      <c r="E168" s="40">
        <f ca="1">IFERROR(__xludf.DUMMYFUNCTION("""COMPUTED_VALUE"""),1004441128)</f>
        <v>1004441128</v>
      </c>
      <c r="F168" s="40">
        <f ca="1">IFERROR(__xludf.DUMMYFUNCTION("""COMPUTED_VALUE"""),1853739)</f>
        <v>1853739</v>
      </c>
      <c r="G168" s="40" t="str">
        <f ca="1">IFERROR(__xludf.DUMMYFUNCTION("""COMPUTED_VALUE"""),"TÉCNICO")</f>
        <v>TÉCNICO</v>
      </c>
      <c r="H168" s="40" t="str">
        <f ca="1">IFERROR(__xludf.DUMMYFUNCTION("""COMPUTED_VALUE"""),"SISTEMAS")</f>
        <v>SISTEMAS</v>
      </c>
      <c r="I168" s="40"/>
      <c r="J168" s="40"/>
      <c r="K168" s="40"/>
      <c r="L168" s="40" t="str">
        <f ca="1">IFERROR(__xludf.DUMMYFUNCTION("""COMPUTED_VALUE"""),"NO HA INICIADO ETAPA PRODUCTIVA")</f>
        <v>NO HA INICIADO ETAPA PRODUCTIVA</v>
      </c>
      <c r="M168" s="40"/>
      <c r="N168" s="40"/>
      <c r="O168" s="40"/>
      <c r="P168" s="40"/>
      <c r="Q168" s="40"/>
      <c r="R168" s="140"/>
      <c r="S168" s="1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t="str">
        <f ca="1">IFERROR(__xludf.DUMMYFUNCTION("""COMPUTED_VALUE"""),"Procede_E_P")</f>
        <v>Procede_E_P</v>
      </c>
      <c r="AV168" s="40" t="str">
        <f ca="1">IFERROR(__xludf.DUMMYFUNCTION("""COMPUTED_VALUE"""),"EN FORMACION")</f>
        <v>EN FORMACION</v>
      </c>
      <c r="AW168" s="40" t="str">
        <f ca="1">IFERROR(__xludf.DUMMYFUNCTION("""COMPUTED_VALUE"""),"TIC")</f>
        <v>TIC</v>
      </c>
      <c r="AX168" s="141">
        <f ca="1">IFERROR(__xludf.DUMMYFUNCTION("""COMPUTED_VALUE"""),44848)</f>
        <v>44848</v>
      </c>
      <c r="AY168" s="40">
        <f ca="1">IFERROR(__xludf.DUMMYFUNCTION("""COMPUTED_VALUE"""),0)</f>
        <v>0</v>
      </c>
      <c r="AZ168" s="40">
        <f ca="1">IFERROR(__xludf.DUMMYFUNCTION("""COMPUTED_VALUE"""),1)</f>
        <v>1</v>
      </c>
      <c r="BA168" s="40">
        <f ca="1">IFERROR(__xludf.DUMMYFUNCTION("""COMPUTED_VALUE"""),0)</f>
        <v>0</v>
      </c>
      <c r="BB168" s="40">
        <f ca="1">IFERROR(__xludf.DUMMYFUNCTION("""COMPUTED_VALUE"""),0)</f>
        <v>0</v>
      </c>
      <c r="BC168" s="40">
        <f ca="1">IFERROR(__xludf.DUMMYFUNCTION("""COMPUTED_VALUE"""),1)</f>
        <v>1</v>
      </c>
      <c r="BD168" s="141">
        <f ca="1">IFERROR(__xludf.DUMMYFUNCTION("""COMPUTED_VALUE"""),43531)</f>
        <v>43531</v>
      </c>
      <c r="BE168" s="141">
        <f ca="1">IFERROR(__xludf.DUMMYFUNCTION("""COMPUTED_VALUE"""),43715)</f>
        <v>43715</v>
      </c>
      <c r="BF168" s="141">
        <f ca="1">IFERROR(__xludf.DUMMYFUNCTION("""COMPUTED_VALUE"""),43897)</f>
        <v>43897</v>
      </c>
      <c r="BG168" s="141">
        <f ca="1">IFERROR(__xludf.DUMMYFUNCTION("""COMPUTED_VALUE"""),44446)</f>
        <v>44446</v>
      </c>
      <c r="BH168" s="40" t="str">
        <f ca="1">IFERROR(__xludf.DUMMYFUNCTION("""COMPUTED_VALUE"""),"FINALIZAR FICHA")</f>
        <v>FINALIZAR FICHA</v>
      </c>
      <c r="BI168" s="40" t="str">
        <f ca="1">IFERROR(__xludf.DUMMYFUNCTION("""COMPUTED_VALUE"""),"Terminada por Fecha     ")</f>
        <v xml:space="preserve">Terminada por Fecha     </v>
      </c>
      <c r="BJ168" s="40" t="str">
        <f ca="1">IFERROR(__xludf.DUMMYFUNCTION("""COMPUTED_VALUE"""),"Yamboro")</f>
        <v>Yamboro</v>
      </c>
      <c r="BK168" s="40"/>
      <c r="BL168" s="40"/>
    </row>
    <row r="169" spans="1:64" ht="13">
      <c r="A169" s="40"/>
      <c r="B169" s="40" t="str">
        <f ca="1">IFERROR(__xludf.DUMMYFUNCTION("""COMPUTED_VALUE"""),"FORMACIÓN 25/08/2022")</f>
        <v>FORMACIÓN 25/08/2022</v>
      </c>
      <c r="C169" s="40" t="str">
        <f ca="1">IFERROR(__xludf.DUMMYFUNCTION("""COMPUTED_VALUE"""),"YURENA ALEXANDRA FAJARDO HOYOS")</f>
        <v>YURENA ALEXANDRA FAJARDO HOYOS</v>
      </c>
      <c r="D169" s="40" t="str">
        <f ca="1">IFERROR(__xludf.DUMMYFUNCTION("""COMPUTED_VALUE"""),"CC")</f>
        <v>CC</v>
      </c>
      <c r="E169" s="40">
        <f ca="1">IFERROR(__xludf.DUMMYFUNCTION("""COMPUTED_VALUE"""),1004441679)</f>
        <v>1004441679</v>
      </c>
      <c r="F169" s="40">
        <f ca="1">IFERROR(__xludf.DUMMYFUNCTION("""COMPUTED_VALUE"""),1853739)</f>
        <v>1853739</v>
      </c>
      <c r="G169" s="40" t="str">
        <f ca="1">IFERROR(__xludf.DUMMYFUNCTION("""COMPUTED_VALUE"""),"TÉCNICO")</f>
        <v>TÉCNICO</v>
      </c>
      <c r="H169" s="40" t="str">
        <f ca="1">IFERROR(__xludf.DUMMYFUNCTION("""COMPUTED_VALUE"""),"SISTEMAS")</f>
        <v>SISTEMAS</v>
      </c>
      <c r="I169" s="40"/>
      <c r="J169" s="40"/>
      <c r="K169" s="40"/>
      <c r="L169" s="40" t="str">
        <f ca="1">IFERROR(__xludf.DUMMYFUNCTION("""COMPUTED_VALUE"""),"NO HA INICIADO ETAPA PRODUCTIVA")</f>
        <v>NO HA INICIADO ETAPA PRODUCTIVA</v>
      </c>
      <c r="M169" s="40"/>
      <c r="N169" s="40"/>
      <c r="O169" s="40"/>
      <c r="P169" s="40"/>
      <c r="Q169" s="40"/>
      <c r="R169" s="140"/>
      <c r="S169" s="1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t="str">
        <f ca="1">IFERROR(__xludf.DUMMYFUNCTION("""COMPUTED_VALUE"""),"Procede_E_P")</f>
        <v>Procede_E_P</v>
      </c>
      <c r="AV169" s="40" t="str">
        <f ca="1">IFERROR(__xludf.DUMMYFUNCTION("""COMPUTED_VALUE"""),"EN FORMACION")</f>
        <v>EN FORMACION</v>
      </c>
      <c r="AW169" s="40" t="str">
        <f ca="1">IFERROR(__xludf.DUMMYFUNCTION("""COMPUTED_VALUE"""),"TIC")</f>
        <v>TIC</v>
      </c>
      <c r="AX169" s="141">
        <f ca="1">IFERROR(__xludf.DUMMYFUNCTION("""COMPUTED_VALUE"""),44848)</f>
        <v>44848</v>
      </c>
      <c r="AY169" s="40">
        <f ca="1">IFERROR(__xludf.DUMMYFUNCTION("""COMPUTED_VALUE"""),0)</f>
        <v>0</v>
      </c>
      <c r="AZ169" s="40">
        <f ca="1">IFERROR(__xludf.DUMMYFUNCTION("""COMPUTED_VALUE"""),1)</f>
        <v>1</v>
      </c>
      <c r="BA169" s="40">
        <f ca="1">IFERROR(__xludf.DUMMYFUNCTION("""COMPUTED_VALUE"""),0)</f>
        <v>0</v>
      </c>
      <c r="BB169" s="40">
        <f ca="1">IFERROR(__xludf.DUMMYFUNCTION("""COMPUTED_VALUE"""),0)</f>
        <v>0</v>
      </c>
      <c r="BC169" s="40">
        <f ca="1">IFERROR(__xludf.DUMMYFUNCTION("""COMPUTED_VALUE"""),1)</f>
        <v>1</v>
      </c>
      <c r="BD169" s="141">
        <f ca="1">IFERROR(__xludf.DUMMYFUNCTION("""COMPUTED_VALUE"""),43531)</f>
        <v>43531</v>
      </c>
      <c r="BE169" s="141">
        <f ca="1">IFERROR(__xludf.DUMMYFUNCTION("""COMPUTED_VALUE"""),43715)</f>
        <v>43715</v>
      </c>
      <c r="BF169" s="141">
        <f ca="1">IFERROR(__xludf.DUMMYFUNCTION("""COMPUTED_VALUE"""),43897)</f>
        <v>43897</v>
      </c>
      <c r="BG169" s="141">
        <f ca="1">IFERROR(__xludf.DUMMYFUNCTION("""COMPUTED_VALUE"""),44446)</f>
        <v>44446</v>
      </c>
      <c r="BH169" s="40" t="str">
        <f ca="1">IFERROR(__xludf.DUMMYFUNCTION("""COMPUTED_VALUE"""),"FINALIZAR FICHA")</f>
        <v>FINALIZAR FICHA</v>
      </c>
      <c r="BI169" s="40" t="str">
        <f ca="1">IFERROR(__xludf.DUMMYFUNCTION("""COMPUTED_VALUE"""),"Terminada por Fecha     ")</f>
        <v xml:space="preserve">Terminada por Fecha     </v>
      </c>
      <c r="BJ169" s="40" t="str">
        <f ca="1">IFERROR(__xludf.DUMMYFUNCTION("""COMPUTED_VALUE"""),"Yamboro")</f>
        <v>Yamboro</v>
      </c>
      <c r="BK169" s="40"/>
      <c r="BL169" s="40"/>
    </row>
    <row r="170" spans="1:64" ht="13">
      <c r="A170" s="40"/>
      <c r="B170" s="40" t="str">
        <f ca="1">IFERROR(__xludf.DUMMYFUNCTION("""COMPUTED_VALUE"""),"FORMACIÓN 25/08/2022")</f>
        <v>FORMACIÓN 25/08/2022</v>
      </c>
      <c r="C170" s="40" t="str">
        <f ca="1">IFERROR(__xludf.DUMMYFUNCTION("""COMPUTED_VALUE"""),"ANGELA MARCELA ENRIQUEZ SAMBONI")</f>
        <v>ANGELA MARCELA ENRIQUEZ SAMBONI</v>
      </c>
      <c r="D170" s="40" t="str">
        <f ca="1">IFERROR(__xludf.DUMMYFUNCTION("""COMPUTED_VALUE"""),"CC")</f>
        <v>CC</v>
      </c>
      <c r="E170" s="40">
        <f ca="1">IFERROR(__xludf.DUMMYFUNCTION("""COMPUTED_VALUE"""),1004442118)</f>
        <v>1004442118</v>
      </c>
      <c r="F170" s="40">
        <f ca="1">IFERROR(__xludf.DUMMYFUNCTION("""COMPUTED_VALUE"""),1853739)</f>
        <v>1853739</v>
      </c>
      <c r="G170" s="40" t="str">
        <f ca="1">IFERROR(__xludf.DUMMYFUNCTION("""COMPUTED_VALUE"""),"TÉCNICO")</f>
        <v>TÉCNICO</v>
      </c>
      <c r="H170" s="40" t="str">
        <f ca="1">IFERROR(__xludf.DUMMYFUNCTION("""COMPUTED_VALUE"""),"SISTEMAS")</f>
        <v>SISTEMAS</v>
      </c>
      <c r="I170" s="40"/>
      <c r="J170" s="40"/>
      <c r="K170" s="40"/>
      <c r="L170" s="40" t="str">
        <f ca="1">IFERROR(__xludf.DUMMYFUNCTION("""COMPUTED_VALUE"""),"NO HA INICIADO ETAPA PRODUCTIVA")</f>
        <v>NO HA INICIADO ETAPA PRODUCTIVA</v>
      </c>
      <c r="M170" s="40"/>
      <c r="N170" s="40"/>
      <c r="O170" s="40"/>
      <c r="P170" s="40"/>
      <c r="Q170" s="40"/>
      <c r="R170" s="140"/>
      <c r="S170" s="1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t="str">
        <f ca="1">IFERROR(__xludf.DUMMYFUNCTION("""COMPUTED_VALUE"""),"Procede_E_P")</f>
        <v>Procede_E_P</v>
      </c>
      <c r="AV170" s="40" t="str">
        <f ca="1">IFERROR(__xludf.DUMMYFUNCTION("""COMPUTED_VALUE"""),"EN FORMACION")</f>
        <v>EN FORMACION</v>
      </c>
      <c r="AW170" s="40" t="str">
        <f ca="1">IFERROR(__xludf.DUMMYFUNCTION("""COMPUTED_VALUE"""),"TIC")</f>
        <v>TIC</v>
      </c>
      <c r="AX170" s="141">
        <f ca="1">IFERROR(__xludf.DUMMYFUNCTION("""COMPUTED_VALUE"""),44848)</f>
        <v>44848</v>
      </c>
      <c r="AY170" s="40">
        <f ca="1">IFERROR(__xludf.DUMMYFUNCTION("""COMPUTED_VALUE"""),0)</f>
        <v>0</v>
      </c>
      <c r="AZ170" s="40">
        <f ca="1">IFERROR(__xludf.DUMMYFUNCTION("""COMPUTED_VALUE"""),1)</f>
        <v>1</v>
      </c>
      <c r="BA170" s="40">
        <f ca="1">IFERROR(__xludf.DUMMYFUNCTION("""COMPUTED_VALUE"""),0)</f>
        <v>0</v>
      </c>
      <c r="BB170" s="40">
        <f ca="1">IFERROR(__xludf.DUMMYFUNCTION("""COMPUTED_VALUE"""),0)</f>
        <v>0</v>
      </c>
      <c r="BC170" s="40">
        <f ca="1">IFERROR(__xludf.DUMMYFUNCTION("""COMPUTED_VALUE"""),1)</f>
        <v>1</v>
      </c>
      <c r="BD170" s="141">
        <f ca="1">IFERROR(__xludf.DUMMYFUNCTION("""COMPUTED_VALUE"""),43531)</f>
        <v>43531</v>
      </c>
      <c r="BE170" s="141">
        <f ca="1">IFERROR(__xludf.DUMMYFUNCTION("""COMPUTED_VALUE"""),43715)</f>
        <v>43715</v>
      </c>
      <c r="BF170" s="141">
        <f ca="1">IFERROR(__xludf.DUMMYFUNCTION("""COMPUTED_VALUE"""),43897)</f>
        <v>43897</v>
      </c>
      <c r="BG170" s="141">
        <f ca="1">IFERROR(__xludf.DUMMYFUNCTION("""COMPUTED_VALUE"""),44446)</f>
        <v>44446</v>
      </c>
      <c r="BH170" s="40" t="str">
        <f ca="1">IFERROR(__xludf.DUMMYFUNCTION("""COMPUTED_VALUE"""),"FINALIZAR FICHA")</f>
        <v>FINALIZAR FICHA</v>
      </c>
      <c r="BI170" s="40" t="str">
        <f ca="1">IFERROR(__xludf.DUMMYFUNCTION("""COMPUTED_VALUE"""),"Terminada por Fecha     ")</f>
        <v xml:space="preserve">Terminada por Fecha     </v>
      </c>
      <c r="BJ170" s="40" t="str">
        <f ca="1">IFERROR(__xludf.DUMMYFUNCTION("""COMPUTED_VALUE"""),"Yamboro")</f>
        <v>Yamboro</v>
      </c>
      <c r="BK170" s="40"/>
      <c r="BL170" s="40"/>
    </row>
    <row r="171" spans="1:64" ht="13">
      <c r="A171" s="40"/>
      <c r="B171" s="40" t="str">
        <f ca="1">IFERROR(__xludf.DUMMYFUNCTION("""COMPUTED_VALUE"""),"FORMACIÓN 25/08/2022")</f>
        <v>FORMACIÓN 25/08/2022</v>
      </c>
      <c r="C171" s="40" t="str">
        <f ca="1">IFERROR(__xludf.DUMMYFUNCTION("""COMPUTED_VALUE"""),"CRISTIAN DAVID GARCIA IMBACHI")</f>
        <v>CRISTIAN DAVID GARCIA IMBACHI</v>
      </c>
      <c r="D171" s="40" t="str">
        <f ca="1">IFERROR(__xludf.DUMMYFUNCTION("""COMPUTED_VALUE"""),"CC")</f>
        <v>CC</v>
      </c>
      <c r="E171" s="40">
        <f ca="1">IFERROR(__xludf.DUMMYFUNCTION("""COMPUTED_VALUE"""),1004442123)</f>
        <v>1004442123</v>
      </c>
      <c r="F171" s="40">
        <f ca="1">IFERROR(__xludf.DUMMYFUNCTION("""COMPUTED_VALUE"""),1853739)</f>
        <v>1853739</v>
      </c>
      <c r="G171" s="40" t="str">
        <f ca="1">IFERROR(__xludf.DUMMYFUNCTION("""COMPUTED_VALUE"""),"TÉCNICO")</f>
        <v>TÉCNICO</v>
      </c>
      <c r="H171" s="40" t="str">
        <f ca="1">IFERROR(__xludf.DUMMYFUNCTION("""COMPUTED_VALUE"""),"SISTEMAS")</f>
        <v>SISTEMAS</v>
      </c>
      <c r="I171" s="40"/>
      <c r="J171" s="40"/>
      <c r="K171" s="40"/>
      <c r="L171" s="40" t="str">
        <f ca="1">IFERROR(__xludf.DUMMYFUNCTION("""COMPUTED_VALUE"""),"NO HA INICIADO ETAPA PRODUCTIVA")</f>
        <v>NO HA INICIADO ETAPA PRODUCTIVA</v>
      </c>
      <c r="M171" s="40"/>
      <c r="N171" s="40"/>
      <c r="O171" s="40"/>
      <c r="P171" s="40"/>
      <c r="Q171" s="40"/>
      <c r="R171" s="140"/>
      <c r="S171" s="1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t="str">
        <f ca="1">IFERROR(__xludf.DUMMYFUNCTION("""COMPUTED_VALUE"""),"Procede_E_P")</f>
        <v>Procede_E_P</v>
      </c>
      <c r="AV171" s="40" t="str">
        <f ca="1">IFERROR(__xludf.DUMMYFUNCTION("""COMPUTED_VALUE"""),"EN FORMACION")</f>
        <v>EN FORMACION</v>
      </c>
      <c r="AW171" s="40" t="str">
        <f ca="1">IFERROR(__xludf.DUMMYFUNCTION("""COMPUTED_VALUE"""),"TIC")</f>
        <v>TIC</v>
      </c>
      <c r="AX171" s="141">
        <f ca="1">IFERROR(__xludf.DUMMYFUNCTION("""COMPUTED_VALUE"""),44848)</f>
        <v>44848</v>
      </c>
      <c r="AY171" s="40">
        <f ca="1">IFERROR(__xludf.DUMMYFUNCTION("""COMPUTED_VALUE"""),0)</f>
        <v>0</v>
      </c>
      <c r="AZ171" s="40">
        <f ca="1">IFERROR(__xludf.DUMMYFUNCTION("""COMPUTED_VALUE"""),1)</f>
        <v>1</v>
      </c>
      <c r="BA171" s="40">
        <f ca="1">IFERROR(__xludf.DUMMYFUNCTION("""COMPUTED_VALUE"""),0)</f>
        <v>0</v>
      </c>
      <c r="BB171" s="40">
        <f ca="1">IFERROR(__xludf.DUMMYFUNCTION("""COMPUTED_VALUE"""),0)</f>
        <v>0</v>
      </c>
      <c r="BC171" s="40">
        <f ca="1">IFERROR(__xludf.DUMMYFUNCTION("""COMPUTED_VALUE"""),1)</f>
        <v>1</v>
      </c>
      <c r="BD171" s="141">
        <f ca="1">IFERROR(__xludf.DUMMYFUNCTION("""COMPUTED_VALUE"""),43531)</f>
        <v>43531</v>
      </c>
      <c r="BE171" s="141">
        <f ca="1">IFERROR(__xludf.DUMMYFUNCTION("""COMPUTED_VALUE"""),43715)</f>
        <v>43715</v>
      </c>
      <c r="BF171" s="141">
        <f ca="1">IFERROR(__xludf.DUMMYFUNCTION("""COMPUTED_VALUE"""),43897)</f>
        <v>43897</v>
      </c>
      <c r="BG171" s="141">
        <f ca="1">IFERROR(__xludf.DUMMYFUNCTION("""COMPUTED_VALUE"""),44446)</f>
        <v>44446</v>
      </c>
      <c r="BH171" s="40" t="str">
        <f ca="1">IFERROR(__xludf.DUMMYFUNCTION("""COMPUTED_VALUE"""),"FINALIZAR FICHA")</f>
        <v>FINALIZAR FICHA</v>
      </c>
      <c r="BI171" s="40" t="str">
        <f ca="1">IFERROR(__xludf.DUMMYFUNCTION("""COMPUTED_VALUE"""),"Terminada por Fecha     ")</f>
        <v xml:space="preserve">Terminada por Fecha     </v>
      </c>
      <c r="BJ171" s="40" t="str">
        <f ca="1">IFERROR(__xludf.DUMMYFUNCTION("""COMPUTED_VALUE"""),"Yamboro")</f>
        <v>Yamboro</v>
      </c>
      <c r="BK171" s="40"/>
      <c r="BL171" s="40"/>
    </row>
    <row r="172" spans="1:64" ht="13">
      <c r="A172" s="40"/>
      <c r="B172" s="40" t="str">
        <f ca="1">IFERROR(__xludf.DUMMYFUNCTION("""COMPUTED_VALUE"""),"FORMACIÓN 25/08/2022")</f>
        <v>FORMACIÓN 25/08/2022</v>
      </c>
      <c r="C172" s="40" t="str">
        <f ca="1">IFERROR(__xludf.DUMMYFUNCTION("""COMPUTED_VALUE"""),"MONICA MUÑOZ MUÑOZ")</f>
        <v>MONICA MUÑOZ MUÑOZ</v>
      </c>
      <c r="D172" s="40" t="str">
        <f ca="1">IFERROR(__xludf.DUMMYFUNCTION("""COMPUTED_VALUE"""),"CC")</f>
        <v>CC</v>
      </c>
      <c r="E172" s="40">
        <f ca="1">IFERROR(__xludf.DUMMYFUNCTION("""COMPUTED_VALUE"""),1004442400)</f>
        <v>1004442400</v>
      </c>
      <c r="F172" s="40">
        <f ca="1">IFERROR(__xludf.DUMMYFUNCTION("""COMPUTED_VALUE"""),1853739)</f>
        <v>1853739</v>
      </c>
      <c r="G172" s="40" t="str">
        <f ca="1">IFERROR(__xludf.DUMMYFUNCTION("""COMPUTED_VALUE"""),"TÉCNICO")</f>
        <v>TÉCNICO</v>
      </c>
      <c r="H172" s="40" t="str">
        <f ca="1">IFERROR(__xludf.DUMMYFUNCTION("""COMPUTED_VALUE"""),"SISTEMAS")</f>
        <v>SISTEMAS</v>
      </c>
      <c r="I172" s="40"/>
      <c r="J172" s="40"/>
      <c r="K172" s="40"/>
      <c r="L172" s="40" t="str">
        <f ca="1">IFERROR(__xludf.DUMMYFUNCTION("""COMPUTED_VALUE"""),"NO HA INICIADO ETAPA PRODUCTIVA")</f>
        <v>NO HA INICIADO ETAPA PRODUCTIVA</v>
      </c>
      <c r="M172" s="40"/>
      <c r="N172" s="40"/>
      <c r="O172" s="40"/>
      <c r="P172" s="40"/>
      <c r="Q172" s="40"/>
      <c r="R172" s="140"/>
      <c r="S172" s="1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t="str">
        <f ca="1">IFERROR(__xludf.DUMMYFUNCTION("""COMPUTED_VALUE"""),"Procede_E_P")</f>
        <v>Procede_E_P</v>
      </c>
      <c r="AV172" s="40" t="str">
        <f ca="1">IFERROR(__xludf.DUMMYFUNCTION("""COMPUTED_VALUE"""),"EN FORMACION")</f>
        <v>EN FORMACION</v>
      </c>
      <c r="AW172" s="40" t="str">
        <f ca="1">IFERROR(__xludf.DUMMYFUNCTION("""COMPUTED_VALUE"""),"TIC")</f>
        <v>TIC</v>
      </c>
      <c r="AX172" s="141">
        <f ca="1">IFERROR(__xludf.DUMMYFUNCTION("""COMPUTED_VALUE"""),44848)</f>
        <v>44848</v>
      </c>
      <c r="AY172" s="40">
        <f ca="1">IFERROR(__xludf.DUMMYFUNCTION("""COMPUTED_VALUE"""),0)</f>
        <v>0</v>
      </c>
      <c r="AZ172" s="40">
        <f ca="1">IFERROR(__xludf.DUMMYFUNCTION("""COMPUTED_VALUE"""),1)</f>
        <v>1</v>
      </c>
      <c r="BA172" s="40">
        <f ca="1">IFERROR(__xludf.DUMMYFUNCTION("""COMPUTED_VALUE"""),0)</f>
        <v>0</v>
      </c>
      <c r="BB172" s="40">
        <f ca="1">IFERROR(__xludf.DUMMYFUNCTION("""COMPUTED_VALUE"""),0)</f>
        <v>0</v>
      </c>
      <c r="BC172" s="40">
        <f ca="1">IFERROR(__xludf.DUMMYFUNCTION("""COMPUTED_VALUE"""),1)</f>
        <v>1</v>
      </c>
      <c r="BD172" s="141">
        <f ca="1">IFERROR(__xludf.DUMMYFUNCTION("""COMPUTED_VALUE"""),43531)</f>
        <v>43531</v>
      </c>
      <c r="BE172" s="141">
        <f ca="1">IFERROR(__xludf.DUMMYFUNCTION("""COMPUTED_VALUE"""),43715)</f>
        <v>43715</v>
      </c>
      <c r="BF172" s="141">
        <f ca="1">IFERROR(__xludf.DUMMYFUNCTION("""COMPUTED_VALUE"""),43897)</f>
        <v>43897</v>
      </c>
      <c r="BG172" s="141">
        <f ca="1">IFERROR(__xludf.DUMMYFUNCTION("""COMPUTED_VALUE"""),44446)</f>
        <v>44446</v>
      </c>
      <c r="BH172" s="40" t="str">
        <f ca="1">IFERROR(__xludf.DUMMYFUNCTION("""COMPUTED_VALUE"""),"FINALIZAR FICHA")</f>
        <v>FINALIZAR FICHA</v>
      </c>
      <c r="BI172" s="40" t="str">
        <f ca="1">IFERROR(__xludf.DUMMYFUNCTION("""COMPUTED_VALUE"""),"Terminada por Fecha     ")</f>
        <v xml:space="preserve">Terminada por Fecha     </v>
      </c>
      <c r="BJ172" s="40" t="str">
        <f ca="1">IFERROR(__xludf.DUMMYFUNCTION("""COMPUTED_VALUE"""),"Yamboro")</f>
        <v>Yamboro</v>
      </c>
      <c r="BK172" s="40"/>
      <c r="BL172" s="40"/>
    </row>
    <row r="173" spans="1:64" ht="13">
      <c r="A173" s="40"/>
      <c r="B173" s="40" t="str">
        <f ca="1">IFERROR(__xludf.DUMMYFUNCTION("""COMPUTED_VALUE"""),"FORMACIÓN 25/08/2022")</f>
        <v>FORMACIÓN 25/08/2022</v>
      </c>
      <c r="C173" s="40" t="str">
        <f ca="1">IFERROR(__xludf.DUMMYFUNCTION("""COMPUTED_VALUE"""),"TATIANA SOFIA SANCHEZ BOLAÑOS")</f>
        <v>TATIANA SOFIA SANCHEZ BOLAÑOS</v>
      </c>
      <c r="D173" s="40" t="str">
        <f ca="1">IFERROR(__xludf.DUMMYFUNCTION("""COMPUTED_VALUE"""),"CC")</f>
        <v>CC</v>
      </c>
      <c r="E173" s="40">
        <f ca="1">IFERROR(__xludf.DUMMYFUNCTION("""COMPUTED_VALUE"""),1004442424)</f>
        <v>1004442424</v>
      </c>
      <c r="F173" s="40">
        <f ca="1">IFERROR(__xludf.DUMMYFUNCTION("""COMPUTED_VALUE"""),1853739)</f>
        <v>1853739</v>
      </c>
      <c r="G173" s="40" t="str">
        <f ca="1">IFERROR(__xludf.DUMMYFUNCTION("""COMPUTED_VALUE"""),"TÉCNICO")</f>
        <v>TÉCNICO</v>
      </c>
      <c r="H173" s="40" t="str">
        <f ca="1">IFERROR(__xludf.DUMMYFUNCTION("""COMPUTED_VALUE"""),"SISTEMAS")</f>
        <v>SISTEMAS</v>
      </c>
      <c r="I173" s="40"/>
      <c r="J173" s="40"/>
      <c r="K173" s="40"/>
      <c r="L173" s="40" t="str">
        <f ca="1">IFERROR(__xludf.DUMMYFUNCTION("""COMPUTED_VALUE"""),"NO HA INICIADO ETAPA PRODUCTIVA")</f>
        <v>NO HA INICIADO ETAPA PRODUCTIVA</v>
      </c>
      <c r="M173" s="40"/>
      <c r="N173" s="40"/>
      <c r="O173" s="40"/>
      <c r="P173" s="40"/>
      <c r="Q173" s="40"/>
      <c r="R173" s="140"/>
      <c r="S173" s="1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t="str">
        <f ca="1">IFERROR(__xludf.DUMMYFUNCTION("""COMPUTED_VALUE"""),"Procede_E_P")</f>
        <v>Procede_E_P</v>
      </c>
      <c r="AV173" s="40" t="str">
        <f ca="1">IFERROR(__xludf.DUMMYFUNCTION("""COMPUTED_VALUE"""),"EN FORMACION")</f>
        <v>EN FORMACION</v>
      </c>
      <c r="AW173" s="40" t="str">
        <f ca="1">IFERROR(__xludf.DUMMYFUNCTION("""COMPUTED_VALUE"""),"TIC")</f>
        <v>TIC</v>
      </c>
      <c r="AX173" s="141">
        <f ca="1">IFERROR(__xludf.DUMMYFUNCTION("""COMPUTED_VALUE"""),44848)</f>
        <v>44848</v>
      </c>
      <c r="AY173" s="40">
        <f ca="1">IFERROR(__xludf.DUMMYFUNCTION("""COMPUTED_VALUE"""),0)</f>
        <v>0</v>
      </c>
      <c r="AZ173" s="40">
        <f ca="1">IFERROR(__xludf.DUMMYFUNCTION("""COMPUTED_VALUE"""),1)</f>
        <v>1</v>
      </c>
      <c r="BA173" s="40">
        <f ca="1">IFERROR(__xludf.DUMMYFUNCTION("""COMPUTED_VALUE"""),0)</f>
        <v>0</v>
      </c>
      <c r="BB173" s="40">
        <f ca="1">IFERROR(__xludf.DUMMYFUNCTION("""COMPUTED_VALUE"""),0)</f>
        <v>0</v>
      </c>
      <c r="BC173" s="40">
        <f ca="1">IFERROR(__xludf.DUMMYFUNCTION("""COMPUTED_VALUE"""),1)</f>
        <v>1</v>
      </c>
      <c r="BD173" s="141">
        <f ca="1">IFERROR(__xludf.DUMMYFUNCTION("""COMPUTED_VALUE"""),43531)</f>
        <v>43531</v>
      </c>
      <c r="BE173" s="141">
        <f ca="1">IFERROR(__xludf.DUMMYFUNCTION("""COMPUTED_VALUE"""),43715)</f>
        <v>43715</v>
      </c>
      <c r="BF173" s="141">
        <f ca="1">IFERROR(__xludf.DUMMYFUNCTION("""COMPUTED_VALUE"""),43897)</f>
        <v>43897</v>
      </c>
      <c r="BG173" s="141">
        <f ca="1">IFERROR(__xludf.DUMMYFUNCTION("""COMPUTED_VALUE"""),44446)</f>
        <v>44446</v>
      </c>
      <c r="BH173" s="40" t="str">
        <f ca="1">IFERROR(__xludf.DUMMYFUNCTION("""COMPUTED_VALUE"""),"FINALIZAR FICHA")</f>
        <v>FINALIZAR FICHA</v>
      </c>
      <c r="BI173" s="40" t="str">
        <f ca="1">IFERROR(__xludf.DUMMYFUNCTION("""COMPUTED_VALUE"""),"Terminada por Fecha     ")</f>
        <v xml:space="preserve">Terminada por Fecha     </v>
      </c>
      <c r="BJ173" s="40" t="str">
        <f ca="1">IFERROR(__xludf.DUMMYFUNCTION("""COMPUTED_VALUE"""),"Yamboro")</f>
        <v>Yamboro</v>
      </c>
      <c r="BK173" s="40"/>
      <c r="BL173" s="40"/>
    </row>
    <row r="174" spans="1:64" ht="13">
      <c r="A174" s="40"/>
      <c r="B174" s="40" t="str">
        <f ca="1">IFERROR(__xludf.DUMMYFUNCTION("""COMPUTED_VALUE"""),"FORMACIÓN 25/08/2022")</f>
        <v>FORMACIÓN 25/08/2022</v>
      </c>
      <c r="C174" s="40" t="str">
        <f ca="1">IFERROR(__xludf.DUMMYFUNCTION("""COMPUTED_VALUE"""),"DANIA ALEXANDRA ILES SAMBONI")</f>
        <v>DANIA ALEXANDRA ILES SAMBONI</v>
      </c>
      <c r="D174" s="40" t="str">
        <f ca="1">IFERROR(__xludf.DUMMYFUNCTION("""COMPUTED_VALUE"""),"TI")</f>
        <v>TI</v>
      </c>
      <c r="E174" s="40">
        <f ca="1">IFERROR(__xludf.DUMMYFUNCTION("""COMPUTED_VALUE"""),1004442542)</f>
        <v>1004442542</v>
      </c>
      <c r="F174" s="40">
        <f ca="1">IFERROR(__xludf.DUMMYFUNCTION("""COMPUTED_VALUE"""),1853739)</f>
        <v>1853739</v>
      </c>
      <c r="G174" s="40" t="str">
        <f ca="1">IFERROR(__xludf.DUMMYFUNCTION("""COMPUTED_VALUE"""),"TÉCNICO")</f>
        <v>TÉCNICO</v>
      </c>
      <c r="H174" s="40" t="str">
        <f ca="1">IFERROR(__xludf.DUMMYFUNCTION("""COMPUTED_VALUE"""),"SISTEMAS")</f>
        <v>SISTEMAS</v>
      </c>
      <c r="I174" s="40"/>
      <c r="J174" s="40"/>
      <c r="K174" s="40"/>
      <c r="L174" s="40" t="str">
        <f ca="1">IFERROR(__xludf.DUMMYFUNCTION("""COMPUTED_VALUE"""),"NO HA INICIADO ETAPA PRODUCTIVA")</f>
        <v>NO HA INICIADO ETAPA PRODUCTIVA</v>
      </c>
      <c r="M174" s="40"/>
      <c r="N174" s="40"/>
      <c r="O174" s="40"/>
      <c r="P174" s="40"/>
      <c r="Q174" s="40"/>
      <c r="R174" s="140"/>
      <c r="S174" s="1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t="str">
        <f ca="1">IFERROR(__xludf.DUMMYFUNCTION("""COMPUTED_VALUE"""),"Procede_E_P")</f>
        <v>Procede_E_P</v>
      </c>
      <c r="AV174" s="40" t="str">
        <f ca="1">IFERROR(__xludf.DUMMYFUNCTION("""COMPUTED_VALUE"""),"EN FORMACION")</f>
        <v>EN FORMACION</v>
      </c>
      <c r="AW174" s="40" t="str">
        <f ca="1">IFERROR(__xludf.DUMMYFUNCTION("""COMPUTED_VALUE"""),"TIC")</f>
        <v>TIC</v>
      </c>
      <c r="AX174" s="141">
        <f ca="1">IFERROR(__xludf.DUMMYFUNCTION("""COMPUTED_VALUE"""),44848)</f>
        <v>44848</v>
      </c>
      <c r="AY174" s="40">
        <f ca="1">IFERROR(__xludf.DUMMYFUNCTION("""COMPUTED_VALUE"""),0)</f>
        <v>0</v>
      </c>
      <c r="AZ174" s="40">
        <f ca="1">IFERROR(__xludf.DUMMYFUNCTION("""COMPUTED_VALUE"""),1)</f>
        <v>1</v>
      </c>
      <c r="BA174" s="40">
        <f ca="1">IFERROR(__xludf.DUMMYFUNCTION("""COMPUTED_VALUE"""),0)</f>
        <v>0</v>
      </c>
      <c r="BB174" s="40">
        <f ca="1">IFERROR(__xludf.DUMMYFUNCTION("""COMPUTED_VALUE"""),0)</f>
        <v>0</v>
      </c>
      <c r="BC174" s="40">
        <f ca="1">IFERROR(__xludf.DUMMYFUNCTION("""COMPUTED_VALUE"""),1)</f>
        <v>1</v>
      </c>
      <c r="BD174" s="141">
        <f ca="1">IFERROR(__xludf.DUMMYFUNCTION("""COMPUTED_VALUE"""),43531)</f>
        <v>43531</v>
      </c>
      <c r="BE174" s="141">
        <f ca="1">IFERROR(__xludf.DUMMYFUNCTION("""COMPUTED_VALUE"""),43715)</f>
        <v>43715</v>
      </c>
      <c r="BF174" s="141">
        <f ca="1">IFERROR(__xludf.DUMMYFUNCTION("""COMPUTED_VALUE"""),43897)</f>
        <v>43897</v>
      </c>
      <c r="BG174" s="141">
        <f ca="1">IFERROR(__xludf.DUMMYFUNCTION("""COMPUTED_VALUE"""),44446)</f>
        <v>44446</v>
      </c>
      <c r="BH174" s="40" t="str">
        <f ca="1">IFERROR(__xludf.DUMMYFUNCTION("""COMPUTED_VALUE"""),"FINALIZAR FICHA")</f>
        <v>FINALIZAR FICHA</v>
      </c>
      <c r="BI174" s="40" t="str">
        <f ca="1">IFERROR(__xludf.DUMMYFUNCTION("""COMPUTED_VALUE"""),"Terminada por Fecha     ")</f>
        <v xml:space="preserve">Terminada por Fecha     </v>
      </c>
      <c r="BJ174" s="40" t="str">
        <f ca="1">IFERROR(__xludf.DUMMYFUNCTION("""COMPUTED_VALUE"""),"Yamboro")</f>
        <v>Yamboro</v>
      </c>
      <c r="BK174" s="40"/>
      <c r="BL174" s="40"/>
    </row>
    <row r="175" spans="1:64" ht="13">
      <c r="A175" s="40"/>
      <c r="B175" s="40" t="str">
        <f ca="1">IFERROR(__xludf.DUMMYFUNCTION("""COMPUTED_VALUE"""),"FORMACIÓN 25/08/2022")</f>
        <v>FORMACIÓN 25/08/2022</v>
      </c>
      <c r="C175" s="40" t="str">
        <f ca="1">IFERROR(__xludf.DUMMYFUNCTION("""COMPUTED_VALUE"""),"OSCAR JULIAN NAVIA NAVIA")</f>
        <v>OSCAR JULIAN NAVIA NAVIA</v>
      </c>
      <c r="D175" s="40" t="str">
        <f ca="1">IFERROR(__xludf.DUMMYFUNCTION("""COMPUTED_VALUE"""),"TI")</f>
        <v>TI</v>
      </c>
      <c r="E175" s="40">
        <f ca="1">IFERROR(__xludf.DUMMYFUNCTION("""COMPUTED_VALUE"""),1004442931)</f>
        <v>1004442931</v>
      </c>
      <c r="F175" s="40">
        <f ca="1">IFERROR(__xludf.DUMMYFUNCTION("""COMPUTED_VALUE"""),1853739)</f>
        <v>1853739</v>
      </c>
      <c r="G175" s="40" t="str">
        <f ca="1">IFERROR(__xludf.DUMMYFUNCTION("""COMPUTED_VALUE"""),"TÉCNICO")</f>
        <v>TÉCNICO</v>
      </c>
      <c r="H175" s="40" t="str">
        <f ca="1">IFERROR(__xludf.DUMMYFUNCTION("""COMPUTED_VALUE"""),"SISTEMAS")</f>
        <v>SISTEMAS</v>
      </c>
      <c r="I175" s="40"/>
      <c r="J175" s="40"/>
      <c r="K175" s="40"/>
      <c r="L175" s="40" t="str">
        <f ca="1">IFERROR(__xludf.DUMMYFUNCTION("""COMPUTED_VALUE"""),"NO HA INICIADO ETAPA PRODUCTIVA")</f>
        <v>NO HA INICIADO ETAPA PRODUCTIVA</v>
      </c>
      <c r="M175" s="40"/>
      <c r="N175" s="40"/>
      <c r="O175" s="40"/>
      <c r="P175" s="40"/>
      <c r="Q175" s="40"/>
      <c r="R175" s="140"/>
      <c r="S175" s="1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t="str">
        <f ca="1">IFERROR(__xludf.DUMMYFUNCTION("""COMPUTED_VALUE"""),"Procede_E_P")</f>
        <v>Procede_E_P</v>
      </c>
      <c r="AV175" s="40" t="str">
        <f ca="1">IFERROR(__xludf.DUMMYFUNCTION("""COMPUTED_VALUE"""),"EN FORMACION")</f>
        <v>EN FORMACION</v>
      </c>
      <c r="AW175" s="40" t="str">
        <f ca="1">IFERROR(__xludf.DUMMYFUNCTION("""COMPUTED_VALUE"""),"TIC")</f>
        <v>TIC</v>
      </c>
      <c r="AX175" s="141">
        <f ca="1">IFERROR(__xludf.DUMMYFUNCTION("""COMPUTED_VALUE"""),44848)</f>
        <v>44848</v>
      </c>
      <c r="AY175" s="40">
        <f ca="1">IFERROR(__xludf.DUMMYFUNCTION("""COMPUTED_VALUE"""),0)</f>
        <v>0</v>
      </c>
      <c r="AZ175" s="40">
        <f ca="1">IFERROR(__xludf.DUMMYFUNCTION("""COMPUTED_VALUE"""),1)</f>
        <v>1</v>
      </c>
      <c r="BA175" s="40">
        <f ca="1">IFERROR(__xludf.DUMMYFUNCTION("""COMPUTED_VALUE"""),0)</f>
        <v>0</v>
      </c>
      <c r="BB175" s="40">
        <f ca="1">IFERROR(__xludf.DUMMYFUNCTION("""COMPUTED_VALUE"""),0)</f>
        <v>0</v>
      </c>
      <c r="BC175" s="40">
        <f ca="1">IFERROR(__xludf.DUMMYFUNCTION("""COMPUTED_VALUE"""),1)</f>
        <v>1</v>
      </c>
      <c r="BD175" s="141">
        <f ca="1">IFERROR(__xludf.DUMMYFUNCTION("""COMPUTED_VALUE"""),43531)</f>
        <v>43531</v>
      </c>
      <c r="BE175" s="141">
        <f ca="1">IFERROR(__xludf.DUMMYFUNCTION("""COMPUTED_VALUE"""),43715)</f>
        <v>43715</v>
      </c>
      <c r="BF175" s="141">
        <f ca="1">IFERROR(__xludf.DUMMYFUNCTION("""COMPUTED_VALUE"""),43897)</f>
        <v>43897</v>
      </c>
      <c r="BG175" s="141">
        <f ca="1">IFERROR(__xludf.DUMMYFUNCTION("""COMPUTED_VALUE"""),44446)</f>
        <v>44446</v>
      </c>
      <c r="BH175" s="40" t="str">
        <f ca="1">IFERROR(__xludf.DUMMYFUNCTION("""COMPUTED_VALUE"""),"FINALIZAR FICHA")</f>
        <v>FINALIZAR FICHA</v>
      </c>
      <c r="BI175" s="40" t="str">
        <f ca="1">IFERROR(__xludf.DUMMYFUNCTION("""COMPUTED_VALUE"""),"Terminada por Fecha     ")</f>
        <v xml:space="preserve">Terminada por Fecha     </v>
      </c>
      <c r="BJ175" s="40" t="str">
        <f ca="1">IFERROR(__xludf.DUMMYFUNCTION("""COMPUTED_VALUE"""),"Yamboro")</f>
        <v>Yamboro</v>
      </c>
      <c r="BK175" s="40"/>
      <c r="BL175" s="40"/>
    </row>
    <row r="176" spans="1:64" ht="13">
      <c r="A176" s="40"/>
      <c r="B176" s="40" t="str">
        <f ca="1">IFERROR(__xludf.DUMMYFUNCTION("""COMPUTED_VALUE"""),"FORMACIÓN 25/08/2022")</f>
        <v>FORMACIÓN 25/08/2022</v>
      </c>
      <c r="C176" s="40" t="str">
        <f ca="1">IFERROR(__xludf.DUMMYFUNCTION("""COMPUTED_VALUE"""),"KAREN YESENIA MUÑOZ SOTELO")</f>
        <v>KAREN YESENIA MUÑOZ SOTELO</v>
      </c>
      <c r="D176" s="40" t="str">
        <f ca="1">IFERROR(__xludf.DUMMYFUNCTION("""COMPUTED_VALUE"""),"CC")</f>
        <v>CC</v>
      </c>
      <c r="E176" s="40">
        <f ca="1">IFERROR(__xludf.DUMMYFUNCTION("""COMPUTED_VALUE"""),1070332672)</f>
        <v>1070332672</v>
      </c>
      <c r="F176" s="40">
        <f ca="1">IFERROR(__xludf.DUMMYFUNCTION("""COMPUTED_VALUE"""),1853739)</f>
        <v>1853739</v>
      </c>
      <c r="G176" s="40" t="str">
        <f ca="1">IFERROR(__xludf.DUMMYFUNCTION("""COMPUTED_VALUE"""),"TÉCNICO")</f>
        <v>TÉCNICO</v>
      </c>
      <c r="H176" s="40" t="str">
        <f ca="1">IFERROR(__xludf.DUMMYFUNCTION("""COMPUTED_VALUE"""),"SISTEMAS")</f>
        <v>SISTEMAS</v>
      </c>
      <c r="I176" s="40"/>
      <c r="J176" s="40"/>
      <c r="K176" s="40"/>
      <c r="L176" s="40" t="str">
        <f ca="1">IFERROR(__xludf.DUMMYFUNCTION("""COMPUTED_VALUE"""),"NO HA INICIADO ETAPA PRODUCTIVA")</f>
        <v>NO HA INICIADO ETAPA PRODUCTIVA</v>
      </c>
      <c r="M176" s="40"/>
      <c r="N176" s="40"/>
      <c r="O176" s="40"/>
      <c r="P176" s="40"/>
      <c r="Q176" s="40"/>
      <c r="R176" s="140"/>
      <c r="S176" s="1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t="str">
        <f ca="1">IFERROR(__xludf.DUMMYFUNCTION("""COMPUTED_VALUE"""),"Procede_E_P")</f>
        <v>Procede_E_P</v>
      </c>
      <c r="AV176" s="40" t="str">
        <f ca="1">IFERROR(__xludf.DUMMYFUNCTION("""COMPUTED_VALUE"""),"EN FORMACION")</f>
        <v>EN FORMACION</v>
      </c>
      <c r="AW176" s="40" t="str">
        <f ca="1">IFERROR(__xludf.DUMMYFUNCTION("""COMPUTED_VALUE"""),"TIC")</f>
        <v>TIC</v>
      </c>
      <c r="AX176" s="141">
        <f ca="1">IFERROR(__xludf.DUMMYFUNCTION("""COMPUTED_VALUE"""),44848)</f>
        <v>44848</v>
      </c>
      <c r="AY176" s="40">
        <f ca="1">IFERROR(__xludf.DUMMYFUNCTION("""COMPUTED_VALUE"""),0)</f>
        <v>0</v>
      </c>
      <c r="AZ176" s="40">
        <f ca="1">IFERROR(__xludf.DUMMYFUNCTION("""COMPUTED_VALUE"""),1)</f>
        <v>1</v>
      </c>
      <c r="BA176" s="40">
        <f ca="1">IFERROR(__xludf.DUMMYFUNCTION("""COMPUTED_VALUE"""),0)</f>
        <v>0</v>
      </c>
      <c r="BB176" s="40">
        <f ca="1">IFERROR(__xludf.DUMMYFUNCTION("""COMPUTED_VALUE"""),0)</f>
        <v>0</v>
      </c>
      <c r="BC176" s="40">
        <f ca="1">IFERROR(__xludf.DUMMYFUNCTION("""COMPUTED_VALUE"""),1)</f>
        <v>1</v>
      </c>
      <c r="BD176" s="141">
        <f ca="1">IFERROR(__xludf.DUMMYFUNCTION("""COMPUTED_VALUE"""),43531)</f>
        <v>43531</v>
      </c>
      <c r="BE176" s="141">
        <f ca="1">IFERROR(__xludf.DUMMYFUNCTION("""COMPUTED_VALUE"""),43715)</f>
        <v>43715</v>
      </c>
      <c r="BF176" s="141">
        <f ca="1">IFERROR(__xludf.DUMMYFUNCTION("""COMPUTED_VALUE"""),43897)</f>
        <v>43897</v>
      </c>
      <c r="BG176" s="141">
        <f ca="1">IFERROR(__xludf.DUMMYFUNCTION("""COMPUTED_VALUE"""),44446)</f>
        <v>44446</v>
      </c>
      <c r="BH176" s="40" t="str">
        <f ca="1">IFERROR(__xludf.DUMMYFUNCTION("""COMPUTED_VALUE"""),"FINALIZAR FICHA")</f>
        <v>FINALIZAR FICHA</v>
      </c>
      <c r="BI176" s="40" t="str">
        <f ca="1">IFERROR(__xludf.DUMMYFUNCTION("""COMPUTED_VALUE"""),"Terminada por Fecha     ")</f>
        <v xml:space="preserve">Terminada por Fecha     </v>
      </c>
      <c r="BJ176" s="40" t="str">
        <f ca="1">IFERROR(__xludf.DUMMYFUNCTION("""COMPUTED_VALUE"""),"Yamboro")</f>
        <v>Yamboro</v>
      </c>
      <c r="BK176" s="40"/>
      <c r="BL176" s="40"/>
    </row>
    <row r="177" spans="1:64" ht="13">
      <c r="A177" s="40"/>
      <c r="B177" s="40" t="str">
        <f ca="1">IFERROR(__xludf.DUMMYFUNCTION("""COMPUTED_VALUE"""),"FORMACIÓN 25/08/2022")</f>
        <v>FORMACIÓN 25/08/2022</v>
      </c>
      <c r="C177" s="40" t="str">
        <f ca="1">IFERROR(__xludf.DUMMYFUNCTION("""COMPUTED_VALUE"""),"YURY MARCELA GARCIA IMBACHI")</f>
        <v>YURY MARCELA GARCIA IMBACHI</v>
      </c>
      <c r="D177" s="40" t="str">
        <f ca="1">IFERROR(__xludf.DUMMYFUNCTION("""COMPUTED_VALUE"""),"CC")</f>
        <v>CC</v>
      </c>
      <c r="E177" s="40">
        <f ca="1">IFERROR(__xludf.DUMMYFUNCTION("""COMPUTED_VALUE"""),1083926766)</f>
        <v>1083926766</v>
      </c>
      <c r="F177" s="40">
        <f ca="1">IFERROR(__xludf.DUMMYFUNCTION("""COMPUTED_VALUE"""),1853739)</f>
        <v>1853739</v>
      </c>
      <c r="G177" s="40" t="str">
        <f ca="1">IFERROR(__xludf.DUMMYFUNCTION("""COMPUTED_VALUE"""),"TÉCNICO")</f>
        <v>TÉCNICO</v>
      </c>
      <c r="H177" s="40" t="str">
        <f ca="1">IFERROR(__xludf.DUMMYFUNCTION("""COMPUTED_VALUE"""),"SISTEMAS")</f>
        <v>SISTEMAS</v>
      </c>
      <c r="I177" s="40"/>
      <c r="J177" s="40"/>
      <c r="K177" s="40"/>
      <c r="L177" s="40" t="str">
        <f ca="1">IFERROR(__xludf.DUMMYFUNCTION("""COMPUTED_VALUE"""),"NO HA INICIADO ETAPA PRODUCTIVA")</f>
        <v>NO HA INICIADO ETAPA PRODUCTIVA</v>
      </c>
      <c r="M177" s="40"/>
      <c r="N177" s="40"/>
      <c r="O177" s="40"/>
      <c r="P177" s="40"/>
      <c r="Q177" s="40"/>
      <c r="R177" s="140"/>
      <c r="S177" s="1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t="str">
        <f ca="1">IFERROR(__xludf.DUMMYFUNCTION("""COMPUTED_VALUE"""),"Procede_E_P")</f>
        <v>Procede_E_P</v>
      </c>
      <c r="AV177" s="40" t="str">
        <f ca="1">IFERROR(__xludf.DUMMYFUNCTION("""COMPUTED_VALUE"""),"EN FORMACION")</f>
        <v>EN FORMACION</v>
      </c>
      <c r="AW177" s="40" t="str">
        <f ca="1">IFERROR(__xludf.DUMMYFUNCTION("""COMPUTED_VALUE"""),"TIC")</f>
        <v>TIC</v>
      </c>
      <c r="AX177" s="141">
        <f ca="1">IFERROR(__xludf.DUMMYFUNCTION("""COMPUTED_VALUE"""),44848)</f>
        <v>44848</v>
      </c>
      <c r="AY177" s="40">
        <f ca="1">IFERROR(__xludf.DUMMYFUNCTION("""COMPUTED_VALUE"""),0)</f>
        <v>0</v>
      </c>
      <c r="AZ177" s="40">
        <f ca="1">IFERROR(__xludf.DUMMYFUNCTION("""COMPUTED_VALUE"""),1)</f>
        <v>1</v>
      </c>
      <c r="BA177" s="40">
        <f ca="1">IFERROR(__xludf.DUMMYFUNCTION("""COMPUTED_VALUE"""),0)</f>
        <v>0</v>
      </c>
      <c r="BB177" s="40">
        <f ca="1">IFERROR(__xludf.DUMMYFUNCTION("""COMPUTED_VALUE"""),0)</f>
        <v>0</v>
      </c>
      <c r="BC177" s="40">
        <f ca="1">IFERROR(__xludf.DUMMYFUNCTION("""COMPUTED_VALUE"""),1)</f>
        <v>1</v>
      </c>
      <c r="BD177" s="141">
        <f ca="1">IFERROR(__xludf.DUMMYFUNCTION("""COMPUTED_VALUE"""),43531)</f>
        <v>43531</v>
      </c>
      <c r="BE177" s="141">
        <f ca="1">IFERROR(__xludf.DUMMYFUNCTION("""COMPUTED_VALUE"""),43715)</f>
        <v>43715</v>
      </c>
      <c r="BF177" s="141">
        <f ca="1">IFERROR(__xludf.DUMMYFUNCTION("""COMPUTED_VALUE"""),43897)</f>
        <v>43897</v>
      </c>
      <c r="BG177" s="141">
        <f ca="1">IFERROR(__xludf.DUMMYFUNCTION("""COMPUTED_VALUE"""),44446)</f>
        <v>44446</v>
      </c>
      <c r="BH177" s="40" t="str">
        <f ca="1">IFERROR(__xludf.DUMMYFUNCTION("""COMPUTED_VALUE"""),"FINALIZAR FICHA")</f>
        <v>FINALIZAR FICHA</v>
      </c>
      <c r="BI177" s="40" t="str">
        <f ca="1">IFERROR(__xludf.DUMMYFUNCTION("""COMPUTED_VALUE"""),"Terminada por Fecha     ")</f>
        <v xml:space="preserve">Terminada por Fecha     </v>
      </c>
      <c r="BJ177" s="40" t="str">
        <f ca="1">IFERROR(__xludf.DUMMYFUNCTION("""COMPUTED_VALUE"""),"Yamboro")</f>
        <v>Yamboro</v>
      </c>
      <c r="BK177" s="40"/>
      <c r="BL177" s="40"/>
    </row>
    <row r="178" spans="1:64" ht="13">
      <c r="A178" s="40"/>
      <c r="B178" s="40" t="str">
        <f ca="1">IFERROR(__xludf.DUMMYFUNCTION("""COMPUTED_VALUE"""),"FORMACIÓN 25/08/2022")</f>
        <v>FORMACIÓN 25/08/2022</v>
      </c>
      <c r="C178" s="40" t="str">
        <f ca="1">IFERROR(__xludf.DUMMYFUNCTION("""COMPUTED_VALUE"""),"ADRIANA MARCELA GARCIA IMBACHI")</f>
        <v>ADRIANA MARCELA GARCIA IMBACHI</v>
      </c>
      <c r="D178" s="40" t="str">
        <f ca="1">IFERROR(__xludf.DUMMYFUNCTION("""COMPUTED_VALUE"""),"CC")</f>
        <v>CC</v>
      </c>
      <c r="E178" s="40">
        <f ca="1">IFERROR(__xludf.DUMMYFUNCTION("""COMPUTED_VALUE"""),1084254045)</f>
        <v>1084254045</v>
      </c>
      <c r="F178" s="40">
        <f ca="1">IFERROR(__xludf.DUMMYFUNCTION("""COMPUTED_VALUE"""),1853739)</f>
        <v>1853739</v>
      </c>
      <c r="G178" s="40" t="str">
        <f ca="1">IFERROR(__xludf.DUMMYFUNCTION("""COMPUTED_VALUE"""),"TÉCNICO")</f>
        <v>TÉCNICO</v>
      </c>
      <c r="H178" s="40" t="str">
        <f ca="1">IFERROR(__xludf.DUMMYFUNCTION("""COMPUTED_VALUE"""),"SISTEMAS")</f>
        <v>SISTEMAS</v>
      </c>
      <c r="I178" s="40"/>
      <c r="J178" s="40"/>
      <c r="K178" s="40"/>
      <c r="L178" s="40" t="str">
        <f ca="1">IFERROR(__xludf.DUMMYFUNCTION("""COMPUTED_VALUE"""),"NO HA INICIADO ETAPA PRODUCTIVA")</f>
        <v>NO HA INICIADO ETAPA PRODUCTIVA</v>
      </c>
      <c r="M178" s="40"/>
      <c r="N178" s="40"/>
      <c r="O178" s="40"/>
      <c r="P178" s="40"/>
      <c r="Q178" s="40"/>
      <c r="R178" s="140"/>
      <c r="S178" s="1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t="str">
        <f ca="1">IFERROR(__xludf.DUMMYFUNCTION("""COMPUTED_VALUE"""),"Procede_E_P")</f>
        <v>Procede_E_P</v>
      </c>
      <c r="AV178" s="40" t="str">
        <f ca="1">IFERROR(__xludf.DUMMYFUNCTION("""COMPUTED_VALUE"""),"EN FORMACION")</f>
        <v>EN FORMACION</v>
      </c>
      <c r="AW178" s="40" t="str">
        <f ca="1">IFERROR(__xludf.DUMMYFUNCTION("""COMPUTED_VALUE"""),"TIC")</f>
        <v>TIC</v>
      </c>
      <c r="AX178" s="141">
        <f ca="1">IFERROR(__xludf.DUMMYFUNCTION("""COMPUTED_VALUE"""),44848)</f>
        <v>44848</v>
      </c>
      <c r="AY178" s="40">
        <f ca="1">IFERROR(__xludf.DUMMYFUNCTION("""COMPUTED_VALUE"""),0)</f>
        <v>0</v>
      </c>
      <c r="AZ178" s="40">
        <f ca="1">IFERROR(__xludf.DUMMYFUNCTION("""COMPUTED_VALUE"""),1)</f>
        <v>1</v>
      </c>
      <c r="BA178" s="40">
        <f ca="1">IFERROR(__xludf.DUMMYFUNCTION("""COMPUTED_VALUE"""),0)</f>
        <v>0</v>
      </c>
      <c r="BB178" s="40">
        <f ca="1">IFERROR(__xludf.DUMMYFUNCTION("""COMPUTED_VALUE"""),0)</f>
        <v>0</v>
      </c>
      <c r="BC178" s="40">
        <f ca="1">IFERROR(__xludf.DUMMYFUNCTION("""COMPUTED_VALUE"""),1)</f>
        <v>1</v>
      </c>
      <c r="BD178" s="141">
        <f ca="1">IFERROR(__xludf.DUMMYFUNCTION("""COMPUTED_VALUE"""),43531)</f>
        <v>43531</v>
      </c>
      <c r="BE178" s="141">
        <f ca="1">IFERROR(__xludf.DUMMYFUNCTION("""COMPUTED_VALUE"""),43715)</f>
        <v>43715</v>
      </c>
      <c r="BF178" s="141">
        <f ca="1">IFERROR(__xludf.DUMMYFUNCTION("""COMPUTED_VALUE"""),43897)</f>
        <v>43897</v>
      </c>
      <c r="BG178" s="141">
        <f ca="1">IFERROR(__xludf.DUMMYFUNCTION("""COMPUTED_VALUE"""),44446)</f>
        <v>44446</v>
      </c>
      <c r="BH178" s="40" t="str">
        <f ca="1">IFERROR(__xludf.DUMMYFUNCTION("""COMPUTED_VALUE"""),"FINALIZAR FICHA")</f>
        <v>FINALIZAR FICHA</v>
      </c>
      <c r="BI178" s="40" t="str">
        <f ca="1">IFERROR(__xludf.DUMMYFUNCTION("""COMPUTED_VALUE"""),"Terminada por Fecha     ")</f>
        <v xml:space="preserve">Terminada por Fecha     </v>
      </c>
      <c r="BJ178" s="40" t="str">
        <f ca="1">IFERROR(__xludf.DUMMYFUNCTION("""COMPUTED_VALUE"""),"Yamboro")</f>
        <v>Yamboro</v>
      </c>
      <c r="BK178" s="40"/>
      <c r="BL178" s="40"/>
    </row>
    <row r="179" spans="1:64" ht="13">
      <c r="A179" s="40"/>
      <c r="B179" s="40" t="str">
        <f ca="1">IFERROR(__xludf.DUMMYFUNCTION("""COMPUTED_VALUE"""),"FORMACIÓN 25/08/2022")</f>
        <v>FORMACIÓN 25/08/2022</v>
      </c>
      <c r="C179" s="40" t="str">
        <f ca="1">IFERROR(__xludf.DUMMYFUNCTION("""COMPUTED_VALUE"""),"EDILMA GARCIA IMBACHI")</f>
        <v>EDILMA GARCIA IMBACHI</v>
      </c>
      <c r="D179" s="40" t="str">
        <f ca="1">IFERROR(__xludf.DUMMYFUNCTION("""COMPUTED_VALUE"""),"CC")</f>
        <v>CC</v>
      </c>
      <c r="E179" s="40">
        <f ca="1">IFERROR(__xludf.DUMMYFUNCTION("""COMPUTED_VALUE"""),1084254098)</f>
        <v>1084254098</v>
      </c>
      <c r="F179" s="40">
        <f ca="1">IFERROR(__xludf.DUMMYFUNCTION("""COMPUTED_VALUE"""),1853739)</f>
        <v>1853739</v>
      </c>
      <c r="G179" s="40" t="str">
        <f ca="1">IFERROR(__xludf.DUMMYFUNCTION("""COMPUTED_VALUE"""),"TÉCNICO")</f>
        <v>TÉCNICO</v>
      </c>
      <c r="H179" s="40" t="str">
        <f ca="1">IFERROR(__xludf.DUMMYFUNCTION("""COMPUTED_VALUE"""),"SISTEMAS")</f>
        <v>SISTEMAS</v>
      </c>
      <c r="I179" s="40"/>
      <c r="J179" s="40"/>
      <c r="K179" s="40"/>
      <c r="L179" s="40" t="str">
        <f ca="1">IFERROR(__xludf.DUMMYFUNCTION("""COMPUTED_VALUE"""),"NO HA INICIADO ETAPA PRODUCTIVA")</f>
        <v>NO HA INICIADO ETAPA PRODUCTIVA</v>
      </c>
      <c r="M179" s="40"/>
      <c r="N179" s="40"/>
      <c r="O179" s="40"/>
      <c r="P179" s="40"/>
      <c r="Q179" s="40"/>
      <c r="R179" s="140"/>
      <c r="S179" s="1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t="str">
        <f ca="1">IFERROR(__xludf.DUMMYFUNCTION("""COMPUTED_VALUE"""),"Procede_E_P")</f>
        <v>Procede_E_P</v>
      </c>
      <c r="AV179" s="40" t="str">
        <f ca="1">IFERROR(__xludf.DUMMYFUNCTION("""COMPUTED_VALUE"""),"EN FORMACION")</f>
        <v>EN FORMACION</v>
      </c>
      <c r="AW179" s="40" t="str">
        <f ca="1">IFERROR(__xludf.DUMMYFUNCTION("""COMPUTED_VALUE"""),"TIC")</f>
        <v>TIC</v>
      </c>
      <c r="AX179" s="141">
        <f ca="1">IFERROR(__xludf.DUMMYFUNCTION("""COMPUTED_VALUE"""),44848)</f>
        <v>44848</v>
      </c>
      <c r="AY179" s="40">
        <f ca="1">IFERROR(__xludf.DUMMYFUNCTION("""COMPUTED_VALUE"""),0)</f>
        <v>0</v>
      </c>
      <c r="AZ179" s="40">
        <f ca="1">IFERROR(__xludf.DUMMYFUNCTION("""COMPUTED_VALUE"""),1)</f>
        <v>1</v>
      </c>
      <c r="BA179" s="40">
        <f ca="1">IFERROR(__xludf.DUMMYFUNCTION("""COMPUTED_VALUE"""),0)</f>
        <v>0</v>
      </c>
      <c r="BB179" s="40">
        <f ca="1">IFERROR(__xludf.DUMMYFUNCTION("""COMPUTED_VALUE"""),0)</f>
        <v>0</v>
      </c>
      <c r="BC179" s="40">
        <f ca="1">IFERROR(__xludf.DUMMYFUNCTION("""COMPUTED_VALUE"""),1)</f>
        <v>1</v>
      </c>
      <c r="BD179" s="141">
        <f ca="1">IFERROR(__xludf.DUMMYFUNCTION("""COMPUTED_VALUE"""),43531)</f>
        <v>43531</v>
      </c>
      <c r="BE179" s="141">
        <f ca="1">IFERROR(__xludf.DUMMYFUNCTION("""COMPUTED_VALUE"""),43715)</f>
        <v>43715</v>
      </c>
      <c r="BF179" s="141">
        <f ca="1">IFERROR(__xludf.DUMMYFUNCTION("""COMPUTED_VALUE"""),43897)</f>
        <v>43897</v>
      </c>
      <c r="BG179" s="141">
        <f ca="1">IFERROR(__xludf.DUMMYFUNCTION("""COMPUTED_VALUE"""),44446)</f>
        <v>44446</v>
      </c>
      <c r="BH179" s="40" t="str">
        <f ca="1">IFERROR(__xludf.DUMMYFUNCTION("""COMPUTED_VALUE"""),"FINALIZAR FICHA")</f>
        <v>FINALIZAR FICHA</v>
      </c>
      <c r="BI179" s="40" t="str">
        <f ca="1">IFERROR(__xludf.DUMMYFUNCTION("""COMPUTED_VALUE"""),"Terminada por Fecha     ")</f>
        <v xml:space="preserve">Terminada por Fecha     </v>
      </c>
      <c r="BJ179" s="40" t="str">
        <f ca="1">IFERROR(__xludf.DUMMYFUNCTION("""COMPUTED_VALUE"""),"Yamboro")</f>
        <v>Yamboro</v>
      </c>
      <c r="BK179" s="40"/>
      <c r="BL179" s="40"/>
    </row>
    <row r="180" spans="1:64" ht="13">
      <c r="A180" s="40"/>
      <c r="B180" s="40" t="str">
        <f ca="1">IFERROR(__xludf.DUMMYFUNCTION("""COMPUTED_VALUE"""),"FORMACIÓN 25/08/2022")</f>
        <v>FORMACIÓN 25/08/2022</v>
      </c>
      <c r="C180" s="40" t="str">
        <f ca="1">IFERROR(__xludf.DUMMYFUNCTION("""COMPUTED_VALUE"""),"OLGA LUCIA GARCIA IMBACHI")</f>
        <v>OLGA LUCIA GARCIA IMBACHI</v>
      </c>
      <c r="D180" s="40" t="str">
        <f ca="1">IFERROR(__xludf.DUMMYFUNCTION("""COMPUTED_VALUE"""),"CC")</f>
        <v>CC</v>
      </c>
      <c r="E180" s="40">
        <f ca="1">IFERROR(__xludf.DUMMYFUNCTION("""COMPUTED_VALUE"""),1084255393)</f>
        <v>1084255393</v>
      </c>
      <c r="F180" s="40">
        <f ca="1">IFERROR(__xludf.DUMMYFUNCTION("""COMPUTED_VALUE"""),1853739)</f>
        <v>1853739</v>
      </c>
      <c r="G180" s="40" t="str">
        <f ca="1">IFERROR(__xludf.DUMMYFUNCTION("""COMPUTED_VALUE"""),"TÉCNICO")</f>
        <v>TÉCNICO</v>
      </c>
      <c r="H180" s="40" t="str">
        <f ca="1">IFERROR(__xludf.DUMMYFUNCTION("""COMPUTED_VALUE"""),"SISTEMAS")</f>
        <v>SISTEMAS</v>
      </c>
      <c r="I180" s="40"/>
      <c r="J180" s="40"/>
      <c r="K180" s="40"/>
      <c r="L180" s="40" t="str">
        <f ca="1">IFERROR(__xludf.DUMMYFUNCTION("""COMPUTED_VALUE"""),"NO HA INICIADO ETAPA PRODUCTIVA")</f>
        <v>NO HA INICIADO ETAPA PRODUCTIVA</v>
      </c>
      <c r="M180" s="40"/>
      <c r="N180" s="40"/>
      <c r="O180" s="40"/>
      <c r="P180" s="40"/>
      <c r="Q180" s="40"/>
      <c r="R180" s="140"/>
      <c r="S180" s="1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t="str">
        <f ca="1">IFERROR(__xludf.DUMMYFUNCTION("""COMPUTED_VALUE"""),"Procede_E_P")</f>
        <v>Procede_E_P</v>
      </c>
      <c r="AV180" s="40" t="str">
        <f ca="1">IFERROR(__xludf.DUMMYFUNCTION("""COMPUTED_VALUE"""),"EN FORMACION")</f>
        <v>EN FORMACION</v>
      </c>
      <c r="AW180" s="40" t="str">
        <f ca="1">IFERROR(__xludf.DUMMYFUNCTION("""COMPUTED_VALUE"""),"TIC")</f>
        <v>TIC</v>
      </c>
      <c r="AX180" s="141">
        <f ca="1">IFERROR(__xludf.DUMMYFUNCTION("""COMPUTED_VALUE"""),44848)</f>
        <v>44848</v>
      </c>
      <c r="AY180" s="40">
        <f ca="1">IFERROR(__xludf.DUMMYFUNCTION("""COMPUTED_VALUE"""),0)</f>
        <v>0</v>
      </c>
      <c r="AZ180" s="40">
        <f ca="1">IFERROR(__xludf.DUMMYFUNCTION("""COMPUTED_VALUE"""),1)</f>
        <v>1</v>
      </c>
      <c r="BA180" s="40">
        <f ca="1">IFERROR(__xludf.DUMMYFUNCTION("""COMPUTED_VALUE"""),0)</f>
        <v>0</v>
      </c>
      <c r="BB180" s="40">
        <f ca="1">IFERROR(__xludf.DUMMYFUNCTION("""COMPUTED_VALUE"""),0)</f>
        <v>0</v>
      </c>
      <c r="BC180" s="40">
        <f ca="1">IFERROR(__xludf.DUMMYFUNCTION("""COMPUTED_VALUE"""),1)</f>
        <v>1</v>
      </c>
      <c r="BD180" s="141">
        <f ca="1">IFERROR(__xludf.DUMMYFUNCTION("""COMPUTED_VALUE"""),43531)</f>
        <v>43531</v>
      </c>
      <c r="BE180" s="141">
        <f ca="1">IFERROR(__xludf.DUMMYFUNCTION("""COMPUTED_VALUE"""),43715)</f>
        <v>43715</v>
      </c>
      <c r="BF180" s="141">
        <f ca="1">IFERROR(__xludf.DUMMYFUNCTION("""COMPUTED_VALUE"""),43897)</f>
        <v>43897</v>
      </c>
      <c r="BG180" s="141">
        <f ca="1">IFERROR(__xludf.DUMMYFUNCTION("""COMPUTED_VALUE"""),44446)</f>
        <v>44446</v>
      </c>
      <c r="BH180" s="40" t="str">
        <f ca="1">IFERROR(__xludf.DUMMYFUNCTION("""COMPUTED_VALUE"""),"FINALIZAR FICHA")</f>
        <v>FINALIZAR FICHA</v>
      </c>
      <c r="BI180" s="40" t="str">
        <f ca="1">IFERROR(__xludf.DUMMYFUNCTION("""COMPUTED_VALUE"""),"Terminada por Fecha     ")</f>
        <v xml:space="preserve">Terminada por Fecha     </v>
      </c>
      <c r="BJ180" s="40" t="str">
        <f ca="1">IFERROR(__xludf.DUMMYFUNCTION("""COMPUTED_VALUE"""),"Yamboro")</f>
        <v>Yamboro</v>
      </c>
      <c r="BK180" s="40"/>
      <c r="BL180" s="40"/>
    </row>
    <row r="181" spans="1:64" ht="13">
      <c r="A181" s="40"/>
      <c r="B181" s="40" t="str">
        <f ca="1">IFERROR(__xludf.DUMMYFUNCTION("""COMPUTED_VALUE"""),"FORMACIÓN 25/08/2022")</f>
        <v>FORMACIÓN 25/08/2022</v>
      </c>
      <c r="C181" s="40" t="str">
        <f ca="1">IFERROR(__xludf.DUMMYFUNCTION("""COMPUTED_VALUE"""),"KELLY JHOANNA MUÑOZ ZUÑIGA")</f>
        <v>KELLY JHOANNA MUÑOZ ZUÑIGA</v>
      </c>
      <c r="D181" s="40" t="str">
        <f ca="1">IFERROR(__xludf.DUMMYFUNCTION("""COMPUTED_VALUE"""),"CC")</f>
        <v>CC</v>
      </c>
      <c r="E181" s="40">
        <f ca="1">IFERROR(__xludf.DUMMYFUNCTION("""COMPUTED_VALUE"""),1084257415)</f>
        <v>1084257415</v>
      </c>
      <c r="F181" s="40">
        <f ca="1">IFERROR(__xludf.DUMMYFUNCTION("""COMPUTED_VALUE"""),1853739)</f>
        <v>1853739</v>
      </c>
      <c r="G181" s="40" t="str">
        <f ca="1">IFERROR(__xludf.DUMMYFUNCTION("""COMPUTED_VALUE"""),"TÉCNICO")</f>
        <v>TÉCNICO</v>
      </c>
      <c r="H181" s="40" t="str">
        <f ca="1">IFERROR(__xludf.DUMMYFUNCTION("""COMPUTED_VALUE"""),"SISTEMAS")</f>
        <v>SISTEMAS</v>
      </c>
      <c r="I181" s="40"/>
      <c r="J181" s="40"/>
      <c r="K181" s="40"/>
      <c r="L181" s="40" t="str">
        <f ca="1">IFERROR(__xludf.DUMMYFUNCTION("""COMPUTED_VALUE"""),"NO HA INICIADO ETAPA PRODUCTIVA")</f>
        <v>NO HA INICIADO ETAPA PRODUCTIVA</v>
      </c>
      <c r="M181" s="40"/>
      <c r="N181" s="40"/>
      <c r="O181" s="40"/>
      <c r="P181" s="40"/>
      <c r="Q181" s="40"/>
      <c r="R181" s="140"/>
      <c r="S181" s="1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t="str">
        <f ca="1">IFERROR(__xludf.DUMMYFUNCTION("""COMPUTED_VALUE"""),"Procede_E_P")</f>
        <v>Procede_E_P</v>
      </c>
      <c r="AV181" s="40" t="str">
        <f ca="1">IFERROR(__xludf.DUMMYFUNCTION("""COMPUTED_VALUE"""),"EN FORMACION")</f>
        <v>EN FORMACION</v>
      </c>
      <c r="AW181" s="40" t="str">
        <f ca="1">IFERROR(__xludf.DUMMYFUNCTION("""COMPUTED_VALUE"""),"TIC")</f>
        <v>TIC</v>
      </c>
      <c r="AX181" s="141">
        <f ca="1">IFERROR(__xludf.DUMMYFUNCTION("""COMPUTED_VALUE"""),44848)</f>
        <v>44848</v>
      </c>
      <c r="AY181" s="40">
        <f ca="1">IFERROR(__xludf.DUMMYFUNCTION("""COMPUTED_VALUE"""),0)</f>
        <v>0</v>
      </c>
      <c r="AZ181" s="40">
        <f ca="1">IFERROR(__xludf.DUMMYFUNCTION("""COMPUTED_VALUE"""),1)</f>
        <v>1</v>
      </c>
      <c r="BA181" s="40">
        <f ca="1">IFERROR(__xludf.DUMMYFUNCTION("""COMPUTED_VALUE"""),0)</f>
        <v>0</v>
      </c>
      <c r="BB181" s="40">
        <f ca="1">IFERROR(__xludf.DUMMYFUNCTION("""COMPUTED_VALUE"""),0)</f>
        <v>0</v>
      </c>
      <c r="BC181" s="40">
        <f ca="1">IFERROR(__xludf.DUMMYFUNCTION("""COMPUTED_VALUE"""),1)</f>
        <v>1</v>
      </c>
      <c r="BD181" s="141">
        <f ca="1">IFERROR(__xludf.DUMMYFUNCTION("""COMPUTED_VALUE"""),43531)</f>
        <v>43531</v>
      </c>
      <c r="BE181" s="141">
        <f ca="1">IFERROR(__xludf.DUMMYFUNCTION("""COMPUTED_VALUE"""),43715)</f>
        <v>43715</v>
      </c>
      <c r="BF181" s="141">
        <f ca="1">IFERROR(__xludf.DUMMYFUNCTION("""COMPUTED_VALUE"""),43897)</f>
        <v>43897</v>
      </c>
      <c r="BG181" s="141">
        <f ca="1">IFERROR(__xludf.DUMMYFUNCTION("""COMPUTED_VALUE"""),44446)</f>
        <v>44446</v>
      </c>
      <c r="BH181" s="40" t="str">
        <f ca="1">IFERROR(__xludf.DUMMYFUNCTION("""COMPUTED_VALUE"""),"FINALIZAR FICHA")</f>
        <v>FINALIZAR FICHA</v>
      </c>
      <c r="BI181" s="40" t="str">
        <f ca="1">IFERROR(__xludf.DUMMYFUNCTION("""COMPUTED_VALUE"""),"Terminada por Fecha     ")</f>
        <v xml:space="preserve">Terminada por Fecha     </v>
      </c>
      <c r="BJ181" s="40" t="str">
        <f ca="1">IFERROR(__xludf.DUMMYFUNCTION("""COMPUTED_VALUE"""),"Yamboro")</f>
        <v>Yamboro</v>
      </c>
      <c r="BK181" s="40"/>
      <c r="BL181" s="40"/>
    </row>
    <row r="182" spans="1:64" ht="13">
      <c r="A182" s="40"/>
      <c r="B182" s="40" t="str">
        <f ca="1">IFERROR(__xludf.DUMMYFUNCTION("""COMPUTED_VALUE"""),"FORMACIÓN 25/08/2022")</f>
        <v>FORMACIÓN 25/08/2022</v>
      </c>
      <c r="C182" s="40" t="str">
        <f ca="1">IFERROR(__xludf.DUMMYFUNCTION("""COMPUTED_VALUE"""),"LEIDI MARCELA MUÑOZ ZUÑIGA")</f>
        <v>LEIDI MARCELA MUÑOZ ZUÑIGA</v>
      </c>
      <c r="D182" s="40" t="str">
        <f ca="1">IFERROR(__xludf.DUMMYFUNCTION("""COMPUTED_VALUE"""),"CC")</f>
        <v>CC</v>
      </c>
      <c r="E182" s="40">
        <f ca="1">IFERROR(__xludf.DUMMYFUNCTION("""COMPUTED_VALUE"""),1084258809)</f>
        <v>1084258809</v>
      </c>
      <c r="F182" s="40">
        <f ca="1">IFERROR(__xludf.DUMMYFUNCTION("""COMPUTED_VALUE"""),1853739)</f>
        <v>1853739</v>
      </c>
      <c r="G182" s="40" t="str">
        <f ca="1">IFERROR(__xludf.DUMMYFUNCTION("""COMPUTED_VALUE"""),"TÉCNICO")</f>
        <v>TÉCNICO</v>
      </c>
      <c r="H182" s="40" t="str">
        <f ca="1">IFERROR(__xludf.DUMMYFUNCTION("""COMPUTED_VALUE"""),"SISTEMAS")</f>
        <v>SISTEMAS</v>
      </c>
      <c r="I182" s="40"/>
      <c r="J182" s="40"/>
      <c r="K182" s="40"/>
      <c r="L182" s="40" t="str">
        <f ca="1">IFERROR(__xludf.DUMMYFUNCTION("""COMPUTED_VALUE"""),"NO HA INICIADO ETAPA PRODUCTIVA")</f>
        <v>NO HA INICIADO ETAPA PRODUCTIVA</v>
      </c>
      <c r="M182" s="40"/>
      <c r="N182" s="40"/>
      <c r="O182" s="40"/>
      <c r="P182" s="40"/>
      <c r="Q182" s="40"/>
      <c r="R182" s="140"/>
      <c r="S182" s="1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t="str">
        <f ca="1">IFERROR(__xludf.DUMMYFUNCTION("""COMPUTED_VALUE"""),"Procede_E_P")</f>
        <v>Procede_E_P</v>
      </c>
      <c r="AV182" s="40" t="str">
        <f ca="1">IFERROR(__xludf.DUMMYFUNCTION("""COMPUTED_VALUE"""),"EN FORMACION")</f>
        <v>EN FORMACION</v>
      </c>
      <c r="AW182" s="40" t="str">
        <f ca="1">IFERROR(__xludf.DUMMYFUNCTION("""COMPUTED_VALUE"""),"TIC")</f>
        <v>TIC</v>
      </c>
      <c r="AX182" s="141">
        <f ca="1">IFERROR(__xludf.DUMMYFUNCTION("""COMPUTED_VALUE"""),44848)</f>
        <v>44848</v>
      </c>
      <c r="AY182" s="40">
        <f ca="1">IFERROR(__xludf.DUMMYFUNCTION("""COMPUTED_VALUE"""),0)</f>
        <v>0</v>
      </c>
      <c r="AZ182" s="40">
        <f ca="1">IFERROR(__xludf.DUMMYFUNCTION("""COMPUTED_VALUE"""),1)</f>
        <v>1</v>
      </c>
      <c r="BA182" s="40">
        <f ca="1">IFERROR(__xludf.DUMMYFUNCTION("""COMPUTED_VALUE"""),0)</f>
        <v>0</v>
      </c>
      <c r="BB182" s="40">
        <f ca="1">IFERROR(__xludf.DUMMYFUNCTION("""COMPUTED_VALUE"""),0)</f>
        <v>0</v>
      </c>
      <c r="BC182" s="40">
        <f ca="1">IFERROR(__xludf.DUMMYFUNCTION("""COMPUTED_VALUE"""),1)</f>
        <v>1</v>
      </c>
      <c r="BD182" s="141">
        <f ca="1">IFERROR(__xludf.DUMMYFUNCTION("""COMPUTED_VALUE"""),43531)</f>
        <v>43531</v>
      </c>
      <c r="BE182" s="141">
        <f ca="1">IFERROR(__xludf.DUMMYFUNCTION("""COMPUTED_VALUE"""),43715)</f>
        <v>43715</v>
      </c>
      <c r="BF182" s="141">
        <f ca="1">IFERROR(__xludf.DUMMYFUNCTION("""COMPUTED_VALUE"""),43897)</f>
        <v>43897</v>
      </c>
      <c r="BG182" s="141">
        <f ca="1">IFERROR(__xludf.DUMMYFUNCTION("""COMPUTED_VALUE"""),44446)</f>
        <v>44446</v>
      </c>
      <c r="BH182" s="40" t="str">
        <f ca="1">IFERROR(__xludf.DUMMYFUNCTION("""COMPUTED_VALUE"""),"FINALIZAR FICHA")</f>
        <v>FINALIZAR FICHA</v>
      </c>
      <c r="BI182" s="40" t="str">
        <f ca="1">IFERROR(__xludf.DUMMYFUNCTION("""COMPUTED_VALUE"""),"Terminada por Fecha     ")</f>
        <v xml:space="preserve">Terminada por Fecha     </v>
      </c>
      <c r="BJ182" s="40" t="str">
        <f ca="1">IFERROR(__xludf.DUMMYFUNCTION("""COMPUTED_VALUE"""),"Yamboro")</f>
        <v>Yamboro</v>
      </c>
      <c r="BK182" s="40"/>
      <c r="BL182" s="40"/>
    </row>
    <row r="183" spans="1:64" ht="13">
      <c r="A183" s="40"/>
      <c r="B183" s="40" t="str">
        <f ca="1">IFERROR(__xludf.DUMMYFUNCTION("""COMPUTED_VALUE"""),"FORMACIÓN 25/08/2023")</f>
        <v>FORMACIÓN 25/08/2023</v>
      </c>
      <c r="C183" s="40" t="str">
        <f ca="1">IFERROR(__xludf.DUMMYFUNCTION("""COMPUTED_VALUE"""),"YUDY ANDREA GARCIA IMBACHI")</f>
        <v>YUDY ANDREA GARCIA IMBACHI</v>
      </c>
      <c r="D183" s="40" t="str">
        <f ca="1">IFERROR(__xludf.DUMMYFUNCTION("""COMPUTED_VALUE"""),"CC")</f>
        <v>CC</v>
      </c>
      <c r="E183" s="40">
        <f ca="1">IFERROR(__xludf.DUMMYFUNCTION("""COMPUTED_VALUE"""),1084259110)</f>
        <v>1084259110</v>
      </c>
      <c r="F183" s="40">
        <f ca="1">IFERROR(__xludf.DUMMYFUNCTION("""COMPUTED_VALUE"""),1853739)</f>
        <v>1853739</v>
      </c>
      <c r="G183" s="40" t="str">
        <f ca="1">IFERROR(__xludf.DUMMYFUNCTION("""COMPUTED_VALUE"""),"TÉCNICO")</f>
        <v>TÉCNICO</v>
      </c>
      <c r="H183" s="40" t="str">
        <f ca="1">IFERROR(__xludf.DUMMYFUNCTION("""COMPUTED_VALUE"""),"SISTEMAS")</f>
        <v>SISTEMAS</v>
      </c>
      <c r="I183" s="40"/>
      <c r="J183" s="40"/>
      <c r="K183" s="40"/>
      <c r="L183" s="40" t="str">
        <f ca="1">IFERROR(__xludf.DUMMYFUNCTION("""COMPUTED_VALUE"""),"NO HA INICIADO ETAPA PRODUCTIVA")</f>
        <v>NO HA INICIADO ETAPA PRODUCTIVA</v>
      </c>
      <c r="M183" s="40"/>
      <c r="N183" s="40"/>
      <c r="O183" s="40"/>
      <c r="P183" s="40"/>
      <c r="Q183" s="40"/>
      <c r="R183" s="140"/>
      <c r="S183" s="1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t="str">
        <f ca="1">IFERROR(__xludf.DUMMYFUNCTION("""COMPUTED_VALUE"""),"Procede_E_P")</f>
        <v>Procede_E_P</v>
      </c>
      <c r="AV183" s="40" t="str">
        <f ca="1">IFERROR(__xludf.DUMMYFUNCTION("""COMPUTED_VALUE"""),"EN FORMACION")</f>
        <v>EN FORMACION</v>
      </c>
      <c r="AW183" s="40" t="str">
        <f ca="1">IFERROR(__xludf.DUMMYFUNCTION("""COMPUTED_VALUE"""),"TIC")</f>
        <v>TIC</v>
      </c>
      <c r="AX183" s="141">
        <f ca="1">IFERROR(__xludf.DUMMYFUNCTION("""COMPUTED_VALUE"""),44848)</f>
        <v>44848</v>
      </c>
      <c r="AY183" s="40">
        <f ca="1">IFERROR(__xludf.DUMMYFUNCTION("""COMPUTED_VALUE"""),0)</f>
        <v>0</v>
      </c>
      <c r="AZ183" s="40">
        <f ca="1">IFERROR(__xludf.DUMMYFUNCTION("""COMPUTED_VALUE"""),1)</f>
        <v>1</v>
      </c>
      <c r="BA183" s="40">
        <f ca="1">IFERROR(__xludf.DUMMYFUNCTION("""COMPUTED_VALUE"""),0)</f>
        <v>0</v>
      </c>
      <c r="BB183" s="40">
        <f ca="1">IFERROR(__xludf.DUMMYFUNCTION("""COMPUTED_VALUE"""),0)</f>
        <v>0</v>
      </c>
      <c r="BC183" s="40">
        <f ca="1">IFERROR(__xludf.DUMMYFUNCTION("""COMPUTED_VALUE"""),1)</f>
        <v>1</v>
      </c>
      <c r="BD183" s="141">
        <f ca="1">IFERROR(__xludf.DUMMYFUNCTION("""COMPUTED_VALUE"""),43531)</f>
        <v>43531</v>
      </c>
      <c r="BE183" s="141">
        <f ca="1">IFERROR(__xludf.DUMMYFUNCTION("""COMPUTED_VALUE"""),43715)</f>
        <v>43715</v>
      </c>
      <c r="BF183" s="141">
        <f ca="1">IFERROR(__xludf.DUMMYFUNCTION("""COMPUTED_VALUE"""),43897)</f>
        <v>43897</v>
      </c>
      <c r="BG183" s="141">
        <f ca="1">IFERROR(__xludf.DUMMYFUNCTION("""COMPUTED_VALUE"""),44446)</f>
        <v>44446</v>
      </c>
      <c r="BH183" s="40" t="str">
        <f ca="1">IFERROR(__xludf.DUMMYFUNCTION("""COMPUTED_VALUE"""),"FINALIZAR FICHA")</f>
        <v>FINALIZAR FICHA</v>
      </c>
      <c r="BI183" s="40" t="str">
        <f ca="1">IFERROR(__xludf.DUMMYFUNCTION("""COMPUTED_VALUE"""),"Terminada por Fecha     ")</f>
        <v xml:space="preserve">Terminada por Fecha     </v>
      </c>
      <c r="BJ183" s="40" t="str">
        <f ca="1">IFERROR(__xludf.DUMMYFUNCTION("""COMPUTED_VALUE"""),"Yamboro")</f>
        <v>Yamboro</v>
      </c>
      <c r="BK183" s="40"/>
      <c r="BL183" s="40"/>
    </row>
    <row r="184" spans="1:64" ht="13">
      <c r="A184" s="40"/>
      <c r="B184" s="40" t="str">
        <f ca="1">IFERROR(__xludf.DUMMYFUNCTION("""COMPUTED_VALUE"""),"NO CALIFICADO FORMACION.. Revisado 05/08/2022")</f>
        <v>NO CALIFICADO FORMACION.. Revisado 05/08/2022</v>
      </c>
      <c r="C184" s="40"/>
      <c r="D184" s="40"/>
      <c r="E184" s="40"/>
      <c r="F184" s="40">
        <f ca="1">IFERROR(__xludf.DUMMYFUNCTION("""COMPUTED_VALUE"""),1856678)</f>
        <v>1856678</v>
      </c>
      <c r="G184" s="40" t="str">
        <f ca="1">IFERROR(__xludf.DUMMYFUNCTION("""COMPUTED_VALUE"""),"TÉCNICO")</f>
        <v>TÉCNICO</v>
      </c>
      <c r="H184" s="40" t="str">
        <f ca="1">IFERROR(__xludf.DUMMYFUNCTION("""COMPUTED_VALUE"""),"SISTEMAS")</f>
        <v>SISTEMAS</v>
      </c>
      <c r="I184" s="40">
        <f ca="1">IFERROR(__xludf.DUMMYFUNCTION("""COMPUTED_VALUE"""),3144002745)</f>
        <v>3144002745</v>
      </c>
      <c r="J184" s="40" t="str">
        <f ca="1">IFERROR(__xludf.DUMMYFUNCTION("""COMPUTED_VALUE"""),"adbenavides79@misena.edu.co")</f>
        <v>adbenavides79@misena.edu.co</v>
      </c>
      <c r="K184" s="40"/>
      <c r="L184" s="40" t="str">
        <f ca="1">IFERROR(__xludf.DUMMYFUNCTION("""COMPUTED_VALUE"""),"PASANTÍAS")</f>
        <v>PASANTÍAS</v>
      </c>
      <c r="M184" s="40" t="str">
        <f ca="1">IFERROR(__xludf.DUMMYFUNCTION("""COMPUTED_VALUE"""),"COLEGIO LA ANUNCIACIÒN TIMANA")</f>
        <v>COLEGIO LA ANUNCIACIÒN TIMANA</v>
      </c>
      <c r="N184" s="40" t="str">
        <f ca="1">IFERROR(__xludf.DUMMYFUNCTION("""COMPUTED_VALUE"""),"Carrera 4 # 7-15")</f>
        <v>Carrera 4 # 7-15</v>
      </c>
      <c r="O184" s="40">
        <f ca="1">IFERROR(__xludf.DUMMYFUNCTION("""COMPUTED_VALUE"""),3118441927)</f>
        <v>3118441927</v>
      </c>
      <c r="P184" s="40" t="str">
        <f ca="1">IFERROR(__xludf.DUMMYFUNCTION("""COMPUTED_VALUE"""),"TIMANA")</f>
        <v>TIMANA</v>
      </c>
      <c r="Q184" s="40" t="str">
        <f ca="1">IFERROR(__xludf.DUMMYFUNCTION("""COMPUTED_VALUE"""),"jose121255@gmail.com")</f>
        <v>jose121255@gmail.com</v>
      </c>
      <c r="R184" s="140">
        <f ca="1">IFERROR(__xludf.DUMMYFUNCTION("""COMPUTED_VALUE"""),43739)</f>
        <v>43739</v>
      </c>
      <c r="S184" s="140">
        <f ca="1">IFERROR(__xludf.DUMMYFUNCTION("""COMPUTED_VALUE"""),43920)</f>
        <v>43920</v>
      </c>
      <c r="T184" s="40" t="str">
        <f ca="1">IFERROR(__xludf.DUMMYFUNCTION("""COMPUTED_VALUE"""),"El aprendiz aún no ha subido el total de 12 bitácoras para aprobar el resultado. El aprendiz tiene plazo hasta el 23 de marzo del 2022. para estar al día y por ende proceder en sofía plus. ( nOMRA PEREZ)")</f>
        <v>El aprendiz aún no ha subido el total de 12 bitácoras para aprobar el resultado. El aprendiz tiene plazo hasta el 23 de marzo del 2022. para estar al día y por ende proceder en sofía plus. ( nOMRA PEREZ)</v>
      </c>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t="str">
        <f ca="1">IFERROR(__xludf.DUMMYFUNCTION("""COMPUTED_VALUE"""),"TIC")</f>
        <v>TIC</v>
      </c>
      <c r="AX184" s="141"/>
      <c r="AY184" s="40"/>
      <c r="AZ184" s="40"/>
      <c r="BA184" s="40"/>
      <c r="BB184" s="40"/>
      <c r="BC184" s="40"/>
      <c r="BD184" s="141"/>
      <c r="BE184" s="141"/>
      <c r="BF184" s="141">
        <f ca="1">IFERROR(__xludf.DUMMYFUNCTION("""COMPUTED_VALUE"""),43902)</f>
        <v>43902</v>
      </c>
      <c r="BG184" s="141">
        <f ca="1">IFERROR(__xludf.DUMMYFUNCTION("""COMPUTED_VALUE"""),44451)</f>
        <v>44451</v>
      </c>
      <c r="BH184" s="40" t="str">
        <f ca="1">IFERROR(__xludf.DUMMYFUNCTION("""COMPUTED_VALUE"""),"FINALIZAR FICHA")</f>
        <v>FINALIZAR FICHA</v>
      </c>
      <c r="BI184" s="40" t="str">
        <f ca="1">IFERROR(__xludf.DUMMYFUNCTION("""COMPUTED_VALUE"""),"Terminada por Fecha     ")</f>
        <v xml:space="preserve">Terminada por Fecha     </v>
      </c>
      <c r="BJ184" s="40" t="str">
        <f ca="1">IFERROR(__xludf.DUMMYFUNCTION("""COMPUTED_VALUE"""),"Yamboro")</f>
        <v>Yamboro</v>
      </c>
      <c r="BK184" s="40"/>
      <c r="BL184" s="40"/>
    </row>
    <row r="185" spans="1:64" ht="13">
      <c r="A185" s="40"/>
      <c r="B185" s="40" t="str">
        <f ca="1">IFERROR(__xludf.DUMMYFUNCTION("""COMPUTED_VALUE"""),"FORMACIÓN 19/09/2022")</f>
        <v>FORMACIÓN 19/09/2022</v>
      </c>
      <c r="C185" s="40" t="str">
        <f ca="1">IFERROR(__xludf.DUMMYFUNCTION("""COMPUTED_VALUE"""),"KAREN YULIANA CUELLAR VARGAS")</f>
        <v>KAREN YULIANA CUELLAR VARGAS</v>
      </c>
      <c r="D185" s="40" t="str">
        <f ca="1">IFERROR(__xludf.DUMMYFUNCTION("""COMPUTED_VALUE"""),"TI")</f>
        <v>TI</v>
      </c>
      <c r="E185" s="40">
        <f ca="1">IFERROR(__xludf.DUMMYFUNCTION("""COMPUTED_VALUE"""),1004033711)</f>
        <v>1004033711</v>
      </c>
      <c r="F185" s="40">
        <f ca="1">IFERROR(__xludf.DUMMYFUNCTION("""COMPUTED_VALUE"""),2065508)</f>
        <v>2065508</v>
      </c>
      <c r="G185" s="40" t="str">
        <f ca="1">IFERROR(__xludf.DUMMYFUNCTION("""COMPUTED_VALUE"""),"TÉCNICO")</f>
        <v>TÉCNICO</v>
      </c>
      <c r="H185" s="40" t="str">
        <f ca="1">IFERROR(__xludf.DUMMYFUNCTION("""COMPUTED_VALUE"""),"AGROINDUSTRIA ALIMENTARIA")</f>
        <v>AGROINDUSTRIA ALIMENTARIA</v>
      </c>
      <c r="I185" s="40"/>
      <c r="J185" s="40" t="str">
        <f ca="1">IFERROR(__xludf.DUMMYFUNCTION("""COMPUTED_VALUE"""),"karencuellar176@gmail.com")</f>
        <v>karencuellar176@gmail.com</v>
      </c>
      <c r="K185" s="40"/>
      <c r="L185" s="40" t="str">
        <f ca="1">IFERROR(__xludf.DUMMYFUNCTION("""COMPUTED_VALUE"""),"NO HA INICIADO ETAPA PRODUCTIVA")</f>
        <v>NO HA INICIADO ETAPA PRODUCTIVA</v>
      </c>
      <c r="M185" s="40"/>
      <c r="N185" s="40"/>
      <c r="O185" s="40"/>
      <c r="P185" s="40"/>
      <c r="Q185" s="40"/>
      <c r="R185" s="140"/>
      <c r="S185" s="1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t="str">
        <f ca="1">IFERROR(__xludf.DUMMYFUNCTION("""COMPUTED_VALUE"""),"Procede_E_P")</f>
        <v>Procede_E_P</v>
      </c>
      <c r="AV185" s="40" t="str">
        <f ca="1">IFERROR(__xludf.DUMMYFUNCTION("""COMPUTED_VALUE"""),"EN FORMACION")</f>
        <v>EN FORMACION</v>
      </c>
      <c r="AW185" s="40" t="str">
        <f ca="1">IFERROR(__xludf.DUMMYFUNCTION("""COMPUTED_VALUE"""),"AGROPECUARIO")</f>
        <v>AGROPECUARIO</v>
      </c>
      <c r="AX185" s="141">
        <f ca="1">IFERROR(__xludf.DUMMYFUNCTION("""COMPUTED_VALUE"""),44848)</f>
        <v>44848</v>
      </c>
      <c r="AY185" s="40">
        <f ca="1">IFERROR(__xludf.DUMMYFUNCTION("""COMPUTED_VALUE"""),0)</f>
        <v>0</v>
      </c>
      <c r="AZ185" s="40">
        <f ca="1">IFERROR(__xludf.DUMMYFUNCTION("""COMPUTED_VALUE"""),1)</f>
        <v>1</v>
      </c>
      <c r="BA185" s="40">
        <f ca="1">IFERROR(__xludf.DUMMYFUNCTION("""COMPUTED_VALUE"""),0)</f>
        <v>0</v>
      </c>
      <c r="BB185" s="40">
        <f ca="1">IFERROR(__xludf.DUMMYFUNCTION("""COMPUTED_VALUE"""),0)</f>
        <v>0</v>
      </c>
      <c r="BC185" s="40">
        <f ca="1">IFERROR(__xludf.DUMMYFUNCTION("""COMPUTED_VALUE"""),1)</f>
        <v>1</v>
      </c>
      <c r="BD185" s="141">
        <f ca="1">IFERROR(__xludf.DUMMYFUNCTION("""COMPUTED_VALUE"""),43878)</f>
        <v>43878</v>
      </c>
      <c r="BE185" s="141">
        <f ca="1">IFERROR(__xludf.DUMMYFUNCTION("""COMPUTED_VALUE"""),44255)</f>
        <v>44255</v>
      </c>
      <c r="BF185" s="141">
        <f ca="1">IFERROR(__xludf.DUMMYFUNCTION("""COMPUTED_VALUE"""),44436)</f>
        <v>44436</v>
      </c>
      <c r="BG185" s="141">
        <f ca="1">IFERROR(__xludf.DUMMYFUNCTION("""COMPUTED_VALUE"""),44985)</f>
        <v>44985</v>
      </c>
      <c r="BH185" s="40" t="str">
        <f ca="1">IFERROR(__xludf.DUMMYFUNCTION("""COMPUTED_VALUE"""),"FICHA EN TIEMPO-18 MESES")</f>
        <v>FICHA EN TIEMPO-18 MESES</v>
      </c>
      <c r="BI185" s="40" t="str">
        <f ca="1">IFERROR(__xludf.DUMMYFUNCTION("""COMPUTED_VALUE"""),"Terminada por fecha")</f>
        <v>Terminada por fecha</v>
      </c>
      <c r="BJ185" s="40" t="str">
        <f ca="1">IFERROR(__xludf.DUMMYFUNCTION("""COMPUTED_VALUE"""),"Yamboro")</f>
        <v>Yamboro</v>
      </c>
      <c r="BK185" s="40"/>
      <c r="BL185" s="40"/>
    </row>
    <row r="186" spans="1:64" ht="13">
      <c r="A186" s="40"/>
      <c r="B186" s="40" t="str">
        <f ca="1">IFERROR(__xludf.DUMMYFUNCTION("""COMPUTED_VALUE"""),"FORMACIÓN 18/10/2022")</f>
        <v>FORMACIÓN 18/10/2022</v>
      </c>
      <c r="C186" s="40" t="str">
        <f ca="1">IFERROR(__xludf.DUMMYFUNCTION("""COMPUTED_VALUE"""),"JOSE ARMANDO BARON BUITRON
")</f>
        <v xml:space="preserve">JOSE ARMANDO BARON BUITRON
</v>
      </c>
      <c r="D186" s="40" t="str">
        <f ca="1">IFERROR(__xludf.DUMMYFUNCTION("""COMPUTED_VALUE"""),"CC")</f>
        <v>CC</v>
      </c>
      <c r="E186" s="40">
        <f ca="1">IFERROR(__xludf.DUMMYFUNCTION("""COMPUTED_VALUE"""),1004247659)</f>
        <v>1004247659</v>
      </c>
      <c r="F186" s="40">
        <f ca="1">IFERROR(__xludf.DUMMYFUNCTION("""COMPUTED_VALUE"""),1834923)</f>
        <v>1834923</v>
      </c>
      <c r="G186" s="40" t="str">
        <f ca="1">IFERROR(__xludf.DUMMYFUNCTION("""COMPUTED_VALUE"""),"TÉCNICO")</f>
        <v>TÉCNICO</v>
      </c>
      <c r="H186" s="40" t="str">
        <f ca="1">IFERROR(__xludf.DUMMYFUNCTION("""COMPUTED_VALUE"""),"INSTALACIONES ELECTRICAS RESIDENCIALES")</f>
        <v>INSTALACIONES ELECTRICAS RESIDENCIALES</v>
      </c>
      <c r="I186" s="40"/>
      <c r="J186" s="40"/>
      <c r="K186" s="40"/>
      <c r="L186" s="40" t="str">
        <f ca="1">IFERROR(__xludf.DUMMYFUNCTION("""COMPUTED_VALUE"""),"NO HA INICIADO ETAPA PRODUCTIVA")</f>
        <v>NO HA INICIADO ETAPA PRODUCTIVA</v>
      </c>
      <c r="M186" s="40"/>
      <c r="N186" s="40"/>
      <c r="O186" s="40"/>
      <c r="P186" s="40"/>
      <c r="Q186" s="40"/>
      <c r="R186" s="140"/>
      <c r="S186" s="1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t="str">
        <f ca="1">IFERROR(__xludf.DUMMYFUNCTION("""COMPUTED_VALUE"""),"NO_CUMPLE")</f>
        <v>NO_CUMPLE</v>
      </c>
      <c r="AV186" s="40" t="str">
        <f ca="1">IFERROR(__xludf.DUMMYFUNCTION("""COMPUTED_VALUE"""),"EN FORMACION")</f>
        <v>EN FORMACION</v>
      </c>
      <c r="AW186" s="40" t="str">
        <f ca="1">IFERROR(__xludf.DUMMYFUNCTION("""COMPUTED_VALUE"""),"BIOCONSTRUCCION")</f>
        <v>BIOCONSTRUCCION</v>
      </c>
      <c r="AX186" s="141">
        <f ca="1">IFERROR(__xludf.DUMMYFUNCTION("""COMPUTED_VALUE"""),44848)</f>
        <v>44848</v>
      </c>
      <c r="AY186" s="40">
        <f ca="1">IFERROR(__xludf.DUMMYFUNCTION("""COMPUTED_VALUE"""),2)</f>
        <v>2</v>
      </c>
      <c r="AZ186" s="40">
        <f ca="1">IFERROR(__xludf.DUMMYFUNCTION("""COMPUTED_VALUE"""),1)</f>
        <v>1</v>
      </c>
      <c r="BA186" s="40">
        <f ca="1">IFERROR(__xludf.DUMMYFUNCTION("""COMPUTED_VALUE"""),7)</f>
        <v>7</v>
      </c>
      <c r="BB186" s="40">
        <f ca="1">IFERROR(__xludf.DUMMYFUNCTION("""COMPUTED_VALUE"""),15)</f>
        <v>15</v>
      </c>
      <c r="BC186" s="40">
        <f ca="1">IFERROR(__xludf.DUMMYFUNCTION("""COMPUTED_VALUE"""),25)</f>
        <v>25</v>
      </c>
      <c r="BD186" s="141">
        <f ca="1">IFERROR(__xludf.DUMMYFUNCTION("""COMPUTED_VALUE"""),43577)</f>
        <v>43577</v>
      </c>
      <c r="BE186" s="141">
        <f ca="1">IFERROR(__xludf.DUMMYFUNCTION("""COMPUTED_VALUE"""),43852)</f>
        <v>43852</v>
      </c>
      <c r="BF186" s="141">
        <f ca="1">IFERROR(__xludf.DUMMYFUNCTION("""COMPUTED_VALUE"""),44034)</f>
        <v>44034</v>
      </c>
      <c r="BG186" s="141">
        <f ca="1">IFERROR(__xludf.DUMMYFUNCTION("""COMPUTED_VALUE"""),44583)</f>
        <v>44583</v>
      </c>
      <c r="BH186" s="40" t="str">
        <f ca="1">IFERROR(__xludf.DUMMYFUNCTION("""COMPUTED_VALUE"""),"FINALIZAR FICHA")</f>
        <v>FINALIZAR FICHA</v>
      </c>
      <c r="BI186" s="40" t="str">
        <f ca="1">IFERROR(__xludf.DUMMYFUNCTION("""COMPUTED_VALUE"""),"Terminada por Fecha     ")</f>
        <v xml:space="preserve">Terminada por Fecha     </v>
      </c>
      <c r="BJ186" s="40" t="str">
        <f ca="1">IFERROR(__xludf.DUMMYFUNCTION("""COMPUTED_VALUE"""),"Yamboro")</f>
        <v>Yamboro</v>
      </c>
      <c r="BK186" s="40"/>
      <c r="BL186" s="40"/>
    </row>
    <row r="187" spans="1:64" ht="13">
      <c r="A187" s="40"/>
      <c r="B187" s="40" t="str">
        <f ca="1">IFERROR(__xludf.DUMMYFUNCTION("""COMPUTED_VALUE"""),"FORMACIÓN 18/10/2022")</f>
        <v>FORMACIÓN 18/10/2022</v>
      </c>
      <c r="C187" s="40" t="str">
        <f ca="1">IFERROR(__xludf.DUMMYFUNCTION("""COMPUTED_VALUE"""),"HECTOR HERNANDO BARRIOS CERON")</f>
        <v>HECTOR HERNANDO BARRIOS CERON</v>
      </c>
      <c r="D187" s="40" t="str">
        <f ca="1">IFERROR(__xludf.DUMMYFUNCTION("""COMPUTED_VALUE"""),"CC")</f>
        <v>CC</v>
      </c>
      <c r="E187" s="40">
        <f ca="1">IFERROR(__xludf.DUMMYFUNCTION("""COMPUTED_VALUE"""),1004442723)</f>
        <v>1004442723</v>
      </c>
      <c r="F187" s="40">
        <f ca="1">IFERROR(__xludf.DUMMYFUNCTION("""COMPUTED_VALUE"""),1834923)</f>
        <v>1834923</v>
      </c>
      <c r="G187" s="40" t="str">
        <f ca="1">IFERROR(__xludf.DUMMYFUNCTION("""COMPUTED_VALUE"""),"TÉCNICO")</f>
        <v>TÉCNICO</v>
      </c>
      <c r="H187" s="40" t="str">
        <f ca="1">IFERROR(__xludf.DUMMYFUNCTION("""COMPUTED_VALUE"""),"INSTALACIONES ELECTRICAS RESIDENCIALES")</f>
        <v>INSTALACIONES ELECTRICAS RESIDENCIALES</v>
      </c>
      <c r="I187" s="40"/>
      <c r="J187" s="40"/>
      <c r="K187" s="40"/>
      <c r="L187" s="40" t="str">
        <f ca="1">IFERROR(__xludf.DUMMYFUNCTION("""COMPUTED_VALUE"""),"NO HA INICIADO ETAPA PRODUCTIVA")</f>
        <v>NO HA INICIADO ETAPA PRODUCTIVA</v>
      </c>
      <c r="M187" s="40"/>
      <c r="N187" s="40"/>
      <c r="O187" s="40"/>
      <c r="P187" s="40"/>
      <c r="Q187" s="40"/>
      <c r="R187" s="140"/>
      <c r="S187" s="1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t="str">
        <f ca="1">IFERROR(__xludf.DUMMYFUNCTION("""COMPUTED_VALUE"""),"NO_CUMPLE")</f>
        <v>NO_CUMPLE</v>
      </c>
      <c r="AV187" s="40" t="str">
        <f ca="1">IFERROR(__xludf.DUMMYFUNCTION("""COMPUTED_VALUE"""),"EN FORMACION")</f>
        <v>EN FORMACION</v>
      </c>
      <c r="AW187" s="40" t="str">
        <f ca="1">IFERROR(__xludf.DUMMYFUNCTION("""COMPUTED_VALUE"""),"BIOCONSTRUCCION")</f>
        <v>BIOCONSTRUCCION</v>
      </c>
      <c r="AX187" s="141">
        <f ca="1">IFERROR(__xludf.DUMMYFUNCTION("""COMPUTED_VALUE"""),44848)</f>
        <v>44848</v>
      </c>
      <c r="AY187" s="40">
        <f ca="1">IFERROR(__xludf.DUMMYFUNCTION("""COMPUTED_VALUE"""),0)</f>
        <v>0</v>
      </c>
      <c r="AZ187" s="40">
        <f ca="1">IFERROR(__xludf.DUMMYFUNCTION("""COMPUTED_VALUE"""),1)</f>
        <v>1</v>
      </c>
      <c r="BA187" s="40">
        <f ca="1">IFERROR(__xludf.DUMMYFUNCTION("""COMPUTED_VALUE"""),7)</f>
        <v>7</v>
      </c>
      <c r="BB187" s="40">
        <f ca="1">IFERROR(__xludf.DUMMYFUNCTION("""COMPUTED_VALUE"""),0)</f>
        <v>0</v>
      </c>
      <c r="BC187" s="40">
        <f ca="1">IFERROR(__xludf.DUMMYFUNCTION("""COMPUTED_VALUE"""),8)</f>
        <v>8</v>
      </c>
      <c r="BD187" s="141">
        <f ca="1">IFERROR(__xludf.DUMMYFUNCTION("""COMPUTED_VALUE"""),43577)</f>
        <v>43577</v>
      </c>
      <c r="BE187" s="141">
        <f ca="1">IFERROR(__xludf.DUMMYFUNCTION("""COMPUTED_VALUE"""),43852)</f>
        <v>43852</v>
      </c>
      <c r="BF187" s="141">
        <f ca="1">IFERROR(__xludf.DUMMYFUNCTION("""COMPUTED_VALUE"""),44034)</f>
        <v>44034</v>
      </c>
      <c r="BG187" s="141">
        <f ca="1">IFERROR(__xludf.DUMMYFUNCTION("""COMPUTED_VALUE"""),44583)</f>
        <v>44583</v>
      </c>
      <c r="BH187" s="40" t="str">
        <f ca="1">IFERROR(__xludf.DUMMYFUNCTION("""COMPUTED_VALUE"""),"FINALIZAR FICHA")</f>
        <v>FINALIZAR FICHA</v>
      </c>
      <c r="BI187" s="40" t="str">
        <f ca="1">IFERROR(__xludf.DUMMYFUNCTION("""COMPUTED_VALUE"""),"Terminada por Fecha     ")</f>
        <v xml:space="preserve">Terminada por Fecha     </v>
      </c>
      <c r="BJ187" s="40" t="str">
        <f ca="1">IFERROR(__xludf.DUMMYFUNCTION("""COMPUTED_VALUE"""),"Yamboro")</f>
        <v>Yamboro</v>
      </c>
      <c r="BK187" s="40"/>
      <c r="BL187" s="40"/>
    </row>
    <row r="188" spans="1:64" ht="13">
      <c r="A188" s="40"/>
      <c r="B188" s="40" t="str">
        <f ca="1">IFERROR(__xludf.DUMMYFUNCTION("""COMPUTED_VALUE"""),"NO CALIFICADO FORMACION.. Revisado 25/08/2022")</f>
        <v>NO CALIFICADO FORMACION.. Revisado 25/08/2022</v>
      </c>
      <c r="C188" s="40" t="str">
        <f ca="1">IFERROR(__xludf.DUMMYFUNCTION("""COMPUTED_VALUE"""),"EDWARD STEVEN CASTAÑEDA VALBUENA")</f>
        <v>EDWARD STEVEN CASTAÑEDA VALBUENA</v>
      </c>
      <c r="D188" s="40" t="str">
        <f ca="1">IFERROR(__xludf.DUMMYFUNCTION("""COMPUTED_VALUE"""),"CC")</f>
        <v>CC</v>
      </c>
      <c r="E188" s="40">
        <f ca="1">IFERROR(__xludf.DUMMYFUNCTION("""COMPUTED_VALUE"""),1007328171)</f>
        <v>1007328171</v>
      </c>
      <c r="F188" s="40">
        <f ca="1">IFERROR(__xludf.DUMMYFUNCTION("""COMPUTED_VALUE"""),1834923)</f>
        <v>1834923</v>
      </c>
      <c r="G188" s="40" t="str">
        <f ca="1">IFERROR(__xludf.DUMMYFUNCTION("""COMPUTED_VALUE"""),"TÉCNICO")</f>
        <v>TÉCNICO</v>
      </c>
      <c r="H188" s="40" t="str">
        <f ca="1">IFERROR(__xludf.DUMMYFUNCTION("""COMPUTED_VALUE"""),"INSTALACIONES ELECTRICAS RESIDENCIALES")</f>
        <v>INSTALACIONES ELECTRICAS RESIDENCIALES</v>
      </c>
      <c r="I188" s="40">
        <f ca="1">IFERROR(__xludf.DUMMYFUNCTION("""COMPUTED_VALUE"""),3132041582)</f>
        <v>3132041582</v>
      </c>
      <c r="J188" s="40" t="str">
        <f ca="1">IFERROR(__xludf.DUMMYFUNCTION("""COMPUTED_VALUE"""),"stivenedward333@gmail.com")</f>
        <v>stivenedward333@gmail.com</v>
      </c>
      <c r="K188" s="40"/>
      <c r="L188" s="40" t="str">
        <f ca="1">IFERROR(__xludf.DUMMYFUNCTION("""COMPUTED_VALUE"""),"PASANTÍAS")</f>
        <v>PASANTÍAS</v>
      </c>
      <c r="M188" s="40" t="str">
        <f ca="1">IFERROR(__xludf.DUMMYFUNCTION("""COMPUTED_VALUE"""),"CGDSS-TECNOPARQUE")</f>
        <v>CGDSS-TECNOPARQUE</v>
      </c>
      <c r="N188" s="40" t="str">
        <f ca="1">IFERROR(__xludf.DUMMYFUNCTION("""COMPUTED_VALUE"""),"YAMBORO")</f>
        <v>YAMBORO</v>
      </c>
      <c r="O188" s="40">
        <f ca="1">IFERROR(__xludf.DUMMYFUNCTION("""COMPUTED_VALUE"""),8365636)</f>
        <v>8365636</v>
      </c>
      <c r="P188" s="40" t="str">
        <f ca="1">IFERROR(__xludf.DUMMYFUNCTION("""COMPUTED_VALUE"""),"PITALITO")</f>
        <v>PITALITO</v>
      </c>
      <c r="Q188" s="40" t="str">
        <f ca="1">IFERROR(__xludf.DUMMYFUNCTION("""COMPUTED_VALUE"""),"apinzonp@sena.edu.co")</f>
        <v>apinzonp@sena.edu.co</v>
      </c>
      <c r="R188" s="140">
        <f ca="1">IFERROR(__xludf.DUMMYFUNCTION("""COMPUTED_VALUE"""),43871)</f>
        <v>43871</v>
      </c>
      <c r="S188" s="140">
        <f ca="1">IFERROR(__xludf.DUMMYFUNCTION("""COMPUTED_VALUE"""),44034)</f>
        <v>44034</v>
      </c>
      <c r="T188" s="40" t="str">
        <f ca="1">IFERROR(__xludf.DUMMYFUNCTION("""COMPUTED_VALUE"""),"Tiene acuerdo de voluntades,  e informe, falta seguimiento, bitácoras y certificación...Revisado 03/02/2022")</f>
        <v>Tiene acuerdo de voluntades,  e informe, falta seguimiento, bitácoras y certificación...Revisado 03/02/2022</v>
      </c>
      <c r="U188" s="40"/>
      <c r="V188" s="40" t="str">
        <f ca="1">IFERROR(__xludf.DUMMYFUNCTION("""COMPUTED_VALUE"""),"No tiene seguimiento ...Revisado 25/04/2022")</f>
        <v>No tiene seguimiento ...Revisado 25/04/2022</v>
      </c>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t="str">
        <f ca="1">IFERROR(__xludf.DUMMYFUNCTION("""COMPUTED_VALUE"""),"Procede_E_P")</f>
        <v>Procede_E_P</v>
      </c>
      <c r="AV188" s="40" t="str">
        <f ca="1">IFERROR(__xludf.DUMMYFUNCTION("""COMPUTED_VALUE"""),"EN FORMACION")</f>
        <v>EN FORMACION</v>
      </c>
      <c r="AW188" s="40" t="str">
        <f ca="1">IFERROR(__xludf.DUMMYFUNCTION("""COMPUTED_VALUE"""),"BIOCONSTRUCCION")</f>
        <v>BIOCONSTRUCCION</v>
      </c>
      <c r="AX188" s="141">
        <f ca="1">IFERROR(__xludf.DUMMYFUNCTION("""COMPUTED_VALUE"""),44848)</f>
        <v>44848</v>
      </c>
      <c r="AY188" s="40">
        <f ca="1">IFERROR(__xludf.DUMMYFUNCTION("""COMPUTED_VALUE"""),0)</f>
        <v>0</v>
      </c>
      <c r="AZ188" s="40">
        <f ca="1">IFERROR(__xludf.DUMMYFUNCTION("""COMPUTED_VALUE"""),1)</f>
        <v>1</v>
      </c>
      <c r="BA188" s="40">
        <f ca="1">IFERROR(__xludf.DUMMYFUNCTION("""COMPUTED_VALUE"""),0)</f>
        <v>0</v>
      </c>
      <c r="BB188" s="40">
        <f ca="1">IFERROR(__xludf.DUMMYFUNCTION("""COMPUTED_VALUE"""),0)</f>
        <v>0</v>
      </c>
      <c r="BC188" s="40">
        <f ca="1">IFERROR(__xludf.DUMMYFUNCTION("""COMPUTED_VALUE"""),1)</f>
        <v>1</v>
      </c>
      <c r="BD188" s="141">
        <f ca="1">IFERROR(__xludf.DUMMYFUNCTION("""COMPUTED_VALUE"""),43577)</f>
        <v>43577</v>
      </c>
      <c r="BE188" s="141">
        <f ca="1">IFERROR(__xludf.DUMMYFUNCTION("""COMPUTED_VALUE"""),43852)</f>
        <v>43852</v>
      </c>
      <c r="BF188" s="141">
        <f ca="1">IFERROR(__xludf.DUMMYFUNCTION("""COMPUTED_VALUE"""),44034)</f>
        <v>44034</v>
      </c>
      <c r="BG188" s="141">
        <f ca="1">IFERROR(__xludf.DUMMYFUNCTION("""COMPUTED_VALUE"""),44583)</f>
        <v>44583</v>
      </c>
      <c r="BH188" s="40" t="str">
        <f ca="1">IFERROR(__xludf.DUMMYFUNCTION("""COMPUTED_VALUE"""),"FINALIZAR FICHA")</f>
        <v>FINALIZAR FICHA</v>
      </c>
      <c r="BI188" s="40" t="str">
        <f ca="1">IFERROR(__xludf.DUMMYFUNCTION("""COMPUTED_VALUE"""),"Terminada por Fecha     ")</f>
        <v xml:space="preserve">Terminada por Fecha     </v>
      </c>
      <c r="BJ188" s="40" t="str">
        <f ca="1">IFERROR(__xludf.DUMMYFUNCTION("""COMPUTED_VALUE"""),"Yamboro")</f>
        <v>Yamboro</v>
      </c>
      <c r="BK188" s="40"/>
      <c r="BL188" s="40"/>
    </row>
    <row r="189" spans="1:64" ht="13">
      <c r="A189" s="40"/>
      <c r="B189" s="40" t="str">
        <f ca="1">IFERROR(__xludf.DUMMYFUNCTION("""COMPUTED_VALUE"""),"NO CALIFICADO FORMACION.. Revisado 25/08/2022")</f>
        <v>NO CALIFICADO FORMACION.. Revisado 25/08/2022</v>
      </c>
      <c r="C189" s="40" t="str">
        <f ca="1">IFERROR(__xludf.DUMMYFUNCTION("""COMPUTED_VALUE"""),"KEWIN STEVEN MUÑOZ CUELLAR")</f>
        <v>KEWIN STEVEN MUÑOZ CUELLAR</v>
      </c>
      <c r="D189" s="40" t="str">
        <f ca="1">IFERROR(__xludf.DUMMYFUNCTION("""COMPUTED_VALUE"""),"CC")</f>
        <v>CC</v>
      </c>
      <c r="E189" s="40">
        <f ca="1">IFERROR(__xludf.DUMMYFUNCTION("""COMPUTED_VALUE"""),1007490129)</f>
        <v>1007490129</v>
      </c>
      <c r="F189" s="40">
        <f ca="1">IFERROR(__xludf.DUMMYFUNCTION("""COMPUTED_VALUE"""),1834923)</f>
        <v>1834923</v>
      </c>
      <c r="G189" s="40" t="str">
        <f ca="1">IFERROR(__xludf.DUMMYFUNCTION("""COMPUTED_VALUE"""),"TÉCNICO")</f>
        <v>TÉCNICO</v>
      </c>
      <c r="H189" s="40" t="str">
        <f ca="1">IFERROR(__xludf.DUMMYFUNCTION("""COMPUTED_VALUE"""),"INSTALACIONES ELECTRICAS RESIDENCIALES")</f>
        <v>INSTALACIONES ELECTRICAS RESIDENCIALES</v>
      </c>
      <c r="I189" s="40">
        <f ca="1">IFERROR(__xludf.DUMMYFUNCTION("""COMPUTED_VALUE"""),3188001779)</f>
        <v>3188001779</v>
      </c>
      <c r="J189" s="40" t="str">
        <f ca="1">IFERROR(__xludf.DUMMYFUNCTION("""COMPUTED_VALUE"""),"kevincuellar199012@gmai.com")</f>
        <v>kevincuellar199012@gmai.com</v>
      </c>
      <c r="K189" s="40"/>
      <c r="L189" s="40" t="str">
        <f ca="1">IFERROR(__xludf.DUMMYFUNCTION("""COMPUTED_VALUE"""),"PASANTÍAS")</f>
        <v>PASANTÍAS</v>
      </c>
      <c r="M189" s="40" t="str">
        <f ca="1">IFERROR(__xludf.DUMMYFUNCTION("""COMPUTED_VALUE"""),"CGDSS-TECNOPARQUE")</f>
        <v>CGDSS-TECNOPARQUE</v>
      </c>
      <c r="N189" s="40" t="str">
        <f ca="1">IFERROR(__xludf.DUMMYFUNCTION("""COMPUTED_VALUE"""),"YAMBORO")</f>
        <v>YAMBORO</v>
      </c>
      <c r="O189" s="40">
        <f ca="1">IFERROR(__xludf.DUMMYFUNCTION("""COMPUTED_VALUE"""),8365636)</f>
        <v>8365636</v>
      </c>
      <c r="P189" s="40" t="str">
        <f ca="1">IFERROR(__xludf.DUMMYFUNCTION("""COMPUTED_VALUE"""),"PITALITO")</f>
        <v>PITALITO</v>
      </c>
      <c r="Q189" s="40" t="str">
        <f ca="1">IFERROR(__xludf.DUMMYFUNCTION("""COMPUTED_VALUE"""),"apinzonp@sena.edu.co")</f>
        <v>apinzonp@sena.edu.co</v>
      </c>
      <c r="R189" s="140">
        <f ca="1">IFERROR(__xludf.DUMMYFUNCTION("""COMPUTED_VALUE"""),43871)</f>
        <v>43871</v>
      </c>
      <c r="S189" s="140">
        <f ca="1">IFERROR(__xludf.DUMMYFUNCTION("""COMPUTED_VALUE"""),44034)</f>
        <v>44034</v>
      </c>
      <c r="T189" s="40" t="str">
        <f ca="1">IFERROR(__xludf.DUMMYFUNCTION("""COMPUTED_VALUE"""),"Tiene acuerdo de voluntades, seguimiento parcial, falta bitácoras  y  certificación N o tiene reportes de seguimiento....Revisado 03/02/2022")</f>
        <v>Tiene acuerdo de voluntades, seguimiento parcial, falta bitácoras  y  certificación N o tiene reportes de seguimiento....Revisado 03/02/2022</v>
      </c>
      <c r="U189" s="40"/>
      <c r="V189" s="40" t="str">
        <f ca="1">IFERROR(__xludf.DUMMYFUNCTION("""COMPUTED_VALUE"""),"No tiene seguimiento ...Revisado 25/04/2022")</f>
        <v>No tiene seguimiento ...Revisado 25/04/2022</v>
      </c>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t="str">
        <f ca="1">IFERROR(__xludf.DUMMYFUNCTION("""COMPUTED_VALUE"""),"Procede_E_P")</f>
        <v>Procede_E_P</v>
      </c>
      <c r="AV189" s="40" t="str">
        <f ca="1">IFERROR(__xludf.DUMMYFUNCTION("""COMPUTED_VALUE"""),"EN FORMACION")</f>
        <v>EN FORMACION</v>
      </c>
      <c r="AW189" s="40" t="str">
        <f ca="1">IFERROR(__xludf.DUMMYFUNCTION("""COMPUTED_VALUE"""),"BIOCONSTRUCCION")</f>
        <v>BIOCONSTRUCCION</v>
      </c>
      <c r="AX189" s="141">
        <f ca="1">IFERROR(__xludf.DUMMYFUNCTION("""COMPUTED_VALUE"""),44848)</f>
        <v>44848</v>
      </c>
      <c r="AY189" s="40">
        <f ca="1">IFERROR(__xludf.DUMMYFUNCTION("""COMPUTED_VALUE"""),0)</f>
        <v>0</v>
      </c>
      <c r="AZ189" s="40">
        <f ca="1">IFERROR(__xludf.DUMMYFUNCTION("""COMPUTED_VALUE"""),1)</f>
        <v>1</v>
      </c>
      <c r="BA189" s="40">
        <f ca="1">IFERROR(__xludf.DUMMYFUNCTION("""COMPUTED_VALUE"""),0)</f>
        <v>0</v>
      </c>
      <c r="BB189" s="40">
        <f ca="1">IFERROR(__xludf.DUMMYFUNCTION("""COMPUTED_VALUE"""),0)</f>
        <v>0</v>
      </c>
      <c r="BC189" s="40">
        <f ca="1">IFERROR(__xludf.DUMMYFUNCTION("""COMPUTED_VALUE"""),1)</f>
        <v>1</v>
      </c>
      <c r="BD189" s="141">
        <f ca="1">IFERROR(__xludf.DUMMYFUNCTION("""COMPUTED_VALUE"""),43577)</f>
        <v>43577</v>
      </c>
      <c r="BE189" s="141">
        <f ca="1">IFERROR(__xludf.DUMMYFUNCTION("""COMPUTED_VALUE"""),43852)</f>
        <v>43852</v>
      </c>
      <c r="BF189" s="141">
        <f ca="1">IFERROR(__xludf.DUMMYFUNCTION("""COMPUTED_VALUE"""),44034)</f>
        <v>44034</v>
      </c>
      <c r="BG189" s="141">
        <f ca="1">IFERROR(__xludf.DUMMYFUNCTION("""COMPUTED_VALUE"""),44583)</f>
        <v>44583</v>
      </c>
      <c r="BH189" s="40" t="str">
        <f ca="1">IFERROR(__xludf.DUMMYFUNCTION("""COMPUTED_VALUE"""),"FINALIZAR FICHA")</f>
        <v>FINALIZAR FICHA</v>
      </c>
      <c r="BI189" s="40" t="str">
        <f ca="1">IFERROR(__xludf.DUMMYFUNCTION("""COMPUTED_VALUE"""),"Terminada por Fecha     ")</f>
        <v xml:space="preserve">Terminada por Fecha     </v>
      </c>
      <c r="BJ189" s="40" t="str">
        <f ca="1">IFERROR(__xludf.DUMMYFUNCTION("""COMPUTED_VALUE"""),"Yamboro")</f>
        <v>Yamboro</v>
      </c>
      <c r="BK189" s="40"/>
      <c r="BL189" s="40"/>
    </row>
    <row r="190" spans="1:64" ht="13">
      <c r="A190" s="40"/>
      <c r="B190" s="40" t="str">
        <f ca="1">IFERROR(__xludf.DUMMYFUNCTION("""COMPUTED_VALUE"""),"FORMACIÓN 18/10/2022")</f>
        <v>FORMACIÓN 18/10/2022</v>
      </c>
      <c r="C190" s="40" t="str">
        <f ca="1">IFERROR(__xludf.DUMMYFUNCTION("""COMPUTED_VALUE"""),"ANDRES MAURICIO SANCHEZ BERMEO
")</f>
        <v xml:space="preserve">ANDRES MAURICIO SANCHEZ BERMEO
</v>
      </c>
      <c r="D190" s="40" t="str">
        <f ca="1">IFERROR(__xludf.DUMMYFUNCTION("""COMPUTED_VALUE"""),"CC")</f>
        <v>CC</v>
      </c>
      <c r="E190" s="40">
        <f ca="1">IFERROR(__xludf.DUMMYFUNCTION("""COMPUTED_VALUE"""),1007502492)</f>
        <v>1007502492</v>
      </c>
      <c r="F190" s="40">
        <f ca="1">IFERROR(__xludf.DUMMYFUNCTION("""COMPUTED_VALUE"""),1834923)</f>
        <v>1834923</v>
      </c>
      <c r="G190" s="40" t="str">
        <f ca="1">IFERROR(__xludf.DUMMYFUNCTION("""COMPUTED_VALUE"""),"TÉCNICO")</f>
        <v>TÉCNICO</v>
      </c>
      <c r="H190" s="40" t="str">
        <f ca="1">IFERROR(__xludf.DUMMYFUNCTION("""COMPUTED_VALUE"""),"INSTALACIONES ELECTRICAS RESIDENCIALES")</f>
        <v>INSTALACIONES ELECTRICAS RESIDENCIALES</v>
      </c>
      <c r="I190" s="40"/>
      <c r="J190" s="40"/>
      <c r="K190" s="40"/>
      <c r="L190" s="40" t="str">
        <f ca="1">IFERROR(__xludf.DUMMYFUNCTION("""COMPUTED_VALUE"""),"NO HA INICIADO ETAPA PRODUCTIVA")</f>
        <v>NO HA INICIADO ETAPA PRODUCTIVA</v>
      </c>
      <c r="M190" s="40"/>
      <c r="N190" s="40"/>
      <c r="O190" s="40"/>
      <c r="P190" s="40"/>
      <c r="Q190" s="40"/>
      <c r="R190" s="140"/>
      <c r="S190" s="1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t="str">
        <f ca="1">IFERROR(__xludf.DUMMYFUNCTION("""COMPUTED_VALUE"""),"NO_CUMPLE")</f>
        <v>NO_CUMPLE</v>
      </c>
      <c r="AV190" s="40" t="str">
        <f ca="1">IFERROR(__xludf.DUMMYFUNCTION("""COMPUTED_VALUE"""),"EN FORMACION")</f>
        <v>EN FORMACION</v>
      </c>
      <c r="AW190" s="40" t="str">
        <f ca="1">IFERROR(__xludf.DUMMYFUNCTION("""COMPUTED_VALUE"""),"BIOCONSTRUCCION")</f>
        <v>BIOCONSTRUCCION</v>
      </c>
      <c r="AX190" s="141">
        <f ca="1">IFERROR(__xludf.DUMMYFUNCTION("""COMPUTED_VALUE"""),44848)</f>
        <v>44848</v>
      </c>
      <c r="AY190" s="40">
        <f ca="1">IFERROR(__xludf.DUMMYFUNCTION("""COMPUTED_VALUE"""),2)</f>
        <v>2</v>
      </c>
      <c r="AZ190" s="40">
        <f ca="1">IFERROR(__xludf.DUMMYFUNCTION("""COMPUTED_VALUE"""),1)</f>
        <v>1</v>
      </c>
      <c r="BA190" s="40">
        <f ca="1">IFERROR(__xludf.DUMMYFUNCTION("""COMPUTED_VALUE"""),7)</f>
        <v>7</v>
      </c>
      <c r="BB190" s="40">
        <f ca="1">IFERROR(__xludf.DUMMYFUNCTION("""COMPUTED_VALUE"""),11)</f>
        <v>11</v>
      </c>
      <c r="BC190" s="40">
        <f ca="1">IFERROR(__xludf.DUMMYFUNCTION("""COMPUTED_VALUE"""),21)</f>
        <v>21</v>
      </c>
      <c r="BD190" s="141">
        <f ca="1">IFERROR(__xludf.DUMMYFUNCTION("""COMPUTED_VALUE"""),43577)</f>
        <v>43577</v>
      </c>
      <c r="BE190" s="141">
        <f ca="1">IFERROR(__xludf.DUMMYFUNCTION("""COMPUTED_VALUE"""),43852)</f>
        <v>43852</v>
      </c>
      <c r="BF190" s="141">
        <f ca="1">IFERROR(__xludf.DUMMYFUNCTION("""COMPUTED_VALUE"""),44034)</f>
        <v>44034</v>
      </c>
      <c r="BG190" s="141">
        <f ca="1">IFERROR(__xludf.DUMMYFUNCTION("""COMPUTED_VALUE"""),44583)</f>
        <v>44583</v>
      </c>
      <c r="BH190" s="40" t="str">
        <f ca="1">IFERROR(__xludf.DUMMYFUNCTION("""COMPUTED_VALUE"""),"FINALIZAR FICHA")</f>
        <v>FINALIZAR FICHA</v>
      </c>
      <c r="BI190" s="40" t="str">
        <f ca="1">IFERROR(__xludf.DUMMYFUNCTION("""COMPUTED_VALUE"""),"Terminada por Fecha     ")</f>
        <v xml:space="preserve">Terminada por Fecha     </v>
      </c>
      <c r="BJ190" s="40" t="str">
        <f ca="1">IFERROR(__xludf.DUMMYFUNCTION("""COMPUTED_VALUE"""),"Yamboro")</f>
        <v>Yamboro</v>
      </c>
      <c r="BK190" s="40"/>
      <c r="BL190" s="40"/>
    </row>
    <row r="191" spans="1:64" ht="13">
      <c r="A191" s="40"/>
      <c r="B191" s="40" t="str">
        <f ca="1">IFERROR(__xludf.DUMMYFUNCTION("""COMPUTED_VALUE"""),"NO CALIFICADO FORMACION.. Revisado 25/08/2022")</f>
        <v>NO CALIFICADO FORMACION.. Revisado 25/08/2022</v>
      </c>
      <c r="C191" s="40" t="str">
        <f ca="1">IFERROR(__xludf.DUMMYFUNCTION("""COMPUTED_VALUE"""),"YEFFERSON VALBUENA CARVAJAL")</f>
        <v>YEFFERSON VALBUENA CARVAJAL</v>
      </c>
      <c r="D191" s="40" t="str">
        <f ca="1">IFERROR(__xludf.DUMMYFUNCTION("""COMPUTED_VALUE"""),"CC")</f>
        <v>CC</v>
      </c>
      <c r="E191" s="40">
        <f ca="1">IFERROR(__xludf.DUMMYFUNCTION("""COMPUTED_VALUE"""),1007531444)</f>
        <v>1007531444</v>
      </c>
      <c r="F191" s="40">
        <f ca="1">IFERROR(__xludf.DUMMYFUNCTION("""COMPUTED_VALUE"""),1834923)</f>
        <v>1834923</v>
      </c>
      <c r="G191" s="40" t="str">
        <f ca="1">IFERROR(__xludf.DUMMYFUNCTION("""COMPUTED_VALUE"""),"TÉCNICO")</f>
        <v>TÉCNICO</v>
      </c>
      <c r="H191" s="40" t="str">
        <f ca="1">IFERROR(__xludf.DUMMYFUNCTION("""COMPUTED_VALUE"""),"INSTALACIONES ELECTRICAS RESIDENCIALES")</f>
        <v>INSTALACIONES ELECTRICAS RESIDENCIALES</v>
      </c>
      <c r="I191" s="40">
        <f ca="1">IFERROR(__xludf.DUMMYFUNCTION("""COMPUTED_VALUE"""),3227528154)</f>
        <v>3227528154</v>
      </c>
      <c r="J191" s="40" t="str">
        <f ca="1">IFERROR(__xludf.DUMMYFUNCTION("""COMPUTED_VALUE"""),"valbuenajefferson@gmail.com")</f>
        <v>valbuenajefferson@gmail.com</v>
      </c>
      <c r="K191" s="40"/>
      <c r="L191" s="40" t="str">
        <f ca="1">IFERROR(__xludf.DUMMYFUNCTION("""COMPUTED_VALUE"""),"NO HA INICIADO ETAPA PRODUCTIVA")</f>
        <v>NO HA INICIADO ETAPA PRODUCTIVA</v>
      </c>
      <c r="M191" s="40"/>
      <c r="N191" s="40"/>
      <c r="O191" s="40"/>
      <c r="P191" s="40"/>
      <c r="Q191" s="40"/>
      <c r="R191" s="140"/>
      <c r="S191" s="140"/>
      <c r="T191" s="40" t="str">
        <f ca="1">IFERROR(__xludf.DUMMYFUNCTION("""COMPUTED_VALUE"""),"TERMINADO")</f>
        <v>TERMINADO</v>
      </c>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t="str">
        <f ca="1">IFERROR(__xludf.DUMMYFUNCTION("""COMPUTED_VALUE"""),"Procede_E_P")</f>
        <v>Procede_E_P</v>
      </c>
      <c r="AV191" s="40" t="str">
        <f ca="1">IFERROR(__xludf.DUMMYFUNCTION("""COMPUTED_VALUE"""),"EN FORMACION")</f>
        <v>EN FORMACION</v>
      </c>
      <c r="AW191" s="40" t="str">
        <f ca="1">IFERROR(__xludf.DUMMYFUNCTION("""COMPUTED_VALUE"""),"BIOCONSTRUCCION")</f>
        <v>BIOCONSTRUCCION</v>
      </c>
      <c r="AX191" s="141">
        <f ca="1">IFERROR(__xludf.DUMMYFUNCTION("""COMPUTED_VALUE"""),44848)</f>
        <v>44848</v>
      </c>
      <c r="AY191" s="40">
        <f ca="1">IFERROR(__xludf.DUMMYFUNCTION("""COMPUTED_VALUE"""),0)</f>
        <v>0</v>
      </c>
      <c r="AZ191" s="40">
        <f ca="1">IFERROR(__xludf.DUMMYFUNCTION("""COMPUTED_VALUE"""),1)</f>
        <v>1</v>
      </c>
      <c r="BA191" s="40">
        <f ca="1">IFERROR(__xludf.DUMMYFUNCTION("""COMPUTED_VALUE"""),0)</f>
        <v>0</v>
      </c>
      <c r="BB191" s="40">
        <f ca="1">IFERROR(__xludf.DUMMYFUNCTION("""COMPUTED_VALUE"""),0)</f>
        <v>0</v>
      </c>
      <c r="BC191" s="40">
        <f ca="1">IFERROR(__xludf.DUMMYFUNCTION("""COMPUTED_VALUE"""),1)</f>
        <v>1</v>
      </c>
      <c r="BD191" s="141">
        <f ca="1">IFERROR(__xludf.DUMMYFUNCTION("""COMPUTED_VALUE"""),43577)</f>
        <v>43577</v>
      </c>
      <c r="BE191" s="141">
        <f ca="1">IFERROR(__xludf.DUMMYFUNCTION("""COMPUTED_VALUE"""),43852)</f>
        <v>43852</v>
      </c>
      <c r="BF191" s="141">
        <f ca="1">IFERROR(__xludf.DUMMYFUNCTION("""COMPUTED_VALUE"""),44034)</f>
        <v>44034</v>
      </c>
      <c r="BG191" s="141">
        <f ca="1">IFERROR(__xludf.DUMMYFUNCTION("""COMPUTED_VALUE"""),44583)</f>
        <v>44583</v>
      </c>
      <c r="BH191" s="40" t="str">
        <f ca="1">IFERROR(__xludf.DUMMYFUNCTION("""COMPUTED_VALUE"""),"FINALIZAR FICHA")</f>
        <v>FINALIZAR FICHA</v>
      </c>
      <c r="BI191" s="40" t="str">
        <f ca="1">IFERROR(__xludf.DUMMYFUNCTION("""COMPUTED_VALUE"""),"Terminada por Fecha     ")</f>
        <v xml:space="preserve">Terminada por Fecha     </v>
      </c>
      <c r="BJ191" s="40" t="str">
        <f ca="1">IFERROR(__xludf.DUMMYFUNCTION("""COMPUTED_VALUE"""),"Yamboro")</f>
        <v>Yamboro</v>
      </c>
      <c r="BK191" s="40"/>
      <c r="BL191" s="40"/>
    </row>
    <row r="192" spans="1:64" ht="13">
      <c r="A192" s="40"/>
      <c r="B192" s="40" t="str">
        <f ca="1">IFERROR(__xludf.DUMMYFUNCTION("""COMPUTED_VALUE"""),"FORMACIÓN 18/10/2022")</f>
        <v>FORMACIÓN 18/10/2022</v>
      </c>
      <c r="C192" s="40" t="str">
        <f ca="1">IFERROR(__xludf.DUMMYFUNCTION("""COMPUTED_VALUE"""),"DAIRO HERNAN CERON ANACONA")</f>
        <v>DAIRO HERNAN CERON ANACONA</v>
      </c>
      <c r="D192" s="40" t="str">
        <f ca="1">IFERROR(__xludf.DUMMYFUNCTION("""COMPUTED_VALUE"""),"CC")</f>
        <v>CC</v>
      </c>
      <c r="E192" s="40">
        <f ca="1">IFERROR(__xludf.DUMMYFUNCTION("""COMPUTED_VALUE"""),1083915540)</f>
        <v>1083915540</v>
      </c>
      <c r="F192" s="40">
        <f ca="1">IFERROR(__xludf.DUMMYFUNCTION("""COMPUTED_VALUE"""),1834923)</f>
        <v>1834923</v>
      </c>
      <c r="G192" s="40" t="str">
        <f ca="1">IFERROR(__xludf.DUMMYFUNCTION("""COMPUTED_VALUE"""),"TÉCNICO")</f>
        <v>TÉCNICO</v>
      </c>
      <c r="H192" s="40" t="str">
        <f ca="1">IFERROR(__xludf.DUMMYFUNCTION("""COMPUTED_VALUE"""),"INSTALACIONES ELECTRICAS RESIDENCIALES")</f>
        <v>INSTALACIONES ELECTRICAS RESIDENCIALES</v>
      </c>
      <c r="I192" s="40"/>
      <c r="J192" s="40"/>
      <c r="K192" s="40"/>
      <c r="L192" s="40" t="str">
        <f ca="1">IFERROR(__xludf.DUMMYFUNCTION("""COMPUTED_VALUE"""),"NO HA INICIADO ETAPA PRODUCTIVA")</f>
        <v>NO HA INICIADO ETAPA PRODUCTIVA</v>
      </c>
      <c r="M192" s="40"/>
      <c r="N192" s="40"/>
      <c r="O192" s="40"/>
      <c r="P192" s="40"/>
      <c r="Q192" s="40"/>
      <c r="R192" s="140"/>
      <c r="S192" s="1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t="str">
        <f ca="1">IFERROR(__xludf.DUMMYFUNCTION("""COMPUTED_VALUE"""),"NO_CUMPLE")</f>
        <v>NO_CUMPLE</v>
      </c>
      <c r="AV192" s="40" t="str">
        <f ca="1">IFERROR(__xludf.DUMMYFUNCTION("""COMPUTED_VALUE"""),"EN FORMACION")</f>
        <v>EN FORMACION</v>
      </c>
      <c r="AW192" s="40" t="str">
        <f ca="1">IFERROR(__xludf.DUMMYFUNCTION("""COMPUTED_VALUE"""),"BIOCONSTRUCCION")</f>
        <v>BIOCONSTRUCCION</v>
      </c>
      <c r="AX192" s="141">
        <f ca="1">IFERROR(__xludf.DUMMYFUNCTION("""COMPUTED_VALUE"""),44848)</f>
        <v>44848</v>
      </c>
      <c r="AY192" s="40">
        <f ca="1">IFERROR(__xludf.DUMMYFUNCTION("""COMPUTED_VALUE"""),3)</f>
        <v>3</v>
      </c>
      <c r="AZ192" s="40">
        <f ca="1">IFERROR(__xludf.DUMMYFUNCTION("""COMPUTED_VALUE"""),1)</f>
        <v>1</v>
      </c>
      <c r="BA192" s="40">
        <f ca="1">IFERROR(__xludf.DUMMYFUNCTION("""COMPUTED_VALUE"""),7)</f>
        <v>7</v>
      </c>
      <c r="BB192" s="40">
        <f ca="1">IFERROR(__xludf.DUMMYFUNCTION("""COMPUTED_VALUE"""),15)</f>
        <v>15</v>
      </c>
      <c r="BC192" s="40">
        <f ca="1">IFERROR(__xludf.DUMMYFUNCTION("""COMPUTED_VALUE"""),26)</f>
        <v>26</v>
      </c>
      <c r="BD192" s="141">
        <f ca="1">IFERROR(__xludf.DUMMYFUNCTION("""COMPUTED_VALUE"""),43577)</f>
        <v>43577</v>
      </c>
      <c r="BE192" s="141">
        <f ca="1">IFERROR(__xludf.DUMMYFUNCTION("""COMPUTED_VALUE"""),43852)</f>
        <v>43852</v>
      </c>
      <c r="BF192" s="141">
        <f ca="1">IFERROR(__xludf.DUMMYFUNCTION("""COMPUTED_VALUE"""),44034)</f>
        <v>44034</v>
      </c>
      <c r="BG192" s="141">
        <f ca="1">IFERROR(__xludf.DUMMYFUNCTION("""COMPUTED_VALUE"""),44583)</f>
        <v>44583</v>
      </c>
      <c r="BH192" s="40" t="str">
        <f ca="1">IFERROR(__xludf.DUMMYFUNCTION("""COMPUTED_VALUE"""),"FINALIZAR FICHA")</f>
        <v>FINALIZAR FICHA</v>
      </c>
      <c r="BI192" s="40" t="str">
        <f ca="1">IFERROR(__xludf.DUMMYFUNCTION("""COMPUTED_VALUE"""),"Terminada por Fecha     ")</f>
        <v xml:space="preserve">Terminada por Fecha     </v>
      </c>
      <c r="BJ192" s="40" t="str">
        <f ca="1">IFERROR(__xludf.DUMMYFUNCTION("""COMPUTED_VALUE"""),"Yamboro")</f>
        <v>Yamboro</v>
      </c>
      <c r="BK192" s="40"/>
      <c r="BL192" s="40"/>
    </row>
    <row r="193" spans="1:64" ht="13">
      <c r="A193" s="40"/>
      <c r="B193" s="40" t="str">
        <f ca="1">IFERROR(__xludf.DUMMYFUNCTION("""COMPUTED_VALUE"""),"FORMACIÓN 18/10/2022")</f>
        <v>FORMACIÓN 18/10/2022</v>
      </c>
      <c r="C193" s="40" t="str">
        <f ca="1">IFERROR(__xludf.DUMMYFUNCTION("""COMPUTED_VALUE"""),"ALIRIO SALINAS GUACA")</f>
        <v>ALIRIO SALINAS GUACA</v>
      </c>
      <c r="D193" s="40" t="str">
        <f ca="1">IFERROR(__xludf.DUMMYFUNCTION("""COMPUTED_VALUE"""),"CC")</f>
        <v>CC</v>
      </c>
      <c r="E193" s="40">
        <f ca="1">IFERROR(__xludf.DUMMYFUNCTION("""COMPUTED_VALUE"""),1083923310)</f>
        <v>1083923310</v>
      </c>
      <c r="F193" s="40">
        <f ca="1">IFERROR(__xludf.DUMMYFUNCTION("""COMPUTED_VALUE"""),1834923)</f>
        <v>1834923</v>
      </c>
      <c r="G193" s="40" t="str">
        <f ca="1">IFERROR(__xludf.DUMMYFUNCTION("""COMPUTED_VALUE"""),"TÉCNICO")</f>
        <v>TÉCNICO</v>
      </c>
      <c r="H193" s="40" t="str">
        <f ca="1">IFERROR(__xludf.DUMMYFUNCTION("""COMPUTED_VALUE"""),"INSTALACIONES ELECTRICAS RESIDENCIALES")</f>
        <v>INSTALACIONES ELECTRICAS RESIDENCIALES</v>
      </c>
      <c r="I193" s="40"/>
      <c r="J193" s="40"/>
      <c r="K193" s="40"/>
      <c r="L193" s="40" t="str">
        <f ca="1">IFERROR(__xludf.DUMMYFUNCTION("""COMPUTED_VALUE"""),"NO HA INICIADO ETAPA PRODUCTIVA")</f>
        <v>NO HA INICIADO ETAPA PRODUCTIVA</v>
      </c>
      <c r="M193" s="40"/>
      <c r="N193" s="40"/>
      <c r="O193" s="40"/>
      <c r="P193" s="40"/>
      <c r="Q193" s="40"/>
      <c r="R193" s="140"/>
      <c r="S193" s="1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t="str">
        <f ca="1">IFERROR(__xludf.DUMMYFUNCTION("""COMPUTED_VALUE"""),"NO_CUMPLE")</f>
        <v>NO_CUMPLE</v>
      </c>
      <c r="AV193" s="40" t="str">
        <f ca="1">IFERROR(__xludf.DUMMYFUNCTION("""COMPUTED_VALUE"""),"EN FORMACION")</f>
        <v>EN FORMACION</v>
      </c>
      <c r="AW193" s="40" t="str">
        <f ca="1">IFERROR(__xludf.DUMMYFUNCTION("""COMPUTED_VALUE"""),"BIOCONSTRUCCION")</f>
        <v>BIOCONSTRUCCION</v>
      </c>
      <c r="AX193" s="141">
        <f ca="1">IFERROR(__xludf.DUMMYFUNCTION("""COMPUTED_VALUE"""),44848)</f>
        <v>44848</v>
      </c>
      <c r="AY193" s="40">
        <f ca="1">IFERROR(__xludf.DUMMYFUNCTION("""COMPUTED_VALUE"""),3)</f>
        <v>3</v>
      </c>
      <c r="AZ193" s="40">
        <f ca="1">IFERROR(__xludf.DUMMYFUNCTION("""COMPUTED_VALUE"""),1)</f>
        <v>1</v>
      </c>
      <c r="BA193" s="40">
        <f ca="1">IFERROR(__xludf.DUMMYFUNCTION("""COMPUTED_VALUE"""),7)</f>
        <v>7</v>
      </c>
      <c r="BB193" s="40">
        <f ca="1">IFERROR(__xludf.DUMMYFUNCTION("""COMPUTED_VALUE"""),15)</f>
        <v>15</v>
      </c>
      <c r="BC193" s="40">
        <f ca="1">IFERROR(__xludf.DUMMYFUNCTION("""COMPUTED_VALUE"""),26)</f>
        <v>26</v>
      </c>
      <c r="BD193" s="141">
        <f ca="1">IFERROR(__xludf.DUMMYFUNCTION("""COMPUTED_VALUE"""),43577)</f>
        <v>43577</v>
      </c>
      <c r="BE193" s="141">
        <f ca="1">IFERROR(__xludf.DUMMYFUNCTION("""COMPUTED_VALUE"""),43852)</f>
        <v>43852</v>
      </c>
      <c r="BF193" s="141">
        <f ca="1">IFERROR(__xludf.DUMMYFUNCTION("""COMPUTED_VALUE"""),44034)</f>
        <v>44034</v>
      </c>
      <c r="BG193" s="141">
        <f ca="1">IFERROR(__xludf.DUMMYFUNCTION("""COMPUTED_VALUE"""),44583)</f>
        <v>44583</v>
      </c>
      <c r="BH193" s="40" t="str">
        <f ca="1">IFERROR(__xludf.DUMMYFUNCTION("""COMPUTED_VALUE"""),"FINALIZAR FICHA")</f>
        <v>FINALIZAR FICHA</v>
      </c>
      <c r="BI193" s="40" t="str">
        <f ca="1">IFERROR(__xludf.DUMMYFUNCTION("""COMPUTED_VALUE"""),"Terminada por Fecha     ")</f>
        <v xml:space="preserve">Terminada por Fecha     </v>
      </c>
      <c r="BJ193" s="40" t="str">
        <f ca="1">IFERROR(__xludf.DUMMYFUNCTION("""COMPUTED_VALUE"""),"Yamboro")</f>
        <v>Yamboro</v>
      </c>
      <c r="BK193" s="40"/>
      <c r="BL193" s="40"/>
    </row>
    <row r="194" spans="1:64" ht="13">
      <c r="A194" s="40"/>
      <c r="B194" s="40" t="str">
        <f ca="1">IFERROR(__xludf.DUMMYFUNCTION("""COMPUTED_VALUE"""),"FORMACIÓN 18/10/2022")</f>
        <v>FORMACIÓN 18/10/2022</v>
      </c>
      <c r="C194" s="40" t="str">
        <f ca="1">IFERROR(__xludf.DUMMYFUNCTION("""COMPUTED_VALUE"""),"ALBERTO VARGAS ROJAS")</f>
        <v>ALBERTO VARGAS ROJAS</v>
      </c>
      <c r="D194" s="40" t="str">
        <f ca="1">IFERROR(__xludf.DUMMYFUNCTION("""COMPUTED_VALUE"""),"CC")</f>
        <v>CC</v>
      </c>
      <c r="E194" s="40">
        <f ca="1">IFERROR(__xludf.DUMMYFUNCTION("""COMPUTED_VALUE"""),12228884)</f>
        <v>12228884</v>
      </c>
      <c r="F194" s="40">
        <f ca="1">IFERROR(__xludf.DUMMYFUNCTION("""COMPUTED_VALUE"""),1834923)</f>
        <v>1834923</v>
      </c>
      <c r="G194" s="40" t="str">
        <f ca="1">IFERROR(__xludf.DUMMYFUNCTION("""COMPUTED_VALUE"""),"TÉCNICO")</f>
        <v>TÉCNICO</v>
      </c>
      <c r="H194" s="40" t="str">
        <f ca="1">IFERROR(__xludf.DUMMYFUNCTION("""COMPUTED_VALUE"""),"INSTALACIONES ELECTRICAS RESIDENCIALES")</f>
        <v>INSTALACIONES ELECTRICAS RESIDENCIALES</v>
      </c>
      <c r="I194" s="40"/>
      <c r="J194" s="40"/>
      <c r="K194" s="40"/>
      <c r="L194" s="40" t="str">
        <f ca="1">IFERROR(__xludf.DUMMYFUNCTION("""COMPUTED_VALUE"""),"NO HA INICIADO ETAPA PRODUCTIVA")</f>
        <v>NO HA INICIADO ETAPA PRODUCTIVA</v>
      </c>
      <c r="M194" s="40"/>
      <c r="N194" s="40"/>
      <c r="O194" s="40"/>
      <c r="P194" s="40"/>
      <c r="Q194" s="40"/>
      <c r="R194" s="140"/>
      <c r="S194" s="1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t="str">
        <f ca="1">IFERROR(__xludf.DUMMYFUNCTION("""COMPUTED_VALUE"""),"NO_CUMPLE")</f>
        <v>NO_CUMPLE</v>
      </c>
      <c r="AV194" s="40" t="str">
        <f ca="1">IFERROR(__xludf.DUMMYFUNCTION("""COMPUTED_VALUE"""),"EN FORMACION")</f>
        <v>EN FORMACION</v>
      </c>
      <c r="AW194" s="40" t="str">
        <f ca="1">IFERROR(__xludf.DUMMYFUNCTION("""COMPUTED_VALUE"""),"BIOCONSTRUCCION")</f>
        <v>BIOCONSTRUCCION</v>
      </c>
      <c r="AX194" s="141">
        <f ca="1">IFERROR(__xludf.DUMMYFUNCTION("""COMPUTED_VALUE"""),44848)</f>
        <v>44848</v>
      </c>
      <c r="AY194" s="40">
        <f ca="1">IFERROR(__xludf.DUMMYFUNCTION("""COMPUTED_VALUE"""),2)</f>
        <v>2</v>
      </c>
      <c r="AZ194" s="40">
        <f ca="1">IFERROR(__xludf.DUMMYFUNCTION("""COMPUTED_VALUE"""),1)</f>
        <v>1</v>
      </c>
      <c r="BA194" s="40">
        <f ca="1">IFERROR(__xludf.DUMMYFUNCTION("""COMPUTED_VALUE"""),7)</f>
        <v>7</v>
      </c>
      <c r="BB194" s="40">
        <f ca="1">IFERROR(__xludf.DUMMYFUNCTION("""COMPUTED_VALUE"""),15)</f>
        <v>15</v>
      </c>
      <c r="BC194" s="40">
        <f ca="1">IFERROR(__xludf.DUMMYFUNCTION("""COMPUTED_VALUE"""),25)</f>
        <v>25</v>
      </c>
      <c r="BD194" s="141">
        <f ca="1">IFERROR(__xludf.DUMMYFUNCTION("""COMPUTED_VALUE"""),43577)</f>
        <v>43577</v>
      </c>
      <c r="BE194" s="141">
        <f ca="1">IFERROR(__xludf.DUMMYFUNCTION("""COMPUTED_VALUE"""),43852)</f>
        <v>43852</v>
      </c>
      <c r="BF194" s="141">
        <f ca="1">IFERROR(__xludf.DUMMYFUNCTION("""COMPUTED_VALUE"""),44034)</f>
        <v>44034</v>
      </c>
      <c r="BG194" s="141">
        <f ca="1">IFERROR(__xludf.DUMMYFUNCTION("""COMPUTED_VALUE"""),44583)</f>
        <v>44583</v>
      </c>
      <c r="BH194" s="40" t="str">
        <f ca="1">IFERROR(__xludf.DUMMYFUNCTION("""COMPUTED_VALUE"""),"FINALIZAR FICHA")</f>
        <v>FINALIZAR FICHA</v>
      </c>
      <c r="BI194" s="40" t="str">
        <f ca="1">IFERROR(__xludf.DUMMYFUNCTION("""COMPUTED_VALUE"""),"Terminada por Fecha     ")</f>
        <v xml:space="preserve">Terminada por Fecha     </v>
      </c>
      <c r="BJ194" s="40" t="str">
        <f ca="1">IFERROR(__xludf.DUMMYFUNCTION("""COMPUTED_VALUE"""),"Yamboro")</f>
        <v>Yamboro</v>
      </c>
      <c r="BK194" s="40"/>
      <c r="BL194" s="40"/>
    </row>
    <row r="195" spans="1:64" ht="13">
      <c r="A195" s="40"/>
      <c r="B195" s="40" t="str">
        <f ca="1">IFERROR(__xludf.DUMMYFUNCTION("""COMPUTED_VALUE"""),"APLAZADO  18/10/2022")</f>
        <v>APLAZADO  18/10/2022</v>
      </c>
      <c r="C195" s="40" t="str">
        <f ca="1">IFERROR(__xludf.DUMMYFUNCTION("""COMPUTED_VALUE"""),"DANIEL SANTIAGO MEDINA ESCOBAR")</f>
        <v>DANIEL SANTIAGO MEDINA ESCOBAR</v>
      </c>
      <c r="D195" s="40" t="str">
        <f ca="1">IFERROR(__xludf.DUMMYFUNCTION("""COMPUTED_VALUE"""),"CC")</f>
        <v>CC</v>
      </c>
      <c r="E195" s="40">
        <f ca="1">IFERROR(__xludf.DUMMYFUNCTION("""COMPUTED_VALUE"""),1075305532)</f>
        <v>1075305532</v>
      </c>
      <c r="F195" s="40">
        <f ca="1">IFERROR(__xludf.DUMMYFUNCTION("""COMPUTED_VALUE"""),1834923)</f>
        <v>1834923</v>
      </c>
      <c r="G195" s="40" t="str">
        <f ca="1">IFERROR(__xludf.DUMMYFUNCTION("""COMPUTED_VALUE"""),"TÉCNICO")</f>
        <v>TÉCNICO</v>
      </c>
      <c r="H195" s="40" t="str">
        <f ca="1">IFERROR(__xludf.DUMMYFUNCTION("""COMPUTED_VALUE"""),"INSTALACIONES ELECTRICAS RESIDENCIALES")</f>
        <v>INSTALACIONES ELECTRICAS RESIDENCIALES</v>
      </c>
      <c r="I195" s="40"/>
      <c r="J195" s="40"/>
      <c r="K195" s="40"/>
      <c r="L195" s="40" t="str">
        <f ca="1">IFERROR(__xludf.DUMMYFUNCTION("""COMPUTED_VALUE"""),"NO HA INICIADO ETAPA PRODUCTIVA")</f>
        <v>NO HA INICIADO ETAPA PRODUCTIVA</v>
      </c>
      <c r="M195" s="40"/>
      <c r="N195" s="40"/>
      <c r="O195" s="40"/>
      <c r="P195" s="40"/>
      <c r="Q195" s="40"/>
      <c r="R195" s="140"/>
      <c r="S195" s="1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t="str">
        <f ca="1">IFERROR(__xludf.DUMMYFUNCTION("""COMPUTED_VALUE"""),"NO_CUMPLE")</f>
        <v>NO_CUMPLE</v>
      </c>
      <c r="AV195" s="40" t="str">
        <f ca="1">IFERROR(__xludf.DUMMYFUNCTION("""COMPUTED_VALUE"""),"APLAZADO")</f>
        <v>APLAZADO</v>
      </c>
      <c r="AW195" s="40" t="str">
        <f ca="1">IFERROR(__xludf.DUMMYFUNCTION("""COMPUTED_VALUE"""),"BIOCONSTRUCCION")</f>
        <v>BIOCONSTRUCCION</v>
      </c>
      <c r="AX195" s="141">
        <f ca="1">IFERROR(__xludf.DUMMYFUNCTION("""COMPUTED_VALUE"""),44848)</f>
        <v>44848</v>
      </c>
      <c r="AY195" s="40">
        <f ca="1">IFERROR(__xludf.DUMMYFUNCTION("""COMPUTED_VALUE"""),11)</f>
        <v>11</v>
      </c>
      <c r="AZ195" s="40">
        <f ca="1">IFERROR(__xludf.DUMMYFUNCTION("""COMPUTED_VALUE"""),1)</f>
        <v>1</v>
      </c>
      <c r="BA195" s="40">
        <f ca="1">IFERROR(__xludf.DUMMYFUNCTION("""COMPUTED_VALUE"""),7)</f>
        <v>7</v>
      </c>
      <c r="BB195" s="40">
        <f ca="1">IFERROR(__xludf.DUMMYFUNCTION("""COMPUTED_VALUE"""),15)</f>
        <v>15</v>
      </c>
      <c r="BC195" s="40">
        <f ca="1">IFERROR(__xludf.DUMMYFUNCTION("""COMPUTED_VALUE"""),34)</f>
        <v>34</v>
      </c>
      <c r="BD195" s="141">
        <f ca="1">IFERROR(__xludf.DUMMYFUNCTION("""COMPUTED_VALUE"""),43577)</f>
        <v>43577</v>
      </c>
      <c r="BE195" s="141">
        <f ca="1">IFERROR(__xludf.DUMMYFUNCTION("""COMPUTED_VALUE"""),43852)</f>
        <v>43852</v>
      </c>
      <c r="BF195" s="141">
        <f ca="1">IFERROR(__xludf.DUMMYFUNCTION("""COMPUTED_VALUE"""),44034)</f>
        <v>44034</v>
      </c>
      <c r="BG195" s="141">
        <f ca="1">IFERROR(__xludf.DUMMYFUNCTION("""COMPUTED_VALUE"""),44583)</f>
        <v>44583</v>
      </c>
      <c r="BH195" s="40" t="str">
        <f ca="1">IFERROR(__xludf.DUMMYFUNCTION("""COMPUTED_VALUE"""),"FINALIZAR FICHA")</f>
        <v>FINALIZAR FICHA</v>
      </c>
      <c r="BI195" s="40" t="str">
        <f ca="1">IFERROR(__xludf.DUMMYFUNCTION("""COMPUTED_VALUE"""),"Terminada por Fecha     ")</f>
        <v xml:space="preserve">Terminada por Fecha     </v>
      </c>
      <c r="BJ195" s="40" t="str">
        <f ca="1">IFERROR(__xludf.DUMMYFUNCTION("""COMPUTED_VALUE"""),"Yamboro")</f>
        <v>Yamboro</v>
      </c>
      <c r="BK195" s="40"/>
      <c r="BL195" s="40"/>
    </row>
    <row r="196" spans="1:64" ht="13">
      <c r="A196" s="40"/>
      <c r="B196" s="40" t="str">
        <f ca="1">IFERROR(__xludf.DUMMYFUNCTION("""COMPUTED_VALUE"""),"NO CALIFICADO FORMACION.. Revisado 25/08/2022")</f>
        <v>NO CALIFICADO FORMACION.. Revisado 25/08/2022</v>
      </c>
      <c r="C196" s="40" t="str">
        <f ca="1">IFERROR(__xludf.DUMMYFUNCTION("""COMPUTED_VALUE"""),"RONALDO CABRERA BURBANO")</f>
        <v>RONALDO CABRERA BURBANO</v>
      </c>
      <c r="D196" s="40" t="str">
        <f ca="1">IFERROR(__xludf.DUMMYFUNCTION("""COMPUTED_VALUE"""),"CC")</f>
        <v>CC</v>
      </c>
      <c r="E196" s="40">
        <f ca="1">IFERROR(__xludf.DUMMYFUNCTION("""COMPUTED_VALUE"""),1083921303)</f>
        <v>1083921303</v>
      </c>
      <c r="F196" s="40">
        <f ca="1">IFERROR(__xludf.DUMMYFUNCTION("""COMPUTED_VALUE"""),1832592)</f>
        <v>1832592</v>
      </c>
      <c r="G196" s="40" t="str">
        <f ca="1">IFERROR(__xludf.DUMMYFUNCTION("""COMPUTED_VALUE"""),"TÉCNICO")</f>
        <v>TÉCNICO</v>
      </c>
      <c r="H196" s="40" t="str">
        <f ca="1">IFERROR(__xludf.DUMMYFUNCTION("""COMPUTED_VALUE"""),"DIBUJO ARQUITECTÓNICO")</f>
        <v>DIBUJO ARQUITECTÓNICO</v>
      </c>
      <c r="I196" s="40">
        <f ca="1">IFERROR(__xludf.DUMMYFUNCTION("""COMPUTED_VALUE"""),3054103656)</f>
        <v>3054103656</v>
      </c>
      <c r="J196" s="40" t="str">
        <f ca="1">IFERROR(__xludf.DUMMYFUNCTION("""COMPUTED_VALUE"""),"ronaldoshm97@gmail.com")</f>
        <v>ronaldoshm97@gmail.com</v>
      </c>
      <c r="K196" s="40"/>
      <c r="L196" s="40" t="str">
        <f ca="1">IFERROR(__xludf.DUMMYFUNCTION("""COMPUTED_VALUE"""),"PASANTÍAS")</f>
        <v>PASANTÍAS</v>
      </c>
      <c r="M196" s="40" t="str">
        <f ca="1">IFERROR(__xludf.DUMMYFUNCTION("""COMPUTED_VALUE"""),"SENA")</f>
        <v>SENA</v>
      </c>
      <c r="N196" s="40" t="str">
        <f ca="1">IFERROR(__xludf.DUMMYFUNCTION("""COMPUTED_VALUE"""),"YAMBORO")</f>
        <v>YAMBORO</v>
      </c>
      <c r="O196" s="40">
        <f ca="1">IFERROR(__xludf.DUMMYFUNCTION("""COMPUTED_VALUE"""),8365960)</f>
        <v>8365960</v>
      </c>
      <c r="P196" s="40" t="str">
        <f ca="1">IFERROR(__xludf.DUMMYFUNCTION("""COMPUTED_VALUE"""),"PITALITO")</f>
        <v>PITALITO</v>
      </c>
      <c r="Q196" s="40" t="str">
        <f ca="1">IFERROR(__xludf.DUMMYFUNCTION("""COMPUTED_VALUE"""),"apinzonp@sena.edu.co")</f>
        <v>apinzonp@sena.edu.co</v>
      </c>
      <c r="R196" s="140">
        <f ca="1">IFERROR(__xludf.DUMMYFUNCTION("""COMPUTED_VALUE"""),43775)</f>
        <v>43775</v>
      </c>
      <c r="S196" s="140">
        <f ca="1">IFERROR(__xludf.DUMMYFUNCTION("""COMPUTED_VALUE"""),43957)</f>
        <v>43957</v>
      </c>
      <c r="T196" s="40"/>
      <c r="U196" s="40"/>
      <c r="V196" s="40" t="str">
        <f ca="1">IFERROR(__xludf.DUMMYFUNCTION("""COMPUTED_VALUE"""),"No tiene seguimiento ...Revisado 25/04/2022")</f>
        <v>No tiene seguimiento ...Revisado 25/04/2022</v>
      </c>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t="str">
        <f ca="1">IFERROR(__xludf.DUMMYFUNCTION("""COMPUTED_VALUE"""),"Procede_E_P")</f>
        <v>Procede_E_P</v>
      </c>
      <c r="AV196" s="40" t="str">
        <f ca="1">IFERROR(__xludf.DUMMYFUNCTION("""COMPUTED_VALUE"""),"EN FORMACION")</f>
        <v>EN FORMACION</v>
      </c>
      <c r="AW196" s="40" t="str">
        <f ca="1">IFERROR(__xludf.DUMMYFUNCTION("""COMPUTED_VALUE"""),"BIOCONSTRUCCION")</f>
        <v>BIOCONSTRUCCION</v>
      </c>
      <c r="AX196" s="141">
        <f ca="1">IFERROR(__xludf.DUMMYFUNCTION("""COMPUTED_VALUE"""),44848)</f>
        <v>44848</v>
      </c>
      <c r="AY196" s="40">
        <f ca="1">IFERROR(__xludf.DUMMYFUNCTION("""COMPUTED_VALUE"""),0)</f>
        <v>0</v>
      </c>
      <c r="AZ196" s="40">
        <f ca="1">IFERROR(__xludf.DUMMYFUNCTION("""COMPUTED_VALUE"""),1)</f>
        <v>1</v>
      </c>
      <c r="BA196" s="40">
        <f ca="1">IFERROR(__xludf.DUMMYFUNCTION("""COMPUTED_VALUE"""),0)</f>
        <v>0</v>
      </c>
      <c r="BB196" s="40">
        <f ca="1">IFERROR(__xludf.DUMMYFUNCTION("""COMPUTED_VALUE"""),0)</f>
        <v>0</v>
      </c>
      <c r="BC196" s="40">
        <f ca="1">IFERROR(__xludf.DUMMYFUNCTION("""COMPUTED_VALUE"""),1)</f>
        <v>1</v>
      </c>
      <c r="BD196" s="141">
        <f ca="1">IFERROR(__xludf.DUMMYFUNCTION("""COMPUTED_VALUE"""),43577)</f>
        <v>43577</v>
      </c>
      <c r="BE196" s="141">
        <f ca="1">IFERROR(__xludf.DUMMYFUNCTION("""COMPUTED_VALUE"""),43760)</f>
        <v>43760</v>
      </c>
      <c r="BF196" s="141">
        <f ca="1">IFERROR(__xludf.DUMMYFUNCTION("""COMPUTED_VALUE"""),43943)</f>
        <v>43943</v>
      </c>
      <c r="BG196" s="141">
        <f ca="1">IFERROR(__xludf.DUMMYFUNCTION("""COMPUTED_VALUE"""),44491)</f>
        <v>44491</v>
      </c>
      <c r="BH196" s="40" t="str">
        <f ca="1">IFERROR(__xludf.DUMMYFUNCTION("""COMPUTED_VALUE"""),"FINALIZAR FICHA")</f>
        <v>FINALIZAR FICHA</v>
      </c>
      <c r="BI196" s="40" t="str">
        <f ca="1">IFERROR(__xludf.DUMMYFUNCTION("""COMPUTED_VALUE"""),"Terminada por Fecha     ")</f>
        <v xml:space="preserve">Terminada por Fecha     </v>
      </c>
      <c r="BJ196" s="40" t="str">
        <f ca="1">IFERROR(__xludf.DUMMYFUNCTION("""COMPUTED_VALUE"""),"Yamboro")</f>
        <v>Yamboro</v>
      </c>
      <c r="BK196" s="40"/>
      <c r="BL196" s="40"/>
    </row>
    <row r="197" spans="1:64" ht="13">
      <c r="A197" s="40"/>
      <c r="B197" s="40" t="str">
        <f ca="1">IFERROR(__xludf.DUMMYFUNCTION("""COMPUTED_VALUE"""),"APLAZADO  18/10/2022")</f>
        <v>APLAZADO  18/10/2022</v>
      </c>
      <c r="C197" s="40" t="str">
        <f ca="1">IFERROR(__xludf.DUMMYFUNCTION("""COMPUTED_VALUE"""),"DIEGO ANDRES PARRA MARTINEZ")</f>
        <v>DIEGO ANDRES PARRA MARTINEZ</v>
      </c>
      <c r="D197" s="40" t="str">
        <f ca="1">IFERROR(__xludf.DUMMYFUNCTION("""COMPUTED_VALUE"""),"CC")</f>
        <v>CC</v>
      </c>
      <c r="E197" s="40">
        <f ca="1">IFERROR(__xludf.DUMMYFUNCTION("""COMPUTED_VALUE"""),1007502844)</f>
        <v>1007502844</v>
      </c>
      <c r="F197" s="40">
        <f ca="1">IFERROR(__xludf.DUMMYFUNCTION("""COMPUTED_VALUE"""),1961852)</f>
        <v>1961852</v>
      </c>
      <c r="G197" s="40" t="str">
        <f ca="1">IFERROR(__xludf.DUMMYFUNCTION("""COMPUTED_VALUE"""),"TÉCNICO")</f>
        <v>TÉCNICO</v>
      </c>
      <c r="H197" s="40" t="str">
        <f ca="1">IFERROR(__xludf.DUMMYFUNCTION("""COMPUTED_VALUE"""),"CONSTRUCCIÓN DE EDIFICACIONES")</f>
        <v>CONSTRUCCIÓN DE EDIFICACIONES</v>
      </c>
      <c r="I197" s="40"/>
      <c r="J197" s="40"/>
      <c r="K197" s="40"/>
      <c r="L197" s="40" t="str">
        <f ca="1">IFERROR(__xludf.DUMMYFUNCTION("""COMPUTED_VALUE"""),"NO HA INICIADO ETAPA PRODUCTIVA")</f>
        <v>NO HA INICIADO ETAPA PRODUCTIVA</v>
      </c>
      <c r="M197" s="40"/>
      <c r="N197" s="40"/>
      <c r="O197" s="40"/>
      <c r="P197" s="40"/>
      <c r="Q197" s="40"/>
      <c r="R197" s="140"/>
      <c r="S197" s="1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t="str">
        <f ca="1">IFERROR(__xludf.DUMMYFUNCTION("""COMPUTED_VALUE"""),"NO_CUMPLE")</f>
        <v>NO_CUMPLE</v>
      </c>
      <c r="AV197" s="40" t="str">
        <f ca="1">IFERROR(__xludf.DUMMYFUNCTION("""COMPUTED_VALUE"""),"APLAZADO")</f>
        <v>APLAZADO</v>
      </c>
      <c r="AW197" s="40" t="str">
        <f ca="1">IFERROR(__xludf.DUMMYFUNCTION("""COMPUTED_VALUE"""),"BIOCONSTRUCCION")</f>
        <v>BIOCONSTRUCCION</v>
      </c>
      <c r="AX197" s="141">
        <f ca="1">IFERROR(__xludf.DUMMYFUNCTION("""COMPUTED_VALUE"""),44848)</f>
        <v>44848</v>
      </c>
      <c r="AY197" s="40">
        <f ca="1">IFERROR(__xludf.DUMMYFUNCTION("""COMPUTED_VALUE"""),14)</f>
        <v>14</v>
      </c>
      <c r="AZ197" s="40">
        <f ca="1">IFERROR(__xludf.DUMMYFUNCTION("""COMPUTED_VALUE"""),1)</f>
        <v>1</v>
      </c>
      <c r="BA197" s="40">
        <f ca="1">IFERROR(__xludf.DUMMYFUNCTION("""COMPUTED_VALUE"""),7)</f>
        <v>7</v>
      </c>
      <c r="BB197" s="40">
        <f ca="1">IFERROR(__xludf.DUMMYFUNCTION("""COMPUTED_VALUE"""),27)</f>
        <v>27</v>
      </c>
      <c r="BC197" s="40">
        <f ca="1">IFERROR(__xludf.DUMMYFUNCTION("""COMPUTED_VALUE"""),49)</f>
        <v>49</v>
      </c>
      <c r="BD197" s="141">
        <f ca="1">IFERROR(__xludf.DUMMYFUNCTION("""COMPUTED_VALUE"""),43745)</f>
        <v>43745</v>
      </c>
      <c r="BE197" s="141">
        <f ca="1">IFERROR(__xludf.DUMMYFUNCTION("""COMPUTED_VALUE"""),43942)</f>
        <v>43942</v>
      </c>
      <c r="BF197" s="141">
        <f ca="1">IFERROR(__xludf.DUMMYFUNCTION("""COMPUTED_VALUE"""),44125)</f>
        <v>44125</v>
      </c>
      <c r="BG197" s="141">
        <f ca="1">IFERROR(__xludf.DUMMYFUNCTION("""COMPUTED_VALUE"""),44672)</f>
        <v>44672</v>
      </c>
      <c r="BH197" s="40" t="str">
        <f ca="1">IFERROR(__xludf.DUMMYFUNCTION("""COMPUTED_VALUE"""),"FINALIZAR FICHA")</f>
        <v>FINALIZAR FICHA</v>
      </c>
      <c r="BI197" s="40" t="str">
        <f ca="1">IFERROR(__xludf.DUMMYFUNCTION("""COMPUTED_VALUE"""),"Terminada por Fecha     ")</f>
        <v xml:space="preserve">Terminada por Fecha     </v>
      </c>
      <c r="BJ197" s="40" t="str">
        <f ca="1">IFERROR(__xludf.DUMMYFUNCTION("""COMPUTED_VALUE"""),"Yamboro")</f>
        <v>Yamboro</v>
      </c>
      <c r="BK197" s="40"/>
      <c r="BL197" s="40"/>
    </row>
    <row r="198" spans="1:64" ht="13">
      <c r="A198" s="40"/>
      <c r="B198" s="40" t="str">
        <f ca="1">IFERROR(__xludf.DUMMYFUNCTION("""COMPUTED_VALUE"""),"FORMACIÓN 18/10/2022")</f>
        <v>FORMACIÓN 18/10/2022</v>
      </c>
      <c r="C198" s="40" t="str">
        <f ca="1">IFERROR(__xludf.DUMMYFUNCTION("""COMPUTED_VALUE"""),"ALEXIS JAVIER NARVAEZ MOLINA")</f>
        <v>ALEXIS JAVIER NARVAEZ MOLINA</v>
      </c>
      <c r="D198" s="40" t="str">
        <f ca="1">IFERROR(__xludf.DUMMYFUNCTION("""COMPUTED_VALUE"""),"TI")</f>
        <v>TI</v>
      </c>
      <c r="E198" s="40">
        <f ca="1">IFERROR(__xludf.DUMMYFUNCTION("""COMPUTED_VALUE"""),1004300616)</f>
        <v>1004300616</v>
      </c>
      <c r="F198" s="40">
        <f ca="1">IFERROR(__xludf.DUMMYFUNCTION("""COMPUTED_VALUE"""),1961852)</f>
        <v>1961852</v>
      </c>
      <c r="G198" s="40" t="str">
        <f ca="1">IFERROR(__xludf.DUMMYFUNCTION("""COMPUTED_VALUE"""),"TÉCNICO")</f>
        <v>TÉCNICO</v>
      </c>
      <c r="H198" s="40" t="str">
        <f ca="1">IFERROR(__xludf.DUMMYFUNCTION("""COMPUTED_VALUE"""),"CONSTRUCCIÓN DE EDIFICACIONES")</f>
        <v>CONSTRUCCIÓN DE EDIFICACIONES</v>
      </c>
      <c r="I198" s="40"/>
      <c r="J198" s="40" t="str">
        <f ca="1">IFERROR(__xludf.DUMMYFUNCTION("""COMPUTED_VALUE"""),"narvaezalexis927@gmail.com")</f>
        <v>narvaezalexis927@gmail.com</v>
      </c>
      <c r="K198" s="40"/>
      <c r="L198" s="40" t="str">
        <f ca="1">IFERROR(__xludf.DUMMYFUNCTION("""COMPUTED_VALUE"""),"PASANTÍAS")</f>
        <v>PASANTÍAS</v>
      </c>
      <c r="M198" s="40" t="str">
        <f ca="1">IFERROR(__xludf.DUMMYFUNCTION("""COMPUTED_VALUE"""),"SENA (CENTRO DE GESTIÓN Y DESARROLLO SOSTENIBLE SURCOLOMBIANO")</f>
        <v>SENA (CENTRO DE GESTIÓN Y DESARROLLO SOSTENIBLE SURCOLOMBIANO</v>
      </c>
      <c r="N198" s="40" t="str">
        <f ca="1">IFERROR(__xludf.DUMMYFUNCTION("""COMPUTED_VALUE"""),"Yamboro")</f>
        <v>Yamboro</v>
      </c>
      <c r="O198" s="40"/>
      <c r="P198" s="40" t="str">
        <f ca="1">IFERROR(__xludf.DUMMYFUNCTION("""COMPUTED_VALUE"""),"PITALITO")</f>
        <v>PITALITO</v>
      </c>
      <c r="Q198" s="40" t="str">
        <f ca="1">IFERROR(__xludf.DUMMYFUNCTION("""COMPUTED_VALUE"""),"apinzonp@sena.edu.co")</f>
        <v>apinzonp@sena.edu.co</v>
      </c>
      <c r="R198" s="140">
        <f ca="1">IFERROR(__xludf.DUMMYFUNCTION("""COMPUTED_VALUE"""),43984)</f>
        <v>43984</v>
      </c>
      <c r="S198" s="140">
        <f ca="1">IFERROR(__xludf.DUMMYFUNCTION("""COMPUTED_VALUE"""),44167)</f>
        <v>44167</v>
      </c>
      <c r="T198" s="40"/>
      <c r="U198" s="40" t="str">
        <f ca="1">IFERROR(__xludf.DUMMYFUNCTION("""COMPUTED_VALUE"""),"JHON EDWIN MONTILLLA  ")</f>
        <v xml:space="preserve">JHON EDWIN MONTILLLA  </v>
      </c>
      <c r="V198" s="40" t="str">
        <f ca="1">IFERROR(__xludf.DUMMYFUNCTION("""COMPUTED_VALUE"""),"No tiene seguimiento ...Revisado 25/04/2022")</f>
        <v>No tiene seguimiento ...Revisado 25/04/2022</v>
      </c>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t="str">
        <f ca="1">IFERROR(__xludf.DUMMYFUNCTION("""COMPUTED_VALUE"""),"Procede_E_P")</f>
        <v>Procede_E_P</v>
      </c>
      <c r="AV198" s="40" t="str">
        <f ca="1">IFERROR(__xludf.DUMMYFUNCTION("""COMPUTED_VALUE"""),"EN FORMACION")</f>
        <v>EN FORMACION</v>
      </c>
      <c r="AW198" s="40" t="str">
        <f ca="1">IFERROR(__xludf.DUMMYFUNCTION("""COMPUTED_VALUE"""),"BIOCONSTRUCCION")</f>
        <v>BIOCONSTRUCCION</v>
      </c>
      <c r="AX198" s="141">
        <f ca="1">IFERROR(__xludf.DUMMYFUNCTION("""COMPUTED_VALUE"""),44848)</f>
        <v>44848</v>
      </c>
      <c r="AY198" s="40">
        <f ca="1">IFERROR(__xludf.DUMMYFUNCTION("""COMPUTED_VALUE"""),0)</f>
        <v>0</v>
      </c>
      <c r="AZ198" s="40">
        <f ca="1">IFERROR(__xludf.DUMMYFUNCTION("""COMPUTED_VALUE"""),1)</f>
        <v>1</v>
      </c>
      <c r="BA198" s="40">
        <f ca="1">IFERROR(__xludf.DUMMYFUNCTION("""COMPUTED_VALUE"""),0)</f>
        <v>0</v>
      </c>
      <c r="BB198" s="40">
        <f ca="1">IFERROR(__xludf.DUMMYFUNCTION("""COMPUTED_VALUE"""),0)</f>
        <v>0</v>
      </c>
      <c r="BC198" s="40">
        <f ca="1">IFERROR(__xludf.DUMMYFUNCTION("""COMPUTED_VALUE"""),1)</f>
        <v>1</v>
      </c>
      <c r="BD198" s="141">
        <f ca="1">IFERROR(__xludf.DUMMYFUNCTION("""COMPUTED_VALUE"""),43745)</f>
        <v>43745</v>
      </c>
      <c r="BE198" s="141">
        <f ca="1">IFERROR(__xludf.DUMMYFUNCTION("""COMPUTED_VALUE"""),43942)</f>
        <v>43942</v>
      </c>
      <c r="BF198" s="141">
        <f ca="1">IFERROR(__xludf.DUMMYFUNCTION("""COMPUTED_VALUE"""),44125)</f>
        <v>44125</v>
      </c>
      <c r="BG198" s="141">
        <f ca="1">IFERROR(__xludf.DUMMYFUNCTION("""COMPUTED_VALUE"""),44672)</f>
        <v>44672</v>
      </c>
      <c r="BH198" s="40" t="str">
        <f ca="1">IFERROR(__xludf.DUMMYFUNCTION("""COMPUTED_VALUE"""),"FINALIZAR FICHA")</f>
        <v>FINALIZAR FICHA</v>
      </c>
      <c r="BI198" s="40" t="str">
        <f ca="1">IFERROR(__xludf.DUMMYFUNCTION("""COMPUTED_VALUE"""),"Terminada por Fecha     ")</f>
        <v xml:space="preserve">Terminada por Fecha     </v>
      </c>
      <c r="BJ198" s="40" t="str">
        <f ca="1">IFERROR(__xludf.DUMMYFUNCTION("""COMPUTED_VALUE"""),"Yamboro")</f>
        <v>Yamboro</v>
      </c>
      <c r="BK198" s="40"/>
      <c r="BL198" s="40"/>
    </row>
    <row r="199" spans="1:64" ht="13">
      <c r="A199" s="40"/>
      <c r="B199" s="40" t="str">
        <f ca="1">IFERROR(__xludf.DUMMYFUNCTION("""COMPUTED_VALUE"""),"FORMACIÓN 18/10/2022")</f>
        <v>FORMACIÓN 18/10/2022</v>
      </c>
      <c r="C199" s="40" t="str">
        <f ca="1">IFERROR(__xludf.DUMMYFUNCTION("""COMPUTED_VALUE"""),"DUBAN ANDRES ANACONA HOYOS")</f>
        <v>DUBAN ANDRES ANACONA HOYOS</v>
      </c>
      <c r="D199" s="40" t="str">
        <f ca="1">IFERROR(__xludf.DUMMYFUNCTION("""COMPUTED_VALUE"""),"CC")</f>
        <v>CC</v>
      </c>
      <c r="E199" s="40">
        <f ca="1">IFERROR(__xludf.DUMMYFUNCTION("""COMPUTED_VALUE"""),1007582834)</f>
        <v>1007582834</v>
      </c>
      <c r="F199" s="40">
        <f ca="1">IFERROR(__xludf.DUMMYFUNCTION("""COMPUTED_VALUE"""),1961852)</f>
        <v>1961852</v>
      </c>
      <c r="G199" s="40" t="str">
        <f ca="1">IFERROR(__xludf.DUMMYFUNCTION("""COMPUTED_VALUE"""),"TÉCNICO")</f>
        <v>TÉCNICO</v>
      </c>
      <c r="H199" s="40" t="str">
        <f ca="1">IFERROR(__xludf.DUMMYFUNCTION("""COMPUTED_VALUE"""),"CONSTRUCCIÓN DE EDIFICACIONES")</f>
        <v>CONSTRUCCIÓN DE EDIFICACIONES</v>
      </c>
      <c r="I199" s="40"/>
      <c r="J199" s="40" t="str">
        <f ca="1">IFERROR(__xludf.DUMMYFUNCTION("""COMPUTED_VALUE"""),"du.hoyos51@gmail.com")</f>
        <v>du.hoyos51@gmail.com</v>
      </c>
      <c r="K199" s="40"/>
      <c r="L199" s="40" t="str">
        <f ca="1">IFERROR(__xludf.DUMMYFUNCTION("""COMPUTED_VALUE"""),"PROYECTO PRODUCTIVO")</f>
        <v>PROYECTO PRODUCTIVO</v>
      </c>
      <c r="M199" s="40" t="str">
        <f ca="1">IFERROR(__xludf.DUMMYFUNCTION("""COMPUTED_VALUE"""),"SENA (CENTRO DE GESTIÓN Y DESARROLLO SOSTENIBLE SURCOLOMBIANO")</f>
        <v>SENA (CENTRO DE GESTIÓN Y DESARROLLO SOSTENIBLE SURCOLOMBIANO</v>
      </c>
      <c r="N199" s="40" t="str">
        <f ca="1">IFERROR(__xludf.DUMMYFUNCTION("""COMPUTED_VALUE"""),"Yamboro")</f>
        <v>Yamboro</v>
      </c>
      <c r="O199" s="40"/>
      <c r="P199" s="40" t="str">
        <f ca="1">IFERROR(__xludf.DUMMYFUNCTION("""COMPUTED_VALUE"""),"PITALITO")</f>
        <v>PITALITO</v>
      </c>
      <c r="Q199" s="40" t="str">
        <f ca="1">IFERROR(__xludf.DUMMYFUNCTION("""COMPUTED_VALUE"""),"apinzonp@sena.edu.co")</f>
        <v>apinzonp@sena.edu.co</v>
      </c>
      <c r="R199" s="140">
        <f ca="1">IFERROR(__xludf.DUMMYFUNCTION("""COMPUTED_VALUE"""),43984)</f>
        <v>43984</v>
      </c>
      <c r="S199" s="140">
        <f ca="1">IFERROR(__xludf.DUMMYFUNCTION("""COMPUTED_VALUE"""),44167)</f>
        <v>44167</v>
      </c>
      <c r="T199" s="40" t="str">
        <f ca="1">IFERROR(__xludf.DUMMYFUNCTION("""COMPUTED_VALUE"""),"tiene legalización - 1 informe")</f>
        <v>tiene legalización - 1 informe</v>
      </c>
      <c r="U199" s="40" t="str">
        <f ca="1">IFERROR(__xludf.DUMMYFUNCTION("""COMPUTED_VALUE"""),"JHON EDWIN MONTILLLA")</f>
        <v>JHON EDWIN MONTILLLA</v>
      </c>
      <c r="V199" s="40" t="str">
        <f ca="1">IFERROR(__xludf.DUMMYFUNCTION("""COMPUTED_VALUE"""),"No tiene seguimiento ...Revisado 25/04/2022")</f>
        <v>No tiene seguimiento ...Revisado 25/04/2022</v>
      </c>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t="str">
        <f ca="1">IFERROR(__xludf.DUMMYFUNCTION("""COMPUTED_VALUE"""),"Procede_E_P")</f>
        <v>Procede_E_P</v>
      </c>
      <c r="AV199" s="40" t="str">
        <f ca="1">IFERROR(__xludf.DUMMYFUNCTION("""COMPUTED_VALUE"""),"EN FORMACION")</f>
        <v>EN FORMACION</v>
      </c>
      <c r="AW199" s="40" t="str">
        <f ca="1">IFERROR(__xludf.DUMMYFUNCTION("""COMPUTED_VALUE"""),"BIOCONSTRUCCION")</f>
        <v>BIOCONSTRUCCION</v>
      </c>
      <c r="AX199" s="141">
        <f ca="1">IFERROR(__xludf.DUMMYFUNCTION("""COMPUTED_VALUE"""),44848)</f>
        <v>44848</v>
      </c>
      <c r="AY199" s="40">
        <f ca="1">IFERROR(__xludf.DUMMYFUNCTION("""COMPUTED_VALUE"""),0)</f>
        <v>0</v>
      </c>
      <c r="AZ199" s="40">
        <f ca="1">IFERROR(__xludf.DUMMYFUNCTION("""COMPUTED_VALUE"""),1)</f>
        <v>1</v>
      </c>
      <c r="BA199" s="40">
        <f ca="1">IFERROR(__xludf.DUMMYFUNCTION("""COMPUTED_VALUE"""),0)</f>
        <v>0</v>
      </c>
      <c r="BB199" s="40">
        <f ca="1">IFERROR(__xludf.DUMMYFUNCTION("""COMPUTED_VALUE"""),0)</f>
        <v>0</v>
      </c>
      <c r="BC199" s="40">
        <f ca="1">IFERROR(__xludf.DUMMYFUNCTION("""COMPUTED_VALUE"""),1)</f>
        <v>1</v>
      </c>
      <c r="BD199" s="141">
        <f ca="1">IFERROR(__xludf.DUMMYFUNCTION("""COMPUTED_VALUE"""),43745)</f>
        <v>43745</v>
      </c>
      <c r="BE199" s="141">
        <f ca="1">IFERROR(__xludf.DUMMYFUNCTION("""COMPUTED_VALUE"""),43942)</f>
        <v>43942</v>
      </c>
      <c r="BF199" s="141">
        <f ca="1">IFERROR(__xludf.DUMMYFUNCTION("""COMPUTED_VALUE"""),44125)</f>
        <v>44125</v>
      </c>
      <c r="BG199" s="141">
        <f ca="1">IFERROR(__xludf.DUMMYFUNCTION("""COMPUTED_VALUE"""),44672)</f>
        <v>44672</v>
      </c>
      <c r="BH199" s="40" t="str">
        <f ca="1">IFERROR(__xludf.DUMMYFUNCTION("""COMPUTED_VALUE"""),"FINALIZAR FICHA")</f>
        <v>FINALIZAR FICHA</v>
      </c>
      <c r="BI199" s="40" t="str">
        <f ca="1">IFERROR(__xludf.DUMMYFUNCTION("""COMPUTED_VALUE"""),"Terminada por Fecha     ")</f>
        <v xml:space="preserve">Terminada por Fecha     </v>
      </c>
      <c r="BJ199" s="40" t="str">
        <f ca="1">IFERROR(__xludf.DUMMYFUNCTION("""COMPUTED_VALUE"""),"Yamboro")</f>
        <v>Yamboro</v>
      </c>
      <c r="BK199" s="40"/>
      <c r="BL199" s="40"/>
    </row>
    <row r="200" spans="1:64" ht="13">
      <c r="A200" s="40"/>
      <c r="B200" s="40" t="str">
        <f ca="1">IFERROR(__xludf.DUMMYFUNCTION("""COMPUTED_VALUE"""),"FORMACIÓN 18/10/2022")</f>
        <v>FORMACIÓN 18/10/2022</v>
      </c>
      <c r="C200" s="40" t="str">
        <f ca="1">IFERROR(__xludf.DUMMYFUNCTION("""COMPUTED_VALUE"""),"DUVAN ANDRES MANRIQUE MASSIAS")</f>
        <v>DUVAN ANDRES MANRIQUE MASSIAS</v>
      </c>
      <c r="D200" s="40" t="str">
        <f ca="1">IFERROR(__xludf.DUMMYFUNCTION("""COMPUTED_VALUE"""),"CC")</f>
        <v>CC</v>
      </c>
      <c r="E200" s="40">
        <f ca="1">IFERROR(__xludf.DUMMYFUNCTION("""COMPUTED_VALUE"""),1081183759)</f>
        <v>1081183759</v>
      </c>
      <c r="F200" s="40">
        <f ca="1">IFERROR(__xludf.DUMMYFUNCTION("""COMPUTED_VALUE"""),1961852)</f>
        <v>1961852</v>
      </c>
      <c r="G200" s="40" t="str">
        <f ca="1">IFERROR(__xludf.DUMMYFUNCTION("""COMPUTED_VALUE"""),"TÉCNICO")</f>
        <v>TÉCNICO</v>
      </c>
      <c r="H200" s="40" t="str">
        <f ca="1">IFERROR(__xludf.DUMMYFUNCTION("""COMPUTED_VALUE"""),"CONSTRUCCIÓN DE EDIFICACIONES")</f>
        <v>CONSTRUCCIÓN DE EDIFICACIONES</v>
      </c>
      <c r="I200" s="40"/>
      <c r="J200" s="40" t="str">
        <f ca="1">IFERROR(__xludf.DUMMYFUNCTION("""COMPUTED_VALUE"""),"dandresmanrique@gmail.com")</f>
        <v>dandresmanrique@gmail.com</v>
      </c>
      <c r="K200" s="40"/>
      <c r="L200" s="40" t="str">
        <f ca="1">IFERROR(__xludf.DUMMYFUNCTION("""COMPUTED_VALUE"""),"PASANTÍAS")</f>
        <v>PASANTÍAS</v>
      </c>
      <c r="M200" s="40" t="str">
        <f ca="1">IFERROR(__xludf.DUMMYFUNCTION("""COMPUTED_VALUE"""),"SENA (CENTRO DE GESTIÓN Y DESARROLLO SOSTENIBLE SURCOLOMBIANO")</f>
        <v>SENA (CENTRO DE GESTIÓN Y DESARROLLO SOSTENIBLE SURCOLOMBIANO</v>
      </c>
      <c r="N200" s="40" t="str">
        <f ca="1">IFERROR(__xludf.DUMMYFUNCTION("""COMPUTED_VALUE"""),"Yamboro")</f>
        <v>Yamboro</v>
      </c>
      <c r="O200" s="40"/>
      <c r="P200" s="40" t="str">
        <f ca="1">IFERROR(__xludf.DUMMYFUNCTION("""COMPUTED_VALUE"""),"PITALITO")</f>
        <v>PITALITO</v>
      </c>
      <c r="Q200" s="40" t="str">
        <f ca="1">IFERROR(__xludf.DUMMYFUNCTION("""COMPUTED_VALUE"""),"apinzonp@sena.edu.co")</f>
        <v>apinzonp@sena.edu.co</v>
      </c>
      <c r="R200" s="140">
        <f ca="1">IFERROR(__xludf.DUMMYFUNCTION("""COMPUTED_VALUE"""),43984)</f>
        <v>43984</v>
      </c>
      <c r="S200" s="140">
        <f ca="1">IFERROR(__xludf.DUMMYFUNCTION("""COMPUTED_VALUE"""),44167)</f>
        <v>44167</v>
      </c>
      <c r="T200" s="40"/>
      <c r="U200" s="40" t="str">
        <f ca="1">IFERROR(__xludf.DUMMYFUNCTION("""COMPUTED_VALUE"""),"JHON EDWIN MONTILLLA")</f>
        <v>JHON EDWIN MONTILLLA</v>
      </c>
      <c r="V200" s="40" t="str">
        <f ca="1">IFERROR(__xludf.DUMMYFUNCTION("""COMPUTED_VALUE"""),"No tiene seguimiento ...Revisado 25/04/2022")</f>
        <v>No tiene seguimiento ...Revisado 25/04/2022</v>
      </c>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t="str">
        <f ca="1">IFERROR(__xludf.DUMMYFUNCTION("""COMPUTED_VALUE"""),"Procede_E_P")</f>
        <v>Procede_E_P</v>
      </c>
      <c r="AV200" s="40" t="str">
        <f ca="1">IFERROR(__xludf.DUMMYFUNCTION("""COMPUTED_VALUE"""),"EN FORMACION")</f>
        <v>EN FORMACION</v>
      </c>
      <c r="AW200" s="40" t="str">
        <f ca="1">IFERROR(__xludf.DUMMYFUNCTION("""COMPUTED_VALUE"""),"BIOCONSTRUCCION")</f>
        <v>BIOCONSTRUCCION</v>
      </c>
      <c r="AX200" s="141">
        <f ca="1">IFERROR(__xludf.DUMMYFUNCTION("""COMPUTED_VALUE"""),44848)</f>
        <v>44848</v>
      </c>
      <c r="AY200" s="40">
        <f ca="1">IFERROR(__xludf.DUMMYFUNCTION("""COMPUTED_VALUE"""),0)</f>
        <v>0</v>
      </c>
      <c r="AZ200" s="40">
        <f ca="1">IFERROR(__xludf.DUMMYFUNCTION("""COMPUTED_VALUE"""),1)</f>
        <v>1</v>
      </c>
      <c r="BA200" s="40">
        <f ca="1">IFERROR(__xludf.DUMMYFUNCTION("""COMPUTED_VALUE"""),0)</f>
        <v>0</v>
      </c>
      <c r="BB200" s="40">
        <f ca="1">IFERROR(__xludf.DUMMYFUNCTION("""COMPUTED_VALUE"""),0)</f>
        <v>0</v>
      </c>
      <c r="BC200" s="40">
        <f ca="1">IFERROR(__xludf.DUMMYFUNCTION("""COMPUTED_VALUE"""),1)</f>
        <v>1</v>
      </c>
      <c r="BD200" s="141">
        <f ca="1">IFERROR(__xludf.DUMMYFUNCTION("""COMPUTED_VALUE"""),43745)</f>
        <v>43745</v>
      </c>
      <c r="BE200" s="141">
        <f ca="1">IFERROR(__xludf.DUMMYFUNCTION("""COMPUTED_VALUE"""),43942)</f>
        <v>43942</v>
      </c>
      <c r="BF200" s="141">
        <f ca="1">IFERROR(__xludf.DUMMYFUNCTION("""COMPUTED_VALUE"""),44125)</f>
        <v>44125</v>
      </c>
      <c r="BG200" s="141">
        <f ca="1">IFERROR(__xludf.DUMMYFUNCTION("""COMPUTED_VALUE"""),44672)</f>
        <v>44672</v>
      </c>
      <c r="BH200" s="40" t="str">
        <f ca="1">IFERROR(__xludf.DUMMYFUNCTION("""COMPUTED_VALUE"""),"FINALIZAR FICHA")</f>
        <v>FINALIZAR FICHA</v>
      </c>
      <c r="BI200" s="40" t="str">
        <f ca="1">IFERROR(__xludf.DUMMYFUNCTION("""COMPUTED_VALUE"""),"Terminada por Fecha     ")</f>
        <v xml:space="preserve">Terminada por Fecha     </v>
      </c>
      <c r="BJ200" s="40" t="str">
        <f ca="1">IFERROR(__xludf.DUMMYFUNCTION("""COMPUTED_VALUE"""),"Yamboro")</f>
        <v>Yamboro</v>
      </c>
      <c r="BK200" s="40"/>
      <c r="BL200" s="40"/>
    </row>
    <row r="201" spans="1:64" ht="13">
      <c r="A201" s="40"/>
      <c r="B201" s="40" t="str">
        <f ca="1">IFERROR(__xludf.DUMMYFUNCTION("""COMPUTED_VALUE"""),"FORMACIÓN 18/10/2022")</f>
        <v>FORMACIÓN 18/10/2022</v>
      </c>
      <c r="C201" s="40" t="str">
        <f ca="1">IFERROR(__xludf.DUMMYFUNCTION("""COMPUTED_VALUE"""),"LUIS FELIPE CASANOVA PEÑA")</f>
        <v>LUIS FELIPE CASANOVA PEÑA</v>
      </c>
      <c r="D201" s="40" t="str">
        <f ca="1">IFERROR(__xludf.DUMMYFUNCTION("""COMPUTED_VALUE"""),"CC")</f>
        <v>CC</v>
      </c>
      <c r="E201" s="40">
        <f ca="1">IFERROR(__xludf.DUMMYFUNCTION("""COMPUTED_VALUE"""),1084897780)</f>
        <v>1084897780</v>
      </c>
      <c r="F201" s="40">
        <f ca="1">IFERROR(__xludf.DUMMYFUNCTION("""COMPUTED_VALUE"""),1961852)</f>
        <v>1961852</v>
      </c>
      <c r="G201" s="40" t="str">
        <f ca="1">IFERROR(__xludf.DUMMYFUNCTION("""COMPUTED_VALUE"""),"TÉCNICO")</f>
        <v>TÉCNICO</v>
      </c>
      <c r="H201" s="40" t="str">
        <f ca="1">IFERROR(__xludf.DUMMYFUNCTION("""COMPUTED_VALUE"""),"CONSTRUCCIÓN DE EDIFICACIONES")</f>
        <v>CONSTRUCCIÓN DE EDIFICACIONES</v>
      </c>
      <c r="I201" s="40"/>
      <c r="J201" s="40" t="str">
        <f ca="1">IFERROR(__xludf.DUMMYFUNCTION("""COMPUTED_VALUE"""),"luisfelipecasanova5@gmail.com")</f>
        <v>luisfelipecasanova5@gmail.com</v>
      </c>
      <c r="K201" s="40"/>
      <c r="L201" s="40" t="str">
        <f ca="1">IFERROR(__xludf.DUMMYFUNCTION("""COMPUTED_VALUE"""),"PASANTÍAS")</f>
        <v>PASANTÍAS</v>
      </c>
      <c r="M201" s="40" t="str">
        <f ca="1">IFERROR(__xludf.DUMMYFUNCTION("""COMPUTED_VALUE"""),"SENA (CENTRO DE GESTIÓN Y DESARROLLO SOSTENIBLE SURCOLOMBIANO")</f>
        <v>SENA (CENTRO DE GESTIÓN Y DESARROLLO SOSTENIBLE SURCOLOMBIANO</v>
      </c>
      <c r="N201" s="40" t="str">
        <f ca="1">IFERROR(__xludf.DUMMYFUNCTION("""COMPUTED_VALUE"""),"Yamboro")</f>
        <v>Yamboro</v>
      </c>
      <c r="O201" s="40"/>
      <c r="P201" s="40" t="str">
        <f ca="1">IFERROR(__xludf.DUMMYFUNCTION("""COMPUTED_VALUE"""),"PITALITO")</f>
        <v>PITALITO</v>
      </c>
      <c r="Q201" s="40" t="str">
        <f ca="1">IFERROR(__xludf.DUMMYFUNCTION("""COMPUTED_VALUE"""),"apinzonp@sena.edu.co")</f>
        <v>apinzonp@sena.edu.co</v>
      </c>
      <c r="R201" s="140">
        <f ca="1">IFERROR(__xludf.DUMMYFUNCTION("""COMPUTED_VALUE"""),43984)</f>
        <v>43984</v>
      </c>
      <c r="S201" s="140">
        <f ca="1">IFERROR(__xludf.DUMMYFUNCTION("""COMPUTED_VALUE"""),44167)</f>
        <v>44167</v>
      </c>
      <c r="T201" s="40"/>
      <c r="U201" s="40" t="str">
        <f ca="1">IFERROR(__xludf.DUMMYFUNCTION("""COMPUTED_VALUE"""),"JHON EDWIN MONTILLLA")</f>
        <v>JHON EDWIN MONTILLLA</v>
      </c>
      <c r="V201" s="40" t="str">
        <f ca="1">IFERROR(__xludf.DUMMYFUNCTION("""COMPUTED_VALUE"""),"No tiene seguimiento ...Revisado 25/04/2022")</f>
        <v>No tiene seguimiento ...Revisado 25/04/2022</v>
      </c>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t="str">
        <f ca="1">IFERROR(__xludf.DUMMYFUNCTION("""COMPUTED_VALUE"""),"Procede_E_P")</f>
        <v>Procede_E_P</v>
      </c>
      <c r="AV201" s="40" t="str">
        <f ca="1">IFERROR(__xludf.DUMMYFUNCTION("""COMPUTED_VALUE"""),"EN FORMACION")</f>
        <v>EN FORMACION</v>
      </c>
      <c r="AW201" s="40" t="str">
        <f ca="1">IFERROR(__xludf.DUMMYFUNCTION("""COMPUTED_VALUE"""),"BIOCONSTRUCCION")</f>
        <v>BIOCONSTRUCCION</v>
      </c>
      <c r="AX201" s="141">
        <f ca="1">IFERROR(__xludf.DUMMYFUNCTION("""COMPUTED_VALUE"""),44848)</f>
        <v>44848</v>
      </c>
      <c r="AY201" s="40">
        <f ca="1">IFERROR(__xludf.DUMMYFUNCTION("""COMPUTED_VALUE"""),0)</f>
        <v>0</v>
      </c>
      <c r="AZ201" s="40">
        <f ca="1">IFERROR(__xludf.DUMMYFUNCTION("""COMPUTED_VALUE"""),1)</f>
        <v>1</v>
      </c>
      <c r="BA201" s="40">
        <f ca="1">IFERROR(__xludf.DUMMYFUNCTION("""COMPUTED_VALUE"""),0)</f>
        <v>0</v>
      </c>
      <c r="BB201" s="40">
        <f ca="1">IFERROR(__xludf.DUMMYFUNCTION("""COMPUTED_VALUE"""),0)</f>
        <v>0</v>
      </c>
      <c r="BC201" s="40">
        <f ca="1">IFERROR(__xludf.DUMMYFUNCTION("""COMPUTED_VALUE"""),1)</f>
        <v>1</v>
      </c>
      <c r="BD201" s="141">
        <f ca="1">IFERROR(__xludf.DUMMYFUNCTION("""COMPUTED_VALUE"""),43745)</f>
        <v>43745</v>
      </c>
      <c r="BE201" s="141">
        <f ca="1">IFERROR(__xludf.DUMMYFUNCTION("""COMPUTED_VALUE"""),43942)</f>
        <v>43942</v>
      </c>
      <c r="BF201" s="141">
        <f ca="1">IFERROR(__xludf.DUMMYFUNCTION("""COMPUTED_VALUE"""),44125)</f>
        <v>44125</v>
      </c>
      <c r="BG201" s="141">
        <f ca="1">IFERROR(__xludf.DUMMYFUNCTION("""COMPUTED_VALUE"""),44672)</f>
        <v>44672</v>
      </c>
      <c r="BH201" s="40" t="str">
        <f ca="1">IFERROR(__xludf.DUMMYFUNCTION("""COMPUTED_VALUE"""),"FINALIZAR FICHA")</f>
        <v>FINALIZAR FICHA</v>
      </c>
      <c r="BI201" s="40" t="str">
        <f ca="1">IFERROR(__xludf.DUMMYFUNCTION("""COMPUTED_VALUE"""),"Terminada por Fecha     ")</f>
        <v xml:space="preserve">Terminada por Fecha     </v>
      </c>
      <c r="BJ201" s="40" t="str">
        <f ca="1">IFERROR(__xludf.DUMMYFUNCTION("""COMPUTED_VALUE"""),"Yamboro")</f>
        <v>Yamboro</v>
      </c>
      <c r="BK201" s="40"/>
      <c r="BL201" s="40"/>
    </row>
    <row r="202" spans="1:64" ht="13">
      <c r="A202" s="40"/>
      <c r="B202" s="40" t="str">
        <f ca="1">IFERROR(__xludf.DUMMYFUNCTION("""COMPUTED_VALUE"""),"FORMACIÓN 18/10/2022")</f>
        <v>FORMACIÓN 18/10/2022</v>
      </c>
      <c r="C202" s="40" t="str">
        <f ca="1">IFERROR(__xludf.DUMMYFUNCTION("""COMPUTED_VALUE"""),"LUIS ARMANDO ESCOBAR BELTRAN")</f>
        <v>LUIS ARMANDO ESCOBAR BELTRAN</v>
      </c>
      <c r="D202" s="40" t="str">
        <f ca="1">IFERROR(__xludf.DUMMYFUNCTION("""COMPUTED_VALUE"""),"CC")</f>
        <v>CC</v>
      </c>
      <c r="E202" s="40">
        <f ca="1">IFERROR(__xludf.DUMMYFUNCTION("""COMPUTED_VALUE"""),1083892973)</f>
        <v>1083892973</v>
      </c>
      <c r="F202" s="40">
        <f ca="1">IFERROR(__xludf.DUMMYFUNCTION("""COMPUTED_VALUE"""),1962570)</f>
        <v>1962570</v>
      </c>
      <c r="G202" s="40" t="str">
        <f ca="1">IFERROR(__xludf.DUMMYFUNCTION("""COMPUTED_VALUE"""),"TÉCNICO")</f>
        <v>TÉCNICO</v>
      </c>
      <c r="H202" s="40" t="str">
        <f ca="1">IFERROR(__xludf.DUMMYFUNCTION("""COMPUTED_VALUE"""),"CONSTRUCCIÓN DE EDIFICACIONES")</f>
        <v>CONSTRUCCIÓN DE EDIFICACIONES</v>
      </c>
      <c r="I202" s="40"/>
      <c r="J202" s="40" t="str">
        <f ca="1">IFERROR(__xludf.DUMMYFUNCTION("""COMPUTED_VALUE"""),"luisarmandoe13@gmail.com")</f>
        <v>luisarmandoe13@gmail.com</v>
      </c>
      <c r="K202" s="40"/>
      <c r="L202" s="40" t="str">
        <f ca="1">IFERROR(__xludf.DUMMYFUNCTION("""COMPUTED_VALUE"""),"NO HA INICIADO ETAPA PRODUCTIVA")</f>
        <v>NO HA INICIADO ETAPA PRODUCTIVA</v>
      </c>
      <c r="M202" s="40"/>
      <c r="N202" s="40"/>
      <c r="O202" s="40"/>
      <c r="P202" s="40"/>
      <c r="Q202" s="40"/>
      <c r="R202" s="140"/>
      <c r="S202" s="1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t="str">
        <f ca="1">IFERROR(__xludf.DUMMYFUNCTION("""COMPUTED_VALUE"""),"Procede_E_P")</f>
        <v>Procede_E_P</v>
      </c>
      <c r="AV202" s="40" t="str">
        <f ca="1">IFERROR(__xludf.DUMMYFUNCTION("""COMPUTED_VALUE"""),"EN FORMACION")</f>
        <v>EN FORMACION</v>
      </c>
      <c r="AW202" s="40" t="str">
        <f ca="1">IFERROR(__xludf.DUMMYFUNCTION("""COMPUTED_VALUE"""),"BIOCONSTRUCCION")</f>
        <v>BIOCONSTRUCCION</v>
      </c>
      <c r="AX202" s="141">
        <f ca="1">IFERROR(__xludf.DUMMYFUNCTION("""COMPUTED_VALUE"""),44848)</f>
        <v>44848</v>
      </c>
      <c r="AY202" s="40">
        <f ca="1">IFERROR(__xludf.DUMMYFUNCTION("""COMPUTED_VALUE"""),0)</f>
        <v>0</v>
      </c>
      <c r="AZ202" s="40">
        <f ca="1">IFERROR(__xludf.DUMMYFUNCTION("""COMPUTED_VALUE"""),1)</f>
        <v>1</v>
      </c>
      <c r="BA202" s="40">
        <f ca="1">IFERROR(__xludf.DUMMYFUNCTION("""COMPUTED_VALUE"""),0)</f>
        <v>0</v>
      </c>
      <c r="BB202" s="40">
        <f ca="1">IFERROR(__xludf.DUMMYFUNCTION("""COMPUTED_VALUE"""),0)</f>
        <v>0</v>
      </c>
      <c r="BC202" s="40">
        <f ca="1">IFERROR(__xludf.DUMMYFUNCTION("""COMPUTED_VALUE"""),1)</f>
        <v>1</v>
      </c>
      <c r="BD202" s="141">
        <f ca="1">IFERROR(__xludf.DUMMYFUNCTION("""COMPUTED_VALUE"""),43682)</f>
        <v>43682</v>
      </c>
      <c r="BE202" s="141">
        <f ca="1">IFERROR(__xludf.DUMMYFUNCTION("""COMPUTED_VALUE"""),43866)</f>
        <v>43866</v>
      </c>
      <c r="BF202" s="141">
        <f ca="1">IFERROR(__xludf.DUMMYFUNCTION("""COMPUTED_VALUE"""),44048)</f>
        <v>44048</v>
      </c>
      <c r="BG202" s="141">
        <f ca="1">IFERROR(__xludf.DUMMYFUNCTION("""COMPUTED_VALUE"""),44597)</f>
        <v>44597</v>
      </c>
      <c r="BH202" s="40" t="str">
        <f ca="1">IFERROR(__xludf.DUMMYFUNCTION("""COMPUTED_VALUE"""),"FINALIZAR FICHA")</f>
        <v>FINALIZAR FICHA</v>
      </c>
      <c r="BI202" s="40" t="str">
        <f ca="1">IFERROR(__xludf.DUMMYFUNCTION("""COMPUTED_VALUE"""),"Terminada por Fecha     ")</f>
        <v xml:space="preserve">Terminada por Fecha     </v>
      </c>
      <c r="BJ202" s="40" t="str">
        <f ca="1">IFERROR(__xludf.DUMMYFUNCTION("""COMPUTED_VALUE"""),"Yamboro")</f>
        <v>Yamboro</v>
      </c>
      <c r="BK202" s="40"/>
      <c r="BL202" s="40"/>
    </row>
    <row r="203" spans="1:64" ht="13">
      <c r="A203" s="40"/>
      <c r="B203" s="40" t="str">
        <f ca="1">IFERROR(__xludf.DUMMYFUNCTION("""COMPUTED_VALUE"""),"FORMACIÓN 18/10/2022")</f>
        <v>FORMACIÓN 18/10/2022</v>
      </c>
      <c r="C203" s="40" t="str">
        <f ca="1">IFERROR(__xludf.DUMMYFUNCTION("""COMPUTED_VALUE"""),"IVAN RENE VALENCIANO ZUÑIGA")</f>
        <v>IVAN RENE VALENCIANO ZUÑIGA</v>
      </c>
      <c r="D203" s="40" t="str">
        <f ca="1">IFERROR(__xludf.DUMMYFUNCTION("""COMPUTED_VALUE"""),"CC")</f>
        <v>CC</v>
      </c>
      <c r="E203" s="40">
        <f ca="1">IFERROR(__xludf.DUMMYFUNCTION("""COMPUTED_VALUE"""),1083905356)</f>
        <v>1083905356</v>
      </c>
      <c r="F203" s="40">
        <f ca="1">IFERROR(__xludf.DUMMYFUNCTION("""COMPUTED_VALUE"""),1962570)</f>
        <v>1962570</v>
      </c>
      <c r="G203" s="40" t="str">
        <f ca="1">IFERROR(__xludf.DUMMYFUNCTION("""COMPUTED_VALUE"""),"TÉCNICO")</f>
        <v>TÉCNICO</v>
      </c>
      <c r="H203" s="40" t="str">
        <f ca="1">IFERROR(__xludf.DUMMYFUNCTION("""COMPUTED_VALUE"""),"CONSTRUCCIÓN DE EDIFICACIONES")</f>
        <v>CONSTRUCCIÓN DE EDIFICACIONES</v>
      </c>
      <c r="I203" s="40">
        <f ca="1">IFERROR(__xludf.DUMMYFUNCTION("""COMPUTED_VALUE"""),3154664384)</f>
        <v>3154664384</v>
      </c>
      <c r="J203" s="40" t="str">
        <f ca="1">IFERROR(__xludf.DUMMYFUNCTION("""COMPUTED_VALUE"""),"Ivanrenato9312@gmail.com")</f>
        <v>Ivanrenato9312@gmail.com</v>
      </c>
      <c r="K203" s="40"/>
      <c r="L203" s="40" t="str">
        <f ca="1">IFERROR(__xludf.DUMMYFUNCTION("""COMPUTED_VALUE"""),"NO HA INICIADO ETAPA PRODUCTIVA")</f>
        <v>NO HA INICIADO ETAPA PRODUCTIVA</v>
      </c>
      <c r="M203" s="40"/>
      <c r="N203" s="40"/>
      <c r="O203" s="40"/>
      <c r="P203" s="40"/>
      <c r="Q203" s="40"/>
      <c r="R203" s="140"/>
      <c r="S203" s="1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t="str">
        <f ca="1">IFERROR(__xludf.DUMMYFUNCTION("""COMPUTED_VALUE"""),"Procede_E_P")</f>
        <v>Procede_E_P</v>
      </c>
      <c r="AV203" s="40" t="str">
        <f ca="1">IFERROR(__xludf.DUMMYFUNCTION("""COMPUTED_VALUE"""),"EN FORMACION")</f>
        <v>EN FORMACION</v>
      </c>
      <c r="AW203" s="40" t="str">
        <f ca="1">IFERROR(__xludf.DUMMYFUNCTION("""COMPUTED_VALUE"""),"BIOCONSTRUCCION")</f>
        <v>BIOCONSTRUCCION</v>
      </c>
      <c r="AX203" s="141">
        <f ca="1">IFERROR(__xludf.DUMMYFUNCTION("""COMPUTED_VALUE"""),44848)</f>
        <v>44848</v>
      </c>
      <c r="AY203" s="40">
        <f ca="1">IFERROR(__xludf.DUMMYFUNCTION("""COMPUTED_VALUE"""),0)</f>
        <v>0</v>
      </c>
      <c r="AZ203" s="40">
        <f ca="1">IFERROR(__xludf.DUMMYFUNCTION("""COMPUTED_VALUE"""),1)</f>
        <v>1</v>
      </c>
      <c r="BA203" s="40">
        <f ca="1">IFERROR(__xludf.DUMMYFUNCTION("""COMPUTED_VALUE"""),0)</f>
        <v>0</v>
      </c>
      <c r="BB203" s="40">
        <f ca="1">IFERROR(__xludf.DUMMYFUNCTION("""COMPUTED_VALUE"""),0)</f>
        <v>0</v>
      </c>
      <c r="BC203" s="40">
        <f ca="1">IFERROR(__xludf.DUMMYFUNCTION("""COMPUTED_VALUE"""),1)</f>
        <v>1</v>
      </c>
      <c r="BD203" s="141">
        <f ca="1">IFERROR(__xludf.DUMMYFUNCTION("""COMPUTED_VALUE"""),43682)</f>
        <v>43682</v>
      </c>
      <c r="BE203" s="141">
        <f ca="1">IFERROR(__xludf.DUMMYFUNCTION("""COMPUTED_VALUE"""),43866)</f>
        <v>43866</v>
      </c>
      <c r="BF203" s="141">
        <f ca="1">IFERROR(__xludf.DUMMYFUNCTION("""COMPUTED_VALUE"""),44048)</f>
        <v>44048</v>
      </c>
      <c r="BG203" s="141">
        <f ca="1">IFERROR(__xludf.DUMMYFUNCTION("""COMPUTED_VALUE"""),44597)</f>
        <v>44597</v>
      </c>
      <c r="BH203" s="40" t="str">
        <f ca="1">IFERROR(__xludf.DUMMYFUNCTION("""COMPUTED_VALUE"""),"FINALIZAR FICHA")</f>
        <v>FINALIZAR FICHA</v>
      </c>
      <c r="BI203" s="40" t="str">
        <f ca="1">IFERROR(__xludf.DUMMYFUNCTION("""COMPUTED_VALUE"""),"Terminada por Fecha     ")</f>
        <v xml:space="preserve">Terminada por Fecha     </v>
      </c>
      <c r="BJ203" s="40" t="str">
        <f ca="1">IFERROR(__xludf.DUMMYFUNCTION("""COMPUTED_VALUE"""),"Yamboro")</f>
        <v>Yamboro</v>
      </c>
      <c r="BK203" s="40"/>
      <c r="BL203" s="40"/>
    </row>
    <row r="204" spans="1:64" ht="13">
      <c r="A204" s="40"/>
      <c r="B204" s="40" t="str">
        <f ca="1">IFERROR(__xludf.DUMMYFUNCTION("""COMPUTED_VALUE"""),"FORMACIÓN 18/10/2022")</f>
        <v>FORMACIÓN 18/10/2022</v>
      </c>
      <c r="C204" s="40" t="str">
        <f ca="1">IFERROR(__xludf.DUMMYFUNCTION("""COMPUTED_VALUE"""),"FLOR DELLY DIAZ VIUCHE")</f>
        <v>FLOR DELLY DIAZ VIUCHE</v>
      </c>
      <c r="D204" s="40" t="str">
        <f ca="1">IFERROR(__xludf.DUMMYFUNCTION("""COMPUTED_VALUE"""),"CC")</f>
        <v>CC</v>
      </c>
      <c r="E204" s="40">
        <f ca="1">IFERROR(__xludf.DUMMYFUNCTION("""COMPUTED_VALUE"""),1083910950)</f>
        <v>1083910950</v>
      </c>
      <c r="F204" s="40">
        <f ca="1">IFERROR(__xludf.DUMMYFUNCTION("""COMPUTED_VALUE"""),1962570)</f>
        <v>1962570</v>
      </c>
      <c r="G204" s="40" t="str">
        <f ca="1">IFERROR(__xludf.DUMMYFUNCTION("""COMPUTED_VALUE"""),"TÉCNICO")</f>
        <v>TÉCNICO</v>
      </c>
      <c r="H204" s="40" t="str">
        <f ca="1">IFERROR(__xludf.DUMMYFUNCTION("""COMPUTED_VALUE"""),"CONSTRUCCIÓN DE EDIFICACIONES")</f>
        <v>CONSTRUCCIÓN DE EDIFICACIONES</v>
      </c>
      <c r="I204" s="40"/>
      <c r="J204" s="40" t="str">
        <f ca="1">IFERROR(__xludf.DUMMYFUNCTION("""COMPUTED_VALUE"""),"diax.viuche@gmail.com")</f>
        <v>diax.viuche@gmail.com</v>
      </c>
      <c r="K204" s="40"/>
      <c r="L204" s="40" t="str">
        <f ca="1">IFERROR(__xludf.DUMMYFUNCTION("""COMPUTED_VALUE"""),"NO HA INICIADO ETAPA PRODUCTIVA")</f>
        <v>NO HA INICIADO ETAPA PRODUCTIVA</v>
      </c>
      <c r="M204" s="40"/>
      <c r="N204" s="40"/>
      <c r="O204" s="40"/>
      <c r="P204" s="40"/>
      <c r="Q204" s="40"/>
      <c r="R204" s="140"/>
      <c r="S204" s="1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t="str">
        <f ca="1">IFERROR(__xludf.DUMMYFUNCTION("""COMPUTED_VALUE"""),"Procede_E_P")</f>
        <v>Procede_E_P</v>
      </c>
      <c r="AV204" s="40" t="str">
        <f ca="1">IFERROR(__xludf.DUMMYFUNCTION("""COMPUTED_VALUE"""),"EN FORMACION")</f>
        <v>EN FORMACION</v>
      </c>
      <c r="AW204" s="40" t="str">
        <f ca="1">IFERROR(__xludf.DUMMYFUNCTION("""COMPUTED_VALUE"""),"BIOCONSTRUCCION")</f>
        <v>BIOCONSTRUCCION</v>
      </c>
      <c r="AX204" s="141">
        <f ca="1">IFERROR(__xludf.DUMMYFUNCTION("""COMPUTED_VALUE"""),44848)</f>
        <v>44848</v>
      </c>
      <c r="AY204" s="40">
        <f ca="1">IFERROR(__xludf.DUMMYFUNCTION("""COMPUTED_VALUE"""),0)</f>
        <v>0</v>
      </c>
      <c r="AZ204" s="40">
        <f ca="1">IFERROR(__xludf.DUMMYFUNCTION("""COMPUTED_VALUE"""),1)</f>
        <v>1</v>
      </c>
      <c r="BA204" s="40">
        <f ca="1">IFERROR(__xludf.DUMMYFUNCTION("""COMPUTED_VALUE"""),0)</f>
        <v>0</v>
      </c>
      <c r="BB204" s="40">
        <f ca="1">IFERROR(__xludf.DUMMYFUNCTION("""COMPUTED_VALUE"""),0)</f>
        <v>0</v>
      </c>
      <c r="BC204" s="40">
        <f ca="1">IFERROR(__xludf.DUMMYFUNCTION("""COMPUTED_VALUE"""),1)</f>
        <v>1</v>
      </c>
      <c r="BD204" s="141">
        <f ca="1">IFERROR(__xludf.DUMMYFUNCTION("""COMPUTED_VALUE"""),43682)</f>
        <v>43682</v>
      </c>
      <c r="BE204" s="141">
        <f ca="1">IFERROR(__xludf.DUMMYFUNCTION("""COMPUTED_VALUE"""),43866)</f>
        <v>43866</v>
      </c>
      <c r="BF204" s="141">
        <f ca="1">IFERROR(__xludf.DUMMYFUNCTION("""COMPUTED_VALUE"""),44048)</f>
        <v>44048</v>
      </c>
      <c r="BG204" s="141">
        <f ca="1">IFERROR(__xludf.DUMMYFUNCTION("""COMPUTED_VALUE"""),44597)</f>
        <v>44597</v>
      </c>
      <c r="BH204" s="40" t="str">
        <f ca="1">IFERROR(__xludf.DUMMYFUNCTION("""COMPUTED_VALUE"""),"FINALIZAR FICHA")</f>
        <v>FINALIZAR FICHA</v>
      </c>
      <c r="BI204" s="40" t="str">
        <f ca="1">IFERROR(__xludf.DUMMYFUNCTION("""COMPUTED_VALUE"""),"Terminada por Fecha     ")</f>
        <v xml:space="preserve">Terminada por Fecha     </v>
      </c>
      <c r="BJ204" s="40" t="str">
        <f ca="1">IFERROR(__xludf.DUMMYFUNCTION("""COMPUTED_VALUE"""),"Yamboro")</f>
        <v>Yamboro</v>
      </c>
      <c r="BK204" s="40"/>
      <c r="BL204" s="40"/>
    </row>
    <row r="205" spans="1:64" ht="13">
      <c r="A205" s="40"/>
      <c r="B205" s="40" t="str">
        <f ca="1">IFERROR(__xludf.DUMMYFUNCTION("""COMPUTED_VALUE"""),"FORMACIÓN 18/10/2022")</f>
        <v>FORMACIÓN 18/10/2022</v>
      </c>
      <c r="C205" s="40" t="str">
        <f ca="1">IFERROR(__xludf.DUMMYFUNCTION("""COMPUTED_VALUE"""),"EVA MARIA ENDO LOSADA")</f>
        <v>EVA MARIA ENDO LOSADA</v>
      </c>
      <c r="D205" s="40" t="str">
        <f ca="1">IFERROR(__xludf.DUMMYFUNCTION("""COMPUTED_VALUE"""),"CC")</f>
        <v>CC</v>
      </c>
      <c r="E205" s="40">
        <f ca="1">IFERROR(__xludf.DUMMYFUNCTION("""COMPUTED_VALUE"""),1083918314)</f>
        <v>1083918314</v>
      </c>
      <c r="F205" s="40">
        <f ca="1">IFERROR(__xludf.DUMMYFUNCTION("""COMPUTED_VALUE"""),1962570)</f>
        <v>1962570</v>
      </c>
      <c r="G205" s="40" t="str">
        <f ca="1">IFERROR(__xludf.DUMMYFUNCTION("""COMPUTED_VALUE"""),"TÉCNICO")</f>
        <v>TÉCNICO</v>
      </c>
      <c r="H205" s="40" t="str">
        <f ca="1">IFERROR(__xludf.DUMMYFUNCTION("""COMPUTED_VALUE"""),"CONSTRUCCIÓN DE EDIFICACIONES")</f>
        <v>CONSTRUCCIÓN DE EDIFICACIONES</v>
      </c>
      <c r="I205" s="40"/>
      <c r="J205" s="40" t="str">
        <f ca="1">IFERROR(__xludf.DUMMYFUNCTION("""COMPUTED_VALUE"""),"diax.viuche@gmail.com")</f>
        <v>diax.viuche@gmail.com</v>
      </c>
      <c r="K205" s="40"/>
      <c r="L205" s="40" t="str">
        <f ca="1">IFERROR(__xludf.DUMMYFUNCTION("""COMPUTED_VALUE"""),"NO HA INICIADO ETAPA PRODUCTIVA")</f>
        <v>NO HA INICIADO ETAPA PRODUCTIVA</v>
      </c>
      <c r="M205" s="40"/>
      <c r="N205" s="40"/>
      <c r="O205" s="40"/>
      <c r="P205" s="40"/>
      <c r="Q205" s="40"/>
      <c r="R205" s="140"/>
      <c r="S205" s="1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t="str">
        <f ca="1">IFERROR(__xludf.DUMMYFUNCTION("""COMPUTED_VALUE"""),"Procede_E_P")</f>
        <v>Procede_E_P</v>
      </c>
      <c r="AV205" s="40" t="str">
        <f ca="1">IFERROR(__xludf.DUMMYFUNCTION("""COMPUTED_VALUE"""),"EN FORMACION")</f>
        <v>EN FORMACION</v>
      </c>
      <c r="AW205" s="40" t="str">
        <f ca="1">IFERROR(__xludf.DUMMYFUNCTION("""COMPUTED_VALUE"""),"BIOCONSTRUCCION")</f>
        <v>BIOCONSTRUCCION</v>
      </c>
      <c r="AX205" s="141">
        <f ca="1">IFERROR(__xludf.DUMMYFUNCTION("""COMPUTED_VALUE"""),44848)</f>
        <v>44848</v>
      </c>
      <c r="AY205" s="40">
        <f ca="1">IFERROR(__xludf.DUMMYFUNCTION("""COMPUTED_VALUE"""),0)</f>
        <v>0</v>
      </c>
      <c r="AZ205" s="40">
        <f ca="1">IFERROR(__xludf.DUMMYFUNCTION("""COMPUTED_VALUE"""),1)</f>
        <v>1</v>
      </c>
      <c r="BA205" s="40">
        <f ca="1">IFERROR(__xludf.DUMMYFUNCTION("""COMPUTED_VALUE"""),0)</f>
        <v>0</v>
      </c>
      <c r="BB205" s="40">
        <f ca="1">IFERROR(__xludf.DUMMYFUNCTION("""COMPUTED_VALUE"""),0)</f>
        <v>0</v>
      </c>
      <c r="BC205" s="40">
        <f ca="1">IFERROR(__xludf.DUMMYFUNCTION("""COMPUTED_VALUE"""),1)</f>
        <v>1</v>
      </c>
      <c r="BD205" s="141">
        <f ca="1">IFERROR(__xludf.DUMMYFUNCTION("""COMPUTED_VALUE"""),43682)</f>
        <v>43682</v>
      </c>
      <c r="BE205" s="141">
        <f ca="1">IFERROR(__xludf.DUMMYFUNCTION("""COMPUTED_VALUE"""),43866)</f>
        <v>43866</v>
      </c>
      <c r="BF205" s="141">
        <f ca="1">IFERROR(__xludf.DUMMYFUNCTION("""COMPUTED_VALUE"""),44048)</f>
        <v>44048</v>
      </c>
      <c r="BG205" s="141">
        <f ca="1">IFERROR(__xludf.DUMMYFUNCTION("""COMPUTED_VALUE"""),44597)</f>
        <v>44597</v>
      </c>
      <c r="BH205" s="40" t="str">
        <f ca="1">IFERROR(__xludf.DUMMYFUNCTION("""COMPUTED_VALUE"""),"FINALIZAR FICHA")</f>
        <v>FINALIZAR FICHA</v>
      </c>
      <c r="BI205" s="40" t="str">
        <f ca="1">IFERROR(__xludf.DUMMYFUNCTION("""COMPUTED_VALUE"""),"Terminada por Fecha     ")</f>
        <v xml:space="preserve">Terminada por Fecha     </v>
      </c>
      <c r="BJ205" s="40" t="str">
        <f ca="1">IFERROR(__xludf.DUMMYFUNCTION("""COMPUTED_VALUE"""),"Yamboro")</f>
        <v>Yamboro</v>
      </c>
      <c r="BK205" s="40"/>
      <c r="BL205" s="40"/>
    </row>
    <row r="206" spans="1:64" ht="13">
      <c r="A206" s="40"/>
      <c r="B206" s="40" t="str">
        <f ca="1">IFERROR(__xludf.DUMMYFUNCTION("""COMPUTED_VALUE"""),"FORMACIÓN 18/10/2022")</f>
        <v>FORMACIÓN 18/10/2022</v>
      </c>
      <c r="C206" s="40" t="str">
        <f ca="1">IFERROR(__xludf.DUMMYFUNCTION("""COMPUTED_VALUE"""),"RICARDO TROCHEZ MORALES")</f>
        <v>RICARDO TROCHEZ MORALES</v>
      </c>
      <c r="D206" s="40" t="str">
        <f ca="1">IFERROR(__xludf.DUMMYFUNCTION("""COMPUTED_VALUE"""),"CC")</f>
        <v>CC</v>
      </c>
      <c r="E206" s="40">
        <f ca="1">IFERROR(__xludf.DUMMYFUNCTION("""COMPUTED_VALUE"""),1127076634)</f>
        <v>1127076634</v>
      </c>
      <c r="F206" s="40">
        <f ca="1">IFERROR(__xludf.DUMMYFUNCTION("""COMPUTED_VALUE"""),1962570)</f>
        <v>1962570</v>
      </c>
      <c r="G206" s="40" t="str">
        <f ca="1">IFERROR(__xludf.DUMMYFUNCTION("""COMPUTED_VALUE"""),"TÉCNICO")</f>
        <v>TÉCNICO</v>
      </c>
      <c r="H206" s="40" t="str">
        <f ca="1">IFERROR(__xludf.DUMMYFUNCTION("""COMPUTED_VALUE"""),"CONSTRUCCIÓN DE EDIFICACIONES")</f>
        <v>CONSTRUCCIÓN DE EDIFICACIONES</v>
      </c>
      <c r="I206" s="40"/>
      <c r="J206" s="40" t="str">
        <f ca="1">IFERROR(__xludf.DUMMYFUNCTION("""COMPUTED_VALUE"""),"rtrochezmorales@gmail.com")</f>
        <v>rtrochezmorales@gmail.com</v>
      </c>
      <c r="K206" s="40" t="str">
        <f ca="1">IFERROR(__xludf.DUMMYFUNCTION("""COMPUTED_VALUE"""),"Vereda San Francisco")</f>
        <v>Vereda San Francisco</v>
      </c>
      <c r="L206" s="40" t="str">
        <f ca="1">IFERROR(__xludf.DUMMYFUNCTION("""COMPUTED_VALUE"""),"NO HA INICIADO ETAPA PRODUCTIVA")</f>
        <v>NO HA INICIADO ETAPA PRODUCTIVA</v>
      </c>
      <c r="M206" s="40"/>
      <c r="N206" s="40"/>
      <c r="O206" s="40"/>
      <c r="P206" s="40"/>
      <c r="Q206" s="40"/>
      <c r="R206" s="140"/>
      <c r="S206" s="1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t="str">
        <f ca="1">IFERROR(__xludf.DUMMYFUNCTION("""COMPUTED_VALUE"""),"Procede_E_P")</f>
        <v>Procede_E_P</v>
      </c>
      <c r="AV206" s="40" t="str">
        <f ca="1">IFERROR(__xludf.DUMMYFUNCTION("""COMPUTED_VALUE"""),"EN FORMACION")</f>
        <v>EN FORMACION</v>
      </c>
      <c r="AW206" s="40" t="str">
        <f ca="1">IFERROR(__xludf.DUMMYFUNCTION("""COMPUTED_VALUE"""),"BIOCONSTRUCCION")</f>
        <v>BIOCONSTRUCCION</v>
      </c>
      <c r="AX206" s="141">
        <f ca="1">IFERROR(__xludf.DUMMYFUNCTION("""COMPUTED_VALUE"""),44848)</f>
        <v>44848</v>
      </c>
      <c r="AY206" s="40">
        <f ca="1">IFERROR(__xludf.DUMMYFUNCTION("""COMPUTED_VALUE"""),0)</f>
        <v>0</v>
      </c>
      <c r="AZ206" s="40">
        <f ca="1">IFERROR(__xludf.DUMMYFUNCTION("""COMPUTED_VALUE"""),1)</f>
        <v>1</v>
      </c>
      <c r="BA206" s="40">
        <f ca="1">IFERROR(__xludf.DUMMYFUNCTION("""COMPUTED_VALUE"""),0)</f>
        <v>0</v>
      </c>
      <c r="BB206" s="40">
        <f ca="1">IFERROR(__xludf.DUMMYFUNCTION("""COMPUTED_VALUE"""),0)</f>
        <v>0</v>
      </c>
      <c r="BC206" s="40">
        <f ca="1">IFERROR(__xludf.DUMMYFUNCTION("""COMPUTED_VALUE"""),1)</f>
        <v>1</v>
      </c>
      <c r="BD206" s="141">
        <f ca="1">IFERROR(__xludf.DUMMYFUNCTION("""COMPUTED_VALUE"""),43682)</f>
        <v>43682</v>
      </c>
      <c r="BE206" s="141">
        <f ca="1">IFERROR(__xludf.DUMMYFUNCTION("""COMPUTED_VALUE"""),43866)</f>
        <v>43866</v>
      </c>
      <c r="BF206" s="141">
        <f ca="1">IFERROR(__xludf.DUMMYFUNCTION("""COMPUTED_VALUE"""),44048)</f>
        <v>44048</v>
      </c>
      <c r="BG206" s="141">
        <f ca="1">IFERROR(__xludf.DUMMYFUNCTION("""COMPUTED_VALUE"""),44597)</f>
        <v>44597</v>
      </c>
      <c r="BH206" s="40" t="str">
        <f ca="1">IFERROR(__xludf.DUMMYFUNCTION("""COMPUTED_VALUE"""),"FINALIZAR FICHA")</f>
        <v>FINALIZAR FICHA</v>
      </c>
      <c r="BI206" s="40" t="str">
        <f ca="1">IFERROR(__xludf.DUMMYFUNCTION("""COMPUTED_VALUE"""),"Terminada por Fecha     ")</f>
        <v xml:space="preserve">Terminada por Fecha     </v>
      </c>
      <c r="BJ206" s="40" t="str">
        <f ca="1">IFERROR(__xludf.DUMMYFUNCTION("""COMPUTED_VALUE"""),"Yamboro")</f>
        <v>Yamboro</v>
      </c>
      <c r="BK206" s="40"/>
      <c r="BL206" s="40"/>
    </row>
    <row r="207" spans="1:64" ht="13">
      <c r="A207" s="40"/>
      <c r="B207" s="40" t="str">
        <f ca="1">IFERROR(__xludf.DUMMYFUNCTION("""COMPUTED_VALUE"""),"FORMACIÓN 18/10/2022")</f>
        <v>FORMACIÓN 18/10/2022</v>
      </c>
      <c r="C207" s="40" t="str">
        <f ca="1">IFERROR(__xludf.DUMMYFUNCTION("""COMPUTED_VALUE"""),"MAYERLY MOSQUERA PEÑA")</f>
        <v>MAYERLY MOSQUERA PEÑA</v>
      </c>
      <c r="D207" s="40" t="str">
        <f ca="1">IFERROR(__xludf.DUMMYFUNCTION("""COMPUTED_VALUE"""),"TI")</f>
        <v>TI</v>
      </c>
      <c r="E207" s="40">
        <f ca="1">IFERROR(__xludf.DUMMYFUNCTION("""COMPUTED_VALUE"""),1192727554)</f>
        <v>1192727554</v>
      </c>
      <c r="F207" s="40">
        <f ca="1">IFERROR(__xludf.DUMMYFUNCTION("""COMPUTED_VALUE"""),1962570)</f>
        <v>1962570</v>
      </c>
      <c r="G207" s="40" t="str">
        <f ca="1">IFERROR(__xludf.DUMMYFUNCTION("""COMPUTED_VALUE"""),"TÉCNICO")</f>
        <v>TÉCNICO</v>
      </c>
      <c r="H207" s="40" t="str">
        <f ca="1">IFERROR(__xludf.DUMMYFUNCTION("""COMPUTED_VALUE"""),"CONSTRUCCIÓN DE EDIFICACIONES")</f>
        <v>CONSTRUCCIÓN DE EDIFICACIONES</v>
      </c>
      <c r="I207" s="40"/>
      <c r="J207" s="40" t="str">
        <f ca="1">IFERROR(__xludf.DUMMYFUNCTION("""COMPUTED_VALUE"""),"mayerlymosquera2@gmail.com")</f>
        <v>mayerlymosquera2@gmail.com</v>
      </c>
      <c r="K207" s="40"/>
      <c r="L207" s="40" t="str">
        <f ca="1">IFERROR(__xludf.DUMMYFUNCTION("""COMPUTED_VALUE"""),"NO HA INICIADO ETAPA PRODUCTIVA")</f>
        <v>NO HA INICIADO ETAPA PRODUCTIVA</v>
      </c>
      <c r="M207" s="40"/>
      <c r="N207" s="40"/>
      <c r="O207" s="40"/>
      <c r="P207" s="40"/>
      <c r="Q207" s="40"/>
      <c r="R207" s="140"/>
      <c r="S207" s="1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t="str">
        <f ca="1">IFERROR(__xludf.DUMMYFUNCTION("""COMPUTED_VALUE"""),"Procede_E_P")</f>
        <v>Procede_E_P</v>
      </c>
      <c r="AV207" s="40" t="str">
        <f ca="1">IFERROR(__xludf.DUMMYFUNCTION("""COMPUTED_VALUE"""),"EN FORMACION")</f>
        <v>EN FORMACION</v>
      </c>
      <c r="AW207" s="40" t="str">
        <f ca="1">IFERROR(__xludf.DUMMYFUNCTION("""COMPUTED_VALUE"""),"BIOCONSTRUCCION")</f>
        <v>BIOCONSTRUCCION</v>
      </c>
      <c r="AX207" s="141">
        <f ca="1">IFERROR(__xludf.DUMMYFUNCTION("""COMPUTED_VALUE"""),44848)</f>
        <v>44848</v>
      </c>
      <c r="AY207" s="40">
        <f ca="1">IFERROR(__xludf.DUMMYFUNCTION("""COMPUTED_VALUE"""),0)</f>
        <v>0</v>
      </c>
      <c r="AZ207" s="40">
        <f ca="1">IFERROR(__xludf.DUMMYFUNCTION("""COMPUTED_VALUE"""),1)</f>
        <v>1</v>
      </c>
      <c r="BA207" s="40">
        <f ca="1">IFERROR(__xludf.DUMMYFUNCTION("""COMPUTED_VALUE"""),0)</f>
        <v>0</v>
      </c>
      <c r="BB207" s="40">
        <f ca="1">IFERROR(__xludf.DUMMYFUNCTION("""COMPUTED_VALUE"""),0)</f>
        <v>0</v>
      </c>
      <c r="BC207" s="40">
        <f ca="1">IFERROR(__xludf.DUMMYFUNCTION("""COMPUTED_VALUE"""),1)</f>
        <v>1</v>
      </c>
      <c r="BD207" s="141">
        <f ca="1">IFERROR(__xludf.DUMMYFUNCTION("""COMPUTED_VALUE"""),43682)</f>
        <v>43682</v>
      </c>
      <c r="BE207" s="141">
        <f ca="1">IFERROR(__xludf.DUMMYFUNCTION("""COMPUTED_VALUE"""),43866)</f>
        <v>43866</v>
      </c>
      <c r="BF207" s="141">
        <f ca="1">IFERROR(__xludf.DUMMYFUNCTION("""COMPUTED_VALUE"""),44048)</f>
        <v>44048</v>
      </c>
      <c r="BG207" s="141">
        <f ca="1">IFERROR(__xludf.DUMMYFUNCTION("""COMPUTED_VALUE"""),44597)</f>
        <v>44597</v>
      </c>
      <c r="BH207" s="40" t="str">
        <f ca="1">IFERROR(__xludf.DUMMYFUNCTION("""COMPUTED_VALUE"""),"FINALIZAR FICHA")</f>
        <v>FINALIZAR FICHA</v>
      </c>
      <c r="BI207" s="40" t="str">
        <f ca="1">IFERROR(__xludf.DUMMYFUNCTION("""COMPUTED_VALUE"""),"Terminada por Fecha     ")</f>
        <v xml:space="preserve">Terminada por Fecha     </v>
      </c>
      <c r="BJ207" s="40" t="str">
        <f ca="1">IFERROR(__xludf.DUMMYFUNCTION("""COMPUTED_VALUE"""),"Yamboro")</f>
        <v>Yamboro</v>
      </c>
      <c r="BK207" s="40"/>
      <c r="BL207" s="40"/>
    </row>
    <row r="208" spans="1:64" ht="13">
      <c r="A208" s="40"/>
      <c r="B208" s="40" t="str">
        <f ca="1">IFERROR(__xludf.DUMMYFUNCTION("""COMPUTED_VALUE"""),"FORMACIÓN 18/10/2022")</f>
        <v>FORMACIÓN 18/10/2022</v>
      </c>
      <c r="C208" s="40" t="str">
        <f ca="1">IFERROR(__xludf.DUMMYFUNCTION("""COMPUTED_VALUE"""),"VICTOR MANUEL CEBALLOS VILLEGAS")</f>
        <v>VICTOR MANUEL CEBALLOS VILLEGAS</v>
      </c>
      <c r="D208" s="40" t="str">
        <f ca="1">IFERROR(__xludf.DUMMYFUNCTION("""COMPUTED_VALUE"""),"CC")</f>
        <v>CC</v>
      </c>
      <c r="E208" s="40">
        <f ca="1">IFERROR(__xludf.DUMMYFUNCTION("""COMPUTED_VALUE"""),1007575900)</f>
        <v>1007575900</v>
      </c>
      <c r="F208" s="40">
        <f ca="1">IFERROR(__xludf.DUMMYFUNCTION("""COMPUTED_VALUE"""),2066212)</f>
        <v>2066212</v>
      </c>
      <c r="G208" s="40" t="str">
        <f ca="1">IFERROR(__xludf.DUMMYFUNCTION("""COMPUTED_VALUE"""),"TÉCNICO")</f>
        <v>TÉCNICO</v>
      </c>
      <c r="H208" s="40" t="str">
        <f ca="1">IFERROR(__xludf.DUMMYFUNCTION("""COMPUTED_VALUE"""),"DIBUJO ARQUITECTÓNICO")</f>
        <v>DIBUJO ARQUITECTÓNICO</v>
      </c>
      <c r="I208" s="40">
        <f ca="1">IFERROR(__xludf.DUMMYFUNCTION("""COMPUTED_VALUE"""),3203515689)</f>
        <v>3203515689</v>
      </c>
      <c r="J208" s="40" t="str">
        <f ca="1">IFERROR(__xludf.DUMMYFUNCTION("""COMPUTED_VALUE"""),"victormanuello415@gmail.com")</f>
        <v>victormanuello415@gmail.com</v>
      </c>
      <c r="K208" s="40"/>
      <c r="L208" s="40" t="str">
        <f ca="1">IFERROR(__xludf.DUMMYFUNCTION("""COMPUTED_VALUE"""),"PASANTÍAS")</f>
        <v>PASANTÍAS</v>
      </c>
      <c r="M208" s="40" t="str">
        <f ca="1">IFERROR(__xludf.DUMMYFUNCTION("""COMPUTED_VALUE"""),"RAR CONSTRUCCIONES S.A.S")</f>
        <v>RAR CONSTRUCCIONES S.A.S</v>
      </c>
      <c r="N208" s="40"/>
      <c r="O208" s="40"/>
      <c r="P208" s="40"/>
      <c r="Q208" s="40"/>
      <c r="R208" s="140">
        <f ca="1">IFERROR(__xludf.DUMMYFUNCTION("""COMPUTED_VALUE"""),44267)</f>
        <v>44267</v>
      </c>
      <c r="S208" s="140">
        <f ca="1">IFERROR(__xludf.DUMMYFUNCTION("""COMPUTED_VALUE"""),44450)</f>
        <v>44450</v>
      </c>
      <c r="T208" s="40" t="str">
        <f ca="1">IFERROR(__xludf.DUMMYFUNCTION("""COMPUTED_VALUE"""),"debe resultados de promover 2 ....Solo tiene legalización, Falta seguimiento, bitácoras y certificación.. y no tiene reportes de seguimiento..Revisado 03/02/2022")</f>
        <v>debe resultados de promover 2 ....Solo tiene legalización, Falta seguimiento, bitácoras y certificación.. y no tiene reportes de seguimiento..Revisado 03/02/2022</v>
      </c>
      <c r="U208" s="40" t="str">
        <f ca="1">IFERROR(__xludf.DUMMYFUNCTION("""COMPUTED_VALUE"""),"JUAN CARLOS GOMEZ")</f>
        <v>JUAN CARLOS GOMEZ</v>
      </c>
      <c r="V208" s="40" t="str">
        <f ca="1">IFERROR(__xludf.DUMMYFUNCTION("""COMPUTED_VALUE"""),"No tiene seguimiento ...Revisado 25/04/2022")</f>
        <v>No tiene seguimiento ...Revisado 25/04/2022</v>
      </c>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t="str">
        <f ca="1">IFERROR(__xludf.DUMMYFUNCTION("""COMPUTED_VALUE"""),"NO_CUMPLE")</f>
        <v>NO_CUMPLE</v>
      </c>
      <c r="AV208" s="40" t="str">
        <f ca="1">IFERROR(__xludf.DUMMYFUNCTION("""COMPUTED_VALUE"""),"EN FORMACION")</f>
        <v>EN FORMACION</v>
      </c>
      <c r="AW208" s="40" t="str">
        <f ca="1">IFERROR(__xludf.DUMMYFUNCTION("""COMPUTED_VALUE"""),"BIOCONSTRUCCION")</f>
        <v>BIOCONSTRUCCION</v>
      </c>
      <c r="AX208" s="141">
        <f ca="1">IFERROR(__xludf.DUMMYFUNCTION("""COMPUTED_VALUE"""),44848)</f>
        <v>44848</v>
      </c>
      <c r="AY208" s="40">
        <f ca="1">IFERROR(__xludf.DUMMYFUNCTION("""COMPUTED_VALUE"""),1)</f>
        <v>1</v>
      </c>
      <c r="AZ208" s="40">
        <f ca="1">IFERROR(__xludf.DUMMYFUNCTION("""COMPUTED_VALUE"""),1)</f>
        <v>1</v>
      </c>
      <c r="BA208" s="40">
        <f ca="1">IFERROR(__xludf.DUMMYFUNCTION("""COMPUTED_VALUE"""),0)</f>
        <v>0</v>
      </c>
      <c r="BB208" s="40">
        <f ca="1">IFERROR(__xludf.DUMMYFUNCTION("""COMPUTED_VALUE"""),0)</f>
        <v>0</v>
      </c>
      <c r="BC208" s="40">
        <f ca="1">IFERROR(__xludf.DUMMYFUNCTION("""COMPUTED_VALUE"""),2)</f>
        <v>2</v>
      </c>
      <c r="BD208" s="141">
        <f ca="1">IFERROR(__xludf.DUMMYFUNCTION("""COMPUTED_VALUE"""),43934)</f>
        <v>43934</v>
      </c>
      <c r="BE208" s="141">
        <f ca="1">IFERROR(__xludf.DUMMYFUNCTION("""COMPUTED_VALUE"""),44147)</f>
        <v>44147</v>
      </c>
      <c r="BF208" s="141">
        <f ca="1">IFERROR(__xludf.DUMMYFUNCTION("""COMPUTED_VALUE"""),44328)</f>
        <v>44328</v>
      </c>
      <c r="BG208" s="141">
        <f ca="1">IFERROR(__xludf.DUMMYFUNCTION("""COMPUTED_VALUE"""),44877)</f>
        <v>44877</v>
      </c>
      <c r="BH208" s="40" t="str">
        <f ca="1">IFERROR(__xludf.DUMMYFUNCTION("""COMPUTED_VALUE"""),"FINALIZAR FICHA")</f>
        <v>FINALIZAR FICHA</v>
      </c>
      <c r="BI208" s="40" t="str">
        <f ca="1">IFERROR(__xludf.DUMMYFUNCTION("""COMPUTED_VALUE"""),"Terminada por fecha")</f>
        <v>Terminada por fecha</v>
      </c>
      <c r="BJ208" s="40" t="str">
        <f ca="1">IFERROR(__xludf.DUMMYFUNCTION("""COMPUTED_VALUE"""),"Yamboro")</f>
        <v>Yamboro</v>
      </c>
      <c r="BK208" s="40"/>
      <c r="BL208" s="40"/>
    </row>
    <row r="209" spans="1:64" ht="13">
      <c r="A209" s="40" t="str">
        <f ca="1">IFERROR(__xludf.DUMMYFUNCTION("""COMPUTED_VALUE"""),"registro 17/02")</f>
        <v>registro 17/02</v>
      </c>
      <c r="B209" s="40" t="str">
        <f ca="1">IFERROR(__xludf.DUMMYFUNCTION("""COMPUTED_VALUE"""),"FORMACIÓN 18/10/2022")</f>
        <v>FORMACIÓN 18/10/2022</v>
      </c>
      <c r="C209" s="40" t="str">
        <f ca="1">IFERROR(__xludf.DUMMYFUNCTION("""COMPUTED_VALUE"""),"WILDER ARLEY BENAVIDES BENAVIDES")</f>
        <v>WILDER ARLEY BENAVIDES BENAVIDES</v>
      </c>
      <c r="D209" s="40" t="str">
        <f ca="1">IFERROR(__xludf.DUMMYFUNCTION("""COMPUTED_VALUE"""),"CC")</f>
        <v>CC</v>
      </c>
      <c r="E209" s="40">
        <f ca="1">IFERROR(__xludf.DUMMYFUNCTION("""COMPUTED_VALUE"""),1088357913)</f>
        <v>1088357913</v>
      </c>
      <c r="F209" s="40">
        <f ca="1">IFERROR(__xludf.DUMMYFUNCTION("""COMPUTED_VALUE"""),2066212)</f>
        <v>2066212</v>
      </c>
      <c r="G209" s="40" t="str">
        <f ca="1">IFERROR(__xludf.DUMMYFUNCTION("""COMPUTED_VALUE"""),"TÉCNICO")</f>
        <v>TÉCNICO</v>
      </c>
      <c r="H209" s="40" t="str">
        <f ca="1">IFERROR(__xludf.DUMMYFUNCTION("""COMPUTED_VALUE"""),"DIBUJO ARQUITECTÓNICO")</f>
        <v>DIBUJO ARQUITECTÓNICO</v>
      </c>
      <c r="I209" s="40">
        <f ca="1">IFERROR(__xludf.DUMMYFUNCTION("""COMPUTED_VALUE"""),3187451890)</f>
        <v>3187451890</v>
      </c>
      <c r="J209" s="40" t="str">
        <f ca="1">IFERROR(__xludf.DUMMYFUNCTION("""COMPUTED_VALUE"""),"wilderbenavides07@gmail.com")</f>
        <v>wilderbenavides07@gmail.com</v>
      </c>
      <c r="K209" s="40"/>
      <c r="L209" s="40" t="str">
        <f ca="1">IFERROR(__xludf.DUMMYFUNCTION("""COMPUTED_VALUE"""),"PASANTÍAS")</f>
        <v>PASANTÍAS</v>
      </c>
      <c r="M209" s="40" t="str">
        <f ca="1">IFERROR(__xludf.DUMMYFUNCTION("""COMPUTED_VALUE"""),"WILSON UNI COLLAZOS")</f>
        <v>WILSON UNI COLLAZOS</v>
      </c>
      <c r="N209" s="40" t="str">
        <f ca="1">IFERROR(__xludf.DUMMYFUNCTION("""COMPUTED_VALUE"""),"CALLE 7 N° 3-19  ISNOS")</f>
        <v>CALLE 7 N° 3-19  ISNOS</v>
      </c>
      <c r="O209" s="40">
        <f ca="1">IFERROR(__xludf.DUMMYFUNCTION("""COMPUTED_VALUE"""),3112951701)</f>
        <v>3112951701</v>
      </c>
      <c r="P209" s="40" t="str">
        <f ca="1">IFERROR(__xludf.DUMMYFUNCTION("""COMPUTED_VALUE"""),"ISNOS")</f>
        <v>ISNOS</v>
      </c>
      <c r="Q209" s="40" t="str">
        <f ca="1">IFERROR(__xludf.DUMMYFUNCTION("""COMPUTED_VALUE"""),"wilsonunicollazos@yahoo.com")</f>
        <v>wilsonunicollazos@yahoo.com</v>
      </c>
      <c r="R209" s="140">
        <f ca="1">IFERROR(__xludf.DUMMYFUNCTION("""COMPUTED_VALUE"""),44609)</f>
        <v>44609</v>
      </c>
      <c r="S209" s="140">
        <f ca="1">IFERROR(__xludf.DUMMYFUNCTION("""COMPUTED_VALUE"""),44790)</f>
        <v>44790</v>
      </c>
      <c r="T209" s="40" t="str">
        <f ca="1">IFERROR(__xludf.DUMMYFUNCTION("""COMPUTED_VALUE"""),"debe  2  resultados de promover - COMPLETO EN EL DRIVE ")</f>
        <v xml:space="preserve">debe  2  resultados de promover - COMPLETO EN EL DRIVE </v>
      </c>
      <c r="U209" s="40" t="str">
        <f ca="1">IFERROR(__xludf.DUMMYFUNCTION("""COMPUTED_VALUE"""),"JUAN CARLOS GOMEZ - Subió Parcial, Final certificación y bitácoras del 1 al 12.... Revisado 10/10/2022")</f>
        <v>JUAN CARLOS GOMEZ - Subió Parcial, Final certificación y bitácoras del 1 al 12.... Revisado 10/10/2022</v>
      </c>
      <c r="V209" s="40" t="str">
        <f ca="1">IFERROR(__xludf.DUMMYFUNCTION("""COMPUTED_VALUE"""),"SI tiene seguimiento ...Revisado 10/10/2022")</f>
        <v>SI tiene seguimiento ...Revisado 10/10/2022</v>
      </c>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t="str">
        <f ca="1">IFERROR(__xludf.DUMMYFUNCTION("""COMPUTED_VALUE"""),"NO_CUMPLE")</f>
        <v>NO_CUMPLE</v>
      </c>
      <c r="AV209" s="40" t="str">
        <f ca="1">IFERROR(__xludf.DUMMYFUNCTION("""COMPUTED_VALUE"""),"EN FORMACION")</f>
        <v>EN FORMACION</v>
      </c>
      <c r="AW209" s="40" t="str">
        <f ca="1">IFERROR(__xludf.DUMMYFUNCTION("""COMPUTED_VALUE"""),"BIOCONSTRUCCION")</f>
        <v>BIOCONSTRUCCION</v>
      </c>
      <c r="AX209" s="141">
        <f ca="1">IFERROR(__xludf.DUMMYFUNCTION("""COMPUTED_VALUE"""),44848)</f>
        <v>44848</v>
      </c>
      <c r="AY209" s="40">
        <f ca="1">IFERROR(__xludf.DUMMYFUNCTION("""COMPUTED_VALUE"""),1)</f>
        <v>1</v>
      </c>
      <c r="AZ209" s="40">
        <f ca="1">IFERROR(__xludf.DUMMYFUNCTION("""COMPUTED_VALUE"""),1)</f>
        <v>1</v>
      </c>
      <c r="BA209" s="40">
        <f ca="1">IFERROR(__xludf.DUMMYFUNCTION("""COMPUTED_VALUE"""),0)</f>
        <v>0</v>
      </c>
      <c r="BB209" s="40">
        <f ca="1">IFERROR(__xludf.DUMMYFUNCTION("""COMPUTED_VALUE"""),0)</f>
        <v>0</v>
      </c>
      <c r="BC209" s="40">
        <f ca="1">IFERROR(__xludf.DUMMYFUNCTION("""COMPUTED_VALUE"""),2)</f>
        <v>2</v>
      </c>
      <c r="BD209" s="141">
        <f ca="1">IFERROR(__xludf.DUMMYFUNCTION("""COMPUTED_VALUE"""),43934)</f>
        <v>43934</v>
      </c>
      <c r="BE209" s="141">
        <f ca="1">IFERROR(__xludf.DUMMYFUNCTION("""COMPUTED_VALUE"""),44147)</f>
        <v>44147</v>
      </c>
      <c r="BF209" s="141">
        <f ca="1">IFERROR(__xludf.DUMMYFUNCTION("""COMPUTED_VALUE"""),44328)</f>
        <v>44328</v>
      </c>
      <c r="BG209" s="141">
        <f ca="1">IFERROR(__xludf.DUMMYFUNCTION("""COMPUTED_VALUE"""),44877)</f>
        <v>44877</v>
      </c>
      <c r="BH209" s="40" t="str">
        <f ca="1">IFERROR(__xludf.DUMMYFUNCTION("""COMPUTED_VALUE"""),"FINALIZAR FICHA")</f>
        <v>FINALIZAR FICHA</v>
      </c>
      <c r="BI209" s="40" t="str">
        <f ca="1">IFERROR(__xludf.DUMMYFUNCTION("""COMPUTED_VALUE"""),"Terminada por fecha")</f>
        <v>Terminada por fecha</v>
      </c>
      <c r="BJ209" s="40" t="str">
        <f ca="1">IFERROR(__xludf.DUMMYFUNCTION("""COMPUTED_VALUE"""),"Yamboro")</f>
        <v>Yamboro</v>
      </c>
      <c r="BK209" s="40"/>
      <c r="BL209" s="40"/>
    </row>
    <row r="210" spans="1:64" ht="13">
      <c r="A210" s="40"/>
      <c r="B210" s="40" t="str">
        <f ca="1">IFERROR(__xludf.DUMMYFUNCTION("""COMPUTED_VALUE"""),"FORMACIÓN 18/10/2022")</f>
        <v>FORMACIÓN 18/10/2022</v>
      </c>
      <c r="C210" s="40" t="str">
        <f ca="1">IFERROR(__xludf.DUMMYFUNCTION("""COMPUTED_VALUE"""),"DIEGO ANDRES VILORIA PADILLA")</f>
        <v>DIEGO ANDRES VILORIA PADILLA</v>
      </c>
      <c r="D210" s="40" t="str">
        <f ca="1">IFERROR(__xludf.DUMMYFUNCTION("""COMPUTED_VALUE"""),"CC")</f>
        <v>CC</v>
      </c>
      <c r="E210" s="40">
        <f ca="1">IFERROR(__xludf.DUMMYFUNCTION("""COMPUTED_VALUE"""),1001978446)</f>
        <v>1001978446</v>
      </c>
      <c r="F210" s="40">
        <f ca="1">IFERROR(__xludf.DUMMYFUNCTION("""COMPUTED_VALUE"""),2066212)</f>
        <v>2066212</v>
      </c>
      <c r="G210" s="40" t="str">
        <f ca="1">IFERROR(__xludf.DUMMYFUNCTION("""COMPUTED_VALUE"""),"TÉCNICO")</f>
        <v>TÉCNICO</v>
      </c>
      <c r="H210" s="40" t="str">
        <f ca="1">IFERROR(__xludf.DUMMYFUNCTION("""COMPUTED_VALUE"""),"DIBUJO ARQUITECTÓNICO")</f>
        <v>DIBUJO ARQUITECTÓNICO</v>
      </c>
      <c r="I210" s="40">
        <f ca="1">IFERROR(__xludf.DUMMYFUNCTION("""COMPUTED_VALUE"""),3114146348)</f>
        <v>3114146348</v>
      </c>
      <c r="J210" s="40" t="str">
        <f ca="1">IFERROR(__xludf.DUMMYFUNCTION("""COMPUTED_VALUE"""),"diegoviloriapadilla@gmail.com")</f>
        <v>diegoviloriapadilla@gmail.com</v>
      </c>
      <c r="K210" s="40"/>
      <c r="L210" s="40" t="str">
        <f ca="1">IFERROR(__xludf.DUMMYFUNCTION("""COMPUTED_VALUE"""),"PASANTÍAS")</f>
        <v>PASANTÍAS</v>
      </c>
      <c r="M210" s="40" t="str">
        <f ca="1">IFERROR(__xludf.DUMMYFUNCTION("""COMPUTED_VALUE"""),"ALCALDIA MUNICIPAL ")</f>
        <v xml:space="preserve">ALCALDIA MUNICIPAL </v>
      </c>
      <c r="N210" s="40" t="str">
        <f ca="1">IFERROR(__xludf.DUMMYFUNCTION("""COMPUTED_VALUE"""),"CRA 3 N°4-78")</f>
        <v>CRA 3 N°4-78</v>
      </c>
      <c r="O210" s="40">
        <f ca="1">IFERROR(__xludf.DUMMYFUNCTION("""COMPUTED_VALUE"""),8360010)</f>
        <v>8360010</v>
      </c>
      <c r="P210" s="40" t="str">
        <f ca="1">IFERROR(__xludf.DUMMYFUNCTION("""COMPUTED_VALUE"""),"PITALITO ")</f>
        <v xml:space="preserve">PITALITO </v>
      </c>
      <c r="Q210" s="40" t="str">
        <f ca="1">IFERROR(__xludf.DUMMYFUNCTION("""COMPUTED_VALUE"""),"atencionalcuidadano@alcaldiapitalito.gov.co")</f>
        <v>atencionalcuidadano@alcaldiapitalito.gov.co</v>
      </c>
      <c r="R210" s="140">
        <f ca="1">IFERROR(__xludf.DUMMYFUNCTION("""COMPUTED_VALUE"""),44657)</f>
        <v>44657</v>
      </c>
      <c r="S210" s="140">
        <f ca="1">IFERROR(__xludf.DUMMYFUNCTION("""COMPUTED_VALUE"""),44839)</f>
        <v>44839</v>
      </c>
      <c r="T210" s="40"/>
      <c r="U210" s="40" t="str">
        <f ca="1">IFERROR(__xludf.DUMMYFUNCTION("""COMPUTED_VALUE"""),"JUAN CARLOS GOMEZ")</f>
        <v>JUAN CARLOS GOMEZ</v>
      </c>
      <c r="V210" s="40" t="str">
        <f ca="1">IFERROR(__xludf.DUMMYFUNCTION("""COMPUTED_VALUE"""),"NO tiene seguimiento ...Revisado 08/04/2022")</f>
        <v>NO tiene seguimiento ...Revisado 08/04/2022</v>
      </c>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t="str">
        <f ca="1">IFERROR(__xludf.DUMMYFUNCTION("""COMPUTED_VALUE"""),"Procede_E_P")</f>
        <v>Procede_E_P</v>
      </c>
      <c r="AV210" s="40" t="str">
        <f ca="1">IFERROR(__xludf.DUMMYFUNCTION("""COMPUTED_VALUE"""),"EN FORMACION")</f>
        <v>EN FORMACION</v>
      </c>
      <c r="AW210" s="40" t="str">
        <f ca="1">IFERROR(__xludf.DUMMYFUNCTION("""COMPUTED_VALUE"""),"BIOCONSTRUCCION")</f>
        <v>BIOCONSTRUCCION</v>
      </c>
      <c r="AX210" s="141">
        <f ca="1">IFERROR(__xludf.DUMMYFUNCTION("""COMPUTED_VALUE"""),44848)</f>
        <v>44848</v>
      </c>
      <c r="AY210" s="40">
        <f ca="1">IFERROR(__xludf.DUMMYFUNCTION("""COMPUTED_VALUE"""),0)</f>
        <v>0</v>
      </c>
      <c r="AZ210" s="40">
        <f ca="1">IFERROR(__xludf.DUMMYFUNCTION("""COMPUTED_VALUE"""),1)</f>
        <v>1</v>
      </c>
      <c r="BA210" s="40">
        <f ca="1">IFERROR(__xludf.DUMMYFUNCTION("""COMPUTED_VALUE"""),0)</f>
        <v>0</v>
      </c>
      <c r="BB210" s="40">
        <f ca="1">IFERROR(__xludf.DUMMYFUNCTION("""COMPUTED_VALUE"""),0)</f>
        <v>0</v>
      </c>
      <c r="BC210" s="40">
        <f ca="1">IFERROR(__xludf.DUMMYFUNCTION("""COMPUTED_VALUE"""),1)</f>
        <v>1</v>
      </c>
      <c r="BD210" s="141">
        <f ca="1">IFERROR(__xludf.DUMMYFUNCTION("""COMPUTED_VALUE"""),43934)</f>
        <v>43934</v>
      </c>
      <c r="BE210" s="141">
        <f ca="1">IFERROR(__xludf.DUMMYFUNCTION("""COMPUTED_VALUE"""),44147)</f>
        <v>44147</v>
      </c>
      <c r="BF210" s="141">
        <f ca="1">IFERROR(__xludf.DUMMYFUNCTION("""COMPUTED_VALUE"""),44328)</f>
        <v>44328</v>
      </c>
      <c r="BG210" s="141">
        <f ca="1">IFERROR(__xludf.DUMMYFUNCTION("""COMPUTED_VALUE"""),44877)</f>
        <v>44877</v>
      </c>
      <c r="BH210" s="40" t="str">
        <f ca="1">IFERROR(__xludf.DUMMYFUNCTION("""COMPUTED_VALUE"""),"FINALIZAR FICHA")</f>
        <v>FINALIZAR FICHA</v>
      </c>
      <c r="BI210" s="40" t="str">
        <f ca="1">IFERROR(__xludf.DUMMYFUNCTION("""COMPUTED_VALUE"""),"Terminada por fecha")</f>
        <v>Terminada por fecha</v>
      </c>
      <c r="BJ210" s="40" t="str">
        <f ca="1">IFERROR(__xludf.DUMMYFUNCTION("""COMPUTED_VALUE"""),"Yamboro")</f>
        <v>Yamboro</v>
      </c>
      <c r="BK210" s="40"/>
      <c r="BL210" s="40"/>
    </row>
    <row r="211" spans="1:64" ht="13">
      <c r="A211" s="40"/>
      <c r="B211" s="40" t="str">
        <f ca="1">IFERROR(__xludf.DUMMYFUNCTION("""COMPUTED_VALUE"""),"FORMACIÓN 18/10/2022")</f>
        <v>FORMACIÓN 18/10/2022</v>
      </c>
      <c r="C211" s="40" t="str">
        <f ca="1">IFERROR(__xludf.DUMMYFUNCTION("""COMPUTED_VALUE"""),"KEVIN SANTIAGO CABRERA MOLINA")</f>
        <v>KEVIN SANTIAGO CABRERA MOLINA</v>
      </c>
      <c r="D211" s="40" t="str">
        <f ca="1">IFERROR(__xludf.DUMMYFUNCTION("""COMPUTED_VALUE"""),"CC")</f>
        <v>CC</v>
      </c>
      <c r="E211" s="40">
        <f ca="1">IFERROR(__xludf.DUMMYFUNCTION("""COMPUTED_VALUE"""),1007310927)</f>
        <v>1007310927</v>
      </c>
      <c r="F211" s="40">
        <f ca="1">IFERROR(__xludf.DUMMYFUNCTION("""COMPUTED_VALUE"""),2066212)</f>
        <v>2066212</v>
      </c>
      <c r="G211" s="40" t="str">
        <f ca="1">IFERROR(__xludf.DUMMYFUNCTION("""COMPUTED_VALUE"""),"TÉCNICO")</f>
        <v>TÉCNICO</v>
      </c>
      <c r="H211" s="40" t="str">
        <f ca="1">IFERROR(__xludf.DUMMYFUNCTION("""COMPUTED_VALUE"""),"DIBUJO ARQUITECTÓNICO")</f>
        <v>DIBUJO ARQUITECTÓNICO</v>
      </c>
      <c r="I211" s="40">
        <f ca="1">IFERROR(__xludf.DUMMYFUNCTION("""COMPUTED_VALUE"""),3153397715)</f>
        <v>3153397715</v>
      </c>
      <c r="J211" s="40" t="str">
        <f ca="1">IFERROR(__xludf.DUMMYFUNCTION("""COMPUTED_VALUE"""),"santiagocmcabrera@gmail.com")</f>
        <v>santiagocmcabrera@gmail.com</v>
      </c>
      <c r="K211" s="40"/>
      <c r="L211" s="40" t="str">
        <f ca="1">IFERROR(__xludf.DUMMYFUNCTION("""COMPUTED_VALUE"""),"PASANTÍAS")</f>
        <v>PASANTÍAS</v>
      </c>
      <c r="M211" s="40" t="str">
        <f ca="1">IFERROR(__xludf.DUMMYFUNCTION("""COMPUTED_VALUE"""),"WILSON UNÍ COLLAZOS")</f>
        <v>WILSON UNÍ COLLAZOS</v>
      </c>
      <c r="N211" s="40" t="str">
        <f ca="1">IFERROR(__xludf.DUMMYFUNCTION("""COMPUTED_VALUE"""),"Calle 7 # 3-19 Isnos")</f>
        <v>Calle 7 # 3-19 Isnos</v>
      </c>
      <c r="O211" s="40">
        <f ca="1">IFERROR(__xludf.DUMMYFUNCTION("""COMPUTED_VALUE"""),3112951701)</f>
        <v>3112951701</v>
      </c>
      <c r="P211" s="40" t="str">
        <f ca="1">IFERROR(__xludf.DUMMYFUNCTION("""COMPUTED_VALUE"""),"ISNOS")</f>
        <v>ISNOS</v>
      </c>
      <c r="Q211" s="40" t="str">
        <f ca="1">IFERROR(__xludf.DUMMYFUNCTION("""COMPUTED_VALUE"""),"Wilsonunicollazos@yahoo.com")</f>
        <v>Wilsonunicollazos@yahoo.com</v>
      </c>
      <c r="R211" s="140">
        <f ca="1">IFERROR(__xludf.DUMMYFUNCTION("""COMPUTED_VALUE"""),44410)</f>
        <v>44410</v>
      </c>
      <c r="S211" s="140">
        <f ca="1">IFERROR(__xludf.DUMMYFUNCTION("""COMPUTED_VALUE"""),44594)</f>
        <v>44594</v>
      </c>
      <c r="T211" s="40" t="str">
        <f ca="1">IFERROR(__xludf.DUMMYFUNCTION("""COMPUTED_VALUE"""),"Acuerdo de voluntades, seguimiento parcial, bitácora 1, falta final, bitácora 11 y certificación...Revisado 03/02/2022")</f>
        <v>Acuerdo de voluntades, seguimiento parcial, bitácora 1, falta final, bitácora 11 y certificación...Revisado 03/02/2022</v>
      </c>
      <c r="U211" s="40" t="str">
        <f ca="1">IFERROR(__xludf.DUMMYFUNCTION("""COMPUTED_VALUE"""),"JUAN CARLOS GOMEZ")</f>
        <v>JUAN CARLOS GOMEZ</v>
      </c>
      <c r="V211" s="40" t="str">
        <f ca="1">IFERROR(__xludf.DUMMYFUNCTION("""COMPUTED_VALUE"""),"NO tiene seguimiento ...Revisado 08/04/2022")</f>
        <v>NO tiene seguimiento ...Revisado 08/04/2022</v>
      </c>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t="str">
        <f ca="1">IFERROR(__xludf.DUMMYFUNCTION("""COMPUTED_VALUE"""),"Procede_E_P")</f>
        <v>Procede_E_P</v>
      </c>
      <c r="AV211" s="40" t="str">
        <f ca="1">IFERROR(__xludf.DUMMYFUNCTION("""COMPUTED_VALUE"""),"EN FORMACION")</f>
        <v>EN FORMACION</v>
      </c>
      <c r="AW211" s="40" t="str">
        <f ca="1">IFERROR(__xludf.DUMMYFUNCTION("""COMPUTED_VALUE"""),"BIOCONSTRUCCION")</f>
        <v>BIOCONSTRUCCION</v>
      </c>
      <c r="AX211" s="141">
        <f ca="1">IFERROR(__xludf.DUMMYFUNCTION("""COMPUTED_VALUE"""),44848)</f>
        <v>44848</v>
      </c>
      <c r="AY211" s="40">
        <f ca="1">IFERROR(__xludf.DUMMYFUNCTION("""COMPUTED_VALUE"""),0)</f>
        <v>0</v>
      </c>
      <c r="AZ211" s="40">
        <f ca="1">IFERROR(__xludf.DUMMYFUNCTION("""COMPUTED_VALUE"""),1)</f>
        <v>1</v>
      </c>
      <c r="BA211" s="40">
        <f ca="1">IFERROR(__xludf.DUMMYFUNCTION("""COMPUTED_VALUE"""),0)</f>
        <v>0</v>
      </c>
      <c r="BB211" s="40">
        <f ca="1">IFERROR(__xludf.DUMMYFUNCTION("""COMPUTED_VALUE"""),0)</f>
        <v>0</v>
      </c>
      <c r="BC211" s="40">
        <f ca="1">IFERROR(__xludf.DUMMYFUNCTION("""COMPUTED_VALUE"""),1)</f>
        <v>1</v>
      </c>
      <c r="BD211" s="141">
        <f ca="1">IFERROR(__xludf.DUMMYFUNCTION("""COMPUTED_VALUE"""),43934)</f>
        <v>43934</v>
      </c>
      <c r="BE211" s="141">
        <f ca="1">IFERROR(__xludf.DUMMYFUNCTION("""COMPUTED_VALUE"""),44147)</f>
        <v>44147</v>
      </c>
      <c r="BF211" s="141">
        <f ca="1">IFERROR(__xludf.DUMMYFUNCTION("""COMPUTED_VALUE"""),44328)</f>
        <v>44328</v>
      </c>
      <c r="BG211" s="141">
        <f ca="1">IFERROR(__xludf.DUMMYFUNCTION("""COMPUTED_VALUE"""),44877)</f>
        <v>44877</v>
      </c>
      <c r="BH211" s="40" t="str">
        <f ca="1">IFERROR(__xludf.DUMMYFUNCTION("""COMPUTED_VALUE"""),"FINALIZAR FICHA")</f>
        <v>FINALIZAR FICHA</v>
      </c>
      <c r="BI211" s="40" t="str">
        <f ca="1">IFERROR(__xludf.DUMMYFUNCTION("""COMPUTED_VALUE"""),"Terminada por fecha")</f>
        <v>Terminada por fecha</v>
      </c>
      <c r="BJ211" s="40" t="str">
        <f ca="1">IFERROR(__xludf.DUMMYFUNCTION("""COMPUTED_VALUE"""),"Yamboro")</f>
        <v>Yamboro</v>
      </c>
      <c r="BK211" s="40"/>
      <c r="BL211" s="40"/>
    </row>
    <row r="212" spans="1:64" ht="13">
      <c r="A212" s="40"/>
      <c r="B212" s="40" t="str">
        <f ca="1">IFERROR(__xludf.DUMMYFUNCTION("""COMPUTED_VALUE"""),"FORMACIÓN 18/10/2022")</f>
        <v>FORMACIÓN 18/10/2022</v>
      </c>
      <c r="C212" s="40" t="str">
        <f ca="1">IFERROR(__xludf.DUMMYFUNCTION("""COMPUTED_VALUE"""),"LAURA SOFIA TRIANA ESPINOSA")</f>
        <v>LAURA SOFIA TRIANA ESPINOSA</v>
      </c>
      <c r="D212" s="40" t="str">
        <f ca="1">IFERROR(__xludf.DUMMYFUNCTION("""COMPUTED_VALUE"""),"CC")</f>
        <v>CC</v>
      </c>
      <c r="E212" s="40">
        <f ca="1">IFERROR(__xludf.DUMMYFUNCTION("""COMPUTED_VALUE"""),1000594075)</f>
        <v>1000594075</v>
      </c>
      <c r="F212" s="40">
        <f ca="1">IFERROR(__xludf.DUMMYFUNCTION("""COMPUTED_VALUE"""),2066212)</f>
        <v>2066212</v>
      </c>
      <c r="G212" s="40" t="str">
        <f ca="1">IFERROR(__xludf.DUMMYFUNCTION("""COMPUTED_VALUE"""),"TÉCNICO")</f>
        <v>TÉCNICO</v>
      </c>
      <c r="H212" s="40" t="str">
        <f ca="1">IFERROR(__xludf.DUMMYFUNCTION("""COMPUTED_VALUE"""),"DIBUJO ARQUITECTÓNICO")</f>
        <v>DIBUJO ARQUITECTÓNICO</v>
      </c>
      <c r="I212" s="40"/>
      <c r="J212" s="40"/>
      <c r="K212" s="40"/>
      <c r="L212" s="40" t="str">
        <f ca="1">IFERROR(__xludf.DUMMYFUNCTION("""COMPUTED_VALUE"""),"NO HA INICIADO ETAPA PRODUCTIVA")</f>
        <v>NO HA INICIADO ETAPA PRODUCTIVA</v>
      </c>
      <c r="M212" s="40"/>
      <c r="N212" s="40"/>
      <c r="O212" s="40"/>
      <c r="P212" s="40"/>
      <c r="Q212" s="40"/>
      <c r="R212" s="140"/>
      <c r="S212" s="1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t="str">
        <f ca="1">IFERROR(__xludf.DUMMYFUNCTION("""COMPUTED_VALUE"""),"Procede_E_P")</f>
        <v>Procede_E_P</v>
      </c>
      <c r="AV212" s="40" t="str">
        <f ca="1">IFERROR(__xludf.DUMMYFUNCTION("""COMPUTED_VALUE"""),"EN FORMACION")</f>
        <v>EN FORMACION</v>
      </c>
      <c r="AW212" s="40" t="str">
        <f ca="1">IFERROR(__xludf.DUMMYFUNCTION("""COMPUTED_VALUE"""),"BIOCONSTRUCCION")</f>
        <v>BIOCONSTRUCCION</v>
      </c>
      <c r="AX212" s="141">
        <f ca="1">IFERROR(__xludf.DUMMYFUNCTION("""COMPUTED_VALUE"""),44848)</f>
        <v>44848</v>
      </c>
      <c r="AY212" s="40">
        <f ca="1">IFERROR(__xludf.DUMMYFUNCTION("""COMPUTED_VALUE"""),0)</f>
        <v>0</v>
      </c>
      <c r="AZ212" s="40">
        <f ca="1">IFERROR(__xludf.DUMMYFUNCTION("""COMPUTED_VALUE"""),1)</f>
        <v>1</v>
      </c>
      <c r="BA212" s="40">
        <f ca="1">IFERROR(__xludf.DUMMYFUNCTION("""COMPUTED_VALUE"""),0)</f>
        <v>0</v>
      </c>
      <c r="BB212" s="40">
        <f ca="1">IFERROR(__xludf.DUMMYFUNCTION("""COMPUTED_VALUE"""),0)</f>
        <v>0</v>
      </c>
      <c r="BC212" s="40">
        <f ca="1">IFERROR(__xludf.DUMMYFUNCTION("""COMPUTED_VALUE"""),1)</f>
        <v>1</v>
      </c>
      <c r="BD212" s="141">
        <f ca="1">IFERROR(__xludf.DUMMYFUNCTION("""COMPUTED_VALUE"""),43934)</f>
        <v>43934</v>
      </c>
      <c r="BE212" s="141">
        <f ca="1">IFERROR(__xludf.DUMMYFUNCTION("""COMPUTED_VALUE"""),44147)</f>
        <v>44147</v>
      </c>
      <c r="BF212" s="141">
        <f ca="1">IFERROR(__xludf.DUMMYFUNCTION("""COMPUTED_VALUE"""),44328)</f>
        <v>44328</v>
      </c>
      <c r="BG212" s="141">
        <f ca="1">IFERROR(__xludf.DUMMYFUNCTION("""COMPUTED_VALUE"""),44877)</f>
        <v>44877</v>
      </c>
      <c r="BH212" s="40" t="str">
        <f ca="1">IFERROR(__xludf.DUMMYFUNCTION("""COMPUTED_VALUE"""),"FINALIZAR FICHA")</f>
        <v>FINALIZAR FICHA</v>
      </c>
      <c r="BI212" s="40" t="str">
        <f ca="1">IFERROR(__xludf.DUMMYFUNCTION("""COMPUTED_VALUE"""),"Terminada por fecha")</f>
        <v>Terminada por fecha</v>
      </c>
      <c r="BJ212" s="40" t="str">
        <f ca="1">IFERROR(__xludf.DUMMYFUNCTION("""COMPUTED_VALUE"""),"Yamboro")</f>
        <v>Yamboro</v>
      </c>
      <c r="BK212" s="40"/>
      <c r="BL212" s="40"/>
    </row>
    <row r="213" spans="1:64" ht="13">
      <c r="A213" s="40"/>
      <c r="B213" s="40" t="str">
        <f ca="1">IFERROR(__xludf.DUMMYFUNCTION("""COMPUTED_VALUE"""),"FORMACIÓN 18/10/2022")</f>
        <v>FORMACIÓN 18/10/2022</v>
      </c>
      <c r="C213" s="40" t="str">
        <f ca="1">IFERROR(__xludf.DUMMYFUNCTION("""COMPUTED_VALUE"""),"LAURA SOFIA GOMEZ FIGUEROA")</f>
        <v>LAURA SOFIA GOMEZ FIGUEROA</v>
      </c>
      <c r="D213" s="40" t="str">
        <f ca="1">IFERROR(__xludf.DUMMYFUNCTION("""COMPUTED_VALUE"""),"TI")</f>
        <v>TI</v>
      </c>
      <c r="E213" s="40">
        <f ca="1">IFERROR(__xludf.DUMMYFUNCTION("""COMPUTED_VALUE"""),1004208640)</f>
        <v>1004208640</v>
      </c>
      <c r="F213" s="40">
        <f ca="1">IFERROR(__xludf.DUMMYFUNCTION("""COMPUTED_VALUE"""),2066212)</f>
        <v>2066212</v>
      </c>
      <c r="G213" s="40" t="str">
        <f ca="1">IFERROR(__xludf.DUMMYFUNCTION("""COMPUTED_VALUE"""),"TÉCNICO")</f>
        <v>TÉCNICO</v>
      </c>
      <c r="H213" s="40" t="str">
        <f ca="1">IFERROR(__xludf.DUMMYFUNCTION("""COMPUTED_VALUE"""),"DIBUJO ARQUITECTÓNICO")</f>
        <v>DIBUJO ARQUITECTÓNICO</v>
      </c>
      <c r="I213" s="40"/>
      <c r="J213" s="40"/>
      <c r="K213" s="40"/>
      <c r="L213" s="40" t="str">
        <f ca="1">IFERROR(__xludf.DUMMYFUNCTION("""COMPUTED_VALUE"""),"NO HA INICIADO ETAPA PRODUCTIVA")</f>
        <v>NO HA INICIADO ETAPA PRODUCTIVA</v>
      </c>
      <c r="M213" s="40"/>
      <c r="N213" s="40"/>
      <c r="O213" s="40"/>
      <c r="P213" s="40"/>
      <c r="Q213" s="40"/>
      <c r="R213" s="140"/>
      <c r="S213" s="1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t="str">
        <f ca="1">IFERROR(__xludf.DUMMYFUNCTION("""COMPUTED_VALUE"""),"NO_CUMPLE")</f>
        <v>NO_CUMPLE</v>
      </c>
      <c r="AV213" s="40" t="str">
        <f ca="1">IFERROR(__xludf.DUMMYFUNCTION("""COMPUTED_VALUE"""),"EN FORMACION")</f>
        <v>EN FORMACION</v>
      </c>
      <c r="AW213" s="40" t="str">
        <f ca="1">IFERROR(__xludf.DUMMYFUNCTION("""COMPUTED_VALUE"""),"BIOCONSTRUCCION")</f>
        <v>BIOCONSTRUCCION</v>
      </c>
      <c r="AX213" s="141">
        <f ca="1">IFERROR(__xludf.DUMMYFUNCTION("""COMPUTED_VALUE"""),44848)</f>
        <v>44848</v>
      </c>
      <c r="AY213" s="40">
        <f ca="1">IFERROR(__xludf.DUMMYFUNCTION("""COMPUTED_VALUE"""),0)</f>
        <v>0</v>
      </c>
      <c r="AZ213" s="40">
        <f ca="1">IFERROR(__xludf.DUMMYFUNCTION("""COMPUTED_VALUE"""),1)</f>
        <v>1</v>
      </c>
      <c r="BA213" s="40">
        <f ca="1">IFERROR(__xludf.DUMMYFUNCTION("""COMPUTED_VALUE"""),0)</f>
        <v>0</v>
      </c>
      <c r="BB213" s="40">
        <f ca="1">IFERROR(__xludf.DUMMYFUNCTION("""COMPUTED_VALUE"""),1)</f>
        <v>1</v>
      </c>
      <c r="BC213" s="40">
        <f ca="1">IFERROR(__xludf.DUMMYFUNCTION("""COMPUTED_VALUE"""),2)</f>
        <v>2</v>
      </c>
      <c r="BD213" s="141">
        <f ca="1">IFERROR(__xludf.DUMMYFUNCTION("""COMPUTED_VALUE"""),43934)</f>
        <v>43934</v>
      </c>
      <c r="BE213" s="141">
        <f ca="1">IFERROR(__xludf.DUMMYFUNCTION("""COMPUTED_VALUE"""),44147)</f>
        <v>44147</v>
      </c>
      <c r="BF213" s="141">
        <f ca="1">IFERROR(__xludf.DUMMYFUNCTION("""COMPUTED_VALUE"""),44328)</f>
        <v>44328</v>
      </c>
      <c r="BG213" s="141">
        <f ca="1">IFERROR(__xludf.DUMMYFUNCTION("""COMPUTED_VALUE"""),44877)</f>
        <v>44877</v>
      </c>
      <c r="BH213" s="40" t="str">
        <f ca="1">IFERROR(__xludf.DUMMYFUNCTION("""COMPUTED_VALUE"""),"FINALIZAR FICHA")</f>
        <v>FINALIZAR FICHA</v>
      </c>
      <c r="BI213" s="40" t="str">
        <f ca="1">IFERROR(__xludf.DUMMYFUNCTION("""COMPUTED_VALUE"""),"Terminada por fecha")</f>
        <v>Terminada por fecha</v>
      </c>
      <c r="BJ213" s="40" t="str">
        <f ca="1">IFERROR(__xludf.DUMMYFUNCTION("""COMPUTED_VALUE"""),"Yamboro")</f>
        <v>Yamboro</v>
      </c>
      <c r="BK213" s="40"/>
      <c r="BL213" s="40"/>
    </row>
    <row r="214" spans="1:64" ht="13">
      <c r="A214" s="40"/>
      <c r="B214" s="40" t="str">
        <f ca="1">IFERROR(__xludf.DUMMYFUNCTION("""COMPUTED_VALUE"""),"FORMACIÓN 18/10/2022")</f>
        <v>FORMACIÓN 18/10/2022</v>
      </c>
      <c r="C214" s="40" t="str">
        <f ca="1">IFERROR(__xludf.DUMMYFUNCTION("""COMPUTED_VALUE"""),"JUAN ESTEBAN BURITICA SANTOS")</f>
        <v>JUAN ESTEBAN BURITICA SANTOS</v>
      </c>
      <c r="D214" s="40" t="str">
        <f ca="1">IFERROR(__xludf.DUMMYFUNCTION("""COMPUTED_VALUE"""),"TI")</f>
        <v>TI</v>
      </c>
      <c r="E214" s="40">
        <f ca="1">IFERROR(__xludf.DUMMYFUNCTION("""COMPUTED_VALUE"""),1004418086)</f>
        <v>1004418086</v>
      </c>
      <c r="F214" s="40">
        <f ca="1">IFERROR(__xludf.DUMMYFUNCTION("""COMPUTED_VALUE"""),2066212)</f>
        <v>2066212</v>
      </c>
      <c r="G214" s="40" t="str">
        <f ca="1">IFERROR(__xludf.DUMMYFUNCTION("""COMPUTED_VALUE"""),"TÉCNICO")</f>
        <v>TÉCNICO</v>
      </c>
      <c r="H214" s="40" t="str">
        <f ca="1">IFERROR(__xludf.DUMMYFUNCTION("""COMPUTED_VALUE"""),"DIBUJO ARQUITECTÓNICO")</f>
        <v>DIBUJO ARQUITECTÓNICO</v>
      </c>
      <c r="I214" s="40"/>
      <c r="J214" s="40"/>
      <c r="K214" s="40"/>
      <c r="L214" s="40" t="str">
        <f ca="1">IFERROR(__xludf.DUMMYFUNCTION("""COMPUTED_VALUE"""),"NO HA INICIADO ETAPA PRODUCTIVA")</f>
        <v>NO HA INICIADO ETAPA PRODUCTIVA</v>
      </c>
      <c r="M214" s="40"/>
      <c r="N214" s="40"/>
      <c r="O214" s="40"/>
      <c r="P214" s="40"/>
      <c r="Q214" s="40"/>
      <c r="R214" s="140"/>
      <c r="S214" s="1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t="str">
        <f ca="1">IFERROR(__xludf.DUMMYFUNCTION("""COMPUTED_VALUE"""),"NO_CUMPLE")</f>
        <v>NO_CUMPLE</v>
      </c>
      <c r="AV214" s="40" t="str">
        <f ca="1">IFERROR(__xludf.DUMMYFUNCTION("""COMPUTED_VALUE"""),"EN FORMACION")</f>
        <v>EN FORMACION</v>
      </c>
      <c r="AW214" s="40" t="str">
        <f ca="1">IFERROR(__xludf.DUMMYFUNCTION("""COMPUTED_VALUE"""),"BIOCONSTRUCCION")</f>
        <v>BIOCONSTRUCCION</v>
      </c>
      <c r="AX214" s="141">
        <f ca="1">IFERROR(__xludf.DUMMYFUNCTION("""COMPUTED_VALUE"""),44848)</f>
        <v>44848</v>
      </c>
      <c r="AY214" s="40">
        <f ca="1">IFERROR(__xludf.DUMMYFUNCTION("""COMPUTED_VALUE"""),3)</f>
        <v>3</v>
      </c>
      <c r="AZ214" s="40">
        <f ca="1">IFERROR(__xludf.DUMMYFUNCTION("""COMPUTED_VALUE"""),1)</f>
        <v>1</v>
      </c>
      <c r="BA214" s="40">
        <f ca="1">IFERROR(__xludf.DUMMYFUNCTION("""COMPUTED_VALUE"""),0)</f>
        <v>0</v>
      </c>
      <c r="BB214" s="40">
        <f ca="1">IFERROR(__xludf.DUMMYFUNCTION("""COMPUTED_VALUE"""),0)</f>
        <v>0</v>
      </c>
      <c r="BC214" s="40">
        <f ca="1">IFERROR(__xludf.DUMMYFUNCTION("""COMPUTED_VALUE"""),4)</f>
        <v>4</v>
      </c>
      <c r="BD214" s="141">
        <f ca="1">IFERROR(__xludf.DUMMYFUNCTION("""COMPUTED_VALUE"""),43934)</f>
        <v>43934</v>
      </c>
      <c r="BE214" s="141">
        <f ca="1">IFERROR(__xludf.DUMMYFUNCTION("""COMPUTED_VALUE"""),44147)</f>
        <v>44147</v>
      </c>
      <c r="BF214" s="141">
        <f ca="1">IFERROR(__xludf.DUMMYFUNCTION("""COMPUTED_VALUE"""),44328)</f>
        <v>44328</v>
      </c>
      <c r="BG214" s="141">
        <f ca="1">IFERROR(__xludf.DUMMYFUNCTION("""COMPUTED_VALUE"""),44877)</f>
        <v>44877</v>
      </c>
      <c r="BH214" s="40" t="str">
        <f ca="1">IFERROR(__xludf.DUMMYFUNCTION("""COMPUTED_VALUE"""),"FINALIZAR FICHA")</f>
        <v>FINALIZAR FICHA</v>
      </c>
      <c r="BI214" s="40" t="str">
        <f ca="1">IFERROR(__xludf.DUMMYFUNCTION("""COMPUTED_VALUE"""),"Terminada por fecha")</f>
        <v>Terminada por fecha</v>
      </c>
      <c r="BJ214" s="40" t="str">
        <f ca="1">IFERROR(__xludf.DUMMYFUNCTION("""COMPUTED_VALUE"""),"Yamboro")</f>
        <v>Yamboro</v>
      </c>
      <c r="BK214" s="40"/>
      <c r="BL214" s="40"/>
    </row>
    <row r="215" spans="1:64" ht="13">
      <c r="A215" s="40"/>
      <c r="B215" s="40" t="str">
        <f ca="1">IFERROR(__xludf.DUMMYFUNCTION("""COMPUTED_VALUE"""),"FORMACIÓN 18/10/2022")</f>
        <v>FORMACIÓN 18/10/2022</v>
      </c>
      <c r="C215" s="40" t="str">
        <f ca="1">IFERROR(__xludf.DUMMYFUNCTION("""COMPUTED_VALUE"""),"TATIHANA JULIETH CABRERA MUÑOZ")</f>
        <v>TATIHANA JULIETH CABRERA MUÑOZ</v>
      </c>
      <c r="D215" s="40" t="str">
        <f ca="1">IFERROR(__xludf.DUMMYFUNCTION("""COMPUTED_VALUE"""),"CC")</f>
        <v>CC</v>
      </c>
      <c r="E215" s="40">
        <f ca="1">IFERROR(__xludf.DUMMYFUNCTION("""COMPUTED_VALUE"""),1007361378)</f>
        <v>1007361378</v>
      </c>
      <c r="F215" s="40">
        <f ca="1">IFERROR(__xludf.DUMMYFUNCTION("""COMPUTED_VALUE"""),2066212)</f>
        <v>2066212</v>
      </c>
      <c r="G215" s="40" t="str">
        <f ca="1">IFERROR(__xludf.DUMMYFUNCTION("""COMPUTED_VALUE"""),"TÉCNICO")</f>
        <v>TÉCNICO</v>
      </c>
      <c r="H215" s="40" t="str">
        <f ca="1">IFERROR(__xludf.DUMMYFUNCTION("""COMPUTED_VALUE"""),"DIBUJO ARQUITECTÓNICO")</f>
        <v>DIBUJO ARQUITECTÓNICO</v>
      </c>
      <c r="I215" s="40"/>
      <c r="J215" s="40"/>
      <c r="K215" s="40"/>
      <c r="L215" s="40" t="str">
        <f ca="1">IFERROR(__xludf.DUMMYFUNCTION("""COMPUTED_VALUE"""),"NO HA INICIADO ETAPA PRODUCTIVA")</f>
        <v>NO HA INICIADO ETAPA PRODUCTIVA</v>
      </c>
      <c r="M215" s="40"/>
      <c r="N215" s="40"/>
      <c r="O215" s="40"/>
      <c r="P215" s="40"/>
      <c r="Q215" s="40"/>
      <c r="R215" s="140"/>
      <c r="S215" s="1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t="str">
        <f ca="1">IFERROR(__xludf.DUMMYFUNCTION("""COMPUTED_VALUE"""),"NO_CUMPLE")</f>
        <v>NO_CUMPLE</v>
      </c>
      <c r="AV215" s="40" t="str">
        <f ca="1">IFERROR(__xludf.DUMMYFUNCTION("""COMPUTED_VALUE"""),"EN FORMACION")</f>
        <v>EN FORMACION</v>
      </c>
      <c r="AW215" s="40" t="str">
        <f ca="1">IFERROR(__xludf.DUMMYFUNCTION("""COMPUTED_VALUE"""),"BIOCONSTRUCCION")</f>
        <v>BIOCONSTRUCCION</v>
      </c>
      <c r="AX215" s="141">
        <f ca="1">IFERROR(__xludf.DUMMYFUNCTION("""COMPUTED_VALUE"""),44848)</f>
        <v>44848</v>
      </c>
      <c r="AY215" s="40">
        <f ca="1">IFERROR(__xludf.DUMMYFUNCTION("""COMPUTED_VALUE"""),1)</f>
        <v>1</v>
      </c>
      <c r="AZ215" s="40">
        <f ca="1">IFERROR(__xludf.DUMMYFUNCTION("""COMPUTED_VALUE"""),1)</f>
        <v>1</v>
      </c>
      <c r="BA215" s="40">
        <f ca="1">IFERROR(__xludf.DUMMYFUNCTION("""COMPUTED_VALUE"""),0)</f>
        <v>0</v>
      </c>
      <c r="BB215" s="40">
        <f ca="1">IFERROR(__xludf.DUMMYFUNCTION("""COMPUTED_VALUE"""),2)</f>
        <v>2</v>
      </c>
      <c r="BC215" s="40">
        <f ca="1">IFERROR(__xludf.DUMMYFUNCTION("""COMPUTED_VALUE"""),4)</f>
        <v>4</v>
      </c>
      <c r="BD215" s="141">
        <f ca="1">IFERROR(__xludf.DUMMYFUNCTION("""COMPUTED_VALUE"""),43934)</f>
        <v>43934</v>
      </c>
      <c r="BE215" s="141">
        <f ca="1">IFERROR(__xludf.DUMMYFUNCTION("""COMPUTED_VALUE"""),44147)</f>
        <v>44147</v>
      </c>
      <c r="BF215" s="141">
        <f ca="1">IFERROR(__xludf.DUMMYFUNCTION("""COMPUTED_VALUE"""),44328)</f>
        <v>44328</v>
      </c>
      <c r="BG215" s="141">
        <f ca="1">IFERROR(__xludf.DUMMYFUNCTION("""COMPUTED_VALUE"""),44877)</f>
        <v>44877</v>
      </c>
      <c r="BH215" s="40" t="str">
        <f ca="1">IFERROR(__xludf.DUMMYFUNCTION("""COMPUTED_VALUE"""),"FINALIZAR FICHA")</f>
        <v>FINALIZAR FICHA</v>
      </c>
      <c r="BI215" s="40" t="str">
        <f ca="1">IFERROR(__xludf.DUMMYFUNCTION("""COMPUTED_VALUE"""),"Terminada por fecha")</f>
        <v>Terminada por fecha</v>
      </c>
      <c r="BJ215" s="40" t="str">
        <f ca="1">IFERROR(__xludf.DUMMYFUNCTION("""COMPUTED_VALUE"""),"Yamboro")</f>
        <v>Yamboro</v>
      </c>
      <c r="BK215" s="40"/>
      <c r="BL215" s="40"/>
    </row>
    <row r="216" spans="1:64" ht="13">
      <c r="A216" s="40"/>
      <c r="B216" s="40" t="str">
        <f ca="1">IFERROR(__xludf.DUMMYFUNCTION("""COMPUTED_VALUE"""),"FORMACIÓN 18/10/2022")</f>
        <v>FORMACIÓN 18/10/2022</v>
      </c>
      <c r="C216" s="40" t="str">
        <f ca="1">IFERROR(__xludf.DUMMYFUNCTION("""COMPUTED_VALUE"""),"ALEJANDRO MUÑOZ QUINAYAS")</f>
        <v>ALEJANDRO MUÑOZ QUINAYAS</v>
      </c>
      <c r="D216" s="40" t="str">
        <f ca="1">IFERROR(__xludf.DUMMYFUNCTION("""COMPUTED_VALUE"""),"CC")</f>
        <v>CC</v>
      </c>
      <c r="E216" s="40">
        <f ca="1">IFERROR(__xludf.DUMMYFUNCTION("""COMPUTED_VALUE"""),1007520938)</f>
        <v>1007520938</v>
      </c>
      <c r="F216" s="40">
        <f ca="1">IFERROR(__xludf.DUMMYFUNCTION("""COMPUTED_VALUE"""),2066212)</f>
        <v>2066212</v>
      </c>
      <c r="G216" s="40" t="str">
        <f ca="1">IFERROR(__xludf.DUMMYFUNCTION("""COMPUTED_VALUE"""),"TÉCNICO")</f>
        <v>TÉCNICO</v>
      </c>
      <c r="H216" s="40" t="str">
        <f ca="1">IFERROR(__xludf.DUMMYFUNCTION("""COMPUTED_VALUE"""),"DIBUJO ARQUITECTÓNICO")</f>
        <v>DIBUJO ARQUITECTÓNICO</v>
      </c>
      <c r="I216" s="40"/>
      <c r="J216" s="40"/>
      <c r="K216" s="40"/>
      <c r="L216" s="40" t="str">
        <f ca="1">IFERROR(__xludf.DUMMYFUNCTION("""COMPUTED_VALUE"""),"NO HA INICIADO ETAPA PRODUCTIVA")</f>
        <v>NO HA INICIADO ETAPA PRODUCTIVA</v>
      </c>
      <c r="M216" s="40"/>
      <c r="N216" s="40"/>
      <c r="O216" s="40"/>
      <c r="P216" s="40"/>
      <c r="Q216" s="40"/>
      <c r="R216" s="140"/>
      <c r="S216" s="1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t="str">
        <f ca="1">IFERROR(__xludf.DUMMYFUNCTION("""COMPUTED_VALUE"""),"Procede_E_P")</f>
        <v>Procede_E_P</v>
      </c>
      <c r="AV216" s="40" t="str">
        <f ca="1">IFERROR(__xludf.DUMMYFUNCTION("""COMPUTED_VALUE"""),"EN FORMACION")</f>
        <v>EN FORMACION</v>
      </c>
      <c r="AW216" s="40" t="str">
        <f ca="1">IFERROR(__xludf.DUMMYFUNCTION("""COMPUTED_VALUE"""),"BIOCONSTRUCCION")</f>
        <v>BIOCONSTRUCCION</v>
      </c>
      <c r="AX216" s="141">
        <f ca="1">IFERROR(__xludf.DUMMYFUNCTION("""COMPUTED_VALUE"""),44848)</f>
        <v>44848</v>
      </c>
      <c r="AY216" s="40">
        <f ca="1">IFERROR(__xludf.DUMMYFUNCTION("""COMPUTED_VALUE"""),0)</f>
        <v>0</v>
      </c>
      <c r="AZ216" s="40">
        <f ca="1">IFERROR(__xludf.DUMMYFUNCTION("""COMPUTED_VALUE"""),1)</f>
        <v>1</v>
      </c>
      <c r="BA216" s="40">
        <f ca="1">IFERROR(__xludf.DUMMYFUNCTION("""COMPUTED_VALUE"""),0)</f>
        <v>0</v>
      </c>
      <c r="BB216" s="40">
        <f ca="1">IFERROR(__xludf.DUMMYFUNCTION("""COMPUTED_VALUE"""),0)</f>
        <v>0</v>
      </c>
      <c r="BC216" s="40">
        <f ca="1">IFERROR(__xludf.DUMMYFUNCTION("""COMPUTED_VALUE"""),1)</f>
        <v>1</v>
      </c>
      <c r="BD216" s="141">
        <f ca="1">IFERROR(__xludf.DUMMYFUNCTION("""COMPUTED_VALUE"""),43934)</f>
        <v>43934</v>
      </c>
      <c r="BE216" s="141">
        <f ca="1">IFERROR(__xludf.DUMMYFUNCTION("""COMPUTED_VALUE"""),44147)</f>
        <v>44147</v>
      </c>
      <c r="BF216" s="141">
        <f ca="1">IFERROR(__xludf.DUMMYFUNCTION("""COMPUTED_VALUE"""),44328)</f>
        <v>44328</v>
      </c>
      <c r="BG216" s="141">
        <f ca="1">IFERROR(__xludf.DUMMYFUNCTION("""COMPUTED_VALUE"""),44877)</f>
        <v>44877</v>
      </c>
      <c r="BH216" s="40" t="str">
        <f ca="1">IFERROR(__xludf.DUMMYFUNCTION("""COMPUTED_VALUE"""),"FINALIZAR FICHA")</f>
        <v>FINALIZAR FICHA</v>
      </c>
      <c r="BI216" s="40" t="str">
        <f ca="1">IFERROR(__xludf.DUMMYFUNCTION("""COMPUTED_VALUE"""),"Terminada por fecha")</f>
        <v>Terminada por fecha</v>
      </c>
      <c r="BJ216" s="40" t="str">
        <f ca="1">IFERROR(__xludf.DUMMYFUNCTION("""COMPUTED_VALUE"""),"Yamboro")</f>
        <v>Yamboro</v>
      </c>
      <c r="BK216" s="40"/>
      <c r="BL216" s="40"/>
    </row>
    <row r="217" spans="1:64" ht="13">
      <c r="A217" s="40"/>
      <c r="B217" s="40" t="str">
        <f ca="1">IFERROR(__xludf.DUMMYFUNCTION("""COMPUTED_VALUE"""),"FORMACIÓN 18/10/2022")</f>
        <v>FORMACIÓN 18/10/2022</v>
      </c>
      <c r="C217" s="40" t="str">
        <f ca="1">IFERROR(__xludf.DUMMYFUNCTION("""COMPUTED_VALUE"""),"DAVID ALEJANDRO CEBALLOS VILLEGAS")</f>
        <v>DAVID ALEJANDRO CEBALLOS VILLEGAS</v>
      </c>
      <c r="D217" s="40" t="str">
        <f ca="1">IFERROR(__xludf.DUMMYFUNCTION("""COMPUTED_VALUE"""),"CC")</f>
        <v>CC</v>
      </c>
      <c r="E217" s="40">
        <f ca="1">IFERROR(__xludf.DUMMYFUNCTION("""COMPUTED_VALUE"""),1007575898)</f>
        <v>1007575898</v>
      </c>
      <c r="F217" s="40">
        <f ca="1">IFERROR(__xludf.DUMMYFUNCTION("""COMPUTED_VALUE"""),2066212)</f>
        <v>2066212</v>
      </c>
      <c r="G217" s="40" t="str">
        <f ca="1">IFERROR(__xludf.DUMMYFUNCTION("""COMPUTED_VALUE"""),"TÉCNICO")</f>
        <v>TÉCNICO</v>
      </c>
      <c r="H217" s="40" t="str">
        <f ca="1">IFERROR(__xludf.DUMMYFUNCTION("""COMPUTED_VALUE"""),"DIBUJO ARQUITECTÓNICO")</f>
        <v>DIBUJO ARQUITECTÓNICO</v>
      </c>
      <c r="I217" s="40"/>
      <c r="J217" s="40"/>
      <c r="K217" s="40"/>
      <c r="L217" s="40" t="str">
        <f ca="1">IFERROR(__xludf.DUMMYFUNCTION("""COMPUTED_VALUE"""),"NO HA INICIADO ETAPA PRODUCTIVA")</f>
        <v>NO HA INICIADO ETAPA PRODUCTIVA</v>
      </c>
      <c r="M217" s="40"/>
      <c r="N217" s="40"/>
      <c r="O217" s="40"/>
      <c r="P217" s="40"/>
      <c r="Q217" s="40"/>
      <c r="R217" s="140"/>
      <c r="S217" s="1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t="str">
        <f ca="1">IFERROR(__xludf.DUMMYFUNCTION("""COMPUTED_VALUE"""),"Procede_E_P")</f>
        <v>Procede_E_P</v>
      </c>
      <c r="AV217" s="40" t="str">
        <f ca="1">IFERROR(__xludf.DUMMYFUNCTION("""COMPUTED_VALUE"""),"EN FORMACION")</f>
        <v>EN FORMACION</v>
      </c>
      <c r="AW217" s="40" t="str">
        <f ca="1">IFERROR(__xludf.DUMMYFUNCTION("""COMPUTED_VALUE"""),"BIOCONSTRUCCION")</f>
        <v>BIOCONSTRUCCION</v>
      </c>
      <c r="AX217" s="141">
        <f ca="1">IFERROR(__xludf.DUMMYFUNCTION("""COMPUTED_VALUE"""),44848)</f>
        <v>44848</v>
      </c>
      <c r="AY217" s="40">
        <f ca="1">IFERROR(__xludf.DUMMYFUNCTION("""COMPUTED_VALUE"""),0)</f>
        <v>0</v>
      </c>
      <c r="AZ217" s="40">
        <f ca="1">IFERROR(__xludf.DUMMYFUNCTION("""COMPUTED_VALUE"""),1)</f>
        <v>1</v>
      </c>
      <c r="BA217" s="40">
        <f ca="1">IFERROR(__xludf.DUMMYFUNCTION("""COMPUTED_VALUE"""),0)</f>
        <v>0</v>
      </c>
      <c r="BB217" s="40">
        <f ca="1">IFERROR(__xludf.DUMMYFUNCTION("""COMPUTED_VALUE"""),0)</f>
        <v>0</v>
      </c>
      <c r="BC217" s="40">
        <f ca="1">IFERROR(__xludf.DUMMYFUNCTION("""COMPUTED_VALUE"""),1)</f>
        <v>1</v>
      </c>
      <c r="BD217" s="141">
        <f ca="1">IFERROR(__xludf.DUMMYFUNCTION("""COMPUTED_VALUE"""),43934)</f>
        <v>43934</v>
      </c>
      <c r="BE217" s="141">
        <f ca="1">IFERROR(__xludf.DUMMYFUNCTION("""COMPUTED_VALUE"""),44147)</f>
        <v>44147</v>
      </c>
      <c r="BF217" s="141">
        <f ca="1">IFERROR(__xludf.DUMMYFUNCTION("""COMPUTED_VALUE"""),44328)</f>
        <v>44328</v>
      </c>
      <c r="BG217" s="141">
        <f ca="1">IFERROR(__xludf.DUMMYFUNCTION("""COMPUTED_VALUE"""),44877)</f>
        <v>44877</v>
      </c>
      <c r="BH217" s="40" t="str">
        <f ca="1">IFERROR(__xludf.DUMMYFUNCTION("""COMPUTED_VALUE"""),"FINALIZAR FICHA")</f>
        <v>FINALIZAR FICHA</v>
      </c>
      <c r="BI217" s="40" t="str">
        <f ca="1">IFERROR(__xludf.DUMMYFUNCTION("""COMPUTED_VALUE"""),"Terminada por fecha")</f>
        <v>Terminada por fecha</v>
      </c>
      <c r="BJ217" s="40" t="str">
        <f ca="1">IFERROR(__xludf.DUMMYFUNCTION("""COMPUTED_VALUE"""),"Yamboro")</f>
        <v>Yamboro</v>
      </c>
      <c r="BK217" s="40"/>
      <c r="BL217" s="40"/>
    </row>
    <row r="218" spans="1:64" ht="13">
      <c r="A218" s="40"/>
      <c r="B218" s="40" t="str">
        <f ca="1">IFERROR(__xludf.DUMMYFUNCTION("""COMPUTED_VALUE"""),"FORMACIÓN 18/10/2022")</f>
        <v>FORMACIÓN 18/10/2022</v>
      </c>
      <c r="C218" s="40" t="str">
        <f ca="1">IFERROR(__xludf.DUMMYFUNCTION("""COMPUTED_VALUE"""),"DAIRON JHOHAN HOYOS MEDINA")</f>
        <v>DAIRON JHOHAN HOYOS MEDINA</v>
      </c>
      <c r="D218" s="40" t="str">
        <f ca="1">IFERROR(__xludf.DUMMYFUNCTION("""COMPUTED_VALUE"""),"CC")</f>
        <v>CC</v>
      </c>
      <c r="E218" s="40">
        <f ca="1">IFERROR(__xludf.DUMMYFUNCTION("""COMPUTED_VALUE"""),1081732838)</f>
        <v>1081732838</v>
      </c>
      <c r="F218" s="40">
        <f ca="1">IFERROR(__xludf.DUMMYFUNCTION("""COMPUTED_VALUE"""),2066212)</f>
        <v>2066212</v>
      </c>
      <c r="G218" s="40" t="str">
        <f ca="1">IFERROR(__xludf.DUMMYFUNCTION("""COMPUTED_VALUE"""),"TÉCNICO")</f>
        <v>TÉCNICO</v>
      </c>
      <c r="H218" s="40" t="str">
        <f ca="1">IFERROR(__xludf.DUMMYFUNCTION("""COMPUTED_VALUE"""),"DIBUJO ARQUITECTÓNICO")</f>
        <v>DIBUJO ARQUITECTÓNICO</v>
      </c>
      <c r="I218" s="40"/>
      <c r="J218" s="40"/>
      <c r="K218" s="40"/>
      <c r="L218" s="40" t="str">
        <f ca="1">IFERROR(__xludf.DUMMYFUNCTION("""COMPUTED_VALUE"""),"NO HA INICIADO ETAPA PRODUCTIVA")</f>
        <v>NO HA INICIADO ETAPA PRODUCTIVA</v>
      </c>
      <c r="M218" s="40"/>
      <c r="N218" s="40"/>
      <c r="O218" s="40"/>
      <c r="P218" s="40"/>
      <c r="Q218" s="40"/>
      <c r="R218" s="140"/>
      <c r="S218" s="1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t="str">
        <f ca="1">IFERROR(__xludf.DUMMYFUNCTION("""COMPUTED_VALUE"""),"Procede_E_P")</f>
        <v>Procede_E_P</v>
      </c>
      <c r="AV218" s="40" t="str">
        <f ca="1">IFERROR(__xludf.DUMMYFUNCTION("""COMPUTED_VALUE"""),"EN FORMACION")</f>
        <v>EN FORMACION</v>
      </c>
      <c r="AW218" s="40" t="str">
        <f ca="1">IFERROR(__xludf.DUMMYFUNCTION("""COMPUTED_VALUE"""),"BIOCONSTRUCCION")</f>
        <v>BIOCONSTRUCCION</v>
      </c>
      <c r="AX218" s="141">
        <f ca="1">IFERROR(__xludf.DUMMYFUNCTION("""COMPUTED_VALUE"""),44848)</f>
        <v>44848</v>
      </c>
      <c r="AY218" s="40">
        <f ca="1">IFERROR(__xludf.DUMMYFUNCTION("""COMPUTED_VALUE"""),0)</f>
        <v>0</v>
      </c>
      <c r="AZ218" s="40">
        <f ca="1">IFERROR(__xludf.DUMMYFUNCTION("""COMPUTED_VALUE"""),1)</f>
        <v>1</v>
      </c>
      <c r="BA218" s="40">
        <f ca="1">IFERROR(__xludf.DUMMYFUNCTION("""COMPUTED_VALUE"""),0)</f>
        <v>0</v>
      </c>
      <c r="BB218" s="40">
        <f ca="1">IFERROR(__xludf.DUMMYFUNCTION("""COMPUTED_VALUE"""),0)</f>
        <v>0</v>
      </c>
      <c r="BC218" s="40">
        <f ca="1">IFERROR(__xludf.DUMMYFUNCTION("""COMPUTED_VALUE"""),1)</f>
        <v>1</v>
      </c>
      <c r="BD218" s="141">
        <f ca="1">IFERROR(__xludf.DUMMYFUNCTION("""COMPUTED_VALUE"""),43934)</f>
        <v>43934</v>
      </c>
      <c r="BE218" s="141">
        <f ca="1">IFERROR(__xludf.DUMMYFUNCTION("""COMPUTED_VALUE"""),44147)</f>
        <v>44147</v>
      </c>
      <c r="BF218" s="141">
        <f ca="1">IFERROR(__xludf.DUMMYFUNCTION("""COMPUTED_VALUE"""),44328)</f>
        <v>44328</v>
      </c>
      <c r="BG218" s="141">
        <f ca="1">IFERROR(__xludf.DUMMYFUNCTION("""COMPUTED_VALUE"""),44877)</f>
        <v>44877</v>
      </c>
      <c r="BH218" s="40" t="str">
        <f ca="1">IFERROR(__xludf.DUMMYFUNCTION("""COMPUTED_VALUE"""),"FINALIZAR FICHA")</f>
        <v>FINALIZAR FICHA</v>
      </c>
      <c r="BI218" s="40" t="str">
        <f ca="1">IFERROR(__xludf.DUMMYFUNCTION("""COMPUTED_VALUE"""),"Terminada por fecha")</f>
        <v>Terminada por fecha</v>
      </c>
      <c r="BJ218" s="40" t="str">
        <f ca="1">IFERROR(__xludf.DUMMYFUNCTION("""COMPUTED_VALUE"""),"Yamboro")</f>
        <v>Yamboro</v>
      </c>
      <c r="BK218" s="40"/>
      <c r="BL218" s="40"/>
    </row>
    <row r="219" spans="1:64" ht="13">
      <c r="A219" s="40"/>
      <c r="B219" s="40" t="str">
        <f ca="1">IFERROR(__xludf.DUMMYFUNCTION("""COMPUTED_VALUE"""),"FORMACIÓN 18/10/2022")</f>
        <v>FORMACIÓN 18/10/2022</v>
      </c>
      <c r="C219" s="40" t="str">
        <f ca="1">IFERROR(__xludf.DUMMYFUNCTION("""COMPUTED_VALUE"""),"DERLY JULIETH SILVA CAMACHO")</f>
        <v>DERLY JULIETH SILVA CAMACHO</v>
      </c>
      <c r="D219" s="40" t="str">
        <f ca="1">IFERROR(__xludf.DUMMYFUNCTION("""COMPUTED_VALUE"""),"CC")</f>
        <v>CC</v>
      </c>
      <c r="E219" s="40">
        <f ca="1">IFERROR(__xludf.DUMMYFUNCTION("""COMPUTED_VALUE"""),1083931277)</f>
        <v>1083931277</v>
      </c>
      <c r="F219" s="40">
        <f ca="1">IFERROR(__xludf.DUMMYFUNCTION("""COMPUTED_VALUE"""),2066212)</f>
        <v>2066212</v>
      </c>
      <c r="G219" s="40" t="str">
        <f ca="1">IFERROR(__xludf.DUMMYFUNCTION("""COMPUTED_VALUE"""),"TÉCNICO")</f>
        <v>TÉCNICO</v>
      </c>
      <c r="H219" s="40" t="str">
        <f ca="1">IFERROR(__xludf.DUMMYFUNCTION("""COMPUTED_VALUE"""),"DIBUJO ARQUITECTÓNICO")</f>
        <v>DIBUJO ARQUITECTÓNICO</v>
      </c>
      <c r="I219" s="40"/>
      <c r="J219" s="40"/>
      <c r="K219" s="40"/>
      <c r="L219" s="40" t="str">
        <f ca="1">IFERROR(__xludf.DUMMYFUNCTION("""COMPUTED_VALUE"""),"NO HA INICIADO ETAPA PRODUCTIVA")</f>
        <v>NO HA INICIADO ETAPA PRODUCTIVA</v>
      </c>
      <c r="M219" s="40"/>
      <c r="N219" s="40"/>
      <c r="O219" s="40"/>
      <c r="P219" s="40"/>
      <c r="Q219" s="40"/>
      <c r="R219" s="140"/>
      <c r="S219" s="1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t="str">
        <f ca="1">IFERROR(__xludf.DUMMYFUNCTION("""COMPUTED_VALUE"""),"Procede_E_P")</f>
        <v>Procede_E_P</v>
      </c>
      <c r="AV219" s="40" t="str">
        <f ca="1">IFERROR(__xludf.DUMMYFUNCTION("""COMPUTED_VALUE"""),"EN FORMACION")</f>
        <v>EN FORMACION</v>
      </c>
      <c r="AW219" s="40" t="str">
        <f ca="1">IFERROR(__xludf.DUMMYFUNCTION("""COMPUTED_VALUE"""),"BIOCONSTRUCCION")</f>
        <v>BIOCONSTRUCCION</v>
      </c>
      <c r="AX219" s="141">
        <f ca="1">IFERROR(__xludf.DUMMYFUNCTION("""COMPUTED_VALUE"""),44848)</f>
        <v>44848</v>
      </c>
      <c r="AY219" s="40">
        <f ca="1">IFERROR(__xludf.DUMMYFUNCTION("""COMPUTED_VALUE"""),0)</f>
        <v>0</v>
      </c>
      <c r="AZ219" s="40">
        <f ca="1">IFERROR(__xludf.DUMMYFUNCTION("""COMPUTED_VALUE"""),1)</f>
        <v>1</v>
      </c>
      <c r="BA219" s="40">
        <f ca="1">IFERROR(__xludf.DUMMYFUNCTION("""COMPUTED_VALUE"""),0)</f>
        <v>0</v>
      </c>
      <c r="BB219" s="40">
        <f ca="1">IFERROR(__xludf.DUMMYFUNCTION("""COMPUTED_VALUE"""),0)</f>
        <v>0</v>
      </c>
      <c r="BC219" s="40">
        <f ca="1">IFERROR(__xludf.DUMMYFUNCTION("""COMPUTED_VALUE"""),1)</f>
        <v>1</v>
      </c>
      <c r="BD219" s="141">
        <f ca="1">IFERROR(__xludf.DUMMYFUNCTION("""COMPUTED_VALUE"""),43934)</f>
        <v>43934</v>
      </c>
      <c r="BE219" s="141">
        <f ca="1">IFERROR(__xludf.DUMMYFUNCTION("""COMPUTED_VALUE"""),44147)</f>
        <v>44147</v>
      </c>
      <c r="BF219" s="141">
        <f ca="1">IFERROR(__xludf.DUMMYFUNCTION("""COMPUTED_VALUE"""),44328)</f>
        <v>44328</v>
      </c>
      <c r="BG219" s="141">
        <f ca="1">IFERROR(__xludf.DUMMYFUNCTION("""COMPUTED_VALUE"""),44877)</f>
        <v>44877</v>
      </c>
      <c r="BH219" s="40" t="str">
        <f ca="1">IFERROR(__xludf.DUMMYFUNCTION("""COMPUTED_VALUE"""),"FINALIZAR FICHA")</f>
        <v>FINALIZAR FICHA</v>
      </c>
      <c r="BI219" s="40" t="str">
        <f ca="1">IFERROR(__xludf.DUMMYFUNCTION("""COMPUTED_VALUE"""),"Terminada por fecha")</f>
        <v>Terminada por fecha</v>
      </c>
      <c r="BJ219" s="40" t="str">
        <f ca="1">IFERROR(__xludf.DUMMYFUNCTION("""COMPUTED_VALUE"""),"Yamboro")</f>
        <v>Yamboro</v>
      </c>
      <c r="BK219" s="40"/>
      <c r="BL219" s="40"/>
    </row>
    <row r="220" spans="1:64" ht="13">
      <c r="A220" s="40"/>
      <c r="B220" s="40" t="str">
        <f ca="1">IFERROR(__xludf.DUMMYFUNCTION("""COMPUTED_VALUE"""),"FORMACIÓN 18/10/2022")</f>
        <v>FORMACIÓN 18/10/2022</v>
      </c>
      <c r="C220" s="40" t="str">
        <f ca="1">IFERROR(__xludf.DUMMYFUNCTION("""COMPUTED_VALUE"""),"JOSE ORLANDO GOMEZ JIMENEZ")</f>
        <v>JOSE ORLANDO GOMEZ JIMENEZ</v>
      </c>
      <c r="D220" s="40" t="str">
        <f ca="1">IFERROR(__xludf.DUMMYFUNCTION("""COMPUTED_VALUE"""),"CC")</f>
        <v>CC</v>
      </c>
      <c r="E220" s="40">
        <f ca="1">IFERROR(__xludf.DUMMYFUNCTION("""COMPUTED_VALUE"""),1084261165)</f>
        <v>1084261165</v>
      </c>
      <c r="F220" s="40">
        <f ca="1">IFERROR(__xludf.DUMMYFUNCTION("""COMPUTED_VALUE"""),2066212)</f>
        <v>2066212</v>
      </c>
      <c r="G220" s="40" t="str">
        <f ca="1">IFERROR(__xludf.DUMMYFUNCTION("""COMPUTED_VALUE"""),"TÉCNICO")</f>
        <v>TÉCNICO</v>
      </c>
      <c r="H220" s="40" t="str">
        <f ca="1">IFERROR(__xludf.DUMMYFUNCTION("""COMPUTED_VALUE"""),"DIBUJO ARQUITECTÓNICO")</f>
        <v>DIBUJO ARQUITECTÓNICO</v>
      </c>
      <c r="I220" s="40"/>
      <c r="J220" s="40"/>
      <c r="K220" s="40"/>
      <c r="L220" s="40" t="str">
        <f ca="1">IFERROR(__xludf.DUMMYFUNCTION("""COMPUTED_VALUE"""),"NO HA INICIADO ETAPA PRODUCTIVA")</f>
        <v>NO HA INICIADO ETAPA PRODUCTIVA</v>
      </c>
      <c r="M220" s="40"/>
      <c r="N220" s="40"/>
      <c r="O220" s="40"/>
      <c r="P220" s="40"/>
      <c r="Q220" s="40"/>
      <c r="R220" s="140"/>
      <c r="S220" s="1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t="str">
        <f ca="1">IFERROR(__xludf.DUMMYFUNCTION("""COMPUTED_VALUE"""),"NO_CUMPLE")</f>
        <v>NO_CUMPLE</v>
      </c>
      <c r="AV220" s="40" t="str">
        <f ca="1">IFERROR(__xludf.DUMMYFUNCTION("""COMPUTED_VALUE"""),"EN FORMACION")</f>
        <v>EN FORMACION</v>
      </c>
      <c r="AW220" s="40" t="str">
        <f ca="1">IFERROR(__xludf.DUMMYFUNCTION("""COMPUTED_VALUE"""),"BIOCONSTRUCCION")</f>
        <v>BIOCONSTRUCCION</v>
      </c>
      <c r="AX220" s="141">
        <f ca="1">IFERROR(__xludf.DUMMYFUNCTION("""COMPUTED_VALUE"""),44848)</f>
        <v>44848</v>
      </c>
      <c r="AY220" s="40">
        <f ca="1">IFERROR(__xludf.DUMMYFUNCTION("""COMPUTED_VALUE"""),3)</f>
        <v>3</v>
      </c>
      <c r="AZ220" s="40">
        <f ca="1">IFERROR(__xludf.DUMMYFUNCTION("""COMPUTED_VALUE"""),1)</f>
        <v>1</v>
      </c>
      <c r="BA220" s="40">
        <f ca="1">IFERROR(__xludf.DUMMYFUNCTION("""COMPUTED_VALUE"""),0)</f>
        <v>0</v>
      </c>
      <c r="BB220" s="40">
        <f ca="1">IFERROR(__xludf.DUMMYFUNCTION("""COMPUTED_VALUE"""),0)</f>
        <v>0</v>
      </c>
      <c r="BC220" s="40">
        <f ca="1">IFERROR(__xludf.DUMMYFUNCTION("""COMPUTED_VALUE"""),4)</f>
        <v>4</v>
      </c>
      <c r="BD220" s="141">
        <f ca="1">IFERROR(__xludf.DUMMYFUNCTION("""COMPUTED_VALUE"""),43934)</f>
        <v>43934</v>
      </c>
      <c r="BE220" s="141">
        <f ca="1">IFERROR(__xludf.DUMMYFUNCTION("""COMPUTED_VALUE"""),44147)</f>
        <v>44147</v>
      </c>
      <c r="BF220" s="141">
        <f ca="1">IFERROR(__xludf.DUMMYFUNCTION("""COMPUTED_VALUE"""),44328)</f>
        <v>44328</v>
      </c>
      <c r="BG220" s="141">
        <f ca="1">IFERROR(__xludf.DUMMYFUNCTION("""COMPUTED_VALUE"""),44877)</f>
        <v>44877</v>
      </c>
      <c r="BH220" s="40" t="str">
        <f ca="1">IFERROR(__xludf.DUMMYFUNCTION("""COMPUTED_VALUE"""),"FINALIZAR FICHA")</f>
        <v>FINALIZAR FICHA</v>
      </c>
      <c r="BI220" s="40" t="str">
        <f ca="1">IFERROR(__xludf.DUMMYFUNCTION("""COMPUTED_VALUE"""),"Terminada por fecha")</f>
        <v>Terminada por fecha</v>
      </c>
      <c r="BJ220" s="40" t="str">
        <f ca="1">IFERROR(__xludf.DUMMYFUNCTION("""COMPUTED_VALUE"""),"Yamboro")</f>
        <v>Yamboro</v>
      </c>
      <c r="BK220" s="40"/>
      <c r="BL220" s="40"/>
    </row>
    <row r="221" spans="1:64" ht="13">
      <c r="A221" s="40"/>
      <c r="B221" s="40" t="str">
        <f ca="1">IFERROR(__xludf.DUMMYFUNCTION("""COMPUTED_VALUE"""),"FORMACIÓN 18/10/2022")</f>
        <v>FORMACIÓN 18/10/2022</v>
      </c>
      <c r="C221" s="40" t="str">
        <f ca="1">IFERROR(__xludf.DUMMYFUNCTION("""COMPUTED_VALUE"""),"RUTBEL VELA SARMIENTO")</f>
        <v>RUTBEL VELA SARMIENTO</v>
      </c>
      <c r="D221" s="40" t="str">
        <f ca="1">IFERROR(__xludf.DUMMYFUNCTION("""COMPUTED_VALUE"""),"CC")</f>
        <v>CC</v>
      </c>
      <c r="E221" s="40">
        <f ca="1">IFERROR(__xludf.DUMMYFUNCTION("""COMPUTED_VALUE"""),12258026)</f>
        <v>12258026</v>
      </c>
      <c r="F221" s="40">
        <f ca="1">IFERROR(__xludf.DUMMYFUNCTION("""COMPUTED_VALUE"""),2055235)</f>
        <v>2055235</v>
      </c>
      <c r="G221" s="40" t="str">
        <f ca="1">IFERROR(__xludf.DUMMYFUNCTION("""COMPUTED_VALUE"""),"TÉCNICO")</f>
        <v>TÉCNICO</v>
      </c>
      <c r="H221" s="40" t="str">
        <f ca="1">IFERROR(__xludf.DUMMYFUNCTION("""COMPUTED_VALUE"""),"INSTALACIONES ELECTRICAS RESIDENCIALES")</f>
        <v>INSTALACIONES ELECTRICAS RESIDENCIALES</v>
      </c>
      <c r="I221" s="40">
        <f ca="1">IFERROR(__xludf.DUMMYFUNCTION("""COMPUTED_VALUE"""),3223993075)</f>
        <v>3223993075</v>
      </c>
      <c r="J221" s="40" t="str">
        <f ca="1">IFERROR(__xludf.DUMMYFUNCTION("""COMPUTED_VALUE"""),"royer7704@hotmail.com")</f>
        <v>royer7704@hotmail.com</v>
      </c>
      <c r="K221" s="40" t="str">
        <f ca="1">IFERROR(__xludf.DUMMYFUNCTION("""COMPUTED_VALUE"""),"MOCOA")</f>
        <v>MOCOA</v>
      </c>
      <c r="L221" s="40" t="str">
        <f ca="1">IFERROR(__xludf.DUMMYFUNCTION("""COMPUTED_VALUE"""),"NO HA INICIADO ETAPA PRODUCTIVA")</f>
        <v>NO HA INICIADO ETAPA PRODUCTIVA</v>
      </c>
      <c r="M221" s="40"/>
      <c r="N221" s="40"/>
      <c r="O221" s="40"/>
      <c r="P221" s="40"/>
      <c r="Q221" s="40"/>
      <c r="R221" s="140"/>
      <c r="S221" s="1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t="str">
        <f ca="1">IFERROR(__xludf.DUMMYFUNCTION("""COMPUTED_VALUE"""),"Procede_E_P")</f>
        <v>Procede_E_P</v>
      </c>
      <c r="AV221" s="40" t="str">
        <f ca="1">IFERROR(__xludf.DUMMYFUNCTION("""COMPUTED_VALUE"""),"EN FORMACION")</f>
        <v>EN FORMACION</v>
      </c>
      <c r="AW221" s="40" t="str">
        <f ca="1">IFERROR(__xludf.DUMMYFUNCTION("""COMPUTED_VALUE"""),"BIOCONSTRUCCION")</f>
        <v>BIOCONSTRUCCION</v>
      </c>
      <c r="AX221" s="141">
        <f ca="1">IFERROR(__xludf.DUMMYFUNCTION("""COMPUTED_VALUE"""),44848)</f>
        <v>44848</v>
      </c>
      <c r="AY221" s="40">
        <f ca="1">IFERROR(__xludf.DUMMYFUNCTION("""COMPUTED_VALUE"""),0)</f>
        <v>0</v>
      </c>
      <c r="AZ221" s="40">
        <f ca="1">IFERROR(__xludf.DUMMYFUNCTION("""COMPUTED_VALUE"""),1)</f>
        <v>1</v>
      </c>
      <c r="BA221" s="40">
        <f ca="1">IFERROR(__xludf.DUMMYFUNCTION("""COMPUTED_VALUE"""),0)</f>
        <v>0</v>
      </c>
      <c r="BB221" s="40">
        <f ca="1">IFERROR(__xludf.DUMMYFUNCTION("""COMPUTED_VALUE"""),0)</f>
        <v>0</v>
      </c>
      <c r="BC221" s="40">
        <f ca="1">IFERROR(__xludf.DUMMYFUNCTION("""COMPUTED_VALUE"""),1)</f>
        <v>1</v>
      </c>
      <c r="BD221" s="141">
        <f ca="1">IFERROR(__xludf.DUMMYFUNCTION("""COMPUTED_VALUE"""),43801)</f>
        <v>43801</v>
      </c>
      <c r="BE221" s="141">
        <f ca="1">IFERROR(__xludf.DUMMYFUNCTION("""COMPUTED_VALUE"""),44105)</f>
        <v>44105</v>
      </c>
      <c r="BF221" s="141">
        <f ca="1">IFERROR(__xludf.DUMMYFUNCTION("""COMPUTED_VALUE"""),44287)</f>
        <v>44287</v>
      </c>
      <c r="BG221" s="141">
        <f ca="1">IFERROR(__xludf.DUMMYFUNCTION("""COMPUTED_VALUE"""),44835)</f>
        <v>44835</v>
      </c>
      <c r="BH221" s="40" t="str">
        <f ca="1">IFERROR(__xludf.DUMMYFUNCTION("""COMPUTED_VALUE"""),"FINALIZAR FICHA")</f>
        <v>FINALIZAR FICHA</v>
      </c>
      <c r="BI221" s="40" t="str">
        <f ca="1">IFERROR(__xludf.DUMMYFUNCTION("""COMPUTED_VALUE"""),"Terminada por fecha")</f>
        <v>Terminada por fecha</v>
      </c>
      <c r="BJ221" s="40" t="str">
        <f ca="1">IFERROR(__xludf.DUMMYFUNCTION("""COMPUTED_VALUE"""),"Yamboro")</f>
        <v>Yamboro</v>
      </c>
      <c r="BK221" s="40"/>
      <c r="BL221" s="40"/>
    </row>
    <row r="222" spans="1:64" ht="13">
      <c r="A222" s="40"/>
      <c r="B222" s="40" t="str">
        <f ca="1">IFERROR(__xludf.DUMMYFUNCTION("""COMPUTED_VALUE"""),"FORMACIÓN 18/10/2022")</f>
        <v>FORMACIÓN 18/10/2022</v>
      </c>
      <c r="C222" s="40" t="str">
        <f ca="1">IFERROR(__xludf.DUMMYFUNCTION("""COMPUTED_VALUE"""),"LISARDO MACIAS ")</f>
        <v xml:space="preserve">LISARDO MACIAS </v>
      </c>
      <c r="D222" s="40" t="str">
        <f ca="1">IFERROR(__xludf.DUMMYFUNCTION("""COMPUTED_VALUE"""),"CC")</f>
        <v>CC</v>
      </c>
      <c r="E222" s="40">
        <f ca="1">IFERROR(__xludf.DUMMYFUNCTION("""COMPUTED_VALUE"""),12263056)</f>
        <v>12263056</v>
      </c>
      <c r="F222" s="40">
        <f ca="1">IFERROR(__xludf.DUMMYFUNCTION("""COMPUTED_VALUE"""),2055235)</f>
        <v>2055235</v>
      </c>
      <c r="G222" s="40" t="str">
        <f ca="1">IFERROR(__xludf.DUMMYFUNCTION("""COMPUTED_VALUE"""),"TÉCNICO")</f>
        <v>TÉCNICO</v>
      </c>
      <c r="H222" s="40" t="str">
        <f ca="1">IFERROR(__xludf.DUMMYFUNCTION("""COMPUTED_VALUE"""),"INSTALACIONES ELECTRICAS RESIDENCIALES")</f>
        <v>INSTALACIONES ELECTRICAS RESIDENCIALES</v>
      </c>
      <c r="I222" s="40"/>
      <c r="J222" s="40"/>
      <c r="K222" s="40"/>
      <c r="L222" s="40" t="str">
        <f ca="1">IFERROR(__xludf.DUMMYFUNCTION("""COMPUTED_VALUE"""),"NO HA INICIADO ETAPA PRODUCTIVA")</f>
        <v>NO HA INICIADO ETAPA PRODUCTIVA</v>
      </c>
      <c r="M222" s="40"/>
      <c r="N222" s="40"/>
      <c r="O222" s="40"/>
      <c r="P222" s="40"/>
      <c r="Q222" s="40"/>
      <c r="R222" s="140"/>
      <c r="S222" s="1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t="str">
        <f ca="1">IFERROR(__xludf.DUMMYFUNCTION("""COMPUTED_VALUE"""),"Procede_E_P")</f>
        <v>Procede_E_P</v>
      </c>
      <c r="AV222" s="40" t="str">
        <f ca="1">IFERROR(__xludf.DUMMYFUNCTION("""COMPUTED_VALUE"""),"EN FORMACION")</f>
        <v>EN FORMACION</v>
      </c>
      <c r="AW222" s="40" t="str">
        <f ca="1">IFERROR(__xludf.DUMMYFUNCTION("""COMPUTED_VALUE"""),"BIOCONSTRUCCION")</f>
        <v>BIOCONSTRUCCION</v>
      </c>
      <c r="AX222" s="141">
        <f ca="1">IFERROR(__xludf.DUMMYFUNCTION("""COMPUTED_VALUE"""),44848)</f>
        <v>44848</v>
      </c>
      <c r="AY222" s="40">
        <f ca="1">IFERROR(__xludf.DUMMYFUNCTION("""COMPUTED_VALUE"""),0)</f>
        <v>0</v>
      </c>
      <c r="AZ222" s="40">
        <f ca="1">IFERROR(__xludf.DUMMYFUNCTION("""COMPUTED_VALUE"""),1)</f>
        <v>1</v>
      </c>
      <c r="BA222" s="40">
        <f ca="1">IFERROR(__xludf.DUMMYFUNCTION("""COMPUTED_VALUE"""),0)</f>
        <v>0</v>
      </c>
      <c r="BB222" s="40">
        <f ca="1">IFERROR(__xludf.DUMMYFUNCTION("""COMPUTED_VALUE"""),0)</f>
        <v>0</v>
      </c>
      <c r="BC222" s="40">
        <f ca="1">IFERROR(__xludf.DUMMYFUNCTION("""COMPUTED_VALUE"""),1)</f>
        <v>1</v>
      </c>
      <c r="BD222" s="141">
        <f ca="1">IFERROR(__xludf.DUMMYFUNCTION("""COMPUTED_VALUE"""),43801)</f>
        <v>43801</v>
      </c>
      <c r="BE222" s="141">
        <f ca="1">IFERROR(__xludf.DUMMYFUNCTION("""COMPUTED_VALUE"""),44105)</f>
        <v>44105</v>
      </c>
      <c r="BF222" s="141">
        <f ca="1">IFERROR(__xludf.DUMMYFUNCTION("""COMPUTED_VALUE"""),44287)</f>
        <v>44287</v>
      </c>
      <c r="BG222" s="141">
        <f ca="1">IFERROR(__xludf.DUMMYFUNCTION("""COMPUTED_VALUE"""),44835)</f>
        <v>44835</v>
      </c>
      <c r="BH222" s="40" t="str">
        <f ca="1">IFERROR(__xludf.DUMMYFUNCTION("""COMPUTED_VALUE"""),"FINALIZAR FICHA")</f>
        <v>FINALIZAR FICHA</v>
      </c>
      <c r="BI222" s="40" t="str">
        <f ca="1">IFERROR(__xludf.DUMMYFUNCTION("""COMPUTED_VALUE"""),"Terminada por fecha")</f>
        <v>Terminada por fecha</v>
      </c>
      <c r="BJ222" s="40" t="str">
        <f ca="1">IFERROR(__xludf.DUMMYFUNCTION("""COMPUTED_VALUE"""),"Yamboro")</f>
        <v>Yamboro</v>
      </c>
      <c r="BK222" s="40"/>
      <c r="BL222" s="40"/>
    </row>
    <row r="223" spans="1:64" ht="13">
      <c r="A223" s="40"/>
      <c r="B223" s="40" t="str">
        <f ca="1">IFERROR(__xludf.DUMMYFUNCTION("""COMPUTED_VALUE"""),"FORMACIÓN 18/10/2022")</f>
        <v>FORMACIÓN 18/10/2022</v>
      </c>
      <c r="C223" s="40" t="str">
        <f ca="1">IFERROR(__xludf.DUMMYFUNCTION("""COMPUTED_VALUE"""),"HENRY PARDO ÑAÑEZ")</f>
        <v>HENRY PARDO ÑAÑEZ</v>
      </c>
      <c r="D223" s="40" t="str">
        <f ca="1">IFERROR(__xludf.DUMMYFUNCTION("""COMPUTED_VALUE"""),"CC")</f>
        <v>CC</v>
      </c>
      <c r="E223" s="40">
        <f ca="1">IFERROR(__xludf.DUMMYFUNCTION("""COMPUTED_VALUE"""),12263823)</f>
        <v>12263823</v>
      </c>
      <c r="F223" s="40">
        <f ca="1">IFERROR(__xludf.DUMMYFUNCTION("""COMPUTED_VALUE"""),2055235)</f>
        <v>2055235</v>
      </c>
      <c r="G223" s="40" t="str">
        <f ca="1">IFERROR(__xludf.DUMMYFUNCTION("""COMPUTED_VALUE"""),"TÉCNICO")</f>
        <v>TÉCNICO</v>
      </c>
      <c r="H223" s="40" t="str">
        <f ca="1">IFERROR(__xludf.DUMMYFUNCTION("""COMPUTED_VALUE"""),"INSTALACIONES ELECTRICAS RESIDENCIALES")</f>
        <v>INSTALACIONES ELECTRICAS RESIDENCIALES</v>
      </c>
      <c r="I223" s="40"/>
      <c r="J223" s="40"/>
      <c r="K223" s="40"/>
      <c r="L223" s="40" t="str">
        <f ca="1">IFERROR(__xludf.DUMMYFUNCTION("""COMPUTED_VALUE"""),"NO HA INICIADO ETAPA PRODUCTIVA")</f>
        <v>NO HA INICIADO ETAPA PRODUCTIVA</v>
      </c>
      <c r="M223" s="40"/>
      <c r="N223" s="40"/>
      <c r="O223" s="40"/>
      <c r="P223" s="40"/>
      <c r="Q223" s="40"/>
      <c r="R223" s="140"/>
      <c r="S223" s="1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t="str">
        <f ca="1">IFERROR(__xludf.DUMMYFUNCTION("""COMPUTED_VALUE"""),"Procede_E_P")</f>
        <v>Procede_E_P</v>
      </c>
      <c r="AV223" s="40" t="str">
        <f ca="1">IFERROR(__xludf.DUMMYFUNCTION("""COMPUTED_VALUE"""),"EN FORMACION")</f>
        <v>EN FORMACION</v>
      </c>
      <c r="AW223" s="40" t="str">
        <f ca="1">IFERROR(__xludf.DUMMYFUNCTION("""COMPUTED_VALUE"""),"BIOCONSTRUCCION")</f>
        <v>BIOCONSTRUCCION</v>
      </c>
      <c r="AX223" s="141">
        <f ca="1">IFERROR(__xludf.DUMMYFUNCTION("""COMPUTED_VALUE"""),44848)</f>
        <v>44848</v>
      </c>
      <c r="AY223" s="40">
        <f ca="1">IFERROR(__xludf.DUMMYFUNCTION("""COMPUTED_VALUE"""),0)</f>
        <v>0</v>
      </c>
      <c r="AZ223" s="40">
        <f ca="1">IFERROR(__xludf.DUMMYFUNCTION("""COMPUTED_VALUE"""),1)</f>
        <v>1</v>
      </c>
      <c r="BA223" s="40">
        <f ca="1">IFERROR(__xludf.DUMMYFUNCTION("""COMPUTED_VALUE"""),0)</f>
        <v>0</v>
      </c>
      <c r="BB223" s="40">
        <f ca="1">IFERROR(__xludf.DUMMYFUNCTION("""COMPUTED_VALUE"""),0)</f>
        <v>0</v>
      </c>
      <c r="BC223" s="40">
        <f ca="1">IFERROR(__xludf.DUMMYFUNCTION("""COMPUTED_VALUE"""),1)</f>
        <v>1</v>
      </c>
      <c r="BD223" s="141">
        <f ca="1">IFERROR(__xludf.DUMMYFUNCTION("""COMPUTED_VALUE"""),43801)</f>
        <v>43801</v>
      </c>
      <c r="BE223" s="141">
        <f ca="1">IFERROR(__xludf.DUMMYFUNCTION("""COMPUTED_VALUE"""),44105)</f>
        <v>44105</v>
      </c>
      <c r="BF223" s="141">
        <f ca="1">IFERROR(__xludf.DUMMYFUNCTION("""COMPUTED_VALUE"""),44287)</f>
        <v>44287</v>
      </c>
      <c r="BG223" s="141">
        <f ca="1">IFERROR(__xludf.DUMMYFUNCTION("""COMPUTED_VALUE"""),44835)</f>
        <v>44835</v>
      </c>
      <c r="BH223" s="40" t="str">
        <f ca="1">IFERROR(__xludf.DUMMYFUNCTION("""COMPUTED_VALUE"""),"FINALIZAR FICHA")</f>
        <v>FINALIZAR FICHA</v>
      </c>
      <c r="BI223" s="40" t="str">
        <f ca="1">IFERROR(__xludf.DUMMYFUNCTION("""COMPUTED_VALUE"""),"Terminada por fecha")</f>
        <v>Terminada por fecha</v>
      </c>
      <c r="BJ223" s="40" t="str">
        <f ca="1">IFERROR(__xludf.DUMMYFUNCTION("""COMPUTED_VALUE"""),"Yamboro")</f>
        <v>Yamboro</v>
      </c>
      <c r="BK223" s="40"/>
      <c r="BL223" s="40"/>
    </row>
    <row r="224" spans="1:64" ht="13">
      <c r="A224" s="40"/>
      <c r="B224" s="40" t="str">
        <f ca="1">IFERROR(__xludf.DUMMYFUNCTION("""COMPUTED_VALUE"""),"FORMACIÓN 18/10/2022")</f>
        <v>FORMACIÓN 18/10/2022</v>
      </c>
      <c r="C224" s="40" t="str">
        <f ca="1">IFERROR(__xludf.DUMMYFUNCTION("""COMPUTED_VALUE"""),"JHON DAVID BOLAÑOS BURBANO")</f>
        <v>JHON DAVID BOLAÑOS BURBANO</v>
      </c>
      <c r="D224" s="40" t="str">
        <f ca="1">IFERROR(__xludf.DUMMYFUNCTION("""COMPUTED_VALUE"""),"CC")</f>
        <v>CC</v>
      </c>
      <c r="E224" s="40">
        <f ca="1">IFERROR(__xludf.DUMMYFUNCTION("""COMPUTED_VALUE"""),12264076)</f>
        <v>12264076</v>
      </c>
      <c r="F224" s="40">
        <f ca="1">IFERROR(__xludf.DUMMYFUNCTION("""COMPUTED_VALUE"""),2055235)</f>
        <v>2055235</v>
      </c>
      <c r="G224" s="40" t="str">
        <f ca="1">IFERROR(__xludf.DUMMYFUNCTION("""COMPUTED_VALUE"""),"TÉCNICO")</f>
        <v>TÉCNICO</v>
      </c>
      <c r="H224" s="40" t="str">
        <f ca="1">IFERROR(__xludf.DUMMYFUNCTION("""COMPUTED_VALUE"""),"INSTALACIONES ELECTRICAS RESIDENCIALES")</f>
        <v>INSTALACIONES ELECTRICAS RESIDENCIALES</v>
      </c>
      <c r="I224" s="40"/>
      <c r="J224" s="40"/>
      <c r="K224" s="40"/>
      <c r="L224" s="40" t="str">
        <f ca="1">IFERROR(__xludf.DUMMYFUNCTION("""COMPUTED_VALUE"""),"NO HA INICIADO ETAPA PRODUCTIVA")</f>
        <v>NO HA INICIADO ETAPA PRODUCTIVA</v>
      </c>
      <c r="M224" s="40"/>
      <c r="N224" s="40"/>
      <c r="O224" s="40"/>
      <c r="P224" s="40"/>
      <c r="Q224" s="40"/>
      <c r="R224" s="140"/>
      <c r="S224" s="1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t="str">
        <f ca="1">IFERROR(__xludf.DUMMYFUNCTION("""COMPUTED_VALUE"""),"Procede_E_P")</f>
        <v>Procede_E_P</v>
      </c>
      <c r="AV224" s="40" t="str">
        <f ca="1">IFERROR(__xludf.DUMMYFUNCTION("""COMPUTED_VALUE"""),"EN FORMACION")</f>
        <v>EN FORMACION</v>
      </c>
      <c r="AW224" s="40" t="str">
        <f ca="1">IFERROR(__xludf.DUMMYFUNCTION("""COMPUTED_VALUE"""),"BIOCONSTRUCCION")</f>
        <v>BIOCONSTRUCCION</v>
      </c>
      <c r="AX224" s="141">
        <f ca="1">IFERROR(__xludf.DUMMYFUNCTION("""COMPUTED_VALUE"""),44848)</f>
        <v>44848</v>
      </c>
      <c r="AY224" s="40">
        <f ca="1">IFERROR(__xludf.DUMMYFUNCTION("""COMPUTED_VALUE"""),0)</f>
        <v>0</v>
      </c>
      <c r="AZ224" s="40">
        <f ca="1">IFERROR(__xludf.DUMMYFUNCTION("""COMPUTED_VALUE"""),1)</f>
        <v>1</v>
      </c>
      <c r="BA224" s="40">
        <f ca="1">IFERROR(__xludf.DUMMYFUNCTION("""COMPUTED_VALUE"""),0)</f>
        <v>0</v>
      </c>
      <c r="BB224" s="40">
        <f ca="1">IFERROR(__xludf.DUMMYFUNCTION("""COMPUTED_VALUE"""),0)</f>
        <v>0</v>
      </c>
      <c r="BC224" s="40">
        <f ca="1">IFERROR(__xludf.DUMMYFUNCTION("""COMPUTED_VALUE"""),1)</f>
        <v>1</v>
      </c>
      <c r="BD224" s="141">
        <f ca="1">IFERROR(__xludf.DUMMYFUNCTION("""COMPUTED_VALUE"""),43801)</f>
        <v>43801</v>
      </c>
      <c r="BE224" s="141">
        <f ca="1">IFERROR(__xludf.DUMMYFUNCTION("""COMPUTED_VALUE"""),44105)</f>
        <v>44105</v>
      </c>
      <c r="BF224" s="141">
        <f ca="1">IFERROR(__xludf.DUMMYFUNCTION("""COMPUTED_VALUE"""),44287)</f>
        <v>44287</v>
      </c>
      <c r="BG224" s="141">
        <f ca="1">IFERROR(__xludf.DUMMYFUNCTION("""COMPUTED_VALUE"""),44835)</f>
        <v>44835</v>
      </c>
      <c r="BH224" s="40" t="str">
        <f ca="1">IFERROR(__xludf.DUMMYFUNCTION("""COMPUTED_VALUE"""),"FINALIZAR FICHA")</f>
        <v>FINALIZAR FICHA</v>
      </c>
      <c r="BI224" s="40" t="str">
        <f ca="1">IFERROR(__xludf.DUMMYFUNCTION("""COMPUTED_VALUE"""),"Terminada por fecha")</f>
        <v>Terminada por fecha</v>
      </c>
      <c r="BJ224" s="40" t="str">
        <f ca="1">IFERROR(__xludf.DUMMYFUNCTION("""COMPUTED_VALUE"""),"Yamboro")</f>
        <v>Yamboro</v>
      </c>
      <c r="BK224" s="40"/>
      <c r="BL224" s="40"/>
    </row>
    <row r="225" spans="1:64" ht="13">
      <c r="A225" s="40"/>
      <c r="B225" s="40" t="str">
        <f ca="1">IFERROR(__xludf.DUMMYFUNCTION("""COMPUTED_VALUE"""),"FORMACIÓN 18/10/2022")</f>
        <v>FORMACIÓN 18/10/2022</v>
      </c>
      <c r="C225" s="40" t="str">
        <f ca="1">IFERROR(__xludf.DUMMYFUNCTION("""COMPUTED_VALUE"""),"EMIRO GASCA VALENCIA")</f>
        <v>EMIRO GASCA VALENCIA</v>
      </c>
      <c r="D225" s="40" t="str">
        <f ca="1">IFERROR(__xludf.DUMMYFUNCTION("""COMPUTED_VALUE"""),"CC")</f>
        <v>CC</v>
      </c>
      <c r="E225" s="40">
        <f ca="1">IFERROR(__xludf.DUMMYFUNCTION("""COMPUTED_VALUE"""),16189172)</f>
        <v>16189172</v>
      </c>
      <c r="F225" s="40">
        <f ca="1">IFERROR(__xludf.DUMMYFUNCTION("""COMPUTED_VALUE"""),2055235)</f>
        <v>2055235</v>
      </c>
      <c r="G225" s="40" t="str">
        <f ca="1">IFERROR(__xludf.DUMMYFUNCTION("""COMPUTED_VALUE"""),"TÉCNICO")</f>
        <v>TÉCNICO</v>
      </c>
      <c r="H225" s="40" t="str">
        <f ca="1">IFERROR(__xludf.DUMMYFUNCTION("""COMPUTED_VALUE"""),"INSTALACIONES ELECTRICAS RESIDENCIALES")</f>
        <v>INSTALACIONES ELECTRICAS RESIDENCIALES</v>
      </c>
      <c r="I225" s="40"/>
      <c r="J225" s="40"/>
      <c r="K225" s="40"/>
      <c r="L225" s="40" t="str">
        <f ca="1">IFERROR(__xludf.DUMMYFUNCTION("""COMPUTED_VALUE"""),"NO HA INICIADO ETAPA PRODUCTIVA")</f>
        <v>NO HA INICIADO ETAPA PRODUCTIVA</v>
      </c>
      <c r="M225" s="40"/>
      <c r="N225" s="40"/>
      <c r="O225" s="40"/>
      <c r="P225" s="40"/>
      <c r="Q225" s="40"/>
      <c r="R225" s="140"/>
      <c r="S225" s="1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t="str">
        <f ca="1">IFERROR(__xludf.DUMMYFUNCTION("""COMPUTED_VALUE"""),"Procede_E_P")</f>
        <v>Procede_E_P</v>
      </c>
      <c r="AV225" s="40" t="str">
        <f ca="1">IFERROR(__xludf.DUMMYFUNCTION("""COMPUTED_VALUE"""),"EN FORMACION")</f>
        <v>EN FORMACION</v>
      </c>
      <c r="AW225" s="40" t="str">
        <f ca="1">IFERROR(__xludf.DUMMYFUNCTION("""COMPUTED_VALUE"""),"BIOCONSTRUCCION")</f>
        <v>BIOCONSTRUCCION</v>
      </c>
      <c r="AX225" s="141">
        <f ca="1">IFERROR(__xludf.DUMMYFUNCTION("""COMPUTED_VALUE"""),44848)</f>
        <v>44848</v>
      </c>
      <c r="AY225" s="40">
        <f ca="1">IFERROR(__xludf.DUMMYFUNCTION("""COMPUTED_VALUE"""),0)</f>
        <v>0</v>
      </c>
      <c r="AZ225" s="40">
        <f ca="1">IFERROR(__xludf.DUMMYFUNCTION("""COMPUTED_VALUE"""),1)</f>
        <v>1</v>
      </c>
      <c r="BA225" s="40">
        <f ca="1">IFERROR(__xludf.DUMMYFUNCTION("""COMPUTED_VALUE"""),0)</f>
        <v>0</v>
      </c>
      <c r="BB225" s="40">
        <f ca="1">IFERROR(__xludf.DUMMYFUNCTION("""COMPUTED_VALUE"""),0)</f>
        <v>0</v>
      </c>
      <c r="BC225" s="40">
        <f ca="1">IFERROR(__xludf.DUMMYFUNCTION("""COMPUTED_VALUE"""),1)</f>
        <v>1</v>
      </c>
      <c r="BD225" s="141">
        <f ca="1">IFERROR(__xludf.DUMMYFUNCTION("""COMPUTED_VALUE"""),43801)</f>
        <v>43801</v>
      </c>
      <c r="BE225" s="141">
        <f ca="1">IFERROR(__xludf.DUMMYFUNCTION("""COMPUTED_VALUE"""),44105)</f>
        <v>44105</v>
      </c>
      <c r="BF225" s="141">
        <f ca="1">IFERROR(__xludf.DUMMYFUNCTION("""COMPUTED_VALUE"""),44287)</f>
        <v>44287</v>
      </c>
      <c r="BG225" s="141">
        <f ca="1">IFERROR(__xludf.DUMMYFUNCTION("""COMPUTED_VALUE"""),44835)</f>
        <v>44835</v>
      </c>
      <c r="BH225" s="40" t="str">
        <f ca="1">IFERROR(__xludf.DUMMYFUNCTION("""COMPUTED_VALUE"""),"FINALIZAR FICHA")</f>
        <v>FINALIZAR FICHA</v>
      </c>
      <c r="BI225" s="40" t="str">
        <f ca="1">IFERROR(__xludf.DUMMYFUNCTION("""COMPUTED_VALUE"""),"Terminada por fecha")</f>
        <v>Terminada por fecha</v>
      </c>
      <c r="BJ225" s="40" t="str">
        <f ca="1">IFERROR(__xludf.DUMMYFUNCTION("""COMPUTED_VALUE"""),"Yamboro")</f>
        <v>Yamboro</v>
      </c>
      <c r="BK225" s="40"/>
      <c r="BL225" s="40"/>
    </row>
    <row r="226" spans="1:64" ht="13">
      <c r="A226" s="40"/>
      <c r="B226" s="40" t="str">
        <f ca="1">IFERROR(__xludf.DUMMYFUNCTION("""COMPUTED_VALUE"""),"FORMACIÓN 18/10/2022")</f>
        <v>FORMACIÓN 18/10/2022</v>
      </c>
      <c r="C226" s="40" t="str">
        <f ca="1">IFERROR(__xludf.DUMMYFUNCTION("""COMPUTED_VALUE"""),"ARLLENSON NIEVA CUADROS")</f>
        <v>ARLLENSON NIEVA CUADROS</v>
      </c>
      <c r="D226" s="40" t="str">
        <f ca="1">IFERROR(__xludf.DUMMYFUNCTION("""COMPUTED_VALUE"""),"CC")</f>
        <v>CC</v>
      </c>
      <c r="E226" s="40">
        <f ca="1">IFERROR(__xludf.DUMMYFUNCTION("""COMPUTED_VALUE"""),16931369)</f>
        <v>16931369</v>
      </c>
      <c r="F226" s="40">
        <f ca="1">IFERROR(__xludf.DUMMYFUNCTION("""COMPUTED_VALUE"""),2055235)</f>
        <v>2055235</v>
      </c>
      <c r="G226" s="40" t="str">
        <f ca="1">IFERROR(__xludf.DUMMYFUNCTION("""COMPUTED_VALUE"""),"TÉCNICO")</f>
        <v>TÉCNICO</v>
      </c>
      <c r="H226" s="40" t="str">
        <f ca="1">IFERROR(__xludf.DUMMYFUNCTION("""COMPUTED_VALUE"""),"INSTALACIONES ELECTRICAS RESIDENCIALES")</f>
        <v>INSTALACIONES ELECTRICAS RESIDENCIALES</v>
      </c>
      <c r="I226" s="40"/>
      <c r="J226" s="40"/>
      <c r="K226" s="40"/>
      <c r="L226" s="40" t="str">
        <f ca="1">IFERROR(__xludf.DUMMYFUNCTION("""COMPUTED_VALUE"""),"NO HA INICIADO ETAPA PRODUCTIVA")</f>
        <v>NO HA INICIADO ETAPA PRODUCTIVA</v>
      </c>
      <c r="M226" s="40"/>
      <c r="N226" s="40"/>
      <c r="O226" s="40"/>
      <c r="P226" s="40"/>
      <c r="Q226" s="40"/>
      <c r="R226" s="140"/>
      <c r="S226" s="1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t="str">
        <f ca="1">IFERROR(__xludf.DUMMYFUNCTION("""COMPUTED_VALUE"""),"NO_CUMPLE")</f>
        <v>NO_CUMPLE</v>
      </c>
      <c r="AV226" s="40" t="str">
        <f ca="1">IFERROR(__xludf.DUMMYFUNCTION("""COMPUTED_VALUE"""),"EN FORMACION")</f>
        <v>EN FORMACION</v>
      </c>
      <c r="AW226" s="40" t="str">
        <f ca="1">IFERROR(__xludf.DUMMYFUNCTION("""COMPUTED_VALUE"""),"BIOCONSTRUCCION")</f>
        <v>BIOCONSTRUCCION</v>
      </c>
      <c r="AX226" s="141">
        <f ca="1">IFERROR(__xludf.DUMMYFUNCTION("""COMPUTED_VALUE"""),44848)</f>
        <v>44848</v>
      </c>
      <c r="AY226" s="40">
        <f ca="1">IFERROR(__xludf.DUMMYFUNCTION("""COMPUTED_VALUE"""),1)</f>
        <v>1</v>
      </c>
      <c r="AZ226" s="40">
        <f ca="1">IFERROR(__xludf.DUMMYFUNCTION("""COMPUTED_VALUE"""),1)</f>
        <v>1</v>
      </c>
      <c r="BA226" s="40">
        <f ca="1">IFERROR(__xludf.DUMMYFUNCTION("""COMPUTED_VALUE"""),0)</f>
        <v>0</v>
      </c>
      <c r="BB226" s="40">
        <f ca="1">IFERROR(__xludf.DUMMYFUNCTION("""COMPUTED_VALUE"""),0)</f>
        <v>0</v>
      </c>
      <c r="BC226" s="40">
        <f ca="1">IFERROR(__xludf.DUMMYFUNCTION("""COMPUTED_VALUE"""),2)</f>
        <v>2</v>
      </c>
      <c r="BD226" s="141">
        <f ca="1">IFERROR(__xludf.DUMMYFUNCTION("""COMPUTED_VALUE"""),43801)</f>
        <v>43801</v>
      </c>
      <c r="BE226" s="141">
        <f ca="1">IFERROR(__xludf.DUMMYFUNCTION("""COMPUTED_VALUE"""),44105)</f>
        <v>44105</v>
      </c>
      <c r="BF226" s="141">
        <f ca="1">IFERROR(__xludf.DUMMYFUNCTION("""COMPUTED_VALUE"""),44287)</f>
        <v>44287</v>
      </c>
      <c r="BG226" s="141">
        <f ca="1">IFERROR(__xludf.DUMMYFUNCTION("""COMPUTED_VALUE"""),44835)</f>
        <v>44835</v>
      </c>
      <c r="BH226" s="40" t="str">
        <f ca="1">IFERROR(__xludf.DUMMYFUNCTION("""COMPUTED_VALUE"""),"FINALIZAR FICHA")</f>
        <v>FINALIZAR FICHA</v>
      </c>
      <c r="BI226" s="40" t="str">
        <f ca="1">IFERROR(__xludf.DUMMYFUNCTION("""COMPUTED_VALUE"""),"Terminada por fecha")</f>
        <v>Terminada por fecha</v>
      </c>
      <c r="BJ226" s="40" t="str">
        <f ca="1">IFERROR(__xludf.DUMMYFUNCTION("""COMPUTED_VALUE"""),"Yamboro")</f>
        <v>Yamboro</v>
      </c>
      <c r="BK226" s="40"/>
      <c r="BL226" s="40"/>
    </row>
    <row r="227" spans="1:64" ht="13">
      <c r="A227" s="40"/>
      <c r="B227" s="40" t="str">
        <f ca="1">IFERROR(__xludf.DUMMYFUNCTION("""COMPUTED_VALUE"""),"FORMACIÓN 18/10/2022")</f>
        <v>FORMACIÓN 18/10/2022</v>
      </c>
      <c r="C227" s="40" t="str">
        <f ca="1">IFERROR(__xludf.DUMMYFUNCTION("""COMPUTED_VALUE"""),"CESAR AUGUSTO BUITRAGO MARTINEZ")</f>
        <v>CESAR AUGUSTO BUITRAGO MARTINEZ</v>
      </c>
      <c r="D227" s="40" t="str">
        <f ca="1">IFERROR(__xludf.DUMMYFUNCTION("""COMPUTED_VALUE"""),"CC")</f>
        <v>CC</v>
      </c>
      <c r="E227" s="40">
        <f ca="1">IFERROR(__xludf.DUMMYFUNCTION("""COMPUTED_VALUE"""),3121571)</f>
        <v>3121571</v>
      </c>
      <c r="F227" s="40">
        <f ca="1">IFERROR(__xludf.DUMMYFUNCTION("""COMPUTED_VALUE"""),2055235)</f>
        <v>2055235</v>
      </c>
      <c r="G227" s="40" t="str">
        <f ca="1">IFERROR(__xludf.DUMMYFUNCTION("""COMPUTED_VALUE"""),"TÉCNICO")</f>
        <v>TÉCNICO</v>
      </c>
      <c r="H227" s="40" t="str">
        <f ca="1">IFERROR(__xludf.DUMMYFUNCTION("""COMPUTED_VALUE"""),"INSTALACIONES ELECTRICAS RESIDENCIALES")</f>
        <v>INSTALACIONES ELECTRICAS RESIDENCIALES</v>
      </c>
      <c r="I227" s="40"/>
      <c r="J227" s="40"/>
      <c r="K227" s="40"/>
      <c r="L227" s="40" t="str">
        <f ca="1">IFERROR(__xludf.DUMMYFUNCTION("""COMPUTED_VALUE"""),"NO HA INICIADO ETAPA PRODUCTIVA")</f>
        <v>NO HA INICIADO ETAPA PRODUCTIVA</v>
      </c>
      <c r="M227" s="40"/>
      <c r="N227" s="40"/>
      <c r="O227" s="40"/>
      <c r="P227" s="40"/>
      <c r="Q227" s="40"/>
      <c r="R227" s="140"/>
      <c r="S227" s="1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t="str">
        <f ca="1">IFERROR(__xludf.DUMMYFUNCTION("""COMPUTED_VALUE"""),"NO_CUMPLE")</f>
        <v>NO_CUMPLE</v>
      </c>
      <c r="AV227" s="40" t="str">
        <f ca="1">IFERROR(__xludf.DUMMYFUNCTION("""COMPUTED_VALUE"""),"EN FORMACION")</f>
        <v>EN FORMACION</v>
      </c>
      <c r="AW227" s="40" t="str">
        <f ca="1">IFERROR(__xludf.DUMMYFUNCTION("""COMPUTED_VALUE"""),"BIOCONSTRUCCION")</f>
        <v>BIOCONSTRUCCION</v>
      </c>
      <c r="AX227" s="141">
        <f ca="1">IFERROR(__xludf.DUMMYFUNCTION("""COMPUTED_VALUE"""),44848)</f>
        <v>44848</v>
      </c>
      <c r="AY227" s="40">
        <f ca="1">IFERROR(__xludf.DUMMYFUNCTION("""COMPUTED_VALUE"""),1)</f>
        <v>1</v>
      </c>
      <c r="AZ227" s="40">
        <f ca="1">IFERROR(__xludf.DUMMYFUNCTION("""COMPUTED_VALUE"""),1)</f>
        <v>1</v>
      </c>
      <c r="BA227" s="40">
        <f ca="1">IFERROR(__xludf.DUMMYFUNCTION("""COMPUTED_VALUE"""),7)</f>
        <v>7</v>
      </c>
      <c r="BB227" s="40">
        <f ca="1">IFERROR(__xludf.DUMMYFUNCTION("""COMPUTED_VALUE"""),3)</f>
        <v>3</v>
      </c>
      <c r="BC227" s="40">
        <f ca="1">IFERROR(__xludf.DUMMYFUNCTION("""COMPUTED_VALUE"""),12)</f>
        <v>12</v>
      </c>
      <c r="BD227" s="141">
        <f ca="1">IFERROR(__xludf.DUMMYFUNCTION("""COMPUTED_VALUE"""),43801)</f>
        <v>43801</v>
      </c>
      <c r="BE227" s="141">
        <f ca="1">IFERROR(__xludf.DUMMYFUNCTION("""COMPUTED_VALUE"""),44105)</f>
        <v>44105</v>
      </c>
      <c r="BF227" s="141">
        <f ca="1">IFERROR(__xludf.DUMMYFUNCTION("""COMPUTED_VALUE"""),44287)</f>
        <v>44287</v>
      </c>
      <c r="BG227" s="141">
        <f ca="1">IFERROR(__xludf.DUMMYFUNCTION("""COMPUTED_VALUE"""),44835)</f>
        <v>44835</v>
      </c>
      <c r="BH227" s="40" t="str">
        <f ca="1">IFERROR(__xludf.DUMMYFUNCTION("""COMPUTED_VALUE"""),"FINALIZAR FICHA")</f>
        <v>FINALIZAR FICHA</v>
      </c>
      <c r="BI227" s="40" t="str">
        <f ca="1">IFERROR(__xludf.DUMMYFUNCTION("""COMPUTED_VALUE"""),"Terminada por fecha")</f>
        <v>Terminada por fecha</v>
      </c>
      <c r="BJ227" s="40" t="str">
        <f ca="1">IFERROR(__xludf.DUMMYFUNCTION("""COMPUTED_VALUE"""),"Yamboro")</f>
        <v>Yamboro</v>
      </c>
      <c r="BK227" s="40"/>
      <c r="BL227" s="40"/>
    </row>
    <row r="228" spans="1:64" ht="13">
      <c r="A228" s="40"/>
      <c r="B228" s="40" t="str">
        <f ca="1">IFERROR(__xludf.DUMMYFUNCTION("""COMPUTED_VALUE"""),"FORMACIÓN 18/10/2022")</f>
        <v>FORMACIÓN 18/10/2022</v>
      </c>
      <c r="C228" s="40" t="str">
        <f ca="1">IFERROR(__xludf.DUMMYFUNCTION("""COMPUTED_VALUE"""),"JAIRO ALONSO GUZMAN RAMIREZ")</f>
        <v>JAIRO ALONSO GUZMAN RAMIREZ</v>
      </c>
      <c r="D228" s="40" t="str">
        <f ca="1">IFERROR(__xludf.DUMMYFUNCTION("""COMPUTED_VALUE"""),"CC")</f>
        <v>CC</v>
      </c>
      <c r="E228" s="40">
        <f ca="1">IFERROR(__xludf.DUMMYFUNCTION("""COMPUTED_VALUE"""),5828603)</f>
        <v>5828603</v>
      </c>
      <c r="F228" s="40">
        <f ca="1">IFERROR(__xludf.DUMMYFUNCTION("""COMPUTED_VALUE"""),2055235)</f>
        <v>2055235</v>
      </c>
      <c r="G228" s="40" t="str">
        <f ca="1">IFERROR(__xludf.DUMMYFUNCTION("""COMPUTED_VALUE"""),"TÉCNICO")</f>
        <v>TÉCNICO</v>
      </c>
      <c r="H228" s="40" t="str">
        <f ca="1">IFERROR(__xludf.DUMMYFUNCTION("""COMPUTED_VALUE"""),"INSTALACIONES ELECTRICAS RESIDENCIALES")</f>
        <v>INSTALACIONES ELECTRICAS RESIDENCIALES</v>
      </c>
      <c r="I228" s="40"/>
      <c r="J228" s="40"/>
      <c r="K228" s="40"/>
      <c r="L228" s="40" t="str">
        <f ca="1">IFERROR(__xludf.DUMMYFUNCTION("""COMPUTED_VALUE"""),"NO HA INICIADO ETAPA PRODUCTIVA")</f>
        <v>NO HA INICIADO ETAPA PRODUCTIVA</v>
      </c>
      <c r="M228" s="40"/>
      <c r="N228" s="40"/>
      <c r="O228" s="40"/>
      <c r="P228" s="40"/>
      <c r="Q228" s="40"/>
      <c r="R228" s="140"/>
      <c r="S228" s="1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t="str">
        <f ca="1">IFERROR(__xludf.DUMMYFUNCTION("""COMPUTED_VALUE"""),"Procede_E_P")</f>
        <v>Procede_E_P</v>
      </c>
      <c r="AV228" s="40" t="str">
        <f ca="1">IFERROR(__xludf.DUMMYFUNCTION("""COMPUTED_VALUE"""),"EN FORMACION")</f>
        <v>EN FORMACION</v>
      </c>
      <c r="AW228" s="40" t="str">
        <f ca="1">IFERROR(__xludf.DUMMYFUNCTION("""COMPUTED_VALUE"""),"BIOCONSTRUCCION")</f>
        <v>BIOCONSTRUCCION</v>
      </c>
      <c r="AX228" s="141">
        <f ca="1">IFERROR(__xludf.DUMMYFUNCTION("""COMPUTED_VALUE"""),44848)</f>
        <v>44848</v>
      </c>
      <c r="AY228" s="40">
        <f ca="1">IFERROR(__xludf.DUMMYFUNCTION("""COMPUTED_VALUE"""),0)</f>
        <v>0</v>
      </c>
      <c r="AZ228" s="40">
        <f ca="1">IFERROR(__xludf.DUMMYFUNCTION("""COMPUTED_VALUE"""),1)</f>
        <v>1</v>
      </c>
      <c r="BA228" s="40">
        <f ca="1">IFERROR(__xludf.DUMMYFUNCTION("""COMPUTED_VALUE"""),0)</f>
        <v>0</v>
      </c>
      <c r="BB228" s="40">
        <f ca="1">IFERROR(__xludf.DUMMYFUNCTION("""COMPUTED_VALUE"""),0)</f>
        <v>0</v>
      </c>
      <c r="BC228" s="40">
        <f ca="1">IFERROR(__xludf.DUMMYFUNCTION("""COMPUTED_VALUE"""),1)</f>
        <v>1</v>
      </c>
      <c r="BD228" s="141">
        <f ca="1">IFERROR(__xludf.DUMMYFUNCTION("""COMPUTED_VALUE"""),43801)</f>
        <v>43801</v>
      </c>
      <c r="BE228" s="141">
        <f ca="1">IFERROR(__xludf.DUMMYFUNCTION("""COMPUTED_VALUE"""),44105)</f>
        <v>44105</v>
      </c>
      <c r="BF228" s="141">
        <f ca="1">IFERROR(__xludf.DUMMYFUNCTION("""COMPUTED_VALUE"""),44287)</f>
        <v>44287</v>
      </c>
      <c r="BG228" s="141">
        <f ca="1">IFERROR(__xludf.DUMMYFUNCTION("""COMPUTED_VALUE"""),44835)</f>
        <v>44835</v>
      </c>
      <c r="BH228" s="40" t="str">
        <f ca="1">IFERROR(__xludf.DUMMYFUNCTION("""COMPUTED_VALUE"""),"FINALIZAR FICHA")</f>
        <v>FINALIZAR FICHA</v>
      </c>
      <c r="BI228" s="40" t="str">
        <f ca="1">IFERROR(__xludf.DUMMYFUNCTION("""COMPUTED_VALUE"""),"Terminada por fecha")</f>
        <v>Terminada por fecha</v>
      </c>
      <c r="BJ228" s="40" t="str">
        <f ca="1">IFERROR(__xludf.DUMMYFUNCTION("""COMPUTED_VALUE"""),"Yamboro")</f>
        <v>Yamboro</v>
      </c>
      <c r="BK228" s="40"/>
      <c r="BL228" s="40"/>
    </row>
    <row r="229" spans="1:64" ht="13">
      <c r="A229" s="40"/>
      <c r="B229" s="40" t="str">
        <f ca="1">IFERROR(__xludf.DUMMYFUNCTION("""COMPUTED_VALUE"""),"FORMACIÓN 18/10/2022")</f>
        <v>FORMACIÓN 18/10/2022</v>
      </c>
      <c r="C229" s="40" t="str">
        <f ca="1">IFERROR(__xludf.DUMMYFUNCTION("""COMPUTED_VALUE"""),"ERDIN RODRIGUEZ ORTIZ")</f>
        <v>ERDIN RODRIGUEZ ORTIZ</v>
      </c>
      <c r="D229" s="40" t="str">
        <f ca="1">IFERROR(__xludf.DUMMYFUNCTION("""COMPUTED_VALUE"""),"CC")</f>
        <v>CC</v>
      </c>
      <c r="E229" s="40">
        <f ca="1">IFERROR(__xludf.DUMMYFUNCTION("""COMPUTED_VALUE"""),7709924)</f>
        <v>7709924</v>
      </c>
      <c r="F229" s="40">
        <f ca="1">IFERROR(__xludf.DUMMYFUNCTION("""COMPUTED_VALUE"""),2055235)</f>
        <v>2055235</v>
      </c>
      <c r="G229" s="40" t="str">
        <f ca="1">IFERROR(__xludf.DUMMYFUNCTION("""COMPUTED_VALUE"""),"TÉCNICO")</f>
        <v>TÉCNICO</v>
      </c>
      <c r="H229" s="40" t="str">
        <f ca="1">IFERROR(__xludf.DUMMYFUNCTION("""COMPUTED_VALUE"""),"INSTALACIONES ELECTRICAS RESIDENCIALES")</f>
        <v>INSTALACIONES ELECTRICAS RESIDENCIALES</v>
      </c>
      <c r="I229" s="40"/>
      <c r="J229" s="40"/>
      <c r="K229" s="40"/>
      <c r="L229" s="40" t="str">
        <f ca="1">IFERROR(__xludf.DUMMYFUNCTION("""COMPUTED_VALUE"""),"NO HA INICIADO ETAPA PRODUCTIVA")</f>
        <v>NO HA INICIADO ETAPA PRODUCTIVA</v>
      </c>
      <c r="M229" s="40"/>
      <c r="N229" s="40"/>
      <c r="O229" s="40"/>
      <c r="P229" s="40"/>
      <c r="Q229" s="40"/>
      <c r="R229" s="140"/>
      <c r="S229" s="1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t="str">
        <f ca="1">IFERROR(__xludf.DUMMYFUNCTION("""COMPUTED_VALUE"""),"NO_CUMPLE")</f>
        <v>NO_CUMPLE</v>
      </c>
      <c r="AV229" s="40" t="str">
        <f ca="1">IFERROR(__xludf.DUMMYFUNCTION("""COMPUTED_VALUE"""),"EN FORMACION")</f>
        <v>EN FORMACION</v>
      </c>
      <c r="AW229" s="40" t="str">
        <f ca="1">IFERROR(__xludf.DUMMYFUNCTION("""COMPUTED_VALUE"""),"BIOCONSTRUCCION")</f>
        <v>BIOCONSTRUCCION</v>
      </c>
      <c r="AX229" s="141">
        <f ca="1">IFERROR(__xludf.DUMMYFUNCTION("""COMPUTED_VALUE"""),44848)</f>
        <v>44848</v>
      </c>
      <c r="AY229" s="40">
        <f ca="1">IFERROR(__xludf.DUMMYFUNCTION("""COMPUTED_VALUE"""),1)</f>
        <v>1</v>
      </c>
      <c r="AZ229" s="40">
        <f ca="1">IFERROR(__xludf.DUMMYFUNCTION("""COMPUTED_VALUE"""),1)</f>
        <v>1</v>
      </c>
      <c r="BA229" s="40">
        <f ca="1">IFERROR(__xludf.DUMMYFUNCTION("""COMPUTED_VALUE"""),7)</f>
        <v>7</v>
      </c>
      <c r="BB229" s="40">
        <f ca="1">IFERROR(__xludf.DUMMYFUNCTION("""COMPUTED_VALUE"""),9)</f>
        <v>9</v>
      </c>
      <c r="BC229" s="40">
        <f ca="1">IFERROR(__xludf.DUMMYFUNCTION("""COMPUTED_VALUE"""),18)</f>
        <v>18</v>
      </c>
      <c r="BD229" s="141">
        <f ca="1">IFERROR(__xludf.DUMMYFUNCTION("""COMPUTED_VALUE"""),43801)</f>
        <v>43801</v>
      </c>
      <c r="BE229" s="141">
        <f ca="1">IFERROR(__xludf.DUMMYFUNCTION("""COMPUTED_VALUE"""),44105)</f>
        <v>44105</v>
      </c>
      <c r="BF229" s="141">
        <f ca="1">IFERROR(__xludf.DUMMYFUNCTION("""COMPUTED_VALUE"""),44287)</f>
        <v>44287</v>
      </c>
      <c r="BG229" s="141">
        <f ca="1">IFERROR(__xludf.DUMMYFUNCTION("""COMPUTED_VALUE"""),44835)</f>
        <v>44835</v>
      </c>
      <c r="BH229" s="40" t="str">
        <f ca="1">IFERROR(__xludf.DUMMYFUNCTION("""COMPUTED_VALUE"""),"FINALIZAR FICHA")</f>
        <v>FINALIZAR FICHA</v>
      </c>
      <c r="BI229" s="40" t="str">
        <f ca="1">IFERROR(__xludf.DUMMYFUNCTION("""COMPUTED_VALUE"""),"Terminada por fecha")</f>
        <v>Terminada por fecha</v>
      </c>
      <c r="BJ229" s="40" t="str">
        <f ca="1">IFERROR(__xludf.DUMMYFUNCTION("""COMPUTED_VALUE"""),"Yamboro")</f>
        <v>Yamboro</v>
      </c>
      <c r="BK229" s="40"/>
      <c r="BL229" s="40"/>
    </row>
    <row r="230" spans="1:64" ht="13">
      <c r="A230" s="40"/>
      <c r="B230" s="40" t="str">
        <f ca="1">IFERROR(__xludf.DUMMYFUNCTION("""COMPUTED_VALUE"""),"FORMACIÓN 18/10/2022")</f>
        <v>FORMACIÓN 18/10/2022</v>
      </c>
      <c r="C230" s="40" t="str">
        <f ca="1">IFERROR(__xludf.DUMMYFUNCTION("""COMPUTED_VALUE"""),"ORANGEL TOLEDO PIMENTEL")</f>
        <v>ORANGEL TOLEDO PIMENTEL</v>
      </c>
      <c r="D230" s="40" t="str">
        <f ca="1">IFERROR(__xludf.DUMMYFUNCTION("""COMPUTED_VALUE"""),"CC")</f>
        <v>CC</v>
      </c>
      <c r="E230" s="40">
        <f ca="1">IFERROR(__xludf.DUMMYFUNCTION("""COMPUTED_VALUE"""),7713992)</f>
        <v>7713992</v>
      </c>
      <c r="F230" s="40">
        <f ca="1">IFERROR(__xludf.DUMMYFUNCTION("""COMPUTED_VALUE"""),2055235)</f>
        <v>2055235</v>
      </c>
      <c r="G230" s="40" t="str">
        <f ca="1">IFERROR(__xludf.DUMMYFUNCTION("""COMPUTED_VALUE"""),"TÉCNICO")</f>
        <v>TÉCNICO</v>
      </c>
      <c r="H230" s="40" t="str">
        <f ca="1">IFERROR(__xludf.DUMMYFUNCTION("""COMPUTED_VALUE"""),"INSTALACIONES ELECTRICAS RESIDENCIALES")</f>
        <v>INSTALACIONES ELECTRICAS RESIDENCIALES</v>
      </c>
      <c r="I230" s="40"/>
      <c r="J230" s="40"/>
      <c r="K230" s="40"/>
      <c r="L230" s="40" t="str">
        <f ca="1">IFERROR(__xludf.DUMMYFUNCTION("""COMPUTED_VALUE"""),"NO HA INICIADO ETAPA PRODUCTIVA")</f>
        <v>NO HA INICIADO ETAPA PRODUCTIVA</v>
      </c>
      <c r="M230" s="40"/>
      <c r="N230" s="40"/>
      <c r="O230" s="40"/>
      <c r="P230" s="40"/>
      <c r="Q230" s="40"/>
      <c r="R230" s="140"/>
      <c r="S230" s="1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t="str">
        <f ca="1">IFERROR(__xludf.DUMMYFUNCTION("""COMPUTED_VALUE"""),"Procede_E_P")</f>
        <v>Procede_E_P</v>
      </c>
      <c r="AV230" s="40" t="str">
        <f ca="1">IFERROR(__xludf.DUMMYFUNCTION("""COMPUTED_VALUE"""),"EN FORMACION")</f>
        <v>EN FORMACION</v>
      </c>
      <c r="AW230" s="40" t="str">
        <f ca="1">IFERROR(__xludf.DUMMYFUNCTION("""COMPUTED_VALUE"""),"BIOCONSTRUCCION")</f>
        <v>BIOCONSTRUCCION</v>
      </c>
      <c r="AX230" s="141">
        <f ca="1">IFERROR(__xludf.DUMMYFUNCTION("""COMPUTED_VALUE"""),44848)</f>
        <v>44848</v>
      </c>
      <c r="AY230" s="40">
        <f ca="1">IFERROR(__xludf.DUMMYFUNCTION("""COMPUTED_VALUE"""),0)</f>
        <v>0</v>
      </c>
      <c r="AZ230" s="40">
        <f ca="1">IFERROR(__xludf.DUMMYFUNCTION("""COMPUTED_VALUE"""),1)</f>
        <v>1</v>
      </c>
      <c r="BA230" s="40">
        <f ca="1">IFERROR(__xludf.DUMMYFUNCTION("""COMPUTED_VALUE"""),0)</f>
        <v>0</v>
      </c>
      <c r="BB230" s="40">
        <f ca="1">IFERROR(__xludf.DUMMYFUNCTION("""COMPUTED_VALUE"""),0)</f>
        <v>0</v>
      </c>
      <c r="BC230" s="40">
        <f ca="1">IFERROR(__xludf.DUMMYFUNCTION("""COMPUTED_VALUE"""),1)</f>
        <v>1</v>
      </c>
      <c r="BD230" s="141">
        <f ca="1">IFERROR(__xludf.DUMMYFUNCTION("""COMPUTED_VALUE"""),43801)</f>
        <v>43801</v>
      </c>
      <c r="BE230" s="141">
        <f ca="1">IFERROR(__xludf.DUMMYFUNCTION("""COMPUTED_VALUE"""),44105)</f>
        <v>44105</v>
      </c>
      <c r="BF230" s="141">
        <f ca="1">IFERROR(__xludf.DUMMYFUNCTION("""COMPUTED_VALUE"""),44287)</f>
        <v>44287</v>
      </c>
      <c r="BG230" s="141">
        <f ca="1">IFERROR(__xludf.DUMMYFUNCTION("""COMPUTED_VALUE"""),44835)</f>
        <v>44835</v>
      </c>
      <c r="BH230" s="40" t="str">
        <f ca="1">IFERROR(__xludf.DUMMYFUNCTION("""COMPUTED_VALUE"""),"FINALIZAR FICHA")</f>
        <v>FINALIZAR FICHA</v>
      </c>
      <c r="BI230" s="40" t="str">
        <f ca="1">IFERROR(__xludf.DUMMYFUNCTION("""COMPUTED_VALUE"""),"Terminada por fecha")</f>
        <v>Terminada por fecha</v>
      </c>
      <c r="BJ230" s="40" t="str">
        <f ca="1">IFERROR(__xludf.DUMMYFUNCTION("""COMPUTED_VALUE"""),"Yamboro")</f>
        <v>Yamboro</v>
      </c>
      <c r="BK230" s="40"/>
      <c r="BL230" s="40"/>
    </row>
    <row r="231" spans="1:64" ht="13">
      <c r="A231" s="40"/>
      <c r="B231" s="40" t="str">
        <f ca="1">IFERROR(__xludf.DUMMYFUNCTION("""COMPUTED_VALUE"""),"FORMACIÓN 18/10/2022")</f>
        <v>FORMACIÓN 18/10/2022</v>
      </c>
      <c r="C231" s="40" t="str">
        <f ca="1">IFERROR(__xludf.DUMMYFUNCTION("""COMPUTED_VALUE"""),"IVAN MAURICIO BELTRAN ")</f>
        <v xml:space="preserve">IVAN MAURICIO BELTRAN </v>
      </c>
      <c r="D231" s="40" t="str">
        <f ca="1">IFERROR(__xludf.DUMMYFUNCTION("""COMPUTED_VALUE"""),"CC")</f>
        <v>CC</v>
      </c>
      <c r="E231" s="40">
        <f ca="1">IFERROR(__xludf.DUMMYFUNCTION("""COMPUTED_VALUE"""),80019462)</f>
        <v>80019462</v>
      </c>
      <c r="F231" s="40">
        <f ca="1">IFERROR(__xludf.DUMMYFUNCTION("""COMPUTED_VALUE"""),2055235)</f>
        <v>2055235</v>
      </c>
      <c r="G231" s="40" t="str">
        <f ca="1">IFERROR(__xludf.DUMMYFUNCTION("""COMPUTED_VALUE"""),"TÉCNICO")</f>
        <v>TÉCNICO</v>
      </c>
      <c r="H231" s="40" t="str">
        <f ca="1">IFERROR(__xludf.DUMMYFUNCTION("""COMPUTED_VALUE"""),"INSTALACIONES ELECTRICAS RESIDENCIALES")</f>
        <v>INSTALACIONES ELECTRICAS RESIDENCIALES</v>
      </c>
      <c r="I231" s="40"/>
      <c r="J231" s="40"/>
      <c r="K231" s="40"/>
      <c r="L231" s="40" t="str">
        <f ca="1">IFERROR(__xludf.DUMMYFUNCTION("""COMPUTED_VALUE"""),"NO HA INICIADO ETAPA PRODUCTIVA")</f>
        <v>NO HA INICIADO ETAPA PRODUCTIVA</v>
      </c>
      <c r="M231" s="40"/>
      <c r="N231" s="40"/>
      <c r="O231" s="40"/>
      <c r="P231" s="40"/>
      <c r="Q231" s="40"/>
      <c r="R231" s="140"/>
      <c r="S231" s="1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t="str">
        <f ca="1">IFERROR(__xludf.DUMMYFUNCTION("""COMPUTED_VALUE"""),"Procede_E_P")</f>
        <v>Procede_E_P</v>
      </c>
      <c r="AV231" s="40" t="str">
        <f ca="1">IFERROR(__xludf.DUMMYFUNCTION("""COMPUTED_VALUE"""),"EN FORMACION")</f>
        <v>EN FORMACION</v>
      </c>
      <c r="AW231" s="40" t="str">
        <f ca="1">IFERROR(__xludf.DUMMYFUNCTION("""COMPUTED_VALUE"""),"BIOCONSTRUCCION")</f>
        <v>BIOCONSTRUCCION</v>
      </c>
      <c r="AX231" s="141">
        <f ca="1">IFERROR(__xludf.DUMMYFUNCTION("""COMPUTED_VALUE"""),44848)</f>
        <v>44848</v>
      </c>
      <c r="AY231" s="40">
        <f ca="1">IFERROR(__xludf.DUMMYFUNCTION("""COMPUTED_VALUE"""),0)</f>
        <v>0</v>
      </c>
      <c r="AZ231" s="40">
        <f ca="1">IFERROR(__xludf.DUMMYFUNCTION("""COMPUTED_VALUE"""),1)</f>
        <v>1</v>
      </c>
      <c r="BA231" s="40">
        <f ca="1">IFERROR(__xludf.DUMMYFUNCTION("""COMPUTED_VALUE"""),0)</f>
        <v>0</v>
      </c>
      <c r="BB231" s="40">
        <f ca="1">IFERROR(__xludf.DUMMYFUNCTION("""COMPUTED_VALUE"""),0)</f>
        <v>0</v>
      </c>
      <c r="BC231" s="40">
        <f ca="1">IFERROR(__xludf.DUMMYFUNCTION("""COMPUTED_VALUE"""),1)</f>
        <v>1</v>
      </c>
      <c r="BD231" s="141">
        <f ca="1">IFERROR(__xludf.DUMMYFUNCTION("""COMPUTED_VALUE"""),43801)</f>
        <v>43801</v>
      </c>
      <c r="BE231" s="141">
        <f ca="1">IFERROR(__xludf.DUMMYFUNCTION("""COMPUTED_VALUE"""),44105)</f>
        <v>44105</v>
      </c>
      <c r="BF231" s="141">
        <f ca="1">IFERROR(__xludf.DUMMYFUNCTION("""COMPUTED_VALUE"""),44287)</f>
        <v>44287</v>
      </c>
      <c r="BG231" s="141">
        <f ca="1">IFERROR(__xludf.DUMMYFUNCTION("""COMPUTED_VALUE"""),44835)</f>
        <v>44835</v>
      </c>
      <c r="BH231" s="40" t="str">
        <f ca="1">IFERROR(__xludf.DUMMYFUNCTION("""COMPUTED_VALUE"""),"FINALIZAR FICHA")</f>
        <v>FINALIZAR FICHA</v>
      </c>
      <c r="BI231" s="40" t="str">
        <f ca="1">IFERROR(__xludf.DUMMYFUNCTION("""COMPUTED_VALUE"""),"Terminada por fecha")</f>
        <v>Terminada por fecha</v>
      </c>
      <c r="BJ231" s="40" t="str">
        <f ca="1">IFERROR(__xludf.DUMMYFUNCTION("""COMPUTED_VALUE"""),"Yamboro")</f>
        <v>Yamboro</v>
      </c>
      <c r="BK231" s="40"/>
      <c r="BL231" s="40"/>
    </row>
    <row r="232" spans="1:64" ht="13">
      <c r="A232" s="40"/>
      <c r="B232" s="40" t="str">
        <f ca="1">IFERROR(__xludf.DUMMYFUNCTION("""COMPUTED_VALUE"""),"FORMACIÓN 18/10/2022")</f>
        <v>FORMACIÓN 18/10/2022</v>
      </c>
      <c r="C232" s="40" t="str">
        <f ca="1">IFERROR(__xludf.DUMMYFUNCTION("""COMPUTED_VALUE"""),"SILVERIO GUZMAN HOYOS")</f>
        <v>SILVERIO GUZMAN HOYOS</v>
      </c>
      <c r="D232" s="40" t="str">
        <f ca="1">IFERROR(__xludf.DUMMYFUNCTION("""COMPUTED_VALUE"""),"CC")</f>
        <v>CC</v>
      </c>
      <c r="E232" s="40">
        <f ca="1">IFERROR(__xludf.DUMMYFUNCTION("""COMPUTED_VALUE"""),83029400)</f>
        <v>83029400</v>
      </c>
      <c r="F232" s="40">
        <f ca="1">IFERROR(__xludf.DUMMYFUNCTION("""COMPUTED_VALUE"""),2055235)</f>
        <v>2055235</v>
      </c>
      <c r="G232" s="40" t="str">
        <f ca="1">IFERROR(__xludf.DUMMYFUNCTION("""COMPUTED_VALUE"""),"TÉCNICO")</f>
        <v>TÉCNICO</v>
      </c>
      <c r="H232" s="40" t="str">
        <f ca="1">IFERROR(__xludf.DUMMYFUNCTION("""COMPUTED_VALUE"""),"INSTALACIONES ELECTRICAS RESIDENCIALES")</f>
        <v>INSTALACIONES ELECTRICAS RESIDENCIALES</v>
      </c>
      <c r="I232" s="40"/>
      <c r="J232" s="40"/>
      <c r="K232" s="40"/>
      <c r="L232" s="40" t="str">
        <f ca="1">IFERROR(__xludf.DUMMYFUNCTION("""COMPUTED_VALUE"""),"NO HA INICIADO ETAPA PRODUCTIVA")</f>
        <v>NO HA INICIADO ETAPA PRODUCTIVA</v>
      </c>
      <c r="M232" s="40"/>
      <c r="N232" s="40"/>
      <c r="O232" s="40"/>
      <c r="P232" s="40"/>
      <c r="Q232" s="40"/>
      <c r="R232" s="140"/>
      <c r="S232" s="1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t="str">
        <f ca="1">IFERROR(__xludf.DUMMYFUNCTION("""COMPUTED_VALUE"""),"Procede_E_P")</f>
        <v>Procede_E_P</v>
      </c>
      <c r="AV232" s="40" t="str">
        <f ca="1">IFERROR(__xludf.DUMMYFUNCTION("""COMPUTED_VALUE"""),"EN FORMACION")</f>
        <v>EN FORMACION</v>
      </c>
      <c r="AW232" s="40" t="str">
        <f ca="1">IFERROR(__xludf.DUMMYFUNCTION("""COMPUTED_VALUE"""),"BIOCONSTRUCCION")</f>
        <v>BIOCONSTRUCCION</v>
      </c>
      <c r="AX232" s="141">
        <f ca="1">IFERROR(__xludf.DUMMYFUNCTION("""COMPUTED_VALUE"""),44848)</f>
        <v>44848</v>
      </c>
      <c r="AY232" s="40">
        <f ca="1">IFERROR(__xludf.DUMMYFUNCTION("""COMPUTED_VALUE"""),0)</f>
        <v>0</v>
      </c>
      <c r="AZ232" s="40">
        <f ca="1">IFERROR(__xludf.DUMMYFUNCTION("""COMPUTED_VALUE"""),1)</f>
        <v>1</v>
      </c>
      <c r="BA232" s="40">
        <f ca="1">IFERROR(__xludf.DUMMYFUNCTION("""COMPUTED_VALUE"""),0)</f>
        <v>0</v>
      </c>
      <c r="BB232" s="40">
        <f ca="1">IFERROR(__xludf.DUMMYFUNCTION("""COMPUTED_VALUE"""),0)</f>
        <v>0</v>
      </c>
      <c r="BC232" s="40">
        <f ca="1">IFERROR(__xludf.DUMMYFUNCTION("""COMPUTED_VALUE"""),1)</f>
        <v>1</v>
      </c>
      <c r="BD232" s="141">
        <f ca="1">IFERROR(__xludf.DUMMYFUNCTION("""COMPUTED_VALUE"""),43801)</f>
        <v>43801</v>
      </c>
      <c r="BE232" s="141">
        <f ca="1">IFERROR(__xludf.DUMMYFUNCTION("""COMPUTED_VALUE"""),44105)</f>
        <v>44105</v>
      </c>
      <c r="BF232" s="141">
        <f ca="1">IFERROR(__xludf.DUMMYFUNCTION("""COMPUTED_VALUE"""),44287)</f>
        <v>44287</v>
      </c>
      <c r="BG232" s="141">
        <f ca="1">IFERROR(__xludf.DUMMYFUNCTION("""COMPUTED_VALUE"""),44835)</f>
        <v>44835</v>
      </c>
      <c r="BH232" s="40" t="str">
        <f ca="1">IFERROR(__xludf.DUMMYFUNCTION("""COMPUTED_VALUE"""),"FINALIZAR FICHA")</f>
        <v>FINALIZAR FICHA</v>
      </c>
      <c r="BI232" s="40" t="str">
        <f ca="1">IFERROR(__xludf.DUMMYFUNCTION("""COMPUTED_VALUE"""),"Terminada por fecha")</f>
        <v>Terminada por fecha</v>
      </c>
      <c r="BJ232" s="40" t="str">
        <f ca="1">IFERROR(__xludf.DUMMYFUNCTION("""COMPUTED_VALUE"""),"Yamboro")</f>
        <v>Yamboro</v>
      </c>
      <c r="BK232" s="40"/>
      <c r="BL232" s="40"/>
    </row>
    <row r="233" spans="1:64" ht="13">
      <c r="A233" s="40"/>
      <c r="B233" s="40" t="str">
        <f ca="1">IFERROR(__xludf.DUMMYFUNCTION("""COMPUTED_VALUE"""),"FORMACIÓN 18/10/2022")</f>
        <v>FORMACIÓN 18/10/2022</v>
      </c>
      <c r="C233" s="40" t="str">
        <f ca="1">IFERROR(__xludf.DUMMYFUNCTION("""COMPUTED_VALUE"""),"FAIBER JAIR ORTIZ SAENZ")</f>
        <v>FAIBER JAIR ORTIZ SAENZ</v>
      </c>
      <c r="D233" s="40" t="str">
        <f ca="1">IFERROR(__xludf.DUMMYFUNCTION("""COMPUTED_VALUE"""),"CC")</f>
        <v>CC</v>
      </c>
      <c r="E233" s="40">
        <f ca="1">IFERROR(__xludf.DUMMYFUNCTION("""COMPUTED_VALUE"""),83040624)</f>
        <v>83040624</v>
      </c>
      <c r="F233" s="40">
        <f ca="1">IFERROR(__xludf.DUMMYFUNCTION("""COMPUTED_VALUE"""),2055235)</f>
        <v>2055235</v>
      </c>
      <c r="G233" s="40" t="str">
        <f ca="1">IFERROR(__xludf.DUMMYFUNCTION("""COMPUTED_VALUE"""),"TÉCNICO")</f>
        <v>TÉCNICO</v>
      </c>
      <c r="H233" s="40" t="str">
        <f ca="1">IFERROR(__xludf.DUMMYFUNCTION("""COMPUTED_VALUE"""),"INSTALACIONES ELECTRICAS RESIDENCIALES")</f>
        <v>INSTALACIONES ELECTRICAS RESIDENCIALES</v>
      </c>
      <c r="I233" s="40"/>
      <c r="J233" s="40"/>
      <c r="K233" s="40"/>
      <c r="L233" s="40" t="str">
        <f ca="1">IFERROR(__xludf.DUMMYFUNCTION("""COMPUTED_VALUE"""),"NO HA INICIADO ETAPA PRODUCTIVA")</f>
        <v>NO HA INICIADO ETAPA PRODUCTIVA</v>
      </c>
      <c r="M233" s="40"/>
      <c r="N233" s="40"/>
      <c r="O233" s="40"/>
      <c r="P233" s="40"/>
      <c r="Q233" s="40"/>
      <c r="R233" s="140"/>
      <c r="S233" s="1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t="str">
        <f ca="1">IFERROR(__xludf.DUMMYFUNCTION("""COMPUTED_VALUE"""),"Procede_E_P")</f>
        <v>Procede_E_P</v>
      </c>
      <c r="AV233" s="40" t="str">
        <f ca="1">IFERROR(__xludf.DUMMYFUNCTION("""COMPUTED_VALUE"""),"EN FORMACION")</f>
        <v>EN FORMACION</v>
      </c>
      <c r="AW233" s="40" t="str">
        <f ca="1">IFERROR(__xludf.DUMMYFUNCTION("""COMPUTED_VALUE"""),"BIOCONSTRUCCION")</f>
        <v>BIOCONSTRUCCION</v>
      </c>
      <c r="AX233" s="141">
        <f ca="1">IFERROR(__xludf.DUMMYFUNCTION("""COMPUTED_VALUE"""),44848)</f>
        <v>44848</v>
      </c>
      <c r="AY233" s="40">
        <f ca="1">IFERROR(__xludf.DUMMYFUNCTION("""COMPUTED_VALUE"""),0)</f>
        <v>0</v>
      </c>
      <c r="AZ233" s="40">
        <f ca="1">IFERROR(__xludf.DUMMYFUNCTION("""COMPUTED_VALUE"""),1)</f>
        <v>1</v>
      </c>
      <c r="BA233" s="40">
        <f ca="1">IFERROR(__xludf.DUMMYFUNCTION("""COMPUTED_VALUE"""),0)</f>
        <v>0</v>
      </c>
      <c r="BB233" s="40">
        <f ca="1">IFERROR(__xludf.DUMMYFUNCTION("""COMPUTED_VALUE"""),0)</f>
        <v>0</v>
      </c>
      <c r="BC233" s="40">
        <f ca="1">IFERROR(__xludf.DUMMYFUNCTION("""COMPUTED_VALUE"""),1)</f>
        <v>1</v>
      </c>
      <c r="BD233" s="141">
        <f ca="1">IFERROR(__xludf.DUMMYFUNCTION("""COMPUTED_VALUE"""),43801)</f>
        <v>43801</v>
      </c>
      <c r="BE233" s="141">
        <f ca="1">IFERROR(__xludf.DUMMYFUNCTION("""COMPUTED_VALUE"""),44105)</f>
        <v>44105</v>
      </c>
      <c r="BF233" s="141">
        <f ca="1">IFERROR(__xludf.DUMMYFUNCTION("""COMPUTED_VALUE"""),44287)</f>
        <v>44287</v>
      </c>
      <c r="BG233" s="141">
        <f ca="1">IFERROR(__xludf.DUMMYFUNCTION("""COMPUTED_VALUE"""),44835)</f>
        <v>44835</v>
      </c>
      <c r="BH233" s="40" t="str">
        <f ca="1">IFERROR(__xludf.DUMMYFUNCTION("""COMPUTED_VALUE"""),"FINALIZAR FICHA")</f>
        <v>FINALIZAR FICHA</v>
      </c>
      <c r="BI233" s="40" t="str">
        <f ca="1">IFERROR(__xludf.DUMMYFUNCTION("""COMPUTED_VALUE"""),"Terminada por fecha")</f>
        <v>Terminada por fecha</v>
      </c>
      <c r="BJ233" s="40" t="str">
        <f ca="1">IFERROR(__xludf.DUMMYFUNCTION("""COMPUTED_VALUE"""),"Yamboro")</f>
        <v>Yamboro</v>
      </c>
      <c r="BK233" s="40"/>
      <c r="BL233" s="40"/>
    </row>
    <row r="234" spans="1:64" ht="13">
      <c r="A234" s="40"/>
      <c r="B234" s="40" t="str">
        <f ca="1">IFERROR(__xludf.DUMMYFUNCTION("""COMPUTED_VALUE"""),"FORMACIÓN 18/10/2022")</f>
        <v>FORMACIÓN 18/10/2022</v>
      </c>
      <c r="C234" s="40" t="str">
        <f ca="1">IFERROR(__xludf.DUMMYFUNCTION("""COMPUTED_VALUE"""),"LUIS ANTONIO SANCHEZ CAMAYO")</f>
        <v>LUIS ANTONIO SANCHEZ CAMAYO</v>
      </c>
      <c r="D234" s="40" t="str">
        <f ca="1">IFERROR(__xludf.DUMMYFUNCTION("""COMPUTED_VALUE"""),"CC")</f>
        <v>CC</v>
      </c>
      <c r="E234" s="40">
        <f ca="1">IFERROR(__xludf.DUMMYFUNCTION("""COMPUTED_VALUE"""),83041216)</f>
        <v>83041216</v>
      </c>
      <c r="F234" s="40">
        <f ca="1">IFERROR(__xludf.DUMMYFUNCTION("""COMPUTED_VALUE"""),2055235)</f>
        <v>2055235</v>
      </c>
      <c r="G234" s="40" t="str">
        <f ca="1">IFERROR(__xludf.DUMMYFUNCTION("""COMPUTED_VALUE"""),"TÉCNICO")</f>
        <v>TÉCNICO</v>
      </c>
      <c r="H234" s="40" t="str">
        <f ca="1">IFERROR(__xludf.DUMMYFUNCTION("""COMPUTED_VALUE"""),"INSTALACIONES ELECTRICAS RESIDENCIALES")</f>
        <v>INSTALACIONES ELECTRICAS RESIDENCIALES</v>
      </c>
      <c r="I234" s="40"/>
      <c r="J234" s="40"/>
      <c r="K234" s="40"/>
      <c r="L234" s="40" t="str">
        <f ca="1">IFERROR(__xludf.DUMMYFUNCTION("""COMPUTED_VALUE"""),"NO HA INICIADO ETAPA PRODUCTIVA")</f>
        <v>NO HA INICIADO ETAPA PRODUCTIVA</v>
      </c>
      <c r="M234" s="40"/>
      <c r="N234" s="40"/>
      <c r="O234" s="40"/>
      <c r="P234" s="40"/>
      <c r="Q234" s="40"/>
      <c r="R234" s="140"/>
      <c r="S234" s="1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t="str">
        <f ca="1">IFERROR(__xludf.DUMMYFUNCTION("""COMPUTED_VALUE"""),"NO_CUMPLE")</f>
        <v>NO_CUMPLE</v>
      </c>
      <c r="AV234" s="40" t="str">
        <f ca="1">IFERROR(__xludf.DUMMYFUNCTION("""COMPUTED_VALUE"""),"EN FORMACION")</f>
        <v>EN FORMACION</v>
      </c>
      <c r="AW234" s="40" t="str">
        <f ca="1">IFERROR(__xludf.DUMMYFUNCTION("""COMPUTED_VALUE"""),"BIOCONSTRUCCION")</f>
        <v>BIOCONSTRUCCION</v>
      </c>
      <c r="AX234" s="141">
        <f ca="1">IFERROR(__xludf.DUMMYFUNCTION("""COMPUTED_VALUE"""),44848)</f>
        <v>44848</v>
      </c>
      <c r="AY234" s="40">
        <f ca="1">IFERROR(__xludf.DUMMYFUNCTION("""COMPUTED_VALUE"""),0)</f>
        <v>0</v>
      </c>
      <c r="AZ234" s="40">
        <f ca="1">IFERROR(__xludf.DUMMYFUNCTION("""COMPUTED_VALUE"""),1)</f>
        <v>1</v>
      </c>
      <c r="BA234" s="40">
        <f ca="1">IFERROR(__xludf.DUMMYFUNCTION("""COMPUTED_VALUE"""),6)</f>
        <v>6</v>
      </c>
      <c r="BB234" s="40">
        <f ca="1">IFERROR(__xludf.DUMMYFUNCTION("""COMPUTED_VALUE"""),6)</f>
        <v>6</v>
      </c>
      <c r="BC234" s="40">
        <f ca="1">IFERROR(__xludf.DUMMYFUNCTION("""COMPUTED_VALUE"""),13)</f>
        <v>13</v>
      </c>
      <c r="BD234" s="141">
        <f ca="1">IFERROR(__xludf.DUMMYFUNCTION("""COMPUTED_VALUE"""),43801)</f>
        <v>43801</v>
      </c>
      <c r="BE234" s="141">
        <f ca="1">IFERROR(__xludf.DUMMYFUNCTION("""COMPUTED_VALUE"""),44105)</f>
        <v>44105</v>
      </c>
      <c r="BF234" s="141">
        <f ca="1">IFERROR(__xludf.DUMMYFUNCTION("""COMPUTED_VALUE"""),44287)</f>
        <v>44287</v>
      </c>
      <c r="BG234" s="141">
        <f ca="1">IFERROR(__xludf.DUMMYFUNCTION("""COMPUTED_VALUE"""),44835)</f>
        <v>44835</v>
      </c>
      <c r="BH234" s="40" t="str">
        <f ca="1">IFERROR(__xludf.DUMMYFUNCTION("""COMPUTED_VALUE"""),"FINALIZAR FICHA")</f>
        <v>FINALIZAR FICHA</v>
      </c>
      <c r="BI234" s="40" t="str">
        <f ca="1">IFERROR(__xludf.DUMMYFUNCTION("""COMPUTED_VALUE"""),"Terminada por fecha")</f>
        <v>Terminada por fecha</v>
      </c>
      <c r="BJ234" s="40" t="str">
        <f ca="1">IFERROR(__xludf.DUMMYFUNCTION("""COMPUTED_VALUE"""),"Yamboro")</f>
        <v>Yamboro</v>
      </c>
      <c r="BK234" s="40"/>
      <c r="BL234" s="40"/>
    </row>
    <row r="235" spans="1:64" ht="13">
      <c r="A235" s="40"/>
      <c r="B235" s="40" t="str">
        <f ca="1">IFERROR(__xludf.DUMMYFUNCTION("""COMPUTED_VALUE"""),"FORMACIÓN 18/10/2022")</f>
        <v>FORMACIÓN 18/10/2022</v>
      </c>
      <c r="C235" s="40" t="str">
        <f ca="1">IFERROR(__xludf.DUMMYFUNCTION("""COMPUTED_VALUE"""),"SAMUEL OSORIO RODRIGUEZ")</f>
        <v>SAMUEL OSORIO RODRIGUEZ</v>
      </c>
      <c r="D235" s="40" t="str">
        <f ca="1">IFERROR(__xludf.DUMMYFUNCTION("""COMPUTED_VALUE"""),"CC")</f>
        <v>CC</v>
      </c>
      <c r="E235" s="40">
        <f ca="1">IFERROR(__xludf.DUMMYFUNCTION("""COMPUTED_VALUE"""),83117303)</f>
        <v>83117303</v>
      </c>
      <c r="F235" s="40">
        <f ca="1">IFERROR(__xludf.DUMMYFUNCTION("""COMPUTED_VALUE"""),2055235)</f>
        <v>2055235</v>
      </c>
      <c r="G235" s="40" t="str">
        <f ca="1">IFERROR(__xludf.DUMMYFUNCTION("""COMPUTED_VALUE"""),"TÉCNICO")</f>
        <v>TÉCNICO</v>
      </c>
      <c r="H235" s="40" t="str">
        <f ca="1">IFERROR(__xludf.DUMMYFUNCTION("""COMPUTED_VALUE"""),"INSTALACIONES ELECTRICAS RESIDENCIALES")</f>
        <v>INSTALACIONES ELECTRICAS RESIDENCIALES</v>
      </c>
      <c r="I235" s="40"/>
      <c r="J235" s="40"/>
      <c r="K235" s="40"/>
      <c r="L235" s="40" t="str">
        <f ca="1">IFERROR(__xludf.DUMMYFUNCTION("""COMPUTED_VALUE"""),"NO HA INICIADO ETAPA PRODUCTIVA")</f>
        <v>NO HA INICIADO ETAPA PRODUCTIVA</v>
      </c>
      <c r="M235" s="40"/>
      <c r="N235" s="40"/>
      <c r="O235" s="40"/>
      <c r="P235" s="40"/>
      <c r="Q235" s="40"/>
      <c r="R235" s="140"/>
      <c r="S235" s="1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t="str">
        <f ca="1">IFERROR(__xludf.DUMMYFUNCTION("""COMPUTED_VALUE"""),"Procede_E_P")</f>
        <v>Procede_E_P</v>
      </c>
      <c r="AV235" s="40" t="str">
        <f ca="1">IFERROR(__xludf.DUMMYFUNCTION("""COMPUTED_VALUE"""),"EN FORMACION")</f>
        <v>EN FORMACION</v>
      </c>
      <c r="AW235" s="40" t="str">
        <f ca="1">IFERROR(__xludf.DUMMYFUNCTION("""COMPUTED_VALUE"""),"BIOCONSTRUCCION")</f>
        <v>BIOCONSTRUCCION</v>
      </c>
      <c r="AX235" s="141">
        <f ca="1">IFERROR(__xludf.DUMMYFUNCTION("""COMPUTED_VALUE"""),44848)</f>
        <v>44848</v>
      </c>
      <c r="AY235" s="40">
        <f ca="1">IFERROR(__xludf.DUMMYFUNCTION("""COMPUTED_VALUE"""),0)</f>
        <v>0</v>
      </c>
      <c r="AZ235" s="40">
        <f ca="1">IFERROR(__xludf.DUMMYFUNCTION("""COMPUTED_VALUE"""),1)</f>
        <v>1</v>
      </c>
      <c r="BA235" s="40">
        <f ca="1">IFERROR(__xludf.DUMMYFUNCTION("""COMPUTED_VALUE"""),0)</f>
        <v>0</v>
      </c>
      <c r="BB235" s="40">
        <f ca="1">IFERROR(__xludf.DUMMYFUNCTION("""COMPUTED_VALUE"""),0)</f>
        <v>0</v>
      </c>
      <c r="BC235" s="40">
        <f ca="1">IFERROR(__xludf.DUMMYFUNCTION("""COMPUTED_VALUE"""),1)</f>
        <v>1</v>
      </c>
      <c r="BD235" s="141">
        <f ca="1">IFERROR(__xludf.DUMMYFUNCTION("""COMPUTED_VALUE"""),43801)</f>
        <v>43801</v>
      </c>
      <c r="BE235" s="141">
        <f ca="1">IFERROR(__xludf.DUMMYFUNCTION("""COMPUTED_VALUE"""),44105)</f>
        <v>44105</v>
      </c>
      <c r="BF235" s="141">
        <f ca="1">IFERROR(__xludf.DUMMYFUNCTION("""COMPUTED_VALUE"""),44287)</f>
        <v>44287</v>
      </c>
      <c r="BG235" s="141">
        <f ca="1">IFERROR(__xludf.DUMMYFUNCTION("""COMPUTED_VALUE"""),44835)</f>
        <v>44835</v>
      </c>
      <c r="BH235" s="40" t="str">
        <f ca="1">IFERROR(__xludf.DUMMYFUNCTION("""COMPUTED_VALUE"""),"FINALIZAR FICHA")</f>
        <v>FINALIZAR FICHA</v>
      </c>
      <c r="BI235" s="40" t="str">
        <f ca="1">IFERROR(__xludf.DUMMYFUNCTION("""COMPUTED_VALUE"""),"Terminada por fecha")</f>
        <v>Terminada por fecha</v>
      </c>
      <c r="BJ235" s="40" t="str">
        <f ca="1">IFERROR(__xludf.DUMMYFUNCTION("""COMPUTED_VALUE"""),"Yamboro")</f>
        <v>Yamboro</v>
      </c>
      <c r="BK235" s="40"/>
      <c r="BL235" s="40"/>
    </row>
    <row r="236" spans="1:64" ht="13">
      <c r="A236" s="40"/>
      <c r="B236" s="40" t="str">
        <f ca="1">IFERROR(__xludf.DUMMYFUNCTION("""COMPUTED_VALUE"""),"FORMACIÓN 18/10/2022")</f>
        <v>FORMACIÓN 18/10/2022</v>
      </c>
      <c r="C236" s="40" t="str">
        <f ca="1">IFERROR(__xludf.DUMMYFUNCTION("""COMPUTED_VALUE"""),"ALBEIRO DIAZ ROA")</f>
        <v>ALBEIRO DIAZ ROA</v>
      </c>
      <c r="D236" s="40" t="str">
        <f ca="1">IFERROR(__xludf.DUMMYFUNCTION("""COMPUTED_VALUE"""),"CC")</f>
        <v>CC</v>
      </c>
      <c r="E236" s="40">
        <f ca="1">IFERROR(__xludf.DUMMYFUNCTION("""COMPUTED_VALUE"""),83161215)</f>
        <v>83161215</v>
      </c>
      <c r="F236" s="40">
        <f ca="1">IFERROR(__xludf.DUMMYFUNCTION("""COMPUTED_VALUE"""),2055235)</f>
        <v>2055235</v>
      </c>
      <c r="G236" s="40" t="str">
        <f ca="1">IFERROR(__xludf.DUMMYFUNCTION("""COMPUTED_VALUE"""),"TÉCNICO")</f>
        <v>TÉCNICO</v>
      </c>
      <c r="H236" s="40" t="str">
        <f ca="1">IFERROR(__xludf.DUMMYFUNCTION("""COMPUTED_VALUE"""),"INSTALACIONES ELECTRICAS RESIDENCIALES")</f>
        <v>INSTALACIONES ELECTRICAS RESIDENCIALES</v>
      </c>
      <c r="I236" s="40"/>
      <c r="J236" s="40"/>
      <c r="K236" s="40"/>
      <c r="L236" s="40" t="str">
        <f ca="1">IFERROR(__xludf.DUMMYFUNCTION("""COMPUTED_VALUE"""),"NO HA INICIADO ETAPA PRODUCTIVA")</f>
        <v>NO HA INICIADO ETAPA PRODUCTIVA</v>
      </c>
      <c r="M236" s="40"/>
      <c r="N236" s="40"/>
      <c r="O236" s="40"/>
      <c r="P236" s="40"/>
      <c r="Q236" s="40"/>
      <c r="R236" s="140"/>
      <c r="S236" s="1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t="str">
        <f ca="1">IFERROR(__xludf.DUMMYFUNCTION("""COMPUTED_VALUE"""),"Procede_E_P")</f>
        <v>Procede_E_P</v>
      </c>
      <c r="AV236" s="40" t="str">
        <f ca="1">IFERROR(__xludf.DUMMYFUNCTION("""COMPUTED_VALUE"""),"EN FORMACION")</f>
        <v>EN FORMACION</v>
      </c>
      <c r="AW236" s="40" t="str">
        <f ca="1">IFERROR(__xludf.DUMMYFUNCTION("""COMPUTED_VALUE"""),"BIOCONSTRUCCION")</f>
        <v>BIOCONSTRUCCION</v>
      </c>
      <c r="AX236" s="141">
        <f ca="1">IFERROR(__xludf.DUMMYFUNCTION("""COMPUTED_VALUE"""),44848)</f>
        <v>44848</v>
      </c>
      <c r="AY236" s="40">
        <f ca="1">IFERROR(__xludf.DUMMYFUNCTION("""COMPUTED_VALUE"""),0)</f>
        <v>0</v>
      </c>
      <c r="AZ236" s="40">
        <f ca="1">IFERROR(__xludf.DUMMYFUNCTION("""COMPUTED_VALUE"""),1)</f>
        <v>1</v>
      </c>
      <c r="BA236" s="40">
        <f ca="1">IFERROR(__xludf.DUMMYFUNCTION("""COMPUTED_VALUE"""),0)</f>
        <v>0</v>
      </c>
      <c r="BB236" s="40">
        <f ca="1">IFERROR(__xludf.DUMMYFUNCTION("""COMPUTED_VALUE"""),0)</f>
        <v>0</v>
      </c>
      <c r="BC236" s="40">
        <f ca="1">IFERROR(__xludf.DUMMYFUNCTION("""COMPUTED_VALUE"""),1)</f>
        <v>1</v>
      </c>
      <c r="BD236" s="141">
        <f ca="1">IFERROR(__xludf.DUMMYFUNCTION("""COMPUTED_VALUE"""),43801)</f>
        <v>43801</v>
      </c>
      <c r="BE236" s="141">
        <f ca="1">IFERROR(__xludf.DUMMYFUNCTION("""COMPUTED_VALUE"""),44105)</f>
        <v>44105</v>
      </c>
      <c r="BF236" s="141">
        <f ca="1">IFERROR(__xludf.DUMMYFUNCTION("""COMPUTED_VALUE"""),44287)</f>
        <v>44287</v>
      </c>
      <c r="BG236" s="141">
        <f ca="1">IFERROR(__xludf.DUMMYFUNCTION("""COMPUTED_VALUE"""),44835)</f>
        <v>44835</v>
      </c>
      <c r="BH236" s="40" t="str">
        <f ca="1">IFERROR(__xludf.DUMMYFUNCTION("""COMPUTED_VALUE"""),"FINALIZAR FICHA")</f>
        <v>FINALIZAR FICHA</v>
      </c>
      <c r="BI236" s="40" t="str">
        <f ca="1">IFERROR(__xludf.DUMMYFUNCTION("""COMPUTED_VALUE"""),"Terminada por fecha")</f>
        <v>Terminada por fecha</v>
      </c>
      <c r="BJ236" s="40" t="str">
        <f ca="1">IFERROR(__xludf.DUMMYFUNCTION("""COMPUTED_VALUE"""),"Yamboro")</f>
        <v>Yamboro</v>
      </c>
      <c r="BK236" s="40"/>
      <c r="BL236" s="40"/>
    </row>
    <row r="237" spans="1:64" ht="13">
      <c r="A237" s="40"/>
      <c r="B237" s="40" t="str">
        <f ca="1">IFERROR(__xludf.DUMMYFUNCTION("""COMPUTED_VALUE"""),"FORMACIÓN 18/10/2022")</f>
        <v>FORMACIÓN 18/10/2022</v>
      </c>
      <c r="C237" s="40" t="str">
        <f ca="1">IFERROR(__xludf.DUMMYFUNCTION("""COMPUTED_VALUE"""),"YUVI JOEL RIVERA CABRERA")</f>
        <v>YUVI JOEL RIVERA CABRERA</v>
      </c>
      <c r="D237" s="40" t="str">
        <f ca="1">IFERROR(__xludf.DUMMYFUNCTION("""COMPUTED_VALUE"""),"CC")</f>
        <v>CC</v>
      </c>
      <c r="E237" s="40">
        <f ca="1">IFERROR(__xludf.DUMMYFUNCTION("""COMPUTED_VALUE"""),83211699)</f>
        <v>83211699</v>
      </c>
      <c r="F237" s="40">
        <f ca="1">IFERROR(__xludf.DUMMYFUNCTION("""COMPUTED_VALUE"""),2055235)</f>
        <v>2055235</v>
      </c>
      <c r="G237" s="40" t="str">
        <f ca="1">IFERROR(__xludf.DUMMYFUNCTION("""COMPUTED_VALUE"""),"TÉCNICO")</f>
        <v>TÉCNICO</v>
      </c>
      <c r="H237" s="40" t="str">
        <f ca="1">IFERROR(__xludf.DUMMYFUNCTION("""COMPUTED_VALUE"""),"INSTALACIONES ELECTRICAS RESIDENCIALES")</f>
        <v>INSTALACIONES ELECTRICAS RESIDENCIALES</v>
      </c>
      <c r="I237" s="40"/>
      <c r="J237" s="40"/>
      <c r="K237" s="40"/>
      <c r="L237" s="40" t="str">
        <f ca="1">IFERROR(__xludf.DUMMYFUNCTION("""COMPUTED_VALUE"""),"NO HA INICIADO ETAPA PRODUCTIVA")</f>
        <v>NO HA INICIADO ETAPA PRODUCTIVA</v>
      </c>
      <c r="M237" s="40"/>
      <c r="N237" s="40"/>
      <c r="O237" s="40"/>
      <c r="P237" s="40"/>
      <c r="Q237" s="40"/>
      <c r="R237" s="140"/>
      <c r="S237" s="1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t="str">
        <f ca="1">IFERROR(__xludf.DUMMYFUNCTION("""COMPUTED_VALUE"""),"Procede_E_P")</f>
        <v>Procede_E_P</v>
      </c>
      <c r="AV237" s="40" t="str">
        <f ca="1">IFERROR(__xludf.DUMMYFUNCTION("""COMPUTED_VALUE"""),"EN FORMACION")</f>
        <v>EN FORMACION</v>
      </c>
      <c r="AW237" s="40" t="str">
        <f ca="1">IFERROR(__xludf.DUMMYFUNCTION("""COMPUTED_VALUE"""),"BIOCONSTRUCCION")</f>
        <v>BIOCONSTRUCCION</v>
      </c>
      <c r="AX237" s="141">
        <f ca="1">IFERROR(__xludf.DUMMYFUNCTION("""COMPUTED_VALUE"""),44848)</f>
        <v>44848</v>
      </c>
      <c r="AY237" s="40">
        <f ca="1">IFERROR(__xludf.DUMMYFUNCTION("""COMPUTED_VALUE"""),0)</f>
        <v>0</v>
      </c>
      <c r="AZ237" s="40">
        <f ca="1">IFERROR(__xludf.DUMMYFUNCTION("""COMPUTED_VALUE"""),1)</f>
        <v>1</v>
      </c>
      <c r="BA237" s="40">
        <f ca="1">IFERROR(__xludf.DUMMYFUNCTION("""COMPUTED_VALUE"""),0)</f>
        <v>0</v>
      </c>
      <c r="BB237" s="40">
        <f ca="1">IFERROR(__xludf.DUMMYFUNCTION("""COMPUTED_VALUE"""),0)</f>
        <v>0</v>
      </c>
      <c r="BC237" s="40">
        <f ca="1">IFERROR(__xludf.DUMMYFUNCTION("""COMPUTED_VALUE"""),1)</f>
        <v>1</v>
      </c>
      <c r="BD237" s="141">
        <f ca="1">IFERROR(__xludf.DUMMYFUNCTION("""COMPUTED_VALUE"""),43801)</f>
        <v>43801</v>
      </c>
      <c r="BE237" s="141">
        <f ca="1">IFERROR(__xludf.DUMMYFUNCTION("""COMPUTED_VALUE"""),44105)</f>
        <v>44105</v>
      </c>
      <c r="BF237" s="141">
        <f ca="1">IFERROR(__xludf.DUMMYFUNCTION("""COMPUTED_VALUE"""),44287)</f>
        <v>44287</v>
      </c>
      <c r="BG237" s="141">
        <f ca="1">IFERROR(__xludf.DUMMYFUNCTION("""COMPUTED_VALUE"""),44835)</f>
        <v>44835</v>
      </c>
      <c r="BH237" s="40" t="str">
        <f ca="1">IFERROR(__xludf.DUMMYFUNCTION("""COMPUTED_VALUE"""),"FINALIZAR FICHA")</f>
        <v>FINALIZAR FICHA</v>
      </c>
      <c r="BI237" s="40" t="str">
        <f ca="1">IFERROR(__xludf.DUMMYFUNCTION("""COMPUTED_VALUE"""),"Terminada por fecha")</f>
        <v>Terminada por fecha</v>
      </c>
      <c r="BJ237" s="40" t="str">
        <f ca="1">IFERROR(__xludf.DUMMYFUNCTION("""COMPUTED_VALUE"""),"Yamboro")</f>
        <v>Yamboro</v>
      </c>
      <c r="BK237" s="40"/>
      <c r="BL237" s="40"/>
    </row>
    <row r="238" spans="1:64" ht="13">
      <c r="A238" s="40"/>
      <c r="B238" s="40" t="str">
        <f ca="1">IFERROR(__xludf.DUMMYFUNCTION("""COMPUTED_VALUE"""),"FORMACIÓN 18/10/2022")</f>
        <v>FORMACIÓN 18/10/2022</v>
      </c>
      <c r="C238" s="40" t="str">
        <f ca="1">IFERROR(__xludf.DUMMYFUNCTION("""COMPUTED_VALUE"""),"WILMAR CARDOSO ANACONA")</f>
        <v>WILMAR CARDOSO ANACONA</v>
      </c>
      <c r="D238" s="40" t="str">
        <f ca="1">IFERROR(__xludf.DUMMYFUNCTION("""COMPUTED_VALUE"""),"CC")</f>
        <v>CC</v>
      </c>
      <c r="E238" s="40">
        <f ca="1">IFERROR(__xludf.DUMMYFUNCTION("""COMPUTED_VALUE"""),83232529)</f>
        <v>83232529</v>
      </c>
      <c r="F238" s="40">
        <f ca="1">IFERROR(__xludf.DUMMYFUNCTION("""COMPUTED_VALUE"""),2055235)</f>
        <v>2055235</v>
      </c>
      <c r="G238" s="40" t="str">
        <f ca="1">IFERROR(__xludf.DUMMYFUNCTION("""COMPUTED_VALUE"""),"TÉCNICO")</f>
        <v>TÉCNICO</v>
      </c>
      <c r="H238" s="40" t="str">
        <f ca="1">IFERROR(__xludf.DUMMYFUNCTION("""COMPUTED_VALUE"""),"INSTALACIONES ELECTRICAS RESIDENCIALES")</f>
        <v>INSTALACIONES ELECTRICAS RESIDENCIALES</v>
      </c>
      <c r="I238" s="40"/>
      <c r="J238" s="40"/>
      <c r="K238" s="40"/>
      <c r="L238" s="40" t="str">
        <f ca="1">IFERROR(__xludf.DUMMYFUNCTION("""COMPUTED_VALUE"""),"NO HA INICIADO ETAPA PRODUCTIVA")</f>
        <v>NO HA INICIADO ETAPA PRODUCTIVA</v>
      </c>
      <c r="M238" s="40"/>
      <c r="N238" s="40"/>
      <c r="O238" s="40"/>
      <c r="P238" s="40"/>
      <c r="Q238" s="40"/>
      <c r="R238" s="140"/>
      <c r="S238" s="1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t="str">
        <f ca="1">IFERROR(__xludf.DUMMYFUNCTION("""COMPUTED_VALUE"""),"Procede_E_P")</f>
        <v>Procede_E_P</v>
      </c>
      <c r="AV238" s="40" t="str">
        <f ca="1">IFERROR(__xludf.DUMMYFUNCTION("""COMPUTED_VALUE"""),"EN FORMACION")</f>
        <v>EN FORMACION</v>
      </c>
      <c r="AW238" s="40" t="str">
        <f ca="1">IFERROR(__xludf.DUMMYFUNCTION("""COMPUTED_VALUE"""),"BIOCONSTRUCCION")</f>
        <v>BIOCONSTRUCCION</v>
      </c>
      <c r="AX238" s="141">
        <f ca="1">IFERROR(__xludf.DUMMYFUNCTION("""COMPUTED_VALUE"""),44848)</f>
        <v>44848</v>
      </c>
      <c r="AY238" s="40">
        <f ca="1">IFERROR(__xludf.DUMMYFUNCTION("""COMPUTED_VALUE"""),0)</f>
        <v>0</v>
      </c>
      <c r="AZ238" s="40">
        <f ca="1">IFERROR(__xludf.DUMMYFUNCTION("""COMPUTED_VALUE"""),1)</f>
        <v>1</v>
      </c>
      <c r="BA238" s="40">
        <f ca="1">IFERROR(__xludf.DUMMYFUNCTION("""COMPUTED_VALUE"""),0)</f>
        <v>0</v>
      </c>
      <c r="BB238" s="40">
        <f ca="1">IFERROR(__xludf.DUMMYFUNCTION("""COMPUTED_VALUE"""),0)</f>
        <v>0</v>
      </c>
      <c r="BC238" s="40">
        <f ca="1">IFERROR(__xludf.DUMMYFUNCTION("""COMPUTED_VALUE"""),1)</f>
        <v>1</v>
      </c>
      <c r="BD238" s="141">
        <f ca="1">IFERROR(__xludf.DUMMYFUNCTION("""COMPUTED_VALUE"""),43801)</f>
        <v>43801</v>
      </c>
      <c r="BE238" s="141">
        <f ca="1">IFERROR(__xludf.DUMMYFUNCTION("""COMPUTED_VALUE"""),44105)</f>
        <v>44105</v>
      </c>
      <c r="BF238" s="141">
        <f ca="1">IFERROR(__xludf.DUMMYFUNCTION("""COMPUTED_VALUE"""),44287)</f>
        <v>44287</v>
      </c>
      <c r="BG238" s="141">
        <f ca="1">IFERROR(__xludf.DUMMYFUNCTION("""COMPUTED_VALUE"""),44835)</f>
        <v>44835</v>
      </c>
      <c r="BH238" s="40" t="str">
        <f ca="1">IFERROR(__xludf.DUMMYFUNCTION("""COMPUTED_VALUE"""),"FINALIZAR FICHA")</f>
        <v>FINALIZAR FICHA</v>
      </c>
      <c r="BI238" s="40" t="str">
        <f ca="1">IFERROR(__xludf.DUMMYFUNCTION("""COMPUTED_VALUE"""),"Terminada por fecha")</f>
        <v>Terminada por fecha</v>
      </c>
      <c r="BJ238" s="40" t="str">
        <f ca="1">IFERROR(__xludf.DUMMYFUNCTION("""COMPUTED_VALUE"""),"Yamboro")</f>
        <v>Yamboro</v>
      </c>
      <c r="BK238" s="40"/>
      <c r="BL238" s="40"/>
    </row>
    <row r="239" spans="1:64" ht="13">
      <c r="A239" s="40"/>
      <c r="B239" s="40" t="str">
        <f ca="1">IFERROR(__xludf.DUMMYFUNCTION("""COMPUTED_VALUE"""),"FORMACIÓN 18/10/2022")</f>
        <v>FORMACIÓN 18/10/2022</v>
      </c>
      <c r="C239" s="40" t="str">
        <f ca="1">IFERROR(__xludf.DUMMYFUNCTION("""COMPUTED_VALUE"""),"HERMIDES PEDRAZA CONDE")</f>
        <v>HERMIDES PEDRAZA CONDE</v>
      </c>
      <c r="D239" s="40" t="str">
        <f ca="1">IFERROR(__xludf.DUMMYFUNCTION("""COMPUTED_VALUE"""),"CC")</f>
        <v>CC</v>
      </c>
      <c r="E239" s="40">
        <f ca="1">IFERROR(__xludf.DUMMYFUNCTION("""COMPUTED_VALUE"""),83234915)</f>
        <v>83234915</v>
      </c>
      <c r="F239" s="40">
        <f ca="1">IFERROR(__xludf.DUMMYFUNCTION("""COMPUTED_VALUE"""),2055235)</f>
        <v>2055235</v>
      </c>
      <c r="G239" s="40" t="str">
        <f ca="1">IFERROR(__xludf.DUMMYFUNCTION("""COMPUTED_VALUE"""),"TÉCNICO")</f>
        <v>TÉCNICO</v>
      </c>
      <c r="H239" s="40" t="str">
        <f ca="1">IFERROR(__xludf.DUMMYFUNCTION("""COMPUTED_VALUE"""),"INSTALACIONES ELECTRICAS RESIDENCIALES")</f>
        <v>INSTALACIONES ELECTRICAS RESIDENCIALES</v>
      </c>
      <c r="I239" s="40"/>
      <c r="J239" s="40"/>
      <c r="K239" s="40"/>
      <c r="L239" s="40" t="str">
        <f ca="1">IFERROR(__xludf.DUMMYFUNCTION("""COMPUTED_VALUE"""),"NO HA INICIADO ETAPA PRODUCTIVA")</f>
        <v>NO HA INICIADO ETAPA PRODUCTIVA</v>
      </c>
      <c r="M239" s="40"/>
      <c r="N239" s="40"/>
      <c r="O239" s="40"/>
      <c r="P239" s="40"/>
      <c r="Q239" s="40"/>
      <c r="R239" s="140"/>
      <c r="S239" s="1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t="str">
        <f ca="1">IFERROR(__xludf.DUMMYFUNCTION("""COMPUTED_VALUE"""),"Procede_E_P")</f>
        <v>Procede_E_P</v>
      </c>
      <c r="AV239" s="40" t="str">
        <f ca="1">IFERROR(__xludf.DUMMYFUNCTION("""COMPUTED_VALUE"""),"EN FORMACION")</f>
        <v>EN FORMACION</v>
      </c>
      <c r="AW239" s="40" t="str">
        <f ca="1">IFERROR(__xludf.DUMMYFUNCTION("""COMPUTED_VALUE"""),"BIOCONSTRUCCION")</f>
        <v>BIOCONSTRUCCION</v>
      </c>
      <c r="AX239" s="141">
        <f ca="1">IFERROR(__xludf.DUMMYFUNCTION("""COMPUTED_VALUE"""),44848)</f>
        <v>44848</v>
      </c>
      <c r="AY239" s="40">
        <f ca="1">IFERROR(__xludf.DUMMYFUNCTION("""COMPUTED_VALUE"""),0)</f>
        <v>0</v>
      </c>
      <c r="AZ239" s="40">
        <f ca="1">IFERROR(__xludf.DUMMYFUNCTION("""COMPUTED_VALUE"""),1)</f>
        <v>1</v>
      </c>
      <c r="BA239" s="40">
        <f ca="1">IFERROR(__xludf.DUMMYFUNCTION("""COMPUTED_VALUE"""),0)</f>
        <v>0</v>
      </c>
      <c r="BB239" s="40">
        <f ca="1">IFERROR(__xludf.DUMMYFUNCTION("""COMPUTED_VALUE"""),0)</f>
        <v>0</v>
      </c>
      <c r="BC239" s="40">
        <f ca="1">IFERROR(__xludf.DUMMYFUNCTION("""COMPUTED_VALUE"""),1)</f>
        <v>1</v>
      </c>
      <c r="BD239" s="141">
        <f ca="1">IFERROR(__xludf.DUMMYFUNCTION("""COMPUTED_VALUE"""),43801)</f>
        <v>43801</v>
      </c>
      <c r="BE239" s="141">
        <f ca="1">IFERROR(__xludf.DUMMYFUNCTION("""COMPUTED_VALUE"""),44105)</f>
        <v>44105</v>
      </c>
      <c r="BF239" s="141">
        <f ca="1">IFERROR(__xludf.DUMMYFUNCTION("""COMPUTED_VALUE"""),44287)</f>
        <v>44287</v>
      </c>
      <c r="BG239" s="141">
        <f ca="1">IFERROR(__xludf.DUMMYFUNCTION("""COMPUTED_VALUE"""),44835)</f>
        <v>44835</v>
      </c>
      <c r="BH239" s="40" t="str">
        <f ca="1">IFERROR(__xludf.DUMMYFUNCTION("""COMPUTED_VALUE"""),"FINALIZAR FICHA")</f>
        <v>FINALIZAR FICHA</v>
      </c>
      <c r="BI239" s="40" t="str">
        <f ca="1">IFERROR(__xludf.DUMMYFUNCTION("""COMPUTED_VALUE"""),"Terminada por fecha")</f>
        <v>Terminada por fecha</v>
      </c>
      <c r="BJ239" s="40" t="str">
        <f ca="1">IFERROR(__xludf.DUMMYFUNCTION("""COMPUTED_VALUE"""),"Yamboro")</f>
        <v>Yamboro</v>
      </c>
      <c r="BK239" s="40"/>
      <c r="BL239" s="40"/>
    </row>
    <row r="240" spans="1:64" ht="13">
      <c r="A240" s="40"/>
      <c r="B240" s="40" t="str">
        <f ca="1">IFERROR(__xludf.DUMMYFUNCTION("""COMPUTED_VALUE"""),"FORMACIÓN 18/10/2022")</f>
        <v>FORMACIÓN 18/10/2022</v>
      </c>
      <c r="C240" s="40" t="str">
        <f ca="1">IFERROR(__xludf.DUMMYFUNCTION("""COMPUTED_VALUE"""),"JHON FREDDY RUIZ GUERRERO")</f>
        <v>JHON FREDDY RUIZ GUERRERO</v>
      </c>
      <c r="D240" s="40" t="str">
        <f ca="1">IFERROR(__xludf.DUMMYFUNCTION("""COMPUTED_VALUE"""),"CC")</f>
        <v>CC</v>
      </c>
      <c r="E240" s="40">
        <f ca="1">IFERROR(__xludf.DUMMYFUNCTION("""COMPUTED_VALUE"""),86060191)</f>
        <v>86060191</v>
      </c>
      <c r="F240" s="40">
        <f ca="1">IFERROR(__xludf.DUMMYFUNCTION("""COMPUTED_VALUE"""),2055235)</f>
        <v>2055235</v>
      </c>
      <c r="G240" s="40" t="str">
        <f ca="1">IFERROR(__xludf.DUMMYFUNCTION("""COMPUTED_VALUE"""),"TÉCNICO")</f>
        <v>TÉCNICO</v>
      </c>
      <c r="H240" s="40" t="str">
        <f ca="1">IFERROR(__xludf.DUMMYFUNCTION("""COMPUTED_VALUE"""),"INSTALACIONES ELECTRICAS RESIDENCIALES")</f>
        <v>INSTALACIONES ELECTRICAS RESIDENCIALES</v>
      </c>
      <c r="I240" s="40"/>
      <c r="J240" s="40"/>
      <c r="K240" s="40"/>
      <c r="L240" s="40" t="str">
        <f ca="1">IFERROR(__xludf.DUMMYFUNCTION("""COMPUTED_VALUE"""),"NO HA INICIADO ETAPA PRODUCTIVA")</f>
        <v>NO HA INICIADO ETAPA PRODUCTIVA</v>
      </c>
      <c r="M240" s="40"/>
      <c r="N240" s="40"/>
      <c r="O240" s="40"/>
      <c r="P240" s="40"/>
      <c r="Q240" s="40"/>
      <c r="R240" s="140"/>
      <c r="S240" s="1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t="str">
        <f ca="1">IFERROR(__xludf.DUMMYFUNCTION("""COMPUTED_VALUE"""),"NO_CUMPLE")</f>
        <v>NO_CUMPLE</v>
      </c>
      <c r="AV240" s="40" t="str">
        <f ca="1">IFERROR(__xludf.DUMMYFUNCTION("""COMPUTED_VALUE"""),"EN FORMACION")</f>
        <v>EN FORMACION</v>
      </c>
      <c r="AW240" s="40" t="str">
        <f ca="1">IFERROR(__xludf.DUMMYFUNCTION("""COMPUTED_VALUE"""),"BIOCONSTRUCCION")</f>
        <v>BIOCONSTRUCCION</v>
      </c>
      <c r="AX240" s="141">
        <f ca="1">IFERROR(__xludf.DUMMYFUNCTION("""COMPUTED_VALUE"""),44848)</f>
        <v>44848</v>
      </c>
      <c r="AY240" s="40">
        <f ca="1">IFERROR(__xludf.DUMMYFUNCTION("""COMPUTED_VALUE"""),1)</f>
        <v>1</v>
      </c>
      <c r="AZ240" s="40">
        <f ca="1">IFERROR(__xludf.DUMMYFUNCTION("""COMPUTED_VALUE"""),1)</f>
        <v>1</v>
      </c>
      <c r="BA240" s="40">
        <f ca="1">IFERROR(__xludf.DUMMYFUNCTION("""COMPUTED_VALUE"""),0)</f>
        <v>0</v>
      </c>
      <c r="BB240" s="40">
        <f ca="1">IFERROR(__xludf.DUMMYFUNCTION("""COMPUTED_VALUE"""),4)</f>
        <v>4</v>
      </c>
      <c r="BC240" s="40">
        <f ca="1">IFERROR(__xludf.DUMMYFUNCTION("""COMPUTED_VALUE"""),6)</f>
        <v>6</v>
      </c>
      <c r="BD240" s="141">
        <f ca="1">IFERROR(__xludf.DUMMYFUNCTION("""COMPUTED_VALUE"""),43801)</f>
        <v>43801</v>
      </c>
      <c r="BE240" s="141">
        <f ca="1">IFERROR(__xludf.DUMMYFUNCTION("""COMPUTED_VALUE"""),44105)</f>
        <v>44105</v>
      </c>
      <c r="BF240" s="141">
        <f ca="1">IFERROR(__xludf.DUMMYFUNCTION("""COMPUTED_VALUE"""),44287)</f>
        <v>44287</v>
      </c>
      <c r="BG240" s="141">
        <f ca="1">IFERROR(__xludf.DUMMYFUNCTION("""COMPUTED_VALUE"""),44835)</f>
        <v>44835</v>
      </c>
      <c r="BH240" s="40" t="str">
        <f ca="1">IFERROR(__xludf.DUMMYFUNCTION("""COMPUTED_VALUE"""),"FINALIZAR FICHA")</f>
        <v>FINALIZAR FICHA</v>
      </c>
      <c r="BI240" s="40" t="str">
        <f ca="1">IFERROR(__xludf.DUMMYFUNCTION("""COMPUTED_VALUE"""),"Terminada por fecha")</f>
        <v>Terminada por fecha</v>
      </c>
      <c r="BJ240" s="40" t="str">
        <f ca="1">IFERROR(__xludf.DUMMYFUNCTION("""COMPUTED_VALUE"""),"Yamboro")</f>
        <v>Yamboro</v>
      </c>
      <c r="BK240" s="40"/>
      <c r="BL240" s="40"/>
    </row>
    <row r="241" spans="1:64" ht="13">
      <c r="A241" s="40"/>
      <c r="B241" s="40" t="str">
        <f ca="1">IFERROR(__xludf.DUMMYFUNCTION("""COMPUTED_VALUE"""),"FORMACIÓN 18/10/2022")</f>
        <v>FORMACIÓN 18/10/2022</v>
      </c>
      <c r="C241" s="40" t="str">
        <f ca="1">IFERROR(__xludf.DUMMYFUNCTION("""COMPUTED_VALUE"""),"JULIO FERNEY CAPERA OSPINA")</f>
        <v>JULIO FERNEY CAPERA OSPINA</v>
      </c>
      <c r="D241" s="40" t="str">
        <f ca="1">IFERROR(__xludf.DUMMYFUNCTION("""COMPUTED_VALUE"""),"CC")</f>
        <v>CC</v>
      </c>
      <c r="E241" s="40">
        <f ca="1">IFERROR(__xludf.DUMMYFUNCTION("""COMPUTED_VALUE"""),93020442)</f>
        <v>93020442</v>
      </c>
      <c r="F241" s="40">
        <f ca="1">IFERROR(__xludf.DUMMYFUNCTION("""COMPUTED_VALUE"""),2055235)</f>
        <v>2055235</v>
      </c>
      <c r="G241" s="40" t="str">
        <f ca="1">IFERROR(__xludf.DUMMYFUNCTION("""COMPUTED_VALUE"""),"TÉCNICO")</f>
        <v>TÉCNICO</v>
      </c>
      <c r="H241" s="40" t="str">
        <f ca="1">IFERROR(__xludf.DUMMYFUNCTION("""COMPUTED_VALUE"""),"INSTALACIONES ELECTRICAS RESIDENCIALES")</f>
        <v>INSTALACIONES ELECTRICAS RESIDENCIALES</v>
      </c>
      <c r="I241" s="40"/>
      <c r="J241" s="40"/>
      <c r="K241" s="40"/>
      <c r="L241" s="40" t="str">
        <f ca="1">IFERROR(__xludf.DUMMYFUNCTION("""COMPUTED_VALUE"""),"NO HA INICIADO ETAPA PRODUCTIVA")</f>
        <v>NO HA INICIADO ETAPA PRODUCTIVA</v>
      </c>
      <c r="M241" s="40"/>
      <c r="N241" s="40"/>
      <c r="O241" s="40"/>
      <c r="P241" s="40"/>
      <c r="Q241" s="40"/>
      <c r="R241" s="140"/>
      <c r="S241" s="1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t="str">
        <f ca="1">IFERROR(__xludf.DUMMYFUNCTION("""COMPUTED_VALUE"""),"NO_CUMPLE")</f>
        <v>NO_CUMPLE</v>
      </c>
      <c r="AV241" s="40" t="str">
        <f ca="1">IFERROR(__xludf.DUMMYFUNCTION("""COMPUTED_VALUE"""),"EN FORMACION")</f>
        <v>EN FORMACION</v>
      </c>
      <c r="AW241" s="40" t="str">
        <f ca="1">IFERROR(__xludf.DUMMYFUNCTION("""COMPUTED_VALUE"""),"BIOCONSTRUCCION")</f>
        <v>BIOCONSTRUCCION</v>
      </c>
      <c r="AX241" s="141">
        <f ca="1">IFERROR(__xludf.DUMMYFUNCTION("""COMPUTED_VALUE"""),44848)</f>
        <v>44848</v>
      </c>
      <c r="AY241" s="40">
        <f ca="1">IFERROR(__xludf.DUMMYFUNCTION("""COMPUTED_VALUE"""),1)</f>
        <v>1</v>
      </c>
      <c r="AZ241" s="40">
        <f ca="1">IFERROR(__xludf.DUMMYFUNCTION("""COMPUTED_VALUE"""),1)</f>
        <v>1</v>
      </c>
      <c r="BA241" s="40">
        <f ca="1">IFERROR(__xludf.DUMMYFUNCTION("""COMPUTED_VALUE"""),3)</f>
        <v>3</v>
      </c>
      <c r="BB241" s="40">
        <f ca="1">IFERROR(__xludf.DUMMYFUNCTION("""COMPUTED_VALUE"""),6)</f>
        <v>6</v>
      </c>
      <c r="BC241" s="40">
        <f ca="1">IFERROR(__xludf.DUMMYFUNCTION("""COMPUTED_VALUE"""),11)</f>
        <v>11</v>
      </c>
      <c r="BD241" s="141">
        <f ca="1">IFERROR(__xludf.DUMMYFUNCTION("""COMPUTED_VALUE"""),43801)</f>
        <v>43801</v>
      </c>
      <c r="BE241" s="141">
        <f ca="1">IFERROR(__xludf.DUMMYFUNCTION("""COMPUTED_VALUE"""),44105)</f>
        <v>44105</v>
      </c>
      <c r="BF241" s="141">
        <f ca="1">IFERROR(__xludf.DUMMYFUNCTION("""COMPUTED_VALUE"""),44287)</f>
        <v>44287</v>
      </c>
      <c r="BG241" s="141">
        <f ca="1">IFERROR(__xludf.DUMMYFUNCTION("""COMPUTED_VALUE"""),44835)</f>
        <v>44835</v>
      </c>
      <c r="BH241" s="40" t="str">
        <f ca="1">IFERROR(__xludf.DUMMYFUNCTION("""COMPUTED_VALUE"""),"FINALIZAR FICHA")</f>
        <v>FINALIZAR FICHA</v>
      </c>
      <c r="BI241" s="40" t="str">
        <f ca="1">IFERROR(__xludf.DUMMYFUNCTION("""COMPUTED_VALUE"""),"Terminada por fecha")</f>
        <v>Terminada por fecha</v>
      </c>
      <c r="BJ241" s="40" t="str">
        <f ca="1">IFERROR(__xludf.DUMMYFUNCTION("""COMPUTED_VALUE"""),"Yamboro")</f>
        <v>Yamboro</v>
      </c>
      <c r="BK241" s="40"/>
      <c r="BL241" s="40"/>
    </row>
    <row r="242" spans="1:64" ht="13">
      <c r="A242" s="40"/>
      <c r="B242" s="40" t="str">
        <f ca="1">IFERROR(__xludf.DUMMYFUNCTION("""COMPUTED_VALUE"""),"FORMACIÓN 18/10/2022")</f>
        <v>FORMACIÓN 18/10/2022</v>
      </c>
      <c r="C242" s="40" t="str">
        <f ca="1">IFERROR(__xludf.DUMMYFUNCTION("""COMPUTED_VALUE"""),"JUAN SEBASTIAN TELLO ACHURY")</f>
        <v>JUAN SEBASTIAN TELLO ACHURY</v>
      </c>
      <c r="D242" s="40" t="str">
        <f ca="1">IFERROR(__xludf.DUMMYFUNCTION("""COMPUTED_VALUE"""),"CC")</f>
        <v>CC</v>
      </c>
      <c r="E242" s="40">
        <f ca="1">IFERROR(__xludf.DUMMYFUNCTION("""COMPUTED_VALUE"""),1075292994)</f>
        <v>1075292994</v>
      </c>
      <c r="F242" s="40">
        <f ca="1">IFERROR(__xludf.DUMMYFUNCTION("""COMPUTED_VALUE"""),2166528)</f>
        <v>2166528</v>
      </c>
      <c r="G242" s="40" t="str">
        <f ca="1">IFERROR(__xludf.DUMMYFUNCTION("""COMPUTED_VALUE"""),"TÉCNICO")</f>
        <v>TÉCNICO</v>
      </c>
      <c r="H242" s="40" t="str">
        <f ca="1">IFERROR(__xludf.DUMMYFUNCTION("""COMPUTED_VALUE"""),"CONSTRUCCIÓN DE EDIFICACIONES")</f>
        <v>CONSTRUCCIÓN DE EDIFICACIONES</v>
      </c>
      <c r="I242" s="40">
        <f ca="1">IFERROR(__xludf.DUMMYFUNCTION("""COMPUTED_VALUE"""),3184591513)</f>
        <v>3184591513</v>
      </c>
      <c r="J242" s="40" t="str">
        <f ca="1">IFERROR(__xludf.DUMMYFUNCTION("""COMPUTED_VALUE"""),"tasebastian30@hotmail.com")</f>
        <v>tasebastian30@hotmail.com</v>
      </c>
      <c r="K242" s="40" t="str">
        <f ca="1">IFERROR(__xludf.DUMMYFUNCTION("""COMPUTED_VALUE"""),"PITALITO")</f>
        <v>PITALITO</v>
      </c>
      <c r="L242" s="40" t="str">
        <f ca="1">IFERROR(__xludf.DUMMYFUNCTION("""COMPUTED_VALUE"""),"PROYECTO PRODUCTIVO")</f>
        <v>PROYECTO PRODUCTIVO</v>
      </c>
      <c r="M242" s="40" t="str">
        <f ca="1">IFERROR(__xludf.DUMMYFUNCTION("""COMPUTED_VALUE"""),"CENTRO DE GESTIÓN Y DESARROLLO SOSTENIBLE SURCOLOMBIANO")</f>
        <v>CENTRO DE GESTIÓN Y DESARROLLO SOSTENIBLE SURCOLOMBIANO</v>
      </c>
      <c r="N242" s="40" t="str">
        <f ca="1">IFERROR(__xludf.DUMMYFUNCTION("""COMPUTED_VALUE"""),"VEREDA AGUADAS")</f>
        <v>VEREDA AGUADAS</v>
      </c>
      <c r="O242" s="40"/>
      <c r="P242" s="40" t="str">
        <f ca="1">IFERROR(__xludf.DUMMYFUNCTION("""COMPUTED_VALUE"""),"PITALITO")</f>
        <v>PITALITO</v>
      </c>
      <c r="Q242" s="40" t="str">
        <f ca="1">IFERROR(__xludf.DUMMYFUNCTION("""COMPUTED_VALUE"""),"apinzonp@sena.edu.co")</f>
        <v>apinzonp@sena.edu.co</v>
      </c>
      <c r="R242" s="140">
        <f ca="1">IFERROR(__xludf.DUMMYFUNCTION("""COMPUTED_VALUE"""),44398)</f>
        <v>44398</v>
      </c>
      <c r="S242" s="140">
        <f ca="1">IFERROR(__xludf.DUMMYFUNCTION("""COMPUTED_VALUE"""),44582)</f>
        <v>44582</v>
      </c>
      <c r="T242" s="40" t="str">
        <f ca="1">IFERROR(__xludf.DUMMYFUNCTION("""COMPUTED_VALUE"""),"Tiene proyecto productivo, falta seguimiento, bitácoras y certificación, y no tiene reportes de seguimiento...Revisado 03/02/2022")</f>
        <v>Tiene proyecto productivo, falta seguimiento, bitácoras y certificación, y no tiene reportes de seguimiento...Revisado 03/02/2022</v>
      </c>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t="str">
        <f ca="1">IFERROR(__xludf.DUMMYFUNCTION("""COMPUTED_VALUE"""),"Procede_E_P")</f>
        <v>Procede_E_P</v>
      </c>
      <c r="AV242" s="40" t="str">
        <f ca="1">IFERROR(__xludf.DUMMYFUNCTION("""COMPUTED_VALUE"""),"EN FORMACION")</f>
        <v>EN FORMACION</v>
      </c>
      <c r="AW242" s="40" t="str">
        <f ca="1">IFERROR(__xludf.DUMMYFUNCTION("""COMPUTED_VALUE"""),"BIOCONSTRUCCION")</f>
        <v>BIOCONSTRUCCION</v>
      </c>
      <c r="AX242" s="141">
        <f ca="1">IFERROR(__xludf.DUMMYFUNCTION("""COMPUTED_VALUE"""),44848)</f>
        <v>44848</v>
      </c>
      <c r="AY242" s="40">
        <f ca="1">IFERROR(__xludf.DUMMYFUNCTION("""COMPUTED_VALUE"""),0)</f>
        <v>0</v>
      </c>
      <c r="AZ242" s="40">
        <f ca="1">IFERROR(__xludf.DUMMYFUNCTION("""COMPUTED_VALUE"""),1)</f>
        <v>1</v>
      </c>
      <c r="BA242" s="40">
        <f ca="1">IFERROR(__xludf.DUMMYFUNCTION("""COMPUTED_VALUE"""),0)</f>
        <v>0</v>
      </c>
      <c r="BB242" s="40">
        <f ca="1">IFERROR(__xludf.DUMMYFUNCTION("""COMPUTED_VALUE"""),0)</f>
        <v>0</v>
      </c>
      <c r="BC242" s="40">
        <f ca="1">IFERROR(__xludf.DUMMYFUNCTION("""COMPUTED_VALUE"""),1)</f>
        <v>1</v>
      </c>
      <c r="BD242" s="141">
        <f ca="1">IFERROR(__xludf.DUMMYFUNCTION("""COMPUTED_VALUE"""),44075)</f>
        <v>44075</v>
      </c>
      <c r="BE242" s="141">
        <f ca="1">IFERROR(__xludf.DUMMYFUNCTION("""COMPUTED_VALUE"""),44285)</f>
        <v>44285</v>
      </c>
      <c r="BF242" s="141">
        <f ca="1">IFERROR(__xludf.DUMMYFUNCTION("""COMPUTED_VALUE"""),44469)</f>
        <v>44469</v>
      </c>
      <c r="BG242" s="141">
        <f ca="1">IFERROR(__xludf.DUMMYFUNCTION("""COMPUTED_VALUE"""),45015)</f>
        <v>45015</v>
      </c>
      <c r="BH242" s="40" t="str">
        <f ca="1">IFERROR(__xludf.DUMMYFUNCTION("""COMPUTED_VALUE"""),"FICHA EN TIEMPO-18 MESES")</f>
        <v>FICHA EN TIEMPO-18 MESES</v>
      </c>
      <c r="BI242" s="40" t="str">
        <f ca="1">IFERROR(__xludf.DUMMYFUNCTION("""COMPUTED_VALUE"""),"Terminada por fecha")</f>
        <v>Terminada por fecha</v>
      </c>
      <c r="BJ242" s="40" t="str">
        <f ca="1">IFERROR(__xludf.DUMMYFUNCTION("""COMPUTED_VALUE"""),"Yamboro")</f>
        <v>Yamboro</v>
      </c>
      <c r="BK242" s="40"/>
      <c r="BL242" s="40"/>
    </row>
    <row r="243" spans="1:64" ht="13">
      <c r="A243" s="40"/>
      <c r="B243" s="40" t="str">
        <f ca="1">IFERROR(__xludf.DUMMYFUNCTION("""COMPUTED_VALUE"""),"FORMACIÓN 18/10/2022")</f>
        <v>FORMACIÓN 18/10/2022</v>
      </c>
      <c r="C243" s="40" t="str">
        <f ca="1">IFERROR(__xludf.DUMMYFUNCTION("""COMPUTED_VALUE"""),"JESUS DAVID MENDEZ JIMENEZ")</f>
        <v>JESUS DAVID MENDEZ JIMENEZ</v>
      </c>
      <c r="D243" s="40" t="str">
        <f ca="1">IFERROR(__xludf.DUMMYFUNCTION("""COMPUTED_VALUE"""),"CC")</f>
        <v>CC</v>
      </c>
      <c r="E243" s="40">
        <f ca="1">IFERROR(__xludf.DUMMYFUNCTION("""COMPUTED_VALUE"""),1007659432)</f>
        <v>1007659432</v>
      </c>
      <c r="F243" s="40">
        <f ca="1">IFERROR(__xludf.DUMMYFUNCTION("""COMPUTED_VALUE"""),2166552)</f>
        <v>2166552</v>
      </c>
      <c r="G243" s="40" t="str">
        <f ca="1">IFERROR(__xludf.DUMMYFUNCTION("""COMPUTED_VALUE"""),"TÉCNICO")</f>
        <v>TÉCNICO</v>
      </c>
      <c r="H243" s="40" t="str">
        <f ca="1">IFERROR(__xludf.DUMMYFUNCTION("""COMPUTED_VALUE"""),"DIBUJO ARQUITECTÓNICO")</f>
        <v>DIBUJO ARQUITECTÓNICO</v>
      </c>
      <c r="I243" s="40">
        <f ca="1">IFERROR(__xludf.DUMMYFUNCTION("""COMPUTED_VALUE"""),3228481792)</f>
        <v>3228481792</v>
      </c>
      <c r="J243" s="40" t="str">
        <f ca="1">IFERROR(__xludf.DUMMYFUNCTION("""COMPUTED_VALUE"""),"jesusmendez062001@gmail.com")</f>
        <v>jesusmendez062001@gmail.com</v>
      </c>
      <c r="K243" s="40" t="str">
        <f ca="1">IFERROR(__xludf.DUMMYFUNCTION("""COMPUTED_VALUE"""),"PITALITO")</f>
        <v>PITALITO</v>
      </c>
      <c r="L243" s="40" t="str">
        <f ca="1">IFERROR(__xludf.DUMMYFUNCTION("""COMPUTED_VALUE"""),"NO HA INICIADO ETAPA PRODUCTIVA")</f>
        <v>NO HA INICIADO ETAPA PRODUCTIVA</v>
      </c>
      <c r="M243" s="40"/>
      <c r="N243" s="40"/>
      <c r="O243" s="40"/>
      <c r="P243" s="40"/>
      <c r="Q243" s="40"/>
      <c r="R243" s="140"/>
      <c r="S243" s="140"/>
      <c r="T243" s="40" t="str">
        <f ca="1">IFERROR(__xludf.DUMMYFUNCTION("""COMPUTED_VALUE"""),"debe un resultado de aprendizaje")</f>
        <v>debe un resultado de aprendizaje</v>
      </c>
      <c r="U243" s="40" t="str">
        <f ca="1">IFERROR(__xludf.DUMMYFUNCTION("""COMPUTED_VALUE"""),"JHON EDWIN MONTILLLA")</f>
        <v>JHON EDWIN MONTILLLA</v>
      </c>
      <c r="V243" s="40" t="str">
        <f ca="1">IFERROR(__xludf.DUMMYFUNCTION("""COMPUTED_VALUE"""),"NO tiene seguimiento ...Revisado 08/04/2022")</f>
        <v>NO tiene seguimiento ...Revisado 08/04/2022</v>
      </c>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t="str">
        <f ca="1">IFERROR(__xludf.DUMMYFUNCTION("""COMPUTED_VALUE"""),"NO_CUMPLE")</f>
        <v>NO_CUMPLE</v>
      </c>
      <c r="AV243" s="40" t="str">
        <f ca="1">IFERROR(__xludf.DUMMYFUNCTION("""COMPUTED_VALUE"""),"EN FORMACION")</f>
        <v>EN FORMACION</v>
      </c>
      <c r="AW243" s="40" t="str">
        <f ca="1">IFERROR(__xludf.DUMMYFUNCTION("""COMPUTED_VALUE"""),"BIOCONSTRUCCION")</f>
        <v>BIOCONSTRUCCION</v>
      </c>
      <c r="AX243" s="141">
        <f ca="1">IFERROR(__xludf.DUMMYFUNCTION("""COMPUTED_VALUE"""),44839)</f>
        <v>44839</v>
      </c>
      <c r="AY243" s="40">
        <f ca="1">IFERROR(__xludf.DUMMYFUNCTION("""COMPUTED_VALUE"""),0)</f>
        <v>0</v>
      </c>
      <c r="AZ243" s="40">
        <f ca="1">IFERROR(__xludf.DUMMYFUNCTION("""COMPUTED_VALUE"""),1)</f>
        <v>1</v>
      </c>
      <c r="BA243" s="40">
        <f ca="1">IFERROR(__xludf.DUMMYFUNCTION("""COMPUTED_VALUE"""),0)</f>
        <v>0</v>
      </c>
      <c r="BB243" s="40">
        <f ca="1">IFERROR(__xludf.DUMMYFUNCTION("""COMPUTED_VALUE"""),1)</f>
        <v>1</v>
      </c>
      <c r="BC243" s="40">
        <f ca="1">IFERROR(__xludf.DUMMYFUNCTION("""COMPUTED_VALUE"""),2)</f>
        <v>2</v>
      </c>
      <c r="BD243" s="141">
        <f ca="1">IFERROR(__xludf.DUMMYFUNCTION("""COMPUTED_VALUE"""),44075)</f>
        <v>44075</v>
      </c>
      <c r="BE243" s="141">
        <f ca="1">IFERROR(__xludf.DUMMYFUNCTION("""COMPUTED_VALUE"""),44620)</f>
        <v>44620</v>
      </c>
      <c r="BF243" s="141">
        <f ca="1">IFERROR(__xludf.DUMMYFUNCTION("""COMPUTED_VALUE"""),44804)</f>
        <v>44804</v>
      </c>
      <c r="BG243" s="141">
        <f ca="1">IFERROR(__xludf.DUMMYFUNCTION("""COMPUTED_VALUE"""),45351)</f>
        <v>45351</v>
      </c>
      <c r="BH243" s="40" t="str">
        <f ca="1">IFERROR(__xludf.DUMMYFUNCTION("""COMPUTED_VALUE"""),"FICHA EN TIEMPO-18 MESES")</f>
        <v>FICHA EN TIEMPO-18 MESES</v>
      </c>
      <c r="BI243" s="40" t="str">
        <f ca="1">IFERROR(__xludf.DUMMYFUNCTION("""COMPUTED_VALUE"""),"Terminada por fecha")</f>
        <v>Terminada por fecha</v>
      </c>
      <c r="BJ243" s="40" t="str">
        <f ca="1">IFERROR(__xludf.DUMMYFUNCTION("""COMPUTED_VALUE"""),"Yamboro")</f>
        <v>Yamboro</v>
      </c>
      <c r="BK243" s="40"/>
      <c r="BL243" s="40"/>
    </row>
    <row r="244" spans="1:64" ht="13">
      <c r="A244" s="40"/>
      <c r="B244" s="40" t="str">
        <f ca="1">IFERROR(__xludf.DUMMYFUNCTION("""COMPUTED_VALUE"""),"FORMACIÓN 18/10/2022")</f>
        <v>FORMACIÓN 18/10/2022</v>
      </c>
      <c r="C244" s="40" t="str">
        <f ca="1">IFERROR(__xludf.DUMMYFUNCTION("""COMPUTED_VALUE"""),"LINA MARCELA MOSQUERA PRADA")</f>
        <v>LINA MARCELA MOSQUERA PRADA</v>
      </c>
      <c r="D244" s="40" t="str">
        <f ca="1">IFERROR(__xludf.DUMMYFUNCTION("""COMPUTED_VALUE"""),"CC")</f>
        <v>CC</v>
      </c>
      <c r="E244" s="40">
        <f ca="1">IFERROR(__xludf.DUMMYFUNCTION("""COMPUTED_VALUE"""),1015476100)</f>
        <v>1015476100</v>
      </c>
      <c r="F244" s="40">
        <f ca="1">IFERROR(__xludf.DUMMYFUNCTION("""COMPUTED_VALUE"""),2166552)</f>
        <v>2166552</v>
      </c>
      <c r="G244" s="40" t="str">
        <f ca="1">IFERROR(__xludf.DUMMYFUNCTION("""COMPUTED_VALUE"""),"TÉCNICO")</f>
        <v>TÉCNICO</v>
      </c>
      <c r="H244" s="40" t="str">
        <f ca="1">IFERROR(__xludf.DUMMYFUNCTION("""COMPUTED_VALUE"""),"DIBUJO ARQUITECTÓNICO")</f>
        <v>DIBUJO ARQUITECTÓNICO</v>
      </c>
      <c r="I244" s="40">
        <f ca="1">IFERROR(__xludf.DUMMYFUNCTION("""COMPUTED_VALUE"""),3005381626)</f>
        <v>3005381626</v>
      </c>
      <c r="J244" s="40" t="str">
        <f ca="1">IFERROR(__xludf.DUMMYFUNCTION("""COMPUTED_VALUE"""),"linamarce0798@hotmail.com")</f>
        <v>linamarce0798@hotmail.com</v>
      </c>
      <c r="K244" s="40"/>
      <c r="L244" s="40" t="str">
        <f ca="1">IFERROR(__xludf.DUMMYFUNCTION("""COMPUTED_VALUE"""),"NO HA INICIADO ETAPA PRODUCTIVA")</f>
        <v>NO HA INICIADO ETAPA PRODUCTIVA</v>
      </c>
      <c r="M244" s="40"/>
      <c r="N244" s="40"/>
      <c r="O244" s="40"/>
      <c r="P244" s="40"/>
      <c r="Q244" s="40"/>
      <c r="R244" s="140"/>
      <c r="S244" s="140"/>
      <c r="T244" s="40" t="str">
        <f ca="1">IFERROR(__xludf.DUMMYFUNCTION("""COMPUTED_VALUE"""),"debe 2 resultados de aprendizaje")</f>
        <v>debe 2 resultados de aprendizaje</v>
      </c>
      <c r="U244" s="40" t="str">
        <f ca="1">IFERROR(__xludf.DUMMYFUNCTION("""COMPUTED_VALUE"""),"JHON EDWIN MONTILLLA")</f>
        <v>JHON EDWIN MONTILLLA</v>
      </c>
      <c r="V244" s="40" t="str">
        <f ca="1">IFERROR(__xludf.DUMMYFUNCTION("""COMPUTED_VALUE"""),"NO tiene seguimiento ...Revisado 08/04/2022")</f>
        <v>NO tiene seguimiento ...Revisado 08/04/2022</v>
      </c>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t="str">
        <f ca="1">IFERROR(__xludf.DUMMYFUNCTION("""COMPUTED_VALUE"""),"NO_CUMPLE")</f>
        <v>NO_CUMPLE</v>
      </c>
      <c r="AV244" s="40" t="str">
        <f ca="1">IFERROR(__xludf.DUMMYFUNCTION("""COMPUTED_VALUE"""),"EN FORMACION")</f>
        <v>EN FORMACION</v>
      </c>
      <c r="AW244" s="40" t="str">
        <f ca="1">IFERROR(__xludf.DUMMYFUNCTION("""COMPUTED_VALUE"""),"BIOCONSTRUCCION")</f>
        <v>BIOCONSTRUCCION</v>
      </c>
      <c r="AX244" s="141">
        <f ca="1">IFERROR(__xludf.DUMMYFUNCTION("""COMPUTED_VALUE"""),44839)</f>
        <v>44839</v>
      </c>
      <c r="AY244" s="40">
        <f ca="1">IFERROR(__xludf.DUMMYFUNCTION("""COMPUTED_VALUE"""),1)</f>
        <v>1</v>
      </c>
      <c r="AZ244" s="40">
        <f ca="1">IFERROR(__xludf.DUMMYFUNCTION("""COMPUTED_VALUE"""),1)</f>
        <v>1</v>
      </c>
      <c r="BA244" s="40">
        <f ca="1">IFERROR(__xludf.DUMMYFUNCTION("""COMPUTED_VALUE"""),0)</f>
        <v>0</v>
      </c>
      <c r="BB244" s="40">
        <f ca="1">IFERROR(__xludf.DUMMYFUNCTION("""COMPUTED_VALUE"""),1)</f>
        <v>1</v>
      </c>
      <c r="BC244" s="40">
        <f ca="1">IFERROR(__xludf.DUMMYFUNCTION("""COMPUTED_VALUE"""),3)</f>
        <v>3</v>
      </c>
      <c r="BD244" s="141">
        <f ca="1">IFERROR(__xludf.DUMMYFUNCTION("""COMPUTED_VALUE"""),44075)</f>
        <v>44075</v>
      </c>
      <c r="BE244" s="141">
        <f ca="1">IFERROR(__xludf.DUMMYFUNCTION("""COMPUTED_VALUE"""),44620)</f>
        <v>44620</v>
      </c>
      <c r="BF244" s="141">
        <f ca="1">IFERROR(__xludf.DUMMYFUNCTION("""COMPUTED_VALUE"""),44804)</f>
        <v>44804</v>
      </c>
      <c r="BG244" s="141">
        <f ca="1">IFERROR(__xludf.DUMMYFUNCTION("""COMPUTED_VALUE"""),45351)</f>
        <v>45351</v>
      </c>
      <c r="BH244" s="40" t="str">
        <f ca="1">IFERROR(__xludf.DUMMYFUNCTION("""COMPUTED_VALUE"""),"FICHA EN TIEMPO-18 MESES")</f>
        <v>FICHA EN TIEMPO-18 MESES</v>
      </c>
      <c r="BI244" s="40" t="str">
        <f ca="1">IFERROR(__xludf.DUMMYFUNCTION("""COMPUTED_VALUE"""),"Terminada por fecha")</f>
        <v>Terminada por fecha</v>
      </c>
      <c r="BJ244" s="40" t="str">
        <f ca="1">IFERROR(__xludf.DUMMYFUNCTION("""COMPUTED_VALUE"""),"Yamboro")</f>
        <v>Yamboro</v>
      </c>
      <c r="BK244" s="40"/>
      <c r="BL244" s="40"/>
    </row>
    <row r="245" spans="1:64" ht="13">
      <c r="A245" s="40"/>
      <c r="B245" s="40" t="str">
        <f ca="1">IFERROR(__xludf.DUMMYFUNCTION("""COMPUTED_VALUE"""),"FORMACIÓN 18/10/2022")</f>
        <v>FORMACIÓN 18/10/2022</v>
      </c>
      <c r="C245" s="40" t="str">
        <f ca="1">IFERROR(__xludf.DUMMYFUNCTION("""COMPUTED_VALUE"""),"CARLOS ARTURO PARRA QUINTERO")</f>
        <v>CARLOS ARTURO PARRA QUINTERO</v>
      </c>
      <c r="D245" s="40" t="str">
        <f ca="1">IFERROR(__xludf.DUMMYFUNCTION("""COMPUTED_VALUE"""),"CC")</f>
        <v>CC</v>
      </c>
      <c r="E245" s="40">
        <f ca="1">IFERROR(__xludf.DUMMYFUNCTION("""COMPUTED_VALUE"""),1053795081)</f>
        <v>1053795081</v>
      </c>
      <c r="F245" s="40">
        <f ca="1">IFERROR(__xludf.DUMMYFUNCTION("""COMPUTED_VALUE"""),2166552)</f>
        <v>2166552</v>
      </c>
      <c r="G245" s="40" t="str">
        <f ca="1">IFERROR(__xludf.DUMMYFUNCTION("""COMPUTED_VALUE"""),"TÉCNICO")</f>
        <v>TÉCNICO</v>
      </c>
      <c r="H245" s="40" t="str">
        <f ca="1">IFERROR(__xludf.DUMMYFUNCTION("""COMPUTED_VALUE"""),"DIBUJO ARQUITECTÓNICO")</f>
        <v>DIBUJO ARQUITECTÓNICO</v>
      </c>
      <c r="I245" s="40">
        <f ca="1">IFERROR(__xludf.DUMMYFUNCTION("""COMPUTED_VALUE"""),3188210205)</f>
        <v>3188210205</v>
      </c>
      <c r="J245" s="40" t="str">
        <f ca="1">IFERROR(__xludf.DUMMYFUNCTION("""COMPUTED_VALUE"""),"carpas88@gmail.com")</f>
        <v>carpas88@gmail.com</v>
      </c>
      <c r="K245" s="40"/>
      <c r="L245" s="40" t="str">
        <f ca="1">IFERROR(__xludf.DUMMYFUNCTION("""COMPUTED_VALUE"""),"NO HA INICIADO ETAPA PRODUCTIVA")</f>
        <v>NO HA INICIADO ETAPA PRODUCTIVA</v>
      </c>
      <c r="M245" s="40"/>
      <c r="N245" s="40"/>
      <c r="O245" s="40"/>
      <c r="P245" s="40"/>
      <c r="Q245" s="40"/>
      <c r="R245" s="140"/>
      <c r="S245" s="140"/>
      <c r="T245" s="40" t="str">
        <f ca="1">IFERROR(__xludf.DUMMYFUNCTION("""COMPUTED_VALUE"""),"debe un resultado de aprendizaje")</f>
        <v>debe un resultado de aprendizaje</v>
      </c>
      <c r="U245" s="40" t="str">
        <f ca="1">IFERROR(__xludf.DUMMYFUNCTION("""COMPUTED_VALUE"""),"JHON EDWIN MONTILLLA")</f>
        <v>JHON EDWIN MONTILLLA</v>
      </c>
      <c r="V245" s="40" t="str">
        <f ca="1">IFERROR(__xludf.DUMMYFUNCTION("""COMPUTED_VALUE"""),"NO tiene seguimiento ...Revisado 08/04/2022")</f>
        <v>NO tiene seguimiento ...Revisado 08/04/2022</v>
      </c>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t="str">
        <f ca="1">IFERROR(__xludf.DUMMYFUNCTION("""COMPUTED_VALUE"""),"NO_CUMPLE")</f>
        <v>NO_CUMPLE</v>
      </c>
      <c r="AV245" s="40" t="str">
        <f ca="1">IFERROR(__xludf.DUMMYFUNCTION("""COMPUTED_VALUE"""),"EN FORMACION")</f>
        <v>EN FORMACION</v>
      </c>
      <c r="AW245" s="40" t="str">
        <f ca="1">IFERROR(__xludf.DUMMYFUNCTION("""COMPUTED_VALUE"""),"BIOCONSTRUCCION")</f>
        <v>BIOCONSTRUCCION</v>
      </c>
      <c r="AX245" s="141">
        <f ca="1">IFERROR(__xludf.DUMMYFUNCTION("""COMPUTED_VALUE"""),44839)</f>
        <v>44839</v>
      </c>
      <c r="AY245" s="40">
        <f ca="1">IFERROR(__xludf.DUMMYFUNCTION("""COMPUTED_VALUE"""),1)</f>
        <v>1</v>
      </c>
      <c r="AZ245" s="40">
        <f ca="1">IFERROR(__xludf.DUMMYFUNCTION("""COMPUTED_VALUE"""),1)</f>
        <v>1</v>
      </c>
      <c r="BA245" s="40">
        <f ca="1">IFERROR(__xludf.DUMMYFUNCTION("""COMPUTED_VALUE"""),0)</f>
        <v>0</v>
      </c>
      <c r="BB245" s="40">
        <f ca="1">IFERROR(__xludf.DUMMYFUNCTION("""COMPUTED_VALUE"""),0)</f>
        <v>0</v>
      </c>
      <c r="BC245" s="40">
        <f ca="1">IFERROR(__xludf.DUMMYFUNCTION("""COMPUTED_VALUE"""),2)</f>
        <v>2</v>
      </c>
      <c r="BD245" s="141">
        <f ca="1">IFERROR(__xludf.DUMMYFUNCTION("""COMPUTED_VALUE"""),44075)</f>
        <v>44075</v>
      </c>
      <c r="BE245" s="141">
        <f ca="1">IFERROR(__xludf.DUMMYFUNCTION("""COMPUTED_VALUE"""),44620)</f>
        <v>44620</v>
      </c>
      <c r="BF245" s="141">
        <f ca="1">IFERROR(__xludf.DUMMYFUNCTION("""COMPUTED_VALUE"""),44804)</f>
        <v>44804</v>
      </c>
      <c r="BG245" s="141">
        <f ca="1">IFERROR(__xludf.DUMMYFUNCTION("""COMPUTED_VALUE"""),45351)</f>
        <v>45351</v>
      </c>
      <c r="BH245" s="40" t="str">
        <f ca="1">IFERROR(__xludf.DUMMYFUNCTION("""COMPUTED_VALUE"""),"FICHA EN TIEMPO-18 MESES")</f>
        <v>FICHA EN TIEMPO-18 MESES</v>
      </c>
      <c r="BI245" s="40" t="str">
        <f ca="1">IFERROR(__xludf.DUMMYFUNCTION("""COMPUTED_VALUE"""),"Terminada por fecha")</f>
        <v>Terminada por fecha</v>
      </c>
      <c r="BJ245" s="40" t="str">
        <f ca="1">IFERROR(__xludf.DUMMYFUNCTION("""COMPUTED_VALUE"""),"Yamboro")</f>
        <v>Yamboro</v>
      </c>
      <c r="BK245" s="40"/>
      <c r="BL245" s="40"/>
    </row>
    <row r="246" spans="1:64" ht="13">
      <c r="A246" s="40"/>
      <c r="B246" s="40" t="str">
        <f ca="1">IFERROR(__xludf.DUMMYFUNCTION("""COMPUTED_VALUE"""),"FORMACIÓN 18/10/2022")</f>
        <v>FORMACIÓN 18/10/2022</v>
      </c>
      <c r="C246" s="40" t="str">
        <f ca="1">IFERROR(__xludf.DUMMYFUNCTION("""COMPUTED_VALUE"""),"CLAUDIA FERNANDA ARTUNDUAGA QUISABONI")</f>
        <v>CLAUDIA FERNANDA ARTUNDUAGA QUISABONI</v>
      </c>
      <c r="D246" s="40" t="str">
        <f ca="1">IFERROR(__xludf.DUMMYFUNCTION("""COMPUTED_VALUE"""),"CC")</f>
        <v>CC</v>
      </c>
      <c r="E246" s="40">
        <f ca="1">IFERROR(__xludf.DUMMYFUNCTION("""COMPUTED_VALUE"""),1083866344)</f>
        <v>1083866344</v>
      </c>
      <c r="F246" s="40">
        <f ca="1">IFERROR(__xludf.DUMMYFUNCTION("""COMPUTED_VALUE"""),2166552)</f>
        <v>2166552</v>
      </c>
      <c r="G246" s="40" t="str">
        <f ca="1">IFERROR(__xludf.DUMMYFUNCTION("""COMPUTED_VALUE"""),"TÉCNICO")</f>
        <v>TÉCNICO</v>
      </c>
      <c r="H246" s="40" t="str">
        <f ca="1">IFERROR(__xludf.DUMMYFUNCTION("""COMPUTED_VALUE"""),"DIBUJO ARQUITECTÓNICO")</f>
        <v>DIBUJO ARQUITECTÓNICO</v>
      </c>
      <c r="I246" s="40">
        <f ca="1">IFERROR(__xludf.DUMMYFUNCTION("""COMPUTED_VALUE"""),3113392379)</f>
        <v>3113392379</v>
      </c>
      <c r="J246" s="40" t="str">
        <f ca="1">IFERROR(__xludf.DUMMYFUNCTION("""COMPUTED_VALUE"""),"fercha2730@hotmail.com")</f>
        <v>fercha2730@hotmail.com</v>
      </c>
      <c r="K246" s="40"/>
      <c r="L246" s="40" t="str">
        <f ca="1">IFERROR(__xludf.DUMMYFUNCTION("""COMPUTED_VALUE"""),"NO HA INICIADO ETAPA PRODUCTIVA")</f>
        <v>NO HA INICIADO ETAPA PRODUCTIVA</v>
      </c>
      <c r="M246" s="40"/>
      <c r="N246" s="40"/>
      <c r="O246" s="40"/>
      <c r="P246" s="40"/>
      <c r="Q246" s="40"/>
      <c r="R246" s="140"/>
      <c r="S246" s="140"/>
      <c r="T246" s="40" t="str">
        <f ca="1">IFERROR(__xludf.DUMMYFUNCTION("""COMPUTED_VALUE"""),"debe un resultado de aprendizaje")</f>
        <v>debe un resultado de aprendizaje</v>
      </c>
      <c r="U246" s="40" t="str">
        <f ca="1">IFERROR(__xludf.DUMMYFUNCTION("""COMPUTED_VALUE"""),"JHON EDWIN MONTILLLA")</f>
        <v>JHON EDWIN MONTILLLA</v>
      </c>
      <c r="V246" s="40" t="str">
        <f ca="1">IFERROR(__xludf.DUMMYFUNCTION("""COMPUTED_VALUE"""),"NO tiene seguimiento ...Revisado 08/04/2022")</f>
        <v>NO tiene seguimiento ...Revisado 08/04/2022</v>
      </c>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t="str">
        <f ca="1">IFERROR(__xludf.DUMMYFUNCTION("""COMPUTED_VALUE"""),"NO_CUMPLE")</f>
        <v>NO_CUMPLE</v>
      </c>
      <c r="AV246" s="40" t="str">
        <f ca="1">IFERROR(__xludf.DUMMYFUNCTION("""COMPUTED_VALUE"""),"EN FORMACION")</f>
        <v>EN FORMACION</v>
      </c>
      <c r="AW246" s="40" t="str">
        <f ca="1">IFERROR(__xludf.DUMMYFUNCTION("""COMPUTED_VALUE"""),"BIOCONSTRUCCION")</f>
        <v>BIOCONSTRUCCION</v>
      </c>
      <c r="AX246" s="141">
        <f ca="1">IFERROR(__xludf.DUMMYFUNCTION("""COMPUTED_VALUE"""),44839)</f>
        <v>44839</v>
      </c>
      <c r="AY246" s="40">
        <f ca="1">IFERROR(__xludf.DUMMYFUNCTION("""COMPUTED_VALUE"""),0)</f>
        <v>0</v>
      </c>
      <c r="AZ246" s="40">
        <f ca="1">IFERROR(__xludf.DUMMYFUNCTION("""COMPUTED_VALUE"""),1)</f>
        <v>1</v>
      </c>
      <c r="BA246" s="40">
        <f ca="1">IFERROR(__xludf.DUMMYFUNCTION("""COMPUTED_VALUE"""),0)</f>
        <v>0</v>
      </c>
      <c r="BB246" s="40">
        <f ca="1">IFERROR(__xludf.DUMMYFUNCTION("""COMPUTED_VALUE"""),1)</f>
        <v>1</v>
      </c>
      <c r="BC246" s="40">
        <f ca="1">IFERROR(__xludf.DUMMYFUNCTION("""COMPUTED_VALUE"""),2)</f>
        <v>2</v>
      </c>
      <c r="BD246" s="141">
        <f ca="1">IFERROR(__xludf.DUMMYFUNCTION("""COMPUTED_VALUE"""),44075)</f>
        <v>44075</v>
      </c>
      <c r="BE246" s="141">
        <f ca="1">IFERROR(__xludf.DUMMYFUNCTION("""COMPUTED_VALUE"""),44620)</f>
        <v>44620</v>
      </c>
      <c r="BF246" s="141">
        <f ca="1">IFERROR(__xludf.DUMMYFUNCTION("""COMPUTED_VALUE"""),44804)</f>
        <v>44804</v>
      </c>
      <c r="BG246" s="141">
        <f ca="1">IFERROR(__xludf.DUMMYFUNCTION("""COMPUTED_VALUE"""),45351)</f>
        <v>45351</v>
      </c>
      <c r="BH246" s="40" t="str">
        <f ca="1">IFERROR(__xludf.DUMMYFUNCTION("""COMPUTED_VALUE"""),"FICHA EN TIEMPO-18 MESES")</f>
        <v>FICHA EN TIEMPO-18 MESES</v>
      </c>
      <c r="BI246" s="40" t="str">
        <f ca="1">IFERROR(__xludf.DUMMYFUNCTION("""COMPUTED_VALUE"""),"Terminada por fecha")</f>
        <v>Terminada por fecha</v>
      </c>
      <c r="BJ246" s="40" t="str">
        <f ca="1">IFERROR(__xludf.DUMMYFUNCTION("""COMPUTED_VALUE"""),"Yamboro")</f>
        <v>Yamboro</v>
      </c>
      <c r="BK246" s="40"/>
      <c r="BL246" s="40"/>
    </row>
    <row r="247" spans="1:64" ht="13">
      <c r="A247" s="40"/>
      <c r="B247" s="40" t="str">
        <f ca="1">IFERROR(__xludf.DUMMYFUNCTION("""COMPUTED_VALUE"""),"FORMACIÓN 18/10/2022")</f>
        <v>FORMACIÓN 18/10/2022</v>
      </c>
      <c r="C247" s="40" t="str">
        <f ca="1">IFERROR(__xludf.DUMMYFUNCTION("""COMPUTED_VALUE"""),"DANIEL FELIPE PALOMARES VALENCIA")</f>
        <v>DANIEL FELIPE PALOMARES VALENCIA</v>
      </c>
      <c r="D247" s="40" t="str">
        <f ca="1">IFERROR(__xludf.DUMMYFUNCTION("""COMPUTED_VALUE"""),"CC")</f>
        <v>CC</v>
      </c>
      <c r="E247" s="40">
        <f ca="1">IFERROR(__xludf.DUMMYFUNCTION("""COMPUTED_VALUE"""),1083896931)</f>
        <v>1083896931</v>
      </c>
      <c r="F247" s="40">
        <f ca="1">IFERROR(__xludf.DUMMYFUNCTION("""COMPUTED_VALUE"""),2166552)</f>
        <v>2166552</v>
      </c>
      <c r="G247" s="40" t="str">
        <f ca="1">IFERROR(__xludf.DUMMYFUNCTION("""COMPUTED_VALUE"""),"TÉCNICO")</f>
        <v>TÉCNICO</v>
      </c>
      <c r="H247" s="40" t="str">
        <f ca="1">IFERROR(__xludf.DUMMYFUNCTION("""COMPUTED_VALUE"""),"DIBUJO ARQUITECTÓNICO")</f>
        <v>DIBUJO ARQUITECTÓNICO</v>
      </c>
      <c r="I247" s="40"/>
      <c r="J247" s="40" t="str">
        <f ca="1">IFERROR(__xludf.DUMMYFUNCTION("""COMPUTED_VALUE"""),"dalu3019@gmail.com")</f>
        <v>dalu3019@gmail.com</v>
      </c>
      <c r="K247" s="40"/>
      <c r="L247" s="40" t="str">
        <f ca="1">IFERROR(__xludf.DUMMYFUNCTION("""COMPUTED_VALUE"""),"NO HA INICIADO ETAPA PRODUCTIVA")</f>
        <v>NO HA INICIADO ETAPA PRODUCTIVA</v>
      </c>
      <c r="M247" s="40"/>
      <c r="N247" s="40"/>
      <c r="O247" s="40"/>
      <c r="P247" s="40"/>
      <c r="Q247" s="40"/>
      <c r="R247" s="140"/>
      <c r="S247" s="140"/>
      <c r="T247" s="40"/>
      <c r="U247" s="40" t="str">
        <f ca="1">IFERROR(__xludf.DUMMYFUNCTION("""COMPUTED_VALUE"""),"JHON EDWIN MONTILLLA")</f>
        <v>JHON EDWIN MONTILLLA</v>
      </c>
      <c r="V247" s="40" t="str">
        <f ca="1">IFERROR(__xludf.DUMMYFUNCTION("""COMPUTED_VALUE"""),"NO tiene seguimiento ...Revisado 08/04/2022")</f>
        <v>NO tiene seguimiento ...Revisado 08/04/2022</v>
      </c>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t="str">
        <f ca="1">IFERROR(__xludf.DUMMYFUNCTION("""COMPUTED_VALUE"""),"Procede_E_P")</f>
        <v>Procede_E_P</v>
      </c>
      <c r="AV247" s="40" t="str">
        <f ca="1">IFERROR(__xludf.DUMMYFUNCTION("""COMPUTED_VALUE"""),"EN FORMACION")</f>
        <v>EN FORMACION</v>
      </c>
      <c r="AW247" s="40" t="str">
        <f ca="1">IFERROR(__xludf.DUMMYFUNCTION("""COMPUTED_VALUE"""),"BIOCONSTRUCCION")</f>
        <v>BIOCONSTRUCCION</v>
      </c>
      <c r="AX247" s="141">
        <f ca="1">IFERROR(__xludf.DUMMYFUNCTION("""COMPUTED_VALUE"""),44839)</f>
        <v>44839</v>
      </c>
      <c r="AY247" s="40">
        <f ca="1">IFERROR(__xludf.DUMMYFUNCTION("""COMPUTED_VALUE"""),0)</f>
        <v>0</v>
      </c>
      <c r="AZ247" s="40">
        <f ca="1">IFERROR(__xludf.DUMMYFUNCTION("""COMPUTED_VALUE"""),1)</f>
        <v>1</v>
      </c>
      <c r="BA247" s="40">
        <f ca="1">IFERROR(__xludf.DUMMYFUNCTION("""COMPUTED_VALUE"""),0)</f>
        <v>0</v>
      </c>
      <c r="BB247" s="40">
        <f ca="1">IFERROR(__xludf.DUMMYFUNCTION("""COMPUTED_VALUE"""),0)</f>
        <v>0</v>
      </c>
      <c r="BC247" s="40">
        <f ca="1">IFERROR(__xludf.DUMMYFUNCTION("""COMPUTED_VALUE"""),1)</f>
        <v>1</v>
      </c>
      <c r="BD247" s="141">
        <f ca="1">IFERROR(__xludf.DUMMYFUNCTION("""COMPUTED_VALUE"""),44075)</f>
        <v>44075</v>
      </c>
      <c r="BE247" s="141">
        <f ca="1">IFERROR(__xludf.DUMMYFUNCTION("""COMPUTED_VALUE"""),44620)</f>
        <v>44620</v>
      </c>
      <c r="BF247" s="141">
        <f ca="1">IFERROR(__xludf.DUMMYFUNCTION("""COMPUTED_VALUE"""),44804)</f>
        <v>44804</v>
      </c>
      <c r="BG247" s="141">
        <f ca="1">IFERROR(__xludf.DUMMYFUNCTION("""COMPUTED_VALUE"""),45351)</f>
        <v>45351</v>
      </c>
      <c r="BH247" s="40" t="str">
        <f ca="1">IFERROR(__xludf.DUMMYFUNCTION("""COMPUTED_VALUE"""),"FICHA EN TIEMPO-18 MESES")</f>
        <v>FICHA EN TIEMPO-18 MESES</v>
      </c>
      <c r="BI247" s="40" t="str">
        <f ca="1">IFERROR(__xludf.DUMMYFUNCTION("""COMPUTED_VALUE"""),"Terminada por fecha")</f>
        <v>Terminada por fecha</v>
      </c>
      <c r="BJ247" s="40" t="str">
        <f ca="1">IFERROR(__xludf.DUMMYFUNCTION("""COMPUTED_VALUE"""),"Yamboro")</f>
        <v>Yamboro</v>
      </c>
      <c r="BK247" s="40"/>
      <c r="BL247" s="40"/>
    </row>
    <row r="248" spans="1:64" ht="13">
      <c r="A248" s="40"/>
      <c r="B248" s="40" t="str">
        <f ca="1">IFERROR(__xludf.DUMMYFUNCTION("""COMPUTED_VALUE"""),"FORMACIÓN 18/10/2022")</f>
        <v>FORMACIÓN 18/10/2022</v>
      </c>
      <c r="C248" s="40" t="str">
        <f ca="1">IFERROR(__xludf.DUMMYFUNCTION("""COMPUTED_VALUE"""),"CHELSI KATHERINE TORO DAZA")</f>
        <v>CHELSI KATHERINE TORO DAZA</v>
      </c>
      <c r="D248" s="40" t="str">
        <f ca="1">IFERROR(__xludf.DUMMYFUNCTION("""COMPUTED_VALUE"""),"CC")</f>
        <v>CC</v>
      </c>
      <c r="E248" s="40">
        <f ca="1">IFERROR(__xludf.DUMMYFUNCTION("""COMPUTED_VALUE"""),1083915799)</f>
        <v>1083915799</v>
      </c>
      <c r="F248" s="40">
        <f ca="1">IFERROR(__xludf.DUMMYFUNCTION("""COMPUTED_VALUE"""),2166552)</f>
        <v>2166552</v>
      </c>
      <c r="G248" s="40" t="str">
        <f ca="1">IFERROR(__xludf.DUMMYFUNCTION("""COMPUTED_VALUE"""),"TÉCNICO")</f>
        <v>TÉCNICO</v>
      </c>
      <c r="H248" s="40" t="str">
        <f ca="1">IFERROR(__xludf.DUMMYFUNCTION("""COMPUTED_VALUE"""),"DIBUJO ARQUITECTÓNICO")</f>
        <v>DIBUJO ARQUITECTÓNICO</v>
      </c>
      <c r="I248" s="40">
        <f ca="1">IFERROR(__xludf.DUMMYFUNCTION("""COMPUTED_VALUE"""),3173604604)</f>
        <v>3173604604</v>
      </c>
      <c r="J248" s="40" t="str">
        <f ca="1">IFERROR(__xludf.DUMMYFUNCTION("""COMPUTED_VALUE"""),"katherine30td@hotmail.com")</f>
        <v>katherine30td@hotmail.com</v>
      </c>
      <c r="K248" s="40"/>
      <c r="L248" s="40" t="str">
        <f ca="1">IFERROR(__xludf.DUMMYFUNCTION("""COMPUTED_VALUE"""),"NO HA INICIADO ETAPA PRODUCTIVA")</f>
        <v>NO HA INICIADO ETAPA PRODUCTIVA</v>
      </c>
      <c r="M248" s="40"/>
      <c r="N248" s="40"/>
      <c r="O248" s="40"/>
      <c r="P248" s="40"/>
      <c r="Q248" s="40"/>
      <c r="R248" s="140"/>
      <c r="S248" s="140"/>
      <c r="T248" s="40" t="str">
        <f ca="1">IFERROR(__xludf.DUMMYFUNCTION("""COMPUTED_VALUE"""),"debe un resultado de aprendizaje")</f>
        <v>debe un resultado de aprendizaje</v>
      </c>
      <c r="U248" s="40" t="str">
        <f ca="1">IFERROR(__xludf.DUMMYFUNCTION("""COMPUTED_VALUE"""),"JHON EDWIN MONTILLLA")</f>
        <v>JHON EDWIN MONTILLLA</v>
      </c>
      <c r="V248" s="40" t="str">
        <f ca="1">IFERROR(__xludf.DUMMYFUNCTION("""COMPUTED_VALUE"""),"NO tiene seguimiento ...Revisado 08/04/2022")</f>
        <v>NO tiene seguimiento ...Revisado 08/04/2022</v>
      </c>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t="str">
        <f ca="1">IFERROR(__xludf.DUMMYFUNCTION("""COMPUTED_VALUE"""),"NO_CUMPLE")</f>
        <v>NO_CUMPLE</v>
      </c>
      <c r="AV248" s="40" t="str">
        <f ca="1">IFERROR(__xludf.DUMMYFUNCTION("""COMPUTED_VALUE"""),"EN FORMACION")</f>
        <v>EN FORMACION</v>
      </c>
      <c r="AW248" s="40" t="str">
        <f ca="1">IFERROR(__xludf.DUMMYFUNCTION("""COMPUTED_VALUE"""),"BIOCONSTRUCCION")</f>
        <v>BIOCONSTRUCCION</v>
      </c>
      <c r="AX248" s="141">
        <f ca="1">IFERROR(__xludf.DUMMYFUNCTION("""COMPUTED_VALUE"""),44839)</f>
        <v>44839</v>
      </c>
      <c r="AY248" s="40">
        <f ca="1">IFERROR(__xludf.DUMMYFUNCTION("""COMPUTED_VALUE"""),0)</f>
        <v>0</v>
      </c>
      <c r="AZ248" s="40">
        <f ca="1">IFERROR(__xludf.DUMMYFUNCTION("""COMPUTED_VALUE"""),1)</f>
        <v>1</v>
      </c>
      <c r="BA248" s="40">
        <f ca="1">IFERROR(__xludf.DUMMYFUNCTION("""COMPUTED_VALUE"""),0)</f>
        <v>0</v>
      </c>
      <c r="BB248" s="40">
        <f ca="1">IFERROR(__xludf.DUMMYFUNCTION("""COMPUTED_VALUE"""),1)</f>
        <v>1</v>
      </c>
      <c r="BC248" s="40">
        <f ca="1">IFERROR(__xludf.DUMMYFUNCTION("""COMPUTED_VALUE"""),2)</f>
        <v>2</v>
      </c>
      <c r="BD248" s="141">
        <f ca="1">IFERROR(__xludf.DUMMYFUNCTION("""COMPUTED_VALUE"""),44075)</f>
        <v>44075</v>
      </c>
      <c r="BE248" s="141">
        <f ca="1">IFERROR(__xludf.DUMMYFUNCTION("""COMPUTED_VALUE"""),44620)</f>
        <v>44620</v>
      </c>
      <c r="BF248" s="141">
        <f ca="1">IFERROR(__xludf.DUMMYFUNCTION("""COMPUTED_VALUE"""),44804)</f>
        <v>44804</v>
      </c>
      <c r="BG248" s="141">
        <f ca="1">IFERROR(__xludf.DUMMYFUNCTION("""COMPUTED_VALUE"""),45351)</f>
        <v>45351</v>
      </c>
      <c r="BH248" s="40" t="str">
        <f ca="1">IFERROR(__xludf.DUMMYFUNCTION("""COMPUTED_VALUE"""),"FICHA EN TIEMPO-18 MESES")</f>
        <v>FICHA EN TIEMPO-18 MESES</v>
      </c>
      <c r="BI248" s="40" t="str">
        <f ca="1">IFERROR(__xludf.DUMMYFUNCTION("""COMPUTED_VALUE"""),"Terminada por fecha")</f>
        <v>Terminada por fecha</v>
      </c>
      <c r="BJ248" s="40" t="str">
        <f ca="1">IFERROR(__xludf.DUMMYFUNCTION("""COMPUTED_VALUE"""),"Yamboro")</f>
        <v>Yamboro</v>
      </c>
      <c r="BK248" s="40"/>
      <c r="BL248" s="40"/>
    </row>
    <row r="249" spans="1:64" ht="13">
      <c r="A249" s="40"/>
      <c r="B249" s="40" t="str">
        <f ca="1">IFERROR(__xludf.DUMMYFUNCTION("""COMPUTED_VALUE"""),"FORMACIÓN 18/10/2022")</f>
        <v>FORMACIÓN 18/10/2022</v>
      </c>
      <c r="C249" s="40" t="str">
        <f ca="1">IFERROR(__xludf.DUMMYFUNCTION("""COMPUTED_VALUE"""),"HAROLD ALEXIS JIMENEZ JOAQUI")</f>
        <v>HAROLD ALEXIS JIMENEZ JOAQUI</v>
      </c>
      <c r="D249" s="40" t="str">
        <f ca="1">IFERROR(__xludf.DUMMYFUNCTION("""COMPUTED_VALUE"""),"CC")</f>
        <v>CC</v>
      </c>
      <c r="E249" s="40">
        <f ca="1">IFERROR(__xludf.DUMMYFUNCTION("""COMPUTED_VALUE"""),1083921653)</f>
        <v>1083921653</v>
      </c>
      <c r="F249" s="40">
        <f ca="1">IFERROR(__xludf.DUMMYFUNCTION("""COMPUTED_VALUE"""),2166552)</f>
        <v>2166552</v>
      </c>
      <c r="G249" s="40" t="str">
        <f ca="1">IFERROR(__xludf.DUMMYFUNCTION("""COMPUTED_VALUE"""),"TÉCNICO")</f>
        <v>TÉCNICO</v>
      </c>
      <c r="H249" s="40" t="str">
        <f ca="1">IFERROR(__xludf.DUMMYFUNCTION("""COMPUTED_VALUE"""),"DIBUJO ARQUITECTÓNICO")</f>
        <v>DIBUJO ARQUITECTÓNICO</v>
      </c>
      <c r="I249" s="40">
        <f ca="1">IFERROR(__xludf.DUMMYFUNCTION("""COMPUTED_VALUE"""),3135670428)</f>
        <v>3135670428</v>
      </c>
      <c r="J249" s="40" t="str">
        <f ca="1">IFERROR(__xludf.DUMMYFUNCTION("""COMPUTED_VALUE"""),"Haroldfvr13@gmail.com")</f>
        <v>Haroldfvr13@gmail.com</v>
      </c>
      <c r="K249" s="40" t="str">
        <f ca="1">IFERROR(__xludf.DUMMYFUNCTION("""COMPUTED_VALUE"""),"PITALITO")</f>
        <v>PITALITO</v>
      </c>
      <c r="L249" s="40" t="str">
        <f ca="1">IFERROR(__xludf.DUMMYFUNCTION("""COMPUTED_VALUE"""),"PASANTÍAS")</f>
        <v>PASANTÍAS</v>
      </c>
      <c r="M249" s="40" t="str">
        <f ca="1">IFERROR(__xludf.DUMMYFUNCTION("""COMPUTED_VALUE"""),"ING. JAIME ALBERTO PARRA NIETO")</f>
        <v>ING. JAIME ALBERTO PARRA NIETO</v>
      </c>
      <c r="N249" s="40" t="str">
        <f ca="1">IFERROR(__xludf.DUMMYFUNCTION("""COMPUTED_VALUE"""),"Calle 2 # 2-75")</f>
        <v>Calle 2 # 2-75</v>
      </c>
      <c r="O249" s="40"/>
      <c r="P249" s="40" t="str">
        <f ca="1">IFERROR(__xludf.DUMMYFUNCTION("""COMPUTED_VALUE"""),"PITALITO HUILA")</f>
        <v>PITALITO HUILA</v>
      </c>
      <c r="Q249" s="40" t="str">
        <f ca="1">IFERROR(__xludf.DUMMYFUNCTION("""COMPUTED_VALUE"""),"haroldfvr13@hotmail.com")</f>
        <v>haroldfvr13@hotmail.com</v>
      </c>
      <c r="R249" s="140">
        <f ca="1">IFERROR(__xludf.DUMMYFUNCTION("""COMPUTED_VALUE"""),44454)</f>
        <v>44454</v>
      </c>
      <c r="S249" s="140">
        <f ca="1">IFERROR(__xludf.DUMMYFUNCTION("""COMPUTED_VALUE"""),44530)</f>
        <v>44530</v>
      </c>
      <c r="T249" s="40" t="str">
        <f ca="1">IFERROR(__xludf.DUMMYFUNCTION("""COMPUTED_VALUE"""),"debe 1 resultado de aprendizaje...Tiene acuerdo de voluntades, seguimiento parcial, bitácoras 4... falta final y certificación...en reportes ha cambiado tres veces de empresa.. Revisado 03/02/2022")</f>
        <v>debe 1 resultado de aprendizaje...Tiene acuerdo de voluntades, seguimiento parcial, bitácoras 4... falta final y certificación...en reportes ha cambiado tres veces de empresa.. Revisado 03/02/2022</v>
      </c>
      <c r="U249" s="40" t="str">
        <f ca="1">IFERROR(__xludf.DUMMYFUNCTION("""COMPUTED_VALUE"""),"JHON EDWIN MONTILLLA")</f>
        <v>JHON EDWIN MONTILLLA</v>
      </c>
      <c r="V249" s="40" t="str">
        <f ca="1">IFERROR(__xludf.DUMMYFUNCTION("""COMPUTED_VALUE"""),"No tiene seguimiento ...Revisado 25/04/2022")</f>
        <v>No tiene seguimiento ...Revisado 25/04/2022</v>
      </c>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t="str">
        <f ca="1">IFERROR(__xludf.DUMMYFUNCTION("""COMPUTED_VALUE"""),"NO_CUMPLE")</f>
        <v>NO_CUMPLE</v>
      </c>
      <c r="AV249" s="40" t="str">
        <f ca="1">IFERROR(__xludf.DUMMYFUNCTION("""COMPUTED_VALUE"""),"EN FORMACION")</f>
        <v>EN FORMACION</v>
      </c>
      <c r="AW249" s="40" t="str">
        <f ca="1">IFERROR(__xludf.DUMMYFUNCTION("""COMPUTED_VALUE"""),"BIOCONSTRUCCION")</f>
        <v>BIOCONSTRUCCION</v>
      </c>
      <c r="AX249" s="141">
        <f ca="1">IFERROR(__xludf.DUMMYFUNCTION("""COMPUTED_VALUE"""),44839)</f>
        <v>44839</v>
      </c>
      <c r="AY249" s="40">
        <f ca="1">IFERROR(__xludf.DUMMYFUNCTION("""COMPUTED_VALUE"""),0)</f>
        <v>0</v>
      </c>
      <c r="AZ249" s="40">
        <f ca="1">IFERROR(__xludf.DUMMYFUNCTION("""COMPUTED_VALUE"""),1)</f>
        <v>1</v>
      </c>
      <c r="BA249" s="40">
        <f ca="1">IFERROR(__xludf.DUMMYFUNCTION("""COMPUTED_VALUE"""),0)</f>
        <v>0</v>
      </c>
      <c r="BB249" s="40">
        <f ca="1">IFERROR(__xludf.DUMMYFUNCTION("""COMPUTED_VALUE"""),1)</f>
        <v>1</v>
      </c>
      <c r="BC249" s="40">
        <f ca="1">IFERROR(__xludf.DUMMYFUNCTION("""COMPUTED_VALUE"""),2)</f>
        <v>2</v>
      </c>
      <c r="BD249" s="141">
        <f ca="1">IFERROR(__xludf.DUMMYFUNCTION("""COMPUTED_VALUE"""),44075)</f>
        <v>44075</v>
      </c>
      <c r="BE249" s="141">
        <f ca="1">IFERROR(__xludf.DUMMYFUNCTION("""COMPUTED_VALUE"""),44620)</f>
        <v>44620</v>
      </c>
      <c r="BF249" s="141">
        <f ca="1">IFERROR(__xludf.DUMMYFUNCTION("""COMPUTED_VALUE"""),44804)</f>
        <v>44804</v>
      </c>
      <c r="BG249" s="141">
        <f ca="1">IFERROR(__xludf.DUMMYFUNCTION("""COMPUTED_VALUE"""),45351)</f>
        <v>45351</v>
      </c>
      <c r="BH249" s="40" t="str">
        <f ca="1">IFERROR(__xludf.DUMMYFUNCTION("""COMPUTED_VALUE"""),"FICHA EN TIEMPO-18 MESES")</f>
        <v>FICHA EN TIEMPO-18 MESES</v>
      </c>
      <c r="BI249" s="40" t="str">
        <f ca="1">IFERROR(__xludf.DUMMYFUNCTION("""COMPUTED_VALUE"""),"Terminada por fecha")</f>
        <v>Terminada por fecha</v>
      </c>
      <c r="BJ249" s="40" t="str">
        <f ca="1">IFERROR(__xludf.DUMMYFUNCTION("""COMPUTED_VALUE"""),"Yamboro")</f>
        <v>Yamboro</v>
      </c>
      <c r="BK249" s="40"/>
      <c r="BL249" s="40"/>
    </row>
    <row r="250" spans="1:64" ht="13">
      <c r="A250" s="40"/>
      <c r="B250" s="40" t="str">
        <f ca="1">IFERROR(__xludf.DUMMYFUNCTION("""COMPUTED_VALUE"""),"FORMACIÓN 18/10/2022")</f>
        <v>FORMACIÓN 18/10/2022</v>
      </c>
      <c r="C250" s="40" t="str">
        <f ca="1">IFERROR(__xludf.DUMMYFUNCTION("""COMPUTED_VALUE"""),"ALEJANDRO OME PEÑA")</f>
        <v>ALEJANDRO OME PEÑA</v>
      </c>
      <c r="D250" s="40" t="str">
        <f ca="1">IFERROR(__xludf.DUMMYFUNCTION("""COMPUTED_VALUE"""),"CC")</f>
        <v>CC</v>
      </c>
      <c r="E250" s="40">
        <f ca="1">IFERROR(__xludf.DUMMYFUNCTION("""COMPUTED_VALUE"""),1004083218)</f>
        <v>1004083218</v>
      </c>
      <c r="F250" s="40">
        <f ca="1">IFERROR(__xludf.DUMMYFUNCTION("""COMPUTED_VALUE"""),2322426)</f>
        <v>2322426</v>
      </c>
      <c r="G250" s="40" t="str">
        <f ca="1">IFERROR(__xludf.DUMMYFUNCTION("""COMPUTED_VALUE"""),"TÉCNICO")</f>
        <v>TÉCNICO</v>
      </c>
      <c r="H250" s="40" t="str">
        <f ca="1">IFERROR(__xludf.DUMMYFUNCTION("""COMPUTED_VALUE"""),"DIBUJO ARQUITECTÓNICO")</f>
        <v>DIBUJO ARQUITECTÓNICO</v>
      </c>
      <c r="I250" s="40"/>
      <c r="J250" s="40"/>
      <c r="K250" s="40"/>
      <c r="L250" s="40" t="str">
        <f ca="1">IFERROR(__xludf.DUMMYFUNCTION("""COMPUTED_VALUE"""),"NO HA INICIADO ETAPA PRODUCTIVA")</f>
        <v>NO HA INICIADO ETAPA PRODUCTIVA</v>
      </c>
      <c r="M250" s="40"/>
      <c r="N250" s="40"/>
      <c r="O250" s="40"/>
      <c r="P250" s="40"/>
      <c r="Q250" s="40"/>
      <c r="R250" s="140"/>
      <c r="S250" s="1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t="str">
        <f ca="1">IFERROR(__xludf.DUMMYFUNCTION("""COMPUTED_VALUE"""),"Procede_E_P")</f>
        <v>Procede_E_P</v>
      </c>
      <c r="AV250" s="40" t="str">
        <f ca="1">IFERROR(__xludf.DUMMYFUNCTION("""COMPUTED_VALUE"""),"EN FORMACION")</f>
        <v>EN FORMACION</v>
      </c>
      <c r="AW250" s="40" t="str">
        <f ca="1">IFERROR(__xludf.DUMMYFUNCTION("""COMPUTED_VALUE"""),"BIOCONSTRUCCION")</f>
        <v>BIOCONSTRUCCION</v>
      </c>
      <c r="AX250" s="141">
        <f ca="1">IFERROR(__xludf.DUMMYFUNCTION("""COMPUTED_VALUE"""),44839)</f>
        <v>44839</v>
      </c>
      <c r="AY250" s="40">
        <f ca="1">IFERROR(__xludf.DUMMYFUNCTION("""COMPUTED_VALUE"""),0)</f>
        <v>0</v>
      </c>
      <c r="AZ250" s="40">
        <f ca="1">IFERROR(__xludf.DUMMYFUNCTION("""COMPUTED_VALUE"""),1)</f>
        <v>1</v>
      </c>
      <c r="BA250" s="40">
        <f ca="1">IFERROR(__xludf.DUMMYFUNCTION("""COMPUTED_VALUE"""),0)</f>
        <v>0</v>
      </c>
      <c r="BB250" s="40">
        <f ca="1">IFERROR(__xludf.DUMMYFUNCTION("""COMPUTED_VALUE"""),0)</f>
        <v>0</v>
      </c>
      <c r="BC250" s="40">
        <f ca="1">IFERROR(__xludf.DUMMYFUNCTION("""COMPUTED_VALUE"""),1)</f>
        <v>1</v>
      </c>
      <c r="BD250" s="141">
        <f ca="1">IFERROR(__xludf.DUMMYFUNCTION("""COMPUTED_VALUE"""),44348)</f>
        <v>44348</v>
      </c>
      <c r="BE250" s="141">
        <f ca="1">IFERROR(__xludf.DUMMYFUNCTION("""COMPUTED_VALUE"""),44530)</f>
        <v>44530</v>
      </c>
      <c r="BF250" s="141">
        <f ca="1">IFERROR(__xludf.DUMMYFUNCTION("""COMPUTED_VALUE"""),44712)</f>
        <v>44712</v>
      </c>
      <c r="BG250" s="141">
        <f ca="1">IFERROR(__xludf.DUMMYFUNCTION("""COMPUTED_VALUE"""),45260)</f>
        <v>45260</v>
      </c>
      <c r="BH250" s="40" t="str">
        <f ca="1">IFERROR(__xludf.DUMMYFUNCTION("""COMPUTED_VALUE"""),"FICHA EN TIEMPO-18 MESES")</f>
        <v>FICHA EN TIEMPO-18 MESES</v>
      </c>
      <c r="BI250" s="40" t="str">
        <f ca="1">IFERROR(__xludf.DUMMYFUNCTION("""COMPUTED_VALUE"""),"Terminada por fecha")</f>
        <v>Terminada por fecha</v>
      </c>
      <c r="BJ250" s="40" t="str">
        <f ca="1">IFERROR(__xludf.DUMMYFUNCTION("""COMPUTED_VALUE"""),"Yamboro")</f>
        <v>Yamboro</v>
      </c>
      <c r="BK250" s="40"/>
      <c r="BL250" s="40"/>
    </row>
    <row r="251" spans="1:64" ht="13">
      <c r="A251" s="40"/>
      <c r="B251" s="40" t="str">
        <f ca="1">IFERROR(__xludf.DUMMYFUNCTION("""COMPUTED_VALUE"""),"FORMACIÓN 18/10/2022")</f>
        <v>FORMACIÓN 18/10/2022</v>
      </c>
      <c r="C251" s="40" t="str">
        <f ca="1">IFERROR(__xludf.DUMMYFUNCTION("""COMPUTED_VALUE"""),"BRAYAN STIVEN MORA GOMEZ")</f>
        <v>BRAYAN STIVEN MORA GOMEZ</v>
      </c>
      <c r="D251" s="40" t="str">
        <f ca="1">IFERROR(__xludf.DUMMYFUNCTION("""COMPUTED_VALUE"""),"CC")</f>
        <v>CC</v>
      </c>
      <c r="E251" s="40">
        <f ca="1">IFERROR(__xludf.DUMMYFUNCTION("""COMPUTED_VALUE"""),1004265974)</f>
        <v>1004265974</v>
      </c>
      <c r="F251" s="40">
        <f ca="1">IFERROR(__xludf.DUMMYFUNCTION("""COMPUTED_VALUE"""),2322426)</f>
        <v>2322426</v>
      </c>
      <c r="G251" s="40" t="str">
        <f ca="1">IFERROR(__xludf.DUMMYFUNCTION("""COMPUTED_VALUE"""),"TÉCNICO")</f>
        <v>TÉCNICO</v>
      </c>
      <c r="H251" s="40" t="str">
        <f ca="1">IFERROR(__xludf.DUMMYFUNCTION("""COMPUTED_VALUE"""),"DIBUJO ARQUITECTÓNICO")</f>
        <v>DIBUJO ARQUITECTÓNICO</v>
      </c>
      <c r="I251" s="40"/>
      <c r="J251" s="40"/>
      <c r="K251" s="40"/>
      <c r="L251" s="40" t="str">
        <f ca="1">IFERROR(__xludf.DUMMYFUNCTION("""COMPUTED_VALUE"""),"NO HA INICIADO ETAPA PRODUCTIVA")</f>
        <v>NO HA INICIADO ETAPA PRODUCTIVA</v>
      </c>
      <c r="M251" s="40"/>
      <c r="N251" s="40"/>
      <c r="O251" s="40"/>
      <c r="P251" s="40"/>
      <c r="Q251" s="40"/>
      <c r="R251" s="140"/>
      <c r="S251" s="1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t="str">
        <f ca="1">IFERROR(__xludf.DUMMYFUNCTION("""COMPUTED_VALUE"""),"Procede_E_P")</f>
        <v>Procede_E_P</v>
      </c>
      <c r="AV251" s="40" t="str">
        <f ca="1">IFERROR(__xludf.DUMMYFUNCTION("""COMPUTED_VALUE"""),"EN FORMACION")</f>
        <v>EN FORMACION</v>
      </c>
      <c r="AW251" s="40" t="str">
        <f ca="1">IFERROR(__xludf.DUMMYFUNCTION("""COMPUTED_VALUE"""),"BIOCONSTRUCCION")</f>
        <v>BIOCONSTRUCCION</v>
      </c>
      <c r="AX251" s="141">
        <f ca="1">IFERROR(__xludf.DUMMYFUNCTION("""COMPUTED_VALUE"""),44839)</f>
        <v>44839</v>
      </c>
      <c r="AY251" s="40">
        <f ca="1">IFERROR(__xludf.DUMMYFUNCTION("""COMPUTED_VALUE"""),0)</f>
        <v>0</v>
      </c>
      <c r="AZ251" s="40">
        <f ca="1">IFERROR(__xludf.DUMMYFUNCTION("""COMPUTED_VALUE"""),1)</f>
        <v>1</v>
      </c>
      <c r="BA251" s="40">
        <f ca="1">IFERROR(__xludf.DUMMYFUNCTION("""COMPUTED_VALUE"""),0)</f>
        <v>0</v>
      </c>
      <c r="BB251" s="40">
        <f ca="1">IFERROR(__xludf.DUMMYFUNCTION("""COMPUTED_VALUE"""),0)</f>
        <v>0</v>
      </c>
      <c r="BC251" s="40">
        <f ca="1">IFERROR(__xludf.DUMMYFUNCTION("""COMPUTED_VALUE"""),1)</f>
        <v>1</v>
      </c>
      <c r="BD251" s="141">
        <f ca="1">IFERROR(__xludf.DUMMYFUNCTION("""COMPUTED_VALUE"""),44348)</f>
        <v>44348</v>
      </c>
      <c r="BE251" s="141">
        <f ca="1">IFERROR(__xludf.DUMMYFUNCTION("""COMPUTED_VALUE"""),44530)</f>
        <v>44530</v>
      </c>
      <c r="BF251" s="141">
        <f ca="1">IFERROR(__xludf.DUMMYFUNCTION("""COMPUTED_VALUE"""),44712)</f>
        <v>44712</v>
      </c>
      <c r="BG251" s="141">
        <f ca="1">IFERROR(__xludf.DUMMYFUNCTION("""COMPUTED_VALUE"""),45260)</f>
        <v>45260</v>
      </c>
      <c r="BH251" s="40" t="str">
        <f ca="1">IFERROR(__xludf.DUMMYFUNCTION("""COMPUTED_VALUE"""),"FICHA EN TIEMPO-18 MESES")</f>
        <v>FICHA EN TIEMPO-18 MESES</v>
      </c>
      <c r="BI251" s="40" t="str">
        <f ca="1">IFERROR(__xludf.DUMMYFUNCTION("""COMPUTED_VALUE"""),"Terminada por fecha")</f>
        <v>Terminada por fecha</v>
      </c>
      <c r="BJ251" s="40" t="str">
        <f ca="1">IFERROR(__xludf.DUMMYFUNCTION("""COMPUTED_VALUE"""),"Yamboro")</f>
        <v>Yamboro</v>
      </c>
      <c r="BK251" s="40"/>
      <c r="BL251" s="40"/>
    </row>
    <row r="252" spans="1:64" ht="13">
      <c r="A252" s="40"/>
      <c r="B252" s="40" t="str">
        <f ca="1">IFERROR(__xludf.DUMMYFUNCTION("""COMPUTED_VALUE"""),"FORMACIÓN 18/10/2022")</f>
        <v>FORMACIÓN 18/10/2022</v>
      </c>
      <c r="C252" s="40" t="str">
        <f ca="1">IFERROR(__xludf.DUMMYFUNCTION("""COMPUTED_VALUE"""),"PAULA ANDREA ORTEGA PACCHA")</f>
        <v>PAULA ANDREA ORTEGA PACCHA</v>
      </c>
      <c r="D252" s="40" t="str">
        <f ca="1">IFERROR(__xludf.DUMMYFUNCTION("""COMPUTED_VALUE"""),"TI")</f>
        <v>TI</v>
      </c>
      <c r="E252" s="40">
        <f ca="1">IFERROR(__xludf.DUMMYFUNCTION("""COMPUTED_VALUE"""),1004440806)</f>
        <v>1004440806</v>
      </c>
      <c r="F252" s="40">
        <f ca="1">IFERROR(__xludf.DUMMYFUNCTION("""COMPUTED_VALUE"""),2322426)</f>
        <v>2322426</v>
      </c>
      <c r="G252" s="40" t="str">
        <f ca="1">IFERROR(__xludf.DUMMYFUNCTION("""COMPUTED_VALUE"""),"TÉCNICO")</f>
        <v>TÉCNICO</v>
      </c>
      <c r="H252" s="40" t="str">
        <f ca="1">IFERROR(__xludf.DUMMYFUNCTION("""COMPUTED_VALUE"""),"DIBUJO ARQUITECTÓNICO")</f>
        <v>DIBUJO ARQUITECTÓNICO</v>
      </c>
      <c r="I252" s="40"/>
      <c r="J252" s="40"/>
      <c r="K252" s="40"/>
      <c r="L252" s="40" t="str">
        <f ca="1">IFERROR(__xludf.DUMMYFUNCTION("""COMPUTED_VALUE"""),"NO HA INICIADO ETAPA PRODUCTIVA")</f>
        <v>NO HA INICIADO ETAPA PRODUCTIVA</v>
      </c>
      <c r="M252" s="40"/>
      <c r="N252" s="40"/>
      <c r="O252" s="40"/>
      <c r="P252" s="40"/>
      <c r="Q252" s="40"/>
      <c r="R252" s="140"/>
      <c r="S252" s="1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t="str">
        <f ca="1">IFERROR(__xludf.DUMMYFUNCTION("""COMPUTED_VALUE"""),"Procede_E_P")</f>
        <v>Procede_E_P</v>
      </c>
      <c r="AV252" s="40" t="str">
        <f ca="1">IFERROR(__xludf.DUMMYFUNCTION("""COMPUTED_VALUE"""),"EN FORMACION")</f>
        <v>EN FORMACION</v>
      </c>
      <c r="AW252" s="40" t="str">
        <f ca="1">IFERROR(__xludf.DUMMYFUNCTION("""COMPUTED_VALUE"""),"BIOCONSTRUCCION")</f>
        <v>BIOCONSTRUCCION</v>
      </c>
      <c r="AX252" s="141">
        <f ca="1">IFERROR(__xludf.DUMMYFUNCTION("""COMPUTED_VALUE"""),44839)</f>
        <v>44839</v>
      </c>
      <c r="AY252" s="40">
        <f ca="1">IFERROR(__xludf.DUMMYFUNCTION("""COMPUTED_VALUE"""),0)</f>
        <v>0</v>
      </c>
      <c r="AZ252" s="40">
        <f ca="1">IFERROR(__xludf.DUMMYFUNCTION("""COMPUTED_VALUE"""),1)</f>
        <v>1</v>
      </c>
      <c r="BA252" s="40">
        <f ca="1">IFERROR(__xludf.DUMMYFUNCTION("""COMPUTED_VALUE"""),0)</f>
        <v>0</v>
      </c>
      <c r="BB252" s="40">
        <f ca="1">IFERROR(__xludf.DUMMYFUNCTION("""COMPUTED_VALUE"""),0)</f>
        <v>0</v>
      </c>
      <c r="BC252" s="40">
        <f ca="1">IFERROR(__xludf.DUMMYFUNCTION("""COMPUTED_VALUE"""),1)</f>
        <v>1</v>
      </c>
      <c r="BD252" s="141">
        <f ca="1">IFERROR(__xludf.DUMMYFUNCTION("""COMPUTED_VALUE"""),44348)</f>
        <v>44348</v>
      </c>
      <c r="BE252" s="141">
        <f ca="1">IFERROR(__xludf.DUMMYFUNCTION("""COMPUTED_VALUE"""),44530)</f>
        <v>44530</v>
      </c>
      <c r="BF252" s="141">
        <f ca="1">IFERROR(__xludf.DUMMYFUNCTION("""COMPUTED_VALUE"""),44712)</f>
        <v>44712</v>
      </c>
      <c r="BG252" s="141">
        <f ca="1">IFERROR(__xludf.DUMMYFUNCTION("""COMPUTED_VALUE"""),45260)</f>
        <v>45260</v>
      </c>
      <c r="BH252" s="40" t="str">
        <f ca="1">IFERROR(__xludf.DUMMYFUNCTION("""COMPUTED_VALUE"""),"FICHA EN TIEMPO-18 MESES")</f>
        <v>FICHA EN TIEMPO-18 MESES</v>
      </c>
      <c r="BI252" s="40" t="str">
        <f ca="1">IFERROR(__xludf.DUMMYFUNCTION("""COMPUTED_VALUE"""),"Terminada por fecha")</f>
        <v>Terminada por fecha</v>
      </c>
      <c r="BJ252" s="40" t="str">
        <f ca="1">IFERROR(__xludf.DUMMYFUNCTION("""COMPUTED_VALUE"""),"Yamboro")</f>
        <v>Yamboro</v>
      </c>
      <c r="BK252" s="40"/>
      <c r="BL252" s="40"/>
    </row>
    <row r="253" spans="1:64" ht="13">
      <c r="A253" s="40"/>
      <c r="B253" s="40" t="str">
        <f ca="1">IFERROR(__xludf.DUMMYFUNCTION("""COMPUTED_VALUE"""),"FORMACIÓN 18/10/2022")</f>
        <v>FORMACIÓN 18/10/2022</v>
      </c>
      <c r="C253" s="40" t="str">
        <f ca="1">IFERROR(__xludf.DUMMYFUNCTION("""COMPUTED_VALUE"""),"HEIDY NATALIA TOVAR PEREZ")</f>
        <v>HEIDY NATALIA TOVAR PEREZ</v>
      </c>
      <c r="D253" s="40" t="str">
        <f ca="1">IFERROR(__xludf.DUMMYFUNCTION("""COMPUTED_VALUE"""),"CC")</f>
        <v>CC</v>
      </c>
      <c r="E253" s="40">
        <f ca="1">IFERROR(__xludf.DUMMYFUNCTION("""COMPUTED_VALUE"""),1007431155)</f>
        <v>1007431155</v>
      </c>
      <c r="F253" s="40">
        <f ca="1">IFERROR(__xludf.DUMMYFUNCTION("""COMPUTED_VALUE"""),2322426)</f>
        <v>2322426</v>
      </c>
      <c r="G253" s="40" t="str">
        <f ca="1">IFERROR(__xludf.DUMMYFUNCTION("""COMPUTED_VALUE"""),"TÉCNICO")</f>
        <v>TÉCNICO</v>
      </c>
      <c r="H253" s="40" t="str">
        <f ca="1">IFERROR(__xludf.DUMMYFUNCTION("""COMPUTED_VALUE"""),"DIBUJO ARQUITECTÓNICO")</f>
        <v>DIBUJO ARQUITECTÓNICO</v>
      </c>
      <c r="I253" s="40"/>
      <c r="J253" s="40"/>
      <c r="K253" s="40"/>
      <c r="L253" s="40" t="str">
        <f ca="1">IFERROR(__xludf.DUMMYFUNCTION("""COMPUTED_VALUE"""),"NO HA INICIADO ETAPA PRODUCTIVA")</f>
        <v>NO HA INICIADO ETAPA PRODUCTIVA</v>
      </c>
      <c r="M253" s="40"/>
      <c r="N253" s="40"/>
      <c r="O253" s="40"/>
      <c r="P253" s="40"/>
      <c r="Q253" s="40"/>
      <c r="R253" s="140"/>
      <c r="S253" s="1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t="str">
        <f ca="1">IFERROR(__xludf.DUMMYFUNCTION("""COMPUTED_VALUE"""),"NO_CUMPLE")</f>
        <v>NO_CUMPLE</v>
      </c>
      <c r="AV253" s="40" t="str">
        <f ca="1">IFERROR(__xludf.DUMMYFUNCTION("""COMPUTED_VALUE"""),"EN FORMACION")</f>
        <v>EN FORMACION</v>
      </c>
      <c r="AW253" s="40" t="str">
        <f ca="1">IFERROR(__xludf.DUMMYFUNCTION("""COMPUTED_VALUE"""),"BIOCONSTRUCCION")</f>
        <v>BIOCONSTRUCCION</v>
      </c>
      <c r="AX253" s="141">
        <f ca="1">IFERROR(__xludf.DUMMYFUNCTION("""COMPUTED_VALUE"""),44839)</f>
        <v>44839</v>
      </c>
      <c r="AY253" s="40">
        <f ca="1">IFERROR(__xludf.DUMMYFUNCTION("""COMPUTED_VALUE"""),1)</f>
        <v>1</v>
      </c>
      <c r="AZ253" s="40">
        <f ca="1">IFERROR(__xludf.DUMMYFUNCTION("""COMPUTED_VALUE"""),1)</f>
        <v>1</v>
      </c>
      <c r="BA253" s="40">
        <f ca="1">IFERROR(__xludf.DUMMYFUNCTION("""COMPUTED_VALUE"""),0)</f>
        <v>0</v>
      </c>
      <c r="BB253" s="40">
        <f ca="1">IFERROR(__xludf.DUMMYFUNCTION("""COMPUTED_VALUE"""),0)</f>
        <v>0</v>
      </c>
      <c r="BC253" s="40">
        <f ca="1">IFERROR(__xludf.DUMMYFUNCTION("""COMPUTED_VALUE"""),2)</f>
        <v>2</v>
      </c>
      <c r="BD253" s="141">
        <f ca="1">IFERROR(__xludf.DUMMYFUNCTION("""COMPUTED_VALUE"""),44348)</f>
        <v>44348</v>
      </c>
      <c r="BE253" s="141">
        <f ca="1">IFERROR(__xludf.DUMMYFUNCTION("""COMPUTED_VALUE"""),44530)</f>
        <v>44530</v>
      </c>
      <c r="BF253" s="141">
        <f ca="1">IFERROR(__xludf.DUMMYFUNCTION("""COMPUTED_VALUE"""),44712)</f>
        <v>44712</v>
      </c>
      <c r="BG253" s="141">
        <f ca="1">IFERROR(__xludf.DUMMYFUNCTION("""COMPUTED_VALUE"""),45260)</f>
        <v>45260</v>
      </c>
      <c r="BH253" s="40" t="str">
        <f ca="1">IFERROR(__xludf.DUMMYFUNCTION("""COMPUTED_VALUE"""),"FICHA EN TIEMPO-18 MESES")</f>
        <v>FICHA EN TIEMPO-18 MESES</v>
      </c>
      <c r="BI253" s="40" t="str">
        <f ca="1">IFERROR(__xludf.DUMMYFUNCTION("""COMPUTED_VALUE"""),"Terminada por fecha")</f>
        <v>Terminada por fecha</v>
      </c>
      <c r="BJ253" s="40" t="str">
        <f ca="1">IFERROR(__xludf.DUMMYFUNCTION("""COMPUTED_VALUE"""),"Yamboro")</f>
        <v>Yamboro</v>
      </c>
      <c r="BK253" s="40"/>
      <c r="BL253" s="40"/>
    </row>
    <row r="254" spans="1:64" ht="13">
      <c r="A254" s="40"/>
      <c r="B254" s="40" t="str">
        <f ca="1">IFERROR(__xludf.DUMMYFUNCTION("""COMPUTED_VALUE"""),"FORMACIÓN 18/10/2022")</f>
        <v>FORMACIÓN 18/10/2022</v>
      </c>
      <c r="C254" s="40" t="str">
        <f ca="1">IFERROR(__xludf.DUMMYFUNCTION("""COMPUTED_VALUE"""),"FELIPE ALONSO CARDONA CADENA")</f>
        <v>FELIPE ALONSO CARDONA CADENA</v>
      </c>
      <c r="D254" s="40" t="str">
        <f ca="1">IFERROR(__xludf.DUMMYFUNCTION("""COMPUTED_VALUE"""),"CC")</f>
        <v>CC</v>
      </c>
      <c r="E254" s="40">
        <f ca="1">IFERROR(__xludf.DUMMYFUNCTION("""COMPUTED_VALUE"""),1007502855)</f>
        <v>1007502855</v>
      </c>
      <c r="F254" s="40">
        <f ca="1">IFERROR(__xludf.DUMMYFUNCTION("""COMPUTED_VALUE"""),2322426)</f>
        <v>2322426</v>
      </c>
      <c r="G254" s="40" t="str">
        <f ca="1">IFERROR(__xludf.DUMMYFUNCTION("""COMPUTED_VALUE"""),"TÉCNICO")</f>
        <v>TÉCNICO</v>
      </c>
      <c r="H254" s="40" t="str">
        <f ca="1">IFERROR(__xludf.DUMMYFUNCTION("""COMPUTED_VALUE"""),"DIBUJO ARQUITECTÓNICO")</f>
        <v>DIBUJO ARQUITECTÓNICO</v>
      </c>
      <c r="I254" s="40"/>
      <c r="J254" s="40"/>
      <c r="K254" s="40"/>
      <c r="L254" s="40" t="str">
        <f ca="1">IFERROR(__xludf.DUMMYFUNCTION("""COMPUTED_VALUE"""),"NO HA INICIADO ETAPA PRODUCTIVA")</f>
        <v>NO HA INICIADO ETAPA PRODUCTIVA</v>
      </c>
      <c r="M254" s="40"/>
      <c r="N254" s="40"/>
      <c r="O254" s="40"/>
      <c r="P254" s="40"/>
      <c r="Q254" s="40"/>
      <c r="R254" s="140"/>
      <c r="S254" s="1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t="str">
        <f ca="1">IFERROR(__xludf.DUMMYFUNCTION("""COMPUTED_VALUE"""),"NO_CUMPLE")</f>
        <v>NO_CUMPLE</v>
      </c>
      <c r="AV254" s="40" t="str">
        <f ca="1">IFERROR(__xludf.DUMMYFUNCTION("""COMPUTED_VALUE"""),"EN FORMACION")</f>
        <v>EN FORMACION</v>
      </c>
      <c r="AW254" s="40" t="str">
        <f ca="1">IFERROR(__xludf.DUMMYFUNCTION("""COMPUTED_VALUE"""),"BIOCONSTRUCCION")</f>
        <v>BIOCONSTRUCCION</v>
      </c>
      <c r="AX254" s="141">
        <f ca="1">IFERROR(__xludf.DUMMYFUNCTION("""COMPUTED_VALUE"""),44839)</f>
        <v>44839</v>
      </c>
      <c r="AY254" s="40">
        <f ca="1">IFERROR(__xludf.DUMMYFUNCTION("""COMPUTED_VALUE"""),2)</f>
        <v>2</v>
      </c>
      <c r="AZ254" s="40">
        <f ca="1">IFERROR(__xludf.DUMMYFUNCTION("""COMPUTED_VALUE"""),1)</f>
        <v>1</v>
      </c>
      <c r="BA254" s="40">
        <f ca="1">IFERROR(__xludf.DUMMYFUNCTION("""COMPUTED_VALUE"""),0)</f>
        <v>0</v>
      </c>
      <c r="BB254" s="40">
        <f ca="1">IFERROR(__xludf.DUMMYFUNCTION("""COMPUTED_VALUE"""),0)</f>
        <v>0</v>
      </c>
      <c r="BC254" s="40">
        <f ca="1">IFERROR(__xludf.DUMMYFUNCTION("""COMPUTED_VALUE"""),3)</f>
        <v>3</v>
      </c>
      <c r="BD254" s="141">
        <f ca="1">IFERROR(__xludf.DUMMYFUNCTION("""COMPUTED_VALUE"""),44348)</f>
        <v>44348</v>
      </c>
      <c r="BE254" s="141">
        <f ca="1">IFERROR(__xludf.DUMMYFUNCTION("""COMPUTED_VALUE"""),44530)</f>
        <v>44530</v>
      </c>
      <c r="BF254" s="141">
        <f ca="1">IFERROR(__xludf.DUMMYFUNCTION("""COMPUTED_VALUE"""),44712)</f>
        <v>44712</v>
      </c>
      <c r="BG254" s="141">
        <f ca="1">IFERROR(__xludf.DUMMYFUNCTION("""COMPUTED_VALUE"""),45260)</f>
        <v>45260</v>
      </c>
      <c r="BH254" s="40" t="str">
        <f ca="1">IFERROR(__xludf.DUMMYFUNCTION("""COMPUTED_VALUE"""),"FICHA EN TIEMPO-18 MESES")</f>
        <v>FICHA EN TIEMPO-18 MESES</v>
      </c>
      <c r="BI254" s="40" t="str">
        <f ca="1">IFERROR(__xludf.DUMMYFUNCTION("""COMPUTED_VALUE"""),"Terminada por fecha")</f>
        <v>Terminada por fecha</v>
      </c>
      <c r="BJ254" s="40" t="str">
        <f ca="1">IFERROR(__xludf.DUMMYFUNCTION("""COMPUTED_VALUE"""),"Yamboro")</f>
        <v>Yamboro</v>
      </c>
      <c r="BK254" s="40"/>
      <c r="BL254" s="40"/>
    </row>
    <row r="255" spans="1:64" ht="13">
      <c r="A255" s="40"/>
      <c r="B255" s="40" t="str">
        <f ca="1">IFERROR(__xludf.DUMMYFUNCTION("""COMPUTED_VALUE"""),"FORMACIÓN 18/10/2022")</f>
        <v>FORMACIÓN 18/10/2022</v>
      </c>
      <c r="C255" s="40" t="str">
        <f ca="1">IFERROR(__xludf.DUMMYFUNCTION("""COMPUTED_VALUE"""),"FELIPE DANIEL GAVIRIA CAMPO")</f>
        <v>FELIPE DANIEL GAVIRIA CAMPO</v>
      </c>
      <c r="D255" s="40" t="str">
        <f ca="1">IFERROR(__xludf.DUMMYFUNCTION("""COMPUTED_VALUE"""),"CC")</f>
        <v>CC</v>
      </c>
      <c r="E255" s="40">
        <f ca="1">IFERROR(__xludf.DUMMYFUNCTION("""COMPUTED_VALUE"""),1007502936)</f>
        <v>1007502936</v>
      </c>
      <c r="F255" s="40">
        <f ca="1">IFERROR(__xludf.DUMMYFUNCTION("""COMPUTED_VALUE"""),2322426)</f>
        <v>2322426</v>
      </c>
      <c r="G255" s="40" t="str">
        <f ca="1">IFERROR(__xludf.DUMMYFUNCTION("""COMPUTED_VALUE"""),"TÉCNICO")</f>
        <v>TÉCNICO</v>
      </c>
      <c r="H255" s="40" t="str">
        <f ca="1">IFERROR(__xludf.DUMMYFUNCTION("""COMPUTED_VALUE"""),"DIBUJO ARQUITECTÓNICO")</f>
        <v>DIBUJO ARQUITECTÓNICO</v>
      </c>
      <c r="I255" s="40"/>
      <c r="J255" s="40" t="str">
        <f ca="1">IFERROR(__xludf.DUMMYFUNCTION("""COMPUTED_VALUE"""),"3108648235")</f>
        <v>3108648235</v>
      </c>
      <c r="K255" s="40" t="str">
        <f ca="1">IFERROR(__xludf.DUMMYFUNCTION("""COMPUTED_VALUE"""),"pipeabala209@gmail.com")</f>
        <v>pipeabala209@gmail.com</v>
      </c>
      <c r="L255" s="40" t="str">
        <f ca="1">IFERROR(__xludf.DUMMYFUNCTION("""COMPUTED_VALUE"""),"CONTRATO DE APRENDIZAJE")</f>
        <v>CONTRATO DE APRENDIZAJE</v>
      </c>
      <c r="M255" s="40" t="str">
        <f ca="1">IFERROR(__xludf.DUMMYFUNCTION("""COMPUTED_VALUE"""),"DIELECTRICA CONSTRUCCIONES S.A.S ")</f>
        <v xml:space="preserve">DIELECTRICA CONSTRUCCIONES S.A.S </v>
      </c>
      <c r="N255" s="40" t="str">
        <f ca="1">IFERROR(__xludf.DUMMYFUNCTION("""COMPUTED_VALUE"""),"CRA 5 # 10 - 43")</f>
        <v>CRA 5 # 10 - 43</v>
      </c>
      <c r="O255" s="40"/>
      <c r="P255" s="40" t="str">
        <f ca="1">IFERROR(__xludf.DUMMYFUNCTION("""COMPUTED_VALUE"""),"3136909492")</f>
        <v>3136909492</v>
      </c>
      <c r="Q255" s="40" t="str">
        <f ca="1">IFERROR(__xludf.DUMMYFUNCTION("""COMPUTED_VALUE"""),"dielectricasas@hotmail.com
")</f>
        <v xml:space="preserve">dielectricasas@hotmail.com
</v>
      </c>
      <c r="R255" s="140">
        <f ca="1">IFERROR(__xludf.DUMMYFUNCTION("""COMPUTED_VALUE"""),44777)</f>
        <v>44777</v>
      </c>
      <c r="S255" s="140">
        <f ca="1">IFERROR(__xludf.DUMMYFUNCTION("""COMPUTED_VALUE"""),44960)</f>
        <v>44960</v>
      </c>
      <c r="T255" s="40"/>
      <c r="U255" s="40" t="str">
        <f ca="1">IFERROR(__xludf.DUMMYFUNCTION("""COMPUTED_VALUE"""),"SERGIO ALEJANDRO MUÑOZ -- Asignado ")</f>
        <v xml:space="preserve">SERGIO ALEJANDRO MUÑOZ -- Asignado </v>
      </c>
      <c r="V255" s="40" t="str">
        <f ca="1">IFERROR(__xludf.DUMMYFUNCTION("""COMPUTED_VALUE"""),"NO tiene seguimiento 23/08/2022")</f>
        <v>NO tiene seguimiento 23/08/2022</v>
      </c>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t="str">
        <f ca="1">IFERROR(__xludf.DUMMYFUNCTION("""COMPUTED_VALUE"""),"Procede_E_P")</f>
        <v>Procede_E_P</v>
      </c>
      <c r="AV255" s="40" t="str">
        <f ca="1">IFERROR(__xludf.DUMMYFUNCTION("""COMPUTED_VALUE"""),"EN FORMACION")</f>
        <v>EN FORMACION</v>
      </c>
      <c r="AW255" s="40" t="str">
        <f ca="1">IFERROR(__xludf.DUMMYFUNCTION("""COMPUTED_VALUE"""),"BIOCONSTRUCCION")</f>
        <v>BIOCONSTRUCCION</v>
      </c>
      <c r="AX255" s="141">
        <f ca="1">IFERROR(__xludf.DUMMYFUNCTION("""COMPUTED_VALUE"""),44839)</f>
        <v>44839</v>
      </c>
      <c r="AY255" s="40">
        <f ca="1">IFERROR(__xludf.DUMMYFUNCTION("""COMPUTED_VALUE"""),0)</f>
        <v>0</v>
      </c>
      <c r="AZ255" s="40">
        <f ca="1">IFERROR(__xludf.DUMMYFUNCTION("""COMPUTED_VALUE"""),1)</f>
        <v>1</v>
      </c>
      <c r="BA255" s="40">
        <f ca="1">IFERROR(__xludf.DUMMYFUNCTION("""COMPUTED_VALUE"""),0)</f>
        <v>0</v>
      </c>
      <c r="BB255" s="40">
        <f ca="1">IFERROR(__xludf.DUMMYFUNCTION("""COMPUTED_VALUE"""),0)</f>
        <v>0</v>
      </c>
      <c r="BC255" s="40">
        <f ca="1">IFERROR(__xludf.DUMMYFUNCTION("""COMPUTED_VALUE"""),1)</f>
        <v>1</v>
      </c>
      <c r="BD255" s="141">
        <f ca="1">IFERROR(__xludf.DUMMYFUNCTION("""COMPUTED_VALUE"""),44348)</f>
        <v>44348</v>
      </c>
      <c r="BE255" s="141">
        <f ca="1">IFERROR(__xludf.DUMMYFUNCTION("""COMPUTED_VALUE"""),44530)</f>
        <v>44530</v>
      </c>
      <c r="BF255" s="141">
        <f ca="1">IFERROR(__xludf.DUMMYFUNCTION("""COMPUTED_VALUE"""),44712)</f>
        <v>44712</v>
      </c>
      <c r="BG255" s="141">
        <f ca="1">IFERROR(__xludf.DUMMYFUNCTION("""COMPUTED_VALUE"""),45260)</f>
        <v>45260</v>
      </c>
      <c r="BH255" s="40" t="str">
        <f ca="1">IFERROR(__xludf.DUMMYFUNCTION("""COMPUTED_VALUE"""),"FICHA EN TIEMPO-18 MESES")</f>
        <v>FICHA EN TIEMPO-18 MESES</v>
      </c>
      <c r="BI255" s="40" t="str">
        <f ca="1">IFERROR(__xludf.DUMMYFUNCTION("""COMPUTED_VALUE"""),"Terminada por fecha")</f>
        <v>Terminada por fecha</v>
      </c>
      <c r="BJ255" s="40" t="str">
        <f ca="1">IFERROR(__xludf.DUMMYFUNCTION("""COMPUTED_VALUE"""),"Yamboro")</f>
        <v>Yamboro</v>
      </c>
      <c r="BK255" s="40"/>
      <c r="BL255" s="40"/>
    </row>
    <row r="256" spans="1:64" ht="13">
      <c r="A256" s="40"/>
      <c r="B256" s="40" t="str">
        <f ca="1">IFERROR(__xludf.DUMMYFUNCTION("""COMPUTED_VALUE"""),"FORMACIÓN 18/10/2022")</f>
        <v>FORMACIÓN 18/10/2022</v>
      </c>
      <c r="C256" s="40" t="str">
        <f ca="1">IFERROR(__xludf.DUMMYFUNCTION("""COMPUTED_VALUE"""),"ANGELA TATIANA ROJAS LUGO")</f>
        <v>ANGELA TATIANA ROJAS LUGO</v>
      </c>
      <c r="D256" s="40" t="str">
        <f ca="1">IFERROR(__xludf.DUMMYFUNCTION("""COMPUTED_VALUE"""),"CC")</f>
        <v>CC</v>
      </c>
      <c r="E256" s="40">
        <f ca="1">IFERROR(__xludf.DUMMYFUNCTION("""COMPUTED_VALUE"""),1007502944)</f>
        <v>1007502944</v>
      </c>
      <c r="F256" s="40">
        <f ca="1">IFERROR(__xludf.DUMMYFUNCTION("""COMPUTED_VALUE"""),2322426)</f>
        <v>2322426</v>
      </c>
      <c r="G256" s="40" t="str">
        <f ca="1">IFERROR(__xludf.DUMMYFUNCTION("""COMPUTED_VALUE"""),"TÉCNICO")</f>
        <v>TÉCNICO</v>
      </c>
      <c r="H256" s="40" t="str">
        <f ca="1">IFERROR(__xludf.DUMMYFUNCTION("""COMPUTED_VALUE"""),"DIBUJO ARQUITECTÓNICO")</f>
        <v>DIBUJO ARQUITECTÓNICO</v>
      </c>
      <c r="I256" s="40"/>
      <c r="J256" s="40"/>
      <c r="K256" s="40"/>
      <c r="L256" s="40" t="str">
        <f ca="1">IFERROR(__xludf.DUMMYFUNCTION("""COMPUTED_VALUE"""),"NO HA INICIADO ETAPA PRODUCTIVA")</f>
        <v>NO HA INICIADO ETAPA PRODUCTIVA</v>
      </c>
      <c r="M256" s="40"/>
      <c r="N256" s="40"/>
      <c r="O256" s="40"/>
      <c r="P256" s="40"/>
      <c r="Q256" s="40"/>
      <c r="R256" s="140"/>
      <c r="S256" s="1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t="str">
        <f ca="1">IFERROR(__xludf.DUMMYFUNCTION("""COMPUTED_VALUE"""),"Procede_E_P")</f>
        <v>Procede_E_P</v>
      </c>
      <c r="AV256" s="40" t="str">
        <f ca="1">IFERROR(__xludf.DUMMYFUNCTION("""COMPUTED_VALUE"""),"EN FORMACION")</f>
        <v>EN FORMACION</v>
      </c>
      <c r="AW256" s="40" t="str">
        <f ca="1">IFERROR(__xludf.DUMMYFUNCTION("""COMPUTED_VALUE"""),"BIOCONSTRUCCION")</f>
        <v>BIOCONSTRUCCION</v>
      </c>
      <c r="AX256" s="141">
        <f ca="1">IFERROR(__xludf.DUMMYFUNCTION("""COMPUTED_VALUE"""),44839)</f>
        <v>44839</v>
      </c>
      <c r="AY256" s="40">
        <f ca="1">IFERROR(__xludf.DUMMYFUNCTION("""COMPUTED_VALUE"""),0)</f>
        <v>0</v>
      </c>
      <c r="AZ256" s="40">
        <f ca="1">IFERROR(__xludf.DUMMYFUNCTION("""COMPUTED_VALUE"""),1)</f>
        <v>1</v>
      </c>
      <c r="BA256" s="40">
        <f ca="1">IFERROR(__xludf.DUMMYFUNCTION("""COMPUTED_VALUE"""),0)</f>
        <v>0</v>
      </c>
      <c r="BB256" s="40">
        <f ca="1">IFERROR(__xludf.DUMMYFUNCTION("""COMPUTED_VALUE"""),0)</f>
        <v>0</v>
      </c>
      <c r="BC256" s="40">
        <f ca="1">IFERROR(__xludf.DUMMYFUNCTION("""COMPUTED_VALUE"""),1)</f>
        <v>1</v>
      </c>
      <c r="BD256" s="141">
        <f ca="1">IFERROR(__xludf.DUMMYFUNCTION("""COMPUTED_VALUE"""),44348)</f>
        <v>44348</v>
      </c>
      <c r="BE256" s="141">
        <f ca="1">IFERROR(__xludf.DUMMYFUNCTION("""COMPUTED_VALUE"""),44530)</f>
        <v>44530</v>
      </c>
      <c r="BF256" s="141">
        <f ca="1">IFERROR(__xludf.DUMMYFUNCTION("""COMPUTED_VALUE"""),44712)</f>
        <v>44712</v>
      </c>
      <c r="BG256" s="141">
        <f ca="1">IFERROR(__xludf.DUMMYFUNCTION("""COMPUTED_VALUE"""),45260)</f>
        <v>45260</v>
      </c>
      <c r="BH256" s="40" t="str">
        <f ca="1">IFERROR(__xludf.DUMMYFUNCTION("""COMPUTED_VALUE"""),"FICHA EN TIEMPO-18 MESES")</f>
        <v>FICHA EN TIEMPO-18 MESES</v>
      </c>
      <c r="BI256" s="40" t="str">
        <f ca="1">IFERROR(__xludf.DUMMYFUNCTION("""COMPUTED_VALUE"""),"Terminada por fecha")</f>
        <v>Terminada por fecha</v>
      </c>
      <c r="BJ256" s="40" t="str">
        <f ca="1">IFERROR(__xludf.DUMMYFUNCTION("""COMPUTED_VALUE"""),"Yamboro")</f>
        <v>Yamboro</v>
      </c>
      <c r="BK256" s="40"/>
      <c r="BL256" s="40"/>
    </row>
    <row r="257" spans="1:64" ht="13">
      <c r="A257" s="40"/>
      <c r="B257" s="40" t="str">
        <f ca="1">IFERROR(__xludf.DUMMYFUNCTION("""COMPUTED_VALUE"""),"FORMACIÓN 18/10/2022")</f>
        <v>FORMACIÓN 18/10/2022</v>
      </c>
      <c r="C257" s="40" t="str">
        <f ca="1">IFERROR(__xludf.DUMMYFUNCTION("""COMPUTED_VALUE"""),"LAURA VALENTINA ROJAS FACUNDO")</f>
        <v>LAURA VALENTINA ROJAS FACUNDO</v>
      </c>
      <c r="D257" s="40" t="str">
        <f ca="1">IFERROR(__xludf.DUMMYFUNCTION("""COMPUTED_VALUE"""),"CC")</f>
        <v>CC</v>
      </c>
      <c r="E257" s="40">
        <f ca="1">IFERROR(__xludf.DUMMYFUNCTION("""COMPUTED_VALUE"""),1007871124)</f>
        <v>1007871124</v>
      </c>
      <c r="F257" s="40">
        <f ca="1">IFERROR(__xludf.DUMMYFUNCTION("""COMPUTED_VALUE"""),2322426)</f>
        <v>2322426</v>
      </c>
      <c r="G257" s="40" t="str">
        <f ca="1">IFERROR(__xludf.DUMMYFUNCTION("""COMPUTED_VALUE"""),"TÉCNICO")</f>
        <v>TÉCNICO</v>
      </c>
      <c r="H257" s="40" t="str">
        <f ca="1">IFERROR(__xludf.DUMMYFUNCTION("""COMPUTED_VALUE"""),"DIBUJO ARQUITECTÓNICO")</f>
        <v>DIBUJO ARQUITECTÓNICO</v>
      </c>
      <c r="I257" s="40"/>
      <c r="J257" s="40"/>
      <c r="K257" s="40"/>
      <c r="L257" s="40" t="str">
        <f ca="1">IFERROR(__xludf.DUMMYFUNCTION("""COMPUTED_VALUE"""),"NO HA INICIADO ETAPA PRODUCTIVA")</f>
        <v>NO HA INICIADO ETAPA PRODUCTIVA</v>
      </c>
      <c r="M257" s="40"/>
      <c r="N257" s="40"/>
      <c r="O257" s="40"/>
      <c r="P257" s="40"/>
      <c r="Q257" s="40"/>
      <c r="R257" s="140"/>
      <c r="S257" s="1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t="str">
        <f ca="1">IFERROR(__xludf.DUMMYFUNCTION("""COMPUTED_VALUE"""),"NO_CUMPLE")</f>
        <v>NO_CUMPLE</v>
      </c>
      <c r="AV257" s="40" t="str">
        <f ca="1">IFERROR(__xludf.DUMMYFUNCTION("""COMPUTED_VALUE"""),"EN FORMACION")</f>
        <v>EN FORMACION</v>
      </c>
      <c r="AW257" s="40" t="str">
        <f ca="1">IFERROR(__xludf.DUMMYFUNCTION("""COMPUTED_VALUE"""),"BIOCONSTRUCCION")</f>
        <v>BIOCONSTRUCCION</v>
      </c>
      <c r="AX257" s="141">
        <f ca="1">IFERROR(__xludf.DUMMYFUNCTION("""COMPUTED_VALUE"""),44839)</f>
        <v>44839</v>
      </c>
      <c r="AY257" s="40">
        <f ca="1">IFERROR(__xludf.DUMMYFUNCTION("""COMPUTED_VALUE"""),1)</f>
        <v>1</v>
      </c>
      <c r="AZ257" s="40">
        <f ca="1">IFERROR(__xludf.DUMMYFUNCTION("""COMPUTED_VALUE"""),1)</f>
        <v>1</v>
      </c>
      <c r="BA257" s="40">
        <f ca="1">IFERROR(__xludf.DUMMYFUNCTION("""COMPUTED_VALUE"""),0)</f>
        <v>0</v>
      </c>
      <c r="BB257" s="40">
        <f ca="1">IFERROR(__xludf.DUMMYFUNCTION("""COMPUTED_VALUE"""),0)</f>
        <v>0</v>
      </c>
      <c r="BC257" s="40">
        <f ca="1">IFERROR(__xludf.DUMMYFUNCTION("""COMPUTED_VALUE"""),2)</f>
        <v>2</v>
      </c>
      <c r="BD257" s="141">
        <f ca="1">IFERROR(__xludf.DUMMYFUNCTION("""COMPUTED_VALUE"""),44348)</f>
        <v>44348</v>
      </c>
      <c r="BE257" s="141">
        <f ca="1">IFERROR(__xludf.DUMMYFUNCTION("""COMPUTED_VALUE"""),44530)</f>
        <v>44530</v>
      </c>
      <c r="BF257" s="141">
        <f ca="1">IFERROR(__xludf.DUMMYFUNCTION("""COMPUTED_VALUE"""),44712)</f>
        <v>44712</v>
      </c>
      <c r="BG257" s="141">
        <f ca="1">IFERROR(__xludf.DUMMYFUNCTION("""COMPUTED_VALUE"""),45260)</f>
        <v>45260</v>
      </c>
      <c r="BH257" s="40" t="str">
        <f ca="1">IFERROR(__xludf.DUMMYFUNCTION("""COMPUTED_VALUE"""),"FICHA EN TIEMPO-18 MESES")</f>
        <v>FICHA EN TIEMPO-18 MESES</v>
      </c>
      <c r="BI257" s="40" t="str">
        <f ca="1">IFERROR(__xludf.DUMMYFUNCTION("""COMPUTED_VALUE"""),"Terminada por fecha")</f>
        <v>Terminada por fecha</v>
      </c>
      <c r="BJ257" s="40" t="str">
        <f ca="1">IFERROR(__xludf.DUMMYFUNCTION("""COMPUTED_VALUE"""),"Yamboro")</f>
        <v>Yamboro</v>
      </c>
      <c r="BK257" s="40"/>
      <c r="BL257" s="40"/>
    </row>
    <row r="258" spans="1:64" ht="13">
      <c r="A258" s="40"/>
      <c r="B258" s="40" t="str">
        <f ca="1">IFERROR(__xludf.DUMMYFUNCTION("""COMPUTED_VALUE"""),"FORMACIÓN 18/10/2022")</f>
        <v>FORMACIÓN 18/10/2022</v>
      </c>
      <c r="C258" s="40" t="str">
        <f ca="1">IFERROR(__xludf.DUMMYFUNCTION("""COMPUTED_VALUE"""),"ALEXA JULIETHSANCHEZ SANTANILLA")</f>
        <v>ALEXA JULIETHSANCHEZ SANTANILLA</v>
      </c>
      <c r="D258" s="40" t="str">
        <f ca="1">IFERROR(__xludf.DUMMYFUNCTION("""COMPUTED_VALUE"""),"TI")</f>
        <v>TI</v>
      </c>
      <c r="E258" s="40">
        <f ca="1">IFERROR(__xludf.DUMMYFUNCTION("""COMPUTED_VALUE"""),1079534178)</f>
        <v>1079534178</v>
      </c>
      <c r="F258" s="40">
        <f ca="1">IFERROR(__xludf.DUMMYFUNCTION("""COMPUTED_VALUE"""),2322426)</f>
        <v>2322426</v>
      </c>
      <c r="G258" s="40" t="str">
        <f ca="1">IFERROR(__xludf.DUMMYFUNCTION("""COMPUTED_VALUE"""),"TÉCNICO")</f>
        <v>TÉCNICO</v>
      </c>
      <c r="H258" s="40" t="str">
        <f ca="1">IFERROR(__xludf.DUMMYFUNCTION("""COMPUTED_VALUE"""),"DIBUJO ARQUITECTÓNICO")</f>
        <v>DIBUJO ARQUITECTÓNICO</v>
      </c>
      <c r="I258" s="40">
        <f ca="1">IFERROR(__xludf.DUMMYFUNCTION("""COMPUTED_VALUE"""),3209589234)</f>
        <v>3209589234</v>
      </c>
      <c r="J258" s="40" t="str">
        <f ca="1">IFERROR(__xludf.DUMMYFUNCTION("""COMPUTED_VALUE"""),"alexajuliethsanchez19@gmail.com")</f>
        <v>alexajuliethsanchez19@gmail.com</v>
      </c>
      <c r="K258" s="40"/>
      <c r="L258" s="40" t="str">
        <f ca="1">IFERROR(__xludf.DUMMYFUNCTION("""COMPUTED_VALUE"""),"PASANTÍAS")</f>
        <v>PASANTÍAS</v>
      </c>
      <c r="M258" s="40" t="str">
        <f ca="1">IFERROR(__xludf.DUMMYFUNCTION("""COMPUTED_VALUE"""),"CENTRO DE GESTIÓN Y DESARROLLO SOSTENIBLE SUERCOLOMBIANO ")</f>
        <v xml:space="preserve">CENTRO DE GESTIÓN Y DESARROLLO SOSTENIBLE SUERCOLOMBIANO </v>
      </c>
      <c r="N258" s="40" t="str">
        <f ca="1">IFERROR(__xludf.DUMMYFUNCTION("""COMPUTED_VALUE"""),"calle 8 No. 7-52 Barrio centro")</f>
        <v>calle 8 No. 7-52 Barrio centro</v>
      </c>
      <c r="O258" s="40"/>
      <c r="P258" s="40" t="str">
        <f ca="1">IFERROR(__xludf.DUMMYFUNCTION("""COMPUTED_VALUE"""),"3002105865")</f>
        <v>3002105865</v>
      </c>
      <c r="Q258" s="40" t="str">
        <f ca="1">IFERROR(__xludf.DUMMYFUNCTION("""COMPUTED_VALUE"""),"apinzonp@sena.edu.co")</f>
        <v>apinzonp@sena.edu.co</v>
      </c>
      <c r="R258" s="140">
        <f ca="1">IFERROR(__xludf.DUMMYFUNCTION("""COMPUTED_VALUE"""),44576)</f>
        <v>44576</v>
      </c>
      <c r="S258" s="140">
        <f ca="1">IFERROR(__xludf.DUMMYFUNCTION("""COMPUTED_VALUE"""),44758)</f>
        <v>44758</v>
      </c>
      <c r="T258" s="40" t="str">
        <f ca="1">IFERROR(__xludf.DUMMYFUNCTION("""COMPUTED_VALUE"""),"Tiene acuerdo de voluntades, Parcial, bitácoras 1,2,3,4,5,6 y 7 ... Falta final, certificación y bitácoras 8,9,10,11 y 12 ... Revisado 21/06/2022")</f>
        <v>Tiene acuerdo de voluntades, Parcial, bitácoras 1,2,3,4,5,6 y 7 ... Falta final, certificación y bitácoras 8,9,10,11 y 12 ... Revisado 21/06/2022</v>
      </c>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t="str">
        <f ca="1">IFERROR(__xludf.DUMMYFUNCTION("""COMPUTED_VALUE"""),"Procede_E_P")</f>
        <v>Procede_E_P</v>
      </c>
      <c r="AV258" s="40" t="str">
        <f ca="1">IFERROR(__xludf.DUMMYFUNCTION("""COMPUTED_VALUE"""),"EN FORMACION")</f>
        <v>EN FORMACION</v>
      </c>
      <c r="AW258" s="40" t="str">
        <f ca="1">IFERROR(__xludf.DUMMYFUNCTION("""COMPUTED_VALUE"""),"BIOCONSTRUCCION")</f>
        <v>BIOCONSTRUCCION</v>
      </c>
      <c r="AX258" s="141">
        <f ca="1">IFERROR(__xludf.DUMMYFUNCTION("""COMPUTED_VALUE"""),44839)</f>
        <v>44839</v>
      </c>
      <c r="AY258" s="40">
        <f ca="1">IFERROR(__xludf.DUMMYFUNCTION("""COMPUTED_VALUE"""),0)</f>
        <v>0</v>
      </c>
      <c r="AZ258" s="40">
        <f ca="1">IFERROR(__xludf.DUMMYFUNCTION("""COMPUTED_VALUE"""),1)</f>
        <v>1</v>
      </c>
      <c r="BA258" s="40">
        <f ca="1">IFERROR(__xludf.DUMMYFUNCTION("""COMPUTED_VALUE"""),0)</f>
        <v>0</v>
      </c>
      <c r="BB258" s="40">
        <f ca="1">IFERROR(__xludf.DUMMYFUNCTION("""COMPUTED_VALUE"""),0)</f>
        <v>0</v>
      </c>
      <c r="BC258" s="40">
        <f ca="1">IFERROR(__xludf.DUMMYFUNCTION("""COMPUTED_VALUE"""),1)</f>
        <v>1</v>
      </c>
      <c r="BD258" s="141">
        <f ca="1">IFERROR(__xludf.DUMMYFUNCTION("""COMPUTED_VALUE"""),44348)</f>
        <v>44348</v>
      </c>
      <c r="BE258" s="141">
        <f ca="1">IFERROR(__xludf.DUMMYFUNCTION("""COMPUTED_VALUE"""),44530)</f>
        <v>44530</v>
      </c>
      <c r="BF258" s="141">
        <f ca="1">IFERROR(__xludf.DUMMYFUNCTION("""COMPUTED_VALUE"""),44712)</f>
        <v>44712</v>
      </c>
      <c r="BG258" s="141">
        <f ca="1">IFERROR(__xludf.DUMMYFUNCTION("""COMPUTED_VALUE"""),45260)</f>
        <v>45260</v>
      </c>
      <c r="BH258" s="40" t="str">
        <f ca="1">IFERROR(__xludf.DUMMYFUNCTION("""COMPUTED_VALUE"""),"FICHA EN TIEMPO-18 MESES")</f>
        <v>FICHA EN TIEMPO-18 MESES</v>
      </c>
      <c r="BI258" s="40" t="str">
        <f ca="1">IFERROR(__xludf.DUMMYFUNCTION("""COMPUTED_VALUE"""),"Terminada por fecha")</f>
        <v>Terminada por fecha</v>
      </c>
      <c r="BJ258" s="40" t="str">
        <f ca="1">IFERROR(__xludf.DUMMYFUNCTION("""COMPUTED_VALUE"""),"Yamboro")</f>
        <v>Yamboro</v>
      </c>
      <c r="BK258" s="40"/>
      <c r="BL258" s="40"/>
    </row>
    <row r="259" spans="1:64" ht="13">
      <c r="A259" s="40"/>
      <c r="B259" s="40" t="str">
        <f ca="1">IFERROR(__xludf.DUMMYFUNCTION("""COMPUTED_VALUE"""),"FORMACIÓN 18/10/2022")</f>
        <v>FORMACIÓN 18/10/2022</v>
      </c>
      <c r="C259" s="40" t="str">
        <f ca="1">IFERROR(__xludf.DUMMYFUNCTION("""COMPUTED_VALUE"""),"CRISTIAN FELIPE RUBIANO FRANCO")</f>
        <v>CRISTIAN FELIPE RUBIANO FRANCO</v>
      </c>
      <c r="D259" s="40" t="str">
        <f ca="1">IFERROR(__xludf.DUMMYFUNCTION("""COMPUTED_VALUE"""),"CC")</f>
        <v>CC</v>
      </c>
      <c r="E259" s="40">
        <f ca="1">IFERROR(__xludf.DUMMYFUNCTION("""COMPUTED_VALUE"""),1081418370)</f>
        <v>1081418370</v>
      </c>
      <c r="F259" s="40">
        <f ca="1">IFERROR(__xludf.DUMMYFUNCTION("""COMPUTED_VALUE"""),2322426)</f>
        <v>2322426</v>
      </c>
      <c r="G259" s="40" t="str">
        <f ca="1">IFERROR(__xludf.DUMMYFUNCTION("""COMPUTED_VALUE"""),"TÉCNICO")</f>
        <v>TÉCNICO</v>
      </c>
      <c r="H259" s="40" t="str">
        <f ca="1">IFERROR(__xludf.DUMMYFUNCTION("""COMPUTED_VALUE"""),"DIBUJO ARQUITECTÓNICO")</f>
        <v>DIBUJO ARQUITECTÓNICO</v>
      </c>
      <c r="I259" s="40"/>
      <c r="J259" s="40"/>
      <c r="K259" s="40"/>
      <c r="L259" s="40" t="str">
        <f ca="1">IFERROR(__xludf.DUMMYFUNCTION("""COMPUTED_VALUE"""),"NO HA INICIADO ETAPA PRODUCTIVA")</f>
        <v>NO HA INICIADO ETAPA PRODUCTIVA</v>
      </c>
      <c r="M259" s="40"/>
      <c r="N259" s="40"/>
      <c r="O259" s="40"/>
      <c r="P259" s="40"/>
      <c r="Q259" s="40"/>
      <c r="R259" s="140"/>
      <c r="S259" s="1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t="str">
        <f ca="1">IFERROR(__xludf.DUMMYFUNCTION("""COMPUTED_VALUE"""),"NO_CUMPLE")</f>
        <v>NO_CUMPLE</v>
      </c>
      <c r="AV259" s="40" t="str">
        <f ca="1">IFERROR(__xludf.DUMMYFUNCTION("""COMPUTED_VALUE"""),"EN FORMACION")</f>
        <v>EN FORMACION</v>
      </c>
      <c r="AW259" s="40" t="str">
        <f ca="1">IFERROR(__xludf.DUMMYFUNCTION("""COMPUTED_VALUE"""),"BIOCONSTRUCCION")</f>
        <v>BIOCONSTRUCCION</v>
      </c>
      <c r="AX259" s="141">
        <f ca="1">IFERROR(__xludf.DUMMYFUNCTION("""COMPUTED_VALUE"""),44839)</f>
        <v>44839</v>
      </c>
      <c r="AY259" s="40">
        <f ca="1">IFERROR(__xludf.DUMMYFUNCTION("""COMPUTED_VALUE"""),0)</f>
        <v>0</v>
      </c>
      <c r="AZ259" s="40">
        <f ca="1">IFERROR(__xludf.DUMMYFUNCTION("""COMPUTED_VALUE"""),1)</f>
        <v>1</v>
      </c>
      <c r="BA259" s="40">
        <f ca="1">IFERROR(__xludf.DUMMYFUNCTION("""COMPUTED_VALUE"""),0)</f>
        <v>0</v>
      </c>
      <c r="BB259" s="40">
        <f ca="1">IFERROR(__xludf.DUMMYFUNCTION("""COMPUTED_VALUE"""),1)</f>
        <v>1</v>
      </c>
      <c r="BC259" s="40">
        <f ca="1">IFERROR(__xludf.DUMMYFUNCTION("""COMPUTED_VALUE"""),2)</f>
        <v>2</v>
      </c>
      <c r="BD259" s="141">
        <f ca="1">IFERROR(__xludf.DUMMYFUNCTION("""COMPUTED_VALUE"""),44348)</f>
        <v>44348</v>
      </c>
      <c r="BE259" s="141">
        <f ca="1">IFERROR(__xludf.DUMMYFUNCTION("""COMPUTED_VALUE"""),44530)</f>
        <v>44530</v>
      </c>
      <c r="BF259" s="141">
        <f ca="1">IFERROR(__xludf.DUMMYFUNCTION("""COMPUTED_VALUE"""),44712)</f>
        <v>44712</v>
      </c>
      <c r="BG259" s="141">
        <f ca="1">IFERROR(__xludf.DUMMYFUNCTION("""COMPUTED_VALUE"""),45260)</f>
        <v>45260</v>
      </c>
      <c r="BH259" s="40" t="str">
        <f ca="1">IFERROR(__xludf.DUMMYFUNCTION("""COMPUTED_VALUE"""),"FICHA EN TIEMPO-18 MESES")</f>
        <v>FICHA EN TIEMPO-18 MESES</v>
      </c>
      <c r="BI259" s="40" t="str">
        <f ca="1">IFERROR(__xludf.DUMMYFUNCTION("""COMPUTED_VALUE"""),"Terminada por fecha")</f>
        <v>Terminada por fecha</v>
      </c>
      <c r="BJ259" s="40" t="str">
        <f ca="1">IFERROR(__xludf.DUMMYFUNCTION("""COMPUTED_VALUE"""),"Yamboro")</f>
        <v>Yamboro</v>
      </c>
      <c r="BK259" s="40"/>
      <c r="BL259" s="40"/>
    </row>
    <row r="260" spans="1:64" ht="13">
      <c r="A260" s="40"/>
      <c r="B260" s="40" t="str">
        <f ca="1">IFERROR(__xludf.DUMMYFUNCTION("""COMPUTED_VALUE"""),"FORMACIÓN 18/10/2022")</f>
        <v>FORMACIÓN 18/10/2022</v>
      </c>
      <c r="C260" s="40" t="str">
        <f ca="1">IFERROR(__xludf.DUMMYFUNCTION("""COMPUTED_VALUE"""),"LUIS ANGEL VALDERRAMA ORDOÑEZ")</f>
        <v>LUIS ANGEL VALDERRAMA ORDOÑEZ</v>
      </c>
      <c r="D260" s="40" t="str">
        <f ca="1">IFERROR(__xludf.DUMMYFUNCTION("""COMPUTED_VALUE"""),"TI")</f>
        <v>TI</v>
      </c>
      <c r="E260" s="40">
        <f ca="1">IFERROR(__xludf.DUMMYFUNCTION("""COMPUTED_VALUE"""),1081699610)</f>
        <v>1081699610</v>
      </c>
      <c r="F260" s="40">
        <f ca="1">IFERROR(__xludf.DUMMYFUNCTION("""COMPUTED_VALUE"""),2322426)</f>
        <v>2322426</v>
      </c>
      <c r="G260" s="40" t="str">
        <f ca="1">IFERROR(__xludf.DUMMYFUNCTION("""COMPUTED_VALUE"""),"TÉCNICO")</f>
        <v>TÉCNICO</v>
      </c>
      <c r="H260" s="40" t="str">
        <f ca="1">IFERROR(__xludf.DUMMYFUNCTION("""COMPUTED_VALUE"""),"DIBUJO ARQUITECTÓNICO")</f>
        <v>DIBUJO ARQUITECTÓNICO</v>
      </c>
      <c r="I260" s="40"/>
      <c r="J260" s="40"/>
      <c r="K260" s="40"/>
      <c r="L260" s="40" t="str">
        <f ca="1">IFERROR(__xludf.DUMMYFUNCTION("""COMPUTED_VALUE"""),"NO HA INICIADO ETAPA PRODUCTIVA")</f>
        <v>NO HA INICIADO ETAPA PRODUCTIVA</v>
      </c>
      <c r="M260" s="40"/>
      <c r="N260" s="40"/>
      <c r="O260" s="40"/>
      <c r="P260" s="40"/>
      <c r="Q260" s="40"/>
      <c r="R260" s="140"/>
      <c r="S260" s="1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t="str">
        <f ca="1">IFERROR(__xludf.DUMMYFUNCTION("""COMPUTED_VALUE"""),"Procede_E_P")</f>
        <v>Procede_E_P</v>
      </c>
      <c r="AV260" s="40" t="str">
        <f ca="1">IFERROR(__xludf.DUMMYFUNCTION("""COMPUTED_VALUE"""),"EN FORMACION")</f>
        <v>EN FORMACION</v>
      </c>
      <c r="AW260" s="40" t="str">
        <f ca="1">IFERROR(__xludf.DUMMYFUNCTION("""COMPUTED_VALUE"""),"BIOCONSTRUCCION")</f>
        <v>BIOCONSTRUCCION</v>
      </c>
      <c r="AX260" s="141">
        <f ca="1">IFERROR(__xludf.DUMMYFUNCTION("""COMPUTED_VALUE"""),44839)</f>
        <v>44839</v>
      </c>
      <c r="AY260" s="40">
        <f ca="1">IFERROR(__xludf.DUMMYFUNCTION("""COMPUTED_VALUE"""),0)</f>
        <v>0</v>
      </c>
      <c r="AZ260" s="40">
        <f ca="1">IFERROR(__xludf.DUMMYFUNCTION("""COMPUTED_VALUE"""),1)</f>
        <v>1</v>
      </c>
      <c r="BA260" s="40">
        <f ca="1">IFERROR(__xludf.DUMMYFUNCTION("""COMPUTED_VALUE"""),0)</f>
        <v>0</v>
      </c>
      <c r="BB260" s="40">
        <f ca="1">IFERROR(__xludf.DUMMYFUNCTION("""COMPUTED_VALUE"""),0)</f>
        <v>0</v>
      </c>
      <c r="BC260" s="40">
        <f ca="1">IFERROR(__xludf.DUMMYFUNCTION("""COMPUTED_VALUE"""),1)</f>
        <v>1</v>
      </c>
      <c r="BD260" s="141">
        <f ca="1">IFERROR(__xludf.DUMMYFUNCTION("""COMPUTED_VALUE"""),44348)</f>
        <v>44348</v>
      </c>
      <c r="BE260" s="141">
        <f ca="1">IFERROR(__xludf.DUMMYFUNCTION("""COMPUTED_VALUE"""),44530)</f>
        <v>44530</v>
      </c>
      <c r="BF260" s="141">
        <f ca="1">IFERROR(__xludf.DUMMYFUNCTION("""COMPUTED_VALUE"""),44712)</f>
        <v>44712</v>
      </c>
      <c r="BG260" s="141">
        <f ca="1">IFERROR(__xludf.DUMMYFUNCTION("""COMPUTED_VALUE"""),45260)</f>
        <v>45260</v>
      </c>
      <c r="BH260" s="40" t="str">
        <f ca="1">IFERROR(__xludf.DUMMYFUNCTION("""COMPUTED_VALUE"""),"FICHA EN TIEMPO-18 MESES")</f>
        <v>FICHA EN TIEMPO-18 MESES</v>
      </c>
      <c r="BI260" s="40" t="str">
        <f ca="1">IFERROR(__xludf.DUMMYFUNCTION("""COMPUTED_VALUE"""),"Terminada por fecha")</f>
        <v>Terminada por fecha</v>
      </c>
      <c r="BJ260" s="40" t="str">
        <f ca="1">IFERROR(__xludf.DUMMYFUNCTION("""COMPUTED_VALUE"""),"Yamboro")</f>
        <v>Yamboro</v>
      </c>
      <c r="BK260" s="40"/>
      <c r="BL260" s="40"/>
    </row>
    <row r="261" spans="1:64" ht="13">
      <c r="A261" s="40"/>
      <c r="B261" s="40" t="str">
        <f ca="1">IFERROR(__xludf.DUMMYFUNCTION("""COMPUTED_VALUE"""),"FORMACIÓN 18/10/2022")</f>
        <v>FORMACIÓN 18/10/2022</v>
      </c>
      <c r="C261" s="40" t="str">
        <f ca="1">IFERROR(__xludf.DUMMYFUNCTION("""COMPUTED_VALUE"""),"CRISTHIAN FELIPE TRUJILLO VARGAS")</f>
        <v>CRISTHIAN FELIPE TRUJILLO VARGAS</v>
      </c>
      <c r="D261" s="40" t="str">
        <f ca="1">IFERROR(__xludf.DUMMYFUNCTION("""COMPUTED_VALUE"""),"CC")</f>
        <v>CC</v>
      </c>
      <c r="E261" s="40">
        <f ca="1">IFERROR(__xludf.DUMMYFUNCTION("""COMPUTED_VALUE"""),1083909309)</f>
        <v>1083909309</v>
      </c>
      <c r="F261" s="40">
        <f ca="1">IFERROR(__xludf.DUMMYFUNCTION("""COMPUTED_VALUE"""),2322426)</f>
        <v>2322426</v>
      </c>
      <c r="G261" s="40" t="str">
        <f ca="1">IFERROR(__xludf.DUMMYFUNCTION("""COMPUTED_VALUE"""),"TÉCNICO")</f>
        <v>TÉCNICO</v>
      </c>
      <c r="H261" s="40" t="str">
        <f ca="1">IFERROR(__xludf.DUMMYFUNCTION("""COMPUTED_VALUE"""),"DIBUJO ARQUITECTÓNICO")</f>
        <v>DIBUJO ARQUITECTÓNICO</v>
      </c>
      <c r="I261" s="40"/>
      <c r="J261" s="40"/>
      <c r="K261" s="40"/>
      <c r="L261" s="40" t="str">
        <f ca="1">IFERROR(__xludf.DUMMYFUNCTION("""COMPUTED_VALUE"""),"NO HA INICIADO ETAPA PRODUCTIVA")</f>
        <v>NO HA INICIADO ETAPA PRODUCTIVA</v>
      </c>
      <c r="M261" s="40"/>
      <c r="N261" s="40"/>
      <c r="O261" s="40"/>
      <c r="P261" s="40"/>
      <c r="Q261" s="40"/>
      <c r="R261" s="140"/>
      <c r="S261" s="1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t="str">
        <f ca="1">IFERROR(__xludf.DUMMYFUNCTION("""COMPUTED_VALUE"""),"Procede_E_P")</f>
        <v>Procede_E_P</v>
      </c>
      <c r="AV261" s="40" t="str">
        <f ca="1">IFERROR(__xludf.DUMMYFUNCTION("""COMPUTED_VALUE"""),"EN FORMACION")</f>
        <v>EN FORMACION</v>
      </c>
      <c r="AW261" s="40" t="str">
        <f ca="1">IFERROR(__xludf.DUMMYFUNCTION("""COMPUTED_VALUE"""),"BIOCONSTRUCCION")</f>
        <v>BIOCONSTRUCCION</v>
      </c>
      <c r="AX261" s="141">
        <f ca="1">IFERROR(__xludf.DUMMYFUNCTION("""COMPUTED_VALUE"""),44839)</f>
        <v>44839</v>
      </c>
      <c r="AY261" s="40">
        <f ca="1">IFERROR(__xludf.DUMMYFUNCTION("""COMPUTED_VALUE"""),0)</f>
        <v>0</v>
      </c>
      <c r="AZ261" s="40">
        <f ca="1">IFERROR(__xludf.DUMMYFUNCTION("""COMPUTED_VALUE"""),1)</f>
        <v>1</v>
      </c>
      <c r="BA261" s="40">
        <f ca="1">IFERROR(__xludf.DUMMYFUNCTION("""COMPUTED_VALUE"""),0)</f>
        <v>0</v>
      </c>
      <c r="BB261" s="40">
        <f ca="1">IFERROR(__xludf.DUMMYFUNCTION("""COMPUTED_VALUE"""),0)</f>
        <v>0</v>
      </c>
      <c r="BC261" s="40">
        <f ca="1">IFERROR(__xludf.DUMMYFUNCTION("""COMPUTED_VALUE"""),1)</f>
        <v>1</v>
      </c>
      <c r="BD261" s="141">
        <f ca="1">IFERROR(__xludf.DUMMYFUNCTION("""COMPUTED_VALUE"""),44348)</f>
        <v>44348</v>
      </c>
      <c r="BE261" s="141">
        <f ca="1">IFERROR(__xludf.DUMMYFUNCTION("""COMPUTED_VALUE"""),44530)</f>
        <v>44530</v>
      </c>
      <c r="BF261" s="141">
        <f ca="1">IFERROR(__xludf.DUMMYFUNCTION("""COMPUTED_VALUE"""),44712)</f>
        <v>44712</v>
      </c>
      <c r="BG261" s="141">
        <f ca="1">IFERROR(__xludf.DUMMYFUNCTION("""COMPUTED_VALUE"""),45260)</f>
        <v>45260</v>
      </c>
      <c r="BH261" s="40" t="str">
        <f ca="1">IFERROR(__xludf.DUMMYFUNCTION("""COMPUTED_VALUE"""),"FICHA EN TIEMPO-18 MESES")</f>
        <v>FICHA EN TIEMPO-18 MESES</v>
      </c>
      <c r="BI261" s="40" t="str">
        <f ca="1">IFERROR(__xludf.DUMMYFUNCTION("""COMPUTED_VALUE"""),"Terminada por fecha")</f>
        <v>Terminada por fecha</v>
      </c>
      <c r="BJ261" s="40" t="str">
        <f ca="1">IFERROR(__xludf.DUMMYFUNCTION("""COMPUTED_VALUE"""),"Yamboro")</f>
        <v>Yamboro</v>
      </c>
      <c r="BK261" s="40"/>
      <c r="BL261" s="40"/>
    </row>
    <row r="262" spans="1:64" ht="13">
      <c r="A262" s="40"/>
      <c r="B262" s="40" t="str">
        <f ca="1">IFERROR(__xludf.DUMMYFUNCTION("""COMPUTED_VALUE"""),"FORMACIÓN 18/10/2022")</f>
        <v>FORMACIÓN 18/10/2022</v>
      </c>
      <c r="C262" s="40" t="str">
        <f ca="1">IFERROR(__xludf.DUMMYFUNCTION("""COMPUTED_VALUE"""),"JOSE MANUEL HERNANDEZ ALVAREZ")</f>
        <v>JOSE MANUEL HERNANDEZ ALVAREZ</v>
      </c>
      <c r="D262" s="40" t="str">
        <f ca="1">IFERROR(__xludf.DUMMYFUNCTION("""COMPUTED_VALUE"""),"CC")</f>
        <v>CC</v>
      </c>
      <c r="E262" s="40">
        <f ca="1">IFERROR(__xludf.DUMMYFUNCTION("""COMPUTED_VALUE"""),1083925140)</f>
        <v>1083925140</v>
      </c>
      <c r="F262" s="40">
        <f ca="1">IFERROR(__xludf.DUMMYFUNCTION("""COMPUTED_VALUE"""),2322426)</f>
        <v>2322426</v>
      </c>
      <c r="G262" s="40" t="str">
        <f ca="1">IFERROR(__xludf.DUMMYFUNCTION("""COMPUTED_VALUE"""),"TÉCNICO")</f>
        <v>TÉCNICO</v>
      </c>
      <c r="H262" s="40" t="str">
        <f ca="1">IFERROR(__xludf.DUMMYFUNCTION("""COMPUTED_VALUE"""),"DIBUJO ARQUITECTÓNICO")</f>
        <v>DIBUJO ARQUITECTÓNICO</v>
      </c>
      <c r="I262" s="40"/>
      <c r="J262" s="40" t="str">
        <f ca="1">IFERROR(__xludf.DUMMYFUNCTION("""COMPUTED_VALUE"""),"3112758789")</f>
        <v>3112758789</v>
      </c>
      <c r="K262" s="40" t="str">
        <f ca="1">IFERROR(__xludf.DUMMYFUNCTION("""COMPUTED_VALUE"""),"josemanuelhernandezx@gmail.com")</f>
        <v>josemanuelhernandezx@gmail.com</v>
      </c>
      <c r="L262" s="40" t="str">
        <f ca="1">IFERROR(__xludf.DUMMYFUNCTION("""COMPUTED_VALUE"""),"PASANTÍAS")</f>
        <v>PASANTÍAS</v>
      </c>
      <c r="M262" s="40" t="str">
        <f ca="1">IFERROR(__xludf.DUMMYFUNCTION("""COMPUTED_VALUE"""),"CONSTRUCTORA LA SABANA SAS")</f>
        <v>CONSTRUCTORA LA SABANA SAS</v>
      </c>
      <c r="N262" s="40" t="str">
        <f ca="1">IFERROR(__xludf.DUMMYFUNCTION("""COMPUTED_VALUE"""),"PITALITO")</f>
        <v>PITALITO</v>
      </c>
      <c r="O262" s="40">
        <f ca="1">IFERROR(__xludf.DUMMYFUNCTION("""COMPUTED_VALUE"""),3102902312)</f>
        <v>3102902312</v>
      </c>
      <c r="P262" s="40"/>
      <c r="Q262" s="40"/>
      <c r="R262" s="140">
        <f ca="1">IFERROR(__xludf.DUMMYFUNCTION("""COMPUTED_VALUE"""),44645)</f>
        <v>44645</v>
      </c>
      <c r="S262" s="140">
        <f ca="1">IFERROR(__xludf.DUMMYFUNCTION("""COMPUTED_VALUE"""),44827)</f>
        <v>44827</v>
      </c>
      <c r="T262" s="40" t="str">
        <f ca="1">IFERROR(__xludf.DUMMYFUNCTION("""COMPUTED_VALUE"""),"Tiene acuerdo de voluntades, falta bitácoras  y seguimiento y certificación ..Revisado 25703/2022")</f>
        <v>Tiene acuerdo de voluntades, falta bitácoras  y seguimiento y certificación ..Revisado 25703/2022</v>
      </c>
      <c r="U262" s="40" t="str">
        <f ca="1">IFERROR(__xludf.DUMMYFUNCTION("""COMPUTED_VALUE"""),"JHON EDWIN MONTILLLA")</f>
        <v>JHON EDWIN MONTILLLA</v>
      </c>
      <c r="V262" s="40" t="str">
        <f ca="1">IFERROR(__xludf.DUMMYFUNCTION("""COMPUTED_VALUE"""),"No tiene seguimiento ...Revisado 25/04/2022")</f>
        <v>No tiene seguimiento ...Revisado 25/04/2022</v>
      </c>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t="str">
        <f ca="1">IFERROR(__xludf.DUMMYFUNCTION("""COMPUTED_VALUE"""),"Procede_E_P")</f>
        <v>Procede_E_P</v>
      </c>
      <c r="AV262" s="40" t="str">
        <f ca="1">IFERROR(__xludf.DUMMYFUNCTION("""COMPUTED_VALUE"""),"EN FORMACION")</f>
        <v>EN FORMACION</v>
      </c>
      <c r="AW262" s="40" t="str">
        <f ca="1">IFERROR(__xludf.DUMMYFUNCTION("""COMPUTED_VALUE"""),"BIOCONSTRUCCION")</f>
        <v>BIOCONSTRUCCION</v>
      </c>
      <c r="AX262" s="141">
        <f ca="1">IFERROR(__xludf.DUMMYFUNCTION("""COMPUTED_VALUE"""),44839)</f>
        <v>44839</v>
      </c>
      <c r="AY262" s="40">
        <f ca="1">IFERROR(__xludf.DUMMYFUNCTION("""COMPUTED_VALUE"""),0)</f>
        <v>0</v>
      </c>
      <c r="AZ262" s="40">
        <f ca="1">IFERROR(__xludf.DUMMYFUNCTION("""COMPUTED_VALUE"""),1)</f>
        <v>1</v>
      </c>
      <c r="BA262" s="40">
        <f ca="1">IFERROR(__xludf.DUMMYFUNCTION("""COMPUTED_VALUE"""),0)</f>
        <v>0</v>
      </c>
      <c r="BB262" s="40">
        <f ca="1">IFERROR(__xludf.DUMMYFUNCTION("""COMPUTED_VALUE"""),0)</f>
        <v>0</v>
      </c>
      <c r="BC262" s="40">
        <f ca="1">IFERROR(__xludf.DUMMYFUNCTION("""COMPUTED_VALUE"""),1)</f>
        <v>1</v>
      </c>
      <c r="BD262" s="141">
        <f ca="1">IFERROR(__xludf.DUMMYFUNCTION("""COMPUTED_VALUE"""),44348)</f>
        <v>44348</v>
      </c>
      <c r="BE262" s="141">
        <f ca="1">IFERROR(__xludf.DUMMYFUNCTION("""COMPUTED_VALUE"""),44530)</f>
        <v>44530</v>
      </c>
      <c r="BF262" s="141">
        <f ca="1">IFERROR(__xludf.DUMMYFUNCTION("""COMPUTED_VALUE"""),44712)</f>
        <v>44712</v>
      </c>
      <c r="BG262" s="141">
        <f ca="1">IFERROR(__xludf.DUMMYFUNCTION("""COMPUTED_VALUE"""),45260)</f>
        <v>45260</v>
      </c>
      <c r="BH262" s="40" t="str">
        <f ca="1">IFERROR(__xludf.DUMMYFUNCTION("""COMPUTED_VALUE"""),"FICHA EN TIEMPO-18 MESES")</f>
        <v>FICHA EN TIEMPO-18 MESES</v>
      </c>
      <c r="BI262" s="40" t="str">
        <f ca="1">IFERROR(__xludf.DUMMYFUNCTION("""COMPUTED_VALUE"""),"Terminada por fecha")</f>
        <v>Terminada por fecha</v>
      </c>
      <c r="BJ262" s="40" t="str">
        <f ca="1">IFERROR(__xludf.DUMMYFUNCTION("""COMPUTED_VALUE"""),"Yamboro")</f>
        <v>Yamboro</v>
      </c>
      <c r="BK262" s="40"/>
      <c r="BL262" s="40"/>
    </row>
    <row r="263" spans="1:64" ht="13">
      <c r="A263" s="40"/>
      <c r="B263" s="40" t="str">
        <f ca="1">IFERROR(__xludf.DUMMYFUNCTION("""COMPUTED_VALUE"""),"FORMACIÓN 18/10/2022")</f>
        <v>FORMACIÓN 18/10/2022</v>
      </c>
      <c r="C263" s="40" t="str">
        <f ca="1">IFERROR(__xludf.DUMMYFUNCTION("""COMPUTED_VALUE"""),"OSCAR AUGUSTO ZUÑIGA ORTIZ
")</f>
        <v xml:space="preserve">OSCAR AUGUSTO ZUÑIGA ORTIZ
</v>
      </c>
      <c r="D263" s="40" t="str">
        <f ca="1">IFERROR(__xludf.DUMMYFUNCTION("""COMPUTED_VALUE"""),"CC")</f>
        <v>CC</v>
      </c>
      <c r="E263" s="40">
        <f ca="1">IFERROR(__xludf.DUMMYFUNCTION("""COMPUTED_VALUE"""),10315397)</f>
        <v>10315397</v>
      </c>
      <c r="F263" s="40">
        <f ca="1">IFERROR(__xludf.DUMMYFUNCTION("""COMPUTED_VALUE"""),2353210)</f>
        <v>2353210</v>
      </c>
      <c r="G263" s="40" t="str">
        <f ca="1">IFERROR(__xludf.DUMMYFUNCTION("""COMPUTED_VALUE"""),"TÉCNICO")</f>
        <v>TÉCNICO</v>
      </c>
      <c r="H263" s="40" t="str">
        <f ca="1">IFERROR(__xludf.DUMMYFUNCTION("""COMPUTED_VALUE"""),"INSTALACION DE SISTEMAS ELECTRICOS RESIDENCIALES Y COMERCIALES")</f>
        <v>INSTALACION DE SISTEMAS ELECTRICOS RESIDENCIALES Y COMERCIALES</v>
      </c>
      <c r="I263" s="40"/>
      <c r="J263" s="40"/>
      <c r="K263" s="40"/>
      <c r="L263" s="40" t="str">
        <f ca="1">IFERROR(__xludf.DUMMYFUNCTION("""COMPUTED_VALUE"""),"NO HA INICIADO ETAPA PRODUCTIVA")</f>
        <v>NO HA INICIADO ETAPA PRODUCTIVA</v>
      </c>
      <c r="M263" s="40"/>
      <c r="N263" s="40"/>
      <c r="O263" s="40"/>
      <c r="P263" s="40"/>
      <c r="Q263" s="40"/>
      <c r="R263" s="140"/>
      <c r="S263" s="1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t="str">
        <f ca="1">IFERROR(__xludf.DUMMYFUNCTION("""COMPUTED_VALUE"""),"NO_CUMPLE")</f>
        <v>NO_CUMPLE</v>
      </c>
      <c r="AV263" s="40" t="str">
        <f ca="1">IFERROR(__xludf.DUMMYFUNCTION("""COMPUTED_VALUE"""),"EN FORMACION")</f>
        <v>EN FORMACION</v>
      </c>
      <c r="AW263" s="40" t="str">
        <f ca="1">IFERROR(__xludf.DUMMYFUNCTION("""COMPUTED_VALUE"""),"BIOCONSTRUCCION")</f>
        <v>BIOCONSTRUCCION</v>
      </c>
      <c r="AX263" s="141">
        <f ca="1">IFERROR(__xludf.DUMMYFUNCTION("""COMPUTED_VALUE"""),44839)</f>
        <v>44839</v>
      </c>
      <c r="AY263" s="40">
        <f ca="1">IFERROR(__xludf.DUMMYFUNCTION("""COMPUTED_VALUE"""),12)</f>
        <v>12</v>
      </c>
      <c r="AZ263" s="40">
        <f ca="1">IFERROR(__xludf.DUMMYFUNCTION("""COMPUTED_VALUE"""),1)</f>
        <v>1</v>
      </c>
      <c r="BA263" s="40">
        <f ca="1">IFERROR(__xludf.DUMMYFUNCTION("""COMPUTED_VALUE"""),0)</f>
        <v>0</v>
      </c>
      <c r="BB263" s="40">
        <f ca="1">IFERROR(__xludf.DUMMYFUNCTION("""COMPUTED_VALUE"""),12)</f>
        <v>12</v>
      </c>
      <c r="BC263" s="40">
        <f ca="1">IFERROR(__xludf.DUMMYFUNCTION("""COMPUTED_VALUE"""),25)</f>
        <v>25</v>
      </c>
      <c r="BD263" s="141">
        <f ca="1">IFERROR(__xludf.DUMMYFUNCTION("""COMPUTED_VALUE"""),44256)</f>
        <v>44256</v>
      </c>
      <c r="BE263" s="141">
        <f ca="1">IFERROR(__xludf.DUMMYFUNCTION("""COMPUTED_VALUE"""),44530)</f>
        <v>44530</v>
      </c>
      <c r="BF263" s="141">
        <f ca="1">IFERROR(__xludf.DUMMYFUNCTION("""COMPUTED_VALUE"""),44712)</f>
        <v>44712</v>
      </c>
      <c r="BG263" s="141">
        <f ca="1">IFERROR(__xludf.DUMMYFUNCTION("""COMPUTED_VALUE"""),45260)</f>
        <v>45260</v>
      </c>
      <c r="BH263" s="40" t="str">
        <f ca="1">IFERROR(__xludf.DUMMYFUNCTION("""COMPUTED_VALUE"""),"FICHA EN TIEMPO-18 MESES")</f>
        <v>FICHA EN TIEMPO-18 MESES</v>
      </c>
      <c r="BI263" s="40" t="str">
        <f ca="1">IFERROR(__xludf.DUMMYFUNCTION("""COMPUTED_VALUE"""),"Terminada por fecha")</f>
        <v>Terminada por fecha</v>
      </c>
      <c r="BJ263" s="40" t="str">
        <f ca="1">IFERROR(__xludf.DUMMYFUNCTION("""COMPUTED_VALUE"""),"Yamboro")</f>
        <v>Yamboro</v>
      </c>
      <c r="BK263" s="40"/>
      <c r="BL263" s="40"/>
    </row>
    <row r="264" spans="1:64" ht="13">
      <c r="A264" s="40"/>
      <c r="B264" s="40" t="str">
        <f ca="1">IFERROR(__xludf.DUMMYFUNCTION("""COMPUTED_VALUE"""),"FORMACIÓN 18/10/2022")</f>
        <v>FORMACIÓN 18/10/2022</v>
      </c>
      <c r="C264" s="40" t="str">
        <f ca="1">IFERROR(__xludf.DUMMYFUNCTION("""COMPUTED_VALUE"""),"DIDIMO ANACONA SAMBONI
")</f>
        <v xml:space="preserve">DIDIMO ANACONA SAMBONI
</v>
      </c>
      <c r="D264" s="40" t="str">
        <f ca="1">IFERROR(__xludf.DUMMYFUNCTION("""COMPUTED_VALUE"""),"CC")</f>
        <v>CC</v>
      </c>
      <c r="E264" s="40">
        <f ca="1">IFERROR(__xludf.DUMMYFUNCTION("""COMPUTED_VALUE"""),12181368)</f>
        <v>12181368</v>
      </c>
      <c r="F264" s="40">
        <f ca="1">IFERROR(__xludf.DUMMYFUNCTION("""COMPUTED_VALUE"""),2353210)</f>
        <v>2353210</v>
      </c>
      <c r="G264" s="40" t="str">
        <f ca="1">IFERROR(__xludf.DUMMYFUNCTION("""COMPUTED_VALUE"""),"TÉCNICO")</f>
        <v>TÉCNICO</v>
      </c>
      <c r="H264" s="40" t="str">
        <f ca="1">IFERROR(__xludf.DUMMYFUNCTION("""COMPUTED_VALUE"""),"INSTALACION DE SISTEMAS ELECTRICOS RESIDENCIALES Y COMERCIALES")</f>
        <v>INSTALACION DE SISTEMAS ELECTRICOS RESIDENCIALES Y COMERCIALES</v>
      </c>
      <c r="I264" s="40"/>
      <c r="J264" s="40"/>
      <c r="K264" s="40"/>
      <c r="L264" s="40" t="str">
        <f ca="1">IFERROR(__xludf.DUMMYFUNCTION("""COMPUTED_VALUE"""),"NO HA INICIADO ETAPA PRODUCTIVA")</f>
        <v>NO HA INICIADO ETAPA PRODUCTIVA</v>
      </c>
      <c r="M264" s="40"/>
      <c r="N264" s="40"/>
      <c r="O264" s="40"/>
      <c r="P264" s="40"/>
      <c r="Q264" s="40"/>
      <c r="R264" s="140"/>
      <c r="S264" s="1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t="str">
        <f ca="1">IFERROR(__xludf.DUMMYFUNCTION("""COMPUTED_VALUE"""),"NO_CUMPLE")</f>
        <v>NO_CUMPLE</v>
      </c>
      <c r="AV264" s="40" t="str">
        <f ca="1">IFERROR(__xludf.DUMMYFUNCTION("""COMPUTED_VALUE"""),"EN FORMACION")</f>
        <v>EN FORMACION</v>
      </c>
      <c r="AW264" s="40" t="str">
        <f ca="1">IFERROR(__xludf.DUMMYFUNCTION("""COMPUTED_VALUE"""),"BIOCONSTRUCCION")</f>
        <v>BIOCONSTRUCCION</v>
      </c>
      <c r="AX264" s="141">
        <f ca="1">IFERROR(__xludf.DUMMYFUNCTION("""COMPUTED_VALUE"""),44839)</f>
        <v>44839</v>
      </c>
      <c r="AY264" s="40">
        <f ca="1">IFERROR(__xludf.DUMMYFUNCTION("""COMPUTED_VALUE"""),12)</f>
        <v>12</v>
      </c>
      <c r="AZ264" s="40">
        <f ca="1">IFERROR(__xludf.DUMMYFUNCTION("""COMPUTED_VALUE"""),1)</f>
        <v>1</v>
      </c>
      <c r="BA264" s="40">
        <f ca="1">IFERROR(__xludf.DUMMYFUNCTION("""COMPUTED_VALUE"""),0)</f>
        <v>0</v>
      </c>
      <c r="BB264" s="40">
        <f ca="1">IFERROR(__xludf.DUMMYFUNCTION("""COMPUTED_VALUE"""),8)</f>
        <v>8</v>
      </c>
      <c r="BC264" s="40">
        <f ca="1">IFERROR(__xludf.DUMMYFUNCTION("""COMPUTED_VALUE"""),21)</f>
        <v>21</v>
      </c>
      <c r="BD264" s="141">
        <f ca="1">IFERROR(__xludf.DUMMYFUNCTION("""COMPUTED_VALUE"""),44256)</f>
        <v>44256</v>
      </c>
      <c r="BE264" s="141">
        <f ca="1">IFERROR(__xludf.DUMMYFUNCTION("""COMPUTED_VALUE"""),44530)</f>
        <v>44530</v>
      </c>
      <c r="BF264" s="141">
        <f ca="1">IFERROR(__xludf.DUMMYFUNCTION("""COMPUTED_VALUE"""),44712)</f>
        <v>44712</v>
      </c>
      <c r="BG264" s="141">
        <f ca="1">IFERROR(__xludf.DUMMYFUNCTION("""COMPUTED_VALUE"""),45260)</f>
        <v>45260</v>
      </c>
      <c r="BH264" s="40" t="str">
        <f ca="1">IFERROR(__xludf.DUMMYFUNCTION("""COMPUTED_VALUE"""),"FICHA EN TIEMPO-18 MESES")</f>
        <v>FICHA EN TIEMPO-18 MESES</v>
      </c>
      <c r="BI264" s="40" t="str">
        <f ca="1">IFERROR(__xludf.DUMMYFUNCTION("""COMPUTED_VALUE"""),"Terminada por fecha")</f>
        <v>Terminada por fecha</v>
      </c>
      <c r="BJ264" s="40" t="str">
        <f ca="1">IFERROR(__xludf.DUMMYFUNCTION("""COMPUTED_VALUE"""),"Yamboro")</f>
        <v>Yamboro</v>
      </c>
      <c r="BK264" s="40"/>
      <c r="BL264" s="40"/>
    </row>
    <row r="265" spans="1:64" ht="13">
      <c r="A265" s="40"/>
      <c r="B265" s="40" t="str">
        <f ca="1">IFERROR(__xludf.DUMMYFUNCTION("""COMPUTED_VALUE"""),"FORMACIÓN 18/10/2022")</f>
        <v>FORMACIÓN 18/10/2022</v>
      </c>
      <c r="C265" s="40" t="str">
        <f ca="1">IFERROR(__xludf.DUMMYFUNCTION("""COMPUTED_VALUE"""),"WILSON MUÑOZ DAZA
")</f>
        <v xml:space="preserve">WILSON MUÑOZ DAZA
</v>
      </c>
      <c r="D265" s="40" t="str">
        <f ca="1">IFERROR(__xludf.DUMMYFUNCTION("""COMPUTED_VALUE"""),"CC")</f>
        <v>CC</v>
      </c>
      <c r="E265" s="40">
        <f ca="1">IFERROR(__xludf.DUMMYFUNCTION("""COMPUTED_VALUE"""),12264558)</f>
        <v>12264558</v>
      </c>
      <c r="F265" s="40">
        <f ca="1">IFERROR(__xludf.DUMMYFUNCTION("""COMPUTED_VALUE"""),2353210)</f>
        <v>2353210</v>
      </c>
      <c r="G265" s="40" t="str">
        <f ca="1">IFERROR(__xludf.DUMMYFUNCTION("""COMPUTED_VALUE"""),"TÉCNICO")</f>
        <v>TÉCNICO</v>
      </c>
      <c r="H265" s="40" t="str">
        <f ca="1">IFERROR(__xludf.DUMMYFUNCTION("""COMPUTED_VALUE"""),"INSTALACION DE SISTEMAS ELECTRICOS RESIDENCIALES Y COMERCIALES")</f>
        <v>INSTALACION DE SISTEMAS ELECTRICOS RESIDENCIALES Y COMERCIALES</v>
      </c>
      <c r="I265" s="40"/>
      <c r="J265" s="40"/>
      <c r="K265" s="40"/>
      <c r="L265" s="40" t="str">
        <f ca="1">IFERROR(__xludf.DUMMYFUNCTION("""COMPUTED_VALUE"""),"NO HA INICIADO ETAPA PRODUCTIVA")</f>
        <v>NO HA INICIADO ETAPA PRODUCTIVA</v>
      </c>
      <c r="M265" s="40"/>
      <c r="N265" s="40"/>
      <c r="O265" s="40"/>
      <c r="P265" s="40"/>
      <c r="Q265" s="40"/>
      <c r="R265" s="140"/>
      <c r="S265" s="1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t="str">
        <f ca="1">IFERROR(__xludf.DUMMYFUNCTION("""COMPUTED_VALUE"""),"Procede_E_P")</f>
        <v>Procede_E_P</v>
      </c>
      <c r="AV265" s="40" t="str">
        <f ca="1">IFERROR(__xludf.DUMMYFUNCTION("""COMPUTED_VALUE"""),"EN FORMACION")</f>
        <v>EN FORMACION</v>
      </c>
      <c r="AW265" s="40" t="str">
        <f ca="1">IFERROR(__xludf.DUMMYFUNCTION("""COMPUTED_VALUE"""),"BIOCONSTRUCCION")</f>
        <v>BIOCONSTRUCCION</v>
      </c>
      <c r="AX265" s="141">
        <f ca="1">IFERROR(__xludf.DUMMYFUNCTION("""COMPUTED_VALUE"""),44839)</f>
        <v>44839</v>
      </c>
      <c r="AY265" s="40">
        <f ca="1">IFERROR(__xludf.DUMMYFUNCTION("""COMPUTED_VALUE"""),0)</f>
        <v>0</v>
      </c>
      <c r="AZ265" s="40">
        <f ca="1">IFERROR(__xludf.DUMMYFUNCTION("""COMPUTED_VALUE"""),1)</f>
        <v>1</v>
      </c>
      <c r="BA265" s="40">
        <f ca="1">IFERROR(__xludf.DUMMYFUNCTION("""COMPUTED_VALUE"""),0)</f>
        <v>0</v>
      </c>
      <c r="BB265" s="40">
        <f ca="1">IFERROR(__xludf.DUMMYFUNCTION("""COMPUTED_VALUE"""),0)</f>
        <v>0</v>
      </c>
      <c r="BC265" s="40">
        <f ca="1">IFERROR(__xludf.DUMMYFUNCTION("""COMPUTED_VALUE"""),1)</f>
        <v>1</v>
      </c>
      <c r="BD265" s="141">
        <f ca="1">IFERROR(__xludf.DUMMYFUNCTION("""COMPUTED_VALUE"""),44256)</f>
        <v>44256</v>
      </c>
      <c r="BE265" s="141">
        <f ca="1">IFERROR(__xludf.DUMMYFUNCTION("""COMPUTED_VALUE"""),44530)</f>
        <v>44530</v>
      </c>
      <c r="BF265" s="141">
        <f ca="1">IFERROR(__xludf.DUMMYFUNCTION("""COMPUTED_VALUE"""),44712)</f>
        <v>44712</v>
      </c>
      <c r="BG265" s="141">
        <f ca="1">IFERROR(__xludf.DUMMYFUNCTION("""COMPUTED_VALUE"""),45260)</f>
        <v>45260</v>
      </c>
      <c r="BH265" s="40" t="str">
        <f ca="1">IFERROR(__xludf.DUMMYFUNCTION("""COMPUTED_VALUE"""),"FICHA EN TIEMPO-18 MESES")</f>
        <v>FICHA EN TIEMPO-18 MESES</v>
      </c>
      <c r="BI265" s="40" t="str">
        <f ca="1">IFERROR(__xludf.DUMMYFUNCTION("""COMPUTED_VALUE"""),"Terminada por fecha")</f>
        <v>Terminada por fecha</v>
      </c>
      <c r="BJ265" s="40" t="str">
        <f ca="1">IFERROR(__xludf.DUMMYFUNCTION("""COMPUTED_VALUE"""),"Yamboro")</f>
        <v>Yamboro</v>
      </c>
      <c r="BK265" s="40"/>
      <c r="BL265" s="40"/>
    </row>
    <row r="266" spans="1:64" ht="13">
      <c r="A266" s="40"/>
      <c r="B266" s="40" t="str">
        <f ca="1">IFERROR(__xludf.DUMMYFUNCTION("""COMPUTED_VALUE"""),"FORMACIÓN 18/10/2022")</f>
        <v>FORMACIÓN 18/10/2022</v>
      </c>
      <c r="C266" s="40" t="str">
        <f ca="1">IFERROR(__xludf.DUMMYFUNCTION("""COMPUTED_VALUE"""),"JOSE YESID MENESES VARGAS
")</f>
        <v xml:space="preserve">JOSE YESID MENESES VARGAS
</v>
      </c>
      <c r="D266" s="40" t="str">
        <f ca="1">IFERROR(__xludf.DUMMYFUNCTION("""COMPUTED_VALUE"""),"CC")</f>
        <v>CC</v>
      </c>
      <c r="E266" s="40">
        <f ca="1">IFERROR(__xludf.DUMMYFUNCTION("""COMPUTED_VALUE"""),12265948)</f>
        <v>12265948</v>
      </c>
      <c r="F266" s="40">
        <f ca="1">IFERROR(__xludf.DUMMYFUNCTION("""COMPUTED_VALUE"""),2353210)</f>
        <v>2353210</v>
      </c>
      <c r="G266" s="40" t="str">
        <f ca="1">IFERROR(__xludf.DUMMYFUNCTION("""COMPUTED_VALUE"""),"TÉCNICO")</f>
        <v>TÉCNICO</v>
      </c>
      <c r="H266" s="40" t="str">
        <f ca="1">IFERROR(__xludf.DUMMYFUNCTION("""COMPUTED_VALUE"""),"INSTALACION DE SISTEMAS ELECTRICOS RESIDENCIALES Y COMERCIALES")</f>
        <v>INSTALACION DE SISTEMAS ELECTRICOS RESIDENCIALES Y COMERCIALES</v>
      </c>
      <c r="I266" s="40"/>
      <c r="J266" s="40"/>
      <c r="K266" s="40"/>
      <c r="L266" s="40" t="str">
        <f ca="1">IFERROR(__xludf.DUMMYFUNCTION("""COMPUTED_VALUE"""),"NO HA INICIADO ETAPA PRODUCTIVA")</f>
        <v>NO HA INICIADO ETAPA PRODUCTIVA</v>
      </c>
      <c r="M266" s="40"/>
      <c r="N266" s="40"/>
      <c r="O266" s="40"/>
      <c r="P266" s="40"/>
      <c r="Q266" s="40"/>
      <c r="R266" s="140"/>
      <c r="S266" s="1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t="str">
        <f ca="1">IFERROR(__xludf.DUMMYFUNCTION("""COMPUTED_VALUE"""),"NO_CUMPLE")</f>
        <v>NO_CUMPLE</v>
      </c>
      <c r="AV266" s="40" t="str">
        <f ca="1">IFERROR(__xludf.DUMMYFUNCTION("""COMPUTED_VALUE"""),"EN FORMACION")</f>
        <v>EN FORMACION</v>
      </c>
      <c r="AW266" s="40" t="str">
        <f ca="1">IFERROR(__xludf.DUMMYFUNCTION("""COMPUTED_VALUE"""),"BIOCONSTRUCCION")</f>
        <v>BIOCONSTRUCCION</v>
      </c>
      <c r="AX266" s="141">
        <f ca="1">IFERROR(__xludf.DUMMYFUNCTION("""COMPUTED_VALUE"""),44839)</f>
        <v>44839</v>
      </c>
      <c r="AY266" s="40">
        <f ca="1">IFERROR(__xludf.DUMMYFUNCTION("""COMPUTED_VALUE"""),16)</f>
        <v>16</v>
      </c>
      <c r="AZ266" s="40">
        <f ca="1">IFERROR(__xludf.DUMMYFUNCTION("""COMPUTED_VALUE"""),1)</f>
        <v>1</v>
      </c>
      <c r="BA266" s="40">
        <f ca="1">IFERROR(__xludf.DUMMYFUNCTION("""COMPUTED_VALUE"""),0)</f>
        <v>0</v>
      </c>
      <c r="BB266" s="40">
        <f ca="1">IFERROR(__xludf.DUMMYFUNCTION("""COMPUTED_VALUE"""),12)</f>
        <v>12</v>
      </c>
      <c r="BC266" s="40">
        <f ca="1">IFERROR(__xludf.DUMMYFUNCTION("""COMPUTED_VALUE"""),29)</f>
        <v>29</v>
      </c>
      <c r="BD266" s="141">
        <f ca="1">IFERROR(__xludf.DUMMYFUNCTION("""COMPUTED_VALUE"""),44256)</f>
        <v>44256</v>
      </c>
      <c r="BE266" s="141">
        <f ca="1">IFERROR(__xludf.DUMMYFUNCTION("""COMPUTED_VALUE"""),44530)</f>
        <v>44530</v>
      </c>
      <c r="BF266" s="141">
        <f ca="1">IFERROR(__xludf.DUMMYFUNCTION("""COMPUTED_VALUE"""),44712)</f>
        <v>44712</v>
      </c>
      <c r="BG266" s="141">
        <f ca="1">IFERROR(__xludf.DUMMYFUNCTION("""COMPUTED_VALUE"""),45260)</f>
        <v>45260</v>
      </c>
      <c r="BH266" s="40" t="str">
        <f ca="1">IFERROR(__xludf.DUMMYFUNCTION("""COMPUTED_VALUE"""),"FICHA EN TIEMPO-18 MESES")</f>
        <v>FICHA EN TIEMPO-18 MESES</v>
      </c>
      <c r="BI266" s="40" t="str">
        <f ca="1">IFERROR(__xludf.DUMMYFUNCTION("""COMPUTED_VALUE"""),"Terminada por fecha")</f>
        <v>Terminada por fecha</v>
      </c>
      <c r="BJ266" s="40" t="str">
        <f ca="1">IFERROR(__xludf.DUMMYFUNCTION("""COMPUTED_VALUE"""),"Yamboro")</f>
        <v>Yamboro</v>
      </c>
      <c r="BK266" s="40"/>
      <c r="BL266" s="40"/>
    </row>
    <row r="267" spans="1:64" ht="13">
      <c r="A267" s="40"/>
      <c r="B267" s="40" t="str">
        <f ca="1">IFERROR(__xludf.DUMMYFUNCTION("""COMPUTED_VALUE"""),"FORMACIÓN 18/10/2022")</f>
        <v>FORMACIÓN 18/10/2022</v>
      </c>
      <c r="C267" s="40" t="str">
        <f ca="1">IFERROR(__xludf.DUMMYFUNCTION("""COMPUTED_VALUE"""),"CESAR AGUSTO VALENCIA 
")</f>
        <v xml:space="preserve">CESAR AGUSTO VALENCIA 
</v>
      </c>
      <c r="D267" s="40" t="str">
        <f ca="1">IFERROR(__xludf.DUMMYFUNCTION("""COMPUTED_VALUE"""),"CC")</f>
        <v>CC</v>
      </c>
      <c r="E267" s="40">
        <f ca="1">IFERROR(__xludf.DUMMYFUNCTION("""COMPUTED_VALUE"""),12266171)</f>
        <v>12266171</v>
      </c>
      <c r="F267" s="40">
        <f ca="1">IFERROR(__xludf.DUMMYFUNCTION("""COMPUTED_VALUE"""),2353210)</f>
        <v>2353210</v>
      </c>
      <c r="G267" s="40" t="str">
        <f ca="1">IFERROR(__xludf.DUMMYFUNCTION("""COMPUTED_VALUE"""),"TÉCNICO")</f>
        <v>TÉCNICO</v>
      </c>
      <c r="H267" s="40" t="str">
        <f ca="1">IFERROR(__xludf.DUMMYFUNCTION("""COMPUTED_VALUE"""),"INSTALACION DE SISTEMAS ELECTRICOS RESIDENCIALES Y COMERCIALES")</f>
        <v>INSTALACION DE SISTEMAS ELECTRICOS RESIDENCIALES Y COMERCIALES</v>
      </c>
      <c r="I267" s="40"/>
      <c r="J267" s="40"/>
      <c r="K267" s="40"/>
      <c r="L267" s="40" t="str">
        <f ca="1">IFERROR(__xludf.DUMMYFUNCTION("""COMPUTED_VALUE"""),"NO HA INICIADO ETAPA PRODUCTIVA")</f>
        <v>NO HA INICIADO ETAPA PRODUCTIVA</v>
      </c>
      <c r="M267" s="40"/>
      <c r="N267" s="40"/>
      <c r="O267" s="40"/>
      <c r="P267" s="40"/>
      <c r="Q267" s="40"/>
      <c r="R267" s="140"/>
      <c r="S267" s="1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t="str">
        <f ca="1">IFERROR(__xludf.DUMMYFUNCTION("""COMPUTED_VALUE"""),"NO_CUMPLE")</f>
        <v>NO_CUMPLE</v>
      </c>
      <c r="AV267" s="40" t="str">
        <f ca="1">IFERROR(__xludf.DUMMYFUNCTION("""COMPUTED_VALUE"""),"EN FORMACION")</f>
        <v>EN FORMACION</v>
      </c>
      <c r="AW267" s="40" t="str">
        <f ca="1">IFERROR(__xludf.DUMMYFUNCTION("""COMPUTED_VALUE"""),"BIOCONSTRUCCION")</f>
        <v>BIOCONSTRUCCION</v>
      </c>
      <c r="AX267" s="141">
        <f ca="1">IFERROR(__xludf.DUMMYFUNCTION("""COMPUTED_VALUE"""),44839)</f>
        <v>44839</v>
      </c>
      <c r="AY267" s="40">
        <f ca="1">IFERROR(__xludf.DUMMYFUNCTION("""COMPUTED_VALUE"""),4)</f>
        <v>4</v>
      </c>
      <c r="AZ267" s="40">
        <f ca="1">IFERROR(__xludf.DUMMYFUNCTION("""COMPUTED_VALUE"""),1)</f>
        <v>1</v>
      </c>
      <c r="BA267" s="40">
        <f ca="1">IFERROR(__xludf.DUMMYFUNCTION("""COMPUTED_VALUE"""),0)</f>
        <v>0</v>
      </c>
      <c r="BB267" s="40">
        <f ca="1">IFERROR(__xludf.DUMMYFUNCTION("""COMPUTED_VALUE"""),0)</f>
        <v>0</v>
      </c>
      <c r="BC267" s="40">
        <f ca="1">IFERROR(__xludf.DUMMYFUNCTION("""COMPUTED_VALUE"""),5)</f>
        <v>5</v>
      </c>
      <c r="BD267" s="141">
        <f ca="1">IFERROR(__xludf.DUMMYFUNCTION("""COMPUTED_VALUE"""),44256)</f>
        <v>44256</v>
      </c>
      <c r="BE267" s="141">
        <f ca="1">IFERROR(__xludf.DUMMYFUNCTION("""COMPUTED_VALUE"""),44530)</f>
        <v>44530</v>
      </c>
      <c r="BF267" s="141">
        <f ca="1">IFERROR(__xludf.DUMMYFUNCTION("""COMPUTED_VALUE"""),44712)</f>
        <v>44712</v>
      </c>
      <c r="BG267" s="141">
        <f ca="1">IFERROR(__xludf.DUMMYFUNCTION("""COMPUTED_VALUE"""),45260)</f>
        <v>45260</v>
      </c>
      <c r="BH267" s="40" t="str">
        <f ca="1">IFERROR(__xludf.DUMMYFUNCTION("""COMPUTED_VALUE"""),"FICHA EN TIEMPO-18 MESES")</f>
        <v>FICHA EN TIEMPO-18 MESES</v>
      </c>
      <c r="BI267" s="40" t="str">
        <f ca="1">IFERROR(__xludf.DUMMYFUNCTION("""COMPUTED_VALUE"""),"Terminada por fecha")</f>
        <v>Terminada por fecha</v>
      </c>
      <c r="BJ267" s="40" t="str">
        <f ca="1">IFERROR(__xludf.DUMMYFUNCTION("""COMPUTED_VALUE"""),"Yamboro")</f>
        <v>Yamboro</v>
      </c>
      <c r="BK267" s="40"/>
      <c r="BL267" s="40"/>
    </row>
    <row r="268" spans="1:64" ht="13">
      <c r="A268" s="40"/>
      <c r="B268" s="40" t="str">
        <f ca="1">IFERROR(__xludf.DUMMYFUNCTION("""COMPUTED_VALUE"""),"FORMACIÓN 18/10/2022")</f>
        <v>FORMACIÓN 18/10/2022</v>
      </c>
      <c r="C268" s="40" t="str">
        <f ca="1">IFERROR(__xludf.DUMMYFUNCTION("""COMPUTED_VALUE"""),"JOSE FIDEL ORJUELA LOPEZ
")</f>
        <v xml:space="preserve">JOSE FIDEL ORJUELA LOPEZ
</v>
      </c>
      <c r="D268" s="40" t="str">
        <f ca="1">IFERROR(__xludf.DUMMYFUNCTION("""COMPUTED_VALUE"""),"CC")</f>
        <v>CC</v>
      </c>
      <c r="E268" s="40">
        <f ca="1">IFERROR(__xludf.DUMMYFUNCTION("""COMPUTED_VALUE"""),12266585)</f>
        <v>12266585</v>
      </c>
      <c r="F268" s="40">
        <f ca="1">IFERROR(__xludf.DUMMYFUNCTION("""COMPUTED_VALUE"""),2353210)</f>
        <v>2353210</v>
      </c>
      <c r="G268" s="40" t="str">
        <f ca="1">IFERROR(__xludf.DUMMYFUNCTION("""COMPUTED_VALUE"""),"TÉCNICO")</f>
        <v>TÉCNICO</v>
      </c>
      <c r="H268" s="40" t="str">
        <f ca="1">IFERROR(__xludf.DUMMYFUNCTION("""COMPUTED_VALUE"""),"INSTALACION DE SISTEMAS ELECTRICOS RESIDENCIALES Y COMERCIALES")</f>
        <v>INSTALACION DE SISTEMAS ELECTRICOS RESIDENCIALES Y COMERCIALES</v>
      </c>
      <c r="I268" s="40">
        <f ca="1">IFERROR(__xludf.DUMMYFUNCTION("""COMPUTED_VALUE"""),3209150279)</f>
        <v>3209150279</v>
      </c>
      <c r="J268" s="40" t="str">
        <f ca="1">IFERROR(__xludf.DUMMYFUNCTION("""COMPUTED_VALUE"""),"fidelorjuela2015@gmail.com")</f>
        <v>fidelorjuela2015@gmail.com</v>
      </c>
      <c r="K268" s="40" t="str">
        <f ca="1">IFERROR(__xludf.DUMMYFUNCTION("""COMPUTED_VALUE"""),"PITALITO")</f>
        <v>PITALITO</v>
      </c>
      <c r="L268" s="40" t="str">
        <f ca="1">IFERROR(__xludf.DUMMYFUNCTION("""COMPUTED_VALUE"""),"CONTRATO DE APRENDIZAJE")</f>
        <v>CONTRATO DE APRENDIZAJE</v>
      </c>
      <c r="M268" s="40" t="str">
        <f ca="1">IFERROR(__xludf.DUMMYFUNCTION("""COMPUTED_VALUE"""),"COFCO INTERNATIONAL COLOMBIA S.A.S.")</f>
        <v>COFCO INTERNATIONAL COLOMBIA S.A.S.</v>
      </c>
      <c r="N268" s="40" t="str">
        <f ca="1">IFERROR(__xludf.DUMMYFUNCTION("""COMPUTED_VALUE"""),"CLL 54 N° 10-33 Oficina 901")</f>
        <v>CLL 54 N° 10-33 Oficina 901</v>
      </c>
      <c r="O268" s="40"/>
      <c r="P268" s="40" t="str">
        <f ca="1">IFERROR(__xludf.DUMMYFUNCTION("""COMPUTED_VALUE"""),"BOGOTA ")</f>
        <v xml:space="preserve">BOGOTA </v>
      </c>
      <c r="Q268" s="40" t="str">
        <f ca="1">IFERROR(__xludf.DUMMYFUNCTION("""COMPUTED_VALUE"""),"marcelamazorra@cofcointernational.com
")</f>
        <v xml:space="preserve">marcelamazorra@cofcointernational.com
</v>
      </c>
      <c r="R268" s="140">
        <f ca="1">IFERROR(__xludf.DUMMYFUNCTION("""COMPUTED_VALUE"""),44852)</f>
        <v>44852</v>
      </c>
      <c r="S268" s="140">
        <f ca="1">IFERROR(__xludf.DUMMYFUNCTION("""COMPUTED_VALUE"""),45033)</f>
        <v>45033</v>
      </c>
      <c r="T268" s="40"/>
      <c r="U268" s="40" t="str">
        <f ca="1">IFERROR(__xludf.DUMMYFUNCTION("""COMPUTED_VALUE"""),"Alexander Lugo")</f>
        <v>Alexander Lugo</v>
      </c>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t="str">
        <f ca="1">IFERROR(__xludf.DUMMYFUNCTION("""COMPUTED_VALUE"""),"NO_CUMPLE")</f>
        <v>NO_CUMPLE</v>
      </c>
      <c r="AV268" s="40" t="str">
        <f ca="1">IFERROR(__xludf.DUMMYFUNCTION("""COMPUTED_VALUE"""),"EN FORMACION")</f>
        <v>EN FORMACION</v>
      </c>
      <c r="AW268" s="40" t="str">
        <f ca="1">IFERROR(__xludf.DUMMYFUNCTION("""COMPUTED_VALUE"""),"BIOCONSTRUCCION")</f>
        <v>BIOCONSTRUCCION</v>
      </c>
      <c r="AX268" s="141">
        <f ca="1">IFERROR(__xludf.DUMMYFUNCTION("""COMPUTED_VALUE"""),44839)</f>
        <v>44839</v>
      </c>
      <c r="AY268" s="40">
        <f ca="1">IFERROR(__xludf.DUMMYFUNCTION("""COMPUTED_VALUE"""),4)</f>
        <v>4</v>
      </c>
      <c r="AZ268" s="40">
        <f ca="1">IFERROR(__xludf.DUMMYFUNCTION("""COMPUTED_VALUE"""),1)</f>
        <v>1</v>
      </c>
      <c r="BA268" s="40">
        <f ca="1">IFERROR(__xludf.DUMMYFUNCTION("""COMPUTED_VALUE"""),0)</f>
        <v>0</v>
      </c>
      <c r="BB268" s="40">
        <f ca="1">IFERROR(__xludf.DUMMYFUNCTION("""COMPUTED_VALUE"""),0)</f>
        <v>0</v>
      </c>
      <c r="BC268" s="40">
        <f ca="1">IFERROR(__xludf.DUMMYFUNCTION("""COMPUTED_VALUE"""),5)</f>
        <v>5</v>
      </c>
      <c r="BD268" s="141">
        <f ca="1">IFERROR(__xludf.DUMMYFUNCTION("""COMPUTED_VALUE"""),44256)</f>
        <v>44256</v>
      </c>
      <c r="BE268" s="141">
        <f ca="1">IFERROR(__xludf.DUMMYFUNCTION("""COMPUTED_VALUE"""),44530)</f>
        <v>44530</v>
      </c>
      <c r="BF268" s="141">
        <f ca="1">IFERROR(__xludf.DUMMYFUNCTION("""COMPUTED_VALUE"""),44712)</f>
        <v>44712</v>
      </c>
      <c r="BG268" s="141">
        <f ca="1">IFERROR(__xludf.DUMMYFUNCTION("""COMPUTED_VALUE"""),45260)</f>
        <v>45260</v>
      </c>
      <c r="BH268" s="40" t="str">
        <f ca="1">IFERROR(__xludf.DUMMYFUNCTION("""COMPUTED_VALUE"""),"FICHA EN TIEMPO-18 MESES")</f>
        <v>FICHA EN TIEMPO-18 MESES</v>
      </c>
      <c r="BI268" s="40" t="str">
        <f ca="1">IFERROR(__xludf.DUMMYFUNCTION("""COMPUTED_VALUE"""),"Terminada por fecha")</f>
        <v>Terminada por fecha</v>
      </c>
      <c r="BJ268" s="40" t="str">
        <f ca="1">IFERROR(__xludf.DUMMYFUNCTION("""COMPUTED_VALUE"""),"Yamboro")</f>
        <v>Yamboro</v>
      </c>
      <c r="BK268" s="40"/>
      <c r="BL268" s="40"/>
    </row>
    <row r="269" spans="1:64" ht="13">
      <c r="A269" s="40"/>
      <c r="B269" s="40" t="str">
        <f ca="1">IFERROR(__xludf.DUMMYFUNCTION("""COMPUTED_VALUE"""),"FORMACIÓN 18/10/2022")</f>
        <v>FORMACIÓN 18/10/2022</v>
      </c>
      <c r="C269" s="40" t="str">
        <f ca="1">IFERROR(__xludf.DUMMYFUNCTION("""COMPUTED_VALUE"""),"FERNANDO TOVAR BECERRA
")</f>
        <v xml:space="preserve">FERNANDO TOVAR BECERRA
</v>
      </c>
      <c r="D269" s="40" t="str">
        <f ca="1">IFERROR(__xludf.DUMMYFUNCTION("""COMPUTED_VALUE"""),"CC")</f>
        <v>CC</v>
      </c>
      <c r="E269" s="40">
        <f ca="1">IFERROR(__xludf.DUMMYFUNCTION("""COMPUTED_VALUE"""),12266614)</f>
        <v>12266614</v>
      </c>
      <c r="F269" s="40">
        <f ca="1">IFERROR(__xludf.DUMMYFUNCTION("""COMPUTED_VALUE"""),2353210)</f>
        <v>2353210</v>
      </c>
      <c r="G269" s="40" t="str">
        <f ca="1">IFERROR(__xludf.DUMMYFUNCTION("""COMPUTED_VALUE"""),"TÉCNICO")</f>
        <v>TÉCNICO</v>
      </c>
      <c r="H269" s="40" t="str">
        <f ca="1">IFERROR(__xludf.DUMMYFUNCTION("""COMPUTED_VALUE"""),"INSTALACION DE SISTEMAS ELECTRICOS RESIDENCIALES Y COMERCIALES")</f>
        <v>INSTALACION DE SISTEMAS ELECTRICOS RESIDENCIALES Y COMERCIALES</v>
      </c>
      <c r="I269" s="40"/>
      <c r="J269" s="40"/>
      <c r="K269" s="40"/>
      <c r="L269" s="40" t="str">
        <f ca="1">IFERROR(__xludf.DUMMYFUNCTION("""COMPUTED_VALUE"""),"NO HA INICIADO ETAPA PRODUCTIVA")</f>
        <v>NO HA INICIADO ETAPA PRODUCTIVA</v>
      </c>
      <c r="M269" s="40"/>
      <c r="N269" s="40"/>
      <c r="O269" s="40"/>
      <c r="P269" s="40"/>
      <c r="Q269" s="40"/>
      <c r="R269" s="140"/>
      <c r="S269" s="1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t="str">
        <f ca="1">IFERROR(__xludf.DUMMYFUNCTION("""COMPUTED_VALUE"""),"NO_CUMPLE")</f>
        <v>NO_CUMPLE</v>
      </c>
      <c r="AV269" s="40" t="str">
        <f ca="1">IFERROR(__xludf.DUMMYFUNCTION("""COMPUTED_VALUE"""),"EN FORMACION")</f>
        <v>EN FORMACION</v>
      </c>
      <c r="AW269" s="40" t="str">
        <f ca="1">IFERROR(__xludf.DUMMYFUNCTION("""COMPUTED_VALUE"""),"BIOCONSTRUCCION")</f>
        <v>BIOCONSTRUCCION</v>
      </c>
      <c r="AX269" s="141">
        <f ca="1">IFERROR(__xludf.DUMMYFUNCTION("""COMPUTED_VALUE"""),44839)</f>
        <v>44839</v>
      </c>
      <c r="AY269" s="40">
        <f ca="1">IFERROR(__xludf.DUMMYFUNCTION("""COMPUTED_VALUE"""),16)</f>
        <v>16</v>
      </c>
      <c r="AZ269" s="40">
        <f ca="1">IFERROR(__xludf.DUMMYFUNCTION("""COMPUTED_VALUE"""),1)</f>
        <v>1</v>
      </c>
      <c r="BA269" s="40">
        <f ca="1">IFERROR(__xludf.DUMMYFUNCTION("""COMPUTED_VALUE"""),0)</f>
        <v>0</v>
      </c>
      <c r="BB269" s="40">
        <f ca="1">IFERROR(__xludf.DUMMYFUNCTION("""COMPUTED_VALUE"""),12)</f>
        <v>12</v>
      </c>
      <c r="BC269" s="40">
        <f ca="1">IFERROR(__xludf.DUMMYFUNCTION("""COMPUTED_VALUE"""),29)</f>
        <v>29</v>
      </c>
      <c r="BD269" s="141">
        <f ca="1">IFERROR(__xludf.DUMMYFUNCTION("""COMPUTED_VALUE"""),44256)</f>
        <v>44256</v>
      </c>
      <c r="BE269" s="141">
        <f ca="1">IFERROR(__xludf.DUMMYFUNCTION("""COMPUTED_VALUE"""),44530)</f>
        <v>44530</v>
      </c>
      <c r="BF269" s="141">
        <f ca="1">IFERROR(__xludf.DUMMYFUNCTION("""COMPUTED_VALUE"""),44712)</f>
        <v>44712</v>
      </c>
      <c r="BG269" s="141">
        <f ca="1">IFERROR(__xludf.DUMMYFUNCTION("""COMPUTED_VALUE"""),45260)</f>
        <v>45260</v>
      </c>
      <c r="BH269" s="40" t="str">
        <f ca="1">IFERROR(__xludf.DUMMYFUNCTION("""COMPUTED_VALUE"""),"FICHA EN TIEMPO-18 MESES")</f>
        <v>FICHA EN TIEMPO-18 MESES</v>
      </c>
      <c r="BI269" s="40" t="str">
        <f ca="1">IFERROR(__xludf.DUMMYFUNCTION("""COMPUTED_VALUE"""),"Terminada por fecha")</f>
        <v>Terminada por fecha</v>
      </c>
      <c r="BJ269" s="40" t="str">
        <f ca="1">IFERROR(__xludf.DUMMYFUNCTION("""COMPUTED_VALUE"""),"Yamboro")</f>
        <v>Yamboro</v>
      </c>
      <c r="BK269" s="40"/>
      <c r="BL269" s="40"/>
    </row>
    <row r="270" spans="1:64" ht="13">
      <c r="A270" s="40"/>
      <c r="B270" s="40" t="str">
        <f ca="1">IFERROR(__xludf.DUMMYFUNCTION("""COMPUTED_VALUE"""),"FORMACIÓN 18/10/2022")</f>
        <v>FORMACIÓN 18/10/2022</v>
      </c>
      <c r="C270" s="40" t="str">
        <f ca="1">IFERROR(__xludf.DUMMYFUNCTION("""COMPUTED_VALUE"""),"EDIL DARIO ANDELA BECERRA
")</f>
        <v xml:space="preserve">EDIL DARIO ANDELA BECERRA
</v>
      </c>
      <c r="D270" s="40" t="str">
        <f ca="1">IFERROR(__xludf.DUMMYFUNCTION("""COMPUTED_VALUE"""),"CC")</f>
        <v>CC</v>
      </c>
      <c r="E270" s="40">
        <f ca="1">IFERROR(__xludf.DUMMYFUNCTION("""COMPUTED_VALUE"""),12266987)</f>
        <v>12266987</v>
      </c>
      <c r="F270" s="40">
        <f ca="1">IFERROR(__xludf.DUMMYFUNCTION("""COMPUTED_VALUE"""),2353210)</f>
        <v>2353210</v>
      </c>
      <c r="G270" s="40" t="str">
        <f ca="1">IFERROR(__xludf.DUMMYFUNCTION("""COMPUTED_VALUE"""),"TÉCNICO")</f>
        <v>TÉCNICO</v>
      </c>
      <c r="H270" s="40" t="str">
        <f ca="1">IFERROR(__xludf.DUMMYFUNCTION("""COMPUTED_VALUE"""),"INSTALACION DE SISTEMAS ELECTRICOS RESIDENCIALES Y COMERCIALES")</f>
        <v>INSTALACION DE SISTEMAS ELECTRICOS RESIDENCIALES Y COMERCIALES</v>
      </c>
      <c r="I270" s="40"/>
      <c r="J270" s="40"/>
      <c r="K270" s="40"/>
      <c r="L270" s="40" t="str">
        <f ca="1">IFERROR(__xludf.DUMMYFUNCTION("""COMPUTED_VALUE"""),"NO HA INICIADO ETAPA PRODUCTIVA")</f>
        <v>NO HA INICIADO ETAPA PRODUCTIVA</v>
      </c>
      <c r="M270" s="40"/>
      <c r="N270" s="40"/>
      <c r="O270" s="40"/>
      <c r="P270" s="40"/>
      <c r="Q270" s="40"/>
      <c r="R270" s="140"/>
      <c r="S270" s="1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t="str">
        <f ca="1">IFERROR(__xludf.DUMMYFUNCTION("""COMPUTED_VALUE"""),"NO_CUMPLE")</f>
        <v>NO_CUMPLE</v>
      </c>
      <c r="AV270" s="40" t="str">
        <f ca="1">IFERROR(__xludf.DUMMYFUNCTION("""COMPUTED_VALUE"""),"EN FORMACION")</f>
        <v>EN FORMACION</v>
      </c>
      <c r="AW270" s="40" t="str">
        <f ca="1">IFERROR(__xludf.DUMMYFUNCTION("""COMPUTED_VALUE"""),"BIOCONSTRUCCION")</f>
        <v>BIOCONSTRUCCION</v>
      </c>
      <c r="AX270" s="141">
        <f ca="1">IFERROR(__xludf.DUMMYFUNCTION("""COMPUTED_VALUE"""),44839)</f>
        <v>44839</v>
      </c>
      <c r="AY270" s="40">
        <f ca="1">IFERROR(__xludf.DUMMYFUNCTION("""COMPUTED_VALUE"""),8)</f>
        <v>8</v>
      </c>
      <c r="AZ270" s="40">
        <f ca="1">IFERROR(__xludf.DUMMYFUNCTION("""COMPUTED_VALUE"""),1)</f>
        <v>1</v>
      </c>
      <c r="BA270" s="40">
        <f ca="1">IFERROR(__xludf.DUMMYFUNCTION("""COMPUTED_VALUE"""),0)</f>
        <v>0</v>
      </c>
      <c r="BB270" s="40">
        <f ca="1">IFERROR(__xludf.DUMMYFUNCTION("""COMPUTED_VALUE"""),0)</f>
        <v>0</v>
      </c>
      <c r="BC270" s="40">
        <f ca="1">IFERROR(__xludf.DUMMYFUNCTION("""COMPUTED_VALUE"""),9)</f>
        <v>9</v>
      </c>
      <c r="BD270" s="141">
        <f ca="1">IFERROR(__xludf.DUMMYFUNCTION("""COMPUTED_VALUE"""),44256)</f>
        <v>44256</v>
      </c>
      <c r="BE270" s="141">
        <f ca="1">IFERROR(__xludf.DUMMYFUNCTION("""COMPUTED_VALUE"""),44530)</f>
        <v>44530</v>
      </c>
      <c r="BF270" s="141">
        <f ca="1">IFERROR(__xludf.DUMMYFUNCTION("""COMPUTED_VALUE"""),44712)</f>
        <v>44712</v>
      </c>
      <c r="BG270" s="141">
        <f ca="1">IFERROR(__xludf.DUMMYFUNCTION("""COMPUTED_VALUE"""),45260)</f>
        <v>45260</v>
      </c>
      <c r="BH270" s="40" t="str">
        <f ca="1">IFERROR(__xludf.DUMMYFUNCTION("""COMPUTED_VALUE"""),"FICHA EN TIEMPO-18 MESES")</f>
        <v>FICHA EN TIEMPO-18 MESES</v>
      </c>
      <c r="BI270" s="40" t="str">
        <f ca="1">IFERROR(__xludf.DUMMYFUNCTION("""COMPUTED_VALUE"""),"Terminada por fecha")</f>
        <v>Terminada por fecha</v>
      </c>
      <c r="BJ270" s="40" t="str">
        <f ca="1">IFERROR(__xludf.DUMMYFUNCTION("""COMPUTED_VALUE"""),"Yamboro")</f>
        <v>Yamboro</v>
      </c>
      <c r="BK270" s="40"/>
      <c r="BL270" s="40"/>
    </row>
    <row r="271" spans="1:64" ht="13">
      <c r="A271" s="40"/>
      <c r="B271" s="40" t="str">
        <f ca="1">IFERROR(__xludf.DUMMYFUNCTION("""COMPUTED_VALUE"""),"FORMACIÓN 18/10/2022")</f>
        <v>FORMACIÓN 18/10/2022</v>
      </c>
      <c r="C271" s="40" t="str">
        <f ca="1">IFERROR(__xludf.DUMMYFUNCTION("""COMPUTED_VALUE"""),"RAFAEL PARRA ROMERO
")</f>
        <v xml:space="preserve">RAFAEL PARRA ROMERO
</v>
      </c>
      <c r="D271" s="40" t="str">
        <f ca="1">IFERROR(__xludf.DUMMYFUNCTION("""COMPUTED_VALUE"""),"CC")</f>
        <v>CC</v>
      </c>
      <c r="E271" s="40">
        <f ca="1">IFERROR(__xludf.DUMMYFUNCTION("""COMPUTED_VALUE"""),15620823)</f>
        <v>15620823</v>
      </c>
      <c r="F271" s="40">
        <f ca="1">IFERROR(__xludf.DUMMYFUNCTION("""COMPUTED_VALUE"""),2353210)</f>
        <v>2353210</v>
      </c>
      <c r="G271" s="40" t="str">
        <f ca="1">IFERROR(__xludf.DUMMYFUNCTION("""COMPUTED_VALUE"""),"TÉCNICO")</f>
        <v>TÉCNICO</v>
      </c>
      <c r="H271" s="40" t="str">
        <f ca="1">IFERROR(__xludf.DUMMYFUNCTION("""COMPUTED_VALUE"""),"INSTALACION DE SISTEMAS ELECTRICOS RESIDENCIALES Y COMERCIALES")</f>
        <v>INSTALACION DE SISTEMAS ELECTRICOS RESIDENCIALES Y COMERCIALES</v>
      </c>
      <c r="I271" s="40"/>
      <c r="J271" s="40"/>
      <c r="K271" s="40"/>
      <c r="L271" s="40" t="str">
        <f ca="1">IFERROR(__xludf.DUMMYFUNCTION("""COMPUTED_VALUE"""),"NO HA INICIADO ETAPA PRODUCTIVA")</f>
        <v>NO HA INICIADO ETAPA PRODUCTIVA</v>
      </c>
      <c r="M271" s="40"/>
      <c r="N271" s="40"/>
      <c r="O271" s="40"/>
      <c r="P271" s="40"/>
      <c r="Q271" s="40"/>
      <c r="R271" s="140"/>
      <c r="S271" s="1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t="str">
        <f ca="1">IFERROR(__xludf.DUMMYFUNCTION("""COMPUTED_VALUE"""),"Procede_E_P")</f>
        <v>Procede_E_P</v>
      </c>
      <c r="AV271" s="40" t="str">
        <f ca="1">IFERROR(__xludf.DUMMYFUNCTION("""COMPUTED_VALUE"""),"EN FORMACION")</f>
        <v>EN FORMACION</v>
      </c>
      <c r="AW271" s="40" t="str">
        <f ca="1">IFERROR(__xludf.DUMMYFUNCTION("""COMPUTED_VALUE"""),"BIOCONSTRUCCION")</f>
        <v>BIOCONSTRUCCION</v>
      </c>
      <c r="AX271" s="141">
        <f ca="1">IFERROR(__xludf.DUMMYFUNCTION("""COMPUTED_VALUE"""),44839)</f>
        <v>44839</v>
      </c>
      <c r="AY271" s="40">
        <f ca="1">IFERROR(__xludf.DUMMYFUNCTION("""COMPUTED_VALUE"""),0)</f>
        <v>0</v>
      </c>
      <c r="AZ271" s="40">
        <f ca="1">IFERROR(__xludf.DUMMYFUNCTION("""COMPUTED_VALUE"""),1)</f>
        <v>1</v>
      </c>
      <c r="BA271" s="40">
        <f ca="1">IFERROR(__xludf.DUMMYFUNCTION("""COMPUTED_VALUE"""),0)</f>
        <v>0</v>
      </c>
      <c r="BB271" s="40">
        <f ca="1">IFERROR(__xludf.DUMMYFUNCTION("""COMPUTED_VALUE"""),0)</f>
        <v>0</v>
      </c>
      <c r="BC271" s="40">
        <f ca="1">IFERROR(__xludf.DUMMYFUNCTION("""COMPUTED_VALUE"""),1)</f>
        <v>1</v>
      </c>
      <c r="BD271" s="141">
        <f ca="1">IFERROR(__xludf.DUMMYFUNCTION("""COMPUTED_VALUE"""),44256)</f>
        <v>44256</v>
      </c>
      <c r="BE271" s="141">
        <f ca="1">IFERROR(__xludf.DUMMYFUNCTION("""COMPUTED_VALUE"""),44530)</f>
        <v>44530</v>
      </c>
      <c r="BF271" s="141">
        <f ca="1">IFERROR(__xludf.DUMMYFUNCTION("""COMPUTED_VALUE"""),44712)</f>
        <v>44712</v>
      </c>
      <c r="BG271" s="141">
        <f ca="1">IFERROR(__xludf.DUMMYFUNCTION("""COMPUTED_VALUE"""),45260)</f>
        <v>45260</v>
      </c>
      <c r="BH271" s="40" t="str">
        <f ca="1">IFERROR(__xludf.DUMMYFUNCTION("""COMPUTED_VALUE"""),"FICHA EN TIEMPO-18 MESES")</f>
        <v>FICHA EN TIEMPO-18 MESES</v>
      </c>
      <c r="BI271" s="40" t="str">
        <f ca="1">IFERROR(__xludf.DUMMYFUNCTION("""COMPUTED_VALUE"""),"Terminada por fecha")</f>
        <v>Terminada por fecha</v>
      </c>
      <c r="BJ271" s="40" t="str">
        <f ca="1">IFERROR(__xludf.DUMMYFUNCTION("""COMPUTED_VALUE"""),"Yamboro")</f>
        <v>Yamboro</v>
      </c>
      <c r="BK271" s="40"/>
      <c r="BL271" s="40"/>
    </row>
    <row r="272" spans="1:64" ht="13">
      <c r="A272" s="40"/>
      <c r="B272" s="40" t="str">
        <f ca="1">IFERROR(__xludf.DUMMYFUNCTION("""COMPUTED_VALUE"""),"FORMACIÓN 18/10/2022")</f>
        <v>FORMACIÓN 18/10/2022</v>
      </c>
      <c r="C272" s="40" t="str">
        <f ca="1">IFERROR(__xludf.DUMMYFUNCTION("""COMPUTED_VALUE"""),"JOSE BIESNER DAZA OVALLE
")</f>
        <v xml:space="preserve">JOSE BIESNER DAZA OVALLE
</v>
      </c>
      <c r="D272" s="40" t="str">
        <f ca="1">IFERROR(__xludf.DUMMYFUNCTION("""COMPUTED_VALUE"""),"CC")</f>
        <v>CC</v>
      </c>
      <c r="E272" s="40">
        <f ca="1">IFERROR(__xludf.DUMMYFUNCTION("""COMPUTED_VALUE"""),4929488)</f>
        <v>4929488</v>
      </c>
      <c r="F272" s="40">
        <f ca="1">IFERROR(__xludf.DUMMYFUNCTION("""COMPUTED_VALUE"""),2353210)</f>
        <v>2353210</v>
      </c>
      <c r="G272" s="40" t="str">
        <f ca="1">IFERROR(__xludf.DUMMYFUNCTION("""COMPUTED_VALUE"""),"TÉCNICO")</f>
        <v>TÉCNICO</v>
      </c>
      <c r="H272" s="40" t="str">
        <f ca="1">IFERROR(__xludf.DUMMYFUNCTION("""COMPUTED_VALUE"""),"INSTALACION DE SISTEMAS ELECTRICOS RESIDENCIALES Y COMERCIALES")</f>
        <v>INSTALACION DE SISTEMAS ELECTRICOS RESIDENCIALES Y COMERCIALES</v>
      </c>
      <c r="I272" s="40"/>
      <c r="J272" s="40"/>
      <c r="K272" s="40"/>
      <c r="L272" s="40" t="str">
        <f ca="1">IFERROR(__xludf.DUMMYFUNCTION("""COMPUTED_VALUE"""),"CONTRATO DE APRENDIZAJE ")</f>
        <v xml:space="preserve">CONTRATO DE APRENDIZAJE </v>
      </c>
      <c r="M272" s="40"/>
      <c r="N272" s="40" t="str">
        <f ca="1">IFERROR(__xludf.DUMMYFUNCTION("""COMPUTED_VALUE"""),"TELEVIGILANCIA LTDA PROTECCIÓN Y SEGURIDAD")</f>
        <v>TELEVIGILANCIA LTDA PROTECCIÓN Y SEGURIDAD</v>
      </c>
      <c r="O272" s="40">
        <f ca="1">IFERROR(__xludf.DUMMYFUNCTION("""COMPUTED_VALUE"""),3115316269)</f>
        <v>3115316269</v>
      </c>
      <c r="P272" s="40"/>
      <c r="Q272" s="40"/>
      <c r="R272" s="140">
        <f ca="1">IFERROR(__xludf.DUMMYFUNCTION("""COMPUTED_VALUE"""),44671)</f>
        <v>44671</v>
      </c>
      <c r="S272" s="140">
        <f ca="1">IFERROR(__xludf.DUMMYFUNCTION("""COMPUTED_VALUE"""),44854)</f>
        <v>44854</v>
      </c>
      <c r="T272" s="40"/>
      <c r="U272" s="40" t="str">
        <f ca="1">IFERROR(__xludf.DUMMYFUNCTION("""COMPUTED_VALUE"""),"Alexander Lugo")</f>
        <v>Alexander Lugo</v>
      </c>
      <c r="V272" s="40" t="str">
        <f ca="1">IFERROR(__xludf.DUMMYFUNCTION("""COMPUTED_VALUE"""),"No tiene seguimiento 02/05/2022")</f>
        <v>No tiene seguimiento 02/05/2022</v>
      </c>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t="str">
        <f ca="1">IFERROR(__xludf.DUMMYFUNCTION("""COMPUTED_VALUE"""),"Procede_E_P")</f>
        <v>Procede_E_P</v>
      </c>
      <c r="AV272" s="40" t="str">
        <f ca="1">IFERROR(__xludf.DUMMYFUNCTION("""COMPUTED_VALUE"""),"EN FORMACION")</f>
        <v>EN FORMACION</v>
      </c>
      <c r="AW272" s="40" t="str">
        <f ca="1">IFERROR(__xludf.DUMMYFUNCTION("""COMPUTED_VALUE"""),"BIOCONSTRUCCION")</f>
        <v>BIOCONSTRUCCION</v>
      </c>
      <c r="AX272" s="141">
        <f ca="1">IFERROR(__xludf.DUMMYFUNCTION("""COMPUTED_VALUE"""),44839)</f>
        <v>44839</v>
      </c>
      <c r="AY272" s="40">
        <f ca="1">IFERROR(__xludf.DUMMYFUNCTION("""COMPUTED_VALUE"""),0)</f>
        <v>0</v>
      </c>
      <c r="AZ272" s="40">
        <f ca="1">IFERROR(__xludf.DUMMYFUNCTION("""COMPUTED_VALUE"""),1)</f>
        <v>1</v>
      </c>
      <c r="BA272" s="40">
        <f ca="1">IFERROR(__xludf.DUMMYFUNCTION("""COMPUTED_VALUE"""),0)</f>
        <v>0</v>
      </c>
      <c r="BB272" s="40">
        <f ca="1">IFERROR(__xludf.DUMMYFUNCTION("""COMPUTED_VALUE"""),0)</f>
        <v>0</v>
      </c>
      <c r="BC272" s="40">
        <f ca="1">IFERROR(__xludf.DUMMYFUNCTION("""COMPUTED_VALUE"""),1)</f>
        <v>1</v>
      </c>
      <c r="BD272" s="141">
        <f ca="1">IFERROR(__xludf.DUMMYFUNCTION("""COMPUTED_VALUE"""),44256)</f>
        <v>44256</v>
      </c>
      <c r="BE272" s="141">
        <f ca="1">IFERROR(__xludf.DUMMYFUNCTION("""COMPUTED_VALUE"""),44530)</f>
        <v>44530</v>
      </c>
      <c r="BF272" s="141">
        <f ca="1">IFERROR(__xludf.DUMMYFUNCTION("""COMPUTED_VALUE"""),44712)</f>
        <v>44712</v>
      </c>
      <c r="BG272" s="141">
        <f ca="1">IFERROR(__xludf.DUMMYFUNCTION("""COMPUTED_VALUE"""),45260)</f>
        <v>45260</v>
      </c>
      <c r="BH272" s="40" t="str">
        <f ca="1">IFERROR(__xludf.DUMMYFUNCTION("""COMPUTED_VALUE"""),"FICHA EN TIEMPO-18 MESES")</f>
        <v>FICHA EN TIEMPO-18 MESES</v>
      </c>
      <c r="BI272" s="40" t="str">
        <f ca="1">IFERROR(__xludf.DUMMYFUNCTION("""COMPUTED_VALUE"""),"Terminada por fecha")</f>
        <v>Terminada por fecha</v>
      </c>
      <c r="BJ272" s="40" t="str">
        <f ca="1">IFERROR(__xludf.DUMMYFUNCTION("""COMPUTED_VALUE"""),"Yamboro")</f>
        <v>Yamboro</v>
      </c>
      <c r="BK272" s="40"/>
      <c r="BL272" s="40"/>
    </row>
    <row r="273" spans="1:64" ht="13">
      <c r="A273" s="40"/>
      <c r="B273" s="40" t="str">
        <f ca="1">IFERROR(__xludf.DUMMYFUNCTION("""COMPUTED_VALUE"""),"FORMACIÓN 18/10/2022")</f>
        <v>FORMACIÓN 18/10/2022</v>
      </c>
      <c r="C273" s="40" t="str">
        <f ca="1">IFERROR(__xludf.DUMMYFUNCTION("""COMPUTED_VALUE"""),"PEDRO CHARRY MONTIEL
")</f>
        <v xml:space="preserve">PEDRO CHARRY MONTIEL
</v>
      </c>
      <c r="D273" s="40" t="str">
        <f ca="1">IFERROR(__xludf.DUMMYFUNCTION("""COMPUTED_VALUE"""),"CC")</f>
        <v>CC</v>
      </c>
      <c r="E273" s="40">
        <f ca="1">IFERROR(__xludf.DUMMYFUNCTION("""COMPUTED_VALUE"""),5827474)</f>
        <v>5827474</v>
      </c>
      <c r="F273" s="40">
        <f ca="1">IFERROR(__xludf.DUMMYFUNCTION("""COMPUTED_VALUE"""),2353210)</f>
        <v>2353210</v>
      </c>
      <c r="G273" s="40" t="str">
        <f ca="1">IFERROR(__xludf.DUMMYFUNCTION("""COMPUTED_VALUE"""),"TÉCNICO")</f>
        <v>TÉCNICO</v>
      </c>
      <c r="H273" s="40" t="str">
        <f ca="1">IFERROR(__xludf.DUMMYFUNCTION("""COMPUTED_VALUE"""),"INSTALACION DE SISTEMAS ELECTRICOS RESIDENCIALES Y COMERCIALES")</f>
        <v>INSTALACION DE SISTEMAS ELECTRICOS RESIDENCIALES Y COMERCIALES</v>
      </c>
      <c r="I273" s="40"/>
      <c r="J273" s="40"/>
      <c r="K273" s="40"/>
      <c r="L273" s="40" t="str">
        <f ca="1">IFERROR(__xludf.DUMMYFUNCTION("""COMPUTED_VALUE"""),"CONTRATO DE APRENDIZAJE")</f>
        <v>CONTRATO DE APRENDIZAJE</v>
      </c>
      <c r="M273" s="40" t="str">
        <f ca="1">IFERROR(__xludf.DUMMYFUNCTION("""COMPUTED_VALUE"""),"TELEVIGILANCIA LTDA PROTECCION Y SEGURIDAD")</f>
        <v>TELEVIGILANCIA LTDA PROTECCION Y SEGURIDAD</v>
      </c>
      <c r="N273" s="40" t="str">
        <f ca="1">IFERROR(__xludf.DUMMYFUNCTION("""COMPUTED_VALUE"""),"calle6c#17-81")</f>
        <v>calle6c#17-81</v>
      </c>
      <c r="O273" s="40">
        <f ca="1">IFERROR(__xludf.DUMMYFUNCTION("""COMPUTED_VALUE"""),3115316269)</f>
        <v>3115316269</v>
      </c>
      <c r="P273" s="40" t="str">
        <f ca="1">IFERROR(__xludf.DUMMYFUNCTION("""COMPUTED_VALUE"""),"NEIVA")</f>
        <v>NEIVA</v>
      </c>
      <c r="Q273" s="40" t="str">
        <f ca="1">IFERROR(__xludf.DUMMYFUNCTION("""COMPUTED_VALUE"""),"jefepersonal@televigilancia.com.co")</f>
        <v>jefepersonal@televigilancia.com.co</v>
      </c>
      <c r="R273" s="140">
        <f ca="1">IFERROR(__xludf.DUMMYFUNCTION("""COMPUTED_VALUE"""),44671)</f>
        <v>44671</v>
      </c>
      <c r="S273" s="140">
        <f ca="1">IFERROR(__xludf.DUMMYFUNCTION("""COMPUTED_VALUE"""),44854)</f>
        <v>44854</v>
      </c>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t="str">
        <f ca="1">IFERROR(__xludf.DUMMYFUNCTION("""COMPUTED_VALUE"""),"Procede_E_P")</f>
        <v>Procede_E_P</v>
      </c>
      <c r="AV273" s="40" t="str">
        <f ca="1">IFERROR(__xludf.DUMMYFUNCTION("""COMPUTED_VALUE"""),"EN FORMACION")</f>
        <v>EN FORMACION</v>
      </c>
      <c r="AW273" s="40" t="str">
        <f ca="1">IFERROR(__xludf.DUMMYFUNCTION("""COMPUTED_VALUE"""),"BIOCONSTRUCCION")</f>
        <v>BIOCONSTRUCCION</v>
      </c>
      <c r="AX273" s="141">
        <f ca="1">IFERROR(__xludf.DUMMYFUNCTION("""COMPUTED_VALUE"""),44839)</f>
        <v>44839</v>
      </c>
      <c r="AY273" s="40">
        <f ca="1">IFERROR(__xludf.DUMMYFUNCTION("""COMPUTED_VALUE"""),0)</f>
        <v>0</v>
      </c>
      <c r="AZ273" s="40">
        <f ca="1">IFERROR(__xludf.DUMMYFUNCTION("""COMPUTED_VALUE"""),1)</f>
        <v>1</v>
      </c>
      <c r="BA273" s="40">
        <f ca="1">IFERROR(__xludf.DUMMYFUNCTION("""COMPUTED_VALUE"""),0)</f>
        <v>0</v>
      </c>
      <c r="BB273" s="40">
        <f ca="1">IFERROR(__xludf.DUMMYFUNCTION("""COMPUTED_VALUE"""),0)</f>
        <v>0</v>
      </c>
      <c r="BC273" s="40">
        <f ca="1">IFERROR(__xludf.DUMMYFUNCTION("""COMPUTED_VALUE"""),1)</f>
        <v>1</v>
      </c>
      <c r="BD273" s="141">
        <f ca="1">IFERROR(__xludf.DUMMYFUNCTION("""COMPUTED_VALUE"""),44256)</f>
        <v>44256</v>
      </c>
      <c r="BE273" s="141">
        <f ca="1">IFERROR(__xludf.DUMMYFUNCTION("""COMPUTED_VALUE"""),44530)</f>
        <v>44530</v>
      </c>
      <c r="BF273" s="141">
        <f ca="1">IFERROR(__xludf.DUMMYFUNCTION("""COMPUTED_VALUE"""),44712)</f>
        <v>44712</v>
      </c>
      <c r="BG273" s="141">
        <f ca="1">IFERROR(__xludf.DUMMYFUNCTION("""COMPUTED_VALUE"""),45260)</f>
        <v>45260</v>
      </c>
      <c r="BH273" s="40" t="str">
        <f ca="1">IFERROR(__xludf.DUMMYFUNCTION("""COMPUTED_VALUE"""),"FICHA EN TIEMPO-18 MESES")</f>
        <v>FICHA EN TIEMPO-18 MESES</v>
      </c>
      <c r="BI273" s="40" t="str">
        <f ca="1">IFERROR(__xludf.DUMMYFUNCTION("""COMPUTED_VALUE"""),"Terminada por fecha")</f>
        <v>Terminada por fecha</v>
      </c>
      <c r="BJ273" s="40" t="str">
        <f ca="1">IFERROR(__xludf.DUMMYFUNCTION("""COMPUTED_VALUE"""),"Yamboro")</f>
        <v>Yamboro</v>
      </c>
      <c r="BK273" s="40"/>
      <c r="BL273" s="40"/>
    </row>
    <row r="274" spans="1:64" ht="13">
      <c r="A274" s="40"/>
      <c r="B274" s="40" t="str">
        <f ca="1">IFERROR(__xludf.DUMMYFUNCTION("""COMPUTED_VALUE"""),"FORMACIÓN 18/10/2022")</f>
        <v>FORMACIÓN 18/10/2022</v>
      </c>
      <c r="C274" s="40" t="str">
        <f ca="1">IFERROR(__xludf.DUMMYFUNCTION("""COMPUTED_VALUE"""),"JOHN WILLIAR MARIN TAPIERO
")</f>
        <v xml:space="preserve">JOHN WILLIAR MARIN TAPIERO
</v>
      </c>
      <c r="D274" s="40" t="str">
        <f ca="1">IFERROR(__xludf.DUMMYFUNCTION("""COMPUTED_VALUE"""),"CC")</f>
        <v>CC</v>
      </c>
      <c r="E274" s="40">
        <f ca="1">IFERROR(__xludf.DUMMYFUNCTION("""COMPUTED_VALUE"""),5827843)</f>
        <v>5827843</v>
      </c>
      <c r="F274" s="40">
        <f ca="1">IFERROR(__xludf.DUMMYFUNCTION("""COMPUTED_VALUE"""),2353210)</f>
        <v>2353210</v>
      </c>
      <c r="G274" s="40" t="str">
        <f ca="1">IFERROR(__xludf.DUMMYFUNCTION("""COMPUTED_VALUE"""),"TÉCNICO")</f>
        <v>TÉCNICO</v>
      </c>
      <c r="H274" s="40" t="str">
        <f ca="1">IFERROR(__xludf.DUMMYFUNCTION("""COMPUTED_VALUE"""),"INSTALACION DE SISTEMAS ELECTRICOS RESIDENCIALES Y COMERCIALES")</f>
        <v>INSTALACION DE SISTEMAS ELECTRICOS RESIDENCIALES Y COMERCIALES</v>
      </c>
      <c r="I274" s="40"/>
      <c r="J274" s="40"/>
      <c r="K274" s="40"/>
      <c r="L274" s="40" t="str">
        <f ca="1">IFERROR(__xludf.DUMMYFUNCTION("""COMPUTED_VALUE"""),"NO HA INICIADO ETAPA PRODUCTIVA")</f>
        <v>NO HA INICIADO ETAPA PRODUCTIVA</v>
      </c>
      <c r="M274" s="40"/>
      <c r="N274" s="40"/>
      <c r="O274" s="40"/>
      <c r="P274" s="40"/>
      <c r="Q274" s="40"/>
      <c r="R274" s="140"/>
      <c r="S274" s="1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t="str">
        <f ca="1">IFERROR(__xludf.DUMMYFUNCTION("""COMPUTED_VALUE"""),"NO_CUMPLE")</f>
        <v>NO_CUMPLE</v>
      </c>
      <c r="AV274" s="40" t="str">
        <f ca="1">IFERROR(__xludf.DUMMYFUNCTION("""COMPUTED_VALUE"""),"EN FORMACION")</f>
        <v>EN FORMACION</v>
      </c>
      <c r="AW274" s="40" t="str">
        <f ca="1">IFERROR(__xludf.DUMMYFUNCTION("""COMPUTED_VALUE"""),"BIOCONSTRUCCION")</f>
        <v>BIOCONSTRUCCION</v>
      </c>
      <c r="AX274" s="141">
        <f ca="1">IFERROR(__xludf.DUMMYFUNCTION("""COMPUTED_VALUE"""),44839)</f>
        <v>44839</v>
      </c>
      <c r="AY274" s="40">
        <f ca="1">IFERROR(__xludf.DUMMYFUNCTION("""COMPUTED_VALUE"""),12)</f>
        <v>12</v>
      </c>
      <c r="AZ274" s="40">
        <f ca="1">IFERROR(__xludf.DUMMYFUNCTION("""COMPUTED_VALUE"""),1)</f>
        <v>1</v>
      </c>
      <c r="BA274" s="40">
        <f ca="1">IFERROR(__xludf.DUMMYFUNCTION("""COMPUTED_VALUE"""),0)</f>
        <v>0</v>
      </c>
      <c r="BB274" s="40">
        <f ca="1">IFERROR(__xludf.DUMMYFUNCTION("""COMPUTED_VALUE"""),8)</f>
        <v>8</v>
      </c>
      <c r="BC274" s="40">
        <f ca="1">IFERROR(__xludf.DUMMYFUNCTION("""COMPUTED_VALUE"""),21)</f>
        <v>21</v>
      </c>
      <c r="BD274" s="141">
        <f ca="1">IFERROR(__xludf.DUMMYFUNCTION("""COMPUTED_VALUE"""),44256)</f>
        <v>44256</v>
      </c>
      <c r="BE274" s="141">
        <f ca="1">IFERROR(__xludf.DUMMYFUNCTION("""COMPUTED_VALUE"""),44530)</f>
        <v>44530</v>
      </c>
      <c r="BF274" s="141">
        <f ca="1">IFERROR(__xludf.DUMMYFUNCTION("""COMPUTED_VALUE"""),44712)</f>
        <v>44712</v>
      </c>
      <c r="BG274" s="141">
        <f ca="1">IFERROR(__xludf.DUMMYFUNCTION("""COMPUTED_VALUE"""),45260)</f>
        <v>45260</v>
      </c>
      <c r="BH274" s="40" t="str">
        <f ca="1">IFERROR(__xludf.DUMMYFUNCTION("""COMPUTED_VALUE"""),"FICHA EN TIEMPO-18 MESES")</f>
        <v>FICHA EN TIEMPO-18 MESES</v>
      </c>
      <c r="BI274" s="40" t="str">
        <f ca="1">IFERROR(__xludf.DUMMYFUNCTION("""COMPUTED_VALUE"""),"Terminada por fecha")</f>
        <v>Terminada por fecha</v>
      </c>
      <c r="BJ274" s="40" t="str">
        <f ca="1">IFERROR(__xludf.DUMMYFUNCTION("""COMPUTED_VALUE"""),"Yamboro")</f>
        <v>Yamboro</v>
      </c>
      <c r="BK274" s="40"/>
      <c r="BL274" s="40"/>
    </row>
    <row r="275" spans="1:64" ht="13">
      <c r="A275" s="40"/>
      <c r="B275" s="40" t="str">
        <f ca="1">IFERROR(__xludf.DUMMYFUNCTION("""COMPUTED_VALUE"""),"FORMACIÓN 18/10/2022")</f>
        <v>FORMACIÓN 18/10/2022</v>
      </c>
      <c r="C275" s="40" t="str">
        <f ca="1">IFERROR(__xludf.DUMMYFUNCTION("""COMPUTED_VALUE"""),"YIMY ALEXANDER RIVERA SANTOS
")</f>
        <v xml:space="preserve">YIMY ALEXANDER RIVERA SANTOS
</v>
      </c>
      <c r="D275" s="40" t="str">
        <f ca="1">IFERROR(__xludf.DUMMYFUNCTION("""COMPUTED_VALUE"""),"CC")</f>
        <v>CC</v>
      </c>
      <c r="E275" s="40">
        <f ca="1">IFERROR(__xludf.DUMMYFUNCTION("""COMPUTED_VALUE"""),74366000)</f>
        <v>74366000</v>
      </c>
      <c r="F275" s="40">
        <f ca="1">IFERROR(__xludf.DUMMYFUNCTION("""COMPUTED_VALUE"""),2353210)</f>
        <v>2353210</v>
      </c>
      <c r="G275" s="40" t="str">
        <f ca="1">IFERROR(__xludf.DUMMYFUNCTION("""COMPUTED_VALUE"""),"TÉCNICO")</f>
        <v>TÉCNICO</v>
      </c>
      <c r="H275" s="40" t="str">
        <f ca="1">IFERROR(__xludf.DUMMYFUNCTION("""COMPUTED_VALUE"""),"INSTALACION DE SISTEMAS ELECTRICOS RESIDENCIALES Y COMERCIALES")</f>
        <v>INSTALACION DE SISTEMAS ELECTRICOS RESIDENCIALES Y COMERCIALES</v>
      </c>
      <c r="I275" s="40"/>
      <c r="J275" s="40"/>
      <c r="K275" s="40"/>
      <c r="L275" s="40" t="str">
        <f ca="1">IFERROR(__xludf.DUMMYFUNCTION("""COMPUTED_VALUE"""),"NO HA INICIADO ETAPA PRODUCTIVA")</f>
        <v>NO HA INICIADO ETAPA PRODUCTIVA</v>
      </c>
      <c r="M275" s="40"/>
      <c r="N275" s="40"/>
      <c r="O275" s="40"/>
      <c r="P275" s="40"/>
      <c r="Q275" s="40"/>
      <c r="R275" s="140"/>
      <c r="S275" s="1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t="str">
        <f ca="1">IFERROR(__xludf.DUMMYFUNCTION("""COMPUTED_VALUE"""),"NO_CUMPLE")</f>
        <v>NO_CUMPLE</v>
      </c>
      <c r="AV275" s="40" t="str">
        <f ca="1">IFERROR(__xludf.DUMMYFUNCTION("""COMPUTED_VALUE"""),"EN FORMACION")</f>
        <v>EN FORMACION</v>
      </c>
      <c r="AW275" s="40" t="str">
        <f ca="1">IFERROR(__xludf.DUMMYFUNCTION("""COMPUTED_VALUE"""),"BIOCONSTRUCCION")</f>
        <v>BIOCONSTRUCCION</v>
      </c>
      <c r="AX275" s="141">
        <f ca="1">IFERROR(__xludf.DUMMYFUNCTION("""COMPUTED_VALUE"""),44839)</f>
        <v>44839</v>
      </c>
      <c r="AY275" s="40">
        <f ca="1">IFERROR(__xludf.DUMMYFUNCTION("""COMPUTED_VALUE"""),16)</f>
        <v>16</v>
      </c>
      <c r="AZ275" s="40">
        <f ca="1">IFERROR(__xludf.DUMMYFUNCTION("""COMPUTED_VALUE"""),1)</f>
        <v>1</v>
      </c>
      <c r="BA275" s="40">
        <f ca="1">IFERROR(__xludf.DUMMYFUNCTION("""COMPUTED_VALUE"""),0)</f>
        <v>0</v>
      </c>
      <c r="BB275" s="40">
        <f ca="1">IFERROR(__xludf.DUMMYFUNCTION("""COMPUTED_VALUE"""),11)</f>
        <v>11</v>
      </c>
      <c r="BC275" s="40">
        <f ca="1">IFERROR(__xludf.DUMMYFUNCTION("""COMPUTED_VALUE"""),28)</f>
        <v>28</v>
      </c>
      <c r="BD275" s="141">
        <f ca="1">IFERROR(__xludf.DUMMYFUNCTION("""COMPUTED_VALUE"""),44256)</f>
        <v>44256</v>
      </c>
      <c r="BE275" s="141">
        <f ca="1">IFERROR(__xludf.DUMMYFUNCTION("""COMPUTED_VALUE"""),44530)</f>
        <v>44530</v>
      </c>
      <c r="BF275" s="141">
        <f ca="1">IFERROR(__xludf.DUMMYFUNCTION("""COMPUTED_VALUE"""),44712)</f>
        <v>44712</v>
      </c>
      <c r="BG275" s="141">
        <f ca="1">IFERROR(__xludf.DUMMYFUNCTION("""COMPUTED_VALUE"""),45260)</f>
        <v>45260</v>
      </c>
      <c r="BH275" s="40" t="str">
        <f ca="1">IFERROR(__xludf.DUMMYFUNCTION("""COMPUTED_VALUE"""),"FICHA EN TIEMPO-18 MESES")</f>
        <v>FICHA EN TIEMPO-18 MESES</v>
      </c>
      <c r="BI275" s="40" t="str">
        <f ca="1">IFERROR(__xludf.DUMMYFUNCTION("""COMPUTED_VALUE"""),"Terminada por fecha")</f>
        <v>Terminada por fecha</v>
      </c>
      <c r="BJ275" s="40" t="str">
        <f ca="1">IFERROR(__xludf.DUMMYFUNCTION("""COMPUTED_VALUE"""),"Yamboro")</f>
        <v>Yamboro</v>
      </c>
      <c r="BK275" s="40"/>
      <c r="BL275" s="40"/>
    </row>
    <row r="276" spans="1:64" ht="13">
      <c r="A276" s="40"/>
      <c r="B276" s="40" t="str">
        <f ca="1">IFERROR(__xludf.DUMMYFUNCTION("""COMPUTED_VALUE"""),"FORMACIÓN 18/10/2022")</f>
        <v>FORMACIÓN 18/10/2022</v>
      </c>
      <c r="C276" s="40" t="str">
        <f ca="1">IFERROR(__xludf.DUMMYFUNCTION("""COMPUTED_VALUE"""),"FABIO NELSON CALDERON ESCOBAR
")</f>
        <v xml:space="preserve">FABIO NELSON CALDERON ESCOBAR
</v>
      </c>
      <c r="D276" s="40" t="str">
        <f ca="1">IFERROR(__xludf.DUMMYFUNCTION("""COMPUTED_VALUE"""),"CC")</f>
        <v>CC</v>
      </c>
      <c r="E276" s="40">
        <f ca="1">IFERROR(__xludf.DUMMYFUNCTION("""COMPUTED_VALUE"""),7722162)</f>
        <v>7722162</v>
      </c>
      <c r="F276" s="40">
        <f ca="1">IFERROR(__xludf.DUMMYFUNCTION("""COMPUTED_VALUE"""),2353210)</f>
        <v>2353210</v>
      </c>
      <c r="G276" s="40" t="str">
        <f ca="1">IFERROR(__xludf.DUMMYFUNCTION("""COMPUTED_VALUE"""),"TÉCNICO")</f>
        <v>TÉCNICO</v>
      </c>
      <c r="H276" s="40" t="str">
        <f ca="1">IFERROR(__xludf.DUMMYFUNCTION("""COMPUTED_VALUE"""),"INSTALACION DE SISTEMAS ELECTRICOS RESIDENCIALES Y COMERCIALES")</f>
        <v>INSTALACION DE SISTEMAS ELECTRICOS RESIDENCIALES Y COMERCIALES</v>
      </c>
      <c r="I276" s="40"/>
      <c r="J276" s="40" t="str">
        <f ca="1">IFERROR(__xludf.DUMMYFUNCTION("""COMPUTED_VALUE"""),"1004209154")</f>
        <v>1004209154</v>
      </c>
      <c r="K276" s="40"/>
      <c r="L276" s="40" t="str">
        <f ca="1">IFERROR(__xludf.DUMMYFUNCTION("""COMPUTED_VALUE"""),"NO HA INICIADO ETAPA PRODUCTIVA")</f>
        <v>NO HA INICIADO ETAPA PRODUCTIVA</v>
      </c>
      <c r="M276" s="40"/>
      <c r="N276" s="40"/>
      <c r="O276" s="40"/>
      <c r="P276" s="40"/>
      <c r="Q276" s="40"/>
      <c r="R276" s="140"/>
      <c r="S276" s="1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t="str">
        <f ca="1">IFERROR(__xludf.DUMMYFUNCTION("""COMPUTED_VALUE"""),"NO_CUMPLE")</f>
        <v>NO_CUMPLE</v>
      </c>
      <c r="AV276" s="40" t="str">
        <f ca="1">IFERROR(__xludf.DUMMYFUNCTION("""COMPUTED_VALUE"""),"EN FORMACION")</f>
        <v>EN FORMACION</v>
      </c>
      <c r="AW276" s="40" t="str">
        <f ca="1">IFERROR(__xludf.DUMMYFUNCTION("""COMPUTED_VALUE"""),"BIOCONSTRUCCION")</f>
        <v>BIOCONSTRUCCION</v>
      </c>
      <c r="AX276" s="141">
        <f ca="1">IFERROR(__xludf.DUMMYFUNCTION("""COMPUTED_VALUE"""),44839)</f>
        <v>44839</v>
      </c>
      <c r="AY276" s="40">
        <f ca="1">IFERROR(__xludf.DUMMYFUNCTION("""COMPUTED_VALUE"""),20)</f>
        <v>20</v>
      </c>
      <c r="AZ276" s="40">
        <f ca="1">IFERROR(__xludf.DUMMYFUNCTION("""COMPUTED_VALUE"""),1)</f>
        <v>1</v>
      </c>
      <c r="BA276" s="40">
        <f ca="1">IFERROR(__xludf.DUMMYFUNCTION("""COMPUTED_VALUE"""),0)</f>
        <v>0</v>
      </c>
      <c r="BB276" s="40">
        <f ca="1">IFERROR(__xludf.DUMMYFUNCTION("""COMPUTED_VALUE"""),21)</f>
        <v>21</v>
      </c>
      <c r="BC276" s="40">
        <f ca="1">IFERROR(__xludf.DUMMYFUNCTION("""COMPUTED_VALUE"""),42)</f>
        <v>42</v>
      </c>
      <c r="BD276" s="141">
        <f ca="1">IFERROR(__xludf.DUMMYFUNCTION("""COMPUTED_VALUE"""),44256)</f>
        <v>44256</v>
      </c>
      <c r="BE276" s="141">
        <f ca="1">IFERROR(__xludf.DUMMYFUNCTION("""COMPUTED_VALUE"""),44530)</f>
        <v>44530</v>
      </c>
      <c r="BF276" s="141">
        <f ca="1">IFERROR(__xludf.DUMMYFUNCTION("""COMPUTED_VALUE"""),44712)</f>
        <v>44712</v>
      </c>
      <c r="BG276" s="141">
        <f ca="1">IFERROR(__xludf.DUMMYFUNCTION("""COMPUTED_VALUE"""),45260)</f>
        <v>45260</v>
      </c>
      <c r="BH276" s="40" t="str">
        <f ca="1">IFERROR(__xludf.DUMMYFUNCTION("""COMPUTED_VALUE"""),"FICHA EN TIEMPO-18 MESES")</f>
        <v>FICHA EN TIEMPO-18 MESES</v>
      </c>
      <c r="BI276" s="40" t="str">
        <f ca="1">IFERROR(__xludf.DUMMYFUNCTION("""COMPUTED_VALUE"""),"Terminada por fecha")</f>
        <v>Terminada por fecha</v>
      </c>
      <c r="BJ276" s="40" t="str">
        <f ca="1">IFERROR(__xludf.DUMMYFUNCTION("""COMPUTED_VALUE"""),"Yamboro")</f>
        <v>Yamboro</v>
      </c>
      <c r="BK276" s="40"/>
      <c r="BL276" s="40"/>
    </row>
    <row r="277" spans="1:64" ht="13">
      <c r="A277" s="40"/>
      <c r="B277" s="40" t="str">
        <f ca="1">IFERROR(__xludf.DUMMYFUNCTION("""COMPUTED_VALUE"""),"FORMACIÓN 18/10/2022")</f>
        <v>FORMACIÓN 18/10/2022</v>
      </c>
      <c r="C277" s="40" t="str">
        <f ca="1">IFERROR(__xludf.DUMMYFUNCTION("""COMPUTED_VALUE"""),"ROBINSON MIGUEL SOTELO HOYOS
")</f>
        <v xml:space="preserve">ROBINSON MIGUEL SOTELO HOYOS
</v>
      </c>
      <c r="D277" s="40" t="str">
        <f ca="1">IFERROR(__xludf.DUMMYFUNCTION("""COMPUTED_VALUE"""),"CC")</f>
        <v>CC</v>
      </c>
      <c r="E277" s="40">
        <f ca="1">IFERROR(__xludf.DUMMYFUNCTION("""COMPUTED_VALUE"""),78768010)</f>
        <v>78768010</v>
      </c>
      <c r="F277" s="40">
        <f ca="1">IFERROR(__xludf.DUMMYFUNCTION("""COMPUTED_VALUE"""),2353210)</f>
        <v>2353210</v>
      </c>
      <c r="G277" s="40" t="str">
        <f ca="1">IFERROR(__xludf.DUMMYFUNCTION("""COMPUTED_VALUE"""),"TÉCNICO")</f>
        <v>TÉCNICO</v>
      </c>
      <c r="H277" s="40" t="str">
        <f ca="1">IFERROR(__xludf.DUMMYFUNCTION("""COMPUTED_VALUE"""),"INSTALACION DE SISTEMAS ELECTRICOS RESIDENCIALES Y COMERCIALES")</f>
        <v>INSTALACION DE SISTEMAS ELECTRICOS RESIDENCIALES Y COMERCIALES</v>
      </c>
      <c r="I277" s="40"/>
      <c r="J277" s="40"/>
      <c r="K277" s="40"/>
      <c r="L277" s="40" t="str">
        <f ca="1">IFERROR(__xludf.DUMMYFUNCTION("""COMPUTED_VALUE"""),"NO HA INICIADO ETAPA PRODUCTIVA")</f>
        <v>NO HA INICIADO ETAPA PRODUCTIVA</v>
      </c>
      <c r="M277" s="40"/>
      <c r="N277" s="40"/>
      <c r="O277" s="40"/>
      <c r="P277" s="40"/>
      <c r="Q277" s="40"/>
      <c r="R277" s="140"/>
      <c r="S277" s="1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t="str">
        <f ca="1">IFERROR(__xludf.DUMMYFUNCTION("""COMPUTED_VALUE"""),"Procede_E_P")</f>
        <v>Procede_E_P</v>
      </c>
      <c r="AV277" s="40" t="str">
        <f ca="1">IFERROR(__xludf.DUMMYFUNCTION("""COMPUTED_VALUE"""),"EN FORMACION")</f>
        <v>EN FORMACION</v>
      </c>
      <c r="AW277" s="40" t="str">
        <f ca="1">IFERROR(__xludf.DUMMYFUNCTION("""COMPUTED_VALUE"""),"BIOCONSTRUCCION")</f>
        <v>BIOCONSTRUCCION</v>
      </c>
      <c r="AX277" s="141">
        <f ca="1">IFERROR(__xludf.DUMMYFUNCTION("""COMPUTED_VALUE"""),44839)</f>
        <v>44839</v>
      </c>
      <c r="AY277" s="40">
        <f ca="1">IFERROR(__xludf.DUMMYFUNCTION("""COMPUTED_VALUE"""),0)</f>
        <v>0</v>
      </c>
      <c r="AZ277" s="40">
        <f ca="1">IFERROR(__xludf.DUMMYFUNCTION("""COMPUTED_VALUE"""),1)</f>
        <v>1</v>
      </c>
      <c r="BA277" s="40">
        <f ca="1">IFERROR(__xludf.DUMMYFUNCTION("""COMPUTED_VALUE"""),0)</f>
        <v>0</v>
      </c>
      <c r="BB277" s="40">
        <f ca="1">IFERROR(__xludf.DUMMYFUNCTION("""COMPUTED_VALUE"""),0)</f>
        <v>0</v>
      </c>
      <c r="BC277" s="40">
        <f ca="1">IFERROR(__xludf.DUMMYFUNCTION("""COMPUTED_VALUE"""),1)</f>
        <v>1</v>
      </c>
      <c r="BD277" s="141">
        <f ca="1">IFERROR(__xludf.DUMMYFUNCTION("""COMPUTED_VALUE"""),44256)</f>
        <v>44256</v>
      </c>
      <c r="BE277" s="141">
        <f ca="1">IFERROR(__xludf.DUMMYFUNCTION("""COMPUTED_VALUE"""),44530)</f>
        <v>44530</v>
      </c>
      <c r="BF277" s="141">
        <f ca="1">IFERROR(__xludf.DUMMYFUNCTION("""COMPUTED_VALUE"""),44712)</f>
        <v>44712</v>
      </c>
      <c r="BG277" s="141">
        <f ca="1">IFERROR(__xludf.DUMMYFUNCTION("""COMPUTED_VALUE"""),45260)</f>
        <v>45260</v>
      </c>
      <c r="BH277" s="40" t="str">
        <f ca="1">IFERROR(__xludf.DUMMYFUNCTION("""COMPUTED_VALUE"""),"FICHA EN TIEMPO-18 MESES")</f>
        <v>FICHA EN TIEMPO-18 MESES</v>
      </c>
      <c r="BI277" s="40" t="str">
        <f ca="1">IFERROR(__xludf.DUMMYFUNCTION("""COMPUTED_VALUE"""),"Terminada por fecha")</f>
        <v>Terminada por fecha</v>
      </c>
      <c r="BJ277" s="40" t="str">
        <f ca="1">IFERROR(__xludf.DUMMYFUNCTION("""COMPUTED_VALUE"""),"Yamboro")</f>
        <v>Yamboro</v>
      </c>
      <c r="BK277" s="40"/>
      <c r="BL277" s="40"/>
    </row>
    <row r="278" spans="1:64" ht="13">
      <c r="A278" s="40"/>
      <c r="B278" s="40" t="str">
        <f ca="1">IFERROR(__xludf.DUMMYFUNCTION("""COMPUTED_VALUE"""),"FORMACIÓN 18/10/2022")</f>
        <v>FORMACIÓN 18/10/2022</v>
      </c>
      <c r="C278" s="40" t="str">
        <f ca="1">IFERROR(__xludf.DUMMYFUNCTION("""COMPUTED_VALUE"""),"RAUL IBAN ORDOÑEZ URBANO
")</f>
        <v xml:space="preserve">RAUL IBAN ORDOÑEZ URBANO
</v>
      </c>
      <c r="D278" s="40" t="str">
        <f ca="1">IFERROR(__xludf.DUMMYFUNCTION("""COMPUTED_VALUE"""),"CC")</f>
        <v>CC</v>
      </c>
      <c r="E278" s="40">
        <f ca="1">IFERROR(__xludf.DUMMYFUNCTION("""COMPUTED_VALUE"""),83029505)</f>
        <v>83029505</v>
      </c>
      <c r="F278" s="40">
        <f ca="1">IFERROR(__xludf.DUMMYFUNCTION("""COMPUTED_VALUE"""),2353210)</f>
        <v>2353210</v>
      </c>
      <c r="G278" s="40" t="str">
        <f ca="1">IFERROR(__xludf.DUMMYFUNCTION("""COMPUTED_VALUE"""),"TÉCNICO")</f>
        <v>TÉCNICO</v>
      </c>
      <c r="H278" s="40" t="str">
        <f ca="1">IFERROR(__xludf.DUMMYFUNCTION("""COMPUTED_VALUE"""),"INSTALACION DE SISTEMAS ELECTRICOS RESIDENCIALES Y COMERCIALES")</f>
        <v>INSTALACION DE SISTEMAS ELECTRICOS RESIDENCIALES Y COMERCIALES</v>
      </c>
      <c r="I278" s="40"/>
      <c r="J278" s="40"/>
      <c r="K278" s="40"/>
      <c r="L278" s="40" t="str">
        <f ca="1">IFERROR(__xludf.DUMMYFUNCTION("""COMPUTED_VALUE"""),"NO HA INICIADO ETAPA PRODUCTIVA")</f>
        <v>NO HA INICIADO ETAPA PRODUCTIVA</v>
      </c>
      <c r="M278" s="40"/>
      <c r="N278" s="40"/>
      <c r="O278" s="40"/>
      <c r="P278" s="40"/>
      <c r="Q278" s="40"/>
      <c r="R278" s="140"/>
      <c r="S278" s="1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t="str">
        <f ca="1">IFERROR(__xludf.DUMMYFUNCTION("""COMPUTED_VALUE"""),"NO_CUMPLE")</f>
        <v>NO_CUMPLE</v>
      </c>
      <c r="AV278" s="40" t="str">
        <f ca="1">IFERROR(__xludf.DUMMYFUNCTION("""COMPUTED_VALUE"""),"EN FORMACION")</f>
        <v>EN FORMACION</v>
      </c>
      <c r="AW278" s="40" t="str">
        <f ca="1">IFERROR(__xludf.DUMMYFUNCTION("""COMPUTED_VALUE"""),"BIOCONSTRUCCION")</f>
        <v>BIOCONSTRUCCION</v>
      </c>
      <c r="AX278" s="141">
        <f ca="1">IFERROR(__xludf.DUMMYFUNCTION("""COMPUTED_VALUE"""),44839)</f>
        <v>44839</v>
      </c>
      <c r="AY278" s="40">
        <f ca="1">IFERROR(__xludf.DUMMYFUNCTION("""COMPUTED_VALUE"""),1)</f>
        <v>1</v>
      </c>
      <c r="AZ278" s="40">
        <f ca="1">IFERROR(__xludf.DUMMYFUNCTION("""COMPUTED_VALUE"""),1)</f>
        <v>1</v>
      </c>
      <c r="BA278" s="40">
        <f ca="1">IFERROR(__xludf.DUMMYFUNCTION("""COMPUTED_VALUE"""),0)</f>
        <v>0</v>
      </c>
      <c r="BB278" s="40">
        <f ca="1">IFERROR(__xludf.DUMMYFUNCTION("""COMPUTED_VALUE"""),0)</f>
        <v>0</v>
      </c>
      <c r="BC278" s="40">
        <f ca="1">IFERROR(__xludf.DUMMYFUNCTION("""COMPUTED_VALUE"""),2)</f>
        <v>2</v>
      </c>
      <c r="BD278" s="141">
        <f ca="1">IFERROR(__xludf.DUMMYFUNCTION("""COMPUTED_VALUE"""),44256)</f>
        <v>44256</v>
      </c>
      <c r="BE278" s="141">
        <f ca="1">IFERROR(__xludf.DUMMYFUNCTION("""COMPUTED_VALUE"""),44530)</f>
        <v>44530</v>
      </c>
      <c r="BF278" s="141">
        <f ca="1">IFERROR(__xludf.DUMMYFUNCTION("""COMPUTED_VALUE"""),44712)</f>
        <v>44712</v>
      </c>
      <c r="BG278" s="141">
        <f ca="1">IFERROR(__xludf.DUMMYFUNCTION("""COMPUTED_VALUE"""),45260)</f>
        <v>45260</v>
      </c>
      <c r="BH278" s="40" t="str">
        <f ca="1">IFERROR(__xludf.DUMMYFUNCTION("""COMPUTED_VALUE"""),"FICHA EN TIEMPO-18 MESES")</f>
        <v>FICHA EN TIEMPO-18 MESES</v>
      </c>
      <c r="BI278" s="40" t="str">
        <f ca="1">IFERROR(__xludf.DUMMYFUNCTION("""COMPUTED_VALUE"""),"Terminada por fecha")</f>
        <v>Terminada por fecha</v>
      </c>
      <c r="BJ278" s="40" t="str">
        <f ca="1">IFERROR(__xludf.DUMMYFUNCTION("""COMPUTED_VALUE"""),"Yamboro")</f>
        <v>Yamboro</v>
      </c>
      <c r="BK278" s="40"/>
      <c r="BL278" s="40"/>
    </row>
    <row r="279" spans="1:64" ht="13">
      <c r="A279" s="40"/>
      <c r="B279" s="40" t="str">
        <f ca="1">IFERROR(__xludf.DUMMYFUNCTION("""COMPUTED_VALUE"""),"FORMACIÓN 18/10/2022")</f>
        <v>FORMACIÓN 18/10/2022</v>
      </c>
      <c r="C279" s="40" t="str">
        <f ca="1">IFERROR(__xludf.DUMMYFUNCTION("""COMPUTED_VALUE"""),"RAUL MONTENEGRO GOLONDRINO
")</f>
        <v xml:space="preserve">RAUL MONTENEGRO GOLONDRINO
</v>
      </c>
      <c r="D279" s="40" t="str">
        <f ca="1">IFERROR(__xludf.DUMMYFUNCTION("""COMPUTED_VALUE"""),"CC")</f>
        <v>CC</v>
      </c>
      <c r="E279" s="40">
        <f ca="1">IFERROR(__xludf.DUMMYFUNCTION("""COMPUTED_VALUE"""),83041505)</f>
        <v>83041505</v>
      </c>
      <c r="F279" s="40">
        <f ca="1">IFERROR(__xludf.DUMMYFUNCTION("""COMPUTED_VALUE"""),2353210)</f>
        <v>2353210</v>
      </c>
      <c r="G279" s="40" t="str">
        <f ca="1">IFERROR(__xludf.DUMMYFUNCTION("""COMPUTED_VALUE"""),"TÉCNICO")</f>
        <v>TÉCNICO</v>
      </c>
      <c r="H279" s="40" t="str">
        <f ca="1">IFERROR(__xludf.DUMMYFUNCTION("""COMPUTED_VALUE"""),"INSTALACION DE SISTEMAS ELECTRICOS RESIDENCIALES Y COMERCIALES")</f>
        <v>INSTALACION DE SISTEMAS ELECTRICOS RESIDENCIALES Y COMERCIALES</v>
      </c>
      <c r="I279" s="40"/>
      <c r="J279" s="40"/>
      <c r="K279" s="40"/>
      <c r="L279" s="40" t="str">
        <f ca="1">IFERROR(__xludf.DUMMYFUNCTION("""COMPUTED_VALUE"""),"PASANTÍAS")</f>
        <v>PASANTÍAS</v>
      </c>
      <c r="M279" s="40" t="str">
        <f ca="1">IFERROR(__xludf.DUMMYFUNCTION("""COMPUTED_VALUE"""),"SENA YAMBORÓ")</f>
        <v>SENA YAMBORÓ</v>
      </c>
      <c r="N279" s="40"/>
      <c r="O279" s="40"/>
      <c r="P279" s="40"/>
      <c r="Q279" s="40"/>
      <c r="R279" s="140">
        <f ca="1">IFERROR(__xludf.DUMMYFUNCTION("""COMPUTED_VALUE"""),44627)</f>
        <v>44627</v>
      </c>
      <c r="S279" s="140">
        <f ca="1">IFERROR(__xludf.DUMMYFUNCTION("""COMPUTED_VALUE"""),44813)</f>
        <v>44813</v>
      </c>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t="str">
        <f ca="1">IFERROR(__xludf.DUMMYFUNCTION("""COMPUTED_VALUE"""),"Procede_E_P")</f>
        <v>Procede_E_P</v>
      </c>
      <c r="AV279" s="40" t="str">
        <f ca="1">IFERROR(__xludf.DUMMYFUNCTION("""COMPUTED_VALUE"""),"EN FORMACION")</f>
        <v>EN FORMACION</v>
      </c>
      <c r="AW279" s="40" t="str">
        <f ca="1">IFERROR(__xludf.DUMMYFUNCTION("""COMPUTED_VALUE"""),"BIOCONSTRUCCION")</f>
        <v>BIOCONSTRUCCION</v>
      </c>
      <c r="AX279" s="141">
        <f ca="1">IFERROR(__xludf.DUMMYFUNCTION("""COMPUTED_VALUE"""),44839)</f>
        <v>44839</v>
      </c>
      <c r="AY279" s="40">
        <f ca="1">IFERROR(__xludf.DUMMYFUNCTION("""COMPUTED_VALUE"""),0)</f>
        <v>0</v>
      </c>
      <c r="AZ279" s="40">
        <f ca="1">IFERROR(__xludf.DUMMYFUNCTION("""COMPUTED_VALUE"""),1)</f>
        <v>1</v>
      </c>
      <c r="BA279" s="40">
        <f ca="1">IFERROR(__xludf.DUMMYFUNCTION("""COMPUTED_VALUE"""),0)</f>
        <v>0</v>
      </c>
      <c r="BB279" s="40">
        <f ca="1">IFERROR(__xludf.DUMMYFUNCTION("""COMPUTED_VALUE"""),0)</f>
        <v>0</v>
      </c>
      <c r="BC279" s="40">
        <f ca="1">IFERROR(__xludf.DUMMYFUNCTION("""COMPUTED_VALUE"""),1)</f>
        <v>1</v>
      </c>
      <c r="BD279" s="141">
        <f ca="1">IFERROR(__xludf.DUMMYFUNCTION("""COMPUTED_VALUE"""),44256)</f>
        <v>44256</v>
      </c>
      <c r="BE279" s="141">
        <f ca="1">IFERROR(__xludf.DUMMYFUNCTION("""COMPUTED_VALUE"""),44530)</f>
        <v>44530</v>
      </c>
      <c r="BF279" s="141">
        <f ca="1">IFERROR(__xludf.DUMMYFUNCTION("""COMPUTED_VALUE"""),44712)</f>
        <v>44712</v>
      </c>
      <c r="BG279" s="141">
        <f ca="1">IFERROR(__xludf.DUMMYFUNCTION("""COMPUTED_VALUE"""),45260)</f>
        <v>45260</v>
      </c>
      <c r="BH279" s="40" t="str">
        <f ca="1">IFERROR(__xludf.DUMMYFUNCTION("""COMPUTED_VALUE"""),"FICHA EN TIEMPO-18 MESES")</f>
        <v>FICHA EN TIEMPO-18 MESES</v>
      </c>
      <c r="BI279" s="40" t="str">
        <f ca="1">IFERROR(__xludf.DUMMYFUNCTION("""COMPUTED_VALUE"""),"Terminada por fecha")</f>
        <v>Terminada por fecha</v>
      </c>
      <c r="BJ279" s="40" t="str">
        <f ca="1">IFERROR(__xludf.DUMMYFUNCTION("""COMPUTED_VALUE"""),"Yamboro")</f>
        <v>Yamboro</v>
      </c>
      <c r="BK279" s="40"/>
      <c r="BL279" s="40"/>
    </row>
    <row r="280" spans="1:64" ht="13">
      <c r="A280" s="40"/>
      <c r="B280" s="40" t="str">
        <f ca="1">IFERROR(__xludf.DUMMYFUNCTION("""COMPUTED_VALUE"""),"FORMACIÓN 18/10/2022")</f>
        <v>FORMACIÓN 18/10/2022</v>
      </c>
      <c r="C280" s="40" t="str">
        <f ca="1">IFERROR(__xludf.DUMMYFUNCTION("""COMPUTED_VALUE"""),"JUAN PABLO PLAZAS HERNANDEZ")</f>
        <v>JUAN PABLO PLAZAS HERNANDEZ</v>
      </c>
      <c r="D280" s="40" t="str">
        <f ca="1">IFERROR(__xludf.DUMMYFUNCTION("""COMPUTED_VALUE"""),"CC")</f>
        <v>CC</v>
      </c>
      <c r="E280" s="40">
        <f ca="1">IFERROR(__xludf.DUMMYFUNCTION("""COMPUTED_VALUE"""),1001201149)</f>
        <v>1001201149</v>
      </c>
      <c r="F280" s="40">
        <f ca="1">IFERROR(__xludf.DUMMYFUNCTION("""COMPUTED_VALUE"""),2426308)</f>
        <v>2426308</v>
      </c>
      <c r="G280" s="40" t="str">
        <f ca="1">IFERROR(__xludf.DUMMYFUNCTION("""COMPUTED_VALUE"""),"TÉCNICO")</f>
        <v>TÉCNICO</v>
      </c>
      <c r="H280" s="40" t="str">
        <f ca="1">IFERROR(__xludf.DUMMYFUNCTION("""COMPUTED_VALUE"""),"DIBUJO ARQUITECTÓNICO")</f>
        <v>DIBUJO ARQUITECTÓNICO</v>
      </c>
      <c r="I280" s="40"/>
      <c r="J280" s="40"/>
      <c r="K280" s="40"/>
      <c r="L280" s="40" t="str">
        <f ca="1">IFERROR(__xludf.DUMMYFUNCTION("""COMPUTED_VALUE"""),"PASANTÍAS")</f>
        <v>PASANTÍAS</v>
      </c>
      <c r="M280" s="40" t="str">
        <f ca="1">IFERROR(__xludf.DUMMYFUNCTION("""COMPUTED_VALUE"""),"CENTRO DE GETIÓN Y DESARROLLO SOSTENIBLE SUR COLOMBIANO SENA ")</f>
        <v xml:space="preserve">CENTRO DE GETIÓN Y DESARROLLO SOSTENIBLE SUR COLOMBIANO SENA </v>
      </c>
      <c r="N280" s="40" t="str">
        <f ca="1">IFERROR(__xludf.DUMMYFUNCTION("""COMPUTED_VALUE"""),"CALLE 8 N° 7- 52 ")</f>
        <v xml:space="preserve">CALLE 8 N° 7- 52 </v>
      </c>
      <c r="O280" s="40">
        <f ca="1">IFERROR(__xludf.DUMMYFUNCTION("""COMPUTED_VALUE"""),3002105865)</f>
        <v>3002105865</v>
      </c>
      <c r="P280" s="40" t="str">
        <f ca="1">IFERROR(__xludf.DUMMYFUNCTION("""COMPUTED_VALUE"""),"PITALITO ")</f>
        <v xml:space="preserve">PITALITO </v>
      </c>
      <c r="Q280" s="40" t="str">
        <f ca="1">IFERROR(__xludf.DUMMYFUNCTION("""COMPUTED_VALUE"""),"apinzonp@sena.edu.co")</f>
        <v>apinzonp@sena.edu.co</v>
      </c>
      <c r="R280" s="140">
        <f ca="1">IFERROR(__xludf.DUMMYFUNCTION("""COMPUTED_VALUE"""),44778)</f>
        <v>44778</v>
      </c>
      <c r="S280" s="140">
        <f ca="1">IFERROR(__xludf.DUMMYFUNCTION("""COMPUTED_VALUE"""),44962)</f>
        <v>44962</v>
      </c>
      <c r="T280" s="40"/>
      <c r="U280" s="40" t="str">
        <f ca="1">IFERROR(__xludf.DUMMYFUNCTION("""COMPUTED_VALUE"""),"POR ASIGNAR ")</f>
        <v xml:space="preserve">POR ASIGNAR </v>
      </c>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t="str">
        <f ca="1">IFERROR(__xludf.DUMMYFUNCTION("""COMPUTED_VALUE"""),"NO_CUMPLE")</f>
        <v>NO_CUMPLE</v>
      </c>
      <c r="AV280" s="40" t="str">
        <f ca="1">IFERROR(__xludf.DUMMYFUNCTION("""COMPUTED_VALUE"""),"EN FORMACION")</f>
        <v>EN FORMACION</v>
      </c>
      <c r="AW280" s="40" t="str">
        <f ca="1">IFERROR(__xludf.DUMMYFUNCTION("""COMPUTED_VALUE"""),"BIOCONSTRUCCION")</f>
        <v>BIOCONSTRUCCION</v>
      </c>
      <c r="AX280" s="141">
        <f ca="1">IFERROR(__xludf.DUMMYFUNCTION("""COMPUTED_VALUE"""),44839)</f>
        <v>44839</v>
      </c>
      <c r="AY280" s="40">
        <f ca="1">IFERROR(__xludf.DUMMYFUNCTION("""COMPUTED_VALUE"""),1)</f>
        <v>1</v>
      </c>
      <c r="AZ280" s="40">
        <f ca="1">IFERROR(__xludf.DUMMYFUNCTION("""COMPUTED_VALUE"""),1)</f>
        <v>1</v>
      </c>
      <c r="BA280" s="40">
        <f ca="1">IFERROR(__xludf.DUMMYFUNCTION("""COMPUTED_VALUE"""),0)</f>
        <v>0</v>
      </c>
      <c r="BB280" s="40">
        <f ca="1">IFERROR(__xludf.DUMMYFUNCTION("""COMPUTED_VALUE"""),0)</f>
        <v>0</v>
      </c>
      <c r="BC280" s="40">
        <f ca="1">IFERROR(__xludf.DUMMYFUNCTION("""COMPUTED_VALUE"""),2)</f>
        <v>2</v>
      </c>
      <c r="BD280" s="141">
        <f ca="1">IFERROR(__xludf.DUMMYFUNCTION("""COMPUTED_VALUE"""),44516)</f>
        <v>44516</v>
      </c>
      <c r="BE280" s="141">
        <f ca="1">IFERROR(__xludf.DUMMYFUNCTION("""COMPUTED_VALUE"""),44757)</f>
        <v>44757</v>
      </c>
      <c r="BF280" s="141">
        <f ca="1">IFERROR(__xludf.DUMMYFUNCTION("""COMPUTED_VALUE"""),44941)</f>
        <v>44941</v>
      </c>
      <c r="BG280" s="141">
        <f ca="1">IFERROR(__xludf.DUMMYFUNCTION("""COMPUTED_VALUE"""),45488)</f>
        <v>45488</v>
      </c>
      <c r="BH280" s="40" t="str">
        <f ca="1">IFERROR(__xludf.DUMMYFUNCTION("""COMPUTED_VALUE"""),"FICHA EN TIEMPO-18 MESES")</f>
        <v>FICHA EN TIEMPO-18 MESES</v>
      </c>
      <c r="BI280" s="40" t="str">
        <f ca="1">IFERROR(__xludf.DUMMYFUNCTION("""COMPUTED_VALUE"""),"En ejecucion")</f>
        <v>En ejecucion</v>
      </c>
      <c r="BJ280" s="40" t="str">
        <f ca="1">IFERROR(__xludf.DUMMYFUNCTION("""COMPUTED_VALUE"""),"Yamboro")</f>
        <v>Yamboro</v>
      </c>
      <c r="BK280" s="40"/>
      <c r="BL280" s="40"/>
    </row>
    <row r="281" spans="1:64" ht="13">
      <c r="A281" s="40"/>
      <c r="B281" s="40" t="str">
        <f ca="1">IFERROR(__xludf.DUMMYFUNCTION("""COMPUTED_VALUE"""),"FORMACIÓN 18/10/2022")</f>
        <v>FORMACIÓN 18/10/2022</v>
      </c>
      <c r="C281" s="40" t="str">
        <f ca="1">IFERROR(__xludf.DUMMYFUNCTION("""COMPUTED_VALUE"""),"EVER JESUS IPUZ GARCIA")</f>
        <v>EVER JESUS IPUZ GARCIA</v>
      </c>
      <c r="D281" s="40" t="str">
        <f ca="1">IFERROR(__xludf.DUMMYFUNCTION("""COMPUTED_VALUE"""),"CC")</f>
        <v>CC</v>
      </c>
      <c r="E281" s="40">
        <f ca="1">IFERROR(__xludf.DUMMYFUNCTION("""COMPUTED_VALUE"""),1003809696)</f>
        <v>1003809696</v>
      </c>
      <c r="F281" s="40">
        <f ca="1">IFERROR(__xludf.DUMMYFUNCTION("""COMPUTED_VALUE"""),2426308)</f>
        <v>2426308</v>
      </c>
      <c r="G281" s="40" t="str">
        <f ca="1">IFERROR(__xludf.DUMMYFUNCTION("""COMPUTED_VALUE"""),"TÉCNICO")</f>
        <v>TÉCNICO</v>
      </c>
      <c r="H281" s="40" t="str">
        <f ca="1">IFERROR(__xludf.DUMMYFUNCTION("""COMPUTED_VALUE"""),"DIBUJO ARQUITECTÓNICO")</f>
        <v>DIBUJO ARQUITECTÓNICO</v>
      </c>
      <c r="I281" s="40"/>
      <c r="J281" s="40"/>
      <c r="K281" s="40"/>
      <c r="L281" s="40" t="str">
        <f ca="1">IFERROR(__xludf.DUMMYFUNCTION("""COMPUTED_VALUE"""),"PASANTÍAS")</f>
        <v>PASANTÍAS</v>
      </c>
      <c r="M281" s="40" t="str">
        <f ca="1">IFERROR(__xludf.DUMMYFUNCTION("""COMPUTED_VALUE"""),"MULTIPROYEC GROUP S.A.S")</f>
        <v>MULTIPROYEC GROUP S.A.S</v>
      </c>
      <c r="N281" s="40" t="str">
        <f ca="1">IFERROR(__xludf.DUMMYFUNCTION("""COMPUTED_VALUE"""),"CRA 11 SUR N° 6-42 CONJUNTO ARRAYANES BLOQUE 7 APARAMENTO 304")</f>
        <v>CRA 11 SUR N° 6-42 CONJUNTO ARRAYANES BLOQUE 7 APARAMENTO 304</v>
      </c>
      <c r="O281" s="40">
        <f ca="1">IFERROR(__xludf.DUMMYFUNCTION("""COMPUTED_VALUE"""),8668468)</f>
        <v>8668468</v>
      </c>
      <c r="P281" s="40" t="str">
        <f ca="1">IFERROR(__xludf.DUMMYFUNCTION("""COMPUTED_VALUE"""),"NEIVA")</f>
        <v>NEIVA</v>
      </c>
      <c r="Q281" s="40"/>
      <c r="R281" s="140">
        <f ca="1">IFERROR(__xludf.DUMMYFUNCTION("""COMPUTED_VALUE"""),44805)</f>
        <v>44805</v>
      </c>
      <c r="S281" s="140">
        <f ca="1">IFERROR(__xludf.DUMMYFUNCTION("""COMPUTED_VALUE"""),44985)</f>
        <v>44985</v>
      </c>
      <c r="T281" s="40"/>
      <c r="U281" s="40" t="str">
        <f ca="1">IFERROR(__xludf.DUMMYFUNCTION("""COMPUTED_VALUE"""),"Sergio Muñoz - Asignado")</f>
        <v>Sergio Muñoz - Asignado</v>
      </c>
      <c r="V281" s="40" t="str">
        <f ca="1">IFERROR(__xludf.DUMMYFUNCTION("""COMPUTED_VALUE"""),"No tiene seguimiento 05/09/2022")</f>
        <v>No tiene seguimiento 05/09/2022</v>
      </c>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t="str">
        <f ca="1">IFERROR(__xludf.DUMMYFUNCTION("""COMPUTED_VALUE"""),"Procede_E_P")</f>
        <v>Procede_E_P</v>
      </c>
      <c r="AV281" s="40" t="str">
        <f ca="1">IFERROR(__xludf.DUMMYFUNCTION("""COMPUTED_VALUE"""),"EN FORMACION")</f>
        <v>EN FORMACION</v>
      </c>
      <c r="AW281" s="40" t="str">
        <f ca="1">IFERROR(__xludf.DUMMYFUNCTION("""COMPUTED_VALUE"""),"BIOCONSTRUCCION")</f>
        <v>BIOCONSTRUCCION</v>
      </c>
      <c r="AX281" s="141">
        <f ca="1">IFERROR(__xludf.DUMMYFUNCTION("""COMPUTED_VALUE"""),44839)</f>
        <v>44839</v>
      </c>
      <c r="AY281" s="40">
        <f ca="1">IFERROR(__xludf.DUMMYFUNCTION("""COMPUTED_VALUE"""),0)</f>
        <v>0</v>
      </c>
      <c r="AZ281" s="40">
        <f ca="1">IFERROR(__xludf.DUMMYFUNCTION("""COMPUTED_VALUE"""),1)</f>
        <v>1</v>
      </c>
      <c r="BA281" s="40">
        <f ca="1">IFERROR(__xludf.DUMMYFUNCTION("""COMPUTED_VALUE"""),0)</f>
        <v>0</v>
      </c>
      <c r="BB281" s="40">
        <f ca="1">IFERROR(__xludf.DUMMYFUNCTION("""COMPUTED_VALUE"""),0)</f>
        <v>0</v>
      </c>
      <c r="BC281" s="40">
        <f ca="1">IFERROR(__xludf.DUMMYFUNCTION("""COMPUTED_VALUE"""),1)</f>
        <v>1</v>
      </c>
      <c r="BD281" s="141">
        <f ca="1">IFERROR(__xludf.DUMMYFUNCTION("""COMPUTED_VALUE"""),44516)</f>
        <v>44516</v>
      </c>
      <c r="BE281" s="141">
        <f ca="1">IFERROR(__xludf.DUMMYFUNCTION("""COMPUTED_VALUE"""),44757)</f>
        <v>44757</v>
      </c>
      <c r="BF281" s="141">
        <f ca="1">IFERROR(__xludf.DUMMYFUNCTION("""COMPUTED_VALUE"""),44941)</f>
        <v>44941</v>
      </c>
      <c r="BG281" s="141">
        <f ca="1">IFERROR(__xludf.DUMMYFUNCTION("""COMPUTED_VALUE"""),45488)</f>
        <v>45488</v>
      </c>
      <c r="BH281" s="40" t="str">
        <f ca="1">IFERROR(__xludf.DUMMYFUNCTION("""COMPUTED_VALUE"""),"FICHA EN TIEMPO-18 MESES")</f>
        <v>FICHA EN TIEMPO-18 MESES</v>
      </c>
      <c r="BI281" s="40" t="str">
        <f ca="1">IFERROR(__xludf.DUMMYFUNCTION("""COMPUTED_VALUE"""),"En ejecucion")</f>
        <v>En ejecucion</v>
      </c>
      <c r="BJ281" s="40" t="str">
        <f ca="1">IFERROR(__xludf.DUMMYFUNCTION("""COMPUTED_VALUE"""),"Yamboro")</f>
        <v>Yamboro</v>
      </c>
      <c r="BK281" s="40"/>
      <c r="BL281" s="40"/>
    </row>
    <row r="282" spans="1:64" ht="13">
      <c r="A282" s="40"/>
      <c r="B282" s="40" t="str">
        <f ca="1">IFERROR(__xludf.DUMMYFUNCTION("""COMPUTED_VALUE"""),"FORMACIÓN 18/10/2022")</f>
        <v>FORMACIÓN 18/10/2022</v>
      </c>
      <c r="C282" s="40" t="str">
        <f ca="1">IFERROR(__xludf.DUMMYFUNCTION("""COMPUTED_VALUE"""),"JULIAN MATEO HOYOS TOVAR")</f>
        <v>JULIAN MATEO HOYOS TOVAR</v>
      </c>
      <c r="D282" s="40" t="str">
        <f ca="1">IFERROR(__xludf.DUMMYFUNCTION("""COMPUTED_VALUE"""),"CC")</f>
        <v>CC</v>
      </c>
      <c r="E282" s="40">
        <f ca="1">IFERROR(__xludf.DUMMYFUNCTION("""COMPUTED_VALUE"""),1004083443)</f>
        <v>1004083443</v>
      </c>
      <c r="F282" s="40">
        <f ca="1">IFERROR(__xludf.DUMMYFUNCTION("""COMPUTED_VALUE"""),2426308)</f>
        <v>2426308</v>
      </c>
      <c r="G282" s="40" t="str">
        <f ca="1">IFERROR(__xludf.DUMMYFUNCTION("""COMPUTED_VALUE"""),"TÉCNICO")</f>
        <v>TÉCNICO</v>
      </c>
      <c r="H282" s="40" t="str">
        <f ca="1">IFERROR(__xludf.DUMMYFUNCTION("""COMPUTED_VALUE"""),"DIBUJO ARQUITECTÓNICO")</f>
        <v>DIBUJO ARQUITECTÓNICO</v>
      </c>
      <c r="I282" s="40"/>
      <c r="J282" s="40"/>
      <c r="K282" s="40"/>
      <c r="L282" s="40" t="str">
        <f ca="1">IFERROR(__xludf.DUMMYFUNCTION("""COMPUTED_VALUE"""),"PASANTÍAS")</f>
        <v>PASANTÍAS</v>
      </c>
      <c r="M282" s="40" t="str">
        <f ca="1">IFERROR(__xludf.DUMMYFUNCTION("""COMPUTED_VALUE"""),"CENTRO DE GETIÓN Y DESARROLLO SOSTENIBLE SUR COLOMBIANO SENA ")</f>
        <v xml:space="preserve">CENTRO DE GETIÓN Y DESARROLLO SOSTENIBLE SUR COLOMBIANO SENA </v>
      </c>
      <c r="N282" s="40" t="str">
        <f ca="1">IFERROR(__xludf.DUMMYFUNCTION("""COMPUTED_VALUE"""),"CALLE 8 N° 7- 52 ")</f>
        <v xml:space="preserve">CALLE 8 N° 7- 52 </v>
      </c>
      <c r="O282" s="40">
        <f ca="1">IFERROR(__xludf.DUMMYFUNCTION("""COMPUTED_VALUE"""),3002105865)</f>
        <v>3002105865</v>
      </c>
      <c r="P282" s="40" t="str">
        <f ca="1">IFERROR(__xludf.DUMMYFUNCTION("""COMPUTED_VALUE"""),"PITALITO ")</f>
        <v xml:space="preserve">PITALITO </v>
      </c>
      <c r="Q282" s="40" t="str">
        <f ca="1">IFERROR(__xludf.DUMMYFUNCTION("""COMPUTED_VALUE"""),"apinzonp@sena.edu.co")</f>
        <v>apinzonp@sena.edu.co</v>
      </c>
      <c r="R282" s="140">
        <f ca="1">IFERROR(__xludf.DUMMYFUNCTION("""COMPUTED_VALUE"""),44778)</f>
        <v>44778</v>
      </c>
      <c r="S282" s="140">
        <f ca="1">IFERROR(__xludf.DUMMYFUNCTION("""COMPUTED_VALUE"""),44962)</f>
        <v>44962</v>
      </c>
      <c r="T282" s="40"/>
      <c r="U282" s="40" t="str">
        <f ca="1">IFERROR(__xludf.DUMMYFUNCTION("""COMPUTED_VALUE"""),"POR ASIGNAR ")</f>
        <v xml:space="preserve">POR ASIGNAR </v>
      </c>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t="str">
        <f ca="1">IFERROR(__xludf.DUMMYFUNCTION("""COMPUTED_VALUE"""),"NO_CUMPLE")</f>
        <v>NO_CUMPLE</v>
      </c>
      <c r="AV282" s="40" t="str">
        <f ca="1">IFERROR(__xludf.DUMMYFUNCTION("""COMPUTED_VALUE"""),"EN FORMACION")</f>
        <v>EN FORMACION</v>
      </c>
      <c r="AW282" s="40" t="str">
        <f ca="1">IFERROR(__xludf.DUMMYFUNCTION("""COMPUTED_VALUE"""),"BIOCONSTRUCCION")</f>
        <v>BIOCONSTRUCCION</v>
      </c>
      <c r="AX282" s="141">
        <f ca="1">IFERROR(__xludf.DUMMYFUNCTION("""COMPUTED_VALUE"""),44839)</f>
        <v>44839</v>
      </c>
      <c r="AY282" s="40">
        <f ca="1">IFERROR(__xludf.DUMMYFUNCTION("""COMPUTED_VALUE"""),1)</f>
        <v>1</v>
      </c>
      <c r="AZ282" s="40">
        <f ca="1">IFERROR(__xludf.DUMMYFUNCTION("""COMPUTED_VALUE"""),1)</f>
        <v>1</v>
      </c>
      <c r="BA282" s="40">
        <f ca="1">IFERROR(__xludf.DUMMYFUNCTION("""COMPUTED_VALUE"""),0)</f>
        <v>0</v>
      </c>
      <c r="BB282" s="40">
        <f ca="1">IFERROR(__xludf.DUMMYFUNCTION("""COMPUTED_VALUE"""),0)</f>
        <v>0</v>
      </c>
      <c r="BC282" s="40">
        <f ca="1">IFERROR(__xludf.DUMMYFUNCTION("""COMPUTED_VALUE"""),2)</f>
        <v>2</v>
      </c>
      <c r="BD282" s="141">
        <f ca="1">IFERROR(__xludf.DUMMYFUNCTION("""COMPUTED_VALUE"""),44516)</f>
        <v>44516</v>
      </c>
      <c r="BE282" s="141">
        <f ca="1">IFERROR(__xludf.DUMMYFUNCTION("""COMPUTED_VALUE"""),44757)</f>
        <v>44757</v>
      </c>
      <c r="BF282" s="141">
        <f ca="1">IFERROR(__xludf.DUMMYFUNCTION("""COMPUTED_VALUE"""),44941)</f>
        <v>44941</v>
      </c>
      <c r="BG282" s="141">
        <f ca="1">IFERROR(__xludf.DUMMYFUNCTION("""COMPUTED_VALUE"""),45488)</f>
        <v>45488</v>
      </c>
      <c r="BH282" s="40" t="str">
        <f ca="1">IFERROR(__xludf.DUMMYFUNCTION("""COMPUTED_VALUE"""),"FICHA EN TIEMPO-18 MESES")</f>
        <v>FICHA EN TIEMPO-18 MESES</v>
      </c>
      <c r="BI282" s="40" t="str">
        <f ca="1">IFERROR(__xludf.DUMMYFUNCTION("""COMPUTED_VALUE"""),"En ejecucion")</f>
        <v>En ejecucion</v>
      </c>
      <c r="BJ282" s="40" t="str">
        <f ca="1">IFERROR(__xludf.DUMMYFUNCTION("""COMPUTED_VALUE"""),"Yamboro")</f>
        <v>Yamboro</v>
      </c>
      <c r="BK282" s="40"/>
      <c r="BL282" s="40"/>
    </row>
    <row r="283" spans="1:64" ht="13">
      <c r="A283" s="40"/>
      <c r="B283" s="40" t="str">
        <f ca="1">IFERROR(__xludf.DUMMYFUNCTION("""COMPUTED_VALUE"""),"FORMACIÓN 18/10/2022")</f>
        <v>FORMACIÓN 18/10/2022</v>
      </c>
      <c r="C283" s="40" t="str">
        <f ca="1">IFERROR(__xludf.DUMMYFUNCTION("""COMPUTED_VALUE"""),"MABEL ROCIO ROJAS ESPAÑA")</f>
        <v>MABEL ROCIO ROJAS ESPAÑA</v>
      </c>
      <c r="D283" s="40" t="str">
        <f ca="1">IFERROR(__xludf.DUMMYFUNCTION("""COMPUTED_VALUE"""),"CC")</f>
        <v>CC</v>
      </c>
      <c r="E283" s="40">
        <f ca="1">IFERROR(__xludf.DUMMYFUNCTION("""COMPUTED_VALUE"""),1004209154)</f>
        <v>1004209154</v>
      </c>
      <c r="F283" s="40">
        <f ca="1">IFERROR(__xludf.DUMMYFUNCTION("""COMPUTED_VALUE"""),2426308)</f>
        <v>2426308</v>
      </c>
      <c r="G283" s="40" t="str">
        <f ca="1">IFERROR(__xludf.DUMMYFUNCTION("""COMPUTED_VALUE"""),"TÉCNICO")</f>
        <v>TÉCNICO</v>
      </c>
      <c r="H283" s="40" t="str">
        <f ca="1">IFERROR(__xludf.DUMMYFUNCTION("""COMPUTED_VALUE"""),"DIBUJO ARQUITECTÓNICO")</f>
        <v>DIBUJO ARQUITECTÓNICO</v>
      </c>
      <c r="I283" s="40"/>
      <c r="J283" s="40"/>
      <c r="K283" s="40"/>
      <c r="L283" s="40" t="str">
        <f ca="1">IFERROR(__xludf.DUMMYFUNCTION("""COMPUTED_VALUE"""),"PASANTÍAS")</f>
        <v>PASANTÍAS</v>
      </c>
      <c r="M283" s="40" t="str">
        <f ca="1">IFERROR(__xludf.DUMMYFUNCTION("""COMPUTED_VALUE"""),"CENTRO DE GETIÓN Y DESARROLLO SOSTENIBLE SUR COLOMBIANO SENA ")</f>
        <v xml:space="preserve">CENTRO DE GETIÓN Y DESARROLLO SOSTENIBLE SUR COLOMBIANO SENA </v>
      </c>
      <c r="N283" s="40" t="str">
        <f ca="1">IFERROR(__xludf.DUMMYFUNCTION("""COMPUTED_VALUE"""),"CALLE 8 N° 7- 52 ")</f>
        <v xml:space="preserve">CALLE 8 N° 7- 52 </v>
      </c>
      <c r="O283" s="40">
        <f ca="1">IFERROR(__xludf.DUMMYFUNCTION("""COMPUTED_VALUE"""),3002105865)</f>
        <v>3002105865</v>
      </c>
      <c r="P283" s="40" t="str">
        <f ca="1">IFERROR(__xludf.DUMMYFUNCTION("""COMPUTED_VALUE"""),"PITALITO ")</f>
        <v xml:space="preserve">PITALITO </v>
      </c>
      <c r="Q283" s="40" t="str">
        <f ca="1">IFERROR(__xludf.DUMMYFUNCTION("""COMPUTED_VALUE"""),"apinzonp@sena.edu.co")</f>
        <v>apinzonp@sena.edu.co</v>
      </c>
      <c r="R283" s="140">
        <f ca="1">IFERROR(__xludf.DUMMYFUNCTION("""COMPUTED_VALUE"""),44778)</f>
        <v>44778</v>
      </c>
      <c r="S283" s="140">
        <f ca="1">IFERROR(__xludf.DUMMYFUNCTION("""COMPUTED_VALUE"""),44962)</f>
        <v>44962</v>
      </c>
      <c r="T283" s="40"/>
      <c r="U283" s="40" t="str">
        <f ca="1">IFERROR(__xludf.DUMMYFUNCTION("""COMPUTED_VALUE"""),"POR ASIGNAR ")</f>
        <v xml:space="preserve">POR ASIGNAR </v>
      </c>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t="str">
        <f ca="1">IFERROR(__xludf.DUMMYFUNCTION("""COMPUTED_VALUE"""),"Procede_E_P")</f>
        <v>Procede_E_P</v>
      </c>
      <c r="AV283" s="40" t="str">
        <f ca="1">IFERROR(__xludf.DUMMYFUNCTION("""COMPUTED_VALUE"""),"EN FORMACION")</f>
        <v>EN FORMACION</v>
      </c>
      <c r="AW283" s="40" t="str">
        <f ca="1">IFERROR(__xludf.DUMMYFUNCTION("""COMPUTED_VALUE"""),"BIOCONSTRUCCION")</f>
        <v>BIOCONSTRUCCION</v>
      </c>
      <c r="AX283" s="141">
        <f ca="1">IFERROR(__xludf.DUMMYFUNCTION("""COMPUTED_VALUE"""),44839)</f>
        <v>44839</v>
      </c>
      <c r="AY283" s="40">
        <f ca="1">IFERROR(__xludf.DUMMYFUNCTION("""COMPUTED_VALUE"""),0)</f>
        <v>0</v>
      </c>
      <c r="AZ283" s="40">
        <f ca="1">IFERROR(__xludf.DUMMYFUNCTION("""COMPUTED_VALUE"""),1)</f>
        <v>1</v>
      </c>
      <c r="BA283" s="40">
        <f ca="1">IFERROR(__xludf.DUMMYFUNCTION("""COMPUTED_VALUE"""),0)</f>
        <v>0</v>
      </c>
      <c r="BB283" s="40">
        <f ca="1">IFERROR(__xludf.DUMMYFUNCTION("""COMPUTED_VALUE"""),0)</f>
        <v>0</v>
      </c>
      <c r="BC283" s="40">
        <f ca="1">IFERROR(__xludf.DUMMYFUNCTION("""COMPUTED_VALUE"""),1)</f>
        <v>1</v>
      </c>
      <c r="BD283" s="141">
        <f ca="1">IFERROR(__xludf.DUMMYFUNCTION("""COMPUTED_VALUE"""),44516)</f>
        <v>44516</v>
      </c>
      <c r="BE283" s="141">
        <f ca="1">IFERROR(__xludf.DUMMYFUNCTION("""COMPUTED_VALUE"""),44757)</f>
        <v>44757</v>
      </c>
      <c r="BF283" s="141">
        <f ca="1">IFERROR(__xludf.DUMMYFUNCTION("""COMPUTED_VALUE"""),44941)</f>
        <v>44941</v>
      </c>
      <c r="BG283" s="141">
        <f ca="1">IFERROR(__xludf.DUMMYFUNCTION("""COMPUTED_VALUE"""),45488)</f>
        <v>45488</v>
      </c>
      <c r="BH283" s="40" t="str">
        <f ca="1">IFERROR(__xludf.DUMMYFUNCTION("""COMPUTED_VALUE"""),"FICHA EN TIEMPO-18 MESES")</f>
        <v>FICHA EN TIEMPO-18 MESES</v>
      </c>
      <c r="BI283" s="40" t="str">
        <f ca="1">IFERROR(__xludf.DUMMYFUNCTION("""COMPUTED_VALUE"""),"En ejecucion")</f>
        <v>En ejecucion</v>
      </c>
      <c r="BJ283" s="40" t="str">
        <f ca="1">IFERROR(__xludf.DUMMYFUNCTION("""COMPUTED_VALUE"""),"Yamboro")</f>
        <v>Yamboro</v>
      </c>
      <c r="BK283" s="40"/>
      <c r="BL283" s="40"/>
    </row>
    <row r="284" spans="1:64" ht="13">
      <c r="A284" s="40"/>
      <c r="B284" s="40" t="str">
        <f ca="1">IFERROR(__xludf.DUMMYFUNCTION("""COMPUTED_VALUE"""),"FORMACIÓN 18/10/2022")</f>
        <v>FORMACIÓN 18/10/2022</v>
      </c>
      <c r="C284" s="40" t="str">
        <f ca="1">IFERROR(__xludf.DUMMYFUNCTION("""COMPUTED_VALUE"""),"JHOAN LEANDRO CLAROS ROJAS")</f>
        <v>JHOAN LEANDRO CLAROS ROJAS</v>
      </c>
      <c r="D284" s="40" t="str">
        <f ca="1">IFERROR(__xludf.DUMMYFUNCTION("""COMPUTED_VALUE"""),"CC")</f>
        <v>CC</v>
      </c>
      <c r="E284" s="40">
        <f ca="1">IFERROR(__xludf.DUMMYFUNCTION("""COMPUTED_VALUE"""),1007563060)</f>
        <v>1007563060</v>
      </c>
      <c r="F284" s="40">
        <f ca="1">IFERROR(__xludf.DUMMYFUNCTION("""COMPUTED_VALUE"""),2426308)</f>
        <v>2426308</v>
      </c>
      <c r="G284" s="40" t="str">
        <f ca="1">IFERROR(__xludf.DUMMYFUNCTION("""COMPUTED_VALUE"""),"TÉCNICO")</f>
        <v>TÉCNICO</v>
      </c>
      <c r="H284" s="40" t="str">
        <f ca="1">IFERROR(__xludf.DUMMYFUNCTION("""COMPUTED_VALUE"""),"DIBUJO ARQUITECTÓNICO")</f>
        <v>DIBUJO ARQUITECTÓNICO</v>
      </c>
      <c r="I284" s="40"/>
      <c r="J284" s="40"/>
      <c r="K284" s="40"/>
      <c r="L284" s="40" t="str">
        <f ca="1">IFERROR(__xludf.DUMMYFUNCTION("""COMPUTED_VALUE"""),"NO HA INICIADO ETAPA PRODUCTIVA")</f>
        <v>NO HA INICIADO ETAPA PRODUCTIVA</v>
      </c>
      <c r="M284" s="40"/>
      <c r="N284" s="40"/>
      <c r="O284" s="40"/>
      <c r="P284" s="40"/>
      <c r="Q284" s="40"/>
      <c r="R284" s="140"/>
      <c r="S284" s="1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t="str">
        <f ca="1">IFERROR(__xludf.DUMMYFUNCTION("""COMPUTED_VALUE"""),"NO_CUMPLE")</f>
        <v>NO_CUMPLE</v>
      </c>
      <c r="AV284" s="40" t="str">
        <f ca="1">IFERROR(__xludf.DUMMYFUNCTION("""COMPUTED_VALUE"""),"EN FORMACION")</f>
        <v>EN FORMACION</v>
      </c>
      <c r="AW284" s="40" t="str">
        <f ca="1">IFERROR(__xludf.DUMMYFUNCTION("""COMPUTED_VALUE"""),"BIOCONSTRUCCION")</f>
        <v>BIOCONSTRUCCION</v>
      </c>
      <c r="AX284" s="141">
        <f ca="1">IFERROR(__xludf.DUMMYFUNCTION("""COMPUTED_VALUE"""),44839)</f>
        <v>44839</v>
      </c>
      <c r="AY284" s="40">
        <f ca="1">IFERROR(__xludf.DUMMYFUNCTION("""COMPUTED_VALUE"""),0)</f>
        <v>0</v>
      </c>
      <c r="AZ284" s="40">
        <f ca="1">IFERROR(__xludf.DUMMYFUNCTION("""COMPUTED_VALUE"""),1)</f>
        <v>1</v>
      </c>
      <c r="BA284" s="40">
        <f ca="1">IFERROR(__xludf.DUMMYFUNCTION("""COMPUTED_VALUE"""),0)</f>
        <v>0</v>
      </c>
      <c r="BB284" s="40">
        <f ca="1">IFERROR(__xludf.DUMMYFUNCTION("""COMPUTED_VALUE"""),3)</f>
        <v>3</v>
      </c>
      <c r="BC284" s="40">
        <f ca="1">IFERROR(__xludf.DUMMYFUNCTION("""COMPUTED_VALUE"""),4)</f>
        <v>4</v>
      </c>
      <c r="BD284" s="141">
        <f ca="1">IFERROR(__xludf.DUMMYFUNCTION("""COMPUTED_VALUE"""),44516)</f>
        <v>44516</v>
      </c>
      <c r="BE284" s="141">
        <f ca="1">IFERROR(__xludf.DUMMYFUNCTION("""COMPUTED_VALUE"""),44757)</f>
        <v>44757</v>
      </c>
      <c r="BF284" s="141">
        <f ca="1">IFERROR(__xludf.DUMMYFUNCTION("""COMPUTED_VALUE"""),44941)</f>
        <v>44941</v>
      </c>
      <c r="BG284" s="141">
        <f ca="1">IFERROR(__xludf.DUMMYFUNCTION("""COMPUTED_VALUE"""),45488)</f>
        <v>45488</v>
      </c>
      <c r="BH284" s="40" t="str">
        <f ca="1">IFERROR(__xludf.DUMMYFUNCTION("""COMPUTED_VALUE"""),"FICHA EN TIEMPO-18 MESES")</f>
        <v>FICHA EN TIEMPO-18 MESES</v>
      </c>
      <c r="BI284" s="40" t="str">
        <f ca="1">IFERROR(__xludf.DUMMYFUNCTION("""COMPUTED_VALUE"""),"En ejecucion")</f>
        <v>En ejecucion</v>
      </c>
      <c r="BJ284" s="40" t="str">
        <f ca="1">IFERROR(__xludf.DUMMYFUNCTION("""COMPUTED_VALUE"""),"Yamboro")</f>
        <v>Yamboro</v>
      </c>
      <c r="BK284" s="40"/>
      <c r="BL284" s="40"/>
    </row>
    <row r="285" spans="1:64" ht="13">
      <c r="A285" s="40"/>
      <c r="B285" s="40" t="str">
        <f ca="1">IFERROR(__xludf.DUMMYFUNCTION("""COMPUTED_VALUE"""),"FORMACIÓN 18/10/2022")</f>
        <v>FORMACIÓN 18/10/2022</v>
      </c>
      <c r="C285" s="40" t="str">
        <f ca="1">IFERROR(__xludf.DUMMYFUNCTION("""COMPUTED_VALUE"""),"JHON FREDDY SUAREZ RESTREPO")</f>
        <v>JHON FREDDY SUAREZ RESTREPO</v>
      </c>
      <c r="D285" s="40" t="str">
        <f ca="1">IFERROR(__xludf.DUMMYFUNCTION("""COMPUTED_VALUE"""),"CC")</f>
        <v>CC</v>
      </c>
      <c r="E285" s="40">
        <f ca="1">IFERROR(__xludf.DUMMYFUNCTION("""COMPUTED_VALUE"""),1007705577)</f>
        <v>1007705577</v>
      </c>
      <c r="F285" s="40">
        <f ca="1">IFERROR(__xludf.DUMMYFUNCTION("""COMPUTED_VALUE"""),2426308)</f>
        <v>2426308</v>
      </c>
      <c r="G285" s="40" t="str">
        <f ca="1">IFERROR(__xludf.DUMMYFUNCTION("""COMPUTED_VALUE"""),"TÉCNICO")</f>
        <v>TÉCNICO</v>
      </c>
      <c r="H285" s="40" t="str">
        <f ca="1">IFERROR(__xludf.DUMMYFUNCTION("""COMPUTED_VALUE"""),"DIBUJO ARQUITECTÓNICO")</f>
        <v>DIBUJO ARQUITECTÓNICO</v>
      </c>
      <c r="I285" s="40"/>
      <c r="J285" s="40"/>
      <c r="K285" s="40"/>
      <c r="L285" s="40" t="str">
        <f ca="1">IFERROR(__xludf.DUMMYFUNCTION("""COMPUTED_VALUE"""),"PASANTÍAS")</f>
        <v>PASANTÍAS</v>
      </c>
      <c r="M285" s="40" t="str">
        <f ca="1">IFERROR(__xludf.DUMMYFUNCTION("""COMPUTED_VALUE"""),"CENTRO DE GETIÓN Y DESARROLLO SOSTENIBLE SUR COLOMBIANO SENA ")</f>
        <v xml:space="preserve">CENTRO DE GETIÓN Y DESARROLLO SOSTENIBLE SUR COLOMBIANO SENA </v>
      </c>
      <c r="N285" s="40" t="str">
        <f ca="1">IFERROR(__xludf.DUMMYFUNCTION("""COMPUTED_VALUE"""),"CALLE 8 N° 7- 52 ")</f>
        <v xml:space="preserve">CALLE 8 N° 7- 52 </v>
      </c>
      <c r="O285" s="40">
        <f ca="1">IFERROR(__xludf.DUMMYFUNCTION("""COMPUTED_VALUE"""),3002105865)</f>
        <v>3002105865</v>
      </c>
      <c r="P285" s="40" t="str">
        <f ca="1">IFERROR(__xludf.DUMMYFUNCTION("""COMPUTED_VALUE"""),"PITALITO ")</f>
        <v xml:space="preserve">PITALITO </v>
      </c>
      <c r="Q285" s="40" t="str">
        <f ca="1">IFERROR(__xludf.DUMMYFUNCTION("""COMPUTED_VALUE"""),"apinzonp@sena.edu.co")</f>
        <v>apinzonp@sena.edu.co</v>
      </c>
      <c r="R285" s="140">
        <f ca="1">IFERROR(__xludf.DUMMYFUNCTION("""COMPUTED_VALUE"""),44778)</f>
        <v>44778</v>
      </c>
      <c r="S285" s="140">
        <f ca="1">IFERROR(__xludf.DUMMYFUNCTION("""COMPUTED_VALUE"""),44962)</f>
        <v>44962</v>
      </c>
      <c r="T285" s="40"/>
      <c r="U285" s="40" t="str">
        <f ca="1">IFERROR(__xludf.DUMMYFUNCTION("""COMPUTED_VALUE"""),"POR ASIGNAR ")</f>
        <v xml:space="preserve">POR ASIGNAR </v>
      </c>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t="str">
        <f ca="1">IFERROR(__xludf.DUMMYFUNCTION("""COMPUTED_VALUE"""),"Procede_E_P")</f>
        <v>Procede_E_P</v>
      </c>
      <c r="AV285" s="40" t="str">
        <f ca="1">IFERROR(__xludf.DUMMYFUNCTION("""COMPUTED_VALUE"""),"EN FORMACION")</f>
        <v>EN FORMACION</v>
      </c>
      <c r="AW285" s="40" t="str">
        <f ca="1">IFERROR(__xludf.DUMMYFUNCTION("""COMPUTED_VALUE"""),"BIOCONSTRUCCION")</f>
        <v>BIOCONSTRUCCION</v>
      </c>
      <c r="AX285" s="141">
        <f ca="1">IFERROR(__xludf.DUMMYFUNCTION("""COMPUTED_VALUE"""),44839)</f>
        <v>44839</v>
      </c>
      <c r="AY285" s="40">
        <f ca="1">IFERROR(__xludf.DUMMYFUNCTION("""COMPUTED_VALUE"""),0)</f>
        <v>0</v>
      </c>
      <c r="AZ285" s="40">
        <f ca="1">IFERROR(__xludf.DUMMYFUNCTION("""COMPUTED_VALUE"""),1)</f>
        <v>1</v>
      </c>
      <c r="BA285" s="40">
        <f ca="1">IFERROR(__xludf.DUMMYFUNCTION("""COMPUTED_VALUE"""),0)</f>
        <v>0</v>
      </c>
      <c r="BB285" s="40">
        <f ca="1">IFERROR(__xludf.DUMMYFUNCTION("""COMPUTED_VALUE"""),0)</f>
        <v>0</v>
      </c>
      <c r="BC285" s="40">
        <f ca="1">IFERROR(__xludf.DUMMYFUNCTION("""COMPUTED_VALUE"""),1)</f>
        <v>1</v>
      </c>
      <c r="BD285" s="141">
        <f ca="1">IFERROR(__xludf.DUMMYFUNCTION("""COMPUTED_VALUE"""),44516)</f>
        <v>44516</v>
      </c>
      <c r="BE285" s="141">
        <f ca="1">IFERROR(__xludf.DUMMYFUNCTION("""COMPUTED_VALUE"""),44757)</f>
        <v>44757</v>
      </c>
      <c r="BF285" s="141">
        <f ca="1">IFERROR(__xludf.DUMMYFUNCTION("""COMPUTED_VALUE"""),44941)</f>
        <v>44941</v>
      </c>
      <c r="BG285" s="141">
        <f ca="1">IFERROR(__xludf.DUMMYFUNCTION("""COMPUTED_VALUE"""),45488)</f>
        <v>45488</v>
      </c>
      <c r="BH285" s="40" t="str">
        <f ca="1">IFERROR(__xludf.DUMMYFUNCTION("""COMPUTED_VALUE"""),"FICHA EN TIEMPO-18 MESES")</f>
        <v>FICHA EN TIEMPO-18 MESES</v>
      </c>
      <c r="BI285" s="40" t="str">
        <f ca="1">IFERROR(__xludf.DUMMYFUNCTION("""COMPUTED_VALUE"""),"En ejecucion")</f>
        <v>En ejecucion</v>
      </c>
      <c r="BJ285" s="40" t="str">
        <f ca="1">IFERROR(__xludf.DUMMYFUNCTION("""COMPUTED_VALUE"""),"Yamboro")</f>
        <v>Yamboro</v>
      </c>
      <c r="BK285" s="40"/>
      <c r="BL285" s="40"/>
    </row>
    <row r="286" spans="1:64" ht="13">
      <c r="A286" s="40"/>
      <c r="B286" s="40" t="str">
        <f ca="1">IFERROR(__xludf.DUMMYFUNCTION("""COMPUTED_VALUE"""),"FORMACIÓN 18/10/2022")</f>
        <v>FORMACIÓN 18/10/2022</v>
      </c>
      <c r="C286" s="40" t="str">
        <f ca="1">IFERROR(__xludf.DUMMYFUNCTION("""COMPUTED_VALUE"""),"EDGAR FARID JOAQUI CHATES")</f>
        <v>EDGAR FARID JOAQUI CHATES</v>
      </c>
      <c r="D286" s="40" t="str">
        <f ca="1">IFERROR(__xludf.DUMMYFUNCTION("""COMPUTED_VALUE"""),"CC")</f>
        <v>CC</v>
      </c>
      <c r="E286" s="40">
        <f ca="1">IFERROR(__xludf.DUMMYFUNCTION("""COMPUTED_VALUE"""),1083864126)</f>
        <v>1083864126</v>
      </c>
      <c r="F286" s="40">
        <f ca="1">IFERROR(__xludf.DUMMYFUNCTION("""COMPUTED_VALUE"""),2426308)</f>
        <v>2426308</v>
      </c>
      <c r="G286" s="40" t="str">
        <f ca="1">IFERROR(__xludf.DUMMYFUNCTION("""COMPUTED_VALUE"""),"TÉCNICO")</f>
        <v>TÉCNICO</v>
      </c>
      <c r="H286" s="40" t="str">
        <f ca="1">IFERROR(__xludf.DUMMYFUNCTION("""COMPUTED_VALUE"""),"DIBUJO ARQUITECTÓNICO")</f>
        <v>DIBUJO ARQUITECTÓNICO</v>
      </c>
      <c r="I286" s="40"/>
      <c r="J286" s="40"/>
      <c r="K286" s="40"/>
      <c r="L286" s="40" t="str">
        <f ca="1">IFERROR(__xludf.DUMMYFUNCTION("""COMPUTED_VALUE"""),"NO HA INICIADO ETAPA PRODUCTIVA")</f>
        <v>NO HA INICIADO ETAPA PRODUCTIVA</v>
      </c>
      <c r="M286" s="40"/>
      <c r="N286" s="40"/>
      <c r="O286" s="40"/>
      <c r="P286" s="40"/>
      <c r="Q286" s="40"/>
      <c r="R286" s="140"/>
      <c r="S286" s="1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t="str">
        <f ca="1">IFERROR(__xludf.DUMMYFUNCTION("""COMPUTED_VALUE"""),"Procede_E_P")</f>
        <v>Procede_E_P</v>
      </c>
      <c r="AV286" s="40" t="str">
        <f ca="1">IFERROR(__xludf.DUMMYFUNCTION("""COMPUTED_VALUE"""),"EN FORMACION")</f>
        <v>EN FORMACION</v>
      </c>
      <c r="AW286" s="40" t="str">
        <f ca="1">IFERROR(__xludf.DUMMYFUNCTION("""COMPUTED_VALUE"""),"BIOCONSTRUCCION")</f>
        <v>BIOCONSTRUCCION</v>
      </c>
      <c r="AX286" s="141">
        <f ca="1">IFERROR(__xludf.DUMMYFUNCTION("""COMPUTED_VALUE"""),44839)</f>
        <v>44839</v>
      </c>
      <c r="AY286" s="40">
        <f ca="1">IFERROR(__xludf.DUMMYFUNCTION("""COMPUTED_VALUE"""),0)</f>
        <v>0</v>
      </c>
      <c r="AZ286" s="40">
        <f ca="1">IFERROR(__xludf.DUMMYFUNCTION("""COMPUTED_VALUE"""),1)</f>
        <v>1</v>
      </c>
      <c r="BA286" s="40">
        <f ca="1">IFERROR(__xludf.DUMMYFUNCTION("""COMPUTED_VALUE"""),0)</f>
        <v>0</v>
      </c>
      <c r="BB286" s="40">
        <f ca="1">IFERROR(__xludf.DUMMYFUNCTION("""COMPUTED_VALUE"""),0)</f>
        <v>0</v>
      </c>
      <c r="BC286" s="40">
        <f ca="1">IFERROR(__xludf.DUMMYFUNCTION("""COMPUTED_VALUE"""),1)</f>
        <v>1</v>
      </c>
      <c r="BD286" s="141">
        <f ca="1">IFERROR(__xludf.DUMMYFUNCTION("""COMPUTED_VALUE"""),44516)</f>
        <v>44516</v>
      </c>
      <c r="BE286" s="141">
        <f ca="1">IFERROR(__xludf.DUMMYFUNCTION("""COMPUTED_VALUE"""),44757)</f>
        <v>44757</v>
      </c>
      <c r="BF286" s="141">
        <f ca="1">IFERROR(__xludf.DUMMYFUNCTION("""COMPUTED_VALUE"""),44941)</f>
        <v>44941</v>
      </c>
      <c r="BG286" s="141">
        <f ca="1">IFERROR(__xludf.DUMMYFUNCTION("""COMPUTED_VALUE"""),45488)</f>
        <v>45488</v>
      </c>
      <c r="BH286" s="40" t="str">
        <f ca="1">IFERROR(__xludf.DUMMYFUNCTION("""COMPUTED_VALUE"""),"FICHA EN TIEMPO-18 MESES")</f>
        <v>FICHA EN TIEMPO-18 MESES</v>
      </c>
      <c r="BI286" s="40" t="str">
        <f ca="1">IFERROR(__xludf.DUMMYFUNCTION("""COMPUTED_VALUE"""),"En ejecucion")</f>
        <v>En ejecucion</v>
      </c>
      <c r="BJ286" s="40" t="str">
        <f ca="1">IFERROR(__xludf.DUMMYFUNCTION("""COMPUTED_VALUE"""),"Yamboro")</f>
        <v>Yamboro</v>
      </c>
      <c r="BK286" s="40"/>
      <c r="BL286" s="40"/>
    </row>
    <row r="287" spans="1:64" ht="13">
      <c r="A287" s="40"/>
      <c r="B287" s="40" t="str">
        <f ca="1">IFERROR(__xludf.DUMMYFUNCTION("""COMPUTED_VALUE"""),"FORMACIÓN 18/10/2022")</f>
        <v>FORMACIÓN 18/10/2022</v>
      </c>
      <c r="C287" s="40" t="str">
        <f ca="1">IFERROR(__xludf.DUMMYFUNCTION("""COMPUTED_VALUE"""),"SINDY JOHANNA ROJAS YAIMES")</f>
        <v>SINDY JOHANNA ROJAS YAIMES</v>
      </c>
      <c r="D287" s="40" t="str">
        <f ca="1">IFERROR(__xludf.DUMMYFUNCTION("""COMPUTED_VALUE"""),"TI")</f>
        <v>TI</v>
      </c>
      <c r="E287" s="40">
        <f ca="1">IFERROR(__xludf.DUMMYFUNCTION("""COMPUTED_VALUE"""),1083867897)</f>
        <v>1083867897</v>
      </c>
      <c r="F287" s="40">
        <f ca="1">IFERROR(__xludf.DUMMYFUNCTION("""COMPUTED_VALUE"""),2426308)</f>
        <v>2426308</v>
      </c>
      <c r="G287" s="40" t="str">
        <f ca="1">IFERROR(__xludf.DUMMYFUNCTION("""COMPUTED_VALUE"""),"TÉCNICO")</f>
        <v>TÉCNICO</v>
      </c>
      <c r="H287" s="40" t="str">
        <f ca="1">IFERROR(__xludf.DUMMYFUNCTION("""COMPUTED_VALUE"""),"DIBUJO ARQUITECTÓNICO")</f>
        <v>DIBUJO ARQUITECTÓNICO</v>
      </c>
      <c r="I287" s="40">
        <f ca="1">IFERROR(__xludf.DUMMYFUNCTION("""COMPUTED_VALUE"""),3177680016)</f>
        <v>3177680016</v>
      </c>
      <c r="J287" s="40" t="str">
        <f ca="1">IFERROR(__xludf.DUMMYFUNCTION("""COMPUTED_VALUE"""),"sindy08.rojas@gmail.com")</f>
        <v>sindy08.rojas@gmail.com</v>
      </c>
      <c r="K287" s="40"/>
      <c r="L287" s="40" t="str">
        <f ca="1">IFERROR(__xludf.DUMMYFUNCTION("""COMPUTED_VALUE"""),"PASANTÍAS")</f>
        <v>PASANTÍAS</v>
      </c>
      <c r="M287" s="40" t="str">
        <f ca="1">IFERROR(__xludf.DUMMYFUNCTION("""COMPUTED_VALUE"""),"CENTRO DE GETIÓN Y DESARROLLO SOSTENIBLE SUR COLOMBIANO SENA ")</f>
        <v xml:space="preserve">CENTRO DE GETIÓN Y DESARROLLO SOSTENIBLE SUR COLOMBIANO SENA </v>
      </c>
      <c r="N287" s="40" t="str">
        <f ca="1">IFERROR(__xludf.DUMMYFUNCTION("""COMPUTED_VALUE"""),"CALLE 8 N° 7- 52 ")</f>
        <v xml:space="preserve">CALLE 8 N° 7- 52 </v>
      </c>
      <c r="O287" s="40">
        <f ca="1">IFERROR(__xludf.DUMMYFUNCTION("""COMPUTED_VALUE"""),3002105865)</f>
        <v>3002105865</v>
      </c>
      <c r="P287" s="40" t="str">
        <f ca="1">IFERROR(__xludf.DUMMYFUNCTION("""COMPUTED_VALUE"""),"PITALITO ")</f>
        <v xml:space="preserve">PITALITO </v>
      </c>
      <c r="Q287" s="40" t="str">
        <f ca="1">IFERROR(__xludf.DUMMYFUNCTION("""COMPUTED_VALUE"""),"apinzonp@sena.edu.co")</f>
        <v>apinzonp@sena.edu.co</v>
      </c>
      <c r="R287" s="140">
        <f ca="1">IFERROR(__xludf.DUMMYFUNCTION("""COMPUTED_VALUE"""),44778)</f>
        <v>44778</v>
      </c>
      <c r="S287" s="140">
        <f ca="1">IFERROR(__xludf.DUMMYFUNCTION("""COMPUTED_VALUE"""),44962)</f>
        <v>44962</v>
      </c>
      <c r="T287" s="40"/>
      <c r="U287" s="40" t="str">
        <f ca="1">IFERROR(__xludf.DUMMYFUNCTION("""COMPUTED_VALUE"""),"POR ASIGNAR ")</f>
        <v xml:space="preserve">POR ASIGNAR </v>
      </c>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t="str">
        <f ca="1">IFERROR(__xludf.DUMMYFUNCTION("""COMPUTED_VALUE"""),"Procede_E_P")</f>
        <v>Procede_E_P</v>
      </c>
      <c r="AV287" s="40" t="str">
        <f ca="1">IFERROR(__xludf.DUMMYFUNCTION("""COMPUTED_VALUE"""),"EN FORMACION")</f>
        <v>EN FORMACION</v>
      </c>
      <c r="AW287" s="40" t="str">
        <f ca="1">IFERROR(__xludf.DUMMYFUNCTION("""COMPUTED_VALUE"""),"BIOCONSTRUCCION")</f>
        <v>BIOCONSTRUCCION</v>
      </c>
      <c r="AX287" s="141">
        <f ca="1">IFERROR(__xludf.DUMMYFUNCTION("""COMPUTED_VALUE"""),44839)</f>
        <v>44839</v>
      </c>
      <c r="AY287" s="40">
        <f ca="1">IFERROR(__xludf.DUMMYFUNCTION("""COMPUTED_VALUE"""),0)</f>
        <v>0</v>
      </c>
      <c r="AZ287" s="40">
        <f ca="1">IFERROR(__xludf.DUMMYFUNCTION("""COMPUTED_VALUE"""),1)</f>
        <v>1</v>
      </c>
      <c r="BA287" s="40">
        <f ca="1">IFERROR(__xludf.DUMMYFUNCTION("""COMPUTED_VALUE"""),0)</f>
        <v>0</v>
      </c>
      <c r="BB287" s="40">
        <f ca="1">IFERROR(__xludf.DUMMYFUNCTION("""COMPUTED_VALUE"""),0)</f>
        <v>0</v>
      </c>
      <c r="BC287" s="40">
        <f ca="1">IFERROR(__xludf.DUMMYFUNCTION("""COMPUTED_VALUE"""),1)</f>
        <v>1</v>
      </c>
      <c r="BD287" s="141">
        <f ca="1">IFERROR(__xludf.DUMMYFUNCTION("""COMPUTED_VALUE"""),44516)</f>
        <v>44516</v>
      </c>
      <c r="BE287" s="141">
        <f ca="1">IFERROR(__xludf.DUMMYFUNCTION("""COMPUTED_VALUE"""),44757)</f>
        <v>44757</v>
      </c>
      <c r="BF287" s="141">
        <f ca="1">IFERROR(__xludf.DUMMYFUNCTION("""COMPUTED_VALUE"""),44941)</f>
        <v>44941</v>
      </c>
      <c r="BG287" s="141">
        <f ca="1">IFERROR(__xludf.DUMMYFUNCTION("""COMPUTED_VALUE"""),45488)</f>
        <v>45488</v>
      </c>
      <c r="BH287" s="40" t="str">
        <f ca="1">IFERROR(__xludf.DUMMYFUNCTION("""COMPUTED_VALUE"""),"FICHA EN TIEMPO-18 MESES")</f>
        <v>FICHA EN TIEMPO-18 MESES</v>
      </c>
      <c r="BI287" s="40" t="str">
        <f ca="1">IFERROR(__xludf.DUMMYFUNCTION("""COMPUTED_VALUE"""),"En ejecucion")</f>
        <v>En ejecucion</v>
      </c>
      <c r="BJ287" s="40" t="str">
        <f ca="1">IFERROR(__xludf.DUMMYFUNCTION("""COMPUTED_VALUE"""),"Yamboro")</f>
        <v>Yamboro</v>
      </c>
      <c r="BK287" s="40"/>
      <c r="BL287" s="40"/>
    </row>
    <row r="288" spans="1:64" ht="13">
      <c r="A288" s="40"/>
      <c r="B288" s="40" t="str">
        <f ca="1">IFERROR(__xludf.DUMMYFUNCTION("""COMPUTED_VALUE"""),"FORMACIÓN 18/10/2022")</f>
        <v>FORMACIÓN 18/10/2022</v>
      </c>
      <c r="C288" s="40" t="str">
        <f ca="1">IFERROR(__xludf.DUMMYFUNCTION("""COMPUTED_VALUE"""),"OMAR STEEVEN MENDEZ SAENS")</f>
        <v>OMAR STEEVEN MENDEZ SAENS</v>
      </c>
      <c r="D288" s="40" t="str">
        <f ca="1">IFERROR(__xludf.DUMMYFUNCTION("""COMPUTED_VALUE"""),"CC")</f>
        <v>CC</v>
      </c>
      <c r="E288" s="40">
        <f ca="1">IFERROR(__xludf.DUMMYFUNCTION("""COMPUTED_VALUE"""),1083929900)</f>
        <v>1083929900</v>
      </c>
      <c r="F288" s="40">
        <f ca="1">IFERROR(__xludf.DUMMYFUNCTION("""COMPUTED_VALUE"""),2426308)</f>
        <v>2426308</v>
      </c>
      <c r="G288" s="40" t="str">
        <f ca="1">IFERROR(__xludf.DUMMYFUNCTION("""COMPUTED_VALUE"""),"TÉCNICO")</f>
        <v>TÉCNICO</v>
      </c>
      <c r="H288" s="40" t="str">
        <f ca="1">IFERROR(__xludf.DUMMYFUNCTION("""COMPUTED_VALUE"""),"DIBUJO ARQUITECTÓNICO")</f>
        <v>DIBUJO ARQUITECTÓNICO</v>
      </c>
      <c r="I288" s="40">
        <f ca="1">IFERROR(__xludf.DUMMYFUNCTION("""COMPUTED_VALUE"""),3103395754)</f>
        <v>3103395754</v>
      </c>
      <c r="J288" s="40" t="str">
        <f ca="1">IFERROR(__xludf.DUMMYFUNCTION("""COMPUTED_VALUE"""),"co.stivenm@gmail.com")</f>
        <v>co.stivenm@gmail.com</v>
      </c>
      <c r="K288" s="40"/>
      <c r="L288" s="40" t="str">
        <f ca="1">IFERROR(__xludf.DUMMYFUNCTION("""COMPUTED_VALUE"""),"PASANTÍAS")</f>
        <v>PASANTÍAS</v>
      </c>
      <c r="M288" s="40" t="str">
        <f ca="1">IFERROR(__xludf.DUMMYFUNCTION("""COMPUTED_VALUE"""),"CENTRO DE GETIÓN Y DESARROLLO SOSTENIBLE SUR COLOMBIANO SENA ")</f>
        <v xml:space="preserve">CENTRO DE GETIÓN Y DESARROLLO SOSTENIBLE SUR COLOMBIANO SENA </v>
      </c>
      <c r="N288" s="40" t="str">
        <f ca="1">IFERROR(__xludf.DUMMYFUNCTION("""COMPUTED_VALUE"""),"CALLE 8 N° 7- 52 ")</f>
        <v xml:space="preserve">CALLE 8 N° 7- 52 </v>
      </c>
      <c r="O288" s="40">
        <f ca="1">IFERROR(__xludf.DUMMYFUNCTION("""COMPUTED_VALUE"""),3002105865)</f>
        <v>3002105865</v>
      </c>
      <c r="P288" s="40" t="str">
        <f ca="1">IFERROR(__xludf.DUMMYFUNCTION("""COMPUTED_VALUE"""),"PITALITO ")</f>
        <v xml:space="preserve">PITALITO </v>
      </c>
      <c r="Q288" s="40" t="str">
        <f ca="1">IFERROR(__xludf.DUMMYFUNCTION("""COMPUTED_VALUE"""),"apinzonp@sena.edu.co")</f>
        <v>apinzonp@sena.edu.co</v>
      </c>
      <c r="R288" s="140">
        <f ca="1">IFERROR(__xludf.DUMMYFUNCTION("""COMPUTED_VALUE"""),44778)</f>
        <v>44778</v>
      </c>
      <c r="S288" s="140">
        <f ca="1">IFERROR(__xludf.DUMMYFUNCTION("""COMPUTED_VALUE"""),44962)</f>
        <v>44962</v>
      </c>
      <c r="T288" s="40"/>
      <c r="U288" s="40" t="str">
        <f ca="1">IFERROR(__xludf.DUMMYFUNCTION("""COMPUTED_VALUE"""),"POR ASIGNAR ")</f>
        <v xml:space="preserve">POR ASIGNAR </v>
      </c>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t="str">
        <f ca="1">IFERROR(__xludf.DUMMYFUNCTION("""COMPUTED_VALUE"""),"Procede_E_P")</f>
        <v>Procede_E_P</v>
      </c>
      <c r="AV288" s="40" t="str">
        <f ca="1">IFERROR(__xludf.DUMMYFUNCTION("""COMPUTED_VALUE"""),"EN FORMACION")</f>
        <v>EN FORMACION</v>
      </c>
      <c r="AW288" s="40" t="str">
        <f ca="1">IFERROR(__xludf.DUMMYFUNCTION("""COMPUTED_VALUE"""),"BIOCONSTRUCCION")</f>
        <v>BIOCONSTRUCCION</v>
      </c>
      <c r="AX288" s="141">
        <f ca="1">IFERROR(__xludf.DUMMYFUNCTION("""COMPUTED_VALUE"""),44839)</f>
        <v>44839</v>
      </c>
      <c r="AY288" s="40">
        <f ca="1">IFERROR(__xludf.DUMMYFUNCTION("""COMPUTED_VALUE"""),0)</f>
        <v>0</v>
      </c>
      <c r="AZ288" s="40">
        <f ca="1">IFERROR(__xludf.DUMMYFUNCTION("""COMPUTED_VALUE"""),1)</f>
        <v>1</v>
      </c>
      <c r="BA288" s="40">
        <f ca="1">IFERROR(__xludf.DUMMYFUNCTION("""COMPUTED_VALUE"""),0)</f>
        <v>0</v>
      </c>
      <c r="BB288" s="40">
        <f ca="1">IFERROR(__xludf.DUMMYFUNCTION("""COMPUTED_VALUE"""),0)</f>
        <v>0</v>
      </c>
      <c r="BC288" s="40">
        <f ca="1">IFERROR(__xludf.DUMMYFUNCTION("""COMPUTED_VALUE"""),1)</f>
        <v>1</v>
      </c>
      <c r="BD288" s="141">
        <f ca="1">IFERROR(__xludf.DUMMYFUNCTION("""COMPUTED_VALUE"""),44516)</f>
        <v>44516</v>
      </c>
      <c r="BE288" s="141">
        <f ca="1">IFERROR(__xludf.DUMMYFUNCTION("""COMPUTED_VALUE"""),44757)</f>
        <v>44757</v>
      </c>
      <c r="BF288" s="141">
        <f ca="1">IFERROR(__xludf.DUMMYFUNCTION("""COMPUTED_VALUE"""),44941)</f>
        <v>44941</v>
      </c>
      <c r="BG288" s="141">
        <f ca="1">IFERROR(__xludf.DUMMYFUNCTION("""COMPUTED_VALUE"""),45488)</f>
        <v>45488</v>
      </c>
      <c r="BH288" s="40" t="str">
        <f ca="1">IFERROR(__xludf.DUMMYFUNCTION("""COMPUTED_VALUE"""),"FICHA EN TIEMPO-18 MESES")</f>
        <v>FICHA EN TIEMPO-18 MESES</v>
      </c>
      <c r="BI288" s="40" t="str">
        <f ca="1">IFERROR(__xludf.DUMMYFUNCTION("""COMPUTED_VALUE"""),"En ejecucion")</f>
        <v>En ejecucion</v>
      </c>
      <c r="BJ288" s="40" t="str">
        <f ca="1">IFERROR(__xludf.DUMMYFUNCTION("""COMPUTED_VALUE"""),"Yamboro")</f>
        <v>Yamboro</v>
      </c>
      <c r="BK288" s="40"/>
      <c r="BL288" s="40"/>
    </row>
    <row r="289" spans="1:64" ht="13">
      <c r="A289" s="40"/>
      <c r="B289" s="40" t="str">
        <f ca="1">IFERROR(__xludf.DUMMYFUNCTION("""COMPUTED_VALUE"""),"FORMACIÓN 18/10/2022")</f>
        <v>FORMACIÓN 18/10/2022</v>
      </c>
      <c r="C289" s="40" t="str">
        <f ca="1">IFERROR(__xludf.DUMMYFUNCTION("""COMPUTED_VALUE"""),"ARELIS GONZALEZ BELTRAN")</f>
        <v>ARELIS GONZALEZ BELTRAN</v>
      </c>
      <c r="D289" s="40" t="str">
        <f ca="1">IFERROR(__xludf.DUMMYFUNCTION("""COMPUTED_VALUE"""),"TI")</f>
        <v>TI</v>
      </c>
      <c r="E289" s="40">
        <f ca="1">IFERROR(__xludf.DUMMYFUNCTION("""COMPUTED_VALUE"""),1124242185)</f>
        <v>1124242185</v>
      </c>
      <c r="F289" s="40">
        <f ca="1">IFERROR(__xludf.DUMMYFUNCTION("""COMPUTED_VALUE"""),2426308)</f>
        <v>2426308</v>
      </c>
      <c r="G289" s="40" t="str">
        <f ca="1">IFERROR(__xludf.DUMMYFUNCTION("""COMPUTED_VALUE"""),"TÉCNICO")</f>
        <v>TÉCNICO</v>
      </c>
      <c r="H289" s="40" t="str">
        <f ca="1">IFERROR(__xludf.DUMMYFUNCTION("""COMPUTED_VALUE"""),"DIBUJO ARQUITECTÓNICO")</f>
        <v>DIBUJO ARQUITECTÓNICO</v>
      </c>
      <c r="I289" s="40"/>
      <c r="J289" s="40"/>
      <c r="K289" s="40"/>
      <c r="L289" s="40" t="str">
        <f ca="1">IFERROR(__xludf.DUMMYFUNCTION("""COMPUTED_VALUE"""),"PASANTÍAS")</f>
        <v>PASANTÍAS</v>
      </c>
      <c r="M289" s="40" t="str">
        <f ca="1">IFERROR(__xludf.DUMMYFUNCTION("""COMPUTED_VALUE"""),"CENTRO DE GETIÓN Y DESARROLLO SOSTENIBLE SUR COLOMBIANO SENA ")</f>
        <v xml:space="preserve">CENTRO DE GETIÓN Y DESARROLLO SOSTENIBLE SUR COLOMBIANO SENA </v>
      </c>
      <c r="N289" s="40" t="str">
        <f ca="1">IFERROR(__xludf.DUMMYFUNCTION("""COMPUTED_VALUE"""),"CALLE 8 N° 7- 52 ")</f>
        <v xml:space="preserve">CALLE 8 N° 7- 52 </v>
      </c>
      <c r="O289" s="40">
        <f ca="1">IFERROR(__xludf.DUMMYFUNCTION("""COMPUTED_VALUE"""),3002105865)</f>
        <v>3002105865</v>
      </c>
      <c r="P289" s="40" t="str">
        <f ca="1">IFERROR(__xludf.DUMMYFUNCTION("""COMPUTED_VALUE"""),"PITALITO ")</f>
        <v xml:space="preserve">PITALITO </v>
      </c>
      <c r="Q289" s="40" t="str">
        <f ca="1">IFERROR(__xludf.DUMMYFUNCTION("""COMPUTED_VALUE"""),"apinzonp@sena.edu.co")</f>
        <v>apinzonp@sena.edu.co</v>
      </c>
      <c r="R289" s="140">
        <f ca="1">IFERROR(__xludf.DUMMYFUNCTION("""COMPUTED_VALUE"""),44778)</f>
        <v>44778</v>
      </c>
      <c r="S289" s="140">
        <f ca="1">IFERROR(__xludf.DUMMYFUNCTION("""COMPUTED_VALUE"""),44962)</f>
        <v>44962</v>
      </c>
      <c r="T289" s="40"/>
      <c r="U289" s="40" t="str">
        <f ca="1">IFERROR(__xludf.DUMMYFUNCTION("""COMPUTED_VALUE"""),"POR ASIGNAR ")</f>
        <v xml:space="preserve">POR ASIGNAR </v>
      </c>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t="str">
        <f ca="1">IFERROR(__xludf.DUMMYFUNCTION("""COMPUTED_VALUE"""),"Procede_E_P")</f>
        <v>Procede_E_P</v>
      </c>
      <c r="AV289" s="40" t="str">
        <f ca="1">IFERROR(__xludf.DUMMYFUNCTION("""COMPUTED_VALUE"""),"EN FORMACION")</f>
        <v>EN FORMACION</v>
      </c>
      <c r="AW289" s="40" t="str">
        <f ca="1">IFERROR(__xludf.DUMMYFUNCTION("""COMPUTED_VALUE"""),"BIOCONSTRUCCION")</f>
        <v>BIOCONSTRUCCION</v>
      </c>
      <c r="AX289" s="141">
        <f ca="1">IFERROR(__xludf.DUMMYFUNCTION("""COMPUTED_VALUE"""),44839)</f>
        <v>44839</v>
      </c>
      <c r="AY289" s="40">
        <f ca="1">IFERROR(__xludf.DUMMYFUNCTION("""COMPUTED_VALUE"""),0)</f>
        <v>0</v>
      </c>
      <c r="AZ289" s="40">
        <f ca="1">IFERROR(__xludf.DUMMYFUNCTION("""COMPUTED_VALUE"""),1)</f>
        <v>1</v>
      </c>
      <c r="BA289" s="40">
        <f ca="1">IFERROR(__xludf.DUMMYFUNCTION("""COMPUTED_VALUE"""),0)</f>
        <v>0</v>
      </c>
      <c r="BB289" s="40">
        <f ca="1">IFERROR(__xludf.DUMMYFUNCTION("""COMPUTED_VALUE"""),0)</f>
        <v>0</v>
      </c>
      <c r="BC289" s="40">
        <f ca="1">IFERROR(__xludf.DUMMYFUNCTION("""COMPUTED_VALUE"""),1)</f>
        <v>1</v>
      </c>
      <c r="BD289" s="141">
        <f ca="1">IFERROR(__xludf.DUMMYFUNCTION("""COMPUTED_VALUE"""),44516)</f>
        <v>44516</v>
      </c>
      <c r="BE289" s="141">
        <f ca="1">IFERROR(__xludf.DUMMYFUNCTION("""COMPUTED_VALUE"""),44757)</f>
        <v>44757</v>
      </c>
      <c r="BF289" s="141">
        <f ca="1">IFERROR(__xludf.DUMMYFUNCTION("""COMPUTED_VALUE"""),44941)</f>
        <v>44941</v>
      </c>
      <c r="BG289" s="141">
        <f ca="1">IFERROR(__xludf.DUMMYFUNCTION("""COMPUTED_VALUE"""),45488)</f>
        <v>45488</v>
      </c>
      <c r="BH289" s="40" t="str">
        <f ca="1">IFERROR(__xludf.DUMMYFUNCTION("""COMPUTED_VALUE"""),"FICHA EN TIEMPO-18 MESES")</f>
        <v>FICHA EN TIEMPO-18 MESES</v>
      </c>
      <c r="BI289" s="40" t="str">
        <f ca="1">IFERROR(__xludf.DUMMYFUNCTION("""COMPUTED_VALUE"""),"En ejecucion")</f>
        <v>En ejecucion</v>
      </c>
      <c r="BJ289" s="40" t="str">
        <f ca="1">IFERROR(__xludf.DUMMYFUNCTION("""COMPUTED_VALUE"""),"Yamboro")</f>
        <v>Yamboro</v>
      </c>
      <c r="BK289" s="40"/>
      <c r="BL289" s="40"/>
    </row>
    <row r="290" spans="1:64" ht="13">
      <c r="A290" s="40"/>
      <c r="B290" s="40" t="str">
        <f ca="1">IFERROR(__xludf.DUMMYFUNCTION("""COMPUTED_VALUE"""),"FORMACIÓN 18/10/2022")</f>
        <v>FORMACIÓN 18/10/2022</v>
      </c>
      <c r="C290" s="40" t="str">
        <f ca="1">IFERROR(__xludf.DUMMYFUNCTION("""COMPUTED_VALUE"""),"JHEISON ARMANDO CHILITO CHILITO")</f>
        <v>JHEISON ARMANDO CHILITO CHILITO</v>
      </c>
      <c r="D290" s="40" t="str">
        <f ca="1">IFERROR(__xludf.DUMMYFUNCTION("""COMPUTED_VALUE"""),"CC")</f>
        <v>CC</v>
      </c>
      <c r="E290" s="40">
        <f ca="1">IFERROR(__xludf.DUMMYFUNCTION("""COMPUTED_VALUE"""),1002976231)</f>
        <v>1002976231</v>
      </c>
      <c r="F290" s="40">
        <f ca="1">IFERROR(__xludf.DUMMYFUNCTION("""COMPUTED_VALUE"""),2206479)</f>
        <v>2206479</v>
      </c>
      <c r="G290" s="40" t="str">
        <f ca="1">IFERROR(__xludf.DUMMYFUNCTION("""COMPUTED_VALUE"""),"TÉCNICO")</f>
        <v>TÉCNICO</v>
      </c>
      <c r="H290" s="40" t="str">
        <f ca="1">IFERROR(__xludf.DUMMYFUNCTION("""COMPUTED_VALUE"""),"CONSTRUCCION, MANTENIMIENTO Y REPARACION DE ESTRUCTURAS EN GUADUA")</f>
        <v>CONSTRUCCION, MANTENIMIENTO Y REPARACION DE ESTRUCTURAS EN GUADUA</v>
      </c>
      <c r="I290" s="40"/>
      <c r="J290" s="40"/>
      <c r="K290" s="40"/>
      <c r="L290" s="40" t="str">
        <f ca="1">IFERROR(__xludf.DUMMYFUNCTION("""COMPUTED_VALUE"""),"NO HA INICIADO ETAPA PRODUCTIVA")</f>
        <v>NO HA INICIADO ETAPA PRODUCTIVA</v>
      </c>
      <c r="M290" s="40"/>
      <c r="N290" s="40"/>
      <c r="O290" s="40"/>
      <c r="P290" s="40"/>
      <c r="Q290" s="40"/>
      <c r="R290" s="140"/>
      <c r="S290" s="1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t="str">
        <f ca="1">IFERROR(__xludf.DUMMYFUNCTION("""COMPUTED_VALUE"""),"NO_CUMPLE")</f>
        <v>NO_CUMPLE</v>
      </c>
      <c r="AV290" s="40" t="str">
        <f ca="1">IFERROR(__xludf.DUMMYFUNCTION("""COMPUTED_VALUE"""),"EN FORMACION")</f>
        <v>EN FORMACION</v>
      </c>
      <c r="AW290" s="40" t="str">
        <f ca="1">IFERROR(__xludf.DUMMYFUNCTION("""COMPUTED_VALUE"""),"BIOCONSTRUCCION")</f>
        <v>BIOCONSTRUCCION</v>
      </c>
      <c r="AX290" s="141">
        <f ca="1">IFERROR(__xludf.DUMMYFUNCTION("""COMPUTED_VALUE"""),44848)</f>
        <v>44848</v>
      </c>
      <c r="AY290" s="40">
        <f ca="1">IFERROR(__xludf.DUMMYFUNCTION("""COMPUTED_VALUE"""),24)</f>
        <v>24</v>
      </c>
      <c r="AZ290" s="40">
        <f ca="1">IFERROR(__xludf.DUMMYFUNCTION("""COMPUTED_VALUE"""),1)</f>
        <v>1</v>
      </c>
      <c r="BA290" s="40">
        <f ca="1">IFERROR(__xludf.DUMMYFUNCTION("""COMPUTED_VALUE"""),6)</f>
        <v>6</v>
      </c>
      <c r="BB290" s="40">
        <f ca="1">IFERROR(__xludf.DUMMYFUNCTION("""COMPUTED_VALUE"""),15)</f>
        <v>15</v>
      </c>
      <c r="BC290" s="40">
        <f ca="1">IFERROR(__xludf.DUMMYFUNCTION("""COMPUTED_VALUE"""),46)</f>
        <v>46</v>
      </c>
      <c r="BD290" s="141">
        <f ca="1">IFERROR(__xludf.DUMMYFUNCTION("""COMPUTED_VALUE"""),44094)</f>
        <v>44094</v>
      </c>
      <c r="BE290" s="141">
        <f ca="1">IFERROR(__xludf.DUMMYFUNCTION("""COMPUTED_VALUE"""),44367)</f>
        <v>44367</v>
      </c>
      <c r="BF290" s="141">
        <f ca="1">IFERROR(__xludf.DUMMYFUNCTION("""COMPUTED_VALUE"""),44550)</f>
        <v>44550</v>
      </c>
      <c r="BG290" s="141">
        <f ca="1">IFERROR(__xludf.DUMMYFUNCTION("""COMPUTED_VALUE"""),45097)</f>
        <v>45097</v>
      </c>
      <c r="BH290" s="40" t="str">
        <f ca="1">IFERROR(__xludf.DUMMYFUNCTION("""COMPUTED_VALUE"""),"FICHA EN TIEMPO-18 MESES")</f>
        <v>FICHA EN TIEMPO-18 MESES</v>
      </c>
      <c r="BI290" s="40" t="str">
        <f ca="1">IFERROR(__xludf.DUMMYFUNCTION("""COMPUTED_VALUE"""),"Terminada por fecha")</f>
        <v>Terminada por fecha</v>
      </c>
      <c r="BJ290" s="40" t="str">
        <f ca="1">IFERROR(__xludf.DUMMYFUNCTION("""COMPUTED_VALUE"""),"Yamboro")</f>
        <v>Yamboro</v>
      </c>
      <c r="BK290" s="40"/>
      <c r="BL290" s="40"/>
    </row>
    <row r="291" spans="1:64" ht="13">
      <c r="A291" s="40"/>
      <c r="B291" s="40" t="str">
        <f ca="1">IFERROR(__xludf.DUMMYFUNCTION("""COMPUTED_VALUE"""),"FORMACIÓN 18/10/2022")</f>
        <v>FORMACIÓN 18/10/2022</v>
      </c>
      <c r="C291" s="40" t="str">
        <f ca="1">IFERROR(__xludf.DUMMYFUNCTION("""COMPUTED_VALUE"""),"YOHAN ESNEYDER BOLAÑOZ BURBANO")</f>
        <v>YOHAN ESNEYDER BOLAÑOZ BURBANO</v>
      </c>
      <c r="D291" s="40" t="str">
        <f ca="1">IFERROR(__xludf.DUMMYFUNCTION("""COMPUTED_VALUE"""),"CC")</f>
        <v>CC</v>
      </c>
      <c r="E291" s="40">
        <f ca="1">IFERROR(__xludf.DUMMYFUNCTION("""COMPUTED_VALUE"""),1004419094)</f>
        <v>1004419094</v>
      </c>
      <c r="F291" s="40">
        <f ca="1">IFERROR(__xludf.DUMMYFUNCTION("""COMPUTED_VALUE"""),2206479)</f>
        <v>2206479</v>
      </c>
      <c r="G291" s="40" t="str">
        <f ca="1">IFERROR(__xludf.DUMMYFUNCTION("""COMPUTED_VALUE"""),"TÉCNICO")</f>
        <v>TÉCNICO</v>
      </c>
      <c r="H291" s="40" t="str">
        <f ca="1">IFERROR(__xludf.DUMMYFUNCTION("""COMPUTED_VALUE"""),"CONSTRUCCION, MANTENIMIENTO Y REPARACION DE ESTRUCTURAS EN GUADUA")</f>
        <v>CONSTRUCCION, MANTENIMIENTO Y REPARACION DE ESTRUCTURAS EN GUADUA</v>
      </c>
      <c r="I291" s="40"/>
      <c r="J291" s="40"/>
      <c r="K291" s="40"/>
      <c r="L291" s="40" t="str">
        <f ca="1">IFERROR(__xludf.DUMMYFUNCTION("""COMPUTED_VALUE"""),"NO HA INICIADO ETAPA PRODUCTIVA")</f>
        <v>NO HA INICIADO ETAPA PRODUCTIVA</v>
      </c>
      <c r="M291" s="40"/>
      <c r="N291" s="40"/>
      <c r="O291" s="40"/>
      <c r="P291" s="40"/>
      <c r="Q291" s="40"/>
      <c r="R291" s="140"/>
      <c r="S291" s="1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t="str">
        <f ca="1">IFERROR(__xludf.DUMMYFUNCTION("""COMPUTED_VALUE"""),"NO_CUMPLE")</f>
        <v>NO_CUMPLE</v>
      </c>
      <c r="AV291" s="40" t="str">
        <f ca="1">IFERROR(__xludf.DUMMYFUNCTION("""COMPUTED_VALUE"""),"EN FORMACION")</f>
        <v>EN FORMACION</v>
      </c>
      <c r="AW291" s="40" t="str">
        <f ca="1">IFERROR(__xludf.DUMMYFUNCTION("""COMPUTED_VALUE"""),"BIOCONSTRUCCION")</f>
        <v>BIOCONSTRUCCION</v>
      </c>
      <c r="AX291" s="141">
        <f ca="1">IFERROR(__xludf.DUMMYFUNCTION("""COMPUTED_VALUE"""),44848)</f>
        <v>44848</v>
      </c>
      <c r="AY291" s="40">
        <f ca="1">IFERROR(__xludf.DUMMYFUNCTION("""COMPUTED_VALUE"""),8)</f>
        <v>8</v>
      </c>
      <c r="AZ291" s="40">
        <f ca="1">IFERROR(__xludf.DUMMYFUNCTION("""COMPUTED_VALUE"""),1)</f>
        <v>1</v>
      </c>
      <c r="BA291" s="40">
        <f ca="1">IFERROR(__xludf.DUMMYFUNCTION("""COMPUTED_VALUE"""),6)</f>
        <v>6</v>
      </c>
      <c r="BB291" s="40">
        <f ca="1">IFERROR(__xludf.DUMMYFUNCTION("""COMPUTED_VALUE"""),0)</f>
        <v>0</v>
      </c>
      <c r="BC291" s="40">
        <f ca="1">IFERROR(__xludf.DUMMYFUNCTION("""COMPUTED_VALUE"""),15)</f>
        <v>15</v>
      </c>
      <c r="BD291" s="141">
        <f ca="1">IFERROR(__xludf.DUMMYFUNCTION("""COMPUTED_VALUE"""),44094)</f>
        <v>44094</v>
      </c>
      <c r="BE291" s="141">
        <f ca="1">IFERROR(__xludf.DUMMYFUNCTION("""COMPUTED_VALUE"""),44367)</f>
        <v>44367</v>
      </c>
      <c r="BF291" s="141">
        <f ca="1">IFERROR(__xludf.DUMMYFUNCTION("""COMPUTED_VALUE"""),44550)</f>
        <v>44550</v>
      </c>
      <c r="BG291" s="141">
        <f ca="1">IFERROR(__xludf.DUMMYFUNCTION("""COMPUTED_VALUE"""),45097)</f>
        <v>45097</v>
      </c>
      <c r="BH291" s="40" t="str">
        <f ca="1">IFERROR(__xludf.DUMMYFUNCTION("""COMPUTED_VALUE"""),"FICHA EN TIEMPO-18 MESES")</f>
        <v>FICHA EN TIEMPO-18 MESES</v>
      </c>
      <c r="BI291" s="40" t="str">
        <f ca="1">IFERROR(__xludf.DUMMYFUNCTION("""COMPUTED_VALUE"""),"Terminada por fecha")</f>
        <v>Terminada por fecha</v>
      </c>
      <c r="BJ291" s="40" t="str">
        <f ca="1">IFERROR(__xludf.DUMMYFUNCTION("""COMPUTED_VALUE"""),"Yamboro")</f>
        <v>Yamboro</v>
      </c>
      <c r="BK291" s="40"/>
      <c r="BL291" s="40"/>
    </row>
    <row r="292" spans="1:64" ht="13">
      <c r="A292" s="40"/>
      <c r="B292" s="40" t="str">
        <f ca="1">IFERROR(__xludf.DUMMYFUNCTION("""COMPUTED_VALUE"""),"FORMACIÓN 18/10/2022")</f>
        <v>FORMACIÓN 18/10/2022</v>
      </c>
      <c r="C292" s="40" t="str">
        <f ca="1">IFERROR(__xludf.DUMMYFUNCTION("""COMPUTED_VALUE"""),"YOHAN SEBASTIAN ANACONA PASAJE")</f>
        <v>YOHAN SEBASTIAN ANACONA PASAJE</v>
      </c>
      <c r="D292" s="40" t="str">
        <f ca="1">IFERROR(__xludf.DUMMYFUNCTION("""COMPUTED_VALUE"""),"CC")</f>
        <v>CC</v>
      </c>
      <c r="E292" s="40">
        <f ca="1">IFERROR(__xludf.DUMMYFUNCTION("""COMPUTED_VALUE"""),1007244707)</f>
        <v>1007244707</v>
      </c>
      <c r="F292" s="40">
        <f ca="1">IFERROR(__xludf.DUMMYFUNCTION("""COMPUTED_VALUE"""),2206479)</f>
        <v>2206479</v>
      </c>
      <c r="G292" s="40" t="str">
        <f ca="1">IFERROR(__xludf.DUMMYFUNCTION("""COMPUTED_VALUE"""),"TÉCNICO")</f>
        <v>TÉCNICO</v>
      </c>
      <c r="H292" s="40" t="str">
        <f ca="1">IFERROR(__xludf.DUMMYFUNCTION("""COMPUTED_VALUE"""),"CONSTRUCCION, MANTENIMIENTO Y REPARACION DE ESTRUCTURAS EN GUADUA")</f>
        <v>CONSTRUCCION, MANTENIMIENTO Y REPARACION DE ESTRUCTURAS EN GUADUA</v>
      </c>
      <c r="I292" s="40"/>
      <c r="J292" s="40"/>
      <c r="K292" s="40"/>
      <c r="L292" s="40" t="str">
        <f ca="1">IFERROR(__xludf.DUMMYFUNCTION("""COMPUTED_VALUE"""),"NO HA INICIADO ETAPA PRODUCTIVA")</f>
        <v>NO HA INICIADO ETAPA PRODUCTIVA</v>
      </c>
      <c r="M292" s="40"/>
      <c r="N292" s="40"/>
      <c r="O292" s="40"/>
      <c r="P292" s="40"/>
      <c r="Q292" s="40"/>
      <c r="R292" s="140"/>
      <c r="S292" s="1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t="str">
        <f ca="1">IFERROR(__xludf.DUMMYFUNCTION("""COMPUTED_VALUE"""),"NO_CUMPLE")</f>
        <v>NO_CUMPLE</v>
      </c>
      <c r="AV292" s="40" t="str">
        <f ca="1">IFERROR(__xludf.DUMMYFUNCTION("""COMPUTED_VALUE"""),"EN FORMACION")</f>
        <v>EN FORMACION</v>
      </c>
      <c r="AW292" s="40" t="str">
        <f ca="1">IFERROR(__xludf.DUMMYFUNCTION("""COMPUTED_VALUE"""),"BIOCONSTRUCCION")</f>
        <v>BIOCONSTRUCCION</v>
      </c>
      <c r="AX292" s="141">
        <f ca="1">IFERROR(__xludf.DUMMYFUNCTION("""COMPUTED_VALUE"""),44848)</f>
        <v>44848</v>
      </c>
      <c r="AY292" s="40">
        <f ca="1">IFERROR(__xludf.DUMMYFUNCTION("""COMPUTED_VALUE"""),4)</f>
        <v>4</v>
      </c>
      <c r="AZ292" s="40">
        <f ca="1">IFERROR(__xludf.DUMMYFUNCTION("""COMPUTED_VALUE"""),1)</f>
        <v>1</v>
      </c>
      <c r="BA292" s="40">
        <f ca="1">IFERROR(__xludf.DUMMYFUNCTION("""COMPUTED_VALUE"""),0)</f>
        <v>0</v>
      </c>
      <c r="BB292" s="40">
        <f ca="1">IFERROR(__xludf.DUMMYFUNCTION("""COMPUTED_VALUE"""),0)</f>
        <v>0</v>
      </c>
      <c r="BC292" s="40">
        <f ca="1">IFERROR(__xludf.DUMMYFUNCTION("""COMPUTED_VALUE"""),5)</f>
        <v>5</v>
      </c>
      <c r="BD292" s="141">
        <f ca="1">IFERROR(__xludf.DUMMYFUNCTION("""COMPUTED_VALUE"""),44094)</f>
        <v>44094</v>
      </c>
      <c r="BE292" s="141">
        <f ca="1">IFERROR(__xludf.DUMMYFUNCTION("""COMPUTED_VALUE"""),44367)</f>
        <v>44367</v>
      </c>
      <c r="BF292" s="141">
        <f ca="1">IFERROR(__xludf.DUMMYFUNCTION("""COMPUTED_VALUE"""),44550)</f>
        <v>44550</v>
      </c>
      <c r="BG292" s="141">
        <f ca="1">IFERROR(__xludf.DUMMYFUNCTION("""COMPUTED_VALUE"""),45097)</f>
        <v>45097</v>
      </c>
      <c r="BH292" s="40" t="str">
        <f ca="1">IFERROR(__xludf.DUMMYFUNCTION("""COMPUTED_VALUE"""),"FICHA EN TIEMPO-18 MESES")</f>
        <v>FICHA EN TIEMPO-18 MESES</v>
      </c>
      <c r="BI292" s="40" t="str">
        <f ca="1">IFERROR(__xludf.DUMMYFUNCTION("""COMPUTED_VALUE"""),"Terminada por fecha")</f>
        <v>Terminada por fecha</v>
      </c>
      <c r="BJ292" s="40" t="str">
        <f ca="1">IFERROR(__xludf.DUMMYFUNCTION("""COMPUTED_VALUE"""),"Yamboro")</f>
        <v>Yamboro</v>
      </c>
      <c r="BK292" s="40"/>
      <c r="BL292" s="40"/>
    </row>
    <row r="293" spans="1:64" ht="13">
      <c r="A293" s="40"/>
      <c r="B293" s="40" t="str">
        <f ca="1">IFERROR(__xludf.DUMMYFUNCTION("""COMPUTED_VALUE"""),"FORMACIÓN 18/10/2022")</f>
        <v>FORMACIÓN 18/10/2022</v>
      </c>
      <c r="C293" s="40" t="str">
        <f ca="1">IFERROR(__xludf.DUMMYFUNCTION("""COMPUTED_VALUE"""),"NUMAR ESNEIDER LEVAZA PEREZ")</f>
        <v>NUMAR ESNEIDER LEVAZA PEREZ</v>
      </c>
      <c r="D293" s="40" t="str">
        <f ca="1">IFERROR(__xludf.DUMMYFUNCTION("""COMPUTED_VALUE"""),"CC")</f>
        <v>CC</v>
      </c>
      <c r="E293" s="40">
        <f ca="1">IFERROR(__xludf.DUMMYFUNCTION("""COMPUTED_VALUE"""),1007392341)</f>
        <v>1007392341</v>
      </c>
      <c r="F293" s="40">
        <f ca="1">IFERROR(__xludf.DUMMYFUNCTION("""COMPUTED_VALUE"""),2206479)</f>
        <v>2206479</v>
      </c>
      <c r="G293" s="40" t="str">
        <f ca="1">IFERROR(__xludf.DUMMYFUNCTION("""COMPUTED_VALUE"""),"TÉCNICO")</f>
        <v>TÉCNICO</v>
      </c>
      <c r="H293" s="40" t="str">
        <f ca="1">IFERROR(__xludf.DUMMYFUNCTION("""COMPUTED_VALUE"""),"CONSTRUCCION, MANTENIMIENTO Y REPARACION DE ESTRUCTURAS EN GUADUA")</f>
        <v>CONSTRUCCION, MANTENIMIENTO Y REPARACION DE ESTRUCTURAS EN GUADUA</v>
      </c>
      <c r="I293" s="40"/>
      <c r="J293" s="40"/>
      <c r="K293" s="40"/>
      <c r="L293" s="40" t="str">
        <f ca="1">IFERROR(__xludf.DUMMYFUNCTION("""COMPUTED_VALUE"""),"NO HA INICIADO ETAPA PRODUCTIVA")</f>
        <v>NO HA INICIADO ETAPA PRODUCTIVA</v>
      </c>
      <c r="M293" s="40"/>
      <c r="N293" s="40"/>
      <c r="O293" s="40"/>
      <c r="P293" s="40"/>
      <c r="Q293" s="40"/>
      <c r="R293" s="140"/>
      <c r="S293" s="1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t="str">
        <f ca="1">IFERROR(__xludf.DUMMYFUNCTION("""COMPUTED_VALUE"""),"NO_CUMPLE")</f>
        <v>NO_CUMPLE</v>
      </c>
      <c r="AV293" s="40" t="str">
        <f ca="1">IFERROR(__xludf.DUMMYFUNCTION("""COMPUTED_VALUE"""),"EN FORMACION")</f>
        <v>EN FORMACION</v>
      </c>
      <c r="AW293" s="40" t="str">
        <f ca="1">IFERROR(__xludf.DUMMYFUNCTION("""COMPUTED_VALUE"""),"BIOCONSTRUCCION")</f>
        <v>BIOCONSTRUCCION</v>
      </c>
      <c r="AX293" s="141">
        <f ca="1">IFERROR(__xludf.DUMMYFUNCTION("""COMPUTED_VALUE"""),44848)</f>
        <v>44848</v>
      </c>
      <c r="AY293" s="40">
        <f ca="1">IFERROR(__xludf.DUMMYFUNCTION("""COMPUTED_VALUE"""),1)</f>
        <v>1</v>
      </c>
      <c r="AZ293" s="40">
        <f ca="1">IFERROR(__xludf.DUMMYFUNCTION("""COMPUTED_VALUE"""),1)</f>
        <v>1</v>
      </c>
      <c r="BA293" s="40">
        <f ca="1">IFERROR(__xludf.DUMMYFUNCTION("""COMPUTED_VALUE"""),0)</f>
        <v>0</v>
      </c>
      <c r="BB293" s="40">
        <f ca="1">IFERROR(__xludf.DUMMYFUNCTION("""COMPUTED_VALUE"""),0)</f>
        <v>0</v>
      </c>
      <c r="BC293" s="40">
        <f ca="1">IFERROR(__xludf.DUMMYFUNCTION("""COMPUTED_VALUE"""),2)</f>
        <v>2</v>
      </c>
      <c r="BD293" s="141">
        <f ca="1">IFERROR(__xludf.DUMMYFUNCTION("""COMPUTED_VALUE"""),44094)</f>
        <v>44094</v>
      </c>
      <c r="BE293" s="141">
        <f ca="1">IFERROR(__xludf.DUMMYFUNCTION("""COMPUTED_VALUE"""),44367)</f>
        <v>44367</v>
      </c>
      <c r="BF293" s="141">
        <f ca="1">IFERROR(__xludf.DUMMYFUNCTION("""COMPUTED_VALUE"""),44550)</f>
        <v>44550</v>
      </c>
      <c r="BG293" s="141">
        <f ca="1">IFERROR(__xludf.DUMMYFUNCTION("""COMPUTED_VALUE"""),45097)</f>
        <v>45097</v>
      </c>
      <c r="BH293" s="40" t="str">
        <f ca="1">IFERROR(__xludf.DUMMYFUNCTION("""COMPUTED_VALUE"""),"FICHA EN TIEMPO-18 MESES")</f>
        <v>FICHA EN TIEMPO-18 MESES</v>
      </c>
      <c r="BI293" s="40" t="str">
        <f ca="1">IFERROR(__xludf.DUMMYFUNCTION("""COMPUTED_VALUE"""),"Terminada por fecha")</f>
        <v>Terminada por fecha</v>
      </c>
      <c r="BJ293" s="40" t="str">
        <f ca="1">IFERROR(__xludf.DUMMYFUNCTION("""COMPUTED_VALUE"""),"Yamboro")</f>
        <v>Yamboro</v>
      </c>
      <c r="BK293" s="40"/>
      <c r="BL293" s="40"/>
    </row>
    <row r="294" spans="1:64" ht="13">
      <c r="A294" s="40"/>
      <c r="B294" s="40" t="str">
        <f ca="1">IFERROR(__xludf.DUMMYFUNCTION("""COMPUTED_VALUE"""),"FORMACIÓN 18/10/2022")</f>
        <v>FORMACIÓN 18/10/2022</v>
      </c>
      <c r="C294" s="40" t="str">
        <f ca="1">IFERROR(__xludf.DUMMYFUNCTION("""COMPUTED_VALUE"""),"DUVAN YESID MENESES IJAJI")</f>
        <v>DUVAN YESID MENESES IJAJI</v>
      </c>
      <c r="D294" s="40" t="str">
        <f ca="1">IFERROR(__xludf.DUMMYFUNCTION("""COMPUTED_VALUE"""),"CC")</f>
        <v>CC</v>
      </c>
      <c r="E294" s="40">
        <f ca="1">IFERROR(__xludf.DUMMYFUNCTION("""COMPUTED_VALUE"""),1010119367)</f>
        <v>1010119367</v>
      </c>
      <c r="F294" s="40">
        <f ca="1">IFERROR(__xludf.DUMMYFUNCTION("""COMPUTED_VALUE"""),2206479)</f>
        <v>2206479</v>
      </c>
      <c r="G294" s="40" t="str">
        <f ca="1">IFERROR(__xludf.DUMMYFUNCTION("""COMPUTED_VALUE"""),"TÉCNICO")</f>
        <v>TÉCNICO</v>
      </c>
      <c r="H294" s="40" t="str">
        <f ca="1">IFERROR(__xludf.DUMMYFUNCTION("""COMPUTED_VALUE"""),"CONSTRUCCION, MANTENIMIENTO Y REPARACION DE ESTRUCTURAS EN GUADUA")</f>
        <v>CONSTRUCCION, MANTENIMIENTO Y REPARACION DE ESTRUCTURAS EN GUADUA</v>
      </c>
      <c r="I294" s="40"/>
      <c r="J294" s="40"/>
      <c r="K294" s="40"/>
      <c r="L294" s="40" t="str">
        <f ca="1">IFERROR(__xludf.DUMMYFUNCTION("""COMPUTED_VALUE"""),"NO TIENE LEGALIZACIÓN")</f>
        <v>NO TIENE LEGALIZACIÓN</v>
      </c>
      <c r="M294" s="40"/>
      <c r="N294" s="40"/>
      <c r="O294" s="40"/>
      <c r="P294" s="40"/>
      <c r="Q294" s="40"/>
      <c r="R294" s="140"/>
      <c r="S294" s="140"/>
      <c r="T294" s="40" t="str">
        <f ca="1">IFERROR(__xludf.DUMMYFUNCTION("""COMPUTED_VALUE"""),"NO tiene legalización Tiene final, certificación y bitácoras 1,2,3,4,5,6,7,8 y 12 ... Falta bitácoras 9,10 y 11 ... Revisado 18/07/2022")</f>
        <v>NO tiene legalización Tiene final, certificación y bitácoras 1,2,3,4,5,6,7,8 y 12 ... Falta bitácoras 9,10 y 11 ... Revisado 18/07/2022</v>
      </c>
      <c r="U294" s="40" t="str">
        <f ca="1">IFERROR(__xludf.DUMMYFUNCTION("""COMPUTED_VALUE"""),"JOSE URIEL SALAS LONDOÑO - Subió final, certificación y bitácoras 1,2,3,4,5,6,7,8 y 12 ..Revisado 18/07/2022")</f>
        <v>JOSE URIEL SALAS LONDOÑO - Subió final, certificación y bitácoras 1,2,3,4,5,6,7,8 y 12 ..Revisado 18/07/2022</v>
      </c>
      <c r="V294" s="40" t="str">
        <f ca="1">IFERROR(__xludf.DUMMYFUNCTION("""COMPUTED_VALUE"""),"SI tiene seguimiento 16/08/2022")</f>
        <v>SI tiene seguimiento 16/08/2022</v>
      </c>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t="str">
        <f ca="1">IFERROR(__xludf.DUMMYFUNCTION("""COMPUTED_VALUE"""),"NO_CUMPLE")</f>
        <v>NO_CUMPLE</v>
      </c>
      <c r="AV294" s="40" t="str">
        <f ca="1">IFERROR(__xludf.DUMMYFUNCTION("""COMPUTED_VALUE"""),"EN FORMACION")</f>
        <v>EN FORMACION</v>
      </c>
      <c r="AW294" s="40" t="str">
        <f ca="1">IFERROR(__xludf.DUMMYFUNCTION("""COMPUTED_VALUE"""),"BIOCONSTRUCCION")</f>
        <v>BIOCONSTRUCCION</v>
      </c>
      <c r="AX294" s="141">
        <f ca="1">IFERROR(__xludf.DUMMYFUNCTION("""COMPUTED_VALUE"""),44848)</f>
        <v>44848</v>
      </c>
      <c r="AY294" s="40">
        <f ca="1">IFERROR(__xludf.DUMMYFUNCTION("""COMPUTED_VALUE"""),1)</f>
        <v>1</v>
      </c>
      <c r="AZ294" s="40">
        <f ca="1">IFERROR(__xludf.DUMMYFUNCTION("""COMPUTED_VALUE"""),0)</f>
        <v>0</v>
      </c>
      <c r="BA294" s="40">
        <f ca="1">IFERROR(__xludf.DUMMYFUNCTION("""COMPUTED_VALUE"""),0)</f>
        <v>0</v>
      </c>
      <c r="BB294" s="40">
        <f ca="1">IFERROR(__xludf.DUMMYFUNCTION("""COMPUTED_VALUE"""),0)</f>
        <v>0</v>
      </c>
      <c r="BC294" s="40">
        <f ca="1">IFERROR(__xludf.DUMMYFUNCTION("""COMPUTED_VALUE"""),1)</f>
        <v>1</v>
      </c>
      <c r="BD294" s="141">
        <f ca="1">IFERROR(__xludf.DUMMYFUNCTION("""COMPUTED_VALUE"""),44094)</f>
        <v>44094</v>
      </c>
      <c r="BE294" s="141">
        <f ca="1">IFERROR(__xludf.DUMMYFUNCTION("""COMPUTED_VALUE"""),44367)</f>
        <v>44367</v>
      </c>
      <c r="BF294" s="141">
        <f ca="1">IFERROR(__xludf.DUMMYFUNCTION("""COMPUTED_VALUE"""),44550)</f>
        <v>44550</v>
      </c>
      <c r="BG294" s="141">
        <f ca="1">IFERROR(__xludf.DUMMYFUNCTION("""COMPUTED_VALUE"""),45097)</f>
        <v>45097</v>
      </c>
      <c r="BH294" s="40" t="str">
        <f ca="1">IFERROR(__xludf.DUMMYFUNCTION("""COMPUTED_VALUE"""),"FICHA EN TIEMPO-18 MESES")</f>
        <v>FICHA EN TIEMPO-18 MESES</v>
      </c>
      <c r="BI294" s="40" t="str">
        <f ca="1">IFERROR(__xludf.DUMMYFUNCTION("""COMPUTED_VALUE"""),"Terminada por fecha")</f>
        <v>Terminada por fecha</v>
      </c>
      <c r="BJ294" s="40" t="str">
        <f ca="1">IFERROR(__xludf.DUMMYFUNCTION("""COMPUTED_VALUE"""),"Yamboro")</f>
        <v>Yamboro</v>
      </c>
      <c r="BK294" s="40"/>
      <c r="BL294" s="40"/>
    </row>
    <row r="295" spans="1:64" ht="13">
      <c r="A295" s="40"/>
      <c r="B295" s="40" t="str">
        <f ca="1">IFERROR(__xludf.DUMMYFUNCTION("""COMPUTED_VALUE"""),"FORMACIÓN 18/10/2022")</f>
        <v>FORMACIÓN 18/10/2022</v>
      </c>
      <c r="C295" s="40" t="str">
        <f ca="1">IFERROR(__xludf.DUMMYFUNCTION("""COMPUTED_VALUE"""),"EIVER IJAJI ERAZO")</f>
        <v>EIVER IJAJI ERAZO</v>
      </c>
      <c r="D295" s="40" t="str">
        <f ca="1">IFERROR(__xludf.DUMMYFUNCTION("""COMPUTED_VALUE"""),"CC")</f>
        <v>CC</v>
      </c>
      <c r="E295" s="40">
        <f ca="1">IFERROR(__xludf.DUMMYFUNCTION("""COMPUTED_VALUE"""),1082772998)</f>
        <v>1082772998</v>
      </c>
      <c r="F295" s="40">
        <f ca="1">IFERROR(__xludf.DUMMYFUNCTION("""COMPUTED_VALUE"""),2206479)</f>
        <v>2206479</v>
      </c>
      <c r="G295" s="40" t="str">
        <f ca="1">IFERROR(__xludf.DUMMYFUNCTION("""COMPUTED_VALUE"""),"TÉCNICO")</f>
        <v>TÉCNICO</v>
      </c>
      <c r="H295" s="40" t="str">
        <f ca="1">IFERROR(__xludf.DUMMYFUNCTION("""COMPUTED_VALUE"""),"CONSTRUCCION, MANTENIMIENTO Y REPARACION DE ESTRUCTURAS EN GUADUA")</f>
        <v>CONSTRUCCION, MANTENIMIENTO Y REPARACION DE ESTRUCTURAS EN GUADUA</v>
      </c>
      <c r="I295" s="40"/>
      <c r="J295" s="40"/>
      <c r="K295" s="40"/>
      <c r="L295" s="40" t="str">
        <f ca="1">IFERROR(__xludf.DUMMYFUNCTION("""COMPUTED_VALUE"""),"NO TIENE LEGALIZACIÓN")</f>
        <v>NO TIENE LEGALIZACIÓN</v>
      </c>
      <c r="M295" s="40"/>
      <c r="N295" s="40"/>
      <c r="O295" s="40"/>
      <c r="P295" s="40"/>
      <c r="Q295" s="40"/>
      <c r="R295" s="140"/>
      <c r="S295" s="140"/>
      <c r="T295" s="40" t="str">
        <f ca="1">IFERROR(__xludf.DUMMYFUNCTION("""COMPUTED_VALUE"""),"No tiene legalización - Final, certificación y  bitácoras 1,3,4,5,7,8 y 9 ... Falta bitácoras 2,6,10,11 y 12 .... Revisado 16/08/2022 ")</f>
        <v xml:space="preserve">No tiene legalización - Final, certificación y  bitácoras 1,3,4,5,7,8 y 9 ... Falta bitácoras 2,6,10,11 y 12 .... Revisado 16/08/2022 </v>
      </c>
      <c r="U295" s="40" t="str">
        <f ca="1">IFERROR(__xludf.DUMMYFUNCTION("""COMPUTED_VALUE"""),"JOSE URIEL SALAS LONDOÑO - Subió Final, certificación y  bitácoras 1,3,4,5,7,8 y 9... Revisado 16/08/2022")</f>
        <v>JOSE URIEL SALAS LONDOÑO - Subió Final, certificación y  bitácoras 1,3,4,5,7,8 y 9... Revisado 16/08/2022</v>
      </c>
      <c r="V295" s="40" t="str">
        <f ca="1">IFERROR(__xludf.DUMMYFUNCTION("""COMPUTED_VALUE"""),"SI tiene seguimiento 16/08/2022")</f>
        <v>SI tiene seguimiento 16/08/2022</v>
      </c>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t="str">
        <f ca="1">IFERROR(__xludf.DUMMYFUNCTION("""COMPUTED_VALUE"""),"NO_CUMPLE")</f>
        <v>NO_CUMPLE</v>
      </c>
      <c r="AV295" s="40" t="str">
        <f ca="1">IFERROR(__xludf.DUMMYFUNCTION("""COMPUTED_VALUE"""),"EN FORMACION")</f>
        <v>EN FORMACION</v>
      </c>
      <c r="AW295" s="40" t="str">
        <f ca="1">IFERROR(__xludf.DUMMYFUNCTION("""COMPUTED_VALUE"""),"BIOCONSTRUCCION")</f>
        <v>BIOCONSTRUCCION</v>
      </c>
      <c r="AX295" s="141">
        <f ca="1">IFERROR(__xludf.DUMMYFUNCTION("""COMPUTED_VALUE"""),44848)</f>
        <v>44848</v>
      </c>
      <c r="AY295" s="40">
        <f ca="1">IFERROR(__xludf.DUMMYFUNCTION("""COMPUTED_VALUE"""),4)</f>
        <v>4</v>
      </c>
      <c r="AZ295" s="40">
        <f ca="1">IFERROR(__xludf.DUMMYFUNCTION("""COMPUTED_VALUE"""),0)</f>
        <v>0</v>
      </c>
      <c r="BA295" s="40">
        <f ca="1">IFERROR(__xludf.DUMMYFUNCTION("""COMPUTED_VALUE"""),0)</f>
        <v>0</v>
      </c>
      <c r="BB295" s="40">
        <f ca="1">IFERROR(__xludf.DUMMYFUNCTION("""COMPUTED_VALUE"""),0)</f>
        <v>0</v>
      </c>
      <c r="BC295" s="40">
        <f ca="1">IFERROR(__xludf.DUMMYFUNCTION("""COMPUTED_VALUE"""),4)</f>
        <v>4</v>
      </c>
      <c r="BD295" s="141">
        <f ca="1">IFERROR(__xludf.DUMMYFUNCTION("""COMPUTED_VALUE"""),44094)</f>
        <v>44094</v>
      </c>
      <c r="BE295" s="141">
        <f ca="1">IFERROR(__xludf.DUMMYFUNCTION("""COMPUTED_VALUE"""),44367)</f>
        <v>44367</v>
      </c>
      <c r="BF295" s="141">
        <f ca="1">IFERROR(__xludf.DUMMYFUNCTION("""COMPUTED_VALUE"""),44550)</f>
        <v>44550</v>
      </c>
      <c r="BG295" s="141">
        <f ca="1">IFERROR(__xludf.DUMMYFUNCTION("""COMPUTED_VALUE"""),45097)</f>
        <v>45097</v>
      </c>
      <c r="BH295" s="40" t="str">
        <f ca="1">IFERROR(__xludf.DUMMYFUNCTION("""COMPUTED_VALUE"""),"FICHA EN TIEMPO-18 MESES")</f>
        <v>FICHA EN TIEMPO-18 MESES</v>
      </c>
      <c r="BI295" s="40" t="str">
        <f ca="1">IFERROR(__xludf.DUMMYFUNCTION("""COMPUTED_VALUE"""),"Terminada por fecha")</f>
        <v>Terminada por fecha</v>
      </c>
      <c r="BJ295" s="40" t="str">
        <f ca="1">IFERROR(__xludf.DUMMYFUNCTION("""COMPUTED_VALUE"""),"Yamboro")</f>
        <v>Yamboro</v>
      </c>
      <c r="BK295" s="40"/>
      <c r="BL295" s="40"/>
    </row>
    <row r="296" spans="1:64" ht="13">
      <c r="A296" s="40"/>
      <c r="B296" s="40" t="str">
        <f ca="1">IFERROR(__xludf.DUMMYFUNCTION("""COMPUTED_VALUE"""),"FORMACIÓN 18/10/2022")</f>
        <v>FORMACIÓN 18/10/2022</v>
      </c>
      <c r="C296" s="40" t="str">
        <f ca="1">IFERROR(__xludf.DUMMYFUNCTION("""COMPUTED_VALUE"""),"CARLOS ROBERTO CHAVARRO TOVAR")</f>
        <v>CARLOS ROBERTO CHAVARRO TOVAR</v>
      </c>
      <c r="D296" s="40" t="str">
        <f ca="1">IFERROR(__xludf.DUMMYFUNCTION("""COMPUTED_VALUE"""),"CC")</f>
        <v>CC</v>
      </c>
      <c r="E296" s="40">
        <f ca="1">IFERROR(__xludf.DUMMYFUNCTION("""COMPUTED_VALUE"""),1082775179)</f>
        <v>1082775179</v>
      </c>
      <c r="F296" s="40">
        <f ca="1">IFERROR(__xludf.DUMMYFUNCTION("""COMPUTED_VALUE"""),2206479)</f>
        <v>2206479</v>
      </c>
      <c r="G296" s="40" t="str">
        <f ca="1">IFERROR(__xludf.DUMMYFUNCTION("""COMPUTED_VALUE"""),"TÉCNICO")</f>
        <v>TÉCNICO</v>
      </c>
      <c r="H296" s="40" t="str">
        <f ca="1">IFERROR(__xludf.DUMMYFUNCTION("""COMPUTED_VALUE"""),"CONSTRUCCION, MANTENIMIENTO Y REPARACION DE ESTRUCTURAS EN GUADUA")</f>
        <v>CONSTRUCCION, MANTENIMIENTO Y REPARACION DE ESTRUCTURAS EN GUADUA</v>
      </c>
      <c r="I296" s="40"/>
      <c r="J296" s="40"/>
      <c r="K296" s="40"/>
      <c r="L296" s="40" t="str">
        <f ca="1">IFERROR(__xludf.DUMMYFUNCTION("""COMPUTED_VALUE"""),"NO HA INICIADO ETAPA PRODUCTIVA")</f>
        <v>NO HA INICIADO ETAPA PRODUCTIVA</v>
      </c>
      <c r="M296" s="40"/>
      <c r="N296" s="40"/>
      <c r="O296" s="40"/>
      <c r="P296" s="40"/>
      <c r="Q296" s="40"/>
      <c r="R296" s="140"/>
      <c r="S296" s="1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t="str">
        <f ca="1">IFERROR(__xludf.DUMMYFUNCTION("""COMPUTED_VALUE"""),"NO_CUMPLE")</f>
        <v>NO_CUMPLE</v>
      </c>
      <c r="AV296" s="40" t="str">
        <f ca="1">IFERROR(__xludf.DUMMYFUNCTION("""COMPUTED_VALUE"""),"EN FORMACION")</f>
        <v>EN FORMACION</v>
      </c>
      <c r="AW296" s="40" t="str">
        <f ca="1">IFERROR(__xludf.DUMMYFUNCTION("""COMPUTED_VALUE"""),"BIOCONSTRUCCION")</f>
        <v>BIOCONSTRUCCION</v>
      </c>
      <c r="AX296" s="141">
        <f ca="1">IFERROR(__xludf.DUMMYFUNCTION("""COMPUTED_VALUE"""),44848)</f>
        <v>44848</v>
      </c>
      <c r="AY296" s="40">
        <f ca="1">IFERROR(__xludf.DUMMYFUNCTION("""COMPUTED_VALUE"""),24)</f>
        <v>24</v>
      </c>
      <c r="AZ296" s="40">
        <f ca="1">IFERROR(__xludf.DUMMYFUNCTION("""COMPUTED_VALUE"""),1)</f>
        <v>1</v>
      </c>
      <c r="BA296" s="40">
        <f ca="1">IFERROR(__xludf.DUMMYFUNCTION("""COMPUTED_VALUE"""),6)</f>
        <v>6</v>
      </c>
      <c r="BB296" s="40">
        <f ca="1">IFERROR(__xludf.DUMMYFUNCTION("""COMPUTED_VALUE"""),10)</f>
        <v>10</v>
      </c>
      <c r="BC296" s="40">
        <f ca="1">IFERROR(__xludf.DUMMYFUNCTION("""COMPUTED_VALUE"""),41)</f>
        <v>41</v>
      </c>
      <c r="BD296" s="141">
        <f ca="1">IFERROR(__xludf.DUMMYFUNCTION("""COMPUTED_VALUE"""),44094)</f>
        <v>44094</v>
      </c>
      <c r="BE296" s="141">
        <f ca="1">IFERROR(__xludf.DUMMYFUNCTION("""COMPUTED_VALUE"""),44367)</f>
        <v>44367</v>
      </c>
      <c r="BF296" s="141">
        <f ca="1">IFERROR(__xludf.DUMMYFUNCTION("""COMPUTED_VALUE"""),44550)</f>
        <v>44550</v>
      </c>
      <c r="BG296" s="141">
        <f ca="1">IFERROR(__xludf.DUMMYFUNCTION("""COMPUTED_VALUE"""),45097)</f>
        <v>45097</v>
      </c>
      <c r="BH296" s="40" t="str">
        <f ca="1">IFERROR(__xludf.DUMMYFUNCTION("""COMPUTED_VALUE"""),"FICHA EN TIEMPO-18 MESES")</f>
        <v>FICHA EN TIEMPO-18 MESES</v>
      </c>
      <c r="BI296" s="40" t="str">
        <f ca="1">IFERROR(__xludf.DUMMYFUNCTION("""COMPUTED_VALUE"""),"Terminada por fecha")</f>
        <v>Terminada por fecha</v>
      </c>
      <c r="BJ296" s="40" t="str">
        <f ca="1">IFERROR(__xludf.DUMMYFUNCTION("""COMPUTED_VALUE"""),"Yamboro")</f>
        <v>Yamboro</v>
      </c>
      <c r="BK296" s="40"/>
      <c r="BL296" s="40"/>
    </row>
    <row r="297" spans="1:64" ht="13">
      <c r="A297" s="40"/>
      <c r="B297" s="40" t="str">
        <f ca="1">IFERROR(__xludf.DUMMYFUNCTION("""COMPUTED_VALUE"""),"FORMACIÓN 18/10/2022")</f>
        <v>FORMACIÓN 18/10/2022</v>
      </c>
      <c r="C297" s="40" t="str">
        <f ca="1">IFERROR(__xludf.DUMMYFUNCTION("""COMPUTED_VALUE"""),"EDICSON JUSPIAN JIMENEZ")</f>
        <v>EDICSON JUSPIAN JIMENEZ</v>
      </c>
      <c r="D297" s="40" t="str">
        <f ca="1">IFERROR(__xludf.DUMMYFUNCTION("""COMPUTED_VALUE"""),"CC")</f>
        <v>CC</v>
      </c>
      <c r="E297" s="40">
        <f ca="1">IFERROR(__xludf.DUMMYFUNCTION("""COMPUTED_VALUE"""),1082777901)</f>
        <v>1082777901</v>
      </c>
      <c r="F297" s="40">
        <f ca="1">IFERROR(__xludf.DUMMYFUNCTION("""COMPUTED_VALUE"""),2206479)</f>
        <v>2206479</v>
      </c>
      <c r="G297" s="40" t="str">
        <f ca="1">IFERROR(__xludf.DUMMYFUNCTION("""COMPUTED_VALUE"""),"TÉCNICO")</f>
        <v>TÉCNICO</v>
      </c>
      <c r="H297" s="40" t="str">
        <f ca="1">IFERROR(__xludf.DUMMYFUNCTION("""COMPUTED_VALUE"""),"CONSTRUCCION, MANTENIMIENTO Y REPARACION DE ESTRUCTURAS EN GUADUA")</f>
        <v>CONSTRUCCION, MANTENIMIENTO Y REPARACION DE ESTRUCTURAS EN GUADUA</v>
      </c>
      <c r="I297" s="40"/>
      <c r="J297" s="40"/>
      <c r="K297" s="40"/>
      <c r="L297" s="40" t="str">
        <f ca="1">IFERROR(__xludf.DUMMYFUNCTION("""COMPUTED_VALUE"""),"NO TIENE LEGALIZACIÓN")</f>
        <v>NO TIENE LEGALIZACIÓN</v>
      </c>
      <c r="M297" s="40" t="str">
        <f ca="1">IFERROR(__xludf.DUMMYFUNCTION("""COMPUTED_VALUE"""),"3,9, 10 y 12 ")</f>
        <v xml:space="preserve">3,9, 10 y 12 </v>
      </c>
      <c r="N297" s="40"/>
      <c r="O297" s="40"/>
      <c r="P297" s="40"/>
      <c r="Q297" s="40"/>
      <c r="R297" s="140"/>
      <c r="S297" s="140"/>
      <c r="T297" s="40" t="str">
        <f ca="1">IFERROR(__xludf.DUMMYFUNCTION("""COMPUTED_VALUE"""),"NO tiene legalización - final, certificación y bitácoras 1,2,4,5,6,7,8 y 11... Falta bitácoras 3,9, 10 y 12 .... Revisado 16/08/2022")</f>
        <v>NO tiene legalización - final, certificación y bitácoras 1,2,4,5,6,7,8 y 11... Falta bitácoras 3,9, 10 y 12 .... Revisado 16/08/2022</v>
      </c>
      <c r="U297" s="40" t="str">
        <f ca="1">IFERROR(__xludf.DUMMYFUNCTION("""COMPUTED_VALUE"""),"JOSE URIEL SALAS LONDOÑO - Subió inal, certificación y bitácoras 1,2,4,5,6,7,8 y 11...Revisado 16/08/2022")</f>
        <v>JOSE URIEL SALAS LONDOÑO - Subió inal, certificación y bitácoras 1,2,4,5,6,7,8 y 11...Revisado 16/08/2022</v>
      </c>
      <c r="V297" s="40" t="str">
        <f ca="1">IFERROR(__xludf.DUMMYFUNCTION("""COMPUTED_VALUE"""),"SI tiene seguimiento 16/08/2022")</f>
        <v>SI tiene seguimiento 16/08/2022</v>
      </c>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t="str">
        <f ca="1">IFERROR(__xludf.DUMMYFUNCTION("""COMPUTED_VALUE"""),"NO_CUMPLE")</f>
        <v>NO_CUMPLE</v>
      </c>
      <c r="AV297" s="40" t="str">
        <f ca="1">IFERROR(__xludf.DUMMYFUNCTION("""COMPUTED_VALUE"""),"EN FORMACION")</f>
        <v>EN FORMACION</v>
      </c>
      <c r="AW297" s="40" t="str">
        <f ca="1">IFERROR(__xludf.DUMMYFUNCTION("""COMPUTED_VALUE"""),"BIOCONSTRUCCION")</f>
        <v>BIOCONSTRUCCION</v>
      </c>
      <c r="AX297" s="141">
        <f ca="1">IFERROR(__xludf.DUMMYFUNCTION("""COMPUTED_VALUE"""),44848)</f>
        <v>44848</v>
      </c>
      <c r="AY297" s="40">
        <f ca="1">IFERROR(__xludf.DUMMYFUNCTION("""COMPUTED_VALUE"""),5)</f>
        <v>5</v>
      </c>
      <c r="AZ297" s="40">
        <f ca="1">IFERROR(__xludf.DUMMYFUNCTION("""COMPUTED_VALUE"""),1)</f>
        <v>1</v>
      </c>
      <c r="BA297" s="40">
        <f ca="1">IFERROR(__xludf.DUMMYFUNCTION("""COMPUTED_VALUE"""),0)</f>
        <v>0</v>
      </c>
      <c r="BB297" s="40">
        <f ca="1">IFERROR(__xludf.DUMMYFUNCTION("""COMPUTED_VALUE"""),0)</f>
        <v>0</v>
      </c>
      <c r="BC297" s="40">
        <f ca="1">IFERROR(__xludf.DUMMYFUNCTION("""COMPUTED_VALUE"""),6)</f>
        <v>6</v>
      </c>
      <c r="BD297" s="141">
        <f ca="1">IFERROR(__xludf.DUMMYFUNCTION("""COMPUTED_VALUE"""),44094)</f>
        <v>44094</v>
      </c>
      <c r="BE297" s="141">
        <f ca="1">IFERROR(__xludf.DUMMYFUNCTION("""COMPUTED_VALUE"""),44367)</f>
        <v>44367</v>
      </c>
      <c r="BF297" s="141">
        <f ca="1">IFERROR(__xludf.DUMMYFUNCTION("""COMPUTED_VALUE"""),44550)</f>
        <v>44550</v>
      </c>
      <c r="BG297" s="141">
        <f ca="1">IFERROR(__xludf.DUMMYFUNCTION("""COMPUTED_VALUE"""),45097)</f>
        <v>45097</v>
      </c>
      <c r="BH297" s="40" t="str">
        <f ca="1">IFERROR(__xludf.DUMMYFUNCTION("""COMPUTED_VALUE"""),"FICHA EN TIEMPO-18 MESES")</f>
        <v>FICHA EN TIEMPO-18 MESES</v>
      </c>
      <c r="BI297" s="40" t="str">
        <f ca="1">IFERROR(__xludf.DUMMYFUNCTION("""COMPUTED_VALUE"""),"Terminada por fecha")</f>
        <v>Terminada por fecha</v>
      </c>
      <c r="BJ297" s="40" t="str">
        <f ca="1">IFERROR(__xludf.DUMMYFUNCTION("""COMPUTED_VALUE"""),"Yamboro")</f>
        <v>Yamboro</v>
      </c>
      <c r="BK297" s="40"/>
      <c r="BL297" s="40"/>
    </row>
    <row r="298" spans="1:64" ht="13">
      <c r="A298" s="40"/>
      <c r="B298" s="40" t="str">
        <f ca="1">IFERROR(__xludf.DUMMYFUNCTION("""COMPUTED_VALUE"""),"FORMACIÓN 18/10/2022")</f>
        <v>FORMACIÓN 18/10/2022</v>
      </c>
      <c r="C298" s="40" t="str">
        <f ca="1">IFERROR(__xludf.DUMMYFUNCTION("""COMPUTED_VALUE"""),"SANTIAGO CHATES CHIMUNJA")</f>
        <v>SANTIAGO CHATES CHIMUNJA</v>
      </c>
      <c r="D298" s="40" t="str">
        <f ca="1">IFERROR(__xludf.DUMMYFUNCTION("""COMPUTED_VALUE"""),"CC")</f>
        <v>CC</v>
      </c>
      <c r="E298" s="40">
        <f ca="1">IFERROR(__xludf.DUMMYFUNCTION("""COMPUTED_VALUE"""),1082779843)</f>
        <v>1082779843</v>
      </c>
      <c r="F298" s="40">
        <f ca="1">IFERROR(__xludf.DUMMYFUNCTION("""COMPUTED_VALUE"""),2206479)</f>
        <v>2206479</v>
      </c>
      <c r="G298" s="40" t="str">
        <f ca="1">IFERROR(__xludf.DUMMYFUNCTION("""COMPUTED_VALUE"""),"TÉCNICO")</f>
        <v>TÉCNICO</v>
      </c>
      <c r="H298" s="40" t="str">
        <f ca="1">IFERROR(__xludf.DUMMYFUNCTION("""COMPUTED_VALUE"""),"CONSTRUCCION, MANTENIMIENTO Y REPARACION DE ESTRUCTURAS EN GUADUA")</f>
        <v>CONSTRUCCION, MANTENIMIENTO Y REPARACION DE ESTRUCTURAS EN GUADUA</v>
      </c>
      <c r="I298" s="40"/>
      <c r="J298" s="40"/>
      <c r="K298" s="40"/>
      <c r="L298" s="40" t="str">
        <f ca="1">IFERROR(__xludf.DUMMYFUNCTION("""COMPUTED_VALUE"""),"NO HA INICIADO ETAPA PRODUCTIVA")</f>
        <v>NO HA INICIADO ETAPA PRODUCTIVA</v>
      </c>
      <c r="M298" s="40"/>
      <c r="N298" s="40"/>
      <c r="O298" s="40"/>
      <c r="P298" s="40"/>
      <c r="Q298" s="40"/>
      <c r="R298" s="140"/>
      <c r="S298" s="1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t="str">
        <f ca="1">IFERROR(__xludf.DUMMYFUNCTION("""COMPUTED_VALUE"""),"NO_CUMPLE")</f>
        <v>NO_CUMPLE</v>
      </c>
      <c r="AV298" s="40" t="str">
        <f ca="1">IFERROR(__xludf.DUMMYFUNCTION("""COMPUTED_VALUE"""),"EN FORMACION")</f>
        <v>EN FORMACION</v>
      </c>
      <c r="AW298" s="40" t="str">
        <f ca="1">IFERROR(__xludf.DUMMYFUNCTION("""COMPUTED_VALUE"""),"BIOCONSTRUCCION")</f>
        <v>BIOCONSTRUCCION</v>
      </c>
      <c r="AX298" s="141">
        <f ca="1">IFERROR(__xludf.DUMMYFUNCTION("""COMPUTED_VALUE"""),44848)</f>
        <v>44848</v>
      </c>
      <c r="AY298" s="40">
        <f ca="1">IFERROR(__xludf.DUMMYFUNCTION("""COMPUTED_VALUE"""),12)</f>
        <v>12</v>
      </c>
      <c r="AZ298" s="40">
        <f ca="1">IFERROR(__xludf.DUMMYFUNCTION("""COMPUTED_VALUE"""),1)</f>
        <v>1</v>
      </c>
      <c r="BA298" s="40">
        <f ca="1">IFERROR(__xludf.DUMMYFUNCTION("""COMPUTED_VALUE"""),0)</f>
        <v>0</v>
      </c>
      <c r="BB298" s="40">
        <f ca="1">IFERROR(__xludf.DUMMYFUNCTION("""COMPUTED_VALUE"""),0)</f>
        <v>0</v>
      </c>
      <c r="BC298" s="40">
        <f ca="1">IFERROR(__xludf.DUMMYFUNCTION("""COMPUTED_VALUE"""),13)</f>
        <v>13</v>
      </c>
      <c r="BD298" s="141">
        <f ca="1">IFERROR(__xludf.DUMMYFUNCTION("""COMPUTED_VALUE"""),44094)</f>
        <v>44094</v>
      </c>
      <c r="BE298" s="141">
        <f ca="1">IFERROR(__xludf.DUMMYFUNCTION("""COMPUTED_VALUE"""),44367)</f>
        <v>44367</v>
      </c>
      <c r="BF298" s="141">
        <f ca="1">IFERROR(__xludf.DUMMYFUNCTION("""COMPUTED_VALUE"""),44550)</f>
        <v>44550</v>
      </c>
      <c r="BG298" s="141">
        <f ca="1">IFERROR(__xludf.DUMMYFUNCTION("""COMPUTED_VALUE"""),45097)</f>
        <v>45097</v>
      </c>
      <c r="BH298" s="40" t="str">
        <f ca="1">IFERROR(__xludf.DUMMYFUNCTION("""COMPUTED_VALUE"""),"FICHA EN TIEMPO-18 MESES")</f>
        <v>FICHA EN TIEMPO-18 MESES</v>
      </c>
      <c r="BI298" s="40" t="str">
        <f ca="1">IFERROR(__xludf.DUMMYFUNCTION("""COMPUTED_VALUE"""),"Terminada por fecha")</f>
        <v>Terminada por fecha</v>
      </c>
      <c r="BJ298" s="40" t="str">
        <f ca="1">IFERROR(__xludf.DUMMYFUNCTION("""COMPUTED_VALUE"""),"Yamboro")</f>
        <v>Yamboro</v>
      </c>
      <c r="BK298" s="40"/>
      <c r="BL298" s="40"/>
    </row>
    <row r="299" spans="1:64" ht="13">
      <c r="A299" s="40"/>
      <c r="B299" s="40" t="str">
        <f ca="1">IFERROR(__xludf.DUMMYFUNCTION("""COMPUTED_VALUE"""),"FORMACIÓN 18/10/2022")</f>
        <v>FORMACIÓN 18/10/2022</v>
      </c>
      <c r="C299" s="40" t="str">
        <f ca="1">IFERROR(__xludf.DUMMYFUNCTION("""COMPUTED_VALUE"""),"DIEGO FERNANDO IMBACHI SAMBONI")</f>
        <v>DIEGO FERNANDO IMBACHI SAMBONI</v>
      </c>
      <c r="D299" s="40" t="str">
        <f ca="1">IFERROR(__xludf.DUMMYFUNCTION("""COMPUTED_VALUE"""),"CC")</f>
        <v>CC</v>
      </c>
      <c r="E299" s="40">
        <f ca="1">IFERROR(__xludf.DUMMYFUNCTION("""COMPUTED_VALUE"""),1082780239)</f>
        <v>1082780239</v>
      </c>
      <c r="F299" s="40">
        <f ca="1">IFERROR(__xludf.DUMMYFUNCTION("""COMPUTED_VALUE"""),2206479)</f>
        <v>2206479</v>
      </c>
      <c r="G299" s="40" t="str">
        <f ca="1">IFERROR(__xludf.DUMMYFUNCTION("""COMPUTED_VALUE"""),"TÉCNICO")</f>
        <v>TÉCNICO</v>
      </c>
      <c r="H299" s="40" t="str">
        <f ca="1">IFERROR(__xludf.DUMMYFUNCTION("""COMPUTED_VALUE"""),"CONSTRUCCION, MANTENIMIENTO Y REPARACION DE ESTRUCTURAS EN GUADUA")</f>
        <v>CONSTRUCCION, MANTENIMIENTO Y REPARACION DE ESTRUCTURAS EN GUADUA</v>
      </c>
      <c r="I299" s="40"/>
      <c r="J299" s="40"/>
      <c r="K299" s="40"/>
      <c r="L299" s="40" t="str">
        <f ca="1">IFERROR(__xludf.DUMMYFUNCTION("""COMPUTED_VALUE"""),"NO HA INICIADO ETAPA PRODUCTIVA")</f>
        <v>NO HA INICIADO ETAPA PRODUCTIVA</v>
      </c>
      <c r="M299" s="40"/>
      <c r="N299" s="40"/>
      <c r="O299" s="40"/>
      <c r="P299" s="40"/>
      <c r="Q299" s="40"/>
      <c r="R299" s="140"/>
      <c r="S299" s="1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t="str">
        <f ca="1">IFERROR(__xludf.DUMMYFUNCTION("""COMPUTED_VALUE"""),"NO_CUMPLE")</f>
        <v>NO_CUMPLE</v>
      </c>
      <c r="AV299" s="40" t="str">
        <f ca="1">IFERROR(__xludf.DUMMYFUNCTION("""COMPUTED_VALUE"""),"EN FORMACION")</f>
        <v>EN FORMACION</v>
      </c>
      <c r="AW299" s="40" t="str">
        <f ca="1">IFERROR(__xludf.DUMMYFUNCTION("""COMPUTED_VALUE"""),"BIOCONSTRUCCION")</f>
        <v>BIOCONSTRUCCION</v>
      </c>
      <c r="AX299" s="141">
        <f ca="1">IFERROR(__xludf.DUMMYFUNCTION("""COMPUTED_VALUE"""),44848)</f>
        <v>44848</v>
      </c>
      <c r="AY299" s="40">
        <f ca="1">IFERROR(__xludf.DUMMYFUNCTION("""COMPUTED_VALUE"""),27)</f>
        <v>27</v>
      </c>
      <c r="AZ299" s="40">
        <f ca="1">IFERROR(__xludf.DUMMYFUNCTION("""COMPUTED_VALUE"""),1)</f>
        <v>1</v>
      </c>
      <c r="BA299" s="40">
        <f ca="1">IFERROR(__xludf.DUMMYFUNCTION("""COMPUTED_VALUE"""),6)</f>
        <v>6</v>
      </c>
      <c r="BB299" s="40">
        <f ca="1">IFERROR(__xludf.DUMMYFUNCTION("""COMPUTED_VALUE"""),10)</f>
        <v>10</v>
      </c>
      <c r="BC299" s="40">
        <f ca="1">IFERROR(__xludf.DUMMYFUNCTION("""COMPUTED_VALUE"""),44)</f>
        <v>44</v>
      </c>
      <c r="BD299" s="141">
        <f ca="1">IFERROR(__xludf.DUMMYFUNCTION("""COMPUTED_VALUE"""),44094)</f>
        <v>44094</v>
      </c>
      <c r="BE299" s="141">
        <f ca="1">IFERROR(__xludf.DUMMYFUNCTION("""COMPUTED_VALUE"""),44367)</f>
        <v>44367</v>
      </c>
      <c r="BF299" s="141">
        <f ca="1">IFERROR(__xludf.DUMMYFUNCTION("""COMPUTED_VALUE"""),44550)</f>
        <v>44550</v>
      </c>
      <c r="BG299" s="141">
        <f ca="1">IFERROR(__xludf.DUMMYFUNCTION("""COMPUTED_VALUE"""),45097)</f>
        <v>45097</v>
      </c>
      <c r="BH299" s="40" t="str">
        <f ca="1">IFERROR(__xludf.DUMMYFUNCTION("""COMPUTED_VALUE"""),"FICHA EN TIEMPO-18 MESES")</f>
        <v>FICHA EN TIEMPO-18 MESES</v>
      </c>
      <c r="BI299" s="40" t="str">
        <f ca="1">IFERROR(__xludf.DUMMYFUNCTION("""COMPUTED_VALUE"""),"Terminada por fecha")</f>
        <v>Terminada por fecha</v>
      </c>
      <c r="BJ299" s="40" t="str">
        <f ca="1">IFERROR(__xludf.DUMMYFUNCTION("""COMPUTED_VALUE"""),"Yamboro")</f>
        <v>Yamboro</v>
      </c>
      <c r="BK299" s="40"/>
      <c r="BL299" s="40"/>
    </row>
    <row r="300" spans="1:64" ht="13">
      <c r="A300" s="40"/>
      <c r="B300" s="40" t="str">
        <f ca="1">IFERROR(__xludf.DUMMYFUNCTION("""COMPUTED_VALUE"""),"FORMACIÓN 18/10/2022")</f>
        <v>FORMACIÓN 18/10/2022</v>
      </c>
      <c r="C300" s="40" t="str">
        <f ca="1">IFERROR(__xludf.DUMMYFUNCTION("""COMPUTED_VALUE"""),"JHON FREDY CHAVARRO TOBAR")</f>
        <v>JHON FREDY CHAVARRO TOBAR</v>
      </c>
      <c r="D300" s="40" t="str">
        <f ca="1">IFERROR(__xludf.DUMMYFUNCTION("""COMPUTED_VALUE"""),"CC")</f>
        <v>CC</v>
      </c>
      <c r="E300" s="40">
        <f ca="1">IFERROR(__xludf.DUMMYFUNCTION("""COMPUTED_VALUE"""),1082780500)</f>
        <v>1082780500</v>
      </c>
      <c r="F300" s="40">
        <f ca="1">IFERROR(__xludf.DUMMYFUNCTION("""COMPUTED_VALUE"""),2206479)</f>
        <v>2206479</v>
      </c>
      <c r="G300" s="40" t="str">
        <f ca="1">IFERROR(__xludf.DUMMYFUNCTION("""COMPUTED_VALUE"""),"TÉCNICO")</f>
        <v>TÉCNICO</v>
      </c>
      <c r="H300" s="40" t="str">
        <f ca="1">IFERROR(__xludf.DUMMYFUNCTION("""COMPUTED_VALUE"""),"CONSTRUCCION, MANTENIMIENTO Y REPARACION DE ESTRUCTURAS EN GUADUA")</f>
        <v>CONSTRUCCION, MANTENIMIENTO Y REPARACION DE ESTRUCTURAS EN GUADUA</v>
      </c>
      <c r="I300" s="40"/>
      <c r="J300" s="40"/>
      <c r="K300" s="40"/>
      <c r="L300" s="40" t="str">
        <f ca="1">IFERROR(__xludf.DUMMYFUNCTION("""COMPUTED_VALUE"""),"NO HA INICIADO ETAPA PRODUCTIVA")</f>
        <v>NO HA INICIADO ETAPA PRODUCTIVA</v>
      </c>
      <c r="M300" s="40"/>
      <c r="N300" s="40"/>
      <c r="O300" s="40"/>
      <c r="P300" s="40"/>
      <c r="Q300" s="40"/>
      <c r="R300" s="140"/>
      <c r="S300" s="1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t="str">
        <f ca="1">IFERROR(__xludf.DUMMYFUNCTION("""COMPUTED_VALUE"""),"NO_CUMPLE")</f>
        <v>NO_CUMPLE</v>
      </c>
      <c r="AV300" s="40" t="str">
        <f ca="1">IFERROR(__xludf.DUMMYFUNCTION("""COMPUTED_VALUE"""),"EN FORMACION")</f>
        <v>EN FORMACION</v>
      </c>
      <c r="AW300" s="40" t="str">
        <f ca="1">IFERROR(__xludf.DUMMYFUNCTION("""COMPUTED_VALUE"""),"BIOCONSTRUCCION")</f>
        <v>BIOCONSTRUCCION</v>
      </c>
      <c r="AX300" s="141">
        <f ca="1">IFERROR(__xludf.DUMMYFUNCTION("""COMPUTED_VALUE"""),44848)</f>
        <v>44848</v>
      </c>
      <c r="AY300" s="40">
        <f ca="1">IFERROR(__xludf.DUMMYFUNCTION("""COMPUTED_VALUE"""),24)</f>
        <v>24</v>
      </c>
      <c r="AZ300" s="40">
        <f ca="1">IFERROR(__xludf.DUMMYFUNCTION("""COMPUTED_VALUE"""),1)</f>
        <v>1</v>
      </c>
      <c r="BA300" s="40">
        <f ca="1">IFERROR(__xludf.DUMMYFUNCTION("""COMPUTED_VALUE"""),6)</f>
        <v>6</v>
      </c>
      <c r="BB300" s="40">
        <f ca="1">IFERROR(__xludf.DUMMYFUNCTION("""COMPUTED_VALUE"""),10)</f>
        <v>10</v>
      </c>
      <c r="BC300" s="40">
        <f ca="1">IFERROR(__xludf.DUMMYFUNCTION("""COMPUTED_VALUE"""),41)</f>
        <v>41</v>
      </c>
      <c r="BD300" s="141">
        <f ca="1">IFERROR(__xludf.DUMMYFUNCTION("""COMPUTED_VALUE"""),44094)</f>
        <v>44094</v>
      </c>
      <c r="BE300" s="141">
        <f ca="1">IFERROR(__xludf.DUMMYFUNCTION("""COMPUTED_VALUE"""),44367)</f>
        <v>44367</v>
      </c>
      <c r="BF300" s="141">
        <f ca="1">IFERROR(__xludf.DUMMYFUNCTION("""COMPUTED_VALUE"""),44550)</f>
        <v>44550</v>
      </c>
      <c r="BG300" s="141">
        <f ca="1">IFERROR(__xludf.DUMMYFUNCTION("""COMPUTED_VALUE"""),45097)</f>
        <v>45097</v>
      </c>
      <c r="BH300" s="40" t="str">
        <f ca="1">IFERROR(__xludf.DUMMYFUNCTION("""COMPUTED_VALUE"""),"FICHA EN TIEMPO-18 MESES")</f>
        <v>FICHA EN TIEMPO-18 MESES</v>
      </c>
      <c r="BI300" s="40" t="str">
        <f ca="1">IFERROR(__xludf.DUMMYFUNCTION("""COMPUTED_VALUE"""),"Terminada por fecha")</f>
        <v>Terminada por fecha</v>
      </c>
      <c r="BJ300" s="40" t="str">
        <f ca="1">IFERROR(__xludf.DUMMYFUNCTION("""COMPUTED_VALUE"""),"Yamboro")</f>
        <v>Yamboro</v>
      </c>
      <c r="BK300" s="40"/>
      <c r="BL300" s="40"/>
    </row>
    <row r="301" spans="1:64" ht="13">
      <c r="A301" s="40"/>
      <c r="B301" s="40" t="str">
        <f ca="1">IFERROR(__xludf.DUMMYFUNCTION("""COMPUTED_VALUE"""),"FORMACIÓN 18/10/2022")</f>
        <v>FORMACIÓN 18/10/2022</v>
      </c>
      <c r="C301" s="40" t="str">
        <f ca="1">IFERROR(__xludf.DUMMYFUNCTION("""COMPUTED_VALUE"""),"YEXICA LILIANA OMEN CORDOBA")</f>
        <v>YEXICA LILIANA OMEN CORDOBA</v>
      </c>
      <c r="D301" s="40" t="str">
        <f ca="1">IFERROR(__xludf.DUMMYFUNCTION("""COMPUTED_VALUE"""),"CC")</f>
        <v>CC</v>
      </c>
      <c r="E301" s="40">
        <f ca="1">IFERROR(__xludf.DUMMYFUNCTION("""COMPUTED_VALUE"""),1082780882)</f>
        <v>1082780882</v>
      </c>
      <c r="F301" s="40">
        <f ca="1">IFERROR(__xludf.DUMMYFUNCTION("""COMPUTED_VALUE"""),2206479)</f>
        <v>2206479</v>
      </c>
      <c r="G301" s="40" t="str">
        <f ca="1">IFERROR(__xludf.DUMMYFUNCTION("""COMPUTED_VALUE"""),"TÉCNICO")</f>
        <v>TÉCNICO</v>
      </c>
      <c r="H301" s="40" t="str">
        <f ca="1">IFERROR(__xludf.DUMMYFUNCTION("""COMPUTED_VALUE"""),"CONSTRUCCION, MANTENIMIENTO Y REPARACION DE ESTRUCTURAS EN GUADUA")</f>
        <v>CONSTRUCCION, MANTENIMIENTO Y REPARACION DE ESTRUCTURAS EN GUADUA</v>
      </c>
      <c r="I301" s="40"/>
      <c r="J301" s="40"/>
      <c r="K301" s="40"/>
      <c r="L301" s="40" t="str">
        <f ca="1">IFERROR(__xludf.DUMMYFUNCTION("""COMPUTED_VALUE"""),"NO HA INICIADO ETAPA PRODUCTIVA")</f>
        <v>NO HA INICIADO ETAPA PRODUCTIVA</v>
      </c>
      <c r="M301" s="40"/>
      <c r="N301" s="40"/>
      <c r="O301" s="40"/>
      <c r="P301" s="40"/>
      <c r="Q301" s="40"/>
      <c r="R301" s="140"/>
      <c r="S301" s="1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t="str">
        <f ca="1">IFERROR(__xludf.DUMMYFUNCTION("""COMPUTED_VALUE"""),"NO_CUMPLE")</f>
        <v>NO_CUMPLE</v>
      </c>
      <c r="AV301" s="40" t="str">
        <f ca="1">IFERROR(__xludf.DUMMYFUNCTION("""COMPUTED_VALUE"""),"EN FORMACION")</f>
        <v>EN FORMACION</v>
      </c>
      <c r="AW301" s="40" t="str">
        <f ca="1">IFERROR(__xludf.DUMMYFUNCTION("""COMPUTED_VALUE"""),"BIOCONSTRUCCION")</f>
        <v>BIOCONSTRUCCION</v>
      </c>
      <c r="AX301" s="141">
        <f ca="1">IFERROR(__xludf.DUMMYFUNCTION("""COMPUTED_VALUE"""),44848)</f>
        <v>44848</v>
      </c>
      <c r="AY301" s="40">
        <f ca="1">IFERROR(__xludf.DUMMYFUNCTION("""COMPUTED_VALUE"""),4)</f>
        <v>4</v>
      </c>
      <c r="AZ301" s="40">
        <f ca="1">IFERROR(__xludf.DUMMYFUNCTION("""COMPUTED_VALUE"""),1)</f>
        <v>1</v>
      </c>
      <c r="BA301" s="40">
        <f ca="1">IFERROR(__xludf.DUMMYFUNCTION("""COMPUTED_VALUE"""),0)</f>
        <v>0</v>
      </c>
      <c r="BB301" s="40">
        <f ca="1">IFERROR(__xludf.DUMMYFUNCTION("""COMPUTED_VALUE"""),0)</f>
        <v>0</v>
      </c>
      <c r="BC301" s="40">
        <f ca="1">IFERROR(__xludf.DUMMYFUNCTION("""COMPUTED_VALUE"""),5)</f>
        <v>5</v>
      </c>
      <c r="BD301" s="141">
        <f ca="1">IFERROR(__xludf.DUMMYFUNCTION("""COMPUTED_VALUE"""),44094)</f>
        <v>44094</v>
      </c>
      <c r="BE301" s="141">
        <f ca="1">IFERROR(__xludf.DUMMYFUNCTION("""COMPUTED_VALUE"""),44367)</f>
        <v>44367</v>
      </c>
      <c r="BF301" s="141">
        <f ca="1">IFERROR(__xludf.DUMMYFUNCTION("""COMPUTED_VALUE"""),44550)</f>
        <v>44550</v>
      </c>
      <c r="BG301" s="141">
        <f ca="1">IFERROR(__xludf.DUMMYFUNCTION("""COMPUTED_VALUE"""),45097)</f>
        <v>45097</v>
      </c>
      <c r="BH301" s="40" t="str">
        <f ca="1">IFERROR(__xludf.DUMMYFUNCTION("""COMPUTED_VALUE"""),"FICHA EN TIEMPO-18 MESES")</f>
        <v>FICHA EN TIEMPO-18 MESES</v>
      </c>
      <c r="BI301" s="40" t="str">
        <f ca="1">IFERROR(__xludf.DUMMYFUNCTION("""COMPUTED_VALUE"""),"Terminada por fecha")</f>
        <v>Terminada por fecha</v>
      </c>
      <c r="BJ301" s="40" t="str">
        <f ca="1">IFERROR(__xludf.DUMMYFUNCTION("""COMPUTED_VALUE"""),"Yamboro")</f>
        <v>Yamboro</v>
      </c>
      <c r="BK301" s="40"/>
      <c r="BL301" s="40"/>
    </row>
    <row r="302" spans="1:64" ht="13">
      <c r="A302" s="40"/>
      <c r="B302" s="40" t="str">
        <f ca="1">IFERROR(__xludf.DUMMYFUNCTION("""COMPUTED_VALUE"""),"FORMACIÓN 18/10/2022")</f>
        <v>FORMACIÓN 18/10/2022</v>
      </c>
      <c r="C302" s="40" t="str">
        <f ca="1">IFERROR(__xludf.DUMMYFUNCTION("""COMPUTED_VALUE"""),"MAYERLY SENETH BOLAÑOS LOPEZ")</f>
        <v>MAYERLY SENETH BOLAÑOS LOPEZ</v>
      </c>
      <c r="D302" s="40" t="str">
        <f ca="1">IFERROR(__xludf.DUMMYFUNCTION("""COMPUTED_VALUE"""),"CC")</f>
        <v>CC</v>
      </c>
      <c r="E302" s="40">
        <f ca="1">IFERROR(__xludf.DUMMYFUNCTION("""COMPUTED_VALUE"""),1082781409)</f>
        <v>1082781409</v>
      </c>
      <c r="F302" s="40">
        <f ca="1">IFERROR(__xludf.DUMMYFUNCTION("""COMPUTED_VALUE"""),2206479)</f>
        <v>2206479</v>
      </c>
      <c r="G302" s="40" t="str">
        <f ca="1">IFERROR(__xludf.DUMMYFUNCTION("""COMPUTED_VALUE"""),"TÉCNICO")</f>
        <v>TÉCNICO</v>
      </c>
      <c r="H302" s="40" t="str">
        <f ca="1">IFERROR(__xludf.DUMMYFUNCTION("""COMPUTED_VALUE"""),"CONSTRUCCION, MANTENIMIENTO Y REPARACION DE ESTRUCTURAS EN GUADUA")</f>
        <v>CONSTRUCCION, MANTENIMIENTO Y REPARACION DE ESTRUCTURAS EN GUADUA</v>
      </c>
      <c r="I302" s="40"/>
      <c r="J302" s="40"/>
      <c r="K302" s="40"/>
      <c r="L302" s="40" t="str">
        <f ca="1">IFERROR(__xludf.DUMMYFUNCTION("""COMPUTED_VALUE"""),"NO HA INICIADO ETAPA PRODUCTIVA")</f>
        <v>NO HA INICIADO ETAPA PRODUCTIVA</v>
      </c>
      <c r="M302" s="40"/>
      <c r="N302" s="40"/>
      <c r="O302" s="40"/>
      <c r="P302" s="40"/>
      <c r="Q302" s="40"/>
      <c r="R302" s="140"/>
      <c r="S302" s="1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t="str">
        <f ca="1">IFERROR(__xludf.DUMMYFUNCTION("""COMPUTED_VALUE"""),"NO_CUMPLE")</f>
        <v>NO_CUMPLE</v>
      </c>
      <c r="AV302" s="40" t="str">
        <f ca="1">IFERROR(__xludf.DUMMYFUNCTION("""COMPUTED_VALUE"""),"EN FORMACION")</f>
        <v>EN FORMACION</v>
      </c>
      <c r="AW302" s="40" t="str">
        <f ca="1">IFERROR(__xludf.DUMMYFUNCTION("""COMPUTED_VALUE"""),"BIOCONSTRUCCION")</f>
        <v>BIOCONSTRUCCION</v>
      </c>
      <c r="AX302" s="141">
        <f ca="1">IFERROR(__xludf.DUMMYFUNCTION("""COMPUTED_VALUE"""),44848)</f>
        <v>44848</v>
      </c>
      <c r="AY302" s="40">
        <f ca="1">IFERROR(__xludf.DUMMYFUNCTION("""COMPUTED_VALUE"""),23)</f>
        <v>23</v>
      </c>
      <c r="AZ302" s="40">
        <f ca="1">IFERROR(__xludf.DUMMYFUNCTION("""COMPUTED_VALUE"""),1)</f>
        <v>1</v>
      </c>
      <c r="BA302" s="40">
        <f ca="1">IFERROR(__xludf.DUMMYFUNCTION("""COMPUTED_VALUE"""),6)</f>
        <v>6</v>
      </c>
      <c r="BB302" s="40">
        <f ca="1">IFERROR(__xludf.DUMMYFUNCTION("""COMPUTED_VALUE"""),15)</f>
        <v>15</v>
      </c>
      <c r="BC302" s="40">
        <f ca="1">IFERROR(__xludf.DUMMYFUNCTION("""COMPUTED_VALUE"""),45)</f>
        <v>45</v>
      </c>
      <c r="BD302" s="141">
        <f ca="1">IFERROR(__xludf.DUMMYFUNCTION("""COMPUTED_VALUE"""),44094)</f>
        <v>44094</v>
      </c>
      <c r="BE302" s="141">
        <f ca="1">IFERROR(__xludf.DUMMYFUNCTION("""COMPUTED_VALUE"""),44367)</f>
        <v>44367</v>
      </c>
      <c r="BF302" s="141">
        <f ca="1">IFERROR(__xludf.DUMMYFUNCTION("""COMPUTED_VALUE"""),44550)</f>
        <v>44550</v>
      </c>
      <c r="BG302" s="141">
        <f ca="1">IFERROR(__xludf.DUMMYFUNCTION("""COMPUTED_VALUE"""),45097)</f>
        <v>45097</v>
      </c>
      <c r="BH302" s="40" t="str">
        <f ca="1">IFERROR(__xludf.DUMMYFUNCTION("""COMPUTED_VALUE"""),"FICHA EN TIEMPO-18 MESES")</f>
        <v>FICHA EN TIEMPO-18 MESES</v>
      </c>
      <c r="BI302" s="40" t="str">
        <f ca="1">IFERROR(__xludf.DUMMYFUNCTION("""COMPUTED_VALUE"""),"Terminada por fecha")</f>
        <v>Terminada por fecha</v>
      </c>
      <c r="BJ302" s="40" t="str">
        <f ca="1">IFERROR(__xludf.DUMMYFUNCTION("""COMPUTED_VALUE"""),"Yamboro")</f>
        <v>Yamboro</v>
      </c>
      <c r="BK302" s="40"/>
      <c r="BL302" s="40"/>
    </row>
    <row r="303" spans="1:64" ht="13">
      <c r="A303" s="40"/>
      <c r="B303" s="40" t="str">
        <f ca="1">IFERROR(__xludf.DUMMYFUNCTION("""COMPUTED_VALUE"""),"FORMACIÓN 18/10/2022")</f>
        <v>FORMACIÓN 18/10/2022</v>
      </c>
      <c r="C303" s="40" t="str">
        <f ca="1">IFERROR(__xludf.DUMMYFUNCTION("""COMPUTED_VALUE"""),"YONATAN ANTONIO CHANCHI ANACONA")</f>
        <v>YONATAN ANTONIO CHANCHI ANACONA</v>
      </c>
      <c r="D303" s="40" t="str">
        <f ca="1">IFERROR(__xludf.DUMMYFUNCTION("""COMPUTED_VALUE"""),"CC")</f>
        <v>CC</v>
      </c>
      <c r="E303" s="40">
        <f ca="1">IFERROR(__xludf.DUMMYFUNCTION("""COMPUTED_VALUE"""),1193134987)</f>
        <v>1193134987</v>
      </c>
      <c r="F303" s="40">
        <f ca="1">IFERROR(__xludf.DUMMYFUNCTION("""COMPUTED_VALUE"""),2206479)</f>
        <v>2206479</v>
      </c>
      <c r="G303" s="40" t="str">
        <f ca="1">IFERROR(__xludf.DUMMYFUNCTION("""COMPUTED_VALUE"""),"TÉCNICO")</f>
        <v>TÉCNICO</v>
      </c>
      <c r="H303" s="40" t="str">
        <f ca="1">IFERROR(__xludf.DUMMYFUNCTION("""COMPUTED_VALUE"""),"CONSTRUCCION, MANTENIMIENTO Y REPARACION DE ESTRUCTURAS EN GUADUA")</f>
        <v>CONSTRUCCION, MANTENIMIENTO Y REPARACION DE ESTRUCTURAS EN GUADUA</v>
      </c>
      <c r="I303" s="40"/>
      <c r="J303" s="40"/>
      <c r="K303" s="40"/>
      <c r="L303" s="40" t="str">
        <f ca="1">IFERROR(__xludf.DUMMYFUNCTION("""COMPUTED_VALUE"""),"NO HA INICIADO ETAPA PRODUCTIVA")</f>
        <v>NO HA INICIADO ETAPA PRODUCTIVA</v>
      </c>
      <c r="M303" s="40"/>
      <c r="N303" s="40"/>
      <c r="O303" s="40"/>
      <c r="P303" s="40"/>
      <c r="Q303" s="40"/>
      <c r="R303" s="140"/>
      <c r="S303" s="1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t="str">
        <f ca="1">IFERROR(__xludf.DUMMYFUNCTION("""COMPUTED_VALUE"""),"NO_CUMPLE")</f>
        <v>NO_CUMPLE</v>
      </c>
      <c r="AV303" s="40" t="str">
        <f ca="1">IFERROR(__xludf.DUMMYFUNCTION("""COMPUTED_VALUE"""),"EN FORMACION")</f>
        <v>EN FORMACION</v>
      </c>
      <c r="AW303" s="40" t="str">
        <f ca="1">IFERROR(__xludf.DUMMYFUNCTION("""COMPUTED_VALUE"""),"BIOCONSTRUCCION")</f>
        <v>BIOCONSTRUCCION</v>
      </c>
      <c r="AX303" s="141">
        <f ca="1">IFERROR(__xludf.DUMMYFUNCTION("""COMPUTED_VALUE"""),44848)</f>
        <v>44848</v>
      </c>
      <c r="AY303" s="40">
        <f ca="1">IFERROR(__xludf.DUMMYFUNCTION("""COMPUTED_VALUE"""),4)</f>
        <v>4</v>
      </c>
      <c r="AZ303" s="40">
        <f ca="1">IFERROR(__xludf.DUMMYFUNCTION("""COMPUTED_VALUE"""),1)</f>
        <v>1</v>
      </c>
      <c r="BA303" s="40">
        <f ca="1">IFERROR(__xludf.DUMMYFUNCTION("""COMPUTED_VALUE"""),0)</f>
        <v>0</v>
      </c>
      <c r="BB303" s="40">
        <f ca="1">IFERROR(__xludf.DUMMYFUNCTION("""COMPUTED_VALUE"""),0)</f>
        <v>0</v>
      </c>
      <c r="BC303" s="40">
        <f ca="1">IFERROR(__xludf.DUMMYFUNCTION("""COMPUTED_VALUE"""),5)</f>
        <v>5</v>
      </c>
      <c r="BD303" s="141">
        <f ca="1">IFERROR(__xludf.DUMMYFUNCTION("""COMPUTED_VALUE"""),44094)</f>
        <v>44094</v>
      </c>
      <c r="BE303" s="141">
        <f ca="1">IFERROR(__xludf.DUMMYFUNCTION("""COMPUTED_VALUE"""),44367)</f>
        <v>44367</v>
      </c>
      <c r="BF303" s="141">
        <f ca="1">IFERROR(__xludf.DUMMYFUNCTION("""COMPUTED_VALUE"""),44550)</f>
        <v>44550</v>
      </c>
      <c r="BG303" s="141">
        <f ca="1">IFERROR(__xludf.DUMMYFUNCTION("""COMPUTED_VALUE"""),45097)</f>
        <v>45097</v>
      </c>
      <c r="BH303" s="40" t="str">
        <f ca="1">IFERROR(__xludf.DUMMYFUNCTION("""COMPUTED_VALUE"""),"FICHA EN TIEMPO-18 MESES")</f>
        <v>FICHA EN TIEMPO-18 MESES</v>
      </c>
      <c r="BI303" s="40" t="str">
        <f ca="1">IFERROR(__xludf.DUMMYFUNCTION("""COMPUTED_VALUE"""),"Terminada por fecha")</f>
        <v>Terminada por fecha</v>
      </c>
      <c r="BJ303" s="40" t="str">
        <f ca="1">IFERROR(__xludf.DUMMYFUNCTION("""COMPUTED_VALUE"""),"Yamboro")</f>
        <v>Yamboro</v>
      </c>
      <c r="BK303" s="40"/>
      <c r="BL303" s="40"/>
    </row>
    <row r="304" spans="1:64" ht="13">
      <c r="A304" s="40"/>
      <c r="B304" s="40" t="str">
        <f ca="1">IFERROR(__xludf.DUMMYFUNCTION("""COMPUTED_VALUE"""),"FORMACIÓN 18/10/2022")</f>
        <v>FORMACIÓN 18/10/2022</v>
      </c>
      <c r="C304" s="40" t="str">
        <f ca="1">IFERROR(__xludf.DUMMYFUNCTION("""COMPUTED_VALUE"""),"LAURO JOSE ORDOÑEZ CRUZ")</f>
        <v>LAURO JOSE ORDOÑEZ CRUZ</v>
      </c>
      <c r="D304" s="40" t="str">
        <f ca="1">IFERROR(__xludf.DUMMYFUNCTION("""COMPUTED_VALUE"""),"CC")</f>
        <v>CC</v>
      </c>
      <c r="E304" s="40">
        <f ca="1">IFERROR(__xludf.DUMMYFUNCTION("""COMPUTED_VALUE"""),12141601)</f>
        <v>12141601</v>
      </c>
      <c r="F304" s="40">
        <f ca="1">IFERROR(__xludf.DUMMYFUNCTION("""COMPUTED_VALUE"""),2206479)</f>
        <v>2206479</v>
      </c>
      <c r="G304" s="40" t="str">
        <f ca="1">IFERROR(__xludf.DUMMYFUNCTION("""COMPUTED_VALUE"""),"TÉCNICO")</f>
        <v>TÉCNICO</v>
      </c>
      <c r="H304" s="40" t="str">
        <f ca="1">IFERROR(__xludf.DUMMYFUNCTION("""COMPUTED_VALUE"""),"CONSTRUCCION, MANTENIMIENTO Y REPARACION DE ESTRUCTURAS EN GUADUA")</f>
        <v>CONSTRUCCION, MANTENIMIENTO Y REPARACION DE ESTRUCTURAS EN GUADUA</v>
      </c>
      <c r="I304" s="40"/>
      <c r="J304" s="40"/>
      <c r="K304" s="40"/>
      <c r="L304" s="40" t="str">
        <f ca="1">IFERROR(__xludf.DUMMYFUNCTION("""COMPUTED_VALUE"""),"NO TIENE LEGALIZACIÓN")</f>
        <v>NO TIENE LEGALIZACIÓN</v>
      </c>
      <c r="M304" s="40"/>
      <c r="N304" s="40"/>
      <c r="O304" s="40"/>
      <c r="P304" s="40"/>
      <c r="Q304" s="40"/>
      <c r="R304" s="140"/>
      <c r="S304" s="140"/>
      <c r="T304" s="40" t="str">
        <f ca="1">IFERROR(__xludf.DUMMYFUNCTION("""COMPUTED_VALUE"""),"NO tiene legalización - Final, certificación y bitácoras 1,2,3,4,5,7,8,y 10....Falta bitácoras 6,9,11 y 12 Revisado 16/08/2022")</f>
        <v>NO tiene legalización - Final, certificación y bitácoras 1,2,3,4,5,7,8,y 10....Falta bitácoras 6,9,11 y 12 Revisado 16/08/2022</v>
      </c>
      <c r="U304" s="40" t="str">
        <f ca="1">IFERROR(__xludf.DUMMYFUNCTION("""COMPUTED_VALUE"""),"JOSE URIEL SALAS LONDOÑO - Final, certificación y bitácoras 1,2,3,4,5,7,8,y 10... Revisado 05/07/2022")</f>
        <v>JOSE URIEL SALAS LONDOÑO - Final, certificación y bitácoras 1,2,3,4,5,7,8,y 10... Revisado 05/07/2022</v>
      </c>
      <c r="V304" s="40" t="str">
        <f ca="1">IFERROR(__xludf.DUMMYFUNCTION("""COMPUTED_VALUE"""),"SI tiene seguimiento 16/08/2022")</f>
        <v>SI tiene seguimiento 16/08/2022</v>
      </c>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t="str">
        <f ca="1">IFERROR(__xludf.DUMMYFUNCTION("""COMPUTED_VALUE"""),"NO_CUMPLE")</f>
        <v>NO_CUMPLE</v>
      </c>
      <c r="AV304" s="40" t="str">
        <f ca="1">IFERROR(__xludf.DUMMYFUNCTION("""COMPUTED_VALUE"""),"EN FORMACION")</f>
        <v>EN FORMACION</v>
      </c>
      <c r="AW304" s="40" t="str">
        <f ca="1">IFERROR(__xludf.DUMMYFUNCTION("""COMPUTED_VALUE"""),"BIOCONSTRUCCION")</f>
        <v>BIOCONSTRUCCION</v>
      </c>
      <c r="AX304" s="141">
        <f ca="1">IFERROR(__xludf.DUMMYFUNCTION("""COMPUTED_VALUE"""),44848)</f>
        <v>44848</v>
      </c>
      <c r="AY304" s="40">
        <f ca="1">IFERROR(__xludf.DUMMYFUNCTION("""COMPUTED_VALUE"""),4)</f>
        <v>4</v>
      </c>
      <c r="AZ304" s="40">
        <f ca="1">IFERROR(__xludf.DUMMYFUNCTION("""COMPUTED_VALUE"""),0)</f>
        <v>0</v>
      </c>
      <c r="BA304" s="40">
        <f ca="1">IFERROR(__xludf.DUMMYFUNCTION("""COMPUTED_VALUE"""),0)</f>
        <v>0</v>
      </c>
      <c r="BB304" s="40">
        <f ca="1">IFERROR(__xludf.DUMMYFUNCTION("""COMPUTED_VALUE"""),0)</f>
        <v>0</v>
      </c>
      <c r="BC304" s="40">
        <f ca="1">IFERROR(__xludf.DUMMYFUNCTION("""COMPUTED_VALUE"""),4)</f>
        <v>4</v>
      </c>
      <c r="BD304" s="141">
        <f ca="1">IFERROR(__xludf.DUMMYFUNCTION("""COMPUTED_VALUE"""),44094)</f>
        <v>44094</v>
      </c>
      <c r="BE304" s="141">
        <f ca="1">IFERROR(__xludf.DUMMYFUNCTION("""COMPUTED_VALUE"""),44367)</f>
        <v>44367</v>
      </c>
      <c r="BF304" s="141">
        <f ca="1">IFERROR(__xludf.DUMMYFUNCTION("""COMPUTED_VALUE"""),44550)</f>
        <v>44550</v>
      </c>
      <c r="BG304" s="141">
        <f ca="1">IFERROR(__xludf.DUMMYFUNCTION("""COMPUTED_VALUE"""),45097)</f>
        <v>45097</v>
      </c>
      <c r="BH304" s="40" t="str">
        <f ca="1">IFERROR(__xludf.DUMMYFUNCTION("""COMPUTED_VALUE"""),"FICHA EN TIEMPO-18 MESES")</f>
        <v>FICHA EN TIEMPO-18 MESES</v>
      </c>
      <c r="BI304" s="40" t="str">
        <f ca="1">IFERROR(__xludf.DUMMYFUNCTION("""COMPUTED_VALUE"""),"Terminada por fecha")</f>
        <v>Terminada por fecha</v>
      </c>
      <c r="BJ304" s="40" t="str">
        <f ca="1">IFERROR(__xludf.DUMMYFUNCTION("""COMPUTED_VALUE"""),"Yamboro")</f>
        <v>Yamboro</v>
      </c>
      <c r="BK304" s="40"/>
      <c r="BL304" s="40"/>
    </row>
    <row r="305" spans="1:64" ht="13">
      <c r="A305" s="40"/>
      <c r="B305" s="40" t="str">
        <f ca="1">IFERROR(__xludf.DUMMYFUNCTION("""COMPUTED_VALUE"""),"FORMACIÓN 18/10/2022")</f>
        <v>FORMACIÓN 18/10/2022</v>
      </c>
      <c r="C305" s="40" t="str">
        <f ca="1">IFERROR(__xludf.DUMMYFUNCTION("""COMPUTED_VALUE"""),"EMIDIO MACIAS ANACONA")</f>
        <v>EMIDIO MACIAS ANACONA</v>
      </c>
      <c r="D305" s="40" t="str">
        <f ca="1">IFERROR(__xludf.DUMMYFUNCTION("""COMPUTED_VALUE"""),"CC")</f>
        <v>CC</v>
      </c>
      <c r="E305" s="40">
        <f ca="1">IFERROR(__xludf.DUMMYFUNCTION("""COMPUTED_VALUE"""),12143261)</f>
        <v>12143261</v>
      </c>
      <c r="F305" s="40">
        <f ca="1">IFERROR(__xludf.DUMMYFUNCTION("""COMPUTED_VALUE"""),2206479)</f>
        <v>2206479</v>
      </c>
      <c r="G305" s="40" t="str">
        <f ca="1">IFERROR(__xludf.DUMMYFUNCTION("""COMPUTED_VALUE"""),"TÉCNICO")</f>
        <v>TÉCNICO</v>
      </c>
      <c r="H305" s="40" t="str">
        <f ca="1">IFERROR(__xludf.DUMMYFUNCTION("""COMPUTED_VALUE"""),"CONSTRUCCION, MANTENIMIENTO Y REPARACION DE ESTRUCTURAS EN GUADUA")</f>
        <v>CONSTRUCCION, MANTENIMIENTO Y REPARACION DE ESTRUCTURAS EN GUADUA</v>
      </c>
      <c r="I305" s="40"/>
      <c r="J305" s="40"/>
      <c r="K305" s="40"/>
      <c r="L305" s="40" t="str">
        <f ca="1">IFERROR(__xludf.DUMMYFUNCTION("""COMPUTED_VALUE"""),"NO HA INICIADO ETAPA PRODUCTIVA")</f>
        <v>NO HA INICIADO ETAPA PRODUCTIVA</v>
      </c>
      <c r="M305" s="40"/>
      <c r="N305" s="40"/>
      <c r="O305" s="40"/>
      <c r="P305" s="40"/>
      <c r="Q305" s="40"/>
      <c r="R305" s="140"/>
      <c r="S305" s="1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t="str">
        <f ca="1">IFERROR(__xludf.DUMMYFUNCTION("""COMPUTED_VALUE"""),"NO_CUMPLE")</f>
        <v>NO_CUMPLE</v>
      </c>
      <c r="AV305" s="40" t="str">
        <f ca="1">IFERROR(__xludf.DUMMYFUNCTION("""COMPUTED_VALUE"""),"EN FORMACION")</f>
        <v>EN FORMACION</v>
      </c>
      <c r="AW305" s="40" t="str">
        <f ca="1">IFERROR(__xludf.DUMMYFUNCTION("""COMPUTED_VALUE"""),"BIOCONSTRUCCION")</f>
        <v>BIOCONSTRUCCION</v>
      </c>
      <c r="AX305" s="141">
        <f ca="1">IFERROR(__xludf.DUMMYFUNCTION("""COMPUTED_VALUE"""),44848)</f>
        <v>44848</v>
      </c>
      <c r="AY305" s="40">
        <f ca="1">IFERROR(__xludf.DUMMYFUNCTION("""COMPUTED_VALUE"""),33)</f>
        <v>33</v>
      </c>
      <c r="AZ305" s="40">
        <f ca="1">IFERROR(__xludf.DUMMYFUNCTION("""COMPUTED_VALUE"""),1)</f>
        <v>1</v>
      </c>
      <c r="BA305" s="40">
        <f ca="1">IFERROR(__xludf.DUMMYFUNCTION("""COMPUTED_VALUE"""),6)</f>
        <v>6</v>
      </c>
      <c r="BB305" s="40">
        <f ca="1">IFERROR(__xludf.DUMMYFUNCTION("""COMPUTED_VALUE"""),15)</f>
        <v>15</v>
      </c>
      <c r="BC305" s="40">
        <f ca="1">IFERROR(__xludf.DUMMYFUNCTION("""COMPUTED_VALUE"""),55)</f>
        <v>55</v>
      </c>
      <c r="BD305" s="141">
        <f ca="1">IFERROR(__xludf.DUMMYFUNCTION("""COMPUTED_VALUE"""),44094)</f>
        <v>44094</v>
      </c>
      <c r="BE305" s="141">
        <f ca="1">IFERROR(__xludf.DUMMYFUNCTION("""COMPUTED_VALUE"""),44367)</f>
        <v>44367</v>
      </c>
      <c r="BF305" s="141">
        <f ca="1">IFERROR(__xludf.DUMMYFUNCTION("""COMPUTED_VALUE"""),44550)</f>
        <v>44550</v>
      </c>
      <c r="BG305" s="141">
        <f ca="1">IFERROR(__xludf.DUMMYFUNCTION("""COMPUTED_VALUE"""),45097)</f>
        <v>45097</v>
      </c>
      <c r="BH305" s="40" t="str">
        <f ca="1">IFERROR(__xludf.DUMMYFUNCTION("""COMPUTED_VALUE"""),"FICHA EN TIEMPO-18 MESES")</f>
        <v>FICHA EN TIEMPO-18 MESES</v>
      </c>
      <c r="BI305" s="40" t="str">
        <f ca="1">IFERROR(__xludf.DUMMYFUNCTION("""COMPUTED_VALUE"""),"Terminada por fecha")</f>
        <v>Terminada por fecha</v>
      </c>
      <c r="BJ305" s="40" t="str">
        <f ca="1">IFERROR(__xludf.DUMMYFUNCTION("""COMPUTED_VALUE"""),"Yamboro")</f>
        <v>Yamboro</v>
      </c>
      <c r="BK305" s="40"/>
      <c r="BL305" s="40"/>
    </row>
    <row r="306" spans="1:64" ht="13">
      <c r="A306" s="40"/>
      <c r="B306" s="40" t="str">
        <f ca="1">IFERROR(__xludf.DUMMYFUNCTION("""COMPUTED_VALUE"""),"FORMACIÓN 18/10/2022")</f>
        <v>FORMACIÓN 18/10/2022</v>
      </c>
      <c r="C306" s="40" t="str">
        <f ca="1">IFERROR(__xludf.DUMMYFUNCTION("""COMPUTED_VALUE"""),"YBER OMEN BUESACO")</f>
        <v>YBER OMEN BUESACO</v>
      </c>
      <c r="D306" s="40" t="str">
        <f ca="1">IFERROR(__xludf.DUMMYFUNCTION("""COMPUTED_VALUE"""),"CC")</f>
        <v>CC</v>
      </c>
      <c r="E306" s="40">
        <f ca="1">IFERROR(__xludf.DUMMYFUNCTION("""COMPUTED_VALUE"""),12143485)</f>
        <v>12143485</v>
      </c>
      <c r="F306" s="40">
        <f ca="1">IFERROR(__xludf.DUMMYFUNCTION("""COMPUTED_VALUE"""),2206479)</f>
        <v>2206479</v>
      </c>
      <c r="G306" s="40" t="str">
        <f ca="1">IFERROR(__xludf.DUMMYFUNCTION("""COMPUTED_VALUE"""),"TÉCNICO")</f>
        <v>TÉCNICO</v>
      </c>
      <c r="H306" s="40" t="str">
        <f ca="1">IFERROR(__xludf.DUMMYFUNCTION("""COMPUTED_VALUE"""),"CONSTRUCCION, MANTENIMIENTO Y REPARACION DE ESTRUCTURAS EN GUADUA")</f>
        <v>CONSTRUCCION, MANTENIMIENTO Y REPARACION DE ESTRUCTURAS EN GUADUA</v>
      </c>
      <c r="I306" s="40"/>
      <c r="J306" s="40"/>
      <c r="K306" s="40"/>
      <c r="L306" s="40" t="str">
        <f ca="1">IFERROR(__xludf.DUMMYFUNCTION("""COMPUTED_VALUE"""),"NO HA INICIADO ETAPA PRODUCTIVA")</f>
        <v>NO HA INICIADO ETAPA PRODUCTIVA</v>
      </c>
      <c r="M306" s="40"/>
      <c r="N306" s="40"/>
      <c r="O306" s="40"/>
      <c r="P306" s="40"/>
      <c r="Q306" s="40"/>
      <c r="R306" s="140"/>
      <c r="S306" s="1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t="str">
        <f ca="1">IFERROR(__xludf.DUMMYFUNCTION("""COMPUTED_VALUE"""),"NO_CUMPLE")</f>
        <v>NO_CUMPLE</v>
      </c>
      <c r="AV306" s="40" t="str">
        <f ca="1">IFERROR(__xludf.DUMMYFUNCTION("""COMPUTED_VALUE"""),"EN FORMACION")</f>
        <v>EN FORMACION</v>
      </c>
      <c r="AW306" s="40" t="str">
        <f ca="1">IFERROR(__xludf.DUMMYFUNCTION("""COMPUTED_VALUE"""),"BIOCONSTRUCCION")</f>
        <v>BIOCONSTRUCCION</v>
      </c>
      <c r="AX306" s="141">
        <f ca="1">IFERROR(__xludf.DUMMYFUNCTION("""COMPUTED_VALUE"""),44848)</f>
        <v>44848</v>
      </c>
      <c r="AY306" s="40">
        <f ca="1">IFERROR(__xludf.DUMMYFUNCTION("""COMPUTED_VALUE"""),4)</f>
        <v>4</v>
      </c>
      <c r="AZ306" s="40">
        <f ca="1">IFERROR(__xludf.DUMMYFUNCTION("""COMPUTED_VALUE"""),1)</f>
        <v>1</v>
      </c>
      <c r="BA306" s="40">
        <f ca="1">IFERROR(__xludf.DUMMYFUNCTION("""COMPUTED_VALUE"""),0)</f>
        <v>0</v>
      </c>
      <c r="BB306" s="40">
        <f ca="1">IFERROR(__xludf.DUMMYFUNCTION("""COMPUTED_VALUE"""),0)</f>
        <v>0</v>
      </c>
      <c r="BC306" s="40">
        <f ca="1">IFERROR(__xludf.DUMMYFUNCTION("""COMPUTED_VALUE"""),5)</f>
        <v>5</v>
      </c>
      <c r="BD306" s="141">
        <f ca="1">IFERROR(__xludf.DUMMYFUNCTION("""COMPUTED_VALUE"""),44094)</f>
        <v>44094</v>
      </c>
      <c r="BE306" s="141">
        <f ca="1">IFERROR(__xludf.DUMMYFUNCTION("""COMPUTED_VALUE"""),44367)</f>
        <v>44367</v>
      </c>
      <c r="BF306" s="141">
        <f ca="1">IFERROR(__xludf.DUMMYFUNCTION("""COMPUTED_VALUE"""),44550)</f>
        <v>44550</v>
      </c>
      <c r="BG306" s="141">
        <f ca="1">IFERROR(__xludf.DUMMYFUNCTION("""COMPUTED_VALUE"""),45097)</f>
        <v>45097</v>
      </c>
      <c r="BH306" s="40" t="str">
        <f ca="1">IFERROR(__xludf.DUMMYFUNCTION("""COMPUTED_VALUE"""),"FICHA EN TIEMPO-18 MESES")</f>
        <v>FICHA EN TIEMPO-18 MESES</v>
      </c>
      <c r="BI306" s="40" t="str">
        <f ca="1">IFERROR(__xludf.DUMMYFUNCTION("""COMPUTED_VALUE"""),"Terminada por fecha")</f>
        <v>Terminada por fecha</v>
      </c>
      <c r="BJ306" s="40" t="str">
        <f ca="1">IFERROR(__xludf.DUMMYFUNCTION("""COMPUTED_VALUE"""),"Yamboro")</f>
        <v>Yamboro</v>
      </c>
      <c r="BK306" s="40"/>
      <c r="BL306" s="40"/>
    </row>
    <row r="307" spans="1:64" ht="13">
      <c r="A307" s="40"/>
      <c r="B307" s="40" t="str">
        <f ca="1">IFERROR(__xludf.DUMMYFUNCTION("""COMPUTED_VALUE"""),"FORMACIÓN 18/10/2022")</f>
        <v>FORMACIÓN 18/10/2022</v>
      </c>
      <c r="C307" s="40" t="str">
        <f ca="1">IFERROR(__xludf.DUMMYFUNCTION("""COMPUTED_VALUE"""),"RODRIGO SEMANATE RAMOS")</f>
        <v>RODRIGO SEMANATE RAMOS</v>
      </c>
      <c r="D307" s="40" t="str">
        <f ca="1">IFERROR(__xludf.DUMMYFUNCTION("""COMPUTED_VALUE"""),"CC")</f>
        <v>CC</v>
      </c>
      <c r="E307" s="40">
        <f ca="1">IFERROR(__xludf.DUMMYFUNCTION("""COMPUTED_VALUE"""),12143523)</f>
        <v>12143523</v>
      </c>
      <c r="F307" s="40">
        <f ca="1">IFERROR(__xludf.DUMMYFUNCTION("""COMPUTED_VALUE"""),2206479)</f>
        <v>2206479</v>
      </c>
      <c r="G307" s="40" t="str">
        <f ca="1">IFERROR(__xludf.DUMMYFUNCTION("""COMPUTED_VALUE"""),"TÉCNICO")</f>
        <v>TÉCNICO</v>
      </c>
      <c r="H307" s="40" t="str">
        <f ca="1">IFERROR(__xludf.DUMMYFUNCTION("""COMPUTED_VALUE"""),"CONSTRUCCION, MANTENIMIENTO Y REPARACION DE ESTRUCTURAS EN GUADUA")</f>
        <v>CONSTRUCCION, MANTENIMIENTO Y REPARACION DE ESTRUCTURAS EN GUADUA</v>
      </c>
      <c r="I307" s="40"/>
      <c r="J307" s="40"/>
      <c r="K307" s="40"/>
      <c r="L307" s="40" t="str">
        <f ca="1">IFERROR(__xludf.DUMMYFUNCTION("""COMPUTED_VALUE"""),"NO HA INICIADO ETAPA PRODUCTIVA")</f>
        <v>NO HA INICIADO ETAPA PRODUCTIVA</v>
      </c>
      <c r="M307" s="40"/>
      <c r="N307" s="40"/>
      <c r="O307" s="40"/>
      <c r="P307" s="40"/>
      <c r="Q307" s="40"/>
      <c r="R307" s="140"/>
      <c r="S307" s="1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t="str">
        <f ca="1">IFERROR(__xludf.DUMMYFUNCTION("""COMPUTED_VALUE"""),"NO_CUMPLE")</f>
        <v>NO_CUMPLE</v>
      </c>
      <c r="AV307" s="40" t="str">
        <f ca="1">IFERROR(__xludf.DUMMYFUNCTION("""COMPUTED_VALUE"""),"EN FORMACION")</f>
        <v>EN FORMACION</v>
      </c>
      <c r="AW307" s="40" t="str">
        <f ca="1">IFERROR(__xludf.DUMMYFUNCTION("""COMPUTED_VALUE"""),"BIOCONSTRUCCION")</f>
        <v>BIOCONSTRUCCION</v>
      </c>
      <c r="AX307" s="141">
        <f ca="1">IFERROR(__xludf.DUMMYFUNCTION("""COMPUTED_VALUE"""),44848)</f>
        <v>44848</v>
      </c>
      <c r="AY307" s="40">
        <f ca="1">IFERROR(__xludf.DUMMYFUNCTION("""COMPUTED_VALUE"""),1)</f>
        <v>1</v>
      </c>
      <c r="AZ307" s="40">
        <f ca="1">IFERROR(__xludf.DUMMYFUNCTION("""COMPUTED_VALUE"""),0)</f>
        <v>0</v>
      </c>
      <c r="BA307" s="40">
        <f ca="1">IFERROR(__xludf.DUMMYFUNCTION("""COMPUTED_VALUE"""),6)</f>
        <v>6</v>
      </c>
      <c r="BB307" s="40">
        <f ca="1">IFERROR(__xludf.DUMMYFUNCTION("""COMPUTED_VALUE"""),0)</f>
        <v>0</v>
      </c>
      <c r="BC307" s="40">
        <f ca="1">IFERROR(__xludf.DUMMYFUNCTION("""COMPUTED_VALUE"""),7)</f>
        <v>7</v>
      </c>
      <c r="BD307" s="141">
        <f ca="1">IFERROR(__xludf.DUMMYFUNCTION("""COMPUTED_VALUE"""),44094)</f>
        <v>44094</v>
      </c>
      <c r="BE307" s="141">
        <f ca="1">IFERROR(__xludf.DUMMYFUNCTION("""COMPUTED_VALUE"""),44367)</f>
        <v>44367</v>
      </c>
      <c r="BF307" s="141">
        <f ca="1">IFERROR(__xludf.DUMMYFUNCTION("""COMPUTED_VALUE"""),44550)</f>
        <v>44550</v>
      </c>
      <c r="BG307" s="141">
        <f ca="1">IFERROR(__xludf.DUMMYFUNCTION("""COMPUTED_VALUE"""),45097)</f>
        <v>45097</v>
      </c>
      <c r="BH307" s="40" t="str">
        <f ca="1">IFERROR(__xludf.DUMMYFUNCTION("""COMPUTED_VALUE"""),"FICHA EN TIEMPO-18 MESES")</f>
        <v>FICHA EN TIEMPO-18 MESES</v>
      </c>
      <c r="BI307" s="40" t="str">
        <f ca="1">IFERROR(__xludf.DUMMYFUNCTION("""COMPUTED_VALUE"""),"Terminada por fecha")</f>
        <v>Terminada por fecha</v>
      </c>
      <c r="BJ307" s="40" t="str">
        <f ca="1">IFERROR(__xludf.DUMMYFUNCTION("""COMPUTED_VALUE"""),"Yamboro")</f>
        <v>Yamboro</v>
      </c>
      <c r="BK307" s="40"/>
      <c r="BL307" s="40"/>
    </row>
    <row r="308" spans="1:64" ht="13">
      <c r="A308" s="40"/>
      <c r="B308" s="40" t="str">
        <f ca="1">IFERROR(__xludf.DUMMYFUNCTION("""COMPUTED_VALUE"""),"FORMACIÓN 18/10/2022")</f>
        <v>FORMACIÓN 18/10/2022</v>
      </c>
      <c r="C308" s="40" t="str">
        <f ca="1">IFERROR(__xludf.DUMMYFUNCTION("""COMPUTED_VALUE"""),"JAIME IJAJI RUIZ")</f>
        <v>JAIME IJAJI RUIZ</v>
      </c>
      <c r="D308" s="40" t="str">
        <f ca="1">IFERROR(__xludf.DUMMYFUNCTION("""COMPUTED_VALUE"""),"CC")</f>
        <v>CC</v>
      </c>
      <c r="E308" s="40">
        <f ca="1">IFERROR(__xludf.DUMMYFUNCTION("""COMPUTED_VALUE"""),12180305)</f>
        <v>12180305</v>
      </c>
      <c r="F308" s="40">
        <f ca="1">IFERROR(__xludf.DUMMYFUNCTION("""COMPUTED_VALUE"""),2206479)</f>
        <v>2206479</v>
      </c>
      <c r="G308" s="40" t="str">
        <f ca="1">IFERROR(__xludf.DUMMYFUNCTION("""COMPUTED_VALUE"""),"TÉCNICO")</f>
        <v>TÉCNICO</v>
      </c>
      <c r="H308" s="40" t="str">
        <f ca="1">IFERROR(__xludf.DUMMYFUNCTION("""COMPUTED_VALUE"""),"CONSTRUCCION, MANTENIMIENTO Y REPARACION DE ESTRUCTURAS EN GUADUA")</f>
        <v>CONSTRUCCION, MANTENIMIENTO Y REPARACION DE ESTRUCTURAS EN GUADUA</v>
      </c>
      <c r="I308" s="40"/>
      <c r="J308" s="40"/>
      <c r="K308" s="40"/>
      <c r="L308" s="40" t="str">
        <f ca="1">IFERROR(__xludf.DUMMYFUNCTION("""COMPUTED_VALUE"""),"NO TIENE LEGALIZACIÓN")</f>
        <v>NO TIENE LEGALIZACIÓN</v>
      </c>
      <c r="M308" s="40"/>
      <c r="N308" s="40"/>
      <c r="O308" s="40"/>
      <c r="P308" s="40"/>
      <c r="Q308" s="40"/>
      <c r="R308" s="140"/>
      <c r="S308" s="140"/>
      <c r="T308" s="40" t="str">
        <f ca="1">IFERROR(__xludf.DUMMYFUNCTION("""COMPUTED_VALUE"""),"NO tiene legalización  - Final, certificación y bitácoras 1,2,3,4,5,6,7,8 y 11 .... Falta bitácoras 9,10 y 12 ... Revisado 16/08/2022")</f>
        <v>NO tiene legalización  - Final, certificación y bitácoras 1,2,3,4,5,6,7,8 y 11 .... Falta bitácoras 9,10 y 12 ... Revisado 16/08/2022</v>
      </c>
      <c r="U308" s="40" t="str">
        <f ca="1">IFERROR(__xludf.DUMMYFUNCTION("""COMPUTED_VALUE"""),"JOSE URIEL SALAS LONDOÑO - Subió  Final, certificación y bítacoras 1,2,3,4,5,6,7,8 y 11... Revisado 16/08/20022")</f>
        <v>JOSE URIEL SALAS LONDOÑO - Subió  Final, certificación y bítacoras 1,2,3,4,5,6,7,8 y 11... Revisado 16/08/20022</v>
      </c>
      <c r="V308" s="40" t="str">
        <f ca="1">IFERROR(__xludf.DUMMYFUNCTION("""COMPUTED_VALUE"""),"SI tiene seguimiento 16/08/2022")</f>
        <v>SI tiene seguimiento 16/08/2022</v>
      </c>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t="str">
        <f ca="1">IFERROR(__xludf.DUMMYFUNCTION("""COMPUTED_VALUE"""),"Procede_E_P")</f>
        <v>Procede_E_P</v>
      </c>
      <c r="AV308" s="40" t="str">
        <f ca="1">IFERROR(__xludf.DUMMYFUNCTION("""COMPUTED_VALUE"""),"EN FORMACION")</f>
        <v>EN FORMACION</v>
      </c>
      <c r="AW308" s="40" t="str">
        <f ca="1">IFERROR(__xludf.DUMMYFUNCTION("""COMPUTED_VALUE"""),"BIOCONSTRUCCION")</f>
        <v>BIOCONSTRUCCION</v>
      </c>
      <c r="AX308" s="141">
        <f ca="1">IFERROR(__xludf.DUMMYFUNCTION("""COMPUTED_VALUE"""),44848)</f>
        <v>44848</v>
      </c>
      <c r="AY308" s="40">
        <f ca="1">IFERROR(__xludf.DUMMYFUNCTION("""COMPUTED_VALUE"""),0)</f>
        <v>0</v>
      </c>
      <c r="AZ308" s="40">
        <f ca="1">IFERROR(__xludf.DUMMYFUNCTION("""COMPUTED_VALUE"""),1)</f>
        <v>1</v>
      </c>
      <c r="BA308" s="40">
        <f ca="1">IFERROR(__xludf.DUMMYFUNCTION("""COMPUTED_VALUE"""),0)</f>
        <v>0</v>
      </c>
      <c r="BB308" s="40">
        <f ca="1">IFERROR(__xludf.DUMMYFUNCTION("""COMPUTED_VALUE"""),0)</f>
        <v>0</v>
      </c>
      <c r="BC308" s="40">
        <f ca="1">IFERROR(__xludf.DUMMYFUNCTION("""COMPUTED_VALUE"""),1)</f>
        <v>1</v>
      </c>
      <c r="BD308" s="141">
        <f ca="1">IFERROR(__xludf.DUMMYFUNCTION("""COMPUTED_VALUE"""),44094)</f>
        <v>44094</v>
      </c>
      <c r="BE308" s="141">
        <f ca="1">IFERROR(__xludf.DUMMYFUNCTION("""COMPUTED_VALUE"""),44367)</f>
        <v>44367</v>
      </c>
      <c r="BF308" s="141">
        <f ca="1">IFERROR(__xludf.DUMMYFUNCTION("""COMPUTED_VALUE"""),44550)</f>
        <v>44550</v>
      </c>
      <c r="BG308" s="141">
        <f ca="1">IFERROR(__xludf.DUMMYFUNCTION("""COMPUTED_VALUE"""),45097)</f>
        <v>45097</v>
      </c>
      <c r="BH308" s="40" t="str">
        <f ca="1">IFERROR(__xludf.DUMMYFUNCTION("""COMPUTED_VALUE"""),"FICHA EN TIEMPO-18 MESES")</f>
        <v>FICHA EN TIEMPO-18 MESES</v>
      </c>
      <c r="BI308" s="40" t="str">
        <f ca="1">IFERROR(__xludf.DUMMYFUNCTION("""COMPUTED_VALUE"""),"Terminada por fecha")</f>
        <v>Terminada por fecha</v>
      </c>
      <c r="BJ308" s="40" t="str">
        <f ca="1">IFERROR(__xludf.DUMMYFUNCTION("""COMPUTED_VALUE"""),"Yamboro")</f>
        <v>Yamboro</v>
      </c>
      <c r="BK308" s="40"/>
      <c r="BL308" s="40"/>
    </row>
    <row r="309" spans="1:64" ht="13">
      <c r="A309" s="40"/>
      <c r="B309" s="40" t="str">
        <f ca="1">IFERROR(__xludf.DUMMYFUNCTION("""COMPUTED_VALUE"""),"FORMACIÓN 18/10/2022")</f>
        <v>FORMACIÓN 18/10/2022</v>
      </c>
      <c r="C309" s="40" t="str">
        <f ca="1">IFERROR(__xludf.DUMMYFUNCTION("""COMPUTED_VALUE"""),"RUBEN DARIO PAPAMIJA JOAQUI")</f>
        <v>RUBEN DARIO PAPAMIJA JOAQUI</v>
      </c>
      <c r="D309" s="40" t="str">
        <f ca="1">IFERROR(__xludf.DUMMYFUNCTION("""COMPUTED_VALUE"""),"CC")</f>
        <v>CC</v>
      </c>
      <c r="E309" s="40">
        <f ca="1">IFERROR(__xludf.DUMMYFUNCTION("""COMPUTED_VALUE"""),12182400)</f>
        <v>12182400</v>
      </c>
      <c r="F309" s="40">
        <f ca="1">IFERROR(__xludf.DUMMYFUNCTION("""COMPUTED_VALUE"""),2206479)</f>
        <v>2206479</v>
      </c>
      <c r="G309" s="40" t="str">
        <f ca="1">IFERROR(__xludf.DUMMYFUNCTION("""COMPUTED_VALUE"""),"TÉCNICO")</f>
        <v>TÉCNICO</v>
      </c>
      <c r="H309" s="40" t="str">
        <f ca="1">IFERROR(__xludf.DUMMYFUNCTION("""COMPUTED_VALUE"""),"CONSTRUCCION, MANTENIMIENTO Y REPARACION DE ESTRUCTURAS EN GUADUA")</f>
        <v>CONSTRUCCION, MANTENIMIENTO Y REPARACION DE ESTRUCTURAS EN GUADUA</v>
      </c>
      <c r="I309" s="40"/>
      <c r="J309" s="40"/>
      <c r="K309" s="40"/>
      <c r="L309" s="40" t="str">
        <f ca="1">IFERROR(__xludf.DUMMYFUNCTION("""COMPUTED_VALUE"""),"NO HA INICIADO ETAPA PRODUCTIVA")</f>
        <v>NO HA INICIADO ETAPA PRODUCTIVA</v>
      </c>
      <c r="M309" s="40"/>
      <c r="N309" s="40"/>
      <c r="O309" s="40"/>
      <c r="P309" s="40"/>
      <c r="Q309" s="40"/>
      <c r="R309" s="140"/>
      <c r="S309" s="1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t="str">
        <f ca="1">IFERROR(__xludf.DUMMYFUNCTION("""COMPUTED_VALUE"""),"NO_CUMPLE")</f>
        <v>NO_CUMPLE</v>
      </c>
      <c r="AV309" s="40" t="str">
        <f ca="1">IFERROR(__xludf.DUMMYFUNCTION("""COMPUTED_VALUE"""),"EN FORMACION")</f>
        <v>EN FORMACION</v>
      </c>
      <c r="AW309" s="40" t="str">
        <f ca="1">IFERROR(__xludf.DUMMYFUNCTION("""COMPUTED_VALUE"""),"BIOCONSTRUCCION")</f>
        <v>BIOCONSTRUCCION</v>
      </c>
      <c r="AX309" s="141">
        <f ca="1">IFERROR(__xludf.DUMMYFUNCTION("""COMPUTED_VALUE"""),44848)</f>
        <v>44848</v>
      </c>
      <c r="AY309" s="40">
        <f ca="1">IFERROR(__xludf.DUMMYFUNCTION("""COMPUTED_VALUE"""),24)</f>
        <v>24</v>
      </c>
      <c r="AZ309" s="40">
        <f ca="1">IFERROR(__xludf.DUMMYFUNCTION("""COMPUTED_VALUE"""),1)</f>
        <v>1</v>
      </c>
      <c r="BA309" s="40">
        <f ca="1">IFERROR(__xludf.DUMMYFUNCTION("""COMPUTED_VALUE"""),6)</f>
        <v>6</v>
      </c>
      <c r="BB309" s="40">
        <f ca="1">IFERROR(__xludf.DUMMYFUNCTION("""COMPUTED_VALUE"""),10)</f>
        <v>10</v>
      </c>
      <c r="BC309" s="40">
        <f ca="1">IFERROR(__xludf.DUMMYFUNCTION("""COMPUTED_VALUE"""),41)</f>
        <v>41</v>
      </c>
      <c r="BD309" s="141">
        <f ca="1">IFERROR(__xludf.DUMMYFUNCTION("""COMPUTED_VALUE"""),44094)</f>
        <v>44094</v>
      </c>
      <c r="BE309" s="141">
        <f ca="1">IFERROR(__xludf.DUMMYFUNCTION("""COMPUTED_VALUE"""),44367)</f>
        <v>44367</v>
      </c>
      <c r="BF309" s="141">
        <f ca="1">IFERROR(__xludf.DUMMYFUNCTION("""COMPUTED_VALUE"""),44550)</f>
        <v>44550</v>
      </c>
      <c r="BG309" s="141">
        <f ca="1">IFERROR(__xludf.DUMMYFUNCTION("""COMPUTED_VALUE"""),45097)</f>
        <v>45097</v>
      </c>
      <c r="BH309" s="40" t="str">
        <f ca="1">IFERROR(__xludf.DUMMYFUNCTION("""COMPUTED_VALUE"""),"FICHA EN TIEMPO-18 MESES")</f>
        <v>FICHA EN TIEMPO-18 MESES</v>
      </c>
      <c r="BI309" s="40" t="str">
        <f ca="1">IFERROR(__xludf.DUMMYFUNCTION("""COMPUTED_VALUE"""),"Terminada por fecha")</f>
        <v>Terminada por fecha</v>
      </c>
      <c r="BJ309" s="40" t="str">
        <f ca="1">IFERROR(__xludf.DUMMYFUNCTION("""COMPUTED_VALUE"""),"Yamboro")</f>
        <v>Yamboro</v>
      </c>
      <c r="BK309" s="40"/>
      <c r="BL309" s="40"/>
    </row>
    <row r="310" spans="1:64" ht="13">
      <c r="A310" s="40"/>
      <c r="B310" s="40" t="str">
        <f ca="1">IFERROR(__xludf.DUMMYFUNCTION("""COMPUTED_VALUE"""),"INDUCCIÓN 18/10/2022")</f>
        <v>INDUCCIÓN 18/10/2022</v>
      </c>
      <c r="C310" s="40" t="str">
        <f ca="1">IFERROR(__xludf.DUMMYFUNCTION("""COMPUTED_VALUE"""),"LUIS DILVER MADROÑEDO DELGADO")</f>
        <v>LUIS DILVER MADROÑEDO DELGADO</v>
      </c>
      <c r="D310" s="40" t="str">
        <f ca="1">IFERROR(__xludf.DUMMYFUNCTION("""COMPUTED_VALUE"""),"CC")</f>
        <v>CC</v>
      </c>
      <c r="E310" s="40">
        <f ca="1">IFERROR(__xludf.DUMMYFUNCTION("""COMPUTED_VALUE"""),1007576233)</f>
        <v>1007576233</v>
      </c>
      <c r="F310" s="40">
        <f ca="1">IFERROR(__xludf.DUMMYFUNCTION("""COMPUTED_VALUE"""),2206479)</f>
        <v>2206479</v>
      </c>
      <c r="G310" s="40" t="str">
        <f ca="1">IFERROR(__xludf.DUMMYFUNCTION("""COMPUTED_VALUE"""),"TÉCNICO")</f>
        <v>TÉCNICO</v>
      </c>
      <c r="H310" s="40" t="str">
        <f ca="1">IFERROR(__xludf.DUMMYFUNCTION("""COMPUTED_VALUE"""),"CONSTRUCCION, MANTENIMIENTO Y REPARACION DE ESTRUCTURAS EN GUADUA")</f>
        <v>CONSTRUCCION, MANTENIMIENTO Y REPARACION DE ESTRUCTURAS EN GUADUA</v>
      </c>
      <c r="I310" s="40"/>
      <c r="J310" s="40"/>
      <c r="K310" s="40"/>
      <c r="L310" s="40" t="str">
        <f ca="1">IFERROR(__xludf.DUMMYFUNCTION("""COMPUTED_VALUE"""),"NO HA INICIADO ETAPA PRODUCTIVA")</f>
        <v>NO HA INICIADO ETAPA PRODUCTIVA</v>
      </c>
      <c r="M310" s="40"/>
      <c r="N310" s="40"/>
      <c r="O310" s="40"/>
      <c r="P310" s="40"/>
      <c r="Q310" s="40"/>
      <c r="R310" s="140"/>
      <c r="S310" s="1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t="str">
        <f ca="1">IFERROR(__xludf.DUMMYFUNCTION("""COMPUTED_VALUE"""),"NO_CUMPLE")</f>
        <v>NO_CUMPLE</v>
      </c>
      <c r="AV310" s="40" t="str">
        <f ca="1">IFERROR(__xludf.DUMMYFUNCTION("""COMPUTED_VALUE"""),"INDUCCION")</f>
        <v>INDUCCION</v>
      </c>
      <c r="AW310" s="40" t="str">
        <f ca="1">IFERROR(__xludf.DUMMYFUNCTION("""COMPUTED_VALUE"""),"BIOCONSTRUCCION")</f>
        <v>BIOCONSTRUCCION</v>
      </c>
      <c r="AX310" s="141">
        <f ca="1">IFERROR(__xludf.DUMMYFUNCTION("""COMPUTED_VALUE"""),44848)</f>
        <v>44848</v>
      </c>
      <c r="AY310" s="40">
        <f ca="1">IFERROR(__xludf.DUMMYFUNCTION("""COMPUTED_VALUE"""),37)</f>
        <v>37</v>
      </c>
      <c r="AZ310" s="40">
        <f ca="1">IFERROR(__xludf.DUMMYFUNCTION("""COMPUTED_VALUE"""),1)</f>
        <v>1</v>
      </c>
      <c r="BA310" s="40">
        <f ca="1">IFERROR(__xludf.DUMMYFUNCTION("""COMPUTED_VALUE"""),6)</f>
        <v>6</v>
      </c>
      <c r="BB310" s="40">
        <f ca="1">IFERROR(__xludf.DUMMYFUNCTION("""COMPUTED_VALUE"""),15)</f>
        <v>15</v>
      </c>
      <c r="BC310" s="40">
        <f ca="1">IFERROR(__xludf.DUMMYFUNCTION("""COMPUTED_VALUE"""),59)</f>
        <v>59</v>
      </c>
      <c r="BD310" s="141">
        <f ca="1">IFERROR(__xludf.DUMMYFUNCTION("""COMPUTED_VALUE"""),44094)</f>
        <v>44094</v>
      </c>
      <c r="BE310" s="141">
        <f ca="1">IFERROR(__xludf.DUMMYFUNCTION("""COMPUTED_VALUE"""),44367)</f>
        <v>44367</v>
      </c>
      <c r="BF310" s="141">
        <f ca="1">IFERROR(__xludf.DUMMYFUNCTION("""COMPUTED_VALUE"""),44550)</f>
        <v>44550</v>
      </c>
      <c r="BG310" s="141">
        <f ca="1">IFERROR(__xludf.DUMMYFUNCTION("""COMPUTED_VALUE"""),45097)</f>
        <v>45097</v>
      </c>
      <c r="BH310" s="40" t="str">
        <f ca="1">IFERROR(__xludf.DUMMYFUNCTION("""COMPUTED_VALUE"""),"FICHA EN TIEMPO-18 MESES")</f>
        <v>FICHA EN TIEMPO-18 MESES</v>
      </c>
      <c r="BI310" s="40" t="str">
        <f ca="1">IFERROR(__xludf.DUMMYFUNCTION("""COMPUTED_VALUE"""),"Terminada por fecha")</f>
        <v>Terminada por fecha</v>
      </c>
      <c r="BJ310" s="40" t="str">
        <f ca="1">IFERROR(__xludf.DUMMYFUNCTION("""COMPUTED_VALUE"""),"Yamboro")</f>
        <v>Yamboro</v>
      </c>
      <c r="BK310" s="40"/>
      <c r="BL310" s="40"/>
    </row>
    <row r="311" spans="1:64" ht="13">
      <c r="A311" s="40"/>
      <c r="B311" s="40" t="str">
        <f ca="1">IFERROR(__xludf.DUMMYFUNCTION("""COMPUTED_VALUE"""),"FORMACIÓN 18/10/2022")</f>
        <v>FORMACIÓN 18/10/2022</v>
      </c>
      <c r="C311" s="40" t="str">
        <f ca="1">IFERROR(__xludf.DUMMYFUNCTION("""COMPUTED_VALUE"""),"NELSON HUMBERTO PINTO REYES")</f>
        <v>NELSON HUMBERTO PINTO REYES</v>
      </c>
      <c r="D311" s="40" t="str">
        <f ca="1">IFERROR(__xludf.DUMMYFUNCTION("""COMPUTED_VALUE"""),"CC")</f>
        <v>CC</v>
      </c>
      <c r="E311" s="40">
        <f ca="1">IFERROR(__xludf.DUMMYFUNCTION("""COMPUTED_VALUE"""),1003804280)</f>
        <v>1003804280</v>
      </c>
      <c r="F311" s="40">
        <f ca="1">IFERROR(__xludf.DUMMYFUNCTION("""COMPUTED_VALUE"""),2451001)</f>
        <v>2451001</v>
      </c>
      <c r="G311" s="40" t="str">
        <f ca="1">IFERROR(__xludf.DUMMYFUNCTION("""COMPUTED_VALUE"""),"TÉCNICO")</f>
        <v>TÉCNICO</v>
      </c>
      <c r="H311" s="40" t="str">
        <f ca="1">IFERROR(__xludf.DUMMYFUNCTION("""COMPUTED_VALUE"""),"DIBUJO ARQUITECTÓNICO")</f>
        <v>DIBUJO ARQUITECTÓNICO</v>
      </c>
      <c r="I311" s="40">
        <f ca="1">IFERROR(__xludf.DUMMYFUNCTION("""COMPUTED_VALUE"""),3167873339)</f>
        <v>3167873339</v>
      </c>
      <c r="J311" s="40" t="str">
        <f ca="1">IFERROR(__xludf.DUMMYFUNCTION("""COMPUTED_VALUE"""),"nelsonpinto230@gmail.com")</f>
        <v>nelsonpinto230@gmail.com</v>
      </c>
      <c r="K311" s="40"/>
      <c r="L311" s="40" t="str">
        <f ca="1">IFERROR(__xludf.DUMMYFUNCTION("""COMPUTED_VALUE"""),"PASANTÍAS")</f>
        <v>PASANTÍAS</v>
      </c>
      <c r="M311" s="40" t="str">
        <f ca="1">IFERROR(__xludf.DUMMYFUNCTION("""COMPUTED_VALUE"""),"Centro de Gestión y Desarrollo Sostenible Surcolombiano")</f>
        <v>Centro de Gestión y Desarrollo Sostenible Surcolombiano</v>
      </c>
      <c r="N311" s="40"/>
      <c r="O311" s="40"/>
      <c r="P311" s="40"/>
      <c r="Q311" s="40"/>
      <c r="R311" s="140">
        <f ca="1">IFERROR(__xludf.DUMMYFUNCTION("""COMPUTED_VALUE"""),44778)</f>
        <v>44778</v>
      </c>
      <c r="S311" s="140">
        <f ca="1">IFERROR(__xludf.DUMMYFUNCTION("""COMPUTED_VALUE"""),44963)</f>
        <v>44963</v>
      </c>
      <c r="T311" s="40"/>
      <c r="U311" s="40" t="str">
        <f ca="1">IFERROR(__xludf.DUMMYFUNCTION("""COMPUTED_VALUE"""),"POR ASIGNAR")</f>
        <v>POR ASIGNAR</v>
      </c>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t="str">
        <f ca="1">IFERROR(__xludf.DUMMYFUNCTION("""COMPUTED_VALUE"""),"NO_CUMPLE")</f>
        <v>NO_CUMPLE</v>
      </c>
      <c r="AV311" s="40" t="str">
        <f ca="1">IFERROR(__xludf.DUMMYFUNCTION("""COMPUTED_VALUE"""),"EN FORMACION")</f>
        <v>EN FORMACION</v>
      </c>
      <c r="AW311" s="40" t="str">
        <f ca="1">IFERROR(__xludf.DUMMYFUNCTION("""COMPUTED_VALUE"""),"BIOCONSTRUCCION")</f>
        <v>BIOCONSTRUCCION</v>
      </c>
      <c r="AX311" s="141">
        <f ca="1">IFERROR(__xludf.DUMMYFUNCTION("""COMPUTED_VALUE"""),44839)</f>
        <v>44839</v>
      </c>
      <c r="AY311" s="40">
        <f ca="1">IFERROR(__xludf.DUMMYFUNCTION("""COMPUTED_VALUE"""),1)</f>
        <v>1</v>
      </c>
      <c r="AZ311" s="40">
        <f ca="1">IFERROR(__xludf.DUMMYFUNCTION("""COMPUTED_VALUE"""),1)</f>
        <v>1</v>
      </c>
      <c r="BA311" s="40">
        <f ca="1">IFERROR(__xludf.DUMMYFUNCTION("""COMPUTED_VALUE"""),0)</f>
        <v>0</v>
      </c>
      <c r="BB311" s="40">
        <f ca="1">IFERROR(__xludf.DUMMYFUNCTION("""COMPUTED_VALUE"""),0)</f>
        <v>0</v>
      </c>
      <c r="BC311" s="40">
        <f ca="1">IFERROR(__xludf.DUMMYFUNCTION("""COMPUTED_VALUE"""),2)</f>
        <v>2</v>
      </c>
      <c r="BD311" s="141">
        <f ca="1">IFERROR(__xludf.DUMMYFUNCTION("""COMPUTED_VALUE"""),44585)</f>
        <v>44585</v>
      </c>
      <c r="BE311" s="141">
        <f ca="1">IFERROR(__xludf.DUMMYFUNCTION("""COMPUTED_VALUE"""),44765)</f>
        <v>44765</v>
      </c>
      <c r="BF311" s="141">
        <f ca="1">IFERROR(__xludf.DUMMYFUNCTION("""COMPUTED_VALUE"""),44949)</f>
        <v>44949</v>
      </c>
      <c r="BG311" s="141">
        <f ca="1">IFERROR(__xludf.DUMMYFUNCTION("""COMPUTED_VALUE"""),45496)</f>
        <v>45496</v>
      </c>
      <c r="BH311" s="40" t="str">
        <f ca="1">IFERROR(__xludf.DUMMYFUNCTION("""COMPUTED_VALUE"""),"FICHA EN TIEMPO-18 MESES")</f>
        <v>FICHA EN TIEMPO-18 MESES</v>
      </c>
      <c r="BI311" s="40" t="str">
        <f ca="1">IFERROR(__xludf.DUMMYFUNCTION("""COMPUTED_VALUE"""),"En ejecucion")</f>
        <v>En ejecucion</v>
      </c>
      <c r="BJ311" s="40" t="str">
        <f ca="1">IFERROR(__xludf.DUMMYFUNCTION("""COMPUTED_VALUE"""),"Yamboro")</f>
        <v>Yamboro</v>
      </c>
      <c r="BK311" s="40"/>
      <c r="BL311" s="40"/>
    </row>
    <row r="312" spans="1:64" ht="13">
      <c r="A312" s="40"/>
      <c r="B312" s="40" t="str">
        <f ca="1">IFERROR(__xludf.DUMMYFUNCTION("""COMPUTED_VALUE"""),"FORMACIÓN 18/10/2022")</f>
        <v>FORMACIÓN 18/10/2022</v>
      </c>
      <c r="C312" s="40" t="str">
        <f ca="1">IFERROR(__xludf.DUMMYFUNCTION("""COMPUTED_VALUE"""),"TALUA JULIANA ROJAS CHAVARRO")</f>
        <v>TALUA JULIANA ROJAS CHAVARRO</v>
      </c>
      <c r="D312" s="40" t="str">
        <f ca="1">IFERROR(__xludf.DUMMYFUNCTION("""COMPUTED_VALUE"""),"CC")</f>
        <v>CC</v>
      </c>
      <c r="E312" s="40">
        <f ca="1">IFERROR(__xludf.DUMMYFUNCTION("""COMPUTED_VALUE"""),1004418281)</f>
        <v>1004418281</v>
      </c>
      <c r="F312" s="40">
        <f ca="1">IFERROR(__xludf.DUMMYFUNCTION("""COMPUTED_VALUE"""),2451001)</f>
        <v>2451001</v>
      </c>
      <c r="G312" s="40" t="str">
        <f ca="1">IFERROR(__xludf.DUMMYFUNCTION("""COMPUTED_VALUE"""),"TÉCNICO")</f>
        <v>TÉCNICO</v>
      </c>
      <c r="H312" s="40" t="str">
        <f ca="1">IFERROR(__xludf.DUMMYFUNCTION("""COMPUTED_VALUE"""),"DIBUJO ARQUITECTÓNICO")</f>
        <v>DIBUJO ARQUITECTÓNICO</v>
      </c>
      <c r="I312" s="40">
        <f ca="1">IFERROR(__xludf.DUMMYFUNCTION("""COMPUTED_VALUE"""),3178182114)</f>
        <v>3178182114</v>
      </c>
      <c r="J312" s="40" t="str">
        <f ca="1">IFERROR(__xludf.DUMMYFUNCTION("""COMPUTED_VALUE"""),"tjrojas03@gmail.com")</f>
        <v>tjrojas03@gmail.com</v>
      </c>
      <c r="K312" s="40"/>
      <c r="L312" s="40" t="str">
        <f ca="1">IFERROR(__xludf.DUMMYFUNCTION("""COMPUTED_VALUE"""),"PASANTÍAS")</f>
        <v>PASANTÍAS</v>
      </c>
      <c r="M312" s="40" t="str">
        <f ca="1">IFERROR(__xludf.DUMMYFUNCTION("""COMPUTED_VALUE"""),"Centro de Gestión y Desarrollo Sostenible Surcolombiano")</f>
        <v>Centro de Gestión y Desarrollo Sostenible Surcolombiano</v>
      </c>
      <c r="N312" s="40"/>
      <c r="O312" s="40"/>
      <c r="P312" s="40"/>
      <c r="Q312" s="40"/>
      <c r="R312" s="140">
        <f ca="1">IFERROR(__xludf.DUMMYFUNCTION("""COMPUTED_VALUE"""),44778)</f>
        <v>44778</v>
      </c>
      <c r="S312" s="140">
        <f ca="1">IFERROR(__xludf.DUMMYFUNCTION("""COMPUTED_VALUE"""),44963)</f>
        <v>44963</v>
      </c>
      <c r="T312" s="40"/>
      <c r="U312" s="40" t="str">
        <f ca="1">IFERROR(__xludf.DUMMYFUNCTION("""COMPUTED_VALUE"""),"POR ASIGNAR")</f>
        <v>POR ASIGNAR</v>
      </c>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t="str">
        <f ca="1">IFERROR(__xludf.DUMMYFUNCTION("""COMPUTED_VALUE"""),"NO_CUMPLE")</f>
        <v>NO_CUMPLE</v>
      </c>
      <c r="AV312" s="40" t="str">
        <f ca="1">IFERROR(__xludf.DUMMYFUNCTION("""COMPUTED_VALUE"""),"EN FORMACION")</f>
        <v>EN FORMACION</v>
      </c>
      <c r="AW312" s="40" t="str">
        <f ca="1">IFERROR(__xludf.DUMMYFUNCTION("""COMPUTED_VALUE"""),"BIOCONSTRUCCION")</f>
        <v>BIOCONSTRUCCION</v>
      </c>
      <c r="AX312" s="141">
        <f ca="1">IFERROR(__xludf.DUMMYFUNCTION("""COMPUTED_VALUE"""),44839)</f>
        <v>44839</v>
      </c>
      <c r="AY312" s="40">
        <f ca="1">IFERROR(__xludf.DUMMYFUNCTION("""COMPUTED_VALUE"""),1)</f>
        <v>1</v>
      </c>
      <c r="AZ312" s="40">
        <f ca="1">IFERROR(__xludf.DUMMYFUNCTION("""COMPUTED_VALUE"""),1)</f>
        <v>1</v>
      </c>
      <c r="BA312" s="40">
        <f ca="1">IFERROR(__xludf.DUMMYFUNCTION("""COMPUTED_VALUE"""),0)</f>
        <v>0</v>
      </c>
      <c r="BB312" s="40">
        <f ca="1">IFERROR(__xludf.DUMMYFUNCTION("""COMPUTED_VALUE"""),0)</f>
        <v>0</v>
      </c>
      <c r="BC312" s="40">
        <f ca="1">IFERROR(__xludf.DUMMYFUNCTION("""COMPUTED_VALUE"""),2)</f>
        <v>2</v>
      </c>
      <c r="BD312" s="141">
        <f ca="1">IFERROR(__xludf.DUMMYFUNCTION("""COMPUTED_VALUE"""),44585)</f>
        <v>44585</v>
      </c>
      <c r="BE312" s="141">
        <f ca="1">IFERROR(__xludf.DUMMYFUNCTION("""COMPUTED_VALUE"""),44765)</f>
        <v>44765</v>
      </c>
      <c r="BF312" s="141">
        <f ca="1">IFERROR(__xludf.DUMMYFUNCTION("""COMPUTED_VALUE"""),44949)</f>
        <v>44949</v>
      </c>
      <c r="BG312" s="141">
        <f ca="1">IFERROR(__xludf.DUMMYFUNCTION("""COMPUTED_VALUE"""),45496)</f>
        <v>45496</v>
      </c>
      <c r="BH312" s="40" t="str">
        <f ca="1">IFERROR(__xludf.DUMMYFUNCTION("""COMPUTED_VALUE"""),"FICHA EN TIEMPO-18 MESES")</f>
        <v>FICHA EN TIEMPO-18 MESES</v>
      </c>
      <c r="BI312" s="40" t="str">
        <f ca="1">IFERROR(__xludf.DUMMYFUNCTION("""COMPUTED_VALUE"""),"En ejecucion")</f>
        <v>En ejecucion</v>
      </c>
      <c r="BJ312" s="40" t="str">
        <f ca="1">IFERROR(__xludf.DUMMYFUNCTION("""COMPUTED_VALUE"""),"Yamboro")</f>
        <v>Yamboro</v>
      </c>
      <c r="BK312" s="40"/>
      <c r="BL312" s="40"/>
    </row>
    <row r="313" spans="1:64" ht="13">
      <c r="A313" s="40"/>
      <c r="B313" s="40" t="str">
        <f ca="1">IFERROR(__xludf.DUMMYFUNCTION("""COMPUTED_VALUE"""),"FORMACIÓN 18/10/2022")</f>
        <v>FORMACIÓN 18/10/2022</v>
      </c>
      <c r="C313" s="40" t="str">
        <f ca="1">IFERROR(__xludf.DUMMYFUNCTION("""COMPUTED_VALUE"""),"LUISA FERNANDA POLANIA SIERRA")</f>
        <v>LUISA FERNANDA POLANIA SIERRA</v>
      </c>
      <c r="D313" s="40" t="str">
        <f ca="1">IFERROR(__xludf.DUMMYFUNCTION("""COMPUTED_VALUE"""),"CC")</f>
        <v>CC</v>
      </c>
      <c r="E313" s="40">
        <f ca="1">IFERROR(__xludf.DUMMYFUNCTION("""COMPUTED_VALUE"""),1004418425)</f>
        <v>1004418425</v>
      </c>
      <c r="F313" s="40">
        <f ca="1">IFERROR(__xludf.DUMMYFUNCTION("""COMPUTED_VALUE"""),2451001)</f>
        <v>2451001</v>
      </c>
      <c r="G313" s="40" t="str">
        <f ca="1">IFERROR(__xludf.DUMMYFUNCTION("""COMPUTED_VALUE"""),"TÉCNICO")</f>
        <v>TÉCNICO</v>
      </c>
      <c r="H313" s="40" t="str">
        <f ca="1">IFERROR(__xludf.DUMMYFUNCTION("""COMPUTED_VALUE"""),"DIBUJO ARQUITECTÓNICO")</f>
        <v>DIBUJO ARQUITECTÓNICO</v>
      </c>
      <c r="I313" s="40">
        <f ca="1">IFERROR(__xludf.DUMMYFUNCTION("""COMPUTED_VALUE"""),3112920521)</f>
        <v>3112920521</v>
      </c>
      <c r="J313" s="40" t="str">
        <f ca="1">IFERROR(__xludf.DUMMYFUNCTION("""COMPUTED_VALUE"""),"luisafernandapolaniasierra11@gmail.com")</f>
        <v>luisafernandapolaniasierra11@gmail.com</v>
      </c>
      <c r="K313" s="40"/>
      <c r="L313" s="40" t="str">
        <f ca="1">IFERROR(__xludf.DUMMYFUNCTION("""COMPUTED_VALUE"""),"PASANTÍAS")</f>
        <v>PASANTÍAS</v>
      </c>
      <c r="M313" s="40" t="str">
        <f ca="1">IFERROR(__xludf.DUMMYFUNCTION("""COMPUTED_VALUE"""),"Centro de Gestión y Desarrollo Sostenible Surcolombiano")</f>
        <v>Centro de Gestión y Desarrollo Sostenible Surcolombiano</v>
      </c>
      <c r="N313" s="40"/>
      <c r="O313" s="40"/>
      <c r="P313" s="40"/>
      <c r="Q313" s="40"/>
      <c r="R313" s="140">
        <f ca="1">IFERROR(__xludf.DUMMYFUNCTION("""COMPUTED_VALUE"""),44778)</f>
        <v>44778</v>
      </c>
      <c r="S313" s="140">
        <f ca="1">IFERROR(__xludf.DUMMYFUNCTION("""COMPUTED_VALUE"""),44963)</f>
        <v>44963</v>
      </c>
      <c r="T313" s="40"/>
      <c r="U313" s="40" t="str">
        <f ca="1">IFERROR(__xludf.DUMMYFUNCTION("""COMPUTED_VALUE"""),"POR ASIGNAR")</f>
        <v>POR ASIGNAR</v>
      </c>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t="str">
        <f ca="1">IFERROR(__xludf.DUMMYFUNCTION("""COMPUTED_VALUE"""),"NO_CUMPLE")</f>
        <v>NO_CUMPLE</v>
      </c>
      <c r="AV313" s="40" t="str">
        <f ca="1">IFERROR(__xludf.DUMMYFUNCTION("""COMPUTED_VALUE"""),"EN FORMACION")</f>
        <v>EN FORMACION</v>
      </c>
      <c r="AW313" s="40" t="str">
        <f ca="1">IFERROR(__xludf.DUMMYFUNCTION("""COMPUTED_VALUE"""),"BIOCONSTRUCCION")</f>
        <v>BIOCONSTRUCCION</v>
      </c>
      <c r="AX313" s="141">
        <f ca="1">IFERROR(__xludf.DUMMYFUNCTION("""COMPUTED_VALUE"""),44839)</f>
        <v>44839</v>
      </c>
      <c r="AY313" s="40">
        <f ca="1">IFERROR(__xludf.DUMMYFUNCTION("""COMPUTED_VALUE"""),1)</f>
        <v>1</v>
      </c>
      <c r="AZ313" s="40">
        <f ca="1">IFERROR(__xludf.DUMMYFUNCTION("""COMPUTED_VALUE"""),1)</f>
        <v>1</v>
      </c>
      <c r="BA313" s="40">
        <f ca="1">IFERROR(__xludf.DUMMYFUNCTION("""COMPUTED_VALUE"""),0)</f>
        <v>0</v>
      </c>
      <c r="BB313" s="40">
        <f ca="1">IFERROR(__xludf.DUMMYFUNCTION("""COMPUTED_VALUE"""),0)</f>
        <v>0</v>
      </c>
      <c r="BC313" s="40">
        <f ca="1">IFERROR(__xludf.DUMMYFUNCTION("""COMPUTED_VALUE"""),2)</f>
        <v>2</v>
      </c>
      <c r="BD313" s="141">
        <f ca="1">IFERROR(__xludf.DUMMYFUNCTION("""COMPUTED_VALUE"""),44585)</f>
        <v>44585</v>
      </c>
      <c r="BE313" s="141">
        <f ca="1">IFERROR(__xludf.DUMMYFUNCTION("""COMPUTED_VALUE"""),44765)</f>
        <v>44765</v>
      </c>
      <c r="BF313" s="141">
        <f ca="1">IFERROR(__xludf.DUMMYFUNCTION("""COMPUTED_VALUE"""),44949)</f>
        <v>44949</v>
      </c>
      <c r="BG313" s="141">
        <f ca="1">IFERROR(__xludf.DUMMYFUNCTION("""COMPUTED_VALUE"""),45496)</f>
        <v>45496</v>
      </c>
      <c r="BH313" s="40" t="str">
        <f ca="1">IFERROR(__xludf.DUMMYFUNCTION("""COMPUTED_VALUE"""),"FICHA EN TIEMPO-18 MESES")</f>
        <v>FICHA EN TIEMPO-18 MESES</v>
      </c>
      <c r="BI313" s="40" t="str">
        <f ca="1">IFERROR(__xludf.DUMMYFUNCTION("""COMPUTED_VALUE"""),"En ejecucion")</f>
        <v>En ejecucion</v>
      </c>
      <c r="BJ313" s="40" t="str">
        <f ca="1">IFERROR(__xludf.DUMMYFUNCTION("""COMPUTED_VALUE"""),"Yamboro")</f>
        <v>Yamboro</v>
      </c>
      <c r="BK313" s="40"/>
      <c r="BL313" s="40"/>
    </row>
    <row r="314" spans="1:64" ht="13">
      <c r="A314" s="40"/>
      <c r="B314" s="40" t="str">
        <f ca="1">IFERROR(__xludf.DUMMYFUNCTION("""COMPUTED_VALUE"""),"FORMACIÓN 18/10/2022")</f>
        <v>FORMACIÓN 18/10/2022</v>
      </c>
      <c r="C314" s="40" t="str">
        <f ca="1">IFERROR(__xludf.DUMMYFUNCTION("""COMPUTED_VALUE"""),"ANDRES FELIPE VARGAS CORREA")</f>
        <v>ANDRES FELIPE VARGAS CORREA</v>
      </c>
      <c r="D314" s="40" t="str">
        <f ca="1">IFERROR(__xludf.DUMMYFUNCTION("""COMPUTED_VALUE"""),"CC")</f>
        <v>CC</v>
      </c>
      <c r="E314" s="40">
        <f ca="1">IFERROR(__xludf.DUMMYFUNCTION("""COMPUTED_VALUE"""),1004442136)</f>
        <v>1004442136</v>
      </c>
      <c r="F314" s="40">
        <f ca="1">IFERROR(__xludf.DUMMYFUNCTION("""COMPUTED_VALUE"""),2451001)</f>
        <v>2451001</v>
      </c>
      <c r="G314" s="40" t="str">
        <f ca="1">IFERROR(__xludf.DUMMYFUNCTION("""COMPUTED_VALUE"""),"TÉCNICO")</f>
        <v>TÉCNICO</v>
      </c>
      <c r="H314" s="40" t="str">
        <f ca="1">IFERROR(__xludf.DUMMYFUNCTION("""COMPUTED_VALUE"""),"DIBUJO ARQUITECTÓNICO")</f>
        <v>DIBUJO ARQUITECTÓNICO</v>
      </c>
      <c r="I314" s="40">
        <f ca="1">IFERROR(__xludf.DUMMYFUNCTION("""COMPUTED_VALUE"""),3209774611)</f>
        <v>3209774611</v>
      </c>
      <c r="J314" s="40" t="str">
        <f ca="1">IFERROR(__xludf.DUMMYFUNCTION("""COMPUTED_VALUE"""),"correafelipe728@gmail.com")</f>
        <v>correafelipe728@gmail.com</v>
      </c>
      <c r="K314" s="40"/>
      <c r="L314" s="40" t="str">
        <f ca="1">IFERROR(__xludf.DUMMYFUNCTION("""COMPUTED_VALUE"""),"PASANTÍAS")</f>
        <v>PASANTÍAS</v>
      </c>
      <c r="M314" s="40" t="str">
        <f ca="1">IFERROR(__xludf.DUMMYFUNCTION("""COMPUTED_VALUE"""),"Centro de Gestión y Desarrollo Sostenible Surcolombiano")</f>
        <v>Centro de Gestión y Desarrollo Sostenible Surcolombiano</v>
      </c>
      <c r="N314" s="40"/>
      <c r="O314" s="40"/>
      <c r="P314" s="40"/>
      <c r="Q314" s="40"/>
      <c r="R314" s="140">
        <f ca="1">IFERROR(__xludf.DUMMYFUNCTION("""COMPUTED_VALUE"""),44778)</f>
        <v>44778</v>
      </c>
      <c r="S314" s="140">
        <f ca="1">IFERROR(__xludf.DUMMYFUNCTION("""COMPUTED_VALUE"""),44963)</f>
        <v>44963</v>
      </c>
      <c r="T314" s="40"/>
      <c r="U314" s="40" t="str">
        <f ca="1">IFERROR(__xludf.DUMMYFUNCTION("""COMPUTED_VALUE"""),"POR ASIGNAR")</f>
        <v>POR ASIGNAR</v>
      </c>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t="str">
        <f ca="1">IFERROR(__xludf.DUMMYFUNCTION("""COMPUTED_VALUE"""),"NO_CUMPLE")</f>
        <v>NO_CUMPLE</v>
      </c>
      <c r="AV314" s="40" t="str">
        <f ca="1">IFERROR(__xludf.DUMMYFUNCTION("""COMPUTED_VALUE"""),"EN FORMACION")</f>
        <v>EN FORMACION</v>
      </c>
      <c r="AW314" s="40" t="str">
        <f ca="1">IFERROR(__xludf.DUMMYFUNCTION("""COMPUTED_VALUE"""),"BIOCONSTRUCCION")</f>
        <v>BIOCONSTRUCCION</v>
      </c>
      <c r="AX314" s="141">
        <f ca="1">IFERROR(__xludf.DUMMYFUNCTION("""COMPUTED_VALUE"""),44839)</f>
        <v>44839</v>
      </c>
      <c r="AY314" s="40">
        <f ca="1">IFERROR(__xludf.DUMMYFUNCTION("""COMPUTED_VALUE"""),1)</f>
        <v>1</v>
      </c>
      <c r="AZ314" s="40">
        <f ca="1">IFERROR(__xludf.DUMMYFUNCTION("""COMPUTED_VALUE"""),1)</f>
        <v>1</v>
      </c>
      <c r="BA314" s="40">
        <f ca="1">IFERROR(__xludf.DUMMYFUNCTION("""COMPUTED_VALUE"""),0)</f>
        <v>0</v>
      </c>
      <c r="BB314" s="40">
        <f ca="1">IFERROR(__xludf.DUMMYFUNCTION("""COMPUTED_VALUE"""),0)</f>
        <v>0</v>
      </c>
      <c r="BC314" s="40">
        <f ca="1">IFERROR(__xludf.DUMMYFUNCTION("""COMPUTED_VALUE"""),2)</f>
        <v>2</v>
      </c>
      <c r="BD314" s="141">
        <f ca="1">IFERROR(__xludf.DUMMYFUNCTION("""COMPUTED_VALUE"""),44585)</f>
        <v>44585</v>
      </c>
      <c r="BE314" s="141">
        <f ca="1">IFERROR(__xludf.DUMMYFUNCTION("""COMPUTED_VALUE"""),44765)</f>
        <v>44765</v>
      </c>
      <c r="BF314" s="141">
        <f ca="1">IFERROR(__xludf.DUMMYFUNCTION("""COMPUTED_VALUE"""),44949)</f>
        <v>44949</v>
      </c>
      <c r="BG314" s="141">
        <f ca="1">IFERROR(__xludf.DUMMYFUNCTION("""COMPUTED_VALUE"""),45496)</f>
        <v>45496</v>
      </c>
      <c r="BH314" s="40" t="str">
        <f ca="1">IFERROR(__xludf.DUMMYFUNCTION("""COMPUTED_VALUE"""),"FICHA EN TIEMPO-18 MESES")</f>
        <v>FICHA EN TIEMPO-18 MESES</v>
      </c>
      <c r="BI314" s="40" t="str">
        <f ca="1">IFERROR(__xludf.DUMMYFUNCTION("""COMPUTED_VALUE"""),"En ejecucion")</f>
        <v>En ejecucion</v>
      </c>
      <c r="BJ314" s="40" t="str">
        <f ca="1">IFERROR(__xludf.DUMMYFUNCTION("""COMPUTED_VALUE"""),"Yamboro")</f>
        <v>Yamboro</v>
      </c>
      <c r="BK314" s="40"/>
      <c r="BL314" s="40"/>
    </row>
    <row r="315" spans="1:64" ht="13">
      <c r="A315" s="40"/>
      <c r="B315" s="40" t="str">
        <f ca="1">IFERROR(__xludf.DUMMYFUNCTION("""COMPUTED_VALUE"""),"FORMACIÓN 18/10/2022")</f>
        <v>FORMACIÓN 18/10/2022</v>
      </c>
      <c r="C315" s="40" t="str">
        <f ca="1">IFERROR(__xludf.DUMMYFUNCTION("""COMPUTED_VALUE"""),"YULIANA GUZMAN GIL")</f>
        <v>YULIANA GUZMAN GIL</v>
      </c>
      <c r="D315" s="40" t="str">
        <f ca="1">IFERROR(__xludf.DUMMYFUNCTION("""COMPUTED_VALUE"""),"CC")</f>
        <v>CC</v>
      </c>
      <c r="E315" s="40">
        <f ca="1">IFERROR(__xludf.DUMMYFUNCTION("""COMPUTED_VALUE"""),1004446438)</f>
        <v>1004446438</v>
      </c>
      <c r="F315" s="40">
        <f ca="1">IFERROR(__xludf.DUMMYFUNCTION("""COMPUTED_VALUE"""),2451001)</f>
        <v>2451001</v>
      </c>
      <c r="G315" s="40" t="str">
        <f ca="1">IFERROR(__xludf.DUMMYFUNCTION("""COMPUTED_VALUE"""),"TÉCNICO")</f>
        <v>TÉCNICO</v>
      </c>
      <c r="H315" s="40" t="str">
        <f ca="1">IFERROR(__xludf.DUMMYFUNCTION("""COMPUTED_VALUE"""),"DIBUJO ARQUITECTÓNICO")</f>
        <v>DIBUJO ARQUITECTÓNICO</v>
      </c>
      <c r="I315" s="40">
        <f ca="1">IFERROR(__xludf.DUMMYFUNCTION("""COMPUTED_VALUE"""),3232270316)</f>
        <v>3232270316</v>
      </c>
      <c r="J315" s="40" t="str">
        <f ca="1">IFERROR(__xludf.DUMMYFUNCTION("""COMPUTED_VALUE"""),"yg591192@gmail.com")</f>
        <v>yg591192@gmail.com</v>
      </c>
      <c r="K315" s="40"/>
      <c r="L315" s="40" t="str">
        <f ca="1">IFERROR(__xludf.DUMMYFUNCTION("""COMPUTED_VALUE"""),"PASANTÍAS")</f>
        <v>PASANTÍAS</v>
      </c>
      <c r="M315" s="40" t="str">
        <f ca="1">IFERROR(__xludf.DUMMYFUNCTION("""COMPUTED_VALUE"""),"Centro de Gestión y Desarrollo Sostenible Surcolombiano")</f>
        <v>Centro de Gestión y Desarrollo Sostenible Surcolombiano</v>
      </c>
      <c r="N315" s="40"/>
      <c r="O315" s="40"/>
      <c r="P315" s="40"/>
      <c r="Q315" s="40"/>
      <c r="R315" s="140">
        <f ca="1">IFERROR(__xludf.DUMMYFUNCTION("""COMPUTED_VALUE"""),44778)</f>
        <v>44778</v>
      </c>
      <c r="S315" s="140">
        <f ca="1">IFERROR(__xludf.DUMMYFUNCTION("""COMPUTED_VALUE"""),44963)</f>
        <v>44963</v>
      </c>
      <c r="T315" s="40"/>
      <c r="U315" s="40" t="str">
        <f ca="1">IFERROR(__xludf.DUMMYFUNCTION("""COMPUTED_VALUE"""),"POR ASIGNAR")</f>
        <v>POR ASIGNAR</v>
      </c>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t="str">
        <f ca="1">IFERROR(__xludf.DUMMYFUNCTION("""COMPUTED_VALUE"""),"NO_CUMPLE")</f>
        <v>NO_CUMPLE</v>
      </c>
      <c r="AV315" s="40" t="str">
        <f ca="1">IFERROR(__xludf.DUMMYFUNCTION("""COMPUTED_VALUE"""),"EN FORMACION")</f>
        <v>EN FORMACION</v>
      </c>
      <c r="AW315" s="40" t="str">
        <f ca="1">IFERROR(__xludf.DUMMYFUNCTION("""COMPUTED_VALUE"""),"BIOCONSTRUCCION")</f>
        <v>BIOCONSTRUCCION</v>
      </c>
      <c r="AX315" s="141">
        <f ca="1">IFERROR(__xludf.DUMMYFUNCTION("""COMPUTED_VALUE"""),44839)</f>
        <v>44839</v>
      </c>
      <c r="AY315" s="40">
        <f ca="1">IFERROR(__xludf.DUMMYFUNCTION("""COMPUTED_VALUE"""),1)</f>
        <v>1</v>
      </c>
      <c r="AZ315" s="40">
        <f ca="1">IFERROR(__xludf.DUMMYFUNCTION("""COMPUTED_VALUE"""),1)</f>
        <v>1</v>
      </c>
      <c r="BA315" s="40">
        <f ca="1">IFERROR(__xludf.DUMMYFUNCTION("""COMPUTED_VALUE"""),0)</f>
        <v>0</v>
      </c>
      <c r="BB315" s="40">
        <f ca="1">IFERROR(__xludf.DUMMYFUNCTION("""COMPUTED_VALUE"""),0)</f>
        <v>0</v>
      </c>
      <c r="BC315" s="40">
        <f ca="1">IFERROR(__xludf.DUMMYFUNCTION("""COMPUTED_VALUE"""),2)</f>
        <v>2</v>
      </c>
      <c r="BD315" s="141">
        <f ca="1">IFERROR(__xludf.DUMMYFUNCTION("""COMPUTED_VALUE"""),44585)</f>
        <v>44585</v>
      </c>
      <c r="BE315" s="141">
        <f ca="1">IFERROR(__xludf.DUMMYFUNCTION("""COMPUTED_VALUE"""),44765)</f>
        <v>44765</v>
      </c>
      <c r="BF315" s="141">
        <f ca="1">IFERROR(__xludf.DUMMYFUNCTION("""COMPUTED_VALUE"""),44949)</f>
        <v>44949</v>
      </c>
      <c r="BG315" s="141">
        <f ca="1">IFERROR(__xludf.DUMMYFUNCTION("""COMPUTED_VALUE"""),45496)</f>
        <v>45496</v>
      </c>
      <c r="BH315" s="40" t="str">
        <f ca="1">IFERROR(__xludf.DUMMYFUNCTION("""COMPUTED_VALUE"""),"FICHA EN TIEMPO-18 MESES")</f>
        <v>FICHA EN TIEMPO-18 MESES</v>
      </c>
      <c r="BI315" s="40" t="str">
        <f ca="1">IFERROR(__xludf.DUMMYFUNCTION("""COMPUTED_VALUE"""),"En ejecucion")</f>
        <v>En ejecucion</v>
      </c>
      <c r="BJ315" s="40" t="str">
        <f ca="1">IFERROR(__xludf.DUMMYFUNCTION("""COMPUTED_VALUE"""),"Yamboro")</f>
        <v>Yamboro</v>
      </c>
      <c r="BK315" s="40"/>
      <c r="BL315" s="40"/>
    </row>
    <row r="316" spans="1:64" ht="13">
      <c r="A316" s="40"/>
      <c r="B316" s="40" t="str">
        <f ca="1">IFERROR(__xludf.DUMMYFUNCTION("""COMPUTED_VALUE"""),"FORMACIÓN 18/10/2022")</f>
        <v>FORMACIÓN 18/10/2022</v>
      </c>
      <c r="C316" s="40" t="str">
        <f ca="1">IFERROR(__xludf.DUMMYFUNCTION("""COMPUTED_VALUE"""),"LAURA SOFIA ANACONA CABRA")</f>
        <v>LAURA SOFIA ANACONA CABRA</v>
      </c>
      <c r="D316" s="40" t="str">
        <f ca="1">IFERROR(__xludf.DUMMYFUNCTION("""COMPUTED_VALUE"""),"TI")</f>
        <v>TI</v>
      </c>
      <c r="E316" s="40">
        <f ca="1">IFERROR(__xludf.DUMMYFUNCTION("""COMPUTED_VALUE"""),1031644105)</f>
        <v>1031644105</v>
      </c>
      <c r="F316" s="40">
        <f ca="1">IFERROR(__xludf.DUMMYFUNCTION("""COMPUTED_VALUE"""),2451001)</f>
        <v>2451001</v>
      </c>
      <c r="G316" s="40" t="str">
        <f ca="1">IFERROR(__xludf.DUMMYFUNCTION("""COMPUTED_VALUE"""),"TÉCNICO")</f>
        <v>TÉCNICO</v>
      </c>
      <c r="H316" s="40" t="str">
        <f ca="1">IFERROR(__xludf.DUMMYFUNCTION("""COMPUTED_VALUE"""),"DIBUJO ARQUITECTÓNICO")</f>
        <v>DIBUJO ARQUITECTÓNICO</v>
      </c>
      <c r="I316" s="40">
        <f ca="1">IFERROR(__xludf.DUMMYFUNCTION("""COMPUTED_VALUE"""),3213840677)</f>
        <v>3213840677</v>
      </c>
      <c r="J316" s="40" t="str">
        <f ca="1">IFERROR(__xludf.DUMMYFUNCTION("""COMPUTED_VALUE"""),"sofiaanacona07@gmail.com")</f>
        <v>sofiaanacona07@gmail.com</v>
      </c>
      <c r="K316" s="40"/>
      <c r="L316" s="40" t="str">
        <f ca="1">IFERROR(__xludf.DUMMYFUNCTION("""COMPUTED_VALUE"""),"PASANTÍAS")</f>
        <v>PASANTÍAS</v>
      </c>
      <c r="M316" s="40" t="str">
        <f ca="1">IFERROR(__xludf.DUMMYFUNCTION("""COMPUTED_VALUE"""),"Centro de Gestión y Desarrollo Sostenible Surcolombiano")</f>
        <v>Centro de Gestión y Desarrollo Sostenible Surcolombiano</v>
      </c>
      <c r="N316" s="40"/>
      <c r="O316" s="40"/>
      <c r="P316" s="40"/>
      <c r="Q316" s="40"/>
      <c r="R316" s="140">
        <f ca="1">IFERROR(__xludf.DUMMYFUNCTION("""COMPUTED_VALUE"""),44778)</f>
        <v>44778</v>
      </c>
      <c r="S316" s="140">
        <f ca="1">IFERROR(__xludf.DUMMYFUNCTION("""COMPUTED_VALUE"""),44963)</f>
        <v>44963</v>
      </c>
      <c r="T316" s="40"/>
      <c r="U316" s="40" t="str">
        <f ca="1">IFERROR(__xludf.DUMMYFUNCTION("""COMPUTED_VALUE"""),"POR ASIGNAR")</f>
        <v>POR ASIGNAR</v>
      </c>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t="str">
        <f ca="1">IFERROR(__xludf.DUMMYFUNCTION("""COMPUTED_VALUE"""),"NO_CUMPLE")</f>
        <v>NO_CUMPLE</v>
      </c>
      <c r="AV316" s="40" t="str">
        <f ca="1">IFERROR(__xludf.DUMMYFUNCTION("""COMPUTED_VALUE"""),"EN FORMACION")</f>
        <v>EN FORMACION</v>
      </c>
      <c r="AW316" s="40" t="str">
        <f ca="1">IFERROR(__xludf.DUMMYFUNCTION("""COMPUTED_VALUE"""),"BIOCONSTRUCCION")</f>
        <v>BIOCONSTRUCCION</v>
      </c>
      <c r="AX316" s="141">
        <f ca="1">IFERROR(__xludf.DUMMYFUNCTION("""COMPUTED_VALUE"""),44839)</f>
        <v>44839</v>
      </c>
      <c r="AY316" s="40">
        <f ca="1">IFERROR(__xludf.DUMMYFUNCTION("""COMPUTED_VALUE"""),1)</f>
        <v>1</v>
      </c>
      <c r="AZ316" s="40">
        <f ca="1">IFERROR(__xludf.DUMMYFUNCTION("""COMPUTED_VALUE"""),1)</f>
        <v>1</v>
      </c>
      <c r="BA316" s="40">
        <f ca="1">IFERROR(__xludf.DUMMYFUNCTION("""COMPUTED_VALUE"""),0)</f>
        <v>0</v>
      </c>
      <c r="BB316" s="40">
        <f ca="1">IFERROR(__xludf.DUMMYFUNCTION("""COMPUTED_VALUE"""),0)</f>
        <v>0</v>
      </c>
      <c r="BC316" s="40">
        <f ca="1">IFERROR(__xludf.DUMMYFUNCTION("""COMPUTED_VALUE"""),2)</f>
        <v>2</v>
      </c>
      <c r="BD316" s="141">
        <f ca="1">IFERROR(__xludf.DUMMYFUNCTION("""COMPUTED_VALUE"""),44585)</f>
        <v>44585</v>
      </c>
      <c r="BE316" s="141">
        <f ca="1">IFERROR(__xludf.DUMMYFUNCTION("""COMPUTED_VALUE"""),44765)</f>
        <v>44765</v>
      </c>
      <c r="BF316" s="141">
        <f ca="1">IFERROR(__xludf.DUMMYFUNCTION("""COMPUTED_VALUE"""),44949)</f>
        <v>44949</v>
      </c>
      <c r="BG316" s="141">
        <f ca="1">IFERROR(__xludf.DUMMYFUNCTION("""COMPUTED_VALUE"""),45496)</f>
        <v>45496</v>
      </c>
      <c r="BH316" s="40" t="str">
        <f ca="1">IFERROR(__xludf.DUMMYFUNCTION("""COMPUTED_VALUE"""),"FICHA EN TIEMPO-18 MESES")</f>
        <v>FICHA EN TIEMPO-18 MESES</v>
      </c>
      <c r="BI316" s="40" t="str">
        <f ca="1">IFERROR(__xludf.DUMMYFUNCTION("""COMPUTED_VALUE"""),"En ejecucion")</f>
        <v>En ejecucion</v>
      </c>
      <c r="BJ316" s="40" t="str">
        <f ca="1">IFERROR(__xludf.DUMMYFUNCTION("""COMPUTED_VALUE"""),"Yamboro")</f>
        <v>Yamboro</v>
      </c>
      <c r="BK316" s="40"/>
      <c r="BL316" s="40"/>
    </row>
    <row r="317" spans="1:64" ht="13">
      <c r="A317" s="40"/>
      <c r="B317" s="40" t="str">
        <f ca="1">IFERROR(__xludf.DUMMYFUNCTION("""COMPUTED_VALUE"""),"FORMACIÓN 18/10/2022")</f>
        <v>FORMACIÓN 18/10/2022</v>
      </c>
      <c r="C317" s="40" t="str">
        <f ca="1">IFERROR(__xludf.DUMMYFUNCTION("""COMPUTED_VALUE"""),"MAIRA GISEL ROBLES URBANO")</f>
        <v>MAIRA GISEL ROBLES URBANO</v>
      </c>
      <c r="D317" s="40" t="str">
        <f ca="1">IFERROR(__xludf.DUMMYFUNCTION("""COMPUTED_VALUE"""),"TI")</f>
        <v>TI</v>
      </c>
      <c r="E317" s="40">
        <f ca="1">IFERROR(__xludf.DUMMYFUNCTION("""COMPUTED_VALUE"""),1058962010)</f>
        <v>1058962010</v>
      </c>
      <c r="F317" s="40">
        <f ca="1">IFERROR(__xludf.DUMMYFUNCTION("""COMPUTED_VALUE"""),2451001)</f>
        <v>2451001</v>
      </c>
      <c r="G317" s="40" t="str">
        <f ca="1">IFERROR(__xludf.DUMMYFUNCTION("""COMPUTED_VALUE"""),"TÉCNICO")</f>
        <v>TÉCNICO</v>
      </c>
      <c r="H317" s="40" t="str">
        <f ca="1">IFERROR(__xludf.DUMMYFUNCTION("""COMPUTED_VALUE"""),"DIBUJO ARQUITECTÓNICO")</f>
        <v>DIBUJO ARQUITECTÓNICO</v>
      </c>
      <c r="I317" s="40">
        <f ca="1">IFERROR(__xludf.DUMMYFUNCTION("""COMPUTED_VALUE"""),3222491933)</f>
        <v>3222491933</v>
      </c>
      <c r="J317" s="40" t="str">
        <f ca="1">IFERROR(__xludf.DUMMYFUNCTION("""COMPUTED_VALUE"""),"mairarobles362@gmail.com")</f>
        <v>mairarobles362@gmail.com</v>
      </c>
      <c r="K317" s="40"/>
      <c r="L317" s="40" t="str">
        <f ca="1">IFERROR(__xludf.DUMMYFUNCTION("""COMPUTED_VALUE"""),"PASANTÍAS")</f>
        <v>PASANTÍAS</v>
      </c>
      <c r="M317" s="40" t="str">
        <f ca="1">IFERROR(__xludf.DUMMYFUNCTION("""COMPUTED_VALUE"""),"Centro de Gestión y Desarrollo Sostenible Surcolombiano")</f>
        <v>Centro de Gestión y Desarrollo Sostenible Surcolombiano</v>
      </c>
      <c r="N317" s="40"/>
      <c r="O317" s="40"/>
      <c r="P317" s="40"/>
      <c r="Q317" s="40"/>
      <c r="R317" s="140">
        <f ca="1">IFERROR(__xludf.DUMMYFUNCTION("""COMPUTED_VALUE"""),44778)</f>
        <v>44778</v>
      </c>
      <c r="S317" s="140">
        <f ca="1">IFERROR(__xludf.DUMMYFUNCTION("""COMPUTED_VALUE"""),44963)</f>
        <v>44963</v>
      </c>
      <c r="T317" s="40"/>
      <c r="U317" s="40" t="str">
        <f ca="1">IFERROR(__xludf.DUMMYFUNCTION("""COMPUTED_VALUE"""),"POR ASIGNAR")</f>
        <v>POR ASIGNAR</v>
      </c>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t="str">
        <f ca="1">IFERROR(__xludf.DUMMYFUNCTION("""COMPUTED_VALUE"""),"NO_CUMPLE")</f>
        <v>NO_CUMPLE</v>
      </c>
      <c r="AV317" s="40" t="str">
        <f ca="1">IFERROR(__xludf.DUMMYFUNCTION("""COMPUTED_VALUE"""),"EN FORMACION")</f>
        <v>EN FORMACION</v>
      </c>
      <c r="AW317" s="40" t="str">
        <f ca="1">IFERROR(__xludf.DUMMYFUNCTION("""COMPUTED_VALUE"""),"BIOCONSTRUCCION")</f>
        <v>BIOCONSTRUCCION</v>
      </c>
      <c r="AX317" s="141">
        <f ca="1">IFERROR(__xludf.DUMMYFUNCTION("""COMPUTED_VALUE"""),44839)</f>
        <v>44839</v>
      </c>
      <c r="AY317" s="40">
        <f ca="1">IFERROR(__xludf.DUMMYFUNCTION("""COMPUTED_VALUE"""),1)</f>
        <v>1</v>
      </c>
      <c r="AZ317" s="40">
        <f ca="1">IFERROR(__xludf.DUMMYFUNCTION("""COMPUTED_VALUE"""),1)</f>
        <v>1</v>
      </c>
      <c r="BA317" s="40">
        <f ca="1">IFERROR(__xludf.DUMMYFUNCTION("""COMPUTED_VALUE"""),0)</f>
        <v>0</v>
      </c>
      <c r="BB317" s="40">
        <f ca="1">IFERROR(__xludf.DUMMYFUNCTION("""COMPUTED_VALUE"""),0)</f>
        <v>0</v>
      </c>
      <c r="BC317" s="40">
        <f ca="1">IFERROR(__xludf.DUMMYFUNCTION("""COMPUTED_VALUE"""),2)</f>
        <v>2</v>
      </c>
      <c r="BD317" s="141">
        <f ca="1">IFERROR(__xludf.DUMMYFUNCTION("""COMPUTED_VALUE"""),44585)</f>
        <v>44585</v>
      </c>
      <c r="BE317" s="141">
        <f ca="1">IFERROR(__xludf.DUMMYFUNCTION("""COMPUTED_VALUE"""),44765)</f>
        <v>44765</v>
      </c>
      <c r="BF317" s="141">
        <f ca="1">IFERROR(__xludf.DUMMYFUNCTION("""COMPUTED_VALUE"""),44949)</f>
        <v>44949</v>
      </c>
      <c r="BG317" s="141">
        <f ca="1">IFERROR(__xludf.DUMMYFUNCTION("""COMPUTED_VALUE"""),45496)</f>
        <v>45496</v>
      </c>
      <c r="BH317" s="40" t="str">
        <f ca="1">IFERROR(__xludf.DUMMYFUNCTION("""COMPUTED_VALUE"""),"FICHA EN TIEMPO-18 MESES")</f>
        <v>FICHA EN TIEMPO-18 MESES</v>
      </c>
      <c r="BI317" s="40" t="str">
        <f ca="1">IFERROR(__xludf.DUMMYFUNCTION("""COMPUTED_VALUE"""),"En ejecucion")</f>
        <v>En ejecucion</v>
      </c>
      <c r="BJ317" s="40" t="str">
        <f ca="1">IFERROR(__xludf.DUMMYFUNCTION("""COMPUTED_VALUE"""),"Yamboro")</f>
        <v>Yamboro</v>
      </c>
      <c r="BK317" s="40"/>
      <c r="BL317" s="40"/>
    </row>
    <row r="318" spans="1:64" ht="13">
      <c r="A318" s="40"/>
      <c r="B318" s="40" t="str">
        <f ca="1">IFERROR(__xludf.DUMMYFUNCTION("""COMPUTED_VALUE"""),"FORMACIÓN 18/10/2022")</f>
        <v>FORMACIÓN 18/10/2022</v>
      </c>
      <c r="C318" s="40" t="str">
        <f ca="1">IFERROR(__xludf.DUMMYFUNCTION("""COMPUTED_VALUE"""),"JESUS DAVID CRUZ SALAZAR")</f>
        <v>JESUS DAVID CRUZ SALAZAR</v>
      </c>
      <c r="D318" s="40" t="str">
        <f ca="1">IFERROR(__xludf.DUMMYFUNCTION("""COMPUTED_VALUE"""),"TI")</f>
        <v>TI</v>
      </c>
      <c r="E318" s="40">
        <f ca="1">IFERROR(__xludf.DUMMYFUNCTION("""COMPUTED_VALUE"""),1077226632)</f>
        <v>1077226632</v>
      </c>
      <c r="F318" s="40">
        <f ca="1">IFERROR(__xludf.DUMMYFUNCTION("""COMPUTED_VALUE"""),2451001)</f>
        <v>2451001</v>
      </c>
      <c r="G318" s="40" t="str">
        <f ca="1">IFERROR(__xludf.DUMMYFUNCTION("""COMPUTED_VALUE"""),"TÉCNICO")</f>
        <v>TÉCNICO</v>
      </c>
      <c r="H318" s="40" t="str">
        <f ca="1">IFERROR(__xludf.DUMMYFUNCTION("""COMPUTED_VALUE"""),"DIBUJO ARQUITECTÓNICO")</f>
        <v>DIBUJO ARQUITECTÓNICO</v>
      </c>
      <c r="I318" s="40">
        <f ca="1">IFERROR(__xludf.DUMMYFUNCTION("""COMPUTED_VALUE"""),3138274907)</f>
        <v>3138274907</v>
      </c>
      <c r="J318" s="40" t="str">
        <f ca="1">IFERROR(__xludf.DUMMYFUNCTION("""COMPUTED_VALUE"""),"No.ing.linamariatello@gmail.com")</f>
        <v>No.ing.linamariatello@gmail.com</v>
      </c>
      <c r="K318" s="40"/>
      <c r="L318" s="40" t="str">
        <f ca="1">IFERROR(__xludf.DUMMYFUNCTION("""COMPUTED_VALUE"""),"PASANTÍAS")</f>
        <v>PASANTÍAS</v>
      </c>
      <c r="M318" s="40" t="str">
        <f ca="1">IFERROR(__xludf.DUMMYFUNCTION("""COMPUTED_VALUE"""),"Ing. Civil LINA MARÍA TELLO CARVAJAL")</f>
        <v>Ing. Civil LINA MARÍA TELLO CARVAJAL</v>
      </c>
      <c r="N318" s="40"/>
      <c r="O318" s="40"/>
      <c r="P318" s="40"/>
      <c r="Q318" s="40"/>
      <c r="R318" s="140">
        <f ca="1">IFERROR(__xludf.DUMMYFUNCTION("""COMPUTED_VALUE"""),44806)</f>
        <v>44806</v>
      </c>
      <c r="S318" s="140">
        <f ca="1">IFERROR(__xludf.DUMMYFUNCTION("""COMPUTED_VALUE"""),44960)</f>
        <v>44960</v>
      </c>
      <c r="T318" s="40"/>
      <c r="U318" s="40" t="str">
        <f ca="1">IFERROR(__xludf.DUMMYFUNCTION("""COMPUTED_VALUE"""),"Sergio Alejandro Muñoz - ASIGNADO")</f>
        <v>Sergio Alejandro Muñoz - ASIGNADO</v>
      </c>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t="str">
        <f ca="1">IFERROR(__xludf.DUMMYFUNCTION("""COMPUTED_VALUE"""),"NO_CUMPLE")</f>
        <v>NO_CUMPLE</v>
      </c>
      <c r="AV318" s="40" t="str">
        <f ca="1">IFERROR(__xludf.DUMMYFUNCTION("""COMPUTED_VALUE"""),"EN FORMACION")</f>
        <v>EN FORMACION</v>
      </c>
      <c r="AW318" s="40" t="str">
        <f ca="1">IFERROR(__xludf.DUMMYFUNCTION("""COMPUTED_VALUE"""),"BIOCONSTRUCCION")</f>
        <v>BIOCONSTRUCCION</v>
      </c>
      <c r="AX318" s="141">
        <f ca="1">IFERROR(__xludf.DUMMYFUNCTION("""COMPUTED_VALUE"""),44839)</f>
        <v>44839</v>
      </c>
      <c r="AY318" s="40">
        <f ca="1">IFERROR(__xludf.DUMMYFUNCTION("""COMPUTED_VALUE"""),1)</f>
        <v>1</v>
      </c>
      <c r="AZ318" s="40">
        <f ca="1">IFERROR(__xludf.DUMMYFUNCTION("""COMPUTED_VALUE"""),1)</f>
        <v>1</v>
      </c>
      <c r="BA318" s="40">
        <f ca="1">IFERROR(__xludf.DUMMYFUNCTION("""COMPUTED_VALUE"""),0)</f>
        <v>0</v>
      </c>
      <c r="BB318" s="40">
        <f ca="1">IFERROR(__xludf.DUMMYFUNCTION("""COMPUTED_VALUE"""),0)</f>
        <v>0</v>
      </c>
      <c r="BC318" s="40">
        <f ca="1">IFERROR(__xludf.DUMMYFUNCTION("""COMPUTED_VALUE"""),2)</f>
        <v>2</v>
      </c>
      <c r="BD318" s="141">
        <f ca="1">IFERROR(__xludf.DUMMYFUNCTION("""COMPUTED_VALUE"""),44585)</f>
        <v>44585</v>
      </c>
      <c r="BE318" s="141">
        <f ca="1">IFERROR(__xludf.DUMMYFUNCTION("""COMPUTED_VALUE"""),44765)</f>
        <v>44765</v>
      </c>
      <c r="BF318" s="141">
        <f ca="1">IFERROR(__xludf.DUMMYFUNCTION("""COMPUTED_VALUE"""),44949)</f>
        <v>44949</v>
      </c>
      <c r="BG318" s="141">
        <f ca="1">IFERROR(__xludf.DUMMYFUNCTION("""COMPUTED_VALUE"""),45496)</f>
        <v>45496</v>
      </c>
      <c r="BH318" s="40" t="str">
        <f ca="1">IFERROR(__xludf.DUMMYFUNCTION("""COMPUTED_VALUE"""),"FICHA EN TIEMPO-18 MESES")</f>
        <v>FICHA EN TIEMPO-18 MESES</v>
      </c>
      <c r="BI318" s="40" t="str">
        <f ca="1">IFERROR(__xludf.DUMMYFUNCTION("""COMPUTED_VALUE"""),"En ejecucion")</f>
        <v>En ejecucion</v>
      </c>
      <c r="BJ318" s="40" t="str">
        <f ca="1">IFERROR(__xludf.DUMMYFUNCTION("""COMPUTED_VALUE"""),"Yamboro")</f>
        <v>Yamboro</v>
      </c>
      <c r="BK318" s="40"/>
      <c r="BL318" s="40"/>
    </row>
    <row r="319" spans="1:64" ht="13">
      <c r="A319" s="40"/>
      <c r="B319" s="40" t="str">
        <f ca="1">IFERROR(__xludf.DUMMYFUNCTION("""COMPUTED_VALUE"""),"FORMACIÓN 18/10/2022")</f>
        <v>FORMACIÓN 18/10/2022</v>
      </c>
      <c r="C319" s="40" t="str">
        <f ca="1">IFERROR(__xludf.DUMMYFUNCTION("""COMPUTED_VALUE"""),"SEBASTIAN ZUÑIGA CHAUX")</f>
        <v>SEBASTIAN ZUÑIGA CHAUX</v>
      </c>
      <c r="D319" s="40" t="str">
        <f ca="1">IFERROR(__xludf.DUMMYFUNCTION("""COMPUTED_VALUE"""),"CC")</f>
        <v>CC</v>
      </c>
      <c r="E319" s="40">
        <f ca="1">IFERROR(__xludf.DUMMYFUNCTION("""COMPUTED_VALUE"""),1080930325)</f>
        <v>1080930325</v>
      </c>
      <c r="F319" s="40">
        <f ca="1">IFERROR(__xludf.DUMMYFUNCTION("""COMPUTED_VALUE"""),2451001)</f>
        <v>2451001</v>
      </c>
      <c r="G319" s="40" t="str">
        <f ca="1">IFERROR(__xludf.DUMMYFUNCTION("""COMPUTED_VALUE"""),"TÉCNICO")</f>
        <v>TÉCNICO</v>
      </c>
      <c r="H319" s="40" t="str">
        <f ca="1">IFERROR(__xludf.DUMMYFUNCTION("""COMPUTED_VALUE"""),"DIBUJO ARQUITECTÓNICO")</f>
        <v>DIBUJO ARQUITECTÓNICO</v>
      </c>
      <c r="I319" s="40">
        <f ca="1">IFERROR(__xludf.DUMMYFUNCTION("""COMPUTED_VALUE"""),3185680539)</f>
        <v>3185680539</v>
      </c>
      <c r="J319" s="40" t="str">
        <f ca="1">IFERROR(__xludf.DUMMYFUNCTION("""COMPUTED_VALUE"""),"sebastianzuñigachaux@gmail.com")</f>
        <v>sebastianzuñigachaux@gmail.com</v>
      </c>
      <c r="K319" s="40"/>
      <c r="L319" s="40" t="str">
        <f ca="1">IFERROR(__xludf.DUMMYFUNCTION("""COMPUTED_VALUE"""),"PASANTÍAS")</f>
        <v>PASANTÍAS</v>
      </c>
      <c r="M319" s="40" t="str">
        <f ca="1">IFERROR(__xludf.DUMMYFUNCTION("""COMPUTED_VALUE"""),"Municipio de Timaná Huila")</f>
        <v>Municipio de Timaná Huila</v>
      </c>
      <c r="N319" s="40"/>
      <c r="O319" s="40"/>
      <c r="P319" s="40"/>
      <c r="Q319" s="40"/>
      <c r="R319" s="140">
        <f ca="1">IFERROR(__xludf.DUMMYFUNCTION("""COMPUTED_VALUE"""),44781)</f>
        <v>44781</v>
      </c>
      <c r="S319" s="140">
        <f ca="1">IFERROR(__xludf.DUMMYFUNCTION("""COMPUTED_VALUE"""),44963)</f>
        <v>44963</v>
      </c>
      <c r="T319" s="40"/>
      <c r="U319" s="40" t="str">
        <f ca="1">IFERROR(__xludf.DUMMYFUNCTION("""COMPUTED_VALUE"""),"POR ASIGNAR")</f>
        <v>POR ASIGNAR</v>
      </c>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t="str">
        <f ca="1">IFERROR(__xludf.DUMMYFUNCTION("""COMPUTED_VALUE"""),"NO_CUMPLE")</f>
        <v>NO_CUMPLE</v>
      </c>
      <c r="AV319" s="40" t="str">
        <f ca="1">IFERROR(__xludf.DUMMYFUNCTION("""COMPUTED_VALUE"""),"EN FORMACION")</f>
        <v>EN FORMACION</v>
      </c>
      <c r="AW319" s="40" t="str">
        <f ca="1">IFERROR(__xludf.DUMMYFUNCTION("""COMPUTED_VALUE"""),"BIOCONSTRUCCION")</f>
        <v>BIOCONSTRUCCION</v>
      </c>
      <c r="AX319" s="141">
        <f ca="1">IFERROR(__xludf.DUMMYFUNCTION("""COMPUTED_VALUE"""),44839)</f>
        <v>44839</v>
      </c>
      <c r="AY319" s="40">
        <f ca="1">IFERROR(__xludf.DUMMYFUNCTION("""COMPUTED_VALUE"""),1)</f>
        <v>1</v>
      </c>
      <c r="AZ319" s="40">
        <f ca="1">IFERROR(__xludf.DUMMYFUNCTION("""COMPUTED_VALUE"""),1)</f>
        <v>1</v>
      </c>
      <c r="BA319" s="40">
        <f ca="1">IFERROR(__xludf.DUMMYFUNCTION("""COMPUTED_VALUE"""),0)</f>
        <v>0</v>
      </c>
      <c r="BB319" s="40">
        <f ca="1">IFERROR(__xludf.DUMMYFUNCTION("""COMPUTED_VALUE"""),0)</f>
        <v>0</v>
      </c>
      <c r="BC319" s="40">
        <f ca="1">IFERROR(__xludf.DUMMYFUNCTION("""COMPUTED_VALUE"""),2)</f>
        <v>2</v>
      </c>
      <c r="BD319" s="141">
        <f ca="1">IFERROR(__xludf.DUMMYFUNCTION("""COMPUTED_VALUE"""),44585)</f>
        <v>44585</v>
      </c>
      <c r="BE319" s="141">
        <f ca="1">IFERROR(__xludf.DUMMYFUNCTION("""COMPUTED_VALUE"""),44765)</f>
        <v>44765</v>
      </c>
      <c r="BF319" s="141">
        <f ca="1">IFERROR(__xludf.DUMMYFUNCTION("""COMPUTED_VALUE"""),44949)</f>
        <v>44949</v>
      </c>
      <c r="BG319" s="141">
        <f ca="1">IFERROR(__xludf.DUMMYFUNCTION("""COMPUTED_VALUE"""),45496)</f>
        <v>45496</v>
      </c>
      <c r="BH319" s="40" t="str">
        <f ca="1">IFERROR(__xludf.DUMMYFUNCTION("""COMPUTED_VALUE"""),"FICHA EN TIEMPO-18 MESES")</f>
        <v>FICHA EN TIEMPO-18 MESES</v>
      </c>
      <c r="BI319" s="40" t="str">
        <f ca="1">IFERROR(__xludf.DUMMYFUNCTION("""COMPUTED_VALUE"""),"En ejecucion")</f>
        <v>En ejecucion</v>
      </c>
      <c r="BJ319" s="40" t="str">
        <f ca="1">IFERROR(__xludf.DUMMYFUNCTION("""COMPUTED_VALUE"""),"Yamboro")</f>
        <v>Yamboro</v>
      </c>
      <c r="BK319" s="40"/>
      <c r="BL319" s="40"/>
    </row>
    <row r="320" spans="1:64" ht="13">
      <c r="A320" s="40"/>
      <c r="B320" s="40" t="str">
        <f ca="1">IFERROR(__xludf.DUMMYFUNCTION("""COMPUTED_VALUE"""),"FORMACIÓN 18/10/2022")</f>
        <v>FORMACIÓN 18/10/2022</v>
      </c>
      <c r="C320" s="40" t="str">
        <f ca="1">IFERROR(__xludf.DUMMYFUNCTION("""COMPUTED_VALUE"""),"NATALIA RODRIGUEZ OSORIO")</f>
        <v>NATALIA RODRIGUEZ OSORIO</v>
      </c>
      <c r="D320" s="40" t="str">
        <f ca="1">IFERROR(__xludf.DUMMYFUNCTION("""COMPUTED_VALUE"""),"TI")</f>
        <v>TI</v>
      </c>
      <c r="E320" s="40">
        <f ca="1">IFERROR(__xludf.DUMMYFUNCTION("""COMPUTED_VALUE"""),1080931418)</f>
        <v>1080931418</v>
      </c>
      <c r="F320" s="40">
        <f ca="1">IFERROR(__xludf.DUMMYFUNCTION("""COMPUTED_VALUE"""),2451001)</f>
        <v>2451001</v>
      </c>
      <c r="G320" s="40" t="str">
        <f ca="1">IFERROR(__xludf.DUMMYFUNCTION("""COMPUTED_VALUE"""),"TÉCNICO")</f>
        <v>TÉCNICO</v>
      </c>
      <c r="H320" s="40" t="str">
        <f ca="1">IFERROR(__xludf.DUMMYFUNCTION("""COMPUTED_VALUE"""),"DIBUJO ARQUITECTÓNICO")</f>
        <v>DIBUJO ARQUITECTÓNICO</v>
      </c>
      <c r="I320" s="40">
        <f ca="1">IFERROR(__xludf.DUMMYFUNCTION("""COMPUTED_VALUE"""),3209539198)</f>
        <v>3209539198</v>
      </c>
      <c r="J320" s="40" t="str">
        <f ca="1">IFERROR(__xludf.DUMMYFUNCTION("""COMPUTED_VALUE"""),"natarodri.1505@gmail.com")</f>
        <v>natarodri.1505@gmail.com</v>
      </c>
      <c r="K320" s="40"/>
      <c r="L320" s="40" t="str">
        <f ca="1">IFERROR(__xludf.DUMMYFUNCTION("""COMPUTED_VALUE"""),"PASANTÍAS")</f>
        <v>PASANTÍAS</v>
      </c>
      <c r="M320" s="40" t="str">
        <f ca="1">IFERROR(__xludf.DUMMYFUNCTION("""COMPUTED_VALUE"""),"Centro de Gestión y Desarrollo Sostenible Surcolombiano")</f>
        <v>Centro de Gestión y Desarrollo Sostenible Surcolombiano</v>
      </c>
      <c r="N320" s="40"/>
      <c r="O320" s="40"/>
      <c r="P320" s="40"/>
      <c r="Q320" s="40"/>
      <c r="R320" s="140">
        <f ca="1">IFERROR(__xludf.DUMMYFUNCTION("""COMPUTED_VALUE"""),44778)</f>
        <v>44778</v>
      </c>
      <c r="S320" s="140">
        <f ca="1">IFERROR(__xludf.DUMMYFUNCTION("""COMPUTED_VALUE"""),44963)</f>
        <v>44963</v>
      </c>
      <c r="T320" s="40"/>
      <c r="U320" s="40" t="str">
        <f ca="1">IFERROR(__xludf.DUMMYFUNCTION("""COMPUTED_VALUE"""),"POR ASIGNAR")</f>
        <v>POR ASIGNAR</v>
      </c>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t="str">
        <f ca="1">IFERROR(__xludf.DUMMYFUNCTION("""COMPUTED_VALUE"""),"NO_CUMPLE")</f>
        <v>NO_CUMPLE</v>
      </c>
      <c r="AV320" s="40" t="str">
        <f ca="1">IFERROR(__xludf.DUMMYFUNCTION("""COMPUTED_VALUE"""),"EN FORMACION")</f>
        <v>EN FORMACION</v>
      </c>
      <c r="AW320" s="40" t="str">
        <f ca="1">IFERROR(__xludf.DUMMYFUNCTION("""COMPUTED_VALUE"""),"BIOCONSTRUCCION")</f>
        <v>BIOCONSTRUCCION</v>
      </c>
      <c r="AX320" s="141">
        <f ca="1">IFERROR(__xludf.DUMMYFUNCTION("""COMPUTED_VALUE"""),44839)</f>
        <v>44839</v>
      </c>
      <c r="AY320" s="40">
        <f ca="1">IFERROR(__xludf.DUMMYFUNCTION("""COMPUTED_VALUE"""),1)</f>
        <v>1</v>
      </c>
      <c r="AZ320" s="40">
        <f ca="1">IFERROR(__xludf.DUMMYFUNCTION("""COMPUTED_VALUE"""),1)</f>
        <v>1</v>
      </c>
      <c r="BA320" s="40">
        <f ca="1">IFERROR(__xludf.DUMMYFUNCTION("""COMPUTED_VALUE"""),0)</f>
        <v>0</v>
      </c>
      <c r="BB320" s="40">
        <f ca="1">IFERROR(__xludf.DUMMYFUNCTION("""COMPUTED_VALUE"""),0)</f>
        <v>0</v>
      </c>
      <c r="BC320" s="40">
        <f ca="1">IFERROR(__xludf.DUMMYFUNCTION("""COMPUTED_VALUE"""),2)</f>
        <v>2</v>
      </c>
      <c r="BD320" s="141">
        <f ca="1">IFERROR(__xludf.DUMMYFUNCTION("""COMPUTED_VALUE"""),44585)</f>
        <v>44585</v>
      </c>
      <c r="BE320" s="141">
        <f ca="1">IFERROR(__xludf.DUMMYFUNCTION("""COMPUTED_VALUE"""),44765)</f>
        <v>44765</v>
      </c>
      <c r="BF320" s="141">
        <f ca="1">IFERROR(__xludf.DUMMYFUNCTION("""COMPUTED_VALUE"""),44949)</f>
        <v>44949</v>
      </c>
      <c r="BG320" s="141">
        <f ca="1">IFERROR(__xludf.DUMMYFUNCTION("""COMPUTED_VALUE"""),45496)</f>
        <v>45496</v>
      </c>
      <c r="BH320" s="40" t="str">
        <f ca="1">IFERROR(__xludf.DUMMYFUNCTION("""COMPUTED_VALUE"""),"FICHA EN TIEMPO-18 MESES")</f>
        <v>FICHA EN TIEMPO-18 MESES</v>
      </c>
      <c r="BI320" s="40" t="str">
        <f ca="1">IFERROR(__xludf.DUMMYFUNCTION("""COMPUTED_VALUE"""),"En ejecucion")</f>
        <v>En ejecucion</v>
      </c>
      <c r="BJ320" s="40" t="str">
        <f ca="1">IFERROR(__xludf.DUMMYFUNCTION("""COMPUTED_VALUE"""),"Yamboro")</f>
        <v>Yamboro</v>
      </c>
      <c r="BK320" s="40"/>
      <c r="BL320" s="40"/>
    </row>
    <row r="321" spans="1:64" ht="13">
      <c r="A321" s="40"/>
      <c r="B321" s="40" t="str">
        <f ca="1">IFERROR(__xludf.DUMMYFUNCTION("""COMPUTED_VALUE"""),"FORMACIÓN 18/10/2022")</f>
        <v>FORMACIÓN 18/10/2022</v>
      </c>
      <c r="C321" s="40" t="str">
        <f ca="1">IFERROR(__xludf.DUMMYFUNCTION("""COMPUTED_VALUE"""),"WILLINTON STIVEN TRUJILLO IMBACHI")</f>
        <v>WILLINTON STIVEN TRUJILLO IMBACHI</v>
      </c>
      <c r="D321" s="40" t="str">
        <f ca="1">IFERROR(__xludf.DUMMYFUNCTION("""COMPUTED_VALUE"""),"TI")</f>
        <v>TI</v>
      </c>
      <c r="E321" s="40">
        <f ca="1">IFERROR(__xludf.DUMMYFUNCTION("""COMPUTED_VALUE"""),1081699614)</f>
        <v>1081699614</v>
      </c>
      <c r="F321" s="40">
        <f ca="1">IFERROR(__xludf.DUMMYFUNCTION("""COMPUTED_VALUE"""),2451001)</f>
        <v>2451001</v>
      </c>
      <c r="G321" s="40" t="str">
        <f ca="1">IFERROR(__xludf.DUMMYFUNCTION("""COMPUTED_VALUE"""),"TÉCNICO")</f>
        <v>TÉCNICO</v>
      </c>
      <c r="H321" s="40" t="str">
        <f ca="1">IFERROR(__xludf.DUMMYFUNCTION("""COMPUTED_VALUE"""),"DIBUJO ARQUITECTÓNICO")</f>
        <v>DIBUJO ARQUITECTÓNICO</v>
      </c>
      <c r="I321" s="40">
        <f ca="1">IFERROR(__xludf.DUMMYFUNCTION("""COMPUTED_VALUE"""),3209671025)</f>
        <v>3209671025</v>
      </c>
      <c r="J321" s="40" t="str">
        <f ca="1">IFERROR(__xludf.DUMMYFUNCTION("""COMPUTED_VALUE"""),"trujillostiven07@gmail.com")</f>
        <v>trujillostiven07@gmail.com</v>
      </c>
      <c r="K321" s="40"/>
      <c r="L321" s="40" t="str">
        <f ca="1">IFERROR(__xludf.DUMMYFUNCTION("""COMPUTED_VALUE"""),"PASANTÍAS")</f>
        <v>PASANTÍAS</v>
      </c>
      <c r="M321" s="40" t="str">
        <f ca="1">IFERROR(__xludf.DUMMYFUNCTION("""COMPUTED_VALUE"""),"Centro de Gestión y Desarrollo Sostenible Surcolombiano")</f>
        <v>Centro de Gestión y Desarrollo Sostenible Surcolombiano</v>
      </c>
      <c r="N321" s="40"/>
      <c r="O321" s="40"/>
      <c r="P321" s="40"/>
      <c r="Q321" s="40"/>
      <c r="R321" s="140">
        <f ca="1">IFERROR(__xludf.DUMMYFUNCTION("""COMPUTED_VALUE"""),44778)</f>
        <v>44778</v>
      </c>
      <c r="S321" s="140">
        <f ca="1">IFERROR(__xludf.DUMMYFUNCTION("""COMPUTED_VALUE"""),44963)</f>
        <v>44963</v>
      </c>
      <c r="T321" s="40"/>
      <c r="U321" s="40" t="str">
        <f ca="1">IFERROR(__xludf.DUMMYFUNCTION("""COMPUTED_VALUE"""),"POR ASIGNAR")</f>
        <v>POR ASIGNAR</v>
      </c>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t="str">
        <f ca="1">IFERROR(__xludf.DUMMYFUNCTION("""COMPUTED_VALUE"""),"NO_CUMPLE")</f>
        <v>NO_CUMPLE</v>
      </c>
      <c r="AV321" s="40" t="str">
        <f ca="1">IFERROR(__xludf.DUMMYFUNCTION("""COMPUTED_VALUE"""),"EN FORMACION")</f>
        <v>EN FORMACION</v>
      </c>
      <c r="AW321" s="40" t="str">
        <f ca="1">IFERROR(__xludf.DUMMYFUNCTION("""COMPUTED_VALUE"""),"BIOCONSTRUCCION")</f>
        <v>BIOCONSTRUCCION</v>
      </c>
      <c r="AX321" s="141">
        <f ca="1">IFERROR(__xludf.DUMMYFUNCTION("""COMPUTED_VALUE"""),44839)</f>
        <v>44839</v>
      </c>
      <c r="AY321" s="40">
        <f ca="1">IFERROR(__xludf.DUMMYFUNCTION("""COMPUTED_VALUE"""),1)</f>
        <v>1</v>
      </c>
      <c r="AZ321" s="40">
        <f ca="1">IFERROR(__xludf.DUMMYFUNCTION("""COMPUTED_VALUE"""),1)</f>
        <v>1</v>
      </c>
      <c r="BA321" s="40">
        <f ca="1">IFERROR(__xludf.DUMMYFUNCTION("""COMPUTED_VALUE"""),0)</f>
        <v>0</v>
      </c>
      <c r="BB321" s="40">
        <f ca="1">IFERROR(__xludf.DUMMYFUNCTION("""COMPUTED_VALUE"""),0)</f>
        <v>0</v>
      </c>
      <c r="BC321" s="40">
        <f ca="1">IFERROR(__xludf.DUMMYFUNCTION("""COMPUTED_VALUE"""),2)</f>
        <v>2</v>
      </c>
      <c r="BD321" s="141">
        <f ca="1">IFERROR(__xludf.DUMMYFUNCTION("""COMPUTED_VALUE"""),44585)</f>
        <v>44585</v>
      </c>
      <c r="BE321" s="141">
        <f ca="1">IFERROR(__xludf.DUMMYFUNCTION("""COMPUTED_VALUE"""),44765)</f>
        <v>44765</v>
      </c>
      <c r="BF321" s="141">
        <f ca="1">IFERROR(__xludf.DUMMYFUNCTION("""COMPUTED_VALUE"""),44949)</f>
        <v>44949</v>
      </c>
      <c r="BG321" s="141">
        <f ca="1">IFERROR(__xludf.DUMMYFUNCTION("""COMPUTED_VALUE"""),45496)</f>
        <v>45496</v>
      </c>
      <c r="BH321" s="40" t="str">
        <f ca="1">IFERROR(__xludf.DUMMYFUNCTION("""COMPUTED_VALUE"""),"FICHA EN TIEMPO-18 MESES")</f>
        <v>FICHA EN TIEMPO-18 MESES</v>
      </c>
      <c r="BI321" s="40" t="str">
        <f ca="1">IFERROR(__xludf.DUMMYFUNCTION("""COMPUTED_VALUE"""),"En ejecucion")</f>
        <v>En ejecucion</v>
      </c>
      <c r="BJ321" s="40" t="str">
        <f ca="1">IFERROR(__xludf.DUMMYFUNCTION("""COMPUTED_VALUE"""),"Yamboro")</f>
        <v>Yamboro</v>
      </c>
      <c r="BK321" s="40"/>
      <c r="BL321" s="40"/>
    </row>
    <row r="322" spans="1:64" ht="13">
      <c r="A322" s="40"/>
      <c r="B322" s="40" t="str">
        <f ca="1">IFERROR(__xludf.DUMMYFUNCTION("""COMPUTED_VALUE"""),"FORMACIÓN 18/10/2022")</f>
        <v>FORMACIÓN 18/10/2022</v>
      </c>
      <c r="C322" s="40" t="str">
        <f ca="1">IFERROR(__xludf.DUMMYFUNCTION("""COMPUTED_VALUE"""),"LUIS FRANCISCO ESPITIA SANCHEZ")</f>
        <v>LUIS FRANCISCO ESPITIA SANCHEZ</v>
      </c>
      <c r="D322" s="40" t="str">
        <f ca="1">IFERROR(__xludf.DUMMYFUNCTION("""COMPUTED_VALUE"""),"TI")</f>
        <v>TI</v>
      </c>
      <c r="E322" s="40">
        <f ca="1">IFERROR(__xludf.DUMMYFUNCTION("""COMPUTED_VALUE"""),1083864335)</f>
        <v>1083864335</v>
      </c>
      <c r="F322" s="40">
        <f ca="1">IFERROR(__xludf.DUMMYFUNCTION("""COMPUTED_VALUE"""),2451001)</f>
        <v>2451001</v>
      </c>
      <c r="G322" s="40" t="str">
        <f ca="1">IFERROR(__xludf.DUMMYFUNCTION("""COMPUTED_VALUE"""),"TÉCNICO")</f>
        <v>TÉCNICO</v>
      </c>
      <c r="H322" s="40" t="str">
        <f ca="1">IFERROR(__xludf.DUMMYFUNCTION("""COMPUTED_VALUE"""),"DIBUJO ARQUITECTÓNICO")</f>
        <v>DIBUJO ARQUITECTÓNICO</v>
      </c>
      <c r="I322" s="40">
        <f ca="1">IFERROR(__xludf.DUMMYFUNCTION("""COMPUTED_VALUE"""),3224239208)</f>
        <v>3224239208</v>
      </c>
      <c r="J322" s="40" t="str">
        <f ca="1">IFERROR(__xludf.DUMMYFUNCTION("""COMPUTED_VALUE"""),"sluis9137@gmail.com")</f>
        <v>sluis9137@gmail.com</v>
      </c>
      <c r="K322" s="40"/>
      <c r="L322" s="40" t="str">
        <f ca="1">IFERROR(__xludf.DUMMYFUNCTION("""COMPUTED_VALUE"""),"PASANTÍAS")</f>
        <v>PASANTÍAS</v>
      </c>
      <c r="M322" s="40" t="str">
        <f ca="1">IFERROR(__xludf.DUMMYFUNCTION("""COMPUTED_VALUE"""),"Centro de Gestión y Desarrollo Sostenible Surcolombiano")</f>
        <v>Centro de Gestión y Desarrollo Sostenible Surcolombiano</v>
      </c>
      <c r="N322" s="40"/>
      <c r="O322" s="40"/>
      <c r="P322" s="40"/>
      <c r="Q322" s="40"/>
      <c r="R322" s="140">
        <f ca="1">IFERROR(__xludf.DUMMYFUNCTION("""COMPUTED_VALUE"""),44778)</f>
        <v>44778</v>
      </c>
      <c r="S322" s="140">
        <f ca="1">IFERROR(__xludf.DUMMYFUNCTION("""COMPUTED_VALUE"""),44963)</f>
        <v>44963</v>
      </c>
      <c r="T322" s="40"/>
      <c r="U322" s="40" t="str">
        <f ca="1">IFERROR(__xludf.DUMMYFUNCTION("""COMPUTED_VALUE"""),"POR ASIGNAR")</f>
        <v>POR ASIGNAR</v>
      </c>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t="str">
        <f ca="1">IFERROR(__xludf.DUMMYFUNCTION("""COMPUTED_VALUE"""),"NO_CUMPLE")</f>
        <v>NO_CUMPLE</v>
      </c>
      <c r="AV322" s="40" t="str">
        <f ca="1">IFERROR(__xludf.DUMMYFUNCTION("""COMPUTED_VALUE"""),"EN FORMACION")</f>
        <v>EN FORMACION</v>
      </c>
      <c r="AW322" s="40" t="str">
        <f ca="1">IFERROR(__xludf.DUMMYFUNCTION("""COMPUTED_VALUE"""),"BIOCONSTRUCCION")</f>
        <v>BIOCONSTRUCCION</v>
      </c>
      <c r="AX322" s="141">
        <f ca="1">IFERROR(__xludf.DUMMYFUNCTION("""COMPUTED_VALUE"""),44839)</f>
        <v>44839</v>
      </c>
      <c r="AY322" s="40">
        <f ca="1">IFERROR(__xludf.DUMMYFUNCTION("""COMPUTED_VALUE"""),1)</f>
        <v>1</v>
      </c>
      <c r="AZ322" s="40">
        <f ca="1">IFERROR(__xludf.DUMMYFUNCTION("""COMPUTED_VALUE"""),1)</f>
        <v>1</v>
      </c>
      <c r="BA322" s="40">
        <f ca="1">IFERROR(__xludf.DUMMYFUNCTION("""COMPUTED_VALUE"""),0)</f>
        <v>0</v>
      </c>
      <c r="BB322" s="40">
        <f ca="1">IFERROR(__xludf.DUMMYFUNCTION("""COMPUTED_VALUE"""),0)</f>
        <v>0</v>
      </c>
      <c r="BC322" s="40">
        <f ca="1">IFERROR(__xludf.DUMMYFUNCTION("""COMPUTED_VALUE"""),2)</f>
        <v>2</v>
      </c>
      <c r="BD322" s="141">
        <f ca="1">IFERROR(__xludf.DUMMYFUNCTION("""COMPUTED_VALUE"""),44585)</f>
        <v>44585</v>
      </c>
      <c r="BE322" s="141">
        <f ca="1">IFERROR(__xludf.DUMMYFUNCTION("""COMPUTED_VALUE"""),44765)</f>
        <v>44765</v>
      </c>
      <c r="BF322" s="141">
        <f ca="1">IFERROR(__xludf.DUMMYFUNCTION("""COMPUTED_VALUE"""),44949)</f>
        <v>44949</v>
      </c>
      <c r="BG322" s="141">
        <f ca="1">IFERROR(__xludf.DUMMYFUNCTION("""COMPUTED_VALUE"""),45496)</f>
        <v>45496</v>
      </c>
      <c r="BH322" s="40" t="str">
        <f ca="1">IFERROR(__xludf.DUMMYFUNCTION("""COMPUTED_VALUE"""),"FICHA EN TIEMPO-18 MESES")</f>
        <v>FICHA EN TIEMPO-18 MESES</v>
      </c>
      <c r="BI322" s="40" t="str">
        <f ca="1">IFERROR(__xludf.DUMMYFUNCTION("""COMPUTED_VALUE"""),"En ejecucion")</f>
        <v>En ejecucion</v>
      </c>
      <c r="BJ322" s="40" t="str">
        <f ca="1">IFERROR(__xludf.DUMMYFUNCTION("""COMPUTED_VALUE"""),"Yamboro")</f>
        <v>Yamboro</v>
      </c>
      <c r="BK322" s="40"/>
      <c r="BL322" s="40"/>
    </row>
    <row r="323" spans="1:64" ht="13">
      <c r="A323" s="40"/>
      <c r="B323" s="40" t="str">
        <f ca="1">IFERROR(__xludf.DUMMYFUNCTION("""COMPUTED_VALUE"""),"FORMACIÓN 18/10/2022")</f>
        <v>FORMACIÓN 18/10/2022</v>
      </c>
      <c r="C323" s="40" t="str">
        <f ca="1">IFERROR(__xludf.DUMMYFUNCTION("""COMPUTED_VALUE"""),"LAURA VALENTINA RUIZ GOMEZ")</f>
        <v>LAURA VALENTINA RUIZ GOMEZ</v>
      </c>
      <c r="D323" s="40" t="str">
        <f ca="1">IFERROR(__xludf.DUMMYFUNCTION("""COMPUTED_VALUE"""),"TI")</f>
        <v>TI</v>
      </c>
      <c r="E323" s="40">
        <f ca="1">IFERROR(__xludf.DUMMYFUNCTION("""COMPUTED_VALUE"""),1083866960)</f>
        <v>1083866960</v>
      </c>
      <c r="F323" s="40">
        <f ca="1">IFERROR(__xludf.DUMMYFUNCTION("""COMPUTED_VALUE"""),2451001)</f>
        <v>2451001</v>
      </c>
      <c r="G323" s="40" t="str">
        <f ca="1">IFERROR(__xludf.DUMMYFUNCTION("""COMPUTED_VALUE"""),"TÉCNICO")</f>
        <v>TÉCNICO</v>
      </c>
      <c r="H323" s="40" t="str">
        <f ca="1">IFERROR(__xludf.DUMMYFUNCTION("""COMPUTED_VALUE"""),"DIBUJO ARQUITECTÓNICO")</f>
        <v>DIBUJO ARQUITECTÓNICO</v>
      </c>
      <c r="I323" s="40">
        <f ca="1">IFERROR(__xludf.DUMMYFUNCTION("""COMPUTED_VALUE"""),3209444103)</f>
        <v>3209444103</v>
      </c>
      <c r="J323" s="40" t="str">
        <f ca="1">IFERROR(__xludf.DUMMYFUNCTION("""COMPUTED_VALUE"""),"valenruizgo14@gmail.com")</f>
        <v>valenruizgo14@gmail.com</v>
      </c>
      <c r="K323" s="40"/>
      <c r="L323" s="40" t="str">
        <f ca="1">IFERROR(__xludf.DUMMYFUNCTION("""COMPUTED_VALUE"""),"PASANTÍAS")</f>
        <v>PASANTÍAS</v>
      </c>
      <c r="M323" s="40" t="str">
        <f ca="1">IFERROR(__xludf.DUMMYFUNCTION("""COMPUTED_VALUE"""),"Centro de Gestión y Desarrollo Sostenible Surcolombiano")</f>
        <v>Centro de Gestión y Desarrollo Sostenible Surcolombiano</v>
      </c>
      <c r="N323" s="40"/>
      <c r="O323" s="40"/>
      <c r="P323" s="40"/>
      <c r="Q323" s="40"/>
      <c r="R323" s="140">
        <f ca="1">IFERROR(__xludf.DUMMYFUNCTION("""COMPUTED_VALUE"""),44778)</f>
        <v>44778</v>
      </c>
      <c r="S323" s="140">
        <f ca="1">IFERROR(__xludf.DUMMYFUNCTION("""COMPUTED_VALUE"""),44963)</f>
        <v>44963</v>
      </c>
      <c r="T323" s="40"/>
      <c r="U323" s="40" t="str">
        <f ca="1">IFERROR(__xludf.DUMMYFUNCTION("""COMPUTED_VALUE"""),"POR ASIGNAR")</f>
        <v>POR ASIGNAR</v>
      </c>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t="str">
        <f ca="1">IFERROR(__xludf.DUMMYFUNCTION("""COMPUTED_VALUE"""),"NO_CUMPLE")</f>
        <v>NO_CUMPLE</v>
      </c>
      <c r="AV323" s="40" t="str">
        <f ca="1">IFERROR(__xludf.DUMMYFUNCTION("""COMPUTED_VALUE"""),"EN FORMACION")</f>
        <v>EN FORMACION</v>
      </c>
      <c r="AW323" s="40" t="str">
        <f ca="1">IFERROR(__xludf.DUMMYFUNCTION("""COMPUTED_VALUE"""),"BIOCONSTRUCCION")</f>
        <v>BIOCONSTRUCCION</v>
      </c>
      <c r="AX323" s="141">
        <f ca="1">IFERROR(__xludf.DUMMYFUNCTION("""COMPUTED_VALUE"""),44839)</f>
        <v>44839</v>
      </c>
      <c r="AY323" s="40">
        <f ca="1">IFERROR(__xludf.DUMMYFUNCTION("""COMPUTED_VALUE"""),1)</f>
        <v>1</v>
      </c>
      <c r="AZ323" s="40">
        <f ca="1">IFERROR(__xludf.DUMMYFUNCTION("""COMPUTED_VALUE"""),1)</f>
        <v>1</v>
      </c>
      <c r="BA323" s="40">
        <f ca="1">IFERROR(__xludf.DUMMYFUNCTION("""COMPUTED_VALUE"""),0)</f>
        <v>0</v>
      </c>
      <c r="BB323" s="40">
        <f ca="1">IFERROR(__xludf.DUMMYFUNCTION("""COMPUTED_VALUE"""),0)</f>
        <v>0</v>
      </c>
      <c r="BC323" s="40">
        <f ca="1">IFERROR(__xludf.DUMMYFUNCTION("""COMPUTED_VALUE"""),2)</f>
        <v>2</v>
      </c>
      <c r="BD323" s="141">
        <f ca="1">IFERROR(__xludf.DUMMYFUNCTION("""COMPUTED_VALUE"""),44585)</f>
        <v>44585</v>
      </c>
      <c r="BE323" s="141">
        <f ca="1">IFERROR(__xludf.DUMMYFUNCTION("""COMPUTED_VALUE"""),44765)</f>
        <v>44765</v>
      </c>
      <c r="BF323" s="141">
        <f ca="1">IFERROR(__xludf.DUMMYFUNCTION("""COMPUTED_VALUE"""),44949)</f>
        <v>44949</v>
      </c>
      <c r="BG323" s="141">
        <f ca="1">IFERROR(__xludf.DUMMYFUNCTION("""COMPUTED_VALUE"""),45496)</f>
        <v>45496</v>
      </c>
      <c r="BH323" s="40" t="str">
        <f ca="1">IFERROR(__xludf.DUMMYFUNCTION("""COMPUTED_VALUE"""),"FICHA EN TIEMPO-18 MESES")</f>
        <v>FICHA EN TIEMPO-18 MESES</v>
      </c>
      <c r="BI323" s="40" t="str">
        <f ca="1">IFERROR(__xludf.DUMMYFUNCTION("""COMPUTED_VALUE"""),"En ejecucion")</f>
        <v>En ejecucion</v>
      </c>
      <c r="BJ323" s="40" t="str">
        <f ca="1">IFERROR(__xludf.DUMMYFUNCTION("""COMPUTED_VALUE"""),"Yamboro")</f>
        <v>Yamboro</v>
      </c>
      <c r="BK323" s="40"/>
      <c r="BL323" s="40"/>
    </row>
    <row r="324" spans="1:64" ht="13">
      <c r="A324" s="40"/>
      <c r="B324" s="40" t="str">
        <f ca="1">IFERROR(__xludf.DUMMYFUNCTION("""COMPUTED_VALUE"""),"FORMACIÓN 18/10/2022")</f>
        <v>FORMACIÓN 18/10/2022</v>
      </c>
      <c r="C324" s="40" t="str">
        <f ca="1">IFERROR(__xludf.DUMMYFUNCTION("""COMPUTED_VALUE"""),"VANESSA QUINTANA MAHECHA")</f>
        <v>VANESSA QUINTANA MAHECHA</v>
      </c>
      <c r="D324" s="40" t="str">
        <f ca="1">IFERROR(__xludf.DUMMYFUNCTION("""COMPUTED_VALUE"""),"CC")</f>
        <v>CC</v>
      </c>
      <c r="E324" s="40">
        <f ca="1">IFERROR(__xludf.DUMMYFUNCTION("""COMPUTED_VALUE"""),1083917926)</f>
        <v>1083917926</v>
      </c>
      <c r="F324" s="40">
        <f ca="1">IFERROR(__xludf.DUMMYFUNCTION("""COMPUTED_VALUE"""),2451001)</f>
        <v>2451001</v>
      </c>
      <c r="G324" s="40" t="str">
        <f ca="1">IFERROR(__xludf.DUMMYFUNCTION("""COMPUTED_VALUE"""),"TÉCNICO")</f>
        <v>TÉCNICO</v>
      </c>
      <c r="H324" s="40" t="str">
        <f ca="1">IFERROR(__xludf.DUMMYFUNCTION("""COMPUTED_VALUE"""),"DIBUJO ARQUITECTÓNICO")</f>
        <v>DIBUJO ARQUITECTÓNICO</v>
      </c>
      <c r="I324" s="40">
        <f ca="1">IFERROR(__xludf.DUMMYFUNCTION("""COMPUTED_VALUE"""),3123483426)</f>
        <v>3123483426</v>
      </c>
      <c r="J324" s="40" t="str">
        <f ca="1">IFERROR(__xludf.DUMMYFUNCTION("""COMPUTED_VALUE"""),"mahechavane99@gmail.com")</f>
        <v>mahechavane99@gmail.com</v>
      </c>
      <c r="K324" s="40"/>
      <c r="L324" s="40" t="str">
        <f ca="1">IFERROR(__xludf.DUMMYFUNCTION("""COMPUTED_VALUE"""),"PASANTÍAS")</f>
        <v>PASANTÍAS</v>
      </c>
      <c r="M324" s="40" t="str">
        <f ca="1">IFERROR(__xludf.DUMMYFUNCTION("""COMPUTED_VALUE"""),"Cristian Camilo Ome Ortiz")</f>
        <v>Cristian Camilo Ome Ortiz</v>
      </c>
      <c r="N324" s="40"/>
      <c r="O324" s="40"/>
      <c r="P324" s="40"/>
      <c r="Q324" s="40"/>
      <c r="R324" s="140">
        <f ca="1">IFERROR(__xludf.DUMMYFUNCTION("""COMPUTED_VALUE"""),44789)</f>
        <v>44789</v>
      </c>
      <c r="S324" s="140">
        <f ca="1">IFERROR(__xludf.DUMMYFUNCTION("""COMPUTED_VALUE"""),44974)</f>
        <v>44974</v>
      </c>
      <c r="T324" s="40"/>
      <c r="U324" s="40" t="str">
        <f ca="1">IFERROR(__xludf.DUMMYFUNCTION("""COMPUTED_VALUE"""),"POR ASIGNAR")</f>
        <v>POR ASIGNAR</v>
      </c>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t="str">
        <f ca="1">IFERROR(__xludf.DUMMYFUNCTION("""COMPUTED_VALUE"""),"NO_CUMPLE")</f>
        <v>NO_CUMPLE</v>
      </c>
      <c r="AV324" s="40" t="str">
        <f ca="1">IFERROR(__xludf.DUMMYFUNCTION("""COMPUTED_VALUE"""),"EN FORMACION")</f>
        <v>EN FORMACION</v>
      </c>
      <c r="AW324" s="40" t="str">
        <f ca="1">IFERROR(__xludf.DUMMYFUNCTION("""COMPUTED_VALUE"""),"BIOCONSTRUCCION")</f>
        <v>BIOCONSTRUCCION</v>
      </c>
      <c r="AX324" s="141">
        <f ca="1">IFERROR(__xludf.DUMMYFUNCTION("""COMPUTED_VALUE"""),44839)</f>
        <v>44839</v>
      </c>
      <c r="AY324" s="40">
        <f ca="1">IFERROR(__xludf.DUMMYFUNCTION("""COMPUTED_VALUE"""),1)</f>
        <v>1</v>
      </c>
      <c r="AZ324" s="40">
        <f ca="1">IFERROR(__xludf.DUMMYFUNCTION("""COMPUTED_VALUE"""),1)</f>
        <v>1</v>
      </c>
      <c r="BA324" s="40">
        <f ca="1">IFERROR(__xludf.DUMMYFUNCTION("""COMPUTED_VALUE"""),0)</f>
        <v>0</v>
      </c>
      <c r="BB324" s="40">
        <f ca="1">IFERROR(__xludf.DUMMYFUNCTION("""COMPUTED_VALUE"""),0)</f>
        <v>0</v>
      </c>
      <c r="BC324" s="40">
        <f ca="1">IFERROR(__xludf.DUMMYFUNCTION("""COMPUTED_VALUE"""),2)</f>
        <v>2</v>
      </c>
      <c r="BD324" s="141">
        <f ca="1">IFERROR(__xludf.DUMMYFUNCTION("""COMPUTED_VALUE"""),44585)</f>
        <v>44585</v>
      </c>
      <c r="BE324" s="141">
        <f ca="1">IFERROR(__xludf.DUMMYFUNCTION("""COMPUTED_VALUE"""),44765)</f>
        <v>44765</v>
      </c>
      <c r="BF324" s="141">
        <f ca="1">IFERROR(__xludf.DUMMYFUNCTION("""COMPUTED_VALUE"""),44949)</f>
        <v>44949</v>
      </c>
      <c r="BG324" s="141">
        <f ca="1">IFERROR(__xludf.DUMMYFUNCTION("""COMPUTED_VALUE"""),45496)</f>
        <v>45496</v>
      </c>
      <c r="BH324" s="40" t="str">
        <f ca="1">IFERROR(__xludf.DUMMYFUNCTION("""COMPUTED_VALUE"""),"FICHA EN TIEMPO-18 MESES")</f>
        <v>FICHA EN TIEMPO-18 MESES</v>
      </c>
      <c r="BI324" s="40" t="str">
        <f ca="1">IFERROR(__xludf.DUMMYFUNCTION("""COMPUTED_VALUE"""),"En ejecucion")</f>
        <v>En ejecucion</v>
      </c>
      <c r="BJ324" s="40" t="str">
        <f ca="1">IFERROR(__xludf.DUMMYFUNCTION("""COMPUTED_VALUE"""),"Yamboro")</f>
        <v>Yamboro</v>
      </c>
      <c r="BK324" s="40"/>
      <c r="BL324" s="40"/>
    </row>
    <row r="325" spans="1:64" ht="13">
      <c r="A325" s="40"/>
      <c r="B325" s="40" t="str">
        <f ca="1">IFERROR(__xludf.DUMMYFUNCTION("""COMPUTED_VALUE"""),"FORMACIÓN 18/10/2022")</f>
        <v>FORMACIÓN 18/10/2022</v>
      </c>
      <c r="C325" s="40" t="str">
        <f ca="1">IFERROR(__xludf.DUMMYFUNCTION("""COMPUTED_VALUE"""),"DIEGO ANDRES VALDES BENAVIDES")</f>
        <v>DIEGO ANDRES VALDES BENAVIDES</v>
      </c>
      <c r="D325" s="40" t="str">
        <f ca="1">IFERROR(__xludf.DUMMYFUNCTION("""COMPUTED_VALUE"""),"TI")</f>
        <v>TI</v>
      </c>
      <c r="E325" s="40">
        <f ca="1">IFERROR(__xludf.DUMMYFUNCTION("""COMPUTED_VALUE"""),1084330239)</f>
        <v>1084330239</v>
      </c>
      <c r="F325" s="40">
        <f ca="1">IFERROR(__xludf.DUMMYFUNCTION("""COMPUTED_VALUE"""),2451001)</f>
        <v>2451001</v>
      </c>
      <c r="G325" s="40" t="str">
        <f ca="1">IFERROR(__xludf.DUMMYFUNCTION("""COMPUTED_VALUE"""),"TÉCNICO")</f>
        <v>TÉCNICO</v>
      </c>
      <c r="H325" s="40" t="str">
        <f ca="1">IFERROR(__xludf.DUMMYFUNCTION("""COMPUTED_VALUE"""),"DIBUJO ARQUITECTÓNICO")</f>
        <v>DIBUJO ARQUITECTÓNICO</v>
      </c>
      <c r="I325" s="40">
        <f ca="1">IFERROR(__xludf.DUMMYFUNCTION("""COMPUTED_VALUE"""),3223699501)</f>
        <v>3223699501</v>
      </c>
      <c r="J325" s="40" t="str">
        <f ca="1">IFERROR(__xludf.DUMMYFUNCTION("""COMPUTED_VALUE"""),"diegovaldes144325@gmail.com")</f>
        <v>diegovaldes144325@gmail.com</v>
      </c>
      <c r="K325" s="40"/>
      <c r="L325" s="40" t="str">
        <f ca="1">IFERROR(__xludf.DUMMYFUNCTION("""COMPUTED_VALUE"""),"PASANTÍAS")</f>
        <v>PASANTÍAS</v>
      </c>
      <c r="M325" s="40" t="str">
        <f ca="1">IFERROR(__xludf.DUMMYFUNCTION("""COMPUTED_VALUE"""),"Centro de Gestión y Desarrollo Sostenible Surcolombiano")</f>
        <v>Centro de Gestión y Desarrollo Sostenible Surcolombiano</v>
      </c>
      <c r="N325" s="40"/>
      <c r="O325" s="40"/>
      <c r="P325" s="40"/>
      <c r="Q325" s="40"/>
      <c r="R325" s="140">
        <f ca="1">IFERROR(__xludf.DUMMYFUNCTION("""COMPUTED_VALUE"""),44778)</f>
        <v>44778</v>
      </c>
      <c r="S325" s="140">
        <f ca="1">IFERROR(__xludf.DUMMYFUNCTION("""COMPUTED_VALUE"""),44963)</f>
        <v>44963</v>
      </c>
      <c r="T325" s="40"/>
      <c r="U325" s="40" t="str">
        <f ca="1">IFERROR(__xludf.DUMMYFUNCTION("""COMPUTED_VALUE"""),"POR ASIGNAR")</f>
        <v>POR ASIGNAR</v>
      </c>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t="str">
        <f ca="1">IFERROR(__xludf.DUMMYFUNCTION("""COMPUTED_VALUE"""),"NO_CUMPLE")</f>
        <v>NO_CUMPLE</v>
      </c>
      <c r="AV325" s="40" t="str">
        <f ca="1">IFERROR(__xludf.DUMMYFUNCTION("""COMPUTED_VALUE"""),"EN FORMACION")</f>
        <v>EN FORMACION</v>
      </c>
      <c r="AW325" s="40" t="str">
        <f ca="1">IFERROR(__xludf.DUMMYFUNCTION("""COMPUTED_VALUE"""),"BIOCONSTRUCCION")</f>
        <v>BIOCONSTRUCCION</v>
      </c>
      <c r="AX325" s="141">
        <f ca="1">IFERROR(__xludf.DUMMYFUNCTION("""COMPUTED_VALUE"""),44839)</f>
        <v>44839</v>
      </c>
      <c r="AY325" s="40">
        <f ca="1">IFERROR(__xludf.DUMMYFUNCTION("""COMPUTED_VALUE"""),1)</f>
        <v>1</v>
      </c>
      <c r="AZ325" s="40">
        <f ca="1">IFERROR(__xludf.DUMMYFUNCTION("""COMPUTED_VALUE"""),1)</f>
        <v>1</v>
      </c>
      <c r="BA325" s="40">
        <f ca="1">IFERROR(__xludf.DUMMYFUNCTION("""COMPUTED_VALUE"""),0)</f>
        <v>0</v>
      </c>
      <c r="BB325" s="40">
        <f ca="1">IFERROR(__xludf.DUMMYFUNCTION("""COMPUTED_VALUE"""),0)</f>
        <v>0</v>
      </c>
      <c r="BC325" s="40">
        <f ca="1">IFERROR(__xludf.DUMMYFUNCTION("""COMPUTED_VALUE"""),2)</f>
        <v>2</v>
      </c>
      <c r="BD325" s="141">
        <f ca="1">IFERROR(__xludf.DUMMYFUNCTION("""COMPUTED_VALUE"""),44585)</f>
        <v>44585</v>
      </c>
      <c r="BE325" s="141">
        <f ca="1">IFERROR(__xludf.DUMMYFUNCTION("""COMPUTED_VALUE"""),44765)</f>
        <v>44765</v>
      </c>
      <c r="BF325" s="141">
        <f ca="1">IFERROR(__xludf.DUMMYFUNCTION("""COMPUTED_VALUE"""),44949)</f>
        <v>44949</v>
      </c>
      <c r="BG325" s="141">
        <f ca="1">IFERROR(__xludf.DUMMYFUNCTION("""COMPUTED_VALUE"""),45496)</f>
        <v>45496</v>
      </c>
      <c r="BH325" s="40" t="str">
        <f ca="1">IFERROR(__xludf.DUMMYFUNCTION("""COMPUTED_VALUE"""),"FICHA EN TIEMPO-18 MESES")</f>
        <v>FICHA EN TIEMPO-18 MESES</v>
      </c>
      <c r="BI325" s="40" t="str">
        <f ca="1">IFERROR(__xludf.DUMMYFUNCTION("""COMPUTED_VALUE"""),"En ejecucion")</f>
        <v>En ejecucion</v>
      </c>
      <c r="BJ325" s="40" t="str">
        <f ca="1">IFERROR(__xludf.DUMMYFUNCTION("""COMPUTED_VALUE"""),"Yamboro")</f>
        <v>Yamboro</v>
      </c>
      <c r="BK325" s="40"/>
      <c r="BL325" s="40"/>
    </row>
    <row r="326" spans="1:64" ht="13">
      <c r="A326" s="40"/>
      <c r="B326" s="40" t="str">
        <f ca="1">IFERROR(__xludf.DUMMYFUNCTION("""COMPUTED_VALUE"""),"FORMACIÓN 18/10/2022")</f>
        <v>FORMACIÓN 18/10/2022</v>
      </c>
      <c r="C326" s="40" t="str">
        <f ca="1">IFERROR(__xludf.DUMMYFUNCTION("""COMPUTED_VALUE"""),"DANIELA PALOMARES FUENTES")</f>
        <v>DANIELA PALOMARES FUENTES</v>
      </c>
      <c r="D326" s="40" t="str">
        <f ca="1">IFERROR(__xludf.DUMMYFUNCTION("""COMPUTED_VALUE"""),"TI")</f>
        <v>TI</v>
      </c>
      <c r="E326" s="40">
        <f ca="1">IFERROR(__xludf.DUMMYFUNCTION("""COMPUTED_VALUE"""),1084330977)</f>
        <v>1084330977</v>
      </c>
      <c r="F326" s="40">
        <f ca="1">IFERROR(__xludf.DUMMYFUNCTION("""COMPUTED_VALUE"""),2451001)</f>
        <v>2451001</v>
      </c>
      <c r="G326" s="40" t="str">
        <f ca="1">IFERROR(__xludf.DUMMYFUNCTION("""COMPUTED_VALUE"""),"TÉCNICO")</f>
        <v>TÉCNICO</v>
      </c>
      <c r="H326" s="40" t="str">
        <f ca="1">IFERROR(__xludf.DUMMYFUNCTION("""COMPUTED_VALUE"""),"DIBUJO ARQUITECTÓNICO")</f>
        <v>DIBUJO ARQUITECTÓNICO</v>
      </c>
      <c r="I326" s="40">
        <f ca="1">IFERROR(__xludf.DUMMYFUNCTION("""COMPUTED_VALUE"""),3103395754)</f>
        <v>3103395754</v>
      </c>
      <c r="J326" s="40" t="str">
        <f ca="1">IFERROR(__xludf.DUMMYFUNCTION("""COMPUTED_VALUE"""),"danipaloma2005@gmail.com")</f>
        <v>danipaloma2005@gmail.com</v>
      </c>
      <c r="K326" s="40"/>
      <c r="L326" s="40" t="str">
        <f ca="1">IFERROR(__xludf.DUMMYFUNCTION("""COMPUTED_VALUE"""),"PASANTÍAS")</f>
        <v>PASANTÍAS</v>
      </c>
      <c r="M326" s="40" t="str">
        <f ca="1">IFERROR(__xludf.DUMMYFUNCTION("""COMPUTED_VALUE"""),"Centro de Gestión y Desarrollo Sostenible Surcolombiano")</f>
        <v>Centro de Gestión y Desarrollo Sostenible Surcolombiano</v>
      </c>
      <c r="N326" s="40"/>
      <c r="O326" s="40"/>
      <c r="P326" s="40"/>
      <c r="Q326" s="40"/>
      <c r="R326" s="140">
        <f ca="1">IFERROR(__xludf.DUMMYFUNCTION("""COMPUTED_VALUE"""),44778)</f>
        <v>44778</v>
      </c>
      <c r="S326" s="140">
        <f ca="1">IFERROR(__xludf.DUMMYFUNCTION("""COMPUTED_VALUE"""),44963)</f>
        <v>44963</v>
      </c>
      <c r="T326" s="40"/>
      <c r="U326" s="40" t="str">
        <f ca="1">IFERROR(__xludf.DUMMYFUNCTION("""COMPUTED_VALUE"""),"POR ASIGNAR")</f>
        <v>POR ASIGNAR</v>
      </c>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t="str">
        <f ca="1">IFERROR(__xludf.DUMMYFUNCTION("""COMPUTED_VALUE"""),"NO_CUMPLE")</f>
        <v>NO_CUMPLE</v>
      </c>
      <c r="AV326" s="40" t="str">
        <f ca="1">IFERROR(__xludf.DUMMYFUNCTION("""COMPUTED_VALUE"""),"EN FORMACION")</f>
        <v>EN FORMACION</v>
      </c>
      <c r="AW326" s="40" t="str">
        <f ca="1">IFERROR(__xludf.DUMMYFUNCTION("""COMPUTED_VALUE"""),"BIOCONSTRUCCION")</f>
        <v>BIOCONSTRUCCION</v>
      </c>
      <c r="AX326" s="141">
        <f ca="1">IFERROR(__xludf.DUMMYFUNCTION("""COMPUTED_VALUE"""),44839)</f>
        <v>44839</v>
      </c>
      <c r="AY326" s="40">
        <f ca="1">IFERROR(__xludf.DUMMYFUNCTION("""COMPUTED_VALUE"""),1)</f>
        <v>1</v>
      </c>
      <c r="AZ326" s="40">
        <f ca="1">IFERROR(__xludf.DUMMYFUNCTION("""COMPUTED_VALUE"""),1)</f>
        <v>1</v>
      </c>
      <c r="BA326" s="40">
        <f ca="1">IFERROR(__xludf.DUMMYFUNCTION("""COMPUTED_VALUE"""),0)</f>
        <v>0</v>
      </c>
      <c r="BB326" s="40">
        <f ca="1">IFERROR(__xludf.DUMMYFUNCTION("""COMPUTED_VALUE"""),0)</f>
        <v>0</v>
      </c>
      <c r="BC326" s="40">
        <f ca="1">IFERROR(__xludf.DUMMYFUNCTION("""COMPUTED_VALUE"""),2)</f>
        <v>2</v>
      </c>
      <c r="BD326" s="141">
        <f ca="1">IFERROR(__xludf.DUMMYFUNCTION("""COMPUTED_VALUE"""),44585)</f>
        <v>44585</v>
      </c>
      <c r="BE326" s="141">
        <f ca="1">IFERROR(__xludf.DUMMYFUNCTION("""COMPUTED_VALUE"""),44765)</f>
        <v>44765</v>
      </c>
      <c r="BF326" s="141">
        <f ca="1">IFERROR(__xludf.DUMMYFUNCTION("""COMPUTED_VALUE"""),44949)</f>
        <v>44949</v>
      </c>
      <c r="BG326" s="141">
        <f ca="1">IFERROR(__xludf.DUMMYFUNCTION("""COMPUTED_VALUE"""),45496)</f>
        <v>45496</v>
      </c>
      <c r="BH326" s="40" t="str">
        <f ca="1">IFERROR(__xludf.DUMMYFUNCTION("""COMPUTED_VALUE"""),"FICHA EN TIEMPO-18 MESES")</f>
        <v>FICHA EN TIEMPO-18 MESES</v>
      </c>
      <c r="BI326" s="40" t="str">
        <f ca="1">IFERROR(__xludf.DUMMYFUNCTION("""COMPUTED_VALUE"""),"En ejecucion")</f>
        <v>En ejecucion</v>
      </c>
      <c r="BJ326" s="40" t="str">
        <f ca="1">IFERROR(__xludf.DUMMYFUNCTION("""COMPUTED_VALUE"""),"Yamboro")</f>
        <v>Yamboro</v>
      </c>
      <c r="BK326" s="40"/>
      <c r="BL326" s="40"/>
    </row>
    <row r="327" spans="1:64" ht="13">
      <c r="A327" s="40"/>
      <c r="B327" s="40" t="str">
        <f ca="1">IFERROR(__xludf.DUMMYFUNCTION("""COMPUTED_VALUE"""),"FORMACIÓN 18/10/2022")</f>
        <v>FORMACIÓN 18/10/2022</v>
      </c>
      <c r="C327" s="40" t="str">
        <f ca="1">IFERROR(__xludf.DUMMYFUNCTION("""COMPUTED_VALUE"""),"WENDY JULIETH HOYOS NIETO")</f>
        <v>WENDY JULIETH HOYOS NIETO</v>
      </c>
      <c r="D327" s="40" t="str">
        <f ca="1">IFERROR(__xludf.DUMMYFUNCTION("""COMPUTED_VALUE"""),"TI")</f>
        <v>TI</v>
      </c>
      <c r="E327" s="40">
        <f ca="1">IFERROR(__xludf.DUMMYFUNCTION("""COMPUTED_VALUE"""),1125179600)</f>
        <v>1125179600</v>
      </c>
      <c r="F327" s="40">
        <f ca="1">IFERROR(__xludf.DUMMYFUNCTION("""COMPUTED_VALUE"""),2451001)</f>
        <v>2451001</v>
      </c>
      <c r="G327" s="40" t="str">
        <f ca="1">IFERROR(__xludf.DUMMYFUNCTION("""COMPUTED_VALUE"""),"TÉCNICO")</f>
        <v>TÉCNICO</v>
      </c>
      <c r="H327" s="40" t="str">
        <f ca="1">IFERROR(__xludf.DUMMYFUNCTION("""COMPUTED_VALUE"""),"DIBUJO ARQUITECTÓNICO")</f>
        <v>DIBUJO ARQUITECTÓNICO</v>
      </c>
      <c r="I327" s="40">
        <f ca="1">IFERROR(__xludf.DUMMYFUNCTION("""COMPUTED_VALUE"""),3195461953)</f>
        <v>3195461953</v>
      </c>
      <c r="J327" s="40" t="str">
        <f ca="1">IFERROR(__xludf.DUMMYFUNCTION("""COMPUTED_VALUE"""),"Juliethnieto0209@gmail.com")</f>
        <v>Juliethnieto0209@gmail.com</v>
      </c>
      <c r="K327" s="40"/>
      <c r="L327" s="40" t="str">
        <f ca="1">IFERROR(__xludf.DUMMYFUNCTION("""COMPUTED_VALUE"""),"PASANTÍAS")</f>
        <v>PASANTÍAS</v>
      </c>
      <c r="M327" s="40" t="str">
        <f ca="1">IFERROR(__xludf.DUMMYFUNCTION("""COMPUTED_VALUE"""),"Centro de Gestión y Desarrollo Sostenible Surcolombiano")</f>
        <v>Centro de Gestión y Desarrollo Sostenible Surcolombiano</v>
      </c>
      <c r="N327" s="40"/>
      <c r="O327" s="40"/>
      <c r="P327" s="40"/>
      <c r="Q327" s="40"/>
      <c r="R327" s="140">
        <f ca="1">IFERROR(__xludf.DUMMYFUNCTION("""COMPUTED_VALUE"""),44778)</f>
        <v>44778</v>
      </c>
      <c r="S327" s="140">
        <f ca="1">IFERROR(__xludf.DUMMYFUNCTION("""COMPUTED_VALUE"""),44963)</f>
        <v>44963</v>
      </c>
      <c r="T327" s="40"/>
      <c r="U327" s="40" t="str">
        <f ca="1">IFERROR(__xludf.DUMMYFUNCTION("""COMPUTED_VALUE"""),"POR ASIGNAR")</f>
        <v>POR ASIGNAR</v>
      </c>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t="str">
        <f ca="1">IFERROR(__xludf.DUMMYFUNCTION("""COMPUTED_VALUE"""),"NO_CUMPLE")</f>
        <v>NO_CUMPLE</v>
      </c>
      <c r="AV327" s="40" t="str">
        <f ca="1">IFERROR(__xludf.DUMMYFUNCTION("""COMPUTED_VALUE"""),"EN FORMACION")</f>
        <v>EN FORMACION</v>
      </c>
      <c r="AW327" s="40" t="str">
        <f ca="1">IFERROR(__xludf.DUMMYFUNCTION("""COMPUTED_VALUE"""),"BIOCONSTRUCCION")</f>
        <v>BIOCONSTRUCCION</v>
      </c>
      <c r="AX327" s="141">
        <f ca="1">IFERROR(__xludf.DUMMYFUNCTION("""COMPUTED_VALUE"""),44839)</f>
        <v>44839</v>
      </c>
      <c r="AY327" s="40">
        <f ca="1">IFERROR(__xludf.DUMMYFUNCTION("""COMPUTED_VALUE"""),1)</f>
        <v>1</v>
      </c>
      <c r="AZ327" s="40">
        <f ca="1">IFERROR(__xludf.DUMMYFUNCTION("""COMPUTED_VALUE"""),1)</f>
        <v>1</v>
      </c>
      <c r="BA327" s="40">
        <f ca="1">IFERROR(__xludf.DUMMYFUNCTION("""COMPUTED_VALUE"""),0)</f>
        <v>0</v>
      </c>
      <c r="BB327" s="40">
        <f ca="1">IFERROR(__xludf.DUMMYFUNCTION("""COMPUTED_VALUE"""),0)</f>
        <v>0</v>
      </c>
      <c r="BC327" s="40">
        <f ca="1">IFERROR(__xludf.DUMMYFUNCTION("""COMPUTED_VALUE"""),2)</f>
        <v>2</v>
      </c>
      <c r="BD327" s="141">
        <f ca="1">IFERROR(__xludf.DUMMYFUNCTION("""COMPUTED_VALUE"""),44585)</f>
        <v>44585</v>
      </c>
      <c r="BE327" s="141">
        <f ca="1">IFERROR(__xludf.DUMMYFUNCTION("""COMPUTED_VALUE"""),44765)</f>
        <v>44765</v>
      </c>
      <c r="BF327" s="141">
        <f ca="1">IFERROR(__xludf.DUMMYFUNCTION("""COMPUTED_VALUE"""),44949)</f>
        <v>44949</v>
      </c>
      <c r="BG327" s="141">
        <f ca="1">IFERROR(__xludf.DUMMYFUNCTION("""COMPUTED_VALUE"""),45496)</f>
        <v>45496</v>
      </c>
      <c r="BH327" s="40" t="str">
        <f ca="1">IFERROR(__xludf.DUMMYFUNCTION("""COMPUTED_VALUE"""),"FICHA EN TIEMPO-18 MESES")</f>
        <v>FICHA EN TIEMPO-18 MESES</v>
      </c>
      <c r="BI327" s="40" t="str">
        <f ca="1">IFERROR(__xludf.DUMMYFUNCTION("""COMPUTED_VALUE"""),"En ejecucion")</f>
        <v>En ejecucion</v>
      </c>
      <c r="BJ327" s="40" t="str">
        <f ca="1">IFERROR(__xludf.DUMMYFUNCTION("""COMPUTED_VALUE"""),"Yamboro")</f>
        <v>Yamboro</v>
      </c>
      <c r="BK327" s="40"/>
      <c r="BL327" s="40"/>
    </row>
    <row r="328" spans="1:64" ht="13">
      <c r="A328" s="40"/>
      <c r="B328" s="40" t="str">
        <f ca="1">IFERROR(__xludf.DUMMYFUNCTION("""COMPUTED_VALUE"""),"FORMACIÓN 18/10/2022")</f>
        <v>FORMACIÓN 18/10/2022</v>
      </c>
      <c r="C328" s="40" t="str">
        <f ca="1">IFERROR(__xludf.DUMMYFUNCTION("""COMPUTED_VALUE"""),"WILLIAM JAVIER NAVIA SANCHEZ")</f>
        <v>WILLIAM JAVIER NAVIA SANCHEZ</v>
      </c>
      <c r="D328" s="40" t="str">
        <f ca="1">IFERROR(__xludf.DUMMYFUNCTION("""COMPUTED_VALUE"""),"CC")</f>
        <v>CC</v>
      </c>
      <c r="E328" s="40">
        <f ca="1">IFERROR(__xludf.DUMMYFUNCTION("""COMPUTED_VALUE"""),1084254443)</f>
        <v>1084254443</v>
      </c>
      <c r="F328" s="40">
        <f ca="1">IFERROR(__xludf.DUMMYFUNCTION("""COMPUTED_VALUE"""),2464124)</f>
        <v>2464124</v>
      </c>
      <c r="G328" s="40" t="str">
        <f ca="1">IFERROR(__xludf.DUMMYFUNCTION("""COMPUTED_VALUE"""),"TÉCNICO")</f>
        <v>TÉCNICO</v>
      </c>
      <c r="H328" s="40" t="str">
        <f ca="1">IFERROR(__xludf.DUMMYFUNCTION("""COMPUTED_VALUE"""),"CONSTRUCCION, MANTENIMIENTO Y REPARACION DE ESTRUCTURAS EN GUADUA")</f>
        <v>CONSTRUCCION, MANTENIMIENTO Y REPARACION DE ESTRUCTURAS EN GUADUA</v>
      </c>
      <c r="I328" s="40">
        <f ca="1">IFERROR(__xludf.DUMMYFUNCTION("""COMPUTED_VALUE"""),3125072629)</f>
        <v>3125072629</v>
      </c>
      <c r="J328" s="40" t="str">
        <f ca="1">IFERROR(__xludf.DUMMYFUNCTION("""COMPUTED_VALUE"""),"naviawilliam7@gmail.com")</f>
        <v>naviawilliam7@gmail.com</v>
      </c>
      <c r="K328" s="40"/>
      <c r="L328" s="40" t="str">
        <f ca="1">IFERROR(__xludf.DUMMYFUNCTION("""COMPUTED_VALUE"""),"PASANTÍAS")</f>
        <v>PASANTÍAS</v>
      </c>
      <c r="M328" s="40" t="str">
        <f ca="1">IFERROR(__xludf.DUMMYFUNCTION("""COMPUTED_VALUE"""),"CENTRO DE GETIÓN Y DESARROLLO SOSTENIBLE SUR COLOMBIANO SENA ")</f>
        <v xml:space="preserve">CENTRO DE GETIÓN Y DESARROLLO SOSTENIBLE SUR COLOMBIANO SENA </v>
      </c>
      <c r="N328" s="40" t="str">
        <f ca="1">IFERROR(__xludf.DUMMYFUNCTION("""COMPUTED_VALUE"""),"CALLE 8 N° 7- 52 ")</f>
        <v xml:space="preserve">CALLE 8 N° 7- 52 </v>
      </c>
      <c r="O328" s="40">
        <f ca="1">IFERROR(__xludf.DUMMYFUNCTION("""COMPUTED_VALUE"""),3002105865)</f>
        <v>3002105865</v>
      </c>
      <c r="P328" s="40" t="str">
        <f ca="1">IFERROR(__xludf.DUMMYFUNCTION("""COMPUTED_VALUE"""),"PITALITO ")</f>
        <v xml:space="preserve">PITALITO </v>
      </c>
      <c r="Q328" s="40" t="str">
        <f ca="1">IFERROR(__xludf.DUMMYFUNCTION("""COMPUTED_VALUE"""),"apinzonp@sena.edu.co")</f>
        <v>apinzonp@sena.edu.co</v>
      </c>
      <c r="R328" s="140">
        <f ca="1">IFERROR(__xludf.DUMMYFUNCTION("""COMPUTED_VALUE"""),44805)</f>
        <v>44805</v>
      </c>
      <c r="S328" s="140">
        <f ca="1">IFERROR(__xludf.DUMMYFUNCTION("""COMPUTED_VALUE"""),44985)</f>
        <v>44985</v>
      </c>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t="str">
        <f ca="1">IFERROR(__xludf.DUMMYFUNCTION("""COMPUTED_VALUE"""),"NO_CUMPLE")</f>
        <v>NO_CUMPLE</v>
      </c>
      <c r="AV328" s="40" t="str">
        <f ca="1">IFERROR(__xludf.DUMMYFUNCTION("""COMPUTED_VALUE"""),"EN FORMACION")</f>
        <v>EN FORMACION</v>
      </c>
      <c r="AW328" s="40" t="str">
        <f ca="1">IFERROR(__xludf.DUMMYFUNCTION("""COMPUTED_VALUE"""),"BIOCONSTRUCCION")</f>
        <v>BIOCONSTRUCCION</v>
      </c>
      <c r="AX328" s="141">
        <f ca="1">IFERROR(__xludf.DUMMYFUNCTION("""COMPUTED_VALUE"""),44839)</f>
        <v>44839</v>
      </c>
      <c r="AY328" s="40">
        <f ca="1">IFERROR(__xludf.DUMMYFUNCTION("""COMPUTED_VALUE"""),12)</f>
        <v>12</v>
      </c>
      <c r="AZ328" s="40">
        <f ca="1">IFERROR(__xludf.DUMMYFUNCTION("""COMPUTED_VALUE"""),1)</f>
        <v>1</v>
      </c>
      <c r="BA328" s="40">
        <f ca="1">IFERROR(__xludf.DUMMYFUNCTION("""COMPUTED_VALUE"""),0)</f>
        <v>0</v>
      </c>
      <c r="BB328" s="40">
        <f ca="1">IFERROR(__xludf.DUMMYFUNCTION("""COMPUTED_VALUE"""),0)</f>
        <v>0</v>
      </c>
      <c r="BC328" s="40">
        <f ca="1">IFERROR(__xludf.DUMMYFUNCTION("""COMPUTED_VALUE"""),13)</f>
        <v>13</v>
      </c>
      <c r="BD328" s="141">
        <f ca="1">IFERROR(__xludf.DUMMYFUNCTION("""COMPUTED_VALUE"""),44535)</f>
        <v>44535</v>
      </c>
      <c r="BE328" s="141">
        <f ca="1">IFERROR(__xludf.DUMMYFUNCTION("""COMPUTED_VALUE"""),44808)</f>
        <v>44808</v>
      </c>
      <c r="BF328" s="141">
        <f ca="1">IFERROR(__xludf.DUMMYFUNCTION("""COMPUTED_VALUE"""),44989)</f>
        <v>44989</v>
      </c>
      <c r="BG328" s="141">
        <f ca="1">IFERROR(__xludf.DUMMYFUNCTION("""COMPUTED_VALUE"""),45539)</f>
        <v>45539</v>
      </c>
      <c r="BH328" s="40" t="str">
        <f ca="1">IFERROR(__xludf.DUMMYFUNCTION("""COMPUTED_VALUE"""),"FICHA EN TIEMPO-18 MESES")</f>
        <v>FICHA EN TIEMPO-18 MESES</v>
      </c>
      <c r="BI328" s="40" t="str">
        <f ca="1">IFERROR(__xludf.DUMMYFUNCTION("""COMPUTED_VALUE"""),"En ejecucion")</f>
        <v>En ejecucion</v>
      </c>
      <c r="BJ328" s="40" t="str">
        <f ca="1">IFERROR(__xludf.DUMMYFUNCTION("""COMPUTED_VALUE"""),"Yamboro")</f>
        <v>Yamboro</v>
      </c>
      <c r="BK328" s="40"/>
      <c r="BL328" s="40"/>
    </row>
    <row r="329" spans="1:64" ht="13">
      <c r="A329" s="40"/>
      <c r="B329" s="40" t="str">
        <f ca="1">IFERROR(__xludf.DUMMYFUNCTION("""COMPUTED_VALUE"""),"FORMACIÓN 18/10/2022")</f>
        <v>FORMACIÓN 18/10/2022</v>
      </c>
      <c r="C329" s="40" t="str">
        <f ca="1">IFERROR(__xludf.DUMMYFUNCTION("""COMPUTED_VALUE"""),"LEIDY YAMILE LARA GARCIA")</f>
        <v>LEIDY YAMILE LARA GARCIA</v>
      </c>
      <c r="D329" s="40" t="str">
        <f ca="1">IFERROR(__xludf.DUMMYFUNCTION("""COMPUTED_VALUE"""),"CC")</f>
        <v>CC</v>
      </c>
      <c r="E329" s="40">
        <f ca="1">IFERROR(__xludf.DUMMYFUNCTION("""COMPUTED_VALUE"""),1084254480)</f>
        <v>1084254480</v>
      </c>
      <c r="F329" s="40">
        <f ca="1">IFERROR(__xludf.DUMMYFUNCTION("""COMPUTED_VALUE"""),2464124)</f>
        <v>2464124</v>
      </c>
      <c r="G329" s="40" t="str">
        <f ca="1">IFERROR(__xludf.DUMMYFUNCTION("""COMPUTED_VALUE"""),"TÉCNICO")</f>
        <v>TÉCNICO</v>
      </c>
      <c r="H329" s="40" t="str">
        <f ca="1">IFERROR(__xludf.DUMMYFUNCTION("""COMPUTED_VALUE"""),"CONSTRUCCION, MANTENIMIENTO Y REPARACION DE ESTRUCTURAS EN GUADUA")</f>
        <v>CONSTRUCCION, MANTENIMIENTO Y REPARACION DE ESTRUCTURAS EN GUADUA</v>
      </c>
      <c r="I329" s="40">
        <f ca="1">IFERROR(__xludf.DUMMYFUNCTION("""COMPUTED_VALUE"""),3232042482)</f>
        <v>3232042482</v>
      </c>
      <c r="J329" s="40" t="str">
        <f ca="1">IFERROR(__xludf.DUMMYFUNCTION("""COMPUTED_VALUE"""),"laraleidy1990@gmail.com")</f>
        <v>laraleidy1990@gmail.com</v>
      </c>
      <c r="K329" s="40"/>
      <c r="L329" s="40" t="str">
        <f ca="1">IFERROR(__xludf.DUMMYFUNCTION("""COMPUTED_VALUE"""),"PASANTÍAS")</f>
        <v>PASANTÍAS</v>
      </c>
      <c r="M329" s="40" t="str">
        <f ca="1">IFERROR(__xludf.DUMMYFUNCTION("""COMPUTED_VALUE"""),"CENTRO DE GETIÓN Y DESARROLLO SOSTENIBLE SUR COLOMBIANO SENA ")</f>
        <v xml:space="preserve">CENTRO DE GETIÓN Y DESARROLLO SOSTENIBLE SUR COLOMBIANO SENA </v>
      </c>
      <c r="N329" s="40" t="str">
        <f ca="1">IFERROR(__xludf.DUMMYFUNCTION("""COMPUTED_VALUE"""),"CALLE 8 N° 7- 52 ")</f>
        <v xml:space="preserve">CALLE 8 N° 7- 52 </v>
      </c>
      <c r="O329" s="40">
        <f ca="1">IFERROR(__xludf.DUMMYFUNCTION("""COMPUTED_VALUE"""),3002105865)</f>
        <v>3002105865</v>
      </c>
      <c r="P329" s="40" t="str">
        <f ca="1">IFERROR(__xludf.DUMMYFUNCTION("""COMPUTED_VALUE"""),"PITALITO ")</f>
        <v xml:space="preserve">PITALITO </v>
      </c>
      <c r="Q329" s="40" t="str">
        <f ca="1">IFERROR(__xludf.DUMMYFUNCTION("""COMPUTED_VALUE"""),"apinzonp@sena.edu.co")</f>
        <v>apinzonp@sena.edu.co</v>
      </c>
      <c r="R329" s="140">
        <f ca="1">IFERROR(__xludf.DUMMYFUNCTION("""COMPUTED_VALUE"""),44805)</f>
        <v>44805</v>
      </c>
      <c r="S329" s="140">
        <f ca="1">IFERROR(__xludf.DUMMYFUNCTION("""COMPUTED_VALUE"""),44985)</f>
        <v>44985</v>
      </c>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t="str">
        <f ca="1">IFERROR(__xludf.DUMMYFUNCTION("""COMPUTED_VALUE"""),"NO_CUMPLE")</f>
        <v>NO_CUMPLE</v>
      </c>
      <c r="AV329" s="40" t="str">
        <f ca="1">IFERROR(__xludf.DUMMYFUNCTION("""COMPUTED_VALUE"""),"EN FORMACION")</f>
        <v>EN FORMACION</v>
      </c>
      <c r="AW329" s="40" t="str">
        <f ca="1">IFERROR(__xludf.DUMMYFUNCTION("""COMPUTED_VALUE"""),"BIOCONSTRUCCION")</f>
        <v>BIOCONSTRUCCION</v>
      </c>
      <c r="AX329" s="141">
        <f ca="1">IFERROR(__xludf.DUMMYFUNCTION("""COMPUTED_VALUE"""),44839)</f>
        <v>44839</v>
      </c>
      <c r="AY329" s="40">
        <f ca="1">IFERROR(__xludf.DUMMYFUNCTION("""COMPUTED_VALUE"""),12)</f>
        <v>12</v>
      </c>
      <c r="AZ329" s="40">
        <f ca="1">IFERROR(__xludf.DUMMYFUNCTION("""COMPUTED_VALUE"""),1)</f>
        <v>1</v>
      </c>
      <c r="BA329" s="40">
        <f ca="1">IFERROR(__xludf.DUMMYFUNCTION("""COMPUTED_VALUE"""),0)</f>
        <v>0</v>
      </c>
      <c r="BB329" s="40">
        <f ca="1">IFERROR(__xludf.DUMMYFUNCTION("""COMPUTED_VALUE"""),0)</f>
        <v>0</v>
      </c>
      <c r="BC329" s="40">
        <f ca="1">IFERROR(__xludf.DUMMYFUNCTION("""COMPUTED_VALUE"""),13)</f>
        <v>13</v>
      </c>
      <c r="BD329" s="141">
        <f ca="1">IFERROR(__xludf.DUMMYFUNCTION("""COMPUTED_VALUE"""),44535)</f>
        <v>44535</v>
      </c>
      <c r="BE329" s="141">
        <f ca="1">IFERROR(__xludf.DUMMYFUNCTION("""COMPUTED_VALUE"""),44808)</f>
        <v>44808</v>
      </c>
      <c r="BF329" s="141">
        <f ca="1">IFERROR(__xludf.DUMMYFUNCTION("""COMPUTED_VALUE"""),44989)</f>
        <v>44989</v>
      </c>
      <c r="BG329" s="141">
        <f ca="1">IFERROR(__xludf.DUMMYFUNCTION("""COMPUTED_VALUE"""),45539)</f>
        <v>45539</v>
      </c>
      <c r="BH329" s="40" t="str">
        <f ca="1">IFERROR(__xludf.DUMMYFUNCTION("""COMPUTED_VALUE"""),"FICHA EN TIEMPO-18 MESES")</f>
        <v>FICHA EN TIEMPO-18 MESES</v>
      </c>
      <c r="BI329" s="40" t="str">
        <f ca="1">IFERROR(__xludf.DUMMYFUNCTION("""COMPUTED_VALUE"""),"En ejecucion")</f>
        <v>En ejecucion</v>
      </c>
      <c r="BJ329" s="40" t="str">
        <f ca="1">IFERROR(__xludf.DUMMYFUNCTION("""COMPUTED_VALUE"""),"Yamboro")</f>
        <v>Yamboro</v>
      </c>
      <c r="BK329" s="40"/>
      <c r="BL329" s="40"/>
    </row>
    <row r="330" spans="1:64" ht="13">
      <c r="A330" s="40"/>
      <c r="B330" s="40" t="str">
        <f ca="1">IFERROR(__xludf.DUMMYFUNCTION("""COMPUTED_VALUE"""),"FORMACIÓN 18/10/2022")</f>
        <v>FORMACIÓN 18/10/2022</v>
      </c>
      <c r="C330" s="40" t="str">
        <f ca="1">IFERROR(__xludf.DUMMYFUNCTION("""COMPUTED_VALUE"""),"JHON JAIRO ORTEGA ROJAS")</f>
        <v>JHON JAIRO ORTEGA ROJAS</v>
      </c>
      <c r="D330" s="40" t="str">
        <f ca="1">IFERROR(__xludf.DUMMYFUNCTION("""COMPUTED_VALUE"""),"CC")</f>
        <v>CC</v>
      </c>
      <c r="E330" s="40">
        <f ca="1">IFERROR(__xludf.DUMMYFUNCTION("""COMPUTED_VALUE"""),1084256890)</f>
        <v>1084256890</v>
      </c>
      <c r="F330" s="40">
        <f ca="1">IFERROR(__xludf.DUMMYFUNCTION("""COMPUTED_VALUE"""),2464124)</f>
        <v>2464124</v>
      </c>
      <c r="G330" s="40" t="str">
        <f ca="1">IFERROR(__xludf.DUMMYFUNCTION("""COMPUTED_VALUE"""),"TÉCNICO")</f>
        <v>TÉCNICO</v>
      </c>
      <c r="H330" s="40" t="str">
        <f ca="1">IFERROR(__xludf.DUMMYFUNCTION("""COMPUTED_VALUE"""),"CONSTRUCCION, MANTENIMIENTO Y REPARACION DE ESTRUCTURAS EN GUADUA")</f>
        <v>CONSTRUCCION, MANTENIMIENTO Y REPARACION DE ESTRUCTURAS EN GUADUA</v>
      </c>
      <c r="I330" s="40">
        <f ca="1">IFERROR(__xludf.DUMMYFUNCTION("""COMPUTED_VALUE"""),3144724710)</f>
        <v>3144724710</v>
      </c>
      <c r="J330" s="40" t="str">
        <f ca="1">IFERROR(__xludf.DUMMYFUNCTION("""COMPUTED_VALUE"""),"jjhonten@gmail.com")</f>
        <v>jjhonten@gmail.com</v>
      </c>
      <c r="K330" s="40"/>
      <c r="L330" s="40" t="str">
        <f ca="1">IFERROR(__xludf.DUMMYFUNCTION("""COMPUTED_VALUE"""),"PASANTÍAS")</f>
        <v>PASANTÍAS</v>
      </c>
      <c r="M330" s="40" t="str">
        <f ca="1">IFERROR(__xludf.DUMMYFUNCTION("""COMPUTED_VALUE"""),"CENTRO DE GETIÓN Y DESARROLLO SOSTENIBLE SUR COLOMBIANO SENA ")</f>
        <v xml:space="preserve">CENTRO DE GETIÓN Y DESARROLLO SOSTENIBLE SUR COLOMBIANO SENA </v>
      </c>
      <c r="N330" s="40" t="str">
        <f ca="1">IFERROR(__xludf.DUMMYFUNCTION("""COMPUTED_VALUE"""),"CALLE 8 N° 7- 52 ")</f>
        <v xml:space="preserve">CALLE 8 N° 7- 52 </v>
      </c>
      <c r="O330" s="40">
        <f ca="1">IFERROR(__xludf.DUMMYFUNCTION("""COMPUTED_VALUE"""),3002105865)</f>
        <v>3002105865</v>
      </c>
      <c r="P330" s="40" t="str">
        <f ca="1">IFERROR(__xludf.DUMMYFUNCTION("""COMPUTED_VALUE"""),"PITALITO ")</f>
        <v xml:space="preserve">PITALITO </v>
      </c>
      <c r="Q330" s="40" t="str">
        <f ca="1">IFERROR(__xludf.DUMMYFUNCTION("""COMPUTED_VALUE"""),"apinzonp@sena.edu.co")</f>
        <v>apinzonp@sena.edu.co</v>
      </c>
      <c r="R330" s="140">
        <f ca="1">IFERROR(__xludf.DUMMYFUNCTION("""COMPUTED_VALUE"""),44805)</f>
        <v>44805</v>
      </c>
      <c r="S330" s="140">
        <f ca="1">IFERROR(__xludf.DUMMYFUNCTION("""COMPUTED_VALUE"""),44985)</f>
        <v>44985</v>
      </c>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t="str">
        <f ca="1">IFERROR(__xludf.DUMMYFUNCTION("""COMPUTED_VALUE"""),"NO_CUMPLE")</f>
        <v>NO_CUMPLE</v>
      </c>
      <c r="AV330" s="40" t="str">
        <f ca="1">IFERROR(__xludf.DUMMYFUNCTION("""COMPUTED_VALUE"""),"EN FORMACION")</f>
        <v>EN FORMACION</v>
      </c>
      <c r="AW330" s="40" t="str">
        <f ca="1">IFERROR(__xludf.DUMMYFUNCTION("""COMPUTED_VALUE"""),"BIOCONSTRUCCION")</f>
        <v>BIOCONSTRUCCION</v>
      </c>
      <c r="AX330" s="141">
        <f ca="1">IFERROR(__xludf.DUMMYFUNCTION("""COMPUTED_VALUE"""),44839)</f>
        <v>44839</v>
      </c>
      <c r="AY330" s="40">
        <f ca="1">IFERROR(__xludf.DUMMYFUNCTION("""COMPUTED_VALUE"""),12)</f>
        <v>12</v>
      </c>
      <c r="AZ330" s="40">
        <f ca="1">IFERROR(__xludf.DUMMYFUNCTION("""COMPUTED_VALUE"""),1)</f>
        <v>1</v>
      </c>
      <c r="BA330" s="40">
        <f ca="1">IFERROR(__xludf.DUMMYFUNCTION("""COMPUTED_VALUE"""),0)</f>
        <v>0</v>
      </c>
      <c r="BB330" s="40">
        <f ca="1">IFERROR(__xludf.DUMMYFUNCTION("""COMPUTED_VALUE"""),0)</f>
        <v>0</v>
      </c>
      <c r="BC330" s="40">
        <f ca="1">IFERROR(__xludf.DUMMYFUNCTION("""COMPUTED_VALUE"""),13)</f>
        <v>13</v>
      </c>
      <c r="BD330" s="141">
        <f ca="1">IFERROR(__xludf.DUMMYFUNCTION("""COMPUTED_VALUE"""),44535)</f>
        <v>44535</v>
      </c>
      <c r="BE330" s="141">
        <f ca="1">IFERROR(__xludf.DUMMYFUNCTION("""COMPUTED_VALUE"""),44808)</f>
        <v>44808</v>
      </c>
      <c r="BF330" s="141">
        <f ca="1">IFERROR(__xludf.DUMMYFUNCTION("""COMPUTED_VALUE"""),44989)</f>
        <v>44989</v>
      </c>
      <c r="BG330" s="141">
        <f ca="1">IFERROR(__xludf.DUMMYFUNCTION("""COMPUTED_VALUE"""),45539)</f>
        <v>45539</v>
      </c>
      <c r="BH330" s="40" t="str">
        <f ca="1">IFERROR(__xludf.DUMMYFUNCTION("""COMPUTED_VALUE"""),"FICHA EN TIEMPO-18 MESES")</f>
        <v>FICHA EN TIEMPO-18 MESES</v>
      </c>
      <c r="BI330" s="40" t="str">
        <f ca="1">IFERROR(__xludf.DUMMYFUNCTION("""COMPUTED_VALUE"""),"En ejecucion")</f>
        <v>En ejecucion</v>
      </c>
      <c r="BJ330" s="40" t="str">
        <f ca="1">IFERROR(__xludf.DUMMYFUNCTION("""COMPUTED_VALUE"""),"Yamboro")</f>
        <v>Yamboro</v>
      </c>
      <c r="BK330" s="40"/>
      <c r="BL330" s="40"/>
    </row>
    <row r="331" spans="1:64" ht="13">
      <c r="A331" s="40"/>
      <c r="B331" s="40" t="str">
        <f ca="1">IFERROR(__xludf.DUMMYFUNCTION("""COMPUTED_VALUE"""),"FORMACIÓN 18/10/2022")</f>
        <v>FORMACIÓN 18/10/2022</v>
      </c>
      <c r="C331" s="40" t="str">
        <f ca="1">IFERROR(__xludf.DUMMYFUNCTION("""COMPUTED_VALUE"""),"SEGUNDO EDUARDO CHAVEZ CHAVEZ")</f>
        <v>SEGUNDO EDUARDO CHAVEZ CHAVEZ</v>
      </c>
      <c r="D331" s="40" t="str">
        <f ca="1">IFERROR(__xludf.DUMMYFUNCTION("""COMPUTED_VALUE"""),"CC")</f>
        <v>CC</v>
      </c>
      <c r="E331" s="40">
        <f ca="1">IFERROR(__xludf.DUMMYFUNCTION("""COMPUTED_VALUE"""),12168629)</f>
        <v>12168629</v>
      </c>
      <c r="F331" s="40">
        <f ca="1">IFERROR(__xludf.DUMMYFUNCTION("""COMPUTED_VALUE"""),2464124)</f>
        <v>2464124</v>
      </c>
      <c r="G331" s="40" t="str">
        <f ca="1">IFERROR(__xludf.DUMMYFUNCTION("""COMPUTED_VALUE"""),"TÉCNICO")</f>
        <v>TÉCNICO</v>
      </c>
      <c r="H331" s="40" t="str">
        <f ca="1">IFERROR(__xludf.DUMMYFUNCTION("""COMPUTED_VALUE"""),"CONSTRUCCION, MANTENIMIENTO Y REPARACION DE ESTRUCTURAS EN GUADUA")</f>
        <v>CONSTRUCCION, MANTENIMIENTO Y REPARACION DE ESTRUCTURAS EN GUADUA</v>
      </c>
      <c r="I331" s="40">
        <f ca="1">IFERROR(__xludf.DUMMYFUNCTION("""COMPUTED_VALUE"""),3103122530)</f>
        <v>3103122530</v>
      </c>
      <c r="J331" s="40" t="str">
        <f ca="1">IFERROR(__xludf.DUMMYFUNCTION("""COMPUTED_VALUE"""),"eduardosegundochavez@hotmail.com")</f>
        <v>eduardosegundochavez@hotmail.com</v>
      </c>
      <c r="K331" s="40"/>
      <c r="L331" s="40" t="str">
        <f ca="1">IFERROR(__xludf.DUMMYFUNCTION("""COMPUTED_VALUE"""),"PASANTÍAS")</f>
        <v>PASANTÍAS</v>
      </c>
      <c r="M331" s="40" t="str">
        <f ca="1">IFERROR(__xludf.DUMMYFUNCTION("""COMPUTED_VALUE"""),"CENTRO DE GETIÓN Y DESARROLLO SOSTENIBLE SUR COLOMBIANO SENA ")</f>
        <v xml:space="preserve">CENTRO DE GETIÓN Y DESARROLLO SOSTENIBLE SUR COLOMBIANO SENA </v>
      </c>
      <c r="N331" s="40" t="str">
        <f ca="1">IFERROR(__xludf.DUMMYFUNCTION("""COMPUTED_VALUE"""),"CALLE 8 N° 7- 52 ")</f>
        <v xml:space="preserve">CALLE 8 N° 7- 52 </v>
      </c>
      <c r="O331" s="40">
        <f ca="1">IFERROR(__xludf.DUMMYFUNCTION("""COMPUTED_VALUE"""),3002105865)</f>
        <v>3002105865</v>
      </c>
      <c r="P331" s="40" t="str">
        <f ca="1">IFERROR(__xludf.DUMMYFUNCTION("""COMPUTED_VALUE"""),"PITALITO ")</f>
        <v xml:space="preserve">PITALITO </v>
      </c>
      <c r="Q331" s="40" t="str">
        <f ca="1">IFERROR(__xludf.DUMMYFUNCTION("""COMPUTED_VALUE"""),"apinzonp@sena.edu.co")</f>
        <v>apinzonp@sena.edu.co</v>
      </c>
      <c r="R331" s="140">
        <f ca="1">IFERROR(__xludf.DUMMYFUNCTION("""COMPUTED_VALUE"""),44805)</f>
        <v>44805</v>
      </c>
      <c r="S331" s="140">
        <f ca="1">IFERROR(__xludf.DUMMYFUNCTION("""COMPUTED_VALUE"""),44985)</f>
        <v>44985</v>
      </c>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t="str">
        <f ca="1">IFERROR(__xludf.DUMMYFUNCTION("""COMPUTED_VALUE"""),"NO_CUMPLE")</f>
        <v>NO_CUMPLE</v>
      </c>
      <c r="AV331" s="40" t="str">
        <f ca="1">IFERROR(__xludf.DUMMYFUNCTION("""COMPUTED_VALUE"""),"EN FORMACION")</f>
        <v>EN FORMACION</v>
      </c>
      <c r="AW331" s="40" t="str">
        <f ca="1">IFERROR(__xludf.DUMMYFUNCTION("""COMPUTED_VALUE"""),"BIOCONSTRUCCION")</f>
        <v>BIOCONSTRUCCION</v>
      </c>
      <c r="AX331" s="141">
        <f ca="1">IFERROR(__xludf.DUMMYFUNCTION("""COMPUTED_VALUE"""),44839)</f>
        <v>44839</v>
      </c>
      <c r="AY331" s="40">
        <f ca="1">IFERROR(__xludf.DUMMYFUNCTION("""COMPUTED_VALUE"""),12)</f>
        <v>12</v>
      </c>
      <c r="AZ331" s="40">
        <f ca="1">IFERROR(__xludf.DUMMYFUNCTION("""COMPUTED_VALUE"""),1)</f>
        <v>1</v>
      </c>
      <c r="BA331" s="40">
        <f ca="1">IFERROR(__xludf.DUMMYFUNCTION("""COMPUTED_VALUE"""),0)</f>
        <v>0</v>
      </c>
      <c r="BB331" s="40">
        <f ca="1">IFERROR(__xludf.DUMMYFUNCTION("""COMPUTED_VALUE"""),0)</f>
        <v>0</v>
      </c>
      <c r="BC331" s="40">
        <f ca="1">IFERROR(__xludf.DUMMYFUNCTION("""COMPUTED_VALUE"""),13)</f>
        <v>13</v>
      </c>
      <c r="BD331" s="141">
        <f ca="1">IFERROR(__xludf.DUMMYFUNCTION("""COMPUTED_VALUE"""),44535)</f>
        <v>44535</v>
      </c>
      <c r="BE331" s="141">
        <f ca="1">IFERROR(__xludf.DUMMYFUNCTION("""COMPUTED_VALUE"""),44808)</f>
        <v>44808</v>
      </c>
      <c r="BF331" s="141">
        <f ca="1">IFERROR(__xludf.DUMMYFUNCTION("""COMPUTED_VALUE"""),44989)</f>
        <v>44989</v>
      </c>
      <c r="BG331" s="141">
        <f ca="1">IFERROR(__xludf.DUMMYFUNCTION("""COMPUTED_VALUE"""),45539)</f>
        <v>45539</v>
      </c>
      <c r="BH331" s="40" t="str">
        <f ca="1">IFERROR(__xludf.DUMMYFUNCTION("""COMPUTED_VALUE"""),"FICHA EN TIEMPO-18 MESES")</f>
        <v>FICHA EN TIEMPO-18 MESES</v>
      </c>
      <c r="BI331" s="40" t="str">
        <f ca="1">IFERROR(__xludf.DUMMYFUNCTION("""COMPUTED_VALUE"""),"En ejecucion")</f>
        <v>En ejecucion</v>
      </c>
      <c r="BJ331" s="40" t="str">
        <f ca="1">IFERROR(__xludf.DUMMYFUNCTION("""COMPUTED_VALUE"""),"Yamboro")</f>
        <v>Yamboro</v>
      </c>
      <c r="BK331" s="40"/>
      <c r="BL331" s="40"/>
    </row>
    <row r="332" spans="1:64" ht="13">
      <c r="A332" s="40"/>
      <c r="B332" s="40" t="str">
        <f ca="1">IFERROR(__xludf.DUMMYFUNCTION("""COMPUTED_VALUE"""),"FORMACIÓN 18/10/2022")</f>
        <v>FORMACIÓN 18/10/2022</v>
      </c>
      <c r="C332" s="40" t="str">
        <f ca="1">IFERROR(__xludf.DUMMYFUNCTION("""COMPUTED_VALUE"""),"WLADEMIR LARA GARCIA")</f>
        <v>WLADEMIR LARA GARCIA</v>
      </c>
      <c r="D332" s="40" t="str">
        <f ca="1">IFERROR(__xludf.DUMMYFUNCTION("""COMPUTED_VALUE"""),"CC")</f>
        <v>CC</v>
      </c>
      <c r="E332" s="40">
        <f ca="1">IFERROR(__xludf.DUMMYFUNCTION("""COMPUTED_VALUE"""),12169668)</f>
        <v>12169668</v>
      </c>
      <c r="F332" s="40">
        <f ca="1">IFERROR(__xludf.DUMMYFUNCTION("""COMPUTED_VALUE"""),2464124)</f>
        <v>2464124</v>
      </c>
      <c r="G332" s="40" t="str">
        <f ca="1">IFERROR(__xludf.DUMMYFUNCTION("""COMPUTED_VALUE"""),"TÉCNICO")</f>
        <v>TÉCNICO</v>
      </c>
      <c r="H332" s="40" t="str">
        <f ca="1">IFERROR(__xludf.DUMMYFUNCTION("""COMPUTED_VALUE"""),"CONSTRUCCION, MANTENIMIENTO Y REPARACION DE ESTRUCTURAS EN GUADUA")</f>
        <v>CONSTRUCCION, MANTENIMIENTO Y REPARACION DE ESTRUCTURAS EN GUADUA</v>
      </c>
      <c r="I332" s="40">
        <f ca="1">IFERROR(__xludf.DUMMYFUNCTION("""COMPUTED_VALUE"""),3177052749)</f>
        <v>3177052749</v>
      </c>
      <c r="J332" s="40" t="str">
        <f ca="1">IFERROR(__xludf.DUMMYFUNCTION("""COMPUTED_VALUE"""),"wlalaga76@gmail.com")</f>
        <v>wlalaga76@gmail.com</v>
      </c>
      <c r="K332" s="40"/>
      <c r="L332" s="40" t="str">
        <f ca="1">IFERROR(__xludf.DUMMYFUNCTION("""COMPUTED_VALUE"""),"PASANTÍAS")</f>
        <v>PASANTÍAS</v>
      </c>
      <c r="M332" s="40" t="str">
        <f ca="1">IFERROR(__xludf.DUMMYFUNCTION("""COMPUTED_VALUE"""),"CENTRO DE GETIÓN Y DESARROLLO SOSTENIBLE SUR COLOMBIANO SENA ")</f>
        <v xml:space="preserve">CENTRO DE GETIÓN Y DESARROLLO SOSTENIBLE SUR COLOMBIANO SENA </v>
      </c>
      <c r="N332" s="40" t="str">
        <f ca="1">IFERROR(__xludf.DUMMYFUNCTION("""COMPUTED_VALUE"""),"CALLE 8 N° 7- 52 ")</f>
        <v xml:space="preserve">CALLE 8 N° 7- 52 </v>
      </c>
      <c r="O332" s="40">
        <f ca="1">IFERROR(__xludf.DUMMYFUNCTION("""COMPUTED_VALUE"""),3002105865)</f>
        <v>3002105865</v>
      </c>
      <c r="P332" s="40" t="str">
        <f ca="1">IFERROR(__xludf.DUMMYFUNCTION("""COMPUTED_VALUE"""),"PITALITO ")</f>
        <v xml:space="preserve">PITALITO </v>
      </c>
      <c r="Q332" s="40" t="str">
        <f ca="1">IFERROR(__xludf.DUMMYFUNCTION("""COMPUTED_VALUE"""),"apinzonp@sena.edu.co")</f>
        <v>apinzonp@sena.edu.co</v>
      </c>
      <c r="R332" s="140">
        <f ca="1">IFERROR(__xludf.DUMMYFUNCTION("""COMPUTED_VALUE"""),44805)</f>
        <v>44805</v>
      </c>
      <c r="S332" s="140">
        <f ca="1">IFERROR(__xludf.DUMMYFUNCTION("""COMPUTED_VALUE"""),44985)</f>
        <v>44985</v>
      </c>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t="str">
        <f ca="1">IFERROR(__xludf.DUMMYFUNCTION("""COMPUTED_VALUE"""),"NO_CUMPLE")</f>
        <v>NO_CUMPLE</v>
      </c>
      <c r="AV332" s="40" t="str">
        <f ca="1">IFERROR(__xludf.DUMMYFUNCTION("""COMPUTED_VALUE"""),"EN FORMACION")</f>
        <v>EN FORMACION</v>
      </c>
      <c r="AW332" s="40" t="str">
        <f ca="1">IFERROR(__xludf.DUMMYFUNCTION("""COMPUTED_VALUE"""),"BIOCONSTRUCCION")</f>
        <v>BIOCONSTRUCCION</v>
      </c>
      <c r="AX332" s="141">
        <f ca="1">IFERROR(__xludf.DUMMYFUNCTION("""COMPUTED_VALUE"""),44839)</f>
        <v>44839</v>
      </c>
      <c r="AY332" s="40">
        <f ca="1">IFERROR(__xludf.DUMMYFUNCTION("""COMPUTED_VALUE"""),12)</f>
        <v>12</v>
      </c>
      <c r="AZ332" s="40">
        <f ca="1">IFERROR(__xludf.DUMMYFUNCTION("""COMPUTED_VALUE"""),1)</f>
        <v>1</v>
      </c>
      <c r="BA332" s="40">
        <f ca="1">IFERROR(__xludf.DUMMYFUNCTION("""COMPUTED_VALUE"""),0)</f>
        <v>0</v>
      </c>
      <c r="BB332" s="40">
        <f ca="1">IFERROR(__xludf.DUMMYFUNCTION("""COMPUTED_VALUE"""),0)</f>
        <v>0</v>
      </c>
      <c r="BC332" s="40">
        <f ca="1">IFERROR(__xludf.DUMMYFUNCTION("""COMPUTED_VALUE"""),13)</f>
        <v>13</v>
      </c>
      <c r="BD332" s="141">
        <f ca="1">IFERROR(__xludf.DUMMYFUNCTION("""COMPUTED_VALUE"""),44535)</f>
        <v>44535</v>
      </c>
      <c r="BE332" s="141">
        <f ca="1">IFERROR(__xludf.DUMMYFUNCTION("""COMPUTED_VALUE"""),44808)</f>
        <v>44808</v>
      </c>
      <c r="BF332" s="141">
        <f ca="1">IFERROR(__xludf.DUMMYFUNCTION("""COMPUTED_VALUE"""),44989)</f>
        <v>44989</v>
      </c>
      <c r="BG332" s="141">
        <f ca="1">IFERROR(__xludf.DUMMYFUNCTION("""COMPUTED_VALUE"""),45539)</f>
        <v>45539</v>
      </c>
      <c r="BH332" s="40" t="str">
        <f ca="1">IFERROR(__xludf.DUMMYFUNCTION("""COMPUTED_VALUE"""),"FICHA EN TIEMPO-18 MESES")</f>
        <v>FICHA EN TIEMPO-18 MESES</v>
      </c>
      <c r="BI332" s="40" t="str">
        <f ca="1">IFERROR(__xludf.DUMMYFUNCTION("""COMPUTED_VALUE"""),"En ejecucion")</f>
        <v>En ejecucion</v>
      </c>
      <c r="BJ332" s="40" t="str">
        <f ca="1">IFERROR(__xludf.DUMMYFUNCTION("""COMPUTED_VALUE"""),"Yamboro")</f>
        <v>Yamboro</v>
      </c>
      <c r="BK332" s="40"/>
      <c r="BL332" s="40"/>
    </row>
    <row r="333" spans="1:64" ht="13">
      <c r="A333" s="40"/>
      <c r="B333" s="40" t="str">
        <f ca="1">IFERROR(__xludf.DUMMYFUNCTION("""COMPUTED_VALUE"""),"FORMACIÓN 18/10/2022")</f>
        <v>FORMACIÓN 18/10/2022</v>
      </c>
      <c r="C333" s="40" t="str">
        <f ca="1">IFERROR(__xludf.DUMMYFUNCTION("""COMPUTED_VALUE"""),"HECTOR OLIVO REALPE REALPE")</f>
        <v>HECTOR OLIVO REALPE REALPE</v>
      </c>
      <c r="D333" s="40" t="str">
        <f ca="1">IFERROR(__xludf.DUMMYFUNCTION("""COMPUTED_VALUE"""),"CC")</f>
        <v>CC</v>
      </c>
      <c r="E333" s="40">
        <f ca="1">IFERROR(__xludf.DUMMYFUNCTION("""COMPUTED_VALUE"""),12197764)</f>
        <v>12197764</v>
      </c>
      <c r="F333" s="40">
        <f ca="1">IFERROR(__xludf.DUMMYFUNCTION("""COMPUTED_VALUE"""),2464124)</f>
        <v>2464124</v>
      </c>
      <c r="G333" s="40" t="str">
        <f ca="1">IFERROR(__xludf.DUMMYFUNCTION("""COMPUTED_VALUE"""),"TÉCNICO")</f>
        <v>TÉCNICO</v>
      </c>
      <c r="H333" s="40" t="str">
        <f ca="1">IFERROR(__xludf.DUMMYFUNCTION("""COMPUTED_VALUE"""),"CONSTRUCCION, MANTENIMIENTO Y REPARACION DE ESTRUCTURAS EN GUADUA")</f>
        <v>CONSTRUCCION, MANTENIMIENTO Y REPARACION DE ESTRUCTURAS EN GUADUA</v>
      </c>
      <c r="I333" s="40">
        <f ca="1">IFERROR(__xludf.DUMMYFUNCTION("""COMPUTED_VALUE"""),3134888808)</f>
        <v>3134888808</v>
      </c>
      <c r="J333" s="40" t="str">
        <f ca="1">IFERROR(__xludf.DUMMYFUNCTION("""COMPUTED_VALUE"""),"realpehector7@gmail.com")</f>
        <v>realpehector7@gmail.com</v>
      </c>
      <c r="K333" s="40"/>
      <c r="L333" s="40" t="str">
        <f ca="1">IFERROR(__xludf.DUMMYFUNCTION("""COMPUTED_VALUE"""),"PASANTÍAS")</f>
        <v>PASANTÍAS</v>
      </c>
      <c r="M333" s="40" t="str">
        <f ca="1">IFERROR(__xludf.DUMMYFUNCTION("""COMPUTED_VALUE"""),"CENTRO DE GETIÓN Y DESARROLLO SOSTENIBLE SUR COLOMBIANO SENA ")</f>
        <v xml:space="preserve">CENTRO DE GETIÓN Y DESARROLLO SOSTENIBLE SUR COLOMBIANO SENA </v>
      </c>
      <c r="N333" s="40" t="str">
        <f ca="1">IFERROR(__xludf.DUMMYFUNCTION("""COMPUTED_VALUE"""),"CALLE 8 N° 7- 52 ")</f>
        <v xml:space="preserve">CALLE 8 N° 7- 52 </v>
      </c>
      <c r="O333" s="40">
        <f ca="1">IFERROR(__xludf.DUMMYFUNCTION("""COMPUTED_VALUE"""),3002105865)</f>
        <v>3002105865</v>
      </c>
      <c r="P333" s="40" t="str">
        <f ca="1">IFERROR(__xludf.DUMMYFUNCTION("""COMPUTED_VALUE"""),"PITALITO ")</f>
        <v xml:space="preserve">PITALITO </v>
      </c>
      <c r="Q333" s="40" t="str">
        <f ca="1">IFERROR(__xludf.DUMMYFUNCTION("""COMPUTED_VALUE"""),"apinzonp@sena.edu.co")</f>
        <v>apinzonp@sena.edu.co</v>
      </c>
      <c r="R333" s="140">
        <f ca="1">IFERROR(__xludf.DUMMYFUNCTION("""COMPUTED_VALUE"""),44805)</f>
        <v>44805</v>
      </c>
      <c r="S333" s="140">
        <f ca="1">IFERROR(__xludf.DUMMYFUNCTION("""COMPUTED_VALUE"""),44985)</f>
        <v>44985</v>
      </c>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t="str">
        <f ca="1">IFERROR(__xludf.DUMMYFUNCTION("""COMPUTED_VALUE"""),"NO_CUMPLE")</f>
        <v>NO_CUMPLE</v>
      </c>
      <c r="AV333" s="40" t="str">
        <f ca="1">IFERROR(__xludf.DUMMYFUNCTION("""COMPUTED_VALUE"""),"EN FORMACION")</f>
        <v>EN FORMACION</v>
      </c>
      <c r="AW333" s="40" t="str">
        <f ca="1">IFERROR(__xludf.DUMMYFUNCTION("""COMPUTED_VALUE"""),"BIOCONSTRUCCION")</f>
        <v>BIOCONSTRUCCION</v>
      </c>
      <c r="AX333" s="141">
        <f ca="1">IFERROR(__xludf.DUMMYFUNCTION("""COMPUTED_VALUE"""),44839)</f>
        <v>44839</v>
      </c>
      <c r="AY333" s="40">
        <f ca="1">IFERROR(__xludf.DUMMYFUNCTION("""COMPUTED_VALUE"""),12)</f>
        <v>12</v>
      </c>
      <c r="AZ333" s="40">
        <f ca="1">IFERROR(__xludf.DUMMYFUNCTION("""COMPUTED_VALUE"""),1)</f>
        <v>1</v>
      </c>
      <c r="BA333" s="40">
        <f ca="1">IFERROR(__xludf.DUMMYFUNCTION("""COMPUTED_VALUE"""),0)</f>
        <v>0</v>
      </c>
      <c r="BB333" s="40">
        <f ca="1">IFERROR(__xludf.DUMMYFUNCTION("""COMPUTED_VALUE"""),0)</f>
        <v>0</v>
      </c>
      <c r="BC333" s="40">
        <f ca="1">IFERROR(__xludf.DUMMYFUNCTION("""COMPUTED_VALUE"""),13)</f>
        <v>13</v>
      </c>
      <c r="BD333" s="141">
        <f ca="1">IFERROR(__xludf.DUMMYFUNCTION("""COMPUTED_VALUE"""),44535)</f>
        <v>44535</v>
      </c>
      <c r="BE333" s="141">
        <f ca="1">IFERROR(__xludf.DUMMYFUNCTION("""COMPUTED_VALUE"""),44808)</f>
        <v>44808</v>
      </c>
      <c r="BF333" s="141">
        <f ca="1">IFERROR(__xludf.DUMMYFUNCTION("""COMPUTED_VALUE"""),44989)</f>
        <v>44989</v>
      </c>
      <c r="BG333" s="141">
        <f ca="1">IFERROR(__xludf.DUMMYFUNCTION("""COMPUTED_VALUE"""),45539)</f>
        <v>45539</v>
      </c>
      <c r="BH333" s="40" t="str">
        <f ca="1">IFERROR(__xludf.DUMMYFUNCTION("""COMPUTED_VALUE"""),"FICHA EN TIEMPO-18 MESES")</f>
        <v>FICHA EN TIEMPO-18 MESES</v>
      </c>
      <c r="BI333" s="40" t="str">
        <f ca="1">IFERROR(__xludf.DUMMYFUNCTION("""COMPUTED_VALUE"""),"En ejecucion")</f>
        <v>En ejecucion</v>
      </c>
      <c r="BJ333" s="40" t="str">
        <f ca="1">IFERROR(__xludf.DUMMYFUNCTION("""COMPUTED_VALUE"""),"Yamboro")</f>
        <v>Yamboro</v>
      </c>
      <c r="BK333" s="40"/>
      <c r="BL333" s="40"/>
    </row>
    <row r="334" spans="1:64" ht="13">
      <c r="A334" s="40"/>
      <c r="B334" s="40" t="str">
        <f ca="1">IFERROR(__xludf.DUMMYFUNCTION("""COMPUTED_VALUE"""),"FORMACIÓN 18/10/2022")</f>
        <v>FORMACIÓN 18/10/2022</v>
      </c>
      <c r="C334" s="40" t="str">
        <f ca="1">IFERROR(__xludf.DUMMYFUNCTION("""COMPUTED_VALUE"""),"ALVARO SUAREZ ARIZA")</f>
        <v>ALVARO SUAREZ ARIZA</v>
      </c>
      <c r="D334" s="40" t="str">
        <f ca="1">IFERROR(__xludf.DUMMYFUNCTION("""COMPUTED_VALUE"""),"CC")</f>
        <v>CC</v>
      </c>
      <c r="E334" s="40">
        <f ca="1">IFERROR(__xludf.DUMMYFUNCTION("""COMPUTED_VALUE"""),19245621)</f>
        <v>19245621</v>
      </c>
      <c r="F334" s="40">
        <f ca="1">IFERROR(__xludf.DUMMYFUNCTION("""COMPUTED_VALUE"""),2464124)</f>
        <v>2464124</v>
      </c>
      <c r="G334" s="40" t="str">
        <f ca="1">IFERROR(__xludf.DUMMYFUNCTION("""COMPUTED_VALUE"""),"TÉCNICO")</f>
        <v>TÉCNICO</v>
      </c>
      <c r="H334" s="40" t="str">
        <f ca="1">IFERROR(__xludf.DUMMYFUNCTION("""COMPUTED_VALUE"""),"CONSTRUCCION, MANTENIMIENTO Y REPARACION DE ESTRUCTURAS EN GUADUA")</f>
        <v>CONSTRUCCION, MANTENIMIENTO Y REPARACION DE ESTRUCTURAS EN GUADUA</v>
      </c>
      <c r="I334" s="40">
        <f ca="1">IFERROR(__xludf.DUMMYFUNCTION("""COMPUTED_VALUE"""),3138471778)</f>
        <v>3138471778</v>
      </c>
      <c r="J334" s="40" t="str">
        <f ca="1">IFERROR(__xludf.DUMMYFUNCTION("""COMPUTED_VALUE"""),"alvarosuarezz3456@gmail.com")</f>
        <v>alvarosuarezz3456@gmail.com</v>
      </c>
      <c r="K334" s="40"/>
      <c r="L334" s="40" t="str">
        <f ca="1">IFERROR(__xludf.DUMMYFUNCTION("""COMPUTED_VALUE"""),"PASANTÍAS")</f>
        <v>PASANTÍAS</v>
      </c>
      <c r="M334" s="40" t="str">
        <f ca="1">IFERROR(__xludf.DUMMYFUNCTION("""COMPUTED_VALUE"""),"CENTRO DE GETIÓN Y DESARROLLO SOSTENIBLE SUR COLOMBIANO SENA ")</f>
        <v xml:space="preserve">CENTRO DE GETIÓN Y DESARROLLO SOSTENIBLE SUR COLOMBIANO SENA </v>
      </c>
      <c r="N334" s="40" t="str">
        <f ca="1">IFERROR(__xludf.DUMMYFUNCTION("""COMPUTED_VALUE"""),"CALLE 8 N° 7- 52 ")</f>
        <v xml:space="preserve">CALLE 8 N° 7- 52 </v>
      </c>
      <c r="O334" s="40">
        <f ca="1">IFERROR(__xludf.DUMMYFUNCTION("""COMPUTED_VALUE"""),3002105865)</f>
        <v>3002105865</v>
      </c>
      <c r="P334" s="40" t="str">
        <f ca="1">IFERROR(__xludf.DUMMYFUNCTION("""COMPUTED_VALUE"""),"PITALITO ")</f>
        <v xml:space="preserve">PITALITO </v>
      </c>
      <c r="Q334" s="40" t="str">
        <f ca="1">IFERROR(__xludf.DUMMYFUNCTION("""COMPUTED_VALUE"""),"apinzonp@sena.edu.co")</f>
        <v>apinzonp@sena.edu.co</v>
      </c>
      <c r="R334" s="140">
        <f ca="1">IFERROR(__xludf.DUMMYFUNCTION("""COMPUTED_VALUE"""),44805)</f>
        <v>44805</v>
      </c>
      <c r="S334" s="140">
        <f ca="1">IFERROR(__xludf.DUMMYFUNCTION("""COMPUTED_VALUE"""),44985)</f>
        <v>44985</v>
      </c>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t="str">
        <f ca="1">IFERROR(__xludf.DUMMYFUNCTION("""COMPUTED_VALUE"""),"NO_CUMPLE")</f>
        <v>NO_CUMPLE</v>
      </c>
      <c r="AV334" s="40" t="str">
        <f ca="1">IFERROR(__xludf.DUMMYFUNCTION("""COMPUTED_VALUE"""),"EN FORMACION")</f>
        <v>EN FORMACION</v>
      </c>
      <c r="AW334" s="40" t="str">
        <f ca="1">IFERROR(__xludf.DUMMYFUNCTION("""COMPUTED_VALUE"""),"BIOCONSTRUCCION")</f>
        <v>BIOCONSTRUCCION</v>
      </c>
      <c r="AX334" s="141">
        <f ca="1">IFERROR(__xludf.DUMMYFUNCTION("""COMPUTED_VALUE"""),44839)</f>
        <v>44839</v>
      </c>
      <c r="AY334" s="40">
        <f ca="1">IFERROR(__xludf.DUMMYFUNCTION("""COMPUTED_VALUE"""),12)</f>
        <v>12</v>
      </c>
      <c r="AZ334" s="40">
        <f ca="1">IFERROR(__xludf.DUMMYFUNCTION("""COMPUTED_VALUE"""),1)</f>
        <v>1</v>
      </c>
      <c r="BA334" s="40">
        <f ca="1">IFERROR(__xludf.DUMMYFUNCTION("""COMPUTED_VALUE"""),0)</f>
        <v>0</v>
      </c>
      <c r="BB334" s="40">
        <f ca="1">IFERROR(__xludf.DUMMYFUNCTION("""COMPUTED_VALUE"""),0)</f>
        <v>0</v>
      </c>
      <c r="BC334" s="40">
        <f ca="1">IFERROR(__xludf.DUMMYFUNCTION("""COMPUTED_VALUE"""),13)</f>
        <v>13</v>
      </c>
      <c r="BD334" s="141">
        <f ca="1">IFERROR(__xludf.DUMMYFUNCTION("""COMPUTED_VALUE"""),44535)</f>
        <v>44535</v>
      </c>
      <c r="BE334" s="141">
        <f ca="1">IFERROR(__xludf.DUMMYFUNCTION("""COMPUTED_VALUE"""),44808)</f>
        <v>44808</v>
      </c>
      <c r="BF334" s="141">
        <f ca="1">IFERROR(__xludf.DUMMYFUNCTION("""COMPUTED_VALUE"""),44989)</f>
        <v>44989</v>
      </c>
      <c r="BG334" s="141">
        <f ca="1">IFERROR(__xludf.DUMMYFUNCTION("""COMPUTED_VALUE"""),45539)</f>
        <v>45539</v>
      </c>
      <c r="BH334" s="40" t="str">
        <f ca="1">IFERROR(__xludf.DUMMYFUNCTION("""COMPUTED_VALUE"""),"FICHA EN TIEMPO-18 MESES")</f>
        <v>FICHA EN TIEMPO-18 MESES</v>
      </c>
      <c r="BI334" s="40" t="str">
        <f ca="1">IFERROR(__xludf.DUMMYFUNCTION("""COMPUTED_VALUE"""),"En ejecucion")</f>
        <v>En ejecucion</v>
      </c>
      <c r="BJ334" s="40" t="str">
        <f ca="1">IFERROR(__xludf.DUMMYFUNCTION("""COMPUTED_VALUE"""),"Yamboro")</f>
        <v>Yamboro</v>
      </c>
      <c r="BK334" s="40"/>
      <c r="BL334" s="40"/>
    </row>
    <row r="335" spans="1:64" ht="13">
      <c r="A335" s="40" t="str">
        <f ca="1">IFERROR(__xludf.DUMMYFUNCTION("""COMPUTED_VALUE"""),"-")</f>
        <v>-</v>
      </c>
      <c r="B335" s="40" t="str">
        <f ca="1">IFERROR(__xludf.DUMMYFUNCTION("""COMPUTED_VALUE"""),"FORMACIÓN 18/10/2022")</f>
        <v>FORMACIÓN 18/10/2022</v>
      </c>
      <c r="C335" s="40" t="str">
        <f ca="1">IFERROR(__xludf.DUMMYFUNCTION("""COMPUTED_VALUE"""),"BREINER DAVID ORDOÑEZ ORDOÑEZ")</f>
        <v>BREINER DAVID ORDOÑEZ ORDOÑEZ</v>
      </c>
      <c r="D335" s="40" t="str">
        <f ca="1">IFERROR(__xludf.DUMMYFUNCTION("""COMPUTED_VALUE"""),"CC")</f>
        <v>CC</v>
      </c>
      <c r="E335" s="40">
        <f ca="1">IFERROR(__xludf.DUMMYFUNCTION("""COMPUTED_VALUE"""),1003084857)</f>
        <v>1003084857</v>
      </c>
      <c r="F335" s="40">
        <f ca="1">IFERROR(__xludf.DUMMYFUNCTION("""COMPUTED_VALUE"""),2468752)</f>
        <v>2468752</v>
      </c>
      <c r="G335" s="40" t="str">
        <f ca="1">IFERROR(__xludf.DUMMYFUNCTION("""COMPUTED_VALUE"""),"TÉCNICO")</f>
        <v>TÉCNICO</v>
      </c>
      <c r="H335" s="40" t="str">
        <f ca="1">IFERROR(__xludf.DUMMYFUNCTION("""COMPUTED_VALUE"""),"CONSTRUCCION, MANTENIMIENTO Y REPARACION DE ESTRUCTURAS EN GUADUA")</f>
        <v>CONSTRUCCION, MANTENIMIENTO Y REPARACION DE ESTRUCTURAS EN GUADUA</v>
      </c>
      <c r="I335" s="40"/>
      <c r="J335" s="40"/>
      <c r="K335" s="40"/>
      <c r="L335" s="40" t="str">
        <f ca="1">IFERROR(__xludf.DUMMYFUNCTION("""COMPUTED_VALUE"""),"NO HA INICIADO ETAPA PRODUCTIVA")</f>
        <v>NO HA INICIADO ETAPA PRODUCTIVA</v>
      </c>
      <c r="M335" s="40"/>
      <c r="N335" s="40"/>
      <c r="O335" s="40"/>
      <c r="P335" s="40"/>
      <c r="Q335" s="40"/>
      <c r="R335" s="140"/>
      <c r="S335" s="140"/>
      <c r="T335" s="40" t="str">
        <f ca="1">IFERROR(__xludf.DUMMYFUNCTION("""COMPUTED_VALUE"""),"debe 26 resultados... Revisado 15/11/2022")</f>
        <v>debe 26 resultados... Revisado 15/11/2022</v>
      </c>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t="str">
        <f ca="1">IFERROR(__xludf.DUMMYFUNCTION("""COMPUTED_VALUE"""),"NO_CUMPLE")</f>
        <v>NO_CUMPLE</v>
      </c>
      <c r="AV335" s="40" t="str">
        <f ca="1">IFERROR(__xludf.DUMMYFUNCTION("""COMPUTED_VALUE"""),"EN FORMACION")</f>
        <v>EN FORMACION</v>
      </c>
      <c r="AW335" s="40" t="str">
        <f ca="1">IFERROR(__xludf.DUMMYFUNCTION("""COMPUTED_VALUE"""),"BIOCONSTRUCCION")</f>
        <v>BIOCONSTRUCCION</v>
      </c>
      <c r="AX335" s="141">
        <f ca="1">IFERROR(__xludf.DUMMYFUNCTION("""COMPUTED_VALUE"""),44839)</f>
        <v>44839</v>
      </c>
      <c r="AY335" s="40">
        <f ca="1">IFERROR(__xludf.DUMMYFUNCTION("""COMPUTED_VALUE"""),19)</f>
        <v>19</v>
      </c>
      <c r="AZ335" s="40">
        <f ca="1">IFERROR(__xludf.DUMMYFUNCTION("""COMPUTED_VALUE"""),1)</f>
        <v>1</v>
      </c>
      <c r="BA335" s="40">
        <f ca="1">IFERROR(__xludf.DUMMYFUNCTION("""COMPUTED_VALUE"""),0)</f>
        <v>0</v>
      </c>
      <c r="BB335" s="40">
        <f ca="1">IFERROR(__xludf.DUMMYFUNCTION("""COMPUTED_VALUE"""),10)</f>
        <v>10</v>
      </c>
      <c r="BC335" s="40">
        <f ca="1">IFERROR(__xludf.DUMMYFUNCTION("""COMPUTED_VALUE"""),30)</f>
        <v>30</v>
      </c>
      <c r="BD335" s="141">
        <f ca="1">IFERROR(__xludf.DUMMYFUNCTION("""COMPUTED_VALUE"""),44545)</f>
        <v>44545</v>
      </c>
      <c r="BE335" s="141">
        <f ca="1">IFERROR(__xludf.DUMMYFUNCTION("""COMPUTED_VALUE"""),44818)</f>
        <v>44818</v>
      </c>
      <c r="BF335" s="141">
        <f ca="1">IFERROR(__xludf.DUMMYFUNCTION("""COMPUTED_VALUE"""),44999)</f>
        <v>44999</v>
      </c>
      <c r="BG335" s="141">
        <f ca="1">IFERROR(__xludf.DUMMYFUNCTION("""COMPUTED_VALUE"""),45549)</f>
        <v>45549</v>
      </c>
      <c r="BH335" s="40" t="str">
        <f ca="1">IFERROR(__xludf.DUMMYFUNCTION("""COMPUTED_VALUE"""),"FICHA EN TIEMPO-18 MESES")</f>
        <v>FICHA EN TIEMPO-18 MESES</v>
      </c>
      <c r="BI335" s="40" t="str">
        <f ca="1">IFERROR(__xludf.DUMMYFUNCTION("""COMPUTED_VALUE"""),"En ejecucion")</f>
        <v>En ejecucion</v>
      </c>
      <c r="BJ335" s="40" t="str">
        <f ca="1">IFERROR(__xludf.DUMMYFUNCTION("""COMPUTED_VALUE"""),"Yamboro")</f>
        <v>Yamboro</v>
      </c>
      <c r="BK335" s="40"/>
      <c r="BL335" s="40"/>
    </row>
    <row r="336" spans="1:64" ht="13">
      <c r="A336" s="40" t="str">
        <f ca="1">IFERROR(__xludf.DUMMYFUNCTION("""COMPUTED_VALUE"""),"-")</f>
        <v>-</v>
      </c>
      <c r="B336" s="40" t="str">
        <f ca="1">IFERROR(__xludf.DUMMYFUNCTION("""COMPUTED_VALUE"""),"FORMACIÓN 18/10/2022")</f>
        <v>FORMACIÓN 18/10/2022</v>
      </c>
      <c r="C336" s="40" t="str">
        <f ca="1">IFERROR(__xludf.DUMMYFUNCTION("""COMPUTED_VALUE"""),"CRISTIAN CABRERA CALDERON")</f>
        <v>CRISTIAN CABRERA CALDERON</v>
      </c>
      <c r="D336" s="40" t="str">
        <f ca="1">IFERROR(__xludf.DUMMYFUNCTION("""COMPUTED_VALUE"""),"CC")</f>
        <v>CC</v>
      </c>
      <c r="E336" s="40">
        <f ca="1">IFERROR(__xludf.DUMMYFUNCTION("""COMPUTED_VALUE"""),1006516377)</f>
        <v>1006516377</v>
      </c>
      <c r="F336" s="40">
        <f ca="1">IFERROR(__xludf.DUMMYFUNCTION("""COMPUTED_VALUE"""),2468752)</f>
        <v>2468752</v>
      </c>
      <c r="G336" s="40" t="str">
        <f ca="1">IFERROR(__xludf.DUMMYFUNCTION("""COMPUTED_VALUE"""),"TÉCNICO")</f>
        <v>TÉCNICO</v>
      </c>
      <c r="H336" s="40" t="str">
        <f ca="1">IFERROR(__xludf.DUMMYFUNCTION("""COMPUTED_VALUE"""),"CONSTRUCCION, MANTENIMIENTO Y REPARACION DE ESTRUCTURAS EN GUADUA")</f>
        <v>CONSTRUCCION, MANTENIMIENTO Y REPARACION DE ESTRUCTURAS EN GUADUA</v>
      </c>
      <c r="I336" s="40"/>
      <c r="J336" s="40"/>
      <c r="K336" s="40"/>
      <c r="L336" s="40" t="str">
        <f ca="1">IFERROR(__xludf.DUMMYFUNCTION("""COMPUTED_VALUE"""),"NO HA INICIADO ETAPA PRODUCTIVA")</f>
        <v>NO HA INICIADO ETAPA PRODUCTIVA</v>
      </c>
      <c r="M336" s="40"/>
      <c r="N336" s="40"/>
      <c r="O336" s="40"/>
      <c r="P336" s="40"/>
      <c r="Q336" s="40"/>
      <c r="R336" s="140"/>
      <c r="S336" s="140"/>
      <c r="T336" s="40" t="str">
        <f ca="1">IFERROR(__xludf.DUMMYFUNCTION("""COMPUTED_VALUE"""),"debe 26 resultados... Revisado 15/11/2022")</f>
        <v>debe 26 resultados... Revisado 15/11/2022</v>
      </c>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t="str">
        <f ca="1">IFERROR(__xludf.DUMMYFUNCTION("""COMPUTED_VALUE"""),"NO_CUMPLE")</f>
        <v>NO_CUMPLE</v>
      </c>
      <c r="AV336" s="40" t="str">
        <f ca="1">IFERROR(__xludf.DUMMYFUNCTION("""COMPUTED_VALUE"""),"EN FORMACION")</f>
        <v>EN FORMACION</v>
      </c>
      <c r="AW336" s="40" t="str">
        <f ca="1">IFERROR(__xludf.DUMMYFUNCTION("""COMPUTED_VALUE"""),"BIOCONSTRUCCION")</f>
        <v>BIOCONSTRUCCION</v>
      </c>
      <c r="AX336" s="141">
        <f ca="1">IFERROR(__xludf.DUMMYFUNCTION("""COMPUTED_VALUE"""),44839)</f>
        <v>44839</v>
      </c>
      <c r="AY336" s="40">
        <f ca="1">IFERROR(__xludf.DUMMYFUNCTION("""COMPUTED_VALUE"""),19)</f>
        <v>19</v>
      </c>
      <c r="AZ336" s="40">
        <f ca="1">IFERROR(__xludf.DUMMYFUNCTION("""COMPUTED_VALUE"""),1)</f>
        <v>1</v>
      </c>
      <c r="BA336" s="40">
        <f ca="1">IFERROR(__xludf.DUMMYFUNCTION("""COMPUTED_VALUE"""),0)</f>
        <v>0</v>
      </c>
      <c r="BB336" s="40">
        <f ca="1">IFERROR(__xludf.DUMMYFUNCTION("""COMPUTED_VALUE"""),10)</f>
        <v>10</v>
      </c>
      <c r="BC336" s="40">
        <f ca="1">IFERROR(__xludf.DUMMYFUNCTION("""COMPUTED_VALUE"""),30)</f>
        <v>30</v>
      </c>
      <c r="BD336" s="141">
        <f ca="1">IFERROR(__xludf.DUMMYFUNCTION("""COMPUTED_VALUE"""),44545)</f>
        <v>44545</v>
      </c>
      <c r="BE336" s="141">
        <f ca="1">IFERROR(__xludf.DUMMYFUNCTION("""COMPUTED_VALUE"""),44818)</f>
        <v>44818</v>
      </c>
      <c r="BF336" s="141">
        <f ca="1">IFERROR(__xludf.DUMMYFUNCTION("""COMPUTED_VALUE"""),44999)</f>
        <v>44999</v>
      </c>
      <c r="BG336" s="141">
        <f ca="1">IFERROR(__xludf.DUMMYFUNCTION("""COMPUTED_VALUE"""),45549)</f>
        <v>45549</v>
      </c>
      <c r="BH336" s="40" t="str">
        <f ca="1">IFERROR(__xludf.DUMMYFUNCTION("""COMPUTED_VALUE"""),"FICHA EN TIEMPO-18 MESES")</f>
        <v>FICHA EN TIEMPO-18 MESES</v>
      </c>
      <c r="BI336" s="40" t="str">
        <f ca="1">IFERROR(__xludf.DUMMYFUNCTION("""COMPUTED_VALUE"""),"En ejecucion")</f>
        <v>En ejecucion</v>
      </c>
      <c r="BJ336" s="40" t="str">
        <f ca="1">IFERROR(__xludf.DUMMYFUNCTION("""COMPUTED_VALUE"""),"Yamboro")</f>
        <v>Yamboro</v>
      </c>
      <c r="BK336" s="40"/>
      <c r="BL336" s="40"/>
    </row>
    <row r="337" spans="1:64" ht="13">
      <c r="A337" s="40" t="str">
        <f ca="1">IFERROR(__xludf.DUMMYFUNCTION("""COMPUTED_VALUE"""),"-")</f>
        <v>-</v>
      </c>
      <c r="B337" s="40" t="str">
        <f ca="1">IFERROR(__xludf.DUMMYFUNCTION("""COMPUTED_VALUE"""),"FORMACIÓN 18/10/2022")</f>
        <v>FORMACIÓN 18/10/2022</v>
      </c>
      <c r="C337" s="40" t="str">
        <f ca="1">IFERROR(__xludf.DUMMYFUNCTION("""COMPUTED_VALUE"""),"WILMER ALEXANDER QUINAYAS YUNDA")</f>
        <v>WILMER ALEXANDER QUINAYAS YUNDA</v>
      </c>
      <c r="D337" s="40" t="str">
        <f ca="1">IFERROR(__xludf.DUMMYFUNCTION("""COMPUTED_VALUE"""),"CC")</f>
        <v>CC</v>
      </c>
      <c r="E337" s="40">
        <f ca="1">IFERROR(__xludf.DUMMYFUNCTION("""COMPUTED_VALUE"""),1082777050)</f>
        <v>1082777050</v>
      </c>
      <c r="F337" s="40">
        <f ca="1">IFERROR(__xludf.DUMMYFUNCTION("""COMPUTED_VALUE"""),2468752)</f>
        <v>2468752</v>
      </c>
      <c r="G337" s="40" t="str">
        <f ca="1">IFERROR(__xludf.DUMMYFUNCTION("""COMPUTED_VALUE"""),"TÉCNICO")</f>
        <v>TÉCNICO</v>
      </c>
      <c r="H337" s="40" t="str">
        <f ca="1">IFERROR(__xludf.DUMMYFUNCTION("""COMPUTED_VALUE"""),"CONSTRUCCION, MANTENIMIENTO Y REPARACION DE ESTRUCTURAS EN GUADUA")</f>
        <v>CONSTRUCCION, MANTENIMIENTO Y REPARACION DE ESTRUCTURAS EN GUADUA</v>
      </c>
      <c r="I337" s="40"/>
      <c r="J337" s="40"/>
      <c r="K337" s="40"/>
      <c r="L337" s="40" t="str">
        <f ca="1">IFERROR(__xludf.DUMMYFUNCTION("""COMPUTED_VALUE"""),"NO HA INICIADO ETAPA PRODUCTIVA")</f>
        <v>NO HA INICIADO ETAPA PRODUCTIVA</v>
      </c>
      <c r="M337" s="40"/>
      <c r="N337" s="40"/>
      <c r="O337" s="40"/>
      <c r="P337" s="40"/>
      <c r="Q337" s="40"/>
      <c r="R337" s="140"/>
      <c r="S337" s="140"/>
      <c r="T337" s="40" t="str">
        <f ca="1">IFERROR(__xludf.DUMMYFUNCTION("""COMPUTED_VALUE"""),"debe 26 resultados... Revisado 15/11/2022")</f>
        <v>debe 26 resultados... Revisado 15/11/2022</v>
      </c>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t="str">
        <f ca="1">IFERROR(__xludf.DUMMYFUNCTION("""COMPUTED_VALUE"""),"NO_CUMPLE")</f>
        <v>NO_CUMPLE</v>
      </c>
      <c r="AV337" s="40" t="str">
        <f ca="1">IFERROR(__xludf.DUMMYFUNCTION("""COMPUTED_VALUE"""),"EN FORMACION")</f>
        <v>EN FORMACION</v>
      </c>
      <c r="AW337" s="40" t="str">
        <f ca="1">IFERROR(__xludf.DUMMYFUNCTION("""COMPUTED_VALUE"""),"BIOCONSTRUCCION")</f>
        <v>BIOCONSTRUCCION</v>
      </c>
      <c r="AX337" s="141">
        <f ca="1">IFERROR(__xludf.DUMMYFUNCTION("""COMPUTED_VALUE"""),44839)</f>
        <v>44839</v>
      </c>
      <c r="AY337" s="40">
        <f ca="1">IFERROR(__xludf.DUMMYFUNCTION("""COMPUTED_VALUE"""),19)</f>
        <v>19</v>
      </c>
      <c r="AZ337" s="40">
        <f ca="1">IFERROR(__xludf.DUMMYFUNCTION("""COMPUTED_VALUE"""),1)</f>
        <v>1</v>
      </c>
      <c r="BA337" s="40">
        <f ca="1">IFERROR(__xludf.DUMMYFUNCTION("""COMPUTED_VALUE"""),0)</f>
        <v>0</v>
      </c>
      <c r="BB337" s="40">
        <f ca="1">IFERROR(__xludf.DUMMYFUNCTION("""COMPUTED_VALUE"""),10)</f>
        <v>10</v>
      </c>
      <c r="BC337" s="40">
        <f ca="1">IFERROR(__xludf.DUMMYFUNCTION("""COMPUTED_VALUE"""),30)</f>
        <v>30</v>
      </c>
      <c r="BD337" s="141">
        <f ca="1">IFERROR(__xludf.DUMMYFUNCTION("""COMPUTED_VALUE"""),44545)</f>
        <v>44545</v>
      </c>
      <c r="BE337" s="141">
        <f ca="1">IFERROR(__xludf.DUMMYFUNCTION("""COMPUTED_VALUE"""),44818)</f>
        <v>44818</v>
      </c>
      <c r="BF337" s="141">
        <f ca="1">IFERROR(__xludf.DUMMYFUNCTION("""COMPUTED_VALUE"""),44999)</f>
        <v>44999</v>
      </c>
      <c r="BG337" s="141">
        <f ca="1">IFERROR(__xludf.DUMMYFUNCTION("""COMPUTED_VALUE"""),45549)</f>
        <v>45549</v>
      </c>
      <c r="BH337" s="40" t="str">
        <f ca="1">IFERROR(__xludf.DUMMYFUNCTION("""COMPUTED_VALUE"""),"FICHA EN TIEMPO-18 MESES")</f>
        <v>FICHA EN TIEMPO-18 MESES</v>
      </c>
      <c r="BI337" s="40" t="str">
        <f ca="1">IFERROR(__xludf.DUMMYFUNCTION("""COMPUTED_VALUE"""),"En ejecucion")</f>
        <v>En ejecucion</v>
      </c>
      <c r="BJ337" s="40" t="str">
        <f ca="1">IFERROR(__xludf.DUMMYFUNCTION("""COMPUTED_VALUE"""),"Yamboro")</f>
        <v>Yamboro</v>
      </c>
      <c r="BK337" s="40"/>
      <c r="BL337" s="40"/>
    </row>
    <row r="338" spans="1:64" ht="13">
      <c r="A338" s="40" t="str">
        <f ca="1">IFERROR(__xludf.DUMMYFUNCTION("""COMPUTED_VALUE"""),"-")</f>
        <v>-</v>
      </c>
      <c r="B338" s="40" t="str">
        <f ca="1">IFERROR(__xludf.DUMMYFUNCTION("""COMPUTED_VALUE"""),"FORMACIÓN 18/10/2022")</f>
        <v>FORMACIÓN 18/10/2022</v>
      </c>
      <c r="C338" s="40" t="str">
        <f ca="1">IFERROR(__xludf.DUMMYFUNCTION("""COMPUTED_VALUE"""),"MARIO ALEJANDRO CERON ARCOS")</f>
        <v>MARIO ALEJANDRO CERON ARCOS</v>
      </c>
      <c r="D338" s="40" t="str">
        <f ca="1">IFERROR(__xludf.DUMMYFUNCTION("""COMPUTED_VALUE"""),"CC")</f>
        <v>CC</v>
      </c>
      <c r="E338" s="40">
        <f ca="1">IFERROR(__xludf.DUMMYFUNCTION("""COMPUTED_VALUE"""),1082777407)</f>
        <v>1082777407</v>
      </c>
      <c r="F338" s="40">
        <f ca="1">IFERROR(__xludf.DUMMYFUNCTION("""COMPUTED_VALUE"""),2468752)</f>
        <v>2468752</v>
      </c>
      <c r="G338" s="40" t="str">
        <f ca="1">IFERROR(__xludf.DUMMYFUNCTION("""COMPUTED_VALUE"""),"TÉCNICO")</f>
        <v>TÉCNICO</v>
      </c>
      <c r="H338" s="40" t="str">
        <f ca="1">IFERROR(__xludf.DUMMYFUNCTION("""COMPUTED_VALUE"""),"CONSTRUCCION, MANTENIMIENTO Y REPARACION DE ESTRUCTURAS EN GUADUA")</f>
        <v>CONSTRUCCION, MANTENIMIENTO Y REPARACION DE ESTRUCTURAS EN GUADUA</v>
      </c>
      <c r="I338" s="40"/>
      <c r="J338" s="40"/>
      <c r="K338" s="40"/>
      <c r="L338" s="40" t="str">
        <f ca="1">IFERROR(__xludf.DUMMYFUNCTION("""COMPUTED_VALUE"""),"NO HA INICIADO ETAPA PRODUCTIVA")</f>
        <v>NO HA INICIADO ETAPA PRODUCTIVA</v>
      </c>
      <c r="M338" s="40"/>
      <c r="N338" s="40"/>
      <c r="O338" s="40"/>
      <c r="P338" s="40"/>
      <c r="Q338" s="40"/>
      <c r="R338" s="140"/>
      <c r="S338" s="140"/>
      <c r="T338" s="40" t="str">
        <f ca="1">IFERROR(__xludf.DUMMYFUNCTION("""COMPUTED_VALUE"""),"debe 26 resultados... Revisado 15/11/2022")</f>
        <v>debe 26 resultados... Revisado 15/11/2022</v>
      </c>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t="str">
        <f ca="1">IFERROR(__xludf.DUMMYFUNCTION("""COMPUTED_VALUE"""),"NO_CUMPLE")</f>
        <v>NO_CUMPLE</v>
      </c>
      <c r="AV338" s="40" t="str">
        <f ca="1">IFERROR(__xludf.DUMMYFUNCTION("""COMPUTED_VALUE"""),"EN FORMACION")</f>
        <v>EN FORMACION</v>
      </c>
      <c r="AW338" s="40" t="str">
        <f ca="1">IFERROR(__xludf.DUMMYFUNCTION("""COMPUTED_VALUE"""),"BIOCONSTRUCCION")</f>
        <v>BIOCONSTRUCCION</v>
      </c>
      <c r="AX338" s="141">
        <f ca="1">IFERROR(__xludf.DUMMYFUNCTION("""COMPUTED_VALUE"""),44839)</f>
        <v>44839</v>
      </c>
      <c r="AY338" s="40">
        <f ca="1">IFERROR(__xludf.DUMMYFUNCTION("""COMPUTED_VALUE"""),19)</f>
        <v>19</v>
      </c>
      <c r="AZ338" s="40">
        <f ca="1">IFERROR(__xludf.DUMMYFUNCTION("""COMPUTED_VALUE"""),1)</f>
        <v>1</v>
      </c>
      <c r="BA338" s="40">
        <f ca="1">IFERROR(__xludf.DUMMYFUNCTION("""COMPUTED_VALUE"""),0)</f>
        <v>0</v>
      </c>
      <c r="BB338" s="40">
        <f ca="1">IFERROR(__xludf.DUMMYFUNCTION("""COMPUTED_VALUE"""),10)</f>
        <v>10</v>
      </c>
      <c r="BC338" s="40">
        <f ca="1">IFERROR(__xludf.DUMMYFUNCTION("""COMPUTED_VALUE"""),30)</f>
        <v>30</v>
      </c>
      <c r="BD338" s="141">
        <f ca="1">IFERROR(__xludf.DUMMYFUNCTION("""COMPUTED_VALUE"""),44545)</f>
        <v>44545</v>
      </c>
      <c r="BE338" s="141">
        <f ca="1">IFERROR(__xludf.DUMMYFUNCTION("""COMPUTED_VALUE"""),44818)</f>
        <v>44818</v>
      </c>
      <c r="BF338" s="141">
        <f ca="1">IFERROR(__xludf.DUMMYFUNCTION("""COMPUTED_VALUE"""),44999)</f>
        <v>44999</v>
      </c>
      <c r="BG338" s="141">
        <f ca="1">IFERROR(__xludf.DUMMYFUNCTION("""COMPUTED_VALUE"""),45549)</f>
        <v>45549</v>
      </c>
      <c r="BH338" s="40" t="str">
        <f ca="1">IFERROR(__xludf.DUMMYFUNCTION("""COMPUTED_VALUE"""),"FICHA EN TIEMPO-18 MESES")</f>
        <v>FICHA EN TIEMPO-18 MESES</v>
      </c>
      <c r="BI338" s="40" t="str">
        <f ca="1">IFERROR(__xludf.DUMMYFUNCTION("""COMPUTED_VALUE"""),"En ejecucion")</f>
        <v>En ejecucion</v>
      </c>
      <c r="BJ338" s="40" t="str">
        <f ca="1">IFERROR(__xludf.DUMMYFUNCTION("""COMPUTED_VALUE"""),"Yamboro")</f>
        <v>Yamboro</v>
      </c>
      <c r="BK338" s="40"/>
      <c r="BL338" s="40"/>
    </row>
    <row r="339" spans="1:64" ht="13">
      <c r="A339" s="40" t="str">
        <f ca="1">IFERROR(__xludf.DUMMYFUNCTION("""COMPUTED_VALUE"""),"-")</f>
        <v>-</v>
      </c>
      <c r="B339" s="40" t="str">
        <f ca="1">IFERROR(__xludf.DUMMYFUNCTION("""COMPUTED_VALUE"""),"FORMACIÓN 18/10/2022")</f>
        <v>FORMACIÓN 18/10/2022</v>
      </c>
      <c r="C339" s="40" t="str">
        <f ca="1">IFERROR(__xludf.DUMMYFUNCTION("""COMPUTED_VALUE"""),"PLINIO QUINAYAS PAPAMIJA")</f>
        <v>PLINIO QUINAYAS PAPAMIJA</v>
      </c>
      <c r="D339" s="40" t="str">
        <f ca="1">IFERROR(__xludf.DUMMYFUNCTION("""COMPUTED_VALUE"""),"CC")</f>
        <v>CC</v>
      </c>
      <c r="E339" s="40">
        <f ca="1">IFERROR(__xludf.DUMMYFUNCTION("""COMPUTED_VALUE"""),12142483)</f>
        <v>12142483</v>
      </c>
      <c r="F339" s="40">
        <f ca="1">IFERROR(__xludf.DUMMYFUNCTION("""COMPUTED_VALUE"""),2468752)</f>
        <v>2468752</v>
      </c>
      <c r="G339" s="40" t="str">
        <f ca="1">IFERROR(__xludf.DUMMYFUNCTION("""COMPUTED_VALUE"""),"TÉCNICO")</f>
        <v>TÉCNICO</v>
      </c>
      <c r="H339" s="40" t="str">
        <f ca="1">IFERROR(__xludf.DUMMYFUNCTION("""COMPUTED_VALUE"""),"CONSTRUCCION, MANTENIMIENTO Y REPARACION DE ESTRUCTURAS EN GUADUA")</f>
        <v>CONSTRUCCION, MANTENIMIENTO Y REPARACION DE ESTRUCTURAS EN GUADUA</v>
      </c>
      <c r="I339" s="40"/>
      <c r="J339" s="40"/>
      <c r="K339" s="40"/>
      <c r="L339" s="40" t="str">
        <f ca="1">IFERROR(__xludf.DUMMYFUNCTION("""COMPUTED_VALUE"""),"NO HA INICIADO ETAPA PRODUCTIVA")</f>
        <v>NO HA INICIADO ETAPA PRODUCTIVA</v>
      </c>
      <c r="M339" s="40"/>
      <c r="N339" s="40"/>
      <c r="O339" s="40"/>
      <c r="P339" s="40"/>
      <c r="Q339" s="40"/>
      <c r="R339" s="140"/>
      <c r="S339" s="140"/>
      <c r="T339" s="40" t="str">
        <f ca="1">IFERROR(__xludf.DUMMYFUNCTION("""COMPUTED_VALUE"""),"debe 26 resultados... Revisado 15/11/2022")</f>
        <v>debe 26 resultados... Revisado 15/11/2022</v>
      </c>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t="str">
        <f ca="1">IFERROR(__xludf.DUMMYFUNCTION("""COMPUTED_VALUE"""),"NO_CUMPLE")</f>
        <v>NO_CUMPLE</v>
      </c>
      <c r="AV339" s="40" t="str">
        <f ca="1">IFERROR(__xludf.DUMMYFUNCTION("""COMPUTED_VALUE"""),"EN FORMACION")</f>
        <v>EN FORMACION</v>
      </c>
      <c r="AW339" s="40" t="str">
        <f ca="1">IFERROR(__xludf.DUMMYFUNCTION("""COMPUTED_VALUE"""),"BIOCONSTRUCCION")</f>
        <v>BIOCONSTRUCCION</v>
      </c>
      <c r="AX339" s="141">
        <f ca="1">IFERROR(__xludf.DUMMYFUNCTION("""COMPUTED_VALUE"""),44839)</f>
        <v>44839</v>
      </c>
      <c r="AY339" s="40">
        <f ca="1">IFERROR(__xludf.DUMMYFUNCTION("""COMPUTED_VALUE"""),19)</f>
        <v>19</v>
      </c>
      <c r="AZ339" s="40">
        <f ca="1">IFERROR(__xludf.DUMMYFUNCTION("""COMPUTED_VALUE"""),1)</f>
        <v>1</v>
      </c>
      <c r="BA339" s="40">
        <f ca="1">IFERROR(__xludf.DUMMYFUNCTION("""COMPUTED_VALUE"""),0)</f>
        <v>0</v>
      </c>
      <c r="BB339" s="40">
        <f ca="1">IFERROR(__xludf.DUMMYFUNCTION("""COMPUTED_VALUE"""),10)</f>
        <v>10</v>
      </c>
      <c r="BC339" s="40">
        <f ca="1">IFERROR(__xludf.DUMMYFUNCTION("""COMPUTED_VALUE"""),30)</f>
        <v>30</v>
      </c>
      <c r="BD339" s="141">
        <f ca="1">IFERROR(__xludf.DUMMYFUNCTION("""COMPUTED_VALUE"""),44545)</f>
        <v>44545</v>
      </c>
      <c r="BE339" s="141">
        <f ca="1">IFERROR(__xludf.DUMMYFUNCTION("""COMPUTED_VALUE"""),44818)</f>
        <v>44818</v>
      </c>
      <c r="BF339" s="141">
        <f ca="1">IFERROR(__xludf.DUMMYFUNCTION("""COMPUTED_VALUE"""),44999)</f>
        <v>44999</v>
      </c>
      <c r="BG339" s="141">
        <f ca="1">IFERROR(__xludf.DUMMYFUNCTION("""COMPUTED_VALUE"""),45549)</f>
        <v>45549</v>
      </c>
      <c r="BH339" s="40" t="str">
        <f ca="1">IFERROR(__xludf.DUMMYFUNCTION("""COMPUTED_VALUE"""),"FICHA EN TIEMPO-18 MESES")</f>
        <v>FICHA EN TIEMPO-18 MESES</v>
      </c>
      <c r="BI339" s="40" t="str">
        <f ca="1">IFERROR(__xludf.DUMMYFUNCTION("""COMPUTED_VALUE"""),"En ejecucion")</f>
        <v>En ejecucion</v>
      </c>
      <c r="BJ339" s="40" t="str">
        <f ca="1">IFERROR(__xludf.DUMMYFUNCTION("""COMPUTED_VALUE"""),"Yamboro")</f>
        <v>Yamboro</v>
      </c>
      <c r="BK339" s="40"/>
      <c r="BL339" s="40"/>
    </row>
    <row r="340" spans="1:64" ht="13">
      <c r="A340" s="40" t="str">
        <f ca="1">IFERROR(__xludf.DUMMYFUNCTION("""COMPUTED_VALUE"""),"-")</f>
        <v>-</v>
      </c>
      <c r="B340" s="40" t="str">
        <f ca="1">IFERROR(__xludf.DUMMYFUNCTION("""COMPUTED_VALUE"""),"FORMACIÓN 18/10/2022")</f>
        <v>FORMACIÓN 18/10/2022</v>
      </c>
      <c r="C340" s="40" t="str">
        <f ca="1">IFERROR(__xludf.DUMMYFUNCTION("""COMPUTED_VALUE"""),"ALBEIRO BUESACO OMEN")</f>
        <v>ALBEIRO BUESACO OMEN</v>
      </c>
      <c r="D340" s="40" t="str">
        <f ca="1">IFERROR(__xludf.DUMMYFUNCTION("""COMPUTED_VALUE"""),"CC")</f>
        <v>CC</v>
      </c>
      <c r="E340" s="40">
        <f ca="1">IFERROR(__xludf.DUMMYFUNCTION("""COMPUTED_VALUE"""),12180505)</f>
        <v>12180505</v>
      </c>
      <c r="F340" s="40">
        <f ca="1">IFERROR(__xludf.DUMMYFUNCTION("""COMPUTED_VALUE"""),2468752)</f>
        <v>2468752</v>
      </c>
      <c r="G340" s="40" t="str">
        <f ca="1">IFERROR(__xludf.DUMMYFUNCTION("""COMPUTED_VALUE"""),"TÉCNICO")</f>
        <v>TÉCNICO</v>
      </c>
      <c r="H340" s="40" t="str">
        <f ca="1">IFERROR(__xludf.DUMMYFUNCTION("""COMPUTED_VALUE"""),"CONSTRUCCION, MANTENIMIENTO Y REPARACION DE ESTRUCTURAS EN GUADUA")</f>
        <v>CONSTRUCCION, MANTENIMIENTO Y REPARACION DE ESTRUCTURAS EN GUADUA</v>
      </c>
      <c r="I340" s="40"/>
      <c r="J340" s="40"/>
      <c r="K340" s="40"/>
      <c r="L340" s="40" t="str">
        <f ca="1">IFERROR(__xludf.DUMMYFUNCTION("""COMPUTED_VALUE"""),"NO HA INICIADO ETAPA PRODUCTIVA")</f>
        <v>NO HA INICIADO ETAPA PRODUCTIVA</v>
      </c>
      <c r="M340" s="40"/>
      <c r="N340" s="40"/>
      <c r="O340" s="40"/>
      <c r="P340" s="40"/>
      <c r="Q340" s="40"/>
      <c r="R340" s="140"/>
      <c r="S340" s="140"/>
      <c r="T340" s="40" t="str">
        <f ca="1">IFERROR(__xludf.DUMMYFUNCTION("""COMPUTED_VALUE"""),"debe 26 resultados... Revisado 15/11/2022")</f>
        <v>debe 26 resultados... Revisado 15/11/2022</v>
      </c>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t="str">
        <f ca="1">IFERROR(__xludf.DUMMYFUNCTION("""COMPUTED_VALUE"""),"NO_CUMPLE")</f>
        <v>NO_CUMPLE</v>
      </c>
      <c r="AV340" s="40" t="str">
        <f ca="1">IFERROR(__xludf.DUMMYFUNCTION("""COMPUTED_VALUE"""),"EN FORMACION")</f>
        <v>EN FORMACION</v>
      </c>
      <c r="AW340" s="40" t="str">
        <f ca="1">IFERROR(__xludf.DUMMYFUNCTION("""COMPUTED_VALUE"""),"BIOCONSTRUCCION")</f>
        <v>BIOCONSTRUCCION</v>
      </c>
      <c r="AX340" s="141">
        <f ca="1">IFERROR(__xludf.DUMMYFUNCTION("""COMPUTED_VALUE"""),44839)</f>
        <v>44839</v>
      </c>
      <c r="AY340" s="40">
        <f ca="1">IFERROR(__xludf.DUMMYFUNCTION("""COMPUTED_VALUE"""),19)</f>
        <v>19</v>
      </c>
      <c r="AZ340" s="40">
        <f ca="1">IFERROR(__xludf.DUMMYFUNCTION("""COMPUTED_VALUE"""),1)</f>
        <v>1</v>
      </c>
      <c r="BA340" s="40">
        <f ca="1">IFERROR(__xludf.DUMMYFUNCTION("""COMPUTED_VALUE"""),0)</f>
        <v>0</v>
      </c>
      <c r="BB340" s="40">
        <f ca="1">IFERROR(__xludf.DUMMYFUNCTION("""COMPUTED_VALUE"""),10)</f>
        <v>10</v>
      </c>
      <c r="BC340" s="40">
        <f ca="1">IFERROR(__xludf.DUMMYFUNCTION("""COMPUTED_VALUE"""),30)</f>
        <v>30</v>
      </c>
      <c r="BD340" s="141">
        <f ca="1">IFERROR(__xludf.DUMMYFUNCTION("""COMPUTED_VALUE"""),44545)</f>
        <v>44545</v>
      </c>
      <c r="BE340" s="141">
        <f ca="1">IFERROR(__xludf.DUMMYFUNCTION("""COMPUTED_VALUE"""),44818)</f>
        <v>44818</v>
      </c>
      <c r="BF340" s="141">
        <f ca="1">IFERROR(__xludf.DUMMYFUNCTION("""COMPUTED_VALUE"""),44999)</f>
        <v>44999</v>
      </c>
      <c r="BG340" s="141">
        <f ca="1">IFERROR(__xludf.DUMMYFUNCTION("""COMPUTED_VALUE"""),45549)</f>
        <v>45549</v>
      </c>
      <c r="BH340" s="40" t="str">
        <f ca="1">IFERROR(__xludf.DUMMYFUNCTION("""COMPUTED_VALUE"""),"FICHA EN TIEMPO-18 MESES")</f>
        <v>FICHA EN TIEMPO-18 MESES</v>
      </c>
      <c r="BI340" s="40" t="str">
        <f ca="1">IFERROR(__xludf.DUMMYFUNCTION("""COMPUTED_VALUE"""),"En ejecucion")</f>
        <v>En ejecucion</v>
      </c>
      <c r="BJ340" s="40" t="str">
        <f ca="1">IFERROR(__xludf.DUMMYFUNCTION("""COMPUTED_VALUE"""),"Yamboro")</f>
        <v>Yamboro</v>
      </c>
      <c r="BK340" s="40"/>
      <c r="BL340" s="40"/>
    </row>
    <row r="341" spans="1:64" ht="13">
      <c r="A341" s="40" t="str">
        <f ca="1">IFERROR(__xludf.DUMMYFUNCTION("""COMPUTED_VALUE"""),"-")</f>
        <v>-</v>
      </c>
      <c r="B341" s="40" t="str">
        <f ca="1">IFERROR(__xludf.DUMMYFUNCTION("""COMPUTED_VALUE"""),"FORMACIÓN 18/10/2022")</f>
        <v>FORMACIÓN 18/10/2022</v>
      </c>
      <c r="C341" s="40" t="str">
        <f ca="1">IFERROR(__xludf.DUMMYFUNCTION("""COMPUTED_VALUE"""),"ARLEY OMEN OMEN")</f>
        <v>ARLEY OMEN OMEN</v>
      </c>
      <c r="D341" s="40" t="str">
        <f ca="1">IFERROR(__xludf.DUMMYFUNCTION("""COMPUTED_VALUE"""),"CC")</f>
        <v>CC</v>
      </c>
      <c r="E341" s="40">
        <f ca="1">IFERROR(__xludf.DUMMYFUNCTION("""COMPUTED_VALUE"""),12181543)</f>
        <v>12181543</v>
      </c>
      <c r="F341" s="40">
        <f ca="1">IFERROR(__xludf.DUMMYFUNCTION("""COMPUTED_VALUE"""),2468752)</f>
        <v>2468752</v>
      </c>
      <c r="G341" s="40" t="str">
        <f ca="1">IFERROR(__xludf.DUMMYFUNCTION("""COMPUTED_VALUE"""),"TÉCNICO")</f>
        <v>TÉCNICO</v>
      </c>
      <c r="H341" s="40" t="str">
        <f ca="1">IFERROR(__xludf.DUMMYFUNCTION("""COMPUTED_VALUE"""),"CONSTRUCCION, MANTENIMIENTO Y REPARACION DE ESTRUCTURAS EN GUADUA")</f>
        <v>CONSTRUCCION, MANTENIMIENTO Y REPARACION DE ESTRUCTURAS EN GUADUA</v>
      </c>
      <c r="I341" s="40"/>
      <c r="J341" s="40"/>
      <c r="K341" s="40"/>
      <c r="L341" s="40" t="str">
        <f ca="1">IFERROR(__xludf.DUMMYFUNCTION("""COMPUTED_VALUE"""),"NO HA INICIADO ETAPA PRODUCTIVA")</f>
        <v>NO HA INICIADO ETAPA PRODUCTIVA</v>
      </c>
      <c r="M341" s="40"/>
      <c r="N341" s="40"/>
      <c r="O341" s="40"/>
      <c r="P341" s="40"/>
      <c r="Q341" s="40"/>
      <c r="R341" s="140"/>
      <c r="S341" s="140"/>
      <c r="T341" s="40" t="str">
        <f ca="1">IFERROR(__xludf.DUMMYFUNCTION("""COMPUTED_VALUE"""),"debe 26 resultados... Revisado 15/11/2022")</f>
        <v>debe 26 resultados... Revisado 15/11/2022</v>
      </c>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t="str">
        <f ca="1">IFERROR(__xludf.DUMMYFUNCTION("""COMPUTED_VALUE"""),"NO_CUMPLE")</f>
        <v>NO_CUMPLE</v>
      </c>
      <c r="AV341" s="40" t="str">
        <f ca="1">IFERROR(__xludf.DUMMYFUNCTION("""COMPUTED_VALUE"""),"EN FORMACION")</f>
        <v>EN FORMACION</v>
      </c>
      <c r="AW341" s="40" t="str">
        <f ca="1">IFERROR(__xludf.DUMMYFUNCTION("""COMPUTED_VALUE"""),"BIOCONSTRUCCION")</f>
        <v>BIOCONSTRUCCION</v>
      </c>
      <c r="AX341" s="141">
        <f ca="1">IFERROR(__xludf.DUMMYFUNCTION("""COMPUTED_VALUE"""),44839)</f>
        <v>44839</v>
      </c>
      <c r="AY341" s="40">
        <f ca="1">IFERROR(__xludf.DUMMYFUNCTION("""COMPUTED_VALUE"""),19)</f>
        <v>19</v>
      </c>
      <c r="AZ341" s="40">
        <f ca="1">IFERROR(__xludf.DUMMYFUNCTION("""COMPUTED_VALUE"""),1)</f>
        <v>1</v>
      </c>
      <c r="BA341" s="40">
        <f ca="1">IFERROR(__xludf.DUMMYFUNCTION("""COMPUTED_VALUE"""),0)</f>
        <v>0</v>
      </c>
      <c r="BB341" s="40">
        <f ca="1">IFERROR(__xludf.DUMMYFUNCTION("""COMPUTED_VALUE"""),10)</f>
        <v>10</v>
      </c>
      <c r="BC341" s="40">
        <f ca="1">IFERROR(__xludf.DUMMYFUNCTION("""COMPUTED_VALUE"""),30)</f>
        <v>30</v>
      </c>
      <c r="BD341" s="141">
        <f ca="1">IFERROR(__xludf.DUMMYFUNCTION("""COMPUTED_VALUE"""),44545)</f>
        <v>44545</v>
      </c>
      <c r="BE341" s="141">
        <f ca="1">IFERROR(__xludf.DUMMYFUNCTION("""COMPUTED_VALUE"""),44818)</f>
        <v>44818</v>
      </c>
      <c r="BF341" s="141">
        <f ca="1">IFERROR(__xludf.DUMMYFUNCTION("""COMPUTED_VALUE"""),44999)</f>
        <v>44999</v>
      </c>
      <c r="BG341" s="141">
        <f ca="1">IFERROR(__xludf.DUMMYFUNCTION("""COMPUTED_VALUE"""),45549)</f>
        <v>45549</v>
      </c>
      <c r="BH341" s="40" t="str">
        <f ca="1">IFERROR(__xludf.DUMMYFUNCTION("""COMPUTED_VALUE"""),"FICHA EN TIEMPO-18 MESES")</f>
        <v>FICHA EN TIEMPO-18 MESES</v>
      </c>
      <c r="BI341" s="40" t="str">
        <f ca="1">IFERROR(__xludf.DUMMYFUNCTION("""COMPUTED_VALUE"""),"En ejecucion")</f>
        <v>En ejecucion</v>
      </c>
      <c r="BJ341" s="40" t="str">
        <f ca="1">IFERROR(__xludf.DUMMYFUNCTION("""COMPUTED_VALUE"""),"Yamboro")</f>
        <v>Yamboro</v>
      </c>
      <c r="BK341" s="40"/>
      <c r="BL341" s="40"/>
    </row>
    <row r="342" spans="1:64" ht="13">
      <c r="A342" s="40" t="str">
        <f ca="1">IFERROR(__xludf.DUMMYFUNCTION("""COMPUTED_VALUE"""),"-")</f>
        <v>-</v>
      </c>
      <c r="B342" s="40" t="str">
        <f ca="1">IFERROR(__xludf.DUMMYFUNCTION("""COMPUTED_VALUE"""),"FORMACIÓN 18/10/2022")</f>
        <v>FORMACIÓN 18/10/2022</v>
      </c>
      <c r="C342" s="40" t="str">
        <f ca="1">IFERROR(__xludf.DUMMYFUNCTION("""COMPUTED_VALUE"""),"ELBAR ASTUDILLO RUIZ")</f>
        <v>ELBAR ASTUDILLO RUIZ</v>
      </c>
      <c r="D342" s="40" t="str">
        <f ca="1">IFERROR(__xludf.DUMMYFUNCTION("""COMPUTED_VALUE"""),"CC")</f>
        <v>CC</v>
      </c>
      <c r="E342" s="40">
        <f ca="1">IFERROR(__xludf.DUMMYFUNCTION("""COMPUTED_VALUE"""),12182345)</f>
        <v>12182345</v>
      </c>
      <c r="F342" s="40">
        <f ca="1">IFERROR(__xludf.DUMMYFUNCTION("""COMPUTED_VALUE"""),2468752)</f>
        <v>2468752</v>
      </c>
      <c r="G342" s="40" t="str">
        <f ca="1">IFERROR(__xludf.DUMMYFUNCTION("""COMPUTED_VALUE"""),"TÉCNICO")</f>
        <v>TÉCNICO</v>
      </c>
      <c r="H342" s="40" t="str">
        <f ca="1">IFERROR(__xludf.DUMMYFUNCTION("""COMPUTED_VALUE"""),"CONSTRUCCION, MANTENIMIENTO Y REPARACION DE ESTRUCTURAS EN GUADUA")</f>
        <v>CONSTRUCCION, MANTENIMIENTO Y REPARACION DE ESTRUCTURAS EN GUADUA</v>
      </c>
      <c r="I342" s="40"/>
      <c r="J342" s="40"/>
      <c r="K342" s="40"/>
      <c r="L342" s="40" t="str">
        <f ca="1">IFERROR(__xludf.DUMMYFUNCTION("""COMPUTED_VALUE"""),"NO HA INICIADO ETAPA PRODUCTIVA")</f>
        <v>NO HA INICIADO ETAPA PRODUCTIVA</v>
      </c>
      <c r="M342" s="40"/>
      <c r="N342" s="40"/>
      <c r="O342" s="40"/>
      <c r="P342" s="40"/>
      <c r="Q342" s="40"/>
      <c r="R342" s="140"/>
      <c r="S342" s="140"/>
      <c r="T342" s="40" t="str">
        <f ca="1">IFERROR(__xludf.DUMMYFUNCTION("""COMPUTED_VALUE"""),"debe 26 resultados... Revisado 15/11/2022")</f>
        <v>debe 26 resultados... Revisado 15/11/2022</v>
      </c>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t="str">
        <f ca="1">IFERROR(__xludf.DUMMYFUNCTION("""COMPUTED_VALUE"""),"NO_CUMPLE")</f>
        <v>NO_CUMPLE</v>
      </c>
      <c r="AV342" s="40" t="str">
        <f ca="1">IFERROR(__xludf.DUMMYFUNCTION("""COMPUTED_VALUE"""),"EN FORMACION")</f>
        <v>EN FORMACION</v>
      </c>
      <c r="AW342" s="40" t="str">
        <f ca="1">IFERROR(__xludf.DUMMYFUNCTION("""COMPUTED_VALUE"""),"BIOCONSTRUCCION")</f>
        <v>BIOCONSTRUCCION</v>
      </c>
      <c r="AX342" s="141">
        <f ca="1">IFERROR(__xludf.DUMMYFUNCTION("""COMPUTED_VALUE"""),44839)</f>
        <v>44839</v>
      </c>
      <c r="AY342" s="40">
        <f ca="1">IFERROR(__xludf.DUMMYFUNCTION("""COMPUTED_VALUE"""),19)</f>
        <v>19</v>
      </c>
      <c r="AZ342" s="40">
        <f ca="1">IFERROR(__xludf.DUMMYFUNCTION("""COMPUTED_VALUE"""),1)</f>
        <v>1</v>
      </c>
      <c r="BA342" s="40">
        <f ca="1">IFERROR(__xludf.DUMMYFUNCTION("""COMPUTED_VALUE"""),0)</f>
        <v>0</v>
      </c>
      <c r="BB342" s="40">
        <f ca="1">IFERROR(__xludf.DUMMYFUNCTION("""COMPUTED_VALUE"""),10)</f>
        <v>10</v>
      </c>
      <c r="BC342" s="40">
        <f ca="1">IFERROR(__xludf.DUMMYFUNCTION("""COMPUTED_VALUE"""),30)</f>
        <v>30</v>
      </c>
      <c r="BD342" s="141">
        <f ca="1">IFERROR(__xludf.DUMMYFUNCTION("""COMPUTED_VALUE"""),44545)</f>
        <v>44545</v>
      </c>
      <c r="BE342" s="141">
        <f ca="1">IFERROR(__xludf.DUMMYFUNCTION("""COMPUTED_VALUE"""),44818)</f>
        <v>44818</v>
      </c>
      <c r="BF342" s="141">
        <f ca="1">IFERROR(__xludf.DUMMYFUNCTION("""COMPUTED_VALUE"""),44999)</f>
        <v>44999</v>
      </c>
      <c r="BG342" s="141">
        <f ca="1">IFERROR(__xludf.DUMMYFUNCTION("""COMPUTED_VALUE"""),45549)</f>
        <v>45549</v>
      </c>
      <c r="BH342" s="40" t="str">
        <f ca="1">IFERROR(__xludf.DUMMYFUNCTION("""COMPUTED_VALUE"""),"FICHA EN TIEMPO-18 MESES")</f>
        <v>FICHA EN TIEMPO-18 MESES</v>
      </c>
      <c r="BI342" s="40" t="str">
        <f ca="1">IFERROR(__xludf.DUMMYFUNCTION("""COMPUTED_VALUE"""),"En ejecucion")</f>
        <v>En ejecucion</v>
      </c>
      <c r="BJ342" s="40" t="str">
        <f ca="1">IFERROR(__xludf.DUMMYFUNCTION("""COMPUTED_VALUE"""),"Yamboro")</f>
        <v>Yamboro</v>
      </c>
      <c r="BK342" s="40"/>
      <c r="BL342" s="40"/>
    </row>
    <row r="343" spans="1:64" ht="13">
      <c r="A343" s="40" t="str">
        <f ca="1">IFERROR(__xludf.DUMMYFUNCTION("""COMPUTED_VALUE"""),"-")</f>
        <v>-</v>
      </c>
      <c r="B343" s="40" t="str">
        <f ca="1">IFERROR(__xludf.DUMMYFUNCTION("""COMPUTED_VALUE"""),"FORMACIÓN 18/10/2022")</f>
        <v>FORMACIÓN 18/10/2022</v>
      </c>
      <c r="C343" s="40" t="str">
        <f ca="1">IFERROR(__xludf.DUMMYFUNCTION("""COMPUTED_VALUE"""),"ROBERT ESTIVEN ORDOÑEZ ORTEGA")</f>
        <v>ROBERT ESTIVEN ORDOÑEZ ORTEGA</v>
      </c>
      <c r="D343" s="40" t="str">
        <f ca="1">IFERROR(__xludf.DUMMYFUNCTION("""COMPUTED_VALUE"""),"CC")</f>
        <v>CC</v>
      </c>
      <c r="E343" s="40">
        <f ca="1">IFERROR(__xludf.DUMMYFUNCTION("""COMPUTED_VALUE"""),12182397)</f>
        <v>12182397</v>
      </c>
      <c r="F343" s="40">
        <f ca="1">IFERROR(__xludf.DUMMYFUNCTION("""COMPUTED_VALUE"""),2468752)</f>
        <v>2468752</v>
      </c>
      <c r="G343" s="40" t="str">
        <f ca="1">IFERROR(__xludf.DUMMYFUNCTION("""COMPUTED_VALUE"""),"TÉCNICO")</f>
        <v>TÉCNICO</v>
      </c>
      <c r="H343" s="40" t="str">
        <f ca="1">IFERROR(__xludf.DUMMYFUNCTION("""COMPUTED_VALUE"""),"CONSTRUCCION, MANTENIMIENTO Y REPARACION DE ESTRUCTURAS EN GUADUA")</f>
        <v>CONSTRUCCION, MANTENIMIENTO Y REPARACION DE ESTRUCTURAS EN GUADUA</v>
      </c>
      <c r="I343" s="40"/>
      <c r="J343" s="40"/>
      <c r="K343" s="40"/>
      <c r="L343" s="40" t="str">
        <f ca="1">IFERROR(__xludf.DUMMYFUNCTION("""COMPUTED_VALUE"""),"NO HA INICIADO ETAPA PRODUCTIVA")</f>
        <v>NO HA INICIADO ETAPA PRODUCTIVA</v>
      </c>
      <c r="M343" s="40"/>
      <c r="N343" s="40"/>
      <c r="O343" s="40"/>
      <c r="P343" s="40"/>
      <c r="Q343" s="40"/>
      <c r="R343" s="140"/>
      <c r="S343" s="140"/>
      <c r="T343" s="40" t="str">
        <f ca="1">IFERROR(__xludf.DUMMYFUNCTION("""COMPUTED_VALUE"""),"debe 26 resultados... Revisado 15/11/2022")</f>
        <v>debe 26 resultados... Revisado 15/11/2022</v>
      </c>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t="str">
        <f ca="1">IFERROR(__xludf.DUMMYFUNCTION("""COMPUTED_VALUE"""),"NO_CUMPLE")</f>
        <v>NO_CUMPLE</v>
      </c>
      <c r="AV343" s="40" t="str">
        <f ca="1">IFERROR(__xludf.DUMMYFUNCTION("""COMPUTED_VALUE"""),"EN FORMACION")</f>
        <v>EN FORMACION</v>
      </c>
      <c r="AW343" s="40" t="str">
        <f ca="1">IFERROR(__xludf.DUMMYFUNCTION("""COMPUTED_VALUE"""),"BIOCONSTRUCCION")</f>
        <v>BIOCONSTRUCCION</v>
      </c>
      <c r="AX343" s="141">
        <f ca="1">IFERROR(__xludf.DUMMYFUNCTION("""COMPUTED_VALUE"""),44839)</f>
        <v>44839</v>
      </c>
      <c r="AY343" s="40">
        <f ca="1">IFERROR(__xludf.DUMMYFUNCTION("""COMPUTED_VALUE"""),19)</f>
        <v>19</v>
      </c>
      <c r="AZ343" s="40">
        <f ca="1">IFERROR(__xludf.DUMMYFUNCTION("""COMPUTED_VALUE"""),1)</f>
        <v>1</v>
      </c>
      <c r="BA343" s="40">
        <f ca="1">IFERROR(__xludf.DUMMYFUNCTION("""COMPUTED_VALUE"""),0)</f>
        <v>0</v>
      </c>
      <c r="BB343" s="40">
        <f ca="1">IFERROR(__xludf.DUMMYFUNCTION("""COMPUTED_VALUE"""),10)</f>
        <v>10</v>
      </c>
      <c r="BC343" s="40">
        <f ca="1">IFERROR(__xludf.DUMMYFUNCTION("""COMPUTED_VALUE"""),30)</f>
        <v>30</v>
      </c>
      <c r="BD343" s="141">
        <f ca="1">IFERROR(__xludf.DUMMYFUNCTION("""COMPUTED_VALUE"""),44545)</f>
        <v>44545</v>
      </c>
      <c r="BE343" s="141">
        <f ca="1">IFERROR(__xludf.DUMMYFUNCTION("""COMPUTED_VALUE"""),44818)</f>
        <v>44818</v>
      </c>
      <c r="BF343" s="141">
        <f ca="1">IFERROR(__xludf.DUMMYFUNCTION("""COMPUTED_VALUE"""),44999)</f>
        <v>44999</v>
      </c>
      <c r="BG343" s="141">
        <f ca="1">IFERROR(__xludf.DUMMYFUNCTION("""COMPUTED_VALUE"""),45549)</f>
        <v>45549</v>
      </c>
      <c r="BH343" s="40" t="str">
        <f ca="1">IFERROR(__xludf.DUMMYFUNCTION("""COMPUTED_VALUE"""),"FICHA EN TIEMPO-18 MESES")</f>
        <v>FICHA EN TIEMPO-18 MESES</v>
      </c>
      <c r="BI343" s="40" t="str">
        <f ca="1">IFERROR(__xludf.DUMMYFUNCTION("""COMPUTED_VALUE"""),"En ejecucion")</f>
        <v>En ejecucion</v>
      </c>
      <c r="BJ343" s="40" t="str">
        <f ca="1">IFERROR(__xludf.DUMMYFUNCTION("""COMPUTED_VALUE"""),"Yamboro")</f>
        <v>Yamboro</v>
      </c>
      <c r="BK343" s="40"/>
      <c r="BL343" s="40"/>
    </row>
    <row r="344" spans="1:64" ht="13">
      <c r="A344" s="40" t="str">
        <f ca="1">IFERROR(__xludf.DUMMYFUNCTION("""COMPUTED_VALUE"""),"-")</f>
        <v>-</v>
      </c>
      <c r="B344" s="40" t="str">
        <f ca="1">IFERROR(__xludf.DUMMYFUNCTION("""COMPUTED_VALUE"""),"FORMACIÓN 18/10/2022")</f>
        <v>FORMACIÓN 18/10/2022</v>
      </c>
      <c r="C344" s="40" t="str">
        <f ca="1">IFERROR(__xludf.DUMMYFUNCTION("""COMPUTED_VALUE"""),"SEGUNDO JOSE GERENA ARDILA")</f>
        <v>SEGUNDO JOSE GERENA ARDILA</v>
      </c>
      <c r="D344" s="40" t="str">
        <f ca="1">IFERROR(__xludf.DUMMYFUNCTION("""COMPUTED_VALUE"""),"CC")</f>
        <v>CC</v>
      </c>
      <c r="E344" s="40">
        <f ca="1">IFERROR(__xludf.DUMMYFUNCTION("""COMPUTED_VALUE"""),19425315)</f>
        <v>19425315</v>
      </c>
      <c r="F344" s="40">
        <f ca="1">IFERROR(__xludf.DUMMYFUNCTION("""COMPUTED_VALUE"""),2468752)</f>
        <v>2468752</v>
      </c>
      <c r="G344" s="40" t="str">
        <f ca="1">IFERROR(__xludf.DUMMYFUNCTION("""COMPUTED_VALUE"""),"TÉCNICO")</f>
        <v>TÉCNICO</v>
      </c>
      <c r="H344" s="40" t="str">
        <f ca="1">IFERROR(__xludf.DUMMYFUNCTION("""COMPUTED_VALUE"""),"CONSTRUCCION, MANTENIMIENTO Y REPARACION DE ESTRUCTURAS EN GUADUA")</f>
        <v>CONSTRUCCION, MANTENIMIENTO Y REPARACION DE ESTRUCTURAS EN GUADUA</v>
      </c>
      <c r="I344" s="40"/>
      <c r="J344" s="40"/>
      <c r="K344" s="40"/>
      <c r="L344" s="40" t="str">
        <f ca="1">IFERROR(__xludf.DUMMYFUNCTION("""COMPUTED_VALUE"""),"NO HA INICIADO ETAPA PRODUCTIVA")</f>
        <v>NO HA INICIADO ETAPA PRODUCTIVA</v>
      </c>
      <c r="M344" s="40"/>
      <c r="N344" s="40"/>
      <c r="O344" s="40"/>
      <c r="P344" s="40"/>
      <c r="Q344" s="40"/>
      <c r="R344" s="140"/>
      <c r="S344" s="140"/>
      <c r="T344" s="40" t="str">
        <f ca="1">IFERROR(__xludf.DUMMYFUNCTION("""COMPUTED_VALUE"""),"debe 26 resultados... Revisado 15/11/2022")</f>
        <v>debe 26 resultados... Revisado 15/11/2022</v>
      </c>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t="str">
        <f ca="1">IFERROR(__xludf.DUMMYFUNCTION("""COMPUTED_VALUE"""),"NO_CUMPLE")</f>
        <v>NO_CUMPLE</v>
      </c>
      <c r="AV344" s="40" t="str">
        <f ca="1">IFERROR(__xludf.DUMMYFUNCTION("""COMPUTED_VALUE"""),"EN FORMACION")</f>
        <v>EN FORMACION</v>
      </c>
      <c r="AW344" s="40" t="str">
        <f ca="1">IFERROR(__xludf.DUMMYFUNCTION("""COMPUTED_VALUE"""),"BIOCONSTRUCCION")</f>
        <v>BIOCONSTRUCCION</v>
      </c>
      <c r="AX344" s="141">
        <f ca="1">IFERROR(__xludf.DUMMYFUNCTION("""COMPUTED_VALUE"""),44839)</f>
        <v>44839</v>
      </c>
      <c r="AY344" s="40">
        <f ca="1">IFERROR(__xludf.DUMMYFUNCTION("""COMPUTED_VALUE"""),19)</f>
        <v>19</v>
      </c>
      <c r="AZ344" s="40">
        <f ca="1">IFERROR(__xludf.DUMMYFUNCTION("""COMPUTED_VALUE"""),1)</f>
        <v>1</v>
      </c>
      <c r="BA344" s="40">
        <f ca="1">IFERROR(__xludf.DUMMYFUNCTION("""COMPUTED_VALUE"""),0)</f>
        <v>0</v>
      </c>
      <c r="BB344" s="40">
        <f ca="1">IFERROR(__xludf.DUMMYFUNCTION("""COMPUTED_VALUE"""),10)</f>
        <v>10</v>
      </c>
      <c r="BC344" s="40">
        <f ca="1">IFERROR(__xludf.DUMMYFUNCTION("""COMPUTED_VALUE"""),30)</f>
        <v>30</v>
      </c>
      <c r="BD344" s="141">
        <f ca="1">IFERROR(__xludf.DUMMYFUNCTION("""COMPUTED_VALUE"""),44545)</f>
        <v>44545</v>
      </c>
      <c r="BE344" s="141">
        <f ca="1">IFERROR(__xludf.DUMMYFUNCTION("""COMPUTED_VALUE"""),44818)</f>
        <v>44818</v>
      </c>
      <c r="BF344" s="141">
        <f ca="1">IFERROR(__xludf.DUMMYFUNCTION("""COMPUTED_VALUE"""),44999)</f>
        <v>44999</v>
      </c>
      <c r="BG344" s="141">
        <f ca="1">IFERROR(__xludf.DUMMYFUNCTION("""COMPUTED_VALUE"""),45549)</f>
        <v>45549</v>
      </c>
      <c r="BH344" s="40" t="str">
        <f ca="1">IFERROR(__xludf.DUMMYFUNCTION("""COMPUTED_VALUE"""),"FICHA EN TIEMPO-18 MESES")</f>
        <v>FICHA EN TIEMPO-18 MESES</v>
      </c>
      <c r="BI344" s="40" t="str">
        <f ca="1">IFERROR(__xludf.DUMMYFUNCTION("""COMPUTED_VALUE"""),"En ejecucion")</f>
        <v>En ejecucion</v>
      </c>
      <c r="BJ344" s="40" t="str">
        <f ca="1">IFERROR(__xludf.DUMMYFUNCTION("""COMPUTED_VALUE"""),"Yamboro")</f>
        <v>Yamboro</v>
      </c>
      <c r="BK344" s="40"/>
      <c r="BL344" s="40"/>
    </row>
    <row r="345" spans="1:64" ht="13">
      <c r="A345" s="40"/>
      <c r="B345" s="40" t="str">
        <f ca="1">IFERROR(__xludf.DUMMYFUNCTION("""COMPUTED_VALUE"""),"FORMACIÓN 18/10/2022")</f>
        <v>FORMACIÓN 18/10/2022</v>
      </c>
      <c r="C345" s="40" t="str">
        <f ca="1">IFERROR(__xludf.DUMMYFUNCTION("""COMPUTED_VALUE"""),"DUBERNEY TORRES TRUJILLO")</f>
        <v>DUBERNEY TORRES TRUJILLO</v>
      </c>
      <c r="D345" s="40" t="str">
        <f ca="1">IFERROR(__xludf.DUMMYFUNCTION("""COMPUTED_VALUE"""),"CC")</f>
        <v>CC</v>
      </c>
      <c r="E345" s="40">
        <f ca="1">IFERROR(__xludf.DUMMYFUNCTION("""COMPUTED_VALUE"""),1004034070)</f>
        <v>1004034070</v>
      </c>
      <c r="F345" s="40">
        <f ca="1">IFERROR(__xludf.DUMMYFUNCTION("""COMPUTED_VALUE"""),2451011)</f>
        <v>2451011</v>
      </c>
      <c r="G345" s="40" t="str">
        <f ca="1">IFERROR(__xludf.DUMMYFUNCTION("""COMPUTED_VALUE"""),"TÉCNICO")</f>
        <v>TÉCNICO</v>
      </c>
      <c r="H345" s="40" t="str">
        <f ca="1">IFERROR(__xludf.DUMMYFUNCTION("""COMPUTED_VALUE"""),"INSTALACION DE SISTEMAS ELECTRICOS RESIDENCIALES Y COMERCIALES")</f>
        <v>INSTALACION DE SISTEMAS ELECTRICOS RESIDENCIALES Y COMERCIALES</v>
      </c>
      <c r="I345" s="40"/>
      <c r="J345" s="40"/>
      <c r="K345" s="40"/>
      <c r="L345" s="40" t="str">
        <f ca="1">IFERROR(__xludf.DUMMYFUNCTION("""COMPUTED_VALUE"""),"PASANTÍAS")</f>
        <v>PASANTÍAS</v>
      </c>
      <c r="M345" s="40" t="str">
        <f ca="1">IFERROR(__xludf.DUMMYFUNCTION("""COMPUTED_VALUE"""),"Inversiones Laboyos")</f>
        <v>Inversiones Laboyos</v>
      </c>
      <c r="N345" s="40" t="str">
        <f ca="1">IFERROR(__xludf.DUMMYFUNCTION("""COMPUTED_VALUE"""),"Pitalito")</f>
        <v>Pitalito</v>
      </c>
      <c r="O345" s="40">
        <f ca="1">IFERROR(__xludf.DUMMYFUNCTION("""COMPUTED_VALUE"""),3183879337)</f>
        <v>3183879337</v>
      </c>
      <c r="P345" s="40" t="str">
        <f ca="1">IFERROR(__xludf.DUMMYFUNCTION("""COMPUTED_VALUE"""),"Pitalito")</f>
        <v>Pitalito</v>
      </c>
      <c r="Q345" s="40"/>
      <c r="R345" s="140">
        <f ca="1">IFERROR(__xludf.DUMMYFUNCTION("""COMPUTED_VALUE"""),44869)</f>
        <v>44869</v>
      </c>
      <c r="S345" s="140">
        <f ca="1">IFERROR(__xludf.DUMMYFUNCTION("""COMPUTED_VALUE"""),45050)</f>
        <v>45050</v>
      </c>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t="str">
        <f ca="1">IFERROR(__xludf.DUMMYFUNCTION("""COMPUTED_VALUE"""),"NO_CUMPLE")</f>
        <v>NO_CUMPLE</v>
      </c>
      <c r="AV345" s="40" t="str">
        <f ca="1">IFERROR(__xludf.DUMMYFUNCTION("""COMPUTED_VALUE"""),"EN FORMACION")</f>
        <v>EN FORMACION</v>
      </c>
      <c r="AW345" s="40" t="str">
        <f ca="1">IFERROR(__xludf.DUMMYFUNCTION("""COMPUTED_VALUE"""),"BIOCONSTRUCCION")</f>
        <v>BIOCONSTRUCCION</v>
      </c>
      <c r="AX345" s="141">
        <f ca="1">IFERROR(__xludf.DUMMYFUNCTION("""COMPUTED_VALUE"""),44839)</f>
        <v>44839</v>
      </c>
      <c r="AY345" s="40">
        <f ca="1">IFERROR(__xludf.DUMMYFUNCTION("""COMPUTED_VALUE"""),9)</f>
        <v>9</v>
      </c>
      <c r="AZ345" s="40">
        <f ca="1">IFERROR(__xludf.DUMMYFUNCTION("""COMPUTED_VALUE"""),1)</f>
        <v>1</v>
      </c>
      <c r="BA345" s="40">
        <f ca="1">IFERROR(__xludf.DUMMYFUNCTION("""COMPUTED_VALUE"""),0)</f>
        <v>0</v>
      </c>
      <c r="BB345" s="40">
        <f ca="1">IFERROR(__xludf.DUMMYFUNCTION("""COMPUTED_VALUE"""),0)</f>
        <v>0</v>
      </c>
      <c r="BC345" s="40">
        <f ca="1">IFERROR(__xludf.DUMMYFUNCTION("""COMPUTED_VALUE"""),10)</f>
        <v>10</v>
      </c>
      <c r="BD345" s="141">
        <f ca="1">IFERROR(__xludf.DUMMYFUNCTION("""COMPUTED_VALUE"""),44585)</f>
        <v>44585</v>
      </c>
      <c r="BE345" s="141">
        <f ca="1">IFERROR(__xludf.DUMMYFUNCTION("""COMPUTED_VALUE"""),44857)</f>
        <v>44857</v>
      </c>
      <c r="BF345" s="141">
        <f ca="1">IFERROR(__xludf.DUMMYFUNCTION("""COMPUTED_VALUE"""),45039)</f>
        <v>45039</v>
      </c>
      <c r="BG345" s="141">
        <f ca="1">IFERROR(__xludf.DUMMYFUNCTION("""COMPUTED_VALUE"""),45588)</f>
        <v>45588</v>
      </c>
      <c r="BH345" s="40" t="str">
        <f ca="1">IFERROR(__xludf.DUMMYFUNCTION("""COMPUTED_VALUE"""),"FICHA EN TIEMPO-18 MESES")</f>
        <v>FICHA EN TIEMPO-18 MESES</v>
      </c>
      <c r="BI345" s="40" t="str">
        <f ca="1">IFERROR(__xludf.DUMMYFUNCTION("""COMPUTED_VALUE"""),"En ejecucion")</f>
        <v>En ejecucion</v>
      </c>
      <c r="BJ345" s="40" t="str">
        <f ca="1">IFERROR(__xludf.DUMMYFUNCTION("""COMPUTED_VALUE"""),"Yamboro")</f>
        <v>Yamboro</v>
      </c>
      <c r="BK345" s="40"/>
      <c r="BL345" s="40"/>
    </row>
    <row r="346" spans="1:64" ht="13">
      <c r="A346" s="40"/>
      <c r="B346" s="40" t="str">
        <f ca="1">IFERROR(__xludf.DUMMYFUNCTION("""COMPUTED_VALUE"""),"FORMACIÓN 18/10/2022")</f>
        <v>FORMACIÓN 18/10/2022</v>
      </c>
      <c r="C346" s="40" t="str">
        <f ca="1">IFERROR(__xludf.DUMMYFUNCTION("""COMPUTED_VALUE"""),"ANDERSON CASTRO BARRERA")</f>
        <v>ANDERSON CASTRO BARRERA</v>
      </c>
      <c r="D346" s="40" t="str">
        <f ca="1">IFERROR(__xludf.DUMMYFUNCTION("""COMPUTED_VALUE"""),"CC")</f>
        <v>CC</v>
      </c>
      <c r="E346" s="40">
        <f ca="1">IFERROR(__xludf.DUMMYFUNCTION("""COMPUTED_VALUE"""),1007587017)</f>
        <v>1007587017</v>
      </c>
      <c r="F346" s="40">
        <f ca="1">IFERROR(__xludf.DUMMYFUNCTION("""COMPUTED_VALUE"""),2451011)</f>
        <v>2451011</v>
      </c>
      <c r="G346" s="40" t="str">
        <f ca="1">IFERROR(__xludf.DUMMYFUNCTION("""COMPUTED_VALUE"""),"TÉCNICO")</f>
        <v>TÉCNICO</v>
      </c>
      <c r="H346" s="40" t="str">
        <f ca="1">IFERROR(__xludf.DUMMYFUNCTION("""COMPUTED_VALUE"""),"INSTALACION DE SISTEMAS ELECTRICOS RESIDENCIALES Y COMERCIALES")</f>
        <v>INSTALACION DE SISTEMAS ELECTRICOS RESIDENCIALES Y COMERCIALES</v>
      </c>
      <c r="I346" s="40"/>
      <c r="J346" s="40"/>
      <c r="K346" s="40"/>
      <c r="L346" s="40" t="str">
        <f ca="1">IFERROR(__xludf.DUMMYFUNCTION("""COMPUTED_VALUE"""),"PASANTÍAS")</f>
        <v>PASANTÍAS</v>
      </c>
      <c r="M346" s="40" t="str">
        <f ca="1">IFERROR(__xludf.DUMMYFUNCTION("""COMPUTED_VALUE"""),"Inversiones Laboyos")</f>
        <v>Inversiones Laboyos</v>
      </c>
      <c r="N346" s="40" t="str">
        <f ca="1">IFERROR(__xludf.DUMMYFUNCTION("""COMPUTED_VALUE"""),"Pitalito")</f>
        <v>Pitalito</v>
      </c>
      <c r="O346" s="40">
        <f ca="1">IFERROR(__xludf.DUMMYFUNCTION("""COMPUTED_VALUE"""),3183879337)</f>
        <v>3183879337</v>
      </c>
      <c r="P346" s="40" t="str">
        <f ca="1">IFERROR(__xludf.DUMMYFUNCTION("""COMPUTED_VALUE"""),"Pitalito")</f>
        <v>Pitalito</v>
      </c>
      <c r="Q346" s="40"/>
      <c r="R346" s="140">
        <f ca="1">IFERROR(__xludf.DUMMYFUNCTION("""COMPUTED_VALUE"""),44869)</f>
        <v>44869</v>
      </c>
      <c r="S346" s="140">
        <f ca="1">IFERROR(__xludf.DUMMYFUNCTION("""COMPUTED_VALUE"""),45050)</f>
        <v>45050</v>
      </c>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t="str">
        <f ca="1">IFERROR(__xludf.DUMMYFUNCTION("""COMPUTED_VALUE"""),"NO_CUMPLE")</f>
        <v>NO_CUMPLE</v>
      </c>
      <c r="AV346" s="40" t="str">
        <f ca="1">IFERROR(__xludf.DUMMYFUNCTION("""COMPUTED_VALUE"""),"EN FORMACION")</f>
        <v>EN FORMACION</v>
      </c>
      <c r="AW346" s="40" t="str">
        <f ca="1">IFERROR(__xludf.DUMMYFUNCTION("""COMPUTED_VALUE"""),"BIOCONSTRUCCION")</f>
        <v>BIOCONSTRUCCION</v>
      </c>
      <c r="AX346" s="141">
        <f ca="1">IFERROR(__xludf.DUMMYFUNCTION("""COMPUTED_VALUE"""),44839)</f>
        <v>44839</v>
      </c>
      <c r="AY346" s="40">
        <f ca="1">IFERROR(__xludf.DUMMYFUNCTION("""COMPUTED_VALUE"""),9)</f>
        <v>9</v>
      </c>
      <c r="AZ346" s="40">
        <f ca="1">IFERROR(__xludf.DUMMYFUNCTION("""COMPUTED_VALUE"""),1)</f>
        <v>1</v>
      </c>
      <c r="BA346" s="40">
        <f ca="1">IFERROR(__xludf.DUMMYFUNCTION("""COMPUTED_VALUE"""),0)</f>
        <v>0</v>
      </c>
      <c r="BB346" s="40">
        <f ca="1">IFERROR(__xludf.DUMMYFUNCTION("""COMPUTED_VALUE"""),0)</f>
        <v>0</v>
      </c>
      <c r="BC346" s="40">
        <f ca="1">IFERROR(__xludf.DUMMYFUNCTION("""COMPUTED_VALUE"""),10)</f>
        <v>10</v>
      </c>
      <c r="BD346" s="141">
        <f ca="1">IFERROR(__xludf.DUMMYFUNCTION("""COMPUTED_VALUE"""),44585)</f>
        <v>44585</v>
      </c>
      <c r="BE346" s="141">
        <f ca="1">IFERROR(__xludf.DUMMYFUNCTION("""COMPUTED_VALUE"""),44857)</f>
        <v>44857</v>
      </c>
      <c r="BF346" s="141">
        <f ca="1">IFERROR(__xludf.DUMMYFUNCTION("""COMPUTED_VALUE"""),45039)</f>
        <v>45039</v>
      </c>
      <c r="BG346" s="141">
        <f ca="1">IFERROR(__xludf.DUMMYFUNCTION("""COMPUTED_VALUE"""),45588)</f>
        <v>45588</v>
      </c>
      <c r="BH346" s="40" t="str">
        <f ca="1">IFERROR(__xludf.DUMMYFUNCTION("""COMPUTED_VALUE"""),"FICHA EN TIEMPO-18 MESES")</f>
        <v>FICHA EN TIEMPO-18 MESES</v>
      </c>
      <c r="BI346" s="40" t="str">
        <f ca="1">IFERROR(__xludf.DUMMYFUNCTION("""COMPUTED_VALUE"""),"En ejecucion")</f>
        <v>En ejecucion</v>
      </c>
      <c r="BJ346" s="40" t="str">
        <f ca="1">IFERROR(__xludf.DUMMYFUNCTION("""COMPUTED_VALUE"""),"Yamboro")</f>
        <v>Yamboro</v>
      </c>
      <c r="BK346" s="40"/>
      <c r="BL346" s="40"/>
    </row>
    <row r="347" spans="1:64" ht="13">
      <c r="A347" s="40"/>
      <c r="B347" s="40" t="str">
        <f ca="1">IFERROR(__xludf.DUMMYFUNCTION("""COMPUTED_VALUE"""),"FORMACIÓN 18/10/2022")</f>
        <v>FORMACIÓN 18/10/2022</v>
      </c>
      <c r="C347" s="40" t="str">
        <f ca="1">IFERROR(__xludf.DUMMYFUNCTION("""COMPUTED_VALUE"""),"JOSE MANUEL MORALES CASTAÑO")</f>
        <v>JOSE MANUEL MORALES CASTAÑO</v>
      </c>
      <c r="D347" s="40" t="str">
        <f ca="1">IFERROR(__xludf.DUMMYFUNCTION("""COMPUTED_VALUE"""),"TI")</f>
        <v>TI</v>
      </c>
      <c r="E347" s="40">
        <f ca="1">IFERROR(__xludf.DUMMYFUNCTION("""COMPUTED_VALUE"""),1079534283)</f>
        <v>1079534283</v>
      </c>
      <c r="F347" s="40">
        <f ca="1">IFERROR(__xludf.DUMMYFUNCTION("""COMPUTED_VALUE"""),2451011)</f>
        <v>2451011</v>
      </c>
      <c r="G347" s="40" t="str">
        <f ca="1">IFERROR(__xludf.DUMMYFUNCTION("""COMPUTED_VALUE"""),"TÉCNICO")</f>
        <v>TÉCNICO</v>
      </c>
      <c r="H347" s="40" t="str">
        <f ca="1">IFERROR(__xludf.DUMMYFUNCTION("""COMPUTED_VALUE"""),"INSTALACION DE SISTEMAS ELECTRICOS RESIDENCIALES Y COMERCIALES")</f>
        <v>INSTALACION DE SISTEMAS ELECTRICOS RESIDENCIALES Y COMERCIALES</v>
      </c>
      <c r="I347" s="40"/>
      <c r="J347" s="40"/>
      <c r="K347" s="40"/>
      <c r="L347" s="40" t="str">
        <f ca="1">IFERROR(__xludf.DUMMYFUNCTION("""COMPUTED_VALUE"""),"PASANTÍAS")</f>
        <v>PASANTÍAS</v>
      </c>
      <c r="M347" s="40" t="str">
        <f ca="1">IFERROR(__xludf.DUMMYFUNCTION("""COMPUTED_VALUE"""),"Inversiones Laboyos")</f>
        <v>Inversiones Laboyos</v>
      </c>
      <c r="N347" s="40" t="str">
        <f ca="1">IFERROR(__xludf.DUMMYFUNCTION("""COMPUTED_VALUE"""),"Pitalito")</f>
        <v>Pitalito</v>
      </c>
      <c r="O347" s="40">
        <f ca="1">IFERROR(__xludf.DUMMYFUNCTION("""COMPUTED_VALUE"""),3183879337)</f>
        <v>3183879337</v>
      </c>
      <c r="P347" s="40" t="str">
        <f ca="1">IFERROR(__xludf.DUMMYFUNCTION("""COMPUTED_VALUE"""),"Pitalito")</f>
        <v>Pitalito</v>
      </c>
      <c r="Q347" s="40"/>
      <c r="R347" s="140">
        <f ca="1">IFERROR(__xludf.DUMMYFUNCTION("""COMPUTED_VALUE"""),44869)</f>
        <v>44869</v>
      </c>
      <c r="S347" s="140">
        <f ca="1">IFERROR(__xludf.DUMMYFUNCTION("""COMPUTED_VALUE"""),45050)</f>
        <v>45050</v>
      </c>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t="str">
        <f ca="1">IFERROR(__xludf.DUMMYFUNCTION("""COMPUTED_VALUE"""),"NO_CUMPLE")</f>
        <v>NO_CUMPLE</v>
      </c>
      <c r="AV347" s="40" t="str">
        <f ca="1">IFERROR(__xludf.DUMMYFUNCTION("""COMPUTED_VALUE"""),"EN FORMACION")</f>
        <v>EN FORMACION</v>
      </c>
      <c r="AW347" s="40" t="str">
        <f ca="1">IFERROR(__xludf.DUMMYFUNCTION("""COMPUTED_VALUE"""),"BIOCONSTRUCCION")</f>
        <v>BIOCONSTRUCCION</v>
      </c>
      <c r="AX347" s="141">
        <f ca="1">IFERROR(__xludf.DUMMYFUNCTION("""COMPUTED_VALUE"""),44839)</f>
        <v>44839</v>
      </c>
      <c r="AY347" s="40">
        <f ca="1">IFERROR(__xludf.DUMMYFUNCTION("""COMPUTED_VALUE"""),9)</f>
        <v>9</v>
      </c>
      <c r="AZ347" s="40">
        <f ca="1">IFERROR(__xludf.DUMMYFUNCTION("""COMPUTED_VALUE"""),1)</f>
        <v>1</v>
      </c>
      <c r="BA347" s="40">
        <f ca="1">IFERROR(__xludf.DUMMYFUNCTION("""COMPUTED_VALUE"""),0)</f>
        <v>0</v>
      </c>
      <c r="BB347" s="40">
        <f ca="1">IFERROR(__xludf.DUMMYFUNCTION("""COMPUTED_VALUE"""),0)</f>
        <v>0</v>
      </c>
      <c r="BC347" s="40">
        <f ca="1">IFERROR(__xludf.DUMMYFUNCTION("""COMPUTED_VALUE"""),10)</f>
        <v>10</v>
      </c>
      <c r="BD347" s="141">
        <f ca="1">IFERROR(__xludf.DUMMYFUNCTION("""COMPUTED_VALUE"""),44585)</f>
        <v>44585</v>
      </c>
      <c r="BE347" s="141">
        <f ca="1">IFERROR(__xludf.DUMMYFUNCTION("""COMPUTED_VALUE"""),44857)</f>
        <v>44857</v>
      </c>
      <c r="BF347" s="141">
        <f ca="1">IFERROR(__xludf.DUMMYFUNCTION("""COMPUTED_VALUE"""),45039)</f>
        <v>45039</v>
      </c>
      <c r="BG347" s="141">
        <f ca="1">IFERROR(__xludf.DUMMYFUNCTION("""COMPUTED_VALUE"""),45588)</f>
        <v>45588</v>
      </c>
      <c r="BH347" s="40" t="str">
        <f ca="1">IFERROR(__xludf.DUMMYFUNCTION("""COMPUTED_VALUE"""),"FICHA EN TIEMPO-18 MESES")</f>
        <v>FICHA EN TIEMPO-18 MESES</v>
      </c>
      <c r="BI347" s="40" t="str">
        <f ca="1">IFERROR(__xludf.DUMMYFUNCTION("""COMPUTED_VALUE"""),"En ejecucion")</f>
        <v>En ejecucion</v>
      </c>
      <c r="BJ347" s="40" t="str">
        <f ca="1">IFERROR(__xludf.DUMMYFUNCTION("""COMPUTED_VALUE"""),"Yamboro")</f>
        <v>Yamboro</v>
      </c>
      <c r="BK347" s="40"/>
      <c r="BL347" s="40"/>
    </row>
    <row r="348" spans="1:64" ht="13">
      <c r="A348" s="40"/>
      <c r="B348" s="40" t="str">
        <f ca="1">IFERROR(__xludf.DUMMYFUNCTION("""COMPUTED_VALUE"""),"FORMACIÓN 18/10/2022")</f>
        <v>FORMACIÓN 18/10/2022</v>
      </c>
      <c r="C348" s="40" t="str">
        <f ca="1">IFERROR(__xludf.DUMMYFUNCTION("""COMPUTED_VALUE"""),"VICTOR ALFONSO URRUTIA IPUZ")</f>
        <v>VICTOR ALFONSO URRUTIA IPUZ</v>
      </c>
      <c r="D348" s="40" t="str">
        <f ca="1">IFERROR(__xludf.DUMMYFUNCTION("""COMPUTED_VALUE"""),"CC")</f>
        <v>CC</v>
      </c>
      <c r="E348" s="40">
        <f ca="1">IFERROR(__xludf.DUMMYFUNCTION("""COMPUTED_VALUE"""),1082778443)</f>
        <v>1082778443</v>
      </c>
      <c r="F348" s="40">
        <f ca="1">IFERROR(__xludf.DUMMYFUNCTION("""COMPUTED_VALUE"""),2451011)</f>
        <v>2451011</v>
      </c>
      <c r="G348" s="40" t="str">
        <f ca="1">IFERROR(__xludf.DUMMYFUNCTION("""COMPUTED_VALUE"""),"TÉCNICO")</f>
        <v>TÉCNICO</v>
      </c>
      <c r="H348" s="40" t="str">
        <f ca="1">IFERROR(__xludf.DUMMYFUNCTION("""COMPUTED_VALUE"""),"INSTALACION DE SISTEMAS ELECTRICOS RESIDENCIALES Y COMERCIALES")</f>
        <v>INSTALACION DE SISTEMAS ELECTRICOS RESIDENCIALES Y COMERCIALES</v>
      </c>
      <c r="I348" s="40"/>
      <c r="J348" s="40"/>
      <c r="K348" s="40"/>
      <c r="L348" s="40" t="str">
        <f ca="1">IFERROR(__xludf.DUMMYFUNCTION("""COMPUTED_VALUE"""),"NO HA INICIADO ETAPA PRODUCTIVA")</f>
        <v>NO HA INICIADO ETAPA PRODUCTIVA</v>
      </c>
      <c r="M348" s="40"/>
      <c r="N348" s="40"/>
      <c r="O348" s="40"/>
      <c r="P348" s="40"/>
      <c r="Q348" s="40"/>
      <c r="R348" s="140"/>
      <c r="S348" s="1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t="str">
        <f ca="1">IFERROR(__xludf.DUMMYFUNCTION("""COMPUTED_VALUE"""),"NO_CUMPLE")</f>
        <v>NO_CUMPLE</v>
      </c>
      <c r="AV348" s="40" t="str">
        <f ca="1">IFERROR(__xludf.DUMMYFUNCTION("""COMPUTED_VALUE"""),"EN FORMACION")</f>
        <v>EN FORMACION</v>
      </c>
      <c r="AW348" s="40" t="str">
        <f ca="1">IFERROR(__xludf.DUMMYFUNCTION("""COMPUTED_VALUE"""),"BIOCONSTRUCCION")</f>
        <v>BIOCONSTRUCCION</v>
      </c>
      <c r="AX348" s="141">
        <f ca="1">IFERROR(__xludf.DUMMYFUNCTION("""COMPUTED_VALUE"""),44839)</f>
        <v>44839</v>
      </c>
      <c r="AY348" s="40">
        <f ca="1">IFERROR(__xludf.DUMMYFUNCTION("""COMPUTED_VALUE"""),9)</f>
        <v>9</v>
      </c>
      <c r="AZ348" s="40">
        <f ca="1">IFERROR(__xludf.DUMMYFUNCTION("""COMPUTED_VALUE"""),1)</f>
        <v>1</v>
      </c>
      <c r="BA348" s="40">
        <f ca="1">IFERROR(__xludf.DUMMYFUNCTION("""COMPUTED_VALUE"""),0)</f>
        <v>0</v>
      </c>
      <c r="BB348" s="40">
        <f ca="1">IFERROR(__xludf.DUMMYFUNCTION("""COMPUTED_VALUE"""),0)</f>
        <v>0</v>
      </c>
      <c r="BC348" s="40">
        <f ca="1">IFERROR(__xludf.DUMMYFUNCTION("""COMPUTED_VALUE"""),10)</f>
        <v>10</v>
      </c>
      <c r="BD348" s="141">
        <f ca="1">IFERROR(__xludf.DUMMYFUNCTION("""COMPUTED_VALUE"""),44585)</f>
        <v>44585</v>
      </c>
      <c r="BE348" s="141">
        <f ca="1">IFERROR(__xludf.DUMMYFUNCTION("""COMPUTED_VALUE"""),44857)</f>
        <v>44857</v>
      </c>
      <c r="BF348" s="141">
        <f ca="1">IFERROR(__xludf.DUMMYFUNCTION("""COMPUTED_VALUE"""),45039)</f>
        <v>45039</v>
      </c>
      <c r="BG348" s="141">
        <f ca="1">IFERROR(__xludf.DUMMYFUNCTION("""COMPUTED_VALUE"""),45588)</f>
        <v>45588</v>
      </c>
      <c r="BH348" s="40" t="str">
        <f ca="1">IFERROR(__xludf.DUMMYFUNCTION("""COMPUTED_VALUE"""),"FICHA EN TIEMPO-18 MESES")</f>
        <v>FICHA EN TIEMPO-18 MESES</v>
      </c>
      <c r="BI348" s="40" t="str">
        <f ca="1">IFERROR(__xludf.DUMMYFUNCTION("""COMPUTED_VALUE"""),"En ejecucion")</f>
        <v>En ejecucion</v>
      </c>
      <c r="BJ348" s="40" t="str">
        <f ca="1">IFERROR(__xludf.DUMMYFUNCTION("""COMPUTED_VALUE"""),"Yamboro")</f>
        <v>Yamboro</v>
      </c>
      <c r="BK348" s="40"/>
      <c r="BL348" s="40"/>
    </row>
    <row r="349" spans="1:64" ht="13">
      <c r="A349" s="40"/>
      <c r="B349" s="40" t="str">
        <f ca="1">IFERROR(__xludf.DUMMYFUNCTION("""COMPUTED_VALUE"""),"FORMACIÓN 18/10/2022")</f>
        <v>FORMACIÓN 18/10/2022</v>
      </c>
      <c r="C349" s="40" t="str">
        <f ca="1">IFERROR(__xludf.DUMMYFUNCTION("""COMPUTED_VALUE"""),"EDWIN ADOLFO TRUJILLO MUÑOZ")</f>
        <v>EDWIN ADOLFO TRUJILLO MUÑOZ</v>
      </c>
      <c r="D349" s="40" t="str">
        <f ca="1">IFERROR(__xludf.DUMMYFUNCTION("""COMPUTED_VALUE"""),"TI")</f>
        <v>TI</v>
      </c>
      <c r="E349" s="40">
        <f ca="1">IFERROR(__xludf.DUMMYFUNCTION("""COMPUTED_VALUE"""),1083869142)</f>
        <v>1083869142</v>
      </c>
      <c r="F349" s="40">
        <f ca="1">IFERROR(__xludf.DUMMYFUNCTION("""COMPUTED_VALUE"""),2451011)</f>
        <v>2451011</v>
      </c>
      <c r="G349" s="40" t="str">
        <f ca="1">IFERROR(__xludf.DUMMYFUNCTION("""COMPUTED_VALUE"""),"TÉCNICO")</f>
        <v>TÉCNICO</v>
      </c>
      <c r="H349" s="40" t="str">
        <f ca="1">IFERROR(__xludf.DUMMYFUNCTION("""COMPUTED_VALUE"""),"INSTALACION DE SISTEMAS ELECTRICOS RESIDENCIALES Y COMERCIALES")</f>
        <v>INSTALACION DE SISTEMAS ELECTRICOS RESIDENCIALES Y COMERCIALES</v>
      </c>
      <c r="I349" s="40">
        <f ca="1">IFERROR(__xludf.DUMMYFUNCTION("""COMPUTED_VALUE"""),3225327176)</f>
        <v>3225327176</v>
      </c>
      <c r="J349" s="40" t="str">
        <f ca="1">IFERROR(__xludf.DUMMYFUNCTION("""COMPUTED_VALUE"""),"eatrujillo24@misena.edu.co")</f>
        <v>eatrujillo24@misena.edu.co</v>
      </c>
      <c r="K349" s="40"/>
      <c r="L349" s="40" t="str">
        <f ca="1">IFERROR(__xludf.DUMMYFUNCTION("""COMPUTED_VALUE"""),"PASANTÍAS")</f>
        <v>PASANTÍAS</v>
      </c>
      <c r="M349" s="40" t="str">
        <f ca="1">IFERROR(__xludf.DUMMYFUNCTION("""COMPUTED_VALUE"""),"CENTRO DE GESTIÓN Y DESARROLLO SOSTENIBLE COLOMBIANO SEDE YAMBORO - SENA")</f>
        <v>CENTRO DE GESTIÓN Y DESARROLLO SOSTENIBLE COLOMBIANO SEDE YAMBORO - SENA</v>
      </c>
      <c r="N349" s="40" t="str">
        <f ca="1">IFERROR(__xludf.DUMMYFUNCTION("""COMPUTED_VALUE"""),"AV.3  N° 20 SUR 21")</f>
        <v>AV.3  N° 20 SUR 21</v>
      </c>
      <c r="O349" s="40"/>
      <c r="P349" s="40" t="str">
        <f ca="1">IFERROR(__xludf.DUMMYFUNCTION("""COMPUTED_VALUE"""),"PITALITO")</f>
        <v>PITALITO</v>
      </c>
      <c r="Q349" s="40"/>
      <c r="R349" s="140">
        <f ca="1">IFERROR(__xludf.DUMMYFUNCTION("""COMPUTED_VALUE"""),44866)</f>
        <v>44866</v>
      </c>
      <c r="S349" s="140">
        <f ca="1">IFERROR(__xludf.DUMMYFUNCTION("""COMPUTED_VALUE"""),45047)</f>
        <v>45047</v>
      </c>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t="str">
        <f ca="1">IFERROR(__xludf.DUMMYFUNCTION("""COMPUTED_VALUE"""),"NO_CUMPLE")</f>
        <v>NO_CUMPLE</v>
      </c>
      <c r="AV349" s="40" t="str">
        <f ca="1">IFERROR(__xludf.DUMMYFUNCTION("""COMPUTED_VALUE"""),"EN FORMACION")</f>
        <v>EN FORMACION</v>
      </c>
      <c r="AW349" s="40" t="str">
        <f ca="1">IFERROR(__xludf.DUMMYFUNCTION("""COMPUTED_VALUE"""),"BIOCONSTRUCCION")</f>
        <v>BIOCONSTRUCCION</v>
      </c>
      <c r="AX349" s="141">
        <f ca="1">IFERROR(__xludf.DUMMYFUNCTION("""COMPUTED_VALUE"""),44839)</f>
        <v>44839</v>
      </c>
      <c r="AY349" s="40">
        <f ca="1">IFERROR(__xludf.DUMMYFUNCTION("""COMPUTED_VALUE"""),9)</f>
        <v>9</v>
      </c>
      <c r="AZ349" s="40">
        <f ca="1">IFERROR(__xludf.DUMMYFUNCTION("""COMPUTED_VALUE"""),1)</f>
        <v>1</v>
      </c>
      <c r="BA349" s="40">
        <f ca="1">IFERROR(__xludf.DUMMYFUNCTION("""COMPUTED_VALUE"""),0)</f>
        <v>0</v>
      </c>
      <c r="BB349" s="40">
        <f ca="1">IFERROR(__xludf.DUMMYFUNCTION("""COMPUTED_VALUE"""),0)</f>
        <v>0</v>
      </c>
      <c r="BC349" s="40">
        <f ca="1">IFERROR(__xludf.DUMMYFUNCTION("""COMPUTED_VALUE"""),10)</f>
        <v>10</v>
      </c>
      <c r="BD349" s="141">
        <f ca="1">IFERROR(__xludf.DUMMYFUNCTION("""COMPUTED_VALUE"""),44585)</f>
        <v>44585</v>
      </c>
      <c r="BE349" s="141">
        <f ca="1">IFERROR(__xludf.DUMMYFUNCTION("""COMPUTED_VALUE"""),44857)</f>
        <v>44857</v>
      </c>
      <c r="BF349" s="141">
        <f ca="1">IFERROR(__xludf.DUMMYFUNCTION("""COMPUTED_VALUE"""),45039)</f>
        <v>45039</v>
      </c>
      <c r="BG349" s="141">
        <f ca="1">IFERROR(__xludf.DUMMYFUNCTION("""COMPUTED_VALUE"""),45588)</f>
        <v>45588</v>
      </c>
      <c r="BH349" s="40" t="str">
        <f ca="1">IFERROR(__xludf.DUMMYFUNCTION("""COMPUTED_VALUE"""),"FICHA EN TIEMPO-18 MESES")</f>
        <v>FICHA EN TIEMPO-18 MESES</v>
      </c>
      <c r="BI349" s="40" t="str">
        <f ca="1">IFERROR(__xludf.DUMMYFUNCTION("""COMPUTED_VALUE"""),"En ejecucion")</f>
        <v>En ejecucion</v>
      </c>
      <c r="BJ349" s="40" t="str">
        <f ca="1">IFERROR(__xludf.DUMMYFUNCTION("""COMPUTED_VALUE"""),"Yamboro")</f>
        <v>Yamboro</v>
      </c>
      <c r="BK349" s="40"/>
      <c r="BL349" s="40"/>
    </row>
    <row r="350" spans="1:64" ht="13">
      <c r="A350" s="40"/>
      <c r="B350" s="40" t="str">
        <f ca="1">IFERROR(__xludf.DUMMYFUNCTION("""COMPUTED_VALUE"""),"FORMACIÓN 18/10/2022")</f>
        <v>FORMACIÓN 18/10/2022</v>
      </c>
      <c r="C350" s="40" t="str">
        <f ca="1">IFERROR(__xludf.DUMMYFUNCTION("""COMPUTED_VALUE"""),"ALEJANDRO CARLOSAMA SANCHEZ")</f>
        <v>ALEJANDRO CARLOSAMA SANCHEZ</v>
      </c>
      <c r="D350" s="40" t="str">
        <f ca="1">IFERROR(__xludf.DUMMYFUNCTION("""COMPUTED_VALUE"""),"CC")</f>
        <v>CC</v>
      </c>
      <c r="E350" s="40">
        <f ca="1">IFERROR(__xludf.DUMMYFUNCTION("""COMPUTED_VALUE"""),1083873820)</f>
        <v>1083873820</v>
      </c>
      <c r="F350" s="40">
        <f ca="1">IFERROR(__xludf.DUMMYFUNCTION("""COMPUTED_VALUE"""),2451011)</f>
        <v>2451011</v>
      </c>
      <c r="G350" s="40" t="str">
        <f ca="1">IFERROR(__xludf.DUMMYFUNCTION("""COMPUTED_VALUE"""),"TÉCNICO")</f>
        <v>TÉCNICO</v>
      </c>
      <c r="H350" s="40" t="str">
        <f ca="1">IFERROR(__xludf.DUMMYFUNCTION("""COMPUTED_VALUE"""),"INSTALACION DE SISTEMAS ELECTRICOS RESIDENCIALES Y COMERCIALES")</f>
        <v>INSTALACION DE SISTEMAS ELECTRICOS RESIDENCIALES Y COMERCIALES</v>
      </c>
      <c r="I350" s="40">
        <f ca="1">IFERROR(__xludf.DUMMYFUNCTION("""COMPUTED_VALUE"""),573128134716)</f>
        <v>573128134716</v>
      </c>
      <c r="J350" s="40" t="str">
        <f ca="1">IFERROR(__xludf.DUMMYFUNCTION("""COMPUTED_VALUE"""),"acarlosama02@misena.edu.co
")</f>
        <v xml:space="preserve">acarlosama02@misena.edu.co
</v>
      </c>
      <c r="K350" s="40"/>
      <c r="L350" s="40" t="str">
        <f ca="1">IFERROR(__xludf.DUMMYFUNCTION("""COMPUTED_VALUE"""),"PASANTÍAS")</f>
        <v>PASANTÍAS</v>
      </c>
      <c r="M350" s="40" t="str">
        <f ca="1">IFERROR(__xludf.DUMMYFUNCTION("""COMPUTED_VALUE"""),"CENTRO DE GESTIÓN Y DESARROLLO SOSTENIBLE COLOMBIANO SEDE YAMBORO - SENA")</f>
        <v>CENTRO DE GESTIÓN Y DESARROLLO SOSTENIBLE COLOMBIANO SEDE YAMBORO - SENA</v>
      </c>
      <c r="N350" s="40" t="str">
        <f ca="1">IFERROR(__xludf.DUMMYFUNCTION("""COMPUTED_VALUE"""),"AV.3  N° 20 SUR 21")</f>
        <v>AV.3  N° 20 SUR 21</v>
      </c>
      <c r="O350" s="40"/>
      <c r="P350" s="40" t="str">
        <f ca="1">IFERROR(__xludf.DUMMYFUNCTION("""COMPUTED_VALUE"""),"PITALITO")</f>
        <v>PITALITO</v>
      </c>
      <c r="Q350" s="40"/>
      <c r="R350" s="140">
        <f ca="1">IFERROR(__xludf.DUMMYFUNCTION("""COMPUTED_VALUE"""),44866)</f>
        <v>44866</v>
      </c>
      <c r="S350" s="140">
        <f ca="1">IFERROR(__xludf.DUMMYFUNCTION("""COMPUTED_VALUE"""),45047)</f>
        <v>45047</v>
      </c>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t="str">
        <f ca="1">IFERROR(__xludf.DUMMYFUNCTION("""COMPUTED_VALUE"""),"NO_CUMPLE")</f>
        <v>NO_CUMPLE</v>
      </c>
      <c r="AV350" s="40" t="str">
        <f ca="1">IFERROR(__xludf.DUMMYFUNCTION("""COMPUTED_VALUE"""),"EN FORMACION")</f>
        <v>EN FORMACION</v>
      </c>
      <c r="AW350" s="40" t="str">
        <f ca="1">IFERROR(__xludf.DUMMYFUNCTION("""COMPUTED_VALUE"""),"BIOCONSTRUCCION")</f>
        <v>BIOCONSTRUCCION</v>
      </c>
      <c r="AX350" s="141">
        <f ca="1">IFERROR(__xludf.DUMMYFUNCTION("""COMPUTED_VALUE"""),44839)</f>
        <v>44839</v>
      </c>
      <c r="AY350" s="40">
        <f ca="1">IFERROR(__xludf.DUMMYFUNCTION("""COMPUTED_VALUE"""),9)</f>
        <v>9</v>
      </c>
      <c r="AZ350" s="40">
        <f ca="1">IFERROR(__xludf.DUMMYFUNCTION("""COMPUTED_VALUE"""),1)</f>
        <v>1</v>
      </c>
      <c r="BA350" s="40">
        <f ca="1">IFERROR(__xludf.DUMMYFUNCTION("""COMPUTED_VALUE"""),0)</f>
        <v>0</v>
      </c>
      <c r="BB350" s="40">
        <f ca="1">IFERROR(__xludf.DUMMYFUNCTION("""COMPUTED_VALUE"""),0)</f>
        <v>0</v>
      </c>
      <c r="BC350" s="40">
        <f ca="1">IFERROR(__xludf.DUMMYFUNCTION("""COMPUTED_VALUE"""),10)</f>
        <v>10</v>
      </c>
      <c r="BD350" s="141">
        <f ca="1">IFERROR(__xludf.DUMMYFUNCTION("""COMPUTED_VALUE"""),44585)</f>
        <v>44585</v>
      </c>
      <c r="BE350" s="141">
        <f ca="1">IFERROR(__xludf.DUMMYFUNCTION("""COMPUTED_VALUE"""),44857)</f>
        <v>44857</v>
      </c>
      <c r="BF350" s="141">
        <f ca="1">IFERROR(__xludf.DUMMYFUNCTION("""COMPUTED_VALUE"""),45039)</f>
        <v>45039</v>
      </c>
      <c r="BG350" s="141">
        <f ca="1">IFERROR(__xludf.DUMMYFUNCTION("""COMPUTED_VALUE"""),45588)</f>
        <v>45588</v>
      </c>
      <c r="BH350" s="40" t="str">
        <f ca="1">IFERROR(__xludf.DUMMYFUNCTION("""COMPUTED_VALUE"""),"FICHA EN TIEMPO-18 MESES")</f>
        <v>FICHA EN TIEMPO-18 MESES</v>
      </c>
      <c r="BI350" s="40" t="str">
        <f ca="1">IFERROR(__xludf.DUMMYFUNCTION("""COMPUTED_VALUE"""),"En ejecucion")</f>
        <v>En ejecucion</v>
      </c>
      <c r="BJ350" s="40" t="str">
        <f ca="1">IFERROR(__xludf.DUMMYFUNCTION("""COMPUTED_VALUE"""),"Yamboro")</f>
        <v>Yamboro</v>
      </c>
      <c r="BK350" s="40"/>
      <c r="BL350" s="40"/>
    </row>
    <row r="351" spans="1:64" ht="13">
      <c r="A351" s="40"/>
      <c r="B351" s="40" t="str">
        <f ca="1">IFERROR(__xludf.DUMMYFUNCTION("""COMPUTED_VALUE"""),"FORMACIÓN 18/10/2022")</f>
        <v>FORMACIÓN 18/10/2022</v>
      </c>
      <c r="C351" s="40" t="str">
        <f ca="1">IFERROR(__xludf.DUMMYFUNCTION("""COMPUTED_VALUE"""),"YEISON ANDRES HERNANDEZ LOPEZ")</f>
        <v>YEISON ANDRES HERNANDEZ LOPEZ</v>
      </c>
      <c r="D351" s="40" t="str">
        <f ca="1">IFERROR(__xludf.DUMMYFUNCTION("""COMPUTED_VALUE"""),"CC")</f>
        <v>CC</v>
      </c>
      <c r="E351" s="40">
        <f ca="1">IFERROR(__xludf.DUMMYFUNCTION("""COMPUTED_VALUE"""),1083927587)</f>
        <v>1083927587</v>
      </c>
      <c r="F351" s="40">
        <f ca="1">IFERROR(__xludf.DUMMYFUNCTION("""COMPUTED_VALUE"""),2451011)</f>
        <v>2451011</v>
      </c>
      <c r="G351" s="40" t="str">
        <f ca="1">IFERROR(__xludf.DUMMYFUNCTION("""COMPUTED_VALUE"""),"TÉCNICO")</f>
        <v>TÉCNICO</v>
      </c>
      <c r="H351" s="40" t="str">
        <f ca="1">IFERROR(__xludf.DUMMYFUNCTION("""COMPUTED_VALUE"""),"INSTALACION DE SISTEMAS ELECTRICOS RESIDENCIALES Y COMERCIALES")</f>
        <v>INSTALACION DE SISTEMAS ELECTRICOS RESIDENCIALES Y COMERCIALES</v>
      </c>
      <c r="I351" s="40">
        <f ca="1">IFERROR(__xludf.DUMMYFUNCTION("""COMPUTED_VALUE"""),3222733961)</f>
        <v>3222733961</v>
      </c>
      <c r="J351" s="40" t="str">
        <f ca="1">IFERROR(__xludf.DUMMYFUNCTION("""COMPUTED_VALUE"""),"Yeison45andres@gmail.com
")</f>
        <v xml:space="preserve">Yeison45andres@gmail.com
</v>
      </c>
      <c r="K351" s="40"/>
      <c r="L351" s="40" t="str">
        <f ca="1">IFERROR(__xludf.DUMMYFUNCTION("""COMPUTED_VALUE"""),"PASANTÍAS")</f>
        <v>PASANTÍAS</v>
      </c>
      <c r="M351" s="40" t="str">
        <f ca="1">IFERROR(__xludf.DUMMYFUNCTION("""COMPUTED_VALUE"""),"CENTRO DE GESTIÓN Y DESARROLLO SOSTENIBLE COLOMBIANO SEDE YAMBORO - SENA")</f>
        <v>CENTRO DE GESTIÓN Y DESARROLLO SOSTENIBLE COLOMBIANO SEDE YAMBORO - SENA</v>
      </c>
      <c r="N351" s="40" t="str">
        <f ca="1">IFERROR(__xludf.DUMMYFUNCTION("""COMPUTED_VALUE"""),"AV.3  N° 20 SUR 21")</f>
        <v>AV.3  N° 20 SUR 21</v>
      </c>
      <c r="O351" s="40"/>
      <c r="P351" s="40" t="str">
        <f ca="1">IFERROR(__xludf.DUMMYFUNCTION("""COMPUTED_VALUE"""),"PITALITO")</f>
        <v>PITALITO</v>
      </c>
      <c r="Q351" s="40"/>
      <c r="R351" s="140">
        <f ca="1">IFERROR(__xludf.DUMMYFUNCTION("""COMPUTED_VALUE"""),44866)</f>
        <v>44866</v>
      </c>
      <c r="S351" s="140">
        <f ca="1">IFERROR(__xludf.DUMMYFUNCTION("""COMPUTED_VALUE"""),45047)</f>
        <v>45047</v>
      </c>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t="str">
        <f ca="1">IFERROR(__xludf.DUMMYFUNCTION("""COMPUTED_VALUE"""),"NO_CUMPLE")</f>
        <v>NO_CUMPLE</v>
      </c>
      <c r="AV351" s="40" t="str">
        <f ca="1">IFERROR(__xludf.DUMMYFUNCTION("""COMPUTED_VALUE"""),"EN FORMACION")</f>
        <v>EN FORMACION</v>
      </c>
      <c r="AW351" s="40" t="str">
        <f ca="1">IFERROR(__xludf.DUMMYFUNCTION("""COMPUTED_VALUE"""),"BIOCONSTRUCCION")</f>
        <v>BIOCONSTRUCCION</v>
      </c>
      <c r="AX351" s="141">
        <f ca="1">IFERROR(__xludf.DUMMYFUNCTION("""COMPUTED_VALUE"""),44839)</f>
        <v>44839</v>
      </c>
      <c r="AY351" s="40">
        <f ca="1">IFERROR(__xludf.DUMMYFUNCTION("""COMPUTED_VALUE"""),9)</f>
        <v>9</v>
      </c>
      <c r="AZ351" s="40">
        <f ca="1">IFERROR(__xludf.DUMMYFUNCTION("""COMPUTED_VALUE"""),1)</f>
        <v>1</v>
      </c>
      <c r="BA351" s="40">
        <f ca="1">IFERROR(__xludf.DUMMYFUNCTION("""COMPUTED_VALUE"""),0)</f>
        <v>0</v>
      </c>
      <c r="BB351" s="40">
        <f ca="1">IFERROR(__xludf.DUMMYFUNCTION("""COMPUTED_VALUE"""),0)</f>
        <v>0</v>
      </c>
      <c r="BC351" s="40">
        <f ca="1">IFERROR(__xludf.DUMMYFUNCTION("""COMPUTED_VALUE"""),10)</f>
        <v>10</v>
      </c>
      <c r="BD351" s="141">
        <f ca="1">IFERROR(__xludf.DUMMYFUNCTION("""COMPUTED_VALUE"""),44585)</f>
        <v>44585</v>
      </c>
      <c r="BE351" s="141">
        <f ca="1">IFERROR(__xludf.DUMMYFUNCTION("""COMPUTED_VALUE"""),44857)</f>
        <v>44857</v>
      </c>
      <c r="BF351" s="141">
        <f ca="1">IFERROR(__xludf.DUMMYFUNCTION("""COMPUTED_VALUE"""),45039)</f>
        <v>45039</v>
      </c>
      <c r="BG351" s="141">
        <f ca="1">IFERROR(__xludf.DUMMYFUNCTION("""COMPUTED_VALUE"""),45588)</f>
        <v>45588</v>
      </c>
      <c r="BH351" s="40" t="str">
        <f ca="1">IFERROR(__xludf.DUMMYFUNCTION("""COMPUTED_VALUE"""),"FICHA EN TIEMPO-18 MESES")</f>
        <v>FICHA EN TIEMPO-18 MESES</v>
      </c>
      <c r="BI351" s="40" t="str">
        <f ca="1">IFERROR(__xludf.DUMMYFUNCTION("""COMPUTED_VALUE"""),"En ejecucion")</f>
        <v>En ejecucion</v>
      </c>
      <c r="BJ351" s="40" t="str">
        <f ca="1">IFERROR(__xludf.DUMMYFUNCTION("""COMPUTED_VALUE"""),"Yamboro")</f>
        <v>Yamboro</v>
      </c>
      <c r="BK351" s="40"/>
      <c r="BL351" s="40"/>
    </row>
    <row r="352" spans="1:64" ht="13">
      <c r="A352" s="40"/>
      <c r="B352" s="40" t="str">
        <f ca="1">IFERROR(__xludf.DUMMYFUNCTION("""COMPUTED_VALUE"""),"FORMACIÓN 18/10/2022")</f>
        <v>FORMACIÓN 18/10/2022</v>
      </c>
      <c r="C352" s="40" t="str">
        <f ca="1">IFERROR(__xludf.DUMMYFUNCTION("""COMPUTED_VALUE"""),"SERGIO ALEJANDRO VALENCIANO ROJAS")</f>
        <v>SERGIO ALEJANDRO VALENCIANO ROJAS</v>
      </c>
      <c r="D352" s="40" t="str">
        <f ca="1">IFERROR(__xludf.DUMMYFUNCTION("""COMPUTED_VALUE"""),"CC")</f>
        <v>CC</v>
      </c>
      <c r="E352" s="40">
        <f ca="1">IFERROR(__xludf.DUMMYFUNCTION("""COMPUTED_VALUE"""),1084900947)</f>
        <v>1084900947</v>
      </c>
      <c r="F352" s="40">
        <f ca="1">IFERROR(__xludf.DUMMYFUNCTION("""COMPUTED_VALUE"""),2451011)</f>
        <v>2451011</v>
      </c>
      <c r="G352" s="40" t="str">
        <f ca="1">IFERROR(__xludf.DUMMYFUNCTION("""COMPUTED_VALUE"""),"TÉCNICO")</f>
        <v>TÉCNICO</v>
      </c>
      <c r="H352" s="40" t="str">
        <f ca="1">IFERROR(__xludf.DUMMYFUNCTION("""COMPUTED_VALUE"""),"INSTALACION DE SISTEMAS ELECTRICOS RESIDENCIALES Y COMERCIALES")</f>
        <v>INSTALACION DE SISTEMAS ELECTRICOS RESIDENCIALES Y COMERCIALES</v>
      </c>
      <c r="I352" s="40">
        <f ca="1">IFERROR(__xludf.DUMMYFUNCTION("""COMPUTED_VALUE"""),3103222486)</f>
        <v>3103222486</v>
      </c>
      <c r="J352" s="40" t="str">
        <f ca="1">IFERROR(__xludf.DUMMYFUNCTION("""COMPUTED_VALUE"""),"seravalenciano@misena.edu.co
")</f>
        <v xml:space="preserve">seravalenciano@misena.edu.co
</v>
      </c>
      <c r="K352" s="40"/>
      <c r="L352" s="40" t="str">
        <f ca="1">IFERROR(__xludf.DUMMYFUNCTION("""COMPUTED_VALUE"""),"PASANTÍAS")</f>
        <v>PASANTÍAS</v>
      </c>
      <c r="M352" s="40" t="str">
        <f ca="1">IFERROR(__xludf.DUMMYFUNCTION("""COMPUTED_VALUE"""),"CENTRO DE GESTIÓN Y DESARROLLO SOSTENIBLE COLOMBIANO SEDE YAMBORO - SENA")</f>
        <v>CENTRO DE GESTIÓN Y DESARROLLO SOSTENIBLE COLOMBIANO SEDE YAMBORO - SENA</v>
      </c>
      <c r="N352" s="40" t="str">
        <f ca="1">IFERROR(__xludf.DUMMYFUNCTION("""COMPUTED_VALUE"""),"AV.3  N° 20 SUR 21")</f>
        <v>AV.3  N° 20 SUR 21</v>
      </c>
      <c r="O352" s="40"/>
      <c r="P352" s="40" t="str">
        <f ca="1">IFERROR(__xludf.DUMMYFUNCTION("""COMPUTED_VALUE"""),"PITALITO")</f>
        <v>PITALITO</v>
      </c>
      <c r="Q352" s="40"/>
      <c r="R352" s="140">
        <f ca="1">IFERROR(__xludf.DUMMYFUNCTION("""COMPUTED_VALUE"""),44866)</f>
        <v>44866</v>
      </c>
      <c r="S352" s="140">
        <f ca="1">IFERROR(__xludf.DUMMYFUNCTION("""COMPUTED_VALUE"""),45047)</f>
        <v>45047</v>
      </c>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t="str">
        <f ca="1">IFERROR(__xludf.DUMMYFUNCTION("""COMPUTED_VALUE"""),"NO_CUMPLE")</f>
        <v>NO_CUMPLE</v>
      </c>
      <c r="AV352" s="40" t="str">
        <f ca="1">IFERROR(__xludf.DUMMYFUNCTION("""COMPUTED_VALUE"""),"EN FORMACION")</f>
        <v>EN FORMACION</v>
      </c>
      <c r="AW352" s="40" t="str">
        <f ca="1">IFERROR(__xludf.DUMMYFUNCTION("""COMPUTED_VALUE"""),"BIOCONSTRUCCION")</f>
        <v>BIOCONSTRUCCION</v>
      </c>
      <c r="AX352" s="141">
        <f ca="1">IFERROR(__xludf.DUMMYFUNCTION("""COMPUTED_VALUE"""),44839)</f>
        <v>44839</v>
      </c>
      <c r="AY352" s="40">
        <f ca="1">IFERROR(__xludf.DUMMYFUNCTION("""COMPUTED_VALUE"""),9)</f>
        <v>9</v>
      </c>
      <c r="AZ352" s="40">
        <f ca="1">IFERROR(__xludf.DUMMYFUNCTION("""COMPUTED_VALUE"""),1)</f>
        <v>1</v>
      </c>
      <c r="BA352" s="40">
        <f ca="1">IFERROR(__xludf.DUMMYFUNCTION("""COMPUTED_VALUE"""),0)</f>
        <v>0</v>
      </c>
      <c r="BB352" s="40">
        <f ca="1">IFERROR(__xludf.DUMMYFUNCTION("""COMPUTED_VALUE"""),0)</f>
        <v>0</v>
      </c>
      <c r="BC352" s="40">
        <f ca="1">IFERROR(__xludf.DUMMYFUNCTION("""COMPUTED_VALUE"""),10)</f>
        <v>10</v>
      </c>
      <c r="BD352" s="141">
        <f ca="1">IFERROR(__xludf.DUMMYFUNCTION("""COMPUTED_VALUE"""),44585)</f>
        <v>44585</v>
      </c>
      <c r="BE352" s="141">
        <f ca="1">IFERROR(__xludf.DUMMYFUNCTION("""COMPUTED_VALUE"""),44857)</f>
        <v>44857</v>
      </c>
      <c r="BF352" s="141">
        <f ca="1">IFERROR(__xludf.DUMMYFUNCTION("""COMPUTED_VALUE"""),45039)</f>
        <v>45039</v>
      </c>
      <c r="BG352" s="141">
        <f ca="1">IFERROR(__xludf.DUMMYFUNCTION("""COMPUTED_VALUE"""),45588)</f>
        <v>45588</v>
      </c>
      <c r="BH352" s="40" t="str">
        <f ca="1">IFERROR(__xludf.DUMMYFUNCTION("""COMPUTED_VALUE"""),"FICHA EN TIEMPO-18 MESES")</f>
        <v>FICHA EN TIEMPO-18 MESES</v>
      </c>
      <c r="BI352" s="40" t="str">
        <f ca="1">IFERROR(__xludf.DUMMYFUNCTION("""COMPUTED_VALUE"""),"En ejecucion")</f>
        <v>En ejecucion</v>
      </c>
      <c r="BJ352" s="40" t="str">
        <f ca="1">IFERROR(__xludf.DUMMYFUNCTION("""COMPUTED_VALUE"""),"Yamboro")</f>
        <v>Yamboro</v>
      </c>
      <c r="BK352" s="40"/>
      <c r="BL352" s="40"/>
    </row>
    <row r="353" spans="1:64" ht="13">
      <c r="A353" s="40"/>
      <c r="B353" s="40" t="str">
        <f ca="1">IFERROR(__xludf.DUMMYFUNCTION("""COMPUTED_VALUE"""),"FORMACIÓN 18/10/2022")</f>
        <v>FORMACIÓN 18/10/2022</v>
      </c>
      <c r="C353" s="40" t="str">
        <f ca="1">IFERROR(__xludf.DUMMYFUNCTION("""COMPUTED_VALUE"""),"ENEIS MANUEL AGUIRRE CALLE")</f>
        <v>ENEIS MANUEL AGUIRRE CALLE</v>
      </c>
      <c r="D353" s="40" t="str">
        <f ca="1">IFERROR(__xludf.DUMMYFUNCTION("""COMPUTED_VALUE"""),"CC")</f>
        <v>CC</v>
      </c>
      <c r="E353" s="40">
        <f ca="1">IFERROR(__xludf.DUMMYFUNCTION("""COMPUTED_VALUE"""),11105302)</f>
        <v>11105302</v>
      </c>
      <c r="F353" s="40">
        <f ca="1">IFERROR(__xludf.DUMMYFUNCTION("""COMPUTED_VALUE"""),2451011)</f>
        <v>2451011</v>
      </c>
      <c r="G353" s="40" t="str">
        <f ca="1">IFERROR(__xludf.DUMMYFUNCTION("""COMPUTED_VALUE"""),"TÉCNICO")</f>
        <v>TÉCNICO</v>
      </c>
      <c r="H353" s="40" t="str">
        <f ca="1">IFERROR(__xludf.DUMMYFUNCTION("""COMPUTED_VALUE"""),"INSTALACION DE SISTEMAS ELECTRICOS RESIDENCIALES Y COMERCIALES")</f>
        <v>INSTALACION DE SISTEMAS ELECTRICOS RESIDENCIALES Y COMERCIALES</v>
      </c>
      <c r="I353" s="40">
        <f ca="1">IFERROR(__xludf.DUMMYFUNCTION("""COMPUTED_VALUE"""),3208416885)</f>
        <v>3208416885</v>
      </c>
      <c r="J353" s="40" t="str">
        <f ca="1">IFERROR(__xludf.DUMMYFUNCTION("""COMPUTED_VALUE"""),"agcalle27@gmail.com
")</f>
        <v xml:space="preserve">agcalle27@gmail.com
</v>
      </c>
      <c r="K353" s="40"/>
      <c r="L353" s="40" t="str">
        <f ca="1">IFERROR(__xludf.DUMMYFUNCTION("""COMPUTED_VALUE"""),"PASANTÍAS")</f>
        <v>PASANTÍAS</v>
      </c>
      <c r="M353" s="40" t="str">
        <f ca="1">IFERROR(__xludf.DUMMYFUNCTION("""COMPUTED_VALUE"""),"CENTRO DE GESTIÓN Y DESARROLLO SOSTENIBLE COLOMBIANO SEDE YAMBORO - SENA")</f>
        <v>CENTRO DE GESTIÓN Y DESARROLLO SOSTENIBLE COLOMBIANO SEDE YAMBORO - SENA</v>
      </c>
      <c r="N353" s="40" t="str">
        <f ca="1">IFERROR(__xludf.DUMMYFUNCTION("""COMPUTED_VALUE"""),"AV.3  N° 20 SUR 21")</f>
        <v>AV.3  N° 20 SUR 21</v>
      </c>
      <c r="O353" s="40"/>
      <c r="P353" s="40" t="str">
        <f ca="1">IFERROR(__xludf.DUMMYFUNCTION("""COMPUTED_VALUE"""),"PITALITO")</f>
        <v>PITALITO</v>
      </c>
      <c r="Q353" s="40"/>
      <c r="R353" s="140">
        <f ca="1">IFERROR(__xludf.DUMMYFUNCTION("""COMPUTED_VALUE"""),44866)</f>
        <v>44866</v>
      </c>
      <c r="S353" s="140">
        <f ca="1">IFERROR(__xludf.DUMMYFUNCTION("""COMPUTED_VALUE"""),45047)</f>
        <v>45047</v>
      </c>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t="str">
        <f ca="1">IFERROR(__xludf.DUMMYFUNCTION("""COMPUTED_VALUE"""),"NO_CUMPLE")</f>
        <v>NO_CUMPLE</v>
      </c>
      <c r="AV353" s="40" t="str">
        <f ca="1">IFERROR(__xludf.DUMMYFUNCTION("""COMPUTED_VALUE"""),"EN FORMACION")</f>
        <v>EN FORMACION</v>
      </c>
      <c r="AW353" s="40" t="str">
        <f ca="1">IFERROR(__xludf.DUMMYFUNCTION("""COMPUTED_VALUE"""),"BIOCONSTRUCCION")</f>
        <v>BIOCONSTRUCCION</v>
      </c>
      <c r="AX353" s="141">
        <f ca="1">IFERROR(__xludf.DUMMYFUNCTION("""COMPUTED_VALUE"""),44839)</f>
        <v>44839</v>
      </c>
      <c r="AY353" s="40">
        <f ca="1">IFERROR(__xludf.DUMMYFUNCTION("""COMPUTED_VALUE"""),9)</f>
        <v>9</v>
      </c>
      <c r="AZ353" s="40">
        <f ca="1">IFERROR(__xludf.DUMMYFUNCTION("""COMPUTED_VALUE"""),1)</f>
        <v>1</v>
      </c>
      <c r="BA353" s="40">
        <f ca="1">IFERROR(__xludf.DUMMYFUNCTION("""COMPUTED_VALUE"""),0)</f>
        <v>0</v>
      </c>
      <c r="BB353" s="40">
        <f ca="1">IFERROR(__xludf.DUMMYFUNCTION("""COMPUTED_VALUE"""),0)</f>
        <v>0</v>
      </c>
      <c r="BC353" s="40">
        <f ca="1">IFERROR(__xludf.DUMMYFUNCTION("""COMPUTED_VALUE"""),10)</f>
        <v>10</v>
      </c>
      <c r="BD353" s="141">
        <f ca="1">IFERROR(__xludf.DUMMYFUNCTION("""COMPUTED_VALUE"""),44585)</f>
        <v>44585</v>
      </c>
      <c r="BE353" s="141">
        <f ca="1">IFERROR(__xludf.DUMMYFUNCTION("""COMPUTED_VALUE"""),44857)</f>
        <v>44857</v>
      </c>
      <c r="BF353" s="141">
        <f ca="1">IFERROR(__xludf.DUMMYFUNCTION("""COMPUTED_VALUE"""),45039)</f>
        <v>45039</v>
      </c>
      <c r="BG353" s="141">
        <f ca="1">IFERROR(__xludf.DUMMYFUNCTION("""COMPUTED_VALUE"""),45588)</f>
        <v>45588</v>
      </c>
      <c r="BH353" s="40" t="str">
        <f ca="1">IFERROR(__xludf.DUMMYFUNCTION("""COMPUTED_VALUE"""),"FICHA EN TIEMPO-18 MESES")</f>
        <v>FICHA EN TIEMPO-18 MESES</v>
      </c>
      <c r="BI353" s="40" t="str">
        <f ca="1">IFERROR(__xludf.DUMMYFUNCTION("""COMPUTED_VALUE"""),"En ejecucion")</f>
        <v>En ejecucion</v>
      </c>
      <c r="BJ353" s="40" t="str">
        <f ca="1">IFERROR(__xludf.DUMMYFUNCTION("""COMPUTED_VALUE"""),"Yamboro")</f>
        <v>Yamboro</v>
      </c>
      <c r="BK353" s="40"/>
      <c r="BL353" s="40"/>
    </row>
    <row r="354" spans="1:64" ht="13">
      <c r="A354" s="40"/>
      <c r="B354" s="40" t="str">
        <f ca="1">IFERROR(__xludf.DUMMYFUNCTION("""COMPUTED_VALUE"""),"FORMACIÓN 18/10/2022")</f>
        <v>FORMACIÓN 18/10/2022</v>
      </c>
      <c r="C354" s="40" t="str">
        <f ca="1">IFERROR(__xludf.DUMMYFUNCTION("""COMPUTED_VALUE"""),"JHON FAIBER OSORIO ALVAREZ")</f>
        <v>JHON FAIBER OSORIO ALVAREZ</v>
      </c>
      <c r="D354" s="40" t="str">
        <f ca="1">IFERROR(__xludf.DUMMYFUNCTION("""COMPUTED_VALUE"""),"CC")</f>
        <v>CC</v>
      </c>
      <c r="E354" s="40">
        <f ca="1">IFERROR(__xludf.DUMMYFUNCTION("""COMPUTED_VALUE"""),1193476840)</f>
        <v>1193476840</v>
      </c>
      <c r="F354" s="40">
        <f ca="1">IFERROR(__xludf.DUMMYFUNCTION("""COMPUTED_VALUE"""),2451011)</f>
        <v>2451011</v>
      </c>
      <c r="G354" s="40" t="str">
        <f ca="1">IFERROR(__xludf.DUMMYFUNCTION("""COMPUTED_VALUE"""),"TÉCNICO")</f>
        <v>TÉCNICO</v>
      </c>
      <c r="H354" s="40" t="str">
        <f ca="1">IFERROR(__xludf.DUMMYFUNCTION("""COMPUTED_VALUE"""),"INSTALACION DE SISTEMAS ELECTRICOS RESIDENCIALES Y COMERCIALES")</f>
        <v>INSTALACION DE SISTEMAS ELECTRICOS RESIDENCIALES Y COMERCIALES</v>
      </c>
      <c r="I354" s="40">
        <f ca="1">IFERROR(__xludf.DUMMYFUNCTION("""COMPUTED_VALUE"""),3227495870)</f>
        <v>3227495870</v>
      </c>
      <c r="J354" s="40" t="str">
        <f ca="1">IFERROR(__xludf.DUMMYFUNCTION("""COMPUTED_VALUE"""),"jhon3103236676@gmail.com")</f>
        <v>jhon3103236676@gmail.com</v>
      </c>
      <c r="K354" s="40" t="str">
        <f ca="1">IFERROR(__xludf.DUMMYFUNCTION("""COMPUTED_VALUE"""),"SAN JOSE DE ISNOS")</f>
        <v>SAN JOSE DE ISNOS</v>
      </c>
      <c r="L354" s="40" t="str">
        <f ca="1">IFERROR(__xludf.DUMMYFUNCTION("""COMPUTED_VALUE"""),"CONTRATO DE APRENDIZAJE")</f>
        <v>CONTRATO DE APRENDIZAJE</v>
      </c>
      <c r="M354" s="40" t="str">
        <f ca="1">IFERROR(__xludf.DUMMYFUNCTION("""COMPUTED_VALUE"""),"TESTLAB SAS")</f>
        <v>TESTLAB SAS</v>
      </c>
      <c r="N354" s="40" t="str">
        <f ca="1">IFERROR(__xludf.DUMMYFUNCTION("""COMPUTED_VALUE"""),"Carrera 68D No. 65A - 31 Piso 1")</f>
        <v>Carrera 68D No. 65A - 31 Piso 1</v>
      </c>
      <c r="O354" s="40">
        <f ca="1">IFERROR(__xludf.DUMMYFUNCTION("""COMPUTED_VALUE"""),3115031602)</f>
        <v>3115031602</v>
      </c>
      <c r="P354" s="40" t="str">
        <f ca="1">IFERROR(__xludf.DUMMYFUNCTION("""COMPUTED_VALUE"""),"BOGOTA D.C.")</f>
        <v>BOGOTA D.C.</v>
      </c>
      <c r="Q354" s="40" t="str">
        <f ca="1">IFERROR(__xludf.DUMMYFUNCTION("""COMPUTED_VALUE"""),"recursoshumanos.testlab@gmail.com")</f>
        <v>recursoshumanos.testlab@gmail.com</v>
      </c>
      <c r="R354" s="140">
        <f ca="1">IFERROR(__xludf.DUMMYFUNCTION("""COMPUTED_VALUE"""),44682)</f>
        <v>44682</v>
      </c>
      <c r="S354" s="140">
        <f ca="1">IFERROR(__xludf.DUMMYFUNCTION("""COMPUTED_VALUE"""),45039)</f>
        <v>45039</v>
      </c>
      <c r="T354" s="40"/>
      <c r="U354" s="40" t="str">
        <f ca="1">IFERROR(__xludf.DUMMYFUNCTION("""COMPUTED_VALUE"""),"POR ASIGNAR")</f>
        <v>POR ASIGNAR</v>
      </c>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t="str">
        <f ca="1">IFERROR(__xludf.DUMMYFUNCTION("""COMPUTED_VALUE"""),"NO_CUMPLE")</f>
        <v>NO_CUMPLE</v>
      </c>
      <c r="AV354" s="40" t="str">
        <f ca="1">IFERROR(__xludf.DUMMYFUNCTION("""COMPUTED_VALUE"""),"EN FORMACION")</f>
        <v>EN FORMACION</v>
      </c>
      <c r="AW354" s="40" t="str">
        <f ca="1">IFERROR(__xludf.DUMMYFUNCTION("""COMPUTED_VALUE"""),"BIOCONSTRUCCION")</f>
        <v>BIOCONSTRUCCION</v>
      </c>
      <c r="AX354" s="141">
        <f ca="1">IFERROR(__xludf.DUMMYFUNCTION("""COMPUTED_VALUE"""),44839)</f>
        <v>44839</v>
      </c>
      <c r="AY354" s="40">
        <f ca="1">IFERROR(__xludf.DUMMYFUNCTION("""COMPUTED_VALUE"""),9)</f>
        <v>9</v>
      </c>
      <c r="AZ354" s="40">
        <f ca="1">IFERROR(__xludf.DUMMYFUNCTION("""COMPUTED_VALUE"""),1)</f>
        <v>1</v>
      </c>
      <c r="BA354" s="40">
        <f ca="1">IFERROR(__xludf.DUMMYFUNCTION("""COMPUTED_VALUE"""),0)</f>
        <v>0</v>
      </c>
      <c r="BB354" s="40">
        <f ca="1">IFERROR(__xludf.DUMMYFUNCTION("""COMPUTED_VALUE"""),0)</f>
        <v>0</v>
      </c>
      <c r="BC354" s="40">
        <f ca="1">IFERROR(__xludf.DUMMYFUNCTION("""COMPUTED_VALUE"""),10)</f>
        <v>10</v>
      </c>
      <c r="BD354" s="141">
        <f ca="1">IFERROR(__xludf.DUMMYFUNCTION("""COMPUTED_VALUE"""),44585)</f>
        <v>44585</v>
      </c>
      <c r="BE354" s="141">
        <f ca="1">IFERROR(__xludf.DUMMYFUNCTION("""COMPUTED_VALUE"""),44857)</f>
        <v>44857</v>
      </c>
      <c r="BF354" s="141">
        <f ca="1">IFERROR(__xludf.DUMMYFUNCTION("""COMPUTED_VALUE"""),45039)</f>
        <v>45039</v>
      </c>
      <c r="BG354" s="141">
        <f ca="1">IFERROR(__xludf.DUMMYFUNCTION("""COMPUTED_VALUE"""),45588)</f>
        <v>45588</v>
      </c>
      <c r="BH354" s="40" t="str">
        <f ca="1">IFERROR(__xludf.DUMMYFUNCTION("""COMPUTED_VALUE"""),"FICHA EN TIEMPO-18 MESES")</f>
        <v>FICHA EN TIEMPO-18 MESES</v>
      </c>
      <c r="BI354" s="40" t="str">
        <f ca="1">IFERROR(__xludf.DUMMYFUNCTION("""COMPUTED_VALUE"""),"En ejecucion")</f>
        <v>En ejecucion</v>
      </c>
      <c r="BJ354" s="40" t="str">
        <f ca="1">IFERROR(__xludf.DUMMYFUNCTION("""COMPUTED_VALUE"""),"Yamboro")</f>
        <v>Yamboro</v>
      </c>
      <c r="BK354" s="40"/>
      <c r="BL354" s="40"/>
    </row>
    <row r="355" spans="1:64" ht="13">
      <c r="A355" s="40"/>
      <c r="B355" s="40" t="str">
        <f ca="1">IFERROR(__xludf.DUMMYFUNCTION("""COMPUTED_VALUE"""),"FORMACIÓN 18/10/2022")</f>
        <v>FORMACIÓN 18/10/2022</v>
      </c>
      <c r="C355" s="40" t="str">
        <f ca="1">IFERROR(__xludf.DUMMYFUNCTION("""COMPUTED_VALUE"""),"JAIRO ALONSO ALVARADO AVILA")</f>
        <v>JAIRO ALONSO ALVARADO AVILA</v>
      </c>
      <c r="D355" s="40" t="str">
        <f ca="1">IFERROR(__xludf.DUMMYFUNCTION("""COMPUTED_VALUE"""),"CC")</f>
        <v>CC</v>
      </c>
      <c r="E355" s="40">
        <f ca="1">IFERROR(__xludf.DUMMYFUNCTION("""COMPUTED_VALUE"""),4179870)</f>
        <v>4179870</v>
      </c>
      <c r="F355" s="40">
        <f ca="1">IFERROR(__xludf.DUMMYFUNCTION("""COMPUTED_VALUE"""),2451011)</f>
        <v>2451011</v>
      </c>
      <c r="G355" s="40" t="str">
        <f ca="1">IFERROR(__xludf.DUMMYFUNCTION("""COMPUTED_VALUE"""),"TÉCNICO")</f>
        <v>TÉCNICO</v>
      </c>
      <c r="H355" s="40" t="str">
        <f ca="1">IFERROR(__xludf.DUMMYFUNCTION("""COMPUTED_VALUE"""),"INSTALACION DE SISTEMAS ELECTRICOS RESIDENCIALES Y COMERCIALES")</f>
        <v>INSTALACION DE SISTEMAS ELECTRICOS RESIDENCIALES Y COMERCIALES</v>
      </c>
      <c r="I355" s="40">
        <f ca="1">IFERROR(__xludf.DUMMYFUNCTION("""COMPUTED_VALUE"""),3222706075)</f>
        <v>3222706075</v>
      </c>
      <c r="J355" s="40" t="str">
        <f ca="1">IFERROR(__xludf.DUMMYFUNCTION("""COMPUTED_VALUE"""),"jaalvarado0789@misena.edu.co
")</f>
        <v xml:space="preserve">jaalvarado0789@misena.edu.co
</v>
      </c>
      <c r="K355" s="40"/>
      <c r="L355" s="40" t="str">
        <f ca="1">IFERROR(__xludf.DUMMYFUNCTION("""COMPUTED_VALUE"""),"PASANTÍAS")</f>
        <v>PASANTÍAS</v>
      </c>
      <c r="M355" s="40" t="str">
        <f ca="1">IFERROR(__xludf.DUMMYFUNCTION("""COMPUTED_VALUE"""),"CENTRO DE GESTIÓN Y DESARROLLO SOSTENIBLE COLOMBIANO SEDE YAMBORO - SENA")</f>
        <v>CENTRO DE GESTIÓN Y DESARROLLO SOSTENIBLE COLOMBIANO SEDE YAMBORO - SENA</v>
      </c>
      <c r="N355" s="40" t="str">
        <f ca="1">IFERROR(__xludf.DUMMYFUNCTION("""COMPUTED_VALUE"""),"AV.3  N° 20 SUR 21")</f>
        <v>AV.3  N° 20 SUR 21</v>
      </c>
      <c r="O355" s="40"/>
      <c r="P355" s="40" t="str">
        <f ca="1">IFERROR(__xludf.DUMMYFUNCTION("""COMPUTED_VALUE"""),"PITALITO")</f>
        <v>PITALITO</v>
      </c>
      <c r="Q355" s="40"/>
      <c r="R355" s="140">
        <f ca="1">IFERROR(__xludf.DUMMYFUNCTION("""COMPUTED_VALUE"""),44866)</f>
        <v>44866</v>
      </c>
      <c r="S355" s="140">
        <f ca="1">IFERROR(__xludf.DUMMYFUNCTION("""COMPUTED_VALUE"""),45047)</f>
        <v>45047</v>
      </c>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t="str">
        <f ca="1">IFERROR(__xludf.DUMMYFUNCTION("""COMPUTED_VALUE"""),"NO_CUMPLE")</f>
        <v>NO_CUMPLE</v>
      </c>
      <c r="AV355" s="40" t="str">
        <f ca="1">IFERROR(__xludf.DUMMYFUNCTION("""COMPUTED_VALUE"""),"EN FORMACION")</f>
        <v>EN FORMACION</v>
      </c>
      <c r="AW355" s="40" t="str">
        <f ca="1">IFERROR(__xludf.DUMMYFUNCTION("""COMPUTED_VALUE"""),"BIOCONSTRUCCION")</f>
        <v>BIOCONSTRUCCION</v>
      </c>
      <c r="AX355" s="141">
        <f ca="1">IFERROR(__xludf.DUMMYFUNCTION("""COMPUTED_VALUE"""),44839)</f>
        <v>44839</v>
      </c>
      <c r="AY355" s="40">
        <f ca="1">IFERROR(__xludf.DUMMYFUNCTION("""COMPUTED_VALUE"""),9)</f>
        <v>9</v>
      </c>
      <c r="AZ355" s="40">
        <f ca="1">IFERROR(__xludf.DUMMYFUNCTION("""COMPUTED_VALUE"""),1)</f>
        <v>1</v>
      </c>
      <c r="BA355" s="40">
        <f ca="1">IFERROR(__xludf.DUMMYFUNCTION("""COMPUTED_VALUE"""),0)</f>
        <v>0</v>
      </c>
      <c r="BB355" s="40">
        <f ca="1">IFERROR(__xludf.DUMMYFUNCTION("""COMPUTED_VALUE"""),0)</f>
        <v>0</v>
      </c>
      <c r="BC355" s="40">
        <f ca="1">IFERROR(__xludf.DUMMYFUNCTION("""COMPUTED_VALUE"""),10)</f>
        <v>10</v>
      </c>
      <c r="BD355" s="141">
        <f ca="1">IFERROR(__xludf.DUMMYFUNCTION("""COMPUTED_VALUE"""),44585)</f>
        <v>44585</v>
      </c>
      <c r="BE355" s="141">
        <f ca="1">IFERROR(__xludf.DUMMYFUNCTION("""COMPUTED_VALUE"""),44857)</f>
        <v>44857</v>
      </c>
      <c r="BF355" s="141">
        <f ca="1">IFERROR(__xludf.DUMMYFUNCTION("""COMPUTED_VALUE"""),45039)</f>
        <v>45039</v>
      </c>
      <c r="BG355" s="141">
        <f ca="1">IFERROR(__xludf.DUMMYFUNCTION("""COMPUTED_VALUE"""),45588)</f>
        <v>45588</v>
      </c>
      <c r="BH355" s="40" t="str">
        <f ca="1">IFERROR(__xludf.DUMMYFUNCTION("""COMPUTED_VALUE"""),"FICHA EN TIEMPO-18 MESES")</f>
        <v>FICHA EN TIEMPO-18 MESES</v>
      </c>
      <c r="BI355" s="40" t="str">
        <f ca="1">IFERROR(__xludf.DUMMYFUNCTION("""COMPUTED_VALUE"""),"En ejecucion")</f>
        <v>En ejecucion</v>
      </c>
      <c r="BJ355" s="40" t="str">
        <f ca="1">IFERROR(__xludf.DUMMYFUNCTION("""COMPUTED_VALUE"""),"Yamboro")</f>
        <v>Yamboro</v>
      </c>
      <c r="BK355" s="40"/>
      <c r="BL355" s="40"/>
    </row>
    <row r="356" spans="1:64" ht="13">
      <c r="A356" s="40"/>
      <c r="B356" s="40" t="str">
        <f ca="1">IFERROR(__xludf.DUMMYFUNCTION("""COMPUTED_VALUE"""),"FORMACIÓN 18/10/2022")</f>
        <v>FORMACIÓN 18/10/2022</v>
      </c>
      <c r="C356" s="40" t="str">
        <f ca="1">IFERROR(__xludf.DUMMYFUNCTION("""COMPUTED_VALUE"""),"GABRIEL JAIME QUINTERO RIVERA")</f>
        <v>GABRIEL JAIME QUINTERO RIVERA</v>
      </c>
      <c r="D356" s="40" t="str">
        <f ca="1">IFERROR(__xludf.DUMMYFUNCTION("""COMPUTED_VALUE"""),"CC")</f>
        <v>CC</v>
      </c>
      <c r="E356" s="40">
        <f ca="1">IFERROR(__xludf.DUMMYFUNCTION("""COMPUTED_VALUE"""),8127163)</f>
        <v>8127163</v>
      </c>
      <c r="F356" s="40">
        <f ca="1">IFERROR(__xludf.DUMMYFUNCTION("""COMPUTED_VALUE"""),2451011)</f>
        <v>2451011</v>
      </c>
      <c r="G356" s="40" t="str">
        <f ca="1">IFERROR(__xludf.DUMMYFUNCTION("""COMPUTED_VALUE"""),"TÉCNICO")</f>
        <v>TÉCNICO</v>
      </c>
      <c r="H356" s="40" t="str">
        <f ca="1">IFERROR(__xludf.DUMMYFUNCTION("""COMPUTED_VALUE"""),"INSTALACION DE SISTEMAS ELECTRICOS RESIDENCIALES Y COMERCIALES")</f>
        <v>INSTALACION DE SISTEMAS ELECTRICOS RESIDENCIALES Y COMERCIALES</v>
      </c>
      <c r="I356" s="40">
        <f ca="1">IFERROR(__xludf.DUMMYFUNCTION("""COMPUTED_VALUE"""),3103263046)</f>
        <v>3103263046</v>
      </c>
      <c r="J356" s="40" t="str">
        <f ca="1">IFERROR(__xludf.DUMMYFUNCTION("""COMPUTED_VALUE"""),"gabriel.quintero17@misea.edu.co
")</f>
        <v xml:space="preserve">gabriel.quintero17@misea.edu.co
</v>
      </c>
      <c r="K356" s="40"/>
      <c r="L356" s="40" t="str">
        <f ca="1">IFERROR(__xludf.DUMMYFUNCTION("""COMPUTED_VALUE"""),"PASANTÍAS")</f>
        <v>PASANTÍAS</v>
      </c>
      <c r="M356" s="40" t="str">
        <f ca="1">IFERROR(__xludf.DUMMYFUNCTION("""COMPUTED_VALUE"""),"CENTRO DE GESTIÓN Y DESARROLLO SOSTENIBLE COLOMBIANO SEDE YAMBORO - SENA")</f>
        <v>CENTRO DE GESTIÓN Y DESARROLLO SOSTENIBLE COLOMBIANO SEDE YAMBORO - SENA</v>
      </c>
      <c r="N356" s="40" t="str">
        <f ca="1">IFERROR(__xludf.DUMMYFUNCTION("""COMPUTED_VALUE"""),"AV.3  N° 20 SUR 21")</f>
        <v>AV.3  N° 20 SUR 21</v>
      </c>
      <c r="O356" s="40"/>
      <c r="P356" s="40" t="str">
        <f ca="1">IFERROR(__xludf.DUMMYFUNCTION("""COMPUTED_VALUE"""),"PITALITO")</f>
        <v>PITALITO</v>
      </c>
      <c r="Q356" s="40"/>
      <c r="R356" s="140">
        <f ca="1">IFERROR(__xludf.DUMMYFUNCTION("""COMPUTED_VALUE"""),44866)</f>
        <v>44866</v>
      </c>
      <c r="S356" s="140">
        <f ca="1">IFERROR(__xludf.DUMMYFUNCTION("""COMPUTED_VALUE"""),45047)</f>
        <v>45047</v>
      </c>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t="str">
        <f ca="1">IFERROR(__xludf.DUMMYFUNCTION("""COMPUTED_VALUE"""),"NO_CUMPLE")</f>
        <v>NO_CUMPLE</v>
      </c>
      <c r="AV356" s="40" t="str">
        <f ca="1">IFERROR(__xludf.DUMMYFUNCTION("""COMPUTED_VALUE"""),"EN FORMACION")</f>
        <v>EN FORMACION</v>
      </c>
      <c r="AW356" s="40" t="str">
        <f ca="1">IFERROR(__xludf.DUMMYFUNCTION("""COMPUTED_VALUE"""),"BIOCONSTRUCCION")</f>
        <v>BIOCONSTRUCCION</v>
      </c>
      <c r="AX356" s="141">
        <f ca="1">IFERROR(__xludf.DUMMYFUNCTION("""COMPUTED_VALUE"""),44839)</f>
        <v>44839</v>
      </c>
      <c r="AY356" s="40">
        <f ca="1">IFERROR(__xludf.DUMMYFUNCTION("""COMPUTED_VALUE"""),9)</f>
        <v>9</v>
      </c>
      <c r="AZ356" s="40">
        <f ca="1">IFERROR(__xludf.DUMMYFUNCTION("""COMPUTED_VALUE"""),1)</f>
        <v>1</v>
      </c>
      <c r="BA356" s="40">
        <f ca="1">IFERROR(__xludf.DUMMYFUNCTION("""COMPUTED_VALUE"""),0)</f>
        <v>0</v>
      </c>
      <c r="BB356" s="40">
        <f ca="1">IFERROR(__xludf.DUMMYFUNCTION("""COMPUTED_VALUE"""),0)</f>
        <v>0</v>
      </c>
      <c r="BC356" s="40">
        <f ca="1">IFERROR(__xludf.DUMMYFUNCTION("""COMPUTED_VALUE"""),10)</f>
        <v>10</v>
      </c>
      <c r="BD356" s="141">
        <f ca="1">IFERROR(__xludf.DUMMYFUNCTION("""COMPUTED_VALUE"""),44585)</f>
        <v>44585</v>
      </c>
      <c r="BE356" s="141">
        <f ca="1">IFERROR(__xludf.DUMMYFUNCTION("""COMPUTED_VALUE"""),44857)</f>
        <v>44857</v>
      </c>
      <c r="BF356" s="141">
        <f ca="1">IFERROR(__xludf.DUMMYFUNCTION("""COMPUTED_VALUE"""),45039)</f>
        <v>45039</v>
      </c>
      <c r="BG356" s="141">
        <f ca="1">IFERROR(__xludf.DUMMYFUNCTION("""COMPUTED_VALUE"""),45588)</f>
        <v>45588</v>
      </c>
      <c r="BH356" s="40" t="str">
        <f ca="1">IFERROR(__xludf.DUMMYFUNCTION("""COMPUTED_VALUE"""),"FICHA EN TIEMPO-18 MESES")</f>
        <v>FICHA EN TIEMPO-18 MESES</v>
      </c>
      <c r="BI356" s="40" t="str">
        <f ca="1">IFERROR(__xludf.DUMMYFUNCTION("""COMPUTED_VALUE"""),"En ejecucion")</f>
        <v>En ejecucion</v>
      </c>
      <c r="BJ356" s="40" t="str">
        <f ca="1">IFERROR(__xludf.DUMMYFUNCTION("""COMPUTED_VALUE"""),"Yamboro")</f>
        <v>Yamboro</v>
      </c>
      <c r="BK356" s="40"/>
      <c r="BL356" s="40"/>
    </row>
    <row r="357" spans="1:64" ht="13">
      <c r="A357" s="40"/>
      <c r="B357" s="40" t="str">
        <f ca="1">IFERROR(__xludf.DUMMYFUNCTION("""COMPUTED_VALUE"""),"FORMACIÓN 18/10/2022")</f>
        <v>FORMACIÓN 18/10/2022</v>
      </c>
      <c r="C357" s="40" t="str">
        <f ca="1">IFERROR(__xludf.DUMMYFUNCTION("""COMPUTED_VALUE"""),"FRESNEY ÑAÑEZ HIDALGO")</f>
        <v>FRESNEY ÑAÑEZ HIDALGO</v>
      </c>
      <c r="D357" s="40" t="str">
        <f ca="1">IFERROR(__xludf.DUMMYFUNCTION("""COMPUTED_VALUE"""),"CC")</f>
        <v>CC</v>
      </c>
      <c r="E357" s="40">
        <f ca="1">IFERROR(__xludf.DUMMYFUNCTION("""COMPUTED_VALUE"""),83043263)</f>
        <v>83043263</v>
      </c>
      <c r="F357" s="40">
        <f ca="1">IFERROR(__xludf.DUMMYFUNCTION("""COMPUTED_VALUE"""),2451011)</f>
        <v>2451011</v>
      </c>
      <c r="G357" s="40" t="str">
        <f ca="1">IFERROR(__xludf.DUMMYFUNCTION("""COMPUTED_VALUE"""),"TÉCNICO")</f>
        <v>TÉCNICO</v>
      </c>
      <c r="H357" s="40" t="str">
        <f ca="1">IFERROR(__xludf.DUMMYFUNCTION("""COMPUTED_VALUE"""),"INSTALACION DE SISTEMAS ELECTRICOS RESIDENCIALES Y COMERCIALES")</f>
        <v>INSTALACION DE SISTEMAS ELECTRICOS RESIDENCIALES Y COMERCIALES</v>
      </c>
      <c r="I357" s="40">
        <f ca="1">IFERROR(__xludf.DUMMYFUNCTION("""COMPUTED_VALUE"""),3222183329)</f>
        <v>3222183329</v>
      </c>
      <c r="J357" s="40" t="str">
        <f ca="1">IFERROR(__xludf.DUMMYFUNCTION("""COMPUTED_VALUE"""),"freaez@misena.edu.co")</f>
        <v>freaez@misena.edu.co</v>
      </c>
      <c r="K357" s="40"/>
      <c r="L357" s="40" t="str">
        <f ca="1">IFERROR(__xludf.DUMMYFUNCTION("""COMPUTED_VALUE"""),"PASANTÍAS")</f>
        <v>PASANTÍAS</v>
      </c>
      <c r="M357" s="40" t="str">
        <f ca="1">IFERROR(__xludf.DUMMYFUNCTION("""COMPUTED_VALUE"""),"CENTRO DE GESTIÓN Y DESARROLLO SOSTENIBLE COLOMBIANO SEDE YAMBORO - SENA")</f>
        <v>CENTRO DE GESTIÓN Y DESARROLLO SOSTENIBLE COLOMBIANO SEDE YAMBORO - SENA</v>
      </c>
      <c r="N357" s="40" t="str">
        <f ca="1">IFERROR(__xludf.DUMMYFUNCTION("""COMPUTED_VALUE"""),"AV.3  N° 20 SUR 21")</f>
        <v>AV.3  N° 20 SUR 21</v>
      </c>
      <c r="O357" s="40"/>
      <c r="P357" s="40" t="str">
        <f ca="1">IFERROR(__xludf.DUMMYFUNCTION("""COMPUTED_VALUE"""),"PITALITO")</f>
        <v>PITALITO</v>
      </c>
      <c r="Q357" s="40"/>
      <c r="R357" s="140">
        <f ca="1">IFERROR(__xludf.DUMMYFUNCTION("""COMPUTED_VALUE"""),44866)</f>
        <v>44866</v>
      </c>
      <c r="S357" s="140">
        <f ca="1">IFERROR(__xludf.DUMMYFUNCTION("""COMPUTED_VALUE"""),45047)</f>
        <v>45047</v>
      </c>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t="str">
        <f ca="1">IFERROR(__xludf.DUMMYFUNCTION("""COMPUTED_VALUE"""),"NO_CUMPLE")</f>
        <v>NO_CUMPLE</v>
      </c>
      <c r="AV357" s="40" t="str">
        <f ca="1">IFERROR(__xludf.DUMMYFUNCTION("""COMPUTED_VALUE"""),"EN FORMACION")</f>
        <v>EN FORMACION</v>
      </c>
      <c r="AW357" s="40" t="str">
        <f ca="1">IFERROR(__xludf.DUMMYFUNCTION("""COMPUTED_VALUE"""),"BIOCONSTRUCCION")</f>
        <v>BIOCONSTRUCCION</v>
      </c>
      <c r="AX357" s="141">
        <f ca="1">IFERROR(__xludf.DUMMYFUNCTION("""COMPUTED_VALUE"""),44839)</f>
        <v>44839</v>
      </c>
      <c r="AY357" s="40">
        <f ca="1">IFERROR(__xludf.DUMMYFUNCTION("""COMPUTED_VALUE"""),13)</f>
        <v>13</v>
      </c>
      <c r="AZ357" s="40">
        <f ca="1">IFERROR(__xludf.DUMMYFUNCTION("""COMPUTED_VALUE"""),1)</f>
        <v>1</v>
      </c>
      <c r="BA357" s="40">
        <f ca="1">IFERROR(__xludf.DUMMYFUNCTION("""COMPUTED_VALUE"""),0)</f>
        <v>0</v>
      </c>
      <c r="BB357" s="40">
        <f ca="1">IFERROR(__xludf.DUMMYFUNCTION("""COMPUTED_VALUE"""),0)</f>
        <v>0</v>
      </c>
      <c r="BC357" s="40">
        <f ca="1">IFERROR(__xludf.DUMMYFUNCTION("""COMPUTED_VALUE"""),14)</f>
        <v>14</v>
      </c>
      <c r="BD357" s="141">
        <f ca="1">IFERROR(__xludf.DUMMYFUNCTION("""COMPUTED_VALUE"""),44585)</f>
        <v>44585</v>
      </c>
      <c r="BE357" s="141">
        <f ca="1">IFERROR(__xludf.DUMMYFUNCTION("""COMPUTED_VALUE"""),44857)</f>
        <v>44857</v>
      </c>
      <c r="BF357" s="141">
        <f ca="1">IFERROR(__xludf.DUMMYFUNCTION("""COMPUTED_VALUE"""),45039)</f>
        <v>45039</v>
      </c>
      <c r="BG357" s="141">
        <f ca="1">IFERROR(__xludf.DUMMYFUNCTION("""COMPUTED_VALUE"""),45588)</f>
        <v>45588</v>
      </c>
      <c r="BH357" s="40" t="str">
        <f ca="1">IFERROR(__xludf.DUMMYFUNCTION("""COMPUTED_VALUE"""),"FICHA EN TIEMPO-18 MESES")</f>
        <v>FICHA EN TIEMPO-18 MESES</v>
      </c>
      <c r="BI357" s="40" t="str">
        <f ca="1">IFERROR(__xludf.DUMMYFUNCTION("""COMPUTED_VALUE"""),"En ejecucion")</f>
        <v>En ejecucion</v>
      </c>
      <c r="BJ357" s="40" t="str">
        <f ca="1">IFERROR(__xludf.DUMMYFUNCTION("""COMPUTED_VALUE"""),"Yamboro")</f>
        <v>Yamboro</v>
      </c>
      <c r="BK357" s="40"/>
      <c r="BL357" s="40"/>
    </row>
    <row r="358" spans="1:64" ht="13">
      <c r="A358" s="40"/>
      <c r="B358" s="40" t="str">
        <f ca="1">IFERROR(__xludf.DUMMYFUNCTION("""COMPUTED_VALUE"""),"FORMACIÓN 18/10/2022")</f>
        <v>FORMACIÓN 18/10/2022</v>
      </c>
      <c r="C358" s="40" t="str">
        <f ca="1">IFERROR(__xludf.DUMMYFUNCTION("""COMPUTED_VALUE"""),"LIBARDO ANACONA GOMEZ")</f>
        <v>LIBARDO ANACONA GOMEZ</v>
      </c>
      <c r="D358" s="40" t="str">
        <f ca="1">IFERROR(__xludf.DUMMYFUNCTION("""COMPUTED_VALUE"""),"CC")</f>
        <v>CC</v>
      </c>
      <c r="E358" s="40">
        <f ca="1">IFERROR(__xludf.DUMMYFUNCTION("""COMPUTED_VALUE"""),83043585)</f>
        <v>83043585</v>
      </c>
      <c r="F358" s="40">
        <f ca="1">IFERROR(__xludf.DUMMYFUNCTION("""COMPUTED_VALUE"""),2451011)</f>
        <v>2451011</v>
      </c>
      <c r="G358" s="40" t="str">
        <f ca="1">IFERROR(__xludf.DUMMYFUNCTION("""COMPUTED_VALUE"""),"TÉCNICO")</f>
        <v>TÉCNICO</v>
      </c>
      <c r="H358" s="40" t="str">
        <f ca="1">IFERROR(__xludf.DUMMYFUNCTION("""COMPUTED_VALUE"""),"INSTALACION DE SISTEMAS ELECTRICOS RESIDENCIALES Y COMERCIALES")</f>
        <v>INSTALACION DE SISTEMAS ELECTRICOS RESIDENCIALES Y COMERCIALES</v>
      </c>
      <c r="I358" s="40"/>
      <c r="J358" s="40"/>
      <c r="K358" s="40"/>
      <c r="L358" s="40" t="str">
        <f ca="1">IFERROR(__xludf.DUMMYFUNCTION("""COMPUTED_VALUE"""),"NO HA INICIADO ETAPA PRODUCTIVA")</f>
        <v>NO HA INICIADO ETAPA PRODUCTIVA</v>
      </c>
      <c r="M358" s="40"/>
      <c r="N358" s="40"/>
      <c r="O358" s="40"/>
      <c r="P358" s="40"/>
      <c r="Q358" s="40"/>
      <c r="R358" s="140"/>
      <c r="S358" s="140"/>
      <c r="T358" s="40" t="str">
        <f ca="1">IFERROR(__xludf.DUMMYFUNCTION("""COMPUTED_VALUE"""),"debe 50 resultados... Revisado 15/11/2022")</f>
        <v>debe 50 resultados... Revisado 15/11/2022</v>
      </c>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t="str">
        <f ca="1">IFERROR(__xludf.DUMMYFUNCTION("""COMPUTED_VALUE"""),"NO_CUMPLE")</f>
        <v>NO_CUMPLE</v>
      </c>
      <c r="AV358" s="40" t="str">
        <f ca="1">IFERROR(__xludf.DUMMYFUNCTION("""COMPUTED_VALUE"""),"EN FORMACION")</f>
        <v>EN FORMACION</v>
      </c>
      <c r="AW358" s="40" t="str">
        <f ca="1">IFERROR(__xludf.DUMMYFUNCTION("""COMPUTED_VALUE"""),"BIOCONSTRUCCION")</f>
        <v>BIOCONSTRUCCION</v>
      </c>
      <c r="AX358" s="141">
        <f ca="1">IFERROR(__xludf.DUMMYFUNCTION("""COMPUTED_VALUE"""),44839)</f>
        <v>44839</v>
      </c>
      <c r="AY358" s="40">
        <f ca="1">IFERROR(__xludf.DUMMYFUNCTION("""COMPUTED_VALUE"""),26)</f>
        <v>26</v>
      </c>
      <c r="AZ358" s="40">
        <f ca="1">IFERROR(__xludf.DUMMYFUNCTION("""COMPUTED_VALUE"""),1)</f>
        <v>1</v>
      </c>
      <c r="BA358" s="40">
        <f ca="1">IFERROR(__xludf.DUMMYFUNCTION("""COMPUTED_VALUE"""),6)</f>
        <v>6</v>
      </c>
      <c r="BB358" s="40">
        <f ca="1">IFERROR(__xludf.DUMMYFUNCTION("""COMPUTED_VALUE"""),18)</f>
        <v>18</v>
      </c>
      <c r="BC358" s="40">
        <f ca="1">IFERROR(__xludf.DUMMYFUNCTION("""COMPUTED_VALUE"""),51)</f>
        <v>51</v>
      </c>
      <c r="BD358" s="141">
        <f ca="1">IFERROR(__xludf.DUMMYFUNCTION("""COMPUTED_VALUE"""),44585)</f>
        <v>44585</v>
      </c>
      <c r="BE358" s="141">
        <f ca="1">IFERROR(__xludf.DUMMYFUNCTION("""COMPUTED_VALUE"""),44857)</f>
        <v>44857</v>
      </c>
      <c r="BF358" s="141">
        <f ca="1">IFERROR(__xludf.DUMMYFUNCTION("""COMPUTED_VALUE"""),45039)</f>
        <v>45039</v>
      </c>
      <c r="BG358" s="141">
        <f ca="1">IFERROR(__xludf.DUMMYFUNCTION("""COMPUTED_VALUE"""),45588)</f>
        <v>45588</v>
      </c>
      <c r="BH358" s="40" t="str">
        <f ca="1">IFERROR(__xludf.DUMMYFUNCTION("""COMPUTED_VALUE"""),"FICHA EN TIEMPO-18 MESES")</f>
        <v>FICHA EN TIEMPO-18 MESES</v>
      </c>
      <c r="BI358" s="40" t="str">
        <f ca="1">IFERROR(__xludf.DUMMYFUNCTION("""COMPUTED_VALUE"""),"En ejecucion")</f>
        <v>En ejecucion</v>
      </c>
      <c r="BJ358" s="40" t="str">
        <f ca="1">IFERROR(__xludf.DUMMYFUNCTION("""COMPUTED_VALUE"""),"Yamboro")</f>
        <v>Yamboro</v>
      </c>
      <c r="BK358" s="40"/>
      <c r="BL358" s="40"/>
    </row>
    <row r="359" spans="1:64" ht="13">
      <c r="A359" s="40"/>
      <c r="B359" s="40" t="str">
        <f ca="1">IFERROR(__xludf.DUMMYFUNCTION("""COMPUTED_VALUE"""),"FORMACIÓN 18/10/2022")</f>
        <v>FORMACIÓN 18/10/2022</v>
      </c>
      <c r="C359" s="40" t="str">
        <f ca="1">IFERROR(__xludf.DUMMYFUNCTION("""COMPUTED_VALUE"""),"LUCAS ARIEL ORTEGA CALDERON")</f>
        <v>LUCAS ARIEL ORTEGA CALDERON</v>
      </c>
      <c r="D359" s="40" t="str">
        <f ca="1">IFERROR(__xludf.DUMMYFUNCTION("""COMPUTED_VALUE"""),"CC")</f>
        <v>CC</v>
      </c>
      <c r="E359" s="40">
        <f ca="1">IFERROR(__xludf.DUMMYFUNCTION("""COMPUTED_VALUE"""),83044206)</f>
        <v>83044206</v>
      </c>
      <c r="F359" s="40">
        <f ca="1">IFERROR(__xludf.DUMMYFUNCTION("""COMPUTED_VALUE"""),2451011)</f>
        <v>2451011</v>
      </c>
      <c r="G359" s="40" t="str">
        <f ca="1">IFERROR(__xludf.DUMMYFUNCTION("""COMPUTED_VALUE"""),"TÉCNICO")</f>
        <v>TÉCNICO</v>
      </c>
      <c r="H359" s="40" t="str">
        <f ca="1">IFERROR(__xludf.DUMMYFUNCTION("""COMPUTED_VALUE"""),"INSTALACION DE SISTEMAS ELECTRICOS RESIDENCIALES Y COMERCIALES")</f>
        <v>INSTALACION DE SISTEMAS ELECTRICOS RESIDENCIALES Y COMERCIALES</v>
      </c>
      <c r="I359" s="40">
        <f ca="1">IFERROR(__xludf.DUMMYFUNCTION("""COMPUTED_VALUE"""),3225200541)</f>
        <v>3225200541</v>
      </c>
      <c r="J359" s="40" t="str">
        <f ca="1">IFERROR(__xludf.DUMMYFUNCTION("""COMPUTED_VALUE"""),"laortega6024@misena.edu.co
")</f>
        <v xml:space="preserve">laortega6024@misena.edu.co
</v>
      </c>
      <c r="K359" s="40"/>
      <c r="L359" s="40" t="str">
        <f ca="1">IFERROR(__xludf.DUMMYFUNCTION("""COMPUTED_VALUE"""),"PASANTÍAS")</f>
        <v>PASANTÍAS</v>
      </c>
      <c r="M359" s="40" t="str">
        <f ca="1">IFERROR(__xludf.DUMMYFUNCTION("""COMPUTED_VALUE"""),"CENTRO DE GESTIÓN Y DESARROLLO SOSTENIBLE COLOMBIANO SEDE YAMBORO - SENA")</f>
        <v>CENTRO DE GESTIÓN Y DESARROLLO SOSTENIBLE COLOMBIANO SEDE YAMBORO - SENA</v>
      </c>
      <c r="N359" s="40" t="str">
        <f ca="1">IFERROR(__xludf.DUMMYFUNCTION("""COMPUTED_VALUE"""),"AV.3  N° 20 SUR 21")</f>
        <v>AV.3  N° 20 SUR 21</v>
      </c>
      <c r="O359" s="40"/>
      <c r="P359" s="40" t="str">
        <f ca="1">IFERROR(__xludf.DUMMYFUNCTION("""COMPUTED_VALUE"""),"PITALITO")</f>
        <v>PITALITO</v>
      </c>
      <c r="Q359" s="40"/>
      <c r="R359" s="140">
        <f ca="1">IFERROR(__xludf.DUMMYFUNCTION("""COMPUTED_VALUE"""),44866)</f>
        <v>44866</v>
      </c>
      <c r="S359" s="140">
        <f ca="1">IFERROR(__xludf.DUMMYFUNCTION("""COMPUTED_VALUE"""),45047)</f>
        <v>45047</v>
      </c>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t="str">
        <f ca="1">IFERROR(__xludf.DUMMYFUNCTION("""COMPUTED_VALUE"""),"NO_CUMPLE")</f>
        <v>NO_CUMPLE</v>
      </c>
      <c r="AV359" s="40" t="str">
        <f ca="1">IFERROR(__xludf.DUMMYFUNCTION("""COMPUTED_VALUE"""),"EN FORMACION")</f>
        <v>EN FORMACION</v>
      </c>
      <c r="AW359" s="40" t="str">
        <f ca="1">IFERROR(__xludf.DUMMYFUNCTION("""COMPUTED_VALUE"""),"BIOCONSTRUCCION")</f>
        <v>BIOCONSTRUCCION</v>
      </c>
      <c r="AX359" s="141">
        <f ca="1">IFERROR(__xludf.DUMMYFUNCTION("""COMPUTED_VALUE"""),44839)</f>
        <v>44839</v>
      </c>
      <c r="AY359" s="40">
        <f ca="1">IFERROR(__xludf.DUMMYFUNCTION("""COMPUTED_VALUE"""),9)</f>
        <v>9</v>
      </c>
      <c r="AZ359" s="40">
        <f ca="1">IFERROR(__xludf.DUMMYFUNCTION("""COMPUTED_VALUE"""),1)</f>
        <v>1</v>
      </c>
      <c r="BA359" s="40">
        <f ca="1">IFERROR(__xludf.DUMMYFUNCTION("""COMPUTED_VALUE"""),0)</f>
        <v>0</v>
      </c>
      <c r="BB359" s="40">
        <f ca="1">IFERROR(__xludf.DUMMYFUNCTION("""COMPUTED_VALUE"""),0)</f>
        <v>0</v>
      </c>
      <c r="BC359" s="40">
        <f ca="1">IFERROR(__xludf.DUMMYFUNCTION("""COMPUTED_VALUE"""),10)</f>
        <v>10</v>
      </c>
      <c r="BD359" s="141">
        <f ca="1">IFERROR(__xludf.DUMMYFUNCTION("""COMPUTED_VALUE"""),44585)</f>
        <v>44585</v>
      </c>
      <c r="BE359" s="141">
        <f ca="1">IFERROR(__xludf.DUMMYFUNCTION("""COMPUTED_VALUE"""),44857)</f>
        <v>44857</v>
      </c>
      <c r="BF359" s="141">
        <f ca="1">IFERROR(__xludf.DUMMYFUNCTION("""COMPUTED_VALUE"""),45039)</f>
        <v>45039</v>
      </c>
      <c r="BG359" s="141">
        <f ca="1">IFERROR(__xludf.DUMMYFUNCTION("""COMPUTED_VALUE"""),45588)</f>
        <v>45588</v>
      </c>
      <c r="BH359" s="40" t="str">
        <f ca="1">IFERROR(__xludf.DUMMYFUNCTION("""COMPUTED_VALUE"""),"FICHA EN TIEMPO-18 MESES")</f>
        <v>FICHA EN TIEMPO-18 MESES</v>
      </c>
      <c r="BI359" s="40" t="str">
        <f ca="1">IFERROR(__xludf.DUMMYFUNCTION("""COMPUTED_VALUE"""),"En ejecucion")</f>
        <v>En ejecucion</v>
      </c>
      <c r="BJ359" s="40" t="str">
        <f ca="1">IFERROR(__xludf.DUMMYFUNCTION("""COMPUTED_VALUE"""),"Yamboro")</f>
        <v>Yamboro</v>
      </c>
      <c r="BK359" s="40"/>
      <c r="BL359" s="40"/>
    </row>
    <row r="360" spans="1:64" ht="13">
      <c r="A360" s="40"/>
      <c r="B360" s="40" t="str">
        <f ca="1">IFERROR(__xludf.DUMMYFUNCTION("""COMPUTED_VALUE"""),"FORMACIÓN 18/10/2022")</f>
        <v>FORMACIÓN 18/10/2022</v>
      </c>
      <c r="C360" s="40" t="str">
        <f ca="1">IFERROR(__xludf.DUMMYFUNCTION("""COMPUTED_VALUE"""),"JUAN JOSE PARRA GONZALEZ")</f>
        <v>JUAN JOSE PARRA GONZALEZ</v>
      </c>
      <c r="D360" s="40" t="str">
        <f ca="1">IFERROR(__xludf.DUMMYFUNCTION("""COMPUTED_VALUE"""),"CC")</f>
        <v>CC</v>
      </c>
      <c r="E360" s="40">
        <f ca="1">IFERROR(__xludf.DUMMYFUNCTION("""COMPUTED_VALUE"""),1003587606)</f>
        <v>1003587606</v>
      </c>
      <c r="F360" s="40">
        <f ca="1">IFERROR(__xludf.DUMMYFUNCTION("""COMPUTED_VALUE"""),2500267)</f>
        <v>2500267</v>
      </c>
      <c r="G360" s="40" t="str">
        <f ca="1">IFERROR(__xludf.DUMMYFUNCTION("""COMPUTED_VALUE"""),"TÉCNICO")</f>
        <v>TÉCNICO</v>
      </c>
      <c r="H360" s="40" t="str">
        <f ca="1">IFERROR(__xludf.DUMMYFUNCTION("""COMPUTED_VALUE"""),"DIBUJO ARQUITECTÓNICO")</f>
        <v>DIBUJO ARQUITECTÓNICO</v>
      </c>
      <c r="I360" s="40"/>
      <c r="J360" s="40"/>
      <c r="K360" s="40"/>
      <c r="L360" s="40" t="str">
        <f ca="1">IFERROR(__xludf.DUMMYFUNCTION("""COMPUTED_VALUE"""),"NO HA INICIADO ETAPA PRODUCTIVA")</f>
        <v>NO HA INICIADO ETAPA PRODUCTIVA</v>
      </c>
      <c r="M360" s="40"/>
      <c r="N360" s="40"/>
      <c r="O360" s="40"/>
      <c r="P360" s="40"/>
      <c r="Q360" s="40"/>
      <c r="R360" s="140"/>
      <c r="S360" s="140"/>
      <c r="T360" s="40" t="str">
        <f ca="1">IFERROR(__xludf.DUMMYFUNCTION("""COMPUTED_VALUE"""),"debe 12 resultados... Revisado 15/11/2022")</f>
        <v>debe 12 resultados... Revisado 15/11/2022</v>
      </c>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t="str">
        <f ca="1">IFERROR(__xludf.DUMMYFUNCTION("""COMPUTED_VALUE"""),"NO_CUMPLE")</f>
        <v>NO_CUMPLE</v>
      </c>
      <c r="AV360" s="40" t="str">
        <f ca="1">IFERROR(__xludf.DUMMYFUNCTION("""COMPUTED_VALUE"""),"EN FORMACION")</f>
        <v>EN FORMACION</v>
      </c>
      <c r="AW360" s="40" t="str">
        <f ca="1">IFERROR(__xludf.DUMMYFUNCTION("""COMPUTED_VALUE"""),"BIOCONSTRUCCION")</f>
        <v>BIOCONSTRUCCION</v>
      </c>
      <c r="AX360" s="141">
        <f ca="1">IFERROR(__xludf.DUMMYFUNCTION("""COMPUTED_VALUE"""),44839)</f>
        <v>44839</v>
      </c>
      <c r="AY360" s="40">
        <f ca="1">IFERROR(__xludf.DUMMYFUNCTION("""COMPUTED_VALUE"""),6)</f>
        <v>6</v>
      </c>
      <c r="AZ360" s="40">
        <f ca="1">IFERROR(__xludf.DUMMYFUNCTION("""COMPUTED_VALUE"""),1)</f>
        <v>1</v>
      </c>
      <c r="BA360" s="40">
        <f ca="1">IFERROR(__xludf.DUMMYFUNCTION("""COMPUTED_VALUE"""),7)</f>
        <v>7</v>
      </c>
      <c r="BB360" s="40">
        <f ca="1">IFERROR(__xludf.DUMMYFUNCTION("""COMPUTED_VALUE"""),7)</f>
        <v>7</v>
      </c>
      <c r="BC360" s="40">
        <f ca="1">IFERROR(__xludf.DUMMYFUNCTION("""COMPUTED_VALUE"""),21)</f>
        <v>21</v>
      </c>
      <c r="BD360" s="141">
        <f ca="1">IFERROR(__xludf.DUMMYFUNCTION("""COMPUTED_VALUE"""),44669)</f>
        <v>44669</v>
      </c>
      <c r="BE360" s="141">
        <f ca="1">IFERROR(__xludf.DUMMYFUNCTION("""COMPUTED_VALUE"""),44851)</f>
        <v>44851</v>
      </c>
      <c r="BF360" s="141">
        <f ca="1">IFERROR(__xludf.DUMMYFUNCTION("""COMPUTED_VALUE"""),45033)</f>
        <v>45033</v>
      </c>
      <c r="BG360" s="141">
        <f ca="1">IFERROR(__xludf.DUMMYFUNCTION("""COMPUTED_VALUE"""),45582)</f>
        <v>45582</v>
      </c>
      <c r="BH360" s="40" t="str">
        <f ca="1">IFERROR(__xludf.DUMMYFUNCTION("""COMPUTED_VALUE"""),"FICHA EN TIEMPO-18 MESES")</f>
        <v>FICHA EN TIEMPO-18 MESES</v>
      </c>
      <c r="BI360" s="40" t="str">
        <f ca="1">IFERROR(__xludf.DUMMYFUNCTION("""COMPUTED_VALUE"""),"En ejecucion")</f>
        <v>En ejecucion</v>
      </c>
      <c r="BJ360" s="40" t="str">
        <f ca="1">IFERROR(__xludf.DUMMYFUNCTION("""COMPUTED_VALUE"""),"Yamboro")</f>
        <v>Yamboro</v>
      </c>
      <c r="BK360" s="40"/>
      <c r="BL360" s="40"/>
    </row>
    <row r="361" spans="1:64" ht="13">
      <c r="A361" s="40"/>
      <c r="B361" s="40" t="str">
        <f ca="1">IFERROR(__xludf.DUMMYFUNCTION("""COMPUTED_VALUE"""),"FORMACIÓN 18/10/2022")</f>
        <v>FORMACIÓN 18/10/2022</v>
      </c>
      <c r="C361" s="40" t="str">
        <f ca="1">IFERROR(__xludf.DUMMYFUNCTION("""COMPUTED_VALUE"""),"JAIDER ALFONSO PARDO VALDES")</f>
        <v>JAIDER ALFONSO PARDO VALDES</v>
      </c>
      <c r="D361" s="40" t="str">
        <f ca="1">IFERROR(__xludf.DUMMYFUNCTION("""COMPUTED_VALUE"""),"CC")</f>
        <v>CC</v>
      </c>
      <c r="E361" s="40">
        <f ca="1">IFERROR(__xludf.DUMMYFUNCTION("""COMPUTED_VALUE"""),1004083241)</f>
        <v>1004083241</v>
      </c>
      <c r="F361" s="40">
        <f ca="1">IFERROR(__xludf.DUMMYFUNCTION("""COMPUTED_VALUE"""),2500267)</f>
        <v>2500267</v>
      </c>
      <c r="G361" s="40" t="str">
        <f ca="1">IFERROR(__xludf.DUMMYFUNCTION("""COMPUTED_VALUE"""),"TÉCNICO")</f>
        <v>TÉCNICO</v>
      </c>
      <c r="H361" s="40" t="str">
        <f ca="1">IFERROR(__xludf.DUMMYFUNCTION("""COMPUTED_VALUE"""),"DIBUJO ARQUITECTÓNICO")</f>
        <v>DIBUJO ARQUITECTÓNICO</v>
      </c>
      <c r="I361" s="40"/>
      <c r="J361" s="40"/>
      <c r="K361" s="40"/>
      <c r="L361" s="40" t="str">
        <f ca="1">IFERROR(__xludf.DUMMYFUNCTION("""COMPUTED_VALUE"""),"NO HA INICIADO ETAPA PRODUCTIVA")</f>
        <v>NO HA INICIADO ETAPA PRODUCTIVA</v>
      </c>
      <c r="M361" s="40"/>
      <c r="N361" s="40"/>
      <c r="O361" s="40"/>
      <c r="P361" s="40"/>
      <c r="Q361" s="40"/>
      <c r="R361" s="140"/>
      <c r="S361" s="140"/>
      <c r="T361" s="40" t="str">
        <f ca="1">IFERROR(__xludf.DUMMYFUNCTION("""COMPUTED_VALUE"""),"debe 12 resultados... Revisado 15/11/2022")</f>
        <v>debe 12 resultados... Revisado 15/11/2022</v>
      </c>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t="str">
        <f ca="1">IFERROR(__xludf.DUMMYFUNCTION("""COMPUTED_VALUE"""),"NO_CUMPLE")</f>
        <v>NO_CUMPLE</v>
      </c>
      <c r="AV361" s="40" t="str">
        <f ca="1">IFERROR(__xludf.DUMMYFUNCTION("""COMPUTED_VALUE"""),"EN FORMACION")</f>
        <v>EN FORMACION</v>
      </c>
      <c r="AW361" s="40" t="str">
        <f ca="1">IFERROR(__xludf.DUMMYFUNCTION("""COMPUTED_VALUE"""),"BIOCONSTRUCCION")</f>
        <v>BIOCONSTRUCCION</v>
      </c>
      <c r="AX361" s="141">
        <f ca="1">IFERROR(__xludf.DUMMYFUNCTION("""COMPUTED_VALUE"""),44839)</f>
        <v>44839</v>
      </c>
      <c r="AY361" s="40">
        <f ca="1">IFERROR(__xludf.DUMMYFUNCTION("""COMPUTED_VALUE"""),6)</f>
        <v>6</v>
      </c>
      <c r="AZ361" s="40">
        <f ca="1">IFERROR(__xludf.DUMMYFUNCTION("""COMPUTED_VALUE"""),1)</f>
        <v>1</v>
      </c>
      <c r="BA361" s="40">
        <f ca="1">IFERROR(__xludf.DUMMYFUNCTION("""COMPUTED_VALUE"""),7)</f>
        <v>7</v>
      </c>
      <c r="BB361" s="40">
        <f ca="1">IFERROR(__xludf.DUMMYFUNCTION("""COMPUTED_VALUE"""),7)</f>
        <v>7</v>
      </c>
      <c r="BC361" s="40">
        <f ca="1">IFERROR(__xludf.DUMMYFUNCTION("""COMPUTED_VALUE"""),21)</f>
        <v>21</v>
      </c>
      <c r="BD361" s="141">
        <f ca="1">IFERROR(__xludf.DUMMYFUNCTION("""COMPUTED_VALUE"""),44669)</f>
        <v>44669</v>
      </c>
      <c r="BE361" s="141">
        <f ca="1">IFERROR(__xludf.DUMMYFUNCTION("""COMPUTED_VALUE"""),44851)</f>
        <v>44851</v>
      </c>
      <c r="BF361" s="141">
        <f ca="1">IFERROR(__xludf.DUMMYFUNCTION("""COMPUTED_VALUE"""),45033)</f>
        <v>45033</v>
      </c>
      <c r="BG361" s="141">
        <f ca="1">IFERROR(__xludf.DUMMYFUNCTION("""COMPUTED_VALUE"""),45582)</f>
        <v>45582</v>
      </c>
      <c r="BH361" s="40" t="str">
        <f ca="1">IFERROR(__xludf.DUMMYFUNCTION("""COMPUTED_VALUE"""),"FICHA EN TIEMPO-18 MESES")</f>
        <v>FICHA EN TIEMPO-18 MESES</v>
      </c>
      <c r="BI361" s="40" t="str">
        <f ca="1">IFERROR(__xludf.DUMMYFUNCTION("""COMPUTED_VALUE"""),"En ejecucion")</f>
        <v>En ejecucion</v>
      </c>
      <c r="BJ361" s="40" t="str">
        <f ca="1">IFERROR(__xludf.DUMMYFUNCTION("""COMPUTED_VALUE"""),"Yamboro")</f>
        <v>Yamboro</v>
      </c>
      <c r="BK361" s="40"/>
      <c r="BL361" s="40"/>
    </row>
    <row r="362" spans="1:64" ht="13">
      <c r="A362" s="40"/>
      <c r="B362" s="40" t="str">
        <f ca="1">IFERROR(__xludf.DUMMYFUNCTION("""COMPUTED_VALUE"""),"FORMACIÓN 18/10/2022")</f>
        <v>FORMACIÓN 18/10/2022</v>
      </c>
      <c r="C362" s="40" t="str">
        <f ca="1">IFERROR(__xludf.DUMMYFUNCTION("""COMPUTED_VALUE"""),"DANA STEFANIA BETANCOURT PUENTES")</f>
        <v>DANA STEFANIA BETANCOURT PUENTES</v>
      </c>
      <c r="D362" s="40" t="str">
        <f ca="1">IFERROR(__xludf.DUMMYFUNCTION("""COMPUTED_VALUE"""),"CC")</f>
        <v>CC</v>
      </c>
      <c r="E362" s="40">
        <f ca="1">IFERROR(__xludf.DUMMYFUNCTION("""COMPUTED_VALUE"""),1004083428)</f>
        <v>1004083428</v>
      </c>
      <c r="F362" s="40">
        <f ca="1">IFERROR(__xludf.DUMMYFUNCTION("""COMPUTED_VALUE"""),2500267)</f>
        <v>2500267</v>
      </c>
      <c r="G362" s="40" t="str">
        <f ca="1">IFERROR(__xludf.DUMMYFUNCTION("""COMPUTED_VALUE"""),"TÉCNICO")</f>
        <v>TÉCNICO</v>
      </c>
      <c r="H362" s="40" t="str">
        <f ca="1">IFERROR(__xludf.DUMMYFUNCTION("""COMPUTED_VALUE"""),"DIBUJO ARQUITECTÓNICO")</f>
        <v>DIBUJO ARQUITECTÓNICO</v>
      </c>
      <c r="I362" s="40"/>
      <c r="J362" s="40"/>
      <c r="K362" s="40"/>
      <c r="L362" s="40" t="str">
        <f ca="1">IFERROR(__xludf.DUMMYFUNCTION("""COMPUTED_VALUE"""),"NO HA INICIADO ETAPA PRODUCTIVA")</f>
        <v>NO HA INICIADO ETAPA PRODUCTIVA</v>
      </c>
      <c r="M362" s="40"/>
      <c r="N362" s="40"/>
      <c r="O362" s="40"/>
      <c r="P362" s="40"/>
      <c r="Q362" s="40"/>
      <c r="R362" s="140"/>
      <c r="S362" s="140"/>
      <c r="T362" s="40" t="str">
        <f ca="1">IFERROR(__xludf.DUMMYFUNCTION("""COMPUTED_VALUE"""),"debe 12 resultados... Revisado 15/11/2022")</f>
        <v>debe 12 resultados... Revisado 15/11/2022</v>
      </c>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t="str">
        <f ca="1">IFERROR(__xludf.DUMMYFUNCTION("""COMPUTED_VALUE"""),"NO_CUMPLE")</f>
        <v>NO_CUMPLE</v>
      </c>
      <c r="AV362" s="40" t="str">
        <f ca="1">IFERROR(__xludf.DUMMYFUNCTION("""COMPUTED_VALUE"""),"EN FORMACION")</f>
        <v>EN FORMACION</v>
      </c>
      <c r="AW362" s="40" t="str">
        <f ca="1">IFERROR(__xludf.DUMMYFUNCTION("""COMPUTED_VALUE"""),"BIOCONSTRUCCION")</f>
        <v>BIOCONSTRUCCION</v>
      </c>
      <c r="AX362" s="141">
        <f ca="1">IFERROR(__xludf.DUMMYFUNCTION("""COMPUTED_VALUE"""),44839)</f>
        <v>44839</v>
      </c>
      <c r="AY362" s="40">
        <f ca="1">IFERROR(__xludf.DUMMYFUNCTION("""COMPUTED_VALUE"""),6)</f>
        <v>6</v>
      </c>
      <c r="AZ362" s="40">
        <f ca="1">IFERROR(__xludf.DUMMYFUNCTION("""COMPUTED_VALUE"""),1)</f>
        <v>1</v>
      </c>
      <c r="BA362" s="40">
        <f ca="1">IFERROR(__xludf.DUMMYFUNCTION("""COMPUTED_VALUE"""),7)</f>
        <v>7</v>
      </c>
      <c r="BB362" s="40">
        <f ca="1">IFERROR(__xludf.DUMMYFUNCTION("""COMPUTED_VALUE"""),7)</f>
        <v>7</v>
      </c>
      <c r="BC362" s="40">
        <f ca="1">IFERROR(__xludf.DUMMYFUNCTION("""COMPUTED_VALUE"""),21)</f>
        <v>21</v>
      </c>
      <c r="BD362" s="141">
        <f ca="1">IFERROR(__xludf.DUMMYFUNCTION("""COMPUTED_VALUE"""),44669)</f>
        <v>44669</v>
      </c>
      <c r="BE362" s="141">
        <f ca="1">IFERROR(__xludf.DUMMYFUNCTION("""COMPUTED_VALUE"""),44851)</f>
        <v>44851</v>
      </c>
      <c r="BF362" s="141">
        <f ca="1">IFERROR(__xludf.DUMMYFUNCTION("""COMPUTED_VALUE"""),45033)</f>
        <v>45033</v>
      </c>
      <c r="BG362" s="141">
        <f ca="1">IFERROR(__xludf.DUMMYFUNCTION("""COMPUTED_VALUE"""),45582)</f>
        <v>45582</v>
      </c>
      <c r="BH362" s="40" t="str">
        <f ca="1">IFERROR(__xludf.DUMMYFUNCTION("""COMPUTED_VALUE"""),"FICHA EN TIEMPO-18 MESES")</f>
        <v>FICHA EN TIEMPO-18 MESES</v>
      </c>
      <c r="BI362" s="40" t="str">
        <f ca="1">IFERROR(__xludf.DUMMYFUNCTION("""COMPUTED_VALUE"""),"En ejecucion")</f>
        <v>En ejecucion</v>
      </c>
      <c r="BJ362" s="40" t="str">
        <f ca="1">IFERROR(__xludf.DUMMYFUNCTION("""COMPUTED_VALUE"""),"Yamboro")</f>
        <v>Yamboro</v>
      </c>
      <c r="BK362" s="40"/>
      <c r="BL362" s="40"/>
    </row>
    <row r="363" spans="1:64" ht="13">
      <c r="A363" s="40"/>
      <c r="B363" s="40" t="str">
        <f ca="1">IFERROR(__xludf.DUMMYFUNCTION("""COMPUTED_VALUE"""),"FORMACIÓN 18/10/2022")</f>
        <v>FORMACIÓN 18/10/2022</v>
      </c>
      <c r="C363" s="40" t="str">
        <f ca="1">IFERROR(__xludf.DUMMYFUNCTION("""COMPUTED_VALUE"""),"FABIAN ANDRES GUALI ARREDONDO")</f>
        <v>FABIAN ANDRES GUALI ARREDONDO</v>
      </c>
      <c r="D363" s="40" t="str">
        <f ca="1">IFERROR(__xludf.DUMMYFUNCTION("""COMPUTED_VALUE"""),"CC")</f>
        <v>CC</v>
      </c>
      <c r="E363" s="40">
        <f ca="1">IFERROR(__xludf.DUMMYFUNCTION("""COMPUTED_VALUE"""),1004446242)</f>
        <v>1004446242</v>
      </c>
      <c r="F363" s="40">
        <f ca="1">IFERROR(__xludf.DUMMYFUNCTION("""COMPUTED_VALUE"""),2500267)</f>
        <v>2500267</v>
      </c>
      <c r="G363" s="40" t="str">
        <f ca="1">IFERROR(__xludf.DUMMYFUNCTION("""COMPUTED_VALUE"""),"TÉCNICO")</f>
        <v>TÉCNICO</v>
      </c>
      <c r="H363" s="40" t="str">
        <f ca="1">IFERROR(__xludf.DUMMYFUNCTION("""COMPUTED_VALUE"""),"DIBUJO ARQUITECTÓNICO")</f>
        <v>DIBUJO ARQUITECTÓNICO</v>
      </c>
      <c r="I363" s="40"/>
      <c r="J363" s="40"/>
      <c r="K363" s="40"/>
      <c r="L363" s="40" t="str">
        <f ca="1">IFERROR(__xludf.DUMMYFUNCTION("""COMPUTED_VALUE"""),"NO HA INICIADO ETAPA PRODUCTIVA")</f>
        <v>NO HA INICIADO ETAPA PRODUCTIVA</v>
      </c>
      <c r="M363" s="40"/>
      <c r="N363" s="40"/>
      <c r="O363" s="40"/>
      <c r="P363" s="40"/>
      <c r="Q363" s="40"/>
      <c r="R363" s="140"/>
      <c r="S363" s="140"/>
      <c r="T363" s="40" t="str">
        <f ca="1">IFERROR(__xludf.DUMMYFUNCTION("""COMPUTED_VALUE"""),"debe 12 resultados... Revisado 15/11/2022")</f>
        <v>debe 12 resultados... Revisado 15/11/2022</v>
      </c>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t="str">
        <f ca="1">IFERROR(__xludf.DUMMYFUNCTION("""COMPUTED_VALUE"""),"NO_CUMPLE")</f>
        <v>NO_CUMPLE</v>
      </c>
      <c r="AV363" s="40" t="str">
        <f ca="1">IFERROR(__xludf.DUMMYFUNCTION("""COMPUTED_VALUE"""),"EN FORMACION")</f>
        <v>EN FORMACION</v>
      </c>
      <c r="AW363" s="40" t="str">
        <f ca="1">IFERROR(__xludf.DUMMYFUNCTION("""COMPUTED_VALUE"""),"BIOCONSTRUCCION")</f>
        <v>BIOCONSTRUCCION</v>
      </c>
      <c r="AX363" s="141">
        <f ca="1">IFERROR(__xludf.DUMMYFUNCTION("""COMPUTED_VALUE"""),44839)</f>
        <v>44839</v>
      </c>
      <c r="AY363" s="40">
        <f ca="1">IFERROR(__xludf.DUMMYFUNCTION("""COMPUTED_VALUE"""),6)</f>
        <v>6</v>
      </c>
      <c r="AZ363" s="40">
        <f ca="1">IFERROR(__xludf.DUMMYFUNCTION("""COMPUTED_VALUE"""),1)</f>
        <v>1</v>
      </c>
      <c r="BA363" s="40">
        <f ca="1">IFERROR(__xludf.DUMMYFUNCTION("""COMPUTED_VALUE"""),7)</f>
        <v>7</v>
      </c>
      <c r="BB363" s="40">
        <f ca="1">IFERROR(__xludf.DUMMYFUNCTION("""COMPUTED_VALUE"""),7)</f>
        <v>7</v>
      </c>
      <c r="BC363" s="40">
        <f ca="1">IFERROR(__xludf.DUMMYFUNCTION("""COMPUTED_VALUE"""),21)</f>
        <v>21</v>
      </c>
      <c r="BD363" s="141">
        <f ca="1">IFERROR(__xludf.DUMMYFUNCTION("""COMPUTED_VALUE"""),44669)</f>
        <v>44669</v>
      </c>
      <c r="BE363" s="141">
        <f ca="1">IFERROR(__xludf.DUMMYFUNCTION("""COMPUTED_VALUE"""),44851)</f>
        <v>44851</v>
      </c>
      <c r="BF363" s="141">
        <f ca="1">IFERROR(__xludf.DUMMYFUNCTION("""COMPUTED_VALUE"""),45033)</f>
        <v>45033</v>
      </c>
      <c r="BG363" s="141">
        <f ca="1">IFERROR(__xludf.DUMMYFUNCTION("""COMPUTED_VALUE"""),45582)</f>
        <v>45582</v>
      </c>
      <c r="BH363" s="40" t="str">
        <f ca="1">IFERROR(__xludf.DUMMYFUNCTION("""COMPUTED_VALUE"""),"FICHA EN TIEMPO-18 MESES")</f>
        <v>FICHA EN TIEMPO-18 MESES</v>
      </c>
      <c r="BI363" s="40" t="str">
        <f ca="1">IFERROR(__xludf.DUMMYFUNCTION("""COMPUTED_VALUE"""),"En ejecucion")</f>
        <v>En ejecucion</v>
      </c>
      <c r="BJ363" s="40" t="str">
        <f ca="1">IFERROR(__xludf.DUMMYFUNCTION("""COMPUTED_VALUE"""),"Yamboro")</f>
        <v>Yamboro</v>
      </c>
      <c r="BK363" s="40"/>
      <c r="BL363" s="40"/>
    </row>
    <row r="364" spans="1:64" ht="13">
      <c r="A364" s="40"/>
      <c r="B364" s="40" t="str">
        <f ca="1">IFERROR(__xludf.DUMMYFUNCTION("""COMPUTED_VALUE"""),"FORMACIÓN 18/10/2022")</f>
        <v>FORMACIÓN 18/10/2022</v>
      </c>
      <c r="C364" s="40" t="str">
        <f ca="1">IFERROR(__xludf.DUMMYFUNCTION("""COMPUTED_VALUE"""),"DANNA LLYBEE BENAVIDES TAQUINAS")</f>
        <v>DANNA LLYBEE BENAVIDES TAQUINAS</v>
      </c>
      <c r="D364" s="40" t="str">
        <f ca="1">IFERROR(__xludf.DUMMYFUNCTION("""COMPUTED_VALUE"""),"CC")</f>
        <v>CC</v>
      </c>
      <c r="E364" s="40">
        <f ca="1">IFERROR(__xludf.DUMMYFUNCTION("""COMPUTED_VALUE"""),1006996169)</f>
        <v>1006996169</v>
      </c>
      <c r="F364" s="40">
        <f ca="1">IFERROR(__xludf.DUMMYFUNCTION("""COMPUTED_VALUE"""),2500267)</f>
        <v>2500267</v>
      </c>
      <c r="G364" s="40" t="str">
        <f ca="1">IFERROR(__xludf.DUMMYFUNCTION("""COMPUTED_VALUE"""),"TÉCNICO")</f>
        <v>TÉCNICO</v>
      </c>
      <c r="H364" s="40" t="str">
        <f ca="1">IFERROR(__xludf.DUMMYFUNCTION("""COMPUTED_VALUE"""),"DIBUJO ARQUITECTÓNICO")</f>
        <v>DIBUJO ARQUITECTÓNICO</v>
      </c>
      <c r="I364" s="40"/>
      <c r="J364" s="40"/>
      <c r="K364" s="40"/>
      <c r="L364" s="40" t="str">
        <f ca="1">IFERROR(__xludf.DUMMYFUNCTION("""COMPUTED_VALUE"""),"NO HA INICIADO ETAPA PRODUCTIVA")</f>
        <v>NO HA INICIADO ETAPA PRODUCTIVA</v>
      </c>
      <c r="M364" s="40"/>
      <c r="N364" s="40"/>
      <c r="O364" s="40"/>
      <c r="P364" s="40"/>
      <c r="Q364" s="40"/>
      <c r="R364" s="140"/>
      <c r="S364" s="140"/>
      <c r="T364" s="40" t="str">
        <f ca="1">IFERROR(__xludf.DUMMYFUNCTION("""COMPUTED_VALUE"""),"debe 22 resultados... Revisado 15/11/2022")</f>
        <v>debe 22 resultados... Revisado 15/11/2022</v>
      </c>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t="str">
        <f ca="1">IFERROR(__xludf.DUMMYFUNCTION("""COMPUTED_VALUE"""),"NO_CUMPLE")</f>
        <v>NO_CUMPLE</v>
      </c>
      <c r="AV364" s="40" t="str">
        <f ca="1">IFERROR(__xludf.DUMMYFUNCTION("""COMPUTED_VALUE"""),"EN FORMACION")</f>
        <v>EN FORMACION</v>
      </c>
      <c r="AW364" s="40" t="str">
        <f ca="1">IFERROR(__xludf.DUMMYFUNCTION("""COMPUTED_VALUE"""),"BIOCONSTRUCCION")</f>
        <v>BIOCONSTRUCCION</v>
      </c>
      <c r="AX364" s="141">
        <f ca="1">IFERROR(__xludf.DUMMYFUNCTION("""COMPUTED_VALUE"""),44839)</f>
        <v>44839</v>
      </c>
      <c r="AY364" s="40">
        <f ca="1">IFERROR(__xludf.DUMMYFUNCTION("""COMPUTED_VALUE"""),8)</f>
        <v>8</v>
      </c>
      <c r="AZ364" s="40">
        <f ca="1">IFERROR(__xludf.DUMMYFUNCTION("""COMPUTED_VALUE"""),1)</f>
        <v>1</v>
      </c>
      <c r="BA364" s="40">
        <f ca="1">IFERROR(__xludf.DUMMYFUNCTION("""COMPUTED_VALUE"""),7)</f>
        <v>7</v>
      </c>
      <c r="BB364" s="40">
        <f ca="1">IFERROR(__xludf.DUMMYFUNCTION("""COMPUTED_VALUE"""),7)</f>
        <v>7</v>
      </c>
      <c r="BC364" s="40">
        <f ca="1">IFERROR(__xludf.DUMMYFUNCTION("""COMPUTED_VALUE"""),23)</f>
        <v>23</v>
      </c>
      <c r="BD364" s="141">
        <f ca="1">IFERROR(__xludf.DUMMYFUNCTION("""COMPUTED_VALUE"""),44669)</f>
        <v>44669</v>
      </c>
      <c r="BE364" s="141">
        <f ca="1">IFERROR(__xludf.DUMMYFUNCTION("""COMPUTED_VALUE"""),44851)</f>
        <v>44851</v>
      </c>
      <c r="BF364" s="141">
        <f ca="1">IFERROR(__xludf.DUMMYFUNCTION("""COMPUTED_VALUE"""),45033)</f>
        <v>45033</v>
      </c>
      <c r="BG364" s="141">
        <f ca="1">IFERROR(__xludf.DUMMYFUNCTION("""COMPUTED_VALUE"""),45582)</f>
        <v>45582</v>
      </c>
      <c r="BH364" s="40" t="str">
        <f ca="1">IFERROR(__xludf.DUMMYFUNCTION("""COMPUTED_VALUE"""),"FICHA EN TIEMPO-18 MESES")</f>
        <v>FICHA EN TIEMPO-18 MESES</v>
      </c>
      <c r="BI364" s="40" t="str">
        <f ca="1">IFERROR(__xludf.DUMMYFUNCTION("""COMPUTED_VALUE"""),"En ejecucion")</f>
        <v>En ejecucion</v>
      </c>
      <c r="BJ364" s="40" t="str">
        <f ca="1">IFERROR(__xludf.DUMMYFUNCTION("""COMPUTED_VALUE"""),"Yamboro")</f>
        <v>Yamboro</v>
      </c>
      <c r="BK364" s="40"/>
      <c r="BL364" s="40"/>
    </row>
    <row r="365" spans="1:64" ht="13">
      <c r="A365" s="40"/>
      <c r="B365" s="40" t="str">
        <f ca="1">IFERROR(__xludf.DUMMYFUNCTION("""COMPUTED_VALUE"""),"FORMACIÓN 18/10/2022")</f>
        <v>FORMACIÓN 18/10/2022</v>
      </c>
      <c r="C365" s="40" t="str">
        <f ca="1">IFERROR(__xludf.DUMMYFUNCTION("""COMPUTED_VALUE"""),"JUAN CARLOS SALINAS PARRA")</f>
        <v>JUAN CARLOS SALINAS PARRA</v>
      </c>
      <c r="D365" s="40" t="str">
        <f ca="1">IFERROR(__xludf.DUMMYFUNCTION("""COMPUTED_VALUE"""),"CC")</f>
        <v>CC</v>
      </c>
      <c r="E365" s="40">
        <f ca="1">IFERROR(__xludf.DUMMYFUNCTION("""COMPUTED_VALUE"""),1007745539)</f>
        <v>1007745539</v>
      </c>
      <c r="F365" s="40">
        <f ca="1">IFERROR(__xludf.DUMMYFUNCTION("""COMPUTED_VALUE"""),2500267)</f>
        <v>2500267</v>
      </c>
      <c r="G365" s="40" t="str">
        <f ca="1">IFERROR(__xludf.DUMMYFUNCTION("""COMPUTED_VALUE"""),"TÉCNICO")</f>
        <v>TÉCNICO</v>
      </c>
      <c r="H365" s="40" t="str">
        <f ca="1">IFERROR(__xludf.DUMMYFUNCTION("""COMPUTED_VALUE"""),"DIBUJO ARQUITECTÓNICO")</f>
        <v>DIBUJO ARQUITECTÓNICO</v>
      </c>
      <c r="I365" s="40"/>
      <c r="J365" s="40"/>
      <c r="K365" s="40"/>
      <c r="L365" s="40" t="str">
        <f ca="1">IFERROR(__xludf.DUMMYFUNCTION("""COMPUTED_VALUE"""),"NO HA INICIADO ETAPA PRODUCTIVA")</f>
        <v>NO HA INICIADO ETAPA PRODUCTIVA</v>
      </c>
      <c r="M365" s="40"/>
      <c r="N365" s="40"/>
      <c r="O365" s="40"/>
      <c r="P365" s="40"/>
      <c r="Q365" s="40"/>
      <c r="R365" s="140"/>
      <c r="S365" s="140"/>
      <c r="T365" s="40" t="str">
        <f ca="1">IFERROR(__xludf.DUMMYFUNCTION("""COMPUTED_VALUE"""),"debe 12 resultados... Revisado 15/11/2022")</f>
        <v>debe 12 resultados... Revisado 15/11/2022</v>
      </c>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t="str">
        <f ca="1">IFERROR(__xludf.DUMMYFUNCTION("""COMPUTED_VALUE"""),"NO_CUMPLE")</f>
        <v>NO_CUMPLE</v>
      </c>
      <c r="AV365" s="40" t="str">
        <f ca="1">IFERROR(__xludf.DUMMYFUNCTION("""COMPUTED_VALUE"""),"EN FORMACION")</f>
        <v>EN FORMACION</v>
      </c>
      <c r="AW365" s="40" t="str">
        <f ca="1">IFERROR(__xludf.DUMMYFUNCTION("""COMPUTED_VALUE"""),"BIOCONSTRUCCION")</f>
        <v>BIOCONSTRUCCION</v>
      </c>
      <c r="AX365" s="141">
        <f ca="1">IFERROR(__xludf.DUMMYFUNCTION("""COMPUTED_VALUE"""),44839)</f>
        <v>44839</v>
      </c>
      <c r="AY365" s="40">
        <f ca="1">IFERROR(__xludf.DUMMYFUNCTION("""COMPUTED_VALUE"""),6)</f>
        <v>6</v>
      </c>
      <c r="AZ365" s="40">
        <f ca="1">IFERROR(__xludf.DUMMYFUNCTION("""COMPUTED_VALUE"""),1)</f>
        <v>1</v>
      </c>
      <c r="BA365" s="40">
        <f ca="1">IFERROR(__xludf.DUMMYFUNCTION("""COMPUTED_VALUE"""),7)</f>
        <v>7</v>
      </c>
      <c r="BB365" s="40">
        <f ca="1">IFERROR(__xludf.DUMMYFUNCTION("""COMPUTED_VALUE"""),7)</f>
        <v>7</v>
      </c>
      <c r="BC365" s="40">
        <f ca="1">IFERROR(__xludf.DUMMYFUNCTION("""COMPUTED_VALUE"""),21)</f>
        <v>21</v>
      </c>
      <c r="BD365" s="141">
        <f ca="1">IFERROR(__xludf.DUMMYFUNCTION("""COMPUTED_VALUE"""),44669)</f>
        <v>44669</v>
      </c>
      <c r="BE365" s="141">
        <f ca="1">IFERROR(__xludf.DUMMYFUNCTION("""COMPUTED_VALUE"""),44851)</f>
        <v>44851</v>
      </c>
      <c r="BF365" s="141">
        <f ca="1">IFERROR(__xludf.DUMMYFUNCTION("""COMPUTED_VALUE"""),45033)</f>
        <v>45033</v>
      </c>
      <c r="BG365" s="141">
        <f ca="1">IFERROR(__xludf.DUMMYFUNCTION("""COMPUTED_VALUE"""),45582)</f>
        <v>45582</v>
      </c>
      <c r="BH365" s="40" t="str">
        <f ca="1">IFERROR(__xludf.DUMMYFUNCTION("""COMPUTED_VALUE"""),"FICHA EN TIEMPO-18 MESES")</f>
        <v>FICHA EN TIEMPO-18 MESES</v>
      </c>
      <c r="BI365" s="40" t="str">
        <f ca="1">IFERROR(__xludf.DUMMYFUNCTION("""COMPUTED_VALUE"""),"En ejecucion")</f>
        <v>En ejecucion</v>
      </c>
      <c r="BJ365" s="40" t="str">
        <f ca="1">IFERROR(__xludf.DUMMYFUNCTION("""COMPUTED_VALUE"""),"Yamboro")</f>
        <v>Yamboro</v>
      </c>
      <c r="BK365" s="40"/>
      <c r="BL365" s="40"/>
    </row>
    <row r="366" spans="1:64" ht="13">
      <c r="A366" s="40"/>
      <c r="B366" s="40" t="str">
        <f ca="1">IFERROR(__xludf.DUMMYFUNCTION("""COMPUTED_VALUE"""),"FORMACIÓN 18/10/2022")</f>
        <v>FORMACIÓN 18/10/2022</v>
      </c>
      <c r="C366" s="40" t="str">
        <f ca="1">IFERROR(__xludf.DUMMYFUNCTION("""COMPUTED_VALUE"""),"ANGEL STEPHANY MEDINA ECHEVERRY")</f>
        <v>ANGEL STEPHANY MEDINA ECHEVERRY</v>
      </c>
      <c r="D366" s="40" t="str">
        <f ca="1">IFERROR(__xludf.DUMMYFUNCTION("""COMPUTED_VALUE"""),"TI")</f>
        <v>TI</v>
      </c>
      <c r="E366" s="40">
        <f ca="1">IFERROR(__xludf.DUMMYFUNCTION("""COMPUTED_VALUE"""),1079534328)</f>
        <v>1079534328</v>
      </c>
      <c r="F366" s="40">
        <f ca="1">IFERROR(__xludf.DUMMYFUNCTION("""COMPUTED_VALUE"""),2500267)</f>
        <v>2500267</v>
      </c>
      <c r="G366" s="40" t="str">
        <f ca="1">IFERROR(__xludf.DUMMYFUNCTION("""COMPUTED_VALUE"""),"TÉCNICO")</f>
        <v>TÉCNICO</v>
      </c>
      <c r="H366" s="40" t="str">
        <f ca="1">IFERROR(__xludf.DUMMYFUNCTION("""COMPUTED_VALUE"""),"DIBUJO ARQUITECTÓNICO")</f>
        <v>DIBUJO ARQUITECTÓNICO</v>
      </c>
      <c r="I366" s="40"/>
      <c r="J366" s="40"/>
      <c r="K366" s="40"/>
      <c r="L366" s="40" t="str">
        <f ca="1">IFERROR(__xludf.DUMMYFUNCTION("""COMPUTED_VALUE"""),"NO HA INICIADO ETAPA PRODUCTIVA")</f>
        <v>NO HA INICIADO ETAPA PRODUCTIVA</v>
      </c>
      <c r="M366" s="40"/>
      <c r="N366" s="40"/>
      <c r="O366" s="40"/>
      <c r="P366" s="40"/>
      <c r="Q366" s="40"/>
      <c r="R366" s="140"/>
      <c r="S366" s="140"/>
      <c r="T366" s="40" t="str">
        <f ca="1">IFERROR(__xludf.DUMMYFUNCTION("""COMPUTED_VALUE"""),"debe 13 resultados... Revisado 15/11/2022")</f>
        <v>debe 13 resultados... Revisado 15/11/2022</v>
      </c>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t="str">
        <f ca="1">IFERROR(__xludf.DUMMYFUNCTION("""COMPUTED_VALUE"""),"NO_CUMPLE")</f>
        <v>NO_CUMPLE</v>
      </c>
      <c r="AV366" s="40" t="str">
        <f ca="1">IFERROR(__xludf.DUMMYFUNCTION("""COMPUTED_VALUE"""),"EN FORMACION")</f>
        <v>EN FORMACION</v>
      </c>
      <c r="AW366" s="40" t="str">
        <f ca="1">IFERROR(__xludf.DUMMYFUNCTION("""COMPUTED_VALUE"""),"BIOCONSTRUCCION")</f>
        <v>BIOCONSTRUCCION</v>
      </c>
      <c r="AX366" s="141">
        <f ca="1">IFERROR(__xludf.DUMMYFUNCTION("""COMPUTED_VALUE"""),44839)</f>
        <v>44839</v>
      </c>
      <c r="AY366" s="40">
        <f ca="1">IFERROR(__xludf.DUMMYFUNCTION("""COMPUTED_VALUE"""),6)</f>
        <v>6</v>
      </c>
      <c r="AZ366" s="40">
        <f ca="1">IFERROR(__xludf.DUMMYFUNCTION("""COMPUTED_VALUE"""),1)</f>
        <v>1</v>
      </c>
      <c r="BA366" s="40">
        <f ca="1">IFERROR(__xludf.DUMMYFUNCTION("""COMPUTED_VALUE"""),7)</f>
        <v>7</v>
      </c>
      <c r="BB366" s="40">
        <f ca="1">IFERROR(__xludf.DUMMYFUNCTION("""COMPUTED_VALUE"""),7)</f>
        <v>7</v>
      </c>
      <c r="BC366" s="40">
        <f ca="1">IFERROR(__xludf.DUMMYFUNCTION("""COMPUTED_VALUE"""),21)</f>
        <v>21</v>
      </c>
      <c r="BD366" s="141">
        <f ca="1">IFERROR(__xludf.DUMMYFUNCTION("""COMPUTED_VALUE"""),44669)</f>
        <v>44669</v>
      </c>
      <c r="BE366" s="141">
        <f ca="1">IFERROR(__xludf.DUMMYFUNCTION("""COMPUTED_VALUE"""),44851)</f>
        <v>44851</v>
      </c>
      <c r="BF366" s="141">
        <f ca="1">IFERROR(__xludf.DUMMYFUNCTION("""COMPUTED_VALUE"""),45033)</f>
        <v>45033</v>
      </c>
      <c r="BG366" s="141">
        <f ca="1">IFERROR(__xludf.DUMMYFUNCTION("""COMPUTED_VALUE"""),45582)</f>
        <v>45582</v>
      </c>
      <c r="BH366" s="40" t="str">
        <f ca="1">IFERROR(__xludf.DUMMYFUNCTION("""COMPUTED_VALUE"""),"FICHA EN TIEMPO-18 MESES")</f>
        <v>FICHA EN TIEMPO-18 MESES</v>
      </c>
      <c r="BI366" s="40" t="str">
        <f ca="1">IFERROR(__xludf.DUMMYFUNCTION("""COMPUTED_VALUE"""),"En ejecucion")</f>
        <v>En ejecucion</v>
      </c>
      <c r="BJ366" s="40" t="str">
        <f ca="1">IFERROR(__xludf.DUMMYFUNCTION("""COMPUTED_VALUE"""),"Yamboro")</f>
        <v>Yamboro</v>
      </c>
      <c r="BK366" s="40"/>
      <c r="BL366" s="40"/>
    </row>
    <row r="367" spans="1:64" ht="13">
      <c r="A367" s="40"/>
      <c r="B367" s="40" t="str">
        <f ca="1">IFERROR(__xludf.DUMMYFUNCTION("""COMPUTED_VALUE"""),"FORMACIÓN 18/10/2022")</f>
        <v>FORMACIÓN 18/10/2022</v>
      </c>
      <c r="C367" s="40" t="str">
        <f ca="1">IFERROR(__xludf.DUMMYFUNCTION("""COMPUTED_VALUE"""),"JULIAN CAMILO DAVALOS PAJOY")</f>
        <v>JULIAN CAMILO DAVALOS PAJOY</v>
      </c>
      <c r="D367" s="40" t="str">
        <f ca="1">IFERROR(__xludf.DUMMYFUNCTION("""COMPUTED_VALUE"""),"TI")</f>
        <v>TI</v>
      </c>
      <c r="E367" s="40">
        <f ca="1">IFERROR(__xludf.DUMMYFUNCTION("""COMPUTED_VALUE"""),1081394466)</f>
        <v>1081394466</v>
      </c>
      <c r="F367" s="40">
        <f ca="1">IFERROR(__xludf.DUMMYFUNCTION("""COMPUTED_VALUE"""),2500267)</f>
        <v>2500267</v>
      </c>
      <c r="G367" s="40" t="str">
        <f ca="1">IFERROR(__xludf.DUMMYFUNCTION("""COMPUTED_VALUE"""),"TÉCNICO")</f>
        <v>TÉCNICO</v>
      </c>
      <c r="H367" s="40" t="str">
        <f ca="1">IFERROR(__xludf.DUMMYFUNCTION("""COMPUTED_VALUE"""),"DIBUJO ARQUITECTÓNICO")</f>
        <v>DIBUJO ARQUITECTÓNICO</v>
      </c>
      <c r="I367" s="40"/>
      <c r="J367" s="40"/>
      <c r="K367" s="40"/>
      <c r="L367" s="40" t="str">
        <f ca="1">IFERROR(__xludf.DUMMYFUNCTION("""COMPUTED_VALUE"""),"NO HA INICIADO ETAPA PRODUCTIVA")</f>
        <v>NO HA INICIADO ETAPA PRODUCTIVA</v>
      </c>
      <c r="M367" s="40"/>
      <c r="N367" s="40"/>
      <c r="O367" s="40"/>
      <c r="P367" s="40"/>
      <c r="Q367" s="40"/>
      <c r="R367" s="140"/>
      <c r="S367" s="140"/>
      <c r="T367" s="40" t="str">
        <f ca="1">IFERROR(__xludf.DUMMYFUNCTION("""COMPUTED_VALUE"""),"debe 13 resultados... Revisado 15/11/2022")</f>
        <v>debe 13 resultados... Revisado 15/11/2022</v>
      </c>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t="str">
        <f ca="1">IFERROR(__xludf.DUMMYFUNCTION("""COMPUTED_VALUE"""),"NO_CUMPLE")</f>
        <v>NO_CUMPLE</v>
      </c>
      <c r="AV367" s="40" t="str">
        <f ca="1">IFERROR(__xludf.DUMMYFUNCTION("""COMPUTED_VALUE"""),"EN FORMACION")</f>
        <v>EN FORMACION</v>
      </c>
      <c r="AW367" s="40" t="str">
        <f ca="1">IFERROR(__xludf.DUMMYFUNCTION("""COMPUTED_VALUE"""),"BIOCONSTRUCCION")</f>
        <v>BIOCONSTRUCCION</v>
      </c>
      <c r="AX367" s="141">
        <f ca="1">IFERROR(__xludf.DUMMYFUNCTION("""COMPUTED_VALUE"""),44839)</f>
        <v>44839</v>
      </c>
      <c r="AY367" s="40">
        <f ca="1">IFERROR(__xludf.DUMMYFUNCTION("""COMPUTED_VALUE"""),6)</f>
        <v>6</v>
      </c>
      <c r="AZ367" s="40">
        <f ca="1">IFERROR(__xludf.DUMMYFUNCTION("""COMPUTED_VALUE"""),1)</f>
        <v>1</v>
      </c>
      <c r="BA367" s="40">
        <f ca="1">IFERROR(__xludf.DUMMYFUNCTION("""COMPUTED_VALUE"""),7)</f>
        <v>7</v>
      </c>
      <c r="BB367" s="40">
        <f ca="1">IFERROR(__xludf.DUMMYFUNCTION("""COMPUTED_VALUE"""),7)</f>
        <v>7</v>
      </c>
      <c r="BC367" s="40">
        <f ca="1">IFERROR(__xludf.DUMMYFUNCTION("""COMPUTED_VALUE"""),21)</f>
        <v>21</v>
      </c>
      <c r="BD367" s="141">
        <f ca="1">IFERROR(__xludf.DUMMYFUNCTION("""COMPUTED_VALUE"""),44669)</f>
        <v>44669</v>
      </c>
      <c r="BE367" s="141">
        <f ca="1">IFERROR(__xludf.DUMMYFUNCTION("""COMPUTED_VALUE"""),44851)</f>
        <v>44851</v>
      </c>
      <c r="BF367" s="141">
        <f ca="1">IFERROR(__xludf.DUMMYFUNCTION("""COMPUTED_VALUE"""),45033)</f>
        <v>45033</v>
      </c>
      <c r="BG367" s="141">
        <f ca="1">IFERROR(__xludf.DUMMYFUNCTION("""COMPUTED_VALUE"""),45582)</f>
        <v>45582</v>
      </c>
      <c r="BH367" s="40" t="str">
        <f ca="1">IFERROR(__xludf.DUMMYFUNCTION("""COMPUTED_VALUE"""),"FICHA EN TIEMPO-18 MESES")</f>
        <v>FICHA EN TIEMPO-18 MESES</v>
      </c>
      <c r="BI367" s="40" t="str">
        <f ca="1">IFERROR(__xludf.DUMMYFUNCTION("""COMPUTED_VALUE"""),"En ejecucion")</f>
        <v>En ejecucion</v>
      </c>
      <c r="BJ367" s="40" t="str">
        <f ca="1">IFERROR(__xludf.DUMMYFUNCTION("""COMPUTED_VALUE"""),"Yamboro")</f>
        <v>Yamboro</v>
      </c>
      <c r="BK367" s="40"/>
      <c r="BL367" s="40"/>
    </row>
    <row r="368" spans="1:64" ht="13">
      <c r="A368" s="40"/>
      <c r="B368" s="40" t="str">
        <f ca="1">IFERROR(__xludf.DUMMYFUNCTION("""COMPUTED_VALUE"""),"FORMACIÓN 18/10/2022")</f>
        <v>FORMACIÓN 18/10/2022</v>
      </c>
      <c r="C368" s="40" t="str">
        <f ca="1">IFERROR(__xludf.DUMMYFUNCTION("""COMPUTED_VALUE"""),"JOSE ESTEBAN NAVARRO MADRIGAL")</f>
        <v>JOSE ESTEBAN NAVARRO MADRIGAL</v>
      </c>
      <c r="D368" s="40" t="str">
        <f ca="1">IFERROR(__xludf.DUMMYFUNCTION("""COMPUTED_VALUE"""),"CC")</f>
        <v>CC</v>
      </c>
      <c r="E368" s="40">
        <f ca="1">IFERROR(__xludf.DUMMYFUNCTION("""COMPUTED_VALUE"""),1083864186)</f>
        <v>1083864186</v>
      </c>
      <c r="F368" s="40">
        <f ca="1">IFERROR(__xludf.DUMMYFUNCTION("""COMPUTED_VALUE"""),2500267)</f>
        <v>2500267</v>
      </c>
      <c r="G368" s="40" t="str">
        <f ca="1">IFERROR(__xludf.DUMMYFUNCTION("""COMPUTED_VALUE"""),"TÉCNICO")</f>
        <v>TÉCNICO</v>
      </c>
      <c r="H368" s="40" t="str">
        <f ca="1">IFERROR(__xludf.DUMMYFUNCTION("""COMPUTED_VALUE"""),"DIBUJO ARQUITECTÓNICO")</f>
        <v>DIBUJO ARQUITECTÓNICO</v>
      </c>
      <c r="I368" s="40"/>
      <c r="J368" s="40"/>
      <c r="K368" s="40"/>
      <c r="L368" s="40" t="str">
        <f ca="1">IFERROR(__xludf.DUMMYFUNCTION("""COMPUTED_VALUE"""),"NO HA INICIADO ETAPA PRODUCTIVA")</f>
        <v>NO HA INICIADO ETAPA PRODUCTIVA</v>
      </c>
      <c r="M368" s="40"/>
      <c r="N368" s="40"/>
      <c r="O368" s="40"/>
      <c r="P368" s="40"/>
      <c r="Q368" s="40"/>
      <c r="R368" s="140"/>
      <c r="S368" s="140"/>
      <c r="T368" s="40" t="str">
        <f ca="1">IFERROR(__xludf.DUMMYFUNCTION("""COMPUTED_VALUE"""),"debe 14 resultados... Revisado 15/11/2022")</f>
        <v>debe 14 resultados... Revisado 15/11/2022</v>
      </c>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t="str">
        <f ca="1">IFERROR(__xludf.DUMMYFUNCTION("""COMPUTED_VALUE"""),"NO_CUMPLE")</f>
        <v>NO_CUMPLE</v>
      </c>
      <c r="AV368" s="40" t="str">
        <f ca="1">IFERROR(__xludf.DUMMYFUNCTION("""COMPUTED_VALUE"""),"EN FORMACION")</f>
        <v>EN FORMACION</v>
      </c>
      <c r="AW368" s="40" t="str">
        <f ca="1">IFERROR(__xludf.DUMMYFUNCTION("""COMPUTED_VALUE"""),"BIOCONSTRUCCION")</f>
        <v>BIOCONSTRUCCION</v>
      </c>
      <c r="AX368" s="141">
        <f ca="1">IFERROR(__xludf.DUMMYFUNCTION("""COMPUTED_VALUE"""),44839)</f>
        <v>44839</v>
      </c>
      <c r="AY368" s="40">
        <f ca="1">IFERROR(__xludf.DUMMYFUNCTION("""COMPUTED_VALUE"""),7)</f>
        <v>7</v>
      </c>
      <c r="AZ368" s="40">
        <f ca="1">IFERROR(__xludf.DUMMYFUNCTION("""COMPUTED_VALUE"""),1)</f>
        <v>1</v>
      </c>
      <c r="BA368" s="40">
        <f ca="1">IFERROR(__xludf.DUMMYFUNCTION("""COMPUTED_VALUE"""),7)</f>
        <v>7</v>
      </c>
      <c r="BB368" s="40">
        <f ca="1">IFERROR(__xludf.DUMMYFUNCTION("""COMPUTED_VALUE"""),7)</f>
        <v>7</v>
      </c>
      <c r="BC368" s="40">
        <f ca="1">IFERROR(__xludf.DUMMYFUNCTION("""COMPUTED_VALUE"""),22)</f>
        <v>22</v>
      </c>
      <c r="BD368" s="141">
        <f ca="1">IFERROR(__xludf.DUMMYFUNCTION("""COMPUTED_VALUE"""),44669)</f>
        <v>44669</v>
      </c>
      <c r="BE368" s="141">
        <f ca="1">IFERROR(__xludf.DUMMYFUNCTION("""COMPUTED_VALUE"""),44851)</f>
        <v>44851</v>
      </c>
      <c r="BF368" s="141">
        <f ca="1">IFERROR(__xludf.DUMMYFUNCTION("""COMPUTED_VALUE"""),45033)</f>
        <v>45033</v>
      </c>
      <c r="BG368" s="141">
        <f ca="1">IFERROR(__xludf.DUMMYFUNCTION("""COMPUTED_VALUE"""),45582)</f>
        <v>45582</v>
      </c>
      <c r="BH368" s="40" t="str">
        <f ca="1">IFERROR(__xludf.DUMMYFUNCTION("""COMPUTED_VALUE"""),"FICHA EN TIEMPO-18 MESES")</f>
        <v>FICHA EN TIEMPO-18 MESES</v>
      </c>
      <c r="BI368" s="40" t="str">
        <f ca="1">IFERROR(__xludf.DUMMYFUNCTION("""COMPUTED_VALUE"""),"En ejecucion")</f>
        <v>En ejecucion</v>
      </c>
      <c r="BJ368" s="40" t="str">
        <f ca="1">IFERROR(__xludf.DUMMYFUNCTION("""COMPUTED_VALUE"""),"Yamboro")</f>
        <v>Yamboro</v>
      </c>
      <c r="BK368" s="40"/>
      <c r="BL368" s="40"/>
    </row>
    <row r="369" spans="1:64" ht="13">
      <c r="A369" s="40"/>
      <c r="B369" s="40" t="str">
        <f ca="1">IFERROR(__xludf.DUMMYFUNCTION("""COMPUTED_VALUE"""),"FORMACIÓN 18/10/2022")</f>
        <v>FORMACIÓN 18/10/2022</v>
      </c>
      <c r="C369" s="40" t="str">
        <f ca="1">IFERROR(__xludf.DUMMYFUNCTION("""COMPUTED_VALUE"""),"JORGE ESTEBAN VASQUEZ MUÑOZ")</f>
        <v>JORGE ESTEBAN VASQUEZ MUÑOZ</v>
      </c>
      <c r="D369" s="40" t="str">
        <f ca="1">IFERROR(__xludf.DUMMYFUNCTION("""COMPUTED_VALUE"""),"CC")</f>
        <v>CC</v>
      </c>
      <c r="E369" s="40">
        <f ca="1">IFERROR(__xludf.DUMMYFUNCTION("""COMPUTED_VALUE"""),1083864251)</f>
        <v>1083864251</v>
      </c>
      <c r="F369" s="40">
        <f ca="1">IFERROR(__xludf.DUMMYFUNCTION("""COMPUTED_VALUE"""),2500267)</f>
        <v>2500267</v>
      </c>
      <c r="G369" s="40" t="str">
        <f ca="1">IFERROR(__xludf.DUMMYFUNCTION("""COMPUTED_VALUE"""),"TÉCNICO")</f>
        <v>TÉCNICO</v>
      </c>
      <c r="H369" s="40" t="str">
        <f ca="1">IFERROR(__xludf.DUMMYFUNCTION("""COMPUTED_VALUE"""),"DIBUJO ARQUITECTÓNICO")</f>
        <v>DIBUJO ARQUITECTÓNICO</v>
      </c>
      <c r="I369" s="40"/>
      <c r="J369" s="40"/>
      <c r="K369" s="40"/>
      <c r="L369" s="40" t="str">
        <f ca="1">IFERROR(__xludf.DUMMYFUNCTION("""COMPUTED_VALUE"""),"NO HA INICIADO ETAPA PRODUCTIVA")</f>
        <v>NO HA INICIADO ETAPA PRODUCTIVA</v>
      </c>
      <c r="M369" s="40"/>
      <c r="N369" s="40"/>
      <c r="O369" s="40"/>
      <c r="P369" s="40"/>
      <c r="Q369" s="40"/>
      <c r="R369" s="140"/>
      <c r="S369" s="140"/>
      <c r="T369" s="40" t="str">
        <f ca="1">IFERROR(__xludf.DUMMYFUNCTION("""COMPUTED_VALUE"""),"debe 12 resultados... Revisado 15/11/2022")</f>
        <v>debe 12 resultados... Revisado 15/11/2022</v>
      </c>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t="str">
        <f ca="1">IFERROR(__xludf.DUMMYFUNCTION("""COMPUTED_VALUE"""),"NO_CUMPLE")</f>
        <v>NO_CUMPLE</v>
      </c>
      <c r="AV369" s="40" t="str">
        <f ca="1">IFERROR(__xludf.DUMMYFUNCTION("""COMPUTED_VALUE"""),"EN FORMACION")</f>
        <v>EN FORMACION</v>
      </c>
      <c r="AW369" s="40" t="str">
        <f ca="1">IFERROR(__xludf.DUMMYFUNCTION("""COMPUTED_VALUE"""),"BIOCONSTRUCCION")</f>
        <v>BIOCONSTRUCCION</v>
      </c>
      <c r="AX369" s="141">
        <f ca="1">IFERROR(__xludf.DUMMYFUNCTION("""COMPUTED_VALUE"""),44839)</f>
        <v>44839</v>
      </c>
      <c r="AY369" s="40">
        <f ca="1">IFERROR(__xludf.DUMMYFUNCTION("""COMPUTED_VALUE"""),6)</f>
        <v>6</v>
      </c>
      <c r="AZ369" s="40">
        <f ca="1">IFERROR(__xludf.DUMMYFUNCTION("""COMPUTED_VALUE"""),1)</f>
        <v>1</v>
      </c>
      <c r="BA369" s="40">
        <f ca="1">IFERROR(__xludf.DUMMYFUNCTION("""COMPUTED_VALUE"""),7)</f>
        <v>7</v>
      </c>
      <c r="BB369" s="40">
        <f ca="1">IFERROR(__xludf.DUMMYFUNCTION("""COMPUTED_VALUE"""),7)</f>
        <v>7</v>
      </c>
      <c r="BC369" s="40">
        <f ca="1">IFERROR(__xludf.DUMMYFUNCTION("""COMPUTED_VALUE"""),21)</f>
        <v>21</v>
      </c>
      <c r="BD369" s="141">
        <f ca="1">IFERROR(__xludf.DUMMYFUNCTION("""COMPUTED_VALUE"""),44669)</f>
        <v>44669</v>
      </c>
      <c r="BE369" s="141">
        <f ca="1">IFERROR(__xludf.DUMMYFUNCTION("""COMPUTED_VALUE"""),44851)</f>
        <v>44851</v>
      </c>
      <c r="BF369" s="141">
        <f ca="1">IFERROR(__xludf.DUMMYFUNCTION("""COMPUTED_VALUE"""),45033)</f>
        <v>45033</v>
      </c>
      <c r="BG369" s="141">
        <f ca="1">IFERROR(__xludf.DUMMYFUNCTION("""COMPUTED_VALUE"""),45582)</f>
        <v>45582</v>
      </c>
      <c r="BH369" s="40" t="str">
        <f ca="1">IFERROR(__xludf.DUMMYFUNCTION("""COMPUTED_VALUE"""),"FICHA EN TIEMPO-18 MESES")</f>
        <v>FICHA EN TIEMPO-18 MESES</v>
      </c>
      <c r="BI369" s="40" t="str">
        <f ca="1">IFERROR(__xludf.DUMMYFUNCTION("""COMPUTED_VALUE"""),"En ejecucion")</f>
        <v>En ejecucion</v>
      </c>
      <c r="BJ369" s="40" t="str">
        <f ca="1">IFERROR(__xludf.DUMMYFUNCTION("""COMPUTED_VALUE"""),"Yamboro")</f>
        <v>Yamboro</v>
      </c>
      <c r="BK369" s="40"/>
      <c r="BL369" s="40"/>
    </row>
    <row r="370" spans="1:64" ht="13">
      <c r="A370" s="40"/>
      <c r="B370" s="40" t="str">
        <f ca="1">IFERROR(__xludf.DUMMYFUNCTION("""COMPUTED_VALUE"""),"FORMACIÓN 18/10/2022")</f>
        <v>FORMACIÓN 18/10/2022</v>
      </c>
      <c r="C370" s="40" t="str">
        <f ca="1">IFERROR(__xludf.DUMMYFUNCTION("""COMPUTED_VALUE"""),"OSCAR JAVIER IBARRA ROJAS")</f>
        <v>OSCAR JAVIER IBARRA ROJAS</v>
      </c>
      <c r="D370" s="40" t="str">
        <f ca="1">IFERROR(__xludf.DUMMYFUNCTION("""COMPUTED_VALUE"""),"CC")</f>
        <v>CC</v>
      </c>
      <c r="E370" s="40">
        <f ca="1">IFERROR(__xludf.DUMMYFUNCTION("""COMPUTED_VALUE"""),1083864269)</f>
        <v>1083864269</v>
      </c>
      <c r="F370" s="40">
        <f ca="1">IFERROR(__xludf.DUMMYFUNCTION("""COMPUTED_VALUE"""),2500267)</f>
        <v>2500267</v>
      </c>
      <c r="G370" s="40" t="str">
        <f ca="1">IFERROR(__xludf.DUMMYFUNCTION("""COMPUTED_VALUE"""),"TÉCNICO")</f>
        <v>TÉCNICO</v>
      </c>
      <c r="H370" s="40" t="str">
        <f ca="1">IFERROR(__xludf.DUMMYFUNCTION("""COMPUTED_VALUE"""),"DIBUJO ARQUITECTÓNICO")</f>
        <v>DIBUJO ARQUITECTÓNICO</v>
      </c>
      <c r="I370" s="40"/>
      <c r="J370" s="40"/>
      <c r="K370" s="40"/>
      <c r="L370" s="40" t="str">
        <f ca="1">IFERROR(__xludf.DUMMYFUNCTION("""COMPUTED_VALUE"""),"NO HA INICIADO ETAPA PRODUCTIVA")</f>
        <v>NO HA INICIADO ETAPA PRODUCTIVA</v>
      </c>
      <c r="M370" s="40"/>
      <c r="N370" s="40"/>
      <c r="O370" s="40"/>
      <c r="P370" s="40"/>
      <c r="Q370" s="40"/>
      <c r="R370" s="140"/>
      <c r="S370" s="140"/>
      <c r="T370" s="40" t="str">
        <f ca="1">IFERROR(__xludf.DUMMYFUNCTION("""COMPUTED_VALUE"""),"debe 13 resultados... Revisado 15/11/2022")</f>
        <v>debe 13 resultados... Revisado 15/11/2022</v>
      </c>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t="str">
        <f ca="1">IFERROR(__xludf.DUMMYFUNCTION("""COMPUTED_VALUE"""),"NO_CUMPLE")</f>
        <v>NO_CUMPLE</v>
      </c>
      <c r="AV370" s="40" t="str">
        <f ca="1">IFERROR(__xludf.DUMMYFUNCTION("""COMPUTED_VALUE"""),"EN FORMACION")</f>
        <v>EN FORMACION</v>
      </c>
      <c r="AW370" s="40" t="str">
        <f ca="1">IFERROR(__xludf.DUMMYFUNCTION("""COMPUTED_VALUE"""),"BIOCONSTRUCCION")</f>
        <v>BIOCONSTRUCCION</v>
      </c>
      <c r="AX370" s="141">
        <f ca="1">IFERROR(__xludf.DUMMYFUNCTION("""COMPUTED_VALUE"""),44839)</f>
        <v>44839</v>
      </c>
      <c r="AY370" s="40">
        <f ca="1">IFERROR(__xludf.DUMMYFUNCTION("""COMPUTED_VALUE"""),6)</f>
        <v>6</v>
      </c>
      <c r="AZ370" s="40">
        <f ca="1">IFERROR(__xludf.DUMMYFUNCTION("""COMPUTED_VALUE"""),1)</f>
        <v>1</v>
      </c>
      <c r="BA370" s="40">
        <f ca="1">IFERROR(__xludf.DUMMYFUNCTION("""COMPUTED_VALUE"""),7)</f>
        <v>7</v>
      </c>
      <c r="BB370" s="40">
        <f ca="1">IFERROR(__xludf.DUMMYFUNCTION("""COMPUTED_VALUE"""),7)</f>
        <v>7</v>
      </c>
      <c r="BC370" s="40">
        <f ca="1">IFERROR(__xludf.DUMMYFUNCTION("""COMPUTED_VALUE"""),21)</f>
        <v>21</v>
      </c>
      <c r="BD370" s="141">
        <f ca="1">IFERROR(__xludf.DUMMYFUNCTION("""COMPUTED_VALUE"""),44669)</f>
        <v>44669</v>
      </c>
      <c r="BE370" s="141">
        <f ca="1">IFERROR(__xludf.DUMMYFUNCTION("""COMPUTED_VALUE"""),44851)</f>
        <v>44851</v>
      </c>
      <c r="BF370" s="141">
        <f ca="1">IFERROR(__xludf.DUMMYFUNCTION("""COMPUTED_VALUE"""),45033)</f>
        <v>45033</v>
      </c>
      <c r="BG370" s="141">
        <f ca="1">IFERROR(__xludf.DUMMYFUNCTION("""COMPUTED_VALUE"""),45582)</f>
        <v>45582</v>
      </c>
      <c r="BH370" s="40" t="str">
        <f ca="1">IFERROR(__xludf.DUMMYFUNCTION("""COMPUTED_VALUE"""),"FICHA EN TIEMPO-18 MESES")</f>
        <v>FICHA EN TIEMPO-18 MESES</v>
      </c>
      <c r="BI370" s="40" t="str">
        <f ca="1">IFERROR(__xludf.DUMMYFUNCTION("""COMPUTED_VALUE"""),"En ejecucion")</f>
        <v>En ejecucion</v>
      </c>
      <c r="BJ370" s="40" t="str">
        <f ca="1">IFERROR(__xludf.DUMMYFUNCTION("""COMPUTED_VALUE"""),"Yamboro")</f>
        <v>Yamboro</v>
      </c>
      <c r="BK370" s="40"/>
      <c r="BL370" s="40"/>
    </row>
    <row r="371" spans="1:64" ht="13">
      <c r="A371" s="40"/>
      <c r="B371" s="40" t="str">
        <f ca="1">IFERROR(__xludf.DUMMYFUNCTION("""COMPUTED_VALUE"""),"FORMACIÓN 18/10/2022")</f>
        <v>FORMACIÓN 18/10/2022</v>
      </c>
      <c r="C371" s="40" t="str">
        <f ca="1">IFERROR(__xludf.DUMMYFUNCTION("""COMPUTED_VALUE"""),"WILLIAM MAURICIO RODRIGUEZ DIAZ")</f>
        <v>WILLIAM MAURICIO RODRIGUEZ DIAZ</v>
      </c>
      <c r="D371" s="40" t="str">
        <f ca="1">IFERROR(__xludf.DUMMYFUNCTION("""COMPUTED_VALUE"""),"TI")</f>
        <v>TI</v>
      </c>
      <c r="E371" s="40">
        <f ca="1">IFERROR(__xludf.DUMMYFUNCTION("""COMPUTED_VALUE"""),1083870541)</f>
        <v>1083870541</v>
      </c>
      <c r="F371" s="40">
        <f ca="1">IFERROR(__xludf.DUMMYFUNCTION("""COMPUTED_VALUE"""),2500267)</f>
        <v>2500267</v>
      </c>
      <c r="G371" s="40" t="str">
        <f ca="1">IFERROR(__xludf.DUMMYFUNCTION("""COMPUTED_VALUE"""),"TÉCNICO")</f>
        <v>TÉCNICO</v>
      </c>
      <c r="H371" s="40" t="str">
        <f ca="1">IFERROR(__xludf.DUMMYFUNCTION("""COMPUTED_VALUE"""),"DIBUJO ARQUITECTÓNICO")</f>
        <v>DIBUJO ARQUITECTÓNICO</v>
      </c>
      <c r="I371" s="40"/>
      <c r="J371" s="40"/>
      <c r="K371" s="40"/>
      <c r="L371" s="40" t="str">
        <f ca="1">IFERROR(__xludf.DUMMYFUNCTION("""COMPUTED_VALUE"""),"NO HA INICIADO ETAPA PRODUCTIVA")</f>
        <v>NO HA INICIADO ETAPA PRODUCTIVA</v>
      </c>
      <c r="M371" s="40"/>
      <c r="N371" s="40"/>
      <c r="O371" s="40"/>
      <c r="P371" s="40"/>
      <c r="Q371" s="40"/>
      <c r="R371" s="140"/>
      <c r="S371" s="140"/>
      <c r="T371" s="40" t="str">
        <f ca="1">IFERROR(__xludf.DUMMYFUNCTION("""COMPUTED_VALUE"""),"debe 12 resultados... Revisado 15/11/2022")</f>
        <v>debe 12 resultados... Revisado 15/11/2022</v>
      </c>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t="str">
        <f ca="1">IFERROR(__xludf.DUMMYFUNCTION("""COMPUTED_VALUE"""),"NO_CUMPLE")</f>
        <v>NO_CUMPLE</v>
      </c>
      <c r="AV371" s="40" t="str">
        <f ca="1">IFERROR(__xludf.DUMMYFUNCTION("""COMPUTED_VALUE"""),"EN FORMACION")</f>
        <v>EN FORMACION</v>
      </c>
      <c r="AW371" s="40" t="str">
        <f ca="1">IFERROR(__xludf.DUMMYFUNCTION("""COMPUTED_VALUE"""),"BIOCONSTRUCCION")</f>
        <v>BIOCONSTRUCCION</v>
      </c>
      <c r="AX371" s="141">
        <f ca="1">IFERROR(__xludf.DUMMYFUNCTION("""COMPUTED_VALUE"""),44839)</f>
        <v>44839</v>
      </c>
      <c r="AY371" s="40">
        <f ca="1">IFERROR(__xludf.DUMMYFUNCTION("""COMPUTED_VALUE"""),6)</f>
        <v>6</v>
      </c>
      <c r="AZ371" s="40">
        <f ca="1">IFERROR(__xludf.DUMMYFUNCTION("""COMPUTED_VALUE"""),1)</f>
        <v>1</v>
      </c>
      <c r="BA371" s="40">
        <f ca="1">IFERROR(__xludf.DUMMYFUNCTION("""COMPUTED_VALUE"""),7)</f>
        <v>7</v>
      </c>
      <c r="BB371" s="40">
        <f ca="1">IFERROR(__xludf.DUMMYFUNCTION("""COMPUTED_VALUE"""),7)</f>
        <v>7</v>
      </c>
      <c r="BC371" s="40">
        <f ca="1">IFERROR(__xludf.DUMMYFUNCTION("""COMPUTED_VALUE"""),21)</f>
        <v>21</v>
      </c>
      <c r="BD371" s="141">
        <f ca="1">IFERROR(__xludf.DUMMYFUNCTION("""COMPUTED_VALUE"""),44669)</f>
        <v>44669</v>
      </c>
      <c r="BE371" s="141">
        <f ca="1">IFERROR(__xludf.DUMMYFUNCTION("""COMPUTED_VALUE"""),44851)</f>
        <v>44851</v>
      </c>
      <c r="BF371" s="141">
        <f ca="1">IFERROR(__xludf.DUMMYFUNCTION("""COMPUTED_VALUE"""),45033)</f>
        <v>45033</v>
      </c>
      <c r="BG371" s="141">
        <f ca="1">IFERROR(__xludf.DUMMYFUNCTION("""COMPUTED_VALUE"""),45582)</f>
        <v>45582</v>
      </c>
      <c r="BH371" s="40" t="str">
        <f ca="1">IFERROR(__xludf.DUMMYFUNCTION("""COMPUTED_VALUE"""),"FICHA EN TIEMPO-18 MESES")</f>
        <v>FICHA EN TIEMPO-18 MESES</v>
      </c>
      <c r="BI371" s="40" t="str">
        <f ca="1">IFERROR(__xludf.DUMMYFUNCTION("""COMPUTED_VALUE"""),"En ejecucion")</f>
        <v>En ejecucion</v>
      </c>
      <c r="BJ371" s="40" t="str">
        <f ca="1">IFERROR(__xludf.DUMMYFUNCTION("""COMPUTED_VALUE"""),"Yamboro")</f>
        <v>Yamboro</v>
      </c>
      <c r="BK371" s="40"/>
      <c r="BL371" s="40"/>
    </row>
    <row r="372" spans="1:64" ht="13">
      <c r="A372" s="40"/>
      <c r="B372" s="40" t="str">
        <f ca="1">IFERROR(__xludf.DUMMYFUNCTION("""COMPUTED_VALUE"""),"FORMACIÓN 18/10/2022")</f>
        <v>FORMACIÓN 18/10/2022</v>
      </c>
      <c r="C372" s="40" t="str">
        <f ca="1">IFERROR(__xludf.DUMMYFUNCTION("""COMPUTED_VALUE"""),"LEANDRO EZEQUIEL TORRES PANQUEVA")</f>
        <v>LEANDRO EZEQUIEL TORRES PANQUEVA</v>
      </c>
      <c r="D372" s="40" t="str">
        <f ca="1">IFERROR(__xludf.DUMMYFUNCTION("""COMPUTED_VALUE"""),"CC")</f>
        <v>CC</v>
      </c>
      <c r="E372" s="40">
        <f ca="1">IFERROR(__xludf.DUMMYFUNCTION("""COMPUTED_VALUE"""),1083872747)</f>
        <v>1083872747</v>
      </c>
      <c r="F372" s="40">
        <f ca="1">IFERROR(__xludf.DUMMYFUNCTION("""COMPUTED_VALUE"""),2500267)</f>
        <v>2500267</v>
      </c>
      <c r="G372" s="40" t="str">
        <f ca="1">IFERROR(__xludf.DUMMYFUNCTION("""COMPUTED_VALUE"""),"TÉCNICO")</f>
        <v>TÉCNICO</v>
      </c>
      <c r="H372" s="40" t="str">
        <f ca="1">IFERROR(__xludf.DUMMYFUNCTION("""COMPUTED_VALUE"""),"DIBUJO ARQUITECTÓNICO")</f>
        <v>DIBUJO ARQUITECTÓNICO</v>
      </c>
      <c r="I372" s="40">
        <f ca="1">IFERROR(__xludf.DUMMYFUNCTION("""COMPUTED_VALUE"""),313285890)</f>
        <v>313285890</v>
      </c>
      <c r="J372" s="40" t="str">
        <f ca="1">IFERROR(__xludf.DUMMYFUNCTION("""COMPUTED_VALUE"""),"leotorresp32@gmail.com")</f>
        <v>leotorresp32@gmail.com</v>
      </c>
      <c r="K372" s="40" t="str">
        <f ca="1">IFERROR(__xludf.DUMMYFUNCTION("""COMPUTED_VALUE"""),"PITALITO")</f>
        <v>PITALITO</v>
      </c>
      <c r="L372" s="40" t="str">
        <f ca="1">IFERROR(__xludf.DUMMYFUNCTION("""COMPUTED_VALUE"""),"CONTRATO DE APRENDIZAJE")</f>
        <v>CONTRATO DE APRENDIZAJE</v>
      </c>
      <c r="M372" s="40" t="str">
        <f ca="1">IFERROR(__xludf.DUMMYFUNCTION("""COMPUTED_VALUE"""),"EMPRESA DE SERVICIOS PUBLICOS DE FUSAGASUGA ""EMSERFUSA E.S.P.""")</f>
        <v>EMPRESA DE SERVICIOS PUBLICOS DE FUSAGASUGA "EMSERFUSA E.S.P."</v>
      </c>
      <c r="N372" s="40" t="str">
        <f ca="1">IFERROR(__xludf.DUMMYFUNCTION("""COMPUTED_VALUE"""),"AV. LAS PALMAS 4-66")</f>
        <v>AV. LAS PALMAS 4-66</v>
      </c>
      <c r="O372" s="40">
        <f ca="1">IFERROR(__xludf.DUMMYFUNCTION("""COMPUTED_VALUE"""),8679877)</f>
        <v>8679877</v>
      </c>
      <c r="P372" s="40" t="str">
        <f ca="1">IFERROR(__xludf.DUMMYFUNCTION("""COMPUTED_VALUE"""),"FUSAGASUGA")</f>
        <v>FUSAGASUGA</v>
      </c>
      <c r="Q372" s="40" t="str">
        <f ca="1">IFERROR(__xludf.DUMMYFUNCTION("""COMPUTED_VALUE"""),"pu.gestionhumana@emserfusa.com.co")</f>
        <v>pu.gestionhumana@emserfusa.com.co</v>
      </c>
      <c r="R372" s="140">
        <f ca="1">IFERROR(__xludf.DUMMYFUNCTION("""COMPUTED_VALUE"""),44853)</f>
        <v>44853</v>
      </c>
      <c r="S372" s="140">
        <f ca="1">IFERROR(__xludf.DUMMYFUNCTION("""COMPUTED_VALUE"""),44895)</f>
        <v>44895</v>
      </c>
      <c r="T372" s="40"/>
      <c r="U372" s="40" t="str">
        <f ca="1">IFERROR(__xludf.DUMMYFUNCTION("""COMPUTED_VALUE"""),"POR ASIGNAR")</f>
        <v>POR ASIGNAR</v>
      </c>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t="str">
        <f ca="1">IFERROR(__xludf.DUMMYFUNCTION("""COMPUTED_VALUE"""),"Procede_E_P")</f>
        <v>Procede_E_P</v>
      </c>
      <c r="AV372" s="40" t="str">
        <f ca="1">IFERROR(__xludf.DUMMYFUNCTION("""COMPUTED_VALUE"""),"EN FORMACION")</f>
        <v>EN FORMACION</v>
      </c>
      <c r="AW372" s="40" t="str">
        <f ca="1">IFERROR(__xludf.DUMMYFUNCTION("""COMPUTED_VALUE"""),"BIOCONSTRUCCION")</f>
        <v>BIOCONSTRUCCION</v>
      </c>
      <c r="AX372" s="141">
        <f ca="1">IFERROR(__xludf.DUMMYFUNCTION("""COMPUTED_VALUE"""),44839)</f>
        <v>44839</v>
      </c>
      <c r="AY372" s="40">
        <f ca="1">IFERROR(__xludf.DUMMYFUNCTION("""COMPUTED_VALUE"""),0)</f>
        <v>0</v>
      </c>
      <c r="AZ372" s="40">
        <f ca="1">IFERROR(__xludf.DUMMYFUNCTION("""COMPUTED_VALUE"""),1)</f>
        <v>1</v>
      </c>
      <c r="BA372" s="40">
        <f ca="1">IFERROR(__xludf.DUMMYFUNCTION("""COMPUTED_VALUE"""),0)</f>
        <v>0</v>
      </c>
      <c r="BB372" s="40">
        <f ca="1">IFERROR(__xludf.DUMMYFUNCTION("""COMPUTED_VALUE"""),0)</f>
        <v>0</v>
      </c>
      <c r="BC372" s="40">
        <f ca="1">IFERROR(__xludf.DUMMYFUNCTION("""COMPUTED_VALUE"""),1)</f>
        <v>1</v>
      </c>
      <c r="BD372" s="141">
        <f ca="1">IFERROR(__xludf.DUMMYFUNCTION("""COMPUTED_VALUE"""),44669)</f>
        <v>44669</v>
      </c>
      <c r="BE372" s="141">
        <f ca="1">IFERROR(__xludf.DUMMYFUNCTION("""COMPUTED_VALUE"""),44851)</f>
        <v>44851</v>
      </c>
      <c r="BF372" s="141">
        <f ca="1">IFERROR(__xludf.DUMMYFUNCTION("""COMPUTED_VALUE"""),45033)</f>
        <v>45033</v>
      </c>
      <c r="BG372" s="141">
        <f ca="1">IFERROR(__xludf.DUMMYFUNCTION("""COMPUTED_VALUE"""),45582)</f>
        <v>45582</v>
      </c>
      <c r="BH372" s="40" t="str">
        <f ca="1">IFERROR(__xludf.DUMMYFUNCTION("""COMPUTED_VALUE"""),"FICHA EN TIEMPO-18 MESES")</f>
        <v>FICHA EN TIEMPO-18 MESES</v>
      </c>
      <c r="BI372" s="40" t="str">
        <f ca="1">IFERROR(__xludf.DUMMYFUNCTION("""COMPUTED_VALUE"""),"En ejecucion")</f>
        <v>En ejecucion</v>
      </c>
      <c r="BJ372" s="40" t="str">
        <f ca="1">IFERROR(__xludf.DUMMYFUNCTION("""COMPUTED_VALUE"""),"Yamboro")</f>
        <v>Yamboro</v>
      </c>
      <c r="BK372" s="40"/>
      <c r="BL372" s="40"/>
    </row>
    <row r="373" spans="1:64" ht="13">
      <c r="A373" s="40"/>
      <c r="B373" s="40" t="str">
        <f ca="1">IFERROR(__xludf.DUMMYFUNCTION("""COMPUTED_VALUE"""),"FORMACIÓN 18/10/2022")</f>
        <v>FORMACIÓN 18/10/2022</v>
      </c>
      <c r="C373" s="40" t="str">
        <f ca="1">IFERROR(__xludf.DUMMYFUNCTION("""COMPUTED_VALUE"""),"CRISTIAN MAURICIO ROBAYO QUINAYAS")</f>
        <v>CRISTIAN MAURICIO ROBAYO QUINAYAS</v>
      </c>
      <c r="D373" s="40" t="str">
        <f ca="1">IFERROR(__xludf.DUMMYFUNCTION("""COMPUTED_VALUE"""),"CC")</f>
        <v>CC</v>
      </c>
      <c r="E373" s="40">
        <f ca="1">IFERROR(__xludf.DUMMYFUNCTION("""COMPUTED_VALUE"""),1083887611)</f>
        <v>1083887611</v>
      </c>
      <c r="F373" s="40">
        <f ca="1">IFERROR(__xludf.DUMMYFUNCTION("""COMPUTED_VALUE"""),2500267)</f>
        <v>2500267</v>
      </c>
      <c r="G373" s="40" t="str">
        <f ca="1">IFERROR(__xludf.DUMMYFUNCTION("""COMPUTED_VALUE"""),"TÉCNICO")</f>
        <v>TÉCNICO</v>
      </c>
      <c r="H373" s="40" t="str">
        <f ca="1">IFERROR(__xludf.DUMMYFUNCTION("""COMPUTED_VALUE"""),"DIBUJO ARQUITECTÓNICO")</f>
        <v>DIBUJO ARQUITECTÓNICO</v>
      </c>
      <c r="I373" s="40"/>
      <c r="J373" s="40"/>
      <c r="K373" s="40"/>
      <c r="L373" s="40" t="str">
        <f ca="1">IFERROR(__xludf.DUMMYFUNCTION("""COMPUTED_VALUE"""),"NO HA INICIADO ETAPA PRODUCTIVA")</f>
        <v>NO HA INICIADO ETAPA PRODUCTIVA</v>
      </c>
      <c r="M373" s="40"/>
      <c r="N373" s="40"/>
      <c r="O373" s="40"/>
      <c r="P373" s="40"/>
      <c r="Q373" s="40"/>
      <c r="R373" s="140"/>
      <c r="S373" s="140"/>
      <c r="T373" s="40" t="str">
        <f ca="1">IFERROR(__xludf.DUMMYFUNCTION("""COMPUTED_VALUE"""),"debe 28 resultados... Revisado 15/11/2022")</f>
        <v>debe 28 resultados... Revisado 15/11/2022</v>
      </c>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t="str">
        <f ca="1">IFERROR(__xludf.DUMMYFUNCTION("""COMPUTED_VALUE"""),"NO_CUMPLE")</f>
        <v>NO_CUMPLE</v>
      </c>
      <c r="AV373" s="40" t="str">
        <f ca="1">IFERROR(__xludf.DUMMYFUNCTION("""COMPUTED_VALUE"""),"EN FORMACION")</f>
        <v>EN FORMACION</v>
      </c>
      <c r="AW373" s="40" t="str">
        <f ca="1">IFERROR(__xludf.DUMMYFUNCTION("""COMPUTED_VALUE"""),"BIOCONSTRUCCION")</f>
        <v>BIOCONSTRUCCION</v>
      </c>
      <c r="AX373" s="141">
        <f ca="1">IFERROR(__xludf.DUMMYFUNCTION("""COMPUTED_VALUE"""),44839)</f>
        <v>44839</v>
      </c>
      <c r="AY373" s="40">
        <f ca="1">IFERROR(__xludf.DUMMYFUNCTION("""COMPUTED_VALUE"""),14)</f>
        <v>14</v>
      </c>
      <c r="AZ373" s="40">
        <f ca="1">IFERROR(__xludf.DUMMYFUNCTION("""COMPUTED_VALUE"""),1)</f>
        <v>1</v>
      </c>
      <c r="BA373" s="40">
        <f ca="1">IFERROR(__xludf.DUMMYFUNCTION("""COMPUTED_VALUE"""),7)</f>
        <v>7</v>
      </c>
      <c r="BB373" s="40">
        <f ca="1">IFERROR(__xludf.DUMMYFUNCTION("""COMPUTED_VALUE"""),7)</f>
        <v>7</v>
      </c>
      <c r="BC373" s="40">
        <f ca="1">IFERROR(__xludf.DUMMYFUNCTION("""COMPUTED_VALUE"""),29)</f>
        <v>29</v>
      </c>
      <c r="BD373" s="141">
        <f ca="1">IFERROR(__xludf.DUMMYFUNCTION("""COMPUTED_VALUE"""),44669)</f>
        <v>44669</v>
      </c>
      <c r="BE373" s="141">
        <f ca="1">IFERROR(__xludf.DUMMYFUNCTION("""COMPUTED_VALUE"""),44851)</f>
        <v>44851</v>
      </c>
      <c r="BF373" s="141">
        <f ca="1">IFERROR(__xludf.DUMMYFUNCTION("""COMPUTED_VALUE"""),45033)</f>
        <v>45033</v>
      </c>
      <c r="BG373" s="141">
        <f ca="1">IFERROR(__xludf.DUMMYFUNCTION("""COMPUTED_VALUE"""),45582)</f>
        <v>45582</v>
      </c>
      <c r="BH373" s="40" t="str">
        <f ca="1">IFERROR(__xludf.DUMMYFUNCTION("""COMPUTED_VALUE"""),"FICHA EN TIEMPO-18 MESES")</f>
        <v>FICHA EN TIEMPO-18 MESES</v>
      </c>
      <c r="BI373" s="40" t="str">
        <f ca="1">IFERROR(__xludf.DUMMYFUNCTION("""COMPUTED_VALUE"""),"En ejecucion")</f>
        <v>En ejecucion</v>
      </c>
      <c r="BJ373" s="40" t="str">
        <f ca="1">IFERROR(__xludf.DUMMYFUNCTION("""COMPUTED_VALUE"""),"Yamboro")</f>
        <v>Yamboro</v>
      </c>
      <c r="BK373" s="40"/>
      <c r="BL373" s="40"/>
    </row>
    <row r="374" spans="1:64" ht="13">
      <c r="A374" s="40"/>
      <c r="B374" s="40" t="str">
        <f ca="1">IFERROR(__xludf.DUMMYFUNCTION("""COMPUTED_VALUE"""),"FORMACIÓN 18/10/2022")</f>
        <v>FORMACIÓN 18/10/2022</v>
      </c>
      <c r="C374" s="40" t="str">
        <f ca="1">IFERROR(__xludf.DUMMYFUNCTION("""COMPUTED_VALUE"""),"DIANA MARIA MENSA ORTIZ")</f>
        <v>DIANA MARIA MENSA ORTIZ</v>
      </c>
      <c r="D374" s="40" t="str">
        <f ca="1">IFERROR(__xludf.DUMMYFUNCTION("""COMPUTED_VALUE"""),"CC")</f>
        <v>CC</v>
      </c>
      <c r="E374" s="40">
        <f ca="1">IFERROR(__xludf.DUMMYFUNCTION("""COMPUTED_VALUE"""),1083897794)</f>
        <v>1083897794</v>
      </c>
      <c r="F374" s="40">
        <f ca="1">IFERROR(__xludf.DUMMYFUNCTION("""COMPUTED_VALUE"""),2500267)</f>
        <v>2500267</v>
      </c>
      <c r="G374" s="40" t="str">
        <f ca="1">IFERROR(__xludf.DUMMYFUNCTION("""COMPUTED_VALUE"""),"TÉCNICO")</f>
        <v>TÉCNICO</v>
      </c>
      <c r="H374" s="40" t="str">
        <f ca="1">IFERROR(__xludf.DUMMYFUNCTION("""COMPUTED_VALUE"""),"DIBUJO ARQUITECTÓNICO")</f>
        <v>DIBUJO ARQUITECTÓNICO</v>
      </c>
      <c r="I374" s="40"/>
      <c r="J374" s="40"/>
      <c r="K374" s="40"/>
      <c r="L374" s="40" t="str">
        <f ca="1">IFERROR(__xludf.DUMMYFUNCTION("""COMPUTED_VALUE"""),"NO HA INICIADO ETAPA PRODUCTIVA")</f>
        <v>NO HA INICIADO ETAPA PRODUCTIVA</v>
      </c>
      <c r="M374" s="40"/>
      <c r="N374" s="40"/>
      <c r="O374" s="40"/>
      <c r="P374" s="40"/>
      <c r="Q374" s="40"/>
      <c r="R374" s="140"/>
      <c r="S374" s="140"/>
      <c r="T374" s="40" t="str">
        <f ca="1">IFERROR(__xludf.DUMMYFUNCTION("""COMPUTED_VALUE"""),"debe 12 resultados... Revisado 15/11/2022")</f>
        <v>debe 12 resultados... Revisado 15/11/2022</v>
      </c>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t="str">
        <f ca="1">IFERROR(__xludf.DUMMYFUNCTION("""COMPUTED_VALUE"""),"NO_CUMPLE")</f>
        <v>NO_CUMPLE</v>
      </c>
      <c r="AV374" s="40" t="str">
        <f ca="1">IFERROR(__xludf.DUMMYFUNCTION("""COMPUTED_VALUE"""),"EN FORMACION")</f>
        <v>EN FORMACION</v>
      </c>
      <c r="AW374" s="40" t="str">
        <f ca="1">IFERROR(__xludf.DUMMYFUNCTION("""COMPUTED_VALUE"""),"BIOCONSTRUCCION")</f>
        <v>BIOCONSTRUCCION</v>
      </c>
      <c r="AX374" s="141">
        <f ca="1">IFERROR(__xludf.DUMMYFUNCTION("""COMPUTED_VALUE"""),44839)</f>
        <v>44839</v>
      </c>
      <c r="AY374" s="40">
        <f ca="1">IFERROR(__xludf.DUMMYFUNCTION("""COMPUTED_VALUE"""),6)</f>
        <v>6</v>
      </c>
      <c r="AZ374" s="40">
        <f ca="1">IFERROR(__xludf.DUMMYFUNCTION("""COMPUTED_VALUE"""),1)</f>
        <v>1</v>
      </c>
      <c r="BA374" s="40">
        <f ca="1">IFERROR(__xludf.DUMMYFUNCTION("""COMPUTED_VALUE"""),7)</f>
        <v>7</v>
      </c>
      <c r="BB374" s="40">
        <f ca="1">IFERROR(__xludf.DUMMYFUNCTION("""COMPUTED_VALUE"""),7)</f>
        <v>7</v>
      </c>
      <c r="BC374" s="40">
        <f ca="1">IFERROR(__xludf.DUMMYFUNCTION("""COMPUTED_VALUE"""),21)</f>
        <v>21</v>
      </c>
      <c r="BD374" s="141">
        <f ca="1">IFERROR(__xludf.DUMMYFUNCTION("""COMPUTED_VALUE"""),44669)</f>
        <v>44669</v>
      </c>
      <c r="BE374" s="141">
        <f ca="1">IFERROR(__xludf.DUMMYFUNCTION("""COMPUTED_VALUE"""),44851)</f>
        <v>44851</v>
      </c>
      <c r="BF374" s="141">
        <f ca="1">IFERROR(__xludf.DUMMYFUNCTION("""COMPUTED_VALUE"""),45033)</f>
        <v>45033</v>
      </c>
      <c r="BG374" s="141">
        <f ca="1">IFERROR(__xludf.DUMMYFUNCTION("""COMPUTED_VALUE"""),45582)</f>
        <v>45582</v>
      </c>
      <c r="BH374" s="40" t="str">
        <f ca="1">IFERROR(__xludf.DUMMYFUNCTION("""COMPUTED_VALUE"""),"FICHA EN TIEMPO-18 MESES")</f>
        <v>FICHA EN TIEMPO-18 MESES</v>
      </c>
      <c r="BI374" s="40" t="str">
        <f ca="1">IFERROR(__xludf.DUMMYFUNCTION("""COMPUTED_VALUE"""),"En ejecucion")</f>
        <v>En ejecucion</v>
      </c>
      <c r="BJ374" s="40" t="str">
        <f ca="1">IFERROR(__xludf.DUMMYFUNCTION("""COMPUTED_VALUE"""),"Yamboro")</f>
        <v>Yamboro</v>
      </c>
      <c r="BK374" s="40"/>
      <c r="BL374" s="40"/>
    </row>
    <row r="375" spans="1:64" ht="13">
      <c r="A375" s="40"/>
      <c r="B375" s="40" t="str">
        <f ca="1">IFERROR(__xludf.DUMMYFUNCTION("""COMPUTED_VALUE"""),"FORMACIÓN 18/10/2022")</f>
        <v>FORMACIÓN 18/10/2022</v>
      </c>
      <c r="C375" s="40" t="str">
        <f ca="1">IFERROR(__xludf.DUMMYFUNCTION("""COMPUTED_VALUE"""),"OSCAR HERNANDO RIOS REAL")</f>
        <v>OSCAR HERNANDO RIOS REAL</v>
      </c>
      <c r="D375" s="40" t="str">
        <f ca="1">IFERROR(__xludf.DUMMYFUNCTION("""COMPUTED_VALUE"""),"CC")</f>
        <v>CC</v>
      </c>
      <c r="E375" s="40">
        <f ca="1">IFERROR(__xludf.DUMMYFUNCTION("""COMPUTED_VALUE"""),1083925927)</f>
        <v>1083925927</v>
      </c>
      <c r="F375" s="40">
        <f ca="1">IFERROR(__xludf.DUMMYFUNCTION("""COMPUTED_VALUE"""),2500267)</f>
        <v>2500267</v>
      </c>
      <c r="G375" s="40" t="str">
        <f ca="1">IFERROR(__xludf.DUMMYFUNCTION("""COMPUTED_VALUE"""),"TÉCNICO")</f>
        <v>TÉCNICO</v>
      </c>
      <c r="H375" s="40" t="str">
        <f ca="1">IFERROR(__xludf.DUMMYFUNCTION("""COMPUTED_VALUE"""),"DIBUJO ARQUITECTÓNICO")</f>
        <v>DIBUJO ARQUITECTÓNICO</v>
      </c>
      <c r="I375" s="40"/>
      <c r="J375" s="40"/>
      <c r="K375" s="40"/>
      <c r="L375" s="40" t="str">
        <f ca="1">IFERROR(__xludf.DUMMYFUNCTION("""COMPUTED_VALUE"""),"NO HA INICIADO ETAPA PRODUCTIVA")</f>
        <v>NO HA INICIADO ETAPA PRODUCTIVA</v>
      </c>
      <c r="M375" s="40"/>
      <c r="N375" s="40"/>
      <c r="O375" s="40"/>
      <c r="P375" s="40"/>
      <c r="Q375" s="40"/>
      <c r="R375" s="140"/>
      <c r="S375" s="140"/>
      <c r="T375" s="40" t="str">
        <f ca="1">IFERROR(__xludf.DUMMYFUNCTION("""COMPUTED_VALUE"""),"debe 28 resultados... Revisado 15/11/2022")</f>
        <v>debe 28 resultados... Revisado 15/11/2022</v>
      </c>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t="str">
        <f ca="1">IFERROR(__xludf.DUMMYFUNCTION("""COMPUTED_VALUE"""),"NO_CUMPLE")</f>
        <v>NO_CUMPLE</v>
      </c>
      <c r="AV375" s="40" t="str">
        <f ca="1">IFERROR(__xludf.DUMMYFUNCTION("""COMPUTED_VALUE"""),"EN FORMACION")</f>
        <v>EN FORMACION</v>
      </c>
      <c r="AW375" s="40" t="str">
        <f ca="1">IFERROR(__xludf.DUMMYFUNCTION("""COMPUTED_VALUE"""),"BIOCONSTRUCCION")</f>
        <v>BIOCONSTRUCCION</v>
      </c>
      <c r="AX375" s="141">
        <f ca="1">IFERROR(__xludf.DUMMYFUNCTION("""COMPUTED_VALUE"""),44839)</f>
        <v>44839</v>
      </c>
      <c r="AY375" s="40">
        <f ca="1">IFERROR(__xludf.DUMMYFUNCTION("""COMPUTED_VALUE"""),14)</f>
        <v>14</v>
      </c>
      <c r="AZ375" s="40">
        <f ca="1">IFERROR(__xludf.DUMMYFUNCTION("""COMPUTED_VALUE"""),1)</f>
        <v>1</v>
      </c>
      <c r="BA375" s="40">
        <f ca="1">IFERROR(__xludf.DUMMYFUNCTION("""COMPUTED_VALUE"""),7)</f>
        <v>7</v>
      </c>
      <c r="BB375" s="40">
        <f ca="1">IFERROR(__xludf.DUMMYFUNCTION("""COMPUTED_VALUE"""),7)</f>
        <v>7</v>
      </c>
      <c r="BC375" s="40">
        <f ca="1">IFERROR(__xludf.DUMMYFUNCTION("""COMPUTED_VALUE"""),29)</f>
        <v>29</v>
      </c>
      <c r="BD375" s="141">
        <f ca="1">IFERROR(__xludf.DUMMYFUNCTION("""COMPUTED_VALUE"""),44669)</f>
        <v>44669</v>
      </c>
      <c r="BE375" s="141">
        <f ca="1">IFERROR(__xludf.DUMMYFUNCTION("""COMPUTED_VALUE"""),44851)</f>
        <v>44851</v>
      </c>
      <c r="BF375" s="141">
        <f ca="1">IFERROR(__xludf.DUMMYFUNCTION("""COMPUTED_VALUE"""),45033)</f>
        <v>45033</v>
      </c>
      <c r="BG375" s="141">
        <f ca="1">IFERROR(__xludf.DUMMYFUNCTION("""COMPUTED_VALUE"""),45582)</f>
        <v>45582</v>
      </c>
      <c r="BH375" s="40" t="str">
        <f ca="1">IFERROR(__xludf.DUMMYFUNCTION("""COMPUTED_VALUE"""),"FICHA EN TIEMPO-18 MESES")</f>
        <v>FICHA EN TIEMPO-18 MESES</v>
      </c>
      <c r="BI375" s="40" t="str">
        <f ca="1">IFERROR(__xludf.DUMMYFUNCTION("""COMPUTED_VALUE"""),"En ejecucion")</f>
        <v>En ejecucion</v>
      </c>
      <c r="BJ375" s="40" t="str">
        <f ca="1">IFERROR(__xludf.DUMMYFUNCTION("""COMPUTED_VALUE"""),"Yamboro")</f>
        <v>Yamboro</v>
      </c>
      <c r="BK375" s="40"/>
      <c r="BL375" s="40"/>
    </row>
    <row r="376" spans="1:64" ht="13">
      <c r="A376" s="40"/>
      <c r="B376" s="40" t="str">
        <f ca="1">IFERROR(__xludf.DUMMYFUNCTION("""COMPUTED_VALUE"""),"FORMACIÓN 18/10/2022")</f>
        <v>FORMACIÓN 18/10/2022</v>
      </c>
      <c r="C376" s="40" t="str">
        <f ca="1">IFERROR(__xludf.DUMMYFUNCTION("""COMPUTED_VALUE"""),"JHON ALEXIS GOMEZ JURADO")</f>
        <v>JHON ALEXIS GOMEZ JURADO</v>
      </c>
      <c r="D376" s="40" t="str">
        <f ca="1">IFERROR(__xludf.DUMMYFUNCTION("""COMPUTED_VALUE"""),"TI")</f>
        <v>TI</v>
      </c>
      <c r="E376" s="40">
        <f ca="1">IFERROR(__xludf.DUMMYFUNCTION("""COMPUTED_VALUE"""),1084251450)</f>
        <v>1084251450</v>
      </c>
      <c r="F376" s="40">
        <f ca="1">IFERROR(__xludf.DUMMYFUNCTION("""COMPUTED_VALUE"""),2500267)</f>
        <v>2500267</v>
      </c>
      <c r="G376" s="40" t="str">
        <f ca="1">IFERROR(__xludf.DUMMYFUNCTION("""COMPUTED_VALUE"""),"TÉCNICO")</f>
        <v>TÉCNICO</v>
      </c>
      <c r="H376" s="40" t="str">
        <f ca="1">IFERROR(__xludf.DUMMYFUNCTION("""COMPUTED_VALUE"""),"DIBUJO ARQUITECTÓNICO")</f>
        <v>DIBUJO ARQUITECTÓNICO</v>
      </c>
      <c r="I376" s="40"/>
      <c r="J376" s="40"/>
      <c r="K376" s="40"/>
      <c r="L376" s="40" t="str">
        <f ca="1">IFERROR(__xludf.DUMMYFUNCTION("""COMPUTED_VALUE"""),"NO HA INICIADO ETAPA PRODUCTIVA")</f>
        <v>NO HA INICIADO ETAPA PRODUCTIVA</v>
      </c>
      <c r="M376" s="40"/>
      <c r="N376" s="40"/>
      <c r="O376" s="40"/>
      <c r="P376" s="40"/>
      <c r="Q376" s="40"/>
      <c r="R376" s="140"/>
      <c r="S376" s="140"/>
      <c r="T376" s="40" t="str">
        <f ca="1">IFERROR(__xludf.DUMMYFUNCTION("""COMPUTED_VALUE"""),"debe 12 resultados... Revisado 15/11/2022")</f>
        <v>debe 12 resultados... Revisado 15/11/2022</v>
      </c>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t="str">
        <f ca="1">IFERROR(__xludf.DUMMYFUNCTION("""COMPUTED_VALUE"""),"NO_CUMPLE")</f>
        <v>NO_CUMPLE</v>
      </c>
      <c r="AV376" s="40" t="str">
        <f ca="1">IFERROR(__xludf.DUMMYFUNCTION("""COMPUTED_VALUE"""),"EN FORMACION")</f>
        <v>EN FORMACION</v>
      </c>
      <c r="AW376" s="40" t="str">
        <f ca="1">IFERROR(__xludf.DUMMYFUNCTION("""COMPUTED_VALUE"""),"BIOCONSTRUCCION")</f>
        <v>BIOCONSTRUCCION</v>
      </c>
      <c r="AX376" s="141">
        <f ca="1">IFERROR(__xludf.DUMMYFUNCTION("""COMPUTED_VALUE"""),44839)</f>
        <v>44839</v>
      </c>
      <c r="AY376" s="40">
        <f ca="1">IFERROR(__xludf.DUMMYFUNCTION("""COMPUTED_VALUE"""),6)</f>
        <v>6</v>
      </c>
      <c r="AZ376" s="40">
        <f ca="1">IFERROR(__xludf.DUMMYFUNCTION("""COMPUTED_VALUE"""),1)</f>
        <v>1</v>
      </c>
      <c r="BA376" s="40">
        <f ca="1">IFERROR(__xludf.DUMMYFUNCTION("""COMPUTED_VALUE"""),7)</f>
        <v>7</v>
      </c>
      <c r="BB376" s="40">
        <f ca="1">IFERROR(__xludf.DUMMYFUNCTION("""COMPUTED_VALUE"""),7)</f>
        <v>7</v>
      </c>
      <c r="BC376" s="40">
        <f ca="1">IFERROR(__xludf.DUMMYFUNCTION("""COMPUTED_VALUE"""),21)</f>
        <v>21</v>
      </c>
      <c r="BD376" s="141">
        <f ca="1">IFERROR(__xludf.DUMMYFUNCTION("""COMPUTED_VALUE"""),44669)</f>
        <v>44669</v>
      </c>
      <c r="BE376" s="141">
        <f ca="1">IFERROR(__xludf.DUMMYFUNCTION("""COMPUTED_VALUE"""),44851)</f>
        <v>44851</v>
      </c>
      <c r="BF376" s="141">
        <f ca="1">IFERROR(__xludf.DUMMYFUNCTION("""COMPUTED_VALUE"""),45033)</f>
        <v>45033</v>
      </c>
      <c r="BG376" s="141">
        <f ca="1">IFERROR(__xludf.DUMMYFUNCTION("""COMPUTED_VALUE"""),45582)</f>
        <v>45582</v>
      </c>
      <c r="BH376" s="40" t="str">
        <f ca="1">IFERROR(__xludf.DUMMYFUNCTION("""COMPUTED_VALUE"""),"FICHA EN TIEMPO-18 MESES")</f>
        <v>FICHA EN TIEMPO-18 MESES</v>
      </c>
      <c r="BI376" s="40" t="str">
        <f ca="1">IFERROR(__xludf.DUMMYFUNCTION("""COMPUTED_VALUE"""),"En ejecucion")</f>
        <v>En ejecucion</v>
      </c>
      <c r="BJ376" s="40" t="str">
        <f ca="1">IFERROR(__xludf.DUMMYFUNCTION("""COMPUTED_VALUE"""),"Yamboro")</f>
        <v>Yamboro</v>
      </c>
      <c r="BK376" s="40"/>
      <c r="BL376" s="40"/>
    </row>
    <row r="377" spans="1:64" ht="13">
      <c r="A377" s="40"/>
      <c r="B377" s="40" t="str">
        <f ca="1">IFERROR(__xludf.DUMMYFUNCTION("""COMPUTED_VALUE"""),"FORMACIÓN 18/10/2022")</f>
        <v>FORMACIÓN 18/10/2022</v>
      </c>
      <c r="C377" s="40" t="str">
        <f ca="1">IFERROR(__xludf.DUMMYFUNCTION("""COMPUTED_VALUE"""),"DAYANA VALENTINA BECERRA AREIZA")</f>
        <v>DAYANA VALENTINA BECERRA AREIZA</v>
      </c>
      <c r="D377" s="40" t="str">
        <f ca="1">IFERROR(__xludf.DUMMYFUNCTION("""COMPUTED_VALUE"""),"TI")</f>
        <v>TI</v>
      </c>
      <c r="E377" s="40">
        <f ca="1">IFERROR(__xludf.DUMMYFUNCTION("""COMPUTED_VALUE"""),1084330630)</f>
        <v>1084330630</v>
      </c>
      <c r="F377" s="40">
        <f ca="1">IFERROR(__xludf.DUMMYFUNCTION("""COMPUTED_VALUE"""),2500267)</f>
        <v>2500267</v>
      </c>
      <c r="G377" s="40" t="str">
        <f ca="1">IFERROR(__xludf.DUMMYFUNCTION("""COMPUTED_VALUE"""),"TÉCNICO")</f>
        <v>TÉCNICO</v>
      </c>
      <c r="H377" s="40" t="str">
        <f ca="1">IFERROR(__xludf.DUMMYFUNCTION("""COMPUTED_VALUE"""),"DIBUJO ARQUITECTÓNICO")</f>
        <v>DIBUJO ARQUITECTÓNICO</v>
      </c>
      <c r="I377" s="40"/>
      <c r="J377" s="40"/>
      <c r="K377" s="40"/>
      <c r="L377" s="40" t="str">
        <f ca="1">IFERROR(__xludf.DUMMYFUNCTION("""COMPUTED_VALUE"""),"NO HA INICIADO ETAPA PRODUCTIVA")</f>
        <v>NO HA INICIADO ETAPA PRODUCTIVA</v>
      </c>
      <c r="M377" s="40"/>
      <c r="N377" s="40"/>
      <c r="O377" s="40"/>
      <c r="P377" s="40"/>
      <c r="Q377" s="40"/>
      <c r="R377" s="140"/>
      <c r="S377" s="140"/>
      <c r="T377" s="40" t="str">
        <f ca="1">IFERROR(__xludf.DUMMYFUNCTION("""COMPUTED_VALUE"""),"debe 13 resultados... Revisado 15/11/2022")</f>
        <v>debe 13 resultados... Revisado 15/11/2022</v>
      </c>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t="str">
        <f ca="1">IFERROR(__xludf.DUMMYFUNCTION("""COMPUTED_VALUE"""),"NO_CUMPLE")</f>
        <v>NO_CUMPLE</v>
      </c>
      <c r="AV377" s="40" t="str">
        <f ca="1">IFERROR(__xludf.DUMMYFUNCTION("""COMPUTED_VALUE"""),"EN FORMACION")</f>
        <v>EN FORMACION</v>
      </c>
      <c r="AW377" s="40" t="str">
        <f ca="1">IFERROR(__xludf.DUMMYFUNCTION("""COMPUTED_VALUE"""),"BIOCONSTRUCCION")</f>
        <v>BIOCONSTRUCCION</v>
      </c>
      <c r="AX377" s="141">
        <f ca="1">IFERROR(__xludf.DUMMYFUNCTION("""COMPUTED_VALUE"""),44839)</f>
        <v>44839</v>
      </c>
      <c r="AY377" s="40">
        <f ca="1">IFERROR(__xludf.DUMMYFUNCTION("""COMPUTED_VALUE"""),7)</f>
        <v>7</v>
      </c>
      <c r="AZ377" s="40">
        <f ca="1">IFERROR(__xludf.DUMMYFUNCTION("""COMPUTED_VALUE"""),1)</f>
        <v>1</v>
      </c>
      <c r="BA377" s="40">
        <f ca="1">IFERROR(__xludf.DUMMYFUNCTION("""COMPUTED_VALUE"""),7)</f>
        <v>7</v>
      </c>
      <c r="BB377" s="40">
        <f ca="1">IFERROR(__xludf.DUMMYFUNCTION("""COMPUTED_VALUE"""),7)</f>
        <v>7</v>
      </c>
      <c r="BC377" s="40">
        <f ca="1">IFERROR(__xludf.DUMMYFUNCTION("""COMPUTED_VALUE"""),22)</f>
        <v>22</v>
      </c>
      <c r="BD377" s="141">
        <f ca="1">IFERROR(__xludf.DUMMYFUNCTION("""COMPUTED_VALUE"""),44669)</f>
        <v>44669</v>
      </c>
      <c r="BE377" s="141">
        <f ca="1">IFERROR(__xludf.DUMMYFUNCTION("""COMPUTED_VALUE"""),44851)</f>
        <v>44851</v>
      </c>
      <c r="BF377" s="141">
        <f ca="1">IFERROR(__xludf.DUMMYFUNCTION("""COMPUTED_VALUE"""),45033)</f>
        <v>45033</v>
      </c>
      <c r="BG377" s="141">
        <f ca="1">IFERROR(__xludf.DUMMYFUNCTION("""COMPUTED_VALUE"""),45582)</f>
        <v>45582</v>
      </c>
      <c r="BH377" s="40" t="str">
        <f ca="1">IFERROR(__xludf.DUMMYFUNCTION("""COMPUTED_VALUE"""),"FICHA EN TIEMPO-18 MESES")</f>
        <v>FICHA EN TIEMPO-18 MESES</v>
      </c>
      <c r="BI377" s="40" t="str">
        <f ca="1">IFERROR(__xludf.DUMMYFUNCTION("""COMPUTED_VALUE"""),"En ejecucion")</f>
        <v>En ejecucion</v>
      </c>
      <c r="BJ377" s="40" t="str">
        <f ca="1">IFERROR(__xludf.DUMMYFUNCTION("""COMPUTED_VALUE"""),"Yamboro")</f>
        <v>Yamboro</v>
      </c>
      <c r="BK377" s="40"/>
      <c r="BL377" s="40"/>
    </row>
    <row r="378" spans="1:64" ht="13">
      <c r="A378" s="40"/>
      <c r="B378" s="40" t="str">
        <f ca="1">IFERROR(__xludf.DUMMYFUNCTION("""COMPUTED_VALUE"""),"FORMACIÓN 18/10/2022")</f>
        <v>FORMACIÓN 18/10/2022</v>
      </c>
      <c r="C378" s="40" t="str">
        <f ca="1">IFERROR(__xludf.DUMMYFUNCTION("""COMPUTED_VALUE"""),"DARIO SOSCUE OBANDO")</f>
        <v>DARIO SOSCUE OBANDO</v>
      </c>
      <c r="D378" s="40" t="str">
        <f ca="1">IFERROR(__xludf.DUMMYFUNCTION("""COMPUTED_VALUE"""),"CC")</f>
        <v>CC</v>
      </c>
      <c r="E378" s="40">
        <f ca="1">IFERROR(__xludf.DUMMYFUNCTION("""COMPUTED_VALUE"""),1089478152)</f>
        <v>1089478152</v>
      </c>
      <c r="F378" s="40">
        <f ca="1">IFERROR(__xludf.DUMMYFUNCTION("""COMPUTED_VALUE"""),2500267)</f>
        <v>2500267</v>
      </c>
      <c r="G378" s="40" t="str">
        <f ca="1">IFERROR(__xludf.DUMMYFUNCTION("""COMPUTED_VALUE"""),"TÉCNICO")</f>
        <v>TÉCNICO</v>
      </c>
      <c r="H378" s="40" t="str">
        <f ca="1">IFERROR(__xludf.DUMMYFUNCTION("""COMPUTED_VALUE"""),"DIBUJO ARQUITECTÓNICO")</f>
        <v>DIBUJO ARQUITECTÓNICO</v>
      </c>
      <c r="I378" s="40"/>
      <c r="J378" s="40"/>
      <c r="K378" s="40"/>
      <c r="L378" s="40" t="str">
        <f ca="1">IFERROR(__xludf.DUMMYFUNCTION("""COMPUTED_VALUE"""),"NO HA INICIADO ETAPA PRODUCTIVA")</f>
        <v>NO HA INICIADO ETAPA PRODUCTIVA</v>
      </c>
      <c r="M378" s="40"/>
      <c r="N378" s="40"/>
      <c r="O378" s="40"/>
      <c r="P378" s="40"/>
      <c r="Q378" s="40"/>
      <c r="R378" s="140"/>
      <c r="S378" s="140"/>
      <c r="T378" s="40" t="str">
        <f ca="1">IFERROR(__xludf.DUMMYFUNCTION("""COMPUTED_VALUE"""),"debe 12 resultados... Revisado 15/11/2022")</f>
        <v>debe 12 resultados... Revisado 15/11/2022</v>
      </c>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t="str">
        <f ca="1">IFERROR(__xludf.DUMMYFUNCTION("""COMPUTED_VALUE"""),"NO_CUMPLE")</f>
        <v>NO_CUMPLE</v>
      </c>
      <c r="AV378" s="40" t="str">
        <f ca="1">IFERROR(__xludf.DUMMYFUNCTION("""COMPUTED_VALUE"""),"EN FORMACION")</f>
        <v>EN FORMACION</v>
      </c>
      <c r="AW378" s="40" t="str">
        <f ca="1">IFERROR(__xludf.DUMMYFUNCTION("""COMPUTED_VALUE"""),"BIOCONSTRUCCION")</f>
        <v>BIOCONSTRUCCION</v>
      </c>
      <c r="AX378" s="141">
        <f ca="1">IFERROR(__xludf.DUMMYFUNCTION("""COMPUTED_VALUE"""),44839)</f>
        <v>44839</v>
      </c>
      <c r="AY378" s="40">
        <f ca="1">IFERROR(__xludf.DUMMYFUNCTION("""COMPUTED_VALUE"""),6)</f>
        <v>6</v>
      </c>
      <c r="AZ378" s="40">
        <f ca="1">IFERROR(__xludf.DUMMYFUNCTION("""COMPUTED_VALUE"""),1)</f>
        <v>1</v>
      </c>
      <c r="BA378" s="40">
        <f ca="1">IFERROR(__xludf.DUMMYFUNCTION("""COMPUTED_VALUE"""),7)</f>
        <v>7</v>
      </c>
      <c r="BB378" s="40">
        <f ca="1">IFERROR(__xludf.DUMMYFUNCTION("""COMPUTED_VALUE"""),7)</f>
        <v>7</v>
      </c>
      <c r="BC378" s="40">
        <f ca="1">IFERROR(__xludf.DUMMYFUNCTION("""COMPUTED_VALUE"""),21)</f>
        <v>21</v>
      </c>
      <c r="BD378" s="141">
        <f ca="1">IFERROR(__xludf.DUMMYFUNCTION("""COMPUTED_VALUE"""),44669)</f>
        <v>44669</v>
      </c>
      <c r="BE378" s="141">
        <f ca="1">IFERROR(__xludf.DUMMYFUNCTION("""COMPUTED_VALUE"""),44851)</f>
        <v>44851</v>
      </c>
      <c r="BF378" s="141">
        <f ca="1">IFERROR(__xludf.DUMMYFUNCTION("""COMPUTED_VALUE"""),45033)</f>
        <v>45033</v>
      </c>
      <c r="BG378" s="141">
        <f ca="1">IFERROR(__xludf.DUMMYFUNCTION("""COMPUTED_VALUE"""),45582)</f>
        <v>45582</v>
      </c>
      <c r="BH378" s="40" t="str">
        <f ca="1">IFERROR(__xludf.DUMMYFUNCTION("""COMPUTED_VALUE"""),"FICHA EN TIEMPO-18 MESES")</f>
        <v>FICHA EN TIEMPO-18 MESES</v>
      </c>
      <c r="BI378" s="40" t="str">
        <f ca="1">IFERROR(__xludf.DUMMYFUNCTION("""COMPUTED_VALUE"""),"En ejecucion")</f>
        <v>En ejecucion</v>
      </c>
      <c r="BJ378" s="40" t="str">
        <f ca="1">IFERROR(__xludf.DUMMYFUNCTION("""COMPUTED_VALUE"""),"Yamboro")</f>
        <v>Yamboro</v>
      </c>
      <c r="BK378" s="40"/>
      <c r="BL378" s="40"/>
    </row>
    <row r="379" spans="1:64" ht="13">
      <c r="A379" s="40"/>
      <c r="B379" s="40" t="str">
        <f ca="1">IFERROR(__xludf.DUMMYFUNCTION("""COMPUTED_VALUE"""),"FORMACIÓN 18/10/2022")</f>
        <v>FORMACIÓN 18/10/2022</v>
      </c>
      <c r="C379" s="40" t="str">
        <f ca="1">IFERROR(__xludf.DUMMYFUNCTION("""COMPUTED_VALUE"""),"DIDIER ISIDRO JUTINICO ROJAS")</f>
        <v>DIDIER ISIDRO JUTINICO ROJAS</v>
      </c>
      <c r="D379" s="40" t="str">
        <f ca="1">IFERROR(__xludf.DUMMYFUNCTION("""COMPUTED_VALUE"""),"TI")</f>
        <v>TI</v>
      </c>
      <c r="E379" s="40">
        <f ca="1">IFERROR(__xludf.DUMMYFUNCTION("""COMPUTED_VALUE"""),1099342287)</f>
        <v>1099342287</v>
      </c>
      <c r="F379" s="40">
        <f ca="1">IFERROR(__xludf.DUMMYFUNCTION("""COMPUTED_VALUE"""),2500267)</f>
        <v>2500267</v>
      </c>
      <c r="G379" s="40" t="str">
        <f ca="1">IFERROR(__xludf.DUMMYFUNCTION("""COMPUTED_VALUE"""),"TÉCNICO")</f>
        <v>TÉCNICO</v>
      </c>
      <c r="H379" s="40" t="str">
        <f ca="1">IFERROR(__xludf.DUMMYFUNCTION("""COMPUTED_VALUE"""),"DIBUJO ARQUITECTÓNICO")</f>
        <v>DIBUJO ARQUITECTÓNICO</v>
      </c>
      <c r="I379" s="40"/>
      <c r="J379" s="40"/>
      <c r="K379" s="40"/>
      <c r="L379" s="40" t="str">
        <f ca="1">IFERROR(__xludf.DUMMYFUNCTION("""COMPUTED_VALUE"""),"NO HA INICIADO ETAPA PRODUCTIVA")</f>
        <v>NO HA INICIADO ETAPA PRODUCTIVA</v>
      </c>
      <c r="M379" s="40"/>
      <c r="N379" s="40"/>
      <c r="O379" s="40"/>
      <c r="P379" s="40"/>
      <c r="Q379" s="40"/>
      <c r="R379" s="140"/>
      <c r="S379" s="140"/>
      <c r="T379" s="40" t="str">
        <f ca="1">IFERROR(__xludf.DUMMYFUNCTION("""COMPUTED_VALUE"""),"debe 23 resultados... Revisado 15/11/2022")</f>
        <v>debe 23 resultados... Revisado 15/11/2022</v>
      </c>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t="str">
        <f ca="1">IFERROR(__xludf.DUMMYFUNCTION("""COMPUTED_VALUE"""),"NO_CUMPLE")</f>
        <v>NO_CUMPLE</v>
      </c>
      <c r="AV379" s="40" t="str">
        <f ca="1">IFERROR(__xludf.DUMMYFUNCTION("""COMPUTED_VALUE"""),"EN FORMACION")</f>
        <v>EN FORMACION</v>
      </c>
      <c r="AW379" s="40" t="str">
        <f ca="1">IFERROR(__xludf.DUMMYFUNCTION("""COMPUTED_VALUE"""),"BIOCONSTRUCCION")</f>
        <v>BIOCONSTRUCCION</v>
      </c>
      <c r="AX379" s="141">
        <f ca="1">IFERROR(__xludf.DUMMYFUNCTION("""COMPUTED_VALUE"""),44839)</f>
        <v>44839</v>
      </c>
      <c r="AY379" s="40">
        <f ca="1">IFERROR(__xludf.DUMMYFUNCTION("""COMPUTED_VALUE"""),9)</f>
        <v>9</v>
      </c>
      <c r="AZ379" s="40">
        <f ca="1">IFERROR(__xludf.DUMMYFUNCTION("""COMPUTED_VALUE"""),1)</f>
        <v>1</v>
      </c>
      <c r="BA379" s="40">
        <f ca="1">IFERROR(__xludf.DUMMYFUNCTION("""COMPUTED_VALUE"""),7)</f>
        <v>7</v>
      </c>
      <c r="BB379" s="40">
        <f ca="1">IFERROR(__xludf.DUMMYFUNCTION("""COMPUTED_VALUE"""),7)</f>
        <v>7</v>
      </c>
      <c r="BC379" s="40">
        <f ca="1">IFERROR(__xludf.DUMMYFUNCTION("""COMPUTED_VALUE"""),24)</f>
        <v>24</v>
      </c>
      <c r="BD379" s="141">
        <f ca="1">IFERROR(__xludf.DUMMYFUNCTION("""COMPUTED_VALUE"""),44669)</f>
        <v>44669</v>
      </c>
      <c r="BE379" s="141">
        <f ca="1">IFERROR(__xludf.DUMMYFUNCTION("""COMPUTED_VALUE"""),44851)</f>
        <v>44851</v>
      </c>
      <c r="BF379" s="141">
        <f ca="1">IFERROR(__xludf.DUMMYFUNCTION("""COMPUTED_VALUE"""),45033)</f>
        <v>45033</v>
      </c>
      <c r="BG379" s="141">
        <f ca="1">IFERROR(__xludf.DUMMYFUNCTION("""COMPUTED_VALUE"""),45582)</f>
        <v>45582</v>
      </c>
      <c r="BH379" s="40" t="str">
        <f ca="1">IFERROR(__xludf.DUMMYFUNCTION("""COMPUTED_VALUE"""),"FICHA EN TIEMPO-18 MESES")</f>
        <v>FICHA EN TIEMPO-18 MESES</v>
      </c>
      <c r="BI379" s="40" t="str">
        <f ca="1">IFERROR(__xludf.DUMMYFUNCTION("""COMPUTED_VALUE"""),"En ejecucion")</f>
        <v>En ejecucion</v>
      </c>
      <c r="BJ379" s="40" t="str">
        <f ca="1">IFERROR(__xludf.DUMMYFUNCTION("""COMPUTED_VALUE"""),"Yamboro")</f>
        <v>Yamboro</v>
      </c>
      <c r="BK379" s="40"/>
      <c r="BL379" s="40"/>
    </row>
    <row r="380" spans="1:64" ht="13">
      <c r="A380" s="40"/>
      <c r="B380" s="40" t="str">
        <f ca="1">IFERROR(__xludf.DUMMYFUNCTION("""COMPUTED_VALUE"""),"FORMACIÓN 18/10/2022")</f>
        <v>FORMACIÓN 18/10/2022</v>
      </c>
      <c r="C380" s="40" t="str">
        <f ca="1">IFERROR(__xludf.DUMMYFUNCTION("""COMPUTED_VALUE"""),"DANIEL FELIPE RUIZ DIAZ")</f>
        <v>DANIEL FELIPE RUIZ DIAZ</v>
      </c>
      <c r="D380" s="40" t="str">
        <f ca="1">IFERROR(__xludf.DUMMYFUNCTION("""COMPUTED_VALUE"""),"CC")</f>
        <v>CC</v>
      </c>
      <c r="E380" s="40">
        <f ca="1">IFERROR(__xludf.DUMMYFUNCTION("""COMPUTED_VALUE"""),1193031688)</f>
        <v>1193031688</v>
      </c>
      <c r="F380" s="40">
        <f ca="1">IFERROR(__xludf.DUMMYFUNCTION("""COMPUTED_VALUE"""),2500267)</f>
        <v>2500267</v>
      </c>
      <c r="G380" s="40" t="str">
        <f ca="1">IFERROR(__xludf.DUMMYFUNCTION("""COMPUTED_VALUE"""),"TÉCNICO")</f>
        <v>TÉCNICO</v>
      </c>
      <c r="H380" s="40" t="str">
        <f ca="1">IFERROR(__xludf.DUMMYFUNCTION("""COMPUTED_VALUE"""),"DIBUJO ARQUITECTÓNICO")</f>
        <v>DIBUJO ARQUITECTÓNICO</v>
      </c>
      <c r="I380" s="40"/>
      <c r="J380" s="40"/>
      <c r="K380" s="40"/>
      <c r="L380" s="40" t="str">
        <f ca="1">IFERROR(__xludf.DUMMYFUNCTION("""COMPUTED_VALUE"""),"NO HA INICIADO ETAPA PRODUCTIVA")</f>
        <v>NO HA INICIADO ETAPA PRODUCTIVA</v>
      </c>
      <c r="M380" s="40"/>
      <c r="N380" s="40"/>
      <c r="O380" s="40"/>
      <c r="P380" s="40"/>
      <c r="Q380" s="40"/>
      <c r="R380" s="140"/>
      <c r="S380" s="140"/>
      <c r="T380" s="40" t="str">
        <f ca="1">IFERROR(__xludf.DUMMYFUNCTION("""COMPUTED_VALUE"""),"debe 14 resultados... Revisado 15/11/2022")</f>
        <v>debe 14 resultados... Revisado 15/11/2022</v>
      </c>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t="str">
        <f ca="1">IFERROR(__xludf.DUMMYFUNCTION("""COMPUTED_VALUE"""),"NO_CUMPLE")</f>
        <v>NO_CUMPLE</v>
      </c>
      <c r="AV380" s="40" t="str">
        <f ca="1">IFERROR(__xludf.DUMMYFUNCTION("""COMPUTED_VALUE"""),"EN FORMACION")</f>
        <v>EN FORMACION</v>
      </c>
      <c r="AW380" s="40" t="str">
        <f ca="1">IFERROR(__xludf.DUMMYFUNCTION("""COMPUTED_VALUE"""),"BIOCONSTRUCCION")</f>
        <v>BIOCONSTRUCCION</v>
      </c>
      <c r="AX380" s="141">
        <f ca="1">IFERROR(__xludf.DUMMYFUNCTION("""COMPUTED_VALUE"""),44839)</f>
        <v>44839</v>
      </c>
      <c r="AY380" s="40">
        <f ca="1">IFERROR(__xludf.DUMMYFUNCTION("""COMPUTED_VALUE"""),6)</f>
        <v>6</v>
      </c>
      <c r="AZ380" s="40">
        <f ca="1">IFERROR(__xludf.DUMMYFUNCTION("""COMPUTED_VALUE"""),1)</f>
        <v>1</v>
      </c>
      <c r="BA380" s="40">
        <f ca="1">IFERROR(__xludf.DUMMYFUNCTION("""COMPUTED_VALUE"""),7)</f>
        <v>7</v>
      </c>
      <c r="BB380" s="40">
        <f ca="1">IFERROR(__xludf.DUMMYFUNCTION("""COMPUTED_VALUE"""),7)</f>
        <v>7</v>
      </c>
      <c r="BC380" s="40">
        <f ca="1">IFERROR(__xludf.DUMMYFUNCTION("""COMPUTED_VALUE"""),21)</f>
        <v>21</v>
      </c>
      <c r="BD380" s="141">
        <f ca="1">IFERROR(__xludf.DUMMYFUNCTION("""COMPUTED_VALUE"""),44669)</f>
        <v>44669</v>
      </c>
      <c r="BE380" s="141">
        <f ca="1">IFERROR(__xludf.DUMMYFUNCTION("""COMPUTED_VALUE"""),44851)</f>
        <v>44851</v>
      </c>
      <c r="BF380" s="141">
        <f ca="1">IFERROR(__xludf.DUMMYFUNCTION("""COMPUTED_VALUE"""),45033)</f>
        <v>45033</v>
      </c>
      <c r="BG380" s="141">
        <f ca="1">IFERROR(__xludf.DUMMYFUNCTION("""COMPUTED_VALUE"""),45582)</f>
        <v>45582</v>
      </c>
      <c r="BH380" s="40" t="str">
        <f ca="1">IFERROR(__xludf.DUMMYFUNCTION("""COMPUTED_VALUE"""),"FICHA EN TIEMPO-18 MESES")</f>
        <v>FICHA EN TIEMPO-18 MESES</v>
      </c>
      <c r="BI380" s="40" t="str">
        <f ca="1">IFERROR(__xludf.DUMMYFUNCTION("""COMPUTED_VALUE"""),"En ejecucion")</f>
        <v>En ejecucion</v>
      </c>
      <c r="BJ380" s="40" t="str">
        <f ca="1">IFERROR(__xludf.DUMMYFUNCTION("""COMPUTED_VALUE"""),"Yamboro")</f>
        <v>Yamboro</v>
      </c>
      <c r="BK380" s="40"/>
      <c r="BL380" s="40"/>
    </row>
    <row r="381" spans="1:64" ht="13">
      <c r="A381" s="40"/>
      <c r="B381" s="40" t="str">
        <f ca="1">IFERROR(__xludf.DUMMYFUNCTION("""COMPUTED_VALUE"""),"FORMACIÓN 18/10/2022")</f>
        <v>FORMACIÓN 18/10/2022</v>
      </c>
      <c r="C381" s="40" t="str">
        <f ca="1">IFERROR(__xludf.DUMMYFUNCTION("""COMPUTED_VALUE"""),"ERICK JULIAN ANACONA RODRIGUEZ")</f>
        <v>ERICK JULIAN ANACONA RODRIGUEZ</v>
      </c>
      <c r="D381" s="40" t="str">
        <f ca="1">IFERROR(__xludf.DUMMYFUNCTION("""COMPUTED_VALUE"""),"CC")</f>
        <v>CC</v>
      </c>
      <c r="E381" s="40">
        <f ca="1">IFERROR(__xludf.DUMMYFUNCTION("""COMPUTED_VALUE"""),1193572095)</f>
        <v>1193572095</v>
      </c>
      <c r="F381" s="40">
        <f ca="1">IFERROR(__xludf.DUMMYFUNCTION("""COMPUTED_VALUE"""),2500267)</f>
        <v>2500267</v>
      </c>
      <c r="G381" s="40" t="str">
        <f ca="1">IFERROR(__xludf.DUMMYFUNCTION("""COMPUTED_VALUE"""),"TÉCNICO")</f>
        <v>TÉCNICO</v>
      </c>
      <c r="H381" s="40" t="str">
        <f ca="1">IFERROR(__xludf.DUMMYFUNCTION("""COMPUTED_VALUE"""),"DIBUJO ARQUITECTÓNICO")</f>
        <v>DIBUJO ARQUITECTÓNICO</v>
      </c>
      <c r="I381" s="40"/>
      <c r="J381" s="40"/>
      <c r="K381" s="40"/>
      <c r="L381" s="40" t="str">
        <f ca="1">IFERROR(__xludf.DUMMYFUNCTION("""COMPUTED_VALUE"""),"NO HA INICIADO ETAPA PRODUCTIVA")</f>
        <v>NO HA INICIADO ETAPA PRODUCTIVA</v>
      </c>
      <c r="M381" s="40"/>
      <c r="N381" s="40"/>
      <c r="O381" s="40"/>
      <c r="P381" s="40"/>
      <c r="Q381" s="40"/>
      <c r="R381" s="140"/>
      <c r="S381" s="140"/>
      <c r="T381" s="40" t="str">
        <f ca="1">IFERROR(__xludf.DUMMYFUNCTION("""COMPUTED_VALUE"""),"debe 12 resultados... Revisado 15/11/2022")</f>
        <v>debe 12 resultados... Revisado 15/11/2022</v>
      </c>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t="str">
        <f ca="1">IFERROR(__xludf.DUMMYFUNCTION("""COMPUTED_VALUE"""),"NO_CUMPLE")</f>
        <v>NO_CUMPLE</v>
      </c>
      <c r="AV381" s="40" t="str">
        <f ca="1">IFERROR(__xludf.DUMMYFUNCTION("""COMPUTED_VALUE"""),"EN FORMACION")</f>
        <v>EN FORMACION</v>
      </c>
      <c r="AW381" s="40" t="str">
        <f ca="1">IFERROR(__xludf.DUMMYFUNCTION("""COMPUTED_VALUE"""),"BIOCONSTRUCCION")</f>
        <v>BIOCONSTRUCCION</v>
      </c>
      <c r="AX381" s="141">
        <f ca="1">IFERROR(__xludf.DUMMYFUNCTION("""COMPUTED_VALUE"""),44839)</f>
        <v>44839</v>
      </c>
      <c r="AY381" s="40">
        <f ca="1">IFERROR(__xludf.DUMMYFUNCTION("""COMPUTED_VALUE"""),6)</f>
        <v>6</v>
      </c>
      <c r="AZ381" s="40">
        <f ca="1">IFERROR(__xludf.DUMMYFUNCTION("""COMPUTED_VALUE"""),1)</f>
        <v>1</v>
      </c>
      <c r="BA381" s="40">
        <f ca="1">IFERROR(__xludf.DUMMYFUNCTION("""COMPUTED_VALUE"""),7)</f>
        <v>7</v>
      </c>
      <c r="BB381" s="40">
        <f ca="1">IFERROR(__xludf.DUMMYFUNCTION("""COMPUTED_VALUE"""),7)</f>
        <v>7</v>
      </c>
      <c r="BC381" s="40">
        <f ca="1">IFERROR(__xludf.DUMMYFUNCTION("""COMPUTED_VALUE"""),21)</f>
        <v>21</v>
      </c>
      <c r="BD381" s="141">
        <f ca="1">IFERROR(__xludf.DUMMYFUNCTION("""COMPUTED_VALUE"""),44669)</f>
        <v>44669</v>
      </c>
      <c r="BE381" s="141">
        <f ca="1">IFERROR(__xludf.DUMMYFUNCTION("""COMPUTED_VALUE"""),44851)</f>
        <v>44851</v>
      </c>
      <c r="BF381" s="141">
        <f ca="1">IFERROR(__xludf.DUMMYFUNCTION("""COMPUTED_VALUE"""),45033)</f>
        <v>45033</v>
      </c>
      <c r="BG381" s="141">
        <f ca="1">IFERROR(__xludf.DUMMYFUNCTION("""COMPUTED_VALUE"""),45582)</f>
        <v>45582</v>
      </c>
      <c r="BH381" s="40" t="str">
        <f ca="1">IFERROR(__xludf.DUMMYFUNCTION("""COMPUTED_VALUE"""),"FICHA EN TIEMPO-18 MESES")</f>
        <v>FICHA EN TIEMPO-18 MESES</v>
      </c>
      <c r="BI381" s="40" t="str">
        <f ca="1">IFERROR(__xludf.DUMMYFUNCTION("""COMPUTED_VALUE"""),"En ejecucion")</f>
        <v>En ejecucion</v>
      </c>
      <c r="BJ381" s="40" t="str">
        <f ca="1">IFERROR(__xludf.DUMMYFUNCTION("""COMPUTED_VALUE"""),"Yamboro")</f>
        <v>Yamboro</v>
      </c>
      <c r="BK381" s="40"/>
      <c r="BL381" s="40"/>
    </row>
    <row r="382" spans="1:64" ht="13">
      <c r="A382" s="40"/>
      <c r="B382" s="40" t="str">
        <f ca="1">IFERROR(__xludf.DUMMYFUNCTION("""COMPUTED_VALUE"""),"FORMACIÓN 18/10/2022")</f>
        <v>FORMACIÓN 18/10/2022</v>
      </c>
      <c r="C382" s="40" t="str">
        <f ca="1">IFERROR(__xludf.DUMMYFUNCTION("""COMPUTED_VALUE"""),"ROSA ELENA DUARTE VERA")</f>
        <v>ROSA ELENA DUARTE VERA</v>
      </c>
      <c r="D382" s="40" t="str">
        <f ca="1">IFERROR(__xludf.DUMMYFUNCTION("""COMPUTED_VALUE"""),"CC")</f>
        <v>CC</v>
      </c>
      <c r="E382" s="40">
        <f ca="1">IFERROR(__xludf.DUMMYFUNCTION("""COMPUTED_VALUE"""),36292791)</f>
        <v>36292791</v>
      </c>
      <c r="F382" s="40">
        <f ca="1">IFERROR(__xludf.DUMMYFUNCTION("""COMPUTED_VALUE"""),2500267)</f>
        <v>2500267</v>
      </c>
      <c r="G382" s="40" t="str">
        <f ca="1">IFERROR(__xludf.DUMMYFUNCTION("""COMPUTED_VALUE"""),"TÉCNICO")</f>
        <v>TÉCNICO</v>
      </c>
      <c r="H382" s="40" t="str">
        <f ca="1">IFERROR(__xludf.DUMMYFUNCTION("""COMPUTED_VALUE"""),"DIBUJO ARQUITECTÓNICO")</f>
        <v>DIBUJO ARQUITECTÓNICO</v>
      </c>
      <c r="I382" s="40"/>
      <c r="J382" s="40"/>
      <c r="K382" s="40"/>
      <c r="L382" s="40" t="str">
        <f ca="1">IFERROR(__xludf.DUMMYFUNCTION("""COMPUTED_VALUE"""),"NO HA INICIADO ETAPA PRODUCTIVA")</f>
        <v>NO HA INICIADO ETAPA PRODUCTIVA</v>
      </c>
      <c r="M382" s="40"/>
      <c r="N382" s="40"/>
      <c r="O382" s="40"/>
      <c r="P382" s="40"/>
      <c r="Q382" s="40"/>
      <c r="R382" s="140"/>
      <c r="S382" s="140"/>
      <c r="T382" s="40" t="str">
        <f ca="1">IFERROR(__xludf.DUMMYFUNCTION("""COMPUTED_VALUE"""),"debe 28 resultados... Revisado 15/11/2022")</f>
        <v>debe 28 resultados... Revisado 15/11/2022</v>
      </c>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t="str">
        <f ca="1">IFERROR(__xludf.DUMMYFUNCTION("""COMPUTED_VALUE"""),"NO_CUMPLE")</f>
        <v>NO_CUMPLE</v>
      </c>
      <c r="AV382" s="40" t="str">
        <f ca="1">IFERROR(__xludf.DUMMYFUNCTION("""COMPUTED_VALUE"""),"EN FORMACION")</f>
        <v>EN FORMACION</v>
      </c>
      <c r="AW382" s="40" t="str">
        <f ca="1">IFERROR(__xludf.DUMMYFUNCTION("""COMPUTED_VALUE"""),"BIOCONSTRUCCION")</f>
        <v>BIOCONSTRUCCION</v>
      </c>
      <c r="AX382" s="141">
        <f ca="1">IFERROR(__xludf.DUMMYFUNCTION("""COMPUTED_VALUE"""),44839)</f>
        <v>44839</v>
      </c>
      <c r="AY382" s="40">
        <f ca="1">IFERROR(__xludf.DUMMYFUNCTION("""COMPUTED_VALUE"""),14)</f>
        <v>14</v>
      </c>
      <c r="AZ382" s="40">
        <f ca="1">IFERROR(__xludf.DUMMYFUNCTION("""COMPUTED_VALUE"""),1)</f>
        <v>1</v>
      </c>
      <c r="BA382" s="40">
        <f ca="1">IFERROR(__xludf.DUMMYFUNCTION("""COMPUTED_VALUE"""),7)</f>
        <v>7</v>
      </c>
      <c r="BB382" s="40">
        <f ca="1">IFERROR(__xludf.DUMMYFUNCTION("""COMPUTED_VALUE"""),7)</f>
        <v>7</v>
      </c>
      <c r="BC382" s="40">
        <f ca="1">IFERROR(__xludf.DUMMYFUNCTION("""COMPUTED_VALUE"""),29)</f>
        <v>29</v>
      </c>
      <c r="BD382" s="141">
        <f ca="1">IFERROR(__xludf.DUMMYFUNCTION("""COMPUTED_VALUE"""),44669)</f>
        <v>44669</v>
      </c>
      <c r="BE382" s="141">
        <f ca="1">IFERROR(__xludf.DUMMYFUNCTION("""COMPUTED_VALUE"""),44851)</f>
        <v>44851</v>
      </c>
      <c r="BF382" s="141">
        <f ca="1">IFERROR(__xludf.DUMMYFUNCTION("""COMPUTED_VALUE"""),45033)</f>
        <v>45033</v>
      </c>
      <c r="BG382" s="141">
        <f ca="1">IFERROR(__xludf.DUMMYFUNCTION("""COMPUTED_VALUE"""),45582)</f>
        <v>45582</v>
      </c>
      <c r="BH382" s="40" t="str">
        <f ca="1">IFERROR(__xludf.DUMMYFUNCTION("""COMPUTED_VALUE"""),"FICHA EN TIEMPO-18 MESES")</f>
        <v>FICHA EN TIEMPO-18 MESES</v>
      </c>
      <c r="BI382" s="40" t="str">
        <f ca="1">IFERROR(__xludf.DUMMYFUNCTION("""COMPUTED_VALUE"""),"En ejecucion")</f>
        <v>En ejecucion</v>
      </c>
      <c r="BJ382" s="40" t="str">
        <f ca="1">IFERROR(__xludf.DUMMYFUNCTION("""COMPUTED_VALUE"""),"Yamboro")</f>
        <v>Yamboro</v>
      </c>
      <c r="BK382" s="40"/>
      <c r="BL382" s="40"/>
    </row>
    <row r="383" spans="1:64" ht="13">
      <c r="A383" s="40"/>
      <c r="B383" s="40" t="str">
        <f ca="1">IFERROR(__xludf.DUMMYFUNCTION("""COMPUTED_VALUE"""),"FORMACIÓN 18/10/2022")</f>
        <v>FORMACIÓN 18/10/2022</v>
      </c>
      <c r="C383" s="40" t="str">
        <f ca="1">IFERROR(__xludf.DUMMYFUNCTION("""COMPUTED_VALUE"""),"RICARDO FERNANDEZ BARRIOS")</f>
        <v>RICARDO FERNANDEZ BARRIOS</v>
      </c>
      <c r="D383" s="40" t="str">
        <f ca="1">IFERROR(__xludf.DUMMYFUNCTION("""COMPUTED_VALUE"""),"CC")</f>
        <v>CC</v>
      </c>
      <c r="E383" s="40">
        <f ca="1">IFERROR(__xludf.DUMMYFUNCTION("""COMPUTED_VALUE"""),1004417118)</f>
        <v>1004417118</v>
      </c>
      <c r="F383" s="40">
        <f ca="1">IFERROR(__xludf.DUMMYFUNCTION("""COMPUTED_VALUE"""),1905821)</f>
        <v>1905821</v>
      </c>
      <c r="G383" s="40" t="str">
        <f ca="1">IFERROR(__xludf.DUMMYFUNCTION("""COMPUTED_VALUE"""),"TÉCNICO")</f>
        <v>TÉCNICO</v>
      </c>
      <c r="H383" s="40" t="str">
        <f ca="1">IFERROR(__xludf.DUMMYFUNCTION("""COMPUTED_VALUE"""),"COCINA.")</f>
        <v>COCINA.</v>
      </c>
      <c r="I383" s="40"/>
      <c r="J383" s="40"/>
      <c r="K383" s="40"/>
      <c r="L383" s="40" t="str">
        <f ca="1">IFERROR(__xludf.DUMMYFUNCTION("""COMPUTED_VALUE"""),"NO HA INICIADO ETAPA PRODUCTIVA")</f>
        <v>NO HA INICIADO ETAPA PRODUCTIVA</v>
      </c>
      <c r="M383" s="40"/>
      <c r="N383" s="40"/>
      <c r="O383" s="40"/>
      <c r="P383" s="40"/>
      <c r="Q383" s="40"/>
      <c r="R383" s="140"/>
      <c r="S383" s="1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t="str">
        <f ca="1">IFERROR(__xludf.DUMMYFUNCTION("""COMPUTED_VALUE"""),"Procede_E_P")</f>
        <v>Procede_E_P</v>
      </c>
      <c r="AV383" s="40" t="str">
        <f ca="1">IFERROR(__xludf.DUMMYFUNCTION("""COMPUTED_VALUE"""),"EN FORMACION")</f>
        <v>EN FORMACION</v>
      </c>
      <c r="AW383" s="40" t="str">
        <f ca="1">IFERROR(__xludf.DUMMYFUNCTION("""COMPUTED_VALUE"""),"TURISMO")</f>
        <v>TURISMO</v>
      </c>
      <c r="AX383" s="141">
        <f ca="1">IFERROR(__xludf.DUMMYFUNCTION("""COMPUTED_VALUE"""),44848)</f>
        <v>44848</v>
      </c>
      <c r="AY383" s="40">
        <f ca="1">IFERROR(__xludf.DUMMYFUNCTION("""COMPUTED_VALUE"""),0)</f>
        <v>0</v>
      </c>
      <c r="AZ383" s="40">
        <f ca="1">IFERROR(__xludf.DUMMYFUNCTION("""COMPUTED_VALUE"""),1)</f>
        <v>1</v>
      </c>
      <c r="BA383" s="40">
        <f ca="1">IFERROR(__xludf.DUMMYFUNCTION("""COMPUTED_VALUE"""),0)</f>
        <v>0</v>
      </c>
      <c r="BB383" s="40">
        <f ca="1">IFERROR(__xludf.DUMMYFUNCTION("""COMPUTED_VALUE"""),0)</f>
        <v>0</v>
      </c>
      <c r="BC383" s="40">
        <f ca="1">IFERROR(__xludf.DUMMYFUNCTION("""COMPUTED_VALUE"""),1)</f>
        <v>1</v>
      </c>
      <c r="BD383" s="141">
        <f ca="1">IFERROR(__xludf.DUMMYFUNCTION("""COMPUTED_VALUE"""),43668)</f>
        <v>43668</v>
      </c>
      <c r="BE383" s="141">
        <f ca="1">IFERROR(__xludf.DUMMYFUNCTION("""COMPUTED_VALUE"""),44113)</f>
        <v>44113</v>
      </c>
      <c r="BF383" s="141">
        <f ca="1">IFERROR(__xludf.DUMMYFUNCTION("""COMPUTED_VALUE"""),44295)</f>
        <v>44295</v>
      </c>
      <c r="BG383" s="141">
        <f ca="1">IFERROR(__xludf.DUMMYFUNCTION("""COMPUTED_VALUE"""),44843)</f>
        <v>44843</v>
      </c>
      <c r="BH383" s="40" t="str">
        <f ca="1">IFERROR(__xludf.DUMMYFUNCTION("""COMPUTED_VALUE"""),"FINALIZAR FICHA")</f>
        <v>FINALIZAR FICHA</v>
      </c>
      <c r="BI383" s="40" t="str">
        <f ca="1">IFERROR(__xludf.DUMMYFUNCTION("""COMPUTED_VALUE"""),"Terminada por fecha")</f>
        <v>Terminada por fecha</v>
      </c>
      <c r="BJ383" s="40" t="str">
        <f ca="1">IFERROR(__xludf.DUMMYFUNCTION("""COMPUTED_VALUE"""),"Yamboro")</f>
        <v>Yamboro</v>
      </c>
      <c r="BK383" s="40"/>
      <c r="BL383" s="40"/>
    </row>
    <row r="384" spans="1:64" ht="13">
      <c r="A384" s="40"/>
      <c r="B384" s="40" t="str">
        <f ca="1">IFERROR(__xludf.DUMMYFUNCTION("""COMPUTED_VALUE"""),"FORMACIÓN 18/10/2022")</f>
        <v>FORMACIÓN 18/10/2022</v>
      </c>
      <c r="C384" s="40" t="str">
        <f ca="1">IFERROR(__xludf.DUMMYFUNCTION("""COMPUTED_VALUE"""),"WILSON SANCHEZ PAPAMIJA")</f>
        <v>WILSON SANCHEZ PAPAMIJA</v>
      </c>
      <c r="D384" s="40" t="str">
        <f ca="1">IFERROR(__xludf.DUMMYFUNCTION("""COMPUTED_VALUE"""),"CC")</f>
        <v>CC</v>
      </c>
      <c r="E384" s="40">
        <f ca="1">IFERROR(__xludf.DUMMYFUNCTION("""COMPUTED_VALUE"""),1006549591)</f>
        <v>1006549591</v>
      </c>
      <c r="F384" s="40">
        <f ca="1">IFERROR(__xludf.DUMMYFUNCTION("""COMPUTED_VALUE"""),1905821)</f>
        <v>1905821</v>
      </c>
      <c r="G384" s="40" t="str">
        <f ca="1">IFERROR(__xludf.DUMMYFUNCTION("""COMPUTED_VALUE"""),"TÉCNICO")</f>
        <v>TÉCNICO</v>
      </c>
      <c r="H384" s="40" t="str">
        <f ca="1">IFERROR(__xludf.DUMMYFUNCTION("""COMPUTED_VALUE"""),"COCINA.")</f>
        <v>COCINA.</v>
      </c>
      <c r="I384" s="40"/>
      <c r="J384" s="40"/>
      <c r="K384" s="40"/>
      <c r="L384" s="40" t="str">
        <f ca="1">IFERROR(__xludf.DUMMYFUNCTION("""COMPUTED_VALUE"""),"NO HA INICIADO ETAPA PRODUCTIVA")</f>
        <v>NO HA INICIADO ETAPA PRODUCTIVA</v>
      </c>
      <c r="M384" s="40"/>
      <c r="N384" s="40"/>
      <c r="O384" s="40"/>
      <c r="P384" s="40"/>
      <c r="Q384" s="40"/>
      <c r="R384" s="140"/>
      <c r="S384" s="1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t="str">
        <f ca="1">IFERROR(__xludf.DUMMYFUNCTION("""COMPUTED_VALUE"""),"Procede_E_P")</f>
        <v>Procede_E_P</v>
      </c>
      <c r="AV384" s="40" t="str">
        <f ca="1">IFERROR(__xludf.DUMMYFUNCTION("""COMPUTED_VALUE"""),"EN FORMACION")</f>
        <v>EN FORMACION</v>
      </c>
      <c r="AW384" s="40" t="str">
        <f ca="1">IFERROR(__xludf.DUMMYFUNCTION("""COMPUTED_VALUE"""),"TURISMO")</f>
        <v>TURISMO</v>
      </c>
      <c r="AX384" s="141">
        <f ca="1">IFERROR(__xludf.DUMMYFUNCTION("""COMPUTED_VALUE"""),0)</f>
        <v>0</v>
      </c>
      <c r="AY384" s="40">
        <f ca="1">IFERROR(__xludf.DUMMYFUNCTION("""COMPUTED_VALUE"""),0)</f>
        <v>0</v>
      </c>
      <c r="AZ384" s="40">
        <f ca="1">IFERROR(__xludf.DUMMYFUNCTION("""COMPUTED_VALUE"""),1)</f>
        <v>1</v>
      </c>
      <c r="BA384" s="40">
        <f ca="1">IFERROR(__xludf.DUMMYFUNCTION("""COMPUTED_VALUE"""),0)</f>
        <v>0</v>
      </c>
      <c r="BB384" s="40">
        <f ca="1">IFERROR(__xludf.DUMMYFUNCTION("""COMPUTED_VALUE"""),0)</f>
        <v>0</v>
      </c>
      <c r="BC384" s="40">
        <f ca="1">IFERROR(__xludf.DUMMYFUNCTION("""COMPUTED_VALUE"""),1)</f>
        <v>1</v>
      </c>
      <c r="BD384" s="141">
        <f ca="1">IFERROR(__xludf.DUMMYFUNCTION("""COMPUTED_VALUE"""),43668)</f>
        <v>43668</v>
      </c>
      <c r="BE384" s="141">
        <f ca="1">IFERROR(__xludf.DUMMYFUNCTION("""COMPUTED_VALUE"""),44113)</f>
        <v>44113</v>
      </c>
      <c r="BF384" s="141">
        <f ca="1">IFERROR(__xludf.DUMMYFUNCTION("""COMPUTED_VALUE"""),44295)</f>
        <v>44295</v>
      </c>
      <c r="BG384" s="141">
        <f ca="1">IFERROR(__xludf.DUMMYFUNCTION("""COMPUTED_VALUE"""),44843)</f>
        <v>44843</v>
      </c>
      <c r="BH384" s="40" t="str">
        <f ca="1">IFERROR(__xludf.DUMMYFUNCTION("""COMPUTED_VALUE"""),"FINALIZAR FICHA")</f>
        <v>FINALIZAR FICHA</v>
      </c>
      <c r="BI384" s="40" t="str">
        <f ca="1">IFERROR(__xludf.DUMMYFUNCTION("""COMPUTED_VALUE"""),"Terminada por fecha")</f>
        <v>Terminada por fecha</v>
      </c>
      <c r="BJ384" s="40" t="str">
        <f ca="1">IFERROR(__xludf.DUMMYFUNCTION("""COMPUTED_VALUE"""),"Yamboro")</f>
        <v>Yamboro</v>
      </c>
      <c r="BK384" s="40"/>
      <c r="BL384" s="40"/>
    </row>
    <row r="385" spans="1:64" ht="13">
      <c r="A385" s="40"/>
      <c r="B385" s="40" t="str">
        <f ca="1">IFERROR(__xludf.DUMMYFUNCTION("""COMPUTED_VALUE"""),"FORMACIÓN 18/10/2022")</f>
        <v>FORMACIÓN 18/10/2022</v>
      </c>
      <c r="C385" s="40" t="str">
        <f ca="1">IFERROR(__xludf.DUMMYFUNCTION("""COMPUTED_VALUE"""),"JEYSON ALEXANDER RODRIGUEZ MORA")</f>
        <v>JEYSON ALEXANDER RODRIGUEZ MORA</v>
      </c>
      <c r="D385" s="40" t="str">
        <f ca="1">IFERROR(__xludf.DUMMYFUNCTION("""COMPUTED_VALUE"""),"CC")</f>
        <v>CC</v>
      </c>
      <c r="E385" s="40">
        <f ca="1">IFERROR(__xludf.DUMMYFUNCTION("""COMPUTED_VALUE"""),1006999462)</f>
        <v>1006999462</v>
      </c>
      <c r="F385" s="40">
        <f ca="1">IFERROR(__xludf.DUMMYFUNCTION("""COMPUTED_VALUE"""),1905821)</f>
        <v>1905821</v>
      </c>
      <c r="G385" s="40" t="str">
        <f ca="1">IFERROR(__xludf.DUMMYFUNCTION("""COMPUTED_VALUE"""),"TÉCNICO")</f>
        <v>TÉCNICO</v>
      </c>
      <c r="H385" s="40" t="str">
        <f ca="1">IFERROR(__xludf.DUMMYFUNCTION("""COMPUTED_VALUE"""),"COCINA.")</f>
        <v>COCINA.</v>
      </c>
      <c r="I385" s="40"/>
      <c r="J385" s="40"/>
      <c r="K385" s="40"/>
      <c r="L385" s="40" t="str">
        <f ca="1">IFERROR(__xludf.DUMMYFUNCTION("""COMPUTED_VALUE"""),"NO HA INICIADO ETAPA PRODUCTIVA")</f>
        <v>NO HA INICIADO ETAPA PRODUCTIVA</v>
      </c>
      <c r="M385" s="40"/>
      <c r="N385" s="40"/>
      <c r="O385" s="40"/>
      <c r="P385" s="40"/>
      <c r="Q385" s="40"/>
      <c r="R385" s="140"/>
      <c r="S385" s="1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t="str">
        <f ca="1">IFERROR(__xludf.DUMMYFUNCTION("""COMPUTED_VALUE"""),"Procede_E_P")</f>
        <v>Procede_E_P</v>
      </c>
      <c r="AV385" s="40" t="str">
        <f ca="1">IFERROR(__xludf.DUMMYFUNCTION("""COMPUTED_VALUE"""),"EN FORMACION")</f>
        <v>EN FORMACION</v>
      </c>
      <c r="AW385" s="40" t="str">
        <f ca="1">IFERROR(__xludf.DUMMYFUNCTION("""COMPUTED_VALUE"""),"TURISMO")</f>
        <v>TURISMO</v>
      </c>
      <c r="AX385" s="141">
        <f ca="1">IFERROR(__xludf.DUMMYFUNCTION("""COMPUTED_VALUE"""),0)</f>
        <v>0</v>
      </c>
      <c r="AY385" s="40">
        <f ca="1">IFERROR(__xludf.DUMMYFUNCTION("""COMPUTED_VALUE"""),0)</f>
        <v>0</v>
      </c>
      <c r="AZ385" s="40">
        <f ca="1">IFERROR(__xludf.DUMMYFUNCTION("""COMPUTED_VALUE"""),1)</f>
        <v>1</v>
      </c>
      <c r="BA385" s="40">
        <f ca="1">IFERROR(__xludf.DUMMYFUNCTION("""COMPUTED_VALUE"""),0)</f>
        <v>0</v>
      </c>
      <c r="BB385" s="40">
        <f ca="1">IFERROR(__xludf.DUMMYFUNCTION("""COMPUTED_VALUE"""),0)</f>
        <v>0</v>
      </c>
      <c r="BC385" s="40">
        <f ca="1">IFERROR(__xludf.DUMMYFUNCTION("""COMPUTED_VALUE"""),1)</f>
        <v>1</v>
      </c>
      <c r="BD385" s="141">
        <f ca="1">IFERROR(__xludf.DUMMYFUNCTION("""COMPUTED_VALUE"""),43668)</f>
        <v>43668</v>
      </c>
      <c r="BE385" s="141">
        <f ca="1">IFERROR(__xludf.DUMMYFUNCTION("""COMPUTED_VALUE"""),44113)</f>
        <v>44113</v>
      </c>
      <c r="BF385" s="141">
        <f ca="1">IFERROR(__xludf.DUMMYFUNCTION("""COMPUTED_VALUE"""),44295)</f>
        <v>44295</v>
      </c>
      <c r="BG385" s="141">
        <f ca="1">IFERROR(__xludf.DUMMYFUNCTION("""COMPUTED_VALUE"""),44843)</f>
        <v>44843</v>
      </c>
      <c r="BH385" s="40" t="str">
        <f ca="1">IFERROR(__xludf.DUMMYFUNCTION("""COMPUTED_VALUE"""),"FINALIZAR FICHA")</f>
        <v>FINALIZAR FICHA</v>
      </c>
      <c r="BI385" s="40" t="str">
        <f ca="1">IFERROR(__xludf.DUMMYFUNCTION("""COMPUTED_VALUE"""),"Terminada por fecha")</f>
        <v>Terminada por fecha</v>
      </c>
      <c r="BJ385" s="40" t="str">
        <f ca="1">IFERROR(__xludf.DUMMYFUNCTION("""COMPUTED_VALUE"""),"Yamboro")</f>
        <v>Yamboro</v>
      </c>
      <c r="BK385" s="40"/>
      <c r="BL385" s="40"/>
    </row>
    <row r="386" spans="1:64" ht="13">
      <c r="A386" s="40"/>
      <c r="B386" s="40" t="str">
        <f ca="1">IFERROR(__xludf.DUMMYFUNCTION("""COMPUTED_VALUE"""),"FORMACIÓN 18/10/2022")</f>
        <v>FORMACIÓN 18/10/2022</v>
      </c>
      <c r="C386" s="40" t="str">
        <f ca="1">IFERROR(__xludf.DUMMYFUNCTION("""COMPUTED_VALUE"""),"CRISTIAN MATEO MORALES ANACONA")</f>
        <v>CRISTIAN MATEO MORALES ANACONA</v>
      </c>
      <c r="D386" s="40" t="str">
        <f ca="1">IFERROR(__xludf.DUMMYFUNCTION("""COMPUTED_VALUE"""),"CC")</f>
        <v>CC</v>
      </c>
      <c r="E386" s="40">
        <f ca="1">IFERROR(__xludf.DUMMYFUNCTION("""COMPUTED_VALUE"""),1007319349)</f>
        <v>1007319349</v>
      </c>
      <c r="F386" s="40">
        <f ca="1">IFERROR(__xludf.DUMMYFUNCTION("""COMPUTED_VALUE"""),1905821)</f>
        <v>1905821</v>
      </c>
      <c r="G386" s="40" t="str">
        <f ca="1">IFERROR(__xludf.DUMMYFUNCTION("""COMPUTED_VALUE"""),"TÉCNICO")</f>
        <v>TÉCNICO</v>
      </c>
      <c r="H386" s="40" t="str">
        <f ca="1">IFERROR(__xludf.DUMMYFUNCTION("""COMPUTED_VALUE"""),"COCINA.")</f>
        <v>COCINA.</v>
      </c>
      <c r="I386" s="40"/>
      <c r="J386" s="40"/>
      <c r="K386" s="40"/>
      <c r="L386" s="40" t="str">
        <f ca="1">IFERROR(__xludf.DUMMYFUNCTION("""COMPUTED_VALUE"""),"NO HA INICIADO ETAPA PRODUCTIVA")</f>
        <v>NO HA INICIADO ETAPA PRODUCTIVA</v>
      </c>
      <c r="M386" s="40"/>
      <c r="N386" s="40"/>
      <c r="O386" s="40"/>
      <c r="P386" s="40"/>
      <c r="Q386" s="40"/>
      <c r="R386" s="140"/>
      <c r="S386" s="1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t="str">
        <f ca="1">IFERROR(__xludf.DUMMYFUNCTION("""COMPUTED_VALUE"""),"Procede_E_P")</f>
        <v>Procede_E_P</v>
      </c>
      <c r="AV386" s="40" t="str">
        <f ca="1">IFERROR(__xludf.DUMMYFUNCTION("""COMPUTED_VALUE"""),"EN FORMACION")</f>
        <v>EN FORMACION</v>
      </c>
      <c r="AW386" s="40" t="str">
        <f ca="1">IFERROR(__xludf.DUMMYFUNCTION("""COMPUTED_VALUE"""),"TURISMO")</f>
        <v>TURISMO</v>
      </c>
      <c r="AX386" s="141">
        <f ca="1">IFERROR(__xludf.DUMMYFUNCTION("""COMPUTED_VALUE"""),0)</f>
        <v>0</v>
      </c>
      <c r="AY386" s="40">
        <f ca="1">IFERROR(__xludf.DUMMYFUNCTION("""COMPUTED_VALUE"""),0)</f>
        <v>0</v>
      </c>
      <c r="AZ386" s="40">
        <f ca="1">IFERROR(__xludf.DUMMYFUNCTION("""COMPUTED_VALUE"""),1)</f>
        <v>1</v>
      </c>
      <c r="BA386" s="40">
        <f ca="1">IFERROR(__xludf.DUMMYFUNCTION("""COMPUTED_VALUE"""),0)</f>
        <v>0</v>
      </c>
      <c r="BB386" s="40">
        <f ca="1">IFERROR(__xludf.DUMMYFUNCTION("""COMPUTED_VALUE"""),0)</f>
        <v>0</v>
      </c>
      <c r="BC386" s="40">
        <f ca="1">IFERROR(__xludf.DUMMYFUNCTION("""COMPUTED_VALUE"""),1)</f>
        <v>1</v>
      </c>
      <c r="BD386" s="141">
        <f ca="1">IFERROR(__xludf.DUMMYFUNCTION("""COMPUTED_VALUE"""),43668)</f>
        <v>43668</v>
      </c>
      <c r="BE386" s="141">
        <f ca="1">IFERROR(__xludf.DUMMYFUNCTION("""COMPUTED_VALUE"""),44113)</f>
        <v>44113</v>
      </c>
      <c r="BF386" s="141">
        <f ca="1">IFERROR(__xludf.DUMMYFUNCTION("""COMPUTED_VALUE"""),44295)</f>
        <v>44295</v>
      </c>
      <c r="BG386" s="141">
        <f ca="1">IFERROR(__xludf.DUMMYFUNCTION("""COMPUTED_VALUE"""),44843)</f>
        <v>44843</v>
      </c>
      <c r="BH386" s="40" t="str">
        <f ca="1">IFERROR(__xludf.DUMMYFUNCTION("""COMPUTED_VALUE"""),"FINALIZAR FICHA")</f>
        <v>FINALIZAR FICHA</v>
      </c>
      <c r="BI386" s="40" t="str">
        <f ca="1">IFERROR(__xludf.DUMMYFUNCTION("""COMPUTED_VALUE"""),"Terminada por fecha")</f>
        <v>Terminada por fecha</v>
      </c>
      <c r="BJ386" s="40" t="str">
        <f ca="1">IFERROR(__xludf.DUMMYFUNCTION("""COMPUTED_VALUE"""),"Yamboro")</f>
        <v>Yamboro</v>
      </c>
      <c r="BK386" s="40"/>
      <c r="BL386" s="40"/>
    </row>
    <row r="387" spans="1:64" ht="13">
      <c r="A387" s="40"/>
      <c r="B387" s="40" t="str">
        <f ca="1">IFERROR(__xludf.DUMMYFUNCTION("""COMPUTED_VALUE"""),"FORMACIÓN 18/10/2022")</f>
        <v>FORMACIÓN 18/10/2022</v>
      </c>
      <c r="C387" s="40" t="str">
        <f ca="1">IFERROR(__xludf.DUMMYFUNCTION("""COMPUTED_VALUE"""),"JOSE DAVID CAMACHO TOVAR")</f>
        <v>JOSE DAVID CAMACHO TOVAR</v>
      </c>
      <c r="D387" s="40" t="str">
        <f ca="1">IFERROR(__xludf.DUMMYFUNCTION("""COMPUTED_VALUE"""),"CC")</f>
        <v>CC</v>
      </c>
      <c r="E387" s="40">
        <f ca="1">IFERROR(__xludf.DUMMYFUNCTION("""COMPUTED_VALUE"""),1007502916)</f>
        <v>1007502916</v>
      </c>
      <c r="F387" s="40">
        <f ca="1">IFERROR(__xludf.DUMMYFUNCTION("""COMPUTED_VALUE"""),1905821)</f>
        <v>1905821</v>
      </c>
      <c r="G387" s="40" t="str">
        <f ca="1">IFERROR(__xludf.DUMMYFUNCTION("""COMPUTED_VALUE"""),"TÉCNICO")</f>
        <v>TÉCNICO</v>
      </c>
      <c r="H387" s="40" t="str">
        <f ca="1">IFERROR(__xludf.DUMMYFUNCTION("""COMPUTED_VALUE"""),"COCINA.")</f>
        <v>COCINA.</v>
      </c>
      <c r="I387" s="40"/>
      <c r="J387" s="40"/>
      <c r="K387" s="40"/>
      <c r="L387" s="40" t="str">
        <f ca="1">IFERROR(__xludf.DUMMYFUNCTION("""COMPUTED_VALUE"""),"NO HA INICIADO ETAPA PRODUCTIVA")</f>
        <v>NO HA INICIADO ETAPA PRODUCTIVA</v>
      </c>
      <c r="M387" s="40"/>
      <c r="N387" s="40"/>
      <c r="O387" s="40"/>
      <c r="P387" s="40"/>
      <c r="Q387" s="40"/>
      <c r="R387" s="140"/>
      <c r="S387" s="1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t="str">
        <f ca="1">IFERROR(__xludf.DUMMYFUNCTION("""COMPUTED_VALUE"""),"NO_CUMPLE")</f>
        <v>NO_CUMPLE</v>
      </c>
      <c r="AV387" s="40" t="str">
        <f ca="1">IFERROR(__xludf.DUMMYFUNCTION("""COMPUTED_VALUE"""),"EN FORMACION")</f>
        <v>EN FORMACION</v>
      </c>
      <c r="AW387" s="40" t="str">
        <f ca="1">IFERROR(__xludf.DUMMYFUNCTION("""COMPUTED_VALUE"""),"TURISMO")</f>
        <v>TURISMO</v>
      </c>
      <c r="AX387" s="141">
        <f ca="1">IFERROR(__xludf.DUMMYFUNCTION("""COMPUTED_VALUE"""),5)</f>
        <v>5</v>
      </c>
      <c r="AY387" s="40">
        <f ca="1">IFERROR(__xludf.DUMMYFUNCTION("""COMPUTED_VALUE"""),5)</f>
        <v>5</v>
      </c>
      <c r="AZ387" s="40">
        <f ca="1">IFERROR(__xludf.DUMMYFUNCTION("""COMPUTED_VALUE"""),1)</f>
        <v>1</v>
      </c>
      <c r="BA387" s="40">
        <f ca="1">IFERROR(__xludf.DUMMYFUNCTION("""COMPUTED_VALUE"""),1)</f>
        <v>1</v>
      </c>
      <c r="BB387" s="40">
        <f ca="1">IFERROR(__xludf.DUMMYFUNCTION("""COMPUTED_VALUE"""),0)</f>
        <v>0</v>
      </c>
      <c r="BC387" s="40">
        <f ca="1">IFERROR(__xludf.DUMMYFUNCTION("""COMPUTED_VALUE"""),7)</f>
        <v>7</v>
      </c>
      <c r="BD387" s="141">
        <f ca="1">IFERROR(__xludf.DUMMYFUNCTION("""COMPUTED_VALUE"""),43668)</f>
        <v>43668</v>
      </c>
      <c r="BE387" s="141">
        <f ca="1">IFERROR(__xludf.DUMMYFUNCTION("""COMPUTED_VALUE"""),44113)</f>
        <v>44113</v>
      </c>
      <c r="BF387" s="141">
        <f ca="1">IFERROR(__xludf.DUMMYFUNCTION("""COMPUTED_VALUE"""),44295)</f>
        <v>44295</v>
      </c>
      <c r="BG387" s="141">
        <f ca="1">IFERROR(__xludf.DUMMYFUNCTION("""COMPUTED_VALUE"""),44843)</f>
        <v>44843</v>
      </c>
      <c r="BH387" s="40" t="str">
        <f ca="1">IFERROR(__xludf.DUMMYFUNCTION("""COMPUTED_VALUE"""),"FINALIZAR FICHA")</f>
        <v>FINALIZAR FICHA</v>
      </c>
      <c r="BI387" s="40" t="str">
        <f ca="1">IFERROR(__xludf.DUMMYFUNCTION("""COMPUTED_VALUE"""),"Terminada por fecha")</f>
        <v>Terminada por fecha</v>
      </c>
      <c r="BJ387" s="40" t="str">
        <f ca="1">IFERROR(__xludf.DUMMYFUNCTION("""COMPUTED_VALUE"""),"Yamboro")</f>
        <v>Yamboro</v>
      </c>
      <c r="BK387" s="40"/>
      <c r="BL387" s="40"/>
    </row>
    <row r="388" spans="1:64" ht="13">
      <c r="A388" s="40"/>
      <c r="B388" s="40" t="str">
        <f ca="1">IFERROR(__xludf.DUMMYFUNCTION("""COMPUTED_VALUE"""),"FORMACIÓN 18/10/2022")</f>
        <v>FORMACIÓN 18/10/2022</v>
      </c>
      <c r="C388" s="40" t="str">
        <f ca="1">IFERROR(__xludf.DUMMYFUNCTION("""COMPUTED_VALUE"""),"VIVIANA FAISURY NARVAEZ QUISABONI")</f>
        <v>VIVIANA FAISURY NARVAEZ QUISABONI</v>
      </c>
      <c r="D388" s="40" t="str">
        <f ca="1">IFERROR(__xludf.DUMMYFUNCTION("""COMPUTED_VALUE"""),"CC")</f>
        <v>CC</v>
      </c>
      <c r="E388" s="40">
        <f ca="1">IFERROR(__xludf.DUMMYFUNCTION("""COMPUTED_VALUE"""),1007583025)</f>
        <v>1007583025</v>
      </c>
      <c r="F388" s="40">
        <f ca="1">IFERROR(__xludf.DUMMYFUNCTION("""COMPUTED_VALUE"""),1905821)</f>
        <v>1905821</v>
      </c>
      <c r="G388" s="40" t="str">
        <f ca="1">IFERROR(__xludf.DUMMYFUNCTION("""COMPUTED_VALUE"""),"TÉCNICO")</f>
        <v>TÉCNICO</v>
      </c>
      <c r="H388" s="40" t="str">
        <f ca="1">IFERROR(__xludf.DUMMYFUNCTION("""COMPUTED_VALUE"""),"COCINA.")</f>
        <v>COCINA.</v>
      </c>
      <c r="I388" s="40"/>
      <c r="J388" s="40"/>
      <c r="K388" s="40"/>
      <c r="L388" s="40" t="str">
        <f ca="1">IFERROR(__xludf.DUMMYFUNCTION("""COMPUTED_VALUE"""),"NO HA INICIADO ETAPA PRODUCTIVA")</f>
        <v>NO HA INICIADO ETAPA PRODUCTIVA</v>
      </c>
      <c r="M388" s="40"/>
      <c r="N388" s="40"/>
      <c r="O388" s="40"/>
      <c r="P388" s="40"/>
      <c r="Q388" s="40"/>
      <c r="R388" s="140"/>
      <c r="S388" s="1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t="str">
        <f ca="1">IFERROR(__xludf.DUMMYFUNCTION("""COMPUTED_VALUE"""),"Procede_E_P")</f>
        <v>Procede_E_P</v>
      </c>
      <c r="AV388" s="40" t="str">
        <f ca="1">IFERROR(__xludf.DUMMYFUNCTION("""COMPUTED_VALUE"""),"EN FORMACION")</f>
        <v>EN FORMACION</v>
      </c>
      <c r="AW388" s="40" t="str">
        <f ca="1">IFERROR(__xludf.DUMMYFUNCTION("""COMPUTED_VALUE"""),"TURISMO")</f>
        <v>TURISMO</v>
      </c>
      <c r="AX388" s="141">
        <f ca="1">IFERROR(__xludf.DUMMYFUNCTION("""COMPUTED_VALUE"""),0)</f>
        <v>0</v>
      </c>
      <c r="AY388" s="40">
        <f ca="1">IFERROR(__xludf.DUMMYFUNCTION("""COMPUTED_VALUE"""),0)</f>
        <v>0</v>
      </c>
      <c r="AZ388" s="40">
        <f ca="1">IFERROR(__xludf.DUMMYFUNCTION("""COMPUTED_VALUE"""),1)</f>
        <v>1</v>
      </c>
      <c r="BA388" s="40">
        <f ca="1">IFERROR(__xludf.DUMMYFUNCTION("""COMPUTED_VALUE"""),0)</f>
        <v>0</v>
      </c>
      <c r="BB388" s="40">
        <f ca="1">IFERROR(__xludf.DUMMYFUNCTION("""COMPUTED_VALUE"""),0)</f>
        <v>0</v>
      </c>
      <c r="BC388" s="40">
        <f ca="1">IFERROR(__xludf.DUMMYFUNCTION("""COMPUTED_VALUE"""),1)</f>
        <v>1</v>
      </c>
      <c r="BD388" s="141">
        <f ca="1">IFERROR(__xludf.DUMMYFUNCTION("""COMPUTED_VALUE"""),43668)</f>
        <v>43668</v>
      </c>
      <c r="BE388" s="141">
        <f ca="1">IFERROR(__xludf.DUMMYFUNCTION("""COMPUTED_VALUE"""),44113)</f>
        <v>44113</v>
      </c>
      <c r="BF388" s="141">
        <f ca="1">IFERROR(__xludf.DUMMYFUNCTION("""COMPUTED_VALUE"""),44295)</f>
        <v>44295</v>
      </c>
      <c r="BG388" s="141">
        <f ca="1">IFERROR(__xludf.DUMMYFUNCTION("""COMPUTED_VALUE"""),44843)</f>
        <v>44843</v>
      </c>
      <c r="BH388" s="40" t="str">
        <f ca="1">IFERROR(__xludf.DUMMYFUNCTION("""COMPUTED_VALUE"""),"FINALIZAR FICHA")</f>
        <v>FINALIZAR FICHA</v>
      </c>
      <c r="BI388" s="40" t="str">
        <f ca="1">IFERROR(__xludf.DUMMYFUNCTION("""COMPUTED_VALUE"""),"Terminada por fecha")</f>
        <v>Terminada por fecha</v>
      </c>
      <c r="BJ388" s="40" t="str">
        <f ca="1">IFERROR(__xludf.DUMMYFUNCTION("""COMPUTED_VALUE"""),"Yamboro")</f>
        <v>Yamboro</v>
      </c>
      <c r="BK388" s="40"/>
      <c r="BL388" s="40"/>
    </row>
    <row r="389" spans="1:64" ht="13">
      <c r="A389" s="40"/>
      <c r="B389" s="40" t="str">
        <f ca="1">IFERROR(__xludf.DUMMYFUNCTION("""COMPUTED_VALUE"""),"FORMACIÓN 18/10/2022")</f>
        <v>FORMACIÓN 18/10/2022</v>
      </c>
      <c r="C389" s="40" t="str">
        <f ca="1">IFERROR(__xludf.DUMMYFUNCTION("""COMPUTED_VALUE"""),"SOFIA ORTIZ DAZA ORTIZ DAZA")</f>
        <v>SOFIA ORTIZ DAZA ORTIZ DAZA</v>
      </c>
      <c r="D389" s="40" t="str">
        <f ca="1">IFERROR(__xludf.DUMMYFUNCTION("""COMPUTED_VALUE"""),"CC")</f>
        <v>CC</v>
      </c>
      <c r="E389" s="40">
        <f ca="1">IFERROR(__xludf.DUMMYFUNCTION("""COMPUTED_VALUE"""),1007600664)</f>
        <v>1007600664</v>
      </c>
      <c r="F389" s="40">
        <f ca="1">IFERROR(__xludf.DUMMYFUNCTION("""COMPUTED_VALUE"""),1905821)</f>
        <v>1905821</v>
      </c>
      <c r="G389" s="40" t="str">
        <f ca="1">IFERROR(__xludf.DUMMYFUNCTION("""COMPUTED_VALUE"""),"TÉCNICO")</f>
        <v>TÉCNICO</v>
      </c>
      <c r="H389" s="40" t="str">
        <f ca="1">IFERROR(__xludf.DUMMYFUNCTION("""COMPUTED_VALUE"""),"COCINA.")</f>
        <v>COCINA.</v>
      </c>
      <c r="I389" s="40"/>
      <c r="J389" s="40"/>
      <c r="K389" s="40"/>
      <c r="L389" s="40" t="str">
        <f ca="1">IFERROR(__xludf.DUMMYFUNCTION("""COMPUTED_VALUE"""),"NO HA INICIADO ETAPA PRODUCTIVA")</f>
        <v>NO HA INICIADO ETAPA PRODUCTIVA</v>
      </c>
      <c r="M389" s="40"/>
      <c r="N389" s="40"/>
      <c r="O389" s="40"/>
      <c r="P389" s="40"/>
      <c r="Q389" s="40"/>
      <c r="R389" s="140"/>
      <c r="S389" s="1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t="str">
        <f ca="1">IFERROR(__xludf.DUMMYFUNCTION("""COMPUTED_VALUE"""),"Procede_E_P")</f>
        <v>Procede_E_P</v>
      </c>
      <c r="AV389" s="40" t="str">
        <f ca="1">IFERROR(__xludf.DUMMYFUNCTION("""COMPUTED_VALUE"""),"EN FORMACION")</f>
        <v>EN FORMACION</v>
      </c>
      <c r="AW389" s="40" t="str">
        <f ca="1">IFERROR(__xludf.DUMMYFUNCTION("""COMPUTED_VALUE"""),"TURISMO")</f>
        <v>TURISMO</v>
      </c>
      <c r="AX389" s="141">
        <f ca="1">IFERROR(__xludf.DUMMYFUNCTION("""COMPUTED_VALUE"""),0)</f>
        <v>0</v>
      </c>
      <c r="AY389" s="40">
        <f ca="1">IFERROR(__xludf.DUMMYFUNCTION("""COMPUTED_VALUE"""),0)</f>
        <v>0</v>
      </c>
      <c r="AZ389" s="40">
        <f ca="1">IFERROR(__xludf.DUMMYFUNCTION("""COMPUTED_VALUE"""),1)</f>
        <v>1</v>
      </c>
      <c r="BA389" s="40">
        <f ca="1">IFERROR(__xludf.DUMMYFUNCTION("""COMPUTED_VALUE"""),0)</f>
        <v>0</v>
      </c>
      <c r="BB389" s="40">
        <f ca="1">IFERROR(__xludf.DUMMYFUNCTION("""COMPUTED_VALUE"""),0)</f>
        <v>0</v>
      </c>
      <c r="BC389" s="40">
        <f ca="1">IFERROR(__xludf.DUMMYFUNCTION("""COMPUTED_VALUE"""),1)</f>
        <v>1</v>
      </c>
      <c r="BD389" s="141">
        <f ca="1">IFERROR(__xludf.DUMMYFUNCTION("""COMPUTED_VALUE"""),43668)</f>
        <v>43668</v>
      </c>
      <c r="BE389" s="141">
        <f ca="1">IFERROR(__xludf.DUMMYFUNCTION("""COMPUTED_VALUE"""),44113)</f>
        <v>44113</v>
      </c>
      <c r="BF389" s="141">
        <f ca="1">IFERROR(__xludf.DUMMYFUNCTION("""COMPUTED_VALUE"""),44295)</f>
        <v>44295</v>
      </c>
      <c r="BG389" s="141">
        <f ca="1">IFERROR(__xludf.DUMMYFUNCTION("""COMPUTED_VALUE"""),44843)</f>
        <v>44843</v>
      </c>
      <c r="BH389" s="40" t="str">
        <f ca="1">IFERROR(__xludf.DUMMYFUNCTION("""COMPUTED_VALUE"""),"FINALIZAR FICHA")</f>
        <v>FINALIZAR FICHA</v>
      </c>
      <c r="BI389" s="40" t="str">
        <f ca="1">IFERROR(__xludf.DUMMYFUNCTION("""COMPUTED_VALUE"""),"Terminada por fecha")</f>
        <v>Terminada por fecha</v>
      </c>
      <c r="BJ389" s="40" t="str">
        <f ca="1">IFERROR(__xludf.DUMMYFUNCTION("""COMPUTED_VALUE"""),"Yamboro")</f>
        <v>Yamboro</v>
      </c>
      <c r="BK389" s="40"/>
      <c r="BL389" s="40"/>
    </row>
    <row r="390" spans="1:64" ht="13">
      <c r="A390" s="40"/>
      <c r="B390" s="40" t="str">
        <f ca="1">IFERROR(__xludf.DUMMYFUNCTION("""COMPUTED_VALUE"""),"FORMACIÓN 18/10/2022")</f>
        <v>FORMACIÓN 18/10/2022</v>
      </c>
      <c r="C390" s="40" t="str">
        <f ca="1">IFERROR(__xludf.DUMMYFUNCTION("""COMPUTED_VALUE"""),"CARLOS EDUARDO ARISTIZABAL DIAZ")</f>
        <v>CARLOS EDUARDO ARISTIZABAL DIAZ</v>
      </c>
      <c r="D390" s="40" t="str">
        <f ca="1">IFERROR(__xludf.DUMMYFUNCTION("""COMPUTED_VALUE"""),"CC")</f>
        <v>CC</v>
      </c>
      <c r="E390" s="40">
        <f ca="1">IFERROR(__xludf.DUMMYFUNCTION("""COMPUTED_VALUE"""),1082779308)</f>
        <v>1082779308</v>
      </c>
      <c r="F390" s="40">
        <f ca="1">IFERROR(__xludf.DUMMYFUNCTION("""COMPUTED_VALUE"""),1905821)</f>
        <v>1905821</v>
      </c>
      <c r="G390" s="40" t="str">
        <f ca="1">IFERROR(__xludf.DUMMYFUNCTION("""COMPUTED_VALUE"""),"TÉCNICO")</f>
        <v>TÉCNICO</v>
      </c>
      <c r="H390" s="40" t="str">
        <f ca="1">IFERROR(__xludf.DUMMYFUNCTION("""COMPUTED_VALUE"""),"COCINA.")</f>
        <v>COCINA.</v>
      </c>
      <c r="I390" s="40"/>
      <c r="J390" s="40"/>
      <c r="K390" s="40"/>
      <c r="L390" s="40" t="str">
        <f ca="1">IFERROR(__xludf.DUMMYFUNCTION("""COMPUTED_VALUE"""),"NO HA INICIADO ETAPA PRODUCTIVA")</f>
        <v>NO HA INICIADO ETAPA PRODUCTIVA</v>
      </c>
      <c r="M390" s="40"/>
      <c r="N390" s="40"/>
      <c r="O390" s="40"/>
      <c r="P390" s="40"/>
      <c r="Q390" s="40"/>
      <c r="R390" s="140"/>
      <c r="S390" s="1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t="str">
        <f ca="1">IFERROR(__xludf.DUMMYFUNCTION("""COMPUTED_VALUE"""),"NO_CUMPLE")</f>
        <v>NO_CUMPLE</v>
      </c>
      <c r="AV390" s="40" t="str">
        <f ca="1">IFERROR(__xludf.DUMMYFUNCTION("""COMPUTED_VALUE"""),"EN FORMACION")</f>
        <v>EN FORMACION</v>
      </c>
      <c r="AW390" s="40" t="str">
        <f ca="1">IFERROR(__xludf.DUMMYFUNCTION("""COMPUTED_VALUE"""),"TURISMO")</f>
        <v>TURISMO</v>
      </c>
      <c r="AX390" s="141">
        <f ca="1">IFERROR(__xludf.DUMMYFUNCTION("""COMPUTED_VALUE"""),4)</f>
        <v>4</v>
      </c>
      <c r="AY390" s="40">
        <f ca="1">IFERROR(__xludf.DUMMYFUNCTION("""COMPUTED_VALUE"""),4)</f>
        <v>4</v>
      </c>
      <c r="AZ390" s="40">
        <f ca="1">IFERROR(__xludf.DUMMYFUNCTION("""COMPUTED_VALUE"""),1)</f>
        <v>1</v>
      </c>
      <c r="BA390" s="40">
        <f ca="1">IFERROR(__xludf.DUMMYFUNCTION("""COMPUTED_VALUE"""),0)</f>
        <v>0</v>
      </c>
      <c r="BB390" s="40">
        <f ca="1">IFERROR(__xludf.DUMMYFUNCTION("""COMPUTED_VALUE"""),0)</f>
        <v>0</v>
      </c>
      <c r="BC390" s="40">
        <f ca="1">IFERROR(__xludf.DUMMYFUNCTION("""COMPUTED_VALUE"""),5)</f>
        <v>5</v>
      </c>
      <c r="BD390" s="141">
        <f ca="1">IFERROR(__xludf.DUMMYFUNCTION("""COMPUTED_VALUE"""),43668)</f>
        <v>43668</v>
      </c>
      <c r="BE390" s="141">
        <f ca="1">IFERROR(__xludf.DUMMYFUNCTION("""COMPUTED_VALUE"""),44113)</f>
        <v>44113</v>
      </c>
      <c r="BF390" s="141">
        <f ca="1">IFERROR(__xludf.DUMMYFUNCTION("""COMPUTED_VALUE"""),44295)</f>
        <v>44295</v>
      </c>
      <c r="BG390" s="141">
        <f ca="1">IFERROR(__xludf.DUMMYFUNCTION("""COMPUTED_VALUE"""),44843)</f>
        <v>44843</v>
      </c>
      <c r="BH390" s="40" t="str">
        <f ca="1">IFERROR(__xludf.DUMMYFUNCTION("""COMPUTED_VALUE"""),"FINALIZAR FICHA")</f>
        <v>FINALIZAR FICHA</v>
      </c>
      <c r="BI390" s="40" t="str">
        <f ca="1">IFERROR(__xludf.DUMMYFUNCTION("""COMPUTED_VALUE"""),"Terminada por fecha")</f>
        <v>Terminada por fecha</v>
      </c>
      <c r="BJ390" s="40" t="str">
        <f ca="1">IFERROR(__xludf.DUMMYFUNCTION("""COMPUTED_VALUE"""),"Yamboro")</f>
        <v>Yamboro</v>
      </c>
      <c r="BK390" s="40"/>
      <c r="BL390" s="40"/>
    </row>
    <row r="391" spans="1:64" ht="13">
      <c r="A391" s="40"/>
      <c r="B391" s="40" t="str">
        <f ca="1">IFERROR(__xludf.DUMMYFUNCTION("""COMPUTED_VALUE"""),"FORMACIÓN 18/10/2022")</f>
        <v>FORMACIÓN 18/10/2022</v>
      </c>
      <c r="C391" s="40" t="str">
        <f ca="1">IFERROR(__xludf.DUMMYFUNCTION("""COMPUTED_VALUE"""),"BRANDON STEVEN MEDINA MANA")</f>
        <v>BRANDON STEVEN MEDINA MANA</v>
      </c>
      <c r="D391" s="40" t="str">
        <f ca="1">IFERROR(__xludf.DUMMYFUNCTION("""COMPUTED_VALUE"""),"CC")</f>
        <v>CC</v>
      </c>
      <c r="E391" s="40">
        <f ca="1">IFERROR(__xludf.DUMMYFUNCTION("""COMPUTED_VALUE"""),1193107511)</f>
        <v>1193107511</v>
      </c>
      <c r="F391" s="40">
        <f ca="1">IFERROR(__xludf.DUMMYFUNCTION("""COMPUTED_VALUE"""),1905821)</f>
        <v>1905821</v>
      </c>
      <c r="G391" s="40" t="str">
        <f ca="1">IFERROR(__xludf.DUMMYFUNCTION("""COMPUTED_VALUE"""),"TÉCNICO")</f>
        <v>TÉCNICO</v>
      </c>
      <c r="H391" s="40" t="str">
        <f ca="1">IFERROR(__xludf.DUMMYFUNCTION("""COMPUTED_VALUE"""),"COCINA.")</f>
        <v>COCINA.</v>
      </c>
      <c r="I391" s="40"/>
      <c r="J391" s="40"/>
      <c r="K391" s="40"/>
      <c r="L391" s="40" t="str">
        <f ca="1">IFERROR(__xludf.DUMMYFUNCTION("""COMPUTED_VALUE"""),"NO HA INICIADO ETAPA PRODUCTIVA")</f>
        <v>NO HA INICIADO ETAPA PRODUCTIVA</v>
      </c>
      <c r="M391" s="40"/>
      <c r="N391" s="40"/>
      <c r="O391" s="40"/>
      <c r="P391" s="40"/>
      <c r="Q391" s="40"/>
      <c r="R391" s="140"/>
      <c r="S391" s="1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t="str">
        <f ca="1">IFERROR(__xludf.DUMMYFUNCTION("""COMPUTED_VALUE"""),"NO_CUMPLE")</f>
        <v>NO_CUMPLE</v>
      </c>
      <c r="AV391" s="40" t="str">
        <f ca="1">IFERROR(__xludf.DUMMYFUNCTION("""COMPUTED_VALUE"""),"EN FORMACION")</f>
        <v>EN FORMACION</v>
      </c>
      <c r="AW391" s="40" t="str">
        <f ca="1">IFERROR(__xludf.DUMMYFUNCTION("""COMPUTED_VALUE"""),"TURISMO")</f>
        <v>TURISMO</v>
      </c>
      <c r="AX391" s="141">
        <f ca="1">IFERROR(__xludf.DUMMYFUNCTION("""COMPUTED_VALUE"""),4)</f>
        <v>4</v>
      </c>
      <c r="AY391" s="40">
        <f ca="1">IFERROR(__xludf.DUMMYFUNCTION("""COMPUTED_VALUE"""),4)</f>
        <v>4</v>
      </c>
      <c r="AZ391" s="40">
        <f ca="1">IFERROR(__xludf.DUMMYFUNCTION("""COMPUTED_VALUE"""),1)</f>
        <v>1</v>
      </c>
      <c r="BA391" s="40">
        <f ca="1">IFERROR(__xludf.DUMMYFUNCTION("""COMPUTED_VALUE"""),3)</f>
        <v>3</v>
      </c>
      <c r="BB391" s="40">
        <f ca="1">IFERROR(__xludf.DUMMYFUNCTION("""COMPUTED_VALUE"""),0)</f>
        <v>0</v>
      </c>
      <c r="BC391" s="40">
        <f ca="1">IFERROR(__xludf.DUMMYFUNCTION("""COMPUTED_VALUE"""),8)</f>
        <v>8</v>
      </c>
      <c r="BD391" s="141">
        <f ca="1">IFERROR(__xludf.DUMMYFUNCTION("""COMPUTED_VALUE"""),43668)</f>
        <v>43668</v>
      </c>
      <c r="BE391" s="141">
        <f ca="1">IFERROR(__xludf.DUMMYFUNCTION("""COMPUTED_VALUE"""),44113)</f>
        <v>44113</v>
      </c>
      <c r="BF391" s="141">
        <f ca="1">IFERROR(__xludf.DUMMYFUNCTION("""COMPUTED_VALUE"""),44295)</f>
        <v>44295</v>
      </c>
      <c r="BG391" s="141">
        <f ca="1">IFERROR(__xludf.DUMMYFUNCTION("""COMPUTED_VALUE"""),44843)</f>
        <v>44843</v>
      </c>
      <c r="BH391" s="40" t="str">
        <f ca="1">IFERROR(__xludf.DUMMYFUNCTION("""COMPUTED_VALUE"""),"FINALIZAR FICHA")</f>
        <v>FINALIZAR FICHA</v>
      </c>
      <c r="BI391" s="40" t="str">
        <f ca="1">IFERROR(__xludf.DUMMYFUNCTION("""COMPUTED_VALUE"""),"Terminada por fecha")</f>
        <v>Terminada por fecha</v>
      </c>
      <c r="BJ391" s="40" t="str">
        <f ca="1">IFERROR(__xludf.DUMMYFUNCTION("""COMPUTED_VALUE"""),"Yamboro")</f>
        <v>Yamboro</v>
      </c>
      <c r="BK391" s="40"/>
      <c r="BL391" s="40"/>
    </row>
    <row r="392" spans="1:64" ht="13">
      <c r="A392" s="40"/>
      <c r="B392" s="40" t="str">
        <f ca="1">IFERROR(__xludf.DUMMYFUNCTION("""COMPUTED_VALUE"""),"FORMACIÓN 18/10/2022")</f>
        <v>FORMACIÓN 18/10/2022</v>
      </c>
      <c r="C392" s="40" t="str">
        <f ca="1">IFERROR(__xludf.DUMMYFUNCTION("""COMPUTED_VALUE"""),"CARLOS ALFREDO MUÑOZ TORRES")</f>
        <v>CARLOS ALFREDO MUÑOZ TORRES</v>
      </c>
      <c r="D392" s="40" t="str">
        <f ca="1">IFERROR(__xludf.DUMMYFUNCTION("""COMPUTED_VALUE"""),"CC")</f>
        <v>CC</v>
      </c>
      <c r="E392" s="40">
        <f ca="1">IFERROR(__xludf.DUMMYFUNCTION("""COMPUTED_VALUE"""),1118867354)</f>
        <v>1118867354</v>
      </c>
      <c r="F392" s="40">
        <f ca="1">IFERROR(__xludf.DUMMYFUNCTION("""COMPUTED_VALUE"""),1905821)</f>
        <v>1905821</v>
      </c>
      <c r="G392" s="40" t="str">
        <f ca="1">IFERROR(__xludf.DUMMYFUNCTION("""COMPUTED_VALUE"""),"TÉCNICO")</f>
        <v>TÉCNICO</v>
      </c>
      <c r="H392" s="40" t="str">
        <f ca="1">IFERROR(__xludf.DUMMYFUNCTION("""COMPUTED_VALUE"""),"COCINA.")</f>
        <v>COCINA.</v>
      </c>
      <c r="I392" s="40">
        <f ca="1">IFERROR(__xludf.DUMMYFUNCTION("""COMPUTED_VALUE"""),3118357616)</f>
        <v>3118357616</v>
      </c>
      <c r="J392" s="40" t="str">
        <f ca="1">IFERROR(__xludf.DUMMYFUNCTION("""COMPUTED_VALUE"""),"carlosalfredomunoztorres@gmail.com")</f>
        <v>carlosalfredomunoztorres@gmail.com</v>
      </c>
      <c r="K392" s="40"/>
      <c r="L392" s="40" t="str">
        <f ca="1">IFERROR(__xludf.DUMMYFUNCTION("""COMPUTED_VALUE"""),"PASANTÍAS")</f>
        <v>PASANTÍAS</v>
      </c>
      <c r="M392" s="40" t="str">
        <f ca="1">IFERROR(__xludf.DUMMYFUNCTION("""COMPUTED_VALUE"""),"PARROQUIA DIVINO NIÑO VERGEL TARQUI")</f>
        <v>PARROQUIA DIVINO NIÑO VERGEL TARQUI</v>
      </c>
      <c r="N392" s="40" t="str">
        <f ca="1">IFERROR(__xludf.DUMMYFUNCTION("""COMPUTED_VALUE"""),"Centro Poblado El Vergel Tarqui")</f>
        <v>Centro Poblado El Vergel Tarqui</v>
      </c>
      <c r="O392" s="40">
        <f ca="1">IFERROR(__xludf.DUMMYFUNCTION("""COMPUTED_VALUE"""),3202678438)</f>
        <v>3202678438</v>
      </c>
      <c r="P392" s="40" t="str">
        <f ca="1">IFERROR(__xludf.DUMMYFUNCTION("""COMPUTED_VALUE"""),"TARQUI")</f>
        <v>TARQUI</v>
      </c>
      <c r="Q392" s="40" t="str">
        <f ca="1">IFERROR(__xludf.DUMMYFUNCTION("""COMPUTED_VALUE"""),"pabloandresparra1983@hotmail.es")</f>
        <v>pabloandresparra1983@hotmail.es</v>
      </c>
      <c r="R392" s="140">
        <f ca="1">IFERROR(__xludf.DUMMYFUNCTION("""COMPUTED_VALUE"""),44275)</f>
        <v>44275</v>
      </c>
      <c r="S392" s="140">
        <f ca="1">IFERROR(__xludf.DUMMYFUNCTION("""COMPUTED_VALUE"""),44459)</f>
        <v>44459</v>
      </c>
      <c r="T392" s="40" t="str">
        <f ca="1">IFERROR(__xludf.DUMMYFUNCTION("""COMPUTED_VALUE"""),"No ha enviado toda la documentación al instructor ")</f>
        <v xml:space="preserve">No ha enviado toda la documentación al instructor </v>
      </c>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t="str">
        <f ca="1">IFERROR(__xludf.DUMMYFUNCTION("""COMPUTED_VALUE"""),"NO_CUMPLE")</f>
        <v>NO_CUMPLE</v>
      </c>
      <c r="AV392" s="40" t="str">
        <f ca="1">IFERROR(__xludf.DUMMYFUNCTION("""COMPUTED_VALUE"""),"EN FORMACION")</f>
        <v>EN FORMACION</v>
      </c>
      <c r="AW392" s="40" t="str">
        <f ca="1">IFERROR(__xludf.DUMMYFUNCTION("""COMPUTED_VALUE"""),"TURISMO")</f>
        <v>TURISMO</v>
      </c>
      <c r="AX392" s="141">
        <f ca="1">IFERROR(__xludf.DUMMYFUNCTION("""COMPUTED_VALUE"""),1)</f>
        <v>1</v>
      </c>
      <c r="AY392" s="40">
        <f ca="1">IFERROR(__xludf.DUMMYFUNCTION("""COMPUTED_VALUE"""),1)</f>
        <v>1</v>
      </c>
      <c r="AZ392" s="40">
        <f ca="1">IFERROR(__xludf.DUMMYFUNCTION("""COMPUTED_VALUE"""),1)</f>
        <v>1</v>
      </c>
      <c r="BA392" s="40">
        <f ca="1">IFERROR(__xludf.DUMMYFUNCTION("""COMPUTED_VALUE"""),0)</f>
        <v>0</v>
      </c>
      <c r="BB392" s="40">
        <f ca="1">IFERROR(__xludf.DUMMYFUNCTION("""COMPUTED_VALUE"""),0)</f>
        <v>0</v>
      </c>
      <c r="BC392" s="40">
        <f ca="1">IFERROR(__xludf.DUMMYFUNCTION("""COMPUTED_VALUE"""),2)</f>
        <v>2</v>
      </c>
      <c r="BD392" s="141">
        <f ca="1">IFERROR(__xludf.DUMMYFUNCTION("""COMPUTED_VALUE"""),43668)</f>
        <v>43668</v>
      </c>
      <c r="BE392" s="141">
        <f ca="1">IFERROR(__xludf.DUMMYFUNCTION("""COMPUTED_VALUE"""),44113)</f>
        <v>44113</v>
      </c>
      <c r="BF392" s="141">
        <f ca="1">IFERROR(__xludf.DUMMYFUNCTION("""COMPUTED_VALUE"""),44295)</f>
        <v>44295</v>
      </c>
      <c r="BG392" s="141">
        <f ca="1">IFERROR(__xludf.DUMMYFUNCTION("""COMPUTED_VALUE"""),44843)</f>
        <v>44843</v>
      </c>
      <c r="BH392" s="40" t="str">
        <f ca="1">IFERROR(__xludf.DUMMYFUNCTION("""COMPUTED_VALUE"""),"FINALIZAR FICHA")</f>
        <v>FINALIZAR FICHA</v>
      </c>
      <c r="BI392" s="40" t="str">
        <f ca="1">IFERROR(__xludf.DUMMYFUNCTION("""COMPUTED_VALUE"""),"Terminada por fecha")</f>
        <v>Terminada por fecha</v>
      </c>
      <c r="BJ392" s="40" t="str">
        <f ca="1">IFERROR(__xludf.DUMMYFUNCTION("""COMPUTED_VALUE"""),"Yamboro")</f>
        <v>Yamboro</v>
      </c>
      <c r="BK392" s="40"/>
      <c r="BL392" s="40"/>
    </row>
    <row r="393" spans="1:64" ht="13">
      <c r="A393" s="40"/>
      <c r="B393" s="40" t="str">
        <f ca="1">IFERROR(__xludf.DUMMYFUNCTION("""COMPUTED_VALUE"""),"FORMACIÓN 18/10/2022")</f>
        <v>FORMACIÓN 18/10/2022</v>
      </c>
      <c r="C393" s="40" t="str">
        <f ca="1">IFERROR(__xludf.DUMMYFUNCTION("""COMPUTED_VALUE"""),"JUAN DIEGO MENESES BRABO")</f>
        <v>JUAN DIEGO MENESES BRABO</v>
      </c>
      <c r="D393" s="40" t="str">
        <f ca="1">IFERROR(__xludf.DUMMYFUNCTION("""COMPUTED_VALUE"""),"CC")</f>
        <v>CC</v>
      </c>
      <c r="E393" s="40">
        <f ca="1">IFERROR(__xludf.DUMMYFUNCTION("""COMPUTED_VALUE"""),1083926819)</f>
        <v>1083926819</v>
      </c>
      <c r="F393" s="40">
        <f ca="1">IFERROR(__xludf.DUMMYFUNCTION("""COMPUTED_VALUE"""),1961854)</f>
        <v>1961854</v>
      </c>
      <c r="G393" s="40" t="str">
        <f ca="1">IFERROR(__xludf.DUMMYFUNCTION("""COMPUTED_VALUE"""),"TÉCNICO")</f>
        <v>TÉCNICO</v>
      </c>
      <c r="H393" s="40" t="str">
        <f ca="1">IFERROR(__xludf.DUMMYFUNCTION("""COMPUTED_VALUE"""),"COCINA.")</f>
        <v>COCINA.</v>
      </c>
      <c r="I393" s="40"/>
      <c r="J393" s="40" t="str">
        <f ca="1">IFERROR(__xludf.DUMMYFUNCTION("""COMPUTED_VALUE"""),"Meneses103@outlook.com")</f>
        <v>Meneses103@outlook.com</v>
      </c>
      <c r="K393" s="40"/>
      <c r="L393" s="40" t="str">
        <f ca="1">IFERROR(__xludf.DUMMYFUNCTION("""COMPUTED_VALUE"""),"TERMINADO ")</f>
        <v xml:space="preserve">TERMINADO </v>
      </c>
      <c r="M393" s="40" t="str">
        <f ca="1">IFERROR(__xludf.DUMMYFUNCTION("""COMPUTED_VALUE"""),"CARLOS EFREN IBARRA MARTINEZ")</f>
        <v>CARLOS EFREN IBARRA MARTINEZ</v>
      </c>
      <c r="N393" s="40"/>
      <c r="O393" s="40"/>
      <c r="P393" s="40"/>
      <c r="Q393" s="40"/>
      <c r="R393" s="140">
        <f ca="1">IFERROR(__xludf.DUMMYFUNCTION("""COMPUTED_VALUE"""),44348)</f>
        <v>44348</v>
      </c>
      <c r="S393" s="140">
        <f ca="1">IFERROR(__xludf.DUMMYFUNCTION("""COMPUTED_VALUE"""),44530)</f>
        <v>44530</v>
      </c>
      <c r="T393" s="40" t="str">
        <f ca="1">IFERROR(__xludf.DUMMYFUNCTION("""COMPUTED_VALUE"""),"No ha enviado documentación (nada) al instructor ")</f>
        <v xml:space="preserve">No ha enviado documentación (nada) al instructor </v>
      </c>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t="str">
        <f ca="1">IFERROR(__xludf.DUMMYFUNCTION("""COMPUTED_VALUE"""),"Procede_E_P")</f>
        <v>Procede_E_P</v>
      </c>
      <c r="AV393" s="40" t="str">
        <f ca="1">IFERROR(__xludf.DUMMYFUNCTION("""COMPUTED_VALUE"""),"EN FORMACION")</f>
        <v>EN FORMACION</v>
      </c>
      <c r="AW393" s="40" t="str">
        <f ca="1">IFERROR(__xludf.DUMMYFUNCTION("""COMPUTED_VALUE"""),"TURISMO")</f>
        <v>TURISMO</v>
      </c>
      <c r="AX393" s="141">
        <f ca="1">IFERROR(__xludf.DUMMYFUNCTION("""COMPUTED_VALUE"""),0)</f>
        <v>0</v>
      </c>
      <c r="AY393" s="40">
        <f ca="1">IFERROR(__xludf.DUMMYFUNCTION("""COMPUTED_VALUE"""),0)</f>
        <v>0</v>
      </c>
      <c r="AZ393" s="40">
        <f ca="1">IFERROR(__xludf.DUMMYFUNCTION("""COMPUTED_VALUE"""),1)</f>
        <v>1</v>
      </c>
      <c r="BA393" s="40">
        <f ca="1">IFERROR(__xludf.DUMMYFUNCTION("""COMPUTED_VALUE"""),0)</f>
        <v>0</v>
      </c>
      <c r="BB393" s="40">
        <f ca="1">IFERROR(__xludf.DUMMYFUNCTION("""COMPUTED_VALUE"""),0)</f>
        <v>0</v>
      </c>
      <c r="BC393" s="40">
        <f ca="1">IFERROR(__xludf.DUMMYFUNCTION("""COMPUTED_VALUE"""),1)</f>
        <v>1</v>
      </c>
      <c r="BD393" s="141">
        <f ca="1">IFERROR(__xludf.DUMMYFUNCTION("""COMPUTED_VALUE"""),43745)</f>
        <v>43745</v>
      </c>
      <c r="BE393" s="141">
        <f ca="1">IFERROR(__xludf.DUMMYFUNCTION("""COMPUTED_VALUE"""),44113)</f>
        <v>44113</v>
      </c>
      <c r="BF393" s="141">
        <f ca="1">IFERROR(__xludf.DUMMYFUNCTION("""COMPUTED_VALUE"""),44295)</f>
        <v>44295</v>
      </c>
      <c r="BG393" s="141">
        <f ca="1">IFERROR(__xludf.DUMMYFUNCTION("""COMPUTED_VALUE"""),44843)</f>
        <v>44843</v>
      </c>
      <c r="BH393" s="40" t="str">
        <f ca="1">IFERROR(__xludf.DUMMYFUNCTION("""COMPUTED_VALUE"""),"FINALIZAR FICHA")</f>
        <v>FINALIZAR FICHA</v>
      </c>
      <c r="BI393" s="40" t="str">
        <f ca="1">IFERROR(__xludf.DUMMYFUNCTION("""COMPUTED_VALUE"""),"Terminada por fecha")</f>
        <v>Terminada por fecha</v>
      </c>
      <c r="BJ393" s="40" t="str">
        <f ca="1">IFERROR(__xludf.DUMMYFUNCTION("""COMPUTED_VALUE"""),"Yamboro")</f>
        <v>Yamboro</v>
      </c>
      <c r="BK393" s="40"/>
      <c r="BL393" s="40"/>
    </row>
    <row r="394" spans="1:64" ht="13">
      <c r="A394" s="40"/>
      <c r="B394" s="40" t="str">
        <f ca="1">IFERROR(__xludf.DUMMYFUNCTION("""COMPUTED_VALUE"""),"FORMACIÓN 18/10/2022")</f>
        <v>FORMACIÓN 18/10/2022</v>
      </c>
      <c r="C394" s="40" t="str">
        <f ca="1">IFERROR(__xludf.DUMMYFUNCTION("""COMPUTED_VALUE"""),"JENNIFER NATALY ALVIS BONILLA")</f>
        <v>JENNIFER NATALY ALVIS BONILLA</v>
      </c>
      <c r="D394" s="40" t="str">
        <f ca="1">IFERROR(__xludf.DUMMYFUNCTION("""COMPUTED_VALUE"""),"CC")</f>
        <v>CC</v>
      </c>
      <c r="E394" s="40">
        <f ca="1">IFERROR(__xludf.DUMMYFUNCTION("""COMPUTED_VALUE"""),1007295575)</f>
        <v>1007295575</v>
      </c>
      <c r="F394" s="40">
        <f ca="1">IFERROR(__xludf.DUMMYFUNCTION("""COMPUTED_VALUE"""),1961854)</f>
        <v>1961854</v>
      </c>
      <c r="G394" s="40" t="str">
        <f ca="1">IFERROR(__xludf.DUMMYFUNCTION("""COMPUTED_VALUE"""),"TÉCNICO")</f>
        <v>TÉCNICO</v>
      </c>
      <c r="H394" s="40" t="str">
        <f ca="1">IFERROR(__xludf.DUMMYFUNCTION("""COMPUTED_VALUE"""),"COCINA.")</f>
        <v>COCINA.</v>
      </c>
      <c r="I394" s="40"/>
      <c r="J394" s="40"/>
      <c r="K394" s="40"/>
      <c r="L394" s="40" t="str">
        <f ca="1">IFERROR(__xludf.DUMMYFUNCTION("""COMPUTED_VALUE"""),"NO HA INICIADO ETAPA PRODUCTIVA")</f>
        <v>NO HA INICIADO ETAPA PRODUCTIVA</v>
      </c>
      <c r="M394" s="40"/>
      <c r="N394" s="40"/>
      <c r="O394" s="40"/>
      <c r="P394" s="40"/>
      <c r="Q394" s="40"/>
      <c r="R394" s="140"/>
      <c r="S394" s="1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t="str">
        <f ca="1">IFERROR(__xludf.DUMMYFUNCTION("""COMPUTED_VALUE"""),"NO_CUMPLE")</f>
        <v>NO_CUMPLE</v>
      </c>
      <c r="AV394" s="40" t="str">
        <f ca="1">IFERROR(__xludf.DUMMYFUNCTION("""COMPUTED_VALUE"""),"EN FORMACION")</f>
        <v>EN FORMACION</v>
      </c>
      <c r="AW394" s="40" t="str">
        <f ca="1">IFERROR(__xludf.DUMMYFUNCTION("""COMPUTED_VALUE"""),"TURISMO")</f>
        <v>TURISMO</v>
      </c>
      <c r="AX394" s="141">
        <f ca="1">IFERROR(__xludf.DUMMYFUNCTION("""COMPUTED_VALUE"""),4)</f>
        <v>4</v>
      </c>
      <c r="AY394" s="40">
        <f ca="1">IFERROR(__xludf.DUMMYFUNCTION("""COMPUTED_VALUE"""),4)</f>
        <v>4</v>
      </c>
      <c r="AZ394" s="40">
        <f ca="1">IFERROR(__xludf.DUMMYFUNCTION("""COMPUTED_VALUE"""),1)</f>
        <v>1</v>
      </c>
      <c r="BA394" s="40">
        <f ca="1">IFERROR(__xludf.DUMMYFUNCTION("""COMPUTED_VALUE"""),6)</f>
        <v>6</v>
      </c>
      <c r="BB394" s="40">
        <f ca="1">IFERROR(__xludf.DUMMYFUNCTION("""COMPUTED_VALUE"""),0)</f>
        <v>0</v>
      </c>
      <c r="BC394" s="40">
        <f ca="1">IFERROR(__xludf.DUMMYFUNCTION("""COMPUTED_VALUE"""),11)</f>
        <v>11</v>
      </c>
      <c r="BD394" s="141">
        <f ca="1">IFERROR(__xludf.DUMMYFUNCTION("""COMPUTED_VALUE"""),43745)</f>
        <v>43745</v>
      </c>
      <c r="BE394" s="141">
        <f ca="1">IFERROR(__xludf.DUMMYFUNCTION("""COMPUTED_VALUE"""),44113)</f>
        <v>44113</v>
      </c>
      <c r="BF394" s="141">
        <f ca="1">IFERROR(__xludf.DUMMYFUNCTION("""COMPUTED_VALUE"""),44295)</f>
        <v>44295</v>
      </c>
      <c r="BG394" s="141">
        <f ca="1">IFERROR(__xludf.DUMMYFUNCTION("""COMPUTED_VALUE"""),44843)</f>
        <v>44843</v>
      </c>
      <c r="BH394" s="40" t="str">
        <f ca="1">IFERROR(__xludf.DUMMYFUNCTION("""COMPUTED_VALUE"""),"FINALIZAR FICHA")</f>
        <v>FINALIZAR FICHA</v>
      </c>
      <c r="BI394" s="40" t="str">
        <f ca="1">IFERROR(__xludf.DUMMYFUNCTION("""COMPUTED_VALUE"""),"Terminada por fecha")</f>
        <v>Terminada por fecha</v>
      </c>
      <c r="BJ394" s="40" t="str">
        <f ca="1">IFERROR(__xludf.DUMMYFUNCTION("""COMPUTED_VALUE"""),"Yamboro")</f>
        <v>Yamboro</v>
      </c>
      <c r="BK394" s="40"/>
      <c r="BL394" s="40"/>
    </row>
    <row r="395" spans="1:64" ht="13">
      <c r="A395" s="40"/>
      <c r="B395" s="40" t="str">
        <f ca="1">IFERROR(__xludf.DUMMYFUNCTION("""COMPUTED_VALUE"""),"FORMACIÓN 18/10/2022")</f>
        <v>FORMACIÓN 18/10/2022</v>
      </c>
      <c r="C395" s="40" t="str">
        <f ca="1">IFERROR(__xludf.DUMMYFUNCTION("""COMPUTED_VALUE"""),"LUZ STEFANNY ROJAS LOZANO")</f>
        <v>LUZ STEFANNY ROJAS LOZANO</v>
      </c>
      <c r="D395" s="40" t="str">
        <f ca="1">IFERROR(__xludf.DUMMYFUNCTION("""COMPUTED_VALUE"""),"CC")</f>
        <v>CC</v>
      </c>
      <c r="E395" s="40">
        <f ca="1">IFERROR(__xludf.DUMMYFUNCTION("""COMPUTED_VALUE"""),1023001763)</f>
        <v>1023001763</v>
      </c>
      <c r="F395" s="40">
        <f ca="1">IFERROR(__xludf.DUMMYFUNCTION("""COMPUTED_VALUE"""),1961854)</f>
        <v>1961854</v>
      </c>
      <c r="G395" s="40" t="str">
        <f ca="1">IFERROR(__xludf.DUMMYFUNCTION("""COMPUTED_VALUE"""),"TÉCNICO")</f>
        <v>TÉCNICO</v>
      </c>
      <c r="H395" s="40" t="str">
        <f ca="1">IFERROR(__xludf.DUMMYFUNCTION("""COMPUTED_VALUE"""),"COCINA.")</f>
        <v>COCINA.</v>
      </c>
      <c r="I395" s="40"/>
      <c r="J395" s="40"/>
      <c r="K395" s="40"/>
      <c r="L395" s="40" t="str">
        <f ca="1">IFERROR(__xludf.DUMMYFUNCTION("""COMPUTED_VALUE"""),"NO HA INICIADO ETAPA PRODUCTIVA")</f>
        <v>NO HA INICIADO ETAPA PRODUCTIVA</v>
      </c>
      <c r="M395" s="40"/>
      <c r="N395" s="40"/>
      <c r="O395" s="40"/>
      <c r="P395" s="40"/>
      <c r="Q395" s="40"/>
      <c r="R395" s="140"/>
      <c r="S395" s="1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t="str">
        <f ca="1">IFERROR(__xludf.DUMMYFUNCTION("""COMPUTED_VALUE"""),"Procede_E_P")</f>
        <v>Procede_E_P</v>
      </c>
      <c r="AV395" s="40" t="str">
        <f ca="1">IFERROR(__xludf.DUMMYFUNCTION("""COMPUTED_VALUE"""),"EN FORMACION")</f>
        <v>EN FORMACION</v>
      </c>
      <c r="AW395" s="40" t="str">
        <f ca="1">IFERROR(__xludf.DUMMYFUNCTION("""COMPUTED_VALUE"""),"TURISMO")</f>
        <v>TURISMO</v>
      </c>
      <c r="AX395" s="141">
        <f ca="1">IFERROR(__xludf.DUMMYFUNCTION("""COMPUTED_VALUE"""),0)</f>
        <v>0</v>
      </c>
      <c r="AY395" s="40">
        <f ca="1">IFERROR(__xludf.DUMMYFUNCTION("""COMPUTED_VALUE"""),0)</f>
        <v>0</v>
      </c>
      <c r="AZ395" s="40">
        <f ca="1">IFERROR(__xludf.DUMMYFUNCTION("""COMPUTED_VALUE"""),1)</f>
        <v>1</v>
      </c>
      <c r="BA395" s="40">
        <f ca="1">IFERROR(__xludf.DUMMYFUNCTION("""COMPUTED_VALUE"""),0)</f>
        <v>0</v>
      </c>
      <c r="BB395" s="40">
        <f ca="1">IFERROR(__xludf.DUMMYFUNCTION("""COMPUTED_VALUE"""),0)</f>
        <v>0</v>
      </c>
      <c r="BC395" s="40">
        <f ca="1">IFERROR(__xludf.DUMMYFUNCTION("""COMPUTED_VALUE"""),1)</f>
        <v>1</v>
      </c>
      <c r="BD395" s="141">
        <f ca="1">IFERROR(__xludf.DUMMYFUNCTION("""COMPUTED_VALUE"""),43745)</f>
        <v>43745</v>
      </c>
      <c r="BE395" s="141">
        <f ca="1">IFERROR(__xludf.DUMMYFUNCTION("""COMPUTED_VALUE"""),44113)</f>
        <v>44113</v>
      </c>
      <c r="BF395" s="141">
        <f ca="1">IFERROR(__xludf.DUMMYFUNCTION("""COMPUTED_VALUE"""),44295)</f>
        <v>44295</v>
      </c>
      <c r="BG395" s="141">
        <f ca="1">IFERROR(__xludf.DUMMYFUNCTION("""COMPUTED_VALUE"""),44843)</f>
        <v>44843</v>
      </c>
      <c r="BH395" s="40" t="str">
        <f ca="1">IFERROR(__xludf.DUMMYFUNCTION("""COMPUTED_VALUE"""),"FINALIZAR FICHA")</f>
        <v>FINALIZAR FICHA</v>
      </c>
      <c r="BI395" s="40" t="str">
        <f ca="1">IFERROR(__xludf.DUMMYFUNCTION("""COMPUTED_VALUE"""),"Terminada por fecha")</f>
        <v>Terminada por fecha</v>
      </c>
      <c r="BJ395" s="40" t="str">
        <f ca="1">IFERROR(__xludf.DUMMYFUNCTION("""COMPUTED_VALUE"""),"Yamboro")</f>
        <v>Yamboro</v>
      </c>
      <c r="BK395" s="40"/>
      <c r="BL395" s="40"/>
    </row>
    <row r="396" spans="1:64" ht="13">
      <c r="A396" s="40"/>
      <c r="B396" s="40" t="str">
        <f ca="1">IFERROR(__xludf.DUMMYFUNCTION("""COMPUTED_VALUE"""),"FORMACIÓN 18/10/2022")</f>
        <v>FORMACIÓN 18/10/2022</v>
      </c>
      <c r="C396" s="40" t="str">
        <f ca="1">IFERROR(__xludf.DUMMYFUNCTION("""COMPUTED_VALUE"""),"DANIEL ECHEVERRY RODRIGUEZ")</f>
        <v>DANIEL ECHEVERRY RODRIGUEZ</v>
      </c>
      <c r="D396" s="40" t="str">
        <f ca="1">IFERROR(__xludf.DUMMYFUNCTION("""COMPUTED_VALUE"""),"CC")</f>
        <v>CC</v>
      </c>
      <c r="E396" s="40">
        <f ca="1">IFERROR(__xludf.DUMMYFUNCTION("""COMPUTED_VALUE"""),1113314358)</f>
        <v>1113314358</v>
      </c>
      <c r="F396" s="40">
        <f ca="1">IFERROR(__xludf.DUMMYFUNCTION("""COMPUTED_VALUE"""),1961854)</f>
        <v>1961854</v>
      </c>
      <c r="G396" s="40" t="str">
        <f ca="1">IFERROR(__xludf.DUMMYFUNCTION("""COMPUTED_VALUE"""),"TÉCNICO")</f>
        <v>TÉCNICO</v>
      </c>
      <c r="H396" s="40" t="str">
        <f ca="1">IFERROR(__xludf.DUMMYFUNCTION("""COMPUTED_VALUE"""),"COCINA.")</f>
        <v>COCINA.</v>
      </c>
      <c r="I396" s="40"/>
      <c r="J396" s="40"/>
      <c r="K396" s="40"/>
      <c r="L396" s="40" t="str">
        <f ca="1">IFERROR(__xludf.DUMMYFUNCTION("""COMPUTED_VALUE"""),"NO HA INICIADO ETAPA PRODUCTIVA")</f>
        <v>NO HA INICIADO ETAPA PRODUCTIVA</v>
      </c>
      <c r="M396" s="40"/>
      <c r="N396" s="40"/>
      <c r="O396" s="40"/>
      <c r="P396" s="40"/>
      <c r="Q396" s="40"/>
      <c r="R396" s="140"/>
      <c r="S396" s="1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t="str">
        <f ca="1">IFERROR(__xludf.DUMMYFUNCTION("""COMPUTED_VALUE"""),"Procede_E_P")</f>
        <v>Procede_E_P</v>
      </c>
      <c r="AV396" s="40" t="str">
        <f ca="1">IFERROR(__xludf.DUMMYFUNCTION("""COMPUTED_VALUE"""),"EN FORMACION")</f>
        <v>EN FORMACION</v>
      </c>
      <c r="AW396" s="40" t="str">
        <f ca="1">IFERROR(__xludf.DUMMYFUNCTION("""COMPUTED_VALUE"""),"TURISMO")</f>
        <v>TURISMO</v>
      </c>
      <c r="AX396" s="141">
        <f ca="1">IFERROR(__xludf.DUMMYFUNCTION("""COMPUTED_VALUE"""),0)</f>
        <v>0</v>
      </c>
      <c r="AY396" s="40">
        <f ca="1">IFERROR(__xludf.DUMMYFUNCTION("""COMPUTED_VALUE"""),0)</f>
        <v>0</v>
      </c>
      <c r="AZ396" s="40">
        <f ca="1">IFERROR(__xludf.DUMMYFUNCTION("""COMPUTED_VALUE"""),1)</f>
        <v>1</v>
      </c>
      <c r="BA396" s="40">
        <f ca="1">IFERROR(__xludf.DUMMYFUNCTION("""COMPUTED_VALUE"""),0)</f>
        <v>0</v>
      </c>
      <c r="BB396" s="40">
        <f ca="1">IFERROR(__xludf.DUMMYFUNCTION("""COMPUTED_VALUE"""),0)</f>
        <v>0</v>
      </c>
      <c r="BC396" s="40">
        <f ca="1">IFERROR(__xludf.DUMMYFUNCTION("""COMPUTED_VALUE"""),1)</f>
        <v>1</v>
      </c>
      <c r="BD396" s="141">
        <f ca="1">IFERROR(__xludf.DUMMYFUNCTION("""COMPUTED_VALUE"""),43745)</f>
        <v>43745</v>
      </c>
      <c r="BE396" s="141">
        <f ca="1">IFERROR(__xludf.DUMMYFUNCTION("""COMPUTED_VALUE"""),44113)</f>
        <v>44113</v>
      </c>
      <c r="BF396" s="141">
        <f ca="1">IFERROR(__xludf.DUMMYFUNCTION("""COMPUTED_VALUE"""),44295)</f>
        <v>44295</v>
      </c>
      <c r="BG396" s="141">
        <f ca="1">IFERROR(__xludf.DUMMYFUNCTION("""COMPUTED_VALUE"""),44843)</f>
        <v>44843</v>
      </c>
      <c r="BH396" s="40" t="str">
        <f ca="1">IFERROR(__xludf.DUMMYFUNCTION("""COMPUTED_VALUE"""),"FINALIZAR FICHA")</f>
        <v>FINALIZAR FICHA</v>
      </c>
      <c r="BI396" s="40" t="str">
        <f ca="1">IFERROR(__xludf.DUMMYFUNCTION("""COMPUTED_VALUE"""),"Terminada por fecha")</f>
        <v>Terminada por fecha</v>
      </c>
      <c r="BJ396" s="40" t="str">
        <f ca="1">IFERROR(__xludf.DUMMYFUNCTION("""COMPUTED_VALUE"""),"Yamboro")</f>
        <v>Yamboro</v>
      </c>
      <c r="BK396" s="40"/>
      <c r="BL396" s="40"/>
    </row>
    <row r="397" spans="1:64" ht="13">
      <c r="A397" s="40"/>
      <c r="B397" s="40" t="str">
        <f ca="1">IFERROR(__xludf.DUMMYFUNCTION("""COMPUTED_VALUE"""),"FORMACIÓN 18/10/2022")</f>
        <v>FORMACIÓN 18/10/2022</v>
      </c>
      <c r="C397" s="40" t="str">
        <f ca="1">IFERROR(__xludf.DUMMYFUNCTION("""COMPUTED_VALUE"""),"MARIA CAMILA ARTUNDUAGA GARCIA")</f>
        <v>MARIA CAMILA ARTUNDUAGA GARCIA</v>
      </c>
      <c r="D397" s="40" t="str">
        <f ca="1">IFERROR(__xludf.DUMMYFUNCTION("""COMPUTED_VALUE"""),"TI")</f>
        <v>TI</v>
      </c>
      <c r="E397" s="40">
        <f ca="1">IFERROR(__xludf.DUMMYFUNCTION("""COMPUTED_VALUE"""),1004083002)</f>
        <v>1004083002</v>
      </c>
      <c r="F397" s="40">
        <f ca="1">IFERROR(__xludf.DUMMYFUNCTION("""COMPUTED_VALUE"""),1835254)</f>
        <v>1835254</v>
      </c>
      <c r="G397" s="40" t="str">
        <f ca="1">IFERROR(__xludf.DUMMYFUNCTION("""COMPUTED_VALUE"""),"TÉCNICO")</f>
        <v>TÉCNICO</v>
      </c>
      <c r="H397" s="40" t="str">
        <f ca="1">IFERROR(__xludf.DUMMYFUNCTION("""COMPUTED_VALUE"""),"COCINA.")</f>
        <v>COCINA.</v>
      </c>
      <c r="I397" s="40">
        <f ca="1">IFERROR(__xludf.DUMMYFUNCTION("""COMPUTED_VALUE"""),3186018620)</f>
        <v>3186018620</v>
      </c>
      <c r="J397" s="40" t="str">
        <f ca="1">IFERROR(__xludf.DUMMYFUNCTION("""COMPUTED_VALUE"""),"Mariacamila1603@gmail.com")</f>
        <v>Mariacamila1603@gmail.com</v>
      </c>
      <c r="K397" s="40"/>
      <c r="L397" s="40" t="str">
        <f ca="1">IFERROR(__xludf.DUMMYFUNCTION("""COMPUTED_VALUE"""),"NO HA INICIADO ETAPA PRODUCTIVA")</f>
        <v>NO HA INICIADO ETAPA PRODUCTIVA</v>
      </c>
      <c r="M397" s="40"/>
      <c r="N397" s="40"/>
      <c r="O397" s="40"/>
      <c r="P397" s="40"/>
      <c r="Q397" s="40"/>
      <c r="R397" s="140"/>
      <c r="S397" s="1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t="str">
        <f ca="1">IFERROR(__xludf.DUMMYFUNCTION("""COMPUTED_VALUE"""),"NO_CUMPLE")</f>
        <v>NO_CUMPLE</v>
      </c>
      <c r="AV397" s="40" t="str">
        <f ca="1">IFERROR(__xludf.DUMMYFUNCTION("""COMPUTED_VALUE"""),"EN FORMACION")</f>
        <v>EN FORMACION</v>
      </c>
      <c r="AW397" s="40" t="str">
        <f ca="1">IFERROR(__xludf.DUMMYFUNCTION("""COMPUTED_VALUE"""),"TURISMO")</f>
        <v>TURISMO</v>
      </c>
      <c r="AX397" s="141">
        <f ca="1">IFERROR(__xludf.DUMMYFUNCTION("""COMPUTED_VALUE"""),0)</f>
        <v>0</v>
      </c>
      <c r="AY397" s="40">
        <f ca="1">IFERROR(__xludf.DUMMYFUNCTION("""COMPUTED_VALUE"""),0)</f>
        <v>0</v>
      </c>
      <c r="AZ397" s="40">
        <f ca="1">IFERROR(__xludf.DUMMYFUNCTION("""COMPUTED_VALUE"""),1)</f>
        <v>1</v>
      </c>
      <c r="BA397" s="40">
        <f ca="1">IFERROR(__xludf.DUMMYFUNCTION("""COMPUTED_VALUE"""),4)</f>
        <v>4</v>
      </c>
      <c r="BB397" s="40">
        <f ca="1">IFERROR(__xludf.DUMMYFUNCTION("""COMPUTED_VALUE"""),0)</f>
        <v>0</v>
      </c>
      <c r="BC397" s="40">
        <f ca="1">IFERROR(__xludf.DUMMYFUNCTION("""COMPUTED_VALUE"""),5)</f>
        <v>5</v>
      </c>
      <c r="BD397" s="141">
        <f ca="1">IFERROR(__xludf.DUMMYFUNCTION("""COMPUTED_VALUE"""),43577)</f>
        <v>43577</v>
      </c>
      <c r="BE397" s="141">
        <f ca="1">IFERROR(__xludf.DUMMYFUNCTION("""COMPUTED_VALUE"""),43852)</f>
        <v>43852</v>
      </c>
      <c r="BF397" s="141">
        <f ca="1">IFERROR(__xludf.DUMMYFUNCTION("""COMPUTED_VALUE"""),44034)</f>
        <v>44034</v>
      </c>
      <c r="BG397" s="141">
        <f ca="1">IFERROR(__xludf.DUMMYFUNCTION("""COMPUTED_VALUE"""),44583)</f>
        <v>44583</v>
      </c>
      <c r="BH397" s="40" t="str">
        <f ca="1">IFERROR(__xludf.DUMMYFUNCTION("""COMPUTED_VALUE"""),"FINALIZAR FICHA")</f>
        <v>FINALIZAR FICHA</v>
      </c>
      <c r="BI397" s="40" t="str">
        <f ca="1">IFERROR(__xludf.DUMMYFUNCTION("""COMPUTED_VALUE"""),"Terminada por fecha")</f>
        <v>Terminada por fecha</v>
      </c>
      <c r="BJ397" s="40" t="str">
        <f ca="1">IFERROR(__xludf.DUMMYFUNCTION("""COMPUTED_VALUE"""),"Yamboro")</f>
        <v>Yamboro</v>
      </c>
      <c r="BK397" s="40"/>
      <c r="BL397" s="40"/>
    </row>
    <row r="398" spans="1:64" ht="13">
      <c r="A398" s="40"/>
      <c r="B398" s="40" t="str">
        <f ca="1">IFERROR(__xludf.DUMMYFUNCTION("""COMPUTED_VALUE"""),"FORMACIÓN 18/10/2022")</f>
        <v>FORMACIÓN 18/10/2022</v>
      </c>
      <c r="C398" s="40" t="str">
        <f ca="1">IFERROR(__xludf.DUMMYFUNCTION("""COMPUTED_VALUE"""),"KAREN DAYANA MADRIÑAN ROSERO")</f>
        <v>KAREN DAYANA MADRIÑAN ROSERO</v>
      </c>
      <c r="D398" s="40" t="str">
        <f ca="1">IFERROR(__xludf.DUMMYFUNCTION("""COMPUTED_VALUE"""),"CC")</f>
        <v>CC</v>
      </c>
      <c r="E398" s="40">
        <f ca="1">IFERROR(__xludf.DUMMYFUNCTION("""COMPUTED_VALUE"""),1007462613)</f>
        <v>1007462613</v>
      </c>
      <c r="F398" s="40">
        <f ca="1">IFERROR(__xludf.DUMMYFUNCTION("""COMPUTED_VALUE"""),1835254)</f>
        <v>1835254</v>
      </c>
      <c r="G398" s="40" t="str">
        <f ca="1">IFERROR(__xludf.DUMMYFUNCTION("""COMPUTED_VALUE"""),"TÉCNICO")</f>
        <v>TÉCNICO</v>
      </c>
      <c r="H398" s="40" t="str">
        <f ca="1">IFERROR(__xludf.DUMMYFUNCTION("""COMPUTED_VALUE"""),"COCINA.")</f>
        <v>COCINA.</v>
      </c>
      <c r="I398" s="40">
        <f ca="1">IFERROR(__xludf.DUMMYFUNCTION("""COMPUTED_VALUE"""),3172416277)</f>
        <v>3172416277</v>
      </c>
      <c r="J398" s="40" t="str">
        <f ca="1">IFERROR(__xludf.DUMMYFUNCTION("""COMPUTED_VALUE"""),"karen_rosero_2004@hotmail.com")</f>
        <v>karen_rosero_2004@hotmail.com</v>
      </c>
      <c r="K398" s="40" t="str">
        <f ca="1">IFERROR(__xludf.DUMMYFUNCTION("""COMPUTED_VALUE"""),"PITALITO")</f>
        <v>PITALITO</v>
      </c>
      <c r="L398" s="40" t="str">
        <f ca="1">IFERROR(__xludf.DUMMYFUNCTION("""COMPUTED_VALUE"""),"NO HA INICIADO ETAPA PRODUCTIVA")</f>
        <v>NO HA INICIADO ETAPA PRODUCTIVA</v>
      </c>
      <c r="M398" s="40"/>
      <c r="N398" s="40"/>
      <c r="O398" s="40"/>
      <c r="P398" s="40"/>
      <c r="Q398" s="40"/>
      <c r="R398" s="140"/>
      <c r="S398" s="1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t="str">
        <f ca="1">IFERROR(__xludf.DUMMYFUNCTION("""COMPUTED_VALUE"""),"Procede_E_P")</f>
        <v>Procede_E_P</v>
      </c>
      <c r="AV398" s="40" t="str">
        <f ca="1">IFERROR(__xludf.DUMMYFUNCTION("""COMPUTED_VALUE"""),"EN FORMACION")</f>
        <v>EN FORMACION</v>
      </c>
      <c r="AW398" s="40" t="str">
        <f ca="1">IFERROR(__xludf.DUMMYFUNCTION("""COMPUTED_VALUE"""),"TURISMO")</f>
        <v>TURISMO</v>
      </c>
      <c r="AX398" s="141">
        <f ca="1">IFERROR(__xludf.DUMMYFUNCTION("""COMPUTED_VALUE"""),0)</f>
        <v>0</v>
      </c>
      <c r="AY398" s="40">
        <f ca="1">IFERROR(__xludf.DUMMYFUNCTION("""COMPUTED_VALUE"""),0)</f>
        <v>0</v>
      </c>
      <c r="AZ398" s="40">
        <f ca="1">IFERROR(__xludf.DUMMYFUNCTION("""COMPUTED_VALUE"""),1)</f>
        <v>1</v>
      </c>
      <c r="BA398" s="40">
        <f ca="1">IFERROR(__xludf.DUMMYFUNCTION("""COMPUTED_VALUE"""),0)</f>
        <v>0</v>
      </c>
      <c r="BB398" s="40">
        <f ca="1">IFERROR(__xludf.DUMMYFUNCTION("""COMPUTED_VALUE"""),0)</f>
        <v>0</v>
      </c>
      <c r="BC398" s="40">
        <f ca="1">IFERROR(__xludf.DUMMYFUNCTION("""COMPUTED_VALUE"""),1)</f>
        <v>1</v>
      </c>
      <c r="BD398" s="141">
        <f ca="1">IFERROR(__xludf.DUMMYFUNCTION("""COMPUTED_VALUE"""),43577)</f>
        <v>43577</v>
      </c>
      <c r="BE398" s="141">
        <f ca="1">IFERROR(__xludf.DUMMYFUNCTION("""COMPUTED_VALUE"""),43852)</f>
        <v>43852</v>
      </c>
      <c r="BF398" s="141">
        <f ca="1">IFERROR(__xludf.DUMMYFUNCTION("""COMPUTED_VALUE"""),44034)</f>
        <v>44034</v>
      </c>
      <c r="BG398" s="141">
        <f ca="1">IFERROR(__xludf.DUMMYFUNCTION("""COMPUTED_VALUE"""),44583)</f>
        <v>44583</v>
      </c>
      <c r="BH398" s="40" t="str">
        <f ca="1">IFERROR(__xludf.DUMMYFUNCTION("""COMPUTED_VALUE"""),"FINALIZAR FICHA")</f>
        <v>FINALIZAR FICHA</v>
      </c>
      <c r="BI398" s="40" t="str">
        <f ca="1">IFERROR(__xludf.DUMMYFUNCTION("""COMPUTED_VALUE"""),"Terminada por fecha")</f>
        <v>Terminada por fecha</v>
      </c>
      <c r="BJ398" s="40" t="str">
        <f ca="1">IFERROR(__xludf.DUMMYFUNCTION("""COMPUTED_VALUE"""),"Yamboro")</f>
        <v>Yamboro</v>
      </c>
      <c r="BK398" s="40"/>
      <c r="BL398" s="40"/>
    </row>
    <row r="399" spans="1:64" ht="13">
      <c r="A399" s="40"/>
      <c r="B399" s="40" t="str">
        <f ca="1">IFERROR(__xludf.DUMMYFUNCTION("""COMPUTED_VALUE"""),"FORMACIÓN 18/10/2022")</f>
        <v>FORMACIÓN 18/10/2022</v>
      </c>
      <c r="C399" s="40" t="str">
        <f ca="1">IFERROR(__xludf.DUMMYFUNCTION("""COMPUTED_VALUE"""),"IVANA DEL PILAR BONILLA PEREIRA")</f>
        <v>IVANA DEL PILAR BONILLA PEREIRA</v>
      </c>
      <c r="D399" s="40" t="str">
        <f ca="1">IFERROR(__xludf.DUMMYFUNCTION("""COMPUTED_VALUE"""),"TI")</f>
        <v>TI</v>
      </c>
      <c r="E399" s="40">
        <f ca="1">IFERROR(__xludf.DUMMYFUNCTION("""COMPUTED_VALUE"""),1007521233)</f>
        <v>1007521233</v>
      </c>
      <c r="F399" s="40">
        <f ca="1">IFERROR(__xludf.DUMMYFUNCTION("""COMPUTED_VALUE"""),1835254)</f>
        <v>1835254</v>
      </c>
      <c r="G399" s="40" t="str">
        <f ca="1">IFERROR(__xludf.DUMMYFUNCTION("""COMPUTED_VALUE"""),"TÉCNICO")</f>
        <v>TÉCNICO</v>
      </c>
      <c r="H399" s="40" t="str">
        <f ca="1">IFERROR(__xludf.DUMMYFUNCTION("""COMPUTED_VALUE"""),"COCINA.")</f>
        <v>COCINA.</v>
      </c>
      <c r="I399" s="40">
        <f ca="1">IFERROR(__xludf.DUMMYFUNCTION("""COMPUTED_VALUE"""),3167623030)</f>
        <v>3167623030</v>
      </c>
      <c r="J399" s="40" t="str">
        <f ca="1">IFERROR(__xludf.DUMMYFUNCTION("""COMPUTED_VALUE"""),"ivanabonilla087@gmail.com")</f>
        <v>ivanabonilla087@gmail.com</v>
      </c>
      <c r="K399" s="40" t="str">
        <f ca="1">IFERROR(__xludf.DUMMYFUNCTION("""COMPUTED_VALUE"""),"PITALITO")</f>
        <v>PITALITO</v>
      </c>
      <c r="L399" s="40" t="str">
        <f ca="1">IFERROR(__xludf.DUMMYFUNCTION("""COMPUTED_VALUE"""),"NO HA INICIADO ETAPA PRODUCTIVA")</f>
        <v>NO HA INICIADO ETAPA PRODUCTIVA</v>
      </c>
      <c r="M399" s="40"/>
      <c r="N399" s="40"/>
      <c r="O399" s="40"/>
      <c r="P399" s="40"/>
      <c r="Q399" s="40"/>
      <c r="R399" s="140"/>
      <c r="S399" s="1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t="str">
        <f ca="1">IFERROR(__xludf.DUMMYFUNCTION("""COMPUTED_VALUE"""),"NO_CUMPLE")</f>
        <v>NO_CUMPLE</v>
      </c>
      <c r="AV399" s="40" t="str">
        <f ca="1">IFERROR(__xludf.DUMMYFUNCTION("""COMPUTED_VALUE"""),"EN FORMACION")</f>
        <v>EN FORMACION</v>
      </c>
      <c r="AW399" s="40" t="str">
        <f ca="1">IFERROR(__xludf.DUMMYFUNCTION("""COMPUTED_VALUE"""),"TURISMO")</f>
        <v>TURISMO</v>
      </c>
      <c r="AX399" s="141">
        <f ca="1">IFERROR(__xludf.DUMMYFUNCTION("""COMPUTED_VALUE"""),0)</f>
        <v>0</v>
      </c>
      <c r="AY399" s="40">
        <f ca="1">IFERROR(__xludf.DUMMYFUNCTION("""COMPUTED_VALUE"""),0)</f>
        <v>0</v>
      </c>
      <c r="AZ399" s="40">
        <f ca="1">IFERROR(__xludf.DUMMYFUNCTION("""COMPUTED_VALUE"""),1)</f>
        <v>1</v>
      </c>
      <c r="BA399" s="40">
        <f ca="1">IFERROR(__xludf.DUMMYFUNCTION("""COMPUTED_VALUE"""),4)</f>
        <v>4</v>
      </c>
      <c r="BB399" s="40">
        <f ca="1">IFERROR(__xludf.DUMMYFUNCTION("""COMPUTED_VALUE"""),0)</f>
        <v>0</v>
      </c>
      <c r="BC399" s="40">
        <f ca="1">IFERROR(__xludf.DUMMYFUNCTION("""COMPUTED_VALUE"""),5)</f>
        <v>5</v>
      </c>
      <c r="BD399" s="141">
        <f ca="1">IFERROR(__xludf.DUMMYFUNCTION("""COMPUTED_VALUE"""),43577)</f>
        <v>43577</v>
      </c>
      <c r="BE399" s="141">
        <f ca="1">IFERROR(__xludf.DUMMYFUNCTION("""COMPUTED_VALUE"""),43852)</f>
        <v>43852</v>
      </c>
      <c r="BF399" s="141">
        <f ca="1">IFERROR(__xludf.DUMMYFUNCTION("""COMPUTED_VALUE"""),44034)</f>
        <v>44034</v>
      </c>
      <c r="BG399" s="141">
        <f ca="1">IFERROR(__xludf.DUMMYFUNCTION("""COMPUTED_VALUE"""),44583)</f>
        <v>44583</v>
      </c>
      <c r="BH399" s="40" t="str">
        <f ca="1">IFERROR(__xludf.DUMMYFUNCTION("""COMPUTED_VALUE"""),"FINALIZAR FICHA")</f>
        <v>FINALIZAR FICHA</v>
      </c>
      <c r="BI399" s="40" t="str">
        <f ca="1">IFERROR(__xludf.DUMMYFUNCTION("""COMPUTED_VALUE"""),"Terminada por fecha")</f>
        <v>Terminada por fecha</v>
      </c>
      <c r="BJ399" s="40" t="str">
        <f ca="1">IFERROR(__xludf.DUMMYFUNCTION("""COMPUTED_VALUE"""),"Yamboro")</f>
        <v>Yamboro</v>
      </c>
      <c r="BK399" s="40"/>
      <c r="BL399" s="40"/>
    </row>
    <row r="400" spans="1:64" ht="13">
      <c r="A400" s="40"/>
      <c r="B400" s="40" t="str">
        <f ca="1">IFERROR(__xludf.DUMMYFUNCTION("""COMPUTED_VALUE"""),"FORMACIÓN 18/10/2022")</f>
        <v>FORMACIÓN 18/10/2022</v>
      </c>
      <c r="C400" s="40" t="str">
        <f ca="1">IFERROR(__xludf.DUMMYFUNCTION("""COMPUTED_VALUE"""),"VICTOR ALFREDO PEÑA ARANDA")</f>
        <v>VICTOR ALFREDO PEÑA ARANDA</v>
      </c>
      <c r="D400" s="40" t="str">
        <f ca="1">IFERROR(__xludf.DUMMYFUNCTION("""COMPUTED_VALUE"""),"CC")</f>
        <v>CC</v>
      </c>
      <c r="E400" s="40">
        <f ca="1">IFERROR(__xludf.DUMMYFUNCTION("""COMPUTED_VALUE"""),1007575995)</f>
        <v>1007575995</v>
      </c>
      <c r="F400" s="40">
        <f ca="1">IFERROR(__xludf.DUMMYFUNCTION("""COMPUTED_VALUE"""),1835254)</f>
        <v>1835254</v>
      </c>
      <c r="G400" s="40" t="str">
        <f ca="1">IFERROR(__xludf.DUMMYFUNCTION("""COMPUTED_VALUE"""),"TÉCNICO")</f>
        <v>TÉCNICO</v>
      </c>
      <c r="H400" s="40" t="str">
        <f ca="1">IFERROR(__xludf.DUMMYFUNCTION("""COMPUTED_VALUE"""),"COCINA.")</f>
        <v>COCINA.</v>
      </c>
      <c r="I400" s="40">
        <f ca="1">IFERROR(__xludf.DUMMYFUNCTION("""COMPUTED_VALUE"""),3144612027)</f>
        <v>3144612027</v>
      </c>
      <c r="J400" s="40" t="str">
        <f ca="1">IFERROR(__xludf.DUMMYFUNCTION("""COMPUTED_VALUE"""),"wilkersonsalazae@gmail.com")</f>
        <v>wilkersonsalazae@gmail.com</v>
      </c>
      <c r="K400" s="40"/>
      <c r="L400" s="40" t="str">
        <f ca="1">IFERROR(__xludf.DUMMYFUNCTION("""COMPUTED_VALUE"""),"NO HA INICIADO ETAPA PRODUCTIVA")</f>
        <v>NO HA INICIADO ETAPA PRODUCTIVA</v>
      </c>
      <c r="M400" s="40"/>
      <c r="N400" s="40"/>
      <c r="O400" s="40"/>
      <c r="P400" s="40"/>
      <c r="Q400" s="40"/>
      <c r="R400" s="140"/>
      <c r="S400" s="1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t="str">
        <f ca="1">IFERROR(__xludf.DUMMYFUNCTION("""COMPUTED_VALUE"""),"NO_CUMPLE")</f>
        <v>NO_CUMPLE</v>
      </c>
      <c r="AV400" s="40" t="str">
        <f ca="1">IFERROR(__xludf.DUMMYFUNCTION("""COMPUTED_VALUE"""),"EN FORMACION")</f>
        <v>EN FORMACION</v>
      </c>
      <c r="AW400" s="40" t="str">
        <f ca="1">IFERROR(__xludf.DUMMYFUNCTION("""COMPUTED_VALUE"""),"TURISMO")</f>
        <v>TURISMO</v>
      </c>
      <c r="AX400" s="141">
        <f ca="1">IFERROR(__xludf.DUMMYFUNCTION("""COMPUTED_VALUE"""),0)</f>
        <v>0</v>
      </c>
      <c r="AY400" s="40">
        <f ca="1">IFERROR(__xludf.DUMMYFUNCTION("""COMPUTED_VALUE"""),0)</f>
        <v>0</v>
      </c>
      <c r="AZ400" s="40">
        <f ca="1">IFERROR(__xludf.DUMMYFUNCTION("""COMPUTED_VALUE"""),1)</f>
        <v>1</v>
      </c>
      <c r="BA400" s="40">
        <f ca="1">IFERROR(__xludf.DUMMYFUNCTION("""COMPUTED_VALUE"""),2)</f>
        <v>2</v>
      </c>
      <c r="BB400" s="40">
        <f ca="1">IFERROR(__xludf.DUMMYFUNCTION("""COMPUTED_VALUE"""),0)</f>
        <v>0</v>
      </c>
      <c r="BC400" s="40">
        <f ca="1">IFERROR(__xludf.DUMMYFUNCTION("""COMPUTED_VALUE"""),3)</f>
        <v>3</v>
      </c>
      <c r="BD400" s="141">
        <f ca="1">IFERROR(__xludf.DUMMYFUNCTION("""COMPUTED_VALUE"""),43577)</f>
        <v>43577</v>
      </c>
      <c r="BE400" s="141">
        <f ca="1">IFERROR(__xludf.DUMMYFUNCTION("""COMPUTED_VALUE"""),43852)</f>
        <v>43852</v>
      </c>
      <c r="BF400" s="141">
        <f ca="1">IFERROR(__xludf.DUMMYFUNCTION("""COMPUTED_VALUE"""),44034)</f>
        <v>44034</v>
      </c>
      <c r="BG400" s="141">
        <f ca="1">IFERROR(__xludf.DUMMYFUNCTION("""COMPUTED_VALUE"""),44583)</f>
        <v>44583</v>
      </c>
      <c r="BH400" s="40" t="str">
        <f ca="1">IFERROR(__xludf.DUMMYFUNCTION("""COMPUTED_VALUE"""),"FINALIZAR FICHA")</f>
        <v>FINALIZAR FICHA</v>
      </c>
      <c r="BI400" s="40" t="str">
        <f ca="1">IFERROR(__xludf.DUMMYFUNCTION("""COMPUTED_VALUE"""),"Terminada por fecha")</f>
        <v>Terminada por fecha</v>
      </c>
      <c r="BJ400" s="40" t="str">
        <f ca="1">IFERROR(__xludf.DUMMYFUNCTION("""COMPUTED_VALUE"""),"Yamboro")</f>
        <v>Yamboro</v>
      </c>
      <c r="BK400" s="40"/>
      <c r="BL400" s="40"/>
    </row>
    <row r="401" spans="1:64" ht="13">
      <c r="A401" s="40"/>
      <c r="B401" s="40" t="str">
        <f ca="1">IFERROR(__xludf.DUMMYFUNCTION("""COMPUTED_VALUE"""),"FORMACIÓN 18/10/2022")</f>
        <v>FORMACIÓN 18/10/2022</v>
      </c>
      <c r="C401" s="40" t="str">
        <f ca="1">IFERROR(__xludf.DUMMYFUNCTION("""COMPUTED_VALUE"""),"ALEXANDRA QUIMBAYA ESPINOSA")</f>
        <v>ALEXANDRA QUIMBAYA ESPINOSA</v>
      </c>
      <c r="D401" s="40" t="str">
        <f ca="1">IFERROR(__xludf.DUMMYFUNCTION("""COMPUTED_VALUE"""),"CC")</f>
        <v>CC</v>
      </c>
      <c r="E401" s="40">
        <f ca="1">IFERROR(__xludf.DUMMYFUNCTION("""COMPUTED_VALUE"""),1075290343)</f>
        <v>1075290343</v>
      </c>
      <c r="F401" s="40">
        <f ca="1">IFERROR(__xludf.DUMMYFUNCTION("""COMPUTED_VALUE"""),1835254)</f>
        <v>1835254</v>
      </c>
      <c r="G401" s="40" t="str">
        <f ca="1">IFERROR(__xludf.DUMMYFUNCTION("""COMPUTED_VALUE"""),"TÉCNICO")</f>
        <v>TÉCNICO</v>
      </c>
      <c r="H401" s="40" t="str">
        <f ca="1">IFERROR(__xludf.DUMMYFUNCTION("""COMPUTED_VALUE"""),"COCINA.")</f>
        <v>COCINA.</v>
      </c>
      <c r="I401" s="40">
        <f ca="1">IFERROR(__xludf.DUMMYFUNCTION("""COMPUTED_VALUE"""),3123190438)</f>
        <v>3123190438</v>
      </c>
      <c r="J401" s="40" t="str">
        <f ca="1">IFERROR(__xludf.DUMMYFUNCTION("""COMPUTED_VALUE"""),"didierpete20@gmail.com")</f>
        <v>didierpete20@gmail.com</v>
      </c>
      <c r="K401" s="40"/>
      <c r="L401" s="40" t="str">
        <f ca="1">IFERROR(__xludf.DUMMYFUNCTION("""COMPUTED_VALUE"""),"NO HA INICIADO ETAPA PRODUCTIVA")</f>
        <v>NO HA INICIADO ETAPA PRODUCTIVA</v>
      </c>
      <c r="M401" s="40"/>
      <c r="N401" s="40"/>
      <c r="O401" s="40"/>
      <c r="P401" s="40"/>
      <c r="Q401" s="40"/>
      <c r="R401" s="140"/>
      <c r="S401" s="1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t="str">
        <f ca="1">IFERROR(__xludf.DUMMYFUNCTION("""COMPUTED_VALUE"""),"Procede_E_P")</f>
        <v>Procede_E_P</v>
      </c>
      <c r="AV401" s="40" t="str">
        <f ca="1">IFERROR(__xludf.DUMMYFUNCTION("""COMPUTED_VALUE"""),"EN FORMACION")</f>
        <v>EN FORMACION</v>
      </c>
      <c r="AW401" s="40" t="str">
        <f ca="1">IFERROR(__xludf.DUMMYFUNCTION("""COMPUTED_VALUE"""),"TURISMO")</f>
        <v>TURISMO</v>
      </c>
      <c r="AX401" s="141">
        <f ca="1">IFERROR(__xludf.DUMMYFUNCTION("""COMPUTED_VALUE"""),0)</f>
        <v>0</v>
      </c>
      <c r="AY401" s="40">
        <f ca="1">IFERROR(__xludf.DUMMYFUNCTION("""COMPUTED_VALUE"""),0)</f>
        <v>0</v>
      </c>
      <c r="AZ401" s="40">
        <f ca="1">IFERROR(__xludf.DUMMYFUNCTION("""COMPUTED_VALUE"""),1)</f>
        <v>1</v>
      </c>
      <c r="BA401" s="40">
        <f ca="1">IFERROR(__xludf.DUMMYFUNCTION("""COMPUTED_VALUE"""),0)</f>
        <v>0</v>
      </c>
      <c r="BB401" s="40">
        <f ca="1">IFERROR(__xludf.DUMMYFUNCTION("""COMPUTED_VALUE"""),0)</f>
        <v>0</v>
      </c>
      <c r="BC401" s="40">
        <f ca="1">IFERROR(__xludf.DUMMYFUNCTION("""COMPUTED_VALUE"""),1)</f>
        <v>1</v>
      </c>
      <c r="BD401" s="141">
        <f ca="1">IFERROR(__xludf.DUMMYFUNCTION("""COMPUTED_VALUE"""),43577)</f>
        <v>43577</v>
      </c>
      <c r="BE401" s="141">
        <f ca="1">IFERROR(__xludf.DUMMYFUNCTION("""COMPUTED_VALUE"""),43852)</f>
        <v>43852</v>
      </c>
      <c r="BF401" s="141">
        <f ca="1">IFERROR(__xludf.DUMMYFUNCTION("""COMPUTED_VALUE"""),44034)</f>
        <v>44034</v>
      </c>
      <c r="BG401" s="141">
        <f ca="1">IFERROR(__xludf.DUMMYFUNCTION("""COMPUTED_VALUE"""),44583)</f>
        <v>44583</v>
      </c>
      <c r="BH401" s="40" t="str">
        <f ca="1">IFERROR(__xludf.DUMMYFUNCTION("""COMPUTED_VALUE"""),"FINALIZAR FICHA")</f>
        <v>FINALIZAR FICHA</v>
      </c>
      <c r="BI401" s="40" t="str">
        <f ca="1">IFERROR(__xludf.DUMMYFUNCTION("""COMPUTED_VALUE"""),"Terminada por fecha")</f>
        <v>Terminada por fecha</v>
      </c>
      <c r="BJ401" s="40" t="str">
        <f ca="1">IFERROR(__xludf.DUMMYFUNCTION("""COMPUTED_VALUE"""),"Yamboro")</f>
        <v>Yamboro</v>
      </c>
      <c r="BK401" s="40"/>
      <c r="BL401" s="40"/>
    </row>
    <row r="402" spans="1:64" ht="13">
      <c r="A402" s="40"/>
      <c r="B402" s="40" t="str">
        <f ca="1">IFERROR(__xludf.DUMMYFUNCTION("""COMPUTED_VALUE"""),"NO CALIFICADO")</f>
        <v>NO CALIFICADO</v>
      </c>
      <c r="C402" s="40" t="str">
        <f ca="1">IFERROR(__xludf.DUMMYFUNCTION("""COMPUTED_VALUE"""),"JULIAN ANDRES DUARTE SUAREZ")</f>
        <v>JULIAN ANDRES DUARTE SUAREZ</v>
      </c>
      <c r="D402" s="40" t="str">
        <f ca="1">IFERROR(__xludf.DUMMYFUNCTION("""COMPUTED_VALUE"""),"CC")</f>
        <v>CC</v>
      </c>
      <c r="E402" s="40">
        <f ca="1">IFERROR(__xludf.DUMMYFUNCTION("""COMPUTED_VALUE"""),1083911645)</f>
        <v>1083911645</v>
      </c>
      <c r="F402" s="40">
        <f ca="1">IFERROR(__xludf.DUMMYFUNCTION("""COMPUTED_VALUE"""),1835254)</f>
        <v>1835254</v>
      </c>
      <c r="G402" s="40" t="str">
        <f ca="1">IFERROR(__xludf.DUMMYFUNCTION("""COMPUTED_VALUE"""),"TÉCNICO")</f>
        <v>TÉCNICO</v>
      </c>
      <c r="H402" s="40" t="str">
        <f ca="1">IFERROR(__xludf.DUMMYFUNCTION("""COMPUTED_VALUE"""),"COCINA.")</f>
        <v>COCINA.</v>
      </c>
      <c r="I402" s="40"/>
      <c r="J402" s="40" t="str">
        <f ca="1">IFERROR(__xludf.DUMMYFUNCTION("""COMPUTED_VALUE"""),"julian-duarte57@hotmail.com")</f>
        <v>julian-duarte57@hotmail.com</v>
      </c>
      <c r="K402" s="40" t="str">
        <f ca="1">IFERROR(__xludf.DUMMYFUNCTION("""COMPUTED_VALUE"""),"PITALITO")</f>
        <v>PITALITO</v>
      </c>
      <c r="L402" s="40" t="str">
        <f ca="1">IFERROR(__xludf.DUMMYFUNCTION("""COMPUTED_VALUE"""),"PASANTÍAS ")</f>
        <v xml:space="preserve">PASANTÍAS </v>
      </c>
      <c r="M402" s="40" t="str">
        <f ca="1">IFERROR(__xludf.DUMMYFUNCTION("""COMPUTED_VALUE"""),"DORATTA")</f>
        <v>DORATTA</v>
      </c>
      <c r="N402" s="40" t="str">
        <f ca="1">IFERROR(__xludf.DUMMYFUNCTION("""COMPUTED_VALUE"""),"PITALITO")</f>
        <v>PITALITO</v>
      </c>
      <c r="O402" s="40">
        <f ca="1">IFERROR(__xludf.DUMMYFUNCTION("""COMPUTED_VALUE"""),3107528240)</f>
        <v>3107528240</v>
      </c>
      <c r="P402" s="40" t="str">
        <f ca="1">IFERROR(__xludf.DUMMYFUNCTION("""COMPUTED_VALUE"""),"PITALITO")</f>
        <v>PITALITO</v>
      </c>
      <c r="Q402" s="40" t="str">
        <f ca="1">IFERROR(__xludf.DUMMYFUNCTION("""COMPUTED_VALUE"""),"doratta07@hotmail.com")</f>
        <v>doratta07@hotmail.com</v>
      </c>
      <c r="R402" s="140">
        <f ca="1">IFERROR(__xludf.DUMMYFUNCTION("""COMPUTED_VALUE"""),44562)</f>
        <v>44562</v>
      </c>
      <c r="S402" s="140">
        <f ca="1">IFERROR(__xludf.DUMMYFUNCTION("""COMPUTED_VALUE"""),44743)</f>
        <v>44743</v>
      </c>
      <c r="T402" s="40" t="str">
        <f ca="1">IFERROR(__xludf.DUMMYFUNCTION("""COMPUTED_VALUE"""),"FInal, certificación y Bitácoras 1,2,3,4,5,6,7,8,9,10,11 y 12... Revisado 02/09/2022")</f>
        <v>FInal, certificación y Bitácoras 1,2,3,4,5,6,7,8,9,10,11 y 12... Revisado 02/09/2022</v>
      </c>
      <c r="U402" s="40" t="str">
        <f ca="1">IFERROR(__xludf.DUMMYFUNCTION("""COMPUTED_VALUE"""),"HEYI FERNANDA VARGAS RAMOS - Subió Final, Certificación y Bitácoras del 1 al 12... Revisado 05/09/2022")</f>
        <v>HEYI FERNANDA VARGAS RAMOS - Subió Final, Certificación y Bitácoras del 1 al 12... Revisado 05/09/2022</v>
      </c>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t="str">
        <f ca="1">IFERROR(__xludf.DUMMYFUNCTION("""COMPUTED_VALUE"""),"NO_CUMPLE")</f>
        <v>NO_CUMPLE</v>
      </c>
      <c r="AV402" s="40" t="str">
        <f ca="1">IFERROR(__xludf.DUMMYFUNCTION("""COMPUTED_VALUE"""),"EN FORMACION")</f>
        <v>EN FORMACION</v>
      </c>
      <c r="AW402" s="40" t="str">
        <f ca="1">IFERROR(__xludf.DUMMYFUNCTION("""COMPUTED_VALUE"""),"TURISMO")</f>
        <v>TURISMO</v>
      </c>
      <c r="AX402" s="141">
        <f ca="1">IFERROR(__xludf.DUMMYFUNCTION("""COMPUTED_VALUE"""),0)</f>
        <v>0</v>
      </c>
      <c r="AY402" s="40">
        <f ca="1">IFERROR(__xludf.DUMMYFUNCTION("""COMPUTED_VALUE"""),0)</f>
        <v>0</v>
      </c>
      <c r="AZ402" s="40">
        <f ca="1">IFERROR(__xludf.DUMMYFUNCTION("""COMPUTED_VALUE"""),0)</f>
        <v>0</v>
      </c>
      <c r="BA402" s="40">
        <f ca="1">IFERROR(__xludf.DUMMYFUNCTION("""COMPUTED_VALUE"""),4)</f>
        <v>4</v>
      </c>
      <c r="BB402" s="40">
        <f ca="1">IFERROR(__xludf.DUMMYFUNCTION("""COMPUTED_VALUE"""),0)</f>
        <v>0</v>
      </c>
      <c r="BC402" s="40">
        <f ca="1">IFERROR(__xludf.DUMMYFUNCTION("""COMPUTED_VALUE"""),4)</f>
        <v>4</v>
      </c>
      <c r="BD402" s="141">
        <f ca="1">IFERROR(__xludf.DUMMYFUNCTION("""COMPUTED_VALUE"""),43577)</f>
        <v>43577</v>
      </c>
      <c r="BE402" s="141">
        <f ca="1">IFERROR(__xludf.DUMMYFUNCTION("""COMPUTED_VALUE"""),43852)</f>
        <v>43852</v>
      </c>
      <c r="BF402" s="141">
        <f ca="1">IFERROR(__xludf.DUMMYFUNCTION("""COMPUTED_VALUE"""),44034)</f>
        <v>44034</v>
      </c>
      <c r="BG402" s="141">
        <f ca="1">IFERROR(__xludf.DUMMYFUNCTION("""COMPUTED_VALUE"""),44583)</f>
        <v>44583</v>
      </c>
      <c r="BH402" s="40" t="str">
        <f ca="1">IFERROR(__xludf.DUMMYFUNCTION("""COMPUTED_VALUE"""),"FINALIZAR FICHA")</f>
        <v>FINALIZAR FICHA</v>
      </c>
      <c r="BI402" s="40" t="str">
        <f ca="1">IFERROR(__xludf.DUMMYFUNCTION("""COMPUTED_VALUE"""),"Terminada por fecha")</f>
        <v>Terminada por fecha</v>
      </c>
      <c r="BJ402" s="40" t="str">
        <f ca="1">IFERROR(__xludf.DUMMYFUNCTION("""COMPUTED_VALUE"""),"Yamboro")</f>
        <v>Yamboro</v>
      </c>
      <c r="BK402" s="40"/>
      <c r="BL402" s="40"/>
    </row>
    <row r="403" spans="1:64" ht="13">
      <c r="A403" s="40"/>
      <c r="B403" s="40" t="str">
        <f ca="1">IFERROR(__xludf.DUMMYFUNCTION("""COMPUTED_VALUE"""),"FORMACIÓN 18/10/2022")</f>
        <v>FORMACIÓN 18/10/2022</v>
      </c>
      <c r="C403" s="40" t="str">
        <f ca="1">IFERROR(__xludf.DUMMYFUNCTION("""COMPUTED_VALUE"""),"FRANKITH ANDRES SALAMANCA ARTUNDUAGA")</f>
        <v>FRANKITH ANDRES SALAMANCA ARTUNDUAGA</v>
      </c>
      <c r="D403" s="40" t="str">
        <f ca="1">IFERROR(__xludf.DUMMYFUNCTION("""COMPUTED_VALUE"""),"CC")</f>
        <v>CC</v>
      </c>
      <c r="E403" s="40">
        <f ca="1">IFERROR(__xludf.DUMMYFUNCTION("""COMPUTED_VALUE"""),1083914863)</f>
        <v>1083914863</v>
      </c>
      <c r="F403" s="40">
        <f ca="1">IFERROR(__xludf.DUMMYFUNCTION("""COMPUTED_VALUE"""),1835254)</f>
        <v>1835254</v>
      </c>
      <c r="G403" s="40" t="str">
        <f ca="1">IFERROR(__xludf.DUMMYFUNCTION("""COMPUTED_VALUE"""),"TÉCNICO")</f>
        <v>TÉCNICO</v>
      </c>
      <c r="H403" s="40" t="str">
        <f ca="1">IFERROR(__xludf.DUMMYFUNCTION("""COMPUTED_VALUE"""),"COCINA.")</f>
        <v>COCINA.</v>
      </c>
      <c r="I403" s="40">
        <f ca="1">IFERROR(__xludf.DUMMYFUNCTION("""COMPUTED_VALUE"""),3132303345)</f>
        <v>3132303345</v>
      </c>
      <c r="J403" s="40" t="str">
        <f ca="1">IFERROR(__xludf.DUMMYFUNCTION("""COMPUTED_VALUE"""),"lamanka95@gmail.com")</f>
        <v>lamanka95@gmail.com</v>
      </c>
      <c r="K403" s="40" t="str">
        <f ca="1">IFERROR(__xludf.DUMMYFUNCTION("""COMPUTED_VALUE"""),"SAN AGUSTÍN")</f>
        <v>SAN AGUSTÍN</v>
      </c>
      <c r="L403" s="40" t="str">
        <f ca="1">IFERROR(__xludf.DUMMYFUNCTION("""COMPUTED_VALUE"""),"NO HA INICIADO ETAPA PRODUCTIVA")</f>
        <v>NO HA INICIADO ETAPA PRODUCTIVA</v>
      </c>
      <c r="M403" s="40"/>
      <c r="N403" s="40"/>
      <c r="O403" s="40"/>
      <c r="P403" s="40"/>
      <c r="Q403" s="40"/>
      <c r="R403" s="140"/>
      <c r="S403" s="1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t="str">
        <f ca="1">IFERROR(__xludf.DUMMYFUNCTION("""COMPUTED_VALUE"""),"NO_CUMPLE")</f>
        <v>NO_CUMPLE</v>
      </c>
      <c r="AV403" s="40" t="str">
        <f ca="1">IFERROR(__xludf.DUMMYFUNCTION("""COMPUTED_VALUE"""),"EN FORMACION")</f>
        <v>EN FORMACION</v>
      </c>
      <c r="AW403" s="40" t="str">
        <f ca="1">IFERROR(__xludf.DUMMYFUNCTION("""COMPUTED_VALUE"""),"TURISMO")</f>
        <v>TURISMO</v>
      </c>
      <c r="AX403" s="141">
        <f ca="1">IFERROR(__xludf.DUMMYFUNCTION("""COMPUTED_VALUE"""),0)</f>
        <v>0</v>
      </c>
      <c r="AY403" s="40">
        <f ca="1">IFERROR(__xludf.DUMMYFUNCTION("""COMPUTED_VALUE"""),0)</f>
        <v>0</v>
      </c>
      <c r="AZ403" s="40">
        <f ca="1">IFERROR(__xludf.DUMMYFUNCTION("""COMPUTED_VALUE"""),1)</f>
        <v>1</v>
      </c>
      <c r="BA403" s="40">
        <f ca="1">IFERROR(__xludf.DUMMYFUNCTION("""COMPUTED_VALUE"""),4)</f>
        <v>4</v>
      </c>
      <c r="BB403" s="40">
        <f ca="1">IFERROR(__xludf.DUMMYFUNCTION("""COMPUTED_VALUE"""),0)</f>
        <v>0</v>
      </c>
      <c r="BC403" s="40">
        <f ca="1">IFERROR(__xludf.DUMMYFUNCTION("""COMPUTED_VALUE"""),5)</f>
        <v>5</v>
      </c>
      <c r="BD403" s="141">
        <f ca="1">IFERROR(__xludf.DUMMYFUNCTION("""COMPUTED_VALUE"""),43577)</f>
        <v>43577</v>
      </c>
      <c r="BE403" s="141">
        <f ca="1">IFERROR(__xludf.DUMMYFUNCTION("""COMPUTED_VALUE"""),43852)</f>
        <v>43852</v>
      </c>
      <c r="BF403" s="141">
        <f ca="1">IFERROR(__xludf.DUMMYFUNCTION("""COMPUTED_VALUE"""),44034)</f>
        <v>44034</v>
      </c>
      <c r="BG403" s="141">
        <f ca="1">IFERROR(__xludf.DUMMYFUNCTION("""COMPUTED_VALUE"""),44583)</f>
        <v>44583</v>
      </c>
      <c r="BH403" s="40" t="str">
        <f ca="1">IFERROR(__xludf.DUMMYFUNCTION("""COMPUTED_VALUE"""),"FINALIZAR FICHA")</f>
        <v>FINALIZAR FICHA</v>
      </c>
      <c r="BI403" s="40" t="str">
        <f ca="1">IFERROR(__xludf.DUMMYFUNCTION("""COMPUTED_VALUE"""),"Terminada por fecha")</f>
        <v>Terminada por fecha</v>
      </c>
      <c r="BJ403" s="40" t="str">
        <f ca="1">IFERROR(__xludf.DUMMYFUNCTION("""COMPUTED_VALUE"""),"Yamboro")</f>
        <v>Yamboro</v>
      </c>
      <c r="BK403" s="40"/>
      <c r="BL403" s="40"/>
    </row>
    <row r="404" spans="1:64" ht="13">
      <c r="A404" s="40"/>
      <c r="B404" s="40" t="str">
        <f ca="1">IFERROR(__xludf.DUMMYFUNCTION("""COMPUTED_VALUE"""),"FORMACIÓN 18/10/2022")</f>
        <v>FORMACIÓN 18/10/2022</v>
      </c>
      <c r="C404" s="40" t="str">
        <f ca="1">IFERROR(__xludf.DUMMYFUNCTION("""COMPUTED_VALUE"""),"CLAUDIA ALEJANDRA CALDERON BOCANEGRA")</f>
        <v>CLAUDIA ALEJANDRA CALDERON BOCANEGRA</v>
      </c>
      <c r="D404" s="40" t="str">
        <f ca="1">IFERROR(__xludf.DUMMYFUNCTION("""COMPUTED_VALUE"""),"CC")</f>
        <v>CC</v>
      </c>
      <c r="E404" s="40">
        <f ca="1">IFERROR(__xludf.DUMMYFUNCTION("""COMPUTED_VALUE"""),1083916387)</f>
        <v>1083916387</v>
      </c>
      <c r="F404" s="40">
        <f ca="1">IFERROR(__xludf.DUMMYFUNCTION("""COMPUTED_VALUE"""),1835254)</f>
        <v>1835254</v>
      </c>
      <c r="G404" s="40" t="str">
        <f ca="1">IFERROR(__xludf.DUMMYFUNCTION("""COMPUTED_VALUE"""),"TÉCNICO")</f>
        <v>TÉCNICO</v>
      </c>
      <c r="H404" s="40" t="str">
        <f ca="1">IFERROR(__xludf.DUMMYFUNCTION("""COMPUTED_VALUE"""),"COCINA.")</f>
        <v>COCINA.</v>
      </c>
      <c r="I404" s="40">
        <f ca="1">IFERROR(__xludf.DUMMYFUNCTION("""COMPUTED_VALUE"""),3203705188)</f>
        <v>3203705188</v>
      </c>
      <c r="J404" s="40" t="str">
        <f ca="1">IFERROR(__xludf.DUMMYFUNCTION("""COMPUTED_VALUE"""),"aleja_1269@hotmail.com")</f>
        <v>aleja_1269@hotmail.com</v>
      </c>
      <c r="K404" s="40" t="str">
        <f ca="1">IFERROR(__xludf.DUMMYFUNCTION("""COMPUTED_VALUE"""),"PITALITO")</f>
        <v>PITALITO</v>
      </c>
      <c r="L404" s="40" t="str">
        <f ca="1">IFERROR(__xludf.DUMMYFUNCTION("""COMPUTED_VALUE"""),"NO HA INICIADO ETAPA PRODUCTIVA")</f>
        <v>NO HA INICIADO ETAPA PRODUCTIVA</v>
      </c>
      <c r="M404" s="40"/>
      <c r="N404" s="40"/>
      <c r="O404" s="40"/>
      <c r="P404" s="40"/>
      <c r="Q404" s="40"/>
      <c r="R404" s="140"/>
      <c r="S404" s="1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t="str">
        <f ca="1">IFERROR(__xludf.DUMMYFUNCTION("""COMPUTED_VALUE"""),"Procede_E_P")</f>
        <v>Procede_E_P</v>
      </c>
      <c r="AV404" s="40" t="str">
        <f ca="1">IFERROR(__xludf.DUMMYFUNCTION("""COMPUTED_VALUE"""),"EN FORMACION")</f>
        <v>EN FORMACION</v>
      </c>
      <c r="AW404" s="40" t="str">
        <f ca="1">IFERROR(__xludf.DUMMYFUNCTION("""COMPUTED_VALUE"""),"TURISMO")</f>
        <v>TURISMO</v>
      </c>
      <c r="AX404" s="141">
        <f ca="1">IFERROR(__xludf.DUMMYFUNCTION("""COMPUTED_VALUE"""),0)</f>
        <v>0</v>
      </c>
      <c r="AY404" s="40">
        <f ca="1">IFERROR(__xludf.DUMMYFUNCTION("""COMPUTED_VALUE"""),0)</f>
        <v>0</v>
      </c>
      <c r="AZ404" s="40">
        <f ca="1">IFERROR(__xludf.DUMMYFUNCTION("""COMPUTED_VALUE"""),1)</f>
        <v>1</v>
      </c>
      <c r="BA404" s="40">
        <f ca="1">IFERROR(__xludf.DUMMYFUNCTION("""COMPUTED_VALUE"""),0)</f>
        <v>0</v>
      </c>
      <c r="BB404" s="40">
        <f ca="1">IFERROR(__xludf.DUMMYFUNCTION("""COMPUTED_VALUE"""),0)</f>
        <v>0</v>
      </c>
      <c r="BC404" s="40">
        <f ca="1">IFERROR(__xludf.DUMMYFUNCTION("""COMPUTED_VALUE"""),1)</f>
        <v>1</v>
      </c>
      <c r="BD404" s="141">
        <f ca="1">IFERROR(__xludf.DUMMYFUNCTION("""COMPUTED_VALUE"""),43577)</f>
        <v>43577</v>
      </c>
      <c r="BE404" s="141">
        <f ca="1">IFERROR(__xludf.DUMMYFUNCTION("""COMPUTED_VALUE"""),43852)</f>
        <v>43852</v>
      </c>
      <c r="BF404" s="141">
        <f ca="1">IFERROR(__xludf.DUMMYFUNCTION("""COMPUTED_VALUE"""),44034)</f>
        <v>44034</v>
      </c>
      <c r="BG404" s="141">
        <f ca="1">IFERROR(__xludf.DUMMYFUNCTION("""COMPUTED_VALUE"""),44583)</f>
        <v>44583</v>
      </c>
      <c r="BH404" s="40" t="str">
        <f ca="1">IFERROR(__xludf.DUMMYFUNCTION("""COMPUTED_VALUE"""),"FINALIZAR FICHA")</f>
        <v>FINALIZAR FICHA</v>
      </c>
      <c r="BI404" s="40" t="str">
        <f ca="1">IFERROR(__xludf.DUMMYFUNCTION("""COMPUTED_VALUE"""),"Terminada por fecha")</f>
        <v>Terminada por fecha</v>
      </c>
      <c r="BJ404" s="40" t="str">
        <f ca="1">IFERROR(__xludf.DUMMYFUNCTION("""COMPUTED_VALUE"""),"Yamboro")</f>
        <v>Yamboro</v>
      </c>
      <c r="BK404" s="40"/>
      <c r="BL404" s="40"/>
    </row>
    <row r="405" spans="1:64" ht="13">
      <c r="A405" s="40"/>
      <c r="B405" s="40" t="str">
        <f ca="1">IFERROR(__xludf.DUMMYFUNCTION("""COMPUTED_VALUE"""),"FORMACIÓN 18/10/2022")</f>
        <v>FORMACIÓN 18/10/2022</v>
      </c>
      <c r="C405" s="40" t="str">
        <f ca="1">IFERROR(__xludf.DUMMYFUNCTION("""COMPUTED_VALUE"""),"KELY DAYANNA JOVEN ROSERO")</f>
        <v>KELY DAYANNA JOVEN ROSERO</v>
      </c>
      <c r="D405" s="40" t="str">
        <f ca="1">IFERROR(__xludf.DUMMYFUNCTION("""COMPUTED_VALUE"""),"CC")</f>
        <v>CC</v>
      </c>
      <c r="E405" s="40">
        <f ca="1">IFERROR(__xludf.DUMMYFUNCTION("""COMPUTED_VALUE"""),1083920511)</f>
        <v>1083920511</v>
      </c>
      <c r="F405" s="40">
        <f ca="1">IFERROR(__xludf.DUMMYFUNCTION("""COMPUTED_VALUE"""),1835254)</f>
        <v>1835254</v>
      </c>
      <c r="G405" s="40" t="str">
        <f ca="1">IFERROR(__xludf.DUMMYFUNCTION("""COMPUTED_VALUE"""),"TÉCNICO")</f>
        <v>TÉCNICO</v>
      </c>
      <c r="H405" s="40" t="str">
        <f ca="1">IFERROR(__xludf.DUMMYFUNCTION("""COMPUTED_VALUE"""),"COCINA.")</f>
        <v>COCINA.</v>
      </c>
      <c r="I405" s="40"/>
      <c r="J405" s="40" t="str">
        <f ca="1">IFERROR(__xludf.DUMMYFUNCTION("""COMPUTED_VALUE"""),"kelly3005@outlook.es")</f>
        <v>kelly3005@outlook.es</v>
      </c>
      <c r="K405" s="40"/>
      <c r="L405" s="40" t="str">
        <f ca="1">IFERROR(__xludf.DUMMYFUNCTION("""COMPUTED_VALUE"""),"NO HA INICIADO ETAPA PRODUCTIVA")</f>
        <v>NO HA INICIADO ETAPA PRODUCTIVA</v>
      </c>
      <c r="M405" s="40"/>
      <c r="N405" s="40"/>
      <c r="O405" s="40"/>
      <c r="P405" s="40"/>
      <c r="Q405" s="40"/>
      <c r="R405" s="140"/>
      <c r="S405" s="1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t="str">
        <f ca="1">IFERROR(__xludf.DUMMYFUNCTION("""COMPUTED_VALUE"""),"NO_CUMPLE")</f>
        <v>NO_CUMPLE</v>
      </c>
      <c r="AV405" s="40" t="str">
        <f ca="1">IFERROR(__xludf.DUMMYFUNCTION("""COMPUTED_VALUE"""),"EN FORMACION")</f>
        <v>EN FORMACION</v>
      </c>
      <c r="AW405" s="40" t="str">
        <f ca="1">IFERROR(__xludf.DUMMYFUNCTION("""COMPUTED_VALUE"""),"TURISMO")</f>
        <v>TURISMO</v>
      </c>
      <c r="AX405" s="141">
        <f ca="1">IFERROR(__xludf.DUMMYFUNCTION("""COMPUTED_VALUE"""),1)</f>
        <v>1</v>
      </c>
      <c r="AY405" s="40">
        <f ca="1">IFERROR(__xludf.DUMMYFUNCTION("""COMPUTED_VALUE"""),1)</f>
        <v>1</v>
      </c>
      <c r="AZ405" s="40">
        <f ca="1">IFERROR(__xludf.DUMMYFUNCTION("""COMPUTED_VALUE"""),1)</f>
        <v>1</v>
      </c>
      <c r="BA405" s="40">
        <f ca="1">IFERROR(__xludf.DUMMYFUNCTION("""COMPUTED_VALUE"""),4)</f>
        <v>4</v>
      </c>
      <c r="BB405" s="40">
        <f ca="1">IFERROR(__xludf.DUMMYFUNCTION("""COMPUTED_VALUE"""),0)</f>
        <v>0</v>
      </c>
      <c r="BC405" s="40">
        <f ca="1">IFERROR(__xludf.DUMMYFUNCTION("""COMPUTED_VALUE"""),6)</f>
        <v>6</v>
      </c>
      <c r="BD405" s="141">
        <f ca="1">IFERROR(__xludf.DUMMYFUNCTION("""COMPUTED_VALUE"""),43577)</f>
        <v>43577</v>
      </c>
      <c r="BE405" s="141">
        <f ca="1">IFERROR(__xludf.DUMMYFUNCTION("""COMPUTED_VALUE"""),43852)</f>
        <v>43852</v>
      </c>
      <c r="BF405" s="141">
        <f ca="1">IFERROR(__xludf.DUMMYFUNCTION("""COMPUTED_VALUE"""),44034)</f>
        <v>44034</v>
      </c>
      <c r="BG405" s="141">
        <f ca="1">IFERROR(__xludf.DUMMYFUNCTION("""COMPUTED_VALUE"""),44583)</f>
        <v>44583</v>
      </c>
      <c r="BH405" s="40" t="str">
        <f ca="1">IFERROR(__xludf.DUMMYFUNCTION("""COMPUTED_VALUE"""),"FINALIZAR FICHA")</f>
        <v>FINALIZAR FICHA</v>
      </c>
      <c r="BI405" s="40" t="str">
        <f ca="1">IFERROR(__xludf.DUMMYFUNCTION("""COMPUTED_VALUE"""),"Terminada por fecha")</f>
        <v>Terminada por fecha</v>
      </c>
      <c r="BJ405" s="40" t="str">
        <f ca="1">IFERROR(__xludf.DUMMYFUNCTION("""COMPUTED_VALUE"""),"Yamboro")</f>
        <v>Yamboro</v>
      </c>
      <c r="BK405" s="40"/>
      <c r="BL405" s="40"/>
    </row>
    <row r="406" spans="1:64" ht="13">
      <c r="A406" s="40"/>
      <c r="B406" s="40" t="str">
        <f ca="1">IFERROR(__xludf.DUMMYFUNCTION("""COMPUTED_VALUE"""),"FORMACIÓN 18/10/2022")</f>
        <v>FORMACIÓN 18/10/2022</v>
      </c>
      <c r="C406" s="40" t="str">
        <f ca="1">IFERROR(__xludf.DUMMYFUNCTION("""COMPUTED_VALUE"""),"JUAN SEBASTIAN DUSSAN OTALVARO")</f>
        <v>JUAN SEBASTIAN DUSSAN OTALVARO</v>
      </c>
      <c r="D406" s="40" t="str">
        <f ca="1">IFERROR(__xludf.DUMMYFUNCTION("""COMPUTED_VALUE"""),"CC")</f>
        <v>CC</v>
      </c>
      <c r="E406" s="40">
        <f ca="1">IFERROR(__xludf.DUMMYFUNCTION("""COMPUTED_VALUE"""),1109495515)</f>
        <v>1109495515</v>
      </c>
      <c r="F406" s="40">
        <f ca="1">IFERROR(__xludf.DUMMYFUNCTION("""COMPUTED_VALUE"""),1835254)</f>
        <v>1835254</v>
      </c>
      <c r="G406" s="40" t="str">
        <f ca="1">IFERROR(__xludf.DUMMYFUNCTION("""COMPUTED_VALUE"""),"TÉCNICO")</f>
        <v>TÉCNICO</v>
      </c>
      <c r="H406" s="40" t="str">
        <f ca="1">IFERROR(__xludf.DUMMYFUNCTION("""COMPUTED_VALUE"""),"COCINA.")</f>
        <v>COCINA.</v>
      </c>
      <c r="I406" s="40">
        <f ca="1">IFERROR(__xludf.DUMMYFUNCTION("""COMPUTED_VALUE"""),3163684622)</f>
        <v>3163684622</v>
      </c>
      <c r="J406" s="40" t="str">
        <f ca="1">IFERROR(__xludf.DUMMYFUNCTION("""COMPUTED_VALUE"""),"jsdussan@outlook.com")</f>
        <v>jsdussan@outlook.com</v>
      </c>
      <c r="K406" s="40" t="str">
        <f ca="1">IFERROR(__xludf.DUMMYFUNCTION("""COMPUTED_VALUE"""),"PITALITO")</f>
        <v>PITALITO</v>
      </c>
      <c r="L406" s="40" t="str">
        <f ca="1">IFERROR(__xludf.DUMMYFUNCTION("""COMPUTED_VALUE"""),"NO HA INICIADO ETAPA PRODUCTIVA")</f>
        <v>NO HA INICIADO ETAPA PRODUCTIVA</v>
      </c>
      <c r="M406" s="40"/>
      <c r="N406" s="40"/>
      <c r="O406" s="40"/>
      <c r="P406" s="40"/>
      <c r="Q406" s="40"/>
      <c r="R406" s="140"/>
      <c r="S406" s="1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t="str">
        <f ca="1">IFERROR(__xludf.DUMMYFUNCTION("""COMPUTED_VALUE"""),"Procede_E_P")</f>
        <v>Procede_E_P</v>
      </c>
      <c r="AV406" s="40" t="str">
        <f ca="1">IFERROR(__xludf.DUMMYFUNCTION("""COMPUTED_VALUE"""),"EN FORMACION")</f>
        <v>EN FORMACION</v>
      </c>
      <c r="AW406" s="40" t="str">
        <f ca="1">IFERROR(__xludf.DUMMYFUNCTION("""COMPUTED_VALUE"""),"TURISMO")</f>
        <v>TURISMO</v>
      </c>
      <c r="AX406" s="141">
        <f ca="1">IFERROR(__xludf.DUMMYFUNCTION("""COMPUTED_VALUE"""),0)</f>
        <v>0</v>
      </c>
      <c r="AY406" s="40">
        <f ca="1">IFERROR(__xludf.DUMMYFUNCTION("""COMPUTED_VALUE"""),0)</f>
        <v>0</v>
      </c>
      <c r="AZ406" s="40">
        <f ca="1">IFERROR(__xludf.DUMMYFUNCTION("""COMPUTED_VALUE"""),1)</f>
        <v>1</v>
      </c>
      <c r="BA406" s="40">
        <f ca="1">IFERROR(__xludf.DUMMYFUNCTION("""COMPUTED_VALUE"""),0)</f>
        <v>0</v>
      </c>
      <c r="BB406" s="40">
        <f ca="1">IFERROR(__xludf.DUMMYFUNCTION("""COMPUTED_VALUE"""),0)</f>
        <v>0</v>
      </c>
      <c r="BC406" s="40">
        <f ca="1">IFERROR(__xludf.DUMMYFUNCTION("""COMPUTED_VALUE"""),1)</f>
        <v>1</v>
      </c>
      <c r="BD406" s="141">
        <f ca="1">IFERROR(__xludf.DUMMYFUNCTION("""COMPUTED_VALUE"""),43577)</f>
        <v>43577</v>
      </c>
      <c r="BE406" s="141">
        <f ca="1">IFERROR(__xludf.DUMMYFUNCTION("""COMPUTED_VALUE"""),43852)</f>
        <v>43852</v>
      </c>
      <c r="BF406" s="141">
        <f ca="1">IFERROR(__xludf.DUMMYFUNCTION("""COMPUTED_VALUE"""),44034)</f>
        <v>44034</v>
      </c>
      <c r="BG406" s="141">
        <f ca="1">IFERROR(__xludf.DUMMYFUNCTION("""COMPUTED_VALUE"""),44583)</f>
        <v>44583</v>
      </c>
      <c r="BH406" s="40" t="str">
        <f ca="1">IFERROR(__xludf.DUMMYFUNCTION("""COMPUTED_VALUE"""),"FINALIZAR FICHA")</f>
        <v>FINALIZAR FICHA</v>
      </c>
      <c r="BI406" s="40" t="str">
        <f ca="1">IFERROR(__xludf.DUMMYFUNCTION("""COMPUTED_VALUE"""),"Terminada por fecha")</f>
        <v>Terminada por fecha</v>
      </c>
      <c r="BJ406" s="40" t="str">
        <f ca="1">IFERROR(__xludf.DUMMYFUNCTION("""COMPUTED_VALUE"""),"Yamboro")</f>
        <v>Yamboro</v>
      </c>
      <c r="BK406" s="40"/>
      <c r="BL406" s="40"/>
    </row>
    <row r="407" spans="1:64" ht="13">
      <c r="A407" s="40"/>
      <c r="B407" s="40" t="str">
        <f ca="1">IFERROR(__xludf.DUMMYFUNCTION("""COMPUTED_VALUE"""),"FORMACIÓN 18/10/2022")</f>
        <v>FORMACIÓN 18/10/2022</v>
      </c>
      <c r="C407" s="40" t="str">
        <f ca="1">IFERROR(__xludf.DUMMYFUNCTION("""COMPUTED_VALUE"""),"AMPARO ANACONA PAZ")</f>
        <v>AMPARO ANACONA PAZ</v>
      </c>
      <c r="D407" s="40" t="str">
        <f ca="1">IFERROR(__xludf.DUMMYFUNCTION("""COMPUTED_VALUE"""),"CC")</f>
        <v>CC</v>
      </c>
      <c r="E407" s="40">
        <f ca="1">IFERROR(__xludf.DUMMYFUNCTION("""COMPUTED_VALUE"""),36277618)</f>
        <v>36277618</v>
      </c>
      <c r="F407" s="40">
        <f ca="1">IFERROR(__xludf.DUMMYFUNCTION("""COMPUTED_VALUE"""),1835254)</f>
        <v>1835254</v>
      </c>
      <c r="G407" s="40" t="str">
        <f ca="1">IFERROR(__xludf.DUMMYFUNCTION("""COMPUTED_VALUE"""),"TÉCNICO")</f>
        <v>TÉCNICO</v>
      </c>
      <c r="H407" s="40" t="str">
        <f ca="1">IFERROR(__xludf.DUMMYFUNCTION("""COMPUTED_VALUE"""),"COCINA.")</f>
        <v>COCINA.</v>
      </c>
      <c r="I407" s="40"/>
      <c r="J407" s="40" t="str">
        <f ca="1">IFERROR(__xludf.DUMMYFUNCTION("""COMPUTED_VALUE"""),"amparoanacona3627@gmail.com")</f>
        <v>amparoanacona3627@gmail.com</v>
      </c>
      <c r="K407" s="40"/>
      <c r="L407" s="40" t="str">
        <f ca="1">IFERROR(__xludf.DUMMYFUNCTION("""COMPUTED_VALUE"""),"NO HA INICIADO ETAPA PRODUCTIVA")</f>
        <v>NO HA INICIADO ETAPA PRODUCTIVA</v>
      </c>
      <c r="M407" s="40"/>
      <c r="N407" s="40"/>
      <c r="O407" s="40"/>
      <c r="P407" s="40"/>
      <c r="Q407" s="40"/>
      <c r="R407" s="140"/>
      <c r="S407" s="1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t="str">
        <f ca="1">IFERROR(__xludf.DUMMYFUNCTION("""COMPUTED_VALUE"""),"Procede_E_P")</f>
        <v>Procede_E_P</v>
      </c>
      <c r="AV407" s="40" t="str">
        <f ca="1">IFERROR(__xludf.DUMMYFUNCTION("""COMPUTED_VALUE"""),"EN FORMACION")</f>
        <v>EN FORMACION</v>
      </c>
      <c r="AW407" s="40" t="str">
        <f ca="1">IFERROR(__xludf.DUMMYFUNCTION("""COMPUTED_VALUE"""),"TURISMO")</f>
        <v>TURISMO</v>
      </c>
      <c r="AX407" s="141">
        <f ca="1">IFERROR(__xludf.DUMMYFUNCTION("""COMPUTED_VALUE"""),0)</f>
        <v>0</v>
      </c>
      <c r="AY407" s="40">
        <f ca="1">IFERROR(__xludf.DUMMYFUNCTION("""COMPUTED_VALUE"""),0)</f>
        <v>0</v>
      </c>
      <c r="AZ407" s="40">
        <f ca="1">IFERROR(__xludf.DUMMYFUNCTION("""COMPUTED_VALUE"""),1)</f>
        <v>1</v>
      </c>
      <c r="BA407" s="40">
        <f ca="1">IFERROR(__xludf.DUMMYFUNCTION("""COMPUTED_VALUE"""),0)</f>
        <v>0</v>
      </c>
      <c r="BB407" s="40">
        <f ca="1">IFERROR(__xludf.DUMMYFUNCTION("""COMPUTED_VALUE"""),0)</f>
        <v>0</v>
      </c>
      <c r="BC407" s="40">
        <f ca="1">IFERROR(__xludf.DUMMYFUNCTION("""COMPUTED_VALUE"""),1)</f>
        <v>1</v>
      </c>
      <c r="BD407" s="141">
        <f ca="1">IFERROR(__xludf.DUMMYFUNCTION("""COMPUTED_VALUE"""),43577)</f>
        <v>43577</v>
      </c>
      <c r="BE407" s="141">
        <f ca="1">IFERROR(__xludf.DUMMYFUNCTION("""COMPUTED_VALUE"""),43852)</f>
        <v>43852</v>
      </c>
      <c r="BF407" s="141">
        <f ca="1">IFERROR(__xludf.DUMMYFUNCTION("""COMPUTED_VALUE"""),44034)</f>
        <v>44034</v>
      </c>
      <c r="BG407" s="141">
        <f ca="1">IFERROR(__xludf.DUMMYFUNCTION("""COMPUTED_VALUE"""),44583)</f>
        <v>44583</v>
      </c>
      <c r="BH407" s="40" t="str">
        <f ca="1">IFERROR(__xludf.DUMMYFUNCTION("""COMPUTED_VALUE"""),"FINALIZAR FICHA")</f>
        <v>FINALIZAR FICHA</v>
      </c>
      <c r="BI407" s="40" t="str">
        <f ca="1">IFERROR(__xludf.DUMMYFUNCTION("""COMPUTED_VALUE"""),"Terminada por fecha")</f>
        <v>Terminada por fecha</v>
      </c>
      <c r="BJ407" s="40" t="str">
        <f ca="1">IFERROR(__xludf.DUMMYFUNCTION("""COMPUTED_VALUE"""),"Yamboro")</f>
        <v>Yamboro</v>
      </c>
      <c r="BK407" s="40"/>
      <c r="BL407" s="40"/>
    </row>
    <row r="408" spans="1:64" ht="13">
      <c r="A408" s="40"/>
      <c r="B408" s="40" t="str">
        <f ca="1">IFERROR(__xludf.DUMMYFUNCTION("""COMPUTED_VALUE"""),"FORMACIÓN 18/10/2022")</f>
        <v>FORMACIÓN 18/10/2022</v>
      </c>
      <c r="C408" s="40" t="str">
        <f ca="1">IFERROR(__xludf.DUMMYFUNCTION("""COMPUTED_VALUE"""),"ERIKA ALEJANDRA ECHEVERRY MORA")</f>
        <v>ERIKA ALEJANDRA ECHEVERRY MORA</v>
      </c>
      <c r="D408" s="40" t="str">
        <f ca="1">IFERROR(__xludf.DUMMYFUNCTION("""COMPUTED_VALUE"""),"CC")</f>
        <v>CC</v>
      </c>
      <c r="E408" s="40">
        <f ca="1">IFERROR(__xludf.DUMMYFUNCTION("""COMPUTED_VALUE"""),1004266174)</f>
        <v>1004266174</v>
      </c>
      <c r="F408" s="40">
        <f ca="1">IFERROR(__xludf.DUMMYFUNCTION("""COMPUTED_VALUE"""),2067490)</f>
        <v>2067490</v>
      </c>
      <c r="G408" s="40" t="str">
        <f ca="1">IFERROR(__xludf.DUMMYFUNCTION("""COMPUTED_VALUE"""),"TÉCNICO")</f>
        <v>TÉCNICO</v>
      </c>
      <c r="H408" s="40" t="str">
        <f ca="1">IFERROR(__xludf.DUMMYFUNCTION("""COMPUTED_VALUE"""),"COCINA.")</f>
        <v>COCINA.</v>
      </c>
      <c r="I408" s="40">
        <f ca="1">IFERROR(__xludf.DUMMYFUNCTION("""COMPUTED_VALUE"""),3105596936)</f>
        <v>3105596936</v>
      </c>
      <c r="J408" s="40" t="str">
        <f ca="1">IFERROR(__xludf.DUMMYFUNCTION("""COMPUTED_VALUE"""),"gabrielitaecheverry@gmail.com")</f>
        <v>gabrielitaecheverry@gmail.com</v>
      </c>
      <c r="K408" s="40" t="str">
        <f ca="1">IFERROR(__xludf.DUMMYFUNCTION("""COMPUTED_VALUE"""),"PITALITO")</f>
        <v>PITALITO</v>
      </c>
      <c r="L408" s="40" t="str">
        <f ca="1">IFERROR(__xludf.DUMMYFUNCTION("""COMPUTED_VALUE"""),"NO HA INICIADO ETAPA PRODUCTIVA")</f>
        <v>NO HA INICIADO ETAPA PRODUCTIVA</v>
      </c>
      <c r="M408" s="40"/>
      <c r="N408" s="40"/>
      <c r="O408" s="40"/>
      <c r="P408" s="40"/>
      <c r="Q408" s="40"/>
      <c r="R408" s="140"/>
      <c r="S408" s="1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t="str">
        <f ca="1">IFERROR(__xludf.DUMMYFUNCTION("""COMPUTED_VALUE"""),"Procede_E_P")</f>
        <v>Procede_E_P</v>
      </c>
      <c r="AV408" s="40" t="str">
        <f ca="1">IFERROR(__xludf.DUMMYFUNCTION("""COMPUTED_VALUE"""),"EN FORMACION")</f>
        <v>EN FORMACION</v>
      </c>
      <c r="AW408" s="40" t="str">
        <f ca="1">IFERROR(__xludf.DUMMYFUNCTION("""COMPUTED_VALUE"""),"TURISMO")</f>
        <v>TURISMO</v>
      </c>
      <c r="AX408" s="141">
        <f ca="1">IFERROR(__xludf.DUMMYFUNCTION("""COMPUTED_VALUE"""),0)</f>
        <v>0</v>
      </c>
      <c r="AY408" s="40">
        <f ca="1">IFERROR(__xludf.DUMMYFUNCTION("""COMPUTED_VALUE"""),0)</f>
        <v>0</v>
      </c>
      <c r="AZ408" s="40">
        <f ca="1">IFERROR(__xludf.DUMMYFUNCTION("""COMPUTED_VALUE"""),1)</f>
        <v>1</v>
      </c>
      <c r="BA408" s="40">
        <f ca="1">IFERROR(__xludf.DUMMYFUNCTION("""COMPUTED_VALUE"""),0)</f>
        <v>0</v>
      </c>
      <c r="BB408" s="40">
        <f ca="1">IFERROR(__xludf.DUMMYFUNCTION("""COMPUTED_VALUE"""),0)</f>
        <v>0</v>
      </c>
      <c r="BC408" s="40">
        <f ca="1">IFERROR(__xludf.DUMMYFUNCTION("""COMPUTED_VALUE"""),1)</f>
        <v>1</v>
      </c>
      <c r="BD408" s="141">
        <f ca="1">IFERROR(__xludf.DUMMYFUNCTION("""COMPUTED_VALUE"""),43934)</f>
        <v>43934</v>
      </c>
      <c r="BE408" s="141">
        <f ca="1">IFERROR(__xludf.DUMMYFUNCTION("""COMPUTED_VALUE"""),44209)</f>
        <v>44209</v>
      </c>
      <c r="BF408" s="141">
        <f ca="1">IFERROR(__xludf.DUMMYFUNCTION("""COMPUTED_VALUE"""),44390)</f>
        <v>44390</v>
      </c>
      <c r="BG408" s="141">
        <f ca="1">IFERROR(__xludf.DUMMYFUNCTION("""COMPUTED_VALUE"""),44939)</f>
        <v>44939</v>
      </c>
      <c r="BH408" s="40" t="str">
        <f ca="1">IFERROR(__xludf.DUMMYFUNCTION("""COMPUTED_VALUE"""),"FICHA EN TIEMPO-18 MESES")</f>
        <v>FICHA EN TIEMPO-18 MESES</v>
      </c>
      <c r="BI408" s="40" t="str">
        <f ca="1">IFERROR(__xludf.DUMMYFUNCTION("""COMPUTED_VALUE"""),"Terminada por fecha")</f>
        <v>Terminada por fecha</v>
      </c>
      <c r="BJ408" s="40" t="str">
        <f ca="1">IFERROR(__xludf.DUMMYFUNCTION("""COMPUTED_VALUE"""),"Yamboro")</f>
        <v>Yamboro</v>
      </c>
      <c r="BK408" s="40"/>
      <c r="BL408" s="40"/>
    </row>
    <row r="409" spans="1:64" ht="13">
      <c r="A409" s="40"/>
      <c r="B409" s="40" t="str">
        <f ca="1">IFERROR(__xludf.DUMMYFUNCTION("""COMPUTED_VALUE"""),"APLAZADO  18/10/2022")</f>
        <v>APLAZADO  18/10/2022</v>
      </c>
      <c r="C409" s="40" t="str">
        <f ca="1">IFERROR(__xludf.DUMMYFUNCTION("""COMPUTED_VALUE"""),"FRANCY DAYANA CLAROS VASQUEZ")</f>
        <v>FRANCY DAYANA CLAROS VASQUEZ</v>
      </c>
      <c r="D409" s="40" t="str">
        <f ca="1">IFERROR(__xludf.DUMMYFUNCTION("""COMPUTED_VALUE"""),"CC")</f>
        <v>CC</v>
      </c>
      <c r="E409" s="40">
        <f ca="1">IFERROR(__xludf.DUMMYFUNCTION("""COMPUTED_VALUE"""),1007750587)</f>
        <v>1007750587</v>
      </c>
      <c r="F409" s="40">
        <f ca="1">IFERROR(__xludf.DUMMYFUNCTION("""COMPUTED_VALUE"""),2067490)</f>
        <v>2067490</v>
      </c>
      <c r="G409" s="40" t="str">
        <f ca="1">IFERROR(__xludf.DUMMYFUNCTION("""COMPUTED_VALUE"""),"TÉCNICO")</f>
        <v>TÉCNICO</v>
      </c>
      <c r="H409" s="40" t="str">
        <f ca="1">IFERROR(__xludf.DUMMYFUNCTION("""COMPUTED_VALUE"""),"COCINA.")</f>
        <v>COCINA.</v>
      </c>
      <c r="I409" s="40"/>
      <c r="J409" s="40"/>
      <c r="K409" s="40"/>
      <c r="L409" s="40" t="str">
        <f ca="1">IFERROR(__xludf.DUMMYFUNCTION("""COMPUTED_VALUE"""),"NO HA INICIADO ETAPA PRODUCTIVA")</f>
        <v>NO HA INICIADO ETAPA PRODUCTIVA</v>
      </c>
      <c r="M409" s="40"/>
      <c r="N409" s="40"/>
      <c r="O409" s="40"/>
      <c r="P409" s="40"/>
      <c r="Q409" s="40"/>
      <c r="R409" s="140"/>
      <c r="S409" s="1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t="str">
        <f ca="1">IFERROR(__xludf.DUMMYFUNCTION("""COMPUTED_VALUE"""),"NO_CUMPLE")</f>
        <v>NO_CUMPLE</v>
      </c>
      <c r="AV409" s="40" t="str">
        <f ca="1">IFERROR(__xludf.DUMMYFUNCTION("""COMPUTED_VALUE"""),"APLAZADO")</f>
        <v>APLAZADO</v>
      </c>
      <c r="AW409" s="40" t="str">
        <f ca="1">IFERROR(__xludf.DUMMYFUNCTION("""COMPUTED_VALUE"""),"TURISMO")</f>
        <v>TURISMO</v>
      </c>
      <c r="AX409" s="141">
        <f ca="1">IFERROR(__xludf.DUMMYFUNCTION("""COMPUTED_VALUE"""),23)</f>
        <v>23</v>
      </c>
      <c r="AY409" s="40">
        <f ca="1">IFERROR(__xludf.DUMMYFUNCTION("""COMPUTED_VALUE"""),23)</f>
        <v>23</v>
      </c>
      <c r="AZ409" s="40">
        <f ca="1">IFERROR(__xludf.DUMMYFUNCTION("""COMPUTED_VALUE"""),1)</f>
        <v>1</v>
      </c>
      <c r="BA409" s="40">
        <f ca="1">IFERROR(__xludf.DUMMYFUNCTION("""COMPUTED_VALUE"""),6)</f>
        <v>6</v>
      </c>
      <c r="BB409" s="40">
        <f ca="1">IFERROR(__xludf.DUMMYFUNCTION("""COMPUTED_VALUE"""),11)</f>
        <v>11</v>
      </c>
      <c r="BC409" s="40">
        <f ca="1">IFERROR(__xludf.DUMMYFUNCTION("""COMPUTED_VALUE"""),41)</f>
        <v>41</v>
      </c>
      <c r="BD409" s="141">
        <f ca="1">IFERROR(__xludf.DUMMYFUNCTION("""COMPUTED_VALUE"""),43934)</f>
        <v>43934</v>
      </c>
      <c r="BE409" s="141">
        <f ca="1">IFERROR(__xludf.DUMMYFUNCTION("""COMPUTED_VALUE"""),44209)</f>
        <v>44209</v>
      </c>
      <c r="BF409" s="141">
        <f ca="1">IFERROR(__xludf.DUMMYFUNCTION("""COMPUTED_VALUE"""),44390)</f>
        <v>44390</v>
      </c>
      <c r="BG409" s="141">
        <f ca="1">IFERROR(__xludf.DUMMYFUNCTION("""COMPUTED_VALUE"""),44939)</f>
        <v>44939</v>
      </c>
      <c r="BH409" s="40" t="str">
        <f ca="1">IFERROR(__xludf.DUMMYFUNCTION("""COMPUTED_VALUE"""),"FICHA EN TIEMPO-18 MESES")</f>
        <v>FICHA EN TIEMPO-18 MESES</v>
      </c>
      <c r="BI409" s="40" t="str">
        <f ca="1">IFERROR(__xludf.DUMMYFUNCTION("""COMPUTED_VALUE"""),"Terminada por fecha")</f>
        <v>Terminada por fecha</v>
      </c>
      <c r="BJ409" s="40" t="str">
        <f ca="1">IFERROR(__xludf.DUMMYFUNCTION("""COMPUTED_VALUE"""),"Yamboro")</f>
        <v>Yamboro</v>
      </c>
      <c r="BK409" s="40"/>
      <c r="BL409" s="40"/>
    </row>
    <row r="410" spans="1:64" ht="13">
      <c r="A410" s="40"/>
      <c r="B410" s="40" t="str">
        <f ca="1">IFERROR(__xludf.DUMMYFUNCTION("""COMPUTED_VALUE"""),"FORMACIÓN 18/10/2022")</f>
        <v>FORMACIÓN 18/10/2022</v>
      </c>
      <c r="C410" s="40" t="str">
        <f ca="1">IFERROR(__xludf.DUMMYFUNCTION("""COMPUTED_VALUE"""),"LAURA DANIELA TRUJILLO CALDERON")</f>
        <v>LAURA DANIELA TRUJILLO CALDERON</v>
      </c>
      <c r="D410" s="40" t="str">
        <f ca="1">IFERROR(__xludf.DUMMYFUNCTION("""COMPUTED_VALUE"""),"CC")</f>
        <v>CC</v>
      </c>
      <c r="E410" s="40">
        <f ca="1">IFERROR(__xludf.DUMMYFUNCTION("""COMPUTED_VALUE"""),1007194923)</f>
        <v>1007194923</v>
      </c>
      <c r="F410" s="40">
        <f ca="1">IFERROR(__xludf.DUMMYFUNCTION("""COMPUTED_VALUE"""),2067490)</f>
        <v>2067490</v>
      </c>
      <c r="G410" s="40" t="str">
        <f ca="1">IFERROR(__xludf.DUMMYFUNCTION("""COMPUTED_VALUE"""),"TÉCNICO")</f>
        <v>TÉCNICO</v>
      </c>
      <c r="H410" s="40" t="str">
        <f ca="1">IFERROR(__xludf.DUMMYFUNCTION("""COMPUTED_VALUE"""),"COCINA.")</f>
        <v>COCINA.</v>
      </c>
      <c r="I410" s="40">
        <f ca="1">IFERROR(__xludf.DUMMYFUNCTION("""COMPUTED_VALUE"""),3114956126)</f>
        <v>3114956126</v>
      </c>
      <c r="J410" s="40" t="str">
        <f ca="1">IFERROR(__xludf.DUMMYFUNCTION("""COMPUTED_VALUE"""),"danielatrujillo0418@gmail.com")</f>
        <v>danielatrujillo0418@gmail.com</v>
      </c>
      <c r="K410" s="40" t="str">
        <f ca="1">IFERROR(__xludf.DUMMYFUNCTION("""COMPUTED_VALUE"""),"PITALITO")</f>
        <v>PITALITO</v>
      </c>
      <c r="L410" s="40" t="str">
        <f ca="1">IFERROR(__xludf.DUMMYFUNCTION("""COMPUTED_VALUE"""),"NO HA INICIADO ETAPA PRODUCTIVA")</f>
        <v>NO HA INICIADO ETAPA PRODUCTIVA</v>
      </c>
      <c r="M410" s="40"/>
      <c r="N410" s="40"/>
      <c r="O410" s="40"/>
      <c r="P410" s="40"/>
      <c r="Q410" s="40"/>
      <c r="R410" s="140"/>
      <c r="S410" s="1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t="str">
        <f ca="1">IFERROR(__xludf.DUMMYFUNCTION("""COMPUTED_VALUE"""),"Procede_E_P")</f>
        <v>Procede_E_P</v>
      </c>
      <c r="AV410" s="40" t="str">
        <f ca="1">IFERROR(__xludf.DUMMYFUNCTION("""COMPUTED_VALUE"""),"EN FORMACION")</f>
        <v>EN FORMACION</v>
      </c>
      <c r="AW410" s="40" t="str">
        <f ca="1">IFERROR(__xludf.DUMMYFUNCTION("""COMPUTED_VALUE"""),"TURISMO")</f>
        <v>TURISMO</v>
      </c>
      <c r="AX410" s="141">
        <f ca="1">IFERROR(__xludf.DUMMYFUNCTION("""COMPUTED_VALUE"""),0)</f>
        <v>0</v>
      </c>
      <c r="AY410" s="40">
        <f ca="1">IFERROR(__xludf.DUMMYFUNCTION("""COMPUTED_VALUE"""),0)</f>
        <v>0</v>
      </c>
      <c r="AZ410" s="40">
        <f ca="1">IFERROR(__xludf.DUMMYFUNCTION("""COMPUTED_VALUE"""),1)</f>
        <v>1</v>
      </c>
      <c r="BA410" s="40">
        <f ca="1">IFERROR(__xludf.DUMMYFUNCTION("""COMPUTED_VALUE"""),0)</f>
        <v>0</v>
      </c>
      <c r="BB410" s="40">
        <f ca="1">IFERROR(__xludf.DUMMYFUNCTION("""COMPUTED_VALUE"""),0)</f>
        <v>0</v>
      </c>
      <c r="BC410" s="40">
        <f ca="1">IFERROR(__xludf.DUMMYFUNCTION("""COMPUTED_VALUE"""),1)</f>
        <v>1</v>
      </c>
      <c r="BD410" s="141">
        <f ca="1">IFERROR(__xludf.DUMMYFUNCTION("""COMPUTED_VALUE"""),43934)</f>
        <v>43934</v>
      </c>
      <c r="BE410" s="141">
        <f ca="1">IFERROR(__xludf.DUMMYFUNCTION("""COMPUTED_VALUE"""),44209)</f>
        <v>44209</v>
      </c>
      <c r="BF410" s="141">
        <f ca="1">IFERROR(__xludf.DUMMYFUNCTION("""COMPUTED_VALUE"""),44390)</f>
        <v>44390</v>
      </c>
      <c r="BG410" s="141">
        <f ca="1">IFERROR(__xludf.DUMMYFUNCTION("""COMPUTED_VALUE"""),44939)</f>
        <v>44939</v>
      </c>
      <c r="BH410" s="40" t="str">
        <f ca="1">IFERROR(__xludf.DUMMYFUNCTION("""COMPUTED_VALUE"""),"FICHA EN TIEMPO-18 MESES")</f>
        <v>FICHA EN TIEMPO-18 MESES</v>
      </c>
      <c r="BI410" s="40" t="str">
        <f ca="1">IFERROR(__xludf.DUMMYFUNCTION("""COMPUTED_VALUE"""),"Terminada por fecha")</f>
        <v>Terminada por fecha</v>
      </c>
      <c r="BJ410" s="40" t="str">
        <f ca="1">IFERROR(__xludf.DUMMYFUNCTION("""COMPUTED_VALUE"""),"Yamboro")</f>
        <v>Yamboro</v>
      </c>
      <c r="BK410" s="40"/>
      <c r="BL410" s="40"/>
    </row>
    <row r="411" spans="1:64" ht="13">
      <c r="A411" s="40"/>
      <c r="B411" s="40" t="str">
        <f ca="1">IFERROR(__xludf.DUMMYFUNCTION("""COMPUTED_VALUE"""),"FORMACIÓN 18/10/2022")</f>
        <v>FORMACIÓN 18/10/2022</v>
      </c>
      <c r="C411" s="40" t="str">
        <f ca="1">IFERROR(__xludf.DUMMYFUNCTION("""COMPUTED_VALUE"""),"BRAYAN RIVERA ALVAREZ")</f>
        <v>BRAYAN RIVERA ALVAREZ</v>
      </c>
      <c r="D411" s="40" t="str">
        <f ca="1">IFERROR(__xludf.DUMMYFUNCTION("""COMPUTED_VALUE"""),"TI")</f>
        <v>TI</v>
      </c>
      <c r="E411" s="40">
        <f ca="1">IFERROR(__xludf.DUMMYFUNCTION("""COMPUTED_VALUE"""),1007531549)</f>
        <v>1007531549</v>
      </c>
      <c r="F411" s="40">
        <f ca="1">IFERROR(__xludf.DUMMYFUNCTION("""COMPUTED_VALUE"""),2067490)</f>
        <v>2067490</v>
      </c>
      <c r="G411" s="40" t="str">
        <f ca="1">IFERROR(__xludf.DUMMYFUNCTION("""COMPUTED_VALUE"""),"TÉCNICO")</f>
        <v>TÉCNICO</v>
      </c>
      <c r="H411" s="40" t="str">
        <f ca="1">IFERROR(__xludf.DUMMYFUNCTION("""COMPUTED_VALUE"""),"COCINA.")</f>
        <v>COCINA.</v>
      </c>
      <c r="I411" s="40">
        <f ca="1">IFERROR(__xludf.DUMMYFUNCTION("""COMPUTED_VALUE"""),3138871134)</f>
        <v>3138871134</v>
      </c>
      <c r="J411" s="40" t="str">
        <f ca="1">IFERROR(__xludf.DUMMYFUNCTION("""COMPUTED_VALUE"""),"alribra152002@gmail.com")</f>
        <v>alribra152002@gmail.com</v>
      </c>
      <c r="K411" s="40" t="str">
        <f ca="1">IFERROR(__xludf.DUMMYFUNCTION("""COMPUTED_VALUE"""),"PITALITO")</f>
        <v>PITALITO</v>
      </c>
      <c r="L411" s="40" t="str">
        <f ca="1">IFERROR(__xludf.DUMMYFUNCTION("""COMPUTED_VALUE"""),"NO HA INICIADO ETAPA PRODUCTIVA")</f>
        <v>NO HA INICIADO ETAPA PRODUCTIVA</v>
      </c>
      <c r="M411" s="40"/>
      <c r="N411" s="40"/>
      <c r="O411" s="40"/>
      <c r="P411" s="40"/>
      <c r="Q411" s="40"/>
      <c r="R411" s="140"/>
      <c r="S411" s="1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t="str">
        <f ca="1">IFERROR(__xludf.DUMMYFUNCTION("""COMPUTED_VALUE"""),"NO_CUMPLE")</f>
        <v>NO_CUMPLE</v>
      </c>
      <c r="AV411" s="40" t="str">
        <f ca="1">IFERROR(__xludf.DUMMYFUNCTION("""COMPUTED_VALUE"""),"EN FORMACION")</f>
        <v>EN FORMACION</v>
      </c>
      <c r="AW411" s="40" t="str">
        <f ca="1">IFERROR(__xludf.DUMMYFUNCTION("""COMPUTED_VALUE"""),"TURISMO")</f>
        <v>TURISMO</v>
      </c>
      <c r="AX411" s="141">
        <f ca="1">IFERROR(__xludf.DUMMYFUNCTION("""COMPUTED_VALUE"""),0)</f>
        <v>0</v>
      </c>
      <c r="AY411" s="40">
        <f ca="1">IFERROR(__xludf.DUMMYFUNCTION("""COMPUTED_VALUE"""),0)</f>
        <v>0</v>
      </c>
      <c r="AZ411" s="40">
        <f ca="1">IFERROR(__xludf.DUMMYFUNCTION("""COMPUTED_VALUE"""),1)</f>
        <v>1</v>
      </c>
      <c r="BA411" s="40">
        <f ca="1">IFERROR(__xludf.DUMMYFUNCTION("""COMPUTED_VALUE"""),0)</f>
        <v>0</v>
      </c>
      <c r="BB411" s="40">
        <f ca="1">IFERROR(__xludf.DUMMYFUNCTION("""COMPUTED_VALUE"""),1)</f>
        <v>1</v>
      </c>
      <c r="BC411" s="40">
        <f ca="1">IFERROR(__xludf.DUMMYFUNCTION("""COMPUTED_VALUE"""),2)</f>
        <v>2</v>
      </c>
      <c r="BD411" s="141">
        <f ca="1">IFERROR(__xludf.DUMMYFUNCTION("""COMPUTED_VALUE"""),43934)</f>
        <v>43934</v>
      </c>
      <c r="BE411" s="141">
        <f ca="1">IFERROR(__xludf.DUMMYFUNCTION("""COMPUTED_VALUE"""),44209)</f>
        <v>44209</v>
      </c>
      <c r="BF411" s="141">
        <f ca="1">IFERROR(__xludf.DUMMYFUNCTION("""COMPUTED_VALUE"""),44390)</f>
        <v>44390</v>
      </c>
      <c r="BG411" s="141">
        <f ca="1">IFERROR(__xludf.DUMMYFUNCTION("""COMPUTED_VALUE"""),44939)</f>
        <v>44939</v>
      </c>
      <c r="BH411" s="40" t="str">
        <f ca="1">IFERROR(__xludf.DUMMYFUNCTION("""COMPUTED_VALUE"""),"FICHA EN TIEMPO-18 MESES")</f>
        <v>FICHA EN TIEMPO-18 MESES</v>
      </c>
      <c r="BI411" s="40" t="str">
        <f ca="1">IFERROR(__xludf.DUMMYFUNCTION("""COMPUTED_VALUE"""),"Terminada por fecha")</f>
        <v>Terminada por fecha</v>
      </c>
      <c r="BJ411" s="40" t="str">
        <f ca="1">IFERROR(__xludf.DUMMYFUNCTION("""COMPUTED_VALUE"""),"Yamboro")</f>
        <v>Yamboro</v>
      </c>
      <c r="BK411" s="40"/>
      <c r="BL411" s="40"/>
    </row>
    <row r="412" spans="1:64" ht="13">
      <c r="A412" s="40"/>
      <c r="B412" s="40" t="str">
        <f ca="1">IFERROR(__xludf.DUMMYFUNCTION("""COMPUTED_VALUE"""),"FORMACIÓN 18/10/2022")</f>
        <v>FORMACIÓN 18/10/2022</v>
      </c>
      <c r="C412" s="40" t="str">
        <f ca="1">IFERROR(__xludf.DUMMYFUNCTION("""COMPUTED_VALUE"""),"DAVY JHOHAN MELLIZO CORTES")</f>
        <v>DAVY JHOHAN MELLIZO CORTES</v>
      </c>
      <c r="D412" s="40" t="str">
        <f ca="1">IFERROR(__xludf.DUMMYFUNCTION("""COMPUTED_VALUE"""),"TI")</f>
        <v>TI</v>
      </c>
      <c r="E412" s="40">
        <f ca="1">IFERROR(__xludf.DUMMYFUNCTION("""COMPUTED_VALUE"""),1007563067)</f>
        <v>1007563067</v>
      </c>
      <c r="F412" s="40">
        <f ca="1">IFERROR(__xludf.DUMMYFUNCTION("""COMPUTED_VALUE"""),2067490)</f>
        <v>2067490</v>
      </c>
      <c r="G412" s="40" t="str">
        <f ca="1">IFERROR(__xludf.DUMMYFUNCTION("""COMPUTED_VALUE"""),"TÉCNICO")</f>
        <v>TÉCNICO</v>
      </c>
      <c r="H412" s="40" t="str">
        <f ca="1">IFERROR(__xludf.DUMMYFUNCTION("""COMPUTED_VALUE"""),"COCINA.")</f>
        <v>COCINA.</v>
      </c>
      <c r="I412" s="40">
        <f ca="1">IFERROR(__xludf.DUMMYFUNCTION("""COMPUTED_VALUE"""),3224239437)</f>
        <v>3224239437</v>
      </c>
      <c r="J412" s="40" t="str">
        <f ca="1">IFERROR(__xludf.DUMMYFUNCTION("""COMPUTED_VALUE"""),"deivyjhoan2002@gmail.com")</f>
        <v>deivyjhoan2002@gmail.com</v>
      </c>
      <c r="K412" s="40"/>
      <c r="L412" s="40" t="str">
        <f ca="1">IFERROR(__xludf.DUMMYFUNCTION("""COMPUTED_VALUE"""),"NO HA INICIADO ETAPA PRODUCTIVA")</f>
        <v>NO HA INICIADO ETAPA PRODUCTIVA</v>
      </c>
      <c r="M412" s="40"/>
      <c r="N412" s="40"/>
      <c r="O412" s="40"/>
      <c r="P412" s="40"/>
      <c r="Q412" s="40"/>
      <c r="R412" s="140"/>
      <c r="S412" s="1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t="str">
        <f ca="1">IFERROR(__xludf.DUMMYFUNCTION("""COMPUTED_VALUE"""),"NO_CUMPLE")</f>
        <v>NO_CUMPLE</v>
      </c>
      <c r="AV412" s="40" t="str">
        <f ca="1">IFERROR(__xludf.DUMMYFUNCTION("""COMPUTED_VALUE"""),"EN FORMACION")</f>
        <v>EN FORMACION</v>
      </c>
      <c r="AW412" s="40" t="str">
        <f ca="1">IFERROR(__xludf.DUMMYFUNCTION("""COMPUTED_VALUE"""),"TURISMO")</f>
        <v>TURISMO</v>
      </c>
      <c r="AX412" s="141">
        <f ca="1">IFERROR(__xludf.DUMMYFUNCTION("""COMPUTED_VALUE"""),9)</f>
        <v>9</v>
      </c>
      <c r="AY412" s="40">
        <f ca="1">IFERROR(__xludf.DUMMYFUNCTION("""COMPUTED_VALUE"""),9)</f>
        <v>9</v>
      </c>
      <c r="AZ412" s="40">
        <f ca="1">IFERROR(__xludf.DUMMYFUNCTION("""COMPUTED_VALUE"""),1)</f>
        <v>1</v>
      </c>
      <c r="BA412" s="40">
        <f ca="1">IFERROR(__xludf.DUMMYFUNCTION("""COMPUTED_VALUE"""),0)</f>
        <v>0</v>
      </c>
      <c r="BB412" s="40">
        <f ca="1">IFERROR(__xludf.DUMMYFUNCTION("""COMPUTED_VALUE"""),8)</f>
        <v>8</v>
      </c>
      <c r="BC412" s="40">
        <f ca="1">IFERROR(__xludf.DUMMYFUNCTION("""COMPUTED_VALUE"""),18)</f>
        <v>18</v>
      </c>
      <c r="BD412" s="141">
        <f ca="1">IFERROR(__xludf.DUMMYFUNCTION("""COMPUTED_VALUE"""),43934)</f>
        <v>43934</v>
      </c>
      <c r="BE412" s="141">
        <f ca="1">IFERROR(__xludf.DUMMYFUNCTION("""COMPUTED_VALUE"""),44209)</f>
        <v>44209</v>
      </c>
      <c r="BF412" s="141">
        <f ca="1">IFERROR(__xludf.DUMMYFUNCTION("""COMPUTED_VALUE"""),44390)</f>
        <v>44390</v>
      </c>
      <c r="BG412" s="141">
        <f ca="1">IFERROR(__xludf.DUMMYFUNCTION("""COMPUTED_VALUE"""),44939)</f>
        <v>44939</v>
      </c>
      <c r="BH412" s="40" t="str">
        <f ca="1">IFERROR(__xludf.DUMMYFUNCTION("""COMPUTED_VALUE"""),"FICHA EN TIEMPO-18 MESES")</f>
        <v>FICHA EN TIEMPO-18 MESES</v>
      </c>
      <c r="BI412" s="40" t="str">
        <f ca="1">IFERROR(__xludf.DUMMYFUNCTION("""COMPUTED_VALUE"""),"Terminada por fecha")</f>
        <v>Terminada por fecha</v>
      </c>
      <c r="BJ412" s="40" t="str">
        <f ca="1">IFERROR(__xludf.DUMMYFUNCTION("""COMPUTED_VALUE"""),"Yamboro")</f>
        <v>Yamboro</v>
      </c>
      <c r="BK412" s="40"/>
      <c r="BL412" s="40"/>
    </row>
    <row r="413" spans="1:64" ht="13">
      <c r="A413" s="40"/>
      <c r="B413" s="40" t="str">
        <f ca="1">IFERROR(__xludf.DUMMYFUNCTION("""COMPUTED_VALUE"""),"FORMACIÓN 18/10/2022")</f>
        <v>FORMACIÓN 18/10/2022</v>
      </c>
      <c r="C413" s="40" t="str">
        <f ca="1">IFERROR(__xludf.DUMMYFUNCTION("""COMPUTED_VALUE"""),"MARIA CAMILA AGUDELO ORTIZ")</f>
        <v>MARIA CAMILA AGUDELO ORTIZ</v>
      </c>
      <c r="D413" s="40" t="str">
        <f ca="1">IFERROR(__xludf.DUMMYFUNCTION("""COMPUTED_VALUE"""),"CC")</f>
        <v>CC</v>
      </c>
      <c r="E413" s="40">
        <f ca="1">IFERROR(__xludf.DUMMYFUNCTION("""COMPUTED_VALUE"""),1082782044)</f>
        <v>1082782044</v>
      </c>
      <c r="F413" s="40">
        <f ca="1">IFERROR(__xludf.DUMMYFUNCTION("""COMPUTED_VALUE"""),2067490)</f>
        <v>2067490</v>
      </c>
      <c r="G413" s="40" t="str">
        <f ca="1">IFERROR(__xludf.DUMMYFUNCTION("""COMPUTED_VALUE"""),"TÉCNICO")</f>
        <v>TÉCNICO</v>
      </c>
      <c r="H413" s="40" t="str">
        <f ca="1">IFERROR(__xludf.DUMMYFUNCTION("""COMPUTED_VALUE"""),"COCINA.")</f>
        <v>COCINA.</v>
      </c>
      <c r="I413" s="40"/>
      <c r="J413" s="40" t="str">
        <f ca="1">IFERROR(__xludf.DUMMYFUNCTION("""COMPUTED_VALUE"""),"camigudelo99@gmail.com")</f>
        <v>camigudelo99@gmail.com</v>
      </c>
      <c r="K413" s="40"/>
      <c r="L413" s="40" t="str">
        <f ca="1">IFERROR(__xludf.DUMMYFUNCTION("""COMPUTED_VALUE"""),"TERMINADO ")</f>
        <v xml:space="preserve">TERMINADO </v>
      </c>
      <c r="M413" s="40" t="str">
        <f ca="1">IFERROR(__xludf.DUMMYFUNCTION("""COMPUTED_VALUE"""),"MASAYA COLOMBIA SAS.")</f>
        <v>MASAYA COLOMBIA SAS.</v>
      </c>
      <c r="N413" s="40"/>
      <c r="O413" s="40"/>
      <c r="P413" s="40"/>
      <c r="Q413" s="40"/>
      <c r="R413" s="140"/>
      <c r="S413" s="140"/>
      <c r="T413" s="40" t="str">
        <f ca="1">IFERROR(__xludf.DUMMYFUNCTION("""COMPUTED_VALUE"""),"No ha enviado toda la documentación  a l instructora Heyi ")</f>
        <v xml:space="preserve">No ha enviado toda la documentación  a l instructora Heyi </v>
      </c>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t="str">
        <f ca="1">IFERROR(__xludf.DUMMYFUNCTION("""COMPUTED_VALUE"""),"Procede_E_P")</f>
        <v>Procede_E_P</v>
      </c>
      <c r="AV413" s="40" t="str">
        <f ca="1">IFERROR(__xludf.DUMMYFUNCTION("""COMPUTED_VALUE"""),"EN FORMACION")</f>
        <v>EN FORMACION</v>
      </c>
      <c r="AW413" s="40" t="str">
        <f ca="1">IFERROR(__xludf.DUMMYFUNCTION("""COMPUTED_VALUE"""),"TURISMO")</f>
        <v>TURISMO</v>
      </c>
      <c r="AX413" s="141">
        <f ca="1">IFERROR(__xludf.DUMMYFUNCTION("""COMPUTED_VALUE"""),0)</f>
        <v>0</v>
      </c>
      <c r="AY413" s="40">
        <f ca="1">IFERROR(__xludf.DUMMYFUNCTION("""COMPUTED_VALUE"""),0)</f>
        <v>0</v>
      </c>
      <c r="AZ413" s="40">
        <f ca="1">IFERROR(__xludf.DUMMYFUNCTION("""COMPUTED_VALUE"""),1)</f>
        <v>1</v>
      </c>
      <c r="BA413" s="40">
        <f ca="1">IFERROR(__xludf.DUMMYFUNCTION("""COMPUTED_VALUE"""),0)</f>
        <v>0</v>
      </c>
      <c r="BB413" s="40">
        <f ca="1">IFERROR(__xludf.DUMMYFUNCTION("""COMPUTED_VALUE"""),0)</f>
        <v>0</v>
      </c>
      <c r="BC413" s="40">
        <f ca="1">IFERROR(__xludf.DUMMYFUNCTION("""COMPUTED_VALUE"""),1)</f>
        <v>1</v>
      </c>
      <c r="BD413" s="141">
        <f ca="1">IFERROR(__xludf.DUMMYFUNCTION("""COMPUTED_VALUE"""),43934)</f>
        <v>43934</v>
      </c>
      <c r="BE413" s="141">
        <f ca="1">IFERROR(__xludf.DUMMYFUNCTION("""COMPUTED_VALUE"""),44209)</f>
        <v>44209</v>
      </c>
      <c r="BF413" s="141">
        <f ca="1">IFERROR(__xludf.DUMMYFUNCTION("""COMPUTED_VALUE"""),44390)</f>
        <v>44390</v>
      </c>
      <c r="BG413" s="141">
        <f ca="1">IFERROR(__xludf.DUMMYFUNCTION("""COMPUTED_VALUE"""),44939)</f>
        <v>44939</v>
      </c>
      <c r="BH413" s="40" t="str">
        <f ca="1">IFERROR(__xludf.DUMMYFUNCTION("""COMPUTED_VALUE"""),"FICHA EN TIEMPO-18 MESES")</f>
        <v>FICHA EN TIEMPO-18 MESES</v>
      </c>
      <c r="BI413" s="40" t="str">
        <f ca="1">IFERROR(__xludf.DUMMYFUNCTION("""COMPUTED_VALUE"""),"Terminada por fecha")</f>
        <v>Terminada por fecha</v>
      </c>
      <c r="BJ413" s="40" t="str">
        <f ca="1">IFERROR(__xludf.DUMMYFUNCTION("""COMPUTED_VALUE"""),"Yamboro")</f>
        <v>Yamboro</v>
      </c>
      <c r="BK413" s="40"/>
      <c r="BL413" s="40"/>
    </row>
    <row r="414" spans="1:64" ht="13">
      <c r="A414" s="40"/>
      <c r="B414" s="40" t="str">
        <f ca="1">IFERROR(__xludf.DUMMYFUNCTION("""COMPUTED_VALUE"""),"FORMACIÓN 18/10/2022")</f>
        <v>FORMACIÓN 18/10/2022</v>
      </c>
      <c r="C414" s="40" t="str">
        <f ca="1">IFERROR(__xludf.DUMMYFUNCTION("""COMPUTED_VALUE"""),"LINDA JOHANNA CASTRO PALADINEZ")</f>
        <v>LINDA JOHANNA CASTRO PALADINEZ</v>
      </c>
      <c r="D414" s="40" t="str">
        <f ca="1">IFERROR(__xludf.DUMMYFUNCTION("""COMPUTED_VALUE"""),"CC")</f>
        <v>CC</v>
      </c>
      <c r="E414" s="40">
        <f ca="1">IFERROR(__xludf.DUMMYFUNCTION("""COMPUTED_VALUE"""),1030637928)</f>
        <v>1030637928</v>
      </c>
      <c r="F414" s="40">
        <f ca="1">IFERROR(__xludf.DUMMYFUNCTION("""COMPUTED_VALUE"""),2166553)</f>
        <v>2166553</v>
      </c>
      <c r="G414" s="40" t="str">
        <f ca="1">IFERROR(__xludf.DUMMYFUNCTION("""COMPUTED_VALUE"""),"TÉCNICO")</f>
        <v>TÉCNICO</v>
      </c>
      <c r="H414" s="40" t="str">
        <f ca="1">IFERROR(__xludf.DUMMYFUNCTION("""COMPUTED_VALUE"""),"COCINA.")</f>
        <v>COCINA.</v>
      </c>
      <c r="I414" s="40">
        <f ca="1">IFERROR(__xludf.DUMMYFUNCTION("""COMPUTED_VALUE"""),3204366786)</f>
        <v>3204366786</v>
      </c>
      <c r="J414" s="40" t="str">
        <f ca="1">IFERROR(__xludf.DUMMYFUNCTION("""COMPUTED_VALUE"""),"linda.94c@gmail.com")</f>
        <v>linda.94c@gmail.com</v>
      </c>
      <c r="K414" s="40" t="str">
        <f ca="1">IFERROR(__xludf.DUMMYFUNCTION("""COMPUTED_VALUE"""),"PITALITO")</f>
        <v>PITALITO</v>
      </c>
      <c r="L414" s="40" t="str">
        <f ca="1">IFERROR(__xludf.DUMMYFUNCTION("""COMPUTED_VALUE"""),"NO HA INICIADO ETAPA PRODUCTIVA")</f>
        <v>NO HA INICIADO ETAPA PRODUCTIVA</v>
      </c>
      <c r="M414" s="40"/>
      <c r="N414" s="40"/>
      <c r="O414" s="40"/>
      <c r="P414" s="40"/>
      <c r="Q414" s="40"/>
      <c r="R414" s="140"/>
      <c r="S414" s="1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t="str">
        <f ca="1">IFERROR(__xludf.DUMMYFUNCTION("""COMPUTED_VALUE"""),"Procede_E_P")</f>
        <v>Procede_E_P</v>
      </c>
      <c r="AV414" s="40" t="str">
        <f ca="1">IFERROR(__xludf.DUMMYFUNCTION("""COMPUTED_VALUE"""),"EN FORMACION")</f>
        <v>EN FORMACION</v>
      </c>
      <c r="AW414" s="40" t="str">
        <f ca="1">IFERROR(__xludf.DUMMYFUNCTION("""COMPUTED_VALUE"""),"TURISMO")</f>
        <v>TURISMO</v>
      </c>
      <c r="AX414" s="141">
        <f ca="1">IFERROR(__xludf.DUMMYFUNCTION("""COMPUTED_VALUE"""),0)</f>
        <v>0</v>
      </c>
      <c r="AY414" s="40">
        <f ca="1">IFERROR(__xludf.DUMMYFUNCTION("""COMPUTED_VALUE"""),0)</f>
        <v>0</v>
      </c>
      <c r="AZ414" s="40">
        <f ca="1">IFERROR(__xludf.DUMMYFUNCTION("""COMPUTED_VALUE"""),1)</f>
        <v>1</v>
      </c>
      <c r="BA414" s="40">
        <f ca="1">IFERROR(__xludf.DUMMYFUNCTION("""COMPUTED_VALUE"""),0)</f>
        <v>0</v>
      </c>
      <c r="BB414" s="40">
        <f ca="1">IFERROR(__xludf.DUMMYFUNCTION("""COMPUTED_VALUE"""),0)</f>
        <v>0</v>
      </c>
      <c r="BC414" s="40">
        <f ca="1">IFERROR(__xludf.DUMMYFUNCTION("""COMPUTED_VALUE"""),1)</f>
        <v>1</v>
      </c>
      <c r="BD414" s="141">
        <f ca="1">IFERROR(__xludf.DUMMYFUNCTION("""COMPUTED_VALUE"""),44075)</f>
        <v>44075</v>
      </c>
      <c r="BE414" s="141">
        <f ca="1">IFERROR(__xludf.DUMMYFUNCTION("""COMPUTED_VALUE"""),44346)</f>
        <v>44346</v>
      </c>
      <c r="BF414" s="141">
        <f ca="1">IFERROR(__xludf.DUMMYFUNCTION("""COMPUTED_VALUE"""),44530)</f>
        <v>44530</v>
      </c>
      <c r="BG414" s="141">
        <f ca="1">IFERROR(__xludf.DUMMYFUNCTION("""COMPUTED_VALUE"""),45076)</f>
        <v>45076</v>
      </c>
      <c r="BH414" s="40" t="str">
        <f ca="1">IFERROR(__xludf.DUMMYFUNCTION("""COMPUTED_VALUE"""),"FICHA EN TIEMPO-18 MESES")</f>
        <v>FICHA EN TIEMPO-18 MESES</v>
      </c>
      <c r="BI414" s="40" t="str">
        <f ca="1">IFERROR(__xludf.DUMMYFUNCTION("""COMPUTED_VALUE"""),"Terminada por fecha")</f>
        <v>Terminada por fecha</v>
      </c>
      <c r="BJ414" s="40" t="str">
        <f ca="1">IFERROR(__xludf.DUMMYFUNCTION("""COMPUTED_VALUE"""),"Yamboro")</f>
        <v>Yamboro</v>
      </c>
      <c r="BK414" s="40"/>
      <c r="BL414" s="40"/>
    </row>
    <row r="415" spans="1:64" ht="13">
      <c r="A415" s="40"/>
      <c r="B415" s="40" t="str">
        <f ca="1">IFERROR(__xludf.DUMMYFUNCTION("""COMPUTED_VALUE"""),"FORMACIÓN 18/10/2022")</f>
        <v>FORMACIÓN 18/10/2022</v>
      </c>
      <c r="C415" s="40" t="str">
        <f ca="1">IFERROR(__xludf.DUMMYFUNCTION("""COMPUTED_VALUE"""),"ANA BEATRIZ PALADINEZ STERLING")</f>
        <v>ANA BEATRIZ PALADINEZ STERLING</v>
      </c>
      <c r="D415" s="40" t="str">
        <f ca="1">IFERROR(__xludf.DUMMYFUNCTION("""COMPUTED_VALUE"""),"CC")</f>
        <v>CC</v>
      </c>
      <c r="E415" s="40">
        <f ca="1">IFERROR(__xludf.DUMMYFUNCTION("""COMPUTED_VALUE"""),51969812)</f>
        <v>51969812</v>
      </c>
      <c r="F415" s="40">
        <f ca="1">IFERROR(__xludf.DUMMYFUNCTION("""COMPUTED_VALUE"""),2166553)</f>
        <v>2166553</v>
      </c>
      <c r="G415" s="40" t="str">
        <f ca="1">IFERROR(__xludf.DUMMYFUNCTION("""COMPUTED_VALUE"""),"TÉCNICO")</f>
        <v>TÉCNICO</v>
      </c>
      <c r="H415" s="40" t="str">
        <f ca="1">IFERROR(__xludf.DUMMYFUNCTION("""COMPUTED_VALUE"""),"COCINA.")</f>
        <v>COCINA.</v>
      </c>
      <c r="I415" s="40">
        <f ca="1">IFERROR(__xludf.DUMMYFUNCTION("""COMPUTED_VALUE"""),3212176674)</f>
        <v>3212176674</v>
      </c>
      <c r="J415" s="40" t="str">
        <f ca="1">IFERROR(__xludf.DUMMYFUNCTION("""COMPUTED_VALUE"""),"paladinezbeatriz@gmail.com")</f>
        <v>paladinezbeatriz@gmail.com</v>
      </c>
      <c r="K415" s="40" t="str">
        <f ca="1">IFERROR(__xludf.DUMMYFUNCTION("""COMPUTED_VALUE"""),"PITALITO")</f>
        <v>PITALITO</v>
      </c>
      <c r="L415" s="40" t="str">
        <f ca="1">IFERROR(__xludf.DUMMYFUNCTION("""COMPUTED_VALUE"""),"NO HA INICIADO ETAPA PRODUCTIVA")</f>
        <v>NO HA INICIADO ETAPA PRODUCTIVA</v>
      </c>
      <c r="M415" s="40"/>
      <c r="N415" s="40"/>
      <c r="O415" s="40"/>
      <c r="P415" s="40"/>
      <c r="Q415" s="40"/>
      <c r="R415" s="140"/>
      <c r="S415" s="1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t="str">
        <f ca="1">IFERROR(__xludf.DUMMYFUNCTION("""COMPUTED_VALUE"""),"Procede_E_P")</f>
        <v>Procede_E_P</v>
      </c>
      <c r="AV415" s="40" t="str">
        <f ca="1">IFERROR(__xludf.DUMMYFUNCTION("""COMPUTED_VALUE"""),"EN FORMACION")</f>
        <v>EN FORMACION</v>
      </c>
      <c r="AW415" s="40" t="str">
        <f ca="1">IFERROR(__xludf.DUMMYFUNCTION("""COMPUTED_VALUE"""),"TURISMO")</f>
        <v>TURISMO</v>
      </c>
      <c r="AX415" s="141">
        <f ca="1">IFERROR(__xludf.DUMMYFUNCTION("""COMPUTED_VALUE"""),0)</f>
        <v>0</v>
      </c>
      <c r="AY415" s="40">
        <f ca="1">IFERROR(__xludf.DUMMYFUNCTION("""COMPUTED_VALUE"""),0)</f>
        <v>0</v>
      </c>
      <c r="AZ415" s="40">
        <f ca="1">IFERROR(__xludf.DUMMYFUNCTION("""COMPUTED_VALUE"""),1)</f>
        <v>1</v>
      </c>
      <c r="BA415" s="40">
        <f ca="1">IFERROR(__xludf.DUMMYFUNCTION("""COMPUTED_VALUE"""),0)</f>
        <v>0</v>
      </c>
      <c r="BB415" s="40">
        <f ca="1">IFERROR(__xludf.DUMMYFUNCTION("""COMPUTED_VALUE"""),0)</f>
        <v>0</v>
      </c>
      <c r="BC415" s="40">
        <f ca="1">IFERROR(__xludf.DUMMYFUNCTION("""COMPUTED_VALUE"""),1)</f>
        <v>1</v>
      </c>
      <c r="BD415" s="141">
        <f ca="1">IFERROR(__xludf.DUMMYFUNCTION("""COMPUTED_VALUE"""),44075)</f>
        <v>44075</v>
      </c>
      <c r="BE415" s="141">
        <f ca="1">IFERROR(__xludf.DUMMYFUNCTION("""COMPUTED_VALUE"""),44346)</f>
        <v>44346</v>
      </c>
      <c r="BF415" s="141">
        <f ca="1">IFERROR(__xludf.DUMMYFUNCTION("""COMPUTED_VALUE"""),44530)</f>
        <v>44530</v>
      </c>
      <c r="BG415" s="141">
        <f ca="1">IFERROR(__xludf.DUMMYFUNCTION("""COMPUTED_VALUE"""),45076)</f>
        <v>45076</v>
      </c>
      <c r="BH415" s="40" t="str">
        <f ca="1">IFERROR(__xludf.DUMMYFUNCTION("""COMPUTED_VALUE"""),"FICHA EN TIEMPO-18 MESES")</f>
        <v>FICHA EN TIEMPO-18 MESES</v>
      </c>
      <c r="BI415" s="40" t="str">
        <f ca="1">IFERROR(__xludf.DUMMYFUNCTION("""COMPUTED_VALUE"""),"Terminada por fecha")</f>
        <v>Terminada por fecha</v>
      </c>
      <c r="BJ415" s="40" t="str">
        <f ca="1">IFERROR(__xludf.DUMMYFUNCTION("""COMPUTED_VALUE"""),"Yamboro")</f>
        <v>Yamboro</v>
      </c>
      <c r="BK415" s="40"/>
      <c r="BL415" s="40"/>
    </row>
    <row r="416" spans="1:64" ht="13">
      <c r="A416" s="40"/>
      <c r="B416" s="40" t="str">
        <f ca="1">IFERROR(__xludf.DUMMYFUNCTION("""COMPUTED_VALUE"""),"CONDICIONADO 18/10/2022")</f>
        <v>CONDICIONADO 18/10/2022</v>
      </c>
      <c r="C416" s="40" t="str">
        <f ca="1">IFERROR(__xludf.DUMMYFUNCTION("""COMPUTED_VALUE"""),"CAMILO ALEJANDRO BARRERA SANCHEZ")</f>
        <v>CAMILO ALEJANDRO BARRERA SANCHEZ</v>
      </c>
      <c r="D416" s="40" t="str">
        <f ca="1">IFERROR(__xludf.DUMMYFUNCTION("""COMPUTED_VALUE"""),"CC")</f>
        <v>CC</v>
      </c>
      <c r="E416" s="40">
        <f ca="1">IFERROR(__xludf.DUMMYFUNCTION("""COMPUTED_VALUE"""),1082779707)</f>
        <v>1082779707</v>
      </c>
      <c r="F416" s="40">
        <f ca="1">IFERROR(__xludf.DUMMYFUNCTION("""COMPUTED_VALUE"""),2166553)</f>
        <v>2166553</v>
      </c>
      <c r="G416" s="40" t="str">
        <f ca="1">IFERROR(__xludf.DUMMYFUNCTION("""COMPUTED_VALUE"""),"TÉCNICO")</f>
        <v>TÉCNICO</v>
      </c>
      <c r="H416" s="40" t="str">
        <f ca="1">IFERROR(__xludf.DUMMYFUNCTION("""COMPUTED_VALUE"""),"COCINA.")</f>
        <v>COCINA.</v>
      </c>
      <c r="I416" s="40"/>
      <c r="J416" s="40"/>
      <c r="K416" s="40"/>
      <c r="L416" s="40" t="str">
        <f ca="1">IFERROR(__xludf.DUMMYFUNCTION("""COMPUTED_VALUE"""),"NO HA INICIADO ETAPA PRODUCTIVA")</f>
        <v>NO HA INICIADO ETAPA PRODUCTIVA</v>
      </c>
      <c r="M416" s="40"/>
      <c r="N416" s="40"/>
      <c r="O416" s="40"/>
      <c r="P416" s="40"/>
      <c r="Q416" s="40"/>
      <c r="R416" s="140"/>
      <c r="S416" s="1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t="str">
        <f ca="1">IFERROR(__xludf.DUMMYFUNCTION("""COMPUTED_VALUE"""),"NO_CUMPLE")</f>
        <v>NO_CUMPLE</v>
      </c>
      <c r="AV416" s="40" t="str">
        <f ca="1">IFERROR(__xludf.DUMMYFUNCTION("""COMPUTED_VALUE"""),"CONDICIONADO")</f>
        <v>CONDICIONADO</v>
      </c>
      <c r="AW416" s="40" t="str">
        <f ca="1">IFERROR(__xludf.DUMMYFUNCTION("""COMPUTED_VALUE"""),"TURISMO")</f>
        <v>TURISMO</v>
      </c>
      <c r="AX416" s="141">
        <f ca="1">IFERROR(__xludf.DUMMYFUNCTION("""COMPUTED_VALUE"""),8)</f>
        <v>8</v>
      </c>
      <c r="AY416" s="40">
        <f ca="1">IFERROR(__xludf.DUMMYFUNCTION("""COMPUTED_VALUE"""),8)</f>
        <v>8</v>
      </c>
      <c r="AZ416" s="40">
        <f ca="1">IFERROR(__xludf.DUMMYFUNCTION("""COMPUTED_VALUE"""),1)</f>
        <v>1</v>
      </c>
      <c r="BA416" s="40">
        <f ca="1">IFERROR(__xludf.DUMMYFUNCTION("""COMPUTED_VALUE"""),0)</f>
        <v>0</v>
      </c>
      <c r="BB416" s="40">
        <f ca="1">IFERROR(__xludf.DUMMYFUNCTION("""COMPUTED_VALUE"""),0)</f>
        <v>0</v>
      </c>
      <c r="BC416" s="40">
        <f ca="1">IFERROR(__xludf.DUMMYFUNCTION("""COMPUTED_VALUE"""),9)</f>
        <v>9</v>
      </c>
      <c r="BD416" s="141">
        <f ca="1">IFERROR(__xludf.DUMMYFUNCTION("""COMPUTED_VALUE"""),44075)</f>
        <v>44075</v>
      </c>
      <c r="BE416" s="141">
        <f ca="1">IFERROR(__xludf.DUMMYFUNCTION("""COMPUTED_VALUE"""),44346)</f>
        <v>44346</v>
      </c>
      <c r="BF416" s="141">
        <f ca="1">IFERROR(__xludf.DUMMYFUNCTION("""COMPUTED_VALUE"""),44530)</f>
        <v>44530</v>
      </c>
      <c r="BG416" s="141">
        <f ca="1">IFERROR(__xludf.DUMMYFUNCTION("""COMPUTED_VALUE"""),45076)</f>
        <v>45076</v>
      </c>
      <c r="BH416" s="40" t="str">
        <f ca="1">IFERROR(__xludf.DUMMYFUNCTION("""COMPUTED_VALUE"""),"FICHA EN TIEMPO-18 MESES")</f>
        <v>FICHA EN TIEMPO-18 MESES</v>
      </c>
      <c r="BI416" s="40" t="str">
        <f ca="1">IFERROR(__xludf.DUMMYFUNCTION("""COMPUTED_VALUE"""),"Terminada por fecha")</f>
        <v>Terminada por fecha</v>
      </c>
      <c r="BJ416" s="40" t="str">
        <f ca="1">IFERROR(__xludf.DUMMYFUNCTION("""COMPUTED_VALUE"""),"Yamboro")</f>
        <v>Yamboro</v>
      </c>
      <c r="BK416" s="40"/>
      <c r="BL416" s="40"/>
    </row>
    <row r="417" spans="1:64" ht="13">
      <c r="A417" s="40"/>
      <c r="B417" s="40" t="str">
        <f ca="1">IFERROR(__xludf.DUMMYFUNCTION("""COMPUTED_VALUE"""),"FORMACIÓN 18/10/2022")</f>
        <v>FORMACIÓN 18/10/2022</v>
      </c>
      <c r="C417" s="40" t="str">
        <f ca="1">IFERROR(__xludf.DUMMYFUNCTION("""COMPUTED_VALUE"""),"JUAN DAVID OBANDO CHILITO
")</f>
        <v xml:space="preserve">JUAN DAVID OBANDO CHILITO
</v>
      </c>
      <c r="D417" s="40" t="str">
        <f ca="1">IFERROR(__xludf.DUMMYFUNCTION("""COMPUTED_VALUE"""),"CC")</f>
        <v>CC</v>
      </c>
      <c r="E417" s="40">
        <f ca="1">IFERROR(__xludf.DUMMYFUNCTION("""COMPUTED_VALUE"""),1004083605)</f>
        <v>1004083605</v>
      </c>
      <c r="F417" s="40">
        <f ca="1">IFERROR(__xludf.DUMMYFUNCTION("""COMPUTED_VALUE"""),2280187)</f>
        <v>2280187</v>
      </c>
      <c r="G417" s="40" t="str">
        <f ca="1">IFERROR(__xludf.DUMMYFUNCTION("""COMPUTED_VALUE"""),"TÉCNICO")</f>
        <v>TÉCNICO</v>
      </c>
      <c r="H417" s="40" t="str">
        <f ca="1">IFERROR(__xludf.DUMMYFUNCTION("""COMPUTED_VALUE"""),"COCINA.")</f>
        <v>COCINA.</v>
      </c>
      <c r="I417" s="40">
        <f ca="1">IFERROR(__xludf.DUMMYFUNCTION("""COMPUTED_VALUE"""),3105536106)</f>
        <v>3105536106</v>
      </c>
      <c r="J417" s="40" t="str">
        <f ca="1">IFERROR(__xludf.DUMMYFUNCTION("""COMPUTED_VALUE"""),"jdobando506@misena.edu.co")</f>
        <v>jdobando506@misena.edu.co</v>
      </c>
      <c r="K417" s="40" t="str">
        <f ca="1">IFERROR(__xludf.DUMMYFUNCTION("""COMPUTED_VALUE"""),"GUACACALLO")</f>
        <v>GUACACALLO</v>
      </c>
      <c r="L417" s="40" t="str">
        <f ca="1">IFERROR(__xludf.DUMMYFUNCTION("""COMPUTED_VALUE"""),"CONTRATO DE APRENDIZAJE")</f>
        <v>CONTRATO DE APRENDIZAJE</v>
      </c>
      <c r="M417" s="40" t="str">
        <f ca="1">IFERROR(__xludf.DUMMYFUNCTION("""COMPUTED_VALUE"""),"GRUPO PB S.A.S")</f>
        <v>GRUPO PB S.A.S</v>
      </c>
      <c r="N417" s="40"/>
      <c r="O417" s="40"/>
      <c r="P417" s="40"/>
      <c r="Q417" s="40"/>
      <c r="R417" s="140">
        <f ca="1">IFERROR(__xludf.DUMMYFUNCTION("""COMPUTED_VALUE"""),44716)</f>
        <v>44716</v>
      </c>
      <c r="S417" s="140">
        <f ca="1">IFERROR(__xludf.DUMMYFUNCTION("""COMPUTED_VALUE"""),44898)</f>
        <v>44898</v>
      </c>
      <c r="T417" s="40"/>
      <c r="U417" s="40" t="str">
        <f ca="1">IFERROR(__xludf.DUMMYFUNCTION("""COMPUTED_VALUE"""),"POR ASIGNAR ")</f>
        <v xml:space="preserve">POR ASIGNAR </v>
      </c>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t="str">
        <f ca="1">IFERROR(__xludf.DUMMYFUNCTION("""COMPUTED_VALUE"""),"Procede_E_P")</f>
        <v>Procede_E_P</v>
      </c>
      <c r="AV417" s="40" t="str">
        <f ca="1">IFERROR(__xludf.DUMMYFUNCTION("""COMPUTED_VALUE"""),"EN FORMACION")</f>
        <v>EN FORMACION</v>
      </c>
      <c r="AW417" s="40" t="str">
        <f ca="1">IFERROR(__xludf.DUMMYFUNCTION("""COMPUTED_VALUE"""),"TURISMO")</f>
        <v>TURISMO</v>
      </c>
      <c r="AX417" s="141">
        <f ca="1">IFERROR(__xludf.DUMMYFUNCTION("""COMPUTED_VALUE"""),0)</f>
        <v>0</v>
      </c>
      <c r="AY417" s="40">
        <f ca="1">IFERROR(__xludf.DUMMYFUNCTION("""COMPUTED_VALUE"""),0)</f>
        <v>0</v>
      </c>
      <c r="AZ417" s="40">
        <f ca="1">IFERROR(__xludf.DUMMYFUNCTION("""COMPUTED_VALUE"""),1)</f>
        <v>1</v>
      </c>
      <c r="BA417" s="40">
        <f ca="1">IFERROR(__xludf.DUMMYFUNCTION("""COMPUTED_VALUE"""),0)</f>
        <v>0</v>
      </c>
      <c r="BB417" s="40">
        <f ca="1">IFERROR(__xludf.DUMMYFUNCTION("""COMPUTED_VALUE"""),0)</f>
        <v>0</v>
      </c>
      <c r="BC417" s="40">
        <f ca="1">IFERROR(__xludf.DUMMYFUNCTION("""COMPUTED_VALUE"""),1)</f>
        <v>1</v>
      </c>
      <c r="BD417" s="141">
        <f ca="1">IFERROR(__xludf.DUMMYFUNCTION("""COMPUTED_VALUE"""),44301)</f>
        <v>44301</v>
      </c>
      <c r="BE417" s="141">
        <f ca="1">IFERROR(__xludf.DUMMYFUNCTION("""COMPUTED_VALUE"""),44575)</f>
        <v>44575</v>
      </c>
      <c r="BF417" s="141">
        <f ca="1">IFERROR(__xludf.DUMMYFUNCTION("""COMPUTED_VALUE"""),44756)</f>
        <v>44756</v>
      </c>
      <c r="BG417" s="141">
        <f ca="1">IFERROR(__xludf.DUMMYFUNCTION("""COMPUTED_VALUE"""),45305)</f>
        <v>45305</v>
      </c>
      <c r="BH417" s="40" t="str">
        <f ca="1">IFERROR(__xludf.DUMMYFUNCTION("""COMPUTED_VALUE"""),"FICHA EN TIEMPO-18 MESES")</f>
        <v>FICHA EN TIEMPO-18 MESES</v>
      </c>
      <c r="BI417" s="40" t="str">
        <f ca="1">IFERROR(__xludf.DUMMYFUNCTION("""COMPUTED_VALUE"""),"Terminada por fecha")</f>
        <v>Terminada por fecha</v>
      </c>
      <c r="BJ417" s="40" t="str">
        <f ca="1">IFERROR(__xludf.DUMMYFUNCTION("""COMPUTED_VALUE"""),"Yamboro")</f>
        <v>Yamboro</v>
      </c>
      <c r="BK417" s="40"/>
      <c r="BL417" s="40"/>
    </row>
    <row r="418" spans="1:64" ht="13">
      <c r="A418" s="40"/>
      <c r="B418" s="40" t="str">
        <f ca="1">IFERROR(__xludf.DUMMYFUNCTION("""COMPUTED_VALUE"""),"FORMACIÓN 18/10/2022")</f>
        <v>FORMACIÓN 18/10/2022</v>
      </c>
      <c r="C418" s="40" t="str">
        <f ca="1">IFERROR(__xludf.DUMMYFUNCTION("""COMPUTED_VALUE"""),"YUDY ALEJANDRA SILVA RODRIGUEZ
")</f>
        <v xml:space="preserve">YUDY ALEJANDRA SILVA RODRIGUEZ
</v>
      </c>
      <c r="D418" s="40" t="str">
        <f ca="1">IFERROR(__xludf.DUMMYFUNCTION("""COMPUTED_VALUE"""),"CC")</f>
        <v>CC</v>
      </c>
      <c r="E418" s="40">
        <f ca="1">IFERROR(__xludf.DUMMYFUNCTION("""COMPUTED_VALUE"""),1004441815)</f>
        <v>1004441815</v>
      </c>
      <c r="F418" s="40">
        <f ca="1">IFERROR(__xludf.DUMMYFUNCTION("""COMPUTED_VALUE"""),2280187)</f>
        <v>2280187</v>
      </c>
      <c r="G418" s="40" t="str">
        <f ca="1">IFERROR(__xludf.DUMMYFUNCTION("""COMPUTED_VALUE"""),"TÉCNICO")</f>
        <v>TÉCNICO</v>
      </c>
      <c r="H418" s="40" t="str">
        <f ca="1">IFERROR(__xludf.DUMMYFUNCTION("""COMPUTED_VALUE"""),"COCINA.")</f>
        <v>COCINA.</v>
      </c>
      <c r="I418" s="40"/>
      <c r="J418" s="40"/>
      <c r="K418" s="40"/>
      <c r="L418" s="40" t="str">
        <f ca="1">IFERROR(__xludf.DUMMYFUNCTION("""COMPUTED_VALUE"""),"NO HA INICIADO ETAPA PRODUCTIVA")</f>
        <v>NO HA INICIADO ETAPA PRODUCTIVA</v>
      </c>
      <c r="M418" s="40"/>
      <c r="N418" s="40"/>
      <c r="O418" s="40"/>
      <c r="P418" s="40"/>
      <c r="Q418" s="40"/>
      <c r="R418" s="140"/>
      <c r="S418" s="1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t="str">
        <f ca="1">IFERROR(__xludf.DUMMYFUNCTION("""COMPUTED_VALUE"""),"Procede_E_P")</f>
        <v>Procede_E_P</v>
      </c>
      <c r="AV418" s="40" t="str">
        <f ca="1">IFERROR(__xludf.DUMMYFUNCTION("""COMPUTED_VALUE"""),"EN FORMACION")</f>
        <v>EN FORMACION</v>
      </c>
      <c r="AW418" s="40" t="str">
        <f ca="1">IFERROR(__xludf.DUMMYFUNCTION("""COMPUTED_VALUE"""),"TURISMO")</f>
        <v>TURISMO</v>
      </c>
      <c r="AX418" s="141">
        <f ca="1">IFERROR(__xludf.DUMMYFUNCTION("""COMPUTED_VALUE"""),0)</f>
        <v>0</v>
      </c>
      <c r="AY418" s="40">
        <f ca="1">IFERROR(__xludf.DUMMYFUNCTION("""COMPUTED_VALUE"""),0)</f>
        <v>0</v>
      </c>
      <c r="AZ418" s="40">
        <f ca="1">IFERROR(__xludf.DUMMYFUNCTION("""COMPUTED_VALUE"""),1)</f>
        <v>1</v>
      </c>
      <c r="BA418" s="40">
        <f ca="1">IFERROR(__xludf.DUMMYFUNCTION("""COMPUTED_VALUE"""),0)</f>
        <v>0</v>
      </c>
      <c r="BB418" s="40">
        <f ca="1">IFERROR(__xludf.DUMMYFUNCTION("""COMPUTED_VALUE"""),0)</f>
        <v>0</v>
      </c>
      <c r="BC418" s="40">
        <f ca="1">IFERROR(__xludf.DUMMYFUNCTION("""COMPUTED_VALUE"""),1)</f>
        <v>1</v>
      </c>
      <c r="BD418" s="141">
        <f ca="1">IFERROR(__xludf.DUMMYFUNCTION("""COMPUTED_VALUE"""),44301)</f>
        <v>44301</v>
      </c>
      <c r="BE418" s="141">
        <f ca="1">IFERROR(__xludf.DUMMYFUNCTION("""COMPUTED_VALUE"""),44575)</f>
        <v>44575</v>
      </c>
      <c r="BF418" s="141">
        <f ca="1">IFERROR(__xludf.DUMMYFUNCTION("""COMPUTED_VALUE"""),44756)</f>
        <v>44756</v>
      </c>
      <c r="BG418" s="141">
        <f ca="1">IFERROR(__xludf.DUMMYFUNCTION("""COMPUTED_VALUE"""),45305)</f>
        <v>45305</v>
      </c>
      <c r="BH418" s="40" t="str">
        <f ca="1">IFERROR(__xludf.DUMMYFUNCTION("""COMPUTED_VALUE"""),"FICHA EN TIEMPO-18 MESES")</f>
        <v>FICHA EN TIEMPO-18 MESES</v>
      </c>
      <c r="BI418" s="40" t="str">
        <f ca="1">IFERROR(__xludf.DUMMYFUNCTION("""COMPUTED_VALUE"""),"Terminada por fecha")</f>
        <v>Terminada por fecha</v>
      </c>
      <c r="BJ418" s="40" t="str">
        <f ca="1">IFERROR(__xludf.DUMMYFUNCTION("""COMPUTED_VALUE"""),"Yamboro")</f>
        <v>Yamboro</v>
      </c>
      <c r="BK418" s="40"/>
      <c r="BL418" s="40"/>
    </row>
    <row r="419" spans="1:64" ht="13">
      <c r="A419" s="40"/>
      <c r="B419" s="40" t="str">
        <f ca="1">IFERROR(__xludf.DUMMYFUNCTION("""COMPUTED_VALUE"""),"FORMACIÓN 18/10/2022")</f>
        <v>FORMACIÓN 18/10/2022</v>
      </c>
      <c r="C419" s="40" t="str">
        <f ca="1">IFERROR(__xludf.DUMMYFUNCTION("""COMPUTED_VALUE"""),"DUVIER SCARPETA LOZADA
")</f>
        <v xml:space="preserve">DUVIER SCARPETA LOZADA
</v>
      </c>
      <c r="D419" s="40" t="str">
        <f ca="1">IFERROR(__xludf.DUMMYFUNCTION("""COMPUTED_VALUE"""),"CC")</f>
        <v>CC</v>
      </c>
      <c r="E419" s="40">
        <f ca="1">IFERROR(__xludf.DUMMYFUNCTION("""COMPUTED_VALUE"""),1004492715)</f>
        <v>1004492715</v>
      </c>
      <c r="F419" s="40">
        <f ca="1">IFERROR(__xludf.DUMMYFUNCTION("""COMPUTED_VALUE"""),2280187)</f>
        <v>2280187</v>
      </c>
      <c r="G419" s="40" t="str">
        <f ca="1">IFERROR(__xludf.DUMMYFUNCTION("""COMPUTED_VALUE"""),"TÉCNICO")</f>
        <v>TÉCNICO</v>
      </c>
      <c r="H419" s="40" t="str">
        <f ca="1">IFERROR(__xludf.DUMMYFUNCTION("""COMPUTED_VALUE"""),"COCINA.")</f>
        <v>COCINA.</v>
      </c>
      <c r="I419" s="40"/>
      <c r="J419" s="40"/>
      <c r="K419" s="40"/>
      <c r="L419" s="40" t="str">
        <f ca="1">IFERROR(__xludf.DUMMYFUNCTION("""COMPUTED_VALUE"""),"NO HA INICIADO ETAPA PRODUCTIVA")</f>
        <v>NO HA INICIADO ETAPA PRODUCTIVA</v>
      </c>
      <c r="M419" s="40"/>
      <c r="N419" s="40"/>
      <c r="O419" s="40"/>
      <c r="P419" s="40"/>
      <c r="Q419" s="40"/>
      <c r="R419" s="140"/>
      <c r="S419" s="1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t="str">
        <f ca="1">IFERROR(__xludf.DUMMYFUNCTION("""COMPUTED_VALUE"""),"Procede_E_P")</f>
        <v>Procede_E_P</v>
      </c>
      <c r="AV419" s="40" t="str">
        <f ca="1">IFERROR(__xludf.DUMMYFUNCTION("""COMPUTED_VALUE"""),"EN FORMACION")</f>
        <v>EN FORMACION</v>
      </c>
      <c r="AW419" s="40" t="str">
        <f ca="1">IFERROR(__xludf.DUMMYFUNCTION("""COMPUTED_VALUE"""),"TURISMO")</f>
        <v>TURISMO</v>
      </c>
      <c r="AX419" s="141">
        <f ca="1">IFERROR(__xludf.DUMMYFUNCTION("""COMPUTED_VALUE"""),0)</f>
        <v>0</v>
      </c>
      <c r="AY419" s="40">
        <f ca="1">IFERROR(__xludf.DUMMYFUNCTION("""COMPUTED_VALUE"""),0)</f>
        <v>0</v>
      </c>
      <c r="AZ419" s="40">
        <f ca="1">IFERROR(__xludf.DUMMYFUNCTION("""COMPUTED_VALUE"""),1)</f>
        <v>1</v>
      </c>
      <c r="BA419" s="40">
        <f ca="1">IFERROR(__xludf.DUMMYFUNCTION("""COMPUTED_VALUE"""),0)</f>
        <v>0</v>
      </c>
      <c r="BB419" s="40">
        <f ca="1">IFERROR(__xludf.DUMMYFUNCTION("""COMPUTED_VALUE"""),0)</f>
        <v>0</v>
      </c>
      <c r="BC419" s="40">
        <f ca="1">IFERROR(__xludf.DUMMYFUNCTION("""COMPUTED_VALUE"""),1)</f>
        <v>1</v>
      </c>
      <c r="BD419" s="141">
        <f ca="1">IFERROR(__xludf.DUMMYFUNCTION("""COMPUTED_VALUE"""),44301)</f>
        <v>44301</v>
      </c>
      <c r="BE419" s="141">
        <f ca="1">IFERROR(__xludf.DUMMYFUNCTION("""COMPUTED_VALUE"""),44575)</f>
        <v>44575</v>
      </c>
      <c r="BF419" s="141">
        <f ca="1">IFERROR(__xludf.DUMMYFUNCTION("""COMPUTED_VALUE"""),44756)</f>
        <v>44756</v>
      </c>
      <c r="BG419" s="141">
        <f ca="1">IFERROR(__xludf.DUMMYFUNCTION("""COMPUTED_VALUE"""),45305)</f>
        <v>45305</v>
      </c>
      <c r="BH419" s="40" t="str">
        <f ca="1">IFERROR(__xludf.DUMMYFUNCTION("""COMPUTED_VALUE"""),"FICHA EN TIEMPO-18 MESES")</f>
        <v>FICHA EN TIEMPO-18 MESES</v>
      </c>
      <c r="BI419" s="40" t="str">
        <f ca="1">IFERROR(__xludf.DUMMYFUNCTION("""COMPUTED_VALUE"""),"Terminada por fecha")</f>
        <v>Terminada por fecha</v>
      </c>
      <c r="BJ419" s="40" t="str">
        <f ca="1">IFERROR(__xludf.DUMMYFUNCTION("""COMPUTED_VALUE"""),"Yamboro")</f>
        <v>Yamboro</v>
      </c>
      <c r="BK419" s="40"/>
      <c r="BL419" s="40"/>
    </row>
    <row r="420" spans="1:64" ht="13">
      <c r="A420" s="40"/>
      <c r="B420" s="40" t="str">
        <f ca="1">IFERROR(__xludf.DUMMYFUNCTION("""COMPUTED_VALUE"""),"FORMACIÓN 18/10/2022")</f>
        <v>FORMACIÓN 18/10/2022</v>
      </c>
      <c r="C420" s="40" t="str">
        <f ca="1">IFERROR(__xludf.DUMMYFUNCTION("""COMPUTED_VALUE"""),"SANTIAGO CHILITO CHILITO
")</f>
        <v xml:space="preserve">SANTIAGO CHILITO CHILITO
</v>
      </c>
      <c r="D420" s="40" t="str">
        <f ca="1">IFERROR(__xludf.DUMMYFUNCTION("""COMPUTED_VALUE"""),"CC")</f>
        <v>CC</v>
      </c>
      <c r="E420" s="40">
        <f ca="1">IFERROR(__xludf.DUMMYFUNCTION("""COMPUTED_VALUE"""),1007163615)</f>
        <v>1007163615</v>
      </c>
      <c r="F420" s="40">
        <f ca="1">IFERROR(__xludf.DUMMYFUNCTION("""COMPUTED_VALUE"""),2280187)</f>
        <v>2280187</v>
      </c>
      <c r="G420" s="40" t="str">
        <f ca="1">IFERROR(__xludf.DUMMYFUNCTION("""COMPUTED_VALUE"""),"TÉCNICO")</f>
        <v>TÉCNICO</v>
      </c>
      <c r="H420" s="40" t="str">
        <f ca="1">IFERROR(__xludf.DUMMYFUNCTION("""COMPUTED_VALUE"""),"COCINA.")</f>
        <v>COCINA.</v>
      </c>
      <c r="I420" s="40"/>
      <c r="J420" s="40"/>
      <c r="K420" s="40"/>
      <c r="L420" s="40" t="str">
        <f ca="1">IFERROR(__xludf.DUMMYFUNCTION("""COMPUTED_VALUE"""),"NO HA INICIADO ETAPA PRODUCTIVA")</f>
        <v>NO HA INICIADO ETAPA PRODUCTIVA</v>
      </c>
      <c r="M420" s="40"/>
      <c r="N420" s="40"/>
      <c r="O420" s="40"/>
      <c r="P420" s="40"/>
      <c r="Q420" s="40"/>
      <c r="R420" s="140"/>
      <c r="S420" s="1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t="str">
        <f ca="1">IFERROR(__xludf.DUMMYFUNCTION("""COMPUTED_VALUE"""),"Procede_E_P")</f>
        <v>Procede_E_P</v>
      </c>
      <c r="AV420" s="40" t="str">
        <f ca="1">IFERROR(__xludf.DUMMYFUNCTION("""COMPUTED_VALUE"""),"EN FORMACION")</f>
        <v>EN FORMACION</v>
      </c>
      <c r="AW420" s="40" t="str">
        <f ca="1">IFERROR(__xludf.DUMMYFUNCTION("""COMPUTED_VALUE"""),"TURISMO")</f>
        <v>TURISMO</v>
      </c>
      <c r="AX420" s="141">
        <f ca="1">IFERROR(__xludf.DUMMYFUNCTION("""COMPUTED_VALUE"""),0)</f>
        <v>0</v>
      </c>
      <c r="AY420" s="40">
        <f ca="1">IFERROR(__xludf.DUMMYFUNCTION("""COMPUTED_VALUE"""),0)</f>
        <v>0</v>
      </c>
      <c r="AZ420" s="40">
        <f ca="1">IFERROR(__xludf.DUMMYFUNCTION("""COMPUTED_VALUE"""),1)</f>
        <v>1</v>
      </c>
      <c r="BA420" s="40">
        <f ca="1">IFERROR(__xludf.DUMMYFUNCTION("""COMPUTED_VALUE"""),0)</f>
        <v>0</v>
      </c>
      <c r="BB420" s="40">
        <f ca="1">IFERROR(__xludf.DUMMYFUNCTION("""COMPUTED_VALUE"""),0)</f>
        <v>0</v>
      </c>
      <c r="BC420" s="40">
        <f ca="1">IFERROR(__xludf.DUMMYFUNCTION("""COMPUTED_VALUE"""),1)</f>
        <v>1</v>
      </c>
      <c r="BD420" s="141">
        <f ca="1">IFERROR(__xludf.DUMMYFUNCTION("""COMPUTED_VALUE"""),44301)</f>
        <v>44301</v>
      </c>
      <c r="BE420" s="141">
        <f ca="1">IFERROR(__xludf.DUMMYFUNCTION("""COMPUTED_VALUE"""),44575)</f>
        <v>44575</v>
      </c>
      <c r="BF420" s="141">
        <f ca="1">IFERROR(__xludf.DUMMYFUNCTION("""COMPUTED_VALUE"""),44756)</f>
        <v>44756</v>
      </c>
      <c r="BG420" s="141">
        <f ca="1">IFERROR(__xludf.DUMMYFUNCTION("""COMPUTED_VALUE"""),45305)</f>
        <v>45305</v>
      </c>
      <c r="BH420" s="40" t="str">
        <f ca="1">IFERROR(__xludf.DUMMYFUNCTION("""COMPUTED_VALUE"""),"FICHA EN TIEMPO-18 MESES")</f>
        <v>FICHA EN TIEMPO-18 MESES</v>
      </c>
      <c r="BI420" s="40" t="str">
        <f ca="1">IFERROR(__xludf.DUMMYFUNCTION("""COMPUTED_VALUE"""),"Terminada por fecha")</f>
        <v>Terminada por fecha</v>
      </c>
      <c r="BJ420" s="40" t="str">
        <f ca="1">IFERROR(__xludf.DUMMYFUNCTION("""COMPUTED_VALUE"""),"Yamboro")</f>
        <v>Yamboro</v>
      </c>
      <c r="BK420" s="40"/>
      <c r="BL420" s="40"/>
    </row>
    <row r="421" spans="1:64" ht="13">
      <c r="A421" s="40"/>
      <c r="B421" s="40" t="str">
        <f ca="1">IFERROR(__xludf.DUMMYFUNCTION("""COMPUTED_VALUE"""),"FORMACIÓN 18/10/2022")</f>
        <v>FORMACIÓN 18/10/2022</v>
      </c>
      <c r="C421" s="40" t="str">
        <f ca="1">IFERROR(__xludf.DUMMYFUNCTION("""COMPUTED_VALUE"""),"IRNEYI YERALDIT AGREDA IJAJI
")</f>
        <v xml:space="preserve">IRNEYI YERALDIT AGREDA IJAJI
</v>
      </c>
      <c r="D421" s="40" t="str">
        <f ca="1">IFERROR(__xludf.DUMMYFUNCTION("""COMPUTED_VALUE"""),"CC")</f>
        <v>CC</v>
      </c>
      <c r="E421" s="40">
        <f ca="1">IFERROR(__xludf.DUMMYFUNCTION("""COMPUTED_VALUE"""),1007502741)</f>
        <v>1007502741</v>
      </c>
      <c r="F421" s="40">
        <f ca="1">IFERROR(__xludf.DUMMYFUNCTION("""COMPUTED_VALUE"""),2280187)</f>
        <v>2280187</v>
      </c>
      <c r="G421" s="40" t="str">
        <f ca="1">IFERROR(__xludf.DUMMYFUNCTION("""COMPUTED_VALUE"""),"TÉCNICO")</f>
        <v>TÉCNICO</v>
      </c>
      <c r="H421" s="40" t="str">
        <f ca="1">IFERROR(__xludf.DUMMYFUNCTION("""COMPUTED_VALUE"""),"COCINA.")</f>
        <v>COCINA.</v>
      </c>
      <c r="I421" s="40"/>
      <c r="J421" s="40"/>
      <c r="K421" s="40"/>
      <c r="L421" s="40" t="str">
        <f ca="1">IFERROR(__xludf.DUMMYFUNCTION("""COMPUTED_VALUE"""),"PASANTÍAS ")</f>
        <v xml:space="preserve">PASANTÍAS </v>
      </c>
      <c r="M421" s="40" t="str">
        <f ca="1">IFERROR(__xludf.DUMMYFUNCTION("""COMPUTED_VALUE"""),"SERVICIO NACIONAL DE APRENDIZAJE SENA")</f>
        <v>SERVICIO NACIONAL DE APRENDIZAJE SENA</v>
      </c>
      <c r="N421" s="40" t="str">
        <f ca="1">IFERROR(__xludf.DUMMYFUNCTION("""COMPUTED_VALUE"""),"PITALITO")</f>
        <v>PITALITO</v>
      </c>
      <c r="O421" s="40"/>
      <c r="P421" s="40" t="str">
        <f ca="1">IFERROR(__xludf.DUMMYFUNCTION("""COMPUTED_VALUE"""),"PITALITO")</f>
        <v>PITALITO</v>
      </c>
      <c r="Q421" s="40"/>
      <c r="R421" s="140">
        <f ca="1">IFERROR(__xludf.DUMMYFUNCTION("""COMPUTED_VALUE"""),44714)</f>
        <v>44714</v>
      </c>
      <c r="S421" s="140">
        <f ca="1">IFERROR(__xludf.DUMMYFUNCTION("""COMPUTED_VALUE"""),44881)</f>
        <v>44881</v>
      </c>
      <c r="T421" s="40"/>
      <c r="U421" s="40" t="str">
        <f ca="1">IFERROR(__xludf.DUMMYFUNCTION("""COMPUTED_VALUE"""),"POR ASIGNAR ")</f>
        <v xml:space="preserve">POR ASIGNAR </v>
      </c>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t="str">
        <f ca="1">IFERROR(__xludf.DUMMYFUNCTION("""COMPUTED_VALUE"""),"Procede_E_P")</f>
        <v>Procede_E_P</v>
      </c>
      <c r="AV421" s="40" t="str">
        <f ca="1">IFERROR(__xludf.DUMMYFUNCTION("""COMPUTED_VALUE"""),"EN FORMACION")</f>
        <v>EN FORMACION</v>
      </c>
      <c r="AW421" s="40" t="str">
        <f ca="1">IFERROR(__xludf.DUMMYFUNCTION("""COMPUTED_VALUE"""),"TURISMO")</f>
        <v>TURISMO</v>
      </c>
      <c r="AX421" s="141">
        <f ca="1">IFERROR(__xludf.DUMMYFUNCTION("""COMPUTED_VALUE"""),0)</f>
        <v>0</v>
      </c>
      <c r="AY421" s="40">
        <f ca="1">IFERROR(__xludf.DUMMYFUNCTION("""COMPUTED_VALUE"""),0)</f>
        <v>0</v>
      </c>
      <c r="AZ421" s="40">
        <f ca="1">IFERROR(__xludf.DUMMYFUNCTION("""COMPUTED_VALUE"""),1)</f>
        <v>1</v>
      </c>
      <c r="BA421" s="40">
        <f ca="1">IFERROR(__xludf.DUMMYFUNCTION("""COMPUTED_VALUE"""),0)</f>
        <v>0</v>
      </c>
      <c r="BB421" s="40">
        <f ca="1">IFERROR(__xludf.DUMMYFUNCTION("""COMPUTED_VALUE"""),0)</f>
        <v>0</v>
      </c>
      <c r="BC421" s="40">
        <f ca="1">IFERROR(__xludf.DUMMYFUNCTION("""COMPUTED_VALUE"""),1)</f>
        <v>1</v>
      </c>
      <c r="BD421" s="141">
        <f ca="1">IFERROR(__xludf.DUMMYFUNCTION("""COMPUTED_VALUE"""),44301)</f>
        <v>44301</v>
      </c>
      <c r="BE421" s="141">
        <f ca="1">IFERROR(__xludf.DUMMYFUNCTION("""COMPUTED_VALUE"""),44575)</f>
        <v>44575</v>
      </c>
      <c r="BF421" s="141">
        <f ca="1">IFERROR(__xludf.DUMMYFUNCTION("""COMPUTED_VALUE"""),44756)</f>
        <v>44756</v>
      </c>
      <c r="BG421" s="141">
        <f ca="1">IFERROR(__xludf.DUMMYFUNCTION("""COMPUTED_VALUE"""),45305)</f>
        <v>45305</v>
      </c>
      <c r="BH421" s="40" t="str">
        <f ca="1">IFERROR(__xludf.DUMMYFUNCTION("""COMPUTED_VALUE"""),"FICHA EN TIEMPO-18 MESES")</f>
        <v>FICHA EN TIEMPO-18 MESES</v>
      </c>
      <c r="BI421" s="40" t="str">
        <f ca="1">IFERROR(__xludf.DUMMYFUNCTION("""COMPUTED_VALUE"""),"Terminada por fecha")</f>
        <v>Terminada por fecha</v>
      </c>
      <c r="BJ421" s="40" t="str">
        <f ca="1">IFERROR(__xludf.DUMMYFUNCTION("""COMPUTED_VALUE"""),"Yamboro")</f>
        <v>Yamboro</v>
      </c>
      <c r="BK421" s="40"/>
      <c r="BL421" s="40"/>
    </row>
    <row r="422" spans="1:64" ht="13">
      <c r="A422" s="40"/>
      <c r="B422" s="40" t="str">
        <f ca="1">IFERROR(__xludf.DUMMYFUNCTION("""COMPUTED_VALUE"""),"FORMACIÓN 18/10/2022")</f>
        <v>FORMACIÓN 18/10/2022</v>
      </c>
      <c r="C422" s="40" t="str">
        <f ca="1">IFERROR(__xludf.DUMMYFUNCTION("""COMPUTED_VALUE"""),"JOSTIN ESNEYDER UNI GONZALEZ
")</f>
        <v xml:space="preserve">JOSTIN ESNEYDER UNI GONZALEZ
</v>
      </c>
      <c r="D422" s="40" t="str">
        <f ca="1">IFERROR(__xludf.DUMMYFUNCTION("""COMPUTED_VALUE"""),"CC")</f>
        <v>CC</v>
      </c>
      <c r="E422" s="40">
        <f ca="1">IFERROR(__xludf.DUMMYFUNCTION("""COMPUTED_VALUE"""),1007520957)</f>
        <v>1007520957</v>
      </c>
      <c r="F422" s="40">
        <f ca="1">IFERROR(__xludf.DUMMYFUNCTION("""COMPUTED_VALUE"""),2280187)</f>
        <v>2280187</v>
      </c>
      <c r="G422" s="40" t="str">
        <f ca="1">IFERROR(__xludf.DUMMYFUNCTION("""COMPUTED_VALUE"""),"TÉCNICO")</f>
        <v>TÉCNICO</v>
      </c>
      <c r="H422" s="40" t="str">
        <f ca="1">IFERROR(__xludf.DUMMYFUNCTION("""COMPUTED_VALUE"""),"COCINA.")</f>
        <v>COCINA.</v>
      </c>
      <c r="I422" s="40"/>
      <c r="J422" s="40"/>
      <c r="K422" s="40"/>
      <c r="L422" s="40" t="str">
        <f ca="1">IFERROR(__xludf.DUMMYFUNCTION("""COMPUTED_VALUE"""),"NO HA INICIADO ETAPA PRODUCTIVA")</f>
        <v>NO HA INICIADO ETAPA PRODUCTIVA</v>
      </c>
      <c r="M422" s="40"/>
      <c r="N422" s="40"/>
      <c r="O422" s="40"/>
      <c r="P422" s="40"/>
      <c r="Q422" s="40"/>
      <c r="R422" s="140"/>
      <c r="S422" s="1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t="str">
        <f ca="1">IFERROR(__xludf.DUMMYFUNCTION("""COMPUTED_VALUE"""),"NO_CUMPLE")</f>
        <v>NO_CUMPLE</v>
      </c>
      <c r="AV422" s="40" t="str">
        <f ca="1">IFERROR(__xludf.DUMMYFUNCTION("""COMPUTED_VALUE"""),"EN FORMACION")</f>
        <v>EN FORMACION</v>
      </c>
      <c r="AW422" s="40" t="str">
        <f ca="1">IFERROR(__xludf.DUMMYFUNCTION("""COMPUTED_VALUE"""),"TURISMO")</f>
        <v>TURISMO</v>
      </c>
      <c r="AX422" s="141">
        <f ca="1">IFERROR(__xludf.DUMMYFUNCTION("""COMPUTED_VALUE"""),3)</f>
        <v>3</v>
      </c>
      <c r="AY422" s="40">
        <f ca="1">IFERROR(__xludf.DUMMYFUNCTION("""COMPUTED_VALUE"""),3)</f>
        <v>3</v>
      </c>
      <c r="AZ422" s="40">
        <f ca="1">IFERROR(__xludf.DUMMYFUNCTION("""COMPUTED_VALUE"""),1)</f>
        <v>1</v>
      </c>
      <c r="BA422" s="40">
        <f ca="1">IFERROR(__xludf.DUMMYFUNCTION("""COMPUTED_VALUE"""),0)</f>
        <v>0</v>
      </c>
      <c r="BB422" s="40">
        <f ca="1">IFERROR(__xludf.DUMMYFUNCTION("""COMPUTED_VALUE"""),2)</f>
        <v>2</v>
      </c>
      <c r="BC422" s="40">
        <f ca="1">IFERROR(__xludf.DUMMYFUNCTION("""COMPUTED_VALUE"""),6)</f>
        <v>6</v>
      </c>
      <c r="BD422" s="141">
        <f ca="1">IFERROR(__xludf.DUMMYFUNCTION("""COMPUTED_VALUE"""),44301)</f>
        <v>44301</v>
      </c>
      <c r="BE422" s="141">
        <f ca="1">IFERROR(__xludf.DUMMYFUNCTION("""COMPUTED_VALUE"""),44575)</f>
        <v>44575</v>
      </c>
      <c r="BF422" s="141">
        <f ca="1">IFERROR(__xludf.DUMMYFUNCTION("""COMPUTED_VALUE"""),44756)</f>
        <v>44756</v>
      </c>
      <c r="BG422" s="141">
        <f ca="1">IFERROR(__xludf.DUMMYFUNCTION("""COMPUTED_VALUE"""),45305)</f>
        <v>45305</v>
      </c>
      <c r="BH422" s="40" t="str">
        <f ca="1">IFERROR(__xludf.DUMMYFUNCTION("""COMPUTED_VALUE"""),"FICHA EN TIEMPO-18 MESES")</f>
        <v>FICHA EN TIEMPO-18 MESES</v>
      </c>
      <c r="BI422" s="40" t="str">
        <f ca="1">IFERROR(__xludf.DUMMYFUNCTION("""COMPUTED_VALUE"""),"Terminada por fecha")</f>
        <v>Terminada por fecha</v>
      </c>
      <c r="BJ422" s="40" t="str">
        <f ca="1">IFERROR(__xludf.DUMMYFUNCTION("""COMPUTED_VALUE"""),"Yamboro")</f>
        <v>Yamboro</v>
      </c>
      <c r="BK422" s="40"/>
      <c r="BL422" s="40"/>
    </row>
    <row r="423" spans="1:64" ht="13">
      <c r="A423" s="40"/>
      <c r="B423" s="40" t="str">
        <f ca="1">IFERROR(__xludf.DUMMYFUNCTION("""COMPUTED_VALUE"""),"FORMACIÓN 18/10/2022")</f>
        <v>FORMACIÓN 18/10/2022</v>
      </c>
      <c r="C423" s="40" t="str">
        <f ca="1">IFERROR(__xludf.DUMMYFUNCTION("""COMPUTED_VALUE"""),"ANDRES FELIPE ORDOÑEZ BURBANO")</f>
        <v>ANDRES FELIPE ORDOÑEZ BURBANO</v>
      </c>
      <c r="D423" s="40" t="str">
        <f ca="1">IFERROR(__xludf.DUMMYFUNCTION("""COMPUTED_VALUE"""),"CC")</f>
        <v>CC</v>
      </c>
      <c r="E423" s="40">
        <f ca="1">IFERROR(__xludf.DUMMYFUNCTION("""COMPUTED_VALUE"""),1082777709)</f>
        <v>1082777709</v>
      </c>
      <c r="F423" s="40">
        <f ca="1">IFERROR(__xludf.DUMMYFUNCTION("""COMPUTED_VALUE"""),2280187)</f>
        <v>2280187</v>
      </c>
      <c r="G423" s="40" t="str">
        <f ca="1">IFERROR(__xludf.DUMMYFUNCTION("""COMPUTED_VALUE"""),"TÉCNICO")</f>
        <v>TÉCNICO</v>
      </c>
      <c r="H423" s="40" t="str">
        <f ca="1">IFERROR(__xludf.DUMMYFUNCTION("""COMPUTED_VALUE"""),"COCINA.")</f>
        <v>COCINA.</v>
      </c>
      <c r="I423" s="40"/>
      <c r="J423" s="40"/>
      <c r="K423" s="40"/>
      <c r="L423" s="40" t="str">
        <f ca="1">IFERROR(__xludf.DUMMYFUNCTION("""COMPUTED_VALUE"""),"PASANTÍAS ")</f>
        <v xml:space="preserve">PASANTÍAS </v>
      </c>
      <c r="M423" s="40" t="str">
        <f ca="1">IFERROR(__xludf.DUMMYFUNCTION("""COMPUTED_VALUE"""),"RESTAURANTE CASA GRANDE")</f>
        <v>RESTAURANTE CASA GRANDE</v>
      </c>
      <c r="N423" s="40" t="str">
        <f ca="1">IFERROR(__xludf.DUMMYFUNCTION("""COMPUTED_VALUE"""),"VDA EL TABLON")</f>
        <v>VDA EL TABLON</v>
      </c>
      <c r="O423" s="40">
        <f ca="1">IFERROR(__xludf.DUMMYFUNCTION("""COMPUTED_VALUE"""),3233921332)</f>
        <v>3233921332</v>
      </c>
      <c r="P423" s="40" t="str">
        <f ca="1">IFERROR(__xludf.DUMMYFUNCTION("""COMPUTED_VALUE"""),"SAN AGUSTIN")</f>
        <v>SAN AGUSTIN</v>
      </c>
      <c r="Q423" s="40" t="str">
        <f ca="1">IFERROR(__xludf.DUMMYFUNCTION("""COMPUTED_VALUE"""),"aldemark171@gmail.com")</f>
        <v>aldemark171@gmail.com</v>
      </c>
      <c r="R423" s="140">
        <f ca="1">IFERROR(__xludf.DUMMYFUNCTION("""COMPUTED_VALUE"""),44883)</f>
        <v>44883</v>
      </c>
      <c r="S423" s="140">
        <f ca="1">IFERROR(__xludf.DUMMYFUNCTION("""COMPUTED_VALUE"""),45063)</f>
        <v>45063</v>
      </c>
      <c r="T423" s="40"/>
      <c r="U423" s="40" t="str">
        <f ca="1">IFERROR(__xludf.DUMMYFUNCTION("""COMPUTED_VALUE"""),"Heyi Fernanda Vargas - Asignada")</f>
        <v>Heyi Fernanda Vargas - Asignada</v>
      </c>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t="str">
        <f ca="1">IFERROR(__xludf.DUMMYFUNCTION("""COMPUTED_VALUE"""),"Procede_E_P")</f>
        <v>Procede_E_P</v>
      </c>
      <c r="AV423" s="40" t="str">
        <f ca="1">IFERROR(__xludf.DUMMYFUNCTION("""COMPUTED_VALUE"""),"EN FORMACION")</f>
        <v>EN FORMACION</v>
      </c>
      <c r="AW423" s="40" t="str">
        <f ca="1">IFERROR(__xludf.DUMMYFUNCTION("""COMPUTED_VALUE"""),"TURISMO")</f>
        <v>TURISMO</v>
      </c>
      <c r="AX423" s="141">
        <f ca="1">IFERROR(__xludf.DUMMYFUNCTION("""COMPUTED_VALUE"""),0)</f>
        <v>0</v>
      </c>
      <c r="AY423" s="40">
        <f ca="1">IFERROR(__xludf.DUMMYFUNCTION("""COMPUTED_VALUE"""),0)</f>
        <v>0</v>
      </c>
      <c r="AZ423" s="40">
        <f ca="1">IFERROR(__xludf.DUMMYFUNCTION("""COMPUTED_VALUE"""),1)</f>
        <v>1</v>
      </c>
      <c r="BA423" s="40">
        <f ca="1">IFERROR(__xludf.DUMMYFUNCTION("""COMPUTED_VALUE"""),0)</f>
        <v>0</v>
      </c>
      <c r="BB423" s="40">
        <f ca="1">IFERROR(__xludf.DUMMYFUNCTION("""COMPUTED_VALUE"""),0)</f>
        <v>0</v>
      </c>
      <c r="BC423" s="40">
        <f ca="1">IFERROR(__xludf.DUMMYFUNCTION("""COMPUTED_VALUE"""),1)</f>
        <v>1</v>
      </c>
      <c r="BD423" s="141">
        <f ca="1">IFERROR(__xludf.DUMMYFUNCTION("""COMPUTED_VALUE"""),44301)</f>
        <v>44301</v>
      </c>
      <c r="BE423" s="141">
        <f ca="1">IFERROR(__xludf.DUMMYFUNCTION("""COMPUTED_VALUE"""),44575)</f>
        <v>44575</v>
      </c>
      <c r="BF423" s="141">
        <f ca="1">IFERROR(__xludf.DUMMYFUNCTION("""COMPUTED_VALUE"""),44756)</f>
        <v>44756</v>
      </c>
      <c r="BG423" s="141">
        <f ca="1">IFERROR(__xludf.DUMMYFUNCTION("""COMPUTED_VALUE"""),45305)</f>
        <v>45305</v>
      </c>
      <c r="BH423" s="40" t="str">
        <f ca="1">IFERROR(__xludf.DUMMYFUNCTION("""COMPUTED_VALUE"""),"FICHA EN TIEMPO-18 MESES")</f>
        <v>FICHA EN TIEMPO-18 MESES</v>
      </c>
      <c r="BI423" s="40" t="str">
        <f ca="1">IFERROR(__xludf.DUMMYFUNCTION("""COMPUTED_VALUE"""),"Terminada por fecha")</f>
        <v>Terminada por fecha</v>
      </c>
      <c r="BJ423" s="40" t="str">
        <f ca="1">IFERROR(__xludf.DUMMYFUNCTION("""COMPUTED_VALUE"""),"Yamboro")</f>
        <v>Yamboro</v>
      </c>
      <c r="BK423" s="40"/>
      <c r="BL423" s="40"/>
    </row>
    <row r="424" spans="1:64" ht="13">
      <c r="A424" s="40"/>
      <c r="B424" s="40" t="str">
        <f ca="1">IFERROR(__xludf.DUMMYFUNCTION("""COMPUTED_VALUE"""),"FORMACIÓN 18/10/2022")</f>
        <v>FORMACIÓN 18/10/2022</v>
      </c>
      <c r="C424" s="40" t="str">
        <f ca="1">IFERROR(__xludf.DUMMYFUNCTION("""COMPUTED_VALUE"""),"JOSE JULIAN VARGAS VARGAS
")</f>
        <v xml:space="preserve">JOSE JULIAN VARGAS VARGAS
</v>
      </c>
      <c r="D424" s="40" t="str">
        <f ca="1">IFERROR(__xludf.DUMMYFUNCTION("""COMPUTED_VALUE"""),"TI")</f>
        <v>TI</v>
      </c>
      <c r="E424" s="40">
        <f ca="1">IFERROR(__xludf.DUMMYFUNCTION("""COMPUTED_VALUE"""),1083868206)</f>
        <v>1083868206</v>
      </c>
      <c r="F424" s="40">
        <f ca="1">IFERROR(__xludf.DUMMYFUNCTION("""COMPUTED_VALUE"""),2280187)</f>
        <v>2280187</v>
      </c>
      <c r="G424" s="40" t="str">
        <f ca="1">IFERROR(__xludf.DUMMYFUNCTION("""COMPUTED_VALUE"""),"TÉCNICO")</f>
        <v>TÉCNICO</v>
      </c>
      <c r="H424" s="40" t="str">
        <f ca="1">IFERROR(__xludf.DUMMYFUNCTION("""COMPUTED_VALUE"""),"COCINA.")</f>
        <v>COCINA.</v>
      </c>
      <c r="I424" s="40">
        <f ca="1">IFERROR(__xludf.DUMMYFUNCTION("""COMPUTED_VALUE"""),3213157802)</f>
        <v>3213157802</v>
      </c>
      <c r="J424" s="40" t="str">
        <f ca="1">IFERROR(__xludf.DUMMYFUNCTION("""COMPUTED_VALUE"""),"jjvargas602@misena.edu.co")</f>
        <v>jjvargas602@misena.edu.co</v>
      </c>
      <c r="K424" s="40" t="str">
        <f ca="1">IFERROR(__xludf.DUMMYFUNCTION("""COMPUTED_VALUE"""),"PITALITO ")</f>
        <v xml:space="preserve">PITALITO </v>
      </c>
      <c r="L424" s="40" t="str">
        <f ca="1">IFERROR(__xludf.DUMMYFUNCTION("""COMPUTED_VALUE"""),"CONTRATO DE APRENDIZAJE")</f>
        <v>CONTRATO DE APRENDIZAJE</v>
      </c>
      <c r="M424" s="40" t="str">
        <f ca="1">IFERROR(__xludf.DUMMYFUNCTION("""COMPUTED_VALUE"""),"CONFENALCO TOLIMA ")</f>
        <v xml:space="preserve">CONFENALCO TOLIMA </v>
      </c>
      <c r="N424" s="40" t="str">
        <f ca="1">IFERROR(__xludf.DUMMYFUNCTION("""COMPUTED_VALUE"""),"CARRERA 5 CALLE 37 ESQUINA ")</f>
        <v xml:space="preserve">CARRERA 5 CALLE 37 ESQUINA </v>
      </c>
      <c r="O424" s="40">
        <f ca="1">IFERROR(__xludf.DUMMYFUNCTION("""COMPUTED_VALUE"""),2670088)</f>
        <v>2670088</v>
      </c>
      <c r="P424" s="40" t="str">
        <f ca="1">IFERROR(__xludf.DUMMYFUNCTION("""COMPUTED_VALUE"""),"TOLIMA ")</f>
        <v xml:space="preserve">TOLIMA </v>
      </c>
      <c r="Q424" s="40"/>
      <c r="R424" s="140">
        <f ca="1">IFERROR(__xludf.DUMMYFUNCTION("""COMPUTED_VALUE"""),44743)</f>
        <v>44743</v>
      </c>
      <c r="S424" s="140">
        <f ca="1">IFERROR(__xludf.DUMMYFUNCTION("""COMPUTED_VALUE"""),44926)</f>
        <v>44926</v>
      </c>
      <c r="T424" s="40"/>
      <c r="U424" s="40" t="str">
        <f ca="1">IFERROR(__xludf.DUMMYFUNCTION("""COMPUTED_VALUE"""),"Heyi Fernanda Vargas - Asignada")</f>
        <v>Heyi Fernanda Vargas - Asignada</v>
      </c>
      <c r="V424" s="40" t="str">
        <f ca="1">IFERROR(__xludf.DUMMYFUNCTION("""COMPUTED_VALUE"""),"NO tiene seguimiento 30/06/2022")</f>
        <v>NO tiene seguimiento 30/06/2022</v>
      </c>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t="str">
        <f ca="1">IFERROR(__xludf.DUMMYFUNCTION("""COMPUTED_VALUE"""),"Procede_E_P")</f>
        <v>Procede_E_P</v>
      </c>
      <c r="AV424" s="40" t="str">
        <f ca="1">IFERROR(__xludf.DUMMYFUNCTION("""COMPUTED_VALUE"""),"EN FORMACION")</f>
        <v>EN FORMACION</v>
      </c>
      <c r="AW424" s="40" t="str">
        <f ca="1">IFERROR(__xludf.DUMMYFUNCTION("""COMPUTED_VALUE"""),"TURISMO")</f>
        <v>TURISMO</v>
      </c>
      <c r="AX424" s="141">
        <f ca="1">IFERROR(__xludf.DUMMYFUNCTION("""COMPUTED_VALUE"""),0)</f>
        <v>0</v>
      </c>
      <c r="AY424" s="40">
        <f ca="1">IFERROR(__xludf.DUMMYFUNCTION("""COMPUTED_VALUE"""),0)</f>
        <v>0</v>
      </c>
      <c r="AZ424" s="40">
        <f ca="1">IFERROR(__xludf.DUMMYFUNCTION("""COMPUTED_VALUE"""),1)</f>
        <v>1</v>
      </c>
      <c r="BA424" s="40">
        <f ca="1">IFERROR(__xludf.DUMMYFUNCTION("""COMPUTED_VALUE"""),0)</f>
        <v>0</v>
      </c>
      <c r="BB424" s="40">
        <f ca="1">IFERROR(__xludf.DUMMYFUNCTION("""COMPUTED_VALUE"""),0)</f>
        <v>0</v>
      </c>
      <c r="BC424" s="40">
        <f ca="1">IFERROR(__xludf.DUMMYFUNCTION("""COMPUTED_VALUE"""),1)</f>
        <v>1</v>
      </c>
      <c r="BD424" s="141">
        <f ca="1">IFERROR(__xludf.DUMMYFUNCTION("""COMPUTED_VALUE"""),44301)</f>
        <v>44301</v>
      </c>
      <c r="BE424" s="141">
        <f ca="1">IFERROR(__xludf.DUMMYFUNCTION("""COMPUTED_VALUE"""),44575)</f>
        <v>44575</v>
      </c>
      <c r="BF424" s="141">
        <f ca="1">IFERROR(__xludf.DUMMYFUNCTION("""COMPUTED_VALUE"""),44756)</f>
        <v>44756</v>
      </c>
      <c r="BG424" s="141">
        <f ca="1">IFERROR(__xludf.DUMMYFUNCTION("""COMPUTED_VALUE"""),45305)</f>
        <v>45305</v>
      </c>
      <c r="BH424" s="40" t="str">
        <f ca="1">IFERROR(__xludf.DUMMYFUNCTION("""COMPUTED_VALUE"""),"FICHA EN TIEMPO-18 MESES")</f>
        <v>FICHA EN TIEMPO-18 MESES</v>
      </c>
      <c r="BI424" s="40" t="str">
        <f ca="1">IFERROR(__xludf.DUMMYFUNCTION("""COMPUTED_VALUE"""),"Terminada por fecha")</f>
        <v>Terminada por fecha</v>
      </c>
      <c r="BJ424" s="40" t="str">
        <f ca="1">IFERROR(__xludf.DUMMYFUNCTION("""COMPUTED_VALUE"""),"Yamboro")</f>
        <v>Yamboro</v>
      </c>
      <c r="BK424" s="40"/>
      <c r="BL424" s="40"/>
    </row>
    <row r="425" spans="1:64" ht="13">
      <c r="A425" s="40"/>
      <c r="B425" s="40" t="str">
        <f ca="1">IFERROR(__xludf.DUMMYFUNCTION("""COMPUTED_VALUE"""),"FORMACIÓN 18/10/2022")</f>
        <v>FORMACIÓN 18/10/2022</v>
      </c>
      <c r="C425" s="40" t="str">
        <f ca="1">IFERROR(__xludf.DUMMYFUNCTION("""COMPUTED_VALUE"""),"JHONATAN STIVEN LASERNA ANDRADE
")</f>
        <v xml:space="preserve">JHONATAN STIVEN LASERNA ANDRADE
</v>
      </c>
      <c r="D425" s="40" t="str">
        <f ca="1">IFERROR(__xludf.DUMMYFUNCTION("""COMPUTED_VALUE"""),"TI")</f>
        <v>TI</v>
      </c>
      <c r="E425" s="40">
        <f ca="1">IFERROR(__xludf.DUMMYFUNCTION("""COMPUTED_VALUE"""),1117232018)</f>
        <v>1117232018</v>
      </c>
      <c r="F425" s="40">
        <f ca="1">IFERROR(__xludf.DUMMYFUNCTION("""COMPUTED_VALUE"""),2280187)</f>
        <v>2280187</v>
      </c>
      <c r="G425" s="40" t="str">
        <f ca="1">IFERROR(__xludf.DUMMYFUNCTION("""COMPUTED_VALUE"""),"TÉCNICO")</f>
        <v>TÉCNICO</v>
      </c>
      <c r="H425" s="40" t="str">
        <f ca="1">IFERROR(__xludf.DUMMYFUNCTION("""COMPUTED_VALUE"""),"COCINA.")</f>
        <v>COCINA.</v>
      </c>
      <c r="I425" s="40"/>
      <c r="J425" s="40"/>
      <c r="K425" s="40"/>
      <c r="L425" s="40" t="str">
        <f ca="1">IFERROR(__xludf.DUMMYFUNCTION("""COMPUTED_VALUE"""),"PASANTÍAS ")</f>
        <v xml:space="preserve">PASANTÍAS </v>
      </c>
      <c r="M425" s="40" t="str">
        <f ca="1">IFERROR(__xludf.DUMMYFUNCTION("""COMPUTED_VALUE"""),"VALHALLA COFEE")</f>
        <v>VALHALLA COFEE</v>
      </c>
      <c r="N425" s="40" t="str">
        <f ca="1">IFERROR(__xludf.DUMMYFUNCTION("""COMPUTED_VALUE"""),"PITALITO")</f>
        <v>PITALITO</v>
      </c>
      <c r="O425" s="40">
        <f ca="1">IFERROR(__xludf.DUMMYFUNCTION("""COMPUTED_VALUE"""),3112159629)</f>
        <v>3112159629</v>
      </c>
      <c r="P425" s="40" t="str">
        <f ca="1">IFERROR(__xludf.DUMMYFUNCTION("""COMPUTED_VALUE"""),"PITALITO")</f>
        <v>PITALITO</v>
      </c>
      <c r="Q425" s="40" t="str">
        <f ca="1">IFERROR(__xludf.DUMMYFUNCTION("""COMPUTED_VALUE"""),"arangojhonflorez@hotmail.com")</f>
        <v>arangojhonflorez@hotmail.com</v>
      </c>
      <c r="R425" s="140">
        <f ca="1">IFERROR(__xludf.DUMMYFUNCTION("""COMPUTED_VALUE"""),44839)</f>
        <v>44839</v>
      </c>
      <c r="S425" s="140">
        <f ca="1">IFERROR(__xludf.DUMMYFUNCTION("""COMPUTED_VALUE"""),45020)</f>
        <v>45020</v>
      </c>
      <c r="T425" s="40"/>
      <c r="U425" s="40" t="str">
        <f ca="1">IFERROR(__xludf.DUMMYFUNCTION("""COMPUTED_VALUE"""),"Heyi Fernanda Vargas - Asignada")</f>
        <v>Heyi Fernanda Vargas - Asignada</v>
      </c>
      <c r="V425" s="40" t="str">
        <f ca="1">IFERROR(__xludf.DUMMYFUNCTION("""COMPUTED_VALUE"""),"NO tiene seguimiento 06/10/2022")</f>
        <v>NO tiene seguimiento 06/10/2022</v>
      </c>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t="str">
        <f ca="1">IFERROR(__xludf.DUMMYFUNCTION("""COMPUTED_VALUE"""),"Procede_E_P")</f>
        <v>Procede_E_P</v>
      </c>
      <c r="AV425" s="40" t="str">
        <f ca="1">IFERROR(__xludf.DUMMYFUNCTION("""COMPUTED_VALUE"""),"EN FORMACION")</f>
        <v>EN FORMACION</v>
      </c>
      <c r="AW425" s="40" t="str">
        <f ca="1">IFERROR(__xludf.DUMMYFUNCTION("""COMPUTED_VALUE"""),"TURISMO")</f>
        <v>TURISMO</v>
      </c>
      <c r="AX425" s="141">
        <f ca="1">IFERROR(__xludf.DUMMYFUNCTION("""COMPUTED_VALUE"""),0)</f>
        <v>0</v>
      </c>
      <c r="AY425" s="40">
        <f ca="1">IFERROR(__xludf.DUMMYFUNCTION("""COMPUTED_VALUE"""),0)</f>
        <v>0</v>
      </c>
      <c r="AZ425" s="40">
        <f ca="1">IFERROR(__xludf.DUMMYFUNCTION("""COMPUTED_VALUE"""),1)</f>
        <v>1</v>
      </c>
      <c r="BA425" s="40">
        <f ca="1">IFERROR(__xludf.DUMMYFUNCTION("""COMPUTED_VALUE"""),0)</f>
        <v>0</v>
      </c>
      <c r="BB425" s="40">
        <f ca="1">IFERROR(__xludf.DUMMYFUNCTION("""COMPUTED_VALUE"""),0)</f>
        <v>0</v>
      </c>
      <c r="BC425" s="40">
        <f ca="1">IFERROR(__xludf.DUMMYFUNCTION("""COMPUTED_VALUE"""),1)</f>
        <v>1</v>
      </c>
      <c r="BD425" s="141">
        <f ca="1">IFERROR(__xludf.DUMMYFUNCTION("""COMPUTED_VALUE"""),44301)</f>
        <v>44301</v>
      </c>
      <c r="BE425" s="141">
        <f ca="1">IFERROR(__xludf.DUMMYFUNCTION("""COMPUTED_VALUE"""),44575)</f>
        <v>44575</v>
      </c>
      <c r="BF425" s="141">
        <f ca="1">IFERROR(__xludf.DUMMYFUNCTION("""COMPUTED_VALUE"""),44756)</f>
        <v>44756</v>
      </c>
      <c r="BG425" s="141">
        <f ca="1">IFERROR(__xludf.DUMMYFUNCTION("""COMPUTED_VALUE"""),45305)</f>
        <v>45305</v>
      </c>
      <c r="BH425" s="40" t="str">
        <f ca="1">IFERROR(__xludf.DUMMYFUNCTION("""COMPUTED_VALUE"""),"FICHA EN TIEMPO-18 MESES")</f>
        <v>FICHA EN TIEMPO-18 MESES</v>
      </c>
      <c r="BI425" s="40" t="str">
        <f ca="1">IFERROR(__xludf.DUMMYFUNCTION("""COMPUTED_VALUE"""),"Terminada por fecha")</f>
        <v>Terminada por fecha</v>
      </c>
      <c r="BJ425" s="40" t="str">
        <f ca="1">IFERROR(__xludf.DUMMYFUNCTION("""COMPUTED_VALUE"""),"Yamboro")</f>
        <v>Yamboro</v>
      </c>
      <c r="BK425" s="40"/>
      <c r="BL425" s="40"/>
    </row>
    <row r="426" spans="1:64" ht="13">
      <c r="A426" s="40"/>
      <c r="B426" s="40" t="str">
        <f ca="1">IFERROR(__xludf.DUMMYFUNCTION("""COMPUTED_VALUE"""),"FORMACIÓN 18/10/2022")</f>
        <v>FORMACIÓN 18/10/2022</v>
      </c>
      <c r="C426" s="40" t="str">
        <f ca="1">IFERROR(__xludf.DUMMYFUNCTION("""COMPUTED_VALUE"""),"ANDREA FERNANDA CABEZAS ANTURY")</f>
        <v>ANDREA FERNANDA CABEZAS ANTURY</v>
      </c>
      <c r="D426" s="40" t="str">
        <f ca="1">IFERROR(__xludf.DUMMYFUNCTION("""COMPUTED_VALUE"""),"TI")</f>
        <v>TI</v>
      </c>
      <c r="E426" s="40">
        <f ca="1">IFERROR(__xludf.DUMMYFUNCTION("""COMPUTED_VALUE"""),1084330297)</f>
        <v>1084330297</v>
      </c>
      <c r="F426" s="40">
        <f ca="1">IFERROR(__xludf.DUMMYFUNCTION("""COMPUTED_VALUE"""),2280187)</f>
        <v>2280187</v>
      </c>
      <c r="G426" s="40" t="str">
        <f ca="1">IFERROR(__xludf.DUMMYFUNCTION("""COMPUTED_VALUE"""),"TÉCNICO")</f>
        <v>TÉCNICO</v>
      </c>
      <c r="H426" s="40" t="str">
        <f ca="1">IFERROR(__xludf.DUMMYFUNCTION("""COMPUTED_VALUE"""),"COCINA.")</f>
        <v>COCINA.</v>
      </c>
      <c r="I426" s="40"/>
      <c r="J426" s="40"/>
      <c r="K426" s="40"/>
      <c r="L426" s="40" t="str">
        <f ca="1">IFERROR(__xludf.DUMMYFUNCTION("""COMPUTED_VALUE"""),"NO HA INICIADO ETAPA PRODUCTIVA")</f>
        <v>NO HA INICIADO ETAPA PRODUCTIVA</v>
      </c>
      <c r="M426" s="40"/>
      <c r="N426" s="40"/>
      <c r="O426" s="40"/>
      <c r="P426" s="40"/>
      <c r="Q426" s="40"/>
      <c r="R426" s="140"/>
      <c r="S426" s="1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t="str">
        <f ca="1">IFERROR(__xludf.DUMMYFUNCTION("""COMPUTED_VALUE"""),"Procede_E_P")</f>
        <v>Procede_E_P</v>
      </c>
      <c r="AV426" s="40" t="str">
        <f ca="1">IFERROR(__xludf.DUMMYFUNCTION("""COMPUTED_VALUE"""),"EN FORMACION")</f>
        <v>EN FORMACION</v>
      </c>
      <c r="AW426" s="40" t="str">
        <f ca="1">IFERROR(__xludf.DUMMYFUNCTION("""COMPUTED_VALUE"""),"TURISMO")</f>
        <v>TURISMO</v>
      </c>
      <c r="AX426" s="141">
        <f ca="1">IFERROR(__xludf.DUMMYFUNCTION("""COMPUTED_VALUE"""),0)</f>
        <v>0</v>
      </c>
      <c r="AY426" s="40">
        <f ca="1">IFERROR(__xludf.DUMMYFUNCTION("""COMPUTED_VALUE"""),0)</f>
        <v>0</v>
      </c>
      <c r="AZ426" s="40">
        <f ca="1">IFERROR(__xludf.DUMMYFUNCTION("""COMPUTED_VALUE"""),1)</f>
        <v>1</v>
      </c>
      <c r="BA426" s="40">
        <f ca="1">IFERROR(__xludf.DUMMYFUNCTION("""COMPUTED_VALUE"""),0)</f>
        <v>0</v>
      </c>
      <c r="BB426" s="40">
        <f ca="1">IFERROR(__xludf.DUMMYFUNCTION("""COMPUTED_VALUE"""),0)</f>
        <v>0</v>
      </c>
      <c r="BC426" s="40">
        <f ca="1">IFERROR(__xludf.DUMMYFUNCTION("""COMPUTED_VALUE"""),1)</f>
        <v>1</v>
      </c>
      <c r="BD426" s="141">
        <f ca="1">IFERROR(__xludf.DUMMYFUNCTION("""COMPUTED_VALUE"""),44301)</f>
        <v>44301</v>
      </c>
      <c r="BE426" s="141">
        <f ca="1">IFERROR(__xludf.DUMMYFUNCTION("""COMPUTED_VALUE"""),44575)</f>
        <v>44575</v>
      </c>
      <c r="BF426" s="141">
        <f ca="1">IFERROR(__xludf.DUMMYFUNCTION("""COMPUTED_VALUE"""),44756)</f>
        <v>44756</v>
      </c>
      <c r="BG426" s="141">
        <f ca="1">IFERROR(__xludf.DUMMYFUNCTION("""COMPUTED_VALUE"""),45305)</f>
        <v>45305</v>
      </c>
      <c r="BH426" s="40" t="str">
        <f ca="1">IFERROR(__xludf.DUMMYFUNCTION("""COMPUTED_VALUE"""),"FICHA EN TIEMPO-18 MESES")</f>
        <v>FICHA EN TIEMPO-18 MESES</v>
      </c>
      <c r="BI426" s="40" t="str">
        <f ca="1">IFERROR(__xludf.DUMMYFUNCTION("""COMPUTED_VALUE"""),"Terminada por fecha")</f>
        <v>Terminada por fecha</v>
      </c>
      <c r="BJ426" s="40" t="str">
        <f ca="1">IFERROR(__xludf.DUMMYFUNCTION("""COMPUTED_VALUE"""),"Yamboro")</f>
        <v>Yamboro</v>
      </c>
      <c r="BK426" s="40"/>
      <c r="BL426" s="40"/>
    </row>
    <row r="427" spans="1:64" ht="13">
      <c r="A427" s="40"/>
      <c r="B427" s="40" t="str">
        <f ca="1">IFERROR(__xludf.DUMMYFUNCTION("""COMPUTED_VALUE"""),"FORMACIÓN 18/10/2022")</f>
        <v>FORMACIÓN 18/10/2022</v>
      </c>
      <c r="C427" s="40" t="str">
        <f ca="1">IFERROR(__xludf.DUMMYFUNCTION("""COMPUTED_VALUE"""),"DIANA PATRICIA GONZALEZ PRIETO
")</f>
        <v xml:space="preserve">DIANA PATRICIA GONZALEZ PRIETO
</v>
      </c>
      <c r="D427" s="40" t="str">
        <f ca="1">IFERROR(__xludf.DUMMYFUNCTION("""COMPUTED_VALUE"""),"CC")</f>
        <v>CC</v>
      </c>
      <c r="E427" s="40">
        <f ca="1">IFERROR(__xludf.DUMMYFUNCTION("""COMPUTED_VALUE"""),36297102)</f>
        <v>36297102</v>
      </c>
      <c r="F427" s="40">
        <f ca="1">IFERROR(__xludf.DUMMYFUNCTION("""COMPUTED_VALUE"""),2280187)</f>
        <v>2280187</v>
      </c>
      <c r="G427" s="40" t="str">
        <f ca="1">IFERROR(__xludf.DUMMYFUNCTION("""COMPUTED_VALUE"""),"TÉCNICO")</f>
        <v>TÉCNICO</v>
      </c>
      <c r="H427" s="40" t="str">
        <f ca="1">IFERROR(__xludf.DUMMYFUNCTION("""COMPUTED_VALUE"""),"COCINA.")</f>
        <v>COCINA.</v>
      </c>
      <c r="I427" s="40">
        <f ca="1">IFERROR(__xludf.DUMMYFUNCTION("""COMPUTED_VALUE"""),3138541528)</f>
        <v>3138541528</v>
      </c>
      <c r="J427" s="40" t="str">
        <f ca="1">IFERROR(__xludf.DUMMYFUNCTION("""COMPUTED_VALUE"""),"dianapgp12@gmail.com")</f>
        <v>dianapgp12@gmail.com</v>
      </c>
      <c r="K427" s="40" t="str">
        <f ca="1">IFERROR(__xludf.DUMMYFUNCTION("""COMPUTED_VALUE""")," PITALITO")</f>
        <v xml:space="preserve"> PITALITO</v>
      </c>
      <c r="L427" s="40" t="str">
        <f ca="1">IFERROR(__xludf.DUMMYFUNCTION("""COMPUTED_VALUE"""),"CONTRATO DE APRENDIZAJE")</f>
        <v>CONTRATO DE APRENDIZAJE</v>
      </c>
      <c r="M427" s="40" t="str">
        <f ca="1">IFERROR(__xludf.DUMMYFUNCTION("""COMPUTED_VALUE"""),"SERVICIO NACIONAL DE APRENDIZAJE, SENA")</f>
        <v>SERVICIO NACIONAL DE APRENDIZAJE, SENA</v>
      </c>
      <c r="N427" s="40" t="str">
        <f ca="1">IFERROR(__xludf.DUMMYFUNCTION("""COMPUTED_VALUE"""),"km 6 autopista floridablanca #50-33")</f>
        <v>km 6 autopista floridablanca #50-33</v>
      </c>
      <c r="O427" s="40">
        <f ca="1">IFERROR(__xludf.DUMMYFUNCTION("""COMPUTED_VALUE"""),3115696128)</f>
        <v>3115696128</v>
      </c>
      <c r="P427" s="40" t="str">
        <f ca="1">IFERROR(__xludf.DUMMYFUNCTION("""COMPUTED_VALUE"""),"BOGOTA D.C.")</f>
        <v>BOGOTA D.C.</v>
      </c>
      <c r="Q427" s="40" t="str">
        <f ca="1">IFERROR(__xludf.DUMMYFUNCTION("""COMPUTED_VALUE""")," etovarq@sena.edu.co")</f>
        <v xml:space="preserve"> etovarq@sena.edu.co</v>
      </c>
      <c r="R427" s="140">
        <f ca="1">IFERROR(__xludf.DUMMYFUNCTION("""COMPUTED_VALUE"""),44852)</f>
        <v>44852</v>
      </c>
      <c r="S427" s="140">
        <f ca="1">IFERROR(__xludf.DUMMYFUNCTION("""COMPUTED_VALUE"""),45046)</f>
        <v>45046</v>
      </c>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t="str">
        <f ca="1">IFERROR(__xludf.DUMMYFUNCTION("""COMPUTED_VALUE"""),"Procede_E_P")</f>
        <v>Procede_E_P</v>
      </c>
      <c r="AV427" s="40" t="str">
        <f ca="1">IFERROR(__xludf.DUMMYFUNCTION("""COMPUTED_VALUE"""),"EN FORMACION")</f>
        <v>EN FORMACION</v>
      </c>
      <c r="AW427" s="40" t="str">
        <f ca="1">IFERROR(__xludf.DUMMYFUNCTION("""COMPUTED_VALUE"""),"TURISMO")</f>
        <v>TURISMO</v>
      </c>
      <c r="AX427" s="141">
        <f ca="1">IFERROR(__xludf.DUMMYFUNCTION("""COMPUTED_VALUE"""),0)</f>
        <v>0</v>
      </c>
      <c r="AY427" s="40">
        <f ca="1">IFERROR(__xludf.DUMMYFUNCTION("""COMPUTED_VALUE"""),0)</f>
        <v>0</v>
      </c>
      <c r="AZ427" s="40">
        <f ca="1">IFERROR(__xludf.DUMMYFUNCTION("""COMPUTED_VALUE"""),1)</f>
        <v>1</v>
      </c>
      <c r="BA427" s="40">
        <f ca="1">IFERROR(__xludf.DUMMYFUNCTION("""COMPUTED_VALUE"""),0)</f>
        <v>0</v>
      </c>
      <c r="BB427" s="40">
        <f ca="1">IFERROR(__xludf.DUMMYFUNCTION("""COMPUTED_VALUE"""),0)</f>
        <v>0</v>
      </c>
      <c r="BC427" s="40">
        <f ca="1">IFERROR(__xludf.DUMMYFUNCTION("""COMPUTED_VALUE"""),1)</f>
        <v>1</v>
      </c>
      <c r="BD427" s="141">
        <f ca="1">IFERROR(__xludf.DUMMYFUNCTION("""COMPUTED_VALUE"""),44301)</f>
        <v>44301</v>
      </c>
      <c r="BE427" s="141">
        <f ca="1">IFERROR(__xludf.DUMMYFUNCTION("""COMPUTED_VALUE"""),44575)</f>
        <v>44575</v>
      </c>
      <c r="BF427" s="141">
        <f ca="1">IFERROR(__xludf.DUMMYFUNCTION("""COMPUTED_VALUE"""),44756)</f>
        <v>44756</v>
      </c>
      <c r="BG427" s="141">
        <f ca="1">IFERROR(__xludf.DUMMYFUNCTION("""COMPUTED_VALUE"""),45305)</f>
        <v>45305</v>
      </c>
      <c r="BH427" s="40" t="str">
        <f ca="1">IFERROR(__xludf.DUMMYFUNCTION("""COMPUTED_VALUE"""),"FICHA EN TIEMPO-18 MESES")</f>
        <v>FICHA EN TIEMPO-18 MESES</v>
      </c>
      <c r="BI427" s="40" t="str">
        <f ca="1">IFERROR(__xludf.DUMMYFUNCTION("""COMPUTED_VALUE"""),"Terminada por fecha")</f>
        <v>Terminada por fecha</v>
      </c>
      <c r="BJ427" s="40" t="str">
        <f ca="1">IFERROR(__xludf.DUMMYFUNCTION("""COMPUTED_VALUE"""),"Yamboro")</f>
        <v>Yamboro</v>
      </c>
      <c r="BK427" s="40"/>
      <c r="BL427" s="40"/>
    </row>
    <row r="428" spans="1:64" ht="13">
      <c r="A428" s="40"/>
      <c r="B428" s="40" t="str">
        <f ca="1">IFERROR(__xludf.DUMMYFUNCTION("""COMPUTED_VALUE"""),"FORMACIÓN 18/10/2022")</f>
        <v>FORMACIÓN 18/10/2022</v>
      </c>
      <c r="C428" s="40" t="str">
        <f ca="1">IFERROR(__xludf.DUMMYFUNCTION("""COMPUTED_VALUE"""),"ANDERSON SAMBONI ROJAS")</f>
        <v>ANDERSON SAMBONI ROJAS</v>
      </c>
      <c r="D428" s="40" t="str">
        <f ca="1">IFERROR(__xludf.DUMMYFUNCTION("""COMPUTED_VALUE"""),"CC")</f>
        <v>CC</v>
      </c>
      <c r="E428" s="40">
        <f ca="1">IFERROR(__xludf.DUMMYFUNCTION("""COMPUTED_VALUE"""),1004419452)</f>
        <v>1004419452</v>
      </c>
      <c r="F428" s="40">
        <f ca="1">IFERROR(__xludf.DUMMYFUNCTION("""COMPUTED_VALUE"""),2380837)</f>
        <v>2380837</v>
      </c>
      <c r="G428" s="40" t="str">
        <f ca="1">IFERROR(__xludf.DUMMYFUNCTION("""COMPUTED_VALUE"""),"TÉCNICO")</f>
        <v>TÉCNICO</v>
      </c>
      <c r="H428" s="40" t="str">
        <f ca="1">IFERROR(__xludf.DUMMYFUNCTION("""COMPUTED_VALUE"""),"COCINA.")</f>
        <v>COCINA.</v>
      </c>
      <c r="I428" s="40"/>
      <c r="J428" s="40"/>
      <c r="K428" s="40"/>
      <c r="L428" s="40" t="str">
        <f ca="1">IFERROR(__xludf.DUMMYFUNCTION("""COMPUTED_VALUE"""),"NO HA INICIADO ETAPA PRODUCTIVA")</f>
        <v>NO HA INICIADO ETAPA PRODUCTIVA</v>
      </c>
      <c r="M428" s="40"/>
      <c r="N428" s="40"/>
      <c r="O428" s="40"/>
      <c r="P428" s="40"/>
      <c r="Q428" s="40"/>
      <c r="R428" s="140"/>
      <c r="S428" s="1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t="str">
        <f ca="1">IFERROR(__xludf.DUMMYFUNCTION("""COMPUTED_VALUE"""),"Procede_E_P")</f>
        <v>Procede_E_P</v>
      </c>
      <c r="AV428" s="40" t="str">
        <f ca="1">IFERROR(__xludf.DUMMYFUNCTION("""COMPUTED_VALUE"""),"EN FORMACION")</f>
        <v>EN FORMACION</v>
      </c>
      <c r="AW428" s="40" t="str">
        <f ca="1">IFERROR(__xludf.DUMMYFUNCTION("""COMPUTED_VALUE"""),"TURISMO")</f>
        <v>TURISMO</v>
      </c>
      <c r="AX428" s="141">
        <f ca="1">IFERROR(__xludf.DUMMYFUNCTION("""COMPUTED_VALUE"""),0)</f>
        <v>0</v>
      </c>
      <c r="AY428" s="40">
        <f ca="1">IFERROR(__xludf.DUMMYFUNCTION("""COMPUTED_VALUE"""),0)</f>
        <v>0</v>
      </c>
      <c r="AZ428" s="40">
        <f ca="1">IFERROR(__xludf.DUMMYFUNCTION("""COMPUTED_VALUE"""),1)</f>
        <v>1</v>
      </c>
      <c r="BA428" s="40">
        <f ca="1">IFERROR(__xludf.DUMMYFUNCTION("""COMPUTED_VALUE"""),0)</f>
        <v>0</v>
      </c>
      <c r="BB428" s="40">
        <f ca="1">IFERROR(__xludf.DUMMYFUNCTION("""COMPUTED_VALUE"""),0)</f>
        <v>0</v>
      </c>
      <c r="BC428" s="40">
        <f ca="1">IFERROR(__xludf.DUMMYFUNCTION("""COMPUTED_VALUE"""),1)</f>
        <v>1</v>
      </c>
      <c r="BD428" s="141">
        <f ca="1">IFERROR(__xludf.DUMMYFUNCTION("""COMPUTED_VALUE"""),44445)</f>
        <v>44445</v>
      </c>
      <c r="BE428" s="141">
        <f ca="1">IFERROR(__xludf.DUMMYFUNCTION("""COMPUTED_VALUE"""),44717)</f>
        <v>44717</v>
      </c>
      <c r="BF428" s="141">
        <f ca="1">IFERROR(__xludf.DUMMYFUNCTION("""COMPUTED_VALUE"""),44900)</f>
        <v>44900</v>
      </c>
      <c r="BG428" s="141">
        <f ca="1">IFERROR(__xludf.DUMMYFUNCTION("""COMPUTED_VALUE"""),45448)</f>
        <v>45448</v>
      </c>
      <c r="BH428" s="40" t="str">
        <f ca="1">IFERROR(__xludf.DUMMYFUNCTION("""COMPUTED_VALUE"""),"FICHA EN TIEMPO-18 MESES")</f>
        <v>FICHA EN TIEMPO-18 MESES</v>
      </c>
      <c r="BI428" s="40" t="str">
        <f ca="1">IFERROR(__xludf.DUMMYFUNCTION("""COMPUTED_VALUE"""),"En ejecucion")</f>
        <v>En ejecucion</v>
      </c>
      <c r="BJ428" s="40" t="str">
        <f ca="1">IFERROR(__xludf.DUMMYFUNCTION("""COMPUTED_VALUE"""),"Yamboro")</f>
        <v>Yamboro</v>
      </c>
      <c r="BK428" s="40"/>
      <c r="BL428" s="40"/>
    </row>
    <row r="429" spans="1:64" ht="13">
      <c r="A429" s="40"/>
      <c r="B429" s="40" t="str">
        <f ca="1">IFERROR(__xludf.DUMMYFUNCTION("""COMPUTED_VALUE"""),"FORMACIÓN 18/10/2022")</f>
        <v>FORMACIÓN 18/10/2022</v>
      </c>
      <c r="C429" s="40" t="str">
        <f ca="1">IFERROR(__xludf.DUMMYFUNCTION("""COMPUTED_VALUE"""),"MARCELA MOLINA SCARPETTA")</f>
        <v>MARCELA MOLINA SCARPETTA</v>
      </c>
      <c r="D429" s="40" t="str">
        <f ca="1">IFERROR(__xludf.DUMMYFUNCTION("""COMPUTED_VALUE"""),"CC")</f>
        <v>CC</v>
      </c>
      <c r="E429" s="40">
        <f ca="1">IFERROR(__xludf.DUMMYFUNCTION("""COMPUTED_VALUE"""),1084901514)</f>
        <v>1084901514</v>
      </c>
      <c r="F429" s="40">
        <f ca="1">IFERROR(__xludf.DUMMYFUNCTION("""COMPUTED_VALUE"""),2380837)</f>
        <v>2380837</v>
      </c>
      <c r="G429" s="40" t="str">
        <f ca="1">IFERROR(__xludf.DUMMYFUNCTION("""COMPUTED_VALUE"""),"TÉCNICO")</f>
        <v>TÉCNICO</v>
      </c>
      <c r="H429" s="40" t="str">
        <f ca="1">IFERROR(__xludf.DUMMYFUNCTION("""COMPUTED_VALUE"""),"COCINA.")</f>
        <v>COCINA.</v>
      </c>
      <c r="I429" s="40">
        <f ca="1">IFERROR(__xludf.DUMMYFUNCTION("""COMPUTED_VALUE"""),3107529799)</f>
        <v>3107529799</v>
      </c>
      <c r="J429" s="40" t="str">
        <f ca="1">IFERROR(__xludf.DUMMYFUNCTION("""COMPUTED_VALUE"""),"molinascarpetta13@gmail.com")</f>
        <v>molinascarpetta13@gmail.com</v>
      </c>
      <c r="K429" s="40" t="str">
        <f ca="1">IFERROR(__xludf.DUMMYFUNCTION("""COMPUTED_VALUE"""),"PITALITO")</f>
        <v>PITALITO</v>
      </c>
      <c r="L429" s="40" t="str">
        <f ca="1">IFERROR(__xludf.DUMMYFUNCTION("""COMPUTED_VALUE"""),"CONTRATO DE APRENDIZAJE")</f>
        <v>CONTRATO DE APRENDIZAJE</v>
      </c>
      <c r="M429" s="40" t="str">
        <f ca="1">IFERROR(__xludf.DUMMYFUNCTION("""COMPUTED_VALUE"""),"SERVICIO NACIONAL DE APRENDIZAJE, SENA")</f>
        <v>SERVICIO NACIONAL DE APRENDIZAJE, SENA</v>
      </c>
      <c r="N429" s="40" t="str">
        <f ca="1">IFERROR(__xludf.DUMMYFUNCTION("""COMPUTED_VALUE"""),"km 6 autopista floridablanca #50-33")</f>
        <v>km 6 autopista floridablanca #50-33</v>
      </c>
      <c r="O429" s="40">
        <f ca="1">IFERROR(__xludf.DUMMYFUNCTION("""COMPUTED_VALUE"""),3115696128)</f>
        <v>3115696128</v>
      </c>
      <c r="P429" s="40" t="str">
        <f ca="1">IFERROR(__xludf.DUMMYFUNCTION("""COMPUTED_VALUE""")," BOGOTA D.C.")</f>
        <v xml:space="preserve"> BOGOTA D.C.</v>
      </c>
      <c r="Q429" s="40" t="str">
        <f ca="1">IFERROR(__xludf.DUMMYFUNCTION("""COMPUTED_VALUE"""),"etovarq@sena.edu.co")</f>
        <v>etovarq@sena.edu.co</v>
      </c>
      <c r="R429" s="140">
        <f ca="1">IFERROR(__xludf.DUMMYFUNCTION("""COMPUTED_VALUE"""),44852)</f>
        <v>44852</v>
      </c>
      <c r="S429" s="140">
        <f ca="1">IFERROR(__xludf.DUMMYFUNCTION("""COMPUTED_VALUE"""),45046)</f>
        <v>45046</v>
      </c>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t="str">
        <f ca="1">IFERROR(__xludf.DUMMYFUNCTION("""COMPUTED_VALUE"""),"Procede_E_P")</f>
        <v>Procede_E_P</v>
      </c>
      <c r="AV429" s="40" t="str">
        <f ca="1">IFERROR(__xludf.DUMMYFUNCTION("""COMPUTED_VALUE"""),"EN FORMACION")</f>
        <v>EN FORMACION</v>
      </c>
      <c r="AW429" s="40" t="str">
        <f ca="1">IFERROR(__xludf.DUMMYFUNCTION("""COMPUTED_VALUE"""),"TURISMO")</f>
        <v>TURISMO</v>
      </c>
      <c r="AX429" s="141">
        <f ca="1">IFERROR(__xludf.DUMMYFUNCTION("""COMPUTED_VALUE"""),0)</f>
        <v>0</v>
      </c>
      <c r="AY429" s="40">
        <f ca="1">IFERROR(__xludf.DUMMYFUNCTION("""COMPUTED_VALUE"""),0)</f>
        <v>0</v>
      </c>
      <c r="AZ429" s="40">
        <f ca="1">IFERROR(__xludf.DUMMYFUNCTION("""COMPUTED_VALUE"""),1)</f>
        <v>1</v>
      </c>
      <c r="BA429" s="40">
        <f ca="1">IFERROR(__xludf.DUMMYFUNCTION("""COMPUTED_VALUE"""),0)</f>
        <v>0</v>
      </c>
      <c r="BB429" s="40">
        <f ca="1">IFERROR(__xludf.DUMMYFUNCTION("""COMPUTED_VALUE"""),0)</f>
        <v>0</v>
      </c>
      <c r="BC429" s="40">
        <f ca="1">IFERROR(__xludf.DUMMYFUNCTION("""COMPUTED_VALUE"""),1)</f>
        <v>1</v>
      </c>
      <c r="BD429" s="141">
        <f ca="1">IFERROR(__xludf.DUMMYFUNCTION("""COMPUTED_VALUE"""),44445)</f>
        <v>44445</v>
      </c>
      <c r="BE429" s="141">
        <f ca="1">IFERROR(__xludf.DUMMYFUNCTION("""COMPUTED_VALUE"""),44717)</f>
        <v>44717</v>
      </c>
      <c r="BF429" s="141">
        <f ca="1">IFERROR(__xludf.DUMMYFUNCTION("""COMPUTED_VALUE"""),44900)</f>
        <v>44900</v>
      </c>
      <c r="BG429" s="141">
        <f ca="1">IFERROR(__xludf.DUMMYFUNCTION("""COMPUTED_VALUE"""),45448)</f>
        <v>45448</v>
      </c>
      <c r="BH429" s="40" t="str">
        <f ca="1">IFERROR(__xludf.DUMMYFUNCTION("""COMPUTED_VALUE"""),"FICHA EN TIEMPO-18 MESES")</f>
        <v>FICHA EN TIEMPO-18 MESES</v>
      </c>
      <c r="BI429" s="40" t="str">
        <f ca="1">IFERROR(__xludf.DUMMYFUNCTION("""COMPUTED_VALUE"""),"En ejecucion")</f>
        <v>En ejecucion</v>
      </c>
      <c r="BJ429" s="40" t="str">
        <f ca="1">IFERROR(__xludf.DUMMYFUNCTION("""COMPUTED_VALUE"""),"Yamboro")</f>
        <v>Yamboro</v>
      </c>
      <c r="BK429" s="40"/>
      <c r="BL429" s="40"/>
    </row>
    <row r="430" spans="1:64" ht="13">
      <c r="A430" s="40"/>
      <c r="B430" s="40" t="str">
        <f ca="1">IFERROR(__xludf.DUMMYFUNCTION("""COMPUTED_VALUE"""),"FORMACIÓN 18/10/2022")</f>
        <v>FORMACIÓN 18/10/2022</v>
      </c>
      <c r="C430" s="40" t="str">
        <f ca="1">IFERROR(__xludf.DUMMYFUNCTION("""COMPUTED_VALUE"""),"JUAN CARLOS LOPEZ CALDERON")</f>
        <v>JUAN CARLOS LOPEZ CALDERON</v>
      </c>
      <c r="D430" s="40" t="str">
        <f ca="1">IFERROR(__xludf.DUMMYFUNCTION("""COMPUTED_VALUE"""),"CC")</f>
        <v>CC</v>
      </c>
      <c r="E430" s="40">
        <f ca="1">IFERROR(__xludf.DUMMYFUNCTION("""COMPUTED_VALUE"""),1121944810)</f>
        <v>1121944810</v>
      </c>
      <c r="F430" s="40">
        <f ca="1">IFERROR(__xludf.DUMMYFUNCTION("""COMPUTED_VALUE"""),2380837)</f>
        <v>2380837</v>
      </c>
      <c r="G430" s="40" t="str">
        <f ca="1">IFERROR(__xludf.DUMMYFUNCTION("""COMPUTED_VALUE"""),"TÉCNICO")</f>
        <v>TÉCNICO</v>
      </c>
      <c r="H430" s="40" t="str">
        <f ca="1">IFERROR(__xludf.DUMMYFUNCTION("""COMPUTED_VALUE"""),"COCINA.")</f>
        <v>COCINA.</v>
      </c>
      <c r="I430" s="40"/>
      <c r="J430" s="40"/>
      <c r="K430" s="40"/>
      <c r="L430" s="40" t="str">
        <f ca="1">IFERROR(__xludf.DUMMYFUNCTION("""COMPUTED_VALUE"""),"NO HA INICIADO ETAPA PRODUCTIVA")</f>
        <v>NO HA INICIADO ETAPA PRODUCTIVA</v>
      </c>
      <c r="M430" s="40"/>
      <c r="N430" s="40"/>
      <c r="O430" s="40"/>
      <c r="P430" s="40"/>
      <c r="Q430" s="40"/>
      <c r="R430" s="140"/>
      <c r="S430" s="1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t="str">
        <f ca="1">IFERROR(__xludf.DUMMYFUNCTION("""COMPUTED_VALUE"""),"Procede_E_P")</f>
        <v>Procede_E_P</v>
      </c>
      <c r="AV430" s="40" t="str">
        <f ca="1">IFERROR(__xludf.DUMMYFUNCTION("""COMPUTED_VALUE"""),"EN FORMACION")</f>
        <v>EN FORMACION</v>
      </c>
      <c r="AW430" s="40" t="str">
        <f ca="1">IFERROR(__xludf.DUMMYFUNCTION("""COMPUTED_VALUE"""),"TURISMO")</f>
        <v>TURISMO</v>
      </c>
      <c r="AX430" s="141">
        <f ca="1">IFERROR(__xludf.DUMMYFUNCTION("""COMPUTED_VALUE"""),0)</f>
        <v>0</v>
      </c>
      <c r="AY430" s="40">
        <f ca="1">IFERROR(__xludf.DUMMYFUNCTION("""COMPUTED_VALUE"""),0)</f>
        <v>0</v>
      </c>
      <c r="AZ430" s="40">
        <f ca="1">IFERROR(__xludf.DUMMYFUNCTION("""COMPUTED_VALUE"""),1)</f>
        <v>1</v>
      </c>
      <c r="BA430" s="40">
        <f ca="1">IFERROR(__xludf.DUMMYFUNCTION("""COMPUTED_VALUE"""),0)</f>
        <v>0</v>
      </c>
      <c r="BB430" s="40">
        <f ca="1">IFERROR(__xludf.DUMMYFUNCTION("""COMPUTED_VALUE"""),0)</f>
        <v>0</v>
      </c>
      <c r="BC430" s="40">
        <f ca="1">IFERROR(__xludf.DUMMYFUNCTION("""COMPUTED_VALUE"""),1)</f>
        <v>1</v>
      </c>
      <c r="BD430" s="141">
        <f ca="1">IFERROR(__xludf.DUMMYFUNCTION("""COMPUTED_VALUE"""),44445)</f>
        <v>44445</v>
      </c>
      <c r="BE430" s="141">
        <f ca="1">IFERROR(__xludf.DUMMYFUNCTION("""COMPUTED_VALUE"""),44717)</f>
        <v>44717</v>
      </c>
      <c r="BF430" s="141">
        <f ca="1">IFERROR(__xludf.DUMMYFUNCTION("""COMPUTED_VALUE"""),44900)</f>
        <v>44900</v>
      </c>
      <c r="BG430" s="141">
        <f ca="1">IFERROR(__xludf.DUMMYFUNCTION("""COMPUTED_VALUE"""),45448)</f>
        <v>45448</v>
      </c>
      <c r="BH430" s="40" t="str">
        <f ca="1">IFERROR(__xludf.DUMMYFUNCTION("""COMPUTED_VALUE"""),"FICHA EN TIEMPO-18 MESES")</f>
        <v>FICHA EN TIEMPO-18 MESES</v>
      </c>
      <c r="BI430" s="40" t="str">
        <f ca="1">IFERROR(__xludf.DUMMYFUNCTION("""COMPUTED_VALUE"""),"En ejecucion")</f>
        <v>En ejecucion</v>
      </c>
      <c r="BJ430" s="40" t="str">
        <f ca="1">IFERROR(__xludf.DUMMYFUNCTION("""COMPUTED_VALUE"""),"Yamboro")</f>
        <v>Yamboro</v>
      </c>
      <c r="BK430" s="40"/>
      <c r="BL430" s="40"/>
    </row>
    <row r="431" spans="1:64" ht="13">
      <c r="A431" s="40"/>
      <c r="B431" s="40" t="str">
        <f ca="1">IFERROR(__xludf.DUMMYFUNCTION("""COMPUTED_VALUE"""),"FORMACIÓN 18/10/2022")</f>
        <v>FORMACIÓN 18/10/2022</v>
      </c>
      <c r="C431" s="40" t="str">
        <f ca="1">IFERROR(__xludf.DUMMYFUNCTION("""COMPUTED_VALUE"""),"NATHALIA GASCA ROJAS")</f>
        <v>NATHALIA GASCA ROJAS</v>
      </c>
      <c r="D431" s="40" t="str">
        <f ca="1">IFERROR(__xludf.DUMMYFUNCTION("""COMPUTED_VALUE"""),"CC")</f>
        <v>CC</v>
      </c>
      <c r="E431" s="40">
        <f ca="1">IFERROR(__xludf.DUMMYFUNCTION("""COMPUTED_VALUE"""),1007751018)</f>
        <v>1007751018</v>
      </c>
      <c r="F431" s="40">
        <f ca="1">IFERROR(__xludf.DUMMYFUNCTION("""COMPUTED_VALUE"""),2056451)</f>
        <v>2056451</v>
      </c>
      <c r="G431" s="40" t="str">
        <f ca="1">IFERROR(__xludf.DUMMYFUNCTION("""COMPUTED_VALUE"""),"TECNÓLOGO")</f>
        <v>TECNÓLOGO</v>
      </c>
      <c r="H431" s="40" t="str">
        <f ca="1">IFERROR(__xludf.DUMMYFUNCTION("""COMPUTED_VALUE"""),"GESTIÓN DE RECURSOS NATURALES")</f>
        <v>GESTIÓN DE RECURSOS NATURALES</v>
      </c>
      <c r="I431" s="40">
        <f ca="1">IFERROR(__xludf.DUMMYFUNCTION("""COMPUTED_VALUE"""),3202414766)</f>
        <v>3202414766</v>
      </c>
      <c r="J431" s="40" t="str">
        <f ca="1">IFERROR(__xludf.DUMMYFUNCTION("""COMPUTED_VALUE""")," ngasca8@misena.edu.co")</f>
        <v xml:space="preserve"> ngasca8@misena.edu.co</v>
      </c>
      <c r="K431" s="40" t="str">
        <f ca="1">IFERROR(__xludf.DUMMYFUNCTION("""COMPUTED_VALUE"""),"PITALITO")</f>
        <v>PITALITO</v>
      </c>
      <c r="L431" s="40" t="str">
        <f ca="1">IFERROR(__xludf.DUMMYFUNCTION("""COMPUTED_VALUE"""),"NO HA INICIADO ETAPA PRODUCTIVA")</f>
        <v>NO HA INICIADO ETAPA PRODUCTIVA</v>
      </c>
      <c r="M431" s="40"/>
      <c r="N431" s="40"/>
      <c r="O431" s="40"/>
      <c r="P431" s="40"/>
      <c r="Q431" s="40"/>
      <c r="R431" s="140"/>
      <c r="S431" s="1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t="str">
        <f ca="1">IFERROR(__xludf.DUMMYFUNCTION("""COMPUTED_VALUE"""),"Procede_E_P")</f>
        <v>Procede_E_P</v>
      </c>
      <c r="AV431" s="40" t="str">
        <f ca="1">IFERROR(__xludf.DUMMYFUNCTION("""COMPUTED_VALUE"""),"EN FORMACION")</f>
        <v>EN FORMACION</v>
      </c>
      <c r="AW431" s="40" t="str">
        <f ca="1">IFERROR(__xludf.DUMMYFUNCTION("""COMPUTED_VALUE"""),"AMBIENTAL")</f>
        <v>AMBIENTAL</v>
      </c>
      <c r="AX431" s="141">
        <f ca="1">IFERROR(__xludf.DUMMYFUNCTION("""COMPUTED_VALUE"""),44848)</f>
        <v>44848</v>
      </c>
      <c r="AY431" s="40">
        <f ca="1">IFERROR(__xludf.DUMMYFUNCTION("""COMPUTED_VALUE"""),0)</f>
        <v>0</v>
      </c>
      <c r="AZ431" s="40">
        <f ca="1">IFERROR(__xludf.DUMMYFUNCTION("""COMPUTED_VALUE"""),1)</f>
        <v>1</v>
      </c>
      <c r="BA431" s="40">
        <f ca="1">IFERROR(__xludf.DUMMYFUNCTION("""COMPUTED_VALUE"""),0)</f>
        <v>0</v>
      </c>
      <c r="BB431" s="40">
        <f ca="1">IFERROR(__xludf.DUMMYFUNCTION("""COMPUTED_VALUE"""),0)</f>
        <v>0</v>
      </c>
      <c r="BC431" s="40">
        <f ca="1">IFERROR(__xludf.DUMMYFUNCTION("""COMPUTED_VALUE"""),1)</f>
        <v>1</v>
      </c>
      <c r="BD431" s="141">
        <f ca="1">IFERROR(__xludf.DUMMYFUNCTION("""COMPUTED_VALUE"""),43815)</f>
        <v>43815</v>
      </c>
      <c r="BE431" s="141">
        <f ca="1">IFERROR(__xludf.DUMMYFUNCTION("""COMPUTED_VALUE"""),44377)</f>
        <v>44377</v>
      </c>
      <c r="BF431" s="141">
        <f ca="1">IFERROR(__xludf.DUMMYFUNCTION("""COMPUTED_VALUE"""),44560)</f>
        <v>44560</v>
      </c>
      <c r="BG431" s="141">
        <f ca="1">IFERROR(__xludf.DUMMYFUNCTION("""COMPUTED_VALUE"""),45107)</f>
        <v>45107</v>
      </c>
      <c r="BH431" s="40" t="str">
        <f ca="1">IFERROR(__xludf.DUMMYFUNCTION("""COMPUTED_VALUE"""),"FICHA EN TIEMPO-18 MESES")</f>
        <v>FICHA EN TIEMPO-18 MESES</v>
      </c>
      <c r="BI431" s="40" t="str">
        <f ca="1">IFERROR(__xludf.DUMMYFUNCTION("""COMPUTED_VALUE"""),"Terminada por fecha")</f>
        <v>Terminada por fecha</v>
      </c>
      <c r="BJ431" s="40" t="str">
        <f ca="1">IFERROR(__xludf.DUMMYFUNCTION("""COMPUTED_VALUE"""),"Yamboro")</f>
        <v>Yamboro</v>
      </c>
      <c r="BK431" s="40"/>
      <c r="BL431" s="40"/>
    </row>
    <row r="432" spans="1:64" ht="13">
      <c r="A432" s="40"/>
      <c r="B432" s="40" t="str">
        <f ca="1">IFERROR(__xludf.DUMMYFUNCTION("""COMPUTED_VALUE"""),"FORMACIÓN 18/10/2022")</f>
        <v>FORMACIÓN 18/10/2022</v>
      </c>
      <c r="C432" s="40" t="str">
        <f ca="1">IFERROR(__xludf.DUMMYFUNCTION("""COMPUTED_VALUE"""),"EINER FABIAN TRUJILLO SAMBONI")</f>
        <v>EINER FABIAN TRUJILLO SAMBONI</v>
      </c>
      <c r="D432" s="40" t="str">
        <f ca="1">IFERROR(__xludf.DUMMYFUNCTION("""COMPUTED_VALUE"""),"CC")</f>
        <v>CC</v>
      </c>
      <c r="E432" s="40">
        <f ca="1">IFERROR(__xludf.DUMMYFUNCTION("""COMPUTED_VALUE"""),1083924759)</f>
        <v>1083924759</v>
      </c>
      <c r="F432" s="40">
        <f ca="1">IFERROR(__xludf.DUMMYFUNCTION("""COMPUTED_VALUE"""),2056451)</f>
        <v>2056451</v>
      </c>
      <c r="G432" s="40" t="str">
        <f ca="1">IFERROR(__xludf.DUMMYFUNCTION("""COMPUTED_VALUE"""),"TECNÓLOGO")</f>
        <v>TECNÓLOGO</v>
      </c>
      <c r="H432" s="40" t="str">
        <f ca="1">IFERROR(__xludf.DUMMYFUNCTION("""COMPUTED_VALUE"""),"GESTIÓN DE RECURSOS NATURALES")</f>
        <v>GESTIÓN DE RECURSOS NATURALES</v>
      </c>
      <c r="I432" s="40">
        <f ca="1">IFERROR(__xludf.DUMMYFUNCTION("""COMPUTED_VALUE"""),3213144122)</f>
        <v>3213144122</v>
      </c>
      <c r="J432" s="40" t="str">
        <f ca="1">IFERROR(__xludf.DUMMYFUNCTION("""COMPUTED_VALUE""")," eftrujillo95@misena.edu.co")</f>
        <v xml:space="preserve"> eftrujillo95@misena.edu.co</v>
      </c>
      <c r="K432" s="40" t="str">
        <f ca="1">IFERROR(__xludf.DUMMYFUNCTION("""COMPUTED_VALUE"""),"PITALITO")</f>
        <v>PITALITO</v>
      </c>
      <c r="L432" s="40" t="str">
        <f ca="1">IFERROR(__xludf.DUMMYFUNCTION("""COMPUTED_VALUE"""),"NO HA INICIADO ETAPA PRODUCTIVA")</f>
        <v>NO HA INICIADO ETAPA PRODUCTIVA</v>
      </c>
      <c r="M432" s="40"/>
      <c r="N432" s="40"/>
      <c r="O432" s="40"/>
      <c r="P432" s="40"/>
      <c r="Q432" s="40"/>
      <c r="R432" s="140"/>
      <c r="S432" s="1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t="str">
        <f ca="1">IFERROR(__xludf.DUMMYFUNCTION("""COMPUTED_VALUE"""),"Procede_E_P")</f>
        <v>Procede_E_P</v>
      </c>
      <c r="AV432" s="40" t="str">
        <f ca="1">IFERROR(__xludf.DUMMYFUNCTION("""COMPUTED_VALUE"""),"EN FORMACION")</f>
        <v>EN FORMACION</v>
      </c>
      <c r="AW432" s="40" t="str">
        <f ca="1">IFERROR(__xludf.DUMMYFUNCTION("""COMPUTED_VALUE"""),"AMBIENTAL")</f>
        <v>AMBIENTAL</v>
      </c>
      <c r="AX432" s="141">
        <f ca="1">IFERROR(__xludf.DUMMYFUNCTION("""COMPUTED_VALUE"""),44848)</f>
        <v>44848</v>
      </c>
      <c r="AY432" s="40">
        <f ca="1">IFERROR(__xludf.DUMMYFUNCTION("""COMPUTED_VALUE"""),0)</f>
        <v>0</v>
      </c>
      <c r="AZ432" s="40">
        <f ca="1">IFERROR(__xludf.DUMMYFUNCTION("""COMPUTED_VALUE"""),1)</f>
        <v>1</v>
      </c>
      <c r="BA432" s="40">
        <f ca="1">IFERROR(__xludf.DUMMYFUNCTION("""COMPUTED_VALUE"""),0)</f>
        <v>0</v>
      </c>
      <c r="BB432" s="40">
        <f ca="1">IFERROR(__xludf.DUMMYFUNCTION("""COMPUTED_VALUE"""),0)</f>
        <v>0</v>
      </c>
      <c r="BC432" s="40">
        <f ca="1">IFERROR(__xludf.DUMMYFUNCTION("""COMPUTED_VALUE"""),1)</f>
        <v>1</v>
      </c>
      <c r="BD432" s="141">
        <f ca="1">IFERROR(__xludf.DUMMYFUNCTION("""COMPUTED_VALUE"""),43815)</f>
        <v>43815</v>
      </c>
      <c r="BE432" s="141">
        <f ca="1">IFERROR(__xludf.DUMMYFUNCTION("""COMPUTED_VALUE"""),44377)</f>
        <v>44377</v>
      </c>
      <c r="BF432" s="141">
        <f ca="1">IFERROR(__xludf.DUMMYFUNCTION("""COMPUTED_VALUE"""),44560)</f>
        <v>44560</v>
      </c>
      <c r="BG432" s="141">
        <f ca="1">IFERROR(__xludf.DUMMYFUNCTION("""COMPUTED_VALUE"""),45107)</f>
        <v>45107</v>
      </c>
      <c r="BH432" s="40" t="str">
        <f ca="1">IFERROR(__xludf.DUMMYFUNCTION("""COMPUTED_VALUE"""),"FICHA EN TIEMPO-18 MESES")</f>
        <v>FICHA EN TIEMPO-18 MESES</v>
      </c>
      <c r="BI432" s="40" t="str">
        <f ca="1">IFERROR(__xludf.DUMMYFUNCTION("""COMPUTED_VALUE"""),"Terminada por fecha")</f>
        <v>Terminada por fecha</v>
      </c>
      <c r="BJ432" s="40" t="str">
        <f ca="1">IFERROR(__xludf.DUMMYFUNCTION("""COMPUTED_VALUE"""),"Yamboro")</f>
        <v>Yamboro</v>
      </c>
      <c r="BK432" s="40"/>
      <c r="BL432" s="40"/>
    </row>
    <row r="433" spans="1:64" ht="13">
      <c r="A433" s="40"/>
      <c r="B433" s="40" t="str">
        <f ca="1">IFERROR(__xludf.DUMMYFUNCTION("""COMPUTED_VALUE"""),"FORMACIÓN 18/10/2022")</f>
        <v>FORMACIÓN 18/10/2022</v>
      </c>
      <c r="C433" s="40" t="str">
        <f ca="1">IFERROR(__xludf.DUMMYFUNCTION("""COMPUTED_VALUE"""),"TATIANA MARCELA  COLLAZOS MENDIETA
")</f>
        <v xml:space="preserve">TATIANA MARCELA  COLLAZOS MENDIETA
</v>
      </c>
      <c r="D433" s="40" t="str">
        <f ca="1">IFERROR(__xludf.DUMMYFUNCTION("""COMPUTED_VALUE"""),"CC")</f>
        <v>CC</v>
      </c>
      <c r="E433" s="40">
        <f ca="1">IFERROR(__xludf.DUMMYFUNCTION("""COMPUTED_VALUE"""),1007393003)</f>
        <v>1007393003</v>
      </c>
      <c r="F433" s="40">
        <f ca="1">IFERROR(__xludf.DUMMYFUNCTION("""COMPUTED_VALUE"""),2056451)</f>
        <v>2056451</v>
      </c>
      <c r="G433" s="40" t="str">
        <f ca="1">IFERROR(__xludf.DUMMYFUNCTION("""COMPUTED_VALUE"""),"TECNÓLOGO")</f>
        <v>TECNÓLOGO</v>
      </c>
      <c r="H433" s="40" t="str">
        <f ca="1">IFERROR(__xludf.DUMMYFUNCTION("""COMPUTED_VALUE"""),"GESTIÓN DE RECURSOS NATURALES")</f>
        <v>GESTIÓN DE RECURSOS NATURALES</v>
      </c>
      <c r="I433" s="40"/>
      <c r="J433" s="40"/>
      <c r="K433" s="40"/>
      <c r="L433" s="40" t="str">
        <f ca="1">IFERROR(__xludf.DUMMYFUNCTION("""COMPUTED_VALUE"""),"NO HA INICIADO ETAPA PRODUCTIVA")</f>
        <v>NO HA INICIADO ETAPA PRODUCTIVA</v>
      </c>
      <c r="M433" s="40"/>
      <c r="N433" s="40"/>
      <c r="O433" s="40"/>
      <c r="P433" s="40"/>
      <c r="Q433" s="40"/>
      <c r="R433" s="140"/>
      <c r="S433" s="1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t="str">
        <f ca="1">IFERROR(__xludf.DUMMYFUNCTION("""COMPUTED_VALUE"""),"NO_CUMPLE")</f>
        <v>NO_CUMPLE</v>
      </c>
      <c r="AV433" s="40" t="str">
        <f ca="1">IFERROR(__xludf.DUMMYFUNCTION("""COMPUTED_VALUE"""),"EN FORMACION")</f>
        <v>EN FORMACION</v>
      </c>
      <c r="AW433" s="40" t="str">
        <f ca="1">IFERROR(__xludf.DUMMYFUNCTION("""COMPUTED_VALUE"""),"AMBIENTAL")</f>
        <v>AMBIENTAL</v>
      </c>
      <c r="AX433" s="141">
        <f ca="1">IFERROR(__xludf.DUMMYFUNCTION("""COMPUTED_VALUE"""),44848)</f>
        <v>44848</v>
      </c>
      <c r="AY433" s="40">
        <f ca="1">IFERROR(__xludf.DUMMYFUNCTION("""COMPUTED_VALUE"""),0)</f>
        <v>0</v>
      </c>
      <c r="AZ433" s="40">
        <f ca="1">IFERROR(__xludf.DUMMYFUNCTION("""COMPUTED_VALUE"""),1)</f>
        <v>1</v>
      </c>
      <c r="BA433" s="40">
        <f ca="1">IFERROR(__xludf.DUMMYFUNCTION("""COMPUTED_VALUE"""),12)</f>
        <v>12</v>
      </c>
      <c r="BB433" s="40">
        <f ca="1">IFERROR(__xludf.DUMMYFUNCTION("""COMPUTED_VALUE"""),0)</f>
        <v>0</v>
      </c>
      <c r="BC433" s="40">
        <f ca="1">IFERROR(__xludf.DUMMYFUNCTION("""COMPUTED_VALUE"""),13)</f>
        <v>13</v>
      </c>
      <c r="BD433" s="141">
        <f ca="1">IFERROR(__xludf.DUMMYFUNCTION("""COMPUTED_VALUE"""),43815)</f>
        <v>43815</v>
      </c>
      <c r="BE433" s="141">
        <f ca="1">IFERROR(__xludf.DUMMYFUNCTION("""COMPUTED_VALUE"""),44377)</f>
        <v>44377</v>
      </c>
      <c r="BF433" s="141">
        <f ca="1">IFERROR(__xludf.DUMMYFUNCTION("""COMPUTED_VALUE"""),44560)</f>
        <v>44560</v>
      </c>
      <c r="BG433" s="141">
        <f ca="1">IFERROR(__xludf.DUMMYFUNCTION("""COMPUTED_VALUE"""),45107)</f>
        <v>45107</v>
      </c>
      <c r="BH433" s="40" t="str">
        <f ca="1">IFERROR(__xludf.DUMMYFUNCTION("""COMPUTED_VALUE"""),"FICHA EN TIEMPO-18 MESES")</f>
        <v>FICHA EN TIEMPO-18 MESES</v>
      </c>
      <c r="BI433" s="40" t="str">
        <f ca="1">IFERROR(__xludf.DUMMYFUNCTION("""COMPUTED_VALUE"""),"Terminada por fecha")</f>
        <v>Terminada por fecha</v>
      </c>
      <c r="BJ433" s="40" t="str">
        <f ca="1">IFERROR(__xludf.DUMMYFUNCTION("""COMPUTED_VALUE"""),"Yamboro")</f>
        <v>Yamboro</v>
      </c>
      <c r="BK433" s="40"/>
      <c r="BL433" s="40"/>
    </row>
    <row r="434" spans="1:64" ht="13">
      <c r="A434" s="40"/>
      <c r="B434" s="40" t="str">
        <f ca="1">IFERROR(__xludf.DUMMYFUNCTION("""COMPUTED_VALUE"""),"FORMACIÓN 18/10/2022")</f>
        <v>FORMACIÓN 18/10/2022</v>
      </c>
      <c r="C434" s="40" t="str">
        <f ca="1">IFERROR(__xludf.DUMMYFUNCTION("""COMPUTED_VALUE"""),"KAREN NATALIA SOTO ADARME
")</f>
        <v xml:space="preserve">KAREN NATALIA SOTO ADARME
</v>
      </c>
      <c r="D434" s="40" t="str">
        <f ca="1">IFERROR(__xludf.DUMMYFUNCTION("""COMPUTED_VALUE"""),"TI")</f>
        <v>TI</v>
      </c>
      <c r="E434" s="40">
        <f ca="1">IFERROR(__xludf.DUMMYFUNCTION("""COMPUTED_VALUE"""),1007562797)</f>
        <v>1007562797</v>
      </c>
      <c r="F434" s="40">
        <f ca="1">IFERROR(__xludf.DUMMYFUNCTION("""COMPUTED_VALUE"""),2056451)</f>
        <v>2056451</v>
      </c>
      <c r="G434" s="40" t="str">
        <f ca="1">IFERROR(__xludf.DUMMYFUNCTION("""COMPUTED_VALUE"""),"TECNÓLOGO")</f>
        <v>TECNÓLOGO</v>
      </c>
      <c r="H434" s="40" t="str">
        <f ca="1">IFERROR(__xludf.DUMMYFUNCTION("""COMPUTED_VALUE"""),"GESTIÓN DE RECURSOS NATURALES")</f>
        <v>GESTIÓN DE RECURSOS NATURALES</v>
      </c>
      <c r="I434" s="40"/>
      <c r="J434" s="40"/>
      <c r="K434" s="40"/>
      <c r="L434" s="40" t="str">
        <f ca="1">IFERROR(__xludf.DUMMYFUNCTION("""COMPUTED_VALUE"""),"NO HA INICIADO ETAPA PRODUCTIVA")</f>
        <v>NO HA INICIADO ETAPA PRODUCTIVA</v>
      </c>
      <c r="M434" s="40"/>
      <c r="N434" s="40"/>
      <c r="O434" s="40"/>
      <c r="P434" s="40"/>
      <c r="Q434" s="40"/>
      <c r="R434" s="140"/>
      <c r="S434" s="1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t="str">
        <f ca="1">IFERROR(__xludf.DUMMYFUNCTION("""COMPUTED_VALUE"""),"NO_CUMPLE")</f>
        <v>NO_CUMPLE</v>
      </c>
      <c r="AV434" s="40" t="str">
        <f ca="1">IFERROR(__xludf.DUMMYFUNCTION("""COMPUTED_VALUE"""),"EN FORMACION")</f>
        <v>EN FORMACION</v>
      </c>
      <c r="AW434" s="40" t="str">
        <f ca="1">IFERROR(__xludf.DUMMYFUNCTION("""COMPUTED_VALUE"""),"AMBIENTAL")</f>
        <v>AMBIENTAL</v>
      </c>
      <c r="AX434" s="141">
        <f ca="1">IFERROR(__xludf.DUMMYFUNCTION("""COMPUTED_VALUE"""),44848)</f>
        <v>44848</v>
      </c>
      <c r="AY434" s="40">
        <f ca="1">IFERROR(__xludf.DUMMYFUNCTION("""COMPUTED_VALUE"""),1)</f>
        <v>1</v>
      </c>
      <c r="AZ434" s="40">
        <f ca="1">IFERROR(__xludf.DUMMYFUNCTION("""COMPUTED_VALUE"""),1)</f>
        <v>1</v>
      </c>
      <c r="BA434" s="40">
        <f ca="1">IFERROR(__xludf.DUMMYFUNCTION("""COMPUTED_VALUE"""),15)</f>
        <v>15</v>
      </c>
      <c r="BB434" s="40">
        <f ca="1">IFERROR(__xludf.DUMMYFUNCTION("""COMPUTED_VALUE"""),7)</f>
        <v>7</v>
      </c>
      <c r="BC434" s="40">
        <f ca="1">IFERROR(__xludf.DUMMYFUNCTION("""COMPUTED_VALUE"""),24)</f>
        <v>24</v>
      </c>
      <c r="BD434" s="141">
        <f ca="1">IFERROR(__xludf.DUMMYFUNCTION("""COMPUTED_VALUE"""),43815)</f>
        <v>43815</v>
      </c>
      <c r="BE434" s="141">
        <f ca="1">IFERROR(__xludf.DUMMYFUNCTION("""COMPUTED_VALUE"""),44377)</f>
        <v>44377</v>
      </c>
      <c r="BF434" s="141">
        <f ca="1">IFERROR(__xludf.DUMMYFUNCTION("""COMPUTED_VALUE"""),44560)</f>
        <v>44560</v>
      </c>
      <c r="BG434" s="141">
        <f ca="1">IFERROR(__xludf.DUMMYFUNCTION("""COMPUTED_VALUE"""),45107)</f>
        <v>45107</v>
      </c>
      <c r="BH434" s="40" t="str">
        <f ca="1">IFERROR(__xludf.DUMMYFUNCTION("""COMPUTED_VALUE"""),"FICHA EN TIEMPO-18 MESES")</f>
        <v>FICHA EN TIEMPO-18 MESES</v>
      </c>
      <c r="BI434" s="40" t="str">
        <f ca="1">IFERROR(__xludf.DUMMYFUNCTION("""COMPUTED_VALUE"""),"Terminada por fecha")</f>
        <v>Terminada por fecha</v>
      </c>
      <c r="BJ434" s="40" t="str">
        <f ca="1">IFERROR(__xludf.DUMMYFUNCTION("""COMPUTED_VALUE"""),"Yamboro")</f>
        <v>Yamboro</v>
      </c>
      <c r="BK434" s="40"/>
      <c r="BL434" s="40"/>
    </row>
    <row r="435" spans="1:64" ht="13">
      <c r="A435" s="40"/>
      <c r="B435" s="40" t="str">
        <f ca="1">IFERROR(__xludf.DUMMYFUNCTION("""COMPUTED_VALUE"""),"FORMACIÓN 18/10/2022")</f>
        <v>FORMACIÓN 18/10/2022</v>
      </c>
      <c r="C435" s="40" t="str">
        <f ca="1">IFERROR(__xludf.DUMMYFUNCTION("""COMPUTED_VALUE"""),"LEIDY MOLINA MUÑOZ")</f>
        <v>LEIDY MOLINA MUÑOZ</v>
      </c>
      <c r="D435" s="40" t="str">
        <f ca="1">IFERROR(__xludf.DUMMYFUNCTION("""COMPUTED_VALUE"""),"CC")</f>
        <v>CC</v>
      </c>
      <c r="E435" s="40">
        <f ca="1">IFERROR(__xludf.DUMMYFUNCTION("""COMPUTED_VALUE"""),1004418458)</f>
        <v>1004418458</v>
      </c>
      <c r="F435" s="40">
        <f ca="1">IFERROR(__xludf.DUMMYFUNCTION("""COMPUTED_VALUE"""),2056451)</f>
        <v>2056451</v>
      </c>
      <c r="G435" s="40" t="str">
        <f ca="1">IFERROR(__xludf.DUMMYFUNCTION("""COMPUTED_VALUE"""),"TECNÓLOGO")</f>
        <v>TECNÓLOGO</v>
      </c>
      <c r="H435" s="40" t="str">
        <f ca="1">IFERROR(__xludf.DUMMYFUNCTION("""COMPUTED_VALUE"""),"GESTIÓN DE RECURSOS NATURALES")</f>
        <v>GESTIÓN DE RECURSOS NATURALES</v>
      </c>
      <c r="I435" s="40">
        <f ca="1">IFERROR(__xludf.DUMMYFUNCTION("""COMPUTED_VALUE"""),3123822420)</f>
        <v>3123822420</v>
      </c>
      <c r="J435" s="40" t="str">
        <f ca="1">IFERROR(__xludf.DUMMYFUNCTION("""COMPUTED_VALUE"""),"lmolina854@misena.edu.co")</f>
        <v>lmolina854@misena.edu.co</v>
      </c>
      <c r="K435" s="40" t="str">
        <f ca="1">IFERROR(__xludf.DUMMYFUNCTION("""COMPUTED_VALUE"""),"PITALITO")</f>
        <v>PITALITO</v>
      </c>
      <c r="L435" s="40" t="str">
        <f ca="1">IFERROR(__xludf.DUMMYFUNCTION("""COMPUTED_VALUE"""),"PASANTÍAS")</f>
        <v>PASANTÍAS</v>
      </c>
      <c r="M435" s="40"/>
      <c r="N435" s="40"/>
      <c r="O435" s="40"/>
      <c r="P435" s="40"/>
      <c r="Q435" s="40"/>
      <c r="R435" s="140"/>
      <c r="S435" s="140"/>
      <c r="T435" s="40" t="str">
        <f ca="1">IFERROR(__xludf.DUMMYFUNCTION("""COMPUTED_VALUE"""),"No tiene legalización,COMPLETO EN EL DRIVE... Revisado 22/09/2022 .... Revisado 22/09/2022 ")</f>
        <v xml:space="preserve">No tiene legalización,COMPLETO EN EL DRIVE... Revisado 22/09/2022 .... Revisado 22/09/2022 </v>
      </c>
      <c r="U435" s="40"/>
      <c r="V435" s="40"/>
      <c r="W435" s="40" t="str">
        <f ca="1">IFERROR(__xludf.DUMMYFUNCTION("""COMPUTED_VALUE"""),"ANA MILENA CAMACHO TAMARA - Subió Parcial, bitácoras 1,2,3,4 y 5 ... Revisado 03/06/2022 - Subió FInal  y bitácoras 6,7,8,9,10,11 y 12... Revisado 22/09/2022 ")</f>
        <v xml:space="preserve">ANA MILENA CAMACHO TAMARA - Subió Parcial, bitácoras 1,2,3,4 y 5 ... Revisado 03/06/2022 - Subió FInal  y bitácoras 6,7,8,9,10,11 y 12... Revisado 22/09/2022 </v>
      </c>
      <c r="X435" s="40" t="str">
        <f ca="1">IFERROR(__xludf.DUMMYFUNCTION("""COMPUTED_VALUE"""),"SI  TIENE SEGUIMIENTO 22/09/2022")</f>
        <v>SI  TIENE SEGUIMIENTO 22/09/2022</v>
      </c>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t="str">
        <f ca="1">IFERROR(__xludf.DUMMYFUNCTION("""COMPUTED_VALUE"""),"Procede_E_P")</f>
        <v>Procede_E_P</v>
      </c>
      <c r="AV435" s="40" t="str">
        <f ca="1">IFERROR(__xludf.DUMMYFUNCTION("""COMPUTED_VALUE"""),"EN FORMACION")</f>
        <v>EN FORMACION</v>
      </c>
      <c r="AW435" s="40" t="str">
        <f ca="1">IFERROR(__xludf.DUMMYFUNCTION("""COMPUTED_VALUE"""),"AMBIENTAL")</f>
        <v>AMBIENTAL</v>
      </c>
      <c r="AX435" s="141">
        <f ca="1">IFERROR(__xludf.DUMMYFUNCTION("""COMPUTED_VALUE"""),44848)</f>
        <v>44848</v>
      </c>
      <c r="AY435" s="40">
        <f ca="1">IFERROR(__xludf.DUMMYFUNCTION("""COMPUTED_VALUE"""),0)</f>
        <v>0</v>
      </c>
      <c r="AZ435" s="40">
        <f ca="1">IFERROR(__xludf.DUMMYFUNCTION("""COMPUTED_VALUE"""),1)</f>
        <v>1</v>
      </c>
      <c r="BA435" s="40">
        <f ca="1">IFERROR(__xludf.DUMMYFUNCTION("""COMPUTED_VALUE"""),0)</f>
        <v>0</v>
      </c>
      <c r="BB435" s="40">
        <f ca="1">IFERROR(__xludf.DUMMYFUNCTION("""COMPUTED_VALUE"""),0)</f>
        <v>0</v>
      </c>
      <c r="BC435" s="40">
        <f ca="1">IFERROR(__xludf.DUMMYFUNCTION("""COMPUTED_VALUE"""),1)</f>
        <v>1</v>
      </c>
      <c r="BD435" s="141">
        <f ca="1">IFERROR(__xludf.DUMMYFUNCTION("""COMPUTED_VALUE"""),43815)</f>
        <v>43815</v>
      </c>
      <c r="BE435" s="141">
        <f ca="1">IFERROR(__xludf.DUMMYFUNCTION("""COMPUTED_VALUE"""),44377)</f>
        <v>44377</v>
      </c>
      <c r="BF435" s="141">
        <f ca="1">IFERROR(__xludf.DUMMYFUNCTION("""COMPUTED_VALUE"""),44560)</f>
        <v>44560</v>
      </c>
      <c r="BG435" s="141">
        <f ca="1">IFERROR(__xludf.DUMMYFUNCTION("""COMPUTED_VALUE"""),45107)</f>
        <v>45107</v>
      </c>
      <c r="BH435" s="40" t="str">
        <f ca="1">IFERROR(__xludf.DUMMYFUNCTION("""COMPUTED_VALUE"""),"FICHA EN TIEMPO-18 MESES")</f>
        <v>FICHA EN TIEMPO-18 MESES</v>
      </c>
      <c r="BI435" s="40" t="str">
        <f ca="1">IFERROR(__xludf.DUMMYFUNCTION("""COMPUTED_VALUE"""),"Terminada por fecha")</f>
        <v>Terminada por fecha</v>
      </c>
      <c r="BJ435" s="40" t="str">
        <f ca="1">IFERROR(__xludf.DUMMYFUNCTION("""COMPUTED_VALUE"""),"Yamboro")</f>
        <v>Yamboro</v>
      </c>
      <c r="BK435" s="40"/>
      <c r="BL435" s="40"/>
    </row>
    <row r="436" spans="1:64" ht="13">
      <c r="A436" s="40"/>
      <c r="B436" s="40" t="str">
        <f ca="1">IFERROR(__xludf.DUMMYFUNCTION("""COMPUTED_VALUE"""),"FORMACIÓN 18/10/2022")</f>
        <v>FORMACIÓN 18/10/2022</v>
      </c>
      <c r="C436" s="40" t="str">
        <f ca="1">IFERROR(__xludf.DUMMYFUNCTION("""COMPUTED_VALUE"""),"JUAN PABLO SALAMANCA MUÑOZ")</f>
        <v>JUAN PABLO SALAMANCA MUÑOZ</v>
      </c>
      <c r="D436" s="40" t="str">
        <f ca="1">IFERROR(__xludf.DUMMYFUNCTION("""COMPUTED_VALUE"""),"CC")</f>
        <v>CC</v>
      </c>
      <c r="E436" s="40">
        <f ca="1">IFERROR(__xludf.DUMMYFUNCTION("""COMPUTED_VALUE"""),1004418793)</f>
        <v>1004418793</v>
      </c>
      <c r="F436" s="40">
        <f ca="1">IFERROR(__xludf.DUMMYFUNCTION("""COMPUTED_VALUE"""),2056451)</f>
        <v>2056451</v>
      </c>
      <c r="G436" s="40" t="str">
        <f ca="1">IFERROR(__xludf.DUMMYFUNCTION("""COMPUTED_VALUE"""),"TECNÓLOGO")</f>
        <v>TECNÓLOGO</v>
      </c>
      <c r="H436" s="40" t="str">
        <f ca="1">IFERROR(__xludf.DUMMYFUNCTION("""COMPUTED_VALUE"""),"GESTIÓN DE RECURSOS NATURALES")</f>
        <v>GESTIÓN DE RECURSOS NATURALES</v>
      </c>
      <c r="I436" s="40">
        <f ca="1">IFERROR(__xludf.DUMMYFUNCTION("""COMPUTED_VALUE"""),3214071799)</f>
        <v>3214071799</v>
      </c>
      <c r="J436" s="40" t="str">
        <f ca="1">IFERROR(__xludf.DUMMYFUNCTION("""COMPUTED_VALUE"""),"jpsalamanca39@misena.edu.co")</f>
        <v>jpsalamanca39@misena.edu.co</v>
      </c>
      <c r="K436" s="40" t="str">
        <f ca="1">IFERROR(__xludf.DUMMYFUNCTION("""COMPUTED_VALUE"""),"SAN AGUSTIN")</f>
        <v>SAN AGUSTIN</v>
      </c>
      <c r="L436" s="40" t="str">
        <f ca="1">IFERROR(__xludf.DUMMYFUNCTION("""COMPUTED_VALUE"""),"NO HA INICIADO ETAPA PRODUCTIVA")</f>
        <v>NO HA INICIADO ETAPA PRODUCTIVA</v>
      </c>
      <c r="M436" s="40"/>
      <c r="N436" s="40"/>
      <c r="O436" s="40"/>
      <c r="P436" s="40"/>
      <c r="Q436" s="40"/>
      <c r="R436" s="140"/>
      <c r="S436" s="1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t="str">
        <f ca="1">IFERROR(__xludf.DUMMYFUNCTION("""COMPUTED_VALUE"""),"Procede_E_P")</f>
        <v>Procede_E_P</v>
      </c>
      <c r="AV436" s="40" t="str">
        <f ca="1">IFERROR(__xludf.DUMMYFUNCTION("""COMPUTED_VALUE"""),"EN FORMACION")</f>
        <v>EN FORMACION</v>
      </c>
      <c r="AW436" s="40" t="str">
        <f ca="1">IFERROR(__xludf.DUMMYFUNCTION("""COMPUTED_VALUE"""),"AMBIENTAL")</f>
        <v>AMBIENTAL</v>
      </c>
      <c r="AX436" s="141">
        <f ca="1">IFERROR(__xludf.DUMMYFUNCTION("""COMPUTED_VALUE"""),44848)</f>
        <v>44848</v>
      </c>
      <c r="AY436" s="40">
        <f ca="1">IFERROR(__xludf.DUMMYFUNCTION("""COMPUTED_VALUE"""),0)</f>
        <v>0</v>
      </c>
      <c r="AZ436" s="40">
        <f ca="1">IFERROR(__xludf.DUMMYFUNCTION("""COMPUTED_VALUE"""),1)</f>
        <v>1</v>
      </c>
      <c r="BA436" s="40">
        <f ca="1">IFERROR(__xludf.DUMMYFUNCTION("""COMPUTED_VALUE"""),0)</f>
        <v>0</v>
      </c>
      <c r="BB436" s="40">
        <f ca="1">IFERROR(__xludf.DUMMYFUNCTION("""COMPUTED_VALUE"""),0)</f>
        <v>0</v>
      </c>
      <c r="BC436" s="40">
        <f ca="1">IFERROR(__xludf.DUMMYFUNCTION("""COMPUTED_VALUE"""),1)</f>
        <v>1</v>
      </c>
      <c r="BD436" s="141">
        <f ca="1">IFERROR(__xludf.DUMMYFUNCTION("""COMPUTED_VALUE"""),43815)</f>
        <v>43815</v>
      </c>
      <c r="BE436" s="141">
        <f ca="1">IFERROR(__xludf.DUMMYFUNCTION("""COMPUTED_VALUE"""),44377)</f>
        <v>44377</v>
      </c>
      <c r="BF436" s="141">
        <f ca="1">IFERROR(__xludf.DUMMYFUNCTION("""COMPUTED_VALUE"""),44560)</f>
        <v>44560</v>
      </c>
      <c r="BG436" s="141">
        <f ca="1">IFERROR(__xludf.DUMMYFUNCTION("""COMPUTED_VALUE"""),45107)</f>
        <v>45107</v>
      </c>
      <c r="BH436" s="40" t="str">
        <f ca="1">IFERROR(__xludf.DUMMYFUNCTION("""COMPUTED_VALUE"""),"FICHA EN TIEMPO-18 MESES")</f>
        <v>FICHA EN TIEMPO-18 MESES</v>
      </c>
      <c r="BI436" s="40" t="str">
        <f ca="1">IFERROR(__xludf.DUMMYFUNCTION("""COMPUTED_VALUE"""),"Terminada por fecha")</f>
        <v>Terminada por fecha</v>
      </c>
      <c r="BJ436" s="40" t="str">
        <f ca="1">IFERROR(__xludf.DUMMYFUNCTION("""COMPUTED_VALUE"""),"Yamboro")</f>
        <v>Yamboro</v>
      </c>
      <c r="BK436" s="40"/>
      <c r="BL436" s="40"/>
    </row>
    <row r="437" spans="1:64" ht="13">
      <c r="A437" s="40"/>
      <c r="B437" s="40" t="str">
        <f ca="1">IFERROR(__xludf.DUMMYFUNCTION("""COMPUTED_VALUE"""),"FORMACIÓN 18/10/2022")</f>
        <v>FORMACIÓN 18/10/2022</v>
      </c>
      <c r="C437" s="40" t="str">
        <f ca="1">IFERROR(__xludf.DUMMYFUNCTION("""COMPUTED_VALUE"""),"MATEO ALFONSO CALERO MURCIA")</f>
        <v>MATEO ALFONSO CALERO MURCIA</v>
      </c>
      <c r="D437" s="40" t="str">
        <f ca="1">IFERROR(__xludf.DUMMYFUNCTION("""COMPUTED_VALUE"""),"CC")</f>
        <v>CC</v>
      </c>
      <c r="E437" s="40">
        <f ca="1">IFERROR(__xludf.DUMMYFUNCTION("""COMPUTED_VALUE"""),1083928068)</f>
        <v>1083928068</v>
      </c>
      <c r="F437" s="40">
        <f ca="1">IFERROR(__xludf.DUMMYFUNCTION("""COMPUTED_VALUE"""),1832951)</f>
        <v>1832951</v>
      </c>
      <c r="G437" s="40" t="str">
        <f ca="1">IFERROR(__xludf.DUMMYFUNCTION("""COMPUTED_VALUE"""),"TECNÓLOGO")</f>
        <v>TECNÓLOGO</v>
      </c>
      <c r="H437" s="40" t="str">
        <f ca="1">IFERROR(__xludf.DUMMYFUNCTION("""COMPUTED_VALUE"""),"CONTROL AMBIENTAL")</f>
        <v>CONTROL AMBIENTAL</v>
      </c>
      <c r="I437" s="40">
        <f ca="1">IFERROR(__xludf.DUMMYFUNCTION("""COMPUTED_VALUE"""),3154337487)</f>
        <v>3154337487</v>
      </c>
      <c r="J437" s="40" t="str">
        <f ca="1">IFERROR(__xludf.DUMMYFUNCTION("""COMPUTED_VALUE"""),"daleycalero89@gmail.com")</f>
        <v>daleycalero89@gmail.com</v>
      </c>
      <c r="K437" s="40" t="str">
        <f ca="1">IFERROR(__xludf.DUMMYFUNCTION("""COMPUTED_VALUE"""),"Pitalito")</f>
        <v>Pitalito</v>
      </c>
      <c r="L437" s="40" t="str">
        <f ca="1">IFERROR(__xludf.DUMMYFUNCTION("""COMPUTED_VALUE"""),"NO HA INICIADO ETAPA PRODUCTIVA")</f>
        <v>NO HA INICIADO ETAPA PRODUCTIVA</v>
      </c>
      <c r="M437" s="40"/>
      <c r="N437" s="40"/>
      <c r="O437" s="40"/>
      <c r="P437" s="40"/>
      <c r="Q437" s="40"/>
      <c r="R437" s="140"/>
      <c r="S437" s="1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t="str">
        <f ca="1">IFERROR(__xludf.DUMMYFUNCTION("""COMPUTED_VALUE"""),"Procede_E_P")</f>
        <v>Procede_E_P</v>
      </c>
      <c r="AV437" s="40" t="str">
        <f ca="1">IFERROR(__xludf.DUMMYFUNCTION("""COMPUTED_VALUE"""),"EN FORMACION")</f>
        <v>EN FORMACION</v>
      </c>
      <c r="AW437" s="40" t="str">
        <f ca="1">IFERROR(__xludf.DUMMYFUNCTION("""COMPUTED_VALUE"""),"AMBIENTAL")</f>
        <v>AMBIENTAL</v>
      </c>
      <c r="AX437" s="141">
        <f ca="1">IFERROR(__xludf.DUMMYFUNCTION("""COMPUTED_VALUE"""),44848)</f>
        <v>44848</v>
      </c>
      <c r="AY437" s="40">
        <f ca="1">IFERROR(__xludf.DUMMYFUNCTION("""COMPUTED_VALUE"""),0)</f>
        <v>0</v>
      </c>
      <c r="AZ437" s="40">
        <f ca="1">IFERROR(__xludf.DUMMYFUNCTION("""COMPUTED_VALUE"""),1)</f>
        <v>1</v>
      </c>
      <c r="BA437" s="40">
        <f ca="1">IFERROR(__xludf.DUMMYFUNCTION("""COMPUTED_VALUE"""),0)</f>
        <v>0</v>
      </c>
      <c r="BB437" s="40">
        <f ca="1">IFERROR(__xludf.DUMMYFUNCTION("""COMPUTED_VALUE"""),0)</f>
        <v>0</v>
      </c>
      <c r="BC437" s="40">
        <f ca="1">IFERROR(__xludf.DUMMYFUNCTION("""COMPUTED_VALUE"""),1)</f>
        <v>1</v>
      </c>
      <c r="BD437" s="141">
        <f ca="1">IFERROR(__xludf.DUMMYFUNCTION("""COMPUTED_VALUE"""),43577)</f>
        <v>43577</v>
      </c>
      <c r="BE437" s="141">
        <f ca="1">IFERROR(__xludf.DUMMYFUNCTION("""COMPUTED_VALUE"""),44176)</f>
        <v>44176</v>
      </c>
      <c r="BF437" s="141">
        <f ca="1">IFERROR(__xludf.DUMMYFUNCTION("""COMPUTED_VALUE"""),44358)</f>
        <v>44358</v>
      </c>
      <c r="BG437" s="141">
        <f ca="1">IFERROR(__xludf.DUMMYFUNCTION("""COMPUTED_VALUE"""),44906)</f>
        <v>44906</v>
      </c>
      <c r="BH437" s="40" t="str">
        <f ca="1">IFERROR(__xludf.DUMMYFUNCTION("""COMPUTED_VALUE"""),"FICHA EN TIEMPO-18 MESES")</f>
        <v>FICHA EN TIEMPO-18 MESES</v>
      </c>
      <c r="BI437" s="40" t="str">
        <f ca="1">IFERROR(__xludf.DUMMYFUNCTION("""COMPUTED_VALUE"""),"Terminada por fecha")</f>
        <v>Terminada por fecha</v>
      </c>
      <c r="BJ437" s="40" t="str">
        <f ca="1">IFERROR(__xludf.DUMMYFUNCTION("""COMPUTED_VALUE"""),"Yamboro")</f>
        <v>Yamboro</v>
      </c>
      <c r="BK437" s="40"/>
      <c r="BL437" s="40"/>
    </row>
    <row r="438" spans="1:64" ht="13">
      <c r="A438" s="40"/>
      <c r="B438" s="40" t="str">
        <f ca="1">IFERROR(__xludf.DUMMYFUNCTION("""COMPUTED_VALUE"""),"FORMACIÓN 18/10/2022")</f>
        <v>FORMACIÓN 18/10/2022</v>
      </c>
      <c r="C438" s="40" t="str">
        <f ca="1">IFERROR(__xludf.DUMMYFUNCTION("""COMPUTED_VALUE"""),"JHON  HEDER ROJAS ROSERO")</f>
        <v>JHON  HEDER ROJAS ROSERO</v>
      </c>
      <c r="D438" s="40" t="str">
        <f ca="1">IFERROR(__xludf.DUMMYFUNCTION("""COMPUTED_VALUE"""),"CC")</f>
        <v>CC</v>
      </c>
      <c r="E438" s="40">
        <f ca="1">IFERROR(__xludf.DUMMYFUNCTION("""COMPUTED_VALUE"""),1010081773)</f>
        <v>1010081773</v>
      </c>
      <c r="F438" s="40">
        <f ca="1">IFERROR(__xludf.DUMMYFUNCTION("""COMPUTED_VALUE"""),1832951)</f>
        <v>1832951</v>
      </c>
      <c r="G438" s="40" t="str">
        <f ca="1">IFERROR(__xludf.DUMMYFUNCTION("""COMPUTED_VALUE"""),"TECNÓLOGO")</f>
        <v>TECNÓLOGO</v>
      </c>
      <c r="H438" s="40" t="str">
        <f ca="1">IFERROR(__xludf.DUMMYFUNCTION("""COMPUTED_VALUE"""),"CONTROL AMBIENTAL")</f>
        <v>CONTROL AMBIENTAL</v>
      </c>
      <c r="I438" s="40"/>
      <c r="J438" s="40"/>
      <c r="K438" s="40"/>
      <c r="L438" s="40" t="str">
        <f ca="1">IFERROR(__xludf.DUMMYFUNCTION("""COMPUTED_VALUE"""),"NO HA INICIADO ETAPA PRODUCTIVA")</f>
        <v>NO HA INICIADO ETAPA PRODUCTIVA</v>
      </c>
      <c r="M438" s="40"/>
      <c r="N438" s="40"/>
      <c r="O438" s="40"/>
      <c r="P438" s="40"/>
      <c r="Q438" s="40"/>
      <c r="R438" s="140"/>
      <c r="S438" s="1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t="str">
        <f ca="1">IFERROR(__xludf.DUMMYFUNCTION("""COMPUTED_VALUE"""),"Procede_E_P")</f>
        <v>Procede_E_P</v>
      </c>
      <c r="AV438" s="40" t="str">
        <f ca="1">IFERROR(__xludf.DUMMYFUNCTION("""COMPUTED_VALUE"""),"EN FORMACION")</f>
        <v>EN FORMACION</v>
      </c>
      <c r="AW438" s="40" t="str">
        <f ca="1">IFERROR(__xludf.DUMMYFUNCTION("""COMPUTED_VALUE"""),"AMBIENTAL")</f>
        <v>AMBIENTAL</v>
      </c>
      <c r="AX438" s="141">
        <f ca="1">IFERROR(__xludf.DUMMYFUNCTION("""COMPUTED_VALUE"""),44848)</f>
        <v>44848</v>
      </c>
      <c r="AY438" s="40">
        <f ca="1">IFERROR(__xludf.DUMMYFUNCTION("""COMPUTED_VALUE"""),0)</f>
        <v>0</v>
      </c>
      <c r="AZ438" s="40">
        <f ca="1">IFERROR(__xludf.DUMMYFUNCTION("""COMPUTED_VALUE"""),1)</f>
        <v>1</v>
      </c>
      <c r="BA438" s="40">
        <f ca="1">IFERROR(__xludf.DUMMYFUNCTION("""COMPUTED_VALUE"""),0)</f>
        <v>0</v>
      </c>
      <c r="BB438" s="40">
        <f ca="1">IFERROR(__xludf.DUMMYFUNCTION("""COMPUTED_VALUE"""),0)</f>
        <v>0</v>
      </c>
      <c r="BC438" s="40">
        <f ca="1">IFERROR(__xludf.DUMMYFUNCTION("""COMPUTED_VALUE"""),1)</f>
        <v>1</v>
      </c>
      <c r="BD438" s="141">
        <f ca="1">IFERROR(__xludf.DUMMYFUNCTION("""COMPUTED_VALUE"""),43577)</f>
        <v>43577</v>
      </c>
      <c r="BE438" s="141">
        <f ca="1">IFERROR(__xludf.DUMMYFUNCTION("""COMPUTED_VALUE"""),44176)</f>
        <v>44176</v>
      </c>
      <c r="BF438" s="141">
        <f ca="1">IFERROR(__xludf.DUMMYFUNCTION("""COMPUTED_VALUE"""),44358)</f>
        <v>44358</v>
      </c>
      <c r="BG438" s="141">
        <f ca="1">IFERROR(__xludf.DUMMYFUNCTION("""COMPUTED_VALUE"""),44906)</f>
        <v>44906</v>
      </c>
      <c r="BH438" s="40" t="str">
        <f ca="1">IFERROR(__xludf.DUMMYFUNCTION("""COMPUTED_VALUE"""),"FICHA EN TIEMPO-18 MESES")</f>
        <v>FICHA EN TIEMPO-18 MESES</v>
      </c>
      <c r="BI438" s="40" t="str">
        <f ca="1">IFERROR(__xludf.DUMMYFUNCTION("""COMPUTED_VALUE"""),"Terminada por fecha")</f>
        <v>Terminada por fecha</v>
      </c>
      <c r="BJ438" s="40" t="str">
        <f ca="1">IFERROR(__xludf.DUMMYFUNCTION("""COMPUTED_VALUE"""),"Yamboro")</f>
        <v>Yamboro</v>
      </c>
      <c r="BK438" s="40"/>
      <c r="BL438" s="40"/>
    </row>
    <row r="439" spans="1:64" ht="13">
      <c r="A439" s="40"/>
      <c r="B439" s="40" t="str">
        <f ca="1">IFERROR(__xludf.DUMMYFUNCTION("""COMPUTED_VALUE"""),"FORMACIÓN 18/10/2022")</f>
        <v>FORMACIÓN 18/10/2022</v>
      </c>
      <c r="C439" s="40" t="str">
        <f ca="1">IFERROR(__xludf.DUMMYFUNCTION("""COMPUTED_VALUE"""),"MARIA PAULA HENAO CAMPOS")</f>
        <v>MARIA PAULA HENAO CAMPOS</v>
      </c>
      <c r="D439" s="40" t="str">
        <f ca="1">IFERROR(__xludf.DUMMYFUNCTION("""COMPUTED_VALUE"""),"CC")</f>
        <v>CC</v>
      </c>
      <c r="E439" s="40">
        <f ca="1">IFERROR(__xludf.DUMMYFUNCTION("""COMPUTED_VALUE"""),1007284813)</f>
        <v>1007284813</v>
      </c>
      <c r="F439" s="40">
        <f ca="1">IFERROR(__xludf.DUMMYFUNCTION("""COMPUTED_VALUE"""),2018791)</f>
        <v>2018791</v>
      </c>
      <c r="G439" s="40" t="str">
        <f ca="1">IFERROR(__xludf.DUMMYFUNCTION("""COMPUTED_VALUE"""),"TECNÓLOGO")</f>
        <v>TECNÓLOGO</v>
      </c>
      <c r="H439" s="40" t="str">
        <f ca="1">IFERROR(__xludf.DUMMYFUNCTION("""COMPUTED_VALUE"""),"GESTIÓN DE RECURSOS NATURALES")</f>
        <v>GESTIÓN DE RECURSOS NATURALES</v>
      </c>
      <c r="I439" s="40">
        <f ca="1">IFERROR(__xludf.DUMMYFUNCTION("""COMPUTED_VALUE"""),3229000000)</f>
        <v>3229000000</v>
      </c>
      <c r="J439" s="40" t="str">
        <f ca="1">IFERROR(__xludf.DUMMYFUNCTION("""COMPUTED_VALUE"""),"maria0henao276@hotmail.com")</f>
        <v>maria0henao276@hotmail.com</v>
      </c>
      <c r="K439" s="40" t="str">
        <f ca="1">IFERROR(__xludf.DUMMYFUNCTION("""COMPUTED_VALUE"""),"Pitalito")</f>
        <v>Pitalito</v>
      </c>
      <c r="L439" s="40" t="str">
        <f ca="1">IFERROR(__xludf.DUMMYFUNCTION("""COMPUTED_VALUE"""),"NO HA INICIADO ETAPA PRODUCTIVA")</f>
        <v>NO HA INICIADO ETAPA PRODUCTIVA</v>
      </c>
      <c r="M439" s="40"/>
      <c r="N439" s="40"/>
      <c r="O439" s="40"/>
      <c r="P439" s="40"/>
      <c r="Q439" s="40"/>
      <c r="R439" s="140"/>
      <c r="S439" s="1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t="str">
        <f ca="1">IFERROR(__xludf.DUMMYFUNCTION("""COMPUTED_VALUE"""),"NO_CUMPLE")</f>
        <v>NO_CUMPLE</v>
      </c>
      <c r="AV439" s="40" t="str">
        <f ca="1">IFERROR(__xludf.DUMMYFUNCTION("""COMPUTED_VALUE"""),"EN FORMACION")</f>
        <v>EN FORMACION</v>
      </c>
      <c r="AW439" s="40" t="str">
        <f ca="1">IFERROR(__xludf.DUMMYFUNCTION("""COMPUTED_VALUE"""),"AMBIENTAL")</f>
        <v>AMBIENTAL</v>
      </c>
      <c r="AX439" s="141">
        <f ca="1">IFERROR(__xludf.DUMMYFUNCTION("""COMPUTED_VALUE"""),44848)</f>
        <v>44848</v>
      </c>
      <c r="AY439" s="40">
        <f ca="1">IFERROR(__xludf.DUMMYFUNCTION("""COMPUTED_VALUE"""),1)</f>
        <v>1</v>
      </c>
      <c r="AZ439" s="40">
        <f ca="1">IFERROR(__xludf.DUMMYFUNCTION("""COMPUTED_VALUE"""),1)</f>
        <v>1</v>
      </c>
      <c r="BA439" s="40">
        <f ca="1">IFERROR(__xludf.DUMMYFUNCTION("""COMPUTED_VALUE"""),15)</f>
        <v>15</v>
      </c>
      <c r="BB439" s="40">
        <f ca="1">IFERROR(__xludf.DUMMYFUNCTION("""COMPUTED_VALUE"""),9)</f>
        <v>9</v>
      </c>
      <c r="BC439" s="40">
        <f ca="1">IFERROR(__xludf.DUMMYFUNCTION("""COMPUTED_VALUE"""),26)</f>
        <v>26</v>
      </c>
      <c r="BD439" s="141">
        <f ca="1">IFERROR(__xludf.DUMMYFUNCTION("""COMPUTED_VALUE"""),43745)</f>
        <v>43745</v>
      </c>
      <c r="BE439" s="141">
        <f ca="1">IFERROR(__xludf.DUMMYFUNCTION("""COMPUTED_VALUE"""),44323)</f>
        <v>44323</v>
      </c>
      <c r="BF439" s="141">
        <f ca="1">IFERROR(__xludf.DUMMYFUNCTION("""COMPUTED_VALUE"""),44507)</f>
        <v>44507</v>
      </c>
      <c r="BG439" s="141">
        <f ca="1">IFERROR(__xludf.DUMMYFUNCTION("""COMPUTED_VALUE"""),45053)</f>
        <v>45053</v>
      </c>
      <c r="BH439" s="40" t="str">
        <f ca="1">IFERROR(__xludf.DUMMYFUNCTION("""COMPUTED_VALUE"""),"FICHA EN TIEMPO-18 MESES")</f>
        <v>FICHA EN TIEMPO-18 MESES</v>
      </c>
      <c r="BI439" s="40" t="str">
        <f ca="1">IFERROR(__xludf.DUMMYFUNCTION("""COMPUTED_VALUE"""),"Terminada por fecha")</f>
        <v>Terminada por fecha</v>
      </c>
      <c r="BJ439" s="40" t="str">
        <f ca="1">IFERROR(__xludf.DUMMYFUNCTION("""COMPUTED_VALUE"""),"Yamboro")</f>
        <v>Yamboro</v>
      </c>
      <c r="BK439" s="40"/>
      <c r="BL439" s="40"/>
    </row>
    <row r="440" spans="1:64" ht="13">
      <c r="A440" s="40"/>
      <c r="B440" s="40" t="str">
        <f ca="1">IFERROR(__xludf.DUMMYFUNCTION("""COMPUTED_VALUE"""),"CONDICIONADO 18/10/2022")</f>
        <v>CONDICIONADO 18/10/2022</v>
      </c>
      <c r="C440" s="40" t="str">
        <f ca="1">IFERROR(__xludf.DUMMYFUNCTION("""COMPUTED_VALUE"""),"CRISTIAN CAMILO GONZALEZ TRUJILLO")</f>
        <v>CRISTIAN CAMILO GONZALEZ TRUJILLO</v>
      </c>
      <c r="D440" s="40" t="str">
        <f ca="1">IFERROR(__xludf.DUMMYFUNCTION("""COMPUTED_VALUE"""),"CC")</f>
        <v>CC</v>
      </c>
      <c r="E440" s="40">
        <f ca="1">IFERROR(__xludf.DUMMYFUNCTION("""COMPUTED_VALUE"""),1082130850)</f>
        <v>1082130850</v>
      </c>
      <c r="F440" s="40">
        <f ca="1">IFERROR(__xludf.DUMMYFUNCTION("""COMPUTED_VALUE"""),2018791)</f>
        <v>2018791</v>
      </c>
      <c r="G440" s="40" t="str">
        <f ca="1">IFERROR(__xludf.DUMMYFUNCTION("""COMPUTED_VALUE"""),"TECNÓLOGO")</f>
        <v>TECNÓLOGO</v>
      </c>
      <c r="H440" s="40" t="str">
        <f ca="1">IFERROR(__xludf.DUMMYFUNCTION("""COMPUTED_VALUE"""),"GESTIÓN DE RECURSOS NATURALES")</f>
        <v>GESTIÓN DE RECURSOS NATURALES</v>
      </c>
      <c r="I440" s="40">
        <f ca="1">IFERROR(__xludf.DUMMYFUNCTION("""COMPUTED_VALUE"""),3126000000)</f>
        <v>3126000000</v>
      </c>
      <c r="J440" s="40"/>
      <c r="K440" s="40"/>
      <c r="L440" s="40" t="str">
        <f ca="1">IFERROR(__xludf.DUMMYFUNCTION("""COMPUTED_VALUE"""),"NO HA INICIADO ETAPA PRODUCTIVA")</f>
        <v>NO HA INICIADO ETAPA PRODUCTIVA</v>
      </c>
      <c r="M440" s="40"/>
      <c r="N440" s="40"/>
      <c r="O440" s="40"/>
      <c r="P440" s="40"/>
      <c r="Q440" s="40"/>
      <c r="R440" s="140"/>
      <c r="S440" s="1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t="str">
        <f ca="1">IFERROR(__xludf.DUMMYFUNCTION("""COMPUTED_VALUE"""),"NO_CUMPLE")</f>
        <v>NO_CUMPLE</v>
      </c>
      <c r="AV440" s="40" t="str">
        <f ca="1">IFERROR(__xludf.DUMMYFUNCTION("""COMPUTED_VALUE"""),"CONDICIONADO")</f>
        <v>CONDICIONADO</v>
      </c>
      <c r="AW440" s="40" t="str">
        <f ca="1">IFERROR(__xludf.DUMMYFUNCTION("""COMPUTED_VALUE"""),"AMBIENTAL")</f>
        <v>AMBIENTAL</v>
      </c>
      <c r="AX440" s="141">
        <f ca="1">IFERROR(__xludf.DUMMYFUNCTION("""COMPUTED_VALUE"""),44848)</f>
        <v>44848</v>
      </c>
      <c r="AY440" s="40">
        <f ca="1">IFERROR(__xludf.DUMMYFUNCTION("""COMPUTED_VALUE"""),5)</f>
        <v>5</v>
      </c>
      <c r="AZ440" s="40">
        <f ca="1">IFERROR(__xludf.DUMMYFUNCTION("""COMPUTED_VALUE"""),1)</f>
        <v>1</v>
      </c>
      <c r="BA440" s="40">
        <f ca="1">IFERROR(__xludf.DUMMYFUNCTION("""COMPUTED_VALUE"""),15)</f>
        <v>15</v>
      </c>
      <c r="BB440" s="40">
        <f ca="1">IFERROR(__xludf.DUMMYFUNCTION("""COMPUTED_VALUE"""),13)</f>
        <v>13</v>
      </c>
      <c r="BC440" s="40">
        <f ca="1">IFERROR(__xludf.DUMMYFUNCTION("""COMPUTED_VALUE"""),34)</f>
        <v>34</v>
      </c>
      <c r="BD440" s="141">
        <f ca="1">IFERROR(__xludf.DUMMYFUNCTION("""COMPUTED_VALUE"""),43745)</f>
        <v>43745</v>
      </c>
      <c r="BE440" s="141">
        <f ca="1">IFERROR(__xludf.DUMMYFUNCTION("""COMPUTED_VALUE"""),44323)</f>
        <v>44323</v>
      </c>
      <c r="BF440" s="141">
        <f ca="1">IFERROR(__xludf.DUMMYFUNCTION("""COMPUTED_VALUE"""),44507)</f>
        <v>44507</v>
      </c>
      <c r="BG440" s="141">
        <f ca="1">IFERROR(__xludf.DUMMYFUNCTION("""COMPUTED_VALUE"""),45053)</f>
        <v>45053</v>
      </c>
      <c r="BH440" s="40" t="str">
        <f ca="1">IFERROR(__xludf.DUMMYFUNCTION("""COMPUTED_VALUE"""),"FICHA EN TIEMPO-18 MESES")</f>
        <v>FICHA EN TIEMPO-18 MESES</v>
      </c>
      <c r="BI440" s="40" t="str">
        <f ca="1">IFERROR(__xludf.DUMMYFUNCTION("""COMPUTED_VALUE"""),"Terminada por fecha")</f>
        <v>Terminada por fecha</v>
      </c>
      <c r="BJ440" s="40" t="str">
        <f ca="1">IFERROR(__xludf.DUMMYFUNCTION("""COMPUTED_VALUE"""),"Yamboro")</f>
        <v>Yamboro</v>
      </c>
      <c r="BK440" s="40"/>
      <c r="BL440" s="40"/>
    </row>
    <row r="441" spans="1:64" ht="13">
      <c r="A441" s="40"/>
      <c r="B441" s="40" t="str">
        <f ca="1">IFERROR(__xludf.DUMMYFUNCTION("""COMPUTED_VALUE"""),"APLAZADO  18/10/2022")</f>
        <v>APLAZADO  18/10/2022</v>
      </c>
      <c r="C441" s="40" t="str">
        <f ca="1">IFERROR(__xludf.DUMMYFUNCTION("""COMPUTED_VALUE"""),"DANIEL FELIPE ACUÑA MONASTOQUE")</f>
        <v>DANIEL FELIPE ACUÑA MONASTOQUE</v>
      </c>
      <c r="D441" s="40" t="str">
        <f ca="1">IFERROR(__xludf.DUMMYFUNCTION("""COMPUTED_VALUE"""),"CC")</f>
        <v>CC</v>
      </c>
      <c r="E441" s="40">
        <f ca="1">IFERROR(__xludf.DUMMYFUNCTION("""COMPUTED_VALUE"""),1016032309)</f>
        <v>1016032309</v>
      </c>
      <c r="F441" s="40">
        <f ca="1">IFERROR(__xludf.DUMMYFUNCTION("""COMPUTED_VALUE"""),2018791)</f>
        <v>2018791</v>
      </c>
      <c r="G441" s="40" t="str">
        <f ca="1">IFERROR(__xludf.DUMMYFUNCTION("""COMPUTED_VALUE"""),"TECNÓLOGO")</f>
        <v>TECNÓLOGO</v>
      </c>
      <c r="H441" s="40" t="str">
        <f ca="1">IFERROR(__xludf.DUMMYFUNCTION("""COMPUTED_VALUE"""),"GESTIÓN DE RECURSOS NATURALES")</f>
        <v>GESTIÓN DE RECURSOS NATURALES</v>
      </c>
      <c r="I441" s="40"/>
      <c r="J441" s="40"/>
      <c r="K441" s="40"/>
      <c r="L441" s="40" t="str">
        <f ca="1">IFERROR(__xludf.DUMMYFUNCTION("""COMPUTED_VALUE"""),"TERMINADO")</f>
        <v>TERMINADO</v>
      </c>
      <c r="M441" s="40"/>
      <c r="N441" s="40"/>
      <c r="O441" s="40"/>
      <c r="P441" s="40"/>
      <c r="Q441" s="40"/>
      <c r="R441" s="140"/>
      <c r="S441" s="1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t="str">
        <f ca="1">IFERROR(__xludf.DUMMYFUNCTION("""COMPUTED_VALUE"""),"NO_CUMPLE")</f>
        <v>NO_CUMPLE</v>
      </c>
      <c r="AV441" s="40" t="str">
        <f ca="1">IFERROR(__xludf.DUMMYFUNCTION("""COMPUTED_VALUE"""),"APLAZADO")</f>
        <v>APLAZADO</v>
      </c>
      <c r="AW441" s="40" t="str">
        <f ca="1">IFERROR(__xludf.DUMMYFUNCTION("""COMPUTED_VALUE"""),"AMBIENTAL")</f>
        <v>AMBIENTAL</v>
      </c>
      <c r="AX441" s="141">
        <f ca="1">IFERROR(__xludf.DUMMYFUNCTION("""COMPUTED_VALUE"""),44848)</f>
        <v>44848</v>
      </c>
      <c r="AY441" s="40">
        <f ca="1">IFERROR(__xludf.DUMMYFUNCTION("""COMPUTED_VALUE"""),14)</f>
        <v>14</v>
      </c>
      <c r="AZ441" s="40">
        <f ca="1">IFERROR(__xludf.DUMMYFUNCTION("""COMPUTED_VALUE"""),1)</f>
        <v>1</v>
      </c>
      <c r="BA441" s="40">
        <f ca="1">IFERROR(__xludf.DUMMYFUNCTION("""COMPUTED_VALUE"""),15)</f>
        <v>15</v>
      </c>
      <c r="BB441" s="40">
        <f ca="1">IFERROR(__xludf.DUMMYFUNCTION("""COMPUTED_VALUE"""),18)</f>
        <v>18</v>
      </c>
      <c r="BC441" s="40">
        <f ca="1">IFERROR(__xludf.DUMMYFUNCTION("""COMPUTED_VALUE"""),48)</f>
        <v>48</v>
      </c>
      <c r="BD441" s="141">
        <f ca="1">IFERROR(__xludf.DUMMYFUNCTION("""COMPUTED_VALUE"""),43745)</f>
        <v>43745</v>
      </c>
      <c r="BE441" s="141">
        <f ca="1">IFERROR(__xludf.DUMMYFUNCTION("""COMPUTED_VALUE"""),44323)</f>
        <v>44323</v>
      </c>
      <c r="BF441" s="141">
        <f ca="1">IFERROR(__xludf.DUMMYFUNCTION("""COMPUTED_VALUE"""),44507)</f>
        <v>44507</v>
      </c>
      <c r="BG441" s="141">
        <f ca="1">IFERROR(__xludf.DUMMYFUNCTION("""COMPUTED_VALUE"""),45053)</f>
        <v>45053</v>
      </c>
      <c r="BH441" s="40" t="str">
        <f ca="1">IFERROR(__xludf.DUMMYFUNCTION("""COMPUTED_VALUE"""),"FICHA EN TIEMPO-18 MESES")</f>
        <v>FICHA EN TIEMPO-18 MESES</v>
      </c>
      <c r="BI441" s="40" t="str">
        <f ca="1">IFERROR(__xludf.DUMMYFUNCTION("""COMPUTED_VALUE"""),"Terminada por fecha")</f>
        <v>Terminada por fecha</v>
      </c>
      <c r="BJ441" s="40" t="str">
        <f ca="1">IFERROR(__xludf.DUMMYFUNCTION("""COMPUTED_VALUE"""),"Yamboro")</f>
        <v>Yamboro</v>
      </c>
      <c r="BK441" s="40"/>
      <c r="BL441" s="40"/>
    </row>
    <row r="442" spans="1:64" ht="13">
      <c r="A442" s="40"/>
      <c r="B442" s="40" t="str">
        <f ca="1">IFERROR(__xludf.DUMMYFUNCTION("""COMPUTED_VALUE"""),"FORMACIÓN 18/10/2022")</f>
        <v>FORMACIÓN 18/10/2022</v>
      </c>
      <c r="C442" s="40" t="str">
        <f ca="1">IFERROR(__xludf.DUMMYFUNCTION("""COMPUTED_VALUE"""),"YULAYDY MARTINEZ GUTIERREZ")</f>
        <v>YULAYDY MARTINEZ GUTIERREZ</v>
      </c>
      <c r="D442" s="40" t="str">
        <f ca="1">IFERROR(__xludf.DUMMYFUNCTION("""COMPUTED_VALUE"""),"CC")</f>
        <v>CC</v>
      </c>
      <c r="E442" s="40">
        <f ca="1">IFERROR(__xludf.DUMMYFUNCTION("""COMPUTED_VALUE"""),1083928742)</f>
        <v>1083928742</v>
      </c>
      <c r="F442" s="40">
        <f ca="1">IFERROR(__xludf.DUMMYFUNCTION("""COMPUTED_VALUE"""),2018791)</f>
        <v>2018791</v>
      </c>
      <c r="G442" s="40" t="str">
        <f ca="1">IFERROR(__xludf.DUMMYFUNCTION("""COMPUTED_VALUE"""),"TECNÓLOGO")</f>
        <v>TECNÓLOGO</v>
      </c>
      <c r="H442" s="40" t="str">
        <f ca="1">IFERROR(__xludf.DUMMYFUNCTION("""COMPUTED_VALUE"""),"GESTIÓN DE RECURSOS NATURALES")</f>
        <v>GESTIÓN DE RECURSOS NATURALES</v>
      </c>
      <c r="I442" s="40">
        <f ca="1">IFERROR(__xludf.DUMMYFUNCTION("""COMPUTED_VALUE"""),3164000000)</f>
        <v>3164000000</v>
      </c>
      <c r="J442" s="40" t="str">
        <f ca="1">IFERROR(__xludf.DUMMYFUNCTION("""COMPUTED_VALUE"""),"yulaydymartinezg@hotmail.com")</f>
        <v>yulaydymartinezg@hotmail.com</v>
      </c>
      <c r="K442" s="40" t="str">
        <f ca="1">IFERROR(__xludf.DUMMYFUNCTION("""COMPUTED_VALUE"""),"Pitalito")</f>
        <v>Pitalito</v>
      </c>
      <c r="L442" s="40" t="str">
        <f ca="1">IFERROR(__xludf.DUMMYFUNCTION("""COMPUTED_VALUE"""),"TERMINADO")</f>
        <v>TERMINADO</v>
      </c>
      <c r="M442" s="40"/>
      <c r="N442" s="40"/>
      <c r="O442" s="40"/>
      <c r="P442" s="40"/>
      <c r="Q442" s="40"/>
      <c r="R442" s="140"/>
      <c r="S442" s="1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t="str">
        <f ca="1">IFERROR(__xludf.DUMMYFUNCTION("""COMPUTED_VALUE"""),"Procede_E_P")</f>
        <v>Procede_E_P</v>
      </c>
      <c r="AV442" s="40" t="str">
        <f ca="1">IFERROR(__xludf.DUMMYFUNCTION("""COMPUTED_VALUE"""),"EN FORMACION")</f>
        <v>EN FORMACION</v>
      </c>
      <c r="AW442" s="40" t="str">
        <f ca="1">IFERROR(__xludf.DUMMYFUNCTION("""COMPUTED_VALUE"""),"AMBIENTAL")</f>
        <v>AMBIENTAL</v>
      </c>
      <c r="AX442" s="141">
        <f ca="1">IFERROR(__xludf.DUMMYFUNCTION("""COMPUTED_VALUE"""),44848)</f>
        <v>44848</v>
      </c>
      <c r="AY442" s="40">
        <f ca="1">IFERROR(__xludf.DUMMYFUNCTION("""COMPUTED_VALUE"""),0)</f>
        <v>0</v>
      </c>
      <c r="AZ442" s="40">
        <f ca="1">IFERROR(__xludf.DUMMYFUNCTION("""COMPUTED_VALUE"""),1)</f>
        <v>1</v>
      </c>
      <c r="BA442" s="40">
        <f ca="1">IFERROR(__xludf.DUMMYFUNCTION("""COMPUTED_VALUE"""),0)</f>
        <v>0</v>
      </c>
      <c r="BB442" s="40">
        <f ca="1">IFERROR(__xludf.DUMMYFUNCTION("""COMPUTED_VALUE"""),0)</f>
        <v>0</v>
      </c>
      <c r="BC442" s="40">
        <f ca="1">IFERROR(__xludf.DUMMYFUNCTION("""COMPUTED_VALUE"""),1)</f>
        <v>1</v>
      </c>
      <c r="BD442" s="141">
        <f ca="1">IFERROR(__xludf.DUMMYFUNCTION("""COMPUTED_VALUE"""),43745)</f>
        <v>43745</v>
      </c>
      <c r="BE442" s="141">
        <f ca="1">IFERROR(__xludf.DUMMYFUNCTION("""COMPUTED_VALUE"""),44323)</f>
        <v>44323</v>
      </c>
      <c r="BF442" s="141">
        <f ca="1">IFERROR(__xludf.DUMMYFUNCTION("""COMPUTED_VALUE"""),44507)</f>
        <v>44507</v>
      </c>
      <c r="BG442" s="141">
        <f ca="1">IFERROR(__xludf.DUMMYFUNCTION("""COMPUTED_VALUE"""),45053)</f>
        <v>45053</v>
      </c>
      <c r="BH442" s="40" t="str">
        <f ca="1">IFERROR(__xludf.DUMMYFUNCTION("""COMPUTED_VALUE"""),"FICHA EN TIEMPO-18 MESES")</f>
        <v>FICHA EN TIEMPO-18 MESES</v>
      </c>
      <c r="BI442" s="40" t="str">
        <f ca="1">IFERROR(__xludf.DUMMYFUNCTION("""COMPUTED_VALUE"""),"Terminada por fecha")</f>
        <v>Terminada por fecha</v>
      </c>
      <c r="BJ442" s="40" t="str">
        <f ca="1">IFERROR(__xludf.DUMMYFUNCTION("""COMPUTED_VALUE"""),"Yamboro")</f>
        <v>Yamboro</v>
      </c>
      <c r="BK442" s="40"/>
      <c r="BL442" s="40"/>
    </row>
    <row r="443" spans="1:64" ht="13">
      <c r="A443" s="40"/>
      <c r="B443" s="40" t="str">
        <f ca="1">IFERROR(__xludf.DUMMYFUNCTION("""COMPUTED_VALUE"""),"FORMACIÓN 18/10/2022")</f>
        <v>FORMACIÓN 18/10/2022</v>
      </c>
      <c r="C443" s="40" t="str">
        <f ca="1">IFERROR(__xludf.DUMMYFUNCTION("""COMPUTED_VALUE"""),"DIANA YASMIN SANCHEZ CHAVARRO")</f>
        <v>DIANA YASMIN SANCHEZ CHAVARRO</v>
      </c>
      <c r="D443" s="40" t="str">
        <f ca="1">IFERROR(__xludf.DUMMYFUNCTION("""COMPUTED_VALUE"""),"CC")</f>
        <v>CC</v>
      </c>
      <c r="E443" s="40">
        <f ca="1">IFERROR(__xludf.DUMMYFUNCTION("""COMPUTED_VALUE"""),1085000000)</f>
        <v>1085000000</v>
      </c>
      <c r="F443" s="40">
        <f ca="1">IFERROR(__xludf.DUMMYFUNCTION("""COMPUTED_VALUE"""),2195017)</f>
        <v>2195017</v>
      </c>
      <c r="G443" s="40" t="str">
        <f ca="1">IFERROR(__xludf.DUMMYFUNCTION("""COMPUTED_VALUE"""),"TÉCNICO")</f>
        <v>TÉCNICO</v>
      </c>
      <c r="H443" s="40" t="str">
        <f ca="1">IFERROR(__xludf.DUMMYFUNCTION("""COMPUTED_VALUE"""),"MONITOREO AMBIENTAL")</f>
        <v>MONITOREO AMBIENTAL</v>
      </c>
      <c r="I443" s="40">
        <f ca="1">IFERROR(__xludf.DUMMYFUNCTION("""COMPUTED_VALUE"""),3224645301)</f>
        <v>3224645301</v>
      </c>
      <c r="J443" s="40" t="str">
        <f ca="1">IFERROR(__xludf.DUMMYFUNCTION("""COMPUTED_VALUE"""),"sussan18ago@gmail.com")</f>
        <v>sussan18ago@gmail.com</v>
      </c>
      <c r="K443" s="40" t="str">
        <f ca="1">IFERROR(__xludf.DUMMYFUNCTION("""COMPUTED_VALUE"""),"Pitalito")</f>
        <v>Pitalito</v>
      </c>
      <c r="L443" s="40" t="str">
        <f ca="1">IFERROR(__xludf.DUMMYFUNCTION("""COMPUTED_VALUE"""),"NO HA INICIADO ETAPA PRODUCTIVA")</f>
        <v>NO HA INICIADO ETAPA PRODUCTIVA</v>
      </c>
      <c r="M443" s="40"/>
      <c r="N443" s="40"/>
      <c r="O443" s="40"/>
      <c r="P443" s="40"/>
      <c r="Q443" s="40"/>
      <c r="R443" s="140"/>
      <c r="S443" s="140"/>
      <c r="T443" s="40" t="str">
        <f ca="1">IFERROR(__xludf.DUMMYFUNCTION("""COMPUTED_VALUE"""),"madre soltera")</f>
        <v>madre soltera</v>
      </c>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t="str">
        <f ca="1">IFERROR(__xludf.DUMMYFUNCTION("""COMPUTED_VALUE"""),"NO_CUMPLE")</f>
        <v>NO_CUMPLE</v>
      </c>
      <c r="AV443" s="40"/>
      <c r="AW443" s="40" t="str">
        <f ca="1">IFERROR(__xludf.DUMMYFUNCTION("""COMPUTED_VALUE"""),"AMBIENTAL")</f>
        <v>AMBIENTAL</v>
      </c>
      <c r="AX443" s="141"/>
      <c r="AY443" s="40"/>
      <c r="AZ443" s="40"/>
      <c r="BA443" s="40"/>
      <c r="BB443" s="40"/>
      <c r="BC443" s="40"/>
      <c r="BD443" s="141"/>
      <c r="BE443" s="141"/>
      <c r="BF443" s="141">
        <f ca="1">IFERROR(__xludf.DUMMYFUNCTION("""COMPUTED_VALUE"""),44561)</f>
        <v>44561</v>
      </c>
      <c r="BG443" s="141">
        <f ca="1">IFERROR(__xludf.DUMMYFUNCTION("""COMPUTED_VALUE"""),45107)</f>
        <v>45107</v>
      </c>
      <c r="BH443" s="40" t="str">
        <f ca="1">IFERROR(__xludf.DUMMYFUNCTION("""COMPUTED_VALUE"""),"FICHA EN TIEMPO-18 MESES")</f>
        <v>FICHA EN TIEMPO-18 MESES</v>
      </c>
      <c r="BI443" s="40" t="str">
        <f ca="1">IFERROR(__xludf.DUMMYFUNCTION("""COMPUTED_VALUE"""),"Terminada por fecha")</f>
        <v>Terminada por fecha</v>
      </c>
      <c r="BJ443" s="40" t="str">
        <f ca="1">IFERROR(__xludf.DUMMYFUNCTION("""COMPUTED_VALUE"""),"Yamboro")</f>
        <v>Yamboro</v>
      </c>
      <c r="BK443" s="40"/>
      <c r="BL443" s="40"/>
    </row>
    <row r="444" spans="1:64" ht="13">
      <c r="A444" s="40"/>
      <c r="B444" s="40" t="str">
        <f ca="1">IFERROR(__xludf.DUMMYFUNCTION("""COMPUTED_VALUE"""),"CONDICIONADO 18/10/2022")</f>
        <v>CONDICIONADO 18/10/2022</v>
      </c>
      <c r="C444" s="40" t="str">
        <f ca="1">IFERROR(__xludf.DUMMYFUNCTION("""COMPUTED_VALUE"""),"JEISON ANDRES TOVAR SALCEDO")</f>
        <v>JEISON ANDRES TOVAR SALCEDO</v>
      </c>
      <c r="D444" s="40" t="str">
        <f ca="1">IFERROR(__xludf.DUMMYFUNCTION("""COMPUTED_VALUE"""),"CC")</f>
        <v>CC</v>
      </c>
      <c r="E444" s="40">
        <f ca="1">IFERROR(__xludf.DUMMYFUNCTION("""COMPUTED_VALUE"""),1007336966)</f>
        <v>1007336966</v>
      </c>
      <c r="F444" s="40">
        <f ca="1">IFERROR(__xludf.DUMMYFUNCTION("""COMPUTED_VALUE"""),2056452)</f>
        <v>2056452</v>
      </c>
      <c r="G444" s="40" t="str">
        <f ca="1">IFERROR(__xludf.DUMMYFUNCTION("""COMPUTED_VALUE"""),"TECNÓLOGO")</f>
        <v>TECNÓLOGO</v>
      </c>
      <c r="H444" s="40" t="str">
        <f ca="1">IFERROR(__xludf.DUMMYFUNCTION("""COMPUTED_VALUE"""),"GESTIÓN DE RECURSOS NATURALES")</f>
        <v>GESTIÓN DE RECURSOS NATURALES</v>
      </c>
      <c r="I444" s="40"/>
      <c r="J444" s="40" t="str">
        <f ca="1">IFERROR(__xludf.DUMMYFUNCTION("""COMPUTED_VALUE"""),"andrestovar1816@gmail.com")</f>
        <v>andrestovar1816@gmail.com</v>
      </c>
      <c r="K444" s="40" t="str">
        <f ca="1">IFERROR(__xludf.DUMMYFUNCTION("""COMPUTED_VALUE"""),"San Agustín")</f>
        <v>San Agustín</v>
      </c>
      <c r="L444" s="40" t="str">
        <f ca="1">IFERROR(__xludf.DUMMYFUNCTION("""COMPUTED_VALUE"""),"NO HA INICIADO ETAPA PRODUCTIVA")</f>
        <v>NO HA INICIADO ETAPA PRODUCTIVA</v>
      </c>
      <c r="M444" s="40"/>
      <c r="N444" s="40"/>
      <c r="O444" s="40"/>
      <c r="P444" s="40"/>
      <c r="Q444" s="40"/>
      <c r="R444" s="140"/>
      <c r="S444" s="140"/>
      <c r="T444" s="40"/>
      <c r="U444" s="40"/>
      <c r="V444" s="40"/>
      <c r="W444" s="40"/>
      <c r="X444" s="40"/>
      <c r="Y444" s="40" t="str">
        <f ca="1">IFERROR(__xludf.DUMMYFUNCTION("""COMPUTED_VALUE"""),"ANA MILENA CAMACHO - Subió - Subió otras evidencias ya se encontraba en el drive con las mismas fechas y firmas - Bitácoras 1,2 y 3 .. Revisado 208/2022")</f>
        <v>ANA MILENA CAMACHO - Subió - Subió otras evidencias ya se encontraba en el drive con las mismas fechas y firmas - Bitácoras 1,2 y 3 .. Revisado 208/2022</v>
      </c>
      <c r="Z444" s="40" t="str">
        <f ca="1">IFERROR(__xludf.DUMMYFUNCTION("""COMPUTED_VALUE"""),"SI tiene seguimiento 23/08//2022")</f>
        <v>SI tiene seguimiento 23/08//2022</v>
      </c>
      <c r="AA444" s="40"/>
      <c r="AB444" s="40"/>
      <c r="AC444" s="40"/>
      <c r="AD444" s="40"/>
      <c r="AE444" s="40"/>
      <c r="AF444" s="40"/>
      <c r="AG444" s="40"/>
      <c r="AH444" s="40"/>
      <c r="AI444" s="40"/>
      <c r="AJ444" s="40"/>
      <c r="AK444" s="40"/>
      <c r="AL444" s="40"/>
      <c r="AM444" s="40"/>
      <c r="AN444" s="40"/>
      <c r="AO444" s="40"/>
      <c r="AP444" s="40"/>
      <c r="AQ444" s="40"/>
      <c r="AR444" s="40"/>
      <c r="AS444" s="40"/>
      <c r="AT444" s="40"/>
      <c r="AU444" s="40" t="str">
        <f ca="1">IFERROR(__xludf.DUMMYFUNCTION("""COMPUTED_VALUE"""),"Procede_E_P")</f>
        <v>Procede_E_P</v>
      </c>
      <c r="AV444" s="40" t="str">
        <f ca="1">IFERROR(__xludf.DUMMYFUNCTION("""COMPUTED_VALUE"""),"CONDICIONADO")</f>
        <v>CONDICIONADO</v>
      </c>
      <c r="AW444" s="40" t="str">
        <f ca="1">IFERROR(__xludf.DUMMYFUNCTION("""COMPUTED_VALUE"""),"AMBIENTAL")</f>
        <v>AMBIENTAL</v>
      </c>
      <c r="AX444" s="141">
        <f ca="1">IFERROR(__xludf.DUMMYFUNCTION("""COMPUTED_VALUE"""),44848)</f>
        <v>44848</v>
      </c>
      <c r="AY444" s="40">
        <f ca="1">IFERROR(__xludf.DUMMYFUNCTION("""COMPUTED_VALUE"""),0)</f>
        <v>0</v>
      </c>
      <c r="AZ444" s="40">
        <f ca="1">IFERROR(__xludf.DUMMYFUNCTION("""COMPUTED_VALUE"""),1)</f>
        <v>1</v>
      </c>
      <c r="BA444" s="40">
        <f ca="1">IFERROR(__xludf.DUMMYFUNCTION("""COMPUTED_VALUE"""),0)</f>
        <v>0</v>
      </c>
      <c r="BB444" s="40">
        <f ca="1">IFERROR(__xludf.DUMMYFUNCTION("""COMPUTED_VALUE"""),0)</f>
        <v>0</v>
      </c>
      <c r="BC444" s="40">
        <f ca="1">IFERROR(__xludf.DUMMYFUNCTION("""COMPUTED_VALUE"""),1)</f>
        <v>1</v>
      </c>
      <c r="BD444" s="141">
        <f ca="1">IFERROR(__xludf.DUMMYFUNCTION("""COMPUTED_VALUE"""),43815)</f>
        <v>43815</v>
      </c>
      <c r="BE444" s="141">
        <f ca="1">IFERROR(__xludf.DUMMYFUNCTION("""COMPUTED_VALUE"""),44377)</f>
        <v>44377</v>
      </c>
      <c r="BF444" s="141">
        <f ca="1">IFERROR(__xludf.DUMMYFUNCTION("""COMPUTED_VALUE"""),44560)</f>
        <v>44560</v>
      </c>
      <c r="BG444" s="141">
        <f ca="1">IFERROR(__xludf.DUMMYFUNCTION("""COMPUTED_VALUE"""),45107)</f>
        <v>45107</v>
      </c>
      <c r="BH444" s="40" t="str">
        <f ca="1">IFERROR(__xludf.DUMMYFUNCTION("""COMPUTED_VALUE"""),"FICHA EN TIEMPO-18 MESES")</f>
        <v>FICHA EN TIEMPO-18 MESES</v>
      </c>
      <c r="BI444" s="40" t="str">
        <f ca="1">IFERROR(__xludf.DUMMYFUNCTION("""COMPUTED_VALUE"""),"Terminada por fecha")</f>
        <v>Terminada por fecha</v>
      </c>
      <c r="BJ444" s="40" t="str">
        <f ca="1">IFERROR(__xludf.DUMMYFUNCTION("""COMPUTED_VALUE"""),"Yamboro")</f>
        <v>Yamboro</v>
      </c>
      <c r="BK444" s="40"/>
      <c r="BL444" s="40"/>
    </row>
    <row r="445" spans="1:64" ht="13">
      <c r="A445" s="40"/>
      <c r="B445" s="40" t="str">
        <f ca="1">IFERROR(__xludf.DUMMYFUNCTION("""COMPUTED_VALUE"""),"FORMACIÓN 18/10/2022")</f>
        <v>FORMACIÓN 18/10/2022</v>
      </c>
      <c r="C445" s="40" t="str">
        <f ca="1">IFERROR(__xludf.DUMMYFUNCTION("""COMPUTED_VALUE"""),"ANGIE NATALIA RAMÓN GIL")</f>
        <v>ANGIE NATALIA RAMÓN GIL</v>
      </c>
      <c r="D445" s="40" t="str">
        <f ca="1">IFERROR(__xludf.DUMMYFUNCTION("""COMPUTED_VALUE"""),"CC")</f>
        <v>CC</v>
      </c>
      <c r="E445" s="40">
        <f ca="1">IFERROR(__xludf.DUMMYFUNCTION("""COMPUTED_VALUE"""),1007575798)</f>
        <v>1007575798</v>
      </c>
      <c r="F445" s="40">
        <f ca="1">IFERROR(__xludf.DUMMYFUNCTION("""COMPUTED_VALUE"""),2056452)</f>
        <v>2056452</v>
      </c>
      <c r="G445" s="40" t="str">
        <f ca="1">IFERROR(__xludf.DUMMYFUNCTION("""COMPUTED_VALUE"""),"TECNÓLOGO")</f>
        <v>TECNÓLOGO</v>
      </c>
      <c r="H445" s="40" t="str">
        <f ca="1">IFERROR(__xludf.DUMMYFUNCTION("""COMPUTED_VALUE"""),"GESTIÓN DE RECURSOS NATURALES")</f>
        <v>GESTIÓN DE RECURSOS NATURALES</v>
      </c>
      <c r="I445" s="40"/>
      <c r="J445" s="40" t="str">
        <f ca="1">IFERROR(__xludf.DUMMYFUNCTION("""COMPUTED_VALUE"""),"angieramon565@gmail.com")</f>
        <v>angieramon565@gmail.com</v>
      </c>
      <c r="K445" s="40" t="str">
        <f ca="1">IFERROR(__xludf.DUMMYFUNCTION("""COMPUTED_VALUE"""),"pitalito")</f>
        <v>pitalito</v>
      </c>
      <c r="L445" s="40" t="str">
        <f ca="1">IFERROR(__xludf.DUMMYFUNCTION("""COMPUTED_VALUE"""),"NO HA INICIADO ETAPA PRODUCTIVA")</f>
        <v>NO HA INICIADO ETAPA PRODUCTIVA</v>
      </c>
      <c r="M445" s="40"/>
      <c r="N445" s="40"/>
      <c r="O445" s="40"/>
      <c r="P445" s="40"/>
      <c r="Q445" s="40"/>
      <c r="R445" s="140"/>
      <c r="S445" s="1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t="str">
        <f ca="1">IFERROR(__xludf.DUMMYFUNCTION("""COMPUTED_VALUE"""),"Procede_E_P")</f>
        <v>Procede_E_P</v>
      </c>
      <c r="AV445" s="40" t="str">
        <f ca="1">IFERROR(__xludf.DUMMYFUNCTION("""COMPUTED_VALUE"""),"EN FORMACION")</f>
        <v>EN FORMACION</v>
      </c>
      <c r="AW445" s="40" t="str">
        <f ca="1">IFERROR(__xludf.DUMMYFUNCTION("""COMPUTED_VALUE"""),"AMBIENTAL")</f>
        <v>AMBIENTAL</v>
      </c>
      <c r="AX445" s="141">
        <f ca="1">IFERROR(__xludf.DUMMYFUNCTION("""COMPUTED_VALUE"""),44848)</f>
        <v>44848</v>
      </c>
      <c r="AY445" s="40">
        <f ca="1">IFERROR(__xludf.DUMMYFUNCTION("""COMPUTED_VALUE"""),0)</f>
        <v>0</v>
      </c>
      <c r="AZ445" s="40">
        <f ca="1">IFERROR(__xludf.DUMMYFUNCTION("""COMPUTED_VALUE"""),1)</f>
        <v>1</v>
      </c>
      <c r="BA445" s="40">
        <f ca="1">IFERROR(__xludf.DUMMYFUNCTION("""COMPUTED_VALUE"""),0)</f>
        <v>0</v>
      </c>
      <c r="BB445" s="40">
        <f ca="1">IFERROR(__xludf.DUMMYFUNCTION("""COMPUTED_VALUE"""),0)</f>
        <v>0</v>
      </c>
      <c r="BC445" s="40">
        <f ca="1">IFERROR(__xludf.DUMMYFUNCTION("""COMPUTED_VALUE"""),1)</f>
        <v>1</v>
      </c>
      <c r="BD445" s="141">
        <f ca="1">IFERROR(__xludf.DUMMYFUNCTION("""COMPUTED_VALUE"""),43815)</f>
        <v>43815</v>
      </c>
      <c r="BE445" s="141">
        <f ca="1">IFERROR(__xludf.DUMMYFUNCTION("""COMPUTED_VALUE"""),44377)</f>
        <v>44377</v>
      </c>
      <c r="BF445" s="141">
        <f ca="1">IFERROR(__xludf.DUMMYFUNCTION("""COMPUTED_VALUE"""),44560)</f>
        <v>44560</v>
      </c>
      <c r="BG445" s="141">
        <f ca="1">IFERROR(__xludf.DUMMYFUNCTION("""COMPUTED_VALUE"""),45107)</f>
        <v>45107</v>
      </c>
      <c r="BH445" s="40" t="str">
        <f ca="1">IFERROR(__xludf.DUMMYFUNCTION("""COMPUTED_VALUE"""),"FICHA EN TIEMPO-18 MESES")</f>
        <v>FICHA EN TIEMPO-18 MESES</v>
      </c>
      <c r="BI445" s="40" t="str">
        <f ca="1">IFERROR(__xludf.DUMMYFUNCTION("""COMPUTED_VALUE"""),"Terminada por fecha")</f>
        <v>Terminada por fecha</v>
      </c>
      <c r="BJ445" s="40" t="str">
        <f ca="1">IFERROR(__xludf.DUMMYFUNCTION("""COMPUTED_VALUE"""),"Yamboro")</f>
        <v>Yamboro</v>
      </c>
      <c r="BK445" s="40"/>
      <c r="BL445" s="40"/>
    </row>
    <row r="446" spans="1:64" ht="13">
      <c r="A446" s="40"/>
      <c r="B446" s="40" t="str">
        <f ca="1">IFERROR(__xludf.DUMMYFUNCTION("""COMPUTED_VALUE"""),"FORMACIÓN 18/10/2022")</f>
        <v>FORMACIÓN 18/10/2022</v>
      </c>
      <c r="C446" s="40" t="str">
        <f ca="1">IFERROR(__xludf.DUMMYFUNCTION("""COMPUTED_VALUE"""),"MAYERLY ROJAS GOMEZ")</f>
        <v>MAYERLY ROJAS GOMEZ</v>
      </c>
      <c r="D446" s="40" t="str">
        <f ca="1">IFERROR(__xludf.DUMMYFUNCTION("""COMPUTED_VALUE"""),"CC")</f>
        <v>CC</v>
      </c>
      <c r="E446" s="40">
        <f ca="1">IFERROR(__xludf.DUMMYFUNCTION("""COMPUTED_VALUE"""),1010119811)</f>
        <v>1010119811</v>
      </c>
      <c r="F446" s="40">
        <f ca="1">IFERROR(__xludf.DUMMYFUNCTION("""COMPUTED_VALUE"""),2056452)</f>
        <v>2056452</v>
      </c>
      <c r="G446" s="40" t="str">
        <f ca="1">IFERROR(__xludf.DUMMYFUNCTION("""COMPUTED_VALUE"""),"TECNÓLOGO")</f>
        <v>TECNÓLOGO</v>
      </c>
      <c r="H446" s="40" t="str">
        <f ca="1">IFERROR(__xludf.DUMMYFUNCTION("""COMPUTED_VALUE"""),"GESTIÓN DE RECURSOS NATURALES")</f>
        <v>GESTIÓN DE RECURSOS NATURALES</v>
      </c>
      <c r="I446" s="40"/>
      <c r="J446" s="40" t="str">
        <f ca="1">IFERROR(__xludf.DUMMYFUNCTION("""COMPUTED_VALUE"""),"mayerli26rojas@gmail.com")</f>
        <v>mayerli26rojas@gmail.com</v>
      </c>
      <c r="K446" s="40" t="str">
        <f ca="1">IFERROR(__xludf.DUMMYFUNCTION("""COMPUTED_VALUE"""),"Pitalito")</f>
        <v>Pitalito</v>
      </c>
      <c r="L446" s="40" t="str">
        <f ca="1">IFERROR(__xludf.DUMMYFUNCTION("""COMPUTED_VALUE"""),"NO HA INICIADO ETAPA PRODUCTIVA")</f>
        <v>NO HA INICIADO ETAPA PRODUCTIVA</v>
      </c>
      <c r="M446" s="40"/>
      <c r="N446" s="40"/>
      <c r="O446" s="40"/>
      <c r="P446" s="40"/>
      <c r="Q446" s="40"/>
      <c r="R446" s="140"/>
      <c r="S446" s="140"/>
      <c r="T446" s="40"/>
      <c r="U446" s="40"/>
      <c r="V446" s="40"/>
      <c r="W446" s="40"/>
      <c r="X446" s="40" t="str">
        <f ca="1">IFERROR(__xludf.DUMMYFUNCTION("""COMPUTED_VALUE"""),"NO TIENE SEGUIMIENTO 22/04/2022")</f>
        <v>NO TIENE SEGUIMIENTO 22/04/2022</v>
      </c>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t="str">
        <f ca="1">IFERROR(__xludf.DUMMYFUNCTION("""COMPUTED_VALUE"""),"Procede_E_P")</f>
        <v>Procede_E_P</v>
      </c>
      <c r="AV446" s="40" t="str">
        <f ca="1">IFERROR(__xludf.DUMMYFUNCTION("""COMPUTED_VALUE"""),"EN FORMACION")</f>
        <v>EN FORMACION</v>
      </c>
      <c r="AW446" s="40" t="str">
        <f ca="1">IFERROR(__xludf.DUMMYFUNCTION("""COMPUTED_VALUE"""),"AMBIENTAL")</f>
        <v>AMBIENTAL</v>
      </c>
      <c r="AX446" s="141">
        <f ca="1">IFERROR(__xludf.DUMMYFUNCTION("""COMPUTED_VALUE"""),44848)</f>
        <v>44848</v>
      </c>
      <c r="AY446" s="40">
        <f ca="1">IFERROR(__xludf.DUMMYFUNCTION("""COMPUTED_VALUE"""),0)</f>
        <v>0</v>
      </c>
      <c r="AZ446" s="40">
        <f ca="1">IFERROR(__xludf.DUMMYFUNCTION("""COMPUTED_VALUE"""),1)</f>
        <v>1</v>
      </c>
      <c r="BA446" s="40">
        <f ca="1">IFERROR(__xludf.DUMMYFUNCTION("""COMPUTED_VALUE"""),0)</f>
        <v>0</v>
      </c>
      <c r="BB446" s="40">
        <f ca="1">IFERROR(__xludf.DUMMYFUNCTION("""COMPUTED_VALUE"""),0)</f>
        <v>0</v>
      </c>
      <c r="BC446" s="40">
        <f ca="1">IFERROR(__xludf.DUMMYFUNCTION("""COMPUTED_VALUE"""),1)</f>
        <v>1</v>
      </c>
      <c r="BD446" s="141">
        <f ca="1">IFERROR(__xludf.DUMMYFUNCTION("""COMPUTED_VALUE"""),43815)</f>
        <v>43815</v>
      </c>
      <c r="BE446" s="141">
        <f ca="1">IFERROR(__xludf.DUMMYFUNCTION("""COMPUTED_VALUE"""),44377)</f>
        <v>44377</v>
      </c>
      <c r="BF446" s="141">
        <f ca="1">IFERROR(__xludf.DUMMYFUNCTION("""COMPUTED_VALUE"""),44560)</f>
        <v>44560</v>
      </c>
      <c r="BG446" s="141">
        <f ca="1">IFERROR(__xludf.DUMMYFUNCTION("""COMPUTED_VALUE"""),45107)</f>
        <v>45107</v>
      </c>
      <c r="BH446" s="40" t="str">
        <f ca="1">IFERROR(__xludf.DUMMYFUNCTION("""COMPUTED_VALUE"""),"FICHA EN TIEMPO-18 MESES")</f>
        <v>FICHA EN TIEMPO-18 MESES</v>
      </c>
      <c r="BI446" s="40" t="str">
        <f ca="1">IFERROR(__xludf.DUMMYFUNCTION("""COMPUTED_VALUE"""),"Terminada por fecha")</f>
        <v>Terminada por fecha</v>
      </c>
      <c r="BJ446" s="40" t="str">
        <f ca="1">IFERROR(__xludf.DUMMYFUNCTION("""COMPUTED_VALUE"""),"Yamboro")</f>
        <v>Yamboro</v>
      </c>
      <c r="BK446" s="40"/>
      <c r="BL446" s="40"/>
    </row>
    <row r="447" spans="1:64" ht="13">
      <c r="A447" s="40"/>
      <c r="B447" s="40" t="str">
        <f ca="1">IFERROR(__xludf.DUMMYFUNCTION("""COMPUTED_VALUE"""),"FORMACIÓN 18/10/2022")</f>
        <v>FORMACIÓN 18/10/2022</v>
      </c>
      <c r="C447" s="40" t="str">
        <f ca="1">IFERROR(__xludf.DUMMYFUNCTION("""COMPUTED_VALUE"""),"KARLA YURLEY GONZALEZ OSORIO")</f>
        <v>KARLA YURLEY GONZALEZ OSORIO</v>
      </c>
      <c r="D447" s="40" t="str">
        <f ca="1">IFERROR(__xludf.DUMMYFUNCTION("""COMPUTED_VALUE"""),"CC")</f>
        <v>CC</v>
      </c>
      <c r="E447" s="40">
        <f ca="1">IFERROR(__xludf.DUMMYFUNCTION("""COMPUTED_VALUE"""),1004147139)</f>
        <v>1004147139</v>
      </c>
      <c r="F447" s="40">
        <f ca="1">IFERROR(__xludf.DUMMYFUNCTION("""COMPUTED_VALUE"""),2067423)</f>
        <v>2067423</v>
      </c>
      <c r="G447" s="40" t="str">
        <f ca="1">IFERROR(__xludf.DUMMYFUNCTION("""COMPUTED_VALUE"""),"TECNÓLOGO")</f>
        <v>TECNÓLOGO</v>
      </c>
      <c r="H447" s="40" t="str">
        <f ca="1">IFERROR(__xludf.DUMMYFUNCTION("""COMPUTED_VALUE"""),"GESTIÓN DE RECURSOS NATURALES")</f>
        <v>GESTIÓN DE RECURSOS NATURALES</v>
      </c>
      <c r="I447" s="40"/>
      <c r="J447" s="40" t="str">
        <f ca="1">IFERROR(__xludf.DUMMYFUNCTION("""COMPUTED_VALUE"""),"kygonzalez93@misena.edu.co")</f>
        <v>kygonzalez93@misena.edu.co</v>
      </c>
      <c r="K447" s="40" t="str">
        <f ca="1">IFERROR(__xludf.DUMMYFUNCTION("""COMPUTED_VALUE"""),"Gigante Huila")</f>
        <v>Gigante Huila</v>
      </c>
      <c r="L447" s="40" t="str">
        <f ca="1">IFERROR(__xludf.DUMMYFUNCTION("""COMPUTED_VALUE"""),"CONTRATO DE APRENDIZAJE")</f>
        <v>CONTRATO DE APRENDIZAJE</v>
      </c>
      <c r="M447" s="40" t="str">
        <f ca="1">IFERROR(__xludf.DUMMYFUNCTION("""COMPUTED_VALUE"""),"FEDERACION NACIONAL DE CAFETEROS DE COLOMBIA")</f>
        <v>FEDERACION NACIONAL DE CAFETEROS DE COLOMBIA</v>
      </c>
      <c r="N447" s="40"/>
      <c r="O447" s="40"/>
      <c r="P447" s="40"/>
      <c r="Q447" s="40"/>
      <c r="R447" s="140">
        <f ca="1">IFERROR(__xludf.DUMMYFUNCTION("""COMPUTED_VALUE"""),44672)</f>
        <v>44672</v>
      </c>
      <c r="S447" s="140">
        <f ca="1">IFERROR(__xludf.DUMMYFUNCTION("""COMPUTED_VALUE"""),44854)</f>
        <v>44854</v>
      </c>
      <c r="T447" s="40" t="str">
        <f ca="1">IFERROR(__xludf.DUMMYFUNCTION("""COMPUTED_VALUE"""),"Tiene contrato de aprendízaje, inicial , parcial y bitácora N°1, 2,3,4,5,6,7 y 8 ... Falta final , certificación y bitácoras 9,10,11 y 12 ... Revisado 30/08/2022")</f>
        <v>Tiene contrato de aprendízaje, inicial , parcial y bitácora N°1, 2,3,4,5,6,7 y 8 ... Falta final , certificación y bitácoras 9,10,11 y 12 ... Revisado 30/08/2022</v>
      </c>
      <c r="U447" s="40"/>
      <c r="V447" s="40"/>
      <c r="W447" s="40"/>
      <c r="X447" s="40"/>
      <c r="Y447" s="40" t="str">
        <f ca="1">IFERROR(__xludf.DUMMYFUNCTION("""COMPUTED_VALUE"""),"DIANA LORENA AVILA - Asignada  - Subió Inicial, parcial y bitácoras 1,2,3,4,5,6,7 y 8... Revisado 30/08/2022")</f>
        <v>DIANA LORENA AVILA - Asignada  - Subió Inicial, parcial y bitácoras 1,2,3,4,5,6,7 y 8... Revisado 30/08/2022</v>
      </c>
      <c r="Z447" s="40" t="str">
        <f ca="1">IFERROR(__xludf.DUMMYFUNCTION("""COMPUTED_VALUE"""),"SI tiene seguimiento 30/08/2022")</f>
        <v>SI tiene seguimiento 30/08/2022</v>
      </c>
      <c r="AA447" s="40"/>
      <c r="AB447" s="40"/>
      <c r="AC447" s="40"/>
      <c r="AD447" s="40"/>
      <c r="AE447" s="40"/>
      <c r="AF447" s="40"/>
      <c r="AG447" s="40"/>
      <c r="AH447" s="40"/>
      <c r="AI447" s="40"/>
      <c r="AJ447" s="40"/>
      <c r="AK447" s="40"/>
      <c r="AL447" s="40"/>
      <c r="AM447" s="40"/>
      <c r="AN447" s="40"/>
      <c r="AO447" s="40"/>
      <c r="AP447" s="40"/>
      <c r="AQ447" s="40"/>
      <c r="AR447" s="40"/>
      <c r="AS447" s="40"/>
      <c r="AT447" s="40"/>
      <c r="AU447" s="40" t="str">
        <f ca="1">IFERROR(__xludf.DUMMYFUNCTION("""COMPUTED_VALUE"""),"Procede_E_P")</f>
        <v>Procede_E_P</v>
      </c>
      <c r="AV447" s="40" t="str">
        <f ca="1">IFERROR(__xludf.DUMMYFUNCTION("""COMPUTED_VALUE"""),"EN FORMACION")</f>
        <v>EN FORMACION</v>
      </c>
      <c r="AW447" s="40" t="str">
        <f ca="1">IFERROR(__xludf.DUMMYFUNCTION("""COMPUTED_VALUE"""),"AMBIENTAL")</f>
        <v>AMBIENTAL</v>
      </c>
      <c r="AX447" s="141">
        <f ca="1">IFERROR(__xludf.DUMMYFUNCTION("""COMPUTED_VALUE"""),44839)</f>
        <v>44839</v>
      </c>
      <c r="AY447" s="40">
        <f ca="1">IFERROR(__xludf.DUMMYFUNCTION("""COMPUTED_VALUE"""),0)</f>
        <v>0</v>
      </c>
      <c r="AZ447" s="40">
        <f ca="1">IFERROR(__xludf.DUMMYFUNCTION("""COMPUTED_VALUE"""),1)</f>
        <v>1</v>
      </c>
      <c r="BA447" s="40">
        <f ca="1">IFERROR(__xludf.DUMMYFUNCTION("""COMPUTED_VALUE"""),0)</f>
        <v>0</v>
      </c>
      <c r="BB447" s="40">
        <f ca="1">IFERROR(__xludf.DUMMYFUNCTION("""COMPUTED_VALUE"""),0)</f>
        <v>0</v>
      </c>
      <c r="BC447" s="40">
        <f ca="1">IFERROR(__xludf.DUMMYFUNCTION("""COMPUTED_VALUE"""),1)</f>
        <v>1</v>
      </c>
      <c r="BD447" s="141">
        <f ca="1">IFERROR(__xludf.DUMMYFUNCTION("""COMPUTED_VALUE"""),43934)</f>
        <v>43934</v>
      </c>
      <c r="BE447" s="141">
        <f ca="1">IFERROR(__xludf.DUMMYFUNCTION("""COMPUTED_VALUE"""),44511)</f>
        <v>44511</v>
      </c>
      <c r="BF447" s="141">
        <f ca="1">IFERROR(__xludf.DUMMYFUNCTION("""COMPUTED_VALUE"""),44692)</f>
        <v>44692</v>
      </c>
      <c r="BG447" s="141">
        <f ca="1">IFERROR(__xludf.DUMMYFUNCTION("""COMPUTED_VALUE"""),45241)</f>
        <v>45241</v>
      </c>
      <c r="BH447" s="40" t="str">
        <f ca="1">IFERROR(__xludf.DUMMYFUNCTION("""COMPUTED_VALUE"""),"FICHA EN TIEMPO-18 MESES")</f>
        <v>FICHA EN TIEMPO-18 MESES</v>
      </c>
      <c r="BI447" s="40" t="str">
        <f ca="1">IFERROR(__xludf.DUMMYFUNCTION("""COMPUTED_VALUE"""),"Terminada por fecha")</f>
        <v>Terminada por fecha</v>
      </c>
      <c r="BJ447" s="40" t="str">
        <f ca="1">IFERROR(__xludf.DUMMYFUNCTION("""COMPUTED_VALUE"""),"Yamboro")</f>
        <v>Yamboro</v>
      </c>
      <c r="BK447" s="40"/>
      <c r="BL447" s="40"/>
    </row>
    <row r="448" spans="1:64" ht="13">
      <c r="A448" s="40"/>
      <c r="B448" s="40" t="str">
        <f ca="1">IFERROR(__xludf.DUMMYFUNCTION("""COMPUTED_VALUE"""),"FORMACIÓN 18/10/2022")</f>
        <v>FORMACIÓN 18/10/2022</v>
      </c>
      <c r="C448" s="40" t="str">
        <f ca="1">IFERROR(__xludf.DUMMYFUNCTION("""COMPUTED_VALUE"""),"KAREN DAYANA ROJAS GOMEZ
")</f>
        <v xml:space="preserve">KAREN DAYANA ROJAS GOMEZ
</v>
      </c>
      <c r="D448" s="40" t="str">
        <f ca="1">IFERROR(__xludf.DUMMYFUNCTION("""COMPUTED_VALUE"""),"CC")</f>
        <v>CC</v>
      </c>
      <c r="E448" s="40">
        <f ca="1">IFERROR(__xludf.DUMMYFUNCTION("""COMPUTED_VALUE"""),1003904586)</f>
        <v>1003904586</v>
      </c>
      <c r="F448" s="40">
        <f ca="1">IFERROR(__xludf.DUMMYFUNCTION("""COMPUTED_VALUE"""),2067423)</f>
        <v>2067423</v>
      </c>
      <c r="G448" s="40" t="str">
        <f ca="1">IFERROR(__xludf.DUMMYFUNCTION("""COMPUTED_VALUE"""),"TECNÓLOGO")</f>
        <v>TECNÓLOGO</v>
      </c>
      <c r="H448" s="40" t="str">
        <f ca="1">IFERROR(__xludf.DUMMYFUNCTION("""COMPUTED_VALUE"""),"GESTIÓN DE RECURSOS NATURALES")</f>
        <v>GESTIÓN DE RECURSOS NATURALES</v>
      </c>
      <c r="I448" s="40"/>
      <c r="J448" s="40"/>
      <c r="K448" s="40"/>
      <c r="L448" s="40" t="str">
        <f ca="1">IFERROR(__xludf.DUMMYFUNCTION("""COMPUTED_VALUE"""),"CONTRATO DE APRENDIZAJE")</f>
        <v>CONTRATO DE APRENDIZAJE</v>
      </c>
      <c r="M448" s="40" t="str">
        <f ca="1">IFERROR(__xludf.DUMMYFUNCTION("""COMPUTED_VALUE"""),"SERVICIO NACIONAL DE APRENDIZAJE, SENA
")</f>
        <v xml:space="preserve">SERVICIO NACIONAL DE APRENDIZAJE, SENA
</v>
      </c>
      <c r="N448" s="40" t="str">
        <f ca="1">IFERROR(__xludf.DUMMYFUNCTION("""COMPUTED_VALUE"""),"km 6 autopista floridablanca #50-33
")</f>
        <v xml:space="preserve">km 6 autopista floridablanca #50-33
</v>
      </c>
      <c r="O448" s="40">
        <f ca="1">IFERROR(__xludf.DUMMYFUNCTION("""COMPUTED_VALUE"""),3115696128)</f>
        <v>3115696128</v>
      </c>
      <c r="P448" s="40" t="str">
        <f ca="1">IFERROR(__xludf.DUMMYFUNCTION("""COMPUTED_VALUE"""),"BOGOTA D.C.
")</f>
        <v xml:space="preserve">BOGOTA D.C.
</v>
      </c>
      <c r="Q448" s="40" t="str">
        <f ca="1">IFERROR(__xludf.DUMMYFUNCTION("""COMPUTED_VALUE"""),"etovarq@sena.edu.co
")</f>
        <v xml:space="preserve">etovarq@sena.edu.co
</v>
      </c>
      <c r="R448" s="140">
        <f ca="1">IFERROR(__xludf.DUMMYFUNCTION("""COMPUTED_VALUE"""),44782)</f>
        <v>44782</v>
      </c>
      <c r="S448" s="140">
        <f ca="1">IFERROR(__xludf.DUMMYFUNCTION("""COMPUTED_VALUE"""),44942)</f>
        <v>44942</v>
      </c>
      <c r="T448" s="40"/>
      <c r="U448" s="40"/>
      <c r="V448" s="40"/>
      <c r="W448" s="40"/>
      <c r="X448" s="40"/>
      <c r="Y448" s="40" t="str">
        <f ca="1">IFERROR(__xludf.DUMMYFUNCTION("""COMPUTED_VALUE"""),"POR ASIGNAR ")</f>
        <v xml:space="preserve">POR ASIGNAR </v>
      </c>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t="str">
        <f ca="1">IFERROR(__xludf.DUMMYFUNCTION("""COMPUTED_VALUE"""),"Procede_E_P")</f>
        <v>Procede_E_P</v>
      </c>
      <c r="AV448" s="40" t="str">
        <f ca="1">IFERROR(__xludf.DUMMYFUNCTION("""COMPUTED_VALUE"""),"EN FORMACION")</f>
        <v>EN FORMACION</v>
      </c>
      <c r="AW448" s="40" t="str">
        <f ca="1">IFERROR(__xludf.DUMMYFUNCTION("""COMPUTED_VALUE"""),"AMBIENTAL")</f>
        <v>AMBIENTAL</v>
      </c>
      <c r="AX448" s="141">
        <f ca="1">IFERROR(__xludf.DUMMYFUNCTION("""COMPUTED_VALUE"""),44839)</f>
        <v>44839</v>
      </c>
      <c r="AY448" s="40">
        <f ca="1">IFERROR(__xludf.DUMMYFUNCTION("""COMPUTED_VALUE"""),0)</f>
        <v>0</v>
      </c>
      <c r="AZ448" s="40">
        <f ca="1">IFERROR(__xludf.DUMMYFUNCTION("""COMPUTED_VALUE"""),1)</f>
        <v>1</v>
      </c>
      <c r="BA448" s="40">
        <f ca="1">IFERROR(__xludf.DUMMYFUNCTION("""COMPUTED_VALUE"""),0)</f>
        <v>0</v>
      </c>
      <c r="BB448" s="40">
        <f ca="1">IFERROR(__xludf.DUMMYFUNCTION("""COMPUTED_VALUE"""),0)</f>
        <v>0</v>
      </c>
      <c r="BC448" s="40">
        <f ca="1">IFERROR(__xludf.DUMMYFUNCTION("""COMPUTED_VALUE"""),1)</f>
        <v>1</v>
      </c>
      <c r="BD448" s="141">
        <f ca="1">IFERROR(__xludf.DUMMYFUNCTION("""COMPUTED_VALUE"""),43934)</f>
        <v>43934</v>
      </c>
      <c r="BE448" s="141">
        <f ca="1">IFERROR(__xludf.DUMMYFUNCTION("""COMPUTED_VALUE"""),44511)</f>
        <v>44511</v>
      </c>
      <c r="BF448" s="141">
        <f ca="1">IFERROR(__xludf.DUMMYFUNCTION("""COMPUTED_VALUE"""),44692)</f>
        <v>44692</v>
      </c>
      <c r="BG448" s="141">
        <f ca="1">IFERROR(__xludf.DUMMYFUNCTION("""COMPUTED_VALUE"""),45241)</f>
        <v>45241</v>
      </c>
      <c r="BH448" s="40" t="str">
        <f ca="1">IFERROR(__xludf.DUMMYFUNCTION("""COMPUTED_VALUE"""),"FICHA EN TIEMPO-18 MESES")</f>
        <v>FICHA EN TIEMPO-18 MESES</v>
      </c>
      <c r="BI448" s="40" t="str">
        <f ca="1">IFERROR(__xludf.DUMMYFUNCTION("""COMPUTED_VALUE"""),"Terminada por fecha")</f>
        <v>Terminada por fecha</v>
      </c>
      <c r="BJ448" s="40" t="str">
        <f ca="1">IFERROR(__xludf.DUMMYFUNCTION("""COMPUTED_VALUE"""),"Yamboro")</f>
        <v>Yamboro</v>
      </c>
      <c r="BK448" s="40"/>
      <c r="BL448" s="40"/>
    </row>
    <row r="449" spans="1:64" ht="13">
      <c r="A449" s="40"/>
      <c r="B449" s="40" t="str">
        <f ca="1">IFERROR(__xludf.DUMMYFUNCTION("""COMPUTED_VALUE"""),"FORMACIÓN 18/10/2022")</f>
        <v>FORMACIÓN 18/10/2022</v>
      </c>
      <c r="C449" s="40" t="str">
        <f ca="1">IFERROR(__xludf.DUMMYFUNCTION("""COMPUTED_VALUE"""),"INGRI ZULEIDA PEÑA RENDON")</f>
        <v>INGRI ZULEIDA PEÑA RENDON</v>
      </c>
      <c r="D449" s="40" t="str">
        <f ca="1">IFERROR(__xludf.DUMMYFUNCTION("""COMPUTED_VALUE"""),"CC")</f>
        <v>CC</v>
      </c>
      <c r="E449" s="40">
        <f ca="1">IFERROR(__xludf.DUMMYFUNCTION("""COMPUTED_VALUE"""),1007163117)</f>
        <v>1007163117</v>
      </c>
      <c r="F449" s="40">
        <f ca="1">IFERROR(__xludf.DUMMYFUNCTION("""COMPUTED_VALUE"""),2067423)</f>
        <v>2067423</v>
      </c>
      <c r="G449" s="40" t="str">
        <f ca="1">IFERROR(__xludf.DUMMYFUNCTION("""COMPUTED_VALUE"""),"TECNÓLOGO")</f>
        <v>TECNÓLOGO</v>
      </c>
      <c r="H449" s="40" t="str">
        <f ca="1">IFERROR(__xludf.DUMMYFUNCTION("""COMPUTED_VALUE"""),"GESTIÓN DE RECURSOS NATURALES")</f>
        <v>GESTIÓN DE RECURSOS NATURALES</v>
      </c>
      <c r="I449" s="40"/>
      <c r="J449" s="40" t="str">
        <f ca="1">IFERROR(__xludf.DUMMYFUNCTION("""COMPUTED_VALUE"""),"zuleidapenha05@gmail.com")</f>
        <v>zuleidapenha05@gmail.com</v>
      </c>
      <c r="K449" s="40" t="str">
        <f ca="1">IFERROR(__xludf.DUMMYFUNCTION("""COMPUTED_VALUE"""),"Chillurco Pitalito Huila")</f>
        <v>Chillurco Pitalito Huila</v>
      </c>
      <c r="L449" s="40" t="str">
        <f ca="1">IFERROR(__xludf.DUMMYFUNCTION("""COMPUTED_VALUE"""),"NO HA INICIADO ETAPA PRODUCTIVA")</f>
        <v>NO HA INICIADO ETAPA PRODUCTIVA</v>
      </c>
      <c r="M449" s="40"/>
      <c r="N449" s="40"/>
      <c r="O449" s="40"/>
      <c r="P449" s="40"/>
      <c r="Q449" s="40"/>
      <c r="R449" s="140"/>
      <c r="S449" s="140"/>
      <c r="T449" s="40"/>
      <c r="U449" s="40"/>
      <c r="V449" s="40"/>
      <c r="W449" s="40"/>
      <c r="X449" s="40"/>
      <c r="Y449" s="40" t="str">
        <f ca="1">IFERROR(__xludf.DUMMYFUNCTION("""COMPUTED_VALUE"""),"MARITZA CORTES - Asignada ")</f>
        <v xml:space="preserve">MARITZA CORTES - Asignada </v>
      </c>
      <c r="Z449" s="40" t="str">
        <f ca="1">IFERROR(__xludf.DUMMYFUNCTION("""COMPUTED_VALUE"""),"NO tiene seguimiento 31/05/2022")</f>
        <v>NO tiene seguimiento 31/05/2022</v>
      </c>
      <c r="AA449" s="40"/>
      <c r="AB449" s="40"/>
      <c r="AC449" s="40"/>
      <c r="AD449" s="40"/>
      <c r="AE449" s="40"/>
      <c r="AF449" s="40"/>
      <c r="AG449" s="40"/>
      <c r="AH449" s="40"/>
      <c r="AI449" s="40"/>
      <c r="AJ449" s="40"/>
      <c r="AK449" s="40"/>
      <c r="AL449" s="40"/>
      <c r="AM449" s="40"/>
      <c r="AN449" s="40"/>
      <c r="AO449" s="40"/>
      <c r="AP449" s="40"/>
      <c r="AQ449" s="40"/>
      <c r="AR449" s="40"/>
      <c r="AS449" s="40"/>
      <c r="AT449" s="40"/>
      <c r="AU449" s="40" t="str">
        <f ca="1">IFERROR(__xludf.DUMMYFUNCTION("""COMPUTED_VALUE"""),"Procede_E_P")</f>
        <v>Procede_E_P</v>
      </c>
      <c r="AV449" s="40" t="str">
        <f ca="1">IFERROR(__xludf.DUMMYFUNCTION("""COMPUTED_VALUE"""),"EN FORMACION")</f>
        <v>EN FORMACION</v>
      </c>
      <c r="AW449" s="40" t="str">
        <f ca="1">IFERROR(__xludf.DUMMYFUNCTION("""COMPUTED_VALUE"""),"AMBIENTAL")</f>
        <v>AMBIENTAL</v>
      </c>
      <c r="AX449" s="141">
        <f ca="1">IFERROR(__xludf.DUMMYFUNCTION("""COMPUTED_VALUE"""),44839)</f>
        <v>44839</v>
      </c>
      <c r="AY449" s="40">
        <f ca="1">IFERROR(__xludf.DUMMYFUNCTION("""COMPUTED_VALUE"""),0)</f>
        <v>0</v>
      </c>
      <c r="AZ449" s="40">
        <f ca="1">IFERROR(__xludf.DUMMYFUNCTION("""COMPUTED_VALUE"""),1)</f>
        <v>1</v>
      </c>
      <c r="BA449" s="40">
        <f ca="1">IFERROR(__xludf.DUMMYFUNCTION("""COMPUTED_VALUE"""),0)</f>
        <v>0</v>
      </c>
      <c r="BB449" s="40">
        <f ca="1">IFERROR(__xludf.DUMMYFUNCTION("""COMPUTED_VALUE"""),0)</f>
        <v>0</v>
      </c>
      <c r="BC449" s="40">
        <f ca="1">IFERROR(__xludf.DUMMYFUNCTION("""COMPUTED_VALUE"""),1)</f>
        <v>1</v>
      </c>
      <c r="BD449" s="141">
        <f ca="1">IFERROR(__xludf.DUMMYFUNCTION("""COMPUTED_VALUE"""),43934)</f>
        <v>43934</v>
      </c>
      <c r="BE449" s="141">
        <f ca="1">IFERROR(__xludf.DUMMYFUNCTION("""COMPUTED_VALUE"""),44511)</f>
        <v>44511</v>
      </c>
      <c r="BF449" s="141">
        <f ca="1">IFERROR(__xludf.DUMMYFUNCTION("""COMPUTED_VALUE"""),44692)</f>
        <v>44692</v>
      </c>
      <c r="BG449" s="141">
        <f ca="1">IFERROR(__xludf.DUMMYFUNCTION("""COMPUTED_VALUE"""),45241)</f>
        <v>45241</v>
      </c>
      <c r="BH449" s="40" t="str">
        <f ca="1">IFERROR(__xludf.DUMMYFUNCTION("""COMPUTED_VALUE"""),"FICHA EN TIEMPO-18 MESES")</f>
        <v>FICHA EN TIEMPO-18 MESES</v>
      </c>
      <c r="BI449" s="40" t="str">
        <f ca="1">IFERROR(__xludf.DUMMYFUNCTION("""COMPUTED_VALUE"""),"Terminada por fecha")</f>
        <v>Terminada por fecha</v>
      </c>
      <c r="BJ449" s="40" t="str">
        <f ca="1">IFERROR(__xludf.DUMMYFUNCTION("""COMPUTED_VALUE"""),"Yamboro")</f>
        <v>Yamboro</v>
      </c>
      <c r="BK449" s="40"/>
      <c r="BL449" s="40"/>
    </row>
    <row r="450" spans="1:64" ht="13">
      <c r="A450" s="40"/>
      <c r="B450" s="40" t="str">
        <f ca="1">IFERROR(__xludf.DUMMYFUNCTION("""COMPUTED_VALUE"""),"FORMACIÓN 18/10/2022")</f>
        <v>FORMACIÓN 18/10/2022</v>
      </c>
      <c r="C450" s="40" t="str">
        <f ca="1">IFERROR(__xludf.DUMMYFUNCTION("""COMPUTED_VALUE"""),"CAROLINA ORTIZ RAMIREZ")</f>
        <v>CAROLINA ORTIZ RAMIREZ</v>
      </c>
      <c r="D450" s="40" t="str">
        <f ca="1">IFERROR(__xludf.DUMMYFUNCTION("""COMPUTED_VALUE"""),"CC")</f>
        <v>CC</v>
      </c>
      <c r="E450" s="40">
        <f ca="1">IFERROR(__xludf.DUMMYFUNCTION("""COMPUTED_VALUE"""),1007586796)</f>
        <v>1007586796</v>
      </c>
      <c r="F450" s="40">
        <f ca="1">IFERROR(__xludf.DUMMYFUNCTION("""COMPUTED_VALUE"""),2067423)</f>
        <v>2067423</v>
      </c>
      <c r="G450" s="40" t="str">
        <f ca="1">IFERROR(__xludf.DUMMYFUNCTION("""COMPUTED_VALUE"""),"TECNÓLOGO")</f>
        <v>TECNÓLOGO</v>
      </c>
      <c r="H450" s="40" t="str">
        <f ca="1">IFERROR(__xludf.DUMMYFUNCTION("""COMPUTED_VALUE"""),"GESTIÓN DE RECURSOS NATURALES")</f>
        <v>GESTIÓN DE RECURSOS NATURALES</v>
      </c>
      <c r="I450" s="40"/>
      <c r="J450" s="40" t="str">
        <f ca="1">IFERROR(__xludf.DUMMYFUNCTION("""COMPUTED_VALUE"""),"carolinaortizramirez937@gmail.com")</f>
        <v>carolinaortizramirez937@gmail.com</v>
      </c>
      <c r="K450" s="40" t="str">
        <f ca="1">IFERROR(__xludf.DUMMYFUNCTION("""COMPUTED_VALUE"""),"Vereda filo de Chillurco Pitalito Huila")</f>
        <v>Vereda filo de Chillurco Pitalito Huila</v>
      </c>
      <c r="L450" s="40" t="str">
        <f ca="1">IFERROR(__xludf.DUMMYFUNCTION("""COMPUTED_VALUE"""),"PASANTÍAS")</f>
        <v>PASANTÍAS</v>
      </c>
      <c r="M450" s="40" t="str">
        <f ca="1">IFERROR(__xludf.DUMMYFUNCTION("""COMPUTED_VALUE"""),"JHON FREDY ROJAS ")</f>
        <v xml:space="preserve">JHON FREDY ROJAS </v>
      </c>
      <c r="N450" s="40" t="str">
        <f ca="1">IFERROR(__xludf.DUMMYFUNCTION("""COMPUTED_VALUE"""),"Vda CRIOLLO - PITALITO HUILA ")</f>
        <v xml:space="preserve">Vda CRIOLLO - PITALITO HUILA </v>
      </c>
      <c r="O450" s="40">
        <f ca="1">IFERROR(__xludf.DUMMYFUNCTION("""COMPUTED_VALUE"""),3214858661)</f>
        <v>3214858661</v>
      </c>
      <c r="P450" s="40" t="str">
        <f ca="1">IFERROR(__xludf.DUMMYFUNCTION("""COMPUTED_VALUE"""),"PITALITO ")</f>
        <v xml:space="preserve">PITALITO </v>
      </c>
      <c r="Q450" s="40" t="str">
        <f ca="1">IFERROR(__xludf.DUMMYFUNCTION("""COMPUTED_VALUE"""),"comprasingali@gmail.com ")</f>
        <v xml:space="preserve">comprasingali@gmail.com </v>
      </c>
      <c r="R450" s="140">
        <f ca="1">IFERROR(__xludf.DUMMYFUNCTION("""COMPUTED_VALUE"""),44659)</f>
        <v>44659</v>
      </c>
      <c r="S450" s="140">
        <f ca="1">IFERROR(__xludf.DUMMYFUNCTION("""COMPUTED_VALUE"""),44852)</f>
        <v>44852</v>
      </c>
      <c r="T450" s="40" t="str">
        <f ca="1">IFERROR(__xludf.DUMMYFUNCTION("""COMPUTED_VALUE"""),"Tiiene Acuerdo de Voluntades, inicial, parcial, bitácoras 1,2,3,4,5,6 y 7 ... Falta final, certificación y bitácoras 8,9,10,11 y 12 ... Revisado 30/08/2022")</f>
        <v>Tiiene Acuerdo de Voluntades, inicial, parcial, bitácoras 1,2,3,4,5,6 y 7 ... Falta final, certificación y bitácoras 8,9,10,11 y 12 ... Revisado 30/08/2022</v>
      </c>
      <c r="U450" s="40"/>
      <c r="V450" s="40"/>
      <c r="W450" s="40"/>
      <c r="X450" s="40"/>
      <c r="Y450" s="40" t="str">
        <f ca="1">IFERROR(__xludf.DUMMYFUNCTION("""COMPUTED_VALUE"""),"DIANA LORENA AVILA - Asignada  inicial,parcial, bitácoras 1,2,3,4,5 y 6 ... Revisado 30/08/2022")</f>
        <v>DIANA LORENA AVILA - Asignada  inicial,parcial, bitácoras 1,2,3,4,5 y 6 ... Revisado 30/08/2022</v>
      </c>
      <c r="Z450" s="40" t="str">
        <f ca="1">IFERROR(__xludf.DUMMYFUNCTION("""COMPUTED_VALUE"""),"SI  tiene seguimiento 30/08/2022")</f>
        <v>SI  tiene seguimiento 30/08/2022</v>
      </c>
      <c r="AA450" s="40"/>
      <c r="AB450" s="40"/>
      <c r="AC450" s="40"/>
      <c r="AD450" s="40"/>
      <c r="AE450" s="40"/>
      <c r="AF450" s="40"/>
      <c r="AG450" s="40"/>
      <c r="AH450" s="40"/>
      <c r="AI450" s="40"/>
      <c r="AJ450" s="40"/>
      <c r="AK450" s="40"/>
      <c r="AL450" s="40"/>
      <c r="AM450" s="40"/>
      <c r="AN450" s="40"/>
      <c r="AO450" s="40"/>
      <c r="AP450" s="40"/>
      <c r="AQ450" s="40"/>
      <c r="AR450" s="40"/>
      <c r="AS450" s="40"/>
      <c r="AT450" s="40"/>
      <c r="AU450" s="40" t="str">
        <f ca="1">IFERROR(__xludf.DUMMYFUNCTION("""COMPUTED_VALUE"""),"Procede_E_P")</f>
        <v>Procede_E_P</v>
      </c>
      <c r="AV450" s="40" t="str">
        <f ca="1">IFERROR(__xludf.DUMMYFUNCTION("""COMPUTED_VALUE"""),"EN FORMACION")</f>
        <v>EN FORMACION</v>
      </c>
      <c r="AW450" s="40" t="str">
        <f ca="1">IFERROR(__xludf.DUMMYFUNCTION("""COMPUTED_VALUE"""),"AMBIENTAL")</f>
        <v>AMBIENTAL</v>
      </c>
      <c r="AX450" s="141">
        <f ca="1">IFERROR(__xludf.DUMMYFUNCTION("""COMPUTED_VALUE"""),44839)</f>
        <v>44839</v>
      </c>
      <c r="AY450" s="40">
        <f ca="1">IFERROR(__xludf.DUMMYFUNCTION("""COMPUTED_VALUE"""),0)</f>
        <v>0</v>
      </c>
      <c r="AZ450" s="40">
        <f ca="1">IFERROR(__xludf.DUMMYFUNCTION("""COMPUTED_VALUE"""),1)</f>
        <v>1</v>
      </c>
      <c r="BA450" s="40">
        <f ca="1">IFERROR(__xludf.DUMMYFUNCTION("""COMPUTED_VALUE"""),0)</f>
        <v>0</v>
      </c>
      <c r="BB450" s="40">
        <f ca="1">IFERROR(__xludf.DUMMYFUNCTION("""COMPUTED_VALUE"""),0)</f>
        <v>0</v>
      </c>
      <c r="BC450" s="40">
        <f ca="1">IFERROR(__xludf.DUMMYFUNCTION("""COMPUTED_VALUE"""),1)</f>
        <v>1</v>
      </c>
      <c r="BD450" s="141">
        <f ca="1">IFERROR(__xludf.DUMMYFUNCTION("""COMPUTED_VALUE"""),43934)</f>
        <v>43934</v>
      </c>
      <c r="BE450" s="141">
        <f ca="1">IFERROR(__xludf.DUMMYFUNCTION("""COMPUTED_VALUE"""),44511)</f>
        <v>44511</v>
      </c>
      <c r="BF450" s="141">
        <f ca="1">IFERROR(__xludf.DUMMYFUNCTION("""COMPUTED_VALUE"""),44692)</f>
        <v>44692</v>
      </c>
      <c r="BG450" s="141">
        <f ca="1">IFERROR(__xludf.DUMMYFUNCTION("""COMPUTED_VALUE"""),45241)</f>
        <v>45241</v>
      </c>
      <c r="BH450" s="40" t="str">
        <f ca="1">IFERROR(__xludf.DUMMYFUNCTION("""COMPUTED_VALUE"""),"FICHA EN TIEMPO-18 MESES")</f>
        <v>FICHA EN TIEMPO-18 MESES</v>
      </c>
      <c r="BI450" s="40" t="str">
        <f ca="1">IFERROR(__xludf.DUMMYFUNCTION("""COMPUTED_VALUE"""),"Terminada por fecha")</f>
        <v>Terminada por fecha</v>
      </c>
      <c r="BJ450" s="40" t="str">
        <f ca="1">IFERROR(__xludf.DUMMYFUNCTION("""COMPUTED_VALUE"""),"Yamboro")</f>
        <v>Yamboro</v>
      </c>
      <c r="BK450" s="40"/>
      <c r="BL450" s="40"/>
    </row>
    <row r="451" spans="1:64" ht="13">
      <c r="A451" s="40"/>
      <c r="B451" s="40" t="str">
        <f ca="1">IFERROR(__xludf.DUMMYFUNCTION("""COMPUTED_VALUE"""),"FORMACIÓN 18/10/2022")</f>
        <v>FORMACIÓN 18/10/2022</v>
      </c>
      <c r="C451" s="40" t="str">
        <f ca="1">IFERROR(__xludf.DUMMYFUNCTION("""COMPUTED_VALUE"""),"YOJAN MARTIN MENDEZ CALDERON")</f>
        <v>YOJAN MARTIN MENDEZ CALDERON</v>
      </c>
      <c r="D451" s="40" t="str">
        <f ca="1">IFERROR(__xludf.DUMMYFUNCTION("""COMPUTED_VALUE"""),"CC")</f>
        <v>CC</v>
      </c>
      <c r="E451" s="40">
        <f ca="1">IFERROR(__xludf.DUMMYFUNCTION("""COMPUTED_VALUE"""),1007613800)</f>
        <v>1007613800</v>
      </c>
      <c r="F451" s="40">
        <f ca="1">IFERROR(__xludf.DUMMYFUNCTION("""COMPUTED_VALUE"""),2067423)</f>
        <v>2067423</v>
      </c>
      <c r="G451" s="40" t="str">
        <f ca="1">IFERROR(__xludf.DUMMYFUNCTION("""COMPUTED_VALUE"""),"TECNÓLOGO")</f>
        <v>TECNÓLOGO</v>
      </c>
      <c r="H451" s="40" t="str">
        <f ca="1">IFERROR(__xludf.DUMMYFUNCTION("""COMPUTED_VALUE"""),"GESTIÓN DE RECURSOS NATURALES")</f>
        <v>GESTIÓN DE RECURSOS NATURALES</v>
      </c>
      <c r="I451" s="40"/>
      <c r="J451" s="40" t="str">
        <f ca="1">IFERROR(__xludf.DUMMYFUNCTION("""COMPUTED_VALUE"""),"yojanmartinmc@gmail.com")</f>
        <v>yojanmartinmc@gmail.com</v>
      </c>
      <c r="K451" s="40" t="str">
        <f ca="1">IFERROR(__xludf.DUMMYFUNCTION("""COMPUTED_VALUE"""),"Maito Tarqui Huila")</f>
        <v>Maito Tarqui Huila</v>
      </c>
      <c r="L451" s="40" t="str">
        <f ca="1">IFERROR(__xludf.DUMMYFUNCTION("""COMPUTED_VALUE"""),"PASANTÍAS")</f>
        <v>PASANTÍAS</v>
      </c>
      <c r="M451" s="40"/>
      <c r="N451" s="40"/>
      <c r="O451" s="40"/>
      <c r="P451" s="40"/>
      <c r="Q451" s="40"/>
      <c r="R451" s="140"/>
      <c r="S451" s="140"/>
      <c r="T451" s="40" t="str">
        <f ca="1">IFERROR(__xludf.DUMMYFUNCTION("""COMPUTED_VALUE"""),"NO tiene legalización, inicial, FInal y bitácoras del 1 al 12... Falta legalización, certificación...Revisado 18/11/2022 ")</f>
        <v xml:space="preserve">NO tiene legalización, inicial, FInal y bitácoras del 1 al 12... Falta legalización, certificación...Revisado 18/11/2022 </v>
      </c>
      <c r="U451" s="40"/>
      <c r="V451" s="40"/>
      <c r="W451" s="40"/>
      <c r="X451" s="40"/>
      <c r="Y451" s="40" t="str">
        <f ca="1">IFERROR(__xludf.DUMMYFUNCTION("""COMPUTED_VALUE"""),"DEYA MARITZA CORTES ENRIQUEZ - Subió inicial ... Revisado 06/06/2022 - Subió FInal y bitácoras del 1 al 12... Revisado 18/11/2022")</f>
        <v>DEYA MARITZA CORTES ENRIQUEZ - Subió inicial ... Revisado 06/06/2022 - Subió FInal y bitácoras del 1 al 12... Revisado 18/11/2022</v>
      </c>
      <c r="Z451" s="40" t="str">
        <f ca="1">IFERROR(__xludf.DUMMYFUNCTION("""COMPUTED_VALUE"""),"SI tiene seguimento ... Revisado 17/11/2022")</f>
        <v>SI tiene seguimento ... Revisado 17/11/2022</v>
      </c>
      <c r="AA451" s="40"/>
      <c r="AB451" s="40"/>
      <c r="AC451" s="40"/>
      <c r="AD451" s="40"/>
      <c r="AE451" s="40"/>
      <c r="AF451" s="40"/>
      <c r="AG451" s="40"/>
      <c r="AH451" s="40"/>
      <c r="AI451" s="40"/>
      <c r="AJ451" s="40"/>
      <c r="AK451" s="40"/>
      <c r="AL451" s="40"/>
      <c r="AM451" s="40"/>
      <c r="AN451" s="40"/>
      <c r="AO451" s="40"/>
      <c r="AP451" s="40"/>
      <c r="AQ451" s="40"/>
      <c r="AR451" s="40"/>
      <c r="AS451" s="40"/>
      <c r="AT451" s="40"/>
      <c r="AU451" s="40" t="str">
        <f ca="1">IFERROR(__xludf.DUMMYFUNCTION("""COMPUTED_VALUE"""),"Procede_E_P")</f>
        <v>Procede_E_P</v>
      </c>
      <c r="AV451" s="40" t="str">
        <f ca="1">IFERROR(__xludf.DUMMYFUNCTION("""COMPUTED_VALUE"""),"EN FORMACION")</f>
        <v>EN FORMACION</v>
      </c>
      <c r="AW451" s="40" t="str">
        <f ca="1">IFERROR(__xludf.DUMMYFUNCTION("""COMPUTED_VALUE"""),"AMBIENTAL")</f>
        <v>AMBIENTAL</v>
      </c>
      <c r="AX451" s="141">
        <f ca="1">IFERROR(__xludf.DUMMYFUNCTION("""COMPUTED_VALUE"""),44839)</f>
        <v>44839</v>
      </c>
      <c r="AY451" s="40">
        <f ca="1">IFERROR(__xludf.DUMMYFUNCTION("""COMPUTED_VALUE"""),0)</f>
        <v>0</v>
      </c>
      <c r="AZ451" s="40">
        <f ca="1">IFERROR(__xludf.DUMMYFUNCTION("""COMPUTED_VALUE"""),1)</f>
        <v>1</v>
      </c>
      <c r="BA451" s="40">
        <f ca="1">IFERROR(__xludf.DUMMYFUNCTION("""COMPUTED_VALUE"""),0)</f>
        <v>0</v>
      </c>
      <c r="BB451" s="40">
        <f ca="1">IFERROR(__xludf.DUMMYFUNCTION("""COMPUTED_VALUE"""),0)</f>
        <v>0</v>
      </c>
      <c r="BC451" s="40">
        <f ca="1">IFERROR(__xludf.DUMMYFUNCTION("""COMPUTED_VALUE"""),1)</f>
        <v>1</v>
      </c>
      <c r="BD451" s="141">
        <f ca="1">IFERROR(__xludf.DUMMYFUNCTION("""COMPUTED_VALUE"""),43934)</f>
        <v>43934</v>
      </c>
      <c r="BE451" s="141">
        <f ca="1">IFERROR(__xludf.DUMMYFUNCTION("""COMPUTED_VALUE"""),44511)</f>
        <v>44511</v>
      </c>
      <c r="BF451" s="141">
        <f ca="1">IFERROR(__xludf.DUMMYFUNCTION("""COMPUTED_VALUE"""),44692)</f>
        <v>44692</v>
      </c>
      <c r="BG451" s="141">
        <f ca="1">IFERROR(__xludf.DUMMYFUNCTION("""COMPUTED_VALUE"""),45241)</f>
        <v>45241</v>
      </c>
      <c r="BH451" s="40" t="str">
        <f ca="1">IFERROR(__xludf.DUMMYFUNCTION("""COMPUTED_VALUE"""),"FICHA EN TIEMPO-18 MESES")</f>
        <v>FICHA EN TIEMPO-18 MESES</v>
      </c>
      <c r="BI451" s="40" t="str">
        <f ca="1">IFERROR(__xludf.DUMMYFUNCTION("""COMPUTED_VALUE"""),"Terminada por fecha")</f>
        <v>Terminada por fecha</v>
      </c>
      <c r="BJ451" s="40" t="str">
        <f ca="1">IFERROR(__xludf.DUMMYFUNCTION("""COMPUTED_VALUE"""),"Yamboro")</f>
        <v>Yamboro</v>
      </c>
      <c r="BK451" s="40"/>
      <c r="BL451" s="40"/>
    </row>
    <row r="452" spans="1:64" ht="13">
      <c r="A452" s="40"/>
      <c r="B452" s="40" t="str">
        <f ca="1">IFERROR(__xludf.DUMMYFUNCTION("""COMPUTED_VALUE"""),"FORMACIÓN 18/10/2022")</f>
        <v>FORMACIÓN 18/10/2022</v>
      </c>
      <c r="C452" s="40" t="str">
        <f ca="1">IFERROR(__xludf.DUMMYFUNCTION("""COMPUTED_VALUE"""),"DAYANA PARRA POVEDA
")</f>
        <v xml:space="preserve">DAYANA PARRA POVEDA
</v>
      </c>
      <c r="D452" s="40" t="str">
        <f ca="1">IFERROR(__xludf.DUMMYFUNCTION("""COMPUTED_VALUE"""),"CC")</f>
        <v>CC</v>
      </c>
      <c r="E452" s="40">
        <f ca="1">IFERROR(__xludf.DUMMYFUNCTION("""COMPUTED_VALUE"""),1010152375)</f>
        <v>1010152375</v>
      </c>
      <c r="F452" s="40">
        <f ca="1">IFERROR(__xludf.DUMMYFUNCTION("""COMPUTED_VALUE"""),2067423)</f>
        <v>2067423</v>
      </c>
      <c r="G452" s="40" t="str">
        <f ca="1">IFERROR(__xludf.DUMMYFUNCTION("""COMPUTED_VALUE"""),"TECNÓLOGO")</f>
        <v>TECNÓLOGO</v>
      </c>
      <c r="H452" s="40" t="str">
        <f ca="1">IFERROR(__xludf.DUMMYFUNCTION("""COMPUTED_VALUE"""),"GESTIÓN DE RECURSOS NATURALES")</f>
        <v>GESTIÓN DE RECURSOS NATURALES</v>
      </c>
      <c r="I452" s="40"/>
      <c r="J452" s="40"/>
      <c r="K452" s="40"/>
      <c r="L452" s="40" t="str">
        <f ca="1">IFERROR(__xludf.DUMMYFUNCTION("""COMPUTED_VALUE"""),"NO HA INICIADO ETAPA PRODUCTIVA")</f>
        <v>NO HA INICIADO ETAPA PRODUCTIVA</v>
      </c>
      <c r="M452" s="40"/>
      <c r="N452" s="40"/>
      <c r="O452" s="40"/>
      <c r="P452" s="40"/>
      <c r="Q452" s="40"/>
      <c r="R452" s="140"/>
      <c r="S452" s="1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t="str">
        <f ca="1">IFERROR(__xludf.DUMMYFUNCTION("""COMPUTED_VALUE"""),"NO_CUMPLE")</f>
        <v>NO_CUMPLE</v>
      </c>
      <c r="AV452" s="40" t="str">
        <f ca="1">IFERROR(__xludf.DUMMYFUNCTION("""COMPUTED_VALUE"""),"EN FORMACION")</f>
        <v>EN FORMACION</v>
      </c>
      <c r="AW452" s="40" t="str">
        <f ca="1">IFERROR(__xludf.DUMMYFUNCTION("""COMPUTED_VALUE"""),"AMBIENTAL")</f>
        <v>AMBIENTAL</v>
      </c>
      <c r="AX452" s="141">
        <f ca="1">IFERROR(__xludf.DUMMYFUNCTION("""COMPUTED_VALUE"""),44839)</f>
        <v>44839</v>
      </c>
      <c r="AY452" s="40">
        <f ca="1">IFERROR(__xludf.DUMMYFUNCTION("""COMPUTED_VALUE"""),0)</f>
        <v>0</v>
      </c>
      <c r="AZ452" s="40">
        <f ca="1">IFERROR(__xludf.DUMMYFUNCTION("""COMPUTED_VALUE"""),1)</f>
        <v>1</v>
      </c>
      <c r="BA452" s="40">
        <f ca="1">IFERROR(__xludf.DUMMYFUNCTION("""COMPUTED_VALUE"""),0)</f>
        <v>0</v>
      </c>
      <c r="BB452" s="40">
        <f ca="1">IFERROR(__xludf.DUMMYFUNCTION("""COMPUTED_VALUE"""),4)</f>
        <v>4</v>
      </c>
      <c r="BC452" s="40">
        <f ca="1">IFERROR(__xludf.DUMMYFUNCTION("""COMPUTED_VALUE"""),5)</f>
        <v>5</v>
      </c>
      <c r="BD452" s="141">
        <f ca="1">IFERROR(__xludf.DUMMYFUNCTION("""COMPUTED_VALUE"""),43934)</f>
        <v>43934</v>
      </c>
      <c r="BE452" s="141">
        <f ca="1">IFERROR(__xludf.DUMMYFUNCTION("""COMPUTED_VALUE"""),44511)</f>
        <v>44511</v>
      </c>
      <c r="BF452" s="141">
        <f ca="1">IFERROR(__xludf.DUMMYFUNCTION("""COMPUTED_VALUE"""),44692)</f>
        <v>44692</v>
      </c>
      <c r="BG452" s="141">
        <f ca="1">IFERROR(__xludf.DUMMYFUNCTION("""COMPUTED_VALUE"""),45241)</f>
        <v>45241</v>
      </c>
      <c r="BH452" s="40" t="str">
        <f ca="1">IFERROR(__xludf.DUMMYFUNCTION("""COMPUTED_VALUE"""),"FICHA EN TIEMPO-18 MESES")</f>
        <v>FICHA EN TIEMPO-18 MESES</v>
      </c>
      <c r="BI452" s="40" t="str">
        <f ca="1">IFERROR(__xludf.DUMMYFUNCTION("""COMPUTED_VALUE"""),"Terminada por fecha")</f>
        <v>Terminada por fecha</v>
      </c>
      <c r="BJ452" s="40" t="str">
        <f ca="1">IFERROR(__xludf.DUMMYFUNCTION("""COMPUTED_VALUE"""),"Yamboro")</f>
        <v>Yamboro</v>
      </c>
      <c r="BK452" s="40"/>
      <c r="BL452" s="40"/>
    </row>
    <row r="453" spans="1:64" ht="13">
      <c r="A453" s="40"/>
      <c r="B453" s="40" t="str">
        <f ca="1">IFERROR(__xludf.DUMMYFUNCTION("""COMPUTED_VALUE"""),"FORMACIÓN 18/10/2022")</f>
        <v>FORMACIÓN 18/10/2022</v>
      </c>
      <c r="C453" s="40" t="str">
        <f ca="1">IFERROR(__xludf.DUMMYFUNCTION("""COMPUTED_VALUE"""),"DANNY JULIETH DAZA")</f>
        <v>DANNY JULIETH DAZA</v>
      </c>
      <c r="D453" s="40" t="str">
        <f ca="1">IFERROR(__xludf.DUMMYFUNCTION("""COMPUTED_VALUE"""),"CC")</f>
        <v>CC</v>
      </c>
      <c r="E453" s="40">
        <f ca="1">IFERROR(__xludf.DUMMYFUNCTION("""COMPUTED_VALUE"""),1193443406)</f>
        <v>1193443406</v>
      </c>
      <c r="F453" s="40">
        <f ca="1">IFERROR(__xludf.DUMMYFUNCTION("""COMPUTED_VALUE"""),2067423)</f>
        <v>2067423</v>
      </c>
      <c r="G453" s="40" t="str">
        <f ca="1">IFERROR(__xludf.DUMMYFUNCTION("""COMPUTED_VALUE"""),"TECNÓLOGO")</f>
        <v>TECNÓLOGO</v>
      </c>
      <c r="H453" s="40" t="str">
        <f ca="1">IFERROR(__xludf.DUMMYFUNCTION("""COMPUTED_VALUE"""),"GESTIÓN DE RECURSOS NATURALES")</f>
        <v>GESTIÓN DE RECURSOS NATURALES</v>
      </c>
      <c r="I453" s="40"/>
      <c r="J453" s="40" t="str">
        <f ca="1">IFERROR(__xludf.DUMMYFUNCTION("""COMPUTED_VALUE"""),"juliethdaza050603@gmail.com")</f>
        <v>juliethdaza050603@gmail.com</v>
      </c>
      <c r="K453" s="40" t="str">
        <f ca="1">IFERROR(__xludf.DUMMYFUNCTION("""COMPUTED_VALUE"""),"San Juan de Villalobos")</f>
        <v>San Juan de Villalobos</v>
      </c>
      <c r="L453" s="40" t="str">
        <f ca="1">IFERROR(__xludf.DUMMYFUNCTION("""COMPUTED_VALUE"""),"CONTRATO DE APRENDIZAJE")</f>
        <v>CONTRATO DE APRENDIZAJE</v>
      </c>
      <c r="M453" s="40" t="str">
        <f ca="1">IFERROR(__xludf.DUMMYFUNCTION("""COMPUTED_VALUE"""),"EMPRESA DE SERVICIOS PUBLICOS - SAN AGUSTÍN ")</f>
        <v xml:space="preserve">EMPRESA DE SERVICIOS PUBLICOS - SAN AGUSTÍN </v>
      </c>
      <c r="N453" s="40" t="str">
        <f ca="1">IFERROR(__xludf.DUMMYFUNCTION("""COMPUTED_VALUE"""),"calle 2  N° 9-10")</f>
        <v>calle 2  N° 9-10</v>
      </c>
      <c r="O453" s="40">
        <f ca="1">IFERROR(__xludf.DUMMYFUNCTION("""COMPUTED_VALUE"""),3114789119)</f>
        <v>3114789119</v>
      </c>
      <c r="P453" s="40" t="str">
        <f ca="1">IFERROR(__xludf.DUMMYFUNCTION("""COMPUTED_VALUE"""),"SAN AGUSTIN ")</f>
        <v xml:space="preserve">SAN AGUSTIN </v>
      </c>
      <c r="Q453" s="40"/>
      <c r="R453" s="140">
        <f ca="1">IFERROR(__xludf.DUMMYFUNCTION("""COMPUTED_VALUE"""),44669)</f>
        <v>44669</v>
      </c>
      <c r="S453" s="140">
        <f ca="1">IFERROR(__xludf.DUMMYFUNCTION("""COMPUTED_VALUE"""),44852)</f>
        <v>44852</v>
      </c>
      <c r="T453" s="40" t="str">
        <f ca="1">IFERROR(__xludf.DUMMYFUNCTION("""COMPUTED_VALUE"""),"Tiene contrato de aprendizaje, 2 Parcial, bitácoras 1,2,3,4,5,6,7 y 8... Falta final, certificación y bitácoras 9,10,11 y 12 ... Revisado 30/08/2022")</f>
        <v>Tiene contrato de aprendizaje, 2 Parcial, bitácoras 1,2,3,4,5,6,7 y 8... Falta final, certificación y bitácoras 9,10,11 y 12 ... Revisado 30/08/2022</v>
      </c>
      <c r="U453" s="40"/>
      <c r="V453" s="40"/>
      <c r="W453" s="40"/>
      <c r="X453" s="40"/>
      <c r="Y453" s="40" t="str">
        <f ca="1">IFERROR(__xludf.DUMMYFUNCTION("""COMPUTED_VALUE"""),"Maritza Gómez- Asignada - DIANA LORENA AVILA DUSSAN - Subió 2 parcial, bitácoras 1,2,3,4,5,6,7 y 8 .... Revisado 30/08/2022")</f>
        <v>Maritza Gómez- Asignada - DIANA LORENA AVILA DUSSAN - Subió 2 parcial, bitácoras 1,2,3,4,5,6,7 y 8 .... Revisado 30/08/2022</v>
      </c>
      <c r="Z453" s="40" t="str">
        <f ca="1">IFERROR(__xludf.DUMMYFUNCTION("""COMPUTED_VALUE"""),"SI  tiene seguimiento ... 30/08/2022")</f>
        <v>SI  tiene seguimiento ... 30/08/2022</v>
      </c>
      <c r="AA453" s="40"/>
      <c r="AB453" s="40"/>
      <c r="AC453" s="40"/>
      <c r="AD453" s="40"/>
      <c r="AE453" s="40"/>
      <c r="AF453" s="40"/>
      <c r="AG453" s="40"/>
      <c r="AH453" s="40"/>
      <c r="AI453" s="40"/>
      <c r="AJ453" s="40"/>
      <c r="AK453" s="40"/>
      <c r="AL453" s="40"/>
      <c r="AM453" s="40"/>
      <c r="AN453" s="40"/>
      <c r="AO453" s="40"/>
      <c r="AP453" s="40"/>
      <c r="AQ453" s="40"/>
      <c r="AR453" s="40"/>
      <c r="AS453" s="40"/>
      <c r="AT453" s="40"/>
      <c r="AU453" s="40" t="str">
        <f ca="1">IFERROR(__xludf.DUMMYFUNCTION("""COMPUTED_VALUE"""),"Procede_E_P")</f>
        <v>Procede_E_P</v>
      </c>
      <c r="AV453" s="40" t="str">
        <f ca="1">IFERROR(__xludf.DUMMYFUNCTION("""COMPUTED_VALUE"""),"EN FORMACION")</f>
        <v>EN FORMACION</v>
      </c>
      <c r="AW453" s="40" t="str">
        <f ca="1">IFERROR(__xludf.DUMMYFUNCTION("""COMPUTED_VALUE"""),"AMBIENTAL")</f>
        <v>AMBIENTAL</v>
      </c>
      <c r="AX453" s="141">
        <f ca="1">IFERROR(__xludf.DUMMYFUNCTION("""COMPUTED_VALUE"""),44839)</f>
        <v>44839</v>
      </c>
      <c r="AY453" s="40">
        <f ca="1">IFERROR(__xludf.DUMMYFUNCTION("""COMPUTED_VALUE"""),0)</f>
        <v>0</v>
      </c>
      <c r="AZ453" s="40">
        <f ca="1">IFERROR(__xludf.DUMMYFUNCTION("""COMPUTED_VALUE"""),1)</f>
        <v>1</v>
      </c>
      <c r="BA453" s="40">
        <f ca="1">IFERROR(__xludf.DUMMYFUNCTION("""COMPUTED_VALUE"""),0)</f>
        <v>0</v>
      </c>
      <c r="BB453" s="40">
        <f ca="1">IFERROR(__xludf.DUMMYFUNCTION("""COMPUTED_VALUE"""),0)</f>
        <v>0</v>
      </c>
      <c r="BC453" s="40">
        <f ca="1">IFERROR(__xludf.DUMMYFUNCTION("""COMPUTED_VALUE"""),1)</f>
        <v>1</v>
      </c>
      <c r="BD453" s="141">
        <f ca="1">IFERROR(__xludf.DUMMYFUNCTION("""COMPUTED_VALUE"""),43934)</f>
        <v>43934</v>
      </c>
      <c r="BE453" s="141">
        <f ca="1">IFERROR(__xludf.DUMMYFUNCTION("""COMPUTED_VALUE"""),44511)</f>
        <v>44511</v>
      </c>
      <c r="BF453" s="141">
        <f ca="1">IFERROR(__xludf.DUMMYFUNCTION("""COMPUTED_VALUE"""),44692)</f>
        <v>44692</v>
      </c>
      <c r="BG453" s="141">
        <f ca="1">IFERROR(__xludf.DUMMYFUNCTION("""COMPUTED_VALUE"""),45241)</f>
        <v>45241</v>
      </c>
      <c r="BH453" s="40" t="str">
        <f ca="1">IFERROR(__xludf.DUMMYFUNCTION("""COMPUTED_VALUE"""),"FICHA EN TIEMPO-18 MESES")</f>
        <v>FICHA EN TIEMPO-18 MESES</v>
      </c>
      <c r="BI453" s="40" t="str">
        <f ca="1">IFERROR(__xludf.DUMMYFUNCTION("""COMPUTED_VALUE"""),"Terminada por fecha")</f>
        <v>Terminada por fecha</v>
      </c>
      <c r="BJ453" s="40" t="str">
        <f ca="1">IFERROR(__xludf.DUMMYFUNCTION("""COMPUTED_VALUE"""),"Yamboro")</f>
        <v>Yamboro</v>
      </c>
      <c r="BK453" s="40"/>
      <c r="BL453" s="40"/>
    </row>
    <row r="454" spans="1:64" ht="13">
      <c r="A454" s="40"/>
      <c r="B454" s="40" t="str">
        <f ca="1">IFERROR(__xludf.DUMMYFUNCTION("""COMPUTED_VALUE"""),"APLAZADO  18/10/2022")</f>
        <v>APLAZADO  18/10/2022</v>
      </c>
      <c r="C454" s="40" t="str">
        <f ca="1">IFERROR(__xludf.DUMMYFUNCTION("""COMPUTED_VALUE"""),"JHAN CARLOS COLLAZOS PEÑA")</f>
        <v>JHAN CARLOS COLLAZOS PEÑA</v>
      </c>
      <c r="D454" s="40" t="str">
        <f ca="1">IFERROR(__xludf.DUMMYFUNCTION("""COMPUTED_VALUE"""),"TI")</f>
        <v>TI</v>
      </c>
      <c r="E454" s="40">
        <f ca="1">IFERROR(__xludf.DUMMYFUNCTION("""COMPUTED_VALUE"""),1083867293)</f>
        <v>1083867293</v>
      </c>
      <c r="F454" s="40">
        <f ca="1">IFERROR(__xludf.DUMMYFUNCTION("""COMPUTED_VALUE"""),2056444)</f>
        <v>2056444</v>
      </c>
      <c r="G454" s="40" t="str">
        <f ca="1">IFERROR(__xludf.DUMMYFUNCTION("""COMPUTED_VALUE"""),"TECNÓLOGO")</f>
        <v>TECNÓLOGO</v>
      </c>
      <c r="H454" s="40" t="str">
        <f ca="1">IFERROR(__xludf.DUMMYFUNCTION("""COMPUTED_VALUE"""),"GESTIÓN DE RECURSOS NATURALES")</f>
        <v>GESTIÓN DE RECURSOS NATURALES</v>
      </c>
      <c r="I454" s="40"/>
      <c r="J454" s="40"/>
      <c r="K454" s="40"/>
      <c r="L454" s="40" t="str">
        <f ca="1">IFERROR(__xludf.DUMMYFUNCTION("""COMPUTED_VALUE"""),"NO HA INICIADO ETAPA PRODUCTIVA")</f>
        <v>NO HA INICIADO ETAPA PRODUCTIVA</v>
      </c>
      <c r="M454" s="40"/>
      <c r="N454" s="40"/>
      <c r="O454" s="40"/>
      <c r="P454" s="40"/>
      <c r="Q454" s="40"/>
      <c r="R454" s="140"/>
      <c r="S454" s="1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t="str">
        <f ca="1">IFERROR(__xludf.DUMMYFUNCTION("""COMPUTED_VALUE"""),"NO_CUMPLE")</f>
        <v>NO_CUMPLE</v>
      </c>
      <c r="AV454" s="40" t="str">
        <f ca="1">IFERROR(__xludf.DUMMYFUNCTION("""COMPUTED_VALUE"""),"APLAZADO")</f>
        <v>APLAZADO</v>
      </c>
      <c r="AW454" s="40" t="str">
        <f ca="1">IFERROR(__xludf.DUMMYFUNCTION("""COMPUTED_VALUE"""),"AMBIENTAL")</f>
        <v>AMBIENTAL</v>
      </c>
      <c r="AX454" s="141">
        <f ca="1">IFERROR(__xludf.DUMMYFUNCTION("""COMPUTED_VALUE"""),44848)</f>
        <v>44848</v>
      </c>
      <c r="AY454" s="40">
        <f ca="1">IFERROR(__xludf.DUMMYFUNCTION("""COMPUTED_VALUE"""),0)</f>
        <v>0</v>
      </c>
      <c r="AZ454" s="40">
        <f ca="1">IFERROR(__xludf.DUMMYFUNCTION("""COMPUTED_VALUE"""),1)</f>
        <v>1</v>
      </c>
      <c r="BA454" s="40">
        <f ca="1">IFERROR(__xludf.DUMMYFUNCTION("""COMPUTED_VALUE"""),15)</f>
        <v>15</v>
      </c>
      <c r="BB454" s="40">
        <f ca="1">IFERROR(__xludf.DUMMYFUNCTION("""COMPUTED_VALUE"""),10)</f>
        <v>10</v>
      </c>
      <c r="BC454" s="40">
        <f ca="1">IFERROR(__xludf.DUMMYFUNCTION("""COMPUTED_VALUE"""),26)</f>
        <v>26</v>
      </c>
      <c r="BD454" s="141">
        <f ca="1">IFERROR(__xludf.DUMMYFUNCTION("""COMPUTED_VALUE"""),43815)</f>
        <v>43815</v>
      </c>
      <c r="BE454" s="141">
        <f ca="1">IFERROR(__xludf.DUMMYFUNCTION("""COMPUTED_VALUE"""),44377)</f>
        <v>44377</v>
      </c>
      <c r="BF454" s="141">
        <f ca="1">IFERROR(__xludf.DUMMYFUNCTION("""COMPUTED_VALUE"""),44560)</f>
        <v>44560</v>
      </c>
      <c r="BG454" s="141">
        <f ca="1">IFERROR(__xludf.DUMMYFUNCTION("""COMPUTED_VALUE"""),45107)</f>
        <v>45107</v>
      </c>
      <c r="BH454" s="40" t="str">
        <f ca="1">IFERROR(__xludf.DUMMYFUNCTION("""COMPUTED_VALUE"""),"FICHA EN TIEMPO-18 MESES")</f>
        <v>FICHA EN TIEMPO-18 MESES</v>
      </c>
      <c r="BI454" s="40" t="str">
        <f ca="1">IFERROR(__xludf.DUMMYFUNCTION("""COMPUTED_VALUE"""),"Terminada por fecha")</f>
        <v>Terminada por fecha</v>
      </c>
      <c r="BJ454" s="40" t="str">
        <f ca="1">IFERROR(__xludf.DUMMYFUNCTION("""COMPUTED_VALUE"""),"Yamboro")</f>
        <v>Yamboro</v>
      </c>
      <c r="BK454" s="40"/>
      <c r="BL454" s="40"/>
    </row>
    <row r="455" spans="1:64" ht="13">
      <c r="A455" s="40"/>
      <c r="B455" s="40" t="str">
        <f ca="1">IFERROR(__xludf.DUMMYFUNCTION("""COMPUTED_VALUE"""),"FORMACIÓN 18/10/2022")</f>
        <v>FORMACIÓN 18/10/2022</v>
      </c>
      <c r="C455" s="40" t="str">
        <f ca="1">IFERROR(__xludf.DUMMYFUNCTION("""COMPUTED_VALUE"""),"DEICY TATIANA CAMACHO ANACONA")</f>
        <v>DEICY TATIANA CAMACHO ANACONA</v>
      </c>
      <c r="D455" s="40" t="str">
        <f ca="1">IFERROR(__xludf.DUMMYFUNCTION("""COMPUTED_VALUE"""),"CC")</f>
        <v>CC</v>
      </c>
      <c r="E455" s="40">
        <f ca="1">IFERROR(__xludf.DUMMYFUNCTION("""COMPUTED_VALUE"""),1081702460)</f>
        <v>1081702460</v>
      </c>
      <c r="F455" s="40">
        <f ca="1">IFERROR(__xludf.DUMMYFUNCTION("""COMPUTED_VALUE"""),2166549)</f>
        <v>2166549</v>
      </c>
      <c r="G455" s="40" t="str">
        <f ca="1">IFERROR(__xludf.DUMMYFUNCTION("""COMPUTED_VALUE"""),"TECNÓLOGO")</f>
        <v>TECNÓLOGO</v>
      </c>
      <c r="H455" s="40" t="str">
        <f ca="1">IFERROR(__xludf.DUMMYFUNCTION("""COMPUTED_VALUE"""),"GESTIÓN DE RECURSOS NATURALES")</f>
        <v>GESTIÓN DE RECURSOS NATURALES</v>
      </c>
      <c r="I455" s="40"/>
      <c r="J455" s="40"/>
      <c r="K455" s="40"/>
      <c r="L455" s="40" t="str">
        <f ca="1">IFERROR(__xludf.DUMMYFUNCTION("""COMPUTED_VALUE"""),"NO HA INICIADO ETAPA PRODUCTIVA")</f>
        <v>NO HA INICIADO ETAPA PRODUCTIVA</v>
      </c>
      <c r="M455" s="40"/>
      <c r="N455" s="40"/>
      <c r="O455" s="40"/>
      <c r="P455" s="40"/>
      <c r="Q455" s="40"/>
      <c r="R455" s="140"/>
      <c r="S455" s="1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t="str">
        <f ca="1">IFERROR(__xludf.DUMMYFUNCTION("""COMPUTED_VALUE"""),"Procede_E_P")</f>
        <v>Procede_E_P</v>
      </c>
      <c r="AV455" s="40" t="str">
        <f ca="1">IFERROR(__xludf.DUMMYFUNCTION("""COMPUTED_VALUE"""),"EN FORMACION")</f>
        <v>EN FORMACION</v>
      </c>
      <c r="AW455" s="40" t="str">
        <f ca="1">IFERROR(__xludf.DUMMYFUNCTION("""COMPUTED_VALUE"""),"AMBIENTAL")</f>
        <v>AMBIENTAL</v>
      </c>
      <c r="AX455" s="141">
        <f ca="1">IFERROR(__xludf.DUMMYFUNCTION("""COMPUTED_VALUE"""),44839)</f>
        <v>44839</v>
      </c>
      <c r="AY455" s="40">
        <f ca="1">IFERROR(__xludf.DUMMYFUNCTION("""COMPUTED_VALUE"""),0)</f>
        <v>0</v>
      </c>
      <c r="AZ455" s="40">
        <f ca="1">IFERROR(__xludf.DUMMYFUNCTION("""COMPUTED_VALUE"""),1)</f>
        <v>1</v>
      </c>
      <c r="BA455" s="40">
        <f ca="1">IFERROR(__xludf.DUMMYFUNCTION("""COMPUTED_VALUE"""),0)</f>
        <v>0</v>
      </c>
      <c r="BB455" s="40">
        <f ca="1">IFERROR(__xludf.DUMMYFUNCTION("""COMPUTED_VALUE"""),0)</f>
        <v>0</v>
      </c>
      <c r="BC455" s="40">
        <f ca="1">IFERROR(__xludf.DUMMYFUNCTION("""COMPUTED_VALUE"""),1)</f>
        <v>1</v>
      </c>
      <c r="BD455" s="141">
        <f ca="1">IFERROR(__xludf.DUMMYFUNCTION("""COMPUTED_VALUE"""),44075)</f>
        <v>44075</v>
      </c>
      <c r="BE455" s="141">
        <f ca="1">IFERROR(__xludf.DUMMYFUNCTION("""COMPUTED_VALUE"""),44620)</f>
        <v>44620</v>
      </c>
      <c r="BF455" s="141">
        <f ca="1">IFERROR(__xludf.DUMMYFUNCTION("""COMPUTED_VALUE"""),44804)</f>
        <v>44804</v>
      </c>
      <c r="BG455" s="141">
        <f ca="1">IFERROR(__xludf.DUMMYFUNCTION("""COMPUTED_VALUE"""),45351)</f>
        <v>45351</v>
      </c>
      <c r="BH455" s="40" t="str">
        <f ca="1">IFERROR(__xludf.DUMMYFUNCTION("""COMPUTED_VALUE"""),"FICHA EN TIEMPO-18 MESES")</f>
        <v>FICHA EN TIEMPO-18 MESES</v>
      </c>
      <c r="BI455" s="40" t="str">
        <f ca="1">IFERROR(__xludf.DUMMYFUNCTION("""COMPUTED_VALUE"""),"Terminada por fecha")</f>
        <v>Terminada por fecha</v>
      </c>
      <c r="BJ455" s="40" t="str">
        <f ca="1">IFERROR(__xludf.DUMMYFUNCTION("""COMPUTED_VALUE"""),"Yamboro")</f>
        <v>Yamboro</v>
      </c>
      <c r="BK455" s="40"/>
      <c r="BL455" s="40"/>
    </row>
    <row r="456" spans="1:64" ht="13">
      <c r="A456" s="40"/>
      <c r="B456" s="40" t="str">
        <f ca="1">IFERROR(__xludf.DUMMYFUNCTION("""COMPUTED_VALUE"""),"FORMACIÓN 18/10/2022")</f>
        <v>FORMACIÓN 18/10/2022</v>
      </c>
      <c r="C456" s="40" t="str">
        <f ca="1">IFERROR(__xludf.DUMMYFUNCTION("""COMPUTED_VALUE"""),"LUISA FERNANDA RENGIFO ORTEGA")</f>
        <v>LUISA FERNANDA RENGIFO ORTEGA</v>
      </c>
      <c r="D456" s="40" t="str">
        <f ca="1">IFERROR(__xludf.DUMMYFUNCTION("""COMPUTED_VALUE"""),"CC")</f>
        <v>CC</v>
      </c>
      <c r="E456" s="40">
        <f ca="1">IFERROR(__xludf.DUMMYFUNCTION("""COMPUTED_VALUE"""),1083917771)</f>
        <v>1083917771</v>
      </c>
      <c r="F456" s="40">
        <f ca="1">IFERROR(__xludf.DUMMYFUNCTION("""COMPUTED_VALUE"""),2166549)</f>
        <v>2166549</v>
      </c>
      <c r="G456" s="40" t="str">
        <f ca="1">IFERROR(__xludf.DUMMYFUNCTION("""COMPUTED_VALUE"""),"TECNÓLOGO")</f>
        <v>TECNÓLOGO</v>
      </c>
      <c r="H456" s="40" t="str">
        <f ca="1">IFERROR(__xludf.DUMMYFUNCTION("""COMPUTED_VALUE"""),"GESTIÓN DE RECURSOS NATURALES")</f>
        <v>GESTIÓN DE RECURSOS NATURALES</v>
      </c>
      <c r="I456" s="40"/>
      <c r="J456" s="40"/>
      <c r="K456" s="40"/>
      <c r="L456" s="40" t="str">
        <f ca="1">IFERROR(__xludf.DUMMYFUNCTION("""COMPUTED_VALUE"""),"CONTRATO DE APRENDIZAJE")</f>
        <v>CONTRATO DE APRENDIZAJE</v>
      </c>
      <c r="M456" s="40" t="str">
        <f ca="1">IFERROR(__xludf.DUMMYFUNCTION("""COMPUTED_VALUE"""),"EMPRESAS PUBLICAS DE TIMANA S.A. E.S.P.
")</f>
        <v xml:space="preserve">EMPRESAS PUBLICAS DE TIMANA S.A. E.S.P.
</v>
      </c>
      <c r="N456" s="40"/>
      <c r="O456" s="40"/>
      <c r="P456" s="40"/>
      <c r="Q456" s="40"/>
      <c r="R456" s="140">
        <f ca="1">IFERROR(__xludf.DUMMYFUNCTION("""COMPUTED_VALUE"""),44818)</f>
        <v>44818</v>
      </c>
      <c r="S456" s="140">
        <f ca="1">IFERROR(__xludf.DUMMYFUNCTION("""COMPUTED_VALUE"""),44926)</f>
        <v>44926</v>
      </c>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t="str">
        <f ca="1">IFERROR(__xludf.DUMMYFUNCTION("""COMPUTED_VALUE"""),"Procede_E_P")</f>
        <v>Procede_E_P</v>
      </c>
      <c r="AV456" s="40" t="str">
        <f ca="1">IFERROR(__xludf.DUMMYFUNCTION("""COMPUTED_VALUE"""),"EN FORMACION")</f>
        <v>EN FORMACION</v>
      </c>
      <c r="AW456" s="40" t="str">
        <f ca="1">IFERROR(__xludf.DUMMYFUNCTION("""COMPUTED_VALUE"""),"AMBIENTAL")</f>
        <v>AMBIENTAL</v>
      </c>
      <c r="AX456" s="141">
        <f ca="1">IFERROR(__xludf.DUMMYFUNCTION("""COMPUTED_VALUE"""),44839)</f>
        <v>44839</v>
      </c>
      <c r="AY456" s="40">
        <f ca="1">IFERROR(__xludf.DUMMYFUNCTION("""COMPUTED_VALUE"""),0)</f>
        <v>0</v>
      </c>
      <c r="AZ456" s="40">
        <f ca="1">IFERROR(__xludf.DUMMYFUNCTION("""COMPUTED_VALUE"""),1)</f>
        <v>1</v>
      </c>
      <c r="BA456" s="40">
        <f ca="1">IFERROR(__xludf.DUMMYFUNCTION("""COMPUTED_VALUE"""),0)</f>
        <v>0</v>
      </c>
      <c r="BB456" s="40">
        <f ca="1">IFERROR(__xludf.DUMMYFUNCTION("""COMPUTED_VALUE"""),0)</f>
        <v>0</v>
      </c>
      <c r="BC456" s="40">
        <f ca="1">IFERROR(__xludf.DUMMYFUNCTION("""COMPUTED_VALUE"""),1)</f>
        <v>1</v>
      </c>
      <c r="BD456" s="141">
        <f ca="1">IFERROR(__xludf.DUMMYFUNCTION("""COMPUTED_VALUE"""),44075)</f>
        <v>44075</v>
      </c>
      <c r="BE456" s="141">
        <f ca="1">IFERROR(__xludf.DUMMYFUNCTION("""COMPUTED_VALUE"""),44620)</f>
        <v>44620</v>
      </c>
      <c r="BF456" s="141">
        <f ca="1">IFERROR(__xludf.DUMMYFUNCTION("""COMPUTED_VALUE"""),44804)</f>
        <v>44804</v>
      </c>
      <c r="BG456" s="141">
        <f ca="1">IFERROR(__xludf.DUMMYFUNCTION("""COMPUTED_VALUE"""),45351)</f>
        <v>45351</v>
      </c>
      <c r="BH456" s="40" t="str">
        <f ca="1">IFERROR(__xludf.DUMMYFUNCTION("""COMPUTED_VALUE"""),"FICHA EN TIEMPO-18 MESES")</f>
        <v>FICHA EN TIEMPO-18 MESES</v>
      </c>
      <c r="BI456" s="40" t="str">
        <f ca="1">IFERROR(__xludf.DUMMYFUNCTION("""COMPUTED_VALUE"""),"Terminada por fecha")</f>
        <v>Terminada por fecha</v>
      </c>
      <c r="BJ456" s="40" t="str">
        <f ca="1">IFERROR(__xludf.DUMMYFUNCTION("""COMPUTED_VALUE"""),"Yamboro")</f>
        <v>Yamboro</v>
      </c>
      <c r="BK456" s="40"/>
      <c r="BL456" s="40"/>
    </row>
    <row r="457" spans="1:64" ht="13">
      <c r="A457" s="40"/>
      <c r="B457" s="40" t="str">
        <f ca="1">IFERROR(__xludf.DUMMYFUNCTION("""COMPUTED_VALUE"""),"FORMACIÓN 18/10/2022")</f>
        <v>FORMACIÓN 18/10/2022</v>
      </c>
      <c r="C457" s="40" t="str">
        <f ca="1">IFERROR(__xludf.DUMMYFUNCTION("""COMPUTED_VALUE"""),"YENIFER TATIANA BURBANO SUAREZ")</f>
        <v>YENIFER TATIANA BURBANO SUAREZ</v>
      </c>
      <c r="D457" s="40" t="str">
        <f ca="1">IFERROR(__xludf.DUMMYFUNCTION("""COMPUTED_VALUE"""),"CC")</f>
        <v>CC</v>
      </c>
      <c r="E457" s="40">
        <f ca="1">IFERROR(__xludf.DUMMYFUNCTION("""COMPUTED_VALUE"""),1004269277)</f>
        <v>1004269277</v>
      </c>
      <c r="F457" s="40">
        <f ca="1">IFERROR(__xludf.DUMMYFUNCTION("""COMPUTED_VALUE"""),2252406)</f>
        <v>2252406</v>
      </c>
      <c r="G457" s="40" t="str">
        <f ca="1">IFERROR(__xludf.DUMMYFUNCTION("""COMPUTED_VALUE"""),"TECNÓLOGO")</f>
        <v>TECNÓLOGO</v>
      </c>
      <c r="H457" s="40" t="str">
        <f ca="1">IFERROR(__xludf.DUMMYFUNCTION("""COMPUTED_VALUE"""),"GESTIÓN DE RECURSOS NATURALES")</f>
        <v>GESTIÓN DE RECURSOS NATURALES</v>
      </c>
      <c r="I457" s="40">
        <f ca="1">IFERROR(__xludf.DUMMYFUNCTION("""COMPUTED_VALUE"""),8368699)</f>
        <v>8368699</v>
      </c>
      <c r="J457" s="40" t="str">
        <f ca="1">IFERROR(__xludf.DUMMYFUNCTION("""COMPUTED_VALUE"""),"tatiana02032003@gmail.com")</f>
        <v>tatiana02032003@gmail.com</v>
      </c>
      <c r="K457" s="40" t="str">
        <f ca="1">IFERROR(__xludf.DUMMYFUNCTION("""COMPUTED_VALUE"""),"PITALITO")</f>
        <v>PITALITO</v>
      </c>
      <c r="L457" s="40" t="str">
        <f ca="1">IFERROR(__xludf.DUMMYFUNCTION("""COMPUTED_VALUE"""),"CONTRATO DE APRENDIZAJE ")</f>
        <v xml:space="preserve">CONTRATO DE APRENDIZAJE </v>
      </c>
      <c r="M457" s="40" t="str">
        <f ca="1">IFERROR(__xludf.DUMMYFUNCTION("""COMPUTED_VALUE"""),"ALBA JUDITH NARVAEZ LOZADA/COLEGIO LICEO FREIRE")</f>
        <v>ALBA JUDITH NARVAEZ LOZADA/COLEGIO LICEO FREIRE</v>
      </c>
      <c r="N457" s="40" t="str">
        <f ca="1">IFERROR(__xludf.DUMMYFUNCTION("""COMPUTED_VALUE"""),"KM 4 VIA TIMANA ")</f>
        <v xml:space="preserve">KM 4 VIA TIMANA </v>
      </c>
      <c r="O457" s="40"/>
      <c r="P457" s="40"/>
      <c r="Q457" s="40"/>
      <c r="R457" s="140">
        <f ca="1">IFERROR(__xludf.DUMMYFUNCTION("""COMPUTED_VALUE"""),44682)</f>
        <v>44682</v>
      </c>
      <c r="S457" s="140">
        <f ca="1">IFERROR(__xludf.DUMMYFUNCTION("""COMPUTED_VALUE"""),44865)</f>
        <v>44865</v>
      </c>
      <c r="T457" s="40" t="str">
        <f ca="1">IFERROR(__xludf.DUMMYFUNCTION("""COMPUTED_VALUE"""),"Tiene Contrato de Aprendizaje, Inicial. y bitácoras 1,2,3,4,5.. Falta parcial,final, certificación y bitácoras  6,7,8,9,10,11 y 12 ... Revisado 10/11/2022")</f>
        <v>Tiene Contrato de Aprendizaje, Inicial. y bitácoras 1,2,3,4,5.. Falta parcial,final, certificación y bitácoras  6,7,8,9,10,11 y 12 ... Revisado 10/11/2022</v>
      </c>
      <c r="U457" s="40"/>
      <c r="V457" s="40"/>
      <c r="W457" s="40"/>
      <c r="X457" s="40"/>
      <c r="Y457" s="40" t="str">
        <f ca="1">IFERROR(__xludf.DUMMYFUNCTION("""COMPUTED_VALUE"""),"ANA MILENA CAMACHO TAMARA  - SUbió Inicial. y bitácoras 1,2,3,4,5... Revisado 10/11/2022")</f>
        <v>ANA MILENA CAMACHO TAMARA  - SUbió Inicial. y bitácoras 1,2,3,4,5... Revisado 10/11/2022</v>
      </c>
      <c r="Z457" s="40" t="str">
        <f ca="1">IFERROR(__xludf.DUMMYFUNCTION("""COMPUTED_VALUE"""),"SI  TIENE SEGUIMIENTO 10/11/2022")</f>
        <v>SI  TIENE SEGUIMIENTO 10/11/2022</v>
      </c>
      <c r="AA457" s="40"/>
      <c r="AB457" s="40"/>
      <c r="AC457" s="40"/>
      <c r="AD457" s="40"/>
      <c r="AE457" s="40"/>
      <c r="AF457" s="40"/>
      <c r="AG457" s="40"/>
      <c r="AH457" s="40"/>
      <c r="AI457" s="40"/>
      <c r="AJ457" s="40"/>
      <c r="AK457" s="40"/>
      <c r="AL457" s="40"/>
      <c r="AM457" s="40"/>
      <c r="AN457" s="40"/>
      <c r="AO457" s="40"/>
      <c r="AP457" s="40"/>
      <c r="AQ457" s="40"/>
      <c r="AR457" s="40"/>
      <c r="AS457" s="40"/>
      <c r="AT457" s="40"/>
      <c r="AU457" s="40" t="str">
        <f ca="1">IFERROR(__xludf.DUMMYFUNCTION("""COMPUTED_VALUE"""),"Procede_E_P")</f>
        <v>Procede_E_P</v>
      </c>
      <c r="AV457" s="40" t="str">
        <f ca="1">IFERROR(__xludf.DUMMYFUNCTION("""COMPUTED_VALUE"""),"EN FORMACION")</f>
        <v>EN FORMACION</v>
      </c>
      <c r="AW457" s="40" t="str">
        <f ca="1">IFERROR(__xludf.DUMMYFUNCTION("""COMPUTED_VALUE"""),"AMBIENTAL")</f>
        <v>AMBIENTAL</v>
      </c>
      <c r="AX457" s="141">
        <f ca="1">IFERROR(__xludf.DUMMYFUNCTION("""COMPUTED_VALUE"""),44839)</f>
        <v>44839</v>
      </c>
      <c r="AY457" s="40">
        <f ca="1">IFERROR(__xludf.DUMMYFUNCTION("""COMPUTED_VALUE"""),0)</f>
        <v>0</v>
      </c>
      <c r="AZ457" s="40">
        <f ca="1">IFERROR(__xludf.DUMMYFUNCTION("""COMPUTED_VALUE"""),1)</f>
        <v>1</v>
      </c>
      <c r="BA457" s="40">
        <f ca="1">IFERROR(__xludf.DUMMYFUNCTION("""COMPUTED_VALUE"""),0)</f>
        <v>0</v>
      </c>
      <c r="BB457" s="40">
        <f ca="1">IFERROR(__xludf.DUMMYFUNCTION("""COMPUTED_VALUE"""),0)</f>
        <v>0</v>
      </c>
      <c r="BC457" s="40">
        <f ca="1">IFERROR(__xludf.DUMMYFUNCTION("""COMPUTED_VALUE"""),1)</f>
        <v>1</v>
      </c>
      <c r="BD457" s="141">
        <f ca="1">IFERROR(__xludf.DUMMYFUNCTION("""COMPUTED_VALUE"""),44182)</f>
        <v>44182</v>
      </c>
      <c r="BE457" s="141">
        <f ca="1">IFERROR(__xludf.DUMMYFUNCTION("""COMPUTED_VALUE"""),44729)</f>
        <v>44729</v>
      </c>
      <c r="BF457" s="141">
        <f ca="1">IFERROR(__xludf.DUMMYFUNCTION("""COMPUTED_VALUE"""),44912)</f>
        <v>44912</v>
      </c>
      <c r="BG457" s="141">
        <f ca="1">IFERROR(__xludf.DUMMYFUNCTION("""COMPUTED_VALUE"""),45460)</f>
        <v>45460</v>
      </c>
      <c r="BH457" s="40" t="str">
        <f ca="1">IFERROR(__xludf.DUMMYFUNCTION("""COMPUTED_VALUE"""),"FICHA EN TIEMPO-18 MESES")</f>
        <v>FICHA EN TIEMPO-18 MESES</v>
      </c>
      <c r="BI457" s="40" t="str">
        <f ca="1">IFERROR(__xludf.DUMMYFUNCTION("""COMPUTED_VALUE"""),"En ejecucion")</f>
        <v>En ejecucion</v>
      </c>
      <c r="BJ457" s="40" t="str">
        <f ca="1">IFERROR(__xludf.DUMMYFUNCTION("""COMPUTED_VALUE"""),"Yamboro")</f>
        <v>Yamboro</v>
      </c>
      <c r="BK457" s="40"/>
      <c r="BL457" s="40"/>
    </row>
    <row r="458" spans="1:64" ht="13">
      <c r="A458" s="40"/>
      <c r="B458" s="40" t="str">
        <f ca="1">IFERROR(__xludf.DUMMYFUNCTION("""COMPUTED_VALUE"""),"FORMACIÓN 18/10/2022")</f>
        <v>FORMACIÓN 18/10/2022</v>
      </c>
      <c r="C458" s="40" t="str">
        <f ca="1">IFERROR(__xludf.DUMMYFUNCTION("""COMPUTED_VALUE"""),"KAREN SOFIA MESA JIMENEZ")</f>
        <v>KAREN SOFIA MESA JIMENEZ</v>
      </c>
      <c r="D458" s="40" t="str">
        <f ca="1">IFERROR(__xludf.DUMMYFUNCTION("""COMPUTED_VALUE"""),"CC")</f>
        <v>CC</v>
      </c>
      <c r="E458" s="40">
        <f ca="1">IFERROR(__xludf.DUMMYFUNCTION("""COMPUTED_VALUE"""),1004446406)</f>
        <v>1004446406</v>
      </c>
      <c r="F458" s="40">
        <f ca="1">IFERROR(__xludf.DUMMYFUNCTION("""COMPUTED_VALUE"""),2252406)</f>
        <v>2252406</v>
      </c>
      <c r="G458" s="40" t="str">
        <f ca="1">IFERROR(__xludf.DUMMYFUNCTION("""COMPUTED_VALUE"""),"TECNÓLOGO")</f>
        <v>TECNÓLOGO</v>
      </c>
      <c r="H458" s="40" t="str">
        <f ca="1">IFERROR(__xludf.DUMMYFUNCTION("""COMPUTED_VALUE"""),"GESTIÓN DE RECURSOS NATURALES")</f>
        <v>GESTIÓN DE RECURSOS NATURALES</v>
      </c>
      <c r="I458" s="40">
        <f ca="1">IFERROR(__xludf.DUMMYFUNCTION("""COMPUTED_VALUE"""),3222924132)</f>
        <v>3222924132</v>
      </c>
      <c r="J458" s="40" t="str">
        <f ca="1">IFERROR(__xludf.DUMMYFUNCTION("""COMPUTED_VALUE"""),"sofiamesa1606@gmail.com")</f>
        <v>sofiamesa1606@gmail.com</v>
      </c>
      <c r="K458" s="40" t="str">
        <f ca="1">IFERROR(__xludf.DUMMYFUNCTION("""COMPUTED_VALUE"""),"PITALITO")</f>
        <v>PITALITO</v>
      </c>
      <c r="L458" s="40" t="str">
        <f ca="1">IFERROR(__xludf.DUMMYFUNCTION("""COMPUTED_VALUE"""),"CONTRATO DE APRENDIZAJE ")</f>
        <v xml:space="preserve">CONTRATO DE APRENDIZAJE </v>
      </c>
      <c r="M458" s="40" t="str">
        <f ca="1">IFERROR(__xludf.DUMMYFUNCTION("""COMPUTED_VALUE"""),"SERVICIO NACIONAL DE APRENDIZAJE, SENA")</f>
        <v>SERVICIO NACIONAL DE APRENDIZAJE, SENA</v>
      </c>
      <c r="N458" s="40" t="str">
        <f ca="1">IFERROR(__xludf.DUMMYFUNCTION("""COMPUTED_VALUE"""),"CRA 8 N° 7-53")</f>
        <v>CRA 8 N° 7-53</v>
      </c>
      <c r="O458" s="40">
        <f ca="1">IFERROR(__xludf.DUMMYFUNCTION("""COMPUTED_VALUE"""),8365960)</f>
        <v>8365960</v>
      </c>
      <c r="P458" s="40" t="str">
        <f ca="1">IFERROR(__xludf.DUMMYFUNCTION("""COMPUTED_VALUE"""),"PITALITO ")</f>
        <v xml:space="preserve">PITALITO </v>
      </c>
      <c r="Q458" s="40"/>
      <c r="R458" s="140">
        <f ca="1">IFERROR(__xludf.DUMMYFUNCTION("""COMPUTED_VALUE"""),44743)</f>
        <v>44743</v>
      </c>
      <c r="S458" s="140">
        <f ca="1">IFERROR(__xludf.DUMMYFUNCTION("""COMPUTED_VALUE"""),44926)</f>
        <v>44926</v>
      </c>
      <c r="T458" s="40" t="str">
        <f ca="1">IFERROR(__xludf.DUMMYFUNCTION("""COMPUTED_VALUE"""),"Tiene Contrato de Aprendizaje, parciall. y bitácoras 1,2,3,4,5.. Falta final, certificación y bitácoras  6,7,8,9,10,11 y 12 ... Revisado 10/11/2022")</f>
        <v>Tiene Contrato de Aprendizaje, parciall. y bitácoras 1,2,3,4,5.. Falta final, certificación y bitácoras  6,7,8,9,10,11 y 12 ... Revisado 10/11/2022</v>
      </c>
      <c r="U458" s="40"/>
      <c r="V458" s="40"/>
      <c r="W458" s="40"/>
      <c r="X458" s="40"/>
      <c r="Y458" s="40" t="str">
        <f ca="1">IFERROR(__xludf.DUMMYFUNCTION("""COMPUTED_VALUE"""),"ANA MILENA CAMACHO TAMARA  - Subió Parcial. y bitácoras 1,2,3,4,5... Revisado 10/11/2022")</f>
        <v>ANA MILENA CAMACHO TAMARA  - Subió Parcial. y bitácoras 1,2,3,4,5... Revisado 10/11/2022</v>
      </c>
      <c r="Z458" s="40" t="str">
        <f ca="1">IFERROR(__xludf.DUMMYFUNCTION("""COMPUTED_VALUE"""),"SI  TIENE SEGUIMIENTO 10/11/2022")</f>
        <v>SI  TIENE SEGUIMIENTO 10/11/2022</v>
      </c>
      <c r="AA458" s="40"/>
      <c r="AB458" s="40"/>
      <c r="AC458" s="40"/>
      <c r="AD458" s="40"/>
      <c r="AE458" s="40"/>
      <c r="AF458" s="40"/>
      <c r="AG458" s="40"/>
      <c r="AH458" s="40"/>
      <c r="AI458" s="40"/>
      <c r="AJ458" s="40"/>
      <c r="AK458" s="40"/>
      <c r="AL458" s="40"/>
      <c r="AM458" s="40"/>
      <c r="AN458" s="40"/>
      <c r="AO458" s="40"/>
      <c r="AP458" s="40"/>
      <c r="AQ458" s="40"/>
      <c r="AR458" s="40"/>
      <c r="AS458" s="40"/>
      <c r="AT458" s="40"/>
      <c r="AU458" s="40" t="str">
        <f ca="1">IFERROR(__xludf.DUMMYFUNCTION("""COMPUTED_VALUE"""),"Procede_E_P")</f>
        <v>Procede_E_P</v>
      </c>
      <c r="AV458" s="40" t="str">
        <f ca="1">IFERROR(__xludf.DUMMYFUNCTION("""COMPUTED_VALUE"""),"EN FORMACION")</f>
        <v>EN FORMACION</v>
      </c>
      <c r="AW458" s="40" t="str">
        <f ca="1">IFERROR(__xludf.DUMMYFUNCTION("""COMPUTED_VALUE"""),"AMBIENTAL")</f>
        <v>AMBIENTAL</v>
      </c>
      <c r="AX458" s="141">
        <f ca="1">IFERROR(__xludf.DUMMYFUNCTION("""COMPUTED_VALUE"""),44839)</f>
        <v>44839</v>
      </c>
      <c r="AY458" s="40">
        <f ca="1">IFERROR(__xludf.DUMMYFUNCTION("""COMPUTED_VALUE"""),0)</f>
        <v>0</v>
      </c>
      <c r="AZ458" s="40">
        <f ca="1">IFERROR(__xludf.DUMMYFUNCTION("""COMPUTED_VALUE"""),1)</f>
        <v>1</v>
      </c>
      <c r="BA458" s="40">
        <f ca="1">IFERROR(__xludf.DUMMYFUNCTION("""COMPUTED_VALUE"""),0)</f>
        <v>0</v>
      </c>
      <c r="BB458" s="40">
        <f ca="1">IFERROR(__xludf.DUMMYFUNCTION("""COMPUTED_VALUE"""),0)</f>
        <v>0</v>
      </c>
      <c r="BC458" s="40">
        <f ca="1">IFERROR(__xludf.DUMMYFUNCTION("""COMPUTED_VALUE"""),1)</f>
        <v>1</v>
      </c>
      <c r="BD458" s="141">
        <f ca="1">IFERROR(__xludf.DUMMYFUNCTION("""COMPUTED_VALUE"""),44182)</f>
        <v>44182</v>
      </c>
      <c r="BE458" s="141">
        <f ca="1">IFERROR(__xludf.DUMMYFUNCTION("""COMPUTED_VALUE"""),44729)</f>
        <v>44729</v>
      </c>
      <c r="BF458" s="141">
        <f ca="1">IFERROR(__xludf.DUMMYFUNCTION("""COMPUTED_VALUE"""),44912)</f>
        <v>44912</v>
      </c>
      <c r="BG458" s="141">
        <f ca="1">IFERROR(__xludf.DUMMYFUNCTION("""COMPUTED_VALUE"""),45460)</f>
        <v>45460</v>
      </c>
      <c r="BH458" s="40" t="str">
        <f ca="1">IFERROR(__xludf.DUMMYFUNCTION("""COMPUTED_VALUE"""),"FICHA EN TIEMPO-18 MESES")</f>
        <v>FICHA EN TIEMPO-18 MESES</v>
      </c>
      <c r="BI458" s="40" t="str">
        <f ca="1">IFERROR(__xludf.DUMMYFUNCTION("""COMPUTED_VALUE"""),"En ejecucion")</f>
        <v>En ejecucion</v>
      </c>
      <c r="BJ458" s="40" t="str">
        <f ca="1">IFERROR(__xludf.DUMMYFUNCTION("""COMPUTED_VALUE"""),"Yamboro")</f>
        <v>Yamboro</v>
      </c>
      <c r="BK458" s="40"/>
      <c r="BL458" s="40"/>
    </row>
    <row r="459" spans="1:64" ht="13">
      <c r="A459" s="40"/>
      <c r="B459" s="40" t="str">
        <f ca="1">IFERROR(__xludf.DUMMYFUNCTION("""COMPUTED_VALUE"""),"FORMACIÓN 18/10/2022")</f>
        <v>FORMACIÓN 18/10/2022</v>
      </c>
      <c r="C459" s="40" t="str">
        <f ca="1">IFERROR(__xludf.DUMMYFUNCTION("""COMPUTED_VALUE"""),"YEISSON ARTUNDUAGA DELGADO")</f>
        <v>YEISSON ARTUNDUAGA DELGADO</v>
      </c>
      <c r="D459" s="40" t="str">
        <f ca="1">IFERROR(__xludf.DUMMYFUNCTION("""COMPUTED_VALUE"""),"CC")</f>
        <v>CC</v>
      </c>
      <c r="E459" s="40">
        <f ca="1">IFERROR(__xludf.DUMMYFUNCTION("""COMPUTED_VALUE"""),1004675333)</f>
        <v>1004675333</v>
      </c>
      <c r="F459" s="40">
        <f ca="1">IFERROR(__xludf.DUMMYFUNCTION("""COMPUTED_VALUE"""),2252406)</f>
        <v>2252406</v>
      </c>
      <c r="G459" s="40" t="str">
        <f ca="1">IFERROR(__xludf.DUMMYFUNCTION("""COMPUTED_VALUE"""),"TECNÓLOGO")</f>
        <v>TECNÓLOGO</v>
      </c>
      <c r="H459" s="40" t="str">
        <f ca="1">IFERROR(__xludf.DUMMYFUNCTION("""COMPUTED_VALUE"""),"GESTIÓN DE RECURSOS NATURALES")</f>
        <v>GESTIÓN DE RECURSOS NATURALES</v>
      </c>
      <c r="I459" s="40">
        <f ca="1">IFERROR(__xludf.DUMMYFUNCTION("""COMPUTED_VALUE"""),3112075342)</f>
        <v>3112075342</v>
      </c>
      <c r="J459" s="40" t="str">
        <f ca="1">IFERROR(__xludf.DUMMYFUNCTION("""COMPUTED_VALUE"""),"yeissonar035@gmail.com")</f>
        <v>yeissonar035@gmail.com</v>
      </c>
      <c r="K459" s="40" t="str">
        <f ca="1">IFERROR(__xludf.DUMMYFUNCTION("""COMPUTED_VALUE"""),"GRANJAS")</f>
        <v>GRANJAS</v>
      </c>
      <c r="L459" s="40" t="str">
        <f ca="1">IFERROR(__xludf.DUMMYFUNCTION("""COMPUTED_VALUE"""),"NO HA INICIADO ETAPA PRODUCTIVA")</f>
        <v>NO HA INICIADO ETAPA PRODUCTIVA</v>
      </c>
      <c r="M459" s="40"/>
      <c r="N459" s="40"/>
      <c r="O459" s="40"/>
      <c r="P459" s="40"/>
      <c r="Q459" s="40"/>
      <c r="R459" s="140"/>
      <c r="S459" s="1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t="str">
        <f ca="1">IFERROR(__xludf.DUMMYFUNCTION("""COMPUTED_VALUE"""),"NO_CUMPLE")</f>
        <v>NO_CUMPLE</v>
      </c>
      <c r="AV459" s="40" t="str">
        <f ca="1">IFERROR(__xludf.DUMMYFUNCTION("""COMPUTED_VALUE"""),"EN FORMACION")</f>
        <v>EN FORMACION</v>
      </c>
      <c r="AW459" s="40" t="str">
        <f ca="1">IFERROR(__xludf.DUMMYFUNCTION("""COMPUTED_VALUE"""),"AMBIENTAL")</f>
        <v>AMBIENTAL</v>
      </c>
      <c r="AX459" s="141">
        <f ca="1">IFERROR(__xludf.DUMMYFUNCTION("""COMPUTED_VALUE"""),44839)</f>
        <v>44839</v>
      </c>
      <c r="AY459" s="40">
        <f ca="1">IFERROR(__xludf.DUMMYFUNCTION("""COMPUTED_VALUE"""),0)</f>
        <v>0</v>
      </c>
      <c r="AZ459" s="40">
        <f ca="1">IFERROR(__xludf.DUMMYFUNCTION("""COMPUTED_VALUE"""),1)</f>
        <v>1</v>
      </c>
      <c r="BA459" s="40">
        <f ca="1">IFERROR(__xludf.DUMMYFUNCTION("""COMPUTED_VALUE"""),0)</f>
        <v>0</v>
      </c>
      <c r="BB459" s="40">
        <f ca="1">IFERROR(__xludf.DUMMYFUNCTION("""COMPUTED_VALUE"""),6)</f>
        <v>6</v>
      </c>
      <c r="BC459" s="40">
        <f ca="1">IFERROR(__xludf.DUMMYFUNCTION("""COMPUTED_VALUE"""),7)</f>
        <v>7</v>
      </c>
      <c r="BD459" s="141">
        <f ca="1">IFERROR(__xludf.DUMMYFUNCTION("""COMPUTED_VALUE"""),44182)</f>
        <v>44182</v>
      </c>
      <c r="BE459" s="141">
        <f ca="1">IFERROR(__xludf.DUMMYFUNCTION("""COMPUTED_VALUE"""),44729)</f>
        <v>44729</v>
      </c>
      <c r="BF459" s="141">
        <f ca="1">IFERROR(__xludf.DUMMYFUNCTION("""COMPUTED_VALUE"""),44912)</f>
        <v>44912</v>
      </c>
      <c r="BG459" s="141">
        <f ca="1">IFERROR(__xludf.DUMMYFUNCTION("""COMPUTED_VALUE"""),45460)</f>
        <v>45460</v>
      </c>
      <c r="BH459" s="40" t="str">
        <f ca="1">IFERROR(__xludf.DUMMYFUNCTION("""COMPUTED_VALUE"""),"FICHA EN TIEMPO-18 MESES")</f>
        <v>FICHA EN TIEMPO-18 MESES</v>
      </c>
      <c r="BI459" s="40" t="str">
        <f ca="1">IFERROR(__xludf.DUMMYFUNCTION("""COMPUTED_VALUE"""),"En ejecucion")</f>
        <v>En ejecucion</v>
      </c>
      <c r="BJ459" s="40" t="str">
        <f ca="1">IFERROR(__xludf.DUMMYFUNCTION("""COMPUTED_VALUE"""),"Yamboro")</f>
        <v>Yamboro</v>
      </c>
      <c r="BK459" s="40"/>
      <c r="BL459" s="40"/>
    </row>
    <row r="460" spans="1:64" ht="13">
      <c r="A460" s="40"/>
      <c r="B460" s="40" t="str">
        <f ca="1">IFERROR(__xludf.DUMMYFUNCTION("""COMPUTED_VALUE"""),"FORMACIÓN 18/10/2022")</f>
        <v>FORMACIÓN 18/10/2022</v>
      </c>
      <c r="C460" s="40" t="str">
        <f ca="1">IFERROR(__xludf.DUMMYFUNCTION("""COMPUTED_VALUE"""),"MARIA ALEXANDRA CUELLAR TORRES")</f>
        <v>MARIA ALEXANDRA CUELLAR TORRES</v>
      </c>
      <c r="D460" s="40" t="str">
        <f ca="1">IFERROR(__xludf.DUMMYFUNCTION("""COMPUTED_VALUE"""),"CC")</f>
        <v>CC</v>
      </c>
      <c r="E460" s="40">
        <f ca="1">IFERROR(__xludf.DUMMYFUNCTION("""COMPUTED_VALUE"""),1007162968)</f>
        <v>1007162968</v>
      </c>
      <c r="F460" s="40">
        <f ca="1">IFERROR(__xludf.DUMMYFUNCTION("""COMPUTED_VALUE"""),2252406)</f>
        <v>2252406</v>
      </c>
      <c r="G460" s="40" t="str">
        <f ca="1">IFERROR(__xludf.DUMMYFUNCTION("""COMPUTED_VALUE"""),"TECNÓLOGO")</f>
        <v>TECNÓLOGO</v>
      </c>
      <c r="H460" s="40" t="str">
        <f ca="1">IFERROR(__xludf.DUMMYFUNCTION("""COMPUTED_VALUE"""),"GESTIÓN DE RECURSOS NATURALES")</f>
        <v>GESTIÓN DE RECURSOS NATURALES</v>
      </c>
      <c r="I460" s="40"/>
      <c r="J460" s="40"/>
      <c r="K460" s="40"/>
      <c r="L460" s="40" t="str">
        <f ca="1">IFERROR(__xludf.DUMMYFUNCTION("""COMPUTED_VALUE"""),"NO HA INICIADO ETAPA PRODUCTIVA")</f>
        <v>NO HA INICIADO ETAPA PRODUCTIVA</v>
      </c>
      <c r="M460" s="40"/>
      <c r="N460" s="40"/>
      <c r="O460" s="40"/>
      <c r="P460" s="40"/>
      <c r="Q460" s="40"/>
      <c r="R460" s="140"/>
      <c r="S460" s="1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t="str">
        <f ca="1">IFERROR(__xludf.DUMMYFUNCTION("""COMPUTED_VALUE"""),"NO_CUMPLE")</f>
        <v>NO_CUMPLE</v>
      </c>
      <c r="AV460" s="40" t="str">
        <f ca="1">IFERROR(__xludf.DUMMYFUNCTION("""COMPUTED_VALUE"""),"EN FORMACION")</f>
        <v>EN FORMACION</v>
      </c>
      <c r="AW460" s="40" t="str">
        <f ca="1">IFERROR(__xludf.DUMMYFUNCTION("""COMPUTED_VALUE"""),"AMBIENTAL")</f>
        <v>AMBIENTAL</v>
      </c>
      <c r="AX460" s="141">
        <f ca="1">IFERROR(__xludf.DUMMYFUNCTION("""COMPUTED_VALUE"""),44839)</f>
        <v>44839</v>
      </c>
      <c r="AY460" s="40">
        <f ca="1">IFERROR(__xludf.DUMMYFUNCTION("""COMPUTED_VALUE"""),1)</f>
        <v>1</v>
      </c>
      <c r="AZ460" s="40">
        <f ca="1">IFERROR(__xludf.DUMMYFUNCTION("""COMPUTED_VALUE"""),1)</f>
        <v>1</v>
      </c>
      <c r="BA460" s="40">
        <f ca="1">IFERROR(__xludf.DUMMYFUNCTION("""COMPUTED_VALUE"""),0)</f>
        <v>0</v>
      </c>
      <c r="BB460" s="40">
        <f ca="1">IFERROR(__xludf.DUMMYFUNCTION("""COMPUTED_VALUE"""),10)</f>
        <v>10</v>
      </c>
      <c r="BC460" s="40">
        <f ca="1">IFERROR(__xludf.DUMMYFUNCTION("""COMPUTED_VALUE"""),12)</f>
        <v>12</v>
      </c>
      <c r="BD460" s="141">
        <f ca="1">IFERROR(__xludf.DUMMYFUNCTION("""COMPUTED_VALUE"""),44182)</f>
        <v>44182</v>
      </c>
      <c r="BE460" s="141">
        <f ca="1">IFERROR(__xludf.DUMMYFUNCTION("""COMPUTED_VALUE"""),44729)</f>
        <v>44729</v>
      </c>
      <c r="BF460" s="141">
        <f ca="1">IFERROR(__xludf.DUMMYFUNCTION("""COMPUTED_VALUE"""),44912)</f>
        <v>44912</v>
      </c>
      <c r="BG460" s="141">
        <f ca="1">IFERROR(__xludf.DUMMYFUNCTION("""COMPUTED_VALUE"""),45460)</f>
        <v>45460</v>
      </c>
      <c r="BH460" s="40" t="str">
        <f ca="1">IFERROR(__xludf.DUMMYFUNCTION("""COMPUTED_VALUE"""),"FICHA EN TIEMPO-18 MESES")</f>
        <v>FICHA EN TIEMPO-18 MESES</v>
      </c>
      <c r="BI460" s="40" t="str">
        <f ca="1">IFERROR(__xludf.DUMMYFUNCTION("""COMPUTED_VALUE"""),"En ejecucion")</f>
        <v>En ejecucion</v>
      </c>
      <c r="BJ460" s="40" t="str">
        <f ca="1">IFERROR(__xludf.DUMMYFUNCTION("""COMPUTED_VALUE"""),"Yamboro")</f>
        <v>Yamboro</v>
      </c>
      <c r="BK460" s="40"/>
      <c r="BL460" s="40"/>
    </row>
    <row r="461" spans="1:64" ht="13">
      <c r="A461" s="40"/>
      <c r="B461" s="40" t="str">
        <f ca="1">IFERROR(__xludf.DUMMYFUNCTION("""COMPUTED_VALUE"""),"FORMACIÓN 18/10/2022")</f>
        <v>FORMACIÓN 18/10/2022</v>
      </c>
      <c r="C461" s="40" t="str">
        <f ca="1">IFERROR(__xludf.DUMMYFUNCTION("""COMPUTED_VALUE"""),"ESTEFANIA VASQUEZ ERAZO")</f>
        <v>ESTEFANIA VASQUEZ ERAZO</v>
      </c>
      <c r="D461" s="40" t="str">
        <f ca="1">IFERROR(__xludf.DUMMYFUNCTION("""COMPUTED_VALUE"""),"CC")</f>
        <v>CC</v>
      </c>
      <c r="E461" s="40">
        <f ca="1">IFERROR(__xludf.DUMMYFUNCTION("""COMPUTED_VALUE"""),1007562859)</f>
        <v>1007562859</v>
      </c>
      <c r="F461" s="40">
        <f ca="1">IFERROR(__xludf.DUMMYFUNCTION("""COMPUTED_VALUE"""),2252406)</f>
        <v>2252406</v>
      </c>
      <c r="G461" s="40" t="str">
        <f ca="1">IFERROR(__xludf.DUMMYFUNCTION("""COMPUTED_VALUE"""),"TECNÓLOGO")</f>
        <v>TECNÓLOGO</v>
      </c>
      <c r="H461" s="40" t="str">
        <f ca="1">IFERROR(__xludf.DUMMYFUNCTION("""COMPUTED_VALUE"""),"GESTIÓN DE RECURSOS NATURALES")</f>
        <v>GESTIÓN DE RECURSOS NATURALES</v>
      </c>
      <c r="I461" s="40"/>
      <c r="J461" s="40"/>
      <c r="K461" s="40"/>
      <c r="L461" s="40" t="str">
        <f ca="1">IFERROR(__xludf.DUMMYFUNCTION("""COMPUTED_VALUE"""),"NO HA INICIADO ETAPA PRODUCTIVA")</f>
        <v>NO HA INICIADO ETAPA PRODUCTIVA</v>
      </c>
      <c r="M461" s="40"/>
      <c r="N461" s="40"/>
      <c r="O461" s="40"/>
      <c r="P461" s="40"/>
      <c r="Q461" s="40"/>
      <c r="R461" s="140"/>
      <c r="S461" s="1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t="str">
        <f ca="1">IFERROR(__xludf.DUMMYFUNCTION("""COMPUTED_VALUE"""),"NO_CUMPLE")</f>
        <v>NO_CUMPLE</v>
      </c>
      <c r="AV461" s="40" t="str">
        <f ca="1">IFERROR(__xludf.DUMMYFUNCTION("""COMPUTED_VALUE"""),"EN FORMACION")</f>
        <v>EN FORMACION</v>
      </c>
      <c r="AW461" s="40" t="str">
        <f ca="1">IFERROR(__xludf.DUMMYFUNCTION("""COMPUTED_VALUE"""),"AMBIENTAL")</f>
        <v>AMBIENTAL</v>
      </c>
      <c r="AX461" s="141">
        <f ca="1">IFERROR(__xludf.DUMMYFUNCTION("""COMPUTED_VALUE"""),44839)</f>
        <v>44839</v>
      </c>
      <c r="AY461" s="40">
        <f ca="1">IFERROR(__xludf.DUMMYFUNCTION("""COMPUTED_VALUE"""),1)</f>
        <v>1</v>
      </c>
      <c r="AZ461" s="40">
        <f ca="1">IFERROR(__xludf.DUMMYFUNCTION("""COMPUTED_VALUE"""),1)</f>
        <v>1</v>
      </c>
      <c r="BA461" s="40">
        <f ca="1">IFERROR(__xludf.DUMMYFUNCTION("""COMPUTED_VALUE"""),0)</f>
        <v>0</v>
      </c>
      <c r="BB461" s="40">
        <f ca="1">IFERROR(__xludf.DUMMYFUNCTION("""COMPUTED_VALUE"""),11)</f>
        <v>11</v>
      </c>
      <c r="BC461" s="40">
        <f ca="1">IFERROR(__xludf.DUMMYFUNCTION("""COMPUTED_VALUE"""),13)</f>
        <v>13</v>
      </c>
      <c r="BD461" s="141">
        <f ca="1">IFERROR(__xludf.DUMMYFUNCTION("""COMPUTED_VALUE"""),44182)</f>
        <v>44182</v>
      </c>
      <c r="BE461" s="141">
        <f ca="1">IFERROR(__xludf.DUMMYFUNCTION("""COMPUTED_VALUE"""),44729)</f>
        <v>44729</v>
      </c>
      <c r="BF461" s="141">
        <f ca="1">IFERROR(__xludf.DUMMYFUNCTION("""COMPUTED_VALUE"""),44912)</f>
        <v>44912</v>
      </c>
      <c r="BG461" s="141">
        <f ca="1">IFERROR(__xludf.DUMMYFUNCTION("""COMPUTED_VALUE"""),45460)</f>
        <v>45460</v>
      </c>
      <c r="BH461" s="40" t="str">
        <f ca="1">IFERROR(__xludf.DUMMYFUNCTION("""COMPUTED_VALUE"""),"FICHA EN TIEMPO-18 MESES")</f>
        <v>FICHA EN TIEMPO-18 MESES</v>
      </c>
      <c r="BI461" s="40" t="str">
        <f ca="1">IFERROR(__xludf.DUMMYFUNCTION("""COMPUTED_VALUE"""),"En ejecucion")</f>
        <v>En ejecucion</v>
      </c>
      <c r="BJ461" s="40" t="str">
        <f ca="1">IFERROR(__xludf.DUMMYFUNCTION("""COMPUTED_VALUE"""),"Yamboro")</f>
        <v>Yamboro</v>
      </c>
      <c r="BK461" s="40"/>
      <c r="BL461" s="40"/>
    </row>
    <row r="462" spans="1:64" ht="13">
      <c r="A462" s="40"/>
      <c r="B462" s="40" t="str">
        <f ca="1">IFERROR(__xludf.DUMMYFUNCTION("""COMPUTED_VALUE"""),"FORMACIÓN 18/10/2022")</f>
        <v>FORMACIÓN 18/10/2022</v>
      </c>
      <c r="C462" s="40" t="str">
        <f ca="1">IFERROR(__xludf.DUMMYFUNCTION("""COMPUTED_VALUE"""),"JUAN DAVID ANACONA SANTIAGO")</f>
        <v>JUAN DAVID ANACONA SANTIAGO</v>
      </c>
      <c r="D462" s="40" t="str">
        <f ca="1">IFERROR(__xludf.DUMMYFUNCTION("""COMPUTED_VALUE"""),"CC")</f>
        <v>CC</v>
      </c>
      <c r="E462" s="40">
        <f ca="1">IFERROR(__xludf.DUMMYFUNCTION("""COMPUTED_VALUE"""),1007583029)</f>
        <v>1007583029</v>
      </c>
      <c r="F462" s="40">
        <f ca="1">IFERROR(__xludf.DUMMYFUNCTION("""COMPUTED_VALUE"""),2252406)</f>
        <v>2252406</v>
      </c>
      <c r="G462" s="40" t="str">
        <f ca="1">IFERROR(__xludf.DUMMYFUNCTION("""COMPUTED_VALUE"""),"TECNÓLOGO")</f>
        <v>TECNÓLOGO</v>
      </c>
      <c r="H462" s="40" t="str">
        <f ca="1">IFERROR(__xludf.DUMMYFUNCTION("""COMPUTED_VALUE"""),"GESTIÓN DE RECURSOS NATURALES")</f>
        <v>GESTIÓN DE RECURSOS NATURALES</v>
      </c>
      <c r="I462" s="40">
        <f ca="1">IFERROR(__xludf.DUMMYFUNCTION("""COMPUTED_VALUE"""),3132067880)</f>
        <v>3132067880</v>
      </c>
      <c r="J462" s="40" t="str">
        <f ca="1">IFERROR(__xludf.DUMMYFUNCTION("""COMPUTED_VALUE"""),"juandasantiago05@gmail.com")</f>
        <v>juandasantiago05@gmail.com</v>
      </c>
      <c r="K462" s="40" t="str">
        <f ca="1">IFERROR(__xludf.DUMMYFUNCTION("""COMPUTED_VALUE"""),"SAN AGUSTIN")</f>
        <v>SAN AGUSTIN</v>
      </c>
      <c r="L462" s="40" t="str">
        <f ca="1">IFERROR(__xludf.DUMMYFUNCTION("""COMPUTED_VALUE"""),"PASANTÍAS")</f>
        <v>PASANTÍAS</v>
      </c>
      <c r="M462" s="40" t="str">
        <f ca="1">IFERROR(__xludf.DUMMYFUNCTION("""COMPUTED_VALUE"""),"ASESORIAS Y VENTAS DE INSUMOS AGORPEVUARIOS DON HEBER ")</f>
        <v xml:space="preserve">ASESORIAS Y VENTAS DE INSUMOS AGORPEVUARIOS DON HEBER </v>
      </c>
      <c r="N462" s="40" t="str">
        <f ca="1">IFERROR(__xludf.DUMMYFUNCTION("""COMPUTED_VALUE"""),"CARRERA 12 N° 2- 29")</f>
        <v>CARRERA 12 N° 2- 29</v>
      </c>
      <c r="O462" s="40">
        <f ca="1">IFERROR(__xludf.DUMMYFUNCTION("""COMPUTED_VALUE"""),3204883387)</f>
        <v>3204883387</v>
      </c>
      <c r="P462" s="40" t="str">
        <f ca="1">IFERROR(__xludf.DUMMYFUNCTION("""COMPUTED_VALUE"""),"SAN AGUSTIN ")</f>
        <v xml:space="preserve">SAN AGUSTIN </v>
      </c>
      <c r="Q462" s="40" t="str">
        <f ca="1">IFERROR(__xludf.DUMMYFUNCTION("""COMPUTED_VALUE"""),"hevernel9416@gmail.com")</f>
        <v>hevernel9416@gmail.com</v>
      </c>
      <c r="R462" s="140">
        <f ca="1">IFERROR(__xludf.DUMMYFUNCTION("""COMPUTED_VALUE"""),44774)</f>
        <v>44774</v>
      </c>
      <c r="S462" s="140">
        <f ca="1">IFERROR(__xludf.DUMMYFUNCTION("""COMPUTED_VALUE"""),44957)</f>
        <v>44957</v>
      </c>
      <c r="T462" s="40" t="str">
        <f ca="1">IFERROR(__xludf.DUMMYFUNCTION("""COMPUTED_VALUE"""),"Tiene acuerdo de voluntades, Inicial. y bitácoras 1,2,3,4,5.. Falta parcial,final, certificación y bitácoras  6,7,8,9,10,11 y 12 ... Revisado 10/11/2022")</f>
        <v>Tiene acuerdo de voluntades, Inicial. y bitácoras 1,2,3,4,5.. Falta parcial,final, certificación y bitácoras  6,7,8,9,10,11 y 12 ... Revisado 10/11/2022</v>
      </c>
      <c r="U462" s="40" t="str">
        <f ca="1">IFERROR(__xludf.DUMMYFUNCTION("""COMPUTED_VALUE"""),"ANA MILENA CAMACHO TAMARA  - SUbió Inicial. y bitácoras 1,2,3,4,5... Revisado 10/11/2022")</f>
        <v>ANA MILENA CAMACHO TAMARA  - SUbió Inicial. y bitácoras 1,2,3,4,5... Revisado 10/11/2022</v>
      </c>
      <c r="V462" s="40" t="str">
        <f ca="1">IFERROR(__xludf.DUMMYFUNCTION("""COMPUTED_VALUE"""),"SI  TIENE SEGUIMIENTO 10/11/2022")</f>
        <v>SI  TIENE SEGUIMIENTO 10/11/2022</v>
      </c>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t="str">
        <f ca="1">IFERROR(__xludf.DUMMYFUNCTION("""COMPUTED_VALUE"""),"Procede_E_P")</f>
        <v>Procede_E_P</v>
      </c>
      <c r="AV462" s="40" t="str">
        <f ca="1">IFERROR(__xludf.DUMMYFUNCTION("""COMPUTED_VALUE"""),"EN FORMACION")</f>
        <v>EN FORMACION</v>
      </c>
      <c r="AW462" s="40" t="str">
        <f ca="1">IFERROR(__xludf.DUMMYFUNCTION("""COMPUTED_VALUE"""),"AMBIENTAL")</f>
        <v>AMBIENTAL</v>
      </c>
      <c r="AX462" s="141">
        <f ca="1">IFERROR(__xludf.DUMMYFUNCTION("""COMPUTED_VALUE"""),44839)</f>
        <v>44839</v>
      </c>
      <c r="AY462" s="40">
        <f ca="1">IFERROR(__xludf.DUMMYFUNCTION("""COMPUTED_VALUE"""),0)</f>
        <v>0</v>
      </c>
      <c r="AZ462" s="40">
        <f ca="1">IFERROR(__xludf.DUMMYFUNCTION("""COMPUTED_VALUE"""),1)</f>
        <v>1</v>
      </c>
      <c r="BA462" s="40">
        <f ca="1">IFERROR(__xludf.DUMMYFUNCTION("""COMPUTED_VALUE"""),0)</f>
        <v>0</v>
      </c>
      <c r="BB462" s="40">
        <f ca="1">IFERROR(__xludf.DUMMYFUNCTION("""COMPUTED_VALUE"""),0)</f>
        <v>0</v>
      </c>
      <c r="BC462" s="40">
        <f ca="1">IFERROR(__xludf.DUMMYFUNCTION("""COMPUTED_VALUE"""),1)</f>
        <v>1</v>
      </c>
      <c r="BD462" s="141">
        <f ca="1">IFERROR(__xludf.DUMMYFUNCTION("""COMPUTED_VALUE"""),44182)</f>
        <v>44182</v>
      </c>
      <c r="BE462" s="141">
        <f ca="1">IFERROR(__xludf.DUMMYFUNCTION("""COMPUTED_VALUE"""),44729)</f>
        <v>44729</v>
      </c>
      <c r="BF462" s="141">
        <f ca="1">IFERROR(__xludf.DUMMYFUNCTION("""COMPUTED_VALUE"""),44912)</f>
        <v>44912</v>
      </c>
      <c r="BG462" s="141">
        <f ca="1">IFERROR(__xludf.DUMMYFUNCTION("""COMPUTED_VALUE"""),45460)</f>
        <v>45460</v>
      </c>
      <c r="BH462" s="40" t="str">
        <f ca="1">IFERROR(__xludf.DUMMYFUNCTION("""COMPUTED_VALUE"""),"FICHA EN TIEMPO-18 MESES")</f>
        <v>FICHA EN TIEMPO-18 MESES</v>
      </c>
      <c r="BI462" s="40" t="str">
        <f ca="1">IFERROR(__xludf.DUMMYFUNCTION("""COMPUTED_VALUE"""),"En ejecucion")</f>
        <v>En ejecucion</v>
      </c>
      <c r="BJ462" s="40" t="str">
        <f ca="1">IFERROR(__xludf.DUMMYFUNCTION("""COMPUTED_VALUE"""),"Yamboro")</f>
        <v>Yamboro</v>
      </c>
      <c r="BK462" s="40"/>
      <c r="BL462" s="40"/>
    </row>
    <row r="463" spans="1:64" ht="13">
      <c r="A463" s="40"/>
      <c r="B463" s="40" t="str">
        <f ca="1">IFERROR(__xludf.DUMMYFUNCTION("""COMPUTED_VALUE"""),"FORMACIÓN 18/10/2022")</f>
        <v>FORMACIÓN 18/10/2022</v>
      </c>
      <c r="C463" s="40" t="str">
        <f ca="1">IFERROR(__xludf.DUMMYFUNCTION("""COMPUTED_VALUE"""),"MILDRED YULIANA PINO ORTIZ")</f>
        <v>MILDRED YULIANA PINO ORTIZ</v>
      </c>
      <c r="D463" s="40" t="str">
        <f ca="1">IFERROR(__xludf.DUMMYFUNCTION("""COMPUTED_VALUE"""),"CC")</f>
        <v>CC</v>
      </c>
      <c r="E463" s="40">
        <f ca="1">IFERROR(__xludf.DUMMYFUNCTION("""COMPUTED_VALUE"""),1007600481)</f>
        <v>1007600481</v>
      </c>
      <c r="F463" s="40">
        <f ca="1">IFERROR(__xludf.DUMMYFUNCTION("""COMPUTED_VALUE"""),2252406)</f>
        <v>2252406</v>
      </c>
      <c r="G463" s="40" t="str">
        <f ca="1">IFERROR(__xludf.DUMMYFUNCTION("""COMPUTED_VALUE"""),"TECNÓLOGO")</f>
        <v>TECNÓLOGO</v>
      </c>
      <c r="H463" s="40" t="str">
        <f ca="1">IFERROR(__xludf.DUMMYFUNCTION("""COMPUTED_VALUE"""),"GESTIÓN DE RECURSOS NATURALES")</f>
        <v>GESTIÓN DE RECURSOS NATURALES</v>
      </c>
      <c r="I463" s="40"/>
      <c r="J463" s="40"/>
      <c r="K463" s="40"/>
      <c r="L463" s="40" t="str">
        <f ca="1">IFERROR(__xludf.DUMMYFUNCTION("""COMPUTED_VALUE"""),"NO HA INICIADO ETAPA PRODUCTIVA")</f>
        <v>NO HA INICIADO ETAPA PRODUCTIVA</v>
      </c>
      <c r="M463" s="40"/>
      <c r="N463" s="40"/>
      <c r="O463" s="40"/>
      <c r="P463" s="40"/>
      <c r="Q463" s="40"/>
      <c r="R463" s="140"/>
      <c r="S463" s="1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t="str">
        <f ca="1">IFERROR(__xludf.DUMMYFUNCTION("""COMPUTED_VALUE"""),"NO_CUMPLE")</f>
        <v>NO_CUMPLE</v>
      </c>
      <c r="AV463" s="40" t="str">
        <f ca="1">IFERROR(__xludf.DUMMYFUNCTION("""COMPUTED_VALUE"""),"EN FORMACION")</f>
        <v>EN FORMACION</v>
      </c>
      <c r="AW463" s="40" t="str">
        <f ca="1">IFERROR(__xludf.DUMMYFUNCTION("""COMPUTED_VALUE"""),"AMBIENTAL")</f>
        <v>AMBIENTAL</v>
      </c>
      <c r="AX463" s="141">
        <f ca="1">IFERROR(__xludf.DUMMYFUNCTION("""COMPUTED_VALUE"""),44839)</f>
        <v>44839</v>
      </c>
      <c r="AY463" s="40">
        <f ca="1">IFERROR(__xludf.DUMMYFUNCTION("""COMPUTED_VALUE"""),1)</f>
        <v>1</v>
      </c>
      <c r="AZ463" s="40">
        <f ca="1">IFERROR(__xludf.DUMMYFUNCTION("""COMPUTED_VALUE"""),1)</f>
        <v>1</v>
      </c>
      <c r="BA463" s="40">
        <f ca="1">IFERROR(__xludf.DUMMYFUNCTION("""COMPUTED_VALUE"""),0)</f>
        <v>0</v>
      </c>
      <c r="BB463" s="40">
        <f ca="1">IFERROR(__xludf.DUMMYFUNCTION("""COMPUTED_VALUE"""),8)</f>
        <v>8</v>
      </c>
      <c r="BC463" s="40">
        <f ca="1">IFERROR(__xludf.DUMMYFUNCTION("""COMPUTED_VALUE"""),10)</f>
        <v>10</v>
      </c>
      <c r="BD463" s="141">
        <f ca="1">IFERROR(__xludf.DUMMYFUNCTION("""COMPUTED_VALUE"""),44182)</f>
        <v>44182</v>
      </c>
      <c r="BE463" s="141">
        <f ca="1">IFERROR(__xludf.DUMMYFUNCTION("""COMPUTED_VALUE"""),44729)</f>
        <v>44729</v>
      </c>
      <c r="BF463" s="141">
        <f ca="1">IFERROR(__xludf.DUMMYFUNCTION("""COMPUTED_VALUE"""),44912)</f>
        <v>44912</v>
      </c>
      <c r="BG463" s="141">
        <f ca="1">IFERROR(__xludf.DUMMYFUNCTION("""COMPUTED_VALUE"""),45460)</f>
        <v>45460</v>
      </c>
      <c r="BH463" s="40" t="str">
        <f ca="1">IFERROR(__xludf.DUMMYFUNCTION("""COMPUTED_VALUE"""),"FICHA EN TIEMPO-18 MESES")</f>
        <v>FICHA EN TIEMPO-18 MESES</v>
      </c>
      <c r="BI463" s="40" t="str">
        <f ca="1">IFERROR(__xludf.DUMMYFUNCTION("""COMPUTED_VALUE"""),"En ejecucion")</f>
        <v>En ejecucion</v>
      </c>
      <c r="BJ463" s="40" t="str">
        <f ca="1">IFERROR(__xludf.DUMMYFUNCTION("""COMPUTED_VALUE"""),"Yamboro")</f>
        <v>Yamboro</v>
      </c>
      <c r="BK463" s="40"/>
      <c r="BL463" s="40"/>
    </row>
    <row r="464" spans="1:64" ht="13">
      <c r="A464" s="40"/>
      <c r="B464" s="40" t="str">
        <f ca="1">IFERROR(__xludf.DUMMYFUNCTION("""COMPUTED_VALUE"""),"FORMACIÓN 18/10/2022")</f>
        <v>FORMACIÓN 18/10/2022</v>
      </c>
      <c r="C464" s="40" t="str">
        <f ca="1">IFERROR(__xludf.DUMMYFUNCTION("""COMPUTED_VALUE"""),"ANDRES FELIPE GUTIERREZ FERNANDEZ")</f>
        <v>ANDRES FELIPE GUTIERREZ FERNANDEZ</v>
      </c>
      <c r="D464" s="40" t="str">
        <f ca="1">IFERROR(__xludf.DUMMYFUNCTION("""COMPUTED_VALUE"""),"TI")</f>
        <v>TI</v>
      </c>
      <c r="E464" s="40">
        <f ca="1">IFERROR(__xludf.DUMMYFUNCTION("""COMPUTED_VALUE"""),1079534041)</f>
        <v>1079534041</v>
      </c>
      <c r="F464" s="40">
        <f ca="1">IFERROR(__xludf.DUMMYFUNCTION("""COMPUTED_VALUE"""),2252406)</f>
        <v>2252406</v>
      </c>
      <c r="G464" s="40" t="str">
        <f ca="1">IFERROR(__xludf.DUMMYFUNCTION("""COMPUTED_VALUE"""),"TECNÓLOGO")</f>
        <v>TECNÓLOGO</v>
      </c>
      <c r="H464" s="40" t="str">
        <f ca="1">IFERROR(__xludf.DUMMYFUNCTION("""COMPUTED_VALUE"""),"GESTIÓN DE RECURSOS NATURALES")</f>
        <v>GESTIÓN DE RECURSOS NATURALES</v>
      </c>
      <c r="I464" s="40"/>
      <c r="J464" s="40"/>
      <c r="K464" s="40"/>
      <c r="L464" s="40" t="str">
        <f ca="1">IFERROR(__xludf.DUMMYFUNCTION("""COMPUTED_VALUE"""),"NO HA INICIADO ETAPA PRODUCTIVA")</f>
        <v>NO HA INICIADO ETAPA PRODUCTIVA</v>
      </c>
      <c r="M464" s="40"/>
      <c r="N464" s="40"/>
      <c r="O464" s="40"/>
      <c r="P464" s="40"/>
      <c r="Q464" s="40"/>
      <c r="R464" s="140"/>
      <c r="S464" s="1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t="str">
        <f ca="1">IFERROR(__xludf.DUMMYFUNCTION("""COMPUTED_VALUE"""),"NO_CUMPLE")</f>
        <v>NO_CUMPLE</v>
      </c>
      <c r="AV464" s="40" t="str">
        <f ca="1">IFERROR(__xludf.DUMMYFUNCTION("""COMPUTED_VALUE"""),"EN FORMACION")</f>
        <v>EN FORMACION</v>
      </c>
      <c r="AW464" s="40" t="str">
        <f ca="1">IFERROR(__xludf.DUMMYFUNCTION("""COMPUTED_VALUE"""),"AMBIENTAL")</f>
        <v>AMBIENTAL</v>
      </c>
      <c r="AX464" s="141">
        <f ca="1">IFERROR(__xludf.DUMMYFUNCTION("""COMPUTED_VALUE"""),44839)</f>
        <v>44839</v>
      </c>
      <c r="AY464" s="40">
        <f ca="1">IFERROR(__xludf.DUMMYFUNCTION("""COMPUTED_VALUE"""),1)</f>
        <v>1</v>
      </c>
      <c r="AZ464" s="40">
        <f ca="1">IFERROR(__xludf.DUMMYFUNCTION("""COMPUTED_VALUE"""),1)</f>
        <v>1</v>
      </c>
      <c r="BA464" s="40">
        <f ca="1">IFERROR(__xludf.DUMMYFUNCTION("""COMPUTED_VALUE"""),0)</f>
        <v>0</v>
      </c>
      <c r="BB464" s="40">
        <f ca="1">IFERROR(__xludf.DUMMYFUNCTION("""COMPUTED_VALUE"""),8)</f>
        <v>8</v>
      </c>
      <c r="BC464" s="40">
        <f ca="1">IFERROR(__xludf.DUMMYFUNCTION("""COMPUTED_VALUE"""),10)</f>
        <v>10</v>
      </c>
      <c r="BD464" s="141">
        <f ca="1">IFERROR(__xludf.DUMMYFUNCTION("""COMPUTED_VALUE"""),44182)</f>
        <v>44182</v>
      </c>
      <c r="BE464" s="141">
        <f ca="1">IFERROR(__xludf.DUMMYFUNCTION("""COMPUTED_VALUE"""),44729)</f>
        <v>44729</v>
      </c>
      <c r="BF464" s="141">
        <f ca="1">IFERROR(__xludf.DUMMYFUNCTION("""COMPUTED_VALUE"""),44912)</f>
        <v>44912</v>
      </c>
      <c r="BG464" s="141">
        <f ca="1">IFERROR(__xludf.DUMMYFUNCTION("""COMPUTED_VALUE"""),45460)</f>
        <v>45460</v>
      </c>
      <c r="BH464" s="40" t="str">
        <f ca="1">IFERROR(__xludf.DUMMYFUNCTION("""COMPUTED_VALUE"""),"FICHA EN TIEMPO-18 MESES")</f>
        <v>FICHA EN TIEMPO-18 MESES</v>
      </c>
      <c r="BI464" s="40" t="str">
        <f ca="1">IFERROR(__xludf.DUMMYFUNCTION("""COMPUTED_VALUE"""),"En ejecucion")</f>
        <v>En ejecucion</v>
      </c>
      <c r="BJ464" s="40" t="str">
        <f ca="1">IFERROR(__xludf.DUMMYFUNCTION("""COMPUTED_VALUE"""),"Yamboro")</f>
        <v>Yamboro</v>
      </c>
      <c r="BK464" s="40"/>
      <c r="BL464" s="40"/>
    </row>
    <row r="465" spans="1:64" ht="13">
      <c r="A465" s="40"/>
      <c r="B465" s="40" t="str">
        <f ca="1">IFERROR(__xludf.DUMMYFUNCTION("""COMPUTED_VALUE"""),"FORMACIÓN 18/10/2022")</f>
        <v>FORMACIÓN 18/10/2022</v>
      </c>
      <c r="C465" s="40" t="str">
        <f ca="1">IFERROR(__xludf.DUMMYFUNCTION("""COMPUTED_VALUE"""),"LEIDY YURANY GAVIRIA GOMEZ")</f>
        <v>LEIDY YURANY GAVIRIA GOMEZ</v>
      </c>
      <c r="D465" s="40" t="str">
        <f ca="1">IFERROR(__xludf.DUMMYFUNCTION("""COMPUTED_VALUE"""),"TI")</f>
        <v>TI</v>
      </c>
      <c r="E465" s="40">
        <f ca="1">IFERROR(__xludf.DUMMYFUNCTION("""COMPUTED_VALUE"""),1079536524)</f>
        <v>1079536524</v>
      </c>
      <c r="F465" s="40">
        <f ca="1">IFERROR(__xludf.DUMMYFUNCTION("""COMPUTED_VALUE"""),2252406)</f>
        <v>2252406</v>
      </c>
      <c r="G465" s="40" t="str">
        <f ca="1">IFERROR(__xludf.DUMMYFUNCTION("""COMPUTED_VALUE"""),"TECNÓLOGO")</f>
        <v>TECNÓLOGO</v>
      </c>
      <c r="H465" s="40" t="str">
        <f ca="1">IFERROR(__xludf.DUMMYFUNCTION("""COMPUTED_VALUE"""),"GESTIÓN DE RECURSOS NATURALES")</f>
        <v>GESTIÓN DE RECURSOS NATURALES</v>
      </c>
      <c r="I465" s="40">
        <f ca="1">IFERROR(__xludf.DUMMYFUNCTION("""COMPUTED_VALUE"""),3144749699)</f>
        <v>3144749699</v>
      </c>
      <c r="J465" s="40" t="str">
        <f ca="1">IFERROR(__xludf.DUMMYFUNCTION("""COMPUTED_VALUE"""),"leidygaviria1523@gmail.com")</f>
        <v>leidygaviria1523@gmail.com</v>
      </c>
      <c r="K465" s="40" t="str">
        <f ca="1">IFERROR(__xludf.DUMMYFUNCTION("""COMPUTED_VALUE"""),"PALMARITO")</f>
        <v>PALMARITO</v>
      </c>
      <c r="L465" s="40" t="str">
        <f ca="1">IFERROR(__xludf.DUMMYFUNCTION("""COMPUTED_VALUE"""),"CONTRATO DE APRENDIZAJE")</f>
        <v>CONTRATO DE APRENDIZAJE</v>
      </c>
      <c r="M465" s="40" t="str">
        <f ca="1">IFERROR(__xludf.DUMMYFUNCTION("""COMPUTED_VALUE"""),"VIVERO CERSALLES DEL HUILA ")</f>
        <v xml:space="preserve">VIVERO CERSALLES DEL HUILA </v>
      </c>
      <c r="N465" s="40" t="str">
        <f ca="1">IFERROR(__xludf.DUMMYFUNCTION("""COMPUTED_VALUE"""),"VEREDA VERSALLES ")</f>
        <v xml:space="preserve">VEREDA VERSALLES </v>
      </c>
      <c r="O465" s="40">
        <f ca="1">IFERROR(__xludf.DUMMYFUNCTION("""COMPUTED_VALUE"""),3208021865)</f>
        <v>3208021865</v>
      </c>
      <c r="P465" s="40" t="str">
        <f ca="1">IFERROR(__xludf.DUMMYFUNCTION("""COMPUTED_VALUE"""),"PITALITO ")</f>
        <v xml:space="preserve">PITALITO </v>
      </c>
      <c r="Q465" s="40" t="str">
        <f ca="1">IFERROR(__xludf.DUMMYFUNCTION("""COMPUTED_VALUE"""),"VIVEROSAS@VIVEROVERSALLES.COM
")</f>
        <v xml:space="preserve">VIVEROSAS@VIVEROVERSALLES.COM
</v>
      </c>
      <c r="R465" s="140">
        <f ca="1">IFERROR(__xludf.DUMMYFUNCTION("""COMPUTED_VALUE"""),44774)</f>
        <v>44774</v>
      </c>
      <c r="S465" s="140">
        <f ca="1">IFERROR(__xludf.DUMMYFUNCTION("""COMPUTED_VALUE"""),44957)</f>
        <v>44957</v>
      </c>
      <c r="T465" s="40"/>
      <c r="U465" s="40"/>
      <c r="V465" s="40"/>
      <c r="W465" s="40"/>
      <c r="X465" s="40"/>
      <c r="Y465" s="40" t="str">
        <f ca="1">IFERROR(__xludf.DUMMYFUNCTION("""COMPUTED_VALUE"""),"ANA MILENA CAMACHO - Asignada ")</f>
        <v xml:space="preserve">ANA MILENA CAMACHO - Asignada </v>
      </c>
      <c r="Z465" s="40" t="str">
        <f ca="1">IFERROR(__xludf.DUMMYFUNCTION("""COMPUTED_VALUE"""),"NO tiene seguimiento 08/08/2022")</f>
        <v>NO tiene seguimiento 08/08/2022</v>
      </c>
      <c r="AA465" s="40"/>
      <c r="AB465" s="40"/>
      <c r="AC465" s="40"/>
      <c r="AD465" s="40"/>
      <c r="AE465" s="40"/>
      <c r="AF465" s="40"/>
      <c r="AG465" s="40"/>
      <c r="AH465" s="40"/>
      <c r="AI465" s="40"/>
      <c r="AJ465" s="40"/>
      <c r="AK465" s="40"/>
      <c r="AL465" s="40"/>
      <c r="AM465" s="40"/>
      <c r="AN465" s="40"/>
      <c r="AO465" s="40"/>
      <c r="AP465" s="40"/>
      <c r="AQ465" s="40"/>
      <c r="AR465" s="40"/>
      <c r="AS465" s="40"/>
      <c r="AT465" s="40"/>
      <c r="AU465" s="40" t="str">
        <f ca="1">IFERROR(__xludf.DUMMYFUNCTION("""COMPUTED_VALUE"""),"Procede_E_P")</f>
        <v>Procede_E_P</v>
      </c>
      <c r="AV465" s="40" t="str">
        <f ca="1">IFERROR(__xludf.DUMMYFUNCTION("""COMPUTED_VALUE"""),"EN FORMACION")</f>
        <v>EN FORMACION</v>
      </c>
      <c r="AW465" s="40" t="str">
        <f ca="1">IFERROR(__xludf.DUMMYFUNCTION("""COMPUTED_VALUE"""),"AMBIENTAL")</f>
        <v>AMBIENTAL</v>
      </c>
      <c r="AX465" s="141">
        <f ca="1">IFERROR(__xludf.DUMMYFUNCTION("""COMPUTED_VALUE"""),44839)</f>
        <v>44839</v>
      </c>
      <c r="AY465" s="40">
        <f ca="1">IFERROR(__xludf.DUMMYFUNCTION("""COMPUTED_VALUE"""),0)</f>
        <v>0</v>
      </c>
      <c r="AZ465" s="40">
        <f ca="1">IFERROR(__xludf.DUMMYFUNCTION("""COMPUTED_VALUE"""),1)</f>
        <v>1</v>
      </c>
      <c r="BA465" s="40">
        <f ca="1">IFERROR(__xludf.DUMMYFUNCTION("""COMPUTED_VALUE"""),0)</f>
        <v>0</v>
      </c>
      <c r="BB465" s="40">
        <f ca="1">IFERROR(__xludf.DUMMYFUNCTION("""COMPUTED_VALUE"""),0)</f>
        <v>0</v>
      </c>
      <c r="BC465" s="40">
        <f ca="1">IFERROR(__xludf.DUMMYFUNCTION("""COMPUTED_VALUE"""),1)</f>
        <v>1</v>
      </c>
      <c r="BD465" s="141">
        <f ca="1">IFERROR(__xludf.DUMMYFUNCTION("""COMPUTED_VALUE"""),44182)</f>
        <v>44182</v>
      </c>
      <c r="BE465" s="141">
        <f ca="1">IFERROR(__xludf.DUMMYFUNCTION("""COMPUTED_VALUE"""),44729)</f>
        <v>44729</v>
      </c>
      <c r="BF465" s="141">
        <f ca="1">IFERROR(__xludf.DUMMYFUNCTION("""COMPUTED_VALUE"""),44912)</f>
        <v>44912</v>
      </c>
      <c r="BG465" s="141">
        <f ca="1">IFERROR(__xludf.DUMMYFUNCTION("""COMPUTED_VALUE"""),45460)</f>
        <v>45460</v>
      </c>
      <c r="BH465" s="40" t="str">
        <f ca="1">IFERROR(__xludf.DUMMYFUNCTION("""COMPUTED_VALUE"""),"FICHA EN TIEMPO-18 MESES")</f>
        <v>FICHA EN TIEMPO-18 MESES</v>
      </c>
      <c r="BI465" s="40" t="str">
        <f ca="1">IFERROR(__xludf.DUMMYFUNCTION("""COMPUTED_VALUE"""),"En ejecucion")</f>
        <v>En ejecucion</v>
      </c>
      <c r="BJ465" s="40" t="str">
        <f ca="1">IFERROR(__xludf.DUMMYFUNCTION("""COMPUTED_VALUE"""),"Yamboro")</f>
        <v>Yamboro</v>
      </c>
      <c r="BK465" s="40"/>
      <c r="BL465" s="40"/>
    </row>
    <row r="466" spans="1:64" ht="13">
      <c r="A466" s="40"/>
      <c r="B466" s="40" t="str">
        <f ca="1">IFERROR(__xludf.DUMMYFUNCTION("""COMPUTED_VALUE"""),"FORMACIÓN 18/10/2022")</f>
        <v>FORMACIÓN 18/10/2022</v>
      </c>
      <c r="C466" s="40" t="str">
        <f ca="1">IFERROR(__xludf.DUMMYFUNCTION("""COMPUTED_VALUE"""),"MARYORY VALENTINA TOBARIA BRAVO")</f>
        <v>MARYORY VALENTINA TOBARIA BRAVO</v>
      </c>
      <c r="D466" s="40" t="str">
        <f ca="1">IFERROR(__xludf.DUMMYFUNCTION("""COMPUTED_VALUE"""),"TI")</f>
        <v>TI</v>
      </c>
      <c r="E466" s="40">
        <f ca="1">IFERROR(__xludf.DUMMYFUNCTION("""COMPUTED_VALUE"""),1083867491)</f>
        <v>1083867491</v>
      </c>
      <c r="F466" s="40">
        <f ca="1">IFERROR(__xludf.DUMMYFUNCTION("""COMPUTED_VALUE"""),2252406)</f>
        <v>2252406</v>
      </c>
      <c r="G466" s="40" t="str">
        <f ca="1">IFERROR(__xludf.DUMMYFUNCTION("""COMPUTED_VALUE"""),"TECNÓLOGO")</f>
        <v>TECNÓLOGO</v>
      </c>
      <c r="H466" s="40" t="str">
        <f ca="1">IFERROR(__xludf.DUMMYFUNCTION("""COMPUTED_VALUE"""),"GESTIÓN DE RECURSOS NATURALES")</f>
        <v>GESTIÓN DE RECURSOS NATURALES</v>
      </c>
      <c r="I466" s="40">
        <f ca="1">IFERROR(__xludf.DUMMYFUNCTION("""COMPUTED_VALUE"""),3134686758)</f>
        <v>3134686758</v>
      </c>
      <c r="J466" s="40" t="str">
        <f ca="1">IFERROR(__xludf.DUMMYFUNCTION("""COMPUTED_VALUE"""),"valentinatobaria28@gmail.com")</f>
        <v>valentinatobaria28@gmail.com</v>
      </c>
      <c r="K466" s="40" t="str">
        <f ca="1">IFERROR(__xludf.DUMMYFUNCTION("""COMPUTED_VALUE"""),"PITALITO")</f>
        <v>PITALITO</v>
      </c>
      <c r="L466" s="40" t="str">
        <f ca="1">IFERROR(__xludf.DUMMYFUNCTION("""COMPUTED_VALUE"""),"CONTRATO DE APRENDIZAJE ")</f>
        <v xml:space="preserve">CONTRATO DE APRENDIZAJE </v>
      </c>
      <c r="M466" s="40" t="str">
        <f ca="1">IFERROR(__xludf.DUMMYFUNCTION("""COMPUTED_VALUE"""),"EMPRESAS PÚBLICAS DE ACEVEDO S.A.S. E.S.P.")</f>
        <v>EMPRESAS PÚBLICAS DE ACEVEDO S.A.S. E.S.P.</v>
      </c>
      <c r="N466" s="40" t="str">
        <f ca="1">IFERROR(__xludf.DUMMYFUNCTION("""COMPUTED_VALUE"""),"CARRERA 4 CON CALLE 9 ESQUINA, EDIFICIO  MUNICPAL ")</f>
        <v xml:space="preserve">CARRERA 4 CON CALLE 9 ESQUINA, EDIFICIO  MUNICPAL </v>
      </c>
      <c r="O466" s="40">
        <f ca="1">IFERROR(__xludf.DUMMYFUNCTION("""COMPUTED_VALUE"""),3107516359)</f>
        <v>3107516359</v>
      </c>
      <c r="P466" s="40" t="str">
        <f ca="1">IFERROR(__xludf.DUMMYFUNCTION("""COMPUTED_VALUE"""),"ACEVEDO")</f>
        <v>ACEVEDO</v>
      </c>
      <c r="Q466" s="40"/>
      <c r="R466" s="140">
        <f ca="1">IFERROR(__xludf.DUMMYFUNCTION("""COMPUTED_VALUE"""),44730)</f>
        <v>44730</v>
      </c>
      <c r="S466" s="140">
        <f ca="1">IFERROR(__xludf.DUMMYFUNCTION("""COMPUTED_VALUE"""),44926)</f>
        <v>44926</v>
      </c>
      <c r="T466" s="40" t="str">
        <f ca="1">IFERROR(__xludf.DUMMYFUNCTION("""COMPUTED_VALUE"""),"Tiene consulta del aprendiz, inicial, parcial y bitácoras 1,2,3,4,5,6,7 .. Falta final, certificación y bitácoras 8,9,10,11 y 12 .. Revisado 10/11/2022")</f>
        <v>Tiene consulta del aprendiz, inicial, parcial y bitácoras 1,2,3,4,5,6,7 .. Falta final, certificación y bitácoras 8,9,10,11 y 12 .. Revisado 10/11/2022</v>
      </c>
      <c r="U466" s="40"/>
      <c r="V466" s="40"/>
      <c r="W466" s="40"/>
      <c r="X466" s="40"/>
      <c r="Y466" s="40" t="str">
        <f ca="1">IFERROR(__xludf.DUMMYFUNCTION("""COMPUTED_VALUE"""),"ANA MILENA CAMACHO TAMARA  - Subió Parcial. y bitácoras 3,4,5,6,7,... Revisado 10/11/2022")</f>
        <v>ANA MILENA CAMACHO TAMARA  - Subió Parcial. y bitácoras 3,4,5,6,7,... Revisado 10/11/2022</v>
      </c>
      <c r="Z466" s="40" t="str">
        <f ca="1">IFERROR(__xludf.DUMMYFUNCTION("""COMPUTED_VALUE"""),"SI  TIENE SEGUIMIENTO 10/11/2022")</f>
        <v>SI  TIENE SEGUIMIENTO 10/11/2022</v>
      </c>
      <c r="AA466" s="40"/>
      <c r="AB466" s="40"/>
      <c r="AC466" s="40"/>
      <c r="AD466" s="40"/>
      <c r="AE466" s="40"/>
      <c r="AF466" s="40"/>
      <c r="AG466" s="40"/>
      <c r="AH466" s="40"/>
      <c r="AI466" s="40"/>
      <c r="AJ466" s="40"/>
      <c r="AK466" s="40"/>
      <c r="AL466" s="40"/>
      <c r="AM466" s="40"/>
      <c r="AN466" s="40"/>
      <c r="AO466" s="40"/>
      <c r="AP466" s="40"/>
      <c r="AQ466" s="40"/>
      <c r="AR466" s="40"/>
      <c r="AS466" s="40"/>
      <c r="AT466" s="40"/>
      <c r="AU466" s="40" t="str">
        <f ca="1">IFERROR(__xludf.DUMMYFUNCTION("""COMPUTED_VALUE"""),"Procede_E_P")</f>
        <v>Procede_E_P</v>
      </c>
      <c r="AV466" s="40" t="str">
        <f ca="1">IFERROR(__xludf.DUMMYFUNCTION("""COMPUTED_VALUE"""),"EN FORMACION")</f>
        <v>EN FORMACION</v>
      </c>
      <c r="AW466" s="40" t="str">
        <f ca="1">IFERROR(__xludf.DUMMYFUNCTION("""COMPUTED_VALUE"""),"AMBIENTAL")</f>
        <v>AMBIENTAL</v>
      </c>
      <c r="AX466" s="141">
        <f ca="1">IFERROR(__xludf.DUMMYFUNCTION("""COMPUTED_VALUE"""),44839)</f>
        <v>44839</v>
      </c>
      <c r="AY466" s="40">
        <f ca="1">IFERROR(__xludf.DUMMYFUNCTION("""COMPUTED_VALUE"""),0)</f>
        <v>0</v>
      </c>
      <c r="AZ466" s="40">
        <f ca="1">IFERROR(__xludf.DUMMYFUNCTION("""COMPUTED_VALUE"""),1)</f>
        <v>1</v>
      </c>
      <c r="BA466" s="40">
        <f ca="1">IFERROR(__xludf.DUMMYFUNCTION("""COMPUTED_VALUE"""),0)</f>
        <v>0</v>
      </c>
      <c r="BB466" s="40">
        <f ca="1">IFERROR(__xludf.DUMMYFUNCTION("""COMPUTED_VALUE"""),0)</f>
        <v>0</v>
      </c>
      <c r="BC466" s="40">
        <f ca="1">IFERROR(__xludf.DUMMYFUNCTION("""COMPUTED_VALUE"""),1)</f>
        <v>1</v>
      </c>
      <c r="BD466" s="141">
        <f ca="1">IFERROR(__xludf.DUMMYFUNCTION("""COMPUTED_VALUE"""),44182)</f>
        <v>44182</v>
      </c>
      <c r="BE466" s="141">
        <f ca="1">IFERROR(__xludf.DUMMYFUNCTION("""COMPUTED_VALUE"""),44729)</f>
        <v>44729</v>
      </c>
      <c r="BF466" s="141">
        <f ca="1">IFERROR(__xludf.DUMMYFUNCTION("""COMPUTED_VALUE"""),44912)</f>
        <v>44912</v>
      </c>
      <c r="BG466" s="141">
        <f ca="1">IFERROR(__xludf.DUMMYFUNCTION("""COMPUTED_VALUE"""),45460)</f>
        <v>45460</v>
      </c>
      <c r="BH466" s="40" t="str">
        <f ca="1">IFERROR(__xludf.DUMMYFUNCTION("""COMPUTED_VALUE"""),"FICHA EN TIEMPO-18 MESES")</f>
        <v>FICHA EN TIEMPO-18 MESES</v>
      </c>
      <c r="BI466" s="40" t="str">
        <f ca="1">IFERROR(__xludf.DUMMYFUNCTION("""COMPUTED_VALUE"""),"En ejecucion")</f>
        <v>En ejecucion</v>
      </c>
      <c r="BJ466" s="40" t="str">
        <f ca="1">IFERROR(__xludf.DUMMYFUNCTION("""COMPUTED_VALUE"""),"Yamboro")</f>
        <v>Yamboro</v>
      </c>
      <c r="BK466" s="40"/>
      <c r="BL466" s="40"/>
    </row>
    <row r="467" spans="1:64" ht="13">
      <c r="A467" s="40"/>
      <c r="B467" s="40" t="str">
        <f ca="1">IFERROR(__xludf.DUMMYFUNCTION("""COMPUTED_VALUE"""),"APLAZADO  18/10/2022")</f>
        <v>APLAZADO  18/10/2022</v>
      </c>
      <c r="C467" s="40" t="str">
        <f ca="1">IFERROR(__xludf.DUMMYFUNCTION("""COMPUTED_VALUE"""),"KAREN CATALINA YEPES HERNANDEZ")</f>
        <v>KAREN CATALINA YEPES HERNANDEZ</v>
      </c>
      <c r="D467" s="40" t="str">
        <f ca="1">IFERROR(__xludf.DUMMYFUNCTION("""COMPUTED_VALUE"""),"TI")</f>
        <v>TI</v>
      </c>
      <c r="E467" s="40">
        <f ca="1">IFERROR(__xludf.DUMMYFUNCTION("""COMPUTED_VALUE"""),1004446162)</f>
        <v>1004446162</v>
      </c>
      <c r="F467" s="40">
        <f ca="1">IFERROR(__xludf.DUMMYFUNCTION("""COMPUTED_VALUE"""),2252406)</f>
        <v>2252406</v>
      </c>
      <c r="G467" s="40" t="str">
        <f ca="1">IFERROR(__xludf.DUMMYFUNCTION("""COMPUTED_VALUE"""),"TECNÓLOGO")</f>
        <v>TECNÓLOGO</v>
      </c>
      <c r="H467" s="40" t="str">
        <f ca="1">IFERROR(__xludf.DUMMYFUNCTION("""COMPUTED_VALUE"""),"GESTIÓN DE RECURSOS NATURALES")</f>
        <v>GESTIÓN DE RECURSOS NATURALES</v>
      </c>
      <c r="I467" s="40"/>
      <c r="J467" s="40"/>
      <c r="K467" s="40"/>
      <c r="L467" s="40" t="str">
        <f ca="1">IFERROR(__xludf.DUMMYFUNCTION("""COMPUTED_VALUE"""),"NO HA INICIADO ETAPA PRODUCTIVA")</f>
        <v>NO HA INICIADO ETAPA PRODUCTIVA</v>
      </c>
      <c r="M467" s="40"/>
      <c r="N467" s="40"/>
      <c r="O467" s="40"/>
      <c r="P467" s="40"/>
      <c r="Q467" s="40"/>
      <c r="R467" s="140"/>
      <c r="S467" s="1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t="str">
        <f ca="1">IFERROR(__xludf.DUMMYFUNCTION("""COMPUTED_VALUE"""),"NO_CUMPLE")</f>
        <v>NO_CUMPLE</v>
      </c>
      <c r="AV467" s="40" t="str">
        <f ca="1">IFERROR(__xludf.DUMMYFUNCTION("""COMPUTED_VALUE"""),"APLAZADO")</f>
        <v>APLAZADO</v>
      </c>
      <c r="AW467" s="40" t="str">
        <f ca="1">IFERROR(__xludf.DUMMYFUNCTION("""COMPUTED_VALUE"""),"AMBIENTAL")</f>
        <v>AMBIENTAL</v>
      </c>
      <c r="AX467" s="141">
        <f ca="1">IFERROR(__xludf.DUMMYFUNCTION("""COMPUTED_VALUE"""),44839)</f>
        <v>44839</v>
      </c>
      <c r="AY467" s="40">
        <f ca="1">IFERROR(__xludf.DUMMYFUNCTION("""COMPUTED_VALUE"""),2)</f>
        <v>2</v>
      </c>
      <c r="AZ467" s="40">
        <f ca="1">IFERROR(__xludf.DUMMYFUNCTION("""COMPUTED_VALUE"""),1)</f>
        <v>1</v>
      </c>
      <c r="BA467" s="40">
        <f ca="1">IFERROR(__xludf.DUMMYFUNCTION("""COMPUTED_VALUE"""),15)</f>
        <v>15</v>
      </c>
      <c r="BB467" s="40">
        <f ca="1">IFERROR(__xludf.DUMMYFUNCTION("""COMPUTED_VALUE"""),13)</f>
        <v>13</v>
      </c>
      <c r="BC467" s="40">
        <f ca="1">IFERROR(__xludf.DUMMYFUNCTION("""COMPUTED_VALUE"""),31)</f>
        <v>31</v>
      </c>
      <c r="BD467" s="141">
        <f ca="1">IFERROR(__xludf.DUMMYFUNCTION("""COMPUTED_VALUE"""),44182)</f>
        <v>44182</v>
      </c>
      <c r="BE467" s="141">
        <f ca="1">IFERROR(__xludf.DUMMYFUNCTION("""COMPUTED_VALUE"""),44729)</f>
        <v>44729</v>
      </c>
      <c r="BF467" s="141">
        <f ca="1">IFERROR(__xludf.DUMMYFUNCTION("""COMPUTED_VALUE"""),44912)</f>
        <v>44912</v>
      </c>
      <c r="BG467" s="141">
        <f ca="1">IFERROR(__xludf.DUMMYFUNCTION("""COMPUTED_VALUE"""),45460)</f>
        <v>45460</v>
      </c>
      <c r="BH467" s="40" t="str">
        <f ca="1">IFERROR(__xludf.DUMMYFUNCTION("""COMPUTED_VALUE"""),"FICHA EN TIEMPO-18 MESES")</f>
        <v>FICHA EN TIEMPO-18 MESES</v>
      </c>
      <c r="BI467" s="40" t="str">
        <f ca="1">IFERROR(__xludf.DUMMYFUNCTION("""COMPUTED_VALUE"""),"En ejecucion")</f>
        <v>En ejecucion</v>
      </c>
      <c r="BJ467" s="40" t="str">
        <f ca="1">IFERROR(__xludf.DUMMYFUNCTION("""COMPUTED_VALUE"""),"Yamboro")</f>
        <v>Yamboro</v>
      </c>
      <c r="BK467" s="40"/>
      <c r="BL467" s="40"/>
    </row>
    <row r="468" spans="1:64" ht="13">
      <c r="A468" s="40"/>
      <c r="B468" s="40" t="str">
        <f ca="1">IFERROR(__xludf.DUMMYFUNCTION("""COMPUTED_VALUE"""),"FORMACIÓN 18/10/2022")</f>
        <v>FORMACIÓN 18/10/2022</v>
      </c>
      <c r="C468" s="40" t="str">
        <f ca="1">IFERROR(__xludf.DUMMYFUNCTION("""COMPUTED_VALUE"""),"KAREN ESNEYDA GOMEZ SAMBONI")</f>
        <v>KAREN ESNEYDA GOMEZ SAMBONI</v>
      </c>
      <c r="D468" s="40" t="str">
        <f ca="1">IFERROR(__xludf.DUMMYFUNCTION("""COMPUTED_VALUE"""),"CC")</f>
        <v>CC</v>
      </c>
      <c r="E468" s="40">
        <f ca="1">IFERROR(__xludf.DUMMYFUNCTION("""COMPUTED_VALUE"""),1003084761)</f>
        <v>1003084761</v>
      </c>
      <c r="F468" s="40">
        <f ca="1">IFERROR(__xludf.DUMMYFUNCTION("""COMPUTED_VALUE"""),2280196)</f>
        <v>2280196</v>
      </c>
      <c r="G468" s="40" t="str">
        <f ca="1">IFERROR(__xludf.DUMMYFUNCTION("""COMPUTED_VALUE"""),"TECNÓLOGO")</f>
        <v>TECNÓLOGO</v>
      </c>
      <c r="H468" s="40" t="str">
        <f ca="1">IFERROR(__xludf.DUMMYFUNCTION("""COMPUTED_VALUE"""),"GESTIÓN DE RECURSOS NATURALES")</f>
        <v>GESTIÓN DE RECURSOS NATURALES</v>
      </c>
      <c r="I468" s="40">
        <f ca="1">IFERROR(__xludf.DUMMYFUNCTION("""COMPUTED_VALUE"""),3138437505)</f>
        <v>3138437505</v>
      </c>
      <c r="J468" s="40" t="str">
        <f ca="1">IFERROR(__xludf.DUMMYFUNCTION("""COMPUTED_VALUE"""),"kg5669027@gmail.com")</f>
        <v>kg5669027@gmail.com</v>
      </c>
      <c r="K468" s="40" t="str">
        <f ca="1">IFERROR(__xludf.DUMMYFUNCTION("""COMPUTED_VALUE"""),"NEIVA")</f>
        <v>NEIVA</v>
      </c>
      <c r="L468" s="40" t="str">
        <f ca="1">IFERROR(__xludf.DUMMYFUNCTION("""COMPUTED_VALUE"""),"CONTRATO DE APRENDIZAJE")</f>
        <v>CONTRATO DE APRENDIZAJE</v>
      </c>
      <c r="M468" s="40" t="str">
        <f ca="1">IFERROR(__xludf.DUMMYFUNCTION("""COMPUTED_VALUE"""),"OSCAR MURCIA MUÑOZ")</f>
        <v>OSCAR MURCIA MUÑOZ</v>
      </c>
      <c r="N468" s="40" t="str">
        <f ca="1">IFERROR(__xludf.DUMMYFUNCTION("""COMPUTED_VALUE"""),"VERSALLES")</f>
        <v>VERSALLES</v>
      </c>
      <c r="O468" s="40">
        <f ca="1">IFERROR(__xludf.DUMMYFUNCTION("""COMPUTED_VALUE"""),3208021865)</f>
        <v>3208021865</v>
      </c>
      <c r="P468" s="40" t="str">
        <f ca="1">IFERROR(__xludf.DUMMYFUNCTION("""COMPUTED_VALUE"""),"PITALITO")</f>
        <v>PITALITO</v>
      </c>
      <c r="Q468" s="40" t="str">
        <f ca="1">IFERROR(__xludf.DUMMYFUNCTION("""COMPUTED_VALUE"""),"viversalles@hotmail.com")</f>
        <v>viversalles@hotmail.com</v>
      </c>
      <c r="R468" s="140">
        <f ca="1">IFERROR(__xludf.DUMMYFUNCTION("""COMPUTED_VALUE"""),44858)</f>
        <v>44858</v>
      </c>
      <c r="S468" s="140">
        <f ca="1">IFERROR(__xludf.DUMMYFUNCTION("""COMPUTED_VALUE"""),45039)</f>
        <v>45039</v>
      </c>
      <c r="T468" s="40"/>
      <c r="U468" s="40" t="str">
        <f ca="1">IFERROR(__xludf.DUMMYFUNCTION("""COMPUTED_VALUE"""),"ANA MILENA CAMACHO TAMARA ")</f>
        <v xml:space="preserve">ANA MILENA CAMACHO TAMARA </v>
      </c>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t="str">
        <f ca="1">IFERROR(__xludf.DUMMYFUNCTION("""COMPUTED_VALUE"""),"NO_CUMPLE")</f>
        <v>NO_CUMPLE</v>
      </c>
      <c r="AV468" s="40" t="str">
        <f ca="1">IFERROR(__xludf.DUMMYFUNCTION("""COMPUTED_VALUE"""),"EN FORMACION")</f>
        <v>EN FORMACION</v>
      </c>
      <c r="AW468" s="40" t="str">
        <f ca="1">IFERROR(__xludf.DUMMYFUNCTION("""COMPUTED_VALUE"""),"AMBIENTAL")</f>
        <v>AMBIENTAL</v>
      </c>
      <c r="AX468" s="141">
        <f ca="1">IFERROR(__xludf.DUMMYFUNCTION("""COMPUTED_VALUE"""),44839)</f>
        <v>44839</v>
      </c>
      <c r="AY468" s="40">
        <f ca="1">IFERROR(__xludf.DUMMYFUNCTION("""COMPUTED_VALUE"""),2)</f>
        <v>2</v>
      </c>
      <c r="AZ468" s="40">
        <f ca="1">IFERROR(__xludf.DUMMYFUNCTION("""COMPUTED_VALUE"""),1)</f>
        <v>1</v>
      </c>
      <c r="BA468" s="40">
        <f ca="1">IFERROR(__xludf.DUMMYFUNCTION("""COMPUTED_VALUE"""),0)</f>
        <v>0</v>
      </c>
      <c r="BB468" s="40">
        <f ca="1">IFERROR(__xludf.DUMMYFUNCTION("""COMPUTED_VALUE"""),4)</f>
        <v>4</v>
      </c>
      <c r="BC468" s="40">
        <f ca="1">IFERROR(__xludf.DUMMYFUNCTION("""COMPUTED_VALUE"""),7)</f>
        <v>7</v>
      </c>
      <c r="BD468" s="141">
        <f ca="1">IFERROR(__xludf.DUMMYFUNCTION("""COMPUTED_VALUE"""),44301)</f>
        <v>44301</v>
      </c>
      <c r="BE468" s="141">
        <f ca="1">IFERROR(__xludf.DUMMYFUNCTION("""COMPUTED_VALUE"""),44848)</f>
        <v>44848</v>
      </c>
      <c r="BF468" s="141">
        <f ca="1">IFERROR(__xludf.DUMMYFUNCTION("""COMPUTED_VALUE"""),45030)</f>
        <v>45030</v>
      </c>
      <c r="BG468" s="141">
        <f ca="1">IFERROR(__xludf.DUMMYFUNCTION("""COMPUTED_VALUE"""),45579)</f>
        <v>45579</v>
      </c>
      <c r="BH468" s="40" t="str">
        <f ca="1">IFERROR(__xludf.DUMMYFUNCTION("""COMPUTED_VALUE"""),"FICHA EN TIEMPO-18 MESES")</f>
        <v>FICHA EN TIEMPO-18 MESES</v>
      </c>
      <c r="BI468" s="40" t="str">
        <f ca="1">IFERROR(__xludf.DUMMYFUNCTION("""COMPUTED_VALUE"""),"En ejecucion")</f>
        <v>En ejecucion</v>
      </c>
      <c r="BJ468" s="40" t="str">
        <f ca="1">IFERROR(__xludf.DUMMYFUNCTION("""COMPUTED_VALUE"""),"Yamboro")</f>
        <v>Yamboro</v>
      </c>
      <c r="BK468" s="40"/>
      <c r="BL468" s="40"/>
    </row>
    <row r="469" spans="1:64" ht="13">
      <c r="A469" s="40"/>
      <c r="B469" s="40" t="str">
        <f ca="1">IFERROR(__xludf.DUMMYFUNCTION("""COMPUTED_VALUE"""),"FORMACIÓN 18/10/2022")</f>
        <v>FORMACIÓN 18/10/2022</v>
      </c>
      <c r="C469" s="40" t="str">
        <f ca="1">IFERROR(__xludf.DUMMYFUNCTION("""COMPUTED_VALUE"""),"ANDERSON JOHAN BELTRAN CARVAJAL")</f>
        <v>ANDERSON JOHAN BELTRAN CARVAJAL</v>
      </c>
      <c r="D469" s="40" t="str">
        <f ca="1">IFERROR(__xludf.DUMMYFUNCTION("""COMPUTED_VALUE"""),"CC")</f>
        <v>CC</v>
      </c>
      <c r="E469" s="40">
        <f ca="1">IFERROR(__xludf.DUMMYFUNCTION("""COMPUTED_VALUE"""),1004440489)</f>
        <v>1004440489</v>
      </c>
      <c r="F469" s="40">
        <f ca="1">IFERROR(__xludf.DUMMYFUNCTION("""COMPUTED_VALUE"""),2280196)</f>
        <v>2280196</v>
      </c>
      <c r="G469" s="40" t="str">
        <f ca="1">IFERROR(__xludf.DUMMYFUNCTION("""COMPUTED_VALUE"""),"TECNÓLOGO")</f>
        <v>TECNÓLOGO</v>
      </c>
      <c r="H469" s="40" t="str">
        <f ca="1">IFERROR(__xludf.DUMMYFUNCTION("""COMPUTED_VALUE"""),"GESTIÓN DE RECURSOS NATURALES")</f>
        <v>GESTIÓN DE RECURSOS NATURALES</v>
      </c>
      <c r="I469" s="40"/>
      <c r="J469" s="40"/>
      <c r="K469" s="40"/>
      <c r="L469" s="40" t="str">
        <f ca="1">IFERROR(__xludf.DUMMYFUNCTION("""COMPUTED_VALUE"""),"PASANTÍAS")</f>
        <v>PASANTÍAS</v>
      </c>
      <c r="M469" s="40" t="str">
        <f ca="1">IFERROR(__xludf.DUMMYFUNCTION("""COMPUTED_VALUE"""),"AMBILAB SAS")</f>
        <v>AMBILAB SAS</v>
      </c>
      <c r="N469" s="40" t="str">
        <f ca="1">IFERROR(__xludf.DUMMYFUNCTION("""COMPUTED_VALUE"""),"CLL 1A N° 4-50")</f>
        <v>CLL 1A N° 4-50</v>
      </c>
      <c r="O469" s="40">
        <f ca="1">IFERROR(__xludf.DUMMYFUNCTION("""COMPUTED_VALUE"""),3204887265)</f>
        <v>3204887265</v>
      </c>
      <c r="P469" s="40" t="str">
        <f ca="1">IFERROR(__xludf.DUMMYFUNCTION("""COMPUTED_VALUE"""),"PITALITO")</f>
        <v>PITALITO</v>
      </c>
      <c r="Q469" s="40" t="str">
        <f ca="1">IFERROR(__xludf.DUMMYFUNCTION("""COMPUTED_VALUE"""),"comercial@ambilab.co")</f>
        <v>comercial@ambilab.co</v>
      </c>
      <c r="R469" s="140">
        <f ca="1">IFERROR(__xludf.DUMMYFUNCTION("""COMPUTED_VALUE"""),44872)</f>
        <v>44872</v>
      </c>
      <c r="S469" s="140">
        <f ca="1">IFERROR(__xludf.DUMMYFUNCTION("""COMPUTED_VALUE"""),45052)</f>
        <v>45052</v>
      </c>
      <c r="T469" s="40"/>
      <c r="U469" s="40" t="str">
        <f ca="1">IFERROR(__xludf.DUMMYFUNCTION("""COMPUTED_VALUE"""),"ANA MILENA CAMACHO TAMARA ")</f>
        <v xml:space="preserve">ANA MILENA CAMACHO TAMARA </v>
      </c>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t="str">
        <f ca="1">IFERROR(__xludf.DUMMYFUNCTION("""COMPUTED_VALUE"""),"NO_CUMPLE")</f>
        <v>NO_CUMPLE</v>
      </c>
      <c r="AV469" s="40" t="str">
        <f ca="1">IFERROR(__xludf.DUMMYFUNCTION("""COMPUTED_VALUE"""),"EN FORMACION")</f>
        <v>EN FORMACION</v>
      </c>
      <c r="AW469" s="40" t="str">
        <f ca="1">IFERROR(__xludf.DUMMYFUNCTION("""COMPUTED_VALUE"""),"AMBIENTAL")</f>
        <v>AMBIENTAL</v>
      </c>
      <c r="AX469" s="141">
        <f ca="1">IFERROR(__xludf.DUMMYFUNCTION("""COMPUTED_VALUE"""),44839)</f>
        <v>44839</v>
      </c>
      <c r="AY469" s="40">
        <f ca="1">IFERROR(__xludf.DUMMYFUNCTION("""COMPUTED_VALUE"""),2)</f>
        <v>2</v>
      </c>
      <c r="AZ469" s="40">
        <f ca="1">IFERROR(__xludf.DUMMYFUNCTION("""COMPUTED_VALUE"""),1)</f>
        <v>1</v>
      </c>
      <c r="BA469" s="40">
        <f ca="1">IFERROR(__xludf.DUMMYFUNCTION("""COMPUTED_VALUE"""),0)</f>
        <v>0</v>
      </c>
      <c r="BB469" s="40">
        <f ca="1">IFERROR(__xludf.DUMMYFUNCTION("""COMPUTED_VALUE"""),4)</f>
        <v>4</v>
      </c>
      <c r="BC469" s="40">
        <f ca="1">IFERROR(__xludf.DUMMYFUNCTION("""COMPUTED_VALUE"""),7)</f>
        <v>7</v>
      </c>
      <c r="BD469" s="141">
        <f ca="1">IFERROR(__xludf.DUMMYFUNCTION("""COMPUTED_VALUE"""),44301)</f>
        <v>44301</v>
      </c>
      <c r="BE469" s="141">
        <f ca="1">IFERROR(__xludf.DUMMYFUNCTION("""COMPUTED_VALUE"""),44848)</f>
        <v>44848</v>
      </c>
      <c r="BF469" s="141">
        <f ca="1">IFERROR(__xludf.DUMMYFUNCTION("""COMPUTED_VALUE"""),45030)</f>
        <v>45030</v>
      </c>
      <c r="BG469" s="141">
        <f ca="1">IFERROR(__xludf.DUMMYFUNCTION("""COMPUTED_VALUE"""),45579)</f>
        <v>45579</v>
      </c>
      <c r="BH469" s="40" t="str">
        <f ca="1">IFERROR(__xludf.DUMMYFUNCTION("""COMPUTED_VALUE"""),"FICHA EN TIEMPO-18 MESES")</f>
        <v>FICHA EN TIEMPO-18 MESES</v>
      </c>
      <c r="BI469" s="40" t="str">
        <f ca="1">IFERROR(__xludf.DUMMYFUNCTION("""COMPUTED_VALUE"""),"En ejecucion")</f>
        <v>En ejecucion</v>
      </c>
      <c r="BJ469" s="40" t="str">
        <f ca="1">IFERROR(__xludf.DUMMYFUNCTION("""COMPUTED_VALUE"""),"Yamboro")</f>
        <v>Yamboro</v>
      </c>
      <c r="BK469" s="40"/>
      <c r="BL469" s="40"/>
    </row>
    <row r="470" spans="1:64" ht="13">
      <c r="A470" s="40"/>
      <c r="B470" s="40" t="str">
        <f ca="1">IFERROR(__xludf.DUMMYFUNCTION("""COMPUTED_VALUE"""),"FORMACIÓN 18/10/2022")</f>
        <v>FORMACIÓN 18/10/2022</v>
      </c>
      <c r="C470" s="40" t="str">
        <f ca="1">IFERROR(__xludf.DUMMYFUNCTION("""COMPUTED_VALUE"""),"MARLY CALDERON ROJAS")</f>
        <v>MARLY CALDERON ROJAS</v>
      </c>
      <c r="D470" s="40" t="str">
        <f ca="1">IFERROR(__xludf.DUMMYFUNCTION("""COMPUTED_VALUE"""),"CC")</f>
        <v>CC</v>
      </c>
      <c r="E470" s="40">
        <f ca="1">IFERROR(__xludf.DUMMYFUNCTION("""COMPUTED_VALUE"""),1004492967)</f>
        <v>1004492967</v>
      </c>
      <c r="F470" s="40">
        <f ca="1">IFERROR(__xludf.DUMMYFUNCTION("""COMPUTED_VALUE"""),2280196)</f>
        <v>2280196</v>
      </c>
      <c r="G470" s="40" t="str">
        <f ca="1">IFERROR(__xludf.DUMMYFUNCTION("""COMPUTED_VALUE"""),"TECNÓLOGO")</f>
        <v>TECNÓLOGO</v>
      </c>
      <c r="H470" s="40" t="str">
        <f ca="1">IFERROR(__xludf.DUMMYFUNCTION("""COMPUTED_VALUE"""),"GESTIÓN DE RECURSOS NATURALES")</f>
        <v>GESTIÓN DE RECURSOS NATURALES</v>
      </c>
      <c r="I470" s="40"/>
      <c r="J470" s="40"/>
      <c r="K470" s="40"/>
      <c r="L470" s="40" t="str">
        <f ca="1">IFERROR(__xludf.DUMMYFUNCTION("""COMPUTED_VALUE"""),"NO HA INICIADO ETAPA PRODUCTIVA")</f>
        <v>NO HA INICIADO ETAPA PRODUCTIVA</v>
      </c>
      <c r="M470" s="40"/>
      <c r="N470" s="40"/>
      <c r="O470" s="40"/>
      <c r="P470" s="40"/>
      <c r="Q470" s="40"/>
      <c r="R470" s="140"/>
      <c r="S470" s="1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t="str">
        <f ca="1">IFERROR(__xludf.DUMMYFUNCTION("""COMPUTED_VALUE"""),"NO_CUMPLE")</f>
        <v>NO_CUMPLE</v>
      </c>
      <c r="AV470" s="40" t="str">
        <f ca="1">IFERROR(__xludf.DUMMYFUNCTION("""COMPUTED_VALUE"""),"EN FORMACION")</f>
        <v>EN FORMACION</v>
      </c>
      <c r="AW470" s="40" t="str">
        <f ca="1">IFERROR(__xludf.DUMMYFUNCTION("""COMPUTED_VALUE"""),"AMBIENTAL")</f>
        <v>AMBIENTAL</v>
      </c>
      <c r="AX470" s="141">
        <f ca="1">IFERROR(__xludf.DUMMYFUNCTION("""COMPUTED_VALUE"""),44839)</f>
        <v>44839</v>
      </c>
      <c r="AY470" s="40">
        <f ca="1">IFERROR(__xludf.DUMMYFUNCTION("""COMPUTED_VALUE"""),2)</f>
        <v>2</v>
      </c>
      <c r="AZ470" s="40">
        <f ca="1">IFERROR(__xludf.DUMMYFUNCTION("""COMPUTED_VALUE"""),1)</f>
        <v>1</v>
      </c>
      <c r="BA470" s="40">
        <f ca="1">IFERROR(__xludf.DUMMYFUNCTION("""COMPUTED_VALUE"""),0)</f>
        <v>0</v>
      </c>
      <c r="BB470" s="40">
        <f ca="1">IFERROR(__xludf.DUMMYFUNCTION("""COMPUTED_VALUE"""),4)</f>
        <v>4</v>
      </c>
      <c r="BC470" s="40">
        <f ca="1">IFERROR(__xludf.DUMMYFUNCTION("""COMPUTED_VALUE"""),7)</f>
        <v>7</v>
      </c>
      <c r="BD470" s="141">
        <f ca="1">IFERROR(__xludf.DUMMYFUNCTION("""COMPUTED_VALUE"""),44301)</f>
        <v>44301</v>
      </c>
      <c r="BE470" s="141">
        <f ca="1">IFERROR(__xludf.DUMMYFUNCTION("""COMPUTED_VALUE"""),44848)</f>
        <v>44848</v>
      </c>
      <c r="BF470" s="141">
        <f ca="1">IFERROR(__xludf.DUMMYFUNCTION("""COMPUTED_VALUE"""),45030)</f>
        <v>45030</v>
      </c>
      <c r="BG470" s="141">
        <f ca="1">IFERROR(__xludf.DUMMYFUNCTION("""COMPUTED_VALUE"""),45579)</f>
        <v>45579</v>
      </c>
      <c r="BH470" s="40" t="str">
        <f ca="1">IFERROR(__xludf.DUMMYFUNCTION("""COMPUTED_VALUE"""),"FICHA EN TIEMPO-18 MESES")</f>
        <v>FICHA EN TIEMPO-18 MESES</v>
      </c>
      <c r="BI470" s="40" t="str">
        <f ca="1">IFERROR(__xludf.DUMMYFUNCTION("""COMPUTED_VALUE"""),"En ejecucion")</f>
        <v>En ejecucion</v>
      </c>
      <c r="BJ470" s="40" t="str">
        <f ca="1">IFERROR(__xludf.DUMMYFUNCTION("""COMPUTED_VALUE"""),"Yamboro")</f>
        <v>Yamboro</v>
      </c>
      <c r="BK470" s="40"/>
      <c r="BL470" s="40"/>
    </row>
    <row r="471" spans="1:64" ht="13">
      <c r="A471" s="40"/>
      <c r="B471" s="40" t="str">
        <f ca="1">IFERROR(__xludf.DUMMYFUNCTION("""COMPUTED_VALUE"""),"FORMACIÓN 18/10/2022")</f>
        <v>FORMACIÓN 18/10/2022</v>
      </c>
      <c r="C471" s="40" t="str">
        <f ca="1">IFERROR(__xludf.DUMMYFUNCTION("""COMPUTED_VALUE"""),"MARIA ALEJANDRA BARRIOS SANCHEZ")</f>
        <v>MARIA ALEJANDRA BARRIOS SANCHEZ</v>
      </c>
      <c r="D471" s="40" t="str">
        <f ca="1">IFERROR(__xludf.DUMMYFUNCTION("""COMPUTED_VALUE"""),"CC")</f>
        <v>CC</v>
      </c>
      <c r="E471" s="40">
        <f ca="1">IFERROR(__xludf.DUMMYFUNCTION("""COMPUTED_VALUE"""),1006148286)</f>
        <v>1006148286</v>
      </c>
      <c r="F471" s="40">
        <f ca="1">IFERROR(__xludf.DUMMYFUNCTION("""COMPUTED_VALUE"""),2280196)</f>
        <v>2280196</v>
      </c>
      <c r="G471" s="40" t="str">
        <f ca="1">IFERROR(__xludf.DUMMYFUNCTION("""COMPUTED_VALUE"""),"TECNÓLOGO")</f>
        <v>TECNÓLOGO</v>
      </c>
      <c r="H471" s="40" t="str">
        <f ca="1">IFERROR(__xludf.DUMMYFUNCTION("""COMPUTED_VALUE"""),"GESTIÓN DE RECURSOS NATURALES")</f>
        <v>GESTIÓN DE RECURSOS NATURALES</v>
      </c>
      <c r="I471" s="40">
        <f ca="1">IFERROR(__xludf.DUMMYFUNCTION("""COMPUTED_VALUE"""),573118797216)</f>
        <v>573118797216</v>
      </c>
      <c r="J471" s="40" t="str">
        <f ca="1">IFERROR(__xludf.DUMMYFUNCTION("""COMPUTED_VALUE"""),"mariaalejandrabarriossanchez3@gmail.com")</f>
        <v>mariaalejandrabarriossanchez3@gmail.com</v>
      </c>
      <c r="K471" s="40" t="str">
        <f ca="1">IFERROR(__xludf.DUMMYFUNCTION("""COMPUTED_VALUE"""),"PITALITO")</f>
        <v>PITALITO</v>
      </c>
      <c r="L471" s="40" t="str">
        <f ca="1">IFERROR(__xludf.DUMMYFUNCTION("""COMPUTED_VALUE"""),"CONTRATO DE APRENDIZAJE")</f>
        <v>CONTRATO DE APRENDIZAJE</v>
      </c>
      <c r="M471" s="40" t="str">
        <f ca="1">IFERROR(__xludf.DUMMYFUNCTION("""COMPUTED_VALUE"""),"SOCIEDAD DE COMERCIALIZACION INTERNACIONAL AGRICOLAS UNIDAS S.A.")</f>
        <v>SOCIEDAD DE COMERCIALIZACION INTERNACIONAL AGRICOLAS UNIDAS S.A.</v>
      </c>
      <c r="N471" s="40" t="str">
        <f ca="1">IFERROR(__xludf.DUMMYFUNCTION("""COMPUTED_VALUE"""),"Cr 43a 16a sur 38 Of 1403")</f>
        <v>Cr 43a 16a sur 38 Of 1403</v>
      </c>
      <c r="O471" s="40">
        <f ca="1">IFERROR(__xludf.DUMMYFUNCTION("""COMPUTED_VALUE"""),3135712)</f>
        <v>3135712</v>
      </c>
      <c r="P471" s="40" t="str">
        <f ca="1">IFERROR(__xludf.DUMMYFUNCTION("""COMPUTED_VALUE"""),"MEDELLIN")</f>
        <v>MEDELLIN</v>
      </c>
      <c r="Q471" s="40" t="str">
        <f ca="1">IFERROR(__xludf.DUMMYFUNCTION("""COMPUTED_VALUE"""),"parestrepo@frudelca.com")</f>
        <v>parestrepo@frudelca.com</v>
      </c>
      <c r="R471" s="140">
        <f ca="1">IFERROR(__xludf.DUMMYFUNCTION("""COMPUTED_VALUE"""),44868)</f>
        <v>44868</v>
      </c>
      <c r="S471" s="140">
        <f ca="1">IFERROR(__xludf.DUMMYFUNCTION("""COMPUTED_VALUE"""),45048)</f>
        <v>45048</v>
      </c>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t="str">
        <f ca="1">IFERROR(__xludf.DUMMYFUNCTION("""COMPUTED_VALUE"""),"NO_CUMPLE")</f>
        <v>NO_CUMPLE</v>
      </c>
      <c r="AV471" s="40" t="str">
        <f ca="1">IFERROR(__xludf.DUMMYFUNCTION("""COMPUTED_VALUE"""),"EN FORMACION")</f>
        <v>EN FORMACION</v>
      </c>
      <c r="AW471" s="40" t="str">
        <f ca="1">IFERROR(__xludf.DUMMYFUNCTION("""COMPUTED_VALUE"""),"AMBIENTAL")</f>
        <v>AMBIENTAL</v>
      </c>
      <c r="AX471" s="141">
        <f ca="1">IFERROR(__xludf.DUMMYFUNCTION("""COMPUTED_VALUE"""),44839)</f>
        <v>44839</v>
      </c>
      <c r="AY471" s="40">
        <f ca="1">IFERROR(__xludf.DUMMYFUNCTION("""COMPUTED_VALUE"""),2)</f>
        <v>2</v>
      </c>
      <c r="AZ471" s="40">
        <f ca="1">IFERROR(__xludf.DUMMYFUNCTION("""COMPUTED_VALUE"""),1)</f>
        <v>1</v>
      </c>
      <c r="BA471" s="40">
        <f ca="1">IFERROR(__xludf.DUMMYFUNCTION("""COMPUTED_VALUE"""),0)</f>
        <v>0</v>
      </c>
      <c r="BB471" s="40">
        <f ca="1">IFERROR(__xludf.DUMMYFUNCTION("""COMPUTED_VALUE"""),4)</f>
        <v>4</v>
      </c>
      <c r="BC471" s="40">
        <f ca="1">IFERROR(__xludf.DUMMYFUNCTION("""COMPUTED_VALUE"""),7)</f>
        <v>7</v>
      </c>
      <c r="BD471" s="141">
        <f ca="1">IFERROR(__xludf.DUMMYFUNCTION("""COMPUTED_VALUE"""),44301)</f>
        <v>44301</v>
      </c>
      <c r="BE471" s="141">
        <f ca="1">IFERROR(__xludf.DUMMYFUNCTION("""COMPUTED_VALUE"""),44848)</f>
        <v>44848</v>
      </c>
      <c r="BF471" s="141">
        <f ca="1">IFERROR(__xludf.DUMMYFUNCTION("""COMPUTED_VALUE"""),45030)</f>
        <v>45030</v>
      </c>
      <c r="BG471" s="141">
        <f ca="1">IFERROR(__xludf.DUMMYFUNCTION("""COMPUTED_VALUE"""),45579)</f>
        <v>45579</v>
      </c>
      <c r="BH471" s="40" t="str">
        <f ca="1">IFERROR(__xludf.DUMMYFUNCTION("""COMPUTED_VALUE"""),"FICHA EN TIEMPO-18 MESES")</f>
        <v>FICHA EN TIEMPO-18 MESES</v>
      </c>
      <c r="BI471" s="40" t="str">
        <f ca="1">IFERROR(__xludf.DUMMYFUNCTION("""COMPUTED_VALUE"""),"En ejecucion")</f>
        <v>En ejecucion</v>
      </c>
      <c r="BJ471" s="40" t="str">
        <f ca="1">IFERROR(__xludf.DUMMYFUNCTION("""COMPUTED_VALUE"""),"Yamboro")</f>
        <v>Yamboro</v>
      </c>
      <c r="BK471" s="40"/>
      <c r="BL471" s="40"/>
    </row>
    <row r="472" spans="1:64" ht="13">
      <c r="A472" s="40"/>
      <c r="B472" s="40" t="str">
        <f ca="1">IFERROR(__xludf.DUMMYFUNCTION("""COMPUTED_VALUE"""),"FORMACIÓN 18/10/2022")</f>
        <v>FORMACIÓN 18/10/2022</v>
      </c>
      <c r="C472" s="40" t="str">
        <f ca="1">IFERROR(__xludf.DUMMYFUNCTION("""COMPUTED_VALUE"""),"MARIA FERNANDA ILES RUIZ")</f>
        <v>MARIA FERNANDA ILES RUIZ</v>
      </c>
      <c r="D472" s="40" t="str">
        <f ca="1">IFERROR(__xludf.DUMMYFUNCTION("""COMPUTED_VALUE"""),"CC")</f>
        <v>CC</v>
      </c>
      <c r="E472" s="40">
        <f ca="1">IFERROR(__xludf.DUMMYFUNCTION("""COMPUTED_VALUE"""),1007163022)</f>
        <v>1007163022</v>
      </c>
      <c r="F472" s="40">
        <f ca="1">IFERROR(__xludf.DUMMYFUNCTION("""COMPUTED_VALUE"""),2280196)</f>
        <v>2280196</v>
      </c>
      <c r="G472" s="40" t="str">
        <f ca="1">IFERROR(__xludf.DUMMYFUNCTION("""COMPUTED_VALUE"""),"TECNÓLOGO")</f>
        <v>TECNÓLOGO</v>
      </c>
      <c r="H472" s="40" t="str">
        <f ca="1">IFERROR(__xludf.DUMMYFUNCTION("""COMPUTED_VALUE"""),"GESTIÓN DE RECURSOS NATURALES")</f>
        <v>GESTIÓN DE RECURSOS NATURALES</v>
      </c>
      <c r="I472" s="40"/>
      <c r="J472" s="40"/>
      <c r="K472" s="40"/>
      <c r="L472" s="40" t="str">
        <f ca="1">IFERROR(__xludf.DUMMYFUNCTION("""COMPUTED_VALUE"""),"NO HA INICIADO ETAPA PRODUCTIVA")</f>
        <v>NO HA INICIADO ETAPA PRODUCTIVA</v>
      </c>
      <c r="M472" s="40"/>
      <c r="N472" s="40"/>
      <c r="O472" s="40"/>
      <c r="P472" s="40"/>
      <c r="Q472" s="40"/>
      <c r="R472" s="140"/>
      <c r="S472" s="1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t="str">
        <f ca="1">IFERROR(__xludf.DUMMYFUNCTION("""COMPUTED_VALUE"""),"NO_CUMPLE")</f>
        <v>NO_CUMPLE</v>
      </c>
      <c r="AV472" s="40" t="str">
        <f ca="1">IFERROR(__xludf.DUMMYFUNCTION("""COMPUTED_VALUE"""),"EN FORMACION")</f>
        <v>EN FORMACION</v>
      </c>
      <c r="AW472" s="40" t="str">
        <f ca="1">IFERROR(__xludf.DUMMYFUNCTION("""COMPUTED_VALUE"""),"AMBIENTAL")</f>
        <v>AMBIENTAL</v>
      </c>
      <c r="AX472" s="141">
        <f ca="1">IFERROR(__xludf.DUMMYFUNCTION("""COMPUTED_VALUE"""),44839)</f>
        <v>44839</v>
      </c>
      <c r="AY472" s="40">
        <f ca="1">IFERROR(__xludf.DUMMYFUNCTION("""COMPUTED_VALUE"""),2)</f>
        <v>2</v>
      </c>
      <c r="AZ472" s="40">
        <f ca="1">IFERROR(__xludf.DUMMYFUNCTION("""COMPUTED_VALUE"""),1)</f>
        <v>1</v>
      </c>
      <c r="BA472" s="40">
        <f ca="1">IFERROR(__xludf.DUMMYFUNCTION("""COMPUTED_VALUE"""),0)</f>
        <v>0</v>
      </c>
      <c r="BB472" s="40">
        <f ca="1">IFERROR(__xludf.DUMMYFUNCTION("""COMPUTED_VALUE"""),4)</f>
        <v>4</v>
      </c>
      <c r="BC472" s="40">
        <f ca="1">IFERROR(__xludf.DUMMYFUNCTION("""COMPUTED_VALUE"""),7)</f>
        <v>7</v>
      </c>
      <c r="BD472" s="141">
        <f ca="1">IFERROR(__xludf.DUMMYFUNCTION("""COMPUTED_VALUE"""),44301)</f>
        <v>44301</v>
      </c>
      <c r="BE472" s="141">
        <f ca="1">IFERROR(__xludf.DUMMYFUNCTION("""COMPUTED_VALUE"""),44848)</f>
        <v>44848</v>
      </c>
      <c r="BF472" s="141">
        <f ca="1">IFERROR(__xludf.DUMMYFUNCTION("""COMPUTED_VALUE"""),45030)</f>
        <v>45030</v>
      </c>
      <c r="BG472" s="141">
        <f ca="1">IFERROR(__xludf.DUMMYFUNCTION("""COMPUTED_VALUE"""),45579)</f>
        <v>45579</v>
      </c>
      <c r="BH472" s="40" t="str">
        <f ca="1">IFERROR(__xludf.DUMMYFUNCTION("""COMPUTED_VALUE"""),"FICHA EN TIEMPO-18 MESES")</f>
        <v>FICHA EN TIEMPO-18 MESES</v>
      </c>
      <c r="BI472" s="40" t="str">
        <f ca="1">IFERROR(__xludf.DUMMYFUNCTION("""COMPUTED_VALUE"""),"En ejecucion")</f>
        <v>En ejecucion</v>
      </c>
      <c r="BJ472" s="40" t="str">
        <f ca="1">IFERROR(__xludf.DUMMYFUNCTION("""COMPUTED_VALUE"""),"Yamboro")</f>
        <v>Yamboro</v>
      </c>
      <c r="BK472" s="40"/>
      <c r="BL472" s="40"/>
    </row>
    <row r="473" spans="1:64" ht="13">
      <c r="A473" s="40"/>
      <c r="B473" s="40" t="str">
        <f ca="1">IFERROR(__xludf.DUMMYFUNCTION("""COMPUTED_VALUE"""),"FORMACIÓN 18/10/2022")</f>
        <v>FORMACIÓN 18/10/2022</v>
      </c>
      <c r="C473" s="40" t="str">
        <f ca="1">IFERROR(__xludf.DUMMYFUNCTION("""COMPUTED_VALUE"""),"JUAN SEBASTIAN PENAGOS MOSQUERA")</f>
        <v>JUAN SEBASTIAN PENAGOS MOSQUERA</v>
      </c>
      <c r="D473" s="40" t="str">
        <f ca="1">IFERROR(__xludf.DUMMYFUNCTION("""COMPUTED_VALUE"""),"CC")</f>
        <v>CC</v>
      </c>
      <c r="E473" s="40">
        <f ca="1">IFERROR(__xludf.DUMMYFUNCTION("""COMPUTED_VALUE"""),1007163198)</f>
        <v>1007163198</v>
      </c>
      <c r="F473" s="40">
        <f ca="1">IFERROR(__xludf.DUMMYFUNCTION("""COMPUTED_VALUE"""),2280196)</f>
        <v>2280196</v>
      </c>
      <c r="G473" s="40" t="str">
        <f ca="1">IFERROR(__xludf.DUMMYFUNCTION("""COMPUTED_VALUE"""),"TECNÓLOGO")</f>
        <v>TECNÓLOGO</v>
      </c>
      <c r="H473" s="40" t="str">
        <f ca="1">IFERROR(__xludf.DUMMYFUNCTION("""COMPUTED_VALUE"""),"GESTIÓN DE RECURSOS NATURALES")</f>
        <v>GESTIÓN DE RECURSOS NATURALES</v>
      </c>
      <c r="I473" s="40"/>
      <c r="J473" s="40"/>
      <c r="K473" s="40"/>
      <c r="L473" s="40" t="str">
        <f ca="1">IFERROR(__xludf.DUMMYFUNCTION("""COMPUTED_VALUE"""),"NO HA INICIADO ETAPA PRODUCTIVA")</f>
        <v>NO HA INICIADO ETAPA PRODUCTIVA</v>
      </c>
      <c r="M473" s="40"/>
      <c r="N473" s="40"/>
      <c r="O473" s="40"/>
      <c r="P473" s="40"/>
      <c r="Q473" s="40"/>
      <c r="R473" s="140"/>
      <c r="S473" s="1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t="str">
        <f ca="1">IFERROR(__xludf.DUMMYFUNCTION("""COMPUTED_VALUE"""),"NO_CUMPLE")</f>
        <v>NO_CUMPLE</v>
      </c>
      <c r="AV473" s="40" t="str">
        <f ca="1">IFERROR(__xludf.DUMMYFUNCTION("""COMPUTED_VALUE"""),"EN FORMACION")</f>
        <v>EN FORMACION</v>
      </c>
      <c r="AW473" s="40" t="str">
        <f ca="1">IFERROR(__xludf.DUMMYFUNCTION("""COMPUTED_VALUE"""),"AMBIENTAL")</f>
        <v>AMBIENTAL</v>
      </c>
      <c r="AX473" s="141">
        <f ca="1">IFERROR(__xludf.DUMMYFUNCTION("""COMPUTED_VALUE"""),44839)</f>
        <v>44839</v>
      </c>
      <c r="AY473" s="40">
        <f ca="1">IFERROR(__xludf.DUMMYFUNCTION("""COMPUTED_VALUE"""),3)</f>
        <v>3</v>
      </c>
      <c r="AZ473" s="40">
        <f ca="1">IFERROR(__xludf.DUMMYFUNCTION("""COMPUTED_VALUE"""),1)</f>
        <v>1</v>
      </c>
      <c r="BA473" s="40">
        <f ca="1">IFERROR(__xludf.DUMMYFUNCTION("""COMPUTED_VALUE"""),0)</f>
        <v>0</v>
      </c>
      <c r="BB473" s="40">
        <f ca="1">IFERROR(__xludf.DUMMYFUNCTION("""COMPUTED_VALUE"""),4)</f>
        <v>4</v>
      </c>
      <c r="BC473" s="40">
        <f ca="1">IFERROR(__xludf.DUMMYFUNCTION("""COMPUTED_VALUE"""),8)</f>
        <v>8</v>
      </c>
      <c r="BD473" s="141">
        <f ca="1">IFERROR(__xludf.DUMMYFUNCTION("""COMPUTED_VALUE"""),44301)</f>
        <v>44301</v>
      </c>
      <c r="BE473" s="141">
        <f ca="1">IFERROR(__xludf.DUMMYFUNCTION("""COMPUTED_VALUE"""),44848)</f>
        <v>44848</v>
      </c>
      <c r="BF473" s="141">
        <f ca="1">IFERROR(__xludf.DUMMYFUNCTION("""COMPUTED_VALUE"""),45030)</f>
        <v>45030</v>
      </c>
      <c r="BG473" s="141">
        <f ca="1">IFERROR(__xludf.DUMMYFUNCTION("""COMPUTED_VALUE"""),45579)</f>
        <v>45579</v>
      </c>
      <c r="BH473" s="40" t="str">
        <f ca="1">IFERROR(__xludf.DUMMYFUNCTION("""COMPUTED_VALUE"""),"FICHA EN TIEMPO-18 MESES")</f>
        <v>FICHA EN TIEMPO-18 MESES</v>
      </c>
      <c r="BI473" s="40" t="str">
        <f ca="1">IFERROR(__xludf.DUMMYFUNCTION("""COMPUTED_VALUE"""),"En ejecucion")</f>
        <v>En ejecucion</v>
      </c>
      <c r="BJ473" s="40" t="str">
        <f ca="1">IFERROR(__xludf.DUMMYFUNCTION("""COMPUTED_VALUE"""),"Yamboro")</f>
        <v>Yamboro</v>
      </c>
      <c r="BK473" s="40"/>
      <c r="BL473" s="40"/>
    </row>
    <row r="474" spans="1:64" ht="13">
      <c r="A474" s="40"/>
      <c r="B474" s="40" t="str">
        <f ca="1">IFERROR(__xludf.DUMMYFUNCTION("""COMPUTED_VALUE"""),"FORMACIÓN 18/10/2022")</f>
        <v>FORMACIÓN 18/10/2022</v>
      </c>
      <c r="C474" s="40" t="str">
        <f ca="1">IFERROR(__xludf.DUMMYFUNCTION("""COMPUTED_VALUE"""),"LAURA CAMILA BRAVO BRAVO")</f>
        <v>LAURA CAMILA BRAVO BRAVO</v>
      </c>
      <c r="D474" s="40" t="str">
        <f ca="1">IFERROR(__xludf.DUMMYFUNCTION("""COMPUTED_VALUE"""),"CC")</f>
        <v>CC</v>
      </c>
      <c r="E474" s="40">
        <f ca="1">IFERROR(__xludf.DUMMYFUNCTION("""COMPUTED_VALUE"""),1007194201)</f>
        <v>1007194201</v>
      </c>
      <c r="F474" s="40">
        <f ca="1">IFERROR(__xludf.DUMMYFUNCTION("""COMPUTED_VALUE"""),2280196)</f>
        <v>2280196</v>
      </c>
      <c r="G474" s="40" t="str">
        <f ca="1">IFERROR(__xludf.DUMMYFUNCTION("""COMPUTED_VALUE"""),"TECNÓLOGO")</f>
        <v>TECNÓLOGO</v>
      </c>
      <c r="H474" s="40" t="str">
        <f ca="1">IFERROR(__xludf.DUMMYFUNCTION("""COMPUTED_VALUE"""),"GESTIÓN DE RECURSOS NATURALES")</f>
        <v>GESTIÓN DE RECURSOS NATURALES</v>
      </c>
      <c r="I474" s="40"/>
      <c r="J474" s="40"/>
      <c r="K474" s="40"/>
      <c r="L474" s="40" t="str">
        <f ca="1">IFERROR(__xludf.DUMMYFUNCTION("""COMPUTED_VALUE"""),"NO HA INICIADO ETAPA PRODUCTIVA")</f>
        <v>NO HA INICIADO ETAPA PRODUCTIVA</v>
      </c>
      <c r="M474" s="40"/>
      <c r="N474" s="40"/>
      <c r="O474" s="40"/>
      <c r="P474" s="40"/>
      <c r="Q474" s="40"/>
      <c r="R474" s="140"/>
      <c r="S474" s="1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t="str">
        <f ca="1">IFERROR(__xludf.DUMMYFUNCTION("""COMPUTED_VALUE"""),"NO_CUMPLE")</f>
        <v>NO_CUMPLE</v>
      </c>
      <c r="AV474" s="40" t="str">
        <f ca="1">IFERROR(__xludf.DUMMYFUNCTION("""COMPUTED_VALUE"""),"EN FORMACION")</f>
        <v>EN FORMACION</v>
      </c>
      <c r="AW474" s="40" t="str">
        <f ca="1">IFERROR(__xludf.DUMMYFUNCTION("""COMPUTED_VALUE"""),"AMBIENTAL")</f>
        <v>AMBIENTAL</v>
      </c>
      <c r="AX474" s="141">
        <f ca="1">IFERROR(__xludf.DUMMYFUNCTION("""COMPUTED_VALUE"""),44839)</f>
        <v>44839</v>
      </c>
      <c r="AY474" s="40">
        <f ca="1">IFERROR(__xludf.DUMMYFUNCTION("""COMPUTED_VALUE"""),3)</f>
        <v>3</v>
      </c>
      <c r="AZ474" s="40">
        <f ca="1">IFERROR(__xludf.DUMMYFUNCTION("""COMPUTED_VALUE"""),1)</f>
        <v>1</v>
      </c>
      <c r="BA474" s="40">
        <f ca="1">IFERROR(__xludf.DUMMYFUNCTION("""COMPUTED_VALUE"""),0)</f>
        <v>0</v>
      </c>
      <c r="BB474" s="40">
        <f ca="1">IFERROR(__xludf.DUMMYFUNCTION("""COMPUTED_VALUE"""),5)</f>
        <v>5</v>
      </c>
      <c r="BC474" s="40">
        <f ca="1">IFERROR(__xludf.DUMMYFUNCTION("""COMPUTED_VALUE"""),9)</f>
        <v>9</v>
      </c>
      <c r="BD474" s="141">
        <f ca="1">IFERROR(__xludf.DUMMYFUNCTION("""COMPUTED_VALUE"""),44301)</f>
        <v>44301</v>
      </c>
      <c r="BE474" s="141">
        <f ca="1">IFERROR(__xludf.DUMMYFUNCTION("""COMPUTED_VALUE"""),44848)</f>
        <v>44848</v>
      </c>
      <c r="BF474" s="141">
        <f ca="1">IFERROR(__xludf.DUMMYFUNCTION("""COMPUTED_VALUE"""),45030)</f>
        <v>45030</v>
      </c>
      <c r="BG474" s="141">
        <f ca="1">IFERROR(__xludf.DUMMYFUNCTION("""COMPUTED_VALUE"""),45579)</f>
        <v>45579</v>
      </c>
      <c r="BH474" s="40" t="str">
        <f ca="1">IFERROR(__xludf.DUMMYFUNCTION("""COMPUTED_VALUE"""),"FICHA EN TIEMPO-18 MESES")</f>
        <v>FICHA EN TIEMPO-18 MESES</v>
      </c>
      <c r="BI474" s="40" t="str">
        <f ca="1">IFERROR(__xludf.DUMMYFUNCTION("""COMPUTED_VALUE"""),"En ejecucion")</f>
        <v>En ejecucion</v>
      </c>
      <c r="BJ474" s="40" t="str">
        <f ca="1">IFERROR(__xludf.DUMMYFUNCTION("""COMPUTED_VALUE"""),"Yamboro")</f>
        <v>Yamboro</v>
      </c>
      <c r="BK474" s="40"/>
      <c r="BL474" s="40"/>
    </row>
    <row r="475" spans="1:64" ht="13">
      <c r="A475" s="40"/>
      <c r="B475" s="40" t="str">
        <f ca="1">IFERROR(__xludf.DUMMYFUNCTION("""COMPUTED_VALUE"""),"FORMACIÓN 18/10/2022")</f>
        <v>FORMACIÓN 18/10/2022</v>
      </c>
      <c r="C475" s="40" t="str">
        <f ca="1">IFERROR(__xludf.DUMMYFUNCTION("""COMPUTED_VALUE"""),"DIANA MARCELA CRUZ CRUZ")</f>
        <v>DIANA MARCELA CRUZ CRUZ</v>
      </c>
      <c r="D475" s="40" t="str">
        <f ca="1">IFERROR(__xludf.DUMMYFUNCTION("""COMPUTED_VALUE"""),"CC")</f>
        <v>CC</v>
      </c>
      <c r="E475" s="40">
        <f ca="1">IFERROR(__xludf.DUMMYFUNCTION("""COMPUTED_VALUE"""),1007328066)</f>
        <v>1007328066</v>
      </c>
      <c r="F475" s="40">
        <f ca="1">IFERROR(__xludf.DUMMYFUNCTION("""COMPUTED_VALUE"""),2280196)</f>
        <v>2280196</v>
      </c>
      <c r="G475" s="40" t="str">
        <f ca="1">IFERROR(__xludf.DUMMYFUNCTION("""COMPUTED_VALUE"""),"TECNÓLOGO")</f>
        <v>TECNÓLOGO</v>
      </c>
      <c r="H475" s="40" t="str">
        <f ca="1">IFERROR(__xludf.DUMMYFUNCTION("""COMPUTED_VALUE"""),"GESTIÓN DE RECURSOS NATURALES")</f>
        <v>GESTIÓN DE RECURSOS NATURALES</v>
      </c>
      <c r="I475" s="40"/>
      <c r="J475" s="40"/>
      <c r="K475" s="40"/>
      <c r="L475" s="40" t="str">
        <f ca="1">IFERROR(__xludf.DUMMYFUNCTION("""COMPUTED_VALUE"""),"PASANTÍAS")</f>
        <v>PASANTÍAS</v>
      </c>
      <c r="M475" s="40" t="str">
        <f ca="1">IFERROR(__xludf.DUMMYFUNCTION("""COMPUTED_VALUE"""),"ANURA CONSULTORES S.A.S   ")</f>
        <v xml:space="preserve">ANURA CONSULTORES S.A.S   </v>
      </c>
      <c r="N475" s="40" t="str">
        <f ca="1">IFERROR(__xludf.DUMMYFUNCTION("""COMPUTED_VALUE"""),"Cl 15 # 1A 15 Barrio Centro_, ")</f>
        <v xml:space="preserve">Cl 15 # 1A 15 Barrio Centro_, </v>
      </c>
      <c r="O475" s="40">
        <f ca="1">IFERROR(__xludf.DUMMYFUNCTION("""COMPUTED_VALUE"""),3186497425)</f>
        <v>3186497425</v>
      </c>
      <c r="P475" s="40" t="str">
        <f ca="1">IFERROR(__xludf.DUMMYFUNCTION("""COMPUTED_VALUE"""),"PITALITO")</f>
        <v>PITALITO</v>
      </c>
      <c r="Q475" s="40" t="str">
        <f ca="1">IFERROR(__xludf.DUMMYFUNCTION("""COMPUTED_VALUE"""),"anuraconsultoressas@gmail.com")</f>
        <v>anuraconsultoressas@gmail.com</v>
      </c>
      <c r="R475" s="140">
        <f ca="1">IFERROR(__xludf.DUMMYFUNCTION("""COMPUTED_VALUE"""),44883)</f>
        <v>44883</v>
      </c>
      <c r="S475" s="140">
        <f ca="1">IFERROR(__xludf.DUMMYFUNCTION("""COMPUTED_VALUE"""),45063)</f>
        <v>45063</v>
      </c>
      <c r="T475" s="40"/>
      <c r="U475" s="40" t="str">
        <f ca="1">IFERROR(__xludf.DUMMYFUNCTION("""COMPUTED_VALUE"""),"ANA MILENA CAMACHO TAMARA ")</f>
        <v xml:space="preserve">ANA MILENA CAMACHO TAMARA </v>
      </c>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t="str">
        <f ca="1">IFERROR(__xludf.DUMMYFUNCTION("""COMPUTED_VALUE"""),"NO_CUMPLE")</f>
        <v>NO_CUMPLE</v>
      </c>
      <c r="AV475" s="40" t="str">
        <f ca="1">IFERROR(__xludf.DUMMYFUNCTION("""COMPUTED_VALUE"""),"EN FORMACION")</f>
        <v>EN FORMACION</v>
      </c>
      <c r="AW475" s="40" t="str">
        <f ca="1">IFERROR(__xludf.DUMMYFUNCTION("""COMPUTED_VALUE"""),"AMBIENTAL")</f>
        <v>AMBIENTAL</v>
      </c>
      <c r="AX475" s="141">
        <f ca="1">IFERROR(__xludf.DUMMYFUNCTION("""COMPUTED_VALUE"""),44839)</f>
        <v>44839</v>
      </c>
      <c r="AY475" s="40">
        <f ca="1">IFERROR(__xludf.DUMMYFUNCTION("""COMPUTED_VALUE"""),2)</f>
        <v>2</v>
      </c>
      <c r="AZ475" s="40">
        <f ca="1">IFERROR(__xludf.DUMMYFUNCTION("""COMPUTED_VALUE"""),1)</f>
        <v>1</v>
      </c>
      <c r="BA475" s="40">
        <f ca="1">IFERROR(__xludf.DUMMYFUNCTION("""COMPUTED_VALUE"""),0)</f>
        <v>0</v>
      </c>
      <c r="BB475" s="40">
        <f ca="1">IFERROR(__xludf.DUMMYFUNCTION("""COMPUTED_VALUE"""),4)</f>
        <v>4</v>
      </c>
      <c r="BC475" s="40">
        <f ca="1">IFERROR(__xludf.DUMMYFUNCTION("""COMPUTED_VALUE"""),7)</f>
        <v>7</v>
      </c>
      <c r="BD475" s="141">
        <f ca="1">IFERROR(__xludf.DUMMYFUNCTION("""COMPUTED_VALUE"""),44301)</f>
        <v>44301</v>
      </c>
      <c r="BE475" s="141">
        <f ca="1">IFERROR(__xludf.DUMMYFUNCTION("""COMPUTED_VALUE"""),44848)</f>
        <v>44848</v>
      </c>
      <c r="BF475" s="141">
        <f ca="1">IFERROR(__xludf.DUMMYFUNCTION("""COMPUTED_VALUE"""),45030)</f>
        <v>45030</v>
      </c>
      <c r="BG475" s="141">
        <f ca="1">IFERROR(__xludf.DUMMYFUNCTION("""COMPUTED_VALUE"""),45579)</f>
        <v>45579</v>
      </c>
      <c r="BH475" s="40" t="str">
        <f ca="1">IFERROR(__xludf.DUMMYFUNCTION("""COMPUTED_VALUE"""),"FICHA EN TIEMPO-18 MESES")</f>
        <v>FICHA EN TIEMPO-18 MESES</v>
      </c>
      <c r="BI475" s="40" t="str">
        <f ca="1">IFERROR(__xludf.DUMMYFUNCTION("""COMPUTED_VALUE"""),"En ejecucion")</f>
        <v>En ejecucion</v>
      </c>
      <c r="BJ475" s="40" t="str">
        <f ca="1">IFERROR(__xludf.DUMMYFUNCTION("""COMPUTED_VALUE"""),"Yamboro")</f>
        <v>Yamboro</v>
      </c>
      <c r="BK475" s="40"/>
      <c r="BL475" s="40"/>
    </row>
    <row r="476" spans="1:64" ht="13">
      <c r="A476" s="40"/>
      <c r="B476" s="40" t="str">
        <f ca="1">IFERROR(__xludf.DUMMYFUNCTION("""COMPUTED_VALUE"""),"FORMACIÓN 18/10/2022")</f>
        <v>FORMACIÓN 18/10/2022</v>
      </c>
      <c r="C476" s="40" t="str">
        <f ca="1">IFERROR(__xludf.DUMMYFUNCTION("""COMPUTED_VALUE"""),"ANDREA YISETH PALADINEZ CERON")</f>
        <v>ANDREA YISETH PALADINEZ CERON</v>
      </c>
      <c r="D476" s="40" t="str">
        <f ca="1">IFERROR(__xludf.DUMMYFUNCTION("""COMPUTED_VALUE"""),"CC")</f>
        <v>CC</v>
      </c>
      <c r="E476" s="40">
        <f ca="1">IFERROR(__xludf.DUMMYFUNCTION("""COMPUTED_VALUE"""),1007361298)</f>
        <v>1007361298</v>
      </c>
      <c r="F476" s="40">
        <f ca="1">IFERROR(__xludf.DUMMYFUNCTION("""COMPUTED_VALUE"""),2280196)</f>
        <v>2280196</v>
      </c>
      <c r="G476" s="40" t="str">
        <f ca="1">IFERROR(__xludf.DUMMYFUNCTION("""COMPUTED_VALUE"""),"TECNÓLOGO")</f>
        <v>TECNÓLOGO</v>
      </c>
      <c r="H476" s="40" t="str">
        <f ca="1">IFERROR(__xludf.DUMMYFUNCTION("""COMPUTED_VALUE"""),"GESTIÓN DE RECURSOS NATURALES")</f>
        <v>GESTIÓN DE RECURSOS NATURALES</v>
      </c>
      <c r="I476" s="40"/>
      <c r="J476" s="40"/>
      <c r="K476" s="40"/>
      <c r="L476" s="40" t="str">
        <f ca="1">IFERROR(__xludf.DUMMYFUNCTION("""COMPUTED_VALUE"""),"CONTRATO DE APRENDIZAJE")</f>
        <v>CONTRATO DE APRENDIZAJE</v>
      </c>
      <c r="M476" s="40" t="str">
        <f ca="1">IFERROR(__xludf.DUMMYFUNCTION("""COMPUTED_VALUE"""),"CI MANAR FRUIT SAS")</f>
        <v>CI MANAR FRUIT SAS</v>
      </c>
      <c r="N476" s="40" t="str">
        <f ca="1">IFERROR(__xludf.DUMMYFUNCTION("""COMPUTED_VALUE""")," CRA 11 N 17 A 07")</f>
        <v xml:space="preserve"> CRA 11 N 17 A 07</v>
      </c>
      <c r="O476" s="40">
        <f ca="1">IFERROR(__xludf.DUMMYFUNCTION("""COMPUTED_VALUE"""),3132783431)</f>
        <v>3132783431</v>
      </c>
      <c r="P476" s="40" t="str">
        <f ca="1">IFERROR(__xludf.DUMMYFUNCTION("""COMPUTED_VALUE"""),"FUSAGASUGA")</f>
        <v>FUSAGASUGA</v>
      </c>
      <c r="Q476" s="40" t="str">
        <f ca="1">IFERROR(__xludf.DUMMYFUNCTION("""COMPUTED_VALUE"""),"gestion.humana@manarfruit.com")</f>
        <v>gestion.humana@manarfruit.com</v>
      </c>
      <c r="R476" s="140">
        <f ca="1">IFERROR(__xludf.DUMMYFUNCTION("""COMPUTED_VALUE"""),44847)</f>
        <v>44847</v>
      </c>
      <c r="S476" s="140">
        <f ca="1">IFERROR(__xludf.DUMMYFUNCTION("""COMPUTED_VALUE"""),45030)</f>
        <v>45030</v>
      </c>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t="str">
        <f ca="1">IFERROR(__xludf.DUMMYFUNCTION("""COMPUTED_VALUE"""),"NO_CUMPLE")</f>
        <v>NO_CUMPLE</v>
      </c>
      <c r="AV476" s="40" t="str">
        <f ca="1">IFERROR(__xludf.DUMMYFUNCTION("""COMPUTED_VALUE"""),"EN FORMACION")</f>
        <v>EN FORMACION</v>
      </c>
      <c r="AW476" s="40" t="str">
        <f ca="1">IFERROR(__xludf.DUMMYFUNCTION("""COMPUTED_VALUE"""),"AMBIENTAL")</f>
        <v>AMBIENTAL</v>
      </c>
      <c r="AX476" s="141">
        <f ca="1">IFERROR(__xludf.DUMMYFUNCTION("""COMPUTED_VALUE"""),44839)</f>
        <v>44839</v>
      </c>
      <c r="AY476" s="40">
        <f ca="1">IFERROR(__xludf.DUMMYFUNCTION("""COMPUTED_VALUE"""),3)</f>
        <v>3</v>
      </c>
      <c r="AZ476" s="40">
        <f ca="1">IFERROR(__xludf.DUMMYFUNCTION("""COMPUTED_VALUE"""),1)</f>
        <v>1</v>
      </c>
      <c r="BA476" s="40">
        <f ca="1">IFERROR(__xludf.DUMMYFUNCTION("""COMPUTED_VALUE"""),0)</f>
        <v>0</v>
      </c>
      <c r="BB476" s="40">
        <f ca="1">IFERROR(__xludf.DUMMYFUNCTION("""COMPUTED_VALUE"""),5)</f>
        <v>5</v>
      </c>
      <c r="BC476" s="40">
        <f ca="1">IFERROR(__xludf.DUMMYFUNCTION("""COMPUTED_VALUE"""),9)</f>
        <v>9</v>
      </c>
      <c r="BD476" s="141">
        <f ca="1">IFERROR(__xludf.DUMMYFUNCTION("""COMPUTED_VALUE"""),44301)</f>
        <v>44301</v>
      </c>
      <c r="BE476" s="141">
        <f ca="1">IFERROR(__xludf.DUMMYFUNCTION("""COMPUTED_VALUE"""),44848)</f>
        <v>44848</v>
      </c>
      <c r="BF476" s="141">
        <f ca="1">IFERROR(__xludf.DUMMYFUNCTION("""COMPUTED_VALUE"""),45030)</f>
        <v>45030</v>
      </c>
      <c r="BG476" s="141">
        <f ca="1">IFERROR(__xludf.DUMMYFUNCTION("""COMPUTED_VALUE"""),45579)</f>
        <v>45579</v>
      </c>
      <c r="BH476" s="40" t="str">
        <f ca="1">IFERROR(__xludf.DUMMYFUNCTION("""COMPUTED_VALUE"""),"FICHA EN TIEMPO-18 MESES")</f>
        <v>FICHA EN TIEMPO-18 MESES</v>
      </c>
      <c r="BI476" s="40" t="str">
        <f ca="1">IFERROR(__xludf.DUMMYFUNCTION("""COMPUTED_VALUE"""),"En ejecucion")</f>
        <v>En ejecucion</v>
      </c>
      <c r="BJ476" s="40" t="str">
        <f ca="1">IFERROR(__xludf.DUMMYFUNCTION("""COMPUTED_VALUE"""),"Yamboro")</f>
        <v>Yamboro</v>
      </c>
      <c r="BK476" s="40"/>
      <c r="BL476" s="40"/>
    </row>
    <row r="477" spans="1:64" ht="13">
      <c r="A477" s="40"/>
      <c r="B477" s="40" t="str">
        <f ca="1">IFERROR(__xludf.DUMMYFUNCTION("""COMPUTED_VALUE"""),"FORMACIÓN 18/10/2022")</f>
        <v>FORMACIÓN 18/10/2022</v>
      </c>
      <c r="C477" s="40" t="str">
        <f ca="1">IFERROR(__xludf.DUMMYFUNCTION("""COMPUTED_VALUE"""),"MARIA MICEYI MUÑOZ ASTUDILLO")</f>
        <v>MARIA MICEYI MUÑOZ ASTUDILLO</v>
      </c>
      <c r="D477" s="40" t="str">
        <f ca="1">IFERROR(__xludf.DUMMYFUNCTION("""COMPUTED_VALUE"""),"CC")</f>
        <v>CC</v>
      </c>
      <c r="E477" s="40">
        <f ca="1">IFERROR(__xludf.DUMMYFUNCTION("""COMPUTED_VALUE"""),1060296006)</f>
        <v>1060296006</v>
      </c>
      <c r="F477" s="40">
        <f ca="1">IFERROR(__xludf.DUMMYFUNCTION("""COMPUTED_VALUE"""),2280196)</f>
        <v>2280196</v>
      </c>
      <c r="G477" s="40" t="str">
        <f ca="1">IFERROR(__xludf.DUMMYFUNCTION("""COMPUTED_VALUE"""),"TECNÓLOGO")</f>
        <v>TECNÓLOGO</v>
      </c>
      <c r="H477" s="40" t="str">
        <f ca="1">IFERROR(__xludf.DUMMYFUNCTION("""COMPUTED_VALUE"""),"GESTIÓN DE RECURSOS NATURALES")</f>
        <v>GESTIÓN DE RECURSOS NATURALES</v>
      </c>
      <c r="I477" s="40"/>
      <c r="J477" s="40"/>
      <c r="K477" s="40"/>
      <c r="L477" s="40" t="str">
        <f ca="1">IFERROR(__xludf.DUMMYFUNCTION("""COMPUTED_VALUE"""),"NO HA INICIADO ETAPA PRODUCTIVA")</f>
        <v>NO HA INICIADO ETAPA PRODUCTIVA</v>
      </c>
      <c r="M477" s="40"/>
      <c r="N477" s="40"/>
      <c r="O477" s="40"/>
      <c r="P477" s="40"/>
      <c r="Q477" s="40"/>
      <c r="R477" s="140"/>
      <c r="S477" s="1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t="str">
        <f ca="1">IFERROR(__xludf.DUMMYFUNCTION("""COMPUTED_VALUE"""),"NO_CUMPLE")</f>
        <v>NO_CUMPLE</v>
      </c>
      <c r="AV477" s="40" t="str">
        <f ca="1">IFERROR(__xludf.DUMMYFUNCTION("""COMPUTED_VALUE"""),"EN FORMACION")</f>
        <v>EN FORMACION</v>
      </c>
      <c r="AW477" s="40" t="str">
        <f ca="1">IFERROR(__xludf.DUMMYFUNCTION("""COMPUTED_VALUE"""),"AMBIENTAL")</f>
        <v>AMBIENTAL</v>
      </c>
      <c r="AX477" s="141">
        <f ca="1">IFERROR(__xludf.DUMMYFUNCTION("""COMPUTED_VALUE"""),44839)</f>
        <v>44839</v>
      </c>
      <c r="AY477" s="40">
        <f ca="1">IFERROR(__xludf.DUMMYFUNCTION("""COMPUTED_VALUE"""),3)</f>
        <v>3</v>
      </c>
      <c r="AZ477" s="40">
        <f ca="1">IFERROR(__xludf.DUMMYFUNCTION("""COMPUTED_VALUE"""),1)</f>
        <v>1</v>
      </c>
      <c r="BA477" s="40">
        <f ca="1">IFERROR(__xludf.DUMMYFUNCTION("""COMPUTED_VALUE"""),0)</f>
        <v>0</v>
      </c>
      <c r="BB477" s="40">
        <f ca="1">IFERROR(__xludf.DUMMYFUNCTION("""COMPUTED_VALUE"""),4)</f>
        <v>4</v>
      </c>
      <c r="BC477" s="40">
        <f ca="1">IFERROR(__xludf.DUMMYFUNCTION("""COMPUTED_VALUE"""),8)</f>
        <v>8</v>
      </c>
      <c r="BD477" s="141">
        <f ca="1">IFERROR(__xludf.DUMMYFUNCTION("""COMPUTED_VALUE"""),44301)</f>
        <v>44301</v>
      </c>
      <c r="BE477" s="141">
        <f ca="1">IFERROR(__xludf.DUMMYFUNCTION("""COMPUTED_VALUE"""),44848)</f>
        <v>44848</v>
      </c>
      <c r="BF477" s="141">
        <f ca="1">IFERROR(__xludf.DUMMYFUNCTION("""COMPUTED_VALUE"""),45030)</f>
        <v>45030</v>
      </c>
      <c r="BG477" s="141">
        <f ca="1">IFERROR(__xludf.DUMMYFUNCTION("""COMPUTED_VALUE"""),45579)</f>
        <v>45579</v>
      </c>
      <c r="BH477" s="40" t="str">
        <f ca="1">IFERROR(__xludf.DUMMYFUNCTION("""COMPUTED_VALUE"""),"FICHA EN TIEMPO-18 MESES")</f>
        <v>FICHA EN TIEMPO-18 MESES</v>
      </c>
      <c r="BI477" s="40" t="str">
        <f ca="1">IFERROR(__xludf.DUMMYFUNCTION("""COMPUTED_VALUE"""),"En ejecucion")</f>
        <v>En ejecucion</v>
      </c>
      <c r="BJ477" s="40" t="str">
        <f ca="1">IFERROR(__xludf.DUMMYFUNCTION("""COMPUTED_VALUE"""),"Yamboro")</f>
        <v>Yamboro</v>
      </c>
      <c r="BK477" s="40"/>
      <c r="BL477" s="40"/>
    </row>
    <row r="478" spans="1:64" ht="13">
      <c r="A478" s="40"/>
      <c r="B478" s="40" t="str">
        <f ca="1">IFERROR(__xludf.DUMMYFUNCTION("""COMPUTED_VALUE"""),"FORMACIÓN 18/10/2022")</f>
        <v>FORMACIÓN 18/10/2022</v>
      </c>
      <c r="C478" s="40" t="str">
        <f ca="1">IFERROR(__xludf.DUMMYFUNCTION("""COMPUTED_VALUE"""),"VALENTINA DAZA COAJI")</f>
        <v>VALENTINA DAZA COAJI</v>
      </c>
      <c r="D478" s="40" t="str">
        <f ca="1">IFERROR(__xludf.DUMMYFUNCTION("""COMPUTED_VALUE"""),"CC")</f>
        <v>CC</v>
      </c>
      <c r="E478" s="40">
        <f ca="1">IFERROR(__xludf.DUMMYFUNCTION("""COMPUTED_VALUE"""),1080260084)</f>
        <v>1080260084</v>
      </c>
      <c r="F478" s="40">
        <f ca="1">IFERROR(__xludf.DUMMYFUNCTION("""COMPUTED_VALUE"""),2280196)</f>
        <v>2280196</v>
      </c>
      <c r="G478" s="40" t="str">
        <f ca="1">IFERROR(__xludf.DUMMYFUNCTION("""COMPUTED_VALUE"""),"TECNÓLOGO")</f>
        <v>TECNÓLOGO</v>
      </c>
      <c r="H478" s="40" t="str">
        <f ca="1">IFERROR(__xludf.DUMMYFUNCTION("""COMPUTED_VALUE"""),"GESTIÓN DE RECURSOS NATURALES")</f>
        <v>GESTIÓN DE RECURSOS NATURALES</v>
      </c>
      <c r="I478" s="40"/>
      <c r="J478" s="40"/>
      <c r="K478" s="40"/>
      <c r="L478" s="40" t="str">
        <f ca="1">IFERROR(__xludf.DUMMYFUNCTION("""COMPUTED_VALUE"""),"CONTRATO DE APRENDIZAJE")</f>
        <v>CONTRATO DE APRENDIZAJE</v>
      </c>
      <c r="M478" s="40" t="str">
        <f ca="1">IFERROR(__xludf.DUMMYFUNCTION("""COMPUTED_VALUE"""),"DURMAN COLOMBIA S.A.S.")</f>
        <v>DURMAN COLOMBIA S.A.S.</v>
      </c>
      <c r="N478" s="40" t="str">
        <f ca="1">IFERROR(__xludf.DUMMYFUNCTION("""COMPUTED_VALUE"""),"Km 27 Vía Fontibon – Facatativá – Los Alpes + 400 m")</f>
        <v>Km 27 Vía Fontibon – Facatativá – Los Alpes + 400 m</v>
      </c>
      <c r="O478" s="40">
        <f ca="1">IFERROR(__xludf.DUMMYFUNCTION("""COMPUTED_VALUE"""),3508479150)</f>
        <v>3508479150</v>
      </c>
      <c r="P478" s="40" t="str">
        <f ca="1">IFERROR(__xludf.DUMMYFUNCTION("""COMPUTED_VALUE"""),"MADRID")</f>
        <v>MADRID</v>
      </c>
      <c r="Q478" s="40" t="str">
        <f ca="1">IFERROR(__xludf.DUMMYFUNCTION("""COMPUTED_VALUE"""),"luz.arevalo@aliaxis-la.com")</f>
        <v>luz.arevalo@aliaxis-la.com</v>
      </c>
      <c r="R478" s="140">
        <f ca="1">IFERROR(__xludf.DUMMYFUNCTION("""COMPUTED_VALUE"""),44859)</f>
        <v>44859</v>
      </c>
      <c r="S478" s="140">
        <f ca="1">IFERROR(__xludf.DUMMYFUNCTION("""COMPUTED_VALUE"""),45040)</f>
        <v>45040</v>
      </c>
      <c r="T478" s="40"/>
      <c r="U478" s="40" t="str">
        <f ca="1">IFERROR(__xludf.DUMMYFUNCTION("""COMPUTED_VALUE"""),"POR ASIGNAR")</f>
        <v>POR ASIGNAR</v>
      </c>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t="str">
        <f ca="1">IFERROR(__xludf.DUMMYFUNCTION("""COMPUTED_VALUE"""),"NO_CUMPLE")</f>
        <v>NO_CUMPLE</v>
      </c>
      <c r="AV478" s="40" t="str">
        <f ca="1">IFERROR(__xludf.DUMMYFUNCTION("""COMPUTED_VALUE"""),"EN FORMACION")</f>
        <v>EN FORMACION</v>
      </c>
      <c r="AW478" s="40" t="str">
        <f ca="1">IFERROR(__xludf.DUMMYFUNCTION("""COMPUTED_VALUE"""),"AMBIENTAL")</f>
        <v>AMBIENTAL</v>
      </c>
      <c r="AX478" s="141">
        <f ca="1">IFERROR(__xludf.DUMMYFUNCTION("""COMPUTED_VALUE"""),44839)</f>
        <v>44839</v>
      </c>
      <c r="AY478" s="40">
        <f ca="1">IFERROR(__xludf.DUMMYFUNCTION("""COMPUTED_VALUE"""),2)</f>
        <v>2</v>
      </c>
      <c r="AZ478" s="40">
        <f ca="1">IFERROR(__xludf.DUMMYFUNCTION("""COMPUTED_VALUE"""),1)</f>
        <v>1</v>
      </c>
      <c r="BA478" s="40">
        <f ca="1">IFERROR(__xludf.DUMMYFUNCTION("""COMPUTED_VALUE"""),0)</f>
        <v>0</v>
      </c>
      <c r="BB478" s="40">
        <f ca="1">IFERROR(__xludf.DUMMYFUNCTION("""COMPUTED_VALUE"""),4)</f>
        <v>4</v>
      </c>
      <c r="BC478" s="40">
        <f ca="1">IFERROR(__xludf.DUMMYFUNCTION("""COMPUTED_VALUE"""),7)</f>
        <v>7</v>
      </c>
      <c r="BD478" s="141">
        <f ca="1">IFERROR(__xludf.DUMMYFUNCTION("""COMPUTED_VALUE"""),44301)</f>
        <v>44301</v>
      </c>
      <c r="BE478" s="141">
        <f ca="1">IFERROR(__xludf.DUMMYFUNCTION("""COMPUTED_VALUE"""),44848)</f>
        <v>44848</v>
      </c>
      <c r="BF478" s="141">
        <f ca="1">IFERROR(__xludf.DUMMYFUNCTION("""COMPUTED_VALUE"""),45030)</f>
        <v>45030</v>
      </c>
      <c r="BG478" s="141">
        <f ca="1">IFERROR(__xludf.DUMMYFUNCTION("""COMPUTED_VALUE"""),45579)</f>
        <v>45579</v>
      </c>
      <c r="BH478" s="40" t="str">
        <f ca="1">IFERROR(__xludf.DUMMYFUNCTION("""COMPUTED_VALUE"""),"FICHA EN TIEMPO-18 MESES")</f>
        <v>FICHA EN TIEMPO-18 MESES</v>
      </c>
      <c r="BI478" s="40" t="str">
        <f ca="1">IFERROR(__xludf.DUMMYFUNCTION("""COMPUTED_VALUE"""),"En ejecucion")</f>
        <v>En ejecucion</v>
      </c>
      <c r="BJ478" s="40" t="str">
        <f ca="1">IFERROR(__xludf.DUMMYFUNCTION("""COMPUTED_VALUE"""),"Yamboro")</f>
        <v>Yamboro</v>
      </c>
      <c r="BK478" s="40"/>
      <c r="BL478" s="40"/>
    </row>
    <row r="479" spans="1:64" ht="13">
      <c r="A479" s="40"/>
      <c r="B479" s="40" t="str">
        <f ca="1">IFERROR(__xludf.DUMMYFUNCTION("""COMPUTED_VALUE"""),"FORMACIÓN 18/10/2022")</f>
        <v>FORMACIÓN 18/10/2022</v>
      </c>
      <c r="C479" s="40" t="str">
        <f ca="1">IFERROR(__xludf.DUMMYFUNCTION("""COMPUTED_VALUE"""),"MARIA ALEJANDRA SALINAS TORO")</f>
        <v>MARIA ALEJANDRA SALINAS TORO</v>
      </c>
      <c r="D479" s="40" t="str">
        <f ca="1">IFERROR(__xludf.DUMMYFUNCTION("""COMPUTED_VALUE"""),"CC")</f>
        <v>CC</v>
      </c>
      <c r="E479" s="40">
        <f ca="1">IFERROR(__xludf.DUMMYFUNCTION("""COMPUTED_VALUE"""),1083867012)</f>
        <v>1083867012</v>
      </c>
      <c r="F479" s="40">
        <f ca="1">IFERROR(__xludf.DUMMYFUNCTION("""COMPUTED_VALUE"""),2280196)</f>
        <v>2280196</v>
      </c>
      <c r="G479" s="40" t="str">
        <f ca="1">IFERROR(__xludf.DUMMYFUNCTION("""COMPUTED_VALUE"""),"TECNÓLOGO")</f>
        <v>TECNÓLOGO</v>
      </c>
      <c r="H479" s="40" t="str">
        <f ca="1">IFERROR(__xludf.DUMMYFUNCTION("""COMPUTED_VALUE"""),"GESTIÓN DE RECURSOS NATURALES")</f>
        <v>GESTIÓN DE RECURSOS NATURALES</v>
      </c>
      <c r="I479" s="40">
        <f ca="1">IFERROR(__xludf.DUMMYFUNCTION("""COMPUTED_VALUE"""),573152565626)</f>
        <v>573152565626</v>
      </c>
      <c r="J479" s="40" t="str">
        <f ca="1">IFERROR(__xludf.DUMMYFUNCTION("""COMPUTED_VALUE"""),"mariaalejandrasalinastoro90@gmail.com
")</f>
        <v xml:space="preserve">mariaalejandrasalinastoro90@gmail.com
</v>
      </c>
      <c r="K479" s="40" t="str">
        <f ca="1">IFERROR(__xludf.DUMMYFUNCTION("""COMPUTED_VALUE"""),"NEIVA")</f>
        <v>NEIVA</v>
      </c>
      <c r="L479" s="40" t="str">
        <f ca="1">IFERROR(__xludf.DUMMYFUNCTION("""COMPUTED_VALUE"""),"CONTRATO DE APRENDIZAJE")</f>
        <v>CONTRATO DE APRENDIZAJE</v>
      </c>
      <c r="M479" s="40" t="str">
        <f ca="1">IFERROR(__xludf.DUMMYFUNCTION("""COMPUTED_VALUE"""),"INVERSIONES COOMOTOR S.A")</f>
        <v>INVERSIONES COOMOTOR S.A</v>
      </c>
      <c r="N479" s="40" t="str">
        <f ca="1">IFERROR(__xludf.DUMMYFUNCTION("""COMPUTED_VALUE"""),"calle 2 sur No 7-30")</f>
        <v>calle 2 sur No 7-30</v>
      </c>
      <c r="O479" s="40">
        <f ca="1">IFERROR(__xludf.DUMMYFUNCTION("""COMPUTED_VALUE"""),8734113)</f>
        <v>8734113</v>
      </c>
      <c r="P479" s="40" t="str">
        <f ca="1">IFERROR(__xludf.DUMMYFUNCTION("""COMPUTED_VALUE"""),"NEIVA")</f>
        <v>NEIVA</v>
      </c>
      <c r="Q479" s="40" t="str">
        <f ca="1">IFERROR(__xludf.DUMMYFUNCTION("""COMPUTED_VALUE"""),"andrea.garrido@coomotor.com.co")</f>
        <v>andrea.garrido@coomotor.com.co</v>
      </c>
      <c r="R479" s="140">
        <f ca="1">IFERROR(__xludf.DUMMYFUNCTION("""COMPUTED_VALUE"""),44867)</f>
        <v>44867</v>
      </c>
      <c r="S479" s="140">
        <f ca="1">IFERROR(__xludf.DUMMYFUNCTION("""COMPUTED_VALUE"""),45047)</f>
        <v>45047</v>
      </c>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t="str">
        <f ca="1">IFERROR(__xludf.DUMMYFUNCTION("""COMPUTED_VALUE"""),"NO_CUMPLE")</f>
        <v>NO_CUMPLE</v>
      </c>
      <c r="AV479" s="40" t="str">
        <f ca="1">IFERROR(__xludf.DUMMYFUNCTION("""COMPUTED_VALUE"""),"EN FORMACION")</f>
        <v>EN FORMACION</v>
      </c>
      <c r="AW479" s="40" t="str">
        <f ca="1">IFERROR(__xludf.DUMMYFUNCTION("""COMPUTED_VALUE"""),"AMBIENTAL")</f>
        <v>AMBIENTAL</v>
      </c>
      <c r="AX479" s="141">
        <f ca="1">IFERROR(__xludf.DUMMYFUNCTION("""COMPUTED_VALUE"""),44839)</f>
        <v>44839</v>
      </c>
      <c r="AY479" s="40">
        <f ca="1">IFERROR(__xludf.DUMMYFUNCTION("""COMPUTED_VALUE"""),2)</f>
        <v>2</v>
      </c>
      <c r="AZ479" s="40">
        <f ca="1">IFERROR(__xludf.DUMMYFUNCTION("""COMPUTED_VALUE"""),1)</f>
        <v>1</v>
      </c>
      <c r="BA479" s="40">
        <f ca="1">IFERROR(__xludf.DUMMYFUNCTION("""COMPUTED_VALUE"""),0)</f>
        <v>0</v>
      </c>
      <c r="BB479" s="40">
        <f ca="1">IFERROR(__xludf.DUMMYFUNCTION("""COMPUTED_VALUE"""),4)</f>
        <v>4</v>
      </c>
      <c r="BC479" s="40">
        <f ca="1">IFERROR(__xludf.DUMMYFUNCTION("""COMPUTED_VALUE"""),7)</f>
        <v>7</v>
      </c>
      <c r="BD479" s="141">
        <f ca="1">IFERROR(__xludf.DUMMYFUNCTION("""COMPUTED_VALUE"""),44301)</f>
        <v>44301</v>
      </c>
      <c r="BE479" s="141">
        <f ca="1">IFERROR(__xludf.DUMMYFUNCTION("""COMPUTED_VALUE"""),44848)</f>
        <v>44848</v>
      </c>
      <c r="BF479" s="141">
        <f ca="1">IFERROR(__xludf.DUMMYFUNCTION("""COMPUTED_VALUE"""),45030)</f>
        <v>45030</v>
      </c>
      <c r="BG479" s="141">
        <f ca="1">IFERROR(__xludf.DUMMYFUNCTION("""COMPUTED_VALUE"""),45579)</f>
        <v>45579</v>
      </c>
      <c r="BH479" s="40" t="str">
        <f ca="1">IFERROR(__xludf.DUMMYFUNCTION("""COMPUTED_VALUE"""),"FICHA EN TIEMPO-18 MESES")</f>
        <v>FICHA EN TIEMPO-18 MESES</v>
      </c>
      <c r="BI479" s="40" t="str">
        <f ca="1">IFERROR(__xludf.DUMMYFUNCTION("""COMPUTED_VALUE"""),"En ejecucion")</f>
        <v>En ejecucion</v>
      </c>
      <c r="BJ479" s="40" t="str">
        <f ca="1">IFERROR(__xludf.DUMMYFUNCTION("""COMPUTED_VALUE"""),"Yamboro")</f>
        <v>Yamboro</v>
      </c>
      <c r="BK479" s="40"/>
      <c r="BL479" s="40"/>
    </row>
    <row r="480" spans="1:64" ht="13">
      <c r="A480" s="40"/>
      <c r="B480" s="40" t="str">
        <f ca="1">IFERROR(__xludf.DUMMYFUNCTION("""COMPUTED_VALUE"""),"FORMACIÓN 18/10/2022")</f>
        <v>FORMACIÓN 18/10/2022</v>
      </c>
      <c r="C480" s="40" t="str">
        <f ca="1">IFERROR(__xludf.DUMMYFUNCTION("""COMPUTED_VALUE"""),"DANEYI VIA")</f>
        <v>DANEYI VIA</v>
      </c>
      <c r="D480" s="40" t="str">
        <f ca="1">IFERROR(__xludf.DUMMYFUNCTION("""COMPUTED_VALUE"""),"CC")</f>
        <v>CC</v>
      </c>
      <c r="E480" s="40">
        <f ca="1">IFERROR(__xludf.DUMMYFUNCTION("""COMPUTED_VALUE"""),36286569)</f>
        <v>36286569</v>
      </c>
      <c r="F480" s="40">
        <f ca="1">IFERROR(__xludf.DUMMYFUNCTION("""COMPUTED_VALUE"""),2280196)</f>
        <v>2280196</v>
      </c>
      <c r="G480" s="40" t="str">
        <f ca="1">IFERROR(__xludf.DUMMYFUNCTION("""COMPUTED_VALUE"""),"TECNÓLOGO")</f>
        <v>TECNÓLOGO</v>
      </c>
      <c r="H480" s="40" t="str">
        <f ca="1">IFERROR(__xludf.DUMMYFUNCTION("""COMPUTED_VALUE"""),"GESTIÓN DE RECURSOS NATURALES")</f>
        <v>GESTIÓN DE RECURSOS NATURALES</v>
      </c>
      <c r="I480" s="40"/>
      <c r="J480" s="40"/>
      <c r="K480" s="40"/>
      <c r="L480" s="40" t="str">
        <f ca="1">IFERROR(__xludf.DUMMYFUNCTION("""COMPUTED_VALUE"""),"NO HA INICIADO ETAPA PRODUCTIVA")</f>
        <v>NO HA INICIADO ETAPA PRODUCTIVA</v>
      </c>
      <c r="M480" s="40"/>
      <c r="N480" s="40"/>
      <c r="O480" s="40"/>
      <c r="P480" s="40"/>
      <c r="Q480" s="40"/>
      <c r="R480" s="140"/>
      <c r="S480" s="140"/>
      <c r="T480" s="40" t="str">
        <f ca="1">IFERROR(__xludf.DUMMYFUNCTION("""COMPUTED_VALUE"""),"debe 28 resultados... Revisado 15/11/2022")</f>
        <v>debe 28 resultados... Revisado 15/11/2022</v>
      </c>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t="str">
        <f ca="1">IFERROR(__xludf.DUMMYFUNCTION("""COMPUTED_VALUE"""),"NO_CUMPLE")</f>
        <v>NO_CUMPLE</v>
      </c>
      <c r="AV480" s="40" t="str">
        <f ca="1">IFERROR(__xludf.DUMMYFUNCTION("""COMPUTED_VALUE"""),"INDUCCION")</f>
        <v>INDUCCION</v>
      </c>
      <c r="AW480" s="40" t="str">
        <f ca="1">IFERROR(__xludf.DUMMYFUNCTION("""COMPUTED_VALUE"""),"AMBIENTAL")</f>
        <v>AMBIENTAL</v>
      </c>
      <c r="AX480" s="141">
        <f ca="1">IFERROR(__xludf.DUMMYFUNCTION("""COMPUTED_VALUE"""),44839)</f>
        <v>44839</v>
      </c>
      <c r="AY480" s="40">
        <f ca="1">IFERROR(__xludf.DUMMYFUNCTION("""COMPUTED_VALUE"""),3)</f>
        <v>3</v>
      </c>
      <c r="AZ480" s="40">
        <f ca="1">IFERROR(__xludf.DUMMYFUNCTION("""COMPUTED_VALUE"""),1)</f>
        <v>1</v>
      </c>
      <c r="BA480" s="40">
        <f ca="1">IFERROR(__xludf.DUMMYFUNCTION("""COMPUTED_VALUE"""),15)</f>
        <v>15</v>
      </c>
      <c r="BB480" s="40">
        <f ca="1">IFERROR(__xludf.DUMMYFUNCTION("""COMPUTED_VALUE"""),10)</f>
        <v>10</v>
      </c>
      <c r="BC480" s="40">
        <f ca="1">IFERROR(__xludf.DUMMYFUNCTION("""COMPUTED_VALUE"""),29)</f>
        <v>29</v>
      </c>
      <c r="BD480" s="141">
        <f ca="1">IFERROR(__xludf.DUMMYFUNCTION("""COMPUTED_VALUE"""),44301)</f>
        <v>44301</v>
      </c>
      <c r="BE480" s="141">
        <f ca="1">IFERROR(__xludf.DUMMYFUNCTION("""COMPUTED_VALUE"""),44848)</f>
        <v>44848</v>
      </c>
      <c r="BF480" s="141">
        <f ca="1">IFERROR(__xludf.DUMMYFUNCTION("""COMPUTED_VALUE"""),45030)</f>
        <v>45030</v>
      </c>
      <c r="BG480" s="141">
        <f ca="1">IFERROR(__xludf.DUMMYFUNCTION("""COMPUTED_VALUE"""),45579)</f>
        <v>45579</v>
      </c>
      <c r="BH480" s="40" t="str">
        <f ca="1">IFERROR(__xludf.DUMMYFUNCTION("""COMPUTED_VALUE"""),"FICHA EN TIEMPO-18 MESES")</f>
        <v>FICHA EN TIEMPO-18 MESES</v>
      </c>
      <c r="BI480" s="40" t="str">
        <f ca="1">IFERROR(__xludf.DUMMYFUNCTION("""COMPUTED_VALUE"""),"En ejecucion")</f>
        <v>En ejecucion</v>
      </c>
      <c r="BJ480" s="40" t="str">
        <f ca="1">IFERROR(__xludf.DUMMYFUNCTION("""COMPUTED_VALUE"""),"Yamboro")</f>
        <v>Yamboro</v>
      </c>
      <c r="BK480" s="40"/>
      <c r="BL480" s="40"/>
    </row>
    <row r="481" spans="1:64" ht="13">
      <c r="A481" s="40"/>
      <c r="B481" s="40" t="str">
        <f ca="1">IFERROR(__xludf.DUMMYFUNCTION("""COMPUTED_VALUE"""),"FORMACIÓN 18/10/2022")</f>
        <v>FORMACIÓN 18/10/2022</v>
      </c>
      <c r="C481" s="40" t="str">
        <f ca="1">IFERROR(__xludf.DUMMYFUNCTION("""COMPUTED_VALUE"""),"FABIO ANDRES BENAVIDES ARCOS")</f>
        <v>FABIO ANDRES BENAVIDES ARCOS</v>
      </c>
      <c r="D481" s="40" t="str">
        <f ca="1">IFERROR(__xludf.DUMMYFUNCTION("""COMPUTED_VALUE"""),"CC")</f>
        <v>CC</v>
      </c>
      <c r="E481" s="40">
        <f ca="1">IFERROR(__xludf.DUMMYFUNCTION("""COMPUTED_VALUE"""),1000351207)</f>
        <v>1000351207</v>
      </c>
      <c r="F481" s="40">
        <f ca="1">IFERROR(__xludf.DUMMYFUNCTION("""COMPUTED_VALUE"""),2541039)</f>
        <v>2541039</v>
      </c>
      <c r="G481" s="40" t="str">
        <f ca="1">IFERROR(__xludf.DUMMYFUNCTION("""COMPUTED_VALUE"""),"TÉCNICO")</f>
        <v>TÉCNICO</v>
      </c>
      <c r="H481" s="40" t="str">
        <f ca="1">IFERROR(__xludf.DUMMYFUNCTION("""COMPUTED_VALUE"""),"MONITOREO AMBIENTAL")</f>
        <v>MONITOREO AMBIENTAL</v>
      </c>
      <c r="I481" s="40"/>
      <c r="J481" s="40"/>
      <c r="K481" s="40"/>
      <c r="L481" s="40" t="str">
        <f ca="1">IFERROR(__xludf.DUMMYFUNCTION("""COMPUTED_VALUE"""),"NO HA INICIADO ETAPA PRODUCTIVA")</f>
        <v>NO HA INICIADO ETAPA PRODUCTIVA</v>
      </c>
      <c r="M481" s="40"/>
      <c r="N481" s="40"/>
      <c r="O481" s="40"/>
      <c r="P481" s="40"/>
      <c r="Q481" s="40"/>
      <c r="R481" s="140"/>
      <c r="S481" s="140"/>
      <c r="T481" s="40" t="str">
        <f ca="1">IFERROR(__xludf.DUMMYFUNCTION("""COMPUTED_VALUE"""),"debe 33 resultados... Revisado 04/11/2022")</f>
        <v>debe 33 resultados... Revisado 04/11/2022</v>
      </c>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t="str">
        <f ca="1">IFERROR(__xludf.DUMMYFUNCTION("""COMPUTED_VALUE"""),"NO_CUMPLE")</f>
        <v>NO_CUMPLE</v>
      </c>
      <c r="AV481" s="40" t="str">
        <f ca="1">IFERROR(__xludf.DUMMYFUNCTION("""COMPUTED_VALUE"""),"EN FORMACION")</f>
        <v>EN FORMACION</v>
      </c>
      <c r="AW481" s="40" t="str">
        <f ca="1">IFERROR(__xludf.DUMMYFUNCTION("""COMPUTED_VALUE"""),"AMBIENTAL")</f>
        <v>AMBIENTAL</v>
      </c>
      <c r="AX481" s="141">
        <f ca="1">IFERROR(__xludf.DUMMYFUNCTION("""COMPUTED_VALUE"""),44839)</f>
        <v>44839</v>
      </c>
      <c r="AY481" s="40">
        <f ca="1">IFERROR(__xludf.DUMMYFUNCTION("""COMPUTED_VALUE"""),32)</f>
        <v>32</v>
      </c>
      <c r="AZ481" s="40">
        <f ca="1">IFERROR(__xludf.DUMMYFUNCTION("""COMPUTED_VALUE"""),1)</f>
        <v>1</v>
      </c>
      <c r="BA481" s="40">
        <f ca="1">IFERROR(__xludf.DUMMYFUNCTION("""COMPUTED_VALUE"""),0)</f>
        <v>0</v>
      </c>
      <c r="BB481" s="40">
        <f ca="1">IFERROR(__xludf.DUMMYFUNCTION("""COMPUTED_VALUE"""),9)</f>
        <v>9</v>
      </c>
      <c r="BC481" s="40">
        <f ca="1">IFERROR(__xludf.DUMMYFUNCTION("""COMPUTED_VALUE"""),42)</f>
        <v>42</v>
      </c>
      <c r="BD481" s="141">
        <f ca="1">IFERROR(__xludf.DUMMYFUNCTION("""COMPUTED_VALUE"""),44669)</f>
        <v>44669</v>
      </c>
      <c r="BE481" s="141">
        <f ca="1">IFERROR(__xludf.DUMMYFUNCTION("""COMPUTED_VALUE"""),44912)</f>
        <v>44912</v>
      </c>
      <c r="BF481" s="141">
        <f ca="1">IFERROR(__xludf.DUMMYFUNCTION("""COMPUTED_VALUE"""),45094)</f>
        <v>45094</v>
      </c>
      <c r="BG481" s="141">
        <f ca="1">IFERROR(__xludf.DUMMYFUNCTION("""COMPUTED_VALUE"""),45643)</f>
        <v>45643</v>
      </c>
      <c r="BH481" s="40" t="str">
        <f ca="1">IFERROR(__xludf.DUMMYFUNCTION("""COMPUTED_VALUE"""),"FICHA EN TIEMPO-18 MESES")</f>
        <v>FICHA EN TIEMPO-18 MESES</v>
      </c>
      <c r="BI481" s="40" t="str">
        <f ca="1">IFERROR(__xludf.DUMMYFUNCTION("""COMPUTED_VALUE"""),"En ejecucion")</f>
        <v>En ejecucion</v>
      </c>
      <c r="BJ481" s="40" t="str">
        <f ca="1">IFERROR(__xludf.DUMMYFUNCTION("""COMPUTED_VALUE"""),"Yamboro")</f>
        <v>Yamboro</v>
      </c>
      <c r="BK481" s="40"/>
      <c r="BL481" s="40"/>
    </row>
    <row r="482" spans="1:64" ht="13">
      <c r="A482" s="40"/>
      <c r="B482" s="40" t="str">
        <f ca="1">IFERROR(__xludf.DUMMYFUNCTION("""COMPUTED_VALUE"""),"FORMACIÓN 18/10/2022")</f>
        <v>FORMACIÓN 18/10/2022</v>
      </c>
      <c r="C482" s="40" t="str">
        <f ca="1">IFERROR(__xludf.DUMMYFUNCTION("""COMPUTED_VALUE"""),"JHONY ALEXANDER MACIAS SALINAS")</f>
        <v>JHONY ALEXANDER MACIAS SALINAS</v>
      </c>
      <c r="D482" s="40" t="str">
        <f ca="1">IFERROR(__xludf.DUMMYFUNCTION("""COMPUTED_VALUE"""),"CC")</f>
        <v>CC</v>
      </c>
      <c r="E482" s="40">
        <f ca="1">IFERROR(__xludf.DUMMYFUNCTION("""COMPUTED_VALUE"""),1004417474)</f>
        <v>1004417474</v>
      </c>
      <c r="F482" s="40">
        <f ca="1">IFERROR(__xludf.DUMMYFUNCTION("""COMPUTED_VALUE"""),2541039)</f>
        <v>2541039</v>
      </c>
      <c r="G482" s="40" t="str">
        <f ca="1">IFERROR(__xludf.DUMMYFUNCTION("""COMPUTED_VALUE"""),"TÉCNICO")</f>
        <v>TÉCNICO</v>
      </c>
      <c r="H482" s="40" t="str">
        <f ca="1">IFERROR(__xludf.DUMMYFUNCTION("""COMPUTED_VALUE"""),"MONITOREO AMBIENTAL")</f>
        <v>MONITOREO AMBIENTAL</v>
      </c>
      <c r="I482" s="40"/>
      <c r="J482" s="40"/>
      <c r="K482" s="40"/>
      <c r="L482" s="40" t="str">
        <f ca="1">IFERROR(__xludf.DUMMYFUNCTION("""COMPUTED_VALUE"""),"NO HA INICIADO ETAPA PRODUCTIVA")</f>
        <v>NO HA INICIADO ETAPA PRODUCTIVA</v>
      </c>
      <c r="M482" s="40"/>
      <c r="N482" s="40"/>
      <c r="O482" s="40"/>
      <c r="P482" s="40"/>
      <c r="Q482" s="40"/>
      <c r="R482" s="140"/>
      <c r="S482" s="140"/>
      <c r="T482" s="40" t="str">
        <f ca="1">IFERROR(__xludf.DUMMYFUNCTION("""COMPUTED_VALUE"""),"debe 33 resultados... Revisado 04/11/2022")</f>
        <v>debe 33 resultados... Revisado 04/11/2022</v>
      </c>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t="str">
        <f ca="1">IFERROR(__xludf.DUMMYFUNCTION("""COMPUTED_VALUE"""),"NO_CUMPLE")</f>
        <v>NO_CUMPLE</v>
      </c>
      <c r="AV482" s="40" t="str">
        <f ca="1">IFERROR(__xludf.DUMMYFUNCTION("""COMPUTED_VALUE"""),"EN FORMACION")</f>
        <v>EN FORMACION</v>
      </c>
      <c r="AW482" s="40" t="str">
        <f ca="1">IFERROR(__xludf.DUMMYFUNCTION("""COMPUTED_VALUE"""),"AMBIENTAL")</f>
        <v>AMBIENTAL</v>
      </c>
      <c r="AX482" s="141">
        <f ca="1">IFERROR(__xludf.DUMMYFUNCTION("""COMPUTED_VALUE"""),44839)</f>
        <v>44839</v>
      </c>
      <c r="AY482" s="40">
        <f ca="1">IFERROR(__xludf.DUMMYFUNCTION("""COMPUTED_VALUE"""),32)</f>
        <v>32</v>
      </c>
      <c r="AZ482" s="40">
        <f ca="1">IFERROR(__xludf.DUMMYFUNCTION("""COMPUTED_VALUE"""),1)</f>
        <v>1</v>
      </c>
      <c r="BA482" s="40">
        <f ca="1">IFERROR(__xludf.DUMMYFUNCTION("""COMPUTED_VALUE"""),0)</f>
        <v>0</v>
      </c>
      <c r="BB482" s="40">
        <f ca="1">IFERROR(__xludf.DUMMYFUNCTION("""COMPUTED_VALUE"""),9)</f>
        <v>9</v>
      </c>
      <c r="BC482" s="40">
        <f ca="1">IFERROR(__xludf.DUMMYFUNCTION("""COMPUTED_VALUE"""),42)</f>
        <v>42</v>
      </c>
      <c r="BD482" s="141">
        <f ca="1">IFERROR(__xludf.DUMMYFUNCTION("""COMPUTED_VALUE"""),44669)</f>
        <v>44669</v>
      </c>
      <c r="BE482" s="141">
        <f ca="1">IFERROR(__xludf.DUMMYFUNCTION("""COMPUTED_VALUE"""),44912)</f>
        <v>44912</v>
      </c>
      <c r="BF482" s="141">
        <f ca="1">IFERROR(__xludf.DUMMYFUNCTION("""COMPUTED_VALUE"""),45094)</f>
        <v>45094</v>
      </c>
      <c r="BG482" s="141">
        <f ca="1">IFERROR(__xludf.DUMMYFUNCTION("""COMPUTED_VALUE"""),45643)</f>
        <v>45643</v>
      </c>
      <c r="BH482" s="40" t="str">
        <f ca="1">IFERROR(__xludf.DUMMYFUNCTION("""COMPUTED_VALUE"""),"FICHA EN TIEMPO-18 MESES")</f>
        <v>FICHA EN TIEMPO-18 MESES</v>
      </c>
      <c r="BI482" s="40" t="str">
        <f ca="1">IFERROR(__xludf.DUMMYFUNCTION("""COMPUTED_VALUE"""),"En ejecucion")</f>
        <v>En ejecucion</v>
      </c>
      <c r="BJ482" s="40" t="str">
        <f ca="1">IFERROR(__xludf.DUMMYFUNCTION("""COMPUTED_VALUE"""),"Yamboro")</f>
        <v>Yamboro</v>
      </c>
      <c r="BK482" s="40"/>
      <c r="BL482" s="40"/>
    </row>
    <row r="483" spans="1:64" ht="13">
      <c r="A483" s="40"/>
      <c r="B483" s="40" t="str">
        <f ca="1">IFERROR(__xludf.DUMMYFUNCTION("""COMPUTED_VALUE"""),"FORMACIÓN 18/10/2022")</f>
        <v>FORMACIÓN 18/10/2022</v>
      </c>
      <c r="C483" s="40" t="str">
        <f ca="1">IFERROR(__xludf.DUMMYFUNCTION("""COMPUTED_VALUE"""),"YOHAN SEBASTIAN BURBANO MUÑOZ")</f>
        <v>YOHAN SEBASTIAN BURBANO MUÑOZ</v>
      </c>
      <c r="D483" s="40" t="str">
        <f ca="1">IFERROR(__xludf.DUMMYFUNCTION("""COMPUTED_VALUE"""),"CC")</f>
        <v>CC</v>
      </c>
      <c r="E483" s="40">
        <f ca="1">IFERROR(__xludf.DUMMYFUNCTION("""COMPUTED_VALUE"""),1007328233)</f>
        <v>1007328233</v>
      </c>
      <c r="F483" s="40">
        <f ca="1">IFERROR(__xludf.DUMMYFUNCTION("""COMPUTED_VALUE"""),2541039)</f>
        <v>2541039</v>
      </c>
      <c r="G483" s="40" t="str">
        <f ca="1">IFERROR(__xludf.DUMMYFUNCTION("""COMPUTED_VALUE"""),"TÉCNICO")</f>
        <v>TÉCNICO</v>
      </c>
      <c r="H483" s="40" t="str">
        <f ca="1">IFERROR(__xludf.DUMMYFUNCTION("""COMPUTED_VALUE"""),"MONITOREO AMBIENTAL")</f>
        <v>MONITOREO AMBIENTAL</v>
      </c>
      <c r="I483" s="40"/>
      <c r="J483" s="40"/>
      <c r="K483" s="40"/>
      <c r="L483" s="40" t="str">
        <f ca="1">IFERROR(__xludf.DUMMYFUNCTION("""COMPUTED_VALUE"""),"NO HA INICIADO ETAPA PRODUCTIVA")</f>
        <v>NO HA INICIADO ETAPA PRODUCTIVA</v>
      </c>
      <c r="M483" s="40"/>
      <c r="N483" s="40"/>
      <c r="O483" s="40"/>
      <c r="P483" s="40"/>
      <c r="Q483" s="40"/>
      <c r="R483" s="140"/>
      <c r="S483" s="140"/>
      <c r="T483" s="40" t="str">
        <f ca="1">IFERROR(__xludf.DUMMYFUNCTION("""COMPUTED_VALUE"""),"debe 33 resultados... Revisado 04/11/2022")</f>
        <v>debe 33 resultados... Revisado 04/11/2022</v>
      </c>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t="str">
        <f ca="1">IFERROR(__xludf.DUMMYFUNCTION("""COMPUTED_VALUE"""),"NO_CUMPLE")</f>
        <v>NO_CUMPLE</v>
      </c>
      <c r="AV483" s="40" t="str">
        <f ca="1">IFERROR(__xludf.DUMMYFUNCTION("""COMPUTED_VALUE"""),"EN FORMACION")</f>
        <v>EN FORMACION</v>
      </c>
      <c r="AW483" s="40" t="str">
        <f ca="1">IFERROR(__xludf.DUMMYFUNCTION("""COMPUTED_VALUE"""),"AMBIENTAL")</f>
        <v>AMBIENTAL</v>
      </c>
      <c r="AX483" s="141">
        <f ca="1">IFERROR(__xludf.DUMMYFUNCTION("""COMPUTED_VALUE"""),44839)</f>
        <v>44839</v>
      </c>
      <c r="AY483" s="40">
        <f ca="1">IFERROR(__xludf.DUMMYFUNCTION("""COMPUTED_VALUE"""),32)</f>
        <v>32</v>
      </c>
      <c r="AZ483" s="40">
        <f ca="1">IFERROR(__xludf.DUMMYFUNCTION("""COMPUTED_VALUE"""),1)</f>
        <v>1</v>
      </c>
      <c r="BA483" s="40">
        <f ca="1">IFERROR(__xludf.DUMMYFUNCTION("""COMPUTED_VALUE"""),0)</f>
        <v>0</v>
      </c>
      <c r="BB483" s="40">
        <f ca="1">IFERROR(__xludf.DUMMYFUNCTION("""COMPUTED_VALUE"""),9)</f>
        <v>9</v>
      </c>
      <c r="BC483" s="40">
        <f ca="1">IFERROR(__xludf.DUMMYFUNCTION("""COMPUTED_VALUE"""),42)</f>
        <v>42</v>
      </c>
      <c r="BD483" s="141">
        <f ca="1">IFERROR(__xludf.DUMMYFUNCTION("""COMPUTED_VALUE"""),44669)</f>
        <v>44669</v>
      </c>
      <c r="BE483" s="141">
        <f ca="1">IFERROR(__xludf.DUMMYFUNCTION("""COMPUTED_VALUE"""),44912)</f>
        <v>44912</v>
      </c>
      <c r="BF483" s="141">
        <f ca="1">IFERROR(__xludf.DUMMYFUNCTION("""COMPUTED_VALUE"""),45094)</f>
        <v>45094</v>
      </c>
      <c r="BG483" s="141">
        <f ca="1">IFERROR(__xludf.DUMMYFUNCTION("""COMPUTED_VALUE"""),45643)</f>
        <v>45643</v>
      </c>
      <c r="BH483" s="40" t="str">
        <f ca="1">IFERROR(__xludf.DUMMYFUNCTION("""COMPUTED_VALUE"""),"FICHA EN TIEMPO-18 MESES")</f>
        <v>FICHA EN TIEMPO-18 MESES</v>
      </c>
      <c r="BI483" s="40" t="str">
        <f ca="1">IFERROR(__xludf.DUMMYFUNCTION("""COMPUTED_VALUE"""),"En ejecucion")</f>
        <v>En ejecucion</v>
      </c>
      <c r="BJ483" s="40" t="str">
        <f ca="1">IFERROR(__xludf.DUMMYFUNCTION("""COMPUTED_VALUE"""),"Yamboro")</f>
        <v>Yamboro</v>
      </c>
      <c r="BK483" s="40"/>
      <c r="BL483" s="40"/>
    </row>
    <row r="484" spans="1:64" ht="13">
      <c r="A484" s="40"/>
      <c r="B484" s="40" t="str">
        <f ca="1">IFERROR(__xludf.DUMMYFUNCTION("""COMPUTED_VALUE"""),"FORMACIÓN 18/10/2022")</f>
        <v>FORMACIÓN 18/10/2022</v>
      </c>
      <c r="C484" s="40" t="str">
        <f ca="1">IFERROR(__xludf.DUMMYFUNCTION("""COMPUTED_VALUE"""),"YULI TATIANA OVALLE VELASQUEZ")</f>
        <v>YULI TATIANA OVALLE VELASQUEZ</v>
      </c>
      <c r="D484" s="40" t="str">
        <f ca="1">IFERROR(__xludf.DUMMYFUNCTION("""COMPUTED_VALUE"""),"CC")</f>
        <v>CC</v>
      </c>
      <c r="E484" s="40">
        <f ca="1">IFERROR(__xludf.DUMMYFUNCTION("""COMPUTED_VALUE"""),1033685881)</f>
        <v>1033685881</v>
      </c>
      <c r="F484" s="40">
        <f ca="1">IFERROR(__xludf.DUMMYFUNCTION("""COMPUTED_VALUE"""),2541039)</f>
        <v>2541039</v>
      </c>
      <c r="G484" s="40" t="str">
        <f ca="1">IFERROR(__xludf.DUMMYFUNCTION("""COMPUTED_VALUE"""),"TÉCNICO")</f>
        <v>TÉCNICO</v>
      </c>
      <c r="H484" s="40" t="str">
        <f ca="1">IFERROR(__xludf.DUMMYFUNCTION("""COMPUTED_VALUE"""),"MONITOREO AMBIENTAL")</f>
        <v>MONITOREO AMBIENTAL</v>
      </c>
      <c r="I484" s="40"/>
      <c r="J484" s="40"/>
      <c r="K484" s="40"/>
      <c r="L484" s="40" t="str">
        <f ca="1">IFERROR(__xludf.DUMMYFUNCTION("""COMPUTED_VALUE"""),"NO HA INICIADO ETAPA PRODUCTIVA")</f>
        <v>NO HA INICIADO ETAPA PRODUCTIVA</v>
      </c>
      <c r="M484" s="40"/>
      <c r="N484" s="40"/>
      <c r="O484" s="40"/>
      <c r="P484" s="40"/>
      <c r="Q484" s="40"/>
      <c r="R484" s="140"/>
      <c r="S484" s="140"/>
      <c r="T484" s="40" t="str">
        <f ca="1">IFERROR(__xludf.DUMMYFUNCTION("""COMPUTED_VALUE"""),"debe 45 resultados... Revisado 04/11/2022")</f>
        <v>debe 45 resultados... Revisado 04/11/2022</v>
      </c>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t="str">
        <f ca="1">IFERROR(__xludf.DUMMYFUNCTION("""COMPUTED_VALUE"""),"NO_CUMPLE")</f>
        <v>NO_CUMPLE</v>
      </c>
      <c r="AV484" s="40" t="str">
        <f ca="1">IFERROR(__xludf.DUMMYFUNCTION("""COMPUTED_VALUE"""),"EN FORMACION")</f>
        <v>EN FORMACION</v>
      </c>
      <c r="AW484" s="40" t="str">
        <f ca="1">IFERROR(__xludf.DUMMYFUNCTION("""COMPUTED_VALUE"""),"AMBIENTAL")</f>
        <v>AMBIENTAL</v>
      </c>
      <c r="AX484" s="141">
        <f ca="1">IFERROR(__xludf.DUMMYFUNCTION("""COMPUTED_VALUE"""),44839)</f>
        <v>44839</v>
      </c>
      <c r="AY484" s="40">
        <f ca="1">IFERROR(__xludf.DUMMYFUNCTION("""COMPUTED_VALUE"""),32)</f>
        <v>32</v>
      </c>
      <c r="AZ484" s="40">
        <f ca="1">IFERROR(__xludf.DUMMYFUNCTION("""COMPUTED_VALUE"""),1)</f>
        <v>1</v>
      </c>
      <c r="BA484" s="40">
        <f ca="1">IFERROR(__xludf.DUMMYFUNCTION("""COMPUTED_VALUE"""),4)</f>
        <v>4</v>
      </c>
      <c r="BB484" s="40">
        <f ca="1">IFERROR(__xludf.DUMMYFUNCTION("""COMPUTED_VALUE"""),9)</f>
        <v>9</v>
      </c>
      <c r="BC484" s="40">
        <f ca="1">IFERROR(__xludf.DUMMYFUNCTION("""COMPUTED_VALUE"""),46)</f>
        <v>46</v>
      </c>
      <c r="BD484" s="141">
        <f ca="1">IFERROR(__xludf.DUMMYFUNCTION("""COMPUTED_VALUE"""),44669)</f>
        <v>44669</v>
      </c>
      <c r="BE484" s="141">
        <f ca="1">IFERROR(__xludf.DUMMYFUNCTION("""COMPUTED_VALUE"""),44912)</f>
        <v>44912</v>
      </c>
      <c r="BF484" s="141">
        <f ca="1">IFERROR(__xludf.DUMMYFUNCTION("""COMPUTED_VALUE"""),45094)</f>
        <v>45094</v>
      </c>
      <c r="BG484" s="141">
        <f ca="1">IFERROR(__xludf.DUMMYFUNCTION("""COMPUTED_VALUE"""),45643)</f>
        <v>45643</v>
      </c>
      <c r="BH484" s="40" t="str">
        <f ca="1">IFERROR(__xludf.DUMMYFUNCTION("""COMPUTED_VALUE"""),"FICHA EN TIEMPO-18 MESES")</f>
        <v>FICHA EN TIEMPO-18 MESES</v>
      </c>
      <c r="BI484" s="40" t="str">
        <f ca="1">IFERROR(__xludf.DUMMYFUNCTION("""COMPUTED_VALUE"""),"En ejecucion")</f>
        <v>En ejecucion</v>
      </c>
      <c r="BJ484" s="40" t="str">
        <f ca="1">IFERROR(__xludf.DUMMYFUNCTION("""COMPUTED_VALUE"""),"Yamboro")</f>
        <v>Yamboro</v>
      </c>
      <c r="BK484" s="40"/>
      <c r="BL484" s="40"/>
    </row>
    <row r="485" spans="1:64" ht="13">
      <c r="A485" s="40"/>
      <c r="B485" s="40" t="str">
        <f ca="1">IFERROR(__xludf.DUMMYFUNCTION("""COMPUTED_VALUE"""),"FORMACIÓN 18/10/2022")</f>
        <v>FORMACIÓN 18/10/2022</v>
      </c>
      <c r="C485" s="40" t="str">
        <f ca="1">IFERROR(__xludf.DUMMYFUNCTION("""COMPUTED_VALUE"""),"GLADIS ROCIO RENGIFO IMBACHI")</f>
        <v>GLADIS ROCIO RENGIFO IMBACHI</v>
      </c>
      <c r="D485" s="40" t="str">
        <f ca="1">IFERROR(__xludf.DUMMYFUNCTION("""COMPUTED_VALUE"""),"CC")</f>
        <v>CC</v>
      </c>
      <c r="E485" s="40">
        <f ca="1">IFERROR(__xludf.DUMMYFUNCTION("""COMPUTED_VALUE"""),1081700247)</f>
        <v>1081700247</v>
      </c>
      <c r="F485" s="40">
        <f ca="1">IFERROR(__xludf.DUMMYFUNCTION("""COMPUTED_VALUE"""),2541039)</f>
        <v>2541039</v>
      </c>
      <c r="G485" s="40" t="str">
        <f ca="1">IFERROR(__xludf.DUMMYFUNCTION("""COMPUTED_VALUE"""),"TÉCNICO")</f>
        <v>TÉCNICO</v>
      </c>
      <c r="H485" s="40" t="str">
        <f ca="1">IFERROR(__xludf.DUMMYFUNCTION("""COMPUTED_VALUE"""),"MONITOREO AMBIENTAL")</f>
        <v>MONITOREO AMBIENTAL</v>
      </c>
      <c r="I485" s="40"/>
      <c r="J485" s="40"/>
      <c r="K485" s="40"/>
      <c r="L485" s="40" t="str">
        <f ca="1">IFERROR(__xludf.DUMMYFUNCTION("""COMPUTED_VALUE"""),"NO HA INICIADO ETAPA PRODUCTIVA")</f>
        <v>NO HA INICIADO ETAPA PRODUCTIVA</v>
      </c>
      <c r="M485" s="40"/>
      <c r="N485" s="40"/>
      <c r="O485" s="40"/>
      <c r="P485" s="40"/>
      <c r="Q485" s="40"/>
      <c r="R485" s="140"/>
      <c r="S485" s="140"/>
      <c r="T485" s="40" t="str">
        <f ca="1">IFERROR(__xludf.DUMMYFUNCTION("""COMPUTED_VALUE"""),"debe 33 resultados... Revisado 04/11/2022")</f>
        <v>debe 33 resultados... Revisado 04/11/2022</v>
      </c>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t="str">
        <f ca="1">IFERROR(__xludf.DUMMYFUNCTION("""COMPUTED_VALUE"""),"NO_CUMPLE")</f>
        <v>NO_CUMPLE</v>
      </c>
      <c r="AV485" s="40" t="str">
        <f ca="1">IFERROR(__xludf.DUMMYFUNCTION("""COMPUTED_VALUE"""),"EN FORMACION")</f>
        <v>EN FORMACION</v>
      </c>
      <c r="AW485" s="40" t="str">
        <f ca="1">IFERROR(__xludf.DUMMYFUNCTION("""COMPUTED_VALUE"""),"AMBIENTAL")</f>
        <v>AMBIENTAL</v>
      </c>
      <c r="AX485" s="141">
        <f ca="1">IFERROR(__xludf.DUMMYFUNCTION("""COMPUTED_VALUE"""),44839)</f>
        <v>44839</v>
      </c>
      <c r="AY485" s="40">
        <f ca="1">IFERROR(__xludf.DUMMYFUNCTION("""COMPUTED_VALUE"""),32)</f>
        <v>32</v>
      </c>
      <c r="AZ485" s="40">
        <f ca="1">IFERROR(__xludf.DUMMYFUNCTION("""COMPUTED_VALUE"""),1)</f>
        <v>1</v>
      </c>
      <c r="BA485" s="40">
        <f ca="1">IFERROR(__xludf.DUMMYFUNCTION("""COMPUTED_VALUE"""),0)</f>
        <v>0</v>
      </c>
      <c r="BB485" s="40">
        <f ca="1">IFERROR(__xludf.DUMMYFUNCTION("""COMPUTED_VALUE"""),9)</f>
        <v>9</v>
      </c>
      <c r="BC485" s="40">
        <f ca="1">IFERROR(__xludf.DUMMYFUNCTION("""COMPUTED_VALUE"""),42)</f>
        <v>42</v>
      </c>
      <c r="BD485" s="141">
        <f ca="1">IFERROR(__xludf.DUMMYFUNCTION("""COMPUTED_VALUE"""),44669)</f>
        <v>44669</v>
      </c>
      <c r="BE485" s="141">
        <f ca="1">IFERROR(__xludf.DUMMYFUNCTION("""COMPUTED_VALUE"""),44912)</f>
        <v>44912</v>
      </c>
      <c r="BF485" s="141">
        <f ca="1">IFERROR(__xludf.DUMMYFUNCTION("""COMPUTED_VALUE"""),45094)</f>
        <v>45094</v>
      </c>
      <c r="BG485" s="141">
        <f ca="1">IFERROR(__xludf.DUMMYFUNCTION("""COMPUTED_VALUE"""),45643)</f>
        <v>45643</v>
      </c>
      <c r="BH485" s="40" t="str">
        <f ca="1">IFERROR(__xludf.DUMMYFUNCTION("""COMPUTED_VALUE"""),"FICHA EN TIEMPO-18 MESES")</f>
        <v>FICHA EN TIEMPO-18 MESES</v>
      </c>
      <c r="BI485" s="40" t="str">
        <f ca="1">IFERROR(__xludf.DUMMYFUNCTION("""COMPUTED_VALUE"""),"En ejecucion")</f>
        <v>En ejecucion</v>
      </c>
      <c r="BJ485" s="40" t="str">
        <f ca="1">IFERROR(__xludf.DUMMYFUNCTION("""COMPUTED_VALUE"""),"Yamboro")</f>
        <v>Yamboro</v>
      </c>
      <c r="BK485" s="40"/>
      <c r="BL485" s="40"/>
    </row>
    <row r="486" spans="1:64" ht="13">
      <c r="A486" s="40"/>
      <c r="B486" s="40" t="str">
        <f ca="1">IFERROR(__xludf.DUMMYFUNCTION("""COMPUTED_VALUE"""),"FORMACIÓN 18/10/2022")</f>
        <v>FORMACIÓN 18/10/2022</v>
      </c>
      <c r="C486" s="40" t="str">
        <f ca="1">IFERROR(__xludf.DUMMYFUNCTION("""COMPUTED_VALUE"""),"ARGENIS HELENA JIMENEZ LASSO")</f>
        <v>ARGENIS HELENA JIMENEZ LASSO</v>
      </c>
      <c r="D486" s="40" t="str">
        <f ca="1">IFERROR(__xludf.DUMMYFUNCTION("""COMPUTED_VALUE"""),"CC")</f>
        <v>CC</v>
      </c>
      <c r="E486" s="40">
        <f ca="1">IFERROR(__xludf.DUMMYFUNCTION("""COMPUTED_VALUE"""),1083864774)</f>
        <v>1083864774</v>
      </c>
      <c r="F486" s="40">
        <f ca="1">IFERROR(__xludf.DUMMYFUNCTION("""COMPUTED_VALUE"""),2541039)</f>
        <v>2541039</v>
      </c>
      <c r="G486" s="40" t="str">
        <f ca="1">IFERROR(__xludf.DUMMYFUNCTION("""COMPUTED_VALUE"""),"TÉCNICO")</f>
        <v>TÉCNICO</v>
      </c>
      <c r="H486" s="40" t="str">
        <f ca="1">IFERROR(__xludf.DUMMYFUNCTION("""COMPUTED_VALUE"""),"MONITOREO AMBIENTAL")</f>
        <v>MONITOREO AMBIENTAL</v>
      </c>
      <c r="I486" s="40"/>
      <c r="J486" s="40"/>
      <c r="K486" s="40"/>
      <c r="L486" s="40" t="str">
        <f ca="1">IFERROR(__xludf.DUMMYFUNCTION("""COMPUTED_VALUE"""),"NO HA INICIADO ETAPA PRODUCTIVA")</f>
        <v>NO HA INICIADO ETAPA PRODUCTIVA</v>
      </c>
      <c r="M486" s="40"/>
      <c r="N486" s="40"/>
      <c r="O486" s="40"/>
      <c r="P486" s="40"/>
      <c r="Q486" s="40"/>
      <c r="R486" s="140"/>
      <c r="S486" s="140"/>
      <c r="T486" s="40" t="str">
        <f ca="1">IFERROR(__xludf.DUMMYFUNCTION("""COMPUTED_VALUE"""),"debe 33 resultados... Revisado 04/11/2022")</f>
        <v>debe 33 resultados... Revisado 04/11/2022</v>
      </c>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t="str">
        <f ca="1">IFERROR(__xludf.DUMMYFUNCTION("""COMPUTED_VALUE"""),"NO_CUMPLE")</f>
        <v>NO_CUMPLE</v>
      </c>
      <c r="AV486" s="40" t="str">
        <f ca="1">IFERROR(__xludf.DUMMYFUNCTION("""COMPUTED_VALUE"""),"EN FORMACION")</f>
        <v>EN FORMACION</v>
      </c>
      <c r="AW486" s="40" t="str">
        <f ca="1">IFERROR(__xludf.DUMMYFUNCTION("""COMPUTED_VALUE"""),"AMBIENTAL")</f>
        <v>AMBIENTAL</v>
      </c>
      <c r="AX486" s="141">
        <f ca="1">IFERROR(__xludf.DUMMYFUNCTION("""COMPUTED_VALUE"""),44839)</f>
        <v>44839</v>
      </c>
      <c r="AY486" s="40">
        <f ca="1">IFERROR(__xludf.DUMMYFUNCTION("""COMPUTED_VALUE"""),32)</f>
        <v>32</v>
      </c>
      <c r="AZ486" s="40">
        <f ca="1">IFERROR(__xludf.DUMMYFUNCTION("""COMPUTED_VALUE"""),1)</f>
        <v>1</v>
      </c>
      <c r="BA486" s="40">
        <f ca="1">IFERROR(__xludf.DUMMYFUNCTION("""COMPUTED_VALUE"""),0)</f>
        <v>0</v>
      </c>
      <c r="BB486" s="40">
        <f ca="1">IFERROR(__xludf.DUMMYFUNCTION("""COMPUTED_VALUE"""),9)</f>
        <v>9</v>
      </c>
      <c r="BC486" s="40">
        <f ca="1">IFERROR(__xludf.DUMMYFUNCTION("""COMPUTED_VALUE"""),42)</f>
        <v>42</v>
      </c>
      <c r="BD486" s="141">
        <f ca="1">IFERROR(__xludf.DUMMYFUNCTION("""COMPUTED_VALUE"""),44669)</f>
        <v>44669</v>
      </c>
      <c r="BE486" s="141">
        <f ca="1">IFERROR(__xludf.DUMMYFUNCTION("""COMPUTED_VALUE"""),44912)</f>
        <v>44912</v>
      </c>
      <c r="BF486" s="141">
        <f ca="1">IFERROR(__xludf.DUMMYFUNCTION("""COMPUTED_VALUE"""),45094)</f>
        <v>45094</v>
      </c>
      <c r="BG486" s="141">
        <f ca="1">IFERROR(__xludf.DUMMYFUNCTION("""COMPUTED_VALUE"""),45643)</f>
        <v>45643</v>
      </c>
      <c r="BH486" s="40" t="str">
        <f ca="1">IFERROR(__xludf.DUMMYFUNCTION("""COMPUTED_VALUE"""),"FICHA EN TIEMPO-18 MESES")</f>
        <v>FICHA EN TIEMPO-18 MESES</v>
      </c>
      <c r="BI486" s="40" t="str">
        <f ca="1">IFERROR(__xludf.DUMMYFUNCTION("""COMPUTED_VALUE"""),"En ejecucion")</f>
        <v>En ejecucion</v>
      </c>
      <c r="BJ486" s="40" t="str">
        <f ca="1">IFERROR(__xludf.DUMMYFUNCTION("""COMPUTED_VALUE"""),"Yamboro")</f>
        <v>Yamboro</v>
      </c>
      <c r="BK486" s="40"/>
      <c r="BL486" s="40"/>
    </row>
    <row r="487" spans="1:64" ht="13">
      <c r="A487" s="40"/>
      <c r="B487" s="40" t="str">
        <f ca="1">IFERROR(__xludf.DUMMYFUNCTION("""COMPUTED_VALUE"""),"FORMACIÓN 18/10/2022")</f>
        <v>FORMACIÓN 18/10/2022</v>
      </c>
      <c r="C487" s="40" t="str">
        <f ca="1">IFERROR(__xludf.DUMMYFUNCTION("""COMPUTED_VALUE"""),"NIYERETH GARZON VELA")</f>
        <v>NIYERETH GARZON VELA</v>
      </c>
      <c r="D487" s="40" t="str">
        <f ca="1">IFERROR(__xludf.DUMMYFUNCTION("""COMPUTED_VALUE"""),"CC")</f>
        <v>CC</v>
      </c>
      <c r="E487" s="40">
        <f ca="1">IFERROR(__xludf.DUMMYFUNCTION("""COMPUTED_VALUE"""),1083865760)</f>
        <v>1083865760</v>
      </c>
      <c r="F487" s="40">
        <f ca="1">IFERROR(__xludf.DUMMYFUNCTION("""COMPUTED_VALUE"""),2541039)</f>
        <v>2541039</v>
      </c>
      <c r="G487" s="40" t="str">
        <f ca="1">IFERROR(__xludf.DUMMYFUNCTION("""COMPUTED_VALUE"""),"TÉCNICO")</f>
        <v>TÉCNICO</v>
      </c>
      <c r="H487" s="40" t="str">
        <f ca="1">IFERROR(__xludf.DUMMYFUNCTION("""COMPUTED_VALUE"""),"MONITOREO AMBIENTAL")</f>
        <v>MONITOREO AMBIENTAL</v>
      </c>
      <c r="I487" s="40"/>
      <c r="J487" s="40"/>
      <c r="K487" s="40"/>
      <c r="L487" s="40" t="str">
        <f ca="1">IFERROR(__xludf.DUMMYFUNCTION("""COMPUTED_VALUE"""),"NO HA INICIADO ETAPA PRODUCTIVA")</f>
        <v>NO HA INICIADO ETAPA PRODUCTIVA</v>
      </c>
      <c r="M487" s="40"/>
      <c r="N487" s="40"/>
      <c r="O487" s="40"/>
      <c r="P487" s="40"/>
      <c r="Q487" s="40"/>
      <c r="R487" s="140"/>
      <c r="S487" s="140"/>
      <c r="T487" s="40" t="str">
        <f ca="1">IFERROR(__xludf.DUMMYFUNCTION("""COMPUTED_VALUE"""),"debe 33 resultados... Revisado 04/11/2022")</f>
        <v>debe 33 resultados... Revisado 04/11/2022</v>
      </c>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t="str">
        <f ca="1">IFERROR(__xludf.DUMMYFUNCTION("""COMPUTED_VALUE"""),"NO_CUMPLE")</f>
        <v>NO_CUMPLE</v>
      </c>
      <c r="AV487" s="40" t="str">
        <f ca="1">IFERROR(__xludf.DUMMYFUNCTION("""COMPUTED_VALUE"""),"EN FORMACION")</f>
        <v>EN FORMACION</v>
      </c>
      <c r="AW487" s="40" t="str">
        <f ca="1">IFERROR(__xludf.DUMMYFUNCTION("""COMPUTED_VALUE"""),"AMBIENTAL")</f>
        <v>AMBIENTAL</v>
      </c>
      <c r="AX487" s="141">
        <f ca="1">IFERROR(__xludf.DUMMYFUNCTION("""COMPUTED_VALUE"""),44839)</f>
        <v>44839</v>
      </c>
      <c r="AY487" s="40">
        <f ca="1">IFERROR(__xludf.DUMMYFUNCTION("""COMPUTED_VALUE"""),32)</f>
        <v>32</v>
      </c>
      <c r="AZ487" s="40">
        <f ca="1">IFERROR(__xludf.DUMMYFUNCTION("""COMPUTED_VALUE"""),1)</f>
        <v>1</v>
      </c>
      <c r="BA487" s="40">
        <f ca="1">IFERROR(__xludf.DUMMYFUNCTION("""COMPUTED_VALUE"""),0)</f>
        <v>0</v>
      </c>
      <c r="BB487" s="40">
        <f ca="1">IFERROR(__xludf.DUMMYFUNCTION("""COMPUTED_VALUE"""),9)</f>
        <v>9</v>
      </c>
      <c r="BC487" s="40">
        <f ca="1">IFERROR(__xludf.DUMMYFUNCTION("""COMPUTED_VALUE"""),42)</f>
        <v>42</v>
      </c>
      <c r="BD487" s="141">
        <f ca="1">IFERROR(__xludf.DUMMYFUNCTION("""COMPUTED_VALUE"""),44669)</f>
        <v>44669</v>
      </c>
      <c r="BE487" s="141">
        <f ca="1">IFERROR(__xludf.DUMMYFUNCTION("""COMPUTED_VALUE"""),44912)</f>
        <v>44912</v>
      </c>
      <c r="BF487" s="141">
        <f ca="1">IFERROR(__xludf.DUMMYFUNCTION("""COMPUTED_VALUE"""),45094)</f>
        <v>45094</v>
      </c>
      <c r="BG487" s="141">
        <f ca="1">IFERROR(__xludf.DUMMYFUNCTION("""COMPUTED_VALUE"""),45643)</f>
        <v>45643</v>
      </c>
      <c r="BH487" s="40" t="str">
        <f ca="1">IFERROR(__xludf.DUMMYFUNCTION("""COMPUTED_VALUE"""),"FICHA EN TIEMPO-18 MESES")</f>
        <v>FICHA EN TIEMPO-18 MESES</v>
      </c>
      <c r="BI487" s="40" t="str">
        <f ca="1">IFERROR(__xludf.DUMMYFUNCTION("""COMPUTED_VALUE"""),"En ejecucion")</f>
        <v>En ejecucion</v>
      </c>
      <c r="BJ487" s="40" t="str">
        <f ca="1">IFERROR(__xludf.DUMMYFUNCTION("""COMPUTED_VALUE"""),"Yamboro")</f>
        <v>Yamboro</v>
      </c>
      <c r="BK487" s="40"/>
      <c r="BL487" s="40"/>
    </row>
    <row r="488" spans="1:64" ht="13">
      <c r="A488" s="40"/>
      <c r="B488" s="40" t="str">
        <f ca="1">IFERROR(__xludf.DUMMYFUNCTION("""COMPUTED_VALUE"""),"FORMACIÓN 18/10/2022")</f>
        <v>FORMACIÓN 18/10/2022</v>
      </c>
      <c r="C488" s="40" t="str">
        <f ca="1">IFERROR(__xludf.DUMMYFUNCTION("""COMPUTED_VALUE"""),"JOSE RICARDO AMBITO BAIQUE")</f>
        <v>JOSE RICARDO AMBITO BAIQUE</v>
      </c>
      <c r="D488" s="40" t="str">
        <f ca="1">IFERROR(__xludf.DUMMYFUNCTION("""COMPUTED_VALUE"""),"CC")</f>
        <v>CC</v>
      </c>
      <c r="E488" s="40">
        <f ca="1">IFERROR(__xludf.DUMMYFUNCTION("""COMPUTED_VALUE"""),1083869585)</f>
        <v>1083869585</v>
      </c>
      <c r="F488" s="40">
        <f ca="1">IFERROR(__xludf.DUMMYFUNCTION("""COMPUTED_VALUE"""),2541039)</f>
        <v>2541039</v>
      </c>
      <c r="G488" s="40" t="str">
        <f ca="1">IFERROR(__xludf.DUMMYFUNCTION("""COMPUTED_VALUE"""),"TÉCNICO")</f>
        <v>TÉCNICO</v>
      </c>
      <c r="H488" s="40" t="str">
        <f ca="1">IFERROR(__xludf.DUMMYFUNCTION("""COMPUTED_VALUE"""),"MONITOREO AMBIENTAL")</f>
        <v>MONITOREO AMBIENTAL</v>
      </c>
      <c r="I488" s="40"/>
      <c r="J488" s="40"/>
      <c r="K488" s="40"/>
      <c r="L488" s="40" t="str">
        <f ca="1">IFERROR(__xludf.DUMMYFUNCTION("""COMPUTED_VALUE"""),"NO HA INICIADO ETAPA PRODUCTIVA")</f>
        <v>NO HA INICIADO ETAPA PRODUCTIVA</v>
      </c>
      <c r="M488" s="40"/>
      <c r="N488" s="40"/>
      <c r="O488" s="40"/>
      <c r="P488" s="40"/>
      <c r="Q488" s="40"/>
      <c r="R488" s="140"/>
      <c r="S488" s="140"/>
      <c r="T488" s="40" t="str">
        <f ca="1">IFERROR(__xludf.DUMMYFUNCTION("""COMPUTED_VALUE"""),"debe 45 resultados... Revisado 04/11/2022")</f>
        <v>debe 45 resultados... Revisado 04/11/2022</v>
      </c>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t="str">
        <f ca="1">IFERROR(__xludf.DUMMYFUNCTION("""COMPUTED_VALUE"""),"NO_CUMPLE")</f>
        <v>NO_CUMPLE</v>
      </c>
      <c r="AV488" s="40" t="str">
        <f ca="1">IFERROR(__xludf.DUMMYFUNCTION("""COMPUTED_VALUE"""),"EN FORMACION")</f>
        <v>EN FORMACION</v>
      </c>
      <c r="AW488" s="40" t="str">
        <f ca="1">IFERROR(__xludf.DUMMYFUNCTION("""COMPUTED_VALUE"""),"AMBIENTAL")</f>
        <v>AMBIENTAL</v>
      </c>
      <c r="AX488" s="141">
        <f ca="1">IFERROR(__xludf.DUMMYFUNCTION("""COMPUTED_VALUE"""),44839)</f>
        <v>44839</v>
      </c>
      <c r="AY488" s="40">
        <f ca="1">IFERROR(__xludf.DUMMYFUNCTION("""COMPUTED_VALUE"""),32)</f>
        <v>32</v>
      </c>
      <c r="AZ488" s="40">
        <f ca="1">IFERROR(__xludf.DUMMYFUNCTION("""COMPUTED_VALUE"""),1)</f>
        <v>1</v>
      </c>
      <c r="BA488" s="40">
        <f ca="1">IFERROR(__xludf.DUMMYFUNCTION("""COMPUTED_VALUE"""),4)</f>
        <v>4</v>
      </c>
      <c r="BB488" s="40">
        <f ca="1">IFERROR(__xludf.DUMMYFUNCTION("""COMPUTED_VALUE"""),9)</f>
        <v>9</v>
      </c>
      <c r="BC488" s="40">
        <f ca="1">IFERROR(__xludf.DUMMYFUNCTION("""COMPUTED_VALUE"""),46)</f>
        <v>46</v>
      </c>
      <c r="BD488" s="141">
        <f ca="1">IFERROR(__xludf.DUMMYFUNCTION("""COMPUTED_VALUE"""),44669)</f>
        <v>44669</v>
      </c>
      <c r="BE488" s="141">
        <f ca="1">IFERROR(__xludf.DUMMYFUNCTION("""COMPUTED_VALUE"""),44912)</f>
        <v>44912</v>
      </c>
      <c r="BF488" s="141">
        <f ca="1">IFERROR(__xludf.DUMMYFUNCTION("""COMPUTED_VALUE"""),45094)</f>
        <v>45094</v>
      </c>
      <c r="BG488" s="141">
        <f ca="1">IFERROR(__xludf.DUMMYFUNCTION("""COMPUTED_VALUE"""),45643)</f>
        <v>45643</v>
      </c>
      <c r="BH488" s="40" t="str">
        <f ca="1">IFERROR(__xludf.DUMMYFUNCTION("""COMPUTED_VALUE"""),"FICHA EN TIEMPO-18 MESES")</f>
        <v>FICHA EN TIEMPO-18 MESES</v>
      </c>
      <c r="BI488" s="40" t="str">
        <f ca="1">IFERROR(__xludf.DUMMYFUNCTION("""COMPUTED_VALUE"""),"En ejecucion")</f>
        <v>En ejecucion</v>
      </c>
      <c r="BJ488" s="40" t="str">
        <f ca="1">IFERROR(__xludf.DUMMYFUNCTION("""COMPUTED_VALUE"""),"Yamboro")</f>
        <v>Yamboro</v>
      </c>
      <c r="BK488" s="40"/>
      <c r="BL488" s="40"/>
    </row>
    <row r="489" spans="1:64" ht="13">
      <c r="A489" s="40"/>
      <c r="B489" s="40" t="str">
        <f ca="1">IFERROR(__xludf.DUMMYFUNCTION("""COMPUTED_VALUE"""),"FORMACIÓN 18/10/2022")</f>
        <v>FORMACIÓN 18/10/2022</v>
      </c>
      <c r="C489" s="40" t="str">
        <f ca="1">IFERROR(__xludf.DUMMYFUNCTION("""COMPUTED_VALUE"""),"RENE FERNEY MORALES MORALES")</f>
        <v>RENE FERNEY MORALES MORALES</v>
      </c>
      <c r="D489" s="40" t="str">
        <f ca="1">IFERROR(__xludf.DUMMYFUNCTION("""COMPUTED_VALUE"""),"CC")</f>
        <v>CC</v>
      </c>
      <c r="E489" s="40">
        <f ca="1">IFERROR(__xludf.DUMMYFUNCTION("""COMPUTED_VALUE"""),1083872557)</f>
        <v>1083872557</v>
      </c>
      <c r="F489" s="40">
        <f ca="1">IFERROR(__xludf.DUMMYFUNCTION("""COMPUTED_VALUE"""),2541039)</f>
        <v>2541039</v>
      </c>
      <c r="G489" s="40" t="str">
        <f ca="1">IFERROR(__xludf.DUMMYFUNCTION("""COMPUTED_VALUE"""),"TÉCNICO")</f>
        <v>TÉCNICO</v>
      </c>
      <c r="H489" s="40" t="str">
        <f ca="1">IFERROR(__xludf.DUMMYFUNCTION("""COMPUTED_VALUE"""),"MONITOREO AMBIENTAL")</f>
        <v>MONITOREO AMBIENTAL</v>
      </c>
      <c r="I489" s="40"/>
      <c r="J489" s="40"/>
      <c r="K489" s="40"/>
      <c r="L489" s="40" t="str">
        <f ca="1">IFERROR(__xludf.DUMMYFUNCTION("""COMPUTED_VALUE"""),"NO HA INICIADO ETAPA PRODUCTIVA")</f>
        <v>NO HA INICIADO ETAPA PRODUCTIVA</v>
      </c>
      <c r="M489" s="40"/>
      <c r="N489" s="40"/>
      <c r="O489" s="40"/>
      <c r="P489" s="40"/>
      <c r="Q489" s="40"/>
      <c r="R489" s="140"/>
      <c r="S489" s="140"/>
      <c r="T489" s="40" t="str">
        <f ca="1">IFERROR(__xludf.DUMMYFUNCTION("""COMPUTED_VALUE"""),"debe 47 resultados... Revisado 04/11/2022")</f>
        <v>debe 47 resultados... Revisado 04/11/2022</v>
      </c>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t="str">
        <f ca="1">IFERROR(__xludf.DUMMYFUNCTION("""COMPUTED_VALUE"""),"NO_CUMPLE")</f>
        <v>NO_CUMPLE</v>
      </c>
      <c r="AV489" s="40" t="str">
        <f ca="1">IFERROR(__xludf.DUMMYFUNCTION("""COMPUTED_VALUE"""),"EN FORMACION")</f>
        <v>EN FORMACION</v>
      </c>
      <c r="AW489" s="40" t="str">
        <f ca="1">IFERROR(__xludf.DUMMYFUNCTION("""COMPUTED_VALUE"""),"AMBIENTAL")</f>
        <v>AMBIENTAL</v>
      </c>
      <c r="AX489" s="141">
        <f ca="1">IFERROR(__xludf.DUMMYFUNCTION("""COMPUTED_VALUE"""),44839)</f>
        <v>44839</v>
      </c>
      <c r="AY489" s="40">
        <f ca="1">IFERROR(__xludf.DUMMYFUNCTION("""COMPUTED_VALUE"""),32)</f>
        <v>32</v>
      </c>
      <c r="AZ489" s="40">
        <f ca="1">IFERROR(__xludf.DUMMYFUNCTION("""COMPUTED_VALUE"""),1)</f>
        <v>1</v>
      </c>
      <c r="BA489" s="40">
        <f ca="1">IFERROR(__xludf.DUMMYFUNCTION("""COMPUTED_VALUE"""),6)</f>
        <v>6</v>
      </c>
      <c r="BB489" s="40">
        <f ca="1">IFERROR(__xludf.DUMMYFUNCTION("""COMPUTED_VALUE"""),9)</f>
        <v>9</v>
      </c>
      <c r="BC489" s="40">
        <f ca="1">IFERROR(__xludf.DUMMYFUNCTION("""COMPUTED_VALUE"""),48)</f>
        <v>48</v>
      </c>
      <c r="BD489" s="141">
        <f ca="1">IFERROR(__xludf.DUMMYFUNCTION("""COMPUTED_VALUE"""),44669)</f>
        <v>44669</v>
      </c>
      <c r="BE489" s="141">
        <f ca="1">IFERROR(__xludf.DUMMYFUNCTION("""COMPUTED_VALUE"""),44912)</f>
        <v>44912</v>
      </c>
      <c r="BF489" s="141">
        <f ca="1">IFERROR(__xludf.DUMMYFUNCTION("""COMPUTED_VALUE"""),45094)</f>
        <v>45094</v>
      </c>
      <c r="BG489" s="141">
        <f ca="1">IFERROR(__xludf.DUMMYFUNCTION("""COMPUTED_VALUE"""),45643)</f>
        <v>45643</v>
      </c>
      <c r="BH489" s="40" t="str">
        <f ca="1">IFERROR(__xludf.DUMMYFUNCTION("""COMPUTED_VALUE"""),"FICHA EN TIEMPO-18 MESES")</f>
        <v>FICHA EN TIEMPO-18 MESES</v>
      </c>
      <c r="BI489" s="40" t="str">
        <f ca="1">IFERROR(__xludf.DUMMYFUNCTION("""COMPUTED_VALUE"""),"En ejecucion")</f>
        <v>En ejecucion</v>
      </c>
      <c r="BJ489" s="40" t="str">
        <f ca="1">IFERROR(__xludf.DUMMYFUNCTION("""COMPUTED_VALUE"""),"Yamboro")</f>
        <v>Yamboro</v>
      </c>
      <c r="BK489" s="40"/>
      <c r="BL489" s="40"/>
    </row>
    <row r="490" spans="1:64" ht="13">
      <c r="A490" s="40"/>
      <c r="B490" s="40" t="str">
        <f ca="1">IFERROR(__xludf.DUMMYFUNCTION("""COMPUTED_VALUE"""),"FORMACIÓN 18/10/2022")</f>
        <v>FORMACIÓN 18/10/2022</v>
      </c>
      <c r="C490" s="40" t="str">
        <f ca="1">IFERROR(__xludf.DUMMYFUNCTION("""COMPUTED_VALUE"""),"ANDRES FELIPE CHILITO BURGOS")</f>
        <v>ANDRES FELIPE CHILITO BURGOS</v>
      </c>
      <c r="D490" s="40" t="str">
        <f ca="1">IFERROR(__xludf.DUMMYFUNCTION("""COMPUTED_VALUE"""),"CC")</f>
        <v>CC</v>
      </c>
      <c r="E490" s="40">
        <f ca="1">IFERROR(__xludf.DUMMYFUNCTION("""COMPUTED_VALUE"""),1083931431)</f>
        <v>1083931431</v>
      </c>
      <c r="F490" s="40">
        <f ca="1">IFERROR(__xludf.DUMMYFUNCTION("""COMPUTED_VALUE"""),2541039)</f>
        <v>2541039</v>
      </c>
      <c r="G490" s="40" t="str">
        <f ca="1">IFERROR(__xludf.DUMMYFUNCTION("""COMPUTED_VALUE"""),"TÉCNICO")</f>
        <v>TÉCNICO</v>
      </c>
      <c r="H490" s="40" t="str">
        <f ca="1">IFERROR(__xludf.DUMMYFUNCTION("""COMPUTED_VALUE"""),"MONITOREO AMBIENTAL")</f>
        <v>MONITOREO AMBIENTAL</v>
      </c>
      <c r="I490" s="40"/>
      <c r="J490" s="40"/>
      <c r="K490" s="40"/>
      <c r="L490" s="40" t="str">
        <f ca="1">IFERROR(__xludf.DUMMYFUNCTION("""COMPUTED_VALUE"""),"NO HA INICIADO ETAPA PRODUCTIVA")</f>
        <v>NO HA INICIADO ETAPA PRODUCTIVA</v>
      </c>
      <c r="M490" s="40"/>
      <c r="N490" s="40"/>
      <c r="O490" s="40"/>
      <c r="P490" s="40"/>
      <c r="Q490" s="40"/>
      <c r="R490" s="140"/>
      <c r="S490" s="140"/>
      <c r="T490" s="40" t="str">
        <f ca="1">IFERROR(__xludf.DUMMYFUNCTION("""COMPUTED_VALUE"""),"debe 45 resultados... Revisado 04/11/2022")</f>
        <v>debe 45 resultados... Revisado 04/11/2022</v>
      </c>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t="str">
        <f ca="1">IFERROR(__xludf.DUMMYFUNCTION("""COMPUTED_VALUE"""),"NO_CUMPLE")</f>
        <v>NO_CUMPLE</v>
      </c>
      <c r="AV490" s="40" t="str">
        <f ca="1">IFERROR(__xludf.DUMMYFUNCTION("""COMPUTED_VALUE"""),"EN FORMACION")</f>
        <v>EN FORMACION</v>
      </c>
      <c r="AW490" s="40" t="str">
        <f ca="1">IFERROR(__xludf.DUMMYFUNCTION("""COMPUTED_VALUE"""),"AMBIENTAL")</f>
        <v>AMBIENTAL</v>
      </c>
      <c r="AX490" s="141">
        <f ca="1">IFERROR(__xludf.DUMMYFUNCTION("""COMPUTED_VALUE"""),44839)</f>
        <v>44839</v>
      </c>
      <c r="AY490" s="40">
        <f ca="1">IFERROR(__xludf.DUMMYFUNCTION("""COMPUTED_VALUE"""),32)</f>
        <v>32</v>
      </c>
      <c r="AZ490" s="40">
        <f ca="1">IFERROR(__xludf.DUMMYFUNCTION("""COMPUTED_VALUE"""),1)</f>
        <v>1</v>
      </c>
      <c r="BA490" s="40">
        <f ca="1">IFERROR(__xludf.DUMMYFUNCTION("""COMPUTED_VALUE"""),4)</f>
        <v>4</v>
      </c>
      <c r="BB490" s="40">
        <f ca="1">IFERROR(__xludf.DUMMYFUNCTION("""COMPUTED_VALUE"""),9)</f>
        <v>9</v>
      </c>
      <c r="BC490" s="40">
        <f ca="1">IFERROR(__xludf.DUMMYFUNCTION("""COMPUTED_VALUE"""),46)</f>
        <v>46</v>
      </c>
      <c r="BD490" s="141">
        <f ca="1">IFERROR(__xludf.DUMMYFUNCTION("""COMPUTED_VALUE"""),44669)</f>
        <v>44669</v>
      </c>
      <c r="BE490" s="141">
        <f ca="1">IFERROR(__xludf.DUMMYFUNCTION("""COMPUTED_VALUE"""),44912)</f>
        <v>44912</v>
      </c>
      <c r="BF490" s="141">
        <f ca="1">IFERROR(__xludf.DUMMYFUNCTION("""COMPUTED_VALUE"""),45094)</f>
        <v>45094</v>
      </c>
      <c r="BG490" s="141">
        <f ca="1">IFERROR(__xludf.DUMMYFUNCTION("""COMPUTED_VALUE"""),45643)</f>
        <v>45643</v>
      </c>
      <c r="BH490" s="40" t="str">
        <f ca="1">IFERROR(__xludf.DUMMYFUNCTION("""COMPUTED_VALUE"""),"FICHA EN TIEMPO-18 MESES")</f>
        <v>FICHA EN TIEMPO-18 MESES</v>
      </c>
      <c r="BI490" s="40" t="str">
        <f ca="1">IFERROR(__xludf.DUMMYFUNCTION("""COMPUTED_VALUE"""),"En ejecucion")</f>
        <v>En ejecucion</v>
      </c>
      <c r="BJ490" s="40" t="str">
        <f ca="1">IFERROR(__xludf.DUMMYFUNCTION("""COMPUTED_VALUE"""),"Yamboro")</f>
        <v>Yamboro</v>
      </c>
      <c r="BK490" s="40"/>
      <c r="BL490" s="40"/>
    </row>
    <row r="491" spans="1:64" ht="13">
      <c r="A491" s="40"/>
      <c r="B491" s="40" t="str">
        <f ca="1">IFERROR(__xludf.DUMMYFUNCTION("""COMPUTED_VALUE"""),"FORMACIÓN 18/10/2022")</f>
        <v>FORMACIÓN 18/10/2022</v>
      </c>
      <c r="C491" s="40" t="str">
        <f ca="1">IFERROR(__xludf.DUMMYFUNCTION("""COMPUTED_VALUE"""),"CARLOS ANDRES GOMEZ GONZALEZ")</f>
        <v>CARLOS ANDRES GOMEZ GONZALEZ</v>
      </c>
      <c r="D491" s="40" t="str">
        <f ca="1">IFERROR(__xludf.DUMMYFUNCTION("""COMPUTED_VALUE"""),"CC")</f>
        <v>CC</v>
      </c>
      <c r="E491" s="40">
        <f ca="1">IFERROR(__xludf.DUMMYFUNCTION("""COMPUTED_VALUE"""),1117839291)</f>
        <v>1117839291</v>
      </c>
      <c r="F491" s="40">
        <f ca="1">IFERROR(__xludf.DUMMYFUNCTION("""COMPUTED_VALUE"""),2541039)</f>
        <v>2541039</v>
      </c>
      <c r="G491" s="40" t="str">
        <f ca="1">IFERROR(__xludf.DUMMYFUNCTION("""COMPUTED_VALUE"""),"TÉCNICO")</f>
        <v>TÉCNICO</v>
      </c>
      <c r="H491" s="40" t="str">
        <f ca="1">IFERROR(__xludf.DUMMYFUNCTION("""COMPUTED_VALUE"""),"MONITOREO AMBIENTAL")</f>
        <v>MONITOREO AMBIENTAL</v>
      </c>
      <c r="I491" s="40"/>
      <c r="J491" s="40"/>
      <c r="K491" s="40"/>
      <c r="L491" s="40" t="str">
        <f ca="1">IFERROR(__xludf.DUMMYFUNCTION("""COMPUTED_VALUE"""),"NO HA INICIADO ETAPA PRODUCTIVA")</f>
        <v>NO HA INICIADO ETAPA PRODUCTIVA</v>
      </c>
      <c r="M491" s="40"/>
      <c r="N491" s="40"/>
      <c r="O491" s="40"/>
      <c r="P491" s="40"/>
      <c r="Q491" s="40"/>
      <c r="R491" s="140"/>
      <c r="S491" s="140"/>
      <c r="T491" s="40" t="str">
        <f ca="1">IFERROR(__xludf.DUMMYFUNCTION("""COMPUTED_VALUE"""),"debe 37 resultados... Revisado 04/11/2022")</f>
        <v>debe 37 resultados... Revisado 04/11/2022</v>
      </c>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t="str">
        <f ca="1">IFERROR(__xludf.DUMMYFUNCTION("""COMPUTED_VALUE"""),"NO_CUMPLE")</f>
        <v>NO_CUMPLE</v>
      </c>
      <c r="AV491" s="40" t="str">
        <f ca="1">IFERROR(__xludf.DUMMYFUNCTION("""COMPUTED_VALUE"""),"EN FORMACION")</f>
        <v>EN FORMACION</v>
      </c>
      <c r="AW491" s="40" t="str">
        <f ca="1">IFERROR(__xludf.DUMMYFUNCTION("""COMPUTED_VALUE"""),"AMBIENTAL")</f>
        <v>AMBIENTAL</v>
      </c>
      <c r="AX491" s="141">
        <f ca="1">IFERROR(__xludf.DUMMYFUNCTION("""COMPUTED_VALUE"""),44839)</f>
        <v>44839</v>
      </c>
      <c r="AY491" s="40">
        <f ca="1">IFERROR(__xludf.DUMMYFUNCTION("""COMPUTED_VALUE"""),32)</f>
        <v>32</v>
      </c>
      <c r="AZ491" s="40">
        <f ca="1">IFERROR(__xludf.DUMMYFUNCTION("""COMPUTED_VALUE"""),1)</f>
        <v>1</v>
      </c>
      <c r="BA491" s="40">
        <f ca="1">IFERROR(__xludf.DUMMYFUNCTION("""COMPUTED_VALUE"""),4)</f>
        <v>4</v>
      </c>
      <c r="BB491" s="40">
        <f ca="1">IFERROR(__xludf.DUMMYFUNCTION("""COMPUTED_VALUE"""),9)</f>
        <v>9</v>
      </c>
      <c r="BC491" s="40">
        <f ca="1">IFERROR(__xludf.DUMMYFUNCTION("""COMPUTED_VALUE"""),46)</f>
        <v>46</v>
      </c>
      <c r="BD491" s="141">
        <f ca="1">IFERROR(__xludf.DUMMYFUNCTION("""COMPUTED_VALUE"""),44669)</f>
        <v>44669</v>
      </c>
      <c r="BE491" s="141">
        <f ca="1">IFERROR(__xludf.DUMMYFUNCTION("""COMPUTED_VALUE"""),44912)</f>
        <v>44912</v>
      </c>
      <c r="BF491" s="141">
        <f ca="1">IFERROR(__xludf.DUMMYFUNCTION("""COMPUTED_VALUE"""),45094)</f>
        <v>45094</v>
      </c>
      <c r="BG491" s="141">
        <f ca="1">IFERROR(__xludf.DUMMYFUNCTION("""COMPUTED_VALUE"""),45643)</f>
        <v>45643</v>
      </c>
      <c r="BH491" s="40" t="str">
        <f ca="1">IFERROR(__xludf.DUMMYFUNCTION("""COMPUTED_VALUE"""),"FICHA EN TIEMPO-18 MESES")</f>
        <v>FICHA EN TIEMPO-18 MESES</v>
      </c>
      <c r="BI491" s="40" t="str">
        <f ca="1">IFERROR(__xludf.DUMMYFUNCTION("""COMPUTED_VALUE"""),"En ejecucion")</f>
        <v>En ejecucion</v>
      </c>
      <c r="BJ491" s="40" t="str">
        <f ca="1">IFERROR(__xludf.DUMMYFUNCTION("""COMPUTED_VALUE"""),"Yamboro")</f>
        <v>Yamboro</v>
      </c>
      <c r="BK491" s="40"/>
      <c r="BL491" s="40"/>
    </row>
    <row r="492" spans="1:64" ht="13">
      <c r="A492" s="40"/>
      <c r="B492" s="40" t="str">
        <f ca="1">IFERROR(__xludf.DUMMYFUNCTION("""COMPUTED_VALUE"""),"FORMACIÓN 18/10/2022")</f>
        <v>FORMACIÓN 18/10/2022</v>
      </c>
      <c r="C492" s="40" t="str">
        <f ca="1">IFERROR(__xludf.DUMMYFUNCTION("""COMPUTED_VALUE"""),"MIRYAN YOLANDA ARCOS SANCHEZ")</f>
        <v>MIRYAN YOLANDA ARCOS SANCHEZ</v>
      </c>
      <c r="D492" s="40" t="str">
        <f ca="1">IFERROR(__xludf.DUMMYFUNCTION("""COMPUTED_VALUE"""),"CC")</f>
        <v>CC</v>
      </c>
      <c r="E492" s="40">
        <f ca="1">IFERROR(__xludf.DUMMYFUNCTION("""COMPUTED_VALUE"""),39820248)</f>
        <v>39820248</v>
      </c>
      <c r="F492" s="40">
        <f ca="1">IFERROR(__xludf.DUMMYFUNCTION("""COMPUTED_VALUE"""),2541039)</f>
        <v>2541039</v>
      </c>
      <c r="G492" s="40" t="str">
        <f ca="1">IFERROR(__xludf.DUMMYFUNCTION("""COMPUTED_VALUE"""),"TÉCNICO")</f>
        <v>TÉCNICO</v>
      </c>
      <c r="H492" s="40" t="str">
        <f ca="1">IFERROR(__xludf.DUMMYFUNCTION("""COMPUTED_VALUE"""),"MONITOREO AMBIENTAL")</f>
        <v>MONITOREO AMBIENTAL</v>
      </c>
      <c r="I492" s="40"/>
      <c r="J492" s="40"/>
      <c r="K492" s="40"/>
      <c r="L492" s="40" t="str">
        <f ca="1">IFERROR(__xludf.DUMMYFUNCTION("""COMPUTED_VALUE"""),"NO HA INICIADO ETAPA PRODUCTIVA")</f>
        <v>NO HA INICIADO ETAPA PRODUCTIVA</v>
      </c>
      <c r="M492" s="40"/>
      <c r="N492" s="40"/>
      <c r="O492" s="40"/>
      <c r="P492" s="40"/>
      <c r="Q492" s="40"/>
      <c r="R492" s="140"/>
      <c r="S492" s="140"/>
      <c r="T492" s="40" t="str">
        <f ca="1">IFERROR(__xludf.DUMMYFUNCTION("""COMPUTED_VALUE"""),"debe 33 resultados... Revisado 04/11/2022")</f>
        <v>debe 33 resultados... Revisado 04/11/2022</v>
      </c>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t="str">
        <f ca="1">IFERROR(__xludf.DUMMYFUNCTION("""COMPUTED_VALUE"""),"NO_CUMPLE")</f>
        <v>NO_CUMPLE</v>
      </c>
      <c r="AV492" s="40" t="str">
        <f ca="1">IFERROR(__xludf.DUMMYFUNCTION("""COMPUTED_VALUE"""),"EN FORMACION")</f>
        <v>EN FORMACION</v>
      </c>
      <c r="AW492" s="40" t="str">
        <f ca="1">IFERROR(__xludf.DUMMYFUNCTION("""COMPUTED_VALUE"""),"AMBIENTAL")</f>
        <v>AMBIENTAL</v>
      </c>
      <c r="AX492" s="141">
        <f ca="1">IFERROR(__xludf.DUMMYFUNCTION("""COMPUTED_VALUE"""),44839)</f>
        <v>44839</v>
      </c>
      <c r="AY492" s="40">
        <f ca="1">IFERROR(__xludf.DUMMYFUNCTION("""COMPUTED_VALUE"""),32)</f>
        <v>32</v>
      </c>
      <c r="AZ492" s="40">
        <f ca="1">IFERROR(__xludf.DUMMYFUNCTION("""COMPUTED_VALUE"""),1)</f>
        <v>1</v>
      </c>
      <c r="BA492" s="40">
        <f ca="1">IFERROR(__xludf.DUMMYFUNCTION("""COMPUTED_VALUE"""),0)</f>
        <v>0</v>
      </c>
      <c r="BB492" s="40">
        <f ca="1">IFERROR(__xludf.DUMMYFUNCTION("""COMPUTED_VALUE"""),9)</f>
        <v>9</v>
      </c>
      <c r="BC492" s="40">
        <f ca="1">IFERROR(__xludf.DUMMYFUNCTION("""COMPUTED_VALUE"""),42)</f>
        <v>42</v>
      </c>
      <c r="BD492" s="141">
        <f ca="1">IFERROR(__xludf.DUMMYFUNCTION("""COMPUTED_VALUE"""),44669)</f>
        <v>44669</v>
      </c>
      <c r="BE492" s="141">
        <f ca="1">IFERROR(__xludf.DUMMYFUNCTION("""COMPUTED_VALUE"""),44912)</f>
        <v>44912</v>
      </c>
      <c r="BF492" s="141">
        <f ca="1">IFERROR(__xludf.DUMMYFUNCTION("""COMPUTED_VALUE"""),45094)</f>
        <v>45094</v>
      </c>
      <c r="BG492" s="141">
        <f ca="1">IFERROR(__xludf.DUMMYFUNCTION("""COMPUTED_VALUE"""),45643)</f>
        <v>45643</v>
      </c>
      <c r="BH492" s="40" t="str">
        <f ca="1">IFERROR(__xludf.DUMMYFUNCTION("""COMPUTED_VALUE"""),"FICHA EN TIEMPO-18 MESES")</f>
        <v>FICHA EN TIEMPO-18 MESES</v>
      </c>
      <c r="BI492" s="40" t="str">
        <f ca="1">IFERROR(__xludf.DUMMYFUNCTION("""COMPUTED_VALUE"""),"En ejecucion")</f>
        <v>En ejecucion</v>
      </c>
      <c r="BJ492" s="40" t="str">
        <f ca="1">IFERROR(__xludf.DUMMYFUNCTION("""COMPUTED_VALUE"""),"Yamboro")</f>
        <v>Yamboro</v>
      </c>
      <c r="BK492" s="40"/>
      <c r="BL492" s="40"/>
    </row>
    <row r="493" spans="1:64" ht="13">
      <c r="A493" s="40"/>
      <c r="B493" s="40" t="str">
        <f ca="1">IFERROR(__xludf.DUMMYFUNCTION("""COMPUTED_VALUE"""),"FORMACIÓN 18/10/2022")</f>
        <v>FORMACIÓN 18/10/2022</v>
      </c>
      <c r="C493" s="40" t="str">
        <f ca="1">IFERROR(__xludf.DUMMYFUNCTION("""COMPUTED_VALUE"""),"LUDWING ARGUELLO MARTINEZ")</f>
        <v>LUDWING ARGUELLO MARTINEZ</v>
      </c>
      <c r="D493" s="40" t="str">
        <f ca="1">IFERROR(__xludf.DUMMYFUNCTION("""COMPUTED_VALUE"""),"CC")</f>
        <v>CC</v>
      </c>
      <c r="E493" s="40">
        <f ca="1">IFERROR(__xludf.DUMMYFUNCTION("""COMPUTED_VALUE"""),80149579)</f>
        <v>80149579</v>
      </c>
      <c r="F493" s="40">
        <f ca="1">IFERROR(__xludf.DUMMYFUNCTION("""COMPUTED_VALUE"""),2541039)</f>
        <v>2541039</v>
      </c>
      <c r="G493" s="40" t="str">
        <f ca="1">IFERROR(__xludf.DUMMYFUNCTION("""COMPUTED_VALUE"""),"TÉCNICO")</f>
        <v>TÉCNICO</v>
      </c>
      <c r="H493" s="40" t="str">
        <f ca="1">IFERROR(__xludf.DUMMYFUNCTION("""COMPUTED_VALUE"""),"MONITOREO AMBIENTAL")</f>
        <v>MONITOREO AMBIENTAL</v>
      </c>
      <c r="I493" s="40"/>
      <c r="J493" s="40"/>
      <c r="K493" s="40"/>
      <c r="L493" s="40" t="str">
        <f ca="1">IFERROR(__xludf.DUMMYFUNCTION("""COMPUTED_VALUE"""),"NO HA INICIADO ETAPA PRODUCTIVA")</f>
        <v>NO HA INICIADO ETAPA PRODUCTIVA</v>
      </c>
      <c r="M493" s="40"/>
      <c r="N493" s="40"/>
      <c r="O493" s="40"/>
      <c r="P493" s="40"/>
      <c r="Q493" s="40"/>
      <c r="R493" s="140"/>
      <c r="S493" s="140"/>
      <c r="T493" s="40" t="str">
        <f ca="1">IFERROR(__xludf.DUMMYFUNCTION("""COMPUTED_VALUE"""),"debe 43 resultados... Revisado 04/11/2022")</f>
        <v>debe 43 resultados... Revisado 04/11/2022</v>
      </c>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t="str">
        <f ca="1">IFERROR(__xludf.DUMMYFUNCTION("""COMPUTED_VALUE"""),"NO_CUMPLE")</f>
        <v>NO_CUMPLE</v>
      </c>
      <c r="AV493" s="40" t="str">
        <f ca="1">IFERROR(__xludf.DUMMYFUNCTION("""COMPUTED_VALUE"""),"EN FORMACION")</f>
        <v>EN FORMACION</v>
      </c>
      <c r="AW493" s="40" t="str">
        <f ca="1">IFERROR(__xludf.DUMMYFUNCTION("""COMPUTED_VALUE"""),"AMBIENTAL")</f>
        <v>AMBIENTAL</v>
      </c>
      <c r="AX493" s="141">
        <f ca="1">IFERROR(__xludf.DUMMYFUNCTION("""COMPUTED_VALUE"""),44839)</f>
        <v>44839</v>
      </c>
      <c r="AY493" s="40">
        <f ca="1">IFERROR(__xludf.DUMMYFUNCTION("""COMPUTED_VALUE"""),32)</f>
        <v>32</v>
      </c>
      <c r="AZ493" s="40">
        <f ca="1">IFERROR(__xludf.DUMMYFUNCTION("""COMPUTED_VALUE"""),1)</f>
        <v>1</v>
      </c>
      <c r="BA493" s="40">
        <f ca="1">IFERROR(__xludf.DUMMYFUNCTION("""COMPUTED_VALUE"""),2)</f>
        <v>2</v>
      </c>
      <c r="BB493" s="40">
        <f ca="1">IFERROR(__xludf.DUMMYFUNCTION("""COMPUTED_VALUE"""),9)</f>
        <v>9</v>
      </c>
      <c r="BC493" s="40">
        <f ca="1">IFERROR(__xludf.DUMMYFUNCTION("""COMPUTED_VALUE"""),44)</f>
        <v>44</v>
      </c>
      <c r="BD493" s="141">
        <f ca="1">IFERROR(__xludf.DUMMYFUNCTION("""COMPUTED_VALUE"""),44669)</f>
        <v>44669</v>
      </c>
      <c r="BE493" s="141">
        <f ca="1">IFERROR(__xludf.DUMMYFUNCTION("""COMPUTED_VALUE"""),44912)</f>
        <v>44912</v>
      </c>
      <c r="BF493" s="141">
        <f ca="1">IFERROR(__xludf.DUMMYFUNCTION("""COMPUTED_VALUE"""),45094)</f>
        <v>45094</v>
      </c>
      <c r="BG493" s="141">
        <f ca="1">IFERROR(__xludf.DUMMYFUNCTION("""COMPUTED_VALUE"""),45643)</f>
        <v>45643</v>
      </c>
      <c r="BH493" s="40" t="str">
        <f ca="1">IFERROR(__xludf.DUMMYFUNCTION("""COMPUTED_VALUE"""),"FICHA EN TIEMPO-18 MESES")</f>
        <v>FICHA EN TIEMPO-18 MESES</v>
      </c>
      <c r="BI493" s="40" t="str">
        <f ca="1">IFERROR(__xludf.DUMMYFUNCTION("""COMPUTED_VALUE"""),"En ejecucion")</f>
        <v>En ejecucion</v>
      </c>
      <c r="BJ493" s="40" t="str">
        <f ca="1">IFERROR(__xludf.DUMMYFUNCTION("""COMPUTED_VALUE"""),"Yamboro")</f>
        <v>Yamboro</v>
      </c>
      <c r="BK493" s="40"/>
      <c r="BL493" s="40"/>
    </row>
    <row r="494" spans="1:64" ht="13">
      <c r="A494" s="40"/>
      <c r="B494" s="40" t="str">
        <f ca="1">IFERROR(__xludf.DUMMYFUNCTION("""COMPUTED_VALUE"""),"FORMACIÓN 18/10/2022")</f>
        <v>FORMACIÓN 18/10/2022</v>
      </c>
      <c r="C494" s="40" t="str">
        <f ca="1">IFERROR(__xludf.DUMMYFUNCTION("""COMPUTED_VALUE"""),"CAMILA ANDREA REYES ROJAS")</f>
        <v>CAMILA ANDREA REYES ROJAS</v>
      </c>
      <c r="D494" s="40" t="str">
        <f ca="1">IFERROR(__xludf.DUMMYFUNCTION("""COMPUTED_VALUE"""),"CC")</f>
        <v>CC</v>
      </c>
      <c r="E494" s="40">
        <f ca="1">IFERROR(__xludf.DUMMYFUNCTION("""COMPUTED_VALUE"""),1083929383)</f>
        <v>1083929383</v>
      </c>
      <c r="F494" s="40">
        <f ca="1">IFERROR(__xludf.DUMMYFUNCTION("""COMPUTED_VALUE"""),1832952)</f>
        <v>1832952</v>
      </c>
      <c r="G494" s="40" t="str">
        <f ca="1">IFERROR(__xludf.DUMMYFUNCTION("""COMPUTED_VALUE"""),"TECNÓLOGO")</f>
        <v>TECNÓLOGO</v>
      </c>
      <c r="H494" s="40" t="str">
        <f ca="1">IFERROR(__xludf.DUMMYFUNCTION("""COMPUTED_VALUE"""),"PRODUCCIÓN AGROPECUARIA ECOLÓGICA")</f>
        <v>PRODUCCIÓN AGROPECUARIA ECOLÓGICA</v>
      </c>
      <c r="I494" s="40">
        <f ca="1">IFERROR(__xludf.DUMMYFUNCTION("""COMPUTED_VALUE"""),3219955461)</f>
        <v>3219955461</v>
      </c>
      <c r="J494" s="40" t="str">
        <f ca="1">IFERROR(__xludf.DUMMYFUNCTION("""COMPUTED_VALUE"""),"camilareyes1123@gmail.com")</f>
        <v>camilareyes1123@gmail.com</v>
      </c>
      <c r="K494" s="40" t="str">
        <f ca="1">IFERROR(__xludf.DUMMYFUNCTION("""COMPUTED_VALUE"""),"Pitalito")</f>
        <v>Pitalito</v>
      </c>
      <c r="L494" s="40" t="str">
        <f ca="1">IFERROR(__xludf.DUMMYFUNCTION("""COMPUTED_VALUE"""),"PASANTÍAS")</f>
        <v>PASANTÍAS</v>
      </c>
      <c r="M494" s="40" t="str">
        <f ca="1">IFERROR(__xludf.DUMMYFUNCTION("""COMPUTED_VALUE"""),"Mi Rancho")</f>
        <v>Mi Rancho</v>
      </c>
      <c r="N494" s="40" t="str">
        <f ca="1">IFERROR(__xludf.DUMMYFUNCTION("""COMPUTED_VALUE"""),"Carrera 5 #1-42 b/Centro")</f>
        <v>Carrera 5 #1-42 b/Centro</v>
      </c>
      <c r="O494" s="40">
        <f ca="1">IFERROR(__xludf.DUMMYFUNCTION("""COMPUTED_VALUE"""),3138954028)</f>
        <v>3138954028</v>
      </c>
      <c r="P494" s="40" t="str">
        <f ca="1">IFERROR(__xludf.DUMMYFUNCTION("""COMPUTED_VALUE"""),"Saladoblanco")</f>
        <v>Saladoblanco</v>
      </c>
      <c r="Q494" s="40" t="str">
        <f ca="1">IFERROR(__xludf.DUMMYFUNCTION("""COMPUTED_VALUE"""),"Carpes24@hotmail.com")</f>
        <v>Carpes24@hotmail.com</v>
      </c>
      <c r="R494" s="140">
        <f ca="1">IFERROR(__xludf.DUMMYFUNCTION("""COMPUTED_VALUE"""),44244)</f>
        <v>44244</v>
      </c>
      <c r="S494" s="140">
        <f ca="1">IFERROR(__xludf.DUMMYFUNCTION("""COMPUTED_VALUE"""),44456)</f>
        <v>44456</v>
      </c>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t="str">
        <f ca="1">IFERROR(__xludf.DUMMYFUNCTION("""COMPUTED_VALUE"""),"Procede_E_P")</f>
        <v>Procede_E_P</v>
      </c>
      <c r="AV494" s="40" t="str">
        <f ca="1">IFERROR(__xludf.DUMMYFUNCTION("""COMPUTED_VALUE"""),"EN FORMACION")</f>
        <v>EN FORMACION</v>
      </c>
      <c r="AW494" s="40" t="str">
        <f ca="1">IFERROR(__xludf.DUMMYFUNCTION("""COMPUTED_VALUE"""),"AGROPECUARIO")</f>
        <v>AGROPECUARIO</v>
      </c>
      <c r="AX494" s="141">
        <f ca="1">IFERROR(__xludf.DUMMYFUNCTION("""COMPUTED_VALUE"""),44848)</f>
        <v>44848</v>
      </c>
      <c r="AY494" s="40">
        <f ca="1">IFERROR(__xludf.DUMMYFUNCTION("""COMPUTED_VALUE"""),0)</f>
        <v>0</v>
      </c>
      <c r="AZ494" s="40">
        <f ca="1">IFERROR(__xludf.DUMMYFUNCTION("""COMPUTED_VALUE"""),1)</f>
        <v>1</v>
      </c>
      <c r="BA494" s="40">
        <f ca="1">IFERROR(__xludf.DUMMYFUNCTION("""COMPUTED_VALUE"""),0)</f>
        <v>0</v>
      </c>
      <c r="BB494" s="40">
        <f ca="1">IFERROR(__xludf.DUMMYFUNCTION("""COMPUTED_VALUE"""),0)</f>
        <v>0</v>
      </c>
      <c r="BC494" s="40">
        <f ca="1">IFERROR(__xludf.DUMMYFUNCTION("""COMPUTED_VALUE"""),1)</f>
        <v>1</v>
      </c>
      <c r="BD494" s="141">
        <f ca="1">IFERROR(__xludf.DUMMYFUNCTION("""COMPUTED_VALUE"""),43577)</f>
        <v>43577</v>
      </c>
      <c r="BE494" s="141">
        <f ca="1">IFERROR(__xludf.DUMMYFUNCTION("""COMPUTED_VALUE"""),44168)</f>
        <v>44168</v>
      </c>
      <c r="BF494" s="141">
        <f ca="1">IFERROR(__xludf.DUMMYFUNCTION("""COMPUTED_VALUE"""),44350)</f>
        <v>44350</v>
      </c>
      <c r="BG494" s="141">
        <f ca="1">IFERROR(__xludf.DUMMYFUNCTION("""COMPUTED_VALUE"""),44898)</f>
        <v>44898</v>
      </c>
      <c r="BH494" s="40" t="str">
        <f ca="1">IFERROR(__xludf.DUMMYFUNCTION("""COMPUTED_VALUE"""),"FICHA EN TIEMPO-18 MESES")</f>
        <v>FICHA EN TIEMPO-18 MESES</v>
      </c>
      <c r="BI494" s="40" t="str">
        <f ca="1">IFERROR(__xludf.DUMMYFUNCTION("""COMPUTED_VALUE"""),"Terminada por fecha")</f>
        <v>Terminada por fecha</v>
      </c>
      <c r="BJ494" s="40" t="str">
        <f ca="1">IFERROR(__xludf.DUMMYFUNCTION("""COMPUTED_VALUE"""),"Yamboro")</f>
        <v>Yamboro</v>
      </c>
      <c r="BK494" s="40"/>
      <c r="BL494" s="40"/>
    </row>
    <row r="495" spans="1:64" ht="13">
      <c r="A495" s="40"/>
      <c r="B495" s="40" t="str">
        <f ca="1">IFERROR(__xludf.DUMMYFUNCTION("""COMPUTED_VALUE"""),"FORMACIÓN 18/10/2022")</f>
        <v>FORMACIÓN 18/10/2022</v>
      </c>
      <c r="C495" s="40" t="str">
        <f ca="1">IFERROR(__xludf.DUMMYFUNCTION("""COMPUTED_VALUE"""),"JORGE ANDRES VIDAL CORREA")</f>
        <v>JORGE ANDRES VIDAL CORREA</v>
      </c>
      <c r="D495" s="40" t="str">
        <f ca="1">IFERROR(__xludf.DUMMYFUNCTION("""COMPUTED_VALUE"""),"CC")</f>
        <v>CC</v>
      </c>
      <c r="E495" s="40">
        <f ca="1">IFERROR(__xludf.DUMMYFUNCTION("""COMPUTED_VALUE"""),1004209672)</f>
        <v>1004209672</v>
      </c>
      <c r="F495" s="40">
        <f ca="1">IFERROR(__xludf.DUMMYFUNCTION("""COMPUTED_VALUE"""),1832952)</f>
        <v>1832952</v>
      </c>
      <c r="G495" s="40" t="str">
        <f ca="1">IFERROR(__xludf.DUMMYFUNCTION("""COMPUTED_VALUE"""),"TECNÓLOGO")</f>
        <v>TECNÓLOGO</v>
      </c>
      <c r="H495" s="40" t="str">
        <f ca="1">IFERROR(__xludf.DUMMYFUNCTION("""COMPUTED_VALUE"""),"PRODUCCIÓN AGROPECUARIA ECOLÓGICA")</f>
        <v>PRODUCCIÓN AGROPECUARIA ECOLÓGICA</v>
      </c>
      <c r="I495" s="40"/>
      <c r="J495" s="40"/>
      <c r="K495" s="40"/>
      <c r="L495" s="40" t="str">
        <f ca="1">IFERROR(__xludf.DUMMYFUNCTION("""COMPUTED_VALUE"""),"NO HA INICIADO ETAPA PRODUCTIVA")</f>
        <v>NO HA INICIADO ETAPA PRODUCTIVA</v>
      </c>
      <c r="M495" s="40"/>
      <c r="N495" s="40"/>
      <c r="O495" s="40"/>
      <c r="P495" s="40"/>
      <c r="Q495" s="40"/>
      <c r="R495" s="140"/>
      <c r="S495" s="1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t="str">
        <f ca="1">IFERROR(__xludf.DUMMYFUNCTION("""COMPUTED_VALUE"""),"Procede_E_P")</f>
        <v>Procede_E_P</v>
      </c>
      <c r="AV495" s="40" t="str">
        <f ca="1">IFERROR(__xludf.DUMMYFUNCTION("""COMPUTED_VALUE"""),"EN FORMACION")</f>
        <v>EN FORMACION</v>
      </c>
      <c r="AW495" s="40" t="str">
        <f ca="1">IFERROR(__xludf.DUMMYFUNCTION("""COMPUTED_VALUE"""),"AGROPECUARIO")</f>
        <v>AGROPECUARIO</v>
      </c>
      <c r="AX495" s="141">
        <f ca="1">IFERROR(__xludf.DUMMYFUNCTION("""COMPUTED_VALUE"""),44848)</f>
        <v>44848</v>
      </c>
      <c r="AY495" s="40">
        <f ca="1">IFERROR(__xludf.DUMMYFUNCTION("""COMPUTED_VALUE"""),0)</f>
        <v>0</v>
      </c>
      <c r="AZ495" s="40">
        <f ca="1">IFERROR(__xludf.DUMMYFUNCTION("""COMPUTED_VALUE"""),1)</f>
        <v>1</v>
      </c>
      <c r="BA495" s="40">
        <f ca="1">IFERROR(__xludf.DUMMYFUNCTION("""COMPUTED_VALUE"""),0)</f>
        <v>0</v>
      </c>
      <c r="BB495" s="40">
        <f ca="1">IFERROR(__xludf.DUMMYFUNCTION("""COMPUTED_VALUE"""),0)</f>
        <v>0</v>
      </c>
      <c r="BC495" s="40">
        <f ca="1">IFERROR(__xludf.DUMMYFUNCTION("""COMPUTED_VALUE"""),1)</f>
        <v>1</v>
      </c>
      <c r="BD495" s="141">
        <f ca="1">IFERROR(__xludf.DUMMYFUNCTION("""COMPUTED_VALUE"""),43577)</f>
        <v>43577</v>
      </c>
      <c r="BE495" s="141">
        <f ca="1">IFERROR(__xludf.DUMMYFUNCTION("""COMPUTED_VALUE"""),44168)</f>
        <v>44168</v>
      </c>
      <c r="BF495" s="141">
        <f ca="1">IFERROR(__xludf.DUMMYFUNCTION("""COMPUTED_VALUE"""),44350)</f>
        <v>44350</v>
      </c>
      <c r="BG495" s="141">
        <f ca="1">IFERROR(__xludf.DUMMYFUNCTION("""COMPUTED_VALUE"""),44898)</f>
        <v>44898</v>
      </c>
      <c r="BH495" s="40" t="str">
        <f ca="1">IFERROR(__xludf.DUMMYFUNCTION("""COMPUTED_VALUE"""),"FICHA EN TIEMPO-18 MESES")</f>
        <v>FICHA EN TIEMPO-18 MESES</v>
      </c>
      <c r="BI495" s="40" t="str">
        <f ca="1">IFERROR(__xludf.DUMMYFUNCTION("""COMPUTED_VALUE"""),"Terminada por fecha")</f>
        <v>Terminada por fecha</v>
      </c>
      <c r="BJ495" s="40" t="str">
        <f ca="1">IFERROR(__xludf.DUMMYFUNCTION("""COMPUTED_VALUE"""),"Yamboro")</f>
        <v>Yamboro</v>
      </c>
      <c r="BK495" s="40"/>
      <c r="BL495" s="40"/>
    </row>
    <row r="496" spans="1:64" ht="13">
      <c r="A496" s="40"/>
      <c r="B496" s="40" t="str">
        <f ca="1">IFERROR(__xludf.DUMMYFUNCTION("""COMPUTED_VALUE"""),"FORMACIÓN 18/10/2022")</f>
        <v>FORMACIÓN 18/10/2022</v>
      </c>
      <c r="C496" s="40" t="str">
        <f ca="1">IFERROR(__xludf.DUMMYFUNCTION("""COMPUTED_VALUE"""),"DIEGO FERNANDO RUIZ MAMIAN")</f>
        <v>DIEGO FERNANDO RUIZ MAMIAN</v>
      </c>
      <c r="D496" s="40" t="str">
        <f ca="1">IFERROR(__xludf.DUMMYFUNCTION("""COMPUTED_VALUE"""),"CC")</f>
        <v>CC</v>
      </c>
      <c r="E496" s="40">
        <f ca="1">IFERROR(__xludf.DUMMYFUNCTION("""COMPUTED_VALUE"""),1081702847)</f>
        <v>1081702847</v>
      </c>
      <c r="F496" s="40">
        <f ca="1">IFERROR(__xludf.DUMMYFUNCTION("""COMPUTED_VALUE"""),1832952)</f>
        <v>1832952</v>
      </c>
      <c r="G496" s="40" t="str">
        <f ca="1">IFERROR(__xludf.DUMMYFUNCTION("""COMPUTED_VALUE"""),"TECNÓLOGO")</f>
        <v>TECNÓLOGO</v>
      </c>
      <c r="H496" s="40" t="str">
        <f ca="1">IFERROR(__xludf.DUMMYFUNCTION("""COMPUTED_VALUE"""),"PRODUCCIÓN AGROPECUARIA ECOLÓGICA")</f>
        <v>PRODUCCIÓN AGROPECUARIA ECOLÓGICA</v>
      </c>
      <c r="I496" s="40"/>
      <c r="J496" s="40"/>
      <c r="K496" s="40"/>
      <c r="L496" s="40" t="str">
        <f ca="1">IFERROR(__xludf.DUMMYFUNCTION("""COMPUTED_VALUE"""),"NO HA INICIADO ETAPA PRODUCTIVA")</f>
        <v>NO HA INICIADO ETAPA PRODUCTIVA</v>
      </c>
      <c r="M496" s="40"/>
      <c r="N496" s="40"/>
      <c r="O496" s="40"/>
      <c r="P496" s="40"/>
      <c r="Q496" s="40"/>
      <c r="R496" s="140"/>
      <c r="S496" s="1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t="str">
        <f ca="1">IFERROR(__xludf.DUMMYFUNCTION("""COMPUTED_VALUE"""),"NO_CUMPLE")</f>
        <v>NO_CUMPLE</v>
      </c>
      <c r="AV496" s="40" t="str">
        <f ca="1">IFERROR(__xludf.DUMMYFUNCTION("""COMPUTED_VALUE"""),"EN FORMACION")</f>
        <v>EN FORMACION</v>
      </c>
      <c r="AW496" s="40" t="str">
        <f ca="1">IFERROR(__xludf.DUMMYFUNCTION("""COMPUTED_VALUE"""),"AGROPECUARIO")</f>
        <v>AGROPECUARIO</v>
      </c>
      <c r="AX496" s="141">
        <f ca="1">IFERROR(__xludf.DUMMYFUNCTION("""COMPUTED_VALUE"""),44848)</f>
        <v>44848</v>
      </c>
      <c r="AY496" s="40">
        <f ca="1">IFERROR(__xludf.DUMMYFUNCTION("""COMPUTED_VALUE"""),0)</f>
        <v>0</v>
      </c>
      <c r="AZ496" s="40">
        <f ca="1">IFERROR(__xludf.DUMMYFUNCTION("""COMPUTED_VALUE"""),1)</f>
        <v>1</v>
      </c>
      <c r="BA496" s="40">
        <f ca="1">IFERROR(__xludf.DUMMYFUNCTION("""COMPUTED_VALUE"""),15)</f>
        <v>15</v>
      </c>
      <c r="BB496" s="40">
        <f ca="1">IFERROR(__xludf.DUMMYFUNCTION("""COMPUTED_VALUE"""),3)</f>
        <v>3</v>
      </c>
      <c r="BC496" s="40">
        <f ca="1">IFERROR(__xludf.DUMMYFUNCTION("""COMPUTED_VALUE"""),19)</f>
        <v>19</v>
      </c>
      <c r="BD496" s="141">
        <f ca="1">IFERROR(__xludf.DUMMYFUNCTION("""COMPUTED_VALUE"""),43577)</f>
        <v>43577</v>
      </c>
      <c r="BE496" s="141">
        <f ca="1">IFERROR(__xludf.DUMMYFUNCTION("""COMPUTED_VALUE"""),44168)</f>
        <v>44168</v>
      </c>
      <c r="BF496" s="141">
        <f ca="1">IFERROR(__xludf.DUMMYFUNCTION("""COMPUTED_VALUE"""),44350)</f>
        <v>44350</v>
      </c>
      <c r="BG496" s="141">
        <f ca="1">IFERROR(__xludf.DUMMYFUNCTION("""COMPUTED_VALUE"""),44898)</f>
        <v>44898</v>
      </c>
      <c r="BH496" s="40" t="str">
        <f ca="1">IFERROR(__xludf.DUMMYFUNCTION("""COMPUTED_VALUE"""),"FICHA EN TIEMPO-18 MESES")</f>
        <v>FICHA EN TIEMPO-18 MESES</v>
      </c>
      <c r="BI496" s="40" t="str">
        <f ca="1">IFERROR(__xludf.DUMMYFUNCTION("""COMPUTED_VALUE"""),"Terminada por fecha")</f>
        <v>Terminada por fecha</v>
      </c>
      <c r="BJ496" s="40" t="str">
        <f ca="1">IFERROR(__xludf.DUMMYFUNCTION("""COMPUTED_VALUE"""),"Yamboro")</f>
        <v>Yamboro</v>
      </c>
      <c r="BK496" s="40"/>
      <c r="BL496" s="40"/>
    </row>
    <row r="497" spans="1:64" ht="13">
      <c r="A497" s="40"/>
      <c r="B497" s="40" t="str">
        <f ca="1">IFERROR(__xludf.DUMMYFUNCTION("""COMPUTED_VALUE"""),"FORMACIÓN 18/10/2022")</f>
        <v>FORMACIÓN 18/10/2022</v>
      </c>
      <c r="C497" s="40" t="str">
        <f ca="1">IFERROR(__xludf.DUMMYFUNCTION("""COMPUTED_VALUE"""),"FERNANDO CRUZ ORDOÑEZ")</f>
        <v>FERNANDO CRUZ ORDOÑEZ</v>
      </c>
      <c r="D497" s="40" t="str">
        <f ca="1">IFERROR(__xludf.DUMMYFUNCTION("""COMPUTED_VALUE"""),"CC")</f>
        <v>CC</v>
      </c>
      <c r="E497" s="40">
        <f ca="1">IFERROR(__xludf.DUMMYFUNCTION("""COMPUTED_VALUE"""),1082780220)</f>
        <v>1082780220</v>
      </c>
      <c r="F497" s="40">
        <f ca="1">IFERROR(__xludf.DUMMYFUNCTION("""COMPUTED_VALUE"""),1832952)</f>
        <v>1832952</v>
      </c>
      <c r="G497" s="40" t="str">
        <f ca="1">IFERROR(__xludf.DUMMYFUNCTION("""COMPUTED_VALUE"""),"TECNÓLOGO")</f>
        <v>TECNÓLOGO</v>
      </c>
      <c r="H497" s="40" t="str">
        <f ca="1">IFERROR(__xludf.DUMMYFUNCTION("""COMPUTED_VALUE"""),"PRODUCCIÓN AGROPECUARIA ECOLÓGICA")</f>
        <v>PRODUCCIÓN AGROPECUARIA ECOLÓGICA</v>
      </c>
      <c r="I497" s="40"/>
      <c r="J497" s="40"/>
      <c r="K497" s="40"/>
      <c r="L497" s="40" t="str">
        <f ca="1">IFERROR(__xludf.DUMMYFUNCTION("""COMPUTED_VALUE"""),"NO HA INICIADO ETAPA PRODUCTIVA")</f>
        <v>NO HA INICIADO ETAPA PRODUCTIVA</v>
      </c>
      <c r="M497" s="40"/>
      <c r="N497" s="40"/>
      <c r="O497" s="40"/>
      <c r="P497" s="40"/>
      <c r="Q497" s="40"/>
      <c r="R497" s="140"/>
      <c r="S497" s="1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t="str">
        <f ca="1">IFERROR(__xludf.DUMMYFUNCTION("""COMPUTED_VALUE"""),"NO_CUMPLE")</f>
        <v>NO_CUMPLE</v>
      </c>
      <c r="AV497" s="40" t="str">
        <f ca="1">IFERROR(__xludf.DUMMYFUNCTION("""COMPUTED_VALUE"""),"EN FORMACION")</f>
        <v>EN FORMACION</v>
      </c>
      <c r="AW497" s="40" t="str">
        <f ca="1">IFERROR(__xludf.DUMMYFUNCTION("""COMPUTED_VALUE"""),"AGROPECUARIO")</f>
        <v>AGROPECUARIO</v>
      </c>
      <c r="AX497" s="141">
        <f ca="1">IFERROR(__xludf.DUMMYFUNCTION("""COMPUTED_VALUE"""),44848)</f>
        <v>44848</v>
      </c>
      <c r="AY497" s="40">
        <f ca="1">IFERROR(__xludf.DUMMYFUNCTION("""COMPUTED_VALUE"""),0)</f>
        <v>0</v>
      </c>
      <c r="AZ497" s="40">
        <f ca="1">IFERROR(__xludf.DUMMYFUNCTION("""COMPUTED_VALUE"""),1)</f>
        <v>1</v>
      </c>
      <c r="BA497" s="40">
        <f ca="1">IFERROR(__xludf.DUMMYFUNCTION("""COMPUTED_VALUE"""),15)</f>
        <v>15</v>
      </c>
      <c r="BB497" s="40">
        <f ca="1">IFERROR(__xludf.DUMMYFUNCTION("""COMPUTED_VALUE"""),25)</f>
        <v>25</v>
      </c>
      <c r="BC497" s="40">
        <f ca="1">IFERROR(__xludf.DUMMYFUNCTION("""COMPUTED_VALUE"""),41)</f>
        <v>41</v>
      </c>
      <c r="BD497" s="141">
        <f ca="1">IFERROR(__xludf.DUMMYFUNCTION("""COMPUTED_VALUE"""),43577)</f>
        <v>43577</v>
      </c>
      <c r="BE497" s="141">
        <f ca="1">IFERROR(__xludf.DUMMYFUNCTION("""COMPUTED_VALUE"""),44168)</f>
        <v>44168</v>
      </c>
      <c r="BF497" s="141">
        <f ca="1">IFERROR(__xludf.DUMMYFUNCTION("""COMPUTED_VALUE"""),44350)</f>
        <v>44350</v>
      </c>
      <c r="BG497" s="141">
        <f ca="1">IFERROR(__xludf.DUMMYFUNCTION("""COMPUTED_VALUE"""),44898)</f>
        <v>44898</v>
      </c>
      <c r="BH497" s="40" t="str">
        <f ca="1">IFERROR(__xludf.DUMMYFUNCTION("""COMPUTED_VALUE"""),"FICHA EN TIEMPO-18 MESES")</f>
        <v>FICHA EN TIEMPO-18 MESES</v>
      </c>
      <c r="BI497" s="40" t="str">
        <f ca="1">IFERROR(__xludf.DUMMYFUNCTION("""COMPUTED_VALUE"""),"Terminada por fecha")</f>
        <v>Terminada por fecha</v>
      </c>
      <c r="BJ497" s="40" t="str">
        <f ca="1">IFERROR(__xludf.DUMMYFUNCTION("""COMPUTED_VALUE"""),"Yamboro")</f>
        <v>Yamboro</v>
      </c>
      <c r="BK497" s="40"/>
      <c r="BL497" s="40"/>
    </row>
    <row r="498" spans="1:64" ht="13">
      <c r="A498" s="40"/>
      <c r="B498" s="40" t="str">
        <f ca="1">IFERROR(__xludf.DUMMYFUNCTION("""COMPUTED_VALUE"""),"APLAZADO  18/10/2022")</f>
        <v>APLAZADO  18/10/2022</v>
      </c>
      <c r="C498" s="40" t="str">
        <f ca="1">IFERROR(__xludf.DUMMYFUNCTION("""COMPUTED_VALUE"""),"JEAN CARLOS MAZABEL CABRERA")</f>
        <v>JEAN CARLOS MAZABEL CABRERA</v>
      </c>
      <c r="D498" s="40" t="str">
        <f ca="1">IFERROR(__xludf.DUMMYFUNCTION("""COMPUTED_VALUE"""),"CC")</f>
        <v>CC</v>
      </c>
      <c r="E498" s="40">
        <f ca="1">IFERROR(__xludf.DUMMYFUNCTION("""COMPUTED_VALUE"""),1004493218)</f>
        <v>1004493218</v>
      </c>
      <c r="F498" s="40">
        <f ca="1">IFERROR(__xludf.DUMMYFUNCTION("""COMPUTED_VALUE"""),1832952)</f>
        <v>1832952</v>
      </c>
      <c r="G498" s="40" t="str">
        <f ca="1">IFERROR(__xludf.DUMMYFUNCTION("""COMPUTED_VALUE"""),"TECNÓLOGO")</f>
        <v>TECNÓLOGO</v>
      </c>
      <c r="H498" s="40" t="str">
        <f ca="1">IFERROR(__xludf.DUMMYFUNCTION("""COMPUTED_VALUE"""),"PRODUCCIÓN AGROPECUARIA ECOLÓGICA")</f>
        <v>PRODUCCIÓN AGROPECUARIA ECOLÓGICA</v>
      </c>
      <c r="I498" s="40"/>
      <c r="J498" s="40"/>
      <c r="K498" s="40"/>
      <c r="L498" s="40" t="str">
        <f ca="1">IFERROR(__xludf.DUMMYFUNCTION("""COMPUTED_VALUE"""),"NO HA INICIADO ETAPA PRODUCTIVA")</f>
        <v>NO HA INICIADO ETAPA PRODUCTIVA</v>
      </c>
      <c r="M498" s="40"/>
      <c r="N498" s="40"/>
      <c r="O498" s="40"/>
      <c r="P498" s="40"/>
      <c r="Q498" s="40"/>
      <c r="R498" s="140"/>
      <c r="S498" s="1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t="str">
        <f ca="1">IFERROR(__xludf.DUMMYFUNCTION("""COMPUTED_VALUE"""),"NO_CUMPLE")</f>
        <v>NO_CUMPLE</v>
      </c>
      <c r="AV498" s="40" t="str">
        <f ca="1">IFERROR(__xludf.DUMMYFUNCTION("""COMPUTED_VALUE"""),"APLAZADO")</f>
        <v>APLAZADO</v>
      </c>
      <c r="AW498" s="40" t="str">
        <f ca="1">IFERROR(__xludf.DUMMYFUNCTION("""COMPUTED_VALUE"""),"AGROPECUARIO")</f>
        <v>AGROPECUARIO</v>
      </c>
      <c r="AX498" s="141">
        <f ca="1">IFERROR(__xludf.DUMMYFUNCTION("""COMPUTED_VALUE"""),44848)</f>
        <v>44848</v>
      </c>
      <c r="AY498" s="40">
        <f ca="1">IFERROR(__xludf.DUMMYFUNCTION("""COMPUTED_VALUE"""),0)</f>
        <v>0</v>
      </c>
      <c r="AZ498" s="40">
        <f ca="1">IFERROR(__xludf.DUMMYFUNCTION("""COMPUTED_VALUE"""),1)</f>
        <v>1</v>
      </c>
      <c r="BA498" s="40">
        <f ca="1">IFERROR(__xludf.DUMMYFUNCTION("""COMPUTED_VALUE"""),15)</f>
        <v>15</v>
      </c>
      <c r="BB498" s="40">
        <f ca="1">IFERROR(__xludf.DUMMYFUNCTION("""COMPUTED_VALUE"""),20)</f>
        <v>20</v>
      </c>
      <c r="BC498" s="40">
        <f ca="1">IFERROR(__xludf.DUMMYFUNCTION("""COMPUTED_VALUE"""),36)</f>
        <v>36</v>
      </c>
      <c r="BD498" s="141">
        <f ca="1">IFERROR(__xludf.DUMMYFUNCTION("""COMPUTED_VALUE"""),43577)</f>
        <v>43577</v>
      </c>
      <c r="BE498" s="141">
        <f ca="1">IFERROR(__xludf.DUMMYFUNCTION("""COMPUTED_VALUE"""),44168)</f>
        <v>44168</v>
      </c>
      <c r="BF498" s="141">
        <f ca="1">IFERROR(__xludf.DUMMYFUNCTION("""COMPUTED_VALUE"""),44350)</f>
        <v>44350</v>
      </c>
      <c r="BG498" s="141">
        <f ca="1">IFERROR(__xludf.DUMMYFUNCTION("""COMPUTED_VALUE"""),44898)</f>
        <v>44898</v>
      </c>
      <c r="BH498" s="40" t="str">
        <f ca="1">IFERROR(__xludf.DUMMYFUNCTION("""COMPUTED_VALUE"""),"FICHA EN TIEMPO-18 MESES")</f>
        <v>FICHA EN TIEMPO-18 MESES</v>
      </c>
      <c r="BI498" s="40" t="str">
        <f ca="1">IFERROR(__xludf.DUMMYFUNCTION("""COMPUTED_VALUE"""),"Terminada por fecha")</f>
        <v>Terminada por fecha</v>
      </c>
      <c r="BJ498" s="40" t="str">
        <f ca="1">IFERROR(__xludf.DUMMYFUNCTION("""COMPUTED_VALUE"""),"Yamboro")</f>
        <v>Yamboro</v>
      </c>
      <c r="BK498" s="40"/>
      <c r="BL498" s="40"/>
    </row>
    <row r="499" spans="1:64" ht="13">
      <c r="A499" s="40"/>
      <c r="B499" s="40" t="str">
        <f ca="1">IFERROR(__xludf.DUMMYFUNCTION("""COMPUTED_VALUE"""),"APLAZADO  18/10/2022")</f>
        <v>APLAZADO  18/10/2022</v>
      </c>
      <c r="C499" s="40" t="str">
        <f ca="1">IFERROR(__xludf.DUMMYFUNCTION("""COMPUTED_VALUE"""),"DIEGO ALEJANDRO CRUZ AMAYA")</f>
        <v>DIEGO ALEJANDRO CRUZ AMAYA</v>
      </c>
      <c r="D499" s="40" t="str">
        <f ca="1">IFERROR(__xludf.DUMMYFUNCTION("""COMPUTED_VALUE"""),"CC")</f>
        <v>CC</v>
      </c>
      <c r="E499" s="40">
        <f ca="1">IFERROR(__xludf.DUMMYFUNCTION("""COMPUTED_VALUE"""),1007194761)</f>
        <v>1007194761</v>
      </c>
      <c r="F499" s="40">
        <f ca="1">IFERROR(__xludf.DUMMYFUNCTION("""COMPUTED_VALUE"""),1832952)</f>
        <v>1832952</v>
      </c>
      <c r="G499" s="40" t="str">
        <f ca="1">IFERROR(__xludf.DUMMYFUNCTION("""COMPUTED_VALUE"""),"TECNÓLOGO")</f>
        <v>TECNÓLOGO</v>
      </c>
      <c r="H499" s="40" t="str">
        <f ca="1">IFERROR(__xludf.DUMMYFUNCTION("""COMPUTED_VALUE"""),"PRODUCCIÓN AGROPECUARIA ECOLÓGICA")</f>
        <v>PRODUCCIÓN AGROPECUARIA ECOLÓGICA</v>
      </c>
      <c r="I499" s="40"/>
      <c r="J499" s="40"/>
      <c r="K499" s="40"/>
      <c r="L499" s="40" t="str">
        <f ca="1">IFERROR(__xludf.DUMMYFUNCTION("""COMPUTED_VALUE"""),"NO HA INICIADO ETAPA PRODUCTIVA")</f>
        <v>NO HA INICIADO ETAPA PRODUCTIVA</v>
      </c>
      <c r="M499" s="40"/>
      <c r="N499" s="40"/>
      <c r="O499" s="40"/>
      <c r="P499" s="40"/>
      <c r="Q499" s="40"/>
      <c r="R499" s="140"/>
      <c r="S499" s="1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t="str">
        <f ca="1">IFERROR(__xludf.DUMMYFUNCTION("""COMPUTED_VALUE"""),"NO_CUMPLE")</f>
        <v>NO_CUMPLE</v>
      </c>
      <c r="AV499" s="40" t="str">
        <f ca="1">IFERROR(__xludf.DUMMYFUNCTION("""COMPUTED_VALUE"""),"APLAZADO")</f>
        <v>APLAZADO</v>
      </c>
      <c r="AW499" s="40" t="str">
        <f ca="1">IFERROR(__xludf.DUMMYFUNCTION("""COMPUTED_VALUE"""),"AGROPECUARIO")</f>
        <v>AGROPECUARIO</v>
      </c>
      <c r="AX499" s="141">
        <f ca="1">IFERROR(__xludf.DUMMYFUNCTION("""COMPUTED_VALUE"""),44848)</f>
        <v>44848</v>
      </c>
      <c r="AY499" s="40">
        <f ca="1">IFERROR(__xludf.DUMMYFUNCTION("""COMPUTED_VALUE"""),0)</f>
        <v>0</v>
      </c>
      <c r="AZ499" s="40">
        <f ca="1">IFERROR(__xludf.DUMMYFUNCTION("""COMPUTED_VALUE"""),1)</f>
        <v>1</v>
      </c>
      <c r="BA499" s="40">
        <f ca="1">IFERROR(__xludf.DUMMYFUNCTION("""COMPUTED_VALUE"""),15)</f>
        <v>15</v>
      </c>
      <c r="BB499" s="40">
        <f ca="1">IFERROR(__xludf.DUMMYFUNCTION("""COMPUTED_VALUE"""),16)</f>
        <v>16</v>
      </c>
      <c r="BC499" s="40">
        <f ca="1">IFERROR(__xludf.DUMMYFUNCTION("""COMPUTED_VALUE"""),32)</f>
        <v>32</v>
      </c>
      <c r="BD499" s="141">
        <f ca="1">IFERROR(__xludf.DUMMYFUNCTION("""COMPUTED_VALUE"""),43577)</f>
        <v>43577</v>
      </c>
      <c r="BE499" s="141">
        <f ca="1">IFERROR(__xludf.DUMMYFUNCTION("""COMPUTED_VALUE"""),44168)</f>
        <v>44168</v>
      </c>
      <c r="BF499" s="141">
        <f ca="1">IFERROR(__xludf.DUMMYFUNCTION("""COMPUTED_VALUE"""),44350)</f>
        <v>44350</v>
      </c>
      <c r="BG499" s="141">
        <f ca="1">IFERROR(__xludf.DUMMYFUNCTION("""COMPUTED_VALUE"""),44898)</f>
        <v>44898</v>
      </c>
      <c r="BH499" s="40" t="str">
        <f ca="1">IFERROR(__xludf.DUMMYFUNCTION("""COMPUTED_VALUE"""),"FICHA EN TIEMPO-18 MESES")</f>
        <v>FICHA EN TIEMPO-18 MESES</v>
      </c>
      <c r="BI499" s="40" t="str">
        <f ca="1">IFERROR(__xludf.DUMMYFUNCTION("""COMPUTED_VALUE"""),"Terminada por fecha")</f>
        <v>Terminada por fecha</v>
      </c>
      <c r="BJ499" s="40" t="str">
        <f ca="1">IFERROR(__xludf.DUMMYFUNCTION("""COMPUTED_VALUE"""),"Yamboro")</f>
        <v>Yamboro</v>
      </c>
      <c r="BK499" s="40"/>
      <c r="BL499" s="40"/>
    </row>
    <row r="500" spans="1:64" ht="13">
      <c r="A500" s="40"/>
      <c r="B500" s="40" t="str">
        <f ca="1">IFERROR(__xludf.DUMMYFUNCTION("""COMPUTED_VALUE"""),"APLAZADO  18/10/2022")</f>
        <v>APLAZADO  18/10/2022</v>
      </c>
      <c r="C500" s="40" t="str">
        <f ca="1">IFERROR(__xludf.DUMMYFUNCTION("""COMPUTED_VALUE"""),"DIEGO FERNANDO ANACONA GUAÑARITA")</f>
        <v>DIEGO FERNANDO ANACONA GUAÑARITA</v>
      </c>
      <c r="D500" s="40" t="str">
        <f ca="1">IFERROR(__xludf.DUMMYFUNCTION("""COMPUTED_VALUE"""),"TI")</f>
        <v>TI</v>
      </c>
      <c r="E500" s="40">
        <f ca="1">IFERROR(__xludf.DUMMYFUNCTION("""COMPUTED_VALUE"""),1007520875)</f>
        <v>1007520875</v>
      </c>
      <c r="F500" s="40">
        <f ca="1">IFERROR(__xludf.DUMMYFUNCTION("""COMPUTED_VALUE"""),1832952)</f>
        <v>1832952</v>
      </c>
      <c r="G500" s="40" t="str">
        <f ca="1">IFERROR(__xludf.DUMMYFUNCTION("""COMPUTED_VALUE"""),"TECNÓLOGO")</f>
        <v>TECNÓLOGO</v>
      </c>
      <c r="H500" s="40" t="str">
        <f ca="1">IFERROR(__xludf.DUMMYFUNCTION("""COMPUTED_VALUE"""),"PRODUCCIÓN AGROPECUARIA ECOLÓGICA")</f>
        <v>PRODUCCIÓN AGROPECUARIA ECOLÓGICA</v>
      </c>
      <c r="I500" s="40"/>
      <c r="J500" s="40"/>
      <c r="K500" s="40"/>
      <c r="L500" s="40" t="str">
        <f ca="1">IFERROR(__xludf.DUMMYFUNCTION("""COMPUTED_VALUE"""),"NO HA INICIADO ETAPA PRODUCTIVA")</f>
        <v>NO HA INICIADO ETAPA PRODUCTIVA</v>
      </c>
      <c r="M500" s="40"/>
      <c r="N500" s="40"/>
      <c r="O500" s="40"/>
      <c r="P500" s="40"/>
      <c r="Q500" s="40"/>
      <c r="R500" s="140"/>
      <c r="S500" s="1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t="str">
        <f ca="1">IFERROR(__xludf.DUMMYFUNCTION("""COMPUTED_VALUE"""),"NO_CUMPLE")</f>
        <v>NO_CUMPLE</v>
      </c>
      <c r="AV500" s="40" t="str">
        <f ca="1">IFERROR(__xludf.DUMMYFUNCTION("""COMPUTED_VALUE"""),"APLAZADO")</f>
        <v>APLAZADO</v>
      </c>
      <c r="AW500" s="40" t="str">
        <f ca="1">IFERROR(__xludf.DUMMYFUNCTION("""COMPUTED_VALUE"""),"AGROPECUARIO")</f>
        <v>AGROPECUARIO</v>
      </c>
      <c r="AX500" s="141">
        <f ca="1">IFERROR(__xludf.DUMMYFUNCTION("""COMPUTED_VALUE"""),44848)</f>
        <v>44848</v>
      </c>
      <c r="AY500" s="40">
        <f ca="1">IFERROR(__xludf.DUMMYFUNCTION("""COMPUTED_VALUE"""),0)</f>
        <v>0</v>
      </c>
      <c r="AZ500" s="40">
        <f ca="1">IFERROR(__xludf.DUMMYFUNCTION("""COMPUTED_VALUE"""),1)</f>
        <v>1</v>
      </c>
      <c r="BA500" s="40">
        <f ca="1">IFERROR(__xludf.DUMMYFUNCTION("""COMPUTED_VALUE"""),15)</f>
        <v>15</v>
      </c>
      <c r="BB500" s="40">
        <f ca="1">IFERROR(__xludf.DUMMYFUNCTION("""COMPUTED_VALUE"""),20)</f>
        <v>20</v>
      </c>
      <c r="BC500" s="40">
        <f ca="1">IFERROR(__xludf.DUMMYFUNCTION("""COMPUTED_VALUE"""),36)</f>
        <v>36</v>
      </c>
      <c r="BD500" s="141">
        <f ca="1">IFERROR(__xludf.DUMMYFUNCTION("""COMPUTED_VALUE"""),43577)</f>
        <v>43577</v>
      </c>
      <c r="BE500" s="141">
        <f ca="1">IFERROR(__xludf.DUMMYFUNCTION("""COMPUTED_VALUE"""),44168)</f>
        <v>44168</v>
      </c>
      <c r="BF500" s="141">
        <f ca="1">IFERROR(__xludf.DUMMYFUNCTION("""COMPUTED_VALUE"""),44350)</f>
        <v>44350</v>
      </c>
      <c r="BG500" s="141">
        <f ca="1">IFERROR(__xludf.DUMMYFUNCTION("""COMPUTED_VALUE"""),44898)</f>
        <v>44898</v>
      </c>
      <c r="BH500" s="40" t="str">
        <f ca="1">IFERROR(__xludf.DUMMYFUNCTION("""COMPUTED_VALUE"""),"FICHA EN TIEMPO-18 MESES")</f>
        <v>FICHA EN TIEMPO-18 MESES</v>
      </c>
      <c r="BI500" s="40" t="str">
        <f ca="1">IFERROR(__xludf.DUMMYFUNCTION("""COMPUTED_VALUE"""),"Terminada por fecha")</f>
        <v>Terminada por fecha</v>
      </c>
      <c r="BJ500" s="40" t="str">
        <f ca="1">IFERROR(__xludf.DUMMYFUNCTION("""COMPUTED_VALUE"""),"Yamboro")</f>
        <v>Yamboro</v>
      </c>
      <c r="BK500" s="40"/>
      <c r="BL500" s="40"/>
    </row>
    <row r="501" spans="1:64" ht="13">
      <c r="A501" s="40"/>
      <c r="B501" s="40" t="str">
        <f ca="1">IFERROR(__xludf.DUMMYFUNCTION("""COMPUTED_VALUE"""),"APLAZADO  18/10/2022")</f>
        <v>APLAZADO  18/10/2022</v>
      </c>
      <c r="C501" s="40" t="str">
        <f ca="1">IFERROR(__xludf.DUMMYFUNCTION("""COMPUTED_VALUE"""),"OMAR JULIAN ROJAS RODRIGUEZ")</f>
        <v>OMAR JULIAN ROJAS RODRIGUEZ</v>
      </c>
      <c r="D501" s="40" t="str">
        <f ca="1">IFERROR(__xludf.DUMMYFUNCTION("""COMPUTED_VALUE"""),"CC")</f>
        <v>CC</v>
      </c>
      <c r="E501" s="40">
        <f ca="1">IFERROR(__xludf.DUMMYFUNCTION("""COMPUTED_VALUE"""),1081702474)</f>
        <v>1081702474</v>
      </c>
      <c r="F501" s="40">
        <f ca="1">IFERROR(__xludf.DUMMYFUNCTION("""COMPUTED_VALUE"""),1832952)</f>
        <v>1832952</v>
      </c>
      <c r="G501" s="40" t="str">
        <f ca="1">IFERROR(__xludf.DUMMYFUNCTION("""COMPUTED_VALUE"""),"TECNÓLOGO")</f>
        <v>TECNÓLOGO</v>
      </c>
      <c r="H501" s="40" t="str">
        <f ca="1">IFERROR(__xludf.DUMMYFUNCTION("""COMPUTED_VALUE"""),"PRODUCCIÓN AGROPECUARIA ECOLÓGICA")</f>
        <v>PRODUCCIÓN AGROPECUARIA ECOLÓGICA</v>
      </c>
      <c r="I501" s="40"/>
      <c r="J501" s="40"/>
      <c r="K501" s="40"/>
      <c r="L501" s="40" t="str">
        <f ca="1">IFERROR(__xludf.DUMMYFUNCTION("""COMPUTED_VALUE"""),"NO HA INICIADO ETAPA PRODUCTIVA")</f>
        <v>NO HA INICIADO ETAPA PRODUCTIVA</v>
      </c>
      <c r="M501" s="40"/>
      <c r="N501" s="40"/>
      <c r="O501" s="40"/>
      <c r="P501" s="40"/>
      <c r="Q501" s="40"/>
      <c r="R501" s="140"/>
      <c r="S501" s="1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t="str">
        <f ca="1">IFERROR(__xludf.DUMMYFUNCTION("""COMPUTED_VALUE"""),"NO_CUMPLE")</f>
        <v>NO_CUMPLE</v>
      </c>
      <c r="AV501" s="40" t="str">
        <f ca="1">IFERROR(__xludf.DUMMYFUNCTION("""COMPUTED_VALUE"""),"APLAZADO")</f>
        <v>APLAZADO</v>
      </c>
      <c r="AW501" s="40" t="str">
        <f ca="1">IFERROR(__xludf.DUMMYFUNCTION("""COMPUTED_VALUE"""),"AGROPECUARIO")</f>
        <v>AGROPECUARIO</v>
      </c>
      <c r="AX501" s="141">
        <f ca="1">IFERROR(__xludf.DUMMYFUNCTION("""COMPUTED_VALUE"""),44848)</f>
        <v>44848</v>
      </c>
      <c r="AY501" s="40">
        <f ca="1">IFERROR(__xludf.DUMMYFUNCTION("""COMPUTED_VALUE"""),0)</f>
        <v>0</v>
      </c>
      <c r="AZ501" s="40">
        <f ca="1">IFERROR(__xludf.DUMMYFUNCTION("""COMPUTED_VALUE"""),1)</f>
        <v>1</v>
      </c>
      <c r="BA501" s="40">
        <f ca="1">IFERROR(__xludf.DUMMYFUNCTION("""COMPUTED_VALUE"""),15)</f>
        <v>15</v>
      </c>
      <c r="BB501" s="40">
        <f ca="1">IFERROR(__xludf.DUMMYFUNCTION("""COMPUTED_VALUE"""),19)</f>
        <v>19</v>
      </c>
      <c r="BC501" s="40">
        <f ca="1">IFERROR(__xludf.DUMMYFUNCTION("""COMPUTED_VALUE"""),35)</f>
        <v>35</v>
      </c>
      <c r="BD501" s="141">
        <f ca="1">IFERROR(__xludf.DUMMYFUNCTION("""COMPUTED_VALUE"""),43577)</f>
        <v>43577</v>
      </c>
      <c r="BE501" s="141">
        <f ca="1">IFERROR(__xludf.DUMMYFUNCTION("""COMPUTED_VALUE"""),44168)</f>
        <v>44168</v>
      </c>
      <c r="BF501" s="141">
        <f ca="1">IFERROR(__xludf.DUMMYFUNCTION("""COMPUTED_VALUE"""),44350)</f>
        <v>44350</v>
      </c>
      <c r="BG501" s="141">
        <f ca="1">IFERROR(__xludf.DUMMYFUNCTION("""COMPUTED_VALUE"""),44898)</f>
        <v>44898</v>
      </c>
      <c r="BH501" s="40" t="str">
        <f ca="1">IFERROR(__xludf.DUMMYFUNCTION("""COMPUTED_VALUE"""),"FICHA EN TIEMPO-18 MESES")</f>
        <v>FICHA EN TIEMPO-18 MESES</v>
      </c>
      <c r="BI501" s="40" t="str">
        <f ca="1">IFERROR(__xludf.DUMMYFUNCTION("""COMPUTED_VALUE"""),"Terminada por fecha")</f>
        <v>Terminada por fecha</v>
      </c>
      <c r="BJ501" s="40" t="str">
        <f ca="1">IFERROR(__xludf.DUMMYFUNCTION("""COMPUTED_VALUE"""),"Yamboro")</f>
        <v>Yamboro</v>
      </c>
      <c r="BK501" s="40"/>
      <c r="BL501" s="40"/>
    </row>
    <row r="502" spans="1:64" ht="13">
      <c r="A502" s="40"/>
      <c r="B502" s="40" t="str">
        <f ca="1">IFERROR(__xludf.DUMMYFUNCTION("""COMPUTED_VALUE"""),"FORMACIÓN 18/10/2022")</f>
        <v>FORMACIÓN 18/10/2022</v>
      </c>
      <c r="C502" s="40" t="str">
        <f ca="1">IFERROR(__xludf.DUMMYFUNCTION("""COMPUTED_VALUE"""),"JUAN DIEGO BERMUDES VARGAS")</f>
        <v>JUAN DIEGO BERMUDES VARGAS</v>
      </c>
      <c r="D502" s="40" t="str">
        <f ca="1">IFERROR(__xludf.DUMMYFUNCTION("""COMPUTED_VALUE"""),"CC")</f>
        <v>CC</v>
      </c>
      <c r="E502" s="40">
        <f ca="1">IFERROR(__xludf.DUMMYFUNCTION("""COMPUTED_VALUE"""),1083921061)</f>
        <v>1083921061</v>
      </c>
      <c r="F502" s="40">
        <f ca="1">IFERROR(__xludf.DUMMYFUNCTION("""COMPUTED_VALUE"""),1802847)</f>
        <v>1802847</v>
      </c>
      <c r="G502" s="40" t="str">
        <f ca="1">IFERROR(__xludf.DUMMYFUNCTION("""COMPUTED_VALUE"""),"TÉCNICO")</f>
        <v>TÉCNICO</v>
      </c>
      <c r="H502" s="40" t="str">
        <f ca="1">IFERROR(__xludf.DUMMYFUNCTION("""COMPUTED_VALUE"""),"SERVICIOS DE BARISMO")</f>
        <v>SERVICIOS DE BARISMO</v>
      </c>
      <c r="I502" s="40">
        <f ca="1">IFERROR(__xludf.DUMMYFUNCTION("""COMPUTED_VALUE"""),3125650419)</f>
        <v>3125650419</v>
      </c>
      <c r="J502" s="40"/>
      <c r="K502" s="40"/>
      <c r="L502" s="40" t="str">
        <f ca="1">IFERROR(__xludf.DUMMYFUNCTION("""COMPUTED_VALUE"""),"VINCULACIÓN LABORAL")</f>
        <v>VINCULACIÓN LABORAL</v>
      </c>
      <c r="M502" s="40" t="str">
        <f ca="1">IFERROR(__xludf.DUMMYFUNCTION("""COMPUTED_VALUE"""),"CAFÉ KMANA S.A.S")</f>
        <v>CAFÉ KMANA S.A.S</v>
      </c>
      <c r="N502" s="40" t="str">
        <f ca="1">IFERROR(__xludf.DUMMYFUNCTION("""COMPUTED_VALUE"""),"Timaná")</f>
        <v>Timaná</v>
      </c>
      <c r="O502" s="40"/>
      <c r="P502" s="40" t="str">
        <f ca="1">IFERROR(__xludf.DUMMYFUNCTION("""COMPUTED_VALUE"""),"TIMANÁ")</f>
        <v>TIMANÁ</v>
      </c>
      <c r="Q502" s="40"/>
      <c r="R502" s="140"/>
      <c r="S502" s="1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t="str">
        <f ca="1">IFERROR(__xludf.DUMMYFUNCTION("""COMPUTED_VALUE"""),"Procede_E_P")</f>
        <v>Procede_E_P</v>
      </c>
      <c r="AV502" s="40" t="str">
        <f ca="1">IFERROR(__xludf.DUMMYFUNCTION("""COMPUTED_VALUE"""),"EN FORMACION")</f>
        <v>EN FORMACION</v>
      </c>
      <c r="AW502" s="40" t="str">
        <f ca="1">IFERROR(__xludf.DUMMYFUNCTION("""COMPUTED_VALUE"""),"TURISMO")</f>
        <v>TURISMO</v>
      </c>
      <c r="AX502" s="141">
        <f ca="1">IFERROR(__xludf.DUMMYFUNCTION("""COMPUTED_VALUE"""),44848)</f>
        <v>44848</v>
      </c>
      <c r="AY502" s="40">
        <f ca="1">IFERROR(__xludf.DUMMYFUNCTION("""COMPUTED_VALUE"""),0)</f>
        <v>0</v>
      </c>
      <c r="AZ502" s="40">
        <f ca="1">IFERROR(__xludf.DUMMYFUNCTION("""COMPUTED_VALUE"""),1)</f>
        <v>1</v>
      </c>
      <c r="BA502" s="40">
        <f ca="1">IFERROR(__xludf.DUMMYFUNCTION("""COMPUTED_VALUE"""),0)</f>
        <v>0</v>
      </c>
      <c r="BB502" s="40">
        <f ca="1">IFERROR(__xludf.DUMMYFUNCTION("""COMPUTED_VALUE"""),0)</f>
        <v>0</v>
      </c>
      <c r="BC502" s="40">
        <f ca="1">IFERROR(__xludf.DUMMYFUNCTION("""COMPUTED_VALUE"""),1)</f>
        <v>1</v>
      </c>
      <c r="BD502" s="141">
        <f ca="1">IFERROR(__xludf.DUMMYFUNCTION("""COMPUTED_VALUE"""),43493)</f>
        <v>43493</v>
      </c>
      <c r="BE502" s="141">
        <f ca="1">IFERROR(__xludf.DUMMYFUNCTION("""COMPUTED_VALUE"""),43766)</f>
        <v>43766</v>
      </c>
      <c r="BF502" s="141">
        <f ca="1">IFERROR(__xludf.DUMMYFUNCTION("""COMPUTED_VALUE"""),43949)</f>
        <v>43949</v>
      </c>
      <c r="BG502" s="141">
        <f ca="1">IFERROR(__xludf.DUMMYFUNCTION("""COMPUTED_VALUE"""),44497)</f>
        <v>44497</v>
      </c>
      <c r="BH502" s="40" t="str">
        <f ca="1">IFERROR(__xludf.DUMMYFUNCTION("""COMPUTED_VALUE"""),"FINALIZAR FICHA")</f>
        <v>FINALIZAR FICHA</v>
      </c>
      <c r="BI502" s="40" t="str">
        <f ca="1">IFERROR(__xludf.DUMMYFUNCTION("""COMPUTED_VALUE"""),"Terminada por Fecha     ")</f>
        <v xml:space="preserve">Terminada por Fecha     </v>
      </c>
      <c r="BJ502" s="40" t="str">
        <f ca="1">IFERROR(__xludf.DUMMYFUNCTION("""COMPUTED_VALUE"""),"Yamboro")</f>
        <v>Yamboro</v>
      </c>
      <c r="BK502" s="40"/>
      <c r="BL502" s="40"/>
    </row>
    <row r="503" spans="1:64" ht="13">
      <c r="A503" s="40"/>
      <c r="B503" s="40" t="str">
        <f ca="1">IFERROR(__xludf.DUMMYFUNCTION("""COMPUTED_VALUE"""),"FORMACIÓN 18/10/2022")</f>
        <v>FORMACIÓN 18/10/2022</v>
      </c>
      <c r="C503" s="40" t="str">
        <f ca="1">IFERROR(__xludf.DUMMYFUNCTION("""COMPUTED_VALUE"""),"CARLOS ANDRES CARDONA BETANCURT")</f>
        <v>CARLOS ANDRES CARDONA BETANCURT</v>
      </c>
      <c r="D503" s="40" t="str">
        <f ca="1">IFERROR(__xludf.DUMMYFUNCTION("""COMPUTED_VALUE"""),"CC")</f>
        <v>CC</v>
      </c>
      <c r="E503" s="40">
        <f ca="1">IFERROR(__xludf.DUMMYFUNCTION("""COMPUTED_VALUE"""),1004253160)</f>
        <v>1004253160</v>
      </c>
      <c r="F503" s="40">
        <f ca="1">IFERROR(__xludf.DUMMYFUNCTION("""COMPUTED_VALUE"""),1802847)</f>
        <v>1802847</v>
      </c>
      <c r="G503" s="40" t="str">
        <f ca="1">IFERROR(__xludf.DUMMYFUNCTION("""COMPUTED_VALUE"""),"TÉCNICO")</f>
        <v>TÉCNICO</v>
      </c>
      <c r="H503" s="40" t="str">
        <f ca="1">IFERROR(__xludf.DUMMYFUNCTION("""COMPUTED_VALUE"""),"SERVICIOS DE BARISMO")</f>
        <v>SERVICIOS DE BARISMO</v>
      </c>
      <c r="I503" s="40"/>
      <c r="J503" s="40"/>
      <c r="K503" s="40"/>
      <c r="L503" s="40" t="str">
        <f ca="1">IFERROR(__xludf.DUMMYFUNCTION("""COMPUTED_VALUE"""),"NO HA INICIADO ETAPA PRODUCTIVA")</f>
        <v>NO HA INICIADO ETAPA PRODUCTIVA</v>
      </c>
      <c r="M503" s="40"/>
      <c r="N503" s="40"/>
      <c r="O503" s="40"/>
      <c r="P503" s="40"/>
      <c r="Q503" s="40"/>
      <c r="R503" s="140"/>
      <c r="S503" s="1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t="str">
        <f ca="1">IFERROR(__xludf.DUMMYFUNCTION("""COMPUTED_VALUE"""),"NO_CUMPLE")</f>
        <v>NO_CUMPLE</v>
      </c>
      <c r="AV503" s="40" t="str">
        <f ca="1">IFERROR(__xludf.DUMMYFUNCTION("""COMPUTED_VALUE"""),"EN FORMACION")</f>
        <v>EN FORMACION</v>
      </c>
      <c r="AW503" s="40" t="str">
        <f ca="1">IFERROR(__xludf.DUMMYFUNCTION("""COMPUTED_VALUE"""),"TURISMO")</f>
        <v>TURISMO</v>
      </c>
      <c r="AX503" s="141">
        <f ca="1">IFERROR(__xludf.DUMMYFUNCTION("""COMPUTED_VALUE"""),44848)</f>
        <v>44848</v>
      </c>
      <c r="AY503" s="40">
        <f ca="1">IFERROR(__xludf.DUMMYFUNCTION("""COMPUTED_VALUE"""),0)</f>
        <v>0</v>
      </c>
      <c r="AZ503" s="40">
        <f ca="1">IFERROR(__xludf.DUMMYFUNCTION("""COMPUTED_VALUE"""),1)</f>
        <v>1</v>
      </c>
      <c r="BA503" s="40">
        <f ca="1">IFERROR(__xludf.DUMMYFUNCTION("""COMPUTED_VALUE"""),1)</f>
        <v>1</v>
      </c>
      <c r="BB503" s="40">
        <f ca="1">IFERROR(__xludf.DUMMYFUNCTION("""COMPUTED_VALUE"""),0)</f>
        <v>0</v>
      </c>
      <c r="BC503" s="40">
        <f ca="1">IFERROR(__xludf.DUMMYFUNCTION("""COMPUTED_VALUE"""),2)</f>
        <v>2</v>
      </c>
      <c r="BD503" s="141">
        <f ca="1">IFERROR(__xludf.DUMMYFUNCTION("""COMPUTED_VALUE"""),43493)</f>
        <v>43493</v>
      </c>
      <c r="BE503" s="141">
        <f ca="1">IFERROR(__xludf.DUMMYFUNCTION("""COMPUTED_VALUE"""),43766)</f>
        <v>43766</v>
      </c>
      <c r="BF503" s="141">
        <f ca="1">IFERROR(__xludf.DUMMYFUNCTION("""COMPUTED_VALUE"""),43949)</f>
        <v>43949</v>
      </c>
      <c r="BG503" s="141">
        <f ca="1">IFERROR(__xludf.DUMMYFUNCTION("""COMPUTED_VALUE"""),44497)</f>
        <v>44497</v>
      </c>
      <c r="BH503" s="40" t="str">
        <f ca="1">IFERROR(__xludf.DUMMYFUNCTION("""COMPUTED_VALUE"""),"FINALIZAR FICHA")</f>
        <v>FINALIZAR FICHA</v>
      </c>
      <c r="BI503" s="40" t="str">
        <f ca="1">IFERROR(__xludf.DUMMYFUNCTION("""COMPUTED_VALUE"""),"Terminada por Fecha     ")</f>
        <v xml:space="preserve">Terminada por Fecha     </v>
      </c>
      <c r="BJ503" s="40" t="str">
        <f ca="1">IFERROR(__xludf.DUMMYFUNCTION("""COMPUTED_VALUE"""),"Yamboro")</f>
        <v>Yamboro</v>
      </c>
      <c r="BK503" s="40"/>
      <c r="BL503" s="40"/>
    </row>
    <row r="504" spans="1:64" ht="13">
      <c r="A504" s="40"/>
      <c r="B504" s="40" t="str">
        <f ca="1">IFERROR(__xludf.DUMMYFUNCTION("""COMPUTED_VALUE"""),"FORMACIÓN 18/10/2022")</f>
        <v>FORMACIÓN 18/10/2022</v>
      </c>
      <c r="C504" s="40" t="str">
        <f ca="1">IFERROR(__xludf.DUMMYFUNCTION("""COMPUTED_VALUE"""),"JESUS FELIPE OSORIO STERLING")</f>
        <v>JESUS FELIPE OSORIO STERLING</v>
      </c>
      <c r="D504" s="40" t="str">
        <f ca="1">IFERROR(__xludf.DUMMYFUNCTION("""COMPUTED_VALUE"""),"CC")</f>
        <v>CC</v>
      </c>
      <c r="E504" s="40">
        <f ca="1">IFERROR(__xludf.DUMMYFUNCTION("""COMPUTED_VALUE"""),1007575878)</f>
        <v>1007575878</v>
      </c>
      <c r="F504" s="40">
        <f ca="1">IFERROR(__xludf.DUMMYFUNCTION("""COMPUTED_VALUE"""),1802847)</f>
        <v>1802847</v>
      </c>
      <c r="G504" s="40" t="str">
        <f ca="1">IFERROR(__xludf.DUMMYFUNCTION("""COMPUTED_VALUE"""),"TÉCNICO")</f>
        <v>TÉCNICO</v>
      </c>
      <c r="H504" s="40" t="str">
        <f ca="1">IFERROR(__xludf.DUMMYFUNCTION("""COMPUTED_VALUE"""),"SERVICIOS DE BARISMO")</f>
        <v>SERVICIOS DE BARISMO</v>
      </c>
      <c r="I504" s="40"/>
      <c r="J504" s="40"/>
      <c r="K504" s="40"/>
      <c r="L504" s="40" t="str">
        <f ca="1">IFERROR(__xludf.DUMMYFUNCTION("""COMPUTED_VALUE"""),"NO HA INICIADO ETAPA PRODUCTIVA")</f>
        <v>NO HA INICIADO ETAPA PRODUCTIVA</v>
      </c>
      <c r="M504" s="40"/>
      <c r="N504" s="40"/>
      <c r="O504" s="40"/>
      <c r="P504" s="40"/>
      <c r="Q504" s="40"/>
      <c r="R504" s="140"/>
      <c r="S504" s="1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t="str">
        <f ca="1">IFERROR(__xludf.DUMMYFUNCTION("""COMPUTED_VALUE"""),"NO_CUMPLE")</f>
        <v>NO_CUMPLE</v>
      </c>
      <c r="AV504" s="40" t="str">
        <f ca="1">IFERROR(__xludf.DUMMYFUNCTION("""COMPUTED_VALUE"""),"EN FORMACION")</f>
        <v>EN FORMACION</v>
      </c>
      <c r="AW504" s="40" t="str">
        <f ca="1">IFERROR(__xludf.DUMMYFUNCTION("""COMPUTED_VALUE"""),"TURISMO")</f>
        <v>TURISMO</v>
      </c>
      <c r="AX504" s="141">
        <f ca="1">IFERROR(__xludf.DUMMYFUNCTION("""COMPUTED_VALUE"""),44848)</f>
        <v>44848</v>
      </c>
      <c r="AY504" s="40">
        <f ca="1">IFERROR(__xludf.DUMMYFUNCTION("""COMPUTED_VALUE"""),0)</f>
        <v>0</v>
      </c>
      <c r="AZ504" s="40">
        <f ca="1">IFERROR(__xludf.DUMMYFUNCTION("""COMPUTED_VALUE"""),1)</f>
        <v>1</v>
      </c>
      <c r="BA504" s="40">
        <f ca="1">IFERROR(__xludf.DUMMYFUNCTION("""COMPUTED_VALUE"""),1)</f>
        <v>1</v>
      </c>
      <c r="BB504" s="40">
        <f ca="1">IFERROR(__xludf.DUMMYFUNCTION("""COMPUTED_VALUE"""),0)</f>
        <v>0</v>
      </c>
      <c r="BC504" s="40">
        <f ca="1">IFERROR(__xludf.DUMMYFUNCTION("""COMPUTED_VALUE"""),2)</f>
        <v>2</v>
      </c>
      <c r="BD504" s="141">
        <f ca="1">IFERROR(__xludf.DUMMYFUNCTION("""COMPUTED_VALUE"""),43493)</f>
        <v>43493</v>
      </c>
      <c r="BE504" s="141">
        <f ca="1">IFERROR(__xludf.DUMMYFUNCTION("""COMPUTED_VALUE"""),43766)</f>
        <v>43766</v>
      </c>
      <c r="BF504" s="141">
        <f ca="1">IFERROR(__xludf.DUMMYFUNCTION("""COMPUTED_VALUE"""),43949)</f>
        <v>43949</v>
      </c>
      <c r="BG504" s="141">
        <f ca="1">IFERROR(__xludf.DUMMYFUNCTION("""COMPUTED_VALUE"""),44497)</f>
        <v>44497</v>
      </c>
      <c r="BH504" s="40" t="str">
        <f ca="1">IFERROR(__xludf.DUMMYFUNCTION("""COMPUTED_VALUE"""),"FINALIZAR FICHA")</f>
        <v>FINALIZAR FICHA</v>
      </c>
      <c r="BI504" s="40" t="str">
        <f ca="1">IFERROR(__xludf.DUMMYFUNCTION("""COMPUTED_VALUE"""),"Terminada por Fecha     ")</f>
        <v xml:space="preserve">Terminada por Fecha     </v>
      </c>
      <c r="BJ504" s="40" t="str">
        <f ca="1">IFERROR(__xludf.DUMMYFUNCTION("""COMPUTED_VALUE"""),"Yamboro")</f>
        <v>Yamboro</v>
      </c>
      <c r="BK504" s="40"/>
      <c r="BL504" s="40"/>
    </row>
    <row r="505" spans="1:64" ht="13">
      <c r="A505" s="40"/>
      <c r="B505" s="40" t="str">
        <f ca="1">IFERROR(__xludf.DUMMYFUNCTION("""COMPUTED_VALUE"""),"FORMACIÓN 18/10/2022")</f>
        <v>FORMACIÓN 18/10/2022</v>
      </c>
      <c r="C505" s="40" t="str">
        <f ca="1">IFERROR(__xludf.DUMMYFUNCTION("""COMPUTED_VALUE"""),"DIANA CRISTINA VARGAS SANCHEZ")</f>
        <v>DIANA CRISTINA VARGAS SANCHEZ</v>
      </c>
      <c r="D505" s="40" t="str">
        <f ca="1">IFERROR(__xludf.DUMMYFUNCTION("""COMPUTED_VALUE"""),"CC")</f>
        <v>CC</v>
      </c>
      <c r="E505" s="40">
        <f ca="1">IFERROR(__xludf.DUMMYFUNCTION("""COMPUTED_VALUE"""),26428939)</f>
        <v>26428939</v>
      </c>
      <c r="F505" s="40">
        <f ca="1">IFERROR(__xludf.DUMMYFUNCTION("""COMPUTED_VALUE"""),1802847)</f>
        <v>1802847</v>
      </c>
      <c r="G505" s="40" t="str">
        <f ca="1">IFERROR(__xludf.DUMMYFUNCTION("""COMPUTED_VALUE"""),"TÉCNICO")</f>
        <v>TÉCNICO</v>
      </c>
      <c r="H505" s="40" t="str">
        <f ca="1">IFERROR(__xludf.DUMMYFUNCTION("""COMPUTED_VALUE"""),"SERVICIOS DE BARISMO")</f>
        <v>SERVICIOS DE BARISMO</v>
      </c>
      <c r="I505" s="40"/>
      <c r="J505" s="40"/>
      <c r="K505" s="40"/>
      <c r="L505" s="40" t="str">
        <f ca="1">IFERROR(__xludf.DUMMYFUNCTION("""COMPUTED_VALUE"""),"NO HA INICIADO ETAPA PRODUCTIVA")</f>
        <v>NO HA INICIADO ETAPA PRODUCTIVA</v>
      </c>
      <c r="M505" s="40"/>
      <c r="N505" s="40"/>
      <c r="O505" s="40"/>
      <c r="P505" s="40"/>
      <c r="Q505" s="40"/>
      <c r="R505" s="140"/>
      <c r="S505" s="1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t="str">
        <f ca="1">IFERROR(__xludf.DUMMYFUNCTION("""COMPUTED_VALUE"""),"Procede_E_P")</f>
        <v>Procede_E_P</v>
      </c>
      <c r="AV505" s="40" t="str">
        <f ca="1">IFERROR(__xludf.DUMMYFUNCTION("""COMPUTED_VALUE"""),"EN FORMACION")</f>
        <v>EN FORMACION</v>
      </c>
      <c r="AW505" s="40" t="str">
        <f ca="1">IFERROR(__xludf.DUMMYFUNCTION("""COMPUTED_VALUE"""),"TURISMO")</f>
        <v>TURISMO</v>
      </c>
      <c r="AX505" s="141">
        <f ca="1">IFERROR(__xludf.DUMMYFUNCTION("""COMPUTED_VALUE"""),44848)</f>
        <v>44848</v>
      </c>
      <c r="AY505" s="40">
        <f ca="1">IFERROR(__xludf.DUMMYFUNCTION("""COMPUTED_VALUE"""),0)</f>
        <v>0</v>
      </c>
      <c r="AZ505" s="40">
        <f ca="1">IFERROR(__xludf.DUMMYFUNCTION("""COMPUTED_VALUE"""),1)</f>
        <v>1</v>
      </c>
      <c r="BA505" s="40">
        <f ca="1">IFERROR(__xludf.DUMMYFUNCTION("""COMPUTED_VALUE"""),0)</f>
        <v>0</v>
      </c>
      <c r="BB505" s="40">
        <f ca="1">IFERROR(__xludf.DUMMYFUNCTION("""COMPUTED_VALUE"""),0)</f>
        <v>0</v>
      </c>
      <c r="BC505" s="40">
        <f ca="1">IFERROR(__xludf.DUMMYFUNCTION("""COMPUTED_VALUE"""),1)</f>
        <v>1</v>
      </c>
      <c r="BD505" s="141">
        <f ca="1">IFERROR(__xludf.DUMMYFUNCTION("""COMPUTED_VALUE"""),43493)</f>
        <v>43493</v>
      </c>
      <c r="BE505" s="141">
        <f ca="1">IFERROR(__xludf.DUMMYFUNCTION("""COMPUTED_VALUE"""),43766)</f>
        <v>43766</v>
      </c>
      <c r="BF505" s="141">
        <f ca="1">IFERROR(__xludf.DUMMYFUNCTION("""COMPUTED_VALUE"""),43949)</f>
        <v>43949</v>
      </c>
      <c r="BG505" s="141">
        <f ca="1">IFERROR(__xludf.DUMMYFUNCTION("""COMPUTED_VALUE"""),44497)</f>
        <v>44497</v>
      </c>
      <c r="BH505" s="40" t="str">
        <f ca="1">IFERROR(__xludf.DUMMYFUNCTION("""COMPUTED_VALUE"""),"FINALIZAR FICHA")</f>
        <v>FINALIZAR FICHA</v>
      </c>
      <c r="BI505" s="40" t="str">
        <f ca="1">IFERROR(__xludf.DUMMYFUNCTION("""COMPUTED_VALUE"""),"Terminada por Fecha     ")</f>
        <v xml:space="preserve">Terminada por Fecha     </v>
      </c>
      <c r="BJ505" s="40" t="str">
        <f ca="1">IFERROR(__xludf.DUMMYFUNCTION("""COMPUTED_VALUE"""),"Yamboro")</f>
        <v>Yamboro</v>
      </c>
      <c r="BK505" s="40"/>
      <c r="BL505" s="40"/>
    </row>
    <row r="506" spans="1:64" ht="13">
      <c r="A506" s="40"/>
      <c r="B506" s="40" t="str">
        <f ca="1">IFERROR(__xludf.DUMMYFUNCTION("""COMPUTED_VALUE"""),"FORMACIÓN 18/10/2022")</f>
        <v>FORMACIÓN 18/10/2022</v>
      </c>
      <c r="C506" s="40" t="str">
        <f ca="1">IFERROR(__xludf.DUMMYFUNCTION("""COMPUTED_VALUE"""),"YESID MARQUIN BELTRAN")</f>
        <v>YESID MARQUIN BELTRAN</v>
      </c>
      <c r="D506" s="40" t="str">
        <f ca="1">IFERROR(__xludf.DUMMYFUNCTION("""COMPUTED_VALUE"""),"CC")</f>
        <v>CC</v>
      </c>
      <c r="E506" s="40">
        <f ca="1">IFERROR(__xludf.DUMMYFUNCTION("""COMPUTED_VALUE"""),26428939)</f>
        <v>26428939</v>
      </c>
      <c r="F506" s="40">
        <f ca="1">IFERROR(__xludf.DUMMYFUNCTION("""COMPUTED_VALUE"""),1835249)</f>
        <v>1835249</v>
      </c>
      <c r="G506" s="40" t="str">
        <f ca="1">IFERROR(__xludf.DUMMYFUNCTION("""COMPUTED_VALUE"""),"TÉCNICO")</f>
        <v>TÉCNICO</v>
      </c>
      <c r="H506" s="40" t="str">
        <f ca="1">IFERROR(__xludf.DUMMYFUNCTION("""COMPUTED_VALUE"""),"PRODUCCIÓN DE CAFÉS ESPECIALES")</f>
        <v>PRODUCCIÓN DE CAFÉS ESPECIALES</v>
      </c>
      <c r="I506" s="40"/>
      <c r="J506" s="40" t="str">
        <f ca="1">IFERROR(__xludf.DUMMYFUNCTION("""COMPUTED_VALUE"""),"marquinbeltranyesid@gmail.com")</f>
        <v>marquinbeltranyesid@gmail.com</v>
      </c>
      <c r="K506" s="40"/>
      <c r="L506" s="40" t="str">
        <f ca="1">IFERROR(__xludf.DUMMYFUNCTION("""COMPUTED_VALUE"""),"PASANTÍAS")</f>
        <v>PASANTÍAS</v>
      </c>
      <c r="M506" s="40" t="str">
        <f ca="1">IFERROR(__xludf.DUMMYFUNCTION("""COMPUTED_VALUE"""),"FINCA LA PRIMAVERA")</f>
        <v>FINCA LA PRIMAVERA</v>
      </c>
      <c r="N506" s="40" t="str">
        <f ca="1">IFERROR(__xludf.DUMMYFUNCTION("""COMPUTED_VALUE"""),"Vda Fundador Palestina")</f>
        <v>Vda Fundador Palestina</v>
      </c>
      <c r="O506" s="40"/>
      <c r="P506" s="40" t="str">
        <f ca="1">IFERROR(__xludf.DUMMYFUNCTION("""COMPUTED_VALUE"""),"PALESTINA")</f>
        <v>PALESTINA</v>
      </c>
      <c r="Q506" s="40"/>
      <c r="R506" s="140">
        <f ca="1">IFERROR(__xludf.DUMMYFUNCTION("""COMPUTED_VALUE"""),43878)</f>
        <v>43878</v>
      </c>
      <c r="S506" s="140">
        <f ca="1">IFERROR(__xludf.DUMMYFUNCTION("""COMPUTED_VALUE"""),44060)</f>
        <v>44060</v>
      </c>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t="str">
        <f ca="1">IFERROR(__xludf.DUMMYFUNCTION("""COMPUTED_VALUE"""),"Procede_E_P")</f>
        <v>Procede_E_P</v>
      </c>
      <c r="AV506" s="40" t="str">
        <f ca="1">IFERROR(__xludf.DUMMYFUNCTION("""COMPUTED_VALUE"""),"EN FORMACION")</f>
        <v>EN FORMACION</v>
      </c>
      <c r="AW506" s="40" t="str">
        <f ca="1">IFERROR(__xludf.DUMMYFUNCTION("""COMPUTED_VALUE"""),"AGROPECUARIO")</f>
        <v>AGROPECUARIO</v>
      </c>
      <c r="AX506" s="141">
        <f ca="1">IFERROR(__xludf.DUMMYFUNCTION("""COMPUTED_VALUE"""),44848)</f>
        <v>44848</v>
      </c>
      <c r="AY506" s="40">
        <f ca="1">IFERROR(__xludf.DUMMYFUNCTION("""COMPUTED_VALUE"""),0)</f>
        <v>0</v>
      </c>
      <c r="AZ506" s="40">
        <f ca="1">IFERROR(__xludf.DUMMYFUNCTION("""COMPUTED_VALUE"""),1)</f>
        <v>1</v>
      </c>
      <c r="BA506" s="40">
        <f ca="1">IFERROR(__xludf.DUMMYFUNCTION("""COMPUTED_VALUE"""),0)</f>
        <v>0</v>
      </c>
      <c r="BB506" s="40">
        <f ca="1">IFERROR(__xludf.DUMMYFUNCTION("""COMPUTED_VALUE"""),0)</f>
        <v>0</v>
      </c>
      <c r="BC506" s="40">
        <f ca="1">IFERROR(__xludf.DUMMYFUNCTION("""COMPUTED_VALUE"""),1)</f>
        <v>1</v>
      </c>
      <c r="BD506" s="141">
        <f ca="1">IFERROR(__xludf.DUMMYFUNCTION("""COMPUTED_VALUE"""),43577)</f>
        <v>43577</v>
      </c>
      <c r="BE506" s="141">
        <f ca="1">IFERROR(__xludf.DUMMYFUNCTION("""COMPUTED_VALUE"""),43760)</f>
        <v>43760</v>
      </c>
      <c r="BF506" s="141">
        <f ca="1">IFERROR(__xludf.DUMMYFUNCTION("""COMPUTED_VALUE"""),43943)</f>
        <v>43943</v>
      </c>
      <c r="BG506" s="141">
        <f ca="1">IFERROR(__xludf.DUMMYFUNCTION("""COMPUTED_VALUE"""),44491)</f>
        <v>44491</v>
      </c>
      <c r="BH506" s="40" t="str">
        <f ca="1">IFERROR(__xludf.DUMMYFUNCTION("""COMPUTED_VALUE"""),"FINALIZAR FICHA")</f>
        <v>FINALIZAR FICHA</v>
      </c>
      <c r="BI506" s="40" t="str">
        <f ca="1">IFERROR(__xludf.DUMMYFUNCTION("""COMPUTED_VALUE"""),"Terminada por Fecha     ")</f>
        <v xml:space="preserve">Terminada por Fecha     </v>
      </c>
      <c r="BJ506" s="40" t="str">
        <f ca="1">IFERROR(__xludf.DUMMYFUNCTION("""COMPUTED_VALUE"""),"Yamboro")</f>
        <v>Yamboro</v>
      </c>
      <c r="BK506" s="40"/>
      <c r="BL506" s="40"/>
    </row>
    <row r="507" spans="1:64" ht="13">
      <c r="A507" s="40"/>
      <c r="B507" s="40" t="str">
        <f ca="1">IFERROR(__xludf.DUMMYFUNCTION("""COMPUTED_VALUE"""),"FORMACIÓN 18/10/2022")</f>
        <v>FORMACIÓN 18/10/2022</v>
      </c>
      <c r="C507" s="40" t="str">
        <f ca="1">IFERROR(__xludf.DUMMYFUNCTION("""COMPUTED_VALUE"""),"JUAN FELIPE FIGUEROA CABRERA")</f>
        <v>JUAN FELIPE FIGUEROA CABRERA</v>
      </c>
      <c r="D507" s="40" t="str">
        <f ca="1">IFERROR(__xludf.DUMMYFUNCTION("""COMPUTED_VALUE"""),"CC")</f>
        <v>CC</v>
      </c>
      <c r="E507" s="40">
        <f ca="1">IFERROR(__xludf.DUMMYFUNCTION("""COMPUTED_VALUE"""),26428939)</f>
        <v>26428939</v>
      </c>
      <c r="F507" s="40">
        <f ca="1">IFERROR(__xludf.DUMMYFUNCTION("""COMPUTED_VALUE"""),1835249)</f>
        <v>1835249</v>
      </c>
      <c r="G507" s="40" t="str">
        <f ca="1">IFERROR(__xludf.DUMMYFUNCTION("""COMPUTED_VALUE"""),"TÉCNICO")</f>
        <v>TÉCNICO</v>
      </c>
      <c r="H507" s="40" t="str">
        <f ca="1">IFERROR(__xludf.DUMMYFUNCTION("""COMPUTED_VALUE"""),"PRODUCCIÓN DE CAFÉS ESPECIALES")</f>
        <v>PRODUCCIÓN DE CAFÉS ESPECIALES</v>
      </c>
      <c r="I507" s="40"/>
      <c r="J507" s="40"/>
      <c r="K507" s="40"/>
      <c r="L507" s="40" t="str">
        <f ca="1">IFERROR(__xludf.DUMMYFUNCTION("""COMPUTED_VALUE"""),"NO HA INICIADO ETAPA PRODUCTIVA")</f>
        <v>NO HA INICIADO ETAPA PRODUCTIVA</v>
      </c>
      <c r="M507" s="40"/>
      <c r="N507" s="40"/>
      <c r="O507" s="40"/>
      <c r="P507" s="40"/>
      <c r="Q507" s="40"/>
      <c r="R507" s="140"/>
      <c r="S507" s="1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t="str">
        <f ca="1">IFERROR(__xludf.DUMMYFUNCTION("""COMPUTED_VALUE"""),"Procede_E_P")</f>
        <v>Procede_E_P</v>
      </c>
      <c r="AV507" s="40" t="str">
        <f ca="1">IFERROR(__xludf.DUMMYFUNCTION("""COMPUTED_VALUE"""),"EN FORMACION")</f>
        <v>EN FORMACION</v>
      </c>
      <c r="AW507" s="40" t="str">
        <f ca="1">IFERROR(__xludf.DUMMYFUNCTION("""COMPUTED_VALUE"""),"AGROPECUARIO")</f>
        <v>AGROPECUARIO</v>
      </c>
      <c r="AX507" s="141">
        <f ca="1">IFERROR(__xludf.DUMMYFUNCTION("""COMPUTED_VALUE"""),44848)</f>
        <v>44848</v>
      </c>
      <c r="AY507" s="40">
        <f ca="1">IFERROR(__xludf.DUMMYFUNCTION("""COMPUTED_VALUE"""),0)</f>
        <v>0</v>
      </c>
      <c r="AZ507" s="40">
        <f ca="1">IFERROR(__xludf.DUMMYFUNCTION("""COMPUTED_VALUE"""),1)</f>
        <v>1</v>
      </c>
      <c r="BA507" s="40">
        <f ca="1">IFERROR(__xludf.DUMMYFUNCTION("""COMPUTED_VALUE"""),0)</f>
        <v>0</v>
      </c>
      <c r="BB507" s="40">
        <f ca="1">IFERROR(__xludf.DUMMYFUNCTION("""COMPUTED_VALUE"""),0)</f>
        <v>0</v>
      </c>
      <c r="BC507" s="40">
        <f ca="1">IFERROR(__xludf.DUMMYFUNCTION("""COMPUTED_VALUE"""),1)</f>
        <v>1</v>
      </c>
      <c r="BD507" s="141">
        <f ca="1">IFERROR(__xludf.DUMMYFUNCTION("""COMPUTED_VALUE"""),43577)</f>
        <v>43577</v>
      </c>
      <c r="BE507" s="141">
        <f ca="1">IFERROR(__xludf.DUMMYFUNCTION("""COMPUTED_VALUE"""),43760)</f>
        <v>43760</v>
      </c>
      <c r="BF507" s="141">
        <f ca="1">IFERROR(__xludf.DUMMYFUNCTION("""COMPUTED_VALUE"""),43943)</f>
        <v>43943</v>
      </c>
      <c r="BG507" s="141">
        <f ca="1">IFERROR(__xludf.DUMMYFUNCTION("""COMPUTED_VALUE"""),44491)</f>
        <v>44491</v>
      </c>
      <c r="BH507" s="40" t="str">
        <f ca="1">IFERROR(__xludf.DUMMYFUNCTION("""COMPUTED_VALUE"""),"FINALIZAR FICHA")</f>
        <v>FINALIZAR FICHA</v>
      </c>
      <c r="BI507" s="40" t="str">
        <f ca="1">IFERROR(__xludf.DUMMYFUNCTION("""COMPUTED_VALUE"""),"Terminada por Fecha     ")</f>
        <v xml:space="preserve">Terminada por Fecha     </v>
      </c>
      <c r="BJ507" s="40" t="str">
        <f ca="1">IFERROR(__xludf.DUMMYFUNCTION("""COMPUTED_VALUE"""),"Yamboro")</f>
        <v>Yamboro</v>
      </c>
      <c r="BK507" s="40"/>
      <c r="BL507" s="40"/>
    </row>
    <row r="508" spans="1:64" ht="13">
      <c r="A508" s="40"/>
      <c r="B508" s="40" t="str">
        <f ca="1">IFERROR(__xludf.DUMMYFUNCTION("""COMPUTED_VALUE"""),"FORMACIÓN 18/10/2022")</f>
        <v>FORMACIÓN 18/10/2022</v>
      </c>
      <c r="C508" s="40" t="str">
        <f ca="1">IFERROR(__xludf.DUMMYFUNCTION("""COMPUTED_VALUE"""),"NINI JOHANA MUÑOZ TORRES")</f>
        <v>NINI JOHANA MUÑOZ TORRES</v>
      </c>
      <c r="D508" s="40" t="str">
        <f ca="1">IFERROR(__xludf.DUMMYFUNCTION("""COMPUTED_VALUE"""),"CC")</f>
        <v>CC</v>
      </c>
      <c r="E508" s="40">
        <f ca="1">IFERROR(__xludf.DUMMYFUNCTION("""COMPUTED_VALUE"""),26428939)</f>
        <v>26428939</v>
      </c>
      <c r="F508" s="40">
        <f ca="1">IFERROR(__xludf.DUMMYFUNCTION("""COMPUTED_VALUE"""),1835249)</f>
        <v>1835249</v>
      </c>
      <c r="G508" s="40" t="str">
        <f ca="1">IFERROR(__xludf.DUMMYFUNCTION("""COMPUTED_VALUE"""),"TÉCNICO")</f>
        <v>TÉCNICO</v>
      </c>
      <c r="H508" s="40" t="str">
        <f ca="1">IFERROR(__xludf.DUMMYFUNCTION("""COMPUTED_VALUE"""),"PRODUCCIÓN DE CAFÉS ESPECIALES")</f>
        <v>PRODUCCIÓN DE CAFÉS ESPECIALES</v>
      </c>
      <c r="I508" s="40"/>
      <c r="J508" s="40"/>
      <c r="K508" s="40"/>
      <c r="L508" s="40" t="str">
        <f ca="1">IFERROR(__xludf.DUMMYFUNCTION("""COMPUTED_VALUE"""),"NO HA INICIADO ETAPA PRODUCTIVA")</f>
        <v>NO HA INICIADO ETAPA PRODUCTIVA</v>
      </c>
      <c r="M508" s="40"/>
      <c r="N508" s="40"/>
      <c r="O508" s="40"/>
      <c r="P508" s="40"/>
      <c r="Q508" s="40"/>
      <c r="R508" s="140"/>
      <c r="S508" s="1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t="str">
        <f ca="1">IFERROR(__xludf.DUMMYFUNCTION("""COMPUTED_VALUE"""),"NO_CUMPLE")</f>
        <v>NO_CUMPLE</v>
      </c>
      <c r="AV508" s="40" t="str">
        <f ca="1">IFERROR(__xludf.DUMMYFUNCTION("""COMPUTED_VALUE"""),"EN FORMACION")</f>
        <v>EN FORMACION</v>
      </c>
      <c r="AW508" s="40" t="str">
        <f ca="1">IFERROR(__xludf.DUMMYFUNCTION("""COMPUTED_VALUE"""),"AGROPECUARIO")</f>
        <v>AGROPECUARIO</v>
      </c>
      <c r="AX508" s="141">
        <f ca="1">IFERROR(__xludf.DUMMYFUNCTION("""COMPUTED_VALUE"""),44848)</f>
        <v>44848</v>
      </c>
      <c r="AY508" s="40">
        <f ca="1">IFERROR(__xludf.DUMMYFUNCTION("""COMPUTED_VALUE"""),1)</f>
        <v>1</v>
      </c>
      <c r="AZ508" s="40">
        <f ca="1">IFERROR(__xludf.DUMMYFUNCTION("""COMPUTED_VALUE"""),1)</f>
        <v>1</v>
      </c>
      <c r="BA508" s="40">
        <f ca="1">IFERROR(__xludf.DUMMYFUNCTION("""COMPUTED_VALUE"""),2)</f>
        <v>2</v>
      </c>
      <c r="BB508" s="40">
        <f ca="1">IFERROR(__xludf.DUMMYFUNCTION("""COMPUTED_VALUE"""),0)</f>
        <v>0</v>
      </c>
      <c r="BC508" s="40">
        <f ca="1">IFERROR(__xludf.DUMMYFUNCTION("""COMPUTED_VALUE"""),4)</f>
        <v>4</v>
      </c>
      <c r="BD508" s="141">
        <f ca="1">IFERROR(__xludf.DUMMYFUNCTION("""COMPUTED_VALUE"""),43577)</f>
        <v>43577</v>
      </c>
      <c r="BE508" s="141">
        <f ca="1">IFERROR(__xludf.DUMMYFUNCTION("""COMPUTED_VALUE"""),43760)</f>
        <v>43760</v>
      </c>
      <c r="BF508" s="141">
        <f ca="1">IFERROR(__xludf.DUMMYFUNCTION("""COMPUTED_VALUE"""),43943)</f>
        <v>43943</v>
      </c>
      <c r="BG508" s="141">
        <f ca="1">IFERROR(__xludf.DUMMYFUNCTION("""COMPUTED_VALUE"""),44491)</f>
        <v>44491</v>
      </c>
      <c r="BH508" s="40" t="str">
        <f ca="1">IFERROR(__xludf.DUMMYFUNCTION("""COMPUTED_VALUE"""),"FINALIZAR FICHA")</f>
        <v>FINALIZAR FICHA</v>
      </c>
      <c r="BI508" s="40" t="str">
        <f ca="1">IFERROR(__xludf.DUMMYFUNCTION("""COMPUTED_VALUE"""),"Terminada por Fecha     ")</f>
        <v xml:space="preserve">Terminada por Fecha     </v>
      </c>
      <c r="BJ508" s="40" t="str">
        <f ca="1">IFERROR(__xludf.DUMMYFUNCTION("""COMPUTED_VALUE"""),"Yamboro")</f>
        <v>Yamboro</v>
      </c>
      <c r="BK508" s="40"/>
      <c r="BL508" s="40"/>
    </row>
    <row r="509" spans="1:64" ht="13">
      <c r="A509" s="40"/>
      <c r="B509" s="40" t="str">
        <f ca="1">IFERROR(__xludf.DUMMYFUNCTION("""COMPUTED_VALUE"""),"FORMACIÓN 18/10/2022")</f>
        <v>FORMACIÓN 18/10/2022</v>
      </c>
      <c r="C509" s="40" t="str">
        <f ca="1">IFERROR(__xludf.DUMMYFUNCTION("""COMPUTED_VALUE"""),"HAROLD LUIGI GAMA PEÑA")</f>
        <v>HAROLD LUIGI GAMA PEÑA</v>
      </c>
      <c r="D509" s="40" t="str">
        <f ca="1">IFERROR(__xludf.DUMMYFUNCTION("""COMPUTED_VALUE"""),"CC")</f>
        <v>CC</v>
      </c>
      <c r="E509" s="40">
        <f ca="1">IFERROR(__xludf.DUMMYFUNCTION("""COMPUTED_VALUE"""),26428939)</f>
        <v>26428939</v>
      </c>
      <c r="F509" s="40">
        <f ca="1">IFERROR(__xludf.DUMMYFUNCTION("""COMPUTED_VALUE"""),1835249)</f>
        <v>1835249</v>
      </c>
      <c r="G509" s="40" t="str">
        <f ca="1">IFERROR(__xludf.DUMMYFUNCTION("""COMPUTED_VALUE"""),"TÉCNICO")</f>
        <v>TÉCNICO</v>
      </c>
      <c r="H509" s="40" t="str">
        <f ca="1">IFERROR(__xludf.DUMMYFUNCTION("""COMPUTED_VALUE"""),"PRODUCCIÓN DE CAFÉS ESPECIALES")</f>
        <v>PRODUCCIÓN DE CAFÉS ESPECIALES</v>
      </c>
      <c r="I509" s="40"/>
      <c r="J509" s="40"/>
      <c r="K509" s="40"/>
      <c r="L509" s="40" t="str">
        <f ca="1">IFERROR(__xludf.DUMMYFUNCTION("""COMPUTED_VALUE"""),"NO HA INICIADO ETAPA PRODUCTIVA")</f>
        <v>NO HA INICIADO ETAPA PRODUCTIVA</v>
      </c>
      <c r="M509" s="40"/>
      <c r="N509" s="40"/>
      <c r="O509" s="40"/>
      <c r="P509" s="40"/>
      <c r="Q509" s="40"/>
      <c r="R509" s="140"/>
      <c r="S509" s="1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t="str">
        <f ca="1">IFERROR(__xludf.DUMMYFUNCTION("""COMPUTED_VALUE"""),"Procede_E_P")</f>
        <v>Procede_E_P</v>
      </c>
      <c r="AV509" s="40" t="str">
        <f ca="1">IFERROR(__xludf.DUMMYFUNCTION("""COMPUTED_VALUE"""),"EN FORMACION")</f>
        <v>EN FORMACION</v>
      </c>
      <c r="AW509" s="40" t="str">
        <f ca="1">IFERROR(__xludf.DUMMYFUNCTION("""COMPUTED_VALUE"""),"AGROPECUARIO")</f>
        <v>AGROPECUARIO</v>
      </c>
      <c r="AX509" s="141">
        <f ca="1">IFERROR(__xludf.DUMMYFUNCTION("""COMPUTED_VALUE"""),44848)</f>
        <v>44848</v>
      </c>
      <c r="AY509" s="40">
        <f ca="1">IFERROR(__xludf.DUMMYFUNCTION("""COMPUTED_VALUE"""),0)</f>
        <v>0</v>
      </c>
      <c r="AZ509" s="40">
        <f ca="1">IFERROR(__xludf.DUMMYFUNCTION("""COMPUTED_VALUE"""),1)</f>
        <v>1</v>
      </c>
      <c r="BA509" s="40">
        <f ca="1">IFERROR(__xludf.DUMMYFUNCTION("""COMPUTED_VALUE"""),0)</f>
        <v>0</v>
      </c>
      <c r="BB509" s="40">
        <f ca="1">IFERROR(__xludf.DUMMYFUNCTION("""COMPUTED_VALUE"""),0)</f>
        <v>0</v>
      </c>
      <c r="BC509" s="40">
        <f ca="1">IFERROR(__xludf.DUMMYFUNCTION("""COMPUTED_VALUE"""),1)</f>
        <v>1</v>
      </c>
      <c r="BD509" s="141">
        <f ca="1">IFERROR(__xludf.DUMMYFUNCTION("""COMPUTED_VALUE"""),43577)</f>
        <v>43577</v>
      </c>
      <c r="BE509" s="141">
        <f ca="1">IFERROR(__xludf.DUMMYFUNCTION("""COMPUTED_VALUE"""),43760)</f>
        <v>43760</v>
      </c>
      <c r="BF509" s="141">
        <f ca="1">IFERROR(__xludf.DUMMYFUNCTION("""COMPUTED_VALUE"""),43943)</f>
        <v>43943</v>
      </c>
      <c r="BG509" s="141">
        <f ca="1">IFERROR(__xludf.DUMMYFUNCTION("""COMPUTED_VALUE"""),44491)</f>
        <v>44491</v>
      </c>
      <c r="BH509" s="40" t="str">
        <f ca="1">IFERROR(__xludf.DUMMYFUNCTION("""COMPUTED_VALUE"""),"FINALIZAR FICHA")</f>
        <v>FINALIZAR FICHA</v>
      </c>
      <c r="BI509" s="40" t="str">
        <f ca="1">IFERROR(__xludf.DUMMYFUNCTION("""COMPUTED_VALUE"""),"Terminada por Fecha     ")</f>
        <v xml:space="preserve">Terminada por Fecha     </v>
      </c>
      <c r="BJ509" s="40" t="str">
        <f ca="1">IFERROR(__xludf.DUMMYFUNCTION("""COMPUTED_VALUE"""),"Yamboro")</f>
        <v>Yamboro</v>
      </c>
      <c r="BK509" s="40"/>
      <c r="BL509" s="40"/>
    </row>
    <row r="510" spans="1:64" ht="13">
      <c r="A510" s="40"/>
      <c r="B510" s="40" t="str">
        <f ca="1">IFERROR(__xludf.DUMMYFUNCTION("""COMPUTED_VALUE"""),"FORMACIÓN 18/10/2022")</f>
        <v>FORMACIÓN 18/10/2022</v>
      </c>
      <c r="C510" s="40" t="str">
        <f ca="1">IFERROR(__xludf.DUMMYFUNCTION("""COMPUTED_VALUE"""),"WILFRAN ALEXANDER VARGAS OSORIO")</f>
        <v>WILFRAN ALEXANDER VARGAS OSORIO</v>
      </c>
      <c r="D510" s="40" t="str">
        <f ca="1">IFERROR(__xludf.DUMMYFUNCTION("""COMPUTED_VALUE"""),"CC")</f>
        <v>CC</v>
      </c>
      <c r="E510" s="40">
        <f ca="1">IFERROR(__xludf.DUMMYFUNCTION("""COMPUTED_VALUE"""),26428939)</f>
        <v>26428939</v>
      </c>
      <c r="F510" s="40">
        <f ca="1">IFERROR(__xludf.DUMMYFUNCTION("""COMPUTED_VALUE"""),1835249)</f>
        <v>1835249</v>
      </c>
      <c r="G510" s="40" t="str">
        <f ca="1">IFERROR(__xludf.DUMMYFUNCTION("""COMPUTED_VALUE"""),"TÉCNICO")</f>
        <v>TÉCNICO</v>
      </c>
      <c r="H510" s="40" t="str">
        <f ca="1">IFERROR(__xludf.DUMMYFUNCTION("""COMPUTED_VALUE"""),"PRODUCCIÓN DE CAFÉS ESPECIALES")</f>
        <v>PRODUCCIÓN DE CAFÉS ESPECIALES</v>
      </c>
      <c r="I510" s="40"/>
      <c r="J510" s="40"/>
      <c r="K510" s="40"/>
      <c r="L510" s="40" t="str">
        <f ca="1">IFERROR(__xludf.DUMMYFUNCTION("""COMPUTED_VALUE"""),"NO HA INICIADO ETAPA PRODUCTIVA")</f>
        <v>NO HA INICIADO ETAPA PRODUCTIVA</v>
      </c>
      <c r="M510" s="40"/>
      <c r="N510" s="40"/>
      <c r="O510" s="40"/>
      <c r="P510" s="40"/>
      <c r="Q510" s="40"/>
      <c r="R510" s="140"/>
      <c r="S510" s="1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t="str">
        <f ca="1">IFERROR(__xludf.DUMMYFUNCTION("""COMPUTED_VALUE"""),"NO_CUMPLE")</f>
        <v>NO_CUMPLE</v>
      </c>
      <c r="AV510" s="40" t="str">
        <f ca="1">IFERROR(__xludf.DUMMYFUNCTION("""COMPUTED_VALUE"""),"EN FORMACION")</f>
        <v>EN FORMACION</v>
      </c>
      <c r="AW510" s="40" t="str">
        <f ca="1">IFERROR(__xludf.DUMMYFUNCTION("""COMPUTED_VALUE"""),"AGROPECUARIO")</f>
        <v>AGROPECUARIO</v>
      </c>
      <c r="AX510" s="141">
        <f ca="1">IFERROR(__xludf.DUMMYFUNCTION("""COMPUTED_VALUE"""),44848)</f>
        <v>44848</v>
      </c>
      <c r="AY510" s="40">
        <f ca="1">IFERROR(__xludf.DUMMYFUNCTION("""COMPUTED_VALUE"""),2)</f>
        <v>2</v>
      </c>
      <c r="AZ510" s="40">
        <f ca="1">IFERROR(__xludf.DUMMYFUNCTION("""COMPUTED_VALUE"""),1)</f>
        <v>1</v>
      </c>
      <c r="BA510" s="40">
        <f ca="1">IFERROR(__xludf.DUMMYFUNCTION("""COMPUTED_VALUE"""),2)</f>
        <v>2</v>
      </c>
      <c r="BB510" s="40">
        <f ca="1">IFERROR(__xludf.DUMMYFUNCTION("""COMPUTED_VALUE"""),0)</f>
        <v>0</v>
      </c>
      <c r="BC510" s="40">
        <f ca="1">IFERROR(__xludf.DUMMYFUNCTION("""COMPUTED_VALUE"""),5)</f>
        <v>5</v>
      </c>
      <c r="BD510" s="141">
        <f ca="1">IFERROR(__xludf.DUMMYFUNCTION("""COMPUTED_VALUE"""),43577)</f>
        <v>43577</v>
      </c>
      <c r="BE510" s="141">
        <f ca="1">IFERROR(__xludf.DUMMYFUNCTION("""COMPUTED_VALUE"""),43760)</f>
        <v>43760</v>
      </c>
      <c r="BF510" s="141">
        <f ca="1">IFERROR(__xludf.DUMMYFUNCTION("""COMPUTED_VALUE"""),43943)</f>
        <v>43943</v>
      </c>
      <c r="BG510" s="141">
        <f ca="1">IFERROR(__xludf.DUMMYFUNCTION("""COMPUTED_VALUE"""),44491)</f>
        <v>44491</v>
      </c>
      <c r="BH510" s="40" t="str">
        <f ca="1">IFERROR(__xludf.DUMMYFUNCTION("""COMPUTED_VALUE"""),"FINALIZAR FICHA")</f>
        <v>FINALIZAR FICHA</v>
      </c>
      <c r="BI510" s="40" t="str">
        <f ca="1">IFERROR(__xludf.DUMMYFUNCTION("""COMPUTED_VALUE"""),"Terminada por Fecha     ")</f>
        <v xml:space="preserve">Terminada por Fecha     </v>
      </c>
      <c r="BJ510" s="40" t="str">
        <f ca="1">IFERROR(__xludf.DUMMYFUNCTION("""COMPUTED_VALUE"""),"Yamboro")</f>
        <v>Yamboro</v>
      </c>
      <c r="BK510" s="40"/>
      <c r="BL510" s="40"/>
    </row>
    <row r="511" spans="1:64" ht="13">
      <c r="A511" s="40"/>
      <c r="B511" s="40" t="str">
        <f ca="1">IFERROR(__xludf.DUMMYFUNCTION("""COMPUTED_VALUE"""),"FORMACIÓN 18/10/2022")</f>
        <v>FORMACIÓN 18/10/2022</v>
      </c>
      <c r="C511" s="40" t="str">
        <f ca="1">IFERROR(__xludf.DUMMYFUNCTION("""COMPUTED_VALUE"""),"LINA MARIA ROJAS CASTRILLON")</f>
        <v>LINA MARIA ROJAS CASTRILLON</v>
      </c>
      <c r="D511" s="40" t="str">
        <f ca="1">IFERROR(__xludf.DUMMYFUNCTION("""COMPUTED_VALUE"""),"CC")</f>
        <v>CC</v>
      </c>
      <c r="E511" s="40">
        <f ca="1">IFERROR(__xludf.DUMMYFUNCTION("""COMPUTED_VALUE"""),26428939)</f>
        <v>26428939</v>
      </c>
      <c r="F511" s="40">
        <f ca="1">IFERROR(__xludf.DUMMYFUNCTION("""COMPUTED_VALUE"""),1835249)</f>
        <v>1835249</v>
      </c>
      <c r="G511" s="40" t="str">
        <f ca="1">IFERROR(__xludf.DUMMYFUNCTION("""COMPUTED_VALUE"""),"TÉCNICO")</f>
        <v>TÉCNICO</v>
      </c>
      <c r="H511" s="40" t="str">
        <f ca="1">IFERROR(__xludf.DUMMYFUNCTION("""COMPUTED_VALUE"""),"PRODUCCIÓN DE CAFÉS ESPECIALES")</f>
        <v>PRODUCCIÓN DE CAFÉS ESPECIALES</v>
      </c>
      <c r="I511" s="40"/>
      <c r="J511" s="40"/>
      <c r="K511" s="40"/>
      <c r="L511" s="40" t="str">
        <f ca="1">IFERROR(__xludf.DUMMYFUNCTION("""COMPUTED_VALUE"""),"NO HA INICIADO ETAPA PRODUCTIVA")</f>
        <v>NO HA INICIADO ETAPA PRODUCTIVA</v>
      </c>
      <c r="M511" s="40"/>
      <c r="N511" s="40"/>
      <c r="O511" s="40"/>
      <c r="P511" s="40"/>
      <c r="Q511" s="40"/>
      <c r="R511" s="140"/>
      <c r="S511" s="1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t="str">
        <f ca="1">IFERROR(__xludf.DUMMYFUNCTION("""COMPUTED_VALUE"""),"Procede_E_P")</f>
        <v>Procede_E_P</v>
      </c>
      <c r="AV511" s="40" t="str">
        <f ca="1">IFERROR(__xludf.DUMMYFUNCTION("""COMPUTED_VALUE"""),"EN FORMACION")</f>
        <v>EN FORMACION</v>
      </c>
      <c r="AW511" s="40" t="str">
        <f ca="1">IFERROR(__xludf.DUMMYFUNCTION("""COMPUTED_VALUE"""),"AGROPECUARIO")</f>
        <v>AGROPECUARIO</v>
      </c>
      <c r="AX511" s="141">
        <f ca="1">IFERROR(__xludf.DUMMYFUNCTION("""COMPUTED_VALUE"""),44848)</f>
        <v>44848</v>
      </c>
      <c r="AY511" s="40">
        <f ca="1">IFERROR(__xludf.DUMMYFUNCTION("""COMPUTED_VALUE"""),0)</f>
        <v>0</v>
      </c>
      <c r="AZ511" s="40">
        <f ca="1">IFERROR(__xludf.DUMMYFUNCTION("""COMPUTED_VALUE"""),1)</f>
        <v>1</v>
      </c>
      <c r="BA511" s="40">
        <f ca="1">IFERROR(__xludf.DUMMYFUNCTION("""COMPUTED_VALUE"""),0)</f>
        <v>0</v>
      </c>
      <c r="BB511" s="40">
        <f ca="1">IFERROR(__xludf.DUMMYFUNCTION("""COMPUTED_VALUE"""),0)</f>
        <v>0</v>
      </c>
      <c r="BC511" s="40">
        <f ca="1">IFERROR(__xludf.DUMMYFUNCTION("""COMPUTED_VALUE"""),1)</f>
        <v>1</v>
      </c>
      <c r="BD511" s="141">
        <f ca="1">IFERROR(__xludf.DUMMYFUNCTION("""COMPUTED_VALUE"""),43577)</f>
        <v>43577</v>
      </c>
      <c r="BE511" s="141">
        <f ca="1">IFERROR(__xludf.DUMMYFUNCTION("""COMPUTED_VALUE"""),43760)</f>
        <v>43760</v>
      </c>
      <c r="BF511" s="141">
        <f ca="1">IFERROR(__xludf.DUMMYFUNCTION("""COMPUTED_VALUE"""),43943)</f>
        <v>43943</v>
      </c>
      <c r="BG511" s="141">
        <f ca="1">IFERROR(__xludf.DUMMYFUNCTION("""COMPUTED_VALUE"""),44491)</f>
        <v>44491</v>
      </c>
      <c r="BH511" s="40" t="str">
        <f ca="1">IFERROR(__xludf.DUMMYFUNCTION("""COMPUTED_VALUE"""),"FINALIZAR FICHA")</f>
        <v>FINALIZAR FICHA</v>
      </c>
      <c r="BI511" s="40" t="str">
        <f ca="1">IFERROR(__xludf.DUMMYFUNCTION("""COMPUTED_VALUE"""),"Terminada por Fecha     ")</f>
        <v xml:space="preserve">Terminada por Fecha     </v>
      </c>
      <c r="BJ511" s="40" t="str">
        <f ca="1">IFERROR(__xludf.DUMMYFUNCTION("""COMPUTED_VALUE"""),"Yamboro")</f>
        <v>Yamboro</v>
      </c>
      <c r="BK511" s="40"/>
      <c r="BL511" s="40"/>
    </row>
    <row r="512" spans="1:64" ht="13">
      <c r="A512" s="40"/>
      <c r="B512" s="40" t="str">
        <f ca="1">IFERROR(__xludf.DUMMYFUNCTION("""COMPUTED_VALUE"""),"FORMACIÓN 18/10/2022")</f>
        <v>FORMACIÓN 18/10/2022</v>
      </c>
      <c r="C512" s="40" t="str">
        <f ca="1">IFERROR(__xludf.DUMMYFUNCTION("""COMPUTED_VALUE"""),"ERIKA YURLANY TOVAR PERDOMO")</f>
        <v>ERIKA YURLANY TOVAR PERDOMO</v>
      </c>
      <c r="D512" s="40" t="str">
        <f ca="1">IFERROR(__xludf.DUMMYFUNCTION("""COMPUTED_VALUE"""),"TI")</f>
        <v>TI</v>
      </c>
      <c r="E512" s="40">
        <f ca="1">IFERROR(__xludf.DUMMYFUNCTION("""COMPUTED_VALUE"""),26428939)</f>
        <v>26428939</v>
      </c>
      <c r="F512" s="40">
        <f ca="1">IFERROR(__xludf.DUMMYFUNCTION("""COMPUTED_VALUE"""),1880729)</f>
        <v>1880729</v>
      </c>
      <c r="G512" s="40" t="str">
        <f ca="1">IFERROR(__xludf.DUMMYFUNCTION("""COMPUTED_VALUE"""),"TÉCNICO")</f>
        <v>TÉCNICO</v>
      </c>
      <c r="H512" s="40" t="str">
        <f ca="1">IFERROR(__xludf.DUMMYFUNCTION("""COMPUTED_VALUE"""),"SERVICIOS DE BARISMO")</f>
        <v>SERVICIOS DE BARISMO</v>
      </c>
      <c r="I512" s="40">
        <f ca="1">IFERROR(__xludf.DUMMYFUNCTION("""COMPUTED_VALUE"""),3208513665)</f>
        <v>3208513665</v>
      </c>
      <c r="J512" s="40" t="str">
        <f ca="1">IFERROR(__xludf.DUMMYFUNCTION("""COMPUTED_VALUE"""),"erikaperdomo62@gmail.com")</f>
        <v>erikaperdomo62@gmail.com</v>
      </c>
      <c r="K512" s="40" t="str">
        <f ca="1">IFERROR(__xludf.DUMMYFUNCTION("""COMPUTED_VALUE"""),"PITALITO")</f>
        <v>PITALITO</v>
      </c>
      <c r="L512" s="40" t="str">
        <f ca="1">IFERROR(__xludf.DUMMYFUNCTION("""COMPUTED_VALUE"""),"NO HA INICIADO ETAPA PRODUCTIVA")</f>
        <v>NO HA INICIADO ETAPA PRODUCTIVA</v>
      </c>
      <c r="M512" s="40"/>
      <c r="N512" s="40"/>
      <c r="O512" s="40"/>
      <c r="P512" s="40"/>
      <c r="Q512" s="40"/>
      <c r="R512" s="140"/>
      <c r="S512" s="1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t="str">
        <f ca="1">IFERROR(__xludf.DUMMYFUNCTION("""COMPUTED_VALUE"""),"NO_CUMPLE")</f>
        <v>NO_CUMPLE</v>
      </c>
      <c r="AV512" s="40" t="str">
        <f ca="1">IFERROR(__xludf.DUMMYFUNCTION("""COMPUTED_VALUE"""),"EN FORMACION")</f>
        <v>EN FORMACION</v>
      </c>
      <c r="AW512" s="40" t="str">
        <f ca="1">IFERROR(__xludf.DUMMYFUNCTION("""COMPUTED_VALUE"""),"TURISMO")</f>
        <v>TURISMO</v>
      </c>
      <c r="AX512" s="141">
        <f ca="1">IFERROR(__xludf.DUMMYFUNCTION("""COMPUTED_VALUE"""),44848)</f>
        <v>44848</v>
      </c>
      <c r="AY512" s="40">
        <f ca="1">IFERROR(__xludf.DUMMYFUNCTION("""COMPUTED_VALUE"""),0)</f>
        <v>0</v>
      </c>
      <c r="AZ512" s="40">
        <f ca="1">IFERROR(__xludf.DUMMYFUNCTION("""COMPUTED_VALUE"""),1)</f>
        <v>1</v>
      </c>
      <c r="BA512" s="40">
        <f ca="1">IFERROR(__xludf.DUMMYFUNCTION("""COMPUTED_VALUE"""),6)</f>
        <v>6</v>
      </c>
      <c r="BB512" s="40">
        <f ca="1">IFERROR(__xludf.DUMMYFUNCTION("""COMPUTED_VALUE"""),0)</f>
        <v>0</v>
      </c>
      <c r="BC512" s="40">
        <f ca="1">IFERROR(__xludf.DUMMYFUNCTION("""COMPUTED_VALUE"""),7)</f>
        <v>7</v>
      </c>
      <c r="BD512" s="141">
        <f ca="1">IFERROR(__xludf.DUMMYFUNCTION("""COMPUTED_VALUE"""),43577)</f>
        <v>43577</v>
      </c>
      <c r="BE512" s="141">
        <f ca="1">IFERROR(__xludf.DUMMYFUNCTION("""COMPUTED_VALUE"""),43852)</f>
        <v>43852</v>
      </c>
      <c r="BF512" s="141">
        <f ca="1">IFERROR(__xludf.DUMMYFUNCTION("""COMPUTED_VALUE"""),44034)</f>
        <v>44034</v>
      </c>
      <c r="BG512" s="141">
        <f ca="1">IFERROR(__xludf.DUMMYFUNCTION("""COMPUTED_VALUE"""),44583)</f>
        <v>44583</v>
      </c>
      <c r="BH512" s="40" t="str">
        <f ca="1">IFERROR(__xludf.DUMMYFUNCTION("""COMPUTED_VALUE"""),"FINALIZAR FICHA")</f>
        <v>FINALIZAR FICHA</v>
      </c>
      <c r="BI512" s="40" t="str">
        <f ca="1">IFERROR(__xludf.DUMMYFUNCTION("""COMPUTED_VALUE"""),"Terminada por Fecha     ")</f>
        <v xml:space="preserve">Terminada por Fecha     </v>
      </c>
      <c r="BJ512" s="40" t="str">
        <f ca="1">IFERROR(__xludf.DUMMYFUNCTION("""COMPUTED_VALUE"""),"Yamboro")</f>
        <v>Yamboro</v>
      </c>
      <c r="BK512" s="40"/>
      <c r="BL512" s="40"/>
    </row>
    <row r="513" spans="1:64" ht="13">
      <c r="A513" s="40"/>
      <c r="B513" s="40" t="str">
        <f ca="1">IFERROR(__xludf.DUMMYFUNCTION("""COMPUTED_VALUE"""),"FORMACIÓN 18/10/2022")</f>
        <v>FORMACIÓN 18/10/2022</v>
      </c>
      <c r="C513" s="40" t="str">
        <f ca="1">IFERROR(__xludf.DUMMYFUNCTION("""COMPUTED_VALUE"""),"DORA CECILIA PAPAMIJA ANACONA")</f>
        <v>DORA CECILIA PAPAMIJA ANACONA</v>
      </c>
      <c r="D513" s="40" t="str">
        <f ca="1">IFERROR(__xludf.DUMMYFUNCTION("""COMPUTED_VALUE"""),"CC")</f>
        <v>CC</v>
      </c>
      <c r="E513" s="40">
        <f ca="1">IFERROR(__xludf.DUMMYFUNCTION("""COMPUTED_VALUE"""),26428939)</f>
        <v>26428939</v>
      </c>
      <c r="F513" s="40">
        <f ca="1">IFERROR(__xludf.DUMMYFUNCTION("""COMPUTED_VALUE"""),1880729)</f>
        <v>1880729</v>
      </c>
      <c r="G513" s="40" t="str">
        <f ca="1">IFERROR(__xludf.DUMMYFUNCTION("""COMPUTED_VALUE"""),"TÉCNICO")</f>
        <v>TÉCNICO</v>
      </c>
      <c r="H513" s="40" t="str">
        <f ca="1">IFERROR(__xludf.DUMMYFUNCTION("""COMPUTED_VALUE"""),"SERVICIOS DE BARISMO")</f>
        <v>SERVICIOS DE BARISMO</v>
      </c>
      <c r="I513" s="40">
        <f ca="1">IFERROR(__xludf.DUMMYFUNCTION("""COMPUTED_VALUE"""),3214623021)</f>
        <v>3214623021</v>
      </c>
      <c r="J513" s="40" t="str">
        <f ca="1">IFERROR(__xludf.DUMMYFUNCTION("""COMPUTED_VALUE"""),"ceciliapapamija@gmail.com")</f>
        <v>ceciliapapamija@gmail.com</v>
      </c>
      <c r="K513" s="40" t="str">
        <f ca="1">IFERROR(__xludf.DUMMYFUNCTION("""COMPUTED_VALUE"""),"PITALITO")</f>
        <v>PITALITO</v>
      </c>
      <c r="L513" s="40" t="str">
        <f ca="1">IFERROR(__xludf.DUMMYFUNCTION("""COMPUTED_VALUE"""),"NO HA INICIADO ETAPA PRODUCTIVA")</f>
        <v>NO HA INICIADO ETAPA PRODUCTIVA</v>
      </c>
      <c r="M513" s="40"/>
      <c r="N513" s="40"/>
      <c r="O513" s="40"/>
      <c r="P513" s="40"/>
      <c r="Q513" s="40"/>
      <c r="R513" s="140"/>
      <c r="S513" s="1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t="str">
        <f ca="1">IFERROR(__xludf.DUMMYFUNCTION("""COMPUTED_VALUE"""),"Procede_E_P")</f>
        <v>Procede_E_P</v>
      </c>
      <c r="AV513" s="40" t="str">
        <f ca="1">IFERROR(__xludf.DUMMYFUNCTION("""COMPUTED_VALUE"""),"EN FORMACION")</f>
        <v>EN FORMACION</v>
      </c>
      <c r="AW513" s="40" t="str">
        <f ca="1">IFERROR(__xludf.DUMMYFUNCTION("""COMPUTED_VALUE"""),"TURISMO")</f>
        <v>TURISMO</v>
      </c>
      <c r="AX513" s="141">
        <f ca="1">IFERROR(__xludf.DUMMYFUNCTION("""COMPUTED_VALUE"""),44848)</f>
        <v>44848</v>
      </c>
      <c r="AY513" s="40">
        <f ca="1">IFERROR(__xludf.DUMMYFUNCTION("""COMPUTED_VALUE"""),0)</f>
        <v>0</v>
      </c>
      <c r="AZ513" s="40">
        <f ca="1">IFERROR(__xludf.DUMMYFUNCTION("""COMPUTED_VALUE"""),1)</f>
        <v>1</v>
      </c>
      <c r="BA513" s="40">
        <f ca="1">IFERROR(__xludf.DUMMYFUNCTION("""COMPUTED_VALUE"""),0)</f>
        <v>0</v>
      </c>
      <c r="BB513" s="40">
        <f ca="1">IFERROR(__xludf.DUMMYFUNCTION("""COMPUTED_VALUE"""),0)</f>
        <v>0</v>
      </c>
      <c r="BC513" s="40">
        <f ca="1">IFERROR(__xludf.DUMMYFUNCTION("""COMPUTED_VALUE"""),1)</f>
        <v>1</v>
      </c>
      <c r="BD513" s="141">
        <f ca="1">IFERROR(__xludf.DUMMYFUNCTION("""COMPUTED_VALUE"""),43577)</f>
        <v>43577</v>
      </c>
      <c r="BE513" s="141">
        <f ca="1">IFERROR(__xludf.DUMMYFUNCTION("""COMPUTED_VALUE"""),43852)</f>
        <v>43852</v>
      </c>
      <c r="BF513" s="141">
        <f ca="1">IFERROR(__xludf.DUMMYFUNCTION("""COMPUTED_VALUE"""),44034)</f>
        <v>44034</v>
      </c>
      <c r="BG513" s="141">
        <f ca="1">IFERROR(__xludf.DUMMYFUNCTION("""COMPUTED_VALUE"""),44583)</f>
        <v>44583</v>
      </c>
      <c r="BH513" s="40" t="str">
        <f ca="1">IFERROR(__xludf.DUMMYFUNCTION("""COMPUTED_VALUE"""),"FINALIZAR FICHA")</f>
        <v>FINALIZAR FICHA</v>
      </c>
      <c r="BI513" s="40" t="str">
        <f ca="1">IFERROR(__xludf.DUMMYFUNCTION("""COMPUTED_VALUE"""),"Terminada por Fecha     ")</f>
        <v xml:space="preserve">Terminada por Fecha     </v>
      </c>
      <c r="BJ513" s="40" t="str">
        <f ca="1">IFERROR(__xludf.DUMMYFUNCTION("""COMPUTED_VALUE"""),"Yamboro")</f>
        <v>Yamboro</v>
      </c>
      <c r="BK513" s="40"/>
      <c r="BL513" s="40"/>
    </row>
    <row r="514" spans="1:64" ht="13">
      <c r="A514" s="40"/>
      <c r="B514" s="40" t="str">
        <f ca="1">IFERROR(__xludf.DUMMYFUNCTION("""COMPUTED_VALUE"""),"FORMACIÓN 18/10/2022")</f>
        <v>FORMACIÓN 18/10/2022</v>
      </c>
      <c r="C514" s="40" t="str">
        <f ca="1">IFERROR(__xludf.DUMMYFUNCTION("""COMPUTED_VALUE"""),"MARLY MOLINA MUÑOZ")</f>
        <v>MARLY MOLINA MUÑOZ</v>
      </c>
      <c r="D514" s="40" t="str">
        <f ca="1">IFERROR(__xludf.DUMMYFUNCTION("""COMPUTED_VALUE"""),"TI")</f>
        <v>TI</v>
      </c>
      <c r="E514" s="40">
        <f ca="1">IFERROR(__xludf.DUMMYFUNCTION("""COMPUTED_VALUE"""),26428939)</f>
        <v>26428939</v>
      </c>
      <c r="F514" s="40">
        <f ca="1">IFERROR(__xludf.DUMMYFUNCTION("""COMPUTED_VALUE"""),1880729)</f>
        <v>1880729</v>
      </c>
      <c r="G514" s="40" t="str">
        <f ca="1">IFERROR(__xludf.DUMMYFUNCTION("""COMPUTED_VALUE"""),"TÉCNICO")</f>
        <v>TÉCNICO</v>
      </c>
      <c r="H514" s="40" t="str">
        <f ca="1">IFERROR(__xludf.DUMMYFUNCTION("""COMPUTED_VALUE"""),"SERVICIOS DE BARISMO")</f>
        <v>SERVICIOS DE BARISMO</v>
      </c>
      <c r="I514" s="40"/>
      <c r="J514" s="40" t="str">
        <f ca="1">IFERROR(__xludf.DUMMYFUNCTION("""COMPUTED_VALUE"""),"marlymolina1212@gmail.com")</f>
        <v>marlymolina1212@gmail.com</v>
      </c>
      <c r="K514" s="40"/>
      <c r="L514" s="40" t="str">
        <f ca="1">IFERROR(__xludf.DUMMYFUNCTION("""COMPUTED_VALUE"""),"NO HA INICIADO ETAPA PRODUCTIVA")</f>
        <v>NO HA INICIADO ETAPA PRODUCTIVA</v>
      </c>
      <c r="M514" s="40"/>
      <c r="N514" s="40"/>
      <c r="O514" s="40"/>
      <c r="P514" s="40"/>
      <c r="Q514" s="40"/>
      <c r="R514" s="140"/>
      <c r="S514" s="1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t="str">
        <f ca="1">IFERROR(__xludf.DUMMYFUNCTION("""COMPUTED_VALUE"""),"NO_CUMPLE")</f>
        <v>NO_CUMPLE</v>
      </c>
      <c r="AV514" s="40" t="str">
        <f ca="1">IFERROR(__xludf.DUMMYFUNCTION("""COMPUTED_VALUE"""),"EN FORMACION")</f>
        <v>EN FORMACION</v>
      </c>
      <c r="AW514" s="40" t="str">
        <f ca="1">IFERROR(__xludf.DUMMYFUNCTION("""COMPUTED_VALUE"""),"TURISMO")</f>
        <v>TURISMO</v>
      </c>
      <c r="AX514" s="141">
        <f ca="1">IFERROR(__xludf.DUMMYFUNCTION("""COMPUTED_VALUE"""),44848)</f>
        <v>44848</v>
      </c>
      <c r="AY514" s="40">
        <f ca="1">IFERROR(__xludf.DUMMYFUNCTION("""COMPUTED_VALUE"""),4)</f>
        <v>4</v>
      </c>
      <c r="AZ514" s="40">
        <f ca="1">IFERROR(__xludf.DUMMYFUNCTION("""COMPUTED_VALUE"""),1)</f>
        <v>1</v>
      </c>
      <c r="BA514" s="40">
        <f ca="1">IFERROR(__xludf.DUMMYFUNCTION("""COMPUTED_VALUE"""),6)</f>
        <v>6</v>
      </c>
      <c r="BB514" s="40">
        <f ca="1">IFERROR(__xludf.DUMMYFUNCTION("""COMPUTED_VALUE"""),1)</f>
        <v>1</v>
      </c>
      <c r="BC514" s="40">
        <f ca="1">IFERROR(__xludf.DUMMYFUNCTION("""COMPUTED_VALUE"""),12)</f>
        <v>12</v>
      </c>
      <c r="BD514" s="141">
        <f ca="1">IFERROR(__xludf.DUMMYFUNCTION("""COMPUTED_VALUE"""),43577)</f>
        <v>43577</v>
      </c>
      <c r="BE514" s="141">
        <f ca="1">IFERROR(__xludf.DUMMYFUNCTION("""COMPUTED_VALUE"""),43852)</f>
        <v>43852</v>
      </c>
      <c r="BF514" s="141">
        <f ca="1">IFERROR(__xludf.DUMMYFUNCTION("""COMPUTED_VALUE"""),44034)</f>
        <v>44034</v>
      </c>
      <c r="BG514" s="141">
        <f ca="1">IFERROR(__xludf.DUMMYFUNCTION("""COMPUTED_VALUE"""),44583)</f>
        <v>44583</v>
      </c>
      <c r="BH514" s="40" t="str">
        <f ca="1">IFERROR(__xludf.DUMMYFUNCTION("""COMPUTED_VALUE"""),"FINALIZAR FICHA")</f>
        <v>FINALIZAR FICHA</v>
      </c>
      <c r="BI514" s="40" t="str">
        <f ca="1">IFERROR(__xludf.DUMMYFUNCTION("""COMPUTED_VALUE"""),"Terminada por Fecha     ")</f>
        <v xml:space="preserve">Terminada por Fecha     </v>
      </c>
      <c r="BJ514" s="40" t="str">
        <f ca="1">IFERROR(__xludf.DUMMYFUNCTION("""COMPUTED_VALUE"""),"Yamboro")</f>
        <v>Yamboro</v>
      </c>
      <c r="BK514" s="40"/>
      <c r="BL514" s="40"/>
    </row>
    <row r="515" spans="1:64" ht="13">
      <c r="A515" s="40"/>
      <c r="B515" s="40" t="str">
        <f ca="1">IFERROR(__xludf.DUMMYFUNCTION("""COMPUTED_VALUE"""),"FORMACIÓN 18/10/2022")</f>
        <v>FORMACIÓN 18/10/2022</v>
      </c>
      <c r="C515" s="40" t="str">
        <f ca="1">IFERROR(__xludf.DUMMYFUNCTION("""COMPUTED_VALUE"""),"ANDRITH JULIETH BOLAÑOS CHAVEZ")</f>
        <v>ANDRITH JULIETH BOLAÑOS CHAVEZ</v>
      </c>
      <c r="D515" s="40" t="str">
        <f ca="1">IFERROR(__xludf.DUMMYFUNCTION("""COMPUTED_VALUE"""),"TI")</f>
        <v>TI</v>
      </c>
      <c r="E515" s="40">
        <f ca="1">IFERROR(__xludf.DUMMYFUNCTION("""COMPUTED_VALUE"""),26428939)</f>
        <v>26428939</v>
      </c>
      <c r="F515" s="40">
        <f ca="1">IFERROR(__xludf.DUMMYFUNCTION("""COMPUTED_VALUE"""),1880729)</f>
        <v>1880729</v>
      </c>
      <c r="G515" s="40" t="str">
        <f ca="1">IFERROR(__xludf.DUMMYFUNCTION("""COMPUTED_VALUE"""),"TÉCNICO")</f>
        <v>TÉCNICO</v>
      </c>
      <c r="H515" s="40" t="str">
        <f ca="1">IFERROR(__xludf.DUMMYFUNCTION("""COMPUTED_VALUE"""),"SERVICIOS DE BARISMO")</f>
        <v>SERVICIOS DE BARISMO</v>
      </c>
      <c r="I515" s="40">
        <f ca="1">IFERROR(__xludf.DUMMYFUNCTION("""COMPUTED_VALUE"""),3203993522)</f>
        <v>3203993522</v>
      </c>
      <c r="J515" s="40" t="str">
        <f ca="1">IFERROR(__xludf.DUMMYFUNCTION("""COMPUTED_VALUE"""),"andrijuliet2012@hotmail.com")</f>
        <v>andrijuliet2012@hotmail.com</v>
      </c>
      <c r="K515" s="40" t="str">
        <f ca="1">IFERROR(__xludf.DUMMYFUNCTION("""COMPUTED_VALUE"""),"PITALITO")</f>
        <v>PITALITO</v>
      </c>
      <c r="L515" s="40" t="str">
        <f ca="1">IFERROR(__xludf.DUMMYFUNCTION("""COMPUTED_VALUE"""),"NO HA INICIADO ETAPA PRODUCTIVA")</f>
        <v>NO HA INICIADO ETAPA PRODUCTIVA</v>
      </c>
      <c r="M515" s="40"/>
      <c r="N515" s="40"/>
      <c r="O515" s="40"/>
      <c r="P515" s="40"/>
      <c r="Q515" s="40"/>
      <c r="R515" s="140"/>
      <c r="S515" s="1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t="str">
        <f ca="1">IFERROR(__xludf.DUMMYFUNCTION("""COMPUTED_VALUE"""),"NO_CUMPLE")</f>
        <v>NO_CUMPLE</v>
      </c>
      <c r="AV515" s="40" t="str">
        <f ca="1">IFERROR(__xludf.DUMMYFUNCTION("""COMPUTED_VALUE"""),"EN FORMACION")</f>
        <v>EN FORMACION</v>
      </c>
      <c r="AW515" s="40" t="str">
        <f ca="1">IFERROR(__xludf.DUMMYFUNCTION("""COMPUTED_VALUE"""),"TURISMO")</f>
        <v>TURISMO</v>
      </c>
      <c r="AX515" s="141">
        <f ca="1">IFERROR(__xludf.DUMMYFUNCTION("""COMPUTED_VALUE"""),44848)</f>
        <v>44848</v>
      </c>
      <c r="AY515" s="40">
        <f ca="1">IFERROR(__xludf.DUMMYFUNCTION("""COMPUTED_VALUE"""),0)</f>
        <v>0</v>
      </c>
      <c r="AZ515" s="40">
        <f ca="1">IFERROR(__xludf.DUMMYFUNCTION("""COMPUTED_VALUE"""),1)</f>
        <v>1</v>
      </c>
      <c r="BA515" s="40">
        <f ca="1">IFERROR(__xludf.DUMMYFUNCTION("""COMPUTED_VALUE"""),6)</f>
        <v>6</v>
      </c>
      <c r="BB515" s="40">
        <f ca="1">IFERROR(__xludf.DUMMYFUNCTION("""COMPUTED_VALUE"""),1)</f>
        <v>1</v>
      </c>
      <c r="BC515" s="40">
        <f ca="1">IFERROR(__xludf.DUMMYFUNCTION("""COMPUTED_VALUE"""),8)</f>
        <v>8</v>
      </c>
      <c r="BD515" s="141">
        <f ca="1">IFERROR(__xludf.DUMMYFUNCTION("""COMPUTED_VALUE"""),43577)</f>
        <v>43577</v>
      </c>
      <c r="BE515" s="141">
        <f ca="1">IFERROR(__xludf.DUMMYFUNCTION("""COMPUTED_VALUE"""),43852)</f>
        <v>43852</v>
      </c>
      <c r="BF515" s="141">
        <f ca="1">IFERROR(__xludf.DUMMYFUNCTION("""COMPUTED_VALUE"""),44034)</f>
        <v>44034</v>
      </c>
      <c r="BG515" s="141">
        <f ca="1">IFERROR(__xludf.DUMMYFUNCTION("""COMPUTED_VALUE"""),44583)</f>
        <v>44583</v>
      </c>
      <c r="BH515" s="40" t="str">
        <f ca="1">IFERROR(__xludf.DUMMYFUNCTION("""COMPUTED_VALUE"""),"FINALIZAR FICHA")</f>
        <v>FINALIZAR FICHA</v>
      </c>
      <c r="BI515" s="40" t="str">
        <f ca="1">IFERROR(__xludf.DUMMYFUNCTION("""COMPUTED_VALUE"""),"Terminada por Fecha     ")</f>
        <v xml:space="preserve">Terminada por Fecha     </v>
      </c>
      <c r="BJ515" s="40" t="str">
        <f ca="1">IFERROR(__xludf.DUMMYFUNCTION("""COMPUTED_VALUE"""),"Yamboro")</f>
        <v>Yamboro</v>
      </c>
      <c r="BK515" s="40"/>
      <c r="BL515" s="40"/>
    </row>
    <row r="516" spans="1:64" ht="13">
      <c r="A516" s="40"/>
      <c r="B516" s="40" t="str">
        <f ca="1">IFERROR(__xludf.DUMMYFUNCTION("""COMPUTED_VALUE"""),"FORMACIÓN 18/10/2022")</f>
        <v>FORMACIÓN 18/10/2022</v>
      </c>
      <c r="C516" s="40" t="str">
        <f ca="1">IFERROR(__xludf.DUMMYFUNCTION("""COMPUTED_VALUE"""),"YUDI JIMENA RUBIANO TIERRADENTRO")</f>
        <v>YUDI JIMENA RUBIANO TIERRADENTRO</v>
      </c>
      <c r="D516" s="40" t="str">
        <f ca="1">IFERROR(__xludf.DUMMYFUNCTION("""COMPUTED_VALUE"""),"CC")</f>
        <v>CC</v>
      </c>
      <c r="E516" s="40">
        <f ca="1">IFERROR(__xludf.DUMMYFUNCTION("""COMPUTED_VALUE"""),26428939)</f>
        <v>26428939</v>
      </c>
      <c r="F516" s="40">
        <f ca="1">IFERROR(__xludf.DUMMYFUNCTION("""COMPUTED_VALUE"""),1880729)</f>
        <v>1880729</v>
      </c>
      <c r="G516" s="40" t="str">
        <f ca="1">IFERROR(__xludf.DUMMYFUNCTION("""COMPUTED_VALUE"""),"TÉCNICO")</f>
        <v>TÉCNICO</v>
      </c>
      <c r="H516" s="40" t="str">
        <f ca="1">IFERROR(__xludf.DUMMYFUNCTION("""COMPUTED_VALUE"""),"SERVICIOS DE BARISMO")</f>
        <v>SERVICIOS DE BARISMO</v>
      </c>
      <c r="I516" s="40"/>
      <c r="J516" s="40"/>
      <c r="K516" s="40"/>
      <c r="L516" s="40" t="str">
        <f ca="1">IFERROR(__xludf.DUMMYFUNCTION("""COMPUTED_VALUE"""),"NO HA INICIADO ETAPA PRODUCTIVA")</f>
        <v>NO HA INICIADO ETAPA PRODUCTIVA</v>
      </c>
      <c r="M516" s="40"/>
      <c r="N516" s="40"/>
      <c r="O516" s="40"/>
      <c r="P516" s="40"/>
      <c r="Q516" s="40"/>
      <c r="R516" s="140"/>
      <c r="S516" s="1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t="str">
        <f ca="1">IFERROR(__xludf.DUMMYFUNCTION("""COMPUTED_VALUE"""),"NO_CUMPLE")</f>
        <v>NO_CUMPLE</v>
      </c>
      <c r="AV516" s="40" t="str">
        <f ca="1">IFERROR(__xludf.DUMMYFUNCTION("""COMPUTED_VALUE"""),"EN FORMACION")</f>
        <v>EN FORMACION</v>
      </c>
      <c r="AW516" s="40" t="str">
        <f ca="1">IFERROR(__xludf.DUMMYFUNCTION("""COMPUTED_VALUE"""),"TURISMO")</f>
        <v>TURISMO</v>
      </c>
      <c r="AX516" s="141">
        <f ca="1">IFERROR(__xludf.DUMMYFUNCTION("""COMPUTED_VALUE"""),44848)</f>
        <v>44848</v>
      </c>
      <c r="AY516" s="40">
        <f ca="1">IFERROR(__xludf.DUMMYFUNCTION("""COMPUTED_VALUE"""),19)</f>
        <v>19</v>
      </c>
      <c r="AZ516" s="40">
        <f ca="1">IFERROR(__xludf.DUMMYFUNCTION("""COMPUTED_VALUE"""),1)</f>
        <v>1</v>
      </c>
      <c r="BA516" s="40">
        <f ca="1">IFERROR(__xludf.DUMMYFUNCTION("""COMPUTED_VALUE"""),6)</f>
        <v>6</v>
      </c>
      <c r="BB516" s="40">
        <f ca="1">IFERROR(__xludf.DUMMYFUNCTION("""COMPUTED_VALUE"""),7)</f>
        <v>7</v>
      </c>
      <c r="BC516" s="40">
        <f ca="1">IFERROR(__xludf.DUMMYFUNCTION("""COMPUTED_VALUE"""),33)</f>
        <v>33</v>
      </c>
      <c r="BD516" s="141">
        <f ca="1">IFERROR(__xludf.DUMMYFUNCTION("""COMPUTED_VALUE"""),43577)</f>
        <v>43577</v>
      </c>
      <c r="BE516" s="141">
        <f ca="1">IFERROR(__xludf.DUMMYFUNCTION("""COMPUTED_VALUE"""),43852)</f>
        <v>43852</v>
      </c>
      <c r="BF516" s="141">
        <f ca="1">IFERROR(__xludf.DUMMYFUNCTION("""COMPUTED_VALUE"""),44034)</f>
        <v>44034</v>
      </c>
      <c r="BG516" s="141">
        <f ca="1">IFERROR(__xludf.DUMMYFUNCTION("""COMPUTED_VALUE"""),44583)</f>
        <v>44583</v>
      </c>
      <c r="BH516" s="40" t="str">
        <f ca="1">IFERROR(__xludf.DUMMYFUNCTION("""COMPUTED_VALUE"""),"FINALIZAR FICHA")</f>
        <v>FINALIZAR FICHA</v>
      </c>
      <c r="BI516" s="40" t="str">
        <f ca="1">IFERROR(__xludf.DUMMYFUNCTION("""COMPUTED_VALUE"""),"Terminada por Fecha     ")</f>
        <v xml:space="preserve">Terminada por Fecha     </v>
      </c>
      <c r="BJ516" s="40" t="str">
        <f ca="1">IFERROR(__xludf.DUMMYFUNCTION("""COMPUTED_VALUE"""),"Yamboro")</f>
        <v>Yamboro</v>
      </c>
      <c r="BK516" s="40"/>
      <c r="BL516" s="40"/>
    </row>
    <row r="517" spans="1:64" ht="13">
      <c r="A517" s="40"/>
      <c r="B517" s="40" t="str">
        <f ca="1">IFERROR(__xludf.DUMMYFUNCTION("""COMPUTED_VALUE"""),"FORMACIÓN 18/10/2022")</f>
        <v>FORMACIÓN 18/10/2022</v>
      </c>
      <c r="C517" s="40" t="str">
        <f ca="1">IFERROR(__xludf.DUMMYFUNCTION("""COMPUTED_VALUE"""),"DAIRON ALEXIS PERAFAN SOTELO")</f>
        <v>DAIRON ALEXIS PERAFAN SOTELO</v>
      </c>
      <c r="D517" s="40" t="str">
        <f ca="1">IFERROR(__xludf.DUMMYFUNCTION("""COMPUTED_VALUE"""),"CC")</f>
        <v>CC</v>
      </c>
      <c r="E517" s="40">
        <f ca="1">IFERROR(__xludf.DUMMYFUNCTION("""COMPUTED_VALUE"""),26428939)</f>
        <v>26428939</v>
      </c>
      <c r="F517" s="40">
        <f ca="1">IFERROR(__xludf.DUMMYFUNCTION("""COMPUTED_VALUE"""),1880729)</f>
        <v>1880729</v>
      </c>
      <c r="G517" s="40" t="str">
        <f ca="1">IFERROR(__xludf.DUMMYFUNCTION("""COMPUTED_VALUE"""),"TÉCNICO")</f>
        <v>TÉCNICO</v>
      </c>
      <c r="H517" s="40" t="str">
        <f ca="1">IFERROR(__xludf.DUMMYFUNCTION("""COMPUTED_VALUE"""),"SERVICIOS DE BARISMO")</f>
        <v>SERVICIOS DE BARISMO</v>
      </c>
      <c r="I517" s="40">
        <f ca="1">IFERROR(__xludf.DUMMYFUNCTION("""COMPUTED_VALUE"""),3118598845)</f>
        <v>3118598845</v>
      </c>
      <c r="J517" s="40" t="str">
        <f ca="1">IFERROR(__xludf.DUMMYFUNCTION("""COMPUTED_VALUE"""),"dairon500pino@hotmail.com")</f>
        <v>dairon500pino@hotmail.com</v>
      </c>
      <c r="K517" s="40"/>
      <c r="L517" s="40" t="str">
        <f ca="1">IFERROR(__xludf.DUMMYFUNCTION("""COMPUTED_VALUE"""),"NO HA INICIADO ETAPA PRODUCTIVA")</f>
        <v>NO HA INICIADO ETAPA PRODUCTIVA</v>
      </c>
      <c r="M517" s="40"/>
      <c r="N517" s="40"/>
      <c r="O517" s="40"/>
      <c r="P517" s="40"/>
      <c r="Q517" s="40"/>
      <c r="R517" s="140"/>
      <c r="S517" s="1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t="str">
        <f ca="1">IFERROR(__xludf.DUMMYFUNCTION("""COMPUTED_VALUE"""),"Procede_E_P")</f>
        <v>Procede_E_P</v>
      </c>
      <c r="AV517" s="40" t="str">
        <f ca="1">IFERROR(__xludf.DUMMYFUNCTION("""COMPUTED_VALUE"""),"EN FORMACION")</f>
        <v>EN FORMACION</v>
      </c>
      <c r="AW517" s="40" t="str">
        <f ca="1">IFERROR(__xludf.DUMMYFUNCTION("""COMPUTED_VALUE"""),"TURISMO")</f>
        <v>TURISMO</v>
      </c>
      <c r="AX517" s="141">
        <f ca="1">IFERROR(__xludf.DUMMYFUNCTION("""COMPUTED_VALUE"""),44848)</f>
        <v>44848</v>
      </c>
      <c r="AY517" s="40">
        <f ca="1">IFERROR(__xludf.DUMMYFUNCTION("""COMPUTED_VALUE"""),0)</f>
        <v>0</v>
      </c>
      <c r="AZ517" s="40">
        <f ca="1">IFERROR(__xludf.DUMMYFUNCTION("""COMPUTED_VALUE"""),1)</f>
        <v>1</v>
      </c>
      <c r="BA517" s="40">
        <f ca="1">IFERROR(__xludf.DUMMYFUNCTION("""COMPUTED_VALUE"""),0)</f>
        <v>0</v>
      </c>
      <c r="BB517" s="40">
        <f ca="1">IFERROR(__xludf.DUMMYFUNCTION("""COMPUTED_VALUE"""),0)</f>
        <v>0</v>
      </c>
      <c r="BC517" s="40">
        <f ca="1">IFERROR(__xludf.DUMMYFUNCTION("""COMPUTED_VALUE"""),1)</f>
        <v>1</v>
      </c>
      <c r="BD517" s="141">
        <f ca="1">IFERROR(__xludf.DUMMYFUNCTION("""COMPUTED_VALUE"""),43577)</f>
        <v>43577</v>
      </c>
      <c r="BE517" s="141">
        <f ca="1">IFERROR(__xludf.DUMMYFUNCTION("""COMPUTED_VALUE"""),43852)</f>
        <v>43852</v>
      </c>
      <c r="BF517" s="141">
        <f ca="1">IFERROR(__xludf.DUMMYFUNCTION("""COMPUTED_VALUE"""),44034)</f>
        <v>44034</v>
      </c>
      <c r="BG517" s="141">
        <f ca="1">IFERROR(__xludf.DUMMYFUNCTION("""COMPUTED_VALUE"""),44583)</f>
        <v>44583</v>
      </c>
      <c r="BH517" s="40" t="str">
        <f ca="1">IFERROR(__xludf.DUMMYFUNCTION("""COMPUTED_VALUE"""),"FINALIZAR FICHA")</f>
        <v>FINALIZAR FICHA</v>
      </c>
      <c r="BI517" s="40" t="str">
        <f ca="1">IFERROR(__xludf.DUMMYFUNCTION("""COMPUTED_VALUE"""),"Terminada por Fecha     ")</f>
        <v xml:space="preserve">Terminada por Fecha     </v>
      </c>
      <c r="BJ517" s="40" t="str">
        <f ca="1">IFERROR(__xludf.DUMMYFUNCTION("""COMPUTED_VALUE"""),"Yamboro")</f>
        <v>Yamboro</v>
      </c>
      <c r="BK517" s="40"/>
      <c r="BL517" s="40"/>
    </row>
    <row r="518" spans="1:64" ht="13">
      <c r="A518" s="40"/>
      <c r="B518" s="40" t="str">
        <f ca="1">IFERROR(__xludf.DUMMYFUNCTION("""COMPUTED_VALUE"""),"FORMACIÓN 18/10/2022")</f>
        <v>FORMACIÓN 18/10/2022</v>
      </c>
      <c r="C518" s="40" t="str">
        <f ca="1">IFERROR(__xludf.DUMMYFUNCTION("""COMPUTED_VALUE"""),"MIGUEL ANGEL NOGUERA CERON")</f>
        <v>MIGUEL ANGEL NOGUERA CERON</v>
      </c>
      <c r="D518" s="40" t="str">
        <f ca="1">IFERROR(__xludf.DUMMYFUNCTION("""COMPUTED_VALUE"""),"CC")</f>
        <v>CC</v>
      </c>
      <c r="E518" s="40">
        <f ca="1">IFERROR(__xludf.DUMMYFUNCTION("""COMPUTED_VALUE"""),26428939)</f>
        <v>26428939</v>
      </c>
      <c r="F518" s="40">
        <f ca="1">IFERROR(__xludf.DUMMYFUNCTION("""COMPUTED_VALUE"""),1880729)</f>
        <v>1880729</v>
      </c>
      <c r="G518" s="40" t="str">
        <f ca="1">IFERROR(__xludf.DUMMYFUNCTION("""COMPUTED_VALUE"""),"TÉCNICO")</f>
        <v>TÉCNICO</v>
      </c>
      <c r="H518" s="40" t="str">
        <f ca="1">IFERROR(__xludf.DUMMYFUNCTION("""COMPUTED_VALUE"""),"SERVICIOS DE BARISMO")</f>
        <v>SERVICIOS DE BARISMO</v>
      </c>
      <c r="I518" s="40"/>
      <c r="J518" s="40" t="str">
        <f ca="1">IFERROR(__xludf.DUMMYFUNCTION("""COMPUTED_VALUE"""),"nogueramiguel8@gmail.com")</f>
        <v>nogueramiguel8@gmail.com</v>
      </c>
      <c r="K518" s="40"/>
      <c r="L518" s="40" t="str">
        <f ca="1">IFERROR(__xludf.DUMMYFUNCTION("""COMPUTED_VALUE"""),"NO HA INICIADO ETAPA PRODUCTIVA")</f>
        <v>NO HA INICIADO ETAPA PRODUCTIVA</v>
      </c>
      <c r="M518" s="40"/>
      <c r="N518" s="40"/>
      <c r="O518" s="40"/>
      <c r="P518" s="40"/>
      <c r="Q518" s="40"/>
      <c r="R518" s="140"/>
      <c r="S518" s="1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t="str">
        <f ca="1">IFERROR(__xludf.DUMMYFUNCTION("""COMPUTED_VALUE"""),"NO_CUMPLE")</f>
        <v>NO_CUMPLE</v>
      </c>
      <c r="AV518" s="40" t="str">
        <f ca="1">IFERROR(__xludf.DUMMYFUNCTION("""COMPUTED_VALUE"""),"EN FORMACION")</f>
        <v>EN FORMACION</v>
      </c>
      <c r="AW518" s="40" t="str">
        <f ca="1">IFERROR(__xludf.DUMMYFUNCTION("""COMPUTED_VALUE"""),"TURISMO")</f>
        <v>TURISMO</v>
      </c>
      <c r="AX518" s="141">
        <f ca="1">IFERROR(__xludf.DUMMYFUNCTION("""COMPUTED_VALUE"""),44848)</f>
        <v>44848</v>
      </c>
      <c r="AY518" s="40">
        <f ca="1">IFERROR(__xludf.DUMMYFUNCTION("""COMPUTED_VALUE"""),0)</f>
        <v>0</v>
      </c>
      <c r="AZ518" s="40">
        <f ca="1">IFERROR(__xludf.DUMMYFUNCTION("""COMPUTED_VALUE"""),1)</f>
        <v>1</v>
      </c>
      <c r="BA518" s="40">
        <f ca="1">IFERROR(__xludf.DUMMYFUNCTION("""COMPUTED_VALUE"""),6)</f>
        <v>6</v>
      </c>
      <c r="BB518" s="40">
        <f ca="1">IFERROR(__xludf.DUMMYFUNCTION("""COMPUTED_VALUE"""),1)</f>
        <v>1</v>
      </c>
      <c r="BC518" s="40">
        <f ca="1">IFERROR(__xludf.DUMMYFUNCTION("""COMPUTED_VALUE"""),8)</f>
        <v>8</v>
      </c>
      <c r="BD518" s="141">
        <f ca="1">IFERROR(__xludf.DUMMYFUNCTION("""COMPUTED_VALUE"""),43577)</f>
        <v>43577</v>
      </c>
      <c r="BE518" s="141">
        <f ca="1">IFERROR(__xludf.DUMMYFUNCTION("""COMPUTED_VALUE"""),43852)</f>
        <v>43852</v>
      </c>
      <c r="BF518" s="141">
        <f ca="1">IFERROR(__xludf.DUMMYFUNCTION("""COMPUTED_VALUE"""),44034)</f>
        <v>44034</v>
      </c>
      <c r="BG518" s="141">
        <f ca="1">IFERROR(__xludf.DUMMYFUNCTION("""COMPUTED_VALUE"""),44583)</f>
        <v>44583</v>
      </c>
      <c r="BH518" s="40" t="str">
        <f ca="1">IFERROR(__xludf.DUMMYFUNCTION("""COMPUTED_VALUE"""),"FINALIZAR FICHA")</f>
        <v>FINALIZAR FICHA</v>
      </c>
      <c r="BI518" s="40" t="str">
        <f ca="1">IFERROR(__xludf.DUMMYFUNCTION("""COMPUTED_VALUE"""),"Terminada por Fecha     ")</f>
        <v xml:space="preserve">Terminada por Fecha     </v>
      </c>
      <c r="BJ518" s="40" t="str">
        <f ca="1">IFERROR(__xludf.DUMMYFUNCTION("""COMPUTED_VALUE"""),"Yamboro")</f>
        <v>Yamboro</v>
      </c>
      <c r="BK518" s="40"/>
      <c r="BL518" s="40"/>
    </row>
    <row r="519" spans="1:64" ht="13">
      <c r="A519" s="40"/>
      <c r="B519" s="40" t="str">
        <f ca="1">IFERROR(__xludf.DUMMYFUNCTION("""COMPUTED_VALUE"""),"FORMACIÓN 18/10/2022")</f>
        <v>FORMACIÓN 18/10/2022</v>
      </c>
      <c r="C519" s="40" t="str">
        <f ca="1">IFERROR(__xludf.DUMMYFUNCTION("""COMPUTED_VALUE"""),"BRIYI ALEXANDRA VARGAS FERNANDEZ")</f>
        <v>BRIYI ALEXANDRA VARGAS FERNANDEZ</v>
      </c>
      <c r="D519" s="40" t="str">
        <f ca="1">IFERROR(__xludf.DUMMYFUNCTION("""COMPUTED_VALUE"""),"CC")</f>
        <v>CC</v>
      </c>
      <c r="E519" s="40">
        <f ca="1">IFERROR(__xludf.DUMMYFUNCTION("""COMPUTED_VALUE"""),26428939)</f>
        <v>26428939</v>
      </c>
      <c r="F519" s="40">
        <f ca="1">IFERROR(__xludf.DUMMYFUNCTION("""COMPUTED_VALUE"""),1972886)</f>
        <v>1972886</v>
      </c>
      <c r="G519" s="40" t="str">
        <f ca="1">IFERROR(__xludf.DUMMYFUNCTION("""COMPUTED_VALUE"""),"TECNÓLOGO")</f>
        <v>TECNÓLOGO</v>
      </c>
      <c r="H519" s="40" t="str">
        <f ca="1">IFERROR(__xludf.DUMMYFUNCTION("""COMPUTED_VALUE"""),"PRODUCCIÓN AGROPECUARIA ECOLÓGICA")</f>
        <v>PRODUCCIÓN AGROPECUARIA ECOLÓGICA</v>
      </c>
      <c r="I519" s="40">
        <f ca="1">IFERROR(__xludf.DUMMYFUNCTION("""COMPUTED_VALUE"""),3125415800)</f>
        <v>3125415800</v>
      </c>
      <c r="J519" s="40" t="str">
        <f ca="1">IFERROR(__xludf.DUMMYFUNCTION("""COMPUTED_VALUE"""),"Joseyorlanur30@gmail.com")</f>
        <v>Joseyorlanur30@gmail.com</v>
      </c>
      <c r="K519" s="40"/>
      <c r="L519" s="40" t="str">
        <f ca="1">IFERROR(__xludf.DUMMYFUNCTION("""COMPUTED_VALUE"""),"NO HA INICIADO ETAPA PRODUCTIVA")</f>
        <v>NO HA INICIADO ETAPA PRODUCTIVA</v>
      </c>
      <c r="M519" s="40"/>
      <c r="N519" s="40"/>
      <c r="O519" s="40"/>
      <c r="P519" s="40"/>
      <c r="Q519" s="40"/>
      <c r="R519" s="140"/>
      <c r="S519" s="1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t="str">
        <f ca="1">IFERROR(__xludf.DUMMYFUNCTION("""COMPUTED_VALUE"""),"Procede_E_P")</f>
        <v>Procede_E_P</v>
      </c>
      <c r="AV519" s="40" t="str">
        <f ca="1">IFERROR(__xludf.DUMMYFUNCTION("""COMPUTED_VALUE"""),"EN FORMACION")</f>
        <v>EN FORMACION</v>
      </c>
      <c r="AW519" s="40" t="str">
        <f ca="1">IFERROR(__xludf.DUMMYFUNCTION("""COMPUTED_VALUE"""),"AGROPECUARIO")</f>
        <v>AGROPECUARIO</v>
      </c>
      <c r="AX519" s="141">
        <f ca="1">IFERROR(__xludf.DUMMYFUNCTION("""COMPUTED_VALUE"""),44848)</f>
        <v>44848</v>
      </c>
      <c r="AY519" s="40">
        <f ca="1">IFERROR(__xludf.DUMMYFUNCTION("""COMPUTED_VALUE"""),0)</f>
        <v>0</v>
      </c>
      <c r="AZ519" s="40">
        <f ca="1">IFERROR(__xludf.DUMMYFUNCTION("""COMPUTED_VALUE"""),1)</f>
        <v>1</v>
      </c>
      <c r="BA519" s="40">
        <f ca="1">IFERROR(__xludf.DUMMYFUNCTION("""COMPUTED_VALUE"""),0)</f>
        <v>0</v>
      </c>
      <c r="BB519" s="40">
        <f ca="1">IFERROR(__xludf.DUMMYFUNCTION("""COMPUTED_VALUE"""),0)</f>
        <v>0</v>
      </c>
      <c r="BC519" s="40">
        <f ca="1">IFERROR(__xludf.DUMMYFUNCTION("""COMPUTED_VALUE"""),1)</f>
        <v>1</v>
      </c>
      <c r="BD519" s="141">
        <f ca="1">IFERROR(__xludf.DUMMYFUNCTION("""COMPUTED_VALUE"""),43697)</f>
        <v>43697</v>
      </c>
      <c r="BE519" s="141">
        <f ca="1">IFERROR(__xludf.DUMMYFUNCTION("""COMPUTED_VALUE"""),44316)</f>
        <v>44316</v>
      </c>
      <c r="BF519" s="141">
        <f ca="1">IFERROR(__xludf.DUMMYFUNCTION("""COMPUTED_VALUE"""),44499)</f>
        <v>44499</v>
      </c>
      <c r="BG519" s="141">
        <f ca="1">IFERROR(__xludf.DUMMYFUNCTION("""COMPUTED_VALUE"""),45046)</f>
        <v>45046</v>
      </c>
      <c r="BH519" s="40" t="str">
        <f ca="1">IFERROR(__xludf.DUMMYFUNCTION("""COMPUTED_VALUE"""),"FICHA EN TIEMPO-18 MESES")</f>
        <v>FICHA EN TIEMPO-18 MESES</v>
      </c>
      <c r="BI519" s="40" t="str">
        <f ca="1">IFERROR(__xludf.DUMMYFUNCTION("""COMPUTED_VALUE"""),"Terminada por fecha")</f>
        <v>Terminada por fecha</v>
      </c>
      <c r="BJ519" s="40" t="str">
        <f ca="1">IFERROR(__xludf.DUMMYFUNCTION("""COMPUTED_VALUE"""),"Yamboro")</f>
        <v>Yamboro</v>
      </c>
      <c r="BK519" s="40"/>
      <c r="BL519" s="40"/>
    </row>
    <row r="520" spans="1:64" ht="13">
      <c r="A520" s="40"/>
      <c r="B520" s="40" t="str">
        <f ca="1">IFERROR(__xludf.DUMMYFUNCTION("""COMPUTED_VALUE"""),"FORMACIÓN 18/10/2022")</f>
        <v>FORMACIÓN 18/10/2022</v>
      </c>
      <c r="C520" s="40" t="str">
        <f ca="1">IFERROR(__xludf.DUMMYFUNCTION("""COMPUTED_VALUE"""),"CARLOS ADRIAN CHAVEZ ANACONA")</f>
        <v>CARLOS ADRIAN CHAVEZ ANACONA</v>
      </c>
      <c r="D520" s="40" t="str">
        <f ca="1">IFERROR(__xludf.DUMMYFUNCTION("""COMPUTED_VALUE"""),"CC")</f>
        <v>CC</v>
      </c>
      <c r="E520" s="40">
        <f ca="1">IFERROR(__xludf.DUMMYFUNCTION("""COMPUTED_VALUE"""),26428939)</f>
        <v>26428939</v>
      </c>
      <c r="F520" s="40">
        <f ca="1">IFERROR(__xludf.DUMMYFUNCTION("""COMPUTED_VALUE"""),1972886)</f>
        <v>1972886</v>
      </c>
      <c r="G520" s="40" t="str">
        <f ca="1">IFERROR(__xludf.DUMMYFUNCTION("""COMPUTED_VALUE"""),"TECNÓLOGO")</f>
        <v>TECNÓLOGO</v>
      </c>
      <c r="H520" s="40" t="str">
        <f ca="1">IFERROR(__xludf.DUMMYFUNCTION("""COMPUTED_VALUE"""),"PRODUCCIÓN AGROPECUARIA ECOLÓGICA")</f>
        <v>PRODUCCIÓN AGROPECUARIA ECOLÓGICA</v>
      </c>
      <c r="I520" s="40"/>
      <c r="J520" s="40" t="str">
        <f ca="1">IFERROR(__xludf.DUMMYFUNCTION("""COMPUTED_VALUE"""),"chavezanacona@gmail.com")</f>
        <v>chavezanacona@gmail.com</v>
      </c>
      <c r="K520" s="40"/>
      <c r="L520" s="40" t="str">
        <f ca="1">IFERROR(__xludf.DUMMYFUNCTION("""COMPUTED_VALUE"""),"NO HA INICIADO ETAPA PRODUCTIVA")</f>
        <v>NO HA INICIADO ETAPA PRODUCTIVA</v>
      </c>
      <c r="M520" s="40"/>
      <c r="N520" s="40"/>
      <c r="O520" s="40"/>
      <c r="P520" s="40"/>
      <c r="Q520" s="40"/>
      <c r="R520" s="140"/>
      <c r="S520" s="1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t="str">
        <f ca="1">IFERROR(__xludf.DUMMYFUNCTION("""COMPUTED_VALUE"""),"Procede_E_P")</f>
        <v>Procede_E_P</v>
      </c>
      <c r="AV520" s="40" t="str">
        <f ca="1">IFERROR(__xludf.DUMMYFUNCTION("""COMPUTED_VALUE"""),"EN FORMACION")</f>
        <v>EN FORMACION</v>
      </c>
      <c r="AW520" s="40" t="str">
        <f ca="1">IFERROR(__xludf.DUMMYFUNCTION("""COMPUTED_VALUE"""),"AGROPECUARIO")</f>
        <v>AGROPECUARIO</v>
      </c>
      <c r="AX520" s="141">
        <f ca="1">IFERROR(__xludf.DUMMYFUNCTION("""COMPUTED_VALUE"""),44848)</f>
        <v>44848</v>
      </c>
      <c r="AY520" s="40">
        <f ca="1">IFERROR(__xludf.DUMMYFUNCTION("""COMPUTED_VALUE"""),0)</f>
        <v>0</v>
      </c>
      <c r="AZ520" s="40">
        <f ca="1">IFERROR(__xludf.DUMMYFUNCTION("""COMPUTED_VALUE"""),1)</f>
        <v>1</v>
      </c>
      <c r="BA520" s="40">
        <f ca="1">IFERROR(__xludf.DUMMYFUNCTION("""COMPUTED_VALUE"""),0)</f>
        <v>0</v>
      </c>
      <c r="BB520" s="40">
        <f ca="1">IFERROR(__xludf.DUMMYFUNCTION("""COMPUTED_VALUE"""),0)</f>
        <v>0</v>
      </c>
      <c r="BC520" s="40">
        <f ca="1">IFERROR(__xludf.DUMMYFUNCTION("""COMPUTED_VALUE"""),1)</f>
        <v>1</v>
      </c>
      <c r="BD520" s="141">
        <f ca="1">IFERROR(__xludf.DUMMYFUNCTION("""COMPUTED_VALUE"""),43697)</f>
        <v>43697</v>
      </c>
      <c r="BE520" s="141">
        <f ca="1">IFERROR(__xludf.DUMMYFUNCTION("""COMPUTED_VALUE"""),44316)</f>
        <v>44316</v>
      </c>
      <c r="BF520" s="141">
        <f ca="1">IFERROR(__xludf.DUMMYFUNCTION("""COMPUTED_VALUE"""),44499)</f>
        <v>44499</v>
      </c>
      <c r="BG520" s="141">
        <f ca="1">IFERROR(__xludf.DUMMYFUNCTION("""COMPUTED_VALUE"""),45046)</f>
        <v>45046</v>
      </c>
      <c r="BH520" s="40" t="str">
        <f ca="1">IFERROR(__xludf.DUMMYFUNCTION("""COMPUTED_VALUE"""),"FICHA EN TIEMPO-18 MESES")</f>
        <v>FICHA EN TIEMPO-18 MESES</v>
      </c>
      <c r="BI520" s="40" t="str">
        <f ca="1">IFERROR(__xludf.DUMMYFUNCTION("""COMPUTED_VALUE"""),"Terminada por fecha")</f>
        <v>Terminada por fecha</v>
      </c>
      <c r="BJ520" s="40" t="str">
        <f ca="1">IFERROR(__xludf.DUMMYFUNCTION("""COMPUTED_VALUE"""),"Yamboro")</f>
        <v>Yamboro</v>
      </c>
      <c r="BK520" s="40"/>
      <c r="BL520" s="40"/>
    </row>
    <row r="521" spans="1:64" ht="13">
      <c r="A521" s="40"/>
      <c r="B521" s="40" t="str">
        <f ca="1">IFERROR(__xludf.DUMMYFUNCTION("""COMPUTED_VALUE"""),"FORMACIÓN 18/10/2022")</f>
        <v>FORMACIÓN 18/10/2022</v>
      </c>
      <c r="C521" s="40" t="str">
        <f ca="1">IFERROR(__xludf.DUMMYFUNCTION("""COMPUTED_VALUE"""),"NATALIA FERNANA MUÑOZ GIRON")</f>
        <v>NATALIA FERNANA MUÑOZ GIRON</v>
      </c>
      <c r="D521" s="40" t="str">
        <f ca="1">IFERROR(__xludf.DUMMYFUNCTION("""COMPUTED_VALUE"""),"CC")</f>
        <v>CC</v>
      </c>
      <c r="E521" s="40">
        <f ca="1">IFERROR(__xludf.DUMMYFUNCTION("""COMPUTED_VALUE"""),26428939)</f>
        <v>26428939</v>
      </c>
      <c r="F521" s="40">
        <f ca="1">IFERROR(__xludf.DUMMYFUNCTION("""COMPUTED_VALUE"""),1972886)</f>
        <v>1972886</v>
      </c>
      <c r="G521" s="40" t="str">
        <f ca="1">IFERROR(__xludf.DUMMYFUNCTION("""COMPUTED_VALUE"""),"TECNÓLOGO")</f>
        <v>TECNÓLOGO</v>
      </c>
      <c r="H521" s="40" t="str">
        <f ca="1">IFERROR(__xludf.DUMMYFUNCTION("""COMPUTED_VALUE"""),"PRODUCCIÓN AGROPECUARIA ECOLÓGICA")</f>
        <v>PRODUCCIÓN AGROPECUARIA ECOLÓGICA</v>
      </c>
      <c r="I521" s="40">
        <f ca="1">IFERROR(__xludf.DUMMYFUNCTION("""COMPUTED_VALUE"""),3144003561)</f>
        <v>3144003561</v>
      </c>
      <c r="J521" s="40" t="str">
        <f ca="1">IFERROR(__xludf.DUMMYFUNCTION("""COMPUTED_VALUE"""),"nataliafernanda457@gmail.com")</f>
        <v>nataliafernanda457@gmail.com</v>
      </c>
      <c r="K521" s="40"/>
      <c r="L521" s="40" t="str">
        <f ca="1">IFERROR(__xludf.DUMMYFUNCTION("""COMPUTED_VALUE"""),"NO HA INICIADO ETAPA PRODUCTIVA")</f>
        <v>NO HA INICIADO ETAPA PRODUCTIVA</v>
      </c>
      <c r="M521" s="40"/>
      <c r="N521" s="40"/>
      <c r="O521" s="40"/>
      <c r="P521" s="40"/>
      <c r="Q521" s="40"/>
      <c r="R521" s="140"/>
      <c r="S521" s="1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t="str">
        <f ca="1">IFERROR(__xludf.DUMMYFUNCTION("""COMPUTED_VALUE"""),"NO_CUMPLE")</f>
        <v>NO_CUMPLE</v>
      </c>
      <c r="AV521" s="40" t="str">
        <f ca="1">IFERROR(__xludf.DUMMYFUNCTION("""COMPUTED_VALUE"""),"EN FORMACION")</f>
        <v>EN FORMACION</v>
      </c>
      <c r="AW521" s="40" t="str">
        <f ca="1">IFERROR(__xludf.DUMMYFUNCTION("""COMPUTED_VALUE"""),"AGROPECUARIO")</f>
        <v>AGROPECUARIO</v>
      </c>
      <c r="AX521" s="141">
        <f ca="1">IFERROR(__xludf.DUMMYFUNCTION("""COMPUTED_VALUE"""),44848)</f>
        <v>44848</v>
      </c>
      <c r="AY521" s="40">
        <f ca="1">IFERROR(__xludf.DUMMYFUNCTION("""COMPUTED_VALUE"""),4)</f>
        <v>4</v>
      </c>
      <c r="AZ521" s="40">
        <f ca="1">IFERROR(__xludf.DUMMYFUNCTION("""COMPUTED_VALUE"""),1)</f>
        <v>1</v>
      </c>
      <c r="BA521" s="40">
        <f ca="1">IFERROR(__xludf.DUMMYFUNCTION("""COMPUTED_VALUE"""),15)</f>
        <v>15</v>
      </c>
      <c r="BB521" s="40">
        <f ca="1">IFERROR(__xludf.DUMMYFUNCTION("""COMPUTED_VALUE"""),43)</f>
        <v>43</v>
      </c>
      <c r="BC521" s="40">
        <f ca="1">IFERROR(__xludf.DUMMYFUNCTION("""COMPUTED_VALUE"""),63)</f>
        <v>63</v>
      </c>
      <c r="BD521" s="141">
        <f ca="1">IFERROR(__xludf.DUMMYFUNCTION("""COMPUTED_VALUE"""),43697)</f>
        <v>43697</v>
      </c>
      <c r="BE521" s="141">
        <f ca="1">IFERROR(__xludf.DUMMYFUNCTION("""COMPUTED_VALUE"""),44316)</f>
        <v>44316</v>
      </c>
      <c r="BF521" s="141">
        <f ca="1">IFERROR(__xludf.DUMMYFUNCTION("""COMPUTED_VALUE"""),44499)</f>
        <v>44499</v>
      </c>
      <c r="BG521" s="141">
        <f ca="1">IFERROR(__xludf.DUMMYFUNCTION("""COMPUTED_VALUE"""),45046)</f>
        <v>45046</v>
      </c>
      <c r="BH521" s="40" t="str">
        <f ca="1">IFERROR(__xludf.DUMMYFUNCTION("""COMPUTED_VALUE"""),"FICHA EN TIEMPO-18 MESES")</f>
        <v>FICHA EN TIEMPO-18 MESES</v>
      </c>
      <c r="BI521" s="40" t="str">
        <f ca="1">IFERROR(__xludf.DUMMYFUNCTION("""COMPUTED_VALUE"""),"Terminada por fecha")</f>
        <v>Terminada por fecha</v>
      </c>
      <c r="BJ521" s="40" t="str">
        <f ca="1">IFERROR(__xludf.DUMMYFUNCTION("""COMPUTED_VALUE"""),"Yamboro")</f>
        <v>Yamboro</v>
      </c>
      <c r="BK521" s="40"/>
      <c r="BL521" s="40"/>
    </row>
    <row r="522" spans="1:64" ht="13">
      <c r="A522" s="40"/>
      <c r="B522" s="40" t="str">
        <f ca="1">IFERROR(__xludf.DUMMYFUNCTION("""COMPUTED_VALUE"""),"APLAZADO  18/10/2022")</f>
        <v>APLAZADO  18/10/2022</v>
      </c>
      <c r="C522" s="40" t="str">
        <f ca="1">IFERROR(__xludf.DUMMYFUNCTION("""COMPUTED_VALUE"""),"JUAN PABLO MUÑOZ CAMACHO")</f>
        <v>JUAN PABLO MUÑOZ CAMACHO</v>
      </c>
      <c r="D522" s="40" t="str">
        <f ca="1">IFERROR(__xludf.DUMMYFUNCTION("""COMPUTED_VALUE"""),"CC")</f>
        <v>CC</v>
      </c>
      <c r="E522" s="40">
        <f ca="1">IFERROR(__xludf.DUMMYFUNCTION("""COMPUTED_VALUE"""),26428939)</f>
        <v>26428939</v>
      </c>
      <c r="F522" s="40">
        <f ca="1">IFERROR(__xludf.DUMMYFUNCTION("""COMPUTED_VALUE"""),1972886)</f>
        <v>1972886</v>
      </c>
      <c r="G522" s="40" t="str">
        <f ca="1">IFERROR(__xludf.DUMMYFUNCTION("""COMPUTED_VALUE"""),"TECNÓLOGO")</f>
        <v>TECNÓLOGO</v>
      </c>
      <c r="H522" s="40" t="str">
        <f ca="1">IFERROR(__xludf.DUMMYFUNCTION("""COMPUTED_VALUE"""),"PRODUCCIÓN AGROPECUARIA ECOLÓGICA")</f>
        <v>PRODUCCIÓN AGROPECUARIA ECOLÓGICA</v>
      </c>
      <c r="I522" s="40"/>
      <c r="J522" s="40"/>
      <c r="K522" s="40"/>
      <c r="L522" s="40" t="str">
        <f ca="1">IFERROR(__xludf.DUMMYFUNCTION("""COMPUTED_VALUE"""),"NO HA INICIADO ETAPA PRODUCTIVA")</f>
        <v>NO HA INICIADO ETAPA PRODUCTIVA</v>
      </c>
      <c r="M522" s="40"/>
      <c r="N522" s="40"/>
      <c r="O522" s="40"/>
      <c r="P522" s="40"/>
      <c r="Q522" s="40"/>
      <c r="R522" s="140"/>
      <c r="S522" s="1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t="str">
        <f ca="1">IFERROR(__xludf.DUMMYFUNCTION("""COMPUTED_VALUE"""),"NO_CUMPLE")</f>
        <v>NO_CUMPLE</v>
      </c>
      <c r="AV522" s="40" t="str">
        <f ca="1">IFERROR(__xludf.DUMMYFUNCTION("""COMPUTED_VALUE"""),"APLAZADO")</f>
        <v>APLAZADO</v>
      </c>
      <c r="AW522" s="40" t="str">
        <f ca="1">IFERROR(__xludf.DUMMYFUNCTION("""COMPUTED_VALUE"""),"AGROPECUARIO")</f>
        <v>AGROPECUARIO</v>
      </c>
      <c r="AX522" s="141">
        <f ca="1">IFERROR(__xludf.DUMMYFUNCTION("""COMPUTED_VALUE"""),44848)</f>
        <v>44848</v>
      </c>
      <c r="AY522" s="40">
        <f ca="1">IFERROR(__xludf.DUMMYFUNCTION("""COMPUTED_VALUE"""),9)</f>
        <v>9</v>
      </c>
      <c r="AZ522" s="40">
        <f ca="1">IFERROR(__xludf.DUMMYFUNCTION("""COMPUTED_VALUE"""),1)</f>
        <v>1</v>
      </c>
      <c r="BA522" s="40">
        <f ca="1">IFERROR(__xludf.DUMMYFUNCTION("""COMPUTED_VALUE"""),15)</f>
        <v>15</v>
      </c>
      <c r="BB522" s="40">
        <f ca="1">IFERROR(__xludf.DUMMYFUNCTION("""COMPUTED_VALUE"""),46)</f>
        <v>46</v>
      </c>
      <c r="BC522" s="40">
        <f ca="1">IFERROR(__xludf.DUMMYFUNCTION("""COMPUTED_VALUE"""),71)</f>
        <v>71</v>
      </c>
      <c r="BD522" s="141">
        <f ca="1">IFERROR(__xludf.DUMMYFUNCTION("""COMPUTED_VALUE"""),43697)</f>
        <v>43697</v>
      </c>
      <c r="BE522" s="141">
        <f ca="1">IFERROR(__xludf.DUMMYFUNCTION("""COMPUTED_VALUE"""),44316)</f>
        <v>44316</v>
      </c>
      <c r="BF522" s="141">
        <f ca="1">IFERROR(__xludf.DUMMYFUNCTION("""COMPUTED_VALUE"""),44499)</f>
        <v>44499</v>
      </c>
      <c r="BG522" s="141">
        <f ca="1">IFERROR(__xludf.DUMMYFUNCTION("""COMPUTED_VALUE"""),45046)</f>
        <v>45046</v>
      </c>
      <c r="BH522" s="40" t="str">
        <f ca="1">IFERROR(__xludf.DUMMYFUNCTION("""COMPUTED_VALUE"""),"FICHA EN TIEMPO-18 MESES")</f>
        <v>FICHA EN TIEMPO-18 MESES</v>
      </c>
      <c r="BI522" s="40" t="str">
        <f ca="1">IFERROR(__xludf.DUMMYFUNCTION("""COMPUTED_VALUE"""),"Terminada por fecha")</f>
        <v>Terminada por fecha</v>
      </c>
      <c r="BJ522" s="40" t="str">
        <f ca="1">IFERROR(__xludf.DUMMYFUNCTION("""COMPUTED_VALUE"""),"Yamboro")</f>
        <v>Yamboro</v>
      </c>
      <c r="BK522" s="40"/>
      <c r="BL522" s="40"/>
    </row>
    <row r="523" spans="1:64" ht="13">
      <c r="A523" s="40"/>
      <c r="B523" s="40" t="str">
        <f ca="1">IFERROR(__xludf.DUMMYFUNCTION("""COMPUTED_VALUE"""),"FORMACIÓN 18/10/2022")</f>
        <v>FORMACIÓN 18/10/2022</v>
      </c>
      <c r="C523" s="40" t="str">
        <f ca="1">IFERROR(__xludf.DUMMYFUNCTION("""COMPUTED_VALUE"""),"BRAYAN FABIAN GARZON GARZON")</f>
        <v>BRAYAN FABIAN GARZON GARZON</v>
      </c>
      <c r="D523" s="40" t="str">
        <f ca="1">IFERROR(__xludf.DUMMYFUNCTION("""COMPUTED_VALUE"""),"CC")</f>
        <v>CC</v>
      </c>
      <c r="E523" s="40">
        <f ca="1">IFERROR(__xludf.DUMMYFUNCTION("""COMPUTED_VALUE"""),26428939)</f>
        <v>26428939</v>
      </c>
      <c r="F523" s="40">
        <f ca="1">IFERROR(__xludf.DUMMYFUNCTION("""COMPUTED_VALUE"""),2056447)</f>
        <v>2056447</v>
      </c>
      <c r="G523" s="40" t="str">
        <f ca="1">IFERROR(__xludf.DUMMYFUNCTION("""COMPUTED_VALUE"""),"TECNÓLOGO")</f>
        <v>TECNÓLOGO</v>
      </c>
      <c r="H523" s="40" t="str">
        <f ca="1">IFERROR(__xludf.DUMMYFUNCTION("""COMPUTED_VALUE"""),"PRODUCCIÓN AGROPECUARIA ECOLÓGICA")</f>
        <v>PRODUCCIÓN AGROPECUARIA ECOLÓGICA</v>
      </c>
      <c r="I523" s="40">
        <f ca="1">IFERROR(__xludf.DUMMYFUNCTION("""COMPUTED_VALUE"""),3176771417)</f>
        <v>3176771417</v>
      </c>
      <c r="J523" s="40" t="str">
        <f ca="1">IFERROR(__xludf.DUMMYFUNCTION("""COMPUTED_VALUE"""),"fgarzon308@gmail.com")</f>
        <v>fgarzon308@gmail.com</v>
      </c>
      <c r="K523" s="40" t="str">
        <f ca="1">IFERROR(__xludf.DUMMYFUNCTION("""COMPUTED_VALUE"""),"Acevedo")</f>
        <v>Acevedo</v>
      </c>
      <c r="L523" s="40" t="str">
        <f ca="1">IFERROR(__xludf.DUMMYFUNCTION("""COMPUTED_VALUE"""),"CONTRATO DE APRENDIZAJE")</f>
        <v>CONTRATO DE APRENDIZAJE</v>
      </c>
      <c r="M523" s="40" t="str">
        <f ca="1">IFERROR(__xludf.DUMMYFUNCTION("""COMPUTED_VALUE"""),"ALMACENES GENERALES DE DEPOSITO DE CAFE S A ALMACAFE")</f>
        <v>ALMACENES GENERALES DE DEPOSITO DE CAFE S A ALMACAFE</v>
      </c>
      <c r="N523" s="40" t="str">
        <f ca="1">IFERROR(__xludf.DUMMYFUNCTION("""COMPUTED_VALUE"""),"A.V26 Calle 50 Granjas ")</f>
        <v xml:space="preserve">A.V26 Calle 50 Granjas </v>
      </c>
      <c r="O523" s="40"/>
      <c r="P523" s="40" t="str">
        <f ca="1">IFERROR(__xludf.DUMMYFUNCTION("""COMPUTED_VALUE"""),"NEIVA ")</f>
        <v xml:space="preserve">NEIVA </v>
      </c>
      <c r="Q523" s="40"/>
      <c r="R523" s="140">
        <f ca="1">IFERROR(__xludf.DUMMYFUNCTION("""COMPUTED_VALUE"""),44697)</f>
        <v>44697</v>
      </c>
      <c r="S523" s="140">
        <f ca="1">IFERROR(__xludf.DUMMYFUNCTION("""COMPUTED_VALUE"""),44880)</f>
        <v>44880</v>
      </c>
      <c r="T523" s="40"/>
      <c r="U523" s="40" t="str">
        <f ca="1">IFERROR(__xludf.DUMMYFUNCTION("""COMPUTED_VALUE"""),"POR ASIGNAR ")</f>
        <v xml:space="preserve">POR ASIGNAR </v>
      </c>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t="str">
        <f ca="1">IFERROR(__xludf.DUMMYFUNCTION("""COMPUTED_VALUE"""),"Procede_E_P")</f>
        <v>Procede_E_P</v>
      </c>
      <c r="AV523" s="40" t="str">
        <f ca="1">IFERROR(__xludf.DUMMYFUNCTION("""COMPUTED_VALUE"""),"EN FORMACION")</f>
        <v>EN FORMACION</v>
      </c>
      <c r="AW523" s="40" t="str">
        <f ca="1">IFERROR(__xludf.DUMMYFUNCTION("""COMPUTED_VALUE"""),"AGROPECUARIO")</f>
        <v>AGROPECUARIO</v>
      </c>
      <c r="AX523" s="141">
        <f ca="1">IFERROR(__xludf.DUMMYFUNCTION("""COMPUTED_VALUE"""),44848)</f>
        <v>44848</v>
      </c>
      <c r="AY523" s="40">
        <f ca="1">IFERROR(__xludf.DUMMYFUNCTION("""COMPUTED_VALUE"""),0)</f>
        <v>0</v>
      </c>
      <c r="AZ523" s="40">
        <f ca="1">IFERROR(__xludf.DUMMYFUNCTION("""COMPUTED_VALUE"""),1)</f>
        <v>1</v>
      </c>
      <c r="BA523" s="40">
        <f ca="1">IFERROR(__xludf.DUMMYFUNCTION("""COMPUTED_VALUE"""),0)</f>
        <v>0</v>
      </c>
      <c r="BB523" s="40">
        <f ca="1">IFERROR(__xludf.DUMMYFUNCTION("""COMPUTED_VALUE"""),0)</f>
        <v>0</v>
      </c>
      <c r="BC523" s="40">
        <f ca="1">IFERROR(__xludf.DUMMYFUNCTION("""COMPUTED_VALUE"""),1)</f>
        <v>1</v>
      </c>
      <c r="BD523" s="141">
        <f ca="1">IFERROR(__xludf.DUMMYFUNCTION("""COMPUTED_VALUE"""),43815)</f>
        <v>43815</v>
      </c>
      <c r="BE523" s="141">
        <f ca="1">IFERROR(__xludf.DUMMYFUNCTION("""COMPUTED_VALUE"""),44363)</f>
        <v>44363</v>
      </c>
      <c r="BF523" s="141">
        <f ca="1">IFERROR(__xludf.DUMMYFUNCTION("""COMPUTED_VALUE"""),44546)</f>
        <v>44546</v>
      </c>
      <c r="BG523" s="141">
        <f ca="1">IFERROR(__xludf.DUMMYFUNCTION("""COMPUTED_VALUE"""),45093)</f>
        <v>45093</v>
      </c>
      <c r="BH523" s="40" t="str">
        <f ca="1">IFERROR(__xludf.DUMMYFUNCTION("""COMPUTED_VALUE"""),"FICHA EN TIEMPO-18 MESES")</f>
        <v>FICHA EN TIEMPO-18 MESES</v>
      </c>
      <c r="BI523" s="40" t="str">
        <f ca="1">IFERROR(__xludf.DUMMYFUNCTION("""COMPUTED_VALUE"""),"Terminada por fecha")</f>
        <v>Terminada por fecha</v>
      </c>
      <c r="BJ523" s="40" t="str">
        <f ca="1">IFERROR(__xludf.DUMMYFUNCTION("""COMPUTED_VALUE"""),"Yamboro")</f>
        <v>Yamboro</v>
      </c>
      <c r="BK523" s="40"/>
      <c r="BL523" s="40"/>
    </row>
    <row r="524" spans="1:64" ht="13">
      <c r="A524" s="40"/>
      <c r="B524" s="40" t="str">
        <f ca="1">IFERROR(__xludf.DUMMYFUNCTION("""COMPUTED_VALUE"""),"FORMACIÓN 18/10/2022")</f>
        <v>FORMACIÓN 18/10/2022</v>
      </c>
      <c r="C524" s="40" t="str">
        <f ca="1">IFERROR(__xludf.DUMMYFUNCTION("""COMPUTED_VALUE"""),"CARLOS MANUEL VALDERRAMA SAMBONY")</f>
        <v>CARLOS MANUEL VALDERRAMA SAMBONY</v>
      </c>
      <c r="D524" s="40" t="str">
        <f ca="1">IFERROR(__xludf.DUMMYFUNCTION("""COMPUTED_VALUE"""),"CC")</f>
        <v>CC</v>
      </c>
      <c r="E524" s="40">
        <f ca="1">IFERROR(__xludf.DUMMYFUNCTION("""COMPUTED_VALUE"""),26428939)</f>
        <v>26428939</v>
      </c>
      <c r="F524" s="40">
        <f ca="1">IFERROR(__xludf.DUMMYFUNCTION("""COMPUTED_VALUE"""),2056447)</f>
        <v>2056447</v>
      </c>
      <c r="G524" s="40" t="str">
        <f ca="1">IFERROR(__xludf.DUMMYFUNCTION("""COMPUTED_VALUE"""),"TECNÓLOGO")</f>
        <v>TECNÓLOGO</v>
      </c>
      <c r="H524" s="40" t="str">
        <f ca="1">IFERROR(__xludf.DUMMYFUNCTION("""COMPUTED_VALUE"""),"PRODUCCIÓN AGROPECUARIA ECOLÓGICA")</f>
        <v>PRODUCCIÓN AGROPECUARIA ECOLÓGICA</v>
      </c>
      <c r="I524" s="40">
        <f ca="1">IFERROR(__xludf.DUMMYFUNCTION("""COMPUTED_VALUE"""),3212600265)</f>
        <v>3212600265</v>
      </c>
      <c r="J524" s="40" t="str">
        <f ca="1">IFERROR(__xludf.DUMMYFUNCTION("""COMPUTED_VALUE"""),"valderramac912@gmail.com")</f>
        <v>valderramac912@gmail.com</v>
      </c>
      <c r="K524" s="40" t="str">
        <f ca="1">IFERROR(__xludf.DUMMYFUNCTION("""COMPUTED_VALUE"""),"Oporapa")</f>
        <v>Oporapa</v>
      </c>
      <c r="L524" s="40" t="str">
        <f ca="1">IFERROR(__xludf.DUMMYFUNCTION("""COMPUTED_VALUE"""),"NO HA INICIADO ETAPA PRODUCTIVA")</f>
        <v>NO HA INICIADO ETAPA PRODUCTIVA</v>
      </c>
      <c r="M524" s="40"/>
      <c r="N524" s="40"/>
      <c r="O524" s="40"/>
      <c r="P524" s="40"/>
      <c r="Q524" s="40"/>
      <c r="R524" s="140"/>
      <c r="S524" s="1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t="str">
        <f ca="1">IFERROR(__xludf.DUMMYFUNCTION("""COMPUTED_VALUE"""),"Procede_E_P")</f>
        <v>Procede_E_P</v>
      </c>
      <c r="AV524" s="40" t="str">
        <f ca="1">IFERROR(__xludf.DUMMYFUNCTION("""COMPUTED_VALUE"""),"EN FORMACION")</f>
        <v>EN FORMACION</v>
      </c>
      <c r="AW524" s="40" t="str">
        <f ca="1">IFERROR(__xludf.DUMMYFUNCTION("""COMPUTED_VALUE"""),"AGROPECUARIO")</f>
        <v>AGROPECUARIO</v>
      </c>
      <c r="AX524" s="141">
        <f ca="1">IFERROR(__xludf.DUMMYFUNCTION("""COMPUTED_VALUE"""),44848)</f>
        <v>44848</v>
      </c>
      <c r="AY524" s="40">
        <f ca="1">IFERROR(__xludf.DUMMYFUNCTION("""COMPUTED_VALUE"""),0)</f>
        <v>0</v>
      </c>
      <c r="AZ524" s="40">
        <f ca="1">IFERROR(__xludf.DUMMYFUNCTION("""COMPUTED_VALUE"""),1)</f>
        <v>1</v>
      </c>
      <c r="BA524" s="40">
        <f ca="1">IFERROR(__xludf.DUMMYFUNCTION("""COMPUTED_VALUE"""),0)</f>
        <v>0</v>
      </c>
      <c r="BB524" s="40">
        <f ca="1">IFERROR(__xludf.DUMMYFUNCTION("""COMPUTED_VALUE"""),0)</f>
        <v>0</v>
      </c>
      <c r="BC524" s="40">
        <f ca="1">IFERROR(__xludf.DUMMYFUNCTION("""COMPUTED_VALUE"""),1)</f>
        <v>1</v>
      </c>
      <c r="BD524" s="141">
        <f ca="1">IFERROR(__xludf.DUMMYFUNCTION("""COMPUTED_VALUE"""),43815)</f>
        <v>43815</v>
      </c>
      <c r="BE524" s="141">
        <f ca="1">IFERROR(__xludf.DUMMYFUNCTION("""COMPUTED_VALUE"""),44363)</f>
        <v>44363</v>
      </c>
      <c r="BF524" s="141">
        <f ca="1">IFERROR(__xludf.DUMMYFUNCTION("""COMPUTED_VALUE"""),44546)</f>
        <v>44546</v>
      </c>
      <c r="BG524" s="141">
        <f ca="1">IFERROR(__xludf.DUMMYFUNCTION("""COMPUTED_VALUE"""),45093)</f>
        <v>45093</v>
      </c>
      <c r="BH524" s="40" t="str">
        <f ca="1">IFERROR(__xludf.DUMMYFUNCTION("""COMPUTED_VALUE"""),"FICHA EN TIEMPO-18 MESES")</f>
        <v>FICHA EN TIEMPO-18 MESES</v>
      </c>
      <c r="BI524" s="40" t="str">
        <f ca="1">IFERROR(__xludf.DUMMYFUNCTION("""COMPUTED_VALUE"""),"Terminada por fecha")</f>
        <v>Terminada por fecha</v>
      </c>
      <c r="BJ524" s="40" t="str">
        <f ca="1">IFERROR(__xludf.DUMMYFUNCTION("""COMPUTED_VALUE"""),"Yamboro")</f>
        <v>Yamboro</v>
      </c>
      <c r="BK524" s="40"/>
      <c r="BL524" s="40"/>
    </row>
    <row r="525" spans="1:64" ht="13">
      <c r="A525" s="40"/>
      <c r="B525" s="40" t="str">
        <f ca="1">IFERROR(__xludf.DUMMYFUNCTION("""COMPUTED_VALUE"""),"FORMACIÓN 18/10/2022")</f>
        <v>FORMACIÓN 18/10/2022</v>
      </c>
      <c r="C525" s="40" t="str">
        <f ca="1">IFERROR(__xludf.DUMMYFUNCTION("""COMPUTED_VALUE"""),"MARIO HUMBERTO PAPAMIJA ANACONA")</f>
        <v>MARIO HUMBERTO PAPAMIJA ANACONA</v>
      </c>
      <c r="D525" s="40" t="str">
        <f ca="1">IFERROR(__xludf.DUMMYFUNCTION("""COMPUTED_VALUE"""),"CC")</f>
        <v>CC</v>
      </c>
      <c r="E525" s="40">
        <f ca="1">IFERROR(__xludf.DUMMYFUNCTION("""COMPUTED_VALUE"""),26428939)</f>
        <v>26428939</v>
      </c>
      <c r="F525" s="40">
        <f ca="1">IFERROR(__xludf.DUMMYFUNCTION("""COMPUTED_VALUE"""),2056447)</f>
        <v>2056447</v>
      </c>
      <c r="G525" s="40" t="str">
        <f ca="1">IFERROR(__xludf.DUMMYFUNCTION("""COMPUTED_VALUE"""),"TECNÓLOGO")</f>
        <v>TECNÓLOGO</v>
      </c>
      <c r="H525" s="40" t="str">
        <f ca="1">IFERROR(__xludf.DUMMYFUNCTION("""COMPUTED_VALUE"""),"PRODUCCIÓN AGROPECUARIA ECOLÓGICA")</f>
        <v>PRODUCCIÓN AGROPECUARIA ECOLÓGICA</v>
      </c>
      <c r="I525" s="40">
        <f ca="1">IFERROR(__xludf.DUMMYFUNCTION("""COMPUTED_VALUE"""),3213968763)</f>
        <v>3213968763</v>
      </c>
      <c r="J525" s="40" t="str">
        <f ca="1">IFERROR(__xludf.DUMMYFUNCTION("""COMPUTED_VALUE"""),"marioanacona022@gmail.com")</f>
        <v>marioanacona022@gmail.com</v>
      </c>
      <c r="K525" s="40" t="str">
        <f ca="1">IFERROR(__xludf.DUMMYFUNCTION("""COMPUTED_VALUE"""),"Pitalito")</f>
        <v>Pitalito</v>
      </c>
      <c r="L525" s="40" t="str">
        <f ca="1">IFERROR(__xludf.DUMMYFUNCTION("""COMPUTED_VALUE"""),"NO HA INICIADO ETAPA PRODUCTIVA")</f>
        <v>NO HA INICIADO ETAPA PRODUCTIVA</v>
      </c>
      <c r="M525" s="40"/>
      <c r="N525" s="40"/>
      <c r="O525" s="40"/>
      <c r="P525" s="40"/>
      <c r="Q525" s="40"/>
      <c r="R525" s="140"/>
      <c r="S525" s="1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t="str">
        <f ca="1">IFERROR(__xludf.DUMMYFUNCTION("""COMPUTED_VALUE"""),"Procede_E_P")</f>
        <v>Procede_E_P</v>
      </c>
      <c r="AV525" s="40" t="str">
        <f ca="1">IFERROR(__xludf.DUMMYFUNCTION("""COMPUTED_VALUE"""),"EN FORMACION")</f>
        <v>EN FORMACION</v>
      </c>
      <c r="AW525" s="40" t="str">
        <f ca="1">IFERROR(__xludf.DUMMYFUNCTION("""COMPUTED_VALUE"""),"AGROPECUARIO")</f>
        <v>AGROPECUARIO</v>
      </c>
      <c r="AX525" s="141">
        <f ca="1">IFERROR(__xludf.DUMMYFUNCTION("""COMPUTED_VALUE"""),44848)</f>
        <v>44848</v>
      </c>
      <c r="AY525" s="40">
        <f ca="1">IFERROR(__xludf.DUMMYFUNCTION("""COMPUTED_VALUE"""),0)</f>
        <v>0</v>
      </c>
      <c r="AZ525" s="40">
        <f ca="1">IFERROR(__xludf.DUMMYFUNCTION("""COMPUTED_VALUE"""),1)</f>
        <v>1</v>
      </c>
      <c r="BA525" s="40">
        <f ca="1">IFERROR(__xludf.DUMMYFUNCTION("""COMPUTED_VALUE"""),0)</f>
        <v>0</v>
      </c>
      <c r="BB525" s="40">
        <f ca="1">IFERROR(__xludf.DUMMYFUNCTION("""COMPUTED_VALUE"""),0)</f>
        <v>0</v>
      </c>
      <c r="BC525" s="40">
        <f ca="1">IFERROR(__xludf.DUMMYFUNCTION("""COMPUTED_VALUE"""),1)</f>
        <v>1</v>
      </c>
      <c r="BD525" s="141">
        <f ca="1">IFERROR(__xludf.DUMMYFUNCTION("""COMPUTED_VALUE"""),43815)</f>
        <v>43815</v>
      </c>
      <c r="BE525" s="141">
        <f ca="1">IFERROR(__xludf.DUMMYFUNCTION("""COMPUTED_VALUE"""),44363)</f>
        <v>44363</v>
      </c>
      <c r="BF525" s="141">
        <f ca="1">IFERROR(__xludf.DUMMYFUNCTION("""COMPUTED_VALUE"""),44546)</f>
        <v>44546</v>
      </c>
      <c r="BG525" s="141">
        <f ca="1">IFERROR(__xludf.DUMMYFUNCTION("""COMPUTED_VALUE"""),45093)</f>
        <v>45093</v>
      </c>
      <c r="BH525" s="40" t="str">
        <f ca="1">IFERROR(__xludf.DUMMYFUNCTION("""COMPUTED_VALUE"""),"FICHA EN TIEMPO-18 MESES")</f>
        <v>FICHA EN TIEMPO-18 MESES</v>
      </c>
      <c r="BI525" s="40" t="str">
        <f ca="1">IFERROR(__xludf.DUMMYFUNCTION("""COMPUTED_VALUE"""),"Terminada por fecha")</f>
        <v>Terminada por fecha</v>
      </c>
      <c r="BJ525" s="40" t="str">
        <f ca="1">IFERROR(__xludf.DUMMYFUNCTION("""COMPUTED_VALUE"""),"Yamboro")</f>
        <v>Yamboro</v>
      </c>
      <c r="BK525" s="40"/>
      <c r="BL525" s="40"/>
    </row>
    <row r="526" spans="1:64" ht="13">
      <c r="A526" s="40"/>
      <c r="B526" s="40" t="str">
        <f ca="1">IFERROR(__xludf.DUMMYFUNCTION("""COMPUTED_VALUE"""),"FORMACIÓN 18/10/2022")</f>
        <v>FORMACIÓN 18/10/2022</v>
      </c>
      <c r="C526" s="40" t="str">
        <f ca="1">IFERROR(__xludf.DUMMYFUNCTION("""COMPUTED_VALUE"""),"VANESA ALEJANDRA GAMBOA MARTINEZ")</f>
        <v>VANESA ALEJANDRA GAMBOA MARTINEZ</v>
      </c>
      <c r="D526" s="40" t="str">
        <f ca="1">IFERROR(__xludf.DUMMYFUNCTION("""COMPUTED_VALUE"""),"CC")</f>
        <v>CC</v>
      </c>
      <c r="E526" s="40">
        <f ca="1">IFERROR(__xludf.DUMMYFUNCTION("""COMPUTED_VALUE"""),26428939)</f>
        <v>26428939</v>
      </c>
      <c r="F526" s="40">
        <f ca="1">IFERROR(__xludf.DUMMYFUNCTION("""COMPUTED_VALUE"""),2327533)</f>
        <v>2327533</v>
      </c>
      <c r="G526" s="40" t="str">
        <f ca="1">IFERROR(__xludf.DUMMYFUNCTION("""COMPUTED_VALUE"""),"TÉCNICO")</f>
        <v>TÉCNICO</v>
      </c>
      <c r="H526" s="40" t="str">
        <f ca="1">IFERROR(__xludf.DUMMYFUNCTION("""COMPUTED_VALUE"""),"SERVICIOS DE BARISMO")</f>
        <v>SERVICIOS DE BARISMO</v>
      </c>
      <c r="I526" s="40"/>
      <c r="J526" s="40"/>
      <c r="K526" s="40"/>
      <c r="L526" s="40" t="str">
        <f ca="1">IFERROR(__xludf.DUMMYFUNCTION("""COMPUTED_VALUE"""),"NO HA INICIADO ETAPA PRODUCTIVA")</f>
        <v>NO HA INICIADO ETAPA PRODUCTIVA</v>
      </c>
      <c r="M526" s="40"/>
      <c r="N526" s="40"/>
      <c r="O526" s="40"/>
      <c r="P526" s="40"/>
      <c r="Q526" s="40"/>
      <c r="R526" s="140"/>
      <c r="S526" s="1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t="str">
        <f ca="1">IFERROR(__xludf.DUMMYFUNCTION("""COMPUTED_VALUE"""),"NO_CUMPLE")</f>
        <v>NO_CUMPLE</v>
      </c>
      <c r="AV526" s="40" t="str">
        <f ca="1">IFERROR(__xludf.DUMMYFUNCTION("""COMPUTED_VALUE"""),"EN FORMACION")</f>
        <v>EN FORMACION</v>
      </c>
      <c r="AW526" s="40" t="str">
        <f ca="1">IFERROR(__xludf.DUMMYFUNCTION("""COMPUTED_VALUE"""),"TURISMO")</f>
        <v>TURISMO</v>
      </c>
      <c r="AX526" s="141">
        <f ca="1">IFERROR(__xludf.DUMMYFUNCTION("""COMPUTED_VALUE"""),44839)</f>
        <v>44839</v>
      </c>
      <c r="AY526" s="40">
        <f ca="1">IFERROR(__xludf.DUMMYFUNCTION("""COMPUTED_VALUE"""),8)</f>
        <v>8</v>
      </c>
      <c r="AZ526" s="40">
        <f ca="1">IFERROR(__xludf.DUMMYFUNCTION("""COMPUTED_VALUE"""),1)</f>
        <v>1</v>
      </c>
      <c r="BA526" s="40">
        <f ca="1">IFERROR(__xludf.DUMMYFUNCTION("""COMPUTED_VALUE"""),0)</f>
        <v>0</v>
      </c>
      <c r="BB526" s="40">
        <f ca="1">IFERROR(__xludf.DUMMYFUNCTION("""COMPUTED_VALUE"""),0)</f>
        <v>0</v>
      </c>
      <c r="BC526" s="40">
        <f ca="1">IFERROR(__xludf.DUMMYFUNCTION("""COMPUTED_VALUE"""),9)</f>
        <v>9</v>
      </c>
      <c r="BD526" s="141">
        <f ca="1">IFERROR(__xludf.DUMMYFUNCTION("""COMPUTED_VALUE"""),44328)</f>
        <v>44328</v>
      </c>
      <c r="BE526" s="141">
        <f ca="1">IFERROR(__xludf.DUMMYFUNCTION("""COMPUTED_VALUE"""),44604)</f>
        <v>44604</v>
      </c>
      <c r="BF526" s="141">
        <f ca="1">IFERROR(__xludf.DUMMYFUNCTION("""COMPUTED_VALUE"""),44785)</f>
        <v>44785</v>
      </c>
      <c r="BG526" s="141">
        <f ca="1">IFERROR(__xludf.DUMMYFUNCTION("""COMPUTED_VALUE"""),45334)</f>
        <v>45334</v>
      </c>
      <c r="BH526" s="40" t="str">
        <f ca="1">IFERROR(__xludf.DUMMYFUNCTION("""COMPUTED_VALUE"""),"FICHA EN TIEMPO-18 MESES")</f>
        <v>FICHA EN TIEMPO-18 MESES</v>
      </c>
      <c r="BI526" s="40" t="str">
        <f ca="1">IFERROR(__xludf.DUMMYFUNCTION("""COMPUTED_VALUE"""),"Terminada por fecha")</f>
        <v>Terminada por fecha</v>
      </c>
      <c r="BJ526" s="40" t="str">
        <f ca="1">IFERROR(__xludf.DUMMYFUNCTION("""COMPUTED_VALUE"""),"Yamboro")</f>
        <v>Yamboro</v>
      </c>
      <c r="BK526" s="40"/>
      <c r="BL526" s="40"/>
    </row>
    <row r="527" spans="1:64" ht="13">
      <c r="A527" s="40"/>
      <c r="B527" s="40" t="str">
        <f ca="1">IFERROR(__xludf.DUMMYFUNCTION("""COMPUTED_VALUE"""),"FORMACIÓN 18/10/2022")</f>
        <v>FORMACIÓN 18/10/2022</v>
      </c>
      <c r="C527" s="40" t="str">
        <f ca="1">IFERROR(__xludf.DUMMYFUNCTION("""COMPUTED_VALUE"""),"DANIELA OFIR JARAMILLO ORTEGA")</f>
        <v>DANIELA OFIR JARAMILLO ORTEGA</v>
      </c>
      <c r="D527" s="40" t="str">
        <f ca="1">IFERROR(__xludf.DUMMYFUNCTION("""COMPUTED_VALUE"""),"CC")</f>
        <v>CC</v>
      </c>
      <c r="E527" s="40">
        <f ca="1">IFERROR(__xludf.DUMMYFUNCTION("""COMPUTED_VALUE"""),26428939)</f>
        <v>26428939</v>
      </c>
      <c r="F527" s="40">
        <f ca="1">IFERROR(__xludf.DUMMYFUNCTION("""COMPUTED_VALUE"""),2327533)</f>
        <v>2327533</v>
      </c>
      <c r="G527" s="40" t="str">
        <f ca="1">IFERROR(__xludf.DUMMYFUNCTION("""COMPUTED_VALUE"""),"TÉCNICO")</f>
        <v>TÉCNICO</v>
      </c>
      <c r="H527" s="40" t="str">
        <f ca="1">IFERROR(__xludf.DUMMYFUNCTION("""COMPUTED_VALUE"""),"SERVICIOS DE BARISMO")</f>
        <v>SERVICIOS DE BARISMO</v>
      </c>
      <c r="I527" s="40"/>
      <c r="J527" s="40"/>
      <c r="K527" s="40" t="str">
        <f ca="1">IFERROR(__xludf.DUMMYFUNCTION("""COMPUTED_VALUE"""),"PITALITO")</f>
        <v>PITALITO</v>
      </c>
      <c r="L527" s="40" t="str">
        <f ca="1">IFERROR(__xludf.DUMMYFUNCTION("""COMPUTED_VALUE"""),"PASANTÍAS")</f>
        <v>PASANTÍAS</v>
      </c>
      <c r="M527" s="40" t="str">
        <f ca="1">IFERROR(__xludf.DUMMYFUNCTION("""COMPUTED_VALUE"""),"ASOCIACIÓN RIVERAS DEL MAGDALENA DEL MUNICIPIO DE
PITALITO")</f>
        <v>ASOCIACIÓN RIVERAS DEL MAGDALENA DEL MUNICIPIO DE
PITALITO</v>
      </c>
      <c r="N527" s="40" t="str">
        <f ca="1">IFERROR(__xludf.DUMMYFUNCTION("""COMPUTED_VALUE"""),"CALLE 22 A SUR 3a # 10 ESTE BARRIO SOLARTE")</f>
        <v>CALLE 22 A SUR 3a # 10 ESTE BARRIO SOLARTE</v>
      </c>
      <c r="O527" s="40">
        <f ca="1">IFERROR(__xludf.DUMMYFUNCTION("""COMPUTED_VALUE"""),3203286118)</f>
        <v>3203286118</v>
      </c>
      <c r="P527" s="40" t="str">
        <f ca="1">IFERROR(__xludf.DUMMYFUNCTION("""COMPUTED_VALUE"""),"PITALITO")</f>
        <v>PITALITO</v>
      </c>
      <c r="Q527" s="40" t="str">
        <f ca="1">IFERROR(__xludf.DUMMYFUNCTION("""COMPUTED_VALUE"""),"alortiz1446@gmail.com")</f>
        <v>alortiz1446@gmail.com</v>
      </c>
      <c r="R527" s="140">
        <f ca="1">IFERROR(__xludf.DUMMYFUNCTION("""COMPUTED_VALUE"""),44886)</f>
        <v>44886</v>
      </c>
      <c r="S527" s="140">
        <f ca="1">IFERROR(__xludf.DUMMYFUNCTION("""COMPUTED_VALUE"""),44897)</f>
        <v>44897</v>
      </c>
      <c r="T527" s="40" t="str">
        <f ca="1">IFERROR(__xludf.DUMMYFUNCTION("""COMPUTED_VALUE"""),"Tiene acuerdo de voluntades, Inicial  bitácoras 1,2,3,4 y 5... Falta parcial,final, certificación y bitácoras 6,7,8,9,10,11 y 12 ... Revisado 31/08/2022")</f>
        <v>Tiene acuerdo de voluntades, Inicial  bitácoras 1,2,3,4 y 5... Falta parcial,final, certificación y bitácoras 6,7,8,9,10,11 y 12 ... Revisado 31/08/2022</v>
      </c>
      <c r="U527" s="40" t="str">
        <f ca="1">IFERROR(__xludf.DUMMYFUNCTION("""COMPUTED_VALUE"""),"Diana Ávila - asignada -Subió inicial y bitácoras 1,2,3,4 y 5... Revisado 31/08/2022")</f>
        <v>Diana Ávila - asignada -Subió inicial y bitácoras 1,2,3,4 y 5... Revisado 31/08/2022</v>
      </c>
      <c r="V527" s="40" t="str">
        <f ca="1">IFERROR(__xludf.DUMMYFUNCTION("""COMPUTED_VALUE"""),"SI tiene seguimiento 31/08/2022")</f>
        <v>SI tiene seguimiento 31/08/2022</v>
      </c>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t="str">
        <f ca="1">IFERROR(__xludf.DUMMYFUNCTION("""COMPUTED_VALUE"""),"Procede_E_P")</f>
        <v>Procede_E_P</v>
      </c>
      <c r="AV527" s="40" t="str">
        <f ca="1">IFERROR(__xludf.DUMMYFUNCTION("""COMPUTED_VALUE"""),"EN FORMACION")</f>
        <v>EN FORMACION</v>
      </c>
      <c r="AW527" s="40" t="str">
        <f ca="1">IFERROR(__xludf.DUMMYFUNCTION("""COMPUTED_VALUE"""),"TURISMO")</f>
        <v>TURISMO</v>
      </c>
      <c r="AX527" s="141">
        <f ca="1">IFERROR(__xludf.DUMMYFUNCTION("""COMPUTED_VALUE"""),44839)</f>
        <v>44839</v>
      </c>
      <c r="AY527" s="40">
        <f ca="1">IFERROR(__xludf.DUMMYFUNCTION("""COMPUTED_VALUE"""),0)</f>
        <v>0</v>
      </c>
      <c r="AZ527" s="40">
        <f ca="1">IFERROR(__xludf.DUMMYFUNCTION("""COMPUTED_VALUE"""),1)</f>
        <v>1</v>
      </c>
      <c r="BA527" s="40">
        <f ca="1">IFERROR(__xludf.DUMMYFUNCTION("""COMPUTED_VALUE"""),0)</f>
        <v>0</v>
      </c>
      <c r="BB527" s="40">
        <f ca="1">IFERROR(__xludf.DUMMYFUNCTION("""COMPUTED_VALUE"""),0)</f>
        <v>0</v>
      </c>
      <c r="BC527" s="40">
        <f ca="1">IFERROR(__xludf.DUMMYFUNCTION("""COMPUTED_VALUE"""),1)</f>
        <v>1</v>
      </c>
      <c r="BD527" s="141">
        <f ca="1">IFERROR(__xludf.DUMMYFUNCTION("""COMPUTED_VALUE"""),44328)</f>
        <v>44328</v>
      </c>
      <c r="BE527" s="141">
        <f ca="1">IFERROR(__xludf.DUMMYFUNCTION("""COMPUTED_VALUE"""),44604)</f>
        <v>44604</v>
      </c>
      <c r="BF527" s="141">
        <f ca="1">IFERROR(__xludf.DUMMYFUNCTION("""COMPUTED_VALUE"""),44785)</f>
        <v>44785</v>
      </c>
      <c r="BG527" s="141">
        <f ca="1">IFERROR(__xludf.DUMMYFUNCTION("""COMPUTED_VALUE"""),45334)</f>
        <v>45334</v>
      </c>
      <c r="BH527" s="40" t="str">
        <f ca="1">IFERROR(__xludf.DUMMYFUNCTION("""COMPUTED_VALUE"""),"FICHA EN TIEMPO-18 MESES")</f>
        <v>FICHA EN TIEMPO-18 MESES</v>
      </c>
      <c r="BI527" s="40" t="str">
        <f ca="1">IFERROR(__xludf.DUMMYFUNCTION("""COMPUTED_VALUE"""),"Terminada por fecha")</f>
        <v>Terminada por fecha</v>
      </c>
      <c r="BJ527" s="40" t="str">
        <f ca="1">IFERROR(__xludf.DUMMYFUNCTION("""COMPUTED_VALUE"""),"Yamboro")</f>
        <v>Yamboro</v>
      </c>
      <c r="BK527" s="40"/>
      <c r="BL527" s="40"/>
    </row>
    <row r="528" spans="1:64" ht="13">
      <c r="A528" s="40"/>
      <c r="B528" s="40" t="str">
        <f ca="1">IFERROR(__xludf.DUMMYFUNCTION("""COMPUTED_VALUE"""),"FORMACIÓN 18/10/2022")</f>
        <v>FORMACIÓN 18/10/2022</v>
      </c>
      <c r="C528" s="40" t="str">
        <f ca="1">IFERROR(__xludf.DUMMYFUNCTION("""COMPUTED_VALUE"""),"LAURA VALENTINA CORDOBA MOLINA")</f>
        <v>LAURA VALENTINA CORDOBA MOLINA</v>
      </c>
      <c r="D528" s="40" t="str">
        <f ca="1">IFERROR(__xludf.DUMMYFUNCTION("""COMPUTED_VALUE"""),"CC")</f>
        <v>CC</v>
      </c>
      <c r="E528" s="40">
        <f ca="1">IFERROR(__xludf.DUMMYFUNCTION("""COMPUTED_VALUE"""),26428939)</f>
        <v>26428939</v>
      </c>
      <c r="F528" s="40">
        <f ca="1">IFERROR(__xludf.DUMMYFUNCTION("""COMPUTED_VALUE"""),2327533)</f>
        <v>2327533</v>
      </c>
      <c r="G528" s="40" t="str">
        <f ca="1">IFERROR(__xludf.DUMMYFUNCTION("""COMPUTED_VALUE"""),"TÉCNICO")</f>
        <v>TÉCNICO</v>
      </c>
      <c r="H528" s="40" t="str">
        <f ca="1">IFERROR(__xludf.DUMMYFUNCTION("""COMPUTED_VALUE"""),"SERVICIOS DE BARISMO")</f>
        <v>SERVICIOS DE BARISMO</v>
      </c>
      <c r="I528" s="40"/>
      <c r="J528" s="40"/>
      <c r="K528" s="40"/>
      <c r="L528" s="40" t="str">
        <f ca="1">IFERROR(__xludf.DUMMYFUNCTION("""COMPUTED_VALUE"""),"NO HA INICIADO ETAPA PRODUCTIVA")</f>
        <v>NO HA INICIADO ETAPA PRODUCTIVA</v>
      </c>
      <c r="M528" s="40"/>
      <c r="N528" s="40"/>
      <c r="O528" s="40"/>
      <c r="P528" s="40"/>
      <c r="Q528" s="40"/>
      <c r="R528" s="140"/>
      <c r="S528" s="1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t="str">
        <f ca="1">IFERROR(__xludf.DUMMYFUNCTION("""COMPUTED_VALUE"""),"Procede_E_P")</f>
        <v>Procede_E_P</v>
      </c>
      <c r="AV528" s="40" t="str">
        <f ca="1">IFERROR(__xludf.DUMMYFUNCTION("""COMPUTED_VALUE"""),"EN FORMACION")</f>
        <v>EN FORMACION</v>
      </c>
      <c r="AW528" s="40" t="str">
        <f ca="1">IFERROR(__xludf.DUMMYFUNCTION("""COMPUTED_VALUE"""),"TURISMO")</f>
        <v>TURISMO</v>
      </c>
      <c r="AX528" s="141">
        <f ca="1">IFERROR(__xludf.DUMMYFUNCTION("""COMPUTED_VALUE"""),44839)</f>
        <v>44839</v>
      </c>
      <c r="AY528" s="40">
        <f ca="1">IFERROR(__xludf.DUMMYFUNCTION("""COMPUTED_VALUE"""),0)</f>
        <v>0</v>
      </c>
      <c r="AZ528" s="40">
        <f ca="1">IFERROR(__xludf.DUMMYFUNCTION("""COMPUTED_VALUE"""),1)</f>
        <v>1</v>
      </c>
      <c r="BA528" s="40">
        <f ca="1">IFERROR(__xludf.DUMMYFUNCTION("""COMPUTED_VALUE"""),0)</f>
        <v>0</v>
      </c>
      <c r="BB528" s="40">
        <f ca="1">IFERROR(__xludf.DUMMYFUNCTION("""COMPUTED_VALUE"""),0)</f>
        <v>0</v>
      </c>
      <c r="BC528" s="40">
        <f ca="1">IFERROR(__xludf.DUMMYFUNCTION("""COMPUTED_VALUE"""),1)</f>
        <v>1</v>
      </c>
      <c r="BD528" s="141">
        <f ca="1">IFERROR(__xludf.DUMMYFUNCTION("""COMPUTED_VALUE"""),44328)</f>
        <v>44328</v>
      </c>
      <c r="BE528" s="141">
        <f ca="1">IFERROR(__xludf.DUMMYFUNCTION("""COMPUTED_VALUE"""),44604)</f>
        <v>44604</v>
      </c>
      <c r="BF528" s="141">
        <f ca="1">IFERROR(__xludf.DUMMYFUNCTION("""COMPUTED_VALUE"""),44785)</f>
        <v>44785</v>
      </c>
      <c r="BG528" s="141">
        <f ca="1">IFERROR(__xludf.DUMMYFUNCTION("""COMPUTED_VALUE"""),45334)</f>
        <v>45334</v>
      </c>
      <c r="BH528" s="40" t="str">
        <f ca="1">IFERROR(__xludf.DUMMYFUNCTION("""COMPUTED_VALUE"""),"FICHA EN TIEMPO-18 MESES")</f>
        <v>FICHA EN TIEMPO-18 MESES</v>
      </c>
      <c r="BI528" s="40" t="str">
        <f ca="1">IFERROR(__xludf.DUMMYFUNCTION("""COMPUTED_VALUE"""),"Terminada por fecha")</f>
        <v>Terminada por fecha</v>
      </c>
      <c r="BJ528" s="40" t="str">
        <f ca="1">IFERROR(__xludf.DUMMYFUNCTION("""COMPUTED_VALUE"""),"Yamboro")</f>
        <v>Yamboro</v>
      </c>
      <c r="BK528" s="40"/>
      <c r="BL528" s="40"/>
    </row>
    <row r="529" spans="1:64" ht="13">
      <c r="A529" s="40"/>
      <c r="B529" s="40" t="str">
        <f ca="1">IFERROR(__xludf.DUMMYFUNCTION("""COMPUTED_VALUE"""),"FORMACIÓN 18/10/2022")</f>
        <v>FORMACIÓN 18/10/2022</v>
      </c>
      <c r="C529" s="40" t="str">
        <f ca="1">IFERROR(__xludf.DUMMYFUNCTION("""COMPUTED_VALUE"""),"OSCAR IVAN SILVA SALINAS")</f>
        <v>OSCAR IVAN SILVA SALINAS</v>
      </c>
      <c r="D529" s="40" t="str">
        <f ca="1">IFERROR(__xludf.DUMMYFUNCTION("""COMPUTED_VALUE"""),"CC")</f>
        <v>CC</v>
      </c>
      <c r="E529" s="40">
        <f ca="1">IFERROR(__xludf.DUMMYFUNCTION("""COMPUTED_VALUE"""),26428939)</f>
        <v>26428939</v>
      </c>
      <c r="F529" s="40">
        <f ca="1">IFERROR(__xludf.DUMMYFUNCTION("""COMPUTED_VALUE"""),2327533)</f>
        <v>2327533</v>
      </c>
      <c r="G529" s="40" t="str">
        <f ca="1">IFERROR(__xludf.DUMMYFUNCTION("""COMPUTED_VALUE"""),"TÉCNICO")</f>
        <v>TÉCNICO</v>
      </c>
      <c r="H529" s="40" t="str">
        <f ca="1">IFERROR(__xludf.DUMMYFUNCTION("""COMPUTED_VALUE"""),"SERVICIOS DE BARISMO")</f>
        <v>SERVICIOS DE BARISMO</v>
      </c>
      <c r="I529" s="40"/>
      <c r="J529" s="40"/>
      <c r="K529" s="40"/>
      <c r="L529" s="40" t="str">
        <f ca="1">IFERROR(__xludf.DUMMYFUNCTION("""COMPUTED_VALUE"""),"NO HA INICIADO ETAPA PRODUCTIVA")</f>
        <v>NO HA INICIADO ETAPA PRODUCTIVA</v>
      </c>
      <c r="M529" s="40"/>
      <c r="N529" s="40"/>
      <c r="O529" s="40"/>
      <c r="P529" s="40"/>
      <c r="Q529" s="40"/>
      <c r="R529" s="140"/>
      <c r="S529" s="1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t="str">
        <f ca="1">IFERROR(__xludf.DUMMYFUNCTION("""COMPUTED_VALUE"""),"NO_CUMPLE")</f>
        <v>NO_CUMPLE</v>
      </c>
      <c r="AV529" s="40" t="str">
        <f ca="1">IFERROR(__xludf.DUMMYFUNCTION("""COMPUTED_VALUE"""),"EN FORMACION")</f>
        <v>EN FORMACION</v>
      </c>
      <c r="AW529" s="40" t="str">
        <f ca="1">IFERROR(__xludf.DUMMYFUNCTION("""COMPUTED_VALUE"""),"TURISMO")</f>
        <v>TURISMO</v>
      </c>
      <c r="AX529" s="141">
        <f ca="1">IFERROR(__xludf.DUMMYFUNCTION("""COMPUTED_VALUE"""),44839)</f>
        <v>44839</v>
      </c>
      <c r="AY529" s="40">
        <f ca="1">IFERROR(__xludf.DUMMYFUNCTION("""COMPUTED_VALUE"""),28)</f>
        <v>28</v>
      </c>
      <c r="AZ529" s="40">
        <f ca="1">IFERROR(__xludf.DUMMYFUNCTION("""COMPUTED_VALUE"""),1)</f>
        <v>1</v>
      </c>
      <c r="BA529" s="40">
        <f ca="1">IFERROR(__xludf.DUMMYFUNCTION("""COMPUTED_VALUE"""),6)</f>
        <v>6</v>
      </c>
      <c r="BB529" s="40">
        <f ca="1">IFERROR(__xludf.DUMMYFUNCTION("""COMPUTED_VALUE"""),11)</f>
        <v>11</v>
      </c>
      <c r="BC529" s="40">
        <f ca="1">IFERROR(__xludf.DUMMYFUNCTION("""COMPUTED_VALUE"""),46)</f>
        <v>46</v>
      </c>
      <c r="BD529" s="141">
        <f ca="1">IFERROR(__xludf.DUMMYFUNCTION("""COMPUTED_VALUE"""),44328)</f>
        <v>44328</v>
      </c>
      <c r="BE529" s="141">
        <f ca="1">IFERROR(__xludf.DUMMYFUNCTION("""COMPUTED_VALUE"""),44604)</f>
        <v>44604</v>
      </c>
      <c r="BF529" s="141">
        <f ca="1">IFERROR(__xludf.DUMMYFUNCTION("""COMPUTED_VALUE"""),44785)</f>
        <v>44785</v>
      </c>
      <c r="BG529" s="141">
        <f ca="1">IFERROR(__xludf.DUMMYFUNCTION("""COMPUTED_VALUE"""),45334)</f>
        <v>45334</v>
      </c>
      <c r="BH529" s="40" t="str">
        <f ca="1">IFERROR(__xludf.DUMMYFUNCTION("""COMPUTED_VALUE"""),"FICHA EN TIEMPO-18 MESES")</f>
        <v>FICHA EN TIEMPO-18 MESES</v>
      </c>
      <c r="BI529" s="40" t="str">
        <f ca="1">IFERROR(__xludf.DUMMYFUNCTION("""COMPUTED_VALUE"""),"Terminada por fecha")</f>
        <v>Terminada por fecha</v>
      </c>
      <c r="BJ529" s="40" t="str">
        <f ca="1">IFERROR(__xludf.DUMMYFUNCTION("""COMPUTED_VALUE"""),"Yamboro")</f>
        <v>Yamboro</v>
      </c>
      <c r="BK529" s="40"/>
      <c r="BL529" s="40"/>
    </row>
    <row r="530" spans="1:64" ht="13">
      <c r="A530" s="40"/>
      <c r="B530" s="40" t="str">
        <f ca="1">IFERROR(__xludf.DUMMYFUNCTION("""COMPUTED_VALUE"""),"FORMACIÓN 18/10/2022")</f>
        <v>FORMACIÓN 18/10/2022</v>
      </c>
      <c r="C530" s="40" t="str">
        <f ca="1">IFERROR(__xludf.DUMMYFUNCTION("""COMPUTED_VALUE"""),"DANIEL FELIPE DIAZ VEGA")</f>
        <v>DANIEL FELIPE DIAZ VEGA</v>
      </c>
      <c r="D530" s="40" t="str">
        <f ca="1">IFERROR(__xludf.DUMMYFUNCTION("""COMPUTED_VALUE"""),"CC")</f>
        <v>CC</v>
      </c>
      <c r="E530" s="40">
        <f ca="1">IFERROR(__xludf.DUMMYFUNCTION("""COMPUTED_VALUE"""),26428939)</f>
        <v>26428939</v>
      </c>
      <c r="F530" s="40">
        <f ca="1">IFERROR(__xludf.DUMMYFUNCTION("""COMPUTED_VALUE"""),2327533)</f>
        <v>2327533</v>
      </c>
      <c r="G530" s="40" t="str">
        <f ca="1">IFERROR(__xludf.DUMMYFUNCTION("""COMPUTED_VALUE"""),"TÉCNICO")</f>
        <v>TÉCNICO</v>
      </c>
      <c r="H530" s="40" t="str">
        <f ca="1">IFERROR(__xludf.DUMMYFUNCTION("""COMPUTED_VALUE"""),"SERVICIOS DE BARISMO")</f>
        <v>SERVICIOS DE BARISMO</v>
      </c>
      <c r="I530" s="40">
        <f ca="1">IFERROR(__xludf.DUMMYFUNCTION("""COMPUTED_VALUE"""),3226592252)</f>
        <v>3226592252</v>
      </c>
      <c r="J530" s="40" t="str">
        <f ca="1">IFERROR(__xludf.DUMMYFUNCTION("""COMPUTED_VALUE"""),"danielfelipediazvega5@gmail.com")</f>
        <v>danielfelipediazvega5@gmail.com</v>
      </c>
      <c r="K530" s="40" t="str">
        <f ca="1">IFERROR(__xludf.DUMMYFUNCTION("""COMPUTED_VALUE"""),"Pitalito")</f>
        <v>Pitalito</v>
      </c>
      <c r="L530" s="40" t="str">
        <f ca="1">IFERROR(__xludf.DUMMYFUNCTION("""COMPUTED_VALUE"""),"CONTRATO DE APRENDIZAJE")</f>
        <v>CONTRATO DE APRENDIZAJE</v>
      </c>
      <c r="M530" s="40" t="str">
        <f ca="1">IFERROR(__xludf.DUMMYFUNCTION("""COMPUTED_VALUE"""),"APOYO A UNA INSTITUCIÓN  ESTATAL MUNICIPAL,VEREDAL, ONG")</f>
        <v>APOYO A UNA INSTITUCIÓN  ESTATAL MUNICIPAL,VEREDAL, ONG</v>
      </c>
      <c r="N530" s="40" t="str">
        <f ca="1">IFERROR(__xludf.DUMMYFUNCTION("""COMPUTED_VALUE"""),"Yamboró")</f>
        <v>Yamboró</v>
      </c>
      <c r="O530" s="40">
        <f ca="1">IFERROR(__xludf.DUMMYFUNCTION("""COMPUTED_VALUE"""),3002105865)</f>
        <v>3002105865</v>
      </c>
      <c r="P530" s="40" t="str">
        <f ca="1">IFERROR(__xludf.DUMMYFUNCTION("""COMPUTED_VALUE"""),"pitalito")</f>
        <v>pitalito</v>
      </c>
      <c r="Q530" s="40" t="str">
        <f ca="1">IFERROR(__xludf.DUMMYFUNCTION("""COMPUTED_VALUE"""),"apinzonp@sena.edu.co")</f>
        <v>apinzonp@sena.edu.co</v>
      </c>
      <c r="R530" s="140">
        <f ca="1">IFERROR(__xludf.DUMMYFUNCTION("""COMPUTED_VALUE"""),44685)</f>
        <v>44685</v>
      </c>
      <c r="S530" s="140">
        <f ca="1">IFERROR(__xludf.DUMMYFUNCTION("""COMPUTED_VALUE"""),44868)</f>
        <v>44868</v>
      </c>
      <c r="T530" s="40"/>
      <c r="U530" s="40" t="str">
        <f ca="1">IFERROR(__xludf.DUMMYFUNCTION("""COMPUTED_VALUE"""),"POR ASIGNAR ")</f>
        <v xml:space="preserve">POR ASIGNAR </v>
      </c>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t="str">
        <f ca="1">IFERROR(__xludf.DUMMYFUNCTION("""COMPUTED_VALUE"""),"Procede_E_P")</f>
        <v>Procede_E_P</v>
      </c>
      <c r="AV530" s="40" t="str">
        <f ca="1">IFERROR(__xludf.DUMMYFUNCTION("""COMPUTED_VALUE"""),"EN FORMACION")</f>
        <v>EN FORMACION</v>
      </c>
      <c r="AW530" s="40" t="str">
        <f ca="1">IFERROR(__xludf.DUMMYFUNCTION("""COMPUTED_VALUE"""),"TURISMO")</f>
        <v>TURISMO</v>
      </c>
      <c r="AX530" s="141">
        <f ca="1">IFERROR(__xludf.DUMMYFUNCTION("""COMPUTED_VALUE"""),44839)</f>
        <v>44839</v>
      </c>
      <c r="AY530" s="40">
        <f ca="1">IFERROR(__xludf.DUMMYFUNCTION("""COMPUTED_VALUE"""),0)</f>
        <v>0</v>
      </c>
      <c r="AZ530" s="40">
        <f ca="1">IFERROR(__xludf.DUMMYFUNCTION("""COMPUTED_VALUE"""),1)</f>
        <v>1</v>
      </c>
      <c r="BA530" s="40">
        <f ca="1">IFERROR(__xludf.DUMMYFUNCTION("""COMPUTED_VALUE"""),0)</f>
        <v>0</v>
      </c>
      <c r="BB530" s="40">
        <f ca="1">IFERROR(__xludf.DUMMYFUNCTION("""COMPUTED_VALUE"""),0)</f>
        <v>0</v>
      </c>
      <c r="BC530" s="40">
        <f ca="1">IFERROR(__xludf.DUMMYFUNCTION("""COMPUTED_VALUE"""),1)</f>
        <v>1</v>
      </c>
      <c r="BD530" s="141">
        <f ca="1">IFERROR(__xludf.DUMMYFUNCTION("""COMPUTED_VALUE"""),44328)</f>
        <v>44328</v>
      </c>
      <c r="BE530" s="141">
        <f ca="1">IFERROR(__xludf.DUMMYFUNCTION("""COMPUTED_VALUE"""),44604)</f>
        <v>44604</v>
      </c>
      <c r="BF530" s="141">
        <f ca="1">IFERROR(__xludf.DUMMYFUNCTION("""COMPUTED_VALUE"""),44785)</f>
        <v>44785</v>
      </c>
      <c r="BG530" s="141">
        <f ca="1">IFERROR(__xludf.DUMMYFUNCTION("""COMPUTED_VALUE"""),45334)</f>
        <v>45334</v>
      </c>
      <c r="BH530" s="40" t="str">
        <f ca="1">IFERROR(__xludf.DUMMYFUNCTION("""COMPUTED_VALUE"""),"FICHA EN TIEMPO-18 MESES")</f>
        <v>FICHA EN TIEMPO-18 MESES</v>
      </c>
      <c r="BI530" s="40" t="str">
        <f ca="1">IFERROR(__xludf.DUMMYFUNCTION("""COMPUTED_VALUE"""),"Terminada por fecha")</f>
        <v>Terminada por fecha</v>
      </c>
      <c r="BJ530" s="40" t="str">
        <f ca="1">IFERROR(__xludf.DUMMYFUNCTION("""COMPUTED_VALUE"""),"Yamboro")</f>
        <v>Yamboro</v>
      </c>
      <c r="BK530" s="40"/>
      <c r="BL530" s="40"/>
    </row>
    <row r="531" spans="1:64" ht="13">
      <c r="A531" s="40"/>
      <c r="B531" s="40" t="str">
        <f ca="1">IFERROR(__xludf.DUMMYFUNCTION("""COMPUTED_VALUE"""),"FORMACIÓN 18/10/2022")</f>
        <v>FORMACIÓN 18/10/2022</v>
      </c>
      <c r="C531" s="40" t="str">
        <f ca="1">IFERROR(__xludf.DUMMYFUNCTION("""COMPUTED_VALUE"""),"ANGIE NATALI ERAZO MURILLO")</f>
        <v>ANGIE NATALI ERAZO MURILLO</v>
      </c>
      <c r="D531" s="40" t="str">
        <f ca="1">IFERROR(__xludf.DUMMYFUNCTION("""COMPUTED_VALUE"""),"CC")</f>
        <v>CC</v>
      </c>
      <c r="E531" s="40">
        <f ca="1">IFERROR(__xludf.DUMMYFUNCTION("""COMPUTED_VALUE"""),26428939)</f>
        <v>26428939</v>
      </c>
      <c r="F531" s="40">
        <f ca="1">IFERROR(__xludf.DUMMYFUNCTION("""COMPUTED_VALUE"""),2327533)</f>
        <v>2327533</v>
      </c>
      <c r="G531" s="40" t="str">
        <f ca="1">IFERROR(__xludf.DUMMYFUNCTION("""COMPUTED_VALUE"""),"TÉCNICO")</f>
        <v>TÉCNICO</v>
      </c>
      <c r="H531" s="40" t="str">
        <f ca="1">IFERROR(__xludf.DUMMYFUNCTION("""COMPUTED_VALUE"""),"SERVICIOS DE BARISMO")</f>
        <v>SERVICIOS DE BARISMO</v>
      </c>
      <c r="I531" s="40"/>
      <c r="J531" s="40"/>
      <c r="K531" s="40" t="str">
        <f ca="1">IFERROR(__xludf.DUMMYFUNCTION("""COMPUTED_VALUE"""),"Pitalito")</f>
        <v>Pitalito</v>
      </c>
      <c r="L531" s="40" t="str">
        <f ca="1">IFERROR(__xludf.DUMMYFUNCTION("""COMPUTED_VALUE"""),"PASANTÍAS")</f>
        <v>PASANTÍAS</v>
      </c>
      <c r="M531" s="40" t="str">
        <f ca="1">IFERROR(__xludf.DUMMYFUNCTION("""COMPUTED_VALUE"""),"LUZ ADRIANA ZUÑIGA ESPINOSA")</f>
        <v>LUZ ADRIANA ZUÑIGA ESPINOSA</v>
      </c>
      <c r="N531" s="40" t="str">
        <f ca="1">IFERROR(__xludf.DUMMYFUNCTION("""COMPUTED_VALUE"""),"CLL 2 #1B-SS B QUINCHE")</f>
        <v>CLL 2 #1B-SS B QUINCHE</v>
      </c>
      <c r="O531" s="40">
        <f ca="1">IFERROR(__xludf.DUMMYFUNCTION("""COMPUTED_VALUE"""),3203748668)</f>
        <v>3203748668</v>
      </c>
      <c r="P531" s="40" t="str">
        <f ca="1">IFERROR(__xludf.DUMMYFUNCTION("""COMPUTED_VALUE"""),"Pitalito")</f>
        <v>Pitalito</v>
      </c>
      <c r="Q531" s="40" t="str">
        <f ca="1">IFERROR(__xludf.DUMMYFUNCTION("""COMPUTED_VALUE"""),"cofedanjoaquin@gmail.com")</f>
        <v>cofedanjoaquin@gmail.com</v>
      </c>
      <c r="R531" s="140">
        <f ca="1">IFERROR(__xludf.DUMMYFUNCTION("""COMPUTED_VALUE"""),44805)</f>
        <v>44805</v>
      </c>
      <c r="S531" s="140">
        <f ca="1">IFERROR(__xludf.DUMMYFUNCTION("""COMPUTED_VALUE"""),44988)</f>
        <v>44988</v>
      </c>
      <c r="T531" s="40"/>
      <c r="U531" s="40" t="str">
        <f ca="1">IFERROR(__xludf.DUMMYFUNCTION("""COMPUTED_VALUE"""),"DIANA AVILA ")</f>
        <v xml:space="preserve">DIANA AVILA </v>
      </c>
      <c r="V531" s="40" t="str">
        <f ca="1">IFERROR(__xludf.DUMMYFUNCTION("""COMPUTED_VALUE"""),"No tiene seguimiento... Revisado 02/09/2022")</f>
        <v>No tiene seguimiento... Revisado 02/09/2022</v>
      </c>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t="str">
        <f ca="1">IFERROR(__xludf.DUMMYFUNCTION("""COMPUTED_VALUE"""),"NO_CUMPLE")</f>
        <v>NO_CUMPLE</v>
      </c>
      <c r="AV531" s="40" t="str">
        <f ca="1">IFERROR(__xludf.DUMMYFUNCTION("""COMPUTED_VALUE"""),"EN FORMACION")</f>
        <v>EN FORMACION</v>
      </c>
      <c r="AW531" s="40" t="str">
        <f ca="1">IFERROR(__xludf.DUMMYFUNCTION("""COMPUTED_VALUE"""),"TURISMO")</f>
        <v>TURISMO</v>
      </c>
      <c r="AX531" s="141">
        <f ca="1">IFERROR(__xludf.DUMMYFUNCTION("""COMPUTED_VALUE"""),44839)</f>
        <v>44839</v>
      </c>
      <c r="AY531" s="40">
        <f ca="1">IFERROR(__xludf.DUMMYFUNCTION("""COMPUTED_VALUE"""),0)</f>
        <v>0</v>
      </c>
      <c r="AZ531" s="40">
        <f ca="1">IFERROR(__xludf.DUMMYFUNCTION("""COMPUTED_VALUE"""),1)</f>
        <v>1</v>
      </c>
      <c r="BA531" s="40">
        <f ca="1">IFERROR(__xludf.DUMMYFUNCTION("""COMPUTED_VALUE"""),1)</f>
        <v>1</v>
      </c>
      <c r="BB531" s="40">
        <f ca="1">IFERROR(__xludf.DUMMYFUNCTION("""COMPUTED_VALUE"""),0)</f>
        <v>0</v>
      </c>
      <c r="BC531" s="40">
        <f ca="1">IFERROR(__xludf.DUMMYFUNCTION("""COMPUTED_VALUE"""),2)</f>
        <v>2</v>
      </c>
      <c r="BD531" s="141">
        <f ca="1">IFERROR(__xludf.DUMMYFUNCTION("""COMPUTED_VALUE"""),44328)</f>
        <v>44328</v>
      </c>
      <c r="BE531" s="141">
        <f ca="1">IFERROR(__xludf.DUMMYFUNCTION("""COMPUTED_VALUE"""),44604)</f>
        <v>44604</v>
      </c>
      <c r="BF531" s="141">
        <f ca="1">IFERROR(__xludf.DUMMYFUNCTION("""COMPUTED_VALUE"""),44785)</f>
        <v>44785</v>
      </c>
      <c r="BG531" s="141">
        <f ca="1">IFERROR(__xludf.DUMMYFUNCTION("""COMPUTED_VALUE"""),45334)</f>
        <v>45334</v>
      </c>
      <c r="BH531" s="40" t="str">
        <f ca="1">IFERROR(__xludf.DUMMYFUNCTION("""COMPUTED_VALUE"""),"FICHA EN TIEMPO-18 MESES")</f>
        <v>FICHA EN TIEMPO-18 MESES</v>
      </c>
      <c r="BI531" s="40" t="str">
        <f ca="1">IFERROR(__xludf.DUMMYFUNCTION("""COMPUTED_VALUE"""),"Terminada por fecha")</f>
        <v>Terminada por fecha</v>
      </c>
      <c r="BJ531" s="40" t="str">
        <f ca="1">IFERROR(__xludf.DUMMYFUNCTION("""COMPUTED_VALUE"""),"Yamboro")</f>
        <v>Yamboro</v>
      </c>
      <c r="BK531" s="40"/>
      <c r="BL531" s="40"/>
    </row>
    <row r="532" spans="1:64" ht="13">
      <c r="A532" s="40"/>
      <c r="B532" s="40" t="str">
        <f ca="1">IFERROR(__xludf.DUMMYFUNCTION("""COMPUTED_VALUE"""),"FORMACIÓN 18/10/2022")</f>
        <v>FORMACIÓN 18/10/2022</v>
      </c>
      <c r="C532" s="40" t="str">
        <f ca="1">IFERROR(__xludf.DUMMYFUNCTION("""COMPUTED_VALUE"""),"MARIA ALEJANDRA SANCHEZ NARVAEZ")</f>
        <v>MARIA ALEJANDRA SANCHEZ NARVAEZ</v>
      </c>
      <c r="D532" s="40" t="str">
        <f ca="1">IFERROR(__xludf.DUMMYFUNCTION("""COMPUTED_VALUE"""),"CC")</f>
        <v>CC</v>
      </c>
      <c r="E532" s="40">
        <f ca="1">IFERROR(__xludf.DUMMYFUNCTION("""COMPUTED_VALUE"""),26428939)</f>
        <v>26428939</v>
      </c>
      <c r="F532" s="40">
        <f ca="1">IFERROR(__xludf.DUMMYFUNCTION("""COMPUTED_VALUE"""),2327533)</f>
        <v>2327533</v>
      </c>
      <c r="G532" s="40" t="str">
        <f ca="1">IFERROR(__xludf.DUMMYFUNCTION("""COMPUTED_VALUE"""),"TÉCNICO")</f>
        <v>TÉCNICO</v>
      </c>
      <c r="H532" s="40" t="str">
        <f ca="1">IFERROR(__xludf.DUMMYFUNCTION("""COMPUTED_VALUE"""),"SERVICIOS DE BARISMO")</f>
        <v>SERVICIOS DE BARISMO</v>
      </c>
      <c r="I532" s="40"/>
      <c r="J532" s="40"/>
      <c r="K532" s="40"/>
      <c r="L532" s="40" t="str">
        <f ca="1">IFERROR(__xludf.DUMMYFUNCTION("""COMPUTED_VALUE"""),"NO HA INICIADO ETAPA PRODUCTIVA")</f>
        <v>NO HA INICIADO ETAPA PRODUCTIVA</v>
      </c>
      <c r="M532" s="40"/>
      <c r="N532" s="40"/>
      <c r="O532" s="40"/>
      <c r="P532" s="40"/>
      <c r="Q532" s="40"/>
      <c r="R532" s="140"/>
      <c r="S532" s="1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t="str">
        <f ca="1">IFERROR(__xludf.DUMMYFUNCTION("""COMPUTED_VALUE"""),"Procede_E_P")</f>
        <v>Procede_E_P</v>
      </c>
      <c r="AV532" s="40" t="str">
        <f ca="1">IFERROR(__xludf.DUMMYFUNCTION("""COMPUTED_VALUE"""),"EN FORMACION")</f>
        <v>EN FORMACION</v>
      </c>
      <c r="AW532" s="40" t="str">
        <f ca="1">IFERROR(__xludf.DUMMYFUNCTION("""COMPUTED_VALUE"""),"TURISMO")</f>
        <v>TURISMO</v>
      </c>
      <c r="AX532" s="141">
        <f ca="1">IFERROR(__xludf.DUMMYFUNCTION("""COMPUTED_VALUE"""),44839)</f>
        <v>44839</v>
      </c>
      <c r="AY532" s="40">
        <f ca="1">IFERROR(__xludf.DUMMYFUNCTION("""COMPUTED_VALUE"""),0)</f>
        <v>0</v>
      </c>
      <c r="AZ532" s="40">
        <f ca="1">IFERROR(__xludf.DUMMYFUNCTION("""COMPUTED_VALUE"""),1)</f>
        <v>1</v>
      </c>
      <c r="BA532" s="40">
        <f ca="1">IFERROR(__xludf.DUMMYFUNCTION("""COMPUTED_VALUE"""),0)</f>
        <v>0</v>
      </c>
      <c r="BB532" s="40">
        <f ca="1">IFERROR(__xludf.DUMMYFUNCTION("""COMPUTED_VALUE"""),0)</f>
        <v>0</v>
      </c>
      <c r="BC532" s="40">
        <f ca="1">IFERROR(__xludf.DUMMYFUNCTION("""COMPUTED_VALUE"""),1)</f>
        <v>1</v>
      </c>
      <c r="BD532" s="141">
        <f ca="1">IFERROR(__xludf.DUMMYFUNCTION("""COMPUTED_VALUE"""),44328)</f>
        <v>44328</v>
      </c>
      <c r="BE532" s="141">
        <f ca="1">IFERROR(__xludf.DUMMYFUNCTION("""COMPUTED_VALUE"""),44604)</f>
        <v>44604</v>
      </c>
      <c r="BF532" s="141">
        <f ca="1">IFERROR(__xludf.DUMMYFUNCTION("""COMPUTED_VALUE"""),44785)</f>
        <v>44785</v>
      </c>
      <c r="BG532" s="141">
        <f ca="1">IFERROR(__xludf.DUMMYFUNCTION("""COMPUTED_VALUE"""),45334)</f>
        <v>45334</v>
      </c>
      <c r="BH532" s="40" t="str">
        <f ca="1">IFERROR(__xludf.DUMMYFUNCTION("""COMPUTED_VALUE"""),"FICHA EN TIEMPO-18 MESES")</f>
        <v>FICHA EN TIEMPO-18 MESES</v>
      </c>
      <c r="BI532" s="40" t="str">
        <f ca="1">IFERROR(__xludf.DUMMYFUNCTION("""COMPUTED_VALUE"""),"Terminada por fecha")</f>
        <v>Terminada por fecha</v>
      </c>
      <c r="BJ532" s="40" t="str">
        <f ca="1">IFERROR(__xludf.DUMMYFUNCTION("""COMPUTED_VALUE"""),"Yamboro")</f>
        <v>Yamboro</v>
      </c>
      <c r="BK532" s="40"/>
      <c r="BL532" s="40"/>
    </row>
    <row r="533" spans="1:64" ht="13">
      <c r="A533" s="40"/>
      <c r="B533" s="40" t="str">
        <f ca="1">IFERROR(__xludf.DUMMYFUNCTION("""COMPUTED_VALUE"""),"FORMACIÓN 18/10/2022")</f>
        <v>FORMACIÓN 18/10/2022</v>
      </c>
      <c r="C533" s="40" t="str">
        <f ca="1">IFERROR(__xludf.DUMMYFUNCTION("""COMPUTED_VALUE"""),"CLAUDIA CATALINA JIMENEZ PLAZA")</f>
        <v>CLAUDIA CATALINA JIMENEZ PLAZA</v>
      </c>
      <c r="D533" s="40" t="str">
        <f ca="1">IFERROR(__xludf.DUMMYFUNCTION("""COMPUTED_VALUE"""),"CC")</f>
        <v>CC</v>
      </c>
      <c r="E533" s="40">
        <f ca="1">IFERROR(__xludf.DUMMYFUNCTION("""COMPUTED_VALUE"""),26428939)</f>
        <v>26428939</v>
      </c>
      <c r="F533" s="40">
        <f ca="1">IFERROR(__xludf.DUMMYFUNCTION("""COMPUTED_VALUE"""),2327533)</f>
        <v>2327533</v>
      </c>
      <c r="G533" s="40" t="str">
        <f ca="1">IFERROR(__xludf.DUMMYFUNCTION("""COMPUTED_VALUE"""),"TÉCNICO")</f>
        <v>TÉCNICO</v>
      </c>
      <c r="H533" s="40" t="str">
        <f ca="1">IFERROR(__xludf.DUMMYFUNCTION("""COMPUTED_VALUE"""),"SERVICIOS DE BARISMO")</f>
        <v>SERVICIOS DE BARISMO</v>
      </c>
      <c r="I533" s="40"/>
      <c r="J533" s="40"/>
      <c r="K533" s="40"/>
      <c r="L533" s="40" t="str">
        <f ca="1">IFERROR(__xludf.DUMMYFUNCTION("""COMPUTED_VALUE"""),"PASANTÍAS")</f>
        <v>PASANTÍAS</v>
      </c>
      <c r="M533" s="40" t="str">
        <f ca="1">IFERROR(__xludf.DUMMYFUNCTION("""COMPUTED_VALUE"""),"CAWORKING LOS JUANAS CAFÉ SAS")</f>
        <v>CAWORKING LOS JUANAS CAFÉ SAS</v>
      </c>
      <c r="N533" s="40" t="str">
        <f ca="1">IFERROR(__xludf.DUMMYFUNCTION("""COMPUTED_VALUE"""),"CRRA 6 N° 7-61 CENTRO")</f>
        <v>CRRA 6 N° 7-61 CENTRO</v>
      </c>
      <c r="O533" s="40">
        <f ca="1">IFERROR(__xludf.DUMMYFUNCTION("""COMPUTED_VALUE"""),3173822164)</f>
        <v>3173822164</v>
      </c>
      <c r="P533" s="40" t="str">
        <f ca="1">IFERROR(__xludf.DUMMYFUNCTION("""COMPUTED_VALUE"""),"pitalito")</f>
        <v>pitalito</v>
      </c>
      <c r="Q533" s="40" t="str">
        <f ca="1">IFERROR(__xludf.DUMMYFUNCTION("""COMPUTED_VALUE"""),"lasjuanascafep@gmail.com")</f>
        <v>lasjuanascafep@gmail.com</v>
      </c>
      <c r="R533" s="140">
        <f ca="1">IFERROR(__xludf.DUMMYFUNCTION("""COMPUTED_VALUE"""),44801)</f>
        <v>44801</v>
      </c>
      <c r="S533" s="140">
        <f ca="1">IFERROR(__xludf.DUMMYFUNCTION("""COMPUTED_VALUE"""),45012)</f>
        <v>45012</v>
      </c>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t="str">
        <f ca="1">IFERROR(__xludf.DUMMYFUNCTION("""COMPUTED_VALUE"""),"Procede_E_P")</f>
        <v>Procede_E_P</v>
      </c>
      <c r="AV533" s="40" t="str">
        <f ca="1">IFERROR(__xludf.DUMMYFUNCTION("""COMPUTED_VALUE"""),"EN FORMACION")</f>
        <v>EN FORMACION</v>
      </c>
      <c r="AW533" s="40" t="str">
        <f ca="1">IFERROR(__xludf.DUMMYFUNCTION("""COMPUTED_VALUE"""),"TURISMO")</f>
        <v>TURISMO</v>
      </c>
      <c r="AX533" s="141">
        <f ca="1">IFERROR(__xludf.DUMMYFUNCTION("""COMPUTED_VALUE"""),44839)</f>
        <v>44839</v>
      </c>
      <c r="AY533" s="40">
        <f ca="1">IFERROR(__xludf.DUMMYFUNCTION("""COMPUTED_VALUE"""),0)</f>
        <v>0</v>
      </c>
      <c r="AZ533" s="40">
        <f ca="1">IFERROR(__xludf.DUMMYFUNCTION("""COMPUTED_VALUE"""),1)</f>
        <v>1</v>
      </c>
      <c r="BA533" s="40">
        <f ca="1">IFERROR(__xludf.DUMMYFUNCTION("""COMPUTED_VALUE"""),0)</f>
        <v>0</v>
      </c>
      <c r="BB533" s="40">
        <f ca="1">IFERROR(__xludf.DUMMYFUNCTION("""COMPUTED_VALUE"""),0)</f>
        <v>0</v>
      </c>
      <c r="BC533" s="40">
        <f ca="1">IFERROR(__xludf.DUMMYFUNCTION("""COMPUTED_VALUE"""),1)</f>
        <v>1</v>
      </c>
      <c r="BD533" s="141">
        <f ca="1">IFERROR(__xludf.DUMMYFUNCTION("""COMPUTED_VALUE"""),44328)</f>
        <v>44328</v>
      </c>
      <c r="BE533" s="141">
        <f ca="1">IFERROR(__xludf.DUMMYFUNCTION("""COMPUTED_VALUE"""),44604)</f>
        <v>44604</v>
      </c>
      <c r="BF533" s="141">
        <f ca="1">IFERROR(__xludf.DUMMYFUNCTION("""COMPUTED_VALUE"""),44785)</f>
        <v>44785</v>
      </c>
      <c r="BG533" s="141">
        <f ca="1">IFERROR(__xludf.DUMMYFUNCTION("""COMPUTED_VALUE"""),45334)</f>
        <v>45334</v>
      </c>
      <c r="BH533" s="40" t="str">
        <f ca="1">IFERROR(__xludf.DUMMYFUNCTION("""COMPUTED_VALUE"""),"FICHA EN TIEMPO-18 MESES")</f>
        <v>FICHA EN TIEMPO-18 MESES</v>
      </c>
      <c r="BI533" s="40" t="str">
        <f ca="1">IFERROR(__xludf.DUMMYFUNCTION("""COMPUTED_VALUE"""),"Terminada por fecha")</f>
        <v>Terminada por fecha</v>
      </c>
      <c r="BJ533" s="40" t="str">
        <f ca="1">IFERROR(__xludf.DUMMYFUNCTION("""COMPUTED_VALUE"""),"Yamboro")</f>
        <v>Yamboro</v>
      </c>
      <c r="BK533" s="40"/>
      <c r="BL533" s="40"/>
    </row>
    <row r="534" spans="1:64" ht="13">
      <c r="A534" s="40" t="str">
        <f ca="1">IFERROR(__xludf.DUMMYFUNCTION("""COMPUTED_VALUE"""),"REGISTRADO 28/02")</f>
        <v>REGISTRADO 28/02</v>
      </c>
      <c r="B534" s="40" t="str">
        <f ca="1">IFERROR(__xludf.DUMMYFUNCTION("""COMPUTED_VALUE"""),"FORMACIÓN 18/10/2022")</f>
        <v>FORMACIÓN 18/10/2022</v>
      </c>
      <c r="C534" s="40" t="str">
        <f ca="1">IFERROR(__xludf.DUMMYFUNCTION("""COMPUTED_VALUE"""),"CRISTIAN DAVID PEREZ TORRES")</f>
        <v>CRISTIAN DAVID PEREZ TORRES</v>
      </c>
      <c r="D534" s="40" t="str">
        <f ca="1">IFERROR(__xludf.DUMMYFUNCTION("""COMPUTED_VALUE"""),"CC")</f>
        <v>CC</v>
      </c>
      <c r="E534" s="40">
        <f ca="1">IFERROR(__xludf.DUMMYFUNCTION("""COMPUTED_VALUE"""),26428939)</f>
        <v>26428939</v>
      </c>
      <c r="F534" s="40">
        <f ca="1">IFERROR(__xludf.DUMMYFUNCTION("""COMPUTED_VALUE"""),2327533)</f>
        <v>2327533</v>
      </c>
      <c r="G534" s="40" t="str">
        <f ca="1">IFERROR(__xludf.DUMMYFUNCTION("""COMPUTED_VALUE"""),"TÉCNICO")</f>
        <v>TÉCNICO</v>
      </c>
      <c r="H534" s="40" t="str">
        <f ca="1">IFERROR(__xludf.DUMMYFUNCTION("""COMPUTED_VALUE"""),"SERVICIOS DE BARISMO")</f>
        <v>SERVICIOS DE BARISMO</v>
      </c>
      <c r="I534" s="40">
        <f ca="1">IFERROR(__xludf.DUMMYFUNCTION("""COMPUTED_VALUE"""),3166240038)</f>
        <v>3166240038</v>
      </c>
      <c r="J534" s="40" t="str">
        <f ca="1">IFERROR(__xludf.DUMMYFUNCTION("""COMPUTED_VALUE"""),"cristiandavidpereztorres@gmail.com")</f>
        <v>cristiandavidpereztorres@gmail.com</v>
      </c>
      <c r="K534" s="40" t="str">
        <f ca="1">IFERROR(__xludf.DUMMYFUNCTION("""COMPUTED_VALUE"""),"Pitalito")</f>
        <v>Pitalito</v>
      </c>
      <c r="L534" s="40" t="str">
        <f ca="1">IFERROR(__xludf.DUMMYFUNCTION("""COMPUTED_VALUE"""),"PASANTÍAS")</f>
        <v>PASANTÍAS</v>
      </c>
      <c r="M534" s="40" t="str">
        <f ca="1">IFERROR(__xludf.DUMMYFUNCTION("""COMPUTED_VALUE"""),"APOYO A UNA INSTITUCIÓN  ESTATAL MUNICIPAL,VEREDAL, ONG")</f>
        <v>APOYO A UNA INSTITUCIÓN  ESTATAL MUNICIPAL,VEREDAL, ONG</v>
      </c>
      <c r="N534" s="40" t="str">
        <f ca="1">IFERROR(__xludf.DUMMYFUNCTION("""COMPUTED_VALUE"""),"Yamboró")</f>
        <v>Yamboró</v>
      </c>
      <c r="O534" s="40">
        <f ca="1">IFERROR(__xludf.DUMMYFUNCTION("""COMPUTED_VALUE"""),3002105865)</f>
        <v>3002105865</v>
      </c>
      <c r="P534" s="40" t="str">
        <f ca="1">IFERROR(__xludf.DUMMYFUNCTION("""COMPUTED_VALUE"""),"pitalito")</f>
        <v>pitalito</v>
      </c>
      <c r="Q534" s="40" t="str">
        <f ca="1">IFERROR(__xludf.DUMMYFUNCTION("""COMPUTED_VALUE"""),"apinzonp@sena.edu.co")</f>
        <v>apinzonp@sena.edu.co</v>
      </c>
      <c r="R534" s="140">
        <f ca="1">IFERROR(__xludf.DUMMYFUNCTION("""COMPUTED_VALUE"""),44620)</f>
        <v>44620</v>
      </c>
      <c r="S534" s="140">
        <f ca="1">IFERROR(__xludf.DUMMYFUNCTION("""COMPUTED_VALUE"""),44801)</f>
        <v>44801</v>
      </c>
      <c r="T534" s="40" t="str">
        <f ca="1">IFERROR(__xludf.DUMMYFUNCTION("""COMPUTED_VALUE"""),"Tiene   acuerdo de voluntades, falta  seguimiento,  bitácoras..Revisado 02/03/2022")</f>
        <v>Tiene   acuerdo de voluntades, falta  seguimiento,  bitácoras..Revisado 02/03/2022</v>
      </c>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t="str">
        <f ca="1">IFERROR(__xludf.DUMMYFUNCTION("""COMPUTED_VALUE"""),"NO_CUMPLE")</f>
        <v>NO_CUMPLE</v>
      </c>
      <c r="AV534" s="40" t="str">
        <f ca="1">IFERROR(__xludf.DUMMYFUNCTION("""COMPUTED_VALUE"""),"EN FORMACION")</f>
        <v>EN FORMACION</v>
      </c>
      <c r="AW534" s="40" t="str">
        <f ca="1">IFERROR(__xludf.DUMMYFUNCTION("""COMPUTED_VALUE"""),"TURISMO")</f>
        <v>TURISMO</v>
      </c>
      <c r="AX534" s="141">
        <f ca="1">IFERROR(__xludf.DUMMYFUNCTION("""COMPUTED_VALUE"""),44839)</f>
        <v>44839</v>
      </c>
      <c r="AY534" s="40">
        <f ca="1">IFERROR(__xludf.DUMMYFUNCTION("""COMPUTED_VALUE"""),0)</f>
        <v>0</v>
      </c>
      <c r="AZ534" s="40">
        <f ca="1">IFERROR(__xludf.DUMMYFUNCTION("""COMPUTED_VALUE"""),1)</f>
        <v>1</v>
      </c>
      <c r="BA534" s="40">
        <f ca="1">IFERROR(__xludf.DUMMYFUNCTION("""COMPUTED_VALUE"""),1)</f>
        <v>1</v>
      </c>
      <c r="BB534" s="40">
        <f ca="1">IFERROR(__xludf.DUMMYFUNCTION("""COMPUTED_VALUE"""),0)</f>
        <v>0</v>
      </c>
      <c r="BC534" s="40">
        <f ca="1">IFERROR(__xludf.DUMMYFUNCTION("""COMPUTED_VALUE"""),2)</f>
        <v>2</v>
      </c>
      <c r="BD534" s="141">
        <f ca="1">IFERROR(__xludf.DUMMYFUNCTION("""COMPUTED_VALUE"""),44328)</f>
        <v>44328</v>
      </c>
      <c r="BE534" s="141">
        <f ca="1">IFERROR(__xludf.DUMMYFUNCTION("""COMPUTED_VALUE"""),44604)</f>
        <v>44604</v>
      </c>
      <c r="BF534" s="141">
        <f ca="1">IFERROR(__xludf.DUMMYFUNCTION("""COMPUTED_VALUE"""),44785)</f>
        <v>44785</v>
      </c>
      <c r="BG534" s="141">
        <f ca="1">IFERROR(__xludf.DUMMYFUNCTION("""COMPUTED_VALUE"""),45334)</f>
        <v>45334</v>
      </c>
      <c r="BH534" s="40" t="str">
        <f ca="1">IFERROR(__xludf.DUMMYFUNCTION("""COMPUTED_VALUE"""),"FICHA EN TIEMPO-18 MESES")</f>
        <v>FICHA EN TIEMPO-18 MESES</v>
      </c>
      <c r="BI534" s="40" t="str">
        <f ca="1">IFERROR(__xludf.DUMMYFUNCTION("""COMPUTED_VALUE"""),"Terminada por fecha")</f>
        <v>Terminada por fecha</v>
      </c>
      <c r="BJ534" s="40" t="str">
        <f ca="1">IFERROR(__xludf.DUMMYFUNCTION("""COMPUTED_VALUE"""),"Yamboro")</f>
        <v>Yamboro</v>
      </c>
      <c r="BK534" s="40"/>
      <c r="BL534" s="40"/>
    </row>
    <row r="535" spans="1:64" ht="13">
      <c r="A535" s="40"/>
      <c r="B535" s="40" t="str">
        <f ca="1">IFERROR(__xludf.DUMMYFUNCTION("""COMPUTED_VALUE"""),"FORMACIÓN 18/10/2022")</f>
        <v>FORMACIÓN 18/10/2022</v>
      </c>
      <c r="C535" s="40" t="str">
        <f ca="1">IFERROR(__xludf.DUMMYFUNCTION("""COMPUTED_VALUE"""),"PAULA TATIANA CASTRO MOLANO")</f>
        <v>PAULA TATIANA CASTRO MOLANO</v>
      </c>
      <c r="D535" s="40" t="str">
        <f ca="1">IFERROR(__xludf.DUMMYFUNCTION("""COMPUTED_VALUE"""),"CC")</f>
        <v>CC</v>
      </c>
      <c r="E535" s="40">
        <f ca="1">IFERROR(__xludf.DUMMYFUNCTION("""COMPUTED_VALUE"""),26428939)</f>
        <v>26428939</v>
      </c>
      <c r="F535" s="40">
        <f ca="1">IFERROR(__xludf.DUMMYFUNCTION("""COMPUTED_VALUE"""),2327533)</f>
        <v>2327533</v>
      </c>
      <c r="G535" s="40" t="str">
        <f ca="1">IFERROR(__xludf.DUMMYFUNCTION("""COMPUTED_VALUE"""),"TÉCNICO")</f>
        <v>TÉCNICO</v>
      </c>
      <c r="H535" s="40" t="str">
        <f ca="1">IFERROR(__xludf.DUMMYFUNCTION("""COMPUTED_VALUE"""),"SERVICIOS DE BARISMO")</f>
        <v>SERVICIOS DE BARISMO</v>
      </c>
      <c r="I535" s="40"/>
      <c r="J535" s="40"/>
      <c r="K535" s="40"/>
      <c r="L535" s="40" t="str">
        <f ca="1">IFERROR(__xludf.DUMMYFUNCTION("""COMPUTED_VALUE"""),"NO HA INICIADO ETAPA PRODUCTIVA")</f>
        <v>NO HA INICIADO ETAPA PRODUCTIVA</v>
      </c>
      <c r="M535" s="40"/>
      <c r="N535" s="40"/>
      <c r="O535" s="40"/>
      <c r="P535" s="40"/>
      <c r="Q535" s="40"/>
      <c r="R535" s="140"/>
      <c r="S535" s="1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t="str">
        <f ca="1">IFERROR(__xludf.DUMMYFUNCTION("""COMPUTED_VALUE"""),"Procede_E_P")</f>
        <v>Procede_E_P</v>
      </c>
      <c r="AV535" s="40" t="str">
        <f ca="1">IFERROR(__xludf.DUMMYFUNCTION("""COMPUTED_VALUE"""),"EN FORMACION")</f>
        <v>EN FORMACION</v>
      </c>
      <c r="AW535" s="40" t="str">
        <f ca="1">IFERROR(__xludf.DUMMYFUNCTION("""COMPUTED_VALUE"""),"TURISMO")</f>
        <v>TURISMO</v>
      </c>
      <c r="AX535" s="141">
        <f ca="1">IFERROR(__xludf.DUMMYFUNCTION("""COMPUTED_VALUE"""),44839)</f>
        <v>44839</v>
      </c>
      <c r="AY535" s="40">
        <f ca="1">IFERROR(__xludf.DUMMYFUNCTION("""COMPUTED_VALUE"""),0)</f>
        <v>0</v>
      </c>
      <c r="AZ535" s="40">
        <f ca="1">IFERROR(__xludf.DUMMYFUNCTION("""COMPUTED_VALUE"""),1)</f>
        <v>1</v>
      </c>
      <c r="BA535" s="40">
        <f ca="1">IFERROR(__xludf.DUMMYFUNCTION("""COMPUTED_VALUE"""),0)</f>
        <v>0</v>
      </c>
      <c r="BB535" s="40">
        <f ca="1">IFERROR(__xludf.DUMMYFUNCTION("""COMPUTED_VALUE"""),0)</f>
        <v>0</v>
      </c>
      <c r="BC535" s="40">
        <f ca="1">IFERROR(__xludf.DUMMYFUNCTION("""COMPUTED_VALUE"""),1)</f>
        <v>1</v>
      </c>
      <c r="BD535" s="141">
        <f ca="1">IFERROR(__xludf.DUMMYFUNCTION("""COMPUTED_VALUE"""),44328)</f>
        <v>44328</v>
      </c>
      <c r="BE535" s="141">
        <f ca="1">IFERROR(__xludf.DUMMYFUNCTION("""COMPUTED_VALUE"""),44604)</f>
        <v>44604</v>
      </c>
      <c r="BF535" s="141">
        <f ca="1">IFERROR(__xludf.DUMMYFUNCTION("""COMPUTED_VALUE"""),44785)</f>
        <v>44785</v>
      </c>
      <c r="BG535" s="141">
        <f ca="1">IFERROR(__xludf.DUMMYFUNCTION("""COMPUTED_VALUE"""),45334)</f>
        <v>45334</v>
      </c>
      <c r="BH535" s="40" t="str">
        <f ca="1">IFERROR(__xludf.DUMMYFUNCTION("""COMPUTED_VALUE"""),"FICHA EN TIEMPO-18 MESES")</f>
        <v>FICHA EN TIEMPO-18 MESES</v>
      </c>
      <c r="BI535" s="40" t="str">
        <f ca="1">IFERROR(__xludf.DUMMYFUNCTION("""COMPUTED_VALUE"""),"Terminada por fecha")</f>
        <v>Terminada por fecha</v>
      </c>
      <c r="BJ535" s="40" t="str">
        <f ca="1">IFERROR(__xludf.DUMMYFUNCTION("""COMPUTED_VALUE"""),"Yamboro")</f>
        <v>Yamboro</v>
      </c>
      <c r="BK535" s="40"/>
      <c r="BL535" s="40"/>
    </row>
    <row r="536" spans="1:64" ht="13">
      <c r="A536" s="40"/>
      <c r="B536" s="40" t="str">
        <f ca="1">IFERROR(__xludf.DUMMYFUNCTION("""COMPUTED_VALUE"""),"FORMACIÓN 18/10/2022")</f>
        <v>FORMACIÓN 18/10/2022</v>
      </c>
      <c r="C536" s="40" t="str">
        <f ca="1">IFERROR(__xludf.DUMMYFUNCTION("""COMPUTED_VALUE"""),"MAYCOL YOHAN CORDOBA MOLINA")</f>
        <v>MAYCOL YOHAN CORDOBA MOLINA</v>
      </c>
      <c r="D536" s="40" t="str">
        <f ca="1">IFERROR(__xludf.DUMMYFUNCTION("""COMPUTED_VALUE"""),"TI")</f>
        <v>TI</v>
      </c>
      <c r="E536" s="40">
        <f ca="1">IFERROR(__xludf.DUMMYFUNCTION("""COMPUTED_VALUE"""),26428939)</f>
        <v>26428939</v>
      </c>
      <c r="F536" s="40">
        <f ca="1">IFERROR(__xludf.DUMMYFUNCTION("""COMPUTED_VALUE"""),2327533)</f>
        <v>2327533</v>
      </c>
      <c r="G536" s="40" t="str">
        <f ca="1">IFERROR(__xludf.DUMMYFUNCTION("""COMPUTED_VALUE"""),"TÉCNICO")</f>
        <v>TÉCNICO</v>
      </c>
      <c r="H536" s="40" t="str">
        <f ca="1">IFERROR(__xludf.DUMMYFUNCTION("""COMPUTED_VALUE"""),"SERVICIOS DE BARISMO")</f>
        <v>SERVICIOS DE BARISMO</v>
      </c>
      <c r="I536" s="40"/>
      <c r="J536" s="40"/>
      <c r="K536" s="40"/>
      <c r="L536" s="40" t="str">
        <f ca="1">IFERROR(__xludf.DUMMYFUNCTION("""COMPUTED_VALUE"""),"NO HA INICIADO ETAPA PRODUCTIVA")</f>
        <v>NO HA INICIADO ETAPA PRODUCTIVA</v>
      </c>
      <c r="M536" s="40"/>
      <c r="N536" s="40"/>
      <c r="O536" s="40"/>
      <c r="P536" s="40"/>
      <c r="Q536" s="40"/>
      <c r="R536" s="140"/>
      <c r="S536" s="1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t="str">
        <f ca="1">IFERROR(__xludf.DUMMYFUNCTION("""COMPUTED_VALUE"""),"NO_CUMPLE")</f>
        <v>NO_CUMPLE</v>
      </c>
      <c r="AV536" s="40" t="str">
        <f ca="1">IFERROR(__xludf.DUMMYFUNCTION("""COMPUTED_VALUE"""),"EN FORMACION")</f>
        <v>EN FORMACION</v>
      </c>
      <c r="AW536" s="40" t="str">
        <f ca="1">IFERROR(__xludf.DUMMYFUNCTION("""COMPUTED_VALUE"""),"TURISMO")</f>
        <v>TURISMO</v>
      </c>
      <c r="AX536" s="141">
        <f ca="1">IFERROR(__xludf.DUMMYFUNCTION("""COMPUTED_VALUE"""),44839)</f>
        <v>44839</v>
      </c>
      <c r="AY536" s="40">
        <f ca="1">IFERROR(__xludf.DUMMYFUNCTION("""COMPUTED_VALUE"""),28)</f>
        <v>28</v>
      </c>
      <c r="AZ536" s="40">
        <f ca="1">IFERROR(__xludf.DUMMYFUNCTION("""COMPUTED_VALUE"""),1)</f>
        <v>1</v>
      </c>
      <c r="BA536" s="40">
        <f ca="1">IFERROR(__xludf.DUMMYFUNCTION("""COMPUTED_VALUE"""),6)</f>
        <v>6</v>
      </c>
      <c r="BB536" s="40">
        <f ca="1">IFERROR(__xludf.DUMMYFUNCTION("""COMPUTED_VALUE"""),10)</f>
        <v>10</v>
      </c>
      <c r="BC536" s="40">
        <f ca="1">IFERROR(__xludf.DUMMYFUNCTION("""COMPUTED_VALUE"""),45)</f>
        <v>45</v>
      </c>
      <c r="BD536" s="141">
        <f ca="1">IFERROR(__xludf.DUMMYFUNCTION("""COMPUTED_VALUE"""),44328)</f>
        <v>44328</v>
      </c>
      <c r="BE536" s="141">
        <f ca="1">IFERROR(__xludf.DUMMYFUNCTION("""COMPUTED_VALUE"""),44604)</f>
        <v>44604</v>
      </c>
      <c r="BF536" s="141">
        <f ca="1">IFERROR(__xludf.DUMMYFUNCTION("""COMPUTED_VALUE"""),44785)</f>
        <v>44785</v>
      </c>
      <c r="BG536" s="141">
        <f ca="1">IFERROR(__xludf.DUMMYFUNCTION("""COMPUTED_VALUE"""),45334)</f>
        <v>45334</v>
      </c>
      <c r="BH536" s="40" t="str">
        <f ca="1">IFERROR(__xludf.DUMMYFUNCTION("""COMPUTED_VALUE"""),"FICHA EN TIEMPO-18 MESES")</f>
        <v>FICHA EN TIEMPO-18 MESES</v>
      </c>
      <c r="BI536" s="40" t="str">
        <f ca="1">IFERROR(__xludf.DUMMYFUNCTION("""COMPUTED_VALUE"""),"Terminada por fecha")</f>
        <v>Terminada por fecha</v>
      </c>
      <c r="BJ536" s="40" t="str">
        <f ca="1">IFERROR(__xludf.DUMMYFUNCTION("""COMPUTED_VALUE"""),"Yamboro")</f>
        <v>Yamboro</v>
      </c>
      <c r="BK536" s="40"/>
      <c r="BL536" s="40"/>
    </row>
    <row r="537" spans="1:64" ht="13">
      <c r="A537" s="40"/>
      <c r="B537" s="40" t="str">
        <f ca="1">IFERROR(__xludf.DUMMYFUNCTION("""COMPUTED_VALUE"""),"FORMACIÓN 18/10/2022")</f>
        <v>FORMACIÓN 18/10/2022</v>
      </c>
      <c r="C537" s="40" t="str">
        <f ca="1">IFERROR(__xludf.DUMMYFUNCTION("""COMPUTED_VALUE"""),"LAURA GUTIERREZ STERLING")</f>
        <v>LAURA GUTIERREZ STERLING</v>
      </c>
      <c r="D537" s="40" t="str">
        <f ca="1">IFERROR(__xludf.DUMMYFUNCTION("""COMPUTED_VALUE"""),"TI")</f>
        <v>TI</v>
      </c>
      <c r="E537" s="40">
        <f ca="1">IFERROR(__xludf.DUMMYFUNCTION("""COMPUTED_VALUE"""),26428939)</f>
        <v>26428939</v>
      </c>
      <c r="F537" s="40">
        <f ca="1">IFERROR(__xludf.DUMMYFUNCTION("""COMPUTED_VALUE"""),2327533)</f>
        <v>2327533</v>
      </c>
      <c r="G537" s="40" t="str">
        <f ca="1">IFERROR(__xludf.DUMMYFUNCTION("""COMPUTED_VALUE"""),"TÉCNICO")</f>
        <v>TÉCNICO</v>
      </c>
      <c r="H537" s="40" t="str">
        <f ca="1">IFERROR(__xludf.DUMMYFUNCTION("""COMPUTED_VALUE"""),"SERVICIOS DE BARISMO")</f>
        <v>SERVICIOS DE BARISMO</v>
      </c>
      <c r="I537" s="40">
        <f ca="1">IFERROR(__xludf.DUMMYFUNCTION("""COMPUTED_VALUE"""),3154927529)</f>
        <v>3154927529</v>
      </c>
      <c r="J537" s="40" t="str">
        <f ca="1">IFERROR(__xludf.DUMMYFUNCTION("""COMPUTED_VALUE"""),"lauragutierrezsterling602@gmail.com")</f>
        <v>lauragutierrezsterling602@gmail.com</v>
      </c>
      <c r="K537" s="40" t="str">
        <f ca="1">IFERROR(__xludf.DUMMYFUNCTION("""COMPUTED_VALUE"""),"TIMANÁ ")</f>
        <v xml:space="preserve">TIMANÁ </v>
      </c>
      <c r="L537" s="40" t="str">
        <f ca="1">IFERROR(__xludf.DUMMYFUNCTION("""COMPUTED_VALUE"""),"PASANTÍAS")</f>
        <v>PASANTÍAS</v>
      </c>
      <c r="M537" s="40" t="str">
        <f ca="1">IFERROR(__xludf.DUMMYFUNCTION("""COMPUTED_VALUE"""),"ASOCIACIÓN OROCAFE ")</f>
        <v xml:space="preserve">ASOCIACIÓN OROCAFE </v>
      </c>
      <c r="N537" s="40" t="str">
        <f ca="1">IFERROR(__xludf.DUMMYFUNCTION("""COMPUTED_VALUE"""),"CALLE 10 N° 2- 64")</f>
        <v>CALLE 10 N° 2- 64</v>
      </c>
      <c r="O537" s="40">
        <f ca="1">IFERROR(__xludf.DUMMYFUNCTION("""COMPUTED_VALUE"""),3112336243)</f>
        <v>3112336243</v>
      </c>
      <c r="P537" s="40" t="str">
        <f ca="1">IFERROR(__xludf.DUMMYFUNCTION("""COMPUTED_VALUE"""),"TIMANÁ ")</f>
        <v xml:space="preserve">TIMANÁ </v>
      </c>
      <c r="Q537" s="40" t="str">
        <f ca="1">IFERROR(__xludf.DUMMYFUNCTION("""COMPUTED_VALUE"""),"orocafe@outlok.com")</f>
        <v>orocafe@outlok.com</v>
      </c>
      <c r="R537" s="140">
        <f ca="1">IFERROR(__xludf.DUMMYFUNCTION("""COMPUTED_VALUE"""),44743)</f>
        <v>44743</v>
      </c>
      <c r="S537" s="140">
        <f ca="1">IFERROR(__xludf.DUMMYFUNCTION("""COMPUTED_VALUE"""),44926)</f>
        <v>44926</v>
      </c>
      <c r="T537" s="40"/>
      <c r="U537" s="40" t="str">
        <f ca="1">IFERROR(__xludf.DUMMYFUNCTION("""COMPUTED_VALUE"""),"Diana Avila  - Asignada ")</f>
        <v xml:space="preserve">Diana Avila  - Asignada </v>
      </c>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t="str">
        <f ca="1">IFERROR(__xludf.DUMMYFUNCTION("""COMPUTED_VALUE"""),"Procede_E_P")</f>
        <v>Procede_E_P</v>
      </c>
      <c r="AV537" s="40" t="str">
        <f ca="1">IFERROR(__xludf.DUMMYFUNCTION("""COMPUTED_VALUE"""),"EN FORMACION")</f>
        <v>EN FORMACION</v>
      </c>
      <c r="AW537" s="40" t="str">
        <f ca="1">IFERROR(__xludf.DUMMYFUNCTION("""COMPUTED_VALUE"""),"TURISMO")</f>
        <v>TURISMO</v>
      </c>
      <c r="AX537" s="141">
        <f ca="1">IFERROR(__xludf.DUMMYFUNCTION("""COMPUTED_VALUE"""),44839)</f>
        <v>44839</v>
      </c>
      <c r="AY537" s="40">
        <f ca="1">IFERROR(__xludf.DUMMYFUNCTION("""COMPUTED_VALUE"""),0)</f>
        <v>0</v>
      </c>
      <c r="AZ537" s="40">
        <f ca="1">IFERROR(__xludf.DUMMYFUNCTION("""COMPUTED_VALUE"""),1)</f>
        <v>1</v>
      </c>
      <c r="BA537" s="40">
        <f ca="1">IFERROR(__xludf.DUMMYFUNCTION("""COMPUTED_VALUE"""),0)</f>
        <v>0</v>
      </c>
      <c r="BB537" s="40">
        <f ca="1">IFERROR(__xludf.DUMMYFUNCTION("""COMPUTED_VALUE"""),0)</f>
        <v>0</v>
      </c>
      <c r="BC537" s="40">
        <f ca="1">IFERROR(__xludf.DUMMYFUNCTION("""COMPUTED_VALUE"""),1)</f>
        <v>1</v>
      </c>
      <c r="BD537" s="141">
        <f ca="1">IFERROR(__xludf.DUMMYFUNCTION("""COMPUTED_VALUE"""),44328)</f>
        <v>44328</v>
      </c>
      <c r="BE537" s="141">
        <f ca="1">IFERROR(__xludf.DUMMYFUNCTION("""COMPUTED_VALUE"""),44604)</f>
        <v>44604</v>
      </c>
      <c r="BF537" s="141">
        <f ca="1">IFERROR(__xludf.DUMMYFUNCTION("""COMPUTED_VALUE"""),44785)</f>
        <v>44785</v>
      </c>
      <c r="BG537" s="141">
        <f ca="1">IFERROR(__xludf.DUMMYFUNCTION("""COMPUTED_VALUE"""),45334)</f>
        <v>45334</v>
      </c>
      <c r="BH537" s="40" t="str">
        <f ca="1">IFERROR(__xludf.DUMMYFUNCTION("""COMPUTED_VALUE"""),"FICHA EN TIEMPO-18 MESES")</f>
        <v>FICHA EN TIEMPO-18 MESES</v>
      </c>
      <c r="BI537" s="40" t="str">
        <f ca="1">IFERROR(__xludf.DUMMYFUNCTION("""COMPUTED_VALUE"""),"Terminada por fecha")</f>
        <v>Terminada por fecha</v>
      </c>
      <c r="BJ537" s="40" t="str">
        <f ca="1">IFERROR(__xludf.DUMMYFUNCTION("""COMPUTED_VALUE"""),"Yamboro")</f>
        <v>Yamboro</v>
      </c>
      <c r="BK537" s="40"/>
      <c r="BL537" s="40"/>
    </row>
    <row r="538" spans="1:64" ht="13">
      <c r="A538" s="40"/>
      <c r="B538" s="40" t="str">
        <f ca="1">IFERROR(__xludf.DUMMYFUNCTION("""COMPUTED_VALUE"""),"FORMACIÓN 18/10/2022")</f>
        <v>FORMACIÓN 18/10/2022</v>
      </c>
      <c r="C538" s="40" t="str">
        <f ca="1">IFERROR(__xludf.DUMMYFUNCTION("""COMPUTED_VALUE"""),"JEAN CARLOS ROMERO MUÑOZ")</f>
        <v>JEAN CARLOS ROMERO MUÑOZ</v>
      </c>
      <c r="D538" s="40" t="str">
        <f ca="1">IFERROR(__xludf.DUMMYFUNCTION("""COMPUTED_VALUE"""),"TI")</f>
        <v>TI</v>
      </c>
      <c r="E538" s="40">
        <f ca="1">IFERROR(__xludf.DUMMYFUNCTION("""COMPUTED_VALUE"""),26428939)</f>
        <v>26428939</v>
      </c>
      <c r="F538" s="40">
        <f ca="1">IFERROR(__xludf.DUMMYFUNCTION("""COMPUTED_VALUE"""),2327533)</f>
        <v>2327533</v>
      </c>
      <c r="G538" s="40" t="str">
        <f ca="1">IFERROR(__xludf.DUMMYFUNCTION("""COMPUTED_VALUE"""),"TÉCNICO")</f>
        <v>TÉCNICO</v>
      </c>
      <c r="H538" s="40" t="str">
        <f ca="1">IFERROR(__xludf.DUMMYFUNCTION("""COMPUTED_VALUE"""),"SERVICIOS DE BARISMO")</f>
        <v>SERVICIOS DE BARISMO</v>
      </c>
      <c r="I538" s="40"/>
      <c r="J538" s="40"/>
      <c r="K538" s="40"/>
      <c r="L538" s="40" t="str">
        <f ca="1">IFERROR(__xludf.DUMMYFUNCTION("""COMPUTED_VALUE"""),"NO HA INICIADO ETAPA PRODUCTIVA")</f>
        <v>NO HA INICIADO ETAPA PRODUCTIVA</v>
      </c>
      <c r="M538" s="40"/>
      <c r="N538" s="40"/>
      <c r="O538" s="40"/>
      <c r="P538" s="40"/>
      <c r="Q538" s="40"/>
      <c r="R538" s="140"/>
      <c r="S538" s="1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t="str">
        <f ca="1">IFERROR(__xludf.DUMMYFUNCTION("""COMPUTED_VALUE"""),"NO_CUMPLE")</f>
        <v>NO_CUMPLE</v>
      </c>
      <c r="AV538" s="40" t="str">
        <f ca="1">IFERROR(__xludf.DUMMYFUNCTION("""COMPUTED_VALUE"""),"EN FORMACION")</f>
        <v>EN FORMACION</v>
      </c>
      <c r="AW538" s="40" t="str">
        <f ca="1">IFERROR(__xludf.DUMMYFUNCTION("""COMPUTED_VALUE"""),"TURISMO")</f>
        <v>TURISMO</v>
      </c>
      <c r="AX538" s="141">
        <f ca="1">IFERROR(__xludf.DUMMYFUNCTION("""COMPUTED_VALUE"""),44839)</f>
        <v>44839</v>
      </c>
      <c r="AY538" s="40">
        <f ca="1">IFERROR(__xludf.DUMMYFUNCTION("""COMPUTED_VALUE"""),0)</f>
        <v>0</v>
      </c>
      <c r="AZ538" s="40">
        <f ca="1">IFERROR(__xludf.DUMMYFUNCTION("""COMPUTED_VALUE"""),1)</f>
        <v>1</v>
      </c>
      <c r="BA538" s="40">
        <f ca="1">IFERROR(__xludf.DUMMYFUNCTION("""COMPUTED_VALUE"""),6)</f>
        <v>6</v>
      </c>
      <c r="BB538" s="40">
        <f ca="1">IFERROR(__xludf.DUMMYFUNCTION("""COMPUTED_VALUE"""),0)</f>
        <v>0</v>
      </c>
      <c r="BC538" s="40">
        <f ca="1">IFERROR(__xludf.DUMMYFUNCTION("""COMPUTED_VALUE"""),7)</f>
        <v>7</v>
      </c>
      <c r="BD538" s="141">
        <f ca="1">IFERROR(__xludf.DUMMYFUNCTION("""COMPUTED_VALUE"""),44328)</f>
        <v>44328</v>
      </c>
      <c r="BE538" s="141">
        <f ca="1">IFERROR(__xludf.DUMMYFUNCTION("""COMPUTED_VALUE"""),44604)</f>
        <v>44604</v>
      </c>
      <c r="BF538" s="141">
        <f ca="1">IFERROR(__xludf.DUMMYFUNCTION("""COMPUTED_VALUE"""),44785)</f>
        <v>44785</v>
      </c>
      <c r="BG538" s="141">
        <f ca="1">IFERROR(__xludf.DUMMYFUNCTION("""COMPUTED_VALUE"""),45334)</f>
        <v>45334</v>
      </c>
      <c r="BH538" s="40" t="str">
        <f ca="1">IFERROR(__xludf.DUMMYFUNCTION("""COMPUTED_VALUE"""),"FICHA EN TIEMPO-18 MESES")</f>
        <v>FICHA EN TIEMPO-18 MESES</v>
      </c>
      <c r="BI538" s="40" t="str">
        <f ca="1">IFERROR(__xludf.DUMMYFUNCTION("""COMPUTED_VALUE"""),"Terminada por fecha")</f>
        <v>Terminada por fecha</v>
      </c>
      <c r="BJ538" s="40" t="str">
        <f ca="1">IFERROR(__xludf.DUMMYFUNCTION("""COMPUTED_VALUE"""),"Yamboro")</f>
        <v>Yamboro</v>
      </c>
      <c r="BK538" s="40"/>
      <c r="BL538" s="40"/>
    </row>
    <row r="539" spans="1:64" ht="13">
      <c r="A539" s="40"/>
      <c r="B539" s="40" t="str">
        <f ca="1">IFERROR(__xludf.DUMMYFUNCTION("""COMPUTED_VALUE"""),"FORMACIÓN 18/10/2022")</f>
        <v>FORMACIÓN 18/10/2022</v>
      </c>
      <c r="C539" s="40" t="str">
        <f ca="1">IFERROR(__xludf.DUMMYFUNCTION("""COMPUTED_VALUE"""),"DARLY LIZETH COLLAZOS ANACONA")</f>
        <v>DARLY LIZETH COLLAZOS ANACONA</v>
      </c>
      <c r="D539" s="40" t="str">
        <f ca="1">IFERROR(__xludf.DUMMYFUNCTION("""COMPUTED_VALUE"""),"TI")</f>
        <v>TI</v>
      </c>
      <c r="E539" s="40">
        <f ca="1">IFERROR(__xludf.DUMMYFUNCTION("""COMPUTED_VALUE"""),26428939)</f>
        <v>26428939</v>
      </c>
      <c r="F539" s="40">
        <f ca="1">IFERROR(__xludf.DUMMYFUNCTION("""COMPUTED_VALUE"""),2327533)</f>
        <v>2327533</v>
      </c>
      <c r="G539" s="40" t="str">
        <f ca="1">IFERROR(__xludf.DUMMYFUNCTION("""COMPUTED_VALUE"""),"TÉCNICO")</f>
        <v>TÉCNICO</v>
      </c>
      <c r="H539" s="40" t="str">
        <f ca="1">IFERROR(__xludf.DUMMYFUNCTION("""COMPUTED_VALUE"""),"SERVICIOS DE BARISMO")</f>
        <v>SERVICIOS DE BARISMO</v>
      </c>
      <c r="I539" s="40"/>
      <c r="J539" s="40"/>
      <c r="K539" s="40"/>
      <c r="L539" s="40" t="str">
        <f ca="1">IFERROR(__xludf.DUMMYFUNCTION("""COMPUTED_VALUE"""),"NO HA INICIADO ETAPA PRODUCTIVA")</f>
        <v>NO HA INICIADO ETAPA PRODUCTIVA</v>
      </c>
      <c r="M539" s="40"/>
      <c r="N539" s="40"/>
      <c r="O539" s="40"/>
      <c r="P539" s="40"/>
      <c r="Q539" s="40"/>
      <c r="R539" s="140"/>
      <c r="S539" s="1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t="str">
        <f ca="1">IFERROR(__xludf.DUMMYFUNCTION("""COMPUTED_VALUE"""),"Procede_E_P")</f>
        <v>Procede_E_P</v>
      </c>
      <c r="AV539" s="40" t="str">
        <f ca="1">IFERROR(__xludf.DUMMYFUNCTION("""COMPUTED_VALUE"""),"EN FORMACION")</f>
        <v>EN FORMACION</v>
      </c>
      <c r="AW539" s="40" t="str">
        <f ca="1">IFERROR(__xludf.DUMMYFUNCTION("""COMPUTED_VALUE"""),"TURISMO")</f>
        <v>TURISMO</v>
      </c>
      <c r="AX539" s="141">
        <f ca="1">IFERROR(__xludf.DUMMYFUNCTION("""COMPUTED_VALUE"""),44839)</f>
        <v>44839</v>
      </c>
      <c r="AY539" s="40">
        <f ca="1">IFERROR(__xludf.DUMMYFUNCTION("""COMPUTED_VALUE"""),0)</f>
        <v>0</v>
      </c>
      <c r="AZ539" s="40">
        <f ca="1">IFERROR(__xludf.DUMMYFUNCTION("""COMPUTED_VALUE"""),1)</f>
        <v>1</v>
      </c>
      <c r="BA539" s="40">
        <f ca="1">IFERROR(__xludf.DUMMYFUNCTION("""COMPUTED_VALUE"""),0)</f>
        <v>0</v>
      </c>
      <c r="BB539" s="40">
        <f ca="1">IFERROR(__xludf.DUMMYFUNCTION("""COMPUTED_VALUE"""),0)</f>
        <v>0</v>
      </c>
      <c r="BC539" s="40">
        <f ca="1">IFERROR(__xludf.DUMMYFUNCTION("""COMPUTED_VALUE"""),1)</f>
        <v>1</v>
      </c>
      <c r="BD539" s="141">
        <f ca="1">IFERROR(__xludf.DUMMYFUNCTION("""COMPUTED_VALUE"""),44328)</f>
        <v>44328</v>
      </c>
      <c r="BE539" s="141">
        <f ca="1">IFERROR(__xludf.DUMMYFUNCTION("""COMPUTED_VALUE"""),44604)</f>
        <v>44604</v>
      </c>
      <c r="BF539" s="141">
        <f ca="1">IFERROR(__xludf.DUMMYFUNCTION("""COMPUTED_VALUE"""),44785)</f>
        <v>44785</v>
      </c>
      <c r="BG539" s="141">
        <f ca="1">IFERROR(__xludf.DUMMYFUNCTION("""COMPUTED_VALUE"""),45334)</f>
        <v>45334</v>
      </c>
      <c r="BH539" s="40" t="str">
        <f ca="1">IFERROR(__xludf.DUMMYFUNCTION("""COMPUTED_VALUE"""),"FICHA EN TIEMPO-18 MESES")</f>
        <v>FICHA EN TIEMPO-18 MESES</v>
      </c>
      <c r="BI539" s="40" t="str">
        <f ca="1">IFERROR(__xludf.DUMMYFUNCTION("""COMPUTED_VALUE"""),"Terminada por fecha")</f>
        <v>Terminada por fecha</v>
      </c>
      <c r="BJ539" s="40" t="str">
        <f ca="1">IFERROR(__xludf.DUMMYFUNCTION("""COMPUTED_VALUE"""),"Yamboro")</f>
        <v>Yamboro</v>
      </c>
      <c r="BK539" s="40"/>
      <c r="BL539" s="40"/>
    </row>
    <row r="540" spans="1:64" ht="13">
      <c r="A540" s="40"/>
      <c r="B540" s="40" t="str">
        <f ca="1">IFERROR(__xludf.DUMMYFUNCTION("""COMPUTED_VALUE"""),"FORMACIÓN 18/10/2022")</f>
        <v>FORMACIÓN 18/10/2022</v>
      </c>
      <c r="C540" s="40" t="str">
        <f ca="1">IFERROR(__xludf.DUMMYFUNCTION("""COMPUTED_VALUE"""),"CAROLINA PINO LOZADA")</f>
        <v>CAROLINA PINO LOZADA</v>
      </c>
      <c r="D540" s="40" t="str">
        <f ca="1">IFERROR(__xludf.DUMMYFUNCTION("""COMPUTED_VALUE"""),"CC")</f>
        <v>CC</v>
      </c>
      <c r="E540" s="40">
        <f ca="1">IFERROR(__xludf.DUMMYFUNCTION("""COMPUTED_VALUE"""),26428939)</f>
        <v>26428939</v>
      </c>
      <c r="F540" s="40">
        <f ca="1">IFERROR(__xludf.DUMMYFUNCTION("""COMPUTED_VALUE"""),2327533)</f>
        <v>2327533</v>
      </c>
      <c r="G540" s="40" t="str">
        <f ca="1">IFERROR(__xludf.DUMMYFUNCTION("""COMPUTED_VALUE"""),"TÉCNICO")</f>
        <v>TÉCNICO</v>
      </c>
      <c r="H540" s="40" t="str">
        <f ca="1">IFERROR(__xludf.DUMMYFUNCTION("""COMPUTED_VALUE"""),"SERVICIOS DE BARISMO")</f>
        <v>SERVICIOS DE BARISMO</v>
      </c>
      <c r="I540" s="40">
        <f ca="1">IFERROR(__xludf.DUMMYFUNCTION("""COMPUTED_VALUE"""),3138389179)</f>
        <v>3138389179</v>
      </c>
      <c r="J540" s="40" t="str">
        <f ca="1">IFERROR(__xludf.DUMMYFUNCTION("""COMPUTED_VALUE"""),"capilo28@hotmail.com")</f>
        <v>capilo28@hotmail.com</v>
      </c>
      <c r="K540" s="40" t="str">
        <f ca="1">IFERROR(__xludf.DUMMYFUNCTION("""COMPUTED_VALUE"""),"cCONTRATO DE APRENDIZAJE ")</f>
        <v xml:space="preserve">cCONTRATO DE APRENDIZAJE </v>
      </c>
      <c r="L540" s="40" t="str">
        <f ca="1">IFERROR(__xludf.DUMMYFUNCTION("""COMPUTED_VALUE"""),"CONTRATO DE APRENDIZAJE")</f>
        <v>CONTRATO DE APRENDIZAJE</v>
      </c>
      <c r="M540" s="40" t="str">
        <f ca="1">IFERROR(__xludf.DUMMYFUNCTION("""COMPUTED_VALUE"""),"COFCO INTERNATIONAL COLOMBIA S.A.S.")</f>
        <v>COFCO INTERNATIONAL COLOMBIA S.A.S.</v>
      </c>
      <c r="N540" s="40" t="str">
        <f ca="1">IFERROR(__xludf.DUMMYFUNCTION("""COMPUTED_VALUE"""),"CALLE 84 N° 10-33 oficina 901")</f>
        <v>CALLE 84 N° 10-33 oficina 901</v>
      </c>
      <c r="O540" s="40">
        <f ca="1">IFERROR(__xludf.DUMMYFUNCTION("""COMPUTED_VALUE"""),7456767)</f>
        <v>7456767</v>
      </c>
      <c r="P540" s="40"/>
      <c r="Q540" s="40"/>
      <c r="R540" s="140">
        <f ca="1">IFERROR(__xludf.DUMMYFUNCTION("""COMPUTED_VALUE"""),44764)</f>
        <v>44764</v>
      </c>
      <c r="S540" s="140">
        <f ca="1">IFERROR(__xludf.DUMMYFUNCTION("""COMPUTED_VALUE"""),44947)</f>
        <v>44947</v>
      </c>
      <c r="T540" s="40"/>
      <c r="U540" s="40" t="str">
        <f ca="1">IFERROR(__xludf.DUMMYFUNCTION("""COMPUTED_VALUE"""),"Diana Avila  - Asignada ")</f>
        <v xml:space="preserve">Diana Avila  - Asignada </v>
      </c>
      <c r="V540" s="40" t="str">
        <f ca="1">IFERROR(__xludf.DUMMYFUNCTION("""COMPUTED_VALUE"""),"No tiene seguimiento 26/07/2022")</f>
        <v>No tiene seguimiento 26/07/2022</v>
      </c>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t="str">
        <f ca="1">IFERROR(__xludf.DUMMYFUNCTION("""COMPUTED_VALUE"""),"Procede_E_P")</f>
        <v>Procede_E_P</v>
      </c>
      <c r="AV540" s="40" t="str">
        <f ca="1">IFERROR(__xludf.DUMMYFUNCTION("""COMPUTED_VALUE"""),"EN FORMACION")</f>
        <v>EN FORMACION</v>
      </c>
      <c r="AW540" s="40" t="str">
        <f ca="1">IFERROR(__xludf.DUMMYFUNCTION("""COMPUTED_VALUE"""),"TURISMO")</f>
        <v>TURISMO</v>
      </c>
      <c r="AX540" s="141">
        <f ca="1">IFERROR(__xludf.DUMMYFUNCTION("""COMPUTED_VALUE"""),44839)</f>
        <v>44839</v>
      </c>
      <c r="AY540" s="40">
        <f ca="1">IFERROR(__xludf.DUMMYFUNCTION("""COMPUTED_VALUE"""),0)</f>
        <v>0</v>
      </c>
      <c r="AZ540" s="40">
        <f ca="1">IFERROR(__xludf.DUMMYFUNCTION("""COMPUTED_VALUE"""),1)</f>
        <v>1</v>
      </c>
      <c r="BA540" s="40">
        <f ca="1">IFERROR(__xludf.DUMMYFUNCTION("""COMPUTED_VALUE"""),0)</f>
        <v>0</v>
      </c>
      <c r="BB540" s="40">
        <f ca="1">IFERROR(__xludf.DUMMYFUNCTION("""COMPUTED_VALUE"""),0)</f>
        <v>0</v>
      </c>
      <c r="BC540" s="40">
        <f ca="1">IFERROR(__xludf.DUMMYFUNCTION("""COMPUTED_VALUE"""),1)</f>
        <v>1</v>
      </c>
      <c r="BD540" s="141">
        <f ca="1">IFERROR(__xludf.DUMMYFUNCTION("""COMPUTED_VALUE"""),44328)</f>
        <v>44328</v>
      </c>
      <c r="BE540" s="141">
        <f ca="1">IFERROR(__xludf.DUMMYFUNCTION("""COMPUTED_VALUE"""),44604)</f>
        <v>44604</v>
      </c>
      <c r="BF540" s="141">
        <f ca="1">IFERROR(__xludf.DUMMYFUNCTION("""COMPUTED_VALUE"""),44785)</f>
        <v>44785</v>
      </c>
      <c r="BG540" s="141">
        <f ca="1">IFERROR(__xludf.DUMMYFUNCTION("""COMPUTED_VALUE"""),45334)</f>
        <v>45334</v>
      </c>
      <c r="BH540" s="40" t="str">
        <f ca="1">IFERROR(__xludf.DUMMYFUNCTION("""COMPUTED_VALUE"""),"FICHA EN TIEMPO-18 MESES")</f>
        <v>FICHA EN TIEMPO-18 MESES</v>
      </c>
      <c r="BI540" s="40" t="str">
        <f ca="1">IFERROR(__xludf.DUMMYFUNCTION("""COMPUTED_VALUE"""),"Terminada por fecha")</f>
        <v>Terminada por fecha</v>
      </c>
      <c r="BJ540" s="40" t="str">
        <f ca="1">IFERROR(__xludf.DUMMYFUNCTION("""COMPUTED_VALUE"""),"Yamboro")</f>
        <v>Yamboro</v>
      </c>
      <c r="BK540" s="40"/>
      <c r="BL540" s="40"/>
    </row>
    <row r="541" spans="1:64" ht="13">
      <c r="A541" s="40"/>
      <c r="B541" s="40" t="str">
        <f ca="1">IFERROR(__xludf.DUMMYFUNCTION("""COMPUTED_VALUE"""),"FORMACIÓN 18/10/2022")</f>
        <v>FORMACIÓN 18/10/2022</v>
      </c>
      <c r="C541" s="40" t="str">
        <f ca="1">IFERROR(__xludf.DUMMYFUNCTION("""COMPUTED_VALUE"""),"LETY KARINE ROSALES BENAVIDES")</f>
        <v>LETY KARINE ROSALES BENAVIDES</v>
      </c>
      <c r="D541" s="40" t="str">
        <f ca="1">IFERROR(__xludf.DUMMYFUNCTION("""COMPUTED_VALUE"""),"CC")</f>
        <v>CC</v>
      </c>
      <c r="E541" s="40">
        <f ca="1">IFERROR(__xludf.DUMMYFUNCTION("""COMPUTED_VALUE"""),26428939)</f>
        <v>26428939</v>
      </c>
      <c r="F541" s="40">
        <f ca="1">IFERROR(__xludf.DUMMYFUNCTION("""COMPUTED_VALUE"""),2327533)</f>
        <v>2327533</v>
      </c>
      <c r="G541" s="40" t="str">
        <f ca="1">IFERROR(__xludf.DUMMYFUNCTION("""COMPUTED_VALUE"""),"TÉCNICO")</f>
        <v>TÉCNICO</v>
      </c>
      <c r="H541" s="40" t="str">
        <f ca="1">IFERROR(__xludf.DUMMYFUNCTION("""COMPUTED_VALUE"""),"SERVICIOS DE BARISMO")</f>
        <v>SERVICIOS DE BARISMO</v>
      </c>
      <c r="I541" s="40"/>
      <c r="J541" s="40"/>
      <c r="K541" s="40"/>
      <c r="L541" s="40" t="str">
        <f ca="1">IFERROR(__xludf.DUMMYFUNCTION("""COMPUTED_VALUE"""),"NO HA INICIADO ETAPA PRODUCTIVA")</f>
        <v>NO HA INICIADO ETAPA PRODUCTIVA</v>
      </c>
      <c r="M541" s="40"/>
      <c r="N541" s="40"/>
      <c r="O541" s="40"/>
      <c r="P541" s="40"/>
      <c r="Q541" s="40"/>
      <c r="R541" s="140"/>
      <c r="S541" s="1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t="str">
        <f ca="1">IFERROR(__xludf.DUMMYFUNCTION("""COMPUTED_VALUE"""),"NO_CUMPLE")</f>
        <v>NO_CUMPLE</v>
      </c>
      <c r="AV541" s="40" t="str">
        <f ca="1">IFERROR(__xludf.DUMMYFUNCTION("""COMPUTED_VALUE"""),"EN FORMACION")</f>
        <v>EN FORMACION</v>
      </c>
      <c r="AW541" s="40" t="str">
        <f ca="1">IFERROR(__xludf.DUMMYFUNCTION("""COMPUTED_VALUE"""),"TURISMO")</f>
        <v>TURISMO</v>
      </c>
      <c r="AX541" s="141">
        <f ca="1">IFERROR(__xludf.DUMMYFUNCTION("""COMPUTED_VALUE"""),44839)</f>
        <v>44839</v>
      </c>
      <c r="AY541" s="40">
        <f ca="1">IFERROR(__xludf.DUMMYFUNCTION("""COMPUTED_VALUE"""),24)</f>
        <v>24</v>
      </c>
      <c r="AZ541" s="40">
        <f ca="1">IFERROR(__xludf.DUMMYFUNCTION("""COMPUTED_VALUE"""),1)</f>
        <v>1</v>
      </c>
      <c r="BA541" s="40">
        <f ca="1">IFERROR(__xludf.DUMMYFUNCTION("""COMPUTED_VALUE"""),6)</f>
        <v>6</v>
      </c>
      <c r="BB541" s="40">
        <f ca="1">IFERROR(__xludf.DUMMYFUNCTION("""COMPUTED_VALUE"""),11)</f>
        <v>11</v>
      </c>
      <c r="BC541" s="40">
        <f ca="1">IFERROR(__xludf.DUMMYFUNCTION("""COMPUTED_VALUE"""),42)</f>
        <v>42</v>
      </c>
      <c r="BD541" s="141">
        <f ca="1">IFERROR(__xludf.DUMMYFUNCTION("""COMPUTED_VALUE"""),44328)</f>
        <v>44328</v>
      </c>
      <c r="BE541" s="141">
        <f ca="1">IFERROR(__xludf.DUMMYFUNCTION("""COMPUTED_VALUE"""),44604)</f>
        <v>44604</v>
      </c>
      <c r="BF541" s="141">
        <f ca="1">IFERROR(__xludf.DUMMYFUNCTION("""COMPUTED_VALUE"""),44785)</f>
        <v>44785</v>
      </c>
      <c r="BG541" s="141">
        <f ca="1">IFERROR(__xludf.DUMMYFUNCTION("""COMPUTED_VALUE"""),45334)</f>
        <v>45334</v>
      </c>
      <c r="BH541" s="40" t="str">
        <f ca="1">IFERROR(__xludf.DUMMYFUNCTION("""COMPUTED_VALUE"""),"FICHA EN TIEMPO-18 MESES")</f>
        <v>FICHA EN TIEMPO-18 MESES</v>
      </c>
      <c r="BI541" s="40" t="str">
        <f ca="1">IFERROR(__xludf.DUMMYFUNCTION("""COMPUTED_VALUE"""),"Terminada por fecha")</f>
        <v>Terminada por fecha</v>
      </c>
      <c r="BJ541" s="40" t="str">
        <f ca="1">IFERROR(__xludf.DUMMYFUNCTION("""COMPUTED_VALUE"""),"Yamboro")</f>
        <v>Yamboro</v>
      </c>
      <c r="BK541" s="40"/>
      <c r="BL541" s="40"/>
    </row>
    <row r="542" spans="1:64" ht="13">
      <c r="A542" s="40"/>
      <c r="B542" s="40" t="str">
        <f ca="1">IFERROR(__xludf.DUMMYFUNCTION("""COMPUTED_VALUE"""),"FORMACIÓN 18/10/2022")</f>
        <v>FORMACIÓN 18/10/2022</v>
      </c>
      <c r="C542" s="40" t="str">
        <f ca="1">IFERROR(__xludf.DUMMYFUNCTION("""COMPUTED_VALUE"""),"EVER DANIEL LEYTON MUÑOZ")</f>
        <v>EVER DANIEL LEYTON MUÑOZ</v>
      </c>
      <c r="D542" s="40" t="str">
        <f ca="1">IFERROR(__xludf.DUMMYFUNCTION("""COMPUTED_VALUE"""),"CC")</f>
        <v>CC</v>
      </c>
      <c r="E542" s="40">
        <f ca="1">IFERROR(__xludf.DUMMYFUNCTION("""COMPUTED_VALUE"""),26428939)</f>
        <v>26428939</v>
      </c>
      <c r="F542" s="40">
        <f ca="1">IFERROR(__xludf.DUMMYFUNCTION("""COMPUTED_VALUE"""),2327533)</f>
        <v>2327533</v>
      </c>
      <c r="G542" s="40" t="str">
        <f ca="1">IFERROR(__xludf.DUMMYFUNCTION("""COMPUTED_VALUE"""),"TÉCNICO")</f>
        <v>TÉCNICO</v>
      </c>
      <c r="H542" s="40" t="str">
        <f ca="1">IFERROR(__xludf.DUMMYFUNCTION("""COMPUTED_VALUE"""),"SERVICIOS DE BARISMO")</f>
        <v>SERVICIOS DE BARISMO</v>
      </c>
      <c r="I542" s="40"/>
      <c r="J542" s="40"/>
      <c r="K542" s="40"/>
      <c r="L542" s="40" t="str">
        <f ca="1">IFERROR(__xludf.DUMMYFUNCTION("""COMPUTED_VALUE"""),"NO HA INICIADO ETAPA PRODUCTIVA")</f>
        <v>NO HA INICIADO ETAPA PRODUCTIVA</v>
      </c>
      <c r="M542" s="40"/>
      <c r="N542" s="40"/>
      <c r="O542" s="40"/>
      <c r="P542" s="40"/>
      <c r="Q542" s="40"/>
      <c r="R542" s="140"/>
      <c r="S542" s="1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t="str">
        <f ca="1">IFERROR(__xludf.DUMMYFUNCTION("""COMPUTED_VALUE"""),"Procede_E_P")</f>
        <v>Procede_E_P</v>
      </c>
      <c r="AV542" s="40" t="str">
        <f ca="1">IFERROR(__xludf.DUMMYFUNCTION("""COMPUTED_VALUE"""),"EN FORMACION")</f>
        <v>EN FORMACION</v>
      </c>
      <c r="AW542" s="40" t="str">
        <f ca="1">IFERROR(__xludf.DUMMYFUNCTION("""COMPUTED_VALUE"""),"TURISMO")</f>
        <v>TURISMO</v>
      </c>
      <c r="AX542" s="141">
        <f ca="1">IFERROR(__xludf.DUMMYFUNCTION("""COMPUTED_VALUE"""),44839)</f>
        <v>44839</v>
      </c>
      <c r="AY542" s="40">
        <f ca="1">IFERROR(__xludf.DUMMYFUNCTION("""COMPUTED_VALUE"""),0)</f>
        <v>0</v>
      </c>
      <c r="AZ542" s="40">
        <f ca="1">IFERROR(__xludf.DUMMYFUNCTION("""COMPUTED_VALUE"""),1)</f>
        <v>1</v>
      </c>
      <c r="BA542" s="40">
        <f ca="1">IFERROR(__xludf.DUMMYFUNCTION("""COMPUTED_VALUE"""),0)</f>
        <v>0</v>
      </c>
      <c r="BB542" s="40">
        <f ca="1">IFERROR(__xludf.DUMMYFUNCTION("""COMPUTED_VALUE"""),0)</f>
        <v>0</v>
      </c>
      <c r="BC542" s="40">
        <f ca="1">IFERROR(__xludf.DUMMYFUNCTION("""COMPUTED_VALUE"""),1)</f>
        <v>1</v>
      </c>
      <c r="BD542" s="141">
        <f ca="1">IFERROR(__xludf.DUMMYFUNCTION("""COMPUTED_VALUE"""),44328)</f>
        <v>44328</v>
      </c>
      <c r="BE542" s="141">
        <f ca="1">IFERROR(__xludf.DUMMYFUNCTION("""COMPUTED_VALUE"""),44604)</f>
        <v>44604</v>
      </c>
      <c r="BF542" s="141">
        <f ca="1">IFERROR(__xludf.DUMMYFUNCTION("""COMPUTED_VALUE"""),44785)</f>
        <v>44785</v>
      </c>
      <c r="BG542" s="141">
        <f ca="1">IFERROR(__xludf.DUMMYFUNCTION("""COMPUTED_VALUE"""),45334)</f>
        <v>45334</v>
      </c>
      <c r="BH542" s="40" t="str">
        <f ca="1">IFERROR(__xludf.DUMMYFUNCTION("""COMPUTED_VALUE"""),"FICHA EN TIEMPO-18 MESES")</f>
        <v>FICHA EN TIEMPO-18 MESES</v>
      </c>
      <c r="BI542" s="40" t="str">
        <f ca="1">IFERROR(__xludf.DUMMYFUNCTION("""COMPUTED_VALUE"""),"Terminada por fecha")</f>
        <v>Terminada por fecha</v>
      </c>
      <c r="BJ542" s="40" t="str">
        <f ca="1">IFERROR(__xludf.DUMMYFUNCTION("""COMPUTED_VALUE"""),"Yamboro")</f>
        <v>Yamboro</v>
      </c>
      <c r="BK542" s="40"/>
      <c r="BL542" s="40"/>
    </row>
    <row r="543" spans="1:64" ht="13">
      <c r="A543" s="40"/>
      <c r="B543" s="40" t="str">
        <f ca="1">IFERROR(__xludf.DUMMYFUNCTION("""COMPUTED_VALUE"""),"FORMACIÓN 18/10/2022")</f>
        <v>FORMACIÓN 18/10/2022</v>
      </c>
      <c r="C543" s="40" t="str">
        <f ca="1">IFERROR(__xludf.DUMMYFUNCTION("""COMPUTED_VALUE"""),"GINA BANESSA CRUZ MUTIS")</f>
        <v>GINA BANESSA CRUZ MUTIS</v>
      </c>
      <c r="D543" s="40" t="str">
        <f ca="1">IFERROR(__xludf.DUMMYFUNCTION("""COMPUTED_VALUE"""),"CC")</f>
        <v>CC</v>
      </c>
      <c r="E543" s="40">
        <f ca="1">IFERROR(__xludf.DUMMYFUNCTION("""COMPUTED_VALUE"""),26428939)</f>
        <v>26428939</v>
      </c>
      <c r="F543" s="40">
        <f ca="1">IFERROR(__xludf.DUMMYFUNCTION("""COMPUTED_VALUE"""),2327533)</f>
        <v>2327533</v>
      </c>
      <c r="G543" s="40" t="str">
        <f ca="1">IFERROR(__xludf.DUMMYFUNCTION("""COMPUTED_VALUE"""),"TÉCNICO")</f>
        <v>TÉCNICO</v>
      </c>
      <c r="H543" s="40" t="str">
        <f ca="1">IFERROR(__xludf.DUMMYFUNCTION("""COMPUTED_VALUE"""),"SERVICIOS DE BARISMO")</f>
        <v>SERVICIOS DE BARISMO</v>
      </c>
      <c r="I543" s="40"/>
      <c r="J543" s="40"/>
      <c r="K543" s="40"/>
      <c r="L543" s="40" t="str">
        <f ca="1">IFERROR(__xludf.DUMMYFUNCTION("""COMPUTED_VALUE"""),"NO HA INICIADO ETAPA PRODUCTIVA")</f>
        <v>NO HA INICIADO ETAPA PRODUCTIVA</v>
      </c>
      <c r="M543" s="40"/>
      <c r="N543" s="40"/>
      <c r="O543" s="40"/>
      <c r="P543" s="40"/>
      <c r="Q543" s="40"/>
      <c r="R543" s="140"/>
      <c r="S543" s="1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t="str">
        <f ca="1">IFERROR(__xludf.DUMMYFUNCTION("""COMPUTED_VALUE"""),"Procede_E_P")</f>
        <v>Procede_E_P</v>
      </c>
      <c r="AV543" s="40" t="str">
        <f ca="1">IFERROR(__xludf.DUMMYFUNCTION("""COMPUTED_VALUE"""),"EN FORMACION")</f>
        <v>EN FORMACION</v>
      </c>
      <c r="AW543" s="40" t="str">
        <f ca="1">IFERROR(__xludf.DUMMYFUNCTION("""COMPUTED_VALUE"""),"TURISMO")</f>
        <v>TURISMO</v>
      </c>
      <c r="AX543" s="141">
        <f ca="1">IFERROR(__xludf.DUMMYFUNCTION("""COMPUTED_VALUE"""),44839)</f>
        <v>44839</v>
      </c>
      <c r="AY543" s="40">
        <f ca="1">IFERROR(__xludf.DUMMYFUNCTION("""COMPUTED_VALUE"""),0)</f>
        <v>0</v>
      </c>
      <c r="AZ543" s="40">
        <f ca="1">IFERROR(__xludf.DUMMYFUNCTION("""COMPUTED_VALUE"""),1)</f>
        <v>1</v>
      </c>
      <c r="BA543" s="40">
        <f ca="1">IFERROR(__xludf.DUMMYFUNCTION("""COMPUTED_VALUE"""),0)</f>
        <v>0</v>
      </c>
      <c r="BB543" s="40">
        <f ca="1">IFERROR(__xludf.DUMMYFUNCTION("""COMPUTED_VALUE"""),0)</f>
        <v>0</v>
      </c>
      <c r="BC543" s="40">
        <f ca="1">IFERROR(__xludf.DUMMYFUNCTION("""COMPUTED_VALUE"""),1)</f>
        <v>1</v>
      </c>
      <c r="BD543" s="141">
        <f ca="1">IFERROR(__xludf.DUMMYFUNCTION("""COMPUTED_VALUE"""),44328)</f>
        <v>44328</v>
      </c>
      <c r="BE543" s="141">
        <f ca="1">IFERROR(__xludf.DUMMYFUNCTION("""COMPUTED_VALUE"""),44604)</f>
        <v>44604</v>
      </c>
      <c r="BF543" s="141">
        <f ca="1">IFERROR(__xludf.DUMMYFUNCTION("""COMPUTED_VALUE"""),44785)</f>
        <v>44785</v>
      </c>
      <c r="BG543" s="141">
        <f ca="1">IFERROR(__xludf.DUMMYFUNCTION("""COMPUTED_VALUE"""),45334)</f>
        <v>45334</v>
      </c>
      <c r="BH543" s="40" t="str">
        <f ca="1">IFERROR(__xludf.DUMMYFUNCTION("""COMPUTED_VALUE"""),"FICHA EN TIEMPO-18 MESES")</f>
        <v>FICHA EN TIEMPO-18 MESES</v>
      </c>
      <c r="BI543" s="40" t="str">
        <f ca="1">IFERROR(__xludf.DUMMYFUNCTION("""COMPUTED_VALUE"""),"Terminada por fecha")</f>
        <v>Terminada por fecha</v>
      </c>
      <c r="BJ543" s="40" t="str">
        <f ca="1">IFERROR(__xludf.DUMMYFUNCTION("""COMPUTED_VALUE"""),"Yamboro")</f>
        <v>Yamboro</v>
      </c>
      <c r="BK543" s="40"/>
      <c r="BL543" s="40"/>
    </row>
    <row r="544" spans="1:64" ht="13">
      <c r="A544" s="40"/>
      <c r="B544" s="40" t="str">
        <f ca="1">IFERROR(__xludf.DUMMYFUNCTION("""COMPUTED_VALUE"""),"FORMACIÓN 18/10/2022")</f>
        <v>FORMACIÓN 18/10/2022</v>
      </c>
      <c r="C544" s="40" t="str">
        <f ca="1">IFERROR(__xludf.DUMMYFUNCTION("""COMPUTED_VALUE"""),"SAIR ANTONIO TROAQUERO DOMINGUEZ")</f>
        <v>SAIR ANTONIO TROAQUERO DOMINGUEZ</v>
      </c>
      <c r="D544" s="40" t="str">
        <f ca="1">IFERROR(__xludf.DUMMYFUNCTION("""COMPUTED_VALUE"""),"CC")</f>
        <v>CC</v>
      </c>
      <c r="E544" s="40">
        <f ca="1">IFERROR(__xludf.DUMMYFUNCTION("""COMPUTED_VALUE"""),26428939)</f>
        <v>26428939</v>
      </c>
      <c r="F544" s="40">
        <f ca="1">IFERROR(__xludf.DUMMYFUNCTION("""COMPUTED_VALUE"""),2327533)</f>
        <v>2327533</v>
      </c>
      <c r="G544" s="40" t="str">
        <f ca="1">IFERROR(__xludf.DUMMYFUNCTION("""COMPUTED_VALUE"""),"TÉCNICO")</f>
        <v>TÉCNICO</v>
      </c>
      <c r="H544" s="40" t="str">
        <f ca="1">IFERROR(__xludf.DUMMYFUNCTION("""COMPUTED_VALUE"""),"SERVICIOS DE BARISMO")</f>
        <v>SERVICIOS DE BARISMO</v>
      </c>
      <c r="I544" s="40"/>
      <c r="J544" s="40"/>
      <c r="K544" s="40"/>
      <c r="L544" s="40" t="str">
        <f ca="1">IFERROR(__xludf.DUMMYFUNCTION("""COMPUTED_VALUE"""),"NO HA INICIADO ETAPA PRODUCTIVA")</f>
        <v>NO HA INICIADO ETAPA PRODUCTIVA</v>
      </c>
      <c r="M544" s="40"/>
      <c r="N544" s="40"/>
      <c r="O544" s="40"/>
      <c r="P544" s="40"/>
      <c r="Q544" s="40"/>
      <c r="R544" s="140"/>
      <c r="S544" s="1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t="str">
        <f ca="1">IFERROR(__xludf.DUMMYFUNCTION("""COMPUTED_VALUE"""),"Procede_E_P")</f>
        <v>Procede_E_P</v>
      </c>
      <c r="AV544" s="40" t="str">
        <f ca="1">IFERROR(__xludf.DUMMYFUNCTION("""COMPUTED_VALUE"""),"EN FORMACION")</f>
        <v>EN FORMACION</v>
      </c>
      <c r="AW544" s="40" t="str">
        <f ca="1">IFERROR(__xludf.DUMMYFUNCTION("""COMPUTED_VALUE"""),"TURISMO")</f>
        <v>TURISMO</v>
      </c>
      <c r="AX544" s="141">
        <f ca="1">IFERROR(__xludf.DUMMYFUNCTION("""COMPUTED_VALUE"""),44839)</f>
        <v>44839</v>
      </c>
      <c r="AY544" s="40">
        <f ca="1">IFERROR(__xludf.DUMMYFUNCTION("""COMPUTED_VALUE"""),0)</f>
        <v>0</v>
      </c>
      <c r="AZ544" s="40">
        <f ca="1">IFERROR(__xludf.DUMMYFUNCTION("""COMPUTED_VALUE"""),1)</f>
        <v>1</v>
      </c>
      <c r="BA544" s="40">
        <f ca="1">IFERROR(__xludf.DUMMYFUNCTION("""COMPUTED_VALUE"""),0)</f>
        <v>0</v>
      </c>
      <c r="BB544" s="40">
        <f ca="1">IFERROR(__xludf.DUMMYFUNCTION("""COMPUTED_VALUE"""),0)</f>
        <v>0</v>
      </c>
      <c r="BC544" s="40">
        <f ca="1">IFERROR(__xludf.DUMMYFUNCTION("""COMPUTED_VALUE"""),1)</f>
        <v>1</v>
      </c>
      <c r="BD544" s="141">
        <f ca="1">IFERROR(__xludf.DUMMYFUNCTION("""COMPUTED_VALUE"""),44328)</f>
        <v>44328</v>
      </c>
      <c r="BE544" s="141">
        <f ca="1">IFERROR(__xludf.DUMMYFUNCTION("""COMPUTED_VALUE"""),44604)</f>
        <v>44604</v>
      </c>
      <c r="BF544" s="141">
        <f ca="1">IFERROR(__xludf.DUMMYFUNCTION("""COMPUTED_VALUE"""),44785)</f>
        <v>44785</v>
      </c>
      <c r="BG544" s="141">
        <f ca="1">IFERROR(__xludf.DUMMYFUNCTION("""COMPUTED_VALUE"""),45334)</f>
        <v>45334</v>
      </c>
      <c r="BH544" s="40" t="str">
        <f ca="1">IFERROR(__xludf.DUMMYFUNCTION("""COMPUTED_VALUE"""),"FICHA EN TIEMPO-18 MESES")</f>
        <v>FICHA EN TIEMPO-18 MESES</v>
      </c>
      <c r="BI544" s="40" t="str">
        <f ca="1">IFERROR(__xludf.DUMMYFUNCTION("""COMPUTED_VALUE"""),"Terminada por fecha")</f>
        <v>Terminada por fecha</v>
      </c>
      <c r="BJ544" s="40" t="str">
        <f ca="1">IFERROR(__xludf.DUMMYFUNCTION("""COMPUTED_VALUE"""),"Yamboro")</f>
        <v>Yamboro</v>
      </c>
      <c r="BK544" s="40"/>
      <c r="BL544" s="40"/>
    </row>
    <row r="545" spans="1:64" ht="13">
      <c r="A545" s="40"/>
      <c r="B545" s="40" t="str">
        <f ca="1">IFERROR(__xludf.DUMMYFUNCTION("""COMPUTED_VALUE"""),"FORMACIÓN 18/10/2022")</f>
        <v>FORMACIÓN 18/10/2022</v>
      </c>
      <c r="C545" s="40" t="str">
        <f ca="1">IFERROR(__xludf.DUMMYFUNCTION("""COMPUTED_VALUE"""),"OMAR ROLANDO SANDOVAL CAICEDO")</f>
        <v>OMAR ROLANDO SANDOVAL CAICEDO</v>
      </c>
      <c r="D545" s="40" t="str">
        <f ca="1">IFERROR(__xludf.DUMMYFUNCTION("""COMPUTED_VALUE"""),"CC")</f>
        <v>CC</v>
      </c>
      <c r="E545" s="40">
        <f ca="1">IFERROR(__xludf.DUMMYFUNCTION("""COMPUTED_VALUE"""),26428939)</f>
        <v>26428939</v>
      </c>
      <c r="F545" s="40">
        <f ca="1">IFERROR(__xludf.DUMMYFUNCTION("""COMPUTED_VALUE"""),2327533)</f>
        <v>2327533</v>
      </c>
      <c r="G545" s="40" t="str">
        <f ca="1">IFERROR(__xludf.DUMMYFUNCTION("""COMPUTED_VALUE"""),"TÉCNICO")</f>
        <v>TÉCNICO</v>
      </c>
      <c r="H545" s="40" t="str">
        <f ca="1">IFERROR(__xludf.DUMMYFUNCTION("""COMPUTED_VALUE"""),"SERVICIOS DE BARISMO")</f>
        <v>SERVICIOS DE BARISMO</v>
      </c>
      <c r="I545" s="40"/>
      <c r="J545" s="40"/>
      <c r="K545" s="40"/>
      <c r="L545" s="40" t="str">
        <f ca="1">IFERROR(__xludf.DUMMYFUNCTION("""COMPUTED_VALUE"""),"NO HA INICIADO ETAPA PRODUCTIVA")</f>
        <v>NO HA INICIADO ETAPA PRODUCTIVA</v>
      </c>
      <c r="M545" s="40"/>
      <c r="N545" s="40"/>
      <c r="O545" s="40"/>
      <c r="P545" s="40"/>
      <c r="Q545" s="40"/>
      <c r="R545" s="140"/>
      <c r="S545" s="1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t="str">
        <f ca="1">IFERROR(__xludf.DUMMYFUNCTION("""COMPUTED_VALUE"""),"NO_CUMPLE")</f>
        <v>NO_CUMPLE</v>
      </c>
      <c r="AV545" s="40" t="str">
        <f ca="1">IFERROR(__xludf.DUMMYFUNCTION("""COMPUTED_VALUE"""),"EN FORMACION")</f>
        <v>EN FORMACION</v>
      </c>
      <c r="AW545" s="40" t="str">
        <f ca="1">IFERROR(__xludf.DUMMYFUNCTION("""COMPUTED_VALUE"""),"TURISMO")</f>
        <v>TURISMO</v>
      </c>
      <c r="AX545" s="141">
        <f ca="1">IFERROR(__xludf.DUMMYFUNCTION("""COMPUTED_VALUE"""),44839)</f>
        <v>44839</v>
      </c>
      <c r="AY545" s="40">
        <f ca="1">IFERROR(__xludf.DUMMYFUNCTION("""COMPUTED_VALUE"""),28)</f>
        <v>28</v>
      </c>
      <c r="AZ545" s="40">
        <f ca="1">IFERROR(__xludf.DUMMYFUNCTION("""COMPUTED_VALUE"""),1)</f>
        <v>1</v>
      </c>
      <c r="BA545" s="40">
        <f ca="1">IFERROR(__xludf.DUMMYFUNCTION("""COMPUTED_VALUE"""),6)</f>
        <v>6</v>
      </c>
      <c r="BB545" s="40">
        <f ca="1">IFERROR(__xludf.DUMMYFUNCTION("""COMPUTED_VALUE"""),11)</f>
        <v>11</v>
      </c>
      <c r="BC545" s="40">
        <f ca="1">IFERROR(__xludf.DUMMYFUNCTION("""COMPUTED_VALUE"""),46)</f>
        <v>46</v>
      </c>
      <c r="BD545" s="141">
        <f ca="1">IFERROR(__xludf.DUMMYFUNCTION("""COMPUTED_VALUE"""),44328)</f>
        <v>44328</v>
      </c>
      <c r="BE545" s="141">
        <f ca="1">IFERROR(__xludf.DUMMYFUNCTION("""COMPUTED_VALUE"""),44604)</f>
        <v>44604</v>
      </c>
      <c r="BF545" s="141">
        <f ca="1">IFERROR(__xludf.DUMMYFUNCTION("""COMPUTED_VALUE"""),44785)</f>
        <v>44785</v>
      </c>
      <c r="BG545" s="141">
        <f ca="1">IFERROR(__xludf.DUMMYFUNCTION("""COMPUTED_VALUE"""),45334)</f>
        <v>45334</v>
      </c>
      <c r="BH545" s="40" t="str">
        <f ca="1">IFERROR(__xludf.DUMMYFUNCTION("""COMPUTED_VALUE"""),"FICHA EN TIEMPO-18 MESES")</f>
        <v>FICHA EN TIEMPO-18 MESES</v>
      </c>
      <c r="BI545" s="40" t="str">
        <f ca="1">IFERROR(__xludf.DUMMYFUNCTION("""COMPUTED_VALUE"""),"Terminada por fecha")</f>
        <v>Terminada por fecha</v>
      </c>
      <c r="BJ545" s="40" t="str">
        <f ca="1">IFERROR(__xludf.DUMMYFUNCTION("""COMPUTED_VALUE"""),"Yamboro")</f>
        <v>Yamboro</v>
      </c>
      <c r="BK545" s="40"/>
      <c r="BL545" s="40"/>
    </row>
    <row r="546" spans="1:64" ht="13">
      <c r="A546" s="40"/>
      <c r="B546" s="40" t="str">
        <f ca="1">IFERROR(__xludf.DUMMYFUNCTION("""COMPUTED_VALUE"""),"FORMACIÓN 18/10/2022")</f>
        <v>FORMACIÓN 18/10/2022</v>
      </c>
      <c r="C546" s="40" t="str">
        <f ca="1">IFERROR(__xludf.DUMMYFUNCTION("""COMPUTED_VALUE"""),"LEYDI ASTRID TULCAN URBANO
")</f>
        <v xml:space="preserve">LEYDI ASTRID TULCAN URBANO
</v>
      </c>
      <c r="D546" s="40" t="str">
        <f ca="1">IFERROR(__xludf.DUMMYFUNCTION("""COMPUTED_VALUE"""),"CC")</f>
        <v>CC</v>
      </c>
      <c r="E546" s="40">
        <f ca="1">IFERROR(__xludf.DUMMYFUNCTION("""COMPUTED_VALUE"""),26428939)</f>
        <v>26428939</v>
      </c>
      <c r="F546" s="40">
        <f ca="1">IFERROR(__xludf.DUMMYFUNCTION("""COMPUTED_VALUE"""),2166550)</f>
        <v>2166550</v>
      </c>
      <c r="G546" s="40" t="str">
        <f ca="1">IFERROR(__xludf.DUMMYFUNCTION("""COMPUTED_VALUE"""),"TECNÓLOGO")</f>
        <v>TECNÓLOGO</v>
      </c>
      <c r="H546" s="40" t="str">
        <f ca="1">IFERROR(__xludf.DUMMYFUNCTION("""COMPUTED_VALUE"""),"PRODUCCIÓN AGROPECUARIA ECOLÓGICA")</f>
        <v>PRODUCCIÓN AGROPECUARIA ECOLÓGICA</v>
      </c>
      <c r="I546" s="40">
        <f ca="1">IFERROR(__xludf.DUMMYFUNCTION("""COMPUTED_VALUE"""),3227060601)</f>
        <v>3227060601</v>
      </c>
      <c r="J546" s="40" t="str">
        <f ca="1">IFERROR(__xludf.DUMMYFUNCTION("""COMPUTED_VALUE"""),"astridtulcan@gmail.com")</f>
        <v>astridtulcan@gmail.com</v>
      </c>
      <c r="K546" s="40"/>
      <c r="L546" s="40" t="str">
        <f ca="1">IFERROR(__xludf.DUMMYFUNCTION("""COMPUTED_VALUE"""),"CONTRATO DE APRENDIZAJE")</f>
        <v>CONTRATO DE APRENDIZAJE</v>
      </c>
      <c r="M546" s="40"/>
      <c r="N546" s="40" t="str">
        <f ca="1">IFERROR(__xludf.DUMMYFUNCTION("""COMPUTED_VALUE"""),"PITALITO")</f>
        <v>PITALITO</v>
      </c>
      <c r="O546" s="40">
        <f ca="1">IFERROR(__xludf.DUMMYFUNCTION("""COMPUTED_VALUE"""),8367403)</f>
        <v>8367403</v>
      </c>
      <c r="P546" s="40" t="str">
        <f ca="1">IFERROR(__xludf.DUMMYFUNCTION("""COMPUTED_VALUE"""),"PITALITO")</f>
        <v>PITALITO</v>
      </c>
      <c r="Q546" s="40"/>
      <c r="R546" s="140">
        <f ca="1">IFERROR(__xludf.DUMMYFUNCTION("""COMPUTED_VALUE"""),44658)</f>
        <v>44658</v>
      </c>
      <c r="S546" s="140">
        <f ca="1">IFERROR(__xludf.DUMMYFUNCTION("""COMPUTED_VALUE"""),44873)</f>
        <v>44873</v>
      </c>
      <c r="T546" s="40" t="str">
        <f ca="1">IFERROR(__xludf.DUMMYFUNCTION("""COMPUTED_VALUE"""),"Tiene contrato de aprendízaje, parcial, bitácoras 1,2,3,4 y 5 ...falta final certificación y bitácoras 6,7,8,9,10.11 y 12 ...Revisado 29/07/2022")</f>
        <v>Tiene contrato de aprendízaje, parcial, bitácoras 1,2,3,4 y 5 ...falta final certificación y bitácoras 6,7,8,9,10.11 y 12 ...Revisado 29/07/2022</v>
      </c>
      <c r="U546" s="40"/>
      <c r="V546" s="40"/>
      <c r="W546" s="40"/>
      <c r="X546" s="40"/>
      <c r="Y546" s="40"/>
      <c r="Z546" s="40"/>
      <c r="AA546" s="40"/>
      <c r="AB546" s="40" t="str">
        <f ca="1">IFERROR(__xludf.DUMMYFUNCTION("""COMPUTED_VALUE"""),"DIANA LORENA AVILA DUSSAN - Asignada Subió parcial, Bitácoras 1,2,3,4, y 5 ... Revisado 29/07/2022")</f>
        <v>DIANA LORENA AVILA DUSSAN - Asignada Subió parcial, Bitácoras 1,2,3,4, y 5 ... Revisado 29/07/2022</v>
      </c>
      <c r="AC546" s="40" t="str">
        <f ca="1">IFERROR(__xludf.DUMMYFUNCTION("""COMPUTED_VALUE"""),"Si tiene seguimiento 29/07/2022")</f>
        <v>Si tiene seguimiento 29/07/2022</v>
      </c>
      <c r="AD546" s="40"/>
      <c r="AE546" s="40"/>
      <c r="AF546" s="40"/>
      <c r="AG546" s="40"/>
      <c r="AH546" s="40"/>
      <c r="AI546" s="40"/>
      <c r="AJ546" s="40"/>
      <c r="AK546" s="40"/>
      <c r="AL546" s="40"/>
      <c r="AM546" s="40"/>
      <c r="AN546" s="40" t="str">
        <f ca="1">IFERROR(__xludf.DUMMYFUNCTION("""COMPUTED_VALUE"""),"POR ASIGNAR")</f>
        <v>POR ASIGNAR</v>
      </c>
      <c r="AO546" s="40"/>
      <c r="AP546" s="40"/>
      <c r="AQ546" s="40"/>
      <c r="AR546" s="40"/>
      <c r="AS546" s="40"/>
      <c r="AT546" s="40"/>
      <c r="AU546" s="40" t="str">
        <f ca="1">IFERROR(__xludf.DUMMYFUNCTION("""COMPUTED_VALUE"""),"Procede_E_P")</f>
        <v>Procede_E_P</v>
      </c>
      <c r="AV546" s="40" t="str">
        <f ca="1">IFERROR(__xludf.DUMMYFUNCTION("""COMPUTED_VALUE"""),"EN FORMACION")</f>
        <v>EN FORMACION</v>
      </c>
      <c r="AW546" s="40" t="str">
        <f ca="1">IFERROR(__xludf.DUMMYFUNCTION("""COMPUTED_VALUE"""),"AGROPECUARIO")</f>
        <v>AGROPECUARIO</v>
      </c>
      <c r="AX546" s="141">
        <f ca="1">IFERROR(__xludf.DUMMYFUNCTION("""COMPUTED_VALUE"""),44839)</f>
        <v>44839</v>
      </c>
      <c r="AY546" s="40">
        <f ca="1">IFERROR(__xludf.DUMMYFUNCTION("""COMPUTED_VALUE"""),0)</f>
        <v>0</v>
      </c>
      <c r="AZ546" s="40">
        <f ca="1">IFERROR(__xludf.DUMMYFUNCTION("""COMPUTED_VALUE"""),1)</f>
        <v>1</v>
      </c>
      <c r="BA546" s="40">
        <f ca="1">IFERROR(__xludf.DUMMYFUNCTION("""COMPUTED_VALUE"""),0)</f>
        <v>0</v>
      </c>
      <c r="BB546" s="40">
        <f ca="1">IFERROR(__xludf.DUMMYFUNCTION("""COMPUTED_VALUE"""),0)</f>
        <v>0</v>
      </c>
      <c r="BC546" s="40">
        <f ca="1">IFERROR(__xludf.DUMMYFUNCTION("""COMPUTED_VALUE"""),1)</f>
        <v>1</v>
      </c>
      <c r="BD546" s="141">
        <f ca="1">IFERROR(__xludf.DUMMYFUNCTION("""COMPUTED_VALUE"""),44075)</f>
        <v>44075</v>
      </c>
      <c r="BE546" s="141">
        <f ca="1">IFERROR(__xludf.DUMMYFUNCTION("""COMPUTED_VALUE"""),44620)</f>
        <v>44620</v>
      </c>
      <c r="BF546" s="141">
        <f ca="1">IFERROR(__xludf.DUMMYFUNCTION("""COMPUTED_VALUE"""),44804)</f>
        <v>44804</v>
      </c>
      <c r="BG546" s="141">
        <f ca="1">IFERROR(__xludf.DUMMYFUNCTION("""COMPUTED_VALUE"""),45351)</f>
        <v>45351</v>
      </c>
      <c r="BH546" s="40" t="str">
        <f ca="1">IFERROR(__xludf.DUMMYFUNCTION("""COMPUTED_VALUE"""),"FICHA EN TIEMPO-18 MESES")</f>
        <v>FICHA EN TIEMPO-18 MESES</v>
      </c>
      <c r="BI546" s="40" t="str">
        <f ca="1">IFERROR(__xludf.DUMMYFUNCTION("""COMPUTED_VALUE"""),"Terminada por fecha")</f>
        <v>Terminada por fecha</v>
      </c>
      <c r="BJ546" s="40" t="str">
        <f ca="1">IFERROR(__xludf.DUMMYFUNCTION("""COMPUTED_VALUE"""),"Yamboro")</f>
        <v>Yamboro</v>
      </c>
      <c r="BK546" s="40"/>
      <c r="BL546" s="40"/>
    </row>
    <row r="547" spans="1:64" ht="13">
      <c r="A547" s="40"/>
      <c r="B547" s="40" t="str">
        <f ca="1">IFERROR(__xludf.DUMMYFUNCTION("""COMPUTED_VALUE"""),"FORMACIÓN 18/10/2022")</f>
        <v>FORMACIÓN 18/10/2022</v>
      </c>
      <c r="C547" s="40" t="str">
        <f ca="1">IFERROR(__xludf.DUMMYFUNCTION("""COMPUTED_VALUE"""),"GEOVANNY ALEXANDER MORALES OCHOA
")</f>
        <v xml:space="preserve">GEOVANNY ALEXANDER MORALES OCHOA
</v>
      </c>
      <c r="D547" s="40" t="str">
        <f ca="1">IFERROR(__xludf.DUMMYFUNCTION("""COMPUTED_VALUE"""),"CC")</f>
        <v>CC</v>
      </c>
      <c r="E547" s="40">
        <f ca="1">IFERROR(__xludf.DUMMYFUNCTION("""COMPUTED_VALUE"""),26428939)</f>
        <v>26428939</v>
      </c>
      <c r="F547" s="40">
        <f ca="1">IFERROR(__xludf.DUMMYFUNCTION("""COMPUTED_VALUE"""),2280135)</f>
        <v>2280135</v>
      </c>
      <c r="G547" s="40" t="str">
        <f ca="1">IFERROR(__xludf.DUMMYFUNCTION("""COMPUTED_VALUE"""),"TÉCNICO")</f>
        <v>TÉCNICO</v>
      </c>
      <c r="H547" s="40" t="str">
        <f ca="1">IFERROR(__xludf.DUMMYFUNCTION("""COMPUTED_VALUE"""),"SERVICIOS DE BARISMO")</f>
        <v>SERVICIOS DE BARISMO</v>
      </c>
      <c r="I547" s="40"/>
      <c r="J547" s="40"/>
      <c r="K547" s="40"/>
      <c r="L547" s="40" t="str">
        <f ca="1">IFERROR(__xludf.DUMMYFUNCTION("""COMPUTED_VALUE"""),"NO HA INICIADO ETAPA PRODUCTIVA")</f>
        <v>NO HA INICIADO ETAPA PRODUCTIVA</v>
      </c>
      <c r="M547" s="40"/>
      <c r="N547" s="40"/>
      <c r="O547" s="40"/>
      <c r="P547" s="40"/>
      <c r="Q547" s="40"/>
      <c r="R547" s="140"/>
      <c r="S547" s="1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t="str">
        <f ca="1">IFERROR(__xludf.DUMMYFUNCTION("""COMPUTED_VALUE"""),"NO_CUMPLE")</f>
        <v>NO_CUMPLE</v>
      </c>
      <c r="AV547" s="40" t="str">
        <f ca="1">IFERROR(__xludf.DUMMYFUNCTION("""COMPUTED_VALUE"""),"EN FORMACION")</f>
        <v>EN FORMACION</v>
      </c>
      <c r="AW547" s="40" t="str">
        <f ca="1">IFERROR(__xludf.DUMMYFUNCTION("""COMPUTED_VALUE"""),"TURISMO")</f>
        <v>TURISMO</v>
      </c>
      <c r="AX547" s="141">
        <f ca="1">IFERROR(__xludf.DUMMYFUNCTION("""COMPUTED_VALUE"""),44839)</f>
        <v>44839</v>
      </c>
      <c r="AY547" s="40">
        <f ca="1">IFERROR(__xludf.DUMMYFUNCTION("""COMPUTED_VALUE"""),21)</f>
        <v>21</v>
      </c>
      <c r="AZ547" s="40">
        <f ca="1">IFERROR(__xludf.DUMMYFUNCTION("""COMPUTED_VALUE"""),1)</f>
        <v>1</v>
      </c>
      <c r="BA547" s="40">
        <f ca="1">IFERROR(__xludf.DUMMYFUNCTION("""COMPUTED_VALUE"""),6)</f>
        <v>6</v>
      </c>
      <c r="BB547" s="40">
        <f ca="1">IFERROR(__xludf.DUMMYFUNCTION("""COMPUTED_VALUE"""),11)</f>
        <v>11</v>
      </c>
      <c r="BC547" s="40">
        <f ca="1">IFERROR(__xludf.DUMMYFUNCTION("""COMPUTED_VALUE"""),39)</f>
        <v>39</v>
      </c>
      <c r="BD547" s="141">
        <f ca="1">IFERROR(__xludf.DUMMYFUNCTION("""COMPUTED_VALUE"""),44301)</f>
        <v>44301</v>
      </c>
      <c r="BE547" s="141">
        <f ca="1">IFERROR(__xludf.DUMMYFUNCTION("""COMPUTED_VALUE"""),44575)</f>
        <v>44575</v>
      </c>
      <c r="BF547" s="141">
        <f ca="1">IFERROR(__xludf.DUMMYFUNCTION("""COMPUTED_VALUE"""),44756)</f>
        <v>44756</v>
      </c>
      <c r="BG547" s="141">
        <f ca="1">IFERROR(__xludf.DUMMYFUNCTION("""COMPUTED_VALUE"""),45305)</f>
        <v>45305</v>
      </c>
      <c r="BH547" s="40" t="str">
        <f ca="1">IFERROR(__xludf.DUMMYFUNCTION("""COMPUTED_VALUE"""),"FICHA EN TIEMPO-18 MESES")</f>
        <v>FICHA EN TIEMPO-18 MESES</v>
      </c>
      <c r="BI547" s="40" t="str">
        <f ca="1">IFERROR(__xludf.DUMMYFUNCTION("""COMPUTED_VALUE"""),"Terminada por fecha")</f>
        <v>Terminada por fecha</v>
      </c>
      <c r="BJ547" s="40" t="str">
        <f ca="1">IFERROR(__xludf.DUMMYFUNCTION("""COMPUTED_VALUE"""),"Yamboro")</f>
        <v>Yamboro</v>
      </c>
      <c r="BK547" s="40"/>
      <c r="BL547" s="40"/>
    </row>
    <row r="548" spans="1:64" ht="13">
      <c r="A548" s="40"/>
      <c r="B548" s="40" t="str">
        <f ca="1">IFERROR(__xludf.DUMMYFUNCTION("""COMPUTED_VALUE"""),"FORMACIÓN 18/10/2022")</f>
        <v>FORMACIÓN 18/10/2022</v>
      </c>
      <c r="C548" s="40" t="str">
        <f ca="1">IFERROR(__xludf.DUMMYFUNCTION("""COMPUTED_VALUE"""),"ANGELITH PLATA ZAMBRANO
")</f>
        <v xml:space="preserve">ANGELITH PLATA ZAMBRANO
</v>
      </c>
      <c r="D548" s="40" t="str">
        <f ca="1">IFERROR(__xludf.DUMMYFUNCTION("""COMPUTED_VALUE"""),"TI")</f>
        <v>TI</v>
      </c>
      <c r="E548" s="40">
        <f ca="1">IFERROR(__xludf.DUMMYFUNCTION("""COMPUTED_VALUE"""),26428939)</f>
        <v>26428939</v>
      </c>
      <c r="F548" s="40">
        <f ca="1">IFERROR(__xludf.DUMMYFUNCTION("""COMPUTED_VALUE"""),2280135)</f>
        <v>2280135</v>
      </c>
      <c r="G548" s="40" t="str">
        <f ca="1">IFERROR(__xludf.DUMMYFUNCTION("""COMPUTED_VALUE"""),"TÉCNICO")</f>
        <v>TÉCNICO</v>
      </c>
      <c r="H548" s="40" t="str">
        <f ca="1">IFERROR(__xludf.DUMMYFUNCTION("""COMPUTED_VALUE"""),"SERVICIOS DE BARISMO")</f>
        <v>SERVICIOS DE BARISMO</v>
      </c>
      <c r="I548" s="40"/>
      <c r="J548" s="40"/>
      <c r="K548" s="40"/>
      <c r="L548" s="40" t="str">
        <f ca="1">IFERROR(__xludf.DUMMYFUNCTION("""COMPUTED_VALUE"""),"NO HA INICIADO ETAPA PRODUCTIVA")</f>
        <v>NO HA INICIADO ETAPA PRODUCTIVA</v>
      </c>
      <c r="M548" s="40"/>
      <c r="N548" s="40"/>
      <c r="O548" s="40"/>
      <c r="P548" s="40"/>
      <c r="Q548" s="40"/>
      <c r="R548" s="140"/>
      <c r="S548" s="1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t="str">
        <f ca="1">IFERROR(__xludf.DUMMYFUNCTION("""COMPUTED_VALUE"""),"NO_CUMPLE")</f>
        <v>NO_CUMPLE</v>
      </c>
      <c r="AV548" s="40" t="str">
        <f ca="1">IFERROR(__xludf.DUMMYFUNCTION("""COMPUTED_VALUE"""),"EN FORMACION")</f>
        <v>EN FORMACION</v>
      </c>
      <c r="AW548" s="40" t="str">
        <f ca="1">IFERROR(__xludf.DUMMYFUNCTION("""COMPUTED_VALUE"""),"TURISMO")</f>
        <v>TURISMO</v>
      </c>
      <c r="AX548" s="141">
        <f ca="1">IFERROR(__xludf.DUMMYFUNCTION("""COMPUTED_VALUE"""),44839)</f>
        <v>44839</v>
      </c>
      <c r="AY548" s="40">
        <f ca="1">IFERROR(__xludf.DUMMYFUNCTION("""COMPUTED_VALUE"""),21)</f>
        <v>21</v>
      </c>
      <c r="AZ548" s="40">
        <f ca="1">IFERROR(__xludf.DUMMYFUNCTION("""COMPUTED_VALUE"""),1)</f>
        <v>1</v>
      </c>
      <c r="BA548" s="40">
        <f ca="1">IFERROR(__xludf.DUMMYFUNCTION("""COMPUTED_VALUE"""),6)</f>
        <v>6</v>
      </c>
      <c r="BB548" s="40">
        <f ca="1">IFERROR(__xludf.DUMMYFUNCTION("""COMPUTED_VALUE"""),11)</f>
        <v>11</v>
      </c>
      <c r="BC548" s="40">
        <f ca="1">IFERROR(__xludf.DUMMYFUNCTION("""COMPUTED_VALUE"""),39)</f>
        <v>39</v>
      </c>
      <c r="BD548" s="141">
        <f ca="1">IFERROR(__xludf.DUMMYFUNCTION("""COMPUTED_VALUE"""),44301)</f>
        <v>44301</v>
      </c>
      <c r="BE548" s="141">
        <f ca="1">IFERROR(__xludf.DUMMYFUNCTION("""COMPUTED_VALUE"""),44575)</f>
        <v>44575</v>
      </c>
      <c r="BF548" s="141">
        <f ca="1">IFERROR(__xludf.DUMMYFUNCTION("""COMPUTED_VALUE"""),44756)</f>
        <v>44756</v>
      </c>
      <c r="BG548" s="141">
        <f ca="1">IFERROR(__xludf.DUMMYFUNCTION("""COMPUTED_VALUE"""),45305)</f>
        <v>45305</v>
      </c>
      <c r="BH548" s="40" t="str">
        <f ca="1">IFERROR(__xludf.DUMMYFUNCTION("""COMPUTED_VALUE"""),"FICHA EN TIEMPO-18 MESES")</f>
        <v>FICHA EN TIEMPO-18 MESES</v>
      </c>
      <c r="BI548" s="40" t="str">
        <f ca="1">IFERROR(__xludf.DUMMYFUNCTION("""COMPUTED_VALUE"""),"Terminada por fecha")</f>
        <v>Terminada por fecha</v>
      </c>
      <c r="BJ548" s="40" t="str">
        <f ca="1">IFERROR(__xludf.DUMMYFUNCTION("""COMPUTED_VALUE"""),"Yamboro")</f>
        <v>Yamboro</v>
      </c>
      <c r="BK548" s="40"/>
      <c r="BL548" s="40"/>
    </row>
    <row r="549" spans="1:64" ht="13">
      <c r="A549" s="40"/>
      <c r="B549" s="40" t="str">
        <f ca="1">IFERROR(__xludf.DUMMYFUNCTION("""COMPUTED_VALUE"""),"FORMACIÓN 18/10/2022")</f>
        <v>FORMACIÓN 18/10/2022</v>
      </c>
      <c r="C549" s="40" t="str">
        <f ca="1">IFERROR(__xludf.DUMMYFUNCTION("""COMPUTED_VALUE"""),"ANDRES FELIPE PARRA ARTUNDUAGA
")</f>
        <v xml:space="preserve">ANDRES FELIPE PARRA ARTUNDUAGA
</v>
      </c>
      <c r="D549" s="40" t="str">
        <f ca="1">IFERROR(__xludf.DUMMYFUNCTION("""COMPUTED_VALUE"""),"CC")</f>
        <v>CC</v>
      </c>
      <c r="E549" s="40">
        <f ca="1">IFERROR(__xludf.DUMMYFUNCTION("""COMPUTED_VALUE"""),26428939)</f>
        <v>26428939</v>
      </c>
      <c r="F549" s="40">
        <f ca="1">IFERROR(__xludf.DUMMYFUNCTION("""COMPUTED_VALUE"""),2280135)</f>
        <v>2280135</v>
      </c>
      <c r="G549" s="40" t="str">
        <f ca="1">IFERROR(__xludf.DUMMYFUNCTION("""COMPUTED_VALUE"""),"TÉCNICO")</f>
        <v>TÉCNICO</v>
      </c>
      <c r="H549" s="40" t="str">
        <f ca="1">IFERROR(__xludf.DUMMYFUNCTION("""COMPUTED_VALUE"""),"SERVICIOS DE BARISMO")</f>
        <v>SERVICIOS DE BARISMO</v>
      </c>
      <c r="I549" s="40"/>
      <c r="J549" s="40"/>
      <c r="K549" s="40"/>
      <c r="L549" s="40" t="str">
        <f ca="1">IFERROR(__xludf.DUMMYFUNCTION("""COMPUTED_VALUE"""),"NO HA INICIADO ETAPA PRODUCTIVA")</f>
        <v>NO HA INICIADO ETAPA PRODUCTIVA</v>
      </c>
      <c r="M549" s="40"/>
      <c r="N549" s="40"/>
      <c r="O549" s="40"/>
      <c r="P549" s="40"/>
      <c r="Q549" s="40"/>
      <c r="R549" s="140"/>
      <c r="S549" s="1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t="str">
        <f ca="1">IFERROR(__xludf.DUMMYFUNCTION("""COMPUTED_VALUE"""),"NO_CUMPLE")</f>
        <v>NO_CUMPLE</v>
      </c>
      <c r="AV549" s="40" t="str">
        <f ca="1">IFERROR(__xludf.DUMMYFUNCTION("""COMPUTED_VALUE"""),"EN FORMACION")</f>
        <v>EN FORMACION</v>
      </c>
      <c r="AW549" s="40" t="str">
        <f ca="1">IFERROR(__xludf.DUMMYFUNCTION("""COMPUTED_VALUE"""),"TURISMO")</f>
        <v>TURISMO</v>
      </c>
      <c r="AX549" s="141">
        <f ca="1">IFERROR(__xludf.DUMMYFUNCTION("""COMPUTED_VALUE"""),44839)</f>
        <v>44839</v>
      </c>
      <c r="AY549" s="40">
        <f ca="1">IFERROR(__xludf.DUMMYFUNCTION("""COMPUTED_VALUE"""),21)</f>
        <v>21</v>
      </c>
      <c r="AZ549" s="40">
        <f ca="1">IFERROR(__xludf.DUMMYFUNCTION("""COMPUTED_VALUE"""),1)</f>
        <v>1</v>
      </c>
      <c r="BA549" s="40">
        <f ca="1">IFERROR(__xludf.DUMMYFUNCTION("""COMPUTED_VALUE"""),6)</f>
        <v>6</v>
      </c>
      <c r="BB549" s="40">
        <f ca="1">IFERROR(__xludf.DUMMYFUNCTION("""COMPUTED_VALUE"""),9)</f>
        <v>9</v>
      </c>
      <c r="BC549" s="40">
        <f ca="1">IFERROR(__xludf.DUMMYFUNCTION("""COMPUTED_VALUE"""),37)</f>
        <v>37</v>
      </c>
      <c r="BD549" s="141">
        <f ca="1">IFERROR(__xludf.DUMMYFUNCTION("""COMPUTED_VALUE"""),44301)</f>
        <v>44301</v>
      </c>
      <c r="BE549" s="141">
        <f ca="1">IFERROR(__xludf.DUMMYFUNCTION("""COMPUTED_VALUE"""),44575)</f>
        <v>44575</v>
      </c>
      <c r="BF549" s="141">
        <f ca="1">IFERROR(__xludf.DUMMYFUNCTION("""COMPUTED_VALUE"""),44756)</f>
        <v>44756</v>
      </c>
      <c r="BG549" s="141">
        <f ca="1">IFERROR(__xludf.DUMMYFUNCTION("""COMPUTED_VALUE"""),45305)</f>
        <v>45305</v>
      </c>
      <c r="BH549" s="40" t="str">
        <f ca="1">IFERROR(__xludf.DUMMYFUNCTION("""COMPUTED_VALUE"""),"FICHA EN TIEMPO-18 MESES")</f>
        <v>FICHA EN TIEMPO-18 MESES</v>
      </c>
      <c r="BI549" s="40" t="str">
        <f ca="1">IFERROR(__xludf.DUMMYFUNCTION("""COMPUTED_VALUE"""),"Terminada por fecha")</f>
        <v>Terminada por fecha</v>
      </c>
      <c r="BJ549" s="40" t="str">
        <f ca="1">IFERROR(__xludf.DUMMYFUNCTION("""COMPUTED_VALUE"""),"Yamboro")</f>
        <v>Yamboro</v>
      </c>
      <c r="BK549" s="40"/>
      <c r="BL549" s="40"/>
    </row>
    <row r="550" spans="1:64" ht="13">
      <c r="A550" s="40"/>
      <c r="B550" s="40" t="str">
        <f ca="1">IFERROR(__xludf.DUMMYFUNCTION("""COMPUTED_VALUE"""),"FORMACIÓN 18/10/2022")</f>
        <v>FORMACIÓN 18/10/2022</v>
      </c>
      <c r="C550" s="40" t="str">
        <f ca="1">IFERROR(__xludf.DUMMYFUNCTION("""COMPUTED_VALUE"""),"JHEISON ALEJANDRO VILLADIEGO SUAREZ
")</f>
        <v xml:space="preserve">JHEISON ALEJANDRO VILLADIEGO SUAREZ
</v>
      </c>
      <c r="D550" s="40" t="str">
        <f ca="1">IFERROR(__xludf.DUMMYFUNCTION("""COMPUTED_VALUE"""),"TI")</f>
        <v>TI</v>
      </c>
      <c r="E550" s="40">
        <f ca="1">IFERROR(__xludf.DUMMYFUNCTION("""COMPUTED_VALUE"""),26428939)</f>
        <v>26428939</v>
      </c>
      <c r="F550" s="40">
        <f ca="1">IFERROR(__xludf.DUMMYFUNCTION("""COMPUTED_VALUE"""),2280135)</f>
        <v>2280135</v>
      </c>
      <c r="G550" s="40" t="str">
        <f ca="1">IFERROR(__xludf.DUMMYFUNCTION("""COMPUTED_VALUE"""),"TÉCNICO")</f>
        <v>TÉCNICO</v>
      </c>
      <c r="H550" s="40" t="str">
        <f ca="1">IFERROR(__xludf.DUMMYFUNCTION("""COMPUTED_VALUE"""),"SERVICIOS DE BARISMO")</f>
        <v>SERVICIOS DE BARISMO</v>
      </c>
      <c r="I550" s="40"/>
      <c r="J550" s="40"/>
      <c r="K550" s="40"/>
      <c r="L550" s="40" t="str">
        <f ca="1">IFERROR(__xludf.DUMMYFUNCTION("""COMPUTED_VALUE"""),"NO HA INICIADO ETAPA PRODUCTIVA")</f>
        <v>NO HA INICIADO ETAPA PRODUCTIVA</v>
      </c>
      <c r="M550" s="40"/>
      <c r="N550" s="40"/>
      <c r="O550" s="40"/>
      <c r="P550" s="40"/>
      <c r="Q550" s="40"/>
      <c r="R550" s="140"/>
      <c r="S550" s="1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t="str">
        <f ca="1">IFERROR(__xludf.DUMMYFUNCTION("""COMPUTED_VALUE"""),"NO_CUMPLE")</f>
        <v>NO_CUMPLE</v>
      </c>
      <c r="AV550" s="40" t="str">
        <f ca="1">IFERROR(__xludf.DUMMYFUNCTION("""COMPUTED_VALUE"""),"EN FORMACION")</f>
        <v>EN FORMACION</v>
      </c>
      <c r="AW550" s="40" t="str">
        <f ca="1">IFERROR(__xludf.DUMMYFUNCTION("""COMPUTED_VALUE"""),"TURISMO")</f>
        <v>TURISMO</v>
      </c>
      <c r="AX550" s="141">
        <f ca="1">IFERROR(__xludf.DUMMYFUNCTION("""COMPUTED_VALUE"""),44839)</f>
        <v>44839</v>
      </c>
      <c r="AY550" s="40">
        <f ca="1">IFERROR(__xludf.DUMMYFUNCTION("""COMPUTED_VALUE"""),8)</f>
        <v>8</v>
      </c>
      <c r="AZ550" s="40">
        <f ca="1">IFERROR(__xludf.DUMMYFUNCTION("""COMPUTED_VALUE"""),1)</f>
        <v>1</v>
      </c>
      <c r="BA550" s="40">
        <f ca="1">IFERROR(__xludf.DUMMYFUNCTION("""COMPUTED_VALUE"""),0)</f>
        <v>0</v>
      </c>
      <c r="BB550" s="40">
        <f ca="1">IFERROR(__xludf.DUMMYFUNCTION("""COMPUTED_VALUE"""),0)</f>
        <v>0</v>
      </c>
      <c r="BC550" s="40">
        <f ca="1">IFERROR(__xludf.DUMMYFUNCTION("""COMPUTED_VALUE"""),9)</f>
        <v>9</v>
      </c>
      <c r="BD550" s="141">
        <f ca="1">IFERROR(__xludf.DUMMYFUNCTION("""COMPUTED_VALUE"""),44301)</f>
        <v>44301</v>
      </c>
      <c r="BE550" s="141">
        <f ca="1">IFERROR(__xludf.DUMMYFUNCTION("""COMPUTED_VALUE"""),44575)</f>
        <v>44575</v>
      </c>
      <c r="BF550" s="141">
        <f ca="1">IFERROR(__xludf.DUMMYFUNCTION("""COMPUTED_VALUE"""),44756)</f>
        <v>44756</v>
      </c>
      <c r="BG550" s="141">
        <f ca="1">IFERROR(__xludf.DUMMYFUNCTION("""COMPUTED_VALUE"""),45305)</f>
        <v>45305</v>
      </c>
      <c r="BH550" s="40" t="str">
        <f ca="1">IFERROR(__xludf.DUMMYFUNCTION("""COMPUTED_VALUE"""),"FICHA EN TIEMPO-18 MESES")</f>
        <v>FICHA EN TIEMPO-18 MESES</v>
      </c>
      <c r="BI550" s="40" t="str">
        <f ca="1">IFERROR(__xludf.DUMMYFUNCTION("""COMPUTED_VALUE"""),"Terminada por fecha")</f>
        <v>Terminada por fecha</v>
      </c>
      <c r="BJ550" s="40" t="str">
        <f ca="1">IFERROR(__xludf.DUMMYFUNCTION("""COMPUTED_VALUE"""),"Yamboro")</f>
        <v>Yamboro</v>
      </c>
      <c r="BK550" s="40"/>
      <c r="BL550" s="40"/>
    </row>
    <row r="551" spans="1:64" ht="13">
      <c r="A551" s="40"/>
      <c r="B551" s="40" t="str">
        <f ca="1">IFERROR(__xludf.DUMMYFUNCTION("""COMPUTED_VALUE"""),"FORMACIÓN 18/10/2022")</f>
        <v>FORMACIÓN 18/10/2022</v>
      </c>
      <c r="C551" s="40" t="str">
        <f ca="1">IFERROR(__xludf.DUMMYFUNCTION("""COMPUTED_VALUE"""),"JULIAN ESTEBAN LOSADA BAQUIRO
")</f>
        <v xml:space="preserve">JULIAN ESTEBAN LOSADA BAQUIRO
</v>
      </c>
      <c r="D551" s="40" t="str">
        <f ca="1">IFERROR(__xludf.DUMMYFUNCTION("""COMPUTED_VALUE"""),"CC")</f>
        <v>CC</v>
      </c>
      <c r="E551" s="40">
        <f ca="1">IFERROR(__xludf.DUMMYFUNCTION("""COMPUTED_VALUE"""),26428939)</f>
        <v>26428939</v>
      </c>
      <c r="F551" s="40">
        <f ca="1">IFERROR(__xludf.DUMMYFUNCTION("""COMPUTED_VALUE"""),2280135)</f>
        <v>2280135</v>
      </c>
      <c r="G551" s="40" t="str">
        <f ca="1">IFERROR(__xludf.DUMMYFUNCTION("""COMPUTED_VALUE"""),"TÉCNICO")</f>
        <v>TÉCNICO</v>
      </c>
      <c r="H551" s="40" t="str">
        <f ca="1">IFERROR(__xludf.DUMMYFUNCTION("""COMPUTED_VALUE"""),"SERVICIOS DE BARISMO")</f>
        <v>SERVICIOS DE BARISMO</v>
      </c>
      <c r="I551" s="40"/>
      <c r="J551" s="40"/>
      <c r="K551" s="40"/>
      <c r="L551" s="40" t="str">
        <f ca="1">IFERROR(__xludf.DUMMYFUNCTION("""COMPUTED_VALUE"""),"NO HA INICIADO ETAPA PRODUCTIVA")</f>
        <v>NO HA INICIADO ETAPA PRODUCTIVA</v>
      </c>
      <c r="M551" s="40"/>
      <c r="N551" s="40"/>
      <c r="O551" s="40"/>
      <c r="P551" s="40"/>
      <c r="Q551" s="40"/>
      <c r="R551" s="140"/>
      <c r="S551" s="1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t="str">
        <f ca="1">IFERROR(__xludf.DUMMYFUNCTION("""COMPUTED_VALUE"""),"NO_CUMPLE")</f>
        <v>NO_CUMPLE</v>
      </c>
      <c r="AV551" s="40" t="str">
        <f ca="1">IFERROR(__xludf.DUMMYFUNCTION("""COMPUTED_VALUE"""),"EN FORMACION")</f>
        <v>EN FORMACION</v>
      </c>
      <c r="AW551" s="40" t="str">
        <f ca="1">IFERROR(__xludf.DUMMYFUNCTION("""COMPUTED_VALUE"""),"TURISMO")</f>
        <v>TURISMO</v>
      </c>
      <c r="AX551" s="141">
        <f ca="1">IFERROR(__xludf.DUMMYFUNCTION("""COMPUTED_VALUE"""),44839)</f>
        <v>44839</v>
      </c>
      <c r="AY551" s="40">
        <f ca="1">IFERROR(__xludf.DUMMYFUNCTION("""COMPUTED_VALUE"""),21)</f>
        <v>21</v>
      </c>
      <c r="AZ551" s="40">
        <f ca="1">IFERROR(__xludf.DUMMYFUNCTION("""COMPUTED_VALUE"""),1)</f>
        <v>1</v>
      </c>
      <c r="BA551" s="40">
        <f ca="1">IFERROR(__xludf.DUMMYFUNCTION("""COMPUTED_VALUE"""),6)</f>
        <v>6</v>
      </c>
      <c r="BB551" s="40">
        <f ca="1">IFERROR(__xludf.DUMMYFUNCTION("""COMPUTED_VALUE"""),11)</f>
        <v>11</v>
      </c>
      <c r="BC551" s="40">
        <f ca="1">IFERROR(__xludf.DUMMYFUNCTION("""COMPUTED_VALUE"""),39)</f>
        <v>39</v>
      </c>
      <c r="BD551" s="141">
        <f ca="1">IFERROR(__xludf.DUMMYFUNCTION("""COMPUTED_VALUE"""),44301)</f>
        <v>44301</v>
      </c>
      <c r="BE551" s="141">
        <f ca="1">IFERROR(__xludf.DUMMYFUNCTION("""COMPUTED_VALUE"""),44575)</f>
        <v>44575</v>
      </c>
      <c r="BF551" s="141">
        <f ca="1">IFERROR(__xludf.DUMMYFUNCTION("""COMPUTED_VALUE"""),44756)</f>
        <v>44756</v>
      </c>
      <c r="BG551" s="141">
        <f ca="1">IFERROR(__xludf.DUMMYFUNCTION("""COMPUTED_VALUE"""),45305)</f>
        <v>45305</v>
      </c>
      <c r="BH551" s="40" t="str">
        <f ca="1">IFERROR(__xludf.DUMMYFUNCTION("""COMPUTED_VALUE"""),"FICHA EN TIEMPO-18 MESES")</f>
        <v>FICHA EN TIEMPO-18 MESES</v>
      </c>
      <c r="BI551" s="40" t="str">
        <f ca="1">IFERROR(__xludf.DUMMYFUNCTION("""COMPUTED_VALUE"""),"Terminada por fecha")</f>
        <v>Terminada por fecha</v>
      </c>
      <c r="BJ551" s="40" t="str">
        <f ca="1">IFERROR(__xludf.DUMMYFUNCTION("""COMPUTED_VALUE"""),"Yamboro")</f>
        <v>Yamboro</v>
      </c>
      <c r="BK551" s="40"/>
      <c r="BL551" s="40"/>
    </row>
    <row r="552" spans="1:64" ht="13">
      <c r="A552" s="40"/>
      <c r="B552" s="40" t="str">
        <f ca="1">IFERROR(__xludf.DUMMYFUNCTION("""COMPUTED_VALUE"""),"FORMACIÓN 18/10/2022")</f>
        <v>FORMACIÓN 18/10/2022</v>
      </c>
      <c r="C552" s="40" t="str">
        <f ca="1">IFERROR(__xludf.DUMMYFUNCTION("""COMPUTED_VALUE"""),"YULY FERNANDA BOLAÑOS SAMBONI
")</f>
        <v xml:space="preserve">YULY FERNANDA BOLAÑOS SAMBONI
</v>
      </c>
      <c r="D552" s="40" t="str">
        <f ca="1">IFERROR(__xludf.DUMMYFUNCTION("""COMPUTED_VALUE"""),"CC")</f>
        <v>CC</v>
      </c>
      <c r="E552" s="40">
        <f ca="1">IFERROR(__xludf.DUMMYFUNCTION("""COMPUTED_VALUE"""),26428939)</f>
        <v>26428939</v>
      </c>
      <c r="F552" s="40">
        <f ca="1">IFERROR(__xludf.DUMMYFUNCTION("""COMPUTED_VALUE"""),2280135)</f>
        <v>2280135</v>
      </c>
      <c r="G552" s="40" t="str">
        <f ca="1">IFERROR(__xludf.DUMMYFUNCTION("""COMPUTED_VALUE"""),"TÉCNICO")</f>
        <v>TÉCNICO</v>
      </c>
      <c r="H552" s="40" t="str">
        <f ca="1">IFERROR(__xludf.DUMMYFUNCTION("""COMPUTED_VALUE"""),"SERVICIOS DE BARISMO")</f>
        <v>SERVICIOS DE BARISMO</v>
      </c>
      <c r="I552" s="40"/>
      <c r="J552" s="40"/>
      <c r="K552" s="40"/>
      <c r="L552" s="40" t="str">
        <f ca="1">IFERROR(__xludf.DUMMYFUNCTION("""COMPUTED_VALUE"""),"NO HA INICIADO ETAPA PRODUCTIVA")</f>
        <v>NO HA INICIADO ETAPA PRODUCTIVA</v>
      </c>
      <c r="M552" s="40"/>
      <c r="N552" s="40"/>
      <c r="O552" s="40"/>
      <c r="P552" s="40"/>
      <c r="Q552" s="40"/>
      <c r="R552" s="140"/>
      <c r="S552" s="1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t="str">
        <f ca="1">IFERROR(__xludf.DUMMYFUNCTION("""COMPUTED_VALUE"""),"NO_CUMPLE")</f>
        <v>NO_CUMPLE</v>
      </c>
      <c r="AV552" s="40" t="str">
        <f ca="1">IFERROR(__xludf.DUMMYFUNCTION("""COMPUTED_VALUE"""),"EN FORMACION")</f>
        <v>EN FORMACION</v>
      </c>
      <c r="AW552" s="40" t="str">
        <f ca="1">IFERROR(__xludf.DUMMYFUNCTION("""COMPUTED_VALUE"""),"TURISMO")</f>
        <v>TURISMO</v>
      </c>
      <c r="AX552" s="141">
        <f ca="1">IFERROR(__xludf.DUMMYFUNCTION("""COMPUTED_VALUE"""),44839)</f>
        <v>44839</v>
      </c>
      <c r="AY552" s="40">
        <f ca="1">IFERROR(__xludf.DUMMYFUNCTION("""COMPUTED_VALUE"""),21)</f>
        <v>21</v>
      </c>
      <c r="AZ552" s="40">
        <f ca="1">IFERROR(__xludf.DUMMYFUNCTION("""COMPUTED_VALUE"""),1)</f>
        <v>1</v>
      </c>
      <c r="BA552" s="40">
        <f ca="1">IFERROR(__xludf.DUMMYFUNCTION("""COMPUTED_VALUE"""),6)</f>
        <v>6</v>
      </c>
      <c r="BB552" s="40">
        <f ca="1">IFERROR(__xludf.DUMMYFUNCTION("""COMPUTED_VALUE"""),11)</f>
        <v>11</v>
      </c>
      <c r="BC552" s="40">
        <f ca="1">IFERROR(__xludf.DUMMYFUNCTION("""COMPUTED_VALUE"""),39)</f>
        <v>39</v>
      </c>
      <c r="BD552" s="141">
        <f ca="1">IFERROR(__xludf.DUMMYFUNCTION("""COMPUTED_VALUE"""),44301)</f>
        <v>44301</v>
      </c>
      <c r="BE552" s="141">
        <f ca="1">IFERROR(__xludf.DUMMYFUNCTION("""COMPUTED_VALUE"""),44575)</f>
        <v>44575</v>
      </c>
      <c r="BF552" s="141">
        <f ca="1">IFERROR(__xludf.DUMMYFUNCTION("""COMPUTED_VALUE"""),44756)</f>
        <v>44756</v>
      </c>
      <c r="BG552" s="141">
        <f ca="1">IFERROR(__xludf.DUMMYFUNCTION("""COMPUTED_VALUE"""),45305)</f>
        <v>45305</v>
      </c>
      <c r="BH552" s="40" t="str">
        <f ca="1">IFERROR(__xludf.DUMMYFUNCTION("""COMPUTED_VALUE"""),"FICHA EN TIEMPO-18 MESES")</f>
        <v>FICHA EN TIEMPO-18 MESES</v>
      </c>
      <c r="BI552" s="40" t="str">
        <f ca="1">IFERROR(__xludf.DUMMYFUNCTION("""COMPUTED_VALUE"""),"Terminada por fecha")</f>
        <v>Terminada por fecha</v>
      </c>
      <c r="BJ552" s="40" t="str">
        <f ca="1">IFERROR(__xludf.DUMMYFUNCTION("""COMPUTED_VALUE"""),"Yamboro")</f>
        <v>Yamboro</v>
      </c>
      <c r="BK552" s="40"/>
      <c r="BL552" s="40"/>
    </row>
    <row r="553" spans="1:64" ht="13">
      <c r="A553" s="40"/>
      <c r="B553" s="40" t="str">
        <f ca="1">IFERROR(__xludf.DUMMYFUNCTION("""COMPUTED_VALUE"""),"FORMACIÓN 18/10/2022")</f>
        <v>FORMACIÓN 18/10/2022</v>
      </c>
      <c r="C553" s="40" t="str">
        <f ca="1">IFERROR(__xludf.DUMMYFUNCTION("""COMPUTED_VALUE"""),"KARINA CAVIEDES VILLEGAS
")</f>
        <v xml:space="preserve">KARINA CAVIEDES VILLEGAS
</v>
      </c>
      <c r="D553" s="40" t="str">
        <f ca="1">IFERROR(__xludf.DUMMYFUNCTION("""COMPUTED_VALUE"""),"CC")</f>
        <v>CC</v>
      </c>
      <c r="E553" s="40">
        <f ca="1">IFERROR(__xludf.DUMMYFUNCTION("""COMPUTED_VALUE"""),26428939)</f>
        <v>26428939</v>
      </c>
      <c r="F553" s="40">
        <f ca="1">IFERROR(__xludf.DUMMYFUNCTION("""COMPUTED_VALUE"""),2280135)</f>
        <v>2280135</v>
      </c>
      <c r="G553" s="40" t="str">
        <f ca="1">IFERROR(__xludf.DUMMYFUNCTION("""COMPUTED_VALUE"""),"TÉCNICO")</f>
        <v>TÉCNICO</v>
      </c>
      <c r="H553" s="40" t="str">
        <f ca="1">IFERROR(__xludf.DUMMYFUNCTION("""COMPUTED_VALUE"""),"SERVICIOS DE BARISMO")</f>
        <v>SERVICIOS DE BARISMO</v>
      </c>
      <c r="I553" s="40"/>
      <c r="J553" s="40"/>
      <c r="K553" s="40"/>
      <c r="L553" s="40" t="str">
        <f ca="1">IFERROR(__xludf.DUMMYFUNCTION("""COMPUTED_VALUE"""),"NO HA INICIADO ETAPA PRODUCTIVA")</f>
        <v>NO HA INICIADO ETAPA PRODUCTIVA</v>
      </c>
      <c r="M553" s="40"/>
      <c r="N553" s="40"/>
      <c r="O553" s="40"/>
      <c r="P553" s="40"/>
      <c r="Q553" s="40"/>
      <c r="R553" s="140"/>
      <c r="S553" s="1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t="str">
        <f ca="1">IFERROR(__xludf.DUMMYFUNCTION("""COMPUTED_VALUE"""),"Procede_E_P")</f>
        <v>Procede_E_P</v>
      </c>
      <c r="AV553" s="40" t="str">
        <f ca="1">IFERROR(__xludf.DUMMYFUNCTION("""COMPUTED_VALUE"""),"EN FORMACION")</f>
        <v>EN FORMACION</v>
      </c>
      <c r="AW553" s="40" t="str">
        <f ca="1">IFERROR(__xludf.DUMMYFUNCTION("""COMPUTED_VALUE"""),"TURISMO")</f>
        <v>TURISMO</v>
      </c>
      <c r="AX553" s="141">
        <f ca="1">IFERROR(__xludf.DUMMYFUNCTION("""COMPUTED_VALUE"""),44839)</f>
        <v>44839</v>
      </c>
      <c r="AY553" s="40">
        <f ca="1">IFERROR(__xludf.DUMMYFUNCTION("""COMPUTED_VALUE"""),0)</f>
        <v>0</v>
      </c>
      <c r="AZ553" s="40">
        <f ca="1">IFERROR(__xludf.DUMMYFUNCTION("""COMPUTED_VALUE"""),1)</f>
        <v>1</v>
      </c>
      <c r="BA553" s="40">
        <f ca="1">IFERROR(__xludf.DUMMYFUNCTION("""COMPUTED_VALUE"""),0)</f>
        <v>0</v>
      </c>
      <c r="BB553" s="40">
        <f ca="1">IFERROR(__xludf.DUMMYFUNCTION("""COMPUTED_VALUE"""),0)</f>
        <v>0</v>
      </c>
      <c r="BC553" s="40">
        <f ca="1">IFERROR(__xludf.DUMMYFUNCTION("""COMPUTED_VALUE"""),1)</f>
        <v>1</v>
      </c>
      <c r="BD553" s="141">
        <f ca="1">IFERROR(__xludf.DUMMYFUNCTION("""COMPUTED_VALUE"""),44301)</f>
        <v>44301</v>
      </c>
      <c r="BE553" s="141">
        <f ca="1">IFERROR(__xludf.DUMMYFUNCTION("""COMPUTED_VALUE"""),44575)</f>
        <v>44575</v>
      </c>
      <c r="BF553" s="141">
        <f ca="1">IFERROR(__xludf.DUMMYFUNCTION("""COMPUTED_VALUE"""),44756)</f>
        <v>44756</v>
      </c>
      <c r="BG553" s="141">
        <f ca="1">IFERROR(__xludf.DUMMYFUNCTION("""COMPUTED_VALUE"""),45305)</f>
        <v>45305</v>
      </c>
      <c r="BH553" s="40" t="str">
        <f ca="1">IFERROR(__xludf.DUMMYFUNCTION("""COMPUTED_VALUE"""),"FICHA EN TIEMPO-18 MESES")</f>
        <v>FICHA EN TIEMPO-18 MESES</v>
      </c>
      <c r="BI553" s="40" t="str">
        <f ca="1">IFERROR(__xludf.DUMMYFUNCTION("""COMPUTED_VALUE"""),"Terminada por fecha")</f>
        <v>Terminada por fecha</v>
      </c>
      <c r="BJ553" s="40" t="str">
        <f ca="1">IFERROR(__xludf.DUMMYFUNCTION("""COMPUTED_VALUE"""),"Yamboro")</f>
        <v>Yamboro</v>
      </c>
      <c r="BK553" s="40"/>
      <c r="BL553" s="40"/>
    </row>
    <row r="554" spans="1:64" ht="13">
      <c r="A554" s="40"/>
      <c r="B554" s="40" t="str">
        <f ca="1">IFERROR(__xludf.DUMMYFUNCTION("""COMPUTED_VALUE"""),"FORMACIÓN 18/10/2022")</f>
        <v>FORMACIÓN 18/10/2022</v>
      </c>
      <c r="C554" s="40" t="str">
        <f ca="1">IFERROR(__xludf.DUMMYFUNCTION("""COMPUTED_VALUE"""),"TATIANA MARIA TALAIGUA FERIA
")</f>
        <v xml:space="preserve">TATIANA MARIA TALAIGUA FERIA
</v>
      </c>
      <c r="D554" s="40" t="str">
        <f ca="1">IFERROR(__xludf.DUMMYFUNCTION("""COMPUTED_VALUE"""),"CC")</f>
        <v>CC</v>
      </c>
      <c r="E554" s="40">
        <f ca="1">IFERROR(__xludf.DUMMYFUNCTION("""COMPUTED_VALUE"""),26428939)</f>
        <v>26428939</v>
      </c>
      <c r="F554" s="40">
        <f ca="1">IFERROR(__xludf.DUMMYFUNCTION("""COMPUTED_VALUE"""),2280135)</f>
        <v>2280135</v>
      </c>
      <c r="G554" s="40" t="str">
        <f ca="1">IFERROR(__xludf.DUMMYFUNCTION("""COMPUTED_VALUE"""),"TÉCNICO")</f>
        <v>TÉCNICO</v>
      </c>
      <c r="H554" s="40" t="str">
        <f ca="1">IFERROR(__xludf.DUMMYFUNCTION("""COMPUTED_VALUE"""),"SERVICIOS DE BARISMO")</f>
        <v>SERVICIOS DE BARISMO</v>
      </c>
      <c r="I554" s="40"/>
      <c r="J554" s="40"/>
      <c r="K554" s="40"/>
      <c r="L554" s="40" t="str">
        <f ca="1">IFERROR(__xludf.DUMMYFUNCTION("""COMPUTED_VALUE"""),"PASANTÍAS")</f>
        <v>PASANTÍAS</v>
      </c>
      <c r="M554" s="40" t="str">
        <f ca="1">IFERROR(__xludf.DUMMYFUNCTION("""COMPUTED_VALUE"""),"COWORKING LAS JUANAS CAFÉ SAS")</f>
        <v>COWORKING LAS JUANAS CAFÉ SAS</v>
      </c>
      <c r="N554" s="40" t="str">
        <f ca="1">IFERROR(__xludf.DUMMYFUNCTION("""COMPUTED_VALUE"""),"PITALITO")</f>
        <v>PITALITO</v>
      </c>
      <c r="O554" s="40">
        <f ca="1">IFERROR(__xludf.DUMMYFUNCTION("""COMPUTED_VALUE"""),3173822164)</f>
        <v>3173822164</v>
      </c>
      <c r="P554" s="40"/>
      <c r="Q554" s="40" t="str">
        <f ca="1">IFERROR(__xludf.DUMMYFUNCTION("""COMPUTED_VALUE"""),"lasjuanascafep@gmail.com")</f>
        <v>lasjuanascafep@gmail.com</v>
      </c>
      <c r="R554" s="140">
        <f ca="1">IFERROR(__xludf.DUMMYFUNCTION("""COMPUTED_VALUE"""),44859)</f>
        <v>44859</v>
      </c>
      <c r="S554" s="140">
        <f ca="1">IFERROR(__xludf.DUMMYFUNCTION("""COMPUTED_VALUE"""),45010)</f>
        <v>45010</v>
      </c>
      <c r="T554" s="40"/>
      <c r="U554" s="40"/>
      <c r="V554" s="40"/>
      <c r="W554" s="40"/>
      <c r="X554" s="40"/>
      <c r="Y554" s="40"/>
      <c r="Z554" s="40"/>
      <c r="AA554" s="40"/>
      <c r="AB554" s="40" t="str">
        <f ca="1">IFERROR(__xludf.DUMMYFUNCTION("""COMPUTED_VALUE"""),"Diana Ávila- Asignada ")</f>
        <v xml:space="preserve">Diana Ávila- Asignada </v>
      </c>
      <c r="AC554" s="40"/>
      <c r="AD554" s="40"/>
      <c r="AE554" s="40"/>
      <c r="AF554" s="40"/>
      <c r="AG554" s="40"/>
      <c r="AH554" s="40"/>
      <c r="AI554" s="40"/>
      <c r="AJ554" s="40"/>
      <c r="AK554" s="40"/>
      <c r="AL554" s="40"/>
      <c r="AM554" s="40"/>
      <c r="AN554" s="40"/>
      <c r="AO554" s="40"/>
      <c r="AP554" s="40"/>
      <c r="AQ554" s="40"/>
      <c r="AR554" s="40"/>
      <c r="AS554" s="40"/>
      <c r="AT554" s="40"/>
      <c r="AU554" s="40" t="str">
        <f ca="1">IFERROR(__xludf.DUMMYFUNCTION("""COMPUTED_VALUE"""),"Procede_E_P")</f>
        <v>Procede_E_P</v>
      </c>
      <c r="AV554" s="40" t="str">
        <f ca="1">IFERROR(__xludf.DUMMYFUNCTION("""COMPUTED_VALUE"""),"EN FORMACION")</f>
        <v>EN FORMACION</v>
      </c>
      <c r="AW554" s="40" t="str">
        <f ca="1">IFERROR(__xludf.DUMMYFUNCTION("""COMPUTED_VALUE"""),"TURISMO")</f>
        <v>TURISMO</v>
      </c>
      <c r="AX554" s="141">
        <f ca="1">IFERROR(__xludf.DUMMYFUNCTION("""COMPUTED_VALUE"""),44839)</f>
        <v>44839</v>
      </c>
      <c r="AY554" s="40">
        <f ca="1">IFERROR(__xludf.DUMMYFUNCTION("""COMPUTED_VALUE"""),0)</f>
        <v>0</v>
      </c>
      <c r="AZ554" s="40">
        <f ca="1">IFERROR(__xludf.DUMMYFUNCTION("""COMPUTED_VALUE"""),1)</f>
        <v>1</v>
      </c>
      <c r="BA554" s="40">
        <f ca="1">IFERROR(__xludf.DUMMYFUNCTION("""COMPUTED_VALUE"""),0)</f>
        <v>0</v>
      </c>
      <c r="BB554" s="40">
        <f ca="1">IFERROR(__xludf.DUMMYFUNCTION("""COMPUTED_VALUE"""),0)</f>
        <v>0</v>
      </c>
      <c r="BC554" s="40">
        <f ca="1">IFERROR(__xludf.DUMMYFUNCTION("""COMPUTED_VALUE"""),1)</f>
        <v>1</v>
      </c>
      <c r="BD554" s="141">
        <f ca="1">IFERROR(__xludf.DUMMYFUNCTION("""COMPUTED_VALUE"""),44301)</f>
        <v>44301</v>
      </c>
      <c r="BE554" s="141">
        <f ca="1">IFERROR(__xludf.DUMMYFUNCTION("""COMPUTED_VALUE"""),44575)</f>
        <v>44575</v>
      </c>
      <c r="BF554" s="141">
        <f ca="1">IFERROR(__xludf.DUMMYFUNCTION("""COMPUTED_VALUE"""),44756)</f>
        <v>44756</v>
      </c>
      <c r="BG554" s="141">
        <f ca="1">IFERROR(__xludf.DUMMYFUNCTION("""COMPUTED_VALUE"""),45305)</f>
        <v>45305</v>
      </c>
      <c r="BH554" s="40" t="str">
        <f ca="1">IFERROR(__xludf.DUMMYFUNCTION("""COMPUTED_VALUE"""),"FICHA EN TIEMPO-18 MESES")</f>
        <v>FICHA EN TIEMPO-18 MESES</v>
      </c>
      <c r="BI554" s="40" t="str">
        <f ca="1">IFERROR(__xludf.DUMMYFUNCTION("""COMPUTED_VALUE"""),"Terminada por fecha")</f>
        <v>Terminada por fecha</v>
      </c>
      <c r="BJ554" s="40" t="str">
        <f ca="1">IFERROR(__xludf.DUMMYFUNCTION("""COMPUTED_VALUE"""),"Yamboro")</f>
        <v>Yamboro</v>
      </c>
      <c r="BK554" s="40"/>
      <c r="BL554" s="40"/>
    </row>
    <row r="555" spans="1:64" ht="13">
      <c r="A555" s="40"/>
      <c r="B555" s="40" t="str">
        <f ca="1">IFERROR(__xludf.DUMMYFUNCTION("""COMPUTED_VALUE"""),"FORMACIÓN 18/10/2022")</f>
        <v>FORMACIÓN 18/10/2022</v>
      </c>
      <c r="C555" s="40" t="str">
        <f ca="1">IFERROR(__xludf.DUMMYFUNCTION("""COMPUTED_VALUE"""),"CRISTHIAN STEVEN PLAZA GUTIERREZ
")</f>
        <v xml:space="preserve">CRISTHIAN STEVEN PLAZA GUTIERREZ
</v>
      </c>
      <c r="D555" s="40" t="str">
        <f ca="1">IFERROR(__xludf.DUMMYFUNCTION("""COMPUTED_VALUE"""),"CC")</f>
        <v>CC</v>
      </c>
      <c r="E555" s="40">
        <f ca="1">IFERROR(__xludf.DUMMYFUNCTION("""COMPUTED_VALUE"""),26428939)</f>
        <v>26428939</v>
      </c>
      <c r="F555" s="40">
        <f ca="1">IFERROR(__xludf.DUMMYFUNCTION("""COMPUTED_VALUE"""),2280135)</f>
        <v>2280135</v>
      </c>
      <c r="G555" s="40" t="str">
        <f ca="1">IFERROR(__xludf.DUMMYFUNCTION("""COMPUTED_VALUE"""),"TÉCNICO")</f>
        <v>TÉCNICO</v>
      </c>
      <c r="H555" s="40" t="str">
        <f ca="1">IFERROR(__xludf.DUMMYFUNCTION("""COMPUTED_VALUE"""),"SERVICIOS DE BARISMO")</f>
        <v>SERVICIOS DE BARISMO</v>
      </c>
      <c r="I555" s="40"/>
      <c r="J555" s="40"/>
      <c r="K555" s="40"/>
      <c r="L555" s="40" t="str">
        <f ca="1">IFERROR(__xludf.DUMMYFUNCTION("""COMPUTED_VALUE"""),"NO HA INICIADO ETAPA PRODUCTIVA")</f>
        <v>NO HA INICIADO ETAPA PRODUCTIVA</v>
      </c>
      <c r="M555" s="40"/>
      <c r="N555" s="40"/>
      <c r="O555" s="40"/>
      <c r="P555" s="40"/>
      <c r="Q555" s="40"/>
      <c r="R555" s="140"/>
      <c r="S555" s="1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t="str">
        <f ca="1">IFERROR(__xludf.DUMMYFUNCTION("""COMPUTED_VALUE"""),"Procede_E_P")</f>
        <v>Procede_E_P</v>
      </c>
      <c r="AV555" s="40" t="str">
        <f ca="1">IFERROR(__xludf.DUMMYFUNCTION("""COMPUTED_VALUE"""),"EN FORMACION")</f>
        <v>EN FORMACION</v>
      </c>
      <c r="AW555" s="40" t="str">
        <f ca="1">IFERROR(__xludf.DUMMYFUNCTION("""COMPUTED_VALUE"""),"TURISMO")</f>
        <v>TURISMO</v>
      </c>
      <c r="AX555" s="141">
        <f ca="1">IFERROR(__xludf.DUMMYFUNCTION("""COMPUTED_VALUE"""),44839)</f>
        <v>44839</v>
      </c>
      <c r="AY555" s="40">
        <f ca="1">IFERROR(__xludf.DUMMYFUNCTION("""COMPUTED_VALUE"""),0)</f>
        <v>0</v>
      </c>
      <c r="AZ555" s="40">
        <f ca="1">IFERROR(__xludf.DUMMYFUNCTION("""COMPUTED_VALUE"""),1)</f>
        <v>1</v>
      </c>
      <c r="BA555" s="40">
        <f ca="1">IFERROR(__xludf.DUMMYFUNCTION("""COMPUTED_VALUE"""),0)</f>
        <v>0</v>
      </c>
      <c r="BB555" s="40">
        <f ca="1">IFERROR(__xludf.DUMMYFUNCTION("""COMPUTED_VALUE"""),0)</f>
        <v>0</v>
      </c>
      <c r="BC555" s="40">
        <f ca="1">IFERROR(__xludf.DUMMYFUNCTION("""COMPUTED_VALUE"""),1)</f>
        <v>1</v>
      </c>
      <c r="BD555" s="141">
        <f ca="1">IFERROR(__xludf.DUMMYFUNCTION("""COMPUTED_VALUE"""),44301)</f>
        <v>44301</v>
      </c>
      <c r="BE555" s="141">
        <f ca="1">IFERROR(__xludf.DUMMYFUNCTION("""COMPUTED_VALUE"""),44575)</f>
        <v>44575</v>
      </c>
      <c r="BF555" s="141">
        <f ca="1">IFERROR(__xludf.DUMMYFUNCTION("""COMPUTED_VALUE"""),44756)</f>
        <v>44756</v>
      </c>
      <c r="BG555" s="141">
        <f ca="1">IFERROR(__xludf.DUMMYFUNCTION("""COMPUTED_VALUE"""),45305)</f>
        <v>45305</v>
      </c>
      <c r="BH555" s="40" t="str">
        <f ca="1">IFERROR(__xludf.DUMMYFUNCTION("""COMPUTED_VALUE"""),"FICHA EN TIEMPO-18 MESES")</f>
        <v>FICHA EN TIEMPO-18 MESES</v>
      </c>
      <c r="BI555" s="40" t="str">
        <f ca="1">IFERROR(__xludf.DUMMYFUNCTION("""COMPUTED_VALUE"""),"Terminada por fecha")</f>
        <v>Terminada por fecha</v>
      </c>
      <c r="BJ555" s="40" t="str">
        <f ca="1">IFERROR(__xludf.DUMMYFUNCTION("""COMPUTED_VALUE"""),"Yamboro")</f>
        <v>Yamboro</v>
      </c>
      <c r="BK555" s="40"/>
      <c r="BL555" s="40"/>
    </row>
    <row r="556" spans="1:64" ht="13">
      <c r="A556" s="40"/>
      <c r="B556" s="40" t="str">
        <f ca="1">IFERROR(__xludf.DUMMYFUNCTION("""COMPUTED_VALUE"""),"FORMACIÓN 18/10/2022")</f>
        <v>FORMACIÓN 18/10/2022</v>
      </c>
      <c r="C556" s="40" t="str">
        <f ca="1">IFERROR(__xludf.DUMMYFUNCTION("""COMPUTED_VALUE"""),"MARIA VICTORIA VARGAS VASQUEZ")</f>
        <v>MARIA VICTORIA VARGAS VASQUEZ</v>
      </c>
      <c r="D556" s="40" t="str">
        <f ca="1">IFERROR(__xludf.DUMMYFUNCTION("""COMPUTED_VALUE"""),"CC")</f>
        <v>CC</v>
      </c>
      <c r="E556" s="40">
        <f ca="1">IFERROR(__xludf.DUMMYFUNCTION("""COMPUTED_VALUE"""),26428939)</f>
        <v>26428939</v>
      </c>
      <c r="F556" s="40">
        <f ca="1">IFERROR(__xludf.DUMMYFUNCTION("""COMPUTED_VALUE"""),2280135)</f>
        <v>2280135</v>
      </c>
      <c r="G556" s="40" t="str">
        <f ca="1">IFERROR(__xludf.DUMMYFUNCTION("""COMPUTED_VALUE"""),"TÉCNICO")</f>
        <v>TÉCNICO</v>
      </c>
      <c r="H556" s="40" t="str">
        <f ca="1">IFERROR(__xludf.DUMMYFUNCTION("""COMPUTED_VALUE"""),"SERVICIOS DE BARISMO")</f>
        <v>SERVICIOS DE BARISMO</v>
      </c>
      <c r="I556" s="40"/>
      <c r="J556" s="40"/>
      <c r="K556" s="40"/>
      <c r="L556" s="40" t="str">
        <f ca="1">IFERROR(__xludf.DUMMYFUNCTION("""COMPUTED_VALUE"""),"PASANTÍAS")</f>
        <v>PASANTÍAS</v>
      </c>
      <c r="M556" s="40" t="str">
        <f ca="1">IFERROR(__xludf.DUMMYFUNCTION("""COMPUTED_VALUE"""),"MILAN PANADERIA Y PASTELERIA")</f>
        <v>MILAN PANADERIA Y PASTELERIA</v>
      </c>
      <c r="N556" s="40" t="str">
        <f ca="1">IFERROR(__xludf.DUMMYFUNCTION("""COMPUTED_VALUE"""),"CLL 6E N° 11B-23 BARRIO PORTAL DE MARIA FACATATIVA CUNDINAMARCA")</f>
        <v>CLL 6E N° 11B-23 BARRIO PORTAL DE MARIA FACATATIVA CUNDINAMARCA</v>
      </c>
      <c r="O556" s="40">
        <f ca="1">IFERROR(__xludf.DUMMYFUNCTION("""COMPUTED_VALUE"""),3187519391)</f>
        <v>3187519391</v>
      </c>
      <c r="P556" s="40" t="str">
        <f ca="1">IFERROR(__xludf.DUMMYFUNCTION("""COMPUTED_VALUE"""),"FACATATIVA")</f>
        <v>FACATATIVA</v>
      </c>
      <c r="Q556" s="40" t="str">
        <f ca="1">IFERROR(__xludf.DUMMYFUNCTION("""COMPUTED_VALUE"""),"fernandojavierguio@gmail.com")</f>
        <v>fernandojavierguio@gmail.com</v>
      </c>
      <c r="R556" s="140">
        <f ca="1">IFERROR(__xludf.DUMMYFUNCTION("""COMPUTED_VALUE"""),44806)</f>
        <v>44806</v>
      </c>
      <c r="S556" s="140">
        <f ca="1">IFERROR(__xludf.DUMMYFUNCTION("""COMPUTED_VALUE"""),44987)</f>
        <v>44987</v>
      </c>
      <c r="T556" s="40"/>
      <c r="U556" s="40" t="str">
        <f ca="1">IFERROR(__xludf.DUMMYFUNCTION("""COMPUTED_VALUE"""),"DIANA LORENA AVILA DUSSAN ")</f>
        <v xml:space="preserve">DIANA LORENA AVILA DUSSAN </v>
      </c>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t="str">
        <f ca="1">IFERROR(__xludf.DUMMYFUNCTION("""COMPUTED_VALUE"""),"Procede_E_P")</f>
        <v>Procede_E_P</v>
      </c>
      <c r="AV556" s="40" t="str">
        <f ca="1">IFERROR(__xludf.DUMMYFUNCTION("""COMPUTED_VALUE"""),"EN FORMACION")</f>
        <v>EN FORMACION</v>
      </c>
      <c r="AW556" s="40" t="str">
        <f ca="1">IFERROR(__xludf.DUMMYFUNCTION("""COMPUTED_VALUE"""),"TURISMO")</f>
        <v>TURISMO</v>
      </c>
      <c r="AX556" s="141">
        <f ca="1">IFERROR(__xludf.DUMMYFUNCTION("""COMPUTED_VALUE"""),44839)</f>
        <v>44839</v>
      </c>
      <c r="AY556" s="40">
        <f ca="1">IFERROR(__xludf.DUMMYFUNCTION("""COMPUTED_VALUE"""),0)</f>
        <v>0</v>
      </c>
      <c r="AZ556" s="40">
        <f ca="1">IFERROR(__xludf.DUMMYFUNCTION("""COMPUTED_VALUE"""),1)</f>
        <v>1</v>
      </c>
      <c r="BA556" s="40">
        <f ca="1">IFERROR(__xludf.DUMMYFUNCTION("""COMPUTED_VALUE"""),0)</f>
        <v>0</v>
      </c>
      <c r="BB556" s="40">
        <f ca="1">IFERROR(__xludf.DUMMYFUNCTION("""COMPUTED_VALUE"""),0)</f>
        <v>0</v>
      </c>
      <c r="BC556" s="40">
        <f ca="1">IFERROR(__xludf.DUMMYFUNCTION("""COMPUTED_VALUE"""),1)</f>
        <v>1</v>
      </c>
      <c r="BD556" s="141">
        <f ca="1">IFERROR(__xludf.DUMMYFUNCTION("""COMPUTED_VALUE"""),44301)</f>
        <v>44301</v>
      </c>
      <c r="BE556" s="141">
        <f ca="1">IFERROR(__xludf.DUMMYFUNCTION("""COMPUTED_VALUE"""),44575)</f>
        <v>44575</v>
      </c>
      <c r="BF556" s="141">
        <f ca="1">IFERROR(__xludf.DUMMYFUNCTION("""COMPUTED_VALUE"""),44756)</f>
        <v>44756</v>
      </c>
      <c r="BG556" s="141">
        <f ca="1">IFERROR(__xludf.DUMMYFUNCTION("""COMPUTED_VALUE"""),45305)</f>
        <v>45305</v>
      </c>
      <c r="BH556" s="40" t="str">
        <f ca="1">IFERROR(__xludf.DUMMYFUNCTION("""COMPUTED_VALUE"""),"FICHA EN TIEMPO-18 MESES")</f>
        <v>FICHA EN TIEMPO-18 MESES</v>
      </c>
      <c r="BI556" s="40" t="str">
        <f ca="1">IFERROR(__xludf.DUMMYFUNCTION("""COMPUTED_VALUE"""),"Terminada por fecha")</f>
        <v>Terminada por fecha</v>
      </c>
      <c r="BJ556" s="40" t="str">
        <f ca="1">IFERROR(__xludf.DUMMYFUNCTION("""COMPUTED_VALUE"""),"Yamboro")</f>
        <v>Yamboro</v>
      </c>
      <c r="BK556" s="40"/>
      <c r="BL556" s="40"/>
    </row>
    <row r="557" spans="1:64" ht="13">
      <c r="A557" s="40"/>
      <c r="B557" s="40" t="str">
        <f ca="1">IFERROR(__xludf.DUMMYFUNCTION("""COMPUTED_VALUE"""),"FORMACIÓN 18/10/2022")</f>
        <v>FORMACIÓN 18/10/2022</v>
      </c>
      <c r="C557" s="40" t="str">
        <f ca="1">IFERROR(__xludf.DUMMYFUNCTION("""COMPUTED_VALUE"""),"DANY GISELLA ORTIZ RAMIREZ
")</f>
        <v xml:space="preserve">DANY GISELLA ORTIZ RAMIREZ
</v>
      </c>
      <c r="D557" s="40" t="str">
        <f ca="1">IFERROR(__xludf.DUMMYFUNCTION("""COMPUTED_VALUE"""),"CC")</f>
        <v>CC</v>
      </c>
      <c r="E557" s="40">
        <f ca="1">IFERROR(__xludf.DUMMYFUNCTION("""COMPUTED_VALUE"""),26428939)</f>
        <v>26428939</v>
      </c>
      <c r="F557" s="40">
        <f ca="1">IFERROR(__xludf.DUMMYFUNCTION("""COMPUTED_VALUE"""),2280135)</f>
        <v>2280135</v>
      </c>
      <c r="G557" s="40" t="str">
        <f ca="1">IFERROR(__xludf.DUMMYFUNCTION("""COMPUTED_VALUE"""),"TÉCNICO")</f>
        <v>TÉCNICO</v>
      </c>
      <c r="H557" s="40" t="str">
        <f ca="1">IFERROR(__xludf.DUMMYFUNCTION("""COMPUTED_VALUE"""),"SERVICIOS DE BARISMO")</f>
        <v>SERVICIOS DE BARISMO</v>
      </c>
      <c r="I557" s="40"/>
      <c r="J557" s="40"/>
      <c r="K557" s="40"/>
      <c r="L557" s="40" t="str">
        <f ca="1">IFERROR(__xludf.DUMMYFUNCTION("""COMPUTED_VALUE"""),"NO HA INICIADO ETAPA PRODUCTIVA")</f>
        <v>NO HA INICIADO ETAPA PRODUCTIVA</v>
      </c>
      <c r="M557" s="40"/>
      <c r="N557" s="40"/>
      <c r="O557" s="40"/>
      <c r="P557" s="40"/>
      <c r="Q557" s="40"/>
      <c r="R557" s="140"/>
      <c r="S557" s="1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t="str">
        <f ca="1">IFERROR(__xludf.DUMMYFUNCTION("""COMPUTED_VALUE"""),"Procede_E_P")</f>
        <v>Procede_E_P</v>
      </c>
      <c r="AV557" s="40" t="str">
        <f ca="1">IFERROR(__xludf.DUMMYFUNCTION("""COMPUTED_VALUE"""),"EN FORMACION")</f>
        <v>EN FORMACION</v>
      </c>
      <c r="AW557" s="40" t="str">
        <f ca="1">IFERROR(__xludf.DUMMYFUNCTION("""COMPUTED_VALUE"""),"TURISMO")</f>
        <v>TURISMO</v>
      </c>
      <c r="AX557" s="141">
        <f ca="1">IFERROR(__xludf.DUMMYFUNCTION("""COMPUTED_VALUE"""),44839)</f>
        <v>44839</v>
      </c>
      <c r="AY557" s="40">
        <f ca="1">IFERROR(__xludf.DUMMYFUNCTION("""COMPUTED_VALUE"""),0)</f>
        <v>0</v>
      </c>
      <c r="AZ557" s="40">
        <f ca="1">IFERROR(__xludf.DUMMYFUNCTION("""COMPUTED_VALUE"""),1)</f>
        <v>1</v>
      </c>
      <c r="BA557" s="40">
        <f ca="1">IFERROR(__xludf.DUMMYFUNCTION("""COMPUTED_VALUE"""),0)</f>
        <v>0</v>
      </c>
      <c r="BB557" s="40">
        <f ca="1">IFERROR(__xludf.DUMMYFUNCTION("""COMPUTED_VALUE"""),0)</f>
        <v>0</v>
      </c>
      <c r="BC557" s="40">
        <f ca="1">IFERROR(__xludf.DUMMYFUNCTION("""COMPUTED_VALUE"""),1)</f>
        <v>1</v>
      </c>
      <c r="BD557" s="141">
        <f ca="1">IFERROR(__xludf.DUMMYFUNCTION("""COMPUTED_VALUE"""),44301)</f>
        <v>44301</v>
      </c>
      <c r="BE557" s="141">
        <f ca="1">IFERROR(__xludf.DUMMYFUNCTION("""COMPUTED_VALUE"""),44575)</f>
        <v>44575</v>
      </c>
      <c r="BF557" s="141">
        <f ca="1">IFERROR(__xludf.DUMMYFUNCTION("""COMPUTED_VALUE"""),44756)</f>
        <v>44756</v>
      </c>
      <c r="BG557" s="141">
        <f ca="1">IFERROR(__xludf.DUMMYFUNCTION("""COMPUTED_VALUE"""),45305)</f>
        <v>45305</v>
      </c>
      <c r="BH557" s="40" t="str">
        <f ca="1">IFERROR(__xludf.DUMMYFUNCTION("""COMPUTED_VALUE"""),"FICHA EN TIEMPO-18 MESES")</f>
        <v>FICHA EN TIEMPO-18 MESES</v>
      </c>
      <c r="BI557" s="40" t="str">
        <f ca="1">IFERROR(__xludf.DUMMYFUNCTION("""COMPUTED_VALUE"""),"Terminada por fecha")</f>
        <v>Terminada por fecha</v>
      </c>
      <c r="BJ557" s="40" t="str">
        <f ca="1">IFERROR(__xludf.DUMMYFUNCTION("""COMPUTED_VALUE"""),"Yamboro")</f>
        <v>Yamboro</v>
      </c>
      <c r="BK557" s="40"/>
      <c r="BL557" s="40"/>
    </row>
    <row r="558" spans="1:64" ht="13">
      <c r="A558" s="40"/>
      <c r="B558" s="40" t="str">
        <f ca="1">IFERROR(__xludf.DUMMYFUNCTION("""COMPUTED_VALUE"""),"FORMACIÓN 18/10/2022")</f>
        <v>FORMACIÓN 18/10/2022</v>
      </c>
      <c r="C558" s="40" t="str">
        <f ca="1">IFERROR(__xludf.DUMMYFUNCTION("""COMPUTED_VALUE"""),"HERNANDO PEÑA ZUÑIGA
")</f>
        <v xml:space="preserve">HERNANDO PEÑA ZUÑIGA
</v>
      </c>
      <c r="D558" s="40" t="str">
        <f ca="1">IFERROR(__xludf.DUMMYFUNCTION("""COMPUTED_VALUE"""),"CC")</f>
        <v>CC</v>
      </c>
      <c r="E558" s="40">
        <f ca="1">IFERROR(__xludf.DUMMYFUNCTION("""COMPUTED_VALUE"""),26428939)</f>
        <v>26428939</v>
      </c>
      <c r="F558" s="40">
        <f ca="1">IFERROR(__xludf.DUMMYFUNCTION("""COMPUTED_VALUE"""),2280135)</f>
        <v>2280135</v>
      </c>
      <c r="G558" s="40" t="str">
        <f ca="1">IFERROR(__xludf.DUMMYFUNCTION("""COMPUTED_VALUE"""),"TÉCNICO")</f>
        <v>TÉCNICO</v>
      </c>
      <c r="H558" s="40" t="str">
        <f ca="1">IFERROR(__xludf.DUMMYFUNCTION("""COMPUTED_VALUE"""),"SERVICIOS DE BARISMO")</f>
        <v>SERVICIOS DE BARISMO</v>
      </c>
      <c r="I558" s="40"/>
      <c r="J558" s="40"/>
      <c r="K558" s="40"/>
      <c r="L558" s="40" t="str">
        <f ca="1">IFERROR(__xludf.DUMMYFUNCTION("""COMPUTED_VALUE"""),"NO HA INICIADO ETAPA PRODUCTIVA")</f>
        <v>NO HA INICIADO ETAPA PRODUCTIVA</v>
      </c>
      <c r="M558" s="40"/>
      <c r="N558" s="40"/>
      <c r="O558" s="40"/>
      <c r="P558" s="40"/>
      <c r="Q558" s="40"/>
      <c r="R558" s="140"/>
      <c r="S558" s="1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t="str">
        <f ca="1">IFERROR(__xludf.DUMMYFUNCTION("""COMPUTED_VALUE"""),"Procede_E_P")</f>
        <v>Procede_E_P</v>
      </c>
      <c r="AV558" s="40" t="str">
        <f ca="1">IFERROR(__xludf.DUMMYFUNCTION("""COMPUTED_VALUE"""),"EN FORMACION")</f>
        <v>EN FORMACION</v>
      </c>
      <c r="AW558" s="40" t="str">
        <f ca="1">IFERROR(__xludf.DUMMYFUNCTION("""COMPUTED_VALUE"""),"TURISMO")</f>
        <v>TURISMO</v>
      </c>
      <c r="AX558" s="141">
        <f ca="1">IFERROR(__xludf.DUMMYFUNCTION("""COMPUTED_VALUE"""),44839)</f>
        <v>44839</v>
      </c>
      <c r="AY558" s="40">
        <f ca="1">IFERROR(__xludf.DUMMYFUNCTION("""COMPUTED_VALUE"""),0)</f>
        <v>0</v>
      </c>
      <c r="AZ558" s="40">
        <f ca="1">IFERROR(__xludf.DUMMYFUNCTION("""COMPUTED_VALUE"""),1)</f>
        <v>1</v>
      </c>
      <c r="BA558" s="40">
        <f ca="1">IFERROR(__xludf.DUMMYFUNCTION("""COMPUTED_VALUE"""),0)</f>
        <v>0</v>
      </c>
      <c r="BB558" s="40">
        <f ca="1">IFERROR(__xludf.DUMMYFUNCTION("""COMPUTED_VALUE"""),0)</f>
        <v>0</v>
      </c>
      <c r="BC558" s="40">
        <f ca="1">IFERROR(__xludf.DUMMYFUNCTION("""COMPUTED_VALUE"""),1)</f>
        <v>1</v>
      </c>
      <c r="BD558" s="141">
        <f ca="1">IFERROR(__xludf.DUMMYFUNCTION("""COMPUTED_VALUE"""),44301)</f>
        <v>44301</v>
      </c>
      <c r="BE558" s="141">
        <f ca="1">IFERROR(__xludf.DUMMYFUNCTION("""COMPUTED_VALUE"""),44575)</f>
        <v>44575</v>
      </c>
      <c r="BF558" s="141">
        <f ca="1">IFERROR(__xludf.DUMMYFUNCTION("""COMPUTED_VALUE"""),44756)</f>
        <v>44756</v>
      </c>
      <c r="BG558" s="141">
        <f ca="1">IFERROR(__xludf.DUMMYFUNCTION("""COMPUTED_VALUE"""),45305)</f>
        <v>45305</v>
      </c>
      <c r="BH558" s="40" t="str">
        <f ca="1">IFERROR(__xludf.DUMMYFUNCTION("""COMPUTED_VALUE"""),"FICHA EN TIEMPO-18 MESES")</f>
        <v>FICHA EN TIEMPO-18 MESES</v>
      </c>
      <c r="BI558" s="40" t="str">
        <f ca="1">IFERROR(__xludf.DUMMYFUNCTION("""COMPUTED_VALUE"""),"Terminada por fecha")</f>
        <v>Terminada por fecha</v>
      </c>
      <c r="BJ558" s="40" t="str">
        <f ca="1">IFERROR(__xludf.DUMMYFUNCTION("""COMPUTED_VALUE"""),"Yamboro")</f>
        <v>Yamboro</v>
      </c>
      <c r="BK558" s="40"/>
      <c r="BL558" s="40"/>
    </row>
    <row r="559" spans="1:64" ht="13">
      <c r="A559" s="40"/>
      <c r="B559" s="40" t="str">
        <f ca="1">IFERROR(__xludf.DUMMYFUNCTION("""COMPUTED_VALUE"""),"FORMACIÓN 18/10/2022")</f>
        <v>FORMACIÓN 18/10/2022</v>
      </c>
      <c r="C559" s="40" t="str">
        <f ca="1">IFERROR(__xludf.DUMMYFUNCTION("""COMPUTED_VALUE"""),"JUAN CARLOS CLAROS MOLINA
")</f>
        <v xml:space="preserve">JUAN CARLOS CLAROS MOLINA
</v>
      </c>
      <c r="D559" s="40" t="str">
        <f ca="1">IFERROR(__xludf.DUMMYFUNCTION("""COMPUTED_VALUE"""),"CC")</f>
        <v>CC</v>
      </c>
      <c r="E559" s="40">
        <f ca="1">IFERROR(__xludf.DUMMYFUNCTION("""COMPUTED_VALUE"""),26428939)</f>
        <v>26428939</v>
      </c>
      <c r="F559" s="40">
        <f ca="1">IFERROR(__xludf.DUMMYFUNCTION("""COMPUTED_VALUE"""),2280135)</f>
        <v>2280135</v>
      </c>
      <c r="G559" s="40" t="str">
        <f ca="1">IFERROR(__xludf.DUMMYFUNCTION("""COMPUTED_VALUE"""),"TÉCNICO")</f>
        <v>TÉCNICO</v>
      </c>
      <c r="H559" s="40" t="str">
        <f ca="1">IFERROR(__xludf.DUMMYFUNCTION("""COMPUTED_VALUE"""),"SERVICIOS DE BARISMO")</f>
        <v>SERVICIOS DE BARISMO</v>
      </c>
      <c r="I559" s="40"/>
      <c r="J559" s="40"/>
      <c r="K559" s="40"/>
      <c r="L559" s="40" t="str">
        <f ca="1">IFERROR(__xludf.DUMMYFUNCTION("""COMPUTED_VALUE"""),"NO HA INICIADO ETAPA PRODUCTIVA")</f>
        <v>NO HA INICIADO ETAPA PRODUCTIVA</v>
      </c>
      <c r="M559" s="40"/>
      <c r="N559" s="40"/>
      <c r="O559" s="40"/>
      <c r="P559" s="40"/>
      <c r="Q559" s="40"/>
      <c r="R559" s="140"/>
      <c r="S559" s="1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t="str">
        <f ca="1">IFERROR(__xludf.DUMMYFUNCTION("""COMPUTED_VALUE"""),"NO_CUMPLE")</f>
        <v>NO_CUMPLE</v>
      </c>
      <c r="AV559" s="40" t="str">
        <f ca="1">IFERROR(__xludf.DUMMYFUNCTION("""COMPUTED_VALUE"""),"EN FORMACION")</f>
        <v>EN FORMACION</v>
      </c>
      <c r="AW559" s="40" t="str">
        <f ca="1">IFERROR(__xludf.DUMMYFUNCTION("""COMPUTED_VALUE"""),"TURISMO")</f>
        <v>TURISMO</v>
      </c>
      <c r="AX559" s="141">
        <f ca="1">IFERROR(__xludf.DUMMYFUNCTION("""COMPUTED_VALUE"""),44839)</f>
        <v>44839</v>
      </c>
      <c r="AY559" s="40">
        <f ca="1">IFERROR(__xludf.DUMMYFUNCTION("""COMPUTED_VALUE"""),21)</f>
        <v>21</v>
      </c>
      <c r="AZ559" s="40">
        <f ca="1">IFERROR(__xludf.DUMMYFUNCTION("""COMPUTED_VALUE"""),1)</f>
        <v>1</v>
      </c>
      <c r="BA559" s="40">
        <f ca="1">IFERROR(__xludf.DUMMYFUNCTION("""COMPUTED_VALUE"""),6)</f>
        <v>6</v>
      </c>
      <c r="BB559" s="40">
        <f ca="1">IFERROR(__xludf.DUMMYFUNCTION("""COMPUTED_VALUE"""),11)</f>
        <v>11</v>
      </c>
      <c r="BC559" s="40">
        <f ca="1">IFERROR(__xludf.DUMMYFUNCTION("""COMPUTED_VALUE"""),39)</f>
        <v>39</v>
      </c>
      <c r="BD559" s="141">
        <f ca="1">IFERROR(__xludf.DUMMYFUNCTION("""COMPUTED_VALUE"""),44301)</f>
        <v>44301</v>
      </c>
      <c r="BE559" s="141">
        <f ca="1">IFERROR(__xludf.DUMMYFUNCTION("""COMPUTED_VALUE"""),44575)</f>
        <v>44575</v>
      </c>
      <c r="BF559" s="141">
        <f ca="1">IFERROR(__xludf.DUMMYFUNCTION("""COMPUTED_VALUE"""),44756)</f>
        <v>44756</v>
      </c>
      <c r="BG559" s="141">
        <f ca="1">IFERROR(__xludf.DUMMYFUNCTION("""COMPUTED_VALUE"""),45305)</f>
        <v>45305</v>
      </c>
      <c r="BH559" s="40" t="str">
        <f ca="1">IFERROR(__xludf.DUMMYFUNCTION("""COMPUTED_VALUE"""),"FICHA EN TIEMPO-18 MESES")</f>
        <v>FICHA EN TIEMPO-18 MESES</v>
      </c>
      <c r="BI559" s="40" t="str">
        <f ca="1">IFERROR(__xludf.DUMMYFUNCTION("""COMPUTED_VALUE"""),"Terminada por fecha")</f>
        <v>Terminada por fecha</v>
      </c>
      <c r="BJ559" s="40" t="str">
        <f ca="1">IFERROR(__xludf.DUMMYFUNCTION("""COMPUTED_VALUE"""),"Yamboro")</f>
        <v>Yamboro</v>
      </c>
      <c r="BK559" s="40"/>
      <c r="BL559" s="40"/>
    </row>
    <row r="560" spans="1:64" ht="13">
      <c r="A560" s="40"/>
      <c r="B560" s="40" t="str">
        <f ca="1">IFERROR(__xludf.DUMMYFUNCTION("""COMPUTED_VALUE"""),"FORMACIÓN 18/10/2022")</f>
        <v>FORMACIÓN 18/10/2022</v>
      </c>
      <c r="C560" s="40" t="str">
        <f ca="1">IFERROR(__xludf.DUMMYFUNCTION("""COMPUTED_VALUE"""),"HUMBERTO ARIAS REYES
")</f>
        <v xml:space="preserve">HUMBERTO ARIAS REYES
</v>
      </c>
      <c r="D560" s="40" t="str">
        <f ca="1">IFERROR(__xludf.DUMMYFUNCTION("""COMPUTED_VALUE"""),"CC")</f>
        <v>CC</v>
      </c>
      <c r="E560" s="40">
        <f ca="1">IFERROR(__xludf.DUMMYFUNCTION("""COMPUTED_VALUE"""),26428939)</f>
        <v>26428939</v>
      </c>
      <c r="F560" s="40">
        <f ca="1">IFERROR(__xludf.DUMMYFUNCTION("""COMPUTED_VALUE"""),2280135)</f>
        <v>2280135</v>
      </c>
      <c r="G560" s="40" t="str">
        <f ca="1">IFERROR(__xludf.DUMMYFUNCTION("""COMPUTED_VALUE"""),"TÉCNICO")</f>
        <v>TÉCNICO</v>
      </c>
      <c r="H560" s="40" t="str">
        <f ca="1">IFERROR(__xludf.DUMMYFUNCTION("""COMPUTED_VALUE"""),"SERVICIOS DE BARISMO")</f>
        <v>SERVICIOS DE BARISMO</v>
      </c>
      <c r="I560" s="40"/>
      <c r="J560" s="40"/>
      <c r="K560" s="40"/>
      <c r="L560" s="40" t="str">
        <f ca="1">IFERROR(__xludf.DUMMYFUNCTION("""COMPUTED_VALUE"""),"NO HA INICIADO ETAPA PRODUCTIVA")</f>
        <v>NO HA INICIADO ETAPA PRODUCTIVA</v>
      </c>
      <c r="M560" s="40"/>
      <c r="N560" s="40"/>
      <c r="O560" s="40"/>
      <c r="P560" s="40"/>
      <c r="Q560" s="40"/>
      <c r="R560" s="140"/>
      <c r="S560" s="1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t="str">
        <f ca="1">IFERROR(__xludf.DUMMYFUNCTION("""COMPUTED_VALUE"""),"Procede_E_P")</f>
        <v>Procede_E_P</v>
      </c>
      <c r="AV560" s="40" t="str">
        <f ca="1">IFERROR(__xludf.DUMMYFUNCTION("""COMPUTED_VALUE"""),"EN FORMACION")</f>
        <v>EN FORMACION</v>
      </c>
      <c r="AW560" s="40" t="str">
        <f ca="1">IFERROR(__xludf.DUMMYFUNCTION("""COMPUTED_VALUE"""),"TURISMO")</f>
        <v>TURISMO</v>
      </c>
      <c r="AX560" s="141">
        <f ca="1">IFERROR(__xludf.DUMMYFUNCTION("""COMPUTED_VALUE"""),44839)</f>
        <v>44839</v>
      </c>
      <c r="AY560" s="40">
        <f ca="1">IFERROR(__xludf.DUMMYFUNCTION("""COMPUTED_VALUE"""),0)</f>
        <v>0</v>
      </c>
      <c r="AZ560" s="40">
        <f ca="1">IFERROR(__xludf.DUMMYFUNCTION("""COMPUTED_VALUE"""),1)</f>
        <v>1</v>
      </c>
      <c r="BA560" s="40">
        <f ca="1">IFERROR(__xludf.DUMMYFUNCTION("""COMPUTED_VALUE"""),0)</f>
        <v>0</v>
      </c>
      <c r="BB560" s="40">
        <f ca="1">IFERROR(__xludf.DUMMYFUNCTION("""COMPUTED_VALUE"""),0)</f>
        <v>0</v>
      </c>
      <c r="BC560" s="40">
        <f ca="1">IFERROR(__xludf.DUMMYFUNCTION("""COMPUTED_VALUE"""),1)</f>
        <v>1</v>
      </c>
      <c r="BD560" s="141">
        <f ca="1">IFERROR(__xludf.DUMMYFUNCTION("""COMPUTED_VALUE"""),44301)</f>
        <v>44301</v>
      </c>
      <c r="BE560" s="141">
        <f ca="1">IFERROR(__xludf.DUMMYFUNCTION("""COMPUTED_VALUE"""),44575)</f>
        <v>44575</v>
      </c>
      <c r="BF560" s="141">
        <f ca="1">IFERROR(__xludf.DUMMYFUNCTION("""COMPUTED_VALUE"""),44756)</f>
        <v>44756</v>
      </c>
      <c r="BG560" s="141">
        <f ca="1">IFERROR(__xludf.DUMMYFUNCTION("""COMPUTED_VALUE"""),45305)</f>
        <v>45305</v>
      </c>
      <c r="BH560" s="40" t="str">
        <f ca="1">IFERROR(__xludf.DUMMYFUNCTION("""COMPUTED_VALUE"""),"FICHA EN TIEMPO-18 MESES")</f>
        <v>FICHA EN TIEMPO-18 MESES</v>
      </c>
      <c r="BI560" s="40" t="str">
        <f ca="1">IFERROR(__xludf.DUMMYFUNCTION("""COMPUTED_VALUE"""),"Terminada por fecha")</f>
        <v>Terminada por fecha</v>
      </c>
      <c r="BJ560" s="40" t="str">
        <f ca="1">IFERROR(__xludf.DUMMYFUNCTION("""COMPUTED_VALUE"""),"Yamboro")</f>
        <v>Yamboro</v>
      </c>
      <c r="BK560" s="40"/>
      <c r="BL560" s="40"/>
    </row>
    <row r="561" spans="1:64" ht="13">
      <c r="A561" s="40"/>
      <c r="B561" s="40" t="str">
        <f ca="1">IFERROR(__xludf.DUMMYFUNCTION("""COMPUTED_VALUE"""),"FORMACIÓN 18/10/2022")</f>
        <v>FORMACIÓN 18/10/2022</v>
      </c>
      <c r="C561" s="40" t="str">
        <f ca="1">IFERROR(__xludf.DUMMYFUNCTION("""COMPUTED_VALUE"""),"YESSICA ANDREA GAVIRIA PERDOMO
")</f>
        <v xml:space="preserve">YESSICA ANDREA GAVIRIA PERDOMO
</v>
      </c>
      <c r="D561" s="40" t="str">
        <f ca="1">IFERROR(__xludf.DUMMYFUNCTION("""COMPUTED_VALUE"""),"CC")</f>
        <v>CC</v>
      </c>
      <c r="E561" s="40">
        <f ca="1">IFERROR(__xludf.DUMMYFUNCTION("""COMPUTED_VALUE"""),26428939)</f>
        <v>26428939</v>
      </c>
      <c r="F561" s="40">
        <f ca="1">IFERROR(__xludf.DUMMYFUNCTION("""COMPUTED_VALUE"""),2280135)</f>
        <v>2280135</v>
      </c>
      <c r="G561" s="40" t="str">
        <f ca="1">IFERROR(__xludf.DUMMYFUNCTION("""COMPUTED_VALUE"""),"TÉCNICO")</f>
        <v>TÉCNICO</v>
      </c>
      <c r="H561" s="40" t="str">
        <f ca="1">IFERROR(__xludf.DUMMYFUNCTION("""COMPUTED_VALUE"""),"SERVICIOS DE BARISMO")</f>
        <v>SERVICIOS DE BARISMO</v>
      </c>
      <c r="I561" s="40"/>
      <c r="J561" s="40"/>
      <c r="K561" s="40"/>
      <c r="L561" s="40" t="str">
        <f ca="1">IFERROR(__xludf.DUMMYFUNCTION("""COMPUTED_VALUE"""),"PASANTÍAS")</f>
        <v>PASANTÍAS</v>
      </c>
      <c r="M561" s="40" t="str">
        <f ca="1">IFERROR(__xludf.DUMMYFUNCTION("""COMPUTED_VALUE"""),"LE PETIT COFEE")</f>
        <v>LE PETIT COFEE</v>
      </c>
      <c r="N561" s="40" t="str">
        <f ca="1">IFERROR(__xludf.DUMMYFUNCTION("""COMPUTED_VALUE"""),"PITALITO")</f>
        <v>PITALITO</v>
      </c>
      <c r="O561" s="40">
        <f ca="1">IFERROR(__xludf.DUMMYFUNCTION("""COMPUTED_VALUE"""),3132742040)</f>
        <v>3132742040</v>
      </c>
      <c r="P561" s="40"/>
      <c r="Q561" s="40" t="str">
        <f ca="1">IFERROR(__xludf.DUMMYFUNCTION("""COMPUTED_VALUE"""),"jhorajas@gmail.com")</f>
        <v>jhorajas@gmail.com</v>
      </c>
      <c r="R561" s="140">
        <f ca="1">IFERROR(__xludf.DUMMYFUNCTION("""COMPUTED_VALUE"""),44805)</f>
        <v>44805</v>
      </c>
      <c r="S561" s="140">
        <f ca="1">IFERROR(__xludf.DUMMYFUNCTION("""COMPUTED_VALUE"""),44985)</f>
        <v>44985</v>
      </c>
      <c r="T561" s="40"/>
      <c r="U561" s="40"/>
      <c r="V561" s="40"/>
      <c r="W561" s="40"/>
      <c r="X561" s="40"/>
      <c r="Y561" s="40"/>
      <c r="Z561" s="40"/>
      <c r="AA561" s="40"/>
      <c r="AB561" s="40" t="str">
        <f ca="1">IFERROR(__xludf.DUMMYFUNCTION("""COMPUTED_VALUE"""),"Diana Ávila- Asignada ")</f>
        <v xml:space="preserve">Diana Ávila- Asignada </v>
      </c>
      <c r="AC561" s="40" t="str">
        <f ca="1">IFERROR(__xludf.DUMMYFUNCTION("""COMPUTED_VALUE"""),"NO tiene seguimiento 05/09/2022")</f>
        <v>NO tiene seguimiento 05/09/2022</v>
      </c>
      <c r="AD561" s="40"/>
      <c r="AE561" s="40"/>
      <c r="AF561" s="40"/>
      <c r="AG561" s="40"/>
      <c r="AH561" s="40"/>
      <c r="AI561" s="40"/>
      <c r="AJ561" s="40"/>
      <c r="AK561" s="40"/>
      <c r="AL561" s="40"/>
      <c r="AM561" s="40"/>
      <c r="AN561" s="40"/>
      <c r="AO561" s="40"/>
      <c r="AP561" s="40"/>
      <c r="AQ561" s="40"/>
      <c r="AR561" s="40"/>
      <c r="AS561" s="40"/>
      <c r="AT561" s="40"/>
      <c r="AU561" s="40" t="str">
        <f ca="1">IFERROR(__xludf.DUMMYFUNCTION("""COMPUTED_VALUE"""),"Procede_E_P")</f>
        <v>Procede_E_P</v>
      </c>
      <c r="AV561" s="40" t="str">
        <f ca="1">IFERROR(__xludf.DUMMYFUNCTION("""COMPUTED_VALUE"""),"EN FORMACION")</f>
        <v>EN FORMACION</v>
      </c>
      <c r="AW561" s="40" t="str">
        <f ca="1">IFERROR(__xludf.DUMMYFUNCTION("""COMPUTED_VALUE"""),"TURISMO")</f>
        <v>TURISMO</v>
      </c>
      <c r="AX561" s="141">
        <f ca="1">IFERROR(__xludf.DUMMYFUNCTION("""COMPUTED_VALUE"""),44839)</f>
        <v>44839</v>
      </c>
      <c r="AY561" s="40">
        <f ca="1">IFERROR(__xludf.DUMMYFUNCTION("""COMPUTED_VALUE"""),0)</f>
        <v>0</v>
      </c>
      <c r="AZ561" s="40">
        <f ca="1">IFERROR(__xludf.DUMMYFUNCTION("""COMPUTED_VALUE"""),1)</f>
        <v>1</v>
      </c>
      <c r="BA561" s="40">
        <f ca="1">IFERROR(__xludf.DUMMYFUNCTION("""COMPUTED_VALUE"""),0)</f>
        <v>0</v>
      </c>
      <c r="BB561" s="40">
        <f ca="1">IFERROR(__xludf.DUMMYFUNCTION("""COMPUTED_VALUE"""),0)</f>
        <v>0</v>
      </c>
      <c r="BC561" s="40">
        <f ca="1">IFERROR(__xludf.DUMMYFUNCTION("""COMPUTED_VALUE"""),1)</f>
        <v>1</v>
      </c>
      <c r="BD561" s="141">
        <f ca="1">IFERROR(__xludf.DUMMYFUNCTION("""COMPUTED_VALUE"""),44301)</f>
        <v>44301</v>
      </c>
      <c r="BE561" s="141">
        <f ca="1">IFERROR(__xludf.DUMMYFUNCTION("""COMPUTED_VALUE"""),44575)</f>
        <v>44575</v>
      </c>
      <c r="BF561" s="141">
        <f ca="1">IFERROR(__xludf.DUMMYFUNCTION("""COMPUTED_VALUE"""),44756)</f>
        <v>44756</v>
      </c>
      <c r="BG561" s="141">
        <f ca="1">IFERROR(__xludf.DUMMYFUNCTION("""COMPUTED_VALUE"""),45305)</f>
        <v>45305</v>
      </c>
      <c r="BH561" s="40" t="str">
        <f ca="1">IFERROR(__xludf.DUMMYFUNCTION("""COMPUTED_VALUE"""),"FICHA EN TIEMPO-18 MESES")</f>
        <v>FICHA EN TIEMPO-18 MESES</v>
      </c>
      <c r="BI561" s="40" t="str">
        <f ca="1">IFERROR(__xludf.DUMMYFUNCTION("""COMPUTED_VALUE"""),"Terminada por fecha")</f>
        <v>Terminada por fecha</v>
      </c>
      <c r="BJ561" s="40" t="str">
        <f ca="1">IFERROR(__xludf.DUMMYFUNCTION("""COMPUTED_VALUE"""),"Yamboro")</f>
        <v>Yamboro</v>
      </c>
      <c r="BK561" s="40"/>
      <c r="BL561" s="40"/>
    </row>
    <row r="562" spans="1:64" ht="13">
      <c r="A562" s="40"/>
      <c r="B562" s="40" t="str">
        <f ca="1">IFERROR(__xludf.DUMMYFUNCTION("""COMPUTED_VALUE"""),"FORMACIÓN 18/10/2022")</f>
        <v>FORMACIÓN 18/10/2022</v>
      </c>
      <c r="C562" s="40" t="str">
        <f ca="1">IFERROR(__xludf.DUMMYFUNCTION("""COMPUTED_VALUE"""),"ISAIAS LEON CORDOBA
")</f>
        <v xml:space="preserve">ISAIAS LEON CORDOBA
</v>
      </c>
      <c r="D562" s="40" t="str">
        <f ca="1">IFERROR(__xludf.DUMMYFUNCTION("""COMPUTED_VALUE"""),"CC")</f>
        <v>CC</v>
      </c>
      <c r="E562" s="40">
        <f ca="1">IFERROR(__xludf.DUMMYFUNCTION("""COMPUTED_VALUE"""),26428939)</f>
        <v>26428939</v>
      </c>
      <c r="F562" s="40">
        <f ca="1">IFERROR(__xludf.DUMMYFUNCTION("""COMPUTED_VALUE"""),2280135)</f>
        <v>2280135</v>
      </c>
      <c r="G562" s="40" t="str">
        <f ca="1">IFERROR(__xludf.DUMMYFUNCTION("""COMPUTED_VALUE"""),"TÉCNICO")</f>
        <v>TÉCNICO</v>
      </c>
      <c r="H562" s="40" t="str">
        <f ca="1">IFERROR(__xludf.DUMMYFUNCTION("""COMPUTED_VALUE"""),"SERVICIOS DE BARISMO")</f>
        <v>SERVICIOS DE BARISMO</v>
      </c>
      <c r="I562" s="40"/>
      <c r="J562" s="40"/>
      <c r="K562" s="40"/>
      <c r="L562" s="40" t="str">
        <f ca="1">IFERROR(__xludf.DUMMYFUNCTION("""COMPUTED_VALUE"""),"NO HA INICIADO ETAPA PRODUCTIVA")</f>
        <v>NO HA INICIADO ETAPA PRODUCTIVA</v>
      </c>
      <c r="M562" s="40"/>
      <c r="N562" s="40"/>
      <c r="O562" s="40"/>
      <c r="P562" s="40"/>
      <c r="Q562" s="40"/>
      <c r="R562" s="140"/>
      <c r="S562" s="1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t="str">
        <f ca="1">IFERROR(__xludf.DUMMYFUNCTION("""COMPUTED_VALUE"""),"Procede_E_P")</f>
        <v>Procede_E_P</v>
      </c>
      <c r="AV562" s="40" t="str">
        <f ca="1">IFERROR(__xludf.DUMMYFUNCTION("""COMPUTED_VALUE"""),"EN FORMACION")</f>
        <v>EN FORMACION</v>
      </c>
      <c r="AW562" s="40" t="str">
        <f ca="1">IFERROR(__xludf.DUMMYFUNCTION("""COMPUTED_VALUE"""),"TURISMO")</f>
        <v>TURISMO</v>
      </c>
      <c r="AX562" s="141">
        <f ca="1">IFERROR(__xludf.DUMMYFUNCTION("""COMPUTED_VALUE"""),44839)</f>
        <v>44839</v>
      </c>
      <c r="AY562" s="40">
        <f ca="1">IFERROR(__xludf.DUMMYFUNCTION("""COMPUTED_VALUE"""),0)</f>
        <v>0</v>
      </c>
      <c r="AZ562" s="40">
        <f ca="1">IFERROR(__xludf.DUMMYFUNCTION("""COMPUTED_VALUE"""),1)</f>
        <v>1</v>
      </c>
      <c r="BA562" s="40">
        <f ca="1">IFERROR(__xludf.DUMMYFUNCTION("""COMPUTED_VALUE"""),0)</f>
        <v>0</v>
      </c>
      <c r="BB562" s="40">
        <f ca="1">IFERROR(__xludf.DUMMYFUNCTION("""COMPUTED_VALUE"""),0)</f>
        <v>0</v>
      </c>
      <c r="BC562" s="40">
        <f ca="1">IFERROR(__xludf.DUMMYFUNCTION("""COMPUTED_VALUE"""),1)</f>
        <v>1</v>
      </c>
      <c r="BD562" s="141">
        <f ca="1">IFERROR(__xludf.DUMMYFUNCTION("""COMPUTED_VALUE"""),44301)</f>
        <v>44301</v>
      </c>
      <c r="BE562" s="141">
        <f ca="1">IFERROR(__xludf.DUMMYFUNCTION("""COMPUTED_VALUE"""),44575)</f>
        <v>44575</v>
      </c>
      <c r="BF562" s="141">
        <f ca="1">IFERROR(__xludf.DUMMYFUNCTION("""COMPUTED_VALUE"""),44756)</f>
        <v>44756</v>
      </c>
      <c r="BG562" s="141">
        <f ca="1">IFERROR(__xludf.DUMMYFUNCTION("""COMPUTED_VALUE"""),45305)</f>
        <v>45305</v>
      </c>
      <c r="BH562" s="40" t="str">
        <f ca="1">IFERROR(__xludf.DUMMYFUNCTION("""COMPUTED_VALUE"""),"FICHA EN TIEMPO-18 MESES")</f>
        <v>FICHA EN TIEMPO-18 MESES</v>
      </c>
      <c r="BI562" s="40" t="str">
        <f ca="1">IFERROR(__xludf.DUMMYFUNCTION("""COMPUTED_VALUE"""),"Terminada por fecha")</f>
        <v>Terminada por fecha</v>
      </c>
      <c r="BJ562" s="40" t="str">
        <f ca="1">IFERROR(__xludf.DUMMYFUNCTION("""COMPUTED_VALUE"""),"Yamboro")</f>
        <v>Yamboro</v>
      </c>
      <c r="BK562" s="40"/>
      <c r="BL562" s="40"/>
    </row>
    <row r="563" spans="1:64" ht="13">
      <c r="A563" s="40"/>
      <c r="B563" s="40" t="str">
        <f ca="1">IFERROR(__xludf.DUMMYFUNCTION("""COMPUTED_VALUE"""),"FORMACIÓN 18/10/2022")</f>
        <v>FORMACIÓN 18/10/2022</v>
      </c>
      <c r="C563" s="40" t="str">
        <f ca="1">IFERROR(__xludf.DUMMYFUNCTION("""COMPUTED_VALUE"""),"LEIDY VANESSA CARVAJAL GARCIA
")</f>
        <v xml:space="preserve">LEIDY VANESSA CARVAJAL GARCIA
</v>
      </c>
      <c r="D563" s="40" t="str">
        <f ca="1">IFERROR(__xludf.DUMMYFUNCTION("""COMPUTED_VALUE"""),"CC")</f>
        <v>CC</v>
      </c>
      <c r="E563" s="40">
        <f ca="1">IFERROR(__xludf.DUMMYFUNCTION("""COMPUTED_VALUE"""),26428939)</f>
        <v>26428939</v>
      </c>
      <c r="F563" s="40">
        <f ca="1">IFERROR(__xludf.DUMMYFUNCTION("""COMPUTED_VALUE"""),2280135)</f>
        <v>2280135</v>
      </c>
      <c r="G563" s="40" t="str">
        <f ca="1">IFERROR(__xludf.DUMMYFUNCTION("""COMPUTED_VALUE"""),"TÉCNICO")</f>
        <v>TÉCNICO</v>
      </c>
      <c r="H563" s="40" t="str">
        <f ca="1">IFERROR(__xludf.DUMMYFUNCTION("""COMPUTED_VALUE"""),"SERVICIOS DE BARISMO")</f>
        <v>SERVICIOS DE BARISMO</v>
      </c>
      <c r="I563" s="40"/>
      <c r="J563" s="40"/>
      <c r="K563" s="40"/>
      <c r="L563" s="40" t="str">
        <f ca="1">IFERROR(__xludf.DUMMYFUNCTION("""COMPUTED_VALUE"""),"NO HA INICIADO ETAPA PRODUCTIVA")</f>
        <v>NO HA INICIADO ETAPA PRODUCTIVA</v>
      </c>
      <c r="M563" s="40"/>
      <c r="N563" s="40"/>
      <c r="O563" s="40"/>
      <c r="P563" s="40"/>
      <c r="Q563" s="40"/>
      <c r="R563" s="140"/>
      <c r="S563" s="1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t="str">
        <f ca="1">IFERROR(__xludf.DUMMYFUNCTION("""COMPUTED_VALUE"""),"Procede_E_P")</f>
        <v>Procede_E_P</v>
      </c>
      <c r="AV563" s="40" t="str">
        <f ca="1">IFERROR(__xludf.DUMMYFUNCTION("""COMPUTED_VALUE"""),"EN FORMACION")</f>
        <v>EN FORMACION</v>
      </c>
      <c r="AW563" s="40" t="str">
        <f ca="1">IFERROR(__xludf.DUMMYFUNCTION("""COMPUTED_VALUE"""),"TURISMO")</f>
        <v>TURISMO</v>
      </c>
      <c r="AX563" s="141">
        <f ca="1">IFERROR(__xludf.DUMMYFUNCTION("""COMPUTED_VALUE"""),44839)</f>
        <v>44839</v>
      </c>
      <c r="AY563" s="40">
        <f ca="1">IFERROR(__xludf.DUMMYFUNCTION("""COMPUTED_VALUE"""),0)</f>
        <v>0</v>
      </c>
      <c r="AZ563" s="40">
        <f ca="1">IFERROR(__xludf.DUMMYFUNCTION("""COMPUTED_VALUE"""),1)</f>
        <v>1</v>
      </c>
      <c r="BA563" s="40">
        <f ca="1">IFERROR(__xludf.DUMMYFUNCTION("""COMPUTED_VALUE"""),0)</f>
        <v>0</v>
      </c>
      <c r="BB563" s="40">
        <f ca="1">IFERROR(__xludf.DUMMYFUNCTION("""COMPUTED_VALUE"""),0)</f>
        <v>0</v>
      </c>
      <c r="BC563" s="40">
        <f ca="1">IFERROR(__xludf.DUMMYFUNCTION("""COMPUTED_VALUE"""),1)</f>
        <v>1</v>
      </c>
      <c r="BD563" s="141">
        <f ca="1">IFERROR(__xludf.DUMMYFUNCTION("""COMPUTED_VALUE"""),44301)</f>
        <v>44301</v>
      </c>
      <c r="BE563" s="141">
        <f ca="1">IFERROR(__xludf.DUMMYFUNCTION("""COMPUTED_VALUE"""),44575)</f>
        <v>44575</v>
      </c>
      <c r="BF563" s="141">
        <f ca="1">IFERROR(__xludf.DUMMYFUNCTION("""COMPUTED_VALUE"""),44756)</f>
        <v>44756</v>
      </c>
      <c r="BG563" s="141">
        <f ca="1">IFERROR(__xludf.DUMMYFUNCTION("""COMPUTED_VALUE"""),45305)</f>
        <v>45305</v>
      </c>
      <c r="BH563" s="40" t="str">
        <f ca="1">IFERROR(__xludf.DUMMYFUNCTION("""COMPUTED_VALUE"""),"FICHA EN TIEMPO-18 MESES")</f>
        <v>FICHA EN TIEMPO-18 MESES</v>
      </c>
      <c r="BI563" s="40" t="str">
        <f ca="1">IFERROR(__xludf.DUMMYFUNCTION("""COMPUTED_VALUE"""),"Terminada por fecha")</f>
        <v>Terminada por fecha</v>
      </c>
      <c r="BJ563" s="40" t="str">
        <f ca="1">IFERROR(__xludf.DUMMYFUNCTION("""COMPUTED_VALUE"""),"Yamboro")</f>
        <v>Yamboro</v>
      </c>
      <c r="BK563" s="40"/>
      <c r="BL563" s="40"/>
    </row>
    <row r="564" spans="1:64" ht="13">
      <c r="A564" s="40"/>
      <c r="B564" s="40" t="str">
        <f ca="1">IFERROR(__xludf.DUMMYFUNCTION("""COMPUTED_VALUE"""),"FORMACIÓN 18/10/2022")</f>
        <v>FORMACIÓN 18/10/2022</v>
      </c>
      <c r="C564" s="40" t="str">
        <f ca="1">IFERROR(__xludf.DUMMYFUNCTION("""COMPUTED_VALUE"""),"LISA MILDRETH GRUESO RENZA
")</f>
        <v xml:space="preserve">LISA MILDRETH GRUESO RENZA
</v>
      </c>
      <c r="D564" s="40" t="str">
        <f ca="1">IFERROR(__xludf.DUMMYFUNCTION("""COMPUTED_VALUE"""),"TI")</f>
        <v>TI</v>
      </c>
      <c r="E564" s="40">
        <f ca="1">IFERROR(__xludf.DUMMYFUNCTION("""COMPUTED_VALUE"""),26428939)</f>
        <v>26428939</v>
      </c>
      <c r="F564" s="40">
        <f ca="1">IFERROR(__xludf.DUMMYFUNCTION("""COMPUTED_VALUE"""),2280135)</f>
        <v>2280135</v>
      </c>
      <c r="G564" s="40" t="str">
        <f ca="1">IFERROR(__xludf.DUMMYFUNCTION("""COMPUTED_VALUE"""),"TÉCNICO")</f>
        <v>TÉCNICO</v>
      </c>
      <c r="H564" s="40" t="str">
        <f ca="1">IFERROR(__xludf.DUMMYFUNCTION("""COMPUTED_VALUE"""),"SERVICIOS DE BARISMO")</f>
        <v>SERVICIOS DE BARISMO</v>
      </c>
      <c r="I564" s="40"/>
      <c r="J564" s="40"/>
      <c r="K564" s="40"/>
      <c r="L564" s="40" t="str">
        <f ca="1">IFERROR(__xludf.DUMMYFUNCTION("""COMPUTED_VALUE"""),"PASANTÍAS")</f>
        <v>PASANTÍAS</v>
      </c>
      <c r="M564" s="40" t="str">
        <f ca="1">IFERROR(__xludf.DUMMYFUNCTION("""COMPUTED_VALUE"""),"GALLARDIA CAFE ESPECIAL ")</f>
        <v xml:space="preserve">GALLARDIA CAFE ESPECIAL </v>
      </c>
      <c r="N564" s="40" t="str">
        <f ca="1">IFERROR(__xludf.DUMMYFUNCTION("""COMPUTED_VALUE"""),"CARRERA 13 N° 2-06")</f>
        <v>CARRERA 13 N° 2-06</v>
      </c>
      <c r="O564" s="40">
        <f ca="1">IFERROR(__xludf.DUMMYFUNCTION("""COMPUTED_VALUE"""),313825858)</f>
        <v>313825858</v>
      </c>
      <c r="P564" s="40"/>
      <c r="Q564" s="40" t="str">
        <f ca="1">IFERROR(__xludf.DUMMYFUNCTION("""COMPUTED_VALUE"""),"mega-765@hotmail.com")</f>
        <v>mega-765@hotmail.com</v>
      </c>
      <c r="R564" s="140">
        <f ca="1">IFERROR(__xludf.DUMMYFUNCTION("""COMPUTED_VALUE"""),44770)</f>
        <v>44770</v>
      </c>
      <c r="S564" s="140">
        <f ca="1">IFERROR(__xludf.DUMMYFUNCTION("""COMPUTED_VALUE"""),44954)</f>
        <v>44954</v>
      </c>
      <c r="T564" s="40"/>
      <c r="U564" s="40"/>
      <c r="V564" s="40"/>
      <c r="W564" s="40"/>
      <c r="X564" s="40"/>
      <c r="Y564" s="40"/>
      <c r="Z564" s="40"/>
      <c r="AA564" s="40"/>
      <c r="AB564" s="40" t="str">
        <f ca="1">IFERROR(__xludf.DUMMYFUNCTION("""COMPUTED_VALUE"""),"Diana Ávila- Asignada ")</f>
        <v xml:space="preserve">Diana Ávila- Asignada </v>
      </c>
      <c r="AC564" s="40" t="str">
        <f ca="1">IFERROR(__xludf.DUMMYFUNCTION("""COMPUTED_VALUE"""),"NO tiene seguimiento 23/08/2022")</f>
        <v>NO tiene seguimiento 23/08/2022</v>
      </c>
      <c r="AD564" s="40"/>
      <c r="AE564" s="40"/>
      <c r="AF564" s="40"/>
      <c r="AG564" s="40"/>
      <c r="AH564" s="40"/>
      <c r="AI564" s="40"/>
      <c r="AJ564" s="40"/>
      <c r="AK564" s="40"/>
      <c r="AL564" s="40"/>
      <c r="AM564" s="40"/>
      <c r="AN564" s="40"/>
      <c r="AO564" s="40"/>
      <c r="AP564" s="40"/>
      <c r="AQ564" s="40"/>
      <c r="AR564" s="40"/>
      <c r="AS564" s="40"/>
      <c r="AT564" s="40"/>
      <c r="AU564" s="40" t="str">
        <f ca="1">IFERROR(__xludf.DUMMYFUNCTION("""COMPUTED_VALUE"""),"Procede_E_P")</f>
        <v>Procede_E_P</v>
      </c>
      <c r="AV564" s="40" t="str">
        <f ca="1">IFERROR(__xludf.DUMMYFUNCTION("""COMPUTED_VALUE"""),"EN FORMACION")</f>
        <v>EN FORMACION</v>
      </c>
      <c r="AW564" s="40" t="str">
        <f ca="1">IFERROR(__xludf.DUMMYFUNCTION("""COMPUTED_VALUE"""),"TURISMO")</f>
        <v>TURISMO</v>
      </c>
      <c r="AX564" s="141">
        <f ca="1">IFERROR(__xludf.DUMMYFUNCTION("""COMPUTED_VALUE"""),44839)</f>
        <v>44839</v>
      </c>
      <c r="AY564" s="40">
        <f ca="1">IFERROR(__xludf.DUMMYFUNCTION("""COMPUTED_VALUE"""),0)</f>
        <v>0</v>
      </c>
      <c r="AZ564" s="40">
        <f ca="1">IFERROR(__xludf.DUMMYFUNCTION("""COMPUTED_VALUE"""),1)</f>
        <v>1</v>
      </c>
      <c r="BA564" s="40">
        <f ca="1">IFERROR(__xludf.DUMMYFUNCTION("""COMPUTED_VALUE"""),0)</f>
        <v>0</v>
      </c>
      <c r="BB564" s="40">
        <f ca="1">IFERROR(__xludf.DUMMYFUNCTION("""COMPUTED_VALUE"""),0)</f>
        <v>0</v>
      </c>
      <c r="BC564" s="40">
        <f ca="1">IFERROR(__xludf.DUMMYFUNCTION("""COMPUTED_VALUE"""),1)</f>
        <v>1</v>
      </c>
      <c r="BD564" s="141">
        <f ca="1">IFERROR(__xludf.DUMMYFUNCTION("""COMPUTED_VALUE"""),44301)</f>
        <v>44301</v>
      </c>
      <c r="BE564" s="141">
        <f ca="1">IFERROR(__xludf.DUMMYFUNCTION("""COMPUTED_VALUE"""),44575)</f>
        <v>44575</v>
      </c>
      <c r="BF564" s="141">
        <f ca="1">IFERROR(__xludf.DUMMYFUNCTION("""COMPUTED_VALUE"""),44756)</f>
        <v>44756</v>
      </c>
      <c r="BG564" s="141">
        <f ca="1">IFERROR(__xludf.DUMMYFUNCTION("""COMPUTED_VALUE"""),45305)</f>
        <v>45305</v>
      </c>
      <c r="BH564" s="40" t="str">
        <f ca="1">IFERROR(__xludf.DUMMYFUNCTION("""COMPUTED_VALUE"""),"FICHA EN TIEMPO-18 MESES")</f>
        <v>FICHA EN TIEMPO-18 MESES</v>
      </c>
      <c r="BI564" s="40" t="str">
        <f ca="1">IFERROR(__xludf.DUMMYFUNCTION("""COMPUTED_VALUE"""),"Terminada por fecha")</f>
        <v>Terminada por fecha</v>
      </c>
      <c r="BJ564" s="40" t="str">
        <f ca="1">IFERROR(__xludf.DUMMYFUNCTION("""COMPUTED_VALUE"""),"Yamboro")</f>
        <v>Yamboro</v>
      </c>
      <c r="BK564" s="40"/>
      <c r="BL564" s="40"/>
    </row>
    <row r="565" spans="1:64" ht="13">
      <c r="A565" s="40"/>
      <c r="B565" s="40" t="str">
        <f ca="1">IFERROR(__xludf.DUMMYFUNCTION("""COMPUTED_VALUE"""),"FORMACIÓN 18/10/2022")</f>
        <v>FORMACIÓN 18/10/2022</v>
      </c>
      <c r="C565" s="40" t="str">
        <f ca="1">IFERROR(__xludf.DUMMYFUNCTION("""COMPUTED_VALUE"""),"LUZ ANGELA SAPUY VILLARRUEL
")</f>
        <v xml:space="preserve">LUZ ANGELA SAPUY VILLARRUEL
</v>
      </c>
      <c r="D565" s="40" t="str">
        <f ca="1">IFERROR(__xludf.DUMMYFUNCTION("""COMPUTED_VALUE"""),"CC")</f>
        <v>CC</v>
      </c>
      <c r="E565" s="40">
        <f ca="1">IFERROR(__xludf.DUMMYFUNCTION("""COMPUTED_VALUE"""),26428939)</f>
        <v>26428939</v>
      </c>
      <c r="F565" s="40">
        <f ca="1">IFERROR(__xludf.DUMMYFUNCTION("""COMPUTED_VALUE"""),2280135)</f>
        <v>2280135</v>
      </c>
      <c r="G565" s="40" t="str">
        <f ca="1">IFERROR(__xludf.DUMMYFUNCTION("""COMPUTED_VALUE"""),"TÉCNICO")</f>
        <v>TÉCNICO</v>
      </c>
      <c r="H565" s="40" t="str">
        <f ca="1">IFERROR(__xludf.DUMMYFUNCTION("""COMPUTED_VALUE"""),"SERVICIOS DE BARISMO")</f>
        <v>SERVICIOS DE BARISMO</v>
      </c>
      <c r="I565" s="40"/>
      <c r="J565" s="40"/>
      <c r="K565" s="40"/>
      <c r="L565" s="40" t="str">
        <f ca="1">IFERROR(__xludf.DUMMYFUNCTION("""COMPUTED_VALUE"""),"NO HA INICIADO ETAPA PRODUCTIVA")</f>
        <v>NO HA INICIADO ETAPA PRODUCTIVA</v>
      </c>
      <c r="M565" s="40"/>
      <c r="N565" s="40"/>
      <c r="O565" s="40"/>
      <c r="P565" s="40"/>
      <c r="Q565" s="40"/>
      <c r="R565" s="140"/>
      <c r="S565" s="1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t="str">
        <f ca="1">IFERROR(__xludf.DUMMYFUNCTION("""COMPUTED_VALUE"""),"NO_CUMPLE")</f>
        <v>NO_CUMPLE</v>
      </c>
      <c r="AV565" s="40" t="str">
        <f ca="1">IFERROR(__xludf.DUMMYFUNCTION("""COMPUTED_VALUE"""),"EN FORMACION")</f>
        <v>EN FORMACION</v>
      </c>
      <c r="AW565" s="40" t="str">
        <f ca="1">IFERROR(__xludf.DUMMYFUNCTION("""COMPUTED_VALUE"""),"TURISMO")</f>
        <v>TURISMO</v>
      </c>
      <c r="AX565" s="141">
        <f ca="1">IFERROR(__xludf.DUMMYFUNCTION("""COMPUTED_VALUE"""),44839)</f>
        <v>44839</v>
      </c>
      <c r="AY565" s="40">
        <f ca="1">IFERROR(__xludf.DUMMYFUNCTION("""COMPUTED_VALUE"""),29)</f>
        <v>29</v>
      </c>
      <c r="AZ565" s="40">
        <f ca="1">IFERROR(__xludf.DUMMYFUNCTION("""COMPUTED_VALUE"""),1)</f>
        <v>1</v>
      </c>
      <c r="BA565" s="40">
        <f ca="1">IFERROR(__xludf.DUMMYFUNCTION("""COMPUTED_VALUE"""),6)</f>
        <v>6</v>
      </c>
      <c r="BB565" s="40">
        <f ca="1">IFERROR(__xludf.DUMMYFUNCTION("""COMPUTED_VALUE"""),11)</f>
        <v>11</v>
      </c>
      <c r="BC565" s="40">
        <f ca="1">IFERROR(__xludf.DUMMYFUNCTION("""COMPUTED_VALUE"""),47)</f>
        <v>47</v>
      </c>
      <c r="BD565" s="141">
        <f ca="1">IFERROR(__xludf.DUMMYFUNCTION("""COMPUTED_VALUE"""),44301)</f>
        <v>44301</v>
      </c>
      <c r="BE565" s="141">
        <f ca="1">IFERROR(__xludf.DUMMYFUNCTION("""COMPUTED_VALUE"""),44575)</f>
        <v>44575</v>
      </c>
      <c r="BF565" s="141">
        <f ca="1">IFERROR(__xludf.DUMMYFUNCTION("""COMPUTED_VALUE"""),44756)</f>
        <v>44756</v>
      </c>
      <c r="BG565" s="141">
        <f ca="1">IFERROR(__xludf.DUMMYFUNCTION("""COMPUTED_VALUE"""),45305)</f>
        <v>45305</v>
      </c>
      <c r="BH565" s="40" t="str">
        <f ca="1">IFERROR(__xludf.DUMMYFUNCTION("""COMPUTED_VALUE"""),"FICHA EN TIEMPO-18 MESES")</f>
        <v>FICHA EN TIEMPO-18 MESES</v>
      </c>
      <c r="BI565" s="40" t="str">
        <f ca="1">IFERROR(__xludf.DUMMYFUNCTION("""COMPUTED_VALUE"""),"Terminada por fecha")</f>
        <v>Terminada por fecha</v>
      </c>
      <c r="BJ565" s="40" t="str">
        <f ca="1">IFERROR(__xludf.DUMMYFUNCTION("""COMPUTED_VALUE"""),"Yamboro")</f>
        <v>Yamboro</v>
      </c>
      <c r="BK565" s="40"/>
      <c r="BL565" s="40"/>
    </row>
    <row r="566" spans="1:64" ht="13">
      <c r="A566" s="40"/>
      <c r="B566" s="40" t="str">
        <f ca="1">IFERROR(__xludf.DUMMYFUNCTION("""COMPUTED_VALUE"""),"FORMACIÓN 18/10/2022")</f>
        <v>FORMACIÓN 18/10/2022</v>
      </c>
      <c r="C566" s="40" t="str">
        <f ca="1">IFERROR(__xludf.DUMMYFUNCTION("""COMPUTED_VALUE"""),"FLOR YISELA SANTOFIMIO DIAZ
")</f>
        <v xml:space="preserve">FLOR YISELA SANTOFIMIO DIAZ
</v>
      </c>
      <c r="D566" s="40" t="str">
        <f ca="1">IFERROR(__xludf.DUMMYFUNCTION("""COMPUTED_VALUE"""),"CC")</f>
        <v>CC</v>
      </c>
      <c r="E566" s="40">
        <f ca="1">IFERROR(__xludf.DUMMYFUNCTION("""COMPUTED_VALUE"""),26428939)</f>
        <v>26428939</v>
      </c>
      <c r="F566" s="40">
        <f ca="1">IFERROR(__xludf.DUMMYFUNCTION("""COMPUTED_VALUE"""),2280135)</f>
        <v>2280135</v>
      </c>
      <c r="G566" s="40" t="str">
        <f ca="1">IFERROR(__xludf.DUMMYFUNCTION("""COMPUTED_VALUE"""),"TÉCNICO")</f>
        <v>TÉCNICO</v>
      </c>
      <c r="H566" s="40" t="str">
        <f ca="1">IFERROR(__xludf.DUMMYFUNCTION("""COMPUTED_VALUE"""),"SERVICIOS DE BARISMO")</f>
        <v>SERVICIOS DE BARISMO</v>
      </c>
      <c r="I566" s="40"/>
      <c r="J566" s="40"/>
      <c r="K566" s="40"/>
      <c r="L566" s="40" t="str">
        <f ca="1">IFERROR(__xludf.DUMMYFUNCTION("""COMPUTED_VALUE"""),"PASANTÍAS")</f>
        <v>PASANTÍAS</v>
      </c>
      <c r="M566" s="40" t="str">
        <f ca="1">IFERROR(__xludf.DUMMYFUNCTION("""COMPUTED_VALUE"""),"LE PETIT COFEE")</f>
        <v>LE PETIT COFEE</v>
      </c>
      <c r="N566" s="40" t="str">
        <f ca="1">IFERROR(__xludf.DUMMYFUNCTION("""COMPUTED_VALUE"""),"PITALITO")</f>
        <v>PITALITO</v>
      </c>
      <c r="O566" s="40">
        <f ca="1">IFERROR(__xludf.DUMMYFUNCTION("""COMPUTED_VALUE"""),3132742040)</f>
        <v>3132742040</v>
      </c>
      <c r="P566" s="40"/>
      <c r="Q566" s="40" t="str">
        <f ca="1">IFERROR(__xludf.DUMMYFUNCTION("""COMPUTED_VALUE"""),"jhorajas@gmail.com")</f>
        <v>jhorajas@gmail.com</v>
      </c>
      <c r="R566" s="140">
        <f ca="1">IFERROR(__xludf.DUMMYFUNCTION("""COMPUTED_VALUE"""),44805)</f>
        <v>44805</v>
      </c>
      <c r="S566" s="140">
        <f ca="1">IFERROR(__xludf.DUMMYFUNCTION("""COMPUTED_VALUE"""),44985)</f>
        <v>44985</v>
      </c>
      <c r="T566" s="40"/>
      <c r="U566" s="40"/>
      <c r="V566" s="40"/>
      <c r="W566" s="40"/>
      <c r="X566" s="40"/>
      <c r="Y566" s="40"/>
      <c r="Z566" s="40"/>
      <c r="AA566" s="40"/>
      <c r="AB566" s="40" t="str">
        <f ca="1">IFERROR(__xludf.DUMMYFUNCTION("""COMPUTED_VALUE"""),"Diana Ávila- Asignada ")</f>
        <v xml:space="preserve">Diana Ávila- Asignada </v>
      </c>
      <c r="AC566" s="40" t="str">
        <f ca="1">IFERROR(__xludf.DUMMYFUNCTION("""COMPUTED_VALUE"""),"NO tiene seguimiento 05/09/2022")</f>
        <v>NO tiene seguimiento 05/09/2022</v>
      </c>
      <c r="AD566" s="40"/>
      <c r="AE566" s="40"/>
      <c r="AF566" s="40"/>
      <c r="AG566" s="40"/>
      <c r="AH566" s="40"/>
      <c r="AI566" s="40"/>
      <c r="AJ566" s="40"/>
      <c r="AK566" s="40"/>
      <c r="AL566" s="40"/>
      <c r="AM566" s="40"/>
      <c r="AN566" s="40"/>
      <c r="AO566" s="40"/>
      <c r="AP566" s="40"/>
      <c r="AQ566" s="40"/>
      <c r="AR566" s="40"/>
      <c r="AS566" s="40"/>
      <c r="AT566" s="40"/>
      <c r="AU566" s="40" t="str">
        <f ca="1">IFERROR(__xludf.DUMMYFUNCTION("""COMPUTED_VALUE"""),"Procede_E_P")</f>
        <v>Procede_E_P</v>
      </c>
      <c r="AV566" s="40" t="str">
        <f ca="1">IFERROR(__xludf.DUMMYFUNCTION("""COMPUTED_VALUE"""),"EN FORMACION")</f>
        <v>EN FORMACION</v>
      </c>
      <c r="AW566" s="40" t="str">
        <f ca="1">IFERROR(__xludf.DUMMYFUNCTION("""COMPUTED_VALUE"""),"TURISMO")</f>
        <v>TURISMO</v>
      </c>
      <c r="AX566" s="141">
        <f ca="1">IFERROR(__xludf.DUMMYFUNCTION("""COMPUTED_VALUE"""),44839)</f>
        <v>44839</v>
      </c>
      <c r="AY566" s="40">
        <f ca="1">IFERROR(__xludf.DUMMYFUNCTION("""COMPUTED_VALUE"""),0)</f>
        <v>0</v>
      </c>
      <c r="AZ566" s="40">
        <f ca="1">IFERROR(__xludf.DUMMYFUNCTION("""COMPUTED_VALUE"""),1)</f>
        <v>1</v>
      </c>
      <c r="BA566" s="40">
        <f ca="1">IFERROR(__xludf.DUMMYFUNCTION("""COMPUTED_VALUE"""),0)</f>
        <v>0</v>
      </c>
      <c r="BB566" s="40">
        <f ca="1">IFERROR(__xludf.DUMMYFUNCTION("""COMPUTED_VALUE"""),0)</f>
        <v>0</v>
      </c>
      <c r="BC566" s="40">
        <f ca="1">IFERROR(__xludf.DUMMYFUNCTION("""COMPUTED_VALUE"""),1)</f>
        <v>1</v>
      </c>
      <c r="BD566" s="141">
        <f ca="1">IFERROR(__xludf.DUMMYFUNCTION("""COMPUTED_VALUE"""),44301)</f>
        <v>44301</v>
      </c>
      <c r="BE566" s="141">
        <f ca="1">IFERROR(__xludf.DUMMYFUNCTION("""COMPUTED_VALUE"""),44575)</f>
        <v>44575</v>
      </c>
      <c r="BF566" s="141">
        <f ca="1">IFERROR(__xludf.DUMMYFUNCTION("""COMPUTED_VALUE"""),44756)</f>
        <v>44756</v>
      </c>
      <c r="BG566" s="141">
        <f ca="1">IFERROR(__xludf.DUMMYFUNCTION("""COMPUTED_VALUE"""),45305)</f>
        <v>45305</v>
      </c>
      <c r="BH566" s="40" t="str">
        <f ca="1">IFERROR(__xludf.DUMMYFUNCTION("""COMPUTED_VALUE"""),"FICHA EN TIEMPO-18 MESES")</f>
        <v>FICHA EN TIEMPO-18 MESES</v>
      </c>
      <c r="BI566" s="40" t="str">
        <f ca="1">IFERROR(__xludf.DUMMYFUNCTION("""COMPUTED_VALUE"""),"Terminada por fecha")</f>
        <v>Terminada por fecha</v>
      </c>
      <c r="BJ566" s="40" t="str">
        <f ca="1">IFERROR(__xludf.DUMMYFUNCTION("""COMPUTED_VALUE"""),"Yamboro")</f>
        <v>Yamboro</v>
      </c>
      <c r="BK566" s="40"/>
      <c r="BL566" s="40"/>
    </row>
    <row r="567" spans="1:64" ht="13">
      <c r="A567" s="40"/>
      <c r="B567" s="40" t="str">
        <f ca="1">IFERROR(__xludf.DUMMYFUNCTION("""COMPUTED_VALUE"""),"FORMACIÓN 18/10/2022")</f>
        <v>FORMACIÓN 18/10/2022</v>
      </c>
      <c r="C567" s="40" t="str">
        <f ca="1">IFERROR(__xludf.DUMMYFUNCTION("""COMPUTED_VALUE"""),"HUSBERTO MENESES PEREZ")</f>
        <v>HUSBERTO MENESES PEREZ</v>
      </c>
      <c r="D567" s="40" t="str">
        <f ca="1">IFERROR(__xludf.DUMMYFUNCTION("""COMPUTED_VALUE"""),"CC")</f>
        <v>CC</v>
      </c>
      <c r="E567" s="40">
        <f ca="1">IFERROR(__xludf.DUMMYFUNCTION("""COMPUTED_VALUE"""),26428939)</f>
        <v>26428939</v>
      </c>
      <c r="F567" s="40">
        <f ca="1">IFERROR(__xludf.DUMMYFUNCTION("""COMPUTED_VALUE"""),2280135)</f>
        <v>2280135</v>
      </c>
      <c r="G567" s="40" t="str">
        <f ca="1">IFERROR(__xludf.DUMMYFUNCTION("""COMPUTED_VALUE"""),"TÉCNICO")</f>
        <v>TÉCNICO</v>
      </c>
      <c r="H567" s="40" t="str">
        <f ca="1">IFERROR(__xludf.DUMMYFUNCTION("""COMPUTED_VALUE"""),"SERVICIOS DE BARISMO")</f>
        <v>SERVICIOS DE BARISMO</v>
      </c>
      <c r="I567" s="40"/>
      <c r="J567" s="40"/>
      <c r="K567" s="40"/>
      <c r="L567" s="40" t="str">
        <f ca="1">IFERROR(__xludf.DUMMYFUNCTION("""COMPUTED_VALUE"""),"NO HA INICIADO ETAPA PRODUCTIVA")</f>
        <v>NO HA INICIADO ETAPA PRODUCTIVA</v>
      </c>
      <c r="M567" s="40"/>
      <c r="N567" s="40"/>
      <c r="O567" s="40"/>
      <c r="P567" s="40"/>
      <c r="Q567" s="40"/>
      <c r="R567" s="140"/>
      <c r="S567" s="1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t="str">
        <f ca="1">IFERROR(__xludf.DUMMYFUNCTION("""COMPUTED_VALUE"""),"NO_CUMPLE")</f>
        <v>NO_CUMPLE</v>
      </c>
      <c r="AV567" s="40" t="str">
        <f ca="1">IFERROR(__xludf.DUMMYFUNCTION("""COMPUTED_VALUE"""),"EN FORMACION")</f>
        <v>EN FORMACION</v>
      </c>
      <c r="AW567" s="40" t="str">
        <f ca="1">IFERROR(__xludf.DUMMYFUNCTION("""COMPUTED_VALUE"""),"TURISMO")</f>
        <v>TURISMO</v>
      </c>
      <c r="AX567" s="141">
        <f ca="1">IFERROR(__xludf.DUMMYFUNCTION("""COMPUTED_VALUE"""),44839)</f>
        <v>44839</v>
      </c>
      <c r="AY567" s="40">
        <f ca="1">IFERROR(__xludf.DUMMYFUNCTION("""COMPUTED_VALUE"""),18)</f>
        <v>18</v>
      </c>
      <c r="AZ567" s="40">
        <f ca="1">IFERROR(__xludf.DUMMYFUNCTION("""COMPUTED_VALUE"""),1)</f>
        <v>1</v>
      </c>
      <c r="BA567" s="40">
        <f ca="1">IFERROR(__xludf.DUMMYFUNCTION("""COMPUTED_VALUE"""),1)</f>
        <v>1</v>
      </c>
      <c r="BB567" s="40">
        <f ca="1">IFERROR(__xludf.DUMMYFUNCTION("""COMPUTED_VALUE"""),10)</f>
        <v>10</v>
      </c>
      <c r="BC567" s="40">
        <f ca="1">IFERROR(__xludf.DUMMYFUNCTION("""COMPUTED_VALUE"""),30)</f>
        <v>30</v>
      </c>
      <c r="BD567" s="141">
        <f ca="1">IFERROR(__xludf.DUMMYFUNCTION("""COMPUTED_VALUE"""),44301)</f>
        <v>44301</v>
      </c>
      <c r="BE567" s="141">
        <f ca="1">IFERROR(__xludf.DUMMYFUNCTION("""COMPUTED_VALUE"""),44575)</f>
        <v>44575</v>
      </c>
      <c r="BF567" s="141">
        <f ca="1">IFERROR(__xludf.DUMMYFUNCTION("""COMPUTED_VALUE"""),44756)</f>
        <v>44756</v>
      </c>
      <c r="BG567" s="141">
        <f ca="1">IFERROR(__xludf.DUMMYFUNCTION("""COMPUTED_VALUE"""),45305)</f>
        <v>45305</v>
      </c>
      <c r="BH567" s="40" t="str">
        <f ca="1">IFERROR(__xludf.DUMMYFUNCTION("""COMPUTED_VALUE"""),"FICHA EN TIEMPO-18 MESES")</f>
        <v>FICHA EN TIEMPO-18 MESES</v>
      </c>
      <c r="BI567" s="40" t="str">
        <f ca="1">IFERROR(__xludf.DUMMYFUNCTION("""COMPUTED_VALUE"""),"Terminada por fecha")</f>
        <v>Terminada por fecha</v>
      </c>
      <c r="BJ567" s="40" t="str">
        <f ca="1">IFERROR(__xludf.DUMMYFUNCTION("""COMPUTED_VALUE"""),"Yamboro")</f>
        <v>Yamboro</v>
      </c>
      <c r="BK567" s="40"/>
      <c r="BL567" s="40"/>
    </row>
    <row r="568" spans="1:64" ht="13">
      <c r="A568" s="40"/>
      <c r="B568" s="40" t="str">
        <f ca="1">IFERROR(__xludf.DUMMYFUNCTION("""COMPUTED_VALUE"""),"FORMACIÓN 18/10/2022")</f>
        <v>FORMACIÓN 18/10/2022</v>
      </c>
      <c r="C568" s="40" t="str">
        <f ca="1">IFERROR(__xludf.DUMMYFUNCTION("""COMPUTED_VALUE"""),"SANTIAGO MUÑOZ PISSO 
")</f>
        <v xml:space="preserve">SANTIAGO MUÑOZ PISSO 
</v>
      </c>
      <c r="D568" s="40" t="str">
        <f ca="1">IFERROR(__xludf.DUMMYFUNCTION("""COMPUTED_VALUE"""),"CC")</f>
        <v>CC</v>
      </c>
      <c r="E568" s="40">
        <f ca="1">IFERROR(__xludf.DUMMYFUNCTION("""COMPUTED_VALUE"""),26428939)</f>
        <v>26428939</v>
      </c>
      <c r="F568" s="40">
        <f ca="1">IFERROR(__xludf.DUMMYFUNCTION("""COMPUTED_VALUE"""),2356780)</f>
        <v>2356780</v>
      </c>
      <c r="G568" s="40" t="str">
        <f ca="1">IFERROR(__xludf.DUMMYFUNCTION("""COMPUTED_VALUE"""),"TÉCNICO")</f>
        <v>TÉCNICO</v>
      </c>
      <c r="H568" s="40" t="str">
        <f ca="1">IFERROR(__xludf.DUMMYFUNCTION("""COMPUTED_VALUE"""),"PRODUCCION DE CAFE")</f>
        <v>PRODUCCION DE CAFE</v>
      </c>
      <c r="I568" s="40"/>
      <c r="J568" s="40"/>
      <c r="K568" s="40"/>
      <c r="L568" s="40" t="str">
        <f ca="1">IFERROR(__xludf.DUMMYFUNCTION("""COMPUTED_VALUE"""),"NO HA INICIADO ETAPA PRODUCTIVA")</f>
        <v>NO HA INICIADO ETAPA PRODUCTIVA</v>
      </c>
      <c r="M568" s="40"/>
      <c r="N568" s="40"/>
      <c r="O568" s="40"/>
      <c r="P568" s="40"/>
      <c r="Q568" s="40"/>
      <c r="R568" s="140"/>
      <c r="S568" s="1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t="str">
        <f ca="1">IFERROR(__xludf.DUMMYFUNCTION("""COMPUTED_VALUE"""),"NO_CUMPLE")</f>
        <v>NO_CUMPLE</v>
      </c>
      <c r="AV568" s="40" t="str">
        <f ca="1">IFERROR(__xludf.DUMMYFUNCTION("""COMPUTED_VALUE"""),"EN FORMACION")</f>
        <v>EN FORMACION</v>
      </c>
      <c r="AW568" s="40" t="str">
        <f ca="1">IFERROR(__xludf.DUMMYFUNCTION("""COMPUTED_VALUE"""),"AGROPECUARIO")</f>
        <v>AGROPECUARIO</v>
      </c>
      <c r="AX568" s="141">
        <f ca="1">IFERROR(__xludf.DUMMYFUNCTION("""COMPUTED_VALUE"""),44839)</f>
        <v>44839</v>
      </c>
      <c r="AY568" s="40">
        <f ca="1">IFERROR(__xludf.DUMMYFUNCTION("""COMPUTED_VALUE"""),14)</f>
        <v>14</v>
      </c>
      <c r="AZ568" s="40">
        <f ca="1">IFERROR(__xludf.DUMMYFUNCTION("""COMPUTED_VALUE"""),1)</f>
        <v>1</v>
      </c>
      <c r="BA568" s="40">
        <f ca="1">IFERROR(__xludf.DUMMYFUNCTION("""COMPUTED_VALUE"""),7)</f>
        <v>7</v>
      </c>
      <c r="BB568" s="40">
        <f ca="1">IFERROR(__xludf.DUMMYFUNCTION("""COMPUTED_VALUE"""),44)</f>
        <v>44</v>
      </c>
      <c r="BC568" s="40">
        <f ca="1">IFERROR(__xludf.DUMMYFUNCTION("""COMPUTED_VALUE"""),66)</f>
        <v>66</v>
      </c>
      <c r="BD568" s="141">
        <f ca="1">IFERROR(__xludf.DUMMYFUNCTION("""COMPUTED_VALUE"""),44348)</f>
        <v>44348</v>
      </c>
      <c r="BE568" s="141">
        <f ca="1">IFERROR(__xludf.DUMMYFUNCTION("""COMPUTED_VALUE"""),44620)</f>
        <v>44620</v>
      </c>
      <c r="BF568" s="141">
        <f ca="1">IFERROR(__xludf.DUMMYFUNCTION("""COMPUTED_VALUE"""),44804)</f>
        <v>44804</v>
      </c>
      <c r="BG568" s="141">
        <f ca="1">IFERROR(__xludf.DUMMYFUNCTION("""COMPUTED_VALUE"""),45351)</f>
        <v>45351</v>
      </c>
      <c r="BH568" s="40" t="str">
        <f ca="1">IFERROR(__xludf.DUMMYFUNCTION("""COMPUTED_VALUE"""),"FICHA EN TIEMPO-18 MESES")</f>
        <v>FICHA EN TIEMPO-18 MESES</v>
      </c>
      <c r="BI568" s="40" t="str">
        <f ca="1">IFERROR(__xludf.DUMMYFUNCTION("""COMPUTED_VALUE"""),"Terminada por fecha")</f>
        <v>Terminada por fecha</v>
      </c>
      <c r="BJ568" s="40" t="str">
        <f ca="1">IFERROR(__xludf.DUMMYFUNCTION("""COMPUTED_VALUE"""),"Yamboro")</f>
        <v>Yamboro</v>
      </c>
      <c r="BK568" s="40"/>
      <c r="BL568" s="40"/>
    </row>
    <row r="569" spans="1:64" ht="13">
      <c r="A569" s="40"/>
      <c r="B569" s="40" t="str">
        <f ca="1">IFERROR(__xludf.DUMMYFUNCTION("""COMPUTED_VALUE"""),"FORMACIÓN 18/10/2022")</f>
        <v>FORMACIÓN 18/10/2022</v>
      </c>
      <c r="C569" s="40" t="str">
        <f ca="1">IFERROR(__xludf.DUMMYFUNCTION("""COMPUTED_VALUE"""),"JESUS IGNACIO MALES QUIMBAYA
")</f>
        <v xml:space="preserve">JESUS IGNACIO MALES QUIMBAYA
</v>
      </c>
      <c r="D569" s="40" t="str">
        <f ca="1">IFERROR(__xludf.DUMMYFUNCTION("""COMPUTED_VALUE"""),"CC")</f>
        <v>CC</v>
      </c>
      <c r="E569" s="40">
        <f ca="1">IFERROR(__xludf.DUMMYFUNCTION("""COMPUTED_VALUE"""),26428939)</f>
        <v>26428939</v>
      </c>
      <c r="F569" s="40">
        <f ca="1">IFERROR(__xludf.DUMMYFUNCTION("""COMPUTED_VALUE"""),2356780)</f>
        <v>2356780</v>
      </c>
      <c r="G569" s="40" t="str">
        <f ca="1">IFERROR(__xludf.DUMMYFUNCTION("""COMPUTED_VALUE"""),"TÉCNICO")</f>
        <v>TÉCNICO</v>
      </c>
      <c r="H569" s="40" t="str">
        <f ca="1">IFERROR(__xludf.DUMMYFUNCTION("""COMPUTED_VALUE"""),"PRODUCCION DE CAFE")</f>
        <v>PRODUCCION DE CAFE</v>
      </c>
      <c r="I569" s="40"/>
      <c r="J569" s="40"/>
      <c r="K569" s="40"/>
      <c r="L569" s="40" t="str">
        <f ca="1">IFERROR(__xludf.DUMMYFUNCTION("""COMPUTED_VALUE"""),"NO HA INICIADO ETAPA PRODUCTIVA")</f>
        <v>NO HA INICIADO ETAPA PRODUCTIVA</v>
      </c>
      <c r="M569" s="40"/>
      <c r="N569" s="40"/>
      <c r="O569" s="40"/>
      <c r="P569" s="40"/>
      <c r="Q569" s="40"/>
      <c r="R569" s="140"/>
      <c r="S569" s="1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t="str">
        <f ca="1">IFERROR(__xludf.DUMMYFUNCTION("""COMPUTED_VALUE"""),"NO_CUMPLE")</f>
        <v>NO_CUMPLE</v>
      </c>
      <c r="AV569" s="40" t="str">
        <f ca="1">IFERROR(__xludf.DUMMYFUNCTION("""COMPUTED_VALUE"""),"EN FORMACION")</f>
        <v>EN FORMACION</v>
      </c>
      <c r="AW569" s="40" t="str">
        <f ca="1">IFERROR(__xludf.DUMMYFUNCTION("""COMPUTED_VALUE"""),"AGROPECUARIO")</f>
        <v>AGROPECUARIO</v>
      </c>
      <c r="AX569" s="141">
        <f ca="1">IFERROR(__xludf.DUMMYFUNCTION("""COMPUTED_VALUE"""),44839)</f>
        <v>44839</v>
      </c>
      <c r="AY569" s="40">
        <f ca="1">IFERROR(__xludf.DUMMYFUNCTION("""COMPUTED_VALUE"""),14)</f>
        <v>14</v>
      </c>
      <c r="AZ569" s="40">
        <f ca="1">IFERROR(__xludf.DUMMYFUNCTION("""COMPUTED_VALUE"""),1)</f>
        <v>1</v>
      </c>
      <c r="BA569" s="40">
        <f ca="1">IFERROR(__xludf.DUMMYFUNCTION("""COMPUTED_VALUE"""),7)</f>
        <v>7</v>
      </c>
      <c r="BB569" s="40">
        <f ca="1">IFERROR(__xludf.DUMMYFUNCTION("""COMPUTED_VALUE"""),44)</f>
        <v>44</v>
      </c>
      <c r="BC569" s="40">
        <f ca="1">IFERROR(__xludf.DUMMYFUNCTION("""COMPUTED_VALUE"""),66)</f>
        <v>66</v>
      </c>
      <c r="BD569" s="141">
        <f ca="1">IFERROR(__xludf.DUMMYFUNCTION("""COMPUTED_VALUE"""),44348)</f>
        <v>44348</v>
      </c>
      <c r="BE569" s="141">
        <f ca="1">IFERROR(__xludf.DUMMYFUNCTION("""COMPUTED_VALUE"""),44620)</f>
        <v>44620</v>
      </c>
      <c r="BF569" s="141">
        <f ca="1">IFERROR(__xludf.DUMMYFUNCTION("""COMPUTED_VALUE"""),44804)</f>
        <v>44804</v>
      </c>
      <c r="BG569" s="141">
        <f ca="1">IFERROR(__xludf.DUMMYFUNCTION("""COMPUTED_VALUE"""),45351)</f>
        <v>45351</v>
      </c>
      <c r="BH569" s="40" t="str">
        <f ca="1">IFERROR(__xludf.DUMMYFUNCTION("""COMPUTED_VALUE"""),"FICHA EN TIEMPO-18 MESES")</f>
        <v>FICHA EN TIEMPO-18 MESES</v>
      </c>
      <c r="BI569" s="40" t="str">
        <f ca="1">IFERROR(__xludf.DUMMYFUNCTION("""COMPUTED_VALUE"""),"Terminada por fecha")</f>
        <v>Terminada por fecha</v>
      </c>
      <c r="BJ569" s="40" t="str">
        <f ca="1">IFERROR(__xludf.DUMMYFUNCTION("""COMPUTED_VALUE"""),"Yamboro")</f>
        <v>Yamboro</v>
      </c>
      <c r="BK569" s="40"/>
      <c r="BL569" s="40"/>
    </row>
    <row r="570" spans="1:64" ht="13">
      <c r="A570" s="40"/>
      <c r="B570" s="40" t="str">
        <f ca="1">IFERROR(__xludf.DUMMYFUNCTION("""COMPUTED_VALUE"""),"FORMACIÓN 18/10/2022")</f>
        <v>FORMACIÓN 18/10/2022</v>
      </c>
      <c r="C570" s="40" t="str">
        <f ca="1">IFERROR(__xludf.DUMMYFUNCTION("""COMPUTED_VALUE"""),"LUISA FERNANDA  MUÑOZ PISSO
")</f>
        <v xml:space="preserve">LUISA FERNANDA  MUÑOZ PISSO
</v>
      </c>
      <c r="D570" s="40" t="str">
        <f ca="1">IFERROR(__xludf.DUMMYFUNCTION("""COMPUTED_VALUE"""),"CC")</f>
        <v>CC</v>
      </c>
      <c r="E570" s="40">
        <f ca="1">IFERROR(__xludf.DUMMYFUNCTION("""COMPUTED_VALUE"""),26428939)</f>
        <v>26428939</v>
      </c>
      <c r="F570" s="40">
        <f ca="1">IFERROR(__xludf.DUMMYFUNCTION("""COMPUTED_VALUE"""),2356780)</f>
        <v>2356780</v>
      </c>
      <c r="G570" s="40" t="str">
        <f ca="1">IFERROR(__xludf.DUMMYFUNCTION("""COMPUTED_VALUE"""),"TÉCNICO")</f>
        <v>TÉCNICO</v>
      </c>
      <c r="H570" s="40" t="str">
        <f ca="1">IFERROR(__xludf.DUMMYFUNCTION("""COMPUTED_VALUE"""),"PRODUCCION DE CAFE")</f>
        <v>PRODUCCION DE CAFE</v>
      </c>
      <c r="I570" s="40"/>
      <c r="J570" s="40"/>
      <c r="K570" s="40"/>
      <c r="L570" s="40" t="str">
        <f ca="1">IFERROR(__xludf.DUMMYFUNCTION("""COMPUTED_VALUE"""),"NO HA INICIADO ETAPA PRODUCTIVA")</f>
        <v>NO HA INICIADO ETAPA PRODUCTIVA</v>
      </c>
      <c r="M570" s="40"/>
      <c r="N570" s="40"/>
      <c r="O570" s="40"/>
      <c r="P570" s="40"/>
      <c r="Q570" s="40"/>
      <c r="R570" s="140"/>
      <c r="S570" s="1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t="str">
        <f ca="1">IFERROR(__xludf.DUMMYFUNCTION("""COMPUTED_VALUE"""),"Procede_E_P")</f>
        <v>Procede_E_P</v>
      </c>
      <c r="AV570" s="40" t="str">
        <f ca="1">IFERROR(__xludf.DUMMYFUNCTION("""COMPUTED_VALUE"""),"EN FORMACION")</f>
        <v>EN FORMACION</v>
      </c>
      <c r="AW570" s="40" t="str">
        <f ca="1">IFERROR(__xludf.DUMMYFUNCTION("""COMPUTED_VALUE"""),"AGROPECUARIO")</f>
        <v>AGROPECUARIO</v>
      </c>
      <c r="AX570" s="141">
        <f ca="1">IFERROR(__xludf.DUMMYFUNCTION("""COMPUTED_VALUE"""),44839)</f>
        <v>44839</v>
      </c>
      <c r="AY570" s="40">
        <f ca="1">IFERROR(__xludf.DUMMYFUNCTION("""COMPUTED_VALUE"""),0)</f>
        <v>0</v>
      </c>
      <c r="AZ570" s="40">
        <f ca="1">IFERROR(__xludf.DUMMYFUNCTION("""COMPUTED_VALUE"""),1)</f>
        <v>1</v>
      </c>
      <c r="BA570" s="40">
        <f ca="1">IFERROR(__xludf.DUMMYFUNCTION("""COMPUTED_VALUE"""),0)</f>
        <v>0</v>
      </c>
      <c r="BB570" s="40">
        <f ca="1">IFERROR(__xludf.DUMMYFUNCTION("""COMPUTED_VALUE"""),0)</f>
        <v>0</v>
      </c>
      <c r="BC570" s="40">
        <f ca="1">IFERROR(__xludf.DUMMYFUNCTION("""COMPUTED_VALUE"""),1)</f>
        <v>1</v>
      </c>
      <c r="BD570" s="141">
        <f ca="1">IFERROR(__xludf.DUMMYFUNCTION("""COMPUTED_VALUE"""),44348)</f>
        <v>44348</v>
      </c>
      <c r="BE570" s="141">
        <f ca="1">IFERROR(__xludf.DUMMYFUNCTION("""COMPUTED_VALUE"""),44620)</f>
        <v>44620</v>
      </c>
      <c r="BF570" s="141">
        <f ca="1">IFERROR(__xludf.DUMMYFUNCTION("""COMPUTED_VALUE"""),44804)</f>
        <v>44804</v>
      </c>
      <c r="BG570" s="141">
        <f ca="1">IFERROR(__xludf.DUMMYFUNCTION("""COMPUTED_VALUE"""),45351)</f>
        <v>45351</v>
      </c>
      <c r="BH570" s="40" t="str">
        <f ca="1">IFERROR(__xludf.DUMMYFUNCTION("""COMPUTED_VALUE"""),"FICHA EN TIEMPO-18 MESES")</f>
        <v>FICHA EN TIEMPO-18 MESES</v>
      </c>
      <c r="BI570" s="40" t="str">
        <f ca="1">IFERROR(__xludf.DUMMYFUNCTION("""COMPUTED_VALUE"""),"Terminada por fecha")</f>
        <v>Terminada por fecha</v>
      </c>
      <c r="BJ570" s="40" t="str">
        <f ca="1">IFERROR(__xludf.DUMMYFUNCTION("""COMPUTED_VALUE"""),"Yamboro")</f>
        <v>Yamboro</v>
      </c>
      <c r="BK570" s="40"/>
      <c r="BL570" s="40"/>
    </row>
    <row r="571" spans="1:64" ht="13">
      <c r="A571" s="40"/>
      <c r="B571" s="40" t="str">
        <f ca="1">IFERROR(__xludf.DUMMYFUNCTION("""COMPUTED_VALUE"""),"FORMACIÓN 18/10/2022")</f>
        <v>FORMACIÓN 18/10/2022</v>
      </c>
      <c r="C571" s="40" t="str">
        <f ca="1">IFERROR(__xludf.DUMMYFUNCTION("""COMPUTED_VALUE"""),"ALCIDES QUINAYAS ORTIZ
")</f>
        <v xml:space="preserve">ALCIDES QUINAYAS ORTIZ
</v>
      </c>
      <c r="D571" s="40" t="str">
        <f ca="1">IFERROR(__xludf.DUMMYFUNCTION("""COMPUTED_VALUE"""),"CC")</f>
        <v>CC</v>
      </c>
      <c r="E571" s="40">
        <f ca="1">IFERROR(__xludf.DUMMYFUNCTION("""COMPUTED_VALUE"""),26428939)</f>
        <v>26428939</v>
      </c>
      <c r="F571" s="40">
        <f ca="1">IFERROR(__xludf.DUMMYFUNCTION("""COMPUTED_VALUE"""),2356780)</f>
        <v>2356780</v>
      </c>
      <c r="G571" s="40" t="str">
        <f ca="1">IFERROR(__xludf.DUMMYFUNCTION("""COMPUTED_VALUE"""),"TÉCNICO")</f>
        <v>TÉCNICO</v>
      </c>
      <c r="H571" s="40" t="str">
        <f ca="1">IFERROR(__xludf.DUMMYFUNCTION("""COMPUTED_VALUE"""),"PRODUCCION DE CAFE")</f>
        <v>PRODUCCION DE CAFE</v>
      </c>
      <c r="I571" s="40"/>
      <c r="J571" s="40"/>
      <c r="K571" s="40"/>
      <c r="L571" s="40" t="str">
        <f ca="1">IFERROR(__xludf.DUMMYFUNCTION("""COMPUTED_VALUE"""),"NO HA INICIADO ETAPA PRODUCTIVA")</f>
        <v>NO HA INICIADO ETAPA PRODUCTIVA</v>
      </c>
      <c r="M571" s="40"/>
      <c r="N571" s="40"/>
      <c r="O571" s="40"/>
      <c r="P571" s="40"/>
      <c r="Q571" s="40"/>
      <c r="R571" s="140"/>
      <c r="S571" s="1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t="str">
        <f ca="1">IFERROR(__xludf.DUMMYFUNCTION("""COMPUTED_VALUE"""),"NO_CUMPLE")</f>
        <v>NO_CUMPLE</v>
      </c>
      <c r="AV571" s="40" t="str">
        <f ca="1">IFERROR(__xludf.DUMMYFUNCTION("""COMPUTED_VALUE"""),"EN FORMACION")</f>
        <v>EN FORMACION</v>
      </c>
      <c r="AW571" s="40" t="str">
        <f ca="1">IFERROR(__xludf.DUMMYFUNCTION("""COMPUTED_VALUE"""),"AGROPECUARIO")</f>
        <v>AGROPECUARIO</v>
      </c>
      <c r="AX571" s="141">
        <f ca="1">IFERROR(__xludf.DUMMYFUNCTION("""COMPUTED_VALUE"""),44839)</f>
        <v>44839</v>
      </c>
      <c r="AY571" s="40">
        <f ca="1">IFERROR(__xludf.DUMMYFUNCTION("""COMPUTED_VALUE"""),14)</f>
        <v>14</v>
      </c>
      <c r="AZ571" s="40">
        <f ca="1">IFERROR(__xludf.DUMMYFUNCTION("""COMPUTED_VALUE"""),1)</f>
        <v>1</v>
      </c>
      <c r="BA571" s="40">
        <f ca="1">IFERROR(__xludf.DUMMYFUNCTION("""COMPUTED_VALUE"""),7)</f>
        <v>7</v>
      </c>
      <c r="BB571" s="40">
        <f ca="1">IFERROR(__xludf.DUMMYFUNCTION("""COMPUTED_VALUE"""),44)</f>
        <v>44</v>
      </c>
      <c r="BC571" s="40">
        <f ca="1">IFERROR(__xludf.DUMMYFUNCTION("""COMPUTED_VALUE"""),66)</f>
        <v>66</v>
      </c>
      <c r="BD571" s="141">
        <f ca="1">IFERROR(__xludf.DUMMYFUNCTION("""COMPUTED_VALUE"""),44348)</f>
        <v>44348</v>
      </c>
      <c r="BE571" s="141">
        <f ca="1">IFERROR(__xludf.DUMMYFUNCTION("""COMPUTED_VALUE"""),44620)</f>
        <v>44620</v>
      </c>
      <c r="BF571" s="141">
        <f ca="1">IFERROR(__xludf.DUMMYFUNCTION("""COMPUTED_VALUE"""),44804)</f>
        <v>44804</v>
      </c>
      <c r="BG571" s="141">
        <f ca="1">IFERROR(__xludf.DUMMYFUNCTION("""COMPUTED_VALUE"""),45351)</f>
        <v>45351</v>
      </c>
      <c r="BH571" s="40" t="str">
        <f ca="1">IFERROR(__xludf.DUMMYFUNCTION("""COMPUTED_VALUE"""),"FICHA EN TIEMPO-18 MESES")</f>
        <v>FICHA EN TIEMPO-18 MESES</v>
      </c>
      <c r="BI571" s="40" t="str">
        <f ca="1">IFERROR(__xludf.DUMMYFUNCTION("""COMPUTED_VALUE"""),"Terminada por fecha")</f>
        <v>Terminada por fecha</v>
      </c>
      <c r="BJ571" s="40" t="str">
        <f ca="1">IFERROR(__xludf.DUMMYFUNCTION("""COMPUTED_VALUE"""),"Yamboro")</f>
        <v>Yamboro</v>
      </c>
      <c r="BK571" s="40"/>
      <c r="BL571" s="40"/>
    </row>
    <row r="572" spans="1:64" ht="13">
      <c r="A572" s="40"/>
      <c r="B572" s="40" t="str">
        <f ca="1">IFERROR(__xludf.DUMMYFUNCTION("""COMPUTED_VALUE"""),"FORMACIÓN 18/10/2022")</f>
        <v>FORMACIÓN 18/10/2022</v>
      </c>
      <c r="C572" s="40" t="str">
        <f ca="1">IFERROR(__xludf.DUMMYFUNCTION("""COMPUTED_VALUE"""),"KAREN TATIANA CIFUENTES RUIZ
")</f>
        <v xml:space="preserve">KAREN TATIANA CIFUENTES RUIZ
</v>
      </c>
      <c r="D572" s="40" t="str">
        <f ca="1">IFERROR(__xludf.DUMMYFUNCTION("""COMPUTED_VALUE"""),"TI")</f>
        <v>TI</v>
      </c>
      <c r="E572" s="40">
        <f ca="1">IFERROR(__xludf.DUMMYFUNCTION("""COMPUTED_VALUE"""),26428939)</f>
        <v>26428939</v>
      </c>
      <c r="F572" s="40">
        <f ca="1">IFERROR(__xludf.DUMMYFUNCTION("""COMPUTED_VALUE"""),2356780)</f>
        <v>2356780</v>
      </c>
      <c r="G572" s="40" t="str">
        <f ca="1">IFERROR(__xludf.DUMMYFUNCTION("""COMPUTED_VALUE"""),"TÉCNICO")</f>
        <v>TÉCNICO</v>
      </c>
      <c r="H572" s="40" t="str">
        <f ca="1">IFERROR(__xludf.DUMMYFUNCTION("""COMPUTED_VALUE"""),"PRODUCCION DE CAFE")</f>
        <v>PRODUCCION DE CAFE</v>
      </c>
      <c r="I572" s="40"/>
      <c r="J572" s="40"/>
      <c r="K572" s="40"/>
      <c r="L572" s="40" t="str">
        <f ca="1">IFERROR(__xludf.DUMMYFUNCTION("""COMPUTED_VALUE"""),"NO HA INICIADO ETAPA PRODUCTIVA")</f>
        <v>NO HA INICIADO ETAPA PRODUCTIVA</v>
      </c>
      <c r="M572" s="40"/>
      <c r="N572" s="40"/>
      <c r="O572" s="40"/>
      <c r="P572" s="40"/>
      <c r="Q572" s="40"/>
      <c r="R572" s="140"/>
      <c r="S572" s="1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t="str">
        <f ca="1">IFERROR(__xludf.DUMMYFUNCTION("""COMPUTED_VALUE"""),"NO_CUMPLE")</f>
        <v>NO_CUMPLE</v>
      </c>
      <c r="AV572" s="40" t="str">
        <f ca="1">IFERROR(__xludf.DUMMYFUNCTION("""COMPUTED_VALUE"""),"EN FORMACION")</f>
        <v>EN FORMACION</v>
      </c>
      <c r="AW572" s="40" t="str">
        <f ca="1">IFERROR(__xludf.DUMMYFUNCTION("""COMPUTED_VALUE"""),"AGROPECUARIO")</f>
        <v>AGROPECUARIO</v>
      </c>
      <c r="AX572" s="141">
        <f ca="1">IFERROR(__xludf.DUMMYFUNCTION("""COMPUTED_VALUE"""),44839)</f>
        <v>44839</v>
      </c>
      <c r="AY572" s="40">
        <f ca="1">IFERROR(__xludf.DUMMYFUNCTION("""COMPUTED_VALUE"""),14)</f>
        <v>14</v>
      </c>
      <c r="AZ572" s="40">
        <f ca="1">IFERROR(__xludf.DUMMYFUNCTION("""COMPUTED_VALUE"""),1)</f>
        <v>1</v>
      </c>
      <c r="BA572" s="40">
        <f ca="1">IFERROR(__xludf.DUMMYFUNCTION("""COMPUTED_VALUE"""),7)</f>
        <v>7</v>
      </c>
      <c r="BB572" s="40">
        <f ca="1">IFERROR(__xludf.DUMMYFUNCTION("""COMPUTED_VALUE"""),44)</f>
        <v>44</v>
      </c>
      <c r="BC572" s="40">
        <f ca="1">IFERROR(__xludf.DUMMYFUNCTION("""COMPUTED_VALUE"""),66)</f>
        <v>66</v>
      </c>
      <c r="BD572" s="141">
        <f ca="1">IFERROR(__xludf.DUMMYFUNCTION("""COMPUTED_VALUE"""),44348)</f>
        <v>44348</v>
      </c>
      <c r="BE572" s="141">
        <f ca="1">IFERROR(__xludf.DUMMYFUNCTION("""COMPUTED_VALUE"""),44620)</f>
        <v>44620</v>
      </c>
      <c r="BF572" s="141">
        <f ca="1">IFERROR(__xludf.DUMMYFUNCTION("""COMPUTED_VALUE"""),44804)</f>
        <v>44804</v>
      </c>
      <c r="BG572" s="141">
        <f ca="1">IFERROR(__xludf.DUMMYFUNCTION("""COMPUTED_VALUE"""),45351)</f>
        <v>45351</v>
      </c>
      <c r="BH572" s="40" t="str">
        <f ca="1">IFERROR(__xludf.DUMMYFUNCTION("""COMPUTED_VALUE"""),"FICHA EN TIEMPO-18 MESES")</f>
        <v>FICHA EN TIEMPO-18 MESES</v>
      </c>
      <c r="BI572" s="40" t="str">
        <f ca="1">IFERROR(__xludf.DUMMYFUNCTION("""COMPUTED_VALUE"""),"Terminada por fecha")</f>
        <v>Terminada por fecha</v>
      </c>
      <c r="BJ572" s="40" t="str">
        <f ca="1">IFERROR(__xludf.DUMMYFUNCTION("""COMPUTED_VALUE"""),"Yamboro")</f>
        <v>Yamboro</v>
      </c>
      <c r="BK572" s="40"/>
      <c r="BL572" s="40"/>
    </row>
    <row r="573" spans="1:64" ht="13">
      <c r="A573" s="40"/>
      <c r="B573" s="40" t="str">
        <f ca="1">IFERROR(__xludf.DUMMYFUNCTION("""COMPUTED_VALUE"""),"FORMACIÓN 18/10/2022")</f>
        <v>FORMACIÓN 18/10/2022</v>
      </c>
      <c r="C573" s="40" t="str">
        <f ca="1">IFERROR(__xludf.DUMMYFUNCTION("""COMPUTED_VALUE"""),"JHONATAN HERNANDO RUIZ PERAFAN
")</f>
        <v xml:space="preserve">JHONATAN HERNANDO RUIZ PERAFAN
</v>
      </c>
      <c r="D573" s="40" t="str">
        <f ca="1">IFERROR(__xludf.DUMMYFUNCTION("""COMPUTED_VALUE"""),"CC")</f>
        <v>CC</v>
      </c>
      <c r="E573" s="40">
        <f ca="1">IFERROR(__xludf.DUMMYFUNCTION("""COMPUTED_VALUE"""),26428939)</f>
        <v>26428939</v>
      </c>
      <c r="F573" s="40">
        <f ca="1">IFERROR(__xludf.DUMMYFUNCTION("""COMPUTED_VALUE"""),2356780)</f>
        <v>2356780</v>
      </c>
      <c r="G573" s="40" t="str">
        <f ca="1">IFERROR(__xludf.DUMMYFUNCTION("""COMPUTED_VALUE"""),"TÉCNICO")</f>
        <v>TÉCNICO</v>
      </c>
      <c r="H573" s="40" t="str">
        <f ca="1">IFERROR(__xludf.DUMMYFUNCTION("""COMPUTED_VALUE"""),"PRODUCCION DE CAFE")</f>
        <v>PRODUCCION DE CAFE</v>
      </c>
      <c r="I573" s="40"/>
      <c r="J573" s="40"/>
      <c r="K573" s="40"/>
      <c r="L573" s="40" t="str">
        <f ca="1">IFERROR(__xludf.DUMMYFUNCTION("""COMPUTED_VALUE"""),"NO HA INICIADO ETAPA PRODUCTIVA")</f>
        <v>NO HA INICIADO ETAPA PRODUCTIVA</v>
      </c>
      <c r="M573" s="40"/>
      <c r="N573" s="40"/>
      <c r="O573" s="40"/>
      <c r="P573" s="40"/>
      <c r="Q573" s="40"/>
      <c r="R573" s="140"/>
      <c r="S573" s="1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t="str">
        <f ca="1">IFERROR(__xludf.DUMMYFUNCTION("""COMPUTED_VALUE"""),"Procede_E_P")</f>
        <v>Procede_E_P</v>
      </c>
      <c r="AV573" s="40" t="str">
        <f ca="1">IFERROR(__xludf.DUMMYFUNCTION("""COMPUTED_VALUE"""),"EN FORMACION")</f>
        <v>EN FORMACION</v>
      </c>
      <c r="AW573" s="40" t="str">
        <f ca="1">IFERROR(__xludf.DUMMYFUNCTION("""COMPUTED_VALUE"""),"AGROPECUARIO")</f>
        <v>AGROPECUARIO</v>
      </c>
      <c r="AX573" s="141">
        <f ca="1">IFERROR(__xludf.DUMMYFUNCTION("""COMPUTED_VALUE"""),44839)</f>
        <v>44839</v>
      </c>
      <c r="AY573" s="40">
        <f ca="1">IFERROR(__xludf.DUMMYFUNCTION("""COMPUTED_VALUE"""),0)</f>
        <v>0</v>
      </c>
      <c r="AZ573" s="40">
        <f ca="1">IFERROR(__xludf.DUMMYFUNCTION("""COMPUTED_VALUE"""),1)</f>
        <v>1</v>
      </c>
      <c r="BA573" s="40">
        <f ca="1">IFERROR(__xludf.DUMMYFUNCTION("""COMPUTED_VALUE"""),0)</f>
        <v>0</v>
      </c>
      <c r="BB573" s="40">
        <f ca="1">IFERROR(__xludf.DUMMYFUNCTION("""COMPUTED_VALUE"""),0)</f>
        <v>0</v>
      </c>
      <c r="BC573" s="40">
        <f ca="1">IFERROR(__xludf.DUMMYFUNCTION("""COMPUTED_VALUE"""),1)</f>
        <v>1</v>
      </c>
      <c r="BD573" s="141">
        <f ca="1">IFERROR(__xludf.DUMMYFUNCTION("""COMPUTED_VALUE"""),44348)</f>
        <v>44348</v>
      </c>
      <c r="BE573" s="141">
        <f ca="1">IFERROR(__xludf.DUMMYFUNCTION("""COMPUTED_VALUE"""),44620)</f>
        <v>44620</v>
      </c>
      <c r="BF573" s="141">
        <f ca="1">IFERROR(__xludf.DUMMYFUNCTION("""COMPUTED_VALUE"""),44804)</f>
        <v>44804</v>
      </c>
      <c r="BG573" s="141">
        <f ca="1">IFERROR(__xludf.DUMMYFUNCTION("""COMPUTED_VALUE"""),45351)</f>
        <v>45351</v>
      </c>
      <c r="BH573" s="40" t="str">
        <f ca="1">IFERROR(__xludf.DUMMYFUNCTION("""COMPUTED_VALUE"""),"FICHA EN TIEMPO-18 MESES")</f>
        <v>FICHA EN TIEMPO-18 MESES</v>
      </c>
      <c r="BI573" s="40" t="str">
        <f ca="1">IFERROR(__xludf.DUMMYFUNCTION("""COMPUTED_VALUE"""),"Terminada por fecha")</f>
        <v>Terminada por fecha</v>
      </c>
      <c r="BJ573" s="40" t="str">
        <f ca="1">IFERROR(__xludf.DUMMYFUNCTION("""COMPUTED_VALUE"""),"Yamboro")</f>
        <v>Yamboro</v>
      </c>
      <c r="BK573" s="40"/>
      <c r="BL573" s="40"/>
    </row>
    <row r="574" spans="1:64" ht="13">
      <c r="A574" s="40"/>
      <c r="B574" s="40" t="str">
        <f ca="1">IFERROR(__xludf.DUMMYFUNCTION("""COMPUTED_VALUE"""),"FORMACIÓN 18/10/2022")</f>
        <v>FORMACIÓN 18/10/2022</v>
      </c>
      <c r="C574" s="40" t="str">
        <f ca="1">IFERROR(__xludf.DUMMYFUNCTION("""COMPUTED_VALUE"""),"ALBERTO HOYOS MUÑOZ
")</f>
        <v xml:space="preserve">ALBERTO HOYOS MUÑOZ
</v>
      </c>
      <c r="D574" s="40" t="str">
        <f ca="1">IFERROR(__xludf.DUMMYFUNCTION("""COMPUTED_VALUE"""),"CC")</f>
        <v>CC</v>
      </c>
      <c r="E574" s="40">
        <f ca="1">IFERROR(__xludf.DUMMYFUNCTION("""COMPUTED_VALUE"""),26428939)</f>
        <v>26428939</v>
      </c>
      <c r="F574" s="40">
        <f ca="1">IFERROR(__xludf.DUMMYFUNCTION("""COMPUTED_VALUE"""),2356780)</f>
        <v>2356780</v>
      </c>
      <c r="G574" s="40" t="str">
        <f ca="1">IFERROR(__xludf.DUMMYFUNCTION("""COMPUTED_VALUE"""),"TÉCNICO")</f>
        <v>TÉCNICO</v>
      </c>
      <c r="H574" s="40" t="str">
        <f ca="1">IFERROR(__xludf.DUMMYFUNCTION("""COMPUTED_VALUE"""),"PRODUCCION DE CAFE")</f>
        <v>PRODUCCION DE CAFE</v>
      </c>
      <c r="I574" s="40"/>
      <c r="J574" s="40"/>
      <c r="K574" s="40"/>
      <c r="L574" s="40" t="str">
        <f ca="1">IFERROR(__xludf.DUMMYFUNCTION("""COMPUTED_VALUE"""),"NO HA INICIADO ETAPA PRODUCTIVA")</f>
        <v>NO HA INICIADO ETAPA PRODUCTIVA</v>
      </c>
      <c r="M574" s="40"/>
      <c r="N574" s="40"/>
      <c r="O574" s="40"/>
      <c r="P574" s="40"/>
      <c r="Q574" s="40"/>
      <c r="R574" s="140"/>
      <c r="S574" s="1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t="str">
        <f ca="1">IFERROR(__xludf.DUMMYFUNCTION("""COMPUTED_VALUE"""),"NO_CUMPLE")</f>
        <v>NO_CUMPLE</v>
      </c>
      <c r="AV574" s="40" t="str">
        <f ca="1">IFERROR(__xludf.DUMMYFUNCTION("""COMPUTED_VALUE"""),"EN FORMACION")</f>
        <v>EN FORMACION</v>
      </c>
      <c r="AW574" s="40" t="str">
        <f ca="1">IFERROR(__xludf.DUMMYFUNCTION("""COMPUTED_VALUE"""),"AGROPECUARIO")</f>
        <v>AGROPECUARIO</v>
      </c>
      <c r="AX574" s="141">
        <f ca="1">IFERROR(__xludf.DUMMYFUNCTION("""COMPUTED_VALUE"""),44839)</f>
        <v>44839</v>
      </c>
      <c r="AY574" s="40">
        <f ca="1">IFERROR(__xludf.DUMMYFUNCTION("""COMPUTED_VALUE"""),14)</f>
        <v>14</v>
      </c>
      <c r="AZ574" s="40">
        <f ca="1">IFERROR(__xludf.DUMMYFUNCTION("""COMPUTED_VALUE"""),1)</f>
        <v>1</v>
      </c>
      <c r="BA574" s="40">
        <f ca="1">IFERROR(__xludf.DUMMYFUNCTION("""COMPUTED_VALUE"""),7)</f>
        <v>7</v>
      </c>
      <c r="BB574" s="40">
        <f ca="1">IFERROR(__xludf.DUMMYFUNCTION("""COMPUTED_VALUE"""),44)</f>
        <v>44</v>
      </c>
      <c r="BC574" s="40">
        <f ca="1">IFERROR(__xludf.DUMMYFUNCTION("""COMPUTED_VALUE"""),66)</f>
        <v>66</v>
      </c>
      <c r="BD574" s="141">
        <f ca="1">IFERROR(__xludf.DUMMYFUNCTION("""COMPUTED_VALUE"""),44348)</f>
        <v>44348</v>
      </c>
      <c r="BE574" s="141">
        <f ca="1">IFERROR(__xludf.DUMMYFUNCTION("""COMPUTED_VALUE"""),44620)</f>
        <v>44620</v>
      </c>
      <c r="BF574" s="141">
        <f ca="1">IFERROR(__xludf.DUMMYFUNCTION("""COMPUTED_VALUE"""),44804)</f>
        <v>44804</v>
      </c>
      <c r="BG574" s="141">
        <f ca="1">IFERROR(__xludf.DUMMYFUNCTION("""COMPUTED_VALUE"""),45351)</f>
        <v>45351</v>
      </c>
      <c r="BH574" s="40" t="str">
        <f ca="1">IFERROR(__xludf.DUMMYFUNCTION("""COMPUTED_VALUE"""),"FICHA EN TIEMPO-18 MESES")</f>
        <v>FICHA EN TIEMPO-18 MESES</v>
      </c>
      <c r="BI574" s="40" t="str">
        <f ca="1">IFERROR(__xludf.DUMMYFUNCTION("""COMPUTED_VALUE"""),"Terminada por fecha")</f>
        <v>Terminada por fecha</v>
      </c>
      <c r="BJ574" s="40" t="str">
        <f ca="1">IFERROR(__xludf.DUMMYFUNCTION("""COMPUTED_VALUE"""),"Yamboro")</f>
        <v>Yamboro</v>
      </c>
      <c r="BK574" s="40"/>
      <c r="BL574" s="40"/>
    </row>
    <row r="575" spans="1:64" ht="13">
      <c r="A575" s="40"/>
      <c r="B575" s="40" t="str">
        <f ca="1">IFERROR(__xludf.DUMMYFUNCTION("""COMPUTED_VALUE"""),"FORMACIÓN 18/10/2022")</f>
        <v>FORMACIÓN 18/10/2022</v>
      </c>
      <c r="C575" s="40" t="str">
        <f ca="1">IFERROR(__xludf.DUMMYFUNCTION("""COMPUTED_VALUE"""),"OSCAR IVAN HOYOS TORO
")</f>
        <v xml:space="preserve">OSCAR IVAN HOYOS TORO
</v>
      </c>
      <c r="D575" s="40" t="str">
        <f ca="1">IFERROR(__xludf.DUMMYFUNCTION("""COMPUTED_VALUE"""),"CC")</f>
        <v>CC</v>
      </c>
      <c r="E575" s="40">
        <f ca="1">IFERROR(__xludf.DUMMYFUNCTION("""COMPUTED_VALUE"""),26428939)</f>
        <v>26428939</v>
      </c>
      <c r="F575" s="40">
        <f ca="1">IFERROR(__xludf.DUMMYFUNCTION("""COMPUTED_VALUE"""),2356780)</f>
        <v>2356780</v>
      </c>
      <c r="G575" s="40" t="str">
        <f ca="1">IFERROR(__xludf.DUMMYFUNCTION("""COMPUTED_VALUE"""),"TÉCNICO")</f>
        <v>TÉCNICO</v>
      </c>
      <c r="H575" s="40" t="str">
        <f ca="1">IFERROR(__xludf.DUMMYFUNCTION("""COMPUTED_VALUE"""),"PRODUCCION DE CAFE")</f>
        <v>PRODUCCION DE CAFE</v>
      </c>
      <c r="I575" s="40"/>
      <c r="J575" s="40"/>
      <c r="K575" s="40"/>
      <c r="L575" s="40" t="str">
        <f ca="1">IFERROR(__xludf.DUMMYFUNCTION("""COMPUTED_VALUE"""),"NO HA INICIADO ETAPA PRODUCTIVA")</f>
        <v>NO HA INICIADO ETAPA PRODUCTIVA</v>
      </c>
      <c r="M575" s="40"/>
      <c r="N575" s="40"/>
      <c r="O575" s="40"/>
      <c r="P575" s="40"/>
      <c r="Q575" s="40"/>
      <c r="R575" s="140"/>
      <c r="S575" s="1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t="str">
        <f ca="1">IFERROR(__xludf.DUMMYFUNCTION("""COMPUTED_VALUE"""),"NO_CUMPLE")</f>
        <v>NO_CUMPLE</v>
      </c>
      <c r="AV575" s="40" t="str">
        <f ca="1">IFERROR(__xludf.DUMMYFUNCTION("""COMPUTED_VALUE"""),"EN FORMACION")</f>
        <v>EN FORMACION</v>
      </c>
      <c r="AW575" s="40" t="str">
        <f ca="1">IFERROR(__xludf.DUMMYFUNCTION("""COMPUTED_VALUE"""),"AGROPECUARIO")</f>
        <v>AGROPECUARIO</v>
      </c>
      <c r="AX575" s="141">
        <f ca="1">IFERROR(__xludf.DUMMYFUNCTION("""COMPUTED_VALUE"""),44839)</f>
        <v>44839</v>
      </c>
      <c r="AY575" s="40">
        <f ca="1">IFERROR(__xludf.DUMMYFUNCTION("""COMPUTED_VALUE"""),14)</f>
        <v>14</v>
      </c>
      <c r="AZ575" s="40">
        <f ca="1">IFERROR(__xludf.DUMMYFUNCTION("""COMPUTED_VALUE"""),1)</f>
        <v>1</v>
      </c>
      <c r="BA575" s="40">
        <f ca="1">IFERROR(__xludf.DUMMYFUNCTION("""COMPUTED_VALUE"""),7)</f>
        <v>7</v>
      </c>
      <c r="BB575" s="40">
        <f ca="1">IFERROR(__xludf.DUMMYFUNCTION("""COMPUTED_VALUE"""),44)</f>
        <v>44</v>
      </c>
      <c r="BC575" s="40">
        <f ca="1">IFERROR(__xludf.DUMMYFUNCTION("""COMPUTED_VALUE"""),66)</f>
        <v>66</v>
      </c>
      <c r="BD575" s="141">
        <f ca="1">IFERROR(__xludf.DUMMYFUNCTION("""COMPUTED_VALUE"""),44348)</f>
        <v>44348</v>
      </c>
      <c r="BE575" s="141">
        <f ca="1">IFERROR(__xludf.DUMMYFUNCTION("""COMPUTED_VALUE"""),44620)</f>
        <v>44620</v>
      </c>
      <c r="BF575" s="141">
        <f ca="1">IFERROR(__xludf.DUMMYFUNCTION("""COMPUTED_VALUE"""),44804)</f>
        <v>44804</v>
      </c>
      <c r="BG575" s="141">
        <f ca="1">IFERROR(__xludf.DUMMYFUNCTION("""COMPUTED_VALUE"""),45351)</f>
        <v>45351</v>
      </c>
      <c r="BH575" s="40" t="str">
        <f ca="1">IFERROR(__xludf.DUMMYFUNCTION("""COMPUTED_VALUE"""),"FICHA EN TIEMPO-18 MESES")</f>
        <v>FICHA EN TIEMPO-18 MESES</v>
      </c>
      <c r="BI575" s="40" t="str">
        <f ca="1">IFERROR(__xludf.DUMMYFUNCTION("""COMPUTED_VALUE"""),"Terminada por fecha")</f>
        <v>Terminada por fecha</v>
      </c>
      <c r="BJ575" s="40" t="str">
        <f ca="1">IFERROR(__xludf.DUMMYFUNCTION("""COMPUTED_VALUE"""),"Yamboro")</f>
        <v>Yamboro</v>
      </c>
      <c r="BK575" s="40"/>
      <c r="BL575" s="40"/>
    </row>
    <row r="576" spans="1:64" ht="13">
      <c r="A576" s="40"/>
      <c r="B576" s="40" t="str">
        <f ca="1">IFERROR(__xludf.DUMMYFUNCTION("""COMPUTED_VALUE"""),"FORMACIÓN 18/10/2022")</f>
        <v>FORMACIÓN 18/10/2022</v>
      </c>
      <c r="C576" s="40" t="str">
        <f ca="1">IFERROR(__xludf.DUMMYFUNCTION("""COMPUTED_VALUE"""),"URIEL HERNAN ERAZO ACOSTA
")</f>
        <v xml:space="preserve">URIEL HERNAN ERAZO ACOSTA
</v>
      </c>
      <c r="D576" s="40" t="str">
        <f ca="1">IFERROR(__xludf.DUMMYFUNCTION("""COMPUTED_VALUE"""),"CC")</f>
        <v>CC</v>
      </c>
      <c r="E576" s="40">
        <f ca="1">IFERROR(__xludf.DUMMYFUNCTION("""COMPUTED_VALUE"""),26428939)</f>
        <v>26428939</v>
      </c>
      <c r="F576" s="40">
        <f ca="1">IFERROR(__xludf.DUMMYFUNCTION("""COMPUTED_VALUE"""),2356780)</f>
        <v>2356780</v>
      </c>
      <c r="G576" s="40" t="str">
        <f ca="1">IFERROR(__xludf.DUMMYFUNCTION("""COMPUTED_VALUE"""),"TÉCNICO")</f>
        <v>TÉCNICO</v>
      </c>
      <c r="H576" s="40" t="str">
        <f ca="1">IFERROR(__xludf.DUMMYFUNCTION("""COMPUTED_VALUE"""),"PRODUCCION DE CAFE")</f>
        <v>PRODUCCION DE CAFE</v>
      </c>
      <c r="I576" s="40"/>
      <c r="J576" s="40"/>
      <c r="K576" s="40"/>
      <c r="L576" s="40" t="str">
        <f ca="1">IFERROR(__xludf.DUMMYFUNCTION("""COMPUTED_VALUE"""),"NO HA INICIADO ETAPA PRODUCTIVA")</f>
        <v>NO HA INICIADO ETAPA PRODUCTIVA</v>
      </c>
      <c r="M576" s="40"/>
      <c r="N576" s="40"/>
      <c r="O576" s="40"/>
      <c r="P576" s="40"/>
      <c r="Q576" s="40"/>
      <c r="R576" s="140"/>
      <c r="S576" s="1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t="str">
        <f ca="1">IFERROR(__xludf.DUMMYFUNCTION("""COMPUTED_VALUE"""),"Procede_E_P")</f>
        <v>Procede_E_P</v>
      </c>
      <c r="AV576" s="40" t="str">
        <f ca="1">IFERROR(__xludf.DUMMYFUNCTION("""COMPUTED_VALUE"""),"EN FORMACION")</f>
        <v>EN FORMACION</v>
      </c>
      <c r="AW576" s="40" t="str">
        <f ca="1">IFERROR(__xludf.DUMMYFUNCTION("""COMPUTED_VALUE"""),"AGROPECUARIO")</f>
        <v>AGROPECUARIO</v>
      </c>
      <c r="AX576" s="141">
        <f ca="1">IFERROR(__xludf.DUMMYFUNCTION("""COMPUTED_VALUE"""),44839)</f>
        <v>44839</v>
      </c>
      <c r="AY576" s="40">
        <f ca="1">IFERROR(__xludf.DUMMYFUNCTION("""COMPUTED_VALUE"""),0)</f>
        <v>0</v>
      </c>
      <c r="AZ576" s="40">
        <f ca="1">IFERROR(__xludf.DUMMYFUNCTION("""COMPUTED_VALUE"""),1)</f>
        <v>1</v>
      </c>
      <c r="BA576" s="40">
        <f ca="1">IFERROR(__xludf.DUMMYFUNCTION("""COMPUTED_VALUE"""),0)</f>
        <v>0</v>
      </c>
      <c r="BB576" s="40">
        <f ca="1">IFERROR(__xludf.DUMMYFUNCTION("""COMPUTED_VALUE"""),0)</f>
        <v>0</v>
      </c>
      <c r="BC576" s="40">
        <f ca="1">IFERROR(__xludf.DUMMYFUNCTION("""COMPUTED_VALUE"""),1)</f>
        <v>1</v>
      </c>
      <c r="BD576" s="141">
        <f ca="1">IFERROR(__xludf.DUMMYFUNCTION("""COMPUTED_VALUE"""),44348)</f>
        <v>44348</v>
      </c>
      <c r="BE576" s="141">
        <f ca="1">IFERROR(__xludf.DUMMYFUNCTION("""COMPUTED_VALUE"""),44620)</f>
        <v>44620</v>
      </c>
      <c r="BF576" s="141">
        <f ca="1">IFERROR(__xludf.DUMMYFUNCTION("""COMPUTED_VALUE"""),44804)</f>
        <v>44804</v>
      </c>
      <c r="BG576" s="141">
        <f ca="1">IFERROR(__xludf.DUMMYFUNCTION("""COMPUTED_VALUE"""),45351)</f>
        <v>45351</v>
      </c>
      <c r="BH576" s="40" t="str">
        <f ca="1">IFERROR(__xludf.DUMMYFUNCTION("""COMPUTED_VALUE"""),"FICHA EN TIEMPO-18 MESES")</f>
        <v>FICHA EN TIEMPO-18 MESES</v>
      </c>
      <c r="BI576" s="40" t="str">
        <f ca="1">IFERROR(__xludf.DUMMYFUNCTION("""COMPUTED_VALUE"""),"Terminada por fecha")</f>
        <v>Terminada por fecha</v>
      </c>
      <c r="BJ576" s="40" t="str">
        <f ca="1">IFERROR(__xludf.DUMMYFUNCTION("""COMPUTED_VALUE"""),"Yamboro")</f>
        <v>Yamboro</v>
      </c>
      <c r="BK576" s="40"/>
      <c r="BL576" s="40"/>
    </row>
    <row r="577" spans="1:64" ht="13">
      <c r="A577" s="40"/>
      <c r="B577" s="40" t="str">
        <f ca="1">IFERROR(__xludf.DUMMYFUNCTION("""COMPUTED_VALUE"""),"FORMACIÓN 18/10/2022")</f>
        <v>FORMACIÓN 18/10/2022</v>
      </c>
      <c r="C577" s="40" t="str">
        <f ca="1">IFERROR(__xludf.DUMMYFUNCTION("""COMPUTED_VALUE"""),"DEIMAR GALINDEZ ORTEGA
")</f>
        <v xml:space="preserve">DEIMAR GALINDEZ ORTEGA
</v>
      </c>
      <c r="D577" s="40" t="str">
        <f ca="1">IFERROR(__xludf.DUMMYFUNCTION("""COMPUTED_VALUE"""),"CC")</f>
        <v>CC</v>
      </c>
      <c r="E577" s="40">
        <f ca="1">IFERROR(__xludf.DUMMYFUNCTION("""COMPUTED_VALUE"""),26428939)</f>
        <v>26428939</v>
      </c>
      <c r="F577" s="40">
        <f ca="1">IFERROR(__xludf.DUMMYFUNCTION("""COMPUTED_VALUE"""),2356780)</f>
        <v>2356780</v>
      </c>
      <c r="G577" s="40" t="str">
        <f ca="1">IFERROR(__xludf.DUMMYFUNCTION("""COMPUTED_VALUE"""),"TÉCNICO")</f>
        <v>TÉCNICO</v>
      </c>
      <c r="H577" s="40" t="str">
        <f ca="1">IFERROR(__xludf.DUMMYFUNCTION("""COMPUTED_VALUE"""),"PRODUCCION DE CAFE")</f>
        <v>PRODUCCION DE CAFE</v>
      </c>
      <c r="I577" s="40"/>
      <c r="J577" s="40"/>
      <c r="K577" s="40"/>
      <c r="L577" s="40" t="str">
        <f ca="1">IFERROR(__xludf.DUMMYFUNCTION("""COMPUTED_VALUE"""),"NO HA INICIADO ETAPA PRODUCTIVA")</f>
        <v>NO HA INICIADO ETAPA PRODUCTIVA</v>
      </c>
      <c r="M577" s="40"/>
      <c r="N577" s="40"/>
      <c r="O577" s="40"/>
      <c r="P577" s="40"/>
      <c r="Q577" s="40"/>
      <c r="R577" s="140"/>
      <c r="S577" s="1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t="str">
        <f ca="1">IFERROR(__xludf.DUMMYFUNCTION("""COMPUTED_VALUE"""),"NO_CUMPLE")</f>
        <v>NO_CUMPLE</v>
      </c>
      <c r="AV577" s="40" t="str">
        <f ca="1">IFERROR(__xludf.DUMMYFUNCTION("""COMPUTED_VALUE"""),"EN FORMACION")</f>
        <v>EN FORMACION</v>
      </c>
      <c r="AW577" s="40" t="str">
        <f ca="1">IFERROR(__xludf.DUMMYFUNCTION("""COMPUTED_VALUE"""),"AGROPECUARIO")</f>
        <v>AGROPECUARIO</v>
      </c>
      <c r="AX577" s="141">
        <f ca="1">IFERROR(__xludf.DUMMYFUNCTION("""COMPUTED_VALUE"""),44839)</f>
        <v>44839</v>
      </c>
      <c r="AY577" s="40">
        <f ca="1">IFERROR(__xludf.DUMMYFUNCTION("""COMPUTED_VALUE"""),14)</f>
        <v>14</v>
      </c>
      <c r="AZ577" s="40">
        <f ca="1">IFERROR(__xludf.DUMMYFUNCTION("""COMPUTED_VALUE"""),1)</f>
        <v>1</v>
      </c>
      <c r="BA577" s="40">
        <f ca="1">IFERROR(__xludf.DUMMYFUNCTION("""COMPUTED_VALUE"""),7)</f>
        <v>7</v>
      </c>
      <c r="BB577" s="40">
        <f ca="1">IFERROR(__xludf.DUMMYFUNCTION("""COMPUTED_VALUE"""),44)</f>
        <v>44</v>
      </c>
      <c r="BC577" s="40">
        <f ca="1">IFERROR(__xludf.DUMMYFUNCTION("""COMPUTED_VALUE"""),66)</f>
        <v>66</v>
      </c>
      <c r="BD577" s="141">
        <f ca="1">IFERROR(__xludf.DUMMYFUNCTION("""COMPUTED_VALUE"""),44348)</f>
        <v>44348</v>
      </c>
      <c r="BE577" s="141">
        <f ca="1">IFERROR(__xludf.DUMMYFUNCTION("""COMPUTED_VALUE"""),44620)</f>
        <v>44620</v>
      </c>
      <c r="BF577" s="141">
        <f ca="1">IFERROR(__xludf.DUMMYFUNCTION("""COMPUTED_VALUE"""),44804)</f>
        <v>44804</v>
      </c>
      <c r="BG577" s="141">
        <f ca="1">IFERROR(__xludf.DUMMYFUNCTION("""COMPUTED_VALUE"""),45351)</f>
        <v>45351</v>
      </c>
      <c r="BH577" s="40" t="str">
        <f ca="1">IFERROR(__xludf.DUMMYFUNCTION("""COMPUTED_VALUE"""),"FICHA EN TIEMPO-18 MESES")</f>
        <v>FICHA EN TIEMPO-18 MESES</v>
      </c>
      <c r="BI577" s="40" t="str">
        <f ca="1">IFERROR(__xludf.DUMMYFUNCTION("""COMPUTED_VALUE"""),"Terminada por fecha")</f>
        <v>Terminada por fecha</v>
      </c>
      <c r="BJ577" s="40" t="str">
        <f ca="1">IFERROR(__xludf.DUMMYFUNCTION("""COMPUTED_VALUE"""),"Yamboro")</f>
        <v>Yamboro</v>
      </c>
      <c r="BK577" s="40"/>
      <c r="BL577" s="40"/>
    </row>
    <row r="578" spans="1:64" ht="13">
      <c r="A578" s="40"/>
      <c r="B578" s="40" t="str">
        <f ca="1">IFERROR(__xludf.DUMMYFUNCTION("""COMPUTED_VALUE"""),"FORMACIÓN 18/10/2022")</f>
        <v>FORMACIÓN 18/10/2022</v>
      </c>
      <c r="C578" s="40" t="str">
        <f ca="1">IFERROR(__xludf.DUMMYFUNCTION("""COMPUTED_VALUE"""),"CESAR AUGUSTO RUIZ SALAMANCA
")</f>
        <v xml:space="preserve">CESAR AUGUSTO RUIZ SALAMANCA
</v>
      </c>
      <c r="D578" s="40" t="str">
        <f ca="1">IFERROR(__xludf.DUMMYFUNCTION("""COMPUTED_VALUE"""),"CC")</f>
        <v>CC</v>
      </c>
      <c r="E578" s="40">
        <f ca="1">IFERROR(__xludf.DUMMYFUNCTION("""COMPUTED_VALUE"""),26428939)</f>
        <v>26428939</v>
      </c>
      <c r="F578" s="40">
        <f ca="1">IFERROR(__xludf.DUMMYFUNCTION("""COMPUTED_VALUE"""),2356780)</f>
        <v>2356780</v>
      </c>
      <c r="G578" s="40" t="str">
        <f ca="1">IFERROR(__xludf.DUMMYFUNCTION("""COMPUTED_VALUE"""),"TÉCNICO")</f>
        <v>TÉCNICO</v>
      </c>
      <c r="H578" s="40" t="str">
        <f ca="1">IFERROR(__xludf.DUMMYFUNCTION("""COMPUTED_VALUE"""),"PRODUCCION DE CAFE")</f>
        <v>PRODUCCION DE CAFE</v>
      </c>
      <c r="I578" s="40"/>
      <c r="J578" s="40"/>
      <c r="K578" s="40"/>
      <c r="L578" s="40" t="str">
        <f ca="1">IFERROR(__xludf.DUMMYFUNCTION("""COMPUTED_VALUE"""),"NO HA INICIADO ETAPA PRODUCTIVA")</f>
        <v>NO HA INICIADO ETAPA PRODUCTIVA</v>
      </c>
      <c r="M578" s="40"/>
      <c r="N578" s="40"/>
      <c r="O578" s="40"/>
      <c r="P578" s="40"/>
      <c r="Q578" s="40"/>
      <c r="R578" s="140"/>
      <c r="S578" s="1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t="str">
        <f ca="1">IFERROR(__xludf.DUMMYFUNCTION("""COMPUTED_VALUE"""),"NO_CUMPLE")</f>
        <v>NO_CUMPLE</v>
      </c>
      <c r="AV578" s="40" t="str">
        <f ca="1">IFERROR(__xludf.DUMMYFUNCTION("""COMPUTED_VALUE"""),"EN FORMACION")</f>
        <v>EN FORMACION</v>
      </c>
      <c r="AW578" s="40" t="str">
        <f ca="1">IFERROR(__xludf.DUMMYFUNCTION("""COMPUTED_VALUE"""),"AGROPECUARIO")</f>
        <v>AGROPECUARIO</v>
      </c>
      <c r="AX578" s="141">
        <f ca="1">IFERROR(__xludf.DUMMYFUNCTION("""COMPUTED_VALUE"""),44839)</f>
        <v>44839</v>
      </c>
      <c r="AY578" s="40">
        <f ca="1">IFERROR(__xludf.DUMMYFUNCTION("""COMPUTED_VALUE"""),14)</f>
        <v>14</v>
      </c>
      <c r="AZ578" s="40">
        <f ca="1">IFERROR(__xludf.DUMMYFUNCTION("""COMPUTED_VALUE"""),1)</f>
        <v>1</v>
      </c>
      <c r="BA578" s="40">
        <f ca="1">IFERROR(__xludf.DUMMYFUNCTION("""COMPUTED_VALUE"""),7)</f>
        <v>7</v>
      </c>
      <c r="BB578" s="40">
        <f ca="1">IFERROR(__xludf.DUMMYFUNCTION("""COMPUTED_VALUE"""),44)</f>
        <v>44</v>
      </c>
      <c r="BC578" s="40">
        <f ca="1">IFERROR(__xludf.DUMMYFUNCTION("""COMPUTED_VALUE"""),66)</f>
        <v>66</v>
      </c>
      <c r="BD578" s="141">
        <f ca="1">IFERROR(__xludf.DUMMYFUNCTION("""COMPUTED_VALUE"""),44348)</f>
        <v>44348</v>
      </c>
      <c r="BE578" s="141">
        <f ca="1">IFERROR(__xludf.DUMMYFUNCTION("""COMPUTED_VALUE"""),44620)</f>
        <v>44620</v>
      </c>
      <c r="BF578" s="141">
        <f ca="1">IFERROR(__xludf.DUMMYFUNCTION("""COMPUTED_VALUE"""),44804)</f>
        <v>44804</v>
      </c>
      <c r="BG578" s="141">
        <f ca="1">IFERROR(__xludf.DUMMYFUNCTION("""COMPUTED_VALUE"""),45351)</f>
        <v>45351</v>
      </c>
      <c r="BH578" s="40" t="str">
        <f ca="1">IFERROR(__xludf.DUMMYFUNCTION("""COMPUTED_VALUE"""),"FICHA EN TIEMPO-18 MESES")</f>
        <v>FICHA EN TIEMPO-18 MESES</v>
      </c>
      <c r="BI578" s="40" t="str">
        <f ca="1">IFERROR(__xludf.DUMMYFUNCTION("""COMPUTED_VALUE"""),"Terminada por fecha")</f>
        <v>Terminada por fecha</v>
      </c>
      <c r="BJ578" s="40" t="str">
        <f ca="1">IFERROR(__xludf.DUMMYFUNCTION("""COMPUTED_VALUE"""),"Yamboro")</f>
        <v>Yamboro</v>
      </c>
      <c r="BK578" s="40"/>
      <c r="BL578" s="40"/>
    </row>
    <row r="579" spans="1:64" ht="13">
      <c r="A579" s="40"/>
      <c r="B579" s="40" t="str">
        <f ca="1">IFERROR(__xludf.DUMMYFUNCTION("""COMPUTED_VALUE"""),"FORMACIÓN 18/10/2022")</f>
        <v>FORMACIÓN 18/10/2022</v>
      </c>
      <c r="C579" s="40" t="str">
        <f ca="1">IFERROR(__xludf.DUMMYFUNCTION("""COMPUTED_VALUE"""),"WILDER JULIAN MUÑOZ ORTEGA
")</f>
        <v xml:space="preserve">WILDER JULIAN MUÑOZ ORTEGA
</v>
      </c>
      <c r="D579" s="40" t="str">
        <f ca="1">IFERROR(__xludf.DUMMYFUNCTION("""COMPUTED_VALUE"""),"CC")</f>
        <v>CC</v>
      </c>
      <c r="E579" s="40">
        <f ca="1">IFERROR(__xludf.DUMMYFUNCTION("""COMPUTED_VALUE"""),26428939)</f>
        <v>26428939</v>
      </c>
      <c r="F579" s="40">
        <f ca="1">IFERROR(__xludf.DUMMYFUNCTION("""COMPUTED_VALUE"""),2356780)</f>
        <v>2356780</v>
      </c>
      <c r="G579" s="40" t="str">
        <f ca="1">IFERROR(__xludf.DUMMYFUNCTION("""COMPUTED_VALUE"""),"TÉCNICO")</f>
        <v>TÉCNICO</v>
      </c>
      <c r="H579" s="40" t="str">
        <f ca="1">IFERROR(__xludf.DUMMYFUNCTION("""COMPUTED_VALUE"""),"PRODUCCION DE CAFE")</f>
        <v>PRODUCCION DE CAFE</v>
      </c>
      <c r="I579" s="40"/>
      <c r="J579" s="40"/>
      <c r="K579" s="40"/>
      <c r="L579" s="40" t="str">
        <f ca="1">IFERROR(__xludf.DUMMYFUNCTION("""COMPUTED_VALUE"""),"NO HA INICIADO ETAPA PRODUCTIVA")</f>
        <v>NO HA INICIADO ETAPA PRODUCTIVA</v>
      </c>
      <c r="M579" s="40"/>
      <c r="N579" s="40"/>
      <c r="O579" s="40"/>
      <c r="P579" s="40"/>
      <c r="Q579" s="40"/>
      <c r="R579" s="140"/>
      <c r="S579" s="1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t="str">
        <f ca="1">IFERROR(__xludf.DUMMYFUNCTION("""COMPUTED_VALUE"""),"Procede_E_P")</f>
        <v>Procede_E_P</v>
      </c>
      <c r="AV579" s="40" t="str">
        <f ca="1">IFERROR(__xludf.DUMMYFUNCTION("""COMPUTED_VALUE"""),"EN FORMACION")</f>
        <v>EN FORMACION</v>
      </c>
      <c r="AW579" s="40" t="str">
        <f ca="1">IFERROR(__xludf.DUMMYFUNCTION("""COMPUTED_VALUE"""),"AGROPECUARIO")</f>
        <v>AGROPECUARIO</v>
      </c>
      <c r="AX579" s="141">
        <f ca="1">IFERROR(__xludf.DUMMYFUNCTION("""COMPUTED_VALUE"""),44839)</f>
        <v>44839</v>
      </c>
      <c r="AY579" s="40">
        <f ca="1">IFERROR(__xludf.DUMMYFUNCTION("""COMPUTED_VALUE"""),0)</f>
        <v>0</v>
      </c>
      <c r="AZ579" s="40">
        <f ca="1">IFERROR(__xludf.DUMMYFUNCTION("""COMPUTED_VALUE"""),1)</f>
        <v>1</v>
      </c>
      <c r="BA579" s="40">
        <f ca="1">IFERROR(__xludf.DUMMYFUNCTION("""COMPUTED_VALUE"""),0)</f>
        <v>0</v>
      </c>
      <c r="BB579" s="40">
        <f ca="1">IFERROR(__xludf.DUMMYFUNCTION("""COMPUTED_VALUE"""),0)</f>
        <v>0</v>
      </c>
      <c r="BC579" s="40">
        <f ca="1">IFERROR(__xludf.DUMMYFUNCTION("""COMPUTED_VALUE"""),1)</f>
        <v>1</v>
      </c>
      <c r="BD579" s="141">
        <f ca="1">IFERROR(__xludf.DUMMYFUNCTION("""COMPUTED_VALUE"""),44348)</f>
        <v>44348</v>
      </c>
      <c r="BE579" s="141">
        <f ca="1">IFERROR(__xludf.DUMMYFUNCTION("""COMPUTED_VALUE"""),44620)</f>
        <v>44620</v>
      </c>
      <c r="BF579" s="141">
        <f ca="1">IFERROR(__xludf.DUMMYFUNCTION("""COMPUTED_VALUE"""),44804)</f>
        <v>44804</v>
      </c>
      <c r="BG579" s="141">
        <f ca="1">IFERROR(__xludf.DUMMYFUNCTION("""COMPUTED_VALUE"""),45351)</f>
        <v>45351</v>
      </c>
      <c r="BH579" s="40" t="str">
        <f ca="1">IFERROR(__xludf.DUMMYFUNCTION("""COMPUTED_VALUE"""),"FICHA EN TIEMPO-18 MESES")</f>
        <v>FICHA EN TIEMPO-18 MESES</v>
      </c>
      <c r="BI579" s="40" t="str">
        <f ca="1">IFERROR(__xludf.DUMMYFUNCTION("""COMPUTED_VALUE"""),"Terminada por fecha")</f>
        <v>Terminada por fecha</v>
      </c>
      <c r="BJ579" s="40" t="str">
        <f ca="1">IFERROR(__xludf.DUMMYFUNCTION("""COMPUTED_VALUE"""),"Yamboro")</f>
        <v>Yamboro</v>
      </c>
      <c r="BK579" s="40"/>
      <c r="BL579" s="40"/>
    </row>
    <row r="580" spans="1:64" ht="13">
      <c r="A580" s="40"/>
      <c r="B580" s="40" t="str">
        <f ca="1">IFERROR(__xludf.DUMMYFUNCTION("""COMPUTED_VALUE"""),"FORMACIÓN 18/10/2022")</f>
        <v>FORMACIÓN 18/10/2022</v>
      </c>
      <c r="C580" s="40" t="str">
        <f ca="1">IFERROR(__xludf.DUMMYFUNCTION("""COMPUTED_VALUE"""),"GLADYS  BURBANO MUÑOZ 
")</f>
        <v xml:space="preserve">GLADYS  BURBANO MUÑOZ 
</v>
      </c>
      <c r="D580" s="40" t="str">
        <f ca="1">IFERROR(__xludf.DUMMYFUNCTION("""COMPUTED_VALUE"""),"CC")</f>
        <v>CC</v>
      </c>
      <c r="E580" s="40">
        <f ca="1">IFERROR(__xludf.DUMMYFUNCTION("""COMPUTED_VALUE"""),26428939)</f>
        <v>26428939</v>
      </c>
      <c r="F580" s="40">
        <f ca="1">IFERROR(__xludf.DUMMYFUNCTION("""COMPUTED_VALUE"""),2356780)</f>
        <v>2356780</v>
      </c>
      <c r="G580" s="40" t="str">
        <f ca="1">IFERROR(__xludf.DUMMYFUNCTION("""COMPUTED_VALUE"""),"TÉCNICO")</f>
        <v>TÉCNICO</v>
      </c>
      <c r="H580" s="40" t="str">
        <f ca="1">IFERROR(__xludf.DUMMYFUNCTION("""COMPUTED_VALUE"""),"PRODUCCION DE CAFE")</f>
        <v>PRODUCCION DE CAFE</v>
      </c>
      <c r="I580" s="40"/>
      <c r="J580" s="40"/>
      <c r="K580" s="40"/>
      <c r="L580" s="40" t="str">
        <f ca="1">IFERROR(__xludf.DUMMYFUNCTION("""COMPUTED_VALUE"""),"NO HA INICIADO ETAPA PRODUCTIVA")</f>
        <v>NO HA INICIADO ETAPA PRODUCTIVA</v>
      </c>
      <c r="M580" s="40"/>
      <c r="N580" s="40"/>
      <c r="O580" s="40"/>
      <c r="P580" s="40"/>
      <c r="Q580" s="40"/>
      <c r="R580" s="140"/>
      <c r="S580" s="1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t="str">
        <f ca="1">IFERROR(__xludf.DUMMYFUNCTION("""COMPUTED_VALUE"""),"Procede_E_P")</f>
        <v>Procede_E_P</v>
      </c>
      <c r="AV580" s="40" t="str">
        <f ca="1">IFERROR(__xludf.DUMMYFUNCTION("""COMPUTED_VALUE"""),"EN FORMACION")</f>
        <v>EN FORMACION</v>
      </c>
      <c r="AW580" s="40" t="str">
        <f ca="1">IFERROR(__xludf.DUMMYFUNCTION("""COMPUTED_VALUE"""),"AGROPECUARIO")</f>
        <v>AGROPECUARIO</v>
      </c>
      <c r="AX580" s="141">
        <f ca="1">IFERROR(__xludf.DUMMYFUNCTION("""COMPUTED_VALUE"""),44839)</f>
        <v>44839</v>
      </c>
      <c r="AY580" s="40">
        <f ca="1">IFERROR(__xludf.DUMMYFUNCTION("""COMPUTED_VALUE"""),0)</f>
        <v>0</v>
      </c>
      <c r="AZ580" s="40">
        <f ca="1">IFERROR(__xludf.DUMMYFUNCTION("""COMPUTED_VALUE"""),1)</f>
        <v>1</v>
      </c>
      <c r="BA580" s="40">
        <f ca="1">IFERROR(__xludf.DUMMYFUNCTION("""COMPUTED_VALUE"""),0)</f>
        <v>0</v>
      </c>
      <c r="BB580" s="40">
        <f ca="1">IFERROR(__xludf.DUMMYFUNCTION("""COMPUTED_VALUE"""),0)</f>
        <v>0</v>
      </c>
      <c r="BC580" s="40">
        <f ca="1">IFERROR(__xludf.DUMMYFUNCTION("""COMPUTED_VALUE"""),1)</f>
        <v>1</v>
      </c>
      <c r="BD580" s="141">
        <f ca="1">IFERROR(__xludf.DUMMYFUNCTION("""COMPUTED_VALUE"""),44348)</f>
        <v>44348</v>
      </c>
      <c r="BE580" s="141">
        <f ca="1">IFERROR(__xludf.DUMMYFUNCTION("""COMPUTED_VALUE"""),44620)</f>
        <v>44620</v>
      </c>
      <c r="BF580" s="141">
        <f ca="1">IFERROR(__xludf.DUMMYFUNCTION("""COMPUTED_VALUE"""),44804)</f>
        <v>44804</v>
      </c>
      <c r="BG580" s="141">
        <f ca="1">IFERROR(__xludf.DUMMYFUNCTION("""COMPUTED_VALUE"""),45351)</f>
        <v>45351</v>
      </c>
      <c r="BH580" s="40" t="str">
        <f ca="1">IFERROR(__xludf.DUMMYFUNCTION("""COMPUTED_VALUE"""),"FICHA EN TIEMPO-18 MESES")</f>
        <v>FICHA EN TIEMPO-18 MESES</v>
      </c>
      <c r="BI580" s="40" t="str">
        <f ca="1">IFERROR(__xludf.DUMMYFUNCTION("""COMPUTED_VALUE"""),"Terminada por fecha")</f>
        <v>Terminada por fecha</v>
      </c>
      <c r="BJ580" s="40" t="str">
        <f ca="1">IFERROR(__xludf.DUMMYFUNCTION("""COMPUTED_VALUE"""),"Yamboro")</f>
        <v>Yamboro</v>
      </c>
      <c r="BK580" s="40"/>
      <c r="BL580" s="40"/>
    </row>
    <row r="581" spans="1:64" ht="13">
      <c r="A581" s="40"/>
      <c r="B581" s="40" t="str">
        <f ca="1">IFERROR(__xludf.DUMMYFUNCTION("""COMPUTED_VALUE"""),"FORMACIÓN 18/10/2022")</f>
        <v>FORMACIÓN 18/10/2022</v>
      </c>
      <c r="C581" s="40" t="str">
        <f ca="1">IFERROR(__xludf.DUMMYFUNCTION("""COMPUTED_VALUE"""),"ERICK FERNANDO BRAVO URBANO
")</f>
        <v xml:space="preserve">ERICK FERNANDO BRAVO URBANO
</v>
      </c>
      <c r="D581" s="40" t="str">
        <f ca="1">IFERROR(__xludf.DUMMYFUNCTION("""COMPUTED_VALUE"""),"CC")</f>
        <v>CC</v>
      </c>
      <c r="E581" s="40">
        <f ca="1">IFERROR(__xludf.DUMMYFUNCTION("""COMPUTED_VALUE"""),26428939)</f>
        <v>26428939</v>
      </c>
      <c r="F581" s="40">
        <f ca="1">IFERROR(__xludf.DUMMYFUNCTION("""COMPUTED_VALUE"""),2356780)</f>
        <v>2356780</v>
      </c>
      <c r="G581" s="40" t="str">
        <f ca="1">IFERROR(__xludf.DUMMYFUNCTION("""COMPUTED_VALUE"""),"TÉCNICO")</f>
        <v>TÉCNICO</v>
      </c>
      <c r="H581" s="40" t="str">
        <f ca="1">IFERROR(__xludf.DUMMYFUNCTION("""COMPUTED_VALUE"""),"PRODUCCION DE CAFE")</f>
        <v>PRODUCCION DE CAFE</v>
      </c>
      <c r="I581" s="40"/>
      <c r="J581" s="40"/>
      <c r="K581" s="40"/>
      <c r="L581" s="40" t="str">
        <f ca="1">IFERROR(__xludf.DUMMYFUNCTION("""COMPUTED_VALUE"""),"NO HA INICIADO ETAPA PRODUCTIVA")</f>
        <v>NO HA INICIADO ETAPA PRODUCTIVA</v>
      </c>
      <c r="M581" s="40"/>
      <c r="N581" s="40"/>
      <c r="O581" s="40"/>
      <c r="P581" s="40"/>
      <c r="Q581" s="40"/>
      <c r="R581" s="140"/>
      <c r="S581" s="1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t="str">
        <f ca="1">IFERROR(__xludf.DUMMYFUNCTION("""COMPUTED_VALUE"""),"Procede_E_P")</f>
        <v>Procede_E_P</v>
      </c>
      <c r="AV581" s="40" t="str">
        <f ca="1">IFERROR(__xludf.DUMMYFUNCTION("""COMPUTED_VALUE"""),"EN FORMACION")</f>
        <v>EN FORMACION</v>
      </c>
      <c r="AW581" s="40" t="str">
        <f ca="1">IFERROR(__xludf.DUMMYFUNCTION("""COMPUTED_VALUE"""),"AGROPECUARIO")</f>
        <v>AGROPECUARIO</v>
      </c>
      <c r="AX581" s="141">
        <f ca="1">IFERROR(__xludf.DUMMYFUNCTION("""COMPUTED_VALUE"""),44839)</f>
        <v>44839</v>
      </c>
      <c r="AY581" s="40">
        <f ca="1">IFERROR(__xludf.DUMMYFUNCTION("""COMPUTED_VALUE"""),0)</f>
        <v>0</v>
      </c>
      <c r="AZ581" s="40">
        <f ca="1">IFERROR(__xludf.DUMMYFUNCTION("""COMPUTED_VALUE"""),1)</f>
        <v>1</v>
      </c>
      <c r="BA581" s="40">
        <f ca="1">IFERROR(__xludf.DUMMYFUNCTION("""COMPUTED_VALUE"""),0)</f>
        <v>0</v>
      </c>
      <c r="BB581" s="40">
        <f ca="1">IFERROR(__xludf.DUMMYFUNCTION("""COMPUTED_VALUE"""),0)</f>
        <v>0</v>
      </c>
      <c r="BC581" s="40">
        <f ca="1">IFERROR(__xludf.DUMMYFUNCTION("""COMPUTED_VALUE"""),1)</f>
        <v>1</v>
      </c>
      <c r="BD581" s="141">
        <f ca="1">IFERROR(__xludf.DUMMYFUNCTION("""COMPUTED_VALUE"""),44348)</f>
        <v>44348</v>
      </c>
      <c r="BE581" s="141">
        <f ca="1">IFERROR(__xludf.DUMMYFUNCTION("""COMPUTED_VALUE"""),44620)</f>
        <v>44620</v>
      </c>
      <c r="BF581" s="141">
        <f ca="1">IFERROR(__xludf.DUMMYFUNCTION("""COMPUTED_VALUE"""),44804)</f>
        <v>44804</v>
      </c>
      <c r="BG581" s="141">
        <f ca="1">IFERROR(__xludf.DUMMYFUNCTION("""COMPUTED_VALUE"""),45351)</f>
        <v>45351</v>
      </c>
      <c r="BH581" s="40" t="str">
        <f ca="1">IFERROR(__xludf.DUMMYFUNCTION("""COMPUTED_VALUE"""),"FICHA EN TIEMPO-18 MESES")</f>
        <v>FICHA EN TIEMPO-18 MESES</v>
      </c>
      <c r="BI581" s="40" t="str">
        <f ca="1">IFERROR(__xludf.DUMMYFUNCTION("""COMPUTED_VALUE"""),"Terminada por fecha")</f>
        <v>Terminada por fecha</v>
      </c>
      <c r="BJ581" s="40" t="str">
        <f ca="1">IFERROR(__xludf.DUMMYFUNCTION("""COMPUTED_VALUE"""),"Yamboro")</f>
        <v>Yamboro</v>
      </c>
      <c r="BK581" s="40"/>
      <c r="BL581" s="40"/>
    </row>
    <row r="582" spans="1:64" ht="13">
      <c r="A582" s="40"/>
      <c r="B582" s="40" t="str">
        <f ca="1">IFERROR(__xludf.DUMMYFUNCTION("""COMPUTED_VALUE"""),"FORMACIÓN 18/10/2022")</f>
        <v>FORMACIÓN 18/10/2022</v>
      </c>
      <c r="C582" s="40" t="str">
        <f ca="1">IFERROR(__xludf.DUMMYFUNCTION("""COMPUTED_VALUE"""),"MERLY YULIANA  CHILITO BRAVO
")</f>
        <v xml:space="preserve">MERLY YULIANA  CHILITO BRAVO
</v>
      </c>
      <c r="D582" s="40" t="str">
        <f ca="1">IFERROR(__xludf.DUMMYFUNCTION("""COMPUTED_VALUE"""),"CC")</f>
        <v>CC</v>
      </c>
      <c r="E582" s="40">
        <f ca="1">IFERROR(__xludf.DUMMYFUNCTION("""COMPUTED_VALUE"""),26428939)</f>
        <v>26428939</v>
      </c>
      <c r="F582" s="40">
        <f ca="1">IFERROR(__xludf.DUMMYFUNCTION("""COMPUTED_VALUE"""),2356780)</f>
        <v>2356780</v>
      </c>
      <c r="G582" s="40" t="str">
        <f ca="1">IFERROR(__xludf.DUMMYFUNCTION("""COMPUTED_VALUE"""),"TÉCNICO")</f>
        <v>TÉCNICO</v>
      </c>
      <c r="H582" s="40" t="str">
        <f ca="1">IFERROR(__xludf.DUMMYFUNCTION("""COMPUTED_VALUE"""),"PRODUCCION DE CAFE")</f>
        <v>PRODUCCION DE CAFE</v>
      </c>
      <c r="I582" s="40"/>
      <c r="J582" s="40"/>
      <c r="K582" s="40"/>
      <c r="L582" s="40" t="str">
        <f ca="1">IFERROR(__xludf.DUMMYFUNCTION("""COMPUTED_VALUE"""),"NO HA INICIADO ETAPA PRODUCTIVA")</f>
        <v>NO HA INICIADO ETAPA PRODUCTIVA</v>
      </c>
      <c r="M582" s="40"/>
      <c r="N582" s="40"/>
      <c r="O582" s="40"/>
      <c r="P582" s="40"/>
      <c r="Q582" s="40"/>
      <c r="R582" s="140"/>
      <c r="S582" s="1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t="str">
        <f ca="1">IFERROR(__xludf.DUMMYFUNCTION("""COMPUTED_VALUE"""),"Procede_E_P")</f>
        <v>Procede_E_P</v>
      </c>
      <c r="AV582" s="40" t="str">
        <f ca="1">IFERROR(__xludf.DUMMYFUNCTION("""COMPUTED_VALUE"""),"EN FORMACION")</f>
        <v>EN FORMACION</v>
      </c>
      <c r="AW582" s="40" t="str">
        <f ca="1">IFERROR(__xludf.DUMMYFUNCTION("""COMPUTED_VALUE"""),"AGROPECUARIO")</f>
        <v>AGROPECUARIO</v>
      </c>
      <c r="AX582" s="141">
        <f ca="1">IFERROR(__xludf.DUMMYFUNCTION("""COMPUTED_VALUE"""),44839)</f>
        <v>44839</v>
      </c>
      <c r="AY582" s="40">
        <f ca="1">IFERROR(__xludf.DUMMYFUNCTION("""COMPUTED_VALUE"""),0)</f>
        <v>0</v>
      </c>
      <c r="AZ582" s="40">
        <f ca="1">IFERROR(__xludf.DUMMYFUNCTION("""COMPUTED_VALUE"""),1)</f>
        <v>1</v>
      </c>
      <c r="BA582" s="40">
        <f ca="1">IFERROR(__xludf.DUMMYFUNCTION("""COMPUTED_VALUE"""),0)</f>
        <v>0</v>
      </c>
      <c r="BB582" s="40">
        <f ca="1">IFERROR(__xludf.DUMMYFUNCTION("""COMPUTED_VALUE"""),0)</f>
        <v>0</v>
      </c>
      <c r="BC582" s="40">
        <f ca="1">IFERROR(__xludf.DUMMYFUNCTION("""COMPUTED_VALUE"""),1)</f>
        <v>1</v>
      </c>
      <c r="BD582" s="141">
        <f ca="1">IFERROR(__xludf.DUMMYFUNCTION("""COMPUTED_VALUE"""),44348)</f>
        <v>44348</v>
      </c>
      <c r="BE582" s="141">
        <f ca="1">IFERROR(__xludf.DUMMYFUNCTION("""COMPUTED_VALUE"""),44620)</f>
        <v>44620</v>
      </c>
      <c r="BF582" s="141">
        <f ca="1">IFERROR(__xludf.DUMMYFUNCTION("""COMPUTED_VALUE"""),44804)</f>
        <v>44804</v>
      </c>
      <c r="BG582" s="141">
        <f ca="1">IFERROR(__xludf.DUMMYFUNCTION("""COMPUTED_VALUE"""),45351)</f>
        <v>45351</v>
      </c>
      <c r="BH582" s="40" t="str">
        <f ca="1">IFERROR(__xludf.DUMMYFUNCTION("""COMPUTED_VALUE"""),"FICHA EN TIEMPO-18 MESES")</f>
        <v>FICHA EN TIEMPO-18 MESES</v>
      </c>
      <c r="BI582" s="40" t="str">
        <f ca="1">IFERROR(__xludf.DUMMYFUNCTION("""COMPUTED_VALUE"""),"Terminada por fecha")</f>
        <v>Terminada por fecha</v>
      </c>
      <c r="BJ582" s="40" t="str">
        <f ca="1">IFERROR(__xludf.DUMMYFUNCTION("""COMPUTED_VALUE"""),"Yamboro")</f>
        <v>Yamboro</v>
      </c>
      <c r="BK582" s="40"/>
      <c r="BL582" s="40"/>
    </row>
    <row r="583" spans="1:64" ht="13">
      <c r="A583" s="40"/>
      <c r="B583" s="40" t="str">
        <f ca="1">IFERROR(__xludf.DUMMYFUNCTION("""COMPUTED_VALUE"""),"FORMACIÓN 18/10/2022")</f>
        <v>FORMACIÓN 18/10/2022</v>
      </c>
      <c r="C583" s="40" t="str">
        <f ca="1">IFERROR(__xludf.DUMMYFUNCTION("""COMPUTED_VALUE"""),"MILTON ALEJANDRO BOLAÑOZ GALINDEZ
")</f>
        <v xml:space="preserve">MILTON ALEJANDRO BOLAÑOZ GALINDEZ
</v>
      </c>
      <c r="D583" s="40" t="str">
        <f ca="1">IFERROR(__xludf.DUMMYFUNCTION("""COMPUTED_VALUE"""),"CC")</f>
        <v>CC</v>
      </c>
      <c r="E583" s="40">
        <f ca="1">IFERROR(__xludf.DUMMYFUNCTION("""COMPUTED_VALUE"""),26428939)</f>
        <v>26428939</v>
      </c>
      <c r="F583" s="40">
        <f ca="1">IFERROR(__xludf.DUMMYFUNCTION("""COMPUTED_VALUE"""),2356780)</f>
        <v>2356780</v>
      </c>
      <c r="G583" s="40" t="str">
        <f ca="1">IFERROR(__xludf.DUMMYFUNCTION("""COMPUTED_VALUE"""),"TÉCNICO")</f>
        <v>TÉCNICO</v>
      </c>
      <c r="H583" s="40" t="str">
        <f ca="1">IFERROR(__xludf.DUMMYFUNCTION("""COMPUTED_VALUE"""),"PRODUCCION DE CAFE")</f>
        <v>PRODUCCION DE CAFE</v>
      </c>
      <c r="I583" s="40"/>
      <c r="J583" s="40"/>
      <c r="K583" s="40"/>
      <c r="L583" s="40" t="str">
        <f ca="1">IFERROR(__xludf.DUMMYFUNCTION("""COMPUTED_VALUE"""),"NO HA INICIADO ETAPA PRODUCTIVA")</f>
        <v>NO HA INICIADO ETAPA PRODUCTIVA</v>
      </c>
      <c r="M583" s="40"/>
      <c r="N583" s="40"/>
      <c r="O583" s="40"/>
      <c r="P583" s="40"/>
      <c r="Q583" s="40"/>
      <c r="R583" s="140"/>
      <c r="S583" s="1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t="str">
        <f ca="1">IFERROR(__xludf.DUMMYFUNCTION("""COMPUTED_VALUE"""),"NO_CUMPLE")</f>
        <v>NO_CUMPLE</v>
      </c>
      <c r="AV583" s="40" t="str">
        <f ca="1">IFERROR(__xludf.DUMMYFUNCTION("""COMPUTED_VALUE"""),"EN FORMACION")</f>
        <v>EN FORMACION</v>
      </c>
      <c r="AW583" s="40" t="str">
        <f ca="1">IFERROR(__xludf.DUMMYFUNCTION("""COMPUTED_VALUE"""),"AGROPECUARIO")</f>
        <v>AGROPECUARIO</v>
      </c>
      <c r="AX583" s="141">
        <f ca="1">IFERROR(__xludf.DUMMYFUNCTION("""COMPUTED_VALUE"""),44839)</f>
        <v>44839</v>
      </c>
      <c r="AY583" s="40">
        <f ca="1">IFERROR(__xludf.DUMMYFUNCTION("""COMPUTED_VALUE"""),9)</f>
        <v>9</v>
      </c>
      <c r="AZ583" s="40">
        <f ca="1">IFERROR(__xludf.DUMMYFUNCTION("""COMPUTED_VALUE"""),1)</f>
        <v>1</v>
      </c>
      <c r="BA583" s="40">
        <f ca="1">IFERROR(__xludf.DUMMYFUNCTION("""COMPUTED_VALUE"""),7)</f>
        <v>7</v>
      </c>
      <c r="BB583" s="40">
        <f ca="1">IFERROR(__xludf.DUMMYFUNCTION("""COMPUTED_VALUE"""),19)</f>
        <v>19</v>
      </c>
      <c r="BC583" s="40">
        <f ca="1">IFERROR(__xludf.DUMMYFUNCTION("""COMPUTED_VALUE"""),36)</f>
        <v>36</v>
      </c>
      <c r="BD583" s="141">
        <f ca="1">IFERROR(__xludf.DUMMYFUNCTION("""COMPUTED_VALUE"""),44348)</f>
        <v>44348</v>
      </c>
      <c r="BE583" s="141">
        <f ca="1">IFERROR(__xludf.DUMMYFUNCTION("""COMPUTED_VALUE"""),44620)</f>
        <v>44620</v>
      </c>
      <c r="BF583" s="141">
        <f ca="1">IFERROR(__xludf.DUMMYFUNCTION("""COMPUTED_VALUE"""),44804)</f>
        <v>44804</v>
      </c>
      <c r="BG583" s="141">
        <f ca="1">IFERROR(__xludf.DUMMYFUNCTION("""COMPUTED_VALUE"""),45351)</f>
        <v>45351</v>
      </c>
      <c r="BH583" s="40" t="str">
        <f ca="1">IFERROR(__xludf.DUMMYFUNCTION("""COMPUTED_VALUE"""),"FICHA EN TIEMPO-18 MESES")</f>
        <v>FICHA EN TIEMPO-18 MESES</v>
      </c>
      <c r="BI583" s="40" t="str">
        <f ca="1">IFERROR(__xludf.DUMMYFUNCTION("""COMPUTED_VALUE"""),"Terminada por fecha")</f>
        <v>Terminada por fecha</v>
      </c>
      <c r="BJ583" s="40" t="str">
        <f ca="1">IFERROR(__xludf.DUMMYFUNCTION("""COMPUTED_VALUE"""),"Yamboro")</f>
        <v>Yamboro</v>
      </c>
      <c r="BK583" s="40"/>
      <c r="BL583" s="40"/>
    </row>
    <row r="584" spans="1:64" ht="13">
      <c r="A584" s="40"/>
      <c r="B584" s="40" t="str">
        <f ca="1">IFERROR(__xludf.DUMMYFUNCTION("""COMPUTED_VALUE"""),"FORMACIÓN 18/10/2022")</f>
        <v>FORMACIÓN 18/10/2022</v>
      </c>
      <c r="C584" s="40" t="str">
        <f ca="1">IFERROR(__xludf.DUMMYFUNCTION("""COMPUTED_VALUE"""),"DAMIAN BOLAÑOS BOLAÑOS
")</f>
        <v xml:space="preserve">DAMIAN BOLAÑOS BOLAÑOS
</v>
      </c>
      <c r="D584" s="40" t="str">
        <f ca="1">IFERROR(__xludf.DUMMYFUNCTION("""COMPUTED_VALUE"""),"CC")</f>
        <v>CC</v>
      </c>
      <c r="E584" s="40">
        <f ca="1">IFERROR(__xludf.DUMMYFUNCTION("""COMPUTED_VALUE"""),26428939)</f>
        <v>26428939</v>
      </c>
      <c r="F584" s="40">
        <f ca="1">IFERROR(__xludf.DUMMYFUNCTION("""COMPUTED_VALUE"""),2356780)</f>
        <v>2356780</v>
      </c>
      <c r="G584" s="40" t="str">
        <f ca="1">IFERROR(__xludf.DUMMYFUNCTION("""COMPUTED_VALUE"""),"TÉCNICO")</f>
        <v>TÉCNICO</v>
      </c>
      <c r="H584" s="40" t="str">
        <f ca="1">IFERROR(__xludf.DUMMYFUNCTION("""COMPUTED_VALUE"""),"PRODUCCION DE CAFE")</f>
        <v>PRODUCCION DE CAFE</v>
      </c>
      <c r="I584" s="40"/>
      <c r="J584" s="40"/>
      <c r="K584" s="40"/>
      <c r="L584" s="40" t="str">
        <f ca="1">IFERROR(__xludf.DUMMYFUNCTION("""COMPUTED_VALUE"""),"NO HA INICIADO ETAPA PRODUCTIVA")</f>
        <v>NO HA INICIADO ETAPA PRODUCTIVA</v>
      </c>
      <c r="M584" s="40"/>
      <c r="N584" s="40"/>
      <c r="O584" s="40"/>
      <c r="P584" s="40"/>
      <c r="Q584" s="40"/>
      <c r="R584" s="140"/>
      <c r="S584" s="1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t="str">
        <f ca="1">IFERROR(__xludf.DUMMYFUNCTION("""COMPUTED_VALUE"""),"NO_CUMPLE")</f>
        <v>NO_CUMPLE</v>
      </c>
      <c r="AV584" s="40" t="str">
        <f ca="1">IFERROR(__xludf.DUMMYFUNCTION("""COMPUTED_VALUE"""),"EN FORMACION")</f>
        <v>EN FORMACION</v>
      </c>
      <c r="AW584" s="40" t="str">
        <f ca="1">IFERROR(__xludf.DUMMYFUNCTION("""COMPUTED_VALUE"""),"AGROPECUARIO")</f>
        <v>AGROPECUARIO</v>
      </c>
      <c r="AX584" s="141">
        <f ca="1">IFERROR(__xludf.DUMMYFUNCTION("""COMPUTED_VALUE"""),44839)</f>
        <v>44839</v>
      </c>
      <c r="AY584" s="40">
        <f ca="1">IFERROR(__xludf.DUMMYFUNCTION("""COMPUTED_VALUE"""),14)</f>
        <v>14</v>
      </c>
      <c r="AZ584" s="40">
        <f ca="1">IFERROR(__xludf.DUMMYFUNCTION("""COMPUTED_VALUE"""),1)</f>
        <v>1</v>
      </c>
      <c r="BA584" s="40">
        <f ca="1">IFERROR(__xludf.DUMMYFUNCTION("""COMPUTED_VALUE"""),7)</f>
        <v>7</v>
      </c>
      <c r="BB584" s="40">
        <f ca="1">IFERROR(__xludf.DUMMYFUNCTION("""COMPUTED_VALUE"""),44)</f>
        <v>44</v>
      </c>
      <c r="BC584" s="40">
        <f ca="1">IFERROR(__xludf.DUMMYFUNCTION("""COMPUTED_VALUE"""),66)</f>
        <v>66</v>
      </c>
      <c r="BD584" s="141">
        <f ca="1">IFERROR(__xludf.DUMMYFUNCTION("""COMPUTED_VALUE"""),44348)</f>
        <v>44348</v>
      </c>
      <c r="BE584" s="141">
        <f ca="1">IFERROR(__xludf.DUMMYFUNCTION("""COMPUTED_VALUE"""),44620)</f>
        <v>44620</v>
      </c>
      <c r="BF584" s="141">
        <f ca="1">IFERROR(__xludf.DUMMYFUNCTION("""COMPUTED_VALUE"""),44804)</f>
        <v>44804</v>
      </c>
      <c r="BG584" s="141">
        <f ca="1">IFERROR(__xludf.DUMMYFUNCTION("""COMPUTED_VALUE"""),45351)</f>
        <v>45351</v>
      </c>
      <c r="BH584" s="40" t="str">
        <f ca="1">IFERROR(__xludf.DUMMYFUNCTION("""COMPUTED_VALUE"""),"FICHA EN TIEMPO-18 MESES")</f>
        <v>FICHA EN TIEMPO-18 MESES</v>
      </c>
      <c r="BI584" s="40" t="str">
        <f ca="1">IFERROR(__xludf.DUMMYFUNCTION("""COMPUTED_VALUE"""),"Terminada por fecha")</f>
        <v>Terminada por fecha</v>
      </c>
      <c r="BJ584" s="40" t="str">
        <f ca="1">IFERROR(__xludf.DUMMYFUNCTION("""COMPUTED_VALUE"""),"Yamboro")</f>
        <v>Yamboro</v>
      </c>
      <c r="BK584" s="40"/>
      <c r="BL584" s="40"/>
    </row>
    <row r="585" spans="1:64" ht="13">
      <c r="A585" s="40"/>
      <c r="B585" s="40" t="str">
        <f ca="1">IFERROR(__xludf.DUMMYFUNCTION("""COMPUTED_VALUE"""),"FORMACIÓN 18/10/2022")</f>
        <v>FORMACIÓN 18/10/2022</v>
      </c>
      <c r="C585" s="40" t="str">
        <f ca="1">IFERROR(__xludf.DUMMYFUNCTION("""COMPUTED_VALUE"""),"BRAYAN ERIK CHILITO DORADO
")</f>
        <v xml:space="preserve">BRAYAN ERIK CHILITO DORADO
</v>
      </c>
      <c r="D585" s="40" t="str">
        <f ca="1">IFERROR(__xludf.DUMMYFUNCTION("""COMPUTED_VALUE"""),"CC")</f>
        <v>CC</v>
      </c>
      <c r="E585" s="40">
        <f ca="1">IFERROR(__xludf.DUMMYFUNCTION("""COMPUTED_VALUE"""),26428939)</f>
        <v>26428939</v>
      </c>
      <c r="F585" s="40">
        <f ca="1">IFERROR(__xludf.DUMMYFUNCTION("""COMPUTED_VALUE"""),2356780)</f>
        <v>2356780</v>
      </c>
      <c r="G585" s="40" t="str">
        <f ca="1">IFERROR(__xludf.DUMMYFUNCTION("""COMPUTED_VALUE"""),"TÉCNICO")</f>
        <v>TÉCNICO</v>
      </c>
      <c r="H585" s="40" t="str">
        <f ca="1">IFERROR(__xludf.DUMMYFUNCTION("""COMPUTED_VALUE"""),"PRODUCCION DE CAFE")</f>
        <v>PRODUCCION DE CAFE</v>
      </c>
      <c r="I585" s="40"/>
      <c r="J585" s="40"/>
      <c r="K585" s="40"/>
      <c r="L585" s="40" t="str">
        <f ca="1">IFERROR(__xludf.DUMMYFUNCTION("""COMPUTED_VALUE"""),"NO HA INICIADO ETAPA PRODUCTIVA")</f>
        <v>NO HA INICIADO ETAPA PRODUCTIVA</v>
      </c>
      <c r="M585" s="40"/>
      <c r="N585" s="40"/>
      <c r="O585" s="40"/>
      <c r="P585" s="40"/>
      <c r="Q585" s="40"/>
      <c r="R585" s="140"/>
      <c r="S585" s="1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t="str">
        <f ca="1">IFERROR(__xludf.DUMMYFUNCTION("""COMPUTED_VALUE"""),"NO_CUMPLE")</f>
        <v>NO_CUMPLE</v>
      </c>
      <c r="AV585" s="40" t="str">
        <f ca="1">IFERROR(__xludf.DUMMYFUNCTION("""COMPUTED_VALUE"""),"EN FORMACION")</f>
        <v>EN FORMACION</v>
      </c>
      <c r="AW585" s="40" t="str">
        <f ca="1">IFERROR(__xludf.DUMMYFUNCTION("""COMPUTED_VALUE"""),"AGROPECUARIO")</f>
        <v>AGROPECUARIO</v>
      </c>
      <c r="AX585" s="141">
        <f ca="1">IFERROR(__xludf.DUMMYFUNCTION("""COMPUTED_VALUE"""),44839)</f>
        <v>44839</v>
      </c>
      <c r="AY585" s="40">
        <f ca="1">IFERROR(__xludf.DUMMYFUNCTION("""COMPUTED_VALUE"""),14)</f>
        <v>14</v>
      </c>
      <c r="AZ585" s="40">
        <f ca="1">IFERROR(__xludf.DUMMYFUNCTION("""COMPUTED_VALUE"""),1)</f>
        <v>1</v>
      </c>
      <c r="BA585" s="40">
        <f ca="1">IFERROR(__xludf.DUMMYFUNCTION("""COMPUTED_VALUE"""),7)</f>
        <v>7</v>
      </c>
      <c r="BB585" s="40">
        <f ca="1">IFERROR(__xludf.DUMMYFUNCTION("""COMPUTED_VALUE"""),44)</f>
        <v>44</v>
      </c>
      <c r="BC585" s="40">
        <f ca="1">IFERROR(__xludf.DUMMYFUNCTION("""COMPUTED_VALUE"""),66)</f>
        <v>66</v>
      </c>
      <c r="BD585" s="141">
        <f ca="1">IFERROR(__xludf.DUMMYFUNCTION("""COMPUTED_VALUE"""),44348)</f>
        <v>44348</v>
      </c>
      <c r="BE585" s="141">
        <f ca="1">IFERROR(__xludf.DUMMYFUNCTION("""COMPUTED_VALUE"""),44620)</f>
        <v>44620</v>
      </c>
      <c r="BF585" s="141">
        <f ca="1">IFERROR(__xludf.DUMMYFUNCTION("""COMPUTED_VALUE"""),44804)</f>
        <v>44804</v>
      </c>
      <c r="BG585" s="141">
        <f ca="1">IFERROR(__xludf.DUMMYFUNCTION("""COMPUTED_VALUE"""),45351)</f>
        <v>45351</v>
      </c>
      <c r="BH585" s="40" t="str">
        <f ca="1">IFERROR(__xludf.DUMMYFUNCTION("""COMPUTED_VALUE"""),"FICHA EN TIEMPO-18 MESES")</f>
        <v>FICHA EN TIEMPO-18 MESES</v>
      </c>
      <c r="BI585" s="40" t="str">
        <f ca="1">IFERROR(__xludf.DUMMYFUNCTION("""COMPUTED_VALUE"""),"Terminada por fecha")</f>
        <v>Terminada por fecha</v>
      </c>
      <c r="BJ585" s="40" t="str">
        <f ca="1">IFERROR(__xludf.DUMMYFUNCTION("""COMPUTED_VALUE"""),"Yamboro")</f>
        <v>Yamboro</v>
      </c>
      <c r="BK585" s="40"/>
      <c r="BL585" s="40"/>
    </row>
    <row r="586" spans="1:64" ht="13">
      <c r="A586" s="40"/>
      <c r="B586" s="40" t="str">
        <f ca="1">IFERROR(__xludf.DUMMYFUNCTION("""COMPUTED_VALUE"""),"FORMACIÓN 18/10/2022")</f>
        <v>FORMACIÓN 18/10/2022</v>
      </c>
      <c r="C586" s="40" t="str">
        <f ca="1">IFERROR(__xludf.DUMMYFUNCTION("""COMPUTED_VALUE"""),"YOHANA GONZALEZ GOMEZ
")</f>
        <v xml:space="preserve">YOHANA GONZALEZ GOMEZ
</v>
      </c>
      <c r="D586" s="40" t="str">
        <f ca="1">IFERROR(__xludf.DUMMYFUNCTION("""COMPUTED_VALUE"""),"CC")</f>
        <v>CC</v>
      </c>
      <c r="E586" s="40">
        <f ca="1">IFERROR(__xludf.DUMMYFUNCTION("""COMPUTED_VALUE"""),26428939)</f>
        <v>26428939</v>
      </c>
      <c r="F586" s="40">
        <f ca="1">IFERROR(__xludf.DUMMYFUNCTION("""COMPUTED_VALUE"""),2356780)</f>
        <v>2356780</v>
      </c>
      <c r="G586" s="40" t="str">
        <f ca="1">IFERROR(__xludf.DUMMYFUNCTION("""COMPUTED_VALUE"""),"TÉCNICO")</f>
        <v>TÉCNICO</v>
      </c>
      <c r="H586" s="40" t="str">
        <f ca="1">IFERROR(__xludf.DUMMYFUNCTION("""COMPUTED_VALUE"""),"PRODUCCION DE CAFE")</f>
        <v>PRODUCCION DE CAFE</v>
      </c>
      <c r="I586" s="40"/>
      <c r="J586" s="40"/>
      <c r="K586" s="40"/>
      <c r="L586" s="40" t="str">
        <f ca="1">IFERROR(__xludf.DUMMYFUNCTION("""COMPUTED_VALUE"""),"NO HA INICIADO ETAPA PRODUCTIVA")</f>
        <v>NO HA INICIADO ETAPA PRODUCTIVA</v>
      </c>
      <c r="M586" s="40"/>
      <c r="N586" s="40"/>
      <c r="O586" s="40"/>
      <c r="P586" s="40"/>
      <c r="Q586" s="40"/>
      <c r="R586" s="140"/>
      <c r="S586" s="1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t="str">
        <f ca="1">IFERROR(__xludf.DUMMYFUNCTION("""COMPUTED_VALUE"""),"NO_CUMPLE")</f>
        <v>NO_CUMPLE</v>
      </c>
      <c r="AV586" s="40" t="str">
        <f ca="1">IFERROR(__xludf.DUMMYFUNCTION("""COMPUTED_VALUE"""),"EN FORMACION")</f>
        <v>EN FORMACION</v>
      </c>
      <c r="AW586" s="40" t="str">
        <f ca="1">IFERROR(__xludf.DUMMYFUNCTION("""COMPUTED_VALUE"""),"AGROPECUARIO")</f>
        <v>AGROPECUARIO</v>
      </c>
      <c r="AX586" s="141">
        <f ca="1">IFERROR(__xludf.DUMMYFUNCTION("""COMPUTED_VALUE"""),44839)</f>
        <v>44839</v>
      </c>
      <c r="AY586" s="40">
        <f ca="1">IFERROR(__xludf.DUMMYFUNCTION("""COMPUTED_VALUE"""),1)</f>
        <v>1</v>
      </c>
      <c r="AZ586" s="40">
        <f ca="1">IFERROR(__xludf.DUMMYFUNCTION("""COMPUTED_VALUE"""),1)</f>
        <v>1</v>
      </c>
      <c r="BA586" s="40">
        <f ca="1">IFERROR(__xludf.DUMMYFUNCTION("""COMPUTED_VALUE"""),0)</f>
        <v>0</v>
      </c>
      <c r="BB586" s="40">
        <f ca="1">IFERROR(__xludf.DUMMYFUNCTION("""COMPUTED_VALUE"""),0)</f>
        <v>0</v>
      </c>
      <c r="BC586" s="40">
        <f ca="1">IFERROR(__xludf.DUMMYFUNCTION("""COMPUTED_VALUE"""),2)</f>
        <v>2</v>
      </c>
      <c r="BD586" s="141">
        <f ca="1">IFERROR(__xludf.DUMMYFUNCTION("""COMPUTED_VALUE"""),44348)</f>
        <v>44348</v>
      </c>
      <c r="BE586" s="141">
        <f ca="1">IFERROR(__xludf.DUMMYFUNCTION("""COMPUTED_VALUE"""),44620)</f>
        <v>44620</v>
      </c>
      <c r="BF586" s="141">
        <f ca="1">IFERROR(__xludf.DUMMYFUNCTION("""COMPUTED_VALUE"""),44804)</f>
        <v>44804</v>
      </c>
      <c r="BG586" s="141">
        <f ca="1">IFERROR(__xludf.DUMMYFUNCTION("""COMPUTED_VALUE"""),45351)</f>
        <v>45351</v>
      </c>
      <c r="BH586" s="40" t="str">
        <f ca="1">IFERROR(__xludf.DUMMYFUNCTION("""COMPUTED_VALUE"""),"FICHA EN TIEMPO-18 MESES")</f>
        <v>FICHA EN TIEMPO-18 MESES</v>
      </c>
      <c r="BI586" s="40" t="str">
        <f ca="1">IFERROR(__xludf.DUMMYFUNCTION("""COMPUTED_VALUE"""),"Terminada por fecha")</f>
        <v>Terminada por fecha</v>
      </c>
      <c r="BJ586" s="40" t="str">
        <f ca="1">IFERROR(__xludf.DUMMYFUNCTION("""COMPUTED_VALUE"""),"Yamboro")</f>
        <v>Yamboro</v>
      </c>
      <c r="BK586" s="40"/>
      <c r="BL586" s="40"/>
    </row>
    <row r="587" spans="1:64" ht="13">
      <c r="A587" s="40"/>
      <c r="B587" s="40" t="str">
        <f ca="1">IFERROR(__xludf.DUMMYFUNCTION("""COMPUTED_VALUE"""),"FORMACIÓN 18/10/2022")</f>
        <v>FORMACIÓN 18/10/2022</v>
      </c>
      <c r="C587" s="40" t="str">
        <f ca="1">IFERROR(__xludf.DUMMYFUNCTION("""COMPUTED_VALUE"""),"ELIANA SOFIA BENAVIDEZ MUÑOZ
")</f>
        <v xml:space="preserve">ELIANA SOFIA BENAVIDEZ MUÑOZ
</v>
      </c>
      <c r="D587" s="40" t="str">
        <f ca="1">IFERROR(__xludf.DUMMYFUNCTION("""COMPUTED_VALUE"""),"CC")</f>
        <v>CC</v>
      </c>
      <c r="E587" s="40">
        <f ca="1">IFERROR(__xludf.DUMMYFUNCTION("""COMPUTED_VALUE"""),26428939)</f>
        <v>26428939</v>
      </c>
      <c r="F587" s="40">
        <f ca="1">IFERROR(__xludf.DUMMYFUNCTION("""COMPUTED_VALUE"""),2356780)</f>
        <v>2356780</v>
      </c>
      <c r="G587" s="40" t="str">
        <f ca="1">IFERROR(__xludf.DUMMYFUNCTION("""COMPUTED_VALUE"""),"TÉCNICO")</f>
        <v>TÉCNICO</v>
      </c>
      <c r="H587" s="40" t="str">
        <f ca="1">IFERROR(__xludf.DUMMYFUNCTION("""COMPUTED_VALUE"""),"PRODUCCION DE CAFE")</f>
        <v>PRODUCCION DE CAFE</v>
      </c>
      <c r="I587" s="40"/>
      <c r="J587" s="40"/>
      <c r="K587" s="40"/>
      <c r="L587" s="40" t="str">
        <f ca="1">IFERROR(__xludf.DUMMYFUNCTION("""COMPUTED_VALUE"""),"NO HA INICIADO ETAPA PRODUCTIVA")</f>
        <v>NO HA INICIADO ETAPA PRODUCTIVA</v>
      </c>
      <c r="M587" s="40"/>
      <c r="N587" s="40"/>
      <c r="O587" s="40"/>
      <c r="P587" s="40"/>
      <c r="Q587" s="40"/>
      <c r="R587" s="140"/>
      <c r="S587" s="1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t="str">
        <f ca="1">IFERROR(__xludf.DUMMYFUNCTION("""COMPUTED_VALUE"""),"NO_CUMPLE")</f>
        <v>NO_CUMPLE</v>
      </c>
      <c r="AV587" s="40" t="str">
        <f ca="1">IFERROR(__xludf.DUMMYFUNCTION("""COMPUTED_VALUE"""),"EN FORMACION")</f>
        <v>EN FORMACION</v>
      </c>
      <c r="AW587" s="40" t="str">
        <f ca="1">IFERROR(__xludf.DUMMYFUNCTION("""COMPUTED_VALUE"""),"AGROPECUARIO")</f>
        <v>AGROPECUARIO</v>
      </c>
      <c r="AX587" s="141">
        <f ca="1">IFERROR(__xludf.DUMMYFUNCTION("""COMPUTED_VALUE"""),44839)</f>
        <v>44839</v>
      </c>
      <c r="AY587" s="40">
        <f ca="1">IFERROR(__xludf.DUMMYFUNCTION("""COMPUTED_VALUE"""),13)</f>
        <v>13</v>
      </c>
      <c r="AZ587" s="40">
        <f ca="1">IFERROR(__xludf.DUMMYFUNCTION("""COMPUTED_VALUE"""),1)</f>
        <v>1</v>
      </c>
      <c r="BA587" s="40">
        <f ca="1">IFERROR(__xludf.DUMMYFUNCTION("""COMPUTED_VALUE"""),7)</f>
        <v>7</v>
      </c>
      <c r="BB587" s="40">
        <f ca="1">IFERROR(__xludf.DUMMYFUNCTION("""COMPUTED_VALUE"""),29)</f>
        <v>29</v>
      </c>
      <c r="BC587" s="40">
        <f ca="1">IFERROR(__xludf.DUMMYFUNCTION("""COMPUTED_VALUE"""),50)</f>
        <v>50</v>
      </c>
      <c r="BD587" s="141">
        <f ca="1">IFERROR(__xludf.DUMMYFUNCTION("""COMPUTED_VALUE"""),44348)</f>
        <v>44348</v>
      </c>
      <c r="BE587" s="141">
        <f ca="1">IFERROR(__xludf.DUMMYFUNCTION("""COMPUTED_VALUE"""),44620)</f>
        <v>44620</v>
      </c>
      <c r="BF587" s="141">
        <f ca="1">IFERROR(__xludf.DUMMYFUNCTION("""COMPUTED_VALUE"""),44804)</f>
        <v>44804</v>
      </c>
      <c r="BG587" s="141">
        <f ca="1">IFERROR(__xludf.DUMMYFUNCTION("""COMPUTED_VALUE"""),45351)</f>
        <v>45351</v>
      </c>
      <c r="BH587" s="40" t="str">
        <f ca="1">IFERROR(__xludf.DUMMYFUNCTION("""COMPUTED_VALUE"""),"FICHA EN TIEMPO-18 MESES")</f>
        <v>FICHA EN TIEMPO-18 MESES</v>
      </c>
      <c r="BI587" s="40" t="str">
        <f ca="1">IFERROR(__xludf.DUMMYFUNCTION("""COMPUTED_VALUE"""),"Terminada por fecha")</f>
        <v>Terminada por fecha</v>
      </c>
      <c r="BJ587" s="40" t="str">
        <f ca="1">IFERROR(__xludf.DUMMYFUNCTION("""COMPUTED_VALUE"""),"Yamboro")</f>
        <v>Yamboro</v>
      </c>
      <c r="BK587" s="40"/>
      <c r="BL587" s="40"/>
    </row>
    <row r="588" spans="1:64" ht="13">
      <c r="A588" s="40"/>
      <c r="B588" s="40" t="str">
        <f ca="1">IFERROR(__xludf.DUMMYFUNCTION("""COMPUTED_VALUE"""),"FORMACIÓN 18/10/2022")</f>
        <v>FORMACIÓN 18/10/2022</v>
      </c>
      <c r="C588" s="40" t="str">
        <f ca="1">IFERROR(__xludf.DUMMYFUNCTION("""COMPUTED_VALUE"""),"LEIZA JOHANA BURBANO MUÑOZ
")</f>
        <v xml:space="preserve">LEIZA JOHANA BURBANO MUÑOZ
</v>
      </c>
      <c r="D588" s="40" t="str">
        <f ca="1">IFERROR(__xludf.DUMMYFUNCTION("""COMPUTED_VALUE"""),"CC")</f>
        <v>CC</v>
      </c>
      <c r="E588" s="40">
        <f ca="1">IFERROR(__xludf.DUMMYFUNCTION("""COMPUTED_VALUE"""),26428939)</f>
        <v>26428939</v>
      </c>
      <c r="F588" s="40">
        <f ca="1">IFERROR(__xludf.DUMMYFUNCTION("""COMPUTED_VALUE"""),2356780)</f>
        <v>2356780</v>
      </c>
      <c r="G588" s="40" t="str">
        <f ca="1">IFERROR(__xludf.DUMMYFUNCTION("""COMPUTED_VALUE"""),"TÉCNICO")</f>
        <v>TÉCNICO</v>
      </c>
      <c r="H588" s="40" t="str">
        <f ca="1">IFERROR(__xludf.DUMMYFUNCTION("""COMPUTED_VALUE"""),"PRODUCCION DE CAFE")</f>
        <v>PRODUCCION DE CAFE</v>
      </c>
      <c r="I588" s="40"/>
      <c r="J588" s="40"/>
      <c r="K588" s="40"/>
      <c r="L588" s="40" t="str">
        <f ca="1">IFERROR(__xludf.DUMMYFUNCTION("""COMPUTED_VALUE"""),"NO HA INICIADO ETAPA PRODUCTIVA")</f>
        <v>NO HA INICIADO ETAPA PRODUCTIVA</v>
      </c>
      <c r="M588" s="40"/>
      <c r="N588" s="40"/>
      <c r="O588" s="40"/>
      <c r="P588" s="40"/>
      <c r="Q588" s="40"/>
      <c r="R588" s="140"/>
      <c r="S588" s="1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t="str">
        <f ca="1">IFERROR(__xludf.DUMMYFUNCTION("""COMPUTED_VALUE"""),"Procede_E_P")</f>
        <v>Procede_E_P</v>
      </c>
      <c r="AV588" s="40" t="str">
        <f ca="1">IFERROR(__xludf.DUMMYFUNCTION("""COMPUTED_VALUE"""),"EN FORMACION")</f>
        <v>EN FORMACION</v>
      </c>
      <c r="AW588" s="40" t="str">
        <f ca="1">IFERROR(__xludf.DUMMYFUNCTION("""COMPUTED_VALUE"""),"AGROPECUARIO")</f>
        <v>AGROPECUARIO</v>
      </c>
      <c r="AX588" s="141">
        <f ca="1">IFERROR(__xludf.DUMMYFUNCTION("""COMPUTED_VALUE"""),44839)</f>
        <v>44839</v>
      </c>
      <c r="AY588" s="40">
        <f ca="1">IFERROR(__xludf.DUMMYFUNCTION("""COMPUTED_VALUE"""),0)</f>
        <v>0</v>
      </c>
      <c r="AZ588" s="40">
        <f ca="1">IFERROR(__xludf.DUMMYFUNCTION("""COMPUTED_VALUE"""),1)</f>
        <v>1</v>
      </c>
      <c r="BA588" s="40">
        <f ca="1">IFERROR(__xludf.DUMMYFUNCTION("""COMPUTED_VALUE"""),0)</f>
        <v>0</v>
      </c>
      <c r="BB588" s="40">
        <f ca="1">IFERROR(__xludf.DUMMYFUNCTION("""COMPUTED_VALUE"""),0)</f>
        <v>0</v>
      </c>
      <c r="BC588" s="40">
        <f ca="1">IFERROR(__xludf.DUMMYFUNCTION("""COMPUTED_VALUE"""),1)</f>
        <v>1</v>
      </c>
      <c r="BD588" s="141">
        <f ca="1">IFERROR(__xludf.DUMMYFUNCTION("""COMPUTED_VALUE"""),44348)</f>
        <v>44348</v>
      </c>
      <c r="BE588" s="141">
        <f ca="1">IFERROR(__xludf.DUMMYFUNCTION("""COMPUTED_VALUE"""),44620)</f>
        <v>44620</v>
      </c>
      <c r="BF588" s="141">
        <f ca="1">IFERROR(__xludf.DUMMYFUNCTION("""COMPUTED_VALUE"""),44804)</f>
        <v>44804</v>
      </c>
      <c r="BG588" s="141">
        <f ca="1">IFERROR(__xludf.DUMMYFUNCTION("""COMPUTED_VALUE"""),45351)</f>
        <v>45351</v>
      </c>
      <c r="BH588" s="40" t="str">
        <f ca="1">IFERROR(__xludf.DUMMYFUNCTION("""COMPUTED_VALUE"""),"FICHA EN TIEMPO-18 MESES")</f>
        <v>FICHA EN TIEMPO-18 MESES</v>
      </c>
      <c r="BI588" s="40" t="str">
        <f ca="1">IFERROR(__xludf.DUMMYFUNCTION("""COMPUTED_VALUE"""),"Terminada por fecha")</f>
        <v>Terminada por fecha</v>
      </c>
      <c r="BJ588" s="40" t="str">
        <f ca="1">IFERROR(__xludf.DUMMYFUNCTION("""COMPUTED_VALUE"""),"Yamboro")</f>
        <v>Yamboro</v>
      </c>
      <c r="BK588" s="40"/>
      <c r="BL588" s="40"/>
    </row>
    <row r="589" spans="1:64" ht="13">
      <c r="A589" s="40"/>
      <c r="B589" s="40" t="str">
        <f ca="1">IFERROR(__xludf.DUMMYFUNCTION("""COMPUTED_VALUE"""),"FORMACIÓN 18/10/2022")</f>
        <v>FORMACIÓN 18/10/2022</v>
      </c>
      <c r="C589" s="40" t="str">
        <f ca="1">IFERROR(__xludf.DUMMYFUNCTION("""COMPUTED_VALUE"""),"ANA PATRICIA HOYOS TORO
")</f>
        <v xml:space="preserve">ANA PATRICIA HOYOS TORO
</v>
      </c>
      <c r="D589" s="40" t="str">
        <f ca="1">IFERROR(__xludf.DUMMYFUNCTION("""COMPUTED_VALUE"""),"CC")</f>
        <v>CC</v>
      </c>
      <c r="E589" s="40">
        <f ca="1">IFERROR(__xludf.DUMMYFUNCTION("""COMPUTED_VALUE"""),26428939)</f>
        <v>26428939</v>
      </c>
      <c r="F589" s="40">
        <f ca="1">IFERROR(__xludf.DUMMYFUNCTION("""COMPUTED_VALUE"""),2356780)</f>
        <v>2356780</v>
      </c>
      <c r="G589" s="40" t="str">
        <f ca="1">IFERROR(__xludf.DUMMYFUNCTION("""COMPUTED_VALUE"""),"TÉCNICO")</f>
        <v>TÉCNICO</v>
      </c>
      <c r="H589" s="40" t="str">
        <f ca="1">IFERROR(__xludf.DUMMYFUNCTION("""COMPUTED_VALUE"""),"PRODUCCION DE CAFE")</f>
        <v>PRODUCCION DE CAFE</v>
      </c>
      <c r="I589" s="40"/>
      <c r="J589" s="40"/>
      <c r="K589" s="40"/>
      <c r="L589" s="40" t="str">
        <f ca="1">IFERROR(__xludf.DUMMYFUNCTION("""COMPUTED_VALUE"""),"NO HA INICIADO ETAPA PRODUCTIVA")</f>
        <v>NO HA INICIADO ETAPA PRODUCTIVA</v>
      </c>
      <c r="M589" s="40"/>
      <c r="N589" s="40"/>
      <c r="O589" s="40"/>
      <c r="P589" s="40"/>
      <c r="Q589" s="40"/>
      <c r="R589" s="140"/>
      <c r="S589" s="1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t="str">
        <f ca="1">IFERROR(__xludf.DUMMYFUNCTION("""COMPUTED_VALUE"""),"Procede_E_P")</f>
        <v>Procede_E_P</v>
      </c>
      <c r="AV589" s="40" t="str">
        <f ca="1">IFERROR(__xludf.DUMMYFUNCTION("""COMPUTED_VALUE"""),"EN FORMACION")</f>
        <v>EN FORMACION</v>
      </c>
      <c r="AW589" s="40" t="str">
        <f ca="1">IFERROR(__xludf.DUMMYFUNCTION("""COMPUTED_VALUE"""),"AGROPECUARIO")</f>
        <v>AGROPECUARIO</v>
      </c>
      <c r="AX589" s="141">
        <f ca="1">IFERROR(__xludf.DUMMYFUNCTION("""COMPUTED_VALUE"""),44839)</f>
        <v>44839</v>
      </c>
      <c r="AY589" s="40">
        <f ca="1">IFERROR(__xludf.DUMMYFUNCTION("""COMPUTED_VALUE"""),0)</f>
        <v>0</v>
      </c>
      <c r="AZ589" s="40">
        <f ca="1">IFERROR(__xludf.DUMMYFUNCTION("""COMPUTED_VALUE"""),1)</f>
        <v>1</v>
      </c>
      <c r="BA589" s="40">
        <f ca="1">IFERROR(__xludf.DUMMYFUNCTION("""COMPUTED_VALUE"""),0)</f>
        <v>0</v>
      </c>
      <c r="BB589" s="40">
        <f ca="1">IFERROR(__xludf.DUMMYFUNCTION("""COMPUTED_VALUE"""),0)</f>
        <v>0</v>
      </c>
      <c r="BC589" s="40">
        <f ca="1">IFERROR(__xludf.DUMMYFUNCTION("""COMPUTED_VALUE"""),1)</f>
        <v>1</v>
      </c>
      <c r="BD589" s="141">
        <f ca="1">IFERROR(__xludf.DUMMYFUNCTION("""COMPUTED_VALUE"""),44348)</f>
        <v>44348</v>
      </c>
      <c r="BE589" s="141">
        <f ca="1">IFERROR(__xludf.DUMMYFUNCTION("""COMPUTED_VALUE"""),44620)</f>
        <v>44620</v>
      </c>
      <c r="BF589" s="141">
        <f ca="1">IFERROR(__xludf.DUMMYFUNCTION("""COMPUTED_VALUE"""),44804)</f>
        <v>44804</v>
      </c>
      <c r="BG589" s="141">
        <f ca="1">IFERROR(__xludf.DUMMYFUNCTION("""COMPUTED_VALUE"""),45351)</f>
        <v>45351</v>
      </c>
      <c r="BH589" s="40" t="str">
        <f ca="1">IFERROR(__xludf.DUMMYFUNCTION("""COMPUTED_VALUE"""),"FICHA EN TIEMPO-18 MESES")</f>
        <v>FICHA EN TIEMPO-18 MESES</v>
      </c>
      <c r="BI589" s="40" t="str">
        <f ca="1">IFERROR(__xludf.DUMMYFUNCTION("""COMPUTED_VALUE"""),"Terminada por fecha")</f>
        <v>Terminada por fecha</v>
      </c>
      <c r="BJ589" s="40" t="str">
        <f ca="1">IFERROR(__xludf.DUMMYFUNCTION("""COMPUTED_VALUE"""),"Yamboro")</f>
        <v>Yamboro</v>
      </c>
      <c r="BK589" s="40"/>
      <c r="BL589" s="40"/>
    </row>
    <row r="590" spans="1:64" ht="13">
      <c r="A590" s="40"/>
      <c r="B590" s="40" t="str">
        <f ca="1">IFERROR(__xludf.DUMMYFUNCTION("""COMPUTED_VALUE"""),"FORMACIÓN 18/10/2022")</f>
        <v>FORMACIÓN 18/10/2022</v>
      </c>
      <c r="C590" s="40" t="str">
        <f ca="1">IFERROR(__xludf.DUMMYFUNCTION("""COMPUTED_VALUE"""),"EDINSON MARTIN  CHITO RAMOS
")</f>
        <v xml:space="preserve">EDINSON MARTIN  CHITO RAMOS
</v>
      </c>
      <c r="D590" s="40" t="str">
        <f ca="1">IFERROR(__xludf.DUMMYFUNCTION("""COMPUTED_VALUE"""),"CC")</f>
        <v>CC</v>
      </c>
      <c r="E590" s="40">
        <f ca="1">IFERROR(__xludf.DUMMYFUNCTION("""COMPUTED_VALUE"""),26428939)</f>
        <v>26428939</v>
      </c>
      <c r="F590" s="40">
        <f ca="1">IFERROR(__xludf.DUMMYFUNCTION("""COMPUTED_VALUE"""),2356780)</f>
        <v>2356780</v>
      </c>
      <c r="G590" s="40" t="str">
        <f ca="1">IFERROR(__xludf.DUMMYFUNCTION("""COMPUTED_VALUE"""),"TÉCNICO")</f>
        <v>TÉCNICO</v>
      </c>
      <c r="H590" s="40" t="str">
        <f ca="1">IFERROR(__xludf.DUMMYFUNCTION("""COMPUTED_VALUE"""),"PRODUCCION DE CAFE")</f>
        <v>PRODUCCION DE CAFE</v>
      </c>
      <c r="I590" s="40"/>
      <c r="J590" s="40"/>
      <c r="K590" s="40"/>
      <c r="L590" s="40" t="str">
        <f ca="1">IFERROR(__xludf.DUMMYFUNCTION("""COMPUTED_VALUE"""),"NO HA INICIADO ETAPA PRODUCTIVA")</f>
        <v>NO HA INICIADO ETAPA PRODUCTIVA</v>
      </c>
      <c r="M590" s="40"/>
      <c r="N590" s="40"/>
      <c r="O590" s="40"/>
      <c r="P590" s="40"/>
      <c r="Q590" s="40"/>
      <c r="R590" s="140"/>
      <c r="S590" s="1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t="str">
        <f ca="1">IFERROR(__xludf.DUMMYFUNCTION("""COMPUTED_VALUE"""),"Procede_E_P")</f>
        <v>Procede_E_P</v>
      </c>
      <c r="AV590" s="40" t="str">
        <f ca="1">IFERROR(__xludf.DUMMYFUNCTION("""COMPUTED_VALUE"""),"EN FORMACION")</f>
        <v>EN FORMACION</v>
      </c>
      <c r="AW590" s="40" t="str">
        <f ca="1">IFERROR(__xludf.DUMMYFUNCTION("""COMPUTED_VALUE"""),"AGROPECUARIO")</f>
        <v>AGROPECUARIO</v>
      </c>
      <c r="AX590" s="141">
        <f ca="1">IFERROR(__xludf.DUMMYFUNCTION("""COMPUTED_VALUE"""),44839)</f>
        <v>44839</v>
      </c>
      <c r="AY590" s="40">
        <f ca="1">IFERROR(__xludf.DUMMYFUNCTION("""COMPUTED_VALUE"""),0)</f>
        <v>0</v>
      </c>
      <c r="AZ590" s="40">
        <f ca="1">IFERROR(__xludf.DUMMYFUNCTION("""COMPUTED_VALUE"""),1)</f>
        <v>1</v>
      </c>
      <c r="BA590" s="40">
        <f ca="1">IFERROR(__xludf.DUMMYFUNCTION("""COMPUTED_VALUE"""),0)</f>
        <v>0</v>
      </c>
      <c r="BB590" s="40">
        <f ca="1">IFERROR(__xludf.DUMMYFUNCTION("""COMPUTED_VALUE"""),0)</f>
        <v>0</v>
      </c>
      <c r="BC590" s="40">
        <f ca="1">IFERROR(__xludf.DUMMYFUNCTION("""COMPUTED_VALUE"""),1)</f>
        <v>1</v>
      </c>
      <c r="BD590" s="141">
        <f ca="1">IFERROR(__xludf.DUMMYFUNCTION("""COMPUTED_VALUE"""),44348)</f>
        <v>44348</v>
      </c>
      <c r="BE590" s="141">
        <f ca="1">IFERROR(__xludf.DUMMYFUNCTION("""COMPUTED_VALUE"""),44620)</f>
        <v>44620</v>
      </c>
      <c r="BF590" s="141">
        <f ca="1">IFERROR(__xludf.DUMMYFUNCTION("""COMPUTED_VALUE"""),44804)</f>
        <v>44804</v>
      </c>
      <c r="BG590" s="141">
        <f ca="1">IFERROR(__xludf.DUMMYFUNCTION("""COMPUTED_VALUE"""),45351)</f>
        <v>45351</v>
      </c>
      <c r="BH590" s="40" t="str">
        <f ca="1">IFERROR(__xludf.DUMMYFUNCTION("""COMPUTED_VALUE"""),"FICHA EN TIEMPO-18 MESES")</f>
        <v>FICHA EN TIEMPO-18 MESES</v>
      </c>
      <c r="BI590" s="40" t="str">
        <f ca="1">IFERROR(__xludf.DUMMYFUNCTION("""COMPUTED_VALUE"""),"Terminada por fecha")</f>
        <v>Terminada por fecha</v>
      </c>
      <c r="BJ590" s="40" t="str">
        <f ca="1">IFERROR(__xludf.DUMMYFUNCTION("""COMPUTED_VALUE"""),"Yamboro")</f>
        <v>Yamboro</v>
      </c>
      <c r="BK590" s="40"/>
      <c r="BL590" s="40"/>
    </row>
    <row r="591" spans="1:64" ht="13">
      <c r="A591" s="40"/>
      <c r="B591" s="40" t="str">
        <f ca="1">IFERROR(__xludf.DUMMYFUNCTION("""COMPUTED_VALUE"""),"FORMACIÓN 18/10/2022")</f>
        <v>FORMACIÓN 18/10/2022</v>
      </c>
      <c r="C591" s="40" t="str">
        <f ca="1">IFERROR(__xludf.DUMMYFUNCTION("""COMPUTED_VALUE"""),"ADRIANA LORENA  HOYOS CARLOSAMA
")</f>
        <v xml:space="preserve">ADRIANA LORENA  HOYOS CARLOSAMA
</v>
      </c>
      <c r="D591" s="40" t="str">
        <f ca="1">IFERROR(__xludf.DUMMYFUNCTION("""COMPUTED_VALUE"""),"CC")</f>
        <v>CC</v>
      </c>
      <c r="E591" s="40">
        <f ca="1">IFERROR(__xludf.DUMMYFUNCTION("""COMPUTED_VALUE"""),26428939)</f>
        <v>26428939</v>
      </c>
      <c r="F591" s="40">
        <f ca="1">IFERROR(__xludf.DUMMYFUNCTION("""COMPUTED_VALUE"""),2356780)</f>
        <v>2356780</v>
      </c>
      <c r="G591" s="40" t="str">
        <f ca="1">IFERROR(__xludf.DUMMYFUNCTION("""COMPUTED_VALUE"""),"TÉCNICO")</f>
        <v>TÉCNICO</v>
      </c>
      <c r="H591" s="40" t="str">
        <f ca="1">IFERROR(__xludf.DUMMYFUNCTION("""COMPUTED_VALUE"""),"PRODUCCION DE CAFE")</f>
        <v>PRODUCCION DE CAFE</v>
      </c>
      <c r="I591" s="40"/>
      <c r="J591" s="40"/>
      <c r="K591" s="40"/>
      <c r="L591" s="40" t="str">
        <f ca="1">IFERROR(__xludf.DUMMYFUNCTION("""COMPUTED_VALUE"""),"NO HA INICIADO ETAPA PRODUCTIVA")</f>
        <v>NO HA INICIADO ETAPA PRODUCTIVA</v>
      </c>
      <c r="M591" s="40"/>
      <c r="N591" s="40"/>
      <c r="O591" s="40"/>
      <c r="P591" s="40"/>
      <c r="Q591" s="40"/>
      <c r="R591" s="140"/>
      <c r="S591" s="1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t="str">
        <f ca="1">IFERROR(__xludf.DUMMYFUNCTION("""COMPUTED_VALUE"""),"NO_CUMPLE")</f>
        <v>NO_CUMPLE</v>
      </c>
      <c r="AV591" s="40" t="str">
        <f ca="1">IFERROR(__xludf.DUMMYFUNCTION("""COMPUTED_VALUE"""),"EN FORMACION")</f>
        <v>EN FORMACION</v>
      </c>
      <c r="AW591" s="40" t="str">
        <f ca="1">IFERROR(__xludf.DUMMYFUNCTION("""COMPUTED_VALUE"""),"AGROPECUARIO")</f>
        <v>AGROPECUARIO</v>
      </c>
      <c r="AX591" s="141">
        <f ca="1">IFERROR(__xludf.DUMMYFUNCTION("""COMPUTED_VALUE"""),44839)</f>
        <v>44839</v>
      </c>
      <c r="AY591" s="40">
        <f ca="1">IFERROR(__xludf.DUMMYFUNCTION("""COMPUTED_VALUE"""),14)</f>
        <v>14</v>
      </c>
      <c r="AZ591" s="40">
        <f ca="1">IFERROR(__xludf.DUMMYFUNCTION("""COMPUTED_VALUE"""),1)</f>
        <v>1</v>
      </c>
      <c r="BA591" s="40">
        <f ca="1">IFERROR(__xludf.DUMMYFUNCTION("""COMPUTED_VALUE"""),7)</f>
        <v>7</v>
      </c>
      <c r="BB591" s="40">
        <f ca="1">IFERROR(__xludf.DUMMYFUNCTION("""COMPUTED_VALUE"""),44)</f>
        <v>44</v>
      </c>
      <c r="BC591" s="40">
        <f ca="1">IFERROR(__xludf.DUMMYFUNCTION("""COMPUTED_VALUE"""),66)</f>
        <v>66</v>
      </c>
      <c r="BD591" s="141">
        <f ca="1">IFERROR(__xludf.DUMMYFUNCTION("""COMPUTED_VALUE"""),44348)</f>
        <v>44348</v>
      </c>
      <c r="BE591" s="141">
        <f ca="1">IFERROR(__xludf.DUMMYFUNCTION("""COMPUTED_VALUE"""),44620)</f>
        <v>44620</v>
      </c>
      <c r="BF591" s="141">
        <f ca="1">IFERROR(__xludf.DUMMYFUNCTION("""COMPUTED_VALUE"""),44804)</f>
        <v>44804</v>
      </c>
      <c r="BG591" s="141">
        <f ca="1">IFERROR(__xludf.DUMMYFUNCTION("""COMPUTED_VALUE"""),45351)</f>
        <v>45351</v>
      </c>
      <c r="BH591" s="40" t="str">
        <f ca="1">IFERROR(__xludf.DUMMYFUNCTION("""COMPUTED_VALUE"""),"FICHA EN TIEMPO-18 MESES")</f>
        <v>FICHA EN TIEMPO-18 MESES</v>
      </c>
      <c r="BI591" s="40" t="str">
        <f ca="1">IFERROR(__xludf.DUMMYFUNCTION("""COMPUTED_VALUE"""),"Terminada por fecha")</f>
        <v>Terminada por fecha</v>
      </c>
      <c r="BJ591" s="40" t="str">
        <f ca="1">IFERROR(__xludf.DUMMYFUNCTION("""COMPUTED_VALUE"""),"Yamboro")</f>
        <v>Yamboro</v>
      </c>
      <c r="BK591" s="40"/>
      <c r="BL591" s="40"/>
    </row>
    <row r="592" spans="1:64" ht="13">
      <c r="A592" s="40"/>
      <c r="B592" s="40" t="str">
        <f ca="1">IFERROR(__xludf.DUMMYFUNCTION("""COMPUTED_VALUE"""),"FORMACIÓN 18/10/2022")</f>
        <v>FORMACIÓN 18/10/2022</v>
      </c>
      <c r="C592" s="40" t="str">
        <f ca="1">IFERROR(__xludf.DUMMYFUNCTION("""COMPUTED_VALUE"""),"LUIS FERNANDO BENAVIDEZ GALINDEZ
")</f>
        <v xml:space="preserve">LUIS FERNANDO BENAVIDEZ GALINDEZ
</v>
      </c>
      <c r="D592" s="40" t="str">
        <f ca="1">IFERROR(__xludf.DUMMYFUNCTION("""COMPUTED_VALUE"""),"CC")</f>
        <v>CC</v>
      </c>
      <c r="E592" s="40">
        <f ca="1">IFERROR(__xludf.DUMMYFUNCTION("""COMPUTED_VALUE"""),26428939)</f>
        <v>26428939</v>
      </c>
      <c r="F592" s="40">
        <f ca="1">IFERROR(__xludf.DUMMYFUNCTION("""COMPUTED_VALUE"""),2356780)</f>
        <v>2356780</v>
      </c>
      <c r="G592" s="40" t="str">
        <f ca="1">IFERROR(__xludf.DUMMYFUNCTION("""COMPUTED_VALUE"""),"TÉCNICO")</f>
        <v>TÉCNICO</v>
      </c>
      <c r="H592" s="40" t="str">
        <f ca="1">IFERROR(__xludf.DUMMYFUNCTION("""COMPUTED_VALUE"""),"PRODUCCION DE CAFE")</f>
        <v>PRODUCCION DE CAFE</v>
      </c>
      <c r="I592" s="40"/>
      <c r="J592" s="40"/>
      <c r="K592" s="40"/>
      <c r="L592" s="40" t="str">
        <f ca="1">IFERROR(__xludf.DUMMYFUNCTION("""COMPUTED_VALUE"""),"NO HA INICIADO ETAPA PRODUCTIVA")</f>
        <v>NO HA INICIADO ETAPA PRODUCTIVA</v>
      </c>
      <c r="M592" s="40"/>
      <c r="N592" s="40"/>
      <c r="O592" s="40"/>
      <c r="P592" s="40"/>
      <c r="Q592" s="40"/>
      <c r="R592" s="140"/>
      <c r="S592" s="1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t="str">
        <f ca="1">IFERROR(__xludf.DUMMYFUNCTION("""COMPUTED_VALUE"""),"NO_CUMPLE")</f>
        <v>NO_CUMPLE</v>
      </c>
      <c r="AV592" s="40" t="str">
        <f ca="1">IFERROR(__xludf.DUMMYFUNCTION("""COMPUTED_VALUE"""),"EN FORMACION")</f>
        <v>EN FORMACION</v>
      </c>
      <c r="AW592" s="40" t="str">
        <f ca="1">IFERROR(__xludf.DUMMYFUNCTION("""COMPUTED_VALUE"""),"AGROPECUARIO")</f>
        <v>AGROPECUARIO</v>
      </c>
      <c r="AX592" s="141">
        <f ca="1">IFERROR(__xludf.DUMMYFUNCTION("""COMPUTED_VALUE"""),44839)</f>
        <v>44839</v>
      </c>
      <c r="AY592" s="40">
        <f ca="1">IFERROR(__xludf.DUMMYFUNCTION("""COMPUTED_VALUE"""),8)</f>
        <v>8</v>
      </c>
      <c r="AZ592" s="40">
        <f ca="1">IFERROR(__xludf.DUMMYFUNCTION("""COMPUTED_VALUE"""),1)</f>
        <v>1</v>
      </c>
      <c r="BA592" s="40">
        <f ca="1">IFERROR(__xludf.DUMMYFUNCTION("""COMPUTED_VALUE"""),7)</f>
        <v>7</v>
      </c>
      <c r="BB592" s="40">
        <f ca="1">IFERROR(__xludf.DUMMYFUNCTION("""COMPUTED_VALUE"""),19)</f>
        <v>19</v>
      </c>
      <c r="BC592" s="40">
        <f ca="1">IFERROR(__xludf.DUMMYFUNCTION("""COMPUTED_VALUE"""),35)</f>
        <v>35</v>
      </c>
      <c r="BD592" s="141">
        <f ca="1">IFERROR(__xludf.DUMMYFUNCTION("""COMPUTED_VALUE"""),44348)</f>
        <v>44348</v>
      </c>
      <c r="BE592" s="141">
        <f ca="1">IFERROR(__xludf.DUMMYFUNCTION("""COMPUTED_VALUE"""),44620)</f>
        <v>44620</v>
      </c>
      <c r="BF592" s="141">
        <f ca="1">IFERROR(__xludf.DUMMYFUNCTION("""COMPUTED_VALUE"""),44804)</f>
        <v>44804</v>
      </c>
      <c r="BG592" s="141">
        <f ca="1">IFERROR(__xludf.DUMMYFUNCTION("""COMPUTED_VALUE"""),45351)</f>
        <v>45351</v>
      </c>
      <c r="BH592" s="40" t="str">
        <f ca="1">IFERROR(__xludf.DUMMYFUNCTION("""COMPUTED_VALUE"""),"FICHA EN TIEMPO-18 MESES")</f>
        <v>FICHA EN TIEMPO-18 MESES</v>
      </c>
      <c r="BI592" s="40" t="str">
        <f ca="1">IFERROR(__xludf.DUMMYFUNCTION("""COMPUTED_VALUE"""),"Terminada por fecha")</f>
        <v>Terminada por fecha</v>
      </c>
      <c r="BJ592" s="40" t="str">
        <f ca="1">IFERROR(__xludf.DUMMYFUNCTION("""COMPUTED_VALUE"""),"Yamboro")</f>
        <v>Yamboro</v>
      </c>
      <c r="BK592" s="40"/>
      <c r="BL592" s="40"/>
    </row>
    <row r="593" spans="1:64" ht="13">
      <c r="A593" s="40"/>
      <c r="B593" s="40" t="str">
        <f ca="1">IFERROR(__xludf.DUMMYFUNCTION("""COMPUTED_VALUE"""),"FORMACIÓN 18/10/2022")</f>
        <v>FORMACIÓN 18/10/2022</v>
      </c>
      <c r="C593" s="40" t="str">
        <f ca="1">IFERROR(__xludf.DUMMYFUNCTION("""COMPUTED_VALUE"""),"DORLY MILDRETH ORDOÑEZ SAPUYES
")</f>
        <v xml:space="preserve">DORLY MILDRETH ORDOÑEZ SAPUYES
</v>
      </c>
      <c r="D593" s="40" t="str">
        <f ca="1">IFERROR(__xludf.DUMMYFUNCTION("""COMPUTED_VALUE"""),"CC")</f>
        <v>CC</v>
      </c>
      <c r="E593" s="40">
        <f ca="1">IFERROR(__xludf.DUMMYFUNCTION("""COMPUTED_VALUE"""),26428939)</f>
        <v>26428939</v>
      </c>
      <c r="F593" s="40">
        <f ca="1">IFERROR(__xludf.DUMMYFUNCTION("""COMPUTED_VALUE"""),2356780)</f>
        <v>2356780</v>
      </c>
      <c r="G593" s="40" t="str">
        <f ca="1">IFERROR(__xludf.DUMMYFUNCTION("""COMPUTED_VALUE"""),"TÉCNICO")</f>
        <v>TÉCNICO</v>
      </c>
      <c r="H593" s="40" t="str">
        <f ca="1">IFERROR(__xludf.DUMMYFUNCTION("""COMPUTED_VALUE"""),"PRODUCCION DE CAFE")</f>
        <v>PRODUCCION DE CAFE</v>
      </c>
      <c r="I593" s="40"/>
      <c r="J593" s="40"/>
      <c r="K593" s="40"/>
      <c r="L593" s="40" t="str">
        <f ca="1">IFERROR(__xludf.DUMMYFUNCTION("""COMPUTED_VALUE"""),"NO HA INICIADO ETAPA PRODUCTIVA")</f>
        <v>NO HA INICIADO ETAPA PRODUCTIVA</v>
      </c>
      <c r="M593" s="40"/>
      <c r="N593" s="40"/>
      <c r="O593" s="40"/>
      <c r="P593" s="40"/>
      <c r="Q593" s="40"/>
      <c r="R593" s="140"/>
      <c r="S593" s="1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t="str">
        <f ca="1">IFERROR(__xludf.DUMMYFUNCTION("""COMPUTED_VALUE"""),"NO_CUMPLE")</f>
        <v>NO_CUMPLE</v>
      </c>
      <c r="AV593" s="40" t="str">
        <f ca="1">IFERROR(__xludf.DUMMYFUNCTION("""COMPUTED_VALUE"""),"EN FORMACION")</f>
        <v>EN FORMACION</v>
      </c>
      <c r="AW593" s="40" t="str">
        <f ca="1">IFERROR(__xludf.DUMMYFUNCTION("""COMPUTED_VALUE"""),"AGROPECUARIO")</f>
        <v>AGROPECUARIO</v>
      </c>
      <c r="AX593" s="141">
        <f ca="1">IFERROR(__xludf.DUMMYFUNCTION("""COMPUTED_VALUE"""),44839)</f>
        <v>44839</v>
      </c>
      <c r="AY593" s="40">
        <f ca="1">IFERROR(__xludf.DUMMYFUNCTION("""COMPUTED_VALUE"""),1)</f>
        <v>1</v>
      </c>
      <c r="AZ593" s="40">
        <f ca="1">IFERROR(__xludf.DUMMYFUNCTION("""COMPUTED_VALUE"""),1)</f>
        <v>1</v>
      </c>
      <c r="BA593" s="40">
        <f ca="1">IFERROR(__xludf.DUMMYFUNCTION("""COMPUTED_VALUE"""),0)</f>
        <v>0</v>
      </c>
      <c r="BB593" s="40">
        <f ca="1">IFERROR(__xludf.DUMMYFUNCTION("""COMPUTED_VALUE"""),0)</f>
        <v>0</v>
      </c>
      <c r="BC593" s="40">
        <f ca="1">IFERROR(__xludf.DUMMYFUNCTION("""COMPUTED_VALUE"""),2)</f>
        <v>2</v>
      </c>
      <c r="BD593" s="141">
        <f ca="1">IFERROR(__xludf.DUMMYFUNCTION("""COMPUTED_VALUE"""),44348)</f>
        <v>44348</v>
      </c>
      <c r="BE593" s="141">
        <f ca="1">IFERROR(__xludf.DUMMYFUNCTION("""COMPUTED_VALUE"""),44620)</f>
        <v>44620</v>
      </c>
      <c r="BF593" s="141">
        <f ca="1">IFERROR(__xludf.DUMMYFUNCTION("""COMPUTED_VALUE"""),44804)</f>
        <v>44804</v>
      </c>
      <c r="BG593" s="141">
        <f ca="1">IFERROR(__xludf.DUMMYFUNCTION("""COMPUTED_VALUE"""),45351)</f>
        <v>45351</v>
      </c>
      <c r="BH593" s="40" t="str">
        <f ca="1">IFERROR(__xludf.DUMMYFUNCTION("""COMPUTED_VALUE"""),"FICHA EN TIEMPO-18 MESES")</f>
        <v>FICHA EN TIEMPO-18 MESES</v>
      </c>
      <c r="BI593" s="40" t="str">
        <f ca="1">IFERROR(__xludf.DUMMYFUNCTION("""COMPUTED_VALUE"""),"Terminada por fecha")</f>
        <v>Terminada por fecha</v>
      </c>
      <c r="BJ593" s="40" t="str">
        <f ca="1">IFERROR(__xludf.DUMMYFUNCTION("""COMPUTED_VALUE"""),"Yamboro")</f>
        <v>Yamboro</v>
      </c>
      <c r="BK593" s="40"/>
      <c r="BL593" s="40"/>
    </row>
    <row r="594" spans="1:64" ht="13">
      <c r="A594" s="40"/>
      <c r="B594" s="40" t="str">
        <f ca="1">IFERROR(__xludf.DUMMYFUNCTION("""COMPUTED_VALUE"""),"FORMACIÓN 18/10/2022")</f>
        <v>FORMACIÓN 18/10/2022</v>
      </c>
      <c r="C594" s="40" t="str">
        <f ca="1">IFERROR(__xludf.DUMMYFUNCTION("""COMPUTED_VALUE"""),"KAREN MARYORI SALAMANCA MUÑOZ
")</f>
        <v xml:space="preserve">KAREN MARYORI SALAMANCA MUÑOZ
</v>
      </c>
      <c r="D594" s="40" t="str">
        <f ca="1">IFERROR(__xludf.DUMMYFUNCTION("""COMPUTED_VALUE"""),"CC")</f>
        <v>CC</v>
      </c>
      <c r="E594" s="40">
        <f ca="1">IFERROR(__xludf.DUMMYFUNCTION("""COMPUTED_VALUE"""),26428939)</f>
        <v>26428939</v>
      </c>
      <c r="F594" s="40">
        <f ca="1">IFERROR(__xludf.DUMMYFUNCTION("""COMPUTED_VALUE"""),2356780)</f>
        <v>2356780</v>
      </c>
      <c r="G594" s="40" t="str">
        <f ca="1">IFERROR(__xludf.DUMMYFUNCTION("""COMPUTED_VALUE"""),"TÉCNICO")</f>
        <v>TÉCNICO</v>
      </c>
      <c r="H594" s="40" t="str">
        <f ca="1">IFERROR(__xludf.DUMMYFUNCTION("""COMPUTED_VALUE"""),"PRODUCCION DE CAFE")</f>
        <v>PRODUCCION DE CAFE</v>
      </c>
      <c r="I594" s="40"/>
      <c r="J594" s="40"/>
      <c r="K594" s="40"/>
      <c r="L594" s="40" t="str">
        <f ca="1">IFERROR(__xludf.DUMMYFUNCTION("""COMPUTED_VALUE"""),"NO HA INICIADO ETAPA PRODUCTIVA")</f>
        <v>NO HA INICIADO ETAPA PRODUCTIVA</v>
      </c>
      <c r="M594" s="40"/>
      <c r="N594" s="40"/>
      <c r="O594" s="40"/>
      <c r="P594" s="40"/>
      <c r="Q594" s="40"/>
      <c r="R594" s="140"/>
      <c r="S594" s="1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t="str">
        <f ca="1">IFERROR(__xludf.DUMMYFUNCTION("""COMPUTED_VALUE"""),"Procede_E_P")</f>
        <v>Procede_E_P</v>
      </c>
      <c r="AV594" s="40" t="str">
        <f ca="1">IFERROR(__xludf.DUMMYFUNCTION("""COMPUTED_VALUE"""),"EN FORMACION")</f>
        <v>EN FORMACION</v>
      </c>
      <c r="AW594" s="40" t="str">
        <f ca="1">IFERROR(__xludf.DUMMYFUNCTION("""COMPUTED_VALUE"""),"AGROPECUARIO")</f>
        <v>AGROPECUARIO</v>
      </c>
      <c r="AX594" s="141">
        <f ca="1">IFERROR(__xludf.DUMMYFUNCTION("""COMPUTED_VALUE"""),44839)</f>
        <v>44839</v>
      </c>
      <c r="AY594" s="40">
        <f ca="1">IFERROR(__xludf.DUMMYFUNCTION("""COMPUTED_VALUE"""),0)</f>
        <v>0</v>
      </c>
      <c r="AZ594" s="40">
        <f ca="1">IFERROR(__xludf.DUMMYFUNCTION("""COMPUTED_VALUE"""),1)</f>
        <v>1</v>
      </c>
      <c r="BA594" s="40">
        <f ca="1">IFERROR(__xludf.DUMMYFUNCTION("""COMPUTED_VALUE"""),0)</f>
        <v>0</v>
      </c>
      <c r="BB594" s="40">
        <f ca="1">IFERROR(__xludf.DUMMYFUNCTION("""COMPUTED_VALUE"""),0)</f>
        <v>0</v>
      </c>
      <c r="BC594" s="40">
        <f ca="1">IFERROR(__xludf.DUMMYFUNCTION("""COMPUTED_VALUE"""),1)</f>
        <v>1</v>
      </c>
      <c r="BD594" s="141">
        <f ca="1">IFERROR(__xludf.DUMMYFUNCTION("""COMPUTED_VALUE"""),44348)</f>
        <v>44348</v>
      </c>
      <c r="BE594" s="141">
        <f ca="1">IFERROR(__xludf.DUMMYFUNCTION("""COMPUTED_VALUE"""),44620)</f>
        <v>44620</v>
      </c>
      <c r="BF594" s="141">
        <f ca="1">IFERROR(__xludf.DUMMYFUNCTION("""COMPUTED_VALUE"""),44804)</f>
        <v>44804</v>
      </c>
      <c r="BG594" s="141">
        <f ca="1">IFERROR(__xludf.DUMMYFUNCTION("""COMPUTED_VALUE"""),45351)</f>
        <v>45351</v>
      </c>
      <c r="BH594" s="40" t="str">
        <f ca="1">IFERROR(__xludf.DUMMYFUNCTION("""COMPUTED_VALUE"""),"FICHA EN TIEMPO-18 MESES")</f>
        <v>FICHA EN TIEMPO-18 MESES</v>
      </c>
      <c r="BI594" s="40" t="str">
        <f ca="1">IFERROR(__xludf.DUMMYFUNCTION("""COMPUTED_VALUE"""),"Terminada por fecha")</f>
        <v>Terminada por fecha</v>
      </c>
      <c r="BJ594" s="40" t="str">
        <f ca="1">IFERROR(__xludf.DUMMYFUNCTION("""COMPUTED_VALUE"""),"Yamboro")</f>
        <v>Yamboro</v>
      </c>
      <c r="BK594" s="40"/>
      <c r="BL594" s="40"/>
    </row>
    <row r="595" spans="1:64" ht="13">
      <c r="A595" s="40"/>
      <c r="B595" s="40" t="str">
        <f ca="1">IFERROR(__xludf.DUMMYFUNCTION("""COMPUTED_VALUE"""),"FORMACIÓN 18/10/2022")</f>
        <v>FORMACIÓN 18/10/2022</v>
      </c>
      <c r="C595" s="40" t="str">
        <f ca="1">IFERROR(__xludf.DUMMYFUNCTION("""COMPUTED_VALUE"""),"OSWAL ANCISAR RODRIGUEZ IMBACHI
")</f>
        <v xml:space="preserve">OSWAL ANCISAR RODRIGUEZ IMBACHI
</v>
      </c>
      <c r="D595" s="40" t="str">
        <f ca="1">IFERROR(__xludf.DUMMYFUNCTION("""COMPUTED_VALUE"""),"CC")</f>
        <v>CC</v>
      </c>
      <c r="E595" s="40">
        <f ca="1">IFERROR(__xludf.DUMMYFUNCTION("""COMPUTED_VALUE"""),26428939)</f>
        <v>26428939</v>
      </c>
      <c r="F595" s="40">
        <f ca="1">IFERROR(__xludf.DUMMYFUNCTION("""COMPUTED_VALUE"""),2356780)</f>
        <v>2356780</v>
      </c>
      <c r="G595" s="40" t="str">
        <f ca="1">IFERROR(__xludf.DUMMYFUNCTION("""COMPUTED_VALUE"""),"TÉCNICO")</f>
        <v>TÉCNICO</v>
      </c>
      <c r="H595" s="40" t="str">
        <f ca="1">IFERROR(__xludf.DUMMYFUNCTION("""COMPUTED_VALUE"""),"PRODUCCION DE CAFE")</f>
        <v>PRODUCCION DE CAFE</v>
      </c>
      <c r="I595" s="40"/>
      <c r="J595" s="40"/>
      <c r="K595" s="40"/>
      <c r="L595" s="40" t="str">
        <f ca="1">IFERROR(__xludf.DUMMYFUNCTION("""COMPUTED_VALUE"""),"NO HA INICIADO ETAPA PRODUCTIVA")</f>
        <v>NO HA INICIADO ETAPA PRODUCTIVA</v>
      </c>
      <c r="M595" s="40"/>
      <c r="N595" s="40"/>
      <c r="O595" s="40"/>
      <c r="P595" s="40"/>
      <c r="Q595" s="40"/>
      <c r="R595" s="140"/>
      <c r="S595" s="1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t="str">
        <f ca="1">IFERROR(__xludf.DUMMYFUNCTION("""COMPUTED_VALUE"""),"Procede_E_P")</f>
        <v>Procede_E_P</v>
      </c>
      <c r="AV595" s="40" t="str">
        <f ca="1">IFERROR(__xludf.DUMMYFUNCTION("""COMPUTED_VALUE"""),"EN FORMACION")</f>
        <v>EN FORMACION</v>
      </c>
      <c r="AW595" s="40" t="str">
        <f ca="1">IFERROR(__xludf.DUMMYFUNCTION("""COMPUTED_VALUE"""),"AGROPECUARIO")</f>
        <v>AGROPECUARIO</v>
      </c>
      <c r="AX595" s="141">
        <f ca="1">IFERROR(__xludf.DUMMYFUNCTION("""COMPUTED_VALUE"""),44839)</f>
        <v>44839</v>
      </c>
      <c r="AY595" s="40">
        <f ca="1">IFERROR(__xludf.DUMMYFUNCTION("""COMPUTED_VALUE"""),0)</f>
        <v>0</v>
      </c>
      <c r="AZ595" s="40">
        <f ca="1">IFERROR(__xludf.DUMMYFUNCTION("""COMPUTED_VALUE"""),1)</f>
        <v>1</v>
      </c>
      <c r="BA595" s="40">
        <f ca="1">IFERROR(__xludf.DUMMYFUNCTION("""COMPUTED_VALUE"""),0)</f>
        <v>0</v>
      </c>
      <c r="BB595" s="40">
        <f ca="1">IFERROR(__xludf.DUMMYFUNCTION("""COMPUTED_VALUE"""),0)</f>
        <v>0</v>
      </c>
      <c r="BC595" s="40">
        <f ca="1">IFERROR(__xludf.DUMMYFUNCTION("""COMPUTED_VALUE"""),1)</f>
        <v>1</v>
      </c>
      <c r="BD595" s="141">
        <f ca="1">IFERROR(__xludf.DUMMYFUNCTION("""COMPUTED_VALUE"""),44348)</f>
        <v>44348</v>
      </c>
      <c r="BE595" s="141">
        <f ca="1">IFERROR(__xludf.DUMMYFUNCTION("""COMPUTED_VALUE"""),44620)</f>
        <v>44620</v>
      </c>
      <c r="BF595" s="141">
        <f ca="1">IFERROR(__xludf.DUMMYFUNCTION("""COMPUTED_VALUE"""),44804)</f>
        <v>44804</v>
      </c>
      <c r="BG595" s="141">
        <f ca="1">IFERROR(__xludf.DUMMYFUNCTION("""COMPUTED_VALUE"""),45351)</f>
        <v>45351</v>
      </c>
      <c r="BH595" s="40" t="str">
        <f ca="1">IFERROR(__xludf.DUMMYFUNCTION("""COMPUTED_VALUE"""),"FICHA EN TIEMPO-18 MESES")</f>
        <v>FICHA EN TIEMPO-18 MESES</v>
      </c>
      <c r="BI595" s="40" t="str">
        <f ca="1">IFERROR(__xludf.DUMMYFUNCTION("""COMPUTED_VALUE"""),"Terminada por fecha")</f>
        <v>Terminada por fecha</v>
      </c>
      <c r="BJ595" s="40" t="str">
        <f ca="1">IFERROR(__xludf.DUMMYFUNCTION("""COMPUTED_VALUE"""),"Yamboro")</f>
        <v>Yamboro</v>
      </c>
      <c r="BK595" s="40"/>
      <c r="BL595" s="40"/>
    </row>
    <row r="596" spans="1:64" ht="13">
      <c r="A596" s="40"/>
      <c r="B596" s="40" t="str">
        <f ca="1">IFERROR(__xludf.DUMMYFUNCTION("""COMPUTED_VALUE"""),"FORMACIÓN 18/10/2022")</f>
        <v>FORMACIÓN 18/10/2022</v>
      </c>
      <c r="C596" s="40" t="str">
        <f ca="1">IFERROR(__xludf.DUMMYFUNCTION("""COMPUTED_VALUE"""),"JOSE GENTIL PERALTA ORTIZ
")</f>
        <v xml:space="preserve">JOSE GENTIL PERALTA ORTIZ
</v>
      </c>
      <c r="D596" s="40" t="str">
        <f ca="1">IFERROR(__xludf.DUMMYFUNCTION("""COMPUTED_VALUE"""),"CC")</f>
        <v>CC</v>
      </c>
      <c r="E596" s="40">
        <f ca="1">IFERROR(__xludf.DUMMYFUNCTION("""COMPUTED_VALUE"""),26428939)</f>
        <v>26428939</v>
      </c>
      <c r="F596" s="40">
        <f ca="1">IFERROR(__xludf.DUMMYFUNCTION("""COMPUTED_VALUE"""),2356780)</f>
        <v>2356780</v>
      </c>
      <c r="G596" s="40" t="str">
        <f ca="1">IFERROR(__xludf.DUMMYFUNCTION("""COMPUTED_VALUE"""),"TÉCNICO")</f>
        <v>TÉCNICO</v>
      </c>
      <c r="H596" s="40" t="str">
        <f ca="1">IFERROR(__xludf.DUMMYFUNCTION("""COMPUTED_VALUE"""),"PRODUCCION DE CAFE")</f>
        <v>PRODUCCION DE CAFE</v>
      </c>
      <c r="I596" s="40"/>
      <c r="J596" s="40"/>
      <c r="K596" s="40"/>
      <c r="L596" s="40" t="str">
        <f ca="1">IFERROR(__xludf.DUMMYFUNCTION("""COMPUTED_VALUE"""),"NO HA INICIADO ETAPA PRODUCTIVA")</f>
        <v>NO HA INICIADO ETAPA PRODUCTIVA</v>
      </c>
      <c r="M596" s="40"/>
      <c r="N596" s="40"/>
      <c r="O596" s="40"/>
      <c r="P596" s="40"/>
      <c r="Q596" s="40"/>
      <c r="R596" s="140"/>
      <c r="S596" s="1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t="str">
        <f ca="1">IFERROR(__xludf.DUMMYFUNCTION("""COMPUTED_VALUE"""),"Procede_E_P")</f>
        <v>Procede_E_P</v>
      </c>
      <c r="AV596" s="40" t="str">
        <f ca="1">IFERROR(__xludf.DUMMYFUNCTION("""COMPUTED_VALUE"""),"EN FORMACION")</f>
        <v>EN FORMACION</v>
      </c>
      <c r="AW596" s="40" t="str">
        <f ca="1">IFERROR(__xludf.DUMMYFUNCTION("""COMPUTED_VALUE"""),"AGROPECUARIO")</f>
        <v>AGROPECUARIO</v>
      </c>
      <c r="AX596" s="141">
        <f ca="1">IFERROR(__xludf.DUMMYFUNCTION("""COMPUTED_VALUE"""),44839)</f>
        <v>44839</v>
      </c>
      <c r="AY596" s="40">
        <f ca="1">IFERROR(__xludf.DUMMYFUNCTION("""COMPUTED_VALUE"""),0)</f>
        <v>0</v>
      </c>
      <c r="AZ596" s="40">
        <f ca="1">IFERROR(__xludf.DUMMYFUNCTION("""COMPUTED_VALUE"""),1)</f>
        <v>1</v>
      </c>
      <c r="BA596" s="40">
        <f ca="1">IFERROR(__xludf.DUMMYFUNCTION("""COMPUTED_VALUE"""),0)</f>
        <v>0</v>
      </c>
      <c r="BB596" s="40">
        <f ca="1">IFERROR(__xludf.DUMMYFUNCTION("""COMPUTED_VALUE"""),0)</f>
        <v>0</v>
      </c>
      <c r="BC596" s="40">
        <f ca="1">IFERROR(__xludf.DUMMYFUNCTION("""COMPUTED_VALUE"""),1)</f>
        <v>1</v>
      </c>
      <c r="BD596" s="141">
        <f ca="1">IFERROR(__xludf.DUMMYFUNCTION("""COMPUTED_VALUE"""),44348)</f>
        <v>44348</v>
      </c>
      <c r="BE596" s="141">
        <f ca="1">IFERROR(__xludf.DUMMYFUNCTION("""COMPUTED_VALUE"""),44620)</f>
        <v>44620</v>
      </c>
      <c r="BF596" s="141">
        <f ca="1">IFERROR(__xludf.DUMMYFUNCTION("""COMPUTED_VALUE"""),44804)</f>
        <v>44804</v>
      </c>
      <c r="BG596" s="141">
        <f ca="1">IFERROR(__xludf.DUMMYFUNCTION("""COMPUTED_VALUE"""),45351)</f>
        <v>45351</v>
      </c>
      <c r="BH596" s="40" t="str">
        <f ca="1">IFERROR(__xludf.DUMMYFUNCTION("""COMPUTED_VALUE"""),"FICHA EN TIEMPO-18 MESES")</f>
        <v>FICHA EN TIEMPO-18 MESES</v>
      </c>
      <c r="BI596" s="40" t="str">
        <f ca="1">IFERROR(__xludf.DUMMYFUNCTION("""COMPUTED_VALUE"""),"Terminada por fecha")</f>
        <v>Terminada por fecha</v>
      </c>
      <c r="BJ596" s="40" t="str">
        <f ca="1">IFERROR(__xludf.DUMMYFUNCTION("""COMPUTED_VALUE"""),"Yamboro")</f>
        <v>Yamboro</v>
      </c>
      <c r="BK596" s="40"/>
      <c r="BL596" s="40"/>
    </row>
    <row r="597" spans="1:64" ht="13">
      <c r="A597" s="40"/>
      <c r="B597" s="40" t="str">
        <f ca="1">IFERROR(__xludf.DUMMYFUNCTION("""COMPUTED_VALUE"""),"FORMACIÓN 18/10/2022")</f>
        <v>FORMACIÓN 18/10/2022</v>
      </c>
      <c r="C597" s="40" t="str">
        <f ca="1">IFERROR(__xludf.DUMMYFUNCTION("""COMPUTED_VALUE"""),"PAOLA ANDREA REYES TORO
")</f>
        <v xml:space="preserve">PAOLA ANDREA REYES TORO
</v>
      </c>
      <c r="D597" s="40" t="str">
        <f ca="1">IFERROR(__xludf.DUMMYFUNCTION("""COMPUTED_VALUE"""),"CC")</f>
        <v>CC</v>
      </c>
      <c r="E597" s="40">
        <f ca="1">IFERROR(__xludf.DUMMYFUNCTION("""COMPUTED_VALUE"""),26428939)</f>
        <v>26428939</v>
      </c>
      <c r="F597" s="40">
        <f ca="1">IFERROR(__xludf.DUMMYFUNCTION("""COMPUTED_VALUE"""),2356780)</f>
        <v>2356780</v>
      </c>
      <c r="G597" s="40" t="str">
        <f ca="1">IFERROR(__xludf.DUMMYFUNCTION("""COMPUTED_VALUE"""),"TÉCNICO")</f>
        <v>TÉCNICO</v>
      </c>
      <c r="H597" s="40" t="str">
        <f ca="1">IFERROR(__xludf.DUMMYFUNCTION("""COMPUTED_VALUE"""),"PRODUCCION DE CAFE")</f>
        <v>PRODUCCION DE CAFE</v>
      </c>
      <c r="I597" s="40"/>
      <c r="J597" s="40"/>
      <c r="K597" s="40"/>
      <c r="L597" s="40" t="str">
        <f ca="1">IFERROR(__xludf.DUMMYFUNCTION("""COMPUTED_VALUE"""),"NO HA INICIADO ETAPA PRODUCTIVA")</f>
        <v>NO HA INICIADO ETAPA PRODUCTIVA</v>
      </c>
      <c r="M597" s="40"/>
      <c r="N597" s="40"/>
      <c r="O597" s="40"/>
      <c r="P597" s="40"/>
      <c r="Q597" s="40"/>
      <c r="R597" s="140"/>
      <c r="S597" s="1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t="str">
        <f ca="1">IFERROR(__xludf.DUMMYFUNCTION("""COMPUTED_VALUE"""),"Procede_E_P")</f>
        <v>Procede_E_P</v>
      </c>
      <c r="AV597" s="40" t="str">
        <f ca="1">IFERROR(__xludf.DUMMYFUNCTION("""COMPUTED_VALUE"""),"EN FORMACION")</f>
        <v>EN FORMACION</v>
      </c>
      <c r="AW597" s="40" t="str">
        <f ca="1">IFERROR(__xludf.DUMMYFUNCTION("""COMPUTED_VALUE"""),"AGROPECUARIO")</f>
        <v>AGROPECUARIO</v>
      </c>
      <c r="AX597" s="141">
        <f ca="1">IFERROR(__xludf.DUMMYFUNCTION("""COMPUTED_VALUE"""),44839)</f>
        <v>44839</v>
      </c>
      <c r="AY597" s="40">
        <f ca="1">IFERROR(__xludf.DUMMYFUNCTION("""COMPUTED_VALUE"""),0)</f>
        <v>0</v>
      </c>
      <c r="AZ597" s="40">
        <f ca="1">IFERROR(__xludf.DUMMYFUNCTION("""COMPUTED_VALUE"""),1)</f>
        <v>1</v>
      </c>
      <c r="BA597" s="40">
        <f ca="1">IFERROR(__xludf.DUMMYFUNCTION("""COMPUTED_VALUE"""),0)</f>
        <v>0</v>
      </c>
      <c r="BB597" s="40">
        <f ca="1">IFERROR(__xludf.DUMMYFUNCTION("""COMPUTED_VALUE"""),0)</f>
        <v>0</v>
      </c>
      <c r="BC597" s="40">
        <f ca="1">IFERROR(__xludf.DUMMYFUNCTION("""COMPUTED_VALUE"""),1)</f>
        <v>1</v>
      </c>
      <c r="BD597" s="141">
        <f ca="1">IFERROR(__xludf.DUMMYFUNCTION("""COMPUTED_VALUE"""),44348)</f>
        <v>44348</v>
      </c>
      <c r="BE597" s="141">
        <f ca="1">IFERROR(__xludf.DUMMYFUNCTION("""COMPUTED_VALUE"""),44620)</f>
        <v>44620</v>
      </c>
      <c r="BF597" s="141">
        <f ca="1">IFERROR(__xludf.DUMMYFUNCTION("""COMPUTED_VALUE"""),44804)</f>
        <v>44804</v>
      </c>
      <c r="BG597" s="141">
        <f ca="1">IFERROR(__xludf.DUMMYFUNCTION("""COMPUTED_VALUE"""),45351)</f>
        <v>45351</v>
      </c>
      <c r="BH597" s="40" t="str">
        <f ca="1">IFERROR(__xludf.DUMMYFUNCTION("""COMPUTED_VALUE"""),"FICHA EN TIEMPO-18 MESES")</f>
        <v>FICHA EN TIEMPO-18 MESES</v>
      </c>
      <c r="BI597" s="40" t="str">
        <f ca="1">IFERROR(__xludf.DUMMYFUNCTION("""COMPUTED_VALUE"""),"Terminada por fecha")</f>
        <v>Terminada por fecha</v>
      </c>
      <c r="BJ597" s="40" t="str">
        <f ca="1">IFERROR(__xludf.DUMMYFUNCTION("""COMPUTED_VALUE"""),"Yamboro")</f>
        <v>Yamboro</v>
      </c>
      <c r="BK597" s="40"/>
      <c r="BL597" s="40"/>
    </row>
    <row r="598" spans="1:64" ht="13">
      <c r="A598" s="40"/>
      <c r="B598" s="40" t="str">
        <f ca="1">IFERROR(__xludf.DUMMYFUNCTION("""COMPUTED_VALUE"""),"FORMACIÓN 18/10/2022")</f>
        <v>FORMACIÓN 18/10/2022</v>
      </c>
      <c r="C598" s="40" t="str">
        <f ca="1">IFERROR(__xludf.DUMMYFUNCTION("""COMPUTED_VALUE"""),"DISNEYDA TEJADA CULMA
")</f>
        <v xml:space="preserve">DISNEYDA TEJADA CULMA
</v>
      </c>
      <c r="D598" s="40" t="str">
        <f ca="1">IFERROR(__xludf.DUMMYFUNCTION("""COMPUTED_VALUE"""),"CC")</f>
        <v>CC</v>
      </c>
      <c r="E598" s="40">
        <f ca="1">IFERROR(__xludf.DUMMYFUNCTION("""COMPUTED_VALUE"""),26428939)</f>
        <v>26428939</v>
      </c>
      <c r="F598" s="40">
        <f ca="1">IFERROR(__xludf.DUMMYFUNCTION("""COMPUTED_VALUE"""),2356780)</f>
        <v>2356780</v>
      </c>
      <c r="G598" s="40" t="str">
        <f ca="1">IFERROR(__xludf.DUMMYFUNCTION("""COMPUTED_VALUE"""),"TÉCNICO")</f>
        <v>TÉCNICO</v>
      </c>
      <c r="H598" s="40" t="str">
        <f ca="1">IFERROR(__xludf.DUMMYFUNCTION("""COMPUTED_VALUE"""),"PRODUCCION DE CAFE")</f>
        <v>PRODUCCION DE CAFE</v>
      </c>
      <c r="I598" s="40"/>
      <c r="J598" s="40"/>
      <c r="K598" s="40"/>
      <c r="L598" s="40" t="str">
        <f ca="1">IFERROR(__xludf.DUMMYFUNCTION("""COMPUTED_VALUE"""),"NO HA INICIADO ETAPA PRODUCTIVA")</f>
        <v>NO HA INICIADO ETAPA PRODUCTIVA</v>
      </c>
      <c r="M598" s="40"/>
      <c r="N598" s="40"/>
      <c r="O598" s="40"/>
      <c r="P598" s="40"/>
      <c r="Q598" s="40"/>
      <c r="R598" s="140"/>
      <c r="S598" s="1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t="str">
        <f ca="1">IFERROR(__xludf.DUMMYFUNCTION("""COMPUTED_VALUE"""),"NO_CUMPLE")</f>
        <v>NO_CUMPLE</v>
      </c>
      <c r="AV598" s="40" t="str">
        <f ca="1">IFERROR(__xludf.DUMMYFUNCTION("""COMPUTED_VALUE"""),"EN FORMACION")</f>
        <v>EN FORMACION</v>
      </c>
      <c r="AW598" s="40" t="str">
        <f ca="1">IFERROR(__xludf.DUMMYFUNCTION("""COMPUTED_VALUE"""),"AGROPECUARIO")</f>
        <v>AGROPECUARIO</v>
      </c>
      <c r="AX598" s="141">
        <f ca="1">IFERROR(__xludf.DUMMYFUNCTION("""COMPUTED_VALUE"""),44839)</f>
        <v>44839</v>
      </c>
      <c r="AY598" s="40">
        <f ca="1">IFERROR(__xludf.DUMMYFUNCTION("""COMPUTED_VALUE"""),9)</f>
        <v>9</v>
      </c>
      <c r="AZ598" s="40">
        <f ca="1">IFERROR(__xludf.DUMMYFUNCTION("""COMPUTED_VALUE"""),1)</f>
        <v>1</v>
      </c>
      <c r="BA598" s="40">
        <f ca="1">IFERROR(__xludf.DUMMYFUNCTION("""COMPUTED_VALUE"""),7)</f>
        <v>7</v>
      </c>
      <c r="BB598" s="40">
        <f ca="1">IFERROR(__xludf.DUMMYFUNCTION("""COMPUTED_VALUE"""),19)</f>
        <v>19</v>
      </c>
      <c r="BC598" s="40">
        <f ca="1">IFERROR(__xludf.DUMMYFUNCTION("""COMPUTED_VALUE"""),36)</f>
        <v>36</v>
      </c>
      <c r="BD598" s="141">
        <f ca="1">IFERROR(__xludf.DUMMYFUNCTION("""COMPUTED_VALUE"""),44348)</f>
        <v>44348</v>
      </c>
      <c r="BE598" s="141">
        <f ca="1">IFERROR(__xludf.DUMMYFUNCTION("""COMPUTED_VALUE"""),44620)</f>
        <v>44620</v>
      </c>
      <c r="BF598" s="141">
        <f ca="1">IFERROR(__xludf.DUMMYFUNCTION("""COMPUTED_VALUE"""),44804)</f>
        <v>44804</v>
      </c>
      <c r="BG598" s="141">
        <f ca="1">IFERROR(__xludf.DUMMYFUNCTION("""COMPUTED_VALUE"""),45351)</f>
        <v>45351</v>
      </c>
      <c r="BH598" s="40" t="str">
        <f ca="1">IFERROR(__xludf.DUMMYFUNCTION("""COMPUTED_VALUE"""),"FICHA EN TIEMPO-18 MESES")</f>
        <v>FICHA EN TIEMPO-18 MESES</v>
      </c>
      <c r="BI598" s="40" t="str">
        <f ca="1">IFERROR(__xludf.DUMMYFUNCTION("""COMPUTED_VALUE"""),"Terminada por fecha")</f>
        <v>Terminada por fecha</v>
      </c>
      <c r="BJ598" s="40" t="str">
        <f ca="1">IFERROR(__xludf.DUMMYFUNCTION("""COMPUTED_VALUE"""),"Yamboro")</f>
        <v>Yamboro</v>
      </c>
      <c r="BK598" s="40"/>
      <c r="BL598" s="40"/>
    </row>
    <row r="599" spans="1:64" ht="13">
      <c r="A599" s="40"/>
      <c r="B599" s="40" t="str">
        <f ca="1">IFERROR(__xludf.DUMMYFUNCTION("""COMPUTED_VALUE"""),"FORMACIÓN 18/10/2022")</f>
        <v>FORMACIÓN 18/10/2022</v>
      </c>
      <c r="C599" s="40" t="str">
        <f ca="1">IFERROR(__xludf.DUMMYFUNCTION("""COMPUTED_VALUE"""),"JOSE FAIVER CHILITO BENAVIDEZ
")</f>
        <v xml:space="preserve">JOSE FAIVER CHILITO BENAVIDEZ
</v>
      </c>
      <c r="D599" s="40" t="str">
        <f ca="1">IFERROR(__xludf.DUMMYFUNCTION("""COMPUTED_VALUE"""),"CC")</f>
        <v>CC</v>
      </c>
      <c r="E599" s="40">
        <f ca="1">IFERROR(__xludf.DUMMYFUNCTION("""COMPUTED_VALUE"""),26428939)</f>
        <v>26428939</v>
      </c>
      <c r="F599" s="40">
        <f ca="1">IFERROR(__xludf.DUMMYFUNCTION("""COMPUTED_VALUE"""),2356780)</f>
        <v>2356780</v>
      </c>
      <c r="G599" s="40" t="str">
        <f ca="1">IFERROR(__xludf.DUMMYFUNCTION("""COMPUTED_VALUE"""),"TÉCNICO")</f>
        <v>TÉCNICO</v>
      </c>
      <c r="H599" s="40" t="str">
        <f ca="1">IFERROR(__xludf.DUMMYFUNCTION("""COMPUTED_VALUE"""),"PRODUCCION DE CAFE")</f>
        <v>PRODUCCION DE CAFE</v>
      </c>
      <c r="I599" s="40"/>
      <c r="J599" s="40"/>
      <c r="K599" s="40"/>
      <c r="L599" s="40" t="str">
        <f ca="1">IFERROR(__xludf.DUMMYFUNCTION("""COMPUTED_VALUE"""),"NO HA INICIADO ETAPA PRODUCTIVA")</f>
        <v>NO HA INICIADO ETAPA PRODUCTIVA</v>
      </c>
      <c r="M599" s="40"/>
      <c r="N599" s="40"/>
      <c r="O599" s="40"/>
      <c r="P599" s="40"/>
      <c r="Q599" s="40"/>
      <c r="R599" s="140"/>
      <c r="S599" s="1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t="str">
        <f ca="1">IFERROR(__xludf.DUMMYFUNCTION("""COMPUTED_VALUE"""),"Procede_E_P")</f>
        <v>Procede_E_P</v>
      </c>
      <c r="AV599" s="40" t="str">
        <f ca="1">IFERROR(__xludf.DUMMYFUNCTION("""COMPUTED_VALUE"""),"EN FORMACION")</f>
        <v>EN FORMACION</v>
      </c>
      <c r="AW599" s="40" t="str">
        <f ca="1">IFERROR(__xludf.DUMMYFUNCTION("""COMPUTED_VALUE"""),"AGROPECUARIO")</f>
        <v>AGROPECUARIO</v>
      </c>
      <c r="AX599" s="141">
        <f ca="1">IFERROR(__xludf.DUMMYFUNCTION("""COMPUTED_VALUE"""),44839)</f>
        <v>44839</v>
      </c>
      <c r="AY599" s="40">
        <f ca="1">IFERROR(__xludf.DUMMYFUNCTION("""COMPUTED_VALUE"""),0)</f>
        <v>0</v>
      </c>
      <c r="AZ599" s="40">
        <f ca="1">IFERROR(__xludf.DUMMYFUNCTION("""COMPUTED_VALUE"""),1)</f>
        <v>1</v>
      </c>
      <c r="BA599" s="40">
        <f ca="1">IFERROR(__xludf.DUMMYFUNCTION("""COMPUTED_VALUE"""),0)</f>
        <v>0</v>
      </c>
      <c r="BB599" s="40">
        <f ca="1">IFERROR(__xludf.DUMMYFUNCTION("""COMPUTED_VALUE"""),0)</f>
        <v>0</v>
      </c>
      <c r="BC599" s="40">
        <f ca="1">IFERROR(__xludf.DUMMYFUNCTION("""COMPUTED_VALUE"""),1)</f>
        <v>1</v>
      </c>
      <c r="BD599" s="141">
        <f ca="1">IFERROR(__xludf.DUMMYFUNCTION("""COMPUTED_VALUE"""),44348)</f>
        <v>44348</v>
      </c>
      <c r="BE599" s="141">
        <f ca="1">IFERROR(__xludf.DUMMYFUNCTION("""COMPUTED_VALUE"""),44620)</f>
        <v>44620</v>
      </c>
      <c r="BF599" s="141">
        <f ca="1">IFERROR(__xludf.DUMMYFUNCTION("""COMPUTED_VALUE"""),44804)</f>
        <v>44804</v>
      </c>
      <c r="BG599" s="141">
        <f ca="1">IFERROR(__xludf.DUMMYFUNCTION("""COMPUTED_VALUE"""),45351)</f>
        <v>45351</v>
      </c>
      <c r="BH599" s="40" t="str">
        <f ca="1">IFERROR(__xludf.DUMMYFUNCTION("""COMPUTED_VALUE"""),"FICHA EN TIEMPO-18 MESES")</f>
        <v>FICHA EN TIEMPO-18 MESES</v>
      </c>
      <c r="BI599" s="40" t="str">
        <f ca="1">IFERROR(__xludf.DUMMYFUNCTION("""COMPUTED_VALUE"""),"Terminada por fecha")</f>
        <v>Terminada por fecha</v>
      </c>
      <c r="BJ599" s="40" t="str">
        <f ca="1">IFERROR(__xludf.DUMMYFUNCTION("""COMPUTED_VALUE"""),"Yamboro")</f>
        <v>Yamboro</v>
      </c>
      <c r="BK599" s="40"/>
      <c r="BL599" s="40"/>
    </row>
    <row r="600" spans="1:64" ht="13">
      <c r="A600" s="40"/>
      <c r="B600" s="40" t="str">
        <f ca="1">IFERROR(__xludf.DUMMYFUNCTION("""COMPUTED_VALUE"""),"FORMACIÓN 18/10/2022")</f>
        <v>FORMACIÓN 18/10/2022</v>
      </c>
      <c r="C600" s="40" t="str">
        <f ca="1">IFERROR(__xludf.DUMMYFUNCTION("""COMPUTED_VALUE"""),"HUGO WILSER MAJIN MAMIAN
")</f>
        <v xml:space="preserve">HUGO WILSER MAJIN MAMIAN
</v>
      </c>
      <c r="D600" s="40" t="str">
        <f ca="1">IFERROR(__xludf.DUMMYFUNCTION("""COMPUTED_VALUE"""),"CC")</f>
        <v>CC</v>
      </c>
      <c r="E600" s="40">
        <f ca="1">IFERROR(__xludf.DUMMYFUNCTION("""COMPUTED_VALUE"""),26428939)</f>
        <v>26428939</v>
      </c>
      <c r="F600" s="40">
        <f ca="1">IFERROR(__xludf.DUMMYFUNCTION("""COMPUTED_VALUE"""),2356780)</f>
        <v>2356780</v>
      </c>
      <c r="G600" s="40" t="str">
        <f ca="1">IFERROR(__xludf.DUMMYFUNCTION("""COMPUTED_VALUE"""),"TÉCNICO")</f>
        <v>TÉCNICO</v>
      </c>
      <c r="H600" s="40" t="str">
        <f ca="1">IFERROR(__xludf.DUMMYFUNCTION("""COMPUTED_VALUE"""),"PRODUCCION DE CAFE")</f>
        <v>PRODUCCION DE CAFE</v>
      </c>
      <c r="I600" s="40"/>
      <c r="J600" s="40"/>
      <c r="K600" s="40"/>
      <c r="L600" s="40" t="str">
        <f ca="1">IFERROR(__xludf.DUMMYFUNCTION("""COMPUTED_VALUE"""),"NO HA INICIADO ETAPA PRODUCTIVA")</f>
        <v>NO HA INICIADO ETAPA PRODUCTIVA</v>
      </c>
      <c r="M600" s="40"/>
      <c r="N600" s="40"/>
      <c r="O600" s="40"/>
      <c r="P600" s="40"/>
      <c r="Q600" s="40"/>
      <c r="R600" s="140"/>
      <c r="S600" s="1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t="str">
        <f ca="1">IFERROR(__xludf.DUMMYFUNCTION("""COMPUTED_VALUE"""),"Procede_E_P")</f>
        <v>Procede_E_P</v>
      </c>
      <c r="AV600" s="40" t="str">
        <f ca="1">IFERROR(__xludf.DUMMYFUNCTION("""COMPUTED_VALUE"""),"EN FORMACION")</f>
        <v>EN FORMACION</v>
      </c>
      <c r="AW600" s="40" t="str">
        <f ca="1">IFERROR(__xludf.DUMMYFUNCTION("""COMPUTED_VALUE"""),"AGROPECUARIO")</f>
        <v>AGROPECUARIO</v>
      </c>
      <c r="AX600" s="141">
        <f ca="1">IFERROR(__xludf.DUMMYFUNCTION("""COMPUTED_VALUE"""),44839)</f>
        <v>44839</v>
      </c>
      <c r="AY600" s="40">
        <f ca="1">IFERROR(__xludf.DUMMYFUNCTION("""COMPUTED_VALUE"""),0)</f>
        <v>0</v>
      </c>
      <c r="AZ600" s="40">
        <f ca="1">IFERROR(__xludf.DUMMYFUNCTION("""COMPUTED_VALUE"""),1)</f>
        <v>1</v>
      </c>
      <c r="BA600" s="40">
        <f ca="1">IFERROR(__xludf.DUMMYFUNCTION("""COMPUTED_VALUE"""),0)</f>
        <v>0</v>
      </c>
      <c r="BB600" s="40">
        <f ca="1">IFERROR(__xludf.DUMMYFUNCTION("""COMPUTED_VALUE"""),0)</f>
        <v>0</v>
      </c>
      <c r="BC600" s="40">
        <f ca="1">IFERROR(__xludf.DUMMYFUNCTION("""COMPUTED_VALUE"""),1)</f>
        <v>1</v>
      </c>
      <c r="BD600" s="141">
        <f ca="1">IFERROR(__xludf.DUMMYFUNCTION("""COMPUTED_VALUE"""),44348)</f>
        <v>44348</v>
      </c>
      <c r="BE600" s="141">
        <f ca="1">IFERROR(__xludf.DUMMYFUNCTION("""COMPUTED_VALUE"""),44620)</f>
        <v>44620</v>
      </c>
      <c r="BF600" s="141">
        <f ca="1">IFERROR(__xludf.DUMMYFUNCTION("""COMPUTED_VALUE"""),44804)</f>
        <v>44804</v>
      </c>
      <c r="BG600" s="141">
        <f ca="1">IFERROR(__xludf.DUMMYFUNCTION("""COMPUTED_VALUE"""),45351)</f>
        <v>45351</v>
      </c>
      <c r="BH600" s="40" t="str">
        <f ca="1">IFERROR(__xludf.DUMMYFUNCTION("""COMPUTED_VALUE"""),"FICHA EN TIEMPO-18 MESES")</f>
        <v>FICHA EN TIEMPO-18 MESES</v>
      </c>
      <c r="BI600" s="40" t="str">
        <f ca="1">IFERROR(__xludf.DUMMYFUNCTION("""COMPUTED_VALUE"""),"Terminada por fecha")</f>
        <v>Terminada por fecha</v>
      </c>
      <c r="BJ600" s="40" t="str">
        <f ca="1">IFERROR(__xludf.DUMMYFUNCTION("""COMPUTED_VALUE"""),"Yamboro")</f>
        <v>Yamboro</v>
      </c>
      <c r="BK600" s="40"/>
      <c r="BL600" s="40"/>
    </row>
    <row r="601" spans="1:64" ht="13">
      <c r="A601" s="40"/>
      <c r="B601" s="40" t="str">
        <f ca="1">IFERROR(__xludf.DUMMYFUNCTION("""COMPUTED_VALUE"""),"FORMACIÓN 18/10/2022")</f>
        <v>FORMACIÓN 18/10/2022</v>
      </c>
      <c r="C601" s="40" t="str">
        <f ca="1">IFERROR(__xludf.DUMMYFUNCTION("""COMPUTED_VALUE"""),"EIMER ANTONIO URBANO MALES
")</f>
        <v xml:space="preserve">EIMER ANTONIO URBANO MALES
</v>
      </c>
      <c r="D601" s="40" t="str">
        <f ca="1">IFERROR(__xludf.DUMMYFUNCTION("""COMPUTED_VALUE"""),"CC")</f>
        <v>CC</v>
      </c>
      <c r="E601" s="40">
        <f ca="1">IFERROR(__xludf.DUMMYFUNCTION("""COMPUTED_VALUE"""),26428939)</f>
        <v>26428939</v>
      </c>
      <c r="F601" s="40">
        <f ca="1">IFERROR(__xludf.DUMMYFUNCTION("""COMPUTED_VALUE"""),2356780)</f>
        <v>2356780</v>
      </c>
      <c r="G601" s="40" t="str">
        <f ca="1">IFERROR(__xludf.DUMMYFUNCTION("""COMPUTED_VALUE"""),"TÉCNICO")</f>
        <v>TÉCNICO</v>
      </c>
      <c r="H601" s="40" t="str">
        <f ca="1">IFERROR(__xludf.DUMMYFUNCTION("""COMPUTED_VALUE"""),"PRODUCCION DE CAFE")</f>
        <v>PRODUCCION DE CAFE</v>
      </c>
      <c r="I601" s="40"/>
      <c r="J601" s="40"/>
      <c r="K601" s="40"/>
      <c r="L601" s="40" t="str">
        <f ca="1">IFERROR(__xludf.DUMMYFUNCTION("""COMPUTED_VALUE"""),"NO HA INICIADO ETAPA PRODUCTIVA")</f>
        <v>NO HA INICIADO ETAPA PRODUCTIVA</v>
      </c>
      <c r="M601" s="40"/>
      <c r="N601" s="40"/>
      <c r="O601" s="40"/>
      <c r="P601" s="40"/>
      <c r="Q601" s="40"/>
      <c r="R601" s="140"/>
      <c r="S601" s="1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t="str">
        <f ca="1">IFERROR(__xludf.DUMMYFUNCTION("""COMPUTED_VALUE"""),"Procede_E_P")</f>
        <v>Procede_E_P</v>
      </c>
      <c r="AV601" s="40" t="str">
        <f ca="1">IFERROR(__xludf.DUMMYFUNCTION("""COMPUTED_VALUE"""),"EN FORMACION")</f>
        <v>EN FORMACION</v>
      </c>
      <c r="AW601" s="40" t="str">
        <f ca="1">IFERROR(__xludf.DUMMYFUNCTION("""COMPUTED_VALUE"""),"AGROPECUARIO")</f>
        <v>AGROPECUARIO</v>
      </c>
      <c r="AX601" s="141">
        <f ca="1">IFERROR(__xludf.DUMMYFUNCTION("""COMPUTED_VALUE"""),44839)</f>
        <v>44839</v>
      </c>
      <c r="AY601" s="40">
        <f ca="1">IFERROR(__xludf.DUMMYFUNCTION("""COMPUTED_VALUE"""),0)</f>
        <v>0</v>
      </c>
      <c r="AZ601" s="40">
        <f ca="1">IFERROR(__xludf.DUMMYFUNCTION("""COMPUTED_VALUE"""),1)</f>
        <v>1</v>
      </c>
      <c r="BA601" s="40">
        <f ca="1">IFERROR(__xludf.DUMMYFUNCTION("""COMPUTED_VALUE"""),0)</f>
        <v>0</v>
      </c>
      <c r="BB601" s="40">
        <f ca="1">IFERROR(__xludf.DUMMYFUNCTION("""COMPUTED_VALUE"""),0)</f>
        <v>0</v>
      </c>
      <c r="BC601" s="40">
        <f ca="1">IFERROR(__xludf.DUMMYFUNCTION("""COMPUTED_VALUE"""),1)</f>
        <v>1</v>
      </c>
      <c r="BD601" s="141">
        <f ca="1">IFERROR(__xludf.DUMMYFUNCTION("""COMPUTED_VALUE"""),44348)</f>
        <v>44348</v>
      </c>
      <c r="BE601" s="141">
        <f ca="1">IFERROR(__xludf.DUMMYFUNCTION("""COMPUTED_VALUE"""),44620)</f>
        <v>44620</v>
      </c>
      <c r="BF601" s="141">
        <f ca="1">IFERROR(__xludf.DUMMYFUNCTION("""COMPUTED_VALUE"""),44804)</f>
        <v>44804</v>
      </c>
      <c r="BG601" s="141">
        <f ca="1">IFERROR(__xludf.DUMMYFUNCTION("""COMPUTED_VALUE"""),45351)</f>
        <v>45351</v>
      </c>
      <c r="BH601" s="40" t="str">
        <f ca="1">IFERROR(__xludf.DUMMYFUNCTION("""COMPUTED_VALUE"""),"FICHA EN TIEMPO-18 MESES")</f>
        <v>FICHA EN TIEMPO-18 MESES</v>
      </c>
      <c r="BI601" s="40" t="str">
        <f ca="1">IFERROR(__xludf.DUMMYFUNCTION("""COMPUTED_VALUE"""),"Terminada por fecha")</f>
        <v>Terminada por fecha</v>
      </c>
      <c r="BJ601" s="40" t="str">
        <f ca="1">IFERROR(__xludf.DUMMYFUNCTION("""COMPUTED_VALUE"""),"Yamboro")</f>
        <v>Yamboro</v>
      </c>
      <c r="BK601" s="40"/>
      <c r="BL601" s="40"/>
    </row>
    <row r="602" spans="1:64" ht="13">
      <c r="A602" s="40"/>
      <c r="B602" s="40" t="str">
        <f ca="1">IFERROR(__xludf.DUMMYFUNCTION("""COMPUTED_VALUE"""),"FORMACIÓN 18/10/2022")</f>
        <v>FORMACIÓN 18/10/2022</v>
      </c>
      <c r="C602" s="40" t="str">
        <f ca="1">IFERROR(__xludf.DUMMYFUNCTION("""COMPUTED_VALUE"""),"LUIS ALFREDO CARRILLO SERRANO
")</f>
        <v xml:space="preserve">LUIS ALFREDO CARRILLO SERRANO
</v>
      </c>
      <c r="D602" s="40" t="str">
        <f ca="1">IFERROR(__xludf.DUMMYFUNCTION("""COMPUTED_VALUE"""),"CC")</f>
        <v>CC</v>
      </c>
      <c r="E602" s="40">
        <f ca="1">IFERROR(__xludf.DUMMYFUNCTION("""COMPUTED_VALUE"""),26428939)</f>
        <v>26428939</v>
      </c>
      <c r="F602" s="40">
        <f ca="1">IFERROR(__xludf.DUMMYFUNCTION("""COMPUTED_VALUE"""),2356780)</f>
        <v>2356780</v>
      </c>
      <c r="G602" s="40" t="str">
        <f ca="1">IFERROR(__xludf.DUMMYFUNCTION("""COMPUTED_VALUE"""),"TÉCNICO")</f>
        <v>TÉCNICO</v>
      </c>
      <c r="H602" s="40" t="str">
        <f ca="1">IFERROR(__xludf.DUMMYFUNCTION("""COMPUTED_VALUE"""),"PRODUCCION DE CAFE")</f>
        <v>PRODUCCION DE CAFE</v>
      </c>
      <c r="I602" s="40"/>
      <c r="J602" s="40"/>
      <c r="K602" s="40"/>
      <c r="L602" s="40" t="str">
        <f ca="1">IFERROR(__xludf.DUMMYFUNCTION("""COMPUTED_VALUE"""),"NO HA INICIADO ETAPA PRODUCTIVA")</f>
        <v>NO HA INICIADO ETAPA PRODUCTIVA</v>
      </c>
      <c r="M602" s="40"/>
      <c r="N602" s="40"/>
      <c r="O602" s="40"/>
      <c r="P602" s="40"/>
      <c r="Q602" s="40"/>
      <c r="R602" s="140"/>
      <c r="S602" s="1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t="str">
        <f ca="1">IFERROR(__xludf.DUMMYFUNCTION("""COMPUTED_VALUE"""),"Procede_E_P")</f>
        <v>Procede_E_P</v>
      </c>
      <c r="AV602" s="40" t="str">
        <f ca="1">IFERROR(__xludf.DUMMYFUNCTION("""COMPUTED_VALUE"""),"EN FORMACION")</f>
        <v>EN FORMACION</v>
      </c>
      <c r="AW602" s="40" t="str">
        <f ca="1">IFERROR(__xludf.DUMMYFUNCTION("""COMPUTED_VALUE"""),"AGROPECUARIO")</f>
        <v>AGROPECUARIO</v>
      </c>
      <c r="AX602" s="141">
        <f ca="1">IFERROR(__xludf.DUMMYFUNCTION("""COMPUTED_VALUE"""),44839)</f>
        <v>44839</v>
      </c>
      <c r="AY602" s="40">
        <f ca="1">IFERROR(__xludf.DUMMYFUNCTION("""COMPUTED_VALUE"""),0)</f>
        <v>0</v>
      </c>
      <c r="AZ602" s="40">
        <f ca="1">IFERROR(__xludf.DUMMYFUNCTION("""COMPUTED_VALUE"""),1)</f>
        <v>1</v>
      </c>
      <c r="BA602" s="40">
        <f ca="1">IFERROR(__xludf.DUMMYFUNCTION("""COMPUTED_VALUE"""),0)</f>
        <v>0</v>
      </c>
      <c r="BB602" s="40">
        <f ca="1">IFERROR(__xludf.DUMMYFUNCTION("""COMPUTED_VALUE"""),0)</f>
        <v>0</v>
      </c>
      <c r="BC602" s="40">
        <f ca="1">IFERROR(__xludf.DUMMYFUNCTION("""COMPUTED_VALUE"""),1)</f>
        <v>1</v>
      </c>
      <c r="BD602" s="141">
        <f ca="1">IFERROR(__xludf.DUMMYFUNCTION("""COMPUTED_VALUE"""),44348)</f>
        <v>44348</v>
      </c>
      <c r="BE602" s="141">
        <f ca="1">IFERROR(__xludf.DUMMYFUNCTION("""COMPUTED_VALUE"""),44620)</f>
        <v>44620</v>
      </c>
      <c r="BF602" s="141">
        <f ca="1">IFERROR(__xludf.DUMMYFUNCTION("""COMPUTED_VALUE"""),44804)</f>
        <v>44804</v>
      </c>
      <c r="BG602" s="141">
        <f ca="1">IFERROR(__xludf.DUMMYFUNCTION("""COMPUTED_VALUE"""),45351)</f>
        <v>45351</v>
      </c>
      <c r="BH602" s="40" t="str">
        <f ca="1">IFERROR(__xludf.DUMMYFUNCTION("""COMPUTED_VALUE"""),"FICHA EN TIEMPO-18 MESES")</f>
        <v>FICHA EN TIEMPO-18 MESES</v>
      </c>
      <c r="BI602" s="40" t="str">
        <f ca="1">IFERROR(__xludf.DUMMYFUNCTION("""COMPUTED_VALUE"""),"Terminada por fecha")</f>
        <v>Terminada por fecha</v>
      </c>
      <c r="BJ602" s="40" t="str">
        <f ca="1">IFERROR(__xludf.DUMMYFUNCTION("""COMPUTED_VALUE"""),"Yamboro")</f>
        <v>Yamboro</v>
      </c>
      <c r="BK602" s="40"/>
      <c r="BL602" s="40"/>
    </row>
    <row r="603" spans="1:64" ht="13">
      <c r="A603" s="40"/>
      <c r="B603" s="40" t="str">
        <f ca="1">IFERROR(__xludf.DUMMYFUNCTION("""COMPUTED_VALUE"""),"FORMACIÓN 18/10/2022")</f>
        <v>FORMACIÓN 18/10/2022</v>
      </c>
      <c r="C603" s="40" t="str">
        <f ca="1">IFERROR(__xludf.DUMMYFUNCTION("""COMPUTED_VALUE"""),"EDISSON VERGARA JIMENEZ
")</f>
        <v xml:space="preserve">EDISSON VERGARA JIMENEZ
</v>
      </c>
      <c r="D603" s="40" t="str">
        <f ca="1">IFERROR(__xludf.DUMMYFUNCTION("""COMPUTED_VALUE"""),"CC")</f>
        <v>CC</v>
      </c>
      <c r="E603" s="40">
        <f ca="1">IFERROR(__xludf.DUMMYFUNCTION("""COMPUTED_VALUE"""),26428939)</f>
        <v>26428939</v>
      </c>
      <c r="F603" s="40">
        <f ca="1">IFERROR(__xludf.DUMMYFUNCTION("""COMPUTED_VALUE"""),2356780)</f>
        <v>2356780</v>
      </c>
      <c r="G603" s="40" t="str">
        <f ca="1">IFERROR(__xludf.DUMMYFUNCTION("""COMPUTED_VALUE"""),"TÉCNICO")</f>
        <v>TÉCNICO</v>
      </c>
      <c r="H603" s="40" t="str">
        <f ca="1">IFERROR(__xludf.DUMMYFUNCTION("""COMPUTED_VALUE"""),"PRODUCCION DE CAFE")</f>
        <v>PRODUCCION DE CAFE</v>
      </c>
      <c r="I603" s="40"/>
      <c r="J603" s="40"/>
      <c r="K603" s="40"/>
      <c r="L603" s="40" t="str">
        <f ca="1">IFERROR(__xludf.DUMMYFUNCTION("""COMPUTED_VALUE"""),"NO HA INICIADO ETAPA PRODUCTIVA")</f>
        <v>NO HA INICIADO ETAPA PRODUCTIVA</v>
      </c>
      <c r="M603" s="40"/>
      <c r="N603" s="40"/>
      <c r="O603" s="40"/>
      <c r="P603" s="40"/>
      <c r="Q603" s="40"/>
      <c r="R603" s="140"/>
      <c r="S603" s="1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t="str">
        <f ca="1">IFERROR(__xludf.DUMMYFUNCTION("""COMPUTED_VALUE"""),"Procede_E_P")</f>
        <v>Procede_E_P</v>
      </c>
      <c r="AV603" s="40" t="str">
        <f ca="1">IFERROR(__xludf.DUMMYFUNCTION("""COMPUTED_VALUE"""),"EN FORMACION")</f>
        <v>EN FORMACION</v>
      </c>
      <c r="AW603" s="40" t="str">
        <f ca="1">IFERROR(__xludf.DUMMYFUNCTION("""COMPUTED_VALUE"""),"AGROPECUARIO")</f>
        <v>AGROPECUARIO</v>
      </c>
      <c r="AX603" s="141">
        <f ca="1">IFERROR(__xludf.DUMMYFUNCTION("""COMPUTED_VALUE"""),44839)</f>
        <v>44839</v>
      </c>
      <c r="AY603" s="40">
        <f ca="1">IFERROR(__xludf.DUMMYFUNCTION("""COMPUTED_VALUE"""),0)</f>
        <v>0</v>
      </c>
      <c r="AZ603" s="40">
        <f ca="1">IFERROR(__xludf.DUMMYFUNCTION("""COMPUTED_VALUE"""),1)</f>
        <v>1</v>
      </c>
      <c r="BA603" s="40">
        <f ca="1">IFERROR(__xludf.DUMMYFUNCTION("""COMPUTED_VALUE"""),0)</f>
        <v>0</v>
      </c>
      <c r="BB603" s="40">
        <f ca="1">IFERROR(__xludf.DUMMYFUNCTION("""COMPUTED_VALUE"""),0)</f>
        <v>0</v>
      </c>
      <c r="BC603" s="40">
        <f ca="1">IFERROR(__xludf.DUMMYFUNCTION("""COMPUTED_VALUE"""),1)</f>
        <v>1</v>
      </c>
      <c r="BD603" s="141">
        <f ca="1">IFERROR(__xludf.DUMMYFUNCTION("""COMPUTED_VALUE"""),44348)</f>
        <v>44348</v>
      </c>
      <c r="BE603" s="141">
        <f ca="1">IFERROR(__xludf.DUMMYFUNCTION("""COMPUTED_VALUE"""),44620)</f>
        <v>44620</v>
      </c>
      <c r="BF603" s="141">
        <f ca="1">IFERROR(__xludf.DUMMYFUNCTION("""COMPUTED_VALUE"""),44804)</f>
        <v>44804</v>
      </c>
      <c r="BG603" s="141">
        <f ca="1">IFERROR(__xludf.DUMMYFUNCTION("""COMPUTED_VALUE"""),45351)</f>
        <v>45351</v>
      </c>
      <c r="BH603" s="40" t="str">
        <f ca="1">IFERROR(__xludf.DUMMYFUNCTION("""COMPUTED_VALUE"""),"FICHA EN TIEMPO-18 MESES")</f>
        <v>FICHA EN TIEMPO-18 MESES</v>
      </c>
      <c r="BI603" s="40" t="str">
        <f ca="1">IFERROR(__xludf.DUMMYFUNCTION("""COMPUTED_VALUE"""),"Terminada por fecha")</f>
        <v>Terminada por fecha</v>
      </c>
      <c r="BJ603" s="40" t="str">
        <f ca="1">IFERROR(__xludf.DUMMYFUNCTION("""COMPUTED_VALUE"""),"Yamboro")</f>
        <v>Yamboro</v>
      </c>
      <c r="BK603" s="40"/>
      <c r="BL603" s="40"/>
    </row>
    <row r="604" spans="1:64" ht="13">
      <c r="A604" s="40"/>
      <c r="B604" s="40" t="str">
        <f ca="1">IFERROR(__xludf.DUMMYFUNCTION("""COMPUTED_VALUE"""),"FORMACIÓN 18/10/2022")</f>
        <v>FORMACIÓN 18/10/2022</v>
      </c>
      <c r="C604" s="40" t="str">
        <f ca="1">IFERROR(__xludf.DUMMYFUNCTION("""COMPUTED_VALUE"""),"ADRIANA VANESSA MACA GIRONZA")</f>
        <v>ADRIANA VANESSA MACA GIRONZA</v>
      </c>
      <c r="D604" s="40" t="str">
        <f ca="1">IFERROR(__xludf.DUMMYFUNCTION("""COMPUTED_VALUE"""),"CC")</f>
        <v>CC</v>
      </c>
      <c r="E604" s="40">
        <f ca="1">IFERROR(__xludf.DUMMYFUNCTION("""COMPUTED_VALUE"""),26428939)</f>
        <v>26428939</v>
      </c>
      <c r="F604" s="40">
        <f ca="1">IFERROR(__xludf.DUMMYFUNCTION("""COMPUTED_VALUE"""),2205580)</f>
        <v>2205580</v>
      </c>
      <c r="G604" s="40" t="str">
        <f ca="1">IFERROR(__xludf.DUMMYFUNCTION("""COMPUTED_VALUE"""),"TECNÓLOGO")</f>
        <v>TECNÓLOGO</v>
      </c>
      <c r="H604" s="40" t="str">
        <f ca="1">IFERROR(__xludf.DUMMYFUNCTION("""COMPUTED_VALUE"""),"PRODUCCIÓN AGROPECUARIA ECOLÓGICA")</f>
        <v>PRODUCCIÓN AGROPECUARIA ECOLÓGICA</v>
      </c>
      <c r="I604" s="40">
        <f ca="1">IFERROR(__xludf.DUMMYFUNCTION("""COMPUTED_VALUE"""),3123949489)</f>
        <v>3123949489</v>
      </c>
      <c r="J604" s="40" t="str">
        <f ca="1">IFERROR(__xludf.DUMMYFUNCTION("""COMPUTED_VALUE"""),"avmaca0@misena.edu.co")</f>
        <v>avmaca0@misena.edu.co</v>
      </c>
      <c r="K604" s="40" t="str">
        <f ca="1">IFERROR(__xludf.DUMMYFUNCTION("""COMPUTED_VALUE"""),"SAN AGUSTIN ")</f>
        <v xml:space="preserve">SAN AGUSTIN </v>
      </c>
      <c r="L604" s="40" t="str">
        <f ca="1">IFERROR(__xludf.DUMMYFUNCTION("""COMPUTED_VALUE"""),"CONTRATO DE APRENDIZAJE")</f>
        <v>CONTRATO DE APRENDIZAJE</v>
      </c>
      <c r="M604" s="40" t="str">
        <f ca="1">IFERROR(__xludf.DUMMYFUNCTION("""COMPUTED_VALUE"""),"SERCICIO NACIÓNAL DE APRENDIZAJE SENA ")</f>
        <v xml:space="preserve">SERCICIO NACIÓNAL DE APRENDIZAJE SENA </v>
      </c>
      <c r="N604" s="40" t="str">
        <f ca="1">IFERROR(__xludf.DUMMYFUNCTION("""COMPUTED_VALUE"""),"cra 8 N° 7-53")</f>
        <v>cra 8 N° 7-53</v>
      </c>
      <c r="O604" s="40">
        <f ca="1">IFERROR(__xludf.DUMMYFUNCTION("""COMPUTED_VALUE"""),8365960)</f>
        <v>8365960</v>
      </c>
      <c r="P604" s="40"/>
      <c r="Q604" s="40"/>
      <c r="R604" s="140">
        <f ca="1">IFERROR(__xludf.DUMMYFUNCTION("""COMPUTED_VALUE"""),44713)</f>
        <v>44713</v>
      </c>
      <c r="S604" s="140">
        <f ca="1">IFERROR(__xludf.DUMMYFUNCTION("""COMPUTED_VALUE"""),44895)</f>
        <v>44895</v>
      </c>
      <c r="T604" s="40" t="str">
        <f ca="1">IFERROR(__xludf.DUMMYFUNCTION("""COMPUTED_VALUE"""),"Tiene contrato de aprendizajeIncial y bitácoras 1,2,3 y 4 ... Falta parcial, final, certificación y bitácoras 5,6,7,8,9,10,11 y 12 ... Revisado 16/08/2022")</f>
        <v>Tiene contrato de aprendizajeIncial y bitácoras 1,2,3 y 4 ... Falta parcial, final, certificación y bitácoras 5,6,7,8,9,10,11 y 12 ... Revisado 16/08/2022</v>
      </c>
      <c r="U604" s="40" t="str">
        <f ca="1">IFERROR(__xludf.DUMMYFUNCTION("""COMPUTED_VALUE"""),"ARELIS CRIOLLO CRIOLLO - Subió Inicial y bitácoras 1, 2,3 y 4  .... Revisado 16/08/2022")</f>
        <v>ARELIS CRIOLLO CRIOLLO - Subió Inicial y bitácoras 1, 2,3 y 4  .... Revisado 16/08/2022</v>
      </c>
      <c r="V604" s="40" t="str">
        <f ca="1">IFERROR(__xludf.DUMMYFUNCTION("""COMPUTED_VALUE"""),"SI tiene seguimiento 16/08/2022")</f>
        <v>SI tiene seguimiento 16/08/2022</v>
      </c>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t="str">
        <f ca="1">IFERROR(__xludf.DUMMYFUNCTION("""COMPUTED_VALUE"""),"Procede_E_P")</f>
        <v>Procede_E_P</v>
      </c>
      <c r="AV604" s="40" t="str">
        <f ca="1">IFERROR(__xludf.DUMMYFUNCTION("""COMPUTED_VALUE"""),"EN FORMACION")</f>
        <v>EN FORMACION</v>
      </c>
      <c r="AW604" s="40" t="str">
        <f ca="1">IFERROR(__xludf.DUMMYFUNCTION("""COMPUTED_VALUE"""),"AGROPECUARIO")</f>
        <v>AGROPECUARIO</v>
      </c>
      <c r="AX604" s="141">
        <f ca="1">IFERROR(__xludf.DUMMYFUNCTION("""COMPUTED_VALUE"""),44839)</f>
        <v>44839</v>
      </c>
      <c r="AY604" s="40">
        <f ca="1">IFERROR(__xludf.DUMMYFUNCTION("""COMPUTED_VALUE"""),0)</f>
        <v>0</v>
      </c>
      <c r="AZ604" s="40">
        <f ca="1">IFERROR(__xludf.DUMMYFUNCTION("""COMPUTED_VALUE"""),1)</f>
        <v>1</v>
      </c>
      <c r="BA604" s="40">
        <f ca="1">IFERROR(__xludf.DUMMYFUNCTION("""COMPUTED_VALUE"""),0)</f>
        <v>0</v>
      </c>
      <c r="BB604" s="40">
        <f ca="1">IFERROR(__xludf.DUMMYFUNCTION("""COMPUTED_VALUE"""),0)</f>
        <v>0</v>
      </c>
      <c r="BC604" s="40">
        <f ca="1">IFERROR(__xludf.DUMMYFUNCTION("""COMPUTED_VALUE"""),1)</f>
        <v>1</v>
      </c>
      <c r="BD604" s="141">
        <f ca="1">IFERROR(__xludf.DUMMYFUNCTION("""COMPUTED_VALUE"""),44138)</f>
        <v>44138</v>
      </c>
      <c r="BE604" s="141">
        <f ca="1">IFERROR(__xludf.DUMMYFUNCTION("""COMPUTED_VALUE"""),44683)</f>
        <v>44683</v>
      </c>
      <c r="BF604" s="141">
        <f ca="1">IFERROR(__xludf.DUMMYFUNCTION("""COMPUTED_VALUE"""),44867)</f>
        <v>44867</v>
      </c>
      <c r="BG604" s="141">
        <f ca="1">IFERROR(__xludf.DUMMYFUNCTION("""COMPUTED_VALUE"""),45414)</f>
        <v>45414</v>
      </c>
      <c r="BH604" s="40" t="str">
        <f ca="1">IFERROR(__xludf.DUMMYFUNCTION("""COMPUTED_VALUE"""),"FICHA EN TIEMPO-18 MESES")</f>
        <v>FICHA EN TIEMPO-18 MESES</v>
      </c>
      <c r="BI604" s="40" t="str">
        <f ca="1">IFERROR(__xludf.DUMMYFUNCTION("""COMPUTED_VALUE"""),"Terminada por fecha")</f>
        <v>Terminada por fecha</v>
      </c>
      <c r="BJ604" s="40" t="str">
        <f ca="1">IFERROR(__xludf.DUMMYFUNCTION("""COMPUTED_VALUE"""),"Yamboro")</f>
        <v>Yamboro</v>
      </c>
      <c r="BK604" s="40"/>
      <c r="BL604" s="40"/>
    </row>
    <row r="605" spans="1:64" ht="13">
      <c r="A605" s="40"/>
      <c r="B605" s="40" t="str">
        <f ca="1">IFERROR(__xludf.DUMMYFUNCTION("""COMPUTED_VALUE"""),"FORMACIÓN 18/10/2022")</f>
        <v>FORMACIÓN 18/10/2022</v>
      </c>
      <c r="C605" s="40" t="str">
        <f ca="1">IFERROR(__xludf.DUMMYFUNCTION("""COMPUTED_VALUE"""),"CESAR CAMILO GOMEZ QUINCHUA")</f>
        <v>CESAR CAMILO GOMEZ QUINCHUA</v>
      </c>
      <c r="D605" s="40" t="str">
        <f ca="1">IFERROR(__xludf.DUMMYFUNCTION("""COMPUTED_VALUE"""),"CC")</f>
        <v>CC</v>
      </c>
      <c r="E605" s="40">
        <f ca="1">IFERROR(__xludf.DUMMYFUNCTION("""COMPUTED_VALUE"""),26428939)</f>
        <v>26428939</v>
      </c>
      <c r="F605" s="40">
        <f ca="1">IFERROR(__xludf.DUMMYFUNCTION("""COMPUTED_VALUE"""),2205580)</f>
        <v>2205580</v>
      </c>
      <c r="G605" s="40" t="str">
        <f ca="1">IFERROR(__xludf.DUMMYFUNCTION("""COMPUTED_VALUE"""),"TECNÓLOGO")</f>
        <v>TECNÓLOGO</v>
      </c>
      <c r="H605" s="40" t="str">
        <f ca="1">IFERROR(__xludf.DUMMYFUNCTION("""COMPUTED_VALUE"""),"PRODUCCIÓN AGROPECUARIA ECOLÓGICA")</f>
        <v>PRODUCCIÓN AGROPECUARIA ECOLÓGICA</v>
      </c>
      <c r="I605" s="40">
        <f ca="1">IFERROR(__xludf.DUMMYFUNCTION("""COMPUTED_VALUE"""),3203397782)</f>
        <v>3203397782</v>
      </c>
      <c r="J605" s="40" t="str">
        <f ca="1">IFERROR(__xludf.DUMMYFUNCTION("""COMPUTED_VALUE"""),"gomezcace81@gmail.com")</f>
        <v>gomezcace81@gmail.com</v>
      </c>
      <c r="K605" s="40" t="str">
        <f ca="1">IFERROR(__xludf.DUMMYFUNCTION("""COMPUTED_VALUE"""),"CALLE 5A SUR # 1-10")</f>
        <v>CALLE 5A SUR # 1-10</v>
      </c>
      <c r="L605" s="40" t="str">
        <f ca="1">IFERROR(__xludf.DUMMYFUNCTION("""COMPUTED_VALUE"""),"CONTRATO DE APRENDIZAJE")</f>
        <v>CONTRATO DE APRENDIZAJE</v>
      </c>
      <c r="M605" s="40" t="str">
        <f ca="1">IFERROR(__xludf.DUMMYFUNCTION("""COMPUTED_VALUE"""),"SERVICIO NACIONAL DE APRENDIZAJE, SENA")</f>
        <v>SERVICIO NACIONAL DE APRENDIZAJE, SENA</v>
      </c>
      <c r="N605" s="40" t="str">
        <f ca="1">IFERROR(__xludf.DUMMYFUNCTION("""COMPUTED_VALUE"""),"cra 8 N° 7-53")</f>
        <v>cra 8 N° 7-53</v>
      </c>
      <c r="O605" s="40">
        <f ca="1">IFERROR(__xludf.DUMMYFUNCTION("""COMPUTED_VALUE"""),8365960)</f>
        <v>8365960</v>
      </c>
      <c r="P605" s="40"/>
      <c r="Q605" s="40"/>
      <c r="R605" s="140">
        <f ca="1">IFERROR(__xludf.DUMMYFUNCTION("""COMPUTED_VALUE"""),44701)</f>
        <v>44701</v>
      </c>
      <c r="S605" s="140">
        <f ca="1">IFERROR(__xludf.DUMMYFUNCTION("""COMPUTED_VALUE"""),44895)</f>
        <v>44895</v>
      </c>
      <c r="T605" s="40" t="str">
        <f ca="1">IFERROR(__xludf.DUMMYFUNCTION("""COMPUTED_VALUE"""),"Tiene consulta de aprendizaje, Incial y bitácoras 1,2,3 y 4 ... Falta parcial, final, certificación y bitácoras 5,6,7,8,9,10,11 y 12 ... Revisado 16/08/2022")</f>
        <v>Tiene consulta de aprendizaje, Incial y bitácoras 1,2,3 y 4 ... Falta parcial, final, certificación y bitácoras 5,6,7,8,9,10,11 y 12 ... Revisado 16/08/2022</v>
      </c>
      <c r="U605" s="40" t="str">
        <f ca="1">IFERROR(__xludf.DUMMYFUNCTION("""COMPUTED_VALUE"""),"ARELIS CRIOLLO CRIOLLO - Subió Inicial y bitácoras 1, 2,3 y 4  .... Revisado 16/08/2022")</f>
        <v>ARELIS CRIOLLO CRIOLLO - Subió Inicial y bitácoras 1, 2,3 y 4  .... Revisado 16/08/2022</v>
      </c>
      <c r="V605" s="40" t="str">
        <f ca="1">IFERROR(__xludf.DUMMYFUNCTION("""COMPUTED_VALUE"""),"SI tiene seguimiento 16/08/2022")</f>
        <v>SI tiene seguimiento 16/08/2022</v>
      </c>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t="str">
        <f ca="1">IFERROR(__xludf.DUMMYFUNCTION("""COMPUTED_VALUE"""),"Procede_E_P")</f>
        <v>Procede_E_P</v>
      </c>
      <c r="AV605" s="40" t="str">
        <f ca="1">IFERROR(__xludf.DUMMYFUNCTION("""COMPUTED_VALUE"""),"EN FORMACION")</f>
        <v>EN FORMACION</v>
      </c>
      <c r="AW605" s="40" t="str">
        <f ca="1">IFERROR(__xludf.DUMMYFUNCTION("""COMPUTED_VALUE"""),"AGROPECUARIO")</f>
        <v>AGROPECUARIO</v>
      </c>
      <c r="AX605" s="141">
        <f ca="1">IFERROR(__xludf.DUMMYFUNCTION("""COMPUTED_VALUE"""),44839)</f>
        <v>44839</v>
      </c>
      <c r="AY605" s="40">
        <f ca="1">IFERROR(__xludf.DUMMYFUNCTION("""COMPUTED_VALUE"""),0)</f>
        <v>0</v>
      </c>
      <c r="AZ605" s="40">
        <f ca="1">IFERROR(__xludf.DUMMYFUNCTION("""COMPUTED_VALUE"""),1)</f>
        <v>1</v>
      </c>
      <c r="BA605" s="40">
        <f ca="1">IFERROR(__xludf.DUMMYFUNCTION("""COMPUTED_VALUE"""),0)</f>
        <v>0</v>
      </c>
      <c r="BB605" s="40">
        <f ca="1">IFERROR(__xludf.DUMMYFUNCTION("""COMPUTED_VALUE"""),0)</f>
        <v>0</v>
      </c>
      <c r="BC605" s="40">
        <f ca="1">IFERROR(__xludf.DUMMYFUNCTION("""COMPUTED_VALUE"""),1)</f>
        <v>1</v>
      </c>
      <c r="BD605" s="141">
        <f ca="1">IFERROR(__xludf.DUMMYFUNCTION("""COMPUTED_VALUE"""),44138)</f>
        <v>44138</v>
      </c>
      <c r="BE605" s="141">
        <f ca="1">IFERROR(__xludf.DUMMYFUNCTION("""COMPUTED_VALUE"""),44683)</f>
        <v>44683</v>
      </c>
      <c r="BF605" s="141">
        <f ca="1">IFERROR(__xludf.DUMMYFUNCTION("""COMPUTED_VALUE"""),44867)</f>
        <v>44867</v>
      </c>
      <c r="BG605" s="141">
        <f ca="1">IFERROR(__xludf.DUMMYFUNCTION("""COMPUTED_VALUE"""),45414)</f>
        <v>45414</v>
      </c>
      <c r="BH605" s="40" t="str">
        <f ca="1">IFERROR(__xludf.DUMMYFUNCTION("""COMPUTED_VALUE"""),"FICHA EN TIEMPO-18 MESES")</f>
        <v>FICHA EN TIEMPO-18 MESES</v>
      </c>
      <c r="BI605" s="40" t="str">
        <f ca="1">IFERROR(__xludf.DUMMYFUNCTION("""COMPUTED_VALUE"""),"Terminada por fecha")</f>
        <v>Terminada por fecha</v>
      </c>
      <c r="BJ605" s="40" t="str">
        <f ca="1">IFERROR(__xludf.DUMMYFUNCTION("""COMPUTED_VALUE"""),"Yamboro")</f>
        <v>Yamboro</v>
      </c>
      <c r="BK605" s="40"/>
      <c r="BL605" s="40"/>
    </row>
    <row r="606" spans="1:64" ht="13">
      <c r="A606" s="40"/>
      <c r="B606" s="40" t="str">
        <f ca="1">IFERROR(__xludf.DUMMYFUNCTION("""COMPUTED_VALUE"""),"FORMACIÓN 18/10/2022")</f>
        <v>FORMACIÓN 18/10/2022</v>
      </c>
      <c r="C606" s="40" t="str">
        <f ca="1">IFERROR(__xludf.DUMMYFUNCTION("""COMPUTED_VALUE"""),"LUCARDO SAMBONI CAICEDO")</f>
        <v>LUCARDO SAMBONI CAICEDO</v>
      </c>
      <c r="D606" s="40" t="str">
        <f ca="1">IFERROR(__xludf.DUMMYFUNCTION("""COMPUTED_VALUE"""),"CC")</f>
        <v>CC</v>
      </c>
      <c r="E606" s="40">
        <f ca="1">IFERROR(__xludf.DUMMYFUNCTION("""COMPUTED_VALUE"""),26428939)</f>
        <v>26428939</v>
      </c>
      <c r="F606" s="40">
        <f ca="1">IFERROR(__xludf.DUMMYFUNCTION("""COMPUTED_VALUE"""),2205580)</f>
        <v>2205580</v>
      </c>
      <c r="G606" s="40" t="str">
        <f ca="1">IFERROR(__xludf.DUMMYFUNCTION("""COMPUTED_VALUE"""),"TECNÓLOGO")</f>
        <v>TECNÓLOGO</v>
      </c>
      <c r="H606" s="40" t="str">
        <f ca="1">IFERROR(__xludf.DUMMYFUNCTION("""COMPUTED_VALUE"""),"PRODUCCIÓN AGROPECUARIA ECOLÓGICA")</f>
        <v>PRODUCCIÓN AGROPECUARIA ECOLÓGICA</v>
      </c>
      <c r="I606" s="40">
        <f ca="1">IFERROR(__xludf.DUMMYFUNCTION("""COMPUTED_VALUE"""),3123812645)</f>
        <v>3123812645</v>
      </c>
      <c r="J606" s="40" t="str">
        <f ca="1">IFERROR(__xludf.DUMMYFUNCTION("""COMPUTED_VALUE"""),"lucardo1981@hotmail.com")</f>
        <v>lucardo1981@hotmail.com</v>
      </c>
      <c r="K606" s="40"/>
      <c r="L606" s="40" t="str">
        <f ca="1">IFERROR(__xludf.DUMMYFUNCTION("""COMPUTED_VALUE"""),"CONTRATO DE APRENDIZAJE")</f>
        <v>CONTRATO DE APRENDIZAJE</v>
      </c>
      <c r="M606" s="40" t="str">
        <f ca="1">IFERROR(__xludf.DUMMYFUNCTION("""COMPUTED_VALUE"""),"GRUPO PRONUM S.A.S")</f>
        <v>GRUPO PRONUM S.A.S</v>
      </c>
      <c r="N606" s="40" t="str">
        <f ca="1">IFERROR(__xludf.DUMMYFUNCTION("""COMPUTED_VALUE"""),"Km 2 Vía Briceño Zipaquira Parque Industrial Tibitoc Bodega 15")</f>
        <v>Km 2 Vía Briceño Zipaquira Parque Industrial Tibitoc Bodega 15</v>
      </c>
      <c r="O606" s="40">
        <f ca="1">IFERROR(__xludf.DUMMYFUNCTION("""COMPUTED_VALUE"""),8697245)</f>
        <v>8697245</v>
      </c>
      <c r="P606" s="40" t="str">
        <f ca="1">IFERROR(__xludf.DUMMYFUNCTION("""COMPUTED_VALUE"""),"CUNDINAMARCA ")</f>
        <v xml:space="preserve">CUNDINAMARCA </v>
      </c>
      <c r="Q606" s="40"/>
      <c r="R606" s="140">
        <f ca="1">IFERROR(__xludf.DUMMYFUNCTION("""COMPUTED_VALUE"""),44684)</f>
        <v>44684</v>
      </c>
      <c r="S606" s="140">
        <f ca="1">IFERROR(__xludf.DUMMYFUNCTION("""COMPUTED_VALUE"""),44868)</f>
        <v>44868</v>
      </c>
      <c r="T606" s="40" t="str">
        <f ca="1">IFERROR(__xludf.DUMMYFUNCTION("""COMPUTED_VALUE"""),"Tiene consulta de apredizaje, Parcial y bitácoras 1, 2,3 y 4 ... Falta final, certificación y bitácoras 5,6,7,8,9,10,11 y 12 ... Revisado 16/08/2022")</f>
        <v>Tiene consulta de apredizaje, Parcial y bitácoras 1, 2,3 y 4 ... Falta final, certificación y bitácoras 5,6,7,8,9,10,11 y 12 ... Revisado 16/08/2022</v>
      </c>
      <c r="U606" s="40" t="str">
        <f ca="1">IFERROR(__xludf.DUMMYFUNCTION("""COMPUTED_VALUE"""),"ARELIS CRIOLLO CRIOLLO - Subió parcial   y bitácoras 1, 2,3 y 4  .... Revisado 16/08/2022 ")</f>
        <v xml:space="preserve">ARELIS CRIOLLO CRIOLLO - Subió parcial   y bitácoras 1, 2,3 y 4  .... Revisado 16/08/2022 </v>
      </c>
      <c r="V606" s="40" t="str">
        <f ca="1">IFERROR(__xludf.DUMMYFUNCTION("""COMPUTED_VALUE"""),"SI tiene seguimiento 16/08/2022")</f>
        <v>SI tiene seguimiento 16/08/2022</v>
      </c>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t="str">
        <f ca="1">IFERROR(__xludf.DUMMYFUNCTION("""COMPUTED_VALUE"""),"Procede_E_P")</f>
        <v>Procede_E_P</v>
      </c>
      <c r="AV606" s="40" t="str">
        <f ca="1">IFERROR(__xludf.DUMMYFUNCTION("""COMPUTED_VALUE"""),"EN FORMACION")</f>
        <v>EN FORMACION</v>
      </c>
      <c r="AW606" s="40" t="str">
        <f ca="1">IFERROR(__xludf.DUMMYFUNCTION("""COMPUTED_VALUE"""),"AGROPECUARIO")</f>
        <v>AGROPECUARIO</v>
      </c>
      <c r="AX606" s="141">
        <f ca="1">IFERROR(__xludf.DUMMYFUNCTION("""COMPUTED_VALUE"""),44839)</f>
        <v>44839</v>
      </c>
      <c r="AY606" s="40">
        <f ca="1">IFERROR(__xludf.DUMMYFUNCTION("""COMPUTED_VALUE"""),0)</f>
        <v>0</v>
      </c>
      <c r="AZ606" s="40">
        <f ca="1">IFERROR(__xludf.DUMMYFUNCTION("""COMPUTED_VALUE"""),1)</f>
        <v>1</v>
      </c>
      <c r="BA606" s="40">
        <f ca="1">IFERROR(__xludf.DUMMYFUNCTION("""COMPUTED_VALUE"""),0)</f>
        <v>0</v>
      </c>
      <c r="BB606" s="40">
        <f ca="1">IFERROR(__xludf.DUMMYFUNCTION("""COMPUTED_VALUE"""),0)</f>
        <v>0</v>
      </c>
      <c r="BC606" s="40">
        <f ca="1">IFERROR(__xludf.DUMMYFUNCTION("""COMPUTED_VALUE"""),1)</f>
        <v>1</v>
      </c>
      <c r="BD606" s="141">
        <f ca="1">IFERROR(__xludf.DUMMYFUNCTION("""COMPUTED_VALUE"""),44138)</f>
        <v>44138</v>
      </c>
      <c r="BE606" s="141">
        <f ca="1">IFERROR(__xludf.DUMMYFUNCTION("""COMPUTED_VALUE"""),44683)</f>
        <v>44683</v>
      </c>
      <c r="BF606" s="141">
        <f ca="1">IFERROR(__xludf.DUMMYFUNCTION("""COMPUTED_VALUE"""),44867)</f>
        <v>44867</v>
      </c>
      <c r="BG606" s="141">
        <f ca="1">IFERROR(__xludf.DUMMYFUNCTION("""COMPUTED_VALUE"""),45414)</f>
        <v>45414</v>
      </c>
      <c r="BH606" s="40" t="str">
        <f ca="1">IFERROR(__xludf.DUMMYFUNCTION("""COMPUTED_VALUE"""),"FICHA EN TIEMPO-18 MESES")</f>
        <v>FICHA EN TIEMPO-18 MESES</v>
      </c>
      <c r="BI606" s="40" t="str">
        <f ca="1">IFERROR(__xludf.DUMMYFUNCTION("""COMPUTED_VALUE"""),"Terminada por fecha")</f>
        <v>Terminada por fecha</v>
      </c>
      <c r="BJ606" s="40" t="str">
        <f ca="1">IFERROR(__xludf.DUMMYFUNCTION("""COMPUTED_VALUE"""),"Yamboro")</f>
        <v>Yamboro</v>
      </c>
      <c r="BK606" s="40"/>
      <c r="BL606" s="40"/>
    </row>
    <row r="607" spans="1:64" ht="13">
      <c r="A607" s="40"/>
      <c r="B607" s="40" t="str">
        <f ca="1">IFERROR(__xludf.DUMMYFUNCTION("""COMPUTED_VALUE"""),"FORMACIÓN 18/10/2022")</f>
        <v>FORMACIÓN 18/10/2022</v>
      </c>
      <c r="C607" s="40" t="str">
        <f ca="1">IFERROR(__xludf.DUMMYFUNCTION("""COMPUTED_VALUE"""),"BAIRON ESTIVEN ALVAREZ CLAROS")</f>
        <v>BAIRON ESTIVEN ALVAREZ CLAROS</v>
      </c>
      <c r="D607" s="40" t="str">
        <f ca="1">IFERROR(__xludf.DUMMYFUNCTION("""COMPUTED_VALUE"""),"CC")</f>
        <v>CC</v>
      </c>
      <c r="E607" s="40">
        <f ca="1">IFERROR(__xludf.DUMMYFUNCTION("""COMPUTED_VALUE"""),26428939)</f>
        <v>26428939</v>
      </c>
      <c r="F607" s="40">
        <f ca="1">IFERROR(__xludf.DUMMYFUNCTION("""COMPUTED_VALUE"""),2252427)</f>
        <v>2252427</v>
      </c>
      <c r="G607" s="40" t="str">
        <f ca="1">IFERROR(__xludf.DUMMYFUNCTION("""COMPUTED_VALUE"""),"TECNÓLOGO")</f>
        <v>TECNÓLOGO</v>
      </c>
      <c r="H607" s="40" t="str">
        <f ca="1">IFERROR(__xludf.DUMMYFUNCTION("""COMPUTED_VALUE"""),"PRODUCCIÓN AGROPECUARIA ECOLÓGICA")</f>
        <v>PRODUCCIÓN AGROPECUARIA ECOLÓGICA</v>
      </c>
      <c r="I607" s="40">
        <f ca="1">IFERROR(__xludf.DUMMYFUNCTION("""COMPUTED_VALUE"""),3219666826)</f>
        <v>3219666826</v>
      </c>
      <c r="J607" s="40" t="str">
        <f ca="1">IFERROR(__xludf.DUMMYFUNCTION("""COMPUTED_VALUE"""),"alvarezestiven2409@gmail.com")</f>
        <v>alvarezestiven2409@gmail.com</v>
      </c>
      <c r="K607" s="40"/>
      <c r="L607" s="40" t="str">
        <f ca="1">IFERROR(__xludf.DUMMYFUNCTION("""COMPUTED_VALUE"""),"CONTRATO DE APRENDIZAJE")</f>
        <v>CONTRATO DE APRENDIZAJE</v>
      </c>
      <c r="M607" s="40" t="str">
        <f ca="1">IFERROR(__xludf.DUMMYFUNCTION("""COMPUTED_VALUE"""),"AGGRICOALDANAAAA S.A.S")</f>
        <v>AGGRICOALDANAAAA S.A.S</v>
      </c>
      <c r="N607" s="40" t="str">
        <f ca="1">IFERROR(__xludf.DUMMYFUNCTION("""COMPUTED_VALUE"""),"CALLE 7 N° 5 - 76")</f>
        <v>CALLE 7 N° 5 - 76</v>
      </c>
      <c r="O607" s="40">
        <f ca="1">IFERROR(__xludf.DUMMYFUNCTION("""COMPUTED_VALUE"""),3118607211)</f>
        <v>3118607211</v>
      </c>
      <c r="P607" s="40" t="str">
        <f ca="1">IFERROR(__xludf.DUMMYFUNCTION("""COMPUTED_VALUE"""),"PITALITO
")</f>
        <v xml:space="preserve">PITALITO
</v>
      </c>
      <c r="Q607" s="40" t="str">
        <f ca="1">IFERROR(__xludf.DUMMYFUNCTION("""COMPUTED_VALUE"""),"CALLE 7 NO  5 75
")</f>
        <v xml:space="preserve">CALLE 7 NO  5 75
</v>
      </c>
      <c r="R607" s="140">
        <f ca="1">IFERROR(__xludf.DUMMYFUNCTION("""COMPUTED_VALUE"""),44758)</f>
        <v>44758</v>
      </c>
      <c r="S607" s="140">
        <f ca="1">IFERROR(__xludf.DUMMYFUNCTION("""COMPUTED_VALUE"""),44942)</f>
        <v>44942</v>
      </c>
      <c r="T607" s="40" t="str">
        <f ca="1">IFERROR(__xludf.DUMMYFUNCTION("""COMPUTED_VALUE"""),"Tiene contrato de aprendizaje, Incial y bitácoras 1 y 2 ... Falta parcial, final, certificación y bitácoras 3,4,5,6,7,8,9,10,11 y 12 ... Revisado 16/08/2022 ")</f>
        <v xml:space="preserve">Tiene contrato de aprendizaje, Incial y bitácoras 1 y 2 ... Falta parcial, final, certificación y bitácoras 3,4,5,6,7,8,9,10,11 y 12 ... Revisado 16/08/2022 </v>
      </c>
      <c r="U607" s="40" t="str">
        <f ca="1">IFERROR(__xludf.DUMMYFUNCTION("""COMPUTED_VALUE"""),"Carlos Alberto Sánchez Cruz - Subió Inicial y bitácoras 1y 2 ... Revisado 16/08/2022")</f>
        <v>Carlos Alberto Sánchez Cruz - Subió Inicial y bitácoras 1y 2 ... Revisado 16/08/2022</v>
      </c>
      <c r="V607" s="40" t="str">
        <f ca="1">IFERROR(__xludf.DUMMYFUNCTION("""COMPUTED_VALUE"""),"SI tiene seguimiento 16/08/2022")</f>
        <v>SI tiene seguimiento 16/08/2022</v>
      </c>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t="str">
        <f ca="1">IFERROR(__xludf.DUMMYFUNCTION("""COMPUTED_VALUE"""),"Procede_E_P")</f>
        <v>Procede_E_P</v>
      </c>
      <c r="AV607" s="40" t="str">
        <f ca="1">IFERROR(__xludf.DUMMYFUNCTION("""COMPUTED_VALUE"""),"EN FORMACION")</f>
        <v>EN FORMACION</v>
      </c>
      <c r="AW607" s="40" t="str">
        <f ca="1">IFERROR(__xludf.DUMMYFUNCTION("""COMPUTED_VALUE"""),"AGROPECUARIO")</f>
        <v>AGROPECUARIO</v>
      </c>
      <c r="AX607" s="141">
        <f ca="1">IFERROR(__xludf.DUMMYFUNCTION("""COMPUTED_VALUE"""),44839)</f>
        <v>44839</v>
      </c>
      <c r="AY607" s="40">
        <f ca="1">IFERROR(__xludf.DUMMYFUNCTION("""COMPUTED_VALUE"""),0)</f>
        <v>0</v>
      </c>
      <c r="AZ607" s="40">
        <f ca="1">IFERROR(__xludf.DUMMYFUNCTION("""COMPUTED_VALUE"""),1)</f>
        <v>1</v>
      </c>
      <c r="BA607" s="40">
        <f ca="1">IFERROR(__xludf.DUMMYFUNCTION("""COMPUTED_VALUE"""),0)</f>
        <v>0</v>
      </c>
      <c r="BB607" s="40">
        <f ca="1">IFERROR(__xludf.DUMMYFUNCTION("""COMPUTED_VALUE"""),0)</f>
        <v>0</v>
      </c>
      <c r="BC607" s="40">
        <f ca="1">IFERROR(__xludf.DUMMYFUNCTION("""COMPUTED_VALUE"""),1)</f>
        <v>1</v>
      </c>
      <c r="BD607" s="141">
        <f ca="1">IFERROR(__xludf.DUMMYFUNCTION("""COMPUTED_VALUE"""),44183)</f>
        <v>44183</v>
      </c>
      <c r="BE607" s="141">
        <f ca="1">IFERROR(__xludf.DUMMYFUNCTION("""COMPUTED_VALUE"""),44729)</f>
        <v>44729</v>
      </c>
      <c r="BF607" s="141">
        <f ca="1">IFERROR(__xludf.DUMMYFUNCTION("""COMPUTED_VALUE"""),44912)</f>
        <v>44912</v>
      </c>
      <c r="BG607" s="141">
        <f ca="1">IFERROR(__xludf.DUMMYFUNCTION("""COMPUTED_VALUE"""),45460)</f>
        <v>45460</v>
      </c>
      <c r="BH607" s="40" t="str">
        <f ca="1">IFERROR(__xludf.DUMMYFUNCTION("""COMPUTED_VALUE"""),"FICHA EN TIEMPO-18 MESES")</f>
        <v>FICHA EN TIEMPO-18 MESES</v>
      </c>
      <c r="BI607" s="40" t="str">
        <f ca="1">IFERROR(__xludf.DUMMYFUNCTION("""COMPUTED_VALUE"""),"En ejecucion")</f>
        <v>En ejecucion</v>
      </c>
      <c r="BJ607" s="40" t="str">
        <f ca="1">IFERROR(__xludf.DUMMYFUNCTION("""COMPUTED_VALUE"""),"Yamboro")</f>
        <v>Yamboro</v>
      </c>
      <c r="BK607" s="40"/>
      <c r="BL607" s="40"/>
    </row>
    <row r="608" spans="1:64" ht="13">
      <c r="A608" s="40"/>
      <c r="B608" s="40" t="str">
        <f ca="1">IFERROR(__xludf.DUMMYFUNCTION("""COMPUTED_VALUE"""),"FORMACIÓN 18/10/2022")</f>
        <v>FORMACIÓN 18/10/2022</v>
      </c>
      <c r="C608" s="40" t="str">
        <f ca="1">IFERROR(__xludf.DUMMYFUNCTION("""COMPUTED_VALUE"""),"DEISY JOHANA MOSQUERA OSORIO")</f>
        <v>DEISY JOHANA MOSQUERA OSORIO</v>
      </c>
      <c r="D608" s="40" t="str">
        <f ca="1">IFERROR(__xludf.DUMMYFUNCTION("""COMPUTED_VALUE"""),"CC")</f>
        <v>CC</v>
      </c>
      <c r="E608" s="40">
        <f ca="1">IFERROR(__xludf.DUMMYFUNCTION("""COMPUTED_VALUE"""),26428939)</f>
        <v>26428939</v>
      </c>
      <c r="F608" s="40">
        <f ca="1">IFERROR(__xludf.DUMMYFUNCTION("""COMPUTED_VALUE"""),2252427)</f>
        <v>2252427</v>
      </c>
      <c r="G608" s="40" t="str">
        <f ca="1">IFERROR(__xludf.DUMMYFUNCTION("""COMPUTED_VALUE"""),"TECNÓLOGO")</f>
        <v>TECNÓLOGO</v>
      </c>
      <c r="H608" s="40" t="str">
        <f ca="1">IFERROR(__xludf.DUMMYFUNCTION("""COMPUTED_VALUE"""),"PRODUCCIÓN AGROPECUARIA ECOLÓGICA")</f>
        <v>PRODUCCIÓN AGROPECUARIA ECOLÓGICA</v>
      </c>
      <c r="I608" s="40">
        <f ca="1">IFERROR(__xludf.DUMMYFUNCTION("""COMPUTED_VALUE"""),3134507259)</f>
        <v>3134507259</v>
      </c>
      <c r="J608" s="40" t="str">
        <f ca="1">IFERROR(__xludf.DUMMYFUNCTION("""COMPUTED_VALUE"""),"deisyosorio608@gmail.com")</f>
        <v>deisyosorio608@gmail.com</v>
      </c>
      <c r="K608" s="40" t="str">
        <f ca="1">IFERROR(__xludf.DUMMYFUNCTION("""COMPUTED_VALUE"""),"PITALITO")</f>
        <v>PITALITO</v>
      </c>
      <c r="L608" s="40" t="str">
        <f ca="1">IFERROR(__xludf.DUMMYFUNCTION("""COMPUTED_VALUE"""),"PASANTÍAS")</f>
        <v>PASANTÍAS</v>
      </c>
      <c r="M608" s="40" t="str">
        <f ca="1">IFERROR(__xludf.DUMMYFUNCTION("""COMPUTED_VALUE"""),"SERCICIO NACIÓNAL DE APRENDIZAJE SENA ")</f>
        <v xml:space="preserve">SERCICIO NACIÓNAL DE APRENDIZAJE SENA </v>
      </c>
      <c r="N608" s="40" t="str">
        <f ca="1">IFERROR(__xludf.DUMMYFUNCTION("""COMPUTED_VALUE"""),"cra 8 N° 7-53")</f>
        <v>cra 8 N° 7-53</v>
      </c>
      <c r="O608" s="40">
        <f ca="1">IFERROR(__xludf.DUMMYFUNCTION("""COMPUTED_VALUE"""),8365960)</f>
        <v>8365960</v>
      </c>
      <c r="P608" s="40"/>
      <c r="Q608" s="40"/>
      <c r="R608" s="140">
        <f ca="1">IFERROR(__xludf.DUMMYFUNCTION("""COMPUTED_VALUE"""),44652)</f>
        <v>44652</v>
      </c>
      <c r="S608" s="140">
        <f ca="1">IFERROR(__xludf.DUMMYFUNCTION("""COMPUTED_VALUE"""),44926)</f>
        <v>44926</v>
      </c>
      <c r="T608" s="40"/>
      <c r="U608" s="40" t="str">
        <f ca="1">IFERROR(__xludf.DUMMYFUNCTION("""COMPUTED_VALUE"""),"Walter Robinson Herrera Peña")</f>
        <v>Walter Robinson Herrera Peña</v>
      </c>
      <c r="V608" s="335" t="s">
        <v>1739</v>
      </c>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t="str">
        <f ca="1">IFERROR(__xludf.DUMMYFUNCTION("""COMPUTED_VALUE"""),"Procede_E_P")</f>
        <v>Procede_E_P</v>
      </c>
      <c r="AV608" s="40" t="str">
        <f ca="1">IFERROR(__xludf.DUMMYFUNCTION("""COMPUTED_VALUE"""),"EN FORMACION")</f>
        <v>EN FORMACION</v>
      </c>
      <c r="AW608" s="40" t="str">
        <f ca="1">IFERROR(__xludf.DUMMYFUNCTION("""COMPUTED_VALUE"""),"AGROPECUARIO")</f>
        <v>AGROPECUARIO</v>
      </c>
      <c r="AX608" s="141">
        <f ca="1">IFERROR(__xludf.DUMMYFUNCTION("""COMPUTED_VALUE"""),44839)</f>
        <v>44839</v>
      </c>
      <c r="AY608" s="40">
        <f ca="1">IFERROR(__xludf.DUMMYFUNCTION("""COMPUTED_VALUE"""),0)</f>
        <v>0</v>
      </c>
      <c r="AZ608" s="40">
        <f ca="1">IFERROR(__xludf.DUMMYFUNCTION("""COMPUTED_VALUE"""),1)</f>
        <v>1</v>
      </c>
      <c r="BA608" s="40">
        <f ca="1">IFERROR(__xludf.DUMMYFUNCTION("""COMPUTED_VALUE"""),0)</f>
        <v>0</v>
      </c>
      <c r="BB608" s="40">
        <f ca="1">IFERROR(__xludf.DUMMYFUNCTION("""COMPUTED_VALUE"""),0)</f>
        <v>0</v>
      </c>
      <c r="BC608" s="40">
        <f ca="1">IFERROR(__xludf.DUMMYFUNCTION("""COMPUTED_VALUE"""),1)</f>
        <v>1</v>
      </c>
      <c r="BD608" s="141">
        <f ca="1">IFERROR(__xludf.DUMMYFUNCTION("""COMPUTED_VALUE"""),44183)</f>
        <v>44183</v>
      </c>
      <c r="BE608" s="141">
        <f ca="1">IFERROR(__xludf.DUMMYFUNCTION("""COMPUTED_VALUE"""),44729)</f>
        <v>44729</v>
      </c>
      <c r="BF608" s="141">
        <f ca="1">IFERROR(__xludf.DUMMYFUNCTION("""COMPUTED_VALUE"""),44912)</f>
        <v>44912</v>
      </c>
      <c r="BG608" s="141">
        <f ca="1">IFERROR(__xludf.DUMMYFUNCTION("""COMPUTED_VALUE"""),45460)</f>
        <v>45460</v>
      </c>
      <c r="BH608" s="40" t="str">
        <f ca="1">IFERROR(__xludf.DUMMYFUNCTION("""COMPUTED_VALUE"""),"FICHA EN TIEMPO-18 MESES")</f>
        <v>FICHA EN TIEMPO-18 MESES</v>
      </c>
      <c r="BI608" s="40" t="str">
        <f ca="1">IFERROR(__xludf.DUMMYFUNCTION("""COMPUTED_VALUE"""),"En ejecucion")</f>
        <v>En ejecucion</v>
      </c>
      <c r="BJ608" s="40" t="str">
        <f ca="1">IFERROR(__xludf.DUMMYFUNCTION("""COMPUTED_VALUE"""),"Yamboro")</f>
        <v>Yamboro</v>
      </c>
      <c r="BK608" s="40"/>
      <c r="BL608" s="40"/>
    </row>
    <row r="609" spans="1:64" ht="13">
      <c r="A609" s="40"/>
      <c r="B609" s="40" t="str">
        <f ca="1">IFERROR(__xludf.DUMMYFUNCTION("""COMPUTED_VALUE"""),"FORMACIÓN 18/10/2022")</f>
        <v>FORMACIÓN 18/10/2022</v>
      </c>
      <c r="C609" s="40" t="str">
        <f ca="1">IFERROR(__xludf.DUMMYFUNCTION("""COMPUTED_VALUE"""),"YURY TATIANA ORTEGA ORTIZ")</f>
        <v>YURY TATIANA ORTEGA ORTIZ</v>
      </c>
      <c r="D609" s="40" t="str">
        <f ca="1">IFERROR(__xludf.DUMMYFUNCTION("""COMPUTED_VALUE"""),"CC")</f>
        <v>CC</v>
      </c>
      <c r="E609" s="40">
        <f ca="1">IFERROR(__xludf.DUMMYFUNCTION("""COMPUTED_VALUE"""),26428939)</f>
        <v>26428939</v>
      </c>
      <c r="F609" s="40">
        <f ca="1">IFERROR(__xludf.DUMMYFUNCTION("""COMPUTED_VALUE"""),2252427)</f>
        <v>2252427</v>
      </c>
      <c r="G609" s="40" t="str">
        <f ca="1">IFERROR(__xludf.DUMMYFUNCTION("""COMPUTED_VALUE"""),"TECNÓLOGO")</f>
        <v>TECNÓLOGO</v>
      </c>
      <c r="H609" s="40" t="str">
        <f ca="1">IFERROR(__xludf.DUMMYFUNCTION("""COMPUTED_VALUE"""),"PRODUCCIÓN AGROPECUARIA ECOLÓGICA")</f>
        <v>PRODUCCIÓN AGROPECUARIA ECOLÓGICA</v>
      </c>
      <c r="I609" s="40">
        <f ca="1">IFERROR(__xludf.DUMMYFUNCTION("""COMPUTED_VALUE"""),3157434221)</f>
        <v>3157434221</v>
      </c>
      <c r="J609" s="40" t="str">
        <f ca="1">IFERROR(__xludf.DUMMYFUNCTION("""COMPUTED_VALUE"""),"yuritatianaortegaortiz889@gmail.com")</f>
        <v>yuritatianaortegaortiz889@gmail.com</v>
      </c>
      <c r="K609" s="40" t="str">
        <f ca="1">IFERROR(__xludf.DUMMYFUNCTION("""COMPUTED_VALUE"""),"PITLALITO ")</f>
        <v xml:space="preserve">PITLALITO </v>
      </c>
      <c r="L609" s="40" t="str">
        <f ca="1">IFERROR(__xludf.DUMMYFUNCTION("""COMPUTED_VALUE"""),"CONTRATO DE APRENDIZAJE")</f>
        <v>CONTRATO DE APRENDIZAJE</v>
      </c>
      <c r="M609" s="40" t="str">
        <f ca="1">IFERROR(__xludf.DUMMYFUNCTION("""COMPUTED_VALUE"""),"INVERSIONES COISE S.A.S ")</f>
        <v xml:space="preserve">INVERSIONES COISE S.A.S </v>
      </c>
      <c r="N609" s="40" t="str">
        <f ca="1">IFERROR(__xludf.DUMMYFUNCTION("""COMPUTED_VALUE"""),"CARRERA 2 N°2- 51 ")</f>
        <v xml:space="preserve">CARRERA 2 N°2- 51 </v>
      </c>
      <c r="O609" s="40">
        <f ca="1">IFERROR(__xludf.DUMMYFUNCTION("""COMPUTED_VALUE"""),3205573830)</f>
        <v>3205573830</v>
      </c>
      <c r="P609" s="40" t="str">
        <f ca="1">IFERROR(__xludf.DUMMYFUNCTION("""COMPUTED_VALUE"""),"PITALITO ")</f>
        <v xml:space="preserve">PITALITO </v>
      </c>
      <c r="Q609" s="40"/>
      <c r="R609" s="140">
        <f ca="1">IFERROR(__xludf.DUMMYFUNCTION("""COMPUTED_VALUE"""),44743)</f>
        <v>44743</v>
      </c>
      <c r="S609" s="140">
        <f ca="1">IFERROR(__xludf.DUMMYFUNCTION("""COMPUTED_VALUE"""),44926)</f>
        <v>44926</v>
      </c>
      <c r="T609" s="40" t="str">
        <f ca="1">IFERROR(__xludf.DUMMYFUNCTION("""COMPUTED_VALUE"""),"CONTRATO NO REGISTRADO EN CAPRENDIZAJE, inicial y bitácoras 1 y 2 ... Falta parcial, final, certificaión y bitácoras 3,4,5,6,7,8,9,10,11 y 12 ... Revisado 16/08/2022")</f>
        <v>CONTRATO NO REGISTRADO EN CAPRENDIZAJE, inicial y bitácoras 1 y 2 ... Falta parcial, final, certificaión y bitácoras 3,4,5,6,7,8,9,10,11 y 12 ... Revisado 16/08/2022</v>
      </c>
      <c r="U609" s="40" t="str">
        <f ca="1">IFERROR(__xludf.DUMMYFUNCTION("""COMPUTED_VALUE"""),"Carlos Alberto Sánchez Cruz
- Subió inicial y bitácoras 1 y 2 ... Revisado 16/08/202")</f>
        <v>Carlos Alberto Sánchez Cruz
- Subió inicial y bitácoras 1 y 2 ... Revisado 16/08/202</v>
      </c>
      <c r="V609" s="40" t="str">
        <f ca="1">IFERROR(__xludf.DUMMYFUNCTION("""COMPUTED_VALUE"""),"SI tiene seguimiento 16/08/2022")</f>
        <v>SI tiene seguimiento 16/08/2022</v>
      </c>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t="str">
        <f ca="1">IFERROR(__xludf.DUMMYFUNCTION("""COMPUTED_VALUE"""),"Procede_E_P")</f>
        <v>Procede_E_P</v>
      </c>
      <c r="AV609" s="40" t="str">
        <f ca="1">IFERROR(__xludf.DUMMYFUNCTION("""COMPUTED_VALUE"""),"EN FORMACION")</f>
        <v>EN FORMACION</v>
      </c>
      <c r="AW609" s="40" t="str">
        <f ca="1">IFERROR(__xludf.DUMMYFUNCTION("""COMPUTED_VALUE"""),"AGROPECUARIO")</f>
        <v>AGROPECUARIO</v>
      </c>
      <c r="AX609" s="141">
        <f ca="1">IFERROR(__xludf.DUMMYFUNCTION("""COMPUTED_VALUE"""),44839)</f>
        <v>44839</v>
      </c>
      <c r="AY609" s="40">
        <f ca="1">IFERROR(__xludf.DUMMYFUNCTION("""COMPUTED_VALUE"""),0)</f>
        <v>0</v>
      </c>
      <c r="AZ609" s="40">
        <f ca="1">IFERROR(__xludf.DUMMYFUNCTION("""COMPUTED_VALUE"""),1)</f>
        <v>1</v>
      </c>
      <c r="BA609" s="40">
        <f ca="1">IFERROR(__xludf.DUMMYFUNCTION("""COMPUTED_VALUE"""),0)</f>
        <v>0</v>
      </c>
      <c r="BB609" s="40">
        <f ca="1">IFERROR(__xludf.DUMMYFUNCTION("""COMPUTED_VALUE"""),0)</f>
        <v>0</v>
      </c>
      <c r="BC609" s="40">
        <f ca="1">IFERROR(__xludf.DUMMYFUNCTION("""COMPUTED_VALUE"""),1)</f>
        <v>1</v>
      </c>
      <c r="BD609" s="141">
        <f ca="1">IFERROR(__xludf.DUMMYFUNCTION("""COMPUTED_VALUE"""),44183)</f>
        <v>44183</v>
      </c>
      <c r="BE609" s="141">
        <f ca="1">IFERROR(__xludf.DUMMYFUNCTION("""COMPUTED_VALUE"""),44729)</f>
        <v>44729</v>
      </c>
      <c r="BF609" s="141">
        <f ca="1">IFERROR(__xludf.DUMMYFUNCTION("""COMPUTED_VALUE"""),44912)</f>
        <v>44912</v>
      </c>
      <c r="BG609" s="141">
        <f ca="1">IFERROR(__xludf.DUMMYFUNCTION("""COMPUTED_VALUE"""),45460)</f>
        <v>45460</v>
      </c>
      <c r="BH609" s="40" t="str">
        <f ca="1">IFERROR(__xludf.DUMMYFUNCTION("""COMPUTED_VALUE"""),"FICHA EN TIEMPO-18 MESES")</f>
        <v>FICHA EN TIEMPO-18 MESES</v>
      </c>
      <c r="BI609" s="40" t="str">
        <f ca="1">IFERROR(__xludf.DUMMYFUNCTION("""COMPUTED_VALUE"""),"En ejecucion")</f>
        <v>En ejecucion</v>
      </c>
      <c r="BJ609" s="40" t="str">
        <f ca="1">IFERROR(__xludf.DUMMYFUNCTION("""COMPUTED_VALUE"""),"Yamboro")</f>
        <v>Yamboro</v>
      </c>
      <c r="BK609" s="40"/>
      <c r="BL609" s="40"/>
    </row>
    <row r="610" spans="1:64" ht="13">
      <c r="A610" s="40"/>
      <c r="B610" s="40" t="str">
        <f ca="1">IFERROR(__xludf.DUMMYFUNCTION("""COMPUTED_VALUE"""),"FORMACIÓN 18/10/2022")</f>
        <v>FORMACIÓN 18/10/2022</v>
      </c>
      <c r="C610" s="40" t="str">
        <f ca="1">IFERROR(__xludf.DUMMYFUNCTION("""COMPUTED_VALUE"""),"YEFERSON PIAMBA SANCHEZ")</f>
        <v>YEFERSON PIAMBA SANCHEZ</v>
      </c>
      <c r="D610" s="40" t="str">
        <f ca="1">IFERROR(__xludf.DUMMYFUNCTION("""COMPUTED_VALUE"""),"CC")</f>
        <v>CC</v>
      </c>
      <c r="E610" s="40">
        <f ca="1">IFERROR(__xludf.DUMMYFUNCTION("""COMPUTED_VALUE"""),26428939)</f>
        <v>26428939</v>
      </c>
      <c r="F610" s="40">
        <f ca="1">IFERROR(__xludf.DUMMYFUNCTION("""COMPUTED_VALUE"""),2252427)</f>
        <v>2252427</v>
      </c>
      <c r="G610" s="40" t="str">
        <f ca="1">IFERROR(__xludf.DUMMYFUNCTION("""COMPUTED_VALUE"""),"TECNÓLOGO")</f>
        <v>TECNÓLOGO</v>
      </c>
      <c r="H610" s="40" t="str">
        <f ca="1">IFERROR(__xludf.DUMMYFUNCTION("""COMPUTED_VALUE"""),"PRODUCCIÓN AGROPECUARIA ECOLÓGICA")</f>
        <v>PRODUCCIÓN AGROPECUARIA ECOLÓGICA</v>
      </c>
      <c r="I610" s="40">
        <f ca="1">IFERROR(__xludf.DUMMYFUNCTION("""COMPUTED_VALUE"""),3178888930)</f>
        <v>3178888930</v>
      </c>
      <c r="J610" s="40" t="str">
        <f ca="1">IFERROR(__xludf.DUMMYFUNCTION("""COMPUTED_VALUE"""),"jeffersonpiamba10@gmail.com")</f>
        <v>jeffersonpiamba10@gmail.com</v>
      </c>
      <c r="K610" s="40" t="str">
        <f ca="1">IFERROR(__xludf.DUMMYFUNCTION("""COMPUTED_VALUE"""),"PITALITO ")</f>
        <v xml:space="preserve">PITALITO </v>
      </c>
      <c r="L610" s="40" t="str">
        <f ca="1">IFERROR(__xludf.DUMMYFUNCTION("""COMPUTED_VALUE"""),"PASANTÍAS")</f>
        <v>PASANTÍAS</v>
      </c>
      <c r="M610" s="40" t="str">
        <f ca="1">IFERROR(__xludf.DUMMYFUNCTION("""COMPUTED_VALUE"""),"Centro de Gestión y Desarrollo Sostenible Surcolombiano sede Yamboró - CGDSS")</f>
        <v>Centro de Gestión y Desarrollo Sostenible Surcolombiano sede Yamboró - CGDSS</v>
      </c>
      <c r="N610" s="40" t="str">
        <f ca="1">IFERROR(__xludf.DUMMYFUNCTION("""COMPUTED_VALUE"""),"PITALITO ")</f>
        <v xml:space="preserve">PITALITO </v>
      </c>
      <c r="O610" s="40">
        <f ca="1">IFERROR(__xludf.DUMMYFUNCTION("""COMPUTED_VALUE"""),3217388487)</f>
        <v>3217388487</v>
      </c>
      <c r="P610" s="40" t="str">
        <f ca="1">IFERROR(__xludf.DUMMYFUNCTION("""COMPUTED_VALUE"""),"PITALITO ")</f>
        <v xml:space="preserve">PITALITO </v>
      </c>
      <c r="Q610" s="40" t="str">
        <f ca="1">IFERROR(__xludf.DUMMYFUNCTION("""COMPUTED_VALUE"""),"apinzonp@sena.edu.co")</f>
        <v>apinzonp@sena.edu.co</v>
      </c>
      <c r="R610" s="140">
        <f ca="1">IFERROR(__xludf.DUMMYFUNCTION("""COMPUTED_VALUE"""),44805)</f>
        <v>44805</v>
      </c>
      <c r="S610" s="140">
        <f ca="1">IFERROR(__xludf.DUMMYFUNCTION("""COMPUTED_VALUE"""),44988)</f>
        <v>44988</v>
      </c>
      <c r="T610" s="40" t="str">
        <f ca="1">IFERROR(__xludf.DUMMYFUNCTION("""COMPUTED_VALUE"""),"Tiene Acuerdo de Voluntades, Inicial ... Falta parcial, final, certificación y bitácoras 1,2,3,4,5,6,7,8,9,10,11 y 12 ... Revisado 09/09/2022")</f>
        <v>Tiene Acuerdo de Voluntades, Inicial ... Falta parcial, final, certificación y bitácoras 1,2,3,4,5,6,7,8,9,10,11 y 12 ... Revisado 09/09/2022</v>
      </c>
      <c r="U610" s="40" t="str">
        <f ca="1">IFERROR(__xludf.DUMMYFUNCTION("""COMPUTED_VALUE"""),"Carlos Alberto Sánchez Cruz - WALTER ROBINSON HERRERA PEÑA - ASIGNADO - Subió 2 Inicial... Revisado 30/08/2022
")</f>
        <v xml:space="preserve">Carlos Alberto Sánchez Cruz - WALTER ROBINSON HERRERA PEÑA - ASIGNADO - Subió 2 Inicial... Revisado 30/08/2022
</v>
      </c>
      <c r="V610" s="40" t="str">
        <f ca="1">IFERROR(__xludf.DUMMYFUNCTION("""COMPUTED_VALUE"""),"SI tiene seguimiento 30/08/2022")</f>
        <v>SI tiene seguimiento 30/08/2022</v>
      </c>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t="str">
        <f ca="1">IFERROR(__xludf.DUMMYFUNCTION("""COMPUTED_VALUE"""),"Procede_E_P")</f>
        <v>Procede_E_P</v>
      </c>
      <c r="AV610" s="40" t="str">
        <f ca="1">IFERROR(__xludf.DUMMYFUNCTION("""COMPUTED_VALUE"""),"EN FORMACION")</f>
        <v>EN FORMACION</v>
      </c>
      <c r="AW610" s="40" t="str">
        <f ca="1">IFERROR(__xludf.DUMMYFUNCTION("""COMPUTED_VALUE"""),"AGROPECUARIO")</f>
        <v>AGROPECUARIO</v>
      </c>
      <c r="AX610" s="141">
        <f ca="1">IFERROR(__xludf.DUMMYFUNCTION("""COMPUTED_VALUE"""),44839)</f>
        <v>44839</v>
      </c>
      <c r="AY610" s="40">
        <f ca="1">IFERROR(__xludf.DUMMYFUNCTION("""COMPUTED_VALUE"""),0)</f>
        <v>0</v>
      </c>
      <c r="AZ610" s="40">
        <f ca="1">IFERROR(__xludf.DUMMYFUNCTION("""COMPUTED_VALUE"""),1)</f>
        <v>1</v>
      </c>
      <c r="BA610" s="40">
        <f ca="1">IFERROR(__xludf.DUMMYFUNCTION("""COMPUTED_VALUE"""),0)</f>
        <v>0</v>
      </c>
      <c r="BB610" s="40">
        <f ca="1">IFERROR(__xludf.DUMMYFUNCTION("""COMPUTED_VALUE"""),0)</f>
        <v>0</v>
      </c>
      <c r="BC610" s="40">
        <f ca="1">IFERROR(__xludf.DUMMYFUNCTION("""COMPUTED_VALUE"""),1)</f>
        <v>1</v>
      </c>
      <c r="BD610" s="141">
        <f ca="1">IFERROR(__xludf.DUMMYFUNCTION("""COMPUTED_VALUE"""),44183)</f>
        <v>44183</v>
      </c>
      <c r="BE610" s="141">
        <f ca="1">IFERROR(__xludf.DUMMYFUNCTION("""COMPUTED_VALUE"""),44729)</f>
        <v>44729</v>
      </c>
      <c r="BF610" s="141">
        <f ca="1">IFERROR(__xludf.DUMMYFUNCTION("""COMPUTED_VALUE"""),44912)</f>
        <v>44912</v>
      </c>
      <c r="BG610" s="141">
        <f ca="1">IFERROR(__xludf.DUMMYFUNCTION("""COMPUTED_VALUE"""),45460)</f>
        <v>45460</v>
      </c>
      <c r="BH610" s="40" t="str">
        <f ca="1">IFERROR(__xludf.DUMMYFUNCTION("""COMPUTED_VALUE"""),"FICHA EN TIEMPO-18 MESES")</f>
        <v>FICHA EN TIEMPO-18 MESES</v>
      </c>
      <c r="BI610" s="40" t="str">
        <f ca="1">IFERROR(__xludf.DUMMYFUNCTION("""COMPUTED_VALUE"""),"En ejecucion")</f>
        <v>En ejecucion</v>
      </c>
      <c r="BJ610" s="40" t="str">
        <f ca="1">IFERROR(__xludf.DUMMYFUNCTION("""COMPUTED_VALUE"""),"Yamboro")</f>
        <v>Yamboro</v>
      </c>
      <c r="BK610" s="40"/>
      <c r="BL610" s="40"/>
    </row>
    <row r="611" spans="1:64" ht="13">
      <c r="A611" s="40"/>
      <c r="B611" s="40" t="str">
        <f ca="1">IFERROR(__xludf.DUMMYFUNCTION("""COMPUTED_VALUE"""),"FORMACIÓN 18/10/2022")</f>
        <v>FORMACIÓN 18/10/2022</v>
      </c>
      <c r="C611" s="40" t="str">
        <f ca="1">IFERROR(__xludf.DUMMYFUNCTION("""COMPUTED_VALUE"""),"JUAN ESTEBAN GARCIA JIMENEZ")</f>
        <v>JUAN ESTEBAN GARCIA JIMENEZ</v>
      </c>
      <c r="D611" s="40" t="str">
        <f ca="1">IFERROR(__xludf.DUMMYFUNCTION("""COMPUTED_VALUE"""),"CC")</f>
        <v>CC</v>
      </c>
      <c r="E611" s="40">
        <f ca="1">IFERROR(__xludf.DUMMYFUNCTION("""COMPUTED_VALUE"""),26428939)</f>
        <v>26428939</v>
      </c>
      <c r="F611" s="40">
        <f ca="1">IFERROR(__xludf.DUMMYFUNCTION("""COMPUTED_VALUE"""),2252427)</f>
        <v>2252427</v>
      </c>
      <c r="G611" s="40" t="str">
        <f ca="1">IFERROR(__xludf.DUMMYFUNCTION("""COMPUTED_VALUE"""),"TECNÓLOGO")</f>
        <v>TECNÓLOGO</v>
      </c>
      <c r="H611" s="40" t="str">
        <f ca="1">IFERROR(__xludf.DUMMYFUNCTION("""COMPUTED_VALUE"""),"PRODUCCIÓN AGROPECUARIA ECOLÓGICA")</f>
        <v>PRODUCCIÓN AGROPECUARIA ECOLÓGICA</v>
      </c>
      <c r="I611" s="40">
        <f ca="1">IFERROR(__xludf.DUMMYFUNCTION("""COMPUTED_VALUE"""),3187469348)</f>
        <v>3187469348</v>
      </c>
      <c r="J611" s="40" t="str">
        <f ca="1">IFERROR(__xludf.DUMMYFUNCTION("""COMPUTED_VALUE"""),"juanestabangarciajimenez @gmail.com")</f>
        <v>juanestabangarciajimenez @gmail.com</v>
      </c>
      <c r="K611" s="40"/>
      <c r="L611" s="40" t="str">
        <f ca="1">IFERROR(__xludf.DUMMYFUNCTION("""COMPUTED_VALUE"""),"CONTRATO DE APRENDIZAJE")</f>
        <v>CONTRATO DE APRENDIZAJE</v>
      </c>
      <c r="M611" s="40" t="str">
        <f ca="1">IFERROR(__xludf.DUMMYFUNCTION("""COMPUTED_VALUE"""),"JESUS FERNADEZ DULCE ")</f>
        <v xml:space="preserve">JESUS FERNADEZ DULCE </v>
      </c>
      <c r="N611" s="40" t="str">
        <f ca="1">IFERROR(__xludf.DUMMYFUNCTION("""COMPUTED_VALUE"""),"PARCELA 1 VDA SAN FRANCISCO GUACA- PITALITO")</f>
        <v>PARCELA 1 VDA SAN FRANCISCO GUACA- PITALITO</v>
      </c>
      <c r="O611" s="40">
        <f ca="1">IFERROR(__xludf.DUMMYFUNCTION("""COMPUTED_VALUE"""),3102545120)</f>
        <v>3102545120</v>
      </c>
      <c r="P611" s="40"/>
      <c r="Q611" s="40"/>
      <c r="R611" s="140">
        <f ca="1">IFERROR(__xludf.DUMMYFUNCTION("""COMPUTED_VALUE"""),44732)</f>
        <v>44732</v>
      </c>
      <c r="S611" s="140">
        <f ca="1">IFERROR(__xludf.DUMMYFUNCTION("""COMPUTED_VALUE"""),44914)</f>
        <v>44914</v>
      </c>
      <c r="T611" s="40"/>
      <c r="U611" s="40" t="str">
        <f ca="1">IFERROR(__xludf.DUMMYFUNCTION("""COMPUTED_VALUE"""),"Walter Robinson Herrera Peña")</f>
        <v>Walter Robinson Herrera Peña</v>
      </c>
      <c r="V611" s="40" t="str">
        <f ca="1">IFERROR(__xludf.DUMMYFUNCTION("""COMPUTED_VALUE"""),"No tiene seguimiento 27/07/2022")</f>
        <v>No tiene seguimiento 27/07/2022</v>
      </c>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t="str">
        <f ca="1">IFERROR(__xludf.DUMMYFUNCTION("""COMPUTED_VALUE"""),"Procede_E_P")</f>
        <v>Procede_E_P</v>
      </c>
      <c r="AV611" s="40" t="str">
        <f ca="1">IFERROR(__xludf.DUMMYFUNCTION("""COMPUTED_VALUE"""),"EN FORMACION")</f>
        <v>EN FORMACION</v>
      </c>
      <c r="AW611" s="40" t="str">
        <f ca="1">IFERROR(__xludf.DUMMYFUNCTION("""COMPUTED_VALUE"""),"AGROPECUARIO")</f>
        <v>AGROPECUARIO</v>
      </c>
      <c r="AX611" s="141">
        <f ca="1">IFERROR(__xludf.DUMMYFUNCTION("""COMPUTED_VALUE"""),44839)</f>
        <v>44839</v>
      </c>
      <c r="AY611" s="40">
        <f ca="1">IFERROR(__xludf.DUMMYFUNCTION("""COMPUTED_VALUE"""),0)</f>
        <v>0</v>
      </c>
      <c r="AZ611" s="40">
        <f ca="1">IFERROR(__xludf.DUMMYFUNCTION("""COMPUTED_VALUE"""),1)</f>
        <v>1</v>
      </c>
      <c r="BA611" s="40">
        <f ca="1">IFERROR(__xludf.DUMMYFUNCTION("""COMPUTED_VALUE"""),0)</f>
        <v>0</v>
      </c>
      <c r="BB611" s="40">
        <f ca="1">IFERROR(__xludf.DUMMYFUNCTION("""COMPUTED_VALUE"""),0)</f>
        <v>0</v>
      </c>
      <c r="BC611" s="40">
        <f ca="1">IFERROR(__xludf.DUMMYFUNCTION("""COMPUTED_VALUE"""),1)</f>
        <v>1</v>
      </c>
      <c r="BD611" s="141">
        <f ca="1">IFERROR(__xludf.DUMMYFUNCTION("""COMPUTED_VALUE"""),44183)</f>
        <v>44183</v>
      </c>
      <c r="BE611" s="141">
        <f ca="1">IFERROR(__xludf.DUMMYFUNCTION("""COMPUTED_VALUE"""),44729)</f>
        <v>44729</v>
      </c>
      <c r="BF611" s="141">
        <f ca="1">IFERROR(__xludf.DUMMYFUNCTION("""COMPUTED_VALUE"""),44912)</f>
        <v>44912</v>
      </c>
      <c r="BG611" s="141">
        <f ca="1">IFERROR(__xludf.DUMMYFUNCTION("""COMPUTED_VALUE"""),45460)</f>
        <v>45460</v>
      </c>
      <c r="BH611" s="40" t="str">
        <f ca="1">IFERROR(__xludf.DUMMYFUNCTION("""COMPUTED_VALUE"""),"FICHA EN TIEMPO-18 MESES")</f>
        <v>FICHA EN TIEMPO-18 MESES</v>
      </c>
      <c r="BI611" s="40" t="str">
        <f ca="1">IFERROR(__xludf.DUMMYFUNCTION("""COMPUTED_VALUE"""),"En ejecucion")</f>
        <v>En ejecucion</v>
      </c>
      <c r="BJ611" s="40" t="str">
        <f ca="1">IFERROR(__xludf.DUMMYFUNCTION("""COMPUTED_VALUE"""),"Yamboro")</f>
        <v>Yamboro</v>
      </c>
      <c r="BK611" s="40"/>
      <c r="BL611" s="40"/>
    </row>
    <row r="612" spans="1:64" ht="13">
      <c r="A612" s="40"/>
      <c r="B612" s="40" t="str">
        <f ca="1">IFERROR(__xludf.DUMMYFUNCTION("""COMPUTED_VALUE"""),"FORMACIÓN 18/10/2022")</f>
        <v>FORMACIÓN 18/10/2022</v>
      </c>
      <c r="C612" s="40" t="str">
        <f ca="1">IFERROR(__xludf.DUMMYFUNCTION("""COMPUTED_VALUE"""),"ANGIE NATALIA ORTIZ SAMBONI")</f>
        <v>ANGIE NATALIA ORTIZ SAMBONI</v>
      </c>
      <c r="D612" s="40" t="str">
        <f ca="1">IFERROR(__xludf.DUMMYFUNCTION("""COMPUTED_VALUE"""),"CC")</f>
        <v>CC</v>
      </c>
      <c r="E612" s="40">
        <f ca="1">IFERROR(__xludf.DUMMYFUNCTION("""COMPUTED_VALUE"""),26428939)</f>
        <v>26428939</v>
      </c>
      <c r="F612" s="40">
        <f ca="1">IFERROR(__xludf.DUMMYFUNCTION("""COMPUTED_VALUE"""),2252427)</f>
        <v>2252427</v>
      </c>
      <c r="G612" s="40" t="str">
        <f ca="1">IFERROR(__xludf.DUMMYFUNCTION("""COMPUTED_VALUE"""),"TECNÓLOGO")</f>
        <v>TECNÓLOGO</v>
      </c>
      <c r="H612" s="40" t="str">
        <f ca="1">IFERROR(__xludf.DUMMYFUNCTION("""COMPUTED_VALUE"""),"PRODUCCIÓN AGROPECUARIA ECOLÓGICA")</f>
        <v>PRODUCCIÓN AGROPECUARIA ECOLÓGICA</v>
      </c>
      <c r="I612" s="40"/>
      <c r="J612" s="40"/>
      <c r="K612" s="40"/>
      <c r="L612" s="40" t="str">
        <f ca="1">IFERROR(__xludf.DUMMYFUNCTION("""COMPUTED_VALUE"""),"PASANTÍAS")</f>
        <v>PASANTÍAS</v>
      </c>
      <c r="M612" s="40" t="str">
        <f ca="1">IFERROR(__xludf.DUMMYFUNCTION("""COMPUTED_VALUE"""),"DURAZNO AGROECOLOGICO RESERVA EL PURACE S.A.S")</f>
        <v>DURAZNO AGROECOLOGICO RESERVA EL PURACE S.A.S</v>
      </c>
      <c r="N612" s="40" t="str">
        <f ca="1">IFERROR(__xludf.DUMMYFUNCTION("""COMPUTED_VALUE"""),"CLL 13B No 4-72,")</f>
        <v>CLL 13B No 4-72,</v>
      </c>
      <c r="O612" s="40">
        <f ca="1">IFERROR(__xludf.DUMMYFUNCTION("""COMPUTED_VALUE"""),3115578990)</f>
        <v>3115578990</v>
      </c>
      <c r="P612" s="40" t="str">
        <f ca="1">IFERROR(__xludf.DUMMYFUNCTION("""COMPUTED_VALUE"""),"ISNOS ")</f>
        <v xml:space="preserve">ISNOS </v>
      </c>
      <c r="Q612" s="40" t="str">
        <f ca="1">IFERROR(__xludf.DUMMYFUNCTION("""COMPUTED_VALUE"""),"Agroinsumospurace07@gmail.com")</f>
        <v>Agroinsumospurace07@gmail.com</v>
      </c>
      <c r="R612" s="140">
        <f ca="1">IFERROR(__xludf.DUMMYFUNCTION("""COMPUTED_VALUE"""),44810)</f>
        <v>44810</v>
      </c>
      <c r="S612" s="140">
        <f ca="1">IFERROR(__xludf.DUMMYFUNCTION("""COMPUTED_VALUE"""),44626)</f>
        <v>44626</v>
      </c>
      <c r="T612" s="40"/>
      <c r="U612" s="40" t="str">
        <f ca="1">IFERROR(__xludf.DUMMYFUNCTION("""COMPUTED_VALUE"""),"Walter Robinson Herrera Peña")</f>
        <v>Walter Robinson Herrera Peña</v>
      </c>
      <c r="V612" s="40" t="str">
        <f ca="1">IFERROR(__xludf.DUMMYFUNCTION("""COMPUTED_VALUE"""),"No tiene seguimiento 27/07/2022")</f>
        <v>No tiene seguimiento 27/07/2022</v>
      </c>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t="str">
        <f ca="1">IFERROR(__xludf.DUMMYFUNCTION("""COMPUTED_VALUE"""),"Procede_E_P")</f>
        <v>Procede_E_P</v>
      </c>
      <c r="AV612" s="40" t="str">
        <f ca="1">IFERROR(__xludf.DUMMYFUNCTION("""COMPUTED_VALUE"""),"EN FORMACION")</f>
        <v>EN FORMACION</v>
      </c>
      <c r="AW612" s="40" t="str">
        <f ca="1">IFERROR(__xludf.DUMMYFUNCTION("""COMPUTED_VALUE"""),"AGROPECUARIO")</f>
        <v>AGROPECUARIO</v>
      </c>
      <c r="AX612" s="141">
        <f ca="1">IFERROR(__xludf.DUMMYFUNCTION("""COMPUTED_VALUE"""),44839)</f>
        <v>44839</v>
      </c>
      <c r="AY612" s="40">
        <f ca="1">IFERROR(__xludf.DUMMYFUNCTION("""COMPUTED_VALUE"""),0)</f>
        <v>0</v>
      </c>
      <c r="AZ612" s="40">
        <f ca="1">IFERROR(__xludf.DUMMYFUNCTION("""COMPUTED_VALUE"""),1)</f>
        <v>1</v>
      </c>
      <c r="BA612" s="40">
        <f ca="1">IFERROR(__xludf.DUMMYFUNCTION("""COMPUTED_VALUE"""),0)</f>
        <v>0</v>
      </c>
      <c r="BB612" s="40">
        <f ca="1">IFERROR(__xludf.DUMMYFUNCTION("""COMPUTED_VALUE"""),0)</f>
        <v>0</v>
      </c>
      <c r="BC612" s="40">
        <f ca="1">IFERROR(__xludf.DUMMYFUNCTION("""COMPUTED_VALUE"""),1)</f>
        <v>1</v>
      </c>
      <c r="BD612" s="141">
        <f ca="1">IFERROR(__xludf.DUMMYFUNCTION("""COMPUTED_VALUE"""),44183)</f>
        <v>44183</v>
      </c>
      <c r="BE612" s="141">
        <f ca="1">IFERROR(__xludf.DUMMYFUNCTION("""COMPUTED_VALUE"""),44729)</f>
        <v>44729</v>
      </c>
      <c r="BF612" s="141">
        <f ca="1">IFERROR(__xludf.DUMMYFUNCTION("""COMPUTED_VALUE"""),44912)</f>
        <v>44912</v>
      </c>
      <c r="BG612" s="141">
        <f ca="1">IFERROR(__xludf.DUMMYFUNCTION("""COMPUTED_VALUE"""),45460)</f>
        <v>45460</v>
      </c>
      <c r="BH612" s="40" t="str">
        <f ca="1">IFERROR(__xludf.DUMMYFUNCTION("""COMPUTED_VALUE"""),"FICHA EN TIEMPO-18 MESES")</f>
        <v>FICHA EN TIEMPO-18 MESES</v>
      </c>
      <c r="BI612" s="40" t="str">
        <f ca="1">IFERROR(__xludf.DUMMYFUNCTION("""COMPUTED_VALUE"""),"En ejecucion")</f>
        <v>En ejecucion</v>
      </c>
      <c r="BJ612" s="40" t="str">
        <f ca="1">IFERROR(__xludf.DUMMYFUNCTION("""COMPUTED_VALUE"""),"Yamboro")</f>
        <v>Yamboro</v>
      </c>
      <c r="BK612" s="40"/>
      <c r="BL612" s="40"/>
    </row>
    <row r="613" spans="1:64" ht="13">
      <c r="A613" s="40"/>
      <c r="B613" s="40" t="str">
        <f ca="1">IFERROR(__xludf.DUMMYFUNCTION("""COMPUTED_VALUE"""),"FORMACIÓN 18/10/2022")</f>
        <v>FORMACIÓN 18/10/2022</v>
      </c>
      <c r="C613" s="40" t="str">
        <f ca="1">IFERROR(__xludf.DUMMYFUNCTION("""COMPUTED_VALUE"""),"KAREN YDALI AULLON CHILITO")</f>
        <v>KAREN YDALI AULLON CHILITO</v>
      </c>
      <c r="D613" s="40" t="str">
        <f ca="1">IFERROR(__xludf.DUMMYFUNCTION("""COMPUTED_VALUE"""),"CC")</f>
        <v>CC</v>
      </c>
      <c r="E613" s="40">
        <f ca="1">IFERROR(__xludf.DUMMYFUNCTION("""COMPUTED_VALUE"""),26428939)</f>
        <v>26428939</v>
      </c>
      <c r="F613" s="40">
        <f ca="1">IFERROR(__xludf.DUMMYFUNCTION("""COMPUTED_VALUE"""),2252427)</f>
        <v>2252427</v>
      </c>
      <c r="G613" s="40" t="str">
        <f ca="1">IFERROR(__xludf.DUMMYFUNCTION("""COMPUTED_VALUE"""),"TECNÓLOGO")</f>
        <v>TECNÓLOGO</v>
      </c>
      <c r="H613" s="40" t="str">
        <f ca="1">IFERROR(__xludf.DUMMYFUNCTION("""COMPUTED_VALUE"""),"PRODUCCIÓN AGROPECUARIA ECOLÓGICA")</f>
        <v>PRODUCCIÓN AGROPECUARIA ECOLÓGICA</v>
      </c>
      <c r="I613" s="40"/>
      <c r="J613" s="40"/>
      <c r="K613" s="40"/>
      <c r="L613" s="40" t="str">
        <f ca="1">IFERROR(__xludf.DUMMYFUNCTION("""COMPUTED_VALUE"""),"PASANTÍAS")</f>
        <v>PASANTÍAS</v>
      </c>
      <c r="M613" s="40" t="str">
        <f ca="1">IFERROR(__xludf.DUMMYFUNCTION("""COMPUTED_VALUE"""),"AGRO MASCOTAS SIDERENSE")</f>
        <v>AGRO MASCOTAS SIDERENSE</v>
      </c>
      <c r="N613" s="40" t="str">
        <f ca="1">IFERROR(__xludf.DUMMYFUNCTION("""COMPUTED_VALUE"""),"CRA 60 N° 81 SUR - 47 ESTRELLA")</f>
        <v>CRA 60 N° 81 SUR - 47 ESTRELLA</v>
      </c>
      <c r="O613" s="40">
        <f ca="1">IFERROR(__xludf.DUMMYFUNCTION("""COMPUTED_VALUE"""),3147264837)</f>
        <v>3147264837</v>
      </c>
      <c r="P613" s="40" t="str">
        <f ca="1">IFERROR(__xludf.DUMMYFUNCTION("""COMPUTED_VALUE"""),"LA ESTRELLA")</f>
        <v>LA ESTRELLA</v>
      </c>
      <c r="Q613" s="40" t="str">
        <f ca="1">IFERROR(__xludf.DUMMYFUNCTION("""COMPUTED_VALUE"""),"carlos.velez0315@gmail.com")</f>
        <v>carlos.velez0315@gmail.com</v>
      </c>
      <c r="R613" s="140">
        <f ca="1">IFERROR(__xludf.DUMMYFUNCTION("""COMPUTED_VALUE"""),44866)</f>
        <v>44866</v>
      </c>
      <c r="S613" s="140"/>
      <c r="T613" s="40"/>
      <c r="U613" s="40" t="str">
        <f ca="1">IFERROR(__xludf.DUMMYFUNCTION("""COMPUTED_VALUE"""),"Walter Robinson Herrera Peña")</f>
        <v>Walter Robinson Herrera Peña</v>
      </c>
      <c r="V613" s="40" t="str">
        <f ca="1">IFERROR(__xludf.DUMMYFUNCTION("""COMPUTED_VALUE"""),"No tiene seguimiento 27/07/2022")</f>
        <v>No tiene seguimiento 27/07/2022</v>
      </c>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t="str">
        <f ca="1">IFERROR(__xludf.DUMMYFUNCTION("""COMPUTED_VALUE"""),"Procede_E_P")</f>
        <v>Procede_E_P</v>
      </c>
      <c r="AV613" s="40" t="str">
        <f ca="1">IFERROR(__xludf.DUMMYFUNCTION("""COMPUTED_VALUE"""),"EN FORMACION")</f>
        <v>EN FORMACION</v>
      </c>
      <c r="AW613" s="40" t="str">
        <f ca="1">IFERROR(__xludf.DUMMYFUNCTION("""COMPUTED_VALUE"""),"AGROPECUARIO")</f>
        <v>AGROPECUARIO</v>
      </c>
      <c r="AX613" s="141">
        <f ca="1">IFERROR(__xludf.DUMMYFUNCTION("""COMPUTED_VALUE"""),44839)</f>
        <v>44839</v>
      </c>
      <c r="AY613" s="40">
        <f ca="1">IFERROR(__xludf.DUMMYFUNCTION("""COMPUTED_VALUE"""),0)</f>
        <v>0</v>
      </c>
      <c r="AZ613" s="40">
        <f ca="1">IFERROR(__xludf.DUMMYFUNCTION("""COMPUTED_VALUE"""),1)</f>
        <v>1</v>
      </c>
      <c r="BA613" s="40">
        <f ca="1">IFERROR(__xludf.DUMMYFUNCTION("""COMPUTED_VALUE"""),0)</f>
        <v>0</v>
      </c>
      <c r="BB613" s="40">
        <f ca="1">IFERROR(__xludf.DUMMYFUNCTION("""COMPUTED_VALUE"""),0)</f>
        <v>0</v>
      </c>
      <c r="BC613" s="40">
        <f ca="1">IFERROR(__xludf.DUMMYFUNCTION("""COMPUTED_VALUE"""),1)</f>
        <v>1</v>
      </c>
      <c r="BD613" s="141">
        <f ca="1">IFERROR(__xludf.DUMMYFUNCTION("""COMPUTED_VALUE"""),44183)</f>
        <v>44183</v>
      </c>
      <c r="BE613" s="141">
        <f ca="1">IFERROR(__xludf.DUMMYFUNCTION("""COMPUTED_VALUE"""),44729)</f>
        <v>44729</v>
      </c>
      <c r="BF613" s="141">
        <f ca="1">IFERROR(__xludf.DUMMYFUNCTION("""COMPUTED_VALUE"""),44912)</f>
        <v>44912</v>
      </c>
      <c r="BG613" s="141">
        <f ca="1">IFERROR(__xludf.DUMMYFUNCTION("""COMPUTED_VALUE"""),45460)</f>
        <v>45460</v>
      </c>
      <c r="BH613" s="40" t="str">
        <f ca="1">IFERROR(__xludf.DUMMYFUNCTION("""COMPUTED_VALUE"""),"FICHA EN TIEMPO-18 MESES")</f>
        <v>FICHA EN TIEMPO-18 MESES</v>
      </c>
      <c r="BI613" s="40" t="str">
        <f ca="1">IFERROR(__xludf.DUMMYFUNCTION("""COMPUTED_VALUE"""),"En ejecucion")</f>
        <v>En ejecucion</v>
      </c>
      <c r="BJ613" s="40" t="str">
        <f ca="1">IFERROR(__xludf.DUMMYFUNCTION("""COMPUTED_VALUE"""),"Yamboro")</f>
        <v>Yamboro</v>
      </c>
      <c r="BK613" s="40"/>
      <c r="BL613" s="40"/>
    </row>
    <row r="614" spans="1:64" ht="13">
      <c r="A614" s="40"/>
      <c r="B614" s="40" t="str">
        <f ca="1">IFERROR(__xludf.DUMMYFUNCTION("""COMPUTED_VALUE"""),"FORMACIÓN 18/10/2022")</f>
        <v>FORMACIÓN 18/10/2022</v>
      </c>
      <c r="C614" s="40" t="str">
        <f ca="1">IFERROR(__xludf.DUMMYFUNCTION("""COMPUTED_VALUE"""),"ANA MARIA REALPE CERON")</f>
        <v>ANA MARIA REALPE CERON</v>
      </c>
      <c r="D614" s="40" t="str">
        <f ca="1">IFERROR(__xludf.DUMMYFUNCTION("""COMPUTED_VALUE"""),"CC")</f>
        <v>CC</v>
      </c>
      <c r="E614" s="40">
        <f ca="1">IFERROR(__xludf.DUMMYFUNCTION("""COMPUTED_VALUE"""),26428939)</f>
        <v>26428939</v>
      </c>
      <c r="F614" s="40">
        <f ca="1">IFERROR(__xludf.DUMMYFUNCTION("""COMPUTED_VALUE"""),2252427)</f>
        <v>2252427</v>
      </c>
      <c r="G614" s="40" t="str">
        <f ca="1">IFERROR(__xludf.DUMMYFUNCTION("""COMPUTED_VALUE"""),"TECNÓLOGO")</f>
        <v>TECNÓLOGO</v>
      </c>
      <c r="H614" s="40" t="str">
        <f ca="1">IFERROR(__xludf.DUMMYFUNCTION("""COMPUTED_VALUE"""),"PRODUCCIÓN AGROPECUARIA ECOLÓGICA")</f>
        <v>PRODUCCIÓN AGROPECUARIA ECOLÓGICA</v>
      </c>
      <c r="I614" s="40">
        <f ca="1">IFERROR(__xludf.DUMMYFUNCTION("""COMPUTED_VALUE"""),3176351676)</f>
        <v>3176351676</v>
      </c>
      <c r="J614" s="40" t="str">
        <f ca="1">IFERROR(__xludf.DUMMYFUNCTION("""COMPUTED_VALUE"""),"amrealpe39@misena.edu.co")</f>
        <v>amrealpe39@misena.edu.co</v>
      </c>
      <c r="K614" s="40"/>
      <c r="L614" s="40" t="str">
        <f ca="1">IFERROR(__xludf.DUMMYFUNCTION("""COMPUTED_VALUE"""),"PASANTÍAS")</f>
        <v>PASANTÍAS</v>
      </c>
      <c r="M614" s="40" t="str">
        <f ca="1">IFERROR(__xludf.DUMMYFUNCTION("""COMPUTED_VALUE"""),"MUNDO ANIMAL ISNOS ")</f>
        <v xml:space="preserve">MUNDO ANIMAL ISNOS </v>
      </c>
      <c r="N614" s="40" t="str">
        <f ca="1">IFERROR(__xludf.DUMMYFUNCTION("""COMPUTED_VALUE"""),"CARRERA 4 N° 6- 50 LC 2 ")</f>
        <v xml:space="preserve">CARRERA 4 N° 6- 50 LC 2 </v>
      </c>
      <c r="O614" s="40">
        <f ca="1">IFERROR(__xludf.DUMMYFUNCTION("""COMPUTED_VALUE"""),3107715448)</f>
        <v>3107715448</v>
      </c>
      <c r="P614" s="40" t="str">
        <f ca="1">IFERROR(__xludf.DUMMYFUNCTION("""COMPUTED_VALUE"""),"ISNOS ")</f>
        <v xml:space="preserve">ISNOS </v>
      </c>
      <c r="Q614" s="40" t="str">
        <f ca="1">IFERROR(__xludf.DUMMYFUNCTION("""COMPUTED_VALUE"""),"leosamboni2705@gmail.com")</f>
        <v>leosamboni2705@gmail.com</v>
      </c>
      <c r="R614" s="140">
        <f ca="1">IFERROR(__xludf.DUMMYFUNCTION("""COMPUTED_VALUE"""),44774)</f>
        <v>44774</v>
      </c>
      <c r="S614" s="140">
        <f ca="1">IFERROR(__xludf.DUMMYFUNCTION("""COMPUTED_VALUE"""),44957)</f>
        <v>44957</v>
      </c>
      <c r="T614" s="40" t="str">
        <f ca="1">IFERROR(__xludf.DUMMYFUNCTION("""COMPUTED_VALUE"""),"Tiene Acuerdo de Voluntades, Parcial ... Falta final, certificación y bitácoras 1,2,3,4,5,6,7,8,9,10,11 y 12 ... Revisado 26/08/2022")</f>
        <v>Tiene Acuerdo de Voluntades, Parcial ... Falta final, certificación y bitácoras 1,2,3,4,5,6,7,8,9,10,11 y 12 ... Revisado 26/08/2022</v>
      </c>
      <c r="U614" s="40" t="str">
        <f ca="1">IFERROR(__xludf.DUMMYFUNCTION("""COMPUTED_VALUE"""),"Walter Robinson Herrera Peña - Subió Parcial  ... Revisado 26/08/2022")</f>
        <v>Walter Robinson Herrera Peña - Subió Parcial  ... Revisado 26/08/2022</v>
      </c>
      <c r="V614" s="40" t="str">
        <f ca="1">IFERROR(__xludf.DUMMYFUNCTION("""COMPUTED_VALUE"""),"SI tiene seguimiento 26/08/2022
")</f>
        <v xml:space="preserve">SI tiene seguimiento 26/08/2022
</v>
      </c>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t="str">
        <f ca="1">IFERROR(__xludf.DUMMYFUNCTION("""COMPUTED_VALUE"""),"Procede_E_P")</f>
        <v>Procede_E_P</v>
      </c>
      <c r="AV614" s="40" t="str">
        <f ca="1">IFERROR(__xludf.DUMMYFUNCTION("""COMPUTED_VALUE"""),"EN FORMACION")</f>
        <v>EN FORMACION</v>
      </c>
      <c r="AW614" s="40" t="str">
        <f ca="1">IFERROR(__xludf.DUMMYFUNCTION("""COMPUTED_VALUE"""),"AGROPECUARIO")</f>
        <v>AGROPECUARIO</v>
      </c>
      <c r="AX614" s="141">
        <f ca="1">IFERROR(__xludf.DUMMYFUNCTION("""COMPUTED_VALUE"""),44839)</f>
        <v>44839</v>
      </c>
      <c r="AY614" s="40">
        <f ca="1">IFERROR(__xludf.DUMMYFUNCTION("""COMPUTED_VALUE"""),0)</f>
        <v>0</v>
      </c>
      <c r="AZ614" s="40">
        <f ca="1">IFERROR(__xludf.DUMMYFUNCTION("""COMPUTED_VALUE"""),1)</f>
        <v>1</v>
      </c>
      <c r="BA614" s="40">
        <f ca="1">IFERROR(__xludf.DUMMYFUNCTION("""COMPUTED_VALUE"""),0)</f>
        <v>0</v>
      </c>
      <c r="BB614" s="40">
        <f ca="1">IFERROR(__xludf.DUMMYFUNCTION("""COMPUTED_VALUE"""),0)</f>
        <v>0</v>
      </c>
      <c r="BC614" s="40">
        <f ca="1">IFERROR(__xludf.DUMMYFUNCTION("""COMPUTED_VALUE"""),1)</f>
        <v>1</v>
      </c>
      <c r="BD614" s="141">
        <f ca="1">IFERROR(__xludf.DUMMYFUNCTION("""COMPUTED_VALUE"""),44183)</f>
        <v>44183</v>
      </c>
      <c r="BE614" s="141">
        <f ca="1">IFERROR(__xludf.DUMMYFUNCTION("""COMPUTED_VALUE"""),44729)</f>
        <v>44729</v>
      </c>
      <c r="BF614" s="141">
        <f ca="1">IFERROR(__xludf.DUMMYFUNCTION("""COMPUTED_VALUE"""),44912)</f>
        <v>44912</v>
      </c>
      <c r="BG614" s="141">
        <f ca="1">IFERROR(__xludf.DUMMYFUNCTION("""COMPUTED_VALUE"""),45460)</f>
        <v>45460</v>
      </c>
      <c r="BH614" s="40" t="str">
        <f ca="1">IFERROR(__xludf.DUMMYFUNCTION("""COMPUTED_VALUE"""),"FICHA EN TIEMPO-18 MESES")</f>
        <v>FICHA EN TIEMPO-18 MESES</v>
      </c>
      <c r="BI614" s="40" t="str">
        <f ca="1">IFERROR(__xludf.DUMMYFUNCTION("""COMPUTED_VALUE"""),"En ejecucion")</f>
        <v>En ejecucion</v>
      </c>
      <c r="BJ614" s="40" t="str">
        <f ca="1">IFERROR(__xludf.DUMMYFUNCTION("""COMPUTED_VALUE"""),"Yamboro")</f>
        <v>Yamboro</v>
      </c>
      <c r="BK614" s="40"/>
      <c r="BL614" s="40"/>
    </row>
    <row r="615" spans="1:64" ht="13">
      <c r="A615" s="40"/>
      <c r="B615" s="40" t="str">
        <f ca="1">IFERROR(__xludf.DUMMYFUNCTION("""COMPUTED_VALUE"""),"FORMACIÓN 18/10/2022")</f>
        <v>FORMACIÓN 18/10/2022</v>
      </c>
      <c r="C615" s="40" t="str">
        <f ca="1">IFERROR(__xludf.DUMMYFUNCTION("""COMPUTED_VALUE"""),"OSCAR NICOLAS YEPES ORTIZ")</f>
        <v>OSCAR NICOLAS YEPES ORTIZ</v>
      </c>
      <c r="D615" s="40" t="str">
        <f ca="1">IFERROR(__xludf.DUMMYFUNCTION("""COMPUTED_VALUE"""),"CC")</f>
        <v>CC</v>
      </c>
      <c r="E615" s="40">
        <f ca="1">IFERROR(__xludf.DUMMYFUNCTION("""COMPUTED_VALUE"""),26428939)</f>
        <v>26428939</v>
      </c>
      <c r="F615" s="40">
        <f ca="1">IFERROR(__xludf.DUMMYFUNCTION("""COMPUTED_VALUE"""),2252427)</f>
        <v>2252427</v>
      </c>
      <c r="G615" s="40" t="str">
        <f ca="1">IFERROR(__xludf.DUMMYFUNCTION("""COMPUTED_VALUE"""),"TECNÓLOGO")</f>
        <v>TECNÓLOGO</v>
      </c>
      <c r="H615" s="40" t="str">
        <f ca="1">IFERROR(__xludf.DUMMYFUNCTION("""COMPUTED_VALUE"""),"PRODUCCIÓN AGROPECUARIA ECOLÓGICA")</f>
        <v>PRODUCCIÓN AGROPECUARIA ECOLÓGICA</v>
      </c>
      <c r="I615" s="40">
        <f ca="1">IFERROR(__xludf.DUMMYFUNCTION("""COMPUTED_VALUE"""),3202344209)</f>
        <v>3202344209</v>
      </c>
      <c r="J615" s="40" t="str">
        <f ca="1">IFERROR(__xludf.DUMMYFUNCTION("""COMPUTED_VALUE"""),"nicoyepes.17@gmail.com")</f>
        <v>nicoyepes.17@gmail.com</v>
      </c>
      <c r="K615" s="40"/>
      <c r="L615" s="40" t="str">
        <f ca="1">IFERROR(__xludf.DUMMYFUNCTION("""COMPUTED_VALUE"""),"PASANTÍAS")</f>
        <v>PASANTÍAS</v>
      </c>
      <c r="M615" s="40" t="str">
        <f ca="1">IFERROR(__xludf.DUMMYFUNCTION("""COMPUTED_VALUE"""),"MULTIAGRO´S ")</f>
        <v xml:space="preserve">MULTIAGRO´S </v>
      </c>
      <c r="N615" s="40" t="str">
        <f ca="1">IFERROR(__xludf.DUMMYFUNCTION("""COMPUTED_VALUE"""),"PITALITO ")</f>
        <v xml:space="preserve">PITALITO </v>
      </c>
      <c r="O615" s="40">
        <f ca="1">IFERROR(__xludf.DUMMYFUNCTION("""COMPUTED_VALUE"""),3138164903)</f>
        <v>3138164903</v>
      </c>
      <c r="P615" s="40" t="str">
        <f ca="1">IFERROR(__xludf.DUMMYFUNCTION("""COMPUTED_VALUE"""),"PITALITO")</f>
        <v>PITALITO</v>
      </c>
      <c r="Q615" s="40" t="str">
        <f ca="1">IFERROR(__xludf.DUMMYFUNCTION("""COMPUTED_VALUE"""),"multiagropitalito@gmail.com")</f>
        <v>multiagropitalito@gmail.com</v>
      </c>
      <c r="R615" s="140">
        <f ca="1">IFERROR(__xludf.DUMMYFUNCTION("""COMPUTED_VALUE"""),44760)</f>
        <v>44760</v>
      </c>
      <c r="S615" s="140">
        <f ca="1">IFERROR(__xludf.DUMMYFUNCTION("""COMPUTED_VALUE"""),44943)</f>
        <v>44943</v>
      </c>
      <c r="T615" s="40"/>
      <c r="U615" s="40" t="str">
        <f ca="1">IFERROR(__xludf.DUMMYFUNCTION("""COMPUTED_VALUE"""),"Walter Robinson Herrera Peña")</f>
        <v>Walter Robinson Herrera Peña</v>
      </c>
      <c r="V615" s="40" t="str">
        <f ca="1">IFERROR(__xludf.DUMMYFUNCTION("""COMPUTED_VALUE"""),"No tiene seguimiento 27/07/2022")</f>
        <v>No tiene seguimiento 27/07/2022</v>
      </c>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t="str">
        <f ca="1">IFERROR(__xludf.DUMMYFUNCTION("""COMPUTED_VALUE"""),"Procede_E_P")</f>
        <v>Procede_E_P</v>
      </c>
      <c r="AV615" s="40" t="str">
        <f ca="1">IFERROR(__xludf.DUMMYFUNCTION("""COMPUTED_VALUE"""),"EN FORMACION")</f>
        <v>EN FORMACION</v>
      </c>
      <c r="AW615" s="40" t="str">
        <f ca="1">IFERROR(__xludf.DUMMYFUNCTION("""COMPUTED_VALUE"""),"AGROPECUARIO")</f>
        <v>AGROPECUARIO</v>
      </c>
      <c r="AX615" s="141">
        <f ca="1">IFERROR(__xludf.DUMMYFUNCTION("""COMPUTED_VALUE"""),44839)</f>
        <v>44839</v>
      </c>
      <c r="AY615" s="40">
        <f ca="1">IFERROR(__xludf.DUMMYFUNCTION("""COMPUTED_VALUE"""),0)</f>
        <v>0</v>
      </c>
      <c r="AZ615" s="40">
        <f ca="1">IFERROR(__xludf.DUMMYFUNCTION("""COMPUTED_VALUE"""),1)</f>
        <v>1</v>
      </c>
      <c r="BA615" s="40">
        <f ca="1">IFERROR(__xludf.DUMMYFUNCTION("""COMPUTED_VALUE"""),0)</f>
        <v>0</v>
      </c>
      <c r="BB615" s="40">
        <f ca="1">IFERROR(__xludf.DUMMYFUNCTION("""COMPUTED_VALUE"""),0)</f>
        <v>0</v>
      </c>
      <c r="BC615" s="40">
        <f ca="1">IFERROR(__xludf.DUMMYFUNCTION("""COMPUTED_VALUE"""),1)</f>
        <v>1</v>
      </c>
      <c r="BD615" s="141">
        <f ca="1">IFERROR(__xludf.DUMMYFUNCTION("""COMPUTED_VALUE"""),44183)</f>
        <v>44183</v>
      </c>
      <c r="BE615" s="141">
        <f ca="1">IFERROR(__xludf.DUMMYFUNCTION("""COMPUTED_VALUE"""),44729)</f>
        <v>44729</v>
      </c>
      <c r="BF615" s="141">
        <f ca="1">IFERROR(__xludf.DUMMYFUNCTION("""COMPUTED_VALUE"""),44912)</f>
        <v>44912</v>
      </c>
      <c r="BG615" s="141">
        <f ca="1">IFERROR(__xludf.DUMMYFUNCTION("""COMPUTED_VALUE"""),45460)</f>
        <v>45460</v>
      </c>
      <c r="BH615" s="40" t="str">
        <f ca="1">IFERROR(__xludf.DUMMYFUNCTION("""COMPUTED_VALUE"""),"FICHA EN TIEMPO-18 MESES")</f>
        <v>FICHA EN TIEMPO-18 MESES</v>
      </c>
      <c r="BI615" s="40" t="str">
        <f ca="1">IFERROR(__xludf.DUMMYFUNCTION("""COMPUTED_VALUE"""),"En ejecucion")</f>
        <v>En ejecucion</v>
      </c>
      <c r="BJ615" s="40" t="str">
        <f ca="1">IFERROR(__xludf.DUMMYFUNCTION("""COMPUTED_VALUE"""),"Yamboro")</f>
        <v>Yamboro</v>
      </c>
      <c r="BK615" s="40"/>
      <c r="BL615" s="40"/>
    </row>
    <row r="616" spans="1:64" ht="13">
      <c r="A616" s="40"/>
      <c r="B616" s="40" t="str">
        <f ca="1">IFERROR(__xludf.DUMMYFUNCTION("""COMPUTED_VALUE"""),"FORMACIÓN 18/10/2022")</f>
        <v>FORMACIÓN 18/10/2022</v>
      </c>
      <c r="C616" s="40" t="str">
        <f ca="1">IFERROR(__xludf.DUMMYFUNCTION("""COMPUTED_VALUE"""),"MARIA CRISTINA COLLAZOS TORRES")</f>
        <v>MARIA CRISTINA COLLAZOS TORRES</v>
      </c>
      <c r="D616" s="40" t="str">
        <f ca="1">IFERROR(__xludf.DUMMYFUNCTION("""COMPUTED_VALUE"""),"CC")</f>
        <v>CC</v>
      </c>
      <c r="E616" s="40">
        <f ca="1">IFERROR(__xludf.DUMMYFUNCTION("""COMPUTED_VALUE"""),26428939)</f>
        <v>26428939</v>
      </c>
      <c r="F616" s="40">
        <f ca="1">IFERROR(__xludf.DUMMYFUNCTION("""COMPUTED_VALUE"""),2252427)</f>
        <v>2252427</v>
      </c>
      <c r="G616" s="40" t="str">
        <f ca="1">IFERROR(__xludf.DUMMYFUNCTION("""COMPUTED_VALUE"""),"TECNÓLOGO")</f>
        <v>TECNÓLOGO</v>
      </c>
      <c r="H616" s="40" t="str">
        <f ca="1">IFERROR(__xludf.DUMMYFUNCTION("""COMPUTED_VALUE"""),"PRODUCCIÓN AGROPECUARIA ECOLÓGICA")</f>
        <v>PRODUCCIÓN AGROPECUARIA ECOLÓGICA</v>
      </c>
      <c r="I616" s="40"/>
      <c r="J616" s="40"/>
      <c r="K616" s="40"/>
      <c r="L616" s="40" t="str">
        <f ca="1">IFERROR(__xludf.DUMMYFUNCTION("""COMPUTED_VALUE"""),"PASANTÍAS")</f>
        <v>PASANTÍAS</v>
      </c>
      <c r="M616" s="40"/>
      <c r="N616" s="40"/>
      <c r="O616" s="40"/>
      <c r="P616" s="40"/>
      <c r="Q616" s="40"/>
      <c r="R616" s="140"/>
      <c r="S616" s="140"/>
      <c r="T616" s="40" t="str">
        <f ca="1">IFERROR(__xludf.DUMMYFUNCTION("""COMPUTED_VALUE"""),"NO tiene legalización parcial .... Falta final, certificación y bitácoras 1,2,,3,4,5,6,7,8,9,10,11 y 12 .. Revisado 26/08/20222")</f>
        <v>NO tiene legalización parcial .... Falta final, certificación y bitácoras 1,2,,3,4,5,6,7,8,9,10,11 y 12 .. Revisado 26/08/20222</v>
      </c>
      <c r="U616" s="40" t="str">
        <f ca="1">IFERROR(__xludf.DUMMYFUNCTION("""COMPUTED_VALUE"""),"Walter Robinson Herrera Peña - Subió Parcial .. Revisado 26/08/2022")</f>
        <v>Walter Robinson Herrera Peña - Subió Parcial .. Revisado 26/08/2022</v>
      </c>
      <c r="V616" s="40" t="str">
        <f ca="1">IFERROR(__xludf.DUMMYFUNCTION("""COMPUTED_VALUE"""),"SI tiene seguimiento 26/08/2022")</f>
        <v>SI tiene seguimiento 26/08/2022</v>
      </c>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t="str">
        <f ca="1">IFERROR(__xludf.DUMMYFUNCTION("""COMPUTED_VALUE"""),"Procede_E_P")</f>
        <v>Procede_E_P</v>
      </c>
      <c r="AV616" s="40" t="str">
        <f ca="1">IFERROR(__xludf.DUMMYFUNCTION("""COMPUTED_VALUE"""),"EN FORMACION")</f>
        <v>EN FORMACION</v>
      </c>
      <c r="AW616" s="40" t="str">
        <f ca="1">IFERROR(__xludf.DUMMYFUNCTION("""COMPUTED_VALUE"""),"AGROPECUARIO")</f>
        <v>AGROPECUARIO</v>
      </c>
      <c r="AX616" s="141">
        <f ca="1">IFERROR(__xludf.DUMMYFUNCTION("""COMPUTED_VALUE"""),44839)</f>
        <v>44839</v>
      </c>
      <c r="AY616" s="40">
        <f ca="1">IFERROR(__xludf.DUMMYFUNCTION("""COMPUTED_VALUE"""),0)</f>
        <v>0</v>
      </c>
      <c r="AZ616" s="40">
        <f ca="1">IFERROR(__xludf.DUMMYFUNCTION("""COMPUTED_VALUE"""),1)</f>
        <v>1</v>
      </c>
      <c r="BA616" s="40">
        <f ca="1">IFERROR(__xludf.DUMMYFUNCTION("""COMPUTED_VALUE"""),0)</f>
        <v>0</v>
      </c>
      <c r="BB616" s="40">
        <f ca="1">IFERROR(__xludf.DUMMYFUNCTION("""COMPUTED_VALUE"""),0)</f>
        <v>0</v>
      </c>
      <c r="BC616" s="40">
        <f ca="1">IFERROR(__xludf.DUMMYFUNCTION("""COMPUTED_VALUE"""),1)</f>
        <v>1</v>
      </c>
      <c r="BD616" s="141">
        <f ca="1">IFERROR(__xludf.DUMMYFUNCTION("""COMPUTED_VALUE"""),44183)</f>
        <v>44183</v>
      </c>
      <c r="BE616" s="141">
        <f ca="1">IFERROR(__xludf.DUMMYFUNCTION("""COMPUTED_VALUE"""),44729)</f>
        <v>44729</v>
      </c>
      <c r="BF616" s="141">
        <f ca="1">IFERROR(__xludf.DUMMYFUNCTION("""COMPUTED_VALUE"""),44912)</f>
        <v>44912</v>
      </c>
      <c r="BG616" s="141">
        <f ca="1">IFERROR(__xludf.DUMMYFUNCTION("""COMPUTED_VALUE"""),45460)</f>
        <v>45460</v>
      </c>
      <c r="BH616" s="40" t="str">
        <f ca="1">IFERROR(__xludf.DUMMYFUNCTION("""COMPUTED_VALUE"""),"FICHA EN TIEMPO-18 MESES")</f>
        <v>FICHA EN TIEMPO-18 MESES</v>
      </c>
      <c r="BI616" s="40" t="str">
        <f ca="1">IFERROR(__xludf.DUMMYFUNCTION("""COMPUTED_VALUE"""),"En ejecucion")</f>
        <v>En ejecucion</v>
      </c>
      <c r="BJ616" s="40" t="str">
        <f ca="1">IFERROR(__xludf.DUMMYFUNCTION("""COMPUTED_VALUE"""),"Yamboro")</f>
        <v>Yamboro</v>
      </c>
      <c r="BK616" s="40"/>
      <c r="BL616" s="40"/>
    </row>
    <row r="617" spans="1:64" ht="13">
      <c r="A617" s="40"/>
      <c r="B617" s="40" t="str">
        <f ca="1">IFERROR(__xludf.DUMMYFUNCTION("""COMPUTED_VALUE"""),"FORMACIÓN 18/10/2022")</f>
        <v>FORMACIÓN 18/10/2022</v>
      </c>
      <c r="C617" s="40" t="str">
        <f ca="1">IFERROR(__xludf.DUMMYFUNCTION("""COMPUTED_VALUE"""),"ANGELA MARIA COLLAZOS TORRES")</f>
        <v>ANGELA MARIA COLLAZOS TORRES</v>
      </c>
      <c r="D617" s="40" t="str">
        <f ca="1">IFERROR(__xludf.DUMMYFUNCTION("""COMPUTED_VALUE"""),"CC")</f>
        <v>CC</v>
      </c>
      <c r="E617" s="40">
        <f ca="1">IFERROR(__xludf.DUMMYFUNCTION("""COMPUTED_VALUE"""),26428939)</f>
        <v>26428939</v>
      </c>
      <c r="F617" s="40">
        <f ca="1">IFERROR(__xludf.DUMMYFUNCTION("""COMPUTED_VALUE"""),2252427)</f>
        <v>2252427</v>
      </c>
      <c r="G617" s="40" t="str">
        <f ca="1">IFERROR(__xludf.DUMMYFUNCTION("""COMPUTED_VALUE"""),"TECNÓLOGO")</f>
        <v>TECNÓLOGO</v>
      </c>
      <c r="H617" s="40" t="str">
        <f ca="1">IFERROR(__xludf.DUMMYFUNCTION("""COMPUTED_VALUE"""),"PRODUCCIÓN AGROPECUARIA ECOLÓGICA")</f>
        <v>PRODUCCIÓN AGROPECUARIA ECOLÓGICA</v>
      </c>
      <c r="I617" s="40"/>
      <c r="J617" s="40" t="str">
        <f ca="1">IFERROR(__xludf.DUMMYFUNCTION("""COMPUTED_VALUE"""),"3158979445")</f>
        <v>3158979445</v>
      </c>
      <c r="K617" s="40" t="str">
        <f ca="1">IFERROR(__xludf.DUMMYFUNCTION("""COMPUTED_VALUE"""),"angelaa31torres@gmail.com")</f>
        <v>angelaa31torres@gmail.com</v>
      </c>
      <c r="L617" s="40" t="str">
        <f ca="1">IFERROR(__xludf.DUMMYFUNCTION("""COMPUTED_VALUE"""),"CONTRATO DE APRENDIZAJE")</f>
        <v>CONTRATO DE APRENDIZAJE</v>
      </c>
      <c r="M617" s="40" t="str">
        <f ca="1">IFERROR(__xludf.DUMMYFUNCTION("""COMPUTED_VALUE"""),"COSMOAGRO S.A.")</f>
        <v>COSMOAGRO S.A.</v>
      </c>
      <c r="N617" s="40" t="str">
        <f ca="1">IFERROR(__xludf.DUMMYFUNCTION("""COMPUTED_VALUE"""),"ZONA FRANCA DEL PACIFICO ")</f>
        <v xml:space="preserve">ZONA FRANCA DEL PACIFICO </v>
      </c>
      <c r="O617" s="40">
        <f ca="1">IFERROR(__xludf.DUMMYFUNCTION("""COMPUTED_VALUE"""),3168789435)</f>
        <v>3168789435</v>
      </c>
      <c r="P617" s="40"/>
      <c r="Q617" s="40"/>
      <c r="R617" s="140">
        <f ca="1">IFERROR(__xludf.DUMMYFUNCTION("""COMPUTED_VALUE"""),44714)</f>
        <v>44714</v>
      </c>
      <c r="S617" s="140">
        <f ca="1">IFERROR(__xludf.DUMMYFUNCTION("""COMPUTED_VALUE"""),44912)</f>
        <v>44912</v>
      </c>
      <c r="T617" s="40" t="str">
        <f ca="1">IFERROR(__xludf.DUMMYFUNCTION("""COMPUTED_VALUE"""),"Tiene contrato d aprendizaje, inicial, bitácoras 1,2,3 y 4 .. Falta parcial, final, certificación y bitácoras 5,6,7,8,9,10,11 y 12 ... Revisado 220/8/2022")</f>
        <v>Tiene contrato d aprendizaje, inicial, bitácoras 1,2,3 y 4 .. Falta parcial, final, certificación y bitácoras 5,6,7,8,9,10,11 y 12 ... Revisado 220/8/2022</v>
      </c>
      <c r="U617" s="40" t="str">
        <f ca="1">IFERROR(__xludf.DUMMYFUNCTION("""COMPUTED_VALUE"""),"Carlos Alberto Sánchez Cruz
- Subió inicial y bitácoras 1,2,3, y 4 .... Revisado 22/08/2022")</f>
        <v>Carlos Alberto Sánchez Cruz
- Subió inicial y bitácoras 1,2,3, y 4 .... Revisado 22/08/2022</v>
      </c>
      <c r="V617" s="40" t="str">
        <f ca="1">IFERROR(__xludf.DUMMYFUNCTION("""COMPUTED_VALUE"""),"SI  tiene seguimiento 22/08/2022")</f>
        <v>SI  tiene seguimiento 22/08/2022</v>
      </c>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t="str">
        <f ca="1">IFERROR(__xludf.DUMMYFUNCTION("""COMPUTED_VALUE"""),"Procede_E_P")</f>
        <v>Procede_E_P</v>
      </c>
      <c r="AV617" s="40" t="str">
        <f ca="1">IFERROR(__xludf.DUMMYFUNCTION("""COMPUTED_VALUE"""),"EN FORMACION")</f>
        <v>EN FORMACION</v>
      </c>
      <c r="AW617" s="40" t="str">
        <f ca="1">IFERROR(__xludf.DUMMYFUNCTION("""COMPUTED_VALUE"""),"AGROPECUARIO")</f>
        <v>AGROPECUARIO</v>
      </c>
      <c r="AX617" s="141">
        <f ca="1">IFERROR(__xludf.DUMMYFUNCTION("""COMPUTED_VALUE"""),44839)</f>
        <v>44839</v>
      </c>
      <c r="AY617" s="40">
        <f ca="1">IFERROR(__xludf.DUMMYFUNCTION("""COMPUTED_VALUE"""),0)</f>
        <v>0</v>
      </c>
      <c r="AZ617" s="40">
        <f ca="1">IFERROR(__xludf.DUMMYFUNCTION("""COMPUTED_VALUE"""),1)</f>
        <v>1</v>
      </c>
      <c r="BA617" s="40">
        <f ca="1">IFERROR(__xludf.DUMMYFUNCTION("""COMPUTED_VALUE"""),0)</f>
        <v>0</v>
      </c>
      <c r="BB617" s="40">
        <f ca="1">IFERROR(__xludf.DUMMYFUNCTION("""COMPUTED_VALUE"""),0)</f>
        <v>0</v>
      </c>
      <c r="BC617" s="40">
        <f ca="1">IFERROR(__xludf.DUMMYFUNCTION("""COMPUTED_VALUE"""),1)</f>
        <v>1</v>
      </c>
      <c r="BD617" s="141">
        <f ca="1">IFERROR(__xludf.DUMMYFUNCTION("""COMPUTED_VALUE"""),44183)</f>
        <v>44183</v>
      </c>
      <c r="BE617" s="141">
        <f ca="1">IFERROR(__xludf.DUMMYFUNCTION("""COMPUTED_VALUE"""),44729)</f>
        <v>44729</v>
      </c>
      <c r="BF617" s="141">
        <f ca="1">IFERROR(__xludf.DUMMYFUNCTION("""COMPUTED_VALUE"""),44912)</f>
        <v>44912</v>
      </c>
      <c r="BG617" s="141">
        <f ca="1">IFERROR(__xludf.DUMMYFUNCTION("""COMPUTED_VALUE"""),45460)</f>
        <v>45460</v>
      </c>
      <c r="BH617" s="40" t="str">
        <f ca="1">IFERROR(__xludf.DUMMYFUNCTION("""COMPUTED_VALUE"""),"FICHA EN TIEMPO-18 MESES")</f>
        <v>FICHA EN TIEMPO-18 MESES</v>
      </c>
      <c r="BI617" s="40" t="str">
        <f ca="1">IFERROR(__xludf.DUMMYFUNCTION("""COMPUTED_VALUE"""),"En ejecucion")</f>
        <v>En ejecucion</v>
      </c>
      <c r="BJ617" s="40" t="str">
        <f ca="1">IFERROR(__xludf.DUMMYFUNCTION("""COMPUTED_VALUE"""),"Yamboro")</f>
        <v>Yamboro</v>
      </c>
      <c r="BK617" s="40"/>
      <c r="BL617" s="40"/>
    </row>
    <row r="618" spans="1:64" ht="13">
      <c r="A618" s="40"/>
      <c r="B618" s="40" t="str">
        <f ca="1">IFERROR(__xludf.DUMMYFUNCTION("""COMPUTED_VALUE"""),"FORMACIÓN 18/10/2022")</f>
        <v>FORMACIÓN 18/10/2022</v>
      </c>
      <c r="C618" s="40" t="str">
        <f ca="1">IFERROR(__xludf.DUMMYFUNCTION("""COMPUTED_VALUE"""),"KATERIN ZORAYA GOMEZ ESPAÑA")</f>
        <v>KATERIN ZORAYA GOMEZ ESPAÑA</v>
      </c>
      <c r="D618" s="40" t="str">
        <f ca="1">IFERROR(__xludf.DUMMYFUNCTION("""COMPUTED_VALUE"""),"CC")</f>
        <v>CC</v>
      </c>
      <c r="E618" s="40">
        <f ca="1">IFERROR(__xludf.DUMMYFUNCTION("""COMPUTED_VALUE"""),26428939)</f>
        <v>26428939</v>
      </c>
      <c r="F618" s="40">
        <f ca="1">IFERROR(__xludf.DUMMYFUNCTION("""COMPUTED_VALUE"""),2252427)</f>
        <v>2252427</v>
      </c>
      <c r="G618" s="40" t="str">
        <f ca="1">IFERROR(__xludf.DUMMYFUNCTION("""COMPUTED_VALUE"""),"TECNÓLOGO")</f>
        <v>TECNÓLOGO</v>
      </c>
      <c r="H618" s="40" t="str">
        <f ca="1">IFERROR(__xludf.DUMMYFUNCTION("""COMPUTED_VALUE"""),"PRODUCCIÓN AGROPECUARIA ECOLÓGICA")</f>
        <v>PRODUCCIÓN AGROPECUARIA ECOLÓGICA</v>
      </c>
      <c r="I618" s="40"/>
      <c r="J618" s="40"/>
      <c r="K618" s="40"/>
      <c r="L618" s="40" t="str">
        <f ca="1">IFERROR(__xludf.DUMMYFUNCTION("""COMPUTED_VALUE"""),"NO HA INICIADO ETAPA PRODUCTIVA")</f>
        <v>NO HA INICIADO ETAPA PRODUCTIVA</v>
      </c>
      <c r="M618" s="40"/>
      <c r="N618" s="40"/>
      <c r="O618" s="40"/>
      <c r="P618" s="40"/>
      <c r="Q618" s="40"/>
      <c r="R618" s="140"/>
      <c r="S618" s="1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t="str">
        <f ca="1">IFERROR(__xludf.DUMMYFUNCTION("""COMPUTED_VALUE"""),"NO_CUMPLE")</f>
        <v>NO_CUMPLE</v>
      </c>
      <c r="AV618" s="40" t="str">
        <f ca="1">IFERROR(__xludf.DUMMYFUNCTION("""COMPUTED_VALUE"""),"EN FORMACION")</f>
        <v>EN FORMACION</v>
      </c>
      <c r="AW618" s="40" t="str">
        <f ca="1">IFERROR(__xludf.DUMMYFUNCTION("""COMPUTED_VALUE"""),"AGROPECUARIO")</f>
        <v>AGROPECUARIO</v>
      </c>
      <c r="AX618" s="141">
        <f ca="1">IFERROR(__xludf.DUMMYFUNCTION("""COMPUTED_VALUE"""),44839)</f>
        <v>44839</v>
      </c>
      <c r="AY618" s="40">
        <f ca="1">IFERROR(__xludf.DUMMYFUNCTION("""COMPUTED_VALUE"""),3)</f>
        <v>3</v>
      </c>
      <c r="AZ618" s="40">
        <f ca="1">IFERROR(__xludf.DUMMYFUNCTION("""COMPUTED_VALUE"""),1)</f>
        <v>1</v>
      </c>
      <c r="BA618" s="40">
        <f ca="1">IFERROR(__xludf.DUMMYFUNCTION("""COMPUTED_VALUE"""),3)</f>
        <v>3</v>
      </c>
      <c r="BB618" s="40">
        <f ca="1">IFERROR(__xludf.DUMMYFUNCTION("""COMPUTED_VALUE"""),21)</f>
        <v>21</v>
      </c>
      <c r="BC618" s="40">
        <f ca="1">IFERROR(__xludf.DUMMYFUNCTION("""COMPUTED_VALUE"""),28)</f>
        <v>28</v>
      </c>
      <c r="BD618" s="141">
        <f ca="1">IFERROR(__xludf.DUMMYFUNCTION("""COMPUTED_VALUE"""),44183)</f>
        <v>44183</v>
      </c>
      <c r="BE618" s="141">
        <f ca="1">IFERROR(__xludf.DUMMYFUNCTION("""COMPUTED_VALUE"""),44729)</f>
        <v>44729</v>
      </c>
      <c r="BF618" s="141">
        <f ca="1">IFERROR(__xludf.DUMMYFUNCTION("""COMPUTED_VALUE"""),44912)</f>
        <v>44912</v>
      </c>
      <c r="BG618" s="141">
        <f ca="1">IFERROR(__xludf.DUMMYFUNCTION("""COMPUTED_VALUE"""),45460)</f>
        <v>45460</v>
      </c>
      <c r="BH618" s="40" t="str">
        <f ca="1">IFERROR(__xludf.DUMMYFUNCTION("""COMPUTED_VALUE"""),"FICHA EN TIEMPO-18 MESES")</f>
        <v>FICHA EN TIEMPO-18 MESES</v>
      </c>
      <c r="BI618" s="40" t="str">
        <f ca="1">IFERROR(__xludf.DUMMYFUNCTION("""COMPUTED_VALUE"""),"En ejecucion")</f>
        <v>En ejecucion</v>
      </c>
      <c r="BJ618" s="40" t="str">
        <f ca="1">IFERROR(__xludf.DUMMYFUNCTION("""COMPUTED_VALUE"""),"Yamboro")</f>
        <v>Yamboro</v>
      </c>
      <c r="BK618" s="40"/>
      <c r="BL618" s="40"/>
    </row>
    <row r="619" spans="1:64" ht="13">
      <c r="A619" s="40"/>
      <c r="B619" s="40" t="str">
        <f ca="1">IFERROR(__xludf.DUMMYFUNCTION("""COMPUTED_VALUE"""),"FORMACIÓN 18/10/2022")</f>
        <v>FORMACIÓN 18/10/2022</v>
      </c>
      <c r="C619" s="40" t="str">
        <f ca="1">IFERROR(__xludf.DUMMYFUNCTION("""COMPUTED_VALUE"""),"ADRIANA CHAVARRO MOLINA")</f>
        <v>ADRIANA CHAVARRO MOLINA</v>
      </c>
      <c r="D619" s="40" t="str">
        <f ca="1">IFERROR(__xludf.DUMMYFUNCTION("""COMPUTED_VALUE"""),"CC")</f>
        <v>CC</v>
      </c>
      <c r="E619" s="40">
        <f ca="1">IFERROR(__xludf.DUMMYFUNCTION("""COMPUTED_VALUE"""),26428939)</f>
        <v>26428939</v>
      </c>
      <c r="F619" s="40">
        <f ca="1">IFERROR(__xludf.DUMMYFUNCTION("""COMPUTED_VALUE"""),2252427)</f>
        <v>2252427</v>
      </c>
      <c r="G619" s="40" t="str">
        <f ca="1">IFERROR(__xludf.DUMMYFUNCTION("""COMPUTED_VALUE"""),"TECNÓLOGO")</f>
        <v>TECNÓLOGO</v>
      </c>
      <c r="H619" s="40" t="str">
        <f ca="1">IFERROR(__xludf.DUMMYFUNCTION("""COMPUTED_VALUE"""),"PRODUCCIÓN AGROPECUARIA ECOLÓGICA")</f>
        <v>PRODUCCIÓN AGROPECUARIA ECOLÓGICA</v>
      </c>
      <c r="I619" s="40">
        <f ca="1">IFERROR(__xludf.DUMMYFUNCTION("""COMPUTED_VALUE"""),3202813914)</f>
        <v>3202813914</v>
      </c>
      <c r="J619" s="144" t="str">
        <f ca="1">IFERROR(__xludf.DUMMYFUNCTION("""COMPUTED_VALUE"""),"chavarroadrigmail.com")</f>
        <v>chavarroadrigmail.com</v>
      </c>
      <c r="K619" s="40" t="str">
        <f ca="1">IFERROR(__xludf.DUMMYFUNCTION("""COMPUTED_VALUE"""),"SALADO BLANCO")</f>
        <v>SALADO BLANCO</v>
      </c>
      <c r="L619" s="40" t="str">
        <f ca="1">IFERROR(__xludf.DUMMYFUNCTION("""COMPUTED_VALUE"""),"PASANTÍAS")</f>
        <v>PASANTÍAS</v>
      </c>
      <c r="M619" s="40" t="str">
        <f ca="1">IFERROR(__xludf.DUMMYFUNCTION("""COMPUTED_VALUE"""),"CARLOA ALBERTO PEÑA VALENZUELA")</f>
        <v>CARLOA ALBERTO PEÑA VALENZUELA</v>
      </c>
      <c r="N619" s="40" t="str">
        <f ca="1">IFERROR(__xludf.DUMMYFUNCTION("""COMPUTED_VALUE"""),"Cr 5 # 1-42")</f>
        <v>Cr 5 # 1-42</v>
      </c>
      <c r="O619" s="40"/>
      <c r="P619" s="40" t="str">
        <f ca="1">IFERROR(__xludf.DUMMYFUNCTION("""COMPUTED_VALUE"""),"SALADO BLANCO")</f>
        <v>SALADO BLANCO</v>
      </c>
      <c r="Q619" s="40"/>
      <c r="R619" s="140">
        <f ca="1">IFERROR(__xludf.DUMMYFUNCTION("""COMPUTED_VALUE"""),44743)</f>
        <v>44743</v>
      </c>
      <c r="S619" s="140">
        <f ca="1">IFERROR(__xludf.DUMMYFUNCTION("""COMPUTED_VALUE"""),44926)</f>
        <v>44926</v>
      </c>
      <c r="T619" s="40" t="str">
        <f ca="1">IFERROR(__xludf.DUMMYFUNCTION("""COMPUTED_VALUE"""),"Tiene Acuerdo de Voluntades, Parcial.... Falta final, certificación y bitácoras 1,2,3,4,5,6,7,8,9,10,11 y 12 ... Revisado 26/08/2022")</f>
        <v>Tiene Acuerdo de Voluntades, Parcial.... Falta final, certificación y bitácoras 1,2,3,4,5,6,7,8,9,10,11 y 12 ... Revisado 26/08/2022</v>
      </c>
      <c r="U619" s="40" t="str">
        <f ca="1">IFERROR(__xludf.DUMMYFUNCTION("""COMPUTED_VALUE"""),"Walter Robinson Herrera Peña - Subió Inicial ... Revisado 26/08/2022")</f>
        <v>Walter Robinson Herrera Peña - Subió Inicial ... Revisado 26/08/2022</v>
      </c>
      <c r="V619" s="40" t="str">
        <f ca="1">IFERROR(__xludf.DUMMYFUNCTION("""COMPUTED_VALUE"""),"SI tiene seguimiento 26/08/2022
")</f>
        <v xml:space="preserve">SI tiene seguimiento 26/08/2022
</v>
      </c>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t="str">
        <f ca="1">IFERROR(__xludf.DUMMYFUNCTION("""COMPUTED_VALUE"""),"Procede_E_P")</f>
        <v>Procede_E_P</v>
      </c>
      <c r="AV619" s="40" t="str">
        <f ca="1">IFERROR(__xludf.DUMMYFUNCTION("""COMPUTED_VALUE"""),"EN FORMACION")</f>
        <v>EN FORMACION</v>
      </c>
      <c r="AW619" s="40" t="str">
        <f ca="1">IFERROR(__xludf.DUMMYFUNCTION("""COMPUTED_VALUE"""),"AGROPECUARIO")</f>
        <v>AGROPECUARIO</v>
      </c>
      <c r="AX619" s="141">
        <f ca="1">IFERROR(__xludf.DUMMYFUNCTION("""COMPUTED_VALUE"""),44839)</f>
        <v>44839</v>
      </c>
      <c r="AY619" s="40">
        <f ca="1">IFERROR(__xludf.DUMMYFUNCTION("""COMPUTED_VALUE"""),0)</f>
        <v>0</v>
      </c>
      <c r="AZ619" s="40">
        <f ca="1">IFERROR(__xludf.DUMMYFUNCTION("""COMPUTED_VALUE"""),1)</f>
        <v>1</v>
      </c>
      <c r="BA619" s="40">
        <f ca="1">IFERROR(__xludf.DUMMYFUNCTION("""COMPUTED_VALUE"""),0)</f>
        <v>0</v>
      </c>
      <c r="BB619" s="40">
        <f ca="1">IFERROR(__xludf.DUMMYFUNCTION("""COMPUTED_VALUE"""),0)</f>
        <v>0</v>
      </c>
      <c r="BC619" s="40">
        <f ca="1">IFERROR(__xludf.DUMMYFUNCTION("""COMPUTED_VALUE"""),1)</f>
        <v>1</v>
      </c>
      <c r="BD619" s="141">
        <f ca="1">IFERROR(__xludf.DUMMYFUNCTION("""COMPUTED_VALUE"""),44183)</f>
        <v>44183</v>
      </c>
      <c r="BE619" s="141">
        <f ca="1">IFERROR(__xludf.DUMMYFUNCTION("""COMPUTED_VALUE"""),44729)</f>
        <v>44729</v>
      </c>
      <c r="BF619" s="141">
        <f ca="1">IFERROR(__xludf.DUMMYFUNCTION("""COMPUTED_VALUE"""),44912)</f>
        <v>44912</v>
      </c>
      <c r="BG619" s="141">
        <f ca="1">IFERROR(__xludf.DUMMYFUNCTION("""COMPUTED_VALUE"""),45460)</f>
        <v>45460</v>
      </c>
      <c r="BH619" s="40" t="str">
        <f ca="1">IFERROR(__xludf.DUMMYFUNCTION("""COMPUTED_VALUE"""),"FICHA EN TIEMPO-18 MESES")</f>
        <v>FICHA EN TIEMPO-18 MESES</v>
      </c>
      <c r="BI619" s="40" t="str">
        <f ca="1">IFERROR(__xludf.DUMMYFUNCTION("""COMPUTED_VALUE"""),"En ejecucion")</f>
        <v>En ejecucion</v>
      </c>
      <c r="BJ619" s="40" t="str">
        <f ca="1">IFERROR(__xludf.DUMMYFUNCTION("""COMPUTED_VALUE"""),"Yamboro")</f>
        <v>Yamboro</v>
      </c>
      <c r="BK619" s="40"/>
      <c r="BL619" s="40"/>
    </row>
    <row r="620" spans="1:64" ht="13">
      <c r="A620" s="40"/>
      <c r="B620" s="40" t="str">
        <f ca="1">IFERROR(__xludf.DUMMYFUNCTION("""COMPUTED_VALUE"""),"FORMACIÓN 18/10/2022")</f>
        <v>FORMACIÓN 18/10/2022</v>
      </c>
      <c r="C620" s="40" t="str">
        <f ca="1">IFERROR(__xludf.DUMMYFUNCTION("""COMPUTED_VALUE"""),"KAREN ANDREA ANACONA VALENCIA")</f>
        <v>KAREN ANDREA ANACONA VALENCIA</v>
      </c>
      <c r="D620" s="40" t="str">
        <f ca="1">IFERROR(__xludf.DUMMYFUNCTION("""COMPUTED_VALUE"""),"CC")</f>
        <v>CC</v>
      </c>
      <c r="E620" s="40">
        <f ca="1">IFERROR(__xludf.DUMMYFUNCTION("""COMPUTED_VALUE"""),26428939)</f>
        <v>26428939</v>
      </c>
      <c r="F620" s="40">
        <f ca="1">IFERROR(__xludf.DUMMYFUNCTION("""COMPUTED_VALUE"""),2252427)</f>
        <v>2252427</v>
      </c>
      <c r="G620" s="40" t="str">
        <f ca="1">IFERROR(__xludf.DUMMYFUNCTION("""COMPUTED_VALUE"""),"TECNÓLOGO")</f>
        <v>TECNÓLOGO</v>
      </c>
      <c r="H620" s="40" t="str">
        <f ca="1">IFERROR(__xludf.DUMMYFUNCTION("""COMPUTED_VALUE"""),"PRODUCCIÓN AGROPECUARIA ECOLÓGICA")</f>
        <v>PRODUCCIÓN AGROPECUARIA ECOLÓGICA</v>
      </c>
      <c r="I620" s="40">
        <f ca="1">IFERROR(__xludf.DUMMYFUNCTION("""COMPUTED_VALUE"""),3209672162)</f>
        <v>3209672162</v>
      </c>
      <c r="J620" s="40" t="str">
        <f ca="1">IFERROR(__xludf.DUMMYFUNCTION("""COMPUTED_VALUE"""),"karenandreaanaconavalencia@gmail.com")</f>
        <v>karenandreaanaconavalencia@gmail.com</v>
      </c>
      <c r="K620" s="40" t="str">
        <f ca="1">IFERROR(__xludf.DUMMYFUNCTION("""COMPUTED_VALUE"""),"PALESTINA ")</f>
        <v xml:space="preserve">PALESTINA </v>
      </c>
      <c r="L620" s="40" t="str">
        <f ca="1">IFERROR(__xludf.DUMMYFUNCTION("""COMPUTED_VALUE"""),"CONTRATO DE APRENDIZAJE")</f>
        <v>CONTRATO DE APRENDIZAJE</v>
      </c>
      <c r="M620" s="40" t="str">
        <f ca="1">IFERROR(__xludf.DUMMYFUNCTION("""COMPUTED_VALUE"""),"BANCO W S.A.")</f>
        <v>BANCO W S.A.</v>
      </c>
      <c r="N620" s="40"/>
      <c r="O620" s="40"/>
      <c r="P620" s="40"/>
      <c r="Q620" s="40"/>
      <c r="R620" s="140">
        <f ca="1">IFERROR(__xludf.DUMMYFUNCTION("""COMPUTED_VALUE"""),44763)</f>
        <v>44763</v>
      </c>
      <c r="S620" s="140">
        <f ca="1">IFERROR(__xludf.DUMMYFUNCTION("""COMPUTED_VALUE"""),44946)</f>
        <v>44946</v>
      </c>
      <c r="T620" s="40"/>
      <c r="U620" s="40" t="str">
        <f ca="1">IFERROR(__xludf.DUMMYFUNCTION("""COMPUTED_VALUE"""),"Walter Robinson Herrera Peña")</f>
        <v>Walter Robinson Herrera Peña</v>
      </c>
      <c r="V620" s="40" t="str">
        <f ca="1">IFERROR(__xludf.DUMMYFUNCTION("""COMPUTED_VALUE"""),"No tiene seguimiento 27/07/2022")</f>
        <v>No tiene seguimiento 27/07/2022</v>
      </c>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t="str">
        <f ca="1">IFERROR(__xludf.DUMMYFUNCTION("""COMPUTED_VALUE"""),"Procede_E_P")</f>
        <v>Procede_E_P</v>
      </c>
      <c r="AV620" s="40" t="str">
        <f ca="1">IFERROR(__xludf.DUMMYFUNCTION("""COMPUTED_VALUE"""),"EN FORMACION")</f>
        <v>EN FORMACION</v>
      </c>
      <c r="AW620" s="40" t="str">
        <f ca="1">IFERROR(__xludf.DUMMYFUNCTION("""COMPUTED_VALUE"""),"AGROPECUARIO")</f>
        <v>AGROPECUARIO</v>
      </c>
      <c r="AX620" s="141">
        <f ca="1">IFERROR(__xludf.DUMMYFUNCTION("""COMPUTED_VALUE"""),44839)</f>
        <v>44839</v>
      </c>
      <c r="AY620" s="40">
        <f ca="1">IFERROR(__xludf.DUMMYFUNCTION("""COMPUTED_VALUE"""),0)</f>
        <v>0</v>
      </c>
      <c r="AZ620" s="40">
        <f ca="1">IFERROR(__xludf.DUMMYFUNCTION("""COMPUTED_VALUE"""),1)</f>
        <v>1</v>
      </c>
      <c r="BA620" s="40">
        <f ca="1">IFERROR(__xludf.DUMMYFUNCTION("""COMPUTED_VALUE"""),0)</f>
        <v>0</v>
      </c>
      <c r="BB620" s="40">
        <f ca="1">IFERROR(__xludf.DUMMYFUNCTION("""COMPUTED_VALUE"""),0)</f>
        <v>0</v>
      </c>
      <c r="BC620" s="40">
        <f ca="1">IFERROR(__xludf.DUMMYFUNCTION("""COMPUTED_VALUE"""),1)</f>
        <v>1</v>
      </c>
      <c r="BD620" s="141">
        <f ca="1">IFERROR(__xludf.DUMMYFUNCTION("""COMPUTED_VALUE"""),44183)</f>
        <v>44183</v>
      </c>
      <c r="BE620" s="141">
        <f ca="1">IFERROR(__xludf.DUMMYFUNCTION("""COMPUTED_VALUE"""),44729)</f>
        <v>44729</v>
      </c>
      <c r="BF620" s="141">
        <f ca="1">IFERROR(__xludf.DUMMYFUNCTION("""COMPUTED_VALUE"""),44912)</f>
        <v>44912</v>
      </c>
      <c r="BG620" s="141">
        <f ca="1">IFERROR(__xludf.DUMMYFUNCTION("""COMPUTED_VALUE"""),45460)</f>
        <v>45460</v>
      </c>
      <c r="BH620" s="40" t="str">
        <f ca="1">IFERROR(__xludf.DUMMYFUNCTION("""COMPUTED_VALUE"""),"FICHA EN TIEMPO-18 MESES")</f>
        <v>FICHA EN TIEMPO-18 MESES</v>
      </c>
      <c r="BI620" s="40" t="str">
        <f ca="1">IFERROR(__xludf.DUMMYFUNCTION("""COMPUTED_VALUE"""),"En ejecucion")</f>
        <v>En ejecucion</v>
      </c>
      <c r="BJ620" s="40" t="str">
        <f ca="1">IFERROR(__xludf.DUMMYFUNCTION("""COMPUTED_VALUE"""),"Yamboro")</f>
        <v>Yamboro</v>
      </c>
      <c r="BK620" s="40"/>
      <c r="BL620" s="40"/>
    </row>
    <row r="621" spans="1:64" ht="13">
      <c r="A621" s="40"/>
      <c r="B621" s="40" t="str">
        <f ca="1">IFERROR(__xludf.DUMMYFUNCTION("""COMPUTED_VALUE"""),"FORMACIÓN 18/10/2022")</f>
        <v>FORMACIÓN 18/10/2022</v>
      </c>
      <c r="C621" s="40" t="str">
        <f ca="1">IFERROR(__xludf.DUMMYFUNCTION("""COMPUTED_VALUE"""),"SARA SOFIA POLANIA OSORIO")</f>
        <v>SARA SOFIA POLANIA OSORIO</v>
      </c>
      <c r="D621" s="40" t="str">
        <f ca="1">IFERROR(__xludf.DUMMYFUNCTION("""COMPUTED_VALUE"""),"CC")</f>
        <v>CC</v>
      </c>
      <c r="E621" s="40">
        <f ca="1">IFERROR(__xludf.DUMMYFUNCTION("""COMPUTED_VALUE"""),26428939)</f>
        <v>26428939</v>
      </c>
      <c r="F621" s="40">
        <f ca="1">IFERROR(__xludf.DUMMYFUNCTION("""COMPUTED_VALUE"""),2252427)</f>
        <v>2252427</v>
      </c>
      <c r="G621" s="40" t="str">
        <f ca="1">IFERROR(__xludf.DUMMYFUNCTION("""COMPUTED_VALUE"""),"TECNÓLOGO")</f>
        <v>TECNÓLOGO</v>
      </c>
      <c r="H621" s="40" t="str">
        <f ca="1">IFERROR(__xludf.DUMMYFUNCTION("""COMPUTED_VALUE"""),"PRODUCCIÓN AGROPECUARIA ECOLÓGICA")</f>
        <v>PRODUCCIÓN AGROPECUARIA ECOLÓGICA</v>
      </c>
      <c r="I621" s="40">
        <f ca="1">IFERROR(__xludf.DUMMYFUNCTION("""COMPUTED_VALUE"""),3138257057)</f>
        <v>3138257057</v>
      </c>
      <c r="J621" s="40" t="str">
        <f ca="1">IFERROR(__xludf.DUMMYFUNCTION("""COMPUTED_VALUE"""),"sspolania@misena.edu.co")</f>
        <v>sspolania@misena.edu.co</v>
      </c>
      <c r="K621" s="40" t="str">
        <f ca="1">IFERROR(__xludf.DUMMYFUNCTION("""COMPUTED_VALUE"""),"PITALITO")</f>
        <v>PITALITO</v>
      </c>
      <c r="L621" s="40" t="str">
        <f ca="1">IFERROR(__xludf.DUMMYFUNCTION("""COMPUTED_VALUE"""),"CONTRATO DE APRENDIZAJE")</f>
        <v>CONTRATO DE APRENDIZAJE</v>
      </c>
      <c r="M621" s="40" t="str">
        <f ca="1">IFERROR(__xludf.DUMMYFUNCTION("""COMPUTED_VALUE"""),"SKN CARIBECAFE S.A.S.")</f>
        <v>SKN CARIBECAFE S.A.S.</v>
      </c>
      <c r="N621" s="40" t="str">
        <f ca="1">IFERROR(__xludf.DUMMYFUNCTION("""COMPUTED_VALUE"""),"CARRERA 7N° 71- 21 OF - 301 ")</f>
        <v xml:space="preserve">CARRERA 7N° 71- 21 OF - 301 </v>
      </c>
      <c r="O621" s="40"/>
      <c r="P621" s="40"/>
      <c r="Q621" s="40"/>
      <c r="R621" s="140">
        <f ca="1">IFERROR(__xludf.DUMMYFUNCTION("""COMPUTED_VALUE"""),44692)</f>
        <v>44692</v>
      </c>
      <c r="S621" s="140">
        <f ca="1">IFERROR(__xludf.DUMMYFUNCTION("""COMPUTED_VALUE"""),44912)</f>
        <v>44912</v>
      </c>
      <c r="T621" s="40" t="str">
        <f ca="1">IFERROR(__xludf.DUMMYFUNCTION("""COMPUTED_VALUE"""),"Tiene consulta  de aprendizaje, Inciial y bitácoras 1, 2 y 3 ... Falta parcial, final, certificaicón y bitácoras 4,5,6,7,8,9,10,11 y 12 ... Revisado 16/08/2022")</f>
        <v>Tiene consulta  de aprendizaje, Inciial y bitácoras 1, 2 y 3 ... Falta parcial, final, certificaicón y bitácoras 4,5,6,7,8,9,10,11 y 12 ... Revisado 16/08/2022</v>
      </c>
      <c r="U621" s="40" t="str">
        <f ca="1">IFERROR(__xludf.DUMMYFUNCTION("""COMPUTED_VALUE"""),"Carlos Alberto Sánchez Cruz - subió Inciial y bitácoras 1, 2 y 3 .... Revisado 16/08/2022")</f>
        <v>Carlos Alberto Sánchez Cruz - subió Inciial y bitácoras 1, 2 y 3 .... Revisado 16/08/2022</v>
      </c>
      <c r="V621" s="40" t="str">
        <f ca="1">IFERROR(__xludf.DUMMYFUNCTION("""COMPUTED_VALUE"""),"SI tiene seguimiento 16/08/2022
")</f>
        <v xml:space="preserve">SI tiene seguimiento 16/08/2022
</v>
      </c>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t="str">
        <f ca="1">IFERROR(__xludf.DUMMYFUNCTION("""COMPUTED_VALUE"""),"Procede_E_P")</f>
        <v>Procede_E_P</v>
      </c>
      <c r="AV621" s="40" t="str">
        <f ca="1">IFERROR(__xludf.DUMMYFUNCTION("""COMPUTED_VALUE"""),"EN FORMACION")</f>
        <v>EN FORMACION</v>
      </c>
      <c r="AW621" s="40" t="str">
        <f ca="1">IFERROR(__xludf.DUMMYFUNCTION("""COMPUTED_VALUE"""),"AGROPECUARIO")</f>
        <v>AGROPECUARIO</v>
      </c>
      <c r="AX621" s="141">
        <f ca="1">IFERROR(__xludf.DUMMYFUNCTION("""COMPUTED_VALUE"""),44839)</f>
        <v>44839</v>
      </c>
      <c r="AY621" s="40">
        <f ca="1">IFERROR(__xludf.DUMMYFUNCTION("""COMPUTED_VALUE"""),0)</f>
        <v>0</v>
      </c>
      <c r="AZ621" s="40">
        <f ca="1">IFERROR(__xludf.DUMMYFUNCTION("""COMPUTED_VALUE"""),1)</f>
        <v>1</v>
      </c>
      <c r="BA621" s="40">
        <f ca="1">IFERROR(__xludf.DUMMYFUNCTION("""COMPUTED_VALUE"""),0)</f>
        <v>0</v>
      </c>
      <c r="BB621" s="40">
        <f ca="1">IFERROR(__xludf.DUMMYFUNCTION("""COMPUTED_VALUE"""),0)</f>
        <v>0</v>
      </c>
      <c r="BC621" s="40">
        <f ca="1">IFERROR(__xludf.DUMMYFUNCTION("""COMPUTED_VALUE"""),1)</f>
        <v>1</v>
      </c>
      <c r="BD621" s="141">
        <f ca="1">IFERROR(__xludf.DUMMYFUNCTION("""COMPUTED_VALUE"""),44183)</f>
        <v>44183</v>
      </c>
      <c r="BE621" s="141">
        <f ca="1">IFERROR(__xludf.DUMMYFUNCTION("""COMPUTED_VALUE"""),44729)</f>
        <v>44729</v>
      </c>
      <c r="BF621" s="141">
        <f ca="1">IFERROR(__xludf.DUMMYFUNCTION("""COMPUTED_VALUE"""),44912)</f>
        <v>44912</v>
      </c>
      <c r="BG621" s="141">
        <f ca="1">IFERROR(__xludf.DUMMYFUNCTION("""COMPUTED_VALUE"""),45460)</f>
        <v>45460</v>
      </c>
      <c r="BH621" s="40" t="str">
        <f ca="1">IFERROR(__xludf.DUMMYFUNCTION("""COMPUTED_VALUE"""),"FICHA EN TIEMPO-18 MESES")</f>
        <v>FICHA EN TIEMPO-18 MESES</v>
      </c>
      <c r="BI621" s="40" t="str">
        <f ca="1">IFERROR(__xludf.DUMMYFUNCTION("""COMPUTED_VALUE"""),"En ejecucion")</f>
        <v>En ejecucion</v>
      </c>
      <c r="BJ621" s="40" t="str">
        <f ca="1">IFERROR(__xludf.DUMMYFUNCTION("""COMPUTED_VALUE"""),"Yamboro")</f>
        <v>Yamboro</v>
      </c>
      <c r="BK621" s="40"/>
      <c r="BL621" s="40"/>
    </row>
    <row r="622" spans="1:64" ht="13">
      <c r="A622" s="40"/>
      <c r="B622" s="40" t="str">
        <f ca="1">IFERROR(__xludf.DUMMYFUNCTION("""COMPUTED_VALUE"""),"FORMACIÓN 18/10/2022")</f>
        <v>FORMACIÓN 18/10/2022</v>
      </c>
      <c r="C622" s="40" t="str">
        <f ca="1">IFERROR(__xludf.DUMMYFUNCTION("""COMPUTED_VALUE"""),"ANGELA SOFIA TORRES JOAQUI")</f>
        <v>ANGELA SOFIA TORRES JOAQUI</v>
      </c>
      <c r="D622" s="40" t="str">
        <f ca="1">IFERROR(__xludf.DUMMYFUNCTION("""COMPUTED_VALUE"""),"CC")</f>
        <v>CC</v>
      </c>
      <c r="E622" s="40">
        <f ca="1">IFERROR(__xludf.DUMMYFUNCTION("""COMPUTED_VALUE"""),26428939)</f>
        <v>26428939</v>
      </c>
      <c r="F622" s="40">
        <f ca="1">IFERROR(__xludf.DUMMYFUNCTION("""COMPUTED_VALUE"""),2252427)</f>
        <v>2252427</v>
      </c>
      <c r="G622" s="40" t="str">
        <f ca="1">IFERROR(__xludf.DUMMYFUNCTION("""COMPUTED_VALUE"""),"TECNÓLOGO")</f>
        <v>TECNÓLOGO</v>
      </c>
      <c r="H622" s="40" t="str">
        <f ca="1">IFERROR(__xludf.DUMMYFUNCTION("""COMPUTED_VALUE"""),"PRODUCCIÓN AGROPECUARIA ECOLÓGICA")</f>
        <v>PRODUCCIÓN AGROPECUARIA ECOLÓGICA</v>
      </c>
      <c r="I622" s="40">
        <f ca="1">IFERROR(__xludf.DUMMYFUNCTION("""COMPUTED_VALUE"""),3147665211)</f>
        <v>3147665211</v>
      </c>
      <c r="J622" s="40" t="str">
        <f ca="1">IFERROR(__xludf.DUMMYFUNCTION("""COMPUTED_VALUE"""),"angelasofiatorresjoaqui@gmail.com")</f>
        <v>angelasofiatorresjoaqui@gmail.com</v>
      </c>
      <c r="K622" s="40"/>
      <c r="L622" s="40" t="str">
        <f ca="1">IFERROR(__xludf.DUMMYFUNCTION("""COMPUTED_VALUE"""),"PASANTÍAS")</f>
        <v>PASANTÍAS</v>
      </c>
      <c r="M622" s="40" t="str">
        <f ca="1">IFERROR(__xludf.DUMMYFUNCTION("""COMPUTED_VALUE"""),"CENTRO DE GESTIÓN Y DESARROLLO SOSTENIBLE SUR COLOMBIANO SENA ")</f>
        <v xml:space="preserve">CENTRO DE GESTIÓN Y DESARROLLO SOSTENIBLE SUR COLOMBIANO SENA </v>
      </c>
      <c r="N622" s="40"/>
      <c r="O622" s="40"/>
      <c r="P622" s="40"/>
      <c r="Q622" s="40"/>
      <c r="R622" s="140">
        <f ca="1">IFERROR(__xludf.DUMMYFUNCTION("""COMPUTED_VALUE"""),44743)</f>
        <v>44743</v>
      </c>
      <c r="S622" s="140">
        <f ca="1">IFERROR(__xludf.DUMMYFUNCTION("""COMPUTED_VALUE"""),44929)</f>
        <v>44929</v>
      </c>
      <c r="T622" s="40" t="str">
        <f ca="1">IFERROR(__xludf.DUMMYFUNCTION("""COMPUTED_VALUE"""),"Tiene acuerdo de voluntades,  inicial bitácoras 1 y 2 ... Falta parcial, final, certificación y bitáciora 3,4,5,6,7,8,9,10,11 y 12 .. Revisado 16/08/2022 NOTA INIICAL POR CORREGIR ")</f>
        <v xml:space="preserve">Tiene acuerdo de voluntades,  inicial bitácoras 1 y 2 ... Falta parcial, final, certificación y bitáciora 3,4,5,6,7,8,9,10,11 y 12 .. Revisado 16/08/2022 NOTA INIICAL POR CORREGIR </v>
      </c>
      <c r="U622" s="40" t="str">
        <f ca="1">IFERROR(__xludf.DUMMYFUNCTION("""COMPUTED_VALUE"""),"Carlos Alberto Sánchez Cruz - Subió inicial .. Revisado 05/08/2022 - Ininicial ya se encontraba en el drive con las mismas fechas y firmas - Bitácoras 1 y 2 ... Revisado 16/08/2022")</f>
        <v>Carlos Alberto Sánchez Cruz - Subió inicial .. Revisado 05/08/2022 - Ininicial ya se encontraba en el drive con las mismas fechas y firmas - Bitácoras 1 y 2 ... Revisado 16/08/2022</v>
      </c>
      <c r="V622" s="40" t="str">
        <f ca="1">IFERROR(__xludf.DUMMYFUNCTION("""COMPUTED_VALUE"""),"SI tiene seguimiento 16/08/2022
")</f>
        <v xml:space="preserve">SI tiene seguimiento 16/08/2022
</v>
      </c>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t="str">
        <f ca="1">IFERROR(__xludf.DUMMYFUNCTION("""COMPUTED_VALUE"""),"Procede_E_P")</f>
        <v>Procede_E_P</v>
      </c>
      <c r="AV622" s="40" t="str">
        <f ca="1">IFERROR(__xludf.DUMMYFUNCTION("""COMPUTED_VALUE"""),"EN FORMACION")</f>
        <v>EN FORMACION</v>
      </c>
      <c r="AW622" s="40" t="str">
        <f ca="1">IFERROR(__xludf.DUMMYFUNCTION("""COMPUTED_VALUE"""),"AGROPECUARIO")</f>
        <v>AGROPECUARIO</v>
      </c>
      <c r="AX622" s="141">
        <f ca="1">IFERROR(__xludf.DUMMYFUNCTION("""COMPUTED_VALUE"""),44839)</f>
        <v>44839</v>
      </c>
      <c r="AY622" s="40">
        <f ca="1">IFERROR(__xludf.DUMMYFUNCTION("""COMPUTED_VALUE"""),0)</f>
        <v>0</v>
      </c>
      <c r="AZ622" s="40">
        <f ca="1">IFERROR(__xludf.DUMMYFUNCTION("""COMPUTED_VALUE"""),1)</f>
        <v>1</v>
      </c>
      <c r="BA622" s="40">
        <f ca="1">IFERROR(__xludf.DUMMYFUNCTION("""COMPUTED_VALUE"""),0)</f>
        <v>0</v>
      </c>
      <c r="BB622" s="40">
        <f ca="1">IFERROR(__xludf.DUMMYFUNCTION("""COMPUTED_VALUE"""),0)</f>
        <v>0</v>
      </c>
      <c r="BC622" s="40">
        <f ca="1">IFERROR(__xludf.DUMMYFUNCTION("""COMPUTED_VALUE"""),1)</f>
        <v>1</v>
      </c>
      <c r="BD622" s="141">
        <f ca="1">IFERROR(__xludf.DUMMYFUNCTION("""COMPUTED_VALUE"""),44183)</f>
        <v>44183</v>
      </c>
      <c r="BE622" s="141">
        <f ca="1">IFERROR(__xludf.DUMMYFUNCTION("""COMPUTED_VALUE"""),44729)</f>
        <v>44729</v>
      </c>
      <c r="BF622" s="141">
        <f ca="1">IFERROR(__xludf.DUMMYFUNCTION("""COMPUTED_VALUE"""),44912)</f>
        <v>44912</v>
      </c>
      <c r="BG622" s="141">
        <f ca="1">IFERROR(__xludf.DUMMYFUNCTION("""COMPUTED_VALUE"""),45460)</f>
        <v>45460</v>
      </c>
      <c r="BH622" s="40" t="str">
        <f ca="1">IFERROR(__xludf.DUMMYFUNCTION("""COMPUTED_VALUE"""),"FICHA EN TIEMPO-18 MESES")</f>
        <v>FICHA EN TIEMPO-18 MESES</v>
      </c>
      <c r="BI622" s="40" t="str">
        <f ca="1">IFERROR(__xludf.DUMMYFUNCTION("""COMPUTED_VALUE"""),"En ejecucion")</f>
        <v>En ejecucion</v>
      </c>
      <c r="BJ622" s="40" t="str">
        <f ca="1">IFERROR(__xludf.DUMMYFUNCTION("""COMPUTED_VALUE"""),"Yamboro")</f>
        <v>Yamboro</v>
      </c>
      <c r="BK622" s="40"/>
      <c r="BL622" s="40"/>
    </row>
    <row r="623" spans="1:64" ht="13">
      <c r="A623" s="40"/>
      <c r="B623" s="40" t="str">
        <f ca="1">IFERROR(__xludf.DUMMYFUNCTION("""COMPUTED_VALUE"""),"FORMACIÓN 18/10/2022")</f>
        <v>FORMACIÓN 18/10/2022</v>
      </c>
      <c r="C623" s="40" t="str">
        <f ca="1">IFERROR(__xludf.DUMMYFUNCTION("""COMPUTED_VALUE"""),"JULIANA ANDREA ANACONA ROSERO")</f>
        <v>JULIANA ANDREA ANACONA ROSERO</v>
      </c>
      <c r="D623" s="40" t="str">
        <f ca="1">IFERROR(__xludf.DUMMYFUNCTION("""COMPUTED_VALUE"""),"CC")</f>
        <v>CC</v>
      </c>
      <c r="E623" s="40">
        <f ca="1">IFERROR(__xludf.DUMMYFUNCTION("""COMPUTED_VALUE"""),26428939)</f>
        <v>26428939</v>
      </c>
      <c r="F623" s="40">
        <f ca="1">IFERROR(__xludf.DUMMYFUNCTION("""COMPUTED_VALUE"""),2252427)</f>
        <v>2252427</v>
      </c>
      <c r="G623" s="40" t="str">
        <f ca="1">IFERROR(__xludf.DUMMYFUNCTION("""COMPUTED_VALUE"""),"TECNÓLOGO")</f>
        <v>TECNÓLOGO</v>
      </c>
      <c r="H623" s="40" t="str">
        <f ca="1">IFERROR(__xludf.DUMMYFUNCTION("""COMPUTED_VALUE"""),"PRODUCCIÓN AGROPECUARIA ECOLÓGICA")</f>
        <v>PRODUCCIÓN AGROPECUARIA ECOLÓGICA</v>
      </c>
      <c r="I623" s="40">
        <f ca="1">IFERROR(__xludf.DUMMYFUNCTION("""COMPUTED_VALUE"""),3142292335)</f>
        <v>3142292335</v>
      </c>
      <c r="J623" s="40" t="str">
        <f ca="1">IFERROR(__xludf.DUMMYFUNCTION("""COMPUTED_VALUE"""),"andreaanacona.1404@gmail.com")</f>
        <v>andreaanacona.1404@gmail.com</v>
      </c>
      <c r="K623" s="40" t="str">
        <f ca="1">IFERROR(__xludf.DUMMYFUNCTION("""COMPUTED_VALUE"""),"SAN JOSE DE ISNOS ")</f>
        <v xml:space="preserve">SAN JOSE DE ISNOS </v>
      </c>
      <c r="L623" s="40" t="str">
        <f ca="1">IFERROR(__xludf.DUMMYFUNCTION("""COMPUTED_VALUE"""),"CONTRATO DE APRENDIZAJE")</f>
        <v>CONTRATO DE APRENDIZAJE</v>
      </c>
      <c r="M623" s="40" t="str">
        <f ca="1">IFERROR(__xludf.DUMMYFUNCTION("""COMPUTED_VALUE"""),"AGROQUIMICOS SEMILLAS Y EQUIPOS DE RIEGO S.A. AGROSER S.A.")</f>
        <v>AGROQUIMICOS SEMILLAS Y EQUIPOS DE RIEGO S.A. AGROSER S.A.</v>
      </c>
      <c r="N623" s="40"/>
      <c r="O623" s="40"/>
      <c r="P623" s="40"/>
      <c r="Q623" s="40"/>
      <c r="R623" s="140">
        <f ca="1">IFERROR(__xludf.DUMMYFUNCTION("""COMPUTED_VALUE"""),44731)</f>
        <v>44731</v>
      </c>
      <c r="S623" s="140">
        <f ca="1">IFERROR(__xludf.DUMMYFUNCTION("""COMPUTED_VALUE"""),44912)</f>
        <v>44912</v>
      </c>
      <c r="T623" s="40" t="str">
        <f ca="1">IFERROR(__xludf.DUMMYFUNCTION("""COMPUTED_VALUE"""),"Tiene consulta de aprendizaje, inicial y bitácoras 1 y 2 .... Falta parcial, finla, certificacción y bitácoras 3,4,5,6,7,8,9,10,11 y 12 ... Revisado 16/08/2022")</f>
        <v>Tiene consulta de aprendizaje, inicial y bitácoras 1 y 2 .... Falta parcial, finla, certificacción y bitácoras 3,4,5,6,7,8,9,10,11 y 12 ... Revisado 16/08/2022</v>
      </c>
      <c r="U623" s="40" t="str">
        <f ca="1">IFERROR(__xludf.DUMMYFUNCTION("""COMPUTED_VALUE"""),"Carlos Alberto Sánchez Cruz - Subió Inicial y bitácoras 1 y 2 ,... Revisado 16/08/2022")</f>
        <v>Carlos Alberto Sánchez Cruz - Subió Inicial y bitácoras 1 y 2 ,... Revisado 16/08/2022</v>
      </c>
      <c r="V623" s="40" t="str">
        <f ca="1">IFERROR(__xludf.DUMMYFUNCTION("""COMPUTED_VALUE"""),"SI tiene seguimiento 16/08/2022
")</f>
        <v xml:space="preserve">SI tiene seguimiento 16/08/2022
</v>
      </c>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t="str">
        <f ca="1">IFERROR(__xludf.DUMMYFUNCTION("""COMPUTED_VALUE"""),"Procede_E_P")</f>
        <v>Procede_E_P</v>
      </c>
      <c r="AV623" s="40" t="str">
        <f ca="1">IFERROR(__xludf.DUMMYFUNCTION("""COMPUTED_VALUE"""),"EN FORMACION")</f>
        <v>EN FORMACION</v>
      </c>
      <c r="AW623" s="40" t="str">
        <f ca="1">IFERROR(__xludf.DUMMYFUNCTION("""COMPUTED_VALUE"""),"AGROPECUARIO")</f>
        <v>AGROPECUARIO</v>
      </c>
      <c r="AX623" s="141">
        <f ca="1">IFERROR(__xludf.DUMMYFUNCTION("""COMPUTED_VALUE"""),44839)</f>
        <v>44839</v>
      </c>
      <c r="AY623" s="40">
        <f ca="1">IFERROR(__xludf.DUMMYFUNCTION("""COMPUTED_VALUE"""),0)</f>
        <v>0</v>
      </c>
      <c r="AZ623" s="40">
        <f ca="1">IFERROR(__xludf.DUMMYFUNCTION("""COMPUTED_VALUE"""),1)</f>
        <v>1</v>
      </c>
      <c r="BA623" s="40">
        <f ca="1">IFERROR(__xludf.DUMMYFUNCTION("""COMPUTED_VALUE"""),0)</f>
        <v>0</v>
      </c>
      <c r="BB623" s="40">
        <f ca="1">IFERROR(__xludf.DUMMYFUNCTION("""COMPUTED_VALUE"""),0)</f>
        <v>0</v>
      </c>
      <c r="BC623" s="40">
        <f ca="1">IFERROR(__xludf.DUMMYFUNCTION("""COMPUTED_VALUE"""),1)</f>
        <v>1</v>
      </c>
      <c r="BD623" s="141">
        <f ca="1">IFERROR(__xludf.DUMMYFUNCTION("""COMPUTED_VALUE"""),44183)</f>
        <v>44183</v>
      </c>
      <c r="BE623" s="141">
        <f ca="1">IFERROR(__xludf.DUMMYFUNCTION("""COMPUTED_VALUE"""),44729)</f>
        <v>44729</v>
      </c>
      <c r="BF623" s="141">
        <f ca="1">IFERROR(__xludf.DUMMYFUNCTION("""COMPUTED_VALUE"""),44912)</f>
        <v>44912</v>
      </c>
      <c r="BG623" s="141">
        <f ca="1">IFERROR(__xludf.DUMMYFUNCTION("""COMPUTED_VALUE"""),45460)</f>
        <v>45460</v>
      </c>
      <c r="BH623" s="40" t="str">
        <f ca="1">IFERROR(__xludf.DUMMYFUNCTION("""COMPUTED_VALUE"""),"FICHA EN TIEMPO-18 MESES")</f>
        <v>FICHA EN TIEMPO-18 MESES</v>
      </c>
      <c r="BI623" s="40" t="str">
        <f ca="1">IFERROR(__xludf.DUMMYFUNCTION("""COMPUTED_VALUE"""),"En ejecucion")</f>
        <v>En ejecucion</v>
      </c>
      <c r="BJ623" s="40" t="str">
        <f ca="1">IFERROR(__xludf.DUMMYFUNCTION("""COMPUTED_VALUE"""),"Yamboro")</f>
        <v>Yamboro</v>
      </c>
      <c r="BK623" s="40"/>
      <c r="BL623" s="40"/>
    </row>
    <row r="624" spans="1:64" ht="13">
      <c r="A624" s="40"/>
      <c r="B624" s="40" t="str">
        <f ca="1">IFERROR(__xludf.DUMMYFUNCTION("""COMPUTED_VALUE"""),"FORMACIÓN 18/10/2022")</f>
        <v>FORMACIÓN 18/10/2022</v>
      </c>
      <c r="C624" s="40" t="str">
        <f ca="1">IFERROR(__xludf.DUMMYFUNCTION("""COMPUTED_VALUE"""),"INGRID YURLEY CALDERON DIAZ ")</f>
        <v xml:space="preserve">INGRID YURLEY CALDERON DIAZ </v>
      </c>
      <c r="D624" s="40" t="str">
        <f ca="1">IFERROR(__xludf.DUMMYFUNCTION("""COMPUTED_VALUE"""),"CC")</f>
        <v>CC</v>
      </c>
      <c r="E624" s="40">
        <f ca="1">IFERROR(__xludf.DUMMYFUNCTION("""COMPUTED_VALUE"""),26428939)</f>
        <v>26428939</v>
      </c>
      <c r="F624" s="40">
        <f ca="1">IFERROR(__xludf.DUMMYFUNCTION("""COMPUTED_VALUE"""),2252427)</f>
        <v>2252427</v>
      </c>
      <c r="G624" s="40" t="str">
        <f ca="1">IFERROR(__xludf.DUMMYFUNCTION("""COMPUTED_VALUE"""),"TECNÓLOGO")</f>
        <v>TECNÓLOGO</v>
      </c>
      <c r="H624" s="40" t="str">
        <f ca="1">IFERROR(__xludf.DUMMYFUNCTION("""COMPUTED_VALUE"""),"PRODUCCIÓN AGROPECUARIA ECOLÓGICA")</f>
        <v>PRODUCCIÓN AGROPECUARIA ECOLÓGICA</v>
      </c>
      <c r="I624" s="40"/>
      <c r="J624" s="40"/>
      <c r="K624" s="40"/>
      <c r="L624" s="40" t="str">
        <f ca="1">IFERROR(__xludf.DUMMYFUNCTION("""COMPUTED_VALUE"""),"PASANTÍAS")</f>
        <v>PASANTÍAS</v>
      </c>
      <c r="M624" s="40" t="str">
        <f ca="1">IFERROR(__xludf.DUMMYFUNCTION("""COMPUTED_VALUE"""),"CENTRO DE GESTIÓN Y DESARROLLO SOSTENIBLE SUR COLOMBIANO SENA ")</f>
        <v xml:space="preserve">CENTRO DE GESTIÓN Y DESARROLLO SOSTENIBLE SUR COLOMBIANO SENA </v>
      </c>
      <c r="N624" s="40" t="str">
        <f ca="1">IFERROR(__xludf.DUMMYFUNCTION("""COMPUTED_VALUE"""),"PITALITO ")</f>
        <v xml:space="preserve">PITALITO </v>
      </c>
      <c r="O624" s="40"/>
      <c r="P624" s="40"/>
      <c r="Q624" s="40"/>
      <c r="R624" s="140">
        <f ca="1">IFERROR(__xludf.DUMMYFUNCTION("""COMPUTED_VALUE"""),44743)</f>
        <v>44743</v>
      </c>
      <c r="S624" s="140">
        <f ca="1">IFERROR(__xludf.DUMMYFUNCTION("""COMPUTED_VALUE"""),44927)</f>
        <v>44927</v>
      </c>
      <c r="T624" s="40" t="str">
        <f ca="1">IFERROR(__xludf.DUMMYFUNCTION("""COMPUTED_VALUE"""),"Tiene acuerdo de Voluntades, inicial, bitácoras 1 y 2 .... Falta parcial, final, certificacioin y bitácoras  3,4,5,6,7,8,9,10,11 y 12 ... Revisado 16/08/2022")</f>
        <v>Tiene acuerdo de Voluntades, inicial, bitácoras 1 y 2 .... Falta parcial, final, certificacioin y bitácoras  3,4,5,6,7,8,9,10,11 y 12 ... Revisado 16/08/2022</v>
      </c>
      <c r="U624" s="40" t="str">
        <f ca="1">IFERROR(__xludf.DUMMYFUNCTION("""COMPUTED_VALUE"""),"CARLOS ALBERTO SANCHEZ CRUZ - Subió incial  y bitácoras 1 y 2 ... Revisado 16/08/2022")</f>
        <v>CARLOS ALBERTO SANCHEZ CRUZ - Subió incial  y bitácoras 1 y 2 ... Revisado 16/08/2022</v>
      </c>
      <c r="V624" s="40" t="str">
        <f ca="1">IFERROR(__xludf.DUMMYFUNCTION("""COMPUTED_VALUE"""),"SI tiene seguimiento 16/08/2022
")</f>
        <v xml:space="preserve">SI tiene seguimiento 16/08/2022
</v>
      </c>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t="str">
        <f ca="1">IFERROR(__xludf.DUMMYFUNCTION("""COMPUTED_VALUE"""),"Procede_E_P")</f>
        <v>Procede_E_P</v>
      </c>
      <c r="AV624" s="40" t="str">
        <f ca="1">IFERROR(__xludf.DUMMYFUNCTION("""COMPUTED_VALUE"""),"EN FORMACION")</f>
        <v>EN FORMACION</v>
      </c>
      <c r="AW624" s="40" t="str">
        <f ca="1">IFERROR(__xludf.DUMMYFUNCTION("""COMPUTED_VALUE"""),"AGROPECUARIO")</f>
        <v>AGROPECUARIO</v>
      </c>
      <c r="AX624" s="141">
        <f ca="1">IFERROR(__xludf.DUMMYFUNCTION("""COMPUTED_VALUE"""),44839)</f>
        <v>44839</v>
      </c>
      <c r="AY624" s="40">
        <f ca="1">IFERROR(__xludf.DUMMYFUNCTION("""COMPUTED_VALUE"""),0)</f>
        <v>0</v>
      </c>
      <c r="AZ624" s="40">
        <f ca="1">IFERROR(__xludf.DUMMYFUNCTION("""COMPUTED_VALUE"""),1)</f>
        <v>1</v>
      </c>
      <c r="BA624" s="40">
        <f ca="1">IFERROR(__xludf.DUMMYFUNCTION("""COMPUTED_VALUE"""),0)</f>
        <v>0</v>
      </c>
      <c r="BB624" s="40">
        <f ca="1">IFERROR(__xludf.DUMMYFUNCTION("""COMPUTED_VALUE"""),0)</f>
        <v>0</v>
      </c>
      <c r="BC624" s="40">
        <f ca="1">IFERROR(__xludf.DUMMYFUNCTION("""COMPUTED_VALUE"""),1)</f>
        <v>1</v>
      </c>
      <c r="BD624" s="141">
        <f ca="1">IFERROR(__xludf.DUMMYFUNCTION("""COMPUTED_VALUE"""),44183)</f>
        <v>44183</v>
      </c>
      <c r="BE624" s="141">
        <f ca="1">IFERROR(__xludf.DUMMYFUNCTION("""COMPUTED_VALUE"""),44729)</f>
        <v>44729</v>
      </c>
      <c r="BF624" s="141">
        <f ca="1">IFERROR(__xludf.DUMMYFUNCTION("""COMPUTED_VALUE"""),44912)</f>
        <v>44912</v>
      </c>
      <c r="BG624" s="141">
        <f ca="1">IFERROR(__xludf.DUMMYFUNCTION("""COMPUTED_VALUE"""),45460)</f>
        <v>45460</v>
      </c>
      <c r="BH624" s="40" t="str">
        <f ca="1">IFERROR(__xludf.DUMMYFUNCTION("""COMPUTED_VALUE"""),"FICHA EN TIEMPO-18 MESES")</f>
        <v>FICHA EN TIEMPO-18 MESES</v>
      </c>
      <c r="BI624" s="40" t="str">
        <f ca="1">IFERROR(__xludf.DUMMYFUNCTION("""COMPUTED_VALUE"""),"En ejecucion")</f>
        <v>En ejecucion</v>
      </c>
      <c r="BJ624" s="40" t="str">
        <f ca="1">IFERROR(__xludf.DUMMYFUNCTION("""COMPUTED_VALUE"""),"Yamboro")</f>
        <v>Yamboro</v>
      </c>
      <c r="BK624" s="40"/>
      <c r="BL624" s="40"/>
    </row>
    <row r="625" spans="1:64" ht="13">
      <c r="A625" s="40"/>
      <c r="B625" s="40" t="str">
        <f ca="1">IFERROR(__xludf.DUMMYFUNCTION("""COMPUTED_VALUE"""),"FORMACIÓN 18/10/2022")</f>
        <v>FORMACIÓN 18/10/2022</v>
      </c>
      <c r="C625" s="40" t="str">
        <f ca="1">IFERROR(__xludf.DUMMYFUNCTION("""COMPUTED_VALUE"""),"DANA SOLENIA LOPEZ VALENCIA")</f>
        <v>DANA SOLENIA LOPEZ VALENCIA</v>
      </c>
      <c r="D625" s="40" t="str">
        <f ca="1">IFERROR(__xludf.DUMMYFUNCTION("""COMPUTED_VALUE"""),"CC")</f>
        <v>CC</v>
      </c>
      <c r="E625" s="40">
        <f ca="1">IFERROR(__xludf.DUMMYFUNCTION("""COMPUTED_VALUE"""),26428939)</f>
        <v>26428939</v>
      </c>
      <c r="F625" s="40">
        <f ca="1">IFERROR(__xludf.DUMMYFUNCTION("""COMPUTED_VALUE"""),2252427)</f>
        <v>2252427</v>
      </c>
      <c r="G625" s="40" t="str">
        <f ca="1">IFERROR(__xludf.DUMMYFUNCTION("""COMPUTED_VALUE"""),"TECNÓLOGO")</f>
        <v>TECNÓLOGO</v>
      </c>
      <c r="H625" s="40" t="str">
        <f ca="1">IFERROR(__xludf.DUMMYFUNCTION("""COMPUTED_VALUE"""),"PRODUCCIÓN AGROPECUARIA ECOLÓGICA")</f>
        <v>PRODUCCIÓN AGROPECUARIA ECOLÓGICA</v>
      </c>
      <c r="I625" s="40">
        <f ca="1">IFERROR(__xludf.DUMMYFUNCTION("""COMPUTED_VALUE"""),3138070053)</f>
        <v>3138070053</v>
      </c>
      <c r="J625" s="40" t="str">
        <f ca="1">IFERROR(__xludf.DUMMYFUNCTION("""COMPUTED_VALUE"""),"dslopez15@misena.edu.co")</f>
        <v>dslopez15@misena.edu.co</v>
      </c>
      <c r="K625" s="40" t="str">
        <f ca="1">IFERROR(__xludf.DUMMYFUNCTION("""COMPUTED_VALUE"""),"ISNOS ")</f>
        <v xml:space="preserve">ISNOS </v>
      </c>
      <c r="L625" s="40" t="str">
        <f ca="1">IFERROR(__xludf.DUMMYFUNCTION("""COMPUTED_VALUE"""),"PASANTÍAS")</f>
        <v>PASANTÍAS</v>
      </c>
      <c r="M625" s="40" t="str">
        <f ca="1">IFERROR(__xludf.DUMMYFUNCTION("""COMPUTED_VALUE"""),"FERVICAMPO")</f>
        <v>FERVICAMPO</v>
      </c>
      <c r="N625" s="40" t="str">
        <f ca="1">IFERROR(__xludf.DUMMYFUNCTION("""COMPUTED_VALUE"""),"ISNOS ")</f>
        <v xml:space="preserve">ISNOS </v>
      </c>
      <c r="O625" s="40">
        <f ca="1">IFERROR(__xludf.DUMMYFUNCTION("""COMPUTED_VALUE"""),3132401744)</f>
        <v>3132401744</v>
      </c>
      <c r="P625" s="40" t="str">
        <f ca="1">IFERROR(__xludf.DUMMYFUNCTION("""COMPUTED_VALUE"""),"ISNOS ")</f>
        <v xml:space="preserve">ISNOS </v>
      </c>
      <c r="Q625" s="40" t="str">
        <f ca="1">IFERROR(__xludf.DUMMYFUNCTION("""COMPUTED_VALUE"""),"fervicamposas@gmail.com")</f>
        <v>fervicamposas@gmail.com</v>
      </c>
      <c r="R625" s="140">
        <f ca="1">IFERROR(__xludf.DUMMYFUNCTION("""COMPUTED_VALUE"""),44754)</f>
        <v>44754</v>
      </c>
      <c r="S625" s="140">
        <f ca="1">IFERROR(__xludf.DUMMYFUNCTION("""COMPUTED_VALUE"""),44937)</f>
        <v>44937</v>
      </c>
      <c r="T625" s="40" t="str">
        <f ca="1">IFERROR(__xludf.DUMMYFUNCTION("""COMPUTED_VALUE"""),"Tiene Acuerdo de Voluntades, Inicial.... Falta parcial, final, certificación y bitácoras 1,2,3,4,5,6,7,8,9,10,11 y 12 ... Revisado 26/08/2022")</f>
        <v>Tiene Acuerdo de Voluntades, Inicial.... Falta parcial, final, certificación y bitácoras 1,2,3,4,5,6,7,8,9,10,11 y 12 ... Revisado 26/08/2022</v>
      </c>
      <c r="U625" s="40" t="str">
        <f ca="1">IFERROR(__xludf.DUMMYFUNCTION("""COMPUTED_VALUE"""),"Walter Robinson Herrera Peña - Subió Inicial ... Revisado 26/08/2022 - Inicial corregido... Revisado 30/08/2022")</f>
        <v>Walter Robinson Herrera Peña - Subió Inicial ... Revisado 26/08/2022 - Inicial corregido... Revisado 30/08/2022</v>
      </c>
      <c r="V625" s="40" t="str">
        <f ca="1">IFERROR(__xludf.DUMMYFUNCTION("""COMPUTED_VALUE"""),"SI tiene seguimiento 26/08/2022
")</f>
        <v xml:space="preserve">SI tiene seguimiento 26/08/2022
</v>
      </c>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t="str">
        <f ca="1">IFERROR(__xludf.DUMMYFUNCTION("""COMPUTED_VALUE"""),"Procede_E_P")</f>
        <v>Procede_E_P</v>
      </c>
      <c r="AV625" s="40" t="str">
        <f ca="1">IFERROR(__xludf.DUMMYFUNCTION("""COMPUTED_VALUE"""),"EN FORMACION")</f>
        <v>EN FORMACION</v>
      </c>
      <c r="AW625" s="40" t="str">
        <f ca="1">IFERROR(__xludf.DUMMYFUNCTION("""COMPUTED_VALUE"""),"AGROPECUARIO")</f>
        <v>AGROPECUARIO</v>
      </c>
      <c r="AX625" s="141">
        <f ca="1">IFERROR(__xludf.DUMMYFUNCTION("""COMPUTED_VALUE"""),44839)</f>
        <v>44839</v>
      </c>
      <c r="AY625" s="40">
        <f ca="1">IFERROR(__xludf.DUMMYFUNCTION("""COMPUTED_VALUE"""),0)</f>
        <v>0</v>
      </c>
      <c r="AZ625" s="40">
        <f ca="1">IFERROR(__xludf.DUMMYFUNCTION("""COMPUTED_VALUE"""),1)</f>
        <v>1</v>
      </c>
      <c r="BA625" s="40">
        <f ca="1">IFERROR(__xludf.DUMMYFUNCTION("""COMPUTED_VALUE"""),0)</f>
        <v>0</v>
      </c>
      <c r="BB625" s="40">
        <f ca="1">IFERROR(__xludf.DUMMYFUNCTION("""COMPUTED_VALUE"""),0)</f>
        <v>0</v>
      </c>
      <c r="BC625" s="40">
        <f ca="1">IFERROR(__xludf.DUMMYFUNCTION("""COMPUTED_VALUE"""),1)</f>
        <v>1</v>
      </c>
      <c r="BD625" s="141">
        <f ca="1">IFERROR(__xludf.DUMMYFUNCTION("""COMPUTED_VALUE"""),44183)</f>
        <v>44183</v>
      </c>
      <c r="BE625" s="141">
        <f ca="1">IFERROR(__xludf.DUMMYFUNCTION("""COMPUTED_VALUE"""),44729)</f>
        <v>44729</v>
      </c>
      <c r="BF625" s="141">
        <f ca="1">IFERROR(__xludf.DUMMYFUNCTION("""COMPUTED_VALUE"""),44912)</f>
        <v>44912</v>
      </c>
      <c r="BG625" s="141">
        <f ca="1">IFERROR(__xludf.DUMMYFUNCTION("""COMPUTED_VALUE"""),45460)</f>
        <v>45460</v>
      </c>
      <c r="BH625" s="40" t="str">
        <f ca="1">IFERROR(__xludf.DUMMYFUNCTION("""COMPUTED_VALUE"""),"FICHA EN TIEMPO-18 MESES")</f>
        <v>FICHA EN TIEMPO-18 MESES</v>
      </c>
      <c r="BI625" s="40" t="str">
        <f ca="1">IFERROR(__xludf.DUMMYFUNCTION("""COMPUTED_VALUE"""),"En ejecucion")</f>
        <v>En ejecucion</v>
      </c>
      <c r="BJ625" s="40" t="str">
        <f ca="1">IFERROR(__xludf.DUMMYFUNCTION("""COMPUTED_VALUE"""),"Yamboro")</f>
        <v>Yamboro</v>
      </c>
      <c r="BK625" s="40"/>
      <c r="BL625" s="40"/>
    </row>
    <row r="626" spans="1:64" ht="13">
      <c r="A626" s="40"/>
      <c r="B626" s="40" t="str">
        <f ca="1">IFERROR(__xludf.DUMMYFUNCTION("""COMPUTED_VALUE"""),"FORMACIÓN 18/10/2022")</f>
        <v>FORMACIÓN 18/10/2022</v>
      </c>
      <c r="C626" s="40" t="str">
        <f ca="1">IFERROR(__xludf.DUMMYFUNCTION("""COMPUTED_VALUE"""),"DANIELA FERNANDA ROJAS BUITRON")</f>
        <v>DANIELA FERNANDA ROJAS BUITRON</v>
      </c>
      <c r="D626" s="40" t="str">
        <f ca="1">IFERROR(__xludf.DUMMYFUNCTION("""COMPUTED_VALUE"""),"CC")</f>
        <v>CC</v>
      </c>
      <c r="E626" s="40">
        <f ca="1">IFERROR(__xludf.DUMMYFUNCTION("""COMPUTED_VALUE"""),26428939)</f>
        <v>26428939</v>
      </c>
      <c r="F626" s="40">
        <f ca="1">IFERROR(__xludf.DUMMYFUNCTION("""COMPUTED_VALUE"""),2252427)</f>
        <v>2252427</v>
      </c>
      <c r="G626" s="40" t="str">
        <f ca="1">IFERROR(__xludf.DUMMYFUNCTION("""COMPUTED_VALUE"""),"TECNÓLOGO")</f>
        <v>TECNÓLOGO</v>
      </c>
      <c r="H626" s="40" t="str">
        <f ca="1">IFERROR(__xludf.DUMMYFUNCTION("""COMPUTED_VALUE"""),"PRODUCCIÓN AGROPECUARIA ECOLÓGICA")</f>
        <v>PRODUCCIÓN AGROPECUARIA ECOLÓGICA</v>
      </c>
      <c r="I626" s="40"/>
      <c r="J626" s="40"/>
      <c r="K626" s="40"/>
      <c r="L626" s="40" t="str">
        <f ca="1">IFERROR(__xludf.DUMMYFUNCTION("""COMPUTED_VALUE"""),"PASANTÍAS")</f>
        <v>PASANTÍAS</v>
      </c>
      <c r="M626" s="40" t="str">
        <f ca="1">IFERROR(__xludf.DUMMYFUNCTION("""COMPUTED_VALUE"""),"NUTREABONOS")</f>
        <v>NUTREABONOS</v>
      </c>
      <c r="N626" s="40" t="str">
        <f ca="1">IFERROR(__xludf.DUMMYFUNCTION("""COMPUTED_VALUE"""),"PITALITO ")</f>
        <v xml:space="preserve">PITALITO </v>
      </c>
      <c r="O626" s="40">
        <f ca="1">IFERROR(__xludf.DUMMYFUNCTION("""COMPUTED_VALUE"""),3154660644)</f>
        <v>3154660644</v>
      </c>
      <c r="P626" s="40" t="str">
        <f ca="1">IFERROR(__xludf.DUMMYFUNCTION("""COMPUTED_VALUE"""),"PITALITO")</f>
        <v>PITALITO</v>
      </c>
      <c r="Q626" s="40" t="str">
        <f ca="1">IFERROR(__xludf.DUMMYFUNCTION("""COMPUTED_VALUE"""),"nutreabonosdecolombia@gmail.com")</f>
        <v>nutreabonosdecolombia@gmail.com</v>
      </c>
      <c r="R626" s="140">
        <f ca="1">IFERROR(__xludf.DUMMYFUNCTION("""COMPUTED_VALUE"""),44764)</f>
        <v>44764</v>
      </c>
      <c r="S626" s="140">
        <f ca="1">IFERROR(__xludf.DUMMYFUNCTION("""COMPUTED_VALUE"""),44946)</f>
        <v>44946</v>
      </c>
      <c r="T626" s="40" t="str">
        <f ca="1">IFERROR(__xludf.DUMMYFUNCTION("""COMPUTED_VALUE"""),"Tiene acuerdo de voluntades,  Inicial, bitácora 1 .... Falta parcial, final, certificación y bitácoras 2,3,4,5,6,7,8,9,10,11 y12 ... Revisado 16/08/2022")</f>
        <v>Tiene acuerdo de voluntades,  Inicial, bitácora 1 .... Falta parcial, final, certificación y bitácoras 2,3,4,5,6,7,8,9,10,11 y12 ... Revisado 16/08/2022</v>
      </c>
      <c r="U626" s="40" t="str">
        <f ca="1">IFERROR(__xludf.DUMMYFUNCTION("""COMPUTED_VALUE"""),"Carlos Alberto Sánchez Cruz - Subió inicial y bitácora 1 ... Revisado 16/08/2022  Arelis Criollo- Asignada 
")</f>
        <v xml:space="preserve">Carlos Alberto Sánchez Cruz - Subió inicial y bitácora 1 ... Revisado 16/08/2022  Arelis Criollo- Asignada 
</v>
      </c>
      <c r="V626" s="40" t="str">
        <f ca="1">IFERROR(__xludf.DUMMYFUNCTION("""COMPUTED_VALUE"""),"SI tiene seguimiento 16/08/2022")</f>
        <v>SI tiene seguimiento 16/08/2022</v>
      </c>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t="str">
        <f ca="1">IFERROR(__xludf.DUMMYFUNCTION("""COMPUTED_VALUE"""),"Procede_E_P")</f>
        <v>Procede_E_P</v>
      </c>
      <c r="AV626" s="40" t="str">
        <f ca="1">IFERROR(__xludf.DUMMYFUNCTION("""COMPUTED_VALUE"""),"EN FORMACION")</f>
        <v>EN FORMACION</v>
      </c>
      <c r="AW626" s="40" t="str">
        <f ca="1">IFERROR(__xludf.DUMMYFUNCTION("""COMPUTED_VALUE"""),"AGROPECUARIO")</f>
        <v>AGROPECUARIO</v>
      </c>
      <c r="AX626" s="141">
        <f ca="1">IFERROR(__xludf.DUMMYFUNCTION("""COMPUTED_VALUE"""),44839)</f>
        <v>44839</v>
      </c>
      <c r="AY626" s="40">
        <f ca="1">IFERROR(__xludf.DUMMYFUNCTION("""COMPUTED_VALUE"""),0)</f>
        <v>0</v>
      </c>
      <c r="AZ626" s="40">
        <f ca="1">IFERROR(__xludf.DUMMYFUNCTION("""COMPUTED_VALUE"""),1)</f>
        <v>1</v>
      </c>
      <c r="BA626" s="40">
        <f ca="1">IFERROR(__xludf.DUMMYFUNCTION("""COMPUTED_VALUE"""),0)</f>
        <v>0</v>
      </c>
      <c r="BB626" s="40">
        <f ca="1">IFERROR(__xludf.DUMMYFUNCTION("""COMPUTED_VALUE"""),0)</f>
        <v>0</v>
      </c>
      <c r="BC626" s="40">
        <f ca="1">IFERROR(__xludf.DUMMYFUNCTION("""COMPUTED_VALUE"""),1)</f>
        <v>1</v>
      </c>
      <c r="BD626" s="141">
        <f ca="1">IFERROR(__xludf.DUMMYFUNCTION("""COMPUTED_VALUE"""),44183)</f>
        <v>44183</v>
      </c>
      <c r="BE626" s="141">
        <f ca="1">IFERROR(__xludf.DUMMYFUNCTION("""COMPUTED_VALUE"""),44729)</f>
        <v>44729</v>
      </c>
      <c r="BF626" s="141">
        <f ca="1">IFERROR(__xludf.DUMMYFUNCTION("""COMPUTED_VALUE"""),44912)</f>
        <v>44912</v>
      </c>
      <c r="BG626" s="141">
        <f ca="1">IFERROR(__xludf.DUMMYFUNCTION("""COMPUTED_VALUE"""),45460)</f>
        <v>45460</v>
      </c>
      <c r="BH626" s="40" t="str">
        <f ca="1">IFERROR(__xludf.DUMMYFUNCTION("""COMPUTED_VALUE"""),"FICHA EN TIEMPO-18 MESES")</f>
        <v>FICHA EN TIEMPO-18 MESES</v>
      </c>
      <c r="BI626" s="40" t="str">
        <f ca="1">IFERROR(__xludf.DUMMYFUNCTION("""COMPUTED_VALUE"""),"En ejecucion")</f>
        <v>En ejecucion</v>
      </c>
      <c r="BJ626" s="40" t="str">
        <f ca="1">IFERROR(__xludf.DUMMYFUNCTION("""COMPUTED_VALUE"""),"Yamboro")</f>
        <v>Yamboro</v>
      </c>
      <c r="BK626" s="40"/>
      <c r="BL626" s="40"/>
    </row>
    <row r="627" spans="1:64" ht="13">
      <c r="A627" s="40"/>
      <c r="B627" s="40" t="str">
        <f ca="1">IFERROR(__xludf.DUMMYFUNCTION("""COMPUTED_VALUE"""),"FORMACIÓN 18/10/2022")</f>
        <v>FORMACIÓN 18/10/2022</v>
      </c>
      <c r="C627" s="40" t="str">
        <f ca="1">IFERROR(__xludf.DUMMYFUNCTION("""COMPUTED_VALUE"""),"MARLEY BUITRON BUITRON")</f>
        <v>MARLEY BUITRON BUITRON</v>
      </c>
      <c r="D627" s="40" t="str">
        <f ca="1">IFERROR(__xludf.DUMMYFUNCTION("""COMPUTED_VALUE"""),"CC")</f>
        <v>CC</v>
      </c>
      <c r="E627" s="40">
        <f ca="1">IFERROR(__xludf.DUMMYFUNCTION("""COMPUTED_VALUE"""),26428939)</f>
        <v>26428939</v>
      </c>
      <c r="F627" s="40">
        <f ca="1">IFERROR(__xludf.DUMMYFUNCTION("""COMPUTED_VALUE"""),2252427)</f>
        <v>2252427</v>
      </c>
      <c r="G627" s="40" t="str">
        <f ca="1">IFERROR(__xludf.DUMMYFUNCTION("""COMPUTED_VALUE"""),"TECNÓLOGO")</f>
        <v>TECNÓLOGO</v>
      </c>
      <c r="H627" s="40" t="str">
        <f ca="1">IFERROR(__xludf.DUMMYFUNCTION("""COMPUTED_VALUE"""),"PRODUCCIÓN AGROPECUARIA ECOLÓGICA")</f>
        <v>PRODUCCIÓN AGROPECUARIA ECOLÓGICA</v>
      </c>
      <c r="I627" s="40"/>
      <c r="J627" s="40"/>
      <c r="K627" s="40"/>
      <c r="L627" s="40" t="str">
        <f ca="1">IFERROR(__xludf.DUMMYFUNCTION("""COMPUTED_VALUE"""),"CONTRATO DE APRENDIZAJE")</f>
        <v>CONTRATO DE APRENDIZAJE</v>
      </c>
      <c r="M627" s="40" t="str">
        <f ca="1">IFERROR(__xludf.DUMMYFUNCTION("""COMPUTED_VALUE"""),"ALMACENES GENERALES DE DEPOSITO DE CAFE S A ALMACAFE")</f>
        <v>ALMACENES GENERALES DE DEPOSITO DE CAFE S A ALMACAFE</v>
      </c>
      <c r="N627" s="40"/>
      <c r="O627" s="40"/>
      <c r="P627" s="40"/>
      <c r="Q627" s="40"/>
      <c r="R627" s="140">
        <f ca="1">IFERROR(__xludf.DUMMYFUNCTION("""COMPUTED_VALUE"""),44805)</f>
        <v>44805</v>
      </c>
      <c r="S627" s="140">
        <f ca="1">IFERROR(__xludf.DUMMYFUNCTION("""COMPUTED_VALUE"""),44985)</f>
        <v>44985</v>
      </c>
      <c r="T627" s="40"/>
      <c r="U627" s="40" t="str">
        <f ca="1">IFERROR(__xludf.DUMMYFUNCTION("""COMPUTED_VALUE"""),"Walter Robinson Herrera Peña")</f>
        <v>Walter Robinson Herrera Peña</v>
      </c>
      <c r="V627" s="40" t="str">
        <f ca="1">IFERROR(__xludf.DUMMYFUNCTION("""COMPUTED_VALUE"""),"No tiene seguimiento 27/07/2022")</f>
        <v>No tiene seguimiento 27/07/2022</v>
      </c>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t="str">
        <f ca="1">IFERROR(__xludf.DUMMYFUNCTION("""COMPUTED_VALUE"""),"Procede_E_P")</f>
        <v>Procede_E_P</v>
      </c>
      <c r="AV627" s="40" t="str">
        <f ca="1">IFERROR(__xludf.DUMMYFUNCTION("""COMPUTED_VALUE"""),"EN FORMACION")</f>
        <v>EN FORMACION</v>
      </c>
      <c r="AW627" s="40" t="str">
        <f ca="1">IFERROR(__xludf.DUMMYFUNCTION("""COMPUTED_VALUE"""),"AGROPECUARIO")</f>
        <v>AGROPECUARIO</v>
      </c>
      <c r="AX627" s="141">
        <f ca="1">IFERROR(__xludf.DUMMYFUNCTION("""COMPUTED_VALUE"""),44839)</f>
        <v>44839</v>
      </c>
      <c r="AY627" s="40">
        <f ca="1">IFERROR(__xludf.DUMMYFUNCTION("""COMPUTED_VALUE"""),0)</f>
        <v>0</v>
      </c>
      <c r="AZ627" s="40">
        <f ca="1">IFERROR(__xludf.DUMMYFUNCTION("""COMPUTED_VALUE"""),1)</f>
        <v>1</v>
      </c>
      <c r="BA627" s="40">
        <f ca="1">IFERROR(__xludf.DUMMYFUNCTION("""COMPUTED_VALUE"""),0)</f>
        <v>0</v>
      </c>
      <c r="BB627" s="40">
        <f ca="1">IFERROR(__xludf.DUMMYFUNCTION("""COMPUTED_VALUE"""),0)</f>
        <v>0</v>
      </c>
      <c r="BC627" s="40">
        <f ca="1">IFERROR(__xludf.DUMMYFUNCTION("""COMPUTED_VALUE"""),1)</f>
        <v>1</v>
      </c>
      <c r="BD627" s="141">
        <f ca="1">IFERROR(__xludf.DUMMYFUNCTION("""COMPUTED_VALUE"""),44183)</f>
        <v>44183</v>
      </c>
      <c r="BE627" s="141">
        <f ca="1">IFERROR(__xludf.DUMMYFUNCTION("""COMPUTED_VALUE"""),44729)</f>
        <v>44729</v>
      </c>
      <c r="BF627" s="141">
        <f ca="1">IFERROR(__xludf.DUMMYFUNCTION("""COMPUTED_VALUE"""),44912)</f>
        <v>44912</v>
      </c>
      <c r="BG627" s="141">
        <f ca="1">IFERROR(__xludf.DUMMYFUNCTION("""COMPUTED_VALUE"""),45460)</f>
        <v>45460</v>
      </c>
      <c r="BH627" s="40" t="str">
        <f ca="1">IFERROR(__xludf.DUMMYFUNCTION("""COMPUTED_VALUE"""),"FICHA EN TIEMPO-18 MESES")</f>
        <v>FICHA EN TIEMPO-18 MESES</v>
      </c>
      <c r="BI627" s="40" t="str">
        <f ca="1">IFERROR(__xludf.DUMMYFUNCTION("""COMPUTED_VALUE"""),"En ejecucion")</f>
        <v>En ejecucion</v>
      </c>
      <c r="BJ627" s="40" t="str">
        <f ca="1">IFERROR(__xludf.DUMMYFUNCTION("""COMPUTED_VALUE"""),"Yamboro")</f>
        <v>Yamboro</v>
      </c>
      <c r="BK627" s="40"/>
      <c r="BL627" s="40"/>
    </row>
    <row r="628" spans="1:64" ht="13">
      <c r="A628" s="40"/>
      <c r="B628" s="40" t="str">
        <f ca="1">IFERROR(__xludf.DUMMYFUNCTION("""COMPUTED_VALUE"""),"FORMACIÓN 18/10/2022")</f>
        <v>FORMACIÓN 18/10/2022</v>
      </c>
      <c r="C628" s="40" t="str">
        <f ca="1">IFERROR(__xludf.DUMMYFUNCTION("""COMPUTED_VALUE"""),"GINA PAOLA MUÑOZ MEDINA")</f>
        <v>GINA PAOLA MUÑOZ MEDINA</v>
      </c>
      <c r="D628" s="40" t="str">
        <f ca="1">IFERROR(__xludf.DUMMYFUNCTION("""COMPUTED_VALUE"""),"TI")</f>
        <v>TI</v>
      </c>
      <c r="E628" s="40">
        <f ca="1">IFERROR(__xludf.DUMMYFUNCTION("""COMPUTED_VALUE"""),26428939)</f>
        <v>26428939</v>
      </c>
      <c r="F628" s="40">
        <f ca="1">IFERROR(__xludf.DUMMYFUNCTION("""COMPUTED_VALUE"""),2252427)</f>
        <v>2252427</v>
      </c>
      <c r="G628" s="40" t="str">
        <f ca="1">IFERROR(__xludf.DUMMYFUNCTION("""COMPUTED_VALUE"""),"TECNÓLOGO")</f>
        <v>TECNÓLOGO</v>
      </c>
      <c r="H628" s="40" t="str">
        <f ca="1">IFERROR(__xludf.DUMMYFUNCTION("""COMPUTED_VALUE"""),"PRODUCCIÓN AGROPECUARIA ECOLÓGICA")</f>
        <v>PRODUCCIÓN AGROPECUARIA ECOLÓGICA</v>
      </c>
      <c r="I628" s="40"/>
      <c r="J628" s="40"/>
      <c r="K628" s="40"/>
      <c r="L628" s="40" t="str">
        <f ca="1">IFERROR(__xludf.DUMMYFUNCTION("""COMPUTED_VALUE"""),"NO HA INICIADO ETAPA PRODUCTIVA")</f>
        <v>NO HA INICIADO ETAPA PRODUCTIVA</v>
      </c>
      <c r="M628" s="40"/>
      <c r="N628" s="40"/>
      <c r="O628" s="40"/>
      <c r="P628" s="40"/>
      <c r="Q628" s="40"/>
      <c r="R628" s="140"/>
      <c r="S628" s="140"/>
      <c r="T628" s="40"/>
      <c r="U628" s="40" t="str">
        <f ca="1">IFERROR(__xludf.DUMMYFUNCTION("""COMPUTED_VALUE"""),"Carlos Alberto Sánchez Cruz
")</f>
        <v xml:space="preserve">Carlos Alberto Sánchez Cruz
</v>
      </c>
      <c r="V628" s="40" t="str">
        <f ca="1">IFERROR(__xludf.DUMMYFUNCTION("""COMPUTED_VALUE"""),"No tiene seguimiento 27/07/2022")</f>
        <v>No tiene seguimiento 27/07/2022</v>
      </c>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t="str">
        <f ca="1">IFERROR(__xludf.DUMMYFUNCTION("""COMPUTED_VALUE"""),"Procede_E_P")</f>
        <v>Procede_E_P</v>
      </c>
      <c r="AV628" s="40" t="str">
        <f ca="1">IFERROR(__xludf.DUMMYFUNCTION("""COMPUTED_VALUE"""),"EN FORMACION")</f>
        <v>EN FORMACION</v>
      </c>
      <c r="AW628" s="40" t="str">
        <f ca="1">IFERROR(__xludf.DUMMYFUNCTION("""COMPUTED_VALUE"""),"AGROPECUARIO")</f>
        <v>AGROPECUARIO</v>
      </c>
      <c r="AX628" s="141">
        <f ca="1">IFERROR(__xludf.DUMMYFUNCTION("""COMPUTED_VALUE"""),44839)</f>
        <v>44839</v>
      </c>
      <c r="AY628" s="40">
        <f ca="1">IFERROR(__xludf.DUMMYFUNCTION("""COMPUTED_VALUE"""),0)</f>
        <v>0</v>
      </c>
      <c r="AZ628" s="40">
        <f ca="1">IFERROR(__xludf.DUMMYFUNCTION("""COMPUTED_VALUE"""),1)</f>
        <v>1</v>
      </c>
      <c r="BA628" s="40">
        <f ca="1">IFERROR(__xludf.DUMMYFUNCTION("""COMPUTED_VALUE"""),0)</f>
        <v>0</v>
      </c>
      <c r="BB628" s="40">
        <f ca="1">IFERROR(__xludf.DUMMYFUNCTION("""COMPUTED_VALUE"""),0)</f>
        <v>0</v>
      </c>
      <c r="BC628" s="40">
        <f ca="1">IFERROR(__xludf.DUMMYFUNCTION("""COMPUTED_VALUE"""),1)</f>
        <v>1</v>
      </c>
      <c r="BD628" s="141">
        <f ca="1">IFERROR(__xludf.DUMMYFUNCTION("""COMPUTED_VALUE"""),44183)</f>
        <v>44183</v>
      </c>
      <c r="BE628" s="141">
        <f ca="1">IFERROR(__xludf.DUMMYFUNCTION("""COMPUTED_VALUE"""),44729)</f>
        <v>44729</v>
      </c>
      <c r="BF628" s="141">
        <f ca="1">IFERROR(__xludf.DUMMYFUNCTION("""COMPUTED_VALUE"""),44912)</f>
        <v>44912</v>
      </c>
      <c r="BG628" s="141">
        <f ca="1">IFERROR(__xludf.DUMMYFUNCTION("""COMPUTED_VALUE"""),45460)</f>
        <v>45460</v>
      </c>
      <c r="BH628" s="40" t="str">
        <f ca="1">IFERROR(__xludf.DUMMYFUNCTION("""COMPUTED_VALUE"""),"FICHA EN TIEMPO-18 MESES")</f>
        <v>FICHA EN TIEMPO-18 MESES</v>
      </c>
      <c r="BI628" s="40" t="str">
        <f ca="1">IFERROR(__xludf.DUMMYFUNCTION("""COMPUTED_VALUE"""),"En ejecucion")</f>
        <v>En ejecucion</v>
      </c>
      <c r="BJ628" s="40" t="str">
        <f ca="1">IFERROR(__xludf.DUMMYFUNCTION("""COMPUTED_VALUE"""),"Yamboro")</f>
        <v>Yamboro</v>
      </c>
      <c r="BK628" s="40"/>
      <c r="BL628" s="40"/>
    </row>
    <row r="629" spans="1:64" ht="13">
      <c r="A629" s="40"/>
      <c r="B629" s="40" t="str">
        <f ca="1">IFERROR(__xludf.DUMMYFUNCTION("""COMPUTED_VALUE"""),"FORMACIÓN 18/10/2022")</f>
        <v>FORMACIÓN 18/10/2022</v>
      </c>
      <c r="C629" s="40" t="str">
        <f ca="1">IFERROR(__xludf.DUMMYFUNCTION("""COMPUTED_VALUE"""),"SARA YULIETH MORALES SANABRIA")</f>
        <v>SARA YULIETH MORALES SANABRIA</v>
      </c>
      <c r="D629" s="40" t="str">
        <f ca="1">IFERROR(__xludf.DUMMYFUNCTION("""COMPUTED_VALUE"""),"CC")</f>
        <v>CC</v>
      </c>
      <c r="E629" s="40">
        <f ca="1">IFERROR(__xludf.DUMMYFUNCTION("""COMPUTED_VALUE"""),26428939)</f>
        <v>26428939</v>
      </c>
      <c r="F629" s="40">
        <f ca="1">IFERROR(__xludf.DUMMYFUNCTION("""COMPUTED_VALUE"""),2252427)</f>
        <v>2252427</v>
      </c>
      <c r="G629" s="40" t="str">
        <f ca="1">IFERROR(__xludf.DUMMYFUNCTION("""COMPUTED_VALUE"""),"TECNÓLOGO")</f>
        <v>TECNÓLOGO</v>
      </c>
      <c r="H629" s="40" t="str">
        <f ca="1">IFERROR(__xludf.DUMMYFUNCTION("""COMPUTED_VALUE"""),"PRODUCCIÓN AGROPECUARIA ECOLÓGICA")</f>
        <v>PRODUCCIÓN AGROPECUARIA ECOLÓGICA</v>
      </c>
      <c r="I629" s="40"/>
      <c r="J629" s="40"/>
      <c r="K629" s="40"/>
      <c r="L629" s="40" t="str">
        <f ca="1">IFERROR(__xludf.DUMMYFUNCTION("""COMPUTED_VALUE"""),"CONTRATO DE APRENDIZAJE")</f>
        <v>CONTRATO DE APRENDIZAJE</v>
      </c>
      <c r="M629" s="40" t="str">
        <f ca="1">IFERROR(__xludf.DUMMYFUNCTION("""COMPUTED_VALUE"""),"GRUPO PRONUM S.A.S ")</f>
        <v xml:space="preserve">GRUPO PRONUM S.A.S </v>
      </c>
      <c r="N629" s="40" t="str">
        <f ca="1">IFERROR(__xludf.DUMMYFUNCTION("""COMPUTED_VALUE"""),"KM 2 BRICEÑO ZIPAQUIRA PARQUE INDUSTRIAL YIBITOC BODEGA 15 ")</f>
        <v xml:space="preserve">KM 2 BRICEÑO ZIPAQUIRA PARQUE INDUSTRIAL YIBITOC BODEGA 15 </v>
      </c>
      <c r="O629" s="40">
        <f ca="1">IFERROR(__xludf.DUMMYFUNCTION("""COMPUTED_VALUE"""),8697245)</f>
        <v>8697245</v>
      </c>
      <c r="P629" s="40" t="str">
        <f ca="1">IFERROR(__xludf.DUMMYFUNCTION("""COMPUTED_VALUE"""),"ZIPAQUIRÁ")</f>
        <v>ZIPAQUIRÁ</v>
      </c>
      <c r="Q629" s="40" t="str">
        <f ca="1">IFERROR(__xludf.DUMMYFUNCTION("""COMPUTED_VALUE"""),"recursoshumanos@grupopronum.com
")</f>
        <v xml:space="preserve">recursoshumanos@grupopronum.com
</v>
      </c>
      <c r="R629" s="140">
        <f ca="1">IFERROR(__xludf.DUMMYFUNCTION("""COMPUTED_VALUE"""),44777)</f>
        <v>44777</v>
      </c>
      <c r="S629" s="140">
        <f ca="1">IFERROR(__xludf.DUMMYFUNCTION("""COMPUTED_VALUE"""),44961)</f>
        <v>44961</v>
      </c>
      <c r="T629" s="40"/>
      <c r="U629" s="40" t="str">
        <f ca="1">IFERROR(__xludf.DUMMYFUNCTION("""COMPUTED_VALUE"""),"Walter Robinson Herrera Peña")</f>
        <v>Walter Robinson Herrera Peña</v>
      </c>
      <c r="V629" s="40" t="str">
        <f ca="1">IFERROR(__xludf.DUMMYFUNCTION("""COMPUTED_VALUE"""),"No tiene seguimiento 27/07/2022")</f>
        <v>No tiene seguimiento 27/07/2022</v>
      </c>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t="str">
        <f ca="1">IFERROR(__xludf.DUMMYFUNCTION("""COMPUTED_VALUE"""),"Procede_E_P")</f>
        <v>Procede_E_P</v>
      </c>
      <c r="AV629" s="40" t="str">
        <f ca="1">IFERROR(__xludf.DUMMYFUNCTION("""COMPUTED_VALUE"""),"EN FORMACION")</f>
        <v>EN FORMACION</v>
      </c>
      <c r="AW629" s="40" t="str">
        <f ca="1">IFERROR(__xludf.DUMMYFUNCTION("""COMPUTED_VALUE"""),"AGROPECUARIO")</f>
        <v>AGROPECUARIO</v>
      </c>
      <c r="AX629" s="141">
        <f ca="1">IFERROR(__xludf.DUMMYFUNCTION("""COMPUTED_VALUE"""),44839)</f>
        <v>44839</v>
      </c>
      <c r="AY629" s="40">
        <f ca="1">IFERROR(__xludf.DUMMYFUNCTION("""COMPUTED_VALUE"""),0)</f>
        <v>0</v>
      </c>
      <c r="AZ629" s="40">
        <f ca="1">IFERROR(__xludf.DUMMYFUNCTION("""COMPUTED_VALUE"""),1)</f>
        <v>1</v>
      </c>
      <c r="BA629" s="40">
        <f ca="1">IFERROR(__xludf.DUMMYFUNCTION("""COMPUTED_VALUE"""),0)</f>
        <v>0</v>
      </c>
      <c r="BB629" s="40">
        <f ca="1">IFERROR(__xludf.DUMMYFUNCTION("""COMPUTED_VALUE"""),0)</f>
        <v>0</v>
      </c>
      <c r="BC629" s="40">
        <f ca="1">IFERROR(__xludf.DUMMYFUNCTION("""COMPUTED_VALUE"""),1)</f>
        <v>1</v>
      </c>
      <c r="BD629" s="141">
        <f ca="1">IFERROR(__xludf.DUMMYFUNCTION("""COMPUTED_VALUE"""),44183)</f>
        <v>44183</v>
      </c>
      <c r="BE629" s="141">
        <f ca="1">IFERROR(__xludf.DUMMYFUNCTION("""COMPUTED_VALUE"""),44729)</f>
        <v>44729</v>
      </c>
      <c r="BF629" s="141">
        <f ca="1">IFERROR(__xludf.DUMMYFUNCTION("""COMPUTED_VALUE"""),44912)</f>
        <v>44912</v>
      </c>
      <c r="BG629" s="141">
        <f ca="1">IFERROR(__xludf.DUMMYFUNCTION("""COMPUTED_VALUE"""),45460)</f>
        <v>45460</v>
      </c>
      <c r="BH629" s="40" t="str">
        <f ca="1">IFERROR(__xludf.DUMMYFUNCTION("""COMPUTED_VALUE"""),"FICHA EN TIEMPO-18 MESES")</f>
        <v>FICHA EN TIEMPO-18 MESES</v>
      </c>
      <c r="BI629" s="40" t="str">
        <f ca="1">IFERROR(__xludf.DUMMYFUNCTION("""COMPUTED_VALUE"""),"En ejecucion")</f>
        <v>En ejecucion</v>
      </c>
      <c r="BJ629" s="40" t="str">
        <f ca="1">IFERROR(__xludf.DUMMYFUNCTION("""COMPUTED_VALUE"""),"Yamboro")</f>
        <v>Yamboro</v>
      </c>
      <c r="BK629" s="40"/>
      <c r="BL629" s="40"/>
    </row>
    <row r="630" spans="1:64" ht="13">
      <c r="A630" s="40"/>
      <c r="B630" s="40" t="str">
        <f ca="1">IFERROR(__xludf.DUMMYFUNCTION("""COMPUTED_VALUE"""),"FORMACIÓN 18/10/2022")</f>
        <v>FORMACIÓN 18/10/2022</v>
      </c>
      <c r="C630" s="40" t="str">
        <f ca="1">IFERROR(__xludf.DUMMYFUNCTION("""COMPUTED_VALUE"""),"OSCAR DAVID VALDERRAMA TOLEDO")</f>
        <v>OSCAR DAVID VALDERRAMA TOLEDO</v>
      </c>
      <c r="D630" s="40" t="str">
        <f ca="1">IFERROR(__xludf.DUMMYFUNCTION("""COMPUTED_VALUE"""),"CC")</f>
        <v>CC</v>
      </c>
      <c r="E630" s="40">
        <f ca="1">IFERROR(__xludf.DUMMYFUNCTION("""COMPUTED_VALUE"""),26428939)</f>
        <v>26428939</v>
      </c>
      <c r="F630" s="40">
        <f ca="1">IFERROR(__xludf.DUMMYFUNCTION("""COMPUTED_VALUE"""),2236073)</f>
        <v>2236073</v>
      </c>
      <c r="G630" s="40" t="str">
        <f ca="1">IFERROR(__xludf.DUMMYFUNCTION("""COMPUTED_VALUE"""),"TECNÓLOGO")</f>
        <v>TECNÓLOGO</v>
      </c>
      <c r="H630" s="40" t="str">
        <f ca="1">IFERROR(__xludf.DUMMYFUNCTION("""COMPUTED_VALUE"""),"PRODUCCIÓN AGROPECUARIA ECOLÓGICA")</f>
        <v>PRODUCCIÓN AGROPECUARIA ECOLÓGICA</v>
      </c>
      <c r="I630" s="40"/>
      <c r="J630" s="40"/>
      <c r="K630" s="40"/>
      <c r="L630" s="40" t="str">
        <f ca="1">IFERROR(__xludf.DUMMYFUNCTION("""COMPUTED_VALUE"""),"NO HA INICIADO ETAPA PRODUCTIVA")</f>
        <v>NO HA INICIADO ETAPA PRODUCTIVA</v>
      </c>
      <c r="M630" s="40"/>
      <c r="N630" s="40"/>
      <c r="O630" s="40"/>
      <c r="P630" s="40"/>
      <c r="Q630" s="40"/>
      <c r="R630" s="140"/>
      <c r="S630" s="140"/>
      <c r="T630" s="40"/>
      <c r="U630" s="40" t="str">
        <f ca="1">IFERROR(__xludf.DUMMYFUNCTION("""COMPUTED_VALUE"""),"ARELIS CRIOLLO ")</f>
        <v xml:space="preserve">ARELIS CRIOLLO </v>
      </c>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t="str">
        <f ca="1">IFERROR(__xludf.DUMMYFUNCTION("""COMPUTED_VALUE"""),"Procede_E_P")</f>
        <v>Procede_E_P</v>
      </c>
      <c r="AV630" s="40" t="str">
        <f ca="1">IFERROR(__xludf.DUMMYFUNCTION("""COMPUTED_VALUE"""),"EN FORMACION")</f>
        <v>EN FORMACION</v>
      </c>
      <c r="AW630" s="40" t="str">
        <f ca="1">IFERROR(__xludf.DUMMYFUNCTION("""COMPUTED_VALUE"""),"AGROPECUARIO")</f>
        <v>AGROPECUARIO</v>
      </c>
      <c r="AX630" s="141">
        <f ca="1">IFERROR(__xludf.DUMMYFUNCTION("""COMPUTED_VALUE"""),44839)</f>
        <v>44839</v>
      </c>
      <c r="AY630" s="40">
        <f ca="1">IFERROR(__xludf.DUMMYFUNCTION("""COMPUTED_VALUE"""),0)</f>
        <v>0</v>
      </c>
      <c r="AZ630" s="40">
        <f ca="1">IFERROR(__xludf.DUMMYFUNCTION("""COMPUTED_VALUE"""),1)</f>
        <v>1</v>
      </c>
      <c r="BA630" s="40">
        <f ca="1">IFERROR(__xludf.DUMMYFUNCTION("""COMPUTED_VALUE"""),0)</f>
        <v>0</v>
      </c>
      <c r="BB630" s="40">
        <f ca="1">IFERROR(__xludf.DUMMYFUNCTION("""COMPUTED_VALUE"""),0)</f>
        <v>0</v>
      </c>
      <c r="BC630" s="40">
        <f ca="1">IFERROR(__xludf.DUMMYFUNCTION("""COMPUTED_VALUE"""),1)</f>
        <v>1</v>
      </c>
      <c r="BD630" s="141">
        <f ca="1">IFERROR(__xludf.DUMMYFUNCTION("""COMPUTED_VALUE"""),44221)</f>
        <v>44221</v>
      </c>
      <c r="BE630" s="141">
        <f ca="1">IFERROR(__xludf.DUMMYFUNCTION("""COMPUTED_VALUE"""),44766)</f>
        <v>44766</v>
      </c>
      <c r="BF630" s="141">
        <f ca="1">IFERROR(__xludf.DUMMYFUNCTION("""COMPUTED_VALUE"""),44950)</f>
        <v>44950</v>
      </c>
      <c r="BG630" s="141">
        <f ca="1">IFERROR(__xludf.DUMMYFUNCTION("""COMPUTED_VALUE"""),45497)</f>
        <v>45497</v>
      </c>
      <c r="BH630" s="40" t="str">
        <f ca="1">IFERROR(__xludf.DUMMYFUNCTION("""COMPUTED_VALUE"""),"FICHA EN TIEMPO-18 MESES")</f>
        <v>FICHA EN TIEMPO-18 MESES</v>
      </c>
      <c r="BI630" s="40" t="str">
        <f ca="1">IFERROR(__xludf.DUMMYFUNCTION("""COMPUTED_VALUE"""),"En ejecucion")</f>
        <v>En ejecucion</v>
      </c>
      <c r="BJ630" s="40" t="str">
        <f ca="1">IFERROR(__xludf.DUMMYFUNCTION("""COMPUTED_VALUE"""),"Yamboro")</f>
        <v>Yamboro</v>
      </c>
      <c r="BK630" s="40"/>
      <c r="BL630" s="40"/>
    </row>
    <row r="631" spans="1:64" ht="13">
      <c r="A631" s="40"/>
      <c r="B631" s="40" t="str">
        <f ca="1">IFERROR(__xludf.DUMMYFUNCTION("""COMPUTED_VALUE"""),"APLAZADO  18/10/2022")</f>
        <v>APLAZADO  18/10/2022</v>
      </c>
      <c r="C631" s="40" t="str">
        <f ca="1">IFERROR(__xludf.DUMMYFUNCTION("""COMPUTED_VALUE"""),"MARIA JOSE MUÑOZ PEÑA")</f>
        <v>MARIA JOSE MUÑOZ PEÑA</v>
      </c>
      <c r="D631" s="40" t="str">
        <f ca="1">IFERROR(__xludf.DUMMYFUNCTION("""COMPUTED_VALUE"""),"CC")</f>
        <v>CC</v>
      </c>
      <c r="E631" s="40">
        <f ca="1">IFERROR(__xludf.DUMMYFUNCTION("""COMPUTED_VALUE"""),26428939)</f>
        <v>26428939</v>
      </c>
      <c r="F631" s="40">
        <f ca="1">IFERROR(__xludf.DUMMYFUNCTION("""COMPUTED_VALUE"""),2236073)</f>
        <v>2236073</v>
      </c>
      <c r="G631" s="40" t="str">
        <f ca="1">IFERROR(__xludf.DUMMYFUNCTION("""COMPUTED_VALUE"""),"TECNÓLOGO")</f>
        <v>TECNÓLOGO</v>
      </c>
      <c r="H631" s="40" t="str">
        <f ca="1">IFERROR(__xludf.DUMMYFUNCTION("""COMPUTED_VALUE"""),"PRODUCCIÓN AGROPECUARIA ECOLÓGICA")</f>
        <v>PRODUCCIÓN AGROPECUARIA ECOLÓGICA</v>
      </c>
      <c r="I631" s="40"/>
      <c r="J631" s="40"/>
      <c r="K631" s="40"/>
      <c r="L631" s="40" t="str">
        <f ca="1">IFERROR(__xludf.DUMMYFUNCTION("""COMPUTED_VALUE"""),"NO HA INICIADO ETAPA PRODUCTIVA")</f>
        <v>NO HA INICIADO ETAPA PRODUCTIVA</v>
      </c>
      <c r="M631" s="40"/>
      <c r="N631" s="40"/>
      <c r="O631" s="40"/>
      <c r="P631" s="40"/>
      <c r="Q631" s="40"/>
      <c r="R631" s="140"/>
      <c r="S631" s="1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t="str">
        <f ca="1">IFERROR(__xludf.DUMMYFUNCTION("""COMPUTED_VALUE"""),"NO_CUMPLE")</f>
        <v>NO_CUMPLE</v>
      </c>
      <c r="AV631" s="40" t="str">
        <f ca="1">IFERROR(__xludf.DUMMYFUNCTION("""COMPUTED_VALUE"""),"APLAZADO")</f>
        <v>APLAZADO</v>
      </c>
      <c r="AW631" s="40" t="str">
        <f ca="1">IFERROR(__xludf.DUMMYFUNCTION("""COMPUTED_VALUE"""),"AGROPECUARIO")</f>
        <v>AGROPECUARIO</v>
      </c>
      <c r="AX631" s="141">
        <f ca="1">IFERROR(__xludf.DUMMYFUNCTION("""COMPUTED_VALUE"""),44839)</f>
        <v>44839</v>
      </c>
      <c r="AY631" s="40">
        <f ca="1">IFERROR(__xludf.DUMMYFUNCTION("""COMPUTED_VALUE"""),8)</f>
        <v>8</v>
      </c>
      <c r="AZ631" s="40">
        <f ca="1">IFERROR(__xludf.DUMMYFUNCTION("""COMPUTED_VALUE"""),1)</f>
        <v>1</v>
      </c>
      <c r="BA631" s="40">
        <f ca="1">IFERROR(__xludf.DUMMYFUNCTION("""COMPUTED_VALUE"""),15)</f>
        <v>15</v>
      </c>
      <c r="BB631" s="40">
        <f ca="1">IFERROR(__xludf.DUMMYFUNCTION("""COMPUTED_VALUE"""),47)</f>
        <v>47</v>
      </c>
      <c r="BC631" s="40">
        <f ca="1">IFERROR(__xludf.DUMMYFUNCTION("""COMPUTED_VALUE"""),71)</f>
        <v>71</v>
      </c>
      <c r="BD631" s="141">
        <f ca="1">IFERROR(__xludf.DUMMYFUNCTION("""COMPUTED_VALUE"""),44221)</f>
        <v>44221</v>
      </c>
      <c r="BE631" s="141">
        <f ca="1">IFERROR(__xludf.DUMMYFUNCTION("""COMPUTED_VALUE"""),44766)</f>
        <v>44766</v>
      </c>
      <c r="BF631" s="141">
        <f ca="1">IFERROR(__xludf.DUMMYFUNCTION("""COMPUTED_VALUE"""),44950)</f>
        <v>44950</v>
      </c>
      <c r="BG631" s="141">
        <f ca="1">IFERROR(__xludf.DUMMYFUNCTION("""COMPUTED_VALUE"""),45497)</f>
        <v>45497</v>
      </c>
      <c r="BH631" s="40" t="str">
        <f ca="1">IFERROR(__xludf.DUMMYFUNCTION("""COMPUTED_VALUE"""),"FICHA EN TIEMPO-18 MESES")</f>
        <v>FICHA EN TIEMPO-18 MESES</v>
      </c>
      <c r="BI631" s="40" t="str">
        <f ca="1">IFERROR(__xludf.DUMMYFUNCTION("""COMPUTED_VALUE"""),"En ejecucion")</f>
        <v>En ejecucion</v>
      </c>
      <c r="BJ631" s="40" t="str">
        <f ca="1">IFERROR(__xludf.DUMMYFUNCTION("""COMPUTED_VALUE"""),"Yamboro")</f>
        <v>Yamboro</v>
      </c>
      <c r="BK631" s="40"/>
      <c r="BL631" s="40"/>
    </row>
    <row r="632" spans="1:64" ht="13">
      <c r="A632" s="40"/>
      <c r="B632" s="40" t="str">
        <f ca="1">IFERROR(__xludf.DUMMYFUNCTION("""COMPUTED_VALUE"""),"FORMACIÓN 18/10/2022")</f>
        <v>FORMACIÓN 18/10/2022</v>
      </c>
      <c r="C632" s="40" t="str">
        <f ca="1">IFERROR(__xludf.DUMMYFUNCTION("""COMPUTED_VALUE"""),"JOHAN DAVID CALDERON BUITRON")</f>
        <v>JOHAN DAVID CALDERON BUITRON</v>
      </c>
      <c r="D632" s="40" t="str">
        <f ca="1">IFERROR(__xludf.DUMMYFUNCTION("""COMPUTED_VALUE"""),"CC")</f>
        <v>CC</v>
      </c>
      <c r="E632" s="40">
        <f ca="1">IFERROR(__xludf.DUMMYFUNCTION("""COMPUTED_VALUE"""),26428939)</f>
        <v>26428939</v>
      </c>
      <c r="F632" s="40">
        <f ca="1">IFERROR(__xludf.DUMMYFUNCTION("""COMPUTED_VALUE"""),2236073)</f>
        <v>2236073</v>
      </c>
      <c r="G632" s="40" t="str">
        <f ca="1">IFERROR(__xludf.DUMMYFUNCTION("""COMPUTED_VALUE"""),"TECNÓLOGO")</f>
        <v>TECNÓLOGO</v>
      </c>
      <c r="H632" s="40" t="str">
        <f ca="1">IFERROR(__xludf.DUMMYFUNCTION("""COMPUTED_VALUE"""),"PRODUCCIÓN AGROPECUARIA ECOLÓGICA")</f>
        <v>PRODUCCIÓN AGROPECUARIA ECOLÓGICA</v>
      </c>
      <c r="I632" s="40">
        <f ca="1">IFERROR(__xludf.DUMMYFUNCTION("""COMPUTED_VALUE"""),3105679413)</f>
        <v>3105679413</v>
      </c>
      <c r="J632" s="40"/>
      <c r="K632" s="40"/>
      <c r="L632" s="40" t="str">
        <f ca="1">IFERROR(__xludf.DUMMYFUNCTION("""COMPUTED_VALUE"""),"PASANTÍAS")</f>
        <v>PASANTÍAS</v>
      </c>
      <c r="M632" s="40" t="str">
        <f ca="1">IFERROR(__xludf.DUMMYFUNCTION("""COMPUTED_VALUE"""),"CENTRO DE GESTIÓN Y DESARROLLO SOSTENIBLE SUR COLOMBIANO SENA ")</f>
        <v xml:space="preserve">CENTRO DE GESTIÓN Y DESARROLLO SOSTENIBLE SUR COLOMBIANO SENA </v>
      </c>
      <c r="N632" s="40" t="str">
        <f ca="1">IFERROR(__xludf.DUMMYFUNCTION("""COMPUTED_VALUE"""),"PITALITO")</f>
        <v>PITALITO</v>
      </c>
      <c r="O632" s="40"/>
      <c r="P632" s="40"/>
      <c r="Q632" s="40"/>
      <c r="R632" s="140">
        <f ca="1">IFERROR(__xludf.DUMMYFUNCTION("""COMPUTED_VALUE"""),44774)</f>
        <v>44774</v>
      </c>
      <c r="S632" s="140">
        <f ca="1">IFERROR(__xludf.DUMMYFUNCTION("""COMPUTED_VALUE"""),44957)</f>
        <v>44957</v>
      </c>
      <c r="T632" s="40"/>
      <c r="U632" s="40" t="str">
        <f ca="1">IFERROR(__xludf.DUMMYFUNCTION("""COMPUTED_VALUE"""),"Walter Robinson Herrera Peña")</f>
        <v>Walter Robinson Herrera Peña</v>
      </c>
      <c r="V632" s="40" t="str">
        <f ca="1">IFERROR(__xludf.DUMMYFUNCTION("""COMPUTED_VALUE"""),"No tiene seguimiento 03/08/2022")</f>
        <v>No tiene seguimiento 03/08/2022</v>
      </c>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t="str">
        <f ca="1">IFERROR(__xludf.DUMMYFUNCTION("""COMPUTED_VALUE"""),"Procede_E_P")</f>
        <v>Procede_E_P</v>
      </c>
      <c r="AV632" s="40" t="str">
        <f ca="1">IFERROR(__xludf.DUMMYFUNCTION("""COMPUTED_VALUE"""),"EN FORMACION")</f>
        <v>EN FORMACION</v>
      </c>
      <c r="AW632" s="40" t="str">
        <f ca="1">IFERROR(__xludf.DUMMYFUNCTION("""COMPUTED_VALUE"""),"AGROPECUARIO")</f>
        <v>AGROPECUARIO</v>
      </c>
      <c r="AX632" s="141">
        <f ca="1">IFERROR(__xludf.DUMMYFUNCTION("""COMPUTED_VALUE"""),44839)</f>
        <v>44839</v>
      </c>
      <c r="AY632" s="40">
        <f ca="1">IFERROR(__xludf.DUMMYFUNCTION("""COMPUTED_VALUE"""),0)</f>
        <v>0</v>
      </c>
      <c r="AZ632" s="40">
        <f ca="1">IFERROR(__xludf.DUMMYFUNCTION("""COMPUTED_VALUE"""),1)</f>
        <v>1</v>
      </c>
      <c r="BA632" s="40">
        <f ca="1">IFERROR(__xludf.DUMMYFUNCTION("""COMPUTED_VALUE"""),0)</f>
        <v>0</v>
      </c>
      <c r="BB632" s="40">
        <f ca="1">IFERROR(__xludf.DUMMYFUNCTION("""COMPUTED_VALUE"""),0)</f>
        <v>0</v>
      </c>
      <c r="BC632" s="40">
        <f ca="1">IFERROR(__xludf.DUMMYFUNCTION("""COMPUTED_VALUE"""),1)</f>
        <v>1</v>
      </c>
      <c r="BD632" s="141">
        <f ca="1">IFERROR(__xludf.DUMMYFUNCTION("""COMPUTED_VALUE"""),44221)</f>
        <v>44221</v>
      </c>
      <c r="BE632" s="141">
        <f ca="1">IFERROR(__xludf.DUMMYFUNCTION("""COMPUTED_VALUE"""),44766)</f>
        <v>44766</v>
      </c>
      <c r="BF632" s="141">
        <f ca="1">IFERROR(__xludf.DUMMYFUNCTION("""COMPUTED_VALUE"""),44950)</f>
        <v>44950</v>
      </c>
      <c r="BG632" s="141">
        <f ca="1">IFERROR(__xludf.DUMMYFUNCTION("""COMPUTED_VALUE"""),45497)</f>
        <v>45497</v>
      </c>
      <c r="BH632" s="40" t="str">
        <f ca="1">IFERROR(__xludf.DUMMYFUNCTION("""COMPUTED_VALUE"""),"FICHA EN TIEMPO-18 MESES")</f>
        <v>FICHA EN TIEMPO-18 MESES</v>
      </c>
      <c r="BI632" s="40" t="str">
        <f ca="1">IFERROR(__xludf.DUMMYFUNCTION("""COMPUTED_VALUE"""),"En ejecucion")</f>
        <v>En ejecucion</v>
      </c>
      <c r="BJ632" s="40" t="str">
        <f ca="1">IFERROR(__xludf.DUMMYFUNCTION("""COMPUTED_VALUE"""),"Yamboro")</f>
        <v>Yamboro</v>
      </c>
      <c r="BK632" s="40"/>
      <c r="BL632" s="40"/>
    </row>
    <row r="633" spans="1:64" ht="13">
      <c r="A633" s="40"/>
      <c r="B633" s="40" t="str">
        <f ca="1">IFERROR(__xludf.DUMMYFUNCTION("""COMPUTED_VALUE"""),"FORMACIÓN 18/10/2022")</f>
        <v>FORMACIÓN 18/10/2022</v>
      </c>
      <c r="C633" s="40" t="str">
        <f ca="1">IFERROR(__xludf.DUMMYFUNCTION("""COMPUTED_VALUE"""),"TANIA ALEJANDRA MENDOZA MEDINA")</f>
        <v>TANIA ALEJANDRA MENDOZA MEDINA</v>
      </c>
      <c r="D633" s="40" t="str">
        <f ca="1">IFERROR(__xludf.DUMMYFUNCTION("""COMPUTED_VALUE"""),"CC")</f>
        <v>CC</v>
      </c>
      <c r="E633" s="40">
        <f ca="1">IFERROR(__xludf.DUMMYFUNCTION("""COMPUTED_VALUE"""),26428939)</f>
        <v>26428939</v>
      </c>
      <c r="F633" s="40">
        <f ca="1">IFERROR(__xludf.DUMMYFUNCTION("""COMPUTED_VALUE"""),2236073)</f>
        <v>2236073</v>
      </c>
      <c r="G633" s="40" t="str">
        <f ca="1">IFERROR(__xludf.DUMMYFUNCTION("""COMPUTED_VALUE"""),"TECNÓLOGO")</f>
        <v>TECNÓLOGO</v>
      </c>
      <c r="H633" s="40" t="str">
        <f ca="1">IFERROR(__xludf.DUMMYFUNCTION("""COMPUTED_VALUE"""),"PRODUCCIÓN AGROPECUARIA ECOLÓGICA")</f>
        <v>PRODUCCIÓN AGROPECUARIA ECOLÓGICA</v>
      </c>
      <c r="I633" s="40"/>
      <c r="J633" s="40"/>
      <c r="K633" s="40"/>
      <c r="L633" s="40" t="str">
        <f ca="1">IFERROR(__xludf.DUMMYFUNCTION("""COMPUTED_VALUE"""),"PASANTÍAS")</f>
        <v>PASANTÍAS</v>
      </c>
      <c r="M633" s="40" t="str">
        <f ca="1">IFERROR(__xludf.DUMMYFUNCTION("""COMPUTED_VALUE"""),"CENTRO DE GESTIÓN Y DESARROLLO SOSTENIBLE SUR COLOMBIANO SENA ")</f>
        <v xml:space="preserve">CENTRO DE GESTIÓN Y DESARROLLO SOSTENIBLE SUR COLOMBIANO SENA </v>
      </c>
      <c r="N633" s="40" t="str">
        <f ca="1">IFERROR(__xludf.DUMMYFUNCTION("""COMPUTED_VALUE"""),"PITALITO")</f>
        <v>PITALITO</v>
      </c>
      <c r="O633" s="40"/>
      <c r="P633" s="40"/>
      <c r="Q633" s="40"/>
      <c r="R633" s="140">
        <f ca="1">IFERROR(__xludf.DUMMYFUNCTION("""COMPUTED_VALUE"""),44774)</f>
        <v>44774</v>
      </c>
      <c r="S633" s="140">
        <f ca="1">IFERROR(__xludf.DUMMYFUNCTION("""COMPUTED_VALUE"""),44957)</f>
        <v>44957</v>
      </c>
      <c r="T633" s="40" t="str">
        <f ca="1">IFERROR(__xludf.DUMMYFUNCTION("""COMPUTED_VALUE"""),"Tiene Acuerdo de Voluntades, Inicial.... Falta parcial, final, certificación y bitácoras 1,2,3,4,5,6,7,8,9,10,11 y 12 ... Revisado 26/08/2022")</f>
        <v>Tiene Acuerdo de Voluntades, Inicial.... Falta parcial, final, certificación y bitácoras 1,2,3,4,5,6,7,8,9,10,11 y 12 ... Revisado 26/08/2022</v>
      </c>
      <c r="U633" s="40" t="str">
        <f ca="1">IFERROR(__xludf.DUMMYFUNCTION("""COMPUTED_VALUE"""),"Walter Robinson Herrera Peña - Subió Inicial... Revisado 26/08/2022")</f>
        <v>Walter Robinson Herrera Peña - Subió Inicial... Revisado 26/08/2022</v>
      </c>
      <c r="V633" s="40" t="str">
        <f ca="1">IFERROR(__xludf.DUMMYFUNCTION("""COMPUTED_VALUE"""),"SI tiene seguimiento... Revisado 26/08/2022")</f>
        <v>SI tiene seguimiento... Revisado 26/08/2022</v>
      </c>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t="str">
        <f ca="1">IFERROR(__xludf.DUMMYFUNCTION("""COMPUTED_VALUE"""),"Procede_E_P")</f>
        <v>Procede_E_P</v>
      </c>
      <c r="AV633" s="40" t="str">
        <f ca="1">IFERROR(__xludf.DUMMYFUNCTION("""COMPUTED_VALUE"""),"EN FORMACION")</f>
        <v>EN FORMACION</v>
      </c>
      <c r="AW633" s="40" t="str">
        <f ca="1">IFERROR(__xludf.DUMMYFUNCTION("""COMPUTED_VALUE"""),"AGROPECUARIO")</f>
        <v>AGROPECUARIO</v>
      </c>
      <c r="AX633" s="141">
        <f ca="1">IFERROR(__xludf.DUMMYFUNCTION("""COMPUTED_VALUE"""),44839)</f>
        <v>44839</v>
      </c>
      <c r="AY633" s="40">
        <f ca="1">IFERROR(__xludf.DUMMYFUNCTION("""COMPUTED_VALUE"""),0)</f>
        <v>0</v>
      </c>
      <c r="AZ633" s="40">
        <f ca="1">IFERROR(__xludf.DUMMYFUNCTION("""COMPUTED_VALUE"""),1)</f>
        <v>1</v>
      </c>
      <c r="BA633" s="40">
        <f ca="1">IFERROR(__xludf.DUMMYFUNCTION("""COMPUTED_VALUE"""),0)</f>
        <v>0</v>
      </c>
      <c r="BB633" s="40">
        <f ca="1">IFERROR(__xludf.DUMMYFUNCTION("""COMPUTED_VALUE"""),0)</f>
        <v>0</v>
      </c>
      <c r="BC633" s="40">
        <f ca="1">IFERROR(__xludf.DUMMYFUNCTION("""COMPUTED_VALUE"""),1)</f>
        <v>1</v>
      </c>
      <c r="BD633" s="141">
        <f ca="1">IFERROR(__xludf.DUMMYFUNCTION("""COMPUTED_VALUE"""),44221)</f>
        <v>44221</v>
      </c>
      <c r="BE633" s="141">
        <f ca="1">IFERROR(__xludf.DUMMYFUNCTION("""COMPUTED_VALUE"""),44766)</f>
        <v>44766</v>
      </c>
      <c r="BF633" s="141">
        <f ca="1">IFERROR(__xludf.DUMMYFUNCTION("""COMPUTED_VALUE"""),44950)</f>
        <v>44950</v>
      </c>
      <c r="BG633" s="141">
        <f ca="1">IFERROR(__xludf.DUMMYFUNCTION("""COMPUTED_VALUE"""),45497)</f>
        <v>45497</v>
      </c>
      <c r="BH633" s="40" t="str">
        <f ca="1">IFERROR(__xludf.DUMMYFUNCTION("""COMPUTED_VALUE"""),"FICHA EN TIEMPO-18 MESES")</f>
        <v>FICHA EN TIEMPO-18 MESES</v>
      </c>
      <c r="BI633" s="40" t="str">
        <f ca="1">IFERROR(__xludf.DUMMYFUNCTION("""COMPUTED_VALUE"""),"En ejecucion")</f>
        <v>En ejecucion</v>
      </c>
      <c r="BJ633" s="40" t="str">
        <f ca="1">IFERROR(__xludf.DUMMYFUNCTION("""COMPUTED_VALUE"""),"Yamboro")</f>
        <v>Yamboro</v>
      </c>
      <c r="BK633" s="40"/>
      <c r="BL633" s="40"/>
    </row>
    <row r="634" spans="1:64" ht="13">
      <c r="A634" s="40"/>
      <c r="B634" s="40" t="str">
        <f ca="1">IFERROR(__xludf.DUMMYFUNCTION("""COMPUTED_VALUE"""),"FORMACIÓN 18/10/2022")</f>
        <v>FORMACIÓN 18/10/2022</v>
      </c>
      <c r="C634" s="40" t="str">
        <f ca="1">IFERROR(__xludf.DUMMYFUNCTION("""COMPUTED_VALUE"""),"SHIRLEY GONZALEZ PLAZA")</f>
        <v>SHIRLEY GONZALEZ PLAZA</v>
      </c>
      <c r="D634" s="40" t="str">
        <f ca="1">IFERROR(__xludf.DUMMYFUNCTION("""COMPUTED_VALUE"""),"CC")</f>
        <v>CC</v>
      </c>
      <c r="E634" s="40">
        <f ca="1">IFERROR(__xludf.DUMMYFUNCTION("""COMPUTED_VALUE"""),26428939)</f>
        <v>26428939</v>
      </c>
      <c r="F634" s="40">
        <f ca="1">IFERROR(__xludf.DUMMYFUNCTION("""COMPUTED_VALUE"""),2236073)</f>
        <v>2236073</v>
      </c>
      <c r="G634" s="40" t="str">
        <f ca="1">IFERROR(__xludf.DUMMYFUNCTION("""COMPUTED_VALUE"""),"TECNÓLOGO")</f>
        <v>TECNÓLOGO</v>
      </c>
      <c r="H634" s="40" t="str">
        <f ca="1">IFERROR(__xludf.DUMMYFUNCTION("""COMPUTED_VALUE"""),"PRODUCCIÓN AGROPECUARIA ECOLÓGICA")</f>
        <v>PRODUCCIÓN AGROPECUARIA ECOLÓGICA</v>
      </c>
      <c r="I634" s="40"/>
      <c r="J634" s="40"/>
      <c r="K634" s="40"/>
      <c r="L634" s="40" t="str">
        <f ca="1">IFERROR(__xludf.DUMMYFUNCTION("""COMPUTED_VALUE"""),"CONTRATO DE APRENDIZAJE")</f>
        <v>CONTRATO DE APRENDIZAJE</v>
      </c>
      <c r="M634" s="40" t="str">
        <f ca="1">IFERROR(__xludf.DUMMYFUNCTION("""COMPUTED_VALUE"""),"AGROINSUMOS DEL CAFE S.A ")</f>
        <v xml:space="preserve">AGROINSUMOS DEL CAFE S.A </v>
      </c>
      <c r="N634" s="40" t="str">
        <f ca="1">IFERROR(__xludf.DUMMYFUNCTION("""COMPUTED_VALUE"""),"CALLE 73 N° 8 - 113 TORRE APISO 4 ")</f>
        <v xml:space="preserve">CALLE 73 N° 8 - 113 TORRE APISO 4 </v>
      </c>
      <c r="O634" s="40">
        <f ca="1">IFERROR(__xludf.DUMMYFUNCTION("""COMPUTED_VALUE"""),2100888)</f>
        <v>2100888</v>
      </c>
      <c r="P634" s="40" t="str">
        <f ca="1">IFERROR(__xludf.DUMMYFUNCTION("""COMPUTED_VALUE"""),"PITALITO")</f>
        <v>PITALITO</v>
      </c>
      <c r="Q634" s="40" t="str">
        <f ca="1">IFERROR(__xludf.DUMMYFUNCTION("""COMPUTED_VALUE"""),"angely.diaz@agrocafe.com
")</f>
        <v xml:space="preserve">angely.diaz@agrocafe.com
</v>
      </c>
      <c r="R634" s="140">
        <f ca="1">IFERROR(__xludf.DUMMYFUNCTION("""COMPUTED_VALUE"""),44774)</f>
        <v>44774</v>
      </c>
      <c r="S634" s="140">
        <f ca="1">IFERROR(__xludf.DUMMYFUNCTION("""COMPUTED_VALUE"""),44957)</f>
        <v>44957</v>
      </c>
      <c r="T634" s="40" t="str">
        <f ca="1">IFERROR(__xludf.DUMMYFUNCTION("""COMPUTED_VALUE"""),"Tiene Contrato del Aprendiz, inicial, bitácoras 1 y 2 .... Falta parcial, final, certificacioin y bitácoras  3,4,5,6,7,8,9,10,11 y 12 ... Revisado 02/08/2022")</f>
        <v>Tiene Contrato del Aprendiz, inicial, bitácoras 1 y 2 .... Falta parcial, final, certificacioin y bitácoras  3,4,5,6,7,8,9,10,11 y 12 ... Revisado 02/08/2022</v>
      </c>
      <c r="U634" s="40" t="str">
        <f ca="1">IFERROR(__xludf.DUMMYFUNCTION("""COMPUTED_VALUE"""),"ARELIS CRIOLLO - Asignada - Subió Inicial y bitácoras 1 y 2... 02/09/2022... Revisado 02/09/2022")</f>
        <v>ARELIS CRIOLLO - Asignada - Subió Inicial y bitácoras 1 y 2... 02/09/2022... Revisado 02/09/2022</v>
      </c>
      <c r="V634" s="40" t="str">
        <f ca="1">IFERROR(__xludf.DUMMYFUNCTION("""COMPUTED_VALUE"""),"SI tiene seguimiento 02/09/2022")</f>
        <v>SI tiene seguimiento 02/09/2022</v>
      </c>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t="str">
        <f ca="1">IFERROR(__xludf.DUMMYFUNCTION("""COMPUTED_VALUE"""),"Procede_E_P")</f>
        <v>Procede_E_P</v>
      </c>
      <c r="AV634" s="40" t="str">
        <f ca="1">IFERROR(__xludf.DUMMYFUNCTION("""COMPUTED_VALUE"""),"EN FORMACION")</f>
        <v>EN FORMACION</v>
      </c>
      <c r="AW634" s="40" t="str">
        <f ca="1">IFERROR(__xludf.DUMMYFUNCTION("""COMPUTED_VALUE"""),"AGROPECUARIO")</f>
        <v>AGROPECUARIO</v>
      </c>
      <c r="AX634" s="141">
        <f ca="1">IFERROR(__xludf.DUMMYFUNCTION("""COMPUTED_VALUE"""),44839)</f>
        <v>44839</v>
      </c>
      <c r="AY634" s="40">
        <f ca="1">IFERROR(__xludf.DUMMYFUNCTION("""COMPUTED_VALUE"""),0)</f>
        <v>0</v>
      </c>
      <c r="AZ634" s="40">
        <f ca="1">IFERROR(__xludf.DUMMYFUNCTION("""COMPUTED_VALUE"""),1)</f>
        <v>1</v>
      </c>
      <c r="BA634" s="40">
        <f ca="1">IFERROR(__xludf.DUMMYFUNCTION("""COMPUTED_VALUE"""),0)</f>
        <v>0</v>
      </c>
      <c r="BB634" s="40">
        <f ca="1">IFERROR(__xludf.DUMMYFUNCTION("""COMPUTED_VALUE"""),0)</f>
        <v>0</v>
      </c>
      <c r="BC634" s="40">
        <f ca="1">IFERROR(__xludf.DUMMYFUNCTION("""COMPUTED_VALUE"""),1)</f>
        <v>1</v>
      </c>
      <c r="BD634" s="141">
        <f ca="1">IFERROR(__xludf.DUMMYFUNCTION("""COMPUTED_VALUE"""),44221)</f>
        <v>44221</v>
      </c>
      <c r="BE634" s="141">
        <f ca="1">IFERROR(__xludf.DUMMYFUNCTION("""COMPUTED_VALUE"""),44766)</f>
        <v>44766</v>
      </c>
      <c r="BF634" s="141">
        <f ca="1">IFERROR(__xludf.DUMMYFUNCTION("""COMPUTED_VALUE"""),44950)</f>
        <v>44950</v>
      </c>
      <c r="BG634" s="141">
        <f ca="1">IFERROR(__xludf.DUMMYFUNCTION("""COMPUTED_VALUE"""),45497)</f>
        <v>45497</v>
      </c>
      <c r="BH634" s="40" t="str">
        <f ca="1">IFERROR(__xludf.DUMMYFUNCTION("""COMPUTED_VALUE"""),"FICHA EN TIEMPO-18 MESES")</f>
        <v>FICHA EN TIEMPO-18 MESES</v>
      </c>
      <c r="BI634" s="40" t="str">
        <f ca="1">IFERROR(__xludf.DUMMYFUNCTION("""COMPUTED_VALUE"""),"En ejecucion")</f>
        <v>En ejecucion</v>
      </c>
      <c r="BJ634" s="40" t="str">
        <f ca="1">IFERROR(__xludf.DUMMYFUNCTION("""COMPUTED_VALUE"""),"Yamboro")</f>
        <v>Yamboro</v>
      </c>
      <c r="BK634" s="40"/>
      <c r="BL634" s="40"/>
    </row>
    <row r="635" spans="1:64" ht="13">
      <c r="A635" s="40"/>
      <c r="B635" s="40" t="str">
        <f ca="1">IFERROR(__xludf.DUMMYFUNCTION("""COMPUTED_VALUE"""),"FORMACIÓN 18/10/2022")</f>
        <v>FORMACIÓN 18/10/2022</v>
      </c>
      <c r="C635" s="40" t="str">
        <f ca="1">IFERROR(__xludf.DUMMYFUNCTION("""COMPUTED_VALUE"""),"DARWIN ALEXIS VARGAS QUISABONI")</f>
        <v>DARWIN ALEXIS VARGAS QUISABONI</v>
      </c>
      <c r="D635" s="40" t="str">
        <f ca="1">IFERROR(__xludf.DUMMYFUNCTION("""COMPUTED_VALUE"""),"CC")</f>
        <v>CC</v>
      </c>
      <c r="E635" s="40">
        <f ca="1">IFERROR(__xludf.DUMMYFUNCTION("""COMPUTED_VALUE"""),26428939)</f>
        <v>26428939</v>
      </c>
      <c r="F635" s="40">
        <f ca="1">IFERROR(__xludf.DUMMYFUNCTION("""COMPUTED_VALUE"""),2236073)</f>
        <v>2236073</v>
      </c>
      <c r="G635" s="40" t="str">
        <f ca="1">IFERROR(__xludf.DUMMYFUNCTION("""COMPUTED_VALUE"""),"TECNÓLOGO")</f>
        <v>TECNÓLOGO</v>
      </c>
      <c r="H635" s="40" t="str">
        <f ca="1">IFERROR(__xludf.DUMMYFUNCTION("""COMPUTED_VALUE"""),"PRODUCCIÓN AGROPECUARIA ECOLÓGICA")</f>
        <v>PRODUCCIÓN AGROPECUARIA ECOLÓGICA</v>
      </c>
      <c r="I635" s="40">
        <f ca="1">IFERROR(__xludf.DUMMYFUNCTION("""COMPUTED_VALUE"""),3204419565)</f>
        <v>3204419565</v>
      </c>
      <c r="J635" s="40" t="str">
        <f ca="1">IFERROR(__xludf.DUMMYFUNCTION("""COMPUTED_VALUE"""),"vargasdarwin468@gmail.com")</f>
        <v>vargasdarwin468@gmail.com</v>
      </c>
      <c r="K635" s="40"/>
      <c r="L635" s="40" t="str">
        <f ca="1">IFERROR(__xludf.DUMMYFUNCTION("""COMPUTED_VALUE"""),"CONTRATO DE APRENDIZAJE")</f>
        <v>CONTRATO DE APRENDIZAJE</v>
      </c>
      <c r="M635" s="40" t="str">
        <f ca="1">IFERROR(__xludf.DUMMYFUNCTION("""COMPUTED_VALUE"""),"MANUCHAR COLOMBIA CIA S A S")</f>
        <v>MANUCHAR COLOMBIA CIA S A S</v>
      </c>
      <c r="N635" s="40" t="str">
        <f ca="1">IFERROR(__xludf.DUMMYFUNCTION("""COMPUTED_VALUE"""),"KM 3.3 VIA FUNZA SIBERIA PARQUE EMPRESARIAL
SANTA LUCIA BODEGA 9 A")</f>
        <v>KM 3.3 VIA FUNZA SIBERIA PARQUE EMPRESARIAL
SANTA LUCIA BODEGA 9 A</v>
      </c>
      <c r="O635" s="40">
        <f ca="1">IFERROR(__xludf.DUMMYFUNCTION("""COMPUTED_VALUE"""),3124822041)</f>
        <v>3124822041</v>
      </c>
      <c r="P635" s="40"/>
      <c r="Q635" s="40"/>
      <c r="R635" s="140">
        <f ca="1">IFERROR(__xludf.DUMMYFUNCTION("""COMPUTED_VALUE"""),44749)</f>
        <v>44749</v>
      </c>
      <c r="S635" s="140">
        <f ca="1">IFERROR(__xludf.DUMMYFUNCTION("""COMPUTED_VALUE"""),44950)</f>
        <v>44950</v>
      </c>
      <c r="T635" s="40" t="str">
        <f ca="1">IFERROR(__xludf.DUMMYFUNCTION("""COMPUTED_VALUE"""),"Tiene contrato de aprendizaje, inicial, bitácoras 1 y 2.. Falta parcial, final, certificación y bitácoras 3,4,5,6,7,8,9,10,11 y 12 ... Revisado 02/09/2022")</f>
        <v>Tiene contrato de aprendizaje, inicial, bitácoras 1 y 2.. Falta parcial, final, certificación y bitácoras 3,4,5,6,7,8,9,10,11 y 12 ... Revisado 02/09/2022</v>
      </c>
      <c r="U635" s="40" t="str">
        <f ca="1">IFERROR(__xludf.DUMMYFUNCTION("""COMPUTED_VALUE"""),"ARELIS CRIOLLO - Asignada - Subió Inicial y bitácoras 1 y 2... 02/09/2022... Revisado 02/09/2022")</f>
        <v>ARELIS CRIOLLO - Asignada - Subió Inicial y bitácoras 1 y 2... 02/09/2022... Revisado 02/09/2022</v>
      </c>
      <c r="V635" s="40" t="str">
        <f ca="1">IFERROR(__xludf.DUMMYFUNCTION("""COMPUTED_VALUE"""),"SI tiene seguimiento... Revisado 02/09/2022")</f>
        <v>SI tiene seguimiento... Revisado 02/09/2022</v>
      </c>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t="str">
        <f ca="1">IFERROR(__xludf.DUMMYFUNCTION("""COMPUTED_VALUE"""),"Procede_E_P")</f>
        <v>Procede_E_P</v>
      </c>
      <c r="AV635" s="40" t="str">
        <f ca="1">IFERROR(__xludf.DUMMYFUNCTION("""COMPUTED_VALUE"""),"EN FORMACION")</f>
        <v>EN FORMACION</v>
      </c>
      <c r="AW635" s="40" t="str">
        <f ca="1">IFERROR(__xludf.DUMMYFUNCTION("""COMPUTED_VALUE"""),"AGROPECUARIO")</f>
        <v>AGROPECUARIO</v>
      </c>
      <c r="AX635" s="141">
        <f ca="1">IFERROR(__xludf.DUMMYFUNCTION("""COMPUTED_VALUE"""),44839)</f>
        <v>44839</v>
      </c>
      <c r="AY635" s="40">
        <f ca="1">IFERROR(__xludf.DUMMYFUNCTION("""COMPUTED_VALUE"""),0)</f>
        <v>0</v>
      </c>
      <c r="AZ635" s="40">
        <f ca="1">IFERROR(__xludf.DUMMYFUNCTION("""COMPUTED_VALUE"""),1)</f>
        <v>1</v>
      </c>
      <c r="BA635" s="40">
        <f ca="1">IFERROR(__xludf.DUMMYFUNCTION("""COMPUTED_VALUE"""),0)</f>
        <v>0</v>
      </c>
      <c r="BB635" s="40">
        <f ca="1">IFERROR(__xludf.DUMMYFUNCTION("""COMPUTED_VALUE"""),0)</f>
        <v>0</v>
      </c>
      <c r="BC635" s="40">
        <f ca="1">IFERROR(__xludf.DUMMYFUNCTION("""COMPUTED_VALUE"""),1)</f>
        <v>1</v>
      </c>
      <c r="BD635" s="141">
        <f ca="1">IFERROR(__xludf.DUMMYFUNCTION("""COMPUTED_VALUE"""),44221)</f>
        <v>44221</v>
      </c>
      <c r="BE635" s="141">
        <f ca="1">IFERROR(__xludf.DUMMYFUNCTION("""COMPUTED_VALUE"""),44766)</f>
        <v>44766</v>
      </c>
      <c r="BF635" s="141">
        <f ca="1">IFERROR(__xludf.DUMMYFUNCTION("""COMPUTED_VALUE"""),44950)</f>
        <v>44950</v>
      </c>
      <c r="BG635" s="141">
        <f ca="1">IFERROR(__xludf.DUMMYFUNCTION("""COMPUTED_VALUE"""),45497)</f>
        <v>45497</v>
      </c>
      <c r="BH635" s="40" t="str">
        <f ca="1">IFERROR(__xludf.DUMMYFUNCTION("""COMPUTED_VALUE"""),"FICHA EN TIEMPO-18 MESES")</f>
        <v>FICHA EN TIEMPO-18 MESES</v>
      </c>
      <c r="BI635" s="40" t="str">
        <f ca="1">IFERROR(__xludf.DUMMYFUNCTION("""COMPUTED_VALUE"""),"En ejecucion")</f>
        <v>En ejecucion</v>
      </c>
      <c r="BJ635" s="40" t="str">
        <f ca="1">IFERROR(__xludf.DUMMYFUNCTION("""COMPUTED_VALUE"""),"Yamboro")</f>
        <v>Yamboro</v>
      </c>
      <c r="BK635" s="40"/>
      <c r="BL635" s="40"/>
    </row>
    <row r="636" spans="1:64" ht="13">
      <c r="A636" s="40"/>
      <c r="B636" s="40" t="str">
        <f ca="1">IFERROR(__xludf.DUMMYFUNCTION("""COMPUTED_VALUE"""),"FORMACIÓN 18/10/2022")</f>
        <v>FORMACIÓN 18/10/2022</v>
      </c>
      <c r="C636" s="40" t="str">
        <f ca="1">IFERROR(__xludf.DUMMYFUNCTION("""COMPUTED_VALUE"""),"CARLA GUTIERREZ ALVARADO")</f>
        <v>CARLA GUTIERREZ ALVARADO</v>
      </c>
      <c r="D636" s="40" t="str">
        <f ca="1">IFERROR(__xludf.DUMMYFUNCTION("""COMPUTED_VALUE"""),"CC")</f>
        <v>CC</v>
      </c>
      <c r="E636" s="40">
        <f ca="1">IFERROR(__xludf.DUMMYFUNCTION("""COMPUTED_VALUE"""),26428939)</f>
        <v>26428939</v>
      </c>
      <c r="F636" s="40">
        <f ca="1">IFERROR(__xludf.DUMMYFUNCTION("""COMPUTED_VALUE"""),2236073)</f>
        <v>2236073</v>
      </c>
      <c r="G636" s="40" t="str">
        <f ca="1">IFERROR(__xludf.DUMMYFUNCTION("""COMPUTED_VALUE"""),"TECNÓLOGO")</f>
        <v>TECNÓLOGO</v>
      </c>
      <c r="H636" s="40" t="str">
        <f ca="1">IFERROR(__xludf.DUMMYFUNCTION("""COMPUTED_VALUE"""),"PRODUCCIÓN AGROPECUARIA ECOLÓGICA")</f>
        <v>PRODUCCIÓN AGROPECUARIA ECOLÓGICA</v>
      </c>
      <c r="I636" s="40">
        <f ca="1">IFERROR(__xludf.DUMMYFUNCTION("""COMPUTED_VALUE"""),3133011543)</f>
        <v>3133011543</v>
      </c>
      <c r="J636" s="40" t="str">
        <f ca="1">IFERROR(__xludf.DUMMYFUNCTION("""COMPUTED_VALUE"""),"kg6198680@gmail.com")</f>
        <v>kg6198680@gmail.com</v>
      </c>
      <c r="K636" s="40"/>
      <c r="L636" s="40" t="str">
        <f ca="1">IFERROR(__xludf.DUMMYFUNCTION("""COMPUTED_VALUE"""),"PASANTÍAS")</f>
        <v>PASANTÍAS</v>
      </c>
      <c r="M636" s="40" t="str">
        <f ca="1">IFERROR(__xludf.DUMMYFUNCTION("""COMPUTED_VALUE"""),"CENTRO DE GESTIÓN Y DESARROLLO SOSTENIBLE SUR COLOMBIANO SENA ")</f>
        <v xml:space="preserve">CENTRO DE GESTIÓN Y DESARROLLO SOSTENIBLE SUR COLOMBIANO SENA </v>
      </c>
      <c r="N636" s="40"/>
      <c r="O636" s="40">
        <f ca="1">IFERROR(__xludf.DUMMYFUNCTION("""COMPUTED_VALUE"""),3217388487)</f>
        <v>3217388487</v>
      </c>
      <c r="P636" s="40"/>
      <c r="Q636" s="40" t="str">
        <f ca="1">IFERROR(__xludf.DUMMYFUNCTION("""COMPUTED_VALUE"""),"apinzonp@sena.edu.co")</f>
        <v>apinzonp@sena.edu.co</v>
      </c>
      <c r="R636" s="140">
        <f ca="1">IFERROR(__xludf.DUMMYFUNCTION("""COMPUTED_VALUE"""),44774)</f>
        <v>44774</v>
      </c>
      <c r="S636" s="140">
        <f ca="1">IFERROR(__xludf.DUMMYFUNCTION("""COMPUTED_VALUE"""),44958)</f>
        <v>44958</v>
      </c>
      <c r="T636" s="40" t="str">
        <f ca="1">IFERROR(__xludf.DUMMYFUNCTION("""COMPUTED_VALUE"""),"Tiene Acuerdo de Voluntades, Inicial.... Falta parcial, final, certificación y bitácoras 1,2,3,4,5,6,7,8,9,10,11 y 12 ... Revisado 26/08/2022")</f>
        <v>Tiene Acuerdo de Voluntades, Inicial.... Falta parcial, final, certificación y bitácoras 1,2,3,4,5,6,7,8,9,10,11 y 12 ... Revisado 26/08/2022</v>
      </c>
      <c r="U636" s="40" t="str">
        <f ca="1">IFERROR(__xludf.DUMMYFUNCTION("""COMPUTED_VALUE"""),"Walter Robinson Herrera Peña - Asignado - Subió Inicial... Revisado 26/08/2022")</f>
        <v>Walter Robinson Herrera Peña - Asignado - Subió Inicial... Revisado 26/08/2022</v>
      </c>
      <c r="V636" s="40" t="str">
        <f ca="1">IFERROR(__xludf.DUMMYFUNCTION("""COMPUTED_VALUE"""),"SI tiene seguimiento... Revisado 26/08/2022")</f>
        <v>SI tiene seguimiento... Revisado 26/08/2022</v>
      </c>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t="str">
        <f ca="1">IFERROR(__xludf.DUMMYFUNCTION("""COMPUTED_VALUE"""),"Procede_E_P")</f>
        <v>Procede_E_P</v>
      </c>
      <c r="AV636" s="40" t="str">
        <f ca="1">IFERROR(__xludf.DUMMYFUNCTION("""COMPUTED_VALUE"""),"EN FORMACION")</f>
        <v>EN FORMACION</v>
      </c>
      <c r="AW636" s="40" t="str">
        <f ca="1">IFERROR(__xludf.DUMMYFUNCTION("""COMPUTED_VALUE"""),"AGROPECUARIO")</f>
        <v>AGROPECUARIO</v>
      </c>
      <c r="AX636" s="141">
        <f ca="1">IFERROR(__xludf.DUMMYFUNCTION("""COMPUTED_VALUE"""),44839)</f>
        <v>44839</v>
      </c>
      <c r="AY636" s="40">
        <f ca="1">IFERROR(__xludf.DUMMYFUNCTION("""COMPUTED_VALUE"""),0)</f>
        <v>0</v>
      </c>
      <c r="AZ636" s="40">
        <f ca="1">IFERROR(__xludf.DUMMYFUNCTION("""COMPUTED_VALUE"""),1)</f>
        <v>1</v>
      </c>
      <c r="BA636" s="40">
        <f ca="1">IFERROR(__xludf.DUMMYFUNCTION("""COMPUTED_VALUE"""),0)</f>
        <v>0</v>
      </c>
      <c r="BB636" s="40">
        <f ca="1">IFERROR(__xludf.DUMMYFUNCTION("""COMPUTED_VALUE"""),0)</f>
        <v>0</v>
      </c>
      <c r="BC636" s="40">
        <f ca="1">IFERROR(__xludf.DUMMYFUNCTION("""COMPUTED_VALUE"""),1)</f>
        <v>1</v>
      </c>
      <c r="BD636" s="141">
        <f ca="1">IFERROR(__xludf.DUMMYFUNCTION("""COMPUTED_VALUE"""),44221)</f>
        <v>44221</v>
      </c>
      <c r="BE636" s="141">
        <f ca="1">IFERROR(__xludf.DUMMYFUNCTION("""COMPUTED_VALUE"""),44766)</f>
        <v>44766</v>
      </c>
      <c r="BF636" s="141">
        <f ca="1">IFERROR(__xludf.DUMMYFUNCTION("""COMPUTED_VALUE"""),44950)</f>
        <v>44950</v>
      </c>
      <c r="BG636" s="141">
        <f ca="1">IFERROR(__xludf.DUMMYFUNCTION("""COMPUTED_VALUE"""),45497)</f>
        <v>45497</v>
      </c>
      <c r="BH636" s="40" t="str">
        <f ca="1">IFERROR(__xludf.DUMMYFUNCTION("""COMPUTED_VALUE"""),"FICHA EN TIEMPO-18 MESES")</f>
        <v>FICHA EN TIEMPO-18 MESES</v>
      </c>
      <c r="BI636" s="40" t="str">
        <f ca="1">IFERROR(__xludf.DUMMYFUNCTION("""COMPUTED_VALUE"""),"En ejecucion")</f>
        <v>En ejecucion</v>
      </c>
      <c r="BJ636" s="40" t="str">
        <f ca="1">IFERROR(__xludf.DUMMYFUNCTION("""COMPUTED_VALUE"""),"Yamboro")</f>
        <v>Yamboro</v>
      </c>
      <c r="BK636" s="40"/>
      <c r="BL636" s="40"/>
    </row>
    <row r="637" spans="1:64" ht="13">
      <c r="A637" s="40"/>
      <c r="B637" s="40" t="str">
        <f ca="1">IFERROR(__xludf.DUMMYFUNCTION("""COMPUTED_VALUE"""),"FORMACIÓN 18/10/2022")</f>
        <v>FORMACIÓN 18/10/2022</v>
      </c>
      <c r="C637" s="40" t="str">
        <f ca="1">IFERROR(__xludf.DUMMYFUNCTION("""COMPUTED_VALUE"""),"SANDRA CUCHIMBA STERLING")</f>
        <v>SANDRA CUCHIMBA STERLING</v>
      </c>
      <c r="D637" s="40" t="str">
        <f ca="1">IFERROR(__xludf.DUMMYFUNCTION("""COMPUTED_VALUE"""),"CC")</f>
        <v>CC</v>
      </c>
      <c r="E637" s="40">
        <f ca="1">IFERROR(__xludf.DUMMYFUNCTION("""COMPUTED_VALUE"""),26428939)</f>
        <v>26428939</v>
      </c>
      <c r="F637" s="40">
        <f ca="1">IFERROR(__xludf.DUMMYFUNCTION("""COMPUTED_VALUE"""),2236073)</f>
        <v>2236073</v>
      </c>
      <c r="G637" s="40" t="str">
        <f ca="1">IFERROR(__xludf.DUMMYFUNCTION("""COMPUTED_VALUE"""),"TECNÓLOGO")</f>
        <v>TECNÓLOGO</v>
      </c>
      <c r="H637" s="40" t="str">
        <f ca="1">IFERROR(__xludf.DUMMYFUNCTION("""COMPUTED_VALUE"""),"PRODUCCIÓN AGROPECUARIA ECOLÓGICA")</f>
        <v>PRODUCCIÓN AGROPECUARIA ECOLÓGICA</v>
      </c>
      <c r="I637" s="40">
        <f ca="1">IFERROR(__xludf.DUMMYFUNCTION("""COMPUTED_VALUE"""),3212962534)</f>
        <v>3212962534</v>
      </c>
      <c r="J637" s="40" t="str">
        <f ca="1">IFERROR(__xludf.DUMMYFUNCTION("""COMPUTED_VALUE"""),"sandracuchimba2001@gmail.com")</f>
        <v>sandracuchimba2001@gmail.com</v>
      </c>
      <c r="K637" s="40"/>
      <c r="L637" s="40" t="str">
        <f ca="1">IFERROR(__xludf.DUMMYFUNCTION("""COMPUTED_VALUE"""),"PASANTÍAS")</f>
        <v>PASANTÍAS</v>
      </c>
      <c r="M637" s="40" t="str">
        <f ca="1">IFERROR(__xludf.DUMMYFUNCTION("""COMPUTED_VALUE"""),"CENTRO DE GESTIÓN Y DESARROLLO SOSTENIBLE SUR COLOMBIANO SENA ")</f>
        <v xml:space="preserve">CENTRO DE GESTIÓN Y DESARROLLO SOSTENIBLE SUR COLOMBIANO SENA </v>
      </c>
      <c r="N637" s="40" t="str">
        <f ca="1">IFERROR(__xludf.DUMMYFUNCTION("""COMPUTED_VALUE"""),"PITALITO")</f>
        <v>PITALITO</v>
      </c>
      <c r="O637" s="40">
        <f ca="1">IFERROR(__xludf.DUMMYFUNCTION("""COMPUTED_VALUE"""),3217388487)</f>
        <v>3217388487</v>
      </c>
      <c r="P637" s="40"/>
      <c r="Q637" s="40" t="str">
        <f ca="1">IFERROR(__xludf.DUMMYFUNCTION("""COMPUTED_VALUE"""),"apinzonp@sena.edu.co")</f>
        <v>apinzonp@sena.edu.co</v>
      </c>
      <c r="R637" s="140">
        <f ca="1">IFERROR(__xludf.DUMMYFUNCTION("""COMPUTED_VALUE"""),44774)</f>
        <v>44774</v>
      </c>
      <c r="S637" s="140">
        <f ca="1">IFERROR(__xludf.DUMMYFUNCTION("""COMPUTED_VALUE"""),44958)</f>
        <v>44958</v>
      </c>
      <c r="T637" s="40" t="str">
        <f ca="1">IFERROR(__xludf.DUMMYFUNCTION("""COMPUTED_VALUE"""),"Tiene Acuerdo de Voluntades, Inicial.... Falta parcial, final, certificación y bitácoras 1,2,3,4,5,6,7,8,9,10,11 y 12 ... Revisado 26/08/2022")</f>
        <v>Tiene Acuerdo de Voluntades, Inicial.... Falta parcial, final, certificación y bitácoras 1,2,3,4,5,6,7,8,9,10,11 y 12 ... Revisado 26/08/2022</v>
      </c>
      <c r="U637" s="40" t="str">
        <f ca="1">IFERROR(__xludf.DUMMYFUNCTION("""COMPUTED_VALUE"""),"Walter Robinson Herrera Peña - Asignado - Subió Inicial... Revisado 26/08/2022")</f>
        <v>Walter Robinson Herrera Peña - Asignado - Subió Inicial... Revisado 26/08/2022</v>
      </c>
      <c r="V637" s="40" t="str">
        <f ca="1">IFERROR(__xludf.DUMMYFUNCTION("""COMPUTED_VALUE"""),"SI tiene seguimiento... Revisado 26/08/2022")</f>
        <v>SI tiene seguimiento... Revisado 26/08/2022</v>
      </c>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t="str">
        <f ca="1">IFERROR(__xludf.DUMMYFUNCTION("""COMPUTED_VALUE"""),"Procede_E_P")</f>
        <v>Procede_E_P</v>
      </c>
      <c r="AV637" s="40" t="str">
        <f ca="1">IFERROR(__xludf.DUMMYFUNCTION("""COMPUTED_VALUE"""),"EN FORMACION")</f>
        <v>EN FORMACION</v>
      </c>
      <c r="AW637" s="40" t="str">
        <f ca="1">IFERROR(__xludf.DUMMYFUNCTION("""COMPUTED_VALUE"""),"AGROPECUARIO")</f>
        <v>AGROPECUARIO</v>
      </c>
      <c r="AX637" s="141">
        <f ca="1">IFERROR(__xludf.DUMMYFUNCTION("""COMPUTED_VALUE"""),44839)</f>
        <v>44839</v>
      </c>
      <c r="AY637" s="40">
        <f ca="1">IFERROR(__xludf.DUMMYFUNCTION("""COMPUTED_VALUE"""),0)</f>
        <v>0</v>
      </c>
      <c r="AZ637" s="40">
        <f ca="1">IFERROR(__xludf.DUMMYFUNCTION("""COMPUTED_VALUE"""),1)</f>
        <v>1</v>
      </c>
      <c r="BA637" s="40">
        <f ca="1">IFERROR(__xludf.DUMMYFUNCTION("""COMPUTED_VALUE"""),0)</f>
        <v>0</v>
      </c>
      <c r="BB637" s="40">
        <f ca="1">IFERROR(__xludf.DUMMYFUNCTION("""COMPUTED_VALUE"""),0)</f>
        <v>0</v>
      </c>
      <c r="BC637" s="40">
        <f ca="1">IFERROR(__xludf.DUMMYFUNCTION("""COMPUTED_VALUE"""),1)</f>
        <v>1</v>
      </c>
      <c r="BD637" s="141">
        <f ca="1">IFERROR(__xludf.DUMMYFUNCTION("""COMPUTED_VALUE"""),44221)</f>
        <v>44221</v>
      </c>
      <c r="BE637" s="141">
        <f ca="1">IFERROR(__xludf.DUMMYFUNCTION("""COMPUTED_VALUE"""),44766)</f>
        <v>44766</v>
      </c>
      <c r="BF637" s="141">
        <f ca="1">IFERROR(__xludf.DUMMYFUNCTION("""COMPUTED_VALUE"""),44950)</f>
        <v>44950</v>
      </c>
      <c r="BG637" s="141">
        <f ca="1">IFERROR(__xludf.DUMMYFUNCTION("""COMPUTED_VALUE"""),45497)</f>
        <v>45497</v>
      </c>
      <c r="BH637" s="40" t="str">
        <f ca="1">IFERROR(__xludf.DUMMYFUNCTION("""COMPUTED_VALUE"""),"FICHA EN TIEMPO-18 MESES")</f>
        <v>FICHA EN TIEMPO-18 MESES</v>
      </c>
      <c r="BI637" s="40" t="str">
        <f ca="1">IFERROR(__xludf.DUMMYFUNCTION("""COMPUTED_VALUE"""),"En ejecucion")</f>
        <v>En ejecucion</v>
      </c>
      <c r="BJ637" s="40" t="str">
        <f ca="1">IFERROR(__xludf.DUMMYFUNCTION("""COMPUTED_VALUE"""),"Yamboro")</f>
        <v>Yamboro</v>
      </c>
      <c r="BK637" s="40"/>
      <c r="BL637" s="40"/>
    </row>
    <row r="638" spans="1:64" ht="13">
      <c r="A638" s="40"/>
      <c r="B638" s="40" t="str">
        <f ca="1">IFERROR(__xludf.DUMMYFUNCTION("""COMPUTED_VALUE"""),"FORMACIÓN 18/10/2022")</f>
        <v>FORMACIÓN 18/10/2022</v>
      </c>
      <c r="C638" s="40" t="str">
        <f ca="1">IFERROR(__xludf.DUMMYFUNCTION("""COMPUTED_VALUE"""),"JAVIER ORLANDO ALZAMORA BRAVO")</f>
        <v>JAVIER ORLANDO ALZAMORA BRAVO</v>
      </c>
      <c r="D638" s="40" t="str">
        <f ca="1">IFERROR(__xludf.DUMMYFUNCTION("""COMPUTED_VALUE"""),"CC")</f>
        <v>CC</v>
      </c>
      <c r="E638" s="40">
        <f ca="1">IFERROR(__xludf.DUMMYFUNCTION("""COMPUTED_VALUE"""),26428939)</f>
        <v>26428939</v>
      </c>
      <c r="F638" s="40">
        <f ca="1">IFERROR(__xludf.DUMMYFUNCTION("""COMPUTED_VALUE"""),2236073)</f>
        <v>2236073</v>
      </c>
      <c r="G638" s="40" t="str">
        <f ca="1">IFERROR(__xludf.DUMMYFUNCTION("""COMPUTED_VALUE"""),"TECNÓLOGO")</f>
        <v>TECNÓLOGO</v>
      </c>
      <c r="H638" s="40" t="str">
        <f ca="1">IFERROR(__xludf.DUMMYFUNCTION("""COMPUTED_VALUE"""),"PRODUCCIÓN AGROPECUARIA ECOLÓGICA")</f>
        <v>PRODUCCIÓN AGROPECUARIA ECOLÓGICA</v>
      </c>
      <c r="I638" s="40"/>
      <c r="J638" s="40"/>
      <c r="K638" s="40"/>
      <c r="L638" s="40" t="str">
        <f ca="1">IFERROR(__xludf.DUMMYFUNCTION("""COMPUTED_VALUE"""),"NO HA INICIADO ETAPA PRODUCTIVA")</f>
        <v>NO HA INICIADO ETAPA PRODUCTIVA</v>
      </c>
      <c r="M638" s="40"/>
      <c r="N638" s="40"/>
      <c r="O638" s="40"/>
      <c r="P638" s="40"/>
      <c r="Q638" s="40"/>
      <c r="R638" s="140"/>
      <c r="S638" s="140"/>
      <c r="T638" s="40"/>
      <c r="U638" s="40" t="str">
        <f ca="1">IFERROR(__xludf.DUMMYFUNCTION("""COMPUTED_VALUE"""),"Walter Robinson Herrera Peña -")</f>
        <v>Walter Robinson Herrera Peña -</v>
      </c>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t="str">
        <f ca="1">IFERROR(__xludf.DUMMYFUNCTION("""COMPUTED_VALUE"""),"Procede_E_P")</f>
        <v>Procede_E_P</v>
      </c>
      <c r="AV638" s="40" t="str">
        <f ca="1">IFERROR(__xludf.DUMMYFUNCTION("""COMPUTED_VALUE"""),"EN FORMACION")</f>
        <v>EN FORMACION</v>
      </c>
      <c r="AW638" s="40" t="str">
        <f ca="1">IFERROR(__xludf.DUMMYFUNCTION("""COMPUTED_VALUE"""),"AGROPECUARIO")</f>
        <v>AGROPECUARIO</v>
      </c>
      <c r="AX638" s="141">
        <f ca="1">IFERROR(__xludf.DUMMYFUNCTION("""COMPUTED_VALUE"""),44839)</f>
        <v>44839</v>
      </c>
      <c r="AY638" s="40">
        <f ca="1">IFERROR(__xludf.DUMMYFUNCTION("""COMPUTED_VALUE"""),0)</f>
        <v>0</v>
      </c>
      <c r="AZ638" s="40">
        <f ca="1">IFERROR(__xludf.DUMMYFUNCTION("""COMPUTED_VALUE"""),1)</f>
        <v>1</v>
      </c>
      <c r="BA638" s="40">
        <f ca="1">IFERROR(__xludf.DUMMYFUNCTION("""COMPUTED_VALUE"""),0)</f>
        <v>0</v>
      </c>
      <c r="BB638" s="40">
        <f ca="1">IFERROR(__xludf.DUMMYFUNCTION("""COMPUTED_VALUE"""),0)</f>
        <v>0</v>
      </c>
      <c r="BC638" s="40">
        <f ca="1">IFERROR(__xludf.DUMMYFUNCTION("""COMPUTED_VALUE"""),1)</f>
        <v>1</v>
      </c>
      <c r="BD638" s="141">
        <f ca="1">IFERROR(__xludf.DUMMYFUNCTION("""COMPUTED_VALUE"""),44221)</f>
        <v>44221</v>
      </c>
      <c r="BE638" s="141">
        <f ca="1">IFERROR(__xludf.DUMMYFUNCTION("""COMPUTED_VALUE"""),44766)</f>
        <v>44766</v>
      </c>
      <c r="BF638" s="141">
        <f ca="1">IFERROR(__xludf.DUMMYFUNCTION("""COMPUTED_VALUE"""),44950)</f>
        <v>44950</v>
      </c>
      <c r="BG638" s="141">
        <f ca="1">IFERROR(__xludf.DUMMYFUNCTION("""COMPUTED_VALUE"""),45497)</f>
        <v>45497</v>
      </c>
      <c r="BH638" s="40" t="str">
        <f ca="1">IFERROR(__xludf.DUMMYFUNCTION("""COMPUTED_VALUE"""),"FICHA EN TIEMPO-18 MESES")</f>
        <v>FICHA EN TIEMPO-18 MESES</v>
      </c>
      <c r="BI638" s="40" t="str">
        <f ca="1">IFERROR(__xludf.DUMMYFUNCTION("""COMPUTED_VALUE"""),"En ejecucion")</f>
        <v>En ejecucion</v>
      </c>
      <c r="BJ638" s="40" t="str">
        <f ca="1">IFERROR(__xludf.DUMMYFUNCTION("""COMPUTED_VALUE"""),"Yamboro")</f>
        <v>Yamboro</v>
      </c>
      <c r="BK638" s="40"/>
      <c r="BL638" s="40"/>
    </row>
    <row r="639" spans="1:64" ht="13">
      <c r="A639" s="40"/>
      <c r="B639" s="40" t="str">
        <f ca="1">IFERROR(__xludf.DUMMYFUNCTION("""COMPUTED_VALUE"""),"FORMACIÓN 18/10/2022")</f>
        <v>FORMACIÓN 18/10/2022</v>
      </c>
      <c r="C639" s="40" t="str">
        <f ca="1">IFERROR(__xludf.DUMMYFUNCTION("""COMPUTED_VALUE"""),"CARLOS ALBERTO VALENZUELA CASTRO")</f>
        <v>CARLOS ALBERTO VALENZUELA CASTRO</v>
      </c>
      <c r="D639" s="40" t="str">
        <f ca="1">IFERROR(__xludf.DUMMYFUNCTION("""COMPUTED_VALUE"""),"CC")</f>
        <v>CC</v>
      </c>
      <c r="E639" s="40">
        <f ca="1">IFERROR(__xludf.DUMMYFUNCTION("""COMPUTED_VALUE"""),26428939)</f>
        <v>26428939</v>
      </c>
      <c r="F639" s="40">
        <f ca="1">IFERROR(__xludf.DUMMYFUNCTION("""COMPUTED_VALUE"""),2236073)</f>
        <v>2236073</v>
      </c>
      <c r="G639" s="40" t="str">
        <f ca="1">IFERROR(__xludf.DUMMYFUNCTION("""COMPUTED_VALUE"""),"TECNÓLOGO")</f>
        <v>TECNÓLOGO</v>
      </c>
      <c r="H639" s="40" t="str">
        <f ca="1">IFERROR(__xludf.DUMMYFUNCTION("""COMPUTED_VALUE"""),"PRODUCCIÓN AGROPECUARIA ECOLÓGICA")</f>
        <v>PRODUCCIÓN AGROPECUARIA ECOLÓGICA</v>
      </c>
      <c r="I639" s="40"/>
      <c r="J639" s="40"/>
      <c r="K639" s="40"/>
      <c r="L639" s="40" t="str">
        <f ca="1">IFERROR(__xludf.DUMMYFUNCTION("""COMPUTED_VALUE"""),"NO HA INICIADO ETAPA PRODUCTIVA")</f>
        <v>NO HA INICIADO ETAPA PRODUCTIVA</v>
      </c>
      <c r="M639" s="40"/>
      <c r="N639" s="40"/>
      <c r="O639" s="40"/>
      <c r="P639" s="40"/>
      <c r="Q639" s="40"/>
      <c r="R639" s="140"/>
      <c r="S639" s="140"/>
      <c r="T639" s="40"/>
      <c r="U639" s="40" t="str">
        <f ca="1">IFERROR(__xludf.DUMMYFUNCTION("""COMPUTED_VALUE"""),"ARELIS CRIOLLO - Asignada ")</f>
        <v xml:space="preserve">ARELIS CRIOLLO - Asignada </v>
      </c>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t="str">
        <f ca="1">IFERROR(__xludf.DUMMYFUNCTION("""COMPUTED_VALUE"""),"Procede_E_P")</f>
        <v>Procede_E_P</v>
      </c>
      <c r="AV639" s="40" t="str">
        <f ca="1">IFERROR(__xludf.DUMMYFUNCTION("""COMPUTED_VALUE"""),"EN FORMACION")</f>
        <v>EN FORMACION</v>
      </c>
      <c r="AW639" s="40" t="str">
        <f ca="1">IFERROR(__xludf.DUMMYFUNCTION("""COMPUTED_VALUE"""),"AGROPECUARIO")</f>
        <v>AGROPECUARIO</v>
      </c>
      <c r="AX639" s="141">
        <f ca="1">IFERROR(__xludf.DUMMYFUNCTION("""COMPUTED_VALUE"""),44839)</f>
        <v>44839</v>
      </c>
      <c r="AY639" s="40">
        <f ca="1">IFERROR(__xludf.DUMMYFUNCTION("""COMPUTED_VALUE"""),0)</f>
        <v>0</v>
      </c>
      <c r="AZ639" s="40">
        <f ca="1">IFERROR(__xludf.DUMMYFUNCTION("""COMPUTED_VALUE"""),1)</f>
        <v>1</v>
      </c>
      <c r="BA639" s="40">
        <f ca="1">IFERROR(__xludf.DUMMYFUNCTION("""COMPUTED_VALUE"""),0)</f>
        <v>0</v>
      </c>
      <c r="BB639" s="40">
        <f ca="1">IFERROR(__xludf.DUMMYFUNCTION("""COMPUTED_VALUE"""),0)</f>
        <v>0</v>
      </c>
      <c r="BC639" s="40">
        <f ca="1">IFERROR(__xludf.DUMMYFUNCTION("""COMPUTED_VALUE"""),1)</f>
        <v>1</v>
      </c>
      <c r="BD639" s="141">
        <f ca="1">IFERROR(__xludf.DUMMYFUNCTION("""COMPUTED_VALUE"""),44221)</f>
        <v>44221</v>
      </c>
      <c r="BE639" s="141">
        <f ca="1">IFERROR(__xludf.DUMMYFUNCTION("""COMPUTED_VALUE"""),44766)</f>
        <v>44766</v>
      </c>
      <c r="BF639" s="141">
        <f ca="1">IFERROR(__xludf.DUMMYFUNCTION("""COMPUTED_VALUE"""),44950)</f>
        <v>44950</v>
      </c>
      <c r="BG639" s="141">
        <f ca="1">IFERROR(__xludf.DUMMYFUNCTION("""COMPUTED_VALUE"""),45497)</f>
        <v>45497</v>
      </c>
      <c r="BH639" s="40" t="str">
        <f ca="1">IFERROR(__xludf.DUMMYFUNCTION("""COMPUTED_VALUE"""),"FICHA EN TIEMPO-18 MESES")</f>
        <v>FICHA EN TIEMPO-18 MESES</v>
      </c>
      <c r="BI639" s="40" t="str">
        <f ca="1">IFERROR(__xludf.DUMMYFUNCTION("""COMPUTED_VALUE"""),"En ejecucion")</f>
        <v>En ejecucion</v>
      </c>
      <c r="BJ639" s="40" t="str">
        <f ca="1">IFERROR(__xludf.DUMMYFUNCTION("""COMPUTED_VALUE"""),"Yamboro")</f>
        <v>Yamboro</v>
      </c>
      <c r="BK639" s="40"/>
      <c r="BL639" s="40"/>
    </row>
    <row r="640" spans="1:64" ht="13">
      <c r="A640" s="40"/>
      <c r="B640" s="40" t="str">
        <f ca="1">IFERROR(__xludf.DUMMYFUNCTION("""COMPUTED_VALUE"""),"FORMACIÓN 18/10/2022")</f>
        <v>FORMACIÓN 18/10/2022</v>
      </c>
      <c r="C640" s="40" t="str">
        <f ca="1">IFERROR(__xludf.DUMMYFUNCTION("""COMPUTED_VALUE"""),"MARIA CRISTINA ESPAÑA PINILLA")</f>
        <v>MARIA CRISTINA ESPAÑA PINILLA</v>
      </c>
      <c r="D640" s="40" t="str">
        <f ca="1">IFERROR(__xludf.DUMMYFUNCTION("""COMPUTED_VALUE"""),"CC")</f>
        <v>CC</v>
      </c>
      <c r="E640" s="40">
        <f ca="1">IFERROR(__xludf.DUMMYFUNCTION("""COMPUTED_VALUE"""),26428939)</f>
        <v>26428939</v>
      </c>
      <c r="F640" s="40">
        <f ca="1">IFERROR(__xludf.DUMMYFUNCTION("""COMPUTED_VALUE"""),2236073)</f>
        <v>2236073</v>
      </c>
      <c r="G640" s="40" t="str">
        <f ca="1">IFERROR(__xludf.DUMMYFUNCTION("""COMPUTED_VALUE"""),"TECNÓLOGO")</f>
        <v>TECNÓLOGO</v>
      </c>
      <c r="H640" s="40" t="str">
        <f ca="1">IFERROR(__xludf.DUMMYFUNCTION("""COMPUTED_VALUE"""),"PRODUCCIÓN AGROPECUARIA ECOLÓGICA")</f>
        <v>PRODUCCIÓN AGROPECUARIA ECOLÓGICA</v>
      </c>
      <c r="I640" s="40">
        <f ca="1">IFERROR(__xludf.DUMMYFUNCTION("""COMPUTED_VALUE"""),3167768585)</f>
        <v>3167768585</v>
      </c>
      <c r="J640" s="40" t="str">
        <f ca="1">IFERROR(__xludf.DUMMYFUNCTION("""COMPUTED_VALUE"""),"mariaespana754@gmail.com")</f>
        <v>mariaespana754@gmail.com</v>
      </c>
      <c r="K640" s="40"/>
      <c r="L640" s="40" t="str">
        <f ca="1">IFERROR(__xludf.DUMMYFUNCTION("""COMPUTED_VALUE"""),"PASANTÍAS")</f>
        <v>PASANTÍAS</v>
      </c>
      <c r="M640" s="40" t="str">
        <f ca="1">IFERROR(__xludf.DUMMYFUNCTION("""COMPUTED_VALUE"""),"CENTRO DE GESTIÓN Y DESARROLLO SOSTENIBLE SUR COLOMBIANO SENA ")</f>
        <v xml:space="preserve">CENTRO DE GESTIÓN Y DESARROLLO SOSTENIBLE SUR COLOMBIANO SENA </v>
      </c>
      <c r="N640" s="40" t="str">
        <f ca="1">IFERROR(__xludf.DUMMYFUNCTION("""COMPUTED_VALUE"""),"PITALITO ")</f>
        <v xml:space="preserve">PITALITO </v>
      </c>
      <c r="O640" s="40">
        <f ca="1">IFERROR(__xludf.DUMMYFUNCTION("""COMPUTED_VALUE"""),3217388487)</f>
        <v>3217388487</v>
      </c>
      <c r="P640" s="40"/>
      <c r="Q640" s="40" t="str">
        <f ca="1">IFERROR(__xludf.DUMMYFUNCTION("""COMPUTED_VALUE"""),"apinzonp@sena.edu.co")</f>
        <v>apinzonp@sena.edu.co</v>
      </c>
      <c r="R640" s="140">
        <f ca="1">IFERROR(__xludf.DUMMYFUNCTION("""COMPUTED_VALUE"""),44774)</f>
        <v>44774</v>
      </c>
      <c r="S640" s="140">
        <f ca="1">IFERROR(__xludf.DUMMYFUNCTION("""COMPUTED_VALUE"""),44958)</f>
        <v>44958</v>
      </c>
      <c r="T640" s="40" t="str">
        <f ca="1">IFERROR(__xludf.DUMMYFUNCTION("""COMPUTED_VALUE"""),"Tiene Acuerdo de Voluntades, Inicial.... Falta parcial, final, certificación y bitácoras 1,2,3,4,5,6,7,8,9,10,11 y 12 ... Revisado 26/08/2022")</f>
        <v>Tiene Acuerdo de Voluntades, Inicial.... Falta parcial, final, certificación y bitácoras 1,2,3,4,5,6,7,8,9,10,11 y 12 ... Revisado 26/08/2022</v>
      </c>
      <c r="U640" s="40" t="str">
        <f ca="1">IFERROR(__xludf.DUMMYFUNCTION("""COMPUTED_VALUE"""),"Walter Robinson Herrera Peña - Asignado - Subió Incial... Revisado 26/08/2022")</f>
        <v>Walter Robinson Herrera Peña - Asignado - Subió Incial... Revisado 26/08/2022</v>
      </c>
      <c r="V640" s="40" t="str">
        <f ca="1">IFERROR(__xludf.DUMMYFUNCTION("""COMPUTED_VALUE"""),"SI tiene seguimiento... Revisado 26/08/2022")</f>
        <v>SI tiene seguimiento... Revisado 26/08/2022</v>
      </c>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t="str">
        <f ca="1">IFERROR(__xludf.DUMMYFUNCTION("""COMPUTED_VALUE"""),"Procede_E_P")</f>
        <v>Procede_E_P</v>
      </c>
      <c r="AV640" s="40" t="str">
        <f ca="1">IFERROR(__xludf.DUMMYFUNCTION("""COMPUTED_VALUE"""),"EN FORMACION")</f>
        <v>EN FORMACION</v>
      </c>
      <c r="AW640" s="40" t="str">
        <f ca="1">IFERROR(__xludf.DUMMYFUNCTION("""COMPUTED_VALUE"""),"AGROPECUARIO")</f>
        <v>AGROPECUARIO</v>
      </c>
      <c r="AX640" s="141">
        <f ca="1">IFERROR(__xludf.DUMMYFUNCTION("""COMPUTED_VALUE"""),44839)</f>
        <v>44839</v>
      </c>
      <c r="AY640" s="40">
        <f ca="1">IFERROR(__xludf.DUMMYFUNCTION("""COMPUTED_VALUE"""),0)</f>
        <v>0</v>
      </c>
      <c r="AZ640" s="40">
        <f ca="1">IFERROR(__xludf.DUMMYFUNCTION("""COMPUTED_VALUE"""),1)</f>
        <v>1</v>
      </c>
      <c r="BA640" s="40">
        <f ca="1">IFERROR(__xludf.DUMMYFUNCTION("""COMPUTED_VALUE"""),0)</f>
        <v>0</v>
      </c>
      <c r="BB640" s="40">
        <f ca="1">IFERROR(__xludf.DUMMYFUNCTION("""COMPUTED_VALUE"""),0)</f>
        <v>0</v>
      </c>
      <c r="BC640" s="40">
        <f ca="1">IFERROR(__xludf.DUMMYFUNCTION("""COMPUTED_VALUE"""),1)</f>
        <v>1</v>
      </c>
      <c r="BD640" s="141">
        <f ca="1">IFERROR(__xludf.DUMMYFUNCTION("""COMPUTED_VALUE"""),44221)</f>
        <v>44221</v>
      </c>
      <c r="BE640" s="141">
        <f ca="1">IFERROR(__xludf.DUMMYFUNCTION("""COMPUTED_VALUE"""),44766)</f>
        <v>44766</v>
      </c>
      <c r="BF640" s="141">
        <f ca="1">IFERROR(__xludf.DUMMYFUNCTION("""COMPUTED_VALUE"""),44950)</f>
        <v>44950</v>
      </c>
      <c r="BG640" s="141">
        <f ca="1">IFERROR(__xludf.DUMMYFUNCTION("""COMPUTED_VALUE"""),45497)</f>
        <v>45497</v>
      </c>
      <c r="BH640" s="40" t="str">
        <f ca="1">IFERROR(__xludf.DUMMYFUNCTION("""COMPUTED_VALUE"""),"FICHA EN TIEMPO-18 MESES")</f>
        <v>FICHA EN TIEMPO-18 MESES</v>
      </c>
      <c r="BI640" s="40" t="str">
        <f ca="1">IFERROR(__xludf.DUMMYFUNCTION("""COMPUTED_VALUE"""),"En ejecucion")</f>
        <v>En ejecucion</v>
      </c>
      <c r="BJ640" s="40" t="str">
        <f ca="1">IFERROR(__xludf.DUMMYFUNCTION("""COMPUTED_VALUE"""),"Yamboro")</f>
        <v>Yamboro</v>
      </c>
      <c r="BK640" s="40"/>
      <c r="BL640" s="40"/>
    </row>
    <row r="641" spans="1:64" ht="13">
      <c r="A641" s="40"/>
      <c r="B641" s="40" t="str">
        <f ca="1">IFERROR(__xludf.DUMMYFUNCTION("""COMPUTED_VALUE"""),"FORMACIÓN 18/10/2022")</f>
        <v>FORMACIÓN 18/10/2022</v>
      </c>
      <c r="C641" s="40" t="str">
        <f ca="1">IFERROR(__xludf.DUMMYFUNCTION("""COMPUTED_VALUE"""),"DIANA PAOLA TAFUR VARGAS")</f>
        <v>DIANA PAOLA TAFUR VARGAS</v>
      </c>
      <c r="D641" s="40" t="str">
        <f ca="1">IFERROR(__xludf.DUMMYFUNCTION("""COMPUTED_VALUE"""),"CC")</f>
        <v>CC</v>
      </c>
      <c r="E641" s="40">
        <f ca="1">IFERROR(__xludf.DUMMYFUNCTION("""COMPUTED_VALUE"""),26428939)</f>
        <v>26428939</v>
      </c>
      <c r="F641" s="40">
        <f ca="1">IFERROR(__xludf.DUMMYFUNCTION("""COMPUTED_VALUE"""),2236073)</f>
        <v>2236073</v>
      </c>
      <c r="G641" s="40" t="str">
        <f ca="1">IFERROR(__xludf.DUMMYFUNCTION("""COMPUTED_VALUE"""),"TECNÓLOGO")</f>
        <v>TECNÓLOGO</v>
      </c>
      <c r="H641" s="40" t="str">
        <f ca="1">IFERROR(__xludf.DUMMYFUNCTION("""COMPUTED_VALUE"""),"PRODUCCIÓN AGROPECUARIA ECOLÓGICA")</f>
        <v>PRODUCCIÓN AGROPECUARIA ECOLÓGICA</v>
      </c>
      <c r="I641" s="40">
        <f ca="1">IFERROR(__xludf.DUMMYFUNCTION("""COMPUTED_VALUE"""),313489717)</f>
        <v>313489717</v>
      </c>
      <c r="J641" s="40" t="str">
        <f ca="1">IFERROR(__xludf.DUMMYFUNCTION("""COMPUTED_VALUE"""),"tafurpaola15@gmail.com")</f>
        <v>tafurpaola15@gmail.com</v>
      </c>
      <c r="K641" s="40"/>
      <c r="L641" s="40" t="str">
        <f ca="1">IFERROR(__xludf.DUMMYFUNCTION("""COMPUTED_VALUE"""),"CONTRATO DE APRENDIZAJE")</f>
        <v>CONTRATO DE APRENDIZAJE</v>
      </c>
      <c r="M641" s="40" t="str">
        <f ca="1">IFERROR(__xludf.DUMMYFUNCTION("""COMPUTED_VALUE"""),"INVERSIONES COSIE SAS")</f>
        <v>INVERSIONES COSIE SAS</v>
      </c>
      <c r="N641" s="40" t="str">
        <f ca="1">IFERROR(__xludf.DUMMYFUNCTION("""COMPUTED_VALUE"""),"CARRERA 2 N 2-51")</f>
        <v>CARRERA 2 N 2-51</v>
      </c>
      <c r="O641" s="40">
        <f ca="1">IFERROR(__xludf.DUMMYFUNCTION("""COMPUTED_VALUE"""),3205573830)</f>
        <v>3205573830</v>
      </c>
      <c r="P641" s="40"/>
      <c r="Q641" s="40"/>
      <c r="R641" s="140">
        <f ca="1">IFERROR(__xludf.DUMMYFUNCTION("""COMPUTED_VALUE"""),44755)</f>
        <v>44755</v>
      </c>
      <c r="S641" s="140">
        <f ca="1">IFERROR(__xludf.DUMMYFUNCTION("""COMPUTED_VALUE"""),44938)</f>
        <v>44938</v>
      </c>
      <c r="T641" s="40"/>
      <c r="U641" s="40" t="str">
        <f ca="1">IFERROR(__xludf.DUMMYFUNCTION("""COMPUTED_VALUE"""),"Walter Robinson Herrera Peña - Asignado ")</f>
        <v xml:space="preserve">Walter Robinson Herrera Peña - Asignado </v>
      </c>
      <c r="V641" s="40" t="str">
        <f ca="1">IFERROR(__xludf.DUMMYFUNCTION("""COMPUTED_VALUE"""),"NO tiene seguimineto 26/07/2022")</f>
        <v>NO tiene seguimineto 26/07/2022</v>
      </c>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t="str">
        <f ca="1">IFERROR(__xludf.DUMMYFUNCTION("""COMPUTED_VALUE"""),"Procede_E_P")</f>
        <v>Procede_E_P</v>
      </c>
      <c r="AV641" s="40" t="str">
        <f ca="1">IFERROR(__xludf.DUMMYFUNCTION("""COMPUTED_VALUE"""),"EN FORMACION")</f>
        <v>EN FORMACION</v>
      </c>
      <c r="AW641" s="40" t="str">
        <f ca="1">IFERROR(__xludf.DUMMYFUNCTION("""COMPUTED_VALUE"""),"AGROPECUARIO")</f>
        <v>AGROPECUARIO</v>
      </c>
      <c r="AX641" s="141">
        <f ca="1">IFERROR(__xludf.DUMMYFUNCTION("""COMPUTED_VALUE"""),44839)</f>
        <v>44839</v>
      </c>
      <c r="AY641" s="40">
        <f ca="1">IFERROR(__xludf.DUMMYFUNCTION("""COMPUTED_VALUE"""),0)</f>
        <v>0</v>
      </c>
      <c r="AZ641" s="40">
        <f ca="1">IFERROR(__xludf.DUMMYFUNCTION("""COMPUTED_VALUE"""),1)</f>
        <v>1</v>
      </c>
      <c r="BA641" s="40">
        <f ca="1">IFERROR(__xludf.DUMMYFUNCTION("""COMPUTED_VALUE"""),0)</f>
        <v>0</v>
      </c>
      <c r="BB641" s="40">
        <f ca="1">IFERROR(__xludf.DUMMYFUNCTION("""COMPUTED_VALUE"""),0)</f>
        <v>0</v>
      </c>
      <c r="BC641" s="40">
        <f ca="1">IFERROR(__xludf.DUMMYFUNCTION("""COMPUTED_VALUE"""),1)</f>
        <v>1</v>
      </c>
      <c r="BD641" s="141">
        <f ca="1">IFERROR(__xludf.DUMMYFUNCTION("""COMPUTED_VALUE"""),44221)</f>
        <v>44221</v>
      </c>
      <c r="BE641" s="141">
        <f ca="1">IFERROR(__xludf.DUMMYFUNCTION("""COMPUTED_VALUE"""),44766)</f>
        <v>44766</v>
      </c>
      <c r="BF641" s="141">
        <f ca="1">IFERROR(__xludf.DUMMYFUNCTION("""COMPUTED_VALUE"""),44950)</f>
        <v>44950</v>
      </c>
      <c r="BG641" s="141">
        <f ca="1">IFERROR(__xludf.DUMMYFUNCTION("""COMPUTED_VALUE"""),45497)</f>
        <v>45497</v>
      </c>
      <c r="BH641" s="40" t="str">
        <f ca="1">IFERROR(__xludf.DUMMYFUNCTION("""COMPUTED_VALUE"""),"FICHA EN TIEMPO-18 MESES")</f>
        <v>FICHA EN TIEMPO-18 MESES</v>
      </c>
      <c r="BI641" s="40" t="str">
        <f ca="1">IFERROR(__xludf.DUMMYFUNCTION("""COMPUTED_VALUE"""),"En ejecucion")</f>
        <v>En ejecucion</v>
      </c>
      <c r="BJ641" s="40" t="str">
        <f ca="1">IFERROR(__xludf.DUMMYFUNCTION("""COMPUTED_VALUE"""),"Yamboro")</f>
        <v>Yamboro</v>
      </c>
      <c r="BK641" s="40"/>
      <c r="BL641" s="40"/>
    </row>
    <row r="642" spans="1:64" ht="13">
      <c r="A642" s="40"/>
      <c r="B642" s="40" t="str">
        <f ca="1">IFERROR(__xludf.DUMMYFUNCTION("""COMPUTED_VALUE"""),"FORMACIÓN 18/10/2022")</f>
        <v>FORMACIÓN 18/10/2022</v>
      </c>
      <c r="C642" s="40" t="str">
        <f ca="1">IFERROR(__xludf.DUMMYFUNCTION("""COMPUTED_VALUE"""),"DANIELA CUSPIAN JIMENEZ")</f>
        <v>DANIELA CUSPIAN JIMENEZ</v>
      </c>
      <c r="D642" s="40" t="str">
        <f ca="1">IFERROR(__xludf.DUMMYFUNCTION("""COMPUTED_VALUE"""),"TI")</f>
        <v>TI</v>
      </c>
      <c r="E642" s="40">
        <f ca="1">IFERROR(__xludf.DUMMYFUNCTION("""COMPUTED_VALUE"""),26428939)</f>
        <v>26428939</v>
      </c>
      <c r="F642" s="40">
        <f ca="1">IFERROR(__xludf.DUMMYFUNCTION("""COMPUTED_VALUE"""),2236073)</f>
        <v>2236073</v>
      </c>
      <c r="G642" s="40" t="str">
        <f ca="1">IFERROR(__xludf.DUMMYFUNCTION("""COMPUTED_VALUE"""),"TECNÓLOGO")</f>
        <v>TECNÓLOGO</v>
      </c>
      <c r="H642" s="40" t="str">
        <f ca="1">IFERROR(__xludf.DUMMYFUNCTION("""COMPUTED_VALUE"""),"PRODUCCIÓN AGROPECUARIA ECOLÓGICA")</f>
        <v>PRODUCCIÓN AGROPECUARIA ECOLÓGICA</v>
      </c>
      <c r="I642" s="40"/>
      <c r="J642" s="40"/>
      <c r="K642" s="40"/>
      <c r="L642" s="40" t="str">
        <f ca="1">IFERROR(__xludf.DUMMYFUNCTION("""COMPUTED_VALUE"""),"CONTRATO DE APRENDIZAJE")</f>
        <v>CONTRATO DE APRENDIZAJE</v>
      </c>
      <c r="M642" s="40" t="str">
        <f ca="1">IFERROR(__xludf.DUMMYFUNCTION("""COMPUTED_VALUE"""),"RAMIREZ TRUJILLO GABRIEL JAIME JOSE BERNARDO")</f>
        <v>RAMIREZ TRUJILLO GABRIEL JAIME JOSE BERNARDO</v>
      </c>
      <c r="N642" s="40"/>
      <c r="O642" s="40"/>
      <c r="P642" s="40"/>
      <c r="Q642" s="40"/>
      <c r="R642" s="140">
        <f ca="1">IFERROR(__xludf.DUMMYFUNCTION("""COMPUTED_VALUE"""),44805)</f>
        <v>44805</v>
      </c>
      <c r="S642" s="140">
        <f ca="1">IFERROR(__xludf.DUMMYFUNCTION("""COMPUTED_VALUE"""),44621)</f>
        <v>44621</v>
      </c>
      <c r="T642" s="40"/>
      <c r="U642" s="40" t="str">
        <f ca="1">IFERROR(__xludf.DUMMYFUNCTION("""COMPUTED_VALUE"""),"ARELIS CRIOLLO - Asignada ")</f>
        <v xml:space="preserve">ARELIS CRIOLLO - Asignada </v>
      </c>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t="str">
        <f ca="1">IFERROR(__xludf.DUMMYFUNCTION("""COMPUTED_VALUE"""),"Procede_E_P")</f>
        <v>Procede_E_P</v>
      </c>
      <c r="AV642" s="40" t="str">
        <f ca="1">IFERROR(__xludf.DUMMYFUNCTION("""COMPUTED_VALUE"""),"EN FORMACION")</f>
        <v>EN FORMACION</v>
      </c>
      <c r="AW642" s="40" t="str">
        <f ca="1">IFERROR(__xludf.DUMMYFUNCTION("""COMPUTED_VALUE"""),"AGROPECUARIO")</f>
        <v>AGROPECUARIO</v>
      </c>
      <c r="AX642" s="141">
        <f ca="1">IFERROR(__xludf.DUMMYFUNCTION("""COMPUTED_VALUE"""),44839)</f>
        <v>44839</v>
      </c>
      <c r="AY642" s="40">
        <f ca="1">IFERROR(__xludf.DUMMYFUNCTION("""COMPUTED_VALUE"""),0)</f>
        <v>0</v>
      </c>
      <c r="AZ642" s="40">
        <f ca="1">IFERROR(__xludf.DUMMYFUNCTION("""COMPUTED_VALUE"""),1)</f>
        <v>1</v>
      </c>
      <c r="BA642" s="40">
        <f ca="1">IFERROR(__xludf.DUMMYFUNCTION("""COMPUTED_VALUE"""),0)</f>
        <v>0</v>
      </c>
      <c r="BB642" s="40">
        <f ca="1">IFERROR(__xludf.DUMMYFUNCTION("""COMPUTED_VALUE"""),0)</f>
        <v>0</v>
      </c>
      <c r="BC642" s="40">
        <f ca="1">IFERROR(__xludf.DUMMYFUNCTION("""COMPUTED_VALUE"""),1)</f>
        <v>1</v>
      </c>
      <c r="BD642" s="141">
        <f ca="1">IFERROR(__xludf.DUMMYFUNCTION("""COMPUTED_VALUE"""),44221)</f>
        <v>44221</v>
      </c>
      <c r="BE642" s="141">
        <f ca="1">IFERROR(__xludf.DUMMYFUNCTION("""COMPUTED_VALUE"""),44766)</f>
        <v>44766</v>
      </c>
      <c r="BF642" s="141">
        <f ca="1">IFERROR(__xludf.DUMMYFUNCTION("""COMPUTED_VALUE"""),44950)</f>
        <v>44950</v>
      </c>
      <c r="BG642" s="141">
        <f ca="1">IFERROR(__xludf.DUMMYFUNCTION("""COMPUTED_VALUE"""),45497)</f>
        <v>45497</v>
      </c>
      <c r="BH642" s="40" t="str">
        <f ca="1">IFERROR(__xludf.DUMMYFUNCTION("""COMPUTED_VALUE"""),"FICHA EN TIEMPO-18 MESES")</f>
        <v>FICHA EN TIEMPO-18 MESES</v>
      </c>
      <c r="BI642" s="40" t="str">
        <f ca="1">IFERROR(__xludf.DUMMYFUNCTION("""COMPUTED_VALUE"""),"En ejecucion")</f>
        <v>En ejecucion</v>
      </c>
      <c r="BJ642" s="40" t="str">
        <f ca="1">IFERROR(__xludf.DUMMYFUNCTION("""COMPUTED_VALUE"""),"Yamboro")</f>
        <v>Yamboro</v>
      </c>
      <c r="BK642" s="40"/>
      <c r="BL642" s="40"/>
    </row>
    <row r="643" spans="1:64" ht="13">
      <c r="A643" s="40"/>
      <c r="B643" s="40" t="str">
        <f ca="1">IFERROR(__xludf.DUMMYFUNCTION("""COMPUTED_VALUE"""),"FORMACIÓN 18/10/2022")</f>
        <v>FORMACIÓN 18/10/2022</v>
      </c>
      <c r="C643" s="40" t="str">
        <f ca="1">IFERROR(__xludf.DUMMYFUNCTION("""COMPUTED_VALUE"""),"YULIANA CHAVARRO CLAROS")</f>
        <v>YULIANA CHAVARRO CLAROS</v>
      </c>
      <c r="D643" s="40" t="str">
        <f ca="1">IFERROR(__xludf.DUMMYFUNCTION("""COMPUTED_VALUE"""),"TI")</f>
        <v>TI</v>
      </c>
      <c r="E643" s="40">
        <f ca="1">IFERROR(__xludf.DUMMYFUNCTION("""COMPUTED_VALUE"""),26428939)</f>
        <v>26428939</v>
      </c>
      <c r="F643" s="40">
        <f ca="1">IFERROR(__xludf.DUMMYFUNCTION("""COMPUTED_VALUE"""),2236073)</f>
        <v>2236073</v>
      </c>
      <c r="G643" s="40" t="str">
        <f ca="1">IFERROR(__xludf.DUMMYFUNCTION("""COMPUTED_VALUE"""),"TECNÓLOGO")</f>
        <v>TECNÓLOGO</v>
      </c>
      <c r="H643" s="40" t="str">
        <f ca="1">IFERROR(__xludf.DUMMYFUNCTION("""COMPUTED_VALUE"""),"PRODUCCIÓN AGROPECUARIA ECOLÓGICA")</f>
        <v>PRODUCCIÓN AGROPECUARIA ECOLÓGICA</v>
      </c>
      <c r="I643" s="40"/>
      <c r="J643" s="40"/>
      <c r="K643" s="40"/>
      <c r="L643" s="40" t="str">
        <f ca="1">IFERROR(__xludf.DUMMYFUNCTION("""COMPUTED_VALUE"""),"NO HA INICIADO ETAPA PRODUCTIVA")</f>
        <v>NO HA INICIADO ETAPA PRODUCTIVA</v>
      </c>
      <c r="M643" s="40"/>
      <c r="N643" s="40"/>
      <c r="O643" s="40"/>
      <c r="P643" s="40"/>
      <c r="Q643" s="40"/>
      <c r="R643" s="140"/>
      <c r="S643" s="140"/>
      <c r="T643" s="40"/>
      <c r="U643" s="40" t="str">
        <f ca="1">IFERROR(__xludf.DUMMYFUNCTION("""COMPUTED_VALUE"""),"ARELIS CRIOLLO - Asignada ")</f>
        <v xml:space="preserve">ARELIS CRIOLLO - Asignada </v>
      </c>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t="str">
        <f ca="1">IFERROR(__xludf.DUMMYFUNCTION("""COMPUTED_VALUE"""),"Procede_E_P")</f>
        <v>Procede_E_P</v>
      </c>
      <c r="AV643" s="40" t="str">
        <f ca="1">IFERROR(__xludf.DUMMYFUNCTION("""COMPUTED_VALUE"""),"EN FORMACION")</f>
        <v>EN FORMACION</v>
      </c>
      <c r="AW643" s="40" t="str">
        <f ca="1">IFERROR(__xludf.DUMMYFUNCTION("""COMPUTED_VALUE"""),"AGROPECUARIO")</f>
        <v>AGROPECUARIO</v>
      </c>
      <c r="AX643" s="141">
        <f ca="1">IFERROR(__xludf.DUMMYFUNCTION("""COMPUTED_VALUE"""),44839)</f>
        <v>44839</v>
      </c>
      <c r="AY643" s="40">
        <f ca="1">IFERROR(__xludf.DUMMYFUNCTION("""COMPUTED_VALUE"""),0)</f>
        <v>0</v>
      </c>
      <c r="AZ643" s="40">
        <f ca="1">IFERROR(__xludf.DUMMYFUNCTION("""COMPUTED_VALUE"""),1)</f>
        <v>1</v>
      </c>
      <c r="BA643" s="40">
        <f ca="1">IFERROR(__xludf.DUMMYFUNCTION("""COMPUTED_VALUE"""),0)</f>
        <v>0</v>
      </c>
      <c r="BB643" s="40">
        <f ca="1">IFERROR(__xludf.DUMMYFUNCTION("""COMPUTED_VALUE"""),0)</f>
        <v>0</v>
      </c>
      <c r="BC643" s="40">
        <f ca="1">IFERROR(__xludf.DUMMYFUNCTION("""COMPUTED_VALUE"""),1)</f>
        <v>1</v>
      </c>
      <c r="BD643" s="141">
        <f ca="1">IFERROR(__xludf.DUMMYFUNCTION("""COMPUTED_VALUE"""),44221)</f>
        <v>44221</v>
      </c>
      <c r="BE643" s="141">
        <f ca="1">IFERROR(__xludf.DUMMYFUNCTION("""COMPUTED_VALUE"""),44766)</f>
        <v>44766</v>
      </c>
      <c r="BF643" s="141">
        <f ca="1">IFERROR(__xludf.DUMMYFUNCTION("""COMPUTED_VALUE"""),44950)</f>
        <v>44950</v>
      </c>
      <c r="BG643" s="141">
        <f ca="1">IFERROR(__xludf.DUMMYFUNCTION("""COMPUTED_VALUE"""),45497)</f>
        <v>45497</v>
      </c>
      <c r="BH643" s="40" t="str">
        <f ca="1">IFERROR(__xludf.DUMMYFUNCTION("""COMPUTED_VALUE"""),"FICHA EN TIEMPO-18 MESES")</f>
        <v>FICHA EN TIEMPO-18 MESES</v>
      </c>
      <c r="BI643" s="40" t="str">
        <f ca="1">IFERROR(__xludf.DUMMYFUNCTION("""COMPUTED_VALUE"""),"En ejecucion")</f>
        <v>En ejecucion</v>
      </c>
      <c r="BJ643" s="40" t="str">
        <f ca="1">IFERROR(__xludf.DUMMYFUNCTION("""COMPUTED_VALUE"""),"Yamboro")</f>
        <v>Yamboro</v>
      </c>
      <c r="BK643" s="40"/>
      <c r="BL643" s="40"/>
    </row>
    <row r="644" spans="1:64" ht="13">
      <c r="A644" s="40"/>
      <c r="B644" s="40" t="str">
        <f ca="1">IFERROR(__xludf.DUMMYFUNCTION("""COMPUTED_VALUE"""),"FORMACIÓN 18/10/2022")</f>
        <v>FORMACIÓN 18/10/2022</v>
      </c>
      <c r="C644" s="40" t="str">
        <f ca="1">IFERROR(__xludf.DUMMYFUNCTION("""COMPUTED_VALUE"""),"YULEXY LORENA CUELLAR ALVAREZ")</f>
        <v>YULEXY LORENA CUELLAR ALVAREZ</v>
      </c>
      <c r="D644" s="40" t="str">
        <f ca="1">IFERROR(__xludf.DUMMYFUNCTION("""COMPUTED_VALUE"""),"TI")</f>
        <v>TI</v>
      </c>
      <c r="E644" s="40">
        <f ca="1">IFERROR(__xludf.DUMMYFUNCTION("""COMPUTED_VALUE"""),1084896223)</f>
        <v>1084896223</v>
      </c>
      <c r="F644" s="40">
        <f ca="1">IFERROR(__xludf.DUMMYFUNCTION("""COMPUTED_VALUE"""),2236073)</f>
        <v>2236073</v>
      </c>
      <c r="G644" s="40" t="str">
        <f ca="1">IFERROR(__xludf.DUMMYFUNCTION("""COMPUTED_VALUE"""),"TECNÓLOGO")</f>
        <v>TECNÓLOGO</v>
      </c>
      <c r="H644" s="40" t="str">
        <f ca="1">IFERROR(__xludf.DUMMYFUNCTION("""COMPUTED_VALUE"""),"PRODUCCIÓN AGROPECUARIA ECOLÓGICA")</f>
        <v>PRODUCCIÓN AGROPECUARIA ECOLÓGICA</v>
      </c>
      <c r="I644" s="40">
        <f ca="1">IFERROR(__xludf.DUMMYFUNCTION("""COMPUTED_VALUE"""),3166845803)</f>
        <v>3166845803</v>
      </c>
      <c r="J644" s="40" t="str">
        <f ca="1">IFERROR(__xludf.DUMMYFUNCTION("""COMPUTED_VALUE"""),"yulexy.lo22@gmail.com")</f>
        <v>yulexy.lo22@gmail.com</v>
      </c>
      <c r="K644" s="40"/>
      <c r="L644" s="40" t="str">
        <f ca="1">IFERROR(__xludf.DUMMYFUNCTION("""COMPUTED_VALUE"""),"PASANTÍAS")</f>
        <v>PASANTÍAS</v>
      </c>
      <c r="M644" s="40" t="str">
        <f ca="1">IFERROR(__xludf.DUMMYFUNCTION("""COMPUTED_VALUE"""),"CENTRO DE GESTIÓN Y DESARROLLO SOSTENIBLE SUR COLOMBIANO SENA ")</f>
        <v xml:space="preserve">CENTRO DE GESTIÓN Y DESARROLLO SOSTENIBLE SUR COLOMBIANO SENA </v>
      </c>
      <c r="N644" s="40" t="str">
        <f ca="1">IFERROR(__xludf.DUMMYFUNCTION("""COMPUTED_VALUE"""),"PITALITO")</f>
        <v>PITALITO</v>
      </c>
      <c r="O644" s="40">
        <f ca="1">IFERROR(__xludf.DUMMYFUNCTION("""COMPUTED_VALUE"""),3217388487)</f>
        <v>3217388487</v>
      </c>
      <c r="P644" s="40"/>
      <c r="Q644" s="40" t="str">
        <f ca="1">IFERROR(__xludf.DUMMYFUNCTION("""COMPUTED_VALUE"""),"apinzonp@sena.edu.co")</f>
        <v>apinzonp@sena.edu.co</v>
      </c>
      <c r="R644" s="140">
        <f ca="1">IFERROR(__xludf.DUMMYFUNCTION("""COMPUTED_VALUE"""),44767)</f>
        <v>44767</v>
      </c>
      <c r="S644" s="140">
        <f ca="1">IFERROR(__xludf.DUMMYFUNCTION("""COMPUTED_VALUE"""),44951)</f>
        <v>44951</v>
      </c>
      <c r="T644" s="40"/>
      <c r="U644" s="40" t="str">
        <f ca="1">IFERROR(__xludf.DUMMYFUNCTION("""COMPUTED_VALUE"""),"ARELIS CRIOLLO - Asignada ")</f>
        <v xml:space="preserve">ARELIS CRIOLLO - Asignada </v>
      </c>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t="str">
        <f ca="1">IFERROR(__xludf.DUMMYFUNCTION("""COMPUTED_VALUE"""),"Procede_E_P")</f>
        <v>Procede_E_P</v>
      </c>
      <c r="AV644" s="40" t="str">
        <f ca="1">IFERROR(__xludf.DUMMYFUNCTION("""COMPUTED_VALUE"""),"EN FORMACION")</f>
        <v>EN FORMACION</v>
      </c>
      <c r="AW644" s="40" t="str">
        <f ca="1">IFERROR(__xludf.DUMMYFUNCTION("""COMPUTED_VALUE"""),"AGROPECUARIO")</f>
        <v>AGROPECUARIO</v>
      </c>
      <c r="AX644" s="141">
        <f ca="1">IFERROR(__xludf.DUMMYFUNCTION("""COMPUTED_VALUE"""),44839)</f>
        <v>44839</v>
      </c>
      <c r="AY644" s="40">
        <f ca="1">IFERROR(__xludf.DUMMYFUNCTION("""COMPUTED_VALUE"""),0)</f>
        <v>0</v>
      </c>
      <c r="AZ644" s="40">
        <f ca="1">IFERROR(__xludf.DUMMYFUNCTION("""COMPUTED_VALUE"""),1)</f>
        <v>1</v>
      </c>
      <c r="BA644" s="40">
        <f ca="1">IFERROR(__xludf.DUMMYFUNCTION("""COMPUTED_VALUE"""),0)</f>
        <v>0</v>
      </c>
      <c r="BB644" s="40">
        <f ca="1">IFERROR(__xludf.DUMMYFUNCTION("""COMPUTED_VALUE"""),0)</f>
        <v>0</v>
      </c>
      <c r="BC644" s="40">
        <f ca="1">IFERROR(__xludf.DUMMYFUNCTION("""COMPUTED_VALUE"""),1)</f>
        <v>1</v>
      </c>
      <c r="BD644" s="141">
        <f ca="1">IFERROR(__xludf.DUMMYFUNCTION("""COMPUTED_VALUE"""),44221)</f>
        <v>44221</v>
      </c>
      <c r="BE644" s="141">
        <f ca="1">IFERROR(__xludf.DUMMYFUNCTION("""COMPUTED_VALUE"""),44766)</f>
        <v>44766</v>
      </c>
      <c r="BF644" s="141">
        <f ca="1">IFERROR(__xludf.DUMMYFUNCTION("""COMPUTED_VALUE"""),44950)</f>
        <v>44950</v>
      </c>
      <c r="BG644" s="141">
        <f ca="1">IFERROR(__xludf.DUMMYFUNCTION("""COMPUTED_VALUE"""),45497)</f>
        <v>45497</v>
      </c>
      <c r="BH644" s="40" t="str">
        <f ca="1">IFERROR(__xludf.DUMMYFUNCTION("""COMPUTED_VALUE"""),"FICHA EN TIEMPO-18 MESES")</f>
        <v>FICHA EN TIEMPO-18 MESES</v>
      </c>
      <c r="BI644" s="40" t="str">
        <f ca="1">IFERROR(__xludf.DUMMYFUNCTION("""COMPUTED_VALUE"""),"En ejecucion")</f>
        <v>En ejecucion</v>
      </c>
      <c r="BJ644" s="40" t="str">
        <f ca="1">IFERROR(__xludf.DUMMYFUNCTION("""COMPUTED_VALUE"""),"Yamboro")</f>
        <v>Yamboro</v>
      </c>
      <c r="BK644" s="40"/>
      <c r="BL644" s="40"/>
    </row>
    <row r="645" spans="1:64" ht="13">
      <c r="A645" s="40"/>
      <c r="B645" s="40" t="str">
        <f ca="1">IFERROR(__xludf.DUMMYFUNCTION("""COMPUTED_VALUE"""),"FORMACIÓN 18/10/2022")</f>
        <v>FORMACIÓN 18/10/2022</v>
      </c>
      <c r="C645" s="40" t="str">
        <f ca="1">IFERROR(__xludf.DUMMYFUNCTION("""COMPUTED_VALUE"""),"JORGE LUIS PLAZAS ROJAS")</f>
        <v>JORGE LUIS PLAZAS ROJAS</v>
      </c>
      <c r="D645" s="40" t="str">
        <f ca="1">IFERROR(__xludf.DUMMYFUNCTION("""COMPUTED_VALUE"""),"CC")</f>
        <v>CC</v>
      </c>
      <c r="E645" s="40">
        <f ca="1">IFERROR(__xludf.DUMMYFUNCTION("""COMPUTED_VALUE"""),1004155543)</f>
        <v>1004155543</v>
      </c>
      <c r="F645" s="40">
        <f ca="1">IFERROR(__xludf.DUMMYFUNCTION("""COMPUTED_VALUE"""),2280193)</f>
        <v>2280193</v>
      </c>
      <c r="G645" s="40" t="str">
        <f ca="1">IFERROR(__xludf.DUMMYFUNCTION("""COMPUTED_VALUE"""),"TECNÓLOGO")</f>
        <v>TECNÓLOGO</v>
      </c>
      <c r="H645" s="40" t="str">
        <f ca="1">IFERROR(__xludf.DUMMYFUNCTION("""COMPUTED_VALUE"""),"PRODUCCIÓN AGROPECUARIA ECOLÓGICA")</f>
        <v>PRODUCCIÓN AGROPECUARIA ECOLÓGICA</v>
      </c>
      <c r="I645" s="40">
        <f ca="1">IFERROR(__xludf.DUMMYFUNCTION("""COMPUTED_VALUE"""),3214072809)</f>
        <v>3214072809</v>
      </c>
      <c r="J645" s="40" t="str">
        <f ca="1">IFERROR(__xludf.DUMMYFUNCTION("""COMPUTED_VALUE"""),"jorgeluisplazas69@gmail.com")</f>
        <v>jorgeluisplazas69@gmail.com</v>
      </c>
      <c r="K645" s="40" t="str">
        <f ca="1">IFERROR(__xludf.DUMMYFUNCTION("""COMPUTED_VALUE"""),"PITALITO")</f>
        <v>PITALITO</v>
      </c>
      <c r="L645" s="40" t="str">
        <f ca="1">IFERROR(__xludf.DUMMYFUNCTION("""COMPUTED_VALUE"""),"CONTRATO DE APRENDIZAJE")</f>
        <v>CONTRATO DE APRENDIZAJE</v>
      </c>
      <c r="M645" s="40" t="str">
        <f ca="1">IFERROR(__xludf.DUMMYFUNCTION("""COMPUTED_VALUE"""),"PISCICOLA H&amp;W FISHERY LTDA")</f>
        <v>PISCICOLA H&amp;W FISHERY LTDA</v>
      </c>
      <c r="N645" s="40" t="str">
        <f ca="1">IFERROR(__xludf.DUMMYFUNCTION("""COMPUTED_VALUE""")," CL 46 16-24 OF. 903")</f>
        <v xml:space="preserve"> CL 46 16-24 OF. 903</v>
      </c>
      <c r="O645" s="40">
        <f ca="1">IFERROR(__xludf.DUMMYFUNCTION("""COMPUTED_VALUE"""),3204283456)</f>
        <v>3204283456</v>
      </c>
      <c r="P645" s="40" t="str">
        <f ca="1">IFERROR(__xludf.DUMMYFUNCTION("""COMPUTED_VALUE"""),"NEIVA")</f>
        <v>NEIVA</v>
      </c>
      <c r="Q645" s="40" t="str">
        <f ca="1">IFERROR(__xludf.DUMMYFUNCTION("""COMPUTED_VALUE""")," grupoempresarial@factory-fishery.com")</f>
        <v xml:space="preserve"> grupoempresarial@factory-fishery.com</v>
      </c>
      <c r="R645" s="140">
        <f ca="1">IFERROR(__xludf.DUMMYFUNCTION("""COMPUTED_VALUE"""),44850)</f>
        <v>44850</v>
      </c>
      <c r="S645" s="140">
        <f ca="1">IFERROR(__xludf.DUMMYFUNCTION("""COMPUTED_VALUE"""),45030)</f>
        <v>45030</v>
      </c>
      <c r="T645" s="40"/>
      <c r="U645" s="40" t="str">
        <f ca="1">IFERROR(__xludf.DUMMYFUNCTION("""COMPUTED_VALUE"""),"POR ASIGNAR")</f>
        <v>POR ASIGNAR</v>
      </c>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t="str">
        <f ca="1">IFERROR(__xludf.DUMMYFUNCTION("""COMPUTED_VALUE"""),"NO_CUMPLE")</f>
        <v>NO_CUMPLE</v>
      </c>
      <c r="AV645" s="40" t="str">
        <f ca="1">IFERROR(__xludf.DUMMYFUNCTION("""COMPUTED_VALUE"""),"EN FORMACION")</f>
        <v>EN FORMACION</v>
      </c>
      <c r="AW645" s="40" t="str">
        <f ca="1">IFERROR(__xludf.DUMMYFUNCTION("""COMPUTED_VALUE"""),"AGROPECUARIO")</f>
        <v>AGROPECUARIO</v>
      </c>
      <c r="AX645" s="141">
        <f ca="1">IFERROR(__xludf.DUMMYFUNCTION("""COMPUTED_VALUE"""),44839)</f>
        <v>44839</v>
      </c>
      <c r="AY645" s="40">
        <f ca="1">IFERROR(__xludf.DUMMYFUNCTION("""COMPUTED_VALUE"""),1)</f>
        <v>1</v>
      </c>
      <c r="AZ645" s="40">
        <f ca="1">IFERROR(__xludf.DUMMYFUNCTION("""COMPUTED_VALUE"""),1)</f>
        <v>1</v>
      </c>
      <c r="BA645" s="40">
        <f ca="1">IFERROR(__xludf.DUMMYFUNCTION("""COMPUTED_VALUE"""),0)</f>
        <v>0</v>
      </c>
      <c r="BB645" s="40">
        <f ca="1">IFERROR(__xludf.DUMMYFUNCTION("""COMPUTED_VALUE"""),7)</f>
        <v>7</v>
      </c>
      <c r="BC645" s="40">
        <f ca="1">IFERROR(__xludf.DUMMYFUNCTION("""COMPUTED_VALUE"""),9)</f>
        <v>9</v>
      </c>
      <c r="BD645" s="141">
        <f ca="1">IFERROR(__xludf.DUMMYFUNCTION("""COMPUTED_VALUE"""),44301)</f>
        <v>44301</v>
      </c>
      <c r="BE645" s="141">
        <f ca="1">IFERROR(__xludf.DUMMYFUNCTION("""COMPUTED_VALUE"""),44848)</f>
        <v>44848</v>
      </c>
      <c r="BF645" s="141">
        <f ca="1">IFERROR(__xludf.DUMMYFUNCTION("""COMPUTED_VALUE"""),45030)</f>
        <v>45030</v>
      </c>
      <c r="BG645" s="141">
        <f ca="1">IFERROR(__xludf.DUMMYFUNCTION("""COMPUTED_VALUE"""),45579)</f>
        <v>45579</v>
      </c>
      <c r="BH645" s="40" t="str">
        <f ca="1">IFERROR(__xludf.DUMMYFUNCTION("""COMPUTED_VALUE"""),"FICHA EN TIEMPO-18 MESES")</f>
        <v>FICHA EN TIEMPO-18 MESES</v>
      </c>
      <c r="BI645" s="40" t="str">
        <f ca="1">IFERROR(__xludf.DUMMYFUNCTION("""COMPUTED_VALUE"""),"En ejecucion")</f>
        <v>En ejecucion</v>
      </c>
      <c r="BJ645" s="40" t="str">
        <f ca="1">IFERROR(__xludf.DUMMYFUNCTION("""COMPUTED_VALUE"""),"Yamboro")</f>
        <v>Yamboro</v>
      </c>
      <c r="BK645" s="40"/>
      <c r="BL645" s="40"/>
    </row>
    <row r="646" spans="1:64" ht="13">
      <c r="A646" s="40"/>
      <c r="B646" s="40" t="str">
        <f ca="1">IFERROR(__xludf.DUMMYFUNCTION("""COMPUTED_VALUE"""),"FORMACIÓN 18/10/2022")</f>
        <v>FORMACIÓN 18/10/2022</v>
      </c>
      <c r="C646" s="40" t="str">
        <f ca="1">IFERROR(__xludf.DUMMYFUNCTION("""COMPUTED_VALUE"""),"PAOLA ANDREA MAMIAN MESA")</f>
        <v>PAOLA ANDREA MAMIAN MESA</v>
      </c>
      <c r="D646" s="40" t="str">
        <f ca="1">IFERROR(__xludf.DUMMYFUNCTION("""COMPUTED_VALUE"""),"CC")</f>
        <v>CC</v>
      </c>
      <c r="E646" s="40">
        <f ca="1">IFERROR(__xludf.DUMMYFUNCTION("""COMPUTED_VALUE"""),1004266866)</f>
        <v>1004266866</v>
      </c>
      <c r="F646" s="40">
        <f ca="1">IFERROR(__xludf.DUMMYFUNCTION("""COMPUTED_VALUE"""),2280193)</f>
        <v>2280193</v>
      </c>
      <c r="G646" s="40" t="str">
        <f ca="1">IFERROR(__xludf.DUMMYFUNCTION("""COMPUTED_VALUE"""),"TECNÓLOGO")</f>
        <v>TECNÓLOGO</v>
      </c>
      <c r="H646" s="40" t="str">
        <f ca="1">IFERROR(__xludf.DUMMYFUNCTION("""COMPUTED_VALUE"""),"PRODUCCIÓN AGROPECUARIA ECOLÓGICA")</f>
        <v>PRODUCCIÓN AGROPECUARIA ECOLÓGICA</v>
      </c>
      <c r="I646" s="40"/>
      <c r="J646" s="40" t="str">
        <f ca="1">IFERROR(__xludf.DUMMYFUNCTION("""COMPUTED_VALUE"""),"paolamesa2098@gmail.com")</f>
        <v>paolamesa2098@gmail.com</v>
      </c>
      <c r="K646" s="40"/>
      <c r="L646" s="40" t="str">
        <f ca="1">IFERROR(__xludf.DUMMYFUNCTION("""COMPUTED_VALUE"""),"CONTRATO DE APRENDIZAJE")</f>
        <v>CONTRATO DE APRENDIZAJE</v>
      </c>
      <c r="M646" s="40" t="str">
        <f ca="1">IFERROR(__xludf.DUMMYFUNCTION("""COMPUTED_VALUE"""),"EMPRESA DE FOSFATOS DEL HUILA S.A.")</f>
        <v>EMPRESA DE FOSFATOS DEL HUILA S.A.</v>
      </c>
      <c r="N646" s="40" t="str">
        <f ca="1">IFERROR(__xludf.DUMMYFUNCTION("""COMPUTED_VALUE"""),"CALLE 25 3A 26")</f>
        <v>CALLE 25 3A 26</v>
      </c>
      <c r="O646" s="40"/>
      <c r="P646" s="40" t="str">
        <f ca="1">IFERROR(__xludf.DUMMYFUNCTION("""COMPUTED_VALUE"""),"NEIVA")</f>
        <v>NEIVA</v>
      </c>
      <c r="Q646" s="40" t="str">
        <f ca="1">IFERROR(__xludf.DUMMYFUNCTION("""COMPUTED_VALUE"""),"recursoshumanos@fosfatosdelhuila.com")</f>
        <v>recursoshumanos@fosfatosdelhuila.com</v>
      </c>
      <c r="R646" s="140">
        <f ca="1">IFERROR(__xludf.DUMMYFUNCTION("""COMPUTED_VALUE"""),44850)</f>
        <v>44850</v>
      </c>
      <c r="S646" s="140">
        <f ca="1">IFERROR(__xludf.DUMMYFUNCTION("""COMPUTED_VALUE"""),45030)</f>
        <v>45030</v>
      </c>
      <c r="T646" s="40"/>
      <c r="U646" s="40" t="str">
        <f ca="1">IFERROR(__xludf.DUMMYFUNCTION("""COMPUTED_VALUE"""),"ANA MILENA CAMACHO TAMARA")</f>
        <v>ANA MILENA CAMACHO TAMARA</v>
      </c>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t="str">
        <f ca="1">IFERROR(__xludf.DUMMYFUNCTION("""COMPUTED_VALUE"""),"NO_CUMPLE")</f>
        <v>NO_CUMPLE</v>
      </c>
      <c r="AV646" s="40" t="str">
        <f ca="1">IFERROR(__xludf.DUMMYFUNCTION("""COMPUTED_VALUE"""),"EN FORMACION")</f>
        <v>EN FORMACION</v>
      </c>
      <c r="AW646" s="40" t="str">
        <f ca="1">IFERROR(__xludf.DUMMYFUNCTION("""COMPUTED_VALUE"""),"AGROPECUARIO")</f>
        <v>AGROPECUARIO</v>
      </c>
      <c r="AX646" s="141">
        <f ca="1">IFERROR(__xludf.DUMMYFUNCTION("""COMPUTED_VALUE"""),44839)</f>
        <v>44839</v>
      </c>
      <c r="AY646" s="40">
        <f ca="1">IFERROR(__xludf.DUMMYFUNCTION("""COMPUTED_VALUE"""),1)</f>
        <v>1</v>
      </c>
      <c r="AZ646" s="40">
        <f ca="1">IFERROR(__xludf.DUMMYFUNCTION("""COMPUTED_VALUE"""),1)</f>
        <v>1</v>
      </c>
      <c r="BA646" s="40">
        <f ca="1">IFERROR(__xludf.DUMMYFUNCTION("""COMPUTED_VALUE"""),0)</f>
        <v>0</v>
      </c>
      <c r="BB646" s="40">
        <f ca="1">IFERROR(__xludf.DUMMYFUNCTION("""COMPUTED_VALUE"""),7)</f>
        <v>7</v>
      </c>
      <c r="BC646" s="40">
        <f ca="1">IFERROR(__xludf.DUMMYFUNCTION("""COMPUTED_VALUE"""),9)</f>
        <v>9</v>
      </c>
      <c r="BD646" s="141">
        <f ca="1">IFERROR(__xludf.DUMMYFUNCTION("""COMPUTED_VALUE"""),44301)</f>
        <v>44301</v>
      </c>
      <c r="BE646" s="141">
        <f ca="1">IFERROR(__xludf.DUMMYFUNCTION("""COMPUTED_VALUE"""),44848)</f>
        <v>44848</v>
      </c>
      <c r="BF646" s="141">
        <f ca="1">IFERROR(__xludf.DUMMYFUNCTION("""COMPUTED_VALUE"""),45030)</f>
        <v>45030</v>
      </c>
      <c r="BG646" s="141">
        <f ca="1">IFERROR(__xludf.DUMMYFUNCTION("""COMPUTED_VALUE"""),45579)</f>
        <v>45579</v>
      </c>
      <c r="BH646" s="40" t="str">
        <f ca="1">IFERROR(__xludf.DUMMYFUNCTION("""COMPUTED_VALUE"""),"FICHA EN TIEMPO-18 MESES")</f>
        <v>FICHA EN TIEMPO-18 MESES</v>
      </c>
      <c r="BI646" s="40" t="str">
        <f ca="1">IFERROR(__xludf.DUMMYFUNCTION("""COMPUTED_VALUE"""),"En ejecucion")</f>
        <v>En ejecucion</v>
      </c>
      <c r="BJ646" s="40" t="str">
        <f ca="1">IFERROR(__xludf.DUMMYFUNCTION("""COMPUTED_VALUE"""),"Yamboro")</f>
        <v>Yamboro</v>
      </c>
      <c r="BK646" s="40"/>
      <c r="BL646" s="40"/>
    </row>
    <row r="647" spans="1:64" ht="13">
      <c r="A647" s="40"/>
      <c r="B647" s="40" t="str">
        <f ca="1">IFERROR(__xludf.DUMMYFUNCTION("""COMPUTED_VALUE"""),"FORMACIÓN 18/10/2022")</f>
        <v>FORMACIÓN 18/10/2022</v>
      </c>
      <c r="C647" s="40" t="str">
        <f ca="1">IFERROR(__xludf.DUMMYFUNCTION("""COMPUTED_VALUE"""),"NATALIA ARCOS PERDOMO")</f>
        <v>NATALIA ARCOS PERDOMO</v>
      </c>
      <c r="D647" s="40" t="str">
        <f ca="1">IFERROR(__xludf.DUMMYFUNCTION("""COMPUTED_VALUE"""),"CC")</f>
        <v>CC</v>
      </c>
      <c r="E647" s="40">
        <f ca="1">IFERROR(__xludf.DUMMYFUNCTION("""COMPUTED_VALUE"""),1004269111)</f>
        <v>1004269111</v>
      </c>
      <c r="F647" s="40">
        <f ca="1">IFERROR(__xludf.DUMMYFUNCTION("""COMPUTED_VALUE"""),2280193)</f>
        <v>2280193</v>
      </c>
      <c r="G647" s="40" t="str">
        <f ca="1">IFERROR(__xludf.DUMMYFUNCTION("""COMPUTED_VALUE"""),"TECNÓLOGO")</f>
        <v>TECNÓLOGO</v>
      </c>
      <c r="H647" s="40" t="str">
        <f ca="1">IFERROR(__xludf.DUMMYFUNCTION("""COMPUTED_VALUE"""),"PRODUCCIÓN AGROPECUARIA ECOLÓGICA")</f>
        <v>PRODUCCIÓN AGROPECUARIA ECOLÓGICA</v>
      </c>
      <c r="I647" s="40"/>
      <c r="J647" s="40"/>
      <c r="K647" s="40"/>
      <c r="L647" s="40" t="str">
        <f ca="1">IFERROR(__xludf.DUMMYFUNCTION("""COMPUTED_VALUE"""),"NO HA INICIADO ETAPA PRODUCTIVA")</f>
        <v>NO HA INICIADO ETAPA PRODUCTIVA</v>
      </c>
      <c r="M647" s="40"/>
      <c r="N647" s="40"/>
      <c r="O647" s="40"/>
      <c r="P647" s="40"/>
      <c r="Q647" s="40"/>
      <c r="R647" s="140"/>
      <c r="S647" s="1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t="str">
        <f ca="1">IFERROR(__xludf.DUMMYFUNCTION("""COMPUTED_VALUE"""),"NO_CUMPLE")</f>
        <v>NO_CUMPLE</v>
      </c>
      <c r="AV647" s="40" t="str">
        <f ca="1">IFERROR(__xludf.DUMMYFUNCTION("""COMPUTED_VALUE"""),"EN FORMACION")</f>
        <v>EN FORMACION</v>
      </c>
      <c r="AW647" s="40" t="str">
        <f ca="1">IFERROR(__xludf.DUMMYFUNCTION("""COMPUTED_VALUE"""),"AGROPECUARIO")</f>
        <v>AGROPECUARIO</v>
      </c>
      <c r="AX647" s="141">
        <f ca="1">IFERROR(__xludf.DUMMYFUNCTION("""COMPUTED_VALUE"""),44839)</f>
        <v>44839</v>
      </c>
      <c r="AY647" s="40">
        <f ca="1">IFERROR(__xludf.DUMMYFUNCTION("""COMPUTED_VALUE"""),1)</f>
        <v>1</v>
      </c>
      <c r="AZ647" s="40">
        <f ca="1">IFERROR(__xludf.DUMMYFUNCTION("""COMPUTED_VALUE"""),1)</f>
        <v>1</v>
      </c>
      <c r="BA647" s="40">
        <f ca="1">IFERROR(__xludf.DUMMYFUNCTION("""COMPUTED_VALUE"""),0)</f>
        <v>0</v>
      </c>
      <c r="BB647" s="40">
        <f ca="1">IFERROR(__xludf.DUMMYFUNCTION("""COMPUTED_VALUE"""),7)</f>
        <v>7</v>
      </c>
      <c r="BC647" s="40">
        <f ca="1">IFERROR(__xludf.DUMMYFUNCTION("""COMPUTED_VALUE"""),9)</f>
        <v>9</v>
      </c>
      <c r="BD647" s="141">
        <f ca="1">IFERROR(__xludf.DUMMYFUNCTION("""COMPUTED_VALUE"""),44301)</f>
        <v>44301</v>
      </c>
      <c r="BE647" s="141">
        <f ca="1">IFERROR(__xludf.DUMMYFUNCTION("""COMPUTED_VALUE"""),44848)</f>
        <v>44848</v>
      </c>
      <c r="BF647" s="141">
        <f ca="1">IFERROR(__xludf.DUMMYFUNCTION("""COMPUTED_VALUE"""),45030)</f>
        <v>45030</v>
      </c>
      <c r="BG647" s="141">
        <f ca="1">IFERROR(__xludf.DUMMYFUNCTION("""COMPUTED_VALUE"""),45579)</f>
        <v>45579</v>
      </c>
      <c r="BH647" s="40" t="str">
        <f ca="1">IFERROR(__xludf.DUMMYFUNCTION("""COMPUTED_VALUE"""),"FICHA EN TIEMPO-18 MESES")</f>
        <v>FICHA EN TIEMPO-18 MESES</v>
      </c>
      <c r="BI647" s="40" t="str">
        <f ca="1">IFERROR(__xludf.DUMMYFUNCTION("""COMPUTED_VALUE"""),"En ejecucion")</f>
        <v>En ejecucion</v>
      </c>
      <c r="BJ647" s="40" t="str">
        <f ca="1">IFERROR(__xludf.DUMMYFUNCTION("""COMPUTED_VALUE"""),"Yamboro")</f>
        <v>Yamboro</v>
      </c>
      <c r="BK647" s="40"/>
      <c r="BL647" s="40"/>
    </row>
    <row r="648" spans="1:64" ht="13">
      <c r="A648" s="40"/>
      <c r="B648" s="40" t="str">
        <f ca="1">IFERROR(__xludf.DUMMYFUNCTION("""COMPUTED_VALUE"""),"FORMACIÓN 18/10/2022")</f>
        <v>FORMACIÓN 18/10/2022</v>
      </c>
      <c r="C648" s="40" t="str">
        <f ca="1">IFERROR(__xludf.DUMMYFUNCTION("""COMPUTED_VALUE"""),"ANDERSON ESTIVEN SOTELO GUAMANGA")</f>
        <v>ANDERSON ESTIVEN SOTELO GUAMANGA</v>
      </c>
      <c r="D648" s="40" t="str">
        <f ca="1">IFERROR(__xludf.DUMMYFUNCTION("""COMPUTED_VALUE"""),"CC")</f>
        <v>CC</v>
      </c>
      <c r="E648" s="40">
        <f ca="1">IFERROR(__xludf.DUMMYFUNCTION("""COMPUTED_VALUE"""),1004419101)</f>
        <v>1004419101</v>
      </c>
      <c r="F648" s="40">
        <f ca="1">IFERROR(__xludf.DUMMYFUNCTION("""COMPUTED_VALUE"""),2280193)</f>
        <v>2280193</v>
      </c>
      <c r="G648" s="40" t="str">
        <f ca="1">IFERROR(__xludf.DUMMYFUNCTION("""COMPUTED_VALUE"""),"TECNÓLOGO")</f>
        <v>TECNÓLOGO</v>
      </c>
      <c r="H648" s="40" t="str">
        <f ca="1">IFERROR(__xludf.DUMMYFUNCTION("""COMPUTED_VALUE"""),"PRODUCCIÓN AGROPECUARIA ECOLÓGICA")</f>
        <v>PRODUCCIÓN AGROPECUARIA ECOLÓGICA</v>
      </c>
      <c r="I648" s="40">
        <f ca="1">IFERROR(__xludf.DUMMYFUNCTION("""COMPUTED_VALUE"""),3143158883)</f>
        <v>3143158883</v>
      </c>
      <c r="J648" s="40" t="str">
        <f ca="1">IFERROR(__xludf.DUMMYFUNCTION("""COMPUTED_VALUE"""),"andersonsotelo619@gmail.com")</f>
        <v>andersonsotelo619@gmail.com</v>
      </c>
      <c r="K648" s="40" t="str">
        <f ca="1">IFERROR(__xludf.DUMMYFUNCTION("""COMPUTED_VALUE"""),"PITALITO")</f>
        <v>PITALITO</v>
      </c>
      <c r="L648" s="40" t="str">
        <f ca="1">IFERROR(__xludf.DUMMYFUNCTION("""COMPUTED_VALUE"""),"CONTRATO DE APRENDIZAJE")</f>
        <v>CONTRATO DE APRENDIZAJE</v>
      </c>
      <c r="M648" s="40" t="str">
        <f ca="1">IFERROR(__xludf.DUMMYFUNCTION("""COMPUTED_VALUE"""),"SERVIPEZ DEL HUILA SAS")</f>
        <v>SERVIPEZ DEL HUILA SAS</v>
      </c>
      <c r="N648" s="40" t="str">
        <f ca="1">IFERROR(__xludf.DUMMYFUNCTION("""COMPUTED_VALUE"""),"cra 5 #10-49 oficina 501 edificio plaza real")</f>
        <v>cra 5 #10-49 oficina 501 edificio plaza real</v>
      </c>
      <c r="O648" s="40">
        <f ca="1">IFERROR(__xludf.DUMMYFUNCTION("""COMPUTED_VALUE"""),3173650676)</f>
        <v>3173650676</v>
      </c>
      <c r="P648" s="40" t="str">
        <f ca="1">IFERROR(__xludf.DUMMYFUNCTION("""COMPUTED_VALUE"""),"NEIVA")</f>
        <v>NEIVA</v>
      </c>
      <c r="Q648" s="40" t="str">
        <f ca="1">IFERROR(__xludf.DUMMYFUNCTION("""COMPUTED_VALUE"""),"talentohumano@botero.com.co")</f>
        <v>talentohumano@botero.com.co</v>
      </c>
      <c r="R648" s="140">
        <f ca="1">IFERROR(__xludf.DUMMYFUNCTION("""COMPUTED_VALUE"""),44866)</f>
        <v>44866</v>
      </c>
      <c r="S648" s="140">
        <f ca="1">IFERROR(__xludf.DUMMYFUNCTION("""COMPUTED_VALUE"""),45046)</f>
        <v>45046</v>
      </c>
      <c r="T648" s="40"/>
      <c r="U648" s="40" t="str">
        <f ca="1">IFERROR(__xludf.DUMMYFUNCTION("""COMPUTED_VALUE"""),"ANA MILENA CAMACHO TAMARA")</f>
        <v>ANA MILENA CAMACHO TAMARA</v>
      </c>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t="str">
        <f ca="1">IFERROR(__xludf.DUMMYFUNCTION("""COMPUTED_VALUE"""),"NO_CUMPLE")</f>
        <v>NO_CUMPLE</v>
      </c>
      <c r="AV648" s="40" t="str">
        <f ca="1">IFERROR(__xludf.DUMMYFUNCTION("""COMPUTED_VALUE"""),"EN FORMACION")</f>
        <v>EN FORMACION</v>
      </c>
      <c r="AW648" s="40" t="str">
        <f ca="1">IFERROR(__xludf.DUMMYFUNCTION("""COMPUTED_VALUE"""),"AGROPECUARIO")</f>
        <v>AGROPECUARIO</v>
      </c>
      <c r="AX648" s="141">
        <f ca="1">IFERROR(__xludf.DUMMYFUNCTION("""COMPUTED_VALUE"""),44839)</f>
        <v>44839</v>
      </c>
      <c r="AY648" s="40">
        <f ca="1">IFERROR(__xludf.DUMMYFUNCTION("""COMPUTED_VALUE"""),1)</f>
        <v>1</v>
      </c>
      <c r="AZ648" s="40">
        <f ca="1">IFERROR(__xludf.DUMMYFUNCTION("""COMPUTED_VALUE"""),1)</f>
        <v>1</v>
      </c>
      <c r="BA648" s="40">
        <f ca="1">IFERROR(__xludf.DUMMYFUNCTION("""COMPUTED_VALUE"""),0)</f>
        <v>0</v>
      </c>
      <c r="BB648" s="40">
        <f ca="1">IFERROR(__xludf.DUMMYFUNCTION("""COMPUTED_VALUE"""),7)</f>
        <v>7</v>
      </c>
      <c r="BC648" s="40">
        <f ca="1">IFERROR(__xludf.DUMMYFUNCTION("""COMPUTED_VALUE"""),9)</f>
        <v>9</v>
      </c>
      <c r="BD648" s="141">
        <f ca="1">IFERROR(__xludf.DUMMYFUNCTION("""COMPUTED_VALUE"""),44301)</f>
        <v>44301</v>
      </c>
      <c r="BE648" s="141">
        <f ca="1">IFERROR(__xludf.DUMMYFUNCTION("""COMPUTED_VALUE"""),44848)</f>
        <v>44848</v>
      </c>
      <c r="BF648" s="141">
        <f ca="1">IFERROR(__xludf.DUMMYFUNCTION("""COMPUTED_VALUE"""),45030)</f>
        <v>45030</v>
      </c>
      <c r="BG648" s="141">
        <f ca="1">IFERROR(__xludf.DUMMYFUNCTION("""COMPUTED_VALUE"""),45579)</f>
        <v>45579</v>
      </c>
      <c r="BH648" s="40" t="str">
        <f ca="1">IFERROR(__xludf.DUMMYFUNCTION("""COMPUTED_VALUE"""),"FICHA EN TIEMPO-18 MESES")</f>
        <v>FICHA EN TIEMPO-18 MESES</v>
      </c>
      <c r="BI648" s="40" t="str">
        <f ca="1">IFERROR(__xludf.DUMMYFUNCTION("""COMPUTED_VALUE"""),"En ejecucion")</f>
        <v>En ejecucion</v>
      </c>
      <c r="BJ648" s="40" t="str">
        <f ca="1">IFERROR(__xludf.DUMMYFUNCTION("""COMPUTED_VALUE"""),"Yamboro")</f>
        <v>Yamboro</v>
      </c>
      <c r="BK648" s="40"/>
      <c r="BL648" s="40"/>
    </row>
    <row r="649" spans="1:64" ht="13">
      <c r="A649" s="40"/>
      <c r="B649" s="40" t="str">
        <f ca="1">IFERROR(__xludf.DUMMYFUNCTION("""COMPUTED_VALUE"""),"FORMACIÓN 18/10/2022")</f>
        <v>FORMACIÓN 18/10/2022</v>
      </c>
      <c r="C649" s="40" t="str">
        <f ca="1">IFERROR(__xludf.DUMMYFUNCTION("""COMPUTED_VALUE"""),"YINA MARCELA ROMERO ILES")</f>
        <v>YINA MARCELA ROMERO ILES</v>
      </c>
      <c r="D649" s="40" t="str">
        <f ca="1">IFERROR(__xludf.DUMMYFUNCTION("""COMPUTED_VALUE"""),"CC")</f>
        <v>CC</v>
      </c>
      <c r="E649" s="40">
        <f ca="1">IFERROR(__xludf.DUMMYFUNCTION("""COMPUTED_VALUE"""),1004440089)</f>
        <v>1004440089</v>
      </c>
      <c r="F649" s="40">
        <f ca="1">IFERROR(__xludf.DUMMYFUNCTION("""COMPUTED_VALUE"""),2280193)</f>
        <v>2280193</v>
      </c>
      <c r="G649" s="40" t="str">
        <f ca="1">IFERROR(__xludf.DUMMYFUNCTION("""COMPUTED_VALUE"""),"TECNÓLOGO")</f>
        <v>TECNÓLOGO</v>
      </c>
      <c r="H649" s="40" t="str">
        <f ca="1">IFERROR(__xludf.DUMMYFUNCTION("""COMPUTED_VALUE"""),"PRODUCCIÓN AGROPECUARIA ECOLÓGICA")</f>
        <v>PRODUCCIÓN AGROPECUARIA ECOLÓGICA</v>
      </c>
      <c r="I649" s="40">
        <f ca="1">IFERROR(__xludf.DUMMYFUNCTION("""COMPUTED_VALUE"""),3112766786)</f>
        <v>3112766786</v>
      </c>
      <c r="J649" s="40" t="str">
        <f ca="1">IFERROR(__xludf.DUMMYFUNCTION("""COMPUTED_VALUE"""),"marcelailes18@gmail.com")</f>
        <v>marcelailes18@gmail.com</v>
      </c>
      <c r="K649" s="40" t="str">
        <f ca="1">IFERROR(__xludf.DUMMYFUNCTION("""COMPUTED_VALUE"""),"PITALITO")</f>
        <v>PITALITO</v>
      </c>
      <c r="L649" s="40" t="str">
        <f ca="1">IFERROR(__xludf.DUMMYFUNCTION("""COMPUTED_VALUE"""),"CONTRATO DE APRENDIZAJE")</f>
        <v>CONTRATO DE APRENDIZAJE</v>
      </c>
      <c r="M649" s="40" t="str">
        <f ca="1">IFERROR(__xludf.DUMMYFUNCTION("""COMPUTED_VALUE"""),"INVERSIONES COSIE SAS")</f>
        <v>INVERSIONES COSIE SAS</v>
      </c>
      <c r="N649" s="40" t="str">
        <f ca="1">IFERROR(__xludf.DUMMYFUNCTION("""COMPUTED_VALUE"""),"CARRERA 1 N. 15-73 BARRIO SAN RAFAEL")</f>
        <v>CARRERA 1 N. 15-73 BARRIO SAN RAFAEL</v>
      </c>
      <c r="O649" s="40">
        <f ca="1">IFERROR(__xludf.DUMMYFUNCTION("""COMPUTED_VALUE"""),3205573830)</f>
        <v>3205573830</v>
      </c>
      <c r="P649" s="40" t="str">
        <f ca="1">IFERROR(__xludf.DUMMYFUNCTION("""COMPUTED_VALUE"""),"PITALITO")</f>
        <v>PITALITO</v>
      </c>
      <c r="Q649" s="40" t="str">
        <f ca="1">IFERROR(__xludf.DUMMYFUNCTION("""COMPUTED_VALUE"""),"ghumana.icosie@gmail.com")</f>
        <v>ghumana.icosie@gmail.com</v>
      </c>
      <c r="R649" s="140">
        <f ca="1">IFERROR(__xludf.DUMMYFUNCTION("""COMPUTED_VALUE"""),44850)</f>
        <v>44850</v>
      </c>
      <c r="S649" s="140">
        <f ca="1">IFERROR(__xludf.DUMMYFUNCTION("""COMPUTED_VALUE"""),45028)</f>
        <v>45028</v>
      </c>
      <c r="T649" s="40"/>
      <c r="U649" s="40" t="str">
        <f ca="1">IFERROR(__xludf.DUMMYFUNCTION("""COMPUTED_VALUE"""),"POR ASIGNAR")</f>
        <v>POR ASIGNAR</v>
      </c>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t="str">
        <f ca="1">IFERROR(__xludf.DUMMYFUNCTION("""COMPUTED_VALUE"""),"NO_CUMPLE")</f>
        <v>NO_CUMPLE</v>
      </c>
      <c r="AV649" s="40" t="str">
        <f ca="1">IFERROR(__xludf.DUMMYFUNCTION("""COMPUTED_VALUE"""),"EN FORMACION")</f>
        <v>EN FORMACION</v>
      </c>
      <c r="AW649" s="40" t="str">
        <f ca="1">IFERROR(__xludf.DUMMYFUNCTION("""COMPUTED_VALUE"""),"AGROPECUARIO")</f>
        <v>AGROPECUARIO</v>
      </c>
      <c r="AX649" s="141">
        <f ca="1">IFERROR(__xludf.DUMMYFUNCTION("""COMPUTED_VALUE"""),44839)</f>
        <v>44839</v>
      </c>
      <c r="AY649" s="40">
        <f ca="1">IFERROR(__xludf.DUMMYFUNCTION("""COMPUTED_VALUE"""),1)</f>
        <v>1</v>
      </c>
      <c r="AZ649" s="40">
        <f ca="1">IFERROR(__xludf.DUMMYFUNCTION("""COMPUTED_VALUE"""),1)</f>
        <v>1</v>
      </c>
      <c r="BA649" s="40">
        <f ca="1">IFERROR(__xludf.DUMMYFUNCTION("""COMPUTED_VALUE"""),0)</f>
        <v>0</v>
      </c>
      <c r="BB649" s="40">
        <f ca="1">IFERROR(__xludf.DUMMYFUNCTION("""COMPUTED_VALUE"""),7)</f>
        <v>7</v>
      </c>
      <c r="BC649" s="40">
        <f ca="1">IFERROR(__xludf.DUMMYFUNCTION("""COMPUTED_VALUE"""),9)</f>
        <v>9</v>
      </c>
      <c r="BD649" s="141">
        <f ca="1">IFERROR(__xludf.DUMMYFUNCTION("""COMPUTED_VALUE"""),44301)</f>
        <v>44301</v>
      </c>
      <c r="BE649" s="141">
        <f ca="1">IFERROR(__xludf.DUMMYFUNCTION("""COMPUTED_VALUE"""),44848)</f>
        <v>44848</v>
      </c>
      <c r="BF649" s="141">
        <f ca="1">IFERROR(__xludf.DUMMYFUNCTION("""COMPUTED_VALUE"""),45030)</f>
        <v>45030</v>
      </c>
      <c r="BG649" s="141">
        <f ca="1">IFERROR(__xludf.DUMMYFUNCTION("""COMPUTED_VALUE"""),45579)</f>
        <v>45579</v>
      </c>
      <c r="BH649" s="40" t="str">
        <f ca="1">IFERROR(__xludf.DUMMYFUNCTION("""COMPUTED_VALUE"""),"FICHA EN TIEMPO-18 MESES")</f>
        <v>FICHA EN TIEMPO-18 MESES</v>
      </c>
      <c r="BI649" s="40" t="str">
        <f ca="1">IFERROR(__xludf.DUMMYFUNCTION("""COMPUTED_VALUE"""),"En ejecucion")</f>
        <v>En ejecucion</v>
      </c>
      <c r="BJ649" s="40" t="str">
        <f ca="1">IFERROR(__xludf.DUMMYFUNCTION("""COMPUTED_VALUE"""),"Yamboro")</f>
        <v>Yamboro</v>
      </c>
      <c r="BK649" s="40"/>
      <c r="BL649" s="40"/>
    </row>
    <row r="650" spans="1:64" ht="13">
      <c r="A650" s="40"/>
      <c r="B650" s="40" t="str">
        <f ca="1">IFERROR(__xludf.DUMMYFUNCTION("""COMPUTED_VALUE"""),"FORMACIÓN 18/10/2022")</f>
        <v>FORMACIÓN 18/10/2022</v>
      </c>
      <c r="C650" s="40" t="str">
        <f ca="1">IFERROR(__xludf.DUMMYFUNCTION("""COMPUTED_VALUE"""),"ANDREINA HERNANDEZ SOLIS")</f>
        <v>ANDREINA HERNANDEZ SOLIS</v>
      </c>
      <c r="D650" s="40" t="str">
        <f ca="1">IFERROR(__xludf.DUMMYFUNCTION("""COMPUTED_VALUE"""),"CC")</f>
        <v>CC</v>
      </c>
      <c r="E650" s="40">
        <f ca="1">IFERROR(__xludf.DUMMYFUNCTION("""COMPUTED_VALUE"""),1004442867)</f>
        <v>1004442867</v>
      </c>
      <c r="F650" s="40">
        <f ca="1">IFERROR(__xludf.DUMMYFUNCTION("""COMPUTED_VALUE"""),2280193)</f>
        <v>2280193</v>
      </c>
      <c r="G650" s="40" t="str">
        <f ca="1">IFERROR(__xludf.DUMMYFUNCTION("""COMPUTED_VALUE"""),"TECNÓLOGO")</f>
        <v>TECNÓLOGO</v>
      </c>
      <c r="H650" s="40" t="str">
        <f ca="1">IFERROR(__xludf.DUMMYFUNCTION("""COMPUTED_VALUE"""),"PRODUCCIÓN AGROPECUARIA ECOLÓGICA")</f>
        <v>PRODUCCIÓN AGROPECUARIA ECOLÓGICA</v>
      </c>
      <c r="I650" s="40"/>
      <c r="J650" s="40"/>
      <c r="K650" s="40"/>
      <c r="L650" s="40" t="str">
        <f ca="1">IFERROR(__xludf.DUMMYFUNCTION("""COMPUTED_VALUE"""),"NO HA INICIADO ETAPA PRODUCTIVA")</f>
        <v>NO HA INICIADO ETAPA PRODUCTIVA</v>
      </c>
      <c r="M650" s="40"/>
      <c r="N650" s="40"/>
      <c r="O650" s="40"/>
      <c r="P650" s="40"/>
      <c r="Q650" s="40"/>
      <c r="R650" s="140"/>
      <c r="S650" s="1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t="str">
        <f ca="1">IFERROR(__xludf.DUMMYFUNCTION("""COMPUTED_VALUE"""),"NO_CUMPLE")</f>
        <v>NO_CUMPLE</v>
      </c>
      <c r="AV650" s="40" t="str">
        <f ca="1">IFERROR(__xludf.DUMMYFUNCTION("""COMPUTED_VALUE"""),"EN FORMACION")</f>
        <v>EN FORMACION</v>
      </c>
      <c r="AW650" s="40" t="str">
        <f ca="1">IFERROR(__xludf.DUMMYFUNCTION("""COMPUTED_VALUE"""),"AGROPECUARIO")</f>
        <v>AGROPECUARIO</v>
      </c>
      <c r="AX650" s="141">
        <f ca="1">IFERROR(__xludf.DUMMYFUNCTION("""COMPUTED_VALUE"""),44839)</f>
        <v>44839</v>
      </c>
      <c r="AY650" s="40">
        <f ca="1">IFERROR(__xludf.DUMMYFUNCTION("""COMPUTED_VALUE"""),1)</f>
        <v>1</v>
      </c>
      <c r="AZ650" s="40">
        <f ca="1">IFERROR(__xludf.DUMMYFUNCTION("""COMPUTED_VALUE"""),1)</f>
        <v>1</v>
      </c>
      <c r="BA650" s="40">
        <f ca="1">IFERROR(__xludf.DUMMYFUNCTION("""COMPUTED_VALUE"""),0)</f>
        <v>0</v>
      </c>
      <c r="BB650" s="40">
        <f ca="1">IFERROR(__xludf.DUMMYFUNCTION("""COMPUTED_VALUE"""),7)</f>
        <v>7</v>
      </c>
      <c r="BC650" s="40">
        <f ca="1">IFERROR(__xludf.DUMMYFUNCTION("""COMPUTED_VALUE"""),9)</f>
        <v>9</v>
      </c>
      <c r="BD650" s="141">
        <f ca="1">IFERROR(__xludf.DUMMYFUNCTION("""COMPUTED_VALUE"""),44301)</f>
        <v>44301</v>
      </c>
      <c r="BE650" s="141">
        <f ca="1">IFERROR(__xludf.DUMMYFUNCTION("""COMPUTED_VALUE"""),44848)</f>
        <v>44848</v>
      </c>
      <c r="BF650" s="141">
        <f ca="1">IFERROR(__xludf.DUMMYFUNCTION("""COMPUTED_VALUE"""),45030)</f>
        <v>45030</v>
      </c>
      <c r="BG650" s="141">
        <f ca="1">IFERROR(__xludf.DUMMYFUNCTION("""COMPUTED_VALUE"""),45579)</f>
        <v>45579</v>
      </c>
      <c r="BH650" s="40" t="str">
        <f ca="1">IFERROR(__xludf.DUMMYFUNCTION("""COMPUTED_VALUE"""),"FICHA EN TIEMPO-18 MESES")</f>
        <v>FICHA EN TIEMPO-18 MESES</v>
      </c>
      <c r="BI650" s="40" t="str">
        <f ca="1">IFERROR(__xludf.DUMMYFUNCTION("""COMPUTED_VALUE"""),"En ejecucion")</f>
        <v>En ejecucion</v>
      </c>
      <c r="BJ650" s="40" t="str">
        <f ca="1">IFERROR(__xludf.DUMMYFUNCTION("""COMPUTED_VALUE"""),"Yamboro")</f>
        <v>Yamboro</v>
      </c>
      <c r="BK650" s="40"/>
      <c r="BL650" s="40"/>
    </row>
    <row r="651" spans="1:64" ht="13">
      <c r="A651" s="40"/>
      <c r="B651" s="40" t="str">
        <f ca="1">IFERROR(__xludf.DUMMYFUNCTION("""COMPUTED_VALUE"""),"FORMACIÓN 18/10/2022")</f>
        <v>FORMACIÓN 18/10/2022</v>
      </c>
      <c r="C651" s="40" t="str">
        <f ca="1">IFERROR(__xludf.DUMMYFUNCTION("""COMPUTED_VALUE"""),"DIEGO ANACONA ARTUNDUAGA")</f>
        <v>DIEGO ANACONA ARTUNDUAGA</v>
      </c>
      <c r="D651" s="40" t="str">
        <f ca="1">IFERROR(__xludf.DUMMYFUNCTION("""COMPUTED_VALUE"""),"CC")</f>
        <v>CC</v>
      </c>
      <c r="E651" s="40">
        <f ca="1">IFERROR(__xludf.DUMMYFUNCTION("""COMPUTED_VALUE"""),1006484745)</f>
        <v>1006484745</v>
      </c>
      <c r="F651" s="40">
        <f ca="1">IFERROR(__xludf.DUMMYFUNCTION("""COMPUTED_VALUE"""),2280193)</f>
        <v>2280193</v>
      </c>
      <c r="G651" s="40" t="str">
        <f ca="1">IFERROR(__xludf.DUMMYFUNCTION("""COMPUTED_VALUE"""),"TECNÓLOGO")</f>
        <v>TECNÓLOGO</v>
      </c>
      <c r="H651" s="40" t="str">
        <f ca="1">IFERROR(__xludf.DUMMYFUNCTION("""COMPUTED_VALUE"""),"PRODUCCIÓN AGROPECUARIA ECOLÓGICA")</f>
        <v>PRODUCCIÓN AGROPECUARIA ECOLÓGICA</v>
      </c>
      <c r="I651" s="40"/>
      <c r="J651" s="40" t="str">
        <f ca="1">IFERROR(__xludf.DUMMYFUNCTION("""COMPUTED_VALUE"""),"anaconadiego74@gmail.com")</f>
        <v>anaconadiego74@gmail.com</v>
      </c>
      <c r="K651" s="40" t="str">
        <f ca="1">IFERROR(__xludf.DUMMYFUNCTION("""COMPUTED_VALUE"""),"ELIAS")</f>
        <v>ELIAS</v>
      </c>
      <c r="L651" s="40" t="str">
        <f ca="1">IFERROR(__xludf.DUMMYFUNCTION("""COMPUTED_VALUE"""),"CONTRATO DE APRENDIZAJE")</f>
        <v>CONTRATO DE APRENDIZAJE</v>
      </c>
      <c r="M651" s="40" t="str">
        <f ca="1">IFERROR(__xludf.DUMMYFUNCTION("""COMPUTED_VALUE"""),"GRUPO PRONUM SAS")</f>
        <v>GRUPO PRONUM SAS</v>
      </c>
      <c r="N651" s="40" t="str">
        <f ca="1">IFERROR(__xludf.DUMMYFUNCTION("""COMPUTED_VALUE"""),"km 2 via briceño zipaquira parque Industrial Tibitoc. Bodega 15")</f>
        <v>km 2 via briceño zipaquira parque Industrial Tibitoc. Bodega 15</v>
      </c>
      <c r="O651" s="40">
        <f ca="1">IFERROR(__xludf.DUMMYFUNCTION("""COMPUTED_VALUE"""),8697245)</f>
        <v>8697245</v>
      </c>
      <c r="P651" s="40" t="str">
        <f ca="1">IFERROR(__xludf.DUMMYFUNCTION("""COMPUTED_VALUE"""),"TOCANCIPA")</f>
        <v>TOCANCIPA</v>
      </c>
      <c r="Q651" s="40" t="str">
        <f ca="1">IFERROR(__xludf.DUMMYFUNCTION("""COMPUTED_VALUE"""),"recursoshumanos@grupopronum.com")</f>
        <v>recursoshumanos@grupopronum.com</v>
      </c>
      <c r="R651" s="140">
        <f ca="1">IFERROR(__xludf.DUMMYFUNCTION("""COMPUTED_VALUE"""),44853)</f>
        <v>44853</v>
      </c>
      <c r="S651" s="140">
        <f ca="1">IFERROR(__xludf.DUMMYFUNCTION("""COMPUTED_VALUE"""),45035)</f>
        <v>45035</v>
      </c>
      <c r="T651" s="40"/>
      <c r="U651" s="40" t="str">
        <f ca="1">IFERROR(__xludf.DUMMYFUNCTION("""COMPUTED_VALUE"""),"ANA MILENA CAMACHO TAMARA")</f>
        <v>ANA MILENA CAMACHO TAMARA</v>
      </c>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t="str">
        <f ca="1">IFERROR(__xludf.DUMMYFUNCTION("""COMPUTED_VALUE"""),"NO_CUMPLE")</f>
        <v>NO_CUMPLE</v>
      </c>
      <c r="AV651" s="40" t="str">
        <f ca="1">IFERROR(__xludf.DUMMYFUNCTION("""COMPUTED_VALUE"""),"EN FORMACION")</f>
        <v>EN FORMACION</v>
      </c>
      <c r="AW651" s="40" t="str">
        <f ca="1">IFERROR(__xludf.DUMMYFUNCTION("""COMPUTED_VALUE"""),"AGROPECUARIO")</f>
        <v>AGROPECUARIO</v>
      </c>
      <c r="AX651" s="141">
        <f ca="1">IFERROR(__xludf.DUMMYFUNCTION("""COMPUTED_VALUE"""),44839)</f>
        <v>44839</v>
      </c>
      <c r="AY651" s="40">
        <f ca="1">IFERROR(__xludf.DUMMYFUNCTION("""COMPUTED_VALUE"""),1)</f>
        <v>1</v>
      </c>
      <c r="AZ651" s="40">
        <f ca="1">IFERROR(__xludf.DUMMYFUNCTION("""COMPUTED_VALUE"""),1)</f>
        <v>1</v>
      </c>
      <c r="BA651" s="40">
        <f ca="1">IFERROR(__xludf.DUMMYFUNCTION("""COMPUTED_VALUE"""),0)</f>
        <v>0</v>
      </c>
      <c r="BB651" s="40">
        <f ca="1">IFERROR(__xludf.DUMMYFUNCTION("""COMPUTED_VALUE"""),7)</f>
        <v>7</v>
      </c>
      <c r="BC651" s="40">
        <f ca="1">IFERROR(__xludf.DUMMYFUNCTION("""COMPUTED_VALUE"""),9)</f>
        <v>9</v>
      </c>
      <c r="BD651" s="141">
        <f ca="1">IFERROR(__xludf.DUMMYFUNCTION("""COMPUTED_VALUE"""),44301)</f>
        <v>44301</v>
      </c>
      <c r="BE651" s="141">
        <f ca="1">IFERROR(__xludf.DUMMYFUNCTION("""COMPUTED_VALUE"""),44848)</f>
        <v>44848</v>
      </c>
      <c r="BF651" s="141">
        <f ca="1">IFERROR(__xludf.DUMMYFUNCTION("""COMPUTED_VALUE"""),45030)</f>
        <v>45030</v>
      </c>
      <c r="BG651" s="141">
        <f ca="1">IFERROR(__xludf.DUMMYFUNCTION("""COMPUTED_VALUE"""),45579)</f>
        <v>45579</v>
      </c>
      <c r="BH651" s="40" t="str">
        <f ca="1">IFERROR(__xludf.DUMMYFUNCTION("""COMPUTED_VALUE"""),"FICHA EN TIEMPO-18 MESES")</f>
        <v>FICHA EN TIEMPO-18 MESES</v>
      </c>
      <c r="BI651" s="40" t="str">
        <f ca="1">IFERROR(__xludf.DUMMYFUNCTION("""COMPUTED_VALUE"""),"En ejecucion")</f>
        <v>En ejecucion</v>
      </c>
      <c r="BJ651" s="40" t="str">
        <f ca="1">IFERROR(__xludf.DUMMYFUNCTION("""COMPUTED_VALUE"""),"Yamboro")</f>
        <v>Yamboro</v>
      </c>
      <c r="BK651" s="40"/>
      <c r="BL651" s="40"/>
    </row>
    <row r="652" spans="1:64" ht="13">
      <c r="A652" s="40"/>
      <c r="B652" s="40" t="str">
        <f ca="1">IFERROR(__xludf.DUMMYFUNCTION("""COMPUTED_VALUE"""),"FORMACIÓN 18/10/2022")</f>
        <v>FORMACIÓN 18/10/2022</v>
      </c>
      <c r="C652" s="40" t="str">
        <f ca="1">IFERROR(__xludf.DUMMYFUNCTION("""COMPUTED_VALUE"""),"SARA NATALIA SALAS TRUJILLO")</f>
        <v>SARA NATALIA SALAS TRUJILLO</v>
      </c>
      <c r="D652" s="40" t="str">
        <f ca="1">IFERROR(__xludf.DUMMYFUNCTION("""COMPUTED_VALUE"""),"CC")</f>
        <v>CC</v>
      </c>
      <c r="E652" s="40">
        <f ca="1">IFERROR(__xludf.DUMMYFUNCTION("""COMPUTED_VALUE"""),1007163257)</f>
        <v>1007163257</v>
      </c>
      <c r="F652" s="40">
        <f ca="1">IFERROR(__xludf.DUMMYFUNCTION("""COMPUTED_VALUE"""),2280193)</f>
        <v>2280193</v>
      </c>
      <c r="G652" s="40" t="str">
        <f ca="1">IFERROR(__xludf.DUMMYFUNCTION("""COMPUTED_VALUE"""),"TECNÓLOGO")</f>
        <v>TECNÓLOGO</v>
      </c>
      <c r="H652" s="40" t="str">
        <f ca="1">IFERROR(__xludf.DUMMYFUNCTION("""COMPUTED_VALUE"""),"PRODUCCIÓN AGROPECUARIA ECOLÓGICA")</f>
        <v>PRODUCCIÓN AGROPECUARIA ECOLÓGICA</v>
      </c>
      <c r="I652" s="40"/>
      <c r="J652" s="40"/>
      <c r="K652" s="40"/>
      <c r="L652" s="40" t="str">
        <f ca="1">IFERROR(__xludf.DUMMYFUNCTION("""COMPUTED_VALUE"""),"PASANTÍAS")</f>
        <v>PASANTÍAS</v>
      </c>
      <c r="M652" s="40" t="str">
        <f ca="1">IFERROR(__xludf.DUMMYFUNCTION("""COMPUTED_VALUE"""),"ANGELICA MARIA QUINTERO QUINTERO")</f>
        <v>ANGELICA MARIA QUINTERO QUINTERO</v>
      </c>
      <c r="N652" s="40" t="str">
        <f ca="1">IFERROR(__xludf.DUMMYFUNCTION("""COMPUTED_VALUE"""),"CRA 4 N° 9-88 TIMANA H")</f>
        <v>CRA 4 N° 9-88 TIMANA H</v>
      </c>
      <c r="O652" s="40">
        <f ca="1">IFERROR(__xludf.DUMMYFUNCTION("""COMPUTED_VALUE"""),3208540538)</f>
        <v>3208540538</v>
      </c>
      <c r="P652" s="40" t="str">
        <f ca="1">IFERROR(__xludf.DUMMYFUNCTION("""COMPUTED_VALUE"""),"TIMANA ")</f>
        <v xml:space="preserve">TIMANA </v>
      </c>
      <c r="Q652" s="40" t="str">
        <f ca="1">IFERROR(__xludf.DUMMYFUNCTION("""COMPUTED_VALUE"""),"contactenos@timana-huila.gov.co")</f>
        <v>contactenos@timana-huila.gov.co</v>
      </c>
      <c r="R652" s="140">
        <f ca="1">IFERROR(__xludf.DUMMYFUNCTION("""COMPUTED_VALUE"""),44883)</f>
        <v>44883</v>
      </c>
      <c r="S652" s="140">
        <f ca="1">IFERROR(__xludf.DUMMYFUNCTION("""COMPUTED_VALUE"""),45063)</f>
        <v>45063</v>
      </c>
      <c r="T652" s="40"/>
      <c r="U652" s="40" t="str">
        <f ca="1">IFERROR(__xludf.DUMMYFUNCTION("""COMPUTED_VALUE"""),"ANA MILENA CAMACHO TAMARA")</f>
        <v>ANA MILENA CAMACHO TAMARA</v>
      </c>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t="str">
        <f ca="1">IFERROR(__xludf.DUMMYFUNCTION("""COMPUTED_VALUE"""),"NO_CUMPLE")</f>
        <v>NO_CUMPLE</v>
      </c>
      <c r="AV652" s="40" t="str">
        <f ca="1">IFERROR(__xludf.DUMMYFUNCTION("""COMPUTED_VALUE"""),"EN FORMACION")</f>
        <v>EN FORMACION</v>
      </c>
      <c r="AW652" s="40" t="str">
        <f ca="1">IFERROR(__xludf.DUMMYFUNCTION("""COMPUTED_VALUE"""),"AGROPECUARIO")</f>
        <v>AGROPECUARIO</v>
      </c>
      <c r="AX652" s="141">
        <f ca="1">IFERROR(__xludf.DUMMYFUNCTION("""COMPUTED_VALUE"""),44839)</f>
        <v>44839</v>
      </c>
      <c r="AY652" s="40">
        <f ca="1">IFERROR(__xludf.DUMMYFUNCTION("""COMPUTED_VALUE"""),1)</f>
        <v>1</v>
      </c>
      <c r="AZ652" s="40">
        <f ca="1">IFERROR(__xludf.DUMMYFUNCTION("""COMPUTED_VALUE"""),1)</f>
        <v>1</v>
      </c>
      <c r="BA652" s="40">
        <f ca="1">IFERROR(__xludf.DUMMYFUNCTION("""COMPUTED_VALUE"""),0)</f>
        <v>0</v>
      </c>
      <c r="BB652" s="40">
        <f ca="1">IFERROR(__xludf.DUMMYFUNCTION("""COMPUTED_VALUE"""),7)</f>
        <v>7</v>
      </c>
      <c r="BC652" s="40">
        <f ca="1">IFERROR(__xludf.DUMMYFUNCTION("""COMPUTED_VALUE"""),9)</f>
        <v>9</v>
      </c>
      <c r="BD652" s="141">
        <f ca="1">IFERROR(__xludf.DUMMYFUNCTION("""COMPUTED_VALUE"""),44301)</f>
        <v>44301</v>
      </c>
      <c r="BE652" s="141">
        <f ca="1">IFERROR(__xludf.DUMMYFUNCTION("""COMPUTED_VALUE"""),44848)</f>
        <v>44848</v>
      </c>
      <c r="BF652" s="141">
        <f ca="1">IFERROR(__xludf.DUMMYFUNCTION("""COMPUTED_VALUE"""),45030)</f>
        <v>45030</v>
      </c>
      <c r="BG652" s="141">
        <f ca="1">IFERROR(__xludf.DUMMYFUNCTION("""COMPUTED_VALUE"""),45579)</f>
        <v>45579</v>
      </c>
      <c r="BH652" s="40" t="str">
        <f ca="1">IFERROR(__xludf.DUMMYFUNCTION("""COMPUTED_VALUE"""),"FICHA EN TIEMPO-18 MESES")</f>
        <v>FICHA EN TIEMPO-18 MESES</v>
      </c>
      <c r="BI652" s="40" t="str">
        <f ca="1">IFERROR(__xludf.DUMMYFUNCTION("""COMPUTED_VALUE"""),"En ejecucion")</f>
        <v>En ejecucion</v>
      </c>
      <c r="BJ652" s="40" t="str">
        <f ca="1">IFERROR(__xludf.DUMMYFUNCTION("""COMPUTED_VALUE"""),"Yamboro")</f>
        <v>Yamboro</v>
      </c>
      <c r="BK652" s="40"/>
      <c r="BL652" s="40"/>
    </row>
    <row r="653" spans="1:64" ht="13">
      <c r="A653" s="40"/>
      <c r="B653" s="40" t="str">
        <f ca="1">IFERROR(__xludf.DUMMYFUNCTION("""COMPUTED_VALUE"""),"FORMACIÓN 18/10/2022")</f>
        <v>FORMACIÓN 18/10/2022</v>
      </c>
      <c r="C653" s="40" t="str">
        <f ca="1">IFERROR(__xludf.DUMMYFUNCTION("""COMPUTED_VALUE"""),"CARMENZA SUAREZ VITECHE")</f>
        <v>CARMENZA SUAREZ VITECHE</v>
      </c>
      <c r="D653" s="40" t="str">
        <f ca="1">IFERROR(__xludf.DUMMYFUNCTION("""COMPUTED_VALUE"""),"CC")</f>
        <v>CC</v>
      </c>
      <c r="E653" s="40">
        <f ca="1">IFERROR(__xludf.DUMMYFUNCTION("""COMPUTED_VALUE"""),1007248979)</f>
        <v>1007248979</v>
      </c>
      <c r="F653" s="40">
        <f ca="1">IFERROR(__xludf.DUMMYFUNCTION("""COMPUTED_VALUE"""),2280193)</f>
        <v>2280193</v>
      </c>
      <c r="G653" s="40" t="str">
        <f ca="1">IFERROR(__xludf.DUMMYFUNCTION("""COMPUTED_VALUE"""),"TECNÓLOGO")</f>
        <v>TECNÓLOGO</v>
      </c>
      <c r="H653" s="40" t="str">
        <f ca="1">IFERROR(__xludf.DUMMYFUNCTION("""COMPUTED_VALUE"""),"PRODUCCIÓN AGROPECUARIA ECOLÓGICA")</f>
        <v>PRODUCCIÓN AGROPECUARIA ECOLÓGICA</v>
      </c>
      <c r="I653" s="40"/>
      <c r="J653" s="40"/>
      <c r="K653" s="40"/>
      <c r="L653" s="40" t="str">
        <f ca="1">IFERROR(__xludf.DUMMYFUNCTION("""COMPUTED_VALUE"""),"NO HA INICIADO ETAPA PRODUCTIVA")</f>
        <v>NO HA INICIADO ETAPA PRODUCTIVA</v>
      </c>
      <c r="M653" s="40"/>
      <c r="N653" s="40"/>
      <c r="O653" s="40"/>
      <c r="P653" s="40"/>
      <c r="Q653" s="40"/>
      <c r="R653" s="140"/>
      <c r="S653" s="1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t="str">
        <f ca="1">IFERROR(__xludf.DUMMYFUNCTION("""COMPUTED_VALUE"""),"NO_CUMPLE")</f>
        <v>NO_CUMPLE</v>
      </c>
      <c r="AV653" s="40" t="str">
        <f ca="1">IFERROR(__xludf.DUMMYFUNCTION("""COMPUTED_VALUE"""),"EN FORMACION")</f>
        <v>EN FORMACION</v>
      </c>
      <c r="AW653" s="40" t="str">
        <f ca="1">IFERROR(__xludf.DUMMYFUNCTION("""COMPUTED_VALUE"""),"AGROPECUARIO")</f>
        <v>AGROPECUARIO</v>
      </c>
      <c r="AX653" s="141">
        <f ca="1">IFERROR(__xludf.DUMMYFUNCTION("""COMPUTED_VALUE"""),44839)</f>
        <v>44839</v>
      </c>
      <c r="AY653" s="40">
        <f ca="1">IFERROR(__xludf.DUMMYFUNCTION("""COMPUTED_VALUE"""),1)</f>
        <v>1</v>
      </c>
      <c r="AZ653" s="40">
        <f ca="1">IFERROR(__xludf.DUMMYFUNCTION("""COMPUTED_VALUE"""),1)</f>
        <v>1</v>
      </c>
      <c r="BA653" s="40">
        <f ca="1">IFERROR(__xludf.DUMMYFUNCTION("""COMPUTED_VALUE"""),0)</f>
        <v>0</v>
      </c>
      <c r="BB653" s="40">
        <f ca="1">IFERROR(__xludf.DUMMYFUNCTION("""COMPUTED_VALUE"""),7)</f>
        <v>7</v>
      </c>
      <c r="BC653" s="40">
        <f ca="1">IFERROR(__xludf.DUMMYFUNCTION("""COMPUTED_VALUE"""),9)</f>
        <v>9</v>
      </c>
      <c r="BD653" s="141">
        <f ca="1">IFERROR(__xludf.DUMMYFUNCTION("""COMPUTED_VALUE"""),44301)</f>
        <v>44301</v>
      </c>
      <c r="BE653" s="141">
        <f ca="1">IFERROR(__xludf.DUMMYFUNCTION("""COMPUTED_VALUE"""),44848)</f>
        <v>44848</v>
      </c>
      <c r="BF653" s="141">
        <f ca="1">IFERROR(__xludf.DUMMYFUNCTION("""COMPUTED_VALUE"""),45030)</f>
        <v>45030</v>
      </c>
      <c r="BG653" s="141">
        <f ca="1">IFERROR(__xludf.DUMMYFUNCTION("""COMPUTED_VALUE"""),45579)</f>
        <v>45579</v>
      </c>
      <c r="BH653" s="40" t="str">
        <f ca="1">IFERROR(__xludf.DUMMYFUNCTION("""COMPUTED_VALUE"""),"FICHA EN TIEMPO-18 MESES")</f>
        <v>FICHA EN TIEMPO-18 MESES</v>
      </c>
      <c r="BI653" s="40" t="str">
        <f ca="1">IFERROR(__xludf.DUMMYFUNCTION("""COMPUTED_VALUE"""),"En ejecucion")</f>
        <v>En ejecucion</v>
      </c>
      <c r="BJ653" s="40" t="str">
        <f ca="1">IFERROR(__xludf.DUMMYFUNCTION("""COMPUTED_VALUE"""),"Yamboro")</f>
        <v>Yamboro</v>
      </c>
      <c r="BK653" s="40"/>
      <c r="BL653" s="40"/>
    </row>
    <row r="654" spans="1:64" ht="13">
      <c r="A654" s="40"/>
      <c r="B654" s="40" t="str">
        <f ca="1">IFERROR(__xludf.DUMMYFUNCTION("""COMPUTED_VALUE"""),"FORMACIÓN 18/10/2022")</f>
        <v>FORMACIÓN 18/10/2022</v>
      </c>
      <c r="C654" s="40" t="str">
        <f ca="1">IFERROR(__xludf.DUMMYFUNCTION("""COMPUTED_VALUE"""),"JAMERZON ESTIBEN NUÑEZ MUÑOZ")</f>
        <v>JAMERZON ESTIBEN NUÑEZ MUÑOZ</v>
      </c>
      <c r="D654" s="40" t="str">
        <f ca="1">IFERROR(__xludf.DUMMYFUNCTION("""COMPUTED_VALUE"""),"CC")</f>
        <v>CC</v>
      </c>
      <c r="E654" s="40">
        <f ca="1">IFERROR(__xludf.DUMMYFUNCTION("""COMPUTED_VALUE"""),1007502778)</f>
        <v>1007502778</v>
      </c>
      <c r="F654" s="40">
        <f ca="1">IFERROR(__xludf.DUMMYFUNCTION("""COMPUTED_VALUE"""),2280193)</f>
        <v>2280193</v>
      </c>
      <c r="G654" s="40" t="str">
        <f ca="1">IFERROR(__xludf.DUMMYFUNCTION("""COMPUTED_VALUE"""),"TECNÓLOGO")</f>
        <v>TECNÓLOGO</v>
      </c>
      <c r="H654" s="40" t="str">
        <f ca="1">IFERROR(__xludf.DUMMYFUNCTION("""COMPUTED_VALUE"""),"PRODUCCIÓN AGROPECUARIA ECOLÓGICA")</f>
        <v>PRODUCCIÓN AGROPECUARIA ECOLÓGICA</v>
      </c>
      <c r="I654" s="40"/>
      <c r="J654" s="40"/>
      <c r="K654" s="40"/>
      <c r="L654" s="40" t="str">
        <f ca="1">IFERROR(__xludf.DUMMYFUNCTION("""COMPUTED_VALUE"""),"NO HA INICIADO ETAPA PRODUCTIVA")</f>
        <v>NO HA INICIADO ETAPA PRODUCTIVA</v>
      </c>
      <c r="M654" s="40"/>
      <c r="N654" s="40"/>
      <c r="O654" s="40"/>
      <c r="P654" s="40"/>
      <c r="Q654" s="40"/>
      <c r="R654" s="140"/>
      <c r="S654" s="1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t="str">
        <f ca="1">IFERROR(__xludf.DUMMYFUNCTION("""COMPUTED_VALUE"""),"NO_CUMPLE")</f>
        <v>NO_CUMPLE</v>
      </c>
      <c r="AV654" s="40" t="str">
        <f ca="1">IFERROR(__xludf.DUMMYFUNCTION("""COMPUTED_VALUE"""),"EN FORMACION")</f>
        <v>EN FORMACION</v>
      </c>
      <c r="AW654" s="40" t="str">
        <f ca="1">IFERROR(__xludf.DUMMYFUNCTION("""COMPUTED_VALUE"""),"AGROPECUARIO")</f>
        <v>AGROPECUARIO</v>
      </c>
      <c r="AX654" s="141">
        <f ca="1">IFERROR(__xludf.DUMMYFUNCTION("""COMPUTED_VALUE"""),44839)</f>
        <v>44839</v>
      </c>
      <c r="AY654" s="40">
        <f ca="1">IFERROR(__xludf.DUMMYFUNCTION("""COMPUTED_VALUE"""),1)</f>
        <v>1</v>
      </c>
      <c r="AZ654" s="40">
        <f ca="1">IFERROR(__xludf.DUMMYFUNCTION("""COMPUTED_VALUE"""),1)</f>
        <v>1</v>
      </c>
      <c r="BA654" s="40">
        <f ca="1">IFERROR(__xludf.DUMMYFUNCTION("""COMPUTED_VALUE"""),0)</f>
        <v>0</v>
      </c>
      <c r="BB654" s="40">
        <f ca="1">IFERROR(__xludf.DUMMYFUNCTION("""COMPUTED_VALUE"""),9)</f>
        <v>9</v>
      </c>
      <c r="BC654" s="40">
        <f ca="1">IFERROR(__xludf.DUMMYFUNCTION("""COMPUTED_VALUE"""),11)</f>
        <v>11</v>
      </c>
      <c r="BD654" s="141">
        <f ca="1">IFERROR(__xludf.DUMMYFUNCTION("""COMPUTED_VALUE"""),44301)</f>
        <v>44301</v>
      </c>
      <c r="BE654" s="141">
        <f ca="1">IFERROR(__xludf.DUMMYFUNCTION("""COMPUTED_VALUE"""),44848)</f>
        <v>44848</v>
      </c>
      <c r="BF654" s="141">
        <f ca="1">IFERROR(__xludf.DUMMYFUNCTION("""COMPUTED_VALUE"""),45030)</f>
        <v>45030</v>
      </c>
      <c r="BG654" s="141">
        <f ca="1">IFERROR(__xludf.DUMMYFUNCTION("""COMPUTED_VALUE"""),45579)</f>
        <v>45579</v>
      </c>
      <c r="BH654" s="40" t="str">
        <f ca="1">IFERROR(__xludf.DUMMYFUNCTION("""COMPUTED_VALUE"""),"FICHA EN TIEMPO-18 MESES")</f>
        <v>FICHA EN TIEMPO-18 MESES</v>
      </c>
      <c r="BI654" s="40" t="str">
        <f ca="1">IFERROR(__xludf.DUMMYFUNCTION("""COMPUTED_VALUE"""),"En ejecucion")</f>
        <v>En ejecucion</v>
      </c>
      <c r="BJ654" s="40" t="str">
        <f ca="1">IFERROR(__xludf.DUMMYFUNCTION("""COMPUTED_VALUE"""),"Yamboro")</f>
        <v>Yamboro</v>
      </c>
      <c r="BK654" s="40"/>
      <c r="BL654" s="40"/>
    </row>
    <row r="655" spans="1:64" ht="13">
      <c r="A655" s="40"/>
      <c r="B655" s="40" t="str">
        <f ca="1">IFERROR(__xludf.DUMMYFUNCTION("""COMPUTED_VALUE"""),"FORMACIÓN 18/10/2022")</f>
        <v>FORMACIÓN 18/10/2022</v>
      </c>
      <c r="C655" s="40" t="str">
        <f ca="1">IFERROR(__xludf.DUMMYFUNCTION("""COMPUTED_VALUE"""),"JUAN PABLO HERNANDEZ MEDINA")</f>
        <v>JUAN PABLO HERNANDEZ MEDINA</v>
      </c>
      <c r="D655" s="40" t="str">
        <f ca="1">IFERROR(__xludf.DUMMYFUNCTION("""COMPUTED_VALUE"""),"CC")</f>
        <v>CC</v>
      </c>
      <c r="E655" s="40">
        <f ca="1">IFERROR(__xludf.DUMMYFUNCTION("""COMPUTED_VALUE"""),1007587139)</f>
        <v>1007587139</v>
      </c>
      <c r="F655" s="40">
        <f ca="1">IFERROR(__xludf.DUMMYFUNCTION("""COMPUTED_VALUE"""),2280193)</f>
        <v>2280193</v>
      </c>
      <c r="G655" s="40" t="str">
        <f ca="1">IFERROR(__xludf.DUMMYFUNCTION("""COMPUTED_VALUE"""),"TECNÓLOGO")</f>
        <v>TECNÓLOGO</v>
      </c>
      <c r="H655" s="40" t="str">
        <f ca="1">IFERROR(__xludf.DUMMYFUNCTION("""COMPUTED_VALUE"""),"PRODUCCIÓN AGROPECUARIA ECOLÓGICA")</f>
        <v>PRODUCCIÓN AGROPECUARIA ECOLÓGICA</v>
      </c>
      <c r="I655" s="40"/>
      <c r="J655" s="40"/>
      <c r="K655" s="40"/>
      <c r="L655" s="40" t="str">
        <f ca="1">IFERROR(__xludf.DUMMYFUNCTION("""COMPUTED_VALUE"""),"CONTRATO DE APRENDIZAJE")</f>
        <v>CONTRATO DE APRENDIZAJE</v>
      </c>
      <c r="M655" s="40" t="str">
        <f ca="1">IFERROR(__xludf.DUMMYFUNCTION("""COMPUTED_VALUE"""),"INVERSIONES COSIE SAS")</f>
        <v>INVERSIONES COSIE SAS</v>
      </c>
      <c r="N655" s="40" t="str">
        <f ca="1">IFERROR(__xludf.DUMMYFUNCTION("""COMPUTED_VALUE"""),"CARRERA 1 N. 15-73 BARRIO SAN RAFAEL")</f>
        <v>CARRERA 1 N. 15-73 BARRIO SAN RAFAEL</v>
      </c>
      <c r="O655" s="40">
        <f ca="1">IFERROR(__xludf.DUMMYFUNCTION("""COMPUTED_VALUE"""),3205573830)</f>
        <v>3205573830</v>
      </c>
      <c r="P655" s="40" t="str">
        <f ca="1">IFERROR(__xludf.DUMMYFUNCTION("""COMPUTED_VALUE"""),"PITALITO")</f>
        <v>PITALITO</v>
      </c>
      <c r="Q655" s="40" t="str">
        <f ca="1">IFERROR(__xludf.DUMMYFUNCTION("""COMPUTED_VALUE"""),"ghumana.icosie@gmail.com")</f>
        <v>ghumana.icosie@gmail.com</v>
      </c>
      <c r="R655" s="140">
        <f ca="1">IFERROR(__xludf.DUMMYFUNCTION("""COMPUTED_VALUE"""),44850)</f>
        <v>44850</v>
      </c>
      <c r="S655" s="140">
        <f ca="1">IFERROR(__xludf.DUMMYFUNCTION("""COMPUTED_VALUE"""),45028)</f>
        <v>45028</v>
      </c>
      <c r="T655" s="40"/>
      <c r="U655" s="40" t="str">
        <f ca="1">IFERROR(__xludf.DUMMYFUNCTION("""COMPUTED_VALUE"""),"POR ASIGNAR")</f>
        <v>POR ASIGNAR</v>
      </c>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t="str">
        <f ca="1">IFERROR(__xludf.DUMMYFUNCTION("""COMPUTED_VALUE"""),"NO_CUMPLE")</f>
        <v>NO_CUMPLE</v>
      </c>
      <c r="AV655" s="40" t="str">
        <f ca="1">IFERROR(__xludf.DUMMYFUNCTION("""COMPUTED_VALUE"""),"EN FORMACION")</f>
        <v>EN FORMACION</v>
      </c>
      <c r="AW655" s="40" t="str">
        <f ca="1">IFERROR(__xludf.DUMMYFUNCTION("""COMPUTED_VALUE"""),"AGROPECUARIO")</f>
        <v>AGROPECUARIO</v>
      </c>
      <c r="AX655" s="141">
        <f ca="1">IFERROR(__xludf.DUMMYFUNCTION("""COMPUTED_VALUE"""),44839)</f>
        <v>44839</v>
      </c>
      <c r="AY655" s="40">
        <f ca="1">IFERROR(__xludf.DUMMYFUNCTION("""COMPUTED_VALUE"""),1)</f>
        <v>1</v>
      </c>
      <c r="AZ655" s="40">
        <f ca="1">IFERROR(__xludf.DUMMYFUNCTION("""COMPUTED_VALUE"""),1)</f>
        <v>1</v>
      </c>
      <c r="BA655" s="40">
        <f ca="1">IFERROR(__xludf.DUMMYFUNCTION("""COMPUTED_VALUE"""),0)</f>
        <v>0</v>
      </c>
      <c r="BB655" s="40">
        <f ca="1">IFERROR(__xludf.DUMMYFUNCTION("""COMPUTED_VALUE"""),7)</f>
        <v>7</v>
      </c>
      <c r="BC655" s="40">
        <f ca="1">IFERROR(__xludf.DUMMYFUNCTION("""COMPUTED_VALUE"""),9)</f>
        <v>9</v>
      </c>
      <c r="BD655" s="141">
        <f ca="1">IFERROR(__xludf.DUMMYFUNCTION("""COMPUTED_VALUE"""),44301)</f>
        <v>44301</v>
      </c>
      <c r="BE655" s="141">
        <f ca="1">IFERROR(__xludf.DUMMYFUNCTION("""COMPUTED_VALUE"""),44848)</f>
        <v>44848</v>
      </c>
      <c r="BF655" s="141">
        <f ca="1">IFERROR(__xludf.DUMMYFUNCTION("""COMPUTED_VALUE"""),45030)</f>
        <v>45030</v>
      </c>
      <c r="BG655" s="141">
        <f ca="1">IFERROR(__xludf.DUMMYFUNCTION("""COMPUTED_VALUE"""),45579)</f>
        <v>45579</v>
      </c>
      <c r="BH655" s="40" t="str">
        <f ca="1">IFERROR(__xludf.DUMMYFUNCTION("""COMPUTED_VALUE"""),"FICHA EN TIEMPO-18 MESES")</f>
        <v>FICHA EN TIEMPO-18 MESES</v>
      </c>
      <c r="BI655" s="40" t="str">
        <f ca="1">IFERROR(__xludf.DUMMYFUNCTION("""COMPUTED_VALUE"""),"En ejecucion")</f>
        <v>En ejecucion</v>
      </c>
      <c r="BJ655" s="40" t="str">
        <f ca="1">IFERROR(__xludf.DUMMYFUNCTION("""COMPUTED_VALUE"""),"Yamboro")</f>
        <v>Yamboro</v>
      </c>
      <c r="BK655" s="40"/>
      <c r="BL655" s="40"/>
    </row>
    <row r="656" spans="1:64" ht="13">
      <c r="A656" s="40"/>
      <c r="B656" s="40" t="str">
        <f ca="1">IFERROR(__xludf.DUMMYFUNCTION("""COMPUTED_VALUE"""),"FORMACIÓN 18/10/2022")</f>
        <v>FORMACIÓN 18/10/2022</v>
      </c>
      <c r="C656" s="40" t="str">
        <f ca="1">IFERROR(__xludf.DUMMYFUNCTION("""COMPUTED_VALUE"""),"CRISTIAN ALEJANDRO QUINTERO BENAVIDES")</f>
        <v>CRISTIAN ALEJANDRO QUINTERO BENAVIDES</v>
      </c>
      <c r="D656" s="40" t="str">
        <f ca="1">IFERROR(__xludf.DUMMYFUNCTION("""COMPUTED_VALUE"""),"CC")</f>
        <v>CC</v>
      </c>
      <c r="E656" s="40">
        <f ca="1">IFERROR(__xludf.DUMMYFUNCTION("""COMPUTED_VALUE"""),1007659333)</f>
        <v>1007659333</v>
      </c>
      <c r="F656" s="40">
        <f ca="1">IFERROR(__xludf.DUMMYFUNCTION("""COMPUTED_VALUE"""),2280193)</f>
        <v>2280193</v>
      </c>
      <c r="G656" s="40" t="str">
        <f ca="1">IFERROR(__xludf.DUMMYFUNCTION("""COMPUTED_VALUE"""),"TECNÓLOGO")</f>
        <v>TECNÓLOGO</v>
      </c>
      <c r="H656" s="40" t="str">
        <f ca="1">IFERROR(__xludf.DUMMYFUNCTION("""COMPUTED_VALUE"""),"PRODUCCIÓN AGROPECUARIA ECOLÓGICA")</f>
        <v>PRODUCCIÓN AGROPECUARIA ECOLÓGICA</v>
      </c>
      <c r="I656" s="40">
        <f ca="1">IFERROR(__xludf.DUMMYFUNCTION("""COMPUTED_VALUE"""),3224177945)</f>
        <v>3224177945</v>
      </c>
      <c r="J656" s="40" t="str">
        <f ca="1">IFERROR(__xludf.DUMMYFUNCTION("""COMPUTED_VALUE"""),"quinterobenavidesc@gmail.com")</f>
        <v>quinterobenavidesc@gmail.com</v>
      </c>
      <c r="K656" s="40" t="str">
        <f ca="1">IFERROR(__xludf.DUMMYFUNCTION("""COMPUTED_VALUE"""),"PITALITO")</f>
        <v>PITALITO</v>
      </c>
      <c r="L656" s="40" t="str">
        <f ca="1">IFERROR(__xludf.DUMMYFUNCTION("""COMPUTED_VALUE"""),"CONTRATO DE APRENDIZAJE")</f>
        <v>CONTRATO DE APRENDIZAJE</v>
      </c>
      <c r="M656" s="40" t="str">
        <f ca="1">IFERROR(__xludf.DUMMYFUNCTION("""COMPUTED_VALUE""")," SKN CARIBECAFE S.A.S.")</f>
        <v xml:space="preserve"> SKN CARIBECAFE S.A.S.</v>
      </c>
      <c r="N656" s="40" t="str">
        <f ca="1">IFERROR(__xludf.DUMMYFUNCTION("""COMPUTED_VALUE""")," Carrera 7 No. 71-21 Oficina 301 Tb")</f>
        <v xml:space="preserve"> Carrera 7 No. 71-21 Oficina 301 Tb</v>
      </c>
      <c r="O656" s="40">
        <f ca="1">IFERROR(__xludf.DUMMYFUNCTION("""COMPUTED_VALUE"""),3134782736)</f>
        <v>3134782736</v>
      </c>
      <c r="P656" s="40" t="str">
        <f ca="1">IFERROR(__xludf.DUMMYFUNCTION("""COMPUTED_VALUE"""),"BOGOTA ")</f>
        <v xml:space="preserve">BOGOTA </v>
      </c>
      <c r="Q656" s="40" t="str">
        <f ca="1">IFERROR(__xludf.DUMMYFUNCTION("""COMPUTED_VALUE"""),"clara.cepeda@nkg.coffee")</f>
        <v>clara.cepeda@nkg.coffee</v>
      </c>
      <c r="R656" s="140">
        <f ca="1">IFERROR(__xludf.DUMMYFUNCTION("""COMPUTED_VALUE"""),44850)</f>
        <v>44850</v>
      </c>
      <c r="S656" s="140">
        <f ca="1">IFERROR(__xludf.DUMMYFUNCTION("""COMPUTED_VALUE"""),45053)</f>
        <v>45053</v>
      </c>
      <c r="T656" s="40"/>
      <c r="U656" s="40" t="str">
        <f ca="1">IFERROR(__xludf.DUMMYFUNCTION("""COMPUTED_VALUE"""),"ANA MILENA CAMACHO TAMARA")</f>
        <v>ANA MILENA CAMACHO TAMARA</v>
      </c>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t="str">
        <f ca="1">IFERROR(__xludf.DUMMYFUNCTION("""COMPUTED_VALUE"""),"NO_CUMPLE")</f>
        <v>NO_CUMPLE</v>
      </c>
      <c r="AV656" s="40" t="str">
        <f ca="1">IFERROR(__xludf.DUMMYFUNCTION("""COMPUTED_VALUE"""),"EN FORMACION")</f>
        <v>EN FORMACION</v>
      </c>
      <c r="AW656" s="40" t="str">
        <f ca="1">IFERROR(__xludf.DUMMYFUNCTION("""COMPUTED_VALUE"""),"AGROPECUARIO")</f>
        <v>AGROPECUARIO</v>
      </c>
      <c r="AX656" s="141">
        <f ca="1">IFERROR(__xludf.DUMMYFUNCTION("""COMPUTED_VALUE"""),44839)</f>
        <v>44839</v>
      </c>
      <c r="AY656" s="40">
        <f ca="1">IFERROR(__xludf.DUMMYFUNCTION("""COMPUTED_VALUE"""),1)</f>
        <v>1</v>
      </c>
      <c r="AZ656" s="40">
        <f ca="1">IFERROR(__xludf.DUMMYFUNCTION("""COMPUTED_VALUE"""),1)</f>
        <v>1</v>
      </c>
      <c r="BA656" s="40">
        <f ca="1">IFERROR(__xludf.DUMMYFUNCTION("""COMPUTED_VALUE"""),0)</f>
        <v>0</v>
      </c>
      <c r="BB656" s="40">
        <f ca="1">IFERROR(__xludf.DUMMYFUNCTION("""COMPUTED_VALUE"""),7)</f>
        <v>7</v>
      </c>
      <c r="BC656" s="40">
        <f ca="1">IFERROR(__xludf.DUMMYFUNCTION("""COMPUTED_VALUE"""),9)</f>
        <v>9</v>
      </c>
      <c r="BD656" s="141">
        <f ca="1">IFERROR(__xludf.DUMMYFUNCTION("""COMPUTED_VALUE"""),44301)</f>
        <v>44301</v>
      </c>
      <c r="BE656" s="141">
        <f ca="1">IFERROR(__xludf.DUMMYFUNCTION("""COMPUTED_VALUE"""),44848)</f>
        <v>44848</v>
      </c>
      <c r="BF656" s="141">
        <f ca="1">IFERROR(__xludf.DUMMYFUNCTION("""COMPUTED_VALUE"""),45030)</f>
        <v>45030</v>
      </c>
      <c r="BG656" s="141">
        <f ca="1">IFERROR(__xludf.DUMMYFUNCTION("""COMPUTED_VALUE"""),45579)</f>
        <v>45579</v>
      </c>
      <c r="BH656" s="40" t="str">
        <f ca="1">IFERROR(__xludf.DUMMYFUNCTION("""COMPUTED_VALUE"""),"FICHA EN TIEMPO-18 MESES")</f>
        <v>FICHA EN TIEMPO-18 MESES</v>
      </c>
      <c r="BI656" s="40" t="str">
        <f ca="1">IFERROR(__xludf.DUMMYFUNCTION("""COMPUTED_VALUE"""),"En ejecucion")</f>
        <v>En ejecucion</v>
      </c>
      <c r="BJ656" s="40" t="str">
        <f ca="1">IFERROR(__xludf.DUMMYFUNCTION("""COMPUTED_VALUE"""),"Yamboro")</f>
        <v>Yamboro</v>
      </c>
      <c r="BK656" s="40"/>
      <c r="BL656" s="40"/>
    </row>
    <row r="657" spans="1:64" ht="13">
      <c r="A657" s="40"/>
      <c r="B657" s="40" t="str">
        <f ca="1">IFERROR(__xludf.DUMMYFUNCTION("""COMPUTED_VALUE"""),"FORMACIÓN 18/10/2022")</f>
        <v>FORMACIÓN 18/10/2022</v>
      </c>
      <c r="C657" s="40" t="str">
        <f ca="1">IFERROR(__xludf.DUMMYFUNCTION("""COMPUTED_VALUE"""),"ANDRES FELIPE BARRERA SCARPETA")</f>
        <v>ANDRES FELIPE BARRERA SCARPETA</v>
      </c>
      <c r="D657" s="40" t="str">
        <f ca="1">IFERROR(__xludf.DUMMYFUNCTION("""COMPUTED_VALUE"""),"TI")</f>
        <v>TI</v>
      </c>
      <c r="E657" s="40">
        <f ca="1">IFERROR(__xludf.DUMMYFUNCTION("""COMPUTED_VALUE"""),1081728132)</f>
        <v>1081728132</v>
      </c>
      <c r="F657" s="40">
        <f ca="1">IFERROR(__xludf.DUMMYFUNCTION("""COMPUTED_VALUE"""),2280193)</f>
        <v>2280193</v>
      </c>
      <c r="G657" s="40" t="str">
        <f ca="1">IFERROR(__xludf.DUMMYFUNCTION("""COMPUTED_VALUE"""),"TECNÓLOGO")</f>
        <v>TECNÓLOGO</v>
      </c>
      <c r="H657" s="40" t="str">
        <f ca="1">IFERROR(__xludf.DUMMYFUNCTION("""COMPUTED_VALUE"""),"PRODUCCIÓN AGROPECUARIA ECOLÓGICA")</f>
        <v>PRODUCCIÓN AGROPECUARIA ECOLÓGICA</v>
      </c>
      <c r="I657" s="40"/>
      <c r="J657" s="40"/>
      <c r="K657" s="40"/>
      <c r="L657" s="40" t="str">
        <f ca="1">IFERROR(__xludf.DUMMYFUNCTION("""COMPUTED_VALUE"""),"NO HA INICIADO ETAPA PRODUCTIVA")</f>
        <v>NO HA INICIADO ETAPA PRODUCTIVA</v>
      </c>
      <c r="M657" s="40"/>
      <c r="N657" s="40"/>
      <c r="O657" s="40"/>
      <c r="P657" s="40"/>
      <c r="Q657" s="40"/>
      <c r="R657" s="140"/>
      <c r="S657" s="1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t="str">
        <f ca="1">IFERROR(__xludf.DUMMYFUNCTION("""COMPUTED_VALUE"""),"NO_CUMPLE")</f>
        <v>NO_CUMPLE</v>
      </c>
      <c r="AV657" s="40" t="str">
        <f ca="1">IFERROR(__xludf.DUMMYFUNCTION("""COMPUTED_VALUE"""),"EN FORMACION")</f>
        <v>EN FORMACION</v>
      </c>
      <c r="AW657" s="40" t="str">
        <f ca="1">IFERROR(__xludf.DUMMYFUNCTION("""COMPUTED_VALUE"""),"AGROPECUARIO")</f>
        <v>AGROPECUARIO</v>
      </c>
      <c r="AX657" s="141">
        <f ca="1">IFERROR(__xludf.DUMMYFUNCTION("""COMPUTED_VALUE"""),44839)</f>
        <v>44839</v>
      </c>
      <c r="AY657" s="40">
        <f ca="1">IFERROR(__xludf.DUMMYFUNCTION("""COMPUTED_VALUE"""),1)</f>
        <v>1</v>
      </c>
      <c r="AZ657" s="40">
        <f ca="1">IFERROR(__xludf.DUMMYFUNCTION("""COMPUTED_VALUE"""),1)</f>
        <v>1</v>
      </c>
      <c r="BA657" s="40">
        <f ca="1">IFERROR(__xludf.DUMMYFUNCTION("""COMPUTED_VALUE"""),0)</f>
        <v>0</v>
      </c>
      <c r="BB657" s="40">
        <f ca="1">IFERROR(__xludf.DUMMYFUNCTION("""COMPUTED_VALUE"""),8)</f>
        <v>8</v>
      </c>
      <c r="BC657" s="40">
        <f ca="1">IFERROR(__xludf.DUMMYFUNCTION("""COMPUTED_VALUE"""),10)</f>
        <v>10</v>
      </c>
      <c r="BD657" s="141">
        <f ca="1">IFERROR(__xludf.DUMMYFUNCTION("""COMPUTED_VALUE"""),44301)</f>
        <v>44301</v>
      </c>
      <c r="BE657" s="141">
        <f ca="1">IFERROR(__xludf.DUMMYFUNCTION("""COMPUTED_VALUE"""),44848)</f>
        <v>44848</v>
      </c>
      <c r="BF657" s="141">
        <f ca="1">IFERROR(__xludf.DUMMYFUNCTION("""COMPUTED_VALUE"""),45030)</f>
        <v>45030</v>
      </c>
      <c r="BG657" s="141">
        <f ca="1">IFERROR(__xludf.DUMMYFUNCTION("""COMPUTED_VALUE"""),45579)</f>
        <v>45579</v>
      </c>
      <c r="BH657" s="40" t="str">
        <f ca="1">IFERROR(__xludf.DUMMYFUNCTION("""COMPUTED_VALUE"""),"FICHA EN TIEMPO-18 MESES")</f>
        <v>FICHA EN TIEMPO-18 MESES</v>
      </c>
      <c r="BI657" s="40" t="str">
        <f ca="1">IFERROR(__xludf.DUMMYFUNCTION("""COMPUTED_VALUE"""),"En ejecucion")</f>
        <v>En ejecucion</v>
      </c>
      <c r="BJ657" s="40" t="str">
        <f ca="1">IFERROR(__xludf.DUMMYFUNCTION("""COMPUTED_VALUE"""),"Yamboro")</f>
        <v>Yamboro</v>
      </c>
      <c r="BK657" s="40"/>
      <c r="BL657" s="40"/>
    </row>
    <row r="658" spans="1:64" ht="13">
      <c r="A658" s="40"/>
      <c r="B658" s="40" t="str">
        <f ca="1">IFERROR(__xludf.DUMMYFUNCTION("""COMPUTED_VALUE"""),"FORMACIÓN 18/10/2022")</f>
        <v>FORMACIÓN 18/10/2022</v>
      </c>
      <c r="C658" s="40" t="str">
        <f ca="1">IFERROR(__xludf.DUMMYFUNCTION("""COMPUTED_VALUE"""),"YULIANA JOVEN CABRERA")</f>
        <v>YULIANA JOVEN CABRERA</v>
      </c>
      <c r="D658" s="40" t="str">
        <f ca="1">IFERROR(__xludf.DUMMYFUNCTION("""COMPUTED_VALUE"""),"CC")</f>
        <v>CC</v>
      </c>
      <c r="E658" s="40">
        <f ca="1">IFERROR(__xludf.DUMMYFUNCTION("""COMPUTED_VALUE"""),1082124321)</f>
        <v>1082124321</v>
      </c>
      <c r="F658" s="40">
        <f ca="1">IFERROR(__xludf.DUMMYFUNCTION("""COMPUTED_VALUE"""),2280193)</f>
        <v>2280193</v>
      </c>
      <c r="G658" s="40" t="str">
        <f ca="1">IFERROR(__xludf.DUMMYFUNCTION("""COMPUTED_VALUE"""),"TECNÓLOGO")</f>
        <v>TECNÓLOGO</v>
      </c>
      <c r="H658" s="40" t="str">
        <f ca="1">IFERROR(__xludf.DUMMYFUNCTION("""COMPUTED_VALUE"""),"PRODUCCIÓN AGROPECUARIA ECOLÓGICA")</f>
        <v>PRODUCCIÓN AGROPECUARIA ECOLÓGICA</v>
      </c>
      <c r="I658" s="40"/>
      <c r="J658" s="40"/>
      <c r="K658" s="40"/>
      <c r="L658" s="40" t="str">
        <f ca="1">IFERROR(__xludf.DUMMYFUNCTION("""COMPUTED_VALUE"""),"CONTRATO DE APRENDIZAJE")</f>
        <v>CONTRATO DE APRENDIZAJE</v>
      </c>
      <c r="M658" s="40" t="str">
        <f ca="1">IFERROR(__xludf.DUMMYFUNCTION("""COMPUTED_VALUE"""),"INVERSIONES COSIE SAS")</f>
        <v>INVERSIONES COSIE SAS</v>
      </c>
      <c r="N658" s="40" t="str">
        <f ca="1">IFERROR(__xludf.DUMMYFUNCTION("""COMPUTED_VALUE"""),"CARRERA 1 N. 15-73 BARRIO SAN RAFAEL")</f>
        <v>CARRERA 1 N. 15-73 BARRIO SAN RAFAEL</v>
      </c>
      <c r="O658" s="40">
        <f ca="1">IFERROR(__xludf.DUMMYFUNCTION("""COMPUTED_VALUE"""),3205573830)</f>
        <v>3205573830</v>
      </c>
      <c r="P658" s="40" t="str">
        <f ca="1">IFERROR(__xludf.DUMMYFUNCTION("""COMPUTED_VALUE"""),"PITALITO")</f>
        <v>PITALITO</v>
      </c>
      <c r="Q658" s="40" t="str">
        <f ca="1">IFERROR(__xludf.DUMMYFUNCTION("""COMPUTED_VALUE"""),"ghumana.icosie@gmail.com")</f>
        <v>ghumana.icosie@gmail.com</v>
      </c>
      <c r="R658" s="140">
        <f ca="1">IFERROR(__xludf.DUMMYFUNCTION("""COMPUTED_VALUE"""),44850)</f>
        <v>44850</v>
      </c>
      <c r="S658" s="140">
        <f ca="1">IFERROR(__xludf.DUMMYFUNCTION("""COMPUTED_VALUE"""),45028)</f>
        <v>45028</v>
      </c>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t="str">
        <f ca="1">IFERROR(__xludf.DUMMYFUNCTION("""COMPUTED_VALUE"""),"NO_CUMPLE")</f>
        <v>NO_CUMPLE</v>
      </c>
      <c r="AV658" s="40" t="str">
        <f ca="1">IFERROR(__xludf.DUMMYFUNCTION("""COMPUTED_VALUE"""),"EN FORMACION")</f>
        <v>EN FORMACION</v>
      </c>
      <c r="AW658" s="40" t="str">
        <f ca="1">IFERROR(__xludf.DUMMYFUNCTION("""COMPUTED_VALUE"""),"AGROPECUARIO")</f>
        <v>AGROPECUARIO</v>
      </c>
      <c r="AX658" s="141">
        <f ca="1">IFERROR(__xludf.DUMMYFUNCTION("""COMPUTED_VALUE"""),44839)</f>
        <v>44839</v>
      </c>
      <c r="AY658" s="40">
        <f ca="1">IFERROR(__xludf.DUMMYFUNCTION("""COMPUTED_VALUE"""),1)</f>
        <v>1</v>
      </c>
      <c r="AZ658" s="40">
        <f ca="1">IFERROR(__xludf.DUMMYFUNCTION("""COMPUTED_VALUE"""),1)</f>
        <v>1</v>
      </c>
      <c r="BA658" s="40">
        <f ca="1">IFERROR(__xludf.DUMMYFUNCTION("""COMPUTED_VALUE"""),0)</f>
        <v>0</v>
      </c>
      <c r="BB658" s="40">
        <f ca="1">IFERROR(__xludf.DUMMYFUNCTION("""COMPUTED_VALUE"""),7)</f>
        <v>7</v>
      </c>
      <c r="BC658" s="40">
        <f ca="1">IFERROR(__xludf.DUMMYFUNCTION("""COMPUTED_VALUE"""),9)</f>
        <v>9</v>
      </c>
      <c r="BD658" s="141">
        <f ca="1">IFERROR(__xludf.DUMMYFUNCTION("""COMPUTED_VALUE"""),44301)</f>
        <v>44301</v>
      </c>
      <c r="BE658" s="141">
        <f ca="1">IFERROR(__xludf.DUMMYFUNCTION("""COMPUTED_VALUE"""),44848)</f>
        <v>44848</v>
      </c>
      <c r="BF658" s="141">
        <f ca="1">IFERROR(__xludf.DUMMYFUNCTION("""COMPUTED_VALUE"""),45030)</f>
        <v>45030</v>
      </c>
      <c r="BG658" s="141">
        <f ca="1">IFERROR(__xludf.DUMMYFUNCTION("""COMPUTED_VALUE"""),45579)</f>
        <v>45579</v>
      </c>
      <c r="BH658" s="40" t="str">
        <f ca="1">IFERROR(__xludf.DUMMYFUNCTION("""COMPUTED_VALUE"""),"FICHA EN TIEMPO-18 MESES")</f>
        <v>FICHA EN TIEMPO-18 MESES</v>
      </c>
      <c r="BI658" s="40" t="str">
        <f ca="1">IFERROR(__xludf.DUMMYFUNCTION("""COMPUTED_VALUE"""),"En ejecucion")</f>
        <v>En ejecucion</v>
      </c>
      <c r="BJ658" s="40" t="str">
        <f ca="1">IFERROR(__xludf.DUMMYFUNCTION("""COMPUTED_VALUE"""),"Yamboro")</f>
        <v>Yamboro</v>
      </c>
      <c r="BK658" s="40"/>
      <c r="BL658" s="40"/>
    </row>
    <row r="659" spans="1:64" ht="13">
      <c r="A659" s="40"/>
      <c r="B659" s="40" t="str">
        <f ca="1">IFERROR(__xludf.DUMMYFUNCTION("""COMPUTED_VALUE"""),"FORMACIÓN 18/10/2022")</f>
        <v>FORMACIÓN 18/10/2022</v>
      </c>
      <c r="C659" s="40" t="str">
        <f ca="1">IFERROR(__xludf.DUMMYFUNCTION("""COMPUTED_VALUE"""),"EMERSON DAVID CALDERON PORTILLA")</f>
        <v>EMERSON DAVID CALDERON PORTILLA</v>
      </c>
      <c r="D659" s="40" t="str">
        <f ca="1">IFERROR(__xludf.DUMMYFUNCTION("""COMPUTED_VALUE"""),"CC")</f>
        <v>CC</v>
      </c>
      <c r="E659" s="40">
        <f ca="1">IFERROR(__xludf.DUMMYFUNCTION("""COMPUTED_VALUE"""),1083864129)</f>
        <v>1083864129</v>
      </c>
      <c r="F659" s="40">
        <f ca="1">IFERROR(__xludf.DUMMYFUNCTION("""COMPUTED_VALUE"""),2280193)</f>
        <v>2280193</v>
      </c>
      <c r="G659" s="40" t="str">
        <f ca="1">IFERROR(__xludf.DUMMYFUNCTION("""COMPUTED_VALUE"""),"TECNÓLOGO")</f>
        <v>TECNÓLOGO</v>
      </c>
      <c r="H659" s="40" t="str">
        <f ca="1">IFERROR(__xludf.DUMMYFUNCTION("""COMPUTED_VALUE"""),"PRODUCCIÓN AGROPECUARIA ECOLÓGICA")</f>
        <v>PRODUCCIÓN AGROPECUARIA ECOLÓGICA</v>
      </c>
      <c r="I659" s="40"/>
      <c r="J659" s="40"/>
      <c r="K659" s="40"/>
      <c r="L659" s="40" t="str">
        <f ca="1">IFERROR(__xludf.DUMMYFUNCTION("""COMPUTED_VALUE"""),"CONTRATO DE APRENDIZAJE")</f>
        <v>CONTRATO DE APRENDIZAJE</v>
      </c>
      <c r="M659" s="40" t="str">
        <f ca="1">IFERROR(__xludf.DUMMYFUNCTION("""COMPUTED_VALUE"""),"EVELIO COY CARO")</f>
        <v>EVELIO COY CARO</v>
      </c>
      <c r="N659" s="40" t="str">
        <f ca="1">IFERROR(__xludf.DUMMYFUNCTION("""COMPUTED_VALUE"""),"Carrera 2 N.2-51")</f>
        <v>Carrera 2 N.2-51</v>
      </c>
      <c r="O659" s="40">
        <f ca="1">IFERROR(__xludf.DUMMYFUNCTION("""COMPUTED_VALUE"""),3205573830)</f>
        <v>3205573830</v>
      </c>
      <c r="P659" s="40" t="str">
        <f ca="1">IFERROR(__xludf.DUMMYFUNCTION("""COMPUTED_VALUE"""),"PITALITO")</f>
        <v>PITALITO</v>
      </c>
      <c r="Q659" s="40" t="str">
        <f ca="1">IFERROR(__xludf.DUMMYFUNCTION("""COMPUTED_VALUE"""),"respopnsablesgsst.op@gmail.com")</f>
        <v>respopnsablesgsst.op@gmail.com</v>
      </c>
      <c r="R659" s="140">
        <f ca="1">IFERROR(__xludf.DUMMYFUNCTION("""COMPUTED_VALUE"""),44850)</f>
        <v>44850</v>
      </c>
      <c r="S659" s="140">
        <f ca="1">IFERROR(__xludf.DUMMYFUNCTION("""COMPUTED_VALUE"""),45029)</f>
        <v>45029</v>
      </c>
      <c r="T659" s="40"/>
      <c r="U659" s="40" t="str">
        <f ca="1">IFERROR(__xludf.DUMMYFUNCTION("""COMPUTED_VALUE"""),"ANA MILENA CAMACHO TAMARA")</f>
        <v>ANA MILENA CAMACHO TAMARA</v>
      </c>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t="str">
        <f ca="1">IFERROR(__xludf.DUMMYFUNCTION("""COMPUTED_VALUE"""),"NO_CUMPLE")</f>
        <v>NO_CUMPLE</v>
      </c>
      <c r="AV659" s="40" t="str">
        <f ca="1">IFERROR(__xludf.DUMMYFUNCTION("""COMPUTED_VALUE"""),"EN FORMACION")</f>
        <v>EN FORMACION</v>
      </c>
      <c r="AW659" s="40" t="str">
        <f ca="1">IFERROR(__xludf.DUMMYFUNCTION("""COMPUTED_VALUE"""),"AGROPECUARIO")</f>
        <v>AGROPECUARIO</v>
      </c>
      <c r="AX659" s="141">
        <f ca="1">IFERROR(__xludf.DUMMYFUNCTION("""COMPUTED_VALUE"""),44839)</f>
        <v>44839</v>
      </c>
      <c r="AY659" s="40">
        <f ca="1">IFERROR(__xludf.DUMMYFUNCTION("""COMPUTED_VALUE"""),1)</f>
        <v>1</v>
      </c>
      <c r="AZ659" s="40">
        <f ca="1">IFERROR(__xludf.DUMMYFUNCTION("""COMPUTED_VALUE"""),1)</f>
        <v>1</v>
      </c>
      <c r="BA659" s="40">
        <f ca="1">IFERROR(__xludf.DUMMYFUNCTION("""COMPUTED_VALUE"""),0)</f>
        <v>0</v>
      </c>
      <c r="BB659" s="40">
        <f ca="1">IFERROR(__xludf.DUMMYFUNCTION("""COMPUTED_VALUE"""),8)</f>
        <v>8</v>
      </c>
      <c r="BC659" s="40">
        <f ca="1">IFERROR(__xludf.DUMMYFUNCTION("""COMPUTED_VALUE"""),10)</f>
        <v>10</v>
      </c>
      <c r="BD659" s="141">
        <f ca="1">IFERROR(__xludf.DUMMYFUNCTION("""COMPUTED_VALUE"""),44301)</f>
        <v>44301</v>
      </c>
      <c r="BE659" s="141">
        <f ca="1">IFERROR(__xludf.DUMMYFUNCTION("""COMPUTED_VALUE"""),44848)</f>
        <v>44848</v>
      </c>
      <c r="BF659" s="141">
        <f ca="1">IFERROR(__xludf.DUMMYFUNCTION("""COMPUTED_VALUE"""),45030)</f>
        <v>45030</v>
      </c>
      <c r="BG659" s="141">
        <f ca="1">IFERROR(__xludf.DUMMYFUNCTION("""COMPUTED_VALUE"""),45579)</f>
        <v>45579</v>
      </c>
      <c r="BH659" s="40" t="str">
        <f ca="1">IFERROR(__xludf.DUMMYFUNCTION("""COMPUTED_VALUE"""),"FICHA EN TIEMPO-18 MESES")</f>
        <v>FICHA EN TIEMPO-18 MESES</v>
      </c>
      <c r="BI659" s="40" t="str">
        <f ca="1">IFERROR(__xludf.DUMMYFUNCTION("""COMPUTED_VALUE"""),"En ejecucion")</f>
        <v>En ejecucion</v>
      </c>
      <c r="BJ659" s="40" t="str">
        <f ca="1">IFERROR(__xludf.DUMMYFUNCTION("""COMPUTED_VALUE"""),"Yamboro")</f>
        <v>Yamboro</v>
      </c>
      <c r="BK659" s="40"/>
      <c r="BL659" s="40"/>
    </row>
    <row r="660" spans="1:64" ht="13">
      <c r="A660" s="40"/>
      <c r="B660" s="40" t="str">
        <f ca="1">IFERROR(__xludf.DUMMYFUNCTION("""COMPUTED_VALUE"""),"FORMACIÓN 18/10/2022")</f>
        <v>FORMACIÓN 18/10/2022</v>
      </c>
      <c r="C660" s="40" t="str">
        <f ca="1">IFERROR(__xludf.DUMMYFUNCTION("""COMPUTED_VALUE"""),"NATALIA DELGADO TORRES")</f>
        <v>NATALIA DELGADO TORRES</v>
      </c>
      <c r="D660" s="40" t="str">
        <f ca="1">IFERROR(__xludf.DUMMYFUNCTION("""COMPUTED_VALUE"""),"CC")</f>
        <v>CC</v>
      </c>
      <c r="E660" s="40">
        <f ca="1">IFERROR(__xludf.DUMMYFUNCTION("""COMPUTED_VALUE"""),1083883612)</f>
        <v>1083883612</v>
      </c>
      <c r="F660" s="40">
        <f ca="1">IFERROR(__xludf.DUMMYFUNCTION("""COMPUTED_VALUE"""),2280193)</f>
        <v>2280193</v>
      </c>
      <c r="G660" s="40" t="str">
        <f ca="1">IFERROR(__xludf.DUMMYFUNCTION("""COMPUTED_VALUE"""),"TECNÓLOGO")</f>
        <v>TECNÓLOGO</v>
      </c>
      <c r="H660" s="40" t="str">
        <f ca="1">IFERROR(__xludf.DUMMYFUNCTION("""COMPUTED_VALUE"""),"PRODUCCIÓN AGROPECUARIA ECOLÓGICA")</f>
        <v>PRODUCCIÓN AGROPECUARIA ECOLÓGICA</v>
      </c>
      <c r="I660" s="40"/>
      <c r="J660" s="40"/>
      <c r="K660" s="40"/>
      <c r="L660" s="40" t="str">
        <f ca="1">IFERROR(__xludf.DUMMYFUNCTION("""COMPUTED_VALUE"""),"NO HA INICIADO ETAPA PRODUCTIVA")</f>
        <v>NO HA INICIADO ETAPA PRODUCTIVA</v>
      </c>
      <c r="M660" s="40"/>
      <c r="N660" s="40"/>
      <c r="O660" s="40"/>
      <c r="P660" s="40"/>
      <c r="Q660" s="40"/>
      <c r="R660" s="140"/>
      <c r="S660" s="1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t="str">
        <f ca="1">IFERROR(__xludf.DUMMYFUNCTION("""COMPUTED_VALUE"""),"NO_CUMPLE")</f>
        <v>NO_CUMPLE</v>
      </c>
      <c r="AV660" s="40" t="str">
        <f ca="1">IFERROR(__xludf.DUMMYFUNCTION("""COMPUTED_VALUE"""),"EN FORMACION")</f>
        <v>EN FORMACION</v>
      </c>
      <c r="AW660" s="40" t="str">
        <f ca="1">IFERROR(__xludf.DUMMYFUNCTION("""COMPUTED_VALUE"""),"AGROPECUARIO")</f>
        <v>AGROPECUARIO</v>
      </c>
      <c r="AX660" s="141">
        <f ca="1">IFERROR(__xludf.DUMMYFUNCTION("""COMPUTED_VALUE"""),44839)</f>
        <v>44839</v>
      </c>
      <c r="AY660" s="40">
        <f ca="1">IFERROR(__xludf.DUMMYFUNCTION("""COMPUTED_VALUE"""),1)</f>
        <v>1</v>
      </c>
      <c r="AZ660" s="40">
        <f ca="1">IFERROR(__xludf.DUMMYFUNCTION("""COMPUTED_VALUE"""),1)</f>
        <v>1</v>
      </c>
      <c r="BA660" s="40">
        <f ca="1">IFERROR(__xludf.DUMMYFUNCTION("""COMPUTED_VALUE"""),0)</f>
        <v>0</v>
      </c>
      <c r="BB660" s="40">
        <f ca="1">IFERROR(__xludf.DUMMYFUNCTION("""COMPUTED_VALUE"""),7)</f>
        <v>7</v>
      </c>
      <c r="BC660" s="40">
        <f ca="1">IFERROR(__xludf.DUMMYFUNCTION("""COMPUTED_VALUE"""),9)</f>
        <v>9</v>
      </c>
      <c r="BD660" s="141">
        <f ca="1">IFERROR(__xludf.DUMMYFUNCTION("""COMPUTED_VALUE"""),44301)</f>
        <v>44301</v>
      </c>
      <c r="BE660" s="141">
        <f ca="1">IFERROR(__xludf.DUMMYFUNCTION("""COMPUTED_VALUE"""),44848)</f>
        <v>44848</v>
      </c>
      <c r="BF660" s="141">
        <f ca="1">IFERROR(__xludf.DUMMYFUNCTION("""COMPUTED_VALUE"""),45030)</f>
        <v>45030</v>
      </c>
      <c r="BG660" s="141">
        <f ca="1">IFERROR(__xludf.DUMMYFUNCTION("""COMPUTED_VALUE"""),45579)</f>
        <v>45579</v>
      </c>
      <c r="BH660" s="40" t="str">
        <f ca="1">IFERROR(__xludf.DUMMYFUNCTION("""COMPUTED_VALUE"""),"FICHA EN TIEMPO-18 MESES")</f>
        <v>FICHA EN TIEMPO-18 MESES</v>
      </c>
      <c r="BI660" s="40" t="str">
        <f ca="1">IFERROR(__xludf.DUMMYFUNCTION("""COMPUTED_VALUE"""),"En ejecucion")</f>
        <v>En ejecucion</v>
      </c>
      <c r="BJ660" s="40" t="str">
        <f ca="1">IFERROR(__xludf.DUMMYFUNCTION("""COMPUTED_VALUE"""),"Yamboro")</f>
        <v>Yamboro</v>
      </c>
      <c r="BK660" s="40"/>
      <c r="BL660" s="40"/>
    </row>
    <row r="661" spans="1:64" ht="13">
      <c r="A661" s="40"/>
      <c r="B661" s="40" t="str">
        <f ca="1">IFERROR(__xludf.DUMMYFUNCTION("""COMPUTED_VALUE"""),"FORMACIÓN 18/10/2022")</f>
        <v>FORMACIÓN 18/10/2022</v>
      </c>
      <c r="C661" s="40" t="str">
        <f ca="1">IFERROR(__xludf.DUMMYFUNCTION("""COMPUTED_VALUE"""),"CAROLINA CARVAJAL ARANDA")</f>
        <v>CAROLINA CARVAJAL ARANDA</v>
      </c>
      <c r="D661" s="40" t="str">
        <f ca="1">IFERROR(__xludf.DUMMYFUNCTION("""COMPUTED_VALUE"""),"CC")</f>
        <v>CC</v>
      </c>
      <c r="E661" s="40">
        <f ca="1">IFERROR(__xludf.DUMMYFUNCTION("""COMPUTED_VALUE"""),1083889514)</f>
        <v>1083889514</v>
      </c>
      <c r="F661" s="40">
        <f ca="1">IFERROR(__xludf.DUMMYFUNCTION("""COMPUTED_VALUE"""),2280193)</f>
        <v>2280193</v>
      </c>
      <c r="G661" s="40" t="str">
        <f ca="1">IFERROR(__xludf.DUMMYFUNCTION("""COMPUTED_VALUE"""),"TECNÓLOGO")</f>
        <v>TECNÓLOGO</v>
      </c>
      <c r="H661" s="40" t="str">
        <f ca="1">IFERROR(__xludf.DUMMYFUNCTION("""COMPUTED_VALUE"""),"PRODUCCIÓN AGROPECUARIA ECOLÓGICA")</f>
        <v>PRODUCCIÓN AGROPECUARIA ECOLÓGICA</v>
      </c>
      <c r="I661" s="40"/>
      <c r="J661" s="40"/>
      <c r="K661" s="40"/>
      <c r="L661" s="40" t="str">
        <f ca="1">IFERROR(__xludf.DUMMYFUNCTION("""COMPUTED_VALUE"""),"NO HA INICIADO ETAPA PRODUCTIVA")</f>
        <v>NO HA INICIADO ETAPA PRODUCTIVA</v>
      </c>
      <c r="M661" s="40"/>
      <c r="N661" s="40"/>
      <c r="O661" s="40"/>
      <c r="P661" s="40"/>
      <c r="Q661" s="40"/>
      <c r="R661" s="140"/>
      <c r="S661" s="1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t="str">
        <f ca="1">IFERROR(__xludf.DUMMYFUNCTION("""COMPUTED_VALUE"""),"NO_CUMPLE")</f>
        <v>NO_CUMPLE</v>
      </c>
      <c r="AV661" s="40" t="str">
        <f ca="1">IFERROR(__xludf.DUMMYFUNCTION("""COMPUTED_VALUE"""),"EN FORMACION")</f>
        <v>EN FORMACION</v>
      </c>
      <c r="AW661" s="40" t="str">
        <f ca="1">IFERROR(__xludf.DUMMYFUNCTION("""COMPUTED_VALUE"""),"AGROPECUARIO")</f>
        <v>AGROPECUARIO</v>
      </c>
      <c r="AX661" s="141">
        <f ca="1">IFERROR(__xludf.DUMMYFUNCTION("""COMPUTED_VALUE"""),44839)</f>
        <v>44839</v>
      </c>
      <c r="AY661" s="40">
        <f ca="1">IFERROR(__xludf.DUMMYFUNCTION("""COMPUTED_VALUE"""),1)</f>
        <v>1</v>
      </c>
      <c r="AZ661" s="40">
        <f ca="1">IFERROR(__xludf.DUMMYFUNCTION("""COMPUTED_VALUE"""),1)</f>
        <v>1</v>
      </c>
      <c r="BA661" s="40">
        <f ca="1">IFERROR(__xludf.DUMMYFUNCTION("""COMPUTED_VALUE"""),0)</f>
        <v>0</v>
      </c>
      <c r="BB661" s="40">
        <f ca="1">IFERROR(__xludf.DUMMYFUNCTION("""COMPUTED_VALUE"""),7)</f>
        <v>7</v>
      </c>
      <c r="BC661" s="40">
        <f ca="1">IFERROR(__xludf.DUMMYFUNCTION("""COMPUTED_VALUE"""),9)</f>
        <v>9</v>
      </c>
      <c r="BD661" s="141">
        <f ca="1">IFERROR(__xludf.DUMMYFUNCTION("""COMPUTED_VALUE"""),44301)</f>
        <v>44301</v>
      </c>
      <c r="BE661" s="141">
        <f ca="1">IFERROR(__xludf.DUMMYFUNCTION("""COMPUTED_VALUE"""),44848)</f>
        <v>44848</v>
      </c>
      <c r="BF661" s="141">
        <f ca="1">IFERROR(__xludf.DUMMYFUNCTION("""COMPUTED_VALUE"""),45030)</f>
        <v>45030</v>
      </c>
      <c r="BG661" s="141">
        <f ca="1">IFERROR(__xludf.DUMMYFUNCTION("""COMPUTED_VALUE"""),45579)</f>
        <v>45579</v>
      </c>
      <c r="BH661" s="40" t="str">
        <f ca="1">IFERROR(__xludf.DUMMYFUNCTION("""COMPUTED_VALUE"""),"FICHA EN TIEMPO-18 MESES")</f>
        <v>FICHA EN TIEMPO-18 MESES</v>
      </c>
      <c r="BI661" s="40" t="str">
        <f ca="1">IFERROR(__xludf.DUMMYFUNCTION("""COMPUTED_VALUE"""),"En ejecucion")</f>
        <v>En ejecucion</v>
      </c>
      <c r="BJ661" s="40" t="str">
        <f ca="1">IFERROR(__xludf.DUMMYFUNCTION("""COMPUTED_VALUE"""),"Yamboro")</f>
        <v>Yamboro</v>
      </c>
      <c r="BK661" s="40"/>
      <c r="BL661" s="40"/>
    </row>
    <row r="662" spans="1:64" ht="13">
      <c r="A662" s="40"/>
      <c r="B662" s="40" t="str">
        <f ca="1">IFERROR(__xludf.DUMMYFUNCTION("""COMPUTED_VALUE"""),"FORMACIÓN 18/10/2022")</f>
        <v>FORMACIÓN 18/10/2022</v>
      </c>
      <c r="C662" s="40" t="str">
        <f ca="1">IFERROR(__xludf.DUMMYFUNCTION("""COMPUTED_VALUE"""),"ANGELA YULIETH RIVERA VARGAS")</f>
        <v>ANGELA YULIETH RIVERA VARGAS</v>
      </c>
      <c r="D662" s="40" t="str">
        <f ca="1">IFERROR(__xludf.DUMMYFUNCTION("""COMPUTED_VALUE"""),"CC")</f>
        <v>CC</v>
      </c>
      <c r="E662" s="40">
        <f ca="1">IFERROR(__xludf.DUMMYFUNCTION("""COMPUTED_VALUE"""),1083928882)</f>
        <v>1083928882</v>
      </c>
      <c r="F662" s="40">
        <f ca="1">IFERROR(__xludf.DUMMYFUNCTION("""COMPUTED_VALUE"""),2280193)</f>
        <v>2280193</v>
      </c>
      <c r="G662" s="40" t="str">
        <f ca="1">IFERROR(__xludf.DUMMYFUNCTION("""COMPUTED_VALUE"""),"TECNÓLOGO")</f>
        <v>TECNÓLOGO</v>
      </c>
      <c r="H662" s="40" t="str">
        <f ca="1">IFERROR(__xludf.DUMMYFUNCTION("""COMPUTED_VALUE"""),"PRODUCCIÓN AGROPECUARIA ECOLÓGICA")</f>
        <v>PRODUCCIÓN AGROPECUARIA ECOLÓGICA</v>
      </c>
      <c r="I662" s="40">
        <f ca="1">IFERROR(__xludf.DUMMYFUNCTION("""COMPUTED_VALUE"""),3167936208)</f>
        <v>3167936208</v>
      </c>
      <c r="J662" s="40" t="str">
        <f ca="1">IFERROR(__xludf.DUMMYFUNCTION("""COMPUTED_VALUE"""),"PITALITO")</f>
        <v>PITALITO</v>
      </c>
      <c r="K662" s="40" t="str">
        <f ca="1">IFERROR(__xludf.DUMMYFUNCTION("""COMPUTED_VALUE"""),"angelarivera0316@gmail.com")</f>
        <v>angelarivera0316@gmail.com</v>
      </c>
      <c r="L662" s="40" t="str">
        <f ca="1">IFERROR(__xludf.DUMMYFUNCTION("""COMPUTED_VALUE"""),"CONTRATO DE APRENDIZAJE")</f>
        <v>CONTRATO DE APRENDIZAJE</v>
      </c>
      <c r="M662" s="40" t="str">
        <f ca="1">IFERROR(__xludf.DUMMYFUNCTION("""COMPUTED_VALUE"""),"MINERA PROVIDENCIA S.A. - MINPRO S.A.
")</f>
        <v xml:space="preserve">MINERA PROVIDENCIA S.A. - MINPRO S.A.
</v>
      </c>
      <c r="N662" s="40" t="str">
        <f ca="1">IFERROR(__xludf.DUMMYFUNCTION("""COMPUTED_VALUE"""),"Carrera 5 a Bis No. 21 a 47")</f>
        <v>Carrera 5 a Bis No. 21 a 47</v>
      </c>
      <c r="O662" s="40">
        <f ca="1">IFERROR(__xludf.DUMMYFUNCTION("""COMPUTED_VALUE"""),31033209477)</f>
        <v>31033209477</v>
      </c>
      <c r="P662" s="40" t="str">
        <f ca="1">IFERROR(__xludf.DUMMYFUNCTION("""COMPUTED_VALUE"""),"NEIVA")</f>
        <v>NEIVA</v>
      </c>
      <c r="Q662" s="40" t="str">
        <f ca="1">IFERROR(__xludf.DUMMYFUNCTION("""COMPUTED_VALUE"""),"esmeralda.leiva@minpro.co")</f>
        <v>esmeralda.leiva@minpro.co</v>
      </c>
      <c r="R662" s="140">
        <f ca="1">IFERROR(__xludf.DUMMYFUNCTION("""COMPUTED_VALUE"""),44873)</f>
        <v>44873</v>
      </c>
      <c r="S662" s="140">
        <f ca="1">IFERROR(__xludf.DUMMYFUNCTION("""COMPUTED_VALUE"""),45053)</f>
        <v>45053</v>
      </c>
      <c r="T662" s="40"/>
      <c r="U662" s="40" t="str">
        <f ca="1">IFERROR(__xludf.DUMMYFUNCTION("""COMPUTED_VALUE"""),"ANA MILENA CAMACHO TAMARA")</f>
        <v>ANA MILENA CAMACHO TAMARA</v>
      </c>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t="str">
        <f ca="1">IFERROR(__xludf.DUMMYFUNCTION("""COMPUTED_VALUE"""),"NO_CUMPLE")</f>
        <v>NO_CUMPLE</v>
      </c>
      <c r="AV662" s="40" t="str">
        <f ca="1">IFERROR(__xludf.DUMMYFUNCTION("""COMPUTED_VALUE"""),"EN FORMACION")</f>
        <v>EN FORMACION</v>
      </c>
      <c r="AW662" s="40" t="str">
        <f ca="1">IFERROR(__xludf.DUMMYFUNCTION("""COMPUTED_VALUE"""),"AGROPECUARIO")</f>
        <v>AGROPECUARIO</v>
      </c>
      <c r="AX662" s="141">
        <f ca="1">IFERROR(__xludf.DUMMYFUNCTION("""COMPUTED_VALUE"""),44839)</f>
        <v>44839</v>
      </c>
      <c r="AY662" s="40">
        <f ca="1">IFERROR(__xludf.DUMMYFUNCTION("""COMPUTED_VALUE"""),1)</f>
        <v>1</v>
      </c>
      <c r="AZ662" s="40">
        <f ca="1">IFERROR(__xludf.DUMMYFUNCTION("""COMPUTED_VALUE"""),1)</f>
        <v>1</v>
      </c>
      <c r="BA662" s="40">
        <f ca="1">IFERROR(__xludf.DUMMYFUNCTION("""COMPUTED_VALUE"""),0)</f>
        <v>0</v>
      </c>
      <c r="BB662" s="40">
        <f ca="1">IFERROR(__xludf.DUMMYFUNCTION("""COMPUTED_VALUE"""),7)</f>
        <v>7</v>
      </c>
      <c r="BC662" s="40">
        <f ca="1">IFERROR(__xludf.DUMMYFUNCTION("""COMPUTED_VALUE"""),9)</f>
        <v>9</v>
      </c>
      <c r="BD662" s="141">
        <f ca="1">IFERROR(__xludf.DUMMYFUNCTION("""COMPUTED_VALUE"""),44301)</f>
        <v>44301</v>
      </c>
      <c r="BE662" s="141">
        <f ca="1">IFERROR(__xludf.DUMMYFUNCTION("""COMPUTED_VALUE"""),44848)</f>
        <v>44848</v>
      </c>
      <c r="BF662" s="141">
        <f ca="1">IFERROR(__xludf.DUMMYFUNCTION("""COMPUTED_VALUE"""),45030)</f>
        <v>45030</v>
      </c>
      <c r="BG662" s="141">
        <f ca="1">IFERROR(__xludf.DUMMYFUNCTION("""COMPUTED_VALUE"""),45579)</f>
        <v>45579</v>
      </c>
      <c r="BH662" s="40" t="str">
        <f ca="1">IFERROR(__xludf.DUMMYFUNCTION("""COMPUTED_VALUE"""),"FICHA EN TIEMPO-18 MESES")</f>
        <v>FICHA EN TIEMPO-18 MESES</v>
      </c>
      <c r="BI662" s="40" t="str">
        <f ca="1">IFERROR(__xludf.DUMMYFUNCTION("""COMPUTED_VALUE"""),"En ejecucion")</f>
        <v>En ejecucion</v>
      </c>
      <c r="BJ662" s="40" t="str">
        <f ca="1">IFERROR(__xludf.DUMMYFUNCTION("""COMPUTED_VALUE"""),"Yamboro")</f>
        <v>Yamboro</v>
      </c>
      <c r="BK662" s="40"/>
      <c r="BL662" s="40"/>
    </row>
    <row r="663" spans="1:64" ht="13">
      <c r="A663" s="40"/>
      <c r="B663" s="40" t="str">
        <f ca="1">IFERROR(__xludf.DUMMYFUNCTION("""COMPUTED_VALUE"""),"FORMACIÓN 18/10/2022")</f>
        <v>FORMACIÓN 18/10/2022</v>
      </c>
      <c r="C663" s="40" t="str">
        <f ca="1">IFERROR(__xludf.DUMMYFUNCTION("""COMPUTED_VALUE"""),"KEVIN ALEJANDRO MOLINA SAMBONY")</f>
        <v>KEVIN ALEJANDRO MOLINA SAMBONY</v>
      </c>
      <c r="D663" s="40" t="str">
        <f ca="1">IFERROR(__xludf.DUMMYFUNCTION("""COMPUTED_VALUE"""),"CC")</f>
        <v>CC</v>
      </c>
      <c r="E663" s="40">
        <f ca="1">IFERROR(__xludf.DUMMYFUNCTION("""COMPUTED_VALUE"""),1004417600)</f>
        <v>1004417600</v>
      </c>
      <c r="F663" s="40">
        <f ca="1">IFERROR(__xludf.DUMMYFUNCTION("""COMPUTED_VALUE"""),1966567)</f>
        <v>1966567</v>
      </c>
      <c r="G663" s="40" t="str">
        <f ca="1">IFERROR(__xludf.DUMMYFUNCTION("""COMPUTED_VALUE"""),"TÉCNICO")</f>
        <v>TÉCNICO</v>
      </c>
      <c r="H663" s="40" t="str">
        <f ca="1">IFERROR(__xludf.DUMMYFUNCTION("""COMPUTED_VALUE"""),"EJECUCION DE PROGRAMAS DEPORTIVOS")</f>
        <v>EJECUCION DE PROGRAMAS DEPORTIVOS</v>
      </c>
      <c r="I663" s="40"/>
      <c r="J663" s="40"/>
      <c r="K663" s="40"/>
      <c r="L663" s="40" t="str">
        <f ca="1">IFERROR(__xludf.DUMMYFUNCTION("""COMPUTED_VALUE"""),"NO HA INICIADO ETAPA PRODUCTIVA")</f>
        <v>NO HA INICIADO ETAPA PRODUCTIVA</v>
      </c>
      <c r="M663" s="40"/>
      <c r="N663" s="40"/>
      <c r="O663" s="40"/>
      <c r="P663" s="40"/>
      <c r="Q663" s="40"/>
      <c r="R663" s="140"/>
      <c r="S663" s="1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t="str">
        <f ca="1">IFERROR(__xludf.DUMMYFUNCTION("""COMPUTED_VALUE"""),"Procede_E_P")</f>
        <v>Procede_E_P</v>
      </c>
      <c r="AV663" s="40" t="str">
        <f ca="1">IFERROR(__xludf.DUMMYFUNCTION("""COMPUTED_VALUE"""),"EN FORMACION")</f>
        <v>EN FORMACION</v>
      </c>
      <c r="AW663" s="40" t="str">
        <f ca="1">IFERROR(__xludf.DUMMYFUNCTION("""COMPUTED_VALUE"""),"TURISMO")</f>
        <v>TURISMO</v>
      </c>
      <c r="AX663" s="141">
        <f ca="1">IFERROR(__xludf.DUMMYFUNCTION("""COMPUTED_VALUE"""),44848)</f>
        <v>44848</v>
      </c>
      <c r="AY663" s="40">
        <f ca="1">IFERROR(__xludf.DUMMYFUNCTION("""COMPUTED_VALUE"""),0)</f>
        <v>0</v>
      </c>
      <c r="AZ663" s="40">
        <f ca="1">IFERROR(__xludf.DUMMYFUNCTION("""COMPUTED_VALUE"""),1)</f>
        <v>1</v>
      </c>
      <c r="BA663" s="40">
        <f ca="1">IFERROR(__xludf.DUMMYFUNCTION("""COMPUTED_VALUE"""),0)</f>
        <v>0</v>
      </c>
      <c r="BB663" s="40">
        <f ca="1">IFERROR(__xludf.DUMMYFUNCTION("""COMPUTED_VALUE"""),0)</f>
        <v>0</v>
      </c>
      <c r="BC663" s="40">
        <f ca="1">IFERROR(__xludf.DUMMYFUNCTION("""COMPUTED_VALUE"""),1)</f>
        <v>1</v>
      </c>
      <c r="BD663" s="141">
        <f ca="1">IFERROR(__xludf.DUMMYFUNCTION("""COMPUTED_VALUE"""),43683)</f>
        <v>43683</v>
      </c>
      <c r="BE663" s="141">
        <f ca="1">IFERROR(__xludf.DUMMYFUNCTION("""COMPUTED_VALUE"""),43971)</f>
        <v>43971</v>
      </c>
      <c r="BF663" s="141">
        <f ca="1">IFERROR(__xludf.DUMMYFUNCTION("""COMPUTED_VALUE"""),44155)</f>
        <v>44155</v>
      </c>
      <c r="BG663" s="141">
        <f ca="1">IFERROR(__xludf.DUMMYFUNCTION("""COMPUTED_VALUE"""),44701)</f>
        <v>44701</v>
      </c>
      <c r="BH663" s="40" t="str">
        <f ca="1">IFERROR(__xludf.DUMMYFUNCTION("""COMPUTED_VALUE"""),"FINALIZAR FICHA")</f>
        <v>FINALIZAR FICHA</v>
      </c>
      <c r="BI663" s="40" t="str">
        <f ca="1">IFERROR(__xludf.DUMMYFUNCTION("""COMPUTED_VALUE"""),"Terminada por Fecha     ")</f>
        <v xml:space="preserve">Terminada por Fecha     </v>
      </c>
      <c r="BJ663" s="40" t="str">
        <f ca="1">IFERROR(__xludf.DUMMYFUNCTION("""COMPUTED_VALUE"""),"Yamboro")</f>
        <v>Yamboro</v>
      </c>
      <c r="BK663" s="40"/>
      <c r="BL663" s="40"/>
    </row>
    <row r="664" spans="1:64" ht="13">
      <c r="A664" s="40"/>
      <c r="B664" s="40" t="str">
        <f ca="1">IFERROR(__xludf.DUMMYFUNCTION("""COMPUTED_VALUE"""),"FORMACIÓN 18/10/2022")</f>
        <v>FORMACIÓN 18/10/2022</v>
      </c>
      <c r="C664" s="40" t="str">
        <f ca="1">IFERROR(__xludf.DUMMYFUNCTION("""COMPUTED_VALUE"""),"FARID POLANIA CARVAJAL")</f>
        <v>FARID POLANIA CARVAJAL</v>
      </c>
      <c r="D664" s="40" t="str">
        <f ca="1">IFERROR(__xludf.DUMMYFUNCTION("""COMPUTED_VALUE"""),"CC")</f>
        <v>CC</v>
      </c>
      <c r="E664" s="40">
        <f ca="1">IFERROR(__xludf.DUMMYFUNCTION("""COMPUTED_VALUE"""),1004417869)</f>
        <v>1004417869</v>
      </c>
      <c r="F664" s="40">
        <f ca="1">IFERROR(__xludf.DUMMYFUNCTION("""COMPUTED_VALUE"""),1966567)</f>
        <v>1966567</v>
      </c>
      <c r="G664" s="40" t="str">
        <f ca="1">IFERROR(__xludf.DUMMYFUNCTION("""COMPUTED_VALUE"""),"TÉCNICO")</f>
        <v>TÉCNICO</v>
      </c>
      <c r="H664" s="40" t="str">
        <f ca="1">IFERROR(__xludf.DUMMYFUNCTION("""COMPUTED_VALUE"""),"EJECUCION DE PROGRAMAS DEPORTIVOS")</f>
        <v>EJECUCION DE PROGRAMAS DEPORTIVOS</v>
      </c>
      <c r="I664" s="40"/>
      <c r="J664" s="40"/>
      <c r="K664" s="40"/>
      <c r="L664" s="40" t="str">
        <f ca="1">IFERROR(__xludf.DUMMYFUNCTION("""COMPUTED_VALUE"""),"NO HA INICIADO ETAPA PRODUCTIVA")</f>
        <v>NO HA INICIADO ETAPA PRODUCTIVA</v>
      </c>
      <c r="M664" s="40"/>
      <c r="N664" s="40"/>
      <c r="O664" s="40"/>
      <c r="P664" s="40"/>
      <c r="Q664" s="40"/>
      <c r="R664" s="140"/>
      <c r="S664" s="1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t="str">
        <f ca="1">IFERROR(__xludf.DUMMYFUNCTION("""COMPUTED_VALUE"""),"Procede_E_P")</f>
        <v>Procede_E_P</v>
      </c>
      <c r="AV664" s="40" t="str">
        <f ca="1">IFERROR(__xludf.DUMMYFUNCTION("""COMPUTED_VALUE"""),"EN FORMACION")</f>
        <v>EN FORMACION</v>
      </c>
      <c r="AW664" s="40" t="str">
        <f ca="1">IFERROR(__xludf.DUMMYFUNCTION("""COMPUTED_VALUE"""),"TURISMO")</f>
        <v>TURISMO</v>
      </c>
      <c r="AX664" s="141">
        <f ca="1">IFERROR(__xludf.DUMMYFUNCTION("""COMPUTED_VALUE"""),44848)</f>
        <v>44848</v>
      </c>
      <c r="AY664" s="40">
        <f ca="1">IFERROR(__xludf.DUMMYFUNCTION("""COMPUTED_VALUE"""),0)</f>
        <v>0</v>
      </c>
      <c r="AZ664" s="40">
        <f ca="1">IFERROR(__xludf.DUMMYFUNCTION("""COMPUTED_VALUE"""),1)</f>
        <v>1</v>
      </c>
      <c r="BA664" s="40">
        <f ca="1">IFERROR(__xludf.DUMMYFUNCTION("""COMPUTED_VALUE"""),0)</f>
        <v>0</v>
      </c>
      <c r="BB664" s="40">
        <f ca="1">IFERROR(__xludf.DUMMYFUNCTION("""COMPUTED_VALUE"""),0)</f>
        <v>0</v>
      </c>
      <c r="BC664" s="40">
        <f ca="1">IFERROR(__xludf.DUMMYFUNCTION("""COMPUTED_VALUE"""),1)</f>
        <v>1</v>
      </c>
      <c r="BD664" s="141">
        <f ca="1">IFERROR(__xludf.DUMMYFUNCTION("""COMPUTED_VALUE"""),43683)</f>
        <v>43683</v>
      </c>
      <c r="BE664" s="141">
        <f ca="1">IFERROR(__xludf.DUMMYFUNCTION("""COMPUTED_VALUE"""),43971)</f>
        <v>43971</v>
      </c>
      <c r="BF664" s="141">
        <f ca="1">IFERROR(__xludf.DUMMYFUNCTION("""COMPUTED_VALUE"""),44155)</f>
        <v>44155</v>
      </c>
      <c r="BG664" s="141">
        <f ca="1">IFERROR(__xludf.DUMMYFUNCTION("""COMPUTED_VALUE"""),44701)</f>
        <v>44701</v>
      </c>
      <c r="BH664" s="40" t="str">
        <f ca="1">IFERROR(__xludf.DUMMYFUNCTION("""COMPUTED_VALUE"""),"FINALIZAR FICHA")</f>
        <v>FINALIZAR FICHA</v>
      </c>
      <c r="BI664" s="40" t="str">
        <f ca="1">IFERROR(__xludf.DUMMYFUNCTION("""COMPUTED_VALUE"""),"Terminada por fecha")</f>
        <v>Terminada por fecha</v>
      </c>
      <c r="BJ664" s="40" t="str">
        <f ca="1">IFERROR(__xludf.DUMMYFUNCTION("""COMPUTED_VALUE"""),"Yamboro")</f>
        <v>Yamboro</v>
      </c>
      <c r="BK664" s="40"/>
      <c r="BL664" s="40"/>
    </row>
    <row r="665" spans="1:64" ht="13">
      <c r="A665" s="40"/>
      <c r="B665" s="40" t="str">
        <f ca="1">IFERROR(__xludf.DUMMYFUNCTION("""COMPUTED_VALUE"""),"FORMACIÓN 18/10/2022")</f>
        <v>FORMACIÓN 18/10/2022</v>
      </c>
      <c r="C665" s="40" t="str">
        <f ca="1">IFERROR(__xludf.DUMMYFUNCTION("""COMPUTED_VALUE"""),"HELLEN FERNANDA GOMEZ PINEDA")</f>
        <v>HELLEN FERNANDA GOMEZ PINEDA</v>
      </c>
      <c r="D665" s="40" t="str">
        <f ca="1">IFERROR(__xludf.DUMMYFUNCTION("""COMPUTED_VALUE"""),"CC")</f>
        <v>CC</v>
      </c>
      <c r="E665" s="40">
        <f ca="1">IFERROR(__xludf.DUMMYFUNCTION("""COMPUTED_VALUE"""),1004440436)</f>
        <v>1004440436</v>
      </c>
      <c r="F665" s="40">
        <f ca="1">IFERROR(__xludf.DUMMYFUNCTION("""COMPUTED_VALUE"""),1966567)</f>
        <v>1966567</v>
      </c>
      <c r="G665" s="40" t="str">
        <f ca="1">IFERROR(__xludf.DUMMYFUNCTION("""COMPUTED_VALUE"""),"TÉCNICO")</f>
        <v>TÉCNICO</v>
      </c>
      <c r="H665" s="40" t="str">
        <f ca="1">IFERROR(__xludf.DUMMYFUNCTION("""COMPUTED_VALUE"""),"EJECUCION DE PROGRAMAS DEPORTIVOS")</f>
        <v>EJECUCION DE PROGRAMAS DEPORTIVOS</v>
      </c>
      <c r="I665" s="40"/>
      <c r="J665" s="40"/>
      <c r="K665" s="40"/>
      <c r="L665" s="40" t="str">
        <f ca="1">IFERROR(__xludf.DUMMYFUNCTION("""COMPUTED_VALUE"""),"NO HA INICIADO ETAPA PRODUCTIVA")</f>
        <v>NO HA INICIADO ETAPA PRODUCTIVA</v>
      </c>
      <c r="M665" s="40"/>
      <c r="N665" s="40"/>
      <c r="O665" s="40"/>
      <c r="P665" s="40"/>
      <c r="Q665" s="40"/>
      <c r="R665" s="140"/>
      <c r="S665" s="1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t="str">
        <f ca="1">IFERROR(__xludf.DUMMYFUNCTION("""COMPUTED_VALUE"""),"NO_CUMPLE")</f>
        <v>NO_CUMPLE</v>
      </c>
      <c r="AV665" s="40" t="str">
        <f ca="1">IFERROR(__xludf.DUMMYFUNCTION("""COMPUTED_VALUE"""),"EN FORMACION")</f>
        <v>EN FORMACION</v>
      </c>
      <c r="AW665" s="40" t="str">
        <f ca="1">IFERROR(__xludf.DUMMYFUNCTION("""COMPUTED_VALUE"""),"TURISMO")</f>
        <v>TURISMO</v>
      </c>
      <c r="AX665" s="141">
        <f ca="1">IFERROR(__xludf.DUMMYFUNCTION("""COMPUTED_VALUE"""),44848)</f>
        <v>44848</v>
      </c>
      <c r="AY665" s="40">
        <f ca="1">IFERROR(__xludf.DUMMYFUNCTION("""COMPUTED_VALUE"""),1)</f>
        <v>1</v>
      </c>
      <c r="AZ665" s="40">
        <f ca="1">IFERROR(__xludf.DUMMYFUNCTION("""COMPUTED_VALUE"""),1)</f>
        <v>1</v>
      </c>
      <c r="BA665" s="40">
        <f ca="1">IFERROR(__xludf.DUMMYFUNCTION("""COMPUTED_VALUE"""),0)</f>
        <v>0</v>
      </c>
      <c r="BB665" s="40">
        <f ca="1">IFERROR(__xludf.DUMMYFUNCTION("""COMPUTED_VALUE"""),0)</f>
        <v>0</v>
      </c>
      <c r="BC665" s="40">
        <f ca="1">IFERROR(__xludf.DUMMYFUNCTION("""COMPUTED_VALUE"""),2)</f>
        <v>2</v>
      </c>
      <c r="BD665" s="141">
        <f ca="1">IFERROR(__xludf.DUMMYFUNCTION("""COMPUTED_VALUE"""),43683)</f>
        <v>43683</v>
      </c>
      <c r="BE665" s="141">
        <f ca="1">IFERROR(__xludf.DUMMYFUNCTION("""COMPUTED_VALUE"""),43971)</f>
        <v>43971</v>
      </c>
      <c r="BF665" s="141">
        <f ca="1">IFERROR(__xludf.DUMMYFUNCTION("""COMPUTED_VALUE"""),44155)</f>
        <v>44155</v>
      </c>
      <c r="BG665" s="141">
        <f ca="1">IFERROR(__xludf.DUMMYFUNCTION("""COMPUTED_VALUE"""),44701)</f>
        <v>44701</v>
      </c>
      <c r="BH665" s="40" t="str">
        <f ca="1">IFERROR(__xludf.DUMMYFUNCTION("""COMPUTED_VALUE"""),"FINALIZAR FICHA")</f>
        <v>FINALIZAR FICHA</v>
      </c>
      <c r="BI665" s="40" t="str">
        <f ca="1">IFERROR(__xludf.DUMMYFUNCTION("""COMPUTED_VALUE"""),"Terminada por fecha")</f>
        <v>Terminada por fecha</v>
      </c>
      <c r="BJ665" s="40" t="str">
        <f ca="1">IFERROR(__xludf.DUMMYFUNCTION("""COMPUTED_VALUE"""),"Yamboro")</f>
        <v>Yamboro</v>
      </c>
      <c r="BK665" s="40"/>
      <c r="BL665" s="40"/>
    </row>
    <row r="666" spans="1:64" ht="13">
      <c r="A666" s="40"/>
      <c r="B666" s="40" t="str">
        <f ca="1">IFERROR(__xludf.DUMMYFUNCTION("""COMPUTED_VALUE"""),"FORMACIÓN 18/10/2022")</f>
        <v>FORMACIÓN 18/10/2022</v>
      </c>
      <c r="C666" s="40" t="str">
        <f ca="1">IFERROR(__xludf.DUMMYFUNCTION("""COMPUTED_VALUE"""),"KOSTAR FABIAN ZUÑIGA FIGUEROA")</f>
        <v>KOSTAR FABIAN ZUÑIGA FIGUEROA</v>
      </c>
      <c r="D666" s="40" t="str">
        <f ca="1">IFERROR(__xludf.DUMMYFUNCTION("""COMPUTED_VALUE"""),"CC")</f>
        <v>CC</v>
      </c>
      <c r="E666" s="40">
        <f ca="1">IFERROR(__xludf.DUMMYFUNCTION("""COMPUTED_VALUE"""),1004446273)</f>
        <v>1004446273</v>
      </c>
      <c r="F666" s="40">
        <f ca="1">IFERROR(__xludf.DUMMYFUNCTION("""COMPUTED_VALUE"""),1966567)</f>
        <v>1966567</v>
      </c>
      <c r="G666" s="40" t="str">
        <f ca="1">IFERROR(__xludf.DUMMYFUNCTION("""COMPUTED_VALUE"""),"TÉCNICO")</f>
        <v>TÉCNICO</v>
      </c>
      <c r="H666" s="40" t="str">
        <f ca="1">IFERROR(__xludf.DUMMYFUNCTION("""COMPUTED_VALUE"""),"EJECUCION DE PROGRAMAS DEPORTIVOS")</f>
        <v>EJECUCION DE PROGRAMAS DEPORTIVOS</v>
      </c>
      <c r="I666" s="40"/>
      <c r="J666" s="40"/>
      <c r="K666" s="40"/>
      <c r="L666" s="40" t="str">
        <f ca="1">IFERROR(__xludf.DUMMYFUNCTION("""COMPUTED_VALUE"""),"NO HA INICIADO ETAPA PRODUCTIVA")</f>
        <v>NO HA INICIADO ETAPA PRODUCTIVA</v>
      </c>
      <c r="M666" s="40"/>
      <c r="N666" s="40"/>
      <c r="O666" s="40"/>
      <c r="P666" s="40"/>
      <c r="Q666" s="40"/>
      <c r="R666" s="140"/>
      <c r="S666" s="1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t="str">
        <f ca="1">IFERROR(__xludf.DUMMYFUNCTION("""COMPUTED_VALUE"""),"NO_CUMPLE")</f>
        <v>NO_CUMPLE</v>
      </c>
      <c r="AV666" s="40" t="str">
        <f ca="1">IFERROR(__xludf.DUMMYFUNCTION("""COMPUTED_VALUE"""),"EN FORMACION")</f>
        <v>EN FORMACION</v>
      </c>
      <c r="AW666" s="40" t="str">
        <f ca="1">IFERROR(__xludf.DUMMYFUNCTION("""COMPUTED_VALUE"""),"TURISMO")</f>
        <v>TURISMO</v>
      </c>
      <c r="AX666" s="141">
        <f ca="1">IFERROR(__xludf.DUMMYFUNCTION("""COMPUTED_VALUE"""),44848)</f>
        <v>44848</v>
      </c>
      <c r="AY666" s="40">
        <f ca="1">IFERROR(__xludf.DUMMYFUNCTION("""COMPUTED_VALUE"""),1)</f>
        <v>1</v>
      </c>
      <c r="AZ666" s="40">
        <f ca="1">IFERROR(__xludf.DUMMYFUNCTION("""COMPUTED_VALUE"""),1)</f>
        <v>1</v>
      </c>
      <c r="BA666" s="40">
        <f ca="1">IFERROR(__xludf.DUMMYFUNCTION("""COMPUTED_VALUE"""),0)</f>
        <v>0</v>
      </c>
      <c r="BB666" s="40">
        <f ca="1">IFERROR(__xludf.DUMMYFUNCTION("""COMPUTED_VALUE"""),0)</f>
        <v>0</v>
      </c>
      <c r="BC666" s="40">
        <f ca="1">IFERROR(__xludf.DUMMYFUNCTION("""COMPUTED_VALUE"""),2)</f>
        <v>2</v>
      </c>
      <c r="BD666" s="141">
        <f ca="1">IFERROR(__xludf.DUMMYFUNCTION("""COMPUTED_VALUE"""),43683)</f>
        <v>43683</v>
      </c>
      <c r="BE666" s="141">
        <f ca="1">IFERROR(__xludf.DUMMYFUNCTION("""COMPUTED_VALUE"""),43971)</f>
        <v>43971</v>
      </c>
      <c r="BF666" s="141">
        <f ca="1">IFERROR(__xludf.DUMMYFUNCTION("""COMPUTED_VALUE"""),44155)</f>
        <v>44155</v>
      </c>
      <c r="BG666" s="141">
        <f ca="1">IFERROR(__xludf.DUMMYFUNCTION("""COMPUTED_VALUE"""),44701)</f>
        <v>44701</v>
      </c>
      <c r="BH666" s="40" t="str">
        <f ca="1">IFERROR(__xludf.DUMMYFUNCTION("""COMPUTED_VALUE"""),"FINALIZAR FICHA")</f>
        <v>FINALIZAR FICHA</v>
      </c>
      <c r="BI666" s="40" t="str">
        <f ca="1">IFERROR(__xludf.DUMMYFUNCTION("""COMPUTED_VALUE"""),"Terminada por fecha")</f>
        <v>Terminada por fecha</v>
      </c>
      <c r="BJ666" s="40" t="str">
        <f ca="1">IFERROR(__xludf.DUMMYFUNCTION("""COMPUTED_VALUE"""),"Yamboro")</f>
        <v>Yamboro</v>
      </c>
      <c r="BK666" s="40"/>
      <c r="BL666" s="40"/>
    </row>
    <row r="667" spans="1:64" ht="13">
      <c r="A667" s="40"/>
      <c r="B667" s="40" t="str">
        <f ca="1">IFERROR(__xludf.DUMMYFUNCTION("""COMPUTED_VALUE"""),"FORMACIÓN 18/10/2022")</f>
        <v>FORMACIÓN 18/10/2022</v>
      </c>
      <c r="C667" s="40" t="str">
        <f ca="1">IFERROR(__xludf.DUMMYFUNCTION("""COMPUTED_VALUE"""),"ANDERSON ALEXIS ORDOÑEZ MACIAS")</f>
        <v>ANDERSON ALEXIS ORDOÑEZ MACIAS</v>
      </c>
      <c r="D667" s="40" t="str">
        <f ca="1">IFERROR(__xludf.DUMMYFUNCTION("""COMPUTED_VALUE"""),"CC")</f>
        <v>CC</v>
      </c>
      <c r="E667" s="40">
        <f ca="1">IFERROR(__xludf.DUMMYFUNCTION("""COMPUTED_VALUE"""),1007337217)</f>
        <v>1007337217</v>
      </c>
      <c r="F667" s="40">
        <f ca="1">IFERROR(__xludf.DUMMYFUNCTION("""COMPUTED_VALUE"""),1966567)</f>
        <v>1966567</v>
      </c>
      <c r="G667" s="40" t="str">
        <f ca="1">IFERROR(__xludf.DUMMYFUNCTION("""COMPUTED_VALUE"""),"TÉCNICO")</f>
        <v>TÉCNICO</v>
      </c>
      <c r="H667" s="40" t="str">
        <f ca="1">IFERROR(__xludf.DUMMYFUNCTION("""COMPUTED_VALUE"""),"EJECUCION DE PROGRAMAS DEPORTIVOS")</f>
        <v>EJECUCION DE PROGRAMAS DEPORTIVOS</v>
      </c>
      <c r="I667" s="40"/>
      <c r="J667" s="40"/>
      <c r="K667" s="40"/>
      <c r="L667" s="40" t="str">
        <f ca="1">IFERROR(__xludf.DUMMYFUNCTION("""COMPUTED_VALUE"""),"NO HA INICIADO ETAPA PRODUCTIVA")</f>
        <v>NO HA INICIADO ETAPA PRODUCTIVA</v>
      </c>
      <c r="M667" s="40"/>
      <c r="N667" s="40"/>
      <c r="O667" s="40"/>
      <c r="P667" s="40"/>
      <c r="Q667" s="40"/>
      <c r="R667" s="140"/>
      <c r="S667" s="1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t="str">
        <f ca="1">IFERROR(__xludf.DUMMYFUNCTION("""COMPUTED_VALUE"""),"Procede_E_P")</f>
        <v>Procede_E_P</v>
      </c>
      <c r="AV667" s="40" t="str">
        <f ca="1">IFERROR(__xludf.DUMMYFUNCTION("""COMPUTED_VALUE"""),"EN FORMACION")</f>
        <v>EN FORMACION</v>
      </c>
      <c r="AW667" s="40" t="str">
        <f ca="1">IFERROR(__xludf.DUMMYFUNCTION("""COMPUTED_VALUE"""),"TURISMO")</f>
        <v>TURISMO</v>
      </c>
      <c r="AX667" s="141">
        <f ca="1">IFERROR(__xludf.DUMMYFUNCTION("""COMPUTED_VALUE"""),44848)</f>
        <v>44848</v>
      </c>
      <c r="AY667" s="40">
        <f ca="1">IFERROR(__xludf.DUMMYFUNCTION("""COMPUTED_VALUE"""),0)</f>
        <v>0</v>
      </c>
      <c r="AZ667" s="40">
        <f ca="1">IFERROR(__xludf.DUMMYFUNCTION("""COMPUTED_VALUE"""),1)</f>
        <v>1</v>
      </c>
      <c r="BA667" s="40">
        <f ca="1">IFERROR(__xludf.DUMMYFUNCTION("""COMPUTED_VALUE"""),0)</f>
        <v>0</v>
      </c>
      <c r="BB667" s="40">
        <f ca="1">IFERROR(__xludf.DUMMYFUNCTION("""COMPUTED_VALUE"""),0)</f>
        <v>0</v>
      </c>
      <c r="BC667" s="40">
        <f ca="1">IFERROR(__xludf.DUMMYFUNCTION("""COMPUTED_VALUE"""),1)</f>
        <v>1</v>
      </c>
      <c r="BD667" s="141">
        <f ca="1">IFERROR(__xludf.DUMMYFUNCTION("""COMPUTED_VALUE"""),43683)</f>
        <v>43683</v>
      </c>
      <c r="BE667" s="141">
        <f ca="1">IFERROR(__xludf.DUMMYFUNCTION("""COMPUTED_VALUE"""),43971)</f>
        <v>43971</v>
      </c>
      <c r="BF667" s="141">
        <f ca="1">IFERROR(__xludf.DUMMYFUNCTION("""COMPUTED_VALUE"""),44155)</f>
        <v>44155</v>
      </c>
      <c r="BG667" s="141">
        <f ca="1">IFERROR(__xludf.DUMMYFUNCTION("""COMPUTED_VALUE"""),44701)</f>
        <v>44701</v>
      </c>
      <c r="BH667" s="40" t="str">
        <f ca="1">IFERROR(__xludf.DUMMYFUNCTION("""COMPUTED_VALUE"""),"FINALIZAR FICHA")</f>
        <v>FINALIZAR FICHA</v>
      </c>
      <c r="BI667" s="40" t="str">
        <f ca="1">IFERROR(__xludf.DUMMYFUNCTION("""COMPUTED_VALUE"""),"Terminada por fecha")</f>
        <v>Terminada por fecha</v>
      </c>
      <c r="BJ667" s="40" t="str">
        <f ca="1">IFERROR(__xludf.DUMMYFUNCTION("""COMPUTED_VALUE"""),"Yamboro")</f>
        <v>Yamboro</v>
      </c>
      <c r="BK667" s="40"/>
      <c r="BL667" s="40"/>
    </row>
    <row r="668" spans="1:64" ht="13">
      <c r="A668" s="40"/>
      <c r="B668" s="40" t="str">
        <f ca="1">IFERROR(__xludf.DUMMYFUNCTION("""COMPUTED_VALUE"""),"FORMACIÓN 18/10/2022")</f>
        <v>FORMACIÓN 18/10/2022</v>
      </c>
      <c r="C668" s="40" t="str">
        <f ca="1">IFERROR(__xludf.DUMMYFUNCTION("""COMPUTED_VALUE"""),"MANUEL FELIPE RAMIREZ PLAZA")</f>
        <v>MANUEL FELIPE RAMIREZ PLAZA</v>
      </c>
      <c r="D668" s="40" t="str">
        <f ca="1">IFERROR(__xludf.DUMMYFUNCTION("""COMPUTED_VALUE"""),"CC")</f>
        <v>CC</v>
      </c>
      <c r="E668" s="40">
        <f ca="1">IFERROR(__xludf.DUMMYFUNCTION("""COMPUTED_VALUE"""),1007446995)</f>
        <v>1007446995</v>
      </c>
      <c r="F668" s="40">
        <f ca="1">IFERROR(__xludf.DUMMYFUNCTION("""COMPUTED_VALUE"""),1966567)</f>
        <v>1966567</v>
      </c>
      <c r="G668" s="40" t="str">
        <f ca="1">IFERROR(__xludf.DUMMYFUNCTION("""COMPUTED_VALUE"""),"TÉCNICO")</f>
        <v>TÉCNICO</v>
      </c>
      <c r="H668" s="40" t="str">
        <f ca="1">IFERROR(__xludf.DUMMYFUNCTION("""COMPUTED_VALUE"""),"EJECUCION DE PROGRAMAS DEPORTIVOS")</f>
        <v>EJECUCION DE PROGRAMAS DEPORTIVOS</v>
      </c>
      <c r="I668" s="40"/>
      <c r="J668" s="40"/>
      <c r="K668" s="40"/>
      <c r="L668" s="40" t="str">
        <f ca="1">IFERROR(__xludf.DUMMYFUNCTION("""COMPUTED_VALUE"""),"NO HA INICIADO ETAPA PRODUCTIVA")</f>
        <v>NO HA INICIADO ETAPA PRODUCTIVA</v>
      </c>
      <c r="M668" s="40"/>
      <c r="N668" s="40"/>
      <c r="O668" s="40"/>
      <c r="P668" s="40"/>
      <c r="Q668" s="40"/>
      <c r="R668" s="140"/>
      <c r="S668" s="1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t="str">
        <f ca="1">IFERROR(__xludf.DUMMYFUNCTION("""COMPUTED_VALUE"""),"Procede_E_P")</f>
        <v>Procede_E_P</v>
      </c>
      <c r="AV668" s="40" t="str">
        <f ca="1">IFERROR(__xludf.DUMMYFUNCTION("""COMPUTED_VALUE"""),"EN FORMACION")</f>
        <v>EN FORMACION</v>
      </c>
      <c r="AW668" s="40" t="str">
        <f ca="1">IFERROR(__xludf.DUMMYFUNCTION("""COMPUTED_VALUE"""),"TURISMO")</f>
        <v>TURISMO</v>
      </c>
      <c r="AX668" s="141">
        <f ca="1">IFERROR(__xludf.DUMMYFUNCTION("""COMPUTED_VALUE"""),44848)</f>
        <v>44848</v>
      </c>
      <c r="AY668" s="40">
        <f ca="1">IFERROR(__xludf.DUMMYFUNCTION("""COMPUTED_VALUE"""),0)</f>
        <v>0</v>
      </c>
      <c r="AZ668" s="40">
        <f ca="1">IFERROR(__xludf.DUMMYFUNCTION("""COMPUTED_VALUE"""),1)</f>
        <v>1</v>
      </c>
      <c r="BA668" s="40">
        <f ca="1">IFERROR(__xludf.DUMMYFUNCTION("""COMPUTED_VALUE"""),0)</f>
        <v>0</v>
      </c>
      <c r="BB668" s="40">
        <f ca="1">IFERROR(__xludf.DUMMYFUNCTION("""COMPUTED_VALUE"""),0)</f>
        <v>0</v>
      </c>
      <c r="BC668" s="40">
        <f ca="1">IFERROR(__xludf.DUMMYFUNCTION("""COMPUTED_VALUE"""),1)</f>
        <v>1</v>
      </c>
      <c r="BD668" s="141">
        <f ca="1">IFERROR(__xludf.DUMMYFUNCTION("""COMPUTED_VALUE"""),43683)</f>
        <v>43683</v>
      </c>
      <c r="BE668" s="141">
        <f ca="1">IFERROR(__xludf.DUMMYFUNCTION("""COMPUTED_VALUE"""),43971)</f>
        <v>43971</v>
      </c>
      <c r="BF668" s="141">
        <f ca="1">IFERROR(__xludf.DUMMYFUNCTION("""COMPUTED_VALUE"""),44155)</f>
        <v>44155</v>
      </c>
      <c r="BG668" s="141">
        <f ca="1">IFERROR(__xludf.DUMMYFUNCTION("""COMPUTED_VALUE"""),44701)</f>
        <v>44701</v>
      </c>
      <c r="BH668" s="40" t="str">
        <f ca="1">IFERROR(__xludf.DUMMYFUNCTION("""COMPUTED_VALUE"""),"FINALIZAR FICHA")</f>
        <v>FINALIZAR FICHA</v>
      </c>
      <c r="BI668" s="40" t="str">
        <f ca="1">IFERROR(__xludf.DUMMYFUNCTION("""COMPUTED_VALUE"""),"Terminada por fecha")</f>
        <v>Terminada por fecha</v>
      </c>
      <c r="BJ668" s="40" t="str">
        <f ca="1">IFERROR(__xludf.DUMMYFUNCTION("""COMPUTED_VALUE"""),"Yamboro")</f>
        <v>Yamboro</v>
      </c>
      <c r="BK668" s="40"/>
      <c r="BL668" s="40"/>
    </row>
    <row r="669" spans="1:64" ht="13">
      <c r="A669" s="40"/>
      <c r="B669" s="40" t="str">
        <f ca="1">IFERROR(__xludf.DUMMYFUNCTION("""COMPUTED_VALUE"""),"FORMACIÓN 18/10/2022")</f>
        <v>FORMACIÓN 18/10/2022</v>
      </c>
      <c r="C669" s="40" t="str">
        <f ca="1">IFERROR(__xludf.DUMMYFUNCTION("""COMPUTED_VALUE"""),"JEFFERSON ESTIVEN MOLINA SAMBONY")</f>
        <v>JEFFERSON ESTIVEN MOLINA SAMBONY</v>
      </c>
      <c r="D669" s="40" t="str">
        <f ca="1">IFERROR(__xludf.DUMMYFUNCTION("""COMPUTED_VALUE"""),"CC")</f>
        <v>CC</v>
      </c>
      <c r="E669" s="40">
        <f ca="1">IFERROR(__xludf.DUMMYFUNCTION("""COMPUTED_VALUE"""),1007531646)</f>
        <v>1007531646</v>
      </c>
      <c r="F669" s="40">
        <f ca="1">IFERROR(__xludf.DUMMYFUNCTION("""COMPUTED_VALUE"""),1966567)</f>
        <v>1966567</v>
      </c>
      <c r="G669" s="40" t="str">
        <f ca="1">IFERROR(__xludf.DUMMYFUNCTION("""COMPUTED_VALUE"""),"TÉCNICO")</f>
        <v>TÉCNICO</v>
      </c>
      <c r="H669" s="40" t="str">
        <f ca="1">IFERROR(__xludf.DUMMYFUNCTION("""COMPUTED_VALUE"""),"EJECUCION DE PROGRAMAS DEPORTIVOS")</f>
        <v>EJECUCION DE PROGRAMAS DEPORTIVOS</v>
      </c>
      <c r="I669" s="40"/>
      <c r="J669" s="40"/>
      <c r="K669" s="40"/>
      <c r="L669" s="40" t="str">
        <f ca="1">IFERROR(__xludf.DUMMYFUNCTION("""COMPUTED_VALUE"""),"NO HA INICIADO ETAPA PRODUCTIVA")</f>
        <v>NO HA INICIADO ETAPA PRODUCTIVA</v>
      </c>
      <c r="M669" s="40"/>
      <c r="N669" s="40"/>
      <c r="O669" s="40"/>
      <c r="P669" s="40"/>
      <c r="Q669" s="40"/>
      <c r="R669" s="140"/>
      <c r="S669" s="1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t="str">
        <f ca="1">IFERROR(__xludf.DUMMYFUNCTION("""COMPUTED_VALUE"""),"Procede_E_P")</f>
        <v>Procede_E_P</v>
      </c>
      <c r="AV669" s="40" t="str">
        <f ca="1">IFERROR(__xludf.DUMMYFUNCTION("""COMPUTED_VALUE"""),"EN FORMACION")</f>
        <v>EN FORMACION</v>
      </c>
      <c r="AW669" s="40" t="str">
        <f ca="1">IFERROR(__xludf.DUMMYFUNCTION("""COMPUTED_VALUE"""),"TURISMO")</f>
        <v>TURISMO</v>
      </c>
      <c r="AX669" s="141">
        <f ca="1">IFERROR(__xludf.DUMMYFUNCTION("""COMPUTED_VALUE"""),44848)</f>
        <v>44848</v>
      </c>
      <c r="AY669" s="40">
        <f ca="1">IFERROR(__xludf.DUMMYFUNCTION("""COMPUTED_VALUE"""),0)</f>
        <v>0</v>
      </c>
      <c r="AZ669" s="40">
        <f ca="1">IFERROR(__xludf.DUMMYFUNCTION("""COMPUTED_VALUE"""),1)</f>
        <v>1</v>
      </c>
      <c r="BA669" s="40">
        <f ca="1">IFERROR(__xludf.DUMMYFUNCTION("""COMPUTED_VALUE"""),0)</f>
        <v>0</v>
      </c>
      <c r="BB669" s="40">
        <f ca="1">IFERROR(__xludf.DUMMYFUNCTION("""COMPUTED_VALUE"""),0)</f>
        <v>0</v>
      </c>
      <c r="BC669" s="40">
        <f ca="1">IFERROR(__xludf.DUMMYFUNCTION("""COMPUTED_VALUE"""),1)</f>
        <v>1</v>
      </c>
      <c r="BD669" s="141">
        <f ca="1">IFERROR(__xludf.DUMMYFUNCTION("""COMPUTED_VALUE"""),43683)</f>
        <v>43683</v>
      </c>
      <c r="BE669" s="141">
        <f ca="1">IFERROR(__xludf.DUMMYFUNCTION("""COMPUTED_VALUE"""),43971)</f>
        <v>43971</v>
      </c>
      <c r="BF669" s="141">
        <f ca="1">IFERROR(__xludf.DUMMYFUNCTION("""COMPUTED_VALUE"""),44155)</f>
        <v>44155</v>
      </c>
      <c r="BG669" s="141">
        <f ca="1">IFERROR(__xludf.DUMMYFUNCTION("""COMPUTED_VALUE"""),44701)</f>
        <v>44701</v>
      </c>
      <c r="BH669" s="40" t="str">
        <f ca="1">IFERROR(__xludf.DUMMYFUNCTION("""COMPUTED_VALUE"""),"FINALIZAR FICHA")</f>
        <v>FINALIZAR FICHA</v>
      </c>
      <c r="BI669" s="40" t="str">
        <f ca="1">IFERROR(__xludf.DUMMYFUNCTION("""COMPUTED_VALUE"""),"Terminada por fecha")</f>
        <v>Terminada por fecha</v>
      </c>
      <c r="BJ669" s="40" t="str">
        <f ca="1">IFERROR(__xludf.DUMMYFUNCTION("""COMPUTED_VALUE"""),"Yamboro")</f>
        <v>Yamboro</v>
      </c>
      <c r="BK669" s="40"/>
      <c r="BL669" s="40"/>
    </row>
    <row r="670" spans="1:64" ht="13">
      <c r="A670" s="40"/>
      <c r="B670" s="40" t="str">
        <f ca="1">IFERROR(__xludf.DUMMYFUNCTION("""COMPUTED_VALUE"""),"FORMACIÓN 18/10/2022")</f>
        <v>FORMACIÓN 18/10/2022</v>
      </c>
      <c r="C670" s="40" t="str">
        <f ca="1">IFERROR(__xludf.DUMMYFUNCTION("""COMPUTED_VALUE"""),"YULIANA VARGAS URRIAGO")</f>
        <v>YULIANA VARGAS URRIAGO</v>
      </c>
      <c r="D670" s="40" t="str">
        <f ca="1">IFERROR(__xludf.DUMMYFUNCTION("""COMPUTED_VALUE"""),"CC")</f>
        <v>CC</v>
      </c>
      <c r="E670" s="40">
        <f ca="1">IFERROR(__xludf.DUMMYFUNCTION("""COMPUTED_VALUE"""),1007745465)</f>
        <v>1007745465</v>
      </c>
      <c r="F670" s="40">
        <f ca="1">IFERROR(__xludf.DUMMYFUNCTION("""COMPUTED_VALUE"""),1966567)</f>
        <v>1966567</v>
      </c>
      <c r="G670" s="40" t="str">
        <f ca="1">IFERROR(__xludf.DUMMYFUNCTION("""COMPUTED_VALUE"""),"TÉCNICO")</f>
        <v>TÉCNICO</v>
      </c>
      <c r="H670" s="40" t="str">
        <f ca="1">IFERROR(__xludf.DUMMYFUNCTION("""COMPUTED_VALUE"""),"EJECUCION DE PROGRAMAS DEPORTIVOS")</f>
        <v>EJECUCION DE PROGRAMAS DEPORTIVOS</v>
      </c>
      <c r="I670" s="40"/>
      <c r="J670" s="40"/>
      <c r="K670" s="40"/>
      <c r="L670" s="40" t="str">
        <f ca="1">IFERROR(__xludf.DUMMYFUNCTION("""COMPUTED_VALUE"""),"NO HA INICIADO ETAPA PRODUCTIVA")</f>
        <v>NO HA INICIADO ETAPA PRODUCTIVA</v>
      </c>
      <c r="M670" s="40"/>
      <c r="N670" s="40"/>
      <c r="O670" s="40"/>
      <c r="P670" s="40"/>
      <c r="Q670" s="40"/>
      <c r="R670" s="140"/>
      <c r="S670" s="1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t="str">
        <f ca="1">IFERROR(__xludf.DUMMYFUNCTION("""COMPUTED_VALUE"""),"Procede_E_P")</f>
        <v>Procede_E_P</v>
      </c>
      <c r="AV670" s="40" t="str">
        <f ca="1">IFERROR(__xludf.DUMMYFUNCTION("""COMPUTED_VALUE"""),"EN FORMACION")</f>
        <v>EN FORMACION</v>
      </c>
      <c r="AW670" s="40" t="str">
        <f ca="1">IFERROR(__xludf.DUMMYFUNCTION("""COMPUTED_VALUE"""),"TURISMO")</f>
        <v>TURISMO</v>
      </c>
      <c r="AX670" s="141">
        <f ca="1">IFERROR(__xludf.DUMMYFUNCTION("""COMPUTED_VALUE"""),44848)</f>
        <v>44848</v>
      </c>
      <c r="AY670" s="40">
        <f ca="1">IFERROR(__xludf.DUMMYFUNCTION("""COMPUTED_VALUE"""),0)</f>
        <v>0</v>
      </c>
      <c r="AZ670" s="40">
        <f ca="1">IFERROR(__xludf.DUMMYFUNCTION("""COMPUTED_VALUE"""),1)</f>
        <v>1</v>
      </c>
      <c r="BA670" s="40">
        <f ca="1">IFERROR(__xludf.DUMMYFUNCTION("""COMPUTED_VALUE"""),0)</f>
        <v>0</v>
      </c>
      <c r="BB670" s="40">
        <f ca="1">IFERROR(__xludf.DUMMYFUNCTION("""COMPUTED_VALUE"""),0)</f>
        <v>0</v>
      </c>
      <c r="BC670" s="40">
        <f ca="1">IFERROR(__xludf.DUMMYFUNCTION("""COMPUTED_VALUE"""),1)</f>
        <v>1</v>
      </c>
      <c r="BD670" s="141">
        <f ca="1">IFERROR(__xludf.DUMMYFUNCTION("""COMPUTED_VALUE"""),43683)</f>
        <v>43683</v>
      </c>
      <c r="BE670" s="141">
        <f ca="1">IFERROR(__xludf.DUMMYFUNCTION("""COMPUTED_VALUE"""),43971)</f>
        <v>43971</v>
      </c>
      <c r="BF670" s="141">
        <f ca="1">IFERROR(__xludf.DUMMYFUNCTION("""COMPUTED_VALUE"""),44155)</f>
        <v>44155</v>
      </c>
      <c r="BG670" s="141">
        <f ca="1">IFERROR(__xludf.DUMMYFUNCTION("""COMPUTED_VALUE"""),44701)</f>
        <v>44701</v>
      </c>
      <c r="BH670" s="40" t="str">
        <f ca="1">IFERROR(__xludf.DUMMYFUNCTION("""COMPUTED_VALUE"""),"FINALIZAR FICHA")</f>
        <v>FINALIZAR FICHA</v>
      </c>
      <c r="BI670" s="40" t="str">
        <f ca="1">IFERROR(__xludf.DUMMYFUNCTION("""COMPUTED_VALUE"""),"Terminada por fecha")</f>
        <v>Terminada por fecha</v>
      </c>
      <c r="BJ670" s="40" t="str">
        <f ca="1">IFERROR(__xludf.DUMMYFUNCTION("""COMPUTED_VALUE"""),"Yamboro")</f>
        <v>Yamboro</v>
      </c>
      <c r="BK670" s="40"/>
      <c r="BL670" s="40"/>
    </row>
    <row r="671" spans="1:64" ht="13">
      <c r="A671" s="40"/>
      <c r="B671" s="40" t="str">
        <f ca="1">IFERROR(__xludf.DUMMYFUNCTION("""COMPUTED_VALUE"""),"FORMACIÓN 18/10/2022")</f>
        <v>FORMACIÓN 18/10/2022</v>
      </c>
      <c r="C671" s="40" t="str">
        <f ca="1">IFERROR(__xludf.DUMMYFUNCTION("""COMPUTED_VALUE"""),"JULIAN ANDRES SANCHEZ ROJAS")</f>
        <v>JULIAN ANDRES SANCHEZ ROJAS</v>
      </c>
      <c r="D671" s="40" t="str">
        <f ca="1">IFERROR(__xludf.DUMMYFUNCTION("""COMPUTED_VALUE"""),"CC")</f>
        <v>CC</v>
      </c>
      <c r="E671" s="40">
        <f ca="1">IFERROR(__xludf.DUMMYFUNCTION("""COMPUTED_VALUE"""),1075275394)</f>
        <v>1075275394</v>
      </c>
      <c r="F671" s="40">
        <f ca="1">IFERROR(__xludf.DUMMYFUNCTION("""COMPUTED_VALUE"""),1966567)</f>
        <v>1966567</v>
      </c>
      <c r="G671" s="40" t="str">
        <f ca="1">IFERROR(__xludf.DUMMYFUNCTION("""COMPUTED_VALUE"""),"TÉCNICO")</f>
        <v>TÉCNICO</v>
      </c>
      <c r="H671" s="40" t="str">
        <f ca="1">IFERROR(__xludf.DUMMYFUNCTION("""COMPUTED_VALUE"""),"EJECUCION DE PROGRAMAS DEPORTIVOS")</f>
        <v>EJECUCION DE PROGRAMAS DEPORTIVOS</v>
      </c>
      <c r="I671" s="40"/>
      <c r="J671" s="40"/>
      <c r="K671" s="40"/>
      <c r="L671" s="40" t="str">
        <f ca="1">IFERROR(__xludf.DUMMYFUNCTION("""COMPUTED_VALUE"""),"NO HA INICIADO ETAPA PRODUCTIVA")</f>
        <v>NO HA INICIADO ETAPA PRODUCTIVA</v>
      </c>
      <c r="M671" s="40"/>
      <c r="N671" s="40"/>
      <c r="O671" s="40"/>
      <c r="P671" s="40"/>
      <c r="Q671" s="40"/>
      <c r="R671" s="140"/>
      <c r="S671" s="1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t="str">
        <f ca="1">IFERROR(__xludf.DUMMYFUNCTION("""COMPUTED_VALUE"""),"NO_CUMPLE")</f>
        <v>NO_CUMPLE</v>
      </c>
      <c r="AV671" s="40" t="str">
        <f ca="1">IFERROR(__xludf.DUMMYFUNCTION("""COMPUTED_VALUE"""),"EN FORMACION")</f>
        <v>EN FORMACION</v>
      </c>
      <c r="AW671" s="40" t="str">
        <f ca="1">IFERROR(__xludf.DUMMYFUNCTION("""COMPUTED_VALUE"""),"TURISMO")</f>
        <v>TURISMO</v>
      </c>
      <c r="AX671" s="141">
        <f ca="1">IFERROR(__xludf.DUMMYFUNCTION("""COMPUTED_VALUE"""),44848)</f>
        <v>44848</v>
      </c>
      <c r="AY671" s="40">
        <f ca="1">IFERROR(__xludf.DUMMYFUNCTION("""COMPUTED_VALUE"""),1)</f>
        <v>1</v>
      </c>
      <c r="AZ671" s="40">
        <f ca="1">IFERROR(__xludf.DUMMYFUNCTION("""COMPUTED_VALUE"""),1)</f>
        <v>1</v>
      </c>
      <c r="BA671" s="40">
        <f ca="1">IFERROR(__xludf.DUMMYFUNCTION("""COMPUTED_VALUE"""),0)</f>
        <v>0</v>
      </c>
      <c r="BB671" s="40">
        <f ca="1">IFERROR(__xludf.DUMMYFUNCTION("""COMPUTED_VALUE"""),0)</f>
        <v>0</v>
      </c>
      <c r="BC671" s="40">
        <f ca="1">IFERROR(__xludf.DUMMYFUNCTION("""COMPUTED_VALUE"""),2)</f>
        <v>2</v>
      </c>
      <c r="BD671" s="141">
        <f ca="1">IFERROR(__xludf.DUMMYFUNCTION("""COMPUTED_VALUE"""),43683)</f>
        <v>43683</v>
      </c>
      <c r="BE671" s="141">
        <f ca="1">IFERROR(__xludf.DUMMYFUNCTION("""COMPUTED_VALUE"""),43971)</f>
        <v>43971</v>
      </c>
      <c r="BF671" s="141">
        <f ca="1">IFERROR(__xludf.DUMMYFUNCTION("""COMPUTED_VALUE"""),44155)</f>
        <v>44155</v>
      </c>
      <c r="BG671" s="141">
        <f ca="1">IFERROR(__xludf.DUMMYFUNCTION("""COMPUTED_VALUE"""),44701)</f>
        <v>44701</v>
      </c>
      <c r="BH671" s="40" t="str">
        <f ca="1">IFERROR(__xludf.DUMMYFUNCTION("""COMPUTED_VALUE"""),"FINALIZAR FICHA")</f>
        <v>FINALIZAR FICHA</v>
      </c>
      <c r="BI671" s="40" t="str">
        <f ca="1">IFERROR(__xludf.DUMMYFUNCTION("""COMPUTED_VALUE"""),"Terminada por fecha")</f>
        <v>Terminada por fecha</v>
      </c>
      <c r="BJ671" s="40" t="str">
        <f ca="1">IFERROR(__xludf.DUMMYFUNCTION("""COMPUTED_VALUE"""),"Yamboro")</f>
        <v>Yamboro</v>
      </c>
      <c r="BK671" s="40"/>
      <c r="BL671" s="40"/>
    </row>
    <row r="672" spans="1:64" ht="13">
      <c r="A672" s="40"/>
      <c r="B672" s="40" t="str">
        <f ca="1">IFERROR(__xludf.DUMMYFUNCTION("""COMPUTED_VALUE"""),"FORMACIÓN 18/10/2022")</f>
        <v>FORMACIÓN 18/10/2022</v>
      </c>
      <c r="C672" s="40" t="str">
        <f ca="1">IFERROR(__xludf.DUMMYFUNCTION("""COMPUTED_VALUE"""),"JEFFERSON RUIZ MUÑOZ")</f>
        <v>JEFFERSON RUIZ MUÑOZ</v>
      </c>
      <c r="D672" s="40" t="str">
        <f ca="1">IFERROR(__xludf.DUMMYFUNCTION("""COMPUTED_VALUE"""),"TI")</f>
        <v>TI</v>
      </c>
      <c r="E672" s="40">
        <f ca="1">IFERROR(__xludf.DUMMYFUNCTION("""COMPUTED_VALUE"""),1007392549)</f>
        <v>1007392549</v>
      </c>
      <c r="F672" s="40">
        <f ca="1">IFERROR(__xludf.DUMMYFUNCTION("""COMPUTED_VALUE"""),2186846)</f>
        <v>2186846</v>
      </c>
      <c r="G672" s="40" t="str">
        <f ca="1">IFERROR(__xludf.DUMMYFUNCTION("""COMPUTED_VALUE"""),"TÉCNICO")</f>
        <v>TÉCNICO</v>
      </c>
      <c r="H672" s="40" t="str">
        <f ca="1">IFERROR(__xludf.DUMMYFUNCTION("""COMPUTED_VALUE"""),"EJECUCION DE PROGRAMAS DEPORTIVOS")</f>
        <v>EJECUCION DE PROGRAMAS DEPORTIVOS</v>
      </c>
      <c r="I672" s="40">
        <f ca="1">IFERROR(__xludf.DUMMYFUNCTION("""COMPUTED_VALUE"""),3223245979)</f>
        <v>3223245979</v>
      </c>
      <c r="J672" s="40" t="str">
        <f ca="1">IFERROR(__xludf.DUMMYFUNCTION("""COMPUTED_VALUE"""),"jeffersonruizmunoz30@gmail.com - jeffersonnatali123@gmail.com")</f>
        <v>jeffersonruizmunoz30@gmail.com - jeffersonnatali123@gmail.com</v>
      </c>
      <c r="K672" s="40"/>
      <c r="L672" s="40" t="str">
        <f ca="1">IFERROR(__xludf.DUMMYFUNCTION("""COMPUTED_VALUE"""),"NO HA INICIADO ETAPA PRODUCTIVA")</f>
        <v>NO HA INICIADO ETAPA PRODUCTIVA</v>
      </c>
      <c r="M672" s="40"/>
      <c r="N672" s="40"/>
      <c r="O672" s="40"/>
      <c r="P672" s="40"/>
      <c r="Q672" s="40"/>
      <c r="R672" s="140"/>
      <c r="S672" s="1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t="str">
        <f ca="1">IFERROR(__xludf.DUMMYFUNCTION("""COMPUTED_VALUE"""),"Procede_E_P")</f>
        <v>Procede_E_P</v>
      </c>
      <c r="AV672" s="40" t="str">
        <f ca="1">IFERROR(__xludf.DUMMYFUNCTION("""COMPUTED_VALUE"""),"EN FORMACION")</f>
        <v>EN FORMACION</v>
      </c>
      <c r="AW672" s="40" t="str">
        <f ca="1">IFERROR(__xludf.DUMMYFUNCTION("""COMPUTED_VALUE"""),"TURISMO")</f>
        <v>TURISMO</v>
      </c>
      <c r="AX672" s="141">
        <f ca="1">IFERROR(__xludf.DUMMYFUNCTION("""COMPUTED_VALUE"""),44839)</f>
        <v>44839</v>
      </c>
      <c r="AY672" s="40">
        <f ca="1">IFERROR(__xludf.DUMMYFUNCTION("""COMPUTED_VALUE"""),0)</f>
        <v>0</v>
      </c>
      <c r="AZ672" s="40">
        <f ca="1">IFERROR(__xludf.DUMMYFUNCTION("""COMPUTED_VALUE"""),1)</f>
        <v>1</v>
      </c>
      <c r="BA672" s="40">
        <f ca="1">IFERROR(__xludf.DUMMYFUNCTION("""COMPUTED_VALUE"""),0)</f>
        <v>0</v>
      </c>
      <c r="BB672" s="40">
        <f ca="1">IFERROR(__xludf.DUMMYFUNCTION("""COMPUTED_VALUE"""),0)</f>
        <v>0</v>
      </c>
      <c r="BC672" s="40">
        <f ca="1">IFERROR(__xludf.DUMMYFUNCTION("""COMPUTED_VALUE"""),1)</f>
        <v>1</v>
      </c>
      <c r="BD672" s="141">
        <f ca="1">IFERROR(__xludf.DUMMYFUNCTION("""COMPUTED_VALUE"""),44105)</f>
        <v>44105</v>
      </c>
      <c r="BE672" s="141">
        <f ca="1">IFERROR(__xludf.DUMMYFUNCTION("""COMPUTED_VALUE"""),44408)</f>
        <v>44408</v>
      </c>
      <c r="BF672" s="141">
        <f ca="1">IFERROR(__xludf.DUMMYFUNCTION("""COMPUTED_VALUE"""),44592)</f>
        <v>44592</v>
      </c>
      <c r="BG672" s="141">
        <f ca="1">IFERROR(__xludf.DUMMYFUNCTION("""COMPUTED_VALUE"""),45138)</f>
        <v>45138</v>
      </c>
      <c r="BH672" s="40" t="str">
        <f ca="1">IFERROR(__xludf.DUMMYFUNCTION("""COMPUTED_VALUE"""),"FICHA EN TIEMPO-18 MESES")</f>
        <v>FICHA EN TIEMPO-18 MESES</v>
      </c>
      <c r="BI672" s="40" t="str">
        <f ca="1">IFERROR(__xludf.DUMMYFUNCTION("""COMPUTED_VALUE"""),"Terminada por fecha")</f>
        <v>Terminada por fecha</v>
      </c>
      <c r="BJ672" s="40" t="str">
        <f ca="1">IFERROR(__xludf.DUMMYFUNCTION("""COMPUTED_VALUE"""),"Yamboro")</f>
        <v>Yamboro</v>
      </c>
      <c r="BK672" s="40"/>
      <c r="BL672" s="40"/>
    </row>
    <row r="673" spans="1:64" ht="13">
      <c r="A673" s="40"/>
      <c r="B673" s="40" t="str">
        <f ca="1">IFERROR(__xludf.DUMMYFUNCTION("""COMPUTED_VALUE"""),"FORMACIÓN 18/10/2022")</f>
        <v>FORMACIÓN 18/10/2022</v>
      </c>
      <c r="C673" s="40" t="str">
        <f ca="1">IFERROR(__xludf.DUMMYFUNCTION("""COMPUTED_VALUE"""),"GERALDIN LISSETH CERQUERA CARVAJAL")</f>
        <v>GERALDIN LISSETH CERQUERA CARVAJAL</v>
      </c>
      <c r="D673" s="40" t="str">
        <f ca="1">IFERROR(__xludf.DUMMYFUNCTION("""COMPUTED_VALUE"""),"TI")</f>
        <v>TI</v>
      </c>
      <c r="E673" s="40">
        <f ca="1">IFERROR(__xludf.DUMMYFUNCTION("""COMPUTED_VALUE"""),1007575850)</f>
        <v>1007575850</v>
      </c>
      <c r="F673" s="40">
        <f ca="1">IFERROR(__xludf.DUMMYFUNCTION("""COMPUTED_VALUE"""),2186846)</f>
        <v>2186846</v>
      </c>
      <c r="G673" s="40" t="str">
        <f ca="1">IFERROR(__xludf.DUMMYFUNCTION("""COMPUTED_VALUE"""),"TÉCNICO")</f>
        <v>TÉCNICO</v>
      </c>
      <c r="H673" s="40" t="str">
        <f ca="1">IFERROR(__xludf.DUMMYFUNCTION("""COMPUTED_VALUE"""),"EJECUCION DE PROGRAMAS DEPORTIVOS")</f>
        <v>EJECUCION DE PROGRAMAS DEPORTIVOS</v>
      </c>
      <c r="I673" s="40">
        <f ca="1">IFERROR(__xludf.DUMMYFUNCTION("""COMPUTED_VALUE"""),3125960662)</f>
        <v>3125960662</v>
      </c>
      <c r="J673" s="40" t="str">
        <f ca="1">IFERROR(__xludf.DUMMYFUNCTION("""COMPUTED_VALUE"""),"geralcer12@hotmail.com")</f>
        <v>geralcer12@hotmail.com</v>
      </c>
      <c r="K673" s="40" t="str">
        <f ca="1">IFERROR(__xludf.DUMMYFUNCTION("""COMPUTED_VALUE"""),"Pitalito")</f>
        <v>Pitalito</v>
      </c>
      <c r="L673" s="40" t="str">
        <f ca="1">IFERROR(__xludf.DUMMYFUNCTION("""COMPUTED_VALUE"""),"NO HA INICIADO ETAPA PRODUCTIVA")</f>
        <v>NO HA INICIADO ETAPA PRODUCTIVA</v>
      </c>
      <c r="M673" s="40"/>
      <c r="N673" s="40"/>
      <c r="O673" s="40"/>
      <c r="P673" s="40"/>
      <c r="Q673" s="40"/>
      <c r="R673" s="140"/>
      <c r="S673" s="140"/>
      <c r="T673" s="40" t="str">
        <f ca="1">IFERROR(__xludf.DUMMYFUNCTION("""COMPUTED_VALUE"""),"debe 8 resultados... Revisado 15/11/2022")</f>
        <v>debe 8 resultados... Revisado 15/11/2022</v>
      </c>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t="str">
        <f ca="1">IFERROR(__xludf.DUMMYFUNCTION("""COMPUTED_VALUE"""),"NO_CUMPLE")</f>
        <v>NO_CUMPLE</v>
      </c>
      <c r="AV673" s="40" t="str">
        <f ca="1">IFERROR(__xludf.DUMMYFUNCTION("""COMPUTED_VALUE"""),"EN FORMACION")</f>
        <v>EN FORMACION</v>
      </c>
      <c r="AW673" s="40" t="str">
        <f ca="1">IFERROR(__xludf.DUMMYFUNCTION("""COMPUTED_VALUE"""),"TURISMO")</f>
        <v>TURISMO</v>
      </c>
      <c r="AX673" s="141">
        <f ca="1">IFERROR(__xludf.DUMMYFUNCTION("""COMPUTED_VALUE"""),44839)</f>
        <v>44839</v>
      </c>
      <c r="AY673" s="40">
        <f ca="1">IFERROR(__xludf.DUMMYFUNCTION("""COMPUTED_VALUE"""),1)</f>
        <v>1</v>
      </c>
      <c r="AZ673" s="40">
        <f ca="1">IFERROR(__xludf.DUMMYFUNCTION("""COMPUTED_VALUE"""),1)</f>
        <v>1</v>
      </c>
      <c r="BA673" s="40">
        <f ca="1">IFERROR(__xludf.DUMMYFUNCTION("""COMPUTED_VALUE"""),7)</f>
        <v>7</v>
      </c>
      <c r="BB673" s="40">
        <f ca="1">IFERROR(__xludf.DUMMYFUNCTION("""COMPUTED_VALUE"""),0)</f>
        <v>0</v>
      </c>
      <c r="BC673" s="40">
        <f ca="1">IFERROR(__xludf.DUMMYFUNCTION("""COMPUTED_VALUE"""),9)</f>
        <v>9</v>
      </c>
      <c r="BD673" s="141">
        <f ca="1">IFERROR(__xludf.DUMMYFUNCTION("""COMPUTED_VALUE"""),44105)</f>
        <v>44105</v>
      </c>
      <c r="BE673" s="141">
        <f ca="1">IFERROR(__xludf.DUMMYFUNCTION("""COMPUTED_VALUE"""),44408)</f>
        <v>44408</v>
      </c>
      <c r="BF673" s="141">
        <f ca="1">IFERROR(__xludf.DUMMYFUNCTION("""COMPUTED_VALUE"""),44592)</f>
        <v>44592</v>
      </c>
      <c r="BG673" s="141">
        <f ca="1">IFERROR(__xludf.DUMMYFUNCTION("""COMPUTED_VALUE"""),45138)</f>
        <v>45138</v>
      </c>
      <c r="BH673" s="40" t="str">
        <f ca="1">IFERROR(__xludf.DUMMYFUNCTION("""COMPUTED_VALUE"""),"FICHA EN TIEMPO-18 MESES")</f>
        <v>FICHA EN TIEMPO-18 MESES</v>
      </c>
      <c r="BI673" s="40" t="str">
        <f ca="1">IFERROR(__xludf.DUMMYFUNCTION("""COMPUTED_VALUE"""),"Terminada por fecha")</f>
        <v>Terminada por fecha</v>
      </c>
      <c r="BJ673" s="40" t="str">
        <f ca="1">IFERROR(__xludf.DUMMYFUNCTION("""COMPUTED_VALUE"""),"Yamboro")</f>
        <v>Yamboro</v>
      </c>
      <c r="BK673" s="40"/>
      <c r="BL673" s="40"/>
    </row>
    <row r="674" spans="1:64" ht="13">
      <c r="A674" s="40"/>
      <c r="B674" s="40" t="str">
        <f ca="1">IFERROR(__xludf.DUMMYFUNCTION("""COMPUTED_VALUE"""),"FORMACIÓN 18/10/2022")</f>
        <v>FORMACIÓN 18/10/2022</v>
      </c>
      <c r="C674" s="40" t="str">
        <f ca="1">IFERROR(__xludf.DUMMYFUNCTION("""COMPUTED_VALUE"""),"ERIKA DAYANA TIBAGUY ESCOBAR")</f>
        <v>ERIKA DAYANA TIBAGUY ESCOBAR</v>
      </c>
      <c r="D674" s="40" t="str">
        <f ca="1">IFERROR(__xludf.DUMMYFUNCTION("""COMPUTED_VALUE"""),"TI")</f>
        <v>TI</v>
      </c>
      <c r="E674" s="40">
        <f ca="1">IFERROR(__xludf.DUMMYFUNCTION("""COMPUTED_VALUE"""),1082154078)</f>
        <v>1082154078</v>
      </c>
      <c r="F674" s="40">
        <f ca="1">IFERROR(__xludf.DUMMYFUNCTION("""COMPUTED_VALUE"""),2186846)</f>
        <v>2186846</v>
      </c>
      <c r="G674" s="40" t="str">
        <f ca="1">IFERROR(__xludf.DUMMYFUNCTION("""COMPUTED_VALUE"""),"TÉCNICO")</f>
        <v>TÉCNICO</v>
      </c>
      <c r="H674" s="40" t="str">
        <f ca="1">IFERROR(__xludf.DUMMYFUNCTION("""COMPUTED_VALUE"""),"EJECUCION DE PROGRAMAS DEPORTIVOS")</f>
        <v>EJECUCION DE PROGRAMAS DEPORTIVOS</v>
      </c>
      <c r="I674" s="40">
        <f ca="1">IFERROR(__xludf.DUMMYFUNCTION("""COMPUTED_VALUE"""),3227249243)</f>
        <v>3227249243</v>
      </c>
      <c r="J674" s="40" t="str">
        <f ca="1">IFERROR(__xludf.DUMMYFUNCTION("""COMPUTED_VALUE"""),"erikadayana1701@gmail.com")</f>
        <v>erikadayana1701@gmail.com</v>
      </c>
      <c r="K674" s="40" t="str">
        <f ca="1">IFERROR(__xludf.DUMMYFUNCTION("""COMPUTED_VALUE"""),"Pitalito")</f>
        <v>Pitalito</v>
      </c>
      <c r="L674" s="40" t="str">
        <f ca="1">IFERROR(__xludf.DUMMYFUNCTION("""COMPUTED_VALUE"""),"NO HA INICIADO ETAPA PRODUCTIVA")</f>
        <v>NO HA INICIADO ETAPA PRODUCTIVA</v>
      </c>
      <c r="M674" s="40"/>
      <c r="N674" s="40"/>
      <c r="O674" s="40"/>
      <c r="P674" s="40"/>
      <c r="Q674" s="40"/>
      <c r="R674" s="140"/>
      <c r="S674" s="1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t="str">
        <f ca="1">IFERROR(__xludf.DUMMYFUNCTION("""COMPUTED_VALUE"""),"Procede_E_P")</f>
        <v>Procede_E_P</v>
      </c>
      <c r="AV674" s="40" t="str">
        <f ca="1">IFERROR(__xludf.DUMMYFUNCTION("""COMPUTED_VALUE"""),"EN FORMACION")</f>
        <v>EN FORMACION</v>
      </c>
      <c r="AW674" s="40" t="str">
        <f ca="1">IFERROR(__xludf.DUMMYFUNCTION("""COMPUTED_VALUE"""),"TURISMO")</f>
        <v>TURISMO</v>
      </c>
      <c r="AX674" s="141">
        <f ca="1">IFERROR(__xludf.DUMMYFUNCTION("""COMPUTED_VALUE"""),44839)</f>
        <v>44839</v>
      </c>
      <c r="AY674" s="40">
        <f ca="1">IFERROR(__xludf.DUMMYFUNCTION("""COMPUTED_VALUE"""),0)</f>
        <v>0</v>
      </c>
      <c r="AZ674" s="40">
        <f ca="1">IFERROR(__xludf.DUMMYFUNCTION("""COMPUTED_VALUE"""),1)</f>
        <v>1</v>
      </c>
      <c r="BA674" s="40">
        <f ca="1">IFERROR(__xludf.DUMMYFUNCTION("""COMPUTED_VALUE"""),0)</f>
        <v>0</v>
      </c>
      <c r="BB674" s="40">
        <f ca="1">IFERROR(__xludf.DUMMYFUNCTION("""COMPUTED_VALUE"""),0)</f>
        <v>0</v>
      </c>
      <c r="BC674" s="40">
        <f ca="1">IFERROR(__xludf.DUMMYFUNCTION("""COMPUTED_VALUE"""),1)</f>
        <v>1</v>
      </c>
      <c r="BD674" s="141">
        <f ca="1">IFERROR(__xludf.DUMMYFUNCTION("""COMPUTED_VALUE"""),44105)</f>
        <v>44105</v>
      </c>
      <c r="BE674" s="141">
        <f ca="1">IFERROR(__xludf.DUMMYFUNCTION("""COMPUTED_VALUE"""),44408)</f>
        <v>44408</v>
      </c>
      <c r="BF674" s="141">
        <f ca="1">IFERROR(__xludf.DUMMYFUNCTION("""COMPUTED_VALUE"""),44592)</f>
        <v>44592</v>
      </c>
      <c r="BG674" s="141">
        <f ca="1">IFERROR(__xludf.DUMMYFUNCTION("""COMPUTED_VALUE"""),45138)</f>
        <v>45138</v>
      </c>
      <c r="BH674" s="40" t="str">
        <f ca="1">IFERROR(__xludf.DUMMYFUNCTION("""COMPUTED_VALUE"""),"FICHA EN TIEMPO-18 MESES")</f>
        <v>FICHA EN TIEMPO-18 MESES</v>
      </c>
      <c r="BI674" s="40" t="str">
        <f ca="1">IFERROR(__xludf.DUMMYFUNCTION("""COMPUTED_VALUE"""),"Terminada por fecha")</f>
        <v>Terminada por fecha</v>
      </c>
      <c r="BJ674" s="40" t="str">
        <f ca="1">IFERROR(__xludf.DUMMYFUNCTION("""COMPUTED_VALUE"""),"Yamboro")</f>
        <v>Yamboro</v>
      </c>
      <c r="BK674" s="40"/>
      <c r="BL674" s="40"/>
    </row>
    <row r="675" spans="1:64" ht="13">
      <c r="A675" s="40"/>
      <c r="B675" s="40" t="str">
        <f ca="1">IFERROR(__xludf.DUMMYFUNCTION("""COMPUTED_VALUE"""),"FORMACIÓN 18/10/2022")</f>
        <v>FORMACIÓN 18/10/2022</v>
      </c>
      <c r="C675" s="40" t="str">
        <f ca="1">IFERROR(__xludf.DUMMYFUNCTION("""COMPUTED_VALUE"""),"LILIANA GARCIA CUELLAR")</f>
        <v>LILIANA GARCIA CUELLAR</v>
      </c>
      <c r="D675" s="40" t="str">
        <f ca="1">IFERROR(__xludf.DUMMYFUNCTION("""COMPUTED_VALUE"""),"CC")</f>
        <v>CC</v>
      </c>
      <c r="E675" s="40">
        <f ca="1">IFERROR(__xludf.DUMMYFUNCTION("""COMPUTED_VALUE"""),1075215672)</f>
        <v>1075215672</v>
      </c>
      <c r="F675" s="40">
        <f ca="1">IFERROR(__xludf.DUMMYFUNCTION("""COMPUTED_VALUE"""),2205577)</f>
        <v>2205577</v>
      </c>
      <c r="G675" s="40" t="str">
        <f ca="1">IFERROR(__xludf.DUMMYFUNCTION("""COMPUTED_VALUE"""),"TÉCNICO")</f>
        <v>TÉCNICO</v>
      </c>
      <c r="H675" s="40" t="str">
        <f ca="1">IFERROR(__xludf.DUMMYFUNCTION("""COMPUTED_VALUE"""),"EJECUCION DE PROGRAMAS DEPORTIVOS")</f>
        <v>EJECUCION DE PROGRAMAS DEPORTIVOS</v>
      </c>
      <c r="I675" s="40">
        <f ca="1">IFERROR(__xludf.DUMMYFUNCTION("""COMPUTED_VALUE"""),3188294828)</f>
        <v>3188294828</v>
      </c>
      <c r="J675" s="40" t="str">
        <f ca="1">IFERROR(__xludf.DUMMYFUNCTION("""COMPUTED_VALUE"""),"rolisosha2016@hotmail.com")</f>
        <v>rolisosha2016@hotmail.com</v>
      </c>
      <c r="K675" s="40" t="str">
        <f ca="1">IFERROR(__xludf.DUMMYFUNCTION("""COMPUTED_VALUE"""),"Pitalito")</f>
        <v>Pitalito</v>
      </c>
      <c r="L675" s="40" t="str">
        <f ca="1">IFERROR(__xludf.DUMMYFUNCTION("""COMPUTED_VALUE"""),"NO HA INICIADO ETAPA PRODUCTIVA")</f>
        <v>NO HA INICIADO ETAPA PRODUCTIVA</v>
      </c>
      <c r="M675" s="40"/>
      <c r="N675" s="40"/>
      <c r="O675" s="40"/>
      <c r="P675" s="40"/>
      <c r="Q675" s="40"/>
      <c r="R675" s="140"/>
      <c r="S675" s="1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t="str">
        <f ca="1">IFERROR(__xludf.DUMMYFUNCTION("""COMPUTED_VALUE"""),"NO_CUMPLE")</f>
        <v>NO_CUMPLE</v>
      </c>
      <c r="AV675" s="40" t="str">
        <f ca="1">IFERROR(__xludf.DUMMYFUNCTION("""COMPUTED_VALUE"""),"EN FORMACION")</f>
        <v>EN FORMACION</v>
      </c>
      <c r="AW675" s="40" t="str">
        <f ca="1">IFERROR(__xludf.DUMMYFUNCTION("""COMPUTED_VALUE"""),"TURISMO")</f>
        <v>TURISMO</v>
      </c>
      <c r="AX675" s="141">
        <f ca="1">IFERROR(__xludf.DUMMYFUNCTION("""COMPUTED_VALUE"""),44839)</f>
        <v>44839</v>
      </c>
      <c r="AY675" s="40">
        <f ca="1">IFERROR(__xludf.DUMMYFUNCTION("""COMPUTED_VALUE"""),2)</f>
        <v>2</v>
      </c>
      <c r="AZ675" s="40">
        <f ca="1">IFERROR(__xludf.DUMMYFUNCTION("""COMPUTED_VALUE"""),1)</f>
        <v>1</v>
      </c>
      <c r="BA675" s="40">
        <f ca="1">IFERROR(__xludf.DUMMYFUNCTION("""COMPUTED_VALUE"""),0)</f>
        <v>0</v>
      </c>
      <c r="BB675" s="40">
        <f ca="1">IFERROR(__xludf.DUMMYFUNCTION("""COMPUTED_VALUE"""),4)</f>
        <v>4</v>
      </c>
      <c r="BC675" s="40">
        <f ca="1">IFERROR(__xludf.DUMMYFUNCTION("""COMPUTED_VALUE"""),7)</f>
        <v>7</v>
      </c>
      <c r="BD675" s="141">
        <f ca="1">IFERROR(__xludf.DUMMYFUNCTION("""COMPUTED_VALUE"""),44138)</f>
        <v>44138</v>
      </c>
      <c r="BE675" s="141">
        <f ca="1">IFERROR(__xludf.DUMMYFUNCTION("""COMPUTED_VALUE"""),44410)</f>
        <v>44410</v>
      </c>
      <c r="BF675" s="141">
        <f ca="1">IFERROR(__xludf.DUMMYFUNCTION("""COMPUTED_VALUE"""),44594)</f>
        <v>44594</v>
      </c>
      <c r="BG675" s="141">
        <f ca="1">IFERROR(__xludf.DUMMYFUNCTION("""COMPUTED_VALUE"""),45140)</f>
        <v>45140</v>
      </c>
      <c r="BH675" s="40" t="str">
        <f ca="1">IFERROR(__xludf.DUMMYFUNCTION("""COMPUTED_VALUE"""),"FICHA EN TIEMPO-18 MESES")</f>
        <v>FICHA EN TIEMPO-18 MESES</v>
      </c>
      <c r="BI675" s="40" t="str">
        <f ca="1">IFERROR(__xludf.DUMMYFUNCTION("""COMPUTED_VALUE"""),"Terminada por fecha")</f>
        <v>Terminada por fecha</v>
      </c>
      <c r="BJ675" s="40" t="str">
        <f ca="1">IFERROR(__xludf.DUMMYFUNCTION("""COMPUTED_VALUE"""),"Yamboro")</f>
        <v>Yamboro</v>
      </c>
      <c r="BK675" s="40"/>
      <c r="BL675" s="40"/>
    </row>
    <row r="676" spans="1:64" ht="13">
      <c r="A676" s="40"/>
      <c r="B676" s="40" t="str">
        <f ca="1">IFERROR(__xludf.DUMMYFUNCTION("""COMPUTED_VALUE"""),"FORMACIÓN 18/10/2022")</f>
        <v>FORMACIÓN 18/10/2022</v>
      </c>
      <c r="C676" s="40" t="str">
        <f ca="1">IFERROR(__xludf.DUMMYFUNCTION("""COMPUTED_VALUE"""),"WILMAR ALEXIS CUELLAR LARA")</f>
        <v>WILMAR ALEXIS CUELLAR LARA</v>
      </c>
      <c r="D676" s="40" t="str">
        <f ca="1">IFERROR(__xludf.DUMMYFUNCTION("""COMPUTED_VALUE"""),"CC")</f>
        <v>CC</v>
      </c>
      <c r="E676" s="40">
        <f ca="1">IFERROR(__xludf.DUMMYFUNCTION("""COMPUTED_VALUE"""),1083909212)</f>
        <v>1083909212</v>
      </c>
      <c r="F676" s="40">
        <f ca="1">IFERROR(__xludf.DUMMYFUNCTION("""COMPUTED_VALUE"""),2205577)</f>
        <v>2205577</v>
      </c>
      <c r="G676" s="40" t="str">
        <f ca="1">IFERROR(__xludf.DUMMYFUNCTION("""COMPUTED_VALUE"""),"TÉCNICO")</f>
        <v>TÉCNICO</v>
      </c>
      <c r="H676" s="40" t="str">
        <f ca="1">IFERROR(__xludf.DUMMYFUNCTION("""COMPUTED_VALUE"""),"EJECUCION DE PROGRAMAS DEPORTIVOS")</f>
        <v>EJECUCION DE PROGRAMAS DEPORTIVOS</v>
      </c>
      <c r="I676" s="40"/>
      <c r="J676" s="40" t="str">
        <f ca="1">IFERROR(__xludf.DUMMYFUNCTION("""COMPUTED_VALUE"""),"N/A")</f>
        <v>N/A</v>
      </c>
      <c r="K676" s="40" t="str">
        <f ca="1">IFERROR(__xludf.DUMMYFUNCTION("""COMPUTED_VALUE"""),"Pitalito")</f>
        <v>Pitalito</v>
      </c>
      <c r="L676" s="40" t="str">
        <f ca="1">IFERROR(__xludf.DUMMYFUNCTION("""COMPUTED_VALUE"""),"PASANTÍAS")</f>
        <v>PASANTÍAS</v>
      </c>
      <c r="M676" s="40" t="str">
        <f ca="1">IFERROR(__xludf.DUMMYFUNCTION("""COMPUTED_VALUE"""),"CLUB DEPORTIVO CALIDAD FUTBOL PITALITO")</f>
        <v>CLUB DEPORTIVO CALIDAD FUTBOL PITALITO</v>
      </c>
      <c r="N676" s="40" t="str">
        <f ca="1">IFERROR(__xludf.DUMMYFUNCTION("""COMPUTED_VALUE"""),"PITALITO ")</f>
        <v xml:space="preserve">PITALITO </v>
      </c>
      <c r="O676" s="40">
        <f ca="1">IFERROR(__xludf.DUMMYFUNCTION("""COMPUTED_VALUE"""),3115242803)</f>
        <v>3115242803</v>
      </c>
      <c r="P676" s="40" t="str">
        <f ca="1">IFERROR(__xludf.DUMMYFUNCTION("""COMPUTED_VALUE"""),"PITALITO")</f>
        <v>PITALITO</v>
      </c>
      <c r="Q676" s="40" t="str">
        <f ca="1">IFERROR(__xludf.DUMMYFUNCTION("""COMPUTED_VALUE"""),"ctpitalito@hotmail.com")</f>
        <v>ctpitalito@hotmail.com</v>
      </c>
      <c r="R676" s="140">
        <f ca="1">IFERROR(__xludf.DUMMYFUNCTION("""COMPUTED_VALUE"""),44831)</f>
        <v>44831</v>
      </c>
      <c r="S676" s="140">
        <f ca="1">IFERROR(__xludf.DUMMYFUNCTION("""COMPUTED_VALUE"""),45011)</f>
        <v>45011</v>
      </c>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t="str">
        <f ca="1">IFERROR(__xludf.DUMMYFUNCTION("""COMPUTED_VALUE"""),"NO_CUMPLE")</f>
        <v>NO_CUMPLE</v>
      </c>
      <c r="AV676" s="40" t="str">
        <f ca="1">IFERROR(__xludf.DUMMYFUNCTION("""COMPUTED_VALUE"""),"EN FORMACION")</f>
        <v>EN FORMACION</v>
      </c>
      <c r="AW676" s="40" t="str">
        <f ca="1">IFERROR(__xludf.DUMMYFUNCTION("""COMPUTED_VALUE"""),"TURISMO")</f>
        <v>TURISMO</v>
      </c>
      <c r="AX676" s="141">
        <f ca="1">IFERROR(__xludf.DUMMYFUNCTION("""COMPUTED_VALUE"""),44839)</f>
        <v>44839</v>
      </c>
      <c r="AY676" s="40">
        <f ca="1">IFERROR(__xludf.DUMMYFUNCTION("""COMPUTED_VALUE"""),3)</f>
        <v>3</v>
      </c>
      <c r="AZ676" s="40">
        <f ca="1">IFERROR(__xludf.DUMMYFUNCTION("""COMPUTED_VALUE"""),1)</f>
        <v>1</v>
      </c>
      <c r="BA676" s="40">
        <f ca="1">IFERROR(__xludf.DUMMYFUNCTION("""COMPUTED_VALUE"""),0)</f>
        <v>0</v>
      </c>
      <c r="BB676" s="40">
        <f ca="1">IFERROR(__xludf.DUMMYFUNCTION("""COMPUTED_VALUE"""),4)</f>
        <v>4</v>
      </c>
      <c r="BC676" s="40">
        <f ca="1">IFERROR(__xludf.DUMMYFUNCTION("""COMPUTED_VALUE"""),8)</f>
        <v>8</v>
      </c>
      <c r="BD676" s="141">
        <f ca="1">IFERROR(__xludf.DUMMYFUNCTION("""COMPUTED_VALUE"""),44138)</f>
        <v>44138</v>
      </c>
      <c r="BE676" s="141">
        <f ca="1">IFERROR(__xludf.DUMMYFUNCTION("""COMPUTED_VALUE"""),44410)</f>
        <v>44410</v>
      </c>
      <c r="BF676" s="141">
        <f ca="1">IFERROR(__xludf.DUMMYFUNCTION("""COMPUTED_VALUE"""),44594)</f>
        <v>44594</v>
      </c>
      <c r="BG676" s="141">
        <f ca="1">IFERROR(__xludf.DUMMYFUNCTION("""COMPUTED_VALUE"""),45140)</f>
        <v>45140</v>
      </c>
      <c r="BH676" s="40" t="str">
        <f ca="1">IFERROR(__xludf.DUMMYFUNCTION("""COMPUTED_VALUE"""),"FICHA EN TIEMPO-18 MESES")</f>
        <v>FICHA EN TIEMPO-18 MESES</v>
      </c>
      <c r="BI676" s="40" t="str">
        <f ca="1">IFERROR(__xludf.DUMMYFUNCTION("""COMPUTED_VALUE"""),"Terminada por fecha")</f>
        <v>Terminada por fecha</v>
      </c>
      <c r="BJ676" s="40" t="str">
        <f ca="1">IFERROR(__xludf.DUMMYFUNCTION("""COMPUTED_VALUE"""),"Yamboro")</f>
        <v>Yamboro</v>
      </c>
      <c r="BK676" s="40"/>
      <c r="BL676" s="40"/>
    </row>
    <row r="677" spans="1:64" ht="13">
      <c r="A677" s="40"/>
      <c r="B677" s="40" t="str">
        <f ca="1">IFERROR(__xludf.DUMMYFUNCTION("""COMPUTED_VALUE"""),"CONDICIONADO 18/10/2022")</f>
        <v>CONDICIONADO 18/10/2022</v>
      </c>
      <c r="C677" s="40" t="str">
        <f ca="1">IFERROR(__xludf.DUMMYFUNCTION("""COMPUTED_VALUE"""),"LAURA CAMILA TOVAR RAMIREZ")</f>
        <v>LAURA CAMILA TOVAR RAMIREZ</v>
      </c>
      <c r="D677" s="40" t="str">
        <f ca="1">IFERROR(__xludf.DUMMYFUNCTION("""COMPUTED_VALUE"""),"CC")</f>
        <v>CC</v>
      </c>
      <c r="E677" s="40">
        <f ca="1">IFERROR(__xludf.DUMMYFUNCTION("""COMPUTED_VALUE"""),1083927046)</f>
        <v>1083927046</v>
      </c>
      <c r="F677" s="40">
        <f ca="1">IFERROR(__xludf.DUMMYFUNCTION("""COMPUTED_VALUE"""),2205577)</f>
        <v>2205577</v>
      </c>
      <c r="G677" s="40" t="str">
        <f ca="1">IFERROR(__xludf.DUMMYFUNCTION("""COMPUTED_VALUE"""),"TÉCNICO")</f>
        <v>TÉCNICO</v>
      </c>
      <c r="H677" s="40" t="str">
        <f ca="1">IFERROR(__xludf.DUMMYFUNCTION("""COMPUTED_VALUE"""),"EJECUCION DE PROGRAMAS DEPORTIVOS")</f>
        <v>EJECUCION DE PROGRAMAS DEPORTIVOS</v>
      </c>
      <c r="I677" s="40"/>
      <c r="J677" s="40"/>
      <c r="K677" s="40"/>
      <c r="L677" s="40" t="str">
        <f ca="1">IFERROR(__xludf.DUMMYFUNCTION("""COMPUTED_VALUE"""),"NO HA INICIADO ETAPA PRODUCTIVA")</f>
        <v>NO HA INICIADO ETAPA PRODUCTIVA</v>
      </c>
      <c r="M677" s="40"/>
      <c r="N677" s="40"/>
      <c r="O677" s="40"/>
      <c r="P677" s="40"/>
      <c r="Q677" s="40"/>
      <c r="R677" s="140"/>
      <c r="S677" s="1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t="str">
        <f ca="1">IFERROR(__xludf.DUMMYFUNCTION("""COMPUTED_VALUE"""),"NO_CUMPLE")</f>
        <v>NO_CUMPLE</v>
      </c>
      <c r="AV677" s="40" t="str">
        <f ca="1">IFERROR(__xludf.DUMMYFUNCTION("""COMPUTED_VALUE"""),"CONDICIONADO")</f>
        <v>CONDICIONADO</v>
      </c>
      <c r="AW677" s="40" t="str">
        <f ca="1">IFERROR(__xludf.DUMMYFUNCTION("""COMPUTED_VALUE"""),"TURISMO")</f>
        <v>TURISMO</v>
      </c>
      <c r="AX677" s="141">
        <f ca="1">IFERROR(__xludf.DUMMYFUNCTION("""COMPUTED_VALUE"""),44839)</f>
        <v>44839</v>
      </c>
      <c r="AY677" s="40">
        <f ca="1">IFERROR(__xludf.DUMMYFUNCTION("""COMPUTED_VALUE"""),7)</f>
        <v>7</v>
      </c>
      <c r="AZ677" s="40">
        <f ca="1">IFERROR(__xludf.DUMMYFUNCTION("""COMPUTED_VALUE"""),1)</f>
        <v>1</v>
      </c>
      <c r="BA677" s="40">
        <f ca="1">IFERROR(__xludf.DUMMYFUNCTION("""COMPUTED_VALUE"""),0)</f>
        <v>0</v>
      </c>
      <c r="BB677" s="40">
        <f ca="1">IFERROR(__xludf.DUMMYFUNCTION("""COMPUTED_VALUE"""),16)</f>
        <v>16</v>
      </c>
      <c r="BC677" s="40">
        <f ca="1">IFERROR(__xludf.DUMMYFUNCTION("""COMPUTED_VALUE"""),24)</f>
        <v>24</v>
      </c>
      <c r="BD677" s="141">
        <f ca="1">IFERROR(__xludf.DUMMYFUNCTION("""COMPUTED_VALUE"""),44138)</f>
        <v>44138</v>
      </c>
      <c r="BE677" s="141">
        <f ca="1">IFERROR(__xludf.DUMMYFUNCTION("""COMPUTED_VALUE"""),44410)</f>
        <v>44410</v>
      </c>
      <c r="BF677" s="141">
        <f ca="1">IFERROR(__xludf.DUMMYFUNCTION("""COMPUTED_VALUE"""),44594)</f>
        <v>44594</v>
      </c>
      <c r="BG677" s="141">
        <f ca="1">IFERROR(__xludf.DUMMYFUNCTION("""COMPUTED_VALUE"""),45140)</f>
        <v>45140</v>
      </c>
      <c r="BH677" s="40" t="str">
        <f ca="1">IFERROR(__xludf.DUMMYFUNCTION("""COMPUTED_VALUE"""),"FICHA EN TIEMPO-18 MESES")</f>
        <v>FICHA EN TIEMPO-18 MESES</v>
      </c>
      <c r="BI677" s="40" t="str">
        <f ca="1">IFERROR(__xludf.DUMMYFUNCTION("""COMPUTED_VALUE"""),"Terminada por fecha")</f>
        <v>Terminada por fecha</v>
      </c>
      <c r="BJ677" s="40" t="str">
        <f ca="1">IFERROR(__xludf.DUMMYFUNCTION("""COMPUTED_VALUE"""),"Yamboro")</f>
        <v>Yamboro</v>
      </c>
      <c r="BK677" s="40"/>
      <c r="BL677" s="40"/>
    </row>
    <row r="678" spans="1:64" ht="13">
      <c r="A678" s="40"/>
      <c r="B678" s="40" t="str">
        <f ca="1">IFERROR(__xludf.DUMMYFUNCTION("""COMPUTED_VALUE"""),"FORMACIÓN 18/10/2022")</f>
        <v>FORMACIÓN 18/10/2022</v>
      </c>
      <c r="C678" s="40" t="str">
        <f ca="1">IFERROR(__xludf.DUMMYFUNCTION("""COMPUTED_VALUE"""),"KAREN TATIANA MENDOZA MANZO")</f>
        <v>KAREN TATIANA MENDOZA MANZO</v>
      </c>
      <c r="D678" s="40" t="str">
        <f ca="1">IFERROR(__xludf.DUMMYFUNCTION("""COMPUTED_VALUE"""),"TI")</f>
        <v>TI</v>
      </c>
      <c r="E678" s="40">
        <f ca="1">IFERROR(__xludf.DUMMYFUNCTION("""COMPUTED_VALUE"""),1083868232)</f>
        <v>1083868232</v>
      </c>
      <c r="F678" s="40">
        <f ca="1">IFERROR(__xludf.DUMMYFUNCTION("""COMPUTED_VALUE"""),2322828)</f>
        <v>2322828</v>
      </c>
      <c r="G678" s="40" t="str">
        <f ca="1">IFERROR(__xludf.DUMMYFUNCTION("""COMPUTED_VALUE"""),"TÉCNICO")</f>
        <v>TÉCNICO</v>
      </c>
      <c r="H678" s="40" t="str">
        <f ca="1">IFERROR(__xludf.DUMMYFUNCTION("""COMPUTED_VALUE"""),"EJECUCION DE PROGRAMAS DEPORTIVOS")</f>
        <v>EJECUCION DE PROGRAMAS DEPORTIVOS</v>
      </c>
      <c r="I678" s="40">
        <f ca="1">IFERROR(__xludf.DUMMYFUNCTION("""COMPUTED_VALUE"""),3155332177)</f>
        <v>3155332177</v>
      </c>
      <c r="J678" s="40" t="str">
        <f ca="1">IFERROR(__xludf.DUMMYFUNCTION("""COMPUTED_VALUE"""),"kata.mm2016@gmail.com")</f>
        <v>kata.mm2016@gmail.com</v>
      </c>
      <c r="K678" s="40" t="str">
        <f ca="1">IFERROR(__xludf.DUMMYFUNCTION("""COMPUTED_VALUE"""),"ACEVEDO")</f>
        <v>ACEVEDO</v>
      </c>
      <c r="L678" s="40" t="str">
        <f ca="1">IFERROR(__xludf.DUMMYFUNCTION("""COMPUTED_VALUE"""),"PASANTÍAS")</f>
        <v>PASANTÍAS</v>
      </c>
      <c r="M678" s="40" t="str">
        <f ca="1">IFERROR(__xludf.DUMMYFUNCTION("""COMPUTED_VALUE"""),"LIC. JHON HURTATIS ARTUNDUAGA")</f>
        <v>LIC. JHON HURTATIS ARTUNDUAGA</v>
      </c>
      <c r="N678" s="40"/>
      <c r="O678" s="40">
        <f ca="1">IFERROR(__xludf.DUMMYFUNCTION("""COMPUTED_VALUE"""),3118833170)</f>
        <v>3118833170</v>
      </c>
      <c r="P678" s="40"/>
      <c r="Q678" s="40"/>
      <c r="R678" s="140">
        <f ca="1">IFERROR(__xludf.DUMMYFUNCTION("""COMPUTED_VALUE"""),44645)</f>
        <v>44645</v>
      </c>
      <c r="S678" s="140">
        <f ca="1">IFERROR(__xludf.DUMMYFUNCTION("""COMPUTED_VALUE"""),44829)</f>
        <v>44829</v>
      </c>
      <c r="T678" s="40"/>
      <c r="U678" s="40" t="str">
        <f ca="1">IFERROR(__xludf.DUMMYFUNCTION("""COMPUTED_VALUE"""),"DIANA MARCELA DIAZ ")</f>
        <v xml:space="preserve">DIANA MARCELA DIAZ </v>
      </c>
      <c r="V678" s="40" t="str">
        <f ca="1">IFERROR(__xludf.DUMMYFUNCTION("""COMPUTED_VALUE"""),"No tiene seguimiento ...Revisado 25/04/2022")</f>
        <v>No tiene seguimiento ...Revisado 25/04/2022</v>
      </c>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t="str">
        <f ca="1">IFERROR(__xludf.DUMMYFUNCTION("""COMPUTED_VALUE"""),"Procede_E_P")</f>
        <v>Procede_E_P</v>
      </c>
      <c r="AV678" s="40" t="str">
        <f ca="1">IFERROR(__xludf.DUMMYFUNCTION("""COMPUTED_VALUE"""),"EN FORMACION")</f>
        <v>EN FORMACION</v>
      </c>
      <c r="AW678" s="40" t="str">
        <f ca="1">IFERROR(__xludf.DUMMYFUNCTION("""COMPUTED_VALUE"""),"TURISMO")</f>
        <v>TURISMO</v>
      </c>
      <c r="AX678" s="141">
        <f ca="1">IFERROR(__xludf.DUMMYFUNCTION("""COMPUTED_VALUE"""),44839)</f>
        <v>44839</v>
      </c>
      <c r="AY678" s="40">
        <f ca="1">IFERROR(__xludf.DUMMYFUNCTION("""COMPUTED_VALUE"""),0)</f>
        <v>0</v>
      </c>
      <c r="AZ678" s="40">
        <f ca="1">IFERROR(__xludf.DUMMYFUNCTION("""COMPUTED_VALUE"""),1)</f>
        <v>1</v>
      </c>
      <c r="BA678" s="40">
        <f ca="1">IFERROR(__xludf.DUMMYFUNCTION("""COMPUTED_VALUE"""),0)</f>
        <v>0</v>
      </c>
      <c r="BB678" s="40">
        <f ca="1">IFERROR(__xludf.DUMMYFUNCTION("""COMPUTED_VALUE"""),0)</f>
        <v>0</v>
      </c>
      <c r="BC678" s="40">
        <f ca="1">IFERROR(__xludf.DUMMYFUNCTION("""COMPUTED_VALUE"""),1)</f>
        <v>1</v>
      </c>
      <c r="BD678" s="141">
        <f ca="1">IFERROR(__xludf.DUMMYFUNCTION("""COMPUTED_VALUE"""),44348)</f>
        <v>44348</v>
      </c>
      <c r="BE678" s="141">
        <f ca="1">IFERROR(__xludf.DUMMYFUNCTION("""COMPUTED_VALUE"""),44620)</f>
        <v>44620</v>
      </c>
      <c r="BF678" s="141">
        <f ca="1">IFERROR(__xludf.DUMMYFUNCTION("""COMPUTED_VALUE"""),44804)</f>
        <v>44804</v>
      </c>
      <c r="BG678" s="141">
        <f ca="1">IFERROR(__xludf.DUMMYFUNCTION("""COMPUTED_VALUE"""),45351)</f>
        <v>45351</v>
      </c>
      <c r="BH678" s="40" t="str">
        <f ca="1">IFERROR(__xludf.DUMMYFUNCTION("""COMPUTED_VALUE"""),"FICHA EN TIEMPO-18 MESES")</f>
        <v>FICHA EN TIEMPO-18 MESES</v>
      </c>
      <c r="BI678" s="40" t="str">
        <f ca="1">IFERROR(__xludf.DUMMYFUNCTION("""COMPUTED_VALUE"""),"Terminada por fecha")</f>
        <v>Terminada por fecha</v>
      </c>
      <c r="BJ678" s="40" t="str">
        <f ca="1">IFERROR(__xludf.DUMMYFUNCTION("""COMPUTED_VALUE"""),"Yamboro")</f>
        <v>Yamboro</v>
      </c>
      <c r="BK678" s="40"/>
      <c r="BL678" s="40"/>
    </row>
    <row r="679" spans="1:64" ht="13">
      <c r="A679" s="40"/>
      <c r="B679" s="40" t="str">
        <f ca="1">IFERROR(__xludf.DUMMYFUNCTION("""COMPUTED_VALUE"""),"FORMACIÓN 18/10/2022")</f>
        <v>FORMACIÓN 18/10/2022</v>
      </c>
      <c r="C679" s="40" t="str">
        <f ca="1">IFERROR(__xludf.DUMMYFUNCTION("""COMPUTED_VALUE"""),"ALBANI NOGUERA CABRERA")</f>
        <v>ALBANI NOGUERA CABRERA</v>
      </c>
      <c r="D679" s="40" t="str">
        <f ca="1">IFERROR(__xludf.DUMMYFUNCTION("""COMPUTED_VALUE"""),"CC")</f>
        <v>CC</v>
      </c>
      <c r="E679" s="40">
        <f ca="1">IFERROR(__xludf.DUMMYFUNCTION("""COMPUTED_VALUE"""),4720781)</f>
        <v>4720781</v>
      </c>
      <c r="F679" s="40">
        <f ca="1">IFERROR(__xludf.DUMMYFUNCTION("""COMPUTED_VALUE"""),2322828)</f>
        <v>2322828</v>
      </c>
      <c r="G679" s="40" t="str">
        <f ca="1">IFERROR(__xludf.DUMMYFUNCTION("""COMPUTED_VALUE"""),"TÉCNICO")</f>
        <v>TÉCNICO</v>
      </c>
      <c r="H679" s="40" t="str">
        <f ca="1">IFERROR(__xludf.DUMMYFUNCTION("""COMPUTED_VALUE"""),"EJECUCION DE PROGRAMAS DEPORTIVOS")</f>
        <v>EJECUCION DE PROGRAMAS DEPORTIVOS</v>
      </c>
      <c r="I679" s="40">
        <f ca="1">IFERROR(__xludf.DUMMYFUNCTION("""COMPUTED_VALUE"""),3173594080)</f>
        <v>3173594080</v>
      </c>
      <c r="J679" s="40" t="str">
        <f ca="1">IFERROR(__xludf.DUMMYFUNCTION("""COMPUTED_VALUE"""),"albaninoguera2@gmail.com")</f>
        <v>albaninoguera2@gmail.com</v>
      </c>
      <c r="K679" s="40" t="str">
        <f ca="1">IFERROR(__xludf.DUMMYFUNCTION("""COMPUTED_VALUE"""),"PITALITO")</f>
        <v>PITALITO</v>
      </c>
      <c r="L679" s="40" t="str">
        <f ca="1">IFERROR(__xludf.DUMMYFUNCTION("""COMPUTED_VALUE"""),"NO HA INICIADO ETAPA PRODUCTIVA")</f>
        <v>NO HA INICIADO ETAPA PRODUCTIVA</v>
      </c>
      <c r="M679" s="40"/>
      <c r="N679" s="40"/>
      <c r="O679" s="40"/>
      <c r="P679" s="40"/>
      <c r="Q679" s="40"/>
      <c r="R679" s="140"/>
      <c r="S679" s="1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t="str">
        <f ca="1">IFERROR(__xludf.DUMMYFUNCTION("""COMPUTED_VALUE"""),"Procede_E_P")</f>
        <v>Procede_E_P</v>
      </c>
      <c r="AV679" s="40" t="str">
        <f ca="1">IFERROR(__xludf.DUMMYFUNCTION("""COMPUTED_VALUE"""),"EN FORMACION")</f>
        <v>EN FORMACION</v>
      </c>
      <c r="AW679" s="40" t="str">
        <f ca="1">IFERROR(__xludf.DUMMYFUNCTION("""COMPUTED_VALUE"""),"TURISMO")</f>
        <v>TURISMO</v>
      </c>
      <c r="AX679" s="141">
        <f ca="1">IFERROR(__xludf.DUMMYFUNCTION("""COMPUTED_VALUE"""),44839)</f>
        <v>44839</v>
      </c>
      <c r="AY679" s="40">
        <f ca="1">IFERROR(__xludf.DUMMYFUNCTION("""COMPUTED_VALUE"""),0)</f>
        <v>0</v>
      </c>
      <c r="AZ679" s="40">
        <f ca="1">IFERROR(__xludf.DUMMYFUNCTION("""COMPUTED_VALUE"""),1)</f>
        <v>1</v>
      </c>
      <c r="BA679" s="40">
        <f ca="1">IFERROR(__xludf.DUMMYFUNCTION("""COMPUTED_VALUE"""),0)</f>
        <v>0</v>
      </c>
      <c r="BB679" s="40">
        <f ca="1">IFERROR(__xludf.DUMMYFUNCTION("""COMPUTED_VALUE"""),0)</f>
        <v>0</v>
      </c>
      <c r="BC679" s="40">
        <f ca="1">IFERROR(__xludf.DUMMYFUNCTION("""COMPUTED_VALUE"""),1)</f>
        <v>1</v>
      </c>
      <c r="BD679" s="141">
        <f ca="1">IFERROR(__xludf.DUMMYFUNCTION("""COMPUTED_VALUE"""),44348)</f>
        <v>44348</v>
      </c>
      <c r="BE679" s="141">
        <f ca="1">IFERROR(__xludf.DUMMYFUNCTION("""COMPUTED_VALUE"""),44620)</f>
        <v>44620</v>
      </c>
      <c r="BF679" s="141">
        <f ca="1">IFERROR(__xludf.DUMMYFUNCTION("""COMPUTED_VALUE"""),44804)</f>
        <v>44804</v>
      </c>
      <c r="BG679" s="141">
        <f ca="1">IFERROR(__xludf.DUMMYFUNCTION("""COMPUTED_VALUE"""),45351)</f>
        <v>45351</v>
      </c>
      <c r="BH679" s="40" t="str">
        <f ca="1">IFERROR(__xludf.DUMMYFUNCTION("""COMPUTED_VALUE"""),"FICHA EN TIEMPO-18 MESES")</f>
        <v>FICHA EN TIEMPO-18 MESES</v>
      </c>
      <c r="BI679" s="40" t="str">
        <f ca="1">IFERROR(__xludf.DUMMYFUNCTION("""COMPUTED_VALUE"""),"Terminada por fecha")</f>
        <v>Terminada por fecha</v>
      </c>
      <c r="BJ679" s="40" t="str">
        <f ca="1">IFERROR(__xludf.DUMMYFUNCTION("""COMPUTED_VALUE"""),"Yamboro")</f>
        <v>Yamboro</v>
      </c>
      <c r="BK679" s="40"/>
      <c r="BL679" s="40"/>
    </row>
    <row r="680" spans="1:64" ht="13">
      <c r="A680" s="40" t="str">
        <f ca="1">IFERROR(__xludf.DUMMYFUNCTION("""COMPUTED_VALUE"""),"registrada 09/03")</f>
        <v>registrada 09/03</v>
      </c>
      <c r="B680" s="40" t="str">
        <f ca="1">IFERROR(__xludf.DUMMYFUNCTION("""COMPUTED_VALUE"""),"FORMACIÓN 18/10/2022")</f>
        <v>FORMACIÓN 18/10/2022</v>
      </c>
      <c r="C680" s="40" t="str">
        <f ca="1">IFERROR(__xludf.DUMMYFUNCTION("""COMPUTED_VALUE"""),"DIEGO ANDRES SCALANTE CHAVARRO")</f>
        <v>DIEGO ANDRES SCALANTE CHAVARRO</v>
      </c>
      <c r="D680" s="40" t="str">
        <f ca="1">IFERROR(__xludf.DUMMYFUNCTION("""COMPUTED_VALUE"""),"CC")</f>
        <v>CC</v>
      </c>
      <c r="E680" s="40">
        <f ca="1">IFERROR(__xludf.DUMMYFUNCTION("""COMPUTED_VALUE"""),1081733744)</f>
        <v>1081733744</v>
      </c>
      <c r="F680" s="40">
        <f ca="1">IFERROR(__xludf.DUMMYFUNCTION("""COMPUTED_VALUE"""),2322828)</f>
        <v>2322828</v>
      </c>
      <c r="G680" s="40" t="str">
        <f ca="1">IFERROR(__xludf.DUMMYFUNCTION("""COMPUTED_VALUE"""),"TÉCNICO")</f>
        <v>TÉCNICO</v>
      </c>
      <c r="H680" s="40" t="str">
        <f ca="1">IFERROR(__xludf.DUMMYFUNCTION("""COMPUTED_VALUE"""),"EJECUCION DE PROGRAMAS DEPORTIVOS")</f>
        <v>EJECUCION DE PROGRAMAS DEPORTIVOS</v>
      </c>
      <c r="I680" s="40">
        <f ca="1">IFERROR(__xludf.DUMMYFUNCTION("""COMPUTED_VALUE"""),3118204666)</f>
        <v>3118204666</v>
      </c>
      <c r="J680" s="40" t="str">
        <f ca="1">IFERROR(__xludf.DUMMYFUNCTION("""COMPUTED_VALUE"""),"diegoscalante@gmail.com")</f>
        <v>diegoscalante@gmail.com</v>
      </c>
      <c r="K680" s="40" t="str">
        <f ca="1">IFERROR(__xludf.DUMMYFUNCTION("""COMPUTED_VALUE"""),"PITALITO")</f>
        <v>PITALITO</v>
      </c>
      <c r="L680" s="40" t="str">
        <f ca="1">IFERROR(__xludf.DUMMYFUNCTION("""COMPUTED_VALUE"""),"PASANTÍAS")</f>
        <v>PASANTÍAS</v>
      </c>
      <c r="M680" s="40" t="str">
        <f ca="1">IFERROR(__xludf.DUMMYFUNCTION("""COMPUTED_VALUE"""),"CLUB DEPORTIVO BALOCESTO EAGLES")</f>
        <v>CLUB DEPORTIVO BALOCESTO EAGLES</v>
      </c>
      <c r="N680" s="40"/>
      <c r="O680" s="40">
        <f ca="1">IFERROR(__xludf.DUMMYFUNCTION("""COMPUTED_VALUE"""),3115367939)</f>
        <v>3115367939</v>
      </c>
      <c r="P680" s="40" t="str">
        <f ca="1">IFERROR(__xludf.DUMMYFUNCTION("""COMPUTED_VALUE"""),"PITALITO")</f>
        <v>PITALITO</v>
      </c>
      <c r="Q680" s="40"/>
      <c r="R680" s="140">
        <f ca="1">IFERROR(__xludf.DUMMYFUNCTION("""COMPUTED_VALUE"""),44629)</f>
        <v>44629</v>
      </c>
      <c r="S680" s="140">
        <f ca="1">IFERROR(__xludf.DUMMYFUNCTION("""COMPUTED_VALUE"""),44813)</f>
        <v>44813</v>
      </c>
      <c r="T680" s="40"/>
      <c r="U680" s="40" t="str">
        <f ca="1">IFERROR(__xludf.DUMMYFUNCTION("""COMPUTED_VALUE"""),"DIANA MARCELA DIAZ ")</f>
        <v xml:space="preserve">DIANA MARCELA DIAZ </v>
      </c>
      <c r="V680" s="40" t="str">
        <f ca="1">IFERROR(__xludf.DUMMYFUNCTION("""COMPUTED_VALUE"""),"No tiene seguimiento ...Revisado 25/04/2022")</f>
        <v>No tiene seguimiento ...Revisado 25/04/2022</v>
      </c>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t="str">
        <f ca="1">IFERROR(__xludf.DUMMYFUNCTION("""COMPUTED_VALUE"""),"Procede_E_P")</f>
        <v>Procede_E_P</v>
      </c>
      <c r="AV680" s="40" t="str">
        <f ca="1">IFERROR(__xludf.DUMMYFUNCTION("""COMPUTED_VALUE"""),"EN FORMACION")</f>
        <v>EN FORMACION</v>
      </c>
      <c r="AW680" s="40" t="str">
        <f ca="1">IFERROR(__xludf.DUMMYFUNCTION("""COMPUTED_VALUE"""),"TURISMO")</f>
        <v>TURISMO</v>
      </c>
      <c r="AX680" s="141">
        <f ca="1">IFERROR(__xludf.DUMMYFUNCTION("""COMPUTED_VALUE"""),44839)</f>
        <v>44839</v>
      </c>
      <c r="AY680" s="40">
        <f ca="1">IFERROR(__xludf.DUMMYFUNCTION("""COMPUTED_VALUE"""),0)</f>
        <v>0</v>
      </c>
      <c r="AZ680" s="40">
        <f ca="1">IFERROR(__xludf.DUMMYFUNCTION("""COMPUTED_VALUE"""),1)</f>
        <v>1</v>
      </c>
      <c r="BA680" s="40">
        <f ca="1">IFERROR(__xludf.DUMMYFUNCTION("""COMPUTED_VALUE"""),0)</f>
        <v>0</v>
      </c>
      <c r="BB680" s="40">
        <f ca="1">IFERROR(__xludf.DUMMYFUNCTION("""COMPUTED_VALUE"""),0)</f>
        <v>0</v>
      </c>
      <c r="BC680" s="40">
        <f ca="1">IFERROR(__xludf.DUMMYFUNCTION("""COMPUTED_VALUE"""),1)</f>
        <v>1</v>
      </c>
      <c r="BD680" s="141">
        <f ca="1">IFERROR(__xludf.DUMMYFUNCTION("""COMPUTED_VALUE"""),44348)</f>
        <v>44348</v>
      </c>
      <c r="BE680" s="141">
        <f ca="1">IFERROR(__xludf.DUMMYFUNCTION("""COMPUTED_VALUE"""),44620)</f>
        <v>44620</v>
      </c>
      <c r="BF680" s="141">
        <f ca="1">IFERROR(__xludf.DUMMYFUNCTION("""COMPUTED_VALUE"""),44804)</f>
        <v>44804</v>
      </c>
      <c r="BG680" s="141">
        <f ca="1">IFERROR(__xludf.DUMMYFUNCTION("""COMPUTED_VALUE"""),45351)</f>
        <v>45351</v>
      </c>
      <c r="BH680" s="40" t="str">
        <f ca="1">IFERROR(__xludf.DUMMYFUNCTION("""COMPUTED_VALUE"""),"FICHA EN TIEMPO-18 MESES")</f>
        <v>FICHA EN TIEMPO-18 MESES</v>
      </c>
      <c r="BI680" s="40" t="str">
        <f ca="1">IFERROR(__xludf.DUMMYFUNCTION("""COMPUTED_VALUE"""),"Terminada por fecha")</f>
        <v>Terminada por fecha</v>
      </c>
      <c r="BJ680" s="40" t="str">
        <f ca="1">IFERROR(__xludf.DUMMYFUNCTION("""COMPUTED_VALUE"""),"Yamboro")</f>
        <v>Yamboro</v>
      </c>
      <c r="BK680" s="40"/>
      <c r="BL680" s="40"/>
    </row>
    <row r="681" spans="1:64" ht="13">
      <c r="A681" s="40"/>
      <c r="B681" s="40" t="str">
        <f ca="1">IFERROR(__xludf.DUMMYFUNCTION("""COMPUTED_VALUE"""),"FORMACIÓN 18/10/2022")</f>
        <v>FORMACIÓN 18/10/2022</v>
      </c>
      <c r="C681" s="40" t="str">
        <f ca="1">IFERROR(__xludf.DUMMYFUNCTION("""COMPUTED_VALUE"""),"JULIETH DAYANA ROJAS LONDOÑO")</f>
        <v>JULIETH DAYANA ROJAS LONDOÑO</v>
      </c>
      <c r="D681" s="40" t="str">
        <f ca="1">IFERROR(__xludf.DUMMYFUNCTION("""COMPUTED_VALUE"""),"CC")</f>
        <v>CC</v>
      </c>
      <c r="E681" s="40">
        <f ca="1">IFERROR(__xludf.DUMMYFUNCTION("""COMPUTED_VALUE"""),1000624844)</f>
        <v>1000624844</v>
      </c>
      <c r="F681" s="40">
        <f ca="1">IFERROR(__xludf.DUMMYFUNCTION("""COMPUTED_VALUE"""),2322828)</f>
        <v>2322828</v>
      </c>
      <c r="G681" s="40" t="str">
        <f ca="1">IFERROR(__xludf.DUMMYFUNCTION("""COMPUTED_VALUE"""),"TÉCNICO")</f>
        <v>TÉCNICO</v>
      </c>
      <c r="H681" s="40" t="str">
        <f ca="1">IFERROR(__xludf.DUMMYFUNCTION("""COMPUTED_VALUE"""),"EJECUCION DE PROGRAMAS DEPORTIVOS")</f>
        <v>EJECUCION DE PROGRAMAS DEPORTIVOS</v>
      </c>
      <c r="I681" s="40">
        <f ca="1">IFERROR(__xludf.DUMMYFUNCTION("""COMPUTED_VALUE"""),3187017844)</f>
        <v>3187017844</v>
      </c>
      <c r="J681" s="40" t="str">
        <f ca="1">IFERROR(__xludf.DUMMYFUNCTION("""COMPUTED_VALUE"""),"judarolo18@gmail.com")</f>
        <v>judarolo18@gmail.com</v>
      </c>
      <c r="K681" s="40" t="str">
        <f ca="1">IFERROR(__xludf.DUMMYFUNCTION("""COMPUTED_VALUE"""),"ELIAS")</f>
        <v>ELIAS</v>
      </c>
      <c r="L681" s="40" t="str">
        <f ca="1">IFERROR(__xludf.DUMMYFUNCTION("""COMPUTED_VALUE"""),"NO HA INICIADO ETAPA PRODUCTIVA")</f>
        <v>NO HA INICIADO ETAPA PRODUCTIVA</v>
      </c>
      <c r="M681" s="40"/>
      <c r="N681" s="40"/>
      <c r="O681" s="40"/>
      <c r="P681" s="40"/>
      <c r="Q681" s="40"/>
      <c r="R681" s="140"/>
      <c r="S681" s="1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t="str">
        <f ca="1">IFERROR(__xludf.DUMMYFUNCTION("""COMPUTED_VALUE"""),"Procede_E_P")</f>
        <v>Procede_E_P</v>
      </c>
      <c r="AV681" s="40" t="str">
        <f ca="1">IFERROR(__xludf.DUMMYFUNCTION("""COMPUTED_VALUE"""),"EN FORMACION")</f>
        <v>EN FORMACION</v>
      </c>
      <c r="AW681" s="40" t="str">
        <f ca="1">IFERROR(__xludf.DUMMYFUNCTION("""COMPUTED_VALUE"""),"TURISMO")</f>
        <v>TURISMO</v>
      </c>
      <c r="AX681" s="141">
        <f ca="1">IFERROR(__xludf.DUMMYFUNCTION("""COMPUTED_VALUE"""),44839)</f>
        <v>44839</v>
      </c>
      <c r="AY681" s="40">
        <f ca="1">IFERROR(__xludf.DUMMYFUNCTION("""COMPUTED_VALUE"""),0)</f>
        <v>0</v>
      </c>
      <c r="AZ681" s="40">
        <f ca="1">IFERROR(__xludf.DUMMYFUNCTION("""COMPUTED_VALUE"""),1)</f>
        <v>1</v>
      </c>
      <c r="BA681" s="40">
        <f ca="1">IFERROR(__xludf.DUMMYFUNCTION("""COMPUTED_VALUE"""),0)</f>
        <v>0</v>
      </c>
      <c r="BB681" s="40">
        <f ca="1">IFERROR(__xludf.DUMMYFUNCTION("""COMPUTED_VALUE"""),0)</f>
        <v>0</v>
      </c>
      <c r="BC681" s="40">
        <f ca="1">IFERROR(__xludf.DUMMYFUNCTION("""COMPUTED_VALUE"""),1)</f>
        <v>1</v>
      </c>
      <c r="BD681" s="141">
        <f ca="1">IFERROR(__xludf.DUMMYFUNCTION("""COMPUTED_VALUE"""),44348)</f>
        <v>44348</v>
      </c>
      <c r="BE681" s="141">
        <f ca="1">IFERROR(__xludf.DUMMYFUNCTION("""COMPUTED_VALUE"""),44620)</f>
        <v>44620</v>
      </c>
      <c r="BF681" s="141">
        <f ca="1">IFERROR(__xludf.DUMMYFUNCTION("""COMPUTED_VALUE"""),44804)</f>
        <v>44804</v>
      </c>
      <c r="BG681" s="141">
        <f ca="1">IFERROR(__xludf.DUMMYFUNCTION("""COMPUTED_VALUE"""),45351)</f>
        <v>45351</v>
      </c>
      <c r="BH681" s="40" t="str">
        <f ca="1">IFERROR(__xludf.DUMMYFUNCTION("""COMPUTED_VALUE"""),"FICHA EN TIEMPO-18 MESES")</f>
        <v>FICHA EN TIEMPO-18 MESES</v>
      </c>
      <c r="BI681" s="40" t="str">
        <f ca="1">IFERROR(__xludf.DUMMYFUNCTION("""COMPUTED_VALUE"""),"Terminada por fecha")</f>
        <v>Terminada por fecha</v>
      </c>
      <c r="BJ681" s="40" t="str">
        <f ca="1">IFERROR(__xludf.DUMMYFUNCTION("""COMPUTED_VALUE"""),"Yamboro")</f>
        <v>Yamboro</v>
      </c>
      <c r="BK681" s="40"/>
      <c r="BL681" s="40"/>
    </row>
    <row r="682" spans="1:64" ht="13">
      <c r="A682" s="40" t="str">
        <f ca="1">IFERROR(__xludf.DUMMYFUNCTION("""COMPUTED_VALUE"""),"registrado 09/03")</f>
        <v>registrado 09/03</v>
      </c>
      <c r="B682" s="40" t="str">
        <f ca="1">IFERROR(__xludf.DUMMYFUNCTION("""COMPUTED_VALUE"""),"FORMACIÓN 18/10/2022")</f>
        <v>FORMACIÓN 18/10/2022</v>
      </c>
      <c r="C682" s="40" t="str">
        <f ca="1">IFERROR(__xludf.DUMMYFUNCTION("""COMPUTED_VALUE"""),"ANDERSON AUGUSTO HOYOS BELTRÁN")</f>
        <v>ANDERSON AUGUSTO HOYOS BELTRÁN</v>
      </c>
      <c r="D682" s="40" t="str">
        <f ca="1">IFERROR(__xludf.DUMMYFUNCTION("""COMPUTED_VALUE"""),"CC")</f>
        <v>CC</v>
      </c>
      <c r="E682" s="40">
        <f ca="1">IFERROR(__xludf.DUMMYFUNCTION("""COMPUTED_VALUE"""),1006416216)</f>
        <v>1006416216</v>
      </c>
      <c r="F682" s="40">
        <f ca="1">IFERROR(__xludf.DUMMYFUNCTION("""COMPUTED_VALUE"""),2322828)</f>
        <v>2322828</v>
      </c>
      <c r="G682" s="40" t="str">
        <f ca="1">IFERROR(__xludf.DUMMYFUNCTION("""COMPUTED_VALUE"""),"TÉCNICO")</f>
        <v>TÉCNICO</v>
      </c>
      <c r="H682" s="40" t="str">
        <f ca="1">IFERROR(__xludf.DUMMYFUNCTION("""COMPUTED_VALUE"""),"EJECUCION DE PROGRAMAS DEPORTIVOS")</f>
        <v>EJECUCION DE PROGRAMAS DEPORTIVOS</v>
      </c>
      <c r="I682" s="40">
        <f ca="1">IFERROR(__xludf.DUMMYFUNCTION("""COMPUTED_VALUE"""),3502194207)</f>
        <v>3502194207</v>
      </c>
      <c r="J682" s="40" t="str">
        <f ca="1">IFERROR(__xludf.DUMMYFUNCTION("""COMPUTED_VALUE"""),"hoyos7859@gmail.com")</f>
        <v>hoyos7859@gmail.com</v>
      </c>
      <c r="K682" s="40" t="str">
        <f ca="1">IFERROR(__xludf.DUMMYFUNCTION("""COMPUTED_VALUE"""),"PITALITO")</f>
        <v>PITALITO</v>
      </c>
      <c r="L682" s="40" t="str">
        <f ca="1">IFERROR(__xludf.DUMMYFUNCTION("""COMPUTED_VALUE"""),"PASANTÍAS")</f>
        <v>PASANTÍAS</v>
      </c>
      <c r="M682" s="40" t="str">
        <f ca="1">IFERROR(__xludf.DUMMYFUNCTION("""COMPUTED_VALUE"""),"CLUB DEPORTIVA")</f>
        <v>CLUB DEPORTIVA</v>
      </c>
      <c r="N682" s="40"/>
      <c r="O682" s="40"/>
      <c r="P682" s="40"/>
      <c r="Q682" s="40"/>
      <c r="R682" s="140">
        <f ca="1">IFERROR(__xludf.DUMMYFUNCTION("""COMPUTED_VALUE"""),44629)</f>
        <v>44629</v>
      </c>
      <c r="S682" s="140">
        <f ca="1">IFERROR(__xludf.DUMMYFUNCTION("""COMPUTED_VALUE"""),44814)</f>
        <v>44814</v>
      </c>
      <c r="T682" s="40"/>
      <c r="U682" s="40" t="str">
        <f ca="1">IFERROR(__xludf.DUMMYFUNCTION("""COMPUTED_VALUE"""),"DIANA MARCELA DIAZ ")</f>
        <v xml:space="preserve">DIANA MARCELA DIAZ </v>
      </c>
      <c r="V682" s="40" t="str">
        <f ca="1">IFERROR(__xludf.DUMMYFUNCTION("""COMPUTED_VALUE"""),"No tiene seguimiento ...Revisado 25/04/2022")</f>
        <v>No tiene seguimiento ...Revisado 25/04/2022</v>
      </c>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t="str">
        <f ca="1">IFERROR(__xludf.DUMMYFUNCTION("""COMPUTED_VALUE"""),"Procede_E_P")</f>
        <v>Procede_E_P</v>
      </c>
      <c r="AV682" s="40" t="str">
        <f ca="1">IFERROR(__xludf.DUMMYFUNCTION("""COMPUTED_VALUE"""),"EN FORMACION")</f>
        <v>EN FORMACION</v>
      </c>
      <c r="AW682" s="40" t="str">
        <f ca="1">IFERROR(__xludf.DUMMYFUNCTION("""COMPUTED_VALUE"""),"TURISMO")</f>
        <v>TURISMO</v>
      </c>
      <c r="AX682" s="141">
        <f ca="1">IFERROR(__xludf.DUMMYFUNCTION("""COMPUTED_VALUE"""),44839)</f>
        <v>44839</v>
      </c>
      <c r="AY682" s="40">
        <f ca="1">IFERROR(__xludf.DUMMYFUNCTION("""COMPUTED_VALUE"""),0)</f>
        <v>0</v>
      </c>
      <c r="AZ682" s="40">
        <f ca="1">IFERROR(__xludf.DUMMYFUNCTION("""COMPUTED_VALUE"""),1)</f>
        <v>1</v>
      </c>
      <c r="BA682" s="40">
        <f ca="1">IFERROR(__xludf.DUMMYFUNCTION("""COMPUTED_VALUE"""),0)</f>
        <v>0</v>
      </c>
      <c r="BB682" s="40">
        <f ca="1">IFERROR(__xludf.DUMMYFUNCTION("""COMPUTED_VALUE"""),0)</f>
        <v>0</v>
      </c>
      <c r="BC682" s="40">
        <f ca="1">IFERROR(__xludf.DUMMYFUNCTION("""COMPUTED_VALUE"""),1)</f>
        <v>1</v>
      </c>
      <c r="BD682" s="141">
        <f ca="1">IFERROR(__xludf.DUMMYFUNCTION("""COMPUTED_VALUE"""),44348)</f>
        <v>44348</v>
      </c>
      <c r="BE682" s="141">
        <f ca="1">IFERROR(__xludf.DUMMYFUNCTION("""COMPUTED_VALUE"""),44620)</f>
        <v>44620</v>
      </c>
      <c r="BF682" s="141">
        <f ca="1">IFERROR(__xludf.DUMMYFUNCTION("""COMPUTED_VALUE"""),44804)</f>
        <v>44804</v>
      </c>
      <c r="BG682" s="141">
        <f ca="1">IFERROR(__xludf.DUMMYFUNCTION("""COMPUTED_VALUE"""),45351)</f>
        <v>45351</v>
      </c>
      <c r="BH682" s="40" t="str">
        <f ca="1">IFERROR(__xludf.DUMMYFUNCTION("""COMPUTED_VALUE"""),"FICHA EN TIEMPO-18 MESES")</f>
        <v>FICHA EN TIEMPO-18 MESES</v>
      </c>
      <c r="BI682" s="40" t="str">
        <f ca="1">IFERROR(__xludf.DUMMYFUNCTION("""COMPUTED_VALUE"""),"Terminada por fecha")</f>
        <v>Terminada por fecha</v>
      </c>
      <c r="BJ682" s="40" t="str">
        <f ca="1">IFERROR(__xludf.DUMMYFUNCTION("""COMPUTED_VALUE"""),"Yamboro")</f>
        <v>Yamboro</v>
      </c>
      <c r="BK682" s="40"/>
      <c r="BL682" s="40"/>
    </row>
    <row r="683" spans="1:64" ht="13">
      <c r="A683" s="40"/>
      <c r="B683" s="40" t="str">
        <f ca="1">IFERROR(__xludf.DUMMYFUNCTION("""COMPUTED_VALUE"""),"FORMACIÓN 18/10/2022")</f>
        <v>FORMACIÓN 18/10/2022</v>
      </c>
      <c r="C683" s="40" t="str">
        <f ca="1">IFERROR(__xludf.DUMMYFUNCTION("""COMPUTED_VALUE"""),"MELISSA URQUINA MOSQUERA")</f>
        <v>MELISSA URQUINA MOSQUERA</v>
      </c>
      <c r="D683" s="40" t="str">
        <f ca="1">IFERROR(__xludf.DUMMYFUNCTION("""COMPUTED_VALUE"""),"CC")</f>
        <v>CC</v>
      </c>
      <c r="E683" s="40">
        <f ca="1">IFERROR(__xludf.DUMMYFUNCTION("""COMPUTED_VALUE"""),1000158452)</f>
        <v>1000158452</v>
      </c>
      <c r="F683" s="40">
        <f ca="1">IFERROR(__xludf.DUMMYFUNCTION("""COMPUTED_VALUE"""),2469966)</f>
        <v>2469966</v>
      </c>
      <c r="G683" s="40" t="str">
        <f ca="1">IFERROR(__xludf.DUMMYFUNCTION("""COMPUTED_VALUE"""),"TÉCNICO")</f>
        <v>TÉCNICO</v>
      </c>
      <c r="H683" s="40" t="str">
        <f ca="1">IFERROR(__xludf.DUMMYFUNCTION("""COMPUTED_VALUE"""),"EJECUCION DE PROGRAMAS DEPORTIVOS")</f>
        <v>EJECUCION DE PROGRAMAS DEPORTIVOS</v>
      </c>
      <c r="I683" s="40"/>
      <c r="J683" s="40"/>
      <c r="K683" s="40"/>
      <c r="L683" s="40" t="str">
        <f ca="1">IFERROR(__xludf.DUMMYFUNCTION("""COMPUTED_VALUE"""),"NO HA INICIADO ETAPA PRODUCTIVA")</f>
        <v>NO HA INICIADO ETAPA PRODUCTIVA</v>
      </c>
      <c r="M683" s="40"/>
      <c r="N683" s="40"/>
      <c r="O683" s="40"/>
      <c r="P683" s="40"/>
      <c r="Q683" s="40"/>
      <c r="R683" s="140"/>
      <c r="S683" s="1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t="str">
        <f ca="1">IFERROR(__xludf.DUMMYFUNCTION("""COMPUTED_VALUE"""),"NO_CUMPLE")</f>
        <v>NO_CUMPLE</v>
      </c>
      <c r="AV683" s="40" t="str">
        <f ca="1">IFERROR(__xludf.DUMMYFUNCTION("""COMPUTED_VALUE"""),"EN FORMACION")</f>
        <v>EN FORMACION</v>
      </c>
      <c r="AW683" s="40" t="str">
        <f ca="1">IFERROR(__xludf.DUMMYFUNCTION("""COMPUTED_VALUE"""),"TURISMO")</f>
        <v>TURISMO</v>
      </c>
      <c r="AX683" s="141">
        <f ca="1">IFERROR(__xludf.DUMMYFUNCTION("""COMPUTED_VALUE"""),44839)</f>
        <v>44839</v>
      </c>
      <c r="AY683" s="40">
        <f ca="1">IFERROR(__xludf.DUMMYFUNCTION("""COMPUTED_VALUE"""),6)</f>
        <v>6</v>
      </c>
      <c r="AZ683" s="40">
        <f ca="1">IFERROR(__xludf.DUMMYFUNCTION("""COMPUTED_VALUE"""),1)</f>
        <v>1</v>
      </c>
      <c r="BA683" s="40">
        <f ca="1">IFERROR(__xludf.DUMMYFUNCTION("""COMPUTED_VALUE"""),7)</f>
        <v>7</v>
      </c>
      <c r="BB683" s="40">
        <f ca="1">IFERROR(__xludf.DUMMYFUNCTION("""COMPUTED_VALUE"""),15)</f>
        <v>15</v>
      </c>
      <c r="BC683" s="40">
        <f ca="1">IFERROR(__xludf.DUMMYFUNCTION("""COMPUTED_VALUE"""),29)</f>
        <v>29</v>
      </c>
      <c r="BD683" s="141">
        <f ca="1">IFERROR(__xludf.DUMMYFUNCTION("""COMPUTED_VALUE"""),44552)</f>
        <v>44552</v>
      </c>
      <c r="BE683" s="141">
        <f ca="1">IFERROR(__xludf.DUMMYFUNCTION("""COMPUTED_VALUE"""),44825)</f>
        <v>44825</v>
      </c>
      <c r="BF683" s="141">
        <f ca="1">IFERROR(__xludf.DUMMYFUNCTION("""COMPUTED_VALUE"""),45006)</f>
        <v>45006</v>
      </c>
      <c r="BG683" s="141">
        <f ca="1">IFERROR(__xludf.DUMMYFUNCTION("""COMPUTED_VALUE"""),45556)</f>
        <v>45556</v>
      </c>
      <c r="BH683" s="40" t="str">
        <f ca="1">IFERROR(__xludf.DUMMYFUNCTION("""COMPUTED_VALUE"""),"FICHA EN TIEMPO-18 MESES")</f>
        <v>FICHA EN TIEMPO-18 MESES</v>
      </c>
      <c r="BI683" s="40" t="str">
        <f ca="1">IFERROR(__xludf.DUMMYFUNCTION("""COMPUTED_VALUE"""),"En ejecucion")</f>
        <v>En ejecucion</v>
      </c>
      <c r="BJ683" s="40" t="str">
        <f ca="1">IFERROR(__xludf.DUMMYFUNCTION("""COMPUTED_VALUE"""),"Yamboro")</f>
        <v>Yamboro</v>
      </c>
      <c r="BK683" s="40"/>
      <c r="BL683" s="40"/>
    </row>
    <row r="684" spans="1:64" ht="13">
      <c r="A684" s="40"/>
      <c r="B684" s="40" t="str">
        <f ca="1">IFERROR(__xludf.DUMMYFUNCTION("""COMPUTED_VALUE"""),"FORMACIÓN 18/10/2022")</f>
        <v>FORMACIÓN 18/10/2022</v>
      </c>
      <c r="C684" s="40" t="str">
        <f ca="1">IFERROR(__xludf.DUMMYFUNCTION("""COMPUTED_VALUE"""),"WILFRAN ALEXIS RAMIREZ CLAROS")</f>
        <v>WILFRAN ALEXIS RAMIREZ CLAROS</v>
      </c>
      <c r="D684" s="40" t="str">
        <f ca="1">IFERROR(__xludf.DUMMYFUNCTION("""COMPUTED_VALUE"""),"CC")</f>
        <v>CC</v>
      </c>
      <c r="E684" s="40">
        <f ca="1">IFERROR(__xludf.DUMMYFUNCTION("""COMPUTED_VALUE"""),1003820025)</f>
        <v>1003820025</v>
      </c>
      <c r="F684" s="40">
        <f ca="1">IFERROR(__xludf.DUMMYFUNCTION("""COMPUTED_VALUE"""),2469966)</f>
        <v>2469966</v>
      </c>
      <c r="G684" s="40" t="str">
        <f ca="1">IFERROR(__xludf.DUMMYFUNCTION("""COMPUTED_VALUE"""),"TÉCNICO")</f>
        <v>TÉCNICO</v>
      </c>
      <c r="H684" s="40" t="str">
        <f ca="1">IFERROR(__xludf.DUMMYFUNCTION("""COMPUTED_VALUE"""),"EJECUCION DE PROGRAMAS DEPORTIVOS")</f>
        <v>EJECUCION DE PROGRAMAS DEPORTIVOS</v>
      </c>
      <c r="I684" s="40"/>
      <c r="J684" s="40"/>
      <c r="K684" s="40"/>
      <c r="L684" s="40" t="str">
        <f ca="1">IFERROR(__xludf.DUMMYFUNCTION("""COMPUTED_VALUE"""),"NO HA INICIADO ETAPA PRODUCTIVA")</f>
        <v>NO HA INICIADO ETAPA PRODUCTIVA</v>
      </c>
      <c r="M684" s="40"/>
      <c r="N684" s="40"/>
      <c r="O684" s="40"/>
      <c r="P684" s="40"/>
      <c r="Q684" s="40"/>
      <c r="R684" s="140"/>
      <c r="S684" s="1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t="str">
        <f ca="1">IFERROR(__xludf.DUMMYFUNCTION("""COMPUTED_VALUE"""),"NO_CUMPLE")</f>
        <v>NO_CUMPLE</v>
      </c>
      <c r="AV684" s="40" t="str">
        <f ca="1">IFERROR(__xludf.DUMMYFUNCTION("""COMPUTED_VALUE"""),"EN FORMACION")</f>
        <v>EN FORMACION</v>
      </c>
      <c r="AW684" s="40" t="str">
        <f ca="1">IFERROR(__xludf.DUMMYFUNCTION("""COMPUTED_VALUE"""),"TURISMO")</f>
        <v>TURISMO</v>
      </c>
      <c r="AX684" s="141">
        <f ca="1">IFERROR(__xludf.DUMMYFUNCTION("""COMPUTED_VALUE"""),44839)</f>
        <v>44839</v>
      </c>
      <c r="AY684" s="40">
        <f ca="1">IFERROR(__xludf.DUMMYFUNCTION("""COMPUTED_VALUE"""),6)</f>
        <v>6</v>
      </c>
      <c r="AZ684" s="40">
        <f ca="1">IFERROR(__xludf.DUMMYFUNCTION("""COMPUTED_VALUE"""),1)</f>
        <v>1</v>
      </c>
      <c r="BA684" s="40">
        <f ca="1">IFERROR(__xludf.DUMMYFUNCTION("""COMPUTED_VALUE"""),7)</f>
        <v>7</v>
      </c>
      <c r="BB684" s="40">
        <f ca="1">IFERROR(__xludf.DUMMYFUNCTION("""COMPUTED_VALUE"""),15)</f>
        <v>15</v>
      </c>
      <c r="BC684" s="40">
        <f ca="1">IFERROR(__xludf.DUMMYFUNCTION("""COMPUTED_VALUE"""),29)</f>
        <v>29</v>
      </c>
      <c r="BD684" s="141">
        <f ca="1">IFERROR(__xludf.DUMMYFUNCTION("""COMPUTED_VALUE"""),44552)</f>
        <v>44552</v>
      </c>
      <c r="BE684" s="141">
        <f ca="1">IFERROR(__xludf.DUMMYFUNCTION("""COMPUTED_VALUE"""),44825)</f>
        <v>44825</v>
      </c>
      <c r="BF684" s="141">
        <f ca="1">IFERROR(__xludf.DUMMYFUNCTION("""COMPUTED_VALUE"""),45006)</f>
        <v>45006</v>
      </c>
      <c r="BG684" s="141">
        <f ca="1">IFERROR(__xludf.DUMMYFUNCTION("""COMPUTED_VALUE"""),45556)</f>
        <v>45556</v>
      </c>
      <c r="BH684" s="40" t="str">
        <f ca="1">IFERROR(__xludf.DUMMYFUNCTION("""COMPUTED_VALUE"""),"FICHA EN TIEMPO-18 MESES")</f>
        <v>FICHA EN TIEMPO-18 MESES</v>
      </c>
      <c r="BI684" s="40" t="str">
        <f ca="1">IFERROR(__xludf.DUMMYFUNCTION("""COMPUTED_VALUE"""),"En ejecucion")</f>
        <v>En ejecucion</v>
      </c>
      <c r="BJ684" s="40" t="str">
        <f ca="1">IFERROR(__xludf.DUMMYFUNCTION("""COMPUTED_VALUE"""),"Yamboro")</f>
        <v>Yamboro</v>
      </c>
      <c r="BK684" s="40"/>
      <c r="BL684" s="40"/>
    </row>
    <row r="685" spans="1:64" ht="13">
      <c r="A685" s="40"/>
      <c r="B685" s="40" t="str">
        <f ca="1">IFERROR(__xludf.DUMMYFUNCTION("""COMPUTED_VALUE"""),"FORMACIÓN 18/10/2022")</f>
        <v>FORMACIÓN 18/10/2022</v>
      </c>
      <c r="C685" s="40" t="str">
        <f ca="1">IFERROR(__xludf.DUMMYFUNCTION("""COMPUTED_VALUE"""),"NORBEY GARCES CRISTANCHO")</f>
        <v>NORBEY GARCES CRISTANCHO</v>
      </c>
      <c r="D685" s="40" t="str">
        <f ca="1">IFERROR(__xludf.DUMMYFUNCTION("""COMPUTED_VALUE"""),"CC")</f>
        <v>CC</v>
      </c>
      <c r="E685" s="40">
        <f ca="1">IFERROR(__xludf.DUMMYFUNCTION("""COMPUTED_VALUE"""),1004033637)</f>
        <v>1004033637</v>
      </c>
      <c r="F685" s="40">
        <f ca="1">IFERROR(__xludf.DUMMYFUNCTION("""COMPUTED_VALUE"""),2469966)</f>
        <v>2469966</v>
      </c>
      <c r="G685" s="40" t="str">
        <f ca="1">IFERROR(__xludf.DUMMYFUNCTION("""COMPUTED_VALUE"""),"TÉCNICO")</f>
        <v>TÉCNICO</v>
      </c>
      <c r="H685" s="40" t="str">
        <f ca="1">IFERROR(__xludf.DUMMYFUNCTION("""COMPUTED_VALUE"""),"EJECUCION DE PROGRAMAS DEPORTIVOS")</f>
        <v>EJECUCION DE PROGRAMAS DEPORTIVOS</v>
      </c>
      <c r="I685" s="40"/>
      <c r="J685" s="40"/>
      <c r="K685" s="40"/>
      <c r="L685" s="40" t="str">
        <f ca="1">IFERROR(__xludf.DUMMYFUNCTION("""COMPUTED_VALUE"""),"PASANTÍAS")</f>
        <v>PASANTÍAS</v>
      </c>
      <c r="M685" s="40" t="str">
        <f ca="1">IFERROR(__xludf.DUMMYFUNCTION("""COMPUTED_VALUE"""),"ALCALDIA ACEVEDO")</f>
        <v>ALCALDIA ACEVEDO</v>
      </c>
      <c r="N685" s="40" t="str">
        <f ca="1">IFERROR(__xludf.DUMMYFUNCTION("""COMPUTED_VALUE"""),"CRRA 4 N° 9-02 ESQUINA")</f>
        <v>CRRA 4 N° 9-02 ESQUINA</v>
      </c>
      <c r="O685" s="40">
        <f ca="1">IFERROR(__xludf.DUMMYFUNCTION("""COMPUTED_VALUE"""),3228635356)</f>
        <v>3228635356</v>
      </c>
      <c r="P685" s="40" t="str">
        <f ca="1">IFERROR(__xludf.DUMMYFUNCTION("""COMPUTED_VALUE"""),"PITALITO")</f>
        <v>PITALITO</v>
      </c>
      <c r="Q685" s="40" t="str">
        <f ca="1">IFERROR(__xludf.DUMMYFUNCTION("""COMPUTED_VALUE"""),"alcaldia@acevedo-huila-gov.co")</f>
        <v>alcaldia@acevedo-huila-gov.co</v>
      </c>
      <c r="R685" s="140">
        <f ca="1">IFERROR(__xludf.DUMMYFUNCTION("""COMPUTED_VALUE"""),44832)</f>
        <v>44832</v>
      </c>
      <c r="S685" s="140">
        <f ca="1">IFERROR(__xludf.DUMMYFUNCTION("""COMPUTED_VALUE"""),45012)</f>
        <v>45012</v>
      </c>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t="str">
        <f ca="1">IFERROR(__xludf.DUMMYFUNCTION("""COMPUTED_VALUE"""),"Procede_E_P")</f>
        <v>Procede_E_P</v>
      </c>
      <c r="AV685" s="40" t="str">
        <f ca="1">IFERROR(__xludf.DUMMYFUNCTION("""COMPUTED_VALUE"""),"EN FORMACION")</f>
        <v>EN FORMACION</v>
      </c>
      <c r="AW685" s="40" t="str">
        <f ca="1">IFERROR(__xludf.DUMMYFUNCTION("""COMPUTED_VALUE"""),"TURISMO")</f>
        <v>TURISMO</v>
      </c>
      <c r="AX685" s="141">
        <f ca="1">IFERROR(__xludf.DUMMYFUNCTION("""COMPUTED_VALUE"""),44839)</f>
        <v>44839</v>
      </c>
      <c r="AY685" s="40">
        <f ca="1">IFERROR(__xludf.DUMMYFUNCTION("""COMPUTED_VALUE"""),0)</f>
        <v>0</v>
      </c>
      <c r="AZ685" s="40">
        <f ca="1">IFERROR(__xludf.DUMMYFUNCTION("""COMPUTED_VALUE"""),1)</f>
        <v>1</v>
      </c>
      <c r="BA685" s="40">
        <f ca="1">IFERROR(__xludf.DUMMYFUNCTION("""COMPUTED_VALUE"""),0)</f>
        <v>0</v>
      </c>
      <c r="BB685" s="40">
        <f ca="1">IFERROR(__xludf.DUMMYFUNCTION("""COMPUTED_VALUE"""),0)</f>
        <v>0</v>
      </c>
      <c r="BC685" s="40">
        <f ca="1">IFERROR(__xludf.DUMMYFUNCTION("""COMPUTED_VALUE"""),1)</f>
        <v>1</v>
      </c>
      <c r="BD685" s="141">
        <f ca="1">IFERROR(__xludf.DUMMYFUNCTION("""COMPUTED_VALUE"""),44552)</f>
        <v>44552</v>
      </c>
      <c r="BE685" s="141">
        <f ca="1">IFERROR(__xludf.DUMMYFUNCTION("""COMPUTED_VALUE"""),44825)</f>
        <v>44825</v>
      </c>
      <c r="BF685" s="141">
        <f ca="1">IFERROR(__xludf.DUMMYFUNCTION("""COMPUTED_VALUE"""),45006)</f>
        <v>45006</v>
      </c>
      <c r="BG685" s="141">
        <f ca="1">IFERROR(__xludf.DUMMYFUNCTION("""COMPUTED_VALUE"""),45556)</f>
        <v>45556</v>
      </c>
      <c r="BH685" s="40" t="str">
        <f ca="1">IFERROR(__xludf.DUMMYFUNCTION("""COMPUTED_VALUE"""),"FICHA EN TIEMPO-18 MESES")</f>
        <v>FICHA EN TIEMPO-18 MESES</v>
      </c>
      <c r="BI685" s="40" t="str">
        <f ca="1">IFERROR(__xludf.DUMMYFUNCTION("""COMPUTED_VALUE"""),"En ejecucion")</f>
        <v>En ejecucion</v>
      </c>
      <c r="BJ685" s="40" t="str">
        <f ca="1">IFERROR(__xludf.DUMMYFUNCTION("""COMPUTED_VALUE"""),"Yamboro")</f>
        <v>Yamboro</v>
      </c>
      <c r="BK685" s="40"/>
      <c r="BL685" s="40"/>
    </row>
    <row r="686" spans="1:64" ht="13">
      <c r="A686" s="40"/>
      <c r="B686" s="40" t="str">
        <f ca="1">IFERROR(__xludf.DUMMYFUNCTION("""COMPUTED_VALUE"""),"FORMACIÓN 18/10/2022")</f>
        <v>FORMACIÓN 18/10/2022</v>
      </c>
      <c r="C686" s="40" t="str">
        <f ca="1">IFERROR(__xludf.DUMMYFUNCTION("""COMPUTED_VALUE"""),"MARIA JOSE BERNAL CASTRILLON")</f>
        <v>MARIA JOSE BERNAL CASTRILLON</v>
      </c>
      <c r="D686" s="40" t="str">
        <f ca="1">IFERROR(__xludf.DUMMYFUNCTION("""COMPUTED_VALUE"""),"TI")</f>
        <v>TI</v>
      </c>
      <c r="E686" s="40">
        <f ca="1">IFERROR(__xludf.DUMMYFUNCTION("""COMPUTED_VALUE"""),1004034518)</f>
        <v>1004034518</v>
      </c>
      <c r="F686" s="40">
        <f ca="1">IFERROR(__xludf.DUMMYFUNCTION("""COMPUTED_VALUE"""),2469966)</f>
        <v>2469966</v>
      </c>
      <c r="G686" s="40" t="str">
        <f ca="1">IFERROR(__xludf.DUMMYFUNCTION("""COMPUTED_VALUE"""),"TÉCNICO")</f>
        <v>TÉCNICO</v>
      </c>
      <c r="H686" s="40" t="str">
        <f ca="1">IFERROR(__xludf.DUMMYFUNCTION("""COMPUTED_VALUE"""),"EJECUCION DE PROGRAMAS DEPORTIVOS")</f>
        <v>EJECUCION DE PROGRAMAS DEPORTIVOS</v>
      </c>
      <c r="I686" s="40"/>
      <c r="J686" s="40"/>
      <c r="K686" s="40"/>
      <c r="L686" s="40" t="str">
        <f ca="1">IFERROR(__xludf.DUMMYFUNCTION("""COMPUTED_VALUE"""),"NO HA INICIADO ETAPA PRODUCTIVA")</f>
        <v>NO HA INICIADO ETAPA PRODUCTIVA</v>
      </c>
      <c r="M686" s="40"/>
      <c r="N686" s="40"/>
      <c r="O686" s="40"/>
      <c r="P686" s="40"/>
      <c r="Q686" s="40"/>
      <c r="R686" s="140"/>
      <c r="S686" s="1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t="str">
        <f ca="1">IFERROR(__xludf.DUMMYFUNCTION("""COMPUTED_VALUE"""),"NO_CUMPLE")</f>
        <v>NO_CUMPLE</v>
      </c>
      <c r="AV686" s="40" t="str">
        <f ca="1">IFERROR(__xludf.DUMMYFUNCTION("""COMPUTED_VALUE"""),"EN FORMACION")</f>
        <v>EN FORMACION</v>
      </c>
      <c r="AW686" s="40" t="str">
        <f ca="1">IFERROR(__xludf.DUMMYFUNCTION("""COMPUTED_VALUE"""),"TURISMO")</f>
        <v>TURISMO</v>
      </c>
      <c r="AX686" s="141">
        <f ca="1">IFERROR(__xludf.DUMMYFUNCTION("""COMPUTED_VALUE"""),44839)</f>
        <v>44839</v>
      </c>
      <c r="AY686" s="40">
        <f ca="1">IFERROR(__xludf.DUMMYFUNCTION("""COMPUTED_VALUE"""),14)</f>
        <v>14</v>
      </c>
      <c r="AZ686" s="40">
        <f ca="1">IFERROR(__xludf.DUMMYFUNCTION("""COMPUTED_VALUE"""),1)</f>
        <v>1</v>
      </c>
      <c r="BA686" s="40">
        <f ca="1">IFERROR(__xludf.DUMMYFUNCTION("""COMPUTED_VALUE"""),7)</f>
        <v>7</v>
      </c>
      <c r="BB686" s="40">
        <f ca="1">IFERROR(__xludf.DUMMYFUNCTION("""COMPUTED_VALUE"""),20)</f>
        <v>20</v>
      </c>
      <c r="BC686" s="40">
        <f ca="1">IFERROR(__xludf.DUMMYFUNCTION("""COMPUTED_VALUE"""),42)</f>
        <v>42</v>
      </c>
      <c r="BD686" s="141">
        <f ca="1">IFERROR(__xludf.DUMMYFUNCTION("""COMPUTED_VALUE"""),44552)</f>
        <v>44552</v>
      </c>
      <c r="BE686" s="141">
        <f ca="1">IFERROR(__xludf.DUMMYFUNCTION("""COMPUTED_VALUE"""),44825)</f>
        <v>44825</v>
      </c>
      <c r="BF686" s="141">
        <f ca="1">IFERROR(__xludf.DUMMYFUNCTION("""COMPUTED_VALUE"""),45006)</f>
        <v>45006</v>
      </c>
      <c r="BG686" s="141">
        <f ca="1">IFERROR(__xludf.DUMMYFUNCTION("""COMPUTED_VALUE"""),45556)</f>
        <v>45556</v>
      </c>
      <c r="BH686" s="40" t="str">
        <f ca="1">IFERROR(__xludf.DUMMYFUNCTION("""COMPUTED_VALUE"""),"FICHA EN TIEMPO-18 MESES")</f>
        <v>FICHA EN TIEMPO-18 MESES</v>
      </c>
      <c r="BI686" s="40" t="str">
        <f ca="1">IFERROR(__xludf.DUMMYFUNCTION("""COMPUTED_VALUE"""),"En ejecucion")</f>
        <v>En ejecucion</v>
      </c>
      <c r="BJ686" s="40" t="str">
        <f ca="1">IFERROR(__xludf.DUMMYFUNCTION("""COMPUTED_VALUE"""),"Yamboro")</f>
        <v>Yamboro</v>
      </c>
      <c r="BK686" s="40"/>
      <c r="BL686" s="40"/>
    </row>
    <row r="687" spans="1:64" ht="13">
      <c r="A687" s="40"/>
      <c r="B687" s="40" t="str">
        <f ca="1">IFERROR(__xludf.DUMMYFUNCTION("""COMPUTED_VALUE"""),"FORMACIÓN 18/10/2022")</f>
        <v>FORMACIÓN 18/10/2022</v>
      </c>
      <c r="C687" s="40" t="str">
        <f ca="1">IFERROR(__xludf.DUMMYFUNCTION("""COMPUTED_VALUE"""),"YULIANA ANDREA ORTIZ CORDOBA")</f>
        <v>YULIANA ANDREA ORTIZ CORDOBA</v>
      </c>
      <c r="D687" s="40" t="str">
        <f ca="1">IFERROR(__xludf.DUMMYFUNCTION("""COMPUTED_VALUE"""),"CC")</f>
        <v>CC</v>
      </c>
      <c r="E687" s="40">
        <f ca="1">IFERROR(__xludf.DUMMYFUNCTION("""COMPUTED_VALUE"""),1004719962)</f>
        <v>1004719962</v>
      </c>
      <c r="F687" s="40">
        <f ca="1">IFERROR(__xludf.DUMMYFUNCTION("""COMPUTED_VALUE"""),2469966)</f>
        <v>2469966</v>
      </c>
      <c r="G687" s="40" t="str">
        <f ca="1">IFERROR(__xludf.DUMMYFUNCTION("""COMPUTED_VALUE"""),"TÉCNICO")</f>
        <v>TÉCNICO</v>
      </c>
      <c r="H687" s="40" t="str">
        <f ca="1">IFERROR(__xludf.DUMMYFUNCTION("""COMPUTED_VALUE"""),"EJECUCION DE PROGRAMAS DEPORTIVOS")</f>
        <v>EJECUCION DE PROGRAMAS DEPORTIVOS</v>
      </c>
      <c r="I687" s="40"/>
      <c r="J687" s="40"/>
      <c r="K687" s="40"/>
      <c r="L687" s="40" t="str">
        <f ca="1">IFERROR(__xludf.DUMMYFUNCTION("""COMPUTED_VALUE"""),"NO HA INICIADO ETAPA PRODUCTIVA")</f>
        <v>NO HA INICIADO ETAPA PRODUCTIVA</v>
      </c>
      <c r="M687" s="40"/>
      <c r="N687" s="40"/>
      <c r="O687" s="40"/>
      <c r="P687" s="40"/>
      <c r="Q687" s="40"/>
      <c r="R687" s="140"/>
      <c r="S687" s="1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t="str">
        <f ca="1">IFERROR(__xludf.DUMMYFUNCTION("""COMPUTED_VALUE"""),"NO_CUMPLE")</f>
        <v>NO_CUMPLE</v>
      </c>
      <c r="AV687" s="40" t="str">
        <f ca="1">IFERROR(__xludf.DUMMYFUNCTION("""COMPUTED_VALUE"""),"EN FORMACION")</f>
        <v>EN FORMACION</v>
      </c>
      <c r="AW687" s="40" t="str">
        <f ca="1">IFERROR(__xludf.DUMMYFUNCTION("""COMPUTED_VALUE"""),"TURISMO")</f>
        <v>TURISMO</v>
      </c>
      <c r="AX687" s="141">
        <f ca="1">IFERROR(__xludf.DUMMYFUNCTION("""COMPUTED_VALUE"""),44839)</f>
        <v>44839</v>
      </c>
      <c r="AY687" s="40">
        <f ca="1">IFERROR(__xludf.DUMMYFUNCTION("""COMPUTED_VALUE"""),14)</f>
        <v>14</v>
      </c>
      <c r="AZ687" s="40">
        <f ca="1">IFERROR(__xludf.DUMMYFUNCTION("""COMPUTED_VALUE"""),1)</f>
        <v>1</v>
      </c>
      <c r="BA687" s="40">
        <f ca="1">IFERROR(__xludf.DUMMYFUNCTION("""COMPUTED_VALUE"""),7)</f>
        <v>7</v>
      </c>
      <c r="BB687" s="40">
        <f ca="1">IFERROR(__xludf.DUMMYFUNCTION("""COMPUTED_VALUE"""),20)</f>
        <v>20</v>
      </c>
      <c r="BC687" s="40">
        <f ca="1">IFERROR(__xludf.DUMMYFUNCTION("""COMPUTED_VALUE"""),42)</f>
        <v>42</v>
      </c>
      <c r="BD687" s="141">
        <f ca="1">IFERROR(__xludf.DUMMYFUNCTION("""COMPUTED_VALUE"""),44552)</f>
        <v>44552</v>
      </c>
      <c r="BE687" s="141">
        <f ca="1">IFERROR(__xludf.DUMMYFUNCTION("""COMPUTED_VALUE"""),44825)</f>
        <v>44825</v>
      </c>
      <c r="BF687" s="141">
        <f ca="1">IFERROR(__xludf.DUMMYFUNCTION("""COMPUTED_VALUE"""),45006)</f>
        <v>45006</v>
      </c>
      <c r="BG687" s="141">
        <f ca="1">IFERROR(__xludf.DUMMYFUNCTION("""COMPUTED_VALUE"""),45556)</f>
        <v>45556</v>
      </c>
      <c r="BH687" s="40" t="str">
        <f ca="1">IFERROR(__xludf.DUMMYFUNCTION("""COMPUTED_VALUE"""),"FICHA EN TIEMPO-18 MESES")</f>
        <v>FICHA EN TIEMPO-18 MESES</v>
      </c>
      <c r="BI687" s="40" t="str">
        <f ca="1">IFERROR(__xludf.DUMMYFUNCTION("""COMPUTED_VALUE"""),"En ejecucion")</f>
        <v>En ejecucion</v>
      </c>
      <c r="BJ687" s="40" t="str">
        <f ca="1">IFERROR(__xludf.DUMMYFUNCTION("""COMPUTED_VALUE"""),"Yamboro")</f>
        <v>Yamboro</v>
      </c>
      <c r="BK687" s="40"/>
      <c r="BL687" s="40"/>
    </row>
    <row r="688" spans="1:64" ht="13">
      <c r="A688" s="40"/>
      <c r="B688" s="40" t="str">
        <f ca="1">IFERROR(__xludf.DUMMYFUNCTION("""COMPUTED_VALUE"""),"FORMACIÓN 18/10/2022")</f>
        <v>FORMACIÓN 18/10/2022</v>
      </c>
      <c r="C688" s="40" t="str">
        <f ca="1">IFERROR(__xludf.DUMMYFUNCTION("""COMPUTED_VALUE"""),"INGRID DAHIANNA ORTIZ CORDOBA")</f>
        <v>INGRID DAHIANNA ORTIZ CORDOBA</v>
      </c>
      <c r="D688" s="40" t="str">
        <f ca="1">IFERROR(__xludf.DUMMYFUNCTION("""COMPUTED_VALUE"""),"CC")</f>
        <v>CC</v>
      </c>
      <c r="E688" s="40">
        <f ca="1">IFERROR(__xludf.DUMMYFUNCTION("""COMPUTED_VALUE"""),1004720037)</f>
        <v>1004720037</v>
      </c>
      <c r="F688" s="40">
        <f ca="1">IFERROR(__xludf.DUMMYFUNCTION("""COMPUTED_VALUE"""),2469966)</f>
        <v>2469966</v>
      </c>
      <c r="G688" s="40" t="str">
        <f ca="1">IFERROR(__xludf.DUMMYFUNCTION("""COMPUTED_VALUE"""),"TÉCNICO")</f>
        <v>TÉCNICO</v>
      </c>
      <c r="H688" s="40" t="str">
        <f ca="1">IFERROR(__xludf.DUMMYFUNCTION("""COMPUTED_VALUE"""),"EJECUCION DE PROGRAMAS DEPORTIVOS")</f>
        <v>EJECUCION DE PROGRAMAS DEPORTIVOS</v>
      </c>
      <c r="I688" s="40"/>
      <c r="J688" s="40"/>
      <c r="K688" s="40"/>
      <c r="L688" s="40" t="str">
        <f ca="1">IFERROR(__xludf.DUMMYFUNCTION("""COMPUTED_VALUE"""),"NO HA INICIADO ETAPA PRODUCTIVA")</f>
        <v>NO HA INICIADO ETAPA PRODUCTIVA</v>
      </c>
      <c r="M688" s="40"/>
      <c r="N688" s="40"/>
      <c r="O688" s="40"/>
      <c r="P688" s="40"/>
      <c r="Q688" s="40"/>
      <c r="R688" s="140"/>
      <c r="S688" s="1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t="str">
        <f ca="1">IFERROR(__xludf.DUMMYFUNCTION("""COMPUTED_VALUE"""),"NO_CUMPLE")</f>
        <v>NO_CUMPLE</v>
      </c>
      <c r="AV688" s="40" t="str">
        <f ca="1">IFERROR(__xludf.DUMMYFUNCTION("""COMPUTED_VALUE"""),"EN FORMACION")</f>
        <v>EN FORMACION</v>
      </c>
      <c r="AW688" s="40" t="str">
        <f ca="1">IFERROR(__xludf.DUMMYFUNCTION("""COMPUTED_VALUE"""),"TURISMO")</f>
        <v>TURISMO</v>
      </c>
      <c r="AX688" s="141">
        <f ca="1">IFERROR(__xludf.DUMMYFUNCTION("""COMPUTED_VALUE"""),44839)</f>
        <v>44839</v>
      </c>
      <c r="AY688" s="40">
        <f ca="1">IFERROR(__xludf.DUMMYFUNCTION("""COMPUTED_VALUE"""),4)</f>
        <v>4</v>
      </c>
      <c r="AZ688" s="40">
        <f ca="1">IFERROR(__xludf.DUMMYFUNCTION("""COMPUTED_VALUE"""),1)</f>
        <v>1</v>
      </c>
      <c r="BA688" s="40">
        <f ca="1">IFERROR(__xludf.DUMMYFUNCTION("""COMPUTED_VALUE"""),4)</f>
        <v>4</v>
      </c>
      <c r="BB688" s="40">
        <f ca="1">IFERROR(__xludf.DUMMYFUNCTION("""COMPUTED_VALUE"""),6)</f>
        <v>6</v>
      </c>
      <c r="BC688" s="40">
        <f ca="1">IFERROR(__xludf.DUMMYFUNCTION("""COMPUTED_VALUE"""),15)</f>
        <v>15</v>
      </c>
      <c r="BD688" s="141">
        <f ca="1">IFERROR(__xludf.DUMMYFUNCTION("""COMPUTED_VALUE"""),44552)</f>
        <v>44552</v>
      </c>
      <c r="BE688" s="141">
        <f ca="1">IFERROR(__xludf.DUMMYFUNCTION("""COMPUTED_VALUE"""),44825)</f>
        <v>44825</v>
      </c>
      <c r="BF688" s="141">
        <f ca="1">IFERROR(__xludf.DUMMYFUNCTION("""COMPUTED_VALUE"""),45006)</f>
        <v>45006</v>
      </c>
      <c r="BG688" s="141">
        <f ca="1">IFERROR(__xludf.DUMMYFUNCTION("""COMPUTED_VALUE"""),45556)</f>
        <v>45556</v>
      </c>
      <c r="BH688" s="40" t="str">
        <f ca="1">IFERROR(__xludf.DUMMYFUNCTION("""COMPUTED_VALUE"""),"FICHA EN TIEMPO-18 MESES")</f>
        <v>FICHA EN TIEMPO-18 MESES</v>
      </c>
      <c r="BI688" s="40" t="str">
        <f ca="1">IFERROR(__xludf.DUMMYFUNCTION("""COMPUTED_VALUE"""),"En ejecucion")</f>
        <v>En ejecucion</v>
      </c>
      <c r="BJ688" s="40" t="str">
        <f ca="1">IFERROR(__xludf.DUMMYFUNCTION("""COMPUTED_VALUE"""),"Yamboro")</f>
        <v>Yamboro</v>
      </c>
      <c r="BK688" s="40"/>
      <c r="BL688" s="40"/>
    </row>
    <row r="689" spans="1:64" ht="13">
      <c r="A689" s="40"/>
      <c r="B689" s="40" t="str">
        <f ca="1">IFERROR(__xludf.DUMMYFUNCTION("""COMPUTED_VALUE"""),"FORMACIÓN 18/10/2022")</f>
        <v>FORMACIÓN 18/10/2022</v>
      </c>
      <c r="C689" s="40" t="str">
        <f ca="1">IFERROR(__xludf.DUMMYFUNCTION("""COMPUTED_VALUE"""),"KAREN VIVIANA TOCONAS BERNAL")</f>
        <v>KAREN VIVIANA TOCONAS BERNAL</v>
      </c>
      <c r="D689" s="40" t="str">
        <f ca="1">IFERROR(__xludf.DUMMYFUNCTION("""COMPUTED_VALUE"""),"CC")</f>
        <v>CC</v>
      </c>
      <c r="E689" s="40">
        <f ca="1">IFERROR(__xludf.DUMMYFUNCTION("""COMPUTED_VALUE"""),1007353960)</f>
        <v>1007353960</v>
      </c>
      <c r="F689" s="40">
        <f ca="1">IFERROR(__xludf.DUMMYFUNCTION("""COMPUTED_VALUE"""),2469966)</f>
        <v>2469966</v>
      </c>
      <c r="G689" s="40" t="str">
        <f ca="1">IFERROR(__xludf.DUMMYFUNCTION("""COMPUTED_VALUE"""),"TÉCNICO")</f>
        <v>TÉCNICO</v>
      </c>
      <c r="H689" s="40" t="str">
        <f ca="1">IFERROR(__xludf.DUMMYFUNCTION("""COMPUTED_VALUE"""),"EJECUCION DE PROGRAMAS DEPORTIVOS")</f>
        <v>EJECUCION DE PROGRAMAS DEPORTIVOS</v>
      </c>
      <c r="I689" s="40"/>
      <c r="J689" s="40"/>
      <c r="K689" s="40"/>
      <c r="L689" s="40" t="str">
        <f ca="1">IFERROR(__xludf.DUMMYFUNCTION("""COMPUTED_VALUE"""),"PASANTÍAS")</f>
        <v>PASANTÍAS</v>
      </c>
      <c r="M689" s="40" t="str">
        <f ca="1">IFERROR(__xludf.DUMMYFUNCTION("""COMPUTED_VALUE"""),"ALCALDIA MUNICIPAL ACEVEDO HUILA")</f>
        <v>ALCALDIA MUNICIPAL ACEVEDO HUILA</v>
      </c>
      <c r="N689" s="40" t="str">
        <f ca="1">IFERROR(__xludf.DUMMYFUNCTION("""COMPUTED_VALUE"""),"ACEVEDO")</f>
        <v>ACEVEDO</v>
      </c>
      <c r="O689" s="40">
        <f ca="1">IFERROR(__xludf.DUMMYFUNCTION("""COMPUTED_VALUE"""),88317006)</f>
        <v>88317006</v>
      </c>
      <c r="P689" s="40" t="str">
        <f ca="1">IFERROR(__xludf.DUMMYFUNCTION("""COMPUTED_VALUE"""),"ACEVEDO")</f>
        <v>ACEVEDO</v>
      </c>
      <c r="Q689" s="40" t="str">
        <f ca="1">IFERROR(__xludf.DUMMYFUNCTION("""COMPUTED_VALUE"""),"alcadia@acevedo-huila-gov.co")</f>
        <v>alcadia@acevedo-huila-gov.co</v>
      </c>
      <c r="R689" s="140">
        <f ca="1">IFERROR(__xludf.DUMMYFUNCTION("""COMPUTED_VALUE"""),44839)</f>
        <v>44839</v>
      </c>
      <c r="S689" s="140">
        <f ca="1">IFERROR(__xludf.DUMMYFUNCTION("""COMPUTED_VALUE"""),45020)</f>
        <v>45020</v>
      </c>
      <c r="T689" s="40"/>
      <c r="U689" s="40" t="str">
        <f ca="1">IFERROR(__xludf.DUMMYFUNCTION("""COMPUTED_VALUE"""),"DIANA MARCELA DIAZ ")</f>
        <v xml:space="preserve">DIANA MARCELA DIAZ </v>
      </c>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t="str">
        <f ca="1">IFERROR(__xludf.DUMMYFUNCTION("""COMPUTED_VALUE"""),"Procede_E_P")</f>
        <v>Procede_E_P</v>
      </c>
      <c r="AV689" s="40" t="str">
        <f ca="1">IFERROR(__xludf.DUMMYFUNCTION("""COMPUTED_VALUE"""),"EN FORMACION")</f>
        <v>EN FORMACION</v>
      </c>
      <c r="AW689" s="40" t="str">
        <f ca="1">IFERROR(__xludf.DUMMYFUNCTION("""COMPUTED_VALUE"""),"TURISMO")</f>
        <v>TURISMO</v>
      </c>
      <c r="AX689" s="141">
        <f ca="1">IFERROR(__xludf.DUMMYFUNCTION("""COMPUTED_VALUE"""),44839)</f>
        <v>44839</v>
      </c>
      <c r="AY689" s="40">
        <f ca="1">IFERROR(__xludf.DUMMYFUNCTION("""COMPUTED_VALUE"""),0)</f>
        <v>0</v>
      </c>
      <c r="AZ689" s="40">
        <f ca="1">IFERROR(__xludf.DUMMYFUNCTION("""COMPUTED_VALUE"""),1)</f>
        <v>1</v>
      </c>
      <c r="BA689" s="40">
        <f ca="1">IFERROR(__xludf.DUMMYFUNCTION("""COMPUTED_VALUE"""),0)</f>
        <v>0</v>
      </c>
      <c r="BB689" s="40">
        <f ca="1">IFERROR(__xludf.DUMMYFUNCTION("""COMPUTED_VALUE"""),0)</f>
        <v>0</v>
      </c>
      <c r="BC689" s="40">
        <f ca="1">IFERROR(__xludf.DUMMYFUNCTION("""COMPUTED_VALUE"""),1)</f>
        <v>1</v>
      </c>
      <c r="BD689" s="141">
        <f ca="1">IFERROR(__xludf.DUMMYFUNCTION("""COMPUTED_VALUE"""),44552)</f>
        <v>44552</v>
      </c>
      <c r="BE689" s="141">
        <f ca="1">IFERROR(__xludf.DUMMYFUNCTION("""COMPUTED_VALUE"""),44825)</f>
        <v>44825</v>
      </c>
      <c r="BF689" s="141">
        <f ca="1">IFERROR(__xludf.DUMMYFUNCTION("""COMPUTED_VALUE"""),45006)</f>
        <v>45006</v>
      </c>
      <c r="BG689" s="141">
        <f ca="1">IFERROR(__xludf.DUMMYFUNCTION("""COMPUTED_VALUE"""),45556)</f>
        <v>45556</v>
      </c>
      <c r="BH689" s="40" t="str">
        <f ca="1">IFERROR(__xludf.DUMMYFUNCTION("""COMPUTED_VALUE"""),"FICHA EN TIEMPO-18 MESES")</f>
        <v>FICHA EN TIEMPO-18 MESES</v>
      </c>
      <c r="BI689" s="40" t="str">
        <f ca="1">IFERROR(__xludf.DUMMYFUNCTION("""COMPUTED_VALUE"""),"En ejecucion")</f>
        <v>En ejecucion</v>
      </c>
      <c r="BJ689" s="40" t="str">
        <f ca="1">IFERROR(__xludf.DUMMYFUNCTION("""COMPUTED_VALUE"""),"Yamboro")</f>
        <v>Yamboro</v>
      </c>
      <c r="BK689" s="40"/>
      <c r="BL689" s="40"/>
    </row>
    <row r="690" spans="1:64" ht="13">
      <c r="A690" s="40"/>
      <c r="B690" s="40" t="str">
        <f ca="1">IFERROR(__xludf.DUMMYFUNCTION("""COMPUTED_VALUE"""),"FORMACIÓN 18/10/2022")</f>
        <v>FORMACIÓN 18/10/2022</v>
      </c>
      <c r="C690" s="40" t="str">
        <f ca="1">IFERROR(__xludf.DUMMYFUNCTION("""COMPUTED_VALUE"""),"EMERSON REMISIO GOMEZ")</f>
        <v>EMERSON REMISIO GOMEZ</v>
      </c>
      <c r="D690" s="40" t="str">
        <f ca="1">IFERROR(__xludf.DUMMYFUNCTION("""COMPUTED_VALUE"""),"CC")</f>
        <v>CC</v>
      </c>
      <c r="E690" s="40">
        <f ca="1">IFERROR(__xludf.DUMMYFUNCTION("""COMPUTED_VALUE"""),1007389965)</f>
        <v>1007389965</v>
      </c>
      <c r="F690" s="40">
        <f ca="1">IFERROR(__xludf.DUMMYFUNCTION("""COMPUTED_VALUE"""),2469966)</f>
        <v>2469966</v>
      </c>
      <c r="G690" s="40" t="str">
        <f ca="1">IFERROR(__xludf.DUMMYFUNCTION("""COMPUTED_VALUE"""),"TÉCNICO")</f>
        <v>TÉCNICO</v>
      </c>
      <c r="H690" s="40" t="str">
        <f ca="1">IFERROR(__xludf.DUMMYFUNCTION("""COMPUTED_VALUE"""),"EJECUCION DE PROGRAMAS DEPORTIVOS")</f>
        <v>EJECUCION DE PROGRAMAS DEPORTIVOS</v>
      </c>
      <c r="I690" s="40"/>
      <c r="J690" s="40"/>
      <c r="K690" s="40"/>
      <c r="L690" s="40" t="str">
        <f ca="1">IFERROR(__xludf.DUMMYFUNCTION("""COMPUTED_VALUE"""),"NO HA INICIADO ETAPA PRODUCTIVA")</f>
        <v>NO HA INICIADO ETAPA PRODUCTIVA</v>
      </c>
      <c r="M690" s="40"/>
      <c r="N690" s="40"/>
      <c r="O690" s="40"/>
      <c r="P690" s="40"/>
      <c r="Q690" s="40"/>
      <c r="R690" s="140"/>
      <c r="S690" s="1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t="str">
        <f ca="1">IFERROR(__xludf.DUMMYFUNCTION("""COMPUTED_VALUE"""),"NO_CUMPLE")</f>
        <v>NO_CUMPLE</v>
      </c>
      <c r="AV690" s="40" t="str">
        <f ca="1">IFERROR(__xludf.DUMMYFUNCTION("""COMPUTED_VALUE"""),"EN FORMACION")</f>
        <v>EN FORMACION</v>
      </c>
      <c r="AW690" s="40" t="str">
        <f ca="1">IFERROR(__xludf.DUMMYFUNCTION("""COMPUTED_VALUE"""),"TURISMO")</f>
        <v>TURISMO</v>
      </c>
      <c r="AX690" s="141">
        <f ca="1">IFERROR(__xludf.DUMMYFUNCTION("""COMPUTED_VALUE"""),44839)</f>
        <v>44839</v>
      </c>
      <c r="AY690" s="40">
        <f ca="1">IFERROR(__xludf.DUMMYFUNCTION("""COMPUTED_VALUE"""),6)</f>
        <v>6</v>
      </c>
      <c r="AZ690" s="40">
        <f ca="1">IFERROR(__xludf.DUMMYFUNCTION("""COMPUTED_VALUE"""),1)</f>
        <v>1</v>
      </c>
      <c r="BA690" s="40">
        <f ca="1">IFERROR(__xludf.DUMMYFUNCTION("""COMPUTED_VALUE"""),7)</f>
        <v>7</v>
      </c>
      <c r="BB690" s="40">
        <f ca="1">IFERROR(__xludf.DUMMYFUNCTION("""COMPUTED_VALUE"""),15)</f>
        <v>15</v>
      </c>
      <c r="BC690" s="40">
        <f ca="1">IFERROR(__xludf.DUMMYFUNCTION("""COMPUTED_VALUE"""),29)</f>
        <v>29</v>
      </c>
      <c r="BD690" s="141">
        <f ca="1">IFERROR(__xludf.DUMMYFUNCTION("""COMPUTED_VALUE"""),44552)</f>
        <v>44552</v>
      </c>
      <c r="BE690" s="141">
        <f ca="1">IFERROR(__xludf.DUMMYFUNCTION("""COMPUTED_VALUE"""),44825)</f>
        <v>44825</v>
      </c>
      <c r="BF690" s="141">
        <f ca="1">IFERROR(__xludf.DUMMYFUNCTION("""COMPUTED_VALUE"""),45006)</f>
        <v>45006</v>
      </c>
      <c r="BG690" s="141">
        <f ca="1">IFERROR(__xludf.DUMMYFUNCTION("""COMPUTED_VALUE"""),45556)</f>
        <v>45556</v>
      </c>
      <c r="BH690" s="40" t="str">
        <f ca="1">IFERROR(__xludf.DUMMYFUNCTION("""COMPUTED_VALUE"""),"FICHA EN TIEMPO-18 MESES")</f>
        <v>FICHA EN TIEMPO-18 MESES</v>
      </c>
      <c r="BI690" s="40" t="str">
        <f ca="1">IFERROR(__xludf.DUMMYFUNCTION("""COMPUTED_VALUE"""),"En ejecucion")</f>
        <v>En ejecucion</v>
      </c>
      <c r="BJ690" s="40" t="str">
        <f ca="1">IFERROR(__xludf.DUMMYFUNCTION("""COMPUTED_VALUE"""),"Yamboro")</f>
        <v>Yamboro</v>
      </c>
      <c r="BK690" s="40"/>
      <c r="BL690" s="40"/>
    </row>
    <row r="691" spans="1:64" ht="13">
      <c r="A691" s="40"/>
      <c r="B691" s="40" t="str">
        <f ca="1">IFERROR(__xludf.DUMMYFUNCTION("""COMPUTED_VALUE"""),"FORMACIÓN 18/10/2022")</f>
        <v>FORMACIÓN 18/10/2022</v>
      </c>
      <c r="C691" s="40" t="str">
        <f ca="1">IFERROR(__xludf.DUMMYFUNCTION("""COMPUTED_VALUE"""),"GLORIA PEDRAZA AVILA")</f>
        <v>GLORIA PEDRAZA AVILA</v>
      </c>
      <c r="D691" s="40" t="str">
        <f ca="1">IFERROR(__xludf.DUMMYFUNCTION("""COMPUTED_VALUE"""),"CC")</f>
        <v>CC</v>
      </c>
      <c r="E691" s="40">
        <f ca="1">IFERROR(__xludf.DUMMYFUNCTION("""COMPUTED_VALUE"""),1007531396)</f>
        <v>1007531396</v>
      </c>
      <c r="F691" s="40">
        <f ca="1">IFERROR(__xludf.DUMMYFUNCTION("""COMPUTED_VALUE"""),2469966)</f>
        <v>2469966</v>
      </c>
      <c r="G691" s="40" t="str">
        <f ca="1">IFERROR(__xludf.DUMMYFUNCTION("""COMPUTED_VALUE"""),"TÉCNICO")</f>
        <v>TÉCNICO</v>
      </c>
      <c r="H691" s="40" t="str">
        <f ca="1">IFERROR(__xludf.DUMMYFUNCTION("""COMPUTED_VALUE"""),"EJECUCION DE PROGRAMAS DEPORTIVOS")</f>
        <v>EJECUCION DE PROGRAMAS DEPORTIVOS</v>
      </c>
      <c r="I691" s="40"/>
      <c r="J691" s="40"/>
      <c r="K691" s="40"/>
      <c r="L691" s="40" t="str">
        <f ca="1">IFERROR(__xludf.DUMMYFUNCTION("""COMPUTED_VALUE"""),"PASANTÍAS")</f>
        <v>PASANTÍAS</v>
      </c>
      <c r="M691" s="40" t="str">
        <f ca="1">IFERROR(__xludf.DUMMYFUNCTION("""COMPUTED_VALUE"""),"ALCALDIA MUNICIPAL ACEVEDO HUILA")</f>
        <v>ALCALDIA MUNICIPAL ACEVEDO HUILA</v>
      </c>
      <c r="N691" s="40" t="str">
        <f ca="1">IFERROR(__xludf.DUMMYFUNCTION("""COMPUTED_VALUE"""),"ACEVEDO")</f>
        <v>ACEVEDO</v>
      </c>
      <c r="O691" s="40">
        <f ca="1">IFERROR(__xludf.DUMMYFUNCTION("""COMPUTED_VALUE"""),88317006)</f>
        <v>88317006</v>
      </c>
      <c r="P691" s="40" t="str">
        <f ca="1">IFERROR(__xludf.DUMMYFUNCTION("""COMPUTED_VALUE"""),"ACEVEDO")</f>
        <v>ACEVEDO</v>
      </c>
      <c r="Q691" s="40" t="str">
        <f ca="1">IFERROR(__xludf.DUMMYFUNCTION("""COMPUTED_VALUE"""),"alcadia@acevedo-huila-gov.co")</f>
        <v>alcadia@acevedo-huila-gov.co</v>
      </c>
      <c r="R691" s="140">
        <f ca="1">IFERROR(__xludf.DUMMYFUNCTION("""COMPUTED_VALUE"""),44838)</f>
        <v>44838</v>
      </c>
      <c r="S691" s="140">
        <f ca="1">IFERROR(__xludf.DUMMYFUNCTION("""COMPUTED_VALUE"""),45021)</f>
        <v>45021</v>
      </c>
      <c r="T691" s="40"/>
      <c r="U691" s="40" t="str">
        <f ca="1">IFERROR(__xludf.DUMMYFUNCTION("""COMPUTED_VALUE"""),"DIANA MARCELA DIAZ ")</f>
        <v xml:space="preserve">DIANA MARCELA DIAZ </v>
      </c>
      <c r="V691" s="40" t="str">
        <f ca="1">IFERROR(__xludf.DUMMYFUNCTION("""COMPUTED_VALUE"""),"No tiene seguimiento ...Revisado 06/10/2022")</f>
        <v>No tiene seguimiento ...Revisado 06/10/2022</v>
      </c>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t="str">
        <f ca="1">IFERROR(__xludf.DUMMYFUNCTION("""COMPUTED_VALUE"""),"Procede_E_P")</f>
        <v>Procede_E_P</v>
      </c>
      <c r="AV691" s="40" t="str">
        <f ca="1">IFERROR(__xludf.DUMMYFUNCTION("""COMPUTED_VALUE"""),"EN FORMACION")</f>
        <v>EN FORMACION</v>
      </c>
      <c r="AW691" s="40" t="str">
        <f ca="1">IFERROR(__xludf.DUMMYFUNCTION("""COMPUTED_VALUE"""),"TURISMO")</f>
        <v>TURISMO</v>
      </c>
      <c r="AX691" s="141">
        <f ca="1">IFERROR(__xludf.DUMMYFUNCTION("""COMPUTED_VALUE"""),44839)</f>
        <v>44839</v>
      </c>
      <c r="AY691" s="40">
        <f ca="1">IFERROR(__xludf.DUMMYFUNCTION("""COMPUTED_VALUE"""),0)</f>
        <v>0</v>
      </c>
      <c r="AZ691" s="40">
        <f ca="1">IFERROR(__xludf.DUMMYFUNCTION("""COMPUTED_VALUE"""),1)</f>
        <v>1</v>
      </c>
      <c r="BA691" s="40">
        <f ca="1">IFERROR(__xludf.DUMMYFUNCTION("""COMPUTED_VALUE"""),0)</f>
        <v>0</v>
      </c>
      <c r="BB691" s="40">
        <f ca="1">IFERROR(__xludf.DUMMYFUNCTION("""COMPUTED_VALUE"""),0)</f>
        <v>0</v>
      </c>
      <c r="BC691" s="40">
        <f ca="1">IFERROR(__xludf.DUMMYFUNCTION("""COMPUTED_VALUE"""),1)</f>
        <v>1</v>
      </c>
      <c r="BD691" s="141">
        <f ca="1">IFERROR(__xludf.DUMMYFUNCTION("""COMPUTED_VALUE"""),44552)</f>
        <v>44552</v>
      </c>
      <c r="BE691" s="141">
        <f ca="1">IFERROR(__xludf.DUMMYFUNCTION("""COMPUTED_VALUE"""),44825)</f>
        <v>44825</v>
      </c>
      <c r="BF691" s="141">
        <f ca="1">IFERROR(__xludf.DUMMYFUNCTION("""COMPUTED_VALUE"""),45006)</f>
        <v>45006</v>
      </c>
      <c r="BG691" s="141">
        <f ca="1">IFERROR(__xludf.DUMMYFUNCTION("""COMPUTED_VALUE"""),45556)</f>
        <v>45556</v>
      </c>
      <c r="BH691" s="40" t="str">
        <f ca="1">IFERROR(__xludf.DUMMYFUNCTION("""COMPUTED_VALUE"""),"FICHA EN TIEMPO-18 MESES")</f>
        <v>FICHA EN TIEMPO-18 MESES</v>
      </c>
      <c r="BI691" s="40" t="str">
        <f ca="1">IFERROR(__xludf.DUMMYFUNCTION("""COMPUTED_VALUE"""),"En ejecucion")</f>
        <v>En ejecucion</v>
      </c>
      <c r="BJ691" s="40" t="str">
        <f ca="1">IFERROR(__xludf.DUMMYFUNCTION("""COMPUTED_VALUE"""),"Yamboro")</f>
        <v>Yamboro</v>
      </c>
      <c r="BK691" s="40"/>
      <c r="BL691" s="40"/>
    </row>
    <row r="692" spans="1:64" ht="13">
      <c r="A692" s="40"/>
      <c r="B692" s="40" t="str">
        <f ca="1">IFERROR(__xludf.DUMMYFUNCTION("""COMPUTED_VALUE"""),"FORMACIÓN 18/10/2022")</f>
        <v>FORMACIÓN 18/10/2022</v>
      </c>
      <c r="C692" s="40" t="str">
        <f ca="1">IFERROR(__xludf.DUMMYFUNCTION("""COMPUTED_VALUE"""),"HAROLD HERNANDO CUELLAR ROJAS")</f>
        <v>HAROLD HERNANDO CUELLAR ROJAS</v>
      </c>
      <c r="D692" s="40" t="str">
        <f ca="1">IFERROR(__xludf.DUMMYFUNCTION("""COMPUTED_VALUE"""),"CC")</f>
        <v>CC</v>
      </c>
      <c r="E692" s="40">
        <f ca="1">IFERROR(__xludf.DUMMYFUNCTION("""COMPUTED_VALUE"""),1022425485)</f>
        <v>1022425485</v>
      </c>
      <c r="F692" s="40">
        <f ca="1">IFERROR(__xludf.DUMMYFUNCTION("""COMPUTED_VALUE"""),2469966)</f>
        <v>2469966</v>
      </c>
      <c r="G692" s="40" t="str">
        <f ca="1">IFERROR(__xludf.DUMMYFUNCTION("""COMPUTED_VALUE"""),"TÉCNICO")</f>
        <v>TÉCNICO</v>
      </c>
      <c r="H692" s="40" t="str">
        <f ca="1">IFERROR(__xludf.DUMMYFUNCTION("""COMPUTED_VALUE"""),"EJECUCION DE PROGRAMAS DEPORTIVOS")</f>
        <v>EJECUCION DE PROGRAMAS DEPORTIVOS</v>
      </c>
      <c r="I692" s="40"/>
      <c r="J692" s="40"/>
      <c r="K692" s="40"/>
      <c r="L692" s="40" t="str">
        <f ca="1">IFERROR(__xludf.DUMMYFUNCTION("""COMPUTED_VALUE"""),"VINCULACIÓN LABORAL")</f>
        <v>VINCULACIÓN LABORAL</v>
      </c>
      <c r="M692" s="40" t="str">
        <f ca="1">IFERROR(__xludf.DUMMYFUNCTION("""COMPUTED_VALUE"""),"ALCALDIA MUNICIPAL ACEVEDO HUILA")</f>
        <v>ALCALDIA MUNICIPAL ACEVEDO HUILA</v>
      </c>
      <c r="N692" s="40" t="str">
        <f ca="1">IFERROR(__xludf.DUMMYFUNCTION("""COMPUTED_VALUE"""),"CRRA 3 CLLA 9 ESQUINA")</f>
        <v>CRRA 3 CLLA 9 ESQUINA</v>
      </c>
      <c r="O692" s="40">
        <f ca="1">IFERROR(__xludf.DUMMYFUNCTION("""COMPUTED_VALUE"""),8317019)</f>
        <v>8317019</v>
      </c>
      <c r="P692" s="40" t="str">
        <f ca="1">IFERROR(__xludf.DUMMYFUNCTION("""COMPUTED_VALUE"""),"ACEVEDO")</f>
        <v>ACEVEDO</v>
      </c>
      <c r="Q692" s="40" t="str">
        <f ca="1">IFERROR(__xludf.DUMMYFUNCTION("""COMPUTED_VALUE"""),"alcadia@acevedo-huila-gov.co")</f>
        <v>alcadia@acevedo-huila-gov.co</v>
      </c>
      <c r="R692" s="140">
        <f ca="1">IFERROR(__xludf.DUMMYFUNCTION("""COMPUTED_VALUE"""),44831)</f>
        <v>44831</v>
      </c>
      <c r="S692" s="140">
        <f ca="1">IFERROR(__xludf.DUMMYFUNCTION("""COMPUTED_VALUE"""),45011)</f>
        <v>45011</v>
      </c>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t="str">
        <f ca="1">IFERROR(__xludf.DUMMYFUNCTION("""COMPUTED_VALUE"""),"NO_CUMPLE")</f>
        <v>NO_CUMPLE</v>
      </c>
      <c r="AV692" s="40" t="str">
        <f ca="1">IFERROR(__xludf.DUMMYFUNCTION("""COMPUTED_VALUE"""),"EN FORMACION")</f>
        <v>EN FORMACION</v>
      </c>
      <c r="AW692" s="40" t="str">
        <f ca="1">IFERROR(__xludf.DUMMYFUNCTION("""COMPUTED_VALUE"""),"TURISMO")</f>
        <v>TURISMO</v>
      </c>
      <c r="AX692" s="141">
        <f ca="1">IFERROR(__xludf.DUMMYFUNCTION("""COMPUTED_VALUE"""),44839)</f>
        <v>44839</v>
      </c>
      <c r="AY692" s="40">
        <f ca="1">IFERROR(__xludf.DUMMYFUNCTION("""COMPUTED_VALUE"""),0)</f>
        <v>0</v>
      </c>
      <c r="AZ692" s="40">
        <f ca="1">IFERROR(__xludf.DUMMYFUNCTION("""COMPUTED_VALUE"""),1)</f>
        <v>1</v>
      </c>
      <c r="BA692" s="40">
        <f ca="1">IFERROR(__xludf.DUMMYFUNCTION("""COMPUTED_VALUE"""),5)</f>
        <v>5</v>
      </c>
      <c r="BB692" s="40">
        <f ca="1">IFERROR(__xludf.DUMMYFUNCTION("""COMPUTED_VALUE"""),0)</f>
        <v>0</v>
      </c>
      <c r="BC692" s="40">
        <f ca="1">IFERROR(__xludf.DUMMYFUNCTION("""COMPUTED_VALUE"""),6)</f>
        <v>6</v>
      </c>
      <c r="BD692" s="141">
        <f ca="1">IFERROR(__xludf.DUMMYFUNCTION("""COMPUTED_VALUE"""),44552)</f>
        <v>44552</v>
      </c>
      <c r="BE692" s="141">
        <f ca="1">IFERROR(__xludf.DUMMYFUNCTION("""COMPUTED_VALUE"""),44825)</f>
        <v>44825</v>
      </c>
      <c r="BF692" s="141">
        <f ca="1">IFERROR(__xludf.DUMMYFUNCTION("""COMPUTED_VALUE"""),45006)</f>
        <v>45006</v>
      </c>
      <c r="BG692" s="141">
        <f ca="1">IFERROR(__xludf.DUMMYFUNCTION("""COMPUTED_VALUE"""),45556)</f>
        <v>45556</v>
      </c>
      <c r="BH692" s="40" t="str">
        <f ca="1">IFERROR(__xludf.DUMMYFUNCTION("""COMPUTED_VALUE"""),"FICHA EN TIEMPO-18 MESES")</f>
        <v>FICHA EN TIEMPO-18 MESES</v>
      </c>
      <c r="BI692" s="40" t="str">
        <f ca="1">IFERROR(__xludf.DUMMYFUNCTION("""COMPUTED_VALUE"""),"En ejecucion")</f>
        <v>En ejecucion</v>
      </c>
      <c r="BJ692" s="40" t="str">
        <f ca="1">IFERROR(__xludf.DUMMYFUNCTION("""COMPUTED_VALUE"""),"Yamboro")</f>
        <v>Yamboro</v>
      </c>
      <c r="BK692" s="40"/>
      <c r="BL692" s="40"/>
    </row>
    <row r="693" spans="1:64" ht="13">
      <c r="A693" s="40"/>
      <c r="B693" s="40" t="str">
        <f ca="1">IFERROR(__xludf.DUMMYFUNCTION("""COMPUTED_VALUE"""),"FORMACIÓN 18/10/2022")</f>
        <v>FORMACIÓN 18/10/2022</v>
      </c>
      <c r="C693" s="40" t="str">
        <f ca="1">IFERROR(__xludf.DUMMYFUNCTION("""COMPUTED_VALUE"""),"JUAN SEBASTIAN ESPAÑA PARRA")</f>
        <v>JUAN SEBASTIAN ESPAÑA PARRA</v>
      </c>
      <c r="D693" s="40" t="str">
        <f ca="1">IFERROR(__xludf.DUMMYFUNCTION("""COMPUTED_VALUE"""),"CC")</f>
        <v>CC</v>
      </c>
      <c r="E693" s="40">
        <f ca="1">IFERROR(__xludf.DUMMYFUNCTION("""COMPUTED_VALUE"""),1030680000)</f>
        <v>1030680000</v>
      </c>
      <c r="F693" s="40">
        <f ca="1">IFERROR(__xludf.DUMMYFUNCTION("""COMPUTED_VALUE"""),2469966)</f>
        <v>2469966</v>
      </c>
      <c r="G693" s="40" t="str">
        <f ca="1">IFERROR(__xludf.DUMMYFUNCTION("""COMPUTED_VALUE"""),"TÉCNICO")</f>
        <v>TÉCNICO</v>
      </c>
      <c r="H693" s="40" t="str">
        <f ca="1">IFERROR(__xludf.DUMMYFUNCTION("""COMPUTED_VALUE"""),"EJECUCION DE PROGRAMAS DEPORTIVOS")</f>
        <v>EJECUCION DE PROGRAMAS DEPORTIVOS</v>
      </c>
      <c r="I693" s="40"/>
      <c r="J693" s="40"/>
      <c r="K693" s="40"/>
      <c r="L693" s="40" t="str">
        <f ca="1">IFERROR(__xludf.DUMMYFUNCTION("""COMPUTED_VALUE"""),"NO HA INICIADO ETAPA PRODUCTIVA")</f>
        <v>NO HA INICIADO ETAPA PRODUCTIVA</v>
      </c>
      <c r="M693" s="40"/>
      <c r="N693" s="40"/>
      <c r="O693" s="40"/>
      <c r="P693" s="40"/>
      <c r="Q693" s="40"/>
      <c r="R693" s="140"/>
      <c r="S693" s="1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t="str">
        <f ca="1">IFERROR(__xludf.DUMMYFUNCTION("""COMPUTED_VALUE"""),"NO_CUMPLE")</f>
        <v>NO_CUMPLE</v>
      </c>
      <c r="AV693" s="40" t="str">
        <f ca="1">IFERROR(__xludf.DUMMYFUNCTION("""COMPUTED_VALUE"""),"EN FORMACION")</f>
        <v>EN FORMACION</v>
      </c>
      <c r="AW693" s="40" t="str">
        <f ca="1">IFERROR(__xludf.DUMMYFUNCTION("""COMPUTED_VALUE"""),"TURISMO")</f>
        <v>TURISMO</v>
      </c>
      <c r="AX693" s="141">
        <f ca="1">IFERROR(__xludf.DUMMYFUNCTION("""COMPUTED_VALUE"""),44839)</f>
        <v>44839</v>
      </c>
      <c r="AY693" s="40">
        <f ca="1">IFERROR(__xludf.DUMMYFUNCTION("""COMPUTED_VALUE"""),6)</f>
        <v>6</v>
      </c>
      <c r="AZ693" s="40">
        <f ca="1">IFERROR(__xludf.DUMMYFUNCTION("""COMPUTED_VALUE"""),1)</f>
        <v>1</v>
      </c>
      <c r="BA693" s="40">
        <f ca="1">IFERROR(__xludf.DUMMYFUNCTION("""COMPUTED_VALUE"""),7)</f>
        <v>7</v>
      </c>
      <c r="BB693" s="40">
        <f ca="1">IFERROR(__xludf.DUMMYFUNCTION("""COMPUTED_VALUE"""),15)</f>
        <v>15</v>
      </c>
      <c r="BC693" s="40">
        <f ca="1">IFERROR(__xludf.DUMMYFUNCTION("""COMPUTED_VALUE"""),29)</f>
        <v>29</v>
      </c>
      <c r="BD693" s="141">
        <f ca="1">IFERROR(__xludf.DUMMYFUNCTION("""COMPUTED_VALUE"""),44552)</f>
        <v>44552</v>
      </c>
      <c r="BE693" s="141">
        <f ca="1">IFERROR(__xludf.DUMMYFUNCTION("""COMPUTED_VALUE"""),44825)</f>
        <v>44825</v>
      </c>
      <c r="BF693" s="141">
        <f ca="1">IFERROR(__xludf.DUMMYFUNCTION("""COMPUTED_VALUE"""),45006)</f>
        <v>45006</v>
      </c>
      <c r="BG693" s="141">
        <f ca="1">IFERROR(__xludf.DUMMYFUNCTION("""COMPUTED_VALUE"""),45556)</f>
        <v>45556</v>
      </c>
      <c r="BH693" s="40" t="str">
        <f ca="1">IFERROR(__xludf.DUMMYFUNCTION("""COMPUTED_VALUE"""),"FICHA EN TIEMPO-18 MESES")</f>
        <v>FICHA EN TIEMPO-18 MESES</v>
      </c>
      <c r="BI693" s="40" t="str">
        <f ca="1">IFERROR(__xludf.DUMMYFUNCTION("""COMPUTED_VALUE"""),"En ejecucion")</f>
        <v>En ejecucion</v>
      </c>
      <c r="BJ693" s="40" t="str">
        <f ca="1">IFERROR(__xludf.DUMMYFUNCTION("""COMPUTED_VALUE"""),"Yamboro")</f>
        <v>Yamboro</v>
      </c>
      <c r="BK693" s="40"/>
      <c r="BL693" s="40"/>
    </row>
    <row r="694" spans="1:64" ht="13">
      <c r="A694" s="40"/>
      <c r="B694" s="40" t="str">
        <f ca="1">IFERROR(__xludf.DUMMYFUNCTION("""COMPUTED_VALUE"""),"FORMACIÓN 18/10/2022")</f>
        <v>FORMACIÓN 18/10/2022</v>
      </c>
      <c r="C694" s="40" t="str">
        <f ca="1">IFERROR(__xludf.DUMMYFUNCTION("""COMPUTED_VALUE"""),"FABER SANTIAGO RUIZ ERAZO")</f>
        <v>FABER SANTIAGO RUIZ ERAZO</v>
      </c>
      <c r="D694" s="40" t="str">
        <f ca="1">IFERROR(__xludf.DUMMYFUNCTION("""COMPUTED_VALUE"""),"TI")</f>
        <v>TI</v>
      </c>
      <c r="E694" s="40">
        <f ca="1">IFERROR(__xludf.DUMMYFUNCTION("""COMPUTED_VALUE"""),1059901015)</f>
        <v>1059901015</v>
      </c>
      <c r="F694" s="40">
        <f ca="1">IFERROR(__xludf.DUMMYFUNCTION("""COMPUTED_VALUE"""),2469966)</f>
        <v>2469966</v>
      </c>
      <c r="G694" s="40" t="str">
        <f ca="1">IFERROR(__xludf.DUMMYFUNCTION("""COMPUTED_VALUE"""),"TÉCNICO")</f>
        <v>TÉCNICO</v>
      </c>
      <c r="H694" s="40" t="str">
        <f ca="1">IFERROR(__xludf.DUMMYFUNCTION("""COMPUTED_VALUE"""),"EJECUCION DE PROGRAMAS DEPORTIVOS")</f>
        <v>EJECUCION DE PROGRAMAS DEPORTIVOS</v>
      </c>
      <c r="I694" s="40"/>
      <c r="J694" s="40"/>
      <c r="K694" s="40"/>
      <c r="L694" s="40" t="str">
        <f ca="1">IFERROR(__xludf.DUMMYFUNCTION("""COMPUTED_VALUE"""),"NO HA INICIADO ETAPA PRODUCTIVA")</f>
        <v>NO HA INICIADO ETAPA PRODUCTIVA</v>
      </c>
      <c r="M694" s="40"/>
      <c r="N694" s="40"/>
      <c r="O694" s="40"/>
      <c r="P694" s="40"/>
      <c r="Q694" s="40"/>
      <c r="R694" s="140"/>
      <c r="S694" s="1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t="str">
        <f ca="1">IFERROR(__xludf.DUMMYFUNCTION("""COMPUTED_VALUE"""),"NO_CUMPLE")</f>
        <v>NO_CUMPLE</v>
      </c>
      <c r="AV694" s="40" t="str">
        <f ca="1">IFERROR(__xludf.DUMMYFUNCTION("""COMPUTED_VALUE"""),"EN FORMACION")</f>
        <v>EN FORMACION</v>
      </c>
      <c r="AW694" s="40" t="str">
        <f ca="1">IFERROR(__xludf.DUMMYFUNCTION("""COMPUTED_VALUE"""),"TURISMO")</f>
        <v>TURISMO</v>
      </c>
      <c r="AX694" s="141">
        <f ca="1">IFERROR(__xludf.DUMMYFUNCTION("""COMPUTED_VALUE"""),44839)</f>
        <v>44839</v>
      </c>
      <c r="AY694" s="40">
        <f ca="1">IFERROR(__xludf.DUMMYFUNCTION("""COMPUTED_VALUE"""),14)</f>
        <v>14</v>
      </c>
      <c r="AZ694" s="40">
        <f ca="1">IFERROR(__xludf.DUMMYFUNCTION("""COMPUTED_VALUE"""),1)</f>
        <v>1</v>
      </c>
      <c r="BA694" s="40">
        <f ca="1">IFERROR(__xludf.DUMMYFUNCTION("""COMPUTED_VALUE"""),7)</f>
        <v>7</v>
      </c>
      <c r="BB694" s="40">
        <f ca="1">IFERROR(__xludf.DUMMYFUNCTION("""COMPUTED_VALUE"""),20)</f>
        <v>20</v>
      </c>
      <c r="BC694" s="40">
        <f ca="1">IFERROR(__xludf.DUMMYFUNCTION("""COMPUTED_VALUE"""),42)</f>
        <v>42</v>
      </c>
      <c r="BD694" s="141">
        <f ca="1">IFERROR(__xludf.DUMMYFUNCTION("""COMPUTED_VALUE"""),44552)</f>
        <v>44552</v>
      </c>
      <c r="BE694" s="141">
        <f ca="1">IFERROR(__xludf.DUMMYFUNCTION("""COMPUTED_VALUE"""),44825)</f>
        <v>44825</v>
      </c>
      <c r="BF694" s="141">
        <f ca="1">IFERROR(__xludf.DUMMYFUNCTION("""COMPUTED_VALUE"""),45006)</f>
        <v>45006</v>
      </c>
      <c r="BG694" s="141">
        <f ca="1">IFERROR(__xludf.DUMMYFUNCTION("""COMPUTED_VALUE"""),45556)</f>
        <v>45556</v>
      </c>
      <c r="BH694" s="40" t="str">
        <f ca="1">IFERROR(__xludf.DUMMYFUNCTION("""COMPUTED_VALUE"""),"FICHA EN TIEMPO-18 MESES")</f>
        <v>FICHA EN TIEMPO-18 MESES</v>
      </c>
      <c r="BI694" s="40" t="str">
        <f ca="1">IFERROR(__xludf.DUMMYFUNCTION("""COMPUTED_VALUE"""),"En ejecucion")</f>
        <v>En ejecucion</v>
      </c>
      <c r="BJ694" s="40" t="str">
        <f ca="1">IFERROR(__xludf.DUMMYFUNCTION("""COMPUTED_VALUE"""),"Yamboro")</f>
        <v>Yamboro</v>
      </c>
      <c r="BK694" s="40"/>
      <c r="BL694" s="40"/>
    </row>
    <row r="695" spans="1:64" ht="13">
      <c r="A695" s="40"/>
      <c r="B695" s="40" t="str">
        <f ca="1">IFERROR(__xludf.DUMMYFUNCTION("""COMPUTED_VALUE"""),"FORMACIÓN 18/10/2022")</f>
        <v>FORMACIÓN 18/10/2022</v>
      </c>
      <c r="C695" s="40" t="str">
        <f ca="1">IFERROR(__xludf.DUMMYFUNCTION("""COMPUTED_VALUE"""),"LEIDER GOMEZ CUBILLOS")</f>
        <v>LEIDER GOMEZ CUBILLOS</v>
      </c>
      <c r="D695" s="40" t="str">
        <f ca="1">IFERROR(__xludf.DUMMYFUNCTION("""COMPUTED_VALUE"""),"CC")</f>
        <v>CC</v>
      </c>
      <c r="E695" s="40">
        <f ca="1">IFERROR(__xludf.DUMMYFUNCTION("""COMPUTED_VALUE"""),1077876896)</f>
        <v>1077876896</v>
      </c>
      <c r="F695" s="40">
        <f ca="1">IFERROR(__xludf.DUMMYFUNCTION("""COMPUTED_VALUE"""),2469966)</f>
        <v>2469966</v>
      </c>
      <c r="G695" s="40" t="str">
        <f ca="1">IFERROR(__xludf.DUMMYFUNCTION("""COMPUTED_VALUE"""),"TÉCNICO")</f>
        <v>TÉCNICO</v>
      </c>
      <c r="H695" s="40" t="str">
        <f ca="1">IFERROR(__xludf.DUMMYFUNCTION("""COMPUTED_VALUE"""),"EJECUCION DE PROGRAMAS DEPORTIVOS")</f>
        <v>EJECUCION DE PROGRAMAS DEPORTIVOS</v>
      </c>
      <c r="I695" s="40"/>
      <c r="J695" s="40"/>
      <c r="K695" s="40"/>
      <c r="L695" s="40" t="str">
        <f ca="1">IFERROR(__xludf.DUMMYFUNCTION("""COMPUTED_VALUE"""),"NO HA INICIADO ETAPA PRODUCTIVA")</f>
        <v>NO HA INICIADO ETAPA PRODUCTIVA</v>
      </c>
      <c r="M695" s="40"/>
      <c r="N695" s="40"/>
      <c r="O695" s="40"/>
      <c r="P695" s="40"/>
      <c r="Q695" s="40"/>
      <c r="R695" s="140"/>
      <c r="S695" s="1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t="str">
        <f ca="1">IFERROR(__xludf.DUMMYFUNCTION("""COMPUTED_VALUE"""),"NO_CUMPLE")</f>
        <v>NO_CUMPLE</v>
      </c>
      <c r="AV695" s="40" t="str">
        <f ca="1">IFERROR(__xludf.DUMMYFUNCTION("""COMPUTED_VALUE"""),"EN FORMACION")</f>
        <v>EN FORMACION</v>
      </c>
      <c r="AW695" s="40" t="str">
        <f ca="1">IFERROR(__xludf.DUMMYFUNCTION("""COMPUTED_VALUE"""),"TURISMO")</f>
        <v>TURISMO</v>
      </c>
      <c r="AX695" s="141">
        <f ca="1">IFERROR(__xludf.DUMMYFUNCTION("""COMPUTED_VALUE"""),44839)</f>
        <v>44839</v>
      </c>
      <c r="AY695" s="40">
        <f ca="1">IFERROR(__xludf.DUMMYFUNCTION("""COMPUTED_VALUE"""),6)</f>
        <v>6</v>
      </c>
      <c r="AZ695" s="40">
        <f ca="1">IFERROR(__xludf.DUMMYFUNCTION("""COMPUTED_VALUE"""),1)</f>
        <v>1</v>
      </c>
      <c r="BA695" s="40">
        <f ca="1">IFERROR(__xludf.DUMMYFUNCTION("""COMPUTED_VALUE"""),7)</f>
        <v>7</v>
      </c>
      <c r="BB695" s="40">
        <f ca="1">IFERROR(__xludf.DUMMYFUNCTION("""COMPUTED_VALUE"""),15)</f>
        <v>15</v>
      </c>
      <c r="BC695" s="40">
        <f ca="1">IFERROR(__xludf.DUMMYFUNCTION("""COMPUTED_VALUE"""),29)</f>
        <v>29</v>
      </c>
      <c r="BD695" s="141">
        <f ca="1">IFERROR(__xludf.DUMMYFUNCTION("""COMPUTED_VALUE"""),44552)</f>
        <v>44552</v>
      </c>
      <c r="BE695" s="141">
        <f ca="1">IFERROR(__xludf.DUMMYFUNCTION("""COMPUTED_VALUE"""),44825)</f>
        <v>44825</v>
      </c>
      <c r="BF695" s="141">
        <f ca="1">IFERROR(__xludf.DUMMYFUNCTION("""COMPUTED_VALUE"""),45006)</f>
        <v>45006</v>
      </c>
      <c r="BG695" s="141">
        <f ca="1">IFERROR(__xludf.DUMMYFUNCTION("""COMPUTED_VALUE"""),45556)</f>
        <v>45556</v>
      </c>
      <c r="BH695" s="40" t="str">
        <f ca="1">IFERROR(__xludf.DUMMYFUNCTION("""COMPUTED_VALUE"""),"FICHA EN TIEMPO-18 MESES")</f>
        <v>FICHA EN TIEMPO-18 MESES</v>
      </c>
      <c r="BI695" s="40" t="str">
        <f ca="1">IFERROR(__xludf.DUMMYFUNCTION("""COMPUTED_VALUE"""),"En ejecucion")</f>
        <v>En ejecucion</v>
      </c>
      <c r="BJ695" s="40" t="str">
        <f ca="1">IFERROR(__xludf.DUMMYFUNCTION("""COMPUTED_VALUE"""),"Yamboro")</f>
        <v>Yamboro</v>
      </c>
      <c r="BK695" s="40"/>
      <c r="BL695" s="40"/>
    </row>
    <row r="696" spans="1:64" ht="13">
      <c r="A696" s="40"/>
      <c r="B696" s="40" t="str">
        <f ca="1">IFERROR(__xludf.DUMMYFUNCTION("""COMPUTED_VALUE"""),"FORMACIÓN 18/10/2022")</f>
        <v>FORMACIÓN 18/10/2022</v>
      </c>
      <c r="C696" s="40" t="str">
        <f ca="1">IFERROR(__xludf.DUMMYFUNCTION("""COMPUTED_VALUE"""),"LUIS CARLOS OSORIO PULIDO")</f>
        <v>LUIS CARLOS OSORIO PULIDO</v>
      </c>
      <c r="D696" s="40" t="str">
        <f ca="1">IFERROR(__xludf.DUMMYFUNCTION("""COMPUTED_VALUE"""),"TI")</f>
        <v>TI</v>
      </c>
      <c r="E696" s="40">
        <f ca="1">IFERROR(__xludf.DUMMYFUNCTION("""COMPUTED_VALUE"""),1078746004)</f>
        <v>1078746004</v>
      </c>
      <c r="F696" s="40">
        <f ca="1">IFERROR(__xludf.DUMMYFUNCTION("""COMPUTED_VALUE"""),2469966)</f>
        <v>2469966</v>
      </c>
      <c r="G696" s="40" t="str">
        <f ca="1">IFERROR(__xludf.DUMMYFUNCTION("""COMPUTED_VALUE"""),"TÉCNICO")</f>
        <v>TÉCNICO</v>
      </c>
      <c r="H696" s="40" t="str">
        <f ca="1">IFERROR(__xludf.DUMMYFUNCTION("""COMPUTED_VALUE"""),"EJECUCION DE PROGRAMAS DEPORTIVOS")</f>
        <v>EJECUCION DE PROGRAMAS DEPORTIVOS</v>
      </c>
      <c r="I696" s="40"/>
      <c r="J696" s="40"/>
      <c r="K696" s="40"/>
      <c r="L696" s="40" t="str">
        <f ca="1">IFERROR(__xludf.DUMMYFUNCTION("""COMPUTED_VALUE"""),"NO HA INICIADO ETAPA PRODUCTIVA")</f>
        <v>NO HA INICIADO ETAPA PRODUCTIVA</v>
      </c>
      <c r="M696" s="40"/>
      <c r="N696" s="40"/>
      <c r="O696" s="40"/>
      <c r="P696" s="40"/>
      <c r="Q696" s="40"/>
      <c r="R696" s="140"/>
      <c r="S696" s="1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t="str">
        <f ca="1">IFERROR(__xludf.DUMMYFUNCTION("""COMPUTED_VALUE"""),"NO_CUMPLE")</f>
        <v>NO_CUMPLE</v>
      </c>
      <c r="AV696" s="40" t="str">
        <f ca="1">IFERROR(__xludf.DUMMYFUNCTION("""COMPUTED_VALUE"""),"EN FORMACION")</f>
        <v>EN FORMACION</v>
      </c>
      <c r="AW696" s="40" t="str">
        <f ca="1">IFERROR(__xludf.DUMMYFUNCTION("""COMPUTED_VALUE"""),"TURISMO")</f>
        <v>TURISMO</v>
      </c>
      <c r="AX696" s="141">
        <f ca="1">IFERROR(__xludf.DUMMYFUNCTION("""COMPUTED_VALUE"""),44839)</f>
        <v>44839</v>
      </c>
      <c r="AY696" s="40">
        <f ca="1">IFERROR(__xludf.DUMMYFUNCTION("""COMPUTED_VALUE"""),6)</f>
        <v>6</v>
      </c>
      <c r="AZ696" s="40">
        <f ca="1">IFERROR(__xludf.DUMMYFUNCTION("""COMPUTED_VALUE"""),1)</f>
        <v>1</v>
      </c>
      <c r="BA696" s="40">
        <f ca="1">IFERROR(__xludf.DUMMYFUNCTION("""COMPUTED_VALUE"""),7)</f>
        <v>7</v>
      </c>
      <c r="BB696" s="40">
        <f ca="1">IFERROR(__xludf.DUMMYFUNCTION("""COMPUTED_VALUE"""),15)</f>
        <v>15</v>
      </c>
      <c r="BC696" s="40">
        <f ca="1">IFERROR(__xludf.DUMMYFUNCTION("""COMPUTED_VALUE"""),29)</f>
        <v>29</v>
      </c>
      <c r="BD696" s="141">
        <f ca="1">IFERROR(__xludf.DUMMYFUNCTION("""COMPUTED_VALUE"""),44552)</f>
        <v>44552</v>
      </c>
      <c r="BE696" s="141">
        <f ca="1">IFERROR(__xludf.DUMMYFUNCTION("""COMPUTED_VALUE"""),44825)</f>
        <v>44825</v>
      </c>
      <c r="BF696" s="141">
        <f ca="1">IFERROR(__xludf.DUMMYFUNCTION("""COMPUTED_VALUE"""),45006)</f>
        <v>45006</v>
      </c>
      <c r="BG696" s="141">
        <f ca="1">IFERROR(__xludf.DUMMYFUNCTION("""COMPUTED_VALUE"""),45556)</f>
        <v>45556</v>
      </c>
      <c r="BH696" s="40" t="str">
        <f ca="1">IFERROR(__xludf.DUMMYFUNCTION("""COMPUTED_VALUE"""),"FICHA EN TIEMPO-18 MESES")</f>
        <v>FICHA EN TIEMPO-18 MESES</v>
      </c>
      <c r="BI696" s="40" t="str">
        <f ca="1">IFERROR(__xludf.DUMMYFUNCTION("""COMPUTED_VALUE"""),"En ejecucion")</f>
        <v>En ejecucion</v>
      </c>
      <c r="BJ696" s="40" t="str">
        <f ca="1">IFERROR(__xludf.DUMMYFUNCTION("""COMPUTED_VALUE"""),"Yamboro")</f>
        <v>Yamboro</v>
      </c>
      <c r="BK696" s="40"/>
      <c r="BL696" s="40"/>
    </row>
    <row r="697" spans="1:64" ht="13">
      <c r="A697" s="40"/>
      <c r="B697" s="40" t="str">
        <f ca="1">IFERROR(__xludf.DUMMYFUNCTION("""COMPUTED_VALUE"""),"FORMACIÓN 18/10/2022")</f>
        <v>FORMACIÓN 18/10/2022</v>
      </c>
      <c r="C697" s="40" t="str">
        <f ca="1">IFERROR(__xludf.DUMMYFUNCTION("""COMPUTED_VALUE"""),"JOSE LUCIANO MARTINEZ USECHE")</f>
        <v>JOSE LUCIANO MARTINEZ USECHE</v>
      </c>
      <c r="D697" s="40" t="str">
        <f ca="1">IFERROR(__xludf.DUMMYFUNCTION("""COMPUTED_VALUE"""),"CC")</f>
        <v>CC</v>
      </c>
      <c r="E697" s="40">
        <f ca="1">IFERROR(__xludf.DUMMYFUNCTION("""COMPUTED_VALUE"""),1078750336)</f>
        <v>1078750336</v>
      </c>
      <c r="F697" s="40">
        <f ca="1">IFERROR(__xludf.DUMMYFUNCTION("""COMPUTED_VALUE"""),2469966)</f>
        <v>2469966</v>
      </c>
      <c r="G697" s="40" t="str">
        <f ca="1">IFERROR(__xludf.DUMMYFUNCTION("""COMPUTED_VALUE"""),"TÉCNICO")</f>
        <v>TÉCNICO</v>
      </c>
      <c r="H697" s="40" t="str">
        <f ca="1">IFERROR(__xludf.DUMMYFUNCTION("""COMPUTED_VALUE"""),"EJECUCION DE PROGRAMAS DEPORTIVOS")</f>
        <v>EJECUCION DE PROGRAMAS DEPORTIVOS</v>
      </c>
      <c r="I697" s="40"/>
      <c r="J697" s="40"/>
      <c r="K697" s="40"/>
      <c r="L697" s="40" t="str">
        <f ca="1">IFERROR(__xludf.DUMMYFUNCTION("""COMPUTED_VALUE"""),"NO HA INICIADO ETAPA PRODUCTIVA")</f>
        <v>NO HA INICIADO ETAPA PRODUCTIVA</v>
      </c>
      <c r="M697" s="40"/>
      <c r="N697" s="40"/>
      <c r="O697" s="40"/>
      <c r="P697" s="40"/>
      <c r="Q697" s="40"/>
      <c r="R697" s="140"/>
      <c r="S697" s="1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t="str">
        <f ca="1">IFERROR(__xludf.DUMMYFUNCTION("""COMPUTED_VALUE"""),"NO_CUMPLE")</f>
        <v>NO_CUMPLE</v>
      </c>
      <c r="AV697" s="40" t="str">
        <f ca="1">IFERROR(__xludf.DUMMYFUNCTION("""COMPUTED_VALUE"""),"EN FORMACION")</f>
        <v>EN FORMACION</v>
      </c>
      <c r="AW697" s="40" t="str">
        <f ca="1">IFERROR(__xludf.DUMMYFUNCTION("""COMPUTED_VALUE"""),"TURISMO")</f>
        <v>TURISMO</v>
      </c>
      <c r="AX697" s="141">
        <f ca="1">IFERROR(__xludf.DUMMYFUNCTION("""COMPUTED_VALUE"""),44839)</f>
        <v>44839</v>
      </c>
      <c r="AY697" s="40">
        <f ca="1">IFERROR(__xludf.DUMMYFUNCTION("""COMPUTED_VALUE"""),14)</f>
        <v>14</v>
      </c>
      <c r="AZ697" s="40">
        <f ca="1">IFERROR(__xludf.DUMMYFUNCTION("""COMPUTED_VALUE"""),1)</f>
        <v>1</v>
      </c>
      <c r="BA697" s="40">
        <f ca="1">IFERROR(__xludf.DUMMYFUNCTION("""COMPUTED_VALUE"""),5)</f>
        <v>5</v>
      </c>
      <c r="BB697" s="40">
        <f ca="1">IFERROR(__xludf.DUMMYFUNCTION("""COMPUTED_VALUE"""),20)</f>
        <v>20</v>
      </c>
      <c r="BC697" s="40">
        <f ca="1">IFERROR(__xludf.DUMMYFUNCTION("""COMPUTED_VALUE"""),40)</f>
        <v>40</v>
      </c>
      <c r="BD697" s="141">
        <f ca="1">IFERROR(__xludf.DUMMYFUNCTION("""COMPUTED_VALUE"""),44552)</f>
        <v>44552</v>
      </c>
      <c r="BE697" s="141">
        <f ca="1">IFERROR(__xludf.DUMMYFUNCTION("""COMPUTED_VALUE"""),44825)</f>
        <v>44825</v>
      </c>
      <c r="BF697" s="141">
        <f ca="1">IFERROR(__xludf.DUMMYFUNCTION("""COMPUTED_VALUE"""),45006)</f>
        <v>45006</v>
      </c>
      <c r="BG697" s="141">
        <f ca="1">IFERROR(__xludf.DUMMYFUNCTION("""COMPUTED_VALUE"""),45556)</f>
        <v>45556</v>
      </c>
      <c r="BH697" s="40" t="str">
        <f ca="1">IFERROR(__xludf.DUMMYFUNCTION("""COMPUTED_VALUE"""),"FICHA EN TIEMPO-18 MESES")</f>
        <v>FICHA EN TIEMPO-18 MESES</v>
      </c>
      <c r="BI697" s="40" t="str">
        <f ca="1">IFERROR(__xludf.DUMMYFUNCTION("""COMPUTED_VALUE"""),"En ejecucion")</f>
        <v>En ejecucion</v>
      </c>
      <c r="BJ697" s="40" t="str">
        <f ca="1">IFERROR(__xludf.DUMMYFUNCTION("""COMPUTED_VALUE"""),"Yamboro")</f>
        <v>Yamboro</v>
      </c>
      <c r="BK697" s="40"/>
      <c r="BL697" s="40"/>
    </row>
    <row r="698" spans="1:64" ht="13">
      <c r="A698" s="40"/>
      <c r="B698" s="40" t="str">
        <f ca="1">IFERROR(__xludf.DUMMYFUNCTION("""COMPUTED_VALUE"""),"FORMACIÓN 18/10/2022")</f>
        <v>FORMACIÓN 18/10/2022</v>
      </c>
      <c r="C698" s="40" t="str">
        <f ca="1">IFERROR(__xludf.DUMMYFUNCTION("""COMPUTED_VALUE"""),"ARNOL DIAZ ARAGON")</f>
        <v>ARNOL DIAZ ARAGON</v>
      </c>
      <c r="D698" s="40" t="str">
        <f ca="1">IFERROR(__xludf.DUMMYFUNCTION("""COMPUTED_VALUE"""),"CC")</f>
        <v>CC</v>
      </c>
      <c r="E698" s="40">
        <f ca="1">IFERROR(__xludf.DUMMYFUNCTION("""COMPUTED_VALUE"""),1078753590)</f>
        <v>1078753590</v>
      </c>
      <c r="F698" s="40">
        <f ca="1">IFERROR(__xludf.DUMMYFUNCTION("""COMPUTED_VALUE"""),2469966)</f>
        <v>2469966</v>
      </c>
      <c r="G698" s="40" t="str">
        <f ca="1">IFERROR(__xludf.DUMMYFUNCTION("""COMPUTED_VALUE"""),"TÉCNICO")</f>
        <v>TÉCNICO</v>
      </c>
      <c r="H698" s="40" t="str">
        <f ca="1">IFERROR(__xludf.DUMMYFUNCTION("""COMPUTED_VALUE"""),"EJECUCION DE PROGRAMAS DEPORTIVOS")</f>
        <v>EJECUCION DE PROGRAMAS DEPORTIVOS</v>
      </c>
      <c r="I698" s="40"/>
      <c r="J698" s="40"/>
      <c r="K698" s="40"/>
      <c r="L698" s="40" t="str">
        <f ca="1">IFERROR(__xludf.DUMMYFUNCTION("""COMPUTED_VALUE"""),"NO HA INICIADO ETAPA PRODUCTIVA")</f>
        <v>NO HA INICIADO ETAPA PRODUCTIVA</v>
      </c>
      <c r="M698" s="40"/>
      <c r="N698" s="40"/>
      <c r="O698" s="40"/>
      <c r="P698" s="40"/>
      <c r="Q698" s="40"/>
      <c r="R698" s="140"/>
      <c r="S698" s="1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t="str">
        <f ca="1">IFERROR(__xludf.DUMMYFUNCTION("""COMPUTED_VALUE"""),"NO_CUMPLE")</f>
        <v>NO_CUMPLE</v>
      </c>
      <c r="AV698" s="40" t="str">
        <f ca="1">IFERROR(__xludf.DUMMYFUNCTION("""COMPUTED_VALUE"""),"EN FORMACION")</f>
        <v>EN FORMACION</v>
      </c>
      <c r="AW698" s="40" t="str">
        <f ca="1">IFERROR(__xludf.DUMMYFUNCTION("""COMPUTED_VALUE"""),"TURISMO")</f>
        <v>TURISMO</v>
      </c>
      <c r="AX698" s="141">
        <f ca="1">IFERROR(__xludf.DUMMYFUNCTION("""COMPUTED_VALUE"""),44839)</f>
        <v>44839</v>
      </c>
      <c r="AY698" s="40">
        <f ca="1">IFERROR(__xludf.DUMMYFUNCTION("""COMPUTED_VALUE"""),6)</f>
        <v>6</v>
      </c>
      <c r="AZ698" s="40">
        <f ca="1">IFERROR(__xludf.DUMMYFUNCTION("""COMPUTED_VALUE"""),1)</f>
        <v>1</v>
      </c>
      <c r="BA698" s="40">
        <f ca="1">IFERROR(__xludf.DUMMYFUNCTION("""COMPUTED_VALUE"""),7)</f>
        <v>7</v>
      </c>
      <c r="BB698" s="40">
        <f ca="1">IFERROR(__xludf.DUMMYFUNCTION("""COMPUTED_VALUE"""),15)</f>
        <v>15</v>
      </c>
      <c r="BC698" s="40">
        <f ca="1">IFERROR(__xludf.DUMMYFUNCTION("""COMPUTED_VALUE"""),29)</f>
        <v>29</v>
      </c>
      <c r="BD698" s="141">
        <f ca="1">IFERROR(__xludf.DUMMYFUNCTION("""COMPUTED_VALUE"""),44552)</f>
        <v>44552</v>
      </c>
      <c r="BE698" s="141">
        <f ca="1">IFERROR(__xludf.DUMMYFUNCTION("""COMPUTED_VALUE"""),44825)</f>
        <v>44825</v>
      </c>
      <c r="BF698" s="141">
        <f ca="1">IFERROR(__xludf.DUMMYFUNCTION("""COMPUTED_VALUE"""),45006)</f>
        <v>45006</v>
      </c>
      <c r="BG698" s="141">
        <f ca="1">IFERROR(__xludf.DUMMYFUNCTION("""COMPUTED_VALUE"""),45556)</f>
        <v>45556</v>
      </c>
      <c r="BH698" s="40" t="str">
        <f ca="1">IFERROR(__xludf.DUMMYFUNCTION("""COMPUTED_VALUE"""),"FICHA EN TIEMPO-18 MESES")</f>
        <v>FICHA EN TIEMPO-18 MESES</v>
      </c>
      <c r="BI698" s="40" t="str">
        <f ca="1">IFERROR(__xludf.DUMMYFUNCTION("""COMPUTED_VALUE"""),"En ejecucion")</f>
        <v>En ejecucion</v>
      </c>
      <c r="BJ698" s="40" t="str">
        <f ca="1">IFERROR(__xludf.DUMMYFUNCTION("""COMPUTED_VALUE"""),"Yamboro")</f>
        <v>Yamboro</v>
      </c>
      <c r="BK698" s="40"/>
      <c r="BL698" s="40"/>
    </row>
    <row r="699" spans="1:64" ht="13">
      <c r="A699" s="40"/>
      <c r="B699" s="40" t="str">
        <f ca="1">IFERROR(__xludf.DUMMYFUNCTION("""COMPUTED_VALUE"""),"FORMACIÓN 18/10/2022")</f>
        <v>FORMACIÓN 18/10/2022</v>
      </c>
      <c r="C699" s="40" t="str">
        <f ca="1">IFERROR(__xludf.DUMMYFUNCTION("""COMPUTED_VALUE"""),"MARYI INES GARCES TORRES")</f>
        <v>MARYI INES GARCES TORRES</v>
      </c>
      <c r="D699" s="40" t="str">
        <f ca="1">IFERROR(__xludf.DUMMYFUNCTION("""COMPUTED_VALUE"""),"CC")</f>
        <v>CC</v>
      </c>
      <c r="E699" s="40">
        <f ca="1">IFERROR(__xludf.DUMMYFUNCTION("""COMPUTED_VALUE"""),1078755096)</f>
        <v>1078755096</v>
      </c>
      <c r="F699" s="40">
        <f ca="1">IFERROR(__xludf.DUMMYFUNCTION("""COMPUTED_VALUE"""),2469966)</f>
        <v>2469966</v>
      </c>
      <c r="G699" s="40" t="str">
        <f ca="1">IFERROR(__xludf.DUMMYFUNCTION("""COMPUTED_VALUE"""),"TÉCNICO")</f>
        <v>TÉCNICO</v>
      </c>
      <c r="H699" s="40" t="str">
        <f ca="1">IFERROR(__xludf.DUMMYFUNCTION("""COMPUTED_VALUE"""),"EJECUCION DE PROGRAMAS DEPORTIVOS")</f>
        <v>EJECUCION DE PROGRAMAS DEPORTIVOS</v>
      </c>
      <c r="I699" s="40"/>
      <c r="J699" s="40"/>
      <c r="K699" s="40"/>
      <c r="L699" s="40" t="str">
        <f ca="1">IFERROR(__xludf.DUMMYFUNCTION("""COMPUTED_VALUE"""),"NO HA INICIADO ETAPA PRODUCTIVA")</f>
        <v>NO HA INICIADO ETAPA PRODUCTIVA</v>
      </c>
      <c r="M699" s="40"/>
      <c r="N699" s="40"/>
      <c r="O699" s="40"/>
      <c r="P699" s="40"/>
      <c r="Q699" s="40"/>
      <c r="R699" s="140"/>
      <c r="S699" s="1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t="str">
        <f ca="1">IFERROR(__xludf.DUMMYFUNCTION("""COMPUTED_VALUE"""),"NO_CUMPLE")</f>
        <v>NO_CUMPLE</v>
      </c>
      <c r="AV699" s="40" t="str">
        <f ca="1">IFERROR(__xludf.DUMMYFUNCTION("""COMPUTED_VALUE"""),"EN FORMACION")</f>
        <v>EN FORMACION</v>
      </c>
      <c r="AW699" s="40" t="str">
        <f ca="1">IFERROR(__xludf.DUMMYFUNCTION("""COMPUTED_VALUE"""),"TURISMO")</f>
        <v>TURISMO</v>
      </c>
      <c r="AX699" s="141">
        <f ca="1">IFERROR(__xludf.DUMMYFUNCTION("""COMPUTED_VALUE"""),44839)</f>
        <v>44839</v>
      </c>
      <c r="AY699" s="40">
        <f ca="1">IFERROR(__xludf.DUMMYFUNCTION("""COMPUTED_VALUE"""),14)</f>
        <v>14</v>
      </c>
      <c r="AZ699" s="40">
        <f ca="1">IFERROR(__xludf.DUMMYFUNCTION("""COMPUTED_VALUE"""),1)</f>
        <v>1</v>
      </c>
      <c r="BA699" s="40">
        <f ca="1">IFERROR(__xludf.DUMMYFUNCTION("""COMPUTED_VALUE"""),7)</f>
        <v>7</v>
      </c>
      <c r="BB699" s="40">
        <f ca="1">IFERROR(__xludf.DUMMYFUNCTION("""COMPUTED_VALUE"""),20)</f>
        <v>20</v>
      </c>
      <c r="BC699" s="40">
        <f ca="1">IFERROR(__xludf.DUMMYFUNCTION("""COMPUTED_VALUE"""),42)</f>
        <v>42</v>
      </c>
      <c r="BD699" s="141">
        <f ca="1">IFERROR(__xludf.DUMMYFUNCTION("""COMPUTED_VALUE"""),44552)</f>
        <v>44552</v>
      </c>
      <c r="BE699" s="141">
        <f ca="1">IFERROR(__xludf.DUMMYFUNCTION("""COMPUTED_VALUE"""),44825)</f>
        <v>44825</v>
      </c>
      <c r="BF699" s="141">
        <f ca="1">IFERROR(__xludf.DUMMYFUNCTION("""COMPUTED_VALUE"""),45006)</f>
        <v>45006</v>
      </c>
      <c r="BG699" s="141">
        <f ca="1">IFERROR(__xludf.DUMMYFUNCTION("""COMPUTED_VALUE"""),45556)</f>
        <v>45556</v>
      </c>
      <c r="BH699" s="40" t="str">
        <f ca="1">IFERROR(__xludf.DUMMYFUNCTION("""COMPUTED_VALUE"""),"FICHA EN TIEMPO-18 MESES")</f>
        <v>FICHA EN TIEMPO-18 MESES</v>
      </c>
      <c r="BI699" s="40" t="str">
        <f ca="1">IFERROR(__xludf.DUMMYFUNCTION("""COMPUTED_VALUE"""),"En ejecucion")</f>
        <v>En ejecucion</v>
      </c>
      <c r="BJ699" s="40" t="str">
        <f ca="1">IFERROR(__xludf.DUMMYFUNCTION("""COMPUTED_VALUE"""),"Yamboro")</f>
        <v>Yamboro</v>
      </c>
      <c r="BK699" s="40"/>
      <c r="BL699" s="40"/>
    </row>
    <row r="700" spans="1:64" ht="13">
      <c r="A700" s="40"/>
      <c r="B700" s="40" t="str">
        <f ca="1">IFERROR(__xludf.DUMMYFUNCTION("""COMPUTED_VALUE"""),"FORMACIÓN 18/10/2022")</f>
        <v>FORMACIÓN 18/10/2022</v>
      </c>
      <c r="C700" s="40" t="str">
        <f ca="1">IFERROR(__xludf.DUMMYFUNCTION("""COMPUTED_VALUE"""),"SANDER DAVID BARRIOS SILVA")</f>
        <v>SANDER DAVID BARRIOS SILVA</v>
      </c>
      <c r="D700" s="40" t="str">
        <f ca="1">IFERROR(__xludf.DUMMYFUNCTION("""COMPUTED_VALUE"""),"CC")</f>
        <v>CC</v>
      </c>
      <c r="E700" s="40">
        <f ca="1">IFERROR(__xludf.DUMMYFUNCTION("""COMPUTED_VALUE"""),1078755383)</f>
        <v>1078755383</v>
      </c>
      <c r="F700" s="40">
        <f ca="1">IFERROR(__xludf.DUMMYFUNCTION("""COMPUTED_VALUE"""),2469966)</f>
        <v>2469966</v>
      </c>
      <c r="G700" s="40" t="str">
        <f ca="1">IFERROR(__xludf.DUMMYFUNCTION("""COMPUTED_VALUE"""),"TÉCNICO")</f>
        <v>TÉCNICO</v>
      </c>
      <c r="H700" s="40" t="str">
        <f ca="1">IFERROR(__xludf.DUMMYFUNCTION("""COMPUTED_VALUE"""),"EJECUCION DE PROGRAMAS DEPORTIVOS")</f>
        <v>EJECUCION DE PROGRAMAS DEPORTIVOS</v>
      </c>
      <c r="I700" s="40"/>
      <c r="J700" s="40"/>
      <c r="K700" s="40"/>
      <c r="L700" s="40" t="str">
        <f ca="1">IFERROR(__xludf.DUMMYFUNCTION("""COMPUTED_VALUE"""),"NO HA INICIADO ETAPA PRODUCTIVA")</f>
        <v>NO HA INICIADO ETAPA PRODUCTIVA</v>
      </c>
      <c r="M700" s="40"/>
      <c r="N700" s="40"/>
      <c r="O700" s="40"/>
      <c r="P700" s="40"/>
      <c r="Q700" s="40"/>
      <c r="R700" s="140"/>
      <c r="S700" s="1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t="str">
        <f ca="1">IFERROR(__xludf.DUMMYFUNCTION("""COMPUTED_VALUE"""),"NO_CUMPLE")</f>
        <v>NO_CUMPLE</v>
      </c>
      <c r="AV700" s="40" t="str">
        <f ca="1">IFERROR(__xludf.DUMMYFUNCTION("""COMPUTED_VALUE"""),"EN FORMACION")</f>
        <v>EN FORMACION</v>
      </c>
      <c r="AW700" s="40" t="str">
        <f ca="1">IFERROR(__xludf.DUMMYFUNCTION("""COMPUTED_VALUE"""),"TURISMO")</f>
        <v>TURISMO</v>
      </c>
      <c r="AX700" s="141">
        <f ca="1">IFERROR(__xludf.DUMMYFUNCTION("""COMPUTED_VALUE"""),44839)</f>
        <v>44839</v>
      </c>
      <c r="AY700" s="40">
        <f ca="1">IFERROR(__xludf.DUMMYFUNCTION("""COMPUTED_VALUE"""),7)</f>
        <v>7</v>
      </c>
      <c r="AZ700" s="40">
        <f ca="1">IFERROR(__xludf.DUMMYFUNCTION("""COMPUTED_VALUE"""),1)</f>
        <v>1</v>
      </c>
      <c r="BA700" s="40">
        <f ca="1">IFERROR(__xludf.DUMMYFUNCTION("""COMPUTED_VALUE"""),3)</f>
        <v>3</v>
      </c>
      <c r="BB700" s="40">
        <f ca="1">IFERROR(__xludf.DUMMYFUNCTION("""COMPUTED_VALUE"""),13)</f>
        <v>13</v>
      </c>
      <c r="BC700" s="40">
        <f ca="1">IFERROR(__xludf.DUMMYFUNCTION("""COMPUTED_VALUE"""),24)</f>
        <v>24</v>
      </c>
      <c r="BD700" s="141">
        <f ca="1">IFERROR(__xludf.DUMMYFUNCTION("""COMPUTED_VALUE"""),44552)</f>
        <v>44552</v>
      </c>
      <c r="BE700" s="141">
        <f ca="1">IFERROR(__xludf.DUMMYFUNCTION("""COMPUTED_VALUE"""),44825)</f>
        <v>44825</v>
      </c>
      <c r="BF700" s="141">
        <f ca="1">IFERROR(__xludf.DUMMYFUNCTION("""COMPUTED_VALUE"""),45006)</f>
        <v>45006</v>
      </c>
      <c r="BG700" s="141">
        <f ca="1">IFERROR(__xludf.DUMMYFUNCTION("""COMPUTED_VALUE"""),45556)</f>
        <v>45556</v>
      </c>
      <c r="BH700" s="40" t="str">
        <f ca="1">IFERROR(__xludf.DUMMYFUNCTION("""COMPUTED_VALUE"""),"FICHA EN TIEMPO-18 MESES")</f>
        <v>FICHA EN TIEMPO-18 MESES</v>
      </c>
      <c r="BI700" s="40" t="str">
        <f ca="1">IFERROR(__xludf.DUMMYFUNCTION("""COMPUTED_VALUE"""),"En ejecucion")</f>
        <v>En ejecucion</v>
      </c>
      <c r="BJ700" s="40" t="str">
        <f ca="1">IFERROR(__xludf.DUMMYFUNCTION("""COMPUTED_VALUE"""),"Yamboro")</f>
        <v>Yamboro</v>
      </c>
      <c r="BK700" s="40"/>
      <c r="BL700" s="40"/>
    </row>
    <row r="701" spans="1:64" ht="13">
      <c r="A701" s="40"/>
      <c r="B701" s="40" t="str">
        <f ca="1">IFERROR(__xludf.DUMMYFUNCTION("""COMPUTED_VALUE"""),"FORMACIÓN 18/10/2022")</f>
        <v>FORMACIÓN 18/10/2022</v>
      </c>
      <c r="C701" s="40" t="str">
        <f ca="1">IFERROR(__xludf.DUMMYFUNCTION("""COMPUTED_VALUE"""),"EFRAIN GIL DUCUARA")</f>
        <v>EFRAIN GIL DUCUARA</v>
      </c>
      <c r="D701" s="40" t="str">
        <f ca="1">IFERROR(__xludf.DUMMYFUNCTION("""COMPUTED_VALUE"""),"CC")</f>
        <v>CC</v>
      </c>
      <c r="E701" s="40">
        <f ca="1">IFERROR(__xludf.DUMMYFUNCTION("""COMPUTED_VALUE"""),1078755612)</f>
        <v>1078755612</v>
      </c>
      <c r="F701" s="40">
        <f ca="1">IFERROR(__xludf.DUMMYFUNCTION("""COMPUTED_VALUE"""),2469966)</f>
        <v>2469966</v>
      </c>
      <c r="G701" s="40" t="str">
        <f ca="1">IFERROR(__xludf.DUMMYFUNCTION("""COMPUTED_VALUE"""),"TÉCNICO")</f>
        <v>TÉCNICO</v>
      </c>
      <c r="H701" s="40" t="str">
        <f ca="1">IFERROR(__xludf.DUMMYFUNCTION("""COMPUTED_VALUE"""),"EJECUCION DE PROGRAMAS DEPORTIVOS")</f>
        <v>EJECUCION DE PROGRAMAS DEPORTIVOS</v>
      </c>
      <c r="I701" s="40"/>
      <c r="J701" s="40"/>
      <c r="K701" s="40"/>
      <c r="L701" s="40" t="str">
        <f ca="1">IFERROR(__xludf.DUMMYFUNCTION("""COMPUTED_VALUE"""),"VINCULACIÓN LABORAL")</f>
        <v>VINCULACIÓN LABORAL</v>
      </c>
      <c r="M701" s="40"/>
      <c r="N701" s="40"/>
      <c r="O701" s="40"/>
      <c r="P701" s="40"/>
      <c r="Q701" s="40"/>
      <c r="R701" s="140">
        <f ca="1">IFERROR(__xludf.DUMMYFUNCTION("""COMPUTED_VALUE"""),44786)</f>
        <v>44786</v>
      </c>
      <c r="S701" s="140">
        <f ca="1">IFERROR(__xludf.DUMMYFUNCTION("""COMPUTED_VALUE"""),44969)</f>
        <v>44969</v>
      </c>
      <c r="T701" s="40"/>
      <c r="U701" s="40" t="str">
        <f ca="1">IFERROR(__xludf.DUMMYFUNCTION("""COMPUTED_VALUE"""),"DIANA MARCELA DIAZ - ASIGNADO")</f>
        <v>DIANA MARCELA DIAZ - ASIGNADO</v>
      </c>
      <c r="V701" s="40" t="str">
        <f ca="1">IFERROR(__xludf.DUMMYFUNCTION("""COMPUTED_VALUE"""),"No tiene seguimiento ...Revisado 05/09/2022")</f>
        <v>No tiene seguimiento ...Revisado 05/09/2022</v>
      </c>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t="str">
        <f ca="1">IFERROR(__xludf.DUMMYFUNCTION("""COMPUTED_VALUE"""),"Procede_E_P")</f>
        <v>Procede_E_P</v>
      </c>
      <c r="AV701" s="40" t="str">
        <f ca="1">IFERROR(__xludf.DUMMYFUNCTION("""COMPUTED_VALUE"""),"EN FORMACION")</f>
        <v>EN FORMACION</v>
      </c>
      <c r="AW701" s="40" t="str">
        <f ca="1">IFERROR(__xludf.DUMMYFUNCTION("""COMPUTED_VALUE"""),"TURISMO")</f>
        <v>TURISMO</v>
      </c>
      <c r="AX701" s="141">
        <f ca="1">IFERROR(__xludf.DUMMYFUNCTION("""COMPUTED_VALUE"""),44839)</f>
        <v>44839</v>
      </c>
      <c r="AY701" s="40">
        <f ca="1">IFERROR(__xludf.DUMMYFUNCTION("""COMPUTED_VALUE"""),0)</f>
        <v>0</v>
      </c>
      <c r="AZ701" s="40">
        <f ca="1">IFERROR(__xludf.DUMMYFUNCTION("""COMPUTED_VALUE"""),1)</f>
        <v>1</v>
      </c>
      <c r="BA701" s="40">
        <f ca="1">IFERROR(__xludf.DUMMYFUNCTION("""COMPUTED_VALUE"""),0)</f>
        <v>0</v>
      </c>
      <c r="BB701" s="40">
        <f ca="1">IFERROR(__xludf.DUMMYFUNCTION("""COMPUTED_VALUE"""),0)</f>
        <v>0</v>
      </c>
      <c r="BC701" s="40">
        <f ca="1">IFERROR(__xludf.DUMMYFUNCTION("""COMPUTED_VALUE"""),1)</f>
        <v>1</v>
      </c>
      <c r="BD701" s="141">
        <f ca="1">IFERROR(__xludf.DUMMYFUNCTION("""COMPUTED_VALUE"""),44552)</f>
        <v>44552</v>
      </c>
      <c r="BE701" s="141">
        <f ca="1">IFERROR(__xludf.DUMMYFUNCTION("""COMPUTED_VALUE"""),44825)</f>
        <v>44825</v>
      </c>
      <c r="BF701" s="141">
        <f ca="1">IFERROR(__xludf.DUMMYFUNCTION("""COMPUTED_VALUE"""),45006)</f>
        <v>45006</v>
      </c>
      <c r="BG701" s="141">
        <f ca="1">IFERROR(__xludf.DUMMYFUNCTION("""COMPUTED_VALUE"""),45556)</f>
        <v>45556</v>
      </c>
      <c r="BH701" s="40" t="str">
        <f ca="1">IFERROR(__xludf.DUMMYFUNCTION("""COMPUTED_VALUE"""),"FICHA EN TIEMPO-18 MESES")</f>
        <v>FICHA EN TIEMPO-18 MESES</v>
      </c>
      <c r="BI701" s="40" t="str">
        <f ca="1">IFERROR(__xludf.DUMMYFUNCTION("""COMPUTED_VALUE"""),"En ejecucion")</f>
        <v>En ejecucion</v>
      </c>
      <c r="BJ701" s="40" t="str">
        <f ca="1">IFERROR(__xludf.DUMMYFUNCTION("""COMPUTED_VALUE"""),"Yamboro")</f>
        <v>Yamboro</v>
      </c>
      <c r="BK701" s="40"/>
      <c r="BL701" s="40"/>
    </row>
    <row r="702" spans="1:64" ht="13">
      <c r="A702" s="40"/>
      <c r="B702" s="40" t="str">
        <f ca="1">IFERROR(__xludf.DUMMYFUNCTION("""COMPUTED_VALUE"""),"FORMACIÓN 18/10/2022")</f>
        <v>FORMACIÓN 18/10/2022</v>
      </c>
      <c r="C702" s="40" t="str">
        <f ca="1">IFERROR(__xludf.DUMMYFUNCTION("""COMPUTED_VALUE"""),"JADERSON MANSANARES POLANIA")</f>
        <v>JADERSON MANSANARES POLANIA</v>
      </c>
      <c r="D702" s="40" t="str">
        <f ca="1">IFERROR(__xludf.DUMMYFUNCTION("""COMPUTED_VALUE"""),"CC")</f>
        <v>CC</v>
      </c>
      <c r="E702" s="40">
        <f ca="1">IFERROR(__xludf.DUMMYFUNCTION("""COMPUTED_VALUE"""),1080366355)</f>
        <v>1080366355</v>
      </c>
      <c r="F702" s="40">
        <f ca="1">IFERROR(__xludf.DUMMYFUNCTION("""COMPUTED_VALUE"""),2469966)</f>
        <v>2469966</v>
      </c>
      <c r="G702" s="40" t="str">
        <f ca="1">IFERROR(__xludf.DUMMYFUNCTION("""COMPUTED_VALUE"""),"TÉCNICO")</f>
        <v>TÉCNICO</v>
      </c>
      <c r="H702" s="40" t="str">
        <f ca="1">IFERROR(__xludf.DUMMYFUNCTION("""COMPUTED_VALUE"""),"EJECUCION DE PROGRAMAS DEPORTIVOS")</f>
        <v>EJECUCION DE PROGRAMAS DEPORTIVOS</v>
      </c>
      <c r="I702" s="40"/>
      <c r="J702" s="40"/>
      <c r="K702" s="40"/>
      <c r="L702" s="40" t="str">
        <f ca="1">IFERROR(__xludf.DUMMYFUNCTION("""COMPUTED_VALUE"""),"NO HA INICIADO ETAPA PRODUCTIVA")</f>
        <v>NO HA INICIADO ETAPA PRODUCTIVA</v>
      </c>
      <c r="M702" s="40"/>
      <c r="N702" s="40"/>
      <c r="O702" s="40"/>
      <c r="P702" s="40"/>
      <c r="Q702" s="40"/>
      <c r="R702" s="140"/>
      <c r="S702" s="1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t="str">
        <f ca="1">IFERROR(__xludf.DUMMYFUNCTION("""COMPUTED_VALUE"""),"NO_CUMPLE")</f>
        <v>NO_CUMPLE</v>
      </c>
      <c r="AV702" s="40" t="str">
        <f ca="1">IFERROR(__xludf.DUMMYFUNCTION("""COMPUTED_VALUE"""),"EN FORMACION")</f>
        <v>EN FORMACION</v>
      </c>
      <c r="AW702" s="40" t="str">
        <f ca="1">IFERROR(__xludf.DUMMYFUNCTION("""COMPUTED_VALUE"""),"TURISMO")</f>
        <v>TURISMO</v>
      </c>
      <c r="AX702" s="141">
        <f ca="1">IFERROR(__xludf.DUMMYFUNCTION("""COMPUTED_VALUE"""),44839)</f>
        <v>44839</v>
      </c>
      <c r="AY702" s="40">
        <f ca="1">IFERROR(__xludf.DUMMYFUNCTION("""COMPUTED_VALUE"""),6)</f>
        <v>6</v>
      </c>
      <c r="AZ702" s="40">
        <f ca="1">IFERROR(__xludf.DUMMYFUNCTION("""COMPUTED_VALUE"""),1)</f>
        <v>1</v>
      </c>
      <c r="BA702" s="40">
        <f ca="1">IFERROR(__xludf.DUMMYFUNCTION("""COMPUTED_VALUE"""),7)</f>
        <v>7</v>
      </c>
      <c r="BB702" s="40">
        <f ca="1">IFERROR(__xludf.DUMMYFUNCTION("""COMPUTED_VALUE"""),15)</f>
        <v>15</v>
      </c>
      <c r="BC702" s="40">
        <f ca="1">IFERROR(__xludf.DUMMYFUNCTION("""COMPUTED_VALUE"""),29)</f>
        <v>29</v>
      </c>
      <c r="BD702" s="141">
        <f ca="1">IFERROR(__xludf.DUMMYFUNCTION("""COMPUTED_VALUE"""),44552)</f>
        <v>44552</v>
      </c>
      <c r="BE702" s="141">
        <f ca="1">IFERROR(__xludf.DUMMYFUNCTION("""COMPUTED_VALUE"""),44825)</f>
        <v>44825</v>
      </c>
      <c r="BF702" s="141">
        <f ca="1">IFERROR(__xludf.DUMMYFUNCTION("""COMPUTED_VALUE"""),45006)</f>
        <v>45006</v>
      </c>
      <c r="BG702" s="141">
        <f ca="1">IFERROR(__xludf.DUMMYFUNCTION("""COMPUTED_VALUE"""),45556)</f>
        <v>45556</v>
      </c>
      <c r="BH702" s="40" t="str">
        <f ca="1">IFERROR(__xludf.DUMMYFUNCTION("""COMPUTED_VALUE"""),"FICHA EN TIEMPO-18 MESES")</f>
        <v>FICHA EN TIEMPO-18 MESES</v>
      </c>
      <c r="BI702" s="40" t="str">
        <f ca="1">IFERROR(__xludf.DUMMYFUNCTION("""COMPUTED_VALUE"""),"En ejecucion")</f>
        <v>En ejecucion</v>
      </c>
      <c r="BJ702" s="40" t="str">
        <f ca="1">IFERROR(__xludf.DUMMYFUNCTION("""COMPUTED_VALUE"""),"Yamboro")</f>
        <v>Yamboro</v>
      </c>
      <c r="BK702" s="40"/>
      <c r="BL702" s="40"/>
    </row>
    <row r="703" spans="1:64" ht="13">
      <c r="A703" s="40"/>
      <c r="B703" s="40" t="str">
        <f ca="1">IFERROR(__xludf.DUMMYFUNCTION("""COMPUTED_VALUE"""),"FORMACIÓN 18/10/2022")</f>
        <v>FORMACIÓN 18/10/2022</v>
      </c>
      <c r="C703" s="40" t="str">
        <f ca="1">IFERROR(__xludf.DUMMYFUNCTION("""COMPUTED_VALUE"""),"RUBEN DARIO MEDINA CHAVARRO")</f>
        <v>RUBEN DARIO MEDINA CHAVARRO</v>
      </c>
      <c r="D703" s="40" t="str">
        <f ca="1">IFERROR(__xludf.DUMMYFUNCTION("""COMPUTED_VALUE"""),"CC")</f>
        <v>CC</v>
      </c>
      <c r="E703" s="40">
        <f ca="1">IFERROR(__xludf.DUMMYFUNCTION("""COMPUTED_VALUE"""),1083869937)</f>
        <v>1083869937</v>
      </c>
      <c r="F703" s="40">
        <f ca="1">IFERROR(__xludf.DUMMYFUNCTION("""COMPUTED_VALUE"""),2469966)</f>
        <v>2469966</v>
      </c>
      <c r="G703" s="40" t="str">
        <f ca="1">IFERROR(__xludf.DUMMYFUNCTION("""COMPUTED_VALUE"""),"TÉCNICO")</f>
        <v>TÉCNICO</v>
      </c>
      <c r="H703" s="40" t="str">
        <f ca="1">IFERROR(__xludf.DUMMYFUNCTION("""COMPUTED_VALUE"""),"EJECUCION DE PROGRAMAS DEPORTIVOS")</f>
        <v>EJECUCION DE PROGRAMAS DEPORTIVOS</v>
      </c>
      <c r="I703" s="40"/>
      <c r="J703" s="40"/>
      <c r="K703" s="40"/>
      <c r="L703" s="40" t="str">
        <f ca="1">IFERROR(__xludf.DUMMYFUNCTION("""COMPUTED_VALUE"""),"NO HA INICIADO ETAPA PRODUCTIVA")</f>
        <v>NO HA INICIADO ETAPA PRODUCTIVA</v>
      </c>
      <c r="M703" s="40"/>
      <c r="N703" s="40"/>
      <c r="O703" s="40"/>
      <c r="P703" s="40"/>
      <c r="Q703" s="40"/>
      <c r="R703" s="140"/>
      <c r="S703" s="1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t="str">
        <f ca="1">IFERROR(__xludf.DUMMYFUNCTION("""COMPUTED_VALUE"""),"NO_CUMPLE")</f>
        <v>NO_CUMPLE</v>
      </c>
      <c r="AV703" s="40" t="str">
        <f ca="1">IFERROR(__xludf.DUMMYFUNCTION("""COMPUTED_VALUE"""),"EN FORMACION")</f>
        <v>EN FORMACION</v>
      </c>
      <c r="AW703" s="40" t="str">
        <f ca="1">IFERROR(__xludf.DUMMYFUNCTION("""COMPUTED_VALUE"""),"TURISMO")</f>
        <v>TURISMO</v>
      </c>
      <c r="AX703" s="141">
        <f ca="1">IFERROR(__xludf.DUMMYFUNCTION("""COMPUTED_VALUE"""),44839)</f>
        <v>44839</v>
      </c>
      <c r="AY703" s="40">
        <f ca="1">IFERROR(__xludf.DUMMYFUNCTION("""COMPUTED_VALUE"""),6)</f>
        <v>6</v>
      </c>
      <c r="AZ703" s="40">
        <f ca="1">IFERROR(__xludf.DUMMYFUNCTION("""COMPUTED_VALUE"""),1)</f>
        <v>1</v>
      </c>
      <c r="BA703" s="40">
        <f ca="1">IFERROR(__xludf.DUMMYFUNCTION("""COMPUTED_VALUE"""),7)</f>
        <v>7</v>
      </c>
      <c r="BB703" s="40">
        <f ca="1">IFERROR(__xludf.DUMMYFUNCTION("""COMPUTED_VALUE"""),15)</f>
        <v>15</v>
      </c>
      <c r="BC703" s="40">
        <f ca="1">IFERROR(__xludf.DUMMYFUNCTION("""COMPUTED_VALUE"""),29)</f>
        <v>29</v>
      </c>
      <c r="BD703" s="141">
        <f ca="1">IFERROR(__xludf.DUMMYFUNCTION("""COMPUTED_VALUE"""),44552)</f>
        <v>44552</v>
      </c>
      <c r="BE703" s="141">
        <f ca="1">IFERROR(__xludf.DUMMYFUNCTION("""COMPUTED_VALUE"""),44825)</f>
        <v>44825</v>
      </c>
      <c r="BF703" s="141">
        <f ca="1">IFERROR(__xludf.DUMMYFUNCTION("""COMPUTED_VALUE"""),45006)</f>
        <v>45006</v>
      </c>
      <c r="BG703" s="141">
        <f ca="1">IFERROR(__xludf.DUMMYFUNCTION("""COMPUTED_VALUE"""),45556)</f>
        <v>45556</v>
      </c>
      <c r="BH703" s="40" t="str">
        <f ca="1">IFERROR(__xludf.DUMMYFUNCTION("""COMPUTED_VALUE"""),"FICHA EN TIEMPO-18 MESES")</f>
        <v>FICHA EN TIEMPO-18 MESES</v>
      </c>
      <c r="BI703" s="40" t="str">
        <f ca="1">IFERROR(__xludf.DUMMYFUNCTION("""COMPUTED_VALUE"""),"En ejecucion")</f>
        <v>En ejecucion</v>
      </c>
      <c r="BJ703" s="40" t="str">
        <f ca="1">IFERROR(__xludf.DUMMYFUNCTION("""COMPUTED_VALUE"""),"Yamboro")</f>
        <v>Yamboro</v>
      </c>
      <c r="BK703" s="40"/>
      <c r="BL703" s="40"/>
    </row>
    <row r="704" spans="1:64" ht="13">
      <c r="A704" s="40"/>
      <c r="B704" s="40" t="str">
        <f ca="1">IFERROR(__xludf.DUMMYFUNCTION("""COMPUTED_VALUE"""),"FORMACIÓN 18/10/2022")</f>
        <v>FORMACIÓN 18/10/2022</v>
      </c>
      <c r="C704" s="40" t="str">
        <f ca="1">IFERROR(__xludf.DUMMYFUNCTION("""COMPUTED_VALUE"""),"BREYNER STIVEN NARVAEZ BOTINA")</f>
        <v>BREYNER STIVEN NARVAEZ BOTINA</v>
      </c>
      <c r="D704" s="40" t="str">
        <f ca="1">IFERROR(__xludf.DUMMYFUNCTION("""COMPUTED_VALUE"""),"TI")</f>
        <v>TI</v>
      </c>
      <c r="E704" s="40">
        <f ca="1">IFERROR(__xludf.DUMMYFUNCTION("""COMPUTED_VALUE"""),1083877022)</f>
        <v>1083877022</v>
      </c>
      <c r="F704" s="40">
        <f ca="1">IFERROR(__xludf.DUMMYFUNCTION("""COMPUTED_VALUE"""),2469966)</f>
        <v>2469966</v>
      </c>
      <c r="G704" s="40" t="str">
        <f ca="1">IFERROR(__xludf.DUMMYFUNCTION("""COMPUTED_VALUE"""),"TÉCNICO")</f>
        <v>TÉCNICO</v>
      </c>
      <c r="H704" s="40" t="str">
        <f ca="1">IFERROR(__xludf.DUMMYFUNCTION("""COMPUTED_VALUE"""),"EJECUCION DE PROGRAMAS DEPORTIVOS")</f>
        <v>EJECUCION DE PROGRAMAS DEPORTIVOS</v>
      </c>
      <c r="I704" s="40"/>
      <c r="J704" s="40"/>
      <c r="K704" s="40"/>
      <c r="L704" s="40" t="str">
        <f ca="1">IFERROR(__xludf.DUMMYFUNCTION("""COMPUTED_VALUE"""),"NO HA INICIADO ETAPA PRODUCTIVA")</f>
        <v>NO HA INICIADO ETAPA PRODUCTIVA</v>
      </c>
      <c r="M704" s="40"/>
      <c r="N704" s="40"/>
      <c r="O704" s="40"/>
      <c r="P704" s="40"/>
      <c r="Q704" s="40"/>
      <c r="R704" s="140"/>
      <c r="S704" s="1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t="str">
        <f ca="1">IFERROR(__xludf.DUMMYFUNCTION("""COMPUTED_VALUE"""),"NO_CUMPLE")</f>
        <v>NO_CUMPLE</v>
      </c>
      <c r="AV704" s="40" t="str">
        <f ca="1">IFERROR(__xludf.DUMMYFUNCTION("""COMPUTED_VALUE"""),"EN FORMACION")</f>
        <v>EN FORMACION</v>
      </c>
      <c r="AW704" s="40" t="str">
        <f ca="1">IFERROR(__xludf.DUMMYFUNCTION("""COMPUTED_VALUE"""),"TURISMO")</f>
        <v>TURISMO</v>
      </c>
      <c r="AX704" s="141">
        <f ca="1">IFERROR(__xludf.DUMMYFUNCTION("""COMPUTED_VALUE"""),44839)</f>
        <v>44839</v>
      </c>
      <c r="AY704" s="40">
        <f ca="1">IFERROR(__xludf.DUMMYFUNCTION("""COMPUTED_VALUE"""),14)</f>
        <v>14</v>
      </c>
      <c r="AZ704" s="40">
        <f ca="1">IFERROR(__xludf.DUMMYFUNCTION("""COMPUTED_VALUE"""),1)</f>
        <v>1</v>
      </c>
      <c r="BA704" s="40">
        <f ca="1">IFERROR(__xludf.DUMMYFUNCTION("""COMPUTED_VALUE"""),7)</f>
        <v>7</v>
      </c>
      <c r="BB704" s="40">
        <f ca="1">IFERROR(__xludf.DUMMYFUNCTION("""COMPUTED_VALUE"""),20)</f>
        <v>20</v>
      </c>
      <c r="BC704" s="40">
        <f ca="1">IFERROR(__xludf.DUMMYFUNCTION("""COMPUTED_VALUE"""),42)</f>
        <v>42</v>
      </c>
      <c r="BD704" s="141">
        <f ca="1">IFERROR(__xludf.DUMMYFUNCTION("""COMPUTED_VALUE"""),44552)</f>
        <v>44552</v>
      </c>
      <c r="BE704" s="141">
        <f ca="1">IFERROR(__xludf.DUMMYFUNCTION("""COMPUTED_VALUE"""),44825)</f>
        <v>44825</v>
      </c>
      <c r="BF704" s="141">
        <f ca="1">IFERROR(__xludf.DUMMYFUNCTION("""COMPUTED_VALUE"""),45006)</f>
        <v>45006</v>
      </c>
      <c r="BG704" s="141">
        <f ca="1">IFERROR(__xludf.DUMMYFUNCTION("""COMPUTED_VALUE"""),45556)</f>
        <v>45556</v>
      </c>
      <c r="BH704" s="40" t="str">
        <f ca="1">IFERROR(__xludf.DUMMYFUNCTION("""COMPUTED_VALUE"""),"FICHA EN TIEMPO-18 MESES")</f>
        <v>FICHA EN TIEMPO-18 MESES</v>
      </c>
      <c r="BI704" s="40" t="str">
        <f ca="1">IFERROR(__xludf.DUMMYFUNCTION("""COMPUTED_VALUE"""),"En ejecucion")</f>
        <v>En ejecucion</v>
      </c>
      <c r="BJ704" s="40" t="str">
        <f ca="1">IFERROR(__xludf.DUMMYFUNCTION("""COMPUTED_VALUE"""),"Yamboro")</f>
        <v>Yamboro</v>
      </c>
      <c r="BK704" s="40"/>
      <c r="BL704" s="40"/>
    </row>
    <row r="705" spans="1:64" ht="13">
      <c r="A705" s="40"/>
      <c r="B705" s="40" t="str">
        <f ca="1">IFERROR(__xludf.DUMMYFUNCTION("""COMPUTED_VALUE"""),"FORMACIÓN 18/10/2022")</f>
        <v>FORMACIÓN 18/10/2022</v>
      </c>
      <c r="C705" s="40" t="str">
        <f ca="1">IFERROR(__xludf.DUMMYFUNCTION("""COMPUTED_VALUE"""),"LEIBER SMITH MORALES GONZALEZ")</f>
        <v>LEIBER SMITH MORALES GONZALEZ</v>
      </c>
      <c r="D705" s="40" t="str">
        <f ca="1">IFERROR(__xludf.DUMMYFUNCTION("""COMPUTED_VALUE"""),"TI")</f>
        <v>TI</v>
      </c>
      <c r="E705" s="40">
        <f ca="1">IFERROR(__xludf.DUMMYFUNCTION("""COMPUTED_VALUE"""),1084330596)</f>
        <v>1084330596</v>
      </c>
      <c r="F705" s="40">
        <f ca="1">IFERROR(__xludf.DUMMYFUNCTION("""COMPUTED_VALUE"""),2469966)</f>
        <v>2469966</v>
      </c>
      <c r="G705" s="40" t="str">
        <f ca="1">IFERROR(__xludf.DUMMYFUNCTION("""COMPUTED_VALUE"""),"TÉCNICO")</f>
        <v>TÉCNICO</v>
      </c>
      <c r="H705" s="40" t="str">
        <f ca="1">IFERROR(__xludf.DUMMYFUNCTION("""COMPUTED_VALUE"""),"EJECUCION DE PROGRAMAS DEPORTIVOS")</f>
        <v>EJECUCION DE PROGRAMAS DEPORTIVOS</v>
      </c>
      <c r="I705" s="40"/>
      <c r="J705" s="40"/>
      <c r="K705" s="40"/>
      <c r="L705" s="40" t="str">
        <f ca="1">IFERROR(__xludf.DUMMYFUNCTION("""COMPUTED_VALUE"""),"NO HA INICIADO ETAPA PRODUCTIVA")</f>
        <v>NO HA INICIADO ETAPA PRODUCTIVA</v>
      </c>
      <c r="M705" s="40"/>
      <c r="N705" s="40"/>
      <c r="O705" s="40"/>
      <c r="P705" s="40"/>
      <c r="Q705" s="40"/>
      <c r="R705" s="140"/>
      <c r="S705" s="1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t="str">
        <f ca="1">IFERROR(__xludf.DUMMYFUNCTION("""COMPUTED_VALUE"""),"NO_CUMPLE")</f>
        <v>NO_CUMPLE</v>
      </c>
      <c r="AV705" s="40" t="str">
        <f ca="1">IFERROR(__xludf.DUMMYFUNCTION("""COMPUTED_VALUE"""),"EN FORMACION")</f>
        <v>EN FORMACION</v>
      </c>
      <c r="AW705" s="40" t="str">
        <f ca="1">IFERROR(__xludf.DUMMYFUNCTION("""COMPUTED_VALUE"""),"TURISMO")</f>
        <v>TURISMO</v>
      </c>
      <c r="AX705" s="141">
        <f ca="1">IFERROR(__xludf.DUMMYFUNCTION("""COMPUTED_VALUE"""),44839)</f>
        <v>44839</v>
      </c>
      <c r="AY705" s="40">
        <f ca="1">IFERROR(__xludf.DUMMYFUNCTION("""COMPUTED_VALUE"""),14)</f>
        <v>14</v>
      </c>
      <c r="AZ705" s="40">
        <f ca="1">IFERROR(__xludf.DUMMYFUNCTION("""COMPUTED_VALUE"""),1)</f>
        <v>1</v>
      </c>
      <c r="BA705" s="40">
        <f ca="1">IFERROR(__xludf.DUMMYFUNCTION("""COMPUTED_VALUE"""),7)</f>
        <v>7</v>
      </c>
      <c r="BB705" s="40">
        <f ca="1">IFERROR(__xludf.DUMMYFUNCTION("""COMPUTED_VALUE"""),20)</f>
        <v>20</v>
      </c>
      <c r="BC705" s="40">
        <f ca="1">IFERROR(__xludf.DUMMYFUNCTION("""COMPUTED_VALUE"""),42)</f>
        <v>42</v>
      </c>
      <c r="BD705" s="141">
        <f ca="1">IFERROR(__xludf.DUMMYFUNCTION("""COMPUTED_VALUE"""),44552)</f>
        <v>44552</v>
      </c>
      <c r="BE705" s="141">
        <f ca="1">IFERROR(__xludf.DUMMYFUNCTION("""COMPUTED_VALUE"""),44825)</f>
        <v>44825</v>
      </c>
      <c r="BF705" s="141">
        <f ca="1">IFERROR(__xludf.DUMMYFUNCTION("""COMPUTED_VALUE"""),45006)</f>
        <v>45006</v>
      </c>
      <c r="BG705" s="141">
        <f ca="1">IFERROR(__xludf.DUMMYFUNCTION("""COMPUTED_VALUE"""),45556)</f>
        <v>45556</v>
      </c>
      <c r="BH705" s="40" t="str">
        <f ca="1">IFERROR(__xludf.DUMMYFUNCTION("""COMPUTED_VALUE"""),"FICHA EN TIEMPO-18 MESES")</f>
        <v>FICHA EN TIEMPO-18 MESES</v>
      </c>
      <c r="BI705" s="40" t="str">
        <f ca="1">IFERROR(__xludf.DUMMYFUNCTION("""COMPUTED_VALUE"""),"En ejecucion")</f>
        <v>En ejecucion</v>
      </c>
      <c r="BJ705" s="40" t="str">
        <f ca="1">IFERROR(__xludf.DUMMYFUNCTION("""COMPUTED_VALUE"""),"Yamboro")</f>
        <v>Yamboro</v>
      </c>
      <c r="BK705" s="40"/>
      <c r="BL705" s="40"/>
    </row>
    <row r="706" spans="1:64" ht="13">
      <c r="A706" s="40"/>
      <c r="B706" s="40" t="str">
        <f ca="1">IFERROR(__xludf.DUMMYFUNCTION("""COMPUTED_VALUE"""),"FORMACIÓN 18/10/2022")</f>
        <v>FORMACIÓN 18/10/2022</v>
      </c>
      <c r="C706" s="40" t="str">
        <f ca="1">IFERROR(__xludf.DUMMYFUNCTION("""COMPUTED_VALUE"""),"LUIS FERNANDO MENDEZ VALDERRAMA")</f>
        <v>LUIS FERNANDO MENDEZ VALDERRAMA</v>
      </c>
      <c r="D706" s="40" t="str">
        <f ca="1">IFERROR(__xludf.DUMMYFUNCTION("""COMPUTED_VALUE"""),"CC")</f>
        <v>CC</v>
      </c>
      <c r="E706" s="40">
        <f ca="1">IFERROR(__xludf.DUMMYFUNCTION("""COMPUTED_VALUE"""),1117807030)</f>
        <v>1117807030</v>
      </c>
      <c r="F706" s="40">
        <f ca="1">IFERROR(__xludf.DUMMYFUNCTION("""COMPUTED_VALUE"""),2469966)</f>
        <v>2469966</v>
      </c>
      <c r="G706" s="40" t="str">
        <f ca="1">IFERROR(__xludf.DUMMYFUNCTION("""COMPUTED_VALUE"""),"TÉCNICO")</f>
        <v>TÉCNICO</v>
      </c>
      <c r="H706" s="40" t="str">
        <f ca="1">IFERROR(__xludf.DUMMYFUNCTION("""COMPUTED_VALUE"""),"EJECUCION DE PROGRAMAS DEPORTIVOS")</f>
        <v>EJECUCION DE PROGRAMAS DEPORTIVOS</v>
      </c>
      <c r="I706" s="40"/>
      <c r="J706" s="40"/>
      <c r="K706" s="40"/>
      <c r="L706" s="40" t="str">
        <f ca="1">IFERROR(__xludf.DUMMYFUNCTION("""COMPUTED_VALUE"""),"NO HA INICIADO ETAPA PRODUCTIVA")</f>
        <v>NO HA INICIADO ETAPA PRODUCTIVA</v>
      </c>
      <c r="M706" s="40"/>
      <c r="N706" s="40"/>
      <c r="O706" s="40"/>
      <c r="P706" s="40"/>
      <c r="Q706" s="40"/>
      <c r="R706" s="140"/>
      <c r="S706" s="1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t="str">
        <f ca="1">IFERROR(__xludf.DUMMYFUNCTION("""COMPUTED_VALUE"""),"NO_CUMPLE")</f>
        <v>NO_CUMPLE</v>
      </c>
      <c r="AV706" s="40" t="str">
        <f ca="1">IFERROR(__xludf.DUMMYFUNCTION("""COMPUTED_VALUE"""),"EN FORMACION")</f>
        <v>EN FORMACION</v>
      </c>
      <c r="AW706" s="40" t="str">
        <f ca="1">IFERROR(__xludf.DUMMYFUNCTION("""COMPUTED_VALUE"""),"TURISMO")</f>
        <v>TURISMO</v>
      </c>
      <c r="AX706" s="141">
        <f ca="1">IFERROR(__xludf.DUMMYFUNCTION("""COMPUTED_VALUE"""),44839)</f>
        <v>44839</v>
      </c>
      <c r="AY706" s="40">
        <f ca="1">IFERROR(__xludf.DUMMYFUNCTION("""COMPUTED_VALUE"""),14)</f>
        <v>14</v>
      </c>
      <c r="AZ706" s="40">
        <f ca="1">IFERROR(__xludf.DUMMYFUNCTION("""COMPUTED_VALUE"""),1)</f>
        <v>1</v>
      </c>
      <c r="BA706" s="40">
        <f ca="1">IFERROR(__xludf.DUMMYFUNCTION("""COMPUTED_VALUE"""),7)</f>
        <v>7</v>
      </c>
      <c r="BB706" s="40">
        <f ca="1">IFERROR(__xludf.DUMMYFUNCTION("""COMPUTED_VALUE"""),20)</f>
        <v>20</v>
      </c>
      <c r="BC706" s="40">
        <f ca="1">IFERROR(__xludf.DUMMYFUNCTION("""COMPUTED_VALUE"""),42)</f>
        <v>42</v>
      </c>
      <c r="BD706" s="141">
        <f ca="1">IFERROR(__xludf.DUMMYFUNCTION("""COMPUTED_VALUE"""),44552)</f>
        <v>44552</v>
      </c>
      <c r="BE706" s="141">
        <f ca="1">IFERROR(__xludf.DUMMYFUNCTION("""COMPUTED_VALUE"""),44825)</f>
        <v>44825</v>
      </c>
      <c r="BF706" s="141">
        <f ca="1">IFERROR(__xludf.DUMMYFUNCTION("""COMPUTED_VALUE"""),45006)</f>
        <v>45006</v>
      </c>
      <c r="BG706" s="141">
        <f ca="1">IFERROR(__xludf.DUMMYFUNCTION("""COMPUTED_VALUE"""),45556)</f>
        <v>45556</v>
      </c>
      <c r="BH706" s="40" t="str">
        <f ca="1">IFERROR(__xludf.DUMMYFUNCTION("""COMPUTED_VALUE"""),"FICHA EN TIEMPO-18 MESES")</f>
        <v>FICHA EN TIEMPO-18 MESES</v>
      </c>
      <c r="BI706" s="40" t="str">
        <f ca="1">IFERROR(__xludf.DUMMYFUNCTION("""COMPUTED_VALUE"""),"En ejecucion")</f>
        <v>En ejecucion</v>
      </c>
      <c r="BJ706" s="40" t="str">
        <f ca="1">IFERROR(__xludf.DUMMYFUNCTION("""COMPUTED_VALUE"""),"Yamboro")</f>
        <v>Yamboro</v>
      </c>
      <c r="BK706" s="40"/>
      <c r="BL706" s="40"/>
    </row>
    <row r="707" spans="1:64" ht="13">
      <c r="A707" s="40"/>
      <c r="B707" s="40" t="str">
        <f ca="1">IFERROR(__xludf.DUMMYFUNCTION("""COMPUTED_VALUE"""),"FORMACIÓN 18/10/2022")</f>
        <v>FORMACIÓN 18/10/2022</v>
      </c>
      <c r="C707" s="40" t="str">
        <f ca="1">IFERROR(__xludf.DUMMYFUNCTION("""COMPUTED_VALUE"""),"ANYI ROCIO COLLAZOS SOTO")</f>
        <v>ANYI ROCIO COLLAZOS SOTO</v>
      </c>
      <c r="D707" s="40" t="str">
        <f ca="1">IFERROR(__xludf.DUMMYFUNCTION("""COMPUTED_VALUE"""),"CC")</f>
        <v>CC</v>
      </c>
      <c r="E707" s="40">
        <f ca="1">IFERROR(__xludf.DUMMYFUNCTION("""COMPUTED_VALUE"""),1118027875)</f>
        <v>1118027875</v>
      </c>
      <c r="F707" s="40">
        <f ca="1">IFERROR(__xludf.DUMMYFUNCTION("""COMPUTED_VALUE"""),2469966)</f>
        <v>2469966</v>
      </c>
      <c r="G707" s="40" t="str">
        <f ca="1">IFERROR(__xludf.DUMMYFUNCTION("""COMPUTED_VALUE"""),"TÉCNICO")</f>
        <v>TÉCNICO</v>
      </c>
      <c r="H707" s="40" t="str">
        <f ca="1">IFERROR(__xludf.DUMMYFUNCTION("""COMPUTED_VALUE"""),"EJECUCION DE PROGRAMAS DEPORTIVOS")</f>
        <v>EJECUCION DE PROGRAMAS DEPORTIVOS</v>
      </c>
      <c r="I707" s="40"/>
      <c r="J707" s="40"/>
      <c r="K707" s="40"/>
      <c r="L707" s="40" t="str">
        <f ca="1">IFERROR(__xludf.DUMMYFUNCTION("""COMPUTED_VALUE"""),"PASANTÍAS")</f>
        <v>PASANTÍAS</v>
      </c>
      <c r="M707" s="40" t="str">
        <f ca="1">IFERROR(__xludf.DUMMYFUNCTION("""COMPUTED_VALUE"""),"ALCALDIA MUNICIPAL")</f>
        <v>ALCALDIA MUNICIPAL</v>
      </c>
      <c r="N707" s="40" t="str">
        <f ca="1">IFERROR(__xludf.DUMMYFUNCTION("""COMPUTED_VALUE"""),"CRRA 4 N° 9-02 ESQUINA")</f>
        <v>CRRA 4 N° 9-02 ESQUINA</v>
      </c>
      <c r="O707" s="40">
        <f ca="1">IFERROR(__xludf.DUMMYFUNCTION("""COMPUTED_VALUE"""),3228635356)</f>
        <v>3228635356</v>
      </c>
      <c r="P707" s="40" t="str">
        <f ca="1">IFERROR(__xludf.DUMMYFUNCTION("""COMPUTED_VALUE"""),"ACEVEDO")</f>
        <v>ACEVEDO</v>
      </c>
      <c r="Q707" s="40" t="str">
        <f ca="1">IFERROR(__xludf.DUMMYFUNCTION("""COMPUTED_VALUE"""),"alcadia@acevedo-huila-gov.co")</f>
        <v>alcadia@acevedo-huila-gov.co</v>
      </c>
      <c r="R707" s="140">
        <f ca="1">IFERROR(__xludf.DUMMYFUNCTION("""COMPUTED_VALUE"""),44826)</f>
        <v>44826</v>
      </c>
      <c r="S707" s="140">
        <f ca="1">IFERROR(__xludf.DUMMYFUNCTION("""COMPUTED_VALUE"""),45008)</f>
        <v>45008</v>
      </c>
      <c r="T707" s="40"/>
      <c r="U707" s="40"/>
      <c r="V707" s="40"/>
      <c r="W707" s="40" t="str">
        <f ca="1">IFERROR(__xludf.DUMMYFUNCTION("""COMPUTED_VALUE"""),"por asignar")</f>
        <v>por asignar</v>
      </c>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t="str">
        <f ca="1">IFERROR(__xludf.DUMMYFUNCTION("""COMPUTED_VALUE"""),"Procede_E_P")</f>
        <v>Procede_E_P</v>
      </c>
      <c r="AV707" s="40" t="str">
        <f ca="1">IFERROR(__xludf.DUMMYFUNCTION("""COMPUTED_VALUE"""),"EN FORMACION")</f>
        <v>EN FORMACION</v>
      </c>
      <c r="AW707" s="40" t="str">
        <f ca="1">IFERROR(__xludf.DUMMYFUNCTION("""COMPUTED_VALUE"""),"TURISMO")</f>
        <v>TURISMO</v>
      </c>
      <c r="AX707" s="141">
        <f ca="1">IFERROR(__xludf.DUMMYFUNCTION("""COMPUTED_VALUE"""),44839)</f>
        <v>44839</v>
      </c>
      <c r="AY707" s="40">
        <f ca="1">IFERROR(__xludf.DUMMYFUNCTION("""COMPUTED_VALUE"""),0)</f>
        <v>0</v>
      </c>
      <c r="AZ707" s="40">
        <f ca="1">IFERROR(__xludf.DUMMYFUNCTION("""COMPUTED_VALUE"""),1)</f>
        <v>1</v>
      </c>
      <c r="BA707" s="40">
        <f ca="1">IFERROR(__xludf.DUMMYFUNCTION("""COMPUTED_VALUE"""),0)</f>
        <v>0</v>
      </c>
      <c r="BB707" s="40">
        <f ca="1">IFERROR(__xludf.DUMMYFUNCTION("""COMPUTED_VALUE"""),0)</f>
        <v>0</v>
      </c>
      <c r="BC707" s="40">
        <f ca="1">IFERROR(__xludf.DUMMYFUNCTION("""COMPUTED_VALUE"""),1)</f>
        <v>1</v>
      </c>
      <c r="BD707" s="141">
        <f ca="1">IFERROR(__xludf.DUMMYFUNCTION("""COMPUTED_VALUE"""),44552)</f>
        <v>44552</v>
      </c>
      <c r="BE707" s="141">
        <f ca="1">IFERROR(__xludf.DUMMYFUNCTION("""COMPUTED_VALUE"""),44825)</f>
        <v>44825</v>
      </c>
      <c r="BF707" s="141">
        <f ca="1">IFERROR(__xludf.DUMMYFUNCTION("""COMPUTED_VALUE"""),45006)</f>
        <v>45006</v>
      </c>
      <c r="BG707" s="141">
        <f ca="1">IFERROR(__xludf.DUMMYFUNCTION("""COMPUTED_VALUE"""),45556)</f>
        <v>45556</v>
      </c>
      <c r="BH707" s="40" t="str">
        <f ca="1">IFERROR(__xludf.DUMMYFUNCTION("""COMPUTED_VALUE"""),"FICHA EN TIEMPO-18 MESES")</f>
        <v>FICHA EN TIEMPO-18 MESES</v>
      </c>
      <c r="BI707" s="40" t="str">
        <f ca="1">IFERROR(__xludf.DUMMYFUNCTION("""COMPUTED_VALUE"""),"En ejecucion")</f>
        <v>En ejecucion</v>
      </c>
      <c r="BJ707" s="40" t="str">
        <f ca="1">IFERROR(__xludf.DUMMYFUNCTION("""COMPUTED_VALUE"""),"Yamboro")</f>
        <v>Yamboro</v>
      </c>
      <c r="BK707" s="40"/>
      <c r="BL707" s="40"/>
    </row>
    <row r="708" spans="1:64" ht="13">
      <c r="A708" s="40"/>
      <c r="B708" s="40" t="str">
        <f ca="1">IFERROR(__xludf.DUMMYFUNCTION("""COMPUTED_VALUE"""),"FORMACIÓN 18/10/2022")</f>
        <v>FORMACIÓN 18/10/2022</v>
      </c>
      <c r="C708" s="40" t="str">
        <f ca="1">IFERROR(__xludf.DUMMYFUNCTION("""COMPUTED_VALUE"""),"ERNEY PERDOMO FIGUEROA")</f>
        <v>ERNEY PERDOMO FIGUEROA</v>
      </c>
      <c r="D708" s="40" t="str">
        <f ca="1">IFERROR(__xludf.DUMMYFUNCTION("""COMPUTED_VALUE"""),"CC")</f>
        <v>CC</v>
      </c>
      <c r="E708" s="40">
        <f ca="1">IFERROR(__xludf.DUMMYFUNCTION("""COMPUTED_VALUE"""),1126456187)</f>
        <v>1126456187</v>
      </c>
      <c r="F708" s="40">
        <f ca="1">IFERROR(__xludf.DUMMYFUNCTION("""COMPUTED_VALUE"""),2469966)</f>
        <v>2469966</v>
      </c>
      <c r="G708" s="40" t="str">
        <f ca="1">IFERROR(__xludf.DUMMYFUNCTION("""COMPUTED_VALUE"""),"TÉCNICO")</f>
        <v>TÉCNICO</v>
      </c>
      <c r="H708" s="40" t="str">
        <f ca="1">IFERROR(__xludf.DUMMYFUNCTION("""COMPUTED_VALUE"""),"EJECUCION DE PROGRAMAS DEPORTIVOS")</f>
        <v>EJECUCION DE PROGRAMAS DEPORTIVOS</v>
      </c>
      <c r="I708" s="40"/>
      <c r="J708" s="40"/>
      <c r="K708" s="40"/>
      <c r="L708" s="40" t="str">
        <f ca="1">IFERROR(__xludf.DUMMYFUNCTION("""COMPUTED_VALUE"""),"PASANTÍAS")</f>
        <v>PASANTÍAS</v>
      </c>
      <c r="M708" s="40" t="str">
        <f ca="1">IFERROR(__xludf.DUMMYFUNCTION("""COMPUTED_VALUE"""),"ALCALDIA MUNICIPAL ACEVEDO HUILA")</f>
        <v>ALCALDIA MUNICIPAL ACEVEDO HUILA</v>
      </c>
      <c r="N708" s="40" t="str">
        <f ca="1">IFERROR(__xludf.DUMMYFUNCTION("""COMPUTED_VALUE"""),"ACEVEDO")</f>
        <v>ACEVEDO</v>
      </c>
      <c r="O708" s="40">
        <f ca="1">IFERROR(__xludf.DUMMYFUNCTION("""COMPUTED_VALUE"""),88317006)</f>
        <v>88317006</v>
      </c>
      <c r="P708" s="40" t="str">
        <f ca="1">IFERROR(__xludf.DUMMYFUNCTION("""COMPUTED_VALUE"""),"ACEVEDO")</f>
        <v>ACEVEDO</v>
      </c>
      <c r="Q708" s="40" t="str">
        <f ca="1">IFERROR(__xludf.DUMMYFUNCTION("""COMPUTED_VALUE"""),"alcadia@acevedo-huila-gov.co")</f>
        <v>alcadia@acevedo-huila-gov.co</v>
      </c>
      <c r="R708" s="140">
        <f ca="1">IFERROR(__xludf.DUMMYFUNCTION("""COMPUTED_VALUE"""),44838)</f>
        <v>44838</v>
      </c>
      <c r="S708" s="140">
        <f ca="1">IFERROR(__xludf.DUMMYFUNCTION("""COMPUTED_VALUE"""),45021)</f>
        <v>45021</v>
      </c>
      <c r="T708" s="40"/>
      <c r="U708" s="40" t="str">
        <f ca="1">IFERROR(__xludf.DUMMYFUNCTION("""COMPUTED_VALUE"""),"DIANA MARCELA DIAZ ")</f>
        <v xml:space="preserve">DIANA MARCELA DIAZ </v>
      </c>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t="str">
        <f ca="1">IFERROR(__xludf.DUMMYFUNCTION("""COMPUTED_VALUE"""),"Procede_E_P")</f>
        <v>Procede_E_P</v>
      </c>
      <c r="AV708" s="40" t="str">
        <f ca="1">IFERROR(__xludf.DUMMYFUNCTION("""COMPUTED_VALUE"""),"EN FORMACION")</f>
        <v>EN FORMACION</v>
      </c>
      <c r="AW708" s="40" t="str">
        <f ca="1">IFERROR(__xludf.DUMMYFUNCTION("""COMPUTED_VALUE"""),"TURISMO")</f>
        <v>TURISMO</v>
      </c>
      <c r="AX708" s="141">
        <f ca="1">IFERROR(__xludf.DUMMYFUNCTION("""COMPUTED_VALUE"""),44839)</f>
        <v>44839</v>
      </c>
      <c r="AY708" s="40">
        <f ca="1">IFERROR(__xludf.DUMMYFUNCTION("""COMPUTED_VALUE"""),0)</f>
        <v>0</v>
      </c>
      <c r="AZ708" s="40">
        <f ca="1">IFERROR(__xludf.DUMMYFUNCTION("""COMPUTED_VALUE"""),1)</f>
        <v>1</v>
      </c>
      <c r="BA708" s="40">
        <f ca="1">IFERROR(__xludf.DUMMYFUNCTION("""COMPUTED_VALUE"""),0)</f>
        <v>0</v>
      </c>
      <c r="BB708" s="40">
        <f ca="1">IFERROR(__xludf.DUMMYFUNCTION("""COMPUTED_VALUE"""),0)</f>
        <v>0</v>
      </c>
      <c r="BC708" s="40">
        <f ca="1">IFERROR(__xludf.DUMMYFUNCTION("""COMPUTED_VALUE"""),1)</f>
        <v>1</v>
      </c>
      <c r="BD708" s="141">
        <f ca="1">IFERROR(__xludf.DUMMYFUNCTION("""COMPUTED_VALUE"""),44552)</f>
        <v>44552</v>
      </c>
      <c r="BE708" s="141">
        <f ca="1">IFERROR(__xludf.DUMMYFUNCTION("""COMPUTED_VALUE"""),44825)</f>
        <v>44825</v>
      </c>
      <c r="BF708" s="141">
        <f ca="1">IFERROR(__xludf.DUMMYFUNCTION("""COMPUTED_VALUE"""),45006)</f>
        <v>45006</v>
      </c>
      <c r="BG708" s="141">
        <f ca="1">IFERROR(__xludf.DUMMYFUNCTION("""COMPUTED_VALUE"""),45556)</f>
        <v>45556</v>
      </c>
      <c r="BH708" s="40" t="str">
        <f ca="1">IFERROR(__xludf.DUMMYFUNCTION("""COMPUTED_VALUE"""),"FICHA EN TIEMPO-18 MESES")</f>
        <v>FICHA EN TIEMPO-18 MESES</v>
      </c>
      <c r="BI708" s="40" t="str">
        <f ca="1">IFERROR(__xludf.DUMMYFUNCTION("""COMPUTED_VALUE"""),"En ejecucion")</f>
        <v>En ejecucion</v>
      </c>
      <c r="BJ708" s="40" t="str">
        <f ca="1">IFERROR(__xludf.DUMMYFUNCTION("""COMPUTED_VALUE"""),"Yamboro")</f>
        <v>Yamboro</v>
      </c>
      <c r="BK708" s="40"/>
      <c r="BL708" s="40"/>
    </row>
    <row r="709" spans="1:64" ht="13">
      <c r="A709" s="40"/>
      <c r="B709" s="40" t="str">
        <f ca="1">IFERROR(__xludf.DUMMYFUNCTION("""COMPUTED_VALUE"""),"FORMACIÓN 18/10/2022")</f>
        <v>FORMACIÓN 18/10/2022</v>
      </c>
      <c r="C709" s="40" t="str">
        <f ca="1">IFERROR(__xludf.DUMMYFUNCTION("""COMPUTED_VALUE"""),"DISNEY BERNAL CASTRILLON")</f>
        <v>DISNEY BERNAL CASTRILLON</v>
      </c>
      <c r="D709" s="40" t="str">
        <f ca="1">IFERROR(__xludf.DUMMYFUNCTION("""COMPUTED_VALUE"""),"CC")</f>
        <v>CC</v>
      </c>
      <c r="E709" s="40">
        <f ca="1">IFERROR(__xludf.DUMMYFUNCTION("""COMPUTED_VALUE"""),55207876)</f>
        <v>55207876</v>
      </c>
      <c r="F709" s="40">
        <f ca="1">IFERROR(__xludf.DUMMYFUNCTION("""COMPUTED_VALUE"""),2469966)</f>
        <v>2469966</v>
      </c>
      <c r="G709" s="40" t="str">
        <f ca="1">IFERROR(__xludf.DUMMYFUNCTION("""COMPUTED_VALUE"""),"TÉCNICO")</f>
        <v>TÉCNICO</v>
      </c>
      <c r="H709" s="40" t="str">
        <f ca="1">IFERROR(__xludf.DUMMYFUNCTION("""COMPUTED_VALUE"""),"EJECUCION DE PROGRAMAS DEPORTIVOS")</f>
        <v>EJECUCION DE PROGRAMAS DEPORTIVOS</v>
      </c>
      <c r="I709" s="40"/>
      <c r="J709" s="40"/>
      <c r="K709" s="40"/>
      <c r="L709" s="40" t="str">
        <f ca="1">IFERROR(__xludf.DUMMYFUNCTION("""COMPUTED_VALUE"""),"NO HA INICIADO ETAPA PRODUCTIVA")</f>
        <v>NO HA INICIADO ETAPA PRODUCTIVA</v>
      </c>
      <c r="M709" s="40"/>
      <c r="N709" s="40"/>
      <c r="O709" s="40"/>
      <c r="P709" s="40"/>
      <c r="Q709" s="40"/>
      <c r="R709" s="140"/>
      <c r="S709" s="1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t="str">
        <f ca="1">IFERROR(__xludf.DUMMYFUNCTION("""COMPUTED_VALUE"""),"NO_CUMPLE")</f>
        <v>NO_CUMPLE</v>
      </c>
      <c r="AV709" s="40" t="str">
        <f ca="1">IFERROR(__xludf.DUMMYFUNCTION("""COMPUTED_VALUE"""),"EN FORMACION")</f>
        <v>EN FORMACION</v>
      </c>
      <c r="AW709" s="40" t="str">
        <f ca="1">IFERROR(__xludf.DUMMYFUNCTION("""COMPUTED_VALUE"""),"TURISMO")</f>
        <v>TURISMO</v>
      </c>
      <c r="AX709" s="141">
        <f ca="1">IFERROR(__xludf.DUMMYFUNCTION("""COMPUTED_VALUE"""),44839)</f>
        <v>44839</v>
      </c>
      <c r="AY709" s="40">
        <f ca="1">IFERROR(__xludf.DUMMYFUNCTION("""COMPUTED_VALUE"""),14)</f>
        <v>14</v>
      </c>
      <c r="AZ709" s="40">
        <f ca="1">IFERROR(__xludf.DUMMYFUNCTION("""COMPUTED_VALUE"""),1)</f>
        <v>1</v>
      </c>
      <c r="BA709" s="40">
        <f ca="1">IFERROR(__xludf.DUMMYFUNCTION("""COMPUTED_VALUE"""),7)</f>
        <v>7</v>
      </c>
      <c r="BB709" s="40">
        <f ca="1">IFERROR(__xludf.DUMMYFUNCTION("""COMPUTED_VALUE"""),20)</f>
        <v>20</v>
      </c>
      <c r="BC709" s="40">
        <f ca="1">IFERROR(__xludf.DUMMYFUNCTION("""COMPUTED_VALUE"""),42)</f>
        <v>42</v>
      </c>
      <c r="BD709" s="141">
        <f ca="1">IFERROR(__xludf.DUMMYFUNCTION("""COMPUTED_VALUE"""),44552)</f>
        <v>44552</v>
      </c>
      <c r="BE709" s="141">
        <f ca="1">IFERROR(__xludf.DUMMYFUNCTION("""COMPUTED_VALUE"""),44825)</f>
        <v>44825</v>
      </c>
      <c r="BF709" s="141">
        <f ca="1">IFERROR(__xludf.DUMMYFUNCTION("""COMPUTED_VALUE"""),45006)</f>
        <v>45006</v>
      </c>
      <c r="BG709" s="141">
        <f ca="1">IFERROR(__xludf.DUMMYFUNCTION("""COMPUTED_VALUE"""),45556)</f>
        <v>45556</v>
      </c>
      <c r="BH709" s="40" t="str">
        <f ca="1">IFERROR(__xludf.DUMMYFUNCTION("""COMPUTED_VALUE"""),"FICHA EN TIEMPO-18 MESES")</f>
        <v>FICHA EN TIEMPO-18 MESES</v>
      </c>
      <c r="BI709" s="40" t="str">
        <f ca="1">IFERROR(__xludf.DUMMYFUNCTION("""COMPUTED_VALUE"""),"En ejecucion")</f>
        <v>En ejecucion</v>
      </c>
      <c r="BJ709" s="40" t="str">
        <f ca="1">IFERROR(__xludf.DUMMYFUNCTION("""COMPUTED_VALUE"""),"Yamboro")</f>
        <v>Yamboro</v>
      </c>
      <c r="BK709" s="40"/>
      <c r="BL709" s="40"/>
    </row>
    <row r="710" spans="1:64" ht="13">
      <c r="A710" s="40"/>
      <c r="B710" s="40" t="str">
        <f ca="1">IFERROR(__xludf.DUMMYFUNCTION("""COMPUTED_VALUE"""),"FORMACIÓN 18/10/2022")</f>
        <v>FORMACIÓN 18/10/2022</v>
      </c>
      <c r="C710" s="40" t="str">
        <f ca="1">IFERROR(__xludf.DUMMYFUNCTION("""COMPUTED_VALUE"""),"JOSE LIZARDO CRUZ PANQUEVA")</f>
        <v>JOSE LIZARDO CRUZ PANQUEVA</v>
      </c>
      <c r="D710" s="40" t="str">
        <f ca="1">IFERROR(__xludf.DUMMYFUNCTION("""COMPUTED_VALUE"""),"CC")</f>
        <v>CC</v>
      </c>
      <c r="E710" s="40">
        <f ca="1">IFERROR(__xludf.DUMMYFUNCTION("""COMPUTED_VALUE"""),83182655)</f>
        <v>83182655</v>
      </c>
      <c r="F710" s="40">
        <f ca="1">IFERROR(__xludf.DUMMYFUNCTION("""COMPUTED_VALUE"""),2469966)</f>
        <v>2469966</v>
      </c>
      <c r="G710" s="40" t="str">
        <f ca="1">IFERROR(__xludf.DUMMYFUNCTION("""COMPUTED_VALUE"""),"TÉCNICO")</f>
        <v>TÉCNICO</v>
      </c>
      <c r="H710" s="40" t="str">
        <f ca="1">IFERROR(__xludf.DUMMYFUNCTION("""COMPUTED_VALUE"""),"EJECUCION DE PROGRAMAS DEPORTIVOS")</f>
        <v>EJECUCION DE PROGRAMAS DEPORTIVOS</v>
      </c>
      <c r="I710" s="40"/>
      <c r="J710" s="40"/>
      <c r="K710" s="40"/>
      <c r="L710" s="40" t="str">
        <f ca="1">IFERROR(__xludf.DUMMYFUNCTION("""COMPUTED_VALUE"""),"NO HA INICIADO ETAPA PRODUCTIVA")</f>
        <v>NO HA INICIADO ETAPA PRODUCTIVA</v>
      </c>
      <c r="M710" s="40"/>
      <c r="N710" s="40"/>
      <c r="O710" s="40"/>
      <c r="P710" s="40"/>
      <c r="Q710" s="40"/>
      <c r="R710" s="140"/>
      <c r="S710" s="1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t="str">
        <f ca="1">IFERROR(__xludf.DUMMYFUNCTION("""COMPUTED_VALUE"""),"NO_CUMPLE")</f>
        <v>NO_CUMPLE</v>
      </c>
      <c r="AV710" s="40" t="str">
        <f ca="1">IFERROR(__xludf.DUMMYFUNCTION("""COMPUTED_VALUE"""),"EN FORMACION")</f>
        <v>EN FORMACION</v>
      </c>
      <c r="AW710" s="40" t="str">
        <f ca="1">IFERROR(__xludf.DUMMYFUNCTION("""COMPUTED_VALUE"""),"TURISMO")</f>
        <v>TURISMO</v>
      </c>
      <c r="AX710" s="141">
        <f ca="1">IFERROR(__xludf.DUMMYFUNCTION("""COMPUTED_VALUE"""),44839)</f>
        <v>44839</v>
      </c>
      <c r="AY710" s="40">
        <f ca="1">IFERROR(__xludf.DUMMYFUNCTION("""COMPUTED_VALUE"""),6)</f>
        <v>6</v>
      </c>
      <c r="AZ710" s="40">
        <f ca="1">IFERROR(__xludf.DUMMYFUNCTION("""COMPUTED_VALUE"""),1)</f>
        <v>1</v>
      </c>
      <c r="BA710" s="40">
        <f ca="1">IFERROR(__xludf.DUMMYFUNCTION("""COMPUTED_VALUE"""),7)</f>
        <v>7</v>
      </c>
      <c r="BB710" s="40">
        <f ca="1">IFERROR(__xludf.DUMMYFUNCTION("""COMPUTED_VALUE"""),15)</f>
        <v>15</v>
      </c>
      <c r="BC710" s="40">
        <f ca="1">IFERROR(__xludf.DUMMYFUNCTION("""COMPUTED_VALUE"""),29)</f>
        <v>29</v>
      </c>
      <c r="BD710" s="141">
        <f ca="1">IFERROR(__xludf.DUMMYFUNCTION("""COMPUTED_VALUE"""),44552)</f>
        <v>44552</v>
      </c>
      <c r="BE710" s="141">
        <f ca="1">IFERROR(__xludf.DUMMYFUNCTION("""COMPUTED_VALUE"""),44825)</f>
        <v>44825</v>
      </c>
      <c r="BF710" s="141">
        <f ca="1">IFERROR(__xludf.DUMMYFUNCTION("""COMPUTED_VALUE"""),45006)</f>
        <v>45006</v>
      </c>
      <c r="BG710" s="141">
        <f ca="1">IFERROR(__xludf.DUMMYFUNCTION("""COMPUTED_VALUE"""),45556)</f>
        <v>45556</v>
      </c>
      <c r="BH710" s="40" t="str">
        <f ca="1">IFERROR(__xludf.DUMMYFUNCTION("""COMPUTED_VALUE"""),"FICHA EN TIEMPO-18 MESES")</f>
        <v>FICHA EN TIEMPO-18 MESES</v>
      </c>
      <c r="BI710" s="40" t="str">
        <f ca="1">IFERROR(__xludf.DUMMYFUNCTION("""COMPUTED_VALUE"""),"En ejecucion")</f>
        <v>En ejecucion</v>
      </c>
      <c r="BJ710" s="40" t="str">
        <f ca="1">IFERROR(__xludf.DUMMYFUNCTION("""COMPUTED_VALUE"""),"Yamboro")</f>
        <v>Yamboro</v>
      </c>
      <c r="BK710" s="40"/>
      <c r="BL710" s="40"/>
    </row>
    <row r="711" spans="1:64" ht="13">
      <c r="A711" s="40"/>
      <c r="B711" s="40" t="str">
        <f ca="1">IFERROR(__xludf.DUMMYFUNCTION("""COMPUTED_VALUE"""),"FORMACIÓN 18/10/2022")</f>
        <v>FORMACIÓN 18/10/2022</v>
      </c>
      <c r="C711" s="40" t="str">
        <f ca="1">IFERROR(__xludf.DUMMYFUNCTION("""COMPUTED_VALUE"""),"MILLER ZAMBRANO PERDOMO")</f>
        <v>MILLER ZAMBRANO PERDOMO</v>
      </c>
      <c r="D711" s="40" t="str">
        <f ca="1">IFERROR(__xludf.DUMMYFUNCTION("""COMPUTED_VALUE"""),"CC")</f>
        <v>CC</v>
      </c>
      <c r="E711" s="40">
        <f ca="1">IFERROR(__xludf.DUMMYFUNCTION("""COMPUTED_VALUE"""),83239699)</f>
        <v>83239699</v>
      </c>
      <c r="F711" s="40">
        <f ca="1">IFERROR(__xludf.DUMMYFUNCTION("""COMPUTED_VALUE"""),2469966)</f>
        <v>2469966</v>
      </c>
      <c r="G711" s="40" t="str">
        <f ca="1">IFERROR(__xludf.DUMMYFUNCTION("""COMPUTED_VALUE"""),"TÉCNICO")</f>
        <v>TÉCNICO</v>
      </c>
      <c r="H711" s="40" t="str">
        <f ca="1">IFERROR(__xludf.DUMMYFUNCTION("""COMPUTED_VALUE"""),"EJECUCION DE PROGRAMAS DEPORTIVOS")</f>
        <v>EJECUCION DE PROGRAMAS DEPORTIVOS</v>
      </c>
      <c r="I711" s="40"/>
      <c r="J711" s="40"/>
      <c r="K711" s="40"/>
      <c r="L711" s="40" t="str">
        <f ca="1">IFERROR(__xludf.DUMMYFUNCTION("""COMPUTED_VALUE"""),"NO HA INICIADO ETAPA PRODUCTIVA")</f>
        <v>NO HA INICIADO ETAPA PRODUCTIVA</v>
      </c>
      <c r="M711" s="40"/>
      <c r="N711" s="40"/>
      <c r="O711" s="40"/>
      <c r="P711" s="40"/>
      <c r="Q711" s="40"/>
      <c r="R711" s="140"/>
      <c r="S711" s="1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t="str">
        <f ca="1">IFERROR(__xludf.DUMMYFUNCTION("""COMPUTED_VALUE"""),"NO_CUMPLE")</f>
        <v>NO_CUMPLE</v>
      </c>
      <c r="AV711" s="40" t="str">
        <f ca="1">IFERROR(__xludf.DUMMYFUNCTION("""COMPUTED_VALUE"""),"EN FORMACION")</f>
        <v>EN FORMACION</v>
      </c>
      <c r="AW711" s="40" t="str">
        <f ca="1">IFERROR(__xludf.DUMMYFUNCTION("""COMPUTED_VALUE"""),"TURISMO")</f>
        <v>TURISMO</v>
      </c>
      <c r="AX711" s="141">
        <f ca="1">IFERROR(__xludf.DUMMYFUNCTION("""COMPUTED_VALUE"""),44839)</f>
        <v>44839</v>
      </c>
      <c r="AY711" s="40">
        <f ca="1">IFERROR(__xludf.DUMMYFUNCTION("""COMPUTED_VALUE"""),6)</f>
        <v>6</v>
      </c>
      <c r="AZ711" s="40">
        <f ca="1">IFERROR(__xludf.DUMMYFUNCTION("""COMPUTED_VALUE"""),1)</f>
        <v>1</v>
      </c>
      <c r="BA711" s="40">
        <f ca="1">IFERROR(__xludf.DUMMYFUNCTION("""COMPUTED_VALUE"""),7)</f>
        <v>7</v>
      </c>
      <c r="BB711" s="40">
        <f ca="1">IFERROR(__xludf.DUMMYFUNCTION("""COMPUTED_VALUE"""),15)</f>
        <v>15</v>
      </c>
      <c r="BC711" s="40">
        <f ca="1">IFERROR(__xludf.DUMMYFUNCTION("""COMPUTED_VALUE"""),29)</f>
        <v>29</v>
      </c>
      <c r="BD711" s="141">
        <f ca="1">IFERROR(__xludf.DUMMYFUNCTION("""COMPUTED_VALUE"""),44552)</f>
        <v>44552</v>
      </c>
      <c r="BE711" s="141">
        <f ca="1">IFERROR(__xludf.DUMMYFUNCTION("""COMPUTED_VALUE"""),44825)</f>
        <v>44825</v>
      </c>
      <c r="BF711" s="141">
        <f ca="1">IFERROR(__xludf.DUMMYFUNCTION("""COMPUTED_VALUE"""),45006)</f>
        <v>45006</v>
      </c>
      <c r="BG711" s="141">
        <f ca="1">IFERROR(__xludf.DUMMYFUNCTION("""COMPUTED_VALUE"""),45556)</f>
        <v>45556</v>
      </c>
      <c r="BH711" s="40" t="str">
        <f ca="1">IFERROR(__xludf.DUMMYFUNCTION("""COMPUTED_VALUE"""),"FICHA EN TIEMPO-18 MESES")</f>
        <v>FICHA EN TIEMPO-18 MESES</v>
      </c>
      <c r="BI711" s="40" t="str">
        <f ca="1">IFERROR(__xludf.DUMMYFUNCTION("""COMPUTED_VALUE"""),"En ejecucion")</f>
        <v>En ejecucion</v>
      </c>
      <c r="BJ711" s="40" t="str">
        <f ca="1">IFERROR(__xludf.DUMMYFUNCTION("""COMPUTED_VALUE"""),"Yamboro")</f>
        <v>Yamboro</v>
      </c>
      <c r="BK711" s="40"/>
      <c r="BL711" s="40"/>
    </row>
    <row r="712" spans="1:64" ht="13">
      <c r="A712" s="40"/>
      <c r="B712" s="40" t="str">
        <f ca="1">IFERROR(__xludf.DUMMYFUNCTION("""COMPUTED_VALUE"""),"FORMACIÓN 18/10/2022")</f>
        <v>FORMACIÓN 18/10/2022</v>
      </c>
      <c r="C712" s="40" t="str">
        <f ca="1">IFERROR(__xludf.DUMMYFUNCTION("""COMPUTED_VALUE"""),"KARLA VANESSA ECHEVERRY ARISTIZABAL")</f>
        <v>KARLA VANESSA ECHEVERRY ARISTIZABAL</v>
      </c>
      <c r="D712" s="40" t="str">
        <f ca="1">IFERROR(__xludf.DUMMYFUNCTION("""COMPUTED_VALUE"""),"CC")</f>
        <v>CC</v>
      </c>
      <c r="E712" s="40">
        <f ca="1">IFERROR(__xludf.DUMMYFUNCTION("""COMPUTED_VALUE"""),1004209202)</f>
        <v>1004209202</v>
      </c>
      <c r="F712" s="40">
        <f ca="1">IFERROR(__xludf.DUMMYFUNCTION("""COMPUTED_VALUE"""),2194977)</f>
        <v>2194977</v>
      </c>
      <c r="G712" s="40" t="str">
        <f ca="1">IFERROR(__xludf.DUMMYFUNCTION("""COMPUTED_VALUE"""),"TÉCNICO")</f>
        <v>TÉCNICO</v>
      </c>
      <c r="H712" s="40" t="str">
        <f ca="1">IFERROR(__xludf.DUMMYFUNCTION("""COMPUTED_VALUE"""),"SISTEMAS.")</f>
        <v>SISTEMAS.</v>
      </c>
      <c r="I712" s="40">
        <f ca="1">IFERROR(__xludf.DUMMYFUNCTION("""COMPUTED_VALUE"""),3178497762)</f>
        <v>3178497762</v>
      </c>
      <c r="J712" s="40" t="str">
        <f ca="1">IFERROR(__xludf.DUMMYFUNCTION("""COMPUTED_VALUE"""),"Karlaaristizabal019@gmail.com")</f>
        <v>Karlaaristizabal019@gmail.com</v>
      </c>
      <c r="K712" s="40" t="str">
        <f ca="1">IFERROR(__xludf.DUMMYFUNCTION("""COMPUTED_VALUE"""),"Timaná")</f>
        <v>Timaná</v>
      </c>
      <c r="L712" s="40" t="str">
        <f ca="1">IFERROR(__xludf.DUMMYFUNCTION("""COMPUTED_VALUE"""),"PASANTÍAS")</f>
        <v>PASANTÍAS</v>
      </c>
      <c r="M712" s="40" t="str">
        <f ca="1">IFERROR(__xludf.DUMMYFUNCTION("""COMPUTED_VALUE"""),"CON.D.S INGENIERIA S.A.S")</f>
        <v>CON.D.S INGENIERIA S.A.S</v>
      </c>
      <c r="N712" s="40" t="str">
        <f ca="1">IFERROR(__xludf.DUMMYFUNCTION("""COMPUTED_VALUE"""),"Calle 2sur # 2-07")</f>
        <v>Calle 2sur # 2-07</v>
      </c>
      <c r="O712" s="40">
        <f ca="1">IFERROR(__xludf.DUMMYFUNCTION("""COMPUTED_VALUE"""),3123869637)</f>
        <v>3123869637</v>
      </c>
      <c r="P712" s="40" t="str">
        <f ca="1">IFERROR(__xludf.DUMMYFUNCTION("""COMPUTED_VALUE"""),"PITALITO")</f>
        <v>PITALITO</v>
      </c>
      <c r="Q712" s="40" t="str">
        <f ca="1">IFERROR(__xludf.DUMMYFUNCTION("""COMPUTED_VALUE"""),"ingfabianortiz@gmail.com")</f>
        <v>ingfabianortiz@gmail.com</v>
      </c>
      <c r="R712" s="140">
        <f ca="1">IFERROR(__xludf.DUMMYFUNCTION("""COMPUTED_VALUE"""),44438)</f>
        <v>44438</v>
      </c>
      <c r="S712" s="140">
        <f ca="1">IFERROR(__xludf.DUMMYFUNCTION("""COMPUTED_VALUE"""),44959)</f>
        <v>44959</v>
      </c>
      <c r="T712" s="40"/>
      <c r="U712" s="40" t="str">
        <f ca="1">IFERROR(__xludf.DUMMYFUNCTION("""COMPUTED_VALUE"""),"Diana Avila  ")</f>
        <v xml:space="preserve">Diana Avila  </v>
      </c>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t="str">
        <f ca="1">IFERROR(__xludf.DUMMYFUNCTION("""COMPUTED_VALUE"""),"Procede_E_P")</f>
        <v>Procede_E_P</v>
      </c>
      <c r="AV712" s="40" t="str">
        <f ca="1">IFERROR(__xludf.DUMMYFUNCTION("""COMPUTED_VALUE"""),"EN FORMACION")</f>
        <v>EN FORMACION</v>
      </c>
      <c r="AW712" s="40" t="str">
        <f ca="1">IFERROR(__xludf.DUMMYFUNCTION("""COMPUTED_VALUE"""),"TIC")</f>
        <v>TIC</v>
      </c>
      <c r="AX712" s="141">
        <f ca="1">IFERROR(__xludf.DUMMYFUNCTION("""COMPUTED_VALUE"""),44839)</f>
        <v>44839</v>
      </c>
      <c r="AY712" s="40">
        <f ca="1">IFERROR(__xludf.DUMMYFUNCTION("""COMPUTED_VALUE"""),0)</f>
        <v>0</v>
      </c>
      <c r="AZ712" s="40">
        <f ca="1">IFERROR(__xludf.DUMMYFUNCTION("""COMPUTED_VALUE"""),1)</f>
        <v>1</v>
      </c>
      <c r="BA712" s="40">
        <f ca="1">IFERROR(__xludf.DUMMYFUNCTION("""COMPUTED_VALUE"""),0)</f>
        <v>0</v>
      </c>
      <c r="BB712" s="40">
        <f ca="1">IFERROR(__xludf.DUMMYFUNCTION("""COMPUTED_VALUE"""),0)</f>
        <v>0</v>
      </c>
      <c r="BC712" s="40">
        <f ca="1">IFERROR(__xludf.DUMMYFUNCTION("""COMPUTED_VALUE"""),1)</f>
        <v>1</v>
      </c>
      <c r="BD712" s="141">
        <f ca="1">IFERROR(__xludf.DUMMYFUNCTION("""COMPUTED_VALUE"""),44090)</f>
        <v>44090</v>
      </c>
      <c r="BE712" s="141">
        <f ca="1">IFERROR(__xludf.DUMMYFUNCTION("""COMPUTED_VALUE"""),44387)</f>
        <v>44387</v>
      </c>
      <c r="BF712" s="141">
        <f ca="1">IFERROR(__xludf.DUMMYFUNCTION("""COMPUTED_VALUE"""),44571)</f>
        <v>44571</v>
      </c>
      <c r="BG712" s="141">
        <f ca="1">IFERROR(__xludf.DUMMYFUNCTION("""COMPUTED_VALUE"""),45117)</f>
        <v>45117</v>
      </c>
      <c r="BH712" s="40" t="str">
        <f ca="1">IFERROR(__xludf.DUMMYFUNCTION("""COMPUTED_VALUE"""),"FICHA EN TIEMPO-18 MESES")</f>
        <v>FICHA EN TIEMPO-18 MESES</v>
      </c>
      <c r="BI712" s="40" t="str">
        <f ca="1">IFERROR(__xludf.DUMMYFUNCTION("""COMPUTED_VALUE"""),"Terminada por fecha")</f>
        <v>Terminada por fecha</v>
      </c>
      <c r="BJ712" s="40" t="str">
        <f ca="1">IFERROR(__xludf.DUMMYFUNCTION("""COMPUTED_VALUE"""),"Yamboro")</f>
        <v>Yamboro</v>
      </c>
      <c r="BK712" s="40"/>
      <c r="BL712" s="40"/>
    </row>
    <row r="713" spans="1:64" ht="13">
      <c r="A713" s="40"/>
      <c r="B713" s="40" t="str">
        <f ca="1">IFERROR(__xludf.DUMMYFUNCTION("""COMPUTED_VALUE"""),"FORMACIÓN 18/10/2022")</f>
        <v>FORMACIÓN 18/10/2022</v>
      </c>
      <c r="C713" s="40" t="str">
        <f ca="1">IFERROR(__xludf.DUMMYFUNCTION("""COMPUTED_VALUE"""),"ZULENA CEDIEL CARVAJAL")</f>
        <v>ZULENA CEDIEL CARVAJAL</v>
      </c>
      <c r="D713" s="40" t="str">
        <f ca="1">IFERROR(__xludf.DUMMYFUNCTION("""COMPUTED_VALUE"""),"CC")</f>
        <v>CC</v>
      </c>
      <c r="E713" s="40">
        <f ca="1">IFERROR(__xludf.DUMMYFUNCTION("""COMPUTED_VALUE"""),1119580426)</f>
        <v>1119580426</v>
      </c>
      <c r="F713" s="40">
        <f ca="1">IFERROR(__xludf.DUMMYFUNCTION("""COMPUTED_VALUE"""),2194977)</f>
        <v>2194977</v>
      </c>
      <c r="G713" s="40" t="str">
        <f ca="1">IFERROR(__xludf.DUMMYFUNCTION("""COMPUTED_VALUE"""),"TÉCNICO")</f>
        <v>TÉCNICO</v>
      </c>
      <c r="H713" s="40" t="str">
        <f ca="1">IFERROR(__xludf.DUMMYFUNCTION("""COMPUTED_VALUE"""),"SISTEMAS.")</f>
        <v>SISTEMAS.</v>
      </c>
      <c r="I713" s="40"/>
      <c r="J713" s="40"/>
      <c r="K713" s="40"/>
      <c r="L713" s="40" t="str">
        <f ca="1">IFERROR(__xludf.DUMMYFUNCTION("""COMPUTED_VALUE"""),"NO HA INICIADO ETAPA PRODUCTIVA")</f>
        <v>NO HA INICIADO ETAPA PRODUCTIVA</v>
      </c>
      <c r="M713" s="40"/>
      <c r="N713" s="40"/>
      <c r="O713" s="40"/>
      <c r="P713" s="40"/>
      <c r="Q713" s="40"/>
      <c r="R713" s="140"/>
      <c r="S713" s="140"/>
      <c r="T713" s="40"/>
      <c r="U713" s="40" t="str">
        <f ca="1">IFERROR(__xludf.DUMMYFUNCTION("""COMPUTED_VALUE"""),"Diana Avila ")</f>
        <v xml:space="preserve">Diana Avila </v>
      </c>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t="str">
        <f ca="1">IFERROR(__xludf.DUMMYFUNCTION("""COMPUTED_VALUE"""),"Procede_E_P")</f>
        <v>Procede_E_P</v>
      </c>
      <c r="AV713" s="40" t="str">
        <f ca="1">IFERROR(__xludf.DUMMYFUNCTION("""COMPUTED_VALUE"""),"EN FORMACION")</f>
        <v>EN FORMACION</v>
      </c>
      <c r="AW713" s="40" t="str">
        <f ca="1">IFERROR(__xludf.DUMMYFUNCTION("""COMPUTED_VALUE"""),"TIC")</f>
        <v>TIC</v>
      </c>
      <c r="AX713" s="141">
        <f ca="1">IFERROR(__xludf.DUMMYFUNCTION("""COMPUTED_VALUE"""),44839)</f>
        <v>44839</v>
      </c>
      <c r="AY713" s="40">
        <f ca="1">IFERROR(__xludf.DUMMYFUNCTION("""COMPUTED_VALUE"""),0)</f>
        <v>0</v>
      </c>
      <c r="AZ713" s="40">
        <f ca="1">IFERROR(__xludf.DUMMYFUNCTION("""COMPUTED_VALUE"""),1)</f>
        <v>1</v>
      </c>
      <c r="BA713" s="40">
        <f ca="1">IFERROR(__xludf.DUMMYFUNCTION("""COMPUTED_VALUE"""),0)</f>
        <v>0</v>
      </c>
      <c r="BB713" s="40">
        <f ca="1">IFERROR(__xludf.DUMMYFUNCTION("""COMPUTED_VALUE"""),0)</f>
        <v>0</v>
      </c>
      <c r="BC713" s="40">
        <f ca="1">IFERROR(__xludf.DUMMYFUNCTION("""COMPUTED_VALUE"""),1)</f>
        <v>1</v>
      </c>
      <c r="BD713" s="141">
        <f ca="1">IFERROR(__xludf.DUMMYFUNCTION("""COMPUTED_VALUE"""),44090)</f>
        <v>44090</v>
      </c>
      <c r="BE713" s="141">
        <f ca="1">IFERROR(__xludf.DUMMYFUNCTION("""COMPUTED_VALUE"""),44387)</f>
        <v>44387</v>
      </c>
      <c r="BF713" s="141">
        <f ca="1">IFERROR(__xludf.DUMMYFUNCTION("""COMPUTED_VALUE"""),44571)</f>
        <v>44571</v>
      </c>
      <c r="BG713" s="141">
        <f ca="1">IFERROR(__xludf.DUMMYFUNCTION("""COMPUTED_VALUE"""),45117)</f>
        <v>45117</v>
      </c>
      <c r="BH713" s="40" t="str">
        <f ca="1">IFERROR(__xludf.DUMMYFUNCTION("""COMPUTED_VALUE"""),"FICHA EN TIEMPO-18 MESES")</f>
        <v>FICHA EN TIEMPO-18 MESES</v>
      </c>
      <c r="BI713" s="40" t="str">
        <f ca="1">IFERROR(__xludf.DUMMYFUNCTION("""COMPUTED_VALUE"""),"Terminada por fecha")</f>
        <v>Terminada por fecha</v>
      </c>
      <c r="BJ713" s="40" t="str">
        <f ca="1">IFERROR(__xludf.DUMMYFUNCTION("""COMPUTED_VALUE"""),"Yamboro")</f>
        <v>Yamboro</v>
      </c>
      <c r="BK713" s="40"/>
      <c r="BL713" s="40"/>
    </row>
    <row r="714" spans="1:64" ht="13">
      <c r="A714" s="40"/>
      <c r="B714" s="40" t="str">
        <f ca="1">IFERROR(__xludf.DUMMYFUNCTION("""COMPUTED_VALUE"""),"FORMACIÓN 18/10/2022")</f>
        <v>FORMACIÓN 18/10/2022</v>
      </c>
      <c r="C714" s="40" t="str">
        <f ca="1">IFERROR(__xludf.DUMMYFUNCTION("""COMPUTED_VALUE"""),"ANDRIANA BRAVO")</f>
        <v>ANDRIANA BRAVO</v>
      </c>
      <c r="D714" s="40" t="str">
        <f ca="1">IFERROR(__xludf.DUMMYFUNCTION("""COMPUTED_VALUE"""),"CC")</f>
        <v>CC</v>
      </c>
      <c r="E714" s="40">
        <f ca="1">IFERROR(__xludf.DUMMYFUNCTION("""COMPUTED_VALUE"""),36290943)</f>
        <v>36290943</v>
      </c>
      <c r="F714" s="40">
        <f ca="1">IFERROR(__xludf.DUMMYFUNCTION("""COMPUTED_VALUE"""),2194977)</f>
        <v>2194977</v>
      </c>
      <c r="G714" s="40" t="str">
        <f ca="1">IFERROR(__xludf.DUMMYFUNCTION("""COMPUTED_VALUE"""),"TÉCNICO")</f>
        <v>TÉCNICO</v>
      </c>
      <c r="H714" s="40" t="str">
        <f ca="1">IFERROR(__xludf.DUMMYFUNCTION("""COMPUTED_VALUE"""),"SISTEMAS.")</f>
        <v>SISTEMAS.</v>
      </c>
      <c r="I714" s="40"/>
      <c r="J714" s="40"/>
      <c r="K714" s="40"/>
      <c r="L714" s="40" t="str">
        <f ca="1">IFERROR(__xludf.DUMMYFUNCTION("""COMPUTED_VALUE"""),"NO HA INICIADO ETAPA PRODUCTIVA")</f>
        <v>NO HA INICIADO ETAPA PRODUCTIVA</v>
      </c>
      <c r="M714" s="40"/>
      <c r="N714" s="40"/>
      <c r="O714" s="40"/>
      <c r="P714" s="40"/>
      <c r="Q714" s="40"/>
      <c r="R714" s="140"/>
      <c r="S714" s="140"/>
      <c r="T714" s="40"/>
      <c r="U714" s="40" t="str">
        <f ca="1">IFERROR(__xludf.DUMMYFUNCTION("""COMPUTED_VALUE"""),"Diana Avila ")</f>
        <v xml:space="preserve">Diana Avila </v>
      </c>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t="str">
        <f ca="1">IFERROR(__xludf.DUMMYFUNCTION("""COMPUTED_VALUE"""),"Procede_E_P")</f>
        <v>Procede_E_P</v>
      </c>
      <c r="AV714" s="40" t="str">
        <f ca="1">IFERROR(__xludf.DUMMYFUNCTION("""COMPUTED_VALUE"""),"EN FORMACION")</f>
        <v>EN FORMACION</v>
      </c>
      <c r="AW714" s="40" t="str">
        <f ca="1">IFERROR(__xludf.DUMMYFUNCTION("""COMPUTED_VALUE"""),"TIC")</f>
        <v>TIC</v>
      </c>
      <c r="AX714" s="141">
        <f ca="1">IFERROR(__xludf.DUMMYFUNCTION("""COMPUTED_VALUE"""),0)</f>
        <v>0</v>
      </c>
      <c r="AY714" s="40">
        <f ca="1">IFERROR(__xludf.DUMMYFUNCTION("""COMPUTED_VALUE"""),0)</f>
        <v>0</v>
      </c>
      <c r="AZ714" s="40">
        <f ca="1">IFERROR(__xludf.DUMMYFUNCTION("""COMPUTED_VALUE"""),1)</f>
        <v>1</v>
      </c>
      <c r="BA714" s="40">
        <f ca="1">IFERROR(__xludf.DUMMYFUNCTION("""COMPUTED_VALUE"""),0)</f>
        <v>0</v>
      </c>
      <c r="BB714" s="40">
        <f ca="1">IFERROR(__xludf.DUMMYFUNCTION("""COMPUTED_VALUE"""),0)</f>
        <v>0</v>
      </c>
      <c r="BC714" s="40">
        <f ca="1">IFERROR(__xludf.DUMMYFUNCTION("""COMPUTED_VALUE"""),1)</f>
        <v>1</v>
      </c>
      <c r="BD714" s="141">
        <f ca="1">IFERROR(__xludf.DUMMYFUNCTION("""COMPUTED_VALUE"""),44090)</f>
        <v>44090</v>
      </c>
      <c r="BE714" s="141">
        <f ca="1">IFERROR(__xludf.DUMMYFUNCTION("""COMPUTED_VALUE"""),44387)</f>
        <v>44387</v>
      </c>
      <c r="BF714" s="141">
        <f ca="1">IFERROR(__xludf.DUMMYFUNCTION("""COMPUTED_VALUE"""),44571)</f>
        <v>44571</v>
      </c>
      <c r="BG714" s="141">
        <f ca="1">IFERROR(__xludf.DUMMYFUNCTION("""COMPUTED_VALUE"""),45117)</f>
        <v>45117</v>
      </c>
      <c r="BH714" s="40" t="str">
        <f ca="1">IFERROR(__xludf.DUMMYFUNCTION("""COMPUTED_VALUE"""),"FICHA EN TIEMPO-18 MESES")</f>
        <v>FICHA EN TIEMPO-18 MESES</v>
      </c>
      <c r="BI714" s="40" t="str">
        <f ca="1">IFERROR(__xludf.DUMMYFUNCTION("""COMPUTED_VALUE"""),"Terminada por fecha")</f>
        <v>Terminada por fecha</v>
      </c>
      <c r="BJ714" s="40" t="str">
        <f ca="1">IFERROR(__xludf.DUMMYFUNCTION("""COMPUTED_VALUE"""),"Yamboro")</f>
        <v>Yamboro</v>
      </c>
      <c r="BK714" s="40"/>
      <c r="BL714" s="40"/>
    </row>
    <row r="715" spans="1:64" ht="13">
      <c r="A715" s="40"/>
      <c r="B715" s="40" t="str">
        <f ca="1">IFERROR(__xludf.DUMMYFUNCTION("""COMPUTED_VALUE"""),"FORMACIÓN 18/10/2022")</f>
        <v>FORMACIÓN 18/10/2022</v>
      </c>
      <c r="C715" s="40" t="str">
        <f ca="1">IFERROR(__xludf.DUMMYFUNCTION("""COMPUTED_VALUE"""),"JESSICA ALEJANDRA LOSADA BAQUIRO")</f>
        <v>JESSICA ALEJANDRA LOSADA BAQUIRO</v>
      </c>
      <c r="D715" s="40" t="str">
        <f ca="1">IFERROR(__xludf.DUMMYFUNCTION("""COMPUTED_VALUE"""),"CC")</f>
        <v>CC</v>
      </c>
      <c r="E715" s="40">
        <f ca="1">IFERROR(__xludf.DUMMYFUNCTION("""COMPUTED_VALUE"""),1083876765)</f>
        <v>1083876765</v>
      </c>
      <c r="F715" s="40">
        <f ca="1">IFERROR(__xludf.DUMMYFUNCTION("""COMPUTED_VALUE"""),1964046)</f>
        <v>1964046</v>
      </c>
      <c r="G715" s="40" t="str">
        <f ca="1">IFERROR(__xludf.DUMMYFUNCTION("""COMPUTED_VALUE"""),"TÉCNICO")</f>
        <v>TÉCNICO</v>
      </c>
      <c r="H715" s="40" t="str">
        <f ca="1">IFERROR(__xludf.DUMMYFUNCTION("""COMPUTED_VALUE"""),"INSTRUMENTACION INDUSTRIAL")</f>
        <v>INSTRUMENTACION INDUSTRIAL</v>
      </c>
      <c r="I715" s="40"/>
      <c r="J715" s="40" t="str">
        <f ca="1">IFERROR(__xludf.DUMMYFUNCTION("""COMPUTED_VALUE"""),"alejanlosada789@gmail.com")</f>
        <v>alejanlosada789@gmail.com</v>
      </c>
      <c r="K715" s="40"/>
      <c r="L715" s="40" t="str">
        <f ca="1">IFERROR(__xludf.DUMMYFUNCTION("""COMPUTED_VALUE"""),"NO HA INICIADO ETAPA PRODUCTIVA")</f>
        <v>NO HA INICIADO ETAPA PRODUCTIVA</v>
      </c>
      <c r="M715" s="40"/>
      <c r="N715" s="40"/>
      <c r="O715" s="40"/>
      <c r="P715" s="40"/>
      <c r="Q715" s="40"/>
      <c r="R715" s="140"/>
      <c r="S715" s="140"/>
      <c r="T715" s="40"/>
      <c r="U715" s="40" t="str">
        <f ca="1">IFERROR(__xludf.DUMMYFUNCTION("""COMPUTED_VALUE"""),"Diana Avila ")</f>
        <v xml:space="preserve">Diana Avila </v>
      </c>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t="str">
        <f ca="1">IFERROR(__xludf.DUMMYFUNCTION("""COMPUTED_VALUE"""),"Procede_E_P")</f>
        <v>Procede_E_P</v>
      </c>
      <c r="AV715" s="40" t="str">
        <f ca="1">IFERROR(__xludf.DUMMYFUNCTION("""COMPUTED_VALUE"""),"EN FORMACION")</f>
        <v>EN FORMACION</v>
      </c>
      <c r="AW715" s="40" t="str">
        <f ca="1">IFERROR(__xludf.DUMMYFUNCTION("""COMPUTED_VALUE"""),"TIC")</f>
        <v>TIC</v>
      </c>
      <c r="AX715" s="141">
        <f ca="1">IFERROR(__xludf.DUMMYFUNCTION("""COMPUTED_VALUE"""),0)</f>
        <v>0</v>
      </c>
      <c r="AY715" s="40">
        <f ca="1">IFERROR(__xludf.DUMMYFUNCTION("""COMPUTED_VALUE"""),0)</f>
        <v>0</v>
      </c>
      <c r="AZ715" s="40">
        <f ca="1">IFERROR(__xludf.DUMMYFUNCTION("""COMPUTED_VALUE"""),1)</f>
        <v>1</v>
      </c>
      <c r="BA715" s="40">
        <f ca="1">IFERROR(__xludf.DUMMYFUNCTION("""COMPUTED_VALUE"""),0)</f>
        <v>0</v>
      </c>
      <c r="BB715" s="40">
        <f ca="1">IFERROR(__xludf.DUMMYFUNCTION("""COMPUTED_VALUE"""),0)</f>
        <v>0</v>
      </c>
      <c r="BC715" s="40">
        <f ca="1">IFERROR(__xludf.DUMMYFUNCTION("""COMPUTED_VALUE"""),1)</f>
        <v>1</v>
      </c>
      <c r="BD715" s="141">
        <f ca="1">IFERROR(__xludf.DUMMYFUNCTION("""COMPUTED_VALUE"""),43745)</f>
        <v>43745</v>
      </c>
      <c r="BE715" s="141">
        <f ca="1">IFERROR(__xludf.DUMMYFUNCTION("""COMPUTED_VALUE"""),43942)</f>
        <v>43942</v>
      </c>
      <c r="BF715" s="141">
        <f ca="1">IFERROR(__xludf.DUMMYFUNCTION("""COMPUTED_VALUE"""),44125)</f>
        <v>44125</v>
      </c>
      <c r="BG715" s="141">
        <f ca="1">IFERROR(__xludf.DUMMYFUNCTION("""COMPUTED_VALUE"""),44672)</f>
        <v>44672</v>
      </c>
      <c r="BH715" s="40" t="str">
        <f ca="1">IFERROR(__xludf.DUMMYFUNCTION("""COMPUTED_VALUE"""),"FINALIZAR FICHA")</f>
        <v>FINALIZAR FICHA</v>
      </c>
      <c r="BI715" s="40" t="str">
        <f ca="1">IFERROR(__xludf.DUMMYFUNCTION("""COMPUTED_VALUE"""),"Terminada por fecha")</f>
        <v>Terminada por fecha</v>
      </c>
      <c r="BJ715" s="40" t="str">
        <f ca="1">IFERROR(__xludf.DUMMYFUNCTION("""COMPUTED_VALUE"""),"Yamboro")</f>
        <v>Yamboro</v>
      </c>
      <c r="BK715" s="40"/>
      <c r="BL715" s="40"/>
    </row>
    <row r="716" spans="1:64" ht="13">
      <c r="A716" s="40"/>
      <c r="B716" s="40" t="str">
        <f ca="1">IFERROR(__xludf.DUMMYFUNCTION("""COMPUTED_VALUE"""),"FORMACIÓN 18/10/2022")</f>
        <v>FORMACIÓN 18/10/2022</v>
      </c>
      <c r="C716" s="40" t="str">
        <f ca="1">IFERROR(__xludf.DUMMYFUNCTION("""COMPUTED_VALUE"""),"NATALIA FIGUEROA CUELLAR")</f>
        <v>NATALIA FIGUEROA CUELLAR</v>
      </c>
      <c r="D716" s="40" t="str">
        <f ca="1">IFERROR(__xludf.DUMMYFUNCTION("""COMPUTED_VALUE"""),"CC")</f>
        <v>CC</v>
      </c>
      <c r="E716" s="40">
        <f ca="1">IFERROR(__xludf.DUMMYFUNCTION("""COMPUTED_VALUE"""),1192812563)</f>
        <v>1192812563</v>
      </c>
      <c r="F716" s="40">
        <f ca="1">IFERROR(__xludf.DUMMYFUNCTION("""COMPUTED_VALUE"""),1964046)</f>
        <v>1964046</v>
      </c>
      <c r="G716" s="40" t="str">
        <f ca="1">IFERROR(__xludf.DUMMYFUNCTION("""COMPUTED_VALUE"""),"TÉCNICO")</f>
        <v>TÉCNICO</v>
      </c>
      <c r="H716" s="40" t="str">
        <f ca="1">IFERROR(__xludf.DUMMYFUNCTION("""COMPUTED_VALUE"""),"INSTRUMENTACION INDUSTRIAL")</f>
        <v>INSTRUMENTACION INDUSTRIAL</v>
      </c>
      <c r="I716" s="40">
        <f ca="1">IFERROR(__xludf.DUMMYFUNCTION("""COMPUTED_VALUE"""),3026459701)</f>
        <v>3026459701</v>
      </c>
      <c r="J716" s="40" t="str">
        <f ca="1">IFERROR(__xludf.DUMMYFUNCTION("""COMPUTED_VALUE"""),"nataliaficu1998@gmail.com")</f>
        <v>nataliaficu1998@gmail.com</v>
      </c>
      <c r="K716" s="40"/>
      <c r="L716" s="40" t="str">
        <f ca="1">IFERROR(__xludf.DUMMYFUNCTION("""COMPUTED_VALUE"""),"PASANTÍAS")</f>
        <v>PASANTÍAS</v>
      </c>
      <c r="M716" s="40" t="str">
        <f ca="1">IFERROR(__xludf.DUMMYFUNCTION("""COMPUTED_VALUE"""),"MAQUINTOF")</f>
        <v>MAQUINTOF</v>
      </c>
      <c r="N716" s="40" t="str">
        <f ca="1">IFERROR(__xludf.DUMMYFUNCTION("""COMPUTED_VALUE"""),"PITALITO")</f>
        <v>PITALITO</v>
      </c>
      <c r="O716" s="40">
        <f ca="1">IFERROR(__xludf.DUMMYFUNCTION("""COMPUTED_VALUE"""),3125276899)</f>
        <v>3125276899</v>
      </c>
      <c r="P716" s="40" t="str">
        <f ca="1">IFERROR(__xludf.DUMMYFUNCTION("""COMPUTED_VALUE"""),"PITALITO")</f>
        <v>PITALITO</v>
      </c>
      <c r="Q716" s="40" t="str">
        <f ca="1">IFERROR(__xludf.DUMMYFUNCTION("""COMPUTED_VALUE"""),"maquintif@yahoo.es")</f>
        <v>maquintif@yahoo.es</v>
      </c>
      <c r="R716" s="140">
        <f ca="1">IFERROR(__xludf.DUMMYFUNCTION("""COMPUTED_VALUE"""),44440)</f>
        <v>44440</v>
      </c>
      <c r="S716" s="140">
        <f ca="1">IFERROR(__xludf.DUMMYFUNCTION("""COMPUTED_VALUE"""),44621)</f>
        <v>44621</v>
      </c>
      <c r="T716" s="40" t="str">
        <f ca="1">IFERROR(__xludf.DUMMYFUNCTION("""COMPUTED_VALUE"""),"Tiene acuerdo de voluntades, falta seguimiento inicial, parcial,bitácoras...Revisado 06/02/2022 FICHA por vencerse en 21/04/2022 - Pendiente")</f>
        <v>Tiene acuerdo de voluntades, falta seguimiento inicial, parcial,bitácoras...Revisado 06/02/2022 FICHA por vencerse en 21/04/2022 - Pendiente</v>
      </c>
      <c r="U716" s="40" t="str">
        <f ca="1">IFERROR(__xludf.DUMMYFUNCTION("""COMPUTED_VALUE"""),"Diana Avila  - El número celular registrado de la aprendiz está suspendido, sin embargo le enviaré un correo para que se contacte conmigo e iniciar el proceso.... Revisado 09/11/2022")</f>
        <v>Diana Avila  - El número celular registrado de la aprendiz está suspendido, sin embargo le enviaré un correo para que se contacte conmigo e iniciar el proceso.... Revisado 09/11/2022</v>
      </c>
      <c r="V716" s="40" t="str">
        <f ca="1">IFERROR(__xludf.DUMMYFUNCTION("""COMPUTED_VALUE"""),"No tiene seguimiento ...Revisado 25/04/2022")</f>
        <v>No tiene seguimiento ...Revisado 25/04/2022</v>
      </c>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t="str">
        <f ca="1">IFERROR(__xludf.DUMMYFUNCTION("""COMPUTED_VALUE"""),"Procede_E_P")</f>
        <v>Procede_E_P</v>
      </c>
      <c r="AV716" s="40" t="str">
        <f ca="1">IFERROR(__xludf.DUMMYFUNCTION("""COMPUTED_VALUE"""),"EN FORMACION")</f>
        <v>EN FORMACION</v>
      </c>
      <c r="AW716" s="40" t="str">
        <f ca="1">IFERROR(__xludf.DUMMYFUNCTION("""COMPUTED_VALUE"""),"TIC")</f>
        <v>TIC</v>
      </c>
      <c r="AX716" s="141">
        <f ca="1">IFERROR(__xludf.DUMMYFUNCTION("""COMPUTED_VALUE"""),0)</f>
        <v>0</v>
      </c>
      <c r="AY716" s="40">
        <f ca="1">IFERROR(__xludf.DUMMYFUNCTION("""COMPUTED_VALUE"""),0)</f>
        <v>0</v>
      </c>
      <c r="AZ716" s="40">
        <f ca="1">IFERROR(__xludf.DUMMYFUNCTION("""COMPUTED_VALUE"""),1)</f>
        <v>1</v>
      </c>
      <c r="BA716" s="40">
        <f ca="1">IFERROR(__xludf.DUMMYFUNCTION("""COMPUTED_VALUE"""),0)</f>
        <v>0</v>
      </c>
      <c r="BB716" s="40">
        <f ca="1">IFERROR(__xludf.DUMMYFUNCTION("""COMPUTED_VALUE"""),0)</f>
        <v>0</v>
      </c>
      <c r="BC716" s="40">
        <f ca="1">IFERROR(__xludf.DUMMYFUNCTION("""COMPUTED_VALUE"""),1)</f>
        <v>1</v>
      </c>
      <c r="BD716" s="141">
        <f ca="1">IFERROR(__xludf.DUMMYFUNCTION("""COMPUTED_VALUE"""),43745)</f>
        <v>43745</v>
      </c>
      <c r="BE716" s="141">
        <f ca="1">IFERROR(__xludf.DUMMYFUNCTION("""COMPUTED_VALUE"""),43942)</f>
        <v>43942</v>
      </c>
      <c r="BF716" s="141">
        <f ca="1">IFERROR(__xludf.DUMMYFUNCTION("""COMPUTED_VALUE"""),44125)</f>
        <v>44125</v>
      </c>
      <c r="BG716" s="141">
        <f ca="1">IFERROR(__xludf.DUMMYFUNCTION("""COMPUTED_VALUE"""),44672)</f>
        <v>44672</v>
      </c>
      <c r="BH716" s="40" t="str">
        <f ca="1">IFERROR(__xludf.DUMMYFUNCTION("""COMPUTED_VALUE"""),"FINALIZAR FICHA")</f>
        <v>FINALIZAR FICHA</v>
      </c>
      <c r="BI716" s="40" t="str">
        <f ca="1">IFERROR(__xludf.DUMMYFUNCTION("""COMPUTED_VALUE"""),"Terminada por fecha")</f>
        <v>Terminada por fecha</v>
      </c>
      <c r="BJ716" s="40" t="str">
        <f ca="1">IFERROR(__xludf.DUMMYFUNCTION("""COMPUTED_VALUE"""),"Yamboro")</f>
        <v>Yamboro</v>
      </c>
      <c r="BK716" s="40"/>
      <c r="BL716" s="40"/>
    </row>
    <row r="717" spans="1:64" ht="13">
      <c r="A717" s="40"/>
      <c r="B717" s="40" t="str">
        <f ca="1">IFERROR(__xludf.DUMMYFUNCTION("""COMPUTED_VALUE"""),"FORMACIÓN 18/10/2022")</f>
        <v>FORMACIÓN 18/10/2022</v>
      </c>
      <c r="C717" s="40" t="str">
        <f ca="1">IFERROR(__xludf.DUMMYFUNCTION("""COMPUTED_VALUE"""),"SNEIDER RAMON MONJE")</f>
        <v>SNEIDER RAMON MONJE</v>
      </c>
      <c r="D717" s="40" t="str">
        <f ca="1">IFERROR(__xludf.DUMMYFUNCTION("""COMPUTED_VALUE"""),"CC")</f>
        <v>CC</v>
      </c>
      <c r="E717" s="40">
        <f ca="1">IFERROR(__xludf.DUMMYFUNCTION("""COMPUTED_VALUE"""),1214742349)</f>
        <v>1214742349</v>
      </c>
      <c r="F717" s="40">
        <f ca="1">IFERROR(__xludf.DUMMYFUNCTION("""COMPUTED_VALUE"""),1964046)</f>
        <v>1964046</v>
      </c>
      <c r="G717" s="40" t="str">
        <f ca="1">IFERROR(__xludf.DUMMYFUNCTION("""COMPUTED_VALUE"""),"TÉCNICO")</f>
        <v>TÉCNICO</v>
      </c>
      <c r="H717" s="40" t="str">
        <f ca="1">IFERROR(__xludf.DUMMYFUNCTION("""COMPUTED_VALUE"""),"INSTRUMENTACION INDUSTRIAL")</f>
        <v>INSTRUMENTACION INDUSTRIAL</v>
      </c>
      <c r="I717" s="40"/>
      <c r="J717" s="40" t="str">
        <f ca="1">IFERROR(__xludf.DUMMYFUNCTION("""COMPUTED_VALUE"""),"Sramon7@misena.edu.co")</f>
        <v>Sramon7@misena.edu.co</v>
      </c>
      <c r="K717" s="40"/>
      <c r="L717" s="40" t="str">
        <f ca="1">IFERROR(__xludf.DUMMYFUNCTION("""COMPUTED_VALUE"""),"NO HA INICIADO ETAPA PRODUCTIVA")</f>
        <v>NO HA INICIADO ETAPA PRODUCTIVA</v>
      </c>
      <c r="M717" s="40"/>
      <c r="N717" s="40"/>
      <c r="O717" s="40"/>
      <c r="P717" s="40"/>
      <c r="Q717" s="40"/>
      <c r="R717" s="140"/>
      <c r="S717" s="140"/>
      <c r="T717" s="40"/>
      <c r="U717" s="40" t="str">
        <f ca="1">IFERROR(__xludf.DUMMYFUNCTION("""COMPUTED_VALUE"""),"Diana Avila ")</f>
        <v xml:space="preserve">Diana Avila </v>
      </c>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t="str">
        <f ca="1">IFERROR(__xludf.DUMMYFUNCTION("""COMPUTED_VALUE"""),"Procede_E_P")</f>
        <v>Procede_E_P</v>
      </c>
      <c r="AV717" s="40" t="str">
        <f ca="1">IFERROR(__xludf.DUMMYFUNCTION("""COMPUTED_VALUE"""),"EN FORMACION")</f>
        <v>EN FORMACION</v>
      </c>
      <c r="AW717" s="40" t="str">
        <f ca="1">IFERROR(__xludf.DUMMYFUNCTION("""COMPUTED_VALUE"""),"TIC")</f>
        <v>TIC</v>
      </c>
      <c r="AX717" s="141">
        <f ca="1">IFERROR(__xludf.DUMMYFUNCTION("""COMPUTED_VALUE"""),0)</f>
        <v>0</v>
      </c>
      <c r="AY717" s="40">
        <f ca="1">IFERROR(__xludf.DUMMYFUNCTION("""COMPUTED_VALUE"""),0)</f>
        <v>0</v>
      </c>
      <c r="AZ717" s="40">
        <f ca="1">IFERROR(__xludf.DUMMYFUNCTION("""COMPUTED_VALUE"""),1)</f>
        <v>1</v>
      </c>
      <c r="BA717" s="40">
        <f ca="1">IFERROR(__xludf.DUMMYFUNCTION("""COMPUTED_VALUE"""),0)</f>
        <v>0</v>
      </c>
      <c r="BB717" s="40">
        <f ca="1">IFERROR(__xludf.DUMMYFUNCTION("""COMPUTED_VALUE"""),0)</f>
        <v>0</v>
      </c>
      <c r="BC717" s="40">
        <f ca="1">IFERROR(__xludf.DUMMYFUNCTION("""COMPUTED_VALUE"""),1)</f>
        <v>1</v>
      </c>
      <c r="BD717" s="141">
        <f ca="1">IFERROR(__xludf.DUMMYFUNCTION("""COMPUTED_VALUE"""),43745)</f>
        <v>43745</v>
      </c>
      <c r="BE717" s="141">
        <f ca="1">IFERROR(__xludf.DUMMYFUNCTION("""COMPUTED_VALUE"""),43942)</f>
        <v>43942</v>
      </c>
      <c r="BF717" s="141">
        <f ca="1">IFERROR(__xludf.DUMMYFUNCTION("""COMPUTED_VALUE"""),44125)</f>
        <v>44125</v>
      </c>
      <c r="BG717" s="141">
        <f ca="1">IFERROR(__xludf.DUMMYFUNCTION("""COMPUTED_VALUE"""),44672)</f>
        <v>44672</v>
      </c>
      <c r="BH717" s="40" t="str">
        <f ca="1">IFERROR(__xludf.DUMMYFUNCTION("""COMPUTED_VALUE"""),"FINALIZAR FICHA")</f>
        <v>FINALIZAR FICHA</v>
      </c>
      <c r="BI717" s="40" t="str">
        <f ca="1">IFERROR(__xludf.DUMMYFUNCTION("""COMPUTED_VALUE"""),"Terminada por fecha")</f>
        <v>Terminada por fecha</v>
      </c>
      <c r="BJ717" s="40" t="str">
        <f ca="1">IFERROR(__xludf.DUMMYFUNCTION("""COMPUTED_VALUE"""),"Yamboro")</f>
        <v>Yamboro</v>
      </c>
      <c r="BK717" s="40"/>
      <c r="BL717" s="40"/>
    </row>
    <row r="718" spans="1:64" ht="13">
      <c r="A718" s="40"/>
      <c r="B718" s="40" t="str">
        <f ca="1">IFERROR(__xludf.DUMMYFUNCTION("""COMPUTED_VALUE"""),"FORMACIÓN 18/10/2022")</f>
        <v>FORMACIÓN 18/10/2022</v>
      </c>
      <c r="C718" s="40" t="str">
        <f ca="1">IFERROR(__xludf.DUMMYFUNCTION("""COMPUTED_VALUE"""),"SERGIO ANDRES MOUR CORTES")</f>
        <v>SERGIO ANDRES MOUR CORTES</v>
      </c>
      <c r="D718" s="40" t="str">
        <f ca="1">IFERROR(__xludf.DUMMYFUNCTION("""COMPUTED_VALUE"""),"CC")</f>
        <v>CC</v>
      </c>
      <c r="E718" s="40">
        <f ca="1">IFERROR(__xludf.DUMMYFUNCTION("""COMPUTED_VALUE"""),80140795)</f>
        <v>80140795</v>
      </c>
      <c r="F718" s="40">
        <f ca="1">IFERROR(__xludf.DUMMYFUNCTION("""COMPUTED_VALUE"""),1964046)</f>
        <v>1964046</v>
      </c>
      <c r="G718" s="40" t="str">
        <f ca="1">IFERROR(__xludf.DUMMYFUNCTION("""COMPUTED_VALUE"""),"TÉCNICO")</f>
        <v>TÉCNICO</v>
      </c>
      <c r="H718" s="40" t="str">
        <f ca="1">IFERROR(__xludf.DUMMYFUNCTION("""COMPUTED_VALUE"""),"INSTRUMENTACION INDUSTRIAL")</f>
        <v>INSTRUMENTACION INDUSTRIAL</v>
      </c>
      <c r="I718" s="40">
        <f ca="1">IFERROR(__xludf.DUMMYFUNCTION("""COMPUTED_VALUE"""),3203630530)</f>
        <v>3203630530</v>
      </c>
      <c r="J718" s="40" t="str">
        <f ca="1">IFERROR(__xludf.DUMMYFUNCTION("""COMPUTED_VALUE"""),"sergio.m8014@gmail.com")</f>
        <v>sergio.m8014@gmail.com</v>
      </c>
      <c r="K718" s="40"/>
      <c r="L718" s="40" t="str">
        <f ca="1">IFERROR(__xludf.DUMMYFUNCTION("""COMPUTED_VALUE"""),"NO HA INICIADO ETAPA PRODUCTIVA")</f>
        <v>NO HA INICIADO ETAPA PRODUCTIVA</v>
      </c>
      <c r="M718" s="40"/>
      <c r="N718" s="40"/>
      <c r="O718" s="40"/>
      <c r="P718" s="40"/>
      <c r="Q718" s="40"/>
      <c r="R718" s="140"/>
      <c r="S718" s="140"/>
      <c r="T718" s="40"/>
      <c r="U718" s="40" t="str">
        <f ca="1">IFERROR(__xludf.DUMMYFUNCTION("""COMPUTED_VALUE"""),"Diana Avila ")</f>
        <v xml:space="preserve">Diana Avila </v>
      </c>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t="str">
        <f ca="1">IFERROR(__xludf.DUMMYFUNCTION("""COMPUTED_VALUE"""),"Procede_E_P")</f>
        <v>Procede_E_P</v>
      </c>
      <c r="AV718" s="40" t="str">
        <f ca="1">IFERROR(__xludf.DUMMYFUNCTION("""COMPUTED_VALUE"""),"EN FORMACION")</f>
        <v>EN FORMACION</v>
      </c>
      <c r="AW718" s="40" t="str">
        <f ca="1">IFERROR(__xludf.DUMMYFUNCTION("""COMPUTED_VALUE"""),"TIC")</f>
        <v>TIC</v>
      </c>
      <c r="AX718" s="141">
        <f ca="1">IFERROR(__xludf.DUMMYFUNCTION("""COMPUTED_VALUE"""),0)</f>
        <v>0</v>
      </c>
      <c r="AY718" s="40">
        <f ca="1">IFERROR(__xludf.DUMMYFUNCTION("""COMPUTED_VALUE"""),0)</f>
        <v>0</v>
      </c>
      <c r="AZ718" s="40">
        <f ca="1">IFERROR(__xludf.DUMMYFUNCTION("""COMPUTED_VALUE"""),1)</f>
        <v>1</v>
      </c>
      <c r="BA718" s="40">
        <f ca="1">IFERROR(__xludf.DUMMYFUNCTION("""COMPUTED_VALUE"""),0)</f>
        <v>0</v>
      </c>
      <c r="BB718" s="40">
        <f ca="1">IFERROR(__xludf.DUMMYFUNCTION("""COMPUTED_VALUE"""),0)</f>
        <v>0</v>
      </c>
      <c r="BC718" s="40">
        <f ca="1">IFERROR(__xludf.DUMMYFUNCTION("""COMPUTED_VALUE"""),1)</f>
        <v>1</v>
      </c>
      <c r="BD718" s="141">
        <f ca="1">IFERROR(__xludf.DUMMYFUNCTION("""COMPUTED_VALUE"""),43745)</f>
        <v>43745</v>
      </c>
      <c r="BE718" s="141">
        <f ca="1">IFERROR(__xludf.DUMMYFUNCTION("""COMPUTED_VALUE"""),43942)</f>
        <v>43942</v>
      </c>
      <c r="BF718" s="141">
        <f ca="1">IFERROR(__xludf.DUMMYFUNCTION("""COMPUTED_VALUE"""),44125)</f>
        <v>44125</v>
      </c>
      <c r="BG718" s="141">
        <f ca="1">IFERROR(__xludf.DUMMYFUNCTION("""COMPUTED_VALUE"""),44672)</f>
        <v>44672</v>
      </c>
      <c r="BH718" s="40" t="str">
        <f ca="1">IFERROR(__xludf.DUMMYFUNCTION("""COMPUTED_VALUE"""),"FINALIZAR FICHA")</f>
        <v>FINALIZAR FICHA</v>
      </c>
      <c r="BI718" s="40" t="str">
        <f ca="1">IFERROR(__xludf.DUMMYFUNCTION("""COMPUTED_VALUE"""),"Terminada por fecha")</f>
        <v>Terminada por fecha</v>
      </c>
      <c r="BJ718" s="40" t="str">
        <f ca="1">IFERROR(__xludf.DUMMYFUNCTION("""COMPUTED_VALUE"""),"Yamboro")</f>
        <v>Yamboro</v>
      </c>
      <c r="BK718" s="40"/>
      <c r="BL718" s="40"/>
    </row>
    <row r="719" spans="1:64" ht="13">
      <c r="A719" s="40"/>
      <c r="B719" s="40" t="str">
        <f ca="1">IFERROR(__xludf.DUMMYFUNCTION("""COMPUTED_VALUE"""),"FORMACIÓN 18/10/2022")</f>
        <v>FORMACIÓN 18/10/2022</v>
      </c>
      <c r="C719" s="40" t="str">
        <f ca="1">IFERROR(__xludf.DUMMYFUNCTION("""COMPUTED_VALUE"""),"JHON ESTEBAN FIGUEROA TORRES")</f>
        <v>JHON ESTEBAN FIGUEROA TORRES</v>
      </c>
      <c r="D719" s="40" t="str">
        <f ca="1">IFERROR(__xludf.DUMMYFUNCTION("""COMPUTED_VALUE"""),"TI")</f>
        <v>TI</v>
      </c>
      <c r="E719" s="40">
        <f ca="1">IFERROR(__xludf.DUMMYFUNCTION("""COMPUTED_VALUE"""),1007659438)</f>
        <v>1007659438</v>
      </c>
      <c r="F719" s="40">
        <f ca="1">IFERROR(__xludf.DUMMYFUNCTION("""COMPUTED_VALUE"""),1802851)</f>
        <v>1802851</v>
      </c>
      <c r="G719" s="40" t="str">
        <f ca="1">IFERROR(__xludf.DUMMYFUNCTION("""COMPUTED_VALUE"""),"TECNÓLOGO")</f>
        <v>TECNÓLOGO</v>
      </c>
      <c r="H719" s="40" t="str">
        <f ca="1">IFERROR(__xludf.DUMMYFUNCTION("""COMPUTED_VALUE"""),"GESTION DE REDES DE DATOS")</f>
        <v>GESTION DE REDES DE DATOS</v>
      </c>
      <c r="I719" s="40">
        <f ca="1">IFERROR(__xludf.DUMMYFUNCTION("""COMPUTED_VALUE"""),3219502252)</f>
        <v>3219502252</v>
      </c>
      <c r="J719" s="40" t="str">
        <f ca="1">IFERROR(__xludf.DUMMYFUNCTION("""COMPUTED_VALUE"""),"Jhonfgra733@gmail.com")</f>
        <v>Jhonfgra733@gmail.com</v>
      </c>
      <c r="K719" s="40"/>
      <c r="L719" s="40" t="str">
        <f ca="1">IFERROR(__xludf.DUMMYFUNCTION("""COMPUTED_VALUE"""),"TERMINADO")</f>
        <v>TERMINADO</v>
      </c>
      <c r="M719" s="40" t="str">
        <f ca="1">IFERROR(__xludf.DUMMYFUNCTION("""COMPUTED_VALUE"""),"FUTUTEL")</f>
        <v>FUTUTEL</v>
      </c>
      <c r="N719" s="40" t="str">
        <f ca="1">IFERROR(__xludf.DUMMYFUNCTION("""COMPUTED_VALUE"""),"KM 4 VEREDA DANUBIO")</f>
        <v>KM 4 VEREDA DANUBIO</v>
      </c>
      <c r="O719" s="40">
        <f ca="1">IFERROR(__xludf.DUMMYFUNCTION("""COMPUTED_VALUE"""),3182304204)</f>
        <v>3182304204</v>
      </c>
      <c r="P719" s="40"/>
      <c r="Q719" s="40"/>
      <c r="R719" s="140">
        <f ca="1">IFERROR(__xludf.DUMMYFUNCTION("""COMPUTED_VALUE"""),44601)</f>
        <v>44601</v>
      </c>
      <c r="S719" s="140">
        <f ca="1">IFERROR(__xludf.DUMMYFUNCTION("""COMPUTED_VALUE"""),44827)</f>
        <v>44827</v>
      </c>
      <c r="T719" s="40" t="str">
        <f ca="1">IFERROR(__xludf.DUMMYFUNCTION("""COMPUTED_VALUE""")," Tiene contrato  , falta seguimientos y bitácoras..Revisado")</f>
        <v xml:space="preserve"> Tiene contrato  , falta seguimientos y bitácoras..Revisado</v>
      </c>
      <c r="U719" s="40" t="str">
        <f ca="1">IFERROR(__xludf.DUMMYFUNCTION("""COMPUTED_VALUE"""),"Diana Avila ")</f>
        <v xml:space="preserve">Diana Avila </v>
      </c>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t="str">
        <f ca="1">IFERROR(__xludf.DUMMYFUNCTION("""COMPUTED_VALUE"""),"Procede_E_P")</f>
        <v>Procede_E_P</v>
      </c>
      <c r="AV719" s="40" t="str">
        <f ca="1">IFERROR(__xludf.DUMMYFUNCTION("""COMPUTED_VALUE"""),"EN FORMACION")</f>
        <v>EN FORMACION</v>
      </c>
      <c r="AW719" s="40" t="str">
        <f ca="1">IFERROR(__xludf.DUMMYFUNCTION("""COMPUTED_VALUE"""),"TIC")</f>
        <v>TIC</v>
      </c>
      <c r="AX719" s="141">
        <f ca="1">IFERROR(__xludf.DUMMYFUNCTION("""COMPUTED_VALUE"""),0)</f>
        <v>0</v>
      </c>
      <c r="AY719" s="40">
        <f ca="1">IFERROR(__xludf.DUMMYFUNCTION("""COMPUTED_VALUE"""),0)</f>
        <v>0</v>
      </c>
      <c r="AZ719" s="40">
        <f ca="1">IFERROR(__xludf.DUMMYFUNCTION("""COMPUTED_VALUE"""),1)</f>
        <v>1</v>
      </c>
      <c r="BA719" s="40">
        <f ca="1">IFERROR(__xludf.DUMMYFUNCTION("""COMPUTED_VALUE"""),0)</f>
        <v>0</v>
      </c>
      <c r="BB719" s="40">
        <f ca="1">IFERROR(__xludf.DUMMYFUNCTION("""COMPUTED_VALUE"""),0)</f>
        <v>0</v>
      </c>
      <c r="BC719" s="40">
        <f ca="1">IFERROR(__xludf.DUMMYFUNCTION("""COMPUTED_VALUE"""),1)</f>
        <v>1</v>
      </c>
      <c r="BD719" s="141">
        <f ca="1">IFERROR(__xludf.DUMMYFUNCTION("""COMPUTED_VALUE"""),43493)</f>
        <v>43493</v>
      </c>
      <c r="BE719" s="141">
        <f ca="1">IFERROR(__xludf.DUMMYFUNCTION("""COMPUTED_VALUE"""),44080)</f>
        <v>44080</v>
      </c>
      <c r="BF719" s="141">
        <f ca="1">IFERROR(__xludf.DUMMYFUNCTION("""COMPUTED_VALUE"""),44261)</f>
        <v>44261</v>
      </c>
      <c r="BG719" s="141">
        <f ca="1">IFERROR(__xludf.DUMMYFUNCTION("""COMPUTED_VALUE"""),44810)</f>
        <v>44810</v>
      </c>
      <c r="BH719" s="40" t="str">
        <f ca="1">IFERROR(__xludf.DUMMYFUNCTION("""COMPUTED_VALUE"""),"FINALIZAR FICHA")</f>
        <v>FINALIZAR FICHA</v>
      </c>
      <c r="BI719" s="40" t="str">
        <f ca="1">IFERROR(__xludf.DUMMYFUNCTION("""COMPUTED_VALUE"""),"Terminada por fecha")</f>
        <v>Terminada por fecha</v>
      </c>
      <c r="BJ719" s="40" t="str">
        <f ca="1">IFERROR(__xludf.DUMMYFUNCTION("""COMPUTED_VALUE"""),"Yamboro")</f>
        <v>Yamboro</v>
      </c>
      <c r="BK719" s="40"/>
      <c r="BL719" s="40"/>
    </row>
    <row r="720" spans="1:64" ht="13">
      <c r="A720" s="40"/>
      <c r="B720" s="40" t="str">
        <f ca="1">IFERROR(__xludf.DUMMYFUNCTION("""COMPUTED_VALUE"""),"FORMACIÓN 18/10/2022")</f>
        <v>FORMACIÓN 18/10/2022</v>
      </c>
      <c r="C720" s="40" t="str">
        <f ca="1">IFERROR(__xludf.DUMMYFUNCTION("""COMPUTED_VALUE"""),"WILLIAM ALEJANDRO ARDILA SANCHEZ")</f>
        <v>WILLIAM ALEJANDRO ARDILA SANCHEZ</v>
      </c>
      <c r="D720" s="40" t="str">
        <f ca="1">IFERROR(__xludf.DUMMYFUNCTION("""COMPUTED_VALUE"""),"CC")</f>
        <v>CC</v>
      </c>
      <c r="E720" s="40">
        <f ca="1">IFERROR(__xludf.DUMMYFUNCTION("""COMPUTED_VALUE"""),1001174557)</f>
        <v>1001174557</v>
      </c>
      <c r="F720" s="40">
        <f ca="1">IFERROR(__xludf.DUMMYFUNCTION("""COMPUTED_VALUE"""),1966052)</f>
        <v>1966052</v>
      </c>
      <c r="G720" s="40" t="str">
        <f ca="1">IFERROR(__xludf.DUMMYFUNCTION("""COMPUTED_VALUE"""),"TECNÓLOGO")</f>
        <v>TECNÓLOGO</v>
      </c>
      <c r="H720" s="40" t="str">
        <f ca="1">IFERROR(__xludf.DUMMYFUNCTION("""COMPUTED_VALUE"""),"PRODUCCION DE MULTIMEDIA")</f>
        <v>PRODUCCION DE MULTIMEDIA</v>
      </c>
      <c r="I720" s="40">
        <f ca="1">IFERROR(__xludf.DUMMYFUNCTION("""COMPUTED_VALUE"""),3192737379)</f>
        <v>3192737379</v>
      </c>
      <c r="J720" s="40" t="str">
        <f ca="1">IFERROR(__xludf.DUMMYFUNCTION("""COMPUTED_VALUE"""),"williamardilasanchez@gmail.com")</f>
        <v>williamardilasanchez@gmail.com</v>
      </c>
      <c r="K720" s="40" t="str">
        <f ca="1">IFERROR(__xludf.DUMMYFUNCTION("""COMPUTED_VALUE"""),"BOGOTÁ ")</f>
        <v xml:space="preserve">BOGOTÁ </v>
      </c>
      <c r="L720" s="40" t="str">
        <f ca="1">IFERROR(__xludf.DUMMYFUNCTION("""COMPUTED_VALUE"""),"CONTRATO DE APRENDIZAJE ")</f>
        <v xml:space="preserve">CONTRATO DE APRENDIZAJE </v>
      </c>
      <c r="M720" s="40" t="str">
        <f ca="1">IFERROR(__xludf.DUMMYFUNCTION("""COMPUTED_VALUE"""),"UNIVISION COLOMBIA, S A S")</f>
        <v>UNIVISION COLOMBIA, S A S</v>
      </c>
      <c r="N720" s="40" t="str">
        <f ca="1">IFERROR(__xludf.DUMMYFUNCTION("""COMPUTED_VALUE"""),"calle 100 N° 19 A 10")</f>
        <v>calle 100 N° 19 A 10</v>
      </c>
      <c r="O720" s="40"/>
      <c r="P720" s="40"/>
      <c r="Q720" s="40"/>
      <c r="R720" s="140">
        <f ca="1">IFERROR(__xludf.DUMMYFUNCTION("""COMPUTED_VALUE"""),44693)</f>
        <v>44693</v>
      </c>
      <c r="S720" s="140">
        <f ca="1">IFERROR(__xludf.DUMMYFUNCTION("""COMPUTED_VALUE"""),44877)</f>
        <v>44877</v>
      </c>
      <c r="T720" s="40" t="str">
        <f ca="1">IFERROR(__xludf.DUMMYFUNCTION("""COMPUTED_VALUE"""),"Tiene Contrato de aprnedízaje, Inicial, Parcial y bitácoras 1,2,3,4,5,6 y 7 ...Falta final, certificación y bitácoras 8,9,10,11 y 12 ... Revisado 29/09/2022")</f>
        <v>Tiene Contrato de aprnedízaje, Inicial, Parcial y bitácoras 1,2,3,4,5,6 y 7 ...Falta final, certificación y bitácoras 8,9,10,11 y 12 ... Revisado 29/09/2022</v>
      </c>
      <c r="U720" s="40" t="str">
        <f ca="1">IFERROR(__xludf.DUMMYFUNCTION("""COMPUTED_VALUE"""),"Diana Ávila - Asignada Subió  inicial, bitácoras 1 y 2 ... Revisado 13/06/2022 JOSÉ ADRIAN ALVAEZ - signado - Diana Ávila - Subió Parcial y Bitácoras 3,4,5,6,7... Revisado 29/09/2022")</f>
        <v>Diana Ávila - Asignada Subió  inicial, bitácoras 1 y 2 ... Revisado 13/06/2022 JOSÉ ADRIAN ALVAEZ - signado - Diana Ávila - Subió Parcial y Bitácoras 3,4,5,6,7... Revisado 29/09/2022</v>
      </c>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t="str">
        <f ca="1">IFERROR(__xludf.DUMMYFUNCTION("""COMPUTED_VALUE"""),"Procede_E_P")</f>
        <v>Procede_E_P</v>
      </c>
      <c r="AV720" s="40" t="str">
        <f ca="1">IFERROR(__xludf.DUMMYFUNCTION("""COMPUTED_VALUE"""),"EN FORMACION")</f>
        <v>EN FORMACION</v>
      </c>
      <c r="AW720" s="40" t="str">
        <f ca="1">IFERROR(__xludf.DUMMYFUNCTION("""COMPUTED_VALUE"""),"TIC")</f>
        <v>TIC</v>
      </c>
      <c r="AX720" s="141">
        <f ca="1">IFERROR(__xludf.DUMMYFUNCTION("""COMPUTED_VALUE"""),0)</f>
        <v>0</v>
      </c>
      <c r="AY720" s="40">
        <f ca="1">IFERROR(__xludf.DUMMYFUNCTION("""COMPUTED_VALUE"""),0)</f>
        <v>0</v>
      </c>
      <c r="AZ720" s="40">
        <f ca="1">IFERROR(__xludf.DUMMYFUNCTION("""COMPUTED_VALUE"""),1)</f>
        <v>1</v>
      </c>
      <c r="BA720" s="40">
        <f ca="1">IFERROR(__xludf.DUMMYFUNCTION("""COMPUTED_VALUE"""),0)</f>
        <v>0</v>
      </c>
      <c r="BB720" s="40">
        <f ca="1">IFERROR(__xludf.DUMMYFUNCTION("""COMPUTED_VALUE"""),0)</f>
        <v>0</v>
      </c>
      <c r="BC720" s="40">
        <f ca="1">IFERROR(__xludf.DUMMYFUNCTION("""COMPUTED_VALUE"""),1)</f>
        <v>1</v>
      </c>
      <c r="BD720" s="141">
        <f ca="1">IFERROR(__xludf.DUMMYFUNCTION("""COMPUTED_VALUE"""),43704)</f>
        <v>43704</v>
      </c>
      <c r="BE720" s="141">
        <f ca="1">IFERROR(__xludf.DUMMYFUNCTION("""COMPUTED_VALUE"""),44254)</f>
        <v>44254</v>
      </c>
      <c r="BF720" s="141">
        <f ca="1">IFERROR(__xludf.DUMMYFUNCTION("""COMPUTED_VALUE"""),44435)</f>
        <v>44435</v>
      </c>
      <c r="BG720" s="141">
        <f ca="1">IFERROR(__xludf.DUMMYFUNCTION("""COMPUTED_VALUE"""),44984)</f>
        <v>44984</v>
      </c>
      <c r="BH720" s="40" t="str">
        <f ca="1">IFERROR(__xludf.DUMMYFUNCTION("""COMPUTED_VALUE"""),"FICHA EN TIEMPO-18 MESES")</f>
        <v>FICHA EN TIEMPO-18 MESES</v>
      </c>
      <c r="BI720" s="40" t="str">
        <f ca="1">IFERROR(__xludf.DUMMYFUNCTION("""COMPUTED_VALUE"""),"Terminada por fecha")</f>
        <v>Terminada por fecha</v>
      </c>
      <c r="BJ720" s="40" t="str">
        <f ca="1">IFERROR(__xludf.DUMMYFUNCTION("""COMPUTED_VALUE"""),"Yamboro")</f>
        <v>Yamboro</v>
      </c>
      <c r="BK720" s="40"/>
      <c r="BL720" s="40"/>
    </row>
    <row r="721" spans="1:64" ht="13">
      <c r="A721" s="40"/>
      <c r="B721" s="40" t="str">
        <f ca="1">IFERROR(__xludf.DUMMYFUNCTION("""COMPUTED_VALUE"""),"FORMACIÓN 18/10/2022")</f>
        <v>FORMACIÓN 18/10/2022</v>
      </c>
      <c r="C721" s="40" t="str">
        <f ca="1">IFERROR(__xludf.DUMMYFUNCTION("""COMPUTED_VALUE"""),"JUAN PABLO	ESCARRAGA BUITRAGO
")</f>
        <v xml:space="preserve">JUAN PABLO	ESCARRAGA BUITRAGO
</v>
      </c>
      <c r="D721" s="40" t="str">
        <f ca="1">IFERROR(__xludf.DUMMYFUNCTION("""COMPUTED_VALUE"""),"CC")</f>
        <v>CC</v>
      </c>
      <c r="E721" s="40">
        <f ca="1">IFERROR(__xludf.DUMMYFUNCTION("""COMPUTED_VALUE"""),1070018208)</f>
        <v>1070018208</v>
      </c>
      <c r="F721" s="40">
        <f ca="1">IFERROR(__xludf.DUMMYFUNCTION("""COMPUTED_VALUE"""),1966052)</f>
        <v>1966052</v>
      </c>
      <c r="G721" s="40" t="str">
        <f ca="1">IFERROR(__xludf.DUMMYFUNCTION("""COMPUTED_VALUE"""),"TECNÓLOGO")</f>
        <v>TECNÓLOGO</v>
      </c>
      <c r="H721" s="40" t="str">
        <f ca="1">IFERROR(__xludf.DUMMYFUNCTION("""COMPUTED_VALUE"""),"PRODUCCION DE MULTIMEDIA")</f>
        <v>PRODUCCION DE MULTIMEDIA</v>
      </c>
      <c r="I721" s="40"/>
      <c r="J721" s="40"/>
      <c r="K721" s="40"/>
      <c r="L721" s="40" t="str">
        <f ca="1">IFERROR(__xludf.DUMMYFUNCTION("""COMPUTED_VALUE"""),"NO HA INICIADO ETAPA PRODUCTIVA")</f>
        <v>NO HA INICIADO ETAPA PRODUCTIVA</v>
      </c>
      <c r="M721" s="40"/>
      <c r="N721" s="40"/>
      <c r="O721" s="40"/>
      <c r="P721" s="40"/>
      <c r="Q721" s="40"/>
      <c r="R721" s="140"/>
      <c r="S721" s="1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t="str">
        <f ca="1">IFERROR(__xludf.DUMMYFUNCTION("""COMPUTED_VALUE"""),"Procede_E_P")</f>
        <v>Procede_E_P</v>
      </c>
      <c r="AV721" s="40" t="str">
        <f ca="1">IFERROR(__xludf.DUMMYFUNCTION("""COMPUTED_VALUE"""),"EN FORMACION")</f>
        <v>EN FORMACION</v>
      </c>
      <c r="AW721" s="40" t="str">
        <f ca="1">IFERROR(__xludf.DUMMYFUNCTION("""COMPUTED_VALUE"""),"TIC")</f>
        <v>TIC</v>
      </c>
      <c r="AX721" s="141">
        <f ca="1">IFERROR(__xludf.DUMMYFUNCTION("""COMPUTED_VALUE"""),0)</f>
        <v>0</v>
      </c>
      <c r="AY721" s="40">
        <f ca="1">IFERROR(__xludf.DUMMYFUNCTION("""COMPUTED_VALUE"""),0)</f>
        <v>0</v>
      </c>
      <c r="AZ721" s="40">
        <f ca="1">IFERROR(__xludf.DUMMYFUNCTION("""COMPUTED_VALUE"""),1)</f>
        <v>1</v>
      </c>
      <c r="BA721" s="40">
        <f ca="1">IFERROR(__xludf.DUMMYFUNCTION("""COMPUTED_VALUE"""),0)</f>
        <v>0</v>
      </c>
      <c r="BB721" s="40">
        <f ca="1">IFERROR(__xludf.DUMMYFUNCTION("""COMPUTED_VALUE"""),0)</f>
        <v>0</v>
      </c>
      <c r="BC721" s="40">
        <f ca="1">IFERROR(__xludf.DUMMYFUNCTION("""COMPUTED_VALUE"""),1)</f>
        <v>1</v>
      </c>
      <c r="BD721" s="141">
        <f ca="1">IFERROR(__xludf.DUMMYFUNCTION("""COMPUTED_VALUE"""),43704)</f>
        <v>43704</v>
      </c>
      <c r="BE721" s="141">
        <f ca="1">IFERROR(__xludf.DUMMYFUNCTION("""COMPUTED_VALUE"""),44254)</f>
        <v>44254</v>
      </c>
      <c r="BF721" s="141">
        <f ca="1">IFERROR(__xludf.DUMMYFUNCTION("""COMPUTED_VALUE"""),44435)</f>
        <v>44435</v>
      </c>
      <c r="BG721" s="141">
        <f ca="1">IFERROR(__xludf.DUMMYFUNCTION("""COMPUTED_VALUE"""),44984)</f>
        <v>44984</v>
      </c>
      <c r="BH721" s="40" t="str">
        <f ca="1">IFERROR(__xludf.DUMMYFUNCTION("""COMPUTED_VALUE"""),"FICHA EN TIEMPO-18 MESES")</f>
        <v>FICHA EN TIEMPO-18 MESES</v>
      </c>
      <c r="BI721" s="40" t="str">
        <f ca="1">IFERROR(__xludf.DUMMYFUNCTION("""COMPUTED_VALUE"""),"Terminada por fecha")</f>
        <v>Terminada por fecha</v>
      </c>
      <c r="BJ721" s="40" t="str">
        <f ca="1">IFERROR(__xludf.DUMMYFUNCTION("""COMPUTED_VALUE"""),"Yamboro")</f>
        <v>Yamboro</v>
      </c>
      <c r="BK721" s="40"/>
      <c r="BL721" s="40"/>
    </row>
    <row r="722" spans="1:64" ht="13">
      <c r="A722" s="40"/>
      <c r="B722" s="40" t="str">
        <f ca="1">IFERROR(__xludf.DUMMYFUNCTION("""COMPUTED_VALUE"""),"FORMACIÓN 18/10/2022")</f>
        <v>FORMACIÓN 18/10/2022</v>
      </c>
      <c r="C722" s="40" t="str">
        <f ca="1">IFERROR(__xludf.DUMMYFUNCTION("""COMPUTED_VALUE"""),"LORENA RIVERA SASTOQUE")</f>
        <v>LORENA RIVERA SASTOQUE</v>
      </c>
      <c r="D722" s="40" t="str">
        <f ca="1">IFERROR(__xludf.DUMMYFUNCTION("""COMPUTED_VALUE"""),"CC")</f>
        <v>CC</v>
      </c>
      <c r="E722" s="40">
        <f ca="1">IFERROR(__xludf.DUMMYFUNCTION("""COMPUTED_VALUE"""),35221215)</f>
        <v>35221215</v>
      </c>
      <c r="F722" s="40">
        <f ca="1">IFERROR(__xludf.DUMMYFUNCTION("""COMPUTED_VALUE"""),1966052)</f>
        <v>1966052</v>
      </c>
      <c r="G722" s="40" t="str">
        <f ca="1">IFERROR(__xludf.DUMMYFUNCTION("""COMPUTED_VALUE"""),"TECNÓLOGO")</f>
        <v>TECNÓLOGO</v>
      </c>
      <c r="H722" s="40" t="str">
        <f ca="1">IFERROR(__xludf.DUMMYFUNCTION("""COMPUTED_VALUE"""),"PRODUCCION DE MULTIMEDIA")</f>
        <v>PRODUCCION DE MULTIMEDIA</v>
      </c>
      <c r="I722" s="40"/>
      <c r="J722" s="40" t="str">
        <f ca="1">IFERROR(__xludf.DUMMYFUNCTION("""COMPUTED_VALUE"""),"lrivera512@misena.edu.co")</f>
        <v>lrivera512@misena.edu.co</v>
      </c>
      <c r="K722" s="40" t="str">
        <f ca="1">IFERROR(__xludf.DUMMYFUNCTION("""COMPUTED_VALUE"""),"Bogotá")</f>
        <v>Bogotá</v>
      </c>
      <c r="L722" s="40" t="str">
        <f ca="1">IFERROR(__xludf.DUMMYFUNCTION("""COMPUTED_VALUE"""),"CONTRATO DE APRENDIZAJE ")</f>
        <v xml:space="preserve">CONTRATO DE APRENDIZAJE </v>
      </c>
      <c r="M722" s="40" t="str">
        <f ca="1">IFERROR(__xludf.DUMMYFUNCTION("""COMPUTED_VALUE"""),"COMERCIAL CARDONA HERMANOS S.A.S")</f>
        <v>COMERCIAL CARDONA HERMANOS S.A.S</v>
      </c>
      <c r="N722" s="40" t="str">
        <f ca="1">IFERROR(__xludf.DUMMYFUNCTION("""COMPUTED_VALUE"""),"CRA 7# 21 - 62 ")</f>
        <v xml:space="preserve">CRA 7# 21 - 62 </v>
      </c>
      <c r="O722" s="40">
        <f ca="1">IFERROR(__xludf.DUMMYFUNCTION("""COMPUTED_VALUE"""),3106285028)</f>
        <v>3106285028</v>
      </c>
      <c r="P722" s="40"/>
      <c r="Q722" s="40"/>
      <c r="R722" s="140">
        <f ca="1">IFERROR(__xludf.DUMMYFUNCTION("""COMPUTED_VALUE"""),44722)</f>
        <v>44722</v>
      </c>
      <c r="S722" s="140">
        <f ca="1">IFERROR(__xludf.DUMMYFUNCTION("""COMPUTED_VALUE"""),44905)</f>
        <v>44905</v>
      </c>
      <c r="T722" s="40" t="str">
        <f ca="1">IFERROR(__xludf.DUMMYFUNCTION("""COMPUTED_VALUE"""),"Tiene Contrato de aprendízaje, inicial y  bitácoras 1,2,3,4 ...Falta parcial, final, certificación y bitácoras 5,6,7,8,9,10,11 y 12 ... Revisado 31/08/2022")</f>
        <v>Tiene Contrato de aprendízaje, inicial y  bitácoras 1,2,3,4 ...Falta parcial, final, certificación y bitácoras 5,6,7,8,9,10,11 y 12 ... Revisado 31/08/2022</v>
      </c>
      <c r="U722" s="40" t="str">
        <f ca="1">IFERROR(__xludf.DUMMYFUNCTION("""COMPUTED_VALUE"""),"Diana Ávila - Subió Inicial y bitácoras 1,2,3 y 4... Revisado 31/08/2022")</f>
        <v>Diana Ávila - Subió Inicial y bitácoras 1,2,3 y 4... Revisado 31/08/2022</v>
      </c>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t="str">
        <f ca="1">IFERROR(__xludf.DUMMYFUNCTION("""COMPUTED_VALUE"""),"Procede_E_P")</f>
        <v>Procede_E_P</v>
      </c>
      <c r="AV722" s="40" t="str">
        <f ca="1">IFERROR(__xludf.DUMMYFUNCTION("""COMPUTED_VALUE"""),"EN FORMACION")</f>
        <v>EN FORMACION</v>
      </c>
      <c r="AW722" s="40" t="str">
        <f ca="1">IFERROR(__xludf.DUMMYFUNCTION("""COMPUTED_VALUE"""),"TIC")</f>
        <v>TIC</v>
      </c>
      <c r="AX722" s="141">
        <f ca="1">IFERROR(__xludf.DUMMYFUNCTION("""COMPUTED_VALUE"""),0)</f>
        <v>0</v>
      </c>
      <c r="AY722" s="40">
        <f ca="1">IFERROR(__xludf.DUMMYFUNCTION("""COMPUTED_VALUE"""),0)</f>
        <v>0</v>
      </c>
      <c r="AZ722" s="40">
        <f ca="1">IFERROR(__xludf.DUMMYFUNCTION("""COMPUTED_VALUE"""),1)</f>
        <v>1</v>
      </c>
      <c r="BA722" s="40">
        <f ca="1">IFERROR(__xludf.DUMMYFUNCTION("""COMPUTED_VALUE"""),0)</f>
        <v>0</v>
      </c>
      <c r="BB722" s="40">
        <f ca="1">IFERROR(__xludf.DUMMYFUNCTION("""COMPUTED_VALUE"""),0)</f>
        <v>0</v>
      </c>
      <c r="BC722" s="40">
        <f ca="1">IFERROR(__xludf.DUMMYFUNCTION("""COMPUTED_VALUE"""),1)</f>
        <v>1</v>
      </c>
      <c r="BD722" s="141">
        <f ca="1">IFERROR(__xludf.DUMMYFUNCTION("""COMPUTED_VALUE"""),43704)</f>
        <v>43704</v>
      </c>
      <c r="BE722" s="141">
        <f ca="1">IFERROR(__xludf.DUMMYFUNCTION("""COMPUTED_VALUE"""),44254)</f>
        <v>44254</v>
      </c>
      <c r="BF722" s="141">
        <f ca="1">IFERROR(__xludf.DUMMYFUNCTION("""COMPUTED_VALUE"""),44435)</f>
        <v>44435</v>
      </c>
      <c r="BG722" s="141">
        <f ca="1">IFERROR(__xludf.DUMMYFUNCTION("""COMPUTED_VALUE"""),44984)</f>
        <v>44984</v>
      </c>
      <c r="BH722" s="40" t="str">
        <f ca="1">IFERROR(__xludf.DUMMYFUNCTION("""COMPUTED_VALUE"""),"FICHA EN TIEMPO-18 MESES")</f>
        <v>FICHA EN TIEMPO-18 MESES</v>
      </c>
      <c r="BI722" s="40" t="str">
        <f ca="1">IFERROR(__xludf.DUMMYFUNCTION("""COMPUTED_VALUE"""),"Terminada por fecha")</f>
        <v>Terminada por fecha</v>
      </c>
      <c r="BJ722" s="40" t="str">
        <f ca="1">IFERROR(__xludf.DUMMYFUNCTION("""COMPUTED_VALUE"""),"Yamboro")</f>
        <v>Yamboro</v>
      </c>
      <c r="BK722" s="40"/>
      <c r="BL722" s="40"/>
    </row>
    <row r="723" spans="1:64" ht="13">
      <c r="A723" s="40"/>
      <c r="B723" s="40" t="str">
        <f ca="1">IFERROR(__xludf.DUMMYFUNCTION("""COMPUTED_VALUE"""),"FORMACIÓN 18/10/2022")</f>
        <v>FORMACIÓN 18/10/2022</v>
      </c>
      <c r="C723" s="40" t="str">
        <f ca="1">IFERROR(__xludf.DUMMYFUNCTION("""COMPUTED_VALUE"""),"WILSON HUMBERTO PEÑALOZA ROJAS")</f>
        <v>WILSON HUMBERTO PEÑALOZA ROJAS</v>
      </c>
      <c r="D723" s="40" t="str">
        <f ca="1">IFERROR(__xludf.DUMMYFUNCTION("""COMPUTED_VALUE"""),"CC")</f>
        <v>CC</v>
      </c>
      <c r="E723" s="40">
        <f ca="1">IFERROR(__xludf.DUMMYFUNCTION("""COMPUTED_VALUE"""),80128873)</f>
        <v>80128873</v>
      </c>
      <c r="F723" s="40">
        <f ca="1">IFERROR(__xludf.DUMMYFUNCTION("""COMPUTED_VALUE"""),1966052)</f>
        <v>1966052</v>
      </c>
      <c r="G723" s="40" t="str">
        <f ca="1">IFERROR(__xludf.DUMMYFUNCTION("""COMPUTED_VALUE"""),"TECNÓLOGO")</f>
        <v>TECNÓLOGO</v>
      </c>
      <c r="H723" s="40" t="str">
        <f ca="1">IFERROR(__xludf.DUMMYFUNCTION("""COMPUTED_VALUE"""),"PRODUCCION DE MULTIMEDIA")</f>
        <v>PRODUCCION DE MULTIMEDIA</v>
      </c>
      <c r="I723" s="40"/>
      <c r="J723" s="40"/>
      <c r="K723" s="40"/>
      <c r="L723" s="40" t="str">
        <f ca="1">IFERROR(__xludf.DUMMYFUNCTION("""COMPUTED_VALUE"""),"NO HA INICIADO ETAPA PRODUCTIVA")</f>
        <v>NO HA INICIADO ETAPA PRODUCTIVA</v>
      </c>
      <c r="M723" s="40"/>
      <c r="N723" s="40"/>
      <c r="O723" s="40"/>
      <c r="P723" s="40"/>
      <c r="Q723" s="40"/>
      <c r="R723" s="140"/>
      <c r="S723" s="140"/>
      <c r="T723" s="40"/>
      <c r="U723" s="40" t="str">
        <f ca="1">IFERROR(__xludf.DUMMYFUNCTION("""COMPUTED_VALUE"""),"Diana Ávila")</f>
        <v>Diana Ávila</v>
      </c>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t="str">
        <f ca="1">IFERROR(__xludf.DUMMYFUNCTION("""COMPUTED_VALUE"""),"Procede_E_P")</f>
        <v>Procede_E_P</v>
      </c>
      <c r="AV723" s="40" t="str">
        <f ca="1">IFERROR(__xludf.DUMMYFUNCTION("""COMPUTED_VALUE"""),"EN FORMACION")</f>
        <v>EN FORMACION</v>
      </c>
      <c r="AW723" s="40" t="str">
        <f ca="1">IFERROR(__xludf.DUMMYFUNCTION("""COMPUTED_VALUE"""),"TIC")</f>
        <v>TIC</v>
      </c>
      <c r="AX723" s="141">
        <f ca="1">IFERROR(__xludf.DUMMYFUNCTION("""COMPUTED_VALUE"""),0)</f>
        <v>0</v>
      </c>
      <c r="AY723" s="40">
        <f ca="1">IFERROR(__xludf.DUMMYFUNCTION("""COMPUTED_VALUE"""),0)</f>
        <v>0</v>
      </c>
      <c r="AZ723" s="40">
        <f ca="1">IFERROR(__xludf.DUMMYFUNCTION("""COMPUTED_VALUE"""),1)</f>
        <v>1</v>
      </c>
      <c r="BA723" s="40">
        <f ca="1">IFERROR(__xludf.DUMMYFUNCTION("""COMPUTED_VALUE"""),0)</f>
        <v>0</v>
      </c>
      <c r="BB723" s="40">
        <f ca="1">IFERROR(__xludf.DUMMYFUNCTION("""COMPUTED_VALUE"""),0)</f>
        <v>0</v>
      </c>
      <c r="BC723" s="40">
        <f ca="1">IFERROR(__xludf.DUMMYFUNCTION("""COMPUTED_VALUE"""),1)</f>
        <v>1</v>
      </c>
      <c r="BD723" s="141">
        <f ca="1">IFERROR(__xludf.DUMMYFUNCTION("""COMPUTED_VALUE"""),43704)</f>
        <v>43704</v>
      </c>
      <c r="BE723" s="141">
        <f ca="1">IFERROR(__xludf.DUMMYFUNCTION("""COMPUTED_VALUE"""),44254)</f>
        <v>44254</v>
      </c>
      <c r="BF723" s="141">
        <f ca="1">IFERROR(__xludf.DUMMYFUNCTION("""COMPUTED_VALUE"""),44435)</f>
        <v>44435</v>
      </c>
      <c r="BG723" s="141">
        <f ca="1">IFERROR(__xludf.DUMMYFUNCTION("""COMPUTED_VALUE"""),44984)</f>
        <v>44984</v>
      </c>
      <c r="BH723" s="40" t="str">
        <f ca="1">IFERROR(__xludf.DUMMYFUNCTION("""COMPUTED_VALUE"""),"FICHA EN TIEMPO-18 MESES")</f>
        <v>FICHA EN TIEMPO-18 MESES</v>
      </c>
      <c r="BI723" s="40" t="str">
        <f ca="1">IFERROR(__xludf.DUMMYFUNCTION("""COMPUTED_VALUE"""),"Terminada por fecha")</f>
        <v>Terminada por fecha</v>
      </c>
      <c r="BJ723" s="40" t="str">
        <f ca="1">IFERROR(__xludf.DUMMYFUNCTION("""COMPUTED_VALUE"""),"Yamboro")</f>
        <v>Yamboro</v>
      </c>
      <c r="BK723" s="40"/>
      <c r="BL723" s="40"/>
    </row>
    <row r="724" spans="1:64" ht="13">
      <c r="A724" s="40"/>
      <c r="B724" s="40" t="str">
        <f ca="1">IFERROR(__xludf.DUMMYFUNCTION("""COMPUTED_VALUE"""),"APLAZADO  18/10/2022")</f>
        <v>APLAZADO  18/10/2022</v>
      </c>
      <c r="C724" s="40" t="str">
        <f ca="1">IFERROR(__xludf.DUMMYFUNCTION("""COMPUTED_VALUE"""),"DIEGO ALEJANDRO ARANGO MARTINEZ")</f>
        <v>DIEGO ALEJANDRO ARANGO MARTINEZ</v>
      </c>
      <c r="D724" s="40" t="str">
        <f ca="1">IFERROR(__xludf.DUMMYFUNCTION("""COMPUTED_VALUE"""),"CC")</f>
        <v>CC</v>
      </c>
      <c r="E724" s="40">
        <f ca="1">IFERROR(__xludf.DUMMYFUNCTION("""COMPUTED_VALUE"""),1001280010)</f>
        <v>1001280010</v>
      </c>
      <c r="F724" s="40">
        <f ca="1">IFERROR(__xludf.DUMMYFUNCTION("""COMPUTED_VALUE"""),1966052)</f>
        <v>1966052</v>
      </c>
      <c r="G724" s="40" t="str">
        <f ca="1">IFERROR(__xludf.DUMMYFUNCTION("""COMPUTED_VALUE"""),"TECNÓLOGO")</f>
        <v>TECNÓLOGO</v>
      </c>
      <c r="H724" s="40" t="str">
        <f ca="1">IFERROR(__xludf.DUMMYFUNCTION("""COMPUTED_VALUE"""),"PRODUCCION DE MULTIMEDIA")</f>
        <v>PRODUCCION DE MULTIMEDIA</v>
      </c>
      <c r="I724" s="40"/>
      <c r="J724" s="40"/>
      <c r="K724" s="40"/>
      <c r="L724" s="40" t="str">
        <f ca="1">IFERROR(__xludf.DUMMYFUNCTION("""COMPUTED_VALUE"""),"NO HA INICIADO ETAPA PRODUCTIVA")</f>
        <v>NO HA INICIADO ETAPA PRODUCTIVA</v>
      </c>
      <c r="M724" s="40"/>
      <c r="N724" s="40"/>
      <c r="O724" s="40"/>
      <c r="P724" s="40"/>
      <c r="Q724" s="40"/>
      <c r="R724" s="140"/>
      <c r="S724" s="140"/>
      <c r="T724" s="40"/>
      <c r="U724" s="40" t="str">
        <f ca="1">IFERROR(__xludf.DUMMYFUNCTION("""COMPUTED_VALUE"""),"Diana Ávila")</f>
        <v>Diana Ávila</v>
      </c>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t="str">
        <f ca="1">IFERROR(__xludf.DUMMYFUNCTION("""COMPUTED_VALUE"""),"NO_CUMPLE")</f>
        <v>NO_CUMPLE</v>
      </c>
      <c r="AV724" s="40" t="str">
        <f ca="1">IFERROR(__xludf.DUMMYFUNCTION("""COMPUTED_VALUE"""),"APLAZADO")</f>
        <v>APLAZADO</v>
      </c>
      <c r="AW724" s="40" t="str">
        <f ca="1">IFERROR(__xludf.DUMMYFUNCTION("""COMPUTED_VALUE"""),"TIC")</f>
        <v>TIC</v>
      </c>
      <c r="AX724" s="141">
        <f ca="1">IFERROR(__xludf.DUMMYFUNCTION("""COMPUTED_VALUE"""),14)</f>
        <v>14</v>
      </c>
      <c r="AY724" s="40">
        <f ca="1">IFERROR(__xludf.DUMMYFUNCTION("""COMPUTED_VALUE"""),14)</f>
        <v>14</v>
      </c>
      <c r="AZ724" s="40">
        <f ca="1">IFERROR(__xludf.DUMMYFUNCTION("""COMPUTED_VALUE"""),1)</f>
        <v>1</v>
      </c>
      <c r="BA724" s="40">
        <f ca="1">IFERROR(__xludf.DUMMYFUNCTION("""COMPUTED_VALUE"""),15)</f>
        <v>15</v>
      </c>
      <c r="BB724" s="40">
        <f ca="1">IFERROR(__xludf.DUMMYFUNCTION("""COMPUTED_VALUE"""),30)</f>
        <v>30</v>
      </c>
      <c r="BC724" s="40">
        <f ca="1">IFERROR(__xludf.DUMMYFUNCTION("""COMPUTED_VALUE"""),60)</f>
        <v>60</v>
      </c>
      <c r="BD724" s="141">
        <f ca="1">IFERROR(__xludf.DUMMYFUNCTION("""COMPUTED_VALUE"""),43704)</f>
        <v>43704</v>
      </c>
      <c r="BE724" s="141">
        <f ca="1">IFERROR(__xludf.DUMMYFUNCTION("""COMPUTED_VALUE"""),44254)</f>
        <v>44254</v>
      </c>
      <c r="BF724" s="141">
        <f ca="1">IFERROR(__xludf.DUMMYFUNCTION("""COMPUTED_VALUE"""),44435)</f>
        <v>44435</v>
      </c>
      <c r="BG724" s="141">
        <f ca="1">IFERROR(__xludf.DUMMYFUNCTION("""COMPUTED_VALUE"""),44984)</f>
        <v>44984</v>
      </c>
      <c r="BH724" s="40" t="str">
        <f ca="1">IFERROR(__xludf.DUMMYFUNCTION("""COMPUTED_VALUE"""),"FICHA EN TIEMPO-18 MESES")</f>
        <v>FICHA EN TIEMPO-18 MESES</v>
      </c>
      <c r="BI724" s="40" t="str">
        <f ca="1">IFERROR(__xludf.DUMMYFUNCTION("""COMPUTED_VALUE"""),"Terminada por fecha")</f>
        <v>Terminada por fecha</v>
      </c>
      <c r="BJ724" s="40" t="str">
        <f ca="1">IFERROR(__xludf.DUMMYFUNCTION("""COMPUTED_VALUE"""),"Yamboro")</f>
        <v>Yamboro</v>
      </c>
      <c r="BK724" s="40"/>
      <c r="BL724" s="40"/>
    </row>
    <row r="725" spans="1:64" ht="13">
      <c r="A725" s="40"/>
      <c r="B725" s="40" t="str">
        <f ca="1">IFERROR(__xludf.DUMMYFUNCTION("""COMPUTED_VALUE"""),"APLAZADO  18/10/2022")</f>
        <v>APLAZADO  18/10/2022</v>
      </c>
      <c r="C725" s="40" t="str">
        <f ca="1">IFERROR(__xludf.DUMMYFUNCTION("""COMPUTED_VALUE"""),"VICTOR ALFONSO GONZALEZ CORTEZ")</f>
        <v>VICTOR ALFONSO GONZALEZ CORTEZ</v>
      </c>
      <c r="D725" s="40" t="str">
        <f ca="1">IFERROR(__xludf.DUMMYFUNCTION("""COMPUTED_VALUE"""),"CC")</f>
        <v>CC</v>
      </c>
      <c r="E725" s="40">
        <f ca="1">IFERROR(__xludf.DUMMYFUNCTION("""COMPUTED_VALUE"""),84459978)</f>
        <v>84459978</v>
      </c>
      <c r="F725" s="40">
        <f ca="1">IFERROR(__xludf.DUMMYFUNCTION("""COMPUTED_VALUE"""),1966052)</f>
        <v>1966052</v>
      </c>
      <c r="G725" s="40" t="str">
        <f ca="1">IFERROR(__xludf.DUMMYFUNCTION("""COMPUTED_VALUE"""),"TECNÓLOGO")</f>
        <v>TECNÓLOGO</v>
      </c>
      <c r="H725" s="40" t="str">
        <f ca="1">IFERROR(__xludf.DUMMYFUNCTION("""COMPUTED_VALUE"""),"PRODUCCION DE MULTIMEDIA")</f>
        <v>PRODUCCION DE MULTIMEDIA</v>
      </c>
      <c r="I725" s="40"/>
      <c r="J725" s="40"/>
      <c r="K725" s="40"/>
      <c r="L725" s="40" t="str">
        <f ca="1">IFERROR(__xludf.DUMMYFUNCTION("""COMPUTED_VALUE"""),"NO HA INICIADO ETAPA PRODUCTIVA")</f>
        <v>NO HA INICIADO ETAPA PRODUCTIVA</v>
      </c>
      <c r="M725" s="40"/>
      <c r="N725" s="40"/>
      <c r="O725" s="40"/>
      <c r="P725" s="40"/>
      <c r="Q725" s="40"/>
      <c r="R725" s="140"/>
      <c r="S725" s="140"/>
      <c r="T725" s="40"/>
      <c r="U725" s="40" t="str">
        <f ca="1">IFERROR(__xludf.DUMMYFUNCTION("""COMPUTED_VALUE"""),"Diana Ávila")</f>
        <v>Diana Ávila</v>
      </c>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t="str">
        <f ca="1">IFERROR(__xludf.DUMMYFUNCTION("""COMPUTED_VALUE"""),"NO_CUMPLE")</f>
        <v>NO_CUMPLE</v>
      </c>
      <c r="AV725" s="40" t="str">
        <f ca="1">IFERROR(__xludf.DUMMYFUNCTION("""COMPUTED_VALUE"""),"APLAZADO")</f>
        <v>APLAZADO</v>
      </c>
      <c r="AW725" s="40" t="str">
        <f ca="1">IFERROR(__xludf.DUMMYFUNCTION("""COMPUTED_VALUE"""),"TIC")</f>
        <v>TIC</v>
      </c>
      <c r="AX725" s="141">
        <f ca="1">IFERROR(__xludf.DUMMYFUNCTION("""COMPUTED_VALUE"""),14)</f>
        <v>14</v>
      </c>
      <c r="AY725" s="40">
        <f ca="1">IFERROR(__xludf.DUMMYFUNCTION("""COMPUTED_VALUE"""),14)</f>
        <v>14</v>
      </c>
      <c r="AZ725" s="40">
        <f ca="1">IFERROR(__xludf.DUMMYFUNCTION("""COMPUTED_VALUE"""),1)</f>
        <v>1</v>
      </c>
      <c r="BA725" s="40">
        <f ca="1">IFERROR(__xludf.DUMMYFUNCTION("""COMPUTED_VALUE"""),15)</f>
        <v>15</v>
      </c>
      <c r="BB725" s="40">
        <f ca="1">IFERROR(__xludf.DUMMYFUNCTION("""COMPUTED_VALUE"""),30)</f>
        <v>30</v>
      </c>
      <c r="BC725" s="40">
        <f ca="1">IFERROR(__xludf.DUMMYFUNCTION("""COMPUTED_VALUE"""),60)</f>
        <v>60</v>
      </c>
      <c r="BD725" s="141">
        <f ca="1">IFERROR(__xludf.DUMMYFUNCTION("""COMPUTED_VALUE"""),43704)</f>
        <v>43704</v>
      </c>
      <c r="BE725" s="141">
        <f ca="1">IFERROR(__xludf.DUMMYFUNCTION("""COMPUTED_VALUE"""),44254)</f>
        <v>44254</v>
      </c>
      <c r="BF725" s="141">
        <f ca="1">IFERROR(__xludf.DUMMYFUNCTION("""COMPUTED_VALUE"""),44435)</f>
        <v>44435</v>
      </c>
      <c r="BG725" s="141">
        <f ca="1">IFERROR(__xludf.DUMMYFUNCTION("""COMPUTED_VALUE"""),44984)</f>
        <v>44984</v>
      </c>
      <c r="BH725" s="40" t="str">
        <f ca="1">IFERROR(__xludf.DUMMYFUNCTION("""COMPUTED_VALUE"""),"FICHA EN TIEMPO-18 MESES")</f>
        <v>FICHA EN TIEMPO-18 MESES</v>
      </c>
      <c r="BI725" s="40" t="str">
        <f ca="1">IFERROR(__xludf.DUMMYFUNCTION("""COMPUTED_VALUE"""),"Terminada por fecha")</f>
        <v>Terminada por fecha</v>
      </c>
      <c r="BJ725" s="40" t="str">
        <f ca="1">IFERROR(__xludf.DUMMYFUNCTION("""COMPUTED_VALUE"""),"Yamboro")</f>
        <v>Yamboro</v>
      </c>
      <c r="BK725" s="40"/>
      <c r="BL725" s="40"/>
    </row>
    <row r="726" spans="1:64" ht="13">
      <c r="A726" s="40"/>
      <c r="B726" s="40" t="str">
        <f ca="1">IFERROR(__xludf.DUMMYFUNCTION("""COMPUTED_VALUE"""),"FORMACIÓN 18/10/2022")</f>
        <v>FORMACIÓN 18/10/2022</v>
      </c>
      <c r="C726" s="40" t="str">
        <f ca="1">IFERROR(__xludf.DUMMYFUNCTION("""COMPUTED_VALUE"""),"LAURA CRISTINA QUISABONI QUISABONI")</f>
        <v>LAURA CRISTINA QUISABONI QUISABONI</v>
      </c>
      <c r="D726" s="40" t="str">
        <f ca="1">IFERROR(__xludf.DUMMYFUNCTION("""COMPUTED_VALUE"""),"cc")</f>
        <v>cc</v>
      </c>
      <c r="E726" s="40">
        <f ca="1">IFERROR(__xludf.DUMMYFUNCTION("""COMPUTED_VALUE"""),1004417758)</f>
        <v>1004417758</v>
      </c>
      <c r="F726" s="40">
        <f ca="1">IFERROR(__xludf.DUMMYFUNCTION("""COMPUTED_VALUE"""),1962641)</f>
        <v>1962641</v>
      </c>
      <c r="G726" s="40" t="str">
        <f ca="1">IFERROR(__xludf.DUMMYFUNCTION("""COMPUTED_VALUE"""),"TECNÓLOGO")</f>
        <v>TECNÓLOGO</v>
      </c>
      <c r="H726" s="40" t="str">
        <f ca="1">IFERROR(__xludf.DUMMYFUNCTION("""COMPUTED_VALUE"""),"PRODUCCION DE MULTIMEDIA")</f>
        <v>PRODUCCION DE MULTIMEDIA</v>
      </c>
      <c r="I726" s="40">
        <f ca="1">IFERROR(__xludf.DUMMYFUNCTION("""COMPUTED_VALUE"""),3219157181)</f>
        <v>3219157181</v>
      </c>
      <c r="J726" s="40" t="str">
        <f ca="1">IFERROR(__xludf.DUMMYFUNCTION("""COMPUTED_VALUE"""),"lcquisaboni@gmail.com")</f>
        <v>lcquisaboni@gmail.com</v>
      </c>
      <c r="K726" s="40" t="str">
        <f ca="1">IFERROR(__xludf.DUMMYFUNCTION("""COMPUTED_VALUE"""),"Pitalito")</f>
        <v>Pitalito</v>
      </c>
      <c r="L726" s="40" t="str">
        <f ca="1">IFERROR(__xludf.DUMMYFUNCTION("""COMPUTED_VALUE"""),"CONTRATO DE APRENDIZAJE ")</f>
        <v xml:space="preserve">CONTRATO DE APRENDIZAJE </v>
      </c>
      <c r="M726" s="40" t="str">
        <f ca="1">IFERROR(__xludf.DUMMYFUNCTION("""COMPUTED_VALUE"""),"SERVICIO NACIONAL DE APRENDIZAJE, SENA")</f>
        <v>SERVICIO NACIONAL DE APRENDIZAJE, SENA</v>
      </c>
      <c r="N726" s="40"/>
      <c r="O726" s="40"/>
      <c r="P726" s="40"/>
      <c r="Q726" s="40"/>
      <c r="R726" s="140">
        <f ca="1">IFERROR(__xludf.DUMMYFUNCTION("""COMPUTED_VALUE"""),43346)</f>
        <v>43346</v>
      </c>
      <c r="S726" s="140">
        <f ca="1">IFERROR(__xludf.DUMMYFUNCTION("""COMPUTED_VALUE"""),43526)</f>
        <v>43526</v>
      </c>
      <c r="T726" s="40"/>
      <c r="U726" s="40" t="str">
        <f ca="1">IFERROR(__xludf.DUMMYFUNCTION("""COMPUTED_VALUE"""),"EDUARTO TRIANA ")</f>
        <v xml:space="preserve">EDUARTO TRIANA </v>
      </c>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t="str">
        <f ca="1">IFERROR(__xludf.DUMMYFUNCTION("""COMPUTED_VALUE"""),"Procede_E_P")</f>
        <v>Procede_E_P</v>
      </c>
      <c r="AV726" s="40" t="str">
        <f ca="1">IFERROR(__xludf.DUMMYFUNCTION("""COMPUTED_VALUE"""),"EN FORMACION")</f>
        <v>EN FORMACION</v>
      </c>
      <c r="AW726" s="40" t="str">
        <f ca="1">IFERROR(__xludf.DUMMYFUNCTION("""COMPUTED_VALUE"""),"TIC")</f>
        <v>TIC</v>
      </c>
      <c r="AX726" s="141">
        <f ca="1">IFERROR(__xludf.DUMMYFUNCTION("""COMPUTED_VALUE"""),0)</f>
        <v>0</v>
      </c>
      <c r="AY726" s="40">
        <f ca="1">IFERROR(__xludf.DUMMYFUNCTION("""COMPUTED_VALUE"""),0)</f>
        <v>0</v>
      </c>
      <c r="AZ726" s="40">
        <f ca="1">IFERROR(__xludf.DUMMYFUNCTION("""COMPUTED_VALUE"""),1)</f>
        <v>1</v>
      </c>
      <c r="BA726" s="40">
        <f ca="1">IFERROR(__xludf.DUMMYFUNCTION("""COMPUTED_VALUE"""),0)</f>
        <v>0</v>
      </c>
      <c r="BB726" s="40">
        <f ca="1">IFERROR(__xludf.DUMMYFUNCTION("""COMPUTED_VALUE"""),0)</f>
        <v>0</v>
      </c>
      <c r="BC726" s="40">
        <f ca="1">IFERROR(__xludf.DUMMYFUNCTION("""COMPUTED_VALUE"""),1)</f>
        <v>1</v>
      </c>
      <c r="BD726" s="141">
        <f ca="1">IFERROR(__xludf.DUMMYFUNCTION("""COMPUTED_VALUE"""),43682)</f>
        <v>43682</v>
      </c>
      <c r="BE726" s="141">
        <f ca="1">IFERROR(__xludf.DUMMYFUNCTION("""COMPUTED_VALUE"""),44291)</f>
        <v>44291</v>
      </c>
      <c r="BF726" s="141">
        <f ca="1">IFERROR(__xludf.DUMMYFUNCTION("""COMPUTED_VALUE"""),44474)</f>
        <v>44474</v>
      </c>
      <c r="BG726" s="141">
        <f ca="1">IFERROR(__xludf.DUMMYFUNCTION("""COMPUTED_VALUE"""),45021)</f>
        <v>45021</v>
      </c>
      <c r="BH726" s="40" t="str">
        <f ca="1">IFERROR(__xludf.DUMMYFUNCTION("""COMPUTED_VALUE"""),"FICHA EN TIEMPO-18 MESES")</f>
        <v>FICHA EN TIEMPO-18 MESES</v>
      </c>
      <c r="BI726" s="40" t="str">
        <f ca="1">IFERROR(__xludf.DUMMYFUNCTION("""COMPUTED_VALUE"""),"Terminada por fecha")</f>
        <v>Terminada por fecha</v>
      </c>
      <c r="BJ726" s="40" t="str">
        <f ca="1">IFERROR(__xludf.DUMMYFUNCTION("""COMPUTED_VALUE"""),"Yamboro")</f>
        <v>Yamboro</v>
      </c>
      <c r="BK726" s="40"/>
      <c r="BL726" s="40"/>
    </row>
    <row r="727" spans="1:64" ht="13">
      <c r="A727" s="40"/>
      <c r="B727" s="40" t="str">
        <f ca="1">IFERROR(__xludf.DUMMYFUNCTION("""COMPUTED_VALUE"""),"FORMACIÓN 18/10/2022")</f>
        <v>FORMACIÓN 18/10/2022</v>
      </c>
      <c r="C727" s="40" t="str">
        <f ca="1">IFERROR(__xludf.DUMMYFUNCTION("""COMPUTED_VALUE"""),"OSCAR DANIEL CANO MUÑOZ")</f>
        <v>OSCAR DANIEL CANO MUÑOZ</v>
      </c>
      <c r="D727" s="40" t="str">
        <f ca="1">IFERROR(__xludf.DUMMYFUNCTION("""COMPUTED_VALUE"""),"cc")</f>
        <v>cc</v>
      </c>
      <c r="E727" s="40">
        <f ca="1">IFERROR(__xludf.DUMMYFUNCTION("""COMPUTED_VALUE"""),1083930848)</f>
        <v>1083930848</v>
      </c>
      <c r="F727" s="40">
        <f ca="1">IFERROR(__xludf.DUMMYFUNCTION("""COMPUTED_VALUE"""),1962641)</f>
        <v>1962641</v>
      </c>
      <c r="G727" s="40" t="str">
        <f ca="1">IFERROR(__xludf.DUMMYFUNCTION("""COMPUTED_VALUE"""),"TECNÓLOGO")</f>
        <v>TECNÓLOGO</v>
      </c>
      <c r="H727" s="40" t="str">
        <f ca="1">IFERROR(__xludf.DUMMYFUNCTION("""COMPUTED_VALUE"""),"PRODUCCION DE MULTIMEDIA")</f>
        <v>PRODUCCION DE MULTIMEDIA</v>
      </c>
      <c r="I727" s="40">
        <f ca="1">IFERROR(__xludf.DUMMYFUNCTION("""COMPUTED_VALUE"""),3227982019)</f>
        <v>3227982019</v>
      </c>
      <c r="J727" s="40" t="str">
        <f ca="1">IFERROR(__xludf.DUMMYFUNCTION("""COMPUTED_VALUE"""),"ocano559@gmail.com")</f>
        <v>ocano559@gmail.com</v>
      </c>
      <c r="K727" s="40" t="str">
        <f ca="1">IFERROR(__xludf.DUMMYFUNCTION("""COMPUTED_VALUE"""),"Pitalito")</f>
        <v>Pitalito</v>
      </c>
      <c r="L727" s="40" t="str">
        <f ca="1">IFERROR(__xludf.DUMMYFUNCTION("""COMPUTED_VALUE"""),"NO HA INICIADO ETAPA PRODUCTIVA")</f>
        <v>NO HA INICIADO ETAPA PRODUCTIVA</v>
      </c>
      <c r="M727" s="40"/>
      <c r="N727" s="40"/>
      <c r="O727" s="40"/>
      <c r="P727" s="40"/>
      <c r="Q727" s="40"/>
      <c r="R727" s="140"/>
      <c r="S727" s="140"/>
      <c r="T727" s="40"/>
      <c r="U727" s="40" t="str">
        <f ca="1">IFERROR(__xludf.DUMMYFUNCTION("""COMPUTED_VALUE"""),"EDUARTO TRIANA ")</f>
        <v xml:space="preserve">EDUARTO TRIANA </v>
      </c>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t="str">
        <f ca="1">IFERROR(__xludf.DUMMYFUNCTION("""COMPUTED_VALUE"""),"Procede_E_P")</f>
        <v>Procede_E_P</v>
      </c>
      <c r="AV727" s="40" t="str">
        <f ca="1">IFERROR(__xludf.DUMMYFUNCTION("""COMPUTED_VALUE"""),"EN FORMACION")</f>
        <v>EN FORMACION</v>
      </c>
      <c r="AW727" s="40" t="str">
        <f ca="1">IFERROR(__xludf.DUMMYFUNCTION("""COMPUTED_VALUE"""),"TIC")</f>
        <v>TIC</v>
      </c>
      <c r="AX727" s="141">
        <f ca="1">IFERROR(__xludf.DUMMYFUNCTION("""COMPUTED_VALUE"""),0)</f>
        <v>0</v>
      </c>
      <c r="AY727" s="40">
        <f ca="1">IFERROR(__xludf.DUMMYFUNCTION("""COMPUTED_VALUE"""),0)</f>
        <v>0</v>
      </c>
      <c r="AZ727" s="40">
        <f ca="1">IFERROR(__xludf.DUMMYFUNCTION("""COMPUTED_VALUE"""),1)</f>
        <v>1</v>
      </c>
      <c r="BA727" s="40">
        <f ca="1">IFERROR(__xludf.DUMMYFUNCTION("""COMPUTED_VALUE"""),0)</f>
        <v>0</v>
      </c>
      <c r="BB727" s="40">
        <f ca="1">IFERROR(__xludf.DUMMYFUNCTION("""COMPUTED_VALUE"""),0)</f>
        <v>0</v>
      </c>
      <c r="BC727" s="40">
        <f ca="1">IFERROR(__xludf.DUMMYFUNCTION("""COMPUTED_VALUE"""),1)</f>
        <v>1</v>
      </c>
      <c r="BD727" s="141">
        <f ca="1">IFERROR(__xludf.DUMMYFUNCTION("""COMPUTED_VALUE"""),43682)</f>
        <v>43682</v>
      </c>
      <c r="BE727" s="141">
        <f ca="1">IFERROR(__xludf.DUMMYFUNCTION("""COMPUTED_VALUE"""),44291)</f>
        <v>44291</v>
      </c>
      <c r="BF727" s="141">
        <f ca="1">IFERROR(__xludf.DUMMYFUNCTION("""COMPUTED_VALUE"""),44474)</f>
        <v>44474</v>
      </c>
      <c r="BG727" s="141">
        <f ca="1">IFERROR(__xludf.DUMMYFUNCTION("""COMPUTED_VALUE"""),45021)</f>
        <v>45021</v>
      </c>
      <c r="BH727" s="40" t="str">
        <f ca="1">IFERROR(__xludf.DUMMYFUNCTION("""COMPUTED_VALUE"""),"FICHA EN TIEMPO-18 MESES")</f>
        <v>FICHA EN TIEMPO-18 MESES</v>
      </c>
      <c r="BI727" s="40" t="str">
        <f ca="1">IFERROR(__xludf.DUMMYFUNCTION("""COMPUTED_VALUE"""),"Terminada por fecha")</f>
        <v>Terminada por fecha</v>
      </c>
      <c r="BJ727" s="40" t="str">
        <f ca="1">IFERROR(__xludf.DUMMYFUNCTION("""COMPUTED_VALUE"""),"Yamboro")</f>
        <v>Yamboro</v>
      </c>
      <c r="BK727" s="40"/>
      <c r="BL727" s="40"/>
    </row>
    <row r="728" spans="1:64" ht="13">
      <c r="A728" s="40"/>
      <c r="B728" s="40" t="str">
        <f ca="1">IFERROR(__xludf.DUMMYFUNCTION("""COMPUTED_VALUE"""),"FORMACIÓN 18/10/2022")</f>
        <v>FORMACIÓN 18/10/2022</v>
      </c>
      <c r="C728" s="40" t="str">
        <f ca="1">IFERROR(__xludf.DUMMYFUNCTION("""COMPUTED_VALUE"""),"CRISTIAN CAMILO JIMENEZ TORRES")</f>
        <v>CRISTIAN CAMILO JIMENEZ TORRES</v>
      </c>
      <c r="D728" s="40" t="str">
        <f ca="1">IFERROR(__xludf.DUMMYFUNCTION("""COMPUTED_VALUE"""),"CC")</f>
        <v>CC</v>
      </c>
      <c r="E728" s="40">
        <f ca="1">IFERROR(__xludf.DUMMYFUNCTION("""COMPUTED_VALUE"""),1083929422)</f>
        <v>1083929422</v>
      </c>
      <c r="F728" s="40">
        <f ca="1">IFERROR(__xludf.DUMMYFUNCTION("""COMPUTED_VALUE"""),1961869)</f>
        <v>1961869</v>
      </c>
      <c r="G728" s="40" t="str">
        <f ca="1">IFERROR(__xludf.DUMMYFUNCTION("""COMPUTED_VALUE"""),"TECNÓLOGO")</f>
        <v>TECNÓLOGO</v>
      </c>
      <c r="H728" s="40" t="str">
        <f ca="1">IFERROR(__xludf.DUMMYFUNCTION("""COMPUTED_VALUE"""),"ANALISIS Y DESARROLLO DE SISTEMAS DE INFORMACION")</f>
        <v>ANALISIS Y DESARROLLO DE SISTEMAS DE INFORMACION</v>
      </c>
      <c r="I728" s="40">
        <f ca="1">IFERROR(__xludf.DUMMYFUNCTION("""COMPUTED_VALUE"""),3212720712)</f>
        <v>3212720712</v>
      </c>
      <c r="J728" s="40" t="str">
        <f ca="1">IFERROR(__xludf.DUMMYFUNCTION("""COMPUTED_VALUE"""),"crisjimenez0303@gmail.com")</f>
        <v>crisjimenez0303@gmail.com</v>
      </c>
      <c r="K728" s="40" t="str">
        <f ca="1">IFERROR(__xludf.DUMMYFUNCTION("""COMPUTED_VALUE"""),"PITALITO")</f>
        <v>PITALITO</v>
      </c>
      <c r="L728" s="40" t="str">
        <f ca="1">IFERROR(__xludf.DUMMYFUNCTION("""COMPUTED_VALUE"""),"NO HA INICIADO ETAPA PRODUCTIVA")</f>
        <v>NO HA INICIADO ETAPA PRODUCTIVA</v>
      </c>
      <c r="M728" s="40"/>
      <c r="N728" s="40"/>
      <c r="O728" s="40"/>
      <c r="P728" s="40"/>
      <c r="Q728" s="40"/>
      <c r="R728" s="140"/>
      <c r="S728" s="140"/>
      <c r="T728" s="40"/>
      <c r="U728" s="40" t="str">
        <f ca="1">IFERROR(__xludf.DUMMYFUNCTION("""COMPUTED_VALUE"""),"EDUARTO TRIANA ")</f>
        <v xml:space="preserve">EDUARTO TRIANA </v>
      </c>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t="str">
        <f ca="1">IFERROR(__xludf.DUMMYFUNCTION("""COMPUTED_VALUE"""),"Procede_E_P")</f>
        <v>Procede_E_P</v>
      </c>
      <c r="AV728" s="40" t="str">
        <f ca="1">IFERROR(__xludf.DUMMYFUNCTION("""COMPUTED_VALUE"""),"EN FORMACION")</f>
        <v>EN FORMACION</v>
      </c>
      <c r="AW728" s="40" t="str">
        <f ca="1">IFERROR(__xludf.DUMMYFUNCTION("""COMPUTED_VALUE"""),"TIC")</f>
        <v>TIC</v>
      </c>
      <c r="AX728" s="141">
        <f ca="1">IFERROR(__xludf.DUMMYFUNCTION("""COMPUTED_VALUE"""),0)</f>
        <v>0</v>
      </c>
      <c r="AY728" s="40">
        <f ca="1">IFERROR(__xludf.DUMMYFUNCTION("""COMPUTED_VALUE"""),0)</f>
        <v>0</v>
      </c>
      <c r="AZ728" s="40">
        <f ca="1">IFERROR(__xludf.DUMMYFUNCTION("""COMPUTED_VALUE"""),1)</f>
        <v>1</v>
      </c>
      <c r="BA728" s="40">
        <f ca="1">IFERROR(__xludf.DUMMYFUNCTION("""COMPUTED_VALUE"""),0)</f>
        <v>0</v>
      </c>
      <c r="BB728" s="40">
        <f ca="1">IFERROR(__xludf.DUMMYFUNCTION("""COMPUTED_VALUE"""),0)</f>
        <v>0</v>
      </c>
      <c r="BC728" s="40">
        <f ca="1">IFERROR(__xludf.DUMMYFUNCTION("""COMPUTED_VALUE"""),1)</f>
        <v>1</v>
      </c>
      <c r="BD728" s="141">
        <f ca="1">IFERROR(__xludf.DUMMYFUNCTION("""COMPUTED_VALUE"""),43745)</f>
        <v>43745</v>
      </c>
      <c r="BE728" s="141">
        <f ca="1">IFERROR(__xludf.DUMMYFUNCTION("""COMPUTED_VALUE"""),44293)</f>
        <v>44293</v>
      </c>
      <c r="BF728" s="141">
        <f ca="1">IFERROR(__xludf.DUMMYFUNCTION("""COMPUTED_VALUE"""),44476)</f>
        <v>44476</v>
      </c>
      <c r="BG728" s="141">
        <f ca="1">IFERROR(__xludf.DUMMYFUNCTION("""COMPUTED_VALUE"""),45023)</f>
        <v>45023</v>
      </c>
      <c r="BH728" s="40" t="str">
        <f ca="1">IFERROR(__xludf.DUMMYFUNCTION("""COMPUTED_VALUE"""),"FICHA EN TIEMPO-18 MESES")</f>
        <v>FICHA EN TIEMPO-18 MESES</v>
      </c>
      <c r="BI728" s="40" t="str">
        <f ca="1">IFERROR(__xludf.DUMMYFUNCTION("""COMPUTED_VALUE"""),"Terminada por fecha")</f>
        <v>Terminada por fecha</v>
      </c>
      <c r="BJ728" s="40" t="str">
        <f ca="1">IFERROR(__xludf.DUMMYFUNCTION("""COMPUTED_VALUE"""),"Yamboro")</f>
        <v>Yamboro</v>
      </c>
      <c r="BK728" s="40"/>
      <c r="BL728" s="40"/>
    </row>
    <row r="729" spans="1:64" ht="13">
      <c r="A729" s="40"/>
      <c r="B729" s="40" t="str">
        <f ca="1">IFERROR(__xludf.DUMMYFUNCTION("""COMPUTED_VALUE"""),"FORMACIÓN 18/10/2022")</f>
        <v>FORMACIÓN 18/10/2022</v>
      </c>
      <c r="C729" s="40" t="str">
        <f ca="1">IFERROR(__xludf.DUMMYFUNCTION("""COMPUTED_VALUE"""),"LIZETH ANDREA BUESAQUILLO LUNA")</f>
        <v>LIZETH ANDREA BUESAQUILLO LUNA</v>
      </c>
      <c r="D729" s="40" t="str">
        <f ca="1">IFERROR(__xludf.DUMMYFUNCTION("""COMPUTED_VALUE"""),"CC")</f>
        <v>CC</v>
      </c>
      <c r="E729" s="40">
        <f ca="1">IFERROR(__xludf.DUMMYFUNCTION("""COMPUTED_VALUE"""),1003035933)</f>
        <v>1003035933</v>
      </c>
      <c r="F729" s="40">
        <f ca="1">IFERROR(__xludf.DUMMYFUNCTION("""COMPUTED_VALUE"""),2236082)</f>
        <v>2236082</v>
      </c>
      <c r="G729" s="40" t="str">
        <f ca="1">IFERROR(__xludf.DUMMYFUNCTION("""COMPUTED_VALUE"""),"TÉCNICO")</f>
        <v>TÉCNICO</v>
      </c>
      <c r="H729" s="40" t="str">
        <f ca="1">IFERROR(__xludf.DUMMYFUNCTION("""COMPUTED_VALUE"""),"SISTEMAS.")</f>
        <v>SISTEMAS.</v>
      </c>
      <c r="I729" s="40">
        <f ca="1">IFERROR(__xludf.DUMMYFUNCTION("""COMPUTED_VALUE"""),3232317132)</f>
        <v>3232317132</v>
      </c>
      <c r="J729" s="40" t="str">
        <f ca="1">IFERROR(__xludf.DUMMYFUNCTION("""COMPUTED_VALUE"""),"lunnabl08@gmail.com")</f>
        <v>lunnabl08@gmail.com</v>
      </c>
      <c r="K729" s="40" t="str">
        <f ca="1">IFERROR(__xludf.DUMMYFUNCTION("""COMPUTED_VALUE"""),"PITALITO")</f>
        <v>PITALITO</v>
      </c>
      <c r="L729" s="40" t="str">
        <f ca="1">IFERROR(__xludf.DUMMYFUNCTION("""COMPUTED_VALUE"""),"NO HA INICIADO ETAPA PRODUCTIVA")</f>
        <v>NO HA INICIADO ETAPA PRODUCTIVA</v>
      </c>
      <c r="M729" s="40"/>
      <c r="N729" s="40"/>
      <c r="O729" s="40"/>
      <c r="P729" s="40"/>
      <c r="Q729" s="40"/>
      <c r="R729" s="140"/>
      <c r="S729" s="140"/>
      <c r="T729" s="40"/>
      <c r="U729" s="40" t="str">
        <f ca="1">IFERROR(__xludf.DUMMYFUNCTION("""COMPUTED_VALUE"""),"EDUARTO TRIANA ")</f>
        <v xml:space="preserve">EDUARTO TRIANA </v>
      </c>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t="str">
        <f ca="1">IFERROR(__xludf.DUMMYFUNCTION("""COMPUTED_VALUE"""),"Procede_E_P")</f>
        <v>Procede_E_P</v>
      </c>
      <c r="AV729" s="40" t="str">
        <f ca="1">IFERROR(__xludf.DUMMYFUNCTION("""COMPUTED_VALUE"""),"EN FORMACION")</f>
        <v>EN FORMACION</v>
      </c>
      <c r="AW729" s="40" t="str">
        <f ca="1">IFERROR(__xludf.DUMMYFUNCTION("""COMPUTED_VALUE"""),"TIC")</f>
        <v>TIC</v>
      </c>
      <c r="AX729" s="141">
        <f ca="1">IFERROR(__xludf.DUMMYFUNCTION("""COMPUTED_VALUE"""),0)</f>
        <v>0</v>
      </c>
      <c r="AY729" s="40">
        <f ca="1">IFERROR(__xludf.DUMMYFUNCTION("""COMPUTED_VALUE"""),0)</f>
        <v>0</v>
      </c>
      <c r="AZ729" s="40">
        <f ca="1">IFERROR(__xludf.DUMMYFUNCTION("""COMPUTED_VALUE"""),1)</f>
        <v>1</v>
      </c>
      <c r="BA729" s="40">
        <f ca="1">IFERROR(__xludf.DUMMYFUNCTION("""COMPUTED_VALUE"""),0)</f>
        <v>0</v>
      </c>
      <c r="BB729" s="40">
        <f ca="1">IFERROR(__xludf.DUMMYFUNCTION("""COMPUTED_VALUE"""),0)</f>
        <v>0</v>
      </c>
      <c r="BC729" s="40">
        <f ca="1">IFERROR(__xludf.DUMMYFUNCTION("""COMPUTED_VALUE"""),1)</f>
        <v>1</v>
      </c>
      <c r="BD729" s="141">
        <f ca="1">IFERROR(__xludf.DUMMYFUNCTION("""COMPUTED_VALUE"""),44221)</f>
        <v>44221</v>
      </c>
      <c r="BE729" s="141">
        <f ca="1">IFERROR(__xludf.DUMMYFUNCTION("""COMPUTED_VALUE"""),44493)</f>
        <v>44493</v>
      </c>
      <c r="BF729" s="141">
        <f ca="1">IFERROR(__xludf.DUMMYFUNCTION("""COMPUTED_VALUE"""),44675)</f>
        <v>44675</v>
      </c>
      <c r="BG729" s="141">
        <f ca="1">IFERROR(__xludf.DUMMYFUNCTION("""COMPUTED_VALUE"""),45223)</f>
        <v>45223</v>
      </c>
      <c r="BH729" s="40" t="str">
        <f ca="1">IFERROR(__xludf.DUMMYFUNCTION("""COMPUTED_VALUE"""),"FICHA EN TIEMPO-18 MESES")</f>
        <v>FICHA EN TIEMPO-18 MESES</v>
      </c>
      <c r="BI729" s="40" t="str">
        <f ca="1">IFERROR(__xludf.DUMMYFUNCTION("""COMPUTED_VALUE"""),"Terminada por fecha")</f>
        <v>Terminada por fecha</v>
      </c>
      <c r="BJ729" s="40" t="str">
        <f ca="1">IFERROR(__xludf.DUMMYFUNCTION("""COMPUTED_VALUE"""),"Yamboro")</f>
        <v>Yamboro</v>
      </c>
      <c r="BK729" s="40"/>
      <c r="BL729" s="40"/>
    </row>
    <row r="730" spans="1:64" ht="13">
      <c r="A730" s="40"/>
      <c r="B730" s="40" t="str">
        <f ca="1">IFERROR(__xludf.DUMMYFUNCTION("""COMPUTED_VALUE"""),"FORMACIÓN 18/10/2022")</f>
        <v>FORMACIÓN 18/10/2022</v>
      </c>
      <c r="C730" s="40" t="str">
        <f ca="1">IFERROR(__xludf.DUMMYFUNCTION("""COMPUTED_VALUE"""),"AUNER ERNEY RODRIGUEZ SANCHEZ")</f>
        <v>AUNER ERNEY RODRIGUEZ SANCHEZ</v>
      </c>
      <c r="D730" s="40" t="str">
        <f ca="1">IFERROR(__xludf.DUMMYFUNCTION("""COMPUTED_VALUE"""),"CC")</f>
        <v>CC</v>
      </c>
      <c r="E730" s="40">
        <f ca="1">IFERROR(__xludf.DUMMYFUNCTION("""COMPUTED_VALUE"""),1007531544)</f>
        <v>1007531544</v>
      </c>
      <c r="F730" s="40">
        <f ca="1">IFERROR(__xludf.DUMMYFUNCTION("""COMPUTED_VALUE"""),2236082)</f>
        <v>2236082</v>
      </c>
      <c r="G730" s="40" t="str">
        <f ca="1">IFERROR(__xludf.DUMMYFUNCTION("""COMPUTED_VALUE"""),"TÉCNICO")</f>
        <v>TÉCNICO</v>
      </c>
      <c r="H730" s="40" t="str">
        <f ca="1">IFERROR(__xludf.DUMMYFUNCTION("""COMPUTED_VALUE"""),"SISTEMAS.")</f>
        <v>SISTEMAS.</v>
      </c>
      <c r="I730" s="40"/>
      <c r="J730" s="40" t="str">
        <f ca="1">IFERROR(__xludf.DUMMYFUNCTION("""COMPUTED_VALUE"""),"aunerrodriguez201906@gmail.com")</f>
        <v>aunerrodriguez201906@gmail.com</v>
      </c>
      <c r="K730" s="40" t="str">
        <f ca="1">IFERROR(__xludf.DUMMYFUNCTION("""COMPUTED_VALUE"""),"PITALITO")</f>
        <v>PITALITO</v>
      </c>
      <c r="L730" s="40" t="str">
        <f ca="1">IFERROR(__xludf.DUMMYFUNCTION("""COMPUTED_VALUE"""),"NO HA INICIADO ETAPA PRODUCTIVA")</f>
        <v>NO HA INICIADO ETAPA PRODUCTIVA</v>
      </c>
      <c r="M730" s="40"/>
      <c r="N730" s="40"/>
      <c r="O730" s="40"/>
      <c r="P730" s="40"/>
      <c r="Q730" s="40"/>
      <c r="R730" s="140"/>
      <c r="S730" s="140"/>
      <c r="T730" s="40"/>
      <c r="U730" s="40" t="str">
        <f ca="1">IFERROR(__xludf.DUMMYFUNCTION("""COMPUTED_VALUE"""),"EDUARTO TRIANA ")</f>
        <v xml:space="preserve">EDUARTO TRIANA </v>
      </c>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t="str">
        <f ca="1">IFERROR(__xludf.DUMMYFUNCTION("""COMPUTED_VALUE"""),"NO_CUMPLE")</f>
        <v>NO_CUMPLE</v>
      </c>
      <c r="AV730" s="40" t="str">
        <f ca="1">IFERROR(__xludf.DUMMYFUNCTION("""COMPUTED_VALUE"""),"EN FORMACION")</f>
        <v>EN FORMACION</v>
      </c>
      <c r="AW730" s="40" t="str">
        <f ca="1">IFERROR(__xludf.DUMMYFUNCTION("""COMPUTED_VALUE"""),"TIC")</f>
        <v>TIC</v>
      </c>
      <c r="AX730" s="141">
        <f ca="1">IFERROR(__xludf.DUMMYFUNCTION("""COMPUTED_VALUE"""),0)</f>
        <v>0</v>
      </c>
      <c r="AY730" s="40">
        <f ca="1">IFERROR(__xludf.DUMMYFUNCTION("""COMPUTED_VALUE"""),0)</f>
        <v>0</v>
      </c>
      <c r="AZ730" s="40">
        <f ca="1">IFERROR(__xludf.DUMMYFUNCTION("""COMPUTED_VALUE"""),1)</f>
        <v>1</v>
      </c>
      <c r="BA730" s="40">
        <f ca="1">IFERROR(__xludf.DUMMYFUNCTION("""COMPUTED_VALUE"""),0)</f>
        <v>0</v>
      </c>
      <c r="BB730" s="40">
        <f ca="1">IFERROR(__xludf.DUMMYFUNCTION("""COMPUTED_VALUE"""),1)</f>
        <v>1</v>
      </c>
      <c r="BC730" s="40">
        <f ca="1">IFERROR(__xludf.DUMMYFUNCTION("""COMPUTED_VALUE"""),2)</f>
        <v>2</v>
      </c>
      <c r="BD730" s="141">
        <f ca="1">IFERROR(__xludf.DUMMYFUNCTION("""COMPUTED_VALUE"""),44221)</f>
        <v>44221</v>
      </c>
      <c r="BE730" s="141">
        <f ca="1">IFERROR(__xludf.DUMMYFUNCTION("""COMPUTED_VALUE"""),44493)</f>
        <v>44493</v>
      </c>
      <c r="BF730" s="141">
        <f ca="1">IFERROR(__xludf.DUMMYFUNCTION("""COMPUTED_VALUE"""),44675)</f>
        <v>44675</v>
      </c>
      <c r="BG730" s="141">
        <f ca="1">IFERROR(__xludf.DUMMYFUNCTION("""COMPUTED_VALUE"""),45223)</f>
        <v>45223</v>
      </c>
      <c r="BH730" s="40" t="str">
        <f ca="1">IFERROR(__xludf.DUMMYFUNCTION("""COMPUTED_VALUE"""),"FICHA EN TIEMPO-18 MESES")</f>
        <v>FICHA EN TIEMPO-18 MESES</v>
      </c>
      <c r="BI730" s="40" t="str">
        <f ca="1">IFERROR(__xludf.DUMMYFUNCTION("""COMPUTED_VALUE"""),"Terminada por fecha")</f>
        <v>Terminada por fecha</v>
      </c>
      <c r="BJ730" s="40" t="str">
        <f ca="1">IFERROR(__xludf.DUMMYFUNCTION("""COMPUTED_VALUE"""),"Yamboro")</f>
        <v>Yamboro</v>
      </c>
      <c r="BK730" s="40"/>
      <c r="BL730" s="40"/>
    </row>
    <row r="731" spans="1:64" ht="13">
      <c r="A731" s="40"/>
      <c r="B731" s="40" t="str">
        <f ca="1">IFERROR(__xludf.DUMMYFUNCTION("""COMPUTED_VALUE"""),"FORMACIÓN 18/10/2022")</f>
        <v>FORMACIÓN 18/10/2022</v>
      </c>
      <c r="C731" s="40" t="str">
        <f ca="1">IFERROR(__xludf.DUMMYFUNCTION("""COMPUTED_VALUE"""),"RONAL PEÑA CAJIBIOY")</f>
        <v>RONAL PEÑA CAJIBIOY</v>
      </c>
      <c r="D731" s="40" t="str">
        <f ca="1">IFERROR(__xludf.DUMMYFUNCTION("""COMPUTED_VALUE"""),"CC")</f>
        <v>CC</v>
      </c>
      <c r="E731" s="40">
        <f ca="1">IFERROR(__xludf.DUMMYFUNCTION("""COMPUTED_VALUE"""),1007575886)</f>
        <v>1007575886</v>
      </c>
      <c r="F731" s="40">
        <f ca="1">IFERROR(__xludf.DUMMYFUNCTION("""COMPUTED_VALUE"""),2236082)</f>
        <v>2236082</v>
      </c>
      <c r="G731" s="40" t="str">
        <f ca="1">IFERROR(__xludf.DUMMYFUNCTION("""COMPUTED_VALUE"""),"TÉCNICO")</f>
        <v>TÉCNICO</v>
      </c>
      <c r="H731" s="40" t="str">
        <f ca="1">IFERROR(__xludf.DUMMYFUNCTION("""COMPUTED_VALUE"""),"SISTEMAS.")</f>
        <v>SISTEMAS.</v>
      </c>
      <c r="I731" s="40">
        <f ca="1">IFERROR(__xludf.DUMMYFUNCTION("""COMPUTED_VALUE"""),3144724063)</f>
        <v>3144724063</v>
      </c>
      <c r="J731" s="40" t="str">
        <f ca="1">IFERROR(__xludf.DUMMYFUNCTION("""COMPUTED_VALUE"""),"penacajib.23@gmail.com")</f>
        <v>penacajib.23@gmail.com</v>
      </c>
      <c r="K731" s="40" t="str">
        <f ca="1">IFERROR(__xludf.DUMMYFUNCTION("""COMPUTED_VALUE"""),"PITALITO")</f>
        <v>PITALITO</v>
      </c>
      <c r="L731" s="40" t="str">
        <f ca="1">IFERROR(__xludf.DUMMYFUNCTION("""COMPUTED_VALUE"""),"NO HA INICIADO ETAPA PRODUCTIVA")</f>
        <v>NO HA INICIADO ETAPA PRODUCTIVA</v>
      </c>
      <c r="M731" s="40"/>
      <c r="N731" s="40"/>
      <c r="O731" s="40"/>
      <c r="P731" s="40"/>
      <c r="Q731" s="40"/>
      <c r="R731" s="140"/>
      <c r="S731" s="140"/>
      <c r="T731" s="40"/>
      <c r="U731" s="40" t="str">
        <f ca="1">IFERROR(__xludf.DUMMYFUNCTION("""COMPUTED_VALUE"""),"EDUARTO TRIANA ")</f>
        <v xml:space="preserve">EDUARTO TRIANA </v>
      </c>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t="str">
        <f ca="1">IFERROR(__xludf.DUMMYFUNCTION("""COMPUTED_VALUE"""),"NO_CUMPLE")</f>
        <v>NO_CUMPLE</v>
      </c>
      <c r="AV731" s="40" t="str">
        <f ca="1">IFERROR(__xludf.DUMMYFUNCTION("""COMPUTED_VALUE"""),"EN FORMACION")</f>
        <v>EN FORMACION</v>
      </c>
      <c r="AW731" s="40" t="str">
        <f ca="1">IFERROR(__xludf.DUMMYFUNCTION("""COMPUTED_VALUE"""),"TIC")</f>
        <v>TIC</v>
      </c>
      <c r="AX731" s="141">
        <f ca="1">IFERROR(__xludf.DUMMYFUNCTION("""COMPUTED_VALUE"""),0)</f>
        <v>0</v>
      </c>
      <c r="AY731" s="40">
        <f ca="1">IFERROR(__xludf.DUMMYFUNCTION("""COMPUTED_VALUE"""),0)</f>
        <v>0</v>
      </c>
      <c r="AZ731" s="40">
        <f ca="1">IFERROR(__xludf.DUMMYFUNCTION("""COMPUTED_VALUE"""),1)</f>
        <v>1</v>
      </c>
      <c r="BA731" s="40">
        <f ca="1">IFERROR(__xludf.DUMMYFUNCTION("""COMPUTED_VALUE"""),0)</f>
        <v>0</v>
      </c>
      <c r="BB731" s="40">
        <f ca="1">IFERROR(__xludf.DUMMYFUNCTION("""COMPUTED_VALUE"""),3)</f>
        <v>3</v>
      </c>
      <c r="BC731" s="40">
        <f ca="1">IFERROR(__xludf.DUMMYFUNCTION("""COMPUTED_VALUE"""),4)</f>
        <v>4</v>
      </c>
      <c r="BD731" s="141">
        <f ca="1">IFERROR(__xludf.DUMMYFUNCTION("""COMPUTED_VALUE"""),44221)</f>
        <v>44221</v>
      </c>
      <c r="BE731" s="141">
        <f ca="1">IFERROR(__xludf.DUMMYFUNCTION("""COMPUTED_VALUE"""),44493)</f>
        <v>44493</v>
      </c>
      <c r="BF731" s="141">
        <f ca="1">IFERROR(__xludf.DUMMYFUNCTION("""COMPUTED_VALUE"""),44675)</f>
        <v>44675</v>
      </c>
      <c r="BG731" s="141">
        <f ca="1">IFERROR(__xludf.DUMMYFUNCTION("""COMPUTED_VALUE"""),45223)</f>
        <v>45223</v>
      </c>
      <c r="BH731" s="40" t="str">
        <f ca="1">IFERROR(__xludf.DUMMYFUNCTION("""COMPUTED_VALUE"""),"FICHA EN TIEMPO-18 MESES")</f>
        <v>FICHA EN TIEMPO-18 MESES</v>
      </c>
      <c r="BI731" s="40" t="str">
        <f ca="1">IFERROR(__xludf.DUMMYFUNCTION("""COMPUTED_VALUE"""),"Terminada por fecha")</f>
        <v>Terminada por fecha</v>
      </c>
      <c r="BJ731" s="40" t="str">
        <f ca="1">IFERROR(__xludf.DUMMYFUNCTION("""COMPUTED_VALUE"""),"Yamboro")</f>
        <v>Yamboro</v>
      </c>
      <c r="BK731" s="40"/>
      <c r="BL731" s="40"/>
    </row>
    <row r="732" spans="1:64" ht="13">
      <c r="A732" s="40"/>
      <c r="B732" s="40" t="str">
        <f ca="1">IFERROR(__xludf.DUMMYFUNCTION("""COMPUTED_VALUE"""),"FORMACIÓN 18/10/2022")</f>
        <v>FORMACIÓN 18/10/2022</v>
      </c>
      <c r="C732" s="40" t="str">
        <f ca="1">IFERROR(__xludf.DUMMYFUNCTION("""COMPUTED_VALUE"""),"YESSICA FERNANDA HOYOS NAVIA")</f>
        <v>YESSICA FERNANDA HOYOS NAVIA</v>
      </c>
      <c r="D732" s="40" t="str">
        <f ca="1">IFERROR(__xludf.DUMMYFUNCTION("""COMPUTED_VALUE"""),"CC")</f>
        <v>CC</v>
      </c>
      <c r="E732" s="40">
        <f ca="1">IFERROR(__xludf.DUMMYFUNCTION("""COMPUTED_VALUE"""),1083906510)</f>
        <v>1083906510</v>
      </c>
      <c r="F732" s="40">
        <f ca="1">IFERROR(__xludf.DUMMYFUNCTION("""COMPUTED_VALUE"""),2236082)</f>
        <v>2236082</v>
      </c>
      <c r="G732" s="40" t="str">
        <f ca="1">IFERROR(__xludf.DUMMYFUNCTION("""COMPUTED_VALUE"""),"TÉCNICO")</f>
        <v>TÉCNICO</v>
      </c>
      <c r="H732" s="40" t="str">
        <f ca="1">IFERROR(__xludf.DUMMYFUNCTION("""COMPUTED_VALUE"""),"SISTEMAS.")</f>
        <v>SISTEMAS.</v>
      </c>
      <c r="I732" s="40">
        <f ca="1">IFERROR(__xludf.DUMMYFUNCTION("""COMPUTED_VALUE"""),3227756127)</f>
        <v>3227756127</v>
      </c>
      <c r="J732" s="40" t="str">
        <f ca="1">IFERROR(__xludf.DUMMYFUNCTION("""COMPUTED_VALUE"""),"yeka-skate@hotmail.com")</f>
        <v>yeka-skate@hotmail.com</v>
      </c>
      <c r="K732" s="40" t="str">
        <f ca="1">IFERROR(__xludf.DUMMYFUNCTION("""COMPUTED_VALUE"""),"PITALITO")</f>
        <v>PITALITO</v>
      </c>
      <c r="L732" s="40" t="str">
        <f ca="1">IFERROR(__xludf.DUMMYFUNCTION("""COMPUTED_VALUE"""),"PASANTÍAS")</f>
        <v>PASANTÍAS</v>
      </c>
      <c r="M732" s="40" t="str">
        <f ca="1">IFERROR(__xludf.DUMMYFUNCTION("""COMPUTED_VALUE"""),"CENTRO DE GESTIÓN Y DESARROLLO SOSTENIBLE SUR COLOMBIANO SENA")</f>
        <v>CENTRO DE GESTIÓN Y DESARROLLO SOSTENIBLE SUR COLOMBIANO SENA</v>
      </c>
      <c r="N732" s="40" t="str">
        <f ca="1">IFERROR(__xludf.DUMMYFUNCTION("""COMPUTED_VALUE"""),"PITALITO")</f>
        <v>PITALITO</v>
      </c>
      <c r="O732" s="40"/>
      <c r="P732" s="40" t="str">
        <f ca="1">IFERROR(__xludf.DUMMYFUNCTION("""COMPUTED_VALUE"""),"PITALITO")</f>
        <v>PITALITO</v>
      </c>
      <c r="Q732" s="40"/>
      <c r="R732" s="140">
        <f ca="1">IFERROR(__xludf.DUMMYFUNCTION("""COMPUTED_VALUE"""),44781)</f>
        <v>44781</v>
      </c>
      <c r="S732" s="140">
        <f ca="1">IFERROR(__xludf.DUMMYFUNCTION("""COMPUTED_VALUE"""),44964)</f>
        <v>44964</v>
      </c>
      <c r="T732" s="40" t="str">
        <f ca="1">IFERROR(__xludf.DUMMYFUNCTION("""COMPUTED_VALUE"""),"Tiene Acuerdo de voluntades, Incial, Parcial y bitácoras 1 y 2 ... Falta final, certificación y bitácoras 3,4,5,6,7,8,9,10,11  y 12 ... . Revisado 14/09/2022")</f>
        <v>Tiene Acuerdo de voluntades, Incial, Parcial y bitácoras 1 y 2 ... Falta final, certificación y bitácoras 3,4,5,6,7,8,9,10,11  y 12 ... . Revisado 14/09/2022</v>
      </c>
      <c r="U732" s="40" t="str">
        <f ca="1">IFERROR(__xludf.DUMMYFUNCTION("""COMPUTED_VALUE"""),"NORMA PEREZ - Subió Parcial y bitácoras 1 y 2... Revisado 14/09/2022")</f>
        <v>NORMA PEREZ - Subió Parcial y bitácoras 1 y 2... Revisado 14/09/2022</v>
      </c>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t="str">
        <f ca="1">IFERROR(__xludf.DUMMYFUNCTION("""COMPUTED_VALUE"""),"Procede_E_P")</f>
        <v>Procede_E_P</v>
      </c>
      <c r="AV732" s="40" t="str">
        <f ca="1">IFERROR(__xludf.DUMMYFUNCTION("""COMPUTED_VALUE"""),"EN FORMACION")</f>
        <v>EN FORMACION</v>
      </c>
      <c r="AW732" s="40" t="str">
        <f ca="1">IFERROR(__xludf.DUMMYFUNCTION("""COMPUTED_VALUE"""),"TIC")</f>
        <v>TIC</v>
      </c>
      <c r="AX732" s="141">
        <f ca="1">IFERROR(__xludf.DUMMYFUNCTION("""COMPUTED_VALUE"""),0)</f>
        <v>0</v>
      </c>
      <c r="AY732" s="40">
        <f ca="1">IFERROR(__xludf.DUMMYFUNCTION("""COMPUTED_VALUE"""),0)</f>
        <v>0</v>
      </c>
      <c r="AZ732" s="40">
        <f ca="1">IFERROR(__xludf.DUMMYFUNCTION("""COMPUTED_VALUE"""),1)</f>
        <v>1</v>
      </c>
      <c r="BA732" s="40">
        <f ca="1">IFERROR(__xludf.DUMMYFUNCTION("""COMPUTED_VALUE"""),0)</f>
        <v>0</v>
      </c>
      <c r="BB732" s="40">
        <f ca="1">IFERROR(__xludf.DUMMYFUNCTION("""COMPUTED_VALUE"""),0)</f>
        <v>0</v>
      </c>
      <c r="BC732" s="40">
        <f ca="1">IFERROR(__xludf.DUMMYFUNCTION("""COMPUTED_VALUE"""),1)</f>
        <v>1</v>
      </c>
      <c r="BD732" s="141">
        <f ca="1">IFERROR(__xludf.DUMMYFUNCTION("""COMPUTED_VALUE"""),44221)</f>
        <v>44221</v>
      </c>
      <c r="BE732" s="141">
        <f ca="1">IFERROR(__xludf.DUMMYFUNCTION("""COMPUTED_VALUE"""),44493)</f>
        <v>44493</v>
      </c>
      <c r="BF732" s="141">
        <f ca="1">IFERROR(__xludf.DUMMYFUNCTION("""COMPUTED_VALUE"""),44675)</f>
        <v>44675</v>
      </c>
      <c r="BG732" s="141">
        <f ca="1">IFERROR(__xludf.DUMMYFUNCTION("""COMPUTED_VALUE"""),45223)</f>
        <v>45223</v>
      </c>
      <c r="BH732" s="40" t="str">
        <f ca="1">IFERROR(__xludf.DUMMYFUNCTION("""COMPUTED_VALUE"""),"FICHA EN TIEMPO-18 MESES")</f>
        <v>FICHA EN TIEMPO-18 MESES</v>
      </c>
      <c r="BI732" s="40" t="str">
        <f ca="1">IFERROR(__xludf.DUMMYFUNCTION("""COMPUTED_VALUE"""),"Terminada por fecha")</f>
        <v>Terminada por fecha</v>
      </c>
      <c r="BJ732" s="40" t="str">
        <f ca="1">IFERROR(__xludf.DUMMYFUNCTION("""COMPUTED_VALUE"""),"Yamboro")</f>
        <v>Yamboro</v>
      </c>
      <c r="BK732" s="40"/>
      <c r="BL732" s="40"/>
    </row>
    <row r="733" spans="1:64" ht="13">
      <c r="A733" s="40"/>
      <c r="B733" s="40" t="str">
        <f ca="1">IFERROR(__xludf.DUMMYFUNCTION("""COMPUTED_VALUE"""),"FORMACIÓN 18/10/2022")</f>
        <v>FORMACIÓN 18/10/2022</v>
      </c>
      <c r="C733" s="40" t="str">
        <f ca="1">IFERROR(__xludf.DUMMYFUNCTION("""COMPUTED_VALUE"""),"JHON JAIROMUÑOZ PEÑA")</f>
        <v>JHON JAIROMUÑOZ PEÑA</v>
      </c>
      <c r="D733" s="40" t="str">
        <f ca="1">IFERROR(__xludf.DUMMYFUNCTION("""COMPUTED_VALUE"""),"cc")</f>
        <v>cc</v>
      </c>
      <c r="E733" s="40">
        <f ca="1">IFERROR(__xludf.DUMMYFUNCTION("""COMPUTED_VALUE"""),1000215806)</f>
        <v>1000215806</v>
      </c>
      <c r="F733" s="40">
        <f ca="1">IFERROR(__xludf.DUMMYFUNCTION("""COMPUTED_VALUE"""),2236082)</f>
        <v>2236082</v>
      </c>
      <c r="G733" s="40" t="str">
        <f ca="1">IFERROR(__xludf.DUMMYFUNCTION("""COMPUTED_VALUE"""),"TÉCNICO")</f>
        <v>TÉCNICO</v>
      </c>
      <c r="H733" s="40" t="str">
        <f ca="1">IFERROR(__xludf.DUMMYFUNCTION("""COMPUTED_VALUE"""),"SISTEMAS.")</f>
        <v>SISTEMAS.</v>
      </c>
      <c r="I733" s="40">
        <f ca="1">IFERROR(__xludf.DUMMYFUNCTION("""COMPUTED_VALUE"""),3105857406)</f>
        <v>3105857406</v>
      </c>
      <c r="J733" s="40" t="str">
        <f ca="1">IFERROR(__xludf.DUMMYFUNCTION("""COMPUTED_VALUE"""),"jhonmupe10@gmail.com")</f>
        <v>jhonmupe10@gmail.com</v>
      </c>
      <c r="K733" s="40" t="str">
        <f ca="1">IFERROR(__xludf.DUMMYFUNCTION("""COMPUTED_VALUE"""),"PITALITO")</f>
        <v>PITALITO</v>
      </c>
      <c r="L733" s="40" t="str">
        <f ca="1">IFERROR(__xludf.DUMMYFUNCTION("""COMPUTED_VALUE"""),"NO HA INICIADO ETAPA PRODUCTIVA")</f>
        <v>NO HA INICIADO ETAPA PRODUCTIVA</v>
      </c>
      <c r="M733" s="40"/>
      <c r="N733" s="40"/>
      <c r="O733" s="40"/>
      <c r="P733" s="40"/>
      <c r="Q733" s="40"/>
      <c r="R733" s="140"/>
      <c r="S733" s="140"/>
      <c r="T733" s="40"/>
      <c r="U733" s="40" t="str">
        <f ca="1">IFERROR(__xludf.DUMMYFUNCTION("""COMPUTED_VALUE"""),"EDUARTO TRIANA ")</f>
        <v xml:space="preserve">EDUARTO TRIANA </v>
      </c>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t="str">
        <f ca="1">IFERROR(__xludf.DUMMYFUNCTION("""COMPUTED_VALUE"""),"Procede_E_P")</f>
        <v>Procede_E_P</v>
      </c>
      <c r="AV733" s="40" t="str">
        <f ca="1">IFERROR(__xludf.DUMMYFUNCTION("""COMPUTED_VALUE"""),"EN FORMACION")</f>
        <v>EN FORMACION</v>
      </c>
      <c r="AW733" s="40" t="str">
        <f ca="1">IFERROR(__xludf.DUMMYFUNCTION("""COMPUTED_VALUE"""),"TIC")</f>
        <v>TIC</v>
      </c>
      <c r="AX733" s="141">
        <f ca="1">IFERROR(__xludf.DUMMYFUNCTION("""COMPUTED_VALUE"""),0)</f>
        <v>0</v>
      </c>
      <c r="AY733" s="40">
        <f ca="1">IFERROR(__xludf.DUMMYFUNCTION("""COMPUTED_VALUE"""),0)</f>
        <v>0</v>
      </c>
      <c r="AZ733" s="40">
        <f ca="1">IFERROR(__xludf.DUMMYFUNCTION("""COMPUTED_VALUE"""),1)</f>
        <v>1</v>
      </c>
      <c r="BA733" s="40">
        <f ca="1">IFERROR(__xludf.DUMMYFUNCTION("""COMPUTED_VALUE"""),0)</f>
        <v>0</v>
      </c>
      <c r="BB733" s="40">
        <f ca="1">IFERROR(__xludf.DUMMYFUNCTION("""COMPUTED_VALUE"""),0)</f>
        <v>0</v>
      </c>
      <c r="BC733" s="40">
        <f ca="1">IFERROR(__xludf.DUMMYFUNCTION("""COMPUTED_VALUE"""),1)</f>
        <v>1</v>
      </c>
      <c r="BD733" s="141">
        <f ca="1">IFERROR(__xludf.DUMMYFUNCTION("""COMPUTED_VALUE"""),44221)</f>
        <v>44221</v>
      </c>
      <c r="BE733" s="141">
        <f ca="1">IFERROR(__xludf.DUMMYFUNCTION("""COMPUTED_VALUE"""),44493)</f>
        <v>44493</v>
      </c>
      <c r="BF733" s="141">
        <f ca="1">IFERROR(__xludf.DUMMYFUNCTION("""COMPUTED_VALUE"""),44675)</f>
        <v>44675</v>
      </c>
      <c r="BG733" s="141">
        <f ca="1">IFERROR(__xludf.DUMMYFUNCTION("""COMPUTED_VALUE"""),45223)</f>
        <v>45223</v>
      </c>
      <c r="BH733" s="40" t="str">
        <f ca="1">IFERROR(__xludf.DUMMYFUNCTION("""COMPUTED_VALUE"""),"FICHA EN TIEMPO-18 MESES")</f>
        <v>FICHA EN TIEMPO-18 MESES</v>
      </c>
      <c r="BI733" s="40" t="str">
        <f ca="1">IFERROR(__xludf.DUMMYFUNCTION("""COMPUTED_VALUE"""),"Terminada por fecha")</f>
        <v>Terminada por fecha</v>
      </c>
      <c r="BJ733" s="40" t="str">
        <f ca="1">IFERROR(__xludf.DUMMYFUNCTION("""COMPUTED_VALUE"""),"Yamboro")</f>
        <v>Yamboro</v>
      </c>
      <c r="BK733" s="40"/>
      <c r="BL733" s="40"/>
    </row>
    <row r="734" spans="1:64" ht="13">
      <c r="A734" s="40"/>
      <c r="B734" s="40" t="str">
        <f ca="1">IFERROR(__xludf.DUMMYFUNCTION("""COMPUTED_VALUE"""),"FORMACIÓN 18/10/2022")</f>
        <v>FORMACIÓN 18/10/2022</v>
      </c>
      <c r="C734" s="40" t="str">
        <f ca="1">IFERROR(__xludf.DUMMYFUNCTION("""COMPUTED_VALUE"""),"KEVIN CHILITO COLLAZOS")</f>
        <v>KEVIN CHILITO COLLAZOS</v>
      </c>
      <c r="D734" s="40" t="str">
        <f ca="1">IFERROR(__xludf.DUMMYFUNCTION("""COMPUTED_VALUE"""),"TI")</f>
        <v>TI</v>
      </c>
      <c r="E734" s="40">
        <f ca="1">IFERROR(__xludf.DUMMYFUNCTION("""COMPUTED_VALUE"""),1004418279)</f>
        <v>1004418279</v>
      </c>
      <c r="F734" s="40">
        <f ca="1">IFERROR(__xludf.DUMMYFUNCTION("""COMPUTED_VALUE"""),2236082)</f>
        <v>2236082</v>
      </c>
      <c r="G734" s="40" t="str">
        <f ca="1">IFERROR(__xludf.DUMMYFUNCTION("""COMPUTED_VALUE"""),"TÉCNICO")</f>
        <v>TÉCNICO</v>
      </c>
      <c r="H734" s="40" t="str">
        <f ca="1">IFERROR(__xludf.DUMMYFUNCTION("""COMPUTED_VALUE"""),"SISTEMAS.")</f>
        <v>SISTEMAS.</v>
      </c>
      <c r="I734" s="40">
        <f ca="1">IFERROR(__xludf.DUMMYFUNCTION("""COMPUTED_VALUE"""),3505962365)</f>
        <v>3505962365</v>
      </c>
      <c r="J734" s="40" t="str">
        <f ca="1">IFERROR(__xludf.DUMMYFUNCTION("""COMPUTED_VALUE"""),"kevinchilito202@gmail.com")</f>
        <v>kevinchilito202@gmail.com</v>
      </c>
      <c r="K734" s="40" t="str">
        <f ca="1">IFERROR(__xludf.DUMMYFUNCTION("""COMPUTED_VALUE"""),"PITALITO")</f>
        <v>PITALITO</v>
      </c>
      <c r="L734" s="40" t="str">
        <f ca="1">IFERROR(__xludf.DUMMYFUNCTION("""COMPUTED_VALUE"""),"NO HA INICIADO ETAPA PRODUCTIVA")</f>
        <v>NO HA INICIADO ETAPA PRODUCTIVA</v>
      </c>
      <c r="M734" s="40"/>
      <c r="N734" s="40"/>
      <c r="O734" s="40"/>
      <c r="P734" s="40"/>
      <c r="Q734" s="40"/>
      <c r="R734" s="140"/>
      <c r="S734" s="140"/>
      <c r="T734" s="40"/>
      <c r="U734" s="40" t="str">
        <f ca="1">IFERROR(__xludf.DUMMYFUNCTION("""COMPUTED_VALUE"""),"EDUARTO TRIANA ")</f>
        <v xml:space="preserve">EDUARTO TRIANA </v>
      </c>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t="str">
        <f ca="1">IFERROR(__xludf.DUMMYFUNCTION("""COMPUTED_VALUE"""),"NO_CUMPLE")</f>
        <v>NO_CUMPLE</v>
      </c>
      <c r="AV734" s="40" t="str">
        <f ca="1">IFERROR(__xludf.DUMMYFUNCTION("""COMPUTED_VALUE"""),"EN FORMACION")</f>
        <v>EN FORMACION</v>
      </c>
      <c r="AW734" s="40" t="str">
        <f ca="1">IFERROR(__xludf.DUMMYFUNCTION("""COMPUTED_VALUE"""),"TIC")</f>
        <v>TIC</v>
      </c>
      <c r="AX734" s="141">
        <f ca="1">IFERROR(__xludf.DUMMYFUNCTION("""COMPUTED_VALUE"""),0)</f>
        <v>0</v>
      </c>
      <c r="AY734" s="40">
        <f ca="1">IFERROR(__xludf.DUMMYFUNCTION("""COMPUTED_VALUE"""),0)</f>
        <v>0</v>
      </c>
      <c r="AZ734" s="40">
        <f ca="1">IFERROR(__xludf.DUMMYFUNCTION("""COMPUTED_VALUE"""),1)</f>
        <v>1</v>
      </c>
      <c r="BA734" s="40">
        <f ca="1">IFERROR(__xludf.DUMMYFUNCTION("""COMPUTED_VALUE"""),0)</f>
        <v>0</v>
      </c>
      <c r="BB734" s="40">
        <f ca="1">IFERROR(__xludf.DUMMYFUNCTION("""COMPUTED_VALUE"""),3)</f>
        <v>3</v>
      </c>
      <c r="BC734" s="40">
        <f ca="1">IFERROR(__xludf.DUMMYFUNCTION("""COMPUTED_VALUE"""),4)</f>
        <v>4</v>
      </c>
      <c r="BD734" s="141">
        <f ca="1">IFERROR(__xludf.DUMMYFUNCTION("""COMPUTED_VALUE"""),44221)</f>
        <v>44221</v>
      </c>
      <c r="BE734" s="141">
        <f ca="1">IFERROR(__xludf.DUMMYFUNCTION("""COMPUTED_VALUE"""),44493)</f>
        <v>44493</v>
      </c>
      <c r="BF734" s="141">
        <f ca="1">IFERROR(__xludf.DUMMYFUNCTION("""COMPUTED_VALUE"""),44675)</f>
        <v>44675</v>
      </c>
      <c r="BG734" s="141">
        <f ca="1">IFERROR(__xludf.DUMMYFUNCTION("""COMPUTED_VALUE"""),45223)</f>
        <v>45223</v>
      </c>
      <c r="BH734" s="40" t="str">
        <f ca="1">IFERROR(__xludf.DUMMYFUNCTION("""COMPUTED_VALUE"""),"FICHA EN TIEMPO-18 MESES")</f>
        <v>FICHA EN TIEMPO-18 MESES</v>
      </c>
      <c r="BI734" s="40" t="str">
        <f ca="1">IFERROR(__xludf.DUMMYFUNCTION("""COMPUTED_VALUE"""),"Terminada por fecha")</f>
        <v>Terminada por fecha</v>
      </c>
      <c r="BJ734" s="40" t="str">
        <f ca="1">IFERROR(__xludf.DUMMYFUNCTION("""COMPUTED_VALUE"""),"Yamboro")</f>
        <v>Yamboro</v>
      </c>
      <c r="BK734" s="40"/>
      <c r="BL734" s="40"/>
    </row>
    <row r="735" spans="1:64" ht="13">
      <c r="A735" s="40"/>
      <c r="B735" s="40" t="str">
        <f ca="1">IFERROR(__xludf.DUMMYFUNCTION("""COMPUTED_VALUE"""),"FORMACIÓN 18/10/2022")</f>
        <v>FORMACIÓN 18/10/2022</v>
      </c>
      <c r="C735" s="40" t="str">
        <f ca="1">IFERROR(__xludf.DUMMYFUNCTION("""COMPUTED_VALUE"""),"CARLOS ANDRES PALOMARES BOLAÑOS")</f>
        <v>CARLOS ANDRES PALOMARES BOLAÑOS</v>
      </c>
      <c r="D735" s="40" t="str">
        <f ca="1">IFERROR(__xludf.DUMMYFUNCTION("""COMPUTED_VALUE"""),"cc")</f>
        <v>cc</v>
      </c>
      <c r="E735" s="40">
        <f ca="1">IFERROR(__xludf.DUMMYFUNCTION("""COMPUTED_VALUE"""),1004446290)</f>
        <v>1004446290</v>
      </c>
      <c r="F735" s="40">
        <f ca="1">IFERROR(__xludf.DUMMYFUNCTION("""COMPUTED_VALUE"""),2236082)</f>
        <v>2236082</v>
      </c>
      <c r="G735" s="40" t="str">
        <f ca="1">IFERROR(__xludf.DUMMYFUNCTION("""COMPUTED_VALUE"""),"TÉCNICO")</f>
        <v>TÉCNICO</v>
      </c>
      <c r="H735" s="40" t="str">
        <f ca="1">IFERROR(__xludf.DUMMYFUNCTION("""COMPUTED_VALUE"""),"SISTEMAS.")</f>
        <v>SISTEMAS.</v>
      </c>
      <c r="I735" s="40">
        <f ca="1">IFERROR(__xludf.DUMMYFUNCTION("""COMPUTED_VALUE"""),3128264725)</f>
        <v>3128264725</v>
      </c>
      <c r="J735" s="40" t="str">
        <f ca="1">IFERROR(__xludf.DUMMYFUNCTION("""COMPUTED_VALUE"""),"palomarescarlos37@gmail.com")</f>
        <v>palomarescarlos37@gmail.com</v>
      </c>
      <c r="K735" s="40" t="str">
        <f ca="1">IFERROR(__xludf.DUMMYFUNCTION("""COMPUTED_VALUE"""),"PITALITO")</f>
        <v>PITALITO</v>
      </c>
      <c r="L735" s="40" t="str">
        <f ca="1">IFERROR(__xludf.DUMMYFUNCTION("""COMPUTED_VALUE"""),"NO HA INICIADO ETAPA PRODUCTIVA")</f>
        <v>NO HA INICIADO ETAPA PRODUCTIVA</v>
      </c>
      <c r="M735" s="40"/>
      <c r="N735" s="40"/>
      <c r="O735" s="40"/>
      <c r="P735" s="40"/>
      <c r="Q735" s="40"/>
      <c r="R735" s="140"/>
      <c r="S735" s="140"/>
      <c r="T735" s="40"/>
      <c r="U735" s="40" t="str">
        <f ca="1">IFERROR(__xludf.DUMMYFUNCTION("""COMPUTED_VALUE"""),"EDUARTO TRIANA ")</f>
        <v xml:space="preserve">EDUARTO TRIANA </v>
      </c>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t="str">
        <f ca="1">IFERROR(__xludf.DUMMYFUNCTION("""COMPUTED_VALUE"""),"Procede_E_P")</f>
        <v>Procede_E_P</v>
      </c>
      <c r="AV735" s="40" t="str">
        <f ca="1">IFERROR(__xludf.DUMMYFUNCTION("""COMPUTED_VALUE"""),"EN FORMACION")</f>
        <v>EN FORMACION</v>
      </c>
      <c r="AW735" s="40" t="str">
        <f ca="1">IFERROR(__xludf.DUMMYFUNCTION("""COMPUTED_VALUE"""),"TIC")</f>
        <v>TIC</v>
      </c>
      <c r="AX735" s="141">
        <f ca="1">IFERROR(__xludf.DUMMYFUNCTION("""COMPUTED_VALUE"""),0)</f>
        <v>0</v>
      </c>
      <c r="AY735" s="40">
        <f ca="1">IFERROR(__xludf.DUMMYFUNCTION("""COMPUTED_VALUE"""),0)</f>
        <v>0</v>
      </c>
      <c r="AZ735" s="40">
        <f ca="1">IFERROR(__xludf.DUMMYFUNCTION("""COMPUTED_VALUE"""),1)</f>
        <v>1</v>
      </c>
      <c r="BA735" s="40">
        <f ca="1">IFERROR(__xludf.DUMMYFUNCTION("""COMPUTED_VALUE"""),0)</f>
        <v>0</v>
      </c>
      <c r="BB735" s="40">
        <f ca="1">IFERROR(__xludf.DUMMYFUNCTION("""COMPUTED_VALUE"""),0)</f>
        <v>0</v>
      </c>
      <c r="BC735" s="40">
        <f ca="1">IFERROR(__xludf.DUMMYFUNCTION("""COMPUTED_VALUE"""),1)</f>
        <v>1</v>
      </c>
      <c r="BD735" s="141">
        <f ca="1">IFERROR(__xludf.DUMMYFUNCTION("""COMPUTED_VALUE"""),44221)</f>
        <v>44221</v>
      </c>
      <c r="BE735" s="141">
        <f ca="1">IFERROR(__xludf.DUMMYFUNCTION("""COMPUTED_VALUE"""),44493)</f>
        <v>44493</v>
      </c>
      <c r="BF735" s="141">
        <f ca="1">IFERROR(__xludf.DUMMYFUNCTION("""COMPUTED_VALUE"""),44675)</f>
        <v>44675</v>
      </c>
      <c r="BG735" s="141">
        <f ca="1">IFERROR(__xludf.DUMMYFUNCTION("""COMPUTED_VALUE"""),45223)</f>
        <v>45223</v>
      </c>
      <c r="BH735" s="40" t="str">
        <f ca="1">IFERROR(__xludf.DUMMYFUNCTION("""COMPUTED_VALUE"""),"FICHA EN TIEMPO-18 MESES")</f>
        <v>FICHA EN TIEMPO-18 MESES</v>
      </c>
      <c r="BI735" s="40" t="str">
        <f ca="1">IFERROR(__xludf.DUMMYFUNCTION("""COMPUTED_VALUE"""),"Terminada por fecha")</f>
        <v>Terminada por fecha</v>
      </c>
      <c r="BJ735" s="40" t="str">
        <f ca="1">IFERROR(__xludf.DUMMYFUNCTION("""COMPUTED_VALUE"""),"Yamboro")</f>
        <v>Yamboro</v>
      </c>
      <c r="BK735" s="40"/>
      <c r="BL735" s="40"/>
    </row>
    <row r="736" spans="1:64" ht="13">
      <c r="A736" s="40" t="str">
        <f ca="1">IFERROR(__xludf.DUMMYFUNCTION("""COMPUTED_VALUE"""),"registrado 09/03")</f>
        <v>registrado 09/03</v>
      </c>
      <c r="B736" s="40" t="str">
        <f ca="1">IFERROR(__xludf.DUMMYFUNCTION("""COMPUTED_VALUE"""),"FORMACIÓN 18/10/2022")</f>
        <v>FORMACIÓN 18/10/2022</v>
      </c>
      <c r="C736" s="40" t="str">
        <f ca="1">IFERROR(__xludf.DUMMYFUNCTION("""COMPUTED_VALUE"""),"LUIS MILTON GUERRERO GIRON")</f>
        <v>LUIS MILTON GUERRERO GIRON</v>
      </c>
      <c r="D736" s="40" t="str">
        <f ca="1">IFERROR(__xludf.DUMMYFUNCTION("""COMPUTED_VALUE"""),"CC")</f>
        <v>CC</v>
      </c>
      <c r="E736" s="40">
        <f ca="1">IFERROR(__xludf.DUMMYFUNCTION("""COMPUTED_VALUE"""),1005741495)</f>
        <v>1005741495</v>
      </c>
      <c r="F736" s="40">
        <f ca="1">IFERROR(__xludf.DUMMYFUNCTION("""COMPUTED_VALUE"""),2067690)</f>
        <v>2067690</v>
      </c>
      <c r="G736" s="40" t="str">
        <f ca="1">IFERROR(__xludf.DUMMYFUNCTION("""COMPUTED_VALUE"""),"TECNÓLOGO")</f>
        <v>TECNÓLOGO</v>
      </c>
      <c r="H736" s="40" t="str">
        <f ca="1">IFERROR(__xludf.DUMMYFUNCTION("""COMPUTED_VALUE"""),"PRODUCCION DE MULTIMEDIA")</f>
        <v>PRODUCCION DE MULTIMEDIA</v>
      </c>
      <c r="I736" s="40">
        <f ca="1">IFERROR(__xludf.DUMMYFUNCTION("""COMPUTED_VALUE"""),3102392469)</f>
        <v>3102392469</v>
      </c>
      <c r="J736" s="40" t="str">
        <f ca="1">IFERROR(__xludf.DUMMYFUNCTION("""COMPUTED_VALUE"""),"luismilton1236@gmail.com")</f>
        <v>luismilton1236@gmail.com</v>
      </c>
      <c r="K736" s="40" t="str">
        <f ca="1">IFERROR(__xludf.DUMMYFUNCTION("""COMPUTED_VALUE"""),"Pitalito")</f>
        <v>Pitalito</v>
      </c>
      <c r="L736" s="40" t="str">
        <f ca="1">IFERROR(__xludf.DUMMYFUNCTION("""COMPUTED_VALUE"""),"PASANTÍAS")</f>
        <v>PASANTÍAS</v>
      </c>
      <c r="M736" s="40" t="str">
        <f ca="1">IFERROR(__xludf.DUMMYFUNCTION("""COMPUTED_VALUE"""),"PUBLISUR AGENCIA  CREACTIVA")</f>
        <v>PUBLISUR AGENCIA  CREACTIVA</v>
      </c>
      <c r="N736" s="40" t="str">
        <f ca="1">IFERROR(__xludf.DUMMYFUNCTION("""COMPUTED_VALUE"""),"CARRERA 6-N°7-52")</f>
        <v>CARRERA 6-N°7-52</v>
      </c>
      <c r="O736" s="40">
        <f ca="1">IFERROR(__xludf.DUMMYFUNCTION("""COMPUTED_VALUE"""),3124145794)</f>
        <v>3124145794</v>
      </c>
      <c r="P736" s="40"/>
      <c r="Q736" s="40"/>
      <c r="R736" s="140">
        <f ca="1">IFERROR(__xludf.DUMMYFUNCTION("""COMPUTED_VALUE"""),44629)</f>
        <v>44629</v>
      </c>
      <c r="S736" s="140">
        <f ca="1">IFERROR(__xludf.DUMMYFUNCTION("""COMPUTED_VALUE"""),44813)</f>
        <v>44813</v>
      </c>
      <c r="T736" s="40" t="str">
        <f ca="1">IFERROR(__xludf.DUMMYFUNCTION("""COMPUTED_VALUE"""),"Tiene acuerdo de voluntades, falta seguimiento y bitácoras..Revisado 10/03/2022")</f>
        <v>Tiene acuerdo de voluntades, falta seguimiento y bitácoras..Revisado 10/03/2022</v>
      </c>
      <c r="U736" s="40" t="str">
        <f ca="1">IFERROR(__xludf.DUMMYFUNCTION("""COMPUTED_VALUE"""),"Diana Ávila")</f>
        <v>Diana Ávila</v>
      </c>
      <c r="V736" s="40" t="str">
        <f ca="1">IFERROR(__xludf.DUMMYFUNCTION("""COMPUTED_VALUE"""),"No tiene seguimieto ...Revisdo 25/04/2022")</f>
        <v>No tiene seguimieto ...Revisdo 25/04/2022</v>
      </c>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t="str">
        <f ca="1">IFERROR(__xludf.DUMMYFUNCTION("""COMPUTED_VALUE"""),"Procede_E_P")</f>
        <v>Procede_E_P</v>
      </c>
      <c r="AV736" s="40" t="str">
        <f ca="1">IFERROR(__xludf.DUMMYFUNCTION("""COMPUTED_VALUE"""),"EN FORMACION")</f>
        <v>EN FORMACION</v>
      </c>
      <c r="AW736" s="40" t="str">
        <f ca="1">IFERROR(__xludf.DUMMYFUNCTION("""COMPUTED_VALUE"""),"TIC")</f>
        <v>TIC</v>
      </c>
      <c r="AX736" s="141">
        <f ca="1">IFERROR(__xludf.DUMMYFUNCTION("""COMPUTED_VALUE"""),0)</f>
        <v>0</v>
      </c>
      <c r="AY736" s="40">
        <f ca="1">IFERROR(__xludf.DUMMYFUNCTION("""COMPUTED_VALUE"""),0)</f>
        <v>0</v>
      </c>
      <c r="AZ736" s="40">
        <f ca="1">IFERROR(__xludf.DUMMYFUNCTION("""COMPUTED_VALUE"""),1)</f>
        <v>1</v>
      </c>
      <c r="BA736" s="40">
        <f ca="1">IFERROR(__xludf.DUMMYFUNCTION("""COMPUTED_VALUE"""),0)</f>
        <v>0</v>
      </c>
      <c r="BB736" s="40">
        <f ca="1">IFERROR(__xludf.DUMMYFUNCTION("""COMPUTED_VALUE"""),0)</f>
        <v>0</v>
      </c>
      <c r="BC736" s="40">
        <f ca="1">IFERROR(__xludf.DUMMYFUNCTION("""COMPUTED_VALUE"""),1)</f>
        <v>1</v>
      </c>
      <c r="BD736" s="141">
        <f ca="1">IFERROR(__xludf.DUMMYFUNCTION("""COMPUTED_VALUE"""),43934)</f>
        <v>43934</v>
      </c>
      <c r="BE736" s="141">
        <f ca="1">IFERROR(__xludf.DUMMYFUNCTION("""COMPUTED_VALUE"""),44543)</f>
        <v>44543</v>
      </c>
      <c r="BF736" s="141">
        <f ca="1">IFERROR(__xludf.DUMMYFUNCTION("""COMPUTED_VALUE"""),44725)</f>
        <v>44725</v>
      </c>
      <c r="BG736" s="141">
        <f ca="1">IFERROR(__xludf.DUMMYFUNCTION("""COMPUTED_VALUE"""),45273)</f>
        <v>45273</v>
      </c>
      <c r="BH736" s="40" t="str">
        <f ca="1">IFERROR(__xludf.DUMMYFUNCTION("""COMPUTED_VALUE"""),"FICHA EN TIEMPO-18 MESES")</f>
        <v>FICHA EN TIEMPO-18 MESES</v>
      </c>
      <c r="BI736" s="40" t="str">
        <f ca="1">IFERROR(__xludf.DUMMYFUNCTION("""COMPUTED_VALUE"""),"Terminada por fecha")</f>
        <v>Terminada por fecha</v>
      </c>
      <c r="BJ736" s="40" t="str">
        <f ca="1">IFERROR(__xludf.DUMMYFUNCTION("""COMPUTED_VALUE"""),"Yamboro")</f>
        <v>Yamboro</v>
      </c>
      <c r="BK736" s="40"/>
      <c r="BL736" s="40"/>
    </row>
    <row r="737" spans="1:64" ht="13">
      <c r="A737" s="40"/>
      <c r="B737" s="40" t="str">
        <f ca="1">IFERROR(__xludf.DUMMYFUNCTION("""COMPUTED_VALUE"""),"FORMACIÓN 18/10/2022")</f>
        <v>FORMACIÓN 18/10/2022</v>
      </c>
      <c r="C737" s="40" t="str">
        <f ca="1">IFERROR(__xludf.DUMMYFUNCTION("""COMPUTED_VALUE"""),"JESUS SANTIAGO JIMENEZ HERRERA")</f>
        <v>JESUS SANTIAGO JIMENEZ HERRERA</v>
      </c>
      <c r="D737" s="40" t="str">
        <f ca="1">IFERROR(__xludf.DUMMYFUNCTION("""COMPUTED_VALUE"""),"CC")</f>
        <v>CC</v>
      </c>
      <c r="E737" s="40">
        <f ca="1">IFERROR(__xludf.DUMMYFUNCTION("""COMPUTED_VALUE"""),1007194640)</f>
        <v>1007194640</v>
      </c>
      <c r="F737" s="40">
        <f ca="1">IFERROR(__xludf.DUMMYFUNCTION("""COMPUTED_VALUE"""),2067690)</f>
        <v>2067690</v>
      </c>
      <c r="G737" s="40" t="str">
        <f ca="1">IFERROR(__xludf.DUMMYFUNCTION("""COMPUTED_VALUE"""),"TECNÓLOGO")</f>
        <v>TECNÓLOGO</v>
      </c>
      <c r="H737" s="40" t="str">
        <f ca="1">IFERROR(__xludf.DUMMYFUNCTION("""COMPUTED_VALUE"""),"PRODUCCION DE MULTIMEDIA")</f>
        <v>PRODUCCION DE MULTIMEDIA</v>
      </c>
      <c r="I737" s="40">
        <f ca="1">IFERROR(__xludf.DUMMYFUNCTION("""COMPUTED_VALUE"""),3102446633)</f>
        <v>3102446633</v>
      </c>
      <c r="J737" s="40" t="str">
        <f ca="1">IFERROR(__xludf.DUMMYFUNCTION("""COMPUTED_VALUE"""),"jjesussantiago14@gmail.com")</f>
        <v>jjesussantiago14@gmail.com</v>
      </c>
      <c r="K737" s="40" t="str">
        <f ca="1">IFERROR(__xludf.DUMMYFUNCTION("""COMPUTED_VALUE"""),"Pitalito")</f>
        <v>Pitalito</v>
      </c>
      <c r="L737" s="40" t="str">
        <f ca="1">IFERROR(__xludf.DUMMYFUNCTION("""COMPUTED_VALUE"""),"CONTRATO DE APRENDIZAJE ")</f>
        <v xml:space="preserve">CONTRATO DE APRENDIZAJE </v>
      </c>
      <c r="M737" s="40" t="str">
        <f ca="1">IFERROR(__xludf.DUMMYFUNCTION("""COMPUTED_VALUE"""),"FUNDACION UNIVERSITARIA MARIA CANO")</f>
        <v>FUNDACION UNIVERSITARIA MARIA CANO</v>
      </c>
      <c r="N737" s="40"/>
      <c r="O737" s="40"/>
      <c r="P737" s="40"/>
      <c r="Q737" s="40"/>
      <c r="R737" s="140">
        <f ca="1">IFERROR(__xludf.DUMMYFUNCTION("""COMPUTED_VALUE"""),44720)</f>
        <v>44720</v>
      </c>
      <c r="S737" s="140">
        <f ca="1">IFERROR(__xludf.DUMMYFUNCTION("""COMPUTED_VALUE"""),44902)</f>
        <v>44902</v>
      </c>
      <c r="T737" s="40" t="str">
        <f ca="1">IFERROR(__xludf.DUMMYFUNCTION("""COMPUTED_VALUE""")," Tiene contrato, Inicial, Parcial y bitácoras 1,2,3,4,5,6 y 7....  falta final,certificación  y bitácoras 8,9,10,11 y 12..Revisado 29/09/2022")</f>
        <v xml:space="preserve"> Tiene contrato, Inicial, Parcial y bitácoras 1,2,3,4,5,6 y 7....  falta final,certificación  y bitácoras 8,9,10,11 y 12..Revisado 29/09/2022</v>
      </c>
      <c r="U737" s="40" t="str">
        <f ca="1">IFERROR(__xludf.DUMMYFUNCTION("""COMPUTED_VALUE"""),"Diana Ávila - Subió Inicial, Parcial, Bitácoras 1,2,3,4,5,6,7... Revisado 29/09/2022")</f>
        <v>Diana Ávila - Subió Inicial, Parcial, Bitácoras 1,2,3,4,5,6,7... Revisado 29/09/2022</v>
      </c>
      <c r="V737" s="40" t="str">
        <f ca="1">IFERROR(__xludf.DUMMYFUNCTION("""COMPUTED_VALUE"""),"SI tiene seguimieto ...Revisdo 29/09/2022")</f>
        <v>SI tiene seguimieto ...Revisdo 29/09/2022</v>
      </c>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t="str">
        <f ca="1">IFERROR(__xludf.DUMMYFUNCTION("""COMPUTED_VALUE"""),"Procede_E_P")</f>
        <v>Procede_E_P</v>
      </c>
      <c r="AV737" s="40" t="str">
        <f ca="1">IFERROR(__xludf.DUMMYFUNCTION("""COMPUTED_VALUE"""),"EN FORMACION")</f>
        <v>EN FORMACION</v>
      </c>
      <c r="AW737" s="40" t="str">
        <f ca="1">IFERROR(__xludf.DUMMYFUNCTION("""COMPUTED_VALUE"""),"TIC")</f>
        <v>TIC</v>
      </c>
      <c r="AX737" s="141">
        <f ca="1">IFERROR(__xludf.DUMMYFUNCTION("""COMPUTED_VALUE"""),0)</f>
        <v>0</v>
      </c>
      <c r="AY737" s="40">
        <f ca="1">IFERROR(__xludf.DUMMYFUNCTION("""COMPUTED_VALUE"""),0)</f>
        <v>0</v>
      </c>
      <c r="AZ737" s="40">
        <f ca="1">IFERROR(__xludf.DUMMYFUNCTION("""COMPUTED_VALUE"""),1)</f>
        <v>1</v>
      </c>
      <c r="BA737" s="40">
        <f ca="1">IFERROR(__xludf.DUMMYFUNCTION("""COMPUTED_VALUE"""),0)</f>
        <v>0</v>
      </c>
      <c r="BB737" s="40">
        <f ca="1">IFERROR(__xludf.DUMMYFUNCTION("""COMPUTED_VALUE"""),0)</f>
        <v>0</v>
      </c>
      <c r="BC737" s="40">
        <f ca="1">IFERROR(__xludf.DUMMYFUNCTION("""COMPUTED_VALUE"""),1)</f>
        <v>1</v>
      </c>
      <c r="BD737" s="141">
        <f ca="1">IFERROR(__xludf.DUMMYFUNCTION("""COMPUTED_VALUE"""),43934)</f>
        <v>43934</v>
      </c>
      <c r="BE737" s="141">
        <f ca="1">IFERROR(__xludf.DUMMYFUNCTION("""COMPUTED_VALUE"""),44543)</f>
        <v>44543</v>
      </c>
      <c r="BF737" s="141">
        <f ca="1">IFERROR(__xludf.DUMMYFUNCTION("""COMPUTED_VALUE"""),44725)</f>
        <v>44725</v>
      </c>
      <c r="BG737" s="141">
        <f ca="1">IFERROR(__xludf.DUMMYFUNCTION("""COMPUTED_VALUE"""),45273)</f>
        <v>45273</v>
      </c>
      <c r="BH737" s="40" t="str">
        <f ca="1">IFERROR(__xludf.DUMMYFUNCTION("""COMPUTED_VALUE"""),"FICHA EN TIEMPO-18 MESES")</f>
        <v>FICHA EN TIEMPO-18 MESES</v>
      </c>
      <c r="BI737" s="40" t="str">
        <f ca="1">IFERROR(__xludf.DUMMYFUNCTION("""COMPUTED_VALUE"""),"Terminada por fecha")</f>
        <v>Terminada por fecha</v>
      </c>
      <c r="BJ737" s="40" t="str">
        <f ca="1">IFERROR(__xludf.DUMMYFUNCTION("""COMPUTED_VALUE"""),"Yamboro")</f>
        <v>Yamboro</v>
      </c>
      <c r="BK737" s="40"/>
      <c r="BL737" s="40"/>
    </row>
    <row r="738" spans="1:64" ht="13">
      <c r="A738" s="40"/>
      <c r="B738" s="40" t="str">
        <f ca="1">IFERROR(__xludf.DUMMYFUNCTION("""COMPUTED_VALUE"""),"FORMACIÓN 18/10/2022")</f>
        <v>FORMACIÓN 18/10/2022</v>
      </c>
      <c r="C738" s="40" t="str">
        <f ca="1">IFERROR(__xludf.DUMMYFUNCTION("""COMPUTED_VALUE"""),"DIEGO ALEXIS MUÑOZ GOMEZ")</f>
        <v>DIEGO ALEXIS MUÑOZ GOMEZ</v>
      </c>
      <c r="D738" s="40" t="str">
        <f ca="1">IFERROR(__xludf.DUMMYFUNCTION("""COMPUTED_VALUE"""),"CC")</f>
        <v>CC</v>
      </c>
      <c r="E738" s="40">
        <f ca="1">IFERROR(__xludf.DUMMYFUNCTION("""COMPUTED_VALUE"""),1007401555)</f>
        <v>1007401555</v>
      </c>
      <c r="F738" s="40">
        <f ca="1">IFERROR(__xludf.DUMMYFUNCTION("""COMPUTED_VALUE"""),2067690)</f>
        <v>2067690</v>
      </c>
      <c r="G738" s="40" t="str">
        <f ca="1">IFERROR(__xludf.DUMMYFUNCTION("""COMPUTED_VALUE"""),"TECNÓLOGO")</f>
        <v>TECNÓLOGO</v>
      </c>
      <c r="H738" s="40" t="str">
        <f ca="1">IFERROR(__xludf.DUMMYFUNCTION("""COMPUTED_VALUE"""),"PRODUCCION DE MULTIMEDIA")</f>
        <v>PRODUCCION DE MULTIMEDIA</v>
      </c>
      <c r="I738" s="40">
        <f ca="1">IFERROR(__xludf.DUMMYFUNCTION("""COMPUTED_VALUE"""),3227700429)</f>
        <v>3227700429</v>
      </c>
      <c r="J738" s="40" t="str">
        <f ca="1">IFERROR(__xludf.DUMMYFUNCTION("""COMPUTED_VALUE"""),"dogo12m@gmail.com")</f>
        <v>dogo12m@gmail.com</v>
      </c>
      <c r="K738" s="40" t="str">
        <f ca="1">IFERROR(__xludf.DUMMYFUNCTION("""COMPUTED_VALUE"""),"Pitalito")</f>
        <v>Pitalito</v>
      </c>
      <c r="L738" s="40" t="str">
        <f ca="1">IFERROR(__xludf.DUMMYFUNCTION("""COMPUTED_VALUE"""),"TERMINADO")</f>
        <v>TERMINADO</v>
      </c>
      <c r="M738" s="40"/>
      <c r="N738" s="40"/>
      <c r="O738" s="40"/>
      <c r="P738" s="40"/>
      <c r="Q738" s="40"/>
      <c r="R738" s="140"/>
      <c r="S738" s="140"/>
      <c r="T738" s="40" t="str">
        <f ca="1">IFERROR(__xludf.DUMMYFUNCTION("""COMPUTED_VALUE"""),"Por inconvenientes de salud decidió cancelar el contrato de aprendizaje a partir del 30 de septiembre de 2022, ya se realizó el seguimiento de retiro con el jefe directo. Además, el aprendiz manifestó querer terminar su etapa práctica con un proyecto prod"&amp;"uctivo, le dí las indicaciones del proceso que debe realizar para legalizar la modalidad y a la fecha el aprendiz no ha manifestado ningún avance en la planificación ni legalización de su proyecto. Le he marcado a su celular y  no responde.")</f>
        <v>Por inconvenientes de salud decidió cancelar el contrato de aprendizaje a partir del 30 de septiembre de 2022, ya se realizó el seguimiento de retiro con el jefe directo. Además, el aprendiz manifestó querer terminar su etapa práctica con un proyecto productivo, le dí las indicaciones del proceso que debe realizar para legalizar la modalidad y a la fecha el aprendiz no ha manifestado ningún avance en la planificación ni legalización de su proyecto. Le he marcado a su celular y  no responde.</v>
      </c>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t="str">
        <f ca="1">IFERROR(__xludf.DUMMYFUNCTION("""COMPUTED_VALUE"""),"Procede_E_P")</f>
        <v>Procede_E_P</v>
      </c>
      <c r="AV738" s="40" t="str">
        <f ca="1">IFERROR(__xludf.DUMMYFUNCTION("""COMPUTED_VALUE"""),"EN FORMACION")</f>
        <v>EN FORMACION</v>
      </c>
      <c r="AW738" s="40" t="str">
        <f ca="1">IFERROR(__xludf.DUMMYFUNCTION("""COMPUTED_VALUE"""),"TIC")</f>
        <v>TIC</v>
      </c>
      <c r="AX738" s="141">
        <f ca="1">IFERROR(__xludf.DUMMYFUNCTION("""COMPUTED_VALUE"""),0)</f>
        <v>0</v>
      </c>
      <c r="AY738" s="40">
        <f ca="1">IFERROR(__xludf.DUMMYFUNCTION("""COMPUTED_VALUE"""),0)</f>
        <v>0</v>
      </c>
      <c r="AZ738" s="40">
        <f ca="1">IFERROR(__xludf.DUMMYFUNCTION("""COMPUTED_VALUE"""),1)</f>
        <v>1</v>
      </c>
      <c r="BA738" s="40">
        <f ca="1">IFERROR(__xludf.DUMMYFUNCTION("""COMPUTED_VALUE"""),0)</f>
        <v>0</v>
      </c>
      <c r="BB738" s="40">
        <f ca="1">IFERROR(__xludf.DUMMYFUNCTION("""COMPUTED_VALUE"""),0)</f>
        <v>0</v>
      </c>
      <c r="BC738" s="40">
        <f ca="1">IFERROR(__xludf.DUMMYFUNCTION("""COMPUTED_VALUE"""),1)</f>
        <v>1</v>
      </c>
      <c r="BD738" s="141">
        <f ca="1">IFERROR(__xludf.DUMMYFUNCTION("""COMPUTED_VALUE"""),43934)</f>
        <v>43934</v>
      </c>
      <c r="BE738" s="141">
        <f ca="1">IFERROR(__xludf.DUMMYFUNCTION("""COMPUTED_VALUE"""),44543)</f>
        <v>44543</v>
      </c>
      <c r="BF738" s="141">
        <f ca="1">IFERROR(__xludf.DUMMYFUNCTION("""COMPUTED_VALUE"""),44725)</f>
        <v>44725</v>
      </c>
      <c r="BG738" s="141">
        <f ca="1">IFERROR(__xludf.DUMMYFUNCTION("""COMPUTED_VALUE"""),45273)</f>
        <v>45273</v>
      </c>
      <c r="BH738" s="40" t="str">
        <f ca="1">IFERROR(__xludf.DUMMYFUNCTION("""COMPUTED_VALUE"""),"FICHA EN TIEMPO-18 MESES")</f>
        <v>FICHA EN TIEMPO-18 MESES</v>
      </c>
      <c r="BI738" s="40" t="str">
        <f ca="1">IFERROR(__xludf.DUMMYFUNCTION("""COMPUTED_VALUE"""),"Terminada por fecha")</f>
        <v>Terminada por fecha</v>
      </c>
      <c r="BJ738" s="40" t="str">
        <f ca="1">IFERROR(__xludf.DUMMYFUNCTION("""COMPUTED_VALUE"""),"Yamboro")</f>
        <v>Yamboro</v>
      </c>
      <c r="BK738" s="40"/>
      <c r="BL738" s="40"/>
    </row>
    <row r="739" spans="1:64" ht="13">
      <c r="A739" s="40"/>
      <c r="B739" s="40" t="str">
        <f ca="1">IFERROR(__xludf.DUMMYFUNCTION("""COMPUTED_VALUE"""),"FORMACIÓN 18/10/2022")</f>
        <v>FORMACIÓN 18/10/2022</v>
      </c>
      <c r="C739" s="40" t="str">
        <f ca="1">IFERROR(__xludf.DUMMYFUNCTION("""COMPUTED_VALUE"""),"LEONOR ANACONA BASTIDAS")</f>
        <v>LEONOR ANACONA BASTIDAS</v>
      </c>
      <c r="D739" s="40" t="str">
        <f ca="1">IFERROR(__xludf.DUMMYFUNCTION("""COMPUTED_VALUE"""),"CC")</f>
        <v>CC</v>
      </c>
      <c r="E739" s="40">
        <f ca="1">IFERROR(__xludf.DUMMYFUNCTION("""COMPUTED_VALUE"""),1007431098)</f>
        <v>1007431098</v>
      </c>
      <c r="F739" s="40">
        <f ca="1">IFERROR(__xludf.DUMMYFUNCTION("""COMPUTED_VALUE"""),2067690)</f>
        <v>2067690</v>
      </c>
      <c r="G739" s="40" t="str">
        <f ca="1">IFERROR(__xludf.DUMMYFUNCTION("""COMPUTED_VALUE"""),"TECNÓLOGO")</f>
        <v>TECNÓLOGO</v>
      </c>
      <c r="H739" s="40" t="str">
        <f ca="1">IFERROR(__xludf.DUMMYFUNCTION("""COMPUTED_VALUE"""),"PRODUCCION DE MULTIMEDIA")</f>
        <v>PRODUCCION DE MULTIMEDIA</v>
      </c>
      <c r="I739" s="40">
        <f ca="1">IFERROR(__xludf.DUMMYFUNCTION("""COMPUTED_VALUE"""),3186690888)</f>
        <v>3186690888</v>
      </c>
      <c r="J739" s="40" t="str">
        <f ca="1">IFERROR(__xludf.DUMMYFUNCTION("""COMPUTED_VALUE"""),"leonorsita2016.ene@gmail.com")</f>
        <v>leonorsita2016.ene@gmail.com</v>
      </c>
      <c r="K739" s="40" t="str">
        <f ca="1">IFERROR(__xludf.DUMMYFUNCTION("""COMPUTED_VALUE"""),"Pitalito")</f>
        <v>Pitalito</v>
      </c>
      <c r="L739" s="40" t="str">
        <f ca="1">IFERROR(__xludf.DUMMYFUNCTION("""COMPUTED_VALUE"""),"CONTRATO DE APRENDIZAJE ")</f>
        <v xml:space="preserve">CONTRATO DE APRENDIZAJE </v>
      </c>
      <c r="M739" s="40" t="str">
        <f ca="1">IFERROR(__xludf.DUMMYFUNCTION("""COMPUTED_VALUE"""),"(TECH EDUCATION COLOMBIA) SAS")</f>
        <v>(TECH EDUCATION COLOMBIA) SAS</v>
      </c>
      <c r="N739" s="40"/>
      <c r="O739" s="40"/>
      <c r="P739" s="40"/>
      <c r="Q739" s="40"/>
      <c r="R739" s="140">
        <f ca="1">IFERROR(__xludf.DUMMYFUNCTION("""COMPUTED_VALUE"""),44685)</f>
        <v>44685</v>
      </c>
      <c r="S739" s="140">
        <f ca="1">IFERROR(__xludf.DUMMYFUNCTION("""COMPUTED_VALUE"""),44868)</f>
        <v>44868</v>
      </c>
      <c r="T739" s="40"/>
      <c r="U739" s="40" t="str">
        <f ca="1">IFERROR(__xludf.DUMMYFUNCTION("""COMPUTED_VALUE"""),"Diana Ávila")</f>
        <v>Diana Ávila</v>
      </c>
      <c r="V739" s="40" t="str">
        <f ca="1">IFERROR(__xludf.DUMMYFUNCTION("""COMPUTED_VALUE"""),"No tiene seguimieto ...Revisdo 12/05/2022")</f>
        <v>No tiene seguimieto ...Revisdo 12/05/2022</v>
      </c>
      <c r="W739" s="40"/>
      <c r="X739" s="40"/>
      <c r="Y739" s="40"/>
      <c r="Z739" s="40"/>
      <c r="AA739" s="40"/>
      <c r="AB739" s="40"/>
      <c r="AC739" s="40"/>
      <c r="AD739" s="40"/>
      <c r="AE739" s="40"/>
      <c r="AF739" s="40"/>
      <c r="AG739" s="40"/>
      <c r="AH739" s="40"/>
      <c r="AI739" s="40"/>
      <c r="AJ739" s="40"/>
      <c r="AK739" s="40"/>
      <c r="AL739" s="40"/>
      <c r="AM739" s="40" t="str">
        <f ca="1">IFERROR(__xludf.DUMMYFUNCTION("""COMPUTED_VALUE"""),"POR ASIGNAR")</f>
        <v>POR ASIGNAR</v>
      </c>
      <c r="AN739" s="40"/>
      <c r="AO739" s="40"/>
      <c r="AP739" s="40"/>
      <c r="AQ739" s="40"/>
      <c r="AR739" s="40"/>
      <c r="AS739" s="40"/>
      <c r="AT739" s="40"/>
      <c r="AU739" s="40" t="str">
        <f ca="1">IFERROR(__xludf.DUMMYFUNCTION("""COMPUTED_VALUE"""),"Procede_E_P")</f>
        <v>Procede_E_P</v>
      </c>
      <c r="AV739" s="40" t="str">
        <f ca="1">IFERROR(__xludf.DUMMYFUNCTION("""COMPUTED_VALUE"""),"EN FORMACION")</f>
        <v>EN FORMACION</v>
      </c>
      <c r="AW739" s="40" t="str">
        <f ca="1">IFERROR(__xludf.DUMMYFUNCTION("""COMPUTED_VALUE"""),"TIC")</f>
        <v>TIC</v>
      </c>
      <c r="AX739" s="141">
        <f ca="1">IFERROR(__xludf.DUMMYFUNCTION("""COMPUTED_VALUE"""),0)</f>
        <v>0</v>
      </c>
      <c r="AY739" s="40">
        <f ca="1">IFERROR(__xludf.DUMMYFUNCTION("""COMPUTED_VALUE"""),0)</f>
        <v>0</v>
      </c>
      <c r="AZ739" s="40">
        <f ca="1">IFERROR(__xludf.DUMMYFUNCTION("""COMPUTED_VALUE"""),1)</f>
        <v>1</v>
      </c>
      <c r="BA739" s="40">
        <f ca="1">IFERROR(__xludf.DUMMYFUNCTION("""COMPUTED_VALUE"""),0)</f>
        <v>0</v>
      </c>
      <c r="BB739" s="40">
        <f ca="1">IFERROR(__xludf.DUMMYFUNCTION("""COMPUTED_VALUE"""),0)</f>
        <v>0</v>
      </c>
      <c r="BC739" s="40">
        <f ca="1">IFERROR(__xludf.DUMMYFUNCTION("""COMPUTED_VALUE"""),1)</f>
        <v>1</v>
      </c>
      <c r="BD739" s="141">
        <f ca="1">IFERROR(__xludf.DUMMYFUNCTION("""COMPUTED_VALUE"""),43934)</f>
        <v>43934</v>
      </c>
      <c r="BE739" s="141">
        <f ca="1">IFERROR(__xludf.DUMMYFUNCTION("""COMPUTED_VALUE"""),44543)</f>
        <v>44543</v>
      </c>
      <c r="BF739" s="141">
        <f ca="1">IFERROR(__xludf.DUMMYFUNCTION("""COMPUTED_VALUE"""),44725)</f>
        <v>44725</v>
      </c>
      <c r="BG739" s="141">
        <f ca="1">IFERROR(__xludf.DUMMYFUNCTION("""COMPUTED_VALUE"""),45273)</f>
        <v>45273</v>
      </c>
      <c r="BH739" s="40" t="str">
        <f ca="1">IFERROR(__xludf.DUMMYFUNCTION("""COMPUTED_VALUE"""),"FICHA EN TIEMPO-18 MESES")</f>
        <v>FICHA EN TIEMPO-18 MESES</v>
      </c>
      <c r="BI739" s="40" t="str">
        <f ca="1">IFERROR(__xludf.DUMMYFUNCTION("""COMPUTED_VALUE"""),"Terminada por fecha")</f>
        <v>Terminada por fecha</v>
      </c>
      <c r="BJ739" s="40" t="str">
        <f ca="1">IFERROR(__xludf.DUMMYFUNCTION("""COMPUTED_VALUE"""),"Yamboro")</f>
        <v>Yamboro</v>
      </c>
      <c r="BK739" s="40"/>
      <c r="BL739" s="40"/>
    </row>
    <row r="740" spans="1:64" ht="13">
      <c r="A740" s="40" t="str">
        <f ca="1">IFERROR(__xludf.DUMMYFUNCTION("""COMPUTED_VALUE"""),"44635")</f>
        <v>44635</v>
      </c>
      <c r="B740" s="40" t="str">
        <f ca="1">IFERROR(__xludf.DUMMYFUNCTION("""COMPUTED_VALUE"""),"FORMACIÓN 18/10/2022")</f>
        <v>FORMACIÓN 18/10/2022</v>
      </c>
      <c r="C740" s="40" t="str">
        <f ca="1">IFERROR(__xludf.DUMMYFUNCTION("""COMPUTED_VALUE"""),"JULIAN STIVEN SARRIA NINCO")</f>
        <v>JULIAN STIVEN SARRIA NINCO</v>
      </c>
      <c r="D740" s="40" t="str">
        <f ca="1">IFERROR(__xludf.DUMMYFUNCTION("""COMPUTED_VALUE"""),"CC")</f>
        <v>CC</v>
      </c>
      <c r="E740" s="40">
        <f ca="1">IFERROR(__xludf.DUMMYFUNCTION("""COMPUTED_VALUE"""),1007600613)</f>
        <v>1007600613</v>
      </c>
      <c r="F740" s="40">
        <f ca="1">IFERROR(__xludf.DUMMYFUNCTION("""COMPUTED_VALUE"""),2067690)</f>
        <v>2067690</v>
      </c>
      <c r="G740" s="40" t="str">
        <f ca="1">IFERROR(__xludf.DUMMYFUNCTION("""COMPUTED_VALUE"""),"TECNÓLOGO")</f>
        <v>TECNÓLOGO</v>
      </c>
      <c r="H740" s="40" t="str">
        <f ca="1">IFERROR(__xludf.DUMMYFUNCTION("""COMPUTED_VALUE"""),"PRODUCCION DE MULTIMEDIA")</f>
        <v>PRODUCCION DE MULTIMEDIA</v>
      </c>
      <c r="I740" s="40">
        <f ca="1">IFERROR(__xludf.DUMMYFUNCTION("""COMPUTED_VALUE"""),3143281088)</f>
        <v>3143281088</v>
      </c>
      <c r="J740" s="40" t="str">
        <f ca="1">IFERROR(__xludf.DUMMYFUNCTION("""COMPUTED_VALUE"""),"uvita283@hotmail.com")</f>
        <v>uvita283@hotmail.com</v>
      </c>
      <c r="K740" s="40" t="str">
        <f ca="1">IFERROR(__xludf.DUMMYFUNCTION("""COMPUTED_VALUE"""),"Pitalito")</f>
        <v>Pitalito</v>
      </c>
      <c r="L740" s="40" t="str">
        <f ca="1">IFERROR(__xludf.DUMMYFUNCTION("""COMPUTED_VALUE"""),"PASANTÍAS")</f>
        <v>PASANTÍAS</v>
      </c>
      <c r="M740" s="40" t="str">
        <f ca="1">IFERROR(__xludf.DUMMYFUNCTION("""COMPUTED_VALUE"""),"PUBLISUR")</f>
        <v>PUBLISUR</v>
      </c>
      <c r="N740" s="40" t="str">
        <f ca="1">IFERROR(__xludf.DUMMYFUNCTION("""COMPUTED_VALUE"""),"6# 7-52")</f>
        <v>6# 7-52</v>
      </c>
      <c r="O740" s="40"/>
      <c r="P740" s="40"/>
      <c r="Q740" s="40" t="str">
        <f ca="1">IFERROR(__xludf.DUMMYFUNCTION("""COMPUTED_VALUE"""),"publisurpitalito.creative@gmail.com")</f>
        <v>publisurpitalito.creative@gmail.com</v>
      </c>
      <c r="R740" s="140">
        <f ca="1">IFERROR(__xludf.DUMMYFUNCTION("""COMPUTED_VALUE"""),44635)</f>
        <v>44635</v>
      </c>
      <c r="S740" s="140">
        <f ca="1">IFERROR(__xludf.DUMMYFUNCTION("""COMPUTED_VALUE"""),44819)</f>
        <v>44819</v>
      </c>
      <c r="T740" s="40" t="str">
        <f ca="1">IFERROR(__xludf.DUMMYFUNCTION("""COMPUTED_VALUE"""),"Tiene acuerdo de voluntades  falta  seguimiento y bitacoras...Revisado 16/03/2022 ")</f>
        <v xml:space="preserve">Tiene acuerdo de voluntades  falta  seguimiento y bitacoras...Revisado 16/03/2022 </v>
      </c>
      <c r="U740" s="40" t="str">
        <f ca="1">IFERROR(__xludf.DUMMYFUNCTION("""COMPUTED_VALUE"""),"Diana Ávila")</f>
        <v>Diana Ávila</v>
      </c>
      <c r="V740" s="40" t="str">
        <f ca="1">IFERROR(__xludf.DUMMYFUNCTION("""COMPUTED_VALUE"""),"No tiene seguimieto ...Revisdo 25/04/2022")</f>
        <v>No tiene seguimieto ...Revisdo 25/04/2022</v>
      </c>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t="str">
        <f ca="1">IFERROR(__xludf.DUMMYFUNCTION("""COMPUTED_VALUE"""),"NO_CUMPLE")</f>
        <v>NO_CUMPLE</v>
      </c>
      <c r="AV740" s="40" t="str">
        <f ca="1">IFERROR(__xludf.DUMMYFUNCTION("""COMPUTED_VALUE"""),"EN FORMACION")</f>
        <v>EN FORMACION</v>
      </c>
      <c r="AW740" s="40" t="str">
        <f ca="1">IFERROR(__xludf.DUMMYFUNCTION("""COMPUTED_VALUE"""),"TIC")</f>
        <v>TIC</v>
      </c>
      <c r="AX740" s="141">
        <f ca="1">IFERROR(__xludf.DUMMYFUNCTION("""COMPUTED_VALUE"""),1)</f>
        <v>1</v>
      </c>
      <c r="AY740" s="40">
        <f ca="1">IFERROR(__xludf.DUMMYFUNCTION("""COMPUTED_VALUE"""),1)</f>
        <v>1</v>
      </c>
      <c r="AZ740" s="40">
        <f ca="1">IFERROR(__xludf.DUMMYFUNCTION("""COMPUTED_VALUE"""),1)</f>
        <v>1</v>
      </c>
      <c r="BA740" s="40">
        <f ca="1">IFERROR(__xludf.DUMMYFUNCTION("""COMPUTED_VALUE"""),0)</f>
        <v>0</v>
      </c>
      <c r="BB740" s="40">
        <f ca="1">IFERROR(__xludf.DUMMYFUNCTION("""COMPUTED_VALUE"""),0)</f>
        <v>0</v>
      </c>
      <c r="BC740" s="40">
        <f ca="1">IFERROR(__xludf.DUMMYFUNCTION("""COMPUTED_VALUE"""),2)</f>
        <v>2</v>
      </c>
      <c r="BD740" s="141">
        <f ca="1">IFERROR(__xludf.DUMMYFUNCTION("""COMPUTED_VALUE"""),43934)</f>
        <v>43934</v>
      </c>
      <c r="BE740" s="141">
        <f ca="1">IFERROR(__xludf.DUMMYFUNCTION("""COMPUTED_VALUE"""),44543)</f>
        <v>44543</v>
      </c>
      <c r="BF740" s="141">
        <f ca="1">IFERROR(__xludf.DUMMYFUNCTION("""COMPUTED_VALUE"""),44725)</f>
        <v>44725</v>
      </c>
      <c r="BG740" s="141">
        <f ca="1">IFERROR(__xludf.DUMMYFUNCTION("""COMPUTED_VALUE"""),45273)</f>
        <v>45273</v>
      </c>
      <c r="BH740" s="40" t="str">
        <f ca="1">IFERROR(__xludf.DUMMYFUNCTION("""COMPUTED_VALUE"""),"FICHA EN TIEMPO-18 MESES")</f>
        <v>FICHA EN TIEMPO-18 MESES</v>
      </c>
      <c r="BI740" s="40" t="str">
        <f ca="1">IFERROR(__xludf.DUMMYFUNCTION("""COMPUTED_VALUE"""),"Terminada por fecha")</f>
        <v>Terminada por fecha</v>
      </c>
      <c r="BJ740" s="40" t="str">
        <f ca="1">IFERROR(__xludf.DUMMYFUNCTION("""COMPUTED_VALUE"""),"Yamboro")</f>
        <v>Yamboro</v>
      </c>
      <c r="BK740" s="40"/>
      <c r="BL740" s="40"/>
    </row>
    <row r="741" spans="1:64" ht="13">
      <c r="A741" s="40"/>
      <c r="B741" s="40" t="str">
        <f ca="1">IFERROR(__xludf.DUMMYFUNCTION("""COMPUTED_VALUE"""),"FORMACIÓN 18/10/2022")</f>
        <v>FORMACIÓN 18/10/2022</v>
      </c>
      <c r="C741" s="40" t="str">
        <f ca="1">IFERROR(__xludf.DUMMYFUNCTION("""COMPUTED_VALUE"""),"ANDRI YISETH OCHOA ARCOS")</f>
        <v>ANDRI YISETH OCHOA ARCOS</v>
      </c>
      <c r="D741" s="40" t="str">
        <f ca="1">IFERROR(__xludf.DUMMYFUNCTION("""COMPUTED_VALUE"""),"CC")</f>
        <v>CC</v>
      </c>
      <c r="E741" s="40">
        <f ca="1">IFERROR(__xludf.DUMMYFUNCTION("""COMPUTED_VALUE"""),1007745439)</f>
        <v>1007745439</v>
      </c>
      <c r="F741" s="40">
        <f ca="1">IFERROR(__xludf.DUMMYFUNCTION("""COMPUTED_VALUE"""),2067690)</f>
        <v>2067690</v>
      </c>
      <c r="G741" s="40" t="str">
        <f ca="1">IFERROR(__xludf.DUMMYFUNCTION("""COMPUTED_VALUE"""),"TECNÓLOGO")</f>
        <v>TECNÓLOGO</v>
      </c>
      <c r="H741" s="40" t="str">
        <f ca="1">IFERROR(__xludf.DUMMYFUNCTION("""COMPUTED_VALUE"""),"PRODUCCION DE MULTIMEDIA")</f>
        <v>PRODUCCION DE MULTIMEDIA</v>
      </c>
      <c r="I741" s="40">
        <f ca="1">IFERROR(__xludf.DUMMYFUNCTION("""COMPUTED_VALUE"""),3209843963)</f>
        <v>3209843963</v>
      </c>
      <c r="J741" s="40" t="str">
        <f ca="1">IFERROR(__xludf.DUMMYFUNCTION("""COMPUTED_VALUE"""),"andriyiseth01@gmail.com")</f>
        <v>andriyiseth01@gmail.com</v>
      </c>
      <c r="K741" s="40" t="str">
        <f ca="1">IFERROR(__xludf.DUMMYFUNCTION("""COMPUTED_VALUE"""),"Pitalito")</f>
        <v>Pitalito</v>
      </c>
      <c r="L741" s="40" t="str">
        <f ca="1">IFERROR(__xludf.DUMMYFUNCTION("""COMPUTED_VALUE"""),"NO HA INICIADO ETAPA PRODUCTIVA")</f>
        <v>NO HA INICIADO ETAPA PRODUCTIVA</v>
      </c>
      <c r="M741" s="40"/>
      <c r="N741" s="40"/>
      <c r="O741" s="40"/>
      <c r="P741" s="40"/>
      <c r="Q741" s="40"/>
      <c r="R741" s="140"/>
      <c r="S741" s="140"/>
      <c r="T741" s="40"/>
      <c r="U741" s="40" t="str">
        <f ca="1">IFERROR(__xludf.DUMMYFUNCTION("""COMPUTED_VALUE"""),"Diana Ávila")</f>
        <v>Diana Ávila</v>
      </c>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t="str">
        <f ca="1">IFERROR(__xludf.DUMMYFUNCTION("""COMPUTED_VALUE"""),"NO_CUMPLE")</f>
        <v>NO_CUMPLE</v>
      </c>
      <c r="AV741" s="40" t="str">
        <f ca="1">IFERROR(__xludf.DUMMYFUNCTION("""COMPUTED_VALUE"""),"EN FORMACION")</f>
        <v>EN FORMACION</v>
      </c>
      <c r="AW741" s="40" t="str">
        <f ca="1">IFERROR(__xludf.DUMMYFUNCTION("""COMPUTED_VALUE"""),"TIC")</f>
        <v>TIC</v>
      </c>
      <c r="AX741" s="141">
        <f ca="1">IFERROR(__xludf.DUMMYFUNCTION("""COMPUTED_VALUE"""),1)</f>
        <v>1</v>
      </c>
      <c r="AY741" s="40">
        <f ca="1">IFERROR(__xludf.DUMMYFUNCTION("""COMPUTED_VALUE"""),1)</f>
        <v>1</v>
      </c>
      <c r="AZ741" s="40">
        <f ca="1">IFERROR(__xludf.DUMMYFUNCTION("""COMPUTED_VALUE"""),1)</f>
        <v>1</v>
      </c>
      <c r="BA741" s="40">
        <f ca="1">IFERROR(__xludf.DUMMYFUNCTION("""COMPUTED_VALUE"""),0)</f>
        <v>0</v>
      </c>
      <c r="BB741" s="40">
        <f ca="1">IFERROR(__xludf.DUMMYFUNCTION("""COMPUTED_VALUE"""),0)</f>
        <v>0</v>
      </c>
      <c r="BC741" s="40">
        <f ca="1">IFERROR(__xludf.DUMMYFUNCTION("""COMPUTED_VALUE"""),2)</f>
        <v>2</v>
      </c>
      <c r="BD741" s="141">
        <f ca="1">IFERROR(__xludf.DUMMYFUNCTION("""COMPUTED_VALUE"""),43934)</f>
        <v>43934</v>
      </c>
      <c r="BE741" s="141">
        <f ca="1">IFERROR(__xludf.DUMMYFUNCTION("""COMPUTED_VALUE"""),44543)</f>
        <v>44543</v>
      </c>
      <c r="BF741" s="141">
        <f ca="1">IFERROR(__xludf.DUMMYFUNCTION("""COMPUTED_VALUE"""),44725)</f>
        <v>44725</v>
      </c>
      <c r="BG741" s="141">
        <f ca="1">IFERROR(__xludf.DUMMYFUNCTION("""COMPUTED_VALUE"""),45273)</f>
        <v>45273</v>
      </c>
      <c r="BH741" s="40" t="str">
        <f ca="1">IFERROR(__xludf.DUMMYFUNCTION("""COMPUTED_VALUE"""),"FICHA EN TIEMPO-18 MESES")</f>
        <v>FICHA EN TIEMPO-18 MESES</v>
      </c>
      <c r="BI741" s="40" t="str">
        <f ca="1">IFERROR(__xludf.DUMMYFUNCTION("""COMPUTED_VALUE"""),"Terminada por fecha")</f>
        <v>Terminada por fecha</v>
      </c>
      <c r="BJ741" s="40" t="str">
        <f ca="1">IFERROR(__xludf.DUMMYFUNCTION("""COMPUTED_VALUE"""),"Yamboro")</f>
        <v>Yamboro</v>
      </c>
      <c r="BK741" s="40"/>
      <c r="BL741" s="40"/>
    </row>
    <row r="742" spans="1:64" ht="13">
      <c r="A742" s="40"/>
      <c r="B742" s="40" t="str">
        <f ca="1">IFERROR(__xludf.DUMMYFUNCTION("""COMPUTED_VALUE"""),"FORMACIÓN 18/10/2022")</f>
        <v>FORMACIÓN 18/10/2022</v>
      </c>
      <c r="C742" s="40" t="str">
        <f ca="1">IFERROR(__xludf.DUMMYFUNCTION("""COMPUTED_VALUE"""),"YESMI PAOLA ROJAS HERNANDEZ")</f>
        <v>YESMI PAOLA ROJAS HERNANDEZ</v>
      </c>
      <c r="D742" s="40" t="str">
        <f ca="1">IFERROR(__xludf.DUMMYFUNCTION("""COMPUTED_VALUE"""),"CC")</f>
        <v>CC</v>
      </c>
      <c r="E742" s="40">
        <f ca="1">IFERROR(__xludf.DUMMYFUNCTION("""COMPUTED_VALUE"""),1030566030)</f>
        <v>1030566030</v>
      </c>
      <c r="F742" s="40">
        <f ca="1">IFERROR(__xludf.DUMMYFUNCTION("""COMPUTED_VALUE"""),2067690)</f>
        <v>2067690</v>
      </c>
      <c r="G742" s="40" t="str">
        <f ca="1">IFERROR(__xludf.DUMMYFUNCTION("""COMPUTED_VALUE"""),"TECNÓLOGO")</f>
        <v>TECNÓLOGO</v>
      </c>
      <c r="H742" s="40" t="str">
        <f ca="1">IFERROR(__xludf.DUMMYFUNCTION("""COMPUTED_VALUE"""),"PRODUCCION DE MULTIMEDIA")</f>
        <v>PRODUCCION DE MULTIMEDIA</v>
      </c>
      <c r="I742" s="40">
        <f ca="1">IFERROR(__xludf.DUMMYFUNCTION("""COMPUTED_VALUE"""),3143078914)</f>
        <v>3143078914</v>
      </c>
      <c r="J742" s="40" t="str">
        <f ca="1">IFERROR(__xludf.DUMMYFUNCTION("""COMPUTED_VALUE"""),"paulkis3@hotmail.com")</f>
        <v>paulkis3@hotmail.com</v>
      </c>
      <c r="K742" s="40" t="str">
        <f ca="1">IFERROR(__xludf.DUMMYFUNCTION("""COMPUTED_VALUE"""),"CRA8 NUMERO 2-49")</f>
        <v>CRA8 NUMERO 2-49</v>
      </c>
      <c r="L742" s="40" t="str">
        <f ca="1">IFERROR(__xludf.DUMMYFUNCTION("""COMPUTED_VALUE"""),"CONTRATO DE APRENDIZAJE ")</f>
        <v xml:space="preserve">CONTRATO DE APRENDIZAJE </v>
      </c>
      <c r="M742" s="40" t="str">
        <f ca="1">IFERROR(__xludf.DUMMYFUNCTION("""COMPUTED_VALUE"""),"CÀMARA DE COMERCIO DEL HUILA")</f>
        <v>CÀMARA DE COMERCIO DEL HUILA</v>
      </c>
      <c r="N742" s="40"/>
      <c r="O742" s="40"/>
      <c r="P742" s="40"/>
      <c r="Q742" s="40"/>
      <c r="R742" s="140">
        <f ca="1">IFERROR(__xludf.DUMMYFUNCTION("""COMPUTED_VALUE"""),44700)</f>
        <v>44700</v>
      </c>
      <c r="S742" s="140">
        <f ca="1">IFERROR(__xludf.DUMMYFUNCTION("""COMPUTED_VALUE"""),44883)</f>
        <v>44883</v>
      </c>
      <c r="T742" s="40" t="str">
        <f ca="1">IFERROR(__xludf.DUMMYFUNCTION("""COMPUTED_VALUE"""),"Tiene acuerdo de voluntades, Inicial  bitácoras 1,2,3,4 y 5... Falta parcial,final, certificación y bitácoras 6,7,8,9,10,11 y 12 ... Revisado 31/08/2022")</f>
        <v>Tiene acuerdo de voluntades, Inicial  bitácoras 1,2,3,4 y 5... Falta parcial,final, certificación y bitácoras 6,7,8,9,10,11 y 12 ... Revisado 31/08/2022</v>
      </c>
      <c r="U742" s="40" t="str">
        <f ca="1">IFERROR(__xludf.DUMMYFUNCTION("""COMPUTED_VALUE"""),"Diana Ávila - Subió inicial y bitácoras 1,2,3,4 y 5... Revisado 31/08/2022")</f>
        <v>Diana Ávila - Subió inicial y bitácoras 1,2,3,4 y 5... Revisado 31/08/2022</v>
      </c>
      <c r="V742" s="40" t="str">
        <f ca="1">IFERROR(__xludf.DUMMYFUNCTION("""COMPUTED_VALUE"""),"SI tiene seguimiento 31/08/2022")</f>
        <v>SI tiene seguimiento 31/08/2022</v>
      </c>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t="str">
        <f ca="1">IFERROR(__xludf.DUMMYFUNCTION("""COMPUTED_VALUE"""),"Procede_E_P")</f>
        <v>Procede_E_P</v>
      </c>
      <c r="AV742" s="40" t="str">
        <f ca="1">IFERROR(__xludf.DUMMYFUNCTION("""COMPUTED_VALUE"""),"EN FORMACION")</f>
        <v>EN FORMACION</v>
      </c>
      <c r="AW742" s="40" t="str">
        <f ca="1">IFERROR(__xludf.DUMMYFUNCTION("""COMPUTED_VALUE"""),"TIC")</f>
        <v>TIC</v>
      </c>
      <c r="AX742" s="141">
        <f ca="1">IFERROR(__xludf.DUMMYFUNCTION("""COMPUTED_VALUE"""),0)</f>
        <v>0</v>
      </c>
      <c r="AY742" s="40">
        <f ca="1">IFERROR(__xludf.DUMMYFUNCTION("""COMPUTED_VALUE"""),0)</f>
        <v>0</v>
      </c>
      <c r="AZ742" s="40">
        <f ca="1">IFERROR(__xludf.DUMMYFUNCTION("""COMPUTED_VALUE"""),1)</f>
        <v>1</v>
      </c>
      <c r="BA742" s="40">
        <f ca="1">IFERROR(__xludf.DUMMYFUNCTION("""COMPUTED_VALUE"""),0)</f>
        <v>0</v>
      </c>
      <c r="BB742" s="40">
        <f ca="1">IFERROR(__xludf.DUMMYFUNCTION("""COMPUTED_VALUE"""),0)</f>
        <v>0</v>
      </c>
      <c r="BC742" s="40">
        <f ca="1">IFERROR(__xludf.DUMMYFUNCTION("""COMPUTED_VALUE"""),1)</f>
        <v>1</v>
      </c>
      <c r="BD742" s="141">
        <f ca="1">IFERROR(__xludf.DUMMYFUNCTION("""COMPUTED_VALUE"""),43934)</f>
        <v>43934</v>
      </c>
      <c r="BE742" s="141">
        <f ca="1">IFERROR(__xludf.DUMMYFUNCTION("""COMPUTED_VALUE"""),44543)</f>
        <v>44543</v>
      </c>
      <c r="BF742" s="141">
        <f ca="1">IFERROR(__xludf.DUMMYFUNCTION("""COMPUTED_VALUE"""),44725)</f>
        <v>44725</v>
      </c>
      <c r="BG742" s="141">
        <f ca="1">IFERROR(__xludf.DUMMYFUNCTION("""COMPUTED_VALUE"""),45273)</f>
        <v>45273</v>
      </c>
      <c r="BH742" s="40" t="str">
        <f ca="1">IFERROR(__xludf.DUMMYFUNCTION("""COMPUTED_VALUE"""),"FICHA EN TIEMPO-18 MESES")</f>
        <v>FICHA EN TIEMPO-18 MESES</v>
      </c>
      <c r="BI742" s="40" t="str">
        <f ca="1">IFERROR(__xludf.DUMMYFUNCTION("""COMPUTED_VALUE"""),"Terminada por fecha")</f>
        <v>Terminada por fecha</v>
      </c>
      <c r="BJ742" s="40" t="str">
        <f ca="1">IFERROR(__xludf.DUMMYFUNCTION("""COMPUTED_VALUE"""),"Yamboro")</f>
        <v>Yamboro</v>
      </c>
      <c r="BK742" s="40"/>
      <c r="BL742" s="40"/>
    </row>
    <row r="743" spans="1:64" ht="13">
      <c r="A743" s="40"/>
      <c r="B743" s="40" t="str">
        <f ca="1">IFERROR(__xludf.DUMMYFUNCTION("""COMPUTED_VALUE"""),"FORMACIÓN 18/10/2022")</f>
        <v>FORMACIÓN 18/10/2022</v>
      </c>
      <c r="C743" s="40" t="str">
        <f ca="1">IFERROR(__xludf.DUMMYFUNCTION("""COMPUTED_VALUE"""),"ANDRES FAVIAN LAVERDE MARTINEZ")</f>
        <v>ANDRES FAVIAN LAVERDE MARTINEZ</v>
      </c>
      <c r="D743" s="40" t="str">
        <f ca="1">IFERROR(__xludf.DUMMYFUNCTION("""COMPUTED_VALUE"""),"CC")</f>
        <v>CC</v>
      </c>
      <c r="E743" s="40">
        <f ca="1">IFERROR(__xludf.DUMMYFUNCTION("""COMPUTED_VALUE"""),1083927859)</f>
        <v>1083927859</v>
      </c>
      <c r="F743" s="40">
        <f ca="1">IFERROR(__xludf.DUMMYFUNCTION("""COMPUTED_VALUE"""),2067690)</f>
        <v>2067690</v>
      </c>
      <c r="G743" s="40" t="str">
        <f ca="1">IFERROR(__xludf.DUMMYFUNCTION("""COMPUTED_VALUE"""),"TECNÓLOGO")</f>
        <v>TECNÓLOGO</v>
      </c>
      <c r="H743" s="40" t="str">
        <f ca="1">IFERROR(__xludf.DUMMYFUNCTION("""COMPUTED_VALUE"""),"PRODUCCION DE MULTIMEDIA")</f>
        <v>PRODUCCION DE MULTIMEDIA</v>
      </c>
      <c r="I743" s="40">
        <f ca="1">IFERROR(__xludf.DUMMYFUNCTION("""COMPUTED_VALUE"""),3135601759)</f>
        <v>3135601759</v>
      </c>
      <c r="J743" s="40" t="str">
        <f ca="1">IFERROR(__xludf.DUMMYFUNCTION("""COMPUTED_VALUE"""),"andreslaverde904@gmail.com")</f>
        <v>andreslaverde904@gmail.com</v>
      </c>
      <c r="K743" s="40" t="str">
        <f ca="1">IFERROR(__xludf.DUMMYFUNCTION("""COMPUTED_VALUE"""),"Pitalito")</f>
        <v>Pitalito</v>
      </c>
      <c r="L743" s="40" t="str">
        <f ca="1">IFERROR(__xludf.DUMMYFUNCTION("""COMPUTED_VALUE"""),"PASANTÍAS")</f>
        <v>PASANTÍAS</v>
      </c>
      <c r="M743" s="40" t="str">
        <f ca="1">IFERROR(__xludf.DUMMYFUNCTION("""COMPUTED_VALUE"""),"Almacén Stihl Pitalito")</f>
        <v>Almacén Stihl Pitalito</v>
      </c>
      <c r="N743" s="40" t="str">
        <f ca="1">IFERROR(__xludf.DUMMYFUNCTION("""COMPUTED_VALUE"""),"PITALITO")</f>
        <v>PITALITO</v>
      </c>
      <c r="O743" s="40">
        <f ca="1">IFERROR(__xludf.DUMMYFUNCTION("""COMPUTED_VALUE"""),3212934543)</f>
        <v>3212934543</v>
      </c>
      <c r="P743" s="40" t="str">
        <f ca="1">IFERROR(__xludf.DUMMYFUNCTION("""COMPUTED_VALUE"""),"PITALITO")</f>
        <v>PITALITO</v>
      </c>
      <c r="Q743" s="40" t="str">
        <f ca="1">IFERROR(__xludf.DUMMYFUNCTION("""COMPUTED_VALUE"""),"multiagropitalito@yahoo.com  ")</f>
        <v xml:space="preserve">multiagropitalito@yahoo.com  </v>
      </c>
      <c r="R743" s="140">
        <f ca="1">IFERROR(__xludf.DUMMYFUNCTION("""COMPUTED_VALUE"""),44819)</f>
        <v>44819</v>
      </c>
      <c r="S743" s="140">
        <f ca="1">IFERROR(__xludf.DUMMYFUNCTION("""COMPUTED_VALUE"""),45000)</f>
        <v>45000</v>
      </c>
      <c r="T743" s="40"/>
      <c r="U743" s="40" t="str">
        <f ca="1">IFERROR(__xludf.DUMMYFUNCTION("""COMPUTED_VALUE"""),"Diana Ávila")</f>
        <v>Diana Ávila</v>
      </c>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t="str">
        <f ca="1">IFERROR(__xludf.DUMMYFUNCTION("""COMPUTED_VALUE"""),"Procede_E_P")</f>
        <v>Procede_E_P</v>
      </c>
      <c r="AV743" s="40" t="str">
        <f ca="1">IFERROR(__xludf.DUMMYFUNCTION("""COMPUTED_VALUE"""),"EN FORMACION")</f>
        <v>EN FORMACION</v>
      </c>
      <c r="AW743" s="40" t="str">
        <f ca="1">IFERROR(__xludf.DUMMYFUNCTION("""COMPUTED_VALUE"""),"TIC")</f>
        <v>TIC</v>
      </c>
      <c r="AX743" s="141">
        <f ca="1">IFERROR(__xludf.DUMMYFUNCTION("""COMPUTED_VALUE"""),0)</f>
        <v>0</v>
      </c>
      <c r="AY743" s="40">
        <f ca="1">IFERROR(__xludf.DUMMYFUNCTION("""COMPUTED_VALUE"""),0)</f>
        <v>0</v>
      </c>
      <c r="AZ743" s="40">
        <f ca="1">IFERROR(__xludf.DUMMYFUNCTION("""COMPUTED_VALUE"""),1)</f>
        <v>1</v>
      </c>
      <c r="BA743" s="40">
        <f ca="1">IFERROR(__xludf.DUMMYFUNCTION("""COMPUTED_VALUE"""),0)</f>
        <v>0</v>
      </c>
      <c r="BB743" s="40">
        <f ca="1">IFERROR(__xludf.DUMMYFUNCTION("""COMPUTED_VALUE"""),0)</f>
        <v>0</v>
      </c>
      <c r="BC743" s="40">
        <f ca="1">IFERROR(__xludf.DUMMYFUNCTION("""COMPUTED_VALUE"""),1)</f>
        <v>1</v>
      </c>
      <c r="BD743" s="141">
        <f ca="1">IFERROR(__xludf.DUMMYFUNCTION("""COMPUTED_VALUE"""),43934)</f>
        <v>43934</v>
      </c>
      <c r="BE743" s="141">
        <f ca="1">IFERROR(__xludf.DUMMYFUNCTION("""COMPUTED_VALUE"""),44543)</f>
        <v>44543</v>
      </c>
      <c r="BF743" s="141">
        <f ca="1">IFERROR(__xludf.DUMMYFUNCTION("""COMPUTED_VALUE"""),44725)</f>
        <v>44725</v>
      </c>
      <c r="BG743" s="141">
        <f ca="1">IFERROR(__xludf.DUMMYFUNCTION("""COMPUTED_VALUE"""),45273)</f>
        <v>45273</v>
      </c>
      <c r="BH743" s="40" t="str">
        <f ca="1">IFERROR(__xludf.DUMMYFUNCTION("""COMPUTED_VALUE"""),"FICHA EN TIEMPO-18 MESES")</f>
        <v>FICHA EN TIEMPO-18 MESES</v>
      </c>
      <c r="BI743" s="40" t="str">
        <f ca="1">IFERROR(__xludf.DUMMYFUNCTION("""COMPUTED_VALUE"""),"Terminada por fecha")</f>
        <v>Terminada por fecha</v>
      </c>
      <c r="BJ743" s="40" t="str">
        <f ca="1">IFERROR(__xludf.DUMMYFUNCTION("""COMPUTED_VALUE"""),"Yamboro")</f>
        <v>Yamboro</v>
      </c>
      <c r="BK743" s="40"/>
      <c r="BL743" s="40"/>
    </row>
    <row r="744" spans="1:64" ht="13">
      <c r="A744" s="40"/>
      <c r="B744" s="40" t="str">
        <f ca="1">IFERROR(__xludf.DUMMYFUNCTION("""COMPUTED_VALUE"""),"FORMACIÓN 18/10/2022")</f>
        <v>FORMACIÓN 18/10/2022</v>
      </c>
      <c r="C744" s="40" t="str">
        <f ca="1">IFERROR(__xludf.DUMMYFUNCTION("""COMPUTED_VALUE"""),"CRISTIAN ALBEIRO GRIJALBA CORDOBA")</f>
        <v>CRISTIAN ALBEIRO GRIJALBA CORDOBA</v>
      </c>
      <c r="D744" s="40" t="str">
        <f ca="1">IFERROR(__xludf.DUMMYFUNCTION("""COMPUTED_VALUE"""),"CC")</f>
        <v>CC</v>
      </c>
      <c r="E744" s="40">
        <f ca="1">IFERROR(__xludf.DUMMYFUNCTION("""COMPUTED_VALUE"""),1083929981)</f>
        <v>1083929981</v>
      </c>
      <c r="F744" s="40">
        <f ca="1">IFERROR(__xludf.DUMMYFUNCTION("""COMPUTED_VALUE"""),2067690)</f>
        <v>2067690</v>
      </c>
      <c r="G744" s="40" t="str">
        <f ca="1">IFERROR(__xludf.DUMMYFUNCTION("""COMPUTED_VALUE"""),"TECNÓLOGO")</f>
        <v>TECNÓLOGO</v>
      </c>
      <c r="H744" s="40" t="str">
        <f ca="1">IFERROR(__xludf.DUMMYFUNCTION("""COMPUTED_VALUE"""),"PRODUCCION DE MULTIMEDIA")</f>
        <v>PRODUCCION DE MULTIMEDIA</v>
      </c>
      <c r="I744" s="40">
        <f ca="1">IFERROR(__xludf.DUMMYFUNCTION("""COMPUTED_VALUE"""),3203187707)</f>
        <v>3203187707</v>
      </c>
      <c r="J744" s="40" t="str">
        <f ca="1">IFERROR(__xludf.DUMMYFUNCTION("""COMPUTED_VALUE"""),"gril69@gmail.com")</f>
        <v>gril69@gmail.com</v>
      </c>
      <c r="K744" s="40" t="str">
        <f ca="1">IFERROR(__xludf.DUMMYFUNCTION("""COMPUTED_VALUE"""),"Pitalito")</f>
        <v>Pitalito</v>
      </c>
      <c r="L744" s="40" t="str">
        <f ca="1">IFERROR(__xludf.DUMMYFUNCTION("""COMPUTED_VALUE"""),"NO HA INICIADO ETAPA PRODUCTIVA")</f>
        <v>NO HA INICIADO ETAPA PRODUCTIVA</v>
      </c>
      <c r="M744" s="40"/>
      <c r="N744" s="40"/>
      <c r="O744" s="40"/>
      <c r="P744" s="40"/>
      <c r="Q744" s="40"/>
      <c r="R744" s="140"/>
      <c r="S744" s="140"/>
      <c r="T744" s="40"/>
      <c r="U744" s="40" t="str">
        <f ca="1">IFERROR(__xludf.DUMMYFUNCTION("""COMPUTED_VALUE"""),"Diana Ávila")</f>
        <v>Diana Ávila</v>
      </c>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t="str">
        <f ca="1">IFERROR(__xludf.DUMMYFUNCTION("""COMPUTED_VALUE"""),"Procede_E_P")</f>
        <v>Procede_E_P</v>
      </c>
      <c r="AV744" s="40" t="str">
        <f ca="1">IFERROR(__xludf.DUMMYFUNCTION("""COMPUTED_VALUE"""),"EN FORMACION")</f>
        <v>EN FORMACION</v>
      </c>
      <c r="AW744" s="40" t="str">
        <f ca="1">IFERROR(__xludf.DUMMYFUNCTION("""COMPUTED_VALUE"""),"TIC")</f>
        <v>TIC</v>
      </c>
      <c r="AX744" s="141">
        <f ca="1">IFERROR(__xludf.DUMMYFUNCTION("""COMPUTED_VALUE"""),0)</f>
        <v>0</v>
      </c>
      <c r="AY744" s="40">
        <f ca="1">IFERROR(__xludf.DUMMYFUNCTION("""COMPUTED_VALUE"""),0)</f>
        <v>0</v>
      </c>
      <c r="AZ744" s="40">
        <f ca="1">IFERROR(__xludf.DUMMYFUNCTION("""COMPUTED_VALUE"""),1)</f>
        <v>1</v>
      </c>
      <c r="BA744" s="40">
        <f ca="1">IFERROR(__xludf.DUMMYFUNCTION("""COMPUTED_VALUE"""),0)</f>
        <v>0</v>
      </c>
      <c r="BB744" s="40">
        <f ca="1">IFERROR(__xludf.DUMMYFUNCTION("""COMPUTED_VALUE"""),0)</f>
        <v>0</v>
      </c>
      <c r="BC744" s="40">
        <f ca="1">IFERROR(__xludf.DUMMYFUNCTION("""COMPUTED_VALUE"""),1)</f>
        <v>1</v>
      </c>
      <c r="BD744" s="141">
        <f ca="1">IFERROR(__xludf.DUMMYFUNCTION("""COMPUTED_VALUE"""),43934)</f>
        <v>43934</v>
      </c>
      <c r="BE744" s="141">
        <f ca="1">IFERROR(__xludf.DUMMYFUNCTION("""COMPUTED_VALUE"""),44543)</f>
        <v>44543</v>
      </c>
      <c r="BF744" s="141">
        <f ca="1">IFERROR(__xludf.DUMMYFUNCTION("""COMPUTED_VALUE"""),44725)</f>
        <v>44725</v>
      </c>
      <c r="BG744" s="141">
        <f ca="1">IFERROR(__xludf.DUMMYFUNCTION("""COMPUTED_VALUE"""),45273)</f>
        <v>45273</v>
      </c>
      <c r="BH744" s="40" t="str">
        <f ca="1">IFERROR(__xludf.DUMMYFUNCTION("""COMPUTED_VALUE"""),"FICHA EN TIEMPO-18 MESES")</f>
        <v>FICHA EN TIEMPO-18 MESES</v>
      </c>
      <c r="BI744" s="40" t="str">
        <f ca="1">IFERROR(__xludf.DUMMYFUNCTION("""COMPUTED_VALUE"""),"Terminada por fecha")</f>
        <v>Terminada por fecha</v>
      </c>
      <c r="BJ744" s="40" t="str">
        <f ca="1">IFERROR(__xludf.DUMMYFUNCTION("""COMPUTED_VALUE"""),"Yamboro")</f>
        <v>Yamboro</v>
      </c>
      <c r="BK744" s="40"/>
      <c r="BL744" s="40"/>
    </row>
    <row r="745" spans="1:64" ht="13">
      <c r="A745" s="40"/>
      <c r="B745" s="40" t="str">
        <f ca="1">IFERROR(__xludf.DUMMYFUNCTION("""COMPUTED_VALUE"""),"FORMACIÓN 18/10/2022")</f>
        <v>FORMACIÓN 18/10/2022</v>
      </c>
      <c r="C745" s="40" t="str">
        <f ca="1">IFERROR(__xludf.DUMMYFUNCTION("""COMPUTED_VALUE"""),"GUSTAVO ALEJANDRO BERNAL PABON")</f>
        <v>GUSTAVO ALEJANDRO BERNAL PABON</v>
      </c>
      <c r="D745" s="40" t="str">
        <f ca="1">IFERROR(__xludf.DUMMYFUNCTION("""COMPUTED_VALUE"""),"CC")</f>
        <v>CC</v>
      </c>
      <c r="E745" s="40">
        <f ca="1">IFERROR(__xludf.DUMMYFUNCTION("""COMPUTED_VALUE"""),1103497395)</f>
        <v>1103497395</v>
      </c>
      <c r="F745" s="40">
        <f ca="1">IFERROR(__xludf.DUMMYFUNCTION("""COMPUTED_VALUE"""),2067690)</f>
        <v>2067690</v>
      </c>
      <c r="G745" s="40" t="str">
        <f ca="1">IFERROR(__xludf.DUMMYFUNCTION("""COMPUTED_VALUE"""),"TECNÓLOGO")</f>
        <v>TECNÓLOGO</v>
      </c>
      <c r="H745" s="40" t="str">
        <f ca="1">IFERROR(__xludf.DUMMYFUNCTION("""COMPUTED_VALUE"""),"PRODUCCION DE MULTIMEDIA")</f>
        <v>PRODUCCION DE MULTIMEDIA</v>
      </c>
      <c r="I745" s="40">
        <f ca="1">IFERROR(__xludf.DUMMYFUNCTION("""COMPUTED_VALUE"""),3144239324)</f>
        <v>3144239324</v>
      </c>
      <c r="J745" s="40" t="str">
        <f ca="1">IFERROR(__xludf.DUMMYFUNCTION("""COMPUTED_VALUE"""),"gustavobernalp1998@gmail.com")</f>
        <v>gustavobernalp1998@gmail.com</v>
      </c>
      <c r="K745" s="40" t="str">
        <f ca="1">IFERROR(__xludf.DUMMYFUNCTION("""COMPUTED_VALUE"""),"Pitalito")</f>
        <v>Pitalito</v>
      </c>
      <c r="L745" s="40" t="str">
        <f ca="1">IFERROR(__xludf.DUMMYFUNCTION("""COMPUTED_VALUE"""),"CONTRATO DE APRENDIZAJE ")</f>
        <v xml:space="preserve">CONTRATO DE APRENDIZAJE </v>
      </c>
      <c r="M745" s="40" t="str">
        <f ca="1">IFERROR(__xludf.DUMMYFUNCTION("""COMPUTED_VALUE"""),"CÀMARA DE COMERCIO DEL HUILA")</f>
        <v>CÀMARA DE COMERCIO DEL HUILA</v>
      </c>
      <c r="N745" s="40"/>
      <c r="O745" s="40"/>
      <c r="P745" s="40"/>
      <c r="Q745" s="40"/>
      <c r="R745" s="140">
        <f ca="1">IFERROR(__xludf.DUMMYFUNCTION("""COMPUTED_VALUE"""),44700)</f>
        <v>44700</v>
      </c>
      <c r="S745" s="140">
        <f ca="1">IFERROR(__xludf.DUMMYFUNCTION("""COMPUTED_VALUE"""),44883)</f>
        <v>44883</v>
      </c>
      <c r="T745" s="40" t="str">
        <f ca="1">IFERROR(__xludf.DUMMYFUNCTION("""COMPUTED_VALUE"""),"Tiene acuerdo de voluntades, Inicial  bitácoras 1,2,3,4 y 5... Falta parcial,final, certificación y bitácoras 6,7,8,9,10,11 y 12 ... Revisado 31/08/2022")</f>
        <v>Tiene acuerdo de voluntades, Inicial  bitácoras 1,2,3,4 y 5... Falta parcial,final, certificación y bitácoras 6,7,8,9,10,11 y 12 ... Revisado 31/08/2022</v>
      </c>
      <c r="U745" s="40" t="str">
        <f ca="1">IFERROR(__xludf.DUMMYFUNCTION("""COMPUTED_VALUE"""),"Diana Ávila - Subió inicial y bitácoras 1,2,3,4 y 5... Revisado 31/08/2022")</f>
        <v>Diana Ávila - Subió inicial y bitácoras 1,2,3,4 y 5... Revisado 31/08/2022</v>
      </c>
      <c r="V745" s="40" t="str">
        <f ca="1">IFERROR(__xludf.DUMMYFUNCTION("""COMPUTED_VALUE"""),"SI tiene seguimiento 31/08/2022")</f>
        <v>SI tiene seguimiento 31/08/2022</v>
      </c>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t="str">
        <f ca="1">IFERROR(__xludf.DUMMYFUNCTION("""COMPUTED_VALUE"""),"Procede_E_P")</f>
        <v>Procede_E_P</v>
      </c>
      <c r="AV745" s="40" t="str">
        <f ca="1">IFERROR(__xludf.DUMMYFUNCTION("""COMPUTED_VALUE"""),"EN FORMACION")</f>
        <v>EN FORMACION</v>
      </c>
      <c r="AW745" s="40" t="str">
        <f ca="1">IFERROR(__xludf.DUMMYFUNCTION("""COMPUTED_VALUE"""),"TIC")</f>
        <v>TIC</v>
      </c>
      <c r="AX745" s="141">
        <f ca="1">IFERROR(__xludf.DUMMYFUNCTION("""COMPUTED_VALUE"""),0)</f>
        <v>0</v>
      </c>
      <c r="AY745" s="40">
        <f ca="1">IFERROR(__xludf.DUMMYFUNCTION("""COMPUTED_VALUE"""),0)</f>
        <v>0</v>
      </c>
      <c r="AZ745" s="40">
        <f ca="1">IFERROR(__xludf.DUMMYFUNCTION("""COMPUTED_VALUE"""),1)</f>
        <v>1</v>
      </c>
      <c r="BA745" s="40">
        <f ca="1">IFERROR(__xludf.DUMMYFUNCTION("""COMPUTED_VALUE"""),0)</f>
        <v>0</v>
      </c>
      <c r="BB745" s="40">
        <f ca="1">IFERROR(__xludf.DUMMYFUNCTION("""COMPUTED_VALUE"""),0)</f>
        <v>0</v>
      </c>
      <c r="BC745" s="40">
        <f ca="1">IFERROR(__xludf.DUMMYFUNCTION("""COMPUTED_VALUE"""),1)</f>
        <v>1</v>
      </c>
      <c r="BD745" s="141">
        <f ca="1">IFERROR(__xludf.DUMMYFUNCTION("""COMPUTED_VALUE"""),43934)</f>
        <v>43934</v>
      </c>
      <c r="BE745" s="141">
        <f ca="1">IFERROR(__xludf.DUMMYFUNCTION("""COMPUTED_VALUE"""),44543)</f>
        <v>44543</v>
      </c>
      <c r="BF745" s="141">
        <f ca="1">IFERROR(__xludf.DUMMYFUNCTION("""COMPUTED_VALUE"""),44725)</f>
        <v>44725</v>
      </c>
      <c r="BG745" s="141">
        <f ca="1">IFERROR(__xludf.DUMMYFUNCTION("""COMPUTED_VALUE"""),45273)</f>
        <v>45273</v>
      </c>
      <c r="BH745" s="40" t="str">
        <f ca="1">IFERROR(__xludf.DUMMYFUNCTION("""COMPUTED_VALUE"""),"FICHA EN TIEMPO-18 MESES")</f>
        <v>FICHA EN TIEMPO-18 MESES</v>
      </c>
      <c r="BI745" s="40" t="str">
        <f ca="1">IFERROR(__xludf.DUMMYFUNCTION("""COMPUTED_VALUE"""),"Terminada por fecha")</f>
        <v>Terminada por fecha</v>
      </c>
      <c r="BJ745" s="40" t="str">
        <f ca="1">IFERROR(__xludf.DUMMYFUNCTION("""COMPUTED_VALUE"""),"Yamboro")</f>
        <v>Yamboro</v>
      </c>
      <c r="BK745" s="40"/>
      <c r="BL745" s="40"/>
    </row>
    <row r="746" spans="1:64" ht="13">
      <c r="A746" s="40"/>
      <c r="B746" s="40" t="str">
        <f ca="1">IFERROR(__xludf.DUMMYFUNCTION("""COMPUTED_VALUE"""),"FORMACIÓN 18/10/2022")</f>
        <v>FORMACIÓN 18/10/2022</v>
      </c>
      <c r="C746" s="40" t="str">
        <f ca="1">IFERROR(__xludf.DUMMYFUNCTION("""COMPUTED_VALUE"""),"MILLER ANDRES ZEMANATE JOAQUI")</f>
        <v>MILLER ANDRES ZEMANATE JOAQUI</v>
      </c>
      <c r="D746" s="40" t="str">
        <f ca="1">IFERROR(__xludf.DUMMYFUNCTION("""COMPUTED_VALUE"""),"CC")</f>
        <v>CC</v>
      </c>
      <c r="E746" s="40">
        <f ca="1">IFERROR(__xludf.DUMMYFUNCTION("""COMPUTED_VALUE"""),1123327382)</f>
        <v>1123327382</v>
      </c>
      <c r="F746" s="40">
        <f ca="1">IFERROR(__xludf.DUMMYFUNCTION("""COMPUTED_VALUE"""),2067690)</f>
        <v>2067690</v>
      </c>
      <c r="G746" s="40" t="str">
        <f ca="1">IFERROR(__xludf.DUMMYFUNCTION("""COMPUTED_VALUE"""),"TECNÓLOGO")</f>
        <v>TECNÓLOGO</v>
      </c>
      <c r="H746" s="40" t="str">
        <f ca="1">IFERROR(__xludf.DUMMYFUNCTION("""COMPUTED_VALUE"""),"PRODUCCION DE MULTIMEDIA")</f>
        <v>PRODUCCION DE MULTIMEDIA</v>
      </c>
      <c r="I746" s="40">
        <f ca="1">IFERROR(__xludf.DUMMYFUNCTION("""COMPUTED_VALUE"""),3144762015)</f>
        <v>3144762015</v>
      </c>
      <c r="J746" s="40" t="str">
        <f ca="1">IFERROR(__xludf.DUMMYFUNCTION("""COMPUTED_VALUE"""),"anmiz24@hotmail.com")</f>
        <v>anmiz24@hotmail.com</v>
      </c>
      <c r="K746" s="40" t="str">
        <f ca="1">IFERROR(__xludf.DUMMYFUNCTION("""COMPUTED_VALUE"""),"Pitalito")</f>
        <v>Pitalito</v>
      </c>
      <c r="L746" s="40" t="str">
        <f ca="1">IFERROR(__xludf.DUMMYFUNCTION("""COMPUTED_VALUE"""),"NO HA INICIADO ETAPA PRODUCTIVA")</f>
        <v>NO HA INICIADO ETAPA PRODUCTIVA</v>
      </c>
      <c r="M746" s="40"/>
      <c r="N746" s="40"/>
      <c r="O746" s="40"/>
      <c r="P746" s="40"/>
      <c r="Q746" s="40"/>
      <c r="R746" s="140"/>
      <c r="S746" s="140"/>
      <c r="T746" s="40"/>
      <c r="U746" s="40" t="str">
        <f ca="1">IFERROR(__xludf.DUMMYFUNCTION("""COMPUTED_VALUE"""),"Diana Ávila")</f>
        <v>Diana Ávila</v>
      </c>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t="str">
        <f ca="1">IFERROR(__xludf.DUMMYFUNCTION("""COMPUTED_VALUE"""),"Procede_E_P")</f>
        <v>Procede_E_P</v>
      </c>
      <c r="AV746" s="40" t="str">
        <f ca="1">IFERROR(__xludf.DUMMYFUNCTION("""COMPUTED_VALUE"""),"EN FORMACION")</f>
        <v>EN FORMACION</v>
      </c>
      <c r="AW746" s="40" t="str">
        <f ca="1">IFERROR(__xludf.DUMMYFUNCTION("""COMPUTED_VALUE"""),"TIC")</f>
        <v>TIC</v>
      </c>
      <c r="AX746" s="141">
        <f ca="1">IFERROR(__xludf.DUMMYFUNCTION("""COMPUTED_VALUE"""),0)</f>
        <v>0</v>
      </c>
      <c r="AY746" s="40">
        <f ca="1">IFERROR(__xludf.DUMMYFUNCTION("""COMPUTED_VALUE"""),0)</f>
        <v>0</v>
      </c>
      <c r="AZ746" s="40">
        <f ca="1">IFERROR(__xludf.DUMMYFUNCTION("""COMPUTED_VALUE"""),1)</f>
        <v>1</v>
      </c>
      <c r="BA746" s="40">
        <f ca="1">IFERROR(__xludf.DUMMYFUNCTION("""COMPUTED_VALUE"""),0)</f>
        <v>0</v>
      </c>
      <c r="BB746" s="40">
        <f ca="1">IFERROR(__xludf.DUMMYFUNCTION("""COMPUTED_VALUE"""),0)</f>
        <v>0</v>
      </c>
      <c r="BC746" s="40">
        <f ca="1">IFERROR(__xludf.DUMMYFUNCTION("""COMPUTED_VALUE"""),1)</f>
        <v>1</v>
      </c>
      <c r="BD746" s="141">
        <f ca="1">IFERROR(__xludf.DUMMYFUNCTION("""COMPUTED_VALUE"""),43934)</f>
        <v>43934</v>
      </c>
      <c r="BE746" s="141">
        <f ca="1">IFERROR(__xludf.DUMMYFUNCTION("""COMPUTED_VALUE"""),44543)</f>
        <v>44543</v>
      </c>
      <c r="BF746" s="141">
        <f ca="1">IFERROR(__xludf.DUMMYFUNCTION("""COMPUTED_VALUE"""),44725)</f>
        <v>44725</v>
      </c>
      <c r="BG746" s="141">
        <f ca="1">IFERROR(__xludf.DUMMYFUNCTION("""COMPUTED_VALUE"""),45273)</f>
        <v>45273</v>
      </c>
      <c r="BH746" s="40" t="str">
        <f ca="1">IFERROR(__xludf.DUMMYFUNCTION("""COMPUTED_VALUE"""),"FICHA EN TIEMPO-18 MESES")</f>
        <v>FICHA EN TIEMPO-18 MESES</v>
      </c>
      <c r="BI746" s="40" t="str">
        <f ca="1">IFERROR(__xludf.DUMMYFUNCTION("""COMPUTED_VALUE"""),"Terminada por fecha")</f>
        <v>Terminada por fecha</v>
      </c>
      <c r="BJ746" s="40" t="str">
        <f ca="1">IFERROR(__xludf.DUMMYFUNCTION("""COMPUTED_VALUE"""),"Yamboro")</f>
        <v>Yamboro</v>
      </c>
      <c r="BK746" s="40"/>
      <c r="BL746" s="40"/>
    </row>
    <row r="747" spans="1:64" ht="13">
      <c r="A747" s="40"/>
      <c r="B747" s="40" t="str">
        <f ca="1">IFERROR(__xludf.DUMMYFUNCTION("""COMPUTED_VALUE"""),"FORMACIÓN 18/10/2022")</f>
        <v>FORMACIÓN 18/10/2022</v>
      </c>
      <c r="C747" s="40" t="str">
        <f ca="1">IFERROR(__xludf.DUMMYFUNCTION("""COMPUTED_VALUE"""),"JOSE LUIS SALAS PINILLA")</f>
        <v>JOSE LUIS SALAS PINILLA</v>
      </c>
      <c r="D747" s="40" t="str">
        <f ca="1">IFERROR(__xludf.DUMMYFUNCTION("""COMPUTED_VALUE"""),"CC")</f>
        <v>CC</v>
      </c>
      <c r="E747" s="40">
        <f ca="1">IFERROR(__xludf.DUMMYFUNCTION("""COMPUTED_VALUE"""),12237321)</f>
        <v>12237321</v>
      </c>
      <c r="F747" s="40">
        <f ca="1">IFERROR(__xludf.DUMMYFUNCTION("""COMPUTED_VALUE"""),2067690)</f>
        <v>2067690</v>
      </c>
      <c r="G747" s="40" t="str">
        <f ca="1">IFERROR(__xludf.DUMMYFUNCTION("""COMPUTED_VALUE"""),"TECNÓLOGO")</f>
        <v>TECNÓLOGO</v>
      </c>
      <c r="H747" s="40" t="str">
        <f ca="1">IFERROR(__xludf.DUMMYFUNCTION("""COMPUTED_VALUE"""),"PRODUCCION DE MULTIMEDIA")</f>
        <v>PRODUCCION DE MULTIMEDIA</v>
      </c>
      <c r="I747" s="40">
        <f ca="1">IFERROR(__xludf.DUMMYFUNCTION("""COMPUTED_VALUE"""),3123621001)</f>
        <v>3123621001</v>
      </c>
      <c r="J747" s="40" t="str">
        <f ca="1">IFERROR(__xludf.DUMMYFUNCTION("""COMPUTED_VALUE"""),"jlsp1810@gmail.com")</f>
        <v>jlsp1810@gmail.com</v>
      </c>
      <c r="K747" s="40" t="str">
        <f ca="1">IFERROR(__xludf.DUMMYFUNCTION("""COMPUTED_VALUE"""),"Pitalito")</f>
        <v>Pitalito</v>
      </c>
      <c r="L747" s="40" t="str">
        <f ca="1">IFERROR(__xludf.DUMMYFUNCTION("""COMPUTED_VALUE"""),"CONTRATO DE APRENDIZAJE ")</f>
        <v xml:space="preserve">CONTRATO DE APRENDIZAJE </v>
      </c>
      <c r="M747" s="40" t="str">
        <f ca="1">IFERROR(__xludf.DUMMYFUNCTION("""COMPUTED_VALUE"""),"INVERSIONES INRAI LTDA")</f>
        <v>INVERSIONES INRAI LTDA</v>
      </c>
      <c r="N747" s="40"/>
      <c r="O747" s="40"/>
      <c r="P747" s="40"/>
      <c r="Q747" s="40"/>
      <c r="R747" s="140">
        <f ca="1">IFERROR(__xludf.DUMMYFUNCTION("""COMPUTED_VALUE"""),44706)</f>
        <v>44706</v>
      </c>
      <c r="S747" s="140">
        <f ca="1">IFERROR(__xludf.DUMMYFUNCTION("""COMPUTED_VALUE"""),44890)</f>
        <v>44890</v>
      </c>
      <c r="T747" s="40" t="str">
        <f ca="1">IFERROR(__xludf.DUMMYFUNCTION("""COMPUTED_VALUE""")," Tiene contrato, Inicial, Parcial y bitácoras 1,2,3,4,5,6,7,8,9,10...  falta final,certificación  y bitácoras 11 y 12..Revisado 20/10/2022")</f>
        <v xml:space="preserve"> Tiene contrato, Inicial, Parcial y bitácoras 1,2,3,4,5,6,7,8,9,10...  falta final,certificación  y bitácoras 11 y 12..Revisado 20/10/2022</v>
      </c>
      <c r="U747" s="40" t="str">
        <f ca="1">IFERROR(__xludf.DUMMYFUNCTION("""COMPUTED_VALUE"""),"NORMA CONSTANZA PEREZ BENAVIDEZ - Subió  Inicial y bitácoras 1,2,3,4,5,6.... Revisado 13/10/2022 - Subió Parcial y bitácoras 7,8,9 y 10... Revisado 20/10/2022")</f>
        <v>NORMA CONSTANZA PEREZ BENAVIDEZ - Subió  Inicial y bitácoras 1,2,3,4,5,6.... Revisado 13/10/2022 - Subió Parcial y bitácoras 7,8,9 y 10... Revisado 20/10/2022</v>
      </c>
      <c r="V747" s="40" t="str">
        <f ca="1">IFERROR(__xludf.DUMMYFUNCTION("""COMPUTED_VALUE"""),"Si tiene seguimiento 20/10/2022")</f>
        <v>Si tiene seguimiento 20/10/2022</v>
      </c>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t="str">
        <f ca="1">IFERROR(__xludf.DUMMYFUNCTION("""COMPUTED_VALUE"""),"Procede_E_P")</f>
        <v>Procede_E_P</v>
      </c>
      <c r="AV747" s="40" t="str">
        <f ca="1">IFERROR(__xludf.DUMMYFUNCTION("""COMPUTED_VALUE"""),"EN FORMACION")</f>
        <v>EN FORMACION</v>
      </c>
      <c r="AW747" s="40" t="str">
        <f ca="1">IFERROR(__xludf.DUMMYFUNCTION("""COMPUTED_VALUE"""),"TIC")</f>
        <v>TIC</v>
      </c>
      <c r="AX747" s="141">
        <f ca="1">IFERROR(__xludf.DUMMYFUNCTION("""COMPUTED_VALUE"""),0)</f>
        <v>0</v>
      </c>
      <c r="AY747" s="40">
        <f ca="1">IFERROR(__xludf.DUMMYFUNCTION("""COMPUTED_VALUE"""),0)</f>
        <v>0</v>
      </c>
      <c r="AZ747" s="40">
        <f ca="1">IFERROR(__xludf.DUMMYFUNCTION("""COMPUTED_VALUE"""),1)</f>
        <v>1</v>
      </c>
      <c r="BA747" s="40">
        <f ca="1">IFERROR(__xludf.DUMMYFUNCTION("""COMPUTED_VALUE"""),0)</f>
        <v>0</v>
      </c>
      <c r="BB747" s="40">
        <f ca="1">IFERROR(__xludf.DUMMYFUNCTION("""COMPUTED_VALUE"""),0)</f>
        <v>0</v>
      </c>
      <c r="BC747" s="40">
        <f ca="1">IFERROR(__xludf.DUMMYFUNCTION("""COMPUTED_VALUE"""),1)</f>
        <v>1</v>
      </c>
      <c r="BD747" s="141">
        <f ca="1">IFERROR(__xludf.DUMMYFUNCTION("""COMPUTED_VALUE"""),43934)</f>
        <v>43934</v>
      </c>
      <c r="BE747" s="141">
        <f ca="1">IFERROR(__xludf.DUMMYFUNCTION("""COMPUTED_VALUE"""),44543)</f>
        <v>44543</v>
      </c>
      <c r="BF747" s="141">
        <f ca="1">IFERROR(__xludf.DUMMYFUNCTION("""COMPUTED_VALUE"""),44725)</f>
        <v>44725</v>
      </c>
      <c r="BG747" s="141">
        <f ca="1">IFERROR(__xludf.DUMMYFUNCTION("""COMPUTED_VALUE"""),45273)</f>
        <v>45273</v>
      </c>
      <c r="BH747" s="40" t="str">
        <f ca="1">IFERROR(__xludf.DUMMYFUNCTION("""COMPUTED_VALUE"""),"FICHA EN TIEMPO-18 MESES")</f>
        <v>FICHA EN TIEMPO-18 MESES</v>
      </c>
      <c r="BI747" s="40" t="str">
        <f ca="1">IFERROR(__xludf.DUMMYFUNCTION("""COMPUTED_VALUE"""),"Terminada por fecha")</f>
        <v>Terminada por fecha</v>
      </c>
      <c r="BJ747" s="40" t="str">
        <f ca="1">IFERROR(__xludf.DUMMYFUNCTION("""COMPUTED_VALUE"""),"Yamboro")</f>
        <v>Yamboro</v>
      </c>
      <c r="BK747" s="40"/>
      <c r="BL747" s="40"/>
    </row>
    <row r="748" spans="1:64" ht="13">
      <c r="A748" s="40"/>
      <c r="B748" s="40" t="str">
        <f ca="1">IFERROR(__xludf.DUMMYFUNCTION("""COMPUTED_VALUE"""),"FORMACIÓN 18/10/2022")</f>
        <v>FORMACIÓN 18/10/2022</v>
      </c>
      <c r="C748" s="40" t="str">
        <f ca="1">IFERROR(__xludf.DUMMYFUNCTION("""COMPUTED_VALUE"""),"ANDREA YISETH HIOS ANDRADE")</f>
        <v>ANDREA YISETH HIOS ANDRADE</v>
      </c>
      <c r="D748" s="40" t="str">
        <f ca="1">IFERROR(__xludf.DUMMYFUNCTION("""COMPUTED_VALUE"""),"CC")</f>
        <v>CC</v>
      </c>
      <c r="E748" s="40">
        <f ca="1">IFERROR(__xludf.DUMMYFUNCTION("""COMPUTED_VALUE"""),1004417975)</f>
        <v>1004417975</v>
      </c>
      <c r="F748" s="40">
        <f ca="1">IFERROR(__xludf.DUMMYFUNCTION("""COMPUTED_VALUE"""),2067690)</f>
        <v>2067690</v>
      </c>
      <c r="G748" s="40" t="str">
        <f ca="1">IFERROR(__xludf.DUMMYFUNCTION("""COMPUTED_VALUE"""),"TECNÓLOGO")</f>
        <v>TECNÓLOGO</v>
      </c>
      <c r="H748" s="40" t="str">
        <f ca="1">IFERROR(__xludf.DUMMYFUNCTION("""COMPUTED_VALUE"""),"PRODUCCION DE MULTIMEDIA")</f>
        <v>PRODUCCION DE MULTIMEDIA</v>
      </c>
      <c r="I748" s="40">
        <f ca="1">IFERROR(__xludf.DUMMYFUNCTION("""COMPUTED_VALUE"""),3213233166)</f>
        <v>3213233166</v>
      </c>
      <c r="J748" s="40" t="str">
        <f ca="1">IFERROR(__xludf.DUMMYFUNCTION("""COMPUTED_VALUE"""),"hiosandrea@gmail.com")</f>
        <v>hiosandrea@gmail.com</v>
      </c>
      <c r="K748" s="40" t="str">
        <f ca="1">IFERROR(__xludf.DUMMYFUNCTION("""COMPUTED_VALUE"""),"Pitalito")</f>
        <v>Pitalito</v>
      </c>
      <c r="L748" s="40" t="str">
        <f ca="1">IFERROR(__xludf.DUMMYFUNCTION("""COMPUTED_VALUE"""),"PASANTÍAS")</f>
        <v>PASANTÍAS</v>
      </c>
      <c r="M748" s="40" t="str">
        <f ca="1">IFERROR(__xludf.DUMMYFUNCTION("""COMPUTED_VALUE"""),"ARIES Y ACCESORIOS PITALITO")</f>
        <v>ARIES Y ACCESORIOS PITALITO</v>
      </c>
      <c r="N748" s="40" t="str">
        <f ca="1">IFERROR(__xludf.DUMMYFUNCTION("""COMPUTED_VALUE"""),"calle 2 sur  N° 2-81")</f>
        <v>calle 2 sur  N° 2-81</v>
      </c>
      <c r="O748" s="40">
        <f ca="1">IFERROR(__xludf.DUMMYFUNCTION("""COMPUTED_VALUE"""),3183455666)</f>
        <v>3183455666</v>
      </c>
      <c r="P748" s="40" t="str">
        <f ca="1">IFERROR(__xludf.DUMMYFUNCTION("""COMPUTED_VALUE"""),"PITALITO")</f>
        <v>PITALITO</v>
      </c>
      <c r="Q748" s="40" t="str">
        <f ca="1">IFERROR(__xludf.DUMMYFUNCTION("""COMPUTED_VALUE"""),"airesyaccesoriospitalito@gmail.com")</f>
        <v>airesyaccesoriospitalito@gmail.com</v>
      </c>
      <c r="R748" s="140">
        <f ca="1">IFERROR(__xludf.DUMMYFUNCTION("""COMPUTED_VALUE"""),44698)</f>
        <v>44698</v>
      </c>
      <c r="S748" s="140">
        <f ca="1">IFERROR(__xludf.DUMMYFUNCTION("""COMPUTED_VALUE"""),44881)</f>
        <v>44881</v>
      </c>
      <c r="T748" s="40" t="str">
        <f ca="1">IFERROR(__xludf.DUMMYFUNCTION("""COMPUTED_VALUE"""),"Tiene acuerdo de voluntades, Parcial, bitácoras N°1 y 2 ... Falta final, certificación y bitácoras 3,4,5,6,7,8,9,10,11 y 12 ... Revisado 21/06/2022")</f>
        <v>Tiene acuerdo de voluntades, Parcial, bitácoras N°1 y 2 ... Falta final, certificación y bitácoras 3,4,5,6,7,8,9,10,11 y 12 ... Revisado 21/06/2022</v>
      </c>
      <c r="U748" s="40" t="str">
        <f ca="1">IFERROR(__xludf.DUMMYFUNCTION("""COMPUTED_VALUE"""),"Diana Ávila")</f>
        <v>Diana Ávila</v>
      </c>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t="str">
        <f ca="1">IFERROR(__xludf.DUMMYFUNCTION("""COMPUTED_VALUE"""),"Procede_E_P")</f>
        <v>Procede_E_P</v>
      </c>
      <c r="AV748" s="40" t="str">
        <f ca="1">IFERROR(__xludf.DUMMYFUNCTION("""COMPUTED_VALUE"""),"EN FORMACION")</f>
        <v>EN FORMACION</v>
      </c>
      <c r="AW748" s="40" t="str">
        <f ca="1">IFERROR(__xludf.DUMMYFUNCTION("""COMPUTED_VALUE"""),"TIC")</f>
        <v>TIC</v>
      </c>
      <c r="AX748" s="141">
        <f ca="1">IFERROR(__xludf.DUMMYFUNCTION("""COMPUTED_VALUE"""),0)</f>
        <v>0</v>
      </c>
      <c r="AY748" s="40">
        <f ca="1">IFERROR(__xludf.DUMMYFUNCTION("""COMPUTED_VALUE"""),0)</f>
        <v>0</v>
      </c>
      <c r="AZ748" s="40">
        <f ca="1">IFERROR(__xludf.DUMMYFUNCTION("""COMPUTED_VALUE"""),1)</f>
        <v>1</v>
      </c>
      <c r="BA748" s="40">
        <f ca="1">IFERROR(__xludf.DUMMYFUNCTION("""COMPUTED_VALUE"""),0)</f>
        <v>0</v>
      </c>
      <c r="BB748" s="40">
        <f ca="1">IFERROR(__xludf.DUMMYFUNCTION("""COMPUTED_VALUE"""),0)</f>
        <v>0</v>
      </c>
      <c r="BC748" s="40">
        <f ca="1">IFERROR(__xludf.DUMMYFUNCTION("""COMPUTED_VALUE"""),1)</f>
        <v>1</v>
      </c>
      <c r="BD748" s="141">
        <f ca="1">IFERROR(__xludf.DUMMYFUNCTION("""COMPUTED_VALUE"""),43934)</f>
        <v>43934</v>
      </c>
      <c r="BE748" s="141">
        <f ca="1">IFERROR(__xludf.DUMMYFUNCTION("""COMPUTED_VALUE"""),44543)</f>
        <v>44543</v>
      </c>
      <c r="BF748" s="141">
        <f ca="1">IFERROR(__xludf.DUMMYFUNCTION("""COMPUTED_VALUE"""),44725)</f>
        <v>44725</v>
      </c>
      <c r="BG748" s="141">
        <f ca="1">IFERROR(__xludf.DUMMYFUNCTION("""COMPUTED_VALUE"""),45273)</f>
        <v>45273</v>
      </c>
      <c r="BH748" s="40" t="str">
        <f ca="1">IFERROR(__xludf.DUMMYFUNCTION("""COMPUTED_VALUE"""),"FICHA EN TIEMPO-18 MESES")</f>
        <v>FICHA EN TIEMPO-18 MESES</v>
      </c>
      <c r="BI748" s="40" t="str">
        <f ca="1">IFERROR(__xludf.DUMMYFUNCTION("""COMPUTED_VALUE"""),"Terminada por fecha")</f>
        <v>Terminada por fecha</v>
      </c>
      <c r="BJ748" s="40" t="str">
        <f ca="1">IFERROR(__xludf.DUMMYFUNCTION("""COMPUTED_VALUE"""),"Yamboro")</f>
        <v>Yamboro</v>
      </c>
      <c r="BK748" s="40"/>
      <c r="BL748" s="40"/>
    </row>
    <row r="749" spans="1:64" ht="13">
      <c r="A749" s="40"/>
      <c r="B749" s="40" t="str">
        <f ca="1">IFERROR(__xludf.DUMMYFUNCTION("""COMPUTED_VALUE"""),"FORMACIÓN 18/10/2022")</f>
        <v>FORMACIÓN 18/10/2022</v>
      </c>
      <c r="C749" s="40" t="str">
        <f ca="1">IFERROR(__xludf.DUMMYFUNCTION("""COMPUTED_VALUE"""),"GUSTAVO ADOLFO FIGUEROA CABRERA")</f>
        <v>GUSTAVO ADOLFO FIGUEROA CABRERA</v>
      </c>
      <c r="D749" s="40" t="str">
        <f ca="1">IFERROR(__xludf.DUMMYFUNCTION("""COMPUTED_VALUE"""),"CC")</f>
        <v>CC</v>
      </c>
      <c r="E749" s="40">
        <f ca="1">IFERROR(__xludf.DUMMYFUNCTION("""COMPUTED_VALUE"""),1007751040)</f>
        <v>1007751040</v>
      </c>
      <c r="F749" s="40">
        <f ca="1">IFERROR(__xludf.DUMMYFUNCTION("""COMPUTED_VALUE"""),2067690)</f>
        <v>2067690</v>
      </c>
      <c r="G749" s="40" t="str">
        <f ca="1">IFERROR(__xludf.DUMMYFUNCTION("""COMPUTED_VALUE"""),"TECNÓLOGO")</f>
        <v>TECNÓLOGO</v>
      </c>
      <c r="H749" s="40" t="str">
        <f ca="1">IFERROR(__xludf.DUMMYFUNCTION("""COMPUTED_VALUE"""),"PRODUCCION DE MULTIMEDIA")</f>
        <v>PRODUCCION DE MULTIMEDIA</v>
      </c>
      <c r="I749" s="40">
        <f ca="1">IFERROR(__xludf.DUMMYFUNCTION("""COMPUTED_VALUE"""),3224815871)</f>
        <v>3224815871</v>
      </c>
      <c r="J749" s="40" t="str">
        <f ca="1">IFERROR(__xludf.DUMMYFUNCTION("""COMPUTED_VALUE"""),"gufica05@gmail.com")</f>
        <v>gufica05@gmail.com</v>
      </c>
      <c r="K749" s="40" t="str">
        <f ca="1">IFERROR(__xludf.DUMMYFUNCTION("""COMPUTED_VALUE"""),"Pitalito")</f>
        <v>Pitalito</v>
      </c>
      <c r="L749" s="40" t="str">
        <f ca="1">IFERROR(__xludf.DUMMYFUNCTION("""COMPUTED_VALUE"""),"NO HA INICIADO ETAPA PRODUCTIVA")</f>
        <v>NO HA INICIADO ETAPA PRODUCTIVA</v>
      </c>
      <c r="M749" s="40"/>
      <c r="N749" s="40"/>
      <c r="O749" s="40"/>
      <c r="P749" s="40"/>
      <c r="Q749" s="40"/>
      <c r="R749" s="140"/>
      <c r="S749" s="140"/>
      <c r="T749" s="40"/>
      <c r="U749" s="40" t="str">
        <f ca="1">IFERROR(__xludf.DUMMYFUNCTION("""COMPUTED_VALUE"""),"Diana Ávila")</f>
        <v>Diana Ávila</v>
      </c>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t="str">
        <f ca="1">IFERROR(__xludf.DUMMYFUNCTION("""COMPUTED_VALUE"""),"Procede_E_P")</f>
        <v>Procede_E_P</v>
      </c>
      <c r="AV749" s="40" t="str">
        <f ca="1">IFERROR(__xludf.DUMMYFUNCTION("""COMPUTED_VALUE"""),"EN FORMACION")</f>
        <v>EN FORMACION</v>
      </c>
      <c r="AW749" s="40" t="str">
        <f ca="1">IFERROR(__xludf.DUMMYFUNCTION("""COMPUTED_VALUE"""),"TIC")</f>
        <v>TIC</v>
      </c>
      <c r="AX749" s="141">
        <f ca="1">IFERROR(__xludf.DUMMYFUNCTION("""COMPUTED_VALUE"""),0)</f>
        <v>0</v>
      </c>
      <c r="AY749" s="40">
        <f ca="1">IFERROR(__xludf.DUMMYFUNCTION("""COMPUTED_VALUE"""),0)</f>
        <v>0</v>
      </c>
      <c r="AZ749" s="40">
        <f ca="1">IFERROR(__xludf.DUMMYFUNCTION("""COMPUTED_VALUE"""),1)</f>
        <v>1</v>
      </c>
      <c r="BA749" s="40">
        <f ca="1">IFERROR(__xludf.DUMMYFUNCTION("""COMPUTED_VALUE"""),0)</f>
        <v>0</v>
      </c>
      <c r="BB749" s="40">
        <f ca="1">IFERROR(__xludf.DUMMYFUNCTION("""COMPUTED_VALUE"""),0)</f>
        <v>0</v>
      </c>
      <c r="BC749" s="40">
        <f ca="1">IFERROR(__xludf.DUMMYFUNCTION("""COMPUTED_VALUE"""),1)</f>
        <v>1</v>
      </c>
      <c r="BD749" s="141">
        <f ca="1">IFERROR(__xludf.DUMMYFUNCTION("""COMPUTED_VALUE"""),43934)</f>
        <v>43934</v>
      </c>
      <c r="BE749" s="141">
        <f ca="1">IFERROR(__xludf.DUMMYFUNCTION("""COMPUTED_VALUE"""),44543)</f>
        <v>44543</v>
      </c>
      <c r="BF749" s="141">
        <f ca="1">IFERROR(__xludf.DUMMYFUNCTION("""COMPUTED_VALUE"""),44725)</f>
        <v>44725</v>
      </c>
      <c r="BG749" s="141">
        <f ca="1">IFERROR(__xludf.DUMMYFUNCTION("""COMPUTED_VALUE"""),45273)</f>
        <v>45273</v>
      </c>
      <c r="BH749" s="40" t="str">
        <f ca="1">IFERROR(__xludf.DUMMYFUNCTION("""COMPUTED_VALUE"""),"FICHA EN TIEMPO-18 MESES")</f>
        <v>FICHA EN TIEMPO-18 MESES</v>
      </c>
      <c r="BI749" s="40" t="str">
        <f ca="1">IFERROR(__xludf.DUMMYFUNCTION("""COMPUTED_VALUE"""),"Terminada por fecha")</f>
        <v>Terminada por fecha</v>
      </c>
      <c r="BJ749" s="40" t="str">
        <f ca="1">IFERROR(__xludf.DUMMYFUNCTION("""COMPUTED_VALUE"""),"Yamboro")</f>
        <v>Yamboro</v>
      </c>
      <c r="BK749" s="40"/>
      <c r="BL749" s="40"/>
    </row>
    <row r="750" spans="1:64" ht="13">
      <c r="A750" s="40"/>
      <c r="B750" s="40" t="str">
        <f ca="1">IFERROR(__xludf.DUMMYFUNCTION("""COMPUTED_VALUE"""),"FORMACIÓN 18/10/2022")</f>
        <v>FORMACIÓN 18/10/2022</v>
      </c>
      <c r="C750" s="40" t="str">
        <f ca="1">IFERROR(__xludf.DUMMYFUNCTION("""COMPUTED_VALUE"""),"LAURA VALENTINA RIOS RODRIGUEZ")</f>
        <v>LAURA VALENTINA RIOS RODRIGUEZ</v>
      </c>
      <c r="D750" s="40" t="str">
        <f ca="1">IFERROR(__xludf.DUMMYFUNCTION("""COMPUTED_VALUE"""),"CC")</f>
        <v>CC</v>
      </c>
      <c r="E750" s="40">
        <f ca="1">IFERROR(__xludf.DUMMYFUNCTION("""COMPUTED_VALUE"""),1115911465)</f>
        <v>1115911465</v>
      </c>
      <c r="F750" s="40">
        <f ca="1">IFERROR(__xludf.DUMMYFUNCTION("""COMPUTED_VALUE"""),2069847)</f>
        <v>2069847</v>
      </c>
      <c r="G750" s="40" t="str">
        <f ca="1">IFERROR(__xludf.DUMMYFUNCTION("""COMPUTED_VALUE"""),"TECNÓLOGO")</f>
        <v>TECNÓLOGO</v>
      </c>
      <c r="H750" s="40" t="str">
        <f ca="1">IFERROR(__xludf.DUMMYFUNCTION("""COMPUTED_VALUE"""),"GESTION DE REDES DE DATOS")</f>
        <v>GESTION DE REDES DE DATOS</v>
      </c>
      <c r="I750" s="40">
        <f ca="1">IFERROR(__xludf.DUMMYFUNCTION("""COMPUTED_VALUE"""),3219799778)</f>
        <v>3219799778</v>
      </c>
      <c r="J750" s="40" t="str">
        <f ca="1">IFERROR(__xludf.DUMMYFUNCTION("""COMPUTED_VALUE"""),"lauravalentinarios2016@gmail.com")</f>
        <v>lauravalentinarios2016@gmail.com</v>
      </c>
      <c r="K750" s="40"/>
      <c r="L750" s="40" t="str">
        <f ca="1">IFERROR(__xludf.DUMMYFUNCTION("""COMPUTED_VALUE"""),"NO HA INICIADO ETAPA PRODUCTIVA")</f>
        <v>NO HA INICIADO ETAPA PRODUCTIVA</v>
      </c>
      <c r="M750" s="40"/>
      <c r="N750" s="40"/>
      <c r="O750" s="40"/>
      <c r="P750" s="40"/>
      <c r="Q750" s="40"/>
      <c r="R750" s="140"/>
      <c r="S750" s="140"/>
      <c r="T750" s="40"/>
      <c r="U750" s="40" t="str">
        <f ca="1">IFERROR(__xludf.DUMMYFUNCTION("""COMPUTED_VALUE"""),"CARLOS BRAVO ")</f>
        <v xml:space="preserve">CARLOS BRAVO </v>
      </c>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t="str">
        <f ca="1">IFERROR(__xludf.DUMMYFUNCTION("""COMPUTED_VALUE"""),"Procede_E_P")</f>
        <v>Procede_E_P</v>
      </c>
      <c r="AV750" s="40" t="str">
        <f ca="1">IFERROR(__xludf.DUMMYFUNCTION("""COMPUTED_VALUE"""),"EN FORMACION")</f>
        <v>EN FORMACION</v>
      </c>
      <c r="AW750" s="40" t="str">
        <f ca="1">IFERROR(__xludf.DUMMYFUNCTION("""COMPUTED_VALUE"""),"TIC")</f>
        <v>TIC</v>
      </c>
      <c r="AX750" s="141">
        <f ca="1">IFERROR(__xludf.DUMMYFUNCTION("""COMPUTED_VALUE"""),0)</f>
        <v>0</v>
      </c>
      <c r="AY750" s="40">
        <f ca="1">IFERROR(__xludf.DUMMYFUNCTION("""COMPUTED_VALUE"""),0)</f>
        <v>0</v>
      </c>
      <c r="AZ750" s="40">
        <f ca="1">IFERROR(__xludf.DUMMYFUNCTION("""COMPUTED_VALUE"""),1)</f>
        <v>1</v>
      </c>
      <c r="BA750" s="40">
        <f ca="1">IFERROR(__xludf.DUMMYFUNCTION("""COMPUTED_VALUE"""),0)</f>
        <v>0</v>
      </c>
      <c r="BB750" s="40">
        <f ca="1">IFERROR(__xludf.DUMMYFUNCTION("""COMPUTED_VALUE"""),0)</f>
        <v>0</v>
      </c>
      <c r="BC750" s="40">
        <f ca="1">IFERROR(__xludf.DUMMYFUNCTION("""COMPUTED_VALUE"""),1)</f>
        <v>1</v>
      </c>
      <c r="BD750" s="141">
        <f ca="1">IFERROR(__xludf.DUMMYFUNCTION("""COMPUTED_VALUE"""),43934)</f>
        <v>43934</v>
      </c>
      <c r="BE750" s="141">
        <f ca="1">IFERROR(__xludf.DUMMYFUNCTION("""COMPUTED_VALUE"""),44573)</f>
        <v>44573</v>
      </c>
      <c r="BF750" s="141">
        <f ca="1">IFERROR(__xludf.DUMMYFUNCTION("""COMPUTED_VALUE"""),44754)</f>
        <v>44754</v>
      </c>
      <c r="BG750" s="141">
        <f ca="1">IFERROR(__xludf.DUMMYFUNCTION("""COMPUTED_VALUE"""),45303)</f>
        <v>45303</v>
      </c>
      <c r="BH750" s="40" t="str">
        <f ca="1">IFERROR(__xludf.DUMMYFUNCTION("""COMPUTED_VALUE"""),"FICHA EN TIEMPO-18 MESES")</f>
        <v>FICHA EN TIEMPO-18 MESES</v>
      </c>
      <c r="BI750" s="40" t="str">
        <f ca="1">IFERROR(__xludf.DUMMYFUNCTION("""COMPUTED_VALUE"""),"Terminada por fecha")</f>
        <v>Terminada por fecha</v>
      </c>
      <c r="BJ750" s="40" t="str">
        <f ca="1">IFERROR(__xludf.DUMMYFUNCTION("""COMPUTED_VALUE"""),"Yamboro")</f>
        <v>Yamboro</v>
      </c>
      <c r="BK750" s="40"/>
      <c r="BL750" s="40"/>
    </row>
    <row r="751" spans="1:64" ht="13">
      <c r="A751" s="40"/>
      <c r="B751" s="40" t="str">
        <f ca="1">IFERROR(__xludf.DUMMYFUNCTION("""COMPUTED_VALUE"""),"FORMACIÓN 18/10/2022")</f>
        <v>FORMACIÓN 18/10/2022</v>
      </c>
      <c r="C751" s="40" t="str">
        <f ca="1">IFERROR(__xludf.DUMMYFUNCTION("""COMPUTED_VALUE"""),"LEIDY YURANI ORDOÑEZ CHINCHAJOY")</f>
        <v>LEIDY YURANI ORDOÑEZ CHINCHAJOY</v>
      </c>
      <c r="D751" s="40" t="str">
        <f ca="1">IFERROR(__xludf.DUMMYFUNCTION("""COMPUTED_VALUE"""),"CC")</f>
        <v>CC</v>
      </c>
      <c r="E751" s="40">
        <f ca="1">IFERROR(__xludf.DUMMYFUNCTION("""COMPUTED_VALUE"""),1004440191)</f>
        <v>1004440191</v>
      </c>
      <c r="F751" s="40">
        <f ca="1">IFERROR(__xludf.DUMMYFUNCTION("""COMPUTED_VALUE"""),2389755)</f>
        <v>2389755</v>
      </c>
      <c r="G751" s="40" t="str">
        <f ca="1">IFERROR(__xludf.DUMMYFUNCTION("""COMPUTED_VALUE"""),"TÉCNICO")</f>
        <v>TÉCNICO</v>
      </c>
      <c r="H751" s="40" t="str">
        <f ca="1">IFERROR(__xludf.DUMMYFUNCTION("""COMPUTED_VALUE"""),"SISTEMAS.")</f>
        <v>SISTEMAS.</v>
      </c>
      <c r="I751" s="40">
        <f ca="1">IFERROR(__xludf.DUMMYFUNCTION("""COMPUTED_VALUE"""),3219410395)</f>
        <v>3219410395</v>
      </c>
      <c r="J751" s="40" t="str">
        <f ca="1">IFERROR(__xludf.DUMMYFUNCTION("""COMPUTED_VALUE"""),"ordonezleydi77@gmail.com")</f>
        <v>ordonezleydi77@gmail.com</v>
      </c>
      <c r="K751" s="40" t="str">
        <f ca="1">IFERROR(__xludf.DUMMYFUNCTION("""COMPUTED_VALUE"""),"ISNOS- HUILA ")</f>
        <v xml:space="preserve">ISNOS- HUILA </v>
      </c>
      <c r="L751" s="40" t="str">
        <f ca="1">IFERROR(__xludf.DUMMYFUNCTION("""COMPUTED_VALUE"""),"PASANTÍAS")</f>
        <v>PASANTÍAS</v>
      </c>
      <c r="M751" s="40" t="str">
        <f ca="1">IFERROR(__xludf.DUMMYFUNCTION("""COMPUTED_VALUE"""),"Concejo Municipal de Isnos-Huila,")</f>
        <v>Concejo Municipal de Isnos-Huila,</v>
      </c>
      <c r="N751" s="40"/>
      <c r="O751" s="40">
        <f ca="1">IFERROR(__xludf.DUMMYFUNCTION("""COMPUTED_VALUE"""),3202837380)</f>
        <v>3202837380</v>
      </c>
      <c r="P751" s="40" t="str">
        <f ca="1">IFERROR(__xludf.DUMMYFUNCTION("""COMPUTED_VALUE"""),"ISNOS ")</f>
        <v xml:space="preserve">ISNOS </v>
      </c>
      <c r="Q751" s="40" t="str">
        <f ca="1">IFERROR(__xludf.DUMMYFUNCTION("""COMPUTED_VALUE"""),"concejo@isnos-huila.gov.co")</f>
        <v>concejo@isnos-huila.gov.co</v>
      </c>
      <c r="R751" s="140">
        <f ca="1">IFERROR(__xludf.DUMMYFUNCTION("""COMPUTED_VALUE"""),44718)</f>
        <v>44718</v>
      </c>
      <c r="S751" s="140">
        <f ca="1">IFERROR(__xludf.DUMMYFUNCTION("""COMPUTED_VALUE"""),44901)</f>
        <v>44901</v>
      </c>
      <c r="T751" s="40" t="str">
        <f ca="1">IFERROR(__xludf.DUMMYFUNCTION("""COMPUTED_VALUE"""),"Tiene Acuerdo de Voluntades, Parcial y Bitácoras 1,2,3,4,5 y 6 ...Falta Final y bitácoras 7,8,9,10,11 y 12...Revisado 16/09/2022")</f>
        <v>Tiene Acuerdo de Voluntades, Parcial y Bitácoras 1,2,3,4,5 y 6 ...Falta Final y bitácoras 7,8,9,10,11 y 12...Revisado 16/09/2022</v>
      </c>
      <c r="U751" s="40" t="str">
        <f ca="1">IFERROR(__xludf.DUMMYFUNCTION("""COMPUTED_VALUE"""),"EDUARTO TRIANA  - Subió Parcial y bitácoras 1,2,3,4,5 y 6... Revisado 16/09/2022")</f>
        <v>EDUARTO TRIANA  - Subió Parcial y bitácoras 1,2,3,4,5 y 6... Revisado 16/09/2022</v>
      </c>
      <c r="V751" s="40" t="str">
        <f ca="1">IFERROR(__xludf.DUMMYFUNCTION("""COMPUTED_VALUE"""),"Si tiene seguimiento 16/09/2022")</f>
        <v>Si tiene seguimiento 16/09/2022</v>
      </c>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t="str">
        <f ca="1">IFERROR(__xludf.DUMMYFUNCTION("""COMPUTED_VALUE"""),"Procede_E_P")</f>
        <v>Procede_E_P</v>
      </c>
      <c r="AV751" s="40" t="str">
        <f ca="1">IFERROR(__xludf.DUMMYFUNCTION("""COMPUTED_VALUE"""),"EN FORMACION")</f>
        <v>EN FORMACION</v>
      </c>
      <c r="AW751" s="40" t="str">
        <f ca="1">IFERROR(__xludf.DUMMYFUNCTION("""COMPUTED_VALUE"""),"TIC")</f>
        <v>TIC</v>
      </c>
      <c r="AX751" s="141">
        <f ca="1">IFERROR(__xludf.DUMMYFUNCTION("""COMPUTED_VALUE"""),0)</f>
        <v>0</v>
      </c>
      <c r="AY751" s="40">
        <f ca="1">IFERROR(__xludf.DUMMYFUNCTION("""COMPUTED_VALUE"""),0)</f>
        <v>0</v>
      </c>
      <c r="AZ751" s="40">
        <f ca="1">IFERROR(__xludf.DUMMYFUNCTION("""COMPUTED_VALUE"""),1)</f>
        <v>1</v>
      </c>
      <c r="BA751" s="40">
        <f ca="1">IFERROR(__xludf.DUMMYFUNCTION("""COMPUTED_VALUE"""),0)</f>
        <v>0</v>
      </c>
      <c r="BB751" s="40">
        <f ca="1">IFERROR(__xludf.DUMMYFUNCTION("""COMPUTED_VALUE"""),0)</f>
        <v>0</v>
      </c>
      <c r="BC751" s="40">
        <f ca="1">IFERROR(__xludf.DUMMYFUNCTION("""COMPUTED_VALUE"""),1)</f>
        <v>1</v>
      </c>
      <c r="BD751" s="141">
        <f ca="1">IFERROR(__xludf.DUMMYFUNCTION("""COMPUTED_VALUE"""),44425)</f>
        <v>44425</v>
      </c>
      <c r="BE751" s="141">
        <f ca="1">IFERROR(__xludf.DUMMYFUNCTION("""COMPUTED_VALUE"""),44698)</f>
        <v>44698</v>
      </c>
      <c r="BF751" s="141">
        <f ca="1">IFERROR(__xludf.DUMMYFUNCTION("""COMPUTED_VALUE"""),44882)</f>
        <v>44882</v>
      </c>
      <c r="BG751" s="141">
        <f ca="1">IFERROR(__xludf.DUMMYFUNCTION("""COMPUTED_VALUE"""),45429)</f>
        <v>45429</v>
      </c>
      <c r="BH751" s="40" t="str">
        <f ca="1">IFERROR(__xludf.DUMMYFUNCTION("""COMPUTED_VALUE"""),"FICHA EN TIEMPO-18 MESES")</f>
        <v>FICHA EN TIEMPO-18 MESES</v>
      </c>
      <c r="BI751" s="40" t="str">
        <f ca="1">IFERROR(__xludf.DUMMYFUNCTION("""COMPUTED_VALUE"""),"Terminada por fecha")</f>
        <v>Terminada por fecha</v>
      </c>
      <c r="BJ751" s="40" t="str">
        <f ca="1">IFERROR(__xludf.DUMMYFUNCTION("""COMPUTED_VALUE"""),"Yamboro")</f>
        <v>Yamboro</v>
      </c>
      <c r="BK751" s="40"/>
      <c r="BL751" s="40"/>
    </row>
    <row r="752" spans="1:64" ht="13">
      <c r="A752" s="40"/>
      <c r="B752" s="40" t="str">
        <f ca="1">IFERROR(__xludf.DUMMYFUNCTION("""COMPUTED_VALUE"""),"FORMACIÓN 18/10/2022")</f>
        <v>FORMACIÓN 18/10/2022</v>
      </c>
      <c r="C752" s="40" t="str">
        <f ca="1">IFERROR(__xludf.DUMMYFUNCTION("""COMPUTED_VALUE"""),"ESNEIRA JIMENA ORTEGA JOAQUI")</f>
        <v>ESNEIRA JIMENA ORTEGA JOAQUI</v>
      </c>
      <c r="D752" s="40" t="str">
        <f ca="1">IFERROR(__xludf.DUMMYFUNCTION("""COMPUTED_VALUE"""),"CC")</f>
        <v>CC</v>
      </c>
      <c r="E752" s="40">
        <f ca="1">IFERROR(__xludf.DUMMYFUNCTION("""COMPUTED_VALUE"""),1004440227)</f>
        <v>1004440227</v>
      </c>
      <c r="F752" s="40">
        <f ca="1">IFERROR(__xludf.DUMMYFUNCTION("""COMPUTED_VALUE"""),2389755)</f>
        <v>2389755</v>
      </c>
      <c r="G752" s="40" t="str">
        <f ca="1">IFERROR(__xludf.DUMMYFUNCTION("""COMPUTED_VALUE"""),"TÉCNICO")</f>
        <v>TÉCNICO</v>
      </c>
      <c r="H752" s="40" t="str">
        <f ca="1">IFERROR(__xludf.DUMMYFUNCTION("""COMPUTED_VALUE"""),"SISTEMAS.")</f>
        <v>SISTEMAS.</v>
      </c>
      <c r="I752" s="40">
        <f ca="1">IFERROR(__xludf.DUMMYFUNCTION("""COMPUTED_VALUE"""),3225408038)</f>
        <v>3225408038</v>
      </c>
      <c r="J752" s="40" t="str">
        <f ca="1">IFERROR(__xludf.DUMMYFUNCTION("""COMPUTED_VALUE"""),"esneiraorte28@gmail.com")</f>
        <v>esneiraorte28@gmail.com</v>
      </c>
      <c r="K752" s="40" t="str">
        <f ca="1">IFERROR(__xludf.DUMMYFUNCTION("""COMPUTED_VALUE"""),"ISNOS- HUILA ")</f>
        <v xml:space="preserve">ISNOS- HUILA </v>
      </c>
      <c r="L752" s="40" t="str">
        <f ca="1">IFERROR(__xludf.DUMMYFUNCTION("""COMPUTED_VALUE"""),"PASANTÍAS")</f>
        <v>PASANTÍAS</v>
      </c>
      <c r="M752" s="40" t="str">
        <f ca="1">IFERROR(__xludf.DUMMYFUNCTION("""COMPUTED_VALUE"""),"Concejo Municipal de Isnos-Huila,")</f>
        <v>Concejo Municipal de Isnos-Huila,</v>
      </c>
      <c r="N752" s="40"/>
      <c r="O752" s="40">
        <f ca="1">IFERROR(__xludf.DUMMYFUNCTION("""COMPUTED_VALUE"""),3202837380)</f>
        <v>3202837380</v>
      </c>
      <c r="P752" s="40" t="str">
        <f ca="1">IFERROR(__xludf.DUMMYFUNCTION("""COMPUTED_VALUE"""),"ISNOS ")</f>
        <v xml:space="preserve">ISNOS </v>
      </c>
      <c r="Q752" s="40" t="str">
        <f ca="1">IFERROR(__xludf.DUMMYFUNCTION("""COMPUTED_VALUE"""),"concejo@isnos-huila.gov.co")</f>
        <v>concejo@isnos-huila.gov.co</v>
      </c>
      <c r="R752" s="140">
        <f ca="1">IFERROR(__xludf.DUMMYFUNCTION("""COMPUTED_VALUE"""),44718)</f>
        <v>44718</v>
      </c>
      <c r="S752" s="140">
        <f ca="1">IFERROR(__xludf.DUMMYFUNCTION("""COMPUTED_VALUE"""),44901)</f>
        <v>44901</v>
      </c>
      <c r="T752" s="40" t="str">
        <f ca="1">IFERROR(__xludf.DUMMYFUNCTION("""COMPUTED_VALUE"""),"Tiene acuerdo de voluntades, Inicial  bitácoras 2,3,4 y 5... Falta parcial,final, certificación y bitácoras 1,6,7,8,9,10,11 y 12 ... Revisado 21/09/2022")</f>
        <v>Tiene acuerdo de voluntades, Inicial  bitácoras 2,3,4 y 5... Falta parcial,final, certificación y bitácoras 1,6,7,8,9,10,11 y 12 ... Revisado 21/09/2022</v>
      </c>
      <c r="U752" s="40" t="str">
        <f ca="1">IFERROR(__xludf.DUMMYFUNCTION("""COMPUTED_VALUE"""),"NORMA PEREZ - Subió Inicial y bitácoras 2,3,4 y 5... Revisado 21/09/2022")</f>
        <v>NORMA PEREZ - Subió Inicial y bitácoras 2,3,4 y 5... Revisado 21/09/2022</v>
      </c>
      <c r="V752" s="40" t="str">
        <f ca="1">IFERROR(__xludf.DUMMYFUNCTION("""COMPUTED_VALUE"""),"Si tiene seguimiento 21/09/2022")</f>
        <v>Si tiene seguimiento 21/09/2022</v>
      </c>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t="str">
        <f ca="1">IFERROR(__xludf.DUMMYFUNCTION("""COMPUTED_VALUE"""),"Procede_E_P")</f>
        <v>Procede_E_P</v>
      </c>
      <c r="AV752" s="40" t="str">
        <f ca="1">IFERROR(__xludf.DUMMYFUNCTION("""COMPUTED_VALUE"""),"EN FORMACION")</f>
        <v>EN FORMACION</v>
      </c>
      <c r="AW752" s="40" t="str">
        <f ca="1">IFERROR(__xludf.DUMMYFUNCTION("""COMPUTED_VALUE"""),"TIC")</f>
        <v>TIC</v>
      </c>
      <c r="AX752" s="141">
        <f ca="1">IFERROR(__xludf.DUMMYFUNCTION("""COMPUTED_VALUE"""),0)</f>
        <v>0</v>
      </c>
      <c r="AY752" s="40">
        <f ca="1">IFERROR(__xludf.DUMMYFUNCTION("""COMPUTED_VALUE"""),0)</f>
        <v>0</v>
      </c>
      <c r="AZ752" s="40">
        <f ca="1">IFERROR(__xludf.DUMMYFUNCTION("""COMPUTED_VALUE"""),1)</f>
        <v>1</v>
      </c>
      <c r="BA752" s="40">
        <f ca="1">IFERROR(__xludf.DUMMYFUNCTION("""COMPUTED_VALUE"""),0)</f>
        <v>0</v>
      </c>
      <c r="BB752" s="40">
        <f ca="1">IFERROR(__xludf.DUMMYFUNCTION("""COMPUTED_VALUE"""),0)</f>
        <v>0</v>
      </c>
      <c r="BC752" s="40">
        <f ca="1">IFERROR(__xludf.DUMMYFUNCTION("""COMPUTED_VALUE"""),1)</f>
        <v>1</v>
      </c>
      <c r="BD752" s="141">
        <f ca="1">IFERROR(__xludf.DUMMYFUNCTION("""COMPUTED_VALUE"""),44425)</f>
        <v>44425</v>
      </c>
      <c r="BE752" s="141">
        <f ca="1">IFERROR(__xludf.DUMMYFUNCTION("""COMPUTED_VALUE"""),44698)</f>
        <v>44698</v>
      </c>
      <c r="BF752" s="141">
        <f ca="1">IFERROR(__xludf.DUMMYFUNCTION("""COMPUTED_VALUE"""),44882)</f>
        <v>44882</v>
      </c>
      <c r="BG752" s="141">
        <f ca="1">IFERROR(__xludf.DUMMYFUNCTION("""COMPUTED_VALUE"""),45429)</f>
        <v>45429</v>
      </c>
      <c r="BH752" s="40" t="str">
        <f ca="1">IFERROR(__xludf.DUMMYFUNCTION("""COMPUTED_VALUE"""),"FICHA EN TIEMPO-18 MESES")</f>
        <v>FICHA EN TIEMPO-18 MESES</v>
      </c>
      <c r="BI752" s="40" t="str">
        <f ca="1">IFERROR(__xludf.DUMMYFUNCTION("""COMPUTED_VALUE"""),"Terminada por fecha")</f>
        <v>Terminada por fecha</v>
      </c>
      <c r="BJ752" s="40" t="str">
        <f ca="1">IFERROR(__xludf.DUMMYFUNCTION("""COMPUTED_VALUE"""),"Yamboro")</f>
        <v>Yamboro</v>
      </c>
      <c r="BK752" s="40"/>
      <c r="BL752" s="40"/>
    </row>
    <row r="753" spans="1:64" ht="13">
      <c r="A753" s="40"/>
      <c r="B753" s="40" t="str">
        <f ca="1">IFERROR(__xludf.DUMMYFUNCTION("""COMPUTED_VALUE"""),"FORMACIÓN 18/10/2022")</f>
        <v>FORMACIÓN 18/10/2022</v>
      </c>
      <c r="C753" s="40" t="str">
        <f ca="1">IFERROR(__xludf.DUMMYFUNCTION("""COMPUTED_VALUE"""),"OSCAR YESID IMBACHI MUÑOZ")</f>
        <v>OSCAR YESID IMBACHI MUÑOZ</v>
      </c>
      <c r="D753" s="40" t="str">
        <f ca="1">IFERROR(__xludf.DUMMYFUNCTION("""COMPUTED_VALUE"""),"TI")</f>
        <v>TI</v>
      </c>
      <c r="E753" s="40">
        <f ca="1">IFERROR(__xludf.DUMMYFUNCTION("""COMPUTED_VALUE"""),1004440815)</f>
        <v>1004440815</v>
      </c>
      <c r="F753" s="40">
        <f ca="1">IFERROR(__xludf.DUMMYFUNCTION("""COMPUTED_VALUE"""),2389755)</f>
        <v>2389755</v>
      </c>
      <c r="G753" s="40" t="str">
        <f ca="1">IFERROR(__xludf.DUMMYFUNCTION("""COMPUTED_VALUE"""),"TÉCNICO")</f>
        <v>TÉCNICO</v>
      </c>
      <c r="H753" s="40" t="str">
        <f ca="1">IFERROR(__xludf.DUMMYFUNCTION("""COMPUTED_VALUE"""),"SISTEMAS.")</f>
        <v>SISTEMAS.</v>
      </c>
      <c r="I753" s="40">
        <f ca="1">IFERROR(__xludf.DUMMYFUNCTION("""COMPUTED_VALUE"""),3155907198)</f>
        <v>3155907198</v>
      </c>
      <c r="J753" s="40" t="str">
        <f ca="1">IFERROR(__xludf.DUMMYFUNCTION("""COMPUTED_VALUE"""),"oscarimbachi735@gmail.com")</f>
        <v>oscarimbachi735@gmail.com</v>
      </c>
      <c r="K753" s="40"/>
      <c r="L753" s="40" t="str">
        <f ca="1">IFERROR(__xludf.DUMMYFUNCTION("""COMPUTED_VALUE"""),"PASANTÍAS")</f>
        <v>PASANTÍAS</v>
      </c>
      <c r="M753" s="40" t="str">
        <f ca="1">IFERROR(__xludf.DUMMYFUNCTION("""COMPUTED_VALUE"""),"CENTRO SER TECNOLOGIA ")</f>
        <v xml:space="preserve">CENTRO SER TECNOLOGIA </v>
      </c>
      <c r="N753" s="40" t="str">
        <f ca="1">IFERROR(__xludf.DUMMYFUNCTION("""COMPUTED_VALUE"""),"ISNOS - HUILA ")</f>
        <v xml:space="preserve">ISNOS - HUILA </v>
      </c>
      <c r="O753" s="40">
        <f ca="1">IFERROR(__xludf.DUMMYFUNCTION("""COMPUTED_VALUE"""),3222258290)</f>
        <v>3222258290</v>
      </c>
      <c r="P753" s="40" t="str">
        <f ca="1">IFERROR(__xludf.DUMMYFUNCTION("""COMPUTED_VALUE"""),"ISNOS ")</f>
        <v xml:space="preserve">ISNOS </v>
      </c>
      <c r="Q753" s="40" t="str">
        <f ca="1">IFERROR(__xludf.DUMMYFUNCTION("""COMPUTED_VALUE"""),"centrosertecnologia@ gmail.com ")</f>
        <v xml:space="preserve">centrosertecnologia@ gmail.com </v>
      </c>
      <c r="R753" s="140">
        <f ca="1">IFERROR(__xludf.DUMMYFUNCTION("""COMPUTED_VALUE"""),44774)</f>
        <v>44774</v>
      </c>
      <c r="S753" s="140">
        <f ca="1">IFERROR(__xludf.DUMMYFUNCTION("""COMPUTED_VALUE"""),44957)</f>
        <v>44957</v>
      </c>
      <c r="T753" s="40" t="str">
        <f ca="1">IFERROR(__xludf.DUMMYFUNCTION("""COMPUTED_VALUE"""),"Tiene Acuerdo de voluntades, Incial, Parcial y bitácoras 1,2,3,4,5... Falta parcial, final, certificación y bitácoras 6,7,8,9,10,11  y 12 ... . Revisado 30/09/2022")</f>
        <v>Tiene Acuerdo de voluntades, Incial, Parcial y bitácoras 1,2,3,4,5... Falta parcial, final, certificación y bitácoras 6,7,8,9,10,11  y 12 ... . Revisado 30/09/2022</v>
      </c>
      <c r="U753" s="40" t="str">
        <f ca="1">IFERROR(__xludf.DUMMYFUNCTION("""COMPUTED_VALUE"""),"NORMA PEREZ- Subió Inicial y bitácoras 1,2,3,4 y 5... Revisado 30/09/2022 - Bitácoras 4 y 5 ya se encontraban en el drive con las mismas fehcas y firmas - Subió Parcial... Revisado 04/10/2022")</f>
        <v>NORMA PEREZ- Subió Inicial y bitácoras 1,2,3,4 y 5... Revisado 30/09/2022 - Bitácoras 4 y 5 ya se encontraban en el drive con las mismas fehcas y firmas - Subió Parcial... Revisado 04/10/2022</v>
      </c>
      <c r="V753" s="40" t="str">
        <f ca="1">IFERROR(__xludf.DUMMYFUNCTION("""COMPUTED_VALUE"""),"Si tiene seguimiento 04/10/2022")</f>
        <v>Si tiene seguimiento 04/10/2022</v>
      </c>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t="str">
        <f ca="1">IFERROR(__xludf.DUMMYFUNCTION("""COMPUTED_VALUE"""),"NO_CUMPLE")</f>
        <v>NO_CUMPLE</v>
      </c>
      <c r="AV753" s="40" t="str">
        <f ca="1">IFERROR(__xludf.DUMMYFUNCTION("""COMPUTED_VALUE"""),"EN FORMACION")</f>
        <v>EN FORMACION</v>
      </c>
      <c r="AW753" s="40" t="str">
        <f ca="1">IFERROR(__xludf.DUMMYFUNCTION("""COMPUTED_VALUE"""),"TIC")</f>
        <v>TIC</v>
      </c>
      <c r="AX753" s="141">
        <f ca="1">IFERROR(__xludf.DUMMYFUNCTION("""COMPUTED_VALUE"""),4)</f>
        <v>4</v>
      </c>
      <c r="AY753" s="40">
        <f ca="1">IFERROR(__xludf.DUMMYFUNCTION("""COMPUTED_VALUE"""),4)</f>
        <v>4</v>
      </c>
      <c r="AZ753" s="40">
        <f ca="1">IFERROR(__xludf.DUMMYFUNCTION("""COMPUTED_VALUE"""),1)</f>
        <v>1</v>
      </c>
      <c r="BA753" s="40">
        <f ca="1">IFERROR(__xludf.DUMMYFUNCTION("""COMPUTED_VALUE"""),0)</f>
        <v>0</v>
      </c>
      <c r="BB753" s="40">
        <f ca="1">IFERROR(__xludf.DUMMYFUNCTION("""COMPUTED_VALUE"""),0)</f>
        <v>0</v>
      </c>
      <c r="BC753" s="40">
        <f ca="1">IFERROR(__xludf.DUMMYFUNCTION("""COMPUTED_VALUE"""),5)</f>
        <v>5</v>
      </c>
      <c r="BD753" s="141">
        <f ca="1">IFERROR(__xludf.DUMMYFUNCTION("""COMPUTED_VALUE"""),44425)</f>
        <v>44425</v>
      </c>
      <c r="BE753" s="141">
        <f ca="1">IFERROR(__xludf.DUMMYFUNCTION("""COMPUTED_VALUE"""),44698)</f>
        <v>44698</v>
      </c>
      <c r="BF753" s="141">
        <f ca="1">IFERROR(__xludf.DUMMYFUNCTION("""COMPUTED_VALUE"""),44882)</f>
        <v>44882</v>
      </c>
      <c r="BG753" s="141">
        <f ca="1">IFERROR(__xludf.DUMMYFUNCTION("""COMPUTED_VALUE"""),45429)</f>
        <v>45429</v>
      </c>
      <c r="BH753" s="40" t="str">
        <f ca="1">IFERROR(__xludf.DUMMYFUNCTION("""COMPUTED_VALUE"""),"FICHA EN TIEMPO-18 MESES")</f>
        <v>FICHA EN TIEMPO-18 MESES</v>
      </c>
      <c r="BI753" s="40" t="str">
        <f ca="1">IFERROR(__xludf.DUMMYFUNCTION("""COMPUTED_VALUE"""),"Terminada por fecha")</f>
        <v>Terminada por fecha</v>
      </c>
      <c r="BJ753" s="40" t="str">
        <f ca="1">IFERROR(__xludf.DUMMYFUNCTION("""COMPUTED_VALUE"""),"Yamboro")</f>
        <v>Yamboro</v>
      </c>
      <c r="BK753" s="40"/>
      <c r="BL753" s="40"/>
    </row>
    <row r="754" spans="1:64" ht="13">
      <c r="A754" s="40"/>
      <c r="B754" s="40" t="str">
        <f ca="1">IFERROR(__xludf.DUMMYFUNCTION("""COMPUTED_VALUE"""),"FORMACIÓN 18/10/2022")</f>
        <v>FORMACIÓN 18/10/2022</v>
      </c>
      <c r="C754" s="40" t="str">
        <f ca="1">IFERROR(__xludf.DUMMYFUNCTION("""COMPUTED_VALUE"""),"ANA MARIA QUINAYAS MUÑOZ")</f>
        <v>ANA MARIA QUINAYAS MUÑOZ</v>
      </c>
      <c r="D754" s="40" t="str">
        <f ca="1">IFERROR(__xludf.DUMMYFUNCTION("""COMPUTED_VALUE"""),"CC")</f>
        <v>CC</v>
      </c>
      <c r="E754" s="40">
        <f ca="1">IFERROR(__xludf.DUMMYFUNCTION("""COMPUTED_VALUE"""),1004441622)</f>
        <v>1004441622</v>
      </c>
      <c r="F754" s="40">
        <f ca="1">IFERROR(__xludf.DUMMYFUNCTION("""COMPUTED_VALUE"""),2389755)</f>
        <v>2389755</v>
      </c>
      <c r="G754" s="40" t="str">
        <f ca="1">IFERROR(__xludf.DUMMYFUNCTION("""COMPUTED_VALUE"""),"TÉCNICO")</f>
        <v>TÉCNICO</v>
      </c>
      <c r="H754" s="40" t="str">
        <f ca="1">IFERROR(__xludf.DUMMYFUNCTION("""COMPUTED_VALUE"""),"SISTEMAS.")</f>
        <v>SISTEMAS.</v>
      </c>
      <c r="I754" s="40">
        <f ca="1">IFERROR(__xludf.DUMMYFUNCTION("""COMPUTED_VALUE"""),31886525743)</f>
        <v>31886525743</v>
      </c>
      <c r="J754" s="40" t="str">
        <f ca="1">IFERROR(__xludf.DUMMYFUNCTION("""COMPUTED_VALUE"""),"quinayasmaria@gmail.com")</f>
        <v>quinayasmaria@gmail.com</v>
      </c>
      <c r="K754" s="40"/>
      <c r="L754" s="40" t="str">
        <f ca="1">IFERROR(__xludf.DUMMYFUNCTION("""COMPUTED_VALUE"""),"PASANTÍAS")</f>
        <v>PASANTÍAS</v>
      </c>
      <c r="M754" s="40" t="str">
        <f ca="1">IFERROR(__xludf.DUMMYFUNCTION("""COMPUTED_VALUE"""),"EMPRESA DE SERVICIOS PUBLICOS AGUAS Y ASEO DEL MACIZO S.A.S E.S.P ")</f>
        <v xml:space="preserve">EMPRESA DE SERVICIOS PUBLICOS AGUAS Y ASEO DEL MACIZO S.A.S E.S.P </v>
      </c>
      <c r="N754" s="40" t="str">
        <f ca="1">IFERROR(__xludf.DUMMYFUNCTION("""COMPUTED_VALUE"""),"CARRERA 3 N° 1-76 ")</f>
        <v xml:space="preserve">CARRERA 3 N° 1-76 </v>
      </c>
      <c r="O754" s="40">
        <f ca="1">IFERROR(__xludf.DUMMYFUNCTION("""COMPUTED_VALUE"""),31150005080)</f>
        <v>31150005080</v>
      </c>
      <c r="P754" s="40" t="str">
        <f ca="1">IFERROR(__xludf.DUMMYFUNCTION("""COMPUTED_VALUE"""),"ISNOS ")</f>
        <v xml:space="preserve">ISNOS </v>
      </c>
      <c r="Q754" s="40" t="str">
        <f ca="1">IFERROR(__xludf.DUMMYFUNCTION("""COMPUTED_VALUE"""),"secretaria@aguasyaseodelmacizoespisnoshuila.com.co")</f>
        <v>secretaria@aguasyaseodelmacizoespisnoshuila.com.co</v>
      </c>
      <c r="R754" s="140">
        <f ca="1">IFERROR(__xludf.DUMMYFUNCTION("""COMPUTED_VALUE"""),44713)</f>
        <v>44713</v>
      </c>
      <c r="S754" s="140">
        <f ca="1">IFERROR(__xludf.DUMMYFUNCTION("""COMPUTED_VALUE"""),44895)</f>
        <v>44895</v>
      </c>
      <c r="T754" s="40" t="str">
        <f ca="1">IFERROR(__xludf.DUMMYFUNCTION("""COMPUTED_VALUE"""),"Tiene Acuerdo de voluntades, Incial, parcial y bitácoras 1,2,3,4,5,7,8... Falta parcial, final, certificación y bitácoras 6,,9,10,11  y 12 ... . Revisado 13/10/2022")</f>
        <v>Tiene Acuerdo de voluntades, Incial, parcial y bitácoras 1,2,3,4,5,7,8... Falta parcial, final, certificación y bitácoras 6,,9,10,11  y 12 ... . Revisado 13/10/2022</v>
      </c>
      <c r="U754" s="40" t="str">
        <f ca="1">IFERROR(__xludf.DUMMYFUNCTION("""COMPUTED_VALUE"""),"NORMA PEREZ- Subió Inicial y bitácoras 1,2,3,4 y 5... Revisado 23/09/2022 - Subió Parcial y bitácoras 7 y 8... Revisado 13/10/2022")</f>
        <v>NORMA PEREZ- Subió Inicial y bitácoras 1,2,3,4 y 5... Revisado 23/09/2022 - Subió Parcial y bitácoras 7 y 8... Revisado 13/10/2022</v>
      </c>
      <c r="V754" s="40" t="str">
        <f ca="1">IFERROR(__xludf.DUMMYFUNCTION("""COMPUTED_VALUE"""),"Si tiene seguimiento 13/10/2022")</f>
        <v>Si tiene seguimiento 13/10/2022</v>
      </c>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t="str">
        <f ca="1">IFERROR(__xludf.DUMMYFUNCTION("""COMPUTED_VALUE"""),"Procede_E_P")</f>
        <v>Procede_E_P</v>
      </c>
      <c r="AV754" s="40" t="str">
        <f ca="1">IFERROR(__xludf.DUMMYFUNCTION("""COMPUTED_VALUE"""),"EN FORMACION")</f>
        <v>EN FORMACION</v>
      </c>
      <c r="AW754" s="40" t="str">
        <f ca="1">IFERROR(__xludf.DUMMYFUNCTION("""COMPUTED_VALUE"""),"TIC")</f>
        <v>TIC</v>
      </c>
      <c r="AX754" s="141">
        <f ca="1">IFERROR(__xludf.DUMMYFUNCTION("""COMPUTED_VALUE"""),0)</f>
        <v>0</v>
      </c>
      <c r="AY754" s="40">
        <f ca="1">IFERROR(__xludf.DUMMYFUNCTION("""COMPUTED_VALUE"""),0)</f>
        <v>0</v>
      </c>
      <c r="AZ754" s="40">
        <f ca="1">IFERROR(__xludf.DUMMYFUNCTION("""COMPUTED_VALUE"""),1)</f>
        <v>1</v>
      </c>
      <c r="BA754" s="40">
        <f ca="1">IFERROR(__xludf.DUMMYFUNCTION("""COMPUTED_VALUE"""),0)</f>
        <v>0</v>
      </c>
      <c r="BB754" s="40">
        <f ca="1">IFERROR(__xludf.DUMMYFUNCTION("""COMPUTED_VALUE"""),0)</f>
        <v>0</v>
      </c>
      <c r="BC754" s="40">
        <f ca="1">IFERROR(__xludf.DUMMYFUNCTION("""COMPUTED_VALUE"""),1)</f>
        <v>1</v>
      </c>
      <c r="BD754" s="141">
        <f ca="1">IFERROR(__xludf.DUMMYFUNCTION("""COMPUTED_VALUE"""),44425)</f>
        <v>44425</v>
      </c>
      <c r="BE754" s="141">
        <f ca="1">IFERROR(__xludf.DUMMYFUNCTION("""COMPUTED_VALUE"""),44698)</f>
        <v>44698</v>
      </c>
      <c r="BF754" s="141">
        <f ca="1">IFERROR(__xludf.DUMMYFUNCTION("""COMPUTED_VALUE"""),44882)</f>
        <v>44882</v>
      </c>
      <c r="BG754" s="141">
        <f ca="1">IFERROR(__xludf.DUMMYFUNCTION("""COMPUTED_VALUE"""),45429)</f>
        <v>45429</v>
      </c>
      <c r="BH754" s="40" t="str">
        <f ca="1">IFERROR(__xludf.DUMMYFUNCTION("""COMPUTED_VALUE"""),"FICHA EN TIEMPO-18 MESES")</f>
        <v>FICHA EN TIEMPO-18 MESES</v>
      </c>
      <c r="BI754" s="40" t="str">
        <f ca="1">IFERROR(__xludf.DUMMYFUNCTION("""COMPUTED_VALUE"""),"Terminada por fecha")</f>
        <v>Terminada por fecha</v>
      </c>
      <c r="BJ754" s="40" t="str">
        <f ca="1">IFERROR(__xludf.DUMMYFUNCTION("""COMPUTED_VALUE"""),"Yamboro")</f>
        <v>Yamboro</v>
      </c>
      <c r="BK754" s="40"/>
      <c r="BL754" s="40"/>
    </row>
    <row r="755" spans="1:64" ht="13">
      <c r="A755" s="40"/>
      <c r="B755" s="40" t="str">
        <f ca="1">IFERROR(__xludf.DUMMYFUNCTION("""COMPUTED_VALUE"""),"FORMACIÓN 18/10/2022")</f>
        <v>FORMACIÓN 18/10/2022</v>
      </c>
      <c r="C755" s="40" t="str">
        <f ca="1">IFERROR(__xludf.DUMMYFUNCTION("""COMPUTED_VALUE"""),"MONICA LIZETH ANACONA UNI")</f>
        <v>MONICA LIZETH ANACONA UNI</v>
      </c>
      <c r="D755" s="40" t="str">
        <f ca="1">IFERROR(__xludf.DUMMYFUNCTION("""COMPUTED_VALUE"""),"CC")</f>
        <v>CC</v>
      </c>
      <c r="E755" s="40">
        <f ca="1">IFERROR(__xludf.DUMMYFUNCTION("""COMPUTED_VALUE"""),1004442714)</f>
        <v>1004442714</v>
      </c>
      <c r="F755" s="40">
        <f ca="1">IFERROR(__xludf.DUMMYFUNCTION("""COMPUTED_VALUE"""),2389755)</f>
        <v>2389755</v>
      </c>
      <c r="G755" s="40" t="str">
        <f ca="1">IFERROR(__xludf.DUMMYFUNCTION("""COMPUTED_VALUE"""),"TÉCNICO")</f>
        <v>TÉCNICO</v>
      </c>
      <c r="H755" s="40" t="str">
        <f ca="1">IFERROR(__xludf.DUMMYFUNCTION("""COMPUTED_VALUE"""),"SISTEMAS.")</f>
        <v>SISTEMAS.</v>
      </c>
      <c r="I755" s="40">
        <f ca="1">IFERROR(__xludf.DUMMYFUNCTION("""COMPUTED_VALUE"""),3177231685)</f>
        <v>3177231685</v>
      </c>
      <c r="J755" s="40" t="str">
        <f ca="1">IFERROR(__xludf.DUMMYFUNCTION("""COMPUTED_VALUE"""),"lizethanacona11@gmail.com")</f>
        <v>lizethanacona11@gmail.com</v>
      </c>
      <c r="K755" s="40" t="str">
        <f ca="1">IFERROR(__xludf.DUMMYFUNCTION("""COMPUTED_VALUE"""),"ISNOS-HUILA")</f>
        <v>ISNOS-HUILA</v>
      </c>
      <c r="L755" s="40" t="str">
        <f ca="1">IFERROR(__xludf.DUMMYFUNCTION("""COMPUTED_VALUE"""),"CONTRATO DE APRENDIZAJE ")</f>
        <v xml:space="preserve">CONTRATO DE APRENDIZAJE </v>
      </c>
      <c r="M755" s="40" t="str">
        <f ca="1">IFERROR(__xludf.DUMMYFUNCTION("""COMPUTED_VALUE"""),"COOPERATIVA DEPARTAMENTAL DE CAFICULTORES DEL HUILA LTDA")</f>
        <v>COOPERATIVA DEPARTAMENTAL DE CAFICULTORES DEL HUILA LTDA</v>
      </c>
      <c r="N755" s="40" t="str">
        <f ca="1">IFERROR(__xludf.DUMMYFUNCTION("""COMPUTED_VALUE"""),"Calle 4 N. 3-37")</f>
        <v>Calle 4 N. 3-37</v>
      </c>
      <c r="O755" s="40">
        <f ca="1">IFERROR(__xludf.DUMMYFUNCTION("""COMPUTED_VALUE"""),3144594623)</f>
        <v>3144594623</v>
      </c>
      <c r="P755" s="40" t="str">
        <f ca="1">IFERROR(__xludf.DUMMYFUNCTION("""COMPUTED_VALUE"""),"ISNOS")</f>
        <v>ISNOS</v>
      </c>
      <c r="Q755" s="40" t="str">
        <f ca="1">IFERROR(__xludf.DUMMYFUNCTION("""COMPUTED_VALUE"""),"lina.castro@cadefihuila.com
")</f>
        <v xml:space="preserve">lina.castro@cadefihuila.com
</v>
      </c>
      <c r="R755" s="140">
        <f ca="1">IFERROR(__xludf.DUMMYFUNCTION("""COMPUTED_VALUE"""),44785)</f>
        <v>44785</v>
      </c>
      <c r="S755" s="140">
        <f ca="1">IFERROR(__xludf.DUMMYFUNCTION("""COMPUTED_VALUE"""),44968)</f>
        <v>44968</v>
      </c>
      <c r="T755" s="40"/>
      <c r="U755" s="40" t="str">
        <f ca="1">IFERROR(__xludf.DUMMYFUNCTION("""COMPUTED_VALUE"""),"NORMA PEREZ")</f>
        <v>NORMA PEREZ</v>
      </c>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t="str">
        <f ca="1">IFERROR(__xludf.DUMMYFUNCTION("""COMPUTED_VALUE"""),"Procede_E_P")</f>
        <v>Procede_E_P</v>
      </c>
      <c r="AV755" s="40" t="str">
        <f ca="1">IFERROR(__xludf.DUMMYFUNCTION("""COMPUTED_VALUE"""),"EN FORMACION")</f>
        <v>EN FORMACION</v>
      </c>
      <c r="AW755" s="40" t="str">
        <f ca="1">IFERROR(__xludf.DUMMYFUNCTION("""COMPUTED_VALUE"""),"TIC")</f>
        <v>TIC</v>
      </c>
      <c r="AX755" s="141">
        <f ca="1">IFERROR(__xludf.DUMMYFUNCTION("""COMPUTED_VALUE"""),0)</f>
        <v>0</v>
      </c>
      <c r="AY755" s="40">
        <f ca="1">IFERROR(__xludf.DUMMYFUNCTION("""COMPUTED_VALUE"""),0)</f>
        <v>0</v>
      </c>
      <c r="AZ755" s="40">
        <f ca="1">IFERROR(__xludf.DUMMYFUNCTION("""COMPUTED_VALUE"""),1)</f>
        <v>1</v>
      </c>
      <c r="BA755" s="40">
        <f ca="1">IFERROR(__xludf.DUMMYFUNCTION("""COMPUTED_VALUE"""),0)</f>
        <v>0</v>
      </c>
      <c r="BB755" s="40">
        <f ca="1">IFERROR(__xludf.DUMMYFUNCTION("""COMPUTED_VALUE"""),0)</f>
        <v>0</v>
      </c>
      <c r="BC755" s="40">
        <f ca="1">IFERROR(__xludf.DUMMYFUNCTION("""COMPUTED_VALUE"""),1)</f>
        <v>1</v>
      </c>
      <c r="BD755" s="141">
        <f ca="1">IFERROR(__xludf.DUMMYFUNCTION("""COMPUTED_VALUE"""),44425)</f>
        <v>44425</v>
      </c>
      <c r="BE755" s="141">
        <f ca="1">IFERROR(__xludf.DUMMYFUNCTION("""COMPUTED_VALUE"""),44698)</f>
        <v>44698</v>
      </c>
      <c r="BF755" s="141">
        <f ca="1">IFERROR(__xludf.DUMMYFUNCTION("""COMPUTED_VALUE"""),44882)</f>
        <v>44882</v>
      </c>
      <c r="BG755" s="141">
        <f ca="1">IFERROR(__xludf.DUMMYFUNCTION("""COMPUTED_VALUE"""),45429)</f>
        <v>45429</v>
      </c>
      <c r="BH755" s="40" t="str">
        <f ca="1">IFERROR(__xludf.DUMMYFUNCTION("""COMPUTED_VALUE"""),"FICHA EN TIEMPO-18 MESES")</f>
        <v>FICHA EN TIEMPO-18 MESES</v>
      </c>
      <c r="BI755" s="40" t="str">
        <f ca="1">IFERROR(__xludf.DUMMYFUNCTION("""COMPUTED_VALUE"""),"Terminada por fecha")</f>
        <v>Terminada por fecha</v>
      </c>
      <c r="BJ755" s="40" t="str">
        <f ca="1">IFERROR(__xludf.DUMMYFUNCTION("""COMPUTED_VALUE"""),"Yamboro")</f>
        <v>Yamboro</v>
      </c>
      <c r="BK755" s="40"/>
      <c r="BL755" s="40"/>
    </row>
    <row r="756" spans="1:64" ht="13">
      <c r="A756" s="40"/>
      <c r="B756" s="40" t="str">
        <f ca="1">IFERROR(__xludf.DUMMYFUNCTION("""COMPUTED_VALUE"""),"FORMACIÓN 18/10/2022")</f>
        <v>FORMACIÓN 18/10/2022</v>
      </c>
      <c r="C756" s="40" t="str">
        <f ca="1">IFERROR(__xludf.DUMMYFUNCTION("""COMPUTED_VALUE"""),"YEFERSON SANTIA GORIVERA MUÑOZ")</f>
        <v>YEFERSON SANTIA GORIVERA MUÑOZ</v>
      </c>
      <c r="D756" s="40" t="str">
        <f ca="1">IFERROR(__xludf.DUMMYFUNCTION("""COMPUTED_VALUE"""),"TI")</f>
        <v>TI</v>
      </c>
      <c r="E756" s="40">
        <f ca="1">IFERROR(__xludf.DUMMYFUNCTION("""COMPUTED_VALUE"""),1004442934)</f>
        <v>1004442934</v>
      </c>
      <c r="F756" s="40">
        <f ca="1">IFERROR(__xludf.DUMMYFUNCTION("""COMPUTED_VALUE"""),2389755)</f>
        <v>2389755</v>
      </c>
      <c r="G756" s="40" t="str">
        <f ca="1">IFERROR(__xludf.DUMMYFUNCTION("""COMPUTED_VALUE"""),"TÉCNICO")</f>
        <v>TÉCNICO</v>
      </c>
      <c r="H756" s="40" t="str">
        <f ca="1">IFERROR(__xludf.DUMMYFUNCTION("""COMPUTED_VALUE"""),"SISTEMAS.")</f>
        <v>SISTEMAS.</v>
      </c>
      <c r="I756" s="40"/>
      <c r="J756" s="40"/>
      <c r="K756" s="40"/>
      <c r="L756" s="40" t="str">
        <f ca="1">IFERROR(__xludf.DUMMYFUNCTION("""COMPUTED_VALUE"""),"NO HA INICIADO ETAPA PRODUCTIVA")</f>
        <v>NO HA INICIADO ETAPA PRODUCTIVA</v>
      </c>
      <c r="M756" s="40"/>
      <c r="N756" s="40"/>
      <c r="O756" s="40"/>
      <c r="P756" s="40"/>
      <c r="Q756" s="40"/>
      <c r="R756" s="140"/>
      <c r="S756" s="1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t="str">
        <f ca="1">IFERROR(__xludf.DUMMYFUNCTION("""COMPUTED_VALUE"""),"NO_CUMPLE")</f>
        <v>NO_CUMPLE</v>
      </c>
      <c r="AV756" s="40" t="str">
        <f ca="1">IFERROR(__xludf.DUMMYFUNCTION("""COMPUTED_VALUE"""),"EN FORMACION")</f>
        <v>EN FORMACION</v>
      </c>
      <c r="AW756" s="40" t="str">
        <f ca="1">IFERROR(__xludf.DUMMYFUNCTION("""COMPUTED_VALUE"""),"TIC")</f>
        <v>TIC</v>
      </c>
      <c r="AX756" s="141">
        <f ca="1">IFERROR(__xludf.DUMMYFUNCTION("""COMPUTED_VALUE"""),16)</f>
        <v>16</v>
      </c>
      <c r="AY756" s="40">
        <f ca="1">IFERROR(__xludf.DUMMYFUNCTION("""COMPUTED_VALUE"""),16)</f>
        <v>16</v>
      </c>
      <c r="AZ756" s="40">
        <f ca="1">IFERROR(__xludf.DUMMYFUNCTION("""COMPUTED_VALUE"""),1)</f>
        <v>1</v>
      </c>
      <c r="BA756" s="40">
        <f ca="1">IFERROR(__xludf.DUMMYFUNCTION("""COMPUTED_VALUE"""),6)</f>
        <v>6</v>
      </c>
      <c r="BB756" s="40">
        <f ca="1">IFERROR(__xludf.DUMMYFUNCTION("""COMPUTED_VALUE"""),5)</f>
        <v>5</v>
      </c>
      <c r="BC756" s="40">
        <f ca="1">IFERROR(__xludf.DUMMYFUNCTION("""COMPUTED_VALUE"""),28)</f>
        <v>28</v>
      </c>
      <c r="BD756" s="141">
        <f ca="1">IFERROR(__xludf.DUMMYFUNCTION("""COMPUTED_VALUE"""),44425)</f>
        <v>44425</v>
      </c>
      <c r="BE756" s="141">
        <f ca="1">IFERROR(__xludf.DUMMYFUNCTION("""COMPUTED_VALUE"""),44698)</f>
        <v>44698</v>
      </c>
      <c r="BF756" s="141">
        <f ca="1">IFERROR(__xludf.DUMMYFUNCTION("""COMPUTED_VALUE"""),44882)</f>
        <v>44882</v>
      </c>
      <c r="BG756" s="141">
        <f ca="1">IFERROR(__xludf.DUMMYFUNCTION("""COMPUTED_VALUE"""),45429)</f>
        <v>45429</v>
      </c>
      <c r="BH756" s="40" t="str">
        <f ca="1">IFERROR(__xludf.DUMMYFUNCTION("""COMPUTED_VALUE"""),"FICHA EN TIEMPO-18 MESES")</f>
        <v>FICHA EN TIEMPO-18 MESES</v>
      </c>
      <c r="BI756" s="40" t="str">
        <f ca="1">IFERROR(__xludf.DUMMYFUNCTION("""COMPUTED_VALUE"""),"Terminada por fecha")</f>
        <v>Terminada por fecha</v>
      </c>
      <c r="BJ756" s="40" t="str">
        <f ca="1">IFERROR(__xludf.DUMMYFUNCTION("""COMPUTED_VALUE"""),"Yamboro")</f>
        <v>Yamboro</v>
      </c>
      <c r="BK756" s="40"/>
      <c r="BL756" s="40"/>
    </row>
    <row r="757" spans="1:64" ht="13">
      <c r="A757" s="40"/>
      <c r="B757" s="40" t="str">
        <f ca="1">IFERROR(__xludf.DUMMYFUNCTION("""COMPUTED_VALUE"""),"FORMACIÓN 18/10/2022")</f>
        <v>FORMACIÓN 18/10/2022</v>
      </c>
      <c r="C757" s="40" t="str">
        <f ca="1">IFERROR(__xludf.DUMMYFUNCTION("""COMPUTED_VALUE"""),"JUAN MANUEL VARGAS ARAQUE")</f>
        <v>JUAN MANUEL VARGAS ARAQUE</v>
      </c>
      <c r="D757" s="40" t="str">
        <f ca="1">IFERROR(__xludf.DUMMYFUNCTION("""COMPUTED_VALUE"""),"CC")</f>
        <v>CC</v>
      </c>
      <c r="E757" s="40">
        <f ca="1">IFERROR(__xludf.DUMMYFUNCTION("""COMPUTED_VALUE"""),1007334149)</f>
        <v>1007334149</v>
      </c>
      <c r="F757" s="40">
        <f ca="1">IFERROR(__xludf.DUMMYFUNCTION("""COMPUTED_VALUE"""),2389755)</f>
        <v>2389755</v>
      </c>
      <c r="G757" s="40" t="str">
        <f ca="1">IFERROR(__xludf.DUMMYFUNCTION("""COMPUTED_VALUE"""),"TÉCNICO")</f>
        <v>TÉCNICO</v>
      </c>
      <c r="H757" s="40" t="str">
        <f ca="1">IFERROR(__xludf.DUMMYFUNCTION("""COMPUTED_VALUE"""),"SISTEMAS.")</f>
        <v>SISTEMAS.</v>
      </c>
      <c r="I757" s="40">
        <f ca="1">IFERROR(__xludf.DUMMYFUNCTION("""COMPUTED_VALUE"""),3132065461)</f>
        <v>3132065461</v>
      </c>
      <c r="J757" s="40" t="str">
        <f ca="1">IFERROR(__xludf.DUMMYFUNCTION("""COMPUTED_VALUE"""),"varnamu315@gmail.com")</f>
        <v>varnamu315@gmail.com</v>
      </c>
      <c r="K757" s="40" t="str">
        <f ca="1">IFERROR(__xludf.DUMMYFUNCTION("""COMPUTED_VALUE"""),"ISNOS- HUILA ")</f>
        <v xml:space="preserve">ISNOS- HUILA </v>
      </c>
      <c r="L757" s="40" t="str">
        <f ca="1">IFERROR(__xludf.DUMMYFUNCTION("""COMPUTED_VALUE"""),"PASANTÍAS")</f>
        <v>PASANTÍAS</v>
      </c>
      <c r="M757" s="40" t="str">
        <f ca="1">IFERROR(__xludf.DUMMYFUNCTION("""COMPUTED_VALUE"""),"EMPRESA DE SERVICIOS PUBLICOS AGUAS Y ASEO DEL MACIZO S.A.S E.S.P")</f>
        <v>EMPRESA DE SERVICIOS PUBLICOS AGUAS Y ASEO DEL MACIZO S.A.S E.S.P</v>
      </c>
      <c r="N757" s="40" t="str">
        <f ca="1">IFERROR(__xludf.DUMMYFUNCTION("""COMPUTED_VALUE"""),"CARRERA 3 N° 1-76 ")</f>
        <v xml:space="preserve">CARRERA 3 N° 1-76 </v>
      </c>
      <c r="O757" s="40">
        <f ca="1">IFERROR(__xludf.DUMMYFUNCTION("""COMPUTED_VALUE"""),31150005080)</f>
        <v>31150005080</v>
      </c>
      <c r="P757" s="40" t="str">
        <f ca="1">IFERROR(__xludf.DUMMYFUNCTION("""COMPUTED_VALUE"""),"ISNOS ")</f>
        <v xml:space="preserve">ISNOS </v>
      </c>
      <c r="Q757" s="40" t="str">
        <f ca="1">IFERROR(__xludf.DUMMYFUNCTION("""COMPUTED_VALUE"""),"secretaria@aguasyaseodelmacizoespisnoshuila.com.co")</f>
        <v>secretaria@aguasyaseodelmacizoespisnoshuila.com.co</v>
      </c>
      <c r="R757" s="140">
        <f ca="1">IFERROR(__xludf.DUMMYFUNCTION("""COMPUTED_VALUE"""),44714)</f>
        <v>44714</v>
      </c>
      <c r="S757" s="140">
        <f ca="1">IFERROR(__xludf.DUMMYFUNCTION("""COMPUTED_VALUE"""),44895)</f>
        <v>44895</v>
      </c>
      <c r="T757" s="40" t="str">
        <f ca="1">IFERROR(__xludf.DUMMYFUNCTION("""COMPUTED_VALUE"""),"Tiene Acuerdo de voluntades, Incial, parcial y bitácoras 1,2,3,4,5,6,7... Falta final, certificación y bitácoras 8,9,10,11  y 12 ... . Revisado 13/10/2022")</f>
        <v>Tiene Acuerdo de voluntades, Incial, parcial y bitácoras 1,2,3,4,5,6,7... Falta final, certificación y bitácoras 8,9,10,11  y 12 ... . Revisado 13/10/2022</v>
      </c>
      <c r="U757" s="40" t="str">
        <f ca="1">IFERROR(__xludf.DUMMYFUNCTION("""COMPUTED_VALUE"""),"NORMA PEREZ - Subió Inicial y bitácoras 1,2,3,4,5,6,7... Revisado 30/09/2022 - Bitácoras del 1 al 7 ya se encotraban el drive con las mismas fechas y firmas - Subió Parcial... Revisado 13/10/2022")</f>
        <v>NORMA PEREZ - Subió Inicial y bitácoras 1,2,3,4,5,6,7... Revisado 30/09/2022 - Bitácoras del 1 al 7 ya se encotraban el drive con las mismas fechas y firmas - Subió Parcial... Revisado 13/10/2022</v>
      </c>
      <c r="V757" s="40" t="str">
        <f ca="1">IFERROR(__xludf.DUMMYFUNCTION("""COMPUTED_VALUE"""),"Si tiene seguimiento 13/10/2022")</f>
        <v>Si tiene seguimiento 13/10/2022</v>
      </c>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t="str">
        <f ca="1">IFERROR(__xludf.DUMMYFUNCTION("""COMPUTED_VALUE"""),"Procede_E_P")</f>
        <v>Procede_E_P</v>
      </c>
      <c r="AV757" s="40" t="str">
        <f ca="1">IFERROR(__xludf.DUMMYFUNCTION("""COMPUTED_VALUE"""),"EN FORMACION")</f>
        <v>EN FORMACION</v>
      </c>
      <c r="AW757" s="40" t="str">
        <f ca="1">IFERROR(__xludf.DUMMYFUNCTION("""COMPUTED_VALUE"""),"TIC")</f>
        <v>TIC</v>
      </c>
      <c r="AX757" s="141">
        <f ca="1">IFERROR(__xludf.DUMMYFUNCTION("""COMPUTED_VALUE"""),0)</f>
        <v>0</v>
      </c>
      <c r="AY757" s="40">
        <f ca="1">IFERROR(__xludf.DUMMYFUNCTION("""COMPUTED_VALUE"""),0)</f>
        <v>0</v>
      </c>
      <c r="AZ757" s="40">
        <f ca="1">IFERROR(__xludf.DUMMYFUNCTION("""COMPUTED_VALUE"""),1)</f>
        <v>1</v>
      </c>
      <c r="BA757" s="40">
        <f ca="1">IFERROR(__xludf.DUMMYFUNCTION("""COMPUTED_VALUE"""),0)</f>
        <v>0</v>
      </c>
      <c r="BB757" s="40">
        <f ca="1">IFERROR(__xludf.DUMMYFUNCTION("""COMPUTED_VALUE"""),0)</f>
        <v>0</v>
      </c>
      <c r="BC757" s="40">
        <f ca="1">IFERROR(__xludf.DUMMYFUNCTION("""COMPUTED_VALUE"""),1)</f>
        <v>1</v>
      </c>
      <c r="BD757" s="141">
        <f ca="1">IFERROR(__xludf.DUMMYFUNCTION("""COMPUTED_VALUE"""),44425)</f>
        <v>44425</v>
      </c>
      <c r="BE757" s="141">
        <f ca="1">IFERROR(__xludf.DUMMYFUNCTION("""COMPUTED_VALUE"""),44698)</f>
        <v>44698</v>
      </c>
      <c r="BF757" s="141">
        <f ca="1">IFERROR(__xludf.DUMMYFUNCTION("""COMPUTED_VALUE"""),44882)</f>
        <v>44882</v>
      </c>
      <c r="BG757" s="141">
        <f ca="1">IFERROR(__xludf.DUMMYFUNCTION("""COMPUTED_VALUE"""),45429)</f>
        <v>45429</v>
      </c>
      <c r="BH757" s="40" t="str">
        <f ca="1">IFERROR(__xludf.DUMMYFUNCTION("""COMPUTED_VALUE"""),"FICHA EN TIEMPO-18 MESES")</f>
        <v>FICHA EN TIEMPO-18 MESES</v>
      </c>
      <c r="BI757" s="40" t="str">
        <f ca="1">IFERROR(__xludf.DUMMYFUNCTION("""COMPUTED_VALUE"""),"Terminada por fecha")</f>
        <v>Terminada por fecha</v>
      </c>
      <c r="BJ757" s="40" t="str">
        <f ca="1">IFERROR(__xludf.DUMMYFUNCTION("""COMPUTED_VALUE"""),"Yamboro")</f>
        <v>Yamboro</v>
      </c>
      <c r="BK757" s="40"/>
      <c r="BL757" s="40"/>
    </row>
    <row r="758" spans="1:64" ht="13">
      <c r="A758" s="40"/>
      <c r="B758" s="40" t="str">
        <f ca="1">IFERROR(__xludf.DUMMYFUNCTION("""COMPUTED_VALUE"""),"FORMACIÓN 18/10/2022")</f>
        <v>FORMACIÓN 18/10/2022</v>
      </c>
      <c r="C758" s="40" t="str">
        <f ca="1">IFERROR(__xludf.DUMMYFUNCTION("""COMPUTED_VALUE"""),"NINI YAZMIN CERON MOLINA")</f>
        <v>NINI YAZMIN CERON MOLINA</v>
      </c>
      <c r="D758" s="40" t="str">
        <f ca="1">IFERROR(__xludf.DUMMYFUNCTION("""COMPUTED_VALUE"""),"CC")</f>
        <v>CC</v>
      </c>
      <c r="E758" s="40">
        <f ca="1">IFERROR(__xludf.DUMMYFUNCTION("""COMPUTED_VALUE"""),1007435166)</f>
        <v>1007435166</v>
      </c>
      <c r="F758" s="40">
        <f ca="1">IFERROR(__xludf.DUMMYFUNCTION("""COMPUTED_VALUE"""),2389755)</f>
        <v>2389755</v>
      </c>
      <c r="G758" s="40" t="str">
        <f ca="1">IFERROR(__xludf.DUMMYFUNCTION("""COMPUTED_VALUE"""),"TÉCNICO")</f>
        <v>TÉCNICO</v>
      </c>
      <c r="H758" s="40" t="str">
        <f ca="1">IFERROR(__xludf.DUMMYFUNCTION("""COMPUTED_VALUE"""),"SISTEMAS.")</f>
        <v>SISTEMAS.</v>
      </c>
      <c r="I758" s="40">
        <f ca="1">IFERROR(__xludf.DUMMYFUNCTION("""COMPUTED_VALUE"""),3172673322)</f>
        <v>3172673322</v>
      </c>
      <c r="J758" s="40" t="str">
        <f ca="1">IFERROR(__xludf.DUMMYFUNCTION("""COMPUTED_VALUE"""),"yazceron772@gmail.com")</f>
        <v>yazceron772@gmail.com</v>
      </c>
      <c r="K758" s="40" t="str">
        <f ca="1">IFERROR(__xludf.DUMMYFUNCTION("""COMPUTED_VALUE"""),"ISNOS- HUILA ")</f>
        <v xml:space="preserve">ISNOS- HUILA </v>
      </c>
      <c r="L758" s="40" t="str">
        <f ca="1">IFERROR(__xludf.DUMMYFUNCTION("""COMPUTED_VALUE"""),"PASANTÍAS")</f>
        <v>PASANTÍAS</v>
      </c>
      <c r="M758" s="40" t="str">
        <f ca="1">IFERROR(__xludf.DUMMYFUNCTION("""COMPUTED_VALUE"""),"Concejo Municipal de Isnos-Huila,")</f>
        <v>Concejo Municipal de Isnos-Huila,</v>
      </c>
      <c r="N758" s="40"/>
      <c r="O758" s="40">
        <f ca="1">IFERROR(__xludf.DUMMYFUNCTION("""COMPUTED_VALUE"""),3202837380)</f>
        <v>3202837380</v>
      </c>
      <c r="P758" s="40" t="str">
        <f ca="1">IFERROR(__xludf.DUMMYFUNCTION("""COMPUTED_VALUE"""),"ISNOS ")</f>
        <v xml:space="preserve">ISNOS </v>
      </c>
      <c r="Q758" s="40" t="str">
        <f ca="1">IFERROR(__xludf.DUMMYFUNCTION("""COMPUTED_VALUE"""),"concejo@isnos-huila.gov.co")</f>
        <v>concejo@isnos-huila.gov.co</v>
      </c>
      <c r="R758" s="140">
        <f ca="1">IFERROR(__xludf.DUMMYFUNCTION("""COMPUTED_VALUE"""),44718)</f>
        <v>44718</v>
      </c>
      <c r="S758" s="140">
        <f ca="1">IFERROR(__xludf.DUMMYFUNCTION("""COMPUTED_VALUE"""),44901)</f>
        <v>44901</v>
      </c>
      <c r="T758" s="40" t="str">
        <f ca="1">IFERROR(__xludf.DUMMYFUNCTION("""COMPUTED_VALUE"""),"Tiene Acuerdo de voluntades, Inicial, Parcial  y bitácoras 1,2,3,4,5,6,7,8 ... Falta final, certificación y bitácoras 9,10,11  y 12 ... . Revisado 11/10/2022")</f>
        <v>Tiene Acuerdo de voluntades, Inicial, Parcial  y bitácoras 1,2,3,4,5,6,7,8 ... Falta final, certificación y bitácoras 9,10,11  y 12 ... . Revisado 11/10/2022</v>
      </c>
      <c r="U758" s="40" t="str">
        <f ca="1">IFERROR(__xludf.DUMMYFUNCTION("""COMPUTED_VALUE"""),"NORMA PEREZ - Subió Inicial, parcial y bitácoras 1,2,3,4,5,6,7,8... Revisado 11/10/2022")</f>
        <v>NORMA PEREZ - Subió Inicial, parcial y bitácoras 1,2,3,4,5,6,7,8... Revisado 11/10/2022</v>
      </c>
      <c r="V758" s="40" t="str">
        <f ca="1">IFERROR(__xludf.DUMMYFUNCTION("""COMPUTED_VALUE"""),"Si tiene seguimiento 11/10/2022")</f>
        <v>Si tiene seguimiento 11/10/2022</v>
      </c>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t="str">
        <f ca="1">IFERROR(__xludf.DUMMYFUNCTION("""COMPUTED_VALUE"""),"Procede_E_P")</f>
        <v>Procede_E_P</v>
      </c>
      <c r="AV758" s="40" t="str">
        <f ca="1">IFERROR(__xludf.DUMMYFUNCTION("""COMPUTED_VALUE"""),"EN FORMACION")</f>
        <v>EN FORMACION</v>
      </c>
      <c r="AW758" s="40" t="str">
        <f ca="1">IFERROR(__xludf.DUMMYFUNCTION("""COMPUTED_VALUE"""),"TIC")</f>
        <v>TIC</v>
      </c>
      <c r="AX758" s="141">
        <f ca="1">IFERROR(__xludf.DUMMYFUNCTION("""COMPUTED_VALUE"""),0)</f>
        <v>0</v>
      </c>
      <c r="AY758" s="40">
        <f ca="1">IFERROR(__xludf.DUMMYFUNCTION("""COMPUTED_VALUE"""),0)</f>
        <v>0</v>
      </c>
      <c r="AZ758" s="40">
        <f ca="1">IFERROR(__xludf.DUMMYFUNCTION("""COMPUTED_VALUE"""),1)</f>
        <v>1</v>
      </c>
      <c r="BA758" s="40">
        <f ca="1">IFERROR(__xludf.DUMMYFUNCTION("""COMPUTED_VALUE"""),0)</f>
        <v>0</v>
      </c>
      <c r="BB758" s="40">
        <f ca="1">IFERROR(__xludf.DUMMYFUNCTION("""COMPUTED_VALUE"""),0)</f>
        <v>0</v>
      </c>
      <c r="BC758" s="40">
        <f ca="1">IFERROR(__xludf.DUMMYFUNCTION("""COMPUTED_VALUE"""),1)</f>
        <v>1</v>
      </c>
      <c r="BD758" s="141">
        <f ca="1">IFERROR(__xludf.DUMMYFUNCTION("""COMPUTED_VALUE"""),44425)</f>
        <v>44425</v>
      </c>
      <c r="BE758" s="141">
        <f ca="1">IFERROR(__xludf.DUMMYFUNCTION("""COMPUTED_VALUE"""),44698)</f>
        <v>44698</v>
      </c>
      <c r="BF758" s="141">
        <f ca="1">IFERROR(__xludf.DUMMYFUNCTION("""COMPUTED_VALUE"""),44882)</f>
        <v>44882</v>
      </c>
      <c r="BG758" s="141">
        <f ca="1">IFERROR(__xludf.DUMMYFUNCTION("""COMPUTED_VALUE"""),45429)</f>
        <v>45429</v>
      </c>
      <c r="BH758" s="40" t="str">
        <f ca="1">IFERROR(__xludf.DUMMYFUNCTION("""COMPUTED_VALUE"""),"FICHA EN TIEMPO-18 MESES")</f>
        <v>FICHA EN TIEMPO-18 MESES</v>
      </c>
      <c r="BI758" s="40" t="str">
        <f ca="1">IFERROR(__xludf.DUMMYFUNCTION("""COMPUTED_VALUE"""),"Terminada por fecha")</f>
        <v>Terminada por fecha</v>
      </c>
      <c r="BJ758" s="40" t="str">
        <f ca="1">IFERROR(__xludf.DUMMYFUNCTION("""COMPUTED_VALUE"""),"Yamboro")</f>
        <v>Yamboro</v>
      </c>
      <c r="BK758" s="40"/>
      <c r="BL758" s="40"/>
    </row>
    <row r="759" spans="1:64" ht="13">
      <c r="A759" s="40"/>
      <c r="B759" s="40" t="str">
        <f ca="1">IFERROR(__xludf.DUMMYFUNCTION("""COMPUTED_VALUE"""),"FORMACIÓN 18/10/2022")</f>
        <v>FORMACIÓN 18/10/2022</v>
      </c>
      <c r="C759" s="40" t="str">
        <f ca="1">IFERROR(__xludf.DUMMYFUNCTION("""COMPUTED_VALUE"""),"CINDY TATIANA LOPEZ FORERO")</f>
        <v>CINDY TATIANA LOPEZ FORERO</v>
      </c>
      <c r="D759" s="40" t="str">
        <f ca="1">IFERROR(__xludf.DUMMYFUNCTION("""COMPUTED_VALUE"""),"CC")</f>
        <v>CC</v>
      </c>
      <c r="E759" s="40">
        <f ca="1">IFERROR(__xludf.DUMMYFUNCTION("""COMPUTED_VALUE"""),1023362655)</f>
        <v>1023362655</v>
      </c>
      <c r="F759" s="40">
        <f ca="1">IFERROR(__xludf.DUMMYFUNCTION("""COMPUTED_VALUE"""),2389755)</f>
        <v>2389755</v>
      </c>
      <c r="G759" s="40" t="str">
        <f ca="1">IFERROR(__xludf.DUMMYFUNCTION("""COMPUTED_VALUE"""),"TÉCNICO")</f>
        <v>TÉCNICO</v>
      </c>
      <c r="H759" s="40" t="str">
        <f ca="1">IFERROR(__xludf.DUMMYFUNCTION("""COMPUTED_VALUE"""),"SISTEMAS.")</f>
        <v>SISTEMAS.</v>
      </c>
      <c r="I759" s="40"/>
      <c r="J759" s="40"/>
      <c r="K759" s="40"/>
      <c r="L759" s="40" t="str">
        <f ca="1">IFERROR(__xludf.DUMMYFUNCTION("""COMPUTED_VALUE"""),"UNIDAD PRODUCTIVA")</f>
        <v>UNIDAD PRODUCTIVA</v>
      </c>
      <c r="M759" s="40"/>
      <c r="N759" s="40"/>
      <c r="O759" s="40"/>
      <c r="P759" s="40"/>
      <c r="Q759" s="40"/>
      <c r="R759" s="140"/>
      <c r="S759" s="1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t="str">
        <f ca="1">IFERROR(__xludf.DUMMYFUNCTION("""COMPUTED_VALUE"""),"NO_CUMPLE")</f>
        <v>NO_CUMPLE</v>
      </c>
      <c r="AV759" s="40" t="str">
        <f ca="1">IFERROR(__xludf.DUMMYFUNCTION("""COMPUTED_VALUE"""),"EN FORMACION")</f>
        <v>EN FORMACION</v>
      </c>
      <c r="AW759" s="40" t="str">
        <f ca="1">IFERROR(__xludf.DUMMYFUNCTION("""COMPUTED_VALUE"""),"TIC")</f>
        <v>TIC</v>
      </c>
      <c r="AX759" s="141">
        <f ca="1">IFERROR(__xludf.DUMMYFUNCTION("""COMPUTED_VALUE"""),28)</f>
        <v>28</v>
      </c>
      <c r="AY759" s="40">
        <f ca="1">IFERROR(__xludf.DUMMYFUNCTION("""COMPUTED_VALUE"""),28)</f>
        <v>28</v>
      </c>
      <c r="AZ759" s="40">
        <f ca="1">IFERROR(__xludf.DUMMYFUNCTION("""COMPUTED_VALUE"""),1)</f>
        <v>1</v>
      </c>
      <c r="BA759" s="40">
        <f ca="1">IFERROR(__xludf.DUMMYFUNCTION("""COMPUTED_VALUE"""),6)</f>
        <v>6</v>
      </c>
      <c r="BB759" s="40">
        <f ca="1">IFERROR(__xludf.DUMMYFUNCTION("""COMPUTED_VALUE"""),12)</f>
        <v>12</v>
      </c>
      <c r="BC759" s="40">
        <f ca="1">IFERROR(__xludf.DUMMYFUNCTION("""COMPUTED_VALUE"""),47)</f>
        <v>47</v>
      </c>
      <c r="BD759" s="141">
        <f ca="1">IFERROR(__xludf.DUMMYFUNCTION("""COMPUTED_VALUE"""),44425)</f>
        <v>44425</v>
      </c>
      <c r="BE759" s="141">
        <f ca="1">IFERROR(__xludf.DUMMYFUNCTION("""COMPUTED_VALUE"""),44698)</f>
        <v>44698</v>
      </c>
      <c r="BF759" s="141">
        <f ca="1">IFERROR(__xludf.DUMMYFUNCTION("""COMPUTED_VALUE"""),44882)</f>
        <v>44882</v>
      </c>
      <c r="BG759" s="141">
        <f ca="1">IFERROR(__xludf.DUMMYFUNCTION("""COMPUTED_VALUE"""),45429)</f>
        <v>45429</v>
      </c>
      <c r="BH759" s="40" t="str">
        <f ca="1">IFERROR(__xludf.DUMMYFUNCTION("""COMPUTED_VALUE"""),"FICHA EN TIEMPO-18 MESES")</f>
        <v>FICHA EN TIEMPO-18 MESES</v>
      </c>
      <c r="BI759" s="40" t="str">
        <f ca="1">IFERROR(__xludf.DUMMYFUNCTION("""COMPUTED_VALUE"""),"Terminada por fecha")</f>
        <v>Terminada por fecha</v>
      </c>
      <c r="BJ759" s="40" t="str">
        <f ca="1">IFERROR(__xludf.DUMMYFUNCTION("""COMPUTED_VALUE"""),"Yamboro")</f>
        <v>Yamboro</v>
      </c>
      <c r="BK759" s="40"/>
      <c r="BL759" s="40"/>
    </row>
    <row r="760" spans="1:64" ht="13">
      <c r="A760" s="40"/>
      <c r="B760" s="40" t="str">
        <f ca="1">IFERROR(__xludf.DUMMYFUNCTION("""COMPUTED_VALUE"""),"FORMACIÓN 18/10/2022")</f>
        <v>FORMACIÓN 18/10/2022</v>
      </c>
      <c r="C760" s="40" t="str">
        <f ca="1">IFERROR(__xludf.DUMMYFUNCTION("""COMPUTED_VALUE"""),"JAIME JOHAN ROSAS GUZMAN")</f>
        <v>JAIME JOHAN ROSAS GUZMAN</v>
      </c>
      <c r="D760" s="40" t="str">
        <f ca="1">IFERROR(__xludf.DUMMYFUNCTION("""COMPUTED_VALUE"""),"TI")</f>
        <v>TI</v>
      </c>
      <c r="E760" s="40">
        <f ca="1">IFERROR(__xludf.DUMMYFUNCTION("""COMPUTED_VALUE"""),1029980102)</f>
        <v>1029980102</v>
      </c>
      <c r="F760" s="40">
        <f ca="1">IFERROR(__xludf.DUMMYFUNCTION("""COMPUTED_VALUE"""),2389755)</f>
        <v>2389755</v>
      </c>
      <c r="G760" s="40" t="str">
        <f ca="1">IFERROR(__xludf.DUMMYFUNCTION("""COMPUTED_VALUE"""),"TÉCNICO")</f>
        <v>TÉCNICO</v>
      </c>
      <c r="H760" s="40" t="str">
        <f ca="1">IFERROR(__xludf.DUMMYFUNCTION("""COMPUTED_VALUE"""),"SISTEMAS.")</f>
        <v>SISTEMAS.</v>
      </c>
      <c r="I760" s="40">
        <f ca="1">IFERROR(__xludf.DUMMYFUNCTION("""COMPUTED_VALUE"""),3212020694)</f>
        <v>3212020694</v>
      </c>
      <c r="J760" s="40" t="str">
        <f ca="1">IFERROR(__xludf.DUMMYFUNCTION("""COMPUTED_VALUE"""),"rosasjaime011@gmail.com")</f>
        <v>rosasjaime011@gmail.com</v>
      </c>
      <c r="K760" s="40" t="str">
        <f ca="1">IFERROR(__xludf.DUMMYFUNCTION("""COMPUTED_VALUE"""),"VEREDA GUADUALES - SAN JOSE DE ISNOS ")</f>
        <v xml:space="preserve">VEREDA GUADUALES - SAN JOSE DE ISNOS </v>
      </c>
      <c r="L760" s="40" t="str">
        <f ca="1">IFERROR(__xludf.DUMMYFUNCTION("""COMPUTED_VALUE"""),"CONTRATO DE APRENDIZAJE ")</f>
        <v xml:space="preserve">CONTRATO DE APRENDIZAJE </v>
      </c>
      <c r="M760" s="40"/>
      <c r="N760" s="40"/>
      <c r="O760" s="40"/>
      <c r="P760" s="40"/>
      <c r="Q760" s="40"/>
      <c r="R760" s="140">
        <f ca="1">IFERROR(__xludf.DUMMYFUNCTION("""COMPUTED_VALUE"""),44700)</f>
        <v>44700</v>
      </c>
      <c r="S760" s="140">
        <f ca="1">IFERROR(__xludf.DUMMYFUNCTION("""COMPUTED_VALUE"""),44883)</f>
        <v>44883</v>
      </c>
      <c r="T760" s="40" t="str">
        <f ca="1">IFERROR(__xludf.DUMMYFUNCTION("""COMPUTED_VALUE""")," Tiene contrato, Inicial, parcial y bitácoras 1,2,3,4,5,6,7,9....  falta final,certificación  y bitácoras 8,10,11 y 12..Revisado 13/10/2022")</f>
        <v xml:space="preserve"> Tiene contrato, Inicial, parcial y bitácoras 1,2,3,4,5,6,7,9....  falta final,certificación  y bitácoras 8,10,11 y 12..Revisado 13/10/2022</v>
      </c>
      <c r="U760" s="40" t="str">
        <f ca="1">IFERROR(__xludf.DUMMYFUNCTION("""COMPUTED_VALUE"""),"NORMA PEREZ - Subió Inicial y bitácoras 1,2,3,4,5,6 y 7... Revisado 22/09/2022 - Subió Parcial y bitácora 9... Revisado 13/10/2022")</f>
        <v>NORMA PEREZ - Subió Inicial y bitácoras 1,2,3,4,5,6 y 7... Revisado 22/09/2022 - Subió Parcial y bitácora 9... Revisado 13/10/2022</v>
      </c>
      <c r="V760" s="40" t="str">
        <f ca="1">IFERROR(__xludf.DUMMYFUNCTION("""COMPUTED_VALUE"""),"Si tiene seguimiento 13/10/2022")</f>
        <v>Si tiene seguimiento 13/10/2022</v>
      </c>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t="str">
        <f ca="1">IFERROR(__xludf.DUMMYFUNCTION("""COMPUTED_VALUE"""),"Procede_E_P")</f>
        <v>Procede_E_P</v>
      </c>
      <c r="AV760" s="40" t="str">
        <f ca="1">IFERROR(__xludf.DUMMYFUNCTION("""COMPUTED_VALUE"""),"EN FORMACION")</f>
        <v>EN FORMACION</v>
      </c>
      <c r="AW760" s="40" t="str">
        <f ca="1">IFERROR(__xludf.DUMMYFUNCTION("""COMPUTED_VALUE"""),"TIC")</f>
        <v>TIC</v>
      </c>
      <c r="AX760" s="141">
        <f ca="1">IFERROR(__xludf.DUMMYFUNCTION("""COMPUTED_VALUE"""),0)</f>
        <v>0</v>
      </c>
      <c r="AY760" s="40">
        <f ca="1">IFERROR(__xludf.DUMMYFUNCTION("""COMPUTED_VALUE"""),0)</f>
        <v>0</v>
      </c>
      <c r="AZ760" s="40">
        <f ca="1">IFERROR(__xludf.DUMMYFUNCTION("""COMPUTED_VALUE"""),1)</f>
        <v>1</v>
      </c>
      <c r="BA760" s="40">
        <f ca="1">IFERROR(__xludf.DUMMYFUNCTION("""COMPUTED_VALUE"""),0)</f>
        <v>0</v>
      </c>
      <c r="BB760" s="40">
        <f ca="1">IFERROR(__xludf.DUMMYFUNCTION("""COMPUTED_VALUE"""),0)</f>
        <v>0</v>
      </c>
      <c r="BC760" s="40">
        <f ca="1">IFERROR(__xludf.DUMMYFUNCTION("""COMPUTED_VALUE"""),1)</f>
        <v>1</v>
      </c>
      <c r="BD760" s="141">
        <f ca="1">IFERROR(__xludf.DUMMYFUNCTION("""COMPUTED_VALUE"""),44425)</f>
        <v>44425</v>
      </c>
      <c r="BE760" s="141">
        <f ca="1">IFERROR(__xludf.DUMMYFUNCTION("""COMPUTED_VALUE"""),44698)</f>
        <v>44698</v>
      </c>
      <c r="BF760" s="141">
        <f ca="1">IFERROR(__xludf.DUMMYFUNCTION("""COMPUTED_VALUE"""),44882)</f>
        <v>44882</v>
      </c>
      <c r="BG760" s="141">
        <f ca="1">IFERROR(__xludf.DUMMYFUNCTION("""COMPUTED_VALUE"""),45429)</f>
        <v>45429</v>
      </c>
      <c r="BH760" s="40" t="str">
        <f ca="1">IFERROR(__xludf.DUMMYFUNCTION("""COMPUTED_VALUE"""),"FICHA EN TIEMPO-18 MESES")</f>
        <v>FICHA EN TIEMPO-18 MESES</v>
      </c>
      <c r="BI760" s="40" t="str">
        <f ca="1">IFERROR(__xludf.DUMMYFUNCTION("""COMPUTED_VALUE"""),"Terminada por fecha")</f>
        <v>Terminada por fecha</v>
      </c>
      <c r="BJ760" s="40" t="str">
        <f ca="1">IFERROR(__xludf.DUMMYFUNCTION("""COMPUTED_VALUE"""),"Yamboro")</f>
        <v>Yamboro</v>
      </c>
      <c r="BK760" s="40"/>
      <c r="BL760" s="40"/>
    </row>
    <row r="761" spans="1:64" ht="13">
      <c r="A761" s="40"/>
      <c r="B761" s="40" t="str">
        <f ca="1">IFERROR(__xludf.DUMMYFUNCTION("""COMPUTED_VALUE"""),"FORMACIÓN 18/10/2022")</f>
        <v>FORMACIÓN 18/10/2022</v>
      </c>
      <c r="C761" s="40" t="str">
        <f ca="1">IFERROR(__xludf.DUMMYFUNCTION("""COMPUTED_VALUE"""),"MARLY YULIANA SAMBONI NAVIA")</f>
        <v>MARLY YULIANA SAMBONI NAVIA</v>
      </c>
      <c r="D761" s="40" t="str">
        <f ca="1">IFERROR(__xludf.DUMMYFUNCTION("""COMPUTED_VALUE"""),"TI")</f>
        <v>TI</v>
      </c>
      <c r="E761" s="40">
        <f ca="1">IFERROR(__xludf.DUMMYFUNCTION("""COMPUTED_VALUE"""),1083877756)</f>
        <v>1083877756</v>
      </c>
      <c r="F761" s="40">
        <f ca="1">IFERROR(__xludf.DUMMYFUNCTION("""COMPUTED_VALUE"""),2389755)</f>
        <v>2389755</v>
      </c>
      <c r="G761" s="40" t="str">
        <f ca="1">IFERROR(__xludf.DUMMYFUNCTION("""COMPUTED_VALUE"""),"TÉCNICO")</f>
        <v>TÉCNICO</v>
      </c>
      <c r="H761" s="40" t="str">
        <f ca="1">IFERROR(__xludf.DUMMYFUNCTION("""COMPUTED_VALUE"""),"SISTEMAS.")</f>
        <v>SISTEMAS.</v>
      </c>
      <c r="I761" s="40"/>
      <c r="J761" s="40" t="str">
        <f ca="1">IFERROR(__xludf.DUMMYFUNCTION("""COMPUTED_VALUE"""),"marly.samboni7@misena.edu.com")</f>
        <v>marly.samboni7@misena.edu.com</v>
      </c>
      <c r="K761" s="40" t="str">
        <f ca="1">IFERROR(__xludf.DUMMYFUNCTION("""COMPUTED_VALUE"""),"ISNOS- HUILA ")</f>
        <v xml:space="preserve">ISNOS- HUILA </v>
      </c>
      <c r="L761" s="40" t="str">
        <f ca="1">IFERROR(__xludf.DUMMYFUNCTION("""COMPUTED_VALUE"""),"PASANTÍAS")</f>
        <v>PASANTÍAS</v>
      </c>
      <c r="M761" s="40" t="str">
        <f ca="1">IFERROR(__xludf.DUMMYFUNCTION("""COMPUTED_VALUE"""),"INSTITUCIÓN EDUCATIVA BELÉN ")</f>
        <v xml:space="preserve">INSTITUCIÓN EDUCATIVA BELÉN </v>
      </c>
      <c r="N761" s="40"/>
      <c r="O761" s="40"/>
      <c r="P761" s="40"/>
      <c r="Q761" s="40"/>
      <c r="R761" s="140">
        <f ca="1">IFERROR(__xludf.DUMMYFUNCTION("""COMPUTED_VALUE"""),44743)</f>
        <v>44743</v>
      </c>
      <c r="S761" s="140">
        <f ca="1">IFERROR(__xludf.DUMMYFUNCTION("""COMPUTED_VALUE"""),44926)</f>
        <v>44926</v>
      </c>
      <c r="T761" s="40" t="str">
        <f ca="1">IFERROR(__xludf.DUMMYFUNCTION("""COMPUTED_VALUE"""),"Tiene Acuerdo de voluntades, Incial, Parcial y bitácoras 1,2,3,4,5,7,8... Falta parcial, final, certificación y bitácoras 6,9,10,11  y 12 ... . Revisado 02/11/2022")</f>
        <v>Tiene Acuerdo de voluntades, Incial, Parcial y bitácoras 1,2,3,4,5,7,8... Falta parcial, final, certificación y bitácoras 6,9,10,11  y 12 ... . Revisado 02/11/2022</v>
      </c>
      <c r="U761" s="40" t="str">
        <f ca="1">IFERROR(__xludf.DUMMYFUNCTION("""COMPUTED_VALUE"""),"NORMA PEREZ- Subió Inicial y bitácoras 1,2,3,4 y 5... Revisado 04/10/2022 - Subió Parcial y Bitácoras 7 y 8... Revisado 02/11/2022")</f>
        <v>NORMA PEREZ- Subió Inicial y bitácoras 1,2,3,4 y 5... Revisado 04/10/2022 - Subió Parcial y Bitácoras 7 y 8... Revisado 02/11/2022</v>
      </c>
      <c r="V761" s="40" t="str">
        <f ca="1">IFERROR(__xludf.DUMMYFUNCTION("""COMPUTED_VALUE"""),"Si tiene seguimiento 02/11/2022")</f>
        <v>Si tiene seguimiento 02/11/2022</v>
      </c>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t="str">
        <f ca="1">IFERROR(__xludf.DUMMYFUNCTION("""COMPUTED_VALUE"""),"Procede_E_P")</f>
        <v>Procede_E_P</v>
      </c>
      <c r="AV761" s="40" t="str">
        <f ca="1">IFERROR(__xludf.DUMMYFUNCTION("""COMPUTED_VALUE"""),"EN FORMACION")</f>
        <v>EN FORMACION</v>
      </c>
      <c r="AW761" s="40" t="str">
        <f ca="1">IFERROR(__xludf.DUMMYFUNCTION("""COMPUTED_VALUE"""),"TIC")</f>
        <v>TIC</v>
      </c>
      <c r="AX761" s="141">
        <f ca="1">IFERROR(__xludf.DUMMYFUNCTION("""COMPUTED_VALUE"""),0)</f>
        <v>0</v>
      </c>
      <c r="AY761" s="40">
        <f ca="1">IFERROR(__xludf.DUMMYFUNCTION("""COMPUTED_VALUE"""),0)</f>
        <v>0</v>
      </c>
      <c r="AZ761" s="40">
        <f ca="1">IFERROR(__xludf.DUMMYFUNCTION("""COMPUTED_VALUE"""),1)</f>
        <v>1</v>
      </c>
      <c r="BA761" s="40">
        <f ca="1">IFERROR(__xludf.DUMMYFUNCTION("""COMPUTED_VALUE"""),0)</f>
        <v>0</v>
      </c>
      <c r="BB761" s="40">
        <f ca="1">IFERROR(__xludf.DUMMYFUNCTION("""COMPUTED_VALUE"""),0)</f>
        <v>0</v>
      </c>
      <c r="BC761" s="40">
        <f ca="1">IFERROR(__xludf.DUMMYFUNCTION("""COMPUTED_VALUE"""),1)</f>
        <v>1</v>
      </c>
      <c r="BD761" s="141">
        <f ca="1">IFERROR(__xludf.DUMMYFUNCTION("""COMPUTED_VALUE"""),44425)</f>
        <v>44425</v>
      </c>
      <c r="BE761" s="141">
        <f ca="1">IFERROR(__xludf.DUMMYFUNCTION("""COMPUTED_VALUE"""),44698)</f>
        <v>44698</v>
      </c>
      <c r="BF761" s="141">
        <f ca="1">IFERROR(__xludf.DUMMYFUNCTION("""COMPUTED_VALUE"""),44882)</f>
        <v>44882</v>
      </c>
      <c r="BG761" s="141">
        <f ca="1">IFERROR(__xludf.DUMMYFUNCTION("""COMPUTED_VALUE"""),45429)</f>
        <v>45429</v>
      </c>
      <c r="BH761" s="40" t="str">
        <f ca="1">IFERROR(__xludf.DUMMYFUNCTION("""COMPUTED_VALUE"""),"FICHA EN TIEMPO-18 MESES")</f>
        <v>FICHA EN TIEMPO-18 MESES</v>
      </c>
      <c r="BI761" s="40" t="str">
        <f ca="1">IFERROR(__xludf.DUMMYFUNCTION("""COMPUTED_VALUE"""),"Terminada por fecha")</f>
        <v>Terminada por fecha</v>
      </c>
      <c r="BJ761" s="40" t="str">
        <f ca="1">IFERROR(__xludf.DUMMYFUNCTION("""COMPUTED_VALUE"""),"Yamboro")</f>
        <v>Yamboro</v>
      </c>
      <c r="BK761" s="40"/>
      <c r="BL761" s="40"/>
    </row>
    <row r="762" spans="1:64" ht="13">
      <c r="A762" s="40"/>
      <c r="B762" s="40" t="str">
        <f ca="1">IFERROR(__xludf.DUMMYFUNCTION("""COMPUTED_VALUE"""),"FORMACIÓN 18/10/2022")</f>
        <v>FORMACIÓN 18/10/2022</v>
      </c>
      <c r="C762" s="40" t="str">
        <f ca="1">IFERROR(__xludf.DUMMYFUNCTION("""COMPUTED_VALUE"""),"JHOANA MARCELA ROJAS PINO")</f>
        <v>JHOANA MARCELA ROJAS PINO</v>
      </c>
      <c r="D762" s="40" t="str">
        <f ca="1">IFERROR(__xludf.DUMMYFUNCTION("""COMPUTED_VALUE"""),"CC")</f>
        <v>CC</v>
      </c>
      <c r="E762" s="40">
        <f ca="1">IFERROR(__xludf.DUMMYFUNCTION("""COMPUTED_VALUE"""),1084256422)</f>
        <v>1084256422</v>
      </c>
      <c r="F762" s="40">
        <f ca="1">IFERROR(__xludf.DUMMYFUNCTION("""COMPUTED_VALUE"""),2389755)</f>
        <v>2389755</v>
      </c>
      <c r="G762" s="40" t="str">
        <f ca="1">IFERROR(__xludf.DUMMYFUNCTION("""COMPUTED_VALUE"""),"TÉCNICO")</f>
        <v>TÉCNICO</v>
      </c>
      <c r="H762" s="40" t="str">
        <f ca="1">IFERROR(__xludf.DUMMYFUNCTION("""COMPUTED_VALUE"""),"SISTEMAS.")</f>
        <v>SISTEMAS.</v>
      </c>
      <c r="I762" s="40"/>
      <c r="J762" s="40"/>
      <c r="K762" s="40"/>
      <c r="L762" s="40" t="str">
        <f ca="1">IFERROR(__xludf.DUMMYFUNCTION("""COMPUTED_VALUE"""),"NO HA INICIADO ETAPA PRODUCTIVA")</f>
        <v>NO HA INICIADO ETAPA PRODUCTIVA</v>
      </c>
      <c r="M762" s="40"/>
      <c r="N762" s="40"/>
      <c r="O762" s="40"/>
      <c r="P762" s="40"/>
      <c r="Q762" s="40"/>
      <c r="R762" s="140"/>
      <c r="S762" s="1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t="str">
        <f ca="1">IFERROR(__xludf.DUMMYFUNCTION("""COMPUTED_VALUE"""),"Procede_E_P")</f>
        <v>Procede_E_P</v>
      </c>
      <c r="AV762" s="40" t="str">
        <f ca="1">IFERROR(__xludf.DUMMYFUNCTION("""COMPUTED_VALUE"""),"EN FORMACION")</f>
        <v>EN FORMACION</v>
      </c>
      <c r="AW762" s="40" t="str">
        <f ca="1">IFERROR(__xludf.DUMMYFUNCTION("""COMPUTED_VALUE"""),"TIC")</f>
        <v>TIC</v>
      </c>
      <c r="AX762" s="141">
        <f ca="1">IFERROR(__xludf.DUMMYFUNCTION("""COMPUTED_VALUE"""),0)</f>
        <v>0</v>
      </c>
      <c r="AY762" s="40">
        <f ca="1">IFERROR(__xludf.DUMMYFUNCTION("""COMPUTED_VALUE"""),0)</f>
        <v>0</v>
      </c>
      <c r="AZ762" s="40">
        <f ca="1">IFERROR(__xludf.DUMMYFUNCTION("""COMPUTED_VALUE"""),1)</f>
        <v>1</v>
      </c>
      <c r="BA762" s="40">
        <f ca="1">IFERROR(__xludf.DUMMYFUNCTION("""COMPUTED_VALUE"""),0)</f>
        <v>0</v>
      </c>
      <c r="BB762" s="40">
        <f ca="1">IFERROR(__xludf.DUMMYFUNCTION("""COMPUTED_VALUE"""),0)</f>
        <v>0</v>
      </c>
      <c r="BC762" s="40">
        <f ca="1">IFERROR(__xludf.DUMMYFUNCTION("""COMPUTED_VALUE"""),1)</f>
        <v>1</v>
      </c>
      <c r="BD762" s="141">
        <f ca="1">IFERROR(__xludf.DUMMYFUNCTION("""COMPUTED_VALUE"""),44425)</f>
        <v>44425</v>
      </c>
      <c r="BE762" s="141">
        <f ca="1">IFERROR(__xludf.DUMMYFUNCTION("""COMPUTED_VALUE"""),44698)</f>
        <v>44698</v>
      </c>
      <c r="BF762" s="141">
        <f ca="1">IFERROR(__xludf.DUMMYFUNCTION("""COMPUTED_VALUE"""),44882)</f>
        <v>44882</v>
      </c>
      <c r="BG762" s="141">
        <f ca="1">IFERROR(__xludf.DUMMYFUNCTION("""COMPUTED_VALUE"""),45429)</f>
        <v>45429</v>
      </c>
      <c r="BH762" s="40" t="str">
        <f ca="1">IFERROR(__xludf.DUMMYFUNCTION("""COMPUTED_VALUE"""),"FICHA EN TIEMPO-18 MESES")</f>
        <v>FICHA EN TIEMPO-18 MESES</v>
      </c>
      <c r="BI762" s="40" t="str">
        <f ca="1">IFERROR(__xludf.DUMMYFUNCTION("""COMPUTED_VALUE"""),"Terminada por fecha")</f>
        <v>Terminada por fecha</v>
      </c>
      <c r="BJ762" s="40" t="str">
        <f ca="1">IFERROR(__xludf.DUMMYFUNCTION("""COMPUTED_VALUE"""),"Yamboro")</f>
        <v>Yamboro</v>
      </c>
      <c r="BK762" s="40"/>
      <c r="BL762" s="40"/>
    </row>
    <row r="763" spans="1:64" ht="13">
      <c r="A763" s="40"/>
      <c r="B763" s="40" t="str">
        <f ca="1">IFERROR(__xludf.DUMMYFUNCTION("""COMPUTED_VALUE"""),"FORMACIÓN 18/10/2022")</f>
        <v>FORMACIÓN 18/10/2022</v>
      </c>
      <c r="C763" s="40" t="str">
        <f ca="1">IFERROR(__xludf.DUMMYFUNCTION("""COMPUTED_VALUE"""),"ADRIANA FERNANDA CERON ASTUDILLO")</f>
        <v>ADRIANA FERNANDA CERON ASTUDILLO</v>
      </c>
      <c r="D763" s="40" t="str">
        <f ca="1">IFERROR(__xludf.DUMMYFUNCTION("""COMPUTED_VALUE"""),"CC")</f>
        <v>CC</v>
      </c>
      <c r="E763" s="40">
        <f ca="1">IFERROR(__xludf.DUMMYFUNCTION("""COMPUTED_VALUE"""),1084258611)</f>
        <v>1084258611</v>
      </c>
      <c r="F763" s="40">
        <f ca="1">IFERROR(__xludf.DUMMYFUNCTION("""COMPUTED_VALUE"""),2389755)</f>
        <v>2389755</v>
      </c>
      <c r="G763" s="40" t="str">
        <f ca="1">IFERROR(__xludf.DUMMYFUNCTION("""COMPUTED_VALUE"""),"TÉCNICO")</f>
        <v>TÉCNICO</v>
      </c>
      <c r="H763" s="40" t="str">
        <f ca="1">IFERROR(__xludf.DUMMYFUNCTION("""COMPUTED_VALUE"""),"SISTEMAS.")</f>
        <v>SISTEMAS.</v>
      </c>
      <c r="I763" s="40">
        <f ca="1">IFERROR(__xludf.DUMMYFUNCTION("""COMPUTED_VALUE"""),3186525743)</f>
        <v>3186525743</v>
      </c>
      <c r="J763" s="40" t="str">
        <f ca="1">IFERROR(__xludf.DUMMYFUNCTION("""COMPUTED_VALUE"""),"astudilloadriana51@gmail.com")</f>
        <v>astudilloadriana51@gmail.com</v>
      </c>
      <c r="K763" s="40"/>
      <c r="L763" s="40" t="str">
        <f ca="1">IFERROR(__xludf.DUMMYFUNCTION("""COMPUTED_VALUE"""),"PASANTÍAS")</f>
        <v>PASANTÍAS</v>
      </c>
      <c r="M763" s="40" t="str">
        <f ca="1">IFERROR(__xludf.DUMMYFUNCTION("""COMPUTED_VALUE"""),"EMPRESA DE SERVICIOS PUBLICOS AGUAS Y ASEO DEL MACIZO S.A.S E.S.P")</f>
        <v>EMPRESA DE SERVICIOS PUBLICOS AGUAS Y ASEO DEL MACIZO S.A.S E.S.P</v>
      </c>
      <c r="N763" s="40" t="str">
        <f ca="1">IFERROR(__xludf.DUMMYFUNCTION("""COMPUTED_VALUE"""),"CARRERA 3 N° 1-76 ")</f>
        <v xml:space="preserve">CARRERA 3 N° 1-76 </v>
      </c>
      <c r="O763" s="40">
        <f ca="1">IFERROR(__xludf.DUMMYFUNCTION("""COMPUTED_VALUE"""),31150005080)</f>
        <v>31150005080</v>
      </c>
      <c r="P763" s="40" t="str">
        <f ca="1">IFERROR(__xludf.DUMMYFUNCTION("""COMPUTED_VALUE"""),"ISNOS ")</f>
        <v xml:space="preserve">ISNOS </v>
      </c>
      <c r="Q763" s="40" t="str">
        <f ca="1">IFERROR(__xludf.DUMMYFUNCTION("""COMPUTED_VALUE"""),"secretaria@aguasyaseodelmacizoespisnoshuila.com.co")</f>
        <v>secretaria@aguasyaseodelmacizoespisnoshuila.com.co</v>
      </c>
      <c r="R763" s="140">
        <f ca="1">IFERROR(__xludf.DUMMYFUNCTION("""COMPUTED_VALUE"""),44713)</f>
        <v>44713</v>
      </c>
      <c r="S763" s="140">
        <f ca="1">IFERROR(__xludf.DUMMYFUNCTION("""COMPUTED_VALUE"""),44895)</f>
        <v>44895</v>
      </c>
      <c r="T763" s="40" t="str">
        <f ca="1">IFERROR(__xludf.DUMMYFUNCTION("""COMPUTED_VALUE"""),"Tiene Acuerdo de voluntades, Incial, parcial y bitácoras 1,2,3,4,5,7,8... Falta parcial, final, certificación y bitácoras 6,,9,10,11  y 12 ... . Revisado 13/10/2022")</f>
        <v>Tiene Acuerdo de voluntades, Incial, parcial y bitácoras 1,2,3,4,5,7,8... Falta parcial, final, certificación y bitácoras 6,,9,10,11  y 12 ... . Revisado 13/10/2022</v>
      </c>
      <c r="U763" s="40" t="str">
        <f ca="1">IFERROR(__xludf.DUMMYFUNCTION("""COMPUTED_VALUE"""),"NORMA PEREZ- Subió Inicial y bitácoras 1,2,3,4 y 5... Revisado 23/09/2022 - Subió Parcial y bitácoras 7 y 8... Revisado 13/10/2022")</f>
        <v>NORMA PEREZ- Subió Inicial y bitácoras 1,2,3,4 y 5... Revisado 23/09/2022 - Subió Parcial y bitácoras 7 y 8... Revisado 13/10/2022</v>
      </c>
      <c r="V763" s="40" t="str">
        <f ca="1">IFERROR(__xludf.DUMMYFUNCTION("""COMPUTED_VALUE"""),"Si tiene seguimiento 13/10/2022")</f>
        <v>Si tiene seguimiento 13/10/2022</v>
      </c>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t="str">
        <f ca="1">IFERROR(__xludf.DUMMYFUNCTION("""COMPUTED_VALUE"""),"Procede_E_P")</f>
        <v>Procede_E_P</v>
      </c>
      <c r="AV763" s="40" t="str">
        <f ca="1">IFERROR(__xludf.DUMMYFUNCTION("""COMPUTED_VALUE"""),"EN FORMACION")</f>
        <v>EN FORMACION</v>
      </c>
      <c r="AW763" s="40" t="str">
        <f ca="1">IFERROR(__xludf.DUMMYFUNCTION("""COMPUTED_VALUE"""),"TIC")</f>
        <v>TIC</v>
      </c>
      <c r="AX763" s="141">
        <f ca="1">IFERROR(__xludf.DUMMYFUNCTION("""COMPUTED_VALUE"""),0)</f>
        <v>0</v>
      </c>
      <c r="AY763" s="40">
        <f ca="1">IFERROR(__xludf.DUMMYFUNCTION("""COMPUTED_VALUE"""),0)</f>
        <v>0</v>
      </c>
      <c r="AZ763" s="40">
        <f ca="1">IFERROR(__xludf.DUMMYFUNCTION("""COMPUTED_VALUE"""),1)</f>
        <v>1</v>
      </c>
      <c r="BA763" s="40">
        <f ca="1">IFERROR(__xludf.DUMMYFUNCTION("""COMPUTED_VALUE"""),0)</f>
        <v>0</v>
      </c>
      <c r="BB763" s="40">
        <f ca="1">IFERROR(__xludf.DUMMYFUNCTION("""COMPUTED_VALUE"""),0)</f>
        <v>0</v>
      </c>
      <c r="BC763" s="40">
        <f ca="1">IFERROR(__xludf.DUMMYFUNCTION("""COMPUTED_VALUE"""),1)</f>
        <v>1</v>
      </c>
      <c r="BD763" s="141">
        <f ca="1">IFERROR(__xludf.DUMMYFUNCTION("""COMPUTED_VALUE"""),44425)</f>
        <v>44425</v>
      </c>
      <c r="BE763" s="141">
        <f ca="1">IFERROR(__xludf.DUMMYFUNCTION("""COMPUTED_VALUE"""),44698)</f>
        <v>44698</v>
      </c>
      <c r="BF763" s="141">
        <f ca="1">IFERROR(__xludf.DUMMYFUNCTION("""COMPUTED_VALUE"""),44882)</f>
        <v>44882</v>
      </c>
      <c r="BG763" s="141">
        <f ca="1">IFERROR(__xludf.DUMMYFUNCTION("""COMPUTED_VALUE"""),45429)</f>
        <v>45429</v>
      </c>
      <c r="BH763" s="40" t="str">
        <f ca="1">IFERROR(__xludf.DUMMYFUNCTION("""COMPUTED_VALUE"""),"FICHA EN TIEMPO-18 MESES")</f>
        <v>FICHA EN TIEMPO-18 MESES</v>
      </c>
      <c r="BI763" s="40" t="str">
        <f ca="1">IFERROR(__xludf.DUMMYFUNCTION("""COMPUTED_VALUE"""),"Terminada por fecha")</f>
        <v>Terminada por fecha</v>
      </c>
      <c r="BJ763" s="40" t="str">
        <f ca="1">IFERROR(__xludf.DUMMYFUNCTION("""COMPUTED_VALUE"""),"Yamboro")</f>
        <v>Yamboro</v>
      </c>
      <c r="BK763" s="40"/>
      <c r="BL763" s="40"/>
    </row>
    <row r="764" spans="1:64" ht="13">
      <c r="A764" s="40"/>
      <c r="B764" s="40" t="str">
        <f ca="1">IFERROR(__xludf.DUMMYFUNCTION("""COMPUTED_VALUE"""),"FORMACIÓN 18/10/2022")</f>
        <v>FORMACIÓN 18/10/2022</v>
      </c>
      <c r="C764" s="40" t="str">
        <f ca="1">IFERROR(__xludf.DUMMYFUNCTION("""COMPUTED_VALUE"""),"ELIANA SAMBONI GUACA")</f>
        <v>ELIANA SAMBONI GUACA</v>
      </c>
      <c r="D764" s="40" t="str">
        <f ca="1">IFERROR(__xludf.DUMMYFUNCTION("""COMPUTED_VALUE"""),"CC")</f>
        <v>CC</v>
      </c>
      <c r="E764" s="40">
        <f ca="1">IFERROR(__xludf.DUMMYFUNCTION("""COMPUTED_VALUE"""),1084259546)</f>
        <v>1084259546</v>
      </c>
      <c r="F764" s="40">
        <f ca="1">IFERROR(__xludf.DUMMYFUNCTION("""COMPUTED_VALUE"""),2389755)</f>
        <v>2389755</v>
      </c>
      <c r="G764" s="40" t="str">
        <f ca="1">IFERROR(__xludf.DUMMYFUNCTION("""COMPUTED_VALUE"""),"TÉCNICO")</f>
        <v>TÉCNICO</v>
      </c>
      <c r="H764" s="40" t="str">
        <f ca="1">IFERROR(__xludf.DUMMYFUNCTION("""COMPUTED_VALUE"""),"SISTEMAS.")</f>
        <v>SISTEMAS.</v>
      </c>
      <c r="I764" s="40"/>
      <c r="J764" s="40"/>
      <c r="K764" s="40"/>
      <c r="L764" s="40" t="str">
        <f ca="1">IFERROR(__xludf.DUMMYFUNCTION("""COMPUTED_VALUE"""),"UNIDAD PRODUCTIVA")</f>
        <v>UNIDAD PRODUCTIVA</v>
      </c>
      <c r="M764" s="40"/>
      <c r="N764" s="40"/>
      <c r="O764" s="40"/>
      <c r="P764" s="40"/>
      <c r="Q764" s="40"/>
      <c r="R764" s="140"/>
      <c r="S764" s="140"/>
      <c r="T764" s="40"/>
      <c r="U764" s="40" t="str">
        <f ca="1">IFERROR(__xludf.DUMMYFUNCTION("""COMPUTED_VALUE"""),"NORMA PEREZ")</f>
        <v>NORMA PEREZ</v>
      </c>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t="str">
        <f ca="1">IFERROR(__xludf.DUMMYFUNCTION("""COMPUTED_VALUE"""),"NO_CUMPLE")</f>
        <v>NO_CUMPLE</v>
      </c>
      <c r="AV764" s="40" t="str">
        <f ca="1">IFERROR(__xludf.DUMMYFUNCTION("""COMPUTED_VALUE"""),"EN FORMACION")</f>
        <v>EN FORMACION</v>
      </c>
      <c r="AW764" s="40" t="str">
        <f ca="1">IFERROR(__xludf.DUMMYFUNCTION("""COMPUTED_VALUE"""),"TIC")</f>
        <v>TIC</v>
      </c>
      <c r="AX764" s="141">
        <f ca="1">IFERROR(__xludf.DUMMYFUNCTION("""COMPUTED_VALUE"""),11)</f>
        <v>11</v>
      </c>
      <c r="AY764" s="40">
        <f ca="1">IFERROR(__xludf.DUMMYFUNCTION("""COMPUTED_VALUE"""),11)</f>
        <v>11</v>
      </c>
      <c r="AZ764" s="40">
        <f ca="1">IFERROR(__xludf.DUMMYFUNCTION("""COMPUTED_VALUE"""),1)</f>
        <v>1</v>
      </c>
      <c r="BA764" s="40">
        <f ca="1">IFERROR(__xludf.DUMMYFUNCTION("""COMPUTED_VALUE"""),6)</f>
        <v>6</v>
      </c>
      <c r="BB764" s="40">
        <f ca="1">IFERROR(__xludf.DUMMYFUNCTION("""COMPUTED_VALUE"""),6)</f>
        <v>6</v>
      </c>
      <c r="BC764" s="40">
        <f ca="1">IFERROR(__xludf.DUMMYFUNCTION("""COMPUTED_VALUE"""),24)</f>
        <v>24</v>
      </c>
      <c r="BD764" s="141">
        <f ca="1">IFERROR(__xludf.DUMMYFUNCTION("""COMPUTED_VALUE"""),44425)</f>
        <v>44425</v>
      </c>
      <c r="BE764" s="141">
        <f ca="1">IFERROR(__xludf.DUMMYFUNCTION("""COMPUTED_VALUE"""),44698)</f>
        <v>44698</v>
      </c>
      <c r="BF764" s="141">
        <f ca="1">IFERROR(__xludf.DUMMYFUNCTION("""COMPUTED_VALUE"""),44882)</f>
        <v>44882</v>
      </c>
      <c r="BG764" s="141">
        <f ca="1">IFERROR(__xludf.DUMMYFUNCTION("""COMPUTED_VALUE"""),45429)</f>
        <v>45429</v>
      </c>
      <c r="BH764" s="40" t="str">
        <f ca="1">IFERROR(__xludf.DUMMYFUNCTION("""COMPUTED_VALUE"""),"FICHA EN TIEMPO-18 MESES")</f>
        <v>FICHA EN TIEMPO-18 MESES</v>
      </c>
      <c r="BI764" s="40" t="str">
        <f ca="1">IFERROR(__xludf.DUMMYFUNCTION("""COMPUTED_VALUE"""),"Terminada por fecha")</f>
        <v>Terminada por fecha</v>
      </c>
      <c r="BJ764" s="40" t="str">
        <f ca="1">IFERROR(__xludf.DUMMYFUNCTION("""COMPUTED_VALUE"""),"Yamboro")</f>
        <v>Yamboro</v>
      </c>
      <c r="BK764" s="40"/>
      <c r="BL764" s="40"/>
    </row>
    <row r="765" spans="1:64" ht="13">
      <c r="A765" s="40"/>
      <c r="B765" s="40" t="str">
        <f ca="1">IFERROR(__xludf.DUMMYFUNCTION("""COMPUTED_VALUE"""),"FORMACIÓN 18/10/2022")</f>
        <v>FORMACIÓN 18/10/2022</v>
      </c>
      <c r="C765" s="40" t="str">
        <f ca="1">IFERROR(__xludf.DUMMYFUNCTION("""COMPUTED_VALUE"""),"DERLY YISELA SOTO MELO")</f>
        <v>DERLY YISELA SOTO MELO</v>
      </c>
      <c r="D765" s="40" t="str">
        <f ca="1">IFERROR(__xludf.DUMMYFUNCTION("""COMPUTED_VALUE"""),"CC")</f>
        <v>CC</v>
      </c>
      <c r="E765" s="40">
        <f ca="1">IFERROR(__xludf.DUMMYFUNCTION("""COMPUTED_VALUE"""),1080365889)</f>
        <v>1080365889</v>
      </c>
      <c r="F765" s="40">
        <f ca="1">IFERROR(__xludf.DUMMYFUNCTION("""COMPUTED_VALUE"""),2205627)</f>
        <v>2205627</v>
      </c>
      <c r="G765" s="40" t="str">
        <f ca="1">IFERROR(__xludf.DUMMYFUNCTION("""COMPUTED_VALUE"""),"TECNÓLOGO")</f>
        <v>TECNÓLOGO</v>
      </c>
      <c r="H765" s="40" t="str">
        <f ca="1">IFERROR(__xludf.DUMMYFUNCTION("""COMPUTED_VALUE"""),"ANALISIS Y DESARROLLO DE SISTEMAS DE INFORMACION")</f>
        <v>ANALISIS Y DESARROLLO DE SISTEMAS DE INFORMACION</v>
      </c>
      <c r="I765" s="40">
        <f ca="1">IFERROR(__xludf.DUMMYFUNCTION("""COMPUTED_VALUE"""),3212952396)</f>
        <v>3212952396</v>
      </c>
      <c r="J765" s="40" t="str">
        <f ca="1">IFERROR(__xludf.DUMMYFUNCTION("""COMPUTED_VALUE"""),"sottoderly@gmail.com")</f>
        <v>sottoderly@gmail.com</v>
      </c>
      <c r="K765" s="40" t="str">
        <f ca="1">IFERROR(__xludf.DUMMYFUNCTION("""COMPUTED_VALUE"""),"Suaza - Huila")</f>
        <v>Suaza - Huila</v>
      </c>
      <c r="L765" s="40" t="str">
        <f ca="1">IFERROR(__xludf.DUMMYFUNCTION("""COMPUTED_VALUE"""),"CONTRATO DE APRENDIZAJE ")</f>
        <v xml:space="preserve">CONTRATO DE APRENDIZAJE </v>
      </c>
      <c r="M765" s="40" t="str">
        <f ca="1">IFERROR(__xludf.DUMMYFUNCTION("""COMPUTED_VALUE"""),"SERVIVIO NACIONAL DE APRENDIZAJE SENA ")</f>
        <v xml:space="preserve">SERVIVIO NACIONAL DE APRENDIZAJE SENA </v>
      </c>
      <c r="N765" s="40" t="str">
        <f ca="1">IFERROR(__xludf.DUMMYFUNCTION("""COMPUTED_VALUE"""),"CRA 8 N° 7-53")</f>
        <v>CRA 8 N° 7-53</v>
      </c>
      <c r="O765" s="40">
        <f ca="1">IFERROR(__xludf.DUMMYFUNCTION("""COMPUTED_VALUE"""),8365960)</f>
        <v>8365960</v>
      </c>
      <c r="P765" s="40"/>
      <c r="Q765" s="40"/>
      <c r="R765" s="140">
        <f ca="1">IFERROR(__xludf.DUMMYFUNCTION("""COMPUTED_VALUE"""),44701)</f>
        <v>44701</v>
      </c>
      <c r="S765" s="140">
        <f ca="1">IFERROR(__xludf.DUMMYFUNCTION("""COMPUTED_VALUE"""),44895)</f>
        <v>44895</v>
      </c>
      <c r="T765" s="40" t="str">
        <f ca="1">IFERROR(__xludf.DUMMYFUNCTION("""COMPUTED_VALUE"""),"Tiene consulta de aprendizaje, 3 Parcial y bitácoras 1,2,3,,4,5,6 y 7 .... Falta final, certificación y bitácora 8,9,10,11 y 12 .. Revisado 20/09/2022")</f>
        <v>Tiene consulta de aprendizaje, 3 Parcial y bitácoras 1,2,3,,4,5,6 y 7 .... Falta final, certificación y bitácora 8,9,10,11 y 12 .. Revisado 20/09/2022</v>
      </c>
      <c r="U765" s="40" t="str">
        <f ca="1">IFERROR(__xludf.DUMMYFUNCTION("""COMPUTED_VALUE"""),"Eduar Triana - Subió Parcial y Bitácoras 5,6,7... Revisado 20/09/2022")</f>
        <v>Eduar Triana - Subió Parcial y Bitácoras 5,6,7... Revisado 20/09/2022</v>
      </c>
      <c r="V765" s="354" t="str">
        <f ca="1">IFERROR(__xludf.DUMMYFUNCTION("""COMPUTED_VALUE"""),"Si tiene seguimiento 03/03/2023")</f>
        <v>Si tiene seguimiento 03/03/2023</v>
      </c>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t="str">
        <f ca="1">IFERROR(__xludf.DUMMYFUNCTION("""COMPUTED_VALUE"""),"Procede_E_P")</f>
        <v>Procede_E_P</v>
      </c>
      <c r="AV765" s="40" t="str">
        <f ca="1">IFERROR(__xludf.DUMMYFUNCTION("""COMPUTED_VALUE"""),"EN FORMACION")</f>
        <v>EN FORMACION</v>
      </c>
      <c r="AW765" s="40" t="str">
        <f ca="1">IFERROR(__xludf.DUMMYFUNCTION("""COMPUTED_VALUE"""),"TIC")</f>
        <v>TIC</v>
      </c>
      <c r="AX765" s="141">
        <f ca="1">IFERROR(__xludf.DUMMYFUNCTION("""COMPUTED_VALUE"""),0)</f>
        <v>0</v>
      </c>
      <c r="AY765" s="40">
        <f ca="1">IFERROR(__xludf.DUMMYFUNCTION("""COMPUTED_VALUE"""),0)</f>
        <v>0</v>
      </c>
      <c r="AZ765" s="40">
        <f ca="1">IFERROR(__xludf.DUMMYFUNCTION("""COMPUTED_VALUE"""),1)</f>
        <v>1</v>
      </c>
      <c r="BA765" s="40">
        <f ca="1">IFERROR(__xludf.DUMMYFUNCTION("""COMPUTED_VALUE"""),0)</f>
        <v>0</v>
      </c>
      <c r="BB765" s="40">
        <f ca="1">IFERROR(__xludf.DUMMYFUNCTION("""COMPUTED_VALUE"""),0)</f>
        <v>0</v>
      </c>
      <c r="BC765" s="40">
        <f ca="1">IFERROR(__xludf.DUMMYFUNCTION("""COMPUTED_VALUE"""),1)</f>
        <v>1</v>
      </c>
      <c r="BD765" s="141">
        <f ca="1">IFERROR(__xludf.DUMMYFUNCTION("""COMPUTED_VALUE"""),44138)</f>
        <v>44138</v>
      </c>
      <c r="BE765" s="141">
        <f ca="1">IFERROR(__xludf.DUMMYFUNCTION("""COMPUTED_VALUE"""),44683)</f>
        <v>44683</v>
      </c>
      <c r="BF765" s="141">
        <f ca="1">IFERROR(__xludf.DUMMYFUNCTION("""COMPUTED_VALUE"""),44867)</f>
        <v>44867</v>
      </c>
      <c r="BG765" s="141">
        <f ca="1">IFERROR(__xludf.DUMMYFUNCTION("""COMPUTED_VALUE"""),45414)</f>
        <v>45414</v>
      </c>
      <c r="BH765" s="40" t="str">
        <f ca="1">IFERROR(__xludf.DUMMYFUNCTION("""COMPUTED_VALUE"""),"FICHA EN TIEMPO-18 MESES")</f>
        <v>FICHA EN TIEMPO-18 MESES</v>
      </c>
      <c r="BI765" s="40" t="str">
        <f ca="1">IFERROR(__xludf.DUMMYFUNCTION("""COMPUTED_VALUE"""),"Terminada por fecha")</f>
        <v>Terminada por fecha</v>
      </c>
      <c r="BJ765" s="40" t="str">
        <f ca="1">IFERROR(__xludf.DUMMYFUNCTION("""COMPUTED_VALUE"""),"Yamboro")</f>
        <v>Yamboro</v>
      </c>
      <c r="BK765" s="40"/>
      <c r="BL765" s="40"/>
    </row>
    <row r="766" spans="1:64" ht="13">
      <c r="A766" s="40"/>
      <c r="B766" s="40" t="str">
        <f ca="1">IFERROR(__xludf.DUMMYFUNCTION("""COMPUTED_VALUE"""),"FORMACIÓN 18/10/2022")</f>
        <v>FORMACIÓN 18/10/2022</v>
      </c>
      <c r="C766" s="40" t="str">
        <f ca="1">IFERROR(__xludf.DUMMYFUNCTION("""COMPUTED_VALUE"""),"KAREN LORENA CORDOBA GOMEZ")</f>
        <v>KAREN LORENA CORDOBA GOMEZ</v>
      </c>
      <c r="D766" s="40" t="str">
        <f ca="1">IFERROR(__xludf.DUMMYFUNCTION("""COMPUTED_VALUE"""),"CC")</f>
        <v>CC</v>
      </c>
      <c r="E766" s="40">
        <f ca="1">IFERROR(__xludf.DUMMYFUNCTION("""COMPUTED_VALUE"""),1083928995)</f>
        <v>1083928995</v>
      </c>
      <c r="F766" s="40">
        <f ca="1">IFERROR(__xludf.DUMMYFUNCTION("""COMPUTED_VALUE"""),2205627)</f>
        <v>2205627</v>
      </c>
      <c r="G766" s="40" t="str">
        <f ca="1">IFERROR(__xludf.DUMMYFUNCTION("""COMPUTED_VALUE"""),"TECNÓLOGO")</f>
        <v>TECNÓLOGO</v>
      </c>
      <c r="H766" s="40" t="str">
        <f ca="1">IFERROR(__xludf.DUMMYFUNCTION("""COMPUTED_VALUE"""),"ANALISIS Y DESARROLLO DE SISTEMAS DE INFORMACION")</f>
        <v>ANALISIS Y DESARROLLO DE SISTEMAS DE INFORMACION</v>
      </c>
      <c r="I766" s="40">
        <f ca="1">IFERROR(__xludf.DUMMYFUNCTION("""COMPUTED_VALUE"""),3132267931)</f>
        <v>3132267931</v>
      </c>
      <c r="J766" s="40" t="str">
        <f ca="1">IFERROR(__xludf.DUMMYFUNCTION("""COMPUTED_VALUE"""),"karen_cordoba27@hotmail.com")</f>
        <v>karen_cordoba27@hotmail.com</v>
      </c>
      <c r="K766" s="40"/>
      <c r="L766" s="40" t="str">
        <f ca="1">IFERROR(__xludf.DUMMYFUNCTION("""COMPUTED_VALUE"""),"CONTRATO DE APRENDIZAJE ")</f>
        <v xml:space="preserve">CONTRATO DE APRENDIZAJE </v>
      </c>
      <c r="M766" s="40" t="str">
        <f ca="1">IFERROR(__xludf.DUMMYFUNCTION("""COMPUTED_VALUE"""),"COMPAÑIA MULTIVENTAS S.A.S")</f>
        <v>COMPAÑIA MULTIVENTAS S.A.S</v>
      </c>
      <c r="N766" s="40" t="str">
        <f ca="1">IFERROR(__xludf.DUMMYFUNCTION("""COMPUTED_VALUE"""),"calle 121 N°8-43 VIA SALADO")</f>
        <v>calle 121 N°8-43 VIA SALADO</v>
      </c>
      <c r="O766" s="40">
        <f ca="1">IFERROR(__xludf.DUMMYFUNCTION("""COMPUTED_VALUE"""),3213391519)</f>
        <v>3213391519</v>
      </c>
      <c r="P766" s="40"/>
      <c r="Q766" s="40"/>
      <c r="R766" s="140">
        <f ca="1">IFERROR(__xludf.DUMMYFUNCTION("""COMPUTED_VALUE"""),44693)</f>
        <v>44693</v>
      </c>
      <c r="S766" s="140">
        <f ca="1">IFERROR(__xludf.DUMMYFUNCTION("""COMPUTED_VALUE"""),44876)</f>
        <v>44876</v>
      </c>
      <c r="T766" s="40"/>
      <c r="U766" s="40" t="str">
        <f ca="1">IFERROR(__xludf.DUMMYFUNCTION("""COMPUTED_VALUE"""),"Eduar Triana ")</f>
        <v xml:space="preserve">Eduar Triana </v>
      </c>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t="str">
        <f ca="1">IFERROR(__xludf.DUMMYFUNCTION("""COMPUTED_VALUE"""),"Procede_E_P")</f>
        <v>Procede_E_P</v>
      </c>
      <c r="AV766" s="40" t="str">
        <f ca="1">IFERROR(__xludf.DUMMYFUNCTION("""COMPUTED_VALUE"""),"EN FORMACION")</f>
        <v>EN FORMACION</v>
      </c>
      <c r="AW766" s="40" t="str">
        <f ca="1">IFERROR(__xludf.DUMMYFUNCTION("""COMPUTED_VALUE"""),"TIC")</f>
        <v>TIC</v>
      </c>
      <c r="AX766" s="141">
        <f ca="1">IFERROR(__xludf.DUMMYFUNCTION("""COMPUTED_VALUE"""),0)</f>
        <v>0</v>
      </c>
      <c r="AY766" s="40">
        <f ca="1">IFERROR(__xludf.DUMMYFUNCTION("""COMPUTED_VALUE"""),0)</f>
        <v>0</v>
      </c>
      <c r="AZ766" s="40">
        <f ca="1">IFERROR(__xludf.DUMMYFUNCTION("""COMPUTED_VALUE"""),1)</f>
        <v>1</v>
      </c>
      <c r="BA766" s="40">
        <f ca="1">IFERROR(__xludf.DUMMYFUNCTION("""COMPUTED_VALUE"""),0)</f>
        <v>0</v>
      </c>
      <c r="BB766" s="40">
        <f ca="1">IFERROR(__xludf.DUMMYFUNCTION("""COMPUTED_VALUE"""),0)</f>
        <v>0</v>
      </c>
      <c r="BC766" s="40">
        <f ca="1">IFERROR(__xludf.DUMMYFUNCTION("""COMPUTED_VALUE"""),1)</f>
        <v>1</v>
      </c>
      <c r="BD766" s="141">
        <f ca="1">IFERROR(__xludf.DUMMYFUNCTION("""COMPUTED_VALUE"""),44138)</f>
        <v>44138</v>
      </c>
      <c r="BE766" s="141">
        <f ca="1">IFERROR(__xludf.DUMMYFUNCTION("""COMPUTED_VALUE"""),44683)</f>
        <v>44683</v>
      </c>
      <c r="BF766" s="141">
        <f ca="1">IFERROR(__xludf.DUMMYFUNCTION("""COMPUTED_VALUE"""),44867)</f>
        <v>44867</v>
      </c>
      <c r="BG766" s="141">
        <f ca="1">IFERROR(__xludf.DUMMYFUNCTION("""COMPUTED_VALUE"""),45414)</f>
        <v>45414</v>
      </c>
      <c r="BH766" s="40" t="str">
        <f ca="1">IFERROR(__xludf.DUMMYFUNCTION("""COMPUTED_VALUE"""),"FICHA EN TIEMPO-18 MESES")</f>
        <v>FICHA EN TIEMPO-18 MESES</v>
      </c>
      <c r="BI766" s="40" t="str">
        <f ca="1">IFERROR(__xludf.DUMMYFUNCTION("""COMPUTED_VALUE"""),"Terminada por fecha")</f>
        <v>Terminada por fecha</v>
      </c>
      <c r="BJ766" s="40" t="str">
        <f ca="1">IFERROR(__xludf.DUMMYFUNCTION("""COMPUTED_VALUE"""),"Yamboro")</f>
        <v>Yamboro</v>
      </c>
      <c r="BK766" s="40"/>
      <c r="BL766" s="40"/>
    </row>
    <row r="767" spans="1:64" ht="13">
      <c r="A767" s="40"/>
      <c r="B767" s="40" t="str">
        <f ca="1">IFERROR(__xludf.DUMMYFUNCTION("""COMPUTED_VALUE"""),"FORMACIÓN 18/10/2022")</f>
        <v>FORMACIÓN 18/10/2022</v>
      </c>
      <c r="C767" s="40" t="str">
        <f ca="1">IFERROR(__xludf.DUMMYFUNCTION("""COMPUTED_VALUE"""),"BRIYIN CHANTRE RIVERA")</f>
        <v>BRIYIN CHANTRE RIVERA</v>
      </c>
      <c r="D767" s="40" t="str">
        <f ca="1">IFERROR(__xludf.DUMMYFUNCTION("""COMPUTED_VALUE"""),"CC")</f>
        <v>CC</v>
      </c>
      <c r="E767" s="40">
        <f ca="1">IFERROR(__xludf.DUMMYFUNCTION("""COMPUTED_VALUE"""),1007475028)</f>
        <v>1007475028</v>
      </c>
      <c r="F767" s="40">
        <f ca="1">IFERROR(__xludf.DUMMYFUNCTION("""COMPUTED_VALUE"""),2380830)</f>
        <v>2380830</v>
      </c>
      <c r="G767" s="40" t="str">
        <f ca="1">IFERROR(__xludf.DUMMYFUNCTION("""COMPUTED_VALUE"""),"TÉCNICO")</f>
        <v>TÉCNICO</v>
      </c>
      <c r="H767" s="40" t="str">
        <f ca="1">IFERROR(__xludf.DUMMYFUNCTION("""COMPUTED_VALUE"""),"SISTEMAS.")</f>
        <v>SISTEMAS.</v>
      </c>
      <c r="I767" s="40">
        <f ca="1">IFERROR(__xludf.DUMMYFUNCTION("""COMPUTED_VALUE"""),3123496422)</f>
        <v>3123496422</v>
      </c>
      <c r="J767" s="40" t="str">
        <f ca="1">IFERROR(__xludf.DUMMYFUNCTION("""COMPUTED_VALUE"""),"briyinchantre@gmail.com")</f>
        <v>briyinchantre@gmail.com</v>
      </c>
      <c r="K767" s="40" t="str">
        <f ca="1">IFERROR(__xludf.DUMMYFUNCTION("""COMPUTED_VALUE"""),"PITALITO")</f>
        <v>PITALITO</v>
      </c>
      <c r="L767" s="40" t="str">
        <f ca="1">IFERROR(__xludf.DUMMYFUNCTION("""COMPUTED_VALUE"""),"CONTRATO DE APRENDIZAJE ")</f>
        <v xml:space="preserve">CONTRATO DE APRENDIZAJE </v>
      </c>
      <c r="M767" s="40" t="str">
        <f ca="1">IFERROR(__xludf.DUMMYFUNCTION("""COMPUTED_VALUE"""),"DEPOSITO Y TRILLADORA LA UNIÓN ")</f>
        <v xml:space="preserve">DEPOSITO Y TRILLADORA LA UNIÓN </v>
      </c>
      <c r="N767" s="40" t="str">
        <f ca="1">IFERROR(__xludf.DUMMYFUNCTION("""COMPUTED_VALUE"""),"CALLE 13 N° 14-52 ")</f>
        <v xml:space="preserve">CALLE 13 N° 14-52 </v>
      </c>
      <c r="O767" s="40">
        <f ca="1">IFERROR(__xludf.DUMMYFUNCTION("""COMPUTED_VALUE"""),8365058)</f>
        <v>8365058</v>
      </c>
      <c r="P767" s="40" t="str">
        <f ca="1">IFERROR(__xludf.DUMMYFUNCTION("""COMPUTED_VALUE"""),"PITALITO")</f>
        <v>PITALITO</v>
      </c>
      <c r="Q767" s="40"/>
      <c r="R767" s="140">
        <f ca="1">IFERROR(__xludf.DUMMYFUNCTION("""COMPUTED_VALUE"""),44720)</f>
        <v>44720</v>
      </c>
      <c r="S767" s="140">
        <f ca="1">IFERROR(__xludf.DUMMYFUNCTION("""COMPUTED_VALUE"""),44902)</f>
        <v>44902</v>
      </c>
      <c r="T767" s="40"/>
      <c r="U767" s="40" t="str">
        <f ca="1">IFERROR(__xludf.DUMMYFUNCTION("""COMPUTED_VALUE"""),"DIANA ÁVILA - Asignada ")</f>
        <v xml:space="preserve">DIANA ÁVILA - Asignada </v>
      </c>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t="str">
        <f ca="1">IFERROR(__xludf.DUMMYFUNCTION("""COMPUTED_VALUE"""),"Procede_E_P")</f>
        <v>Procede_E_P</v>
      </c>
      <c r="AV767" s="40" t="str">
        <f ca="1">IFERROR(__xludf.DUMMYFUNCTION("""COMPUTED_VALUE"""),"EN FORMACION")</f>
        <v>EN FORMACION</v>
      </c>
      <c r="AW767" s="40" t="str">
        <f ca="1">IFERROR(__xludf.DUMMYFUNCTION("""COMPUTED_VALUE"""),"TIC")</f>
        <v>TIC</v>
      </c>
      <c r="AX767" s="141">
        <f ca="1">IFERROR(__xludf.DUMMYFUNCTION("""COMPUTED_VALUE"""),0)</f>
        <v>0</v>
      </c>
      <c r="AY767" s="40">
        <f ca="1">IFERROR(__xludf.DUMMYFUNCTION("""COMPUTED_VALUE"""),0)</f>
        <v>0</v>
      </c>
      <c r="AZ767" s="40">
        <f ca="1">IFERROR(__xludf.DUMMYFUNCTION("""COMPUTED_VALUE"""),1)</f>
        <v>1</v>
      </c>
      <c r="BA767" s="40">
        <f ca="1">IFERROR(__xludf.DUMMYFUNCTION("""COMPUTED_VALUE"""),0)</f>
        <v>0</v>
      </c>
      <c r="BB767" s="40">
        <f ca="1">IFERROR(__xludf.DUMMYFUNCTION("""COMPUTED_VALUE"""),0)</f>
        <v>0</v>
      </c>
      <c r="BC767" s="40">
        <f ca="1">IFERROR(__xludf.DUMMYFUNCTION("""COMPUTED_VALUE"""),1)</f>
        <v>1</v>
      </c>
      <c r="BD767" s="141">
        <f ca="1">IFERROR(__xludf.DUMMYFUNCTION("""COMPUTED_VALUE"""),44445)</f>
        <v>44445</v>
      </c>
      <c r="BE767" s="141">
        <f ca="1">IFERROR(__xludf.DUMMYFUNCTION("""COMPUTED_VALUE"""),44717)</f>
        <v>44717</v>
      </c>
      <c r="BF767" s="141">
        <f ca="1">IFERROR(__xludf.DUMMYFUNCTION("""COMPUTED_VALUE"""),44900)</f>
        <v>44900</v>
      </c>
      <c r="BG767" s="141">
        <f ca="1">IFERROR(__xludf.DUMMYFUNCTION("""COMPUTED_VALUE"""),45448)</f>
        <v>45448</v>
      </c>
      <c r="BH767" s="40" t="str">
        <f ca="1">IFERROR(__xludf.DUMMYFUNCTION("""COMPUTED_VALUE"""),"FICHA EN TIEMPO-18 MESES")</f>
        <v>FICHA EN TIEMPO-18 MESES</v>
      </c>
      <c r="BI767" s="40" t="str">
        <f ca="1">IFERROR(__xludf.DUMMYFUNCTION("""COMPUTED_VALUE"""),"En ejecucion")</f>
        <v>En ejecucion</v>
      </c>
      <c r="BJ767" s="40" t="str">
        <f ca="1">IFERROR(__xludf.DUMMYFUNCTION("""COMPUTED_VALUE"""),"Yamboro")</f>
        <v>Yamboro</v>
      </c>
      <c r="BK767" s="40"/>
      <c r="BL767" s="40"/>
    </row>
    <row r="768" spans="1:64" ht="13">
      <c r="A768" s="40"/>
      <c r="B768" s="40" t="str">
        <f ca="1">IFERROR(__xludf.DUMMYFUNCTION("""COMPUTED_VALUE"""),"FORMACIÓN 18/10/2022")</f>
        <v>FORMACIÓN 18/10/2022</v>
      </c>
      <c r="C768" s="40" t="str">
        <f ca="1">IFERROR(__xludf.DUMMYFUNCTION("""COMPUTED_VALUE"""),"RONAL STIVEN RIAÑO FRANCO")</f>
        <v>RONAL STIVEN RIAÑO FRANCO</v>
      </c>
      <c r="D768" s="40" t="str">
        <f ca="1">IFERROR(__xludf.DUMMYFUNCTION("""COMPUTED_VALUE"""),"CC")</f>
        <v>CC</v>
      </c>
      <c r="E768" s="40">
        <f ca="1">IFERROR(__xludf.DUMMYFUNCTION("""COMPUTED_VALUE"""),1007492668)</f>
        <v>1007492668</v>
      </c>
      <c r="F768" s="40">
        <f ca="1">IFERROR(__xludf.DUMMYFUNCTION("""COMPUTED_VALUE"""),2380830)</f>
        <v>2380830</v>
      </c>
      <c r="G768" s="40" t="str">
        <f ca="1">IFERROR(__xludf.DUMMYFUNCTION("""COMPUTED_VALUE"""),"TÉCNICO")</f>
        <v>TÉCNICO</v>
      </c>
      <c r="H768" s="40" t="str">
        <f ca="1">IFERROR(__xludf.DUMMYFUNCTION("""COMPUTED_VALUE"""),"SISTEMAS.")</f>
        <v>SISTEMAS.</v>
      </c>
      <c r="I768" s="40"/>
      <c r="J768" s="40"/>
      <c r="K768" s="40"/>
      <c r="L768" s="40" t="str">
        <f ca="1">IFERROR(__xludf.DUMMYFUNCTION("""COMPUTED_VALUE"""),"UNIDAD PRODUCTIVA")</f>
        <v>UNIDAD PRODUCTIVA</v>
      </c>
      <c r="M768" s="40"/>
      <c r="N768" s="40"/>
      <c r="O768" s="40"/>
      <c r="P768" s="40"/>
      <c r="Q768" s="40"/>
      <c r="R768" s="140"/>
      <c r="S768" s="140"/>
      <c r="T768" s="40"/>
      <c r="U768" s="40" t="str">
        <f ca="1">IFERROR(__xludf.DUMMYFUNCTION("""COMPUTED_VALUE"""),"DIANA ÁVILA - Asignada ")</f>
        <v xml:space="preserve">DIANA ÁVILA - Asignada </v>
      </c>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t="str">
        <f ca="1">IFERROR(__xludf.DUMMYFUNCTION("""COMPUTED_VALUE"""),"NO_CUMPLE")</f>
        <v>NO_CUMPLE</v>
      </c>
      <c r="AV768" s="40" t="str">
        <f ca="1">IFERROR(__xludf.DUMMYFUNCTION("""COMPUTED_VALUE"""),"EN FORMACION")</f>
        <v>EN FORMACION</v>
      </c>
      <c r="AW768" s="40" t="str">
        <f ca="1">IFERROR(__xludf.DUMMYFUNCTION("""COMPUTED_VALUE"""),"TIC")</f>
        <v>TIC</v>
      </c>
      <c r="AX768" s="141">
        <f ca="1">IFERROR(__xludf.DUMMYFUNCTION("""COMPUTED_VALUE"""),37)</f>
        <v>37</v>
      </c>
      <c r="AY768" s="40">
        <f ca="1">IFERROR(__xludf.DUMMYFUNCTION("""COMPUTED_VALUE"""),37)</f>
        <v>37</v>
      </c>
      <c r="AZ768" s="40">
        <f ca="1">IFERROR(__xludf.DUMMYFUNCTION("""COMPUTED_VALUE"""),1)</f>
        <v>1</v>
      </c>
      <c r="BA768" s="40">
        <f ca="1">IFERROR(__xludf.DUMMYFUNCTION("""COMPUTED_VALUE"""),6)</f>
        <v>6</v>
      </c>
      <c r="BB768" s="40">
        <f ca="1">IFERROR(__xludf.DUMMYFUNCTION("""COMPUTED_VALUE"""),12)</f>
        <v>12</v>
      </c>
      <c r="BC768" s="40">
        <f ca="1">IFERROR(__xludf.DUMMYFUNCTION("""COMPUTED_VALUE"""),56)</f>
        <v>56</v>
      </c>
      <c r="BD768" s="141">
        <f ca="1">IFERROR(__xludf.DUMMYFUNCTION("""COMPUTED_VALUE"""),44445)</f>
        <v>44445</v>
      </c>
      <c r="BE768" s="141">
        <f ca="1">IFERROR(__xludf.DUMMYFUNCTION("""COMPUTED_VALUE"""),44717)</f>
        <v>44717</v>
      </c>
      <c r="BF768" s="141">
        <f ca="1">IFERROR(__xludf.DUMMYFUNCTION("""COMPUTED_VALUE"""),44900)</f>
        <v>44900</v>
      </c>
      <c r="BG768" s="141">
        <f ca="1">IFERROR(__xludf.DUMMYFUNCTION("""COMPUTED_VALUE"""),45448)</f>
        <v>45448</v>
      </c>
      <c r="BH768" s="40" t="str">
        <f ca="1">IFERROR(__xludf.DUMMYFUNCTION("""COMPUTED_VALUE"""),"FICHA EN TIEMPO-18 MESES")</f>
        <v>FICHA EN TIEMPO-18 MESES</v>
      </c>
      <c r="BI768" s="40" t="str">
        <f ca="1">IFERROR(__xludf.DUMMYFUNCTION("""COMPUTED_VALUE"""),"En ejecucion")</f>
        <v>En ejecucion</v>
      </c>
      <c r="BJ768" s="40" t="str">
        <f ca="1">IFERROR(__xludf.DUMMYFUNCTION("""COMPUTED_VALUE"""),"Yamboro")</f>
        <v>Yamboro</v>
      </c>
      <c r="BK768" s="40"/>
      <c r="BL768" s="40"/>
    </row>
    <row r="769" spans="1:64" ht="13">
      <c r="A769" s="40"/>
      <c r="B769" s="40" t="str">
        <f ca="1">IFERROR(__xludf.DUMMYFUNCTION("""COMPUTED_VALUE"""),"FORMACIÓN 18/10/2022")</f>
        <v>FORMACIÓN 18/10/2022</v>
      </c>
      <c r="C769" s="40" t="str">
        <f ca="1">IFERROR(__xludf.DUMMYFUNCTION("""COMPUTED_VALUE"""),"DANIELA PIAMBA ANACONA")</f>
        <v>DANIELA PIAMBA ANACONA</v>
      </c>
      <c r="D769" s="40" t="str">
        <f ca="1">IFERROR(__xludf.DUMMYFUNCTION("""COMPUTED_VALUE"""),"TI")</f>
        <v>TI</v>
      </c>
      <c r="E769" s="40">
        <f ca="1">IFERROR(__xludf.DUMMYFUNCTION("""COMPUTED_VALUE"""),1010115281)</f>
        <v>1010115281</v>
      </c>
      <c r="F769" s="40">
        <f ca="1">IFERROR(__xludf.DUMMYFUNCTION("""COMPUTED_VALUE"""),2380830)</f>
        <v>2380830</v>
      </c>
      <c r="G769" s="40" t="str">
        <f ca="1">IFERROR(__xludf.DUMMYFUNCTION("""COMPUTED_VALUE"""),"TÉCNICO")</f>
        <v>TÉCNICO</v>
      </c>
      <c r="H769" s="40" t="str">
        <f ca="1">IFERROR(__xludf.DUMMYFUNCTION("""COMPUTED_VALUE"""),"SISTEMAS.")</f>
        <v>SISTEMAS.</v>
      </c>
      <c r="I769" s="40">
        <f ca="1">IFERROR(__xludf.DUMMYFUNCTION("""COMPUTED_VALUE"""),3126674052)</f>
        <v>3126674052</v>
      </c>
      <c r="J769" s="40" t="str">
        <f ca="1">IFERROR(__xludf.DUMMYFUNCTION("""COMPUTED_VALUE"""),"danielapiamba07@gmail.com")</f>
        <v>danielapiamba07@gmail.com</v>
      </c>
      <c r="K769" s="40" t="str">
        <f ca="1">IFERROR(__xludf.DUMMYFUNCTION("""COMPUTED_VALUE"""),"ISNOS ")</f>
        <v xml:space="preserve">ISNOS </v>
      </c>
      <c r="L769" s="40" t="str">
        <f ca="1">IFERROR(__xludf.DUMMYFUNCTION("""COMPUTED_VALUE"""),"PASANTÍAS")</f>
        <v>PASANTÍAS</v>
      </c>
      <c r="M769" s="40" t="str">
        <f ca="1">IFERROR(__xludf.DUMMYFUNCTION("""COMPUTED_VALUE"""),"ALCALDIA MUNICIPAL DEL  MUNICIPIO DE ISNOS ")</f>
        <v xml:space="preserve">ALCALDIA MUNICIPAL DEL  MUNICIPIO DE ISNOS </v>
      </c>
      <c r="N769" s="40" t="str">
        <f ca="1">IFERROR(__xludf.DUMMYFUNCTION("""COMPUTED_VALUE"""),"ISNOS ")</f>
        <v xml:space="preserve">ISNOS </v>
      </c>
      <c r="O769" s="40">
        <f ca="1">IFERROR(__xludf.DUMMYFUNCTION("""COMPUTED_VALUE"""),3232795856)</f>
        <v>3232795856</v>
      </c>
      <c r="P769" s="40" t="str">
        <f ca="1">IFERROR(__xludf.DUMMYFUNCTION("""COMPUTED_VALUE"""),"ISNOS ")</f>
        <v xml:space="preserve">ISNOS </v>
      </c>
      <c r="Q769" s="40" t="str">
        <f ca="1">IFERROR(__xludf.DUMMYFUNCTION("""COMPUTED_VALUE"""),"alcaldia@isnos- huila.gov.co")</f>
        <v>alcaldia@isnos- huila.gov.co</v>
      </c>
      <c r="R769" s="140">
        <f ca="1">IFERROR(__xludf.DUMMYFUNCTION("""COMPUTED_VALUE"""),44747)</f>
        <v>44747</v>
      </c>
      <c r="S769" s="140">
        <f ca="1">IFERROR(__xludf.DUMMYFUNCTION("""COMPUTED_VALUE"""),44930)</f>
        <v>44930</v>
      </c>
      <c r="T769" s="40"/>
      <c r="U769" s="40" t="str">
        <f ca="1">IFERROR(__xludf.DUMMYFUNCTION("""COMPUTED_VALUE"""),"DIANA ÁVILA - Asignada ")</f>
        <v xml:space="preserve">DIANA ÁVILA - Asignada </v>
      </c>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t="str">
        <f ca="1">IFERROR(__xludf.DUMMYFUNCTION("""COMPUTED_VALUE"""),"Procede_E_P")</f>
        <v>Procede_E_P</v>
      </c>
      <c r="AV769" s="40" t="str">
        <f ca="1">IFERROR(__xludf.DUMMYFUNCTION("""COMPUTED_VALUE"""),"EN FORMACION")</f>
        <v>EN FORMACION</v>
      </c>
      <c r="AW769" s="40" t="str">
        <f ca="1">IFERROR(__xludf.DUMMYFUNCTION("""COMPUTED_VALUE"""),"TIC")</f>
        <v>TIC</v>
      </c>
      <c r="AX769" s="141">
        <f ca="1">IFERROR(__xludf.DUMMYFUNCTION("""COMPUTED_VALUE"""),0)</f>
        <v>0</v>
      </c>
      <c r="AY769" s="40">
        <f ca="1">IFERROR(__xludf.DUMMYFUNCTION("""COMPUTED_VALUE"""),0)</f>
        <v>0</v>
      </c>
      <c r="AZ769" s="40">
        <f ca="1">IFERROR(__xludf.DUMMYFUNCTION("""COMPUTED_VALUE"""),1)</f>
        <v>1</v>
      </c>
      <c r="BA769" s="40">
        <f ca="1">IFERROR(__xludf.DUMMYFUNCTION("""COMPUTED_VALUE"""),0)</f>
        <v>0</v>
      </c>
      <c r="BB769" s="40">
        <f ca="1">IFERROR(__xludf.DUMMYFUNCTION("""COMPUTED_VALUE"""),0)</f>
        <v>0</v>
      </c>
      <c r="BC769" s="40">
        <f ca="1">IFERROR(__xludf.DUMMYFUNCTION("""COMPUTED_VALUE"""),1)</f>
        <v>1</v>
      </c>
      <c r="BD769" s="141">
        <f ca="1">IFERROR(__xludf.DUMMYFUNCTION("""COMPUTED_VALUE"""),44445)</f>
        <v>44445</v>
      </c>
      <c r="BE769" s="141">
        <f ca="1">IFERROR(__xludf.DUMMYFUNCTION("""COMPUTED_VALUE"""),44717)</f>
        <v>44717</v>
      </c>
      <c r="BF769" s="141">
        <f ca="1">IFERROR(__xludf.DUMMYFUNCTION("""COMPUTED_VALUE"""),44900)</f>
        <v>44900</v>
      </c>
      <c r="BG769" s="141">
        <f ca="1">IFERROR(__xludf.DUMMYFUNCTION("""COMPUTED_VALUE"""),45448)</f>
        <v>45448</v>
      </c>
      <c r="BH769" s="40" t="str">
        <f ca="1">IFERROR(__xludf.DUMMYFUNCTION("""COMPUTED_VALUE"""),"FICHA EN TIEMPO-18 MESES")</f>
        <v>FICHA EN TIEMPO-18 MESES</v>
      </c>
      <c r="BI769" s="40" t="str">
        <f ca="1">IFERROR(__xludf.DUMMYFUNCTION("""COMPUTED_VALUE"""),"En ejecucion")</f>
        <v>En ejecucion</v>
      </c>
      <c r="BJ769" s="40" t="str">
        <f ca="1">IFERROR(__xludf.DUMMYFUNCTION("""COMPUTED_VALUE"""),"Yamboro")</f>
        <v>Yamboro</v>
      </c>
      <c r="BK769" s="40"/>
      <c r="BL769" s="40"/>
    </row>
    <row r="770" spans="1:64" ht="13">
      <c r="A770" s="40"/>
      <c r="B770" s="40" t="str">
        <f ca="1">IFERROR(__xludf.DUMMYFUNCTION("""COMPUTED_VALUE"""),"FORMACIÓN 18/10/2022")</f>
        <v>FORMACIÓN 18/10/2022</v>
      </c>
      <c r="C770" s="40" t="str">
        <f ca="1">IFERROR(__xludf.DUMMYFUNCTION("""COMPUTED_VALUE"""),"LAURA CATALINA MUÑOZ CELIS")</f>
        <v>LAURA CATALINA MUÑOZ CELIS</v>
      </c>
      <c r="D770" s="40" t="str">
        <f ca="1">IFERROR(__xludf.DUMMYFUNCTION("""COMPUTED_VALUE"""),"TI")</f>
        <v>TI</v>
      </c>
      <c r="E770" s="40">
        <f ca="1">IFERROR(__xludf.DUMMYFUNCTION("""COMPUTED_VALUE"""),1080930294)</f>
        <v>1080930294</v>
      </c>
      <c r="F770" s="40">
        <f ca="1">IFERROR(__xludf.DUMMYFUNCTION("""COMPUTED_VALUE"""),2380830)</f>
        <v>2380830</v>
      </c>
      <c r="G770" s="40" t="str">
        <f ca="1">IFERROR(__xludf.DUMMYFUNCTION("""COMPUTED_VALUE"""),"TÉCNICO")</f>
        <v>TÉCNICO</v>
      </c>
      <c r="H770" s="40" t="str">
        <f ca="1">IFERROR(__xludf.DUMMYFUNCTION("""COMPUTED_VALUE"""),"SISTEMAS.")</f>
        <v>SISTEMAS.</v>
      </c>
      <c r="I770" s="40"/>
      <c r="J770" s="40"/>
      <c r="K770" s="40"/>
      <c r="L770" s="40" t="str">
        <f ca="1">IFERROR(__xludf.DUMMYFUNCTION("""COMPUTED_VALUE"""),"PASANTÍAS")</f>
        <v>PASANTÍAS</v>
      </c>
      <c r="M770" s="40" t="str">
        <f ca="1">IFERROR(__xludf.DUMMYFUNCTION("""COMPUTED_VALUE"""),"CORPORACIÓN CAMINAR HACIA EL FUTURO ")</f>
        <v xml:space="preserve">CORPORACIÓN CAMINAR HACIA EL FUTURO </v>
      </c>
      <c r="N770" s="40" t="str">
        <f ca="1">IFERROR(__xludf.DUMMYFUNCTION("""COMPUTED_VALUE"""),"CARRERA 4 N° 12 - 27 ")</f>
        <v xml:space="preserve">CARRERA 4 N° 12 - 27 </v>
      </c>
      <c r="O770" s="40"/>
      <c r="P770" s="40"/>
      <c r="Q770" s="40"/>
      <c r="R770" s="140">
        <f ca="1">IFERROR(__xludf.DUMMYFUNCTION("""COMPUTED_VALUE"""),44805)</f>
        <v>44805</v>
      </c>
      <c r="S770" s="140">
        <f ca="1">IFERROR(__xludf.DUMMYFUNCTION("""COMPUTED_VALUE"""),44985)</f>
        <v>44985</v>
      </c>
      <c r="T770" s="40"/>
      <c r="U770" s="40" t="str">
        <f ca="1">IFERROR(__xludf.DUMMYFUNCTION("""COMPUTED_VALUE"""),"DIANA ÁVILA - Asignada ")</f>
        <v xml:space="preserve">DIANA ÁVILA - Asignada </v>
      </c>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t="str">
        <f ca="1">IFERROR(__xludf.DUMMYFUNCTION("""COMPUTED_VALUE"""),"Procede_E_P")</f>
        <v>Procede_E_P</v>
      </c>
      <c r="AV770" s="40" t="str">
        <f ca="1">IFERROR(__xludf.DUMMYFUNCTION("""COMPUTED_VALUE"""),"EN FORMACION")</f>
        <v>EN FORMACION</v>
      </c>
      <c r="AW770" s="40" t="str">
        <f ca="1">IFERROR(__xludf.DUMMYFUNCTION("""COMPUTED_VALUE"""),"TIC")</f>
        <v>TIC</v>
      </c>
      <c r="AX770" s="141">
        <f ca="1">IFERROR(__xludf.DUMMYFUNCTION("""COMPUTED_VALUE"""),0)</f>
        <v>0</v>
      </c>
      <c r="AY770" s="40">
        <f ca="1">IFERROR(__xludf.DUMMYFUNCTION("""COMPUTED_VALUE"""),0)</f>
        <v>0</v>
      </c>
      <c r="AZ770" s="40">
        <f ca="1">IFERROR(__xludf.DUMMYFUNCTION("""COMPUTED_VALUE"""),1)</f>
        <v>1</v>
      </c>
      <c r="BA770" s="40">
        <f ca="1">IFERROR(__xludf.DUMMYFUNCTION("""COMPUTED_VALUE"""),0)</f>
        <v>0</v>
      </c>
      <c r="BB770" s="40">
        <f ca="1">IFERROR(__xludf.DUMMYFUNCTION("""COMPUTED_VALUE"""),0)</f>
        <v>0</v>
      </c>
      <c r="BC770" s="40">
        <f ca="1">IFERROR(__xludf.DUMMYFUNCTION("""COMPUTED_VALUE"""),1)</f>
        <v>1</v>
      </c>
      <c r="BD770" s="141">
        <f ca="1">IFERROR(__xludf.DUMMYFUNCTION("""COMPUTED_VALUE"""),44445)</f>
        <v>44445</v>
      </c>
      <c r="BE770" s="141">
        <f ca="1">IFERROR(__xludf.DUMMYFUNCTION("""COMPUTED_VALUE"""),44717)</f>
        <v>44717</v>
      </c>
      <c r="BF770" s="141">
        <f ca="1">IFERROR(__xludf.DUMMYFUNCTION("""COMPUTED_VALUE"""),44900)</f>
        <v>44900</v>
      </c>
      <c r="BG770" s="141">
        <f ca="1">IFERROR(__xludf.DUMMYFUNCTION("""COMPUTED_VALUE"""),45448)</f>
        <v>45448</v>
      </c>
      <c r="BH770" s="40" t="str">
        <f ca="1">IFERROR(__xludf.DUMMYFUNCTION("""COMPUTED_VALUE"""),"FICHA EN TIEMPO-18 MESES")</f>
        <v>FICHA EN TIEMPO-18 MESES</v>
      </c>
      <c r="BI770" s="40" t="str">
        <f ca="1">IFERROR(__xludf.DUMMYFUNCTION("""COMPUTED_VALUE"""),"En ejecucion")</f>
        <v>En ejecucion</v>
      </c>
      <c r="BJ770" s="40" t="str">
        <f ca="1">IFERROR(__xludf.DUMMYFUNCTION("""COMPUTED_VALUE"""),"Yamboro")</f>
        <v>Yamboro</v>
      </c>
      <c r="BK770" s="40"/>
      <c r="BL770" s="40"/>
    </row>
    <row r="771" spans="1:64" ht="13">
      <c r="A771" s="40"/>
      <c r="B771" s="40" t="str">
        <f ca="1">IFERROR(__xludf.DUMMYFUNCTION("""COMPUTED_VALUE"""),"FORMACIÓN 18/10/2022")</f>
        <v>FORMACIÓN 18/10/2022</v>
      </c>
      <c r="C771" s="40" t="str">
        <f ca="1">IFERROR(__xludf.DUMMYFUNCTION("""COMPUTED_VALUE"""),"YANIRA FERNANDA LEBAZA SANCHEZ")</f>
        <v>YANIRA FERNANDA LEBAZA SANCHEZ</v>
      </c>
      <c r="D771" s="40" t="str">
        <f ca="1">IFERROR(__xludf.DUMMYFUNCTION("""COMPUTED_VALUE"""),"CC")</f>
        <v>CC</v>
      </c>
      <c r="E771" s="40">
        <f ca="1">IFERROR(__xludf.DUMMYFUNCTION("""COMPUTED_VALUE"""),1083864064)</f>
        <v>1083864064</v>
      </c>
      <c r="F771" s="40">
        <f ca="1">IFERROR(__xludf.DUMMYFUNCTION("""COMPUTED_VALUE"""),2380830)</f>
        <v>2380830</v>
      </c>
      <c r="G771" s="40" t="str">
        <f ca="1">IFERROR(__xludf.DUMMYFUNCTION("""COMPUTED_VALUE"""),"TÉCNICO")</f>
        <v>TÉCNICO</v>
      </c>
      <c r="H771" s="40" t="str">
        <f ca="1">IFERROR(__xludf.DUMMYFUNCTION("""COMPUTED_VALUE"""),"SISTEMAS.")</f>
        <v>SISTEMAS.</v>
      </c>
      <c r="I771" s="40">
        <f ca="1">IFERROR(__xludf.DUMMYFUNCTION("""COMPUTED_VALUE"""),3222266461)</f>
        <v>3222266461</v>
      </c>
      <c r="J771" s="40" t="str">
        <f ca="1">IFERROR(__xludf.DUMMYFUNCTION("""COMPUTED_VALUE"""),"ylebaza0612@gmail.com")</f>
        <v>ylebaza0612@gmail.com</v>
      </c>
      <c r="K771" s="40" t="str">
        <f ca="1">IFERROR(__xludf.DUMMYFUNCTION("""COMPUTED_VALUE"""),"PITALITO")</f>
        <v>PITALITO</v>
      </c>
      <c r="L771" s="40" t="str">
        <f ca="1">IFERROR(__xludf.DUMMYFUNCTION("""COMPUTED_VALUE"""),"CONTRATO DE APRENDIZAJE ")</f>
        <v xml:space="preserve">CONTRATO DE APRENDIZAJE </v>
      </c>
      <c r="M771" s="40" t="str">
        <f ca="1">IFERROR(__xludf.DUMMYFUNCTION("""COMPUTED_VALUE"""),"COOPERATIVA DE TRANSPORTADORES DEL HUILA LIMITADA - COOTRANSHUILA LTDA")</f>
        <v>COOPERATIVA DE TRANSPORTADORES DEL HUILA LIMITADA - COOTRANSHUILA LTDA</v>
      </c>
      <c r="N771" s="40" t="str">
        <f ca="1">IFERROR(__xludf.DUMMYFUNCTION("""COMPUTED_VALUE"""),"AVENIDA 26 N° 4 - 82")</f>
        <v>AVENIDA 26 N° 4 - 82</v>
      </c>
      <c r="O771" s="40">
        <f ca="1">IFERROR(__xludf.DUMMYFUNCTION("""COMPUTED_VALUE"""),8756365)</f>
        <v>8756365</v>
      </c>
      <c r="P771" s="40"/>
      <c r="Q771" s="40"/>
      <c r="R771" s="140">
        <f ca="1">IFERROR(__xludf.DUMMYFUNCTION("""COMPUTED_VALUE"""),44769)</f>
        <v>44769</v>
      </c>
      <c r="S771" s="140">
        <f ca="1">IFERROR(__xludf.DUMMYFUNCTION("""COMPUTED_VALUE"""),44952)</f>
        <v>44952</v>
      </c>
      <c r="T771" s="40"/>
      <c r="U771" s="40" t="str">
        <f ca="1">IFERROR(__xludf.DUMMYFUNCTION("""COMPUTED_VALUE"""),"DIANA ÁVILA - Asignada ")</f>
        <v xml:space="preserve">DIANA ÁVILA - Asignada </v>
      </c>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t="str">
        <f ca="1">IFERROR(__xludf.DUMMYFUNCTION("""COMPUTED_VALUE"""),"Procede_E_P")</f>
        <v>Procede_E_P</v>
      </c>
      <c r="AV771" s="40" t="str">
        <f ca="1">IFERROR(__xludf.DUMMYFUNCTION("""COMPUTED_VALUE"""),"EN FORMACION")</f>
        <v>EN FORMACION</v>
      </c>
      <c r="AW771" s="40" t="str">
        <f ca="1">IFERROR(__xludf.DUMMYFUNCTION("""COMPUTED_VALUE"""),"TIC")</f>
        <v>TIC</v>
      </c>
      <c r="AX771" s="141">
        <f ca="1">IFERROR(__xludf.DUMMYFUNCTION("""COMPUTED_VALUE"""),0)</f>
        <v>0</v>
      </c>
      <c r="AY771" s="40">
        <f ca="1">IFERROR(__xludf.DUMMYFUNCTION("""COMPUTED_VALUE"""),0)</f>
        <v>0</v>
      </c>
      <c r="AZ771" s="40">
        <f ca="1">IFERROR(__xludf.DUMMYFUNCTION("""COMPUTED_VALUE"""),1)</f>
        <v>1</v>
      </c>
      <c r="BA771" s="40">
        <f ca="1">IFERROR(__xludf.DUMMYFUNCTION("""COMPUTED_VALUE"""),0)</f>
        <v>0</v>
      </c>
      <c r="BB771" s="40">
        <f ca="1">IFERROR(__xludf.DUMMYFUNCTION("""COMPUTED_VALUE"""),0)</f>
        <v>0</v>
      </c>
      <c r="BC771" s="40">
        <f ca="1">IFERROR(__xludf.DUMMYFUNCTION("""COMPUTED_VALUE"""),1)</f>
        <v>1</v>
      </c>
      <c r="BD771" s="141">
        <f ca="1">IFERROR(__xludf.DUMMYFUNCTION("""COMPUTED_VALUE"""),44445)</f>
        <v>44445</v>
      </c>
      <c r="BE771" s="141">
        <f ca="1">IFERROR(__xludf.DUMMYFUNCTION("""COMPUTED_VALUE"""),44717)</f>
        <v>44717</v>
      </c>
      <c r="BF771" s="141">
        <f ca="1">IFERROR(__xludf.DUMMYFUNCTION("""COMPUTED_VALUE"""),44900)</f>
        <v>44900</v>
      </c>
      <c r="BG771" s="141">
        <f ca="1">IFERROR(__xludf.DUMMYFUNCTION("""COMPUTED_VALUE"""),45448)</f>
        <v>45448</v>
      </c>
      <c r="BH771" s="40" t="str">
        <f ca="1">IFERROR(__xludf.DUMMYFUNCTION("""COMPUTED_VALUE"""),"FICHA EN TIEMPO-18 MESES")</f>
        <v>FICHA EN TIEMPO-18 MESES</v>
      </c>
      <c r="BI771" s="40" t="str">
        <f ca="1">IFERROR(__xludf.DUMMYFUNCTION("""COMPUTED_VALUE"""),"En ejecucion")</f>
        <v>En ejecucion</v>
      </c>
      <c r="BJ771" s="40" t="str">
        <f ca="1">IFERROR(__xludf.DUMMYFUNCTION("""COMPUTED_VALUE"""),"Yamboro")</f>
        <v>Yamboro</v>
      </c>
      <c r="BK771" s="40"/>
      <c r="BL771" s="40"/>
    </row>
    <row r="772" spans="1:64" ht="13">
      <c r="A772" s="40"/>
      <c r="B772" s="40" t="str">
        <f ca="1">IFERROR(__xludf.DUMMYFUNCTION("""COMPUTED_VALUE"""),"FORMACIÓN 18/10/2022")</f>
        <v>FORMACIÓN 18/10/2022</v>
      </c>
      <c r="C772" s="40" t="str">
        <f ca="1">IFERROR(__xludf.DUMMYFUNCTION("""COMPUTED_VALUE"""),"JHON JADER RODIRGUEZ ZUÑIGA")</f>
        <v>JHON JADER RODIRGUEZ ZUÑIGA</v>
      </c>
      <c r="D772" s="40" t="str">
        <f ca="1">IFERROR(__xludf.DUMMYFUNCTION("""COMPUTED_VALUE"""),"TI")</f>
        <v>TI</v>
      </c>
      <c r="E772" s="40">
        <f ca="1">IFERROR(__xludf.DUMMYFUNCTION("""COMPUTED_VALUE"""),1083866079)</f>
        <v>1083866079</v>
      </c>
      <c r="F772" s="40">
        <f ca="1">IFERROR(__xludf.DUMMYFUNCTION("""COMPUTED_VALUE"""),2380830)</f>
        <v>2380830</v>
      </c>
      <c r="G772" s="40" t="str">
        <f ca="1">IFERROR(__xludf.DUMMYFUNCTION("""COMPUTED_VALUE"""),"TÉCNICO")</f>
        <v>TÉCNICO</v>
      </c>
      <c r="H772" s="40" t="str">
        <f ca="1">IFERROR(__xludf.DUMMYFUNCTION("""COMPUTED_VALUE"""),"SISTEMAS.")</f>
        <v>SISTEMAS.</v>
      </c>
      <c r="I772" s="40"/>
      <c r="J772" s="40"/>
      <c r="K772" s="40"/>
      <c r="L772" s="40" t="str">
        <f ca="1">IFERROR(__xludf.DUMMYFUNCTION("""COMPUTED_VALUE"""),"PASANTÍAS")</f>
        <v>PASANTÍAS</v>
      </c>
      <c r="M772" s="40" t="str">
        <f ca="1">IFERROR(__xludf.DUMMYFUNCTION("""COMPUTED_VALUE"""),"ALCALDIA MUNICIPAL DEL  MUNICIPIO DE PALESTINA")</f>
        <v>ALCALDIA MUNICIPAL DEL  MUNICIPIO DE PALESTINA</v>
      </c>
      <c r="N772" s="40" t="str">
        <f ca="1">IFERROR(__xludf.DUMMYFUNCTION("""COMPUTED_VALUE"""),"CLL 3 N° 3-52")</f>
        <v>CLL 3 N° 3-52</v>
      </c>
      <c r="O772" s="40"/>
      <c r="P772" s="40" t="str">
        <f ca="1">IFERROR(__xludf.DUMMYFUNCTION("""COMPUTED_VALUE"""),"PALESTINA")</f>
        <v>PALESTINA</v>
      </c>
      <c r="Q772" s="40" t="str">
        <f ca="1">IFERROR(__xludf.DUMMYFUNCTION("""COMPUTED_VALUE"""),"secretariadegobierno@palestina-huila.gov.co")</f>
        <v>secretariadegobierno@palestina-huila.gov.co</v>
      </c>
      <c r="R772" s="140">
        <f ca="1">IFERROR(__xludf.DUMMYFUNCTION("""COMPUTED_VALUE"""),44867)</f>
        <v>44867</v>
      </c>
      <c r="S772" s="140">
        <f ca="1">IFERROR(__xludf.DUMMYFUNCTION("""COMPUTED_VALUE"""),45047)</f>
        <v>45047</v>
      </c>
      <c r="T772" s="40"/>
      <c r="U772" s="40" t="str">
        <f ca="1">IFERROR(__xludf.DUMMYFUNCTION("""COMPUTED_VALUE"""),"DIANA ÁVILA - Asignada ")</f>
        <v xml:space="preserve">DIANA ÁVILA - Asignada </v>
      </c>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t="str">
        <f ca="1">IFERROR(__xludf.DUMMYFUNCTION("""COMPUTED_VALUE"""),"Procede_E_P")</f>
        <v>Procede_E_P</v>
      </c>
      <c r="AV772" s="40" t="str">
        <f ca="1">IFERROR(__xludf.DUMMYFUNCTION("""COMPUTED_VALUE"""),"CONDICIONADO")</f>
        <v>CONDICIONADO</v>
      </c>
      <c r="AW772" s="40" t="str">
        <f ca="1">IFERROR(__xludf.DUMMYFUNCTION("""COMPUTED_VALUE"""),"TIC")</f>
        <v>TIC</v>
      </c>
      <c r="AX772" s="141">
        <f ca="1">IFERROR(__xludf.DUMMYFUNCTION("""COMPUTED_VALUE"""),0)</f>
        <v>0</v>
      </c>
      <c r="AY772" s="40">
        <f ca="1">IFERROR(__xludf.DUMMYFUNCTION("""COMPUTED_VALUE"""),0)</f>
        <v>0</v>
      </c>
      <c r="AZ772" s="40">
        <f ca="1">IFERROR(__xludf.DUMMYFUNCTION("""COMPUTED_VALUE"""),1)</f>
        <v>1</v>
      </c>
      <c r="BA772" s="40">
        <f ca="1">IFERROR(__xludf.DUMMYFUNCTION("""COMPUTED_VALUE"""),0)</f>
        <v>0</v>
      </c>
      <c r="BB772" s="40">
        <f ca="1">IFERROR(__xludf.DUMMYFUNCTION("""COMPUTED_VALUE"""),0)</f>
        <v>0</v>
      </c>
      <c r="BC772" s="40">
        <f ca="1">IFERROR(__xludf.DUMMYFUNCTION("""COMPUTED_VALUE"""),1)</f>
        <v>1</v>
      </c>
      <c r="BD772" s="141">
        <f ca="1">IFERROR(__xludf.DUMMYFUNCTION("""COMPUTED_VALUE"""),44445)</f>
        <v>44445</v>
      </c>
      <c r="BE772" s="141">
        <f ca="1">IFERROR(__xludf.DUMMYFUNCTION("""COMPUTED_VALUE"""),44717)</f>
        <v>44717</v>
      </c>
      <c r="BF772" s="141">
        <f ca="1">IFERROR(__xludf.DUMMYFUNCTION("""COMPUTED_VALUE"""),44900)</f>
        <v>44900</v>
      </c>
      <c r="BG772" s="141">
        <f ca="1">IFERROR(__xludf.DUMMYFUNCTION("""COMPUTED_VALUE"""),45448)</f>
        <v>45448</v>
      </c>
      <c r="BH772" s="40" t="str">
        <f ca="1">IFERROR(__xludf.DUMMYFUNCTION("""COMPUTED_VALUE"""),"FICHA EN TIEMPO-18 MESES")</f>
        <v>FICHA EN TIEMPO-18 MESES</v>
      </c>
      <c r="BI772" s="40" t="str">
        <f ca="1">IFERROR(__xludf.DUMMYFUNCTION("""COMPUTED_VALUE"""),"En ejecucion")</f>
        <v>En ejecucion</v>
      </c>
      <c r="BJ772" s="40" t="str">
        <f ca="1">IFERROR(__xludf.DUMMYFUNCTION("""COMPUTED_VALUE"""),"Yamboro")</f>
        <v>Yamboro</v>
      </c>
      <c r="BK772" s="40"/>
      <c r="BL772" s="40"/>
    </row>
    <row r="773" spans="1:64" ht="13">
      <c r="A773" s="40"/>
      <c r="B773" s="40" t="str">
        <f ca="1">IFERROR(__xludf.DUMMYFUNCTION("""COMPUTED_VALUE"""),"FORMACIÓN 18/10/2022")</f>
        <v>FORMACIÓN 18/10/2022</v>
      </c>
      <c r="C773" s="40" t="str">
        <f ca="1">IFERROR(__xludf.DUMMYFUNCTION("""COMPUTED_VALUE"""),"LUIS FERNANDO GIRON ROJAS")</f>
        <v>LUIS FERNANDO GIRON ROJAS</v>
      </c>
      <c r="D773" s="40" t="str">
        <f ca="1">IFERROR(__xludf.DUMMYFUNCTION("""COMPUTED_VALUE"""),"CC")</f>
        <v>CC</v>
      </c>
      <c r="E773" s="40">
        <f ca="1">IFERROR(__xludf.DUMMYFUNCTION("""COMPUTED_VALUE"""),1083921586)</f>
        <v>1083921586</v>
      </c>
      <c r="F773" s="40">
        <f ca="1">IFERROR(__xludf.DUMMYFUNCTION("""COMPUTED_VALUE"""),2380830)</f>
        <v>2380830</v>
      </c>
      <c r="G773" s="40" t="str">
        <f ca="1">IFERROR(__xludf.DUMMYFUNCTION("""COMPUTED_VALUE"""),"TÉCNICO")</f>
        <v>TÉCNICO</v>
      </c>
      <c r="H773" s="40" t="str">
        <f ca="1">IFERROR(__xludf.DUMMYFUNCTION("""COMPUTED_VALUE"""),"SISTEMAS.")</f>
        <v>SISTEMAS.</v>
      </c>
      <c r="I773" s="40"/>
      <c r="J773" s="40"/>
      <c r="K773" s="40"/>
      <c r="L773" s="40" t="str">
        <f ca="1">IFERROR(__xludf.DUMMYFUNCTION("""COMPUTED_VALUE"""),"NO HA INICIADO ETAPA PRODUCTIVA")</f>
        <v>NO HA INICIADO ETAPA PRODUCTIVA</v>
      </c>
      <c r="M773" s="40"/>
      <c r="N773" s="40"/>
      <c r="O773" s="40"/>
      <c r="P773" s="40"/>
      <c r="Q773" s="40"/>
      <c r="R773" s="140"/>
      <c r="S773" s="140"/>
      <c r="T773" s="40"/>
      <c r="U773" s="40" t="str">
        <f ca="1">IFERROR(__xludf.DUMMYFUNCTION("""COMPUTED_VALUE"""),"DIANA ÁVILA - Asignada ")</f>
        <v xml:space="preserve">DIANA ÁVILA - Asignada </v>
      </c>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t="str">
        <f ca="1">IFERROR(__xludf.DUMMYFUNCTION("""COMPUTED_VALUE"""),"Procede_E_P")</f>
        <v>Procede_E_P</v>
      </c>
      <c r="AV773" s="40" t="str">
        <f ca="1">IFERROR(__xludf.DUMMYFUNCTION("""COMPUTED_VALUE"""),"EN FORMACION")</f>
        <v>EN FORMACION</v>
      </c>
      <c r="AW773" s="40" t="str">
        <f ca="1">IFERROR(__xludf.DUMMYFUNCTION("""COMPUTED_VALUE"""),"TIC")</f>
        <v>TIC</v>
      </c>
      <c r="AX773" s="141">
        <f ca="1">IFERROR(__xludf.DUMMYFUNCTION("""COMPUTED_VALUE"""),0)</f>
        <v>0</v>
      </c>
      <c r="AY773" s="40">
        <f ca="1">IFERROR(__xludf.DUMMYFUNCTION("""COMPUTED_VALUE"""),0)</f>
        <v>0</v>
      </c>
      <c r="AZ773" s="40">
        <f ca="1">IFERROR(__xludf.DUMMYFUNCTION("""COMPUTED_VALUE"""),1)</f>
        <v>1</v>
      </c>
      <c r="BA773" s="40">
        <f ca="1">IFERROR(__xludf.DUMMYFUNCTION("""COMPUTED_VALUE"""),0)</f>
        <v>0</v>
      </c>
      <c r="BB773" s="40">
        <f ca="1">IFERROR(__xludf.DUMMYFUNCTION("""COMPUTED_VALUE"""),0)</f>
        <v>0</v>
      </c>
      <c r="BC773" s="40">
        <f ca="1">IFERROR(__xludf.DUMMYFUNCTION("""COMPUTED_VALUE"""),1)</f>
        <v>1</v>
      </c>
      <c r="BD773" s="141">
        <f ca="1">IFERROR(__xludf.DUMMYFUNCTION("""COMPUTED_VALUE"""),44445)</f>
        <v>44445</v>
      </c>
      <c r="BE773" s="141">
        <f ca="1">IFERROR(__xludf.DUMMYFUNCTION("""COMPUTED_VALUE"""),44717)</f>
        <v>44717</v>
      </c>
      <c r="BF773" s="141">
        <f ca="1">IFERROR(__xludf.DUMMYFUNCTION("""COMPUTED_VALUE"""),44900)</f>
        <v>44900</v>
      </c>
      <c r="BG773" s="141">
        <f ca="1">IFERROR(__xludf.DUMMYFUNCTION("""COMPUTED_VALUE"""),45448)</f>
        <v>45448</v>
      </c>
      <c r="BH773" s="40" t="str">
        <f ca="1">IFERROR(__xludf.DUMMYFUNCTION("""COMPUTED_VALUE"""),"FICHA EN TIEMPO-18 MESES")</f>
        <v>FICHA EN TIEMPO-18 MESES</v>
      </c>
      <c r="BI773" s="40" t="str">
        <f ca="1">IFERROR(__xludf.DUMMYFUNCTION("""COMPUTED_VALUE"""),"En ejecucion")</f>
        <v>En ejecucion</v>
      </c>
      <c r="BJ773" s="40" t="str">
        <f ca="1">IFERROR(__xludf.DUMMYFUNCTION("""COMPUTED_VALUE"""),"Yamboro")</f>
        <v>Yamboro</v>
      </c>
      <c r="BK773" s="40"/>
      <c r="BL773" s="40"/>
    </row>
    <row r="774" spans="1:64" ht="13">
      <c r="A774" s="40"/>
      <c r="B774" s="40" t="str">
        <f ca="1">IFERROR(__xludf.DUMMYFUNCTION("""COMPUTED_VALUE"""),"FORMACIÓN 18/10/2022")</f>
        <v>FORMACIÓN 18/10/2022</v>
      </c>
      <c r="C774" s="40" t="str">
        <f ca="1">IFERROR(__xludf.DUMMYFUNCTION("""COMPUTED_VALUE"""),"OSCAR JAVIER REGALADO ANDRADE")</f>
        <v>OSCAR JAVIER REGALADO ANDRADE</v>
      </c>
      <c r="D774" s="40" t="str">
        <f ca="1">IFERROR(__xludf.DUMMYFUNCTION("""COMPUTED_VALUE"""),"CC")</f>
        <v>CC</v>
      </c>
      <c r="E774" s="40">
        <f ca="1">IFERROR(__xludf.DUMMYFUNCTION("""COMPUTED_VALUE"""),1126448476)</f>
        <v>1126448476</v>
      </c>
      <c r="F774" s="40">
        <f ca="1">IFERROR(__xludf.DUMMYFUNCTION("""COMPUTED_VALUE"""),2380830)</f>
        <v>2380830</v>
      </c>
      <c r="G774" s="40" t="str">
        <f ca="1">IFERROR(__xludf.DUMMYFUNCTION("""COMPUTED_VALUE"""),"TÉCNICO")</f>
        <v>TÉCNICO</v>
      </c>
      <c r="H774" s="40" t="str">
        <f ca="1">IFERROR(__xludf.DUMMYFUNCTION("""COMPUTED_VALUE"""),"SISTEMAS.")</f>
        <v>SISTEMAS.</v>
      </c>
      <c r="I774" s="40"/>
      <c r="J774" s="40"/>
      <c r="K774" s="40"/>
      <c r="L774" s="40" t="str">
        <f ca="1">IFERROR(__xludf.DUMMYFUNCTION("""COMPUTED_VALUE"""),"NO HA INICIADO ETAPA PRODUCTIVA")</f>
        <v>NO HA INICIADO ETAPA PRODUCTIVA</v>
      </c>
      <c r="M774" s="40"/>
      <c r="N774" s="40"/>
      <c r="O774" s="40"/>
      <c r="P774" s="40"/>
      <c r="Q774" s="40"/>
      <c r="R774" s="140"/>
      <c r="S774" s="140"/>
      <c r="T774" s="40"/>
      <c r="U774" s="40" t="str">
        <f ca="1">IFERROR(__xludf.DUMMYFUNCTION("""COMPUTED_VALUE"""),"DIANA ÁVILA - Asignada ")</f>
        <v xml:space="preserve">DIANA ÁVILA - Asignada </v>
      </c>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t="str">
        <f ca="1">IFERROR(__xludf.DUMMYFUNCTION("""COMPUTED_VALUE"""),"Procede_E_P")</f>
        <v>Procede_E_P</v>
      </c>
      <c r="AV774" s="40" t="str">
        <f ca="1">IFERROR(__xludf.DUMMYFUNCTION("""COMPUTED_VALUE"""),"EN FORMACION")</f>
        <v>EN FORMACION</v>
      </c>
      <c r="AW774" s="40" t="str">
        <f ca="1">IFERROR(__xludf.DUMMYFUNCTION("""COMPUTED_VALUE"""),"TIC")</f>
        <v>TIC</v>
      </c>
      <c r="AX774" s="141">
        <f ca="1">IFERROR(__xludf.DUMMYFUNCTION("""COMPUTED_VALUE"""),0)</f>
        <v>0</v>
      </c>
      <c r="AY774" s="40">
        <f ca="1">IFERROR(__xludf.DUMMYFUNCTION("""COMPUTED_VALUE"""),0)</f>
        <v>0</v>
      </c>
      <c r="AZ774" s="40">
        <f ca="1">IFERROR(__xludf.DUMMYFUNCTION("""COMPUTED_VALUE"""),1)</f>
        <v>1</v>
      </c>
      <c r="BA774" s="40">
        <f ca="1">IFERROR(__xludf.DUMMYFUNCTION("""COMPUTED_VALUE"""),0)</f>
        <v>0</v>
      </c>
      <c r="BB774" s="40">
        <f ca="1">IFERROR(__xludf.DUMMYFUNCTION("""COMPUTED_VALUE"""),0)</f>
        <v>0</v>
      </c>
      <c r="BC774" s="40">
        <f ca="1">IFERROR(__xludf.DUMMYFUNCTION("""COMPUTED_VALUE"""),1)</f>
        <v>1</v>
      </c>
      <c r="BD774" s="141">
        <f ca="1">IFERROR(__xludf.DUMMYFUNCTION("""COMPUTED_VALUE"""),44445)</f>
        <v>44445</v>
      </c>
      <c r="BE774" s="141">
        <f ca="1">IFERROR(__xludf.DUMMYFUNCTION("""COMPUTED_VALUE"""),44717)</f>
        <v>44717</v>
      </c>
      <c r="BF774" s="141">
        <f ca="1">IFERROR(__xludf.DUMMYFUNCTION("""COMPUTED_VALUE"""),44900)</f>
        <v>44900</v>
      </c>
      <c r="BG774" s="141">
        <f ca="1">IFERROR(__xludf.DUMMYFUNCTION("""COMPUTED_VALUE"""),45448)</f>
        <v>45448</v>
      </c>
      <c r="BH774" s="40" t="str">
        <f ca="1">IFERROR(__xludf.DUMMYFUNCTION("""COMPUTED_VALUE"""),"FICHA EN TIEMPO-18 MESES")</f>
        <v>FICHA EN TIEMPO-18 MESES</v>
      </c>
      <c r="BI774" s="40" t="str">
        <f ca="1">IFERROR(__xludf.DUMMYFUNCTION("""COMPUTED_VALUE"""),"En ejecucion")</f>
        <v>En ejecucion</v>
      </c>
      <c r="BJ774" s="40" t="str">
        <f ca="1">IFERROR(__xludf.DUMMYFUNCTION("""COMPUTED_VALUE"""),"Yamboro")</f>
        <v>Yamboro</v>
      </c>
      <c r="BK774" s="40"/>
      <c r="BL774" s="40"/>
    </row>
    <row r="775" spans="1:64" ht="13">
      <c r="A775" s="40"/>
      <c r="B775" s="40" t="str">
        <f ca="1">IFERROR(__xludf.DUMMYFUNCTION("""COMPUTED_VALUE"""),"FORMACIÓN 18/10/2022")</f>
        <v>FORMACIÓN 18/10/2022</v>
      </c>
      <c r="C775" s="40" t="str">
        <f ca="1">IFERROR(__xludf.DUMMYFUNCTION("""COMPUTED_VALUE"""),"JEHINS MENESES MUÑOZ")</f>
        <v>JEHINS MENESES MUÑOZ</v>
      </c>
      <c r="D775" s="40" t="str">
        <f ca="1">IFERROR(__xludf.DUMMYFUNCTION("""COMPUTED_VALUE"""),"CC")</f>
        <v>CC</v>
      </c>
      <c r="E775" s="40">
        <f ca="1">IFERROR(__xludf.DUMMYFUNCTION("""COMPUTED_VALUE"""),1004269024)</f>
        <v>1004269024</v>
      </c>
      <c r="F775" s="40">
        <f ca="1">IFERROR(__xludf.DUMMYFUNCTION("""COMPUTED_VALUE"""),2414953)</f>
        <v>2414953</v>
      </c>
      <c r="G775" s="40" t="str">
        <f ca="1">IFERROR(__xludf.DUMMYFUNCTION("""COMPUTED_VALUE"""),"TÉCNICO")</f>
        <v>TÉCNICO</v>
      </c>
      <c r="H775" s="40" t="str">
        <f ca="1">IFERROR(__xludf.DUMMYFUNCTION("""COMPUTED_VALUE"""),"PROGRAMACION DE SOFTWARE .")</f>
        <v>PROGRAMACION DE SOFTWARE .</v>
      </c>
      <c r="I775" s="40">
        <f ca="1">IFERROR(__xludf.DUMMYFUNCTION("""COMPUTED_VALUE"""),3212506508)</f>
        <v>3212506508</v>
      </c>
      <c r="J775" s="40" t="str">
        <f ca="1">IFERROR(__xludf.DUMMYFUNCTION("""COMPUTED_VALUE"""),"jheinsmeneses0@misena.edu.co")</f>
        <v>jheinsmeneses0@misena.edu.co</v>
      </c>
      <c r="K775" s="40"/>
      <c r="L775" s="40" t="str">
        <f ca="1">IFERROR(__xludf.DUMMYFUNCTION("""COMPUTED_VALUE"""),"PASANTÍAS")</f>
        <v>PASANTÍAS</v>
      </c>
      <c r="M775" s="40" t="str">
        <f ca="1">IFERROR(__xludf.DUMMYFUNCTION("""COMPUTED_VALUE"""),"ALCALDIA MUNICIPAL DE SALADOBLANCO ")</f>
        <v xml:space="preserve">ALCALDIA MUNICIPAL DE SALADOBLANCO </v>
      </c>
      <c r="N775" s="40" t="str">
        <f ca="1">IFERROR(__xludf.DUMMYFUNCTION("""COMPUTED_VALUE"""),"CALLE 2 N° 5-64 CENTRO ")</f>
        <v xml:space="preserve">CALLE 2 N° 5-64 CENTRO </v>
      </c>
      <c r="O775" s="40">
        <f ca="1">IFERROR(__xludf.DUMMYFUNCTION("""COMPUTED_VALUE"""),3142957484)</f>
        <v>3142957484</v>
      </c>
      <c r="P775" s="40" t="str">
        <f ca="1">IFERROR(__xludf.DUMMYFUNCTION("""COMPUTED_VALUE"""),"SALADOBLANCO")</f>
        <v>SALADOBLANCO</v>
      </c>
      <c r="Q775" s="40" t="str">
        <f ca="1">IFERROR(__xludf.DUMMYFUNCTION("""COMPUTED_VALUE"""),"secretariadegobierno@saladoblanco-huila .gov.co")</f>
        <v>secretariadegobierno@saladoblanco-huila .gov.co</v>
      </c>
      <c r="R775" s="140"/>
      <c r="S775" s="140">
        <f ca="1">IFERROR(__xludf.DUMMYFUNCTION("""COMPUTED_VALUE"""),44938)</f>
        <v>44938</v>
      </c>
      <c r="T775" s="40"/>
      <c r="U775" s="40" t="s">
        <v>1740</v>
      </c>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t="str">
        <f ca="1">IFERROR(__xludf.DUMMYFUNCTION("""COMPUTED_VALUE"""),"Procede_E_P")</f>
        <v>Procede_E_P</v>
      </c>
      <c r="AV775" s="40" t="str">
        <f ca="1">IFERROR(__xludf.DUMMYFUNCTION("""COMPUTED_VALUE"""),"EN FORMACION")</f>
        <v>EN FORMACION</v>
      </c>
      <c r="AW775" s="40" t="str">
        <f ca="1">IFERROR(__xludf.DUMMYFUNCTION("""COMPUTED_VALUE"""),"TIC")</f>
        <v>TIC</v>
      </c>
      <c r="AX775" s="141">
        <f ca="1">IFERROR(__xludf.DUMMYFUNCTION("""COMPUTED_VALUE"""),0)</f>
        <v>0</v>
      </c>
      <c r="AY775" s="40">
        <f ca="1">IFERROR(__xludf.DUMMYFUNCTION("""COMPUTED_VALUE"""),0)</f>
        <v>0</v>
      </c>
      <c r="AZ775" s="40">
        <f ca="1">IFERROR(__xludf.DUMMYFUNCTION("""COMPUTED_VALUE"""),1)</f>
        <v>1</v>
      </c>
      <c r="BA775" s="40">
        <f ca="1">IFERROR(__xludf.DUMMYFUNCTION("""COMPUTED_VALUE"""),0)</f>
        <v>0</v>
      </c>
      <c r="BB775" s="40">
        <f ca="1">IFERROR(__xludf.DUMMYFUNCTION("""COMPUTED_VALUE"""),0)</f>
        <v>0</v>
      </c>
      <c r="BC775" s="40">
        <f ca="1">IFERROR(__xludf.DUMMYFUNCTION("""COMPUTED_VALUE"""),1)</f>
        <v>1</v>
      </c>
      <c r="BD775" s="141">
        <f ca="1">IFERROR(__xludf.DUMMYFUNCTION("""COMPUTED_VALUE"""),44459)</f>
        <v>44459</v>
      </c>
      <c r="BE775" s="141">
        <f ca="1">IFERROR(__xludf.DUMMYFUNCTION("""COMPUTED_VALUE"""),44721)</f>
        <v>44721</v>
      </c>
      <c r="BF775" s="141">
        <f ca="1">IFERROR(__xludf.DUMMYFUNCTION("""COMPUTED_VALUE"""),44904)</f>
        <v>44904</v>
      </c>
      <c r="BG775" s="141">
        <f ca="1">IFERROR(__xludf.DUMMYFUNCTION("""COMPUTED_VALUE"""),45452)</f>
        <v>45452</v>
      </c>
      <c r="BH775" s="40" t="str">
        <f ca="1">IFERROR(__xludf.DUMMYFUNCTION("""COMPUTED_VALUE"""),"FICHA EN TIEMPO-18 MESES")</f>
        <v>FICHA EN TIEMPO-18 MESES</v>
      </c>
      <c r="BI775" s="40" t="str">
        <f ca="1">IFERROR(__xludf.DUMMYFUNCTION("""COMPUTED_VALUE"""),"En ejecucion")</f>
        <v>En ejecucion</v>
      </c>
      <c r="BJ775" s="40" t="str">
        <f ca="1">IFERROR(__xludf.DUMMYFUNCTION("""COMPUTED_VALUE"""),"Yamboro")</f>
        <v>Yamboro</v>
      </c>
      <c r="BK775" s="40"/>
      <c r="BL775" s="40"/>
    </row>
    <row r="776" spans="1:64" ht="13">
      <c r="A776" s="40"/>
      <c r="B776" s="40" t="str">
        <f ca="1">IFERROR(__xludf.DUMMYFUNCTION("""COMPUTED_VALUE"""),"FORMACIÓN 18/10/2022")</f>
        <v>FORMACIÓN 18/10/2022</v>
      </c>
      <c r="C776" s="40" t="str">
        <f ca="1">IFERROR(__xludf.DUMMYFUNCTION("""COMPUTED_VALUE"""),"NELSON DAMIAN HOYOS ALVAREZ")</f>
        <v>NELSON DAMIAN HOYOS ALVAREZ</v>
      </c>
      <c r="D776" s="40" t="str">
        <f ca="1">IFERROR(__xludf.DUMMYFUNCTION("""COMPUTED_VALUE"""),"CC")</f>
        <v>CC</v>
      </c>
      <c r="E776" s="40">
        <f ca="1">IFERROR(__xludf.DUMMYFUNCTION("""COMPUTED_VALUE"""),1004269105)</f>
        <v>1004269105</v>
      </c>
      <c r="F776" s="40">
        <f ca="1">IFERROR(__xludf.DUMMYFUNCTION("""COMPUTED_VALUE"""),2414953)</f>
        <v>2414953</v>
      </c>
      <c r="G776" s="40" t="str">
        <f ca="1">IFERROR(__xludf.DUMMYFUNCTION("""COMPUTED_VALUE"""),"TÉCNICO")</f>
        <v>TÉCNICO</v>
      </c>
      <c r="H776" s="40" t="str">
        <f ca="1">IFERROR(__xludf.DUMMYFUNCTION("""COMPUTED_VALUE"""),"PROGRAMACION DE SOFTWARE .")</f>
        <v>PROGRAMACION DE SOFTWARE .</v>
      </c>
      <c r="I776" s="40"/>
      <c r="J776" s="40"/>
      <c r="K776" s="40"/>
      <c r="L776" s="40" t="str">
        <f ca="1">IFERROR(__xludf.DUMMYFUNCTION("""COMPUTED_VALUE"""),"NO HA INICIADO ETAPA PRODUCTIVA")</f>
        <v>NO HA INICIADO ETAPA PRODUCTIVA</v>
      </c>
      <c r="M776" s="40"/>
      <c r="N776" s="40"/>
      <c r="O776" s="40"/>
      <c r="P776" s="40"/>
      <c r="Q776" s="40"/>
      <c r="R776" s="140"/>
      <c r="S776" s="140"/>
      <c r="T776" s="40"/>
      <c r="U776" s="40" t="str">
        <f ca="1">IFERROR(__xludf.DUMMYFUNCTION("""COMPUTED_VALUE"""),"DIANA ÁVILA - Asignada ")</f>
        <v xml:space="preserve">DIANA ÁVILA - Asignada </v>
      </c>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t="str">
        <f ca="1">IFERROR(__xludf.DUMMYFUNCTION("""COMPUTED_VALUE"""),"Procede_E_P")</f>
        <v>Procede_E_P</v>
      </c>
      <c r="AV776" s="40" t="str">
        <f ca="1">IFERROR(__xludf.DUMMYFUNCTION("""COMPUTED_VALUE"""),"EN FORMACION")</f>
        <v>EN FORMACION</v>
      </c>
      <c r="AW776" s="40" t="str">
        <f ca="1">IFERROR(__xludf.DUMMYFUNCTION("""COMPUTED_VALUE"""),"TIC")</f>
        <v>TIC</v>
      </c>
      <c r="AX776" s="141">
        <f ca="1">IFERROR(__xludf.DUMMYFUNCTION("""COMPUTED_VALUE"""),0)</f>
        <v>0</v>
      </c>
      <c r="AY776" s="40">
        <f ca="1">IFERROR(__xludf.DUMMYFUNCTION("""COMPUTED_VALUE"""),0)</f>
        <v>0</v>
      </c>
      <c r="AZ776" s="40">
        <f ca="1">IFERROR(__xludf.DUMMYFUNCTION("""COMPUTED_VALUE"""),1)</f>
        <v>1</v>
      </c>
      <c r="BA776" s="40">
        <f ca="1">IFERROR(__xludf.DUMMYFUNCTION("""COMPUTED_VALUE"""),0)</f>
        <v>0</v>
      </c>
      <c r="BB776" s="40">
        <f ca="1">IFERROR(__xludf.DUMMYFUNCTION("""COMPUTED_VALUE"""),0)</f>
        <v>0</v>
      </c>
      <c r="BC776" s="40">
        <f ca="1">IFERROR(__xludf.DUMMYFUNCTION("""COMPUTED_VALUE"""),1)</f>
        <v>1</v>
      </c>
      <c r="BD776" s="141">
        <f ca="1">IFERROR(__xludf.DUMMYFUNCTION("""COMPUTED_VALUE"""),44459)</f>
        <v>44459</v>
      </c>
      <c r="BE776" s="141">
        <f ca="1">IFERROR(__xludf.DUMMYFUNCTION("""COMPUTED_VALUE"""),44721)</f>
        <v>44721</v>
      </c>
      <c r="BF776" s="141">
        <f ca="1">IFERROR(__xludf.DUMMYFUNCTION("""COMPUTED_VALUE"""),44904)</f>
        <v>44904</v>
      </c>
      <c r="BG776" s="141">
        <f ca="1">IFERROR(__xludf.DUMMYFUNCTION("""COMPUTED_VALUE"""),45452)</f>
        <v>45452</v>
      </c>
      <c r="BH776" s="40" t="str">
        <f ca="1">IFERROR(__xludf.DUMMYFUNCTION("""COMPUTED_VALUE"""),"FICHA EN TIEMPO-18 MESES")</f>
        <v>FICHA EN TIEMPO-18 MESES</v>
      </c>
      <c r="BI776" s="40" t="str">
        <f ca="1">IFERROR(__xludf.DUMMYFUNCTION("""COMPUTED_VALUE"""),"En ejecucion")</f>
        <v>En ejecucion</v>
      </c>
      <c r="BJ776" s="40" t="str">
        <f ca="1">IFERROR(__xludf.DUMMYFUNCTION("""COMPUTED_VALUE"""),"Yamboro")</f>
        <v>Yamboro</v>
      </c>
      <c r="BK776" s="40"/>
      <c r="BL776" s="40"/>
    </row>
    <row r="777" spans="1:64" ht="13">
      <c r="A777" s="40"/>
      <c r="B777" s="40" t="str">
        <f ca="1">IFERROR(__xludf.DUMMYFUNCTION("""COMPUTED_VALUE"""),"FORMACIÓN 18/10/2022")</f>
        <v>FORMACIÓN 18/10/2022</v>
      </c>
      <c r="C777" s="40" t="str">
        <f ca="1">IFERROR(__xludf.DUMMYFUNCTION("""COMPUTED_VALUE"""),"ANYI PAOLA TULCAN ORTEGA")</f>
        <v>ANYI PAOLA TULCAN ORTEGA</v>
      </c>
      <c r="D777" s="40" t="str">
        <f ca="1">IFERROR(__xludf.DUMMYFUNCTION("""COMPUTED_VALUE"""),"CC")</f>
        <v>CC</v>
      </c>
      <c r="E777" s="40">
        <f ca="1">IFERROR(__xludf.DUMMYFUNCTION("""COMPUTED_VALUE"""),1004269154)</f>
        <v>1004269154</v>
      </c>
      <c r="F777" s="40">
        <f ca="1">IFERROR(__xludf.DUMMYFUNCTION("""COMPUTED_VALUE"""),2414953)</f>
        <v>2414953</v>
      </c>
      <c r="G777" s="40" t="str">
        <f ca="1">IFERROR(__xludf.DUMMYFUNCTION("""COMPUTED_VALUE"""),"TÉCNICO")</f>
        <v>TÉCNICO</v>
      </c>
      <c r="H777" s="40" t="str">
        <f ca="1">IFERROR(__xludf.DUMMYFUNCTION("""COMPUTED_VALUE"""),"PROGRAMACION DE SOFTWARE .")</f>
        <v>PROGRAMACION DE SOFTWARE .</v>
      </c>
      <c r="I777" s="40"/>
      <c r="J777" s="40"/>
      <c r="K777" s="40"/>
      <c r="L777" s="40" t="str">
        <f ca="1">IFERROR(__xludf.DUMMYFUNCTION("""COMPUTED_VALUE"""),"NO HA INICIADO ETAPA PRODUCTIVA")</f>
        <v>NO HA INICIADO ETAPA PRODUCTIVA</v>
      </c>
      <c r="M777" s="40"/>
      <c r="N777" s="40"/>
      <c r="O777" s="40"/>
      <c r="P777" s="40"/>
      <c r="Q777" s="40"/>
      <c r="R777" s="140"/>
      <c r="S777" s="140"/>
      <c r="T777" s="40"/>
      <c r="U777" s="40" t="str">
        <f ca="1">IFERROR(__xludf.DUMMYFUNCTION("""COMPUTED_VALUE"""),"DIANA ÁVILA - Asignada ")</f>
        <v xml:space="preserve">DIANA ÁVILA - Asignada </v>
      </c>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t="str">
        <f ca="1">IFERROR(__xludf.DUMMYFUNCTION("""COMPUTED_VALUE"""),"Procede_E_P")</f>
        <v>Procede_E_P</v>
      </c>
      <c r="AV777" s="40" t="str">
        <f ca="1">IFERROR(__xludf.DUMMYFUNCTION("""COMPUTED_VALUE"""),"EN FORMACION")</f>
        <v>EN FORMACION</v>
      </c>
      <c r="AW777" s="40" t="str">
        <f ca="1">IFERROR(__xludf.DUMMYFUNCTION("""COMPUTED_VALUE"""),"TIC")</f>
        <v>TIC</v>
      </c>
      <c r="AX777" s="141">
        <f ca="1">IFERROR(__xludf.DUMMYFUNCTION("""COMPUTED_VALUE"""),0)</f>
        <v>0</v>
      </c>
      <c r="AY777" s="40">
        <f ca="1">IFERROR(__xludf.DUMMYFUNCTION("""COMPUTED_VALUE"""),0)</f>
        <v>0</v>
      </c>
      <c r="AZ777" s="40">
        <f ca="1">IFERROR(__xludf.DUMMYFUNCTION("""COMPUTED_VALUE"""),1)</f>
        <v>1</v>
      </c>
      <c r="BA777" s="40">
        <f ca="1">IFERROR(__xludf.DUMMYFUNCTION("""COMPUTED_VALUE"""),0)</f>
        <v>0</v>
      </c>
      <c r="BB777" s="40">
        <f ca="1">IFERROR(__xludf.DUMMYFUNCTION("""COMPUTED_VALUE"""),0)</f>
        <v>0</v>
      </c>
      <c r="BC777" s="40">
        <f ca="1">IFERROR(__xludf.DUMMYFUNCTION("""COMPUTED_VALUE"""),1)</f>
        <v>1</v>
      </c>
      <c r="BD777" s="141">
        <f ca="1">IFERROR(__xludf.DUMMYFUNCTION("""COMPUTED_VALUE"""),44459)</f>
        <v>44459</v>
      </c>
      <c r="BE777" s="141">
        <f ca="1">IFERROR(__xludf.DUMMYFUNCTION("""COMPUTED_VALUE"""),44721)</f>
        <v>44721</v>
      </c>
      <c r="BF777" s="141">
        <f ca="1">IFERROR(__xludf.DUMMYFUNCTION("""COMPUTED_VALUE"""),44904)</f>
        <v>44904</v>
      </c>
      <c r="BG777" s="141">
        <f ca="1">IFERROR(__xludf.DUMMYFUNCTION("""COMPUTED_VALUE"""),45452)</f>
        <v>45452</v>
      </c>
      <c r="BH777" s="40" t="str">
        <f ca="1">IFERROR(__xludf.DUMMYFUNCTION("""COMPUTED_VALUE"""),"FICHA EN TIEMPO-18 MESES")</f>
        <v>FICHA EN TIEMPO-18 MESES</v>
      </c>
      <c r="BI777" s="40" t="str">
        <f ca="1">IFERROR(__xludf.DUMMYFUNCTION("""COMPUTED_VALUE"""),"En ejecucion")</f>
        <v>En ejecucion</v>
      </c>
      <c r="BJ777" s="40" t="str">
        <f ca="1">IFERROR(__xludf.DUMMYFUNCTION("""COMPUTED_VALUE"""),"Yamboro")</f>
        <v>Yamboro</v>
      </c>
      <c r="BK777" s="40"/>
      <c r="BL777" s="40"/>
    </row>
    <row r="778" spans="1:64" ht="13">
      <c r="A778" s="40"/>
      <c r="B778" s="40" t="str">
        <f ca="1">IFERROR(__xludf.DUMMYFUNCTION("""COMPUTED_VALUE"""),"FORMACIÓN 18/10/2022")</f>
        <v>FORMACIÓN 18/10/2022</v>
      </c>
      <c r="C778" s="40" t="str">
        <f ca="1">IFERROR(__xludf.DUMMYFUNCTION("""COMPUTED_VALUE"""),"YEINER ESTEBAN CORDOBA GOMEZ")</f>
        <v>YEINER ESTEBAN CORDOBA GOMEZ</v>
      </c>
      <c r="D778" s="40" t="str">
        <f ca="1">IFERROR(__xludf.DUMMYFUNCTION("""COMPUTED_VALUE"""),"CC")</f>
        <v>CC</v>
      </c>
      <c r="E778" s="40">
        <f ca="1">IFERROR(__xludf.DUMMYFUNCTION("""COMPUTED_VALUE"""),1004269261)</f>
        <v>1004269261</v>
      </c>
      <c r="F778" s="40">
        <f ca="1">IFERROR(__xludf.DUMMYFUNCTION("""COMPUTED_VALUE"""),2414953)</f>
        <v>2414953</v>
      </c>
      <c r="G778" s="40" t="str">
        <f ca="1">IFERROR(__xludf.DUMMYFUNCTION("""COMPUTED_VALUE"""),"TÉCNICO")</f>
        <v>TÉCNICO</v>
      </c>
      <c r="H778" s="40" t="str">
        <f ca="1">IFERROR(__xludf.DUMMYFUNCTION("""COMPUTED_VALUE"""),"PROGRAMACION DE SOFTWARE .")</f>
        <v>PROGRAMACION DE SOFTWARE .</v>
      </c>
      <c r="I778" s="40"/>
      <c r="J778" s="40"/>
      <c r="K778" s="40"/>
      <c r="L778" s="40" t="str">
        <f ca="1">IFERROR(__xludf.DUMMYFUNCTION("""COMPUTED_VALUE"""),"NO HA INICIADO ETAPA PRODUCTIVA")</f>
        <v>NO HA INICIADO ETAPA PRODUCTIVA</v>
      </c>
      <c r="M778" s="40"/>
      <c r="N778" s="40"/>
      <c r="O778" s="40"/>
      <c r="P778" s="40"/>
      <c r="Q778" s="40"/>
      <c r="R778" s="140"/>
      <c r="S778" s="140"/>
      <c r="T778" s="40"/>
      <c r="U778" s="40" t="str">
        <f ca="1">IFERROR(__xludf.DUMMYFUNCTION("""COMPUTED_VALUE"""),"DIANA ÁVILA - Asignada ")</f>
        <v xml:space="preserve">DIANA ÁVILA - Asignada </v>
      </c>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t="str">
        <f ca="1">IFERROR(__xludf.DUMMYFUNCTION("""COMPUTED_VALUE"""),"Procede_E_P")</f>
        <v>Procede_E_P</v>
      </c>
      <c r="AV778" s="40" t="str">
        <f ca="1">IFERROR(__xludf.DUMMYFUNCTION("""COMPUTED_VALUE"""),"EN FORMACION")</f>
        <v>EN FORMACION</v>
      </c>
      <c r="AW778" s="40" t="str">
        <f ca="1">IFERROR(__xludf.DUMMYFUNCTION("""COMPUTED_VALUE"""),"TIC")</f>
        <v>TIC</v>
      </c>
      <c r="AX778" s="141">
        <f ca="1">IFERROR(__xludf.DUMMYFUNCTION("""COMPUTED_VALUE"""),0)</f>
        <v>0</v>
      </c>
      <c r="AY778" s="40">
        <f ca="1">IFERROR(__xludf.DUMMYFUNCTION("""COMPUTED_VALUE"""),0)</f>
        <v>0</v>
      </c>
      <c r="AZ778" s="40">
        <f ca="1">IFERROR(__xludf.DUMMYFUNCTION("""COMPUTED_VALUE"""),1)</f>
        <v>1</v>
      </c>
      <c r="BA778" s="40">
        <f ca="1">IFERROR(__xludf.DUMMYFUNCTION("""COMPUTED_VALUE"""),0)</f>
        <v>0</v>
      </c>
      <c r="BB778" s="40">
        <f ca="1">IFERROR(__xludf.DUMMYFUNCTION("""COMPUTED_VALUE"""),0)</f>
        <v>0</v>
      </c>
      <c r="BC778" s="40">
        <f ca="1">IFERROR(__xludf.DUMMYFUNCTION("""COMPUTED_VALUE"""),1)</f>
        <v>1</v>
      </c>
      <c r="BD778" s="141">
        <f ca="1">IFERROR(__xludf.DUMMYFUNCTION("""COMPUTED_VALUE"""),44459)</f>
        <v>44459</v>
      </c>
      <c r="BE778" s="141">
        <f ca="1">IFERROR(__xludf.DUMMYFUNCTION("""COMPUTED_VALUE"""),44721)</f>
        <v>44721</v>
      </c>
      <c r="BF778" s="141">
        <f ca="1">IFERROR(__xludf.DUMMYFUNCTION("""COMPUTED_VALUE"""),44904)</f>
        <v>44904</v>
      </c>
      <c r="BG778" s="141">
        <f ca="1">IFERROR(__xludf.DUMMYFUNCTION("""COMPUTED_VALUE"""),45452)</f>
        <v>45452</v>
      </c>
      <c r="BH778" s="40" t="str">
        <f ca="1">IFERROR(__xludf.DUMMYFUNCTION("""COMPUTED_VALUE"""),"FICHA EN TIEMPO-18 MESES")</f>
        <v>FICHA EN TIEMPO-18 MESES</v>
      </c>
      <c r="BI778" s="40" t="str">
        <f ca="1">IFERROR(__xludf.DUMMYFUNCTION("""COMPUTED_VALUE"""),"En ejecucion")</f>
        <v>En ejecucion</v>
      </c>
      <c r="BJ778" s="40" t="str">
        <f ca="1">IFERROR(__xludf.DUMMYFUNCTION("""COMPUTED_VALUE"""),"Yamboro")</f>
        <v>Yamboro</v>
      </c>
      <c r="BK778" s="40"/>
      <c r="BL778" s="40"/>
    </row>
    <row r="779" spans="1:64" ht="13">
      <c r="A779" s="40"/>
      <c r="B779" s="40" t="str">
        <f ca="1">IFERROR(__xludf.DUMMYFUNCTION("""COMPUTED_VALUE"""),"FORMACIÓN 18/10/2022")</f>
        <v>FORMACIÓN 18/10/2022</v>
      </c>
      <c r="C779" s="40" t="str">
        <f ca="1">IFERROR(__xludf.DUMMYFUNCTION("""COMPUTED_VALUE"""),"YERALDY CAROLAY TULCAN DAZA")</f>
        <v>YERALDY CAROLAY TULCAN DAZA</v>
      </c>
      <c r="D779" s="40" t="str">
        <f ca="1">IFERROR(__xludf.DUMMYFUNCTION("""COMPUTED_VALUE"""),"CC")</f>
        <v>CC</v>
      </c>
      <c r="E779" s="40">
        <f ca="1">IFERROR(__xludf.DUMMYFUNCTION("""COMPUTED_VALUE"""),1004269284)</f>
        <v>1004269284</v>
      </c>
      <c r="F779" s="40">
        <f ca="1">IFERROR(__xludf.DUMMYFUNCTION("""COMPUTED_VALUE"""),2414953)</f>
        <v>2414953</v>
      </c>
      <c r="G779" s="40" t="str">
        <f ca="1">IFERROR(__xludf.DUMMYFUNCTION("""COMPUTED_VALUE"""),"TÉCNICO")</f>
        <v>TÉCNICO</v>
      </c>
      <c r="H779" s="40" t="str">
        <f ca="1">IFERROR(__xludf.DUMMYFUNCTION("""COMPUTED_VALUE"""),"PROGRAMACION DE SOFTWARE .")</f>
        <v>PROGRAMACION DE SOFTWARE .</v>
      </c>
      <c r="I779" s="40"/>
      <c r="J779" s="40"/>
      <c r="K779" s="40"/>
      <c r="L779" s="40" t="str">
        <f ca="1">IFERROR(__xludf.DUMMYFUNCTION("""COMPUTED_VALUE"""),"NO HA INICIADO ETAPA PRODUCTIVA")</f>
        <v>NO HA INICIADO ETAPA PRODUCTIVA</v>
      </c>
      <c r="M779" s="40"/>
      <c r="N779" s="40"/>
      <c r="O779" s="40"/>
      <c r="P779" s="40"/>
      <c r="Q779" s="40"/>
      <c r="R779" s="140"/>
      <c r="S779" s="140"/>
      <c r="T779" s="40"/>
      <c r="U779" s="40" t="str">
        <f ca="1">IFERROR(__xludf.DUMMYFUNCTION("""COMPUTED_VALUE"""),"DIANA ÁVILA - Asignada ")</f>
        <v xml:space="preserve">DIANA ÁVILA - Asignada </v>
      </c>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t="str">
        <f ca="1">IFERROR(__xludf.DUMMYFUNCTION("""COMPUTED_VALUE"""),"Procede_E_P")</f>
        <v>Procede_E_P</v>
      </c>
      <c r="AV779" s="40" t="str">
        <f ca="1">IFERROR(__xludf.DUMMYFUNCTION("""COMPUTED_VALUE"""),"EN FORMACION")</f>
        <v>EN FORMACION</v>
      </c>
      <c r="AW779" s="40" t="str">
        <f ca="1">IFERROR(__xludf.DUMMYFUNCTION("""COMPUTED_VALUE"""),"TIC")</f>
        <v>TIC</v>
      </c>
      <c r="AX779" s="141">
        <f ca="1">IFERROR(__xludf.DUMMYFUNCTION("""COMPUTED_VALUE"""),0)</f>
        <v>0</v>
      </c>
      <c r="AY779" s="40">
        <f ca="1">IFERROR(__xludf.DUMMYFUNCTION("""COMPUTED_VALUE"""),0)</f>
        <v>0</v>
      </c>
      <c r="AZ779" s="40">
        <f ca="1">IFERROR(__xludf.DUMMYFUNCTION("""COMPUTED_VALUE"""),1)</f>
        <v>1</v>
      </c>
      <c r="BA779" s="40">
        <f ca="1">IFERROR(__xludf.DUMMYFUNCTION("""COMPUTED_VALUE"""),0)</f>
        <v>0</v>
      </c>
      <c r="BB779" s="40">
        <f ca="1">IFERROR(__xludf.DUMMYFUNCTION("""COMPUTED_VALUE"""),0)</f>
        <v>0</v>
      </c>
      <c r="BC779" s="40">
        <f ca="1">IFERROR(__xludf.DUMMYFUNCTION("""COMPUTED_VALUE"""),1)</f>
        <v>1</v>
      </c>
      <c r="BD779" s="141">
        <f ca="1">IFERROR(__xludf.DUMMYFUNCTION("""COMPUTED_VALUE"""),44459)</f>
        <v>44459</v>
      </c>
      <c r="BE779" s="141">
        <f ca="1">IFERROR(__xludf.DUMMYFUNCTION("""COMPUTED_VALUE"""),44721)</f>
        <v>44721</v>
      </c>
      <c r="BF779" s="141">
        <f ca="1">IFERROR(__xludf.DUMMYFUNCTION("""COMPUTED_VALUE"""),44904)</f>
        <v>44904</v>
      </c>
      <c r="BG779" s="141">
        <f ca="1">IFERROR(__xludf.DUMMYFUNCTION("""COMPUTED_VALUE"""),45452)</f>
        <v>45452</v>
      </c>
      <c r="BH779" s="40" t="str">
        <f ca="1">IFERROR(__xludf.DUMMYFUNCTION("""COMPUTED_VALUE"""),"FICHA EN TIEMPO-18 MESES")</f>
        <v>FICHA EN TIEMPO-18 MESES</v>
      </c>
      <c r="BI779" s="40" t="str">
        <f ca="1">IFERROR(__xludf.DUMMYFUNCTION("""COMPUTED_VALUE"""),"En ejecucion")</f>
        <v>En ejecucion</v>
      </c>
      <c r="BJ779" s="40" t="str">
        <f ca="1">IFERROR(__xludf.DUMMYFUNCTION("""COMPUTED_VALUE"""),"Yamboro")</f>
        <v>Yamboro</v>
      </c>
      <c r="BK779" s="40"/>
      <c r="BL779" s="40"/>
    </row>
    <row r="780" spans="1:64" ht="13">
      <c r="A780" s="40"/>
      <c r="B780" s="40" t="str">
        <f ca="1">IFERROR(__xludf.DUMMYFUNCTION("""COMPUTED_VALUE"""),"FORMACIÓN 18/10/2022")</f>
        <v>FORMACIÓN 18/10/2022</v>
      </c>
      <c r="C780" s="40" t="str">
        <f ca="1">IFERROR(__xludf.DUMMYFUNCTION("""COMPUTED_VALUE"""),"KAROL YADIRA ORTIZ ARTUNDUAGA")</f>
        <v>KAROL YADIRA ORTIZ ARTUNDUAGA</v>
      </c>
      <c r="D780" s="40" t="str">
        <f ca="1">IFERROR(__xludf.DUMMYFUNCTION("""COMPUTED_VALUE"""),"TI")</f>
        <v>TI</v>
      </c>
      <c r="E780" s="40">
        <f ca="1">IFERROR(__xludf.DUMMYFUNCTION("""COMPUTED_VALUE"""),1004269428)</f>
        <v>1004269428</v>
      </c>
      <c r="F780" s="40">
        <f ca="1">IFERROR(__xludf.DUMMYFUNCTION("""COMPUTED_VALUE"""),2414953)</f>
        <v>2414953</v>
      </c>
      <c r="G780" s="40" t="str">
        <f ca="1">IFERROR(__xludf.DUMMYFUNCTION("""COMPUTED_VALUE"""),"TÉCNICO")</f>
        <v>TÉCNICO</v>
      </c>
      <c r="H780" s="40" t="str">
        <f ca="1">IFERROR(__xludf.DUMMYFUNCTION("""COMPUTED_VALUE"""),"PROGRAMACION DE SOFTWARE .")</f>
        <v>PROGRAMACION DE SOFTWARE .</v>
      </c>
      <c r="I780" s="40">
        <f ca="1">IFERROR(__xludf.DUMMYFUNCTION("""COMPUTED_VALUE"""),3112168599)</f>
        <v>3112168599</v>
      </c>
      <c r="J780" s="40" t="str">
        <f ca="1">IFERROR(__xludf.DUMMYFUNCTION("""COMPUTED_VALUE"""),"harolyadiraortiz@gmail.com")</f>
        <v>harolyadiraortiz@gmail.com</v>
      </c>
      <c r="K780" s="40" t="str">
        <f ca="1">IFERROR(__xludf.DUMMYFUNCTION("""COMPUTED_VALUE"""),"SALDOBLANCO HUILA ")</f>
        <v xml:space="preserve">SALDOBLANCO HUILA </v>
      </c>
      <c r="L780" s="40" t="str">
        <f ca="1">IFERROR(__xludf.DUMMYFUNCTION("""COMPUTED_VALUE"""),"PASANTÍAS")</f>
        <v>PASANTÍAS</v>
      </c>
      <c r="M780" s="40" t="str">
        <f ca="1">IFERROR(__xludf.DUMMYFUNCTION("""COMPUTED_VALUE"""),"ALCALDIA MUNICIPAL DE SALADOBLANCO ")</f>
        <v xml:space="preserve">ALCALDIA MUNICIPAL DE SALADOBLANCO </v>
      </c>
      <c r="N780" s="40" t="str">
        <f ca="1">IFERROR(__xludf.DUMMYFUNCTION("""COMPUTED_VALUE"""),"CALLE 2 N° 5-64 CENTRO ")</f>
        <v xml:space="preserve">CALLE 2 N° 5-64 CENTRO </v>
      </c>
      <c r="O780" s="40">
        <f ca="1">IFERROR(__xludf.DUMMYFUNCTION("""COMPUTED_VALUE"""),3142957484)</f>
        <v>3142957484</v>
      </c>
      <c r="P780" s="40" t="str">
        <f ca="1">IFERROR(__xludf.DUMMYFUNCTION("""COMPUTED_VALUE"""),"SALADOBLANCO")</f>
        <v>SALADOBLANCO</v>
      </c>
      <c r="Q780" s="40" t="str">
        <f ca="1">IFERROR(__xludf.DUMMYFUNCTION("""COMPUTED_VALUE"""),"secretariadegobierno@saladoblanco-huila .gov.co")</f>
        <v>secretariadegobierno@saladoblanco-huila .gov.co</v>
      </c>
      <c r="R780" s="140">
        <f ca="1">IFERROR(__xludf.DUMMYFUNCTION("""COMPUTED_VALUE"""),44754)</f>
        <v>44754</v>
      </c>
      <c r="S780" s="140">
        <f ca="1">IFERROR(__xludf.DUMMYFUNCTION("""COMPUTED_VALUE"""),44937)</f>
        <v>44937</v>
      </c>
      <c r="T780" s="40"/>
      <c r="U780" s="40" t="s">
        <v>1740</v>
      </c>
      <c r="V780" s="40" t="str">
        <f ca="1">IFERROR(__xludf.DUMMYFUNCTION("""COMPUTED_VALUE"""),"No tiene seguimiento 18/07/2022")</f>
        <v>No tiene seguimiento 18/07/2022</v>
      </c>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t="str">
        <f ca="1">IFERROR(__xludf.DUMMYFUNCTION("""COMPUTED_VALUE"""),"Procede_E_P")</f>
        <v>Procede_E_P</v>
      </c>
      <c r="AV780" s="40" t="str">
        <f ca="1">IFERROR(__xludf.DUMMYFUNCTION("""COMPUTED_VALUE"""),"EN FORMACION")</f>
        <v>EN FORMACION</v>
      </c>
      <c r="AW780" s="40" t="str">
        <f ca="1">IFERROR(__xludf.DUMMYFUNCTION("""COMPUTED_VALUE"""),"TIC")</f>
        <v>TIC</v>
      </c>
      <c r="AX780" s="141">
        <f ca="1">IFERROR(__xludf.DUMMYFUNCTION("""COMPUTED_VALUE"""),0)</f>
        <v>0</v>
      </c>
      <c r="AY780" s="40">
        <f ca="1">IFERROR(__xludf.DUMMYFUNCTION("""COMPUTED_VALUE"""),0)</f>
        <v>0</v>
      </c>
      <c r="AZ780" s="40">
        <f ca="1">IFERROR(__xludf.DUMMYFUNCTION("""COMPUTED_VALUE"""),1)</f>
        <v>1</v>
      </c>
      <c r="BA780" s="40">
        <f ca="1">IFERROR(__xludf.DUMMYFUNCTION("""COMPUTED_VALUE"""),0)</f>
        <v>0</v>
      </c>
      <c r="BB780" s="40">
        <f ca="1">IFERROR(__xludf.DUMMYFUNCTION("""COMPUTED_VALUE"""),0)</f>
        <v>0</v>
      </c>
      <c r="BC780" s="40">
        <f ca="1">IFERROR(__xludf.DUMMYFUNCTION("""COMPUTED_VALUE"""),1)</f>
        <v>1</v>
      </c>
      <c r="BD780" s="141">
        <f ca="1">IFERROR(__xludf.DUMMYFUNCTION("""COMPUTED_VALUE"""),44459)</f>
        <v>44459</v>
      </c>
      <c r="BE780" s="141">
        <f ca="1">IFERROR(__xludf.DUMMYFUNCTION("""COMPUTED_VALUE"""),44721)</f>
        <v>44721</v>
      </c>
      <c r="BF780" s="141">
        <f ca="1">IFERROR(__xludf.DUMMYFUNCTION("""COMPUTED_VALUE"""),44904)</f>
        <v>44904</v>
      </c>
      <c r="BG780" s="141">
        <f ca="1">IFERROR(__xludf.DUMMYFUNCTION("""COMPUTED_VALUE"""),45452)</f>
        <v>45452</v>
      </c>
      <c r="BH780" s="40" t="str">
        <f ca="1">IFERROR(__xludf.DUMMYFUNCTION("""COMPUTED_VALUE"""),"FICHA EN TIEMPO-18 MESES")</f>
        <v>FICHA EN TIEMPO-18 MESES</v>
      </c>
      <c r="BI780" s="40" t="str">
        <f ca="1">IFERROR(__xludf.DUMMYFUNCTION("""COMPUTED_VALUE"""),"En ejecucion")</f>
        <v>En ejecucion</v>
      </c>
      <c r="BJ780" s="40" t="str">
        <f ca="1">IFERROR(__xludf.DUMMYFUNCTION("""COMPUTED_VALUE"""),"Yamboro")</f>
        <v>Yamboro</v>
      </c>
      <c r="BK780" s="40"/>
      <c r="BL780" s="40"/>
    </row>
    <row r="781" spans="1:64" ht="13">
      <c r="A781" s="40"/>
      <c r="B781" s="40" t="str">
        <f ca="1">IFERROR(__xludf.DUMMYFUNCTION("""COMPUTED_VALUE"""),"FORMACIÓN 18/10/2022")</f>
        <v>FORMACIÓN 18/10/2022</v>
      </c>
      <c r="C781" s="40" t="str">
        <f ca="1">IFERROR(__xludf.DUMMYFUNCTION("""COMPUTED_VALUE"""),"ESNEIDER CORDOBA GOMEZ")</f>
        <v>ESNEIDER CORDOBA GOMEZ</v>
      </c>
      <c r="D781" s="40" t="str">
        <f ca="1">IFERROR(__xludf.DUMMYFUNCTION("""COMPUTED_VALUE"""),"CC")</f>
        <v>CC</v>
      </c>
      <c r="E781" s="40">
        <f ca="1">IFERROR(__xludf.DUMMYFUNCTION("""COMPUTED_VALUE"""),1004269770)</f>
        <v>1004269770</v>
      </c>
      <c r="F781" s="40">
        <f ca="1">IFERROR(__xludf.DUMMYFUNCTION("""COMPUTED_VALUE"""),2414953)</f>
        <v>2414953</v>
      </c>
      <c r="G781" s="40" t="str">
        <f ca="1">IFERROR(__xludf.DUMMYFUNCTION("""COMPUTED_VALUE"""),"TÉCNICO")</f>
        <v>TÉCNICO</v>
      </c>
      <c r="H781" s="40" t="str">
        <f ca="1">IFERROR(__xludf.DUMMYFUNCTION("""COMPUTED_VALUE"""),"PROGRAMACION DE SOFTWARE .")</f>
        <v>PROGRAMACION DE SOFTWARE .</v>
      </c>
      <c r="I781" s="40"/>
      <c r="J781" s="40"/>
      <c r="K781" s="40"/>
      <c r="L781" s="40" t="str">
        <f ca="1">IFERROR(__xludf.DUMMYFUNCTION("""COMPUTED_VALUE"""),"NO HA INICIADO ETAPA PRODUCTIVA")</f>
        <v>NO HA INICIADO ETAPA PRODUCTIVA</v>
      </c>
      <c r="M781" s="40"/>
      <c r="N781" s="40"/>
      <c r="O781" s="40"/>
      <c r="P781" s="40"/>
      <c r="Q781" s="40"/>
      <c r="R781" s="140"/>
      <c r="S781" s="140"/>
      <c r="T781" s="40"/>
      <c r="U781" s="40" t="str">
        <f ca="1">IFERROR(__xludf.DUMMYFUNCTION("""COMPUTED_VALUE"""),"DIANA ÁVILA - Asignada ")</f>
        <v xml:space="preserve">DIANA ÁVILA - Asignada </v>
      </c>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t="str">
        <f ca="1">IFERROR(__xludf.DUMMYFUNCTION("""COMPUTED_VALUE"""),"Procede_E_P")</f>
        <v>Procede_E_P</v>
      </c>
      <c r="AV781" s="40" t="str">
        <f ca="1">IFERROR(__xludf.DUMMYFUNCTION("""COMPUTED_VALUE"""),"EN FORMACION")</f>
        <v>EN FORMACION</v>
      </c>
      <c r="AW781" s="40" t="str">
        <f ca="1">IFERROR(__xludf.DUMMYFUNCTION("""COMPUTED_VALUE"""),"TIC")</f>
        <v>TIC</v>
      </c>
      <c r="AX781" s="141">
        <f ca="1">IFERROR(__xludf.DUMMYFUNCTION("""COMPUTED_VALUE"""),0)</f>
        <v>0</v>
      </c>
      <c r="AY781" s="40">
        <f ca="1">IFERROR(__xludf.DUMMYFUNCTION("""COMPUTED_VALUE"""),0)</f>
        <v>0</v>
      </c>
      <c r="AZ781" s="40">
        <f ca="1">IFERROR(__xludf.DUMMYFUNCTION("""COMPUTED_VALUE"""),1)</f>
        <v>1</v>
      </c>
      <c r="BA781" s="40">
        <f ca="1">IFERROR(__xludf.DUMMYFUNCTION("""COMPUTED_VALUE"""),0)</f>
        <v>0</v>
      </c>
      <c r="BB781" s="40">
        <f ca="1">IFERROR(__xludf.DUMMYFUNCTION("""COMPUTED_VALUE"""),0)</f>
        <v>0</v>
      </c>
      <c r="BC781" s="40">
        <f ca="1">IFERROR(__xludf.DUMMYFUNCTION("""COMPUTED_VALUE"""),1)</f>
        <v>1</v>
      </c>
      <c r="BD781" s="141">
        <f ca="1">IFERROR(__xludf.DUMMYFUNCTION("""COMPUTED_VALUE"""),44459)</f>
        <v>44459</v>
      </c>
      <c r="BE781" s="141">
        <f ca="1">IFERROR(__xludf.DUMMYFUNCTION("""COMPUTED_VALUE"""),44721)</f>
        <v>44721</v>
      </c>
      <c r="BF781" s="141">
        <f ca="1">IFERROR(__xludf.DUMMYFUNCTION("""COMPUTED_VALUE"""),44904)</f>
        <v>44904</v>
      </c>
      <c r="BG781" s="141">
        <f ca="1">IFERROR(__xludf.DUMMYFUNCTION("""COMPUTED_VALUE"""),45452)</f>
        <v>45452</v>
      </c>
      <c r="BH781" s="40" t="str">
        <f ca="1">IFERROR(__xludf.DUMMYFUNCTION("""COMPUTED_VALUE"""),"FICHA EN TIEMPO-18 MESES")</f>
        <v>FICHA EN TIEMPO-18 MESES</v>
      </c>
      <c r="BI781" s="40" t="str">
        <f ca="1">IFERROR(__xludf.DUMMYFUNCTION("""COMPUTED_VALUE"""),"En ejecucion")</f>
        <v>En ejecucion</v>
      </c>
      <c r="BJ781" s="40" t="str">
        <f ca="1">IFERROR(__xludf.DUMMYFUNCTION("""COMPUTED_VALUE"""),"Yamboro")</f>
        <v>Yamboro</v>
      </c>
      <c r="BK781" s="40"/>
      <c r="BL781" s="40"/>
    </row>
    <row r="782" spans="1:64" ht="13">
      <c r="A782" s="40"/>
      <c r="B782" s="40" t="str">
        <f ca="1">IFERROR(__xludf.DUMMYFUNCTION("""COMPUTED_VALUE"""),"FORMACIÓN 18/10/2022")</f>
        <v>FORMACIÓN 18/10/2022</v>
      </c>
      <c r="C782" s="40" t="str">
        <f ca="1">IFERROR(__xludf.DUMMYFUNCTION("""COMPUTED_VALUE"""),"ROBINSON MENESES HUILA")</f>
        <v>ROBINSON MENESES HUILA</v>
      </c>
      <c r="D782" s="40" t="str">
        <f ca="1">IFERROR(__xludf.DUMMYFUNCTION("""COMPUTED_VALUE"""),"CC")</f>
        <v>CC</v>
      </c>
      <c r="E782" s="40">
        <f ca="1">IFERROR(__xludf.DUMMYFUNCTION("""COMPUTED_VALUE"""),1007201017)</f>
        <v>1007201017</v>
      </c>
      <c r="F782" s="40">
        <f ca="1">IFERROR(__xludf.DUMMYFUNCTION("""COMPUTED_VALUE"""),2414953)</f>
        <v>2414953</v>
      </c>
      <c r="G782" s="40" t="str">
        <f ca="1">IFERROR(__xludf.DUMMYFUNCTION("""COMPUTED_VALUE"""),"TÉCNICO")</f>
        <v>TÉCNICO</v>
      </c>
      <c r="H782" s="40" t="str">
        <f ca="1">IFERROR(__xludf.DUMMYFUNCTION("""COMPUTED_VALUE"""),"PROGRAMACION DE SOFTWARE .")</f>
        <v>PROGRAMACION DE SOFTWARE .</v>
      </c>
      <c r="I782" s="40">
        <f ca="1">IFERROR(__xludf.DUMMYFUNCTION("""COMPUTED_VALUE"""),3143004658)</f>
        <v>3143004658</v>
      </c>
      <c r="J782" s="40" t="str">
        <f ca="1">IFERROR(__xludf.DUMMYFUNCTION("""COMPUTED_VALUE"""),"karolyadifaortiz@gmail.com")</f>
        <v>karolyadifaortiz@gmail.com</v>
      </c>
      <c r="K782" s="40" t="str">
        <f ca="1">IFERROR(__xludf.DUMMYFUNCTION("""COMPUTED_VALUE"""),"SALDOBLANCO HUILA ")</f>
        <v xml:space="preserve">SALDOBLANCO HUILA </v>
      </c>
      <c r="L782" s="40" t="str">
        <f ca="1">IFERROR(__xludf.DUMMYFUNCTION("""COMPUTED_VALUE"""),"PASANTÍAS")</f>
        <v>PASANTÍAS</v>
      </c>
      <c r="M782" s="40" t="str">
        <f ca="1">IFERROR(__xludf.DUMMYFUNCTION("""COMPUTED_VALUE"""),"ALCALDIA MUNICIPAL DE SALADOBLANCO ")</f>
        <v xml:space="preserve">ALCALDIA MUNICIPAL DE SALADOBLANCO </v>
      </c>
      <c r="N782" s="40" t="str">
        <f ca="1">IFERROR(__xludf.DUMMYFUNCTION("""COMPUTED_VALUE"""),"CALLE 2 N° 5-64 CENTRO ")</f>
        <v xml:space="preserve">CALLE 2 N° 5-64 CENTRO </v>
      </c>
      <c r="O782" s="40">
        <f ca="1">IFERROR(__xludf.DUMMYFUNCTION("""COMPUTED_VALUE"""),3142957484)</f>
        <v>3142957484</v>
      </c>
      <c r="P782" s="40" t="str">
        <f ca="1">IFERROR(__xludf.DUMMYFUNCTION("""COMPUTED_VALUE"""),"SALADOBLANCO")</f>
        <v>SALADOBLANCO</v>
      </c>
      <c r="Q782" s="40" t="str">
        <f ca="1">IFERROR(__xludf.DUMMYFUNCTION("""COMPUTED_VALUE"""),"secretariadegobierno@saladoblanco-huila .gov.co")</f>
        <v>secretariadegobierno@saladoblanco-huila .gov.co</v>
      </c>
      <c r="R782" s="140">
        <f ca="1">IFERROR(__xludf.DUMMYFUNCTION("""COMPUTED_VALUE"""),44754)</f>
        <v>44754</v>
      </c>
      <c r="S782" s="140">
        <f ca="1">IFERROR(__xludf.DUMMYFUNCTION("""COMPUTED_VALUE"""),44937)</f>
        <v>44937</v>
      </c>
      <c r="T782" s="40"/>
      <c r="U782" s="40" t="s">
        <v>1740</v>
      </c>
      <c r="V782" s="40" t="str">
        <f ca="1">IFERROR(__xludf.DUMMYFUNCTION("""COMPUTED_VALUE"""),"No tiene seguimineto 18/07/2022")</f>
        <v>No tiene seguimineto 18/07/2022</v>
      </c>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t="str">
        <f ca="1">IFERROR(__xludf.DUMMYFUNCTION("""COMPUTED_VALUE"""),"Procede_E_P")</f>
        <v>Procede_E_P</v>
      </c>
      <c r="AV782" s="40" t="str">
        <f ca="1">IFERROR(__xludf.DUMMYFUNCTION("""COMPUTED_VALUE"""),"EN FORMACION")</f>
        <v>EN FORMACION</v>
      </c>
      <c r="AW782" s="40" t="str">
        <f ca="1">IFERROR(__xludf.DUMMYFUNCTION("""COMPUTED_VALUE"""),"TIC")</f>
        <v>TIC</v>
      </c>
      <c r="AX782" s="141">
        <f ca="1">IFERROR(__xludf.DUMMYFUNCTION("""COMPUTED_VALUE"""),0)</f>
        <v>0</v>
      </c>
      <c r="AY782" s="40">
        <f ca="1">IFERROR(__xludf.DUMMYFUNCTION("""COMPUTED_VALUE"""),0)</f>
        <v>0</v>
      </c>
      <c r="AZ782" s="40">
        <f ca="1">IFERROR(__xludf.DUMMYFUNCTION("""COMPUTED_VALUE"""),1)</f>
        <v>1</v>
      </c>
      <c r="BA782" s="40">
        <f ca="1">IFERROR(__xludf.DUMMYFUNCTION("""COMPUTED_VALUE"""),0)</f>
        <v>0</v>
      </c>
      <c r="BB782" s="40">
        <f ca="1">IFERROR(__xludf.DUMMYFUNCTION("""COMPUTED_VALUE"""),0)</f>
        <v>0</v>
      </c>
      <c r="BC782" s="40">
        <f ca="1">IFERROR(__xludf.DUMMYFUNCTION("""COMPUTED_VALUE"""),1)</f>
        <v>1</v>
      </c>
      <c r="BD782" s="141">
        <f ca="1">IFERROR(__xludf.DUMMYFUNCTION("""COMPUTED_VALUE"""),44459)</f>
        <v>44459</v>
      </c>
      <c r="BE782" s="141">
        <f ca="1">IFERROR(__xludf.DUMMYFUNCTION("""COMPUTED_VALUE"""),44721)</f>
        <v>44721</v>
      </c>
      <c r="BF782" s="141">
        <f ca="1">IFERROR(__xludf.DUMMYFUNCTION("""COMPUTED_VALUE"""),44904)</f>
        <v>44904</v>
      </c>
      <c r="BG782" s="141">
        <f ca="1">IFERROR(__xludf.DUMMYFUNCTION("""COMPUTED_VALUE"""),45452)</f>
        <v>45452</v>
      </c>
      <c r="BH782" s="40" t="str">
        <f ca="1">IFERROR(__xludf.DUMMYFUNCTION("""COMPUTED_VALUE"""),"FICHA EN TIEMPO-18 MESES")</f>
        <v>FICHA EN TIEMPO-18 MESES</v>
      </c>
      <c r="BI782" s="40" t="str">
        <f ca="1">IFERROR(__xludf.DUMMYFUNCTION("""COMPUTED_VALUE"""),"En ejecucion")</f>
        <v>En ejecucion</v>
      </c>
      <c r="BJ782" s="40" t="str">
        <f ca="1">IFERROR(__xludf.DUMMYFUNCTION("""COMPUTED_VALUE"""),"Yamboro")</f>
        <v>Yamboro</v>
      </c>
      <c r="BK782" s="40"/>
      <c r="BL782" s="40"/>
    </row>
    <row r="783" spans="1:64" ht="13">
      <c r="A783" s="40"/>
      <c r="B783" s="40" t="str">
        <f ca="1">IFERROR(__xludf.DUMMYFUNCTION("""COMPUTED_VALUE"""),"FORMACIÓN 18/10/2022")</f>
        <v>FORMACIÓN 18/10/2022</v>
      </c>
      <c r="C783" s="40" t="str">
        <f ca="1">IFERROR(__xludf.DUMMYFUNCTION("""COMPUTED_VALUE"""),"DANIFER MENESES MUÑOZ")</f>
        <v>DANIFER MENESES MUÑOZ</v>
      </c>
      <c r="D783" s="40" t="str">
        <f ca="1">IFERROR(__xludf.DUMMYFUNCTION("""COMPUTED_VALUE"""),"CC")</f>
        <v>CC</v>
      </c>
      <c r="E783" s="40">
        <f ca="1">IFERROR(__xludf.DUMMYFUNCTION("""COMPUTED_VALUE"""),1081733038)</f>
        <v>1081733038</v>
      </c>
      <c r="F783" s="40">
        <f ca="1">IFERROR(__xludf.DUMMYFUNCTION("""COMPUTED_VALUE"""),2414953)</f>
        <v>2414953</v>
      </c>
      <c r="G783" s="40" t="str">
        <f ca="1">IFERROR(__xludf.DUMMYFUNCTION("""COMPUTED_VALUE"""),"TÉCNICO")</f>
        <v>TÉCNICO</v>
      </c>
      <c r="H783" s="40" t="str">
        <f ca="1">IFERROR(__xludf.DUMMYFUNCTION("""COMPUTED_VALUE"""),"PROGRAMACION DE SOFTWARE .")</f>
        <v>PROGRAMACION DE SOFTWARE .</v>
      </c>
      <c r="I783" s="40">
        <f ca="1">IFERROR(__xludf.DUMMYFUNCTION("""COMPUTED_VALUE"""),3214345417)</f>
        <v>3214345417</v>
      </c>
      <c r="J783" s="40" t="str">
        <f ca="1">IFERROR(__xludf.DUMMYFUNCTION("""COMPUTED_VALUE"""),"danifer.meneses0@misena.edu.co")</f>
        <v>danifer.meneses0@misena.edu.co</v>
      </c>
      <c r="K783" s="40"/>
      <c r="L783" s="40" t="str">
        <f ca="1">IFERROR(__xludf.DUMMYFUNCTION("""COMPUTED_VALUE"""),"PASANTÍAS")</f>
        <v>PASANTÍAS</v>
      </c>
      <c r="M783" s="40" t="str">
        <f ca="1">IFERROR(__xludf.DUMMYFUNCTION("""COMPUTED_VALUE"""),"ALCALDIA MUNICIPAL DE SALADOBLANCO ")</f>
        <v xml:space="preserve">ALCALDIA MUNICIPAL DE SALADOBLANCO </v>
      </c>
      <c r="N783" s="40" t="str">
        <f ca="1">IFERROR(__xludf.DUMMYFUNCTION("""COMPUTED_VALUE"""),"CALLE 2 # 5- 64  CENTRO ")</f>
        <v xml:space="preserve">CALLE 2 # 5- 64  CENTRO </v>
      </c>
      <c r="O783" s="40">
        <f ca="1">IFERROR(__xludf.DUMMYFUNCTION("""COMPUTED_VALUE"""),3142957484)</f>
        <v>3142957484</v>
      </c>
      <c r="P783" s="40" t="str">
        <f ca="1">IFERROR(__xludf.DUMMYFUNCTION("""COMPUTED_VALUE"""),"SALADOBLANCO ")</f>
        <v xml:space="preserve">SALADOBLANCO </v>
      </c>
      <c r="Q783" s="40" t="str">
        <f ca="1">IFERROR(__xludf.DUMMYFUNCTION("""COMPUTED_VALUE"""),"secretariadegobiernosaladoblanco- huila.gov.co")</f>
        <v>secretariadegobiernosaladoblanco- huila.gov.co</v>
      </c>
      <c r="R783" s="140">
        <f ca="1">IFERROR(__xludf.DUMMYFUNCTION("""COMPUTED_VALUE"""),44755)</f>
        <v>44755</v>
      </c>
      <c r="S783" s="140">
        <f ca="1">IFERROR(__xludf.DUMMYFUNCTION("""COMPUTED_VALUE"""),44938)</f>
        <v>44938</v>
      </c>
      <c r="T783" s="40"/>
      <c r="U783" s="40" t="s">
        <v>1740</v>
      </c>
      <c r="V783" s="40" t="str">
        <f ca="1">IFERROR(__xludf.DUMMYFUNCTION("""COMPUTED_VALUE"""),"No tiene seguimineto 18/07/2022")</f>
        <v>No tiene seguimineto 18/07/2022</v>
      </c>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t="str">
        <f ca="1">IFERROR(__xludf.DUMMYFUNCTION("""COMPUTED_VALUE"""),"Procede_E_P")</f>
        <v>Procede_E_P</v>
      </c>
      <c r="AV783" s="40" t="str">
        <f ca="1">IFERROR(__xludf.DUMMYFUNCTION("""COMPUTED_VALUE"""),"EN FORMACION")</f>
        <v>EN FORMACION</v>
      </c>
      <c r="AW783" s="40" t="str">
        <f ca="1">IFERROR(__xludf.DUMMYFUNCTION("""COMPUTED_VALUE"""),"TIC")</f>
        <v>TIC</v>
      </c>
      <c r="AX783" s="141">
        <f ca="1">IFERROR(__xludf.DUMMYFUNCTION("""COMPUTED_VALUE"""),0)</f>
        <v>0</v>
      </c>
      <c r="AY783" s="40">
        <f ca="1">IFERROR(__xludf.DUMMYFUNCTION("""COMPUTED_VALUE"""),0)</f>
        <v>0</v>
      </c>
      <c r="AZ783" s="40">
        <f ca="1">IFERROR(__xludf.DUMMYFUNCTION("""COMPUTED_VALUE"""),1)</f>
        <v>1</v>
      </c>
      <c r="BA783" s="40">
        <f ca="1">IFERROR(__xludf.DUMMYFUNCTION("""COMPUTED_VALUE"""),0)</f>
        <v>0</v>
      </c>
      <c r="BB783" s="40">
        <f ca="1">IFERROR(__xludf.DUMMYFUNCTION("""COMPUTED_VALUE"""),0)</f>
        <v>0</v>
      </c>
      <c r="BC783" s="40">
        <f ca="1">IFERROR(__xludf.DUMMYFUNCTION("""COMPUTED_VALUE"""),1)</f>
        <v>1</v>
      </c>
      <c r="BD783" s="141">
        <f ca="1">IFERROR(__xludf.DUMMYFUNCTION("""COMPUTED_VALUE"""),44459)</f>
        <v>44459</v>
      </c>
      <c r="BE783" s="141">
        <f ca="1">IFERROR(__xludf.DUMMYFUNCTION("""COMPUTED_VALUE"""),44721)</f>
        <v>44721</v>
      </c>
      <c r="BF783" s="141">
        <f ca="1">IFERROR(__xludf.DUMMYFUNCTION("""COMPUTED_VALUE"""),44904)</f>
        <v>44904</v>
      </c>
      <c r="BG783" s="141">
        <f ca="1">IFERROR(__xludf.DUMMYFUNCTION("""COMPUTED_VALUE"""),45452)</f>
        <v>45452</v>
      </c>
      <c r="BH783" s="40" t="str">
        <f ca="1">IFERROR(__xludf.DUMMYFUNCTION("""COMPUTED_VALUE"""),"FICHA EN TIEMPO-18 MESES")</f>
        <v>FICHA EN TIEMPO-18 MESES</v>
      </c>
      <c r="BI783" s="40" t="str">
        <f ca="1">IFERROR(__xludf.DUMMYFUNCTION("""COMPUTED_VALUE"""),"En ejecucion")</f>
        <v>En ejecucion</v>
      </c>
      <c r="BJ783" s="40" t="str">
        <f ca="1">IFERROR(__xludf.DUMMYFUNCTION("""COMPUTED_VALUE"""),"Yamboro")</f>
        <v>Yamboro</v>
      </c>
      <c r="BK783" s="40"/>
      <c r="BL783" s="40"/>
    </row>
    <row r="784" spans="1:64" ht="13">
      <c r="A784" s="40"/>
      <c r="B784" s="40" t="str">
        <f ca="1">IFERROR(__xludf.DUMMYFUNCTION("""COMPUTED_VALUE"""),"FORMACIÓN 18/10/2022")</f>
        <v>FORMACIÓN 18/10/2022</v>
      </c>
      <c r="C784" s="40" t="str">
        <f ca="1">IFERROR(__xludf.DUMMYFUNCTION("""COMPUTED_VALUE"""),"NATALIA RUEDA BOCANEGRA")</f>
        <v>NATALIA RUEDA BOCANEGRA</v>
      </c>
      <c r="D784" s="40" t="str">
        <f ca="1">IFERROR(__xludf.DUMMYFUNCTION("""COMPUTED_VALUE"""),"TI")</f>
        <v>TI</v>
      </c>
      <c r="E784" s="40">
        <f ca="1">IFERROR(__xludf.DUMMYFUNCTION("""COMPUTED_VALUE"""),1004269404)</f>
        <v>1004269404</v>
      </c>
      <c r="F784" s="40">
        <f ca="1">IFERROR(__xludf.DUMMYFUNCTION("""COMPUTED_VALUE"""),2252407)</f>
        <v>2252407</v>
      </c>
      <c r="G784" s="40" t="str">
        <f ca="1">IFERROR(__xludf.DUMMYFUNCTION("""COMPUTED_VALUE"""),"TECNÓLOGO")</f>
        <v>TECNÓLOGO</v>
      </c>
      <c r="H784" s="40" t="str">
        <f ca="1">IFERROR(__xludf.DUMMYFUNCTION("""COMPUTED_VALUE"""),"ANALISIS Y DESARROLLO DE SISTEMAS DE INFORMACION")</f>
        <v>ANALISIS Y DESARROLLO DE SISTEMAS DE INFORMACION</v>
      </c>
      <c r="I784" s="40"/>
      <c r="J784" s="40"/>
      <c r="K784" s="40"/>
      <c r="L784" s="40" t="str">
        <f ca="1">IFERROR(__xludf.DUMMYFUNCTION("""COMPUTED_VALUE"""),"NO HA INICIADO ETAPA PRODUCTIVA")</f>
        <v>NO HA INICIADO ETAPA PRODUCTIVA</v>
      </c>
      <c r="M784" s="40"/>
      <c r="N784" s="40"/>
      <c r="O784" s="40"/>
      <c r="P784" s="40"/>
      <c r="Q784" s="40"/>
      <c r="R784" s="140"/>
      <c r="S784" s="140"/>
      <c r="T784" s="40"/>
      <c r="U784" s="40" t="str">
        <f ca="1">IFERROR(__xludf.DUMMYFUNCTION("""COMPUTED_VALUE"""),"Eduar Triana ")</f>
        <v xml:space="preserve">Eduar Triana </v>
      </c>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t="str">
        <f ca="1">IFERROR(__xludf.DUMMYFUNCTION("""COMPUTED_VALUE"""),"NO_CUMPLE")</f>
        <v>NO_CUMPLE</v>
      </c>
      <c r="AV784" s="40" t="str">
        <f ca="1">IFERROR(__xludf.DUMMYFUNCTION("""COMPUTED_VALUE"""),"EN FORMACION")</f>
        <v>EN FORMACION</v>
      </c>
      <c r="AW784" s="40" t="str">
        <f ca="1">IFERROR(__xludf.DUMMYFUNCTION("""COMPUTED_VALUE"""),"TIC")</f>
        <v>TIC</v>
      </c>
      <c r="AX784" s="141">
        <f ca="1">IFERROR(__xludf.DUMMYFUNCTION("""COMPUTED_VALUE"""),9)</f>
        <v>9</v>
      </c>
      <c r="AY784" s="40">
        <f ca="1">IFERROR(__xludf.DUMMYFUNCTION("""COMPUTED_VALUE"""),9)</f>
        <v>9</v>
      </c>
      <c r="AZ784" s="40">
        <f ca="1">IFERROR(__xludf.DUMMYFUNCTION("""COMPUTED_VALUE"""),1)</f>
        <v>1</v>
      </c>
      <c r="BA784" s="40">
        <f ca="1">IFERROR(__xludf.DUMMYFUNCTION("""COMPUTED_VALUE"""),15)</f>
        <v>15</v>
      </c>
      <c r="BB784" s="40">
        <f ca="1">IFERROR(__xludf.DUMMYFUNCTION("""COMPUTED_VALUE"""),28)</f>
        <v>28</v>
      </c>
      <c r="BC784" s="40">
        <f ca="1">IFERROR(__xludf.DUMMYFUNCTION("""COMPUTED_VALUE"""),53)</f>
        <v>53</v>
      </c>
      <c r="BD784" s="141">
        <f ca="1">IFERROR(__xludf.DUMMYFUNCTION("""COMPUTED_VALUE"""),44183)</f>
        <v>44183</v>
      </c>
      <c r="BE784" s="141">
        <f ca="1">IFERROR(__xludf.DUMMYFUNCTION("""COMPUTED_VALUE"""),44729)</f>
        <v>44729</v>
      </c>
      <c r="BF784" s="141">
        <f ca="1">IFERROR(__xludf.DUMMYFUNCTION("""COMPUTED_VALUE"""),44912)</f>
        <v>44912</v>
      </c>
      <c r="BG784" s="141">
        <f ca="1">IFERROR(__xludf.DUMMYFUNCTION("""COMPUTED_VALUE"""),45460)</f>
        <v>45460</v>
      </c>
      <c r="BH784" s="40" t="str">
        <f ca="1">IFERROR(__xludf.DUMMYFUNCTION("""COMPUTED_VALUE"""),"FICHA EN TIEMPO-18 MESES")</f>
        <v>FICHA EN TIEMPO-18 MESES</v>
      </c>
      <c r="BI784" s="40" t="str">
        <f ca="1">IFERROR(__xludf.DUMMYFUNCTION("""COMPUTED_VALUE"""),"En ejecucion")</f>
        <v>En ejecucion</v>
      </c>
      <c r="BJ784" s="40" t="str">
        <f ca="1">IFERROR(__xludf.DUMMYFUNCTION("""COMPUTED_VALUE"""),"Yamboro")</f>
        <v>Yamboro</v>
      </c>
      <c r="BK784" s="40"/>
      <c r="BL784" s="40"/>
    </row>
    <row r="785" spans="1:64" ht="13">
      <c r="A785" s="40"/>
      <c r="B785" s="40" t="str">
        <f ca="1">IFERROR(__xludf.DUMMYFUNCTION("""COMPUTED_VALUE"""),"FORMACIÓN 18/10/2022")</f>
        <v>FORMACIÓN 18/10/2022</v>
      </c>
      <c r="C785" s="40" t="str">
        <f ca="1">IFERROR(__xludf.DUMMYFUNCTION("""COMPUTED_VALUE"""),"JHON MARIO CHILITO CALDERON")</f>
        <v>JHON MARIO CHILITO CALDERON</v>
      </c>
      <c r="D785" s="40" t="str">
        <f ca="1">IFERROR(__xludf.DUMMYFUNCTION("""COMPUTED_VALUE"""),"CC")</f>
        <v>CC</v>
      </c>
      <c r="E785" s="40">
        <f ca="1">IFERROR(__xludf.DUMMYFUNCTION("""COMPUTED_VALUE"""),1004419254)</f>
        <v>1004419254</v>
      </c>
      <c r="F785" s="40">
        <f ca="1">IFERROR(__xludf.DUMMYFUNCTION("""COMPUTED_VALUE"""),2252407)</f>
        <v>2252407</v>
      </c>
      <c r="G785" s="40" t="str">
        <f ca="1">IFERROR(__xludf.DUMMYFUNCTION("""COMPUTED_VALUE"""),"TECNÓLOGO")</f>
        <v>TECNÓLOGO</v>
      </c>
      <c r="H785" s="40" t="str">
        <f ca="1">IFERROR(__xludf.DUMMYFUNCTION("""COMPUTED_VALUE"""),"ANALISIS Y DESARROLLO DE SISTEMAS DE INFORMACION")</f>
        <v>ANALISIS Y DESARROLLO DE SISTEMAS DE INFORMACION</v>
      </c>
      <c r="I785" s="40">
        <f ca="1">IFERROR(__xludf.DUMMYFUNCTION("""COMPUTED_VALUE"""),3115339060)</f>
        <v>3115339060</v>
      </c>
      <c r="J785" s="40" t="str">
        <f ca="1">IFERROR(__xludf.DUMMYFUNCTION("""COMPUTED_VALUE"""),"whoaomi11@gmail.com")</f>
        <v>whoaomi11@gmail.com</v>
      </c>
      <c r="K785" s="40" t="str">
        <f ca="1">IFERROR(__xludf.DUMMYFUNCTION("""COMPUTED_VALUE"""),"SAN AGUSTIN")</f>
        <v>SAN AGUSTIN</v>
      </c>
      <c r="L785" s="40" t="str">
        <f ca="1">IFERROR(__xludf.DUMMYFUNCTION("""COMPUTED_VALUE"""),"CONTRATO DE APRENDIZAJE ")</f>
        <v xml:space="preserve">CONTRATO DE APRENDIZAJE </v>
      </c>
      <c r="M785" s="40" t="str">
        <f ca="1">IFERROR(__xludf.DUMMYFUNCTION("""COMPUTED_VALUE"""),"INGEAL S A")</f>
        <v>INGEAL S A</v>
      </c>
      <c r="N785" s="40"/>
      <c r="O785" s="40"/>
      <c r="P785" s="40"/>
      <c r="Q785" s="40"/>
      <c r="R785" s="140">
        <f ca="1">IFERROR(__xludf.DUMMYFUNCTION("""COMPUTED_VALUE"""),44747)</f>
        <v>44747</v>
      </c>
      <c r="S785" s="140">
        <f ca="1">IFERROR(__xludf.DUMMYFUNCTION("""COMPUTED_VALUE"""),44930)</f>
        <v>44930</v>
      </c>
      <c r="T785" s="40"/>
      <c r="U785" s="40" t="str">
        <f ca="1">IFERROR(__xludf.DUMMYFUNCTION("""COMPUTED_VALUE"""),"Eduar Triana ")</f>
        <v xml:space="preserve">Eduar Triana </v>
      </c>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t="str">
        <f ca="1">IFERROR(__xludf.DUMMYFUNCTION("""COMPUTED_VALUE"""),"Procede_E_P")</f>
        <v>Procede_E_P</v>
      </c>
      <c r="AV785" s="40" t="str">
        <f ca="1">IFERROR(__xludf.DUMMYFUNCTION("""COMPUTED_VALUE"""),"EN FORMACION")</f>
        <v>EN FORMACION</v>
      </c>
      <c r="AW785" s="40" t="str">
        <f ca="1">IFERROR(__xludf.DUMMYFUNCTION("""COMPUTED_VALUE"""),"TIC")</f>
        <v>TIC</v>
      </c>
      <c r="AX785" s="141">
        <f ca="1">IFERROR(__xludf.DUMMYFUNCTION("""COMPUTED_VALUE"""),0)</f>
        <v>0</v>
      </c>
      <c r="AY785" s="40">
        <f ca="1">IFERROR(__xludf.DUMMYFUNCTION("""COMPUTED_VALUE"""),0)</f>
        <v>0</v>
      </c>
      <c r="AZ785" s="40">
        <f ca="1">IFERROR(__xludf.DUMMYFUNCTION("""COMPUTED_VALUE"""),1)</f>
        <v>1</v>
      </c>
      <c r="BA785" s="40">
        <f ca="1">IFERROR(__xludf.DUMMYFUNCTION("""COMPUTED_VALUE"""),0)</f>
        <v>0</v>
      </c>
      <c r="BB785" s="40">
        <f ca="1">IFERROR(__xludf.DUMMYFUNCTION("""COMPUTED_VALUE"""),0)</f>
        <v>0</v>
      </c>
      <c r="BC785" s="40">
        <f ca="1">IFERROR(__xludf.DUMMYFUNCTION("""COMPUTED_VALUE"""),1)</f>
        <v>1</v>
      </c>
      <c r="BD785" s="141">
        <f ca="1">IFERROR(__xludf.DUMMYFUNCTION("""COMPUTED_VALUE"""),44183)</f>
        <v>44183</v>
      </c>
      <c r="BE785" s="141">
        <f ca="1">IFERROR(__xludf.DUMMYFUNCTION("""COMPUTED_VALUE"""),44729)</f>
        <v>44729</v>
      </c>
      <c r="BF785" s="141">
        <f ca="1">IFERROR(__xludf.DUMMYFUNCTION("""COMPUTED_VALUE"""),44912)</f>
        <v>44912</v>
      </c>
      <c r="BG785" s="141">
        <f ca="1">IFERROR(__xludf.DUMMYFUNCTION("""COMPUTED_VALUE"""),45460)</f>
        <v>45460</v>
      </c>
      <c r="BH785" s="40" t="str">
        <f ca="1">IFERROR(__xludf.DUMMYFUNCTION("""COMPUTED_VALUE"""),"FICHA EN TIEMPO-18 MESES")</f>
        <v>FICHA EN TIEMPO-18 MESES</v>
      </c>
      <c r="BI785" s="40" t="str">
        <f ca="1">IFERROR(__xludf.DUMMYFUNCTION("""COMPUTED_VALUE"""),"En ejecucion")</f>
        <v>En ejecucion</v>
      </c>
      <c r="BJ785" s="40" t="str">
        <f ca="1">IFERROR(__xludf.DUMMYFUNCTION("""COMPUTED_VALUE"""),"Yamboro")</f>
        <v>Yamboro</v>
      </c>
      <c r="BK785" s="40"/>
      <c r="BL785" s="40"/>
    </row>
    <row r="786" spans="1:64" ht="13">
      <c r="A786" s="40"/>
      <c r="B786" s="40" t="str">
        <f ca="1">IFERROR(__xludf.DUMMYFUNCTION("""COMPUTED_VALUE"""),"FORMACIÓN 18/10/2022")</f>
        <v>FORMACIÓN 18/10/2022</v>
      </c>
      <c r="C786" s="40" t="str">
        <f ca="1">IFERROR(__xludf.DUMMYFUNCTION("""COMPUTED_VALUE"""),"YESSICA ANDREA FIGUEROA ERAZO")</f>
        <v>YESSICA ANDREA FIGUEROA ERAZO</v>
      </c>
      <c r="D786" s="40" t="str">
        <f ca="1">IFERROR(__xludf.DUMMYFUNCTION("""COMPUTED_VALUE"""),"CC")</f>
        <v>CC</v>
      </c>
      <c r="E786" s="40">
        <f ca="1">IFERROR(__xludf.DUMMYFUNCTION("""COMPUTED_VALUE"""),1006524359)</f>
        <v>1006524359</v>
      </c>
      <c r="F786" s="40">
        <f ca="1">IFERROR(__xludf.DUMMYFUNCTION("""COMPUTED_VALUE"""),2252407)</f>
        <v>2252407</v>
      </c>
      <c r="G786" s="40" t="str">
        <f ca="1">IFERROR(__xludf.DUMMYFUNCTION("""COMPUTED_VALUE"""),"TECNÓLOGO")</f>
        <v>TECNÓLOGO</v>
      </c>
      <c r="H786" s="40" t="str">
        <f ca="1">IFERROR(__xludf.DUMMYFUNCTION("""COMPUTED_VALUE"""),"ANALISIS Y DESARROLLO DE SISTEMAS DE INFORMACION")</f>
        <v>ANALISIS Y DESARROLLO DE SISTEMAS DE INFORMACION</v>
      </c>
      <c r="I786" s="40"/>
      <c r="J786" s="40"/>
      <c r="K786" s="40"/>
      <c r="L786" s="40" t="str">
        <f ca="1">IFERROR(__xludf.DUMMYFUNCTION("""COMPUTED_VALUE"""),"PASANTÍAS")</f>
        <v>PASANTÍAS</v>
      </c>
      <c r="M786" s="40" t="str">
        <f ca="1">IFERROR(__xludf.DUMMYFUNCTION("""COMPUTED_VALUE"""),"EMPRESA INMOBILIARIA ASESORIAS Y SEGUROS DEL HUILA")</f>
        <v>EMPRESA INMOBILIARIA ASESORIAS Y SEGUROS DEL HUILA</v>
      </c>
      <c r="N786" s="40" t="str">
        <f ca="1">IFERROR(__xludf.DUMMYFUNCTION("""COMPUTED_VALUE"""),"CLL 6 N° 3-55 CENTRO COMERCIAL UNI PLAZA OFICINA 7")</f>
        <v>CLL 6 N° 3-55 CENTRO COMERCIAL UNI PLAZA OFICINA 7</v>
      </c>
      <c r="O786" s="40">
        <f ca="1">IFERROR(__xludf.DUMMYFUNCTION("""COMPUTED_VALUE"""),3102164881)</f>
        <v>3102164881</v>
      </c>
      <c r="P786" s="40" t="str">
        <f ca="1">IFERROR(__xludf.DUMMYFUNCTION("""COMPUTED_VALUE"""),"PITALITO")</f>
        <v>PITALITO</v>
      </c>
      <c r="Q786" s="40" t="str">
        <f ca="1">IFERROR(__xludf.DUMMYFUNCTION("""COMPUTED_VALUE"""),"Inmobiliaria.asdelhuila@gmail.com")</f>
        <v>Inmobiliaria.asdelhuila@gmail.com</v>
      </c>
      <c r="R786" s="140">
        <f ca="1">IFERROR(__xludf.DUMMYFUNCTION("""COMPUTED_VALUE"""),44733)</f>
        <v>44733</v>
      </c>
      <c r="S786" s="140">
        <f ca="1">IFERROR(__xludf.DUMMYFUNCTION("""COMPUTED_VALUE"""),44917)</f>
        <v>44917</v>
      </c>
      <c r="T786" s="40" t="str">
        <f ca="1">IFERROR(__xludf.DUMMYFUNCTION("""COMPUTED_VALUE"""),"Tiene Acuerdo de Voluntades, Parcial y Bitácoras 1,2,3,4  y 5 ..Falta Final y bitácoras 6,7,8,9,10,11 y 12...Revisado 19/09/2022")</f>
        <v>Tiene Acuerdo de Voluntades, Parcial y Bitácoras 1,2,3,4  y 5 ..Falta Final y bitácoras 6,7,8,9,10,11 y 12...Revisado 19/09/2022</v>
      </c>
      <c r="U786" s="40" t="str">
        <f ca="1">IFERROR(__xludf.DUMMYFUNCTION("""COMPUTED_VALUE"""),"Eduar Triana - Subió Parcial y Bitácoras 1,2,3,4 y 5... Revisado 19/09/2022")</f>
        <v>Eduar Triana - Subió Parcial y Bitácoras 1,2,3,4 y 5... Revisado 19/09/2022</v>
      </c>
      <c r="V786" s="40" t="str">
        <f ca="1">IFERROR(__xludf.DUMMYFUNCTION("""COMPUTED_VALUE"""),"Si tiene seguimiento 19/09/2022")</f>
        <v>Si tiene seguimiento 19/09/2022</v>
      </c>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t="str">
        <f ca="1">IFERROR(__xludf.DUMMYFUNCTION("""COMPUTED_VALUE"""),"Procede_E_P")</f>
        <v>Procede_E_P</v>
      </c>
      <c r="AV786" s="40" t="str">
        <f ca="1">IFERROR(__xludf.DUMMYFUNCTION("""COMPUTED_VALUE"""),"EN FORMACION")</f>
        <v>EN FORMACION</v>
      </c>
      <c r="AW786" s="40" t="str">
        <f ca="1">IFERROR(__xludf.DUMMYFUNCTION("""COMPUTED_VALUE"""),"TIC")</f>
        <v>TIC</v>
      </c>
      <c r="AX786" s="141">
        <f ca="1">IFERROR(__xludf.DUMMYFUNCTION("""COMPUTED_VALUE"""),0)</f>
        <v>0</v>
      </c>
      <c r="AY786" s="40">
        <f ca="1">IFERROR(__xludf.DUMMYFUNCTION("""COMPUTED_VALUE"""),0)</f>
        <v>0</v>
      </c>
      <c r="AZ786" s="40">
        <f ca="1">IFERROR(__xludf.DUMMYFUNCTION("""COMPUTED_VALUE"""),1)</f>
        <v>1</v>
      </c>
      <c r="BA786" s="40">
        <f ca="1">IFERROR(__xludf.DUMMYFUNCTION("""COMPUTED_VALUE"""),0)</f>
        <v>0</v>
      </c>
      <c r="BB786" s="40">
        <f ca="1">IFERROR(__xludf.DUMMYFUNCTION("""COMPUTED_VALUE"""),0)</f>
        <v>0</v>
      </c>
      <c r="BC786" s="40">
        <f ca="1">IFERROR(__xludf.DUMMYFUNCTION("""COMPUTED_VALUE"""),1)</f>
        <v>1</v>
      </c>
      <c r="BD786" s="141">
        <f ca="1">IFERROR(__xludf.DUMMYFUNCTION("""COMPUTED_VALUE"""),44183)</f>
        <v>44183</v>
      </c>
      <c r="BE786" s="141">
        <f ca="1">IFERROR(__xludf.DUMMYFUNCTION("""COMPUTED_VALUE"""),44729)</f>
        <v>44729</v>
      </c>
      <c r="BF786" s="141">
        <f ca="1">IFERROR(__xludf.DUMMYFUNCTION("""COMPUTED_VALUE"""),44912)</f>
        <v>44912</v>
      </c>
      <c r="BG786" s="141">
        <f ca="1">IFERROR(__xludf.DUMMYFUNCTION("""COMPUTED_VALUE"""),45460)</f>
        <v>45460</v>
      </c>
      <c r="BH786" s="40" t="str">
        <f ca="1">IFERROR(__xludf.DUMMYFUNCTION("""COMPUTED_VALUE"""),"FICHA EN TIEMPO-18 MESES")</f>
        <v>FICHA EN TIEMPO-18 MESES</v>
      </c>
      <c r="BI786" s="40" t="str">
        <f ca="1">IFERROR(__xludf.DUMMYFUNCTION("""COMPUTED_VALUE"""),"En ejecucion")</f>
        <v>En ejecucion</v>
      </c>
      <c r="BJ786" s="40" t="str">
        <f ca="1">IFERROR(__xludf.DUMMYFUNCTION("""COMPUTED_VALUE"""),"Yamboro")</f>
        <v>Yamboro</v>
      </c>
      <c r="BK786" s="40"/>
      <c r="BL786" s="40"/>
    </row>
    <row r="787" spans="1:64" ht="13">
      <c r="A787" s="40"/>
      <c r="B787" s="40" t="str">
        <f ca="1">IFERROR(__xludf.DUMMYFUNCTION("""COMPUTED_VALUE"""),"FORMACIÓN 18/10/2022")</f>
        <v>FORMACIÓN 18/10/2022</v>
      </c>
      <c r="C787" s="40" t="str">
        <f ca="1">IFERROR(__xludf.DUMMYFUNCTION("""COMPUTED_VALUE"""),"EDINSON DAVID BARRERA LUGO")</f>
        <v>EDINSON DAVID BARRERA LUGO</v>
      </c>
      <c r="D787" s="40" t="str">
        <f ca="1">IFERROR(__xludf.DUMMYFUNCTION("""COMPUTED_VALUE"""),"CC")</f>
        <v>CC</v>
      </c>
      <c r="E787" s="40">
        <f ca="1">IFERROR(__xludf.DUMMYFUNCTION("""COMPUTED_VALUE"""),1006947348)</f>
        <v>1006947348</v>
      </c>
      <c r="F787" s="40">
        <f ca="1">IFERROR(__xludf.DUMMYFUNCTION("""COMPUTED_VALUE"""),2252407)</f>
        <v>2252407</v>
      </c>
      <c r="G787" s="40" t="str">
        <f ca="1">IFERROR(__xludf.DUMMYFUNCTION("""COMPUTED_VALUE"""),"TECNÓLOGO")</f>
        <v>TECNÓLOGO</v>
      </c>
      <c r="H787" s="40" t="str">
        <f ca="1">IFERROR(__xludf.DUMMYFUNCTION("""COMPUTED_VALUE"""),"ANALISIS Y DESARROLLO DE SISTEMAS DE INFORMACION")</f>
        <v>ANALISIS Y DESARROLLO DE SISTEMAS DE INFORMACION</v>
      </c>
      <c r="I787" s="40">
        <f ca="1">IFERROR(__xludf.DUMMYFUNCTION("""COMPUTED_VALUE"""),3102833525)</f>
        <v>3102833525</v>
      </c>
      <c r="J787" s="40" t="str">
        <f ca="1">IFERROR(__xludf.DUMMYFUNCTION("""COMPUTED_VALUE"""),"edbarrera84@misena.edu.co")</f>
        <v>edbarrera84@misena.edu.co</v>
      </c>
      <c r="K787" s="40" t="str">
        <f ca="1">IFERROR(__xludf.DUMMYFUNCTION("""COMPUTED_VALUE"""),"PITALITO")</f>
        <v>PITALITO</v>
      </c>
      <c r="L787" s="40" t="str">
        <f ca="1">IFERROR(__xludf.DUMMYFUNCTION("""COMPUTED_VALUE"""),"PASANTÍAS")</f>
        <v>PASANTÍAS</v>
      </c>
      <c r="M787" s="40" t="str">
        <f ca="1">IFERROR(__xludf.DUMMYFUNCTION("""COMPUTED_VALUE"""),"SENTO DE GESTIÓN Y DESARROLLO SUR COLOMBIANO SENA ")</f>
        <v xml:space="preserve">SENTO DE GESTIÓN Y DESARROLLO SUR COLOMBIANO SENA </v>
      </c>
      <c r="N787" s="40"/>
      <c r="O787" s="40"/>
      <c r="P787" s="40"/>
      <c r="Q787" s="40"/>
      <c r="R787" s="140">
        <f ca="1">IFERROR(__xludf.DUMMYFUNCTION("""COMPUTED_VALUE"""),44747)</f>
        <v>44747</v>
      </c>
      <c r="S787" s="140">
        <f ca="1">IFERROR(__xludf.DUMMYFUNCTION("""COMPUTED_VALUE"""),44930)</f>
        <v>44930</v>
      </c>
      <c r="T787" s="40"/>
      <c r="U787" s="40" t="str">
        <f ca="1">IFERROR(__xludf.DUMMYFUNCTION("""COMPUTED_VALUE"""),"Eduar Triana ")</f>
        <v xml:space="preserve">Eduar Triana </v>
      </c>
      <c r="V787" s="40" t="str">
        <f ca="1">IFERROR(__xludf.DUMMYFUNCTION("""COMPUTED_VALUE"""),"No tiene seguimineto 29/06/2022")</f>
        <v>No tiene seguimineto 29/06/2022</v>
      </c>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t="str">
        <f ca="1">IFERROR(__xludf.DUMMYFUNCTION("""COMPUTED_VALUE"""),"Procede_E_P")</f>
        <v>Procede_E_P</v>
      </c>
      <c r="AV787" s="40" t="str">
        <f ca="1">IFERROR(__xludf.DUMMYFUNCTION("""COMPUTED_VALUE"""),"EN FORMACION")</f>
        <v>EN FORMACION</v>
      </c>
      <c r="AW787" s="40" t="str">
        <f ca="1">IFERROR(__xludf.DUMMYFUNCTION("""COMPUTED_VALUE"""),"TIC")</f>
        <v>TIC</v>
      </c>
      <c r="AX787" s="141">
        <f ca="1">IFERROR(__xludf.DUMMYFUNCTION("""COMPUTED_VALUE"""),0)</f>
        <v>0</v>
      </c>
      <c r="AY787" s="40">
        <f ca="1">IFERROR(__xludf.DUMMYFUNCTION("""COMPUTED_VALUE"""),0)</f>
        <v>0</v>
      </c>
      <c r="AZ787" s="40">
        <f ca="1">IFERROR(__xludf.DUMMYFUNCTION("""COMPUTED_VALUE"""),1)</f>
        <v>1</v>
      </c>
      <c r="BA787" s="40">
        <f ca="1">IFERROR(__xludf.DUMMYFUNCTION("""COMPUTED_VALUE"""),0)</f>
        <v>0</v>
      </c>
      <c r="BB787" s="40">
        <f ca="1">IFERROR(__xludf.DUMMYFUNCTION("""COMPUTED_VALUE"""),0)</f>
        <v>0</v>
      </c>
      <c r="BC787" s="40">
        <f ca="1">IFERROR(__xludf.DUMMYFUNCTION("""COMPUTED_VALUE"""),1)</f>
        <v>1</v>
      </c>
      <c r="BD787" s="141">
        <f ca="1">IFERROR(__xludf.DUMMYFUNCTION("""COMPUTED_VALUE"""),44183)</f>
        <v>44183</v>
      </c>
      <c r="BE787" s="141">
        <f ca="1">IFERROR(__xludf.DUMMYFUNCTION("""COMPUTED_VALUE"""),44729)</f>
        <v>44729</v>
      </c>
      <c r="BF787" s="141">
        <f ca="1">IFERROR(__xludf.DUMMYFUNCTION("""COMPUTED_VALUE"""),44912)</f>
        <v>44912</v>
      </c>
      <c r="BG787" s="141">
        <f ca="1">IFERROR(__xludf.DUMMYFUNCTION("""COMPUTED_VALUE"""),45460)</f>
        <v>45460</v>
      </c>
      <c r="BH787" s="40" t="str">
        <f ca="1">IFERROR(__xludf.DUMMYFUNCTION("""COMPUTED_VALUE"""),"FICHA EN TIEMPO-18 MESES")</f>
        <v>FICHA EN TIEMPO-18 MESES</v>
      </c>
      <c r="BI787" s="40" t="str">
        <f ca="1">IFERROR(__xludf.DUMMYFUNCTION("""COMPUTED_VALUE"""),"En ejecucion")</f>
        <v>En ejecucion</v>
      </c>
      <c r="BJ787" s="40" t="str">
        <f ca="1">IFERROR(__xludf.DUMMYFUNCTION("""COMPUTED_VALUE"""),"Yamboro")</f>
        <v>Yamboro</v>
      </c>
      <c r="BK787" s="40"/>
      <c r="BL787" s="40"/>
    </row>
    <row r="788" spans="1:64" ht="13">
      <c r="A788" s="40"/>
      <c r="B788" s="40" t="str">
        <f ca="1">IFERROR(__xludf.DUMMYFUNCTION("""COMPUTED_VALUE"""),"FORMACIÓN 18/10/2022")</f>
        <v>FORMACIÓN 18/10/2022</v>
      </c>
      <c r="C788" s="40" t="str">
        <f ca="1">IFERROR(__xludf.DUMMYFUNCTION("""COMPUTED_VALUE"""),"EVELIN MANUELA BERMEO CALDERON")</f>
        <v>EVELIN MANUELA BERMEO CALDERON</v>
      </c>
      <c r="D788" s="40" t="str">
        <f ca="1">IFERROR(__xludf.DUMMYFUNCTION("""COMPUTED_VALUE"""),"CC")</f>
        <v>CC</v>
      </c>
      <c r="E788" s="40">
        <f ca="1">IFERROR(__xludf.DUMMYFUNCTION("""COMPUTED_VALUE"""),1007163342)</f>
        <v>1007163342</v>
      </c>
      <c r="F788" s="40">
        <f ca="1">IFERROR(__xludf.DUMMYFUNCTION("""COMPUTED_VALUE"""),2252407)</f>
        <v>2252407</v>
      </c>
      <c r="G788" s="40" t="str">
        <f ca="1">IFERROR(__xludf.DUMMYFUNCTION("""COMPUTED_VALUE"""),"TECNÓLOGO")</f>
        <v>TECNÓLOGO</v>
      </c>
      <c r="H788" s="40" t="str">
        <f ca="1">IFERROR(__xludf.DUMMYFUNCTION("""COMPUTED_VALUE"""),"ANALISIS Y DESARROLLO DE SISTEMAS DE INFORMACION")</f>
        <v>ANALISIS Y DESARROLLO DE SISTEMAS DE INFORMACION</v>
      </c>
      <c r="I788" s="40"/>
      <c r="J788" s="40" t="str">
        <f ca="1">IFERROR(__xludf.DUMMYFUNCTION("""COMPUTED_VALUE"""),"evelinbermeo05@gmail.com CORREO")</f>
        <v>evelinbermeo05@gmail.com CORREO</v>
      </c>
      <c r="K788" s="40"/>
      <c r="L788" s="40" t="str">
        <f ca="1">IFERROR(__xludf.DUMMYFUNCTION("""COMPUTED_VALUE"""),"PASANTÍAS")</f>
        <v>PASANTÍAS</v>
      </c>
      <c r="M788" s="40" t="str">
        <f ca="1">IFERROR(__xludf.DUMMYFUNCTION("""COMPUTED_VALUE"""),"FINCA VILLA RICA ")</f>
        <v xml:space="preserve">FINCA VILLA RICA </v>
      </c>
      <c r="N788" s="40" t="str">
        <f ca="1">IFERROR(__xludf.DUMMYFUNCTION("""COMPUTED_VALUE"""),"VEREDA HIGUERON FINCA VILLA RICA ")</f>
        <v xml:space="preserve">VEREDA HIGUERON FINCA VILLA RICA </v>
      </c>
      <c r="O788" s="40"/>
      <c r="P788" s="40" t="str">
        <f ca="1">IFERROR(__xludf.DUMMYFUNCTION("""COMPUTED_VALUE"""),"GUACACALLO ")</f>
        <v xml:space="preserve">GUACACALLO </v>
      </c>
      <c r="Q788" s="40" t="str">
        <f ca="1">IFERROR(__xludf.DUMMYFUNCTION("""COMPUTED_VALUE"""),"gimnasiocolinacampestre@gmail.com")</f>
        <v>gimnasiocolinacampestre@gmail.com</v>
      </c>
      <c r="R788" s="140">
        <f ca="1">IFERROR(__xludf.DUMMYFUNCTION("""COMPUTED_VALUE"""),44734)</f>
        <v>44734</v>
      </c>
      <c r="S788" s="140">
        <f ca="1">IFERROR(__xludf.DUMMYFUNCTION("""COMPUTED_VALUE"""),44916)</f>
        <v>44916</v>
      </c>
      <c r="T788" s="40" t="str">
        <f ca="1">IFERROR(__xludf.DUMMYFUNCTION("""COMPUTED_VALUE"""),"Tiene Acuerdo de Voluntades, Parcial y Bitácoras 1,2,3,4  y 5 ..Falta Final y bitácoras 6,7,8,9,10,11 y 12...Revisado 22/09/2022")</f>
        <v>Tiene Acuerdo de Voluntades, Parcial y Bitácoras 1,2,3,4  y 5 ..Falta Final y bitácoras 6,7,8,9,10,11 y 12...Revisado 22/09/2022</v>
      </c>
      <c r="U788" s="40" t="str">
        <f ca="1">IFERROR(__xludf.DUMMYFUNCTION("""COMPUTED_VALUE"""),"Eduar Triana - Subió Parcial y Bitácoras 1,2,3,4 y 5... Revisado 22/09/2022")</f>
        <v>Eduar Triana - Subió Parcial y Bitácoras 1,2,3,4 y 5... Revisado 22/09/2022</v>
      </c>
      <c r="V788" s="40" t="str">
        <f ca="1">IFERROR(__xludf.DUMMYFUNCTION("""COMPUTED_VALUE"""),"Si tiene seguimiento03/03/2023")</f>
        <v>Si tiene seguimiento03/03/2023</v>
      </c>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t="str">
        <f ca="1">IFERROR(__xludf.DUMMYFUNCTION("""COMPUTED_VALUE"""),"Procede_E_P")</f>
        <v>Procede_E_P</v>
      </c>
      <c r="AV788" s="40" t="str">
        <f ca="1">IFERROR(__xludf.DUMMYFUNCTION("""COMPUTED_VALUE"""),"EN FORMACION")</f>
        <v>EN FORMACION</v>
      </c>
      <c r="AW788" s="40" t="str">
        <f ca="1">IFERROR(__xludf.DUMMYFUNCTION("""COMPUTED_VALUE"""),"TIC")</f>
        <v>TIC</v>
      </c>
      <c r="AX788" s="141">
        <f ca="1">IFERROR(__xludf.DUMMYFUNCTION("""COMPUTED_VALUE"""),0)</f>
        <v>0</v>
      </c>
      <c r="AY788" s="40">
        <f ca="1">IFERROR(__xludf.DUMMYFUNCTION("""COMPUTED_VALUE"""),0)</f>
        <v>0</v>
      </c>
      <c r="AZ788" s="40">
        <f ca="1">IFERROR(__xludf.DUMMYFUNCTION("""COMPUTED_VALUE"""),1)</f>
        <v>1</v>
      </c>
      <c r="BA788" s="40">
        <f ca="1">IFERROR(__xludf.DUMMYFUNCTION("""COMPUTED_VALUE"""),0)</f>
        <v>0</v>
      </c>
      <c r="BB788" s="40">
        <f ca="1">IFERROR(__xludf.DUMMYFUNCTION("""COMPUTED_VALUE"""),0)</f>
        <v>0</v>
      </c>
      <c r="BC788" s="40">
        <f ca="1">IFERROR(__xludf.DUMMYFUNCTION("""COMPUTED_VALUE"""),1)</f>
        <v>1</v>
      </c>
      <c r="BD788" s="141">
        <f ca="1">IFERROR(__xludf.DUMMYFUNCTION("""COMPUTED_VALUE"""),44183)</f>
        <v>44183</v>
      </c>
      <c r="BE788" s="141">
        <f ca="1">IFERROR(__xludf.DUMMYFUNCTION("""COMPUTED_VALUE"""),44729)</f>
        <v>44729</v>
      </c>
      <c r="BF788" s="141">
        <f ca="1">IFERROR(__xludf.DUMMYFUNCTION("""COMPUTED_VALUE"""),44912)</f>
        <v>44912</v>
      </c>
      <c r="BG788" s="141">
        <f ca="1">IFERROR(__xludf.DUMMYFUNCTION("""COMPUTED_VALUE"""),45460)</f>
        <v>45460</v>
      </c>
      <c r="BH788" s="40" t="str">
        <f ca="1">IFERROR(__xludf.DUMMYFUNCTION("""COMPUTED_VALUE"""),"FICHA EN TIEMPO-18 MESES")</f>
        <v>FICHA EN TIEMPO-18 MESES</v>
      </c>
      <c r="BI788" s="40" t="str">
        <f ca="1">IFERROR(__xludf.DUMMYFUNCTION("""COMPUTED_VALUE"""),"En ejecucion")</f>
        <v>En ejecucion</v>
      </c>
      <c r="BJ788" s="40" t="str">
        <f ca="1">IFERROR(__xludf.DUMMYFUNCTION("""COMPUTED_VALUE"""),"Yamboro")</f>
        <v>Yamboro</v>
      </c>
      <c r="BK788" s="40"/>
      <c r="BL788" s="40"/>
    </row>
    <row r="789" spans="1:64" ht="13">
      <c r="A789" s="40"/>
      <c r="B789" s="40" t="str">
        <f ca="1">IFERROR(__xludf.DUMMYFUNCTION("""COMPUTED_VALUE"""),"FORMACIÓN 18/10/2022")</f>
        <v>FORMACIÓN 18/10/2022</v>
      </c>
      <c r="C789" s="40" t="str">
        <f ca="1">IFERROR(__xludf.DUMMYFUNCTION("""COMPUTED_VALUE"""),"JHON ALEJANDRO MUNERA CIFUENTES")</f>
        <v>JHON ALEJANDRO MUNERA CIFUENTES</v>
      </c>
      <c r="D789" s="40" t="str">
        <f ca="1">IFERROR(__xludf.DUMMYFUNCTION("""COMPUTED_VALUE"""),"TI")</f>
        <v>TI</v>
      </c>
      <c r="E789" s="40">
        <f ca="1">IFERROR(__xludf.DUMMYFUNCTION("""COMPUTED_VALUE"""),1007443861)</f>
        <v>1007443861</v>
      </c>
      <c r="F789" s="40">
        <f ca="1">IFERROR(__xludf.DUMMYFUNCTION("""COMPUTED_VALUE"""),2252407)</f>
        <v>2252407</v>
      </c>
      <c r="G789" s="40" t="str">
        <f ca="1">IFERROR(__xludf.DUMMYFUNCTION("""COMPUTED_VALUE"""),"TECNÓLOGO")</f>
        <v>TECNÓLOGO</v>
      </c>
      <c r="H789" s="40" t="str">
        <f ca="1">IFERROR(__xludf.DUMMYFUNCTION("""COMPUTED_VALUE"""),"ANALISIS Y DESARROLLO DE SISTEMAS DE INFORMACION")</f>
        <v>ANALISIS Y DESARROLLO DE SISTEMAS DE INFORMACION</v>
      </c>
      <c r="I789" s="40"/>
      <c r="J789" s="40"/>
      <c r="K789" s="40"/>
      <c r="L789" s="40" t="str">
        <f ca="1">IFERROR(__xludf.DUMMYFUNCTION("""COMPUTED_VALUE"""),"NO HA INICIADO ETAPA PRODUCTIVA")</f>
        <v>NO HA INICIADO ETAPA PRODUCTIVA</v>
      </c>
      <c r="M789" s="40"/>
      <c r="N789" s="40"/>
      <c r="O789" s="40"/>
      <c r="P789" s="40"/>
      <c r="Q789" s="40"/>
      <c r="R789" s="140"/>
      <c r="S789" s="140"/>
      <c r="T789" s="40"/>
      <c r="U789" s="40" t="str">
        <f ca="1">IFERROR(__xludf.DUMMYFUNCTION("""COMPUTED_VALUE"""),"Eduar Triana ")</f>
        <v xml:space="preserve">Eduar Triana </v>
      </c>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t="str">
        <f ca="1">IFERROR(__xludf.DUMMYFUNCTION("""COMPUTED_VALUE"""),"NO_CUMPLE")</f>
        <v>NO_CUMPLE</v>
      </c>
      <c r="AV789" s="40" t="str">
        <f ca="1">IFERROR(__xludf.DUMMYFUNCTION("""COMPUTED_VALUE"""),"EN FORMACION")</f>
        <v>EN FORMACION</v>
      </c>
      <c r="AW789" s="40" t="str">
        <f ca="1">IFERROR(__xludf.DUMMYFUNCTION("""COMPUTED_VALUE"""),"TIC")</f>
        <v>TIC</v>
      </c>
      <c r="AX789" s="141">
        <f ca="1">IFERROR(__xludf.DUMMYFUNCTION("""COMPUTED_VALUE"""),9)</f>
        <v>9</v>
      </c>
      <c r="AY789" s="40">
        <f ca="1">IFERROR(__xludf.DUMMYFUNCTION("""COMPUTED_VALUE"""),9)</f>
        <v>9</v>
      </c>
      <c r="AZ789" s="40">
        <f ca="1">IFERROR(__xludf.DUMMYFUNCTION("""COMPUTED_VALUE"""),1)</f>
        <v>1</v>
      </c>
      <c r="BA789" s="40">
        <f ca="1">IFERROR(__xludf.DUMMYFUNCTION("""COMPUTED_VALUE"""),15)</f>
        <v>15</v>
      </c>
      <c r="BB789" s="40">
        <f ca="1">IFERROR(__xludf.DUMMYFUNCTION("""COMPUTED_VALUE"""),30)</f>
        <v>30</v>
      </c>
      <c r="BC789" s="40">
        <f ca="1">IFERROR(__xludf.DUMMYFUNCTION("""COMPUTED_VALUE"""),55)</f>
        <v>55</v>
      </c>
      <c r="BD789" s="141">
        <f ca="1">IFERROR(__xludf.DUMMYFUNCTION("""COMPUTED_VALUE"""),44183)</f>
        <v>44183</v>
      </c>
      <c r="BE789" s="141">
        <f ca="1">IFERROR(__xludf.DUMMYFUNCTION("""COMPUTED_VALUE"""),44729)</f>
        <v>44729</v>
      </c>
      <c r="BF789" s="141">
        <f ca="1">IFERROR(__xludf.DUMMYFUNCTION("""COMPUTED_VALUE"""),44912)</f>
        <v>44912</v>
      </c>
      <c r="BG789" s="141">
        <f ca="1">IFERROR(__xludf.DUMMYFUNCTION("""COMPUTED_VALUE"""),45460)</f>
        <v>45460</v>
      </c>
      <c r="BH789" s="40" t="str">
        <f ca="1">IFERROR(__xludf.DUMMYFUNCTION("""COMPUTED_VALUE"""),"FICHA EN TIEMPO-18 MESES")</f>
        <v>FICHA EN TIEMPO-18 MESES</v>
      </c>
      <c r="BI789" s="40" t="str">
        <f ca="1">IFERROR(__xludf.DUMMYFUNCTION("""COMPUTED_VALUE"""),"En ejecucion")</f>
        <v>En ejecucion</v>
      </c>
      <c r="BJ789" s="40" t="str">
        <f ca="1">IFERROR(__xludf.DUMMYFUNCTION("""COMPUTED_VALUE"""),"Yamboro")</f>
        <v>Yamboro</v>
      </c>
      <c r="BK789" s="40"/>
      <c r="BL789" s="40"/>
    </row>
    <row r="790" spans="1:64" ht="13">
      <c r="A790" s="40"/>
      <c r="B790" s="40" t="str">
        <f ca="1">IFERROR(__xludf.DUMMYFUNCTION("""COMPUTED_VALUE"""),"FORMACIÓN 18/10/2022")</f>
        <v>FORMACIÓN 18/10/2022</v>
      </c>
      <c r="C790" s="40" t="str">
        <f ca="1">IFERROR(__xludf.DUMMYFUNCTION("""COMPUTED_VALUE"""),"NELSON STIVEN TRIANA NARVAEZ")</f>
        <v>NELSON STIVEN TRIANA NARVAEZ</v>
      </c>
      <c r="D790" s="40" t="str">
        <f ca="1">IFERROR(__xludf.DUMMYFUNCTION("""COMPUTED_VALUE"""),"TI")</f>
        <v>TI</v>
      </c>
      <c r="E790" s="40">
        <f ca="1">IFERROR(__xludf.DUMMYFUNCTION("""COMPUTED_VALUE"""),1080180314)</f>
        <v>1080180314</v>
      </c>
      <c r="F790" s="40">
        <f ca="1">IFERROR(__xludf.DUMMYFUNCTION("""COMPUTED_VALUE"""),2252407)</f>
        <v>2252407</v>
      </c>
      <c r="G790" s="40" t="str">
        <f ca="1">IFERROR(__xludf.DUMMYFUNCTION("""COMPUTED_VALUE"""),"TECNÓLOGO")</f>
        <v>TECNÓLOGO</v>
      </c>
      <c r="H790" s="40" t="str">
        <f ca="1">IFERROR(__xludf.DUMMYFUNCTION("""COMPUTED_VALUE"""),"ANALISIS Y DESARROLLO DE SISTEMAS DE INFORMACION")</f>
        <v>ANALISIS Y DESARROLLO DE SISTEMAS DE INFORMACION</v>
      </c>
      <c r="I790" s="40"/>
      <c r="J790" s="40"/>
      <c r="K790" s="40"/>
      <c r="L790" s="40" t="str">
        <f ca="1">IFERROR(__xludf.DUMMYFUNCTION("""COMPUTED_VALUE"""),"NO HA INICIADO ETAPA PRODUCTIVA")</f>
        <v>NO HA INICIADO ETAPA PRODUCTIVA</v>
      </c>
      <c r="M790" s="40"/>
      <c r="N790" s="40"/>
      <c r="O790" s="40"/>
      <c r="P790" s="40"/>
      <c r="Q790" s="40"/>
      <c r="R790" s="140"/>
      <c r="S790" s="140"/>
      <c r="T790" s="40"/>
      <c r="U790" s="40" t="str">
        <f ca="1">IFERROR(__xludf.DUMMYFUNCTION("""COMPUTED_VALUE"""),"Eduar Triana ")</f>
        <v xml:space="preserve">Eduar Triana </v>
      </c>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t="str">
        <f ca="1">IFERROR(__xludf.DUMMYFUNCTION("""COMPUTED_VALUE"""),"NO_CUMPLE")</f>
        <v>NO_CUMPLE</v>
      </c>
      <c r="AV790" s="40" t="str">
        <f ca="1">IFERROR(__xludf.DUMMYFUNCTION("""COMPUTED_VALUE"""),"EN FORMACION")</f>
        <v>EN FORMACION</v>
      </c>
      <c r="AW790" s="40" t="str">
        <f ca="1">IFERROR(__xludf.DUMMYFUNCTION("""COMPUTED_VALUE"""),"TIC")</f>
        <v>TIC</v>
      </c>
      <c r="AX790" s="141">
        <f ca="1">IFERROR(__xludf.DUMMYFUNCTION("""COMPUTED_VALUE"""),9)</f>
        <v>9</v>
      </c>
      <c r="AY790" s="40">
        <f ca="1">IFERROR(__xludf.DUMMYFUNCTION("""COMPUTED_VALUE"""),9)</f>
        <v>9</v>
      </c>
      <c r="AZ790" s="40">
        <f ca="1">IFERROR(__xludf.DUMMYFUNCTION("""COMPUTED_VALUE"""),1)</f>
        <v>1</v>
      </c>
      <c r="BA790" s="40">
        <f ca="1">IFERROR(__xludf.DUMMYFUNCTION("""COMPUTED_VALUE"""),15)</f>
        <v>15</v>
      </c>
      <c r="BB790" s="40">
        <f ca="1">IFERROR(__xludf.DUMMYFUNCTION("""COMPUTED_VALUE"""),29)</f>
        <v>29</v>
      </c>
      <c r="BC790" s="40">
        <f ca="1">IFERROR(__xludf.DUMMYFUNCTION("""COMPUTED_VALUE"""),54)</f>
        <v>54</v>
      </c>
      <c r="BD790" s="141">
        <f ca="1">IFERROR(__xludf.DUMMYFUNCTION("""COMPUTED_VALUE"""),44183)</f>
        <v>44183</v>
      </c>
      <c r="BE790" s="141">
        <f ca="1">IFERROR(__xludf.DUMMYFUNCTION("""COMPUTED_VALUE"""),44729)</f>
        <v>44729</v>
      </c>
      <c r="BF790" s="141">
        <f ca="1">IFERROR(__xludf.DUMMYFUNCTION("""COMPUTED_VALUE"""),44912)</f>
        <v>44912</v>
      </c>
      <c r="BG790" s="141">
        <f ca="1">IFERROR(__xludf.DUMMYFUNCTION("""COMPUTED_VALUE"""),45460)</f>
        <v>45460</v>
      </c>
      <c r="BH790" s="40" t="str">
        <f ca="1">IFERROR(__xludf.DUMMYFUNCTION("""COMPUTED_VALUE"""),"FICHA EN TIEMPO-18 MESES")</f>
        <v>FICHA EN TIEMPO-18 MESES</v>
      </c>
      <c r="BI790" s="40" t="str">
        <f ca="1">IFERROR(__xludf.DUMMYFUNCTION("""COMPUTED_VALUE"""),"En ejecucion")</f>
        <v>En ejecucion</v>
      </c>
      <c r="BJ790" s="40" t="str">
        <f ca="1">IFERROR(__xludf.DUMMYFUNCTION("""COMPUTED_VALUE"""),"Yamboro")</f>
        <v>Yamboro</v>
      </c>
      <c r="BK790" s="40"/>
      <c r="BL790" s="40"/>
    </row>
    <row r="791" spans="1:64" ht="13">
      <c r="A791" s="40"/>
      <c r="B791" s="40" t="str">
        <f ca="1">IFERROR(__xludf.DUMMYFUNCTION("""COMPUTED_VALUE"""),"FORMACIÓN 18/10/2022")</f>
        <v>FORMACIÓN 18/10/2022</v>
      </c>
      <c r="C791" s="40" t="str">
        <f ca="1">IFERROR(__xludf.DUMMYFUNCTION("""COMPUTED_VALUE"""),"NORMA VANESSA ANACONA ANACONA")</f>
        <v>NORMA VANESSA ANACONA ANACONA</v>
      </c>
      <c r="D791" s="40" t="str">
        <f ca="1">IFERROR(__xludf.DUMMYFUNCTION("""COMPUTED_VALUE"""),"TI")</f>
        <v>TI</v>
      </c>
      <c r="E791" s="40">
        <f ca="1">IFERROR(__xludf.DUMMYFUNCTION("""COMPUTED_VALUE"""),1082772013)</f>
        <v>1082772013</v>
      </c>
      <c r="F791" s="40">
        <f ca="1">IFERROR(__xludf.DUMMYFUNCTION("""COMPUTED_VALUE"""),2252407)</f>
        <v>2252407</v>
      </c>
      <c r="G791" s="40" t="str">
        <f ca="1">IFERROR(__xludf.DUMMYFUNCTION("""COMPUTED_VALUE"""),"TECNÓLOGO")</f>
        <v>TECNÓLOGO</v>
      </c>
      <c r="H791" s="40" t="str">
        <f ca="1">IFERROR(__xludf.DUMMYFUNCTION("""COMPUTED_VALUE"""),"ANALISIS Y DESARROLLO DE SISTEMAS DE INFORMACION")</f>
        <v>ANALISIS Y DESARROLLO DE SISTEMAS DE INFORMACION</v>
      </c>
      <c r="I791" s="40"/>
      <c r="J791" s="40"/>
      <c r="K791" s="40"/>
      <c r="L791" s="40" t="str">
        <f ca="1">IFERROR(__xludf.DUMMYFUNCTION("""COMPUTED_VALUE"""),"NO HA INICIADO ETAPA PRODUCTIVA")</f>
        <v>NO HA INICIADO ETAPA PRODUCTIVA</v>
      </c>
      <c r="M791" s="40"/>
      <c r="N791" s="40"/>
      <c r="O791" s="40"/>
      <c r="P791" s="40"/>
      <c r="Q791" s="40"/>
      <c r="R791" s="140"/>
      <c r="S791" s="140"/>
      <c r="T791" s="40"/>
      <c r="U791" s="40" t="str">
        <f ca="1">IFERROR(__xludf.DUMMYFUNCTION("""COMPUTED_VALUE"""),"Eduar Triana ")</f>
        <v xml:space="preserve">Eduar Triana </v>
      </c>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t="str">
        <f ca="1">IFERROR(__xludf.DUMMYFUNCTION("""COMPUTED_VALUE"""),"NO_CUMPLE")</f>
        <v>NO_CUMPLE</v>
      </c>
      <c r="AV791" s="40" t="str">
        <f ca="1">IFERROR(__xludf.DUMMYFUNCTION("""COMPUTED_VALUE"""),"EN FORMACION")</f>
        <v>EN FORMACION</v>
      </c>
      <c r="AW791" s="40" t="str">
        <f ca="1">IFERROR(__xludf.DUMMYFUNCTION("""COMPUTED_VALUE"""),"TIC")</f>
        <v>TIC</v>
      </c>
      <c r="AX791" s="141">
        <f ca="1">IFERROR(__xludf.DUMMYFUNCTION("""COMPUTED_VALUE"""),14)</f>
        <v>14</v>
      </c>
      <c r="AY791" s="40">
        <f ca="1">IFERROR(__xludf.DUMMYFUNCTION("""COMPUTED_VALUE"""),14)</f>
        <v>14</v>
      </c>
      <c r="AZ791" s="40">
        <f ca="1">IFERROR(__xludf.DUMMYFUNCTION("""COMPUTED_VALUE"""),1)</f>
        <v>1</v>
      </c>
      <c r="BA791" s="40">
        <f ca="1">IFERROR(__xludf.DUMMYFUNCTION("""COMPUTED_VALUE"""),15)</f>
        <v>15</v>
      </c>
      <c r="BB791" s="40">
        <f ca="1">IFERROR(__xludf.DUMMYFUNCTION("""COMPUTED_VALUE"""),33)</f>
        <v>33</v>
      </c>
      <c r="BC791" s="40">
        <f ca="1">IFERROR(__xludf.DUMMYFUNCTION("""COMPUTED_VALUE"""),63)</f>
        <v>63</v>
      </c>
      <c r="BD791" s="141">
        <f ca="1">IFERROR(__xludf.DUMMYFUNCTION("""COMPUTED_VALUE"""),44183)</f>
        <v>44183</v>
      </c>
      <c r="BE791" s="141">
        <f ca="1">IFERROR(__xludf.DUMMYFUNCTION("""COMPUTED_VALUE"""),44729)</f>
        <v>44729</v>
      </c>
      <c r="BF791" s="141">
        <f ca="1">IFERROR(__xludf.DUMMYFUNCTION("""COMPUTED_VALUE"""),44912)</f>
        <v>44912</v>
      </c>
      <c r="BG791" s="141">
        <f ca="1">IFERROR(__xludf.DUMMYFUNCTION("""COMPUTED_VALUE"""),45460)</f>
        <v>45460</v>
      </c>
      <c r="BH791" s="40" t="str">
        <f ca="1">IFERROR(__xludf.DUMMYFUNCTION("""COMPUTED_VALUE"""),"FICHA EN TIEMPO-18 MESES")</f>
        <v>FICHA EN TIEMPO-18 MESES</v>
      </c>
      <c r="BI791" s="40" t="str">
        <f ca="1">IFERROR(__xludf.DUMMYFUNCTION("""COMPUTED_VALUE"""),"En ejecucion")</f>
        <v>En ejecucion</v>
      </c>
      <c r="BJ791" s="40" t="str">
        <f ca="1">IFERROR(__xludf.DUMMYFUNCTION("""COMPUTED_VALUE"""),"Yamboro")</f>
        <v>Yamboro</v>
      </c>
      <c r="BK791" s="40"/>
      <c r="BL791" s="40"/>
    </row>
    <row r="792" spans="1:64" ht="13">
      <c r="A792" s="40"/>
      <c r="B792" s="40" t="str">
        <f ca="1">IFERROR(__xludf.DUMMYFUNCTION("""COMPUTED_VALUE"""),"FORMACIÓN 18/10/2022")</f>
        <v>FORMACIÓN 18/10/2022</v>
      </c>
      <c r="C792" s="40" t="str">
        <f ca="1">IFERROR(__xludf.DUMMYFUNCTION("""COMPUTED_VALUE"""),"YEINERI DANIELA MACHADO SOTELO")</f>
        <v>YEINERI DANIELA MACHADO SOTELO</v>
      </c>
      <c r="D792" s="40" t="str">
        <f ca="1">IFERROR(__xludf.DUMMYFUNCTION("""COMPUTED_VALUE"""),"CC")</f>
        <v>CC</v>
      </c>
      <c r="E792" s="40">
        <f ca="1">IFERROR(__xludf.DUMMYFUNCTION("""COMPUTED_VALUE"""),1083864069)</f>
        <v>1083864069</v>
      </c>
      <c r="F792" s="40">
        <f ca="1">IFERROR(__xludf.DUMMYFUNCTION("""COMPUTED_VALUE"""),2252407)</f>
        <v>2252407</v>
      </c>
      <c r="G792" s="40" t="str">
        <f ca="1">IFERROR(__xludf.DUMMYFUNCTION("""COMPUTED_VALUE"""),"TECNÓLOGO")</f>
        <v>TECNÓLOGO</v>
      </c>
      <c r="H792" s="40" t="str">
        <f ca="1">IFERROR(__xludf.DUMMYFUNCTION("""COMPUTED_VALUE"""),"ANALISIS Y DESARROLLO DE SISTEMAS DE INFORMACION")</f>
        <v>ANALISIS Y DESARROLLO DE SISTEMAS DE INFORMACION</v>
      </c>
      <c r="I792" s="40"/>
      <c r="J792" s="40" t="str">
        <f ca="1">IFERROR(__xludf.DUMMYFUNCTION("""COMPUTED_VALUE"""),"3144184632")</f>
        <v>3144184632</v>
      </c>
      <c r="K792" s="40" t="str">
        <f ca="1">IFERROR(__xludf.DUMMYFUNCTION("""COMPUTED_VALUE"""),"CORREGIMIENTO DE GUACACALLO (PITALITO).")</f>
        <v>CORREGIMIENTO DE GUACACALLO (PITALITO).</v>
      </c>
      <c r="L792" s="40" t="str">
        <f ca="1">IFERROR(__xludf.DUMMYFUNCTION("""COMPUTED_VALUE"""),"PROYECTO PRODUCTIVO ")</f>
        <v xml:space="preserve">PROYECTO PRODUCTIVO </v>
      </c>
      <c r="M792" s="40" t="str">
        <f ca="1">IFERROR(__xludf.DUMMYFUNCTION("""COMPUTED_VALUE"""),"RECNOPARQUE NODO PITALITO")</f>
        <v>RECNOPARQUE NODO PITALITO</v>
      </c>
      <c r="N792" s="40"/>
      <c r="O792" s="40"/>
      <c r="P792" s="40"/>
      <c r="Q792" s="40"/>
      <c r="R792" s="140">
        <f ca="1">IFERROR(__xludf.DUMMYFUNCTION("""COMPUTED_VALUE"""),44788)</f>
        <v>44788</v>
      </c>
      <c r="S792" s="140">
        <f ca="1">IFERROR(__xludf.DUMMYFUNCTION("""COMPUTED_VALUE"""),44972)</f>
        <v>44972</v>
      </c>
      <c r="T792" s="40"/>
      <c r="U792" s="40" t="str">
        <f ca="1">IFERROR(__xludf.DUMMYFUNCTION("""COMPUTED_VALUE"""),"Eduar Triana ")</f>
        <v xml:space="preserve">Eduar Triana </v>
      </c>
      <c r="V792" s="40" t="str">
        <f ca="1">IFERROR(__xludf.DUMMYFUNCTION("""COMPUTED_VALUE"""),"Si tiene seguimiento03/03/2023")</f>
        <v>Si tiene seguimiento03/03/2023</v>
      </c>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t="str">
        <f ca="1">IFERROR(__xludf.DUMMYFUNCTION("""COMPUTED_VALUE"""),"Procede_E_P")</f>
        <v>Procede_E_P</v>
      </c>
      <c r="AV792" s="40" t="str">
        <f ca="1">IFERROR(__xludf.DUMMYFUNCTION("""COMPUTED_VALUE"""),"EN FORMACION")</f>
        <v>EN FORMACION</v>
      </c>
      <c r="AW792" s="40" t="str">
        <f ca="1">IFERROR(__xludf.DUMMYFUNCTION("""COMPUTED_VALUE"""),"TIC")</f>
        <v>TIC</v>
      </c>
      <c r="AX792" s="141">
        <f ca="1">IFERROR(__xludf.DUMMYFUNCTION("""COMPUTED_VALUE"""),0)</f>
        <v>0</v>
      </c>
      <c r="AY792" s="40">
        <f ca="1">IFERROR(__xludf.DUMMYFUNCTION("""COMPUTED_VALUE"""),0)</f>
        <v>0</v>
      </c>
      <c r="AZ792" s="40">
        <f ca="1">IFERROR(__xludf.DUMMYFUNCTION("""COMPUTED_VALUE"""),1)</f>
        <v>1</v>
      </c>
      <c r="BA792" s="40">
        <f ca="1">IFERROR(__xludf.DUMMYFUNCTION("""COMPUTED_VALUE"""),0)</f>
        <v>0</v>
      </c>
      <c r="BB792" s="40">
        <f ca="1">IFERROR(__xludf.DUMMYFUNCTION("""COMPUTED_VALUE"""),0)</f>
        <v>0</v>
      </c>
      <c r="BC792" s="40">
        <f ca="1">IFERROR(__xludf.DUMMYFUNCTION("""COMPUTED_VALUE"""),1)</f>
        <v>1</v>
      </c>
      <c r="BD792" s="141">
        <f ca="1">IFERROR(__xludf.DUMMYFUNCTION("""COMPUTED_VALUE"""),44183)</f>
        <v>44183</v>
      </c>
      <c r="BE792" s="141">
        <f ca="1">IFERROR(__xludf.DUMMYFUNCTION("""COMPUTED_VALUE"""),44729)</f>
        <v>44729</v>
      </c>
      <c r="BF792" s="141">
        <f ca="1">IFERROR(__xludf.DUMMYFUNCTION("""COMPUTED_VALUE"""),44912)</f>
        <v>44912</v>
      </c>
      <c r="BG792" s="141">
        <f ca="1">IFERROR(__xludf.DUMMYFUNCTION("""COMPUTED_VALUE"""),45460)</f>
        <v>45460</v>
      </c>
      <c r="BH792" s="40" t="str">
        <f ca="1">IFERROR(__xludf.DUMMYFUNCTION("""COMPUTED_VALUE"""),"FICHA EN TIEMPO-18 MESES")</f>
        <v>FICHA EN TIEMPO-18 MESES</v>
      </c>
      <c r="BI792" s="40" t="str">
        <f ca="1">IFERROR(__xludf.DUMMYFUNCTION("""COMPUTED_VALUE"""),"En ejecucion")</f>
        <v>En ejecucion</v>
      </c>
      <c r="BJ792" s="40" t="str">
        <f ca="1">IFERROR(__xludf.DUMMYFUNCTION("""COMPUTED_VALUE"""),"Yamboro")</f>
        <v>Yamboro</v>
      </c>
      <c r="BK792" s="40"/>
      <c r="BL792" s="40"/>
    </row>
    <row r="793" spans="1:64" ht="13">
      <c r="A793" s="40"/>
      <c r="B793" s="40" t="str">
        <f ca="1">IFERROR(__xludf.DUMMYFUNCTION("""COMPUTED_VALUE"""),"FORMACIÓN 18/10/2022")</f>
        <v>FORMACIÓN 18/10/2022</v>
      </c>
      <c r="C793" s="40" t="str">
        <f ca="1">IFERROR(__xludf.DUMMYFUNCTION("""COMPUTED_VALUE"""),"CRISTIAN ANDRES MARTINEZ ROJAS")</f>
        <v>CRISTIAN ANDRES MARTINEZ ROJAS</v>
      </c>
      <c r="D793" s="40" t="str">
        <f ca="1">IFERROR(__xludf.DUMMYFUNCTION("""COMPUTED_VALUE"""),"TI")</f>
        <v>TI</v>
      </c>
      <c r="E793" s="40">
        <f ca="1">IFERROR(__xludf.DUMMYFUNCTION("""COMPUTED_VALUE"""),1096006026)</f>
        <v>1096006026</v>
      </c>
      <c r="F793" s="40">
        <f ca="1">IFERROR(__xludf.DUMMYFUNCTION("""COMPUTED_VALUE"""),2252407)</f>
        <v>2252407</v>
      </c>
      <c r="G793" s="40" t="str">
        <f ca="1">IFERROR(__xludf.DUMMYFUNCTION("""COMPUTED_VALUE"""),"TECNÓLOGO")</f>
        <v>TECNÓLOGO</v>
      </c>
      <c r="H793" s="40" t="str">
        <f ca="1">IFERROR(__xludf.DUMMYFUNCTION("""COMPUTED_VALUE"""),"ANALISIS Y DESARROLLO DE SISTEMAS DE INFORMACION")</f>
        <v>ANALISIS Y DESARROLLO DE SISTEMAS DE INFORMACION</v>
      </c>
      <c r="I793" s="40"/>
      <c r="J793" s="40"/>
      <c r="K793" s="40"/>
      <c r="L793" s="40" t="str">
        <f ca="1">IFERROR(__xludf.DUMMYFUNCTION("""COMPUTED_VALUE"""),"NO HA INICIADO ETAPA PRODUCTIVA")</f>
        <v>NO HA INICIADO ETAPA PRODUCTIVA</v>
      </c>
      <c r="M793" s="40"/>
      <c r="N793" s="40"/>
      <c r="O793" s="40"/>
      <c r="P793" s="40"/>
      <c r="Q793" s="40"/>
      <c r="R793" s="140"/>
      <c r="S793" s="140"/>
      <c r="T793" s="40"/>
      <c r="U793" s="40" t="str">
        <f ca="1">IFERROR(__xludf.DUMMYFUNCTION("""COMPUTED_VALUE"""),"Eduar Triana ")</f>
        <v xml:space="preserve">Eduar Triana </v>
      </c>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t="str">
        <f ca="1">IFERROR(__xludf.DUMMYFUNCTION("""COMPUTED_VALUE"""),"NO_CUMPLE")</f>
        <v>NO_CUMPLE</v>
      </c>
      <c r="AV793" s="40" t="str">
        <f ca="1">IFERROR(__xludf.DUMMYFUNCTION("""COMPUTED_VALUE"""),"EN FORMACION")</f>
        <v>EN FORMACION</v>
      </c>
      <c r="AW793" s="40" t="str">
        <f ca="1">IFERROR(__xludf.DUMMYFUNCTION("""COMPUTED_VALUE"""),"TIC")</f>
        <v>TIC</v>
      </c>
      <c r="AX793" s="141">
        <f ca="1">IFERROR(__xludf.DUMMYFUNCTION("""COMPUTED_VALUE"""),9)</f>
        <v>9</v>
      </c>
      <c r="AY793" s="40">
        <f ca="1">IFERROR(__xludf.DUMMYFUNCTION("""COMPUTED_VALUE"""),9)</f>
        <v>9</v>
      </c>
      <c r="AZ793" s="40">
        <f ca="1">IFERROR(__xludf.DUMMYFUNCTION("""COMPUTED_VALUE"""),1)</f>
        <v>1</v>
      </c>
      <c r="BA793" s="40">
        <f ca="1">IFERROR(__xludf.DUMMYFUNCTION("""COMPUTED_VALUE"""),15)</f>
        <v>15</v>
      </c>
      <c r="BB793" s="40">
        <f ca="1">IFERROR(__xludf.DUMMYFUNCTION("""COMPUTED_VALUE"""),34)</f>
        <v>34</v>
      </c>
      <c r="BC793" s="40">
        <f ca="1">IFERROR(__xludf.DUMMYFUNCTION("""COMPUTED_VALUE"""),59)</f>
        <v>59</v>
      </c>
      <c r="BD793" s="141">
        <f ca="1">IFERROR(__xludf.DUMMYFUNCTION("""COMPUTED_VALUE"""),44183)</f>
        <v>44183</v>
      </c>
      <c r="BE793" s="141">
        <f ca="1">IFERROR(__xludf.DUMMYFUNCTION("""COMPUTED_VALUE"""),44729)</f>
        <v>44729</v>
      </c>
      <c r="BF793" s="141">
        <f ca="1">IFERROR(__xludf.DUMMYFUNCTION("""COMPUTED_VALUE"""),44912)</f>
        <v>44912</v>
      </c>
      <c r="BG793" s="141">
        <f ca="1">IFERROR(__xludf.DUMMYFUNCTION("""COMPUTED_VALUE"""),45460)</f>
        <v>45460</v>
      </c>
      <c r="BH793" s="40" t="str">
        <f ca="1">IFERROR(__xludf.DUMMYFUNCTION("""COMPUTED_VALUE"""),"FICHA EN TIEMPO-18 MESES")</f>
        <v>FICHA EN TIEMPO-18 MESES</v>
      </c>
      <c r="BI793" s="40" t="str">
        <f ca="1">IFERROR(__xludf.DUMMYFUNCTION("""COMPUTED_VALUE"""),"En ejecucion")</f>
        <v>En ejecucion</v>
      </c>
      <c r="BJ793" s="40" t="str">
        <f ca="1">IFERROR(__xludf.DUMMYFUNCTION("""COMPUTED_VALUE"""),"Yamboro")</f>
        <v>Yamboro</v>
      </c>
      <c r="BK793" s="40"/>
      <c r="BL793" s="40"/>
    </row>
    <row r="794" spans="1:64" ht="13">
      <c r="A794" s="40"/>
      <c r="B794" s="40" t="str">
        <f ca="1">IFERROR(__xludf.DUMMYFUNCTION("""COMPUTED_VALUE"""),"FORMACIÓN 18/10/2022")</f>
        <v>FORMACIÓN 18/10/2022</v>
      </c>
      <c r="C794" s="40" t="str">
        <f ca="1">IFERROR(__xludf.DUMMYFUNCTION("""COMPUTED_VALUE"""),"JUAN FRANCISCO PLAZAS PARRA")</f>
        <v>JUAN FRANCISCO PLAZAS PARRA</v>
      </c>
      <c r="D794" s="40" t="str">
        <f ca="1">IFERROR(__xludf.DUMMYFUNCTION("""COMPUTED_VALUE"""),"CC")</f>
        <v>CC</v>
      </c>
      <c r="E794" s="40">
        <f ca="1">IFERROR(__xludf.DUMMYFUNCTION("""COMPUTED_VALUE"""),1004419254)</f>
        <v>1004419254</v>
      </c>
      <c r="F794" s="40">
        <f ca="1">IFERROR(__xludf.DUMMYFUNCTION("""COMPUTED_VALUE"""),2252407)</f>
        <v>2252407</v>
      </c>
      <c r="G794" s="40" t="str">
        <f ca="1">IFERROR(__xludf.DUMMYFUNCTION("""COMPUTED_VALUE"""),"TECNÓLOGO")</f>
        <v>TECNÓLOGO</v>
      </c>
      <c r="H794" s="40" t="str">
        <f ca="1">IFERROR(__xludf.DUMMYFUNCTION("""COMPUTED_VALUE"""),"ANALISIS Y DESARROLLO DE SISTEMAS DE INFORMACION")</f>
        <v>ANALISIS Y DESARROLLO DE SISTEMAS DE INFORMACION</v>
      </c>
      <c r="I794" s="40"/>
      <c r="J794" s="40" t="str">
        <f ca="1">IFERROR(__xludf.DUMMYFUNCTION("""COMPUTED_VALUE"""),"3508318842")</f>
        <v>3508318842</v>
      </c>
      <c r="K794" s="40" t="str">
        <f ca="1">IFERROR(__xludf.DUMMYFUNCTION("""COMPUTED_VALUE"""),"CANDELARIA (ISNOS).")</f>
        <v>CANDELARIA (ISNOS).</v>
      </c>
      <c r="L794" s="40" t="str">
        <f ca="1">IFERROR(__xludf.DUMMYFUNCTION("""COMPUTED_VALUE"""),"PROYECTO PRODUCTIVO ")</f>
        <v xml:space="preserve">PROYECTO PRODUCTIVO </v>
      </c>
      <c r="M794" s="40" t="str">
        <f ca="1">IFERROR(__xludf.DUMMYFUNCTION("""COMPUTED_VALUE"""),"RED TECNOPARQUE NODO PITALITO")</f>
        <v>RED TECNOPARQUE NODO PITALITO</v>
      </c>
      <c r="N794" s="40"/>
      <c r="O794" s="40"/>
      <c r="P794" s="40"/>
      <c r="Q794" s="40"/>
      <c r="R794" s="140">
        <f ca="1">IFERROR(__xludf.DUMMYFUNCTION("""COMPUTED_VALUE"""),44788)</f>
        <v>44788</v>
      </c>
      <c r="S794" s="140">
        <f ca="1">IFERROR(__xludf.DUMMYFUNCTION("""COMPUTED_VALUE"""),44972)</f>
        <v>44972</v>
      </c>
      <c r="T794" s="40"/>
      <c r="U794" s="40" t="str">
        <f ca="1">IFERROR(__xludf.DUMMYFUNCTION("""COMPUTED_VALUE"""),"Eduar Triana ")</f>
        <v xml:space="preserve">Eduar Triana </v>
      </c>
      <c r="V794" s="40" t="str">
        <f ca="1">IFERROR(__xludf.DUMMYFUNCTION("""COMPUTED_VALUE"""),"NO tiene seguimiento 26/08/2022")</f>
        <v>NO tiene seguimiento 26/08/2022</v>
      </c>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t="str">
        <f ca="1">IFERROR(__xludf.DUMMYFUNCTION("""COMPUTED_VALUE"""),"Procede_E_P")</f>
        <v>Procede_E_P</v>
      </c>
      <c r="AV794" s="40" t="str">
        <f ca="1">IFERROR(__xludf.DUMMYFUNCTION("""COMPUTED_VALUE"""),"EN FORMACION")</f>
        <v>EN FORMACION</v>
      </c>
      <c r="AW794" s="40" t="str">
        <f ca="1">IFERROR(__xludf.DUMMYFUNCTION("""COMPUTED_VALUE"""),"TIC")</f>
        <v>TIC</v>
      </c>
      <c r="AX794" s="141">
        <f ca="1">IFERROR(__xludf.DUMMYFUNCTION("""COMPUTED_VALUE"""),0)</f>
        <v>0</v>
      </c>
      <c r="AY794" s="40">
        <f ca="1">IFERROR(__xludf.DUMMYFUNCTION("""COMPUTED_VALUE"""),0)</f>
        <v>0</v>
      </c>
      <c r="AZ794" s="40">
        <f ca="1">IFERROR(__xludf.DUMMYFUNCTION("""COMPUTED_VALUE"""),1)</f>
        <v>1</v>
      </c>
      <c r="BA794" s="40">
        <f ca="1">IFERROR(__xludf.DUMMYFUNCTION("""COMPUTED_VALUE"""),0)</f>
        <v>0</v>
      </c>
      <c r="BB794" s="40">
        <f ca="1">IFERROR(__xludf.DUMMYFUNCTION("""COMPUTED_VALUE"""),0)</f>
        <v>0</v>
      </c>
      <c r="BC794" s="40">
        <f ca="1">IFERROR(__xludf.DUMMYFUNCTION("""COMPUTED_VALUE"""),1)</f>
        <v>1</v>
      </c>
      <c r="BD794" s="141">
        <f ca="1">IFERROR(__xludf.DUMMYFUNCTION("""COMPUTED_VALUE"""),44183)</f>
        <v>44183</v>
      </c>
      <c r="BE794" s="141">
        <f ca="1">IFERROR(__xludf.DUMMYFUNCTION("""COMPUTED_VALUE"""),44729)</f>
        <v>44729</v>
      </c>
      <c r="BF794" s="141">
        <f ca="1">IFERROR(__xludf.DUMMYFUNCTION("""COMPUTED_VALUE"""),44912)</f>
        <v>44912</v>
      </c>
      <c r="BG794" s="141">
        <f ca="1">IFERROR(__xludf.DUMMYFUNCTION("""COMPUTED_VALUE"""),45460)</f>
        <v>45460</v>
      </c>
      <c r="BH794" s="40" t="str">
        <f ca="1">IFERROR(__xludf.DUMMYFUNCTION("""COMPUTED_VALUE"""),"FICHA EN TIEMPO-18 MESES")</f>
        <v>FICHA EN TIEMPO-18 MESES</v>
      </c>
      <c r="BI794" s="40" t="str">
        <f ca="1">IFERROR(__xludf.DUMMYFUNCTION("""COMPUTED_VALUE"""),"En ejecucion")</f>
        <v>En ejecucion</v>
      </c>
      <c r="BJ794" s="40" t="str">
        <f ca="1">IFERROR(__xludf.DUMMYFUNCTION("""COMPUTED_VALUE"""),"Yamboro")</f>
        <v>Yamboro</v>
      </c>
      <c r="BK794" s="40"/>
      <c r="BL794" s="40"/>
    </row>
    <row r="795" spans="1:64" ht="13">
      <c r="A795" s="40"/>
      <c r="B795" s="40" t="str">
        <f ca="1">IFERROR(__xludf.DUMMYFUNCTION("""COMPUTED_VALUE"""),"FORMACIÓN 18/10/2022")</f>
        <v>FORMACIÓN 18/10/2022</v>
      </c>
      <c r="C795" s="40" t="str">
        <f ca="1">IFERROR(__xludf.DUMMYFUNCTION("""COMPUTED_VALUE"""),"KAREN DAYANA SALAMANCA ORTEGA")</f>
        <v>KAREN DAYANA SALAMANCA ORTEGA</v>
      </c>
      <c r="D795" s="40" t="str">
        <f ca="1">IFERROR(__xludf.DUMMYFUNCTION("""COMPUTED_VALUE"""),"CC")</f>
        <v>CC</v>
      </c>
      <c r="E795" s="40">
        <f ca="1">IFERROR(__xludf.DUMMYFUNCTION("""COMPUTED_VALUE"""),1007163272)</f>
        <v>1007163272</v>
      </c>
      <c r="F795" s="40">
        <f ca="1">IFERROR(__xludf.DUMMYFUNCTION("""COMPUTED_VALUE"""),2252407)</f>
        <v>2252407</v>
      </c>
      <c r="G795" s="40" t="str">
        <f ca="1">IFERROR(__xludf.DUMMYFUNCTION("""COMPUTED_VALUE"""),"TECNÓLOGO")</f>
        <v>TECNÓLOGO</v>
      </c>
      <c r="H795" s="40" t="str">
        <f ca="1">IFERROR(__xludf.DUMMYFUNCTION("""COMPUTED_VALUE"""),"ANALISIS Y DESARROLLO DE SISTEMAS DE INFORMACION")</f>
        <v>ANALISIS Y DESARROLLO DE SISTEMAS DE INFORMACION</v>
      </c>
      <c r="I795" s="40"/>
      <c r="J795" s="40" t="str">
        <f ca="1">IFERROR(__xludf.DUMMYFUNCTION("""COMPUTED_VALUE"""),"3212681728 / 3146126437 / 3143844207")</f>
        <v>3212681728 / 3146126437 / 3143844207</v>
      </c>
      <c r="K795" s="40" t="str">
        <f ca="1">IFERROR(__xludf.DUMMYFUNCTION("""COMPUTED_VALUE"""),"EL JABÓN (SAN AGUSTÍN).")</f>
        <v>EL JABÓN (SAN AGUSTÍN).</v>
      </c>
      <c r="L795" s="40" t="str">
        <f ca="1">IFERROR(__xludf.DUMMYFUNCTION("""COMPUTED_VALUE"""),"PROYECTO PRODUCTIVO ")</f>
        <v xml:space="preserve">PROYECTO PRODUCTIVO </v>
      </c>
      <c r="M795" s="40" t="str">
        <f ca="1">IFERROR(__xludf.DUMMYFUNCTION("""COMPUTED_VALUE"""),"TECNOPARQUE NODO PITALITO")</f>
        <v>TECNOPARQUE NODO PITALITO</v>
      </c>
      <c r="N795" s="40"/>
      <c r="O795" s="40"/>
      <c r="P795" s="40"/>
      <c r="Q795" s="40"/>
      <c r="R795" s="140">
        <f ca="1">IFERROR(__xludf.DUMMYFUNCTION("""COMPUTED_VALUE"""),44788)</f>
        <v>44788</v>
      </c>
      <c r="S795" s="140">
        <f ca="1">IFERROR(__xludf.DUMMYFUNCTION("""COMPUTED_VALUE"""),44972)</f>
        <v>44972</v>
      </c>
      <c r="T795" s="40"/>
      <c r="U795" s="40" t="str">
        <f ca="1">IFERROR(__xludf.DUMMYFUNCTION("""COMPUTED_VALUE"""),"Eduar Triana ")</f>
        <v xml:space="preserve">Eduar Triana </v>
      </c>
      <c r="V795" s="40" t="str">
        <f ca="1">IFERROR(__xludf.DUMMYFUNCTION("""COMPUTED_VALUE"""),"NO tiene seguimiento 26/08/2022")</f>
        <v>NO tiene seguimiento 26/08/2022</v>
      </c>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t="str">
        <f ca="1">IFERROR(__xludf.DUMMYFUNCTION("""COMPUTED_VALUE"""),"Procede_E_P")</f>
        <v>Procede_E_P</v>
      </c>
      <c r="AV795" s="40" t="str">
        <f ca="1">IFERROR(__xludf.DUMMYFUNCTION("""COMPUTED_VALUE"""),"EN FORMACION")</f>
        <v>EN FORMACION</v>
      </c>
      <c r="AW795" s="40" t="str">
        <f ca="1">IFERROR(__xludf.DUMMYFUNCTION("""COMPUTED_VALUE"""),"TIC")</f>
        <v>TIC</v>
      </c>
      <c r="AX795" s="141">
        <f ca="1">IFERROR(__xludf.DUMMYFUNCTION("""COMPUTED_VALUE"""),0)</f>
        <v>0</v>
      </c>
      <c r="AY795" s="40">
        <f ca="1">IFERROR(__xludf.DUMMYFUNCTION("""COMPUTED_VALUE"""),0)</f>
        <v>0</v>
      </c>
      <c r="AZ795" s="40">
        <f ca="1">IFERROR(__xludf.DUMMYFUNCTION("""COMPUTED_VALUE"""),1)</f>
        <v>1</v>
      </c>
      <c r="BA795" s="40">
        <f ca="1">IFERROR(__xludf.DUMMYFUNCTION("""COMPUTED_VALUE"""),0)</f>
        <v>0</v>
      </c>
      <c r="BB795" s="40">
        <f ca="1">IFERROR(__xludf.DUMMYFUNCTION("""COMPUTED_VALUE"""),0)</f>
        <v>0</v>
      </c>
      <c r="BC795" s="40">
        <f ca="1">IFERROR(__xludf.DUMMYFUNCTION("""COMPUTED_VALUE"""),1)</f>
        <v>1</v>
      </c>
      <c r="BD795" s="141">
        <f ca="1">IFERROR(__xludf.DUMMYFUNCTION("""COMPUTED_VALUE"""),44183)</f>
        <v>44183</v>
      </c>
      <c r="BE795" s="141">
        <f ca="1">IFERROR(__xludf.DUMMYFUNCTION("""COMPUTED_VALUE"""),44729)</f>
        <v>44729</v>
      </c>
      <c r="BF795" s="141">
        <f ca="1">IFERROR(__xludf.DUMMYFUNCTION("""COMPUTED_VALUE"""),44912)</f>
        <v>44912</v>
      </c>
      <c r="BG795" s="141">
        <f ca="1">IFERROR(__xludf.DUMMYFUNCTION("""COMPUTED_VALUE"""),45460)</f>
        <v>45460</v>
      </c>
      <c r="BH795" s="40" t="str">
        <f ca="1">IFERROR(__xludf.DUMMYFUNCTION("""COMPUTED_VALUE"""),"FICHA EN TIEMPO-18 MESES")</f>
        <v>FICHA EN TIEMPO-18 MESES</v>
      </c>
      <c r="BI795" s="40" t="str">
        <f ca="1">IFERROR(__xludf.DUMMYFUNCTION("""COMPUTED_VALUE"""),"En ejecucion")</f>
        <v>En ejecucion</v>
      </c>
      <c r="BJ795" s="40" t="str">
        <f ca="1">IFERROR(__xludf.DUMMYFUNCTION("""COMPUTED_VALUE"""),"Yamboro")</f>
        <v>Yamboro</v>
      </c>
      <c r="BK795" s="40"/>
      <c r="BL795" s="40"/>
    </row>
    <row r="796" spans="1:64" ht="13">
      <c r="A796" s="40"/>
      <c r="B796" s="40" t="str">
        <f ca="1">IFERROR(__xludf.DUMMYFUNCTION("""COMPUTED_VALUE"""),"FORMACIÓN 18/10/2022")</f>
        <v>FORMACIÓN 18/10/2022</v>
      </c>
      <c r="C796" s="40" t="str">
        <f ca="1">IFERROR(__xludf.DUMMYFUNCTION("""COMPUTED_VALUE"""),"ALEJANDRO CUBILLOS CONTRERAS")</f>
        <v>ALEJANDRO CUBILLOS CONTRERAS</v>
      </c>
      <c r="D796" s="40" t="str">
        <f ca="1">IFERROR(__xludf.DUMMYFUNCTION("""COMPUTED_VALUE"""),"CC")</f>
        <v>CC</v>
      </c>
      <c r="E796" s="40">
        <f ca="1">IFERROR(__xludf.DUMMYFUNCTION("""COMPUTED_VALUE"""),1116912148)</f>
        <v>1116912148</v>
      </c>
      <c r="F796" s="40">
        <f ca="1">IFERROR(__xludf.DUMMYFUNCTION("""COMPUTED_VALUE"""),2252407)</f>
        <v>2252407</v>
      </c>
      <c r="G796" s="40" t="str">
        <f ca="1">IFERROR(__xludf.DUMMYFUNCTION("""COMPUTED_VALUE"""),"TECNÓLOGO")</f>
        <v>TECNÓLOGO</v>
      </c>
      <c r="H796" s="40" t="str">
        <f ca="1">IFERROR(__xludf.DUMMYFUNCTION("""COMPUTED_VALUE"""),"ANALISIS Y DESARROLLO DE SISTEMAS DE INFORMACION")</f>
        <v>ANALISIS Y DESARROLLO DE SISTEMAS DE INFORMACION</v>
      </c>
      <c r="I796" s="40">
        <f ca="1">IFERROR(__xludf.DUMMYFUNCTION("""COMPUTED_VALUE"""),3139039719)</f>
        <v>3139039719</v>
      </c>
      <c r="J796" s="40" t="str">
        <f ca="1">IFERROR(__xludf.DUMMYFUNCTION("""COMPUTED_VALUE"""),"cubillos891@misena.edu.co")</f>
        <v>cubillos891@misena.edu.co</v>
      </c>
      <c r="K796" s="40" t="str">
        <f ca="1">IFERROR(__xludf.DUMMYFUNCTION("""COMPUTED_VALUE"""),"PITALITO ")</f>
        <v xml:space="preserve">PITALITO </v>
      </c>
      <c r="L796" s="40" t="str">
        <f ca="1">IFERROR(__xludf.DUMMYFUNCTION("""COMPUTED_VALUE"""),"PASANTÍAS")</f>
        <v>PASANTÍAS</v>
      </c>
      <c r="M796" s="40" t="str">
        <f ca="1">IFERROR(__xludf.DUMMYFUNCTION("""COMPUTED_VALUE"""),"SENTO DE GESTIÓN Y DESARROLLO SUR COLOMBIANO SENA ")</f>
        <v xml:space="preserve">SENTO DE GESTIÓN Y DESARROLLO SUR COLOMBIANO SENA </v>
      </c>
      <c r="N796" s="40"/>
      <c r="O796" s="40"/>
      <c r="P796" s="40"/>
      <c r="Q796" s="40"/>
      <c r="R796" s="140"/>
      <c r="S796" s="140"/>
      <c r="T796" s="40"/>
      <c r="U796" s="40" t="str">
        <f ca="1">IFERROR(__xludf.DUMMYFUNCTION("""COMPUTED_VALUE"""),"Eduar Triana ")</f>
        <v xml:space="preserve">Eduar Triana </v>
      </c>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t="str">
        <f ca="1">IFERROR(__xludf.DUMMYFUNCTION("""COMPUTED_VALUE"""),"Procede_E_P")</f>
        <v>Procede_E_P</v>
      </c>
      <c r="AV796" s="40" t="str">
        <f ca="1">IFERROR(__xludf.DUMMYFUNCTION("""COMPUTED_VALUE"""),"EN FORMACION")</f>
        <v>EN FORMACION</v>
      </c>
      <c r="AW796" s="40" t="str">
        <f ca="1">IFERROR(__xludf.DUMMYFUNCTION("""COMPUTED_VALUE"""),"TIC")</f>
        <v>TIC</v>
      </c>
      <c r="AX796" s="141">
        <f ca="1">IFERROR(__xludf.DUMMYFUNCTION("""COMPUTED_VALUE"""),0)</f>
        <v>0</v>
      </c>
      <c r="AY796" s="40">
        <f ca="1">IFERROR(__xludf.DUMMYFUNCTION("""COMPUTED_VALUE"""),0)</f>
        <v>0</v>
      </c>
      <c r="AZ796" s="40">
        <f ca="1">IFERROR(__xludf.DUMMYFUNCTION("""COMPUTED_VALUE"""),1)</f>
        <v>1</v>
      </c>
      <c r="BA796" s="40">
        <f ca="1">IFERROR(__xludf.DUMMYFUNCTION("""COMPUTED_VALUE"""),0)</f>
        <v>0</v>
      </c>
      <c r="BB796" s="40">
        <f ca="1">IFERROR(__xludf.DUMMYFUNCTION("""COMPUTED_VALUE"""),0)</f>
        <v>0</v>
      </c>
      <c r="BC796" s="40">
        <f ca="1">IFERROR(__xludf.DUMMYFUNCTION("""COMPUTED_VALUE"""),1)</f>
        <v>1</v>
      </c>
      <c r="BD796" s="141">
        <f ca="1">IFERROR(__xludf.DUMMYFUNCTION("""COMPUTED_VALUE"""),44183)</f>
        <v>44183</v>
      </c>
      <c r="BE796" s="141">
        <f ca="1">IFERROR(__xludf.DUMMYFUNCTION("""COMPUTED_VALUE"""),44729)</f>
        <v>44729</v>
      </c>
      <c r="BF796" s="141">
        <f ca="1">IFERROR(__xludf.DUMMYFUNCTION("""COMPUTED_VALUE"""),44912)</f>
        <v>44912</v>
      </c>
      <c r="BG796" s="141">
        <f ca="1">IFERROR(__xludf.DUMMYFUNCTION("""COMPUTED_VALUE"""),45460)</f>
        <v>45460</v>
      </c>
      <c r="BH796" s="40" t="str">
        <f ca="1">IFERROR(__xludf.DUMMYFUNCTION("""COMPUTED_VALUE"""),"FICHA EN TIEMPO-18 MESES")</f>
        <v>FICHA EN TIEMPO-18 MESES</v>
      </c>
      <c r="BI796" s="40" t="str">
        <f ca="1">IFERROR(__xludf.DUMMYFUNCTION("""COMPUTED_VALUE"""),"En ejecucion")</f>
        <v>En ejecucion</v>
      </c>
      <c r="BJ796" s="40" t="str">
        <f ca="1">IFERROR(__xludf.DUMMYFUNCTION("""COMPUTED_VALUE"""),"Yamboro")</f>
        <v>Yamboro</v>
      </c>
      <c r="BK796" s="40"/>
      <c r="BL796" s="40"/>
    </row>
    <row r="797" spans="1:64" ht="13">
      <c r="A797" s="40"/>
      <c r="B797" s="40" t="str">
        <f ca="1">IFERROR(__xludf.DUMMYFUNCTION("""COMPUTED_VALUE"""),"FORMACIÓN 18/10/2022")</f>
        <v>FORMACIÓN 18/10/2022</v>
      </c>
      <c r="C797" s="40" t="str">
        <f ca="1">IFERROR(__xludf.DUMMYFUNCTION("""COMPUTED_VALUE"""),"JOSE YANCARLOS VELA ORDOÑEZ")</f>
        <v>JOSE YANCARLOS VELA ORDOÑEZ</v>
      </c>
      <c r="D797" s="40" t="str">
        <f ca="1">IFERROR(__xludf.DUMMYFUNCTION("""COMPUTED_VALUE"""),"CC")</f>
        <v>CC</v>
      </c>
      <c r="E797" s="40">
        <f ca="1">IFERROR(__xludf.DUMMYFUNCTION("""COMPUTED_VALUE"""),1004418348)</f>
        <v>1004418348</v>
      </c>
      <c r="F797" s="40">
        <f ca="1">IFERROR(__xludf.DUMMYFUNCTION("""COMPUTED_VALUE"""),2186843)</f>
        <v>2186843</v>
      </c>
      <c r="G797" s="40" t="str">
        <f ca="1">IFERROR(__xludf.DUMMYFUNCTION("""COMPUTED_VALUE"""),"TECNÓLOGO")</f>
        <v>TECNÓLOGO</v>
      </c>
      <c r="H797" s="40" t="str">
        <f ca="1">IFERROR(__xludf.DUMMYFUNCTION("""COMPUTED_VALUE"""),"GESTION DE REDES DE DATOS")</f>
        <v>GESTION DE REDES DE DATOS</v>
      </c>
      <c r="I797" s="40"/>
      <c r="J797" s="40"/>
      <c r="K797" s="40"/>
      <c r="L797" s="40" t="str">
        <f ca="1">IFERROR(__xludf.DUMMYFUNCTION("""COMPUTED_VALUE"""),"CONTRATO DE APRENDIZAJE ")</f>
        <v xml:space="preserve">CONTRATO DE APRENDIZAJE </v>
      </c>
      <c r="M797" s="40" t="str">
        <f ca="1">IFERROR(__xludf.DUMMYFUNCTION("""COMPUTED_VALUE"""),"ASMET SALUD EPS SAS
")</f>
        <v xml:space="preserve">ASMET SALUD EPS SAS
</v>
      </c>
      <c r="N797" s="40" t="str">
        <f ca="1">IFERROR(__xludf.DUMMYFUNCTION("""COMPUTED_VALUE"""),"CArrera 4 #18n -46
")</f>
        <v xml:space="preserve">CArrera 4 #18n -46
</v>
      </c>
      <c r="O797" s="40">
        <f ca="1">IFERROR(__xludf.DUMMYFUNCTION("""COMPUTED_VALUE"""),3173681824)</f>
        <v>3173681824</v>
      </c>
      <c r="P797" s="40" t="str">
        <f ca="1">IFERROR(__xludf.DUMMYFUNCTION("""COMPUTED_VALUE"""),"POPAYAN
")</f>
        <v xml:space="preserve">POPAYAN
</v>
      </c>
      <c r="Q797" s="40" t="str">
        <f ca="1">IFERROR(__xludf.DUMMYFUNCTION("""COMPUTED_VALUE"""),"walter.pelaez@asmetsalud.com;mireya.realpe@asmetsalud.com
")</f>
        <v xml:space="preserve">walter.pelaez@asmetsalud.com;mireya.realpe@asmetsalud.com
</v>
      </c>
      <c r="R797" s="140">
        <f ca="1">IFERROR(__xludf.DUMMYFUNCTION("""COMPUTED_VALUE"""),44775)</f>
        <v>44775</v>
      </c>
      <c r="S797" s="140">
        <f ca="1">IFERROR(__xludf.DUMMYFUNCTION("""COMPUTED_VALUE"""),44958)</f>
        <v>44958</v>
      </c>
      <c r="T797" s="40" t="str">
        <f ca="1">IFERROR(__xludf.DUMMYFUNCTION("""COMPUTED_VALUE""")," Tiene contrato, Inicial, Parcial y bitácoras 1,2,3,4,5,6....  falta final,certificación  y bitácoras 7,8,10,11 y 12..Revisado 02/11/2022")</f>
        <v xml:space="preserve"> Tiene contrato, Inicial, Parcial y bitácoras 1,2,3,4,5,6....  falta final,certificación  y bitácoras 7,8,10,11 y 12..Revisado 02/11/2022</v>
      </c>
      <c r="U797" s="40" t="str">
        <f ca="1">IFERROR(__xludf.DUMMYFUNCTION("""COMPUTED_VALUE"""),"NORMA PEREZ  - Subió Inicial y bitácoras 1,2,3,4... Revisado 18/10/2022 - Subió Parcial y bitácoras 5 y 6 ... Revisado 02/11/2022")</f>
        <v>NORMA PEREZ  - Subió Inicial y bitácoras 1,2,3,4... Revisado 18/10/2022 - Subió Parcial y bitácoras 5 y 6 ... Revisado 02/11/2022</v>
      </c>
      <c r="V797" s="40" t="str">
        <f ca="1">IFERROR(__xludf.DUMMYFUNCTION("""COMPUTED_VALUE"""),"Si tiene seguimiento 02/11/2022")</f>
        <v>Si tiene seguimiento 02/11/2022</v>
      </c>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t="str">
        <f ca="1">IFERROR(__xludf.DUMMYFUNCTION("""COMPUTED_VALUE"""),"Procede_E_P")</f>
        <v>Procede_E_P</v>
      </c>
      <c r="AV797" s="40" t="str">
        <f ca="1">IFERROR(__xludf.DUMMYFUNCTION("""COMPUTED_VALUE"""),"EN FORMACION")</f>
        <v>EN FORMACION</v>
      </c>
      <c r="AW797" s="40" t="str">
        <f ca="1">IFERROR(__xludf.DUMMYFUNCTION("""COMPUTED_VALUE"""),"TIC")</f>
        <v>TIC</v>
      </c>
      <c r="AX797" s="141">
        <f ca="1">IFERROR(__xludf.DUMMYFUNCTION("""COMPUTED_VALUE"""),0)</f>
        <v>0</v>
      </c>
      <c r="AY797" s="40">
        <f ca="1">IFERROR(__xludf.DUMMYFUNCTION("""COMPUTED_VALUE"""),0)</f>
        <v>0</v>
      </c>
      <c r="AZ797" s="40">
        <f ca="1">IFERROR(__xludf.DUMMYFUNCTION("""COMPUTED_VALUE"""),1)</f>
        <v>1</v>
      </c>
      <c r="BA797" s="40">
        <f ca="1">IFERROR(__xludf.DUMMYFUNCTION("""COMPUTED_VALUE"""),0)</f>
        <v>0</v>
      </c>
      <c r="BB797" s="40">
        <f ca="1">IFERROR(__xludf.DUMMYFUNCTION("""COMPUTED_VALUE"""),0)</f>
        <v>0</v>
      </c>
      <c r="BC797" s="40">
        <f ca="1">IFERROR(__xludf.DUMMYFUNCTION("""COMPUTED_VALUE"""),1)</f>
        <v>1</v>
      </c>
      <c r="BD797" s="141">
        <f ca="1">IFERROR(__xludf.DUMMYFUNCTION("""COMPUTED_VALUE"""),44105)</f>
        <v>44105</v>
      </c>
      <c r="BE797" s="141">
        <f ca="1">IFERROR(__xludf.DUMMYFUNCTION("""COMPUTED_VALUE"""),44742)</f>
        <v>44742</v>
      </c>
      <c r="BF797" s="141">
        <f ca="1">IFERROR(__xludf.DUMMYFUNCTION("""COMPUTED_VALUE"""),44926)</f>
        <v>44926</v>
      </c>
      <c r="BG797" s="141">
        <f ca="1">IFERROR(__xludf.DUMMYFUNCTION("""COMPUTED_VALUE"""),45473)</f>
        <v>45473</v>
      </c>
      <c r="BH797" s="40" t="str">
        <f ca="1">IFERROR(__xludf.DUMMYFUNCTION("""COMPUTED_VALUE"""),"FICHA EN TIEMPO-18 MESES")</f>
        <v>FICHA EN TIEMPO-18 MESES</v>
      </c>
      <c r="BI797" s="40" t="str">
        <f ca="1">IFERROR(__xludf.DUMMYFUNCTION("""COMPUTED_VALUE"""),"En ejecucion")</f>
        <v>En ejecucion</v>
      </c>
      <c r="BJ797" s="40" t="str">
        <f ca="1">IFERROR(__xludf.DUMMYFUNCTION("""COMPUTED_VALUE"""),"Yamboro")</f>
        <v>Yamboro</v>
      </c>
      <c r="BK797" s="40"/>
      <c r="BL797" s="40"/>
    </row>
    <row r="798" spans="1:64" ht="13">
      <c r="A798" s="40"/>
      <c r="B798" s="40" t="str">
        <f ca="1">IFERROR(__xludf.DUMMYFUNCTION("""COMPUTED_VALUE"""),"FORMACIÓN 18/10/2022")</f>
        <v>FORMACIÓN 18/10/2022</v>
      </c>
      <c r="C798" s="40" t="str">
        <f ca="1">IFERROR(__xludf.DUMMYFUNCTION("""COMPUTED_VALUE"""),"DIANA PAOLA SOSCUE MAMIAN")</f>
        <v>DIANA PAOLA SOSCUE MAMIAN</v>
      </c>
      <c r="D798" s="40" t="str">
        <f ca="1">IFERROR(__xludf.DUMMYFUNCTION("""COMPUTED_VALUE"""),"CC")</f>
        <v>CC</v>
      </c>
      <c r="E798" s="40">
        <f ca="1">IFERROR(__xludf.DUMMYFUNCTION("""COMPUTED_VALUE"""),1083903843)</f>
        <v>1083903843</v>
      </c>
      <c r="F798" s="40">
        <f ca="1">IFERROR(__xludf.DUMMYFUNCTION("""COMPUTED_VALUE"""),2186843)</f>
        <v>2186843</v>
      </c>
      <c r="G798" s="40" t="str">
        <f ca="1">IFERROR(__xludf.DUMMYFUNCTION("""COMPUTED_VALUE"""),"TECNÓLOGO")</f>
        <v>TECNÓLOGO</v>
      </c>
      <c r="H798" s="40" t="str">
        <f ca="1">IFERROR(__xludf.DUMMYFUNCTION("""COMPUTED_VALUE"""),"GESTION DE REDES DE DATOS")</f>
        <v>GESTION DE REDES DE DATOS</v>
      </c>
      <c r="I798" s="40">
        <f ca="1">IFERROR(__xludf.DUMMYFUNCTION("""COMPUTED_VALUE"""),3204813840)</f>
        <v>3204813840</v>
      </c>
      <c r="J798" s="40" t="str">
        <f ca="1">IFERROR(__xludf.DUMMYFUNCTION("""COMPUTED_VALUE"""),"dpsoscue3@misena.edu.co")</f>
        <v>dpsoscue3@misena.edu.co</v>
      </c>
      <c r="K798" s="40" t="str">
        <f ca="1">IFERROR(__xludf.DUMMYFUNCTION("""COMPUTED_VALUE"""),"SAN AGUSTIN ")</f>
        <v xml:space="preserve">SAN AGUSTIN </v>
      </c>
      <c r="L798" s="40" t="str">
        <f ca="1">IFERROR(__xludf.DUMMYFUNCTION("""COMPUTED_VALUE"""),"CONTRATO DE APRENDIZAJE ")</f>
        <v xml:space="preserve">CONTRATO DE APRENDIZAJE </v>
      </c>
      <c r="M798" s="40" t="str">
        <f ca="1">IFERROR(__xludf.DUMMYFUNCTION("""COMPUTED_VALUE"""),"ENTER TELECOMUNICACIONES BANDA ANCHA SAS")</f>
        <v>ENTER TELECOMUNICACIONES BANDA ANCHA SAS</v>
      </c>
      <c r="N798" s="40"/>
      <c r="O798" s="40"/>
      <c r="P798" s="40"/>
      <c r="Q798" s="40"/>
      <c r="R798" s="140">
        <f ca="1">IFERROR(__xludf.DUMMYFUNCTION("""COMPUTED_VALUE"""),44758)</f>
        <v>44758</v>
      </c>
      <c r="S798" s="140">
        <f ca="1">IFERROR(__xludf.DUMMYFUNCTION("""COMPUTED_VALUE"""),44941)</f>
        <v>44941</v>
      </c>
      <c r="T798" s="40" t="str">
        <f ca="1">IFERROR(__xludf.DUMMYFUNCTION("""COMPUTED_VALUE""")," Tiene contrato, Inicial, parcial y bitácoras 1,2,4,5,6,7....  falta final,certificación  y bitácoras 3,8,10,11 y 12..Revisado 10/11/2022")</f>
        <v xml:space="preserve"> Tiene contrato, Inicial, parcial y bitácoras 1,2,4,5,6,7....  falta final,certificación  y bitácoras 3,8,10,11 y 12..Revisado 10/11/2022</v>
      </c>
      <c r="U798" s="40" t="str">
        <f ca="1">IFERROR(__xludf.DUMMYFUNCTION("""COMPUTED_VALUE"""),"NORMA PEREZ  - Inicial y bitácoras 1,2,4,5... Revisado 27/10/2022 - Parcial y bitácoras 6 y 7.. Revisado 10/11/2022")</f>
        <v>NORMA PEREZ  - Inicial y bitácoras 1,2,4,5... Revisado 27/10/2022 - Parcial y bitácoras 6 y 7.. Revisado 10/11/2022</v>
      </c>
      <c r="V798" s="40" t="str">
        <f ca="1">IFERROR(__xludf.DUMMYFUNCTION("""COMPUTED_VALUE"""),"Si tiene seguimiento 10/11/2022")</f>
        <v>Si tiene seguimiento 10/11/2022</v>
      </c>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t="str">
        <f ca="1">IFERROR(__xludf.DUMMYFUNCTION("""COMPUTED_VALUE"""),"Procede_E_P")</f>
        <v>Procede_E_P</v>
      </c>
      <c r="AV798" s="40" t="str">
        <f ca="1">IFERROR(__xludf.DUMMYFUNCTION("""COMPUTED_VALUE"""),"EN FORMACION")</f>
        <v>EN FORMACION</v>
      </c>
      <c r="AW798" s="40" t="str">
        <f ca="1">IFERROR(__xludf.DUMMYFUNCTION("""COMPUTED_VALUE"""),"TIC")</f>
        <v>TIC</v>
      </c>
      <c r="AX798" s="141">
        <f ca="1">IFERROR(__xludf.DUMMYFUNCTION("""COMPUTED_VALUE"""),0)</f>
        <v>0</v>
      </c>
      <c r="AY798" s="40">
        <f ca="1">IFERROR(__xludf.DUMMYFUNCTION("""COMPUTED_VALUE"""),0)</f>
        <v>0</v>
      </c>
      <c r="AZ798" s="40">
        <f ca="1">IFERROR(__xludf.DUMMYFUNCTION("""COMPUTED_VALUE"""),1)</f>
        <v>1</v>
      </c>
      <c r="BA798" s="40">
        <f ca="1">IFERROR(__xludf.DUMMYFUNCTION("""COMPUTED_VALUE"""),0)</f>
        <v>0</v>
      </c>
      <c r="BB798" s="40">
        <f ca="1">IFERROR(__xludf.DUMMYFUNCTION("""COMPUTED_VALUE"""),0)</f>
        <v>0</v>
      </c>
      <c r="BC798" s="40">
        <f ca="1">IFERROR(__xludf.DUMMYFUNCTION("""COMPUTED_VALUE"""),1)</f>
        <v>1</v>
      </c>
      <c r="BD798" s="141">
        <f ca="1">IFERROR(__xludf.DUMMYFUNCTION("""COMPUTED_VALUE"""),44105)</f>
        <v>44105</v>
      </c>
      <c r="BE798" s="141">
        <f ca="1">IFERROR(__xludf.DUMMYFUNCTION("""COMPUTED_VALUE"""),44742)</f>
        <v>44742</v>
      </c>
      <c r="BF798" s="141">
        <f ca="1">IFERROR(__xludf.DUMMYFUNCTION("""COMPUTED_VALUE"""),44926)</f>
        <v>44926</v>
      </c>
      <c r="BG798" s="141">
        <f ca="1">IFERROR(__xludf.DUMMYFUNCTION("""COMPUTED_VALUE"""),45473)</f>
        <v>45473</v>
      </c>
      <c r="BH798" s="40" t="str">
        <f ca="1">IFERROR(__xludf.DUMMYFUNCTION("""COMPUTED_VALUE"""),"FICHA EN TIEMPO-18 MESES")</f>
        <v>FICHA EN TIEMPO-18 MESES</v>
      </c>
      <c r="BI798" s="40" t="str">
        <f ca="1">IFERROR(__xludf.DUMMYFUNCTION("""COMPUTED_VALUE"""),"En ejecucion")</f>
        <v>En ejecucion</v>
      </c>
      <c r="BJ798" s="40" t="str">
        <f ca="1">IFERROR(__xludf.DUMMYFUNCTION("""COMPUTED_VALUE"""),"Yamboro")</f>
        <v>Yamboro</v>
      </c>
      <c r="BK798" s="40"/>
      <c r="BL798" s="40"/>
    </row>
    <row r="799" spans="1:64" ht="13">
      <c r="A799" s="40"/>
      <c r="B799" s="40" t="str">
        <f ca="1">IFERROR(__xludf.DUMMYFUNCTION("""COMPUTED_VALUE"""),"FORMACIÓN 18/10/2022")</f>
        <v>FORMACIÓN 18/10/2022</v>
      </c>
      <c r="C799" s="40" t="str">
        <f ca="1">IFERROR(__xludf.DUMMYFUNCTION("""COMPUTED_VALUE"""),"JUAN ESTEBAN AGUILERA ARAQUE")</f>
        <v>JUAN ESTEBAN AGUILERA ARAQUE</v>
      </c>
      <c r="D799" s="40" t="str">
        <f ca="1">IFERROR(__xludf.DUMMYFUNCTION("""COMPUTED_VALUE"""),"CC")</f>
        <v>CC</v>
      </c>
      <c r="E799" s="40">
        <f ca="1">IFERROR(__xludf.DUMMYFUNCTION("""COMPUTED_VALUE"""),1000796569)</f>
        <v>1000796569</v>
      </c>
      <c r="F799" s="40">
        <f ca="1">IFERROR(__xludf.DUMMYFUNCTION("""COMPUTED_VALUE"""),2236074)</f>
        <v>2236074</v>
      </c>
      <c r="G799" s="40" t="str">
        <f ca="1">IFERROR(__xludf.DUMMYFUNCTION("""COMPUTED_VALUE"""),"TECNÓLOGO")</f>
        <v>TECNÓLOGO</v>
      </c>
      <c r="H799" s="40" t="str">
        <f ca="1">IFERROR(__xludf.DUMMYFUNCTION("""COMPUTED_VALUE"""),"ANALISIS Y DESARROLLO DE SISTEMAS DE INFORMACION")</f>
        <v>ANALISIS Y DESARROLLO DE SISTEMAS DE INFORMACION</v>
      </c>
      <c r="I799" s="40">
        <f ca="1">IFERROR(__xludf.DUMMYFUNCTION("""COMPUTED_VALUE"""),3157096890)</f>
        <v>3157096890</v>
      </c>
      <c r="J799" s="40" t="str">
        <f ca="1">IFERROR(__xludf.DUMMYFUNCTION("""COMPUTED_VALUE"""),"aguileraaraquea@gmail.com")</f>
        <v>aguileraaraquea@gmail.com</v>
      </c>
      <c r="K799" s="40" t="str">
        <f ca="1">IFERROR(__xludf.DUMMYFUNCTION("""COMPUTED_VALUE"""),"pitalito")</f>
        <v>pitalito</v>
      </c>
      <c r="L799" s="40" t="str">
        <f ca="1">IFERROR(__xludf.DUMMYFUNCTION("""COMPUTED_VALUE"""),"UNIDAD PRODUCTIVA")</f>
        <v>UNIDAD PRODUCTIVA</v>
      </c>
      <c r="M799" s="40"/>
      <c r="N799" s="40"/>
      <c r="O799" s="40"/>
      <c r="P799" s="40"/>
      <c r="Q799" s="40"/>
      <c r="R799" s="140"/>
      <c r="S799" s="140"/>
      <c r="T799" s="40"/>
      <c r="U799" s="40" t="str">
        <f ca="1">IFERROR(__xludf.DUMMYFUNCTION("""COMPUTED_VALUE"""),"PASANTIA ")</f>
        <v xml:space="preserve">PASANTIA </v>
      </c>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t="str">
        <f ca="1">IFERROR(__xludf.DUMMYFUNCTION("""COMPUTED_VALUE"""),"Procede_E_P")</f>
        <v>Procede_E_P</v>
      </c>
      <c r="AV799" s="40" t="str">
        <f ca="1">IFERROR(__xludf.DUMMYFUNCTION("""COMPUTED_VALUE"""),"EN FORMACION")</f>
        <v>EN FORMACION</v>
      </c>
      <c r="AW799" s="40" t="str">
        <f ca="1">IFERROR(__xludf.DUMMYFUNCTION("""COMPUTED_VALUE"""),"TIC")</f>
        <v>TIC</v>
      </c>
      <c r="AX799" s="141">
        <f ca="1">IFERROR(__xludf.DUMMYFUNCTION("""COMPUTED_VALUE"""),0)</f>
        <v>0</v>
      </c>
      <c r="AY799" s="40">
        <f ca="1">IFERROR(__xludf.DUMMYFUNCTION("""COMPUTED_VALUE"""),0)</f>
        <v>0</v>
      </c>
      <c r="AZ799" s="40">
        <f ca="1">IFERROR(__xludf.DUMMYFUNCTION("""COMPUTED_VALUE"""),1)</f>
        <v>1</v>
      </c>
      <c r="BA799" s="40">
        <f ca="1">IFERROR(__xludf.DUMMYFUNCTION("""COMPUTED_VALUE"""),0)</f>
        <v>0</v>
      </c>
      <c r="BB799" s="40">
        <f ca="1">IFERROR(__xludf.DUMMYFUNCTION("""COMPUTED_VALUE"""),0)</f>
        <v>0</v>
      </c>
      <c r="BC799" s="40">
        <f ca="1">IFERROR(__xludf.DUMMYFUNCTION("""COMPUTED_VALUE"""),1)</f>
        <v>1</v>
      </c>
      <c r="BD799" s="141">
        <f ca="1">IFERROR(__xludf.DUMMYFUNCTION("""COMPUTED_VALUE"""),44221)</f>
        <v>44221</v>
      </c>
      <c r="BE799" s="141">
        <f ca="1">IFERROR(__xludf.DUMMYFUNCTION("""COMPUTED_VALUE"""),44766)</f>
        <v>44766</v>
      </c>
      <c r="BF799" s="141">
        <f ca="1">IFERROR(__xludf.DUMMYFUNCTION("""COMPUTED_VALUE"""),44950)</f>
        <v>44950</v>
      </c>
      <c r="BG799" s="141">
        <f ca="1">IFERROR(__xludf.DUMMYFUNCTION("""COMPUTED_VALUE"""),45497)</f>
        <v>45497</v>
      </c>
      <c r="BH799" s="40" t="str">
        <f ca="1">IFERROR(__xludf.DUMMYFUNCTION("""COMPUTED_VALUE"""),"FICHA EN TIEMPO-18 MESES")</f>
        <v>FICHA EN TIEMPO-18 MESES</v>
      </c>
      <c r="BI799" s="40" t="str">
        <f ca="1">IFERROR(__xludf.DUMMYFUNCTION("""COMPUTED_VALUE"""),"En ejecucion")</f>
        <v>En ejecucion</v>
      </c>
      <c r="BJ799" s="40" t="str">
        <f ca="1">IFERROR(__xludf.DUMMYFUNCTION("""COMPUTED_VALUE"""),"Yamboro")</f>
        <v>Yamboro</v>
      </c>
      <c r="BK799" s="40"/>
      <c r="BL799" s="40"/>
    </row>
    <row r="800" spans="1:64" ht="13">
      <c r="A800" s="40"/>
      <c r="B800" s="40" t="str">
        <f ca="1">IFERROR(__xludf.DUMMYFUNCTION("""COMPUTED_VALUE"""),"FORMACIÓN 18/10/2022")</f>
        <v>FORMACIÓN 18/10/2022</v>
      </c>
      <c r="C800" s="40" t="str">
        <f ca="1">IFERROR(__xludf.DUMMYFUNCTION("""COMPUTED_VALUE"""),"MARILY ZULETA ROJAS")</f>
        <v>MARILY ZULETA ROJAS</v>
      </c>
      <c r="D800" s="40" t="str">
        <f ca="1">IFERROR(__xludf.DUMMYFUNCTION("""COMPUTED_VALUE"""),"TI")</f>
        <v>TI</v>
      </c>
      <c r="E800" s="40">
        <f ca="1">IFERROR(__xludf.DUMMYFUNCTION("""COMPUTED_VALUE"""),1004446520)</f>
        <v>1004446520</v>
      </c>
      <c r="F800" s="40">
        <f ca="1">IFERROR(__xludf.DUMMYFUNCTION("""COMPUTED_VALUE"""),2236074)</f>
        <v>2236074</v>
      </c>
      <c r="G800" s="40" t="str">
        <f ca="1">IFERROR(__xludf.DUMMYFUNCTION("""COMPUTED_VALUE"""),"TECNÓLOGO")</f>
        <v>TECNÓLOGO</v>
      </c>
      <c r="H800" s="40" t="str">
        <f ca="1">IFERROR(__xludf.DUMMYFUNCTION("""COMPUTED_VALUE"""),"ANALISIS Y DESARROLLO DE SISTEMAS DE INFORMACION")</f>
        <v>ANALISIS Y DESARROLLO DE SISTEMAS DE INFORMACION</v>
      </c>
      <c r="I800" s="40">
        <f ca="1">IFERROR(__xludf.DUMMYFUNCTION("""COMPUTED_VALUE"""),3203351402)</f>
        <v>3203351402</v>
      </c>
      <c r="J800" s="40" t="str">
        <f ca="1">IFERROR(__xludf.DUMMYFUNCTION("""COMPUTED_VALUE"""),"marily3zuleta@gmail.com")</f>
        <v>marily3zuleta@gmail.com</v>
      </c>
      <c r="K800" s="40" t="str">
        <f ca="1">IFERROR(__xludf.DUMMYFUNCTION("""COMPUTED_VALUE"""),"Pitalito")</f>
        <v>Pitalito</v>
      </c>
      <c r="L800" s="40" t="str">
        <f ca="1">IFERROR(__xludf.DUMMYFUNCTION("""COMPUTED_VALUE"""),"PASANTÍAS")</f>
        <v>PASANTÍAS</v>
      </c>
      <c r="M800" s="40" t="str">
        <f ca="1">IFERROR(__xludf.DUMMYFUNCTION("""COMPUTED_VALUE"""),"MAINSOFT")</f>
        <v>MAINSOFT</v>
      </c>
      <c r="N800" s="40"/>
      <c r="O800" s="40"/>
      <c r="P800" s="40"/>
      <c r="Q800" s="40"/>
      <c r="R800" s="140">
        <f ca="1">IFERROR(__xludf.DUMMYFUNCTION("""COMPUTED_VALUE"""),44781)</f>
        <v>44781</v>
      </c>
      <c r="S800" s="140">
        <f ca="1">IFERROR(__xludf.DUMMYFUNCTION("""COMPUTED_VALUE"""),44964)</f>
        <v>44964</v>
      </c>
      <c r="T800" s="40" t="str">
        <f ca="1">IFERROR(__xludf.DUMMYFUNCTION("""COMPUTED_VALUE"""),"Tiene Acuerdo de Voluntades, Parcial y Bitácoras 1,2,3 ...Falta Final y bitácoras 4,5,6,7,8,9,10,11 y 12...Revisado 16/09/2022")</f>
        <v>Tiene Acuerdo de Voluntades, Parcial y Bitácoras 1,2,3 ...Falta Final y bitácoras 4,5,6,7,8,9,10,11 y 12...Revisado 16/09/2022</v>
      </c>
      <c r="U800" s="40" t="s">
        <v>1740</v>
      </c>
      <c r="V800" s="40" t="str">
        <f ca="1">IFERROR(__xludf.DUMMYFUNCTION("""COMPUTED_VALUE"""),"Si tiene seguimiento 16/09/2022")</f>
        <v>Si tiene seguimiento 16/09/2022</v>
      </c>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t="str">
        <f ca="1">IFERROR(__xludf.DUMMYFUNCTION("""COMPUTED_VALUE"""),"Procede_E_P")</f>
        <v>Procede_E_P</v>
      </c>
      <c r="AV800" s="40" t="str">
        <f ca="1">IFERROR(__xludf.DUMMYFUNCTION("""COMPUTED_VALUE"""),"EN FORMACION")</f>
        <v>EN FORMACION</v>
      </c>
      <c r="AW800" s="40" t="str">
        <f ca="1">IFERROR(__xludf.DUMMYFUNCTION("""COMPUTED_VALUE"""),"TIC")</f>
        <v>TIC</v>
      </c>
      <c r="AX800" s="141">
        <f ca="1">IFERROR(__xludf.DUMMYFUNCTION("""COMPUTED_VALUE"""),0)</f>
        <v>0</v>
      </c>
      <c r="AY800" s="40">
        <f ca="1">IFERROR(__xludf.DUMMYFUNCTION("""COMPUTED_VALUE"""),0)</f>
        <v>0</v>
      </c>
      <c r="AZ800" s="40">
        <f ca="1">IFERROR(__xludf.DUMMYFUNCTION("""COMPUTED_VALUE"""),1)</f>
        <v>1</v>
      </c>
      <c r="BA800" s="40">
        <f ca="1">IFERROR(__xludf.DUMMYFUNCTION("""COMPUTED_VALUE"""),0)</f>
        <v>0</v>
      </c>
      <c r="BB800" s="40">
        <f ca="1">IFERROR(__xludf.DUMMYFUNCTION("""COMPUTED_VALUE"""),0)</f>
        <v>0</v>
      </c>
      <c r="BC800" s="40">
        <f ca="1">IFERROR(__xludf.DUMMYFUNCTION("""COMPUTED_VALUE"""),1)</f>
        <v>1</v>
      </c>
      <c r="BD800" s="141">
        <f ca="1">IFERROR(__xludf.DUMMYFUNCTION("""COMPUTED_VALUE"""),44221)</f>
        <v>44221</v>
      </c>
      <c r="BE800" s="141">
        <f ca="1">IFERROR(__xludf.DUMMYFUNCTION("""COMPUTED_VALUE"""),44766)</f>
        <v>44766</v>
      </c>
      <c r="BF800" s="141">
        <f ca="1">IFERROR(__xludf.DUMMYFUNCTION("""COMPUTED_VALUE"""),44950)</f>
        <v>44950</v>
      </c>
      <c r="BG800" s="141">
        <f ca="1">IFERROR(__xludf.DUMMYFUNCTION("""COMPUTED_VALUE"""),45497)</f>
        <v>45497</v>
      </c>
      <c r="BH800" s="40" t="str">
        <f ca="1">IFERROR(__xludf.DUMMYFUNCTION("""COMPUTED_VALUE"""),"FICHA EN TIEMPO-18 MESES")</f>
        <v>FICHA EN TIEMPO-18 MESES</v>
      </c>
      <c r="BI800" s="40" t="str">
        <f ca="1">IFERROR(__xludf.DUMMYFUNCTION("""COMPUTED_VALUE"""),"En ejecucion")</f>
        <v>En ejecucion</v>
      </c>
      <c r="BJ800" s="40" t="str">
        <f ca="1">IFERROR(__xludf.DUMMYFUNCTION("""COMPUTED_VALUE"""),"Yamboro")</f>
        <v>Yamboro</v>
      </c>
      <c r="BK800" s="40"/>
      <c r="BL800" s="40"/>
    </row>
    <row r="801" spans="1:64" ht="13">
      <c r="A801" s="40"/>
      <c r="B801" s="40" t="str">
        <f ca="1">IFERROR(__xludf.DUMMYFUNCTION("""COMPUTED_VALUE"""),"FORMACIÓN 18/10/2022")</f>
        <v>FORMACIÓN 18/10/2022</v>
      </c>
      <c r="C801" s="40" t="str">
        <f ca="1">IFERROR(__xludf.DUMMYFUNCTION("""COMPUTED_VALUE"""),"MARYURY SABI CHARRY")</f>
        <v>MARYURY SABI CHARRY</v>
      </c>
      <c r="D801" s="40" t="str">
        <f ca="1">IFERROR(__xludf.DUMMYFUNCTION("""COMPUTED_VALUE"""),"TI")</f>
        <v>TI</v>
      </c>
      <c r="E801" s="40">
        <f ca="1">IFERROR(__xludf.DUMMYFUNCTION("""COMPUTED_VALUE"""),1007524869)</f>
        <v>1007524869</v>
      </c>
      <c r="F801" s="40">
        <f ca="1">IFERROR(__xludf.DUMMYFUNCTION("""COMPUTED_VALUE"""),2236074)</f>
        <v>2236074</v>
      </c>
      <c r="G801" s="40" t="str">
        <f ca="1">IFERROR(__xludf.DUMMYFUNCTION("""COMPUTED_VALUE"""),"TECNÓLOGO")</f>
        <v>TECNÓLOGO</v>
      </c>
      <c r="H801" s="40" t="str">
        <f ca="1">IFERROR(__xludf.DUMMYFUNCTION("""COMPUTED_VALUE"""),"ANALISIS Y DESARROLLO DE SISTEMAS DE INFORMACION")</f>
        <v>ANALISIS Y DESARROLLO DE SISTEMAS DE INFORMACION</v>
      </c>
      <c r="I801" s="40">
        <f ca="1">IFERROR(__xludf.DUMMYFUNCTION("""COMPUTED_VALUE"""),3227280602)</f>
        <v>3227280602</v>
      </c>
      <c r="J801" s="40" t="str">
        <f ca="1">IFERROR(__xludf.DUMMYFUNCTION("""COMPUTED_VALUE"""),"Maryurysacha@gmail.com")</f>
        <v>Maryurysacha@gmail.com</v>
      </c>
      <c r="K801" s="40" t="str">
        <f ca="1">IFERROR(__xludf.DUMMYFUNCTION("""COMPUTED_VALUE"""),"Pitalito")</f>
        <v>Pitalito</v>
      </c>
      <c r="L801" s="40" t="str">
        <f ca="1">IFERROR(__xludf.DUMMYFUNCTION("""COMPUTED_VALUE"""),"CONTRATO DE APRENDIZAJE ")</f>
        <v xml:space="preserve">CONTRATO DE APRENDIZAJE </v>
      </c>
      <c r="M801" s="40" t="str">
        <f ca="1">IFERROR(__xludf.DUMMYFUNCTION("""COMPUTED_VALUE"""),"GRUPO AKAES SAS - IT GLOBERS")</f>
        <v>GRUPO AKAES SAS - IT GLOBERS</v>
      </c>
      <c r="N801" s="40" t="str">
        <f ca="1">IFERROR(__xludf.DUMMYFUNCTION("""COMPUTED_VALUE"""),"Carrera 72 C No. 22 A 24 Torre 2 Apto 1512")</f>
        <v>Carrera 72 C No. 22 A 24 Torre 2 Apto 1512</v>
      </c>
      <c r="O801" s="40">
        <f ca="1">IFERROR(__xludf.DUMMYFUNCTION("""COMPUTED_VALUE"""),3204789444)</f>
        <v>3204789444</v>
      </c>
      <c r="P801" s="40" t="str">
        <f ca="1">IFERROR(__xludf.DUMMYFUNCTION("""COMPUTED_VALUE"""),"BOGOTA D.C.")</f>
        <v>BOGOTA D.C.</v>
      </c>
      <c r="Q801" s="40" t="str">
        <f ca="1">IFERROR(__xludf.DUMMYFUNCTION("""COMPUTED_VALUE"""),"avier@grupoakaes.com")</f>
        <v>avier@grupoakaes.com</v>
      </c>
      <c r="R801" s="140">
        <f ca="1">IFERROR(__xludf.DUMMYFUNCTION("""COMPUTED_VALUE"""),44816)</f>
        <v>44816</v>
      </c>
      <c r="S801" s="140">
        <f ca="1">IFERROR(__xludf.DUMMYFUNCTION("""COMPUTED_VALUE"""),44997)</f>
        <v>44997</v>
      </c>
      <c r="T801" s="40"/>
      <c r="U801" s="40" t="str">
        <f ca="1">IFERROR(__xludf.DUMMYFUNCTION("""COMPUTED_VALUE"""),"Eduar Triana ")</f>
        <v xml:space="preserve">Eduar Triana </v>
      </c>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t="str">
        <f ca="1">IFERROR(__xludf.DUMMYFUNCTION("""COMPUTED_VALUE"""),"Procede_E_P")</f>
        <v>Procede_E_P</v>
      </c>
      <c r="AV801" s="40" t="str">
        <f ca="1">IFERROR(__xludf.DUMMYFUNCTION("""COMPUTED_VALUE"""),"EN FORMACION")</f>
        <v>EN FORMACION</v>
      </c>
      <c r="AW801" s="40" t="str">
        <f ca="1">IFERROR(__xludf.DUMMYFUNCTION("""COMPUTED_VALUE"""),"TIC")</f>
        <v>TIC</v>
      </c>
      <c r="AX801" s="141">
        <f ca="1">IFERROR(__xludf.DUMMYFUNCTION("""COMPUTED_VALUE"""),0)</f>
        <v>0</v>
      </c>
      <c r="AY801" s="40">
        <f ca="1">IFERROR(__xludf.DUMMYFUNCTION("""COMPUTED_VALUE"""),0)</f>
        <v>0</v>
      </c>
      <c r="AZ801" s="40">
        <f ca="1">IFERROR(__xludf.DUMMYFUNCTION("""COMPUTED_VALUE"""),1)</f>
        <v>1</v>
      </c>
      <c r="BA801" s="40">
        <f ca="1">IFERROR(__xludf.DUMMYFUNCTION("""COMPUTED_VALUE"""),0)</f>
        <v>0</v>
      </c>
      <c r="BB801" s="40">
        <f ca="1">IFERROR(__xludf.DUMMYFUNCTION("""COMPUTED_VALUE"""),0)</f>
        <v>0</v>
      </c>
      <c r="BC801" s="40">
        <f ca="1">IFERROR(__xludf.DUMMYFUNCTION("""COMPUTED_VALUE"""),1)</f>
        <v>1</v>
      </c>
      <c r="BD801" s="141">
        <f ca="1">IFERROR(__xludf.DUMMYFUNCTION("""COMPUTED_VALUE"""),44221)</f>
        <v>44221</v>
      </c>
      <c r="BE801" s="141">
        <f ca="1">IFERROR(__xludf.DUMMYFUNCTION("""COMPUTED_VALUE"""),44766)</f>
        <v>44766</v>
      </c>
      <c r="BF801" s="141">
        <f ca="1">IFERROR(__xludf.DUMMYFUNCTION("""COMPUTED_VALUE"""),44950)</f>
        <v>44950</v>
      </c>
      <c r="BG801" s="141">
        <f ca="1">IFERROR(__xludf.DUMMYFUNCTION("""COMPUTED_VALUE"""),45497)</f>
        <v>45497</v>
      </c>
      <c r="BH801" s="40" t="str">
        <f ca="1">IFERROR(__xludf.DUMMYFUNCTION("""COMPUTED_VALUE"""),"FICHA EN TIEMPO-18 MESES")</f>
        <v>FICHA EN TIEMPO-18 MESES</v>
      </c>
      <c r="BI801" s="40" t="str">
        <f ca="1">IFERROR(__xludf.DUMMYFUNCTION("""COMPUTED_VALUE"""),"En ejecucion")</f>
        <v>En ejecucion</v>
      </c>
      <c r="BJ801" s="40" t="str">
        <f ca="1">IFERROR(__xludf.DUMMYFUNCTION("""COMPUTED_VALUE"""),"Yamboro")</f>
        <v>Yamboro</v>
      </c>
      <c r="BK801" s="40"/>
      <c r="BL801" s="40"/>
    </row>
    <row r="802" spans="1:64" ht="13">
      <c r="A802" s="40"/>
      <c r="B802" s="40" t="str">
        <f ca="1">IFERROR(__xludf.DUMMYFUNCTION("""COMPUTED_VALUE"""),"FORMACIÓN 18/10/2022")</f>
        <v>FORMACIÓN 18/10/2022</v>
      </c>
      <c r="C802" s="40" t="str">
        <f ca="1">IFERROR(__xludf.DUMMYFUNCTION("""COMPUTED_VALUE"""),"KAROL XIOMARA ROJAS SORIANO")</f>
        <v>KAROL XIOMARA ROJAS SORIANO</v>
      </c>
      <c r="D802" s="40" t="str">
        <f ca="1">IFERROR(__xludf.DUMMYFUNCTION("""COMPUTED_VALUE"""),"CC")</f>
        <v>CC</v>
      </c>
      <c r="E802" s="40">
        <f ca="1">IFERROR(__xludf.DUMMYFUNCTION("""COMPUTED_VALUE"""),1007569237)</f>
        <v>1007569237</v>
      </c>
      <c r="F802" s="40">
        <f ca="1">IFERROR(__xludf.DUMMYFUNCTION("""COMPUTED_VALUE"""),2236074)</f>
        <v>2236074</v>
      </c>
      <c r="G802" s="40" t="str">
        <f ca="1">IFERROR(__xludf.DUMMYFUNCTION("""COMPUTED_VALUE"""),"TECNÓLOGO")</f>
        <v>TECNÓLOGO</v>
      </c>
      <c r="H802" s="40" t="str">
        <f ca="1">IFERROR(__xludf.DUMMYFUNCTION("""COMPUTED_VALUE"""),"ANALISIS Y DESARROLLO DE SISTEMAS DE INFORMACION")</f>
        <v>ANALISIS Y DESARROLLO DE SISTEMAS DE INFORMACION</v>
      </c>
      <c r="I802" s="40">
        <f ca="1">IFERROR(__xludf.DUMMYFUNCTION("""COMPUTED_VALUE"""),3177417087)</f>
        <v>3177417087</v>
      </c>
      <c r="J802" s="40" t="str">
        <f ca="1">IFERROR(__xludf.DUMMYFUNCTION("""COMPUTED_VALUE"""),"Karolxiomararojassoriano@gmail.com")</f>
        <v>Karolxiomararojassoriano@gmail.com</v>
      </c>
      <c r="K802" s="40" t="str">
        <f ca="1">IFERROR(__xludf.DUMMYFUNCTION("""COMPUTED_VALUE"""),"pitalito")</f>
        <v>pitalito</v>
      </c>
      <c r="L802" s="40" t="str">
        <f ca="1">IFERROR(__xludf.DUMMYFUNCTION("""COMPUTED_VALUE"""),"CONTRATO DE APRENDIZAJE ")</f>
        <v xml:space="preserve">CONTRATO DE APRENDIZAJE </v>
      </c>
      <c r="M802" s="40" t="str">
        <f ca="1">IFERROR(__xludf.DUMMYFUNCTION("""COMPUTED_VALUE"""),"SOAIN SOFTWARE ASSOCIATES S A S")</f>
        <v>SOAIN SOFTWARE ASSOCIATES S A S</v>
      </c>
      <c r="N802" s="40" t="str">
        <f ca="1">IFERROR(__xludf.DUMMYFUNCTION("""COMPUTED_VALUE"""),"ac. 100 # 23 - 10 Of. 302")</f>
        <v>ac. 100 # 23 - 10 Of. 302</v>
      </c>
      <c r="O802" s="40">
        <f ca="1">IFERROR(__xludf.DUMMYFUNCTION("""COMPUTED_VALUE"""),3202137400)</f>
        <v>3202137400</v>
      </c>
      <c r="P802" s="40" t="str">
        <f ca="1">IFERROR(__xludf.DUMMYFUNCTION("""COMPUTED_VALUE"""),"BOGOTA ")</f>
        <v xml:space="preserve">BOGOTA </v>
      </c>
      <c r="Q802" s="40" t="str">
        <f ca="1">IFERROR(__xludf.DUMMYFUNCTION("""COMPUTED_VALUE"""),"kandrade@soaint.com")</f>
        <v>kandrade@soaint.com</v>
      </c>
      <c r="R802" s="140">
        <f ca="1">IFERROR(__xludf.DUMMYFUNCTION("""COMPUTED_VALUE"""),44804)</f>
        <v>44804</v>
      </c>
      <c r="S802" s="140">
        <f ca="1">IFERROR(__xludf.DUMMYFUNCTION("""COMPUTED_VALUE"""),44985)</f>
        <v>44985</v>
      </c>
      <c r="T802" s="40"/>
      <c r="U802" s="40" t="str">
        <f ca="1">IFERROR(__xludf.DUMMYFUNCTION("""COMPUTED_VALUE"""),"Eduar Triana ")</f>
        <v xml:space="preserve">Eduar Triana </v>
      </c>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t="str">
        <f ca="1">IFERROR(__xludf.DUMMYFUNCTION("""COMPUTED_VALUE"""),"Procede_E_P")</f>
        <v>Procede_E_P</v>
      </c>
      <c r="AV802" s="40" t="str">
        <f ca="1">IFERROR(__xludf.DUMMYFUNCTION("""COMPUTED_VALUE"""),"EN FORMACION")</f>
        <v>EN FORMACION</v>
      </c>
      <c r="AW802" s="40" t="str">
        <f ca="1">IFERROR(__xludf.DUMMYFUNCTION("""COMPUTED_VALUE"""),"TIC")</f>
        <v>TIC</v>
      </c>
      <c r="AX802" s="141">
        <f ca="1">IFERROR(__xludf.DUMMYFUNCTION("""COMPUTED_VALUE"""),0)</f>
        <v>0</v>
      </c>
      <c r="AY802" s="40">
        <f ca="1">IFERROR(__xludf.DUMMYFUNCTION("""COMPUTED_VALUE"""),0)</f>
        <v>0</v>
      </c>
      <c r="AZ802" s="40">
        <f ca="1">IFERROR(__xludf.DUMMYFUNCTION("""COMPUTED_VALUE"""),1)</f>
        <v>1</v>
      </c>
      <c r="BA802" s="40">
        <f ca="1">IFERROR(__xludf.DUMMYFUNCTION("""COMPUTED_VALUE"""),0)</f>
        <v>0</v>
      </c>
      <c r="BB802" s="40">
        <f ca="1">IFERROR(__xludf.DUMMYFUNCTION("""COMPUTED_VALUE"""),0)</f>
        <v>0</v>
      </c>
      <c r="BC802" s="40">
        <f ca="1">IFERROR(__xludf.DUMMYFUNCTION("""COMPUTED_VALUE"""),1)</f>
        <v>1</v>
      </c>
      <c r="BD802" s="141">
        <f ca="1">IFERROR(__xludf.DUMMYFUNCTION("""COMPUTED_VALUE"""),44221)</f>
        <v>44221</v>
      </c>
      <c r="BE802" s="141">
        <f ca="1">IFERROR(__xludf.DUMMYFUNCTION("""COMPUTED_VALUE"""),44766)</f>
        <v>44766</v>
      </c>
      <c r="BF802" s="141">
        <f ca="1">IFERROR(__xludf.DUMMYFUNCTION("""COMPUTED_VALUE"""),44950)</f>
        <v>44950</v>
      </c>
      <c r="BG802" s="141">
        <f ca="1">IFERROR(__xludf.DUMMYFUNCTION("""COMPUTED_VALUE"""),45497)</f>
        <v>45497</v>
      </c>
      <c r="BH802" s="40" t="str">
        <f ca="1">IFERROR(__xludf.DUMMYFUNCTION("""COMPUTED_VALUE"""),"FICHA EN TIEMPO-18 MESES")</f>
        <v>FICHA EN TIEMPO-18 MESES</v>
      </c>
      <c r="BI802" s="40" t="str">
        <f ca="1">IFERROR(__xludf.DUMMYFUNCTION("""COMPUTED_VALUE"""),"En ejecucion")</f>
        <v>En ejecucion</v>
      </c>
      <c r="BJ802" s="40" t="str">
        <f ca="1">IFERROR(__xludf.DUMMYFUNCTION("""COMPUTED_VALUE"""),"Yamboro")</f>
        <v>Yamboro</v>
      </c>
      <c r="BK802" s="40"/>
      <c r="BL802" s="40"/>
    </row>
    <row r="803" spans="1:64" ht="13">
      <c r="A803" s="40"/>
      <c r="B803" s="40" t="str">
        <f ca="1">IFERROR(__xludf.DUMMYFUNCTION("""COMPUTED_VALUE"""),"FORMACIÓN 18/10/2022")</f>
        <v>FORMACIÓN 18/10/2022</v>
      </c>
      <c r="C803" s="40" t="str">
        <f ca="1">IFERROR(__xludf.DUMMYFUNCTION("""COMPUTED_VALUE"""),"FELIPE ROJAS REYES")</f>
        <v>FELIPE ROJAS REYES</v>
      </c>
      <c r="D803" s="40" t="str">
        <f ca="1">IFERROR(__xludf.DUMMYFUNCTION("""COMPUTED_VALUE"""),"CC")</f>
        <v>CC</v>
      </c>
      <c r="E803" s="40">
        <f ca="1">IFERROR(__xludf.DUMMYFUNCTION("""COMPUTED_VALUE"""),1007576011)</f>
        <v>1007576011</v>
      </c>
      <c r="F803" s="40">
        <f ca="1">IFERROR(__xludf.DUMMYFUNCTION("""COMPUTED_VALUE"""),2236074)</f>
        <v>2236074</v>
      </c>
      <c r="G803" s="40" t="str">
        <f ca="1">IFERROR(__xludf.DUMMYFUNCTION("""COMPUTED_VALUE"""),"TECNÓLOGO")</f>
        <v>TECNÓLOGO</v>
      </c>
      <c r="H803" s="40" t="str">
        <f ca="1">IFERROR(__xludf.DUMMYFUNCTION("""COMPUTED_VALUE"""),"ANALISIS Y DESARROLLO DE SISTEMAS DE INFORMACION")</f>
        <v>ANALISIS Y DESARROLLO DE SISTEMAS DE INFORMACION</v>
      </c>
      <c r="I803" s="40">
        <f ca="1">IFERROR(__xludf.DUMMYFUNCTION("""COMPUTED_VALUE"""),3125671196)</f>
        <v>3125671196</v>
      </c>
      <c r="J803" s="40" t="str">
        <f ca="1">IFERROR(__xludf.DUMMYFUNCTION("""COMPUTED_VALUE"""),"kinrojas2@gmail.com")</f>
        <v>kinrojas2@gmail.com</v>
      </c>
      <c r="K803" s="40" t="str">
        <f ca="1">IFERROR(__xludf.DUMMYFUNCTION("""COMPUTED_VALUE"""),"pitalito")</f>
        <v>pitalito</v>
      </c>
      <c r="L803" s="40" t="str">
        <f ca="1">IFERROR(__xludf.DUMMYFUNCTION("""COMPUTED_VALUE"""),"NO HA INICIADO ETAPA PRODUCTIVA")</f>
        <v>NO HA INICIADO ETAPA PRODUCTIVA</v>
      </c>
      <c r="M803" s="40"/>
      <c r="N803" s="40"/>
      <c r="O803" s="40"/>
      <c r="P803" s="40"/>
      <c r="Q803" s="40"/>
      <c r="R803" s="140"/>
      <c r="S803" s="140"/>
      <c r="T803" s="40"/>
      <c r="U803" s="40" t="str">
        <f ca="1">IFERROR(__xludf.DUMMYFUNCTION("""COMPUTED_VALUE"""),"Eduar Triana ")</f>
        <v xml:space="preserve">Eduar Triana </v>
      </c>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t="str">
        <f ca="1">IFERROR(__xludf.DUMMYFUNCTION("""COMPUTED_VALUE"""),"Procede_E_P")</f>
        <v>Procede_E_P</v>
      </c>
      <c r="AV803" s="40" t="str">
        <f ca="1">IFERROR(__xludf.DUMMYFUNCTION("""COMPUTED_VALUE"""),"EN FORMACION")</f>
        <v>EN FORMACION</v>
      </c>
      <c r="AW803" s="40" t="str">
        <f ca="1">IFERROR(__xludf.DUMMYFUNCTION("""COMPUTED_VALUE"""),"TIC")</f>
        <v>TIC</v>
      </c>
      <c r="AX803" s="141">
        <f ca="1">IFERROR(__xludf.DUMMYFUNCTION("""COMPUTED_VALUE"""),0)</f>
        <v>0</v>
      </c>
      <c r="AY803" s="40">
        <f ca="1">IFERROR(__xludf.DUMMYFUNCTION("""COMPUTED_VALUE"""),0)</f>
        <v>0</v>
      </c>
      <c r="AZ803" s="40">
        <f ca="1">IFERROR(__xludf.DUMMYFUNCTION("""COMPUTED_VALUE"""),1)</f>
        <v>1</v>
      </c>
      <c r="BA803" s="40">
        <f ca="1">IFERROR(__xludf.DUMMYFUNCTION("""COMPUTED_VALUE"""),0)</f>
        <v>0</v>
      </c>
      <c r="BB803" s="40">
        <f ca="1">IFERROR(__xludf.DUMMYFUNCTION("""COMPUTED_VALUE"""),0)</f>
        <v>0</v>
      </c>
      <c r="BC803" s="40">
        <f ca="1">IFERROR(__xludf.DUMMYFUNCTION("""COMPUTED_VALUE"""),1)</f>
        <v>1</v>
      </c>
      <c r="BD803" s="141">
        <f ca="1">IFERROR(__xludf.DUMMYFUNCTION("""COMPUTED_VALUE"""),44221)</f>
        <v>44221</v>
      </c>
      <c r="BE803" s="141">
        <f ca="1">IFERROR(__xludf.DUMMYFUNCTION("""COMPUTED_VALUE"""),44766)</f>
        <v>44766</v>
      </c>
      <c r="BF803" s="141">
        <f ca="1">IFERROR(__xludf.DUMMYFUNCTION("""COMPUTED_VALUE"""),44950)</f>
        <v>44950</v>
      </c>
      <c r="BG803" s="141">
        <f ca="1">IFERROR(__xludf.DUMMYFUNCTION("""COMPUTED_VALUE"""),45497)</f>
        <v>45497</v>
      </c>
      <c r="BH803" s="40" t="str">
        <f ca="1">IFERROR(__xludf.DUMMYFUNCTION("""COMPUTED_VALUE"""),"FICHA EN TIEMPO-18 MESES")</f>
        <v>FICHA EN TIEMPO-18 MESES</v>
      </c>
      <c r="BI803" s="40" t="str">
        <f ca="1">IFERROR(__xludf.DUMMYFUNCTION("""COMPUTED_VALUE"""),"En ejecucion")</f>
        <v>En ejecucion</v>
      </c>
      <c r="BJ803" s="40" t="str">
        <f ca="1">IFERROR(__xludf.DUMMYFUNCTION("""COMPUTED_VALUE"""),"Yamboro")</f>
        <v>Yamboro</v>
      </c>
      <c r="BK803" s="40"/>
      <c r="BL803" s="40"/>
    </row>
    <row r="804" spans="1:64" ht="13">
      <c r="A804" s="40"/>
      <c r="B804" s="40" t="str">
        <f ca="1">IFERROR(__xludf.DUMMYFUNCTION("""COMPUTED_VALUE"""),"FORMACIÓN 18/10/2022")</f>
        <v>FORMACIÓN 18/10/2022</v>
      </c>
      <c r="C804" s="40" t="str">
        <f ca="1">IFERROR(__xludf.DUMMYFUNCTION("""COMPUTED_VALUE"""),"INGRID VANESA SABI CHARRY")</f>
        <v>INGRID VANESA SABI CHARRY</v>
      </c>
      <c r="D804" s="40" t="str">
        <f ca="1">IFERROR(__xludf.DUMMYFUNCTION("""COMPUTED_VALUE"""),"TI")</f>
        <v>TI</v>
      </c>
      <c r="E804" s="40">
        <f ca="1">IFERROR(__xludf.DUMMYFUNCTION("""COMPUTED_VALUE"""),1077840651)</f>
        <v>1077840651</v>
      </c>
      <c r="F804" s="40">
        <f ca="1">IFERROR(__xludf.DUMMYFUNCTION("""COMPUTED_VALUE"""),2236074)</f>
        <v>2236074</v>
      </c>
      <c r="G804" s="40" t="str">
        <f ca="1">IFERROR(__xludf.DUMMYFUNCTION("""COMPUTED_VALUE"""),"TECNÓLOGO")</f>
        <v>TECNÓLOGO</v>
      </c>
      <c r="H804" s="40" t="str">
        <f ca="1">IFERROR(__xludf.DUMMYFUNCTION("""COMPUTED_VALUE"""),"ANALISIS Y DESARROLLO DE SISTEMAS DE INFORMACION")</f>
        <v>ANALISIS Y DESARROLLO DE SISTEMAS DE INFORMACION</v>
      </c>
      <c r="I804" s="40"/>
      <c r="J804" s="40" t="str">
        <f ca="1">IFERROR(__xludf.DUMMYFUNCTION("""COMPUTED_VALUE"""),"ingridvanesasabicharry@gmail.com")</f>
        <v>ingridvanesasabicharry@gmail.com</v>
      </c>
      <c r="K804" s="40" t="str">
        <f ca="1">IFERROR(__xludf.DUMMYFUNCTION("""COMPUTED_VALUE"""),"Pitalito")</f>
        <v>Pitalito</v>
      </c>
      <c r="L804" s="40" t="str">
        <f ca="1">IFERROR(__xludf.DUMMYFUNCTION("""COMPUTED_VALUE"""),"NO HA INICIADO ETAPA PRODUCTIVA")</f>
        <v>NO HA INICIADO ETAPA PRODUCTIVA</v>
      </c>
      <c r="M804" s="40"/>
      <c r="N804" s="40"/>
      <c r="O804" s="40"/>
      <c r="P804" s="40"/>
      <c r="Q804" s="40"/>
      <c r="R804" s="140"/>
      <c r="S804" s="140"/>
      <c r="T804" s="40"/>
      <c r="U804" s="40" t="str">
        <f ca="1">IFERROR(__xludf.DUMMYFUNCTION("""COMPUTED_VALUE"""),"Eduar Triana ")</f>
        <v xml:space="preserve">Eduar Triana </v>
      </c>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t="str">
        <f ca="1">IFERROR(__xludf.DUMMYFUNCTION("""COMPUTED_VALUE"""),"Procede_E_P")</f>
        <v>Procede_E_P</v>
      </c>
      <c r="AV804" s="40" t="str">
        <f ca="1">IFERROR(__xludf.DUMMYFUNCTION("""COMPUTED_VALUE"""),"EN FORMACION")</f>
        <v>EN FORMACION</v>
      </c>
      <c r="AW804" s="40" t="str">
        <f ca="1">IFERROR(__xludf.DUMMYFUNCTION("""COMPUTED_VALUE"""),"TIC")</f>
        <v>TIC</v>
      </c>
      <c r="AX804" s="141">
        <f ca="1">IFERROR(__xludf.DUMMYFUNCTION("""COMPUTED_VALUE"""),0)</f>
        <v>0</v>
      </c>
      <c r="AY804" s="40">
        <f ca="1">IFERROR(__xludf.DUMMYFUNCTION("""COMPUTED_VALUE"""),0)</f>
        <v>0</v>
      </c>
      <c r="AZ804" s="40">
        <f ca="1">IFERROR(__xludf.DUMMYFUNCTION("""COMPUTED_VALUE"""),1)</f>
        <v>1</v>
      </c>
      <c r="BA804" s="40">
        <f ca="1">IFERROR(__xludf.DUMMYFUNCTION("""COMPUTED_VALUE"""),0)</f>
        <v>0</v>
      </c>
      <c r="BB804" s="40">
        <f ca="1">IFERROR(__xludf.DUMMYFUNCTION("""COMPUTED_VALUE"""),0)</f>
        <v>0</v>
      </c>
      <c r="BC804" s="40">
        <f ca="1">IFERROR(__xludf.DUMMYFUNCTION("""COMPUTED_VALUE"""),1)</f>
        <v>1</v>
      </c>
      <c r="BD804" s="141">
        <f ca="1">IFERROR(__xludf.DUMMYFUNCTION("""COMPUTED_VALUE"""),44221)</f>
        <v>44221</v>
      </c>
      <c r="BE804" s="141">
        <f ca="1">IFERROR(__xludf.DUMMYFUNCTION("""COMPUTED_VALUE"""),44766)</f>
        <v>44766</v>
      </c>
      <c r="BF804" s="141">
        <f ca="1">IFERROR(__xludf.DUMMYFUNCTION("""COMPUTED_VALUE"""),44950)</f>
        <v>44950</v>
      </c>
      <c r="BG804" s="141">
        <f ca="1">IFERROR(__xludf.DUMMYFUNCTION("""COMPUTED_VALUE"""),45497)</f>
        <v>45497</v>
      </c>
      <c r="BH804" s="40" t="str">
        <f ca="1">IFERROR(__xludf.DUMMYFUNCTION("""COMPUTED_VALUE"""),"FICHA EN TIEMPO-18 MESES")</f>
        <v>FICHA EN TIEMPO-18 MESES</v>
      </c>
      <c r="BI804" s="40" t="str">
        <f ca="1">IFERROR(__xludf.DUMMYFUNCTION("""COMPUTED_VALUE"""),"En ejecucion")</f>
        <v>En ejecucion</v>
      </c>
      <c r="BJ804" s="40" t="str">
        <f ca="1">IFERROR(__xludf.DUMMYFUNCTION("""COMPUTED_VALUE"""),"Yamboro")</f>
        <v>Yamboro</v>
      </c>
      <c r="BK804" s="40"/>
      <c r="BL804" s="40"/>
    </row>
    <row r="805" spans="1:64" ht="13">
      <c r="A805" s="40"/>
      <c r="B805" s="40" t="str">
        <f ca="1">IFERROR(__xludf.DUMMYFUNCTION("""COMPUTED_VALUE"""),"FORMACIÓN 18/10/2022")</f>
        <v>FORMACIÓN 18/10/2022</v>
      </c>
      <c r="C805" s="40" t="str">
        <f ca="1">IFERROR(__xludf.DUMMYFUNCTION("""COMPUTED_VALUE"""),"MONICA GAITÀN RIVERA")</f>
        <v>MONICA GAITÀN RIVERA</v>
      </c>
      <c r="D805" s="40" t="str">
        <f ca="1">IFERROR(__xludf.DUMMYFUNCTION("""COMPUTED_VALUE"""),"CC")</f>
        <v>CC</v>
      </c>
      <c r="E805" s="40">
        <f ca="1">IFERROR(__xludf.DUMMYFUNCTION("""COMPUTED_VALUE"""),1192762569)</f>
        <v>1192762569</v>
      </c>
      <c r="F805" s="40">
        <f ca="1">IFERROR(__xludf.DUMMYFUNCTION("""COMPUTED_VALUE"""),2236074)</f>
        <v>2236074</v>
      </c>
      <c r="G805" s="40" t="str">
        <f ca="1">IFERROR(__xludf.DUMMYFUNCTION("""COMPUTED_VALUE"""),"TECNÓLOGO")</f>
        <v>TECNÓLOGO</v>
      </c>
      <c r="H805" s="40" t="str">
        <f ca="1">IFERROR(__xludf.DUMMYFUNCTION("""COMPUTED_VALUE"""),"ANALISIS Y DESARROLLO DE SISTEMAS DE INFORMACION")</f>
        <v>ANALISIS Y DESARROLLO DE SISTEMAS DE INFORMACION</v>
      </c>
      <c r="I805" s="40">
        <f ca="1">IFERROR(__xludf.DUMMYFUNCTION("""COMPUTED_VALUE"""),3118782825)</f>
        <v>3118782825</v>
      </c>
      <c r="J805" s="40" t="str">
        <f ca="1">IFERROR(__xludf.DUMMYFUNCTION("""COMPUTED_VALUE"""),"riveramonny123@gmail.com")</f>
        <v>riveramonny123@gmail.com</v>
      </c>
      <c r="K805" s="40" t="str">
        <f ca="1">IFERROR(__xludf.DUMMYFUNCTION("""COMPUTED_VALUE"""),"pitalito")</f>
        <v>pitalito</v>
      </c>
      <c r="L805" s="40" t="str">
        <f ca="1">IFERROR(__xludf.DUMMYFUNCTION("""COMPUTED_VALUE"""),"CONTRATO DE APRENDIZAJE ")</f>
        <v xml:space="preserve">CONTRATO DE APRENDIZAJE </v>
      </c>
      <c r="M805" s="40" t="str">
        <f ca="1">IFERROR(__xludf.DUMMYFUNCTION("""COMPUTED_VALUE"""),"SERVICIOS DE GESTIÓN INTEGRADA S.A.S - SERGEINT")</f>
        <v>SERVICIOS DE GESTIÓN INTEGRADA S.A.S - SERGEINT</v>
      </c>
      <c r="N805" s="40" t="str">
        <f ca="1">IFERROR(__xludf.DUMMYFUNCTION("""COMPUTED_VALUE"""),"calle 14 # 3 - 88")</f>
        <v>calle 14 # 3 - 88</v>
      </c>
      <c r="O805" s="40">
        <f ca="1">IFERROR(__xludf.DUMMYFUNCTION("""COMPUTED_VALUE"""),3015772645)</f>
        <v>3015772645</v>
      </c>
      <c r="P805" s="40" t="str">
        <f ca="1">IFERROR(__xludf.DUMMYFUNCTION("""COMPUTED_VALUE"""),"NEIVA")</f>
        <v>NEIVA</v>
      </c>
      <c r="Q805" s="40" t="str">
        <f ca="1">IFERROR(__xludf.DUMMYFUNCTION("""COMPUTED_VALUE""")," direccionadministrativa@sgi.com.co")</f>
        <v xml:space="preserve"> direccionadministrativa@sgi.com.co</v>
      </c>
      <c r="R805" s="140">
        <f ca="1">IFERROR(__xludf.DUMMYFUNCTION("""COMPUTED_VALUE"""),44858)</f>
        <v>44858</v>
      </c>
      <c r="S805" s="140">
        <f ca="1">IFERROR(__xludf.DUMMYFUNCTION("""COMPUTED_VALUE"""),45039)</f>
        <v>45039</v>
      </c>
      <c r="T805" s="40"/>
      <c r="U805" s="40" t="str">
        <f ca="1">IFERROR(__xludf.DUMMYFUNCTION("""COMPUTED_VALUE"""),"POR ASIGNAR")</f>
        <v>POR ASIGNAR</v>
      </c>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t="str">
        <f ca="1">IFERROR(__xludf.DUMMYFUNCTION("""COMPUTED_VALUE"""),"Procede_E_P")</f>
        <v>Procede_E_P</v>
      </c>
      <c r="AV805" s="40" t="str">
        <f ca="1">IFERROR(__xludf.DUMMYFUNCTION("""COMPUTED_VALUE"""),"EN FORMACION")</f>
        <v>EN FORMACION</v>
      </c>
      <c r="AW805" s="40" t="str">
        <f ca="1">IFERROR(__xludf.DUMMYFUNCTION("""COMPUTED_VALUE"""),"TIC")</f>
        <v>TIC</v>
      </c>
      <c r="AX805" s="141">
        <f ca="1">IFERROR(__xludf.DUMMYFUNCTION("""COMPUTED_VALUE"""),0)</f>
        <v>0</v>
      </c>
      <c r="AY805" s="40">
        <f ca="1">IFERROR(__xludf.DUMMYFUNCTION("""COMPUTED_VALUE"""),0)</f>
        <v>0</v>
      </c>
      <c r="AZ805" s="40">
        <f ca="1">IFERROR(__xludf.DUMMYFUNCTION("""COMPUTED_VALUE"""),1)</f>
        <v>1</v>
      </c>
      <c r="BA805" s="40">
        <f ca="1">IFERROR(__xludf.DUMMYFUNCTION("""COMPUTED_VALUE"""),0)</f>
        <v>0</v>
      </c>
      <c r="BB805" s="40">
        <f ca="1">IFERROR(__xludf.DUMMYFUNCTION("""COMPUTED_VALUE"""),0)</f>
        <v>0</v>
      </c>
      <c r="BC805" s="40">
        <f ca="1">IFERROR(__xludf.DUMMYFUNCTION("""COMPUTED_VALUE"""),1)</f>
        <v>1</v>
      </c>
      <c r="BD805" s="141">
        <f ca="1">IFERROR(__xludf.DUMMYFUNCTION("""COMPUTED_VALUE"""),44221)</f>
        <v>44221</v>
      </c>
      <c r="BE805" s="141">
        <f ca="1">IFERROR(__xludf.DUMMYFUNCTION("""COMPUTED_VALUE"""),44766)</f>
        <v>44766</v>
      </c>
      <c r="BF805" s="141">
        <f ca="1">IFERROR(__xludf.DUMMYFUNCTION("""COMPUTED_VALUE"""),44950)</f>
        <v>44950</v>
      </c>
      <c r="BG805" s="141">
        <f ca="1">IFERROR(__xludf.DUMMYFUNCTION("""COMPUTED_VALUE"""),45497)</f>
        <v>45497</v>
      </c>
      <c r="BH805" s="40" t="str">
        <f ca="1">IFERROR(__xludf.DUMMYFUNCTION("""COMPUTED_VALUE"""),"FICHA EN TIEMPO-18 MESES")</f>
        <v>FICHA EN TIEMPO-18 MESES</v>
      </c>
      <c r="BI805" s="40" t="str">
        <f ca="1">IFERROR(__xludf.DUMMYFUNCTION("""COMPUTED_VALUE"""),"En ejecucion")</f>
        <v>En ejecucion</v>
      </c>
      <c r="BJ805" s="40" t="str">
        <f ca="1">IFERROR(__xludf.DUMMYFUNCTION("""COMPUTED_VALUE"""),"Yamboro")</f>
        <v>Yamboro</v>
      </c>
      <c r="BK805" s="40"/>
      <c r="BL805" s="40"/>
    </row>
    <row r="806" spans="1:64" ht="13">
      <c r="A806" s="40"/>
      <c r="B806" s="40" t="str">
        <f ca="1">IFERROR(__xludf.DUMMYFUNCTION("""COMPUTED_VALUE"""),"CONDICIONADO 18/10/2022")</f>
        <v>CONDICIONADO 18/10/2022</v>
      </c>
      <c r="C806" s="40" t="str">
        <f ca="1">IFERROR(__xludf.DUMMYFUNCTION("""COMPUTED_VALUE"""),"DEIVIS JAVIER FERNANDEZ ALTAMAR")</f>
        <v>DEIVIS JAVIER FERNANDEZ ALTAMAR</v>
      </c>
      <c r="D806" s="40" t="str">
        <f ca="1">IFERROR(__xludf.DUMMYFUNCTION("""COMPUTED_VALUE"""),"TI")</f>
        <v>TI</v>
      </c>
      <c r="E806" s="40">
        <f ca="1">IFERROR(__xludf.DUMMYFUNCTION("""COMPUTED_VALUE"""),1152933193)</f>
        <v>1152933193</v>
      </c>
      <c r="F806" s="40">
        <f ca="1">IFERROR(__xludf.DUMMYFUNCTION("""COMPUTED_VALUE"""),2281600)</f>
        <v>2281600</v>
      </c>
      <c r="G806" s="40" t="str">
        <f ca="1">IFERROR(__xludf.DUMMYFUNCTION("""COMPUTED_VALUE"""),"TECNÓLOGO")</f>
        <v>TECNÓLOGO</v>
      </c>
      <c r="H806" s="40" t="str">
        <f ca="1">IFERROR(__xludf.DUMMYFUNCTION("""COMPUTED_VALUE"""),"ANALISIS Y DESARROLLO DE SISTEMAS DE INFORMACION")</f>
        <v>ANALISIS Y DESARROLLO DE SISTEMAS DE INFORMACION</v>
      </c>
      <c r="I806" s="40"/>
      <c r="J806" s="40" t="str">
        <f ca="1">IFERROR(__xludf.DUMMYFUNCTION("""COMPUTED_VALUE"""),"dfernandez391@misena.edu.co")</f>
        <v>dfernandez391@misena.edu.co</v>
      </c>
      <c r="K806" s="40" t="str">
        <f ca="1">IFERROR(__xludf.DUMMYFUNCTION("""COMPUTED_VALUE"""),"pitalito")</f>
        <v>pitalito</v>
      </c>
      <c r="L806" s="40" t="str">
        <f ca="1">IFERROR(__xludf.DUMMYFUNCTION("""COMPUTED_VALUE"""),"NO HA INICIADO ETAPA PRODUCTIVA")</f>
        <v>NO HA INICIADO ETAPA PRODUCTIVA</v>
      </c>
      <c r="M806" s="40"/>
      <c r="N806" s="40"/>
      <c r="O806" s="40"/>
      <c r="P806" s="40"/>
      <c r="Q806" s="40"/>
      <c r="R806" s="140"/>
      <c r="S806" s="1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t="str">
        <f ca="1">IFERROR(__xludf.DUMMYFUNCTION("""COMPUTED_VALUE"""),"NO_CUMPLE")</f>
        <v>NO_CUMPLE</v>
      </c>
      <c r="AV806" s="40" t="str">
        <f ca="1">IFERROR(__xludf.DUMMYFUNCTION("""COMPUTED_VALUE"""),"CONDICIONADO")</f>
        <v>CONDICIONADO</v>
      </c>
      <c r="AW806" s="40" t="str">
        <f ca="1">IFERROR(__xludf.DUMMYFUNCTION("""COMPUTED_VALUE"""),"TIC")</f>
        <v>TIC</v>
      </c>
      <c r="AX806" s="141">
        <f ca="1">IFERROR(__xludf.DUMMYFUNCTION("""COMPUTED_VALUE"""),2)</f>
        <v>2</v>
      </c>
      <c r="AY806" s="40">
        <f ca="1">IFERROR(__xludf.DUMMYFUNCTION("""COMPUTED_VALUE"""),2)</f>
        <v>2</v>
      </c>
      <c r="AZ806" s="40">
        <f ca="1">IFERROR(__xludf.DUMMYFUNCTION("""COMPUTED_VALUE"""),1)</f>
        <v>1</v>
      </c>
      <c r="BA806" s="40">
        <f ca="1">IFERROR(__xludf.DUMMYFUNCTION("""COMPUTED_VALUE"""),7)</f>
        <v>7</v>
      </c>
      <c r="BB806" s="40">
        <f ca="1">IFERROR(__xludf.DUMMYFUNCTION("""COMPUTED_VALUE"""),18)</f>
        <v>18</v>
      </c>
      <c r="BC806" s="40">
        <f ca="1">IFERROR(__xludf.DUMMYFUNCTION("""COMPUTED_VALUE"""),28)</f>
        <v>28</v>
      </c>
      <c r="BD806" s="141">
        <f ca="1">IFERROR(__xludf.DUMMYFUNCTION("""COMPUTED_VALUE"""),44270)</f>
        <v>44270</v>
      </c>
      <c r="BE806" s="141">
        <f ca="1">IFERROR(__xludf.DUMMYFUNCTION("""COMPUTED_VALUE"""),44818)</f>
        <v>44818</v>
      </c>
      <c r="BF806" s="141">
        <f ca="1">IFERROR(__xludf.DUMMYFUNCTION("""COMPUTED_VALUE"""),44999)</f>
        <v>44999</v>
      </c>
      <c r="BG806" s="141">
        <f ca="1">IFERROR(__xludf.DUMMYFUNCTION("""COMPUTED_VALUE"""),45549)</f>
        <v>45549</v>
      </c>
      <c r="BH806" s="40" t="str">
        <f ca="1">IFERROR(__xludf.DUMMYFUNCTION("""COMPUTED_VALUE"""),"FICHA EN TIEMPO-18 MESES")</f>
        <v>FICHA EN TIEMPO-18 MESES</v>
      </c>
      <c r="BI806" s="40" t="str">
        <f ca="1">IFERROR(__xludf.DUMMYFUNCTION("""COMPUTED_VALUE"""),"En ejecucion")</f>
        <v>En ejecucion</v>
      </c>
      <c r="BJ806" s="40" t="str">
        <f ca="1">IFERROR(__xludf.DUMMYFUNCTION("""COMPUTED_VALUE"""),"Yamboro")</f>
        <v>Yamboro</v>
      </c>
      <c r="BK806" s="40"/>
      <c r="BL806" s="40"/>
    </row>
    <row r="807" spans="1:64" ht="13">
      <c r="A807" s="40"/>
      <c r="B807" s="40" t="str">
        <f ca="1">IFERROR(__xludf.DUMMYFUNCTION("""COMPUTED_VALUE"""),"CONDICIONADO 18/10/2022")</f>
        <v>CONDICIONADO 18/10/2022</v>
      </c>
      <c r="C807" s="40" t="str">
        <f ca="1">IFERROR(__xludf.DUMMYFUNCTION("""COMPUTED_VALUE"""),"ANDREA CAMILA IBAÑEZ CUETO")</f>
        <v>ANDREA CAMILA IBAÑEZ CUETO</v>
      </c>
      <c r="D807" s="40" t="str">
        <f ca="1">IFERROR(__xludf.DUMMYFUNCTION("""COMPUTED_VALUE"""),"CC")</f>
        <v>CC</v>
      </c>
      <c r="E807" s="40">
        <f ca="1">IFERROR(__xludf.DUMMYFUNCTION("""COMPUTED_VALUE"""),1001973257)</f>
        <v>1001973257</v>
      </c>
      <c r="F807" s="40">
        <f ca="1">IFERROR(__xludf.DUMMYFUNCTION("""COMPUTED_VALUE"""),2281600)</f>
        <v>2281600</v>
      </c>
      <c r="G807" s="40" t="str">
        <f ca="1">IFERROR(__xludf.DUMMYFUNCTION("""COMPUTED_VALUE"""),"TECNÓLOGO")</f>
        <v>TECNÓLOGO</v>
      </c>
      <c r="H807" s="40" t="str">
        <f ca="1">IFERROR(__xludf.DUMMYFUNCTION("""COMPUTED_VALUE"""),"ANALISIS Y DESARROLLO DE SISTEMAS DE INFORMACION")</f>
        <v>ANALISIS Y DESARROLLO DE SISTEMAS DE INFORMACION</v>
      </c>
      <c r="I807" s="40"/>
      <c r="J807" s="40" t="str">
        <f ca="1">IFERROR(__xludf.DUMMYFUNCTION("""COMPUTED_VALUE"""),"ibanezandrea281@gmail.com")</f>
        <v>ibanezandrea281@gmail.com</v>
      </c>
      <c r="K807" s="40" t="str">
        <f ca="1">IFERROR(__xludf.DUMMYFUNCTION("""COMPUTED_VALUE"""),"pitalito")</f>
        <v>pitalito</v>
      </c>
      <c r="L807" s="40" t="str">
        <f ca="1">IFERROR(__xludf.DUMMYFUNCTION("""COMPUTED_VALUE"""),"CONTRATO DE APRENDIZAJE ")</f>
        <v xml:space="preserve">CONTRATO DE APRENDIZAJE </v>
      </c>
      <c r="M807" s="40" t="str">
        <f ca="1">IFERROR(__xludf.DUMMYFUNCTION("""COMPUTED_VALUE"""),"CARTAGENA CONTAINER TERMINAL OPERATOR S.A.S.")</f>
        <v>CARTAGENA CONTAINER TERMINAL OPERATOR S.A.S.</v>
      </c>
      <c r="N807" s="40" t="str">
        <f ca="1">IFERROR(__xludf.DUMMYFUNCTION("""COMPUTED_VALUE"""),"Avenida el Bosque")</f>
        <v>Avenida el Bosque</v>
      </c>
      <c r="O807" s="40">
        <f ca="1">IFERROR(__xludf.DUMMYFUNCTION("""COMPUTED_VALUE"""),3145160106)</f>
        <v>3145160106</v>
      </c>
      <c r="P807" s="40" t="str">
        <f ca="1">IFERROR(__xludf.DUMMYFUNCTION("""COMPUTED_VALUE"""),"CARTAGENA")</f>
        <v>CARTAGENA</v>
      </c>
      <c r="Q807" s="40" t="str">
        <f ca="1">IFERROR(__xludf.DUMMYFUNCTION("""COMPUTED_VALUE"""),"svalderrama@compas.com.co")</f>
        <v>svalderrama@compas.com.co</v>
      </c>
      <c r="R807" s="140">
        <f ca="1">IFERROR(__xludf.DUMMYFUNCTION("""COMPUTED_VALUE"""),44749)</f>
        <v>44749</v>
      </c>
      <c r="S807" s="140">
        <f ca="1">IFERROR(__xludf.DUMMYFUNCTION("""COMPUTED_VALUE"""),44932)</f>
        <v>44932</v>
      </c>
      <c r="T807" s="40" t="str">
        <f ca="1">IFERROR(__xludf.DUMMYFUNCTION("""COMPUTED_VALUE"""),"2")</f>
        <v>2</v>
      </c>
      <c r="U807" s="40" t="str">
        <f ca="1">IFERROR(__xludf.DUMMYFUNCTION("""COMPUTED_VALUE"""),"POR ASIGNAR ")</f>
        <v xml:space="preserve">POR ASIGNAR </v>
      </c>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t="str">
        <f ca="1">IFERROR(__xludf.DUMMYFUNCTION("""COMPUTED_VALUE"""),"NO_CUMPLE")</f>
        <v>NO_CUMPLE</v>
      </c>
      <c r="AV807" s="40" t="str">
        <f ca="1">IFERROR(__xludf.DUMMYFUNCTION("""COMPUTED_VALUE"""),"CONDICIONADO")</f>
        <v>CONDICIONADO</v>
      </c>
      <c r="AW807" s="40" t="str">
        <f ca="1">IFERROR(__xludf.DUMMYFUNCTION("""COMPUTED_VALUE"""),"TIC")</f>
        <v>TIC</v>
      </c>
      <c r="AX807" s="141">
        <f ca="1">IFERROR(__xludf.DUMMYFUNCTION("""COMPUTED_VALUE"""),0)</f>
        <v>0</v>
      </c>
      <c r="AY807" s="40">
        <f ca="1">IFERROR(__xludf.DUMMYFUNCTION("""COMPUTED_VALUE"""),0)</f>
        <v>0</v>
      </c>
      <c r="AZ807" s="40">
        <f ca="1">IFERROR(__xludf.DUMMYFUNCTION("""COMPUTED_VALUE"""),1)</f>
        <v>1</v>
      </c>
      <c r="BA807" s="40">
        <f ca="1">IFERROR(__xludf.DUMMYFUNCTION("""COMPUTED_VALUE"""),0)</f>
        <v>0</v>
      </c>
      <c r="BB807" s="40">
        <f ca="1">IFERROR(__xludf.DUMMYFUNCTION("""COMPUTED_VALUE"""),7)</f>
        <v>7</v>
      </c>
      <c r="BC807" s="40">
        <f ca="1">IFERROR(__xludf.DUMMYFUNCTION("""COMPUTED_VALUE"""),8)</f>
        <v>8</v>
      </c>
      <c r="BD807" s="141">
        <f ca="1">IFERROR(__xludf.DUMMYFUNCTION("""COMPUTED_VALUE"""),44270)</f>
        <v>44270</v>
      </c>
      <c r="BE807" s="141">
        <f ca="1">IFERROR(__xludf.DUMMYFUNCTION("""COMPUTED_VALUE"""),44818)</f>
        <v>44818</v>
      </c>
      <c r="BF807" s="141">
        <f ca="1">IFERROR(__xludf.DUMMYFUNCTION("""COMPUTED_VALUE"""),44999)</f>
        <v>44999</v>
      </c>
      <c r="BG807" s="141">
        <f ca="1">IFERROR(__xludf.DUMMYFUNCTION("""COMPUTED_VALUE"""),45549)</f>
        <v>45549</v>
      </c>
      <c r="BH807" s="40" t="str">
        <f ca="1">IFERROR(__xludf.DUMMYFUNCTION("""COMPUTED_VALUE"""),"FICHA EN TIEMPO-18 MESES")</f>
        <v>FICHA EN TIEMPO-18 MESES</v>
      </c>
      <c r="BI807" s="40" t="str">
        <f ca="1">IFERROR(__xludf.DUMMYFUNCTION("""COMPUTED_VALUE"""),"En ejecucion")</f>
        <v>En ejecucion</v>
      </c>
      <c r="BJ807" s="40" t="str">
        <f ca="1">IFERROR(__xludf.DUMMYFUNCTION("""COMPUTED_VALUE"""),"Yamboro")</f>
        <v>Yamboro</v>
      </c>
      <c r="BK807" s="40"/>
      <c r="BL807" s="40"/>
    </row>
    <row r="808" spans="1:64" ht="13">
      <c r="A808" s="40"/>
      <c r="B808" s="40" t="str">
        <f ca="1">IFERROR(__xludf.DUMMYFUNCTION("""COMPUTED_VALUE"""),"CONDICIONADO 18/10/2022")</f>
        <v>CONDICIONADO 18/10/2022</v>
      </c>
      <c r="C808" s="40" t="str">
        <f ca="1">IFERROR(__xludf.DUMMYFUNCTION("""COMPUTED_VALUE"""),"JUAN DAVID PÉREZ VILLAMIL")</f>
        <v>JUAN DAVID PÉREZ VILLAMIL</v>
      </c>
      <c r="D808" s="40" t="str">
        <f ca="1">IFERROR(__xludf.DUMMYFUNCTION("""COMPUTED_VALUE"""),"TI")</f>
        <v>TI</v>
      </c>
      <c r="E808" s="40">
        <f ca="1">IFERROR(__xludf.DUMMYFUNCTION("""COMPUTED_VALUE"""),1094879552)</f>
        <v>1094879552</v>
      </c>
      <c r="F808" s="40">
        <f ca="1">IFERROR(__xludf.DUMMYFUNCTION("""COMPUTED_VALUE"""),2281600)</f>
        <v>2281600</v>
      </c>
      <c r="G808" s="40" t="str">
        <f ca="1">IFERROR(__xludf.DUMMYFUNCTION("""COMPUTED_VALUE"""),"TECNÓLOGO")</f>
        <v>TECNÓLOGO</v>
      </c>
      <c r="H808" s="40" t="str">
        <f ca="1">IFERROR(__xludf.DUMMYFUNCTION("""COMPUTED_VALUE"""),"ANALISIS Y DESARROLLO DE SISTEMAS DE INFORMACION")</f>
        <v>ANALISIS Y DESARROLLO DE SISTEMAS DE INFORMACION</v>
      </c>
      <c r="I808" s="40"/>
      <c r="J808" s="40" t="str">
        <f ca="1">IFERROR(__xludf.DUMMYFUNCTION("""COMPUTED_VALUE"""),"juadprez11@misena.edu.co")</f>
        <v>juadprez11@misena.edu.co</v>
      </c>
      <c r="K808" s="40" t="str">
        <f ca="1">IFERROR(__xludf.DUMMYFUNCTION("""COMPUTED_VALUE"""),"pitalito")</f>
        <v>pitalito</v>
      </c>
      <c r="L808" s="40" t="str">
        <f ca="1">IFERROR(__xludf.DUMMYFUNCTION("""COMPUTED_VALUE"""),"NO HA INICIADO ETAPA PRODUCTIVA")</f>
        <v>NO HA INICIADO ETAPA PRODUCTIVA</v>
      </c>
      <c r="M808" s="40"/>
      <c r="N808" s="40"/>
      <c r="O808" s="40"/>
      <c r="P808" s="40"/>
      <c r="Q808" s="40"/>
      <c r="R808" s="140"/>
      <c r="S808" s="1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t="str">
        <f ca="1">IFERROR(__xludf.DUMMYFUNCTION("""COMPUTED_VALUE"""),"NO_CUMPLE")</f>
        <v>NO_CUMPLE</v>
      </c>
      <c r="AV808" s="40" t="str">
        <f ca="1">IFERROR(__xludf.DUMMYFUNCTION("""COMPUTED_VALUE"""),"CONDICIONADO")</f>
        <v>CONDICIONADO</v>
      </c>
      <c r="AW808" s="40" t="str">
        <f ca="1">IFERROR(__xludf.DUMMYFUNCTION("""COMPUTED_VALUE"""),"TIC")</f>
        <v>TIC</v>
      </c>
      <c r="AX808" s="141">
        <f ca="1">IFERROR(__xludf.DUMMYFUNCTION("""COMPUTED_VALUE"""),2)</f>
        <v>2</v>
      </c>
      <c r="AY808" s="40">
        <f ca="1">IFERROR(__xludf.DUMMYFUNCTION("""COMPUTED_VALUE"""),2)</f>
        <v>2</v>
      </c>
      <c r="AZ808" s="40">
        <f ca="1">IFERROR(__xludf.DUMMYFUNCTION("""COMPUTED_VALUE"""),1)</f>
        <v>1</v>
      </c>
      <c r="BA808" s="40">
        <f ca="1">IFERROR(__xludf.DUMMYFUNCTION("""COMPUTED_VALUE"""),5)</f>
        <v>5</v>
      </c>
      <c r="BB808" s="40">
        <f ca="1">IFERROR(__xludf.DUMMYFUNCTION("""COMPUTED_VALUE"""),17)</f>
        <v>17</v>
      </c>
      <c r="BC808" s="40">
        <f ca="1">IFERROR(__xludf.DUMMYFUNCTION("""COMPUTED_VALUE"""),25)</f>
        <v>25</v>
      </c>
      <c r="BD808" s="141">
        <f ca="1">IFERROR(__xludf.DUMMYFUNCTION("""COMPUTED_VALUE"""),44270)</f>
        <v>44270</v>
      </c>
      <c r="BE808" s="141">
        <f ca="1">IFERROR(__xludf.DUMMYFUNCTION("""COMPUTED_VALUE"""),44818)</f>
        <v>44818</v>
      </c>
      <c r="BF808" s="141">
        <f ca="1">IFERROR(__xludf.DUMMYFUNCTION("""COMPUTED_VALUE"""),44999)</f>
        <v>44999</v>
      </c>
      <c r="BG808" s="141">
        <f ca="1">IFERROR(__xludf.DUMMYFUNCTION("""COMPUTED_VALUE"""),45549)</f>
        <v>45549</v>
      </c>
      <c r="BH808" s="40" t="str">
        <f ca="1">IFERROR(__xludf.DUMMYFUNCTION("""COMPUTED_VALUE"""),"FICHA EN TIEMPO-18 MESES")</f>
        <v>FICHA EN TIEMPO-18 MESES</v>
      </c>
      <c r="BI808" s="40" t="str">
        <f ca="1">IFERROR(__xludf.DUMMYFUNCTION("""COMPUTED_VALUE"""),"En ejecucion")</f>
        <v>En ejecucion</v>
      </c>
      <c r="BJ808" s="40" t="str">
        <f ca="1">IFERROR(__xludf.DUMMYFUNCTION("""COMPUTED_VALUE"""),"Yamboro")</f>
        <v>Yamboro</v>
      </c>
      <c r="BK808" s="40"/>
      <c r="BL808" s="40"/>
    </row>
    <row r="809" spans="1:64" ht="13">
      <c r="A809" s="40"/>
      <c r="B809" s="40" t="str">
        <f ca="1">IFERROR(__xludf.DUMMYFUNCTION("""COMPUTED_VALUE"""),"CONDICIONADO 18/10/2022")</f>
        <v>CONDICIONADO 18/10/2022</v>
      </c>
      <c r="C809" s="40" t="str">
        <f ca="1">IFERROR(__xludf.DUMMYFUNCTION("""COMPUTED_VALUE"""),"MIGUEL ANGEL RESTREPO OSORIO")</f>
        <v>MIGUEL ANGEL RESTREPO OSORIO</v>
      </c>
      <c r="D809" s="40" t="str">
        <f ca="1">IFERROR(__xludf.DUMMYFUNCTION("""COMPUTED_VALUE"""),"CC")</f>
        <v>CC</v>
      </c>
      <c r="E809" s="40">
        <f ca="1">IFERROR(__xludf.DUMMYFUNCTION("""COMPUTED_VALUE"""),71294243)</f>
        <v>71294243</v>
      </c>
      <c r="F809" s="40">
        <f ca="1">IFERROR(__xludf.DUMMYFUNCTION("""COMPUTED_VALUE"""),2281600)</f>
        <v>2281600</v>
      </c>
      <c r="G809" s="40" t="str">
        <f ca="1">IFERROR(__xludf.DUMMYFUNCTION("""COMPUTED_VALUE"""),"TECNÓLOGO")</f>
        <v>TECNÓLOGO</v>
      </c>
      <c r="H809" s="40" t="str">
        <f ca="1">IFERROR(__xludf.DUMMYFUNCTION("""COMPUTED_VALUE"""),"ANALISIS Y DESARROLLO DE SISTEMAS DE INFORMACION")</f>
        <v>ANALISIS Y DESARROLLO DE SISTEMAS DE INFORMACION</v>
      </c>
      <c r="I809" s="40"/>
      <c r="J809" s="40" t="str">
        <f ca="1">IFERROR(__xludf.DUMMYFUNCTION("""COMPUTED_VALUE"""),"marestrepo3@misena.edu.co")</f>
        <v>marestrepo3@misena.edu.co</v>
      </c>
      <c r="K809" s="40" t="str">
        <f ca="1">IFERROR(__xludf.DUMMYFUNCTION("""COMPUTED_VALUE"""),"pitalito")</f>
        <v>pitalito</v>
      </c>
      <c r="L809" s="40" t="str">
        <f ca="1">IFERROR(__xludf.DUMMYFUNCTION("""COMPUTED_VALUE"""),"NO HA INICIADO ETAPA PRODUCTIVA")</f>
        <v>NO HA INICIADO ETAPA PRODUCTIVA</v>
      </c>
      <c r="M809" s="40"/>
      <c r="N809" s="40"/>
      <c r="O809" s="40"/>
      <c r="P809" s="40"/>
      <c r="Q809" s="40"/>
      <c r="R809" s="140"/>
      <c r="S809" s="1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t="str">
        <f ca="1">IFERROR(__xludf.DUMMYFUNCTION("""COMPUTED_VALUE"""),"NO_CUMPLE")</f>
        <v>NO_CUMPLE</v>
      </c>
      <c r="AV809" s="40" t="str">
        <f ca="1">IFERROR(__xludf.DUMMYFUNCTION("""COMPUTED_VALUE"""),"CONDICIONADO")</f>
        <v>CONDICIONADO</v>
      </c>
      <c r="AW809" s="40" t="str">
        <f ca="1">IFERROR(__xludf.DUMMYFUNCTION("""COMPUTED_VALUE"""),"TIC")</f>
        <v>TIC</v>
      </c>
      <c r="AX809" s="141">
        <f ca="1">IFERROR(__xludf.DUMMYFUNCTION("""COMPUTED_VALUE"""),1)</f>
        <v>1</v>
      </c>
      <c r="AY809" s="40">
        <f ca="1">IFERROR(__xludf.DUMMYFUNCTION("""COMPUTED_VALUE"""),1)</f>
        <v>1</v>
      </c>
      <c r="AZ809" s="40">
        <f ca="1">IFERROR(__xludf.DUMMYFUNCTION("""COMPUTED_VALUE"""),1)</f>
        <v>1</v>
      </c>
      <c r="BA809" s="40">
        <f ca="1">IFERROR(__xludf.DUMMYFUNCTION("""COMPUTED_VALUE"""),3)</f>
        <v>3</v>
      </c>
      <c r="BB809" s="40">
        <f ca="1">IFERROR(__xludf.DUMMYFUNCTION("""COMPUTED_VALUE"""),14)</f>
        <v>14</v>
      </c>
      <c r="BC809" s="40">
        <f ca="1">IFERROR(__xludf.DUMMYFUNCTION("""COMPUTED_VALUE"""),19)</f>
        <v>19</v>
      </c>
      <c r="BD809" s="141">
        <f ca="1">IFERROR(__xludf.DUMMYFUNCTION("""COMPUTED_VALUE"""),44270)</f>
        <v>44270</v>
      </c>
      <c r="BE809" s="141">
        <f ca="1">IFERROR(__xludf.DUMMYFUNCTION("""COMPUTED_VALUE"""),44818)</f>
        <v>44818</v>
      </c>
      <c r="BF809" s="141">
        <f ca="1">IFERROR(__xludf.DUMMYFUNCTION("""COMPUTED_VALUE"""),44999)</f>
        <v>44999</v>
      </c>
      <c r="BG809" s="141">
        <f ca="1">IFERROR(__xludf.DUMMYFUNCTION("""COMPUTED_VALUE"""),45549)</f>
        <v>45549</v>
      </c>
      <c r="BH809" s="40" t="str">
        <f ca="1">IFERROR(__xludf.DUMMYFUNCTION("""COMPUTED_VALUE"""),"FICHA EN TIEMPO-18 MESES")</f>
        <v>FICHA EN TIEMPO-18 MESES</v>
      </c>
      <c r="BI809" s="40" t="str">
        <f ca="1">IFERROR(__xludf.DUMMYFUNCTION("""COMPUTED_VALUE"""),"En ejecucion")</f>
        <v>En ejecucion</v>
      </c>
      <c r="BJ809" s="40" t="str">
        <f ca="1">IFERROR(__xludf.DUMMYFUNCTION("""COMPUTED_VALUE"""),"Yamboro")</f>
        <v>Yamboro</v>
      </c>
      <c r="BK809" s="40"/>
      <c r="BL809" s="40"/>
    </row>
    <row r="810" spans="1:64" ht="13">
      <c r="A810" s="40"/>
      <c r="B810" s="40" t="str">
        <f ca="1">IFERROR(__xludf.DUMMYFUNCTION("""COMPUTED_VALUE"""),"FORMACIÓN 18/10/2022")</f>
        <v>FORMACIÓN 18/10/2022</v>
      </c>
      <c r="C810" s="40" t="str">
        <f ca="1">IFERROR(__xludf.DUMMYFUNCTION("""COMPUTED_VALUE"""),"NANCY JOHANNA RUIZ RODRIGUEZ")</f>
        <v>NANCY JOHANNA RUIZ RODRIGUEZ</v>
      </c>
      <c r="D810" s="40" t="str">
        <f ca="1">IFERROR(__xludf.DUMMYFUNCTION("""COMPUTED_VALUE"""),"CC")</f>
        <v>CC</v>
      </c>
      <c r="E810" s="40">
        <f ca="1">IFERROR(__xludf.DUMMYFUNCTION("""COMPUTED_VALUE"""),1053608681)</f>
        <v>1053608681</v>
      </c>
      <c r="F810" s="40">
        <f ca="1">IFERROR(__xludf.DUMMYFUNCTION("""COMPUTED_VALUE"""),2281600)</f>
        <v>2281600</v>
      </c>
      <c r="G810" s="40" t="str">
        <f ca="1">IFERROR(__xludf.DUMMYFUNCTION("""COMPUTED_VALUE"""),"TECNÓLOGO")</f>
        <v>TECNÓLOGO</v>
      </c>
      <c r="H810" s="40" t="str">
        <f ca="1">IFERROR(__xludf.DUMMYFUNCTION("""COMPUTED_VALUE"""),"ANALISIS Y DESARROLLO DE SISTEMAS DE INFORMACION")</f>
        <v>ANALISIS Y DESARROLLO DE SISTEMAS DE INFORMACION</v>
      </c>
      <c r="I810" s="40"/>
      <c r="J810" s="40" t="str">
        <f ca="1">IFERROR(__xludf.DUMMYFUNCTION("""COMPUTED_VALUE"""),"njruiz18@misena.edu.co")</f>
        <v>njruiz18@misena.edu.co</v>
      </c>
      <c r="K810" s="40" t="str">
        <f ca="1">IFERROR(__xludf.DUMMYFUNCTION("""COMPUTED_VALUE"""),"pitalito")</f>
        <v>pitalito</v>
      </c>
      <c r="L810" s="40" t="str">
        <f ca="1">IFERROR(__xludf.DUMMYFUNCTION("""COMPUTED_VALUE"""),"NO HA INICIADO ETAPA PRODUCTIVA")</f>
        <v>NO HA INICIADO ETAPA PRODUCTIVA</v>
      </c>
      <c r="M810" s="40"/>
      <c r="N810" s="40"/>
      <c r="O810" s="40"/>
      <c r="P810" s="40"/>
      <c r="Q810" s="40"/>
      <c r="R810" s="140"/>
      <c r="S810" s="1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t="str">
        <f ca="1">IFERROR(__xludf.DUMMYFUNCTION("""COMPUTED_VALUE"""),"Procede_E_P")</f>
        <v>Procede_E_P</v>
      </c>
      <c r="AV810" s="40" t="str">
        <f ca="1">IFERROR(__xludf.DUMMYFUNCTION("""COMPUTED_VALUE"""),"EN FORMACION")</f>
        <v>EN FORMACION</v>
      </c>
      <c r="AW810" s="40" t="str">
        <f ca="1">IFERROR(__xludf.DUMMYFUNCTION("""COMPUTED_VALUE"""),"TIC")</f>
        <v>TIC</v>
      </c>
      <c r="AX810" s="141">
        <f ca="1">IFERROR(__xludf.DUMMYFUNCTION("""COMPUTED_VALUE"""),0)</f>
        <v>0</v>
      </c>
      <c r="AY810" s="40">
        <f ca="1">IFERROR(__xludf.DUMMYFUNCTION("""COMPUTED_VALUE"""),0)</f>
        <v>0</v>
      </c>
      <c r="AZ810" s="40">
        <f ca="1">IFERROR(__xludf.DUMMYFUNCTION("""COMPUTED_VALUE"""),1)</f>
        <v>1</v>
      </c>
      <c r="BA810" s="40">
        <f ca="1">IFERROR(__xludf.DUMMYFUNCTION("""COMPUTED_VALUE"""),0)</f>
        <v>0</v>
      </c>
      <c r="BB810" s="40">
        <f ca="1">IFERROR(__xludf.DUMMYFUNCTION("""COMPUTED_VALUE"""),0)</f>
        <v>0</v>
      </c>
      <c r="BC810" s="40">
        <f ca="1">IFERROR(__xludf.DUMMYFUNCTION("""COMPUTED_VALUE"""),1)</f>
        <v>1</v>
      </c>
      <c r="BD810" s="141">
        <f ca="1">IFERROR(__xludf.DUMMYFUNCTION("""COMPUTED_VALUE"""),44270)</f>
        <v>44270</v>
      </c>
      <c r="BE810" s="141">
        <f ca="1">IFERROR(__xludf.DUMMYFUNCTION("""COMPUTED_VALUE"""),44818)</f>
        <v>44818</v>
      </c>
      <c r="BF810" s="141">
        <f ca="1">IFERROR(__xludf.DUMMYFUNCTION("""COMPUTED_VALUE"""),44999)</f>
        <v>44999</v>
      </c>
      <c r="BG810" s="141">
        <f ca="1">IFERROR(__xludf.DUMMYFUNCTION("""COMPUTED_VALUE"""),45549)</f>
        <v>45549</v>
      </c>
      <c r="BH810" s="40" t="str">
        <f ca="1">IFERROR(__xludf.DUMMYFUNCTION("""COMPUTED_VALUE"""),"FICHA EN TIEMPO-18 MESES")</f>
        <v>FICHA EN TIEMPO-18 MESES</v>
      </c>
      <c r="BI810" s="40" t="str">
        <f ca="1">IFERROR(__xludf.DUMMYFUNCTION("""COMPUTED_VALUE"""),"En ejecucion")</f>
        <v>En ejecucion</v>
      </c>
      <c r="BJ810" s="40" t="str">
        <f ca="1">IFERROR(__xludf.DUMMYFUNCTION("""COMPUTED_VALUE"""),"Yamboro")</f>
        <v>Yamboro</v>
      </c>
      <c r="BK810" s="40"/>
      <c r="BL810" s="40"/>
    </row>
    <row r="811" spans="1:64" ht="13">
      <c r="A811" s="40"/>
      <c r="B811" s="40" t="str">
        <f ca="1">IFERROR(__xludf.DUMMYFUNCTION("""COMPUTED_VALUE"""),"FORMACIÓN 18/10/2022")</f>
        <v>FORMACIÓN 18/10/2022</v>
      </c>
      <c r="C811" s="40" t="str">
        <f ca="1">IFERROR(__xludf.DUMMYFUNCTION("""COMPUTED_VALUE"""),"SERGIO ALEJANDRO CARDONA ARANGO")</f>
        <v>SERGIO ALEJANDRO CARDONA ARANGO</v>
      </c>
      <c r="D811" s="40" t="str">
        <f ca="1">IFERROR(__xludf.DUMMYFUNCTION("""COMPUTED_VALUE"""),"CC")</f>
        <v>CC</v>
      </c>
      <c r="E811" s="40">
        <f ca="1">IFERROR(__xludf.DUMMYFUNCTION("""COMPUTED_VALUE"""),1040048723)</f>
        <v>1040048723</v>
      </c>
      <c r="F811" s="40">
        <f ca="1">IFERROR(__xludf.DUMMYFUNCTION("""COMPUTED_VALUE"""),2281600)</f>
        <v>2281600</v>
      </c>
      <c r="G811" s="40" t="str">
        <f ca="1">IFERROR(__xludf.DUMMYFUNCTION("""COMPUTED_VALUE"""),"TECNÓLOGO")</f>
        <v>TECNÓLOGO</v>
      </c>
      <c r="H811" s="40" t="str">
        <f ca="1">IFERROR(__xludf.DUMMYFUNCTION("""COMPUTED_VALUE"""),"ANALISIS Y DESARROLLO DE SISTEMAS DE INFORMACION")</f>
        <v>ANALISIS Y DESARROLLO DE SISTEMAS DE INFORMACION</v>
      </c>
      <c r="I811" s="40"/>
      <c r="J811" s="40" t="str">
        <f ca="1">IFERROR(__xludf.DUMMYFUNCTION("""COMPUTED_VALUE"""),"Serdivergente2020@hotmail.com")</f>
        <v>Serdivergente2020@hotmail.com</v>
      </c>
      <c r="K811" s="40" t="str">
        <f ca="1">IFERROR(__xludf.DUMMYFUNCTION("""COMPUTED_VALUE"""),"pitalito")</f>
        <v>pitalito</v>
      </c>
      <c r="L811" s="40" t="str">
        <f ca="1">IFERROR(__xludf.DUMMYFUNCTION("""COMPUTED_VALUE"""),"CONTRATO DE APRENDIZAJE ")</f>
        <v xml:space="preserve">CONTRATO DE APRENDIZAJE </v>
      </c>
      <c r="M811" s="40" t="str">
        <f ca="1">IFERROR(__xludf.DUMMYFUNCTION("""COMPUTED_VALUE"""),"JARDINES DEL PORTAL SAS")</f>
        <v>JARDINES DEL PORTAL SAS</v>
      </c>
      <c r="N811" s="40" t="str">
        <f ca="1">IFERROR(__xludf.DUMMYFUNCTION("""COMPUTED_VALUE"""),"Kilometro 1.5 Vereda Las Lomitas")</f>
        <v>Kilometro 1.5 Vereda Las Lomitas</v>
      </c>
      <c r="O811" s="40">
        <f ca="1">IFERROR(__xludf.DUMMYFUNCTION("""COMPUTED_VALUE"""),3053310965)</f>
        <v>3053310965</v>
      </c>
      <c r="P811" s="40" t="str">
        <f ca="1">IFERROR(__xludf.DUMMYFUNCTION("""COMPUTED_VALUE"""),"BOGOTA ")</f>
        <v xml:space="preserve">BOGOTA </v>
      </c>
      <c r="Q811" s="40" t="str">
        <f ca="1">IFERROR(__xludf.DUMMYFUNCTION("""COMPUTED_VALUE"""),"johanna.quintero@jardinesdelportal.com")</f>
        <v>johanna.quintero@jardinesdelportal.com</v>
      </c>
      <c r="R811" s="140">
        <f ca="1">IFERROR(__xludf.DUMMYFUNCTION("""COMPUTED_VALUE"""),44837)</f>
        <v>44837</v>
      </c>
      <c r="S811" s="140">
        <f ca="1">IFERROR(__xludf.DUMMYFUNCTION("""COMPUTED_VALUE"""),45018)</f>
        <v>45018</v>
      </c>
      <c r="T811" s="40"/>
      <c r="U811" s="40" t="str">
        <f ca="1">IFERROR(__xludf.DUMMYFUNCTION("""COMPUTED_VALUE"""),"Claudia Parra")</f>
        <v>Claudia Parra</v>
      </c>
      <c r="V811" s="40" t="s">
        <v>650</v>
      </c>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t="str">
        <f ca="1">IFERROR(__xludf.DUMMYFUNCTION("""COMPUTED_VALUE"""),"Procede_E_P")</f>
        <v>Procede_E_P</v>
      </c>
      <c r="AV811" s="40" t="str">
        <f ca="1">IFERROR(__xludf.DUMMYFUNCTION("""COMPUTED_VALUE"""),"EN FORMACION")</f>
        <v>EN FORMACION</v>
      </c>
      <c r="AW811" s="40" t="str">
        <f ca="1">IFERROR(__xludf.DUMMYFUNCTION("""COMPUTED_VALUE"""),"TIC")</f>
        <v>TIC</v>
      </c>
      <c r="AX811" s="141">
        <f ca="1">IFERROR(__xludf.DUMMYFUNCTION("""COMPUTED_VALUE"""),0)</f>
        <v>0</v>
      </c>
      <c r="AY811" s="40">
        <f ca="1">IFERROR(__xludf.DUMMYFUNCTION("""COMPUTED_VALUE"""),0)</f>
        <v>0</v>
      </c>
      <c r="AZ811" s="40">
        <f ca="1">IFERROR(__xludf.DUMMYFUNCTION("""COMPUTED_VALUE"""),1)</f>
        <v>1</v>
      </c>
      <c r="BA811" s="40">
        <f ca="1">IFERROR(__xludf.DUMMYFUNCTION("""COMPUTED_VALUE"""),0)</f>
        <v>0</v>
      </c>
      <c r="BB811" s="40">
        <f ca="1">IFERROR(__xludf.DUMMYFUNCTION("""COMPUTED_VALUE"""),0)</f>
        <v>0</v>
      </c>
      <c r="BC811" s="40">
        <f ca="1">IFERROR(__xludf.DUMMYFUNCTION("""COMPUTED_VALUE"""),1)</f>
        <v>1</v>
      </c>
      <c r="BD811" s="141">
        <f ca="1">IFERROR(__xludf.DUMMYFUNCTION("""COMPUTED_VALUE"""),44270)</f>
        <v>44270</v>
      </c>
      <c r="BE811" s="141">
        <f ca="1">IFERROR(__xludf.DUMMYFUNCTION("""COMPUTED_VALUE"""),44818)</f>
        <v>44818</v>
      </c>
      <c r="BF811" s="141">
        <f ca="1">IFERROR(__xludf.DUMMYFUNCTION("""COMPUTED_VALUE"""),44999)</f>
        <v>44999</v>
      </c>
      <c r="BG811" s="141">
        <f ca="1">IFERROR(__xludf.DUMMYFUNCTION("""COMPUTED_VALUE"""),45549)</f>
        <v>45549</v>
      </c>
      <c r="BH811" s="40" t="str">
        <f ca="1">IFERROR(__xludf.DUMMYFUNCTION("""COMPUTED_VALUE"""),"FICHA EN TIEMPO-18 MESES")</f>
        <v>FICHA EN TIEMPO-18 MESES</v>
      </c>
      <c r="BI811" s="40" t="str">
        <f ca="1">IFERROR(__xludf.DUMMYFUNCTION("""COMPUTED_VALUE"""),"En ejecucion")</f>
        <v>En ejecucion</v>
      </c>
      <c r="BJ811" s="40" t="str">
        <f ca="1">IFERROR(__xludf.DUMMYFUNCTION("""COMPUTED_VALUE"""),"Yamboro")</f>
        <v>Yamboro</v>
      </c>
      <c r="BK811" s="40"/>
      <c r="BL811" s="40"/>
    </row>
    <row r="812" spans="1:64" ht="13">
      <c r="A812" s="40"/>
      <c r="B812" s="40" t="str">
        <f ca="1">IFERROR(__xludf.DUMMYFUNCTION("""COMPUTED_VALUE"""),"CONDICIONADO 18/10/2022")</f>
        <v>CONDICIONADO 18/10/2022</v>
      </c>
      <c r="C812" s="40" t="str">
        <f ca="1">IFERROR(__xludf.DUMMYFUNCTION("""COMPUTED_VALUE"""),"SAYYURI PAOLA ROMÁN PÉREZ")</f>
        <v>SAYYURI PAOLA ROMÁN PÉREZ</v>
      </c>
      <c r="D812" s="40" t="str">
        <f ca="1">IFERROR(__xludf.DUMMYFUNCTION("""COMPUTED_VALUE"""),"CC")</f>
        <v>CC</v>
      </c>
      <c r="E812" s="40">
        <f ca="1">IFERROR(__xludf.DUMMYFUNCTION("""COMPUTED_VALUE"""),66803296)</f>
        <v>66803296</v>
      </c>
      <c r="F812" s="40">
        <f ca="1">IFERROR(__xludf.DUMMYFUNCTION("""COMPUTED_VALUE"""),2281600)</f>
        <v>2281600</v>
      </c>
      <c r="G812" s="40" t="str">
        <f ca="1">IFERROR(__xludf.DUMMYFUNCTION("""COMPUTED_VALUE"""),"TECNÓLOGO")</f>
        <v>TECNÓLOGO</v>
      </c>
      <c r="H812" s="40" t="str">
        <f ca="1">IFERROR(__xludf.DUMMYFUNCTION("""COMPUTED_VALUE"""),"ANALISIS Y DESARROLLO DE SISTEMAS DE INFORMACION")</f>
        <v>ANALISIS Y DESARROLLO DE SISTEMAS DE INFORMACION</v>
      </c>
      <c r="I812" s="40"/>
      <c r="J812" s="40" t="str">
        <f ca="1">IFERROR(__xludf.DUMMYFUNCTION("""COMPUTED_VALUE"""),"spromn@misena.edu.co")</f>
        <v>spromn@misena.edu.co</v>
      </c>
      <c r="K812" s="40" t="str">
        <f ca="1">IFERROR(__xludf.DUMMYFUNCTION("""COMPUTED_VALUE"""),"pitalito")</f>
        <v>pitalito</v>
      </c>
      <c r="L812" s="40" t="str">
        <f ca="1">IFERROR(__xludf.DUMMYFUNCTION("""COMPUTED_VALUE"""),"NO HA INICIADO ETAPA PRODUCTIVA")</f>
        <v>NO HA INICIADO ETAPA PRODUCTIVA</v>
      </c>
      <c r="M812" s="40"/>
      <c r="N812" s="40"/>
      <c r="O812" s="40"/>
      <c r="P812" s="40"/>
      <c r="Q812" s="40"/>
      <c r="R812" s="140"/>
      <c r="S812" s="1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t="str">
        <f ca="1">IFERROR(__xludf.DUMMYFUNCTION("""COMPUTED_VALUE"""),"Procede_E_P")</f>
        <v>Procede_E_P</v>
      </c>
      <c r="AV812" s="40" t="str">
        <f ca="1">IFERROR(__xludf.DUMMYFUNCTION("""COMPUTED_VALUE"""),"CONDICIONADO")</f>
        <v>CONDICIONADO</v>
      </c>
      <c r="AW812" s="40" t="str">
        <f ca="1">IFERROR(__xludf.DUMMYFUNCTION("""COMPUTED_VALUE"""),"TIC")</f>
        <v>TIC</v>
      </c>
      <c r="AX812" s="141">
        <f ca="1">IFERROR(__xludf.DUMMYFUNCTION("""COMPUTED_VALUE"""),0)</f>
        <v>0</v>
      </c>
      <c r="AY812" s="40">
        <f ca="1">IFERROR(__xludf.DUMMYFUNCTION("""COMPUTED_VALUE"""),0)</f>
        <v>0</v>
      </c>
      <c r="AZ812" s="40">
        <f ca="1">IFERROR(__xludf.DUMMYFUNCTION("""COMPUTED_VALUE"""),1)</f>
        <v>1</v>
      </c>
      <c r="BA812" s="40">
        <f ca="1">IFERROR(__xludf.DUMMYFUNCTION("""COMPUTED_VALUE"""),0)</f>
        <v>0</v>
      </c>
      <c r="BB812" s="40">
        <f ca="1">IFERROR(__xludf.DUMMYFUNCTION("""COMPUTED_VALUE"""),0)</f>
        <v>0</v>
      </c>
      <c r="BC812" s="40">
        <f ca="1">IFERROR(__xludf.DUMMYFUNCTION("""COMPUTED_VALUE"""),1)</f>
        <v>1</v>
      </c>
      <c r="BD812" s="141">
        <f ca="1">IFERROR(__xludf.DUMMYFUNCTION("""COMPUTED_VALUE"""),44270)</f>
        <v>44270</v>
      </c>
      <c r="BE812" s="141">
        <f ca="1">IFERROR(__xludf.DUMMYFUNCTION("""COMPUTED_VALUE"""),44818)</f>
        <v>44818</v>
      </c>
      <c r="BF812" s="141">
        <f ca="1">IFERROR(__xludf.DUMMYFUNCTION("""COMPUTED_VALUE"""),44999)</f>
        <v>44999</v>
      </c>
      <c r="BG812" s="141">
        <f ca="1">IFERROR(__xludf.DUMMYFUNCTION("""COMPUTED_VALUE"""),45549)</f>
        <v>45549</v>
      </c>
      <c r="BH812" s="40" t="str">
        <f ca="1">IFERROR(__xludf.DUMMYFUNCTION("""COMPUTED_VALUE"""),"FICHA EN TIEMPO-18 MESES")</f>
        <v>FICHA EN TIEMPO-18 MESES</v>
      </c>
      <c r="BI812" s="40" t="str">
        <f ca="1">IFERROR(__xludf.DUMMYFUNCTION("""COMPUTED_VALUE"""),"En ejecucion")</f>
        <v>En ejecucion</v>
      </c>
      <c r="BJ812" s="40" t="str">
        <f ca="1">IFERROR(__xludf.DUMMYFUNCTION("""COMPUTED_VALUE"""),"Yamboro")</f>
        <v>Yamboro</v>
      </c>
      <c r="BK812" s="40"/>
      <c r="BL812" s="40"/>
    </row>
    <row r="813" spans="1:64" ht="13">
      <c r="A813" s="40"/>
      <c r="B813" s="40" t="str">
        <f ca="1">IFERROR(__xludf.DUMMYFUNCTION("""COMPUTED_VALUE"""),"FORMACIÓN 18/10/2022")</f>
        <v>FORMACIÓN 18/10/2022</v>
      </c>
      <c r="C813" s="40" t="str">
        <f ca="1">IFERROR(__xludf.DUMMYFUNCTION("""COMPUTED_VALUE"""),"VICTOR MANUEL ORJUELA CASTAÑO")</f>
        <v>VICTOR MANUEL ORJUELA CASTAÑO</v>
      </c>
      <c r="D813" s="40" t="str">
        <f ca="1">IFERROR(__xludf.DUMMYFUNCTION("""COMPUTED_VALUE"""),"CC")</f>
        <v>CC</v>
      </c>
      <c r="E813" s="40">
        <f ca="1">IFERROR(__xludf.DUMMYFUNCTION("""COMPUTED_VALUE"""),1010004815)</f>
        <v>1010004815</v>
      </c>
      <c r="F813" s="40">
        <f ca="1">IFERROR(__xludf.DUMMYFUNCTION("""COMPUTED_VALUE"""),2281600)</f>
        <v>2281600</v>
      </c>
      <c r="G813" s="40" t="str">
        <f ca="1">IFERROR(__xludf.DUMMYFUNCTION("""COMPUTED_VALUE"""),"TECNÓLOGO")</f>
        <v>TECNÓLOGO</v>
      </c>
      <c r="H813" s="40" t="str">
        <f ca="1">IFERROR(__xludf.DUMMYFUNCTION("""COMPUTED_VALUE"""),"ANALISIS Y DESARROLLO DE SISTEMAS DE INFORMACION")</f>
        <v>ANALISIS Y DESARROLLO DE SISTEMAS DE INFORMACION</v>
      </c>
      <c r="I813" s="40"/>
      <c r="J813" s="40" t="str">
        <f ca="1">IFERROR(__xludf.DUMMYFUNCTION("""COMPUTED_VALUE"""),"vikk.orjuela@gmail.com")</f>
        <v>vikk.orjuela@gmail.com</v>
      </c>
      <c r="K813" s="40" t="str">
        <f ca="1">IFERROR(__xludf.DUMMYFUNCTION("""COMPUTED_VALUE"""),"pitalito")</f>
        <v>pitalito</v>
      </c>
      <c r="L813" s="40" t="str">
        <f ca="1">IFERROR(__xludf.DUMMYFUNCTION("""COMPUTED_VALUE"""),"NO HA INICIADO ETAPA PRODUCTIVA")</f>
        <v>NO HA INICIADO ETAPA PRODUCTIVA</v>
      </c>
      <c r="M813" s="40"/>
      <c r="N813" s="40"/>
      <c r="O813" s="40"/>
      <c r="P813" s="40"/>
      <c r="Q813" s="40"/>
      <c r="R813" s="140"/>
      <c r="S813" s="1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t="str">
        <f ca="1">IFERROR(__xludf.DUMMYFUNCTION("""COMPUTED_VALUE"""),"Procede_E_P")</f>
        <v>Procede_E_P</v>
      </c>
      <c r="AV813" s="40" t="str">
        <f ca="1">IFERROR(__xludf.DUMMYFUNCTION("""COMPUTED_VALUE"""),"EN FORMACION")</f>
        <v>EN FORMACION</v>
      </c>
      <c r="AW813" s="40" t="str">
        <f ca="1">IFERROR(__xludf.DUMMYFUNCTION("""COMPUTED_VALUE"""),"TIC")</f>
        <v>TIC</v>
      </c>
      <c r="AX813" s="141">
        <f ca="1">IFERROR(__xludf.DUMMYFUNCTION("""COMPUTED_VALUE"""),0)</f>
        <v>0</v>
      </c>
      <c r="AY813" s="40">
        <f ca="1">IFERROR(__xludf.DUMMYFUNCTION("""COMPUTED_VALUE"""),0)</f>
        <v>0</v>
      </c>
      <c r="AZ813" s="40">
        <f ca="1">IFERROR(__xludf.DUMMYFUNCTION("""COMPUTED_VALUE"""),1)</f>
        <v>1</v>
      </c>
      <c r="BA813" s="40">
        <f ca="1">IFERROR(__xludf.DUMMYFUNCTION("""COMPUTED_VALUE"""),0)</f>
        <v>0</v>
      </c>
      <c r="BB813" s="40">
        <f ca="1">IFERROR(__xludf.DUMMYFUNCTION("""COMPUTED_VALUE"""),0)</f>
        <v>0</v>
      </c>
      <c r="BC813" s="40">
        <f ca="1">IFERROR(__xludf.DUMMYFUNCTION("""COMPUTED_VALUE"""),1)</f>
        <v>1</v>
      </c>
      <c r="BD813" s="141">
        <f ca="1">IFERROR(__xludf.DUMMYFUNCTION("""COMPUTED_VALUE"""),44270)</f>
        <v>44270</v>
      </c>
      <c r="BE813" s="141">
        <f ca="1">IFERROR(__xludf.DUMMYFUNCTION("""COMPUTED_VALUE"""),44818)</f>
        <v>44818</v>
      </c>
      <c r="BF813" s="141">
        <f ca="1">IFERROR(__xludf.DUMMYFUNCTION("""COMPUTED_VALUE"""),44999)</f>
        <v>44999</v>
      </c>
      <c r="BG813" s="141">
        <f ca="1">IFERROR(__xludf.DUMMYFUNCTION("""COMPUTED_VALUE"""),45549)</f>
        <v>45549</v>
      </c>
      <c r="BH813" s="40" t="str">
        <f ca="1">IFERROR(__xludf.DUMMYFUNCTION("""COMPUTED_VALUE"""),"FICHA EN TIEMPO-18 MESES")</f>
        <v>FICHA EN TIEMPO-18 MESES</v>
      </c>
      <c r="BI813" s="40" t="str">
        <f ca="1">IFERROR(__xludf.DUMMYFUNCTION("""COMPUTED_VALUE"""),"En ejecucion")</f>
        <v>En ejecucion</v>
      </c>
      <c r="BJ813" s="40" t="str">
        <f ca="1">IFERROR(__xludf.DUMMYFUNCTION("""COMPUTED_VALUE"""),"Yamboro")</f>
        <v>Yamboro</v>
      </c>
      <c r="BK813" s="40"/>
      <c r="BL813" s="40"/>
    </row>
    <row r="814" spans="1:64" ht="13">
      <c r="A814" s="40"/>
      <c r="B814" s="40" t="str">
        <f ca="1">IFERROR(__xludf.DUMMYFUNCTION("""COMPUTED_VALUE"""),"CONDICIONADO 18/10/2022")</f>
        <v>CONDICIONADO 18/10/2022</v>
      </c>
      <c r="C814" s="40" t="str">
        <f ca="1">IFERROR(__xludf.DUMMYFUNCTION("""COMPUTED_VALUE"""),"WILSON ARBOLEDA VIVEROS")</f>
        <v>WILSON ARBOLEDA VIVEROS</v>
      </c>
      <c r="D814" s="40" t="str">
        <f ca="1">IFERROR(__xludf.DUMMYFUNCTION("""COMPUTED_VALUE"""),"CC")</f>
        <v>CC</v>
      </c>
      <c r="E814" s="40">
        <f ca="1">IFERROR(__xludf.DUMMYFUNCTION("""COMPUTED_VALUE"""),1111794027)</f>
        <v>1111794027</v>
      </c>
      <c r="F814" s="40">
        <f ca="1">IFERROR(__xludf.DUMMYFUNCTION("""COMPUTED_VALUE"""),2281600)</f>
        <v>2281600</v>
      </c>
      <c r="G814" s="40" t="str">
        <f ca="1">IFERROR(__xludf.DUMMYFUNCTION("""COMPUTED_VALUE"""),"TECNÓLOGO")</f>
        <v>TECNÓLOGO</v>
      </c>
      <c r="H814" s="40" t="str">
        <f ca="1">IFERROR(__xludf.DUMMYFUNCTION("""COMPUTED_VALUE"""),"ANALISIS Y DESARROLLO DE SISTEMAS DE INFORMACION")</f>
        <v>ANALISIS Y DESARROLLO DE SISTEMAS DE INFORMACION</v>
      </c>
      <c r="I814" s="40"/>
      <c r="J814" s="40" t="str">
        <f ca="1">IFERROR(__xludf.DUMMYFUNCTION("""COMPUTED_VALUE"""),"wilarboleda1@misena.edu.co")</f>
        <v>wilarboleda1@misena.edu.co</v>
      </c>
      <c r="K814" s="40" t="str">
        <f ca="1">IFERROR(__xludf.DUMMYFUNCTION("""COMPUTED_VALUE"""),"pitalito")</f>
        <v>pitalito</v>
      </c>
      <c r="L814" s="40" t="str">
        <f ca="1">IFERROR(__xludf.DUMMYFUNCTION("""COMPUTED_VALUE"""),"NO HA INICIADO ETAPA PRODUCTIVA")</f>
        <v>NO HA INICIADO ETAPA PRODUCTIVA</v>
      </c>
      <c r="M814" s="40"/>
      <c r="N814" s="40"/>
      <c r="O814" s="40"/>
      <c r="P814" s="40"/>
      <c r="Q814" s="40"/>
      <c r="R814" s="140"/>
      <c r="S814" s="1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t="str">
        <f ca="1">IFERROR(__xludf.DUMMYFUNCTION("""COMPUTED_VALUE"""),"Procede_E_P")</f>
        <v>Procede_E_P</v>
      </c>
      <c r="AV814" s="40" t="str">
        <f ca="1">IFERROR(__xludf.DUMMYFUNCTION("""COMPUTED_VALUE"""),"CONDICIONADO")</f>
        <v>CONDICIONADO</v>
      </c>
      <c r="AW814" s="40" t="str">
        <f ca="1">IFERROR(__xludf.DUMMYFUNCTION("""COMPUTED_VALUE"""),"TIC")</f>
        <v>TIC</v>
      </c>
      <c r="AX814" s="141">
        <f ca="1">IFERROR(__xludf.DUMMYFUNCTION("""COMPUTED_VALUE"""),0)</f>
        <v>0</v>
      </c>
      <c r="AY814" s="40">
        <f ca="1">IFERROR(__xludf.DUMMYFUNCTION("""COMPUTED_VALUE"""),0)</f>
        <v>0</v>
      </c>
      <c r="AZ814" s="40">
        <f ca="1">IFERROR(__xludf.DUMMYFUNCTION("""COMPUTED_VALUE"""),1)</f>
        <v>1</v>
      </c>
      <c r="BA814" s="40">
        <f ca="1">IFERROR(__xludf.DUMMYFUNCTION("""COMPUTED_VALUE"""),0)</f>
        <v>0</v>
      </c>
      <c r="BB814" s="40">
        <f ca="1">IFERROR(__xludf.DUMMYFUNCTION("""COMPUTED_VALUE"""),0)</f>
        <v>0</v>
      </c>
      <c r="BC814" s="40">
        <f ca="1">IFERROR(__xludf.DUMMYFUNCTION("""COMPUTED_VALUE"""),1)</f>
        <v>1</v>
      </c>
      <c r="BD814" s="141">
        <f ca="1">IFERROR(__xludf.DUMMYFUNCTION("""COMPUTED_VALUE"""),44270)</f>
        <v>44270</v>
      </c>
      <c r="BE814" s="141">
        <f ca="1">IFERROR(__xludf.DUMMYFUNCTION("""COMPUTED_VALUE"""),44818)</f>
        <v>44818</v>
      </c>
      <c r="BF814" s="141">
        <f ca="1">IFERROR(__xludf.DUMMYFUNCTION("""COMPUTED_VALUE"""),44999)</f>
        <v>44999</v>
      </c>
      <c r="BG814" s="141">
        <f ca="1">IFERROR(__xludf.DUMMYFUNCTION("""COMPUTED_VALUE"""),45549)</f>
        <v>45549</v>
      </c>
      <c r="BH814" s="40" t="str">
        <f ca="1">IFERROR(__xludf.DUMMYFUNCTION("""COMPUTED_VALUE"""),"FICHA EN TIEMPO-18 MESES")</f>
        <v>FICHA EN TIEMPO-18 MESES</v>
      </c>
      <c r="BI814" s="40" t="str">
        <f ca="1">IFERROR(__xludf.DUMMYFUNCTION("""COMPUTED_VALUE"""),"En ejecucion")</f>
        <v>En ejecucion</v>
      </c>
      <c r="BJ814" s="40" t="str">
        <f ca="1">IFERROR(__xludf.DUMMYFUNCTION("""COMPUTED_VALUE"""),"Yamboro")</f>
        <v>Yamboro</v>
      </c>
      <c r="BK814" s="40"/>
      <c r="BL814" s="40"/>
    </row>
    <row r="815" spans="1:64" ht="13">
      <c r="A815" s="40"/>
      <c r="B815" s="40" t="str">
        <f ca="1">IFERROR(__xludf.DUMMYFUNCTION("""COMPUTED_VALUE"""),"FORMACIÓN 18/10/2022")</f>
        <v>FORMACIÓN 18/10/2022</v>
      </c>
      <c r="C815" s="40" t="str">
        <f ca="1">IFERROR(__xludf.DUMMYFUNCTION("""COMPUTED_VALUE"""),"ANDRES CAMILO HERRERA ROMERO")</f>
        <v>ANDRES CAMILO HERRERA ROMERO</v>
      </c>
      <c r="D815" s="40" t="str">
        <f ca="1">IFERROR(__xludf.DUMMYFUNCTION("""COMPUTED_VALUE"""),"CC")</f>
        <v>CC</v>
      </c>
      <c r="E815" s="40">
        <f ca="1">IFERROR(__xludf.DUMMYFUNCTION("""COMPUTED_VALUE"""),1120753417)</f>
        <v>1120753417</v>
      </c>
      <c r="F815" s="40">
        <f ca="1">IFERROR(__xludf.DUMMYFUNCTION("""COMPUTED_VALUE"""),2282140)</f>
        <v>2282140</v>
      </c>
      <c r="G815" s="40" t="str">
        <f ca="1">IFERROR(__xludf.DUMMYFUNCTION("""COMPUTED_VALUE"""),"TECNÓLOGO")</f>
        <v>TECNÓLOGO</v>
      </c>
      <c r="H815" s="40" t="str">
        <f ca="1">IFERROR(__xludf.DUMMYFUNCTION("""COMPUTED_VALUE"""),"ANALISIS Y DESARROLLO DE SISTEMAS DE INFORMACION")</f>
        <v>ANALISIS Y DESARROLLO DE SISTEMAS DE INFORMACION</v>
      </c>
      <c r="I815" s="40"/>
      <c r="J815" s="40" t="str">
        <f ca="1">IFERROR(__xludf.DUMMYFUNCTION("""COMPUTED_VALUE"""),"andrescamiloherrararomero@gmail.com")</f>
        <v>andrescamiloherrararomero@gmail.com</v>
      </c>
      <c r="K815" s="40" t="str">
        <f ca="1">IFERROR(__xludf.DUMMYFUNCTION("""COMPUTED_VALUE"""),"pitalito")</f>
        <v>pitalito</v>
      </c>
      <c r="L815" s="40" t="str">
        <f ca="1">IFERROR(__xludf.DUMMYFUNCTION("""COMPUTED_VALUE"""),"NO HA INICIADO ETAPA PRODUCTIVA")</f>
        <v>NO HA INICIADO ETAPA PRODUCTIVA</v>
      </c>
      <c r="M815" s="40"/>
      <c r="N815" s="40"/>
      <c r="O815" s="40"/>
      <c r="P815" s="40"/>
      <c r="Q815" s="40"/>
      <c r="R815" s="140"/>
      <c r="S815" s="1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t="str">
        <f ca="1">IFERROR(__xludf.DUMMYFUNCTION("""COMPUTED_VALUE"""),"NO_CUMPLE")</f>
        <v>NO_CUMPLE</v>
      </c>
      <c r="AV815" s="40" t="str">
        <f ca="1">IFERROR(__xludf.DUMMYFUNCTION("""COMPUTED_VALUE"""),"EN FORMACION")</f>
        <v>EN FORMACION</v>
      </c>
      <c r="AW815" s="40" t="str">
        <f ca="1">IFERROR(__xludf.DUMMYFUNCTION("""COMPUTED_VALUE"""),"TIC")</f>
        <v>TIC</v>
      </c>
      <c r="AX815" s="141">
        <f ca="1">IFERROR(__xludf.DUMMYFUNCTION("""COMPUTED_VALUE"""),1)</f>
        <v>1</v>
      </c>
      <c r="AY815" s="40">
        <f ca="1">IFERROR(__xludf.DUMMYFUNCTION("""COMPUTED_VALUE"""),1)</f>
        <v>1</v>
      </c>
      <c r="AZ815" s="40">
        <f ca="1">IFERROR(__xludf.DUMMYFUNCTION("""COMPUTED_VALUE"""),1)</f>
        <v>1</v>
      </c>
      <c r="BA815" s="40">
        <f ca="1">IFERROR(__xludf.DUMMYFUNCTION("""COMPUTED_VALUE"""),0)</f>
        <v>0</v>
      </c>
      <c r="BB815" s="40">
        <f ca="1">IFERROR(__xludf.DUMMYFUNCTION("""COMPUTED_VALUE"""),0)</f>
        <v>0</v>
      </c>
      <c r="BC815" s="40">
        <f ca="1">IFERROR(__xludf.DUMMYFUNCTION("""COMPUTED_VALUE"""),2)</f>
        <v>2</v>
      </c>
      <c r="BD815" s="141">
        <f ca="1">IFERROR(__xludf.DUMMYFUNCTION("""COMPUTED_VALUE"""),44270)</f>
        <v>44270</v>
      </c>
      <c r="BE815" s="141">
        <f ca="1">IFERROR(__xludf.DUMMYFUNCTION("""COMPUTED_VALUE"""),44818)</f>
        <v>44818</v>
      </c>
      <c r="BF815" s="141">
        <f ca="1">IFERROR(__xludf.DUMMYFUNCTION("""COMPUTED_VALUE"""),44999)</f>
        <v>44999</v>
      </c>
      <c r="BG815" s="141">
        <f ca="1">IFERROR(__xludf.DUMMYFUNCTION("""COMPUTED_VALUE"""),45549)</f>
        <v>45549</v>
      </c>
      <c r="BH815" s="40" t="str">
        <f ca="1">IFERROR(__xludf.DUMMYFUNCTION("""COMPUTED_VALUE"""),"FICHA EN TIEMPO-18 MESES")</f>
        <v>FICHA EN TIEMPO-18 MESES</v>
      </c>
      <c r="BI815" s="40" t="str">
        <f ca="1">IFERROR(__xludf.DUMMYFUNCTION("""COMPUTED_VALUE"""),"En ejecucion")</f>
        <v>En ejecucion</v>
      </c>
      <c r="BJ815" s="40" t="str">
        <f ca="1">IFERROR(__xludf.DUMMYFUNCTION("""COMPUTED_VALUE"""),"Yamboro")</f>
        <v>Yamboro</v>
      </c>
      <c r="BK815" s="40"/>
      <c r="BL815" s="40"/>
    </row>
    <row r="816" spans="1:64" ht="13">
      <c r="A816" s="40"/>
      <c r="B816" s="40" t="str">
        <f ca="1">IFERROR(__xludf.DUMMYFUNCTION("""COMPUTED_VALUE"""),"CONDICIONADO 18/10/2022")</f>
        <v>CONDICIONADO 18/10/2022</v>
      </c>
      <c r="C816" s="40" t="str">
        <f ca="1">IFERROR(__xludf.DUMMYFUNCTION("""COMPUTED_VALUE"""),"CAROL MICHAEL GONZALEZ ALONSO")</f>
        <v>CAROL MICHAEL GONZALEZ ALONSO</v>
      </c>
      <c r="D816" s="40" t="str">
        <f ca="1">IFERROR(__xludf.DUMMYFUNCTION("""COMPUTED_VALUE"""),"CC")</f>
        <v>CC</v>
      </c>
      <c r="E816" s="40">
        <f ca="1">IFERROR(__xludf.DUMMYFUNCTION("""COMPUTED_VALUE"""),1121841218)</f>
        <v>1121841218</v>
      </c>
      <c r="F816" s="40">
        <f ca="1">IFERROR(__xludf.DUMMYFUNCTION("""COMPUTED_VALUE"""),2282140)</f>
        <v>2282140</v>
      </c>
      <c r="G816" s="40" t="str">
        <f ca="1">IFERROR(__xludf.DUMMYFUNCTION("""COMPUTED_VALUE"""),"TECNÓLOGO")</f>
        <v>TECNÓLOGO</v>
      </c>
      <c r="H816" s="40" t="str">
        <f ca="1">IFERROR(__xludf.DUMMYFUNCTION("""COMPUTED_VALUE"""),"ANALISIS Y DESARROLLO DE SISTEMAS DE INFORMACION")</f>
        <v>ANALISIS Y DESARROLLO DE SISTEMAS DE INFORMACION</v>
      </c>
      <c r="I816" s="40"/>
      <c r="J816" s="40" t="str">
        <f ca="1">IFERROR(__xludf.DUMMYFUNCTION("""COMPUTED_VALUE"""),"carolmichelg@hotmail.com")</f>
        <v>carolmichelg@hotmail.com</v>
      </c>
      <c r="K816" s="40" t="str">
        <f ca="1">IFERROR(__xludf.DUMMYFUNCTION("""COMPUTED_VALUE"""),"pitalito")</f>
        <v>pitalito</v>
      </c>
      <c r="L816" s="40" t="str">
        <f ca="1">IFERROR(__xludf.DUMMYFUNCTION("""COMPUTED_VALUE"""),"NO HA INICIADO ETAPA PRODUCTIVA")</f>
        <v>NO HA INICIADO ETAPA PRODUCTIVA</v>
      </c>
      <c r="M816" s="40"/>
      <c r="N816" s="40"/>
      <c r="O816" s="40"/>
      <c r="P816" s="40"/>
      <c r="Q816" s="40"/>
      <c r="R816" s="140"/>
      <c r="S816" s="1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t="str">
        <f ca="1">IFERROR(__xludf.DUMMYFUNCTION("""COMPUTED_VALUE"""),"NO_CUMPLE")</f>
        <v>NO_CUMPLE</v>
      </c>
      <c r="AV816" s="40" t="str">
        <f ca="1">IFERROR(__xludf.DUMMYFUNCTION("""COMPUTED_VALUE"""),"CONDICIONADO")</f>
        <v>CONDICIONADO</v>
      </c>
      <c r="AW816" s="40" t="str">
        <f ca="1">IFERROR(__xludf.DUMMYFUNCTION("""COMPUTED_VALUE"""),"TIC")</f>
        <v>TIC</v>
      </c>
      <c r="AX816" s="141">
        <f ca="1">IFERROR(__xludf.DUMMYFUNCTION("""COMPUTED_VALUE"""),4)</f>
        <v>4</v>
      </c>
      <c r="AY816" s="40">
        <f ca="1">IFERROR(__xludf.DUMMYFUNCTION("""COMPUTED_VALUE"""),4)</f>
        <v>4</v>
      </c>
      <c r="AZ816" s="40">
        <f ca="1">IFERROR(__xludf.DUMMYFUNCTION("""COMPUTED_VALUE"""),1)</f>
        <v>1</v>
      </c>
      <c r="BA816" s="40">
        <f ca="1">IFERROR(__xludf.DUMMYFUNCTION("""COMPUTED_VALUE"""),6)</f>
        <v>6</v>
      </c>
      <c r="BB816" s="40">
        <f ca="1">IFERROR(__xludf.DUMMYFUNCTION("""COMPUTED_VALUE"""),21)</f>
        <v>21</v>
      </c>
      <c r="BC816" s="40">
        <f ca="1">IFERROR(__xludf.DUMMYFUNCTION("""COMPUTED_VALUE"""),32)</f>
        <v>32</v>
      </c>
      <c r="BD816" s="141">
        <f ca="1">IFERROR(__xludf.DUMMYFUNCTION("""COMPUTED_VALUE"""),44270)</f>
        <v>44270</v>
      </c>
      <c r="BE816" s="141">
        <f ca="1">IFERROR(__xludf.DUMMYFUNCTION("""COMPUTED_VALUE"""),44818)</f>
        <v>44818</v>
      </c>
      <c r="BF816" s="141">
        <f ca="1">IFERROR(__xludf.DUMMYFUNCTION("""COMPUTED_VALUE"""),44999)</f>
        <v>44999</v>
      </c>
      <c r="BG816" s="141">
        <f ca="1">IFERROR(__xludf.DUMMYFUNCTION("""COMPUTED_VALUE"""),45549)</f>
        <v>45549</v>
      </c>
      <c r="BH816" s="40" t="str">
        <f ca="1">IFERROR(__xludf.DUMMYFUNCTION("""COMPUTED_VALUE"""),"FICHA EN TIEMPO-18 MESES")</f>
        <v>FICHA EN TIEMPO-18 MESES</v>
      </c>
      <c r="BI816" s="40" t="str">
        <f ca="1">IFERROR(__xludf.DUMMYFUNCTION("""COMPUTED_VALUE"""),"En ejecucion")</f>
        <v>En ejecucion</v>
      </c>
      <c r="BJ816" s="40" t="str">
        <f ca="1">IFERROR(__xludf.DUMMYFUNCTION("""COMPUTED_VALUE"""),"Yamboro")</f>
        <v>Yamboro</v>
      </c>
      <c r="BK816" s="40"/>
      <c r="BL816" s="40"/>
    </row>
    <row r="817" spans="1:64" ht="13">
      <c r="A817" s="40"/>
      <c r="B817" s="40" t="str">
        <f ca="1">IFERROR(__xludf.DUMMYFUNCTION("""COMPUTED_VALUE"""),"CONDICIONADO 18/10/2022")</f>
        <v>CONDICIONADO 18/10/2022</v>
      </c>
      <c r="C817" s="40" t="str">
        <f ca="1">IFERROR(__xludf.DUMMYFUNCTION("""COMPUTED_VALUE"""),"CRISTIAN DANIEL ESPITIA MEZA")</f>
        <v>CRISTIAN DANIEL ESPITIA MEZA</v>
      </c>
      <c r="D817" s="40" t="str">
        <f ca="1">IFERROR(__xludf.DUMMYFUNCTION("""COMPUTED_VALUE"""),"CC")</f>
        <v>CC</v>
      </c>
      <c r="E817" s="40">
        <f ca="1">IFERROR(__xludf.DUMMYFUNCTION("""COMPUTED_VALUE"""),1002599961)</f>
        <v>1002599961</v>
      </c>
      <c r="F817" s="40">
        <f ca="1">IFERROR(__xludf.DUMMYFUNCTION("""COMPUTED_VALUE"""),2282140)</f>
        <v>2282140</v>
      </c>
      <c r="G817" s="40" t="str">
        <f ca="1">IFERROR(__xludf.DUMMYFUNCTION("""COMPUTED_VALUE"""),"TECNÓLOGO")</f>
        <v>TECNÓLOGO</v>
      </c>
      <c r="H817" s="40" t="str">
        <f ca="1">IFERROR(__xludf.DUMMYFUNCTION("""COMPUTED_VALUE"""),"ANALISIS Y DESARROLLO DE SISTEMAS DE INFORMACION")</f>
        <v>ANALISIS Y DESARROLLO DE SISTEMAS DE INFORMACION</v>
      </c>
      <c r="I817" s="40"/>
      <c r="J817" s="40" t="str">
        <f ca="1">IFERROR(__xludf.DUMMYFUNCTION("""COMPUTED_VALUE"""),"cristianespitia58@gmail.com")</f>
        <v>cristianespitia58@gmail.com</v>
      </c>
      <c r="K817" s="40" t="str">
        <f ca="1">IFERROR(__xludf.DUMMYFUNCTION("""COMPUTED_VALUE"""),"pitalito")</f>
        <v>pitalito</v>
      </c>
      <c r="L817" s="40" t="str">
        <f ca="1">IFERROR(__xludf.DUMMYFUNCTION("""COMPUTED_VALUE"""),"NO HA INICIADO ETAPA PRODUCTIVA")</f>
        <v>NO HA INICIADO ETAPA PRODUCTIVA</v>
      </c>
      <c r="M817" s="40"/>
      <c r="N817" s="40"/>
      <c r="O817" s="40"/>
      <c r="P817" s="40"/>
      <c r="Q817" s="40"/>
      <c r="R817" s="140"/>
      <c r="S817" s="1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t="str">
        <f ca="1">IFERROR(__xludf.DUMMYFUNCTION("""COMPUTED_VALUE"""),"NO_CUMPLE")</f>
        <v>NO_CUMPLE</v>
      </c>
      <c r="AV817" s="40" t="str">
        <f ca="1">IFERROR(__xludf.DUMMYFUNCTION("""COMPUTED_VALUE"""),"EN FORMACION")</f>
        <v>EN FORMACION</v>
      </c>
      <c r="AW817" s="40" t="str">
        <f ca="1">IFERROR(__xludf.DUMMYFUNCTION("""COMPUTED_VALUE"""),"TIC")</f>
        <v>TIC</v>
      </c>
      <c r="AX817" s="141">
        <f ca="1">IFERROR(__xludf.DUMMYFUNCTION("""COMPUTED_VALUE"""),5)</f>
        <v>5</v>
      </c>
      <c r="AY817" s="40">
        <f ca="1">IFERROR(__xludf.DUMMYFUNCTION("""COMPUTED_VALUE"""),5)</f>
        <v>5</v>
      </c>
      <c r="AZ817" s="40">
        <f ca="1">IFERROR(__xludf.DUMMYFUNCTION("""COMPUTED_VALUE"""),1)</f>
        <v>1</v>
      </c>
      <c r="BA817" s="40">
        <f ca="1">IFERROR(__xludf.DUMMYFUNCTION("""COMPUTED_VALUE"""),3)</f>
        <v>3</v>
      </c>
      <c r="BB817" s="40">
        <f ca="1">IFERROR(__xludf.DUMMYFUNCTION("""COMPUTED_VALUE"""),17)</f>
        <v>17</v>
      </c>
      <c r="BC817" s="40">
        <f ca="1">IFERROR(__xludf.DUMMYFUNCTION("""COMPUTED_VALUE"""),26)</f>
        <v>26</v>
      </c>
      <c r="BD817" s="141">
        <f ca="1">IFERROR(__xludf.DUMMYFUNCTION("""COMPUTED_VALUE"""),44270)</f>
        <v>44270</v>
      </c>
      <c r="BE817" s="141">
        <f ca="1">IFERROR(__xludf.DUMMYFUNCTION("""COMPUTED_VALUE"""),44818)</f>
        <v>44818</v>
      </c>
      <c r="BF817" s="141">
        <f ca="1">IFERROR(__xludf.DUMMYFUNCTION("""COMPUTED_VALUE"""),44999)</f>
        <v>44999</v>
      </c>
      <c r="BG817" s="141">
        <f ca="1">IFERROR(__xludf.DUMMYFUNCTION("""COMPUTED_VALUE"""),45549)</f>
        <v>45549</v>
      </c>
      <c r="BH817" s="40" t="str">
        <f ca="1">IFERROR(__xludf.DUMMYFUNCTION("""COMPUTED_VALUE"""),"FICHA EN TIEMPO-18 MESES")</f>
        <v>FICHA EN TIEMPO-18 MESES</v>
      </c>
      <c r="BI817" s="40" t="str">
        <f ca="1">IFERROR(__xludf.DUMMYFUNCTION("""COMPUTED_VALUE"""),"En ejecucion")</f>
        <v>En ejecucion</v>
      </c>
      <c r="BJ817" s="40" t="str">
        <f ca="1">IFERROR(__xludf.DUMMYFUNCTION("""COMPUTED_VALUE"""),"Yamboro")</f>
        <v>Yamboro</v>
      </c>
      <c r="BK817" s="40"/>
      <c r="BL817" s="40"/>
    </row>
    <row r="818" spans="1:64" ht="13">
      <c r="A818" s="40"/>
      <c r="B818" s="40" t="str">
        <f ca="1">IFERROR(__xludf.DUMMYFUNCTION("""COMPUTED_VALUE"""),"CONDICIONADO 18/10/2022")</f>
        <v>CONDICIONADO 18/10/2022</v>
      </c>
      <c r="C818" s="40" t="str">
        <f ca="1">IFERROR(__xludf.DUMMYFUNCTION("""COMPUTED_VALUE"""),"SANTIAGO CRUZ BARON")</f>
        <v>SANTIAGO CRUZ BARON</v>
      </c>
      <c r="D818" s="40" t="str">
        <f ca="1">IFERROR(__xludf.DUMMYFUNCTION("""COMPUTED_VALUE"""),"CC")</f>
        <v>CC</v>
      </c>
      <c r="E818" s="40">
        <f ca="1">IFERROR(__xludf.DUMMYFUNCTION("""COMPUTED_VALUE"""),1003820049)</f>
        <v>1003820049</v>
      </c>
      <c r="F818" s="40">
        <f ca="1">IFERROR(__xludf.DUMMYFUNCTION("""COMPUTED_VALUE"""),2282140)</f>
        <v>2282140</v>
      </c>
      <c r="G818" s="40" t="str">
        <f ca="1">IFERROR(__xludf.DUMMYFUNCTION("""COMPUTED_VALUE"""),"TECNÓLOGO")</f>
        <v>TECNÓLOGO</v>
      </c>
      <c r="H818" s="40" t="str">
        <f ca="1">IFERROR(__xludf.DUMMYFUNCTION("""COMPUTED_VALUE"""),"ANALISIS Y DESARROLLO DE SISTEMAS DE INFORMACION")</f>
        <v>ANALISIS Y DESARROLLO DE SISTEMAS DE INFORMACION</v>
      </c>
      <c r="I818" s="40"/>
      <c r="J818" s="40" t="str">
        <f ca="1">IFERROR(__xludf.DUMMYFUNCTION("""COMPUTED_VALUE"""),"cruzbaron105@hotmail.com")</f>
        <v>cruzbaron105@hotmail.com</v>
      </c>
      <c r="K818" s="40" t="str">
        <f ca="1">IFERROR(__xludf.DUMMYFUNCTION("""COMPUTED_VALUE"""),"pitalito")</f>
        <v>pitalito</v>
      </c>
      <c r="L818" s="40" t="str">
        <f ca="1">IFERROR(__xludf.DUMMYFUNCTION("""COMPUTED_VALUE"""),"NO HA INICIADO ETAPA PRODUCTIVA")</f>
        <v>NO HA INICIADO ETAPA PRODUCTIVA</v>
      </c>
      <c r="M818" s="40"/>
      <c r="N818" s="40"/>
      <c r="O818" s="40"/>
      <c r="P818" s="40"/>
      <c r="Q818" s="40"/>
      <c r="R818" s="140"/>
      <c r="S818" s="1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t="str">
        <f ca="1">IFERROR(__xludf.DUMMYFUNCTION("""COMPUTED_VALUE"""),"NO_CUMPLE")</f>
        <v>NO_CUMPLE</v>
      </c>
      <c r="AV818" s="40" t="str">
        <f ca="1">IFERROR(__xludf.DUMMYFUNCTION("""COMPUTED_VALUE"""),"EN FORMACION")</f>
        <v>EN FORMACION</v>
      </c>
      <c r="AW818" s="40" t="str">
        <f ca="1">IFERROR(__xludf.DUMMYFUNCTION("""COMPUTED_VALUE"""),"TIC")</f>
        <v>TIC</v>
      </c>
      <c r="AX818" s="141">
        <f ca="1">IFERROR(__xludf.DUMMYFUNCTION("""COMPUTED_VALUE"""),2)</f>
        <v>2</v>
      </c>
      <c r="AY818" s="40">
        <f ca="1">IFERROR(__xludf.DUMMYFUNCTION("""COMPUTED_VALUE"""),2)</f>
        <v>2</v>
      </c>
      <c r="AZ818" s="40">
        <f ca="1">IFERROR(__xludf.DUMMYFUNCTION("""COMPUTED_VALUE"""),1)</f>
        <v>1</v>
      </c>
      <c r="BA818" s="40">
        <f ca="1">IFERROR(__xludf.DUMMYFUNCTION("""COMPUTED_VALUE"""),4)</f>
        <v>4</v>
      </c>
      <c r="BB818" s="40">
        <f ca="1">IFERROR(__xludf.DUMMYFUNCTION("""COMPUTED_VALUE"""),16)</f>
        <v>16</v>
      </c>
      <c r="BC818" s="40">
        <f ca="1">IFERROR(__xludf.DUMMYFUNCTION("""COMPUTED_VALUE"""),23)</f>
        <v>23</v>
      </c>
      <c r="BD818" s="141">
        <f ca="1">IFERROR(__xludf.DUMMYFUNCTION("""COMPUTED_VALUE"""),44270)</f>
        <v>44270</v>
      </c>
      <c r="BE818" s="141">
        <f ca="1">IFERROR(__xludf.DUMMYFUNCTION("""COMPUTED_VALUE"""),44818)</f>
        <v>44818</v>
      </c>
      <c r="BF818" s="141">
        <f ca="1">IFERROR(__xludf.DUMMYFUNCTION("""COMPUTED_VALUE"""),44999)</f>
        <v>44999</v>
      </c>
      <c r="BG818" s="141">
        <f ca="1">IFERROR(__xludf.DUMMYFUNCTION("""COMPUTED_VALUE"""),45549)</f>
        <v>45549</v>
      </c>
      <c r="BH818" s="40" t="str">
        <f ca="1">IFERROR(__xludf.DUMMYFUNCTION("""COMPUTED_VALUE"""),"FICHA EN TIEMPO-18 MESES")</f>
        <v>FICHA EN TIEMPO-18 MESES</v>
      </c>
      <c r="BI818" s="40" t="str">
        <f ca="1">IFERROR(__xludf.DUMMYFUNCTION("""COMPUTED_VALUE"""),"En ejecucion")</f>
        <v>En ejecucion</v>
      </c>
      <c r="BJ818" s="40" t="str">
        <f ca="1">IFERROR(__xludf.DUMMYFUNCTION("""COMPUTED_VALUE"""),"Yamboro")</f>
        <v>Yamboro</v>
      </c>
      <c r="BK818" s="40"/>
      <c r="BL818" s="40"/>
    </row>
    <row r="819" spans="1:64" ht="13">
      <c r="A819" s="40"/>
      <c r="B819" s="40" t="str">
        <f ca="1">IFERROR(__xludf.DUMMYFUNCTION("""COMPUTED_VALUE"""),"CONDICIONADO 18/10/2022")</f>
        <v>CONDICIONADO 18/10/2022</v>
      </c>
      <c r="C819" s="40" t="str">
        <f ca="1">IFERROR(__xludf.DUMMYFUNCTION("""COMPUTED_VALUE"""),"DEVIN LEANDRO GOMEZ OBANDO")</f>
        <v>DEVIN LEANDRO GOMEZ OBANDO</v>
      </c>
      <c r="D819" s="40" t="str">
        <f ca="1">IFERROR(__xludf.DUMMYFUNCTION("""COMPUTED_VALUE"""),"CC")</f>
        <v>CC</v>
      </c>
      <c r="E819" s="40">
        <f ca="1">IFERROR(__xludf.DUMMYFUNCTION("""COMPUTED_VALUE"""),1005279258)</f>
        <v>1005279258</v>
      </c>
      <c r="F819" s="40">
        <f ca="1">IFERROR(__xludf.DUMMYFUNCTION("""COMPUTED_VALUE"""),2282140)</f>
        <v>2282140</v>
      </c>
      <c r="G819" s="40" t="str">
        <f ca="1">IFERROR(__xludf.DUMMYFUNCTION("""COMPUTED_VALUE"""),"TECNÓLOGO")</f>
        <v>TECNÓLOGO</v>
      </c>
      <c r="H819" s="40" t="str">
        <f ca="1">IFERROR(__xludf.DUMMYFUNCTION("""COMPUTED_VALUE"""),"ANALISIS Y DESARROLLO DE SISTEMAS DE INFORMACION")</f>
        <v>ANALISIS Y DESARROLLO DE SISTEMAS DE INFORMACION</v>
      </c>
      <c r="I819" s="40"/>
      <c r="J819" s="40" t="str">
        <f ca="1">IFERROR(__xludf.DUMMYFUNCTION("""COMPUTED_VALUE"""),"devingomez230@gmail.com")</f>
        <v>devingomez230@gmail.com</v>
      </c>
      <c r="K819" s="40" t="str">
        <f ca="1">IFERROR(__xludf.DUMMYFUNCTION("""COMPUTED_VALUE"""),"pitalito")</f>
        <v>pitalito</v>
      </c>
      <c r="L819" s="40" t="str">
        <f ca="1">IFERROR(__xludf.DUMMYFUNCTION("""COMPUTED_VALUE"""),"NO HA INICIADO ETAPA PRODUCTIVA")</f>
        <v>NO HA INICIADO ETAPA PRODUCTIVA</v>
      </c>
      <c r="M819" s="40"/>
      <c r="N819" s="40"/>
      <c r="O819" s="40"/>
      <c r="P819" s="40"/>
      <c r="Q819" s="40"/>
      <c r="R819" s="140"/>
      <c r="S819" s="1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t="str">
        <f ca="1">IFERROR(__xludf.DUMMYFUNCTION("""COMPUTED_VALUE"""),"NO_CUMPLE")</f>
        <v>NO_CUMPLE</v>
      </c>
      <c r="AV819" s="40" t="str">
        <f ca="1">IFERROR(__xludf.DUMMYFUNCTION("""COMPUTED_VALUE"""),"EN FORMACION")</f>
        <v>EN FORMACION</v>
      </c>
      <c r="AW819" s="40" t="str">
        <f ca="1">IFERROR(__xludf.DUMMYFUNCTION("""COMPUTED_VALUE"""),"TIC")</f>
        <v>TIC</v>
      </c>
      <c r="AX819" s="141">
        <f ca="1">IFERROR(__xludf.DUMMYFUNCTION("""COMPUTED_VALUE"""),4)</f>
        <v>4</v>
      </c>
      <c r="AY819" s="40">
        <f ca="1">IFERROR(__xludf.DUMMYFUNCTION("""COMPUTED_VALUE"""),4)</f>
        <v>4</v>
      </c>
      <c r="AZ819" s="40">
        <f ca="1">IFERROR(__xludf.DUMMYFUNCTION("""COMPUTED_VALUE"""),1)</f>
        <v>1</v>
      </c>
      <c r="BA819" s="40">
        <f ca="1">IFERROR(__xludf.DUMMYFUNCTION("""COMPUTED_VALUE"""),6)</f>
        <v>6</v>
      </c>
      <c r="BB819" s="40">
        <f ca="1">IFERROR(__xludf.DUMMYFUNCTION("""COMPUTED_VALUE"""),18)</f>
        <v>18</v>
      </c>
      <c r="BC819" s="40">
        <f ca="1">IFERROR(__xludf.DUMMYFUNCTION("""COMPUTED_VALUE"""),29)</f>
        <v>29</v>
      </c>
      <c r="BD819" s="141">
        <f ca="1">IFERROR(__xludf.DUMMYFUNCTION("""COMPUTED_VALUE"""),44270)</f>
        <v>44270</v>
      </c>
      <c r="BE819" s="141">
        <f ca="1">IFERROR(__xludf.DUMMYFUNCTION("""COMPUTED_VALUE"""),44818)</f>
        <v>44818</v>
      </c>
      <c r="BF819" s="141">
        <f ca="1">IFERROR(__xludf.DUMMYFUNCTION("""COMPUTED_VALUE"""),44999)</f>
        <v>44999</v>
      </c>
      <c r="BG819" s="141">
        <f ca="1">IFERROR(__xludf.DUMMYFUNCTION("""COMPUTED_VALUE"""),45549)</f>
        <v>45549</v>
      </c>
      <c r="BH819" s="40" t="str">
        <f ca="1">IFERROR(__xludf.DUMMYFUNCTION("""COMPUTED_VALUE"""),"FICHA EN TIEMPO-18 MESES")</f>
        <v>FICHA EN TIEMPO-18 MESES</v>
      </c>
      <c r="BI819" s="40" t="str">
        <f ca="1">IFERROR(__xludf.DUMMYFUNCTION("""COMPUTED_VALUE"""),"En ejecucion")</f>
        <v>En ejecucion</v>
      </c>
      <c r="BJ819" s="40" t="str">
        <f ca="1">IFERROR(__xludf.DUMMYFUNCTION("""COMPUTED_VALUE"""),"Yamboro")</f>
        <v>Yamboro</v>
      </c>
      <c r="BK819" s="40"/>
      <c r="BL819" s="40"/>
    </row>
    <row r="820" spans="1:64" ht="13">
      <c r="A820" s="40"/>
      <c r="B820" s="40" t="str">
        <f ca="1">IFERROR(__xludf.DUMMYFUNCTION("""COMPUTED_VALUE"""),"CONDICIONADO 18/10/2022")</f>
        <v>CONDICIONADO 18/10/2022</v>
      </c>
      <c r="C820" s="40" t="str">
        <f ca="1">IFERROR(__xludf.DUMMYFUNCTION("""COMPUTED_VALUE"""),"DAVID SANTIAGO MANCERA ROBLES")</f>
        <v>DAVID SANTIAGO MANCERA ROBLES</v>
      </c>
      <c r="D820" s="40" t="str">
        <f ca="1">IFERROR(__xludf.DUMMYFUNCTION("""COMPUTED_VALUE"""),"CC")</f>
        <v>CC</v>
      </c>
      <c r="E820" s="40">
        <f ca="1">IFERROR(__xludf.DUMMYFUNCTION("""COMPUTED_VALUE"""),1007497176)</f>
        <v>1007497176</v>
      </c>
      <c r="F820" s="40">
        <f ca="1">IFERROR(__xludf.DUMMYFUNCTION("""COMPUTED_VALUE"""),2282140)</f>
        <v>2282140</v>
      </c>
      <c r="G820" s="40" t="str">
        <f ca="1">IFERROR(__xludf.DUMMYFUNCTION("""COMPUTED_VALUE"""),"TECNÓLOGO")</f>
        <v>TECNÓLOGO</v>
      </c>
      <c r="H820" s="40" t="str">
        <f ca="1">IFERROR(__xludf.DUMMYFUNCTION("""COMPUTED_VALUE"""),"ANALISIS Y DESARROLLO DE SISTEMAS DE INFORMACION")</f>
        <v>ANALISIS Y DESARROLLO DE SISTEMAS DE INFORMACION</v>
      </c>
      <c r="I820" s="40"/>
      <c r="J820" s="40" t="str">
        <f ca="1">IFERROR(__xludf.DUMMYFUNCTION("""COMPUTED_VALUE"""),"dsmr19961@gmail.com")</f>
        <v>dsmr19961@gmail.com</v>
      </c>
      <c r="K820" s="40" t="str">
        <f ca="1">IFERROR(__xludf.DUMMYFUNCTION("""COMPUTED_VALUE"""),"pitalito")</f>
        <v>pitalito</v>
      </c>
      <c r="L820" s="40" t="str">
        <f ca="1">IFERROR(__xludf.DUMMYFUNCTION("""COMPUTED_VALUE"""),"NO HA INICIADO ETAPA PRODUCTIVA")</f>
        <v>NO HA INICIADO ETAPA PRODUCTIVA</v>
      </c>
      <c r="M820" s="40"/>
      <c r="N820" s="40"/>
      <c r="O820" s="40"/>
      <c r="P820" s="40"/>
      <c r="Q820" s="40"/>
      <c r="R820" s="140"/>
      <c r="S820" s="1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t="str">
        <f ca="1">IFERROR(__xludf.DUMMYFUNCTION("""COMPUTED_VALUE"""),"NO_CUMPLE")</f>
        <v>NO_CUMPLE</v>
      </c>
      <c r="AV820" s="40" t="str">
        <f ca="1">IFERROR(__xludf.DUMMYFUNCTION("""COMPUTED_VALUE"""),"EN FORMACION")</f>
        <v>EN FORMACION</v>
      </c>
      <c r="AW820" s="40" t="str">
        <f ca="1">IFERROR(__xludf.DUMMYFUNCTION("""COMPUTED_VALUE"""),"TIC")</f>
        <v>TIC</v>
      </c>
      <c r="AX820" s="141">
        <f ca="1">IFERROR(__xludf.DUMMYFUNCTION("""COMPUTED_VALUE"""),2)</f>
        <v>2</v>
      </c>
      <c r="AY820" s="40">
        <f ca="1">IFERROR(__xludf.DUMMYFUNCTION("""COMPUTED_VALUE"""),2)</f>
        <v>2</v>
      </c>
      <c r="AZ820" s="40">
        <f ca="1">IFERROR(__xludf.DUMMYFUNCTION("""COMPUTED_VALUE"""),1)</f>
        <v>1</v>
      </c>
      <c r="BA820" s="40">
        <f ca="1">IFERROR(__xludf.DUMMYFUNCTION("""COMPUTED_VALUE"""),4)</f>
        <v>4</v>
      </c>
      <c r="BB820" s="40">
        <f ca="1">IFERROR(__xludf.DUMMYFUNCTION("""COMPUTED_VALUE"""),12)</f>
        <v>12</v>
      </c>
      <c r="BC820" s="40">
        <f ca="1">IFERROR(__xludf.DUMMYFUNCTION("""COMPUTED_VALUE"""),19)</f>
        <v>19</v>
      </c>
      <c r="BD820" s="141">
        <f ca="1">IFERROR(__xludf.DUMMYFUNCTION("""COMPUTED_VALUE"""),44270)</f>
        <v>44270</v>
      </c>
      <c r="BE820" s="141">
        <f ca="1">IFERROR(__xludf.DUMMYFUNCTION("""COMPUTED_VALUE"""),44818)</f>
        <v>44818</v>
      </c>
      <c r="BF820" s="141">
        <f ca="1">IFERROR(__xludf.DUMMYFUNCTION("""COMPUTED_VALUE"""),44999)</f>
        <v>44999</v>
      </c>
      <c r="BG820" s="141">
        <f ca="1">IFERROR(__xludf.DUMMYFUNCTION("""COMPUTED_VALUE"""),45549)</f>
        <v>45549</v>
      </c>
      <c r="BH820" s="40" t="str">
        <f ca="1">IFERROR(__xludf.DUMMYFUNCTION("""COMPUTED_VALUE"""),"FICHA EN TIEMPO-18 MESES")</f>
        <v>FICHA EN TIEMPO-18 MESES</v>
      </c>
      <c r="BI820" s="40" t="str">
        <f ca="1">IFERROR(__xludf.DUMMYFUNCTION("""COMPUTED_VALUE"""),"En ejecucion")</f>
        <v>En ejecucion</v>
      </c>
      <c r="BJ820" s="40" t="str">
        <f ca="1">IFERROR(__xludf.DUMMYFUNCTION("""COMPUTED_VALUE"""),"Yamboro")</f>
        <v>Yamboro</v>
      </c>
      <c r="BK820" s="40"/>
      <c r="BL820" s="40"/>
    </row>
    <row r="821" spans="1:64" ht="13">
      <c r="A821" s="40"/>
      <c r="B821" s="40" t="str">
        <f ca="1">IFERROR(__xludf.DUMMYFUNCTION("""COMPUTED_VALUE"""),"FORMACIÓN 18/10/2022")</f>
        <v>FORMACIÓN 18/10/2022</v>
      </c>
      <c r="C821" s="40" t="str">
        <f ca="1">IFERROR(__xludf.DUMMYFUNCTION("""COMPUTED_VALUE"""),"HARRY DAVID CASTRO SILVA")</f>
        <v>HARRY DAVID CASTRO SILVA</v>
      </c>
      <c r="D821" s="40" t="str">
        <f ca="1">IFERROR(__xludf.DUMMYFUNCTION("""COMPUTED_VALUE"""),"CC")</f>
        <v>CC</v>
      </c>
      <c r="E821" s="40">
        <f ca="1">IFERROR(__xludf.DUMMYFUNCTION("""COMPUTED_VALUE"""),1000033541)</f>
        <v>1000033541</v>
      </c>
      <c r="F821" s="40">
        <f ca="1">IFERROR(__xludf.DUMMYFUNCTION("""COMPUTED_VALUE"""),2282140)</f>
        <v>2282140</v>
      </c>
      <c r="G821" s="40" t="str">
        <f ca="1">IFERROR(__xludf.DUMMYFUNCTION("""COMPUTED_VALUE"""),"TECNÓLOGO")</f>
        <v>TECNÓLOGO</v>
      </c>
      <c r="H821" s="40" t="str">
        <f ca="1">IFERROR(__xludf.DUMMYFUNCTION("""COMPUTED_VALUE"""),"ANALISIS Y DESARROLLO DE SISTEMAS DE INFORMACION")</f>
        <v>ANALISIS Y DESARROLLO DE SISTEMAS DE INFORMACION</v>
      </c>
      <c r="I821" s="40"/>
      <c r="J821" s="40" t="str">
        <f ca="1">IFERROR(__xludf.DUMMYFUNCTION("""COMPUTED_VALUE"""),"harrydavidcastrosilva@gmail.com")</f>
        <v>harrydavidcastrosilva@gmail.com</v>
      </c>
      <c r="K821" s="40" t="str">
        <f ca="1">IFERROR(__xludf.DUMMYFUNCTION("""COMPUTED_VALUE"""),"pitalito")</f>
        <v>pitalito</v>
      </c>
      <c r="L821" s="40" t="str">
        <f ca="1">IFERROR(__xludf.DUMMYFUNCTION("""COMPUTED_VALUE"""),"NO HA INICIADO ETAPA PRODUCTIVA")</f>
        <v>NO HA INICIADO ETAPA PRODUCTIVA</v>
      </c>
      <c r="M821" s="40"/>
      <c r="N821" s="40"/>
      <c r="O821" s="40"/>
      <c r="P821" s="40"/>
      <c r="Q821" s="40"/>
      <c r="R821" s="140"/>
      <c r="S821" s="1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t="str">
        <f ca="1">IFERROR(__xludf.DUMMYFUNCTION("""COMPUTED_VALUE"""),"NO_CUMPLE")</f>
        <v>NO_CUMPLE</v>
      </c>
      <c r="AV821" s="40" t="str">
        <f ca="1">IFERROR(__xludf.DUMMYFUNCTION("""COMPUTED_VALUE"""),"EN FORMACION")</f>
        <v>EN FORMACION</v>
      </c>
      <c r="AW821" s="40" t="str">
        <f ca="1">IFERROR(__xludf.DUMMYFUNCTION("""COMPUTED_VALUE"""),"TIC")</f>
        <v>TIC</v>
      </c>
      <c r="AX821" s="141">
        <f ca="1">IFERROR(__xludf.DUMMYFUNCTION("""COMPUTED_VALUE"""),1)</f>
        <v>1</v>
      </c>
      <c r="AY821" s="40">
        <f ca="1">IFERROR(__xludf.DUMMYFUNCTION("""COMPUTED_VALUE"""),1)</f>
        <v>1</v>
      </c>
      <c r="AZ821" s="40">
        <f ca="1">IFERROR(__xludf.DUMMYFUNCTION("""COMPUTED_VALUE"""),1)</f>
        <v>1</v>
      </c>
      <c r="BA821" s="40">
        <f ca="1">IFERROR(__xludf.DUMMYFUNCTION("""COMPUTED_VALUE"""),0)</f>
        <v>0</v>
      </c>
      <c r="BB821" s="40">
        <f ca="1">IFERROR(__xludf.DUMMYFUNCTION("""COMPUTED_VALUE"""),0)</f>
        <v>0</v>
      </c>
      <c r="BC821" s="40">
        <f ca="1">IFERROR(__xludf.DUMMYFUNCTION("""COMPUTED_VALUE"""),2)</f>
        <v>2</v>
      </c>
      <c r="BD821" s="141">
        <f ca="1">IFERROR(__xludf.DUMMYFUNCTION("""COMPUTED_VALUE"""),44270)</f>
        <v>44270</v>
      </c>
      <c r="BE821" s="141">
        <f ca="1">IFERROR(__xludf.DUMMYFUNCTION("""COMPUTED_VALUE"""),44818)</f>
        <v>44818</v>
      </c>
      <c r="BF821" s="141">
        <f ca="1">IFERROR(__xludf.DUMMYFUNCTION("""COMPUTED_VALUE"""),44999)</f>
        <v>44999</v>
      </c>
      <c r="BG821" s="141">
        <f ca="1">IFERROR(__xludf.DUMMYFUNCTION("""COMPUTED_VALUE"""),45549)</f>
        <v>45549</v>
      </c>
      <c r="BH821" s="40" t="str">
        <f ca="1">IFERROR(__xludf.DUMMYFUNCTION("""COMPUTED_VALUE"""),"FICHA EN TIEMPO-18 MESES")</f>
        <v>FICHA EN TIEMPO-18 MESES</v>
      </c>
      <c r="BI821" s="40" t="str">
        <f ca="1">IFERROR(__xludf.DUMMYFUNCTION("""COMPUTED_VALUE"""),"En ejecucion")</f>
        <v>En ejecucion</v>
      </c>
      <c r="BJ821" s="40" t="str">
        <f ca="1">IFERROR(__xludf.DUMMYFUNCTION("""COMPUTED_VALUE"""),"Yamboro")</f>
        <v>Yamboro</v>
      </c>
      <c r="BK821" s="40"/>
      <c r="BL821" s="40"/>
    </row>
    <row r="822" spans="1:64" ht="13">
      <c r="A822" s="40"/>
      <c r="B822" s="40" t="str">
        <f ca="1">IFERROR(__xludf.DUMMYFUNCTION("""COMPUTED_VALUE"""),"FORMACIÓN 18/10/2022")</f>
        <v>FORMACIÓN 18/10/2022</v>
      </c>
      <c r="C822" s="40" t="str">
        <f ca="1">IFERROR(__xludf.DUMMYFUNCTION("""COMPUTED_VALUE"""),"JOHANA ESTEFANIA LOPERA MAZO")</f>
        <v>JOHANA ESTEFANIA LOPERA MAZO</v>
      </c>
      <c r="D822" s="40" t="str">
        <f ca="1">IFERROR(__xludf.DUMMYFUNCTION("""COMPUTED_VALUE"""),"CC")</f>
        <v>CC</v>
      </c>
      <c r="E822" s="40">
        <f ca="1">IFERROR(__xludf.DUMMYFUNCTION("""COMPUTED_VALUE"""),1001480346)</f>
        <v>1001480346</v>
      </c>
      <c r="F822" s="40">
        <f ca="1">IFERROR(__xludf.DUMMYFUNCTION("""COMPUTED_VALUE"""),2282140)</f>
        <v>2282140</v>
      </c>
      <c r="G822" s="40" t="str">
        <f ca="1">IFERROR(__xludf.DUMMYFUNCTION("""COMPUTED_VALUE"""),"TECNÓLOGO")</f>
        <v>TECNÓLOGO</v>
      </c>
      <c r="H822" s="40" t="str">
        <f ca="1">IFERROR(__xludf.DUMMYFUNCTION("""COMPUTED_VALUE"""),"ANALISIS Y DESARROLLO DE SISTEMAS DE INFORMACION")</f>
        <v>ANALISIS Y DESARROLLO DE SISTEMAS DE INFORMACION</v>
      </c>
      <c r="I822" s="40"/>
      <c r="J822" s="40" t="str">
        <f ca="1">IFERROR(__xludf.DUMMYFUNCTION("""COMPUTED_VALUE"""),"jhoanalopera34@gmail.com")</f>
        <v>jhoanalopera34@gmail.com</v>
      </c>
      <c r="K822" s="40" t="str">
        <f ca="1">IFERROR(__xludf.DUMMYFUNCTION("""COMPUTED_VALUE"""),"pitalito")</f>
        <v>pitalito</v>
      </c>
      <c r="L822" s="40" t="str">
        <f ca="1">IFERROR(__xludf.DUMMYFUNCTION("""COMPUTED_VALUE"""),"NO HA INICIADO ETAPA PRODUCTIVA")</f>
        <v>NO HA INICIADO ETAPA PRODUCTIVA</v>
      </c>
      <c r="M822" s="40"/>
      <c r="N822" s="40"/>
      <c r="O822" s="40"/>
      <c r="P822" s="40"/>
      <c r="Q822" s="40"/>
      <c r="R822" s="140"/>
      <c r="S822" s="1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t="str">
        <f ca="1">IFERROR(__xludf.DUMMYFUNCTION("""COMPUTED_VALUE"""),"NO_CUMPLE")</f>
        <v>NO_CUMPLE</v>
      </c>
      <c r="AV822" s="40" t="str">
        <f ca="1">IFERROR(__xludf.DUMMYFUNCTION("""COMPUTED_VALUE"""),"EN FORMACION")</f>
        <v>EN FORMACION</v>
      </c>
      <c r="AW822" s="40" t="str">
        <f ca="1">IFERROR(__xludf.DUMMYFUNCTION("""COMPUTED_VALUE"""),"TIC")</f>
        <v>TIC</v>
      </c>
      <c r="AX822" s="141">
        <f ca="1">IFERROR(__xludf.DUMMYFUNCTION("""COMPUTED_VALUE"""),1)</f>
        <v>1</v>
      </c>
      <c r="AY822" s="40">
        <f ca="1">IFERROR(__xludf.DUMMYFUNCTION("""COMPUTED_VALUE"""),1)</f>
        <v>1</v>
      </c>
      <c r="AZ822" s="40">
        <f ca="1">IFERROR(__xludf.DUMMYFUNCTION("""COMPUTED_VALUE"""),1)</f>
        <v>1</v>
      </c>
      <c r="BA822" s="40">
        <f ca="1">IFERROR(__xludf.DUMMYFUNCTION("""COMPUTED_VALUE"""),0)</f>
        <v>0</v>
      </c>
      <c r="BB822" s="40">
        <f ca="1">IFERROR(__xludf.DUMMYFUNCTION("""COMPUTED_VALUE"""),0)</f>
        <v>0</v>
      </c>
      <c r="BC822" s="40">
        <f ca="1">IFERROR(__xludf.DUMMYFUNCTION("""COMPUTED_VALUE"""),2)</f>
        <v>2</v>
      </c>
      <c r="BD822" s="141">
        <f ca="1">IFERROR(__xludf.DUMMYFUNCTION("""COMPUTED_VALUE"""),44270)</f>
        <v>44270</v>
      </c>
      <c r="BE822" s="141">
        <f ca="1">IFERROR(__xludf.DUMMYFUNCTION("""COMPUTED_VALUE"""),44818)</f>
        <v>44818</v>
      </c>
      <c r="BF822" s="141">
        <f ca="1">IFERROR(__xludf.DUMMYFUNCTION("""COMPUTED_VALUE"""),44999)</f>
        <v>44999</v>
      </c>
      <c r="BG822" s="141">
        <f ca="1">IFERROR(__xludf.DUMMYFUNCTION("""COMPUTED_VALUE"""),45549)</f>
        <v>45549</v>
      </c>
      <c r="BH822" s="40" t="str">
        <f ca="1">IFERROR(__xludf.DUMMYFUNCTION("""COMPUTED_VALUE"""),"FICHA EN TIEMPO-18 MESES")</f>
        <v>FICHA EN TIEMPO-18 MESES</v>
      </c>
      <c r="BI822" s="40" t="str">
        <f ca="1">IFERROR(__xludf.DUMMYFUNCTION("""COMPUTED_VALUE"""),"En ejecucion")</f>
        <v>En ejecucion</v>
      </c>
      <c r="BJ822" s="40" t="str">
        <f ca="1">IFERROR(__xludf.DUMMYFUNCTION("""COMPUTED_VALUE"""),"Yamboro")</f>
        <v>Yamboro</v>
      </c>
      <c r="BK822" s="40"/>
      <c r="BL822" s="40"/>
    </row>
    <row r="823" spans="1:64" ht="13">
      <c r="A823" s="40"/>
      <c r="B823" s="40" t="str">
        <f ca="1">IFERROR(__xludf.DUMMYFUNCTION("""COMPUTED_VALUE"""),"CONDICIONADO 18/10/2022")</f>
        <v>CONDICIONADO 18/10/2022</v>
      </c>
      <c r="C823" s="40" t="str">
        <f ca="1">IFERROR(__xludf.DUMMYFUNCTION("""COMPUTED_VALUE"""),"JOSE DAVID RAMOS ANAYA")</f>
        <v>JOSE DAVID RAMOS ANAYA</v>
      </c>
      <c r="D823" s="40" t="str">
        <f ca="1">IFERROR(__xludf.DUMMYFUNCTION("""COMPUTED_VALUE"""),"TI")</f>
        <v>TI</v>
      </c>
      <c r="E823" s="40">
        <f ca="1">IFERROR(__xludf.DUMMYFUNCTION("""COMPUTED_VALUE"""),1067841935)</f>
        <v>1067841935</v>
      </c>
      <c r="F823" s="40">
        <f ca="1">IFERROR(__xludf.DUMMYFUNCTION("""COMPUTED_VALUE"""),2282140)</f>
        <v>2282140</v>
      </c>
      <c r="G823" s="40" t="str">
        <f ca="1">IFERROR(__xludf.DUMMYFUNCTION("""COMPUTED_VALUE"""),"TECNÓLOGO")</f>
        <v>TECNÓLOGO</v>
      </c>
      <c r="H823" s="40" t="str">
        <f ca="1">IFERROR(__xludf.DUMMYFUNCTION("""COMPUTED_VALUE"""),"ANALISIS Y DESARROLLO DE SISTEMAS DE INFORMACION")</f>
        <v>ANALISIS Y DESARROLLO DE SISTEMAS DE INFORMACION</v>
      </c>
      <c r="I823" s="40"/>
      <c r="J823" s="40" t="str">
        <f ca="1">IFERROR(__xludf.DUMMYFUNCTION("""COMPUTED_VALUE"""),"ramosanayajosedavid@gmail.com")</f>
        <v>ramosanayajosedavid@gmail.com</v>
      </c>
      <c r="K823" s="40" t="str">
        <f ca="1">IFERROR(__xludf.DUMMYFUNCTION("""COMPUTED_VALUE"""),"pitalito")</f>
        <v>pitalito</v>
      </c>
      <c r="L823" s="40" t="str">
        <f ca="1">IFERROR(__xludf.DUMMYFUNCTION("""COMPUTED_VALUE"""),"NO HA INICIADO ETAPA PRODUCTIVA")</f>
        <v>NO HA INICIADO ETAPA PRODUCTIVA</v>
      </c>
      <c r="M823" s="40"/>
      <c r="N823" s="40"/>
      <c r="O823" s="40"/>
      <c r="P823" s="40"/>
      <c r="Q823" s="40"/>
      <c r="R823" s="140"/>
      <c r="S823" s="1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t="str">
        <f ca="1">IFERROR(__xludf.DUMMYFUNCTION("""COMPUTED_VALUE"""),"NO_CUMPLE")</f>
        <v>NO_CUMPLE</v>
      </c>
      <c r="AV823" s="40" t="str">
        <f ca="1">IFERROR(__xludf.DUMMYFUNCTION("""COMPUTED_VALUE"""),"EN FORMACION")</f>
        <v>EN FORMACION</v>
      </c>
      <c r="AW823" s="40" t="str">
        <f ca="1">IFERROR(__xludf.DUMMYFUNCTION("""COMPUTED_VALUE"""),"TIC")</f>
        <v>TIC</v>
      </c>
      <c r="AX823" s="141">
        <f ca="1">IFERROR(__xludf.DUMMYFUNCTION("""COMPUTED_VALUE"""),4)</f>
        <v>4</v>
      </c>
      <c r="AY823" s="40">
        <f ca="1">IFERROR(__xludf.DUMMYFUNCTION("""COMPUTED_VALUE"""),4)</f>
        <v>4</v>
      </c>
      <c r="AZ823" s="40">
        <f ca="1">IFERROR(__xludf.DUMMYFUNCTION("""COMPUTED_VALUE"""),1)</f>
        <v>1</v>
      </c>
      <c r="BA823" s="40">
        <f ca="1">IFERROR(__xludf.DUMMYFUNCTION("""COMPUTED_VALUE"""),3)</f>
        <v>3</v>
      </c>
      <c r="BB823" s="40">
        <f ca="1">IFERROR(__xludf.DUMMYFUNCTION("""COMPUTED_VALUE"""),15)</f>
        <v>15</v>
      </c>
      <c r="BC823" s="40">
        <f ca="1">IFERROR(__xludf.DUMMYFUNCTION("""COMPUTED_VALUE"""),23)</f>
        <v>23</v>
      </c>
      <c r="BD823" s="141">
        <f ca="1">IFERROR(__xludf.DUMMYFUNCTION("""COMPUTED_VALUE"""),44270)</f>
        <v>44270</v>
      </c>
      <c r="BE823" s="141">
        <f ca="1">IFERROR(__xludf.DUMMYFUNCTION("""COMPUTED_VALUE"""),44818)</f>
        <v>44818</v>
      </c>
      <c r="BF823" s="141">
        <f ca="1">IFERROR(__xludf.DUMMYFUNCTION("""COMPUTED_VALUE"""),44999)</f>
        <v>44999</v>
      </c>
      <c r="BG823" s="141">
        <f ca="1">IFERROR(__xludf.DUMMYFUNCTION("""COMPUTED_VALUE"""),45549)</f>
        <v>45549</v>
      </c>
      <c r="BH823" s="40" t="str">
        <f ca="1">IFERROR(__xludf.DUMMYFUNCTION("""COMPUTED_VALUE"""),"FICHA EN TIEMPO-18 MESES")</f>
        <v>FICHA EN TIEMPO-18 MESES</v>
      </c>
      <c r="BI823" s="40" t="str">
        <f ca="1">IFERROR(__xludf.DUMMYFUNCTION("""COMPUTED_VALUE"""),"En ejecucion")</f>
        <v>En ejecucion</v>
      </c>
      <c r="BJ823" s="40" t="str">
        <f ca="1">IFERROR(__xludf.DUMMYFUNCTION("""COMPUTED_VALUE"""),"Yamboro")</f>
        <v>Yamboro</v>
      </c>
      <c r="BK823" s="40"/>
      <c r="BL823" s="40"/>
    </row>
    <row r="824" spans="1:64" ht="13">
      <c r="A824" s="40"/>
      <c r="B824" s="40" t="str">
        <f ca="1">IFERROR(__xludf.DUMMYFUNCTION("""COMPUTED_VALUE"""),"CONDICIONADO 18/10/2022")</f>
        <v>CONDICIONADO 18/10/2022</v>
      </c>
      <c r="C824" s="40" t="str">
        <f ca="1">IFERROR(__xludf.DUMMYFUNCTION("""COMPUTED_VALUE"""),"RAFAEL DANIEL JIMENEZ DUARTE")</f>
        <v>RAFAEL DANIEL JIMENEZ DUARTE</v>
      </c>
      <c r="D824" s="40" t="str">
        <f ca="1">IFERROR(__xludf.DUMMYFUNCTION("""COMPUTED_VALUE"""),"CC")</f>
        <v>CC</v>
      </c>
      <c r="E824" s="40">
        <f ca="1">IFERROR(__xludf.DUMMYFUNCTION("""COMPUTED_VALUE"""),1095825606)</f>
        <v>1095825606</v>
      </c>
      <c r="F824" s="40">
        <f ca="1">IFERROR(__xludf.DUMMYFUNCTION("""COMPUTED_VALUE"""),2282140)</f>
        <v>2282140</v>
      </c>
      <c r="G824" s="40" t="str">
        <f ca="1">IFERROR(__xludf.DUMMYFUNCTION("""COMPUTED_VALUE"""),"TECNÓLOGO")</f>
        <v>TECNÓLOGO</v>
      </c>
      <c r="H824" s="40" t="str">
        <f ca="1">IFERROR(__xludf.DUMMYFUNCTION("""COMPUTED_VALUE"""),"ANALISIS Y DESARROLLO DE SISTEMAS DE INFORMACION")</f>
        <v>ANALISIS Y DESARROLLO DE SISTEMAS DE INFORMACION</v>
      </c>
      <c r="I824" s="40"/>
      <c r="J824" s="40" t="str">
        <f ca="1">IFERROR(__xludf.DUMMYFUNCTION("""COMPUTED_VALUE"""),"rdanielj31@hotmail.com")</f>
        <v>rdanielj31@hotmail.com</v>
      </c>
      <c r="K824" s="40" t="str">
        <f ca="1">IFERROR(__xludf.DUMMYFUNCTION("""COMPUTED_VALUE"""),"pitalito")</f>
        <v>pitalito</v>
      </c>
      <c r="L824" s="40" t="str">
        <f ca="1">IFERROR(__xludf.DUMMYFUNCTION("""COMPUTED_VALUE"""),"NO HA INICIADO ETAPA PRODUCTIVA")</f>
        <v>NO HA INICIADO ETAPA PRODUCTIVA</v>
      </c>
      <c r="M824" s="40"/>
      <c r="N824" s="40"/>
      <c r="O824" s="40"/>
      <c r="P824" s="40"/>
      <c r="Q824" s="40"/>
      <c r="R824" s="140"/>
      <c r="S824" s="1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t="str">
        <f ca="1">IFERROR(__xludf.DUMMYFUNCTION("""COMPUTED_VALUE"""),"NO_CUMPLE")</f>
        <v>NO_CUMPLE</v>
      </c>
      <c r="AV824" s="40" t="str">
        <f ca="1">IFERROR(__xludf.DUMMYFUNCTION("""COMPUTED_VALUE"""),"EN FORMACION")</f>
        <v>EN FORMACION</v>
      </c>
      <c r="AW824" s="40" t="str">
        <f ca="1">IFERROR(__xludf.DUMMYFUNCTION("""COMPUTED_VALUE"""),"TIC")</f>
        <v>TIC</v>
      </c>
      <c r="AX824" s="141">
        <f ca="1">IFERROR(__xludf.DUMMYFUNCTION("""COMPUTED_VALUE"""),1)</f>
        <v>1</v>
      </c>
      <c r="AY824" s="40">
        <f ca="1">IFERROR(__xludf.DUMMYFUNCTION("""COMPUTED_VALUE"""),1)</f>
        <v>1</v>
      </c>
      <c r="AZ824" s="40">
        <f ca="1">IFERROR(__xludf.DUMMYFUNCTION("""COMPUTED_VALUE"""),1)</f>
        <v>1</v>
      </c>
      <c r="BA824" s="40">
        <f ca="1">IFERROR(__xludf.DUMMYFUNCTION("""COMPUTED_VALUE"""),3)</f>
        <v>3</v>
      </c>
      <c r="BB824" s="40">
        <f ca="1">IFERROR(__xludf.DUMMYFUNCTION("""COMPUTED_VALUE"""),9)</f>
        <v>9</v>
      </c>
      <c r="BC824" s="40">
        <f ca="1">IFERROR(__xludf.DUMMYFUNCTION("""COMPUTED_VALUE"""),14)</f>
        <v>14</v>
      </c>
      <c r="BD824" s="141">
        <f ca="1">IFERROR(__xludf.DUMMYFUNCTION("""COMPUTED_VALUE"""),44270)</f>
        <v>44270</v>
      </c>
      <c r="BE824" s="141">
        <f ca="1">IFERROR(__xludf.DUMMYFUNCTION("""COMPUTED_VALUE"""),44818)</f>
        <v>44818</v>
      </c>
      <c r="BF824" s="141">
        <f ca="1">IFERROR(__xludf.DUMMYFUNCTION("""COMPUTED_VALUE"""),44999)</f>
        <v>44999</v>
      </c>
      <c r="BG824" s="141">
        <f ca="1">IFERROR(__xludf.DUMMYFUNCTION("""COMPUTED_VALUE"""),45549)</f>
        <v>45549</v>
      </c>
      <c r="BH824" s="40" t="str">
        <f ca="1">IFERROR(__xludf.DUMMYFUNCTION("""COMPUTED_VALUE"""),"FICHA EN TIEMPO-18 MESES")</f>
        <v>FICHA EN TIEMPO-18 MESES</v>
      </c>
      <c r="BI824" s="40" t="str">
        <f ca="1">IFERROR(__xludf.DUMMYFUNCTION("""COMPUTED_VALUE"""),"En ejecucion")</f>
        <v>En ejecucion</v>
      </c>
      <c r="BJ824" s="40" t="str">
        <f ca="1">IFERROR(__xludf.DUMMYFUNCTION("""COMPUTED_VALUE"""),"Yamboro")</f>
        <v>Yamboro</v>
      </c>
      <c r="BK824" s="40"/>
      <c r="BL824" s="40"/>
    </row>
    <row r="825" spans="1:64" ht="13">
      <c r="A825" s="40"/>
      <c r="B825" s="40" t="str">
        <f ca="1">IFERROR(__xludf.DUMMYFUNCTION("""COMPUTED_VALUE"""),"FORMACIÓN 18/10/2022")</f>
        <v>FORMACIÓN 18/10/2022</v>
      </c>
      <c r="C825" s="40" t="str">
        <f ca="1">IFERROR(__xludf.DUMMYFUNCTION("""COMPUTED_VALUE"""),"HECTOR JOSE ROMERO HINOJOZA")</f>
        <v>HECTOR JOSE ROMERO HINOJOZA</v>
      </c>
      <c r="D825" s="40" t="str">
        <f ca="1">IFERROR(__xludf.DUMMYFUNCTION("""COMPUTED_VALUE"""),"CC")</f>
        <v>CC</v>
      </c>
      <c r="E825" s="40">
        <f ca="1">IFERROR(__xludf.DUMMYFUNCTION("""COMPUTED_VALUE"""),1004463764)</f>
        <v>1004463764</v>
      </c>
      <c r="F825" s="40">
        <f ca="1">IFERROR(__xludf.DUMMYFUNCTION("""COMPUTED_VALUE"""),2282140)</f>
        <v>2282140</v>
      </c>
      <c r="G825" s="40" t="str">
        <f ca="1">IFERROR(__xludf.DUMMYFUNCTION("""COMPUTED_VALUE"""),"TECNÓLOGO")</f>
        <v>TECNÓLOGO</v>
      </c>
      <c r="H825" s="40" t="str">
        <f ca="1">IFERROR(__xludf.DUMMYFUNCTION("""COMPUTED_VALUE"""),"ANALISIS Y DESARROLLO DE SISTEMAS DE INFORMACION")</f>
        <v>ANALISIS Y DESARROLLO DE SISTEMAS DE INFORMACION</v>
      </c>
      <c r="I825" s="40"/>
      <c r="J825" s="40" t="str">
        <f ca="1">IFERROR(__xludf.DUMMYFUNCTION("""COMPUTED_VALUE"""),"romerohinojosahector@gmail.com")</f>
        <v>romerohinojosahector@gmail.com</v>
      </c>
      <c r="K825" s="40" t="str">
        <f ca="1">IFERROR(__xludf.DUMMYFUNCTION("""COMPUTED_VALUE"""),"pitalito")</f>
        <v>pitalito</v>
      </c>
      <c r="L825" s="40" t="str">
        <f ca="1">IFERROR(__xludf.DUMMYFUNCTION("""COMPUTED_VALUE"""),"NO HA INICIADO ETAPA PRODUCTIVA")</f>
        <v>NO HA INICIADO ETAPA PRODUCTIVA</v>
      </c>
      <c r="M825" s="40"/>
      <c r="N825" s="40"/>
      <c r="O825" s="40"/>
      <c r="P825" s="40"/>
      <c r="Q825" s="40"/>
      <c r="R825" s="140"/>
      <c r="S825" s="1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t="str">
        <f ca="1">IFERROR(__xludf.DUMMYFUNCTION("""COMPUTED_VALUE"""),"NO_CUMPLE")</f>
        <v>NO_CUMPLE</v>
      </c>
      <c r="AV825" s="40" t="str">
        <f ca="1">IFERROR(__xludf.DUMMYFUNCTION("""COMPUTED_VALUE"""),"EN FORMACION")</f>
        <v>EN FORMACION</v>
      </c>
      <c r="AW825" s="40" t="str">
        <f ca="1">IFERROR(__xludf.DUMMYFUNCTION("""COMPUTED_VALUE"""),"TIC")</f>
        <v>TIC</v>
      </c>
      <c r="AX825" s="141">
        <f ca="1">IFERROR(__xludf.DUMMYFUNCTION("""COMPUTED_VALUE"""),1)</f>
        <v>1</v>
      </c>
      <c r="AY825" s="40">
        <f ca="1">IFERROR(__xludf.DUMMYFUNCTION("""COMPUTED_VALUE"""),1)</f>
        <v>1</v>
      </c>
      <c r="AZ825" s="40">
        <f ca="1">IFERROR(__xludf.DUMMYFUNCTION("""COMPUTED_VALUE"""),1)</f>
        <v>1</v>
      </c>
      <c r="BA825" s="40">
        <f ca="1">IFERROR(__xludf.DUMMYFUNCTION("""COMPUTED_VALUE"""),0)</f>
        <v>0</v>
      </c>
      <c r="BB825" s="40">
        <f ca="1">IFERROR(__xludf.DUMMYFUNCTION("""COMPUTED_VALUE"""),0)</f>
        <v>0</v>
      </c>
      <c r="BC825" s="40">
        <f ca="1">IFERROR(__xludf.DUMMYFUNCTION("""COMPUTED_VALUE"""),2)</f>
        <v>2</v>
      </c>
      <c r="BD825" s="141">
        <f ca="1">IFERROR(__xludf.DUMMYFUNCTION("""COMPUTED_VALUE"""),44270)</f>
        <v>44270</v>
      </c>
      <c r="BE825" s="141">
        <f ca="1">IFERROR(__xludf.DUMMYFUNCTION("""COMPUTED_VALUE"""),44818)</f>
        <v>44818</v>
      </c>
      <c r="BF825" s="141">
        <f ca="1">IFERROR(__xludf.DUMMYFUNCTION("""COMPUTED_VALUE"""),44999)</f>
        <v>44999</v>
      </c>
      <c r="BG825" s="141">
        <f ca="1">IFERROR(__xludf.DUMMYFUNCTION("""COMPUTED_VALUE"""),45549)</f>
        <v>45549</v>
      </c>
      <c r="BH825" s="40" t="str">
        <f ca="1">IFERROR(__xludf.DUMMYFUNCTION("""COMPUTED_VALUE"""),"FICHA EN TIEMPO-18 MESES")</f>
        <v>FICHA EN TIEMPO-18 MESES</v>
      </c>
      <c r="BI825" s="40" t="str">
        <f ca="1">IFERROR(__xludf.DUMMYFUNCTION("""COMPUTED_VALUE"""),"En ejecucion")</f>
        <v>En ejecucion</v>
      </c>
      <c r="BJ825" s="40" t="str">
        <f ca="1">IFERROR(__xludf.DUMMYFUNCTION("""COMPUTED_VALUE"""),"Yamboro")</f>
        <v>Yamboro</v>
      </c>
      <c r="BK825" s="40"/>
      <c r="BL825" s="40"/>
    </row>
    <row r="826" spans="1:64" ht="13">
      <c r="A826" s="40"/>
      <c r="B826" s="40" t="str">
        <f ca="1">IFERROR(__xludf.DUMMYFUNCTION("""COMPUTED_VALUE"""),"FORMACIÓN 18/10/2022")</f>
        <v>FORMACIÓN 18/10/2022</v>
      </c>
      <c r="C826" s="40" t="str">
        <f ca="1">IFERROR(__xludf.DUMMYFUNCTION("""COMPUTED_VALUE"""),"JUAN SEBASTIAN LEON HENAO")</f>
        <v>JUAN SEBASTIAN LEON HENAO</v>
      </c>
      <c r="D826" s="40" t="str">
        <f ca="1">IFERROR(__xludf.DUMMYFUNCTION("""COMPUTED_VALUE"""),"CC")</f>
        <v>CC</v>
      </c>
      <c r="E826" s="40">
        <f ca="1">IFERROR(__xludf.DUMMYFUNCTION("""COMPUTED_VALUE"""),1091202236)</f>
        <v>1091202236</v>
      </c>
      <c r="F826" s="40">
        <f ca="1">IFERROR(__xludf.DUMMYFUNCTION("""COMPUTED_VALUE"""),2282140)</f>
        <v>2282140</v>
      </c>
      <c r="G826" s="40" t="str">
        <f ca="1">IFERROR(__xludf.DUMMYFUNCTION("""COMPUTED_VALUE"""),"TECNÓLOGO")</f>
        <v>TECNÓLOGO</v>
      </c>
      <c r="H826" s="40" t="str">
        <f ca="1">IFERROR(__xludf.DUMMYFUNCTION("""COMPUTED_VALUE"""),"ANALISIS Y DESARROLLO DE SISTEMAS DE INFORMACION")</f>
        <v>ANALISIS Y DESARROLLO DE SISTEMAS DE INFORMACION</v>
      </c>
      <c r="I826" s="40"/>
      <c r="J826" s="40" t="str">
        <f ca="1">IFERROR(__xludf.DUMMYFUNCTION("""COMPUTED_VALUE"""),"sleonhenao@gmail.com")</f>
        <v>sleonhenao@gmail.com</v>
      </c>
      <c r="K826" s="40" t="str">
        <f ca="1">IFERROR(__xludf.DUMMYFUNCTION("""COMPUTED_VALUE"""),"pitalito")</f>
        <v>pitalito</v>
      </c>
      <c r="L826" s="40" t="str">
        <f ca="1">IFERROR(__xludf.DUMMYFUNCTION("""COMPUTED_VALUE"""),"NO HA INICIADO ETAPA PRODUCTIVA")</f>
        <v>NO HA INICIADO ETAPA PRODUCTIVA</v>
      </c>
      <c r="M826" s="40"/>
      <c r="N826" s="40"/>
      <c r="O826" s="40"/>
      <c r="P826" s="40"/>
      <c r="Q826" s="40"/>
      <c r="R826" s="140"/>
      <c r="S826" s="1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t="str">
        <f ca="1">IFERROR(__xludf.DUMMYFUNCTION("""COMPUTED_VALUE"""),"NO_CUMPLE")</f>
        <v>NO_CUMPLE</v>
      </c>
      <c r="AV826" s="40" t="str">
        <f ca="1">IFERROR(__xludf.DUMMYFUNCTION("""COMPUTED_VALUE"""),"EN FORMACION")</f>
        <v>EN FORMACION</v>
      </c>
      <c r="AW826" s="40" t="str">
        <f ca="1">IFERROR(__xludf.DUMMYFUNCTION("""COMPUTED_VALUE"""),"TIC")</f>
        <v>TIC</v>
      </c>
      <c r="AX826" s="141">
        <f ca="1">IFERROR(__xludf.DUMMYFUNCTION("""COMPUTED_VALUE"""),1)</f>
        <v>1</v>
      </c>
      <c r="AY826" s="40">
        <f ca="1">IFERROR(__xludf.DUMMYFUNCTION("""COMPUTED_VALUE"""),1)</f>
        <v>1</v>
      </c>
      <c r="AZ826" s="40">
        <f ca="1">IFERROR(__xludf.DUMMYFUNCTION("""COMPUTED_VALUE"""),1)</f>
        <v>1</v>
      </c>
      <c r="BA826" s="40">
        <f ca="1">IFERROR(__xludf.DUMMYFUNCTION("""COMPUTED_VALUE"""),0)</f>
        <v>0</v>
      </c>
      <c r="BB826" s="40">
        <f ca="1">IFERROR(__xludf.DUMMYFUNCTION("""COMPUTED_VALUE"""),0)</f>
        <v>0</v>
      </c>
      <c r="BC826" s="40">
        <f ca="1">IFERROR(__xludf.DUMMYFUNCTION("""COMPUTED_VALUE"""),2)</f>
        <v>2</v>
      </c>
      <c r="BD826" s="141">
        <f ca="1">IFERROR(__xludf.DUMMYFUNCTION("""COMPUTED_VALUE"""),44270)</f>
        <v>44270</v>
      </c>
      <c r="BE826" s="141">
        <f ca="1">IFERROR(__xludf.DUMMYFUNCTION("""COMPUTED_VALUE"""),44818)</f>
        <v>44818</v>
      </c>
      <c r="BF826" s="141">
        <f ca="1">IFERROR(__xludf.DUMMYFUNCTION("""COMPUTED_VALUE"""),44999)</f>
        <v>44999</v>
      </c>
      <c r="BG826" s="141">
        <f ca="1">IFERROR(__xludf.DUMMYFUNCTION("""COMPUTED_VALUE"""),45549)</f>
        <v>45549</v>
      </c>
      <c r="BH826" s="40" t="str">
        <f ca="1">IFERROR(__xludf.DUMMYFUNCTION("""COMPUTED_VALUE"""),"FICHA EN TIEMPO-18 MESES")</f>
        <v>FICHA EN TIEMPO-18 MESES</v>
      </c>
      <c r="BI826" s="40" t="str">
        <f ca="1">IFERROR(__xludf.DUMMYFUNCTION("""COMPUTED_VALUE"""),"En ejecucion")</f>
        <v>En ejecucion</v>
      </c>
      <c r="BJ826" s="40" t="str">
        <f ca="1">IFERROR(__xludf.DUMMYFUNCTION("""COMPUTED_VALUE"""),"Yamboro")</f>
        <v>Yamboro</v>
      </c>
      <c r="BK826" s="40"/>
      <c r="BL826" s="40"/>
    </row>
    <row r="827" spans="1:64" ht="13">
      <c r="A827" s="40"/>
      <c r="B827" s="40" t="str">
        <f ca="1">IFERROR(__xludf.DUMMYFUNCTION("""COMPUTED_VALUE"""),"FORMACIÓN 18/10/2022")</f>
        <v>FORMACIÓN 18/10/2022</v>
      </c>
      <c r="C827" s="40" t="str">
        <f ca="1">IFERROR(__xludf.DUMMYFUNCTION("""COMPUTED_VALUE"""),"ASHLY JINETH RODRIGUEZ SANCHEZ")</f>
        <v>ASHLY JINETH RODRIGUEZ SANCHEZ</v>
      </c>
      <c r="D827" s="40" t="str">
        <f ca="1">IFERROR(__xludf.DUMMYFUNCTION("""COMPUTED_VALUE"""),"TI")</f>
        <v>TI</v>
      </c>
      <c r="E827" s="40">
        <f ca="1">IFERROR(__xludf.DUMMYFUNCTION("""COMPUTED_VALUE"""),1000065936)</f>
        <v>1000065936</v>
      </c>
      <c r="F827" s="40">
        <f ca="1">IFERROR(__xludf.DUMMYFUNCTION("""COMPUTED_VALUE"""),2282078)</f>
        <v>2282078</v>
      </c>
      <c r="G827" s="40" t="str">
        <f ca="1">IFERROR(__xludf.DUMMYFUNCTION("""COMPUTED_VALUE"""),"TECNÓLOGO")</f>
        <v>TECNÓLOGO</v>
      </c>
      <c r="H827" s="40" t="str">
        <f ca="1">IFERROR(__xludf.DUMMYFUNCTION("""COMPUTED_VALUE"""),"ANALISIS Y DESARROLLO DE SISTEMAS DE INFORMACION")</f>
        <v>ANALISIS Y DESARROLLO DE SISTEMAS DE INFORMACION</v>
      </c>
      <c r="I827" s="40"/>
      <c r="J827" s="40"/>
      <c r="K827" s="40"/>
      <c r="L827" s="40" t="str">
        <f ca="1">IFERROR(__xludf.DUMMYFUNCTION("""COMPUTED_VALUE"""),"NO HA INICIADO ETAPA PRODUCTIVA")</f>
        <v>NO HA INICIADO ETAPA PRODUCTIVA</v>
      </c>
      <c r="M827" s="40"/>
      <c r="N827" s="40"/>
      <c r="O827" s="40"/>
      <c r="P827" s="40"/>
      <c r="Q827" s="40"/>
      <c r="R827" s="140"/>
      <c r="S827" s="1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t="str">
        <f ca="1">IFERROR(__xludf.DUMMYFUNCTION("""COMPUTED_VALUE"""),"NO_CUMPLE")</f>
        <v>NO_CUMPLE</v>
      </c>
      <c r="AV827" s="40" t="str">
        <f ca="1">IFERROR(__xludf.DUMMYFUNCTION("""COMPUTED_VALUE"""),"EN FORMACION")</f>
        <v>EN FORMACION</v>
      </c>
      <c r="AW827" s="40" t="str">
        <f ca="1">IFERROR(__xludf.DUMMYFUNCTION("""COMPUTED_VALUE"""),"TIC")</f>
        <v>TIC</v>
      </c>
      <c r="AX827" s="141">
        <f ca="1">IFERROR(__xludf.DUMMYFUNCTION("""COMPUTED_VALUE"""),5)</f>
        <v>5</v>
      </c>
      <c r="AY827" s="40">
        <f ca="1">IFERROR(__xludf.DUMMYFUNCTION("""COMPUTED_VALUE"""),5)</f>
        <v>5</v>
      </c>
      <c r="AZ827" s="40">
        <f ca="1">IFERROR(__xludf.DUMMYFUNCTION("""COMPUTED_VALUE"""),1)</f>
        <v>1</v>
      </c>
      <c r="BA827" s="40">
        <f ca="1">IFERROR(__xludf.DUMMYFUNCTION("""COMPUTED_VALUE"""),13)</f>
        <v>13</v>
      </c>
      <c r="BB827" s="40">
        <f ca="1">IFERROR(__xludf.DUMMYFUNCTION("""COMPUTED_VALUE"""),29)</f>
        <v>29</v>
      </c>
      <c r="BC827" s="40">
        <f ca="1">IFERROR(__xludf.DUMMYFUNCTION("""COMPUTED_VALUE"""),48)</f>
        <v>48</v>
      </c>
      <c r="BD827" s="141">
        <f ca="1">IFERROR(__xludf.DUMMYFUNCTION("""COMPUTED_VALUE"""),44270)</f>
        <v>44270</v>
      </c>
      <c r="BE827" s="141">
        <f ca="1">IFERROR(__xludf.DUMMYFUNCTION("""COMPUTED_VALUE"""),44818)</f>
        <v>44818</v>
      </c>
      <c r="BF827" s="141">
        <f ca="1">IFERROR(__xludf.DUMMYFUNCTION("""COMPUTED_VALUE"""),44999)</f>
        <v>44999</v>
      </c>
      <c r="BG827" s="141">
        <f ca="1">IFERROR(__xludf.DUMMYFUNCTION("""COMPUTED_VALUE"""),45549)</f>
        <v>45549</v>
      </c>
      <c r="BH827" s="40" t="str">
        <f ca="1">IFERROR(__xludf.DUMMYFUNCTION("""COMPUTED_VALUE"""),"FICHA EN TIEMPO-18 MESES")</f>
        <v>FICHA EN TIEMPO-18 MESES</v>
      </c>
      <c r="BI827" s="40" t="str">
        <f ca="1">IFERROR(__xludf.DUMMYFUNCTION("""COMPUTED_VALUE"""),"En ejecucion")</f>
        <v>En ejecucion</v>
      </c>
      <c r="BJ827" s="40" t="str">
        <f ca="1">IFERROR(__xludf.DUMMYFUNCTION("""COMPUTED_VALUE"""),"Yamboro")</f>
        <v>Yamboro</v>
      </c>
      <c r="BK827" s="40"/>
      <c r="BL827" s="40"/>
    </row>
    <row r="828" spans="1:64" ht="13">
      <c r="A828" s="40"/>
      <c r="B828" s="40" t="str">
        <f ca="1">IFERROR(__xludf.DUMMYFUNCTION("""COMPUTED_VALUE"""),"FORMACIÓN 18/10/2022")</f>
        <v>FORMACIÓN 18/10/2022</v>
      </c>
      <c r="C828" s="40" t="str">
        <f ca="1">IFERROR(__xludf.DUMMYFUNCTION("""COMPUTED_VALUE"""),"DAVID SANTIAGO PARRA BARRERA")</f>
        <v>DAVID SANTIAGO PARRA BARRERA</v>
      </c>
      <c r="D828" s="40" t="str">
        <f ca="1">IFERROR(__xludf.DUMMYFUNCTION("""COMPUTED_VALUE"""),"CC")</f>
        <v>CC</v>
      </c>
      <c r="E828" s="40">
        <f ca="1">IFERROR(__xludf.DUMMYFUNCTION("""COMPUTED_VALUE"""),1001078276)</f>
        <v>1001078276</v>
      </c>
      <c r="F828" s="40">
        <f ca="1">IFERROR(__xludf.DUMMYFUNCTION("""COMPUTED_VALUE"""),2282078)</f>
        <v>2282078</v>
      </c>
      <c r="G828" s="40" t="str">
        <f ca="1">IFERROR(__xludf.DUMMYFUNCTION("""COMPUTED_VALUE"""),"TECNÓLOGO")</f>
        <v>TECNÓLOGO</v>
      </c>
      <c r="H828" s="40" t="str">
        <f ca="1">IFERROR(__xludf.DUMMYFUNCTION("""COMPUTED_VALUE"""),"ANALISIS Y DESARROLLO DE SISTEMAS DE INFORMACION")</f>
        <v>ANALISIS Y DESARROLLO DE SISTEMAS DE INFORMACION</v>
      </c>
      <c r="I828" s="40">
        <f ca="1">IFERROR(__xludf.DUMMYFUNCTION("""COMPUTED_VALUE"""),5717415400)</f>
        <v>5717415400</v>
      </c>
      <c r="J828" s="40" t="str">
        <f ca="1">IFERROR(__xludf.DUMMYFUNCTION("""COMPUTED_VALUE"""),"santiagoparra924@gmail.com")</f>
        <v>santiagoparra924@gmail.com</v>
      </c>
      <c r="K828" s="40" t="str">
        <f ca="1">IFERROR(__xludf.DUMMYFUNCTION("""COMPUTED_VALUE"""),"BOGOTA ")</f>
        <v xml:space="preserve">BOGOTA </v>
      </c>
      <c r="L828" s="40" t="str">
        <f ca="1">IFERROR(__xludf.DUMMYFUNCTION("""COMPUTED_VALUE"""),"CONTRATO DE APRENDIZAJE ")</f>
        <v xml:space="preserve">CONTRATO DE APRENDIZAJE </v>
      </c>
      <c r="M828" s="40" t="str">
        <f ca="1">IFERROR(__xludf.DUMMYFUNCTION("""COMPUTED_VALUE"""),"GRUPO MOK COLOMBIA S.A.S.")</f>
        <v>GRUPO MOK COLOMBIA S.A.S.</v>
      </c>
      <c r="N828" s="40" t="str">
        <f ca="1">IFERROR(__xludf.DUMMYFUNCTION("""COMPUTED_VALUE"""),"Calle 94 A # 13 42")</f>
        <v>Calle 94 A # 13 42</v>
      </c>
      <c r="O828" s="40">
        <f ca="1">IFERROR(__xludf.DUMMYFUNCTION("""COMPUTED_VALUE"""),3183125388)</f>
        <v>3183125388</v>
      </c>
      <c r="P828" s="40" t="str">
        <f ca="1">IFERROR(__xludf.DUMMYFUNCTION("""COMPUTED_VALUE"""),"BOGOTA ")</f>
        <v xml:space="preserve">BOGOTA </v>
      </c>
      <c r="Q828" s="40" t="str">
        <f ca="1">IFERROR(__xludf.DUMMYFUNCTION("""COMPUTED_VALUE"""),"tatiana.salazar@grupomok.com")</f>
        <v>tatiana.salazar@grupomok.com</v>
      </c>
      <c r="R828" s="140">
        <f ca="1">IFERROR(__xludf.DUMMYFUNCTION("""COMPUTED_VALUE"""),44837)</f>
        <v>44837</v>
      </c>
      <c r="S828" s="140">
        <f ca="1">IFERROR(__xludf.DUMMYFUNCTION("""COMPUTED_VALUE"""),45018)</f>
        <v>45018</v>
      </c>
      <c r="T828" s="40"/>
      <c r="U828" s="40"/>
      <c r="V828" s="40" t="s">
        <v>650</v>
      </c>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t="str">
        <f ca="1">IFERROR(__xludf.DUMMYFUNCTION("""COMPUTED_VALUE"""),"NO_CUMPLE")</f>
        <v>NO_CUMPLE</v>
      </c>
      <c r="AV828" s="40" t="str">
        <f ca="1">IFERROR(__xludf.DUMMYFUNCTION("""COMPUTED_VALUE"""),"EN FORMACION")</f>
        <v>EN FORMACION</v>
      </c>
      <c r="AW828" s="40" t="str">
        <f ca="1">IFERROR(__xludf.DUMMYFUNCTION("""COMPUTED_VALUE"""),"TIC")</f>
        <v>TIC</v>
      </c>
      <c r="AX828" s="141">
        <f ca="1">IFERROR(__xludf.DUMMYFUNCTION("""COMPUTED_VALUE"""),1)</f>
        <v>1</v>
      </c>
      <c r="AY828" s="40">
        <f ca="1">IFERROR(__xludf.DUMMYFUNCTION("""COMPUTED_VALUE"""),1)</f>
        <v>1</v>
      </c>
      <c r="AZ828" s="40">
        <f ca="1">IFERROR(__xludf.DUMMYFUNCTION("""COMPUTED_VALUE"""),1)</f>
        <v>1</v>
      </c>
      <c r="BA828" s="40">
        <f ca="1">IFERROR(__xludf.DUMMYFUNCTION("""COMPUTED_VALUE"""),0)</f>
        <v>0</v>
      </c>
      <c r="BB828" s="40">
        <f ca="1">IFERROR(__xludf.DUMMYFUNCTION("""COMPUTED_VALUE"""),0)</f>
        <v>0</v>
      </c>
      <c r="BC828" s="40">
        <f ca="1">IFERROR(__xludf.DUMMYFUNCTION("""COMPUTED_VALUE"""),2)</f>
        <v>2</v>
      </c>
      <c r="BD828" s="141">
        <f ca="1">IFERROR(__xludf.DUMMYFUNCTION("""COMPUTED_VALUE"""),44270)</f>
        <v>44270</v>
      </c>
      <c r="BE828" s="141">
        <f ca="1">IFERROR(__xludf.DUMMYFUNCTION("""COMPUTED_VALUE"""),44818)</f>
        <v>44818</v>
      </c>
      <c r="BF828" s="141">
        <f ca="1">IFERROR(__xludf.DUMMYFUNCTION("""COMPUTED_VALUE"""),44999)</f>
        <v>44999</v>
      </c>
      <c r="BG828" s="141">
        <f ca="1">IFERROR(__xludf.DUMMYFUNCTION("""COMPUTED_VALUE"""),45549)</f>
        <v>45549</v>
      </c>
      <c r="BH828" s="40" t="str">
        <f ca="1">IFERROR(__xludf.DUMMYFUNCTION("""COMPUTED_VALUE"""),"FICHA EN TIEMPO-18 MESES")</f>
        <v>FICHA EN TIEMPO-18 MESES</v>
      </c>
      <c r="BI828" s="40" t="str">
        <f ca="1">IFERROR(__xludf.DUMMYFUNCTION("""COMPUTED_VALUE"""),"En ejecucion")</f>
        <v>En ejecucion</v>
      </c>
      <c r="BJ828" s="40" t="str">
        <f ca="1">IFERROR(__xludf.DUMMYFUNCTION("""COMPUTED_VALUE"""),"Yamboro")</f>
        <v>Yamboro</v>
      </c>
      <c r="BK828" s="40"/>
      <c r="BL828" s="40"/>
    </row>
    <row r="829" spans="1:64" ht="13">
      <c r="A829" s="40"/>
      <c r="B829" s="40" t="str">
        <f ca="1">IFERROR(__xludf.DUMMYFUNCTION("""COMPUTED_VALUE"""),"FORMACIÓN 18/10/2022")</f>
        <v>FORMACIÓN 18/10/2022</v>
      </c>
      <c r="C829" s="40" t="str">
        <f ca="1">IFERROR(__xludf.DUMMYFUNCTION("""COMPUTED_VALUE"""),"DAYANNA CAROLINA ROMERO HERRERA")</f>
        <v>DAYANNA CAROLINA ROMERO HERRERA</v>
      </c>
      <c r="D829" s="40" t="str">
        <f ca="1">IFERROR(__xludf.DUMMYFUNCTION("""COMPUTED_VALUE"""),"CC")</f>
        <v>CC</v>
      </c>
      <c r="E829" s="40">
        <f ca="1">IFERROR(__xludf.DUMMYFUNCTION("""COMPUTED_VALUE"""),1001273234)</f>
        <v>1001273234</v>
      </c>
      <c r="F829" s="40">
        <f ca="1">IFERROR(__xludf.DUMMYFUNCTION("""COMPUTED_VALUE"""),2282078)</f>
        <v>2282078</v>
      </c>
      <c r="G829" s="40" t="str">
        <f ca="1">IFERROR(__xludf.DUMMYFUNCTION("""COMPUTED_VALUE"""),"TECNÓLOGO")</f>
        <v>TECNÓLOGO</v>
      </c>
      <c r="H829" s="40" t="str">
        <f ca="1">IFERROR(__xludf.DUMMYFUNCTION("""COMPUTED_VALUE"""),"ANALISIS Y DESARROLLO DE SISTEMAS DE INFORMACION")</f>
        <v>ANALISIS Y DESARROLLO DE SISTEMAS DE INFORMACION</v>
      </c>
      <c r="I829" s="40"/>
      <c r="J829" s="40"/>
      <c r="K829" s="40"/>
      <c r="L829" s="40" t="str">
        <f ca="1">IFERROR(__xludf.DUMMYFUNCTION("""COMPUTED_VALUE"""),"NO HA INICIADO ETAPA PRODUCTIVA")</f>
        <v>NO HA INICIADO ETAPA PRODUCTIVA</v>
      </c>
      <c r="M829" s="40"/>
      <c r="N829" s="40"/>
      <c r="O829" s="40"/>
      <c r="P829" s="40"/>
      <c r="Q829" s="40"/>
      <c r="R829" s="140"/>
      <c r="S829" s="1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t="str">
        <f ca="1">IFERROR(__xludf.DUMMYFUNCTION("""COMPUTED_VALUE"""),"NO_CUMPLE")</f>
        <v>NO_CUMPLE</v>
      </c>
      <c r="AV829" s="40" t="str">
        <f ca="1">IFERROR(__xludf.DUMMYFUNCTION("""COMPUTED_VALUE"""),"EN FORMACION")</f>
        <v>EN FORMACION</v>
      </c>
      <c r="AW829" s="40" t="str">
        <f ca="1">IFERROR(__xludf.DUMMYFUNCTION("""COMPUTED_VALUE"""),"TIC")</f>
        <v>TIC</v>
      </c>
      <c r="AX829" s="141">
        <f ca="1">IFERROR(__xludf.DUMMYFUNCTION("""COMPUTED_VALUE"""),7)</f>
        <v>7</v>
      </c>
      <c r="AY829" s="40">
        <f ca="1">IFERROR(__xludf.DUMMYFUNCTION("""COMPUTED_VALUE"""),7)</f>
        <v>7</v>
      </c>
      <c r="AZ829" s="40">
        <f ca="1">IFERROR(__xludf.DUMMYFUNCTION("""COMPUTED_VALUE"""),1)</f>
        <v>1</v>
      </c>
      <c r="BA829" s="40">
        <f ca="1">IFERROR(__xludf.DUMMYFUNCTION("""COMPUTED_VALUE"""),13)</f>
        <v>13</v>
      </c>
      <c r="BB829" s="40">
        <f ca="1">IFERROR(__xludf.DUMMYFUNCTION("""COMPUTED_VALUE"""),33)</f>
        <v>33</v>
      </c>
      <c r="BC829" s="40">
        <f ca="1">IFERROR(__xludf.DUMMYFUNCTION("""COMPUTED_VALUE"""),54)</f>
        <v>54</v>
      </c>
      <c r="BD829" s="141">
        <f ca="1">IFERROR(__xludf.DUMMYFUNCTION("""COMPUTED_VALUE"""),44270)</f>
        <v>44270</v>
      </c>
      <c r="BE829" s="141">
        <f ca="1">IFERROR(__xludf.DUMMYFUNCTION("""COMPUTED_VALUE"""),44818)</f>
        <v>44818</v>
      </c>
      <c r="BF829" s="141">
        <f ca="1">IFERROR(__xludf.DUMMYFUNCTION("""COMPUTED_VALUE"""),44999)</f>
        <v>44999</v>
      </c>
      <c r="BG829" s="141">
        <f ca="1">IFERROR(__xludf.DUMMYFUNCTION("""COMPUTED_VALUE"""),45549)</f>
        <v>45549</v>
      </c>
      <c r="BH829" s="40" t="str">
        <f ca="1">IFERROR(__xludf.DUMMYFUNCTION("""COMPUTED_VALUE"""),"FICHA EN TIEMPO-18 MESES")</f>
        <v>FICHA EN TIEMPO-18 MESES</v>
      </c>
      <c r="BI829" s="40" t="str">
        <f ca="1">IFERROR(__xludf.DUMMYFUNCTION("""COMPUTED_VALUE"""),"En ejecucion")</f>
        <v>En ejecucion</v>
      </c>
      <c r="BJ829" s="40" t="str">
        <f ca="1">IFERROR(__xludf.DUMMYFUNCTION("""COMPUTED_VALUE"""),"Yamboro")</f>
        <v>Yamboro</v>
      </c>
      <c r="BK829" s="40"/>
      <c r="BL829" s="40"/>
    </row>
    <row r="830" spans="1:64" ht="13">
      <c r="A830" s="40"/>
      <c r="B830" s="40" t="str">
        <f ca="1">IFERROR(__xludf.DUMMYFUNCTION("""COMPUTED_VALUE"""),"FORMACIÓN 18/10/2022")</f>
        <v>FORMACIÓN 18/10/2022</v>
      </c>
      <c r="C830" s="40" t="str">
        <f ca="1">IFERROR(__xludf.DUMMYFUNCTION("""COMPUTED_VALUE"""),"MALER ANTONY ZAPATA TORRES")</f>
        <v>MALER ANTONY ZAPATA TORRES</v>
      </c>
      <c r="D830" s="40" t="str">
        <f ca="1">IFERROR(__xludf.DUMMYFUNCTION("""COMPUTED_VALUE"""),"CC")</f>
        <v>CC</v>
      </c>
      <c r="E830" s="40">
        <f ca="1">IFERROR(__xludf.DUMMYFUNCTION("""COMPUTED_VALUE"""),1001969575)</f>
        <v>1001969575</v>
      </c>
      <c r="F830" s="40">
        <f ca="1">IFERROR(__xludf.DUMMYFUNCTION("""COMPUTED_VALUE"""),2282078)</f>
        <v>2282078</v>
      </c>
      <c r="G830" s="40" t="str">
        <f ca="1">IFERROR(__xludf.DUMMYFUNCTION("""COMPUTED_VALUE"""),"TECNÓLOGO")</f>
        <v>TECNÓLOGO</v>
      </c>
      <c r="H830" s="40" t="str">
        <f ca="1">IFERROR(__xludf.DUMMYFUNCTION("""COMPUTED_VALUE"""),"ANALISIS Y DESARROLLO DE SISTEMAS DE INFORMACION")</f>
        <v>ANALISIS Y DESARROLLO DE SISTEMAS DE INFORMACION</v>
      </c>
      <c r="I830" s="40"/>
      <c r="J830" s="40"/>
      <c r="K830" s="40"/>
      <c r="L830" s="40" t="str">
        <f ca="1">IFERROR(__xludf.DUMMYFUNCTION("""COMPUTED_VALUE"""),"NO HA INICIADO ETAPA PRODUCTIVA")</f>
        <v>NO HA INICIADO ETAPA PRODUCTIVA</v>
      </c>
      <c r="M830" s="40"/>
      <c r="N830" s="40"/>
      <c r="O830" s="40"/>
      <c r="P830" s="40"/>
      <c r="Q830" s="40"/>
      <c r="R830" s="140"/>
      <c r="S830" s="1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t="str">
        <f ca="1">IFERROR(__xludf.DUMMYFUNCTION("""COMPUTED_VALUE"""),"NO_CUMPLE")</f>
        <v>NO_CUMPLE</v>
      </c>
      <c r="AV830" s="40" t="str">
        <f ca="1">IFERROR(__xludf.DUMMYFUNCTION("""COMPUTED_VALUE"""),"EN FORMACION")</f>
        <v>EN FORMACION</v>
      </c>
      <c r="AW830" s="40" t="str">
        <f ca="1">IFERROR(__xludf.DUMMYFUNCTION("""COMPUTED_VALUE"""),"TIC")</f>
        <v>TIC</v>
      </c>
      <c r="AX830" s="141">
        <f ca="1">IFERROR(__xludf.DUMMYFUNCTION("""COMPUTED_VALUE"""),9)</f>
        <v>9</v>
      </c>
      <c r="AY830" s="40">
        <f ca="1">IFERROR(__xludf.DUMMYFUNCTION("""COMPUTED_VALUE"""),9)</f>
        <v>9</v>
      </c>
      <c r="AZ830" s="40">
        <f ca="1">IFERROR(__xludf.DUMMYFUNCTION("""COMPUTED_VALUE"""),1)</f>
        <v>1</v>
      </c>
      <c r="BA830" s="40">
        <f ca="1">IFERROR(__xludf.DUMMYFUNCTION("""COMPUTED_VALUE"""),13)</f>
        <v>13</v>
      </c>
      <c r="BB830" s="40">
        <f ca="1">IFERROR(__xludf.DUMMYFUNCTION("""COMPUTED_VALUE"""),34)</f>
        <v>34</v>
      </c>
      <c r="BC830" s="40">
        <f ca="1">IFERROR(__xludf.DUMMYFUNCTION("""COMPUTED_VALUE"""),57)</f>
        <v>57</v>
      </c>
      <c r="BD830" s="141">
        <f ca="1">IFERROR(__xludf.DUMMYFUNCTION("""COMPUTED_VALUE"""),44270)</f>
        <v>44270</v>
      </c>
      <c r="BE830" s="141">
        <f ca="1">IFERROR(__xludf.DUMMYFUNCTION("""COMPUTED_VALUE"""),44818)</f>
        <v>44818</v>
      </c>
      <c r="BF830" s="141">
        <f ca="1">IFERROR(__xludf.DUMMYFUNCTION("""COMPUTED_VALUE"""),44999)</f>
        <v>44999</v>
      </c>
      <c r="BG830" s="141">
        <f ca="1">IFERROR(__xludf.DUMMYFUNCTION("""COMPUTED_VALUE"""),45549)</f>
        <v>45549</v>
      </c>
      <c r="BH830" s="40" t="str">
        <f ca="1">IFERROR(__xludf.DUMMYFUNCTION("""COMPUTED_VALUE"""),"FICHA EN TIEMPO-18 MESES")</f>
        <v>FICHA EN TIEMPO-18 MESES</v>
      </c>
      <c r="BI830" s="40" t="str">
        <f ca="1">IFERROR(__xludf.DUMMYFUNCTION("""COMPUTED_VALUE"""),"En ejecucion")</f>
        <v>En ejecucion</v>
      </c>
      <c r="BJ830" s="40" t="str">
        <f ca="1">IFERROR(__xludf.DUMMYFUNCTION("""COMPUTED_VALUE"""),"Yamboro")</f>
        <v>Yamboro</v>
      </c>
      <c r="BK830" s="40"/>
      <c r="BL830" s="40"/>
    </row>
    <row r="831" spans="1:64" ht="13">
      <c r="A831" s="40"/>
      <c r="B831" s="40" t="str">
        <f ca="1">IFERROR(__xludf.DUMMYFUNCTION("""COMPUTED_VALUE"""),"FORMACIÓN 18/10/2022")</f>
        <v>FORMACIÓN 18/10/2022</v>
      </c>
      <c r="C831" s="40" t="str">
        <f ca="1">IFERROR(__xludf.DUMMYFUNCTION("""COMPUTED_VALUE"""),"VICTOR MANUEL EPIA TOVAR")</f>
        <v>VICTOR MANUEL EPIA TOVAR</v>
      </c>
      <c r="D831" s="40" t="str">
        <f ca="1">IFERROR(__xludf.DUMMYFUNCTION("""COMPUTED_VALUE"""),"CC")</f>
        <v>CC</v>
      </c>
      <c r="E831" s="40">
        <f ca="1">IFERROR(__xludf.DUMMYFUNCTION("""COMPUTED_VALUE"""),1004491141)</f>
        <v>1004491141</v>
      </c>
      <c r="F831" s="40">
        <f ca="1">IFERROR(__xludf.DUMMYFUNCTION("""COMPUTED_VALUE"""),2282078)</f>
        <v>2282078</v>
      </c>
      <c r="G831" s="40" t="str">
        <f ca="1">IFERROR(__xludf.DUMMYFUNCTION("""COMPUTED_VALUE"""),"TECNÓLOGO")</f>
        <v>TECNÓLOGO</v>
      </c>
      <c r="H831" s="40" t="str">
        <f ca="1">IFERROR(__xludf.DUMMYFUNCTION("""COMPUTED_VALUE"""),"ANALISIS Y DESARROLLO DE SISTEMAS DE INFORMACION")</f>
        <v>ANALISIS Y DESARROLLO DE SISTEMAS DE INFORMACION</v>
      </c>
      <c r="I831" s="40"/>
      <c r="J831" s="40"/>
      <c r="K831" s="40"/>
      <c r="L831" s="40" t="str">
        <f ca="1">IFERROR(__xludf.DUMMYFUNCTION("""COMPUTED_VALUE"""),"NO HA INICIADO ETAPA PRODUCTIVA")</f>
        <v>NO HA INICIADO ETAPA PRODUCTIVA</v>
      </c>
      <c r="M831" s="40"/>
      <c r="N831" s="40"/>
      <c r="O831" s="40"/>
      <c r="P831" s="40"/>
      <c r="Q831" s="40"/>
      <c r="R831" s="140"/>
      <c r="S831" s="1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t="str">
        <f ca="1">IFERROR(__xludf.DUMMYFUNCTION("""COMPUTED_VALUE"""),"NO_CUMPLE")</f>
        <v>NO_CUMPLE</v>
      </c>
      <c r="AV831" s="40" t="str">
        <f ca="1">IFERROR(__xludf.DUMMYFUNCTION("""COMPUTED_VALUE"""),"EN FORMACION")</f>
        <v>EN FORMACION</v>
      </c>
      <c r="AW831" s="40" t="str">
        <f ca="1">IFERROR(__xludf.DUMMYFUNCTION("""COMPUTED_VALUE"""),"TIC")</f>
        <v>TIC</v>
      </c>
      <c r="AX831" s="141">
        <f ca="1">IFERROR(__xludf.DUMMYFUNCTION("""COMPUTED_VALUE"""),0)</f>
        <v>0</v>
      </c>
      <c r="AY831" s="40">
        <f ca="1">IFERROR(__xludf.DUMMYFUNCTION("""COMPUTED_VALUE"""),0)</f>
        <v>0</v>
      </c>
      <c r="AZ831" s="40">
        <f ca="1">IFERROR(__xludf.DUMMYFUNCTION("""COMPUTED_VALUE"""),1)</f>
        <v>1</v>
      </c>
      <c r="BA831" s="40">
        <f ca="1">IFERROR(__xludf.DUMMYFUNCTION("""COMPUTED_VALUE"""),0)</f>
        <v>0</v>
      </c>
      <c r="BB831" s="40">
        <f ca="1">IFERROR(__xludf.DUMMYFUNCTION("""COMPUTED_VALUE"""),14)</f>
        <v>14</v>
      </c>
      <c r="BC831" s="40">
        <f ca="1">IFERROR(__xludf.DUMMYFUNCTION("""COMPUTED_VALUE"""),15)</f>
        <v>15</v>
      </c>
      <c r="BD831" s="141">
        <f ca="1">IFERROR(__xludf.DUMMYFUNCTION("""COMPUTED_VALUE"""),44270)</f>
        <v>44270</v>
      </c>
      <c r="BE831" s="141">
        <f ca="1">IFERROR(__xludf.DUMMYFUNCTION("""COMPUTED_VALUE"""),44818)</f>
        <v>44818</v>
      </c>
      <c r="BF831" s="141">
        <f ca="1">IFERROR(__xludf.DUMMYFUNCTION("""COMPUTED_VALUE"""),44999)</f>
        <v>44999</v>
      </c>
      <c r="BG831" s="141">
        <f ca="1">IFERROR(__xludf.DUMMYFUNCTION("""COMPUTED_VALUE"""),45549)</f>
        <v>45549</v>
      </c>
      <c r="BH831" s="40" t="str">
        <f ca="1">IFERROR(__xludf.DUMMYFUNCTION("""COMPUTED_VALUE"""),"FICHA EN TIEMPO-18 MESES")</f>
        <v>FICHA EN TIEMPO-18 MESES</v>
      </c>
      <c r="BI831" s="40" t="str">
        <f ca="1">IFERROR(__xludf.DUMMYFUNCTION("""COMPUTED_VALUE"""),"En ejecucion")</f>
        <v>En ejecucion</v>
      </c>
      <c r="BJ831" s="40" t="str">
        <f ca="1">IFERROR(__xludf.DUMMYFUNCTION("""COMPUTED_VALUE"""),"Yamboro")</f>
        <v>Yamboro</v>
      </c>
      <c r="BK831" s="40"/>
      <c r="BL831" s="40"/>
    </row>
    <row r="832" spans="1:64" ht="13">
      <c r="A832" s="40"/>
      <c r="B832" s="40" t="str">
        <f ca="1">IFERROR(__xludf.DUMMYFUNCTION("""COMPUTED_VALUE"""),"FORMACIÓN 18/10/2022")</f>
        <v>FORMACIÓN 18/10/2022</v>
      </c>
      <c r="C832" s="40" t="str">
        <f ca="1">IFERROR(__xludf.DUMMYFUNCTION("""COMPUTED_VALUE"""),"JOANE SEBASTIAN PUCHE JAUREGUI")</f>
        <v>JOANE SEBASTIAN PUCHE JAUREGUI</v>
      </c>
      <c r="D832" s="40" t="str">
        <f ca="1">IFERROR(__xludf.DUMMYFUNCTION("""COMPUTED_VALUE"""),"TI")</f>
        <v>TI</v>
      </c>
      <c r="E832" s="40">
        <f ca="1">IFERROR(__xludf.DUMMYFUNCTION("""COMPUTED_VALUE"""),1004810545)</f>
        <v>1004810545</v>
      </c>
      <c r="F832" s="40">
        <f ca="1">IFERROR(__xludf.DUMMYFUNCTION("""COMPUTED_VALUE"""),2282078)</f>
        <v>2282078</v>
      </c>
      <c r="G832" s="40" t="str">
        <f ca="1">IFERROR(__xludf.DUMMYFUNCTION("""COMPUTED_VALUE"""),"TECNÓLOGO")</f>
        <v>TECNÓLOGO</v>
      </c>
      <c r="H832" s="40" t="str">
        <f ca="1">IFERROR(__xludf.DUMMYFUNCTION("""COMPUTED_VALUE"""),"ANALISIS Y DESARROLLO DE SISTEMAS DE INFORMACION")</f>
        <v>ANALISIS Y DESARROLLO DE SISTEMAS DE INFORMACION</v>
      </c>
      <c r="I832" s="40"/>
      <c r="J832" s="40"/>
      <c r="K832" s="40"/>
      <c r="L832" s="40" t="str">
        <f ca="1">IFERROR(__xludf.DUMMYFUNCTION("""COMPUTED_VALUE"""),"NO HA INICIADO ETAPA PRODUCTIVA")</f>
        <v>NO HA INICIADO ETAPA PRODUCTIVA</v>
      </c>
      <c r="M832" s="40"/>
      <c r="N832" s="40"/>
      <c r="O832" s="40"/>
      <c r="P832" s="40"/>
      <c r="Q832" s="40"/>
      <c r="R832" s="140"/>
      <c r="S832" s="1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t="str">
        <f ca="1">IFERROR(__xludf.DUMMYFUNCTION("""COMPUTED_VALUE"""),"NO_CUMPLE")</f>
        <v>NO_CUMPLE</v>
      </c>
      <c r="AV832" s="40" t="str">
        <f ca="1">IFERROR(__xludf.DUMMYFUNCTION("""COMPUTED_VALUE"""),"EN FORMACION")</f>
        <v>EN FORMACION</v>
      </c>
      <c r="AW832" s="40" t="str">
        <f ca="1">IFERROR(__xludf.DUMMYFUNCTION("""COMPUTED_VALUE"""),"TIC")</f>
        <v>TIC</v>
      </c>
      <c r="AX832" s="141">
        <f ca="1">IFERROR(__xludf.DUMMYFUNCTION("""COMPUTED_VALUE"""),8)</f>
        <v>8</v>
      </c>
      <c r="AY832" s="40">
        <f ca="1">IFERROR(__xludf.DUMMYFUNCTION("""COMPUTED_VALUE"""),8)</f>
        <v>8</v>
      </c>
      <c r="AZ832" s="40">
        <f ca="1">IFERROR(__xludf.DUMMYFUNCTION("""COMPUTED_VALUE"""),1)</f>
        <v>1</v>
      </c>
      <c r="BA832" s="40">
        <f ca="1">IFERROR(__xludf.DUMMYFUNCTION("""COMPUTED_VALUE"""),13)</f>
        <v>13</v>
      </c>
      <c r="BB832" s="40">
        <f ca="1">IFERROR(__xludf.DUMMYFUNCTION("""COMPUTED_VALUE"""),34)</f>
        <v>34</v>
      </c>
      <c r="BC832" s="40">
        <f ca="1">IFERROR(__xludf.DUMMYFUNCTION("""COMPUTED_VALUE"""),56)</f>
        <v>56</v>
      </c>
      <c r="BD832" s="141">
        <f ca="1">IFERROR(__xludf.DUMMYFUNCTION("""COMPUTED_VALUE"""),44270)</f>
        <v>44270</v>
      </c>
      <c r="BE832" s="141">
        <f ca="1">IFERROR(__xludf.DUMMYFUNCTION("""COMPUTED_VALUE"""),44818)</f>
        <v>44818</v>
      </c>
      <c r="BF832" s="141">
        <f ca="1">IFERROR(__xludf.DUMMYFUNCTION("""COMPUTED_VALUE"""),44999)</f>
        <v>44999</v>
      </c>
      <c r="BG832" s="141">
        <f ca="1">IFERROR(__xludf.DUMMYFUNCTION("""COMPUTED_VALUE"""),45549)</f>
        <v>45549</v>
      </c>
      <c r="BH832" s="40" t="str">
        <f ca="1">IFERROR(__xludf.DUMMYFUNCTION("""COMPUTED_VALUE"""),"FICHA EN TIEMPO-18 MESES")</f>
        <v>FICHA EN TIEMPO-18 MESES</v>
      </c>
      <c r="BI832" s="40" t="str">
        <f ca="1">IFERROR(__xludf.DUMMYFUNCTION("""COMPUTED_VALUE"""),"En ejecucion")</f>
        <v>En ejecucion</v>
      </c>
      <c r="BJ832" s="40" t="str">
        <f ca="1">IFERROR(__xludf.DUMMYFUNCTION("""COMPUTED_VALUE"""),"Yamboro")</f>
        <v>Yamboro</v>
      </c>
      <c r="BK832" s="40"/>
      <c r="BL832" s="40"/>
    </row>
    <row r="833" spans="1:64" ht="13">
      <c r="A833" s="40"/>
      <c r="B833" s="40" t="str">
        <f ca="1">IFERROR(__xludf.DUMMYFUNCTION("""COMPUTED_VALUE"""),"FORMACIÓN 18/10/2022")</f>
        <v>FORMACIÓN 18/10/2022</v>
      </c>
      <c r="C833" s="40" t="str">
        <f ca="1">IFERROR(__xludf.DUMMYFUNCTION("""COMPUTED_VALUE"""),"CATHERINE SALCEDO CASTELLANOS")</f>
        <v>CATHERINE SALCEDO CASTELLANOS</v>
      </c>
      <c r="D833" s="40" t="str">
        <f ca="1">IFERROR(__xludf.DUMMYFUNCTION("""COMPUTED_VALUE"""),"CC")</f>
        <v>CC</v>
      </c>
      <c r="E833" s="40">
        <f ca="1">IFERROR(__xludf.DUMMYFUNCTION("""COMPUTED_VALUE"""),1006205026)</f>
        <v>1006205026</v>
      </c>
      <c r="F833" s="40">
        <f ca="1">IFERROR(__xludf.DUMMYFUNCTION("""COMPUTED_VALUE"""),2282078)</f>
        <v>2282078</v>
      </c>
      <c r="G833" s="40" t="str">
        <f ca="1">IFERROR(__xludf.DUMMYFUNCTION("""COMPUTED_VALUE"""),"TECNÓLOGO")</f>
        <v>TECNÓLOGO</v>
      </c>
      <c r="H833" s="40" t="str">
        <f ca="1">IFERROR(__xludf.DUMMYFUNCTION("""COMPUTED_VALUE"""),"ANALISIS Y DESARROLLO DE SISTEMAS DE INFORMACION")</f>
        <v>ANALISIS Y DESARROLLO DE SISTEMAS DE INFORMACION</v>
      </c>
      <c r="I833" s="40"/>
      <c r="J833" s="40"/>
      <c r="K833" s="40"/>
      <c r="L833" s="40" t="str">
        <f ca="1">IFERROR(__xludf.DUMMYFUNCTION("""COMPUTED_VALUE"""),"NO HA INICIADO ETAPA PRODUCTIVA")</f>
        <v>NO HA INICIADO ETAPA PRODUCTIVA</v>
      </c>
      <c r="M833" s="40"/>
      <c r="N833" s="40"/>
      <c r="O833" s="40"/>
      <c r="P833" s="40"/>
      <c r="Q833" s="40"/>
      <c r="R833" s="140"/>
      <c r="S833" s="1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t="str">
        <f ca="1">IFERROR(__xludf.DUMMYFUNCTION("""COMPUTED_VALUE"""),"NO_CUMPLE")</f>
        <v>NO_CUMPLE</v>
      </c>
      <c r="AV833" s="40" t="str">
        <f ca="1">IFERROR(__xludf.DUMMYFUNCTION("""COMPUTED_VALUE"""),"EN FORMACION")</f>
        <v>EN FORMACION</v>
      </c>
      <c r="AW833" s="40" t="str">
        <f ca="1">IFERROR(__xludf.DUMMYFUNCTION("""COMPUTED_VALUE"""),"TIC")</f>
        <v>TIC</v>
      </c>
      <c r="AX833" s="141">
        <f ca="1">IFERROR(__xludf.DUMMYFUNCTION("""COMPUTED_VALUE"""),8)</f>
        <v>8</v>
      </c>
      <c r="AY833" s="40">
        <f ca="1">IFERROR(__xludf.DUMMYFUNCTION("""COMPUTED_VALUE"""),8)</f>
        <v>8</v>
      </c>
      <c r="AZ833" s="40">
        <f ca="1">IFERROR(__xludf.DUMMYFUNCTION("""COMPUTED_VALUE"""),1)</f>
        <v>1</v>
      </c>
      <c r="BA833" s="40">
        <f ca="1">IFERROR(__xludf.DUMMYFUNCTION("""COMPUTED_VALUE"""),13)</f>
        <v>13</v>
      </c>
      <c r="BB833" s="40">
        <f ca="1">IFERROR(__xludf.DUMMYFUNCTION("""COMPUTED_VALUE"""),30)</f>
        <v>30</v>
      </c>
      <c r="BC833" s="40">
        <f ca="1">IFERROR(__xludf.DUMMYFUNCTION("""COMPUTED_VALUE"""),52)</f>
        <v>52</v>
      </c>
      <c r="BD833" s="141">
        <f ca="1">IFERROR(__xludf.DUMMYFUNCTION("""COMPUTED_VALUE"""),44270)</f>
        <v>44270</v>
      </c>
      <c r="BE833" s="141">
        <f ca="1">IFERROR(__xludf.DUMMYFUNCTION("""COMPUTED_VALUE"""),44818)</f>
        <v>44818</v>
      </c>
      <c r="BF833" s="141">
        <f ca="1">IFERROR(__xludf.DUMMYFUNCTION("""COMPUTED_VALUE"""),44999)</f>
        <v>44999</v>
      </c>
      <c r="BG833" s="141">
        <f ca="1">IFERROR(__xludf.DUMMYFUNCTION("""COMPUTED_VALUE"""),45549)</f>
        <v>45549</v>
      </c>
      <c r="BH833" s="40" t="str">
        <f ca="1">IFERROR(__xludf.DUMMYFUNCTION("""COMPUTED_VALUE"""),"FICHA EN TIEMPO-18 MESES")</f>
        <v>FICHA EN TIEMPO-18 MESES</v>
      </c>
      <c r="BI833" s="40" t="str">
        <f ca="1">IFERROR(__xludf.DUMMYFUNCTION("""COMPUTED_VALUE"""),"En ejecucion")</f>
        <v>En ejecucion</v>
      </c>
      <c r="BJ833" s="40" t="str">
        <f ca="1">IFERROR(__xludf.DUMMYFUNCTION("""COMPUTED_VALUE"""),"Yamboro")</f>
        <v>Yamboro</v>
      </c>
      <c r="BK833" s="40"/>
      <c r="BL833" s="40"/>
    </row>
    <row r="834" spans="1:64" ht="13">
      <c r="A834" s="40"/>
      <c r="B834" s="40" t="str">
        <f ca="1">IFERROR(__xludf.DUMMYFUNCTION("""COMPUTED_VALUE"""),"FORMACIÓN 18/10/2022")</f>
        <v>FORMACIÓN 18/10/2022</v>
      </c>
      <c r="C834" s="40" t="str">
        <f ca="1">IFERROR(__xludf.DUMMYFUNCTION("""COMPUTED_VALUE"""),"ESTEBAN DAVID RUA MARTINEZ")</f>
        <v>ESTEBAN DAVID RUA MARTINEZ</v>
      </c>
      <c r="D834" s="40" t="str">
        <f ca="1">IFERROR(__xludf.DUMMYFUNCTION("""COMPUTED_VALUE"""),"TI")</f>
        <v>TI</v>
      </c>
      <c r="E834" s="40">
        <f ca="1">IFERROR(__xludf.DUMMYFUNCTION("""COMPUTED_VALUE"""),1007162398)</f>
        <v>1007162398</v>
      </c>
      <c r="F834" s="40">
        <f ca="1">IFERROR(__xludf.DUMMYFUNCTION("""COMPUTED_VALUE"""),2282078)</f>
        <v>2282078</v>
      </c>
      <c r="G834" s="40" t="str">
        <f ca="1">IFERROR(__xludf.DUMMYFUNCTION("""COMPUTED_VALUE"""),"TECNÓLOGO")</f>
        <v>TECNÓLOGO</v>
      </c>
      <c r="H834" s="40" t="str">
        <f ca="1">IFERROR(__xludf.DUMMYFUNCTION("""COMPUTED_VALUE"""),"ANALISIS Y DESARROLLO DE SISTEMAS DE INFORMACION")</f>
        <v>ANALISIS Y DESARROLLO DE SISTEMAS DE INFORMACION</v>
      </c>
      <c r="I834" s="40"/>
      <c r="J834" s="40"/>
      <c r="K834" s="40"/>
      <c r="L834" s="40" t="str">
        <f ca="1">IFERROR(__xludf.DUMMYFUNCTION("""COMPUTED_VALUE"""),"NO HA INICIADO ETAPA PRODUCTIVA")</f>
        <v>NO HA INICIADO ETAPA PRODUCTIVA</v>
      </c>
      <c r="M834" s="40"/>
      <c r="N834" s="40"/>
      <c r="O834" s="40"/>
      <c r="P834" s="40"/>
      <c r="Q834" s="40"/>
      <c r="R834" s="140"/>
      <c r="S834" s="1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t="str">
        <f ca="1">IFERROR(__xludf.DUMMYFUNCTION("""COMPUTED_VALUE"""),"NO_CUMPLE")</f>
        <v>NO_CUMPLE</v>
      </c>
      <c r="AV834" s="40" t="str">
        <f ca="1">IFERROR(__xludf.DUMMYFUNCTION("""COMPUTED_VALUE"""),"EN FORMACION")</f>
        <v>EN FORMACION</v>
      </c>
      <c r="AW834" s="40" t="str">
        <f ca="1">IFERROR(__xludf.DUMMYFUNCTION("""COMPUTED_VALUE"""),"TIC")</f>
        <v>TIC</v>
      </c>
      <c r="AX834" s="141">
        <f ca="1">IFERROR(__xludf.DUMMYFUNCTION("""COMPUTED_VALUE"""),8)</f>
        <v>8</v>
      </c>
      <c r="AY834" s="40">
        <f ca="1">IFERROR(__xludf.DUMMYFUNCTION("""COMPUTED_VALUE"""),8)</f>
        <v>8</v>
      </c>
      <c r="AZ834" s="40">
        <f ca="1">IFERROR(__xludf.DUMMYFUNCTION("""COMPUTED_VALUE"""),1)</f>
        <v>1</v>
      </c>
      <c r="BA834" s="40">
        <f ca="1">IFERROR(__xludf.DUMMYFUNCTION("""COMPUTED_VALUE"""),13)</f>
        <v>13</v>
      </c>
      <c r="BB834" s="40">
        <f ca="1">IFERROR(__xludf.DUMMYFUNCTION("""COMPUTED_VALUE"""),30)</f>
        <v>30</v>
      </c>
      <c r="BC834" s="40">
        <f ca="1">IFERROR(__xludf.DUMMYFUNCTION("""COMPUTED_VALUE"""),52)</f>
        <v>52</v>
      </c>
      <c r="BD834" s="141">
        <f ca="1">IFERROR(__xludf.DUMMYFUNCTION("""COMPUTED_VALUE"""),44270)</f>
        <v>44270</v>
      </c>
      <c r="BE834" s="141">
        <f ca="1">IFERROR(__xludf.DUMMYFUNCTION("""COMPUTED_VALUE"""),44818)</f>
        <v>44818</v>
      </c>
      <c r="BF834" s="141">
        <f ca="1">IFERROR(__xludf.DUMMYFUNCTION("""COMPUTED_VALUE"""),44999)</f>
        <v>44999</v>
      </c>
      <c r="BG834" s="141">
        <f ca="1">IFERROR(__xludf.DUMMYFUNCTION("""COMPUTED_VALUE"""),45549)</f>
        <v>45549</v>
      </c>
      <c r="BH834" s="40" t="str">
        <f ca="1">IFERROR(__xludf.DUMMYFUNCTION("""COMPUTED_VALUE"""),"FICHA EN TIEMPO-18 MESES")</f>
        <v>FICHA EN TIEMPO-18 MESES</v>
      </c>
      <c r="BI834" s="40" t="str">
        <f ca="1">IFERROR(__xludf.DUMMYFUNCTION("""COMPUTED_VALUE"""),"En ejecucion")</f>
        <v>En ejecucion</v>
      </c>
      <c r="BJ834" s="40" t="str">
        <f ca="1">IFERROR(__xludf.DUMMYFUNCTION("""COMPUTED_VALUE"""),"Yamboro")</f>
        <v>Yamboro</v>
      </c>
      <c r="BK834" s="40"/>
      <c r="BL834" s="40"/>
    </row>
    <row r="835" spans="1:64" ht="13">
      <c r="A835" s="40"/>
      <c r="B835" s="40" t="str">
        <f ca="1">IFERROR(__xludf.DUMMYFUNCTION("""COMPUTED_VALUE"""),"FORMACIÓN 18/10/2022")</f>
        <v>FORMACIÓN 18/10/2022</v>
      </c>
      <c r="C835" s="40" t="str">
        <f ca="1">IFERROR(__xludf.DUMMYFUNCTION("""COMPUTED_VALUE"""),"FREDY STEVEN SANABRIA LARROTA")</f>
        <v>FREDY STEVEN SANABRIA LARROTA</v>
      </c>
      <c r="D835" s="40" t="str">
        <f ca="1">IFERROR(__xludf.DUMMYFUNCTION("""COMPUTED_VALUE"""),"CC")</f>
        <v>CC</v>
      </c>
      <c r="E835" s="40">
        <f ca="1">IFERROR(__xludf.DUMMYFUNCTION("""COMPUTED_VALUE"""),1007436043)</f>
        <v>1007436043</v>
      </c>
      <c r="F835" s="40">
        <f ca="1">IFERROR(__xludf.DUMMYFUNCTION("""COMPUTED_VALUE"""),2282078)</f>
        <v>2282078</v>
      </c>
      <c r="G835" s="40" t="str">
        <f ca="1">IFERROR(__xludf.DUMMYFUNCTION("""COMPUTED_VALUE"""),"TECNÓLOGO")</f>
        <v>TECNÓLOGO</v>
      </c>
      <c r="H835" s="40" t="str">
        <f ca="1">IFERROR(__xludf.DUMMYFUNCTION("""COMPUTED_VALUE"""),"ANALISIS Y DESARROLLO DE SISTEMAS DE INFORMACION")</f>
        <v>ANALISIS Y DESARROLLO DE SISTEMAS DE INFORMACION</v>
      </c>
      <c r="I835" s="40"/>
      <c r="J835" s="40"/>
      <c r="K835" s="40"/>
      <c r="L835" s="40" t="str">
        <f ca="1">IFERROR(__xludf.DUMMYFUNCTION("""COMPUTED_VALUE"""),"NO HA INICIADO ETAPA PRODUCTIVA")</f>
        <v>NO HA INICIADO ETAPA PRODUCTIVA</v>
      </c>
      <c r="M835" s="40"/>
      <c r="N835" s="40"/>
      <c r="O835" s="40"/>
      <c r="P835" s="40"/>
      <c r="Q835" s="40"/>
      <c r="R835" s="140"/>
      <c r="S835" s="1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t="str">
        <f ca="1">IFERROR(__xludf.DUMMYFUNCTION("""COMPUTED_VALUE"""),"NO_CUMPLE")</f>
        <v>NO_CUMPLE</v>
      </c>
      <c r="AV835" s="40" t="str">
        <f ca="1">IFERROR(__xludf.DUMMYFUNCTION("""COMPUTED_VALUE"""),"EN FORMACION")</f>
        <v>EN FORMACION</v>
      </c>
      <c r="AW835" s="40" t="str">
        <f ca="1">IFERROR(__xludf.DUMMYFUNCTION("""COMPUTED_VALUE"""),"TIC")</f>
        <v>TIC</v>
      </c>
      <c r="AX835" s="141">
        <f ca="1">IFERROR(__xludf.DUMMYFUNCTION("""COMPUTED_VALUE"""),3)</f>
        <v>3</v>
      </c>
      <c r="AY835" s="40">
        <f ca="1">IFERROR(__xludf.DUMMYFUNCTION("""COMPUTED_VALUE"""),3)</f>
        <v>3</v>
      </c>
      <c r="AZ835" s="40">
        <f ca="1">IFERROR(__xludf.DUMMYFUNCTION("""COMPUTED_VALUE"""),1)</f>
        <v>1</v>
      </c>
      <c r="BA835" s="40">
        <f ca="1">IFERROR(__xludf.DUMMYFUNCTION("""COMPUTED_VALUE"""),13)</f>
        <v>13</v>
      </c>
      <c r="BB835" s="40">
        <f ca="1">IFERROR(__xludf.DUMMYFUNCTION("""COMPUTED_VALUE"""),24)</f>
        <v>24</v>
      </c>
      <c r="BC835" s="40">
        <f ca="1">IFERROR(__xludf.DUMMYFUNCTION("""COMPUTED_VALUE"""),41)</f>
        <v>41</v>
      </c>
      <c r="BD835" s="141">
        <f ca="1">IFERROR(__xludf.DUMMYFUNCTION("""COMPUTED_VALUE"""),44270)</f>
        <v>44270</v>
      </c>
      <c r="BE835" s="141">
        <f ca="1">IFERROR(__xludf.DUMMYFUNCTION("""COMPUTED_VALUE"""),44818)</f>
        <v>44818</v>
      </c>
      <c r="BF835" s="141">
        <f ca="1">IFERROR(__xludf.DUMMYFUNCTION("""COMPUTED_VALUE"""),44999)</f>
        <v>44999</v>
      </c>
      <c r="BG835" s="141">
        <f ca="1">IFERROR(__xludf.DUMMYFUNCTION("""COMPUTED_VALUE"""),45549)</f>
        <v>45549</v>
      </c>
      <c r="BH835" s="40" t="str">
        <f ca="1">IFERROR(__xludf.DUMMYFUNCTION("""COMPUTED_VALUE"""),"FICHA EN TIEMPO-18 MESES")</f>
        <v>FICHA EN TIEMPO-18 MESES</v>
      </c>
      <c r="BI835" s="40" t="str">
        <f ca="1">IFERROR(__xludf.DUMMYFUNCTION("""COMPUTED_VALUE"""),"En ejecucion")</f>
        <v>En ejecucion</v>
      </c>
      <c r="BJ835" s="40" t="str">
        <f ca="1">IFERROR(__xludf.DUMMYFUNCTION("""COMPUTED_VALUE"""),"Yamboro")</f>
        <v>Yamboro</v>
      </c>
      <c r="BK835" s="40"/>
      <c r="BL835" s="40"/>
    </row>
    <row r="836" spans="1:64" ht="13">
      <c r="A836" s="40"/>
      <c r="B836" s="40" t="str">
        <f ca="1">IFERROR(__xludf.DUMMYFUNCTION("""COMPUTED_VALUE"""),"FORMACIÓN 18/10/2022")</f>
        <v>FORMACIÓN 18/10/2022</v>
      </c>
      <c r="C836" s="40" t="str">
        <f ca="1">IFERROR(__xludf.DUMMYFUNCTION("""COMPUTED_VALUE"""),"DAVID STIVEN MENDIETA BARAJAS")</f>
        <v>DAVID STIVEN MENDIETA BARAJAS</v>
      </c>
      <c r="D836" s="40" t="str">
        <f ca="1">IFERROR(__xludf.DUMMYFUNCTION("""COMPUTED_VALUE"""),"CC")</f>
        <v>CC</v>
      </c>
      <c r="E836" s="40">
        <f ca="1">IFERROR(__xludf.DUMMYFUNCTION("""COMPUTED_VALUE"""),1010026970)</f>
        <v>1010026970</v>
      </c>
      <c r="F836" s="40">
        <f ca="1">IFERROR(__xludf.DUMMYFUNCTION("""COMPUTED_VALUE"""),2282078)</f>
        <v>2282078</v>
      </c>
      <c r="G836" s="40" t="str">
        <f ca="1">IFERROR(__xludf.DUMMYFUNCTION("""COMPUTED_VALUE"""),"TECNÓLOGO")</f>
        <v>TECNÓLOGO</v>
      </c>
      <c r="H836" s="40" t="str">
        <f ca="1">IFERROR(__xludf.DUMMYFUNCTION("""COMPUTED_VALUE"""),"ANALISIS Y DESARROLLO DE SISTEMAS DE INFORMACION")</f>
        <v>ANALISIS Y DESARROLLO DE SISTEMAS DE INFORMACION</v>
      </c>
      <c r="I836" s="40">
        <f ca="1">IFERROR(__xludf.DUMMYFUNCTION("""COMPUTED_VALUE"""),3232012435)</f>
        <v>3232012435</v>
      </c>
      <c r="J836" s="40" t="str">
        <f ca="1">IFERROR(__xludf.DUMMYFUNCTION("""COMPUTED_VALUE"""),"david09192001@gmail.com")</f>
        <v>david09192001@gmail.com</v>
      </c>
      <c r="K836" s="40" t="str">
        <f ca="1">IFERROR(__xludf.DUMMYFUNCTION("""COMPUTED_VALUE"""),"BOGOTA ")</f>
        <v xml:space="preserve">BOGOTA </v>
      </c>
      <c r="L836" s="40" t="str">
        <f ca="1">IFERROR(__xludf.DUMMYFUNCTION("""COMPUTED_VALUE"""),"CONTRATO DE APRENDIZAJE ")</f>
        <v xml:space="preserve">CONTRATO DE APRENDIZAJE </v>
      </c>
      <c r="M836" s="40" t="str">
        <f ca="1">IFERROR(__xludf.DUMMYFUNCTION("""COMPUTED_VALUE"""),"IVIT COLOMBIA TERCERIZACION DE PROCESOS SERVICIOS Y TECNOLOGIA SAS - TIVIT COLOMBIA SAS")</f>
        <v>IVIT COLOMBIA TERCERIZACION DE PROCESOS SERVICIOS Y TECNOLOGIA SAS - TIVIT COLOMBIA SAS</v>
      </c>
      <c r="N836" s="40" t="str">
        <f ca="1">IFERROR(__xludf.DUMMYFUNCTION("""COMPUTED_VALUE"""),"Carrera 14 No. 85-68 Piso 5")</f>
        <v>Carrera 14 No. 85-68 Piso 5</v>
      </c>
      <c r="O836" s="40">
        <f ca="1">IFERROR(__xludf.DUMMYFUNCTION("""COMPUTED_VALUE"""),3232012435)</f>
        <v>3232012435</v>
      </c>
      <c r="P836" s="40" t="str">
        <f ca="1">IFERROR(__xludf.DUMMYFUNCTION("""COMPUTED_VALUE"""),"Bogotá")</f>
        <v>Bogotá</v>
      </c>
      <c r="Q836" s="40" t="str">
        <f ca="1">IFERROR(__xludf.DUMMYFUNCTION("""COMPUTED_VALUE""")," dayra.diaz@tivit.com")</f>
        <v xml:space="preserve"> dayra.diaz@tivit.com</v>
      </c>
      <c r="R836" s="140">
        <f ca="1">IFERROR(__xludf.DUMMYFUNCTION("""COMPUTED_VALUE"""),44844)</f>
        <v>44844</v>
      </c>
      <c r="S836" s="140">
        <f ca="1">IFERROR(__xludf.DUMMYFUNCTION("""COMPUTED_VALUE"""),45025)</f>
        <v>45025</v>
      </c>
      <c r="T836" s="40"/>
      <c r="U836" s="40" t="str">
        <f ca="1">IFERROR(__xludf.DUMMYFUNCTION("""COMPUTED_VALUE"""),"CLAUDIA PARRA ")</f>
        <v xml:space="preserve">CLAUDIA PARRA </v>
      </c>
      <c r="V836" s="40" t="s">
        <v>650</v>
      </c>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t="str">
        <f ca="1">IFERROR(__xludf.DUMMYFUNCTION("""COMPUTED_VALUE"""),"Procede_E_P")</f>
        <v>Procede_E_P</v>
      </c>
      <c r="AV836" s="40" t="str">
        <f ca="1">IFERROR(__xludf.DUMMYFUNCTION("""COMPUTED_VALUE"""),"EN FORMACION")</f>
        <v>EN FORMACION</v>
      </c>
      <c r="AW836" s="40" t="str">
        <f ca="1">IFERROR(__xludf.DUMMYFUNCTION("""COMPUTED_VALUE"""),"TIC")</f>
        <v>TIC</v>
      </c>
      <c r="AX836" s="141">
        <f ca="1">IFERROR(__xludf.DUMMYFUNCTION("""COMPUTED_VALUE"""),0)</f>
        <v>0</v>
      </c>
      <c r="AY836" s="40">
        <f ca="1">IFERROR(__xludf.DUMMYFUNCTION("""COMPUTED_VALUE"""),0)</f>
        <v>0</v>
      </c>
      <c r="AZ836" s="40">
        <f ca="1">IFERROR(__xludf.DUMMYFUNCTION("""COMPUTED_VALUE"""),1)</f>
        <v>1</v>
      </c>
      <c r="BA836" s="40">
        <f ca="1">IFERROR(__xludf.DUMMYFUNCTION("""COMPUTED_VALUE"""),0)</f>
        <v>0</v>
      </c>
      <c r="BB836" s="40">
        <f ca="1">IFERROR(__xludf.DUMMYFUNCTION("""COMPUTED_VALUE"""),0)</f>
        <v>0</v>
      </c>
      <c r="BC836" s="40">
        <f ca="1">IFERROR(__xludf.DUMMYFUNCTION("""COMPUTED_VALUE"""),1)</f>
        <v>1</v>
      </c>
      <c r="BD836" s="141">
        <f ca="1">IFERROR(__xludf.DUMMYFUNCTION("""COMPUTED_VALUE"""),44270)</f>
        <v>44270</v>
      </c>
      <c r="BE836" s="141">
        <f ca="1">IFERROR(__xludf.DUMMYFUNCTION("""COMPUTED_VALUE"""),44818)</f>
        <v>44818</v>
      </c>
      <c r="BF836" s="141">
        <f ca="1">IFERROR(__xludf.DUMMYFUNCTION("""COMPUTED_VALUE"""),44999)</f>
        <v>44999</v>
      </c>
      <c r="BG836" s="141">
        <f ca="1">IFERROR(__xludf.DUMMYFUNCTION("""COMPUTED_VALUE"""),45549)</f>
        <v>45549</v>
      </c>
      <c r="BH836" s="40" t="str">
        <f ca="1">IFERROR(__xludf.DUMMYFUNCTION("""COMPUTED_VALUE"""),"FICHA EN TIEMPO-18 MESES")</f>
        <v>FICHA EN TIEMPO-18 MESES</v>
      </c>
      <c r="BI836" s="40" t="str">
        <f ca="1">IFERROR(__xludf.DUMMYFUNCTION("""COMPUTED_VALUE"""),"En ejecucion")</f>
        <v>En ejecucion</v>
      </c>
      <c r="BJ836" s="40" t="str">
        <f ca="1">IFERROR(__xludf.DUMMYFUNCTION("""COMPUTED_VALUE"""),"Yamboro")</f>
        <v>Yamboro</v>
      </c>
      <c r="BK836" s="40"/>
      <c r="BL836" s="40"/>
    </row>
    <row r="837" spans="1:64" ht="13">
      <c r="A837" s="40"/>
      <c r="B837" s="40" t="str">
        <f ca="1">IFERROR(__xludf.DUMMYFUNCTION("""COMPUTED_VALUE"""),"FORMACIÓN 18/10/2022")</f>
        <v>FORMACIÓN 18/10/2022</v>
      </c>
      <c r="C837" s="40" t="str">
        <f ca="1">IFERROR(__xludf.DUMMYFUNCTION("""COMPUTED_VALUE"""),"MAYERLY LOZANO BENITEZ")</f>
        <v>MAYERLY LOZANO BENITEZ</v>
      </c>
      <c r="D837" s="40" t="str">
        <f ca="1">IFERROR(__xludf.DUMMYFUNCTION("""COMPUTED_VALUE"""),"CC")</f>
        <v>CC</v>
      </c>
      <c r="E837" s="40">
        <f ca="1">IFERROR(__xludf.DUMMYFUNCTION("""COMPUTED_VALUE"""),1010115183)</f>
        <v>1010115183</v>
      </c>
      <c r="F837" s="40">
        <f ca="1">IFERROR(__xludf.DUMMYFUNCTION("""COMPUTED_VALUE"""),2282078)</f>
        <v>2282078</v>
      </c>
      <c r="G837" s="40" t="str">
        <f ca="1">IFERROR(__xludf.DUMMYFUNCTION("""COMPUTED_VALUE"""),"TECNÓLOGO")</f>
        <v>TECNÓLOGO</v>
      </c>
      <c r="H837" s="40" t="str">
        <f ca="1">IFERROR(__xludf.DUMMYFUNCTION("""COMPUTED_VALUE"""),"ANALISIS Y DESARROLLO DE SISTEMAS DE INFORMACION")</f>
        <v>ANALISIS Y DESARROLLO DE SISTEMAS DE INFORMACION</v>
      </c>
      <c r="I837" s="40"/>
      <c r="J837" s="40"/>
      <c r="K837" s="40"/>
      <c r="L837" s="40" t="str">
        <f ca="1">IFERROR(__xludf.DUMMYFUNCTION("""COMPUTED_VALUE"""),"NO HA INICIADO ETAPA PRODUCTIVA")</f>
        <v>NO HA INICIADO ETAPA PRODUCTIVA</v>
      </c>
      <c r="M837" s="40"/>
      <c r="N837" s="40"/>
      <c r="O837" s="40"/>
      <c r="P837" s="40"/>
      <c r="Q837" s="40"/>
      <c r="R837" s="140"/>
      <c r="S837" s="1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t="str">
        <f ca="1">IFERROR(__xludf.DUMMYFUNCTION("""COMPUTED_VALUE"""),"NO_CUMPLE")</f>
        <v>NO_CUMPLE</v>
      </c>
      <c r="AV837" s="40" t="str">
        <f ca="1">IFERROR(__xludf.DUMMYFUNCTION("""COMPUTED_VALUE"""),"EN FORMACION")</f>
        <v>EN FORMACION</v>
      </c>
      <c r="AW837" s="40" t="str">
        <f ca="1">IFERROR(__xludf.DUMMYFUNCTION("""COMPUTED_VALUE"""),"TIC")</f>
        <v>TIC</v>
      </c>
      <c r="AX837" s="141">
        <f ca="1">IFERROR(__xludf.DUMMYFUNCTION("""COMPUTED_VALUE"""),3)</f>
        <v>3</v>
      </c>
      <c r="AY837" s="40">
        <f ca="1">IFERROR(__xludf.DUMMYFUNCTION("""COMPUTED_VALUE"""),3)</f>
        <v>3</v>
      </c>
      <c r="AZ837" s="40">
        <f ca="1">IFERROR(__xludf.DUMMYFUNCTION("""COMPUTED_VALUE"""),1)</f>
        <v>1</v>
      </c>
      <c r="BA837" s="40">
        <f ca="1">IFERROR(__xludf.DUMMYFUNCTION("""COMPUTED_VALUE"""),6)</f>
        <v>6</v>
      </c>
      <c r="BB837" s="40">
        <f ca="1">IFERROR(__xludf.DUMMYFUNCTION("""COMPUTED_VALUE"""),14)</f>
        <v>14</v>
      </c>
      <c r="BC837" s="40">
        <f ca="1">IFERROR(__xludf.DUMMYFUNCTION("""COMPUTED_VALUE"""),24)</f>
        <v>24</v>
      </c>
      <c r="BD837" s="141">
        <f ca="1">IFERROR(__xludf.DUMMYFUNCTION("""COMPUTED_VALUE"""),44270)</f>
        <v>44270</v>
      </c>
      <c r="BE837" s="141">
        <f ca="1">IFERROR(__xludf.DUMMYFUNCTION("""COMPUTED_VALUE"""),44818)</f>
        <v>44818</v>
      </c>
      <c r="BF837" s="141">
        <f ca="1">IFERROR(__xludf.DUMMYFUNCTION("""COMPUTED_VALUE"""),44999)</f>
        <v>44999</v>
      </c>
      <c r="BG837" s="141">
        <f ca="1">IFERROR(__xludf.DUMMYFUNCTION("""COMPUTED_VALUE"""),45549)</f>
        <v>45549</v>
      </c>
      <c r="BH837" s="40" t="str">
        <f ca="1">IFERROR(__xludf.DUMMYFUNCTION("""COMPUTED_VALUE"""),"FICHA EN TIEMPO-18 MESES")</f>
        <v>FICHA EN TIEMPO-18 MESES</v>
      </c>
      <c r="BI837" s="40" t="str">
        <f ca="1">IFERROR(__xludf.DUMMYFUNCTION("""COMPUTED_VALUE"""),"En ejecucion")</f>
        <v>En ejecucion</v>
      </c>
      <c r="BJ837" s="40" t="str">
        <f ca="1">IFERROR(__xludf.DUMMYFUNCTION("""COMPUTED_VALUE"""),"Yamboro")</f>
        <v>Yamboro</v>
      </c>
      <c r="BK837" s="40"/>
      <c r="BL837" s="40"/>
    </row>
    <row r="838" spans="1:64" ht="13">
      <c r="A838" s="40"/>
      <c r="B838" s="40" t="str">
        <f ca="1">IFERROR(__xludf.DUMMYFUNCTION("""COMPUTED_VALUE"""),"FORMACIÓN 18/10/2022")</f>
        <v>FORMACIÓN 18/10/2022</v>
      </c>
      <c r="C838" s="40" t="str">
        <f ca="1">IFERROR(__xludf.DUMMYFUNCTION("""COMPUTED_VALUE"""),"MILFER ANTONIO MUÑOZ MORALES")</f>
        <v>MILFER ANTONIO MUÑOZ MORALES</v>
      </c>
      <c r="D838" s="40" t="str">
        <f ca="1">IFERROR(__xludf.DUMMYFUNCTION("""COMPUTED_VALUE"""),"CC")</f>
        <v>CC</v>
      </c>
      <c r="E838" s="40">
        <f ca="1">IFERROR(__xludf.DUMMYFUNCTION("""COMPUTED_VALUE"""),10184410)</f>
        <v>10184410</v>
      </c>
      <c r="F838" s="40">
        <f ca="1">IFERROR(__xludf.DUMMYFUNCTION("""COMPUTED_VALUE"""),2282078)</f>
        <v>2282078</v>
      </c>
      <c r="G838" s="40" t="str">
        <f ca="1">IFERROR(__xludf.DUMMYFUNCTION("""COMPUTED_VALUE"""),"TECNÓLOGO")</f>
        <v>TECNÓLOGO</v>
      </c>
      <c r="H838" s="40" t="str">
        <f ca="1">IFERROR(__xludf.DUMMYFUNCTION("""COMPUTED_VALUE"""),"ANALISIS Y DESARROLLO DE SISTEMAS DE INFORMACION")</f>
        <v>ANALISIS Y DESARROLLO DE SISTEMAS DE INFORMACION</v>
      </c>
      <c r="I838" s="40">
        <f ca="1">IFERROR(__xludf.DUMMYFUNCTION("""COMPUTED_VALUE"""),3219041397)</f>
        <v>3219041397</v>
      </c>
      <c r="J838" s="40" t="str">
        <f ca="1">IFERROR(__xludf.DUMMYFUNCTION("""COMPUTED_VALUE"""),"milfer0516@gmail.com")</f>
        <v>milfer0516@gmail.com</v>
      </c>
      <c r="K838" s="40" t="str">
        <f ca="1">IFERROR(__xludf.DUMMYFUNCTION("""COMPUTED_VALUE"""),"BOGOTA ")</f>
        <v xml:space="preserve">BOGOTA </v>
      </c>
      <c r="L838" s="40" t="str">
        <f ca="1">IFERROR(__xludf.DUMMYFUNCTION("""COMPUTED_VALUE"""),"CONTRATO DE APRENDIZAJE ")</f>
        <v xml:space="preserve">CONTRATO DE APRENDIZAJE </v>
      </c>
      <c r="M838" s="40" t="str">
        <f ca="1">IFERROR(__xludf.DUMMYFUNCTION("""COMPUTED_VALUE"""),"INDIGO TECHONOLOGIES SAS")</f>
        <v>INDIGO TECHONOLOGIES SAS</v>
      </c>
      <c r="N838" s="40" t="str">
        <f ca="1">IFERROR(__xludf.DUMMYFUNCTION("""COMPUTED_VALUE"""),"CRA 7 N° 155C - 20 TORRE E OFICINA 3205")</f>
        <v>CRA 7 N° 155C - 20 TORRE E OFICINA 3205</v>
      </c>
      <c r="O838" s="40">
        <f ca="1">IFERROR(__xludf.DUMMYFUNCTION("""COMPUTED_VALUE"""),3167595029)</f>
        <v>3167595029</v>
      </c>
      <c r="P838" s="40" t="str">
        <f ca="1">IFERROR(__xludf.DUMMYFUNCTION("""COMPUTED_VALUE"""),"Bogotá")</f>
        <v>Bogotá</v>
      </c>
      <c r="Q838" s="40" t="str">
        <f ca="1">IFERROR(__xludf.DUMMYFUNCTION("""COMPUTED_VALUE""")," avargas@indigo.tech")</f>
        <v xml:space="preserve"> avargas@indigo.tech</v>
      </c>
      <c r="R838" s="140">
        <f ca="1">IFERROR(__xludf.DUMMYFUNCTION("""COMPUTED_VALUE"""),44820)</f>
        <v>44820</v>
      </c>
      <c r="S838" s="140">
        <f ca="1">IFERROR(__xludf.DUMMYFUNCTION("""COMPUTED_VALUE"""),44999)</f>
        <v>44999</v>
      </c>
      <c r="T838" s="40"/>
      <c r="U838" s="40" t="str">
        <f ca="1">IFERROR(__xludf.DUMMYFUNCTION("""COMPUTED_VALUE"""),"POR ASIGNAR ")</f>
        <v xml:space="preserve">POR ASIGNAR </v>
      </c>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t="str">
        <f ca="1">IFERROR(__xludf.DUMMYFUNCTION("""COMPUTED_VALUE"""),"Procede_E_P")</f>
        <v>Procede_E_P</v>
      </c>
      <c r="AV838" s="40" t="str">
        <f ca="1">IFERROR(__xludf.DUMMYFUNCTION("""COMPUTED_VALUE"""),"EN FORMACION")</f>
        <v>EN FORMACION</v>
      </c>
      <c r="AW838" s="40" t="str">
        <f ca="1">IFERROR(__xludf.DUMMYFUNCTION("""COMPUTED_VALUE"""),"TIC")</f>
        <v>TIC</v>
      </c>
      <c r="AX838" s="141">
        <f ca="1">IFERROR(__xludf.DUMMYFUNCTION("""COMPUTED_VALUE"""),0)</f>
        <v>0</v>
      </c>
      <c r="AY838" s="40">
        <f ca="1">IFERROR(__xludf.DUMMYFUNCTION("""COMPUTED_VALUE"""),0)</f>
        <v>0</v>
      </c>
      <c r="AZ838" s="40">
        <f ca="1">IFERROR(__xludf.DUMMYFUNCTION("""COMPUTED_VALUE"""),1)</f>
        <v>1</v>
      </c>
      <c r="BA838" s="40">
        <f ca="1">IFERROR(__xludf.DUMMYFUNCTION("""COMPUTED_VALUE"""),0)</f>
        <v>0</v>
      </c>
      <c r="BB838" s="40">
        <f ca="1">IFERROR(__xludf.DUMMYFUNCTION("""COMPUTED_VALUE"""),0)</f>
        <v>0</v>
      </c>
      <c r="BC838" s="40">
        <f ca="1">IFERROR(__xludf.DUMMYFUNCTION("""COMPUTED_VALUE"""),1)</f>
        <v>1</v>
      </c>
      <c r="BD838" s="141">
        <f ca="1">IFERROR(__xludf.DUMMYFUNCTION("""COMPUTED_VALUE"""),44270)</f>
        <v>44270</v>
      </c>
      <c r="BE838" s="141">
        <f ca="1">IFERROR(__xludf.DUMMYFUNCTION("""COMPUTED_VALUE"""),44818)</f>
        <v>44818</v>
      </c>
      <c r="BF838" s="141">
        <f ca="1">IFERROR(__xludf.DUMMYFUNCTION("""COMPUTED_VALUE"""),44999)</f>
        <v>44999</v>
      </c>
      <c r="BG838" s="141">
        <f ca="1">IFERROR(__xludf.DUMMYFUNCTION("""COMPUTED_VALUE"""),45549)</f>
        <v>45549</v>
      </c>
      <c r="BH838" s="40" t="str">
        <f ca="1">IFERROR(__xludf.DUMMYFUNCTION("""COMPUTED_VALUE"""),"FICHA EN TIEMPO-18 MESES")</f>
        <v>FICHA EN TIEMPO-18 MESES</v>
      </c>
      <c r="BI838" s="40" t="str">
        <f ca="1">IFERROR(__xludf.DUMMYFUNCTION("""COMPUTED_VALUE"""),"En ejecucion")</f>
        <v>En ejecucion</v>
      </c>
      <c r="BJ838" s="40" t="str">
        <f ca="1">IFERROR(__xludf.DUMMYFUNCTION("""COMPUTED_VALUE"""),"Yamboro")</f>
        <v>Yamboro</v>
      </c>
      <c r="BK838" s="40"/>
      <c r="BL838" s="40"/>
    </row>
    <row r="839" spans="1:64" ht="13">
      <c r="A839" s="40"/>
      <c r="B839" s="40" t="str">
        <f ca="1">IFERROR(__xludf.DUMMYFUNCTION("""COMPUTED_VALUE"""),"FORMACIÓN 18/10/2022")</f>
        <v>FORMACIÓN 18/10/2022</v>
      </c>
      <c r="C839" s="40" t="str">
        <f ca="1">IFERROR(__xludf.DUMMYFUNCTION("""COMPUTED_VALUE"""),"NICOLAS MATEO CHAVEZ GARCIA")</f>
        <v>NICOLAS MATEO CHAVEZ GARCIA</v>
      </c>
      <c r="D839" s="40" t="str">
        <f ca="1">IFERROR(__xludf.DUMMYFUNCTION("""COMPUTED_VALUE"""),"TI")</f>
        <v>TI</v>
      </c>
      <c r="E839" s="40">
        <f ca="1">IFERROR(__xludf.DUMMYFUNCTION("""COMPUTED_VALUE"""),1019983780)</f>
        <v>1019983780</v>
      </c>
      <c r="F839" s="40">
        <f ca="1">IFERROR(__xludf.DUMMYFUNCTION("""COMPUTED_VALUE"""),2282078)</f>
        <v>2282078</v>
      </c>
      <c r="G839" s="40" t="str">
        <f ca="1">IFERROR(__xludf.DUMMYFUNCTION("""COMPUTED_VALUE"""),"TECNÓLOGO")</f>
        <v>TECNÓLOGO</v>
      </c>
      <c r="H839" s="40" t="str">
        <f ca="1">IFERROR(__xludf.DUMMYFUNCTION("""COMPUTED_VALUE"""),"ANALISIS Y DESARROLLO DE SISTEMAS DE INFORMACION")</f>
        <v>ANALISIS Y DESARROLLO DE SISTEMAS DE INFORMACION</v>
      </c>
      <c r="I839" s="40"/>
      <c r="J839" s="40"/>
      <c r="K839" s="40"/>
      <c r="L839" s="40" t="str">
        <f ca="1">IFERROR(__xludf.DUMMYFUNCTION("""COMPUTED_VALUE"""),"NO HA INICIADO ETAPA PRODUCTIVA")</f>
        <v>NO HA INICIADO ETAPA PRODUCTIVA</v>
      </c>
      <c r="M839" s="40"/>
      <c r="N839" s="40"/>
      <c r="O839" s="40"/>
      <c r="P839" s="40"/>
      <c r="Q839" s="40"/>
      <c r="R839" s="140"/>
      <c r="S839" s="1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t="str">
        <f ca="1">IFERROR(__xludf.DUMMYFUNCTION("""COMPUTED_VALUE"""),"NO_CUMPLE")</f>
        <v>NO_CUMPLE</v>
      </c>
      <c r="AV839" s="40" t="str">
        <f ca="1">IFERROR(__xludf.DUMMYFUNCTION("""COMPUTED_VALUE"""),"EN FORMACION")</f>
        <v>EN FORMACION</v>
      </c>
      <c r="AW839" s="40" t="str">
        <f ca="1">IFERROR(__xludf.DUMMYFUNCTION("""COMPUTED_VALUE"""),"TIC")</f>
        <v>TIC</v>
      </c>
      <c r="AX839" s="141">
        <f ca="1">IFERROR(__xludf.DUMMYFUNCTION("""COMPUTED_VALUE"""),2)</f>
        <v>2</v>
      </c>
      <c r="AY839" s="40">
        <f ca="1">IFERROR(__xludf.DUMMYFUNCTION("""COMPUTED_VALUE"""),2)</f>
        <v>2</v>
      </c>
      <c r="AZ839" s="40">
        <f ca="1">IFERROR(__xludf.DUMMYFUNCTION("""COMPUTED_VALUE"""),1)</f>
        <v>1</v>
      </c>
      <c r="BA839" s="40">
        <f ca="1">IFERROR(__xludf.DUMMYFUNCTION("""COMPUTED_VALUE"""),12)</f>
        <v>12</v>
      </c>
      <c r="BB839" s="40">
        <f ca="1">IFERROR(__xludf.DUMMYFUNCTION("""COMPUTED_VALUE"""),24)</f>
        <v>24</v>
      </c>
      <c r="BC839" s="40">
        <f ca="1">IFERROR(__xludf.DUMMYFUNCTION("""COMPUTED_VALUE"""),39)</f>
        <v>39</v>
      </c>
      <c r="BD839" s="141">
        <f ca="1">IFERROR(__xludf.DUMMYFUNCTION("""COMPUTED_VALUE"""),44270)</f>
        <v>44270</v>
      </c>
      <c r="BE839" s="141">
        <f ca="1">IFERROR(__xludf.DUMMYFUNCTION("""COMPUTED_VALUE"""),44818)</f>
        <v>44818</v>
      </c>
      <c r="BF839" s="141">
        <f ca="1">IFERROR(__xludf.DUMMYFUNCTION("""COMPUTED_VALUE"""),44999)</f>
        <v>44999</v>
      </c>
      <c r="BG839" s="141">
        <f ca="1">IFERROR(__xludf.DUMMYFUNCTION("""COMPUTED_VALUE"""),45549)</f>
        <v>45549</v>
      </c>
      <c r="BH839" s="40" t="str">
        <f ca="1">IFERROR(__xludf.DUMMYFUNCTION("""COMPUTED_VALUE"""),"FICHA EN TIEMPO-18 MESES")</f>
        <v>FICHA EN TIEMPO-18 MESES</v>
      </c>
      <c r="BI839" s="40" t="str">
        <f ca="1">IFERROR(__xludf.DUMMYFUNCTION("""COMPUTED_VALUE"""),"En ejecucion")</f>
        <v>En ejecucion</v>
      </c>
      <c r="BJ839" s="40" t="str">
        <f ca="1">IFERROR(__xludf.DUMMYFUNCTION("""COMPUTED_VALUE"""),"Yamboro")</f>
        <v>Yamboro</v>
      </c>
      <c r="BK839" s="40"/>
      <c r="BL839" s="40"/>
    </row>
    <row r="840" spans="1:64" ht="13">
      <c r="A840" s="40"/>
      <c r="B840" s="40" t="str">
        <f ca="1">IFERROR(__xludf.DUMMYFUNCTION("""COMPUTED_VALUE"""),"FORMACIÓN 18/10/2022")</f>
        <v>FORMACIÓN 18/10/2022</v>
      </c>
      <c r="C840" s="40" t="str">
        <f ca="1">IFERROR(__xludf.DUMMYFUNCTION("""COMPUTED_VALUE"""),"LISSETT PAOLA LANCHEROS ORJUELA")</f>
        <v>LISSETT PAOLA LANCHEROS ORJUELA</v>
      </c>
      <c r="D840" s="40" t="str">
        <f ca="1">IFERROR(__xludf.DUMMYFUNCTION("""COMPUTED_VALUE"""),"CC")</f>
        <v>CC</v>
      </c>
      <c r="E840" s="40">
        <f ca="1">IFERROR(__xludf.DUMMYFUNCTION("""COMPUTED_VALUE"""),1024523984)</f>
        <v>1024523984</v>
      </c>
      <c r="F840" s="40">
        <f ca="1">IFERROR(__xludf.DUMMYFUNCTION("""COMPUTED_VALUE"""),2282078)</f>
        <v>2282078</v>
      </c>
      <c r="G840" s="40" t="str">
        <f ca="1">IFERROR(__xludf.DUMMYFUNCTION("""COMPUTED_VALUE"""),"TECNÓLOGO")</f>
        <v>TECNÓLOGO</v>
      </c>
      <c r="H840" s="40" t="str">
        <f ca="1">IFERROR(__xludf.DUMMYFUNCTION("""COMPUTED_VALUE"""),"ANALISIS Y DESARROLLO DE SISTEMAS DE INFORMACION")</f>
        <v>ANALISIS Y DESARROLLO DE SISTEMAS DE INFORMACION</v>
      </c>
      <c r="I840" s="40"/>
      <c r="J840" s="40"/>
      <c r="K840" s="40"/>
      <c r="L840" s="40" t="str">
        <f ca="1">IFERROR(__xludf.DUMMYFUNCTION("""COMPUTED_VALUE"""),"NO HA INICIADO ETAPA PRODUCTIVA")</f>
        <v>NO HA INICIADO ETAPA PRODUCTIVA</v>
      </c>
      <c r="M840" s="40"/>
      <c r="N840" s="40"/>
      <c r="O840" s="40"/>
      <c r="P840" s="40"/>
      <c r="Q840" s="40"/>
      <c r="R840" s="140"/>
      <c r="S840" s="1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t="str">
        <f ca="1">IFERROR(__xludf.DUMMYFUNCTION("""COMPUTED_VALUE"""),"NO_CUMPLE")</f>
        <v>NO_CUMPLE</v>
      </c>
      <c r="AV840" s="40" t="str">
        <f ca="1">IFERROR(__xludf.DUMMYFUNCTION("""COMPUTED_VALUE"""),"EN FORMACION")</f>
        <v>EN FORMACION</v>
      </c>
      <c r="AW840" s="40" t="str">
        <f ca="1">IFERROR(__xludf.DUMMYFUNCTION("""COMPUTED_VALUE"""),"TIC")</f>
        <v>TIC</v>
      </c>
      <c r="AX840" s="141">
        <f ca="1">IFERROR(__xludf.DUMMYFUNCTION("""COMPUTED_VALUE"""),0)</f>
        <v>0</v>
      </c>
      <c r="AY840" s="40">
        <f ca="1">IFERROR(__xludf.DUMMYFUNCTION("""COMPUTED_VALUE"""),0)</f>
        <v>0</v>
      </c>
      <c r="AZ840" s="40">
        <f ca="1">IFERROR(__xludf.DUMMYFUNCTION("""COMPUTED_VALUE"""),1)</f>
        <v>1</v>
      </c>
      <c r="BA840" s="40">
        <f ca="1">IFERROR(__xludf.DUMMYFUNCTION("""COMPUTED_VALUE"""),1)</f>
        <v>1</v>
      </c>
      <c r="BB840" s="40">
        <f ca="1">IFERROR(__xludf.DUMMYFUNCTION("""COMPUTED_VALUE"""),0)</f>
        <v>0</v>
      </c>
      <c r="BC840" s="40">
        <f ca="1">IFERROR(__xludf.DUMMYFUNCTION("""COMPUTED_VALUE"""),2)</f>
        <v>2</v>
      </c>
      <c r="BD840" s="141">
        <f ca="1">IFERROR(__xludf.DUMMYFUNCTION("""COMPUTED_VALUE"""),44270)</f>
        <v>44270</v>
      </c>
      <c r="BE840" s="141">
        <f ca="1">IFERROR(__xludf.DUMMYFUNCTION("""COMPUTED_VALUE"""),44818)</f>
        <v>44818</v>
      </c>
      <c r="BF840" s="141">
        <f ca="1">IFERROR(__xludf.DUMMYFUNCTION("""COMPUTED_VALUE"""),44999)</f>
        <v>44999</v>
      </c>
      <c r="BG840" s="141">
        <f ca="1">IFERROR(__xludf.DUMMYFUNCTION("""COMPUTED_VALUE"""),45549)</f>
        <v>45549</v>
      </c>
      <c r="BH840" s="40" t="str">
        <f ca="1">IFERROR(__xludf.DUMMYFUNCTION("""COMPUTED_VALUE"""),"FICHA EN TIEMPO-18 MESES")</f>
        <v>FICHA EN TIEMPO-18 MESES</v>
      </c>
      <c r="BI840" s="40" t="str">
        <f ca="1">IFERROR(__xludf.DUMMYFUNCTION("""COMPUTED_VALUE"""),"En ejecucion")</f>
        <v>En ejecucion</v>
      </c>
      <c r="BJ840" s="40" t="str">
        <f ca="1">IFERROR(__xludf.DUMMYFUNCTION("""COMPUTED_VALUE"""),"Yamboro")</f>
        <v>Yamboro</v>
      </c>
      <c r="BK840" s="40"/>
      <c r="BL840" s="40"/>
    </row>
    <row r="841" spans="1:64" ht="13">
      <c r="A841" s="40"/>
      <c r="B841" s="40" t="str">
        <f ca="1">IFERROR(__xludf.DUMMYFUNCTION("""COMPUTED_VALUE"""),"FORMACIÓN 18/10/2022")</f>
        <v>FORMACIÓN 18/10/2022</v>
      </c>
      <c r="C841" s="40" t="str">
        <f ca="1">IFERROR(__xludf.DUMMYFUNCTION("""COMPUTED_VALUE"""),"GREGORIO ARNULFO FLOREZ RUIZ")</f>
        <v>GREGORIO ARNULFO FLOREZ RUIZ</v>
      </c>
      <c r="D841" s="40" t="str">
        <f ca="1">IFERROR(__xludf.DUMMYFUNCTION("""COMPUTED_VALUE"""),"CC")</f>
        <v>CC</v>
      </c>
      <c r="E841" s="40">
        <f ca="1">IFERROR(__xludf.DUMMYFUNCTION("""COMPUTED_VALUE"""),1030575275)</f>
        <v>1030575275</v>
      </c>
      <c r="F841" s="40">
        <f ca="1">IFERROR(__xludf.DUMMYFUNCTION("""COMPUTED_VALUE"""),2282078)</f>
        <v>2282078</v>
      </c>
      <c r="G841" s="40" t="str">
        <f ca="1">IFERROR(__xludf.DUMMYFUNCTION("""COMPUTED_VALUE"""),"TECNÓLOGO")</f>
        <v>TECNÓLOGO</v>
      </c>
      <c r="H841" s="40" t="str">
        <f ca="1">IFERROR(__xludf.DUMMYFUNCTION("""COMPUTED_VALUE"""),"ANALISIS Y DESARROLLO DE SISTEMAS DE INFORMACION")</f>
        <v>ANALISIS Y DESARROLLO DE SISTEMAS DE INFORMACION</v>
      </c>
      <c r="I841" s="40"/>
      <c r="J841" s="40"/>
      <c r="K841" s="40"/>
      <c r="L841" s="40" t="str">
        <f ca="1">IFERROR(__xludf.DUMMYFUNCTION("""COMPUTED_VALUE"""),"NO HA INICIADO ETAPA PRODUCTIVA")</f>
        <v>NO HA INICIADO ETAPA PRODUCTIVA</v>
      </c>
      <c r="M841" s="40"/>
      <c r="N841" s="40"/>
      <c r="O841" s="40"/>
      <c r="P841" s="40"/>
      <c r="Q841" s="40"/>
      <c r="R841" s="140"/>
      <c r="S841" s="1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t="str">
        <f ca="1">IFERROR(__xludf.DUMMYFUNCTION("""COMPUTED_VALUE"""),"NO_CUMPLE")</f>
        <v>NO_CUMPLE</v>
      </c>
      <c r="AV841" s="40" t="str">
        <f ca="1">IFERROR(__xludf.DUMMYFUNCTION("""COMPUTED_VALUE"""),"EN FORMACION")</f>
        <v>EN FORMACION</v>
      </c>
      <c r="AW841" s="40" t="str">
        <f ca="1">IFERROR(__xludf.DUMMYFUNCTION("""COMPUTED_VALUE"""),"TIC")</f>
        <v>TIC</v>
      </c>
      <c r="AX841" s="141">
        <f ca="1">IFERROR(__xludf.DUMMYFUNCTION("""COMPUTED_VALUE"""),5)</f>
        <v>5</v>
      </c>
      <c r="AY841" s="40">
        <f ca="1">IFERROR(__xludf.DUMMYFUNCTION("""COMPUTED_VALUE"""),5)</f>
        <v>5</v>
      </c>
      <c r="AZ841" s="40">
        <f ca="1">IFERROR(__xludf.DUMMYFUNCTION("""COMPUTED_VALUE"""),1)</f>
        <v>1</v>
      </c>
      <c r="BA841" s="40">
        <f ca="1">IFERROR(__xludf.DUMMYFUNCTION("""COMPUTED_VALUE"""),13)</f>
        <v>13</v>
      </c>
      <c r="BB841" s="40">
        <f ca="1">IFERROR(__xludf.DUMMYFUNCTION("""COMPUTED_VALUE"""),32)</f>
        <v>32</v>
      </c>
      <c r="BC841" s="40">
        <f ca="1">IFERROR(__xludf.DUMMYFUNCTION("""COMPUTED_VALUE"""),51)</f>
        <v>51</v>
      </c>
      <c r="BD841" s="141">
        <f ca="1">IFERROR(__xludf.DUMMYFUNCTION("""COMPUTED_VALUE"""),44270)</f>
        <v>44270</v>
      </c>
      <c r="BE841" s="141">
        <f ca="1">IFERROR(__xludf.DUMMYFUNCTION("""COMPUTED_VALUE"""),44818)</f>
        <v>44818</v>
      </c>
      <c r="BF841" s="141">
        <f ca="1">IFERROR(__xludf.DUMMYFUNCTION("""COMPUTED_VALUE"""),44999)</f>
        <v>44999</v>
      </c>
      <c r="BG841" s="141">
        <f ca="1">IFERROR(__xludf.DUMMYFUNCTION("""COMPUTED_VALUE"""),45549)</f>
        <v>45549</v>
      </c>
      <c r="BH841" s="40" t="str">
        <f ca="1">IFERROR(__xludf.DUMMYFUNCTION("""COMPUTED_VALUE"""),"FICHA EN TIEMPO-18 MESES")</f>
        <v>FICHA EN TIEMPO-18 MESES</v>
      </c>
      <c r="BI841" s="40" t="str">
        <f ca="1">IFERROR(__xludf.DUMMYFUNCTION("""COMPUTED_VALUE"""),"En ejecucion")</f>
        <v>En ejecucion</v>
      </c>
      <c r="BJ841" s="40" t="str">
        <f ca="1">IFERROR(__xludf.DUMMYFUNCTION("""COMPUTED_VALUE"""),"Yamboro")</f>
        <v>Yamboro</v>
      </c>
      <c r="BK841" s="40"/>
      <c r="BL841" s="40"/>
    </row>
    <row r="842" spans="1:64" ht="13">
      <c r="A842" s="40"/>
      <c r="B842" s="40" t="str">
        <f ca="1">IFERROR(__xludf.DUMMYFUNCTION("""COMPUTED_VALUE"""),"FORMACIÓN 18/10/2022")</f>
        <v>FORMACIÓN 18/10/2022</v>
      </c>
      <c r="C842" s="40" t="str">
        <f ca="1">IFERROR(__xludf.DUMMYFUNCTION("""COMPUTED_VALUE"""),"DIEGO ALEXANDER TOBON CIFUENTES")</f>
        <v>DIEGO ALEXANDER TOBON CIFUENTES</v>
      </c>
      <c r="D842" s="40" t="str">
        <f ca="1">IFERROR(__xludf.DUMMYFUNCTION("""COMPUTED_VALUE"""),"CC")</f>
        <v>CC</v>
      </c>
      <c r="E842" s="40">
        <f ca="1">IFERROR(__xludf.DUMMYFUNCTION("""COMPUTED_VALUE"""),1036838144)</f>
        <v>1036838144</v>
      </c>
      <c r="F842" s="40">
        <f ca="1">IFERROR(__xludf.DUMMYFUNCTION("""COMPUTED_VALUE"""),2282078)</f>
        <v>2282078</v>
      </c>
      <c r="G842" s="40" t="str">
        <f ca="1">IFERROR(__xludf.DUMMYFUNCTION("""COMPUTED_VALUE"""),"TECNÓLOGO")</f>
        <v>TECNÓLOGO</v>
      </c>
      <c r="H842" s="40" t="str">
        <f ca="1">IFERROR(__xludf.DUMMYFUNCTION("""COMPUTED_VALUE"""),"ANALISIS Y DESARROLLO DE SISTEMAS DE INFORMACION")</f>
        <v>ANALISIS Y DESARROLLO DE SISTEMAS DE INFORMACION</v>
      </c>
      <c r="I842" s="40"/>
      <c r="J842" s="40"/>
      <c r="K842" s="40"/>
      <c r="L842" s="40" t="str">
        <f ca="1">IFERROR(__xludf.DUMMYFUNCTION("""COMPUTED_VALUE"""),"NO HA INICIADO ETAPA PRODUCTIVA")</f>
        <v>NO HA INICIADO ETAPA PRODUCTIVA</v>
      </c>
      <c r="M842" s="40"/>
      <c r="N842" s="40"/>
      <c r="O842" s="40"/>
      <c r="P842" s="40"/>
      <c r="Q842" s="40"/>
      <c r="R842" s="140"/>
      <c r="S842" s="1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t="str">
        <f ca="1">IFERROR(__xludf.DUMMYFUNCTION("""COMPUTED_VALUE"""),"NO_CUMPLE")</f>
        <v>NO_CUMPLE</v>
      </c>
      <c r="AV842" s="40" t="str">
        <f ca="1">IFERROR(__xludf.DUMMYFUNCTION("""COMPUTED_VALUE"""),"EN FORMACION")</f>
        <v>EN FORMACION</v>
      </c>
      <c r="AW842" s="40" t="str">
        <f ca="1">IFERROR(__xludf.DUMMYFUNCTION("""COMPUTED_VALUE"""),"TIC")</f>
        <v>TIC</v>
      </c>
      <c r="AX842" s="141">
        <f ca="1">IFERROR(__xludf.DUMMYFUNCTION("""COMPUTED_VALUE"""),0)</f>
        <v>0</v>
      </c>
      <c r="AY842" s="40">
        <f ca="1">IFERROR(__xludf.DUMMYFUNCTION("""COMPUTED_VALUE"""),0)</f>
        <v>0</v>
      </c>
      <c r="AZ842" s="40">
        <f ca="1">IFERROR(__xludf.DUMMYFUNCTION("""COMPUTED_VALUE"""),1)</f>
        <v>1</v>
      </c>
      <c r="BA842" s="40">
        <f ca="1">IFERROR(__xludf.DUMMYFUNCTION("""COMPUTED_VALUE"""),0)</f>
        <v>0</v>
      </c>
      <c r="BB842" s="40">
        <f ca="1">IFERROR(__xludf.DUMMYFUNCTION("""COMPUTED_VALUE"""),34)</f>
        <v>34</v>
      </c>
      <c r="BC842" s="40">
        <f ca="1">IFERROR(__xludf.DUMMYFUNCTION("""COMPUTED_VALUE"""),35)</f>
        <v>35</v>
      </c>
      <c r="BD842" s="141">
        <f ca="1">IFERROR(__xludf.DUMMYFUNCTION("""COMPUTED_VALUE"""),44270)</f>
        <v>44270</v>
      </c>
      <c r="BE842" s="141">
        <f ca="1">IFERROR(__xludf.DUMMYFUNCTION("""COMPUTED_VALUE"""),44818)</f>
        <v>44818</v>
      </c>
      <c r="BF842" s="141">
        <f ca="1">IFERROR(__xludf.DUMMYFUNCTION("""COMPUTED_VALUE"""),44999)</f>
        <v>44999</v>
      </c>
      <c r="BG842" s="141">
        <f ca="1">IFERROR(__xludf.DUMMYFUNCTION("""COMPUTED_VALUE"""),45549)</f>
        <v>45549</v>
      </c>
      <c r="BH842" s="40" t="str">
        <f ca="1">IFERROR(__xludf.DUMMYFUNCTION("""COMPUTED_VALUE"""),"FICHA EN TIEMPO-18 MESES")</f>
        <v>FICHA EN TIEMPO-18 MESES</v>
      </c>
      <c r="BI842" s="40" t="str">
        <f ca="1">IFERROR(__xludf.DUMMYFUNCTION("""COMPUTED_VALUE"""),"En ejecucion")</f>
        <v>En ejecucion</v>
      </c>
      <c r="BJ842" s="40" t="str">
        <f ca="1">IFERROR(__xludf.DUMMYFUNCTION("""COMPUTED_VALUE"""),"Yamboro")</f>
        <v>Yamboro</v>
      </c>
      <c r="BK842" s="40"/>
      <c r="BL842" s="40"/>
    </row>
    <row r="843" spans="1:64" ht="13">
      <c r="A843" s="40"/>
      <c r="B843" s="40" t="str">
        <f ca="1">IFERROR(__xludf.DUMMYFUNCTION("""COMPUTED_VALUE"""),"FORMACIÓN 18/10/2022")</f>
        <v>FORMACIÓN 18/10/2022</v>
      </c>
      <c r="C843" s="40" t="str">
        <f ca="1">IFERROR(__xludf.DUMMYFUNCTION("""COMPUTED_VALUE"""),"MIGUEL ANGEL CORTINA MENDOZA")</f>
        <v>MIGUEL ANGEL CORTINA MENDOZA</v>
      </c>
      <c r="D843" s="40" t="str">
        <f ca="1">IFERROR(__xludf.DUMMYFUNCTION("""COMPUTED_VALUE"""),"CC")</f>
        <v>CC</v>
      </c>
      <c r="E843" s="40">
        <f ca="1">IFERROR(__xludf.DUMMYFUNCTION("""COMPUTED_VALUE"""),1049826692)</f>
        <v>1049826692</v>
      </c>
      <c r="F843" s="40">
        <f ca="1">IFERROR(__xludf.DUMMYFUNCTION("""COMPUTED_VALUE"""),2282078)</f>
        <v>2282078</v>
      </c>
      <c r="G843" s="40" t="str">
        <f ca="1">IFERROR(__xludf.DUMMYFUNCTION("""COMPUTED_VALUE"""),"TECNÓLOGO")</f>
        <v>TECNÓLOGO</v>
      </c>
      <c r="H843" s="40" t="str">
        <f ca="1">IFERROR(__xludf.DUMMYFUNCTION("""COMPUTED_VALUE"""),"ANALISIS Y DESARROLLO DE SISTEMAS DE INFORMACION")</f>
        <v>ANALISIS Y DESARROLLO DE SISTEMAS DE INFORMACION</v>
      </c>
      <c r="I843" s="40"/>
      <c r="J843" s="40"/>
      <c r="K843" s="40"/>
      <c r="L843" s="40" t="str">
        <f ca="1">IFERROR(__xludf.DUMMYFUNCTION("""COMPUTED_VALUE"""),"NO HA INICIADO ETAPA PRODUCTIVA")</f>
        <v>NO HA INICIADO ETAPA PRODUCTIVA</v>
      </c>
      <c r="M843" s="40"/>
      <c r="N843" s="40"/>
      <c r="O843" s="40"/>
      <c r="P843" s="40"/>
      <c r="Q843" s="40"/>
      <c r="R843" s="140"/>
      <c r="S843" s="1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t="str">
        <f ca="1">IFERROR(__xludf.DUMMYFUNCTION("""COMPUTED_VALUE"""),"NO_CUMPLE")</f>
        <v>NO_CUMPLE</v>
      </c>
      <c r="AV843" s="40" t="str">
        <f ca="1">IFERROR(__xludf.DUMMYFUNCTION("""COMPUTED_VALUE"""),"EN FORMACION")</f>
        <v>EN FORMACION</v>
      </c>
      <c r="AW843" s="40" t="str">
        <f ca="1">IFERROR(__xludf.DUMMYFUNCTION("""COMPUTED_VALUE"""),"TIC")</f>
        <v>TIC</v>
      </c>
      <c r="AX843" s="141">
        <f ca="1">IFERROR(__xludf.DUMMYFUNCTION("""COMPUTED_VALUE"""),4)</f>
        <v>4</v>
      </c>
      <c r="AY843" s="40">
        <f ca="1">IFERROR(__xludf.DUMMYFUNCTION("""COMPUTED_VALUE"""),4)</f>
        <v>4</v>
      </c>
      <c r="AZ843" s="40">
        <f ca="1">IFERROR(__xludf.DUMMYFUNCTION("""COMPUTED_VALUE"""),1)</f>
        <v>1</v>
      </c>
      <c r="BA843" s="40">
        <f ca="1">IFERROR(__xludf.DUMMYFUNCTION("""COMPUTED_VALUE"""),13)</f>
        <v>13</v>
      </c>
      <c r="BB843" s="40">
        <f ca="1">IFERROR(__xludf.DUMMYFUNCTION("""COMPUTED_VALUE"""),23)</f>
        <v>23</v>
      </c>
      <c r="BC843" s="40">
        <f ca="1">IFERROR(__xludf.DUMMYFUNCTION("""COMPUTED_VALUE"""),41)</f>
        <v>41</v>
      </c>
      <c r="BD843" s="141">
        <f ca="1">IFERROR(__xludf.DUMMYFUNCTION("""COMPUTED_VALUE"""),44270)</f>
        <v>44270</v>
      </c>
      <c r="BE843" s="141">
        <f ca="1">IFERROR(__xludf.DUMMYFUNCTION("""COMPUTED_VALUE"""),44818)</f>
        <v>44818</v>
      </c>
      <c r="BF843" s="141">
        <f ca="1">IFERROR(__xludf.DUMMYFUNCTION("""COMPUTED_VALUE"""),44999)</f>
        <v>44999</v>
      </c>
      <c r="BG843" s="141">
        <f ca="1">IFERROR(__xludf.DUMMYFUNCTION("""COMPUTED_VALUE"""),45549)</f>
        <v>45549</v>
      </c>
      <c r="BH843" s="40" t="str">
        <f ca="1">IFERROR(__xludf.DUMMYFUNCTION("""COMPUTED_VALUE"""),"FICHA EN TIEMPO-18 MESES")</f>
        <v>FICHA EN TIEMPO-18 MESES</v>
      </c>
      <c r="BI843" s="40" t="str">
        <f ca="1">IFERROR(__xludf.DUMMYFUNCTION("""COMPUTED_VALUE"""),"En ejecucion")</f>
        <v>En ejecucion</v>
      </c>
      <c r="BJ843" s="40" t="str">
        <f ca="1">IFERROR(__xludf.DUMMYFUNCTION("""COMPUTED_VALUE"""),"Yamboro")</f>
        <v>Yamboro</v>
      </c>
      <c r="BK843" s="40"/>
      <c r="BL843" s="40"/>
    </row>
    <row r="844" spans="1:64" ht="13">
      <c r="A844" s="40"/>
      <c r="B844" s="40" t="str">
        <f ca="1">IFERROR(__xludf.DUMMYFUNCTION("""COMPUTED_VALUE"""),"FORMACIÓN 18/10/2022")</f>
        <v>FORMACIÓN 18/10/2022</v>
      </c>
      <c r="C844" s="40" t="str">
        <f ca="1">IFERROR(__xludf.DUMMYFUNCTION("""COMPUTED_VALUE"""),"OLIVER SMITH VILLAMIL IBAÑEZ")</f>
        <v>OLIVER SMITH VILLAMIL IBAÑEZ</v>
      </c>
      <c r="D844" s="40" t="str">
        <f ca="1">IFERROR(__xludf.DUMMYFUNCTION("""COMPUTED_VALUE"""),"CC")</f>
        <v>CC</v>
      </c>
      <c r="E844" s="40">
        <f ca="1">IFERROR(__xludf.DUMMYFUNCTION("""COMPUTED_VALUE"""),1082254440)</f>
        <v>1082254440</v>
      </c>
      <c r="F844" s="40">
        <f ca="1">IFERROR(__xludf.DUMMYFUNCTION("""COMPUTED_VALUE"""),2282078)</f>
        <v>2282078</v>
      </c>
      <c r="G844" s="40" t="str">
        <f ca="1">IFERROR(__xludf.DUMMYFUNCTION("""COMPUTED_VALUE"""),"TECNÓLOGO")</f>
        <v>TECNÓLOGO</v>
      </c>
      <c r="H844" s="40" t="str">
        <f ca="1">IFERROR(__xludf.DUMMYFUNCTION("""COMPUTED_VALUE"""),"ANALISIS Y DESARROLLO DE SISTEMAS DE INFORMACION")</f>
        <v>ANALISIS Y DESARROLLO DE SISTEMAS DE INFORMACION</v>
      </c>
      <c r="I844" s="40"/>
      <c r="J844" s="40"/>
      <c r="K844" s="40"/>
      <c r="L844" s="40" t="str">
        <f ca="1">IFERROR(__xludf.DUMMYFUNCTION("""COMPUTED_VALUE"""),"NO HA INICIADO ETAPA PRODUCTIVA")</f>
        <v>NO HA INICIADO ETAPA PRODUCTIVA</v>
      </c>
      <c r="M844" s="40"/>
      <c r="N844" s="40"/>
      <c r="O844" s="40"/>
      <c r="P844" s="40"/>
      <c r="Q844" s="40"/>
      <c r="R844" s="140"/>
      <c r="S844" s="1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t="str">
        <f ca="1">IFERROR(__xludf.DUMMYFUNCTION("""COMPUTED_VALUE"""),"Procede_E_P")</f>
        <v>Procede_E_P</v>
      </c>
      <c r="AV844" s="40" t="str">
        <f ca="1">IFERROR(__xludf.DUMMYFUNCTION("""COMPUTED_VALUE"""),"EN FORMACION")</f>
        <v>EN FORMACION</v>
      </c>
      <c r="AW844" s="40" t="str">
        <f ca="1">IFERROR(__xludf.DUMMYFUNCTION("""COMPUTED_VALUE"""),"TIC")</f>
        <v>TIC</v>
      </c>
      <c r="AX844" s="141">
        <f ca="1">IFERROR(__xludf.DUMMYFUNCTION("""COMPUTED_VALUE"""),0)</f>
        <v>0</v>
      </c>
      <c r="AY844" s="40">
        <f ca="1">IFERROR(__xludf.DUMMYFUNCTION("""COMPUTED_VALUE"""),0)</f>
        <v>0</v>
      </c>
      <c r="AZ844" s="40">
        <f ca="1">IFERROR(__xludf.DUMMYFUNCTION("""COMPUTED_VALUE"""),1)</f>
        <v>1</v>
      </c>
      <c r="BA844" s="40">
        <f ca="1">IFERROR(__xludf.DUMMYFUNCTION("""COMPUTED_VALUE"""),0)</f>
        <v>0</v>
      </c>
      <c r="BB844" s="40">
        <f ca="1">IFERROR(__xludf.DUMMYFUNCTION("""COMPUTED_VALUE"""),0)</f>
        <v>0</v>
      </c>
      <c r="BC844" s="40">
        <f ca="1">IFERROR(__xludf.DUMMYFUNCTION("""COMPUTED_VALUE"""),1)</f>
        <v>1</v>
      </c>
      <c r="BD844" s="141">
        <f ca="1">IFERROR(__xludf.DUMMYFUNCTION("""COMPUTED_VALUE"""),44270)</f>
        <v>44270</v>
      </c>
      <c r="BE844" s="141">
        <f ca="1">IFERROR(__xludf.DUMMYFUNCTION("""COMPUTED_VALUE"""),44818)</f>
        <v>44818</v>
      </c>
      <c r="BF844" s="141">
        <f ca="1">IFERROR(__xludf.DUMMYFUNCTION("""COMPUTED_VALUE"""),44999)</f>
        <v>44999</v>
      </c>
      <c r="BG844" s="141">
        <f ca="1">IFERROR(__xludf.DUMMYFUNCTION("""COMPUTED_VALUE"""),45549)</f>
        <v>45549</v>
      </c>
      <c r="BH844" s="40" t="str">
        <f ca="1">IFERROR(__xludf.DUMMYFUNCTION("""COMPUTED_VALUE"""),"FICHA EN TIEMPO-18 MESES")</f>
        <v>FICHA EN TIEMPO-18 MESES</v>
      </c>
      <c r="BI844" s="40" t="str">
        <f ca="1">IFERROR(__xludf.DUMMYFUNCTION("""COMPUTED_VALUE"""),"En ejecucion")</f>
        <v>En ejecucion</v>
      </c>
      <c r="BJ844" s="40" t="str">
        <f ca="1">IFERROR(__xludf.DUMMYFUNCTION("""COMPUTED_VALUE"""),"Yamboro")</f>
        <v>Yamboro</v>
      </c>
      <c r="BK844" s="40"/>
      <c r="BL844" s="40"/>
    </row>
    <row r="845" spans="1:64" ht="13">
      <c r="A845" s="40"/>
      <c r="B845" s="40" t="str">
        <f ca="1">IFERROR(__xludf.DUMMYFUNCTION("""COMPUTED_VALUE"""),"FORMACIÓN 18/10/2022")</f>
        <v>FORMACIÓN 18/10/2022</v>
      </c>
      <c r="C845" s="40" t="str">
        <f ca="1">IFERROR(__xludf.DUMMYFUNCTION("""COMPUTED_VALUE"""),"MARIA FERNANDA SARRIA SALAZAR")</f>
        <v>MARIA FERNANDA SARRIA SALAZAR</v>
      </c>
      <c r="D845" s="40" t="str">
        <f ca="1">IFERROR(__xludf.DUMMYFUNCTION("""COMPUTED_VALUE"""),"CC")</f>
        <v>CC</v>
      </c>
      <c r="E845" s="40">
        <f ca="1">IFERROR(__xludf.DUMMYFUNCTION("""COMPUTED_VALUE"""),1130595215)</f>
        <v>1130595215</v>
      </c>
      <c r="F845" s="40">
        <f ca="1">IFERROR(__xludf.DUMMYFUNCTION("""COMPUTED_VALUE"""),2282078)</f>
        <v>2282078</v>
      </c>
      <c r="G845" s="40" t="str">
        <f ca="1">IFERROR(__xludf.DUMMYFUNCTION("""COMPUTED_VALUE"""),"TECNÓLOGO")</f>
        <v>TECNÓLOGO</v>
      </c>
      <c r="H845" s="40" t="str">
        <f ca="1">IFERROR(__xludf.DUMMYFUNCTION("""COMPUTED_VALUE"""),"ANALISIS Y DESARROLLO DE SISTEMAS DE INFORMACION")</f>
        <v>ANALISIS Y DESARROLLO DE SISTEMAS DE INFORMACION</v>
      </c>
      <c r="I845" s="40"/>
      <c r="J845" s="40"/>
      <c r="K845" s="40"/>
      <c r="L845" s="40" t="str">
        <f ca="1">IFERROR(__xludf.DUMMYFUNCTION("""COMPUTED_VALUE"""),"NO HA INICIADO ETAPA PRODUCTIVA")</f>
        <v>NO HA INICIADO ETAPA PRODUCTIVA</v>
      </c>
      <c r="M845" s="40"/>
      <c r="N845" s="40"/>
      <c r="O845" s="40"/>
      <c r="P845" s="40"/>
      <c r="Q845" s="40"/>
      <c r="R845" s="140"/>
      <c r="S845" s="1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t="str">
        <f ca="1">IFERROR(__xludf.DUMMYFUNCTION("""COMPUTED_VALUE"""),"NO_CUMPLE")</f>
        <v>NO_CUMPLE</v>
      </c>
      <c r="AV845" s="40" t="str">
        <f ca="1">IFERROR(__xludf.DUMMYFUNCTION("""COMPUTED_VALUE"""),"EN FORMACION")</f>
        <v>EN FORMACION</v>
      </c>
      <c r="AW845" s="40" t="str">
        <f ca="1">IFERROR(__xludf.DUMMYFUNCTION("""COMPUTED_VALUE"""),"TIC")</f>
        <v>TIC</v>
      </c>
      <c r="AX845" s="141">
        <f ca="1">IFERROR(__xludf.DUMMYFUNCTION("""COMPUTED_VALUE"""),8)</f>
        <v>8</v>
      </c>
      <c r="AY845" s="40">
        <f ca="1">IFERROR(__xludf.DUMMYFUNCTION("""COMPUTED_VALUE"""),8)</f>
        <v>8</v>
      </c>
      <c r="AZ845" s="40">
        <f ca="1">IFERROR(__xludf.DUMMYFUNCTION("""COMPUTED_VALUE"""),1)</f>
        <v>1</v>
      </c>
      <c r="BA845" s="40">
        <f ca="1">IFERROR(__xludf.DUMMYFUNCTION("""COMPUTED_VALUE"""),13)</f>
        <v>13</v>
      </c>
      <c r="BB845" s="40">
        <f ca="1">IFERROR(__xludf.DUMMYFUNCTION("""COMPUTED_VALUE"""),36)</f>
        <v>36</v>
      </c>
      <c r="BC845" s="40">
        <f ca="1">IFERROR(__xludf.DUMMYFUNCTION("""COMPUTED_VALUE"""),58)</f>
        <v>58</v>
      </c>
      <c r="BD845" s="141">
        <f ca="1">IFERROR(__xludf.DUMMYFUNCTION("""COMPUTED_VALUE"""),44270)</f>
        <v>44270</v>
      </c>
      <c r="BE845" s="141">
        <f ca="1">IFERROR(__xludf.DUMMYFUNCTION("""COMPUTED_VALUE"""),44818)</f>
        <v>44818</v>
      </c>
      <c r="BF845" s="141">
        <f ca="1">IFERROR(__xludf.DUMMYFUNCTION("""COMPUTED_VALUE"""),44999)</f>
        <v>44999</v>
      </c>
      <c r="BG845" s="141">
        <f ca="1">IFERROR(__xludf.DUMMYFUNCTION("""COMPUTED_VALUE"""),45549)</f>
        <v>45549</v>
      </c>
      <c r="BH845" s="40" t="str">
        <f ca="1">IFERROR(__xludf.DUMMYFUNCTION("""COMPUTED_VALUE"""),"FICHA EN TIEMPO-18 MESES")</f>
        <v>FICHA EN TIEMPO-18 MESES</v>
      </c>
      <c r="BI845" s="40" t="str">
        <f ca="1">IFERROR(__xludf.DUMMYFUNCTION("""COMPUTED_VALUE"""),"En ejecucion")</f>
        <v>En ejecucion</v>
      </c>
      <c r="BJ845" s="40" t="str">
        <f ca="1">IFERROR(__xludf.DUMMYFUNCTION("""COMPUTED_VALUE"""),"Yamboro")</f>
        <v>Yamboro</v>
      </c>
      <c r="BK845" s="40"/>
      <c r="BL845" s="40"/>
    </row>
    <row r="846" spans="1:64" ht="13">
      <c r="A846" s="40"/>
      <c r="B846" s="40" t="str">
        <f ca="1">IFERROR(__xludf.DUMMYFUNCTION("""COMPUTED_VALUE"""),"FORMACIÓN 18/10/2022")</f>
        <v>FORMACIÓN 18/10/2022</v>
      </c>
      <c r="C846" s="40" t="str">
        <f ca="1">IFERROR(__xludf.DUMMYFUNCTION("""COMPUTED_VALUE"""),"STEVEN ALBERTO BALLESTAS ATEHORTUA")</f>
        <v>STEVEN ALBERTO BALLESTAS ATEHORTUA</v>
      </c>
      <c r="D846" s="40" t="str">
        <f ca="1">IFERROR(__xludf.DUMMYFUNCTION("""COMPUTED_VALUE"""),"CC")</f>
        <v>CC</v>
      </c>
      <c r="E846" s="40">
        <f ca="1">IFERROR(__xludf.DUMMYFUNCTION("""COMPUTED_VALUE"""),1152684410)</f>
        <v>1152684410</v>
      </c>
      <c r="F846" s="40">
        <f ca="1">IFERROR(__xludf.DUMMYFUNCTION("""COMPUTED_VALUE"""),2282078)</f>
        <v>2282078</v>
      </c>
      <c r="G846" s="40" t="str">
        <f ca="1">IFERROR(__xludf.DUMMYFUNCTION("""COMPUTED_VALUE"""),"TECNÓLOGO")</f>
        <v>TECNÓLOGO</v>
      </c>
      <c r="H846" s="40" t="str">
        <f ca="1">IFERROR(__xludf.DUMMYFUNCTION("""COMPUTED_VALUE"""),"ANALISIS Y DESARROLLO DE SISTEMAS DE INFORMACION")</f>
        <v>ANALISIS Y DESARROLLO DE SISTEMAS DE INFORMACION</v>
      </c>
      <c r="I846" s="40"/>
      <c r="J846" s="40"/>
      <c r="K846" s="40"/>
      <c r="L846" s="40" t="str">
        <f ca="1">IFERROR(__xludf.DUMMYFUNCTION("""COMPUTED_VALUE"""),"NO HA INICIADO ETAPA PRODUCTIVA")</f>
        <v>NO HA INICIADO ETAPA PRODUCTIVA</v>
      </c>
      <c r="M846" s="40"/>
      <c r="N846" s="40"/>
      <c r="O846" s="40"/>
      <c r="P846" s="40"/>
      <c r="Q846" s="40"/>
      <c r="R846" s="140"/>
      <c r="S846" s="1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t="str">
        <f ca="1">IFERROR(__xludf.DUMMYFUNCTION("""COMPUTED_VALUE"""),"NO_CUMPLE")</f>
        <v>NO_CUMPLE</v>
      </c>
      <c r="AV846" s="40" t="str">
        <f ca="1">IFERROR(__xludf.DUMMYFUNCTION("""COMPUTED_VALUE"""),"EN FORMACION")</f>
        <v>EN FORMACION</v>
      </c>
      <c r="AW846" s="40" t="str">
        <f ca="1">IFERROR(__xludf.DUMMYFUNCTION("""COMPUTED_VALUE"""),"TIC")</f>
        <v>TIC</v>
      </c>
      <c r="AX846" s="141">
        <f ca="1">IFERROR(__xludf.DUMMYFUNCTION("""COMPUTED_VALUE"""),7)</f>
        <v>7</v>
      </c>
      <c r="AY846" s="40">
        <f ca="1">IFERROR(__xludf.DUMMYFUNCTION("""COMPUTED_VALUE"""),7)</f>
        <v>7</v>
      </c>
      <c r="AZ846" s="40">
        <f ca="1">IFERROR(__xludf.DUMMYFUNCTION("""COMPUTED_VALUE"""),1)</f>
        <v>1</v>
      </c>
      <c r="BA846" s="40">
        <f ca="1">IFERROR(__xludf.DUMMYFUNCTION("""COMPUTED_VALUE"""),13)</f>
        <v>13</v>
      </c>
      <c r="BB846" s="40">
        <f ca="1">IFERROR(__xludf.DUMMYFUNCTION("""COMPUTED_VALUE"""),36)</f>
        <v>36</v>
      </c>
      <c r="BC846" s="40">
        <f ca="1">IFERROR(__xludf.DUMMYFUNCTION("""COMPUTED_VALUE"""),57)</f>
        <v>57</v>
      </c>
      <c r="BD846" s="141">
        <f ca="1">IFERROR(__xludf.DUMMYFUNCTION("""COMPUTED_VALUE"""),44270)</f>
        <v>44270</v>
      </c>
      <c r="BE846" s="141">
        <f ca="1">IFERROR(__xludf.DUMMYFUNCTION("""COMPUTED_VALUE"""),44818)</f>
        <v>44818</v>
      </c>
      <c r="BF846" s="141">
        <f ca="1">IFERROR(__xludf.DUMMYFUNCTION("""COMPUTED_VALUE"""),44999)</f>
        <v>44999</v>
      </c>
      <c r="BG846" s="141">
        <f ca="1">IFERROR(__xludf.DUMMYFUNCTION("""COMPUTED_VALUE"""),45549)</f>
        <v>45549</v>
      </c>
      <c r="BH846" s="40" t="str">
        <f ca="1">IFERROR(__xludf.DUMMYFUNCTION("""COMPUTED_VALUE"""),"FICHA EN TIEMPO-18 MESES")</f>
        <v>FICHA EN TIEMPO-18 MESES</v>
      </c>
      <c r="BI846" s="40" t="str">
        <f ca="1">IFERROR(__xludf.DUMMYFUNCTION("""COMPUTED_VALUE"""),"En ejecucion")</f>
        <v>En ejecucion</v>
      </c>
      <c r="BJ846" s="40" t="str">
        <f ca="1">IFERROR(__xludf.DUMMYFUNCTION("""COMPUTED_VALUE"""),"Yamboro")</f>
        <v>Yamboro</v>
      </c>
      <c r="BK846" s="40"/>
      <c r="BL846" s="40"/>
    </row>
    <row r="847" spans="1:64" ht="13">
      <c r="A847" s="40"/>
      <c r="B847" s="40" t="str">
        <f ca="1">IFERROR(__xludf.DUMMYFUNCTION("""COMPUTED_VALUE"""),"FORMACIÓN 18/10/2022")</f>
        <v>FORMACIÓN 18/10/2022</v>
      </c>
      <c r="C847" s="40" t="str">
        <f ca="1">IFERROR(__xludf.DUMMYFUNCTION("""COMPUTED_VALUE"""),"ESTEFANIA OLAYA LOZADA")</f>
        <v>ESTEFANIA OLAYA LOZADA</v>
      </c>
      <c r="D847" s="40" t="str">
        <f ca="1">IFERROR(__xludf.DUMMYFUNCTION("""COMPUTED_VALUE"""),"TI")</f>
        <v>TI</v>
      </c>
      <c r="E847" s="40">
        <f ca="1">IFERROR(__xludf.DUMMYFUNCTION("""COMPUTED_VALUE"""),1192742120)</f>
        <v>1192742120</v>
      </c>
      <c r="F847" s="40">
        <f ca="1">IFERROR(__xludf.DUMMYFUNCTION("""COMPUTED_VALUE"""),2282078)</f>
        <v>2282078</v>
      </c>
      <c r="G847" s="40" t="str">
        <f ca="1">IFERROR(__xludf.DUMMYFUNCTION("""COMPUTED_VALUE"""),"TECNÓLOGO")</f>
        <v>TECNÓLOGO</v>
      </c>
      <c r="H847" s="40" t="str">
        <f ca="1">IFERROR(__xludf.DUMMYFUNCTION("""COMPUTED_VALUE"""),"ANALISIS Y DESARROLLO DE SISTEMAS DE INFORMACION")</f>
        <v>ANALISIS Y DESARROLLO DE SISTEMAS DE INFORMACION</v>
      </c>
      <c r="I847" s="40"/>
      <c r="J847" s="40"/>
      <c r="K847" s="40"/>
      <c r="L847" s="40" t="str">
        <f ca="1">IFERROR(__xludf.DUMMYFUNCTION("""COMPUTED_VALUE"""),"NO HA INICIADO ETAPA PRODUCTIVA")</f>
        <v>NO HA INICIADO ETAPA PRODUCTIVA</v>
      </c>
      <c r="M847" s="40"/>
      <c r="N847" s="40"/>
      <c r="O847" s="40"/>
      <c r="P847" s="40"/>
      <c r="Q847" s="40"/>
      <c r="R847" s="140"/>
      <c r="S847" s="1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t="str">
        <f ca="1">IFERROR(__xludf.DUMMYFUNCTION("""COMPUTED_VALUE"""),"NO_CUMPLE")</f>
        <v>NO_CUMPLE</v>
      </c>
      <c r="AV847" s="40" t="str">
        <f ca="1">IFERROR(__xludf.DUMMYFUNCTION("""COMPUTED_VALUE"""),"EN FORMACION")</f>
        <v>EN FORMACION</v>
      </c>
      <c r="AW847" s="40" t="str">
        <f ca="1">IFERROR(__xludf.DUMMYFUNCTION("""COMPUTED_VALUE"""),"TIC")</f>
        <v>TIC</v>
      </c>
      <c r="AX847" s="141">
        <f ca="1">IFERROR(__xludf.DUMMYFUNCTION("""COMPUTED_VALUE"""),2)</f>
        <v>2</v>
      </c>
      <c r="AY847" s="40">
        <f ca="1">IFERROR(__xludf.DUMMYFUNCTION("""COMPUTED_VALUE"""),2)</f>
        <v>2</v>
      </c>
      <c r="AZ847" s="40">
        <f ca="1">IFERROR(__xludf.DUMMYFUNCTION("""COMPUTED_VALUE"""),1)</f>
        <v>1</v>
      </c>
      <c r="BA847" s="40">
        <f ca="1">IFERROR(__xludf.DUMMYFUNCTION("""COMPUTED_VALUE"""),5)</f>
        <v>5</v>
      </c>
      <c r="BB847" s="40">
        <f ca="1">IFERROR(__xludf.DUMMYFUNCTION("""COMPUTED_VALUE"""),16)</f>
        <v>16</v>
      </c>
      <c r="BC847" s="40">
        <f ca="1">IFERROR(__xludf.DUMMYFUNCTION("""COMPUTED_VALUE"""),24)</f>
        <v>24</v>
      </c>
      <c r="BD847" s="141">
        <f ca="1">IFERROR(__xludf.DUMMYFUNCTION("""COMPUTED_VALUE"""),44270)</f>
        <v>44270</v>
      </c>
      <c r="BE847" s="141">
        <f ca="1">IFERROR(__xludf.DUMMYFUNCTION("""COMPUTED_VALUE"""),44818)</f>
        <v>44818</v>
      </c>
      <c r="BF847" s="141">
        <f ca="1">IFERROR(__xludf.DUMMYFUNCTION("""COMPUTED_VALUE"""),44999)</f>
        <v>44999</v>
      </c>
      <c r="BG847" s="141">
        <f ca="1">IFERROR(__xludf.DUMMYFUNCTION("""COMPUTED_VALUE"""),45549)</f>
        <v>45549</v>
      </c>
      <c r="BH847" s="40" t="str">
        <f ca="1">IFERROR(__xludf.DUMMYFUNCTION("""COMPUTED_VALUE"""),"FICHA EN TIEMPO-18 MESES")</f>
        <v>FICHA EN TIEMPO-18 MESES</v>
      </c>
      <c r="BI847" s="40" t="str">
        <f ca="1">IFERROR(__xludf.DUMMYFUNCTION("""COMPUTED_VALUE"""),"En ejecucion")</f>
        <v>En ejecucion</v>
      </c>
      <c r="BJ847" s="40" t="str">
        <f ca="1">IFERROR(__xludf.DUMMYFUNCTION("""COMPUTED_VALUE"""),"Yamboro")</f>
        <v>Yamboro</v>
      </c>
      <c r="BK847" s="40"/>
      <c r="BL847" s="40"/>
    </row>
    <row r="848" spans="1:64" ht="13">
      <c r="A848" s="40"/>
      <c r="B848" s="40" t="str">
        <f ca="1">IFERROR(__xludf.DUMMYFUNCTION("""COMPUTED_VALUE"""),"FORMACIÓN 18/10/2022")</f>
        <v>FORMACIÓN 18/10/2022</v>
      </c>
      <c r="C848" s="40" t="str">
        <f ca="1">IFERROR(__xludf.DUMMYFUNCTION("""COMPUTED_VALUE"""),"KEVIN BOHORQUEZ ROJAS")</f>
        <v>KEVIN BOHORQUEZ ROJAS</v>
      </c>
      <c r="D848" s="40" t="str">
        <f ca="1">IFERROR(__xludf.DUMMYFUNCTION("""COMPUTED_VALUE"""),"CC")</f>
        <v>CC</v>
      </c>
      <c r="E848" s="40">
        <f ca="1">IFERROR(__xludf.DUMMYFUNCTION("""COMPUTED_VALUE"""),1193044171)</f>
        <v>1193044171</v>
      </c>
      <c r="F848" s="40">
        <f ca="1">IFERROR(__xludf.DUMMYFUNCTION("""COMPUTED_VALUE"""),2282078)</f>
        <v>2282078</v>
      </c>
      <c r="G848" s="40" t="str">
        <f ca="1">IFERROR(__xludf.DUMMYFUNCTION("""COMPUTED_VALUE"""),"TECNÓLOGO")</f>
        <v>TECNÓLOGO</v>
      </c>
      <c r="H848" s="40" t="str">
        <f ca="1">IFERROR(__xludf.DUMMYFUNCTION("""COMPUTED_VALUE"""),"ANALISIS Y DESARROLLO DE SISTEMAS DE INFORMACION")</f>
        <v>ANALISIS Y DESARROLLO DE SISTEMAS DE INFORMACION</v>
      </c>
      <c r="I848" s="40">
        <f ca="1">IFERROR(__xludf.DUMMYFUNCTION("""COMPUTED_VALUE"""),3203031924)</f>
        <v>3203031924</v>
      </c>
      <c r="J848" s="40" t="str">
        <f ca="1">IFERROR(__xludf.DUMMYFUNCTION("""COMPUTED_VALUE"""),"bohorquezrojas17@gmail.com")</f>
        <v>bohorquezrojas17@gmail.com</v>
      </c>
      <c r="K848" s="40" t="str">
        <f ca="1">IFERROR(__xludf.DUMMYFUNCTION("""COMPUTED_VALUE"""),"BOGOTA ")</f>
        <v xml:space="preserve">BOGOTA </v>
      </c>
      <c r="L848" s="40" t="str">
        <f ca="1">IFERROR(__xludf.DUMMYFUNCTION("""COMPUTED_VALUE"""),"CONTRATO DE APRENDIZAJE ")</f>
        <v xml:space="preserve">CONTRATO DE APRENDIZAJE </v>
      </c>
      <c r="M848" s="40" t="str">
        <f ca="1">IFERROR(__xludf.DUMMYFUNCTION("""COMPUTED_VALUE"""),"INDIGO TECHONOLOGIES SAS")</f>
        <v>INDIGO TECHONOLOGIES SAS</v>
      </c>
      <c r="N848" s="40" t="str">
        <f ca="1">IFERROR(__xludf.DUMMYFUNCTION("""COMPUTED_VALUE"""),"CRA 7 N° 155C - 20 TORRE E OFICINA 3205")</f>
        <v>CRA 7 N° 155C - 20 TORRE E OFICINA 3205</v>
      </c>
      <c r="O848" s="40">
        <f ca="1">IFERROR(__xludf.DUMMYFUNCTION("""COMPUTED_VALUE"""),3167595029)</f>
        <v>3167595029</v>
      </c>
      <c r="P848" s="40" t="str">
        <f ca="1">IFERROR(__xludf.DUMMYFUNCTION("""COMPUTED_VALUE"""),"Bogotá")</f>
        <v>Bogotá</v>
      </c>
      <c r="Q848" s="40" t="str">
        <f ca="1">IFERROR(__xludf.DUMMYFUNCTION("""COMPUTED_VALUE""")," avargas@indigo.tech")</f>
        <v xml:space="preserve"> avargas@indigo.tech</v>
      </c>
      <c r="R848" s="140">
        <f ca="1">IFERROR(__xludf.DUMMYFUNCTION("""COMPUTED_VALUE"""),44820)</f>
        <v>44820</v>
      </c>
      <c r="S848" s="140">
        <f ca="1">IFERROR(__xludf.DUMMYFUNCTION("""COMPUTED_VALUE"""),44999)</f>
        <v>44999</v>
      </c>
      <c r="T848" s="40"/>
      <c r="U848" s="40" t="str">
        <f ca="1">IFERROR(__xludf.DUMMYFUNCTION("""COMPUTED_VALUE""")," CLAUDIA PARRA CASTRO")</f>
        <v xml:space="preserve"> CLAUDIA PARRA CASTRO</v>
      </c>
      <c r="V848" s="40" t="s">
        <v>650</v>
      </c>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t="str">
        <f ca="1">IFERROR(__xludf.DUMMYFUNCTION("""COMPUTED_VALUE"""),"Procede_E_P")</f>
        <v>Procede_E_P</v>
      </c>
      <c r="AV848" s="40" t="str">
        <f ca="1">IFERROR(__xludf.DUMMYFUNCTION("""COMPUTED_VALUE"""),"EN FORMACION")</f>
        <v>EN FORMACION</v>
      </c>
      <c r="AW848" s="40" t="str">
        <f ca="1">IFERROR(__xludf.DUMMYFUNCTION("""COMPUTED_VALUE"""),"TIC")</f>
        <v>TIC</v>
      </c>
      <c r="AX848" s="141">
        <f ca="1">IFERROR(__xludf.DUMMYFUNCTION("""COMPUTED_VALUE"""),0)</f>
        <v>0</v>
      </c>
      <c r="AY848" s="40">
        <f ca="1">IFERROR(__xludf.DUMMYFUNCTION("""COMPUTED_VALUE"""),0)</f>
        <v>0</v>
      </c>
      <c r="AZ848" s="40">
        <f ca="1">IFERROR(__xludf.DUMMYFUNCTION("""COMPUTED_VALUE"""),1)</f>
        <v>1</v>
      </c>
      <c r="BA848" s="40">
        <f ca="1">IFERROR(__xludf.DUMMYFUNCTION("""COMPUTED_VALUE"""),0)</f>
        <v>0</v>
      </c>
      <c r="BB848" s="40">
        <f ca="1">IFERROR(__xludf.DUMMYFUNCTION("""COMPUTED_VALUE"""),0)</f>
        <v>0</v>
      </c>
      <c r="BC848" s="40">
        <f ca="1">IFERROR(__xludf.DUMMYFUNCTION("""COMPUTED_VALUE"""),1)</f>
        <v>1</v>
      </c>
      <c r="BD848" s="141">
        <f ca="1">IFERROR(__xludf.DUMMYFUNCTION("""COMPUTED_VALUE"""),44270)</f>
        <v>44270</v>
      </c>
      <c r="BE848" s="141">
        <f ca="1">IFERROR(__xludf.DUMMYFUNCTION("""COMPUTED_VALUE"""),44818)</f>
        <v>44818</v>
      </c>
      <c r="BF848" s="141">
        <f ca="1">IFERROR(__xludf.DUMMYFUNCTION("""COMPUTED_VALUE"""),44999)</f>
        <v>44999</v>
      </c>
      <c r="BG848" s="141">
        <f ca="1">IFERROR(__xludf.DUMMYFUNCTION("""COMPUTED_VALUE"""),45549)</f>
        <v>45549</v>
      </c>
      <c r="BH848" s="40" t="str">
        <f ca="1">IFERROR(__xludf.DUMMYFUNCTION("""COMPUTED_VALUE"""),"FICHA EN TIEMPO-18 MESES")</f>
        <v>FICHA EN TIEMPO-18 MESES</v>
      </c>
      <c r="BI848" s="40" t="str">
        <f ca="1">IFERROR(__xludf.DUMMYFUNCTION("""COMPUTED_VALUE"""),"En ejecucion")</f>
        <v>En ejecucion</v>
      </c>
      <c r="BJ848" s="40" t="str">
        <f ca="1">IFERROR(__xludf.DUMMYFUNCTION("""COMPUTED_VALUE"""),"Yamboro")</f>
        <v>Yamboro</v>
      </c>
      <c r="BK848" s="40"/>
      <c r="BL848" s="40"/>
    </row>
    <row r="849" spans="1:64" ht="13">
      <c r="A849" s="40"/>
      <c r="B849" s="40" t="str">
        <f ca="1">IFERROR(__xludf.DUMMYFUNCTION("""COMPUTED_VALUE"""),"FORMACIÓN 18/10/2022")</f>
        <v>FORMACIÓN 18/10/2022</v>
      </c>
      <c r="C849" s="40" t="str">
        <f ca="1">IFERROR(__xludf.DUMMYFUNCTION("""COMPUTED_VALUE"""),"ERICA ANDREA OCHOA SUAREZ")</f>
        <v>ERICA ANDREA OCHOA SUAREZ</v>
      </c>
      <c r="D849" s="40" t="str">
        <f ca="1">IFERROR(__xludf.DUMMYFUNCTION("""COMPUTED_VALUE"""),"CC")</f>
        <v>CC</v>
      </c>
      <c r="E849" s="40">
        <f ca="1">IFERROR(__xludf.DUMMYFUNCTION("""COMPUTED_VALUE"""),33377040)</f>
        <v>33377040</v>
      </c>
      <c r="F849" s="40">
        <f ca="1">IFERROR(__xludf.DUMMYFUNCTION("""COMPUTED_VALUE"""),2282078)</f>
        <v>2282078</v>
      </c>
      <c r="G849" s="40" t="str">
        <f ca="1">IFERROR(__xludf.DUMMYFUNCTION("""COMPUTED_VALUE"""),"TECNÓLOGO")</f>
        <v>TECNÓLOGO</v>
      </c>
      <c r="H849" s="40" t="str">
        <f ca="1">IFERROR(__xludf.DUMMYFUNCTION("""COMPUTED_VALUE"""),"ANALISIS Y DESARROLLO DE SISTEMAS DE INFORMACION")</f>
        <v>ANALISIS Y DESARROLLO DE SISTEMAS DE INFORMACION</v>
      </c>
      <c r="I849" s="40"/>
      <c r="J849" s="40"/>
      <c r="K849" s="40"/>
      <c r="L849" s="40" t="str">
        <f ca="1">IFERROR(__xludf.DUMMYFUNCTION("""COMPUTED_VALUE"""),"NO HA INICIADO ETAPA PRODUCTIVA")</f>
        <v>NO HA INICIADO ETAPA PRODUCTIVA</v>
      </c>
      <c r="M849" s="40"/>
      <c r="N849" s="40"/>
      <c r="O849" s="40"/>
      <c r="P849" s="40"/>
      <c r="Q849" s="40"/>
      <c r="R849" s="140"/>
      <c r="S849" s="1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t="str">
        <f ca="1">IFERROR(__xludf.DUMMYFUNCTION("""COMPUTED_VALUE"""),"NO_CUMPLE")</f>
        <v>NO_CUMPLE</v>
      </c>
      <c r="AV849" s="40" t="str">
        <f ca="1">IFERROR(__xludf.DUMMYFUNCTION("""COMPUTED_VALUE"""),"EN FORMACION")</f>
        <v>EN FORMACION</v>
      </c>
      <c r="AW849" s="40" t="str">
        <f ca="1">IFERROR(__xludf.DUMMYFUNCTION("""COMPUTED_VALUE"""),"TIC")</f>
        <v>TIC</v>
      </c>
      <c r="AX849" s="141">
        <f ca="1">IFERROR(__xludf.DUMMYFUNCTION("""COMPUTED_VALUE"""),2)</f>
        <v>2</v>
      </c>
      <c r="AY849" s="40">
        <f ca="1">IFERROR(__xludf.DUMMYFUNCTION("""COMPUTED_VALUE"""),2)</f>
        <v>2</v>
      </c>
      <c r="AZ849" s="40">
        <f ca="1">IFERROR(__xludf.DUMMYFUNCTION("""COMPUTED_VALUE"""),1)</f>
        <v>1</v>
      </c>
      <c r="BA849" s="40">
        <f ca="1">IFERROR(__xludf.DUMMYFUNCTION("""COMPUTED_VALUE"""),9)</f>
        <v>9</v>
      </c>
      <c r="BB849" s="40">
        <f ca="1">IFERROR(__xludf.DUMMYFUNCTION("""COMPUTED_VALUE"""),24)</f>
        <v>24</v>
      </c>
      <c r="BC849" s="40">
        <f ca="1">IFERROR(__xludf.DUMMYFUNCTION("""COMPUTED_VALUE"""),36)</f>
        <v>36</v>
      </c>
      <c r="BD849" s="141">
        <f ca="1">IFERROR(__xludf.DUMMYFUNCTION("""COMPUTED_VALUE"""),44270)</f>
        <v>44270</v>
      </c>
      <c r="BE849" s="141">
        <f ca="1">IFERROR(__xludf.DUMMYFUNCTION("""COMPUTED_VALUE"""),44818)</f>
        <v>44818</v>
      </c>
      <c r="BF849" s="141">
        <f ca="1">IFERROR(__xludf.DUMMYFUNCTION("""COMPUTED_VALUE"""),44999)</f>
        <v>44999</v>
      </c>
      <c r="BG849" s="141">
        <f ca="1">IFERROR(__xludf.DUMMYFUNCTION("""COMPUTED_VALUE"""),45549)</f>
        <v>45549</v>
      </c>
      <c r="BH849" s="40" t="str">
        <f ca="1">IFERROR(__xludf.DUMMYFUNCTION("""COMPUTED_VALUE"""),"FICHA EN TIEMPO-18 MESES")</f>
        <v>FICHA EN TIEMPO-18 MESES</v>
      </c>
      <c r="BI849" s="40" t="str">
        <f ca="1">IFERROR(__xludf.DUMMYFUNCTION("""COMPUTED_VALUE"""),"En ejecucion")</f>
        <v>En ejecucion</v>
      </c>
      <c r="BJ849" s="40" t="str">
        <f ca="1">IFERROR(__xludf.DUMMYFUNCTION("""COMPUTED_VALUE"""),"Yamboro")</f>
        <v>Yamboro</v>
      </c>
      <c r="BK849" s="40"/>
      <c r="BL849" s="40"/>
    </row>
    <row r="850" spans="1:64" ht="13">
      <c r="A850" s="40"/>
      <c r="B850" s="40" t="str">
        <f ca="1">IFERROR(__xludf.DUMMYFUNCTION("""COMPUTED_VALUE"""),"FORMACIÓN 18/10/2022")</f>
        <v>FORMACIÓN 18/10/2022</v>
      </c>
      <c r="C850" s="40" t="str">
        <f ca="1">IFERROR(__xludf.DUMMYFUNCTION("""COMPUTED_VALUE"""),"SANDRA ESMERALDA OLMOS ALVAREZ")</f>
        <v>SANDRA ESMERALDA OLMOS ALVAREZ</v>
      </c>
      <c r="D850" s="40" t="str">
        <f ca="1">IFERROR(__xludf.DUMMYFUNCTION("""COMPUTED_VALUE"""),"CC")</f>
        <v>CC</v>
      </c>
      <c r="E850" s="40">
        <f ca="1">IFERROR(__xludf.DUMMYFUNCTION("""COMPUTED_VALUE"""),39449149)</f>
        <v>39449149</v>
      </c>
      <c r="F850" s="40">
        <f ca="1">IFERROR(__xludf.DUMMYFUNCTION("""COMPUTED_VALUE"""),2282078)</f>
        <v>2282078</v>
      </c>
      <c r="G850" s="40" t="str">
        <f ca="1">IFERROR(__xludf.DUMMYFUNCTION("""COMPUTED_VALUE"""),"TECNÓLOGO")</f>
        <v>TECNÓLOGO</v>
      </c>
      <c r="H850" s="40" t="str">
        <f ca="1">IFERROR(__xludf.DUMMYFUNCTION("""COMPUTED_VALUE"""),"ANALISIS Y DESARROLLO DE SISTEMAS DE INFORMACION")</f>
        <v>ANALISIS Y DESARROLLO DE SISTEMAS DE INFORMACION</v>
      </c>
      <c r="I850" s="40"/>
      <c r="J850" s="40"/>
      <c r="K850" s="40"/>
      <c r="L850" s="40" t="str">
        <f ca="1">IFERROR(__xludf.DUMMYFUNCTION("""COMPUTED_VALUE"""),"NO HA INICIADO ETAPA PRODUCTIVA")</f>
        <v>NO HA INICIADO ETAPA PRODUCTIVA</v>
      </c>
      <c r="M850" s="40"/>
      <c r="N850" s="40"/>
      <c r="O850" s="40"/>
      <c r="P850" s="40"/>
      <c r="Q850" s="40"/>
      <c r="R850" s="140"/>
      <c r="S850" s="1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t="str">
        <f ca="1">IFERROR(__xludf.DUMMYFUNCTION("""COMPUTED_VALUE"""),"NO_CUMPLE")</f>
        <v>NO_CUMPLE</v>
      </c>
      <c r="AV850" s="40" t="str">
        <f ca="1">IFERROR(__xludf.DUMMYFUNCTION("""COMPUTED_VALUE"""),"EN FORMACION")</f>
        <v>EN FORMACION</v>
      </c>
      <c r="AW850" s="40" t="str">
        <f ca="1">IFERROR(__xludf.DUMMYFUNCTION("""COMPUTED_VALUE"""),"TIC")</f>
        <v>TIC</v>
      </c>
      <c r="AX850" s="141">
        <f ca="1">IFERROR(__xludf.DUMMYFUNCTION("""COMPUTED_VALUE"""),1)</f>
        <v>1</v>
      </c>
      <c r="AY850" s="40">
        <f ca="1">IFERROR(__xludf.DUMMYFUNCTION("""COMPUTED_VALUE"""),1)</f>
        <v>1</v>
      </c>
      <c r="AZ850" s="40">
        <f ca="1">IFERROR(__xludf.DUMMYFUNCTION("""COMPUTED_VALUE"""),1)</f>
        <v>1</v>
      </c>
      <c r="BA850" s="40">
        <f ca="1">IFERROR(__xludf.DUMMYFUNCTION("""COMPUTED_VALUE"""),5)</f>
        <v>5</v>
      </c>
      <c r="BB850" s="40">
        <f ca="1">IFERROR(__xludf.DUMMYFUNCTION("""COMPUTED_VALUE"""),8)</f>
        <v>8</v>
      </c>
      <c r="BC850" s="40">
        <f ca="1">IFERROR(__xludf.DUMMYFUNCTION("""COMPUTED_VALUE"""),15)</f>
        <v>15</v>
      </c>
      <c r="BD850" s="141">
        <f ca="1">IFERROR(__xludf.DUMMYFUNCTION("""COMPUTED_VALUE"""),44270)</f>
        <v>44270</v>
      </c>
      <c r="BE850" s="141">
        <f ca="1">IFERROR(__xludf.DUMMYFUNCTION("""COMPUTED_VALUE"""),44818)</f>
        <v>44818</v>
      </c>
      <c r="BF850" s="141">
        <f ca="1">IFERROR(__xludf.DUMMYFUNCTION("""COMPUTED_VALUE"""),44999)</f>
        <v>44999</v>
      </c>
      <c r="BG850" s="141">
        <f ca="1">IFERROR(__xludf.DUMMYFUNCTION("""COMPUTED_VALUE"""),45549)</f>
        <v>45549</v>
      </c>
      <c r="BH850" s="40" t="str">
        <f ca="1">IFERROR(__xludf.DUMMYFUNCTION("""COMPUTED_VALUE"""),"FICHA EN TIEMPO-18 MESES")</f>
        <v>FICHA EN TIEMPO-18 MESES</v>
      </c>
      <c r="BI850" s="40" t="str">
        <f ca="1">IFERROR(__xludf.DUMMYFUNCTION("""COMPUTED_VALUE"""),"En ejecucion")</f>
        <v>En ejecucion</v>
      </c>
      <c r="BJ850" s="40" t="str">
        <f ca="1">IFERROR(__xludf.DUMMYFUNCTION("""COMPUTED_VALUE"""),"Yamboro")</f>
        <v>Yamboro</v>
      </c>
      <c r="BK850" s="40"/>
      <c r="BL850" s="40"/>
    </row>
    <row r="851" spans="1:64" ht="13">
      <c r="A851" s="40"/>
      <c r="B851" s="40" t="str">
        <f ca="1">IFERROR(__xludf.DUMMYFUNCTION("""COMPUTED_VALUE"""),"FORMACIÓN 18/10/2022")</f>
        <v>FORMACIÓN 18/10/2022</v>
      </c>
      <c r="C851" s="40" t="str">
        <f ca="1">IFERROR(__xludf.DUMMYFUNCTION("""COMPUTED_VALUE"""),"DARLING AKSEL PAYARES PACHECO")</f>
        <v>DARLING AKSEL PAYARES PACHECO</v>
      </c>
      <c r="D851" s="40" t="str">
        <f ca="1">IFERROR(__xludf.DUMMYFUNCTION("""COMPUTED_VALUE"""),"CC")</f>
        <v>CC</v>
      </c>
      <c r="E851" s="40">
        <f ca="1">IFERROR(__xludf.DUMMYFUNCTION("""COMPUTED_VALUE"""),72294881)</f>
        <v>72294881</v>
      </c>
      <c r="F851" s="40">
        <f ca="1">IFERROR(__xludf.DUMMYFUNCTION("""COMPUTED_VALUE"""),2282078)</f>
        <v>2282078</v>
      </c>
      <c r="G851" s="40" t="str">
        <f ca="1">IFERROR(__xludf.DUMMYFUNCTION("""COMPUTED_VALUE"""),"TECNÓLOGO")</f>
        <v>TECNÓLOGO</v>
      </c>
      <c r="H851" s="40" t="str">
        <f ca="1">IFERROR(__xludf.DUMMYFUNCTION("""COMPUTED_VALUE"""),"ANALISIS Y DESARROLLO DE SISTEMAS DE INFORMACION")</f>
        <v>ANALISIS Y DESARROLLO DE SISTEMAS DE INFORMACION</v>
      </c>
      <c r="I851" s="40"/>
      <c r="J851" s="40"/>
      <c r="K851" s="40"/>
      <c r="L851" s="40" t="str">
        <f ca="1">IFERROR(__xludf.DUMMYFUNCTION("""COMPUTED_VALUE"""),"NO HA INICIADO ETAPA PRODUCTIVA")</f>
        <v>NO HA INICIADO ETAPA PRODUCTIVA</v>
      </c>
      <c r="M851" s="40"/>
      <c r="N851" s="40"/>
      <c r="O851" s="40"/>
      <c r="P851" s="40"/>
      <c r="Q851" s="40"/>
      <c r="R851" s="140"/>
      <c r="S851" s="1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t="str">
        <f ca="1">IFERROR(__xludf.DUMMYFUNCTION("""COMPUTED_VALUE"""),"NO_CUMPLE")</f>
        <v>NO_CUMPLE</v>
      </c>
      <c r="AV851" s="40" t="str">
        <f ca="1">IFERROR(__xludf.DUMMYFUNCTION("""COMPUTED_VALUE"""),"EN FORMACION")</f>
        <v>EN FORMACION</v>
      </c>
      <c r="AW851" s="40" t="str">
        <f ca="1">IFERROR(__xludf.DUMMYFUNCTION("""COMPUTED_VALUE"""),"TIC")</f>
        <v>TIC</v>
      </c>
      <c r="AX851" s="141">
        <f ca="1">IFERROR(__xludf.DUMMYFUNCTION("""COMPUTED_VALUE"""),6)</f>
        <v>6</v>
      </c>
      <c r="AY851" s="40">
        <f ca="1">IFERROR(__xludf.DUMMYFUNCTION("""COMPUTED_VALUE"""),6)</f>
        <v>6</v>
      </c>
      <c r="AZ851" s="40">
        <f ca="1">IFERROR(__xludf.DUMMYFUNCTION("""COMPUTED_VALUE"""),1)</f>
        <v>1</v>
      </c>
      <c r="BA851" s="40">
        <f ca="1">IFERROR(__xludf.DUMMYFUNCTION("""COMPUTED_VALUE"""),13)</f>
        <v>13</v>
      </c>
      <c r="BB851" s="40">
        <f ca="1">IFERROR(__xludf.DUMMYFUNCTION("""COMPUTED_VALUE"""),30)</f>
        <v>30</v>
      </c>
      <c r="BC851" s="40">
        <f ca="1">IFERROR(__xludf.DUMMYFUNCTION("""COMPUTED_VALUE"""),50)</f>
        <v>50</v>
      </c>
      <c r="BD851" s="141">
        <f ca="1">IFERROR(__xludf.DUMMYFUNCTION("""COMPUTED_VALUE"""),44270)</f>
        <v>44270</v>
      </c>
      <c r="BE851" s="141">
        <f ca="1">IFERROR(__xludf.DUMMYFUNCTION("""COMPUTED_VALUE"""),44818)</f>
        <v>44818</v>
      </c>
      <c r="BF851" s="141">
        <f ca="1">IFERROR(__xludf.DUMMYFUNCTION("""COMPUTED_VALUE"""),44999)</f>
        <v>44999</v>
      </c>
      <c r="BG851" s="141">
        <f ca="1">IFERROR(__xludf.DUMMYFUNCTION("""COMPUTED_VALUE"""),45549)</f>
        <v>45549</v>
      </c>
      <c r="BH851" s="40" t="str">
        <f ca="1">IFERROR(__xludf.DUMMYFUNCTION("""COMPUTED_VALUE"""),"FICHA EN TIEMPO-18 MESES")</f>
        <v>FICHA EN TIEMPO-18 MESES</v>
      </c>
      <c r="BI851" s="40" t="str">
        <f ca="1">IFERROR(__xludf.DUMMYFUNCTION("""COMPUTED_VALUE"""),"En ejecucion")</f>
        <v>En ejecucion</v>
      </c>
      <c r="BJ851" s="40" t="str">
        <f ca="1">IFERROR(__xludf.DUMMYFUNCTION("""COMPUTED_VALUE"""),"Yamboro")</f>
        <v>Yamboro</v>
      </c>
      <c r="BK851" s="40"/>
      <c r="BL851" s="40"/>
    </row>
    <row r="852" spans="1:64" ht="13">
      <c r="A852" s="40"/>
      <c r="B852" s="40" t="str">
        <f ca="1">IFERROR(__xludf.DUMMYFUNCTION("""COMPUTED_VALUE"""),"FORMACIÓN 18/10/2022")</f>
        <v>FORMACIÓN 18/10/2022</v>
      </c>
      <c r="C852" s="40" t="str">
        <f ca="1">IFERROR(__xludf.DUMMYFUNCTION("""COMPUTED_VALUE"""),"JARINSON CAICEDO ASPRILLA")</f>
        <v>JARINSON CAICEDO ASPRILLA</v>
      </c>
      <c r="D852" s="40" t="str">
        <f ca="1">IFERROR(__xludf.DUMMYFUNCTION("""COMPUTED_VALUE"""),"CC")</f>
        <v>CC</v>
      </c>
      <c r="E852" s="40">
        <f ca="1">IFERROR(__xludf.DUMMYFUNCTION("""COMPUTED_VALUE"""),94326514)</f>
        <v>94326514</v>
      </c>
      <c r="F852" s="40">
        <f ca="1">IFERROR(__xludf.DUMMYFUNCTION("""COMPUTED_VALUE"""),2282078)</f>
        <v>2282078</v>
      </c>
      <c r="G852" s="40" t="str">
        <f ca="1">IFERROR(__xludf.DUMMYFUNCTION("""COMPUTED_VALUE"""),"TECNÓLOGO")</f>
        <v>TECNÓLOGO</v>
      </c>
      <c r="H852" s="40" t="str">
        <f ca="1">IFERROR(__xludf.DUMMYFUNCTION("""COMPUTED_VALUE"""),"ANALISIS Y DESARROLLO DE SISTEMAS DE INFORMACION")</f>
        <v>ANALISIS Y DESARROLLO DE SISTEMAS DE INFORMACION</v>
      </c>
      <c r="I852" s="40"/>
      <c r="J852" s="40"/>
      <c r="K852" s="40"/>
      <c r="L852" s="40" t="str">
        <f ca="1">IFERROR(__xludf.DUMMYFUNCTION("""COMPUTED_VALUE"""),"NO HA INICIADO ETAPA PRODUCTIVA")</f>
        <v>NO HA INICIADO ETAPA PRODUCTIVA</v>
      </c>
      <c r="M852" s="40"/>
      <c r="N852" s="40"/>
      <c r="O852" s="40"/>
      <c r="P852" s="40"/>
      <c r="Q852" s="40"/>
      <c r="R852" s="140"/>
      <c r="S852" s="1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t="str">
        <f ca="1">IFERROR(__xludf.DUMMYFUNCTION("""COMPUTED_VALUE"""),"NO_CUMPLE")</f>
        <v>NO_CUMPLE</v>
      </c>
      <c r="AV852" s="40" t="str">
        <f ca="1">IFERROR(__xludf.DUMMYFUNCTION("""COMPUTED_VALUE"""),"EN FORMACION")</f>
        <v>EN FORMACION</v>
      </c>
      <c r="AW852" s="40" t="str">
        <f ca="1">IFERROR(__xludf.DUMMYFUNCTION("""COMPUTED_VALUE"""),"TIC")</f>
        <v>TIC</v>
      </c>
      <c r="AX852" s="141">
        <f ca="1">IFERROR(__xludf.DUMMYFUNCTION("""COMPUTED_VALUE"""),2)</f>
        <v>2</v>
      </c>
      <c r="AY852" s="40">
        <f ca="1">IFERROR(__xludf.DUMMYFUNCTION("""COMPUTED_VALUE"""),2)</f>
        <v>2</v>
      </c>
      <c r="AZ852" s="40">
        <f ca="1">IFERROR(__xludf.DUMMYFUNCTION("""COMPUTED_VALUE"""),1)</f>
        <v>1</v>
      </c>
      <c r="BA852" s="40">
        <f ca="1">IFERROR(__xludf.DUMMYFUNCTION("""COMPUTED_VALUE"""),9)</f>
        <v>9</v>
      </c>
      <c r="BB852" s="40">
        <f ca="1">IFERROR(__xludf.DUMMYFUNCTION("""COMPUTED_VALUE"""),33)</f>
        <v>33</v>
      </c>
      <c r="BC852" s="40">
        <f ca="1">IFERROR(__xludf.DUMMYFUNCTION("""COMPUTED_VALUE"""),45)</f>
        <v>45</v>
      </c>
      <c r="BD852" s="141">
        <f ca="1">IFERROR(__xludf.DUMMYFUNCTION("""COMPUTED_VALUE"""),44270)</f>
        <v>44270</v>
      </c>
      <c r="BE852" s="141">
        <f ca="1">IFERROR(__xludf.DUMMYFUNCTION("""COMPUTED_VALUE"""),44818)</f>
        <v>44818</v>
      </c>
      <c r="BF852" s="141">
        <f ca="1">IFERROR(__xludf.DUMMYFUNCTION("""COMPUTED_VALUE"""),44999)</f>
        <v>44999</v>
      </c>
      <c r="BG852" s="141">
        <f ca="1">IFERROR(__xludf.DUMMYFUNCTION("""COMPUTED_VALUE"""),45549)</f>
        <v>45549</v>
      </c>
      <c r="BH852" s="40" t="str">
        <f ca="1">IFERROR(__xludf.DUMMYFUNCTION("""COMPUTED_VALUE"""),"FICHA EN TIEMPO-18 MESES")</f>
        <v>FICHA EN TIEMPO-18 MESES</v>
      </c>
      <c r="BI852" s="40" t="str">
        <f ca="1">IFERROR(__xludf.DUMMYFUNCTION("""COMPUTED_VALUE"""),"En ejecucion")</f>
        <v>En ejecucion</v>
      </c>
      <c r="BJ852" s="40" t="str">
        <f ca="1">IFERROR(__xludf.DUMMYFUNCTION("""COMPUTED_VALUE"""),"Yamboro")</f>
        <v>Yamboro</v>
      </c>
      <c r="BK852" s="40"/>
      <c r="BL852" s="40"/>
    </row>
    <row r="853" spans="1:64" ht="13">
      <c r="A853" s="40"/>
      <c r="B853" s="40" t="str">
        <f ca="1">IFERROR(__xludf.DUMMYFUNCTION("""COMPUTED_VALUE"""),"FORMACIÓN 18/10/2022")</f>
        <v>FORMACIÓN 18/10/2022</v>
      </c>
      <c r="C853" s="40" t="str">
        <f ca="1">IFERROR(__xludf.DUMMYFUNCTION("""COMPUTED_VALUE"""),"HOFMANN RODOLFO AGUIRRE ORTIZ")</f>
        <v>HOFMANN RODOLFO AGUIRRE ORTIZ</v>
      </c>
      <c r="D853" s="40" t="str">
        <f ca="1">IFERROR(__xludf.DUMMYFUNCTION("""COMPUTED_VALUE"""),"CC")</f>
        <v>CC</v>
      </c>
      <c r="E853" s="40">
        <f ca="1">IFERROR(__xludf.DUMMYFUNCTION("""COMPUTED_VALUE"""),94407338)</f>
        <v>94407338</v>
      </c>
      <c r="F853" s="40">
        <f ca="1">IFERROR(__xludf.DUMMYFUNCTION("""COMPUTED_VALUE"""),2282078)</f>
        <v>2282078</v>
      </c>
      <c r="G853" s="40" t="str">
        <f ca="1">IFERROR(__xludf.DUMMYFUNCTION("""COMPUTED_VALUE"""),"TECNÓLOGO")</f>
        <v>TECNÓLOGO</v>
      </c>
      <c r="H853" s="40" t="str">
        <f ca="1">IFERROR(__xludf.DUMMYFUNCTION("""COMPUTED_VALUE"""),"ANALISIS Y DESARROLLO DE SISTEMAS DE INFORMACION")</f>
        <v>ANALISIS Y DESARROLLO DE SISTEMAS DE INFORMACION</v>
      </c>
      <c r="I853" s="40"/>
      <c r="J853" s="40"/>
      <c r="K853" s="40"/>
      <c r="L853" s="40" t="str">
        <f ca="1">IFERROR(__xludf.DUMMYFUNCTION("""COMPUTED_VALUE"""),"NO HA INICIADO ETAPA PRODUCTIVA")</f>
        <v>NO HA INICIADO ETAPA PRODUCTIVA</v>
      </c>
      <c r="M853" s="40"/>
      <c r="N853" s="40"/>
      <c r="O853" s="40"/>
      <c r="P853" s="40"/>
      <c r="Q853" s="40"/>
      <c r="R853" s="140"/>
      <c r="S853" s="1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t="str">
        <f ca="1">IFERROR(__xludf.DUMMYFUNCTION("""COMPUTED_VALUE"""),"NO_CUMPLE")</f>
        <v>NO_CUMPLE</v>
      </c>
      <c r="AV853" s="40" t="str">
        <f ca="1">IFERROR(__xludf.DUMMYFUNCTION("""COMPUTED_VALUE"""),"EN FORMACION")</f>
        <v>EN FORMACION</v>
      </c>
      <c r="AW853" s="40" t="str">
        <f ca="1">IFERROR(__xludf.DUMMYFUNCTION("""COMPUTED_VALUE"""),"TIC")</f>
        <v>TIC</v>
      </c>
      <c r="AX853" s="141">
        <f ca="1">IFERROR(__xludf.DUMMYFUNCTION("""COMPUTED_VALUE"""),1)</f>
        <v>1</v>
      </c>
      <c r="AY853" s="40">
        <f ca="1">IFERROR(__xludf.DUMMYFUNCTION("""COMPUTED_VALUE"""),1)</f>
        <v>1</v>
      </c>
      <c r="AZ853" s="40">
        <f ca="1">IFERROR(__xludf.DUMMYFUNCTION("""COMPUTED_VALUE"""),1)</f>
        <v>1</v>
      </c>
      <c r="BA853" s="40">
        <f ca="1">IFERROR(__xludf.DUMMYFUNCTION("""COMPUTED_VALUE"""),0)</f>
        <v>0</v>
      </c>
      <c r="BB853" s="40">
        <f ca="1">IFERROR(__xludf.DUMMYFUNCTION("""COMPUTED_VALUE"""),0)</f>
        <v>0</v>
      </c>
      <c r="BC853" s="40">
        <f ca="1">IFERROR(__xludf.DUMMYFUNCTION("""COMPUTED_VALUE"""),2)</f>
        <v>2</v>
      </c>
      <c r="BD853" s="141">
        <f ca="1">IFERROR(__xludf.DUMMYFUNCTION("""COMPUTED_VALUE"""),44270)</f>
        <v>44270</v>
      </c>
      <c r="BE853" s="141">
        <f ca="1">IFERROR(__xludf.DUMMYFUNCTION("""COMPUTED_VALUE"""),44818)</f>
        <v>44818</v>
      </c>
      <c r="BF853" s="141">
        <f ca="1">IFERROR(__xludf.DUMMYFUNCTION("""COMPUTED_VALUE"""),44999)</f>
        <v>44999</v>
      </c>
      <c r="BG853" s="141">
        <f ca="1">IFERROR(__xludf.DUMMYFUNCTION("""COMPUTED_VALUE"""),45549)</f>
        <v>45549</v>
      </c>
      <c r="BH853" s="40" t="str">
        <f ca="1">IFERROR(__xludf.DUMMYFUNCTION("""COMPUTED_VALUE"""),"FICHA EN TIEMPO-18 MESES")</f>
        <v>FICHA EN TIEMPO-18 MESES</v>
      </c>
      <c r="BI853" s="40" t="str">
        <f ca="1">IFERROR(__xludf.DUMMYFUNCTION("""COMPUTED_VALUE"""),"En ejecucion")</f>
        <v>En ejecucion</v>
      </c>
      <c r="BJ853" s="40" t="str">
        <f ca="1">IFERROR(__xludf.DUMMYFUNCTION("""COMPUTED_VALUE"""),"Yamboro")</f>
        <v>Yamboro</v>
      </c>
      <c r="BK853" s="40"/>
      <c r="BL853" s="40"/>
    </row>
    <row r="854" spans="1:64" ht="13">
      <c r="A854" s="40"/>
      <c r="B854" s="40" t="str">
        <f ca="1">IFERROR(__xludf.DUMMYFUNCTION("""COMPUTED_VALUE"""),"FORMACIÓN 18/10/2022")</f>
        <v>FORMACIÓN 18/10/2022</v>
      </c>
      <c r="C854" s="40" t="str">
        <f ca="1">IFERROR(__xludf.DUMMYFUNCTION("""COMPUTED_VALUE"""),"JOHAN SEBASTIAN LOPEZ MONTEALEGRE")</f>
        <v>JOHAN SEBASTIAN LOPEZ MONTEALEGRE</v>
      </c>
      <c r="D854" s="40" t="str">
        <f ca="1">IFERROR(__xludf.DUMMYFUNCTION("""COMPUTED_VALUE"""),"TI")</f>
        <v>TI</v>
      </c>
      <c r="E854" s="40">
        <f ca="1">IFERROR(__xludf.DUMMYFUNCTION("""COMPUTED_VALUE"""),1004083140)</f>
        <v>1004083140</v>
      </c>
      <c r="F854" s="40">
        <f ca="1">IFERROR(__xludf.DUMMYFUNCTION("""COMPUTED_VALUE"""),2326610)</f>
        <v>2326610</v>
      </c>
      <c r="G854" s="40" t="str">
        <f ca="1">IFERROR(__xludf.DUMMYFUNCTION("""COMPUTED_VALUE"""),"TECNÓLOGO")</f>
        <v>TECNÓLOGO</v>
      </c>
      <c r="H854" s="40" t="str">
        <f ca="1">IFERROR(__xludf.DUMMYFUNCTION("""COMPUTED_VALUE"""),"ANALISIS Y DESARROLLO DE SISTEMAS DE INFORMACION")</f>
        <v>ANALISIS Y DESARROLLO DE SISTEMAS DE INFORMACION</v>
      </c>
      <c r="I854" s="40"/>
      <c r="J854" s="40"/>
      <c r="K854" s="40"/>
      <c r="L854" s="40" t="str">
        <f ca="1">IFERROR(__xludf.DUMMYFUNCTION("""COMPUTED_VALUE"""),"NO HA INICIADO ETAPA PRODUCTIVA")</f>
        <v>NO HA INICIADO ETAPA PRODUCTIVA</v>
      </c>
      <c r="M854" s="40"/>
      <c r="N854" s="40"/>
      <c r="O854" s="40"/>
      <c r="P854" s="40"/>
      <c r="Q854" s="40"/>
      <c r="R854" s="140"/>
      <c r="S854" s="1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t="str">
        <f ca="1">IFERROR(__xludf.DUMMYFUNCTION("""COMPUTED_VALUE"""),"NO_CUMPLE")</f>
        <v>NO_CUMPLE</v>
      </c>
      <c r="AV854" s="40" t="str">
        <f ca="1">IFERROR(__xludf.DUMMYFUNCTION("""COMPUTED_VALUE"""),"EN FORMACION")</f>
        <v>EN FORMACION</v>
      </c>
      <c r="AW854" s="40" t="str">
        <f ca="1">IFERROR(__xludf.DUMMYFUNCTION("""COMPUTED_VALUE"""),"TIC")</f>
        <v>TIC</v>
      </c>
      <c r="AX854" s="141">
        <f ca="1">IFERROR(__xludf.DUMMYFUNCTION("""COMPUTED_VALUE"""),4)</f>
        <v>4</v>
      </c>
      <c r="AY854" s="40">
        <f ca="1">IFERROR(__xludf.DUMMYFUNCTION("""COMPUTED_VALUE"""),4)</f>
        <v>4</v>
      </c>
      <c r="AZ854" s="40">
        <f ca="1">IFERROR(__xludf.DUMMYFUNCTION("""COMPUTED_VALUE"""),1)</f>
        <v>1</v>
      </c>
      <c r="BA854" s="40">
        <f ca="1">IFERROR(__xludf.DUMMYFUNCTION("""COMPUTED_VALUE"""),5)</f>
        <v>5</v>
      </c>
      <c r="BB854" s="40">
        <f ca="1">IFERROR(__xludf.DUMMYFUNCTION("""COMPUTED_VALUE"""),7)</f>
        <v>7</v>
      </c>
      <c r="BC854" s="40">
        <f ca="1">IFERROR(__xludf.DUMMYFUNCTION("""COMPUTED_VALUE"""),17)</f>
        <v>17</v>
      </c>
      <c r="BD854" s="141">
        <f ca="1">IFERROR(__xludf.DUMMYFUNCTION("""COMPUTED_VALUE"""),44328)</f>
        <v>44328</v>
      </c>
      <c r="BE854" s="141">
        <f ca="1">IFERROR(__xludf.DUMMYFUNCTION("""COMPUTED_VALUE"""),44876)</f>
        <v>44876</v>
      </c>
      <c r="BF854" s="141">
        <f ca="1">IFERROR(__xludf.DUMMYFUNCTION("""COMPUTED_VALUE"""),45057)</f>
        <v>45057</v>
      </c>
      <c r="BG854" s="141">
        <f ca="1">IFERROR(__xludf.DUMMYFUNCTION("""COMPUTED_VALUE"""),45607)</f>
        <v>45607</v>
      </c>
      <c r="BH854" s="40" t="str">
        <f ca="1">IFERROR(__xludf.DUMMYFUNCTION("""COMPUTED_VALUE"""),"FICHA EN TIEMPO-18 MESES")</f>
        <v>FICHA EN TIEMPO-18 MESES</v>
      </c>
      <c r="BI854" s="40" t="str">
        <f ca="1">IFERROR(__xludf.DUMMYFUNCTION("""COMPUTED_VALUE"""),"En ejecucion")</f>
        <v>En ejecucion</v>
      </c>
      <c r="BJ854" s="40" t="str">
        <f ca="1">IFERROR(__xludf.DUMMYFUNCTION("""COMPUTED_VALUE"""),"Yamboro")</f>
        <v>Yamboro</v>
      </c>
      <c r="BK854" s="40"/>
      <c r="BL854" s="40"/>
    </row>
    <row r="855" spans="1:64" ht="13">
      <c r="A855" s="40"/>
      <c r="B855" s="40" t="str">
        <f ca="1">IFERROR(__xludf.DUMMYFUNCTION("""COMPUTED_VALUE"""),"FORMACIÓN 18/10/2022")</f>
        <v>FORMACIÓN 18/10/2022</v>
      </c>
      <c r="C855" s="40" t="str">
        <f ca="1">IFERROR(__xludf.DUMMYFUNCTION("""COMPUTED_VALUE"""),"CAROLINA MUÑOZ MUÑOZ")</f>
        <v>CAROLINA MUÑOZ MUÑOZ</v>
      </c>
      <c r="D855" s="40" t="str">
        <f ca="1">IFERROR(__xludf.DUMMYFUNCTION("""COMPUTED_VALUE"""),"CC")</f>
        <v>CC</v>
      </c>
      <c r="E855" s="40">
        <f ca="1">IFERROR(__xludf.DUMMYFUNCTION("""COMPUTED_VALUE"""),1004269123)</f>
        <v>1004269123</v>
      </c>
      <c r="F855" s="40">
        <f ca="1">IFERROR(__xludf.DUMMYFUNCTION("""COMPUTED_VALUE"""),2326610)</f>
        <v>2326610</v>
      </c>
      <c r="G855" s="40" t="str">
        <f ca="1">IFERROR(__xludf.DUMMYFUNCTION("""COMPUTED_VALUE"""),"TECNÓLOGO")</f>
        <v>TECNÓLOGO</v>
      </c>
      <c r="H855" s="40" t="str">
        <f ca="1">IFERROR(__xludf.DUMMYFUNCTION("""COMPUTED_VALUE"""),"ANALISIS Y DESARROLLO DE SISTEMAS DE INFORMACION")</f>
        <v>ANALISIS Y DESARROLLO DE SISTEMAS DE INFORMACION</v>
      </c>
      <c r="I855" s="40"/>
      <c r="J855" s="40" t="str">
        <f ca="1">IFERROR(__xludf.DUMMYFUNCTION("""COMPUTED_VALUE"""),"Cm7283155@gmail.com")</f>
        <v>Cm7283155@gmail.com</v>
      </c>
      <c r="K855" s="40" t="str">
        <f ca="1">IFERROR(__xludf.DUMMYFUNCTION("""COMPUTED_VALUE"""),"PITALITO")</f>
        <v>PITALITO</v>
      </c>
      <c r="L855" s="40" t="str">
        <f ca="1">IFERROR(__xludf.DUMMYFUNCTION("""COMPUTED_VALUE"""),"CONTRATO DE APRENDIZAJE")</f>
        <v>CONTRATO DE APRENDIZAJE</v>
      </c>
      <c r="M855" s="40" t="str">
        <f ca="1">IFERROR(__xludf.DUMMYFUNCTION("""COMPUTED_VALUE"""),"NTT DATA COLOMBIA S.A.S.")</f>
        <v>NTT DATA COLOMBIA S.A.S.</v>
      </c>
      <c r="N855" s="40" t="str">
        <f ca="1">IFERROR(__xludf.DUMMYFUNCTION("""COMPUTED_VALUE"""),"Calle 97# 13-57 Piso 5")</f>
        <v>Calle 97# 13-57 Piso 5</v>
      </c>
      <c r="O855" s="40">
        <f ca="1">IFERROR(__xludf.DUMMYFUNCTION("""COMPUTED_VALUE"""),3163832257)</f>
        <v>3163832257</v>
      </c>
      <c r="P855" s="40" t="str">
        <f ca="1">IFERROR(__xludf.DUMMYFUNCTION("""COMPUTED_VALUE"""),"BOGOTA ")</f>
        <v xml:space="preserve">BOGOTA </v>
      </c>
      <c r="Q855" s="40" t="str">
        <f ca="1">IFERROR(__xludf.DUMMYFUNCTION("""COMPUTED_VALUE"""),"gmartidu@nttdata.com")</f>
        <v>gmartidu@nttdata.com</v>
      </c>
      <c r="R855" s="140">
        <f ca="1">IFERROR(__xludf.DUMMYFUNCTION("""COMPUTED_VALUE"""),44886)</f>
        <v>44886</v>
      </c>
      <c r="S855" s="140">
        <f ca="1">IFERROR(__xludf.DUMMYFUNCTION("""COMPUTED_VALUE"""),45066)</f>
        <v>45066</v>
      </c>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t="str">
        <f ca="1">IFERROR(__xludf.DUMMYFUNCTION("""COMPUTED_VALUE"""),"POR ASIGNAR")</f>
        <v>POR ASIGNAR</v>
      </c>
      <c r="AP855" s="40"/>
      <c r="AQ855" s="40"/>
      <c r="AR855" s="40"/>
      <c r="AS855" s="40"/>
      <c r="AT855" s="40"/>
      <c r="AU855" s="40" t="str">
        <f ca="1">IFERROR(__xludf.DUMMYFUNCTION("""COMPUTED_VALUE"""),"NO_CUMPLE")</f>
        <v>NO_CUMPLE</v>
      </c>
      <c r="AV855" s="40" t="str">
        <f ca="1">IFERROR(__xludf.DUMMYFUNCTION("""COMPUTED_VALUE"""),"EN FORMACION")</f>
        <v>EN FORMACION</v>
      </c>
      <c r="AW855" s="40" t="str">
        <f ca="1">IFERROR(__xludf.DUMMYFUNCTION("""COMPUTED_VALUE"""),"TIC")</f>
        <v>TIC</v>
      </c>
      <c r="AX855" s="141">
        <f ca="1">IFERROR(__xludf.DUMMYFUNCTION("""COMPUTED_VALUE"""),4)</f>
        <v>4</v>
      </c>
      <c r="AY855" s="40">
        <f ca="1">IFERROR(__xludf.DUMMYFUNCTION("""COMPUTED_VALUE"""),4)</f>
        <v>4</v>
      </c>
      <c r="AZ855" s="40">
        <f ca="1">IFERROR(__xludf.DUMMYFUNCTION("""COMPUTED_VALUE"""),1)</f>
        <v>1</v>
      </c>
      <c r="BA855" s="40">
        <f ca="1">IFERROR(__xludf.DUMMYFUNCTION("""COMPUTED_VALUE"""),5)</f>
        <v>5</v>
      </c>
      <c r="BB855" s="40">
        <f ca="1">IFERROR(__xludf.DUMMYFUNCTION("""COMPUTED_VALUE"""),7)</f>
        <v>7</v>
      </c>
      <c r="BC855" s="40">
        <f ca="1">IFERROR(__xludf.DUMMYFUNCTION("""COMPUTED_VALUE"""),17)</f>
        <v>17</v>
      </c>
      <c r="BD855" s="141">
        <f ca="1">IFERROR(__xludf.DUMMYFUNCTION("""COMPUTED_VALUE"""),44328)</f>
        <v>44328</v>
      </c>
      <c r="BE855" s="141">
        <f ca="1">IFERROR(__xludf.DUMMYFUNCTION("""COMPUTED_VALUE"""),44876)</f>
        <v>44876</v>
      </c>
      <c r="BF855" s="141">
        <f ca="1">IFERROR(__xludf.DUMMYFUNCTION("""COMPUTED_VALUE"""),45057)</f>
        <v>45057</v>
      </c>
      <c r="BG855" s="141">
        <f ca="1">IFERROR(__xludf.DUMMYFUNCTION("""COMPUTED_VALUE"""),45607)</f>
        <v>45607</v>
      </c>
      <c r="BH855" s="40" t="str">
        <f ca="1">IFERROR(__xludf.DUMMYFUNCTION("""COMPUTED_VALUE"""),"FICHA EN TIEMPO-18 MESES")</f>
        <v>FICHA EN TIEMPO-18 MESES</v>
      </c>
      <c r="BI855" s="40" t="str">
        <f ca="1">IFERROR(__xludf.DUMMYFUNCTION("""COMPUTED_VALUE"""),"En ejecucion")</f>
        <v>En ejecucion</v>
      </c>
      <c r="BJ855" s="40" t="str">
        <f ca="1">IFERROR(__xludf.DUMMYFUNCTION("""COMPUTED_VALUE"""),"Yamboro")</f>
        <v>Yamboro</v>
      </c>
      <c r="BK855" s="40"/>
      <c r="BL855" s="40"/>
    </row>
    <row r="856" spans="1:64" ht="13">
      <c r="A856" s="40"/>
      <c r="B856" s="40" t="str">
        <f ca="1">IFERROR(__xludf.DUMMYFUNCTION("""COMPUTED_VALUE"""),"FORMACIÓN 18/10/2022")</f>
        <v>FORMACIÓN 18/10/2022</v>
      </c>
      <c r="C856" s="40" t="str">
        <f ca="1">IFERROR(__xludf.DUMMYFUNCTION("""COMPUTED_VALUE"""),"YEISON ARLEY CABRERA BUESAQUILLO")</f>
        <v>YEISON ARLEY CABRERA BUESAQUILLO</v>
      </c>
      <c r="D856" s="40" t="str">
        <f ca="1">IFERROR(__xludf.DUMMYFUNCTION("""COMPUTED_VALUE"""),"CC")</f>
        <v>CC</v>
      </c>
      <c r="E856" s="40">
        <f ca="1">IFERROR(__xludf.DUMMYFUNCTION("""COMPUTED_VALUE"""),1004492772)</f>
        <v>1004492772</v>
      </c>
      <c r="F856" s="40">
        <f ca="1">IFERROR(__xludf.DUMMYFUNCTION("""COMPUTED_VALUE"""),2326610)</f>
        <v>2326610</v>
      </c>
      <c r="G856" s="40" t="str">
        <f ca="1">IFERROR(__xludf.DUMMYFUNCTION("""COMPUTED_VALUE"""),"TECNÓLOGO")</f>
        <v>TECNÓLOGO</v>
      </c>
      <c r="H856" s="40" t="str">
        <f ca="1">IFERROR(__xludf.DUMMYFUNCTION("""COMPUTED_VALUE"""),"ANALISIS Y DESARROLLO DE SISTEMAS DE INFORMACION")</f>
        <v>ANALISIS Y DESARROLLO DE SISTEMAS DE INFORMACION</v>
      </c>
      <c r="I856" s="40"/>
      <c r="J856" s="40"/>
      <c r="K856" s="40"/>
      <c r="L856" s="40" t="str">
        <f ca="1">IFERROR(__xludf.DUMMYFUNCTION("""COMPUTED_VALUE"""),"NO HA INICIADO ETAPA PRODUCTIVA")</f>
        <v>NO HA INICIADO ETAPA PRODUCTIVA</v>
      </c>
      <c r="M856" s="40"/>
      <c r="N856" s="40"/>
      <c r="O856" s="40"/>
      <c r="P856" s="40"/>
      <c r="Q856" s="40"/>
      <c r="R856" s="140"/>
      <c r="S856" s="1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t="str">
        <f ca="1">IFERROR(__xludf.DUMMYFUNCTION("""COMPUTED_VALUE"""),"NO_CUMPLE")</f>
        <v>NO_CUMPLE</v>
      </c>
      <c r="AV856" s="40" t="str">
        <f ca="1">IFERROR(__xludf.DUMMYFUNCTION("""COMPUTED_VALUE"""),"EN FORMACION")</f>
        <v>EN FORMACION</v>
      </c>
      <c r="AW856" s="40" t="str">
        <f ca="1">IFERROR(__xludf.DUMMYFUNCTION("""COMPUTED_VALUE"""),"TIC")</f>
        <v>TIC</v>
      </c>
      <c r="AX856" s="141">
        <f ca="1">IFERROR(__xludf.DUMMYFUNCTION("""COMPUTED_VALUE"""),7)</f>
        <v>7</v>
      </c>
      <c r="AY856" s="40">
        <f ca="1">IFERROR(__xludf.DUMMYFUNCTION("""COMPUTED_VALUE"""),7)</f>
        <v>7</v>
      </c>
      <c r="AZ856" s="40">
        <f ca="1">IFERROR(__xludf.DUMMYFUNCTION("""COMPUTED_VALUE"""),1)</f>
        <v>1</v>
      </c>
      <c r="BA856" s="40">
        <f ca="1">IFERROR(__xludf.DUMMYFUNCTION("""COMPUTED_VALUE"""),15)</f>
        <v>15</v>
      </c>
      <c r="BB856" s="40">
        <f ca="1">IFERROR(__xludf.DUMMYFUNCTION("""COMPUTED_VALUE"""),19)</f>
        <v>19</v>
      </c>
      <c r="BC856" s="40">
        <f ca="1">IFERROR(__xludf.DUMMYFUNCTION("""COMPUTED_VALUE"""),42)</f>
        <v>42</v>
      </c>
      <c r="BD856" s="141">
        <f ca="1">IFERROR(__xludf.DUMMYFUNCTION("""COMPUTED_VALUE"""),44328)</f>
        <v>44328</v>
      </c>
      <c r="BE856" s="141">
        <f ca="1">IFERROR(__xludf.DUMMYFUNCTION("""COMPUTED_VALUE"""),44876)</f>
        <v>44876</v>
      </c>
      <c r="BF856" s="141">
        <f ca="1">IFERROR(__xludf.DUMMYFUNCTION("""COMPUTED_VALUE"""),45057)</f>
        <v>45057</v>
      </c>
      <c r="BG856" s="141">
        <f ca="1">IFERROR(__xludf.DUMMYFUNCTION("""COMPUTED_VALUE"""),45607)</f>
        <v>45607</v>
      </c>
      <c r="BH856" s="40" t="str">
        <f ca="1">IFERROR(__xludf.DUMMYFUNCTION("""COMPUTED_VALUE"""),"FICHA EN TIEMPO-18 MESES")</f>
        <v>FICHA EN TIEMPO-18 MESES</v>
      </c>
      <c r="BI856" s="40" t="str">
        <f ca="1">IFERROR(__xludf.DUMMYFUNCTION("""COMPUTED_VALUE"""),"En ejecucion")</f>
        <v>En ejecucion</v>
      </c>
      <c r="BJ856" s="40" t="str">
        <f ca="1">IFERROR(__xludf.DUMMYFUNCTION("""COMPUTED_VALUE"""),"Yamboro")</f>
        <v>Yamboro</v>
      </c>
      <c r="BK856" s="40"/>
      <c r="BL856" s="40"/>
    </row>
    <row r="857" spans="1:64" ht="13">
      <c r="A857" s="40"/>
      <c r="B857" s="40" t="str">
        <f ca="1">IFERROR(__xludf.DUMMYFUNCTION("""COMPUTED_VALUE"""),"FORMACIÓN 18/10/2022")</f>
        <v>FORMACIÓN 18/10/2022</v>
      </c>
      <c r="C857" s="40" t="str">
        <f ca="1">IFERROR(__xludf.DUMMYFUNCTION("""COMPUTED_VALUE"""),"DIEGO ANTONIO SALAZAR OSPINA")</f>
        <v>DIEGO ANTONIO SALAZAR OSPINA</v>
      </c>
      <c r="D857" s="40" t="str">
        <f ca="1">IFERROR(__xludf.DUMMYFUNCTION("""COMPUTED_VALUE"""),"CC")</f>
        <v>CC</v>
      </c>
      <c r="E857" s="40">
        <f ca="1">IFERROR(__xludf.DUMMYFUNCTION("""COMPUTED_VALUE"""),1007163482)</f>
        <v>1007163482</v>
      </c>
      <c r="F857" s="40">
        <f ca="1">IFERROR(__xludf.DUMMYFUNCTION("""COMPUTED_VALUE"""),2326610)</f>
        <v>2326610</v>
      </c>
      <c r="G857" s="40" t="str">
        <f ca="1">IFERROR(__xludf.DUMMYFUNCTION("""COMPUTED_VALUE"""),"TECNÓLOGO")</f>
        <v>TECNÓLOGO</v>
      </c>
      <c r="H857" s="40" t="str">
        <f ca="1">IFERROR(__xludf.DUMMYFUNCTION("""COMPUTED_VALUE"""),"ANALISIS Y DESARROLLO DE SISTEMAS DE INFORMACION")</f>
        <v>ANALISIS Y DESARROLLO DE SISTEMAS DE INFORMACION</v>
      </c>
      <c r="I857" s="40">
        <f ca="1">IFERROR(__xludf.DUMMYFUNCTION("""COMPUTED_VALUE"""),3204549509)</f>
        <v>3204549509</v>
      </c>
      <c r="J857" s="40" t="str">
        <f ca="1">IFERROR(__xludf.DUMMYFUNCTION("""COMPUTED_VALUE""")," diegosalazae2003@gmail.com")</f>
        <v xml:space="preserve"> diegosalazae2003@gmail.com</v>
      </c>
      <c r="K857" s="40" t="str">
        <f ca="1">IFERROR(__xludf.DUMMYFUNCTION("""COMPUTED_VALUE"""),"PITALITO")</f>
        <v>PITALITO</v>
      </c>
      <c r="L857" s="40" t="str">
        <f ca="1">IFERROR(__xludf.DUMMYFUNCTION("""COMPUTED_VALUE"""),"CONTRATO DE APRENDIZAJE")</f>
        <v>CONTRATO DE APRENDIZAJE</v>
      </c>
      <c r="M857" s="40" t="str">
        <f ca="1">IFERROR(__xludf.DUMMYFUNCTION("""COMPUTED_VALUE"""),"NTT DATA COLOMBIA S.A.S.")</f>
        <v>NTT DATA COLOMBIA S.A.S.</v>
      </c>
      <c r="N857" s="40" t="str">
        <f ca="1">IFERROR(__xludf.DUMMYFUNCTION("""COMPUTED_VALUE"""),"Calle 97# 13-57 Piso 5")</f>
        <v>Calle 97# 13-57 Piso 5</v>
      </c>
      <c r="O857" s="40">
        <f ca="1">IFERROR(__xludf.DUMMYFUNCTION("""COMPUTED_VALUE"""),3163832257)</f>
        <v>3163832257</v>
      </c>
      <c r="P857" s="40" t="str">
        <f ca="1">IFERROR(__xludf.DUMMYFUNCTION("""COMPUTED_VALUE"""),"BOGOTA ")</f>
        <v xml:space="preserve">BOGOTA </v>
      </c>
      <c r="Q857" s="40" t="str">
        <f ca="1">IFERROR(__xludf.DUMMYFUNCTION("""COMPUTED_VALUE"""),"gmartidu@nttdata.com")</f>
        <v>gmartidu@nttdata.com</v>
      </c>
      <c r="R857" s="140">
        <f ca="1">IFERROR(__xludf.DUMMYFUNCTION("""COMPUTED_VALUE"""),44886)</f>
        <v>44886</v>
      </c>
      <c r="S857" s="140">
        <f ca="1">IFERROR(__xludf.DUMMYFUNCTION("""COMPUTED_VALUE"""),45066)</f>
        <v>45066</v>
      </c>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t="str">
        <f ca="1">IFERROR(__xludf.DUMMYFUNCTION("""COMPUTED_VALUE"""),"POR ASIGNAR")</f>
        <v>POR ASIGNAR</v>
      </c>
      <c r="AP857" s="40"/>
      <c r="AQ857" s="40"/>
      <c r="AR857" s="40"/>
      <c r="AS857" s="40"/>
      <c r="AT857" s="40"/>
      <c r="AU857" s="40" t="str">
        <f ca="1">IFERROR(__xludf.DUMMYFUNCTION("""COMPUTED_VALUE"""),"NO_CUMPLE")</f>
        <v>NO_CUMPLE</v>
      </c>
      <c r="AV857" s="40" t="str">
        <f ca="1">IFERROR(__xludf.DUMMYFUNCTION("""COMPUTED_VALUE"""),"EN FORMACION")</f>
        <v>EN FORMACION</v>
      </c>
      <c r="AW857" s="40" t="str">
        <f ca="1">IFERROR(__xludf.DUMMYFUNCTION("""COMPUTED_VALUE"""),"TIC")</f>
        <v>TIC</v>
      </c>
      <c r="AX857" s="141">
        <f ca="1">IFERROR(__xludf.DUMMYFUNCTION("""COMPUTED_VALUE"""),4)</f>
        <v>4</v>
      </c>
      <c r="AY857" s="40">
        <f ca="1">IFERROR(__xludf.DUMMYFUNCTION("""COMPUTED_VALUE"""),4)</f>
        <v>4</v>
      </c>
      <c r="AZ857" s="40">
        <f ca="1">IFERROR(__xludf.DUMMYFUNCTION("""COMPUTED_VALUE"""),1)</f>
        <v>1</v>
      </c>
      <c r="BA857" s="40">
        <f ca="1">IFERROR(__xludf.DUMMYFUNCTION("""COMPUTED_VALUE"""),6)</f>
        <v>6</v>
      </c>
      <c r="BB857" s="40">
        <f ca="1">IFERROR(__xludf.DUMMYFUNCTION("""COMPUTED_VALUE"""),7)</f>
        <v>7</v>
      </c>
      <c r="BC857" s="40">
        <f ca="1">IFERROR(__xludf.DUMMYFUNCTION("""COMPUTED_VALUE"""),18)</f>
        <v>18</v>
      </c>
      <c r="BD857" s="141">
        <f ca="1">IFERROR(__xludf.DUMMYFUNCTION("""COMPUTED_VALUE"""),44328)</f>
        <v>44328</v>
      </c>
      <c r="BE857" s="141">
        <f ca="1">IFERROR(__xludf.DUMMYFUNCTION("""COMPUTED_VALUE"""),44876)</f>
        <v>44876</v>
      </c>
      <c r="BF857" s="141">
        <f ca="1">IFERROR(__xludf.DUMMYFUNCTION("""COMPUTED_VALUE"""),45057)</f>
        <v>45057</v>
      </c>
      <c r="BG857" s="141">
        <f ca="1">IFERROR(__xludf.DUMMYFUNCTION("""COMPUTED_VALUE"""),45607)</f>
        <v>45607</v>
      </c>
      <c r="BH857" s="40" t="str">
        <f ca="1">IFERROR(__xludf.DUMMYFUNCTION("""COMPUTED_VALUE"""),"FICHA EN TIEMPO-18 MESES")</f>
        <v>FICHA EN TIEMPO-18 MESES</v>
      </c>
      <c r="BI857" s="40" t="str">
        <f ca="1">IFERROR(__xludf.DUMMYFUNCTION("""COMPUTED_VALUE"""),"En ejecucion")</f>
        <v>En ejecucion</v>
      </c>
      <c r="BJ857" s="40" t="str">
        <f ca="1">IFERROR(__xludf.DUMMYFUNCTION("""COMPUTED_VALUE"""),"Yamboro")</f>
        <v>Yamboro</v>
      </c>
      <c r="BK857" s="40"/>
      <c r="BL857" s="40"/>
    </row>
    <row r="858" spans="1:64" ht="13">
      <c r="A858" s="40"/>
      <c r="B858" s="40" t="str">
        <f ca="1">IFERROR(__xludf.DUMMYFUNCTION("""COMPUTED_VALUE"""),"FORMACIÓN 18/10/2022")</f>
        <v>FORMACIÓN 18/10/2022</v>
      </c>
      <c r="C858" s="40" t="str">
        <f ca="1">IFERROR(__xludf.DUMMYFUNCTION("""COMPUTED_VALUE"""),"KEVIN STIVEN MURCIA BOLAÑOS")</f>
        <v>KEVIN STIVEN MURCIA BOLAÑOS</v>
      </c>
      <c r="D858" s="40" t="str">
        <f ca="1">IFERROR(__xludf.DUMMYFUNCTION("""COMPUTED_VALUE"""),"CC")</f>
        <v>CC</v>
      </c>
      <c r="E858" s="40">
        <f ca="1">IFERROR(__xludf.DUMMYFUNCTION("""COMPUTED_VALUE"""),1007563113)</f>
        <v>1007563113</v>
      </c>
      <c r="F858" s="40">
        <f ca="1">IFERROR(__xludf.DUMMYFUNCTION("""COMPUTED_VALUE"""),2326610)</f>
        <v>2326610</v>
      </c>
      <c r="G858" s="40" t="str">
        <f ca="1">IFERROR(__xludf.DUMMYFUNCTION("""COMPUTED_VALUE"""),"TECNÓLOGO")</f>
        <v>TECNÓLOGO</v>
      </c>
      <c r="H858" s="40" t="str">
        <f ca="1">IFERROR(__xludf.DUMMYFUNCTION("""COMPUTED_VALUE"""),"ANALISIS Y DESARROLLO DE SISTEMAS DE INFORMACION")</f>
        <v>ANALISIS Y DESARROLLO DE SISTEMAS DE INFORMACION</v>
      </c>
      <c r="I858" s="40"/>
      <c r="J858" s="40"/>
      <c r="K858" s="40"/>
      <c r="L858" s="40" t="str">
        <f ca="1">IFERROR(__xludf.DUMMYFUNCTION("""COMPUTED_VALUE"""),"NO HA INICIADO ETAPA PRODUCTIVA")</f>
        <v>NO HA INICIADO ETAPA PRODUCTIVA</v>
      </c>
      <c r="M858" s="40"/>
      <c r="N858" s="40"/>
      <c r="O858" s="40"/>
      <c r="P858" s="40"/>
      <c r="Q858" s="40"/>
      <c r="R858" s="140"/>
      <c r="S858" s="1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t="str">
        <f ca="1">IFERROR(__xludf.DUMMYFUNCTION("""COMPUTED_VALUE"""),"NO_CUMPLE")</f>
        <v>NO_CUMPLE</v>
      </c>
      <c r="AV858" s="40" t="str">
        <f ca="1">IFERROR(__xludf.DUMMYFUNCTION("""COMPUTED_VALUE"""),"EN FORMACION")</f>
        <v>EN FORMACION</v>
      </c>
      <c r="AW858" s="40" t="str">
        <f ca="1">IFERROR(__xludf.DUMMYFUNCTION("""COMPUTED_VALUE"""),"TIC")</f>
        <v>TIC</v>
      </c>
      <c r="AX858" s="141">
        <f ca="1">IFERROR(__xludf.DUMMYFUNCTION("""COMPUTED_VALUE"""),4)</f>
        <v>4</v>
      </c>
      <c r="AY858" s="40">
        <f ca="1">IFERROR(__xludf.DUMMYFUNCTION("""COMPUTED_VALUE"""),4)</f>
        <v>4</v>
      </c>
      <c r="AZ858" s="40">
        <f ca="1">IFERROR(__xludf.DUMMYFUNCTION("""COMPUTED_VALUE"""),1)</f>
        <v>1</v>
      </c>
      <c r="BA858" s="40">
        <f ca="1">IFERROR(__xludf.DUMMYFUNCTION("""COMPUTED_VALUE"""),5)</f>
        <v>5</v>
      </c>
      <c r="BB858" s="40">
        <f ca="1">IFERROR(__xludf.DUMMYFUNCTION("""COMPUTED_VALUE"""),7)</f>
        <v>7</v>
      </c>
      <c r="BC858" s="40">
        <f ca="1">IFERROR(__xludf.DUMMYFUNCTION("""COMPUTED_VALUE"""),17)</f>
        <v>17</v>
      </c>
      <c r="BD858" s="141">
        <f ca="1">IFERROR(__xludf.DUMMYFUNCTION("""COMPUTED_VALUE"""),44328)</f>
        <v>44328</v>
      </c>
      <c r="BE858" s="141">
        <f ca="1">IFERROR(__xludf.DUMMYFUNCTION("""COMPUTED_VALUE"""),44876)</f>
        <v>44876</v>
      </c>
      <c r="BF858" s="141">
        <f ca="1">IFERROR(__xludf.DUMMYFUNCTION("""COMPUTED_VALUE"""),45057)</f>
        <v>45057</v>
      </c>
      <c r="BG858" s="141">
        <f ca="1">IFERROR(__xludf.DUMMYFUNCTION("""COMPUTED_VALUE"""),45607)</f>
        <v>45607</v>
      </c>
      <c r="BH858" s="40" t="str">
        <f ca="1">IFERROR(__xludf.DUMMYFUNCTION("""COMPUTED_VALUE"""),"FICHA EN TIEMPO-18 MESES")</f>
        <v>FICHA EN TIEMPO-18 MESES</v>
      </c>
      <c r="BI858" s="40" t="str">
        <f ca="1">IFERROR(__xludf.DUMMYFUNCTION("""COMPUTED_VALUE"""),"En ejecucion")</f>
        <v>En ejecucion</v>
      </c>
      <c r="BJ858" s="40" t="str">
        <f ca="1">IFERROR(__xludf.DUMMYFUNCTION("""COMPUTED_VALUE"""),"Yamboro")</f>
        <v>Yamboro</v>
      </c>
      <c r="BK858" s="40"/>
      <c r="BL858" s="40"/>
    </row>
    <row r="859" spans="1:64" ht="13">
      <c r="A859" s="40"/>
      <c r="B859" s="40" t="str">
        <f ca="1">IFERROR(__xludf.DUMMYFUNCTION("""COMPUTED_VALUE"""),"FORMACIÓN 18/10/2022")</f>
        <v>FORMACIÓN 18/10/2022</v>
      </c>
      <c r="C859" s="40" t="str">
        <f ca="1">IFERROR(__xludf.DUMMYFUNCTION("""COMPUTED_VALUE"""),"DANIEL STIVEN BRAVO BOLAÑOZ")</f>
        <v>DANIEL STIVEN BRAVO BOLAÑOZ</v>
      </c>
      <c r="D859" s="40" t="str">
        <f ca="1">IFERROR(__xludf.DUMMYFUNCTION("""COMPUTED_VALUE"""),"TI")</f>
        <v>TI</v>
      </c>
      <c r="E859" s="40">
        <f ca="1">IFERROR(__xludf.DUMMYFUNCTION("""COMPUTED_VALUE"""),1007600571)</f>
        <v>1007600571</v>
      </c>
      <c r="F859" s="40">
        <f ca="1">IFERROR(__xludf.DUMMYFUNCTION("""COMPUTED_VALUE"""),2326610)</f>
        <v>2326610</v>
      </c>
      <c r="G859" s="40" t="str">
        <f ca="1">IFERROR(__xludf.DUMMYFUNCTION("""COMPUTED_VALUE"""),"TECNÓLOGO")</f>
        <v>TECNÓLOGO</v>
      </c>
      <c r="H859" s="40" t="str">
        <f ca="1">IFERROR(__xludf.DUMMYFUNCTION("""COMPUTED_VALUE"""),"ANALISIS Y DESARROLLO DE SISTEMAS DE INFORMACION")</f>
        <v>ANALISIS Y DESARROLLO DE SISTEMAS DE INFORMACION</v>
      </c>
      <c r="I859" s="40"/>
      <c r="J859" s="40"/>
      <c r="K859" s="40"/>
      <c r="L859" s="40" t="str">
        <f ca="1">IFERROR(__xludf.DUMMYFUNCTION("""COMPUTED_VALUE"""),"NO HA INICIADO ETAPA PRODUCTIVA")</f>
        <v>NO HA INICIADO ETAPA PRODUCTIVA</v>
      </c>
      <c r="M859" s="40"/>
      <c r="N859" s="40"/>
      <c r="O859" s="40"/>
      <c r="P859" s="40"/>
      <c r="Q859" s="40"/>
      <c r="R859" s="140"/>
      <c r="S859" s="1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t="str">
        <f ca="1">IFERROR(__xludf.DUMMYFUNCTION("""COMPUTED_VALUE"""),"NO_CUMPLE")</f>
        <v>NO_CUMPLE</v>
      </c>
      <c r="AV859" s="40" t="str">
        <f ca="1">IFERROR(__xludf.DUMMYFUNCTION("""COMPUTED_VALUE"""),"EN FORMACION")</f>
        <v>EN FORMACION</v>
      </c>
      <c r="AW859" s="40" t="str">
        <f ca="1">IFERROR(__xludf.DUMMYFUNCTION("""COMPUTED_VALUE"""),"TIC")</f>
        <v>TIC</v>
      </c>
      <c r="AX859" s="141">
        <f ca="1">IFERROR(__xludf.DUMMYFUNCTION("""COMPUTED_VALUE"""),4)</f>
        <v>4</v>
      </c>
      <c r="AY859" s="40">
        <f ca="1">IFERROR(__xludf.DUMMYFUNCTION("""COMPUTED_VALUE"""),4)</f>
        <v>4</v>
      </c>
      <c r="AZ859" s="40">
        <f ca="1">IFERROR(__xludf.DUMMYFUNCTION("""COMPUTED_VALUE"""),1)</f>
        <v>1</v>
      </c>
      <c r="BA859" s="40">
        <f ca="1">IFERROR(__xludf.DUMMYFUNCTION("""COMPUTED_VALUE"""),5)</f>
        <v>5</v>
      </c>
      <c r="BB859" s="40">
        <f ca="1">IFERROR(__xludf.DUMMYFUNCTION("""COMPUTED_VALUE"""),7)</f>
        <v>7</v>
      </c>
      <c r="BC859" s="40">
        <f ca="1">IFERROR(__xludf.DUMMYFUNCTION("""COMPUTED_VALUE"""),17)</f>
        <v>17</v>
      </c>
      <c r="BD859" s="141">
        <f ca="1">IFERROR(__xludf.DUMMYFUNCTION("""COMPUTED_VALUE"""),44328)</f>
        <v>44328</v>
      </c>
      <c r="BE859" s="141">
        <f ca="1">IFERROR(__xludf.DUMMYFUNCTION("""COMPUTED_VALUE"""),44876)</f>
        <v>44876</v>
      </c>
      <c r="BF859" s="141">
        <f ca="1">IFERROR(__xludf.DUMMYFUNCTION("""COMPUTED_VALUE"""),45057)</f>
        <v>45057</v>
      </c>
      <c r="BG859" s="141">
        <f ca="1">IFERROR(__xludf.DUMMYFUNCTION("""COMPUTED_VALUE"""),45607)</f>
        <v>45607</v>
      </c>
      <c r="BH859" s="40" t="str">
        <f ca="1">IFERROR(__xludf.DUMMYFUNCTION("""COMPUTED_VALUE"""),"FICHA EN TIEMPO-18 MESES")</f>
        <v>FICHA EN TIEMPO-18 MESES</v>
      </c>
      <c r="BI859" s="40" t="str">
        <f ca="1">IFERROR(__xludf.DUMMYFUNCTION("""COMPUTED_VALUE"""),"En ejecucion")</f>
        <v>En ejecucion</v>
      </c>
      <c r="BJ859" s="40" t="str">
        <f ca="1">IFERROR(__xludf.DUMMYFUNCTION("""COMPUTED_VALUE"""),"Yamboro")</f>
        <v>Yamboro</v>
      </c>
      <c r="BK859" s="40"/>
      <c r="BL859" s="40"/>
    </row>
    <row r="860" spans="1:64" ht="13">
      <c r="A860" s="40"/>
      <c r="B860" s="40" t="str">
        <f ca="1">IFERROR(__xludf.DUMMYFUNCTION("""COMPUTED_VALUE"""),"FORMACIÓN 18/10/2022")</f>
        <v>FORMACIÓN 18/10/2022</v>
      </c>
      <c r="C860" s="40" t="str">
        <f ca="1">IFERROR(__xludf.DUMMYFUNCTION("""COMPUTED_VALUE"""),"JUAN FELIPE MORENO RAMIREZ")</f>
        <v>JUAN FELIPE MORENO RAMIREZ</v>
      </c>
      <c r="D860" s="40" t="str">
        <f ca="1">IFERROR(__xludf.DUMMYFUNCTION("""COMPUTED_VALUE"""),"TI")</f>
        <v>TI</v>
      </c>
      <c r="E860" s="40">
        <f ca="1">IFERROR(__xludf.DUMMYFUNCTION("""COMPUTED_VALUE"""),1076903377)</f>
        <v>1076903377</v>
      </c>
      <c r="F860" s="40">
        <f ca="1">IFERROR(__xludf.DUMMYFUNCTION("""COMPUTED_VALUE"""),2326610)</f>
        <v>2326610</v>
      </c>
      <c r="G860" s="40" t="str">
        <f ca="1">IFERROR(__xludf.DUMMYFUNCTION("""COMPUTED_VALUE"""),"TECNÓLOGO")</f>
        <v>TECNÓLOGO</v>
      </c>
      <c r="H860" s="40" t="str">
        <f ca="1">IFERROR(__xludf.DUMMYFUNCTION("""COMPUTED_VALUE"""),"ANALISIS Y DESARROLLO DE SISTEMAS DE INFORMACION")</f>
        <v>ANALISIS Y DESARROLLO DE SISTEMAS DE INFORMACION</v>
      </c>
      <c r="I860" s="40">
        <f ca="1">IFERROR(__xludf.DUMMYFUNCTION("""COMPUTED_VALUE"""),3134165315)</f>
        <v>3134165315</v>
      </c>
      <c r="J860" s="40" t="str">
        <f ca="1">IFERROR(__xludf.DUMMYFUNCTION("""COMPUTED_VALUE"""),"cybernetjf64@gmail.com")</f>
        <v>cybernetjf64@gmail.com</v>
      </c>
      <c r="K860" s="40" t="str">
        <f ca="1">IFERROR(__xludf.DUMMYFUNCTION("""COMPUTED_VALUE"""),"PITALITO")</f>
        <v>PITALITO</v>
      </c>
      <c r="L860" s="40" t="str">
        <f ca="1">IFERROR(__xludf.DUMMYFUNCTION("""COMPUTED_VALUE"""),"CONTRATO DE APRENDIZAJE")</f>
        <v>CONTRATO DE APRENDIZAJE</v>
      </c>
      <c r="M860" s="40" t="str">
        <f ca="1">IFERROR(__xludf.DUMMYFUNCTION("""COMPUTED_VALUE"""),"INFORMATION AND COMMUNICATION TECHNOLOGIES CONSULTING SERVICES ZOMAC SAS")</f>
        <v>INFORMATION AND COMMUNICATION TECHNOLOGIES CONSULTING SERVICES ZOMAC SAS</v>
      </c>
      <c r="N860" s="40" t="str">
        <f ca="1">IFERROR(__xludf.DUMMYFUNCTION("""COMPUTED_VALUE"""),"CALLE 4 NO 6-41 P 2")</f>
        <v>CALLE 4 NO 6-41 P 2</v>
      </c>
      <c r="O860" s="40"/>
      <c r="P860" s="40" t="str">
        <f ca="1">IFERROR(__xludf.DUMMYFUNCTION("""COMPUTED_VALUE"""),"TELLO")</f>
        <v>TELLO</v>
      </c>
      <c r="Q860" s="40" t="str">
        <f ca="1">IFERROR(__xludf.DUMMYFUNCTION("""COMPUTED_VALUE"""),"Psicologa.talentohumano@clinicauros.com")</f>
        <v>Psicologa.talentohumano@clinicauros.com</v>
      </c>
      <c r="R860" s="140">
        <f ca="1">IFERROR(__xludf.DUMMYFUNCTION("""COMPUTED_VALUE"""),44882)</f>
        <v>44882</v>
      </c>
      <c r="S860" s="140">
        <f ca="1">IFERROR(__xludf.DUMMYFUNCTION("""COMPUTED_VALUE"""),45062)</f>
        <v>45062</v>
      </c>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t="str">
        <f ca="1">IFERROR(__xludf.DUMMYFUNCTION("""COMPUTED_VALUE"""),"POR ASIGNAR")</f>
        <v>POR ASIGNAR</v>
      </c>
      <c r="AP860" s="40"/>
      <c r="AQ860" s="40"/>
      <c r="AR860" s="40"/>
      <c r="AS860" s="40"/>
      <c r="AT860" s="40"/>
      <c r="AU860" s="40" t="str">
        <f ca="1">IFERROR(__xludf.DUMMYFUNCTION("""COMPUTED_VALUE"""),"NO_CUMPLE")</f>
        <v>NO_CUMPLE</v>
      </c>
      <c r="AV860" s="40" t="str">
        <f ca="1">IFERROR(__xludf.DUMMYFUNCTION("""COMPUTED_VALUE"""),"EN FORMACION")</f>
        <v>EN FORMACION</v>
      </c>
      <c r="AW860" s="40" t="str">
        <f ca="1">IFERROR(__xludf.DUMMYFUNCTION("""COMPUTED_VALUE"""),"TIC")</f>
        <v>TIC</v>
      </c>
      <c r="AX860" s="141">
        <f ca="1">IFERROR(__xludf.DUMMYFUNCTION("""COMPUTED_VALUE"""),6)</f>
        <v>6</v>
      </c>
      <c r="AY860" s="40">
        <f ca="1">IFERROR(__xludf.DUMMYFUNCTION("""COMPUTED_VALUE"""),6)</f>
        <v>6</v>
      </c>
      <c r="AZ860" s="40">
        <f ca="1">IFERROR(__xludf.DUMMYFUNCTION("""COMPUTED_VALUE"""),1)</f>
        <v>1</v>
      </c>
      <c r="BA860" s="40">
        <f ca="1">IFERROR(__xludf.DUMMYFUNCTION("""COMPUTED_VALUE"""),5)</f>
        <v>5</v>
      </c>
      <c r="BB860" s="40">
        <f ca="1">IFERROR(__xludf.DUMMYFUNCTION("""COMPUTED_VALUE"""),7)</f>
        <v>7</v>
      </c>
      <c r="BC860" s="40">
        <f ca="1">IFERROR(__xludf.DUMMYFUNCTION("""COMPUTED_VALUE"""),19)</f>
        <v>19</v>
      </c>
      <c r="BD860" s="141">
        <f ca="1">IFERROR(__xludf.DUMMYFUNCTION("""COMPUTED_VALUE"""),44328)</f>
        <v>44328</v>
      </c>
      <c r="BE860" s="141">
        <f ca="1">IFERROR(__xludf.DUMMYFUNCTION("""COMPUTED_VALUE"""),44876)</f>
        <v>44876</v>
      </c>
      <c r="BF860" s="141">
        <f ca="1">IFERROR(__xludf.DUMMYFUNCTION("""COMPUTED_VALUE"""),45057)</f>
        <v>45057</v>
      </c>
      <c r="BG860" s="141">
        <f ca="1">IFERROR(__xludf.DUMMYFUNCTION("""COMPUTED_VALUE"""),45607)</f>
        <v>45607</v>
      </c>
      <c r="BH860" s="40" t="str">
        <f ca="1">IFERROR(__xludf.DUMMYFUNCTION("""COMPUTED_VALUE"""),"FICHA EN TIEMPO-18 MESES")</f>
        <v>FICHA EN TIEMPO-18 MESES</v>
      </c>
      <c r="BI860" s="40" t="str">
        <f ca="1">IFERROR(__xludf.DUMMYFUNCTION("""COMPUTED_VALUE"""),"En ejecucion")</f>
        <v>En ejecucion</v>
      </c>
      <c r="BJ860" s="40" t="str">
        <f ca="1">IFERROR(__xludf.DUMMYFUNCTION("""COMPUTED_VALUE"""),"Yamboro")</f>
        <v>Yamboro</v>
      </c>
      <c r="BK860" s="40"/>
      <c r="BL860" s="40"/>
    </row>
    <row r="861" spans="1:64" ht="13">
      <c r="A861" s="40"/>
      <c r="B861" s="40" t="str">
        <f ca="1">IFERROR(__xludf.DUMMYFUNCTION("""COMPUTED_VALUE"""),"FORMACIÓN 18/10/2022")</f>
        <v>FORMACIÓN 18/10/2022</v>
      </c>
      <c r="C861" s="40" t="str">
        <f ca="1">IFERROR(__xludf.DUMMYFUNCTION("""COMPUTED_VALUE"""),"JUAN FERNANDO YUCO ROJAS")</f>
        <v>JUAN FERNANDO YUCO ROJAS</v>
      </c>
      <c r="D861" s="40" t="str">
        <f ca="1">IFERROR(__xludf.DUMMYFUNCTION("""COMPUTED_VALUE"""),"CC")</f>
        <v>CC</v>
      </c>
      <c r="E861" s="40">
        <f ca="1">IFERROR(__xludf.DUMMYFUNCTION("""COMPUTED_VALUE"""),1078746185)</f>
        <v>1078746185</v>
      </c>
      <c r="F861" s="40">
        <f ca="1">IFERROR(__xludf.DUMMYFUNCTION("""COMPUTED_VALUE"""),2326610)</f>
        <v>2326610</v>
      </c>
      <c r="G861" s="40" t="str">
        <f ca="1">IFERROR(__xludf.DUMMYFUNCTION("""COMPUTED_VALUE"""),"TECNÓLOGO")</f>
        <v>TECNÓLOGO</v>
      </c>
      <c r="H861" s="40" t="str">
        <f ca="1">IFERROR(__xludf.DUMMYFUNCTION("""COMPUTED_VALUE"""),"ANALISIS Y DESARROLLO DE SISTEMAS DE INFORMACION")</f>
        <v>ANALISIS Y DESARROLLO DE SISTEMAS DE INFORMACION</v>
      </c>
      <c r="I861" s="40"/>
      <c r="J861" s="40"/>
      <c r="K861" s="40"/>
      <c r="L861" s="40" t="str">
        <f ca="1">IFERROR(__xludf.DUMMYFUNCTION("""COMPUTED_VALUE"""),"NO HA INICIADO ETAPA PRODUCTIVA")</f>
        <v>NO HA INICIADO ETAPA PRODUCTIVA</v>
      </c>
      <c r="M861" s="40"/>
      <c r="N861" s="40"/>
      <c r="O861" s="40"/>
      <c r="P861" s="40"/>
      <c r="Q861" s="40"/>
      <c r="R861" s="140"/>
      <c r="S861" s="1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t="str">
        <f ca="1">IFERROR(__xludf.DUMMYFUNCTION("""COMPUTED_VALUE"""),"NO_CUMPLE")</f>
        <v>NO_CUMPLE</v>
      </c>
      <c r="AV861" s="40" t="str">
        <f ca="1">IFERROR(__xludf.DUMMYFUNCTION("""COMPUTED_VALUE"""),"EN FORMACION")</f>
        <v>EN FORMACION</v>
      </c>
      <c r="AW861" s="40" t="str">
        <f ca="1">IFERROR(__xludf.DUMMYFUNCTION("""COMPUTED_VALUE"""),"TIC")</f>
        <v>TIC</v>
      </c>
      <c r="AX861" s="141">
        <f ca="1">IFERROR(__xludf.DUMMYFUNCTION("""COMPUTED_VALUE"""),4)</f>
        <v>4</v>
      </c>
      <c r="AY861" s="40">
        <f ca="1">IFERROR(__xludf.DUMMYFUNCTION("""COMPUTED_VALUE"""),4)</f>
        <v>4</v>
      </c>
      <c r="AZ861" s="40">
        <f ca="1">IFERROR(__xludf.DUMMYFUNCTION("""COMPUTED_VALUE"""),1)</f>
        <v>1</v>
      </c>
      <c r="BA861" s="40">
        <f ca="1">IFERROR(__xludf.DUMMYFUNCTION("""COMPUTED_VALUE"""),9)</f>
        <v>9</v>
      </c>
      <c r="BB861" s="40">
        <f ca="1">IFERROR(__xludf.DUMMYFUNCTION("""COMPUTED_VALUE"""),7)</f>
        <v>7</v>
      </c>
      <c r="BC861" s="40">
        <f ca="1">IFERROR(__xludf.DUMMYFUNCTION("""COMPUTED_VALUE"""),21)</f>
        <v>21</v>
      </c>
      <c r="BD861" s="141">
        <f ca="1">IFERROR(__xludf.DUMMYFUNCTION("""COMPUTED_VALUE"""),44328)</f>
        <v>44328</v>
      </c>
      <c r="BE861" s="141">
        <f ca="1">IFERROR(__xludf.DUMMYFUNCTION("""COMPUTED_VALUE"""),44876)</f>
        <v>44876</v>
      </c>
      <c r="BF861" s="141">
        <f ca="1">IFERROR(__xludf.DUMMYFUNCTION("""COMPUTED_VALUE"""),45057)</f>
        <v>45057</v>
      </c>
      <c r="BG861" s="141">
        <f ca="1">IFERROR(__xludf.DUMMYFUNCTION("""COMPUTED_VALUE"""),45607)</f>
        <v>45607</v>
      </c>
      <c r="BH861" s="40" t="str">
        <f ca="1">IFERROR(__xludf.DUMMYFUNCTION("""COMPUTED_VALUE"""),"FICHA EN TIEMPO-18 MESES")</f>
        <v>FICHA EN TIEMPO-18 MESES</v>
      </c>
      <c r="BI861" s="40" t="str">
        <f ca="1">IFERROR(__xludf.DUMMYFUNCTION("""COMPUTED_VALUE"""),"En ejecucion")</f>
        <v>En ejecucion</v>
      </c>
      <c r="BJ861" s="40" t="str">
        <f ca="1">IFERROR(__xludf.DUMMYFUNCTION("""COMPUTED_VALUE"""),"Yamboro")</f>
        <v>Yamboro</v>
      </c>
      <c r="BK861" s="40"/>
      <c r="BL861" s="40"/>
    </row>
    <row r="862" spans="1:64" ht="13">
      <c r="A862" s="40"/>
      <c r="B862" s="40" t="str">
        <f ca="1">IFERROR(__xludf.DUMMYFUNCTION("""COMPUTED_VALUE"""),"FORMACIÓN 18/10/2022")</f>
        <v>FORMACIÓN 18/10/2022</v>
      </c>
      <c r="C862" s="40" t="str">
        <f ca="1">IFERROR(__xludf.DUMMYFUNCTION("""COMPUTED_VALUE"""),"KEVIN STIVEN IJAJI LOSADA")</f>
        <v>KEVIN STIVEN IJAJI LOSADA</v>
      </c>
      <c r="D862" s="40" t="str">
        <f ca="1">IFERROR(__xludf.DUMMYFUNCTION("""COMPUTED_VALUE"""),"TI")</f>
        <v>TI</v>
      </c>
      <c r="E862" s="40">
        <f ca="1">IFERROR(__xludf.DUMMYFUNCTION("""COMPUTED_VALUE"""),1083868126)</f>
        <v>1083868126</v>
      </c>
      <c r="F862" s="40">
        <f ca="1">IFERROR(__xludf.DUMMYFUNCTION("""COMPUTED_VALUE"""),2326610)</f>
        <v>2326610</v>
      </c>
      <c r="G862" s="40" t="str">
        <f ca="1">IFERROR(__xludf.DUMMYFUNCTION("""COMPUTED_VALUE"""),"TECNÓLOGO")</f>
        <v>TECNÓLOGO</v>
      </c>
      <c r="H862" s="40" t="str">
        <f ca="1">IFERROR(__xludf.DUMMYFUNCTION("""COMPUTED_VALUE"""),"ANALISIS Y DESARROLLO DE SISTEMAS DE INFORMACION")</f>
        <v>ANALISIS Y DESARROLLO DE SISTEMAS DE INFORMACION</v>
      </c>
      <c r="I862" s="40"/>
      <c r="J862" s="40"/>
      <c r="K862" s="40"/>
      <c r="L862" s="40" t="str">
        <f ca="1">IFERROR(__xludf.DUMMYFUNCTION("""COMPUTED_VALUE"""),"NO HA INICIADO ETAPA PRODUCTIVA")</f>
        <v>NO HA INICIADO ETAPA PRODUCTIVA</v>
      </c>
      <c r="M862" s="40"/>
      <c r="N862" s="40"/>
      <c r="O862" s="40"/>
      <c r="P862" s="40"/>
      <c r="Q862" s="40"/>
      <c r="R862" s="140"/>
      <c r="S862" s="1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t="str">
        <f ca="1">IFERROR(__xludf.DUMMYFUNCTION("""COMPUTED_VALUE"""),"NO_CUMPLE")</f>
        <v>NO_CUMPLE</v>
      </c>
      <c r="AV862" s="40" t="str">
        <f ca="1">IFERROR(__xludf.DUMMYFUNCTION("""COMPUTED_VALUE"""),"EN FORMACION")</f>
        <v>EN FORMACION</v>
      </c>
      <c r="AW862" s="40" t="str">
        <f ca="1">IFERROR(__xludf.DUMMYFUNCTION("""COMPUTED_VALUE"""),"TIC")</f>
        <v>TIC</v>
      </c>
      <c r="AX862" s="141">
        <f ca="1">IFERROR(__xludf.DUMMYFUNCTION("""COMPUTED_VALUE"""),5)</f>
        <v>5</v>
      </c>
      <c r="AY862" s="40">
        <f ca="1">IFERROR(__xludf.DUMMYFUNCTION("""COMPUTED_VALUE"""),5)</f>
        <v>5</v>
      </c>
      <c r="AZ862" s="40">
        <f ca="1">IFERROR(__xludf.DUMMYFUNCTION("""COMPUTED_VALUE"""),1)</f>
        <v>1</v>
      </c>
      <c r="BA862" s="40">
        <f ca="1">IFERROR(__xludf.DUMMYFUNCTION("""COMPUTED_VALUE"""),5)</f>
        <v>5</v>
      </c>
      <c r="BB862" s="40">
        <f ca="1">IFERROR(__xludf.DUMMYFUNCTION("""COMPUTED_VALUE"""),7)</f>
        <v>7</v>
      </c>
      <c r="BC862" s="40">
        <f ca="1">IFERROR(__xludf.DUMMYFUNCTION("""COMPUTED_VALUE"""),18)</f>
        <v>18</v>
      </c>
      <c r="BD862" s="141">
        <f ca="1">IFERROR(__xludf.DUMMYFUNCTION("""COMPUTED_VALUE"""),44328)</f>
        <v>44328</v>
      </c>
      <c r="BE862" s="141">
        <f ca="1">IFERROR(__xludf.DUMMYFUNCTION("""COMPUTED_VALUE"""),44876)</f>
        <v>44876</v>
      </c>
      <c r="BF862" s="141">
        <f ca="1">IFERROR(__xludf.DUMMYFUNCTION("""COMPUTED_VALUE"""),45057)</f>
        <v>45057</v>
      </c>
      <c r="BG862" s="141">
        <f ca="1">IFERROR(__xludf.DUMMYFUNCTION("""COMPUTED_VALUE"""),45607)</f>
        <v>45607</v>
      </c>
      <c r="BH862" s="40" t="str">
        <f ca="1">IFERROR(__xludf.DUMMYFUNCTION("""COMPUTED_VALUE"""),"FICHA EN TIEMPO-18 MESES")</f>
        <v>FICHA EN TIEMPO-18 MESES</v>
      </c>
      <c r="BI862" s="40" t="str">
        <f ca="1">IFERROR(__xludf.DUMMYFUNCTION("""COMPUTED_VALUE"""),"En ejecucion")</f>
        <v>En ejecucion</v>
      </c>
      <c r="BJ862" s="40" t="str">
        <f ca="1">IFERROR(__xludf.DUMMYFUNCTION("""COMPUTED_VALUE"""),"Yamboro")</f>
        <v>Yamboro</v>
      </c>
      <c r="BK862" s="40"/>
      <c r="BL862" s="40"/>
    </row>
    <row r="863" spans="1:64" ht="13">
      <c r="A863" s="40"/>
      <c r="B863" s="40" t="str">
        <f ca="1">IFERROR(__xludf.DUMMYFUNCTION("""COMPUTED_VALUE"""),"FORMACIÓN 18/10/2022")</f>
        <v>FORMACIÓN 18/10/2022</v>
      </c>
      <c r="C863" s="40" t="str">
        <f ca="1">IFERROR(__xludf.DUMMYFUNCTION("""COMPUTED_VALUE"""),"JHON ALEXANDER CASTAÑO GOMEZ")</f>
        <v>JHON ALEXANDER CASTAÑO GOMEZ</v>
      </c>
      <c r="D863" s="40" t="str">
        <f ca="1">IFERROR(__xludf.DUMMYFUNCTION("""COMPUTED_VALUE"""),"TI")</f>
        <v>TI</v>
      </c>
      <c r="E863" s="40">
        <f ca="1">IFERROR(__xludf.DUMMYFUNCTION("""COMPUTED_VALUE"""),1083877176)</f>
        <v>1083877176</v>
      </c>
      <c r="F863" s="40">
        <f ca="1">IFERROR(__xludf.DUMMYFUNCTION("""COMPUTED_VALUE"""),2326610)</f>
        <v>2326610</v>
      </c>
      <c r="G863" s="40" t="str">
        <f ca="1">IFERROR(__xludf.DUMMYFUNCTION("""COMPUTED_VALUE"""),"TECNÓLOGO")</f>
        <v>TECNÓLOGO</v>
      </c>
      <c r="H863" s="40" t="str">
        <f ca="1">IFERROR(__xludf.DUMMYFUNCTION("""COMPUTED_VALUE"""),"ANALISIS Y DESARROLLO DE SISTEMAS DE INFORMACION")</f>
        <v>ANALISIS Y DESARROLLO DE SISTEMAS DE INFORMACION</v>
      </c>
      <c r="I863" s="40"/>
      <c r="J863" s="40"/>
      <c r="K863" s="40"/>
      <c r="L863" s="40" t="str">
        <f ca="1">IFERROR(__xludf.DUMMYFUNCTION("""COMPUTED_VALUE"""),"NO HA INICIADO ETAPA PRODUCTIVA")</f>
        <v>NO HA INICIADO ETAPA PRODUCTIVA</v>
      </c>
      <c r="M863" s="40"/>
      <c r="N863" s="40"/>
      <c r="O863" s="40"/>
      <c r="P863" s="40"/>
      <c r="Q863" s="40"/>
      <c r="R863" s="140"/>
      <c r="S863" s="1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t="str">
        <f ca="1">IFERROR(__xludf.DUMMYFUNCTION("""COMPUTED_VALUE"""),"NO_CUMPLE")</f>
        <v>NO_CUMPLE</v>
      </c>
      <c r="AV863" s="40" t="str">
        <f ca="1">IFERROR(__xludf.DUMMYFUNCTION("""COMPUTED_VALUE"""),"EN FORMACION")</f>
        <v>EN FORMACION</v>
      </c>
      <c r="AW863" s="40" t="str">
        <f ca="1">IFERROR(__xludf.DUMMYFUNCTION("""COMPUTED_VALUE"""),"TIC")</f>
        <v>TIC</v>
      </c>
      <c r="AX863" s="141">
        <f ca="1">IFERROR(__xludf.DUMMYFUNCTION("""COMPUTED_VALUE"""),4)</f>
        <v>4</v>
      </c>
      <c r="AY863" s="40">
        <f ca="1">IFERROR(__xludf.DUMMYFUNCTION("""COMPUTED_VALUE"""),4)</f>
        <v>4</v>
      </c>
      <c r="AZ863" s="40">
        <f ca="1">IFERROR(__xludf.DUMMYFUNCTION("""COMPUTED_VALUE"""),1)</f>
        <v>1</v>
      </c>
      <c r="BA863" s="40">
        <f ca="1">IFERROR(__xludf.DUMMYFUNCTION("""COMPUTED_VALUE"""),7)</f>
        <v>7</v>
      </c>
      <c r="BB863" s="40">
        <f ca="1">IFERROR(__xludf.DUMMYFUNCTION("""COMPUTED_VALUE"""),7)</f>
        <v>7</v>
      </c>
      <c r="BC863" s="40">
        <f ca="1">IFERROR(__xludf.DUMMYFUNCTION("""COMPUTED_VALUE"""),19)</f>
        <v>19</v>
      </c>
      <c r="BD863" s="141">
        <f ca="1">IFERROR(__xludf.DUMMYFUNCTION("""COMPUTED_VALUE"""),44328)</f>
        <v>44328</v>
      </c>
      <c r="BE863" s="141">
        <f ca="1">IFERROR(__xludf.DUMMYFUNCTION("""COMPUTED_VALUE"""),44876)</f>
        <v>44876</v>
      </c>
      <c r="BF863" s="141">
        <f ca="1">IFERROR(__xludf.DUMMYFUNCTION("""COMPUTED_VALUE"""),45057)</f>
        <v>45057</v>
      </c>
      <c r="BG863" s="141">
        <f ca="1">IFERROR(__xludf.DUMMYFUNCTION("""COMPUTED_VALUE"""),45607)</f>
        <v>45607</v>
      </c>
      <c r="BH863" s="40" t="str">
        <f ca="1">IFERROR(__xludf.DUMMYFUNCTION("""COMPUTED_VALUE"""),"FICHA EN TIEMPO-18 MESES")</f>
        <v>FICHA EN TIEMPO-18 MESES</v>
      </c>
      <c r="BI863" s="40" t="str">
        <f ca="1">IFERROR(__xludf.DUMMYFUNCTION("""COMPUTED_VALUE"""),"En ejecucion")</f>
        <v>En ejecucion</v>
      </c>
      <c r="BJ863" s="40" t="str">
        <f ca="1">IFERROR(__xludf.DUMMYFUNCTION("""COMPUTED_VALUE"""),"Yamboro")</f>
        <v>Yamboro</v>
      </c>
      <c r="BK863" s="40"/>
      <c r="BL863" s="40"/>
    </row>
    <row r="864" spans="1:64" ht="13">
      <c r="A864" s="40"/>
      <c r="B864" s="40" t="str">
        <f ca="1">IFERROR(__xludf.DUMMYFUNCTION("""COMPUTED_VALUE"""),"FORMACIÓN 18/10/2022")</f>
        <v>FORMACIÓN 18/10/2022</v>
      </c>
      <c r="C864" s="40" t="str">
        <f ca="1">IFERROR(__xludf.DUMMYFUNCTION("""COMPUTED_VALUE"""),"LILIANA YISELA GOMEZ ANACONA")</f>
        <v>LILIANA YISELA GOMEZ ANACONA</v>
      </c>
      <c r="D864" s="40" t="str">
        <f ca="1">IFERROR(__xludf.DUMMYFUNCTION("""COMPUTED_VALUE"""),"CC")</f>
        <v>CC</v>
      </c>
      <c r="E864" s="40">
        <f ca="1">IFERROR(__xludf.DUMMYFUNCTION("""COMPUTED_VALUE"""),1083984005)</f>
        <v>1083984005</v>
      </c>
      <c r="F864" s="40">
        <f ca="1">IFERROR(__xludf.DUMMYFUNCTION("""COMPUTED_VALUE"""),2326610)</f>
        <v>2326610</v>
      </c>
      <c r="G864" s="40" t="str">
        <f ca="1">IFERROR(__xludf.DUMMYFUNCTION("""COMPUTED_VALUE"""),"TECNÓLOGO")</f>
        <v>TECNÓLOGO</v>
      </c>
      <c r="H864" s="40" t="str">
        <f ca="1">IFERROR(__xludf.DUMMYFUNCTION("""COMPUTED_VALUE"""),"ANALISIS Y DESARROLLO DE SISTEMAS DE INFORMACION")</f>
        <v>ANALISIS Y DESARROLLO DE SISTEMAS DE INFORMACION</v>
      </c>
      <c r="I864" s="40">
        <f ca="1">IFERROR(__xludf.DUMMYFUNCTION("""COMPUTED_VALUE"""),3508688456)</f>
        <v>3508688456</v>
      </c>
      <c r="J864" s="40" t="str">
        <f ca="1">IFERROR(__xludf.DUMMYFUNCTION("""COMPUTED_VALUE"""),"gicelagomez17082020@gmail.com")</f>
        <v>gicelagomez17082020@gmail.com</v>
      </c>
      <c r="K864" s="40" t="str">
        <f ca="1">IFERROR(__xludf.DUMMYFUNCTION("""COMPUTED_VALUE"""),"SAN AGUSTIN")</f>
        <v>SAN AGUSTIN</v>
      </c>
      <c r="L864" s="40" t="str">
        <f ca="1">IFERROR(__xludf.DUMMYFUNCTION("""COMPUTED_VALUE"""),"CONTRATO DE APRENDIZAJE")</f>
        <v>CONTRATO DE APRENDIZAJE</v>
      </c>
      <c r="M864" s="40" t="str">
        <f ca="1">IFERROR(__xludf.DUMMYFUNCTION("""COMPUTED_VALUE"""),"NTT DATA COLOMBIA S.A.S.")</f>
        <v>NTT DATA COLOMBIA S.A.S.</v>
      </c>
      <c r="N864" s="40" t="str">
        <f ca="1">IFERROR(__xludf.DUMMYFUNCTION("""COMPUTED_VALUE"""),"Calle 97# 13-57 Piso 5")</f>
        <v>Calle 97# 13-57 Piso 5</v>
      </c>
      <c r="O864" s="40">
        <f ca="1">IFERROR(__xludf.DUMMYFUNCTION("""COMPUTED_VALUE"""),3163832257)</f>
        <v>3163832257</v>
      </c>
      <c r="P864" s="40" t="str">
        <f ca="1">IFERROR(__xludf.DUMMYFUNCTION("""COMPUTED_VALUE"""),"BOGOTA ")</f>
        <v xml:space="preserve">BOGOTA </v>
      </c>
      <c r="Q864" s="40" t="str">
        <f ca="1">IFERROR(__xludf.DUMMYFUNCTION("""COMPUTED_VALUE"""),"gmartidu@nttdata.com")</f>
        <v>gmartidu@nttdata.com</v>
      </c>
      <c r="R864" s="140">
        <f ca="1">IFERROR(__xludf.DUMMYFUNCTION("""COMPUTED_VALUE"""),44886)</f>
        <v>44886</v>
      </c>
      <c r="S864" s="140">
        <f ca="1">IFERROR(__xludf.DUMMYFUNCTION("""COMPUTED_VALUE"""),45066)</f>
        <v>45066</v>
      </c>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t="str">
        <f ca="1">IFERROR(__xludf.DUMMYFUNCTION("""COMPUTED_VALUE"""),"POR ASIGNAR")</f>
        <v>POR ASIGNAR</v>
      </c>
      <c r="AP864" s="40"/>
      <c r="AQ864" s="40"/>
      <c r="AR864" s="40"/>
      <c r="AS864" s="40"/>
      <c r="AT864" s="40"/>
      <c r="AU864" s="40" t="str">
        <f ca="1">IFERROR(__xludf.DUMMYFUNCTION("""COMPUTED_VALUE"""),"NO_CUMPLE")</f>
        <v>NO_CUMPLE</v>
      </c>
      <c r="AV864" s="40" t="str">
        <f ca="1">IFERROR(__xludf.DUMMYFUNCTION("""COMPUTED_VALUE"""),"EN FORMACION")</f>
        <v>EN FORMACION</v>
      </c>
      <c r="AW864" s="40" t="str">
        <f ca="1">IFERROR(__xludf.DUMMYFUNCTION("""COMPUTED_VALUE"""),"TIC")</f>
        <v>TIC</v>
      </c>
      <c r="AX864" s="141">
        <f ca="1">IFERROR(__xludf.DUMMYFUNCTION("""COMPUTED_VALUE"""),4)</f>
        <v>4</v>
      </c>
      <c r="AY864" s="40">
        <f ca="1">IFERROR(__xludf.DUMMYFUNCTION("""COMPUTED_VALUE"""),4)</f>
        <v>4</v>
      </c>
      <c r="AZ864" s="40">
        <f ca="1">IFERROR(__xludf.DUMMYFUNCTION("""COMPUTED_VALUE"""),1)</f>
        <v>1</v>
      </c>
      <c r="BA864" s="40">
        <f ca="1">IFERROR(__xludf.DUMMYFUNCTION("""COMPUTED_VALUE"""),5)</f>
        <v>5</v>
      </c>
      <c r="BB864" s="40">
        <f ca="1">IFERROR(__xludf.DUMMYFUNCTION("""COMPUTED_VALUE"""),7)</f>
        <v>7</v>
      </c>
      <c r="BC864" s="40">
        <f ca="1">IFERROR(__xludf.DUMMYFUNCTION("""COMPUTED_VALUE"""),17)</f>
        <v>17</v>
      </c>
      <c r="BD864" s="141">
        <f ca="1">IFERROR(__xludf.DUMMYFUNCTION("""COMPUTED_VALUE"""),44328)</f>
        <v>44328</v>
      </c>
      <c r="BE864" s="141">
        <f ca="1">IFERROR(__xludf.DUMMYFUNCTION("""COMPUTED_VALUE"""),44876)</f>
        <v>44876</v>
      </c>
      <c r="BF864" s="141">
        <f ca="1">IFERROR(__xludf.DUMMYFUNCTION("""COMPUTED_VALUE"""),45057)</f>
        <v>45057</v>
      </c>
      <c r="BG864" s="141">
        <f ca="1">IFERROR(__xludf.DUMMYFUNCTION("""COMPUTED_VALUE"""),45607)</f>
        <v>45607</v>
      </c>
      <c r="BH864" s="40" t="str">
        <f ca="1">IFERROR(__xludf.DUMMYFUNCTION("""COMPUTED_VALUE"""),"FICHA EN TIEMPO-18 MESES")</f>
        <v>FICHA EN TIEMPO-18 MESES</v>
      </c>
      <c r="BI864" s="40" t="str">
        <f ca="1">IFERROR(__xludf.DUMMYFUNCTION("""COMPUTED_VALUE"""),"En ejecucion")</f>
        <v>En ejecucion</v>
      </c>
      <c r="BJ864" s="40" t="str">
        <f ca="1">IFERROR(__xludf.DUMMYFUNCTION("""COMPUTED_VALUE"""),"Yamboro")</f>
        <v>Yamboro</v>
      </c>
      <c r="BK864" s="40"/>
      <c r="BL864" s="40"/>
    </row>
    <row r="865" spans="1:64" ht="13">
      <c r="A865" s="40"/>
      <c r="B865" s="40" t="str">
        <f ca="1">IFERROR(__xludf.DUMMYFUNCTION("""COMPUTED_VALUE"""),"FORMACIÓN 18/10/2022")</f>
        <v>FORMACIÓN 18/10/2022</v>
      </c>
      <c r="C865" s="40" t="str">
        <f ca="1">IFERROR(__xludf.DUMMYFUNCTION("""COMPUTED_VALUE"""),"NICOLAS VARGAS RUIZ")</f>
        <v>NICOLAS VARGAS RUIZ</v>
      </c>
      <c r="D865" s="40" t="str">
        <f ca="1">IFERROR(__xludf.DUMMYFUNCTION("""COMPUTED_VALUE"""),"CC")</f>
        <v>CC</v>
      </c>
      <c r="E865" s="40">
        <f ca="1">IFERROR(__xludf.DUMMYFUNCTION("""COMPUTED_VALUE"""),1000573615)</f>
        <v>1000573615</v>
      </c>
      <c r="F865" s="40">
        <f ca="1">IFERROR(__xludf.DUMMYFUNCTION("""COMPUTED_VALUE"""),2281797)</f>
        <v>2281797</v>
      </c>
      <c r="G865" s="40" t="str">
        <f ca="1">IFERROR(__xludf.DUMMYFUNCTION("""COMPUTED_VALUE"""),"TECNÓLOGO")</f>
        <v>TECNÓLOGO</v>
      </c>
      <c r="H865" s="40" t="str">
        <f ca="1">IFERROR(__xludf.DUMMYFUNCTION("""COMPUTED_VALUE"""),"PRODUCCION DE MULTIMEDIA")</f>
        <v>PRODUCCION DE MULTIMEDIA</v>
      </c>
      <c r="I865" s="40">
        <f ca="1">IFERROR(__xludf.DUMMYFUNCTION("""COMPUTED_VALUE"""),8692767)</f>
        <v>8692767</v>
      </c>
      <c r="J865" s="40" t="str">
        <f ca="1">IFERROR(__xludf.DUMMYFUNCTION("""COMPUTED_VALUE"""),"nicolasruiztouro@gmail.com")</f>
        <v>nicolasruiztouro@gmail.com</v>
      </c>
      <c r="K865" s="40" t="str">
        <f ca="1">IFERROR(__xludf.DUMMYFUNCTION("""COMPUTED_VALUE"""),"TOCANCIPA")</f>
        <v>TOCANCIPA</v>
      </c>
      <c r="L865" s="40" t="str">
        <f ca="1">IFERROR(__xludf.DUMMYFUNCTION("""COMPUTED_VALUE"""),"CONTRATO DE APRENDIZAJE ")</f>
        <v xml:space="preserve">CONTRATO DE APRENDIZAJE </v>
      </c>
      <c r="M865" s="40" t="str">
        <f ca="1">IFERROR(__xludf.DUMMYFUNCTION("""COMPUTED_VALUE"""),"CULTIVOS DEL NORTE SAS")</f>
        <v>CULTIVOS DEL NORTE SAS</v>
      </c>
      <c r="N865" s="40" t="str">
        <f ca="1">IFERROR(__xludf.DUMMYFUNCTION("""COMPUTED_VALUE"""),"CARRERA 8 D NO. 191 15 TORRE 2 APARTAMENTO 207")</f>
        <v>CARRERA 8 D NO. 191 15 TORRE 2 APARTAMENTO 207</v>
      </c>
      <c r="O865" s="40">
        <f ca="1">IFERROR(__xludf.DUMMYFUNCTION("""COMPUTED_VALUE"""),8575117)</f>
        <v>8575117</v>
      </c>
      <c r="P865" s="40" t="str">
        <f ca="1">IFERROR(__xludf.DUMMYFUNCTION("""COMPUTED_VALUE"""),"BOGOTA ")</f>
        <v xml:space="preserve">BOGOTA </v>
      </c>
      <c r="Q865" s="40" t="str">
        <f ca="1">IFERROR(__xludf.DUMMYFUNCTION("""COMPUTED_VALUE"""),"CULTINOR@GMAIL.COM")</f>
        <v>CULTINOR@GMAIL.COM</v>
      </c>
      <c r="R865" s="140">
        <f ca="1">IFERROR(__xludf.DUMMYFUNCTION("""COMPUTED_VALUE"""),44820)</f>
        <v>44820</v>
      </c>
      <c r="S865" s="140">
        <f ca="1">IFERROR(__xludf.DUMMYFUNCTION("""COMPUTED_VALUE"""),44999)</f>
        <v>44999</v>
      </c>
      <c r="T865" s="40"/>
      <c r="U865" s="40" t="str">
        <f ca="1">IFERROR(__xludf.DUMMYFUNCTION("""COMPUTED_VALUE"""),"POR ASIGNAR")</f>
        <v>POR ASIGNAR</v>
      </c>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t="str">
        <f ca="1">IFERROR(__xludf.DUMMYFUNCTION("""COMPUTED_VALUE"""),"Procede_E_P")</f>
        <v>Procede_E_P</v>
      </c>
      <c r="AV865" s="40" t="str">
        <f ca="1">IFERROR(__xludf.DUMMYFUNCTION("""COMPUTED_VALUE"""),"EN FORMACION")</f>
        <v>EN FORMACION</v>
      </c>
      <c r="AW865" s="40" t="str">
        <f ca="1">IFERROR(__xludf.DUMMYFUNCTION("""COMPUTED_VALUE"""),"TIC")</f>
        <v>TIC</v>
      </c>
      <c r="AX865" s="141">
        <f ca="1">IFERROR(__xludf.DUMMYFUNCTION("""COMPUTED_VALUE"""),0)</f>
        <v>0</v>
      </c>
      <c r="AY865" s="40">
        <f ca="1">IFERROR(__xludf.DUMMYFUNCTION("""COMPUTED_VALUE"""),0)</f>
        <v>0</v>
      </c>
      <c r="AZ865" s="40">
        <f ca="1">IFERROR(__xludf.DUMMYFUNCTION("""COMPUTED_VALUE"""),1)</f>
        <v>1</v>
      </c>
      <c r="BA865" s="40">
        <f ca="1">IFERROR(__xludf.DUMMYFUNCTION("""COMPUTED_VALUE"""),0)</f>
        <v>0</v>
      </c>
      <c r="BB865" s="40">
        <f ca="1">IFERROR(__xludf.DUMMYFUNCTION("""COMPUTED_VALUE"""),0)</f>
        <v>0</v>
      </c>
      <c r="BC865" s="40">
        <f ca="1">IFERROR(__xludf.DUMMYFUNCTION("""COMPUTED_VALUE"""),1)</f>
        <v>1</v>
      </c>
      <c r="BD865" s="141">
        <f ca="1">IFERROR(__xludf.DUMMYFUNCTION("""COMPUTED_VALUE"""),44270)</f>
        <v>44270</v>
      </c>
      <c r="BE865" s="141">
        <f ca="1">IFERROR(__xludf.DUMMYFUNCTION("""COMPUTED_VALUE"""),44818)</f>
        <v>44818</v>
      </c>
      <c r="BF865" s="141">
        <f ca="1">IFERROR(__xludf.DUMMYFUNCTION("""COMPUTED_VALUE"""),44999)</f>
        <v>44999</v>
      </c>
      <c r="BG865" s="141">
        <f ca="1">IFERROR(__xludf.DUMMYFUNCTION("""COMPUTED_VALUE"""),45549)</f>
        <v>45549</v>
      </c>
      <c r="BH865" s="40" t="str">
        <f ca="1">IFERROR(__xludf.DUMMYFUNCTION("""COMPUTED_VALUE"""),"FICHA EN TIEMPO-18 MESES")</f>
        <v>FICHA EN TIEMPO-18 MESES</v>
      </c>
      <c r="BI865" s="40" t="str">
        <f ca="1">IFERROR(__xludf.DUMMYFUNCTION("""COMPUTED_VALUE"""),"En ejecucion")</f>
        <v>En ejecucion</v>
      </c>
      <c r="BJ865" s="40" t="str">
        <f ca="1">IFERROR(__xludf.DUMMYFUNCTION("""COMPUTED_VALUE"""),"Yamboro")</f>
        <v>Yamboro</v>
      </c>
      <c r="BK865" s="40"/>
      <c r="BL865" s="40"/>
    </row>
    <row r="866" spans="1:64" ht="13">
      <c r="A866" s="40"/>
      <c r="B866" s="40" t="str">
        <f ca="1">IFERROR(__xludf.DUMMYFUNCTION("""COMPUTED_VALUE"""),"FORMACIÓN 18/10/2022")</f>
        <v>FORMACIÓN 18/10/2022</v>
      </c>
      <c r="C866" s="40" t="str">
        <f ca="1">IFERROR(__xludf.DUMMYFUNCTION("""COMPUTED_VALUE"""),"NICOLAS BERNAL BERNAL")</f>
        <v>NICOLAS BERNAL BERNAL</v>
      </c>
      <c r="D866" s="40" t="str">
        <f ca="1">IFERROR(__xludf.DUMMYFUNCTION("""COMPUTED_VALUE"""),"CC")</f>
        <v>CC</v>
      </c>
      <c r="E866" s="40">
        <f ca="1">IFERROR(__xludf.DUMMYFUNCTION("""COMPUTED_VALUE"""),1005702698)</f>
        <v>1005702698</v>
      </c>
      <c r="F866" s="40">
        <f ca="1">IFERROR(__xludf.DUMMYFUNCTION("""COMPUTED_VALUE"""),2281797)</f>
        <v>2281797</v>
      </c>
      <c r="G866" s="40" t="str">
        <f ca="1">IFERROR(__xludf.DUMMYFUNCTION("""COMPUTED_VALUE"""),"TECNÓLOGO")</f>
        <v>TECNÓLOGO</v>
      </c>
      <c r="H866" s="40" t="str">
        <f ca="1">IFERROR(__xludf.DUMMYFUNCTION("""COMPUTED_VALUE"""),"PRODUCCION DE MULTIMEDIA")</f>
        <v>PRODUCCION DE MULTIMEDIA</v>
      </c>
      <c r="I866" s="40"/>
      <c r="J866" s="40"/>
      <c r="K866" s="40"/>
      <c r="L866" s="40" t="str">
        <f ca="1">IFERROR(__xludf.DUMMYFUNCTION("""COMPUTED_VALUE"""),"PASANTÍAS")</f>
        <v>PASANTÍAS</v>
      </c>
      <c r="M866" s="40" t="str">
        <f ca="1">IFERROR(__xludf.DUMMYFUNCTION("""COMPUTED_VALUE"""),"REFUGIO PUENTE LA EXPLANACION")</f>
        <v>REFUGIO PUENTE LA EXPLANACION</v>
      </c>
      <c r="N866" s="40" t="str">
        <f ca="1">IFERROR(__xludf.DUMMYFUNCTION("""COMPUTED_VALUE"""),"VEREDA BOQUIA FINCA EL REFUGIO,
SALENTO QUINDÍO")</f>
        <v>VEREDA BOQUIA FINCA EL REFUGIO,
SALENTO QUINDÍO</v>
      </c>
      <c r="O866" s="40">
        <f ca="1">IFERROR(__xludf.DUMMYFUNCTION("""COMPUTED_VALUE"""),3206372246)</f>
        <v>3206372246</v>
      </c>
      <c r="P866" s="40"/>
      <c r="Q866" s="40" t="str">
        <f ca="1">IFERROR(__xludf.DUMMYFUNCTION("""COMPUTED_VALUE"""),"facturacionluiguibernal@gmail.com")</f>
        <v>facturacionluiguibernal@gmail.com</v>
      </c>
      <c r="R866" s="140">
        <f ca="1">IFERROR(__xludf.DUMMYFUNCTION("""COMPUTED_VALUE"""),44875)</f>
        <v>44875</v>
      </c>
      <c r="S866" s="140">
        <f ca="1">IFERROR(__xludf.DUMMYFUNCTION("""COMPUTED_VALUE"""),45055)</f>
        <v>45055</v>
      </c>
      <c r="T866" s="40"/>
      <c r="U866" s="40" t="str">
        <f ca="1">IFERROR(__xludf.DUMMYFUNCTION("""COMPUTED_VALUE"""),"Cristian Andres Gomez Urbano")</f>
        <v>Cristian Andres Gomez Urbano</v>
      </c>
      <c r="V866" s="40" t="s">
        <v>650</v>
      </c>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t="str">
        <f ca="1">IFERROR(__xludf.DUMMYFUNCTION("""COMPUTED_VALUE"""),"Procede_E_P")</f>
        <v>Procede_E_P</v>
      </c>
      <c r="AV866" s="40" t="str">
        <f ca="1">IFERROR(__xludf.DUMMYFUNCTION("""COMPUTED_VALUE"""),"EN FORMACION")</f>
        <v>EN FORMACION</v>
      </c>
      <c r="AW866" s="40" t="str">
        <f ca="1">IFERROR(__xludf.DUMMYFUNCTION("""COMPUTED_VALUE"""),"TIC")</f>
        <v>TIC</v>
      </c>
      <c r="AX866" s="141">
        <f ca="1">IFERROR(__xludf.DUMMYFUNCTION("""COMPUTED_VALUE"""),0)</f>
        <v>0</v>
      </c>
      <c r="AY866" s="40">
        <f ca="1">IFERROR(__xludf.DUMMYFUNCTION("""COMPUTED_VALUE"""),0)</f>
        <v>0</v>
      </c>
      <c r="AZ866" s="40">
        <f ca="1">IFERROR(__xludf.DUMMYFUNCTION("""COMPUTED_VALUE"""),1)</f>
        <v>1</v>
      </c>
      <c r="BA866" s="40">
        <f ca="1">IFERROR(__xludf.DUMMYFUNCTION("""COMPUTED_VALUE"""),0)</f>
        <v>0</v>
      </c>
      <c r="BB866" s="40">
        <f ca="1">IFERROR(__xludf.DUMMYFUNCTION("""COMPUTED_VALUE"""),0)</f>
        <v>0</v>
      </c>
      <c r="BC866" s="40">
        <f ca="1">IFERROR(__xludf.DUMMYFUNCTION("""COMPUTED_VALUE"""),1)</f>
        <v>1</v>
      </c>
      <c r="BD866" s="141">
        <f ca="1">IFERROR(__xludf.DUMMYFUNCTION("""COMPUTED_VALUE"""),44270)</f>
        <v>44270</v>
      </c>
      <c r="BE866" s="141">
        <f ca="1">IFERROR(__xludf.DUMMYFUNCTION("""COMPUTED_VALUE"""),44818)</f>
        <v>44818</v>
      </c>
      <c r="BF866" s="141">
        <f ca="1">IFERROR(__xludf.DUMMYFUNCTION("""COMPUTED_VALUE"""),44999)</f>
        <v>44999</v>
      </c>
      <c r="BG866" s="141">
        <f ca="1">IFERROR(__xludf.DUMMYFUNCTION("""COMPUTED_VALUE"""),45549)</f>
        <v>45549</v>
      </c>
      <c r="BH866" s="40" t="str">
        <f ca="1">IFERROR(__xludf.DUMMYFUNCTION("""COMPUTED_VALUE"""),"FICHA EN TIEMPO-18 MESES")</f>
        <v>FICHA EN TIEMPO-18 MESES</v>
      </c>
      <c r="BI866" s="40" t="str">
        <f ca="1">IFERROR(__xludf.DUMMYFUNCTION("""COMPUTED_VALUE"""),"En ejecucion")</f>
        <v>En ejecucion</v>
      </c>
      <c r="BJ866" s="40" t="str">
        <f ca="1">IFERROR(__xludf.DUMMYFUNCTION("""COMPUTED_VALUE"""),"Yamboro")</f>
        <v>Yamboro</v>
      </c>
      <c r="BK866" s="40"/>
      <c r="BL866" s="40"/>
    </row>
    <row r="867" spans="1:64" ht="13">
      <c r="A867" s="40"/>
      <c r="B867" s="40" t="str">
        <f ca="1">IFERROR(__xludf.DUMMYFUNCTION("""COMPUTED_VALUE"""),"CONDICIONADO 18/10/2022")</f>
        <v>CONDICIONADO 18/10/2022</v>
      </c>
      <c r="C867" s="40" t="str">
        <f ca="1">IFERROR(__xludf.DUMMYFUNCTION("""COMPUTED_VALUE"""),"LUISA MARIA MARTINEZ MORALES")</f>
        <v>LUISA MARIA MARTINEZ MORALES</v>
      </c>
      <c r="D867" s="40" t="str">
        <f ca="1">IFERROR(__xludf.DUMMYFUNCTION("""COMPUTED_VALUE"""),"CC")</f>
        <v>CC</v>
      </c>
      <c r="E867" s="40">
        <f ca="1">IFERROR(__xludf.DUMMYFUNCTION("""COMPUTED_VALUE"""),1005943559)</f>
        <v>1005943559</v>
      </c>
      <c r="F867" s="40">
        <f ca="1">IFERROR(__xludf.DUMMYFUNCTION("""COMPUTED_VALUE"""),2281797)</f>
        <v>2281797</v>
      </c>
      <c r="G867" s="40" t="str">
        <f ca="1">IFERROR(__xludf.DUMMYFUNCTION("""COMPUTED_VALUE"""),"TECNÓLOGO")</f>
        <v>TECNÓLOGO</v>
      </c>
      <c r="H867" s="40" t="str">
        <f ca="1">IFERROR(__xludf.DUMMYFUNCTION("""COMPUTED_VALUE"""),"PRODUCCION DE MULTIMEDIA")</f>
        <v>PRODUCCION DE MULTIMEDIA</v>
      </c>
      <c r="I867" s="40"/>
      <c r="J867" s="40"/>
      <c r="K867" s="40"/>
      <c r="L867" s="40" t="str">
        <f ca="1">IFERROR(__xludf.DUMMYFUNCTION("""COMPUTED_VALUE"""),"NO HA INICIADO ETAPA PRODUCTIVA")</f>
        <v>NO HA INICIADO ETAPA PRODUCTIVA</v>
      </c>
      <c r="M867" s="40"/>
      <c r="N867" s="40"/>
      <c r="O867" s="40"/>
      <c r="P867" s="40"/>
      <c r="Q867" s="40"/>
      <c r="R867" s="140"/>
      <c r="S867" s="140"/>
      <c r="T867" s="40" t="str">
        <f ca="1">IFERROR(__xludf.DUMMYFUNCTION("""COMPUTED_VALUE"""),"debe 11 resultados... Revisado 15/11/2022")</f>
        <v>debe 11 resultados... Revisado 15/11/2022</v>
      </c>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t="str">
        <f ca="1">IFERROR(__xludf.DUMMYFUNCTION("""COMPUTED_VALUE"""),"NO_CUMPLE")</f>
        <v>NO_CUMPLE</v>
      </c>
      <c r="AV867" s="40" t="str">
        <f ca="1">IFERROR(__xludf.DUMMYFUNCTION("""COMPUTED_VALUE"""),"EN FORMACION")</f>
        <v>EN FORMACION</v>
      </c>
      <c r="AW867" s="40" t="str">
        <f ca="1">IFERROR(__xludf.DUMMYFUNCTION("""COMPUTED_VALUE"""),"TIC")</f>
        <v>TIC</v>
      </c>
      <c r="AX867" s="141">
        <f ca="1">IFERROR(__xludf.DUMMYFUNCTION("""COMPUTED_VALUE"""),4)</f>
        <v>4</v>
      </c>
      <c r="AY867" s="40">
        <f ca="1">IFERROR(__xludf.DUMMYFUNCTION("""COMPUTED_VALUE"""),4)</f>
        <v>4</v>
      </c>
      <c r="AZ867" s="40">
        <f ca="1">IFERROR(__xludf.DUMMYFUNCTION("""COMPUTED_VALUE"""),1)</f>
        <v>1</v>
      </c>
      <c r="BA867" s="40">
        <f ca="1">IFERROR(__xludf.DUMMYFUNCTION("""COMPUTED_VALUE"""),0)</f>
        <v>0</v>
      </c>
      <c r="BB867" s="40">
        <f ca="1">IFERROR(__xludf.DUMMYFUNCTION("""COMPUTED_VALUE"""),7)</f>
        <v>7</v>
      </c>
      <c r="BC867" s="40">
        <f ca="1">IFERROR(__xludf.DUMMYFUNCTION("""COMPUTED_VALUE"""),12)</f>
        <v>12</v>
      </c>
      <c r="BD867" s="141">
        <f ca="1">IFERROR(__xludf.DUMMYFUNCTION("""COMPUTED_VALUE"""),44270)</f>
        <v>44270</v>
      </c>
      <c r="BE867" s="141">
        <f ca="1">IFERROR(__xludf.DUMMYFUNCTION("""COMPUTED_VALUE"""),44818)</f>
        <v>44818</v>
      </c>
      <c r="BF867" s="141">
        <f ca="1">IFERROR(__xludf.DUMMYFUNCTION("""COMPUTED_VALUE"""),44999)</f>
        <v>44999</v>
      </c>
      <c r="BG867" s="141">
        <f ca="1">IFERROR(__xludf.DUMMYFUNCTION("""COMPUTED_VALUE"""),45549)</f>
        <v>45549</v>
      </c>
      <c r="BH867" s="40" t="str">
        <f ca="1">IFERROR(__xludf.DUMMYFUNCTION("""COMPUTED_VALUE"""),"FICHA EN TIEMPO-18 MESES")</f>
        <v>FICHA EN TIEMPO-18 MESES</v>
      </c>
      <c r="BI867" s="40" t="str">
        <f ca="1">IFERROR(__xludf.DUMMYFUNCTION("""COMPUTED_VALUE"""),"En ejecucion")</f>
        <v>En ejecucion</v>
      </c>
      <c r="BJ867" s="40" t="str">
        <f ca="1">IFERROR(__xludf.DUMMYFUNCTION("""COMPUTED_VALUE"""),"Yamboro")</f>
        <v>Yamboro</v>
      </c>
      <c r="BK867" s="40"/>
      <c r="BL867" s="40"/>
    </row>
    <row r="868" spans="1:64" ht="13">
      <c r="A868" s="40"/>
      <c r="B868" s="40" t="str">
        <f ca="1">IFERROR(__xludf.DUMMYFUNCTION("""COMPUTED_VALUE"""),"FORMACIÓN 18/10/2022")</f>
        <v>FORMACIÓN 18/10/2022</v>
      </c>
      <c r="C868" s="40" t="str">
        <f ca="1">IFERROR(__xludf.DUMMYFUNCTION("""COMPUTED_VALUE"""),"ANDRES ESTEBAN ASTUDILLO ORTEGA")</f>
        <v>ANDRES ESTEBAN ASTUDILLO ORTEGA</v>
      </c>
      <c r="D868" s="40" t="str">
        <f ca="1">IFERROR(__xludf.DUMMYFUNCTION("""COMPUTED_VALUE"""),"CC")</f>
        <v>CC</v>
      </c>
      <c r="E868" s="40">
        <f ca="1">IFERROR(__xludf.DUMMYFUNCTION("""COMPUTED_VALUE"""),1006033675)</f>
        <v>1006033675</v>
      </c>
      <c r="F868" s="40">
        <f ca="1">IFERROR(__xludf.DUMMYFUNCTION("""COMPUTED_VALUE"""),2281797)</f>
        <v>2281797</v>
      </c>
      <c r="G868" s="40" t="str">
        <f ca="1">IFERROR(__xludf.DUMMYFUNCTION("""COMPUTED_VALUE"""),"TECNÓLOGO")</f>
        <v>TECNÓLOGO</v>
      </c>
      <c r="H868" s="40" t="str">
        <f ca="1">IFERROR(__xludf.DUMMYFUNCTION("""COMPUTED_VALUE"""),"PRODUCCION DE MULTIMEDIA")</f>
        <v>PRODUCCION DE MULTIMEDIA</v>
      </c>
      <c r="I868" s="40"/>
      <c r="J868" s="40"/>
      <c r="K868" s="40"/>
      <c r="L868" s="40" t="str">
        <f ca="1">IFERROR(__xludf.DUMMYFUNCTION("""COMPUTED_VALUE"""),"NO HA INICIADO ETAPA PRODUCTIVA")</f>
        <v>NO HA INICIADO ETAPA PRODUCTIVA</v>
      </c>
      <c r="M868" s="40"/>
      <c r="N868" s="40"/>
      <c r="O868" s="40"/>
      <c r="P868" s="40"/>
      <c r="Q868" s="40"/>
      <c r="R868" s="140"/>
      <c r="S868" s="1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t="str">
        <f ca="1">IFERROR(__xludf.DUMMYFUNCTION("""COMPUTED_VALUE"""),"Procede_E_P")</f>
        <v>Procede_E_P</v>
      </c>
      <c r="AV868" s="40" t="str">
        <f ca="1">IFERROR(__xludf.DUMMYFUNCTION("""COMPUTED_VALUE"""),"EN FORMACION")</f>
        <v>EN FORMACION</v>
      </c>
      <c r="AW868" s="40" t="str">
        <f ca="1">IFERROR(__xludf.DUMMYFUNCTION("""COMPUTED_VALUE"""),"TIC")</f>
        <v>TIC</v>
      </c>
      <c r="AX868" s="141">
        <f ca="1">IFERROR(__xludf.DUMMYFUNCTION("""COMPUTED_VALUE"""),0)</f>
        <v>0</v>
      </c>
      <c r="AY868" s="40">
        <f ca="1">IFERROR(__xludf.DUMMYFUNCTION("""COMPUTED_VALUE"""),0)</f>
        <v>0</v>
      </c>
      <c r="AZ868" s="40">
        <f ca="1">IFERROR(__xludf.DUMMYFUNCTION("""COMPUTED_VALUE"""),1)</f>
        <v>1</v>
      </c>
      <c r="BA868" s="40">
        <f ca="1">IFERROR(__xludf.DUMMYFUNCTION("""COMPUTED_VALUE"""),0)</f>
        <v>0</v>
      </c>
      <c r="BB868" s="40">
        <f ca="1">IFERROR(__xludf.DUMMYFUNCTION("""COMPUTED_VALUE"""),0)</f>
        <v>0</v>
      </c>
      <c r="BC868" s="40">
        <f ca="1">IFERROR(__xludf.DUMMYFUNCTION("""COMPUTED_VALUE"""),1)</f>
        <v>1</v>
      </c>
      <c r="BD868" s="141">
        <f ca="1">IFERROR(__xludf.DUMMYFUNCTION("""COMPUTED_VALUE"""),44270)</f>
        <v>44270</v>
      </c>
      <c r="BE868" s="141">
        <f ca="1">IFERROR(__xludf.DUMMYFUNCTION("""COMPUTED_VALUE"""),44818)</f>
        <v>44818</v>
      </c>
      <c r="BF868" s="141">
        <f ca="1">IFERROR(__xludf.DUMMYFUNCTION("""COMPUTED_VALUE"""),44999)</f>
        <v>44999</v>
      </c>
      <c r="BG868" s="141">
        <f ca="1">IFERROR(__xludf.DUMMYFUNCTION("""COMPUTED_VALUE"""),45549)</f>
        <v>45549</v>
      </c>
      <c r="BH868" s="40" t="str">
        <f ca="1">IFERROR(__xludf.DUMMYFUNCTION("""COMPUTED_VALUE"""),"FICHA EN TIEMPO-18 MESES")</f>
        <v>FICHA EN TIEMPO-18 MESES</v>
      </c>
      <c r="BI868" s="40" t="str">
        <f ca="1">IFERROR(__xludf.DUMMYFUNCTION("""COMPUTED_VALUE"""),"En ejecucion")</f>
        <v>En ejecucion</v>
      </c>
      <c r="BJ868" s="40" t="str">
        <f ca="1">IFERROR(__xludf.DUMMYFUNCTION("""COMPUTED_VALUE"""),"Yamboro")</f>
        <v>Yamboro</v>
      </c>
      <c r="BK868" s="40"/>
      <c r="BL868" s="40"/>
    </row>
    <row r="869" spans="1:64" ht="13">
      <c r="A869" s="40"/>
      <c r="B869" s="40" t="str">
        <f ca="1">IFERROR(__xludf.DUMMYFUNCTION("""COMPUTED_VALUE"""),"FORMACIÓN 18/10/2022")</f>
        <v>FORMACIÓN 18/10/2022</v>
      </c>
      <c r="C869" s="40" t="str">
        <f ca="1">IFERROR(__xludf.DUMMYFUNCTION("""COMPUTED_VALUE"""),"ANDREA CAROLINA CHICO RUIZ")</f>
        <v>ANDREA CAROLINA CHICO RUIZ</v>
      </c>
      <c r="D869" s="40" t="str">
        <f ca="1">IFERROR(__xludf.DUMMYFUNCTION("""COMPUTED_VALUE"""),"CC")</f>
        <v>CC</v>
      </c>
      <c r="E869" s="40">
        <f ca="1">IFERROR(__xludf.DUMMYFUNCTION("""COMPUTED_VALUE"""),1007230377)</f>
        <v>1007230377</v>
      </c>
      <c r="F869" s="40">
        <f ca="1">IFERROR(__xludf.DUMMYFUNCTION("""COMPUTED_VALUE"""),2281797)</f>
        <v>2281797</v>
      </c>
      <c r="G869" s="40" t="str">
        <f ca="1">IFERROR(__xludf.DUMMYFUNCTION("""COMPUTED_VALUE"""),"TECNÓLOGO")</f>
        <v>TECNÓLOGO</v>
      </c>
      <c r="H869" s="40" t="str">
        <f ca="1">IFERROR(__xludf.DUMMYFUNCTION("""COMPUTED_VALUE"""),"PRODUCCION DE MULTIMEDIA")</f>
        <v>PRODUCCION DE MULTIMEDIA</v>
      </c>
      <c r="I869" s="40"/>
      <c r="J869" s="40"/>
      <c r="K869" s="40"/>
      <c r="L869" s="40" t="str">
        <f ca="1">IFERROR(__xludf.DUMMYFUNCTION("""COMPUTED_VALUE"""),"NO HA INICIADO ETAPA PRODUCTIVA")</f>
        <v>NO HA INICIADO ETAPA PRODUCTIVA</v>
      </c>
      <c r="M869" s="40"/>
      <c r="N869" s="40"/>
      <c r="O869" s="40"/>
      <c r="P869" s="40"/>
      <c r="Q869" s="40"/>
      <c r="R869" s="140"/>
      <c r="S869" s="1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t="str">
        <f ca="1">IFERROR(__xludf.DUMMYFUNCTION("""COMPUTED_VALUE"""),"Procede_E_P")</f>
        <v>Procede_E_P</v>
      </c>
      <c r="AV869" s="40" t="str">
        <f ca="1">IFERROR(__xludf.DUMMYFUNCTION("""COMPUTED_VALUE"""),"EN FORMACION")</f>
        <v>EN FORMACION</v>
      </c>
      <c r="AW869" s="40" t="str">
        <f ca="1">IFERROR(__xludf.DUMMYFUNCTION("""COMPUTED_VALUE"""),"TIC")</f>
        <v>TIC</v>
      </c>
      <c r="AX869" s="141">
        <f ca="1">IFERROR(__xludf.DUMMYFUNCTION("""COMPUTED_VALUE"""),0)</f>
        <v>0</v>
      </c>
      <c r="AY869" s="40">
        <f ca="1">IFERROR(__xludf.DUMMYFUNCTION("""COMPUTED_VALUE"""),0)</f>
        <v>0</v>
      </c>
      <c r="AZ869" s="40">
        <f ca="1">IFERROR(__xludf.DUMMYFUNCTION("""COMPUTED_VALUE"""),1)</f>
        <v>1</v>
      </c>
      <c r="BA869" s="40">
        <f ca="1">IFERROR(__xludf.DUMMYFUNCTION("""COMPUTED_VALUE"""),0)</f>
        <v>0</v>
      </c>
      <c r="BB869" s="40">
        <f ca="1">IFERROR(__xludf.DUMMYFUNCTION("""COMPUTED_VALUE"""),0)</f>
        <v>0</v>
      </c>
      <c r="BC869" s="40">
        <f ca="1">IFERROR(__xludf.DUMMYFUNCTION("""COMPUTED_VALUE"""),1)</f>
        <v>1</v>
      </c>
      <c r="BD869" s="141">
        <f ca="1">IFERROR(__xludf.DUMMYFUNCTION("""COMPUTED_VALUE"""),44270)</f>
        <v>44270</v>
      </c>
      <c r="BE869" s="141">
        <f ca="1">IFERROR(__xludf.DUMMYFUNCTION("""COMPUTED_VALUE"""),44818)</f>
        <v>44818</v>
      </c>
      <c r="BF869" s="141">
        <f ca="1">IFERROR(__xludf.DUMMYFUNCTION("""COMPUTED_VALUE"""),44999)</f>
        <v>44999</v>
      </c>
      <c r="BG869" s="141">
        <f ca="1">IFERROR(__xludf.DUMMYFUNCTION("""COMPUTED_VALUE"""),45549)</f>
        <v>45549</v>
      </c>
      <c r="BH869" s="40" t="str">
        <f ca="1">IFERROR(__xludf.DUMMYFUNCTION("""COMPUTED_VALUE"""),"FICHA EN TIEMPO-18 MESES")</f>
        <v>FICHA EN TIEMPO-18 MESES</v>
      </c>
      <c r="BI869" s="40" t="str">
        <f ca="1">IFERROR(__xludf.DUMMYFUNCTION("""COMPUTED_VALUE"""),"En ejecucion")</f>
        <v>En ejecucion</v>
      </c>
      <c r="BJ869" s="40" t="str">
        <f ca="1">IFERROR(__xludf.DUMMYFUNCTION("""COMPUTED_VALUE"""),"Yamboro")</f>
        <v>Yamboro</v>
      </c>
      <c r="BK869" s="40"/>
      <c r="BL869" s="40"/>
    </row>
    <row r="870" spans="1:64" ht="13">
      <c r="A870" s="40"/>
      <c r="B870" s="40" t="str">
        <f ca="1">IFERROR(__xludf.DUMMYFUNCTION("""COMPUTED_VALUE"""),"FORMACIÓN 18/10/2022")</f>
        <v>FORMACIÓN 18/10/2022</v>
      </c>
      <c r="C870" s="40" t="str">
        <f ca="1">IFERROR(__xludf.DUMMYFUNCTION("""COMPUTED_VALUE"""),"CHRISTIAN DAVID GARDEAZABAL ROJAS")</f>
        <v>CHRISTIAN DAVID GARDEAZABAL ROJAS</v>
      </c>
      <c r="D870" s="40" t="str">
        <f ca="1">IFERROR(__xludf.DUMMYFUNCTION("""COMPUTED_VALUE"""),"CC")</f>
        <v>CC</v>
      </c>
      <c r="E870" s="40">
        <f ca="1">IFERROR(__xludf.DUMMYFUNCTION("""COMPUTED_VALUE"""),1040754557)</f>
        <v>1040754557</v>
      </c>
      <c r="F870" s="40">
        <f ca="1">IFERROR(__xludf.DUMMYFUNCTION("""COMPUTED_VALUE"""),2281797)</f>
        <v>2281797</v>
      </c>
      <c r="G870" s="40" t="str">
        <f ca="1">IFERROR(__xludf.DUMMYFUNCTION("""COMPUTED_VALUE"""),"TECNÓLOGO")</f>
        <v>TECNÓLOGO</v>
      </c>
      <c r="H870" s="40" t="str">
        <f ca="1">IFERROR(__xludf.DUMMYFUNCTION("""COMPUTED_VALUE"""),"PRODUCCION DE MULTIMEDIA")</f>
        <v>PRODUCCION DE MULTIMEDIA</v>
      </c>
      <c r="I870" s="40"/>
      <c r="J870" s="40"/>
      <c r="K870" s="40"/>
      <c r="L870" s="40" t="str">
        <f ca="1">IFERROR(__xludf.DUMMYFUNCTION("""COMPUTED_VALUE"""),"NO HA INICIADO ETAPA PRODUCTIVA")</f>
        <v>NO HA INICIADO ETAPA PRODUCTIVA</v>
      </c>
      <c r="M870" s="40"/>
      <c r="N870" s="40"/>
      <c r="O870" s="40"/>
      <c r="P870" s="40"/>
      <c r="Q870" s="40"/>
      <c r="R870" s="140"/>
      <c r="S870" s="1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t="str">
        <f ca="1">IFERROR(__xludf.DUMMYFUNCTION("""COMPUTED_VALUE"""),"Procede_E_P")</f>
        <v>Procede_E_P</v>
      </c>
      <c r="AV870" s="40" t="str">
        <f ca="1">IFERROR(__xludf.DUMMYFUNCTION("""COMPUTED_VALUE"""),"EN FORMACION")</f>
        <v>EN FORMACION</v>
      </c>
      <c r="AW870" s="40" t="str">
        <f ca="1">IFERROR(__xludf.DUMMYFUNCTION("""COMPUTED_VALUE"""),"TIC")</f>
        <v>TIC</v>
      </c>
      <c r="AX870" s="141">
        <f ca="1">IFERROR(__xludf.DUMMYFUNCTION("""COMPUTED_VALUE"""),0)</f>
        <v>0</v>
      </c>
      <c r="AY870" s="40">
        <f ca="1">IFERROR(__xludf.DUMMYFUNCTION("""COMPUTED_VALUE"""),0)</f>
        <v>0</v>
      </c>
      <c r="AZ870" s="40">
        <f ca="1">IFERROR(__xludf.DUMMYFUNCTION("""COMPUTED_VALUE"""),1)</f>
        <v>1</v>
      </c>
      <c r="BA870" s="40">
        <f ca="1">IFERROR(__xludf.DUMMYFUNCTION("""COMPUTED_VALUE"""),0)</f>
        <v>0</v>
      </c>
      <c r="BB870" s="40">
        <f ca="1">IFERROR(__xludf.DUMMYFUNCTION("""COMPUTED_VALUE"""),0)</f>
        <v>0</v>
      </c>
      <c r="BC870" s="40">
        <f ca="1">IFERROR(__xludf.DUMMYFUNCTION("""COMPUTED_VALUE"""),1)</f>
        <v>1</v>
      </c>
      <c r="BD870" s="141">
        <f ca="1">IFERROR(__xludf.DUMMYFUNCTION("""COMPUTED_VALUE"""),44270)</f>
        <v>44270</v>
      </c>
      <c r="BE870" s="141">
        <f ca="1">IFERROR(__xludf.DUMMYFUNCTION("""COMPUTED_VALUE"""),44818)</f>
        <v>44818</v>
      </c>
      <c r="BF870" s="141">
        <f ca="1">IFERROR(__xludf.DUMMYFUNCTION("""COMPUTED_VALUE"""),44999)</f>
        <v>44999</v>
      </c>
      <c r="BG870" s="141">
        <f ca="1">IFERROR(__xludf.DUMMYFUNCTION("""COMPUTED_VALUE"""),45549)</f>
        <v>45549</v>
      </c>
      <c r="BH870" s="40" t="str">
        <f ca="1">IFERROR(__xludf.DUMMYFUNCTION("""COMPUTED_VALUE"""),"FICHA EN TIEMPO-18 MESES")</f>
        <v>FICHA EN TIEMPO-18 MESES</v>
      </c>
      <c r="BI870" s="40" t="str">
        <f ca="1">IFERROR(__xludf.DUMMYFUNCTION("""COMPUTED_VALUE"""),"En ejecucion")</f>
        <v>En ejecucion</v>
      </c>
      <c r="BJ870" s="40" t="str">
        <f ca="1">IFERROR(__xludf.DUMMYFUNCTION("""COMPUTED_VALUE"""),"Yamboro")</f>
        <v>Yamboro</v>
      </c>
      <c r="BK870" s="40"/>
      <c r="BL870" s="40"/>
    </row>
    <row r="871" spans="1:64" ht="13">
      <c r="A871" s="40"/>
      <c r="B871" s="40" t="str">
        <f ca="1">IFERROR(__xludf.DUMMYFUNCTION("""COMPUTED_VALUE"""),"FORMACIÓN 18/10/2022")</f>
        <v>FORMACIÓN 18/10/2022</v>
      </c>
      <c r="C871" s="40" t="str">
        <f ca="1">IFERROR(__xludf.DUMMYFUNCTION("""COMPUTED_VALUE"""),"JESUS DAVID OROZCO CONRADO")</f>
        <v>JESUS DAVID OROZCO CONRADO</v>
      </c>
      <c r="D871" s="40" t="str">
        <f ca="1">IFERROR(__xludf.DUMMYFUNCTION("""COMPUTED_VALUE"""),"TI")</f>
        <v>TI</v>
      </c>
      <c r="E871" s="40">
        <f ca="1">IFERROR(__xludf.DUMMYFUNCTION("""COMPUTED_VALUE"""),1041770419)</f>
        <v>1041770419</v>
      </c>
      <c r="F871" s="40">
        <f ca="1">IFERROR(__xludf.DUMMYFUNCTION("""COMPUTED_VALUE"""),2281797)</f>
        <v>2281797</v>
      </c>
      <c r="G871" s="40" t="str">
        <f ca="1">IFERROR(__xludf.DUMMYFUNCTION("""COMPUTED_VALUE"""),"TECNÓLOGO")</f>
        <v>TECNÓLOGO</v>
      </c>
      <c r="H871" s="40" t="str">
        <f ca="1">IFERROR(__xludf.DUMMYFUNCTION("""COMPUTED_VALUE"""),"PRODUCCION DE MULTIMEDIA")</f>
        <v>PRODUCCION DE MULTIMEDIA</v>
      </c>
      <c r="I871" s="40"/>
      <c r="J871" s="40"/>
      <c r="K871" s="40"/>
      <c r="L871" s="40" t="str">
        <f ca="1">IFERROR(__xludf.DUMMYFUNCTION("""COMPUTED_VALUE"""),"NO HA INICIADO ETAPA PRODUCTIVA")</f>
        <v>NO HA INICIADO ETAPA PRODUCTIVA</v>
      </c>
      <c r="M871" s="40"/>
      <c r="N871" s="40"/>
      <c r="O871" s="40"/>
      <c r="P871" s="40"/>
      <c r="Q871" s="40"/>
      <c r="R871" s="140"/>
      <c r="S871" s="1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t="str">
        <f ca="1">IFERROR(__xludf.DUMMYFUNCTION("""COMPUTED_VALUE"""),"Procede_E_P")</f>
        <v>Procede_E_P</v>
      </c>
      <c r="AV871" s="40" t="str">
        <f ca="1">IFERROR(__xludf.DUMMYFUNCTION("""COMPUTED_VALUE"""),"EN FORMACION")</f>
        <v>EN FORMACION</v>
      </c>
      <c r="AW871" s="40" t="str">
        <f ca="1">IFERROR(__xludf.DUMMYFUNCTION("""COMPUTED_VALUE"""),"TIC")</f>
        <v>TIC</v>
      </c>
      <c r="AX871" s="141">
        <f ca="1">IFERROR(__xludf.DUMMYFUNCTION("""COMPUTED_VALUE"""),0)</f>
        <v>0</v>
      </c>
      <c r="AY871" s="40">
        <f ca="1">IFERROR(__xludf.DUMMYFUNCTION("""COMPUTED_VALUE"""),0)</f>
        <v>0</v>
      </c>
      <c r="AZ871" s="40">
        <f ca="1">IFERROR(__xludf.DUMMYFUNCTION("""COMPUTED_VALUE"""),1)</f>
        <v>1</v>
      </c>
      <c r="BA871" s="40">
        <f ca="1">IFERROR(__xludf.DUMMYFUNCTION("""COMPUTED_VALUE"""),0)</f>
        <v>0</v>
      </c>
      <c r="BB871" s="40">
        <f ca="1">IFERROR(__xludf.DUMMYFUNCTION("""COMPUTED_VALUE"""),0)</f>
        <v>0</v>
      </c>
      <c r="BC871" s="40">
        <f ca="1">IFERROR(__xludf.DUMMYFUNCTION("""COMPUTED_VALUE"""),1)</f>
        <v>1</v>
      </c>
      <c r="BD871" s="141">
        <f ca="1">IFERROR(__xludf.DUMMYFUNCTION("""COMPUTED_VALUE"""),44270)</f>
        <v>44270</v>
      </c>
      <c r="BE871" s="141">
        <f ca="1">IFERROR(__xludf.DUMMYFUNCTION("""COMPUTED_VALUE"""),44818)</f>
        <v>44818</v>
      </c>
      <c r="BF871" s="141">
        <f ca="1">IFERROR(__xludf.DUMMYFUNCTION("""COMPUTED_VALUE"""),44999)</f>
        <v>44999</v>
      </c>
      <c r="BG871" s="141">
        <f ca="1">IFERROR(__xludf.DUMMYFUNCTION("""COMPUTED_VALUE"""),45549)</f>
        <v>45549</v>
      </c>
      <c r="BH871" s="40" t="str">
        <f ca="1">IFERROR(__xludf.DUMMYFUNCTION("""COMPUTED_VALUE"""),"FICHA EN TIEMPO-18 MESES")</f>
        <v>FICHA EN TIEMPO-18 MESES</v>
      </c>
      <c r="BI871" s="40" t="str">
        <f ca="1">IFERROR(__xludf.DUMMYFUNCTION("""COMPUTED_VALUE"""),"En ejecucion")</f>
        <v>En ejecucion</v>
      </c>
      <c r="BJ871" s="40" t="str">
        <f ca="1">IFERROR(__xludf.DUMMYFUNCTION("""COMPUTED_VALUE"""),"Yamboro")</f>
        <v>Yamboro</v>
      </c>
      <c r="BK871" s="40"/>
      <c r="BL871" s="40"/>
    </row>
    <row r="872" spans="1:64" ht="13">
      <c r="A872" s="40"/>
      <c r="B872" s="40" t="str">
        <f ca="1">IFERROR(__xludf.DUMMYFUNCTION("""COMPUTED_VALUE"""),"FORMACIÓN 18/10/2022")</f>
        <v>FORMACIÓN 18/10/2022</v>
      </c>
      <c r="C872" s="40" t="str">
        <f ca="1">IFERROR(__xludf.DUMMYFUNCTION("""COMPUTED_VALUE"""),"JOHAN ALEXANDER OSSA")</f>
        <v>JOHAN ALEXANDER OSSA</v>
      </c>
      <c r="D872" s="40" t="str">
        <f ca="1">IFERROR(__xludf.DUMMYFUNCTION("""COMPUTED_VALUE"""),"CC")</f>
        <v>CC</v>
      </c>
      <c r="E872" s="40">
        <f ca="1">IFERROR(__xludf.DUMMYFUNCTION("""COMPUTED_VALUE"""),1061729471)</f>
        <v>1061729471</v>
      </c>
      <c r="F872" s="40">
        <f ca="1">IFERROR(__xludf.DUMMYFUNCTION("""COMPUTED_VALUE"""),2281797)</f>
        <v>2281797</v>
      </c>
      <c r="G872" s="40" t="str">
        <f ca="1">IFERROR(__xludf.DUMMYFUNCTION("""COMPUTED_VALUE"""),"TECNÓLOGO")</f>
        <v>TECNÓLOGO</v>
      </c>
      <c r="H872" s="40" t="str">
        <f ca="1">IFERROR(__xludf.DUMMYFUNCTION("""COMPUTED_VALUE"""),"PRODUCCION DE MULTIMEDIA")</f>
        <v>PRODUCCION DE MULTIMEDIA</v>
      </c>
      <c r="I872" s="40"/>
      <c r="J872" s="40"/>
      <c r="K872" s="40"/>
      <c r="L872" s="40" t="str">
        <f ca="1">IFERROR(__xludf.DUMMYFUNCTION("""COMPUTED_VALUE"""),"NO HA INICIADO ETAPA PRODUCTIVA")</f>
        <v>NO HA INICIADO ETAPA PRODUCTIVA</v>
      </c>
      <c r="M872" s="40"/>
      <c r="N872" s="40"/>
      <c r="O872" s="40"/>
      <c r="P872" s="40"/>
      <c r="Q872" s="40"/>
      <c r="R872" s="140"/>
      <c r="S872" s="1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t="str">
        <f ca="1">IFERROR(__xludf.DUMMYFUNCTION("""COMPUTED_VALUE"""),"Procede_E_P")</f>
        <v>Procede_E_P</v>
      </c>
      <c r="AV872" s="40" t="str">
        <f ca="1">IFERROR(__xludf.DUMMYFUNCTION("""COMPUTED_VALUE"""),"EN FORMACION")</f>
        <v>EN FORMACION</v>
      </c>
      <c r="AW872" s="40" t="str">
        <f ca="1">IFERROR(__xludf.DUMMYFUNCTION("""COMPUTED_VALUE"""),"TIC")</f>
        <v>TIC</v>
      </c>
      <c r="AX872" s="141">
        <f ca="1">IFERROR(__xludf.DUMMYFUNCTION("""COMPUTED_VALUE"""),0)</f>
        <v>0</v>
      </c>
      <c r="AY872" s="40">
        <f ca="1">IFERROR(__xludf.DUMMYFUNCTION("""COMPUTED_VALUE"""),0)</f>
        <v>0</v>
      </c>
      <c r="AZ872" s="40">
        <f ca="1">IFERROR(__xludf.DUMMYFUNCTION("""COMPUTED_VALUE"""),1)</f>
        <v>1</v>
      </c>
      <c r="BA872" s="40">
        <f ca="1">IFERROR(__xludf.DUMMYFUNCTION("""COMPUTED_VALUE"""),0)</f>
        <v>0</v>
      </c>
      <c r="BB872" s="40">
        <f ca="1">IFERROR(__xludf.DUMMYFUNCTION("""COMPUTED_VALUE"""),0)</f>
        <v>0</v>
      </c>
      <c r="BC872" s="40">
        <f ca="1">IFERROR(__xludf.DUMMYFUNCTION("""COMPUTED_VALUE"""),1)</f>
        <v>1</v>
      </c>
      <c r="BD872" s="141">
        <f ca="1">IFERROR(__xludf.DUMMYFUNCTION("""COMPUTED_VALUE"""),44270)</f>
        <v>44270</v>
      </c>
      <c r="BE872" s="141">
        <f ca="1">IFERROR(__xludf.DUMMYFUNCTION("""COMPUTED_VALUE"""),44818)</f>
        <v>44818</v>
      </c>
      <c r="BF872" s="141">
        <f ca="1">IFERROR(__xludf.DUMMYFUNCTION("""COMPUTED_VALUE"""),44999)</f>
        <v>44999</v>
      </c>
      <c r="BG872" s="141">
        <f ca="1">IFERROR(__xludf.DUMMYFUNCTION("""COMPUTED_VALUE"""),45549)</f>
        <v>45549</v>
      </c>
      <c r="BH872" s="40" t="str">
        <f ca="1">IFERROR(__xludf.DUMMYFUNCTION("""COMPUTED_VALUE"""),"FICHA EN TIEMPO-18 MESES")</f>
        <v>FICHA EN TIEMPO-18 MESES</v>
      </c>
      <c r="BI872" s="40" t="str">
        <f ca="1">IFERROR(__xludf.DUMMYFUNCTION("""COMPUTED_VALUE"""),"En ejecucion")</f>
        <v>En ejecucion</v>
      </c>
      <c r="BJ872" s="40" t="str">
        <f ca="1">IFERROR(__xludf.DUMMYFUNCTION("""COMPUTED_VALUE"""),"Yamboro")</f>
        <v>Yamboro</v>
      </c>
      <c r="BK872" s="40"/>
      <c r="BL872" s="40"/>
    </row>
    <row r="873" spans="1:64" ht="13">
      <c r="A873" s="40"/>
      <c r="B873" s="40" t="str">
        <f ca="1">IFERROR(__xludf.DUMMYFUNCTION("""COMPUTED_VALUE"""),"FORMACIÓN 18/10/2022")</f>
        <v>FORMACIÓN 18/10/2022</v>
      </c>
      <c r="C873" s="40" t="str">
        <f ca="1">IFERROR(__xludf.DUMMYFUNCTION("""COMPUTED_VALUE"""),"JUAN SEBASTIAN MORENO GOMEZ")</f>
        <v>JUAN SEBASTIAN MORENO GOMEZ</v>
      </c>
      <c r="D873" s="40" t="str">
        <f ca="1">IFERROR(__xludf.DUMMYFUNCTION("""COMPUTED_VALUE"""),"CC")</f>
        <v>CC</v>
      </c>
      <c r="E873" s="40">
        <f ca="1">IFERROR(__xludf.DUMMYFUNCTION("""COMPUTED_VALUE"""),1099734013)</f>
        <v>1099734013</v>
      </c>
      <c r="F873" s="40">
        <f ca="1">IFERROR(__xludf.DUMMYFUNCTION("""COMPUTED_VALUE"""),2281797)</f>
        <v>2281797</v>
      </c>
      <c r="G873" s="40" t="str">
        <f ca="1">IFERROR(__xludf.DUMMYFUNCTION("""COMPUTED_VALUE"""),"TECNÓLOGO")</f>
        <v>TECNÓLOGO</v>
      </c>
      <c r="H873" s="40" t="str">
        <f ca="1">IFERROR(__xludf.DUMMYFUNCTION("""COMPUTED_VALUE"""),"PRODUCCION DE MULTIMEDIA")</f>
        <v>PRODUCCION DE MULTIMEDIA</v>
      </c>
      <c r="I873" s="40"/>
      <c r="J873" s="40"/>
      <c r="K873" s="40"/>
      <c r="L873" s="40" t="str">
        <f ca="1">IFERROR(__xludf.DUMMYFUNCTION("""COMPUTED_VALUE"""),"NO HA INICIADO ETAPA PRODUCTIVA")</f>
        <v>NO HA INICIADO ETAPA PRODUCTIVA</v>
      </c>
      <c r="M873" s="40"/>
      <c r="N873" s="40"/>
      <c r="O873" s="40"/>
      <c r="P873" s="40"/>
      <c r="Q873" s="40"/>
      <c r="R873" s="140"/>
      <c r="S873" s="1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t="str">
        <f ca="1">IFERROR(__xludf.DUMMYFUNCTION("""COMPUTED_VALUE"""),"Procede_E_P")</f>
        <v>Procede_E_P</v>
      </c>
      <c r="AV873" s="40" t="str">
        <f ca="1">IFERROR(__xludf.DUMMYFUNCTION("""COMPUTED_VALUE"""),"EN FORMACION")</f>
        <v>EN FORMACION</v>
      </c>
      <c r="AW873" s="40" t="str">
        <f ca="1">IFERROR(__xludf.DUMMYFUNCTION("""COMPUTED_VALUE"""),"TIC")</f>
        <v>TIC</v>
      </c>
      <c r="AX873" s="141">
        <f ca="1">IFERROR(__xludf.DUMMYFUNCTION("""COMPUTED_VALUE"""),0)</f>
        <v>0</v>
      </c>
      <c r="AY873" s="40">
        <f ca="1">IFERROR(__xludf.DUMMYFUNCTION("""COMPUTED_VALUE"""),0)</f>
        <v>0</v>
      </c>
      <c r="AZ873" s="40">
        <f ca="1">IFERROR(__xludf.DUMMYFUNCTION("""COMPUTED_VALUE"""),1)</f>
        <v>1</v>
      </c>
      <c r="BA873" s="40">
        <f ca="1">IFERROR(__xludf.DUMMYFUNCTION("""COMPUTED_VALUE"""),0)</f>
        <v>0</v>
      </c>
      <c r="BB873" s="40">
        <f ca="1">IFERROR(__xludf.DUMMYFUNCTION("""COMPUTED_VALUE"""),0)</f>
        <v>0</v>
      </c>
      <c r="BC873" s="40">
        <f ca="1">IFERROR(__xludf.DUMMYFUNCTION("""COMPUTED_VALUE"""),1)</f>
        <v>1</v>
      </c>
      <c r="BD873" s="141">
        <f ca="1">IFERROR(__xludf.DUMMYFUNCTION("""COMPUTED_VALUE"""),44270)</f>
        <v>44270</v>
      </c>
      <c r="BE873" s="141">
        <f ca="1">IFERROR(__xludf.DUMMYFUNCTION("""COMPUTED_VALUE"""),44818)</f>
        <v>44818</v>
      </c>
      <c r="BF873" s="141">
        <f ca="1">IFERROR(__xludf.DUMMYFUNCTION("""COMPUTED_VALUE"""),44999)</f>
        <v>44999</v>
      </c>
      <c r="BG873" s="141">
        <f ca="1">IFERROR(__xludf.DUMMYFUNCTION("""COMPUTED_VALUE"""),45549)</f>
        <v>45549</v>
      </c>
      <c r="BH873" s="40" t="str">
        <f ca="1">IFERROR(__xludf.DUMMYFUNCTION("""COMPUTED_VALUE"""),"FICHA EN TIEMPO-18 MESES")</f>
        <v>FICHA EN TIEMPO-18 MESES</v>
      </c>
      <c r="BI873" s="40" t="str">
        <f ca="1">IFERROR(__xludf.DUMMYFUNCTION("""COMPUTED_VALUE"""),"En ejecucion")</f>
        <v>En ejecucion</v>
      </c>
      <c r="BJ873" s="40" t="str">
        <f ca="1">IFERROR(__xludf.DUMMYFUNCTION("""COMPUTED_VALUE"""),"Yamboro")</f>
        <v>Yamboro</v>
      </c>
      <c r="BK873" s="40"/>
      <c r="BL873" s="40"/>
    </row>
    <row r="874" spans="1:64" ht="13">
      <c r="A874" s="40"/>
      <c r="B874" s="40" t="str">
        <f ca="1">IFERROR(__xludf.DUMMYFUNCTION("""COMPUTED_VALUE"""),"APLAZADO  18/10/2022")</f>
        <v>APLAZADO  18/10/2022</v>
      </c>
      <c r="C874" s="40" t="str">
        <f ca="1">IFERROR(__xludf.DUMMYFUNCTION("""COMPUTED_VALUE"""),"ANGELICA MARIA HOYOS PAZ")</f>
        <v>ANGELICA MARIA HOYOS PAZ</v>
      </c>
      <c r="D874" s="40" t="str">
        <f ca="1">IFERROR(__xludf.DUMMYFUNCTION("""COMPUTED_VALUE"""),"CC")</f>
        <v>CC</v>
      </c>
      <c r="E874" s="40">
        <f ca="1">IFERROR(__xludf.DUMMYFUNCTION("""COMPUTED_VALUE"""),1113651476)</f>
        <v>1113651476</v>
      </c>
      <c r="F874" s="40">
        <f ca="1">IFERROR(__xludf.DUMMYFUNCTION("""COMPUTED_VALUE"""),2281797)</f>
        <v>2281797</v>
      </c>
      <c r="G874" s="40" t="str">
        <f ca="1">IFERROR(__xludf.DUMMYFUNCTION("""COMPUTED_VALUE"""),"TECNÓLOGO")</f>
        <v>TECNÓLOGO</v>
      </c>
      <c r="H874" s="40" t="str">
        <f ca="1">IFERROR(__xludf.DUMMYFUNCTION("""COMPUTED_VALUE"""),"PRODUCCION DE MULTIMEDIA")</f>
        <v>PRODUCCION DE MULTIMEDIA</v>
      </c>
      <c r="I874" s="40"/>
      <c r="J874" s="40"/>
      <c r="K874" s="40"/>
      <c r="L874" s="40" t="str">
        <f ca="1">IFERROR(__xludf.DUMMYFUNCTION("""COMPUTED_VALUE"""),"NO HA INICIADO ETAPA PRODUCTIVA")</f>
        <v>NO HA INICIADO ETAPA PRODUCTIVA</v>
      </c>
      <c r="M874" s="40"/>
      <c r="N874" s="40"/>
      <c r="O874" s="40"/>
      <c r="P874" s="40"/>
      <c r="Q874" s="40"/>
      <c r="R874" s="140"/>
      <c r="S874" s="140"/>
      <c r="T874" s="40" t="str">
        <f ca="1">IFERROR(__xludf.DUMMYFUNCTION("""COMPUTED_VALUE"""),"debe 22 resultados... Revisado 15/11/2022")</f>
        <v>debe 22 resultados... Revisado 15/11/2022</v>
      </c>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t="str">
        <f ca="1">IFERROR(__xludf.DUMMYFUNCTION("""COMPUTED_VALUE"""),"NO_CUMPLE")</f>
        <v>NO_CUMPLE</v>
      </c>
      <c r="AV874" s="40" t="str">
        <f ca="1">IFERROR(__xludf.DUMMYFUNCTION("""COMPUTED_VALUE"""),"APLAZADO")</f>
        <v>APLAZADO</v>
      </c>
      <c r="AW874" s="40" t="str">
        <f ca="1">IFERROR(__xludf.DUMMYFUNCTION("""COMPUTED_VALUE"""),"TIC")</f>
        <v>TIC</v>
      </c>
      <c r="AX874" s="141">
        <f ca="1">IFERROR(__xludf.DUMMYFUNCTION("""COMPUTED_VALUE"""),5)</f>
        <v>5</v>
      </c>
      <c r="AY874" s="40">
        <f ca="1">IFERROR(__xludf.DUMMYFUNCTION("""COMPUTED_VALUE"""),5)</f>
        <v>5</v>
      </c>
      <c r="AZ874" s="40">
        <f ca="1">IFERROR(__xludf.DUMMYFUNCTION("""COMPUTED_VALUE"""),1)</f>
        <v>1</v>
      </c>
      <c r="BA874" s="40">
        <f ca="1">IFERROR(__xludf.DUMMYFUNCTION("""COMPUTED_VALUE"""),7)</f>
        <v>7</v>
      </c>
      <c r="BB874" s="40">
        <f ca="1">IFERROR(__xludf.DUMMYFUNCTION("""COMPUTED_VALUE"""),10)</f>
        <v>10</v>
      </c>
      <c r="BC874" s="40">
        <f ca="1">IFERROR(__xludf.DUMMYFUNCTION("""COMPUTED_VALUE"""),23)</f>
        <v>23</v>
      </c>
      <c r="BD874" s="141">
        <f ca="1">IFERROR(__xludf.DUMMYFUNCTION("""COMPUTED_VALUE"""),44270)</f>
        <v>44270</v>
      </c>
      <c r="BE874" s="141">
        <f ca="1">IFERROR(__xludf.DUMMYFUNCTION("""COMPUTED_VALUE"""),44818)</f>
        <v>44818</v>
      </c>
      <c r="BF874" s="141">
        <f ca="1">IFERROR(__xludf.DUMMYFUNCTION("""COMPUTED_VALUE"""),44999)</f>
        <v>44999</v>
      </c>
      <c r="BG874" s="141">
        <f ca="1">IFERROR(__xludf.DUMMYFUNCTION("""COMPUTED_VALUE"""),45549)</f>
        <v>45549</v>
      </c>
      <c r="BH874" s="40" t="str">
        <f ca="1">IFERROR(__xludf.DUMMYFUNCTION("""COMPUTED_VALUE"""),"FICHA EN TIEMPO-18 MESES")</f>
        <v>FICHA EN TIEMPO-18 MESES</v>
      </c>
      <c r="BI874" s="40" t="str">
        <f ca="1">IFERROR(__xludf.DUMMYFUNCTION("""COMPUTED_VALUE"""),"En ejecucion")</f>
        <v>En ejecucion</v>
      </c>
      <c r="BJ874" s="40" t="str">
        <f ca="1">IFERROR(__xludf.DUMMYFUNCTION("""COMPUTED_VALUE"""),"Yamboro")</f>
        <v>Yamboro</v>
      </c>
      <c r="BK874" s="40"/>
      <c r="BL874" s="40"/>
    </row>
    <row r="875" spans="1:64" ht="13">
      <c r="A875" s="40"/>
      <c r="B875" s="40" t="str">
        <f ca="1">IFERROR(__xludf.DUMMYFUNCTION("""COMPUTED_VALUE"""),"CONDICIONADO 18/10/2022")</f>
        <v>CONDICIONADO 18/10/2022</v>
      </c>
      <c r="C875" s="40" t="str">
        <f ca="1">IFERROR(__xludf.DUMMYFUNCTION("""COMPUTED_VALUE"""),"DANIEL DAVID PEREZ RUIZ")</f>
        <v>DANIEL DAVID PEREZ RUIZ</v>
      </c>
      <c r="D875" s="40" t="str">
        <f ca="1">IFERROR(__xludf.DUMMYFUNCTION("""COMPUTED_VALUE"""),"CC")</f>
        <v>CC</v>
      </c>
      <c r="E875" s="40">
        <f ca="1">IFERROR(__xludf.DUMMYFUNCTION("""COMPUTED_VALUE"""),1143355263)</f>
        <v>1143355263</v>
      </c>
      <c r="F875" s="40">
        <f ca="1">IFERROR(__xludf.DUMMYFUNCTION("""COMPUTED_VALUE"""),2281797)</f>
        <v>2281797</v>
      </c>
      <c r="G875" s="40" t="str">
        <f ca="1">IFERROR(__xludf.DUMMYFUNCTION("""COMPUTED_VALUE"""),"TECNÓLOGO")</f>
        <v>TECNÓLOGO</v>
      </c>
      <c r="H875" s="40" t="str">
        <f ca="1">IFERROR(__xludf.DUMMYFUNCTION("""COMPUTED_VALUE"""),"PRODUCCION DE MULTIMEDIA")</f>
        <v>PRODUCCION DE MULTIMEDIA</v>
      </c>
      <c r="I875" s="40"/>
      <c r="J875" s="40"/>
      <c r="K875" s="40"/>
      <c r="L875" s="40" t="str">
        <f ca="1">IFERROR(__xludf.DUMMYFUNCTION("""COMPUTED_VALUE"""),"NO HA INICIADO ETAPA PRODUCTIVA")</f>
        <v>NO HA INICIADO ETAPA PRODUCTIVA</v>
      </c>
      <c r="M875" s="40"/>
      <c r="N875" s="40"/>
      <c r="O875" s="40"/>
      <c r="P875" s="40"/>
      <c r="Q875" s="40"/>
      <c r="R875" s="140"/>
      <c r="S875" s="1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t="str">
        <f ca="1">IFERROR(__xludf.DUMMYFUNCTION("""COMPUTED_VALUE"""),"NO_CUMPLE")</f>
        <v>NO_CUMPLE</v>
      </c>
      <c r="AV875" s="40" t="str">
        <f ca="1">IFERROR(__xludf.DUMMYFUNCTION("""COMPUTED_VALUE"""),"EN FORMACION")</f>
        <v>EN FORMACION</v>
      </c>
      <c r="AW875" s="40" t="str">
        <f ca="1">IFERROR(__xludf.DUMMYFUNCTION("""COMPUTED_VALUE"""),"TIC")</f>
        <v>TIC</v>
      </c>
      <c r="AX875" s="141">
        <f ca="1">IFERROR(__xludf.DUMMYFUNCTION("""COMPUTED_VALUE"""),1)</f>
        <v>1</v>
      </c>
      <c r="AY875" s="40">
        <f ca="1">IFERROR(__xludf.DUMMYFUNCTION("""COMPUTED_VALUE"""),1)</f>
        <v>1</v>
      </c>
      <c r="AZ875" s="40">
        <f ca="1">IFERROR(__xludf.DUMMYFUNCTION("""COMPUTED_VALUE"""),1)</f>
        <v>1</v>
      </c>
      <c r="BA875" s="40">
        <f ca="1">IFERROR(__xludf.DUMMYFUNCTION("""COMPUTED_VALUE"""),0)</f>
        <v>0</v>
      </c>
      <c r="BB875" s="40">
        <f ca="1">IFERROR(__xludf.DUMMYFUNCTION("""COMPUTED_VALUE"""),2)</f>
        <v>2</v>
      </c>
      <c r="BC875" s="40">
        <f ca="1">IFERROR(__xludf.DUMMYFUNCTION("""COMPUTED_VALUE"""),4)</f>
        <v>4</v>
      </c>
      <c r="BD875" s="141">
        <f ca="1">IFERROR(__xludf.DUMMYFUNCTION("""COMPUTED_VALUE"""),44270)</f>
        <v>44270</v>
      </c>
      <c r="BE875" s="141">
        <f ca="1">IFERROR(__xludf.DUMMYFUNCTION("""COMPUTED_VALUE"""),44818)</f>
        <v>44818</v>
      </c>
      <c r="BF875" s="141">
        <f ca="1">IFERROR(__xludf.DUMMYFUNCTION("""COMPUTED_VALUE"""),44999)</f>
        <v>44999</v>
      </c>
      <c r="BG875" s="141">
        <f ca="1">IFERROR(__xludf.DUMMYFUNCTION("""COMPUTED_VALUE"""),45549)</f>
        <v>45549</v>
      </c>
      <c r="BH875" s="40" t="str">
        <f ca="1">IFERROR(__xludf.DUMMYFUNCTION("""COMPUTED_VALUE"""),"FICHA EN TIEMPO-18 MESES")</f>
        <v>FICHA EN TIEMPO-18 MESES</v>
      </c>
      <c r="BI875" s="40" t="str">
        <f ca="1">IFERROR(__xludf.DUMMYFUNCTION("""COMPUTED_VALUE"""),"En ejecucion")</f>
        <v>En ejecucion</v>
      </c>
      <c r="BJ875" s="40" t="str">
        <f ca="1">IFERROR(__xludf.DUMMYFUNCTION("""COMPUTED_VALUE"""),"Yamboro")</f>
        <v>Yamboro</v>
      </c>
      <c r="BK875" s="40"/>
      <c r="BL875" s="40"/>
    </row>
    <row r="876" spans="1:64" ht="13">
      <c r="A876" s="40"/>
      <c r="B876" s="40" t="str">
        <f ca="1">IFERROR(__xludf.DUMMYFUNCTION("""COMPUTED_VALUE"""),"CONDICIONADO 18/10/2022")</f>
        <v>CONDICIONADO 18/10/2022</v>
      </c>
      <c r="C876" s="40" t="str">
        <f ca="1">IFERROR(__xludf.DUMMYFUNCTION("""COMPUTED_VALUE"""),"CINDY LORENA RINCON ESCOBAR")</f>
        <v>CINDY LORENA RINCON ESCOBAR</v>
      </c>
      <c r="D876" s="40" t="str">
        <f ca="1">IFERROR(__xludf.DUMMYFUNCTION("""COMPUTED_VALUE"""),"CC")</f>
        <v>CC</v>
      </c>
      <c r="E876" s="40">
        <f ca="1">IFERROR(__xludf.DUMMYFUNCTION("""COMPUTED_VALUE"""),1152692891)</f>
        <v>1152692891</v>
      </c>
      <c r="F876" s="40">
        <f ca="1">IFERROR(__xludf.DUMMYFUNCTION("""COMPUTED_VALUE"""),2281797)</f>
        <v>2281797</v>
      </c>
      <c r="G876" s="40" t="str">
        <f ca="1">IFERROR(__xludf.DUMMYFUNCTION("""COMPUTED_VALUE"""),"TECNÓLOGO")</f>
        <v>TECNÓLOGO</v>
      </c>
      <c r="H876" s="40" t="str">
        <f ca="1">IFERROR(__xludf.DUMMYFUNCTION("""COMPUTED_VALUE"""),"PRODUCCION DE MULTIMEDIA")</f>
        <v>PRODUCCION DE MULTIMEDIA</v>
      </c>
      <c r="I876" s="40"/>
      <c r="J876" s="40"/>
      <c r="K876" s="40"/>
      <c r="L876" s="40" t="str">
        <f ca="1">IFERROR(__xludf.DUMMYFUNCTION("""COMPUTED_VALUE"""),"NO HA INICIADO ETAPA PRODUCTIVA")</f>
        <v>NO HA INICIADO ETAPA PRODUCTIVA</v>
      </c>
      <c r="M876" s="40"/>
      <c r="N876" s="40"/>
      <c r="O876" s="40"/>
      <c r="P876" s="40"/>
      <c r="Q876" s="40"/>
      <c r="R876" s="140"/>
      <c r="S876" s="140"/>
      <c r="T876" s="40" t="str">
        <f ca="1">IFERROR(__xludf.DUMMYFUNCTION("""COMPUTED_VALUE"""),"debe 7 resultados... Revisado 15/11/2022")</f>
        <v>debe 7 resultados... Revisado 15/11/2022</v>
      </c>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t="str">
        <f ca="1">IFERROR(__xludf.DUMMYFUNCTION("""COMPUTED_VALUE"""),"NO_CUMPLE")</f>
        <v>NO_CUMPLE</v>
      </c>
      <c r="AV876" s="40" t="str">
        <f ca="1">IFERROR(__xludf.DUMMYFUNCTION("""COMPUTED_VALUE"""),"EN FORMACION")</f>
        <v>EN FORMACION</v>
      </c>
      <c r="AW876" s="40" t="str">
        <f ca="1">IFERROR(__xludf.DUMMYFUNCTION("""COMPUTED_VALUE"""),"TIC")</f>
        <v>TIC</v>
      </c>
      <c r="AX876" s="141">
        <f ca="1">IFERROR(__xludf.DUMMYFUNCTION("""COMPUTED_VALUE"""),3)</f>
        <v>3</v>
      </c>
      <c r="AY876" s="40">
        <f ca="1">IFERROR(__xludf.DUMMYFUNCTION("""COMPUTED_VALUE"""),3)</f>
        <v>3</v>
      </c>
      <c r="AZ876" s="40">
        <f ca="1">IFERROR(__xludf.DUMMYFUNCTION("""COMPUTED_VALUE"""),1)</f>
        <v>1</v>
      </c>
      <c r="BA876" s="40">
        <f ca="1">IFERROR(__xludf.DUMMYFUNCTION("""COMPUTED_VALUE"""),0)</f>
        <v>0</v>
      </c>
      <c r="BB876" s="40">
        <f ca="1">IFERROR(__xludf.DUMMYFUNCTION("""COMPUTED_VALUE"""),4)</f>
        <v>4</v>
      </c>
      <c r="BC876" s="40">
        <f ca="1">IFERROR(__xludf.DUMMYFUNCTION("""COMPUTED_VALUE"""),8)</f>
        <v>8</v>
      </c>
      <c r="BD876" s="141">
        <f ca="1">IFERROR(__xludf.DUMMYFUNCTION("""COMPUTED_VALUE"""),44270)</f>
        <v>44270</v>
      </c>
      <c r="BE876" s="141">
        <f ca="1">IFERROR(__xludf.DUMMYFUNCTION("""COMPUTED_VALUE"""),44818)</f>
        <v>44818</v>
      </c>
      <c r="BF876" s="141">
        <f ca="1">IFERROR(__xludf.DUMMYFUNCTION("""COMPUTED_VALUE"""),44999)</f>
        <v>44999</v>
      </c>
      <c r="BG876" s="141">
        <f ca="1">IFERROR(__xludf.DUMMYFUNCTION("""COMPUTED_VALUE"""),45549)</f>
        <v>45549</v>
      </c>
      <c r="BH876" s="40" t="str">
        <f ca="1">IFERROR(__xludf.DUMMYFUNCTION("""COMPUTED_VALUE"""),"FICHA EN TIEMPO-18 MESES")</f>
        <v>FICHA EN TIEMPO-18 MESES</v>
      </c>
      <c r="BI876" s="40" t="str">
        <f ca="1">IFERROR(__xludf.DUMMYFUNCTION("""COMPUTED_VALUE"""),"En ejecucion")</f>
        <v>En ejecucion</v>
      </c>
      <c r="BJ876" s="40" t="str">
        <f ca="1">IFERROR(__xludf.DUMMYFUNCTION("""COMPUTED_VALUE"""),"Yamboro")</f>
        <v>Yamboro</v>
      </c>
      <c r="BK876" s="40"/>
      <c r="BL876" s="40"/>
    </row>
    <row r="877" spans="1:64" ht="13">
      <c r="A877" s="40"/>
      <c r="B877" s="40" t="str">
        <f ca="1">IFERROR(__xludf.DUMMYFUNCTION("""COMPUTED_VALUE"""),"FORMACIÓN 18/10/2022")</f>
        <v>FORMACIÓN 18/10/2022</v>
      </c>
      <c r="C877" s="40" t="str">
        <f ca="1">IFERROR(__xludf.DUMMYFUNCTION("""COMPUTED_VALUE"""),"MICHAEL BORRERO SHAEK")</f>
        <v>MICHAEL BORRERO SHAEK</v>
      </c>
      <c r="D877" s="40" t="str">
        <f ca="1">IFERROR(__xludf.DUMMYFUNCTION("""COMPUTED_VALUE"""),"CC")</f>
        <v>CC</v>
      </c>
      <c r="E877" s="40">
        <f ca="1">IFERROR(__xludf.DUMMYFUNCTION("""COMPUTED_VALUE"""),14802092)</f>
        <v>14802092</v>
      </c>
      <c r="F877" s="40">
        <f ca="1">IFERROR(__xludf.DUMMYFUNCTION("""COMPUTED_VALUE"""),2281797)</f>
        <v>2281797</v>
      </c>
      <c r="G877" s="40" t="str">
        <f ca="1">IFERROR(__xludf.DUMMYFUNCTION("""COMPUTED_VALUE"""),"TECNÓLOGO")</f>
        <v>TECNÓLOGO</v>
      </c>
      <c r="H877" s="40" t="str">
        <f ca="1">IFERROR(__xludf.DUMMYFUNCTION("""COMPUTED_VALUE"""),"PRODUCCION DE MULTIMEDIA")</f>
        <v>PRODUCCION DE MULTIMEDIA</v>
      </c>
      <c r="I877" s="40"/>
      <c r="J877" s="40"/>
      <c r="K877" s="40"/>
      <c r="L877" s="40" t="str">
        <f ca="1">IFERROR(__xludf.DUMMYFUNCTION("""COMPUTED_VALUE"""),"NO HA INICIADO ETAPA PRODUCTIVA")</f>
        <v>NO HA INICIADO ETAPA PRODUCTIVA</v>
      </c>
      <c r="M877" s="40"/>
      <c r="N877" s="40"/>
      <c r="O877" s="40"/>
      <c r="P877" s="40"/>
      <c r="Q877" s="40"/>
      <c r="R877" s="140"/>
      <c r="S877" s="1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t="str">
        <f ca="1">IFERROR(__xludf.DUMMYFUNCTION("""COMPUTED_VALUE"""),"Procede_E_P")</f>
        <v>Procede_E_P</v>
      </c>
      <c r="AV877" s="40" t="str">
        <f ca="1">IFERROR(__xludf.DUMMYFUNCTION("""COMPUTED_VALUE"""),"EN FORMACION")</f>
        <v>EN FORMACION</v>
      </c>
      <c r="AW877" s="40" t="str">
        <f ca="1">IFERROR(__xludf.DUMMYFUNCTION("""COMPUTED_VALUE"""),"TIC")</f>
        <v>TIC</v>
      </c>
      <c r="AX877" s="141">
        <f ca="1">IFERROR(__xludf.DUMMYFUNCTION("""COMPUTED_VALUE"""),0)</f>
        <v>0</v>
      </c>
      <c r="AY877" s="40">
        <f ca="1">IFERROR(__xludf.DUMMYFUNCTION("""COMPUTED_VALUE"""),0)</f>
        <v>0</v>
      </c>
      <c r="AZ877" s="40">
        <f ca="1">IFERROR(__xludf.DUMMYFUNCTION("""COMPUTED_VALUE"""),1)</f>
        <v>1</v>
      </c>
      <c r="BA877" s="40">
        <f ca="1">IFERROR(__xludf.DUMMYFUNCTION("""COMPUTED_VALUE"""),0)</f>
        <v>0</v>
      </c>
      <c r="BB877" s="40">
        <f ca="1">IFERROR(__xludf.DUMMYFUNCTION("""COMPUTED_VALUE"""),0)</f>
        <v>0</v>
      </c>
      <c r="BC877" s="40">
        <f ca="1">IFERROR(__xludf.DUMMYFUNCTION("""COMPUTED_VALUE"""),1)</f>
        <v>1</v>
      </c>
      <c r="BD877" s="141">
        <f ca="1">IFERROR(__xludf.DUMMYFUNCTION("""COMPUTED_VALUE"""),44270)</f>
        <v>44270</v>
      </c>
      <c r="BE877" s="141">
        <f ca="1">IFERROR(__xludf.DUMMYFUNCTION("""COMPUTED_VALUE"""),44818)</f>
        <v>44818</v>
      </c>
      <c r="BF877" s="141">
        <f ca="1">IFERROR(__xludf.DUMMYFUNCTION("""COMPUTED_VALUE"""),44999)</f>
        <v>44999</v>
      </c>
      <c r="BG877" s="141">
        <f ca="1">IFERROR(__xludf.DUMMYFUNCTION("""COMPUTED_VALUE"""),45549)</f>
        <v>45549</v>
      </c>
      <c r="BH877" s="40" t="str">
        <f ca="1">IFERROR(__xludf.DUMMYFUNCTION("""COMPUTED_VALUE"""),"FICHA EN TIEMPO-18 MESES")</f>
        <v>FICHA EN TIEMPO-18 MESES</v>
      </c>
      <c r="BI877" s="40" t="str">
        <f ca="1">IFERROR(__xludf.DUMMYFUNCTION("""COMPUTED_VALUE"""),"En ejecucion")</f>
        <v>En ejecucion</v>
      </c>
      <c r="BJ877" s="40" t="str">
        <f ca="1">IFERROR(__xludf.DUMMYFUNCTION("""COMPUTED_VALUE"""),"Yamboro")</f>
        <v>Yamboro</v>
      </c>
      <c r="BK877" s="40"/>
      <c r="BL877" s="40"/>
    </row>
    <row r="878" spans="1:64" ht="13">
      <c r="A878" s="40"/>
      <c r="B878" s="40" t="str">
        <f ca="1">IFERROR(__xludf.DUMMYFUNCTION("""COMPUTED_VALUE"""),"FORMACIÓN 18/10/2022")</f>
        <v>FORMACIÓN 18/10/2022</v>
      </c>
      <c r="C878" s="40" t="str">
        <f ca="1">IFERROR(__xludf.DUMMYFUNCTION("""COMPUTED_VALUE"""),"ELVIRA PATRICIA SANABRIA MOSQUERA")</f>
        <v>ELVIRA PATRICIA SANABRIA MOSQUERA</v>
      </c>
      <c r="D878" s="40" t="str">
        <f ca="1">IFERROR(__xludf.DUMMYFUNCTION("""COMPUTED_VALUE"""),"CC")</f>
        <v>CC</v>
      </c>
      <c r="E878" s="40">
        <f ca="1">IFERROR(__xludf.DUMMYFUNCTION("""COMPUTED_VALUE"""),52821026)</f>
        <v>52821026</v>
      </c>
      <c r="F878" s="40">
        <f ca="1">IFERROR(__xludf.DUMMYFUNCTION("""COMPUTED_VALUE"""),2281797)</f>
        <v>2281797</v>
      </c>
      <c r="G878" s="40" t="str">
        <f ca="1">IFERROR(__xludf.DUMMYFUNCTION("""COMPUTED_VALUE"""),"TECNÓLOGO")</f>
        <v>TECNÓLOGO</v>
      </c>
      <c r="H878" s="40" t="str">
        <f ca="1">IFERROR(__xludf.DUMMYFUNCTION("""COMPUTED_VALUE"""),"PRODUCCION DE MULTIMEDIA")</f>
        <v>PRODUCCION DE MULTIMEDIA</v>
      </c>
      <c r="I878" s="40"/>
      <c r="J878" s="40"/>
      <c r="K878" s="40"/>
      <c r="L878" s="40" t="str">
        <f ca="1">IFERROR(__xludf.DUMMYFUNCTION("""COMPUTED_VALUE"""),"NO HA INICIADO ETAPA PRODUCTIVA")</f>
        <v>NO HA INICIADO ETAPA PRODUCTIVA</v>
      </c>
      <c r="M878" s="40"/>
      <c r="N878" s="40"/>
      <c r="O878" s="40"/>
      <c r="P878" s="40"/>
      <c r="Q878" s="40"/>
      <c r="R878" s="140"/>
      <c r="S878" s="1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t="str">
        <f ca="1">IFERROR(__xludf.DUMMYFUNCTION("""COMPUTED_VALUE"""),"Procede_E_P")</f>
        <v>Procede_E_P</v>
      </c>
      <c r="AV878" s="40" t="str">
        <f ca="1">IFERROR(__xludf.DUMMYFUNCTION("""COMPUTED_VALUE"""),"EN FORMACION")</f>
        <v>EN FORMACION</v>
      </c>
      <c r="AW878" s="40" t="str">
        <f ca="1">IFERROR(__xludf.DUMMYFUNCTION("""COMPUTED_VALUE"""),"TIC")</f>
        <v>TIC</v>
      </c>
      <c r="AX878" s="141">
        <f ca="1">IFERROR(__xludf.DUMMYFUNCTION("""COMPUTED_VALUE"""),0)</f>
        <v>0</v>
      </c>
      <c r="AY878" s="40">
        <f ca="1">IFERROR(__xludf.DUMMYFUNCTION("""COMPUTED_VALUE"""),0)</f>
        <v>0</v>
      </c>
      <c r="AZ878" s="40">
        <f ca="1">IFERROR(__xludf.DUMMYFUNCTION("""COMPUTED_VALUE"""),1)</f>
        <v>1</v>
      </c>
      <c r="BA878" s="40">
        <f ca="1">IFERROR(__xludf.DUMMYFUNCTION("""COMPUTED_VALUE"""),0)</f>
        <v>0</v>
      </c>
      <c r="BB878" s="40">
        <f ca="1">IFERROR(__xludf.DUMMYFUNCTION("""COMPUTED_VALUE"""),0)</f>
        <v>0</v>
      </c>
      <c r="BC878" s="40">
        <f ca="1">IFERROR(__xludf.DUMMYFUNCTION("""COMPUTED_VALUE"""),1)</f>
        <v>1</v>
      </c>
      <c r="BD878" s="141">
        <f ca="1">IFERROR(__xludf.DUMMYFUNCTION("""COMPUTED_VALUE"""),44270)</f>
        <v>44270</v>
      </c>
      <c r="BE878" s="141">
        <f ca="1">IFERROR(__xludf.DUMMYFUNCTION("""COMPUTED_VALUE"""),44818)</f>
        <v>44818</v>
      </c>
      <c r="BF878" s="141">
        <f ca="1">IFERROR(__xludf.DUMMYFUNCTION("""COMPUTED_VALUE"""),44999)</f>
        <v>44999</v>
      </c>
      <c r="BG878" s="141">
        <f ca="1">IFERROR(__xludf.DUMMYFUNCTION("""COMPUTED_VALUE"""),45549)</f>
        <v>45549</v>
      </c>
      <c r="BH878" s="40" t="str">
        <f ca="1">IFERROR(__xludf.DUMMYFUNCTION("""COMPUTED_VALUE"""),"FICHA EN TIEMPO-18 MESES")</f>
        <v>FICHA EN TIEMPO-18 MESES</v>
      </c>
      <c r="BI878" s="40" t="str">
        <f ca="1">IFERROR(__xludf.DUMMYFUNCTION("""COMPUTED_VALUE"""),"En ejecucion")</f>
        <v>En ejecucion</v>
      </c>
      <c r="BJ878" s="40" t="str">
        <f ca="1">IFERROR(__xludf.DUMMYFUNCTION("""COMPUTED_VALUE"""),"Yamboro")</f>
        <v>Yamboro</v>
      </c>
      <c r="BK878" s="40"/>
      <c r="BL878" s="40"/>
    </row>
    <row r="879" spans="1:64" ht="13">
      <c r="A879" s="40"/>
      <c r="B879" s="40" t="str">
        <f ca="1">IFERROR(__xludf.DUMMYFUNCTION("""COMPUTED_VALUE"""),"CONDICIONADO 18/10/2022")</f>
        <v>CONDICIONADO 18/10/2022</v>
      </c>
      <c r="C879" s="40" t="str">
        <f ca="1">IFERROR(__xludf.DUMMYFUNCTION("""COMPUTED_VALUE"""),"JOHN ALEXANDER VANEGAS LIEVANO")</f>
        <v>JOHN ALEXANDER VANEGAS LIEVANO</v>
      </c>
      <c r="D879" s="40" t="str">
        <f ca="1">IFERROR(__xludf.DUMMYFUNCTION("""COMPUTED_VALUE"""),"CC")</f>
        <v>CC</v>
      </c>
      <c r="E879" s="40">
        <f ca="1">IFERROR(__xludf.DUMMYFUNCTION("""COMPUTED_VALUE"""),79823013)</f>
        <v>79823013</v>
      </c>
      <c r="F879" s="40">
        <f ca="1">IFERROR(__xludf.DUMMYFUNCTION("""COMPUTED_VALUE"""),2281797)</f>
        <v>2281797</v>
      </c>
      <c r="G879" s="40" t="str">
        <f ca="1">IFERROR(__xludf.DUMMYFUNCTION("""COMPUTED_VALUE"""),"TECNÓLOGO")</f>
        <v>TECNÓLOGO</v>
      </c>
      <c r="H879" s="40" t="str">
        <f ca="1">IFERROR(__xludf.DUMMYFUNCTION("""COMPUTED_VALUE"""),"PRODUCCION DE MULTIMEDIA")</f>
        <v>PRODUCCION DE MULTIMEDIA</v>
      </c>
      <c r="I879" s="40"/>
      <c r="J879" s="40"/>
      <c r="K879" s="40"/>
      <c r="L879" s="40" t="str">
        <f ca="1">IFERROR(__xludf.DUMMYFUNCTION("""COMPUTED_VALUE"""),"NO HA INICIADO ETAPA PRODUCTIVA")</f>
        <v>NO HA INICIADO ETAPA PRODUCTIVA</v>
      </c>
      <c r="M879" s="40"/>
      <c r="N879" s="40"/>
      <c r="O879" s="40"/>
      <c r="P879" s="40"/>
      <c r="Q879" s="40"/>
      <c r="R879" s="140"/>
      <c r="S879" s="140"/>
      <c r="T879" s="40" t="str">
        <f ca="1">IFERROR(__xludf.DUMMYFUNCTION("""COMPUTED_VALUE"""),"debe 2 resultados... Revisado 15/11/2022")</f>
        <v>debe 2 resultados... Revisado 15/11/2022</v>
      </c>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t="str">
        <f ca="1">IFERROR(__xludf.DUMMYFUNCTION("""COMPUTED_VALUE"""),"NO_CUMPLE")</f>
        <v>NO_CUMPLE</v>
      </c>
      <c r="AV879" s="40" t="str">
        <f ca="1">IFERROR(__xludf.DUMMYFUNCTION("""COMPUTED_VALUE"""),"EN FORMACION")</f>
        <v>EN FORMACION</v>
      </c>
      <c r="AW879" s="40" t="str">
        <f ca="1">IFERROR(__xludf.DUMMYFUNCTION("""COMPUTED_VALUE"""),"TIC")</f>
        <v>TIC</v>
      </c>
      <c r="AX879" s="141">
        <f ca="1">IFERROR(__xludf.DUMMYFUNCTION("""COMPUTED_VALUE"""),0)</f>
        <v>0</v>
      </c>
      <c r="AY879" s="40">
        <f ca="1">IFERROR(__xludf.DUMMYFUNCTION("""COMPUTED_VALUE"""),0)</f>
        <v>0</v>
      </c>
      <c r="AZ879" s="40">
        <f ca="1">IFERROR(__xludf.DUMMYFUNCTION("""COMPUTED_VALUE"""),1)</f>
        <v>1</v>
      </c>
      <c r="BA879" s="40">
        <f ca="1">IFERROR(__xludf.DUMMYFUNCTION("""COMPUTED_VALUE"""),0)</f>
        <v>0</v>
      </c>
      <c r="BB879" s="40">
        <f ca="1">IFERROR(__xludf.DUMMYFUNCTION("""COMPUTED_VALUE"""),2)</f>
        <v>2</v>
      </c>
      <c r="BC879" s="40">
        <f ca="1">IFERROR(__xludf.DUMMYFUNCTION("""COMPUTED_VALUE"""),3)</f>
        <v>3</v>
      </c>
      <c r="BD879" s="141">
        <f ca="1">IFERROR(__xludf.DUMMYFUNCTION("""COMPUTED_VALUE"""),44270)</f>
        <v>44270</v>
      </c>
      <c r="BE879" s="141">
        <f ca="1">IFERROR(__xludf.DUMMYFUNCTION("""COMPUTED_VALUE"""),44818)</f>
        <v>44818</v>
      </c>
      <c r="BF879" s="141">
        <f ca="1">IFERROR(__xludf.DUMMYFUNCTION("""COMPUTED_VALUE"""),44999)</f>
        <v>44999</v>
      </c>
      <c r="BG879" s="141">
        <f ca="1">IFERROR(__xludf.DUMMYFUNCTION("""COMPUTED_VALUE"""),45549)</f>
        <v>45549</v>
      </c>
      <c r="BH879" s="40" t="str">
        <f ca="1">IFERROR(__xludf.DUMMYFUNCTION("""COMPUTED_VALUE"""),"FICHA EN TIEMPO-18 MESES")</f>
        <v>FICHA EN TIEMPO-18 MESES</v>
      </c>
      <c r="BI879" s="40" t="str">
        <f ca="1">IFERROR(__xludf.DUMMYFUNCTION("""COMPUTED_VALUE"""),"En ejecucion")</f>
        <v>En ejecucion</v>
      </c>
      <c r="BJ879" s="40" t="str">
        <f ca="1">IFERROR(__xludf.DUMMYFUNCTION("""COMPUTED_VALUE"""),"Yamboro")</f>
        <v>Yamboro</v>
      </c>
      <c r="BK879" s="40"/>
      <c r="BL879" s="40"/>
    </row>
    <row r="880" spans="1:64" ht="13">
      <c r="A880" s="40"/>
      <c r="B880" s="40" t="str">
        <f ca="1">IFERROR(__xludf.DUMMYFUNCTION("""COMPUTED_VALUE"""),"FORMACIÓN 18/10/2022")</f>
        <v>FORMACIÓN 18/10/2022</v>
      </c>
      <c r="C880" s="40" t="str">
        <f ca="1">IFERROR(__xludf.DUMMYFUNCTION("""COMPUTED_VALUE"""),"JULIO CESAR CORDOBA TRIANA")</f>
        <v>JULIO CESAR CORDOBA TRIANA</v>
      </c>
      <c r="D880" s="40" t="str">
        <f ca="1">IFERROR(__xludf.DUMMYFUNCTION("""COMPUTED_VALUE"""),"CC")</f>
        <v>CC</v>
      </c>
      <c r="E880" s="40">
        <f ca="1">IFERROR(__xludf.DUMMYFUNCTION("""COMPUTED_VALUE"""),80747663)</f>
        <v>80747663</v>
      </c>
      <c r="F880" s="40">
        <f ca="1">IFERROR(__xludf.DUMMYFUNCTION("""COMPUTED_VALUE"""),2281797)</f>
        <v>2281797</v>
      </c>
      <c r="G880" s="40" t="str">
        <f ca="1">IFERROR(__xludf.DUMMYFUNCTION("""COMPUTED_VALUE"""),"TECNÓLOGO")</f>
        <v>TECNÓLOGO</v>
      </c>
      <c r="H880" s="40" t="str">
        <f ca="1">IFERROR(__xludf.DUMMYFUNCTION("""COMPUTED_VALUE"""),"PRODUCCION DE MULTIMEDIA")</f>
        <v>PRODUCCION DE MULTIMEDIA</v>
      </c>
      <c r="I880" s="40"/>
      <c r="J880" s="40"/>
      <c r="K880" s="40"/>
      <c r="L880" s="40" t="str">
        <f ca="1">IFERROR(__xludf.DUMMYFUNCTION("""COMPUTED_VALUE"""),"PASANTÍAS")</f>
        <v>PASANTÍAS</v>
      </c>
      <c r="M880" s="40" t="str">
        <f ca="1">IFERROR(__xludf.DUMMYFUNCTION("""COMPUTED_VALUE"""),"Fundación los Incorruptibles Otra Forma de Vivir Nuestros Derechos")</f>
        <v>Fundación los Incorruptibles Otra Forma de Vivir Nuestros Derechos</v>
      </c>
      <c r="N880" s="40" t="str">
        <f ca="1">IFERROR(__xludf.DUMMYFUNCTION("""COMPUTED_VALUE"""),"Cra 112 D No 72 C 50 piso 1,")</f>
        <v>Cra 112 D No 72 C 50 piso 1,</v>
      </c>
      <c r="O880" s="40">
        <f ca="1">IFERROR(__xludf.DUMMYFUNCTION("""COMPUTED_VALUE"""),3023498524)</f>
        <v>3023498524</v>
      </c>
      <c r="P880" s="40" t="str">
        <f ca="1">IFERROR(__xludf.DUMMYFUNCTION("""COMPUTED_VALUE"""),"Bogotá")</f>
        <v>Bogotá</v>
      </c>
      <c r="Q880" s="40" t="str">
        <f ca="1">IFERROR(__xludf.DUMMYFUNCTION("""COMPUTED_VALUE"""),"losincorruptibles@gmail.com")</f>
        <v>losincorruptibles@gmail.com</v>
      </c>
      <c r="R880" s="140">
        <f ca="1">IFERROR(__xludf.DUMMYFUNCTION("""COMPUTED_VALUE"""),44830)</f>
        <v>44830</v>
      </c>
      <c r="S880" s="140">
        <f ca="1">IFERROR(__xludf.DUMMYFUNCTION("""COMPUTED_VALUE"""),45012)</f>
        <v>45012</v>
      </c>
      <c r="T880" s="40" t="str">
        <f ca="1">IFERROR(__xludf.DUMMYFUNCTION("""COMPUTED_VALUE"""),"Tiene acuerdo de voluntades, Inicial. y bitácoras 1,2,3.. Falta parcial,final, certificación y bitácoras  4,5,6,7,8,9,10,11 y 12 ... Revisado 10/11/2022")</f>
        <v>Tiene acuerdo de voluntades, Inicial. y bitácoras 1,2,3.. Falta parcial,final, certificación y bitácoras  4,5,6,7,8,9,10,11 y 12 ... Revisado 10/11/2022</v>
      </c>
      <c r="U880" s="40" t="str">
        <f ca="1">IFERROR(__xludf.DUMMYFUNCTION("""COMPUTED_VALUE"""),"CRISTIAN ANDRES GOMEZ URBANO - Subió Inicial. y bitácoras 1,2,3.... Revisado 10/11/2022")</f>
        <v>CRISTIAN ANDRES GOMEZ URBANO - Subió Inicial. y bitácoras 1,2,3.... Revisado 10/11/2022</v>
      </c>
      <c r="V880" s="40" t="s">
        <v>650</v>
      </c>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t="str">
        <f ca="1">IFERROR(__xludf.DUMMYFUNCTION("""COMPUTED_VALUE"""),"Procede_E_P")</f>
        <v>Procede_E_P</v>
      </c>
      <c r="AV880" s="40" t="str">
        <f ca="1">IFERROR(__xludf.DUMMYFUNCTION("""COMPUTED_VALUE"""),"EN FORMACION")</f>
        <v>EN FORMACION</v>
      </c>
      <c r="AW880" s="40" t="str">
        <f ca="1">IFERROR(__xludf.DUMMYFUNCTION("""COMPUTED_VALUE"""),"TIC")</f>
        <v>TIC</v>
      </c>
      <c r="AX880" s="141">
        <f ca="1">IFERROR(__xludf.DUMMYFUNCTION("""COMPUTED_VALUE"""),0)</f>
        <v>0</v>
      </c>
      <c r="AY880" s="40">
        <f ca="1">IFERROR(__xludf.DUMMYFUNCTION("""COMPUTED_VALUE"""),0)</f>
        <v>0</v>
      </c>
      <c r="AZ880" s="40">
        <f ca="1">IFERROR(__xludf.DUMMYFUNCTION("""COMPUTED_VALUE"""),1)</f>
        <v>1</v>
      </c>
      <c r="BA880" s="40">
        <f ca="1">IFERROR(__xludf.DUMMYFUNCTION("""COMPUTED_VALUE"""),0)</f>
        <v>0</v>
      </c>
      <c r="BB880" s="40">
        <f ca="1">IFERROR(__xludf.DUMMYFUNCTION("""COMPUTED_VALUE"""),0)</f>
        <v>0</v>
      </c>
      <c r="BC880" s="40">
        <f ca="1">IFERROR(__xludf.DUMMYFUNCTION("""COMPUTED_VALUE"""),1)</f>
        <v>1</v>
      </c>
      <c r="BD880" s="141">
        <f ca="1">IFERROR(__xludf.DUMMYFUNCTION("""COMPUTED_VALUE"""),44270)</f>
        <v>44270</v>
      </c>
      <c r="BE880" s="141">
        <f ca="1">IFERROR(__xludf.DUMMYFUNCTION("""COMPUTED_VALUE"""),44818)</f>
        <v>44818</v>
      </c>
      <c r="BF880" s="141">
        <f ca="1">IFERROR(__xludf.DUMMYFUNCTION("""COMPUTED_VALUE"""),44999)</f>
        <v>44999</v>
      </c>
      <c r="BG880" s="141">
        <f ca="1">IFERROR(__xludf.DUMMYFUNCTION("""COMPUTED_VALUE"""),45549)</f>
        <v>45549</v>
      </c>
      <c r="BH880" s="40" t="str">
        <f ca="1">IFERROR(__xludf.DUMMYFUNCTION("""COMPUTED_VALUE"""),"FICHA EN TIEMPO-18 MESES")</f>
        <v>FICHA EN TIEMPO-18 MESES</v>
      </c>
      <c r="BI880" s="40" t="str">
        <f ca="1">IFERROR(__xludf.DUMMYFUNCTION("""COMPUTED_VALUE"""),"En ejecucion")</f>
        <v>En ejecucion</v>
      </c>
      <c r="BJ880" s="40" t="str">
        <f ca="1">IFERROR(__xludf.DUMMYFUNCTION("""COMPUTED_VALUE"""),"Yamboro")</f>
        <v>Yamboro</v>
      </c>
      <c r="BK880" s="40"/>
      <c r="BL880" s="40"/>
    </row>
    <row r="881" spans="1:64" ht="13">
      <c r="A881" s="40"/>
      <c r="B881" s="40" t="str">
        <f ca="1">IFERROR(__xludf.DUMMYFUNCTION("""COMPUTED_VALUE"""),"FORMACIÓN 18/10/2022")</f>
        <v>FORMACIÓN 18/10/2022</v>
      </c>
      <c r="C881" s="40" t="str">
        <f ca="1">IFERROR(__xludf.DUMMYFUNCTION("""COMPUTED_VALUE"""),"YEISON ALIRIO PEDRAZA BENITEZ")</f>
        <v>YEISON ALIRIO PEDRAZA BENITEZ</v>
      </c>
      <c r="D881" s="40" t="str">
        <f ca="1">IFERROR(__xludf.DUMMYFUNCTION("""COMPUTED_VALUE"""),"CC")</f>
        <v>CC</v>
      </c>
      <c r="E881" s="40">
        <f ca="1">IFERROR(__xludf.DUMMYFUNCTION("""COMPUTED_VALUE"""),91528366)</f>
        <v>91528366</v>
      </c>
      <c r="F881" s="40">
        <f ca="1">IFERROR(__xludf.DUMMYFUNCTION("""COMPUTED_VALUE"""),2281797)</f>
        <v>2281797</v>
      </c>
      <c r="G881" s="40" t="str">
        <f ca="1">IFERROR(__xludf.DUMMYFUNCTION("""COMPUTED_VALUE"""),"TECNÓLOGO")</f>
        <v>TECNÓLOGO</v>
      </c>
      <c r="H881" s="40" t="str">
        <f ca="1">IFERROR(__xludf.DUMMYFUNCTION("""COMPUTED_VALUE"""),"PRODUCCION DE MULTIMEDIA")</f>
        <v>PRODUCCION DE MULTIMEDIA</v>
      </c>
      <c r="I881" s="40"/>
      <c r="J881" s="40"/>
      <c r="K881" s="40"/>
      <c r="L881" s="40" t="str">
        <f ca="1">IFERROR(__xludf.DUMMYFUNCTION("""COMPUTED_VALUE"""),"VINCULACIÓN LABORAL")</f>
        <v>VINCULACIÓN LABORAL</v>
      </c>
      <c r="M881" s="40" t="str">
        <f ca="1">IFERROR(__xludf.DUMMYFUNCTION("""COMPUTED_VALUE"""),"DIRECCIÓN DE VETERANOS Y REHABILITACIÓN  INCLUSIVA")</f>
        <v>DIRECCIÓN DE VETERANOS Y REHABILITACIÓN  INCLUSIVA</v>
      </c>
      <c r="N881" s="40"/>
      <c r="O881" s="40"/>
      <c r="P881" s="40"/>
      <c r="Q881" s="40" t="str">
        <f ca="1">IFERROR(__xludf.DUMMYFUNCTION("""COMPUTED_VALUE"""),"ivone,meneses@divri.gov.co")</f>
        <v>ivone,meneses@divri.gov.co</v>
      </c>
      <c r="R881" s="140">
        <f ca="1">IFERROR(__xludf.DUMMYFUNCTION("""COMPUTED_VALUE"""),44858)</f>
        <v>44858</v>
      </c>
      <c r="S881" s="140">
        <f ca="1">IFERROR(__xludf.DUMMYFUNCTION("""COMPUTED_VALUE"""),45039)</f>
        <v>45039</v>
      </c>
      <c r="T881" s="40"/>
      <c r="U881" s="40" t="str">
        <f ca="1">IFERROR(__xludf.DUMMYFUNCTION("""COMPUTED_VALUE"""),"Cristian Andres Gomez Urbano")</f>
        <v>Cristian Andres Gomez Urbano</v>
      </c>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t="str">
        <f ca="1">IFERROR(__xludf.DUMMYFUNCTION("""COMPUTED_VALUE"""),"Procede_E_P")</f>
        <v>Procede_E_P</v>
      </c>
      <c r="AV881" s="40" t="str">
        <f ca="1">IFERROR(__xludf.DUMMYFUNCTION("""COMPUTED_VALUE"""),"EN FORMACION")</f>
        <v>EN FORMACION</v>
      </c>
      <c r="AW881" s="40" t="str">
        <f ca="1">IFERROR(__xludf.DUMMYFUNCTION("""COMPUTED_VALUE"""),"TIC")</f>
        <v>TIC</v>
      </c>
      <c r="AX881" s="141">
        <f ca="1">IFERROR(__xludf.DUMMYFUNCTION("""COMPUTED_VALUE"""),0)</f>
        <v>0</v>
      </c>
      <c r="AY881" s="40">
        <f ca="1">IFERROR(__xludf.DUMMYFUNCTION("""COMPUTED_VALUE"""),0)</f>
        <v>0</v>
      </c>
      <c r="AZ881" s="40">
        <f ca="1">IFERROR(__xludf.DUMMYFUNCTION("""COMPUTED_VALUE"""),1)</f>
        <v>1</v>
      </c>
      <c r="BA881" s="40">
        <f ca="1">IFERROR(__xludf.DUMMYFUNCTION("""COMPUTED_VALUE"""),0)</f>
        <v>0</v>
      </c>
      <c r="BB881" s="40">
        <f ca="1">IFERROR(__xludf.DUMMYFUNCTION("""COMPUTED_VALUE"""),0)</f>
        <v>0</v>
      </c>
      <c r="BC881" s="40">
        <f ca="1">IFERROR(__xludf.DUMMYFUNCTION("""COMPUTED_VALUE"""),1)</f>
        <v>1</v>
      </c>
      <c r="BD881" s="141">
        <f ca="1">IFERROR(__xludf.DUMMYFUNCTION("""COMPUTED_VALUE"""),44270)</f>
        <v>44270</v>
      </c>
      <c r="BE881" s="141">
        <f ca="1">IFERROR(__xludf.DUMMYFUNCTION("""COMPUTED_VALUE"""),44818)</f>
        <v>44818</v>
      </c>
      <c r="BF881" s="141">
        <f ca="1">IFERROR(__xludf.DUMMYFUNCTION("""COMPUTED_VALUE"""),44999)</f>
        <v>44999</v>
      </c>
      <c r="BG881" s="141">
        <f ca="1">IFERROR(__xludf.DUMMYFUNCTION("""COMPUTED_VALUE"""),45549)</f>
        <v>45549</v>
      </c>
      <c r="BH881" s="40" t="str">
        <f ca="1">IFERROR(__xludf.DUMMYFUNCTION("""COMPUTED_VALUE"""),"FICHA EN TIEMPO-18 MESES")</f>
        <v>FICHA EN TIEMPO-18 MESES</v>
      </c>
      <c r="BI881" s="40" t="str">
        <f ca="1">IFERROR(__xludf.DUMMYFUNCTION("""COMPUTED_VALUE"""),"En ejecucion")</f>
        <v>En ejecucion</v>
      </c>
      <c r="BJ881" s="40" t="str">
        <f ca="1">IFERROR(__xludf.DUMMYFUNCTION("""COMPUTED_VALUE"""),"Yamboro")</f>
        <v>Yamboro</v>
      </c>
      <c r="BK881" s="40"/>
      <c r="BL881" s="40"/>
    </row>
    <row r="882" spans="1:64" ht="13">
      <c r="A882" s="40"/>
      <c r="B882" s="40" t="str">
        <f ca="1">IFERROR(__xludf.DUMMYFUNCTION("""COMPUTED_VALUE"""),"FORMACIÓN 18/10/2022")</f>
        <v>FORMACIÓN 18/10/2022</v>
      </c>
      <c r="C882" s="40" t="str">
        <f ca="1">IFERROR(__xludf.DUMMYFUNCTION("""COMPUTED_VALUE"""),"JORGE ARMANDO LOSADA RODRIGUEZ")</f>
        <v>JORGE ARMANDO LOSADA RODRIGUEZ</v>
      </c>
      <c r="D882" s="40" t="str">
        <f ca="1">IFERROR(__xludf.DUMMYFUNCTION("""COMPUTED_VALUE"""),"CC")</f>
        <v>CC</v>
      </c>
      <c r="E882" s="40">
        <f ca="1">IFERROR(__xludf.DUMMYFUNCTION("""COMPUTED_VALUE"""),1004443143)</f>
        <v>1004443143</v>
      </c>
      <c r="F882" s="40">
        <f ca="1">IFERROR(__xludf.DUMMYFUNCTION("""COMPUTED_VALUE"""),2469582)</f>
        <v>2469582</v>
      </c>
      <c r="G882" s="40" t="str">
        <f ca="1">IFERROR(__xludf.DUMMYFUNCTION("""COMPUTED_VALUE"""),"TECNÓLOGO")</f>
        <v>TECNÓLOGO</v>
      </c>
      <c r="H882" s="40" t="str">
        <f ca="1">IFERROR(__xludf.DUMMYFUNCTION("""COMPUTED_VALUE"""),"GESTION DE REDES DE DATOS")</f>
        <v>GESTION DE REDES DE DATOS</v>
      </c>
      <c r="I882" s="40"/>
      <c r="J882" s="40"/>
      <c r="K882" s="40"/>
      <c r="L882" s="40" t="str">
        <f ca="1">IFERROR(__xludf.DUMMYFUNCTION("""COMPUTED_VALUE"""),"NO HA INICIADO ETAPA PRODUCTIVA")</f>
        <v>NO HA INICIADO ETAPA PRODUCTIVA</v>
      </c>
      <c r="M882" s="40"/>
      <c r="N882" s="40"/>
      <c r="O882" s="40"/>
      <c r="P882" s="40"/>
      <c r="Q882" s="40"/>
      <c r="R882" s="140"/>
      <c r="S882" s="140"/>
      <c r="T882" s="40" t="str">
        <f ca="1">IFERROR(__xludf.DUMMYFUNCTION("""COMPUTED_VALUE"""),"debe 34 resultados... Revisado 15/11/2022")</f>
        <v>debe 34 resultados... Revisado 15/11/2022</v>
      </c>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t="str">
        <f ca="1">IFERROR(__xludf.DUMMYFUNCTION("""COMPUTED_VALUE"""),"NO_CUMPLE")</f>
        <v>NO_CUMPLE</v>
      </c>
      <c r="AV882" s="40" t="str">
        <f ca="1">IFERROR(__xludf.DUMMYFUNCTION("""COMPUTED_VALUE"""),"EN FORMACION")</f>
        <v>EN FORMACION</v>
      </c>
      <c r="AW882" s="40" t="str">
        <f ca="1">IFERROR(__xludf.DUMMYFUNCTION("""COMPUTED_VALUE"""),"TIC")</f>
        <v>TIC</v>
      </c>
      <c r="AX882" s="141">
        <f ca="1">IFERROR(__xludf.DUMMYFUNCTION("""COMPUTED_VALUE"""),23)</f>
        <v>23</v>
      </c>
      <c r="AY882" s="40">
        <f ca="1">IFERROR(__xludf.DUMMYFUNCTION("""COMPUTED_VALUE"""),23)</f>
        <v>23</v>
      </c>
      <c r="AZ882" s="40">
        <f ca="1">IFERROR(__xludf.DUMMYFUNCTION("""COMPUTED_VALUE"""),1)</f>
        <v>1</v>
      </c>
      <c r="BA882" s="40">
        <f ca="1">IFERROR(__xludf.DUMMYFUNCTION("""COMPUTED_VALUE"""),4)</f>
        <v>4</v>
      </c>
      <c r="BB882" s="40">
        <f ca="1">IFERROR(__xludf.DUMMYFUNCTION("""COMPUTED_VALUE"""),17)</f>
        <v>17</v>
      </c>
      <c r="BC882" s="40">
        <f ca="1">IFERROR(__xludf.DUMMYFUNCTION("""COMPUTED_VALUE"""),45)</f>
        <v>45</v>
      </c>
      <c r="BD882" s="141">
        <f ca="1">IFERROR(__xludf.DUMMYFUNCTION("""COMPUTED_VALUE"""),44550)</f>
        <v>44550</v>
      </c>
      <c r="BE882" s="141">
        <f ca="1">IFERROR(__xludf.DUMMYFUNCTION("""COMPUTED_VALUE"""),45188)</f>
        <v>45188</v>
      </c>
      <c r="BF882" s="141">
        <f ca="1">IFERROR(__xludf.DUMMYFUNCTION("""COMPUTED_VALUE"""),45370)</f>
        <v>45370</v>
      </c>
      <c r="BG882" s="141">
        <f ca="1">IFERROR(__xludf.DUMMYFUNCTION("""COMPUTED_VALUE"""),45919)</f>
        <v>45919</v>
      </c>
      <c r="BH882" s="40" t="str">
        <f ca="1">IFERROR(__xludf.DUMMYFUNCTION("""COMPUTED_VALUE"""),"FICHA EN TIEMPO-18 MESES")</f>
        <v>FICHA EN TIEMPO-18 MESES</v>
      </c>
      <c r="BI882" s="40" t="str">
        <f ca="1">IFERROR(__xludf.DUMMYFUNCTION("""COMPUTED_VALUE"""),"En ejecucion")</f>
        <v>En ejecucion</v>
      </c>
      <c r="BJ882" s="40" t="str">
        <f ca="1">IFERROR(__xludf.DUMMYFUNCTION("""COMPUTED_VALUE"""),"Yamboro")</f>
        <v>Yamboro</v>
      </c>
      <c r="BK882" s="40"/>
      <c r="BL882" s="40"/>
    </row>
    <row r="883" spans="1:64" ht="13">
      <c r="A883" s="40"/>
      <c r="B883" s="40" t="str">
        <f ca="1">IFERROR(__xludf.DUMMYFUNCTION("""COMPUTED_VALUE"""),"FORMACIÓN 18/10/2022")</f>
        <v>FORMACIÓN 18/10/2022</v>
      </c>
      <c r="C883" s="40" t="str">
        <f ca="1">IFERROR(__xludf.DUMMYFUNCTION("""COMPUTED_VALUE"""),"TANIA KARINA VALDES GOMEZ")</f>
        <v>TANIA KARINA VALDES GOMEZ</v>
      </c>
      <c r="D883" s="40" t="str">
        <f ca="1">IFERROR(__xludf.DUMMYFUNCTION("""COMPUTED_VALUE"""),"TI")</f>
        <v>TI</v>
      </c>
      <c r="E883" s="40">
        <f ca="1">IFERROR(__xludf.DUMMYFUNCTION("""COMPUTED_VALUE"""),1082773003)</f>
        <v>1082773003</v>
      </c>
      <c r="F883" s="40">
        <f ca="1">IFERROR(__xludf.DUMMYFUNCTION("""COMPUTED_VALUE"""),2469582)</f>
        <v>2469582</v>
      </c>
      <c r="G883" s="40" t="str">
        <f ca="1">IFERROR(__xludf.DUMMYFUNCTION("""COMPUTED_VALUE"""),"TECNÓLOGO")</f>
        <v>TECNÓLOGO</v>
      </c>
      <c r="H883" s="40" t="str">
        <f ca="1">IFERROR(__xludf.DUMMYFUNCTION("""COMPUTED_VALUE"""),"GESTION DE REDES DE DATOS")</f>
        <v>GESTION DE REDES DE DATOS</v>
      </c>
      <c r="I883" s="40"/>
      <c r="J883" s="40"/>
      <c r="K883" s="40"/>
      <c r="L883" s="40" t="str">
        <f ca="1">IFERROR(__xludf.DUMMYFUNCTION("""COMPUTED_VALUE"""),"NO HA INICIADO ETAPA PRODUCTIVA")</f>
        <v>NO HA INICIADO ETAPA PRODUCTIVA</v>
      </c>
      <c r="M883" s="40"/>
      <c r="N883" s="40"/>
      <c r="O883" s="40"/>
      <c r="P883" s="40"/>
      <c r="Q883" s="40"/>
      <c r="R883" s="140"/>
      <c r="S883" s="140"/>
      <c r="T883" s="40" t="str">
        <f ca="1">IFERROR(__xludf.DUMMYFUNCTION("""COMPUTED_VALUE"""),"debe 34 resultados... Revisado 15/11/2022")</f>
        <v>debe 34 resultados... Revisado 15/11/2022</v>
      </c>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t="str">
        <f ca="1">IFERROR(__xludf.DUMMYFUNCTION("""COMPUTED_VALUE"""),"NO_CUMPLE")</f>
        <v>NO_CUMPLE</v>
      </c>
      <c r="AV883" s="40" t="str">
        <f ca="1">IFERROR(__xludf.DUMMYFUNCTION("""COMPUTED_VALUE"""),"EN FORMACION")</f>
        <v>EN FORMACION</v>
      </c>
      <c r="AW883" s="40" t="str">
        <f ca="1">IFERROR(__xludf.DUMMYFUNCTION("""COMPUTED_VALUE"""),"TIC")</f>
        <v>TIC</v>
      </c>
      <c r="AX883" s="141">
        <f ca="1">IFERROR(__xludf.DUMMYFUNCTION("""COMPUTED_VALUE"""),23)</f>
        <v>23</v>
      </c>
      <c r="AY883" s="40">
        <f ca="1">IFERROR(__xludf.DUMMYFUNCTION("""COMPUTED_VALUE"""),23)</f>
        <v>23</v>
      </c>
      <c r="AZ883" s="40">
        <f ca="1">IFERROR(__xludf.DUMMYFUNCTION("""COMPUTED_VALUE"""),1)</f>
        <v>1</v>
      </c>
      <c r="BA883" s="40">
        <f ca="1">IFERROR(__xludf.DUMMYFUNCTION("""COMPUTED_VALUE"""),4)</f>
        <v>4</v>
      </c>
      <c r="BB883" s="40">
        <f ca="1">IFERROR(__xludf.DUMMYFUNCTION("""COMPUTED_VALUE"""),17)</f>
        <v>17</v>
      </c>
      <c r="BC883" s="40">
        <f ca="1">IFERROR(__xludf.DUMMYFUNCTION("""COMPUTED_VALUE"""),45)</f>
        <v>45</v>
      </c>
      <c r="BD883" s="141">
        <f ca="1">IFERROR(__xludf.DUMMYFUNCTION("""COMPUTED_VALUE"""),44550)</f>
        <v>44550</v>
      </c>
      <c r="BE883" s="141">
        <f ca="1">IFERROR(__xludf.DUMMYFUNCTION("""COMPUTED_VALUE"""),45188)</f>
        <v>45188</v>
      </c>
      <c r="BF883" s="141">
        <f ca="1">IFERROR(__xludf.DUMMYFUNCTION("""COMPUTED_VALUE"""),45370)</f>
        <v>45370</v>
      </c>
      <c r="BG883" s="141">
        <f ca="1">IFERROR(__xludf.DUMMYFUNCTION("""COMPUTED_VALUE"""),45919)</f>
        <v>45919</v>
      </c>
      <c r="BH883" s="40" t="str">
        <f ca="1">IFERROR(__xludf.DUMMYFUNCTION("""COMPUTED_VALUE"""),"FICHA EN TIEMPO-18 MESES")</f>
        <v>FICHA EN TIEMPO-18 MESES</v>
      </c>
      <c r="BI883" s="40" t="str">
        <f ca="1">IFERROR(__xludf.DUMMYFUNCTION("""COMPUTED_VALUE"""),"En ejecucion")</f>
        <v>En ejecucion</v>
      </c>
      <c r="BJ883" s="40" t="str">
        <f ca="1">IFERROR(__xludf.DUMMYFUNCTION("""COMPUTED_VALUE"""),"Yamboro")</f>
        <v>Yamboro</v>
      </c>
      <c r="BK883" s="40"/>
      <c r="BL883" s="40"/>
    </row>
    <row r="884" spans="1:64" ht="13">
      <c r="A884" s="40"/>
      <c r="B884" s="40" t="str">
        <f ca="1">IFERROR(__xludf.DUMMYFUNCTION("""COMPUTED_VALUE"""),"FORMACIÓN 18/10/2022")</f>
        <v>FORMACIÓN 18/10/2022</v>
      </c>
      <c r="C884" s="40" t="str">
        <f ca="1">IFERROR(__xludf.DUMMYFUNCTION("""COMPUTED_VALUE"""),"GERMAN DAVID SAMBONI SAMBONI")</f>
        <v>GERMAN DAVID SAMBONI SAMBONI</v>
      </c>
      <c r="D884" s="40" t="str">
        <f ca="1">IFERROR(__xludf.DUMMYFUNCTION("""COMPUTED_VALUE"""),"TI")</f>
        <v>TI</v>
      </c>
      <c r="E884" s="40">
        <f ca="1">IFERROR(__xludf.DUMMYFUNCTION("""COMPUTED_VALUE"""),1083865757)</f>
        <v>1083865757</v>
      </c>
      <c r="F884" s="40">
        <f ca="1">IFERROR(__xludf.DUMMYFUNCTION("""COMPUTED_VALUE"""),2469582)</f>
        <v>2469582</v>
      </c>
      <c r="G884" s="40" t="str">
        <f ca="1">IFERROR(__xludf.DUMMYFUNCTION("""COMPUTED_VALUE"""),"TECNÓLOGO")</f>
        <v>TECNÓLOGO</v>
      </c>
      <c r="H884" s="40" t="str">
        <f ca="1">IFERROR(__xludf.DUMMYFUNCTION("""COMPUTED_VALUE"""),"GESTION DE REDES DE DATOS")</f>
        <v>GESTION DE REDES DE DATOS</v>
      </c>
      <c r="I884" s="40"/>
      <c r="J884" s="40"/>
      <c r="K884" s="40"/>
      <c r="L884" s="40" t="str">
        <f ca="1">IFERROR(__xludf.DUMMYFUNCTION("""COMPUTED_VALUE"""),"NO HA INICIADO ETAPA PRODUCTIVA")</f>
        <v>NO HA INICIADO ETAPA PRODUCTIVA</v>
      </c>
      <c r="M884" s="40"/>
      <c r="N884" s="40"/>
      <c r="O884" s="40"/>
      <c r="P884" s="40"/>
      <c r="Q884" s="40"/>
      <c r="R884" s="140"/>
      <c r="S884" s="140"/>
      <c r="T884" s="40" t="str">
        <f ca="1">IFERROR(__xludf.DUMMYFUNCTION("""COMPUTED_VALUE"""),"debe 34 resultados... Revisado 15/11/2022")</f>
        <v>debe 34 resultados... Revisado 15/11/2022</v>
      </c>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t="str">
        <f ca="1">IFERROR(__xludf.DUMMYFUNCTION("""COMPUTED_VALUE"""),"NO_CUMPLE")</f>
        <v>NO_CUMPLE</v>
      </c>
      <c r="AV884" s="40" t="str">
        <f ca="1">IFERROR(__xludf.DUMMYFUNCTION("""COMPUTED_VALUE"""),"EN FORMACION")</f>
        <v>EN FORMACION</v>
      </c>
      <c r="AW884" s="40" t="str">
        <f ca="1">IFERROR(__xludf.DUMMYFUNCTION("""COMPUTED_VALUE"""),"TIC")</f>
        <v>TIC</v>
      </c>
      <c r="AX884" s="141">
        <f ca="1">IFERROR(__xludf.DUMMYFUNCTION("""COMPUTED_VALUE"""),23)</f>
        <v>23</v>
      </c>
      <c r="AY884" s="40">
        <f ca="1">IFERROR(__xludf.DUMMYFUNCTION("""COMPUTED_VALUE"""),23)</f>
        <v>23</v>
      </c>
      <c r="AZ884" s="40">
        <f ca="1">IFERROR(__xludf.DUMMYFUNCTION("""COMPUTED_VALUE"""),1)</f>
        <v>1</v>
      </c>
      <c r="BA884" s="40">
        <f ca="1">IFERROR(__xludf.DUMMYFUNCTION("""COMPUTED_VALUE"""),4)</f>
        <v>4</v>
      </c>
      <c r="BB884" s="40">
        <f ca="1">IFERROR(__xludf.DUMMYFUNCTION("""COMPUTED_VALUE"""),17)</f>
        <v>17</v>
      </c>
      <c r="BC884" s="40">
        <f ca="1">IFERROR(__xludf.DUMMYFUNCTION("""COMPUTED_VALUE"""),45)</f>
        <v>45</v>
      </c>
      <c r="BD884" s="141">
        <f ca="1">IFERROR(__xludf.DUMMYFUNCTION("""COMPUTED_VALUE"""),44550)</f>
        <v>44550</v>
      </c>
      <c r="BE884" s="141">
        <f ca="1">IFERROR(__xludf.DUMMYFUNCTION("""COMPUTED_VALUE"""),45188)</f>
        <v>45188</v>
      </c>
      <c r="BF884" s="141">
        <f ca="1">IFERROR(__xludf.DUMMYFUNCTION("""COMPUTED_VALUE"""),45370)</f>
        <v>45370</v>
      </c>
      <c r="BG884" s="141">
        <f ca="1">IFERROR(__xludf.DUMMYFUNCTION("""COMPUTED_VALUE"""),45919)</f>
        <v>45919</v>
      </c>
      <c r="BH884" s="40" t="str">
        <f ca="1">IFERROR(__xludf.DUMMYFUNCTION("""COMPUTED_VALUE"""),"FICHA EN TIEMPO-18 MESES")</f>
        <v>FICHA EN TIEMPO-18 MESES</v>
      </c>
      <c r="BI884" s="40" t="str">
        <f ca="1">IFERROR(__xludf.DUMMYFUNCTION("""COMPUTED_VALUE"""),"En ejecucion")</f>
        <v>En ejecucion</v>
      </c>
      <c r="BJ884" s="40" t="str">
        <f ca="1">IFERROR(__xludf.DUMMYFUNCTION("""COMPUTED_VALUE"""),"Yamboro")</f>
        <v>Yamboro</v>
      </c>
      <c r="BK884" s="40"/>
      <c r="BL884" s="40"/>
    </row>
    <row r="885" spans="1:64" ht="13">
      <c r="A885" s="40"/>
      <c r="B885" s="40" t="str">
        <f ca="1">IFERROR(__xludf.DUMMYFUNCTION("""COMPUTED_VALUE"""),"FORMACIÓN 18/10/2022")</f>
        <v>FORMACIÓN 18/10/2022</v>
      </c>
      <c r="C885" s="40" t="str">
        <f ca="1">IFERROR(__xludf.DUMMYFUNCTION("""COMPUTED_VALUE"""),"MARIA JULIANA MUÑOZ SAMBONI")</f>
        <v>MARIA JULIANA MUÑOZ SAMBONI</v>
      </c>
      <c r="D885" s="40" t="str">
        <f ca="1">IFERROR(__xludf.DUMMYFUNCTION("""COMPUTED_VALUE"""),"CC")</f>
        <v>CC</v>
      </c>
      <c r="E885" s="40">
        <f ca="1">IFERROR(__xludf.DUMMYFUNCTION("""COMPUTED_VALUE"""),1083984054)</f>
        <v>1083984054</v>
      </c>
      <c r="F885" s="40">
        <f ca="1">IFERROR(__xludf.DUMMYFUNCTION("""COMPUTED_VALUE"""),2469582)</f>
        <v>2469582</v>
      </c>
      <c r="G885" s="40" t="str">
        <f ca="1">IFERROR(__xludf.DUMMYFUNCTION("""COMPUTED_VALUE"""),"TECNÓLOGO")</f>
        <v>TECNÓLOGO</v>
      </c>
      <c r="H885" s="40" t="str">
        <f ca="1">IFERROR(__xludf.DUMMYFUNCTION("""COMPUTED_VALUE"""),"GESTION DE REDES DE DATOS")</f>
        <v>GESTION DE REDES DE DATOS</v>
      </c>
      <c r="I885" s="40"/>
      <c r="J885" s="40"/>
      <c r="K885" s="40"/>
      <c r="L885" s="40" t="str">
        <f ca="1">IFERROR(__xludf.DUMMYFUNCTION("""COMPUTED_VALUE"""),"NO HA INICIADO ETAPA PRODUCTIVA")</f>
        <v>NO HA INICIADO ETAPA PRODUCTIVA</v>
      </c>
      <c r="M885" s="40"/>
      <c r="N885" s="40"/>
      <c r="O885" s="40"/>
      <c r="P885" s="40"/>
      <c r="Q885" s="40"/>
      <c r="R885" s="140"/>
      <c r="S885" s="140"/>
      <c r="T885" s="40" t="str">
        <f ca="1">IFERROR(__xludf.DUMMYFUNCTION("""COMPUTED_VALUE"""),"debe 34 resultados... Revisado 15/11/2022")</f>
        <v>debe 34 resultados... Revisado 15/11/2022</v>
      </c>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t="str">
        <f ca="1">IFERROR(__xludf.DUMMYFUNCTION("""COMPUTED_VALUE"""),"NO_CUMPLE")</f>
        <v>NO_CUMPLE</v>
      </c>
      <c r="AV885" s="40" t="str">
        <f ca="1">IFERROR(__xludf.DUMMYFUNCTION("""COMPUTED_VALUE"""),"EN FORMACION")</f>
        <v>EN FORMACION</v>
      </c>
      <c r="AW885" s="40" t="str">
        <f ca="1">IFERROR(__xludf.DUMMYFUNCTION("""COMPUTED_VALUE"""),"TIC")</f>
        <v>TIC</v>
      </c>
      <c r="AX885" s="141">
        <f ca="1">IFERROR(__xludf.DUMMYFUNCTION("""COMPUTED_VALUE"""),23)</f>
        <v>23</v>
      </c>
      <c r="AY885" s="40">
        <f ca="1">IFERROR(__xludf.DUMMYFUNCTION("""COMPUTED_VALUE"""),23)</f>
        <v>23</v>
      </c>
      <c r="AZ885" s="40">
        <f ca="1">IFERROR(__xludf.DUMMYFUNCTION("""COMPUTED_VALUE"""),1)</f>
        <v>1</v>
      </c>
      <c r="BA885" s="40">
        <f ca="1">IFERROR(__xludf.DUMMYFUNCTION("""COMPUTED_VALUE"""),4)</f>
        <v>4</v>
      </c>
      <c r="BB885" s="40">
        <f ca="1">IFERROR(__xludf.DUMMYFUNCTION("""COMPUTED_VALUE"""),17)</f>
        <v>17</v>
      </c>
      <c r="BC885" s="40">
        <f ca="1">IFERROR(__xludf.DUMMYFUNCTION("""COMPUTED_VALUE"""),45)</f>
        <v>45</v>
      </c>
      <c r="BD885" s="141">
        <f ca="1">IFERROR(__xludf.DUMMYFUNCTION("""COMPUTED_VALUE"""),44550)</f>
        <v>44550</v>
      </c>
      <c r="BE885" s="141">
        <f ca="1">IFERROR(__xludf.DUMMYFUNCTION("""COMPUTED_VALUE"""),45188)</f>
        <v>45188</v>
      </c>
      <c r="BF885" s="141">
        <f ca="1">IFERROR(__xludf.DUMMYFUNCTION("""COMPUTED_VALUE"""),45370)</f>
        <v>45370</v>
      </c>
      <c r="BG885" s="141">
        <f ca="1">IFERROR(__xludf.DUMMYFUNCTION("""COMPUTED_VALUE"""),45919)</f>
        <v>45919</v>
      </c>
      <c r="BH885" s="40" t="str">
        <f ca="1">IFERROR(__xludf.DUMMYFUNCTION("""COMPUTED_VALUE"""),"FICHA EN TIEMPO-18 MESES")</f>
        <v>FICHA EN TIEMPO-18 MESES</v>
      </c>
      <c r="BI885" s="40" t="str">
        <f ca="1">IFERROR(__xludf.DUMMYFUNCTION("""COMPUTED_VALUE"""),"En ejecucion")</f>
        <v>En ejecucion</v>
      </c>
      <c r="BJ885" s="40" t="str">
        <f ca="1">IFERROR(__xludf.DUMMYFUNCTION("""COMPUTED_VALUE"""),"Yamboro")</f>
        <v>Yamboro</v>
      </c>
      <c r="BK885" s="40"/>
      <c r="BL885" s="40"/>
    </row>
    <row r="886" spans="1:64" ht="13">
      <c r="A886" s="40"/>
      <c r="B886" s="40" t="str">
        <f ca="1">IFERROR(__xludf.DUMMYFUNCTION("""COMPUTED_VALUE"""),"FORMACIÓN 18/10/2022")</f>
        <v>FORMACIÓN 18/10/2022</v>
      </c>
      <c r="C886" s="40" t="str">
        <f ca="1">IFERROR(__xludf.DUMMYFUNCTION("""COMPUTED_VALUE"""),"NEIDER YESID MENESES ANACONA")</f>
        <v>NEIDER YESID MENESES ANACONA</v>
      </c>
      <c r="D886" s="40" t="str">
        <f ca="1">IFERROR(__xludf.DUMMYFUNCTION("""COMPUTED_VALUE"""),"CC")</f>
        <v>CC</v>
      </c>
      <c r="E886" s="40">
        <f ca="1">IFERROR(__xludf.DUMMYFUNCTION("""COMPUTED_VALUE"""),1083984132)</f>
        <v>1083984132</v>
      </c>
      <c r="F886" s="40">
        <f ca="1">IFERROR(__xludf.DUMMYFUNCTION("""COMPUTED_VALUE"""),2469582)</f>
        <v>2469582</v>
      </c>
      <c r="G886" s="40" t="str">
        <f ca="1">IFERROR(__xludf.DUMMYFUNCTION("""COMPUTED_VALUE"""),"TECNÓLOGO")</f>
        <v>TECNÓLOGO</v>
      </c>
      <c r="H886" s="40" t="str">
        <f ca="1">IFERROR(__xludf.DUMMYFUNCTION("""COMPUTED_VALUE"""),"GESTION DE REDES DE DATOS")</f>
        <v>GESTION DE REDES DE DATOS</v>
      </c>
      <c r="I886" s="40"/>
      <c r="J886" s="40"/>
      <c r="K886" s="40"/>
      <c r="L886" s="40" t="str">
        <f ca="1">IFERROR(__xludf.DUMMYFUNCTION("""COMPUTED_VALUE"""),"NO HA INICIADO ETAPA PRODUCTIVA")</f>
        <v>NO HA INICIADO ETAPA PRODUCTIVA</v>
      </c>
      <c r="M886" s="40"/>
      <c r="N886" s="40"/>
      <c r="O886" s="40"/>
      <c r="P886" s="40"/>
      <c r="Q886" s="40"/>
      <c r="R886" s="140"/>
      <c r="S886" s="140"/>
      <c r="T886" s="40" t="str">
        <f ca="1">IFERROR(__xludf.DUMMYFUNCTION("""COMPUTED_VALUE"""),"debe 34 resultados... Revisado 15/11/2022")</f>
        <v>debe 34 resultados... Revisado 15/11/2022</v>
      </c>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t="str">
        <f ca="1">IFERROR(__xludf.DUMMYFUNCTION("""COMPUTED_VALUE"""),"NO_CUMPLE")</f>
        <v>NO_CUMPLE</v>
      </c>
      <c r="AV886" s="40" t="str">
        <f ca="1">IFERROR(__xludf.DUMMYFUNCTION("""COMPUTED_VALUE"""),"EN FORMACION")</f>
        <v>EN FORMACION</v>
      </c>
      <c r="AW886" s="40" t="str">
        <f ca="1">IFERROR(__xludf.DUMMYFUNCTION("""COMPUTED_VALUE"""),"TIC")</f>
        <v>TIC</v>
      </c>
      <c r="AX886" s="141">
        <f ca="1">IFERROR(__xludf.DUMMYFUNCTION("""COMPUTED_VALUE"""),23)</f>
        <v>23</v>
      </c>
      <c r="AY886" s="40">
        <f ca="1">IFERROR(__xludf.DUMMYFUNCTION("""COMPUTED_VALUE"""),23)</f>
        <v>23</v>
      </c>
      <c r="AZ886" s="40">
        <f ca="1">IFERROR(__xludf.DUMMYFUNCTION("""COMPUTED_VALUE"""),1)</f>
        <v>1</v>
      </c>
      <c r="BA886" s="40">
        <f ca="1">IFERROR(__xludf.DUMMYFUNCTION("""COMPUTED_VALUE"""),4)</f>
        <v>4</v>
      </c>
      <c r="BB886" s="40">
        <f ca="1">IFERROR(__xludf.DUMMYFUNCTION("""COMPUTED_VALUE"""),17)</f>
        <v>17</v>
      </c>
      <c r="BC886" s="40">
        <f ca="1">IFERROR(__xludf.DUMMYFUNCTION("""COMPUTED_VALUE"""),45)</f>
        <v>45</v>
      </c>
      <c r="BD886" s="141">
        <f ca="1">IFERROR(__xludf.DUMMYFUNCTION("""COMPUTED_VALUE"""),44550)</f>
        <v>44550</v>
      </c>
      <c r="BE886" s="141">
        <f ca="1">IFERROR(__xludf.DUMMYFUNCTION("""COMPUTED_VALUE"""),45188)</f>
        <v>45188</v>
      </c>
      <c r="BF886" s="141">
        <f ca="1">IFERROR(__xludf.DUMMYFUNCTION("""COMPUTED_VALUE"""),45370)</f>
        <v>45370</v>
      </c>
      <c r="BG886" s="141">
        <f ca="1">IFERROR(__xludf.DUMMYFUNCTION("""COMPUTED_VALUE"""),45919)</f>
        <v>45919</v>
      </c>
      <c r="BH886" s="40" t="str">
        <f ca="1">IFERROR(__xludf.DUMMYFUNCTION("""COMPUTED_VALUE"""),"FICHA EN TIEMPO-18 MESES")</f>
        <v>FICHA EN TIEMPO-18 MESES</v>
      </c>
      <c r="BI886" s="40" t="str">
        <f ca="1">IFERROR(__xludf.DUMMYFUNCTION("""COMPUTED_VALUE"""),"En ejecucion")</f>
        <v>En ejecucion</v>
      </c>
      <c r="BJ886" s="40" t="str">
        <f ca="1">IFERROR(__xludf.DUMMYFUNCTION("""COMPUTED_VALUE"""),"Yamboro")</f>
        <v>Yamboro</v>
      </c>
      <c r="BK886" s="40"/>
      <c r="BL886" s="40"/>
    </row>
    <row r="887" spans="1:64" ht="13">
      <c r="A887" s="40"/>
      <c r="B887" s="40" t="str">
        <f ca="1">IFERROR(__xludf.DUMMYFUNCTION("""COMPUTED_VALUE"""),"FORMACIÓN 18/10/2022")</f>
        <v>FORMACIÓN 18/10/2022</v>
      </c>
      <c r="C887" s="40" t="str">
        <f ca="1">IFERROR(__xludf.DUMMYFUNCTION("""COMPUTED_VALUE"""),"JENNIFER FIGUEROA BRAVO")</f>
        <v>JENNIFER FIGUEROA BRAVO</v>
      </c>
      <c r="D887" s="40" t="str">
        <f ca="1">IFERROR(__xludf.DUMMYFUNCTION("""COMPUTED_VALUE"""),"TI")</f>
        <v>TI</v>
      </c>
      <c r="E887" s="40">
        <f ca="1">IFERROR(__xludf.DUMMYFUNCTION("""COMPUTED_VALUE"""),1084330581)</f>
        <v>1084330581</v>
      </c>
      <c r="F887" s="40">
        <f ca="1">IFERROR(__xludf.DUMMYFUNCTION("""COMPUTED_VALUE"""),2469582)</f>
        <v>2469582</v>
      </c>
      <c r="G887" s="40" t="str">
        <f ca="1">IFERROR(__xludf.DUMMYFUNCTION("""COMPUTED_VALUE"""),"TECNÓLOGO")</f>
        <v>TECNÓLOGO</v>
      </c>
      <c r="H887" s="40" t="str">
        <f ca="1">IFERROR(__xludf.DUMMYFUNCTION("""COMPUTED_VALUE"""),"GESTION DE REDES DE DATOS")</f>
        <v>GESTION DE REDES DE DATOS</v>
      </c>
      <c r="I887" s="40"/>
      <c r="J887" s="40"/>
      <c r="K887" s="40"/>
      <c r="L887" s="40" t="str">
        <f ca="1">IFERROR(__xludf.DUMMYFUNCTION("""COMPUTED_VALUE"""),"NO HA INICIADO ETAPA PRODUCTIVA")</f>
        <v>NO HA INICIADO ETAPA PRODUCTIVA</v>
      </c>
      <c r="M887" s="40"/>
      <c r="N887" s="40"/>
      <c r="O887" s="40"/>
      <c r="P887" s="40"/>
      <c r="Q887" s="40"/>
      <c r="R887" s="140"/>
      <c r="S887" s="140"/>
      <c r="T887" s="40" t="str">
        <f ca="1">IFERROR(__xludf.DUMMYFUNCTION("""COMPUTED_VALUE"""),"debe 44 resultados... Revisado 15/11/2022")</f>
        <v>debe 44 resultados... Revisado 15/11/2022</v>
      </c>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t="str">
        <f ca="1">IFERROR(__xludf.DUMMYFUNCTION("""COMPUTED_VALUE"""),"NO_CUMPLE")</f>
        <v>NO_CUMPLE</v>
      </c>
      <c r="AV887" s="40" t="str">
        <f ca="1">IFERROR(__xludf.DUMMYFUNCTION("""COMPUTED_VALUE"""),"EN FORMACION")</f>
        <v>EN FORMACION</v>
      </c>
      <c r="AW887" s="40" t="str">
        <f ca="1">IFERROR(__xludf.DUMMYFUNCTION("""COMPUTED_VALUE"""),"TIC")</f>
        <v>TIC</v>
      </c>
      <c r="AX887" s="141">
        <f ca="1">IFERROR(__xludf.DUMMYFUNCTION("""COMPUTED_VALUE"""),23)</f>
        <v>23</v>
      </c>
      <c r="AY887" s="40">
        <f ca="1">IFERROR(__xludf.DUMMYFUNCTION("""COMPUTED_VALUE"""),23)</f>
        <v>23</v>
      </c>
      <c r="AZ887" s="40">
        <f ca="1">IFERROR(__xludf.DUMMYFUNCTION("""COMPUTED_VALUE"""),1)</f>
        <v>1</v>
      </c>
      <c r="BA887" s="40">
        <f ca="1">IFERROR(__xludf.DUMMYFUNCTION("""COMPUTED_VALUE"""),4)</f>
        <v>4</v>
      </c>
      <c r="BB887" s="40">
        <f ca="1">IFERROR(__xludf.DUMMYFUNCTION("""COMPUTED_VALUE"""),17)</f>
        <v>17</v>
      </c>
      <c r="BC887" s="40">
        <f ca="1">IFERROR(__xludf.DUMMYFUNCTION("""COMPUTED_VALUE"""),45)</f>
        <v>45</v>
      </c>
      <c r="BD887" s="141">
        <f ca="1">IFERROR(__xludf.DUMMYFUNCTION("""COMPUTED_VALUE"""),44550)</f>
        <v>44550</v>
      </c>
      <c r="BE887" s="141">
        <f ca="1">IFERROR(__xludf.DUMMYFUNCTION("""COMPUTED_VALUE"""),45188)</f>
        <v>45188</v>
      </c>
      <c r="BF887" s="141">
        <f ca="1">IFERROR(__xludf.DUMMYFUNCTION("""COMPUTED_VALUE"""),45370)</f>
        <v>45370</v>
      </c>
      <c r="BG887" s="141">
        <f ca="1">IFERROR(__xludf.DUMMYFUNCTION("""COMPUTED_VALUE"""),45919)</f>
        <v>45919</v>
      </c>
      <c r="BH887" s="40" t="str">
        <f ca="1">IFERROR(__xludf.DUMMYFUNCTION("""COMPUTED_VALUE"""),"FICHA EN TIEMPO-18 MESES")</f>
        <v>FICHA EN TIEMPO-18 MESES</v>
      </c>
      <c r="BI887" s="40" t="str">
        <f ca="1">IFERROR(__xludf.DUMMYFUNCTION("""COMPUTED_VALUE"""),"En ejecucion")</f>
        <v>En ejecucion</v>
      </c>
      <c r="BJ887" s="40" t="str">
        <f ca="1">IFERROR(__xludf.DUMMYFUNCTION("""COMPUTED_VALUE"""),"Yamboro")</f>
        <v>Yamboro</v>
      </c>
      <c r="BK887" s="40"/>
      <c r="BL887" s="40"/>
    </row>
    <row r="888" spans="1:64" ht="13">
      <c r="A888" s="40"/>
      <c r="B888" s="40" t="str">
        <f ca="1">IFERROR(__xludf.DUMMYFUNCTION("""COMPUTED_VALUE"""),"FORMACIÓN 18/10/2022")</f>
        <v>FORMACIÓN 18/10/2022</v>
      </c>
      <c r="C888" s="40" t="str">
        <f ca="1">IFERROR(__xludf.DUMMYFUNCTION("""COMPUTED_VALUE"""),"ESTEBAN MADROÑERO DOMINGUEZ")</f>
        <v>ESTEBAN MADROÑERO DOMINGUEZ</v>
      </c>
      <c r="D888" s="40" t="str">
        <f ca="1">IFERROR(__xludf.DUMMYFUNCTION("""COMPUTED_VALUE"""),"CC")</f>
        <v>CC</v>
      </c>
      <c r="E888" s="40">
        <f ca="1">IFERROR(__xludf.DUMMYFUNCTION("""COMPUTED_VALUE"""),1087789576)</f>
        <v>1087789576</v>
      </c>
      <c r="F888" s="40">
        <f ca="1">IFERROR(__xludf.DUMMYFUNCTION("""COMPUTED_VALUE"""),2469582)</f>
        <v>2469582</v>
      </c>
      <c r="G888" s="40" t="str">
        <f ca="1">IFERROR(__xludf.DUMMYFUNCTION("""COMPUTED_VALUE"""),"TECNÓLOGO")</f>
        <v>TECNÓLOGO</v>
      </c>
      <c r="H888" s="40" t="str">
        <f ca="1">IFERROR(__xludf.DUMMYFUNCTION("""COMPUTED_VALUE"""),"GESTION DE REDES DE DATOS")</f>
        <v>GESTION DE REDES DE DATOS</v>
      </c>
      <c r="I888" s="40"/>
      <c r="J888" s="40"/>
      <c r="K888" s="40"/>
      <c r="L888" s="40" t="str">
        <f ca="1">IFERROR(__xludf.DUMMYFUNCTION("""COMPUTED_VALUE"""),"NO HA INICIADO ETAPA PRODUCTIVA")</f>
        <v>NO HA INICIADO ETAPA PRODUCTIVA</v>
      </c>
      <c r="M888" s="40"/>
      <c r="N888" s="40"/>
      <c r="O888" s="40"/>
      <c r="P888" s="40"/>
      <c r="Q888" s="40"/>
      <c r="R888" s="140"/>
      <c r="S888" s="140"/>
      <c r="T888" s="40" t="str">
        <f ca="1">IFERROR(__xludf.DUMMYFUNCTION("""COMPUTED_VALUE"""),"debe 34 resultados... Revisado 15/11/2022")</f>
        <v>debe 34 resultados... Revisado 15/11/2022</v>
      </c>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t="str">
        <f ca="1">IFERROR(__xludf.DUMMYFUNCTION("""COMPUTED_VALUE"""),"NO_CUMPLE")</f>
        <v>NO_CUMPLE</v>
      </c>
      <c r="AV888" s="40" t="str">
        <f ca="1">IFERROR(__xludf.DUMMYFUNCTION("""COMPUTED_VALUE"""),"EN FORMACION")</f>
        <v>EN FORMACION</v>
      </c>
      <c r="AW888" s="40" t="str">
        <f ca="1">IFERROR(__xludf.DUMMYFUNCTION("""COMPUTED_VALUE"""),"TIC")</f>
        <v>TIC</v>
      </c>
      <c r="AX888" s="141">
        <f ca="1">IFERROR(__xludf.DUMMYFUNCTION("""COMPUTED_VALUE"""),23)</f>
        <v>23</v>
      </c>
      <c r="AY888" s="40">
        <f ca="1">IFERROR(__xludf.DUMMYFUNCTION("""COMPUTED_VALUE"""),23)</f>
        <v>23</v>
      </c>
      <c r="AZ888" s="40">
        <f ca="1">IFERROR(__xludf.DUMMYFUNCTION("""COMPUTED_VALUE"""),1)</f>
        <v>1</v>
      </c>
      <c r="BA888" s="40">
        <f ca="1">IFERROR(__xludf.DUMMYFUNCTION("""COMPUTED_VALUE"""),4)</f>
        <v>4</v>
      </c>
      <c r="BB888" s="40">
        <f ca="1">IFERROR(__xludf.DUMMYFUNCTION("""COMPUTED_VALUE"""),17)</f>
        <v>17</v>
      </c>
      <c r="BC888" s="40">
        <f ca="1">IFERROR(__xludf.DUMMYFUNCTION("""COMPUTED_VALUE"""),45)</f>
        <v>45</v>
      </c>
      <c r="BD888" s="141">
        <f ca="1">IFERROR(__xludf.DUMMYFUNCTION("""COMPUTED_VALUE"""),44550)</f>
        <v>44550</v>
      </c>
      <c r="BE888" s="141">
        <f ca="1">IFERROR(__xludf.DUMMYFUNCTION("""COMPUTED_VALUE"""),45188)</f>
        <v>45188</v>
      </c>
      <c r="BF888" s="141">
        <f ca="1">IFERROR(__xludf.DUMMYFUNCTION("""COMPUTED_VALUE"""),45370)</f>
        <v>45370</v>
      </c>
      <c r="BG888" s="141">
        <f ca="1">IFERROR(__xludf.DUMMYFUNCTION("""COMPUTED_VALUE"""),45919)</f>
        <v>45919</v>
      </c>
      <c r="BH888" s="40" t="str">
        <f ca="1">IFERROR(__xludf.DUMMYFUNCTION("""COMPUTED_VALUE"""),"FICHA EN TIEMPO-18 MESES")</f>
        <v>FICHA EN TIEMPO-18 MESES</v>
      </c>
      <c r="BI888" s="40" t="str">
        <f ca="1">IFERROR(__xludf.DUMMYFUNCTION("""COMPUTED_VALUE"""),"En ejecucion")</f>
        <v>En ejecucion</v>
      </c>
      <c r="BJ888" s="40" t="str">
        <f ca="1">IFERROR(__xludf.DUMMYFUNCTION("""COMPUTED_VALUE"""),"Yamboro")</f>
        <v>Yamboro</v>
      </c>
      <c r="BK888" s="40"/>
      <c r="BL888" s="40"/>
    </row>
    <row r="889" spans="1:64" ht="13">
      <c r="A889" s="40"/>
      <c r="B889" s="40" t="str">
        <f ca="1">IFERROR(__xludf.DUMMYFUNCTION("""COMPUTED_VALUE"""),"CONDICIONADO 18/10/2022")</f>
        <v>CONDICIONADO 18/10/2022</v>
      </c>
      <c r="C889" s="40" t="str">
        <f ca="1">IFERROR(__xludf.DUMMYFUNCTION("""COMPUTED_VALUE"""),"SEBASTIAN PAREDES LAZARO")</f>
        <v>SEBASTIAN PAREDES LAZARO</v>
      </c>
      <c r="D889" s="40" t="str">
        <f ca="1">IFERROR(__xludf.DUMMYFUNCTION("""COMPUTED_VALUE"""),"CC")</f>
        <v>CC</v>
      </c>
      <c r="E889" s="40">
        <f ca="1">IFERROR(__xludf.DUMMYFUNCTION("""COMPUTED_VALUE"""),1004945181)</f>
        <v>1004945181</v>
      </c>
      <c r="F889" s="40">
        <f ca="1">IFERROR(__xludf.DUMMYFUNCTION("""COMPUTED_VALUE"""),2282025)</f>
        <v>2282025</v>
      </c>
      <c r="G889" s="40" t="str">
        <f ca="1">IFERROR(__xludf.DUMMYFUNCTION("""COMPUTED_VALUE"""),"TECNÓLOGO")</f>
        <v>TECNÓLOGO</v>
      </c>
      <c r="H889" s="40" t="str">
        <f ca="1">IFERROR(__xludf.DUMMYFUNCTION("""COMPUTED_VALUE"""),"PRODUCCION DE MULTIMEDIA")</f>
        <v>PRODUCCION DE MULTIMEDIA</v>
      </c>
      <c r="I889" s="40"/>
      <c r="J889" s="40"/>
      <c r="K889" s="40"/>
      <c r="L889" s="40" t="str">
        <f ca="1">IFERROR(__xludf.DUMMYFUNCTION("""COMPUTED_VALUE"""),"NO HA INICIADO ETAPA PRODUCTIVA")</f>
        <v>NO HA INICIADO ETAPA PRODUCTIVA</v>
      </c>
      <c r="M889" s="40"/>
      <c r="N889" s="40"/>
      <c r="O889" s="40"/>
      <c r="P889" s="40"/>
      <c r="Q889" s="40"/>
      <c r="R889" s="140"/>
      <c r="S889" s="140"/>
      <c r="T889" s="40" t="str">
        <f ca="1">IFERROR(__xludf.DUMMYFUNCTION("""COMPUTED_VALUE"""),"debe 22 resultados... Revisado 15/11/2022")</f>
        <v>debe 22 resultados... Revisado 15/11/2022</v>
      </c>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t="str">
        <f ca="1">IFERROR(__xludf.DUMMYFUNCTION("""COMPUTED_VALUE"""),"NO_CUMPLE")</f>
        <v>NO_CUMPLE</v>
      </c>
      <c r="AV889" s="40" t="str">
        <f ca="1">IFERROR(__xludf.DUMMYFUNCTION("""COMPUTED_VALUE"""),"EN FORMACION")</f>
        <v>EN FORMACION</v>
      </c>
      <c r="AW889" s="40" t="str">
        <f ca="1">IFERROR(__xludf.DUMMYFUNCTION("""COMPUTED_VALUE"""),"TIC")</f>
        <v>TIC</v>
      </c>
      <c r="AX889" s="141">
        <f ca="1">IFERROR(__xludf.DUMMYFUNCTION("""COMPUTED_VALUE"""),6)</f>
        <v>6</v>
      </c>
      <c r="AY889" s="40">
        <f ca="1">IFERROR(__xludf.DUMMYFUNCTION("""COMPUTED_VALUE"""),6)</f>
        <v>6</v>
      </c>
      <c r="AZ889" s="40">
        <f ca="1">IFERROR(__xludf.DUMMYFUNCTION("""COMPUTED_VALUE"""),1)</f>
        <v>1</v>
      </c>
      <c r="BA889" s="40">
        <f ca="1">IFERROR(__xludf.DUMMYFUNCTION("""COMPUTED_VALUE"""),8)</f>
        <v>8</v>
      </c>
      <c r="BB889" s="40">
        <f ca="1">IFERROR(__xludf.DUMMYFUNCTION("""COMPUTED_VALUE"""),8)</f>
        <v>8</v>
      </c>
      <c r="BC889" s="40">
        <f ca="1">IFERROR(__xludf.DUMMYFUNCTION("""COMPUTED_VALUE"""),23)</f>
        <v>23</v>
      </c>
      <c r="BD889" s="141">
        <f ca="1">IFERROR(__xludf.DUMMYFUNCTION("""COMPUTED_VALUE"""),44270)</f>
        <v>44270</v>
      </c>
      <c r="BE889" s="141">
        <f ca="1">IFERROR(__xludf.DUMMYFUNCTION("""COMPUTED_VALUE"""),44818)</f>
        <v>44818</v>
      </c>
      <c r="BF889" s="141">
        <f ca="1">IFERROR(__xludf.DUMMYFUNCTION("""COMPUTED_VALUE"""),44999)</f>
        <v>44999</v>
      </c>
      <c r="BG889" s="141">
        <f ca="1">IFERROR(__xludf.DUMMYFUNCTION("""COMPUTED_VALUE"""),45549)</f>
        <v>45549</v>
      </c>
      <c r="BH889" s="40" t="str">
        <f ca="1">IFERROR(__xludf.DUMMYFUNCTION("""COMPUTED_VALUE"""),"FICHA EN TIEMPO-18 MESES")</f>
        <v>FICHA EN TIEMPO-18 MESES</v>
      </c>
      <c r="BI889" s="40" t="str">
        <f ca="1">IFERROR(__xludf.DUMMYFUNCTION("""COMPUTED_VALUE"""),"En ejecucion")</f>
        <v>En ejecucion</v>
      </c>
      <c r="BJ889" s="40" t="str">
        <f ca="1">IFERROR(__xludf.DUMMYFUNCTION("""COMPUTED_VALUE"""),"Yamboro")</f>
        <v>Yamboro</v>
      </c>
      <c r="BK889" s="40"/>
      <c r="BL889" s="40"/>
    </row>
    <row r="890" spans="1:64" ht="13">
      <c r="A890" s="40"/>
      <c r="B890" s="40" t="str">
        <f ca="1">IFERROR(__xludf.DUMMYFUNCTION("""COMPUTED_VALUE"""),"CONDICIONADO 18/10/2022")</f>
        <v>CONDICIONADO 18/10/2022</v>
      </c>
      <c r="C890" s="40" t="str">
        <f ca="1">IFERROR(__xludf.DUMMYFUNCTION("""COMPUTED_VALUE"""),"PAULA ANDREA LUNA GUTIERREZ")</f>
        <v>PAULA ANDREA LUNA GUTIERREZ</v>
      </c>
      <c r="D890" s="40" t="str">
        <f ca="1">IFERROR(__xludf.DUMMYFUNCTION("""COMPUTED_VALUE"""),"CC")</f>
        <v>CC</v>
      </c>
      <c r="E890" s="40">
        <f ca="1">IFERROR(__xludf.DUMMYFUNCTION("""COMPUTED_VALUE"""),1007369219)</f>
        <v>1007369219</v>
      </c>
      <c r="F890" s="40">
        <f ca="1">IFERROR(__xludf.DUMMYFUNCTION("""COMPUTED_VALUE"""),2282025)</f>
        <v>2282025</v>
      </c>
      <c r="G890" s="40" t="str">
        <f ca="1">IFERROR(__xludf.DUMMYFUNCTION("""COMPUTED_VALUE"""),"TECNÓLOGO")</f>
        <v>TECNÓLOGO</v>
      </c>
      <c r="H890" s="40" t="str">
        <f ca="1">IFERROR(__xludf.DUMMYFUNCTION("""COMPUTED_VALUE"""),"PRODUCCION DE MULTIMEDIA")</f>
        <v>PRODUCCION DE MULTIMEDIA</v>
      </c>
      <c r="I890" s="40">
        <f ca="1">IFERROR(__xludf.DUMMYFUNCTION("""COMPUTED_VALUE"""),3124065704)</f>
        <v>3124065704</v>
      </c>
      <c r="J890" s="40" t="str">
        <f ca="1">IFERROR(__xludf.DUMMYFUNCTION("""COMPUTED_VALUE"""),"ipaaulaa@outlook.com")</f>
        <v>ipaaulaa@outlook.com</v>
      </c>
      <c r="K890" s="40" t="str">
        <f ca="1">IFERROR(__xludf.DUMMYFUNCTION("""COMPUTED_VALUE"""),"BOGOTA ")</f>
        <v xml:space="preserve">BOGOTA </v>
      </c>
      <c r="L890" s="40" t="str">
        <f ca="1">IFERROR(__xludf.DUMMYFUNCTION("""COMPUTED_VALUE"""),"CONTRATO DE APRENDIZAJE ")</f>
        <v xml:space="preserve">CONTRATO DE APRENDIZAJE </v>
      </c>
      <c r="M890" s="40" t="str">
        <f ca="1">IFERROR(__xludf.DUMMYFUNCTION("""COMPUTED_VALUE"""),"MERCK SHARP &amp; DOHME COLOMBIA S.A.S")</f>
        <v>MERCK SHARP &amp; DOHME COLOMBIA S.A.S</v>
      </c>
      <c r="N890" s="40" t="str">
        <f ca="1">IFERROR(__xludf.DUMMYFUNCTION("""COMPUTED_VALUE"""),"Calle 127A #53A-45 Torre 3 - Piso 8 Complejo Empresarial Colpatria")</f>
        <v>Calle 127A #53A-45 Torre 3 - Piso 8 Complejo Empresarial Colpatria</v>
      </c>
      <c r="O890" s="40">
        <f ca="1">IFERROR(__xludf.DUMMYFUNCTION("""COMPUTED_VALUE"""),3163235568)</f>
        <v>3163235568</v>
      </c>
      <c r="P890" s="40" t="str">
        <f ca="1">IFERROR(__xludf.DUMMYFUNCTION("""COMPUTED_VALUE"""),"BOGOTA ")</f>
        <v xml:space="preserve">BOGOTA </v>
      </c>
      <c r="Q890" s="40" t="str">
        <f ca="1">IFERROR(__xludf.DUMMYFUNCTION("""COMPUTED_VALUE"""),"luisa.zea@manpower.com.co")</f>
        <v>luisa.zea@manpower.com.co</v>
      </c>
      <c r="R890" s="140">
        <f ca="1">IFERROR(__xludf.DUMMYFUNCTION("""COMPUTED_VALUE"""),44837)</f>
        <v>44837</v>
      </c>
      <c r="S890" s="140">
        <f ca="1">IFERROR(__xludf.DUMMYFUNCTION("""COMPUTED_VALUE"""),45018)</f>
        <v>45018</v>
      </c>
      <c r="T890" s="40" t="str">
        <f ca="1">IFERROR(__xludf.DUMMYFUNCTION("""COMPUTED_VALUE"""),"debe 3 resultados... Revisado 15/11/2022")</f>
        <v>debe 3 resultados... Revisado 15/11/2022</v>
      </c>
      <c r="U890" s="40"/>
      <c r="V890" s="40" t="s">
        <v>650</v>
      </c>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t="str">
        <f ca="1">IFERROR(__xludf.DUMMYFUNCTION("""COMPUTED_VALUE"""),"NO_CUMPLE")</f>
        <v>NO_CUMPLE</v>
      </c>
      <c r="AV890" s="40" t="str">
        <f ca="1">IFERROR(__xludf.DUMMYFUNCTION("""COMPUTED_VALUE"""),"EN FORMACION")</f>
        <v>EN FORMACION</v>
      </c>
      <c r="AW890" s="40" t="str">
        <f ca="1">IFERROR(__xludf.DUMMYFUNCTION("""COMPUTED_VALUE"""),"TIC")</f>
        <v>TIC</v>
      </c>
      <c r="AX890" s="141">
        <f ca="1">IFERROR(__xludf.DUMMYFUNCTION("""COMPUTED_VALUE"""),0)</f>
        <v>0</v>
      </c>
      <c r="AY890" s="40">
        <f ca="1">IFERROR(__xludf.DUMMYFUNCTION("""COMPUTED_VALUE"""),0)</f>
        <v>0</v>
      </c>
      <c r="AZ890" s="40">
        <f ca="1">IFERROR(__xludf.DUMMYFUNCTION("""COMPUTED_VALUE"""),1)</f>
        <v>1</v>
      </c>
      <c r="BA890" s="40">
        <f ca="1">IFERROR(__xludf.DUMMYFUNCTION("""COMPUTED_VALUE"""),3)</f>
        <v>3</v>
      </c>
      <c r="BB890" s="40">
        <f ca="1">IFERROR(__xludf.DUMMYFUNCTION("""COMPUTED_VALUE"""),0)</f>
        <v>0</v>
      </c>
      <c r="BC890" s="40">
        <f ca="1">IFERROR(__xludf.DUMMYFUNCTION("""COMPUTED_VALUE"""),4)</f>
        <v>4</v>
      </c>
      <c r="BD890" s="141">
        <f ca="1">IFERROR(__xludf.DUMMYFUNCTION("""COMPUTED_VALUE"""),44270)</f>
        <v>44270</v>
      </c>
      <c r="BE890" s="141">
        <f ca="1">IFERROR(__xludf.DUMMYFUNCTION("""COMPUTED_VALUE"""),44818)</f>
        <v>44818</v>
      </c>
      <c r="BF890" s="141">
        <f ca="1">IFERROR(__xludf.DUMMYFUNCTION("""COMPUTED_VALUE"""),44999)</f>
        <v>44999</v>
      </c>
      <c r="BG890" s="141">
        <f ca="1">IFERROR(__xludf.DUMMYFUNCTION("""COMPUTED_VALUE"""),45549)</f>
        <v>45549</v>
      </c>
      <c r="BH890" s="40" t="str">
        <f ca="1">IFERROR(__xludf.DUMMYFUNCTION("""COMPUTED_VALUE"""),"FICHA EN TIEMPO-18 MESES")</f>
        <v>FICHA EN TIEMPO-18 MESES</v>
      </c>
      <c r="BI890" s="40" t="str">
        <f ca="1">IFERROR(__xludf.DUMMYFUNCTION("""COMPUTED_VALUE"""),"En ejecucion")</f>
        <v>En ejecucion</v>
      </c>
      <c r="BJ890" s="40" t="str">
        <f ca="1">IFERROR(__xludf.DUMMYFUNCTION("""COMPUTED_VALUE"""),"Yamboro")</f>
        <v>Yamboro</v>
      </c>
      <c r="BK890" s="40"/>
      <c r="BL890" s="40"/>
    </row>
    <row r="891" spans="1:64" ht="13">
      <c r="A891" s="40"/>
      <c r="B891" s="40" t="str">
        <f ca="1">IFERROR(__xludf.DUMMYFUNCTION("""COMPUTED_VALUE"""),"CONDICIONADO 18/10/2022")</f>
        <v>CONDICIONADO 18/10/2022</v>
      </c>
      <c r="C891" s="40" t="str">
        <f ca="1">IFERROR(__xludf.DUMMYFUNCTION("""COMPUTED_VALUE"""),"FIDEL MAURICIO RIZO GANCINO")</f>
        <v>FIDEL MAURICIO RIZO GANCINO</v>
      </c>
      <c r="D891" s="40" t="str">
        <f ca="1">IFERROR(__xludf.DUMMYFUNCTION("""COMPUTED_VALUE"""),"CC")</f>
        <v>CC</v>
      </c>
      <c r="E891" s="40">
        <f ca="1">IFERROR(__xludf.DUMMYFUNCTION("""COMPUTED_VALUE"""),1020739511)</f>
        <v>1020739511</v>
      </c>
      <c r="F891" s="40">
        <f ca="1">IFERROR(__xludf.DUMMYFUNCTION("""COMPUTED_VALUE"""),2282025)</f>
        <v>2282025</v>
      </c>
      <c r="G891" s="40" t="str">
        <f ca="1">IFERROR(__xludf.DUMMYFUNCTION("""COMPUTED_VALUE"""),"TECNÓLOGO")</f>
        <v>TECNÓLOGO</v>
      </c>
      <c r="H891" s="40" t="str">
        <f ca="1">IFERROR(__xludf.DUMMYFUNCTION("""COMPUTED_VALUE"""),"PRODUCCION DE MULTIMEDIA")</f>
        <v>PRODUCCION DE MULTIMEDIA</v>
      </c>
      <c r="I891" s="40"/>
      <c r="J891" s="40"/>
      <c r="K891" s="40"/>
      <c r="L891" s="40" t="str">
        <f ca="1">IFERROR(__xludf.DUMMYFUNCTION("""COMPUTED_VALUE"""),"NO HA INICIADO ETAPA PRODUCTIVA")</f>
        <v>NO HA INICIADO ETAPA PRODUCTIVA</v>
      </c>
      <c r="M891" s="40"/>
      <c r="N891" s="40"/>
      <c r="O891" s="40"/>
      <c r="P891" s="40"/>
      <c r="Q891" s="40"/>
      <c r="R891" s="140"/>
      <c r="S891" s="140"/>
      <c r="T891" s="40" t="str">
        <f ca="1">IFERROR(__xludf.DUMMYFUNCTION("""COMPUTED_VALUE"""),"debe 5 resultados... Revisado 15/11/2022")</f>
        <v>debe 5 resultados... Revisado 15/11/2022</v>
      </c>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t="str">
        <f ca="1">IFERROR(__xludf.DUMMYFUNCTION("""COMPUTED_VALUE"""),"NO_CUMPLE")</f>
        <v>NO_CUMPLE</v>
      </c>
      <c r="AV891" s="40" t="str">
        <f ca="1">IFERROR(__xludf.DUMMYFUNCTION("""COMPUTED_VALUE"""),"EN FORMACION")</f>
        <v>EN FORMACION</v>
      </c>
      <c r="AW891" s="40" t="str">
        <f ca="1">IFERROR(__xludf.DUMMYFUNCTION("""COMPUTED_VALUE"""),"TIC")</f>
        <v>TIC</v>
      </c>
      <c r="AX891" s="141">
        <f ca="1">IFERROR(__xludf.DUMMYFUNCTION("""COMPUTED_VALUE"""),0)</f>
        <v>0</v>
      </c>
      <c r="AY891" s="40">
        <f ca="1">IFERROR(__xludf.DUMMYFUNCTION("""COMPUTED_VALUE"""),0)</f>
        <v>0</v>
      </c>
      <c r="AZ891" s="40">
        <f ca="1">IFERROR(__xludf.DUMMYFUNCTION("""COMPUTED_VALUE"""),1)</f>
        <v>1</v>
      </c>
      <c r="BA891" s="40">
        <f ca="1">IFERROR(__xludf.DUMMYFUNCTION("""COMPUTED_VALUE"""),5)</f>
        <v>5</v>
      </c>
      <c r="BB891" s="40">
        <f ca="1">IFERROR(__xludf.DUMMYFUNCTION("""COMPUTED_VALUE"""),0)</f>
        <v>0</v>
      </c>
      <c r="BC891" s="40">
        <f ca="1">IFERROR(__xludf.DUMMYFUNCTION("""COMPUTED_VALUE"""),6)</f>
        <v>6</v>
      </c>
      <c r="BD891" s="141">
        <f ca="1">IFERROR(__xludf.DUMMYFUNCTION("""COMPUTED_VALUE"""),44270)</f>
        <v>44270</v>
      </c>
      <c r="BE891" s="141">
        <f ca="1">IFERROR(__xludf.DUMMYFUNCTION("""COMPUTED_VALUE"""),44818)</f>
        <v>44818</v>
      </c>
      <c r="BF891" s="141">
        <f ca="1">IFERROR(__xludf.DUMMYFUNCTION("""COMPUTED_VALUE"""),44999)</f>
        <v>44999</v>
      </c>
      <c r="BG891" s="141">
        <f ca="1">IFERROR(__xludf.DUMMYFUNCTION("""COMPUTED_VALUE"""),45549)</f>
        <v>45549</v>
      </c>
      <c r="BH891" s="40" t="str">
        <f ca="1">IFERROR(__xludf.DUMMYFUNCTION("""COMPUTED_VALUE"""),"FICHA EN TIEMPO-18 MESES")</f>
        <v>FICHA EN TIEMPO-18 MESES</v>
      </c>
      <c r="BI891" s="40" t="str">
        <f ca="1">IFERROR(__xludf.DUMMYFUNCTION("""COMPUTED_VALUE"""),"En ejecucion")</f>
        <v>En ejecucion</v>
      </c>
      <c r="BJ891" s="40" t="str">
        <f ca="1">IFERROR(__xludf.DUMMYFUNCTION("""COMPUTED_VALUE"""),"Yamboro")</f>
        <v>Yamboro</v>
      </c>
      <c r="BK891" s="40"/>
      <c r="BL891" s="40"/>
    </row>
    <row r="892" spans="1:64" ht="13">
      <c r="A892" s="40"/>
      <c r="B892" s="40" t="str">
        <f ca="1">IFERROR(__xludf.DUMMYFUNCTION("""COMPUTED_VALUE"""),"FORMACIÓN 18/10/2022")</f>
        <v>FORMACIÓN 18/10/2022</v>
      </c>
      <c r="C892" s="40" t="str">
        <f ca="1">IFERROR(__xludf.DUMMYFUNCTION("""COMPUTED_VALUE"""),"MARGARETH ISABEL LAYTON CAMACHO")</f>
        <v>MARGARETH ISABEL LAYTON CAMACHO</v>
      </c>
      <c r="D892" s="40" t="str">
        <f ca="1">IFERROR(__xludf.DUMMYFUNCTION("""COMPUTED_VALUE"""),"CC")</f>
        <v>CC</v>
      </c>
      <c r="E892" s="40">
        <f ca="1">IFERROR(__xludf.DUMMYFUNCTION("""COMPUTED_VALUE"""),1032416914)</f>
        <v>1032416914</v>
      </c>
      <c r="F892" s="40">
        <f ca="1">IFERROR(__xludf.DUMMYFUNCTION("""COMPUTED_VALUE"""),2282025)</f>
        <v>2282025</v>
      </c>
      <c r="G892" s="40" t="str">
        <f ca="1">IFERROR(__xludf.DUMMYFUNCTION("""COMPUTED_VALUE"""),"TECNÓLOGO")</f>
        <v>TECNÓLOGO</v>
      </c>
      <c r="H892" s="40" t="str">
        <f ca="1">IFERROR(__xludf.DUMMYFUNCTION("""COMPUTED_VALUE"""),"PRODUCCION DE MULTIMEDIA")</f>
        <v>PRODUCCION DE MULTIMEDIA</v>
      </c>
      <c r="I892" s="40"/>
      <c r="J892" s="40"/>
      <c r="K892" s="40"/>
      <c r="L892" s="40" t="str">
        <f ca="1">IFERROR(__xludf.DUMMYFUNCTION("""COMPUTED_VALUE"""),"NO HA INICIADO ETAPA PRODUCTIVA")</f>
        <v>NO HA INICIADO ETAPA PRODUCTIVA</v>
      </c>
      <c r="M892" s="40"/>
      <c r="N892" s="40"/>
      <c r="O892" s="40"/>
      <c r="P892" s="40"/>
      <c r="Q892" s="40"/>
      <c r="R892" s="140"/>
      <c r="S892" s="1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t="str">
        <f ca="1">IFERROR(__xludf.DUMMYFUNCTION("""COMPUTED_VALUE"""),"Procede_E_P")</f>
        <v>Procede_E_P</v>
      </c>
      <c r="AV892" s="40" t="str">
        <f ca="1">IFERROR(__xludf.DUMMYFUNCTION("""COMPUTED_VALUE"""),"EN FORMACION")</f>
        <v>EN FORMACION</v>
      </c>
      <c r="AW892" s="40" t="str">
        <f ca="1">IFERROR(__xludf.DUMMYFUNCTION("""COMPUTED_VALUE"""),"TIC")</f>
        <v>TIC</v>
      </c>
      <c r="AX892" s="141">
        <f ca="1">IFERROR(__xludf.DUMMYFUNCTION("""COMPUTED_VALUE"""),0)</f>
        <v>0</v>
      </c>
      <c r="AY892" s="40">
        <f ca="1">IFERROR(__xludf.DUMMYFUNCTION("""COMPUTED_VALUE"""),0)</f>
        <v>0</v>
      </c>
      <c r="AZ892" s="40">
        <f ca="1">IFERROR(__xludf.DUMMYFUNCTION("""COMPUTED_VALUE"""),1)</f>
        <v>1</v>
      </c>
      <c r="BA892" s="40">
        <f ca="1">IFERROR(__xludf.DUMMYFUNCTION("""COMPUTED_VALUE"""),0)</f>
        <v>0</v>
      </c>
      <c r="BB892" s="40">
        <f ca="1">IFERROR(__xludf.DUMMYFUNCTION("""COMPUTED_VALUE"""),0)</f>
        <v>0</v>
      </c>
      <c r="BC892" s="40">
        <f ca="1">IFERROR(__xludf.DUMMYFUNCTION("""COMPUTED_VALUE"""),1)</f>
        <v>1</v>
      </c>
      <c r="BD892" s="141">
        <f ca="1">IFERROR(__xludf.DUMMYFUNCTION("""COMPUTED_VALUE"""),44270)</f>
        <v>44270</v>
      </c>
      <c r="BE892" s="141">
        <f ca="1">IFERROR(__xludf.DUMMYFUNCTION("""COMPUTED_VALUE"""),44818)</f>
        <v>44818</v>
      </c>
      <c r="BF892" s="141">
        <f ca="1">IFERROR(__xludf.DUMMYFUNCTION("""COMPUTED_VALUE"""),44999)</f>
        <v>44999</v>
      </c>
      <c r="BG892" s="141">
        <f ca="1">IFERROR(__xludf.DUMMYFUNCTION("""COMPUTED_VALUE"""),45549)</f>
        <v>45549</v>
      </c>
      <c r="BH892" s="40" t="str">
        <f ca="1">IFERROR(__xludf.DUMMYFUNCTION("""COMPUTED_VALUE"""),"FICHA EN TIEMPO-18 MESES")</f>
        <v>FICHA EN TIEMPO-18 MESES</v>
      </c>
      <c r="BI892" s="40" t="str">
        <f ca="1">IFERROR(__xludf.DUMMYFUNCTION("""COMPUTED_VALUE"""),"En ejecucion")</f>
        <v>En ejecucion</v>
      </c>
      <c r="BJ892" s="40" t="str">
        <f ca="1">IFERROR(__xludf.DUMMYFUNCTION("""COMPUTED_VALUE"""),"Yamboro")</f>
        <v>Yamboro</v>
      </c>
      <c r="BK892" s="40"/>
      <c r="BL892" s="40"/>
    </row>
    <row r="893" spans="1:64" ht="13">
      <c r="A893" s="40"/>
      <c r="B893" s="40" t="str">
        <f ca="1">IFERROR(__xludf.DUMMYFUNCTION("""COMPUTED_VALUE"""),"CONDICIONADO 18/10/2022")</f>
        <v>CONDICIONADO 18/10/2022</v>
      </c>
      <c r="C893" s="40" t="str">
        <f ca="1">IFERROR(__xludf.DUMMYFUNCTION("""COMPUTED_VALUE"""),"MARIA FERNADA PIMIENTA CASTRO")</f>
        <v>MARIA FERNADA PIMIENTA CASTRO</v>
      </c>
      <c r="D893" s="40" t="str">
        <f ca="1">IFERROR(__xludf.DUMMYFUNCTION("""COMPUTED_VALUE"""),"CC")</f>
        <v>CC</v>
      </c>
      <c r="E893" s="40">
        <f ca="1">IFERROR(__xludf.DUMMYFUNCTION("""COMPUTED_VALUE"""),1043636359)</f>
        <v>1043636359</v>
      </c>
      <c r="F893" s="40">
        <f ca="1">IFERROR(__xludf.DUMMYFUNCTION("""COMPUTED_VALUE"""),2282025)</f>
        <v>2282025</v>
      </c>
      <c r="G893" s="40" t="str">
        <f ca="1">IFERROR(__xludf.DUMMYFUNCTION("""COMPUTED_VALUE"""),"TECNÓLOGO")</f>
        <v>TECNÓLOGO</v>
      </c>
      <c r="H893" s="40" t="str">
        <f ca="1">IFERROR(__xludf.DUMMYFUNCTION("""COMPUTED_VALUE"""),"PRODUCCION DE MULTIMEDIA")</f>
        <v>PRODUCCION DE MULTIMEDIA</v>
      </c>
      <c r="I893" s="40"/>
      <c r="J893" s="40"/>
      <c r="K893" s="40"/>
      <c r="L893" s="40" t="str">
        <f ca="1">IFERROR(__xludf.DUMMYFUNCTION("""COMPUTED_VALUE"""),"NO HA INICIADO ETAPA PRODUCTIVA")</f>
        <v>NO HA INICIADO ETAPA PRODUCTIVA</v>
      </c>
      <c r="M893" s="40"/>
      <c r="N893" s="40"/>
      <c r="O893" s="40"/>
      <c r="P893" s="40"/>
      <c r="Q893" s="40"/>
      <c r="R893" s="140"/>
      <c r="S893" s="140"/>
      <c r="T893" s="40" t="str">
        <f ca="1">IFERROR(__xludf.DUMMYFUNCTION("""COMPUTED_VALUE"""),"debe 31 resultados... Revisado 15/11/2022")</f>
        <v>debe 31 resultados... Revisado 15/11/2022</v>
      </c>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t="str">
        <f ca="1">IFERROR(__xludf.DUMMYFUNCTION("""COMPUTED_VALUE"""),"NO_CUMPLE")</f>
        <v>NO_CUMPLE</v>
      </c>
      <c r="AV893" s="40" t="str">
        <f ca="1">IFERROR(__xludf.DUMMYFUNCTION("""COMPUTED_VALUE"""),"EN FORMACION")</f>
        <v>EN FORMACION</v>
      </c>
      <c r="AW893" s="40" t="str">
        <f ca="1">IFERROR(__xludf.DUMMYFUNCTION("""COMPUTED_VALUE"""),"TIC")</f>
        <v>TIC</v>
      </c>
      <c r="AX893" s="141">
        <f ca="1">IFERROR(__xludf.DUMMYFUNCTION("""COMPUTED_VALUE"""),6)</f>
        <v>6</v>
      </c>
      <c r="AY893" s="40">
        <f ca="1">IFERROR(__xludf.DUMMYFUNCTION("""COMPUTED_VALUE"""),6)</f>
        <v>6</v>
      </c>
      <c r="AZ893" s="40">
        <f ca="1">IFERROR(__xludf.DUMMYFUNCTION("""COMPUTED_VALUE"""),1)</f>
        <v>1</v>
      </c>
      <c r="BA893" s="40">
        <f ca="1">IFERROR(__xludf.DUMMYFUNCTION("""COMPUTED_VALUE"""),8)</f>
        <v>8</v>
      </c>
      <c r="BB893" s="40">
        <f ca="1">IFERROR(__xludf.DUMMYFUNCTION("""COMPUTED_VALUE"""),17)</f>
        <v>17</v>
      </c>
      <c r="BC893" s="40">
        <f ca="1">IFERROR(__xludf.DUMMYFUNCTION("""COMPUTED_VALUE"""),32)</f>
        <v>32</v>
      </c>
      <c r="BD893" s="141">
        <f ca="1">IFERROR(__xludf.DUMMYFUNCTION("""COMPUTED_VALUE"""),44270)</f>
        <v>44270</v>
      </c>
      <c r="BE893" s="141">
        <f ca="1">IFERROR(__xludf.DUMMYFUNCTION("""COMPUTED_VALUE"""),44818)</f>
        <v>44818</v>
      </c>
      <c r="BF893" s="141">
        <f ca="1">IFERROR(__xludf.DUMMYFUNCTION("""COMPUTED_VALUE"""),44999)</f>
        <v>44999</v>
      </c>
      <c r="BG893" s="141">
        <f ca="1">IFERROR(__xludf.DUMMYFUNCTION("""COMPUTED_VALUE"""),45549)</f>
        <v>45549</v>
      </c>
      <c r="BH893" s="40" t="str">
        <f ca="1">IFERROR(__xludf.DUMMYFUNCTION("""COMPUTED_VALUE"""),"FICHA EN TIEMPO-18 MESES")</f>
        <v>FICHA EN TIEMPO-18 MESES</v>
      </c>
      <c r="BI893" s="40" t="str">
        <f ca="1">IFERROR(__xludf.DUMMYFUNCTION("""COMPUTED_VALUE"""),"En ejecucion")</f>
        <v>En ejecucion</v>
      </c>
      <c r="BJ893" s="40" t="str">
        <f ca="1">IFERROR(__xludf.DUMMYFUNCTION("""COMPUTED_VALUE"""),"Yamboro")</f>
        <v>Yamboro</v>
      </c>
      <c r="BK893" s="40"/>
      <c r="BL893" s="40"/>
    </row>
    <row r="894" spans="1:64" ht="13">
      <c r="A894" s="40"/>
      <c r="B894" s="40" t="str">
        <f ca="1">IFERROR(__xludf.DUMMYFUNCTION("""COMPUTED_VALUE"""),"CONDICIONADO 18/10/2022")</f>
        <v>CONDICIONADO 18/10/2022</v>
      </c>
      <c r="C894" s="40" t="str">
        <f ca="1">IFERROR(__xludf.DUMMYFUNCTION("""COMPUTED_VALUE"""),"RAFAEL ALFONSO RUIZ MOSCOTE")</f>
        <v>RAFAEL ALFONSO RUIZ MOSCOTE</v>
      </c>
      <c r="D894" s="40" t="str">
        <f ca="1">IFERROR(__xludf.DUMMYFUNCTION("""COMPUTED_VALUE"""),"CC")</f>
        <v>CC</v>
      </c>
      <c r="E894" s="40">
        <f ca="1">IFERROR(__xludf.DUMMYFUNCTION("""COMPUTED_VALUE"""),1065645882)</f>
        <v>1065645882</v>
      </c>
      <c r="F894" s="40">
        <f ca="1">IFERROR(__xludf.DUMMYFUNCTION("""COMPUTED_VALUE"""),2282025)</f>
        <v>2282025</v>
      </c>
      <c r="G894" s="40" t="str">
        <f ca="1">IFERROR(__xludf.DUMMYFUNCTION("""COMPUTED_VALUE"""),"TECNÓLOGO")</f>
        <v>TECNÓLOGO</v>
      </c>
      <c r="H894" s="40" t="str">
        <f ca="1">IFERROR(__xludf.DUMMYFUNCTION("""COMPUTED_VALUE"""),"PRODUCCION DE MULTIMEDIA")</f>
        <v>PRODUCCION DE MULTIMEDIA</v>
      </c>
      <c r="I894" s="40"/>
      <c r="J894" s="40"/>
      <c r="K894" s="40"/>
      <c r="L894" s="40" t="str">
        <f ca="1">IFERROR(__xludf.DUMMYFUNCTION("""COMPUTED_VALUE"""),"NO HA INICIADO ETAPA PRODUCTIVA")</f>
        <v>NO HA INICIADO ETAPA PRODUCTIVA</v>
      </c>
      <c r="M894" s="40"/>
      <c r="N894" s="40"/>
      <c r="O894" s="40"/>
      <c r="P894" s="40"/>
      <c r="Q894" s="40"/>
      <c r="R894" s="140"/>
      <c r="S894" s="140"/>
      <c r="T894" s="40" t="str">
        <f ca="1">IFERROR(__xludf.DUMMYFUNCTION("""COMPUTED_VALUE"""),"debe 2 resultados... Revisado 15/11/2022")</f>
        <v>debe 2 resultados... Revisado 15/11/2022</v>
      </c>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t="str">
        <f ca="1">IFERROR(__xludf.DUMMYFUNCTION("""COMPUTED_VALUE"""),"NO_CUMPLE")</f>
        <v>NO_CUMPLE</v>
      </c>
      <c r="AV894" s="40" t="str">
        <f ca="1">IFERROR(__xludf.DUMMYFUNCTION("""COMPUTED_VALUE"""),"EN FORMACION")</f>
        <v>EN FORMACION</v>
      </c>
      <c r="AW894" s="40" t="str">
        <f ca="1">IFERROR(__xludf.DUMMYFUNCTION("""COMPUTED_VALUE"""),"TIC")</f>
        <v>TIC</v>
      </c>
      <c r="AX894" s="141">
        <f ca="1">IFERROR(__xludf.DUMMYFUNCTION("""COMPUTED_VALUE"""),0)</f>
        <v>0</v>
      </c>
      <c r="AY894" s="40">
        <f ca="1">IFERROR(__xludf.DUMMYFUNCTION("""COMPUTED_VALUE"""),0)</f>
        <v>0</v>
      </c>
      <c r="AZ894" s="40">
        <f ca="1">IFERROR(__xludf.DUMMYFUNCTION("""COMPUTED_VALUE"""),1)</f>
        <v>1</v>
      </c>
      <c r="BA894" s="40">
        <f ca="1">IFERROR(__xludf.DUMMYFUNCTION("""COMPUTED_VALUE"""),2)</f>
        <v>2</v>
      </c>
      <c r="BB894" s="40">
        <f ca="1">IFERROR(__xludf.DUMMYFUNCTION("""COMPUTED_VALUE"""),0)</f>
        <v>0</v>
      </c>
      <c r="BC894" s="40">
        <f ca="1">IFERROR(__xludf.DUMMYFUNCTION("""COMPUTED_VALUE"""),3)</f>
        <v>3</v>
      </c>
      <c r="BD894" s="141">
        <f ca="1">IFERROR(__xludf.DUMMYFUNCTION("""COMPUTED_VALUE"""),44270)</f>
        <v>44270</v>
      </c>
      <c r="BE894" s="141">
        <f ca="1">IFERROR(__xludf.DUMMYFUNCTION("""COMPUTED_VALUE"""),44818)</f>
        <v>44818</v>
      </c>
      <c r="BF894" s="141">
        <f ca="1">IFERROR(__xludf.DUMMYFUNCTION("""COMPUTED_VALUE"""),44999)</f>
        <v>44999</v>
      </c>
      <c r="BG894" s="141">
        <f ca="1">IFERROR(__xludf.DUMMYFUNCTION("""COMPUTED_VALUE"""),45549)</f>
        <v>45549</v>
      </c>
      <c r="BH894" s="40" t="str">
        <f ca="1">IFERROR(__xludf.DUMMYFUNCTION("""COMPUTED_VALUE"""),"FICHA EN TIEMPO-18 MESES")</f>
        <v>FICHA EN TIEMPO-18 MESES</v>
      </c>
      <c r="BI894" s="40" t="str">
        <f ca="1">IFERROR(__xludf.DUMMYFUNCTION("""COMPUTED_VALUE"""),"En ejecucion")</f>
        <v>En ejecucion</v>
      </c>
      <c r="BJ894" s="40" t="str">
        <f ca="1">IFERROR(__xludf.DUMMYFUNCTION("""COMPUTED_VALUE"""),"Yamboro")</f>
        <v>Yamboro</v>
      </c>
      <c r="BK894" s="40"/>
      <c r="BL894" s="40"/>
    </row>
    <row r="895" spans="1:64" ht="13">
      <c r="A895" s="40"/>
      <c r="B895" s="40" t="str">
        <f ca="1">IFERROR(__xludf.DUMMYFUNCTION("""COMPUTED_VALUE"""),"FORMACIÓN 18/10/2022")</f>
        <v>FORMACIÓN 18/10/2022</v>
      </c>
      <c r="C895" s="40" t="str">
        <f ca="1">IFERROR(__xludf.DUMMYFUNCTION("""COMPUTED_VALUE"""),"KAREN LORENA BARRERA PAEZ")</f>
        <v>KAREN LORENA BARRERA PAEZ</v>
      </c>
      <c r="D895" s="40" t="str">
        <f ca="1">IFERROR(__xludf.DUMMYFUNCTION("""COMPUTED_VALUE"""),"CC")</f>
        <v>CC</v>
      </c>
      <c r="E895" s="40">
        <f ca="1">IFERROR(__xludf.DUMMYFUNCTION("""COMPUTED_VALUE"""),1069745948)</f>
        <v>1069745948</v>
      </c>
      <c r="F895" s="40">
        <f ca="1">IFERROR(__xludf.DUMMYFUNCTION("""COMPUTED_VALUE"""),2282025)</f>
        <v>2282025</v>
      </c>
      <c r="G895" s="40" t="str">
        <f ca="1">IFERROR(__xludf.DUMMYFUNCTION("""COMPUTED_VALUE"""),"TECNÓLOGO")</f>
        <v>TECNÓLOGO</v>
      </c>
      <c r="H895" s="40" t="str">
        <f ca="1">IFERROR(__xludf.DUMMYFUNCTION("""COMPUTED_VALUE"""),"PRODUCCION DE MULTIMEDIA")</f>
        <v>PRODUCCION DE MULTIMEDIA</v>
      </c>
      <c r="I895" s="40"/>
      <c r="J895" s="40"/>
      <c r="K895" s="40"/>
      <c r="L895" s="40" t="str">
        <f ca="1">IFERROR(__xludf.DUMMYFUNCTION("""COMPUTED_VALUE"""),"NO HA INICIADO ETAPA PRODUCTIVA")</f>
        <v>NO HA INICIADO ETAPA PRODUCTIVA</v>
      </c>
      <c r="M895" s="40"/>
      <c r="N895" s="40"/>
      <c r="O895" s="40"/>
      <c r="P895" s="40"/>
      <c r="Q895" s="40"/>
      <c r="R895" s="140"/>
      <c r="S895" s="1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t="str">
        <f ca="1">IFERROR(__xludf.DUMMYFUNCTION("""COMPUTED_VALUE"""),"Procede_E_P")</f>
        <v>Procede_E_P</v>
      </c>
      <c r="AV895" s="40" t="str">
        <f ca="1">IFERROR(__xludf.DUMMYFUNCTION("""COMPUTED_VALUE"""),"EN FORMACION")</f>
        <v>EN FORMACION</v>
      </c>
      <c r="AW895" s="40" t="str">
        <f ca="1">IFERROR(__xludf.DUMMYFUNCTION("""COMPUTED_VALUE"""),"TIC")</f>
        <v>TIC</v>
      </c>
      <c r="AX895" s="141">
        <f ca="1">IFERROR(__xludf.DUMMYFUNCTION("""COMPUTED_VALUE"""),0)</f>
        <v>0</v>
      </c>
      <c r="AY895" s="40">
        <f ca="1">IFERROR(__xludf.DUMMYFUNCTION("""COMPUTED_VALUE"""),0)</f>
        <v>0</v>
      </c>
      <c r="AZ895" s="40">
        <f ca="1">IFERROR(__xludf.DUMMYFUNCTION("""COMPUTED_VALUE"""),1)</f>
        <v>1</v>
      </c>
      <c r="BA895" s="40">
        <f ca="1">IFERROR(__xludf.DUMMYFUNCTION("""COMPUTED_VALUE"""),0)</f>
        <v>0</v>
      </c>
      <c r="BB895" s="40">
        <f ca="1">IFERROR(__xludf.DUMMYFUNCTION("""COMPUTED_VALUE"""),0)</f>
        <v>0</v>
      </c>
      <c r="BC895" s="40">
        <f ca="1">IFERROR(__xludf.DUMMYFUNCTION("""COMPUTED_VALUE"""),1)</f>
        <v>1</v>
      </c>
      <c r="BD895" s="141">
        <f ca="1">IFERROR(__xludf.DUMMYFUNCTION("""COMPUTED_VALUE"""),44270)</f>
        <v>44270</v>
      </c>
      <c r="BE895" s="141">
        <f ca="1">IFERROR(__xludf.DUMMYFUNCTION("""COMPUTED_VALUE"""),44818)</f>
        <v>44818</v>
      </c>
      <c r="BF895" s="141">
        <f ca="1">IFERROR(__xludf.DUMMYFUNCTION("""COMPUTED_VALUE"""),44999)</f>
        <v>44999</v>
      </c>
      <c r="BG895" s="141">
        <f ca="1">IFERROR(__xludf.DUMMYFUNCTION("""COMPUTED_VALUE"""),45549)</f>
        <v>45549</v>
      </c>
      <c r="BH895" s="40" t="str">
        <f ca="1">IFERROR(__xludf.DUMMYFUNCTION("""COMPUTED_VALUE"""),"FICHA EN TIEMPO-18 MESES")</f>
        <v>FICHA EN TIEMPO-18 MESES</v>
      </c>
      <c r="BI895" s="40" t="str">
        <f ca="1">IFERROR(__xludf.DUMMYFUNCTION("""COMPUTED_VALUE"""),"En ejecucion")</f>
        <v>En ejecucion</v>
      </c>
      <c r="BJ895" s="40" t="str">
        <f ca="1">IFERROR(__xludf.DUMMYFUNCTION("""COMPUTED_VALUE"""),"Yamboro")</f>
        <v>Yamboro</v>
      </c>
      <c r="BK895" s="40"/>
      <c r="BL895" s="40"/>
    </row>
    <row r="896" spans="1:64" ht="13">
      <c r="A896" s="40"/>
      <c r="B896" s="40" t="str">
        <f ca="1">IFERROR(__xludf.DUMMYFUNCTION("""COMPUTED_VALUE"""),"CONDICIONADO 18/10/2022")</f>
        <v>CONDICIONADO 18/10/2022</v>
      </c>
      <c r="C896" s="40" t="str">
        <f ca="1">IFERROR(__xludf.DUMMYFUNCTION("""COMPUTED_VALUE"""),"EDUARDO PEREZ COCA")</f>
        <v>EDUARDO PEREZ COCA</v>
      </c>
      <c r="D896" s="40" t="str">
        <f ca="1">IFERROR(__xludf.DUMMYFUNCTION("""COMPUTED_VALUE"""),"CC")</f>
        <v>CC</v>
      </c>
      <c r="E896" s="40">
        <f ca="1">IFERROR(__xludf.DUMMYFUNCTION("""COMPUTED_VALUE"""),11210957)</f>
        <v>11210957</v>
      </c>
      <c r="F896" s="40">
        <f ca="1">IFERROR(__xludf.DUMMYFUNCTION("""COMPUTED_VALUE"""),2282025)</f>
        <v>2282025</v>
      </c>
      <c r="G896" s="40" t="str">
        <f ca="1">IFERROR(__xludf.DUMMYFUNCTION("""COMPUTED_VALUE"""),"TECNÓLOGO")</f>
        <v>TECNÓLOGO</v>
      </c>
      <c r="H896" s="40" t="str">
        <f ca="1">IFERROR(__xludf.DUMMYFUNCTION("""COMPUTED_VALUE"""),"PRODUCCION DE MULTIMEDIA")</f>
        <v>PRODUCCION DE MULTIMEDIA</v>
      </c>
      <c r="I896" s="40"/>
      <c r="J896" s="40"/>
      <c r="K896" s="40"/>
      <c r="L896" s="40" t="str">
        <f ca="1">IFERROR(__xludf.DUMMYFUNCTION("""COMPUTED_VALUE"""),"NO HA INICIADO ETAPA PRODUCTIVA")</f>
        <v>NO HA INICIADO ETAPA PRODUCTIVA</v>
      </c>
      <c r="M896" s="40"/>
      <c r="N896" s="40"/>
      <c r="O896" s="40"/>
      <c r="P896" s="40"/>
      <c r="Q896" s="40"/>
      <c r="R896" s="140"/>
      <c r="S896" s="140"/>
      <c r="T896" s="40" t="str">
        <f ca="1">IFERROR(__xludf.DUMMYFUNCTION("""COMPUTED_VALUE"""),"debe 37 resultados... Revisado 15/11/2022")</f>
        <v>debe 37 resultados... Revisado 15/11/2022</v>
      </c>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t="str">
        <f ca="1">IFERROR(__xludf.DUMMYFUNCTION("""COMPUTED_VALUE"""),"NO_CUMPLE")</f>
        <v>NO_CUMPLE</v>
      </c>
      <c r="AV896" s="40" t="str">
        <f ca="1">IFERROR(__xludf.DUMMYFUNCTION("""COMPUTED_VALUE"""),"CONDICIONADO")</f>
        <v>CONDICIONADO</v>
      </c>
      <c r="AW896" s="40" t="str">
        <f ca="1">IFERROR(__xludf.DUMMYFUNCTION("""COMPUTED_VALUE"""),"TIC")</f>
        <v>TIC</v>
      </c>
      <c r="AX896" s="141">
        <f ca="1">IFERROR(__xludf.DUMMYFUNCTION("""COMPUTED_VALUE"""),6)</f>
        <v>6</v>
      </c>
      <c r="AY896" s="40">
        <f ca="1">IFERROR(__xludf.DUMMYFUNCTION("""COMPUTED_VALUE"""),6)</f>
        <v>6</v>
      </c>
      <c r="AZ896" s="40">
        <f ca="1">IFERROR(__xludf.DUMMYFUNCTION("""COMPUTED_VALUE"""),1)</f>
        <v>1</v>
      </c>
      <c r="BA896" s="40">
        <f ca="1">IFERROR(__xludf.DUMMYFUNCTION("""COMPUTED_VALUE"""),10)</f>
        <v>10</v>
      </c>
      <c r="BB896" s="40">
        <f ca="1">IFERROR(__xludf.DUMMYFUNCTION("""COMPUTED_VALUE"""),21)</f>
        <v>21</v>
      </c>
      <c r="BC896" s="40">
        <f ca="1">IFERROR(__xludf.DUMMYFUNCTION("""COMPUTED_VALUE"""),38)</f>
        <v>38</v>
      </c>
      <c r="BD896" s="141">
        <f ca="1">IFERROR(__xludf.DUMMYFUNCTION("""COMPUTED_VALUE"""),44270)</f>
        <v>44270</v>
      </c>
      <c r="BE896" s="141">
        <f ca="1">IFERROR(__xludf.DUMMYFUNCTION("""COMPUTED_VALUE"""),44818)</f>
        <v>44818</v>
      </c>
      <c r="BF896" s="141">
        <f ca="1">IFERROR(__xludf.DUMMYFUNCTION("""COMPUTED_VALUE"""),44999)</f>
        <v>44999</v>
      </c>
      <c r="BG896" s="141">
        <f ca="1">IFERROR(__xludf.DUMMYFUNCTION("""COMPUTED_VALUE"""),45549)</f>
        <v>45549</v>
      </c>
      <c r="BH896" s="40" t="str">
        <f ca="1">IFERROR(__xludf.DUMMYFUNCTION("""COMPUTED_VALUE"""),"FICHA EN TIEMPO-18 MESES")</f>
        <v>FICHA EN TIEMPO-18 MESES</v>
      </c>
      <c r="BI896" s="40" t="str">
        <f ca="1">IFERROR(__xludf.DUMMYFUNCTION("""COMPUTED_VALUE"""),"En ejecucion")</f>
        <v>En ejecucion</v>
      </c>
      <c r="BJ896" s="40" t="str">
        <f ca="1">IFERROR(__xludf.DUMMYFUNCTION("""COMPUTED_VALUE"""),"Yamboro")</f>
        <v>Yamboro</v>
      </c>
      <c r="BK896" s="40"/>
      <c r="BL896" s="40"/>
    </row>
    <row r="897" spans="1:64" ht="13">
      <c r="A897" s="40"/>
      <c r="B897" s="40" t="str">
        <f ca="1">IFERROR(__xludf.DUMMYFUNCTION("""COMPUTED_VALUE"""),"FORMACIÓN 18/10/2022")</f>
        <v>FORMACIÓN 18/10/2022</v>
      </c>
      <c r="C897" s="40" t="str">
        <f ca="1">IFERROR(__xludf.DUMMYFUNCTION("""COMPUTED_VALUE"""),"DAVID VALENCIA NARANJO")</f>
        <v>DAVID VALENCIA NARANJO</v>
      </c>
      <c r="D897" s="40" t="str">
        <f ca="1">IFERROR(__xludf.DUMMYFUNCTION("""COMPUTED_VALUE"""),"CC")</f>
        <v>CC</v>
      </c>
      <c r="E897" s="40">
        <f ca="1">IFERROR(__xludf.DUMMYFUNCTION("""COMPUTED_VALUE"""),1152456609)</f>
        <v>1152456609</v>
      </c>
      <c r="F897" s="40">
        <f ca="1">IFERROR(__xludf.DUMMYFUNCTION("""COMPUTED_VALUE"""),2282025)</f>
        <v>2282025</v>
      </c>
      <c r="G897" s="40" t="str">
        <f ca="1">IFERROR(__xludf.DUMMYFUNCTION("""COMPUTED_VALUE"""),"TECNÓLOGO")</f>
        <v>TECNÓLOGO</v>
      </c>
      <c r="H897" s="40" t="str">
        <f ca="1">IFERROR(__xludf.DUMMYFUNCTION("""COMPUTED_VALUE"""),"PRODUCCION DE MULTIMEDIA")</f>
        <v>PRODUCCION DE MULTIMEDIA</v>
      </c>
      <c r="I897" s="40"/>
      <c r="J897" s="40"/>
      <c r="K897" s="40"/>
      <c r="L897" s="40" t="str">
        <f ca="1">IFERROR(__xludf.DUMMYFUNCTION("""COMPUTED_VALUE"""),"NO HA INICIADO ETAPA PRODUCTIVA")</f>
        <v>NO HA INICIADO ETAPA PRODUCTIVA</v>
      </c>
      <c r="M897" s="40"/>
      <c r="N897" s="40"/>
      <c r="O897" s="40"/>
      <c r="P897" s="40"/>
      <c r="Q897" s="40"/>
      <c r="R897" s="140"/>
      <c r="S897" s="1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t="str">
        <f ca="1">IFERROR(__xludf.DUMMYFUNCTION("""COMPUTED_VALUE"""),"Procede_E_P")</f>
        <v>Procede_E_P</v>
      </c>
      <c r="AV897" s="40" t="str">
        <f ca="1">IFERROR(__xludf.DUMMYFUNCTION("""COMPUTED_VALUE"""),"EN FORMACION")</f>
        <v>EN FORMACION</v>
      </c>
      <c r="AW897" s="40" t="str">
        <f ca="1">IFERROR(__xludf.DUMMYFUNCTION("""COMPUTED_VALUE"""),"TIC")</f>
        <v>TIC</v>
      </c>
      <c r="AX897" s="141">
        <f ca="1">IFERROR(__xludf.DUMMYFUNCTION("""COMPUTED_VALUE"""),0)</f>
        <v>0</v>
      </c>
      <c r="AY897" s="40">
        <f ca="1">IFERROR(__xludf.DUMMYFUNCTION("""COMPUTED_VALUE"""),0)</f>
        <v>0</v>
      </c>
      <c r="AZ897" s="40">
        <f ca="1">IFERROR(__xludf.DUMMYFUNCTION("""COMPUTED_VALUE"""),1)</f>
        <v>1</v>
      </c>
      <c r="BA897" s="40">
        <f ca="1">IFERROR(__xludf.DUMMYFUNCTION("""COMPUTED_VALUE"""),0)</f>
        <v>0</v>
      </c>
      <c r="BB897" s="40">
        <f ca="1">IFERROR(__xludf.DUMMYFUNCTION("""COMPUTED_VALUE"""),0)</f>
        <v>0</v>
      </c>
      <c r="BC897" s="40">
        <f ca="1">IFERROR(__xludf.DUMMYFUNCTION("""COMPUTED_VALUE"""),1)</f>
        <v>1</v>
      </c>
      <c r="BD897" s="141">
        <f ca="1">IFERROR(__xludf.DUMMYFUNCTION("""COMPUTED_VALUE"""),44270)</f>
        <v>44270</v>
      </c>
      <c r="BE897" s="141">
        <f ca="1">IFERROR(__xludf.DUMMYFUNCTION("""COMPUTED_VALUE"""),44818)</f>
        <v>44818</v>
      </c>
      <c r="BF897" s="141">
        <f ca="1">IFERROR(__xludf.DUMMYFUNCTION("""COMPUTED_VALUE"""),44999)</f>
        <v>44999</v>
      </c>
      <c r="BG897" s="141">
        <f ca="1">IFERROR(__xludf.DUMMYFUNCTION("""COMPUTED_VALUE"""),45549)</f>
        <v>45549</v>
      </c>
      <c r="BH897" s="40" t="str">
        <f ca="1">IFERROR(__xludf.DUMMYFUNCTION("""COMPUTED_VALUE"""),"FICHA EN TIEMPO-18 MESES")</f>
        <v>FICHA EN TIEMPO-18 MESES</v>
      </c>
      <c r="BI897" s="40" t="str">
        <f ca="1">IFERROR(__xludf.DUMMYFUNCTION("""COMPUTED_VALUE"""),"En ejecucion")</f>
        <v>En ejecucion</v>
      </c>
      <c r="BJ897" s="40" t="str">
        <f ca="1">IFERROR(__xludf.DUMMYFUNCTION("""COMPUTED_VALUE"""),"Yamboro")</f>
        <v>Yamboro</v>
      </c>
      <c r="BK897" s="40"/>
      <c r="BL897" s="40"/>
    </row>
    <row r="898" spans="1:64" ht="13">
      <c r="A898" s="40"/>
      <c r="B898" s="40" t="str">
        <f ca="1">IFERROR(__xludf.DUMMYFUNCTION("""COMPUTED_VALUE"""),"FORMACIÓN 18/10/2022")</f>
        <v>FORMACIÓN 18/10/2022</v>
      </c>
      <c r="C898" s="40" t="str">
        <f ca="1">IFERROR(__xludf.DUMMYFUNCTION("""COMPUTED_VALUE"""),"OSCAR ANDRES VILLAMIL JIMENEZ")</f>
        <v>OSCAR ANDRES VILLAMIL JIMENEZ</v>
      </c>
      <c r="D898" s="40" t="str">
        <f ca="1">IFERROR(__xludf.DUMMYFUNCTION("""COMPUTED_VALUE"""),"CC")</f>
        <v>CC</v>
      </c>
      <c r="E898" s="40">
        <f ca="1">IFERROR(__xludf.DUMMYFUNCTION("""COMPUTED_VALUE"""),75098924)</f>
        <v>75098924</v>
      </c>
      <c r="F898" s="40">
        <f ca="1">IFERROR(__xludf.DUMMYFUNCTION("""COMPUTED_VALUE"""),2282025)</f>
        <v>2282025</v>
      </c>
      <c r="G898" s="40" t="str">
        <f ca="1">IFERROR(__xludf.DUMMYFUNCTION("""COMPUTED_VALUE"""),"TECNÓLOGO")</f>
        <v>TECNÓLOGO</v>
      </c>
      <c r="H898" s="40" t="str">
        <f ca="1">IFERROR(__xludf.DUMMYFUNCTION("""COMPUTED_VALUE"""),"PRODUCCION DE MULTIMEDIA")</f>
        <v>PRODUCCION DE MULTIMEDIA</v>
      </c>
      <c r="I898" s="40"/>
      <c r="J898" s="40"/>
      <c r="K898" s="40"/>
      <c r="L898" s="40" t="str">
        <f ca="1">IFERROR(__xludf.DUMMYFUNCTION("""COMPUTED_VALUE"""),"NO HA INICIADO ETAPA PRODUCTIVA")</f>
        <v>NO HA INICIADO ETAPA PRODUCTIVA</v>
      </c>
      <c r="M898" s="40"/>
      <c r="N898" s="40"/>
      <c r="O898" s="40"/>
      <c r="P898" s="40"/>
      <c r="Q898" s="40"/>
      <c r="R898" s="140"/>
      <c r="S898" s="1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t="str">
        <f ca="1">IFERROR(__xludf.DUMMYFUNCTION("""COMPUTED_VALUE"""),"Procede_E_P")</f>
        <v>Procede_E_P</v>
      </c>
      <c r="AV898" s="40" t="str">
        <f ca="1">IFERROR(__xludf.DUMMYFUNCTION("""COMPUTED_VALUE"""),"EN FORMACION")</f>
        <v>EN FORMACION</v>
      </c>
      <c r="AW898" s="40" t="str">
        <f ca="1">IFERROR(__xludf.DUMMYFUNCTION("""COMPUTED_VALUE"""),"TIC")</f>
        <v>TIC</v>
      </c>
      <c r="AX898" s="141">
        <f ca="1">IFERROR(__xludf.DUMMYFUNCTION("""COMPUTED_VALUE"""),0)</f>
        <v>0</v>
      </c>
      <c r="AY898" s="40">
        <f ca="1">IFERROR(__xludf.DUMMYFUNCTION("""COMPUTED_VALUE"""),0)</f>
        <v>0</v>
      </c>
      <c r="AZ898" s="40">
        <f ca="1">IFERROR(__xludf.DUMMYFUNCTION("""COMPUTED_VALUE"""),1)</f>
        <v>1</v>
      </c>
      <c r="BA898" s="40">
        <f ca="1">IFERROR(__xludf.DUMMYFUNCTION("""COMPUTED_VALUE"""),0)</f>
        <v>0</v>
      </c>
      <c r="BB898" s="40">
        <f ca="1">IFERROR(__xludf.DUMMYFUNCTION("""COMPUTED_VALUE"""),0)</f>
        <v>0</v>
      </c>
      <c r="BC898" s="40">
        <f ca="1">IFERROR(__xludf.DUMMYFUNCTION("""COMPUTED_VALUE"""),1)</f>
        <v>1</v>
      </c>
      <c r="BD898" s="141">
        <f ca="1">IFERROR(__xludf.DUMMYFUNCTION("""COMPUTED_VALUE"""),44270)</f>
        <v>44270</v>
      </c>
      <c r="BE898" s="141">
        <f ca="1">IFERROR(__xludf.DUMMYFUNCTION("""COMPUTED_VALUE"""),44818)</f>
        <v>44818</v>
      </c>
      <c r="BF898" s="141">
        <f ca="1">IFERROR(__xludf.DUMMYFUNCTION("""COMPUTED_VALUE"""),44999)</f>
        <v>44999</v>
      </c>
      <c r="BG898" s="141">
        <f ca="1">IFERROR(__xludf.DUMMYFUNCTION("""COMPUTED_VALUE"""),45549)</f>
        <v>45549</v>
      </c>
      <c r="BH898" s="40" t="str">
        <f ca="1">IFERROR(__xludf.DUMMYFUNCTION("""COMPUTED_VALUE"""),"FICHA EN TIEMPO-18 MESES")</f>
        <v>FICHA EN TIEMPO-18 MESES</v>
      </c>
      <c r="BI898" s="40" t="str">
        <f ca="1">IFERROR(__xludf.DUMMYFUNCTION("""COMPUTED_VALUE"""),"En ejecucion")</f>
        <v>En ejecucion</v>
      </c>
      <c r="BJ898" s="40" t="str">
        <f ca="1">IFERROR(__xludf.DUMMYFUNCTION("""COMPUTED_VALUE"""),"Yamboro")</f>
        <v>Yamboro</v>
      </c>
      <c r="BK898" s="40"/>
      <c r="BL898" s="40"/>
    </row>
    <row r="899" spans="1:64" ht="13">
      <c r="A899" s="40"/>
      <c r="B899" s="40" t="str">
        <f ca="1">IFERROR(__xludf.DUMMYFUNCTION("""COMPUTED_VALUE"""),"FORMACIÓN 18/10/2022")</f>
        <v>FORMACIÓN 18/10/2022</v>
      </c>
      <c r="C899" s="40" t="str">
        <f ca="1">IFERROR(__xludf.DUMMYFUNCTION("""COMPUTED_VALUE"""),"MILLER OSWALDO PUPIALES MADROÑERO")</f>
        <v>MILLER OSWALDO PUPIALES MADROÑERO</v>
      </c>
      <c r="D899" s="40" t="str">
        <f ca="1">IFERROR(__xludf.DUMMYFUNCTION("""COMPUTED_VALUE"""),"CC")</f>
        <v>CC</v>
      </c>
      <c r="E899" s="40">
        <f ca="1">IFERROR(__xludf.DUMMYFUNCTION("""COMPUTED_VALUE"""),76044005)</f>
        <v>76044005</v>
      </c>
      <c r="F899" s="40">
        <f ca="1">IFERROR(__xludf.DUMMYFUNCTION("""COMPUTED_VALUE"""),2282025)</f>
        <v>2282025</v>
      </c>
      <c r="G899" s="40" t="str">
        <f ca="1">IFERROR(__xludf.DUMMYFUNCTION("""COMPUTED_VALUE"""),"TECNÓLOGO")</f>
        <v>TECNÓLOGO</v>
      </c>
      <c r="H899" s="40" t="str">
        <f ca="1">IFERROR(__xludf.DUMMYFUNCTION("""COMPUTED_VALUE"""),"PRODUCCION DE MULTIMEDIA")</f>
        <v>PRODUCCION DE MULTIMEDIA</v>
      </c>
      <c r="I899" s="40"/>
      <c r="J899" s="40"/>
      <c r="K899" s="40"/>
      <c r="L899" s="40" t="str">
        <f ca="1">IFERROR(__xludf.DUMMYFUNCTION("""COMPUTED_VALUE"""),"NO HA INICIADO ETAPA PRODUCTIVA")</f>
        <v>NO HA INICIADO ETAPA PRODUCTIVA</v>
      </c>
      <c r="M899" s="40"/>
      <c r="N899" s="40"/>
      <c r="O899" s="40"/>
      <c r="P899" s="40"/>
      <c r="Q899" s="40"/>
      <c r="R899" s="140"/>
      <c r="S899" s="1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t="str">
        <f ca="1">IFERROR(__xludf.DUMMYFUNCTION("""COMPUTED_VALUE"""),"Procede_E_P")</f>
        <v>Procede_E_P</v>
      </c>
      <c r="AV899" s="40" t="str">
        <f ca="1">IFERROR(__xludf.DUMMYFUNCTION("""COMPUTED_VALUE"""),"EN FORMACION")</f>
        <v>EN FORMACION</v>
      </c>
      <c r="AW899" s="40" t="str">
        <f ca="1">IFERROR(__xludf.DUMMYFUNCTION("""COMPUTED_VALUE"""),"TIC")</f>
        <v>TIC</v>
      </c>
      <c r="AX899" s="141">
        <f ca="1">IFERROR(__xludf.DUMMYFUNCTION("""COMPUTED_VALUE"""),0)</f>
        <v>0</v>
      </c>
      <c r="AY899" s="40">
        <f ca="1">IFERROR(__xludf.DUMMYFUNCTION("""COMPUTED_VALUE"""),0)</f>
        <v>0</v>
      </c>
      <c r="AZ899" s="40">
        <f ca="1">IFERROR(__xludf.DUMMYFUNCTION("""COMPUTED_VALUE"""),1)</f>
        <v>1</v>
      </c>
      <c r="BA899" s="40">
        <f ca="1">IFERROR(__xludf.DUMMYFUNCTION("""COMPUTED_VALUE"""),0)</f>
        <v>0</v>
      </c>
      <c r="BB899" s="40">
        <f ca="1">IFERROR(__xludf.DUMMYFUNCTION("""COMPUTED_VALUE"""),0)</f>
        <v>0</v>
      </c>
      <c r="BC899" s="40">
        <f ca="1">IFERROR(__xludf.DUMMYFUNCTION("""COMPUTED_VALUE"""),1)</f>
        <v>1</v>
      </c>
      <c r="BD899" s="141">
        <f ca="1">IFERROR(__xludf.DUMMYFUNCTION("""COMPUTED_VALUE"""),44270)</f>
        <v>44270</v>
      </c>
      <c r="BE899" s="141">
        <f ca="1">IFERROR(__xludf.DUMMYFUNCTION("""COMPUTED_VALUE"""),44818)</f>
        <v>44818</v>
      </c>
      <c r="BF899" s="141">
        <f ca="1">IFERROR(__xludf.DUMMYFUNCTION("""COMPUTED_VALUE"""),44999)</f>
        <v>44999</v>
      </c>
      <c r="BG899" s="141">
        <f ca="1">IFERROR(__xludf.DUMMYFUNCTION("""COMPUTED_VALUE"""),45549)</f>
        <v>45549</v>
      </c>
      <c r="BH899" s="40" t="str">
        <f ca="1">IFERROR(__xludf.DUMMYFUNCTION("""COMPUTED_VALUE"""),"FICHA EN TIEMPO-18 MESES")</f>
        <v>FICHA EN TIEMPO-18 MESES</v>
      </c>
      <c r="BI899" s="40" t="str">
        <f ca="1">IFERROR(__xludf.DUMMYFUNCTION("""COMPUTED_VALUE"""),"En ejecucion")</f>
        <v>En ejecucion</v>
      </c>
      <c r="BJ899" s="40" t="str">
        <f ca="1">IFERROR(__xludf.DUMMYFUNCTION("""COMPUTED_VALUE"""),"Yamboro")</f>
        <v>Yamboro</v>
      </c>
      <c r="BK899" s="40"/>
      <c r="BL899" s="40"/>
    </row>
    <row r="900" spans="1:64" ht="13">
      <c r="A900" s="40"/>
      <c r="B900" s="40" t="str">
        <f ca="1">IFERROR(__xludf.DUMMYFUNCTION("""COMPUTED_VALUE"""),"FORMACIÓN 18/10/2022")</f>
        <v>FORMACIÓN 18/10/2022</v>
      </c>
      <c r="C900" s="40" t="str">
        <f ca="1">IFERROR(__xludf.DUMMYFUNCTION("""COMPUTED_VALUE"""),"JOSE MIGUEL MACA NAVIA")</f>
        <v>JOSE MIGUEL MACA NAVIA</v>
      </c>
      <c r="D900" s="40" t="str">
        <f ca="1">IFERROR(__xludf.DUMMYFUNCTION("""COMPUTED_VALUE"""),"CC")</f>
        <v>CC</v>
      </c>
      <c r="E900" s="40">
        <f ca="1">IFERROR(__xludf.DUMMYFUNCTION("""COMPUTED_VALUE"""),76333117)</f>
        <v>76333117</v>
      </c>
      <c r="F900" s="40">
        <f ca="1">IFERROR(__xludf.DUMMYFUNCTION("""COMPUTED_VALUE"""),2282025)</f>
        <v>2282025</v>
      </c>
      <c r="G900" s="40" t="str">
        <f ca="1">IFERROR(__xludf.DUMMYFUNCTION("""COMPUTED_VALUE"""),"TECNÓLOGO")</f>
        <v>TECNÓLOGO</v>
      </c>
      <c r="H900" s="40" t="str">
        <f ca="1">IFERROR(__xludf.DUMMYFUNCTION("""COMPUTED_VALUE"""),"PRODUCCION DE MULTIMEDIA")</f>
        <v>PRODUCCION DE MULTIMEDIA</v>
      </c>
      <c r="I900" s="40"/>
      <c r="J900" s="40"/>
      <c r="K900" s="40"/>
      <c r="L900" s="40" t="str">
        <f ca="1">IFERROR(__xludf.DUMMYFUNCTION("""COMPUTED_VALUE"""),"NO HA INICIADO ETAPA PRODUCTIVA")</f>
        <v>NO HA INICIADO ETAPA PRODUCTIVA</v>
      </c>
      <c r="M900" s="40"/>
      <c r="N900" s="40"/>
      <c r="O900" s="40"/>
      <c r="P900" s="40"/>
      <c r="Q900" s="40"/>
      <c r="R900" s="140"/>
      <c r="S900" s="1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t="str">
        <f ca="1">IFERROR(__xludf.DUMMYFUNCTION("""COMPUTED_VALUE"""),"Procede_E_P")</f>
        <v>Procede_E_P</v>
      </c>
      <c r="AV900" s="40" t="str">
        <f ca="1">IFERROR(__xludf.DUMMYFUNCTION("""COMPUTED_VALUE"""),"EN FORMACION")</f>
        <v>EN FORMACION</v>
      </c>
      <c r="AW900" s="40" t="str">
        <f ca="1">IFERROR(__xludf.DUMMYFUNCTION("""COMPUTED_VALUE"""),"TIC")</f>
        <v>TIC</v>
      </c>
      <c r="AX900" s="141">
        <f ca="1">IFERROR(__xludf.DUMMYFUNCTION("""COMPUTED_VALUE"""),0)</f>
        <v>0</v>
      </c>
      <c r="AY900" s="40">
        <f ca="1">IFERROR(__xludf.DUMMYFUNCTION("""COMPUTED_VALUE"""),0)</f>
        <v>0</v>
      </c>
      <c r="AZ900" s="40">
        <f ca="1">IFERROR(__xludf.DUMMYFUNCTION("""COMPUTED_VALUE"""),1)</f>
        <v>1</v>
      </c>
      <c r="BA900" s="40">
        <f ca="1">IFERROR(__xludf.DUMMYFUNCTION("""COMPUTED_VALUE"""),0)</f>
        <v>0</v>
      </c>
      <c r="BB900" s="40">
        <f ca="1">IFERROR(__xludf.DUMMYFUNCTION("""COMPUTED_VALUE"""),0)</f>
        <v>0</v>
      </c>
      <c r="BC900" s="40">
        <f ca="1">IFERROR(__xludf.DUMMYFUNCTION("""COMPUTED_VALUE"""),1)</f>
        <v>1</v>
      </c>
      <c r="BD900" s="141">
        <f ca="1">IFERROR(__xludf.DUMMYFUNCTION("""COMPUTED_VALUE"""),44270)</f>
        <v>44270</v>
      </c>
      <c r="BE900" s="141">
        <f ca="1">IFERROR(__xludf.DUMMYFUNCTION("""COMPUTED_VALUE"""),44818)</f>
        <v>44818</v>
      </c>
      <c r="BF900" s="141">
        <f ca="1">IFERROR(__xludf.DUMMYFUNCTION("""COMPUTED_VALUE"""),44999)</f>
        <v>44999</v>
      </c>
      <c r="BG900" s="141">
        <f ca="1">IFERROR(__xludf.DUMMYFUNCTION("""COMPUTED_VALUE"""),45549)</f>
        <v>45549</v>
      </c>
      <c r="BH900" s="40" t="str">
        <f ca="1">IFERROR(__xludf.DUMMYFUNCTION("""COMPUTED_VALUE"""),"FICHA EN TIEMPO-18 MESES")</f>
        <v>FICHA EN TIEMPO-18 MESES</v>
      </c>
      <c r="BI900" s="40" t="str">
        <f ca="1">IFERROR(__xludf.DUMMYFUNCTION("""COMPUTED_VALUE"""),"En ejecucion")</f>
        <v>En ejecucion</v>
      </c>
      <c r="BJ900" s="40" t="str">
        <f ca="1">IFERROR(__xludf.DUMMYFUNCTION("""COMPUTED_VALUE"""),"Yamboro")</f>
        <v>Yamboro</v>
      </c>
      <c r="BK900" s="40"/>
      <c r="BL900" s="40"/>
    </row>
    <row r="901" spans="1:64" ht="13">
      <c r="A901" s="40"/>
      <c r="B901" s="40" t="str">
        <f ca="1">IFERROR(__xludf.DUMMYFUNCTION("""COMPUTED_VALUE"""),"CONDICIONADO 18/10/2022")</f>
        <v>CONDICIONADO 18/10/2022</v>
      </c>
      <c r="C901" s="40" t="str">
        <f ca="1">IFERROR(__xludf.DUMMYFUNCTION("""COMPUTED_VALUE"""),"CHRISTIAN CAMILO CALLEJAS PULIDO")</f>
        <v>CHRISTIAN CAMILO CALLEJAS PULIDO</v>
      </c>
      <c r="D901" s="40" t="str">
        <f ca="1">IFERROR(__xludf.DUMMYFUNCTION("""COMPUTED_VALUE"""),"CC")</f>
        <v>CC</v>
      </c>
      <c r="E901" s="40">
        <f ca="1">IFERROR(__xludf.DUMMYFUNCTION("""COMPUTED_VALUE"""),80832101)</f>
        <v>80832101</v>
      </c>
      <c r="F901" s="40">
        <f ca="1">IFERROR(__xludf.DUMMYFUNCTION("""COMPUTED_VALUE"""),2282025)</f>
        <v>2282025</v>
      </c>
      <c r="G901" s="40" t="str">
        <f ca="1">IFERROR(__xludf.DUMMYFUNCTION("""COMPUTED_VALUE"""),"TECNÓLOGO")</f>
        <v>TECNÓLOGO</v>
      </c>
      <c r="H901" s="40" t="str">
        <f ca="1">IFERROR(__xludf.DUMMYFUNCTION("""COMPUTED_VALUE"""),"PRODUCCION DE MULTIMEDIA")</f>
        <v>PRODUCCION DE MULTIMEDIA</v>
      </c>
      <c r="I901" s="40"/>
      <c r="J901" s="40"/>
      <c r="K901" s="40"/>
      <c r="L901" s="40" t="str">
        <f ca="1">IFERROR(__xludf.DUMMYFUNCTION("""COMPUTED_VALUE"""),"NO HA INICIADO ETAPA PRODUCTIVA")</f>
        <v>NO HA INICIADO ETAPA PRODUCTIVA</v>
      </c>
      <c r="M901" s="40"/>
      <c r="N901" s="40"/>
      <c r="O901" s="40"/>
      <c r="P901" s="40"/>
      <c r="Q901" s="40"/>
      <c r="R901" s="140"/>
      <c r="S901" s="140"/>
      <c r="T901" s="40" t="str">
        <f ca="1">IFERROR(__xludf.DUMMYFUNCTION("""COMPUTED_VALUE"""),"debe 11 resultados... Revisado 15/11/2022")</f>
        <v>debe 11 resultados... Revisado 15/11/2022</v>
      </c>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t="str">
        <f ca="1">IFERROR(__xludf.DUMMYFUNCTION("""COMPUTED_VALUE"""),"NO_CUMPLE")</f>
        <v>NO_CUMPLE</v>
      </c>
      <c r="AV901" s="40" t="str">
        <f ca="1">IFERROR(__xludf.DUMMYFUNCTION("""COMPUTED_VALUE"""),"CONDICIONADO")</f>
        <v>CONDICIONADO</v>
      </c>
      <c r="AW901" s="40" t="str">
        <f ca="1">IFERROR(__xludf.DUMMYFUNCTION("""COMPUTED_VALUE"""),"TIC")</f>
        <v>TIC</v>
      </c>
      <c r="AX901" s="141">
        <f ca="1">IFERROR(__xludf.DUMMYFUNCTION("""COMPUTED_VALUE"""),2)</f>
        <v>2</v>
      </c>
      <c r="AY901" s="40">
        <f ca="1">IFERROR(__xludf.DUMMYFUNCTION("""COMPUTED_VALUE"""),2)</f>
        <v>2</v>
      </c>
      <c r="AZ901" s="40">
        <f ca="1">IFERROR(__xludf.DUMMYFUNCTION("""COMPUTED_VALUE"""),1)</f>
        <v>1</v>
      </c>
      <c r="BA901" s="40">
        <f ca="1">IFERROR(__xludf.DUMMYFUNCTION("""COMPUTED_VALUE"""),0)</f>
        <v>0</v>
      </c>
      <c r="BB901" s="40">
        <f ca="1">IFERROR(__xludf.DUMMYFUNCTION("""COMPUTED_VALUE"""),9)</f>
        <v>9</v>
      </c>
      <c r="BC901" s="40">
        <f ca="1">IFERROR(__xludf.DUMMYFUNCTION("""COMPUTED_VALUE"""),12)</f>
        <v>12</v>
      </c>
      <c r="BD901" s="141">
        <f ca="1">IFERROR(__xludf.DUMMYFUNCTION("""COMPUTED_VALUE"""),44270)</f>
        <v>44270</v>
      </c>
      <c r="BE901" s="141">
        <f ca="1">IFERROR(__xludf.DUMMYFUNCTION("""COMPUTED_VALUE"""),44818)</f>
        <v>44818</v>
      </c>
      <c r="BF901" s="141">
        <f ca="1">IFERROR(__xludf.DUMMYFUNCTION("""COMPUTED_VALUE"""),44999)</f>
        <v>44999</v>
      </c>
      <c r="BG901" s="141">
        <f ca="1">IFERROR(__xludf.DUMMYFUNCTION("""COMPUTED_VALUE"""),45549)</f>
        <v>45549</v>
      </c>
      <c r="BH901" s="40" t="str">
        <f ca="1">IFERROR(__xludf.DUMMYFUNCTION("""COMPUTED_VALUE"""),"FICHA EN TIEMPO-18 MESES")</f>
        <v>FICHA EN TIEMPO-18 MESES</v>
      </c>
      <c r="BI901" s="40" t="str">
        <f ca="1">IFERROR(__xludf.DUMMYFUNCTION("""COMPUTED_VALUE"""),"En ejecucion")</f>
        <v>En ejecucion</v>
      </c>
      <c r="BJ901" s="40" t="str">
        <f ca="1">IFERROR(__xludf.DUMMYFUNCTION("""COMPUTED_VALUE"""),"Yamboro")</f>
        <v>Yamboro</v>
      </c>
      <c r="BK901" s="40"/>
      <c r="BL901" s="40"/>
    </row>
    <row r="902" spans="1:64" ht="13">
      <c r="A902" s="40"/>
      <c r="B902" s="40" t="str">
        <f ca="1">IFERROR(__xludf.DUMMYFUNCTION("""COMPUTED_VALUE"""),"CONDICIONADO 18/10/2022")</f>
        <v>CONDICIONADO 18/10/2022</v>
      </c>
      <c r="C902" s="40" t="str">
        <f ca="1">IFERROR(__xludf.DUMMYFUNCTION("""COMPUTED_VALUE"""),"FARLEY GIOVANNI GONZALEZ LONDOÑO")</f>
        <v>FARLEY GIOVANNI GONZALEZ LONDOÑO</v>
      </c>
      <c r="D902" s="40" t="str">
        <f ca="1">IFERROR(__xludf.DUMMYFUNCTION("""COMPUTED_VALUE"""),"CC")</f>
        <v>CC</v>
      </c>
      <c r="E902" s="40">
        <f ca="1">IFERROR(__xludf.DUMMYFUNCTION("""COMPUTED_VALUE"""),98713087)</f>
        <v>98713087</v>
      </c>
      <c r="F902" s="40">
        <f ca="1">IFERROR(__xludf.DUMMYFUNCTION("""COMPUTED_VALUE"""),2282025)</f>
        <v>2282025</v>
      </c>
      <c r="G902" s="40" t="str">
        <f ca="1">IFERROR(__xludf.DUMMYFUNCTION("""COMPUTED_VALUE"""),"TECNÓLOGO")</f>
        <v>TECNÓLOGO</v>
      </c>
      <c r="H902" s="40" t="str">
        <f ca="1">IFERROR(__xludf.DUMMYFUNCTION("""COMPUTED_VALUE"""),"PRODUCCION DE MULTIMEDIA")</f>
        <v>PRODUCCION DE MULTIMEDIA</v>
      </c>
      <c r="I902" s="40"/>
      <c r="J902" s="40"/>
      <c r="K902" s="40"/>
      <c r="L902" s="40" t="str">
        <f ca="1">IFERROR(__xludf.DUMMYFUNCTION("""COMPUTED_VALUE"""),"NO HA INICIADO ETAPA PRODUCTIVA")</f>
        <v>NO HA INICIADO ETAPA PRODUCTIVA</v>
      </c>
      <c r="M902" s="40"/>
      <c r="N902" s="40"/>
      <c r="O902" s="40"/>
      <c r="P902" s="40"/>
      <c r="Q902" s="40"/>
      <c r="R902" s="140"/>
      <c r="S902" s="140"/>
      <c r="T902" s="40" t="str">
        <f ca="1">IFERROR(__xludf.DUMMYFUNCTION("""COMPUTED_VALUE"""),"debe 4 resultados... Revisado 15/11/2022")</f>
        <v>debe 4 resultados... Revisado 15/11/2022</v>
      </c>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t="str">
        <f ca="1">IFERROR(__xludf.DUMMYFUNCTION("""COMPUTED_VALUE"""),"NO_CUMPLE")</f>
        <v>NO_CUMPLE</v>
      </c>
      <c r="AV902" s="40" t="str">
        <f ca="1">IFERROR(__xludf.DUMMYFUNCTION("""COMPUTED_VALUE"""),"EN FORMACION")</f>
        <v>EN FORMACION</v>
      </c>
      <c r="AW902" s="40" t="str">
        <f ca="1">IFERROR(__xludf.DUMMYFUNCTION("""COMPUTED_VALUE"""),"TIC")</f>
        <v>TIC</v>
      </c>
      <c r="AX902" s="141">
        <f ca="1">IFERROR(__xludf.DUMMYFUNCTION("""COMPUTED_VALUE"""),1)</f>
        <v>1</v>
      </c>
      <c r="AY902" s="40">
        <f ca="1">IFERROR(__xludf.DUMMYFUNCTION("""COMPUTED_VALUE"""),1)</f>
        <v>1</v>
      </c>
      <c r="AZ902" s="40">
        <f ca="1">IFERROR(__xludf.DUMMYFUNCTION("""COMPUTED_VALUE"""),1)</f>
        <v>1</v>
      </c>
      <c r="BA902" s="40">
        <f ca="1">IFERROR(__xludf.DUMMYFUNCTION("""COMPUTED_VALUE"""),3)</f>
        <v>3</v>
      </c>
      <c r="BB902" s="40">
        <f ca="1">IFERROR(__xludf.DUMMYFUNCTION("""COMPUTED_VALUE"""),0)</f>
        <v>0</v>
      </c>
      <c r="BC902" s="40">
        <f ca="1">IFERROR(__xludf.DUMMYFUNCTION("""COMPUTED_VALUE"""),5)</f>
        <v>5</v>
      </c>
      <c r="BD902" s="141">
        <f ca="1">IFERROR(__xludf.DUMMYFUNCTION("""COMPUTED_VALUE"""),44270)</f>
        <v>44270</v>
      </c>
      <c r="BE902" s="141">
        <f ca="1">IFERROR(__xludf.DUMMYFUNCTION("""COMPUTED_VALUE"""),44818)</f>
        <v>44818</v>
      </c>
      <c r="BF902" s="141">
        <f ca="1">IFERROR(__xludf.DUMMYFUNCTION("""COMPUTED_VALUE"""),44999)</f>
        <v>44999</v>
      </c>
      <c r="BG902" s="141">
        <f ca="1">IFERROR(__xludf.DUMMYFUNCTION("""COMPUTED_VALUE"""),45549)</f>
        <v>45549</v>
      </c>
      <c r="BH902" s="40" t="str">
        <f ca="1">IFERROR(__xludf.DUMMYFUNCTION("""COMPUTED_VALUE"""),"FICHA EN TIEMPO-18 MESES")</f>
        <v>FICHA EN TIEMPO-18 MESES</v>
      </c>
      <c r="BI902" s="40" t="str">
        <f ca="1">IFERROR(__xludf.DUMMYFUNCTION("""COMPUTED_VALUE"""),"En ejecucion")</f>
        <v>En ejecucion</v>
      </c>
      <c r="BJ902" s="40" t="str">
        <f ca="1">IFERROR(__xludf.DUMMYFUNCTION("""COMPUTED_VALUE"""),"Yamboro")</f>
        <v>Yamboro</v>
      </c>
      <c r="BK902" s="40"/>
      <c r="BL902" s="40"/>
    </row>
    <row r="903" spans="1:64" ht="13">
      <c r="A903" s="40"/>
      <c r="B903" s="40" t="str">
        <f ca="1">IFERROR(__xludf.DUMMYFUNCTION("""COMPUTED_VALUE"""),"FORMACIÓN 18/10/2022")</f>
        <v>FORMACIÓN 18/10/2022</v>
      </c>
      <c r="C903" s="40" t="str">
        <f ca="1">IFERROR(__xludf.DUMMYFUNCTION("""COMPUTED_VALUE"""),"KAROL DAYANNA RAMIREZ ABAUNZA")</f>
        <v>KAROL DAYANNA RAMIREZ ABAUNZA</v>
      </c>
      <c r="D903" s="40" t="str">
        <f ca="1">IFERROR(__xludf.DUMMYFUNCTION("""COMPUTED_VALUE"""),"CC")</f>
        <v>CC</v>
      </c>
      <c r="E903" s="40">
        <f ca="1">IFERROR(__xludf.DUMMYFUNCTION("""COMPUTED_VALUE"""),1000217227)</f>
        <v>1000217227</v>
      </c>
      <c r="F903" s="40">
        <f ca="1">IFERROR(__xludf.DUMMYFUNCTION("""COMPUTED_VALUE"""),2252425)</f>
        <v>2252425</v>
      </c>
      <c r="G903" s="40" t="str">
        <f ca="1">IFERROR(__xludf.DUMMYFUNCTION("""COMPUTED_VALUE"""),"TECNÓLOGO")</f>
        <v>TECNÓLOGO</v>
      </c>
      <c r="H903" s="40" t="str">
        <f ca="1">IFERROR(__xludf.DUMMYFUNCTION("""COMPUTED_VALUE"""),"GESTION DE REDES DE DATOS")</f>
        <v>GESTION DE REDES DE DATOS</v>
      </c>
      <c r="I903" s="40">
        <f ca="1">IFERROR(__xludf.DUMMYFUNCTION("""COMPUTED_VALUE"""),573212591002)</f>
        <v>573212591002</v>
      </c>
      <c r="J903" s="40" t="str">
        <f ca="1">IFERROR(__xludf.DUMMYFUNCTION("""COMPUTED_VALUE"""),"ka2421737@gmail.com")</f>
        <v>ka2421737@gmail.com</v>
      </c>
      <c r="K903" s="40" t="str">
        <f ca="1">IFERROR(__xludf.DUMMYFUNCTION("""COMPUTED_VALUE"""),"ACEVEDO")</f>
        <v>ACEVEDO</v>
      </c>
      <c r="L903" s="40" t="str">
        <f ca="1">IFERROR(__xludf.DUMMYFUNCTION("""COMPUTED_VALUE"""),"CONTRATO DE APRENDIZAJE ")</f>
        <v xml:space="preserve">CONTRATO DE APRENDIZAJE </v>
      </c>
      <c r="M903" s="40" t="str">
        <f ca="1">IFERROR(__xludf.DUMMYFUNCTION("""COMPUTED_VALUE"""),"ESE HOSPITAL SAN FRANSCISCO JAVIER")</f>
        <v>ESE HOSPITAL SAN FRANSCISCO JAVIER</v>
      </c>
      <c r="N903" s="40" t="str">
        <f ca="1">IFERROR(__xludf.DUMMYFUNCTION("""COMPUTED_VALUE"""),"CRRA 3 9-47")</f>
        <v>CRRA 3 9-47</v>
      </c>
      <c r="O903" s="40">
        <f ca="1">IFERROR(__xludf.DUMMYFUNCTION("""COMPUTED_VALUE"""),3234856548)</f>
        <v>3234856548</v>
      </c>
      <c r="P903" s="40" t="str">
        <f ca="1">IFERROR(__xludf.DUMMYFUNCTION("""COMPUTED_VALUE"""),"NEIVA")</f>
        <v>NEIVA</v>
      </c>
      <c r="Q903" s="40" t="str">
        <f ca="1">IFERROR(__xludf.DUMMYFUNCTION("""COMPUTED_VALUE"""),"hsanfrancisco@eseacevedo-huila.gov.co")</f>
        <v>hsanfrancisco@eseacevedo-huila.gov.co</v>
      </c>
      <c r="R903" s="140">
        <f ca="1">IFERROR(__xludf.DUMMYFUNCTION("""COMPUTED_VALUE"""),44826)</f>
        <v>44826</v>
      </c>
      <c r="S903" s="140">
        <f ca="1">IFERROR(__xludf.DUMMYFUNCTION("""COMPUTED_VALUE"""),45007)</f>
        <v>45007</v>
      </c>
      <c r="T903" s="40"/>
      <c r="U903" s="40" t="str">
        <f ca="1">IFERROR(__xludf.DUMMYFUNCTION("""COMPUTED_VALUE"""),"Eduardo Triana Trujillo")</f>
        <v>Eduardo Triana Trujillo</v>
      </c>
      <c r="V903" s="40" t="s">
        <v>650</v>
      </c>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t="str">
        <f ca="1">IFERROR(__xludf.DUMMYFUNCTION("""COMPUTED_VALUE"""),"Procede_E_P")</f>
        <v>Procede_E_P</v>
      </c>
      <c r="AV903" s="40" t="str">
        <f ca="1">IFERROR(__xludf.DUMMYFUNCTION("""COMPUTED_VALUE"""),"EN FORMACION")</f>
        <v>EN FORMACION</v>
      </c>
      <c r="AW903" s="40" t="str">
        <f ca="1">IFERROR(__xludf.DUMMYFUNCTION("""COMPUTED_VALUE"""),"TIC")</f>
        <v>TIC</v>
      </c>
      <c r="AX903" s="141">
        <f ca="1">IFERROR(__xludf.DUMMYFUNCTION("""COMPUTED_VALUE"""),0)</f>
        <v>0</v>
      </c>
      <c r="AY903" s="40">
        <f ca="1">IFERROR(__xludf.DUMMYFUNCTION("""COMPUTED_VALUE"""),0)</f>
        <v>0</v>
      </c>
      <c r="AZ903" s="40">
        <f ca="1">IFERROR(__xludf.DUMMYFUNCTION("""COMPUTED_VALUE"""),1)</f>
        <v>1</v>
      </c>
      <c r="BA903" s="40">
        <f ca="1">IFERROR(__xludf.DUMMYFUNCTION("""COMPUTED_VALUE"""),0)</f>
        <v>0</v>
      </c>
      <c r="BB903" s="40">
        <f ca="1">IFERROR(__xludf.DUMMYFUNCTION("""COMPUTED_VALUE"""),0)</f>
        <v>0</v>
      </c>
      <c r="BC903" s="40">
        <f ca="1">IFERROR(__xludf.DUMMYFUNCTION("""COMPUTED_VALUE"""),1)</f>
        <v>1</v>
      </c>
      <c r="BD903" s="141">
        <f ca="1">IFERROR(__xludf.DUMMYFUNCTION("""COMPUTED_VALUE"""),44183)</f>
        <v>44183</v>
      </c>
      <c r="BE903" s="141">
        <f ca="1">IFERROR(__xludf.DUMMYFUNCTION("""COMPUTED_VALUE"""),44821)</f>
        <v>44821</v>
      </c>
      <c r="BF903" s="141">
        <f ca="1">IFERROR(__xludf.DUMMYFUNCTION("""COMPUTED_VALUE"""),45002)</f>
        <v>45002</v>
      </c>
      <c r="BG903" s="141">
        <f ca="1">IFERROR(__xludf.DUMMYFUNCTION("""COMPUTED_VALUE"""),45552)</f>
        <v>45552</v>
      </c>
      <c r="BH903" s="40" t="str">
        <f ca="1">IFERROR(__xludf.DUMMYFUNCTION("""COMPUTED_VALUE"""),"FICHA EN TIEMPO-18 MESES")</f>
        <v>FICHA EN TIEMPO-18 MESES</v>
      </c>
      <c r="BI903" s="40" t="str">
        <f ca="1">IFERROR(__xludf.DUMMYFUNCTION("""COMPUTED_VALUE"""),"En ejecucion")</f>
        <v>En ejecucion</v>
      </c>
      <c r="BJ903" s="40" t="str">
        <f ca="1">IFERROR(__xludf.DUMMYFUNCTION("""COMPUTED_VALUE"""),"Yamboro")</f>
        <v>Yamboro</v>
      </c>
      <c r="BK903" s="40"/>
      <c r="BL903" s="40"/>
    </row>
    <row r="904" spans="1:64" ht="13">
      <c r="A904" s="40"/>
      <c r="B904" s="40" t="str">
        <f ca="1">IFERROR(__xludf.DUMMYFUNCTION("""COMPUTED_VALUE"""),"FORMACIÓN 18/10/2022")</f>
        <v>FORMACIÓN 18/10/2022</v>
      </c>
      <c r="C904" s="40" t="str">
        <f ca="1">IFERROR(__xludf.DUMMYFUNCTION("""COMPUTED_VALUE"""),"CRISTIAN DAVID NUÑEZ URBANO")</f>
        <v>CRISTIAN DAVID NUÑEZ URBANO</v>
      </c>
      <c r="D904" s="40" t="str">
        <f ca="1">IFERROR(__xludf.DUMMYFUNCTION("""COMPUTED_VALUE"""),"TI")</f>
        <v>TI</v>
      </c>
      <c r="E904" s="40">
        <f ca="1">IFERROR(__xludf.DUMMYFUNCTION("""COMPUTED_VALUE"""),1004440838)</f>
        <v>1004440838</v>
      </c>
      <c r="F904" s="40">
        <f ca="1">IFERROR(__xludf.DUMMYFUNCTION("""COMPUTED_VALUE"""),2252425)</f>
        <v>2252425</v>
      </c>
      <c r="G904" s="40" t="str">
        <f ca="1">IFERROR(__xludf.DUMMYFUNCTION("""COMPUTED_VALUE"""),"TECNÓLOGO")</f>
        <v>TECNÓLOGO</v>
      </c>
      <c r="H904" s="40" t="str">
        <f ca="1">IFERROR(__xludf.DUMMYFUNCTION("""COMPUTED_VALUE"""),"GESTION DE REDES DE DATOS")</f>
        <v>GESTION DE REDES DE DATOS</v>
      </c>
      <c r="I904" s="40"/>
      <c r="J904" s="40"/>
      <c r="K904" s="40"/>
      <c r="L904" s="40" t="str">
        <f ca="1">IFERROR(__xludf.DUMMYFUNCTION("""COMPUTED_VALUE"""),"NO HA INICIADO ETAPA PRODUCTIVA")</f>
        <v>NO HA INICIADO ETAPA PRODUCTIVA</v>
      </c>
      <c r="M904" s="40"/>
      <c r="N904" s="40"/>
      <c r="O904" s="40"/>
      <c r="P904" s="40"/>
      <c r="Q904" s="40"/>
      <c r="R904" s="140"/>
      <c r="S904" s="140"/>
      <c r="T904" s="40" t="str">
        <f ca="1">IFERROR(__xludf.DUMMYFUNCTION("""COMPUTED_VALUE"""),"debe 19 resultados... Revisado 15/11/2022")</f>
        <v>debe 19 resultados... Revisado 15/11/2022</v>
      </c>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t="str">
        <f ca="1">IFERROR(__xludf.DUMMYFUNCTION("""COMPUTED_VALUE"""),"NO_CUMPLE")</f>
        <v>NO_CUMPLE</v>
      </c>
      <c r="AV904" s="40" t="str">
        <f ca="1">IFERROR(__xludf.DUMMYFUNCTION("""COMPUTED_VALUE"""),"EN FORMACION")</f>
        <v>EN FORMACION</v>
      </c>
      <c r="AW904" s="40" t="str">
        <f ca="1">IFERROR(__xludf.DUMMYFUNCTION("""COMPUTED_VALUE"""),"TIC")</f>
        <v>TIC</v>
      </c>
      <c r="AX904" s="141">
        <f ca="1">IFERROR(__xludf.DUMMYFUNCTION("""COMPUTED_VALUE"""),6)</f>
        <v>6</v>
      </c>
      <c r="AY904" s="40">
        <f ca="1">IFERROR(__xludf.DUMMYFUNCTION("""COMPUTED_VALUE"""),6)</f>
        <v>6</v>
      </c>
      <c r="AZ904" s="40">
        <f ca="1">IFERROR(__xludf.DUMMYFUNCTION("""COMPUTED_VALUE"""),1)</f>
        <v>1</v>
      </c>
      <c r="BA904" s="40">
        <f ca="1">IFERROR(__xludf.DUMMYFUNCTION("""COMPUTED_VALUE"""),6)</f>
        <v>6</v>
      </c>
      <c r="BB904" s="40">
        <f ca="1">IFERROR(__xludf.DUMMYFUNCTION("""COMPUTED_VALUE"""),7)</f>
        <v>7</v>
      </c>
      <c r="BC904" s="40">
        <f ca="1">IFERROR(__xludf.DUMMYFUNCTION("""COMPUTED_VALUE"""),20)</f>
        <v>20</v>
      </c>
      <c r="BD904" s="141">
        <f ca="1">IFERROR(__xludf.DUMMYFUNCTION("""COMPUTED_VALUE"""),44183)</f>
        <v>44183</v>
      </c>
      <c r="BE904" s="141">
        <f ca="1">IFERROR(__xludf.DUMMYFUNCTION("""COMPUTED_VALUE"""),44821)</f>
        <v>44821</v>
      </c>
      <c r="BF904" s="141">
        <f ca="1">IFERROR(__xludf.DUMMYFUNCTION("""COMPUTED_VALUE"""),45002)</f>
        <v>45002</v>
      </c>
      <c r="BG904" s="141">
        <f ca="1">IFERROR(__xludf.DUMMYFUNCTION("""COMPUTED_VALUE"""),45552)</f>
        <v>45552</v>
      </c>
      <c r="BH904" s="40" t="str">
        <f ca="1">IFERROR(__xludf.DUMMYFUNCTION("""COMPUTED_VALUE"""),"FICHA EN TIEMPO-18 MESES")</f>
        <v>FICHA EN TIEMPO-18 MESES</v>
      </c>
      <c r="BI904" s="40" t="str">
        <f ca="1">IFERROR(__xludf.DUMMYFUNCTION("""COMPUTED_VALUE"""),"En ejecucion")</f>
        <v>En ejecucion</v>
      </c>
      <c r="BJ904" s="40" t="str">
        <f ca="1">IFERROR(__xludf.DUMMYFUNCTION("""COMPUTED_VALUE"""),"Yamboro")</f>
        <v>Yamboro</v>
      </c>
      <c r="BK904" s="40"/>
      <c r="BL904" s="40"/>
    </row>
    <row r="905" spans="1:64" ht="13">
      <c r="A905" s="40"/>
      <c r="B905" s="40" t="str">
        <f ca="1">IFERROR(__xludf.DUMMYFUNCTION("""COMPUTED_VALUE"""),"FORMACIÓN 18/10/2022")</f>
        <v>FORMACIÓN 18/10/2022</v>
      </c>
      <c r="C905" s="40" t="str">
        <f ca="1">IFERROR(__xludf.DUMMYFUNCTION("""COMPUTED_VALUE"""),"DAYANA LIZETH CLAROS CAICEDO")</f>
        <v>DAYANA LIZETH CLAROS CAICEDO</v>
      </c>
      <c r="D905" s="40" t="str">
        <f ca="1">IFERROR(__xludf.DUMMYFUNCTION("""COMPUTED_VALUE"""),"CC")</f>
        <v>CC</v>
      </c>
      <c r="E905" s="40">
        <f ca="1">IFERROR(__xludf.DUMMYFUNCTION("""COMPUTED_VALUE"""),1007475186)</f>
        <v>1007475186</v>
      </c>
      <c r="F905" s="40">
        <f ca="1">IFERROR(__xludf.DUMMYFUNCTION("""COMPUTED_VALUE"""),2252425)</f>
        <v>2252425</v>
      </c>
      <c r="G905" s="40" t="str">
        <f ca="1">IFERROR(__xludf.DUMMYFUNCTION("""COMPUTED_VALUE"""),"TECNÓLOGO")</f>
        <v>TECNÓLOGO</v>
      </c>
      <c r="H905" s="40" t="str">
        <f ca="1">IFERROR(__xludf.DUMMYFUNCTION("""COMPUTED_VALUE"""),"GESTION DE REDES DE DATOS")</f>
        <v>GESTION DE REDES DE DATOS</v>
      </c>
      <c r="I905" s="40"/>
      <c r="J905" s="40"/>
      <c r="K905" s="40"/>
      <c r="L905" s="40" t="str">
        <f ca="1">IFERROR(__xludf.DUMMYFUNCTION("""COMPUTED_VALUE"""),"NO HA INICIADO ETAPA PRODUCTIVA")</f>
        <v>NO HA INICIADO ETAPA PRODUCTIVA</v>
      </c>
      <c r="M905" s="40"/>
      <c r="N905" s="40"/>
      <c r="O905" s="40"/>
      <c r="P905" s="40"/>
      <c r="Q905" s="40"/>
      <c r="R905" s="140"/>
      <c r="S905" s="1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t="str">
        <f ca="1">IFERROR(__xludf.DUMMYFUNCTION("""COMPUTED_VALUE"""),"Procede_E_P")</f>
        <v>Procede_E_P</v>
      </c>
      <c r="AV905" s="40" t="str">
        <f ca="1">IFERROR(__xludf.DUMMYFUNCTION("""COMPUTED_VALUE"""),"EN FORMACION")</f>
        <v>EN FORMACION</v>
      </c>
      <c r="AW905" s="40" t="str">
        <f ca="1">IFERROR(__xludf.DUMMYFUNCTION("""COMPUTED_VALUE"""),"TIC")</f>
        <v>TIC</v>
      </c>
      <c r="AX905" s="141">
        <f ca="1">IFERROR(__xludf.DUMMYFUNCTION("""COMPUTED_VALUE"""),0)</f>
        <v>0</v>
      </c>
      <c r="AY905" s="40">
        <f ca="1">IFERROR(__xludf.DUMMYFUNCTION("""COMPUTED_VALUE"""),0)</f>
        <v>0</v>
      </c>
      <c r="AZ905" s="40">
        <f ca="1">IFERROR(__xludf.DUMMYFUNCTION("""COMPUTED_VALUE"""),1)</f>
        <v>1</v>
      </c>
      <c r="BA905" s="40">
        <f ca="1">IFERROR(__xludf.DUMMYFUNCTION("""COMPUTED_VALUE"""),0)</f>
        <v>0</v>
      </c>
      <c r="BB905" s="40">
        <f ca="1">IFERROR(__xludf.DUMMYFUNCTION("""COMPUTED_VALUE"""),0)</f>
        <v>0</v>
      </c>
      <c r="BC905" s="40">
        <f ca="1">IFERROR(__xludf.DUMMYFUNCTION("""COMPUTED_VALUE"""),1)</f>
        <v>1</v>
      </c>
      <c r="BD905" s="141">
        <f ca="1">IFERROR(__xludf.DUMMYFUNCTION("""COMPUTED_VALUE"""),44183)</f>
        <v>44183</v>
      </c>
      <c r="BE905" s="141">
        <f ca="1">IFERROR(__xludf.DUMMYFUNCTION("""COMPUTED_VALUE"""),44821)</f>
        <v>44821</v>
      </c>
      <c r="BF905" s="141">
        <f ca="1">IFERROR(__xludf.DUMMYFUNCTION("""COMPUTED_VALUE"""),45002)</f>
        <v>45002</v>
      </c>
      <c r="BG905" s="141">
        <f ca="1">IFERROR(__xludf.DUMMYFUNCTION("""COMPUTED_VALUE"""),45552)</f>
        <v>45552</v>
      </c>
      <c r="BH905" s="40" t="str">
        <f ca="1">IFERROR(__xludf.DUMMYFUNCTION("""COMPUTED_VALUE"""),"FICHA EN TIEMPO-18 MESES")</f>
        <v>FICHA EN TIEMPO-18 MESES</v>
      </c>
      <c r="BI905" s="40" t="str">
        <f ca="1">IFERROR(__xludf.DUMMYFUNCTION("""COMPUTED_VALUE"""),"En ejecucion")</f>
        <v>En ejecucion</v>
      </c>
      <c r="BJ905" s="40" t="str">
        <f ca="1">IFERROR(__xludf.DUMMYFUNCTION("""COMPUTED_VALUE"""),"Yamboro")</f>
        <v>Yamboro</v>
      </c>
      <c r="BK905" s="40"/>
      <c r="BL905" s="40"/>
    </row>
    <row r="906" spans="1:64" ht="13">
      <c r="A906" s="40"/>
      <c r="B906" s="40" t="str">
        <f ca="1">IFERROR(__xludf.DUMMYFUNCTION("""COMPUTED_VALUE"""),"FORMACIÓN 18/10/2022")</f>
        <v>FORMACIÓN 18/10/2022</v>
      </c>
      <c r="C906" s="40" t="str">
        <f ca="1">IFERROR(__xludf.DUMMYFUNCTION("""COMPUTED_VALUE"""),"JAIDER GHEFREY GALINDO TUQUERRES")</f>
        <v>JAIDER GHEFREY GALINDO TUQUERRES</v>
      </c>
      <c r="D906" s="40" t="str">
        <f ca="1">IFERROR(__xludf.DUMMYFUNCTION("""COMPUTED_VALUE"""),"CC")</f>
        <v>CC</v>
      </c>
      <c r="E906" s="40">
        <f ca="1">IFERROR(__xludf.DUMMYFUNCTION("""COMPUTED_VALUE"""),1081699749)</f>
        <v>1081699749</v>
      </c>
      <c r="F906" s="40">
        <f ca="1">IFERROR(__xludf.DUMMYFUNCTION("""COMPUTED_VALUE"""),2252425)</f>
        <v>2252425</v>
      </c>
      <c r="G906" s="40" t="str">
        <f ca="1">IFERROR(__xludf.DUMMYFUNCTION("""COMPUTED_VALUE"""),"TECNÓLOGO")</f>
        <v>TECNÓLOGO</v>
      </c>
      <c r="H906" s="40" t="str">
        <f ca="1">IFERROR(__xludf.DUMMYFUNCTION("""COMPUTED_VALUE"""),"GESTION DE REDES DE DATOS")</f>
        <v>GESTION DE REDES DE DATOS</v>
      </c>
      <c r="I906" s="40">
        <f ca="1">IFERROR(__xludf.DUMMYFUNCTION("""COMPUTED_VALUE"""),3104717402)</f>
        <v>3104717402</v>
      </c>
      <c r="J906" s="40" t="str">
        <f ca="1">IFERROR(__xludf.DUMMYFUNCTION("""COMPUTED_VALUE"""),"jaiderghefreygalindotuquerres@gmail.com")</f>
        <v>jaiderghefreygalindotuquerres@gmail.com</v>
      </c>
      <c r="K906" s="40" t="str">
        <f ca="1">IFERROR(__xludf.DUMMYFUNCTION("""COMPUTED_VALUE"""),"PITALITO")</f>
        <v>PITALITO</v>
      </c>
      <c r="L906" s="40" t="str">
        <f ca="1">IFERROR(__xludf.DUMMYFUNCTION("""COMPUTED_VALUE"""),"CONTRATO DE APRENDIZAJE ")</f>
        <v xml:space="preserve">CONTRATO DE APRENDIZAJE </v>
      </c>
      <c r="M906" s="40" t="str">
        <f ca="1">IFERROR(__xludf.DUMMYFUNCTION("""COMPUTED_VALUE"""),"CONECTTIC SAS")</f>
        <v>CONECTTIC SAS</v>
      </c>
      <c r="N906" s="40" t="str">
        <f ca="1">IFERROR(__xludf.DUMMYFUNCTION("""COMPUTED_VALUE"""),"CALLE 4 N 1B-21")</f>
        <v>CALLE 4 N 1B-21</v>
      </c>
      <c r="O906" s="40">
        <f ca="1">IFERROR(__xludf.DUMMYFUNCTION("""COMPUTED_VALUE"""),3108872355)</f>
        <v>3108872355</v>
      </c>
      <c r="P906" s="40" t="str">
        <f ca="1">IFERROR(__xludf.DUMMYFUNCTION("""COMPUTED_VALUE"""),"PITALITO")</f>
        <v>PITALITO</v>
      </c>
      <c r="Q906" s="40" t="str">
        <f ca="1">IFERROR(__xludf.DUMMYFUNCTION("""COMPUTED_VALUE"""),"atencionalcliente.conecttic@gmail.com")</f>
        <v>atencionalcliente.conecttic@gmail.com</v>
      </c>
      <c r="R906" s="140">
        <f ca="1">IFERROR(__xludf.DUMMYFUNCTION("""COMPUTED_VALUE"""),44823)</f>
        <v>44823</v>
      </c>
      <c r="S906" s="140">
        <f ca="1">IFERROR(__xludf.DUMMYFUNCTION("""COMPUTED_VALUE"""),45002)</f>
        <v>45002</v>
      </c>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t="str">
        <f ca="1">IFERROR(__xludf.DUMMYFUNCTION("""COMPUTED_VALUE"""),"Procede_E_P")</f>
        <v>Procede_E_P</v>
      </c>
      <c r="AV906" s="40" t="str">
        <f ca="1">IFERROR(__xludf.DUMMYFUNCTION("""COMPUTED_VALUE"""),"EN FORMACION")</f>
        <v>EN FORMACION</v>
      </c>
      <c r="AW906" s="40" t="str">
        <f ca="1">IFERROR(__xludf.DUMMYFUNCTION("""COMPUTED_VALUE"""),"TIC")</f>
        <v>TIC</v>
      </c>
      <c r="AX906" s="141">
        <f ca="1">IFERROR(__xludf.DUMMYFUNCTION("""COMPUTED_VALUE"""),0)</f>
        <v>0</v>
      </c>
      <c r="AY906" s="40">
        <f ca="1">IFERROR(__xludf.DUMMYFUNCTION("""COMPUTED_VALUE"""),0)</f>
        <v>0</v>
      </c>
      <c r="AZ906" s="40">
        <f ca="1">IFERROR(__xludf.DUMMYFUNCTION("""COMPUTED_VALUE"""),1)</f>
        <v>1</v>
      </c>
      <c r="BA906" s="40">
        <f ca="1">IFERROR(__xludf.DUMMYFUNCTION("""COMPUTED_VALUE"""),0)</f>
        <v>0</v>
      </c>
      <c r="BB906" s="40">
        <f ca="1">IFERROR(__xludf.DUMMYFUNCTION("""COMPUTED_VALUE"""),0)</f>
        <v>0</v>
      </c>
      <c r="BC906" s="40">
        <f ca="1">IFERROR(__xludf.DUMMYFUNCTION("""COMPUTED_VALUE"""),1)</f>
        <v>1</v>
      </c>
      <c r="BD906" s="141">
        <f ca="1">IFERROR(__xludf.DUMMYFUNCTION("""COMPUTED_VALUE"""),44183)</f>
        <v>44183</v>
      </c>
      <c r="BE906" s="141">
        <f ca="1">IFERROR(__xludf.DUMMYFUNCTION("""COMPUTED_VALUE"""),44821)</f>
        <v>44821</v>
      </c>
      <c r="BF906" s="141">
        <f ca="1">IFERROR(__xludf.DUMMYFUNCTION("""COMPUTED_VALUE"""),45002)</f>
        <v>45002</v>
      </c>
      <c r="BG906" s="141">
        <f ca="1">IFERROR(__xludf.DUMMYFUNCTION("""COMPUTED_VALUE"""),45552)</f>
        <v>45552</v>
      </c>
      <c r="BH906" s="40" t="str">
        <f ca="1">IFERROR(__xludf.DUMMYFUNCTION("""COMPUTED_VALUE"""),"FICHA EN TIEMPO-18 MESES")</f>
        <v>FICHA EN TIEMPO-18 MESES</v>
      </c>
      <c r="BI906" s="40" t="str">
        <f ca="1">IFERROR(__xludf.DUMMYFUNCTION("""COMPUTED_VALUE"""),"En ejecucion")</f>
        <v>En ejecucion</v>
      </c>
      <c r="BJ906" s="40" t="str">
        <f ca="1">IFERROR(__xludf.DUMMYFUNCTION("""COMPUTED_VALUE"""),"Yamboro")</f>
        <v>Yamboro</v>
      </c>
      <c r="BK906" s="40"/>
      <c r="BL906" s="40"/>
    </row>
    <row r="907" spans="1:64" ht="13">
      <c r="A907" s="40"/>
      <c r="B907" s="40" t="str">
        <f ca="1">IFERROR(__xludf.DUMMYFUNCTION("""COMPUTED_VALUE"""),"FORMACIÓN 18/10/2022")</f>
        <v>FORMACIÓN 18/10/2022</v>
      </c>
      <c r="C907" s="40" t="str">
        <f ca="1">IFERROR(__xludf.DUMMYFUNCTION("""COMPUTED_VALUE"""),"KERLY JHOANA VARGAS SALINAS")</f>
        <v>KERLY JHOANA VARGAS SALINAS</v>
      </c>
      <c r="D907" s="40" t="str">
        <f ca="1">IFERROR(__xludf.DUMMYFUNCTION("""COMPUTED_VALUE"""),"CC")</f>
        <v>CC</v>
      </c>
      <c r="E907" s="40">
        <f ca="1">IFERROR(__xludf.DUMMYFUNCTION("""COMPUTED_VALUE"""),1083864205)</f>
        <v>1083864205</v>
      </c>
      <c r="F907" s="40">
        <f ca="1">IFERROR(__xludf.DUMMYFUNCTION("""COMPUTED_VALUE"""),2252425)</f>
        <v>2252425</v>
      </c>
      <c r="G907" s="40" t="str">
        <f ca="1">IFERROR(__xludf.DUMMYFUNCTION("""COMPUTED_VALUE"""),"TECNÓLOGO")</f>
        <v>TECNÓLOGO</v>
      </c>
      <c r="H907" s="40" t="str">
        <f ca="1">IFERROR(__xludf.DUMMYFUNCTION("""COMPUTED_VALUE"""),"GESTION DE REDES DE DATOS")</f>
        <v>GESTION DE REDES DE DATOS</v>
      </c>
      <c r="I907" s="40">
        <f ca="1">IFERROR(__xludf.DUMMYFUNCTION("""COMPUTED_VALUE"""),3185168188)</f>
        <v>3185168188</v>
      </c>
      <c r="J907" s="40" t="str">
        <f ca="1">IFERROR(__xludf.DUMMYFUNCTION("""COMPUTED_VALUE""")," JHOANAVASA@GMAIL.COM")</f>
        <v xml:space="preserve"> JHOANAVASA@GMAIL.COM</v>
      </c>
      <c r="K907" s="40" t="str">
        <f ca="1">IFERROR(__xludf.DUMMYFUNCTION("""COMPUTED_VALUE"""),"PITALITO")</f>
        <v>PITALITO</v>
      </c>
      <c r="L907" s="40" t="str">
        <f ca="1">IFERROR(__xludf.DUMMYFUNCTION("""COMPUTED_VALUE"""),"CONTRATO DE APRENDIZAJE ")</f>
        <v xml:space="preserve">CONTRATO DE APRENDIZAJE </v>
      </c>
      <c r="M907" s="40" t="str">
        <f ca="1">IFERROR(__xludf.DUMMYFUNCTION("""COMPUTED_VALUE"""),"SINERGY SOLUCIONES INTEGRALES SAS")</f>
        <v>SINERGY SOLUCIONES INTEGRALES SAS</v>
      </c>
      <c r="N907" s="40" t="str">
        <f ca="1">IFERROR(__xludf.DUMMYFUNCTION("""COMPUTED_VALUE"""),"calle 4 N 2-28")</f>
        <v>calle 4 N 2-28</v>
      </c>
      <c r="O907" s="40">
        <f ca="1">IFERROR(__xludf.DUMMYFUNCTION("""COMPUTED_VALUE"""),3108050762)</f>
        <v>3108050762</v>
      </c>
      <c r="P907" s="40" t="str">
        <f ca="1">IFERROR(__xludf.DUMMYFUNCTION("""COMPUTED_VALUE"""),"PITALITO")</f>
        <v>PITALITO</v>
      </c>
      <c r="Q907" s="40" t="str">
        <f ca="1">IFERROR(__xludf.DUMMYFUNCTION("""COMPUTED_VALUE""")," recursoshumanos@sinergy.com.co")</f>
        <v xml:space="preserve"> recursoshumanos@sinergy.com.co</v>
      </c>
      <c r="R907" s="140">
        <f ca="1">IFERROR(__xludf.DUMMYFUNCTION("""COMPUTED_VALUE"""),44841)</f>
        <v>44841</v>
      </c>
      <c r="S907" s="140">
        <f ca="1">IFERROR(__xludf.DUMMYFUNCTION("""COMPUTED_VALUE"""),45022)</f>
        <v>45022</v>
      </c>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t="str">
        <f ca="1">IFERROR(__xludf.DUMMYFUNCTION("""COMPUTED_VALUE"""),"Procede_E_P")</f>
        <v>Procede_E_P</v>
      </c>
      <c r="AV907" s="40" t="str">
        <f ca="1">IFERROR(__xludf.DUMMYFUNCTION("""COMPUTED_VALUE"""),"EN FORMACION")</f>
        <v>EN FORMACION</v>
      </c>
      <c r="AW907" s="40" t="str">
        <f ca="1">IFERROR(__xludf.DUMMYFUNCTION("""COMPUTED_VALUE"""),"TIC")</f>
        <v>TIC</v>
      </c>
      <c r="AX907" s="141">
        <f ca="1">IFERROR(__xludf.DUMMYFUNCTION("""COMPUTED_VALUE"""),0)</f>
        <v>0</v>
      </c>
      <c r="AY907" s="40">
        <f ca="1">IFERROR(__xludf.DUMMYFUNCTION("""COMPUTED_VALUE"""),0)</f>
        <v>0</v>
      </c>
      <c r="AZ907" s="40">
        <f ca="1">IFERROR(__xludf.DUMMYFUNCTION("""COMPUTED_VALUE"""),1)</f>
        <v>1</v>
      </c>
      <c r="BA907" s="40">
        <f ca="1">IFERROR(__xludf.DUMMYFUNCTION("""COMPUTED_VALUE"""),0)</f>
        <v>0</v>
      </c>
      <c r="BB907" s="40">
        <f ca="1">IFERROR(__xludf.DUMMYFUNCTION("""COMPUTED_VALUE"""),0)</f>
        <v>0</v>
      </c>
      <c r="BC907" s="40">
        <f ca="1">IFERROR(__xludf.DUMMYFUNCTION("""COMPUTED_VALUE"""),1)</f>
        <v>1</v>
      </c>
      <c r="BD907" s="141">
        <f ca="1">IFERROR(__xludf.DUMMYFUNCTION("""COMPUTED_VALUE"""),44183)</f>
        <v>44183</v>
      </c>
      <c r="BE907" s="141">
        <f ca="1">IFERROR(__xludf.DUMMYFUNCTION("""COMPUTED_VALUE"""),44821)</f>
        <v>44821</v>
      </c>
      <c r="BF907" s="141">
        <f ca="1">IFERROR(__xludf.DUMMYFUNCTION("""COMPUTED_VALUE"""),45002)</f>
        <v>45002</v>
      </c>
      <c r="BG907" s="141">
        <f ca="1">IFERROR(__xludf.DUMMYFUNCTION("""COMPUTED_VALUE"""),45552)</f>
        <v>45552</v>
      </c>
      <c r="BH907" s="40" t="str">
        <f ca="1">IFERROR(__xludf.DUMMYFUNCTION("""COMPUTED_VALUE"""),"FICHA EN TIEMPO-18 MESES")</f>
        <v>FICHA EN TIEMPO-18 MESES</v>
      </c>
      <c r="BI907" s="40" t="str">
        <f ca="1">IFERROR(__xludf.DUMMYFUNCTION("""COMPUTED_VALUE"""),"En ejecucion")</f>
        <v>En ejecucion</v>
      </c>
      <c r="BJ907" s="40" t="str">
        <f ca="1">IFERROR(__xludf.DUMMYFUNCTION("""COMPUTED_VALUE"""),"Yamboro")</f>
        <v>Yamboro</v>
      </c>
      <c r="BK907" s="40"/>
      <c r="BL907" s="40"/>
    </row>
    <row r="908" spans="1:64" ht="13">
      <c r="A908" s="40"/>
      <c r="B908" s="40" t="str">
        <f ca="1">IFERROR(__xludf.DUMMYFUNCTION("""COMPUTED_VALUE"""),"FORMACIÓN 18/10/2022")</f>
        <v>FORMACIÓN 18/10/2022</v>
      </c>
      <c r="C908" s="40" t="str">
        <f ca="1">IFERROR(__xludf.DUMMYFUNCTION("""COMPUTED_VALUE"""),"YAMILET MENESES MENESES")</f>
        <v>YAMILET MENESES MENESES</v>
      </c>
      <c r="D908" s="40" t="str">
        <f ca="1">IFERROR(__xludf.DUMMYFUNCTION("""COMPUTED_VALUE"""),"CC")</f>
        <v>CC</v>
      </c>
      <c r="E908" s="40">
        <f ca="1">IFERROR(__xludf.DUMMYFUNCTION("""COMPUTED_VALUE"""),1083865570)</f>
        <v>1083865570</v>
      </c>
      <c r="F908" s="40">
        <f ca="1">IFERROR(__xludf.DUMMYFUNCTION("""COMPUTED_VALUE"""),2252425)</f>
        <v>2252425</v>
      </c>
      <c r="G908" s="40" t="str">
        <f ca="1">IFERROR(__xludf.DUMMYFUNCTION("""COMPUTED_VALUE"""),"TECNÓLOGO")</f>
        <v>TECNÓLOGO</v>
      </c>
      <c r="H908" s="40" t="str">
        <f ca="1">IFERROR(__xludf.DUMMYFUNCTION("""COMPUTED_VALUE"""),"GESTION DE REDES DE DATOS")</f>
        <v>GESTION DE REDES DE DATOS</v>
      </c>
      <c r="I908" s="40"/>
      <c r="J908" s="40"/>
      <c r="K908" s="40"/>
      <c r="L908" s="40" t="str">
        <f ca="1">IFERROR(__xludf.DUMMYFUNCTION("""COMPUTED_VALUE"""),"NO HA INICIADO ETAPA PRODUCTIVA")</f>
        <v>NO HA INICIADO ETAPA PRODUCTIVA</v>
      </c>
      <c r="M908" s="40"/>
      <c r="N908" s="40"/>
      <c r="O908" s="40"/>
      <c r="P908" s="40"/>
      <c r="Q908" s="40"/>
      <c r="R908" s="140"/>
      <c r="S908" s="1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t="str">
        <f ca="1">IFERROR(__xludf.DUMMYFUNCTION("""COMPUTED_VALUE"""),"Procede_E_P")</f>
        <v>Procede_E_P</v>
      </c>
      <c r="AV908" s="40" t="str">
        <f ca="1">IFERROR(__xludf.DUMMYFUNCTION("""COMPUTED_VALUE"""),"EN FORMACION")</f>
        <v>EN FORMACION</v>
      </c>
      <c r="AW908" s="40" t="str">
        <f ca="1">IFERROR(__xludf.DUMMYFUNCTION("""COMPUTED_VALUE"""),"TIC")</f>
        <v>TIC</v>
      </c>
      <c r="AX908" s="141">
        <f ca="1">IFERROR(__xludf.DUMMYFUNCTION("""COMPUTED_VALUE"""),0)</f>
        <v>0</v>
      </c>
      <c r="AY908" s="40">
        <f ca="1">IFERROR(__xludf.DUMMYFUNCTION("""COMPUTED_VALUE"""),0)</f>
        <v>0</v>
      </c>
      <c r="AZ908" s="40">
        <f ca="1">IFERROR(__xludf.DUMMYFUNCTION("""COMPUTED_VALUE"""),1)</f>
        <v>1</v>
      </c>
      <c r="BA908" s="40">
        <f ca="1">IFERROR(__xludf.DUMMYFUNCTION("""COMPUTED_VALUE"""),0)</f>
        <v>0</v>
      </c>
      <c r="BB908" s="40">
        <f ca="1">IFERROR(__xludf.DUMMYFUNCTION("""COMPUTED_VALUE"""),0)</f>
        <v>0</v>
      </c>
      <c r="BC908" s="40">
        <f ca="1">IFERROR(__xludf.DUMMYFUNCTION("""COMPUTED_VALUE"""),1)</f>
        <v>1</v>
      </c>
      <c r="BD908" s="141">
        <f ca="1">IFERROR(__xludf.DUMMYFUNCTION("""COMPUTED_VALUE"""),44183)</f>
        <v>44183</v>
      </c>
      <c r="BE908" s="141">
        <f ca="1">IFERROR(__xludf.DUMMYFUNCTION("""COMPUTED_VALUE"""),44821)</f>
        <v>44821</v>
      </c>
      <c r="BF908" s="141">
        <f ca="1">IFERROR(__xludf.DUMMYFUNCTION("""COMPUTED_VALUE"""),45002)</f>
        <v>45002</v>
      </c>
      <c r="BG908" s="141">
        <f ca="1">IFERROR(__xludf.DUMMYFUNCTION("""COMPUTED_VALUE"""),45552)</f>
        <v>45552</v>
      </c>
      <c r="BH908" s="40" t="str">
        <f ca="1">IFERROR(__xludf.DUMMYFUNCTION("""COMPUTED_VALUE"""),"FICHA EN TIEMPO-18 MESES")</f>
        <v>FICHA EN TIEMPO-18 MESES</v>
      </c>
      <c r="BI908" s="40" t="str">
        <f ca="1">IFERROR(__xludf.DUMMYFUNCTION("""COMPUTED_VALUE"""),"En ejecucion")</f>
        <v>En ejecucion</v>
      </c>
      <c r="BJ908" s="40" t="str">
        <f ca="1">IFERROR(__xludf.DUMMYFUNCTION("""COMPUTED_VALUE"""),"Yamboro")</f>
        <v>Yamboro</v>
      </c>
      <c r="BK908" s="40"/>
      <c r="BL908" s="40"/>
    </row>
    <row r="909" spans="1:64" ht="13">
      <c r="A909" s="40"/>
      <c r="B909" s="40" t="str">
        <f ca="1">IFERROR(__xludf.DUMMYFUNCTION("""COMPUTED_VALUE"""),"FORMACIÓN 18/10/2022")</f>
        <v>FORMACIÓN 18/10/2022</v>
      </c>
      <c r="C909" s="40" t="str">
        <f ca="1">IFERROR(__xludf.DUMMYFUNCTION("""COMPUTED_VALUE"""),"DAVID FERNANDO URBANO GOMEZ")</f>
        <v>DAVID FERNANDO URBANO GOMEZ</v>
      </c>
      <c r="D909" s="40" t="str">
        <f ca="1">IFERROR(__xludf.DUMMYFUNCTION("""COMPUTED_VALUE"""),"TI")</f>
        <v>TI</v>
      </c>
      <c r="E909" s="40">
        <f ca="1">IFERROR(__xludf.DUMMYFUNCTION("""COMPUTED_VALUE"""),1083984323)</f>
        <v>1083984323</v>
      </c>
      <c r="F909" s="40">
        <f ca="1">IFERROR(__xludf.DUMMYFUNCTION("""COMPUTED_VALUE"""),2252425)</f>
        <v>2252425</v>
      </c>
      <c r="G909" s="40" t="str">
        <f ca="1">IFERROR(__xludf.DUMMYFUNCTION("""COMPUTED_VALUE"""),"TECNÓLOGO")</f>
        <v>TECNÓLOGO</v>
      </c>
      <c r="H909" s="40" t="str">
        <f ca="1">IFERROR(__xludf.DUMMYFUNCTION("""COMPUTED_VALUE"""),"GESTION DE REDES DE DATOS")</f>
        <v>GESTION DE REDES DE DATOS</v>
      </c>
      <c r="I909" s="40"/>
      <c r="J909" s="40"/>
      <c r="K909" s="40"/>
      <c r="L909" s="40" t="str">
        <f ca="1">IFERROR(__xludf.DUMMYFUNCTION("""COMPUTED_VALUE"""),"NO HA INICIADO ETAPA PRODUCTIVA")</f>
        <v>NO HA INICIADO ETAPA PRODUCTIVA</v>
      </c>
      <c r="M909" s="40"/>
      <c r="N909" s="40"/>
      <c r="O909" s="40"/>
      <c r="P909" s="40"/>
      <c r="Q909" s="40"/>
      <c r="R909" s="140"/>
      <c r="S909" s="1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t="str">
        <f ca="1">IFERROR(__xludf.DUMMYFUNCTION("""COMPUTED_VALUE"""),"Procede_E_P")</f>
        <v>Procede_E_P</v>
      </c>
      <c r="AV909" s="40" t="str">
        <f ca="1">IFERROR(__xludf.DUMMYFUNCTION("""COMPUTED_VALUE"""),"EN FORMACION")</f>
        <v>EN FORMACION</v>
      </c>
      <c r="AW909" s="40" t="str">
        <f ca="1">IFERROR(__xludf.DUMMYFUNCTION("""COMPUTED_VALUE"""),"TIC")</f>
        <v>TIC</v>
      </c>
      <c r="AX909" s="141">
        <f ca="1">IFERROR(__xludf.DUMMYFUNCTION("""COMPUTED_VALUE"""),0)</f>
        <v>0</v>
      </c>
      <c r="AY909" s="40">
        <f ca="1">IFERROR(__xludf.DUMMYFUNCTION("""COMPUTED_VALUE"""),0)</f>
        <v>0</v>
      </c>
      <c r="AZ909" s="40">
        <f ca="1">IFERROR(__xludf.DUMMYFUNCTION("""COMPUTED_VALUE"""),1)</f>
        <v>1</v>
      </c>
      <c r="BA909" s="40">
        <f ca="1">IFERROR(__xludf.DUMMYFUNCTION("""COMPUTED_VALUE"""),0)</f>
        <v>0</v>
      </c>
      <c r="BB909" s="40">
        <f ca="1">IFERROR(__xludf.DUMMYFUNCTION("""COMPUTED_VALUE"""),0)</f>
        <v>0</v>
      </c>
      <c r="BC909" s="40">
        <f ca="1">IFERROR(__xludf.DUMMYFUNCTION("""COMPUTED_VALUE"""),1)</f>
        <v>1</v>
      </c>
      <c r="BD909" s="141">
        <f ca="1">IFERROR(__xludf.DUMMYFUNCTION("""COMPUTED_VALUE"""),44183)</f>
        <v>44183</v>
      </c>
      <c r="BE909" s="141">
        <f ca="1">IFERROR(__xludf.DUMMYFUNCTION("""COMPUTED_VALUE"""),44821)</f>
        <v>44821</v>
      </c>
      <c r="BF909" s="141">
        <f ca="1">IFERROR(__xludf.DUMMYFUNCTION("""COMPUTED_VALUE"""),45002)</f>
        <v>45002</v>
      </c>
      <c r="BG909" s="141">
        <f ca="1">IFERROR(__xludf.DUMMYFUNCTION("""COMPUTED_VALUE"""),45552)</f>
        <v>45552</v>
      </c>
      <c r="BH909" s="40" t="str">
        <f ca="1">IFERROR(__xludf.DUMMYFUNCTION("""COMPUTED_VALUE"""),"FICHA EN TIEMPO-18 MESES")</f>
        <v>FICHA EN TIEMPO-18 MESES</v>
      </c>
      <c r="BI909" s="40" t="str">
        <f ca="1">IFERROR(__xludf.DUMMYFUNCTION("""COMPUTED_VALUE"""),"En ejecucion")</f>
        <v>En ejecucion</v>
      </c>
      <c r="BJ909" s="40" t="str">
        <f ca="1">IFERROR(__xludf.DUMMYFUNCTION("""COMPUTED_VALUE"""),"Yamboro")</f>
        <v>Yamboro</v>
      </c>
      <c r="BK909" s="40"/>
      <c r="BL909" s="40"/>
    </row>
    <row r="910" spans="1:64" ht="13">
      <c r="A910" s="40"/>
      <c r="B910" s="40" t="str">
        <f ca="1">IFERROR(__xludf.DUMMYFUNCTION("""COMPUTED_VALUE"""),"FORMACIÓN 18/10/2022")</f>
        <v>FORMACIÓN 18/10/2022</v>
      </c>
      <c r="C910" s="40" t="str">
        <f ca="1">IFERROR(__xludf.DUMMYFUNCTION("""COMPUTED_VALUE"""),"CRISTIAN DIAZ ORTEGA")</f>
        <v>CRISTIAN DIAZ ORTEGA</v>
      </c>
      <c r="D910" s="40" t="str">
        <f ca="1">IFERROR(__xludf.DUMMYFUNCTION("""COMPUTED_VALUE"""),"CC")</f>
        <v>CC</v>
      </c>
      <c r="E910" s="40">
        <f ca="1">IFERROR(__xludf.DUMMYFUNCTION("""COMPUTED_VALUE"""),1084250053)</f>
        <v>1084250053</v>
      </c>
      <c r="F910" s="40">
        <f ca="1">IFERROR(__xludf.DUMMYFUNCTION("""COMPUTED_VALUE"""),2252425)</f>
        <v>2252425</v>
      </c>
      <c r="G910" s="40" t="str">
        <f ca="1">IFERROR(__xludf.DUMMYFUNCTION("""COMPUTED_VALUE"""),"TECNÓLOGO")</f>
        <v>TECNÓLOGO</v>
      </c>
      <c r="H910" s="40" t="str">
        <f ca="1">IFERROR(__xludf.DUMMYFUNCTION("""COMPUTED_VALUE"""),"GESTION DE REDES DE DATOS")</f>
        <v>GESTION DE REDES DE DATOS</v>
      </c>
      <c r="I910" s="40"/>
      <c r="J910" s="40"/>
      <c r="K910" s="40"/>
      <c r="L910" s="40" t="str">
        <f ca="1">IFERROR(__xludf.DUMMYFUNCTION("""COMPUTED_VALUE"""),"NO HA INICIADO ETAPA PRODUCTIVA")</f>
        <v>NO HA INICIADO ETAPA PRODUCTIVA</v>
      </c>
      <c r="M910" s="40"/>
      <c r="N910" s="40"/>
      <c r="O910" s="40"/>
      <c r="P910" s="40"/>
      <c r="Q910" s="40"/>
      <c r="R910" s="140"/>
      <c r="S910" s="1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t="str">
        <f ca="1">IFERROR(__xludf.DUMMYFUNCTION("""COMPUTED_VALUE"""),"Procede_E_P")</f>
        <v>Procede_E_P</v>
      </c>
      <c r="AV910" s="40" t="str">
        <f ca="1">IFERROR(__xludf.DUMMYFUNCTION("""COMPUTED_VALUE"""),"EN FORMACION")</f>
        <v>EN FORMACION</v>
      </c>
      <c r="AW910" s="40" t="str">
        <f ca="1">IFERROR(__xludf.DUMMYFUNCTION("""COMPUTED_VALUE"""),"TIC")</f>
        <v>TIC</v>
      </c>
      <c r="AX910" s="141">
        <f ca="1">IFERROR(__xludf.DUMMYFUNCTION("""COMPUTED_VALUE"""),0)</f>
        <v>0</v>
      </c>
      <c r="AY910" s="40">
        <f ca="1">IFERROR(__xludf.DUMMYFUNCTION("""COMPUTED_VALUE"""),0)</f>
        <v>0</v>
      </c>
      <c r="AZ910" s="40">
        <f ca="1">IFERROR(__xludf.DUMMYFUNCTION("""COMPUTED_VALUE"""),1)</f>
        <v>1</v>
      </c>
      <c r="BA910" s="40">
        <f ca="1">IFERROR(__xludf.DUMMYFUNCTION("""COMPUTED_VALUE"""),0)</f>
        <v>0</v>
      </c>
      <c r="BB910" s="40">
        <f ca="1">IFERROR(__xludf.DUMMYFUNCTION("""COMPUTED_VALUE"""),0)</f>
        <v>0</v>
      </c>
      <c r="BC910" s="40">
        <f ca="1">IFERROR(__xludf.DUMMYFUNCTION("""COMPUTED_VALUE"""),1)</f>
        <v>1</v>
      </c>
      <c r="BD910" s="141">
        <f ca="1">IFERROR(__xludf.DUMMYFUNCTION("""COMPUTED_VALUE"""),44183)</f>
        <v>44183</v>
      </c>
      <c r="BE910" s="141">
        <f ca="1">IFERROR(__xludf.DUMMYFUNCTION("""COMPUTED_VALUE"""),44821)</f>
        <v>44821</v>
      </c>
      <c r="BF910" s="141">
        <f ca="1">IFERROR(__xludf.DUMMYFUNCTION("""COMPUTED_VALUE"""),45002)</f>
        <v>45002</v>
      </c>
      <c r="BG910" s="141">
        <f ca="1">IFERROR(__xludf.DUMMYFUNCTION("""COMPUTED_VALUE"""),45552)</f>
        <v>45552</v>
      </c>
      <c r="BH910" s="40" t="str">
        <f ca="1">IFERROR(__xludf.DUMMYFUNCTION("""COMPUTED_VALUE"""),"FICHA EN TIEMPO-18 MESES")</f>
        <v>FICHA EN TIEMPO-18 MESES</v>
      </c>
      <c r="BI910" s="40" t="str">
        <f ca="1">IFERROR(__xludf.DUMMYFUNCTION("""COMPUTED_VALUE"""),"En ejecucion")</f>
        <v>En ejecucion</v>
      </c>
      <c r="BJ910" s="40" t="str">
        <f ca="1">IFERROR(__xludf.DUMMYFUNCTION("""COMPUTED_VALUE"""),"Yamboro")</f>
        <v>Yamboro</v>
      </c>
      <c r="BK910" s="40"/>
      <c r="BL910" s="40"/>
    </row>
    <row r="911" spans="1:64" ht="13">
      <c r="A911" s="40"/>
      <c r="B911" s="40" t="str">
        <f ca="1">IFERROR(__xludf.DUMMYFUNCTION("""COMPUTED_VALUE"""),"FORMACIÓN 18/10/2022")</f>
        <v>FORMACIÓN 18/10/2022</v>
      </c>
      <c r="C911" s="40" t="str">
        <f ca="1">IFERROR(__xludf.DUMMYFUNCTION("""COMPUTED_VALUE"""),"KAREN TATIANA IMBACHI CANTILLO")</f>
        <v>KAREN TATIANA IMBACHI CANTILLO</v>
      </c>
      <c r="D911" s="40" t="str">
        <f ca="1">IFERROR(__xludf.DUMMYFUNCTION("""COMPUTED_VALUE"""),"CC")</f>
        <v>CC</v>
      </c>
      <c r="E911" s="40">
        <f ca="1">IFERROR(__xludf.DUMMYFUNCTION("""COMPUTED_VALUE"""),1084250063)</f>
        <v>1084250063</v>
      </c>
      <c r="F911" s="40">
        <f ca="1">IFERROR(__xludf.DUMMYFUNCTION("""COMPUTED_VALUE"""),2252425)</f>
        <v>2252425</v>
      </c>
      <c r="G911" s="40" t="str">
        <f ca="1">IFERROR(__xludf.DUMMYFUNCTION("""COMPUTED_VALUE"""),"TECNÓLOGO")</f>
        <v>TECNÓLOGO</v>
      </c>
      <c r="H911" s="40" t="str">
        <f ca="1">IFERROR(__xludf.DUMMYFUNCTION("""COMPUTED_VALUE"""),"GESTION DE REDES DE DATOS")</f>
        <v>GESTION DE REDES DE DATOS</v>
      </c>
      <c r="I911" s="40"/>
      <c r="J911" s="40"/>
      <c r="K911" s="40"/>
      <c r="L911" s="40" t="str">
        <f ca="1">IFERROR(__xludf.DUMMYFUNCTION("""COMPUTED_VALUE"""),"PASANTÍAS")</f>
        <v>PASANTÍAS</v>
      </c>
      <c r="M911" s="40" t="str">
        <f ca="1">IFERROR(__xludf.DUMMYFUNCTION("""COMPUTED_VALUE"""),"LYL Trámites y Servicios")</f>
        <v>LYL Trámites y Servicios</v>
      </c>
      <c r="N911" s="40" t="str">
        <f ca="1">IFERROR(__xludf.DUMMYFUNCTION("""COMPUTED_VALUE"""),"PITALITO")</f>
        <v>PITALITO</v>
      </c>
      <c r="O911" s="40">
        <f ca="1">IFERROR(__xludf.DUMMYFUNCTION("""COMPUTED_VALUE"""),3175753571)</f>
        <v>3175753571</v>
      </c>
      <c r="P911" s="40" t="str">
        <f ca="1">IFERROR(__xludf.DUMMYFUNCTION("""COMPUTED_VALUE"""),"PITALITO")</f>
        <v>PITALITO</v>
      </c>
      <c r="Q911" s="40" t="str">
        <f ca="1">IFERROR(__xludf.DUMMYFUNCTION("""COMPUTED_VALUE"""),"lyltramitesyservicios@outlook.com")</f>
        <v>lyltramitesyservicios@outlook.com</v>
      </c>
      <c r="R911" s="140">
        <f ca="1">IFERROR(__xludf.DUMMYFUNCTION("""COMPUTED_VALUE"""),44860)</f>
        <v>44860</v>
      </c>
      <c r="S911" s="140">
        <f ca="1">IFERROR(__xludf.DUMMYFUNCTION("""COMPUTED_VALUE"""),45041)</f>
        <v>45041</v>
      </c>
      <c r="T911" s="40"/>
      <c r="U911" s="40" t="str">
        <f ca="1">IFERROR(__xludf.DUMMYFUNCTION("""COMPUTED_VALUE"""),"Eduardo Triana Trujillo")</f>
        <v>Eduardo Triana Trujillo</v>
      </c>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t="str">
        <f ca="1">IFERROR(__xludf.DUMMYFUNCTION("""COMPUTED_VALUE"""),"Procede_E_P")</f>
        <v>Procede_E_P</v>
      </c>
      <c r="AV911" s="40" t="str">
        <f ca="1">IFERROR(__xludf.DUMMYFUNCTION("""COMPUTED_VALUE"""),"EN FORMACION")</f>
        <v>EN FORMACION</v>
      </c>
      <c r="AW911" s="40" t="str">
        <f ca="1">IFERROR(__xludf.DUMMYFUNCTION("""COMPUTED_VALUE"""),"TIC")</f>
        <v>TIC</v>
      </c>
      <c r="AX911" s="141">
        <f ca="1">IFERROR(__xludf.DUMMYFUNCTION("""COMPUTED_VALUE"""),0)</f>
        <v>0</v>
      </c>
      <c r="AY911" s="40">
        <f ca="1">IFERROR(__xludf.DUMMYFUNCTION("""COMPUTED_VALUE"""),0)</f>
        <v>0</v>
      </c>
      <c r="AZ911" s="40">
        <f ca="1">IFERROR(__xludf.DUMMYFUNCTION("""COMPUTED_VALUE"""),1)</f>
        <v>1</v>
      </c>
      <c r="BA911" s="40">
        <f ca="1">IFERROR(__xludf.DUMMYFUNCTION("""COMPUTED_VALUE"""),0)</f>
        <v>0</v>
      </c>
      <c r="BB911" s="40">
        <f ca="1">IFERROR(__xludf.DUMMYFUNCTION("""COMPUTED_VALUE"""),0)</f>
        <v>0</v>
      </c>
      <c r="BC911" s="40">
        <f ca="1">IFERROR(__xludf.DUMMYFUNCTION("""COMPUTED_VALUE"""),1)</f>
        <v>1</v>
      </c>
      <c r="BD911" s="141">
        <f ca="1">IFERROR(__xludf.DUMMYFUNCTION("""COMPUTED_VALUE"""),44183)</f>
        <v>44183</v>
      </c>
      <c r="BE911" s="141">
        <f ca="1">IFERROR(__xludf.DUMMYFUNCTION("""COMPUTED_VALUE"""),44821)</f>
        <v>44821</v>
      </c>
      <c r="BF911" s="141">
        <f ca="1">IFERROR(__xludf.DUMMYFUNCTION("""COMPUTED_VALUE"""),45002)</f>
        <v>45002</v>
      </c>
      <c r="BG911" s="141">
        <f ca="1">IFERROR(__xludf.DUMMYFUNCTION("""COMPUTED_VALUE"""),45552)</f>
        <v>45552</v>
      </c>
      <c r="BH911" s="40" t="str">
        <f ca="1">IFERROR(__xludf.DUMMYFUNCTION("""COMPUTED_VALUE"""),"FICHA EN TIEMPO-18 MESES")</f>
        <v>FICHA EN TIEMPO-18 MESES</v>
      </c>
      <c r="BI911" s="40" t="str">
        <f ca="1">IFERROR(__xludf.DUMMYFUNCTION("""COMPUTED_VALUE"""),"En ejecucion")</f>
        <v>En ejecucion</v>
      </c>
      <c r="BJ911" s="40" t="str">
        <f ca="1">IFERROR(__xludf.DUMMYFUNCTION("""COMPUTED_VALUE"""),"Yamboro")</f>
        <v>Yamboro</v>
      </c>
      <c r="BK911" s="40"/>
      <c r="BL911" s="40"/>
    </row>
    <row r="912" spans="1:64" ht="13">
      <c r="A912" s="40"/>
      <c r="B912" s="40" t="str">
        <f ca="1">IFERROR(__xludf.DUMMYFUNCTION("""COMPUTED_VALUE"""),"FORMACIÓN 18/10/2022")</f>
        <v>FORMACIÓN 18/10/2022</v>
      </c>
      <c r="C912" s="40" t="str">
        <f ca="1">IFERROR(__xludf.DUMMYFUNCTION("""COMPUTED_VALUE"""),"SANTIAGO SALAZAR ASTUDILLO")</f>
        <v>SANTIAGO SALAZAR ASTUDILLO</v>
      </c>
      <c r="D912" s="40" t="str">
        <f ca="1">IFERROR(__xludf.DUMMYFUNCTION("""COMPUTED_VALUE"""),"CC")</f>
        <v>CC</v>
      </c>
      <c r="E912" s="40">
        <f ca="1">IFERROR(__xludf.DUMMYFUNCTION("""COMPUTED_VALUE"""),1084330134)</f>
        <v>1084330134</v>
      </c>
      <c r="F912" s="40">
        <f ca="1">IFERROR(__xludf.DUMMYFUNCTION("""COMPUTED_VALUE"""),2252425)</f>
        <v>2252425</v>
      </c>
      <c r="G912" s="40" t="str">
        <f ca="1">IFERROR(__xludf.DUMMYFUNCTION("""COMPUTED_VALUE"""),"TECNÓLOGO")</f>
        <v>TECNÓLOGO</v>
      </c>
      <c r="H912" s="40" t="str">
        <f ca="1">IFERROR(__xludf.DUMMYFUNCTION("""COMPUTED_VALUE"""),"GESTION DE REDES DE DATOS")</f>
        <v>GESTION DE REDES DE DATOS</v>
      </c>
      <c r="I912" s="40"/>
      <c r="J912" s="40"/>
      <c r="K912" s="40"/>
      <c r="L912" s="40" t="str">
        <f ca="1">IFERROR(__xludf.DUMMYFUNCTION("""COMPUTED_VALUE"""),"NO HA INICIADO ETAPA PRODUCTIVA")</f>
        <v>NO HA INICIADO ETAPA PRODUCTIVA</v>
      </c>
      <c r="M912" s="40"/>
      <c r="N912" s="40"/>
      <c r="O912" s="40"/>
      <c r="P912" s="40"/>
      <c r="Q912" s="40"/>
      <c r="R912" s="140"/>
      <c r="S912" s="1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t="str">
        <f ca="1">IFERROR(__xludf.DUMMYFUNCTION("""COMPUTED_VALUE"""),"Procede_E_P")</f>
        <v>Procede_E_P</v>
      </c>
      <c r="AV912" s="40" t="str">
        <f ca="1">IFERROR(__xludf.DUMMYFUNCTION("""COMPUTED_VALUE"""),"EN FORMACION")</f>
        <v>EN FORMACION</v>
      </c>
      <c r="AW912" s="40" t="str">
        <f ca="1">IFERROR(__xludf.DUMMYFUNCTION("""COMPUTED_VALUE"""),"TIC")</f>
        <v>TIC</v>
      </c>
      <c r="AX912" s="141">
        <f ca="1">IFERROR(__xludf.DUMMYFUNCTION("""COMPUTED_VALUE"""),0)</f>
        <v>0</v>
      </c>
      <c r="AY912" s="40">
        <f ca="1">IFERROR(__xludf.DUMMYFUNCTION("""COMPUTED_VALUE"""),0)</f>
        <v>0</v>
      </c>
      <c r="AZ912" s="40">
        <f ca="1">IFERROR(__xludf.DUMMYFUNCTION("""COMPUTED_VALUE"""),1)</f>
        <v>1</v>
      </c>
      <c r="BA912" s="40">
        <f ca="1">IFERROR(__xludf.DUMMYFUNCTION("""COMPUTED_VALUE"""),0)</f>
        <v>0</v>
      </c>
      <c r="BB912" s="40">
        <f ca="1">IFERROR(__xludf.DUMMYFUNCTION("""COMPUTED_VALUE"""),0)</f>
        <v>0</v>
      </c>
      <c r="BC912" s="40">
        <f ca="1">IFERROR(__xludf.DUMMYFUNCTION("""COMPUTED_VALUE"""),1)</f>
        <v>1</v>
      </c>
      <c r="BD912" s="141">
        <f ca="1">IFERROR(__xludf.DUMMYFUNCTION("""COMPUTED_VALUE"""),44183)</f>
        <v>44183</v>
      </c>
      <c r="BE912" s="141">
        <f ca="1">IFERROR(__xludf.DUMMYFUNCTION("""COMPUTED_VALUE"""),44821)</f>
        <v>44821</v>
      </c>
      <c r="BF912" s="141">
        <f ca="1">IFERROR(__xludf.DUMMYFUNCTION("""COMPUTED_VALUE"""),45002)</f>
        <v>45002</v>
      </c>
      <c r="BG912" s="141">
        <f ca="1">IFERROR(__xludf.DUMMYFUNCTION("""COMPUTED_VALUE"""),45552)</f>
        <v>45552</v>
      </c>
      <c r="BH912" s="40" t="str">
        <f ca="1">IFERROR(__xludf.DUMMYFUNCTION("""COMPUTED_VALUE"""),"FICHA EN TIEMPO-18 MESES")</f>
        <v>FICHA EN TIEMPO-18 MESES</v>
      </c>
      <c r="BI912" s="40" t="str">
        <f ca="1">IFERROR(__xludf.DUMMYFUNCTION("""COMPUTED_VALUE"""),"En ejecucion")</f>
        <v>En ejecucion</v>
      </c>
      <c r="BJ912" s="40" t="str">
        <f ca="1">IFERROR(__xludf.DUMMYFUNCTION("""COMPUTED_VALUE"""),"Yamboro")</f>
        <v>Yamboro</v>
      </c>
      <c r="BK912" s="40"/>
      <c r="BL912" s="40"/>
    </row>
    <row r="913" spans="1:64" ht="13">
      <c r="A913" s="40"/>
      <c r="B913" s="40" t="str">
        <f ca="1">IFERROR(__xludf.DUMMYFUNCTION("""COMPUTED_VALUE"""),"FORMACIÓN 18/10/2022")</f>
        <v>FORMACIÓN 18/10/2022</v>
      </c>
      <c r="C913" s="40" t="str">
        <f ca="1">IFERROR(__xludf.DUMMYFUNCTION("""COMPUTED_VALUE"""),"NESMAR LUIGUI CHAVES LOPEZ")</f>
        <v>NESMAR LUIGUI CHAVES LOPEZ</v>
      </c>
      <c r="D913" s="40" t="str">
        <f ca="1">IFERROR(__xludf.DUMMYFUNCTION("""COMPUTED_VALUE"""),"CC")</f>
        <v>CC</v>
      </c>
      <c r="E913" s="40">
        <f ca="1">IFERROR(__xludf.DUMMYFUNCTION("""COMPUTED_VALUE"""),1144625759)</f>
        <v>1144625759</v>
      </c>
      <c r="F913" s="40">
        <f ca="1">IFERROR(__xludf.DUMMYFUNCTION("""COMPUTED_VALUE"""),2252425)</f>
        <v>2252425</v>
      </c>
      <c r="G913" s="40" t="str">
        <f ca="1">IFERROR(__xludf.DUMMYFUNCTION("""COMPUTED_VALUE"""),"TECNÓLOGO")</f>
        <v>TECNÓLOGO</v>
      </c>
      <c r="H913" s="40" t="str">
        <f ca="1">IFERROR(__xludf.DUMMYFUNCTION("""COMPUTED_VALUE"""),"GESTION DE REDES DE DATOS")</f>
        <v>GESTION DE REDES DE DATOS</v>
      </c>
      <c r="I913" s="40"/>
      <c r="J913" s="40"/>
      <c r="K913" s="40"/>
      <c r="L913" s="40" t="str">
        <f ca="1">IFERROR(__xludf.DUMMYFUNCTION("""COMPUTED_VALUE"""),"NO HA INICIADO ETAPA PRODUCTIVA")</f>
        <v>NO HA INICIADO ETAPA PRODUCTIVA</v>
      </c>
      <c r="M913" s="40"/>
      <c r="N913" s="40"/>
      <c r="O913" s="40"/>
      <c r="P913" s="40"/>
      <c r="Q913" s="40"/>
      <c r="R913" s="140"/>
      <c r="S913" s="1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t="str">
        <f ca="1">IFERROR(__xludf.DUMMYFUNCTION("""COMPUTED_VALUE"""),"Procede_E_P")</f>
        <v>Procede_E_P</v>
      </c>
      <c r="AV913" s="40" t="str">
        <f ca="1">IFERROR(__xludf.DUMMYFUNCTION("""COMPUTED_VALUE"""),"EN FORMACION")</f>
        <v>EN FORMACION</v>
      </c>
      <c r="AW913" s="40" t="str">
        <f ca="1">IFERROR(__xludf.DUMMYFUNCTION("""COMPUTED_VALUE"""),"TIC")</f>
        <v>TIC</v>
      </c>
      <c r="AX913" s="141">
        <f ca="1">IFERROR(__xludf.DUMMYFUNCTION("""COMPUTED_VALUE"""),0)</f>
        <v>0</v>
      </c>
      <c r="AY913" s="40">
        <f ca="1">IFERROR(__xludf.DUMMYFUNCTION("""COMPUTED_VALUE"""),0)</f>
        <v>0</v>
      </c>
      <c r="AZ913" s="40">
        <f ca="1">IFERROR(__xludf.DUMMYFUNCTION("""COMPUTED_VALUE"""),1)</f>
        <v>1</v>
      </c>
      <c r="BA913" s="40">
        <f ca="1">IFERROR(__xludf.DUMMYFUNCTION("""COMPUTED_VALUE"""),0)</f>
        <v>0</v>
      </c>
      <c r="BB913" s="40">
        <f ca="1">IFERROR(__xludf.DUMMYFUNCTION("""COMPUTED_VALUE"""),0)</f>
        <v>0</v>
      </c>
      <c r="BC913" s="40">
        <f ca="1">IFERROR(__xludf.DUMMYFUNCTION("""COMPUTED_VALUE"""),1)</f>
        <v>1</v>
      </c>
      <c r="BD913" s="141">
        <f ca="1">IFERROR(__xludf.DUMMYFUNCTION("""COMPUTED_VALUE"""),44183)</f>
        <v>44183</v>
      </c>
      <c r="BE913" s="141">
        <f ca="1">IFERROR(__xludf.DUMMYFUNCTION("""COMPUTED_VALUE"""),44821)</f>
        <v>44821</v>
      </c>
      <c r="BF913" s="141">
        <f ca="1">IFERROR(__xludf.DUMMYFUNCTION("""COMPUTED_VALUE"""),45002)</f>
        <v>45002</v>
      </c>
      <c r="BG913" s="141">
        <f ca="1">IFERROR(__xludf.DUMMYFUNCTION("""COMPUTED_VALUE"""),45552)</f>
        <v>45552</v>
      </c>
      <c r="BH913" s="40" t="str">
        <f ca="1">IFERROR(__xludf.DUMMYFUNCTION("""COMPUTED_VALUE"""),"FICHA EN TIEMPO-18 MESES")</f>
        <v>FICHA EN TIEMPO-18 MESES</v>
      </c>
      <c r="BI913" s="40" t="str">
        <f ca="1">IFERROR(__xludf.DUMMYFUNCTION("""COMPUTED_VALUE"""),"En ejecucion")</f>
        <v>En ejecucion</v>
      </c>
      <c r="BJ913" s="40" t="str">
        <f ca="1">IFERROR(__xludf.DUMMYFUNCTION("""COMPUTED_VALUE"""),"Yamboro")</f>
        <v>Yamboro</v>
      </c>
      <c r="BK913" s="40"/>
      <c r="BL913" s="40"/>
    </row>
    <row r="914" spans="1:64" ht="13">
      <c r="A914" s="40"/>
      <c r="B914" s="40" t="str">
        <f ca="1">IFERROR(__xludf.DUMMYFUNCTION("""COMPUTED_VALUE"""),"FORMACIÓN 18/10/2022")</f>
        <v>FORMACIÓN 18/10/2022</v>
      </c>
      <c r="C914" s="40" t="str">
        <f ca="1">IFERROR(__xludf.DUMMYFUNCTION("""COMPUTED_VALUE"""),"JUAN ESTEBAN ROJAS TOVAR")</f>
        <v>JUAN ESTEBAN ROJAS TOVAR</v>
      </c>
      <c r="D914" s="40" t="str">
        <f ca="1">IFERROR(__xludf.DUMMYFUNCTION("""COMPUTED_VALUE"""),"CC")</f>
        <v>CC</v>
      </c>
      <c r="E914" s="40">
        <f ca="1">IFERROR(__xludf.DUMMYFUNCTION("""COMPUTED_VALUE"""),1000790396)</f>
        <v>1000790396</v>
      </c>
      <c r="F914" s="40">
        <f ca="1">IFERROR(__xludf.DUMMYFUNCTION("""COMPUTED_VALUE"""),2451009)</f>
        <v>2451009</v>
      </c>
      <c r="G914" s="40" t="str">
        <f ca="1">IFERROR(__xludf.DUMMYFUNCTION("""COMPUTED_VALUE"""),"TÉCNICO")</f>
        <v>TÉCNICO</v>
      </c>
      <c r="H914" s="40" t="str">
        <f ca="1">IFERROR(__xludf.DUMMYFUNCTION("""COMPUTED_VALUE"""),"PROGRAMACION DE APLICACIONES PARA DISPOSITIVOS MOVILES")</f>
        <v>PROGRAMACION DE APLICACIONES PARA DISPOSITIVOS MOVILES</v>
      </c>
      <c r="I914" s="40">
        <f ca="1">IFERROR(__xludf.DUMMYFUNCTION("""COMPUTED_VALUE"""),3212553284)</f>
        <v>3212553284</v>
      </c>
      <c r="J914" s="40" t="str">
        <f ca="1">IFERROR(__xludf.DUMMYFUNCTION("""COMPUTED_VALUE"""),"Juesrojast03@gmail.com")</f>
        <v>Juesrojast03@gmail.com</v>
      </c>
      <c r="K914" s="40" t="str">
        <f ca="1">IFERROR(__xludf.DUMMYFUNCTION("""COMPUTED_VALUE"""),"pitalito")</f>
        <v>pitalito</v>
      </c>
      <c r="L914" s="40" t="str">
        <f ca="1">IFERROR(__xludf.DUMMYFUNCTION("""COMPUTED_VALUE"""),"NO HA INICIADO ETAPA PRODUCTIVA")</f>
        <v>NO HA INICIADO ETAPA PRODUCTIVA</v>
      </c>
      <c r="M914" s="40"/>
      <c r="N914" s="40"/>
      <c r="O914" s="40"/>
      <c r="P914" s="40"/>
      <c r="Q914" s="40"/>
      <c r="R914" s="140"/>
      <c r="S914" s="1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t="str">
        <f ca="1">IFERROR(__xludf.DUMMYFUNCTION("""COMPUTED_VALUE"""),"NO_CUMPLE")</f>
        <v>NO_CUMPLE</v>
      </c>
      <c r="AV914" s="40" t="str">
        <f ca="1">IFERROR(__xludf.DUMMYFUNCTION("""COMPUTED_VALUE"""),"EN FORMACION")</f>
        <v>EN FORMACION</v>
      </c>
      <c r="AW914" s="40" t="str">
        <f ca="1">IFERROR(__xludf.DUMMYFUNCTION("""COMPUTED_VALUE"""),"TIC")</f>
        <v>TIC</v>
      </c>
      <c r="AX914" s="141">
        <f ca="1">IFERROR(__xludf.DUMMYFUNCTION("""COMPUTED_VALUE"""),14)</f>
        <v>14</v>
      </c>
      <c r="AY914" s="40">
        <f ca="1">IFERROR(__xludf.DUMMYFUNCTION("""COMPUTED_VALUE"""),14)</f>
        <v>14</v>
      </c>
      <c r="AZ914" s="40">
        <f ca="1">IFERROR(__xludf.DUMMYFUNCTION("""COMPUTED_VALUE"""),1)</f>
        <v>1</v>
      </c>
      <c r="BA914" s="40">
        <f ca="1">IFERROR(__xludf.DUMMYFUNCTION("""COMPUTED_VALUE"""),2)</f>
        <v>2</v>
      </c>
      <c r="BB914" s="40">
        <f ca="1">IFERROR(__xludf.DUMMYFUNCTION("""COMPUTED_VALUE"""),10)</f>
        <v>10</v>
      </c>
      <c r="BC914" s="40">
        <f ca="1">IFERROR(__xludf.DUMMYFUNCTION("""COMPUTED_VALUE"""),27)</f>
        <v>27</v>
      </c>
      <c r="BD914" s="141">
        <f ca="1">IFERROR(__xludf.DUMMYFUNCTION("""COMPUTED_VALUE"""),44585)</f>
        <v>44585</v>
      </c>
      <c r="BE914" s="141">
        <f ca="1">IFERROR(__xludf.DUMMYFUNCTION("""COMPUTED_VALUE"""),44857)</f>
        <v>44857</v>
      </c>
      <c r="BF914" s="141">
        <f ca="1">IFERROR(__xludf.DUMMYFUNCTION("""COMPUTED_VALUE"""),45039)</f>
        <v>45039</v>
      </c>
      <c r="BG914" s="141">
        <f ca="1">IFERROR(__xludf.DUMMYFUNCTION("""COMPUTED_VALUE"""),45588)</f>
        <v>45588</v>
      </c>
      <c r="BH914" s="40" t="str">
        <f ca="1">IFERROR(__xludf.DUMMYFUNCTION("""COMPUTED_VALUE"""),"FICHA EN TIEMPO-18 MESES")</f>
        <v>FICHA EN TIEMPO-18 MESES</v>
      </c>
      <c r="BI914" s="40" t="str">
        <f ca="1">IFERROR(__xludf.DUMMYFUNCTION("""COMPUTED_VALUE"""),"En ejecucion")</f>
        <v>En ejecucion</v>
      </c>
      <c r="BJ914" s="40" t="str">
        <f ca="1">IFERROR(__xludf.DUMMYFUNCTION("""COMPUTED_VALUE"""),"Yamboro")</f>
        <v>Yamboro</v>
      </c>
      <c r="BK914" s="40"/>
      <c r="BL914" s="40"/>
    </row>
    <row r="915" spans="1:64" ht="13">
      <c r="A915" s="40"/>
      <c r="B915" s="40" t="str">
        <f ca="1">IFERROR(__xludf.DUMMYFUNCTION("""COMPUTED_VALUE"""),"FORMACIÓN 18/10/2022")</f>
        <v>FORMACIÓN 18/10/2022</v>
      </c>
      <c r="C915" s="40" t="str">
        <f ca="1">IFERROR(__xludf.DUMMYFUNCTION("""COMPUTED_VALUE"""),"VANESA ALEXANDRA RAMOS PIMENTEL")</f>
        <v>VANESA ALEXANDRA RAMOS PIMENTEL</v>
      </c>
      <c r="D915" s="40" t="str">
        <f ca="1">IFERROR(__xludf.DUMMYFUNCTION("""COMPUTED_VALUE"""),"CC")</f>
        <v>CC</v>
      </c>
      <c r="E915" s="40">
        <f ca="1">IFERROR(__xludf.DUMMYFUNCTION("""COMPUTED_VALUE"""),1003993956)</f>
        <v>1003993956</v>
      </c>
      <c r="F915" s="40">
        <f ca="1">IFERROR(__xludf.DUMMYFUNCTION("""COMPUTED_VALUE"""),2451009)</f>
        <v>2451009</v>
      </c>
      <c r="G915" s="40" t="str">
        <f ca="1">IFERROR(__xludf.DUMMYFUNCTION("""COMPUTED_VALUE"""),"TÉCNICO")</f>
        <v>TÉCNICO</v>
      </c>
      <c r="H915" s="40" t="str">
        <f ca="1">IFERROR(__xludf.DUMMYFUNCTION("""COMPUTED_VALUE"""),"PROGRAMACION DE APLICACIONES PARA DISPOSITIVOS MOVILES")</f>
        <v>PROGRAMACION DE APLICACIONES PARA DISPOSITIVOS MOVILES</v>
      </c>
      <c r="I915" s="40">
        <f ca="1">IFERROR(__xludf.DUMMYFUNCTION("""COMPUTED_VALUE"""),3209061436)</f>
        <v>3209061436</v>
      </c>
      <c r="J915" s="40" t="str">
        <f ca="1">IFERROR(__xludf.DUMMYFUNCTION("""COMPUTED_VALUE"""),"vanesaalexandraramospimentel@gmail.com")</f>
        <v>vanesaalexandraramospimentel@gmail.com</v>
      </c>
      <c r="K915" s="40" t="str">
        <f ca="1">IFERROR(__xludf.DUMMYFUNCTION("""COMPUTED_VALUE"""),"pitalito")</f>
        <v>pitalito</v>
      </c>
      <c r="L915" s="40" t="str">
        <f ca="1">IFERROR(__xludf.DUMMYFUNCTION("""COMPUTED_VALUE"""),"PASANTÍAS")</f>
        <v>PASANTÍAS</v>
      </c>
      <c r="M915" s="40" t="str">
        <f ca="1">IFERROR(__xludf.DUMMYFUNCTION("""COMPUTED_VALUE"""),"SENA - SEDE YAMBORÓ")</f>
        <v>SENA - SEDE YAMBORÓ</v>
      </c>
      <c r="N915" s="40" t="str">
        <f ca="1">IFERROR(__xludf.DUMMYFUNCTION("""COMPUTED_VALUE"""),"PITALITO")</f>
        <v>PITALITO</v>
      </c>
      <c r="O915" s="40">
        <f ca="1">IFERROR(__xludf.DUMMYFUNCTION("""COMPUTED_VALUE"""),3203464628)</f>
        <v>3203464628</v>
      </c>
      <c r="P915" s="40" t="str">
        <f ca="1">IFERROR(__xludf.DUMMYFUNCTION("""COMPUTED_VALUE"""),"PITALITO")</f>
        <v>PITALITO</v>
      </c>
      <c r="Q915" s="40" t="str">
        <f ca="1">IFERROR(__xludf.DUMMYFUNCTION("""COMPUTED_VALUE"""),"apinzonp@sena.edu.co")</f>
        <v>apinzonp@sena.edu.co</v>
      </c>
      <c r="R915" s="140">
        <f ca="1">IFERROR(__xludf.DUMMYFUNCTION("""COMPUTED_VALUE"""),44873)</f>
        <v>44873</v>
      </c>
      <c r="S915" s="140">
        <f ca="1">IFERROR(__xludf.DUMMYFUNCTION("""COMPUTED_VALUE"""),44872)</f>
        <v>44872</v>
      </c>
      <c r="T915" s="40"/>
      <c r="U915" s="40" t="str">
        <f ca="1">IFERROR(__xludf.DUMMYFUNCTION("""COMPUTED_VALUE"""),"Carlos Alberto Bravo Zuniga ")</f>
        <v xml:space="preserve">Carlos Alberto Bravo Zuniga </v>
      </c>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t="str">
        <f ca="1">IFERROR(__xludf.DUMMYFUNCTION("""COMPUTED_VALUE"""),"NO_CUMPLE")</f>
        <v>NO_CUMPLE</v>
      </c>
      <c r="AV915" s="40" t="str">
        <f ca="1">IFERROR(__xludf.DUMMYFUNCTION("""COMPUTED_VALUE"""),"EN FORMACION")</f>
        <v>EN FORMACION</v>
      </c>
      <c r="AW915" s="40" t="str">
        <f ca="1">IFERROR(__xludf.DUMMYFUNCTION("""COMPUTED_VALUE"""),"TIC")</f>
        <v>TIC</v>
      </c>
      <c r="AX915" s="141">
        <f ca="1">IFERROR(__xludf.DUMMYFUNCTION("""COMPUTED_VALUE"""),14)</f>
        <v>14</v>
      </c>
      <c r="AY915" s="40">
        <f ca="1">IFERROR(__xludf.DUMMYFUNCTION("""COMPUTED_VALUE"""),14)</f>
        <v>14</v>
      </c>
      <c r="AZ915" s="40">
        <f ca="1">IFERROR(__xludf.DUMMYFUNCTION("""COMPUTED_VALUE"""),1)</f>
        <v>1</v>
      </c>
      <c r="BA915" s="40">
        <f ca="1">IFERROR(__xludf.DUMMYFUNCTION("""COMPUTED_VALUE"""),2)</f>
        <v>2</v>
      </c>
      <c r="BB915" s="40">
        <f ca="1">IFERROR(__xludf.DUMMYFUNCTION("""COMPUTED_VALUE"""),10)</f>
        <v>10</v>
      </c>
      <c r="BC915" s="40">
        <f ca="1">IFERROR(__xludf.DUMMYFUNCTION("""COMPUTED_VALUE"""),27)</f>
        <v>27</v>
      </c>
      <c r="BD915" s="141">
        <f ca="1">IFERROR(__xludf.DUMMYFUNCTION("""COMPUTED_VALUE"""),44585)</f>
        <v>44585</v>
      </c>
      <c r="BE915" s="141">
        <f ca="1">IFERROR(__xludf.DUMMYFUNCTION("""COMPUTED_VALUE"""),44857)</f>
        <v>44857</v>
      </c>
      <c r="BF915" s="141">
        <f ca="1">IFERROR(__xludf.DUMMYFUNCTION("""COMPUTED_VALUE"""),45039)</f>
        <v>45039</v>
      </c>
      <c r="BG915" s="141">
        <f ca="1">IFERROR(__xludf.DUMMYFUNCTION("""COMPUTED_VALUE"""),45588)</f>
        <v>45588</v>
      </c>
      <c r="BH915" s="40" t="str">
        <f ca="1">IFERROR(__xludf.DUMMYFUNCTION("""COMPUTED_VALUE"""),"FICHA EN TIEMPO-18 MESES")</f>
        <v>FICHA EN TIEMPO-18 MESES</v>
      </c>
      <c r="BI915" s="40" t="str">
        <f ca="1">IFERROR(__xludf.DUMMYFUNCTION("""COMPUTED_VALUE"""),"En ejecucion")</f>
        <v>En ejecucion</v>
      </c>
      <c r="BJ915" s="40" t="str">
        <f ca="1">IFERROR(__xludf.DUMMYFUNCTION("""COMPUTED_VALUE"""),"Yamboro")</f>
        <v>Yamboro</v>
      </c>
      <c r="BK915" s="40"/>
      <c r="BL915" s="40"/>
    </row>
    <row r="916" spans="1:64" ht="13">
      <c r="A916" s="40"/>
      <c r="B916" s="40" t="str">
        <f ca="1">IFERROR(__xludf.DUMMYFUNCTION("""COMPUTED_VALUE"""),"FORMACIÓN 18/10/2022")</f>
        <v>FORMACIÓN 18/10/2022</v>
      </c>
      <c r="C916" s="40" t="str">
        <f ca="1">IFERROR(__xludf.DUMMYFUNCTION("""COMPUTED_VALUE"""),"JUAN JOSE OVIEDO RODRIGUEZ")</f>
        <v>JUAN JOSE OVIEDO RODRIGUEZ</v>
      </c>
      <c r="D916" s="40" t="str">
        <f ca="1">IFERROR(__xludf.DUMMYFUNCTION("""COMPUTED_VALUE"""),"CC")</f>
        <v>CC</v>
      </c>
      <c r="E916" s="40">
        <f ca="1">IFERROR(__xludf.DUMMYFUNCTION("""COMPUTED_VALUE"""),1005706529)</f>
        <v>1005706529</v>
      </c>
      <c r="F916" s="40">
        <f ca="1">IFERROR(__xludf.DUMMYFUNCTION("""COMPUTED_VALUE"""),2451009)</f>
        <v>2451009</v>
      </c>
      <c r="G916" s="40" t="str">
        <f ca="1">IFERROR(__xludf.DUMMYFUNCTION("""COMPUTED_VALUE"""),"TÉCNICO")</f>
        <v>TÉCNICO</v>
      </c>
      <c r="H916" s="40" t="str">
        <f ca="1">IFERROR(__xludf.DUMMYFUNCTION("""COMPUTED_VALUE"""),"PROGRAMACION DE APLICACIONES PARA DISPOSITIVOS MOVILES")</f>
        <v>PROGRAMACION DE APLICACIONES PARA DISPOSITIVOS MOVILES</v>
      </c>
      <c r="I916" s="40">
        <f ca="1">IFERROR(__xludf.DUMMYFUNCTION("""COMPUTED_VALUE"""),3223943356)</f>
        <v>3223943356</v>
      </c>
      <c r="J916" s="40" t="str">
        <f ca="1">IFERROR(__xludf.DUMMYFUNCTION("""COMPUTED_VALUE"""),"j.o.r.sandoval13@gmail.com")</f>
        <v>j.o.r.sandoval13@gmail.com</v>
      </c>
      <c r="K916" s="40" t="str">
        <f ca="1">IFERROR(__xludf.DUMMYFUNCTION("""COMPUTED_VALUE"""),"pitalito")</f>
        <v>pitalito</v>
      </c>
      <c r="L916" s="40" t="str">
        <f ca="1">IFERROR(__xludf.DUMMYFUNCTION("""COMPUTED_VALUE"""),"CONTRATO DE APRENDIZAJE ")</f>
        <v xml:space="preserve">CONTRATO DE APRENDIZAJE </v>
      </c>
      <c r="M916" s="40" t="str">
        <f ca="1">IFERROR(__xludf.DUMMYFUNCTION("""COMPUTED_VALUE"""),"REENCAUCHADORA SUPERIOR S A")</f>
        <v>REENCAUCHADORA SUPERIOR S A</v>
      </c>
      <c r="N916" s="40" t="str">
        <f ca="1">IFERROR(__xludf.DUMMYFUNCTION("""COMPUTED_VALUE"""),"CALLE 14 SUR 6 -120")</f>
        <v>CALLE 14 SUR 6 -120</v>
      </c>
      <c r="O916" s="40">
        <f ca="1">IFERROR(__xludf.DUMMYFUNCTION("""COMPUTED_VALUE"""),3222477513)</f>
        <v>3222477513</v>
      </c>
      <c r="P916" s="40" t="str">
        <f ca="1">IFERROR(__xludf.DUMMYFUNCTION("""COMPUTED_VALUE"""),"NEIVA")</f>
        <v>NEIVA</v>
      </c>
      <c r="Q916" s="40" t="str">
        <f ca="1">IFERROR(__xludf.DUMMYFUNCTION("""COMPUTED_VALUE"""),"reensuper@gmail.com")</f>
        <v>reensuper@gmail.com</v>
      </c>
      <c r="R916" s="140">
        <f ca="1">IFERROR(__xludf.DUMMYFUNCTION("""COMPUTED_VALUE"""),44859)</f>
        <v>44859</v>
      </c>
      <c r="S916" s="140">
        <f ca="1">IFERROR(__xludf.DUMMYFUNCTION("""COMPUTED_VALUE"""),45039)</f>
        <v>45039</v>
      </c>
      <c r="T916" s="40"/>
      <c r="U916" s="40" t="str">
        <f ca="1">IFERROR(__xludf.DUMMYFUNCTION("""COMPUTED_VALUE"""),"POR ASIGNAR")</f>
        <v>POR ASIGNAR</v>
      </c>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t="str">
        <f ca="1">IFERROR(__xludf.DUMMYFUNCTION("""COMPUTED_VALUE"""),"NO_CUMPLE")</f>
        <v>NO_CUMPLE</v>
      </c>
      <c r="AV916" s="40" t="str">
        <f ca="1">IFERROR(__xludf.DUMMYFUNCTION("""COMPUTED_VALUE"""),"EN FORMACION")</f>
        <v>EN FORMACION</v>
      </c>
      <c r="AW916" s="40" t="str">
        <f ca="1">IFERROR(__xludf.DUMMYFUNCTION("""COMPUTED_VALUE"""),"TIC")</f>
        <v>TIC</v>
      </c>
      <c r="AX916" s="141">
        <f ca="1">IFERROR(__xludf.DUMMYFUNCTION("""COMPUTED_VALUE"""),14)</f>
        <v>14</v>
      </c>
      <c r="AY916" s="40">
        <f ca="1">IFERROR(__xludf.DUMMYFUNCTION("""COMPUTED_VALUE"""),14)</f>
        <v>14</v>
      </c>
      <c r="AZ916" s="40">
        <f ca="1">IFERROR(__xludf.DUMMYFUNCTION("""COMPUTED_VALUE"""),1)</f>
        <v>1</v>
      </c>
      <c r="BA916" s="40">
        <f ca="1">IFERROR(__xludf.DUMMYFUNCTION("""COMPUTED_VALUE"""),2)</f>
        <v>2</v>
      </c>
      <c r="BB916" s="40">
        <f ca="1">IFERROR(__xludf.DUMMYFUNCTION("""COMPUTED_VALUE"""),10)</f>
        <v>10</v>
      </c>
      <c r="BC916" s="40">
        <f ca="1">IFERROR(__xludf.DUMMYFUNCTION("""COMPUTED_VALUE"""),27)</f>
        <v>27</v>
      </c>
      <c r="BD916" s="141">
        <f ca="1">IFERROR(__xludf.DUMMYFUNCTION("""COMPUTED_VALUE"""),44585)</f>
        <v>44585</v>
      </c>
      <c r="BE916" s="141">
        <f ca="1">IFERROR(__xludf.DUMMYFUNCTION("""COMPUTED_VALUE"""),44857)</f>
        <v>44857</v>
      </c>
      <c r="BF916" s="141">
        <f ca="1">IFERROR(__xludf.DUMMYFUNCTION("""COMPUTED_VALUE"""),45039)</f>
        <v>45039</v>
      </c>
      <c r="BG916" s="141">
        <f ca="1">IFERROR(__xludf.DUMMYFUNCTION("""COMPUTED_VALUE"""),45588)</f>
        <v>45588</v>
      </c>
      <c r="BH916" s="40" t="str">
        <f ca="1">IFERROR(__xludf.DUMMYFUNCTION("""COMPUTED_VALUE"""),"FICHA EN TIEMPO-18 MESES")</f>
        <v>FICHA EN TIEMPO-18 MESES</v>
      </c>
      <c r="BI916" s="40" t="str">
        <f ca="1">IFERROR(__xludf.DUMMYFUNCTION("""COMPUTED_VALUE"""),"En ejecucion")</f>
        <v>En ejecucion</v>
      </c>
      <c r="BJ916" s="40" t="str">
        <f ca="1">IFERROR(__xludf.DUMMYFUNCTION("""COMPUTED_VALUE"""),"Yamboro")</f>
        <v>Yamboro</v>
      </c>
      <c r="BK916" s="40"/>
      <c r="BL916" s="40"/>
    </row>
    <row r="917" spans="1:64" ht="13">
      <c r="A917" s="40"/>
      <c r="B917" s="40" t="str">
        <f ca="1">IFERROR(__xludf.DUMMYFUNCTION("""COMPUTED_VALUE"""),"FORMACIÓN 18/10/2022")</f>
        <v>FORMACIÓN 18/10/2022</v>
      </c>
      <c r="C917" s="40" t="str">
        <f ca="1">IFERROR(__xludf.DUMMYFUNCTION("""COMPUTED_VALUE"""),"CAMILA CACERES MORA")</f>
        <v>CAMILA CACERES MORA</v>
      </c>
      <c r="D917" s="40" t="str">
        <f ca="1">IFERROR(__xludf.DUMMYFUNCTION("""COMPUTED_VALUE"""),"CC")</f>
        <v>CC</v>
      </c>
      <c r="E917" s="40">
        <f ca="1">IFERROR(__xludf.DUMMYFUNCTION("""COMPUTED_VALUE"""),1007163826)</f>
        <v>1007163826</v>
      </c>
      <c r="F917" s="40">
        <f ca="1">IFERROR(__xludf.DUMMYFUNCTION("""COMPUTED_VALUE"""),2451009)</f>
        <v>2451009</v>
      </c>
      <c r="G917" s="40" t="str">
        <f ca="1">IFERROR(__xludf.DUMMYFUNCTION("""COMPUTED_VALUE"""),"TÉCNICO")</f>
        <v>TÉCNICO</v>
      </c>
      <c r="H917" s="40" t="str">
        <f ca="1">IFERROR(__xludf.DUMMYFUNCTION("""COMPUTED_VALUE"""),"PROGRAMACION DE APLICACIONES PARA DISPOSITIVOS MOVILES")</f>
        <v>PROGRAMACION DE APLICACIONES PARA DISPOSITIVOS MOVILES</v>
      </c>
      <c r="I917" s="40">
        <f ca="1">IFERROR(__xludf.DUMMYFUNCTION("""COMPUTED_VALUE"""),3154999223)</f>
        <v>3154999223</v>
      </c>
      <c r="J917" s="40" t="str">
        <f ca="1">IFERROR(__xludf.DUMMYFUNCTION("""COMPUTED_VALUE"""),"camilacaceresmora2003@gmail.com")</f>
        <v>camilacaceresmora2003@gmail.com</v>
      </c>
      <c r="K917" s="40" t="str">
        <f ca="1">IFERROR(__xludf.DUMMYFUNCTION("""COMPUTED_VALUE"""),"pitalito")</f>
        <v>pitalito</v>
      </c>
      <c r="L917" s="40" t="str">
        <f ca="1">IFERROR(__xludf.DUMMYFUNCTION("""COMPUTED_VALUE"""),"NO HA INICIADO ETAPA PRODUCTIVA")</f>
        <v>NO HA INICIADO ETAPA PRODUCTIVA</v>
      </c>
      <c r="M917" s="40"/>
      <c r="N917" s="40"/>
      <c r="O917" s="40"/>
      <c r="P917" s="40"/>
      <c r="Q917" s="40"/>
      <c r="R917" s="140"/>
      <c r="S917" s="1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t="str">
        <f ca="1">IFERROR(__xludf.DUMMYFUNCTION("""COMPUTED_VALUE"""),"NO_CUMPLE")</f>
        <v>NO_CUMPLE</v>
      </c>
      <c r="AV917" s="40" t="str">
        <f ca="1">IFERROR(__xludf.DUMMYFUNCTION("""COMPUTED_VALUE"""),"EN FORMACION")</f>
        <v>EN FORMACION</v>
      </c>
      <c r="AW917" s="40" t="str">
        <f ca="1">IFERROR(__xludf.DUMMYFUNCTION("""COMPUTED_VALUE"""),"TIC")</f>
        <v>TIC</v>
      </c>
      <c r="AX917" s="141">
        <f ca="1">IFERROR(__xludf.DUMMYFUNCTION("""COMPUTED_VALUE"""),14)</f>
        <v>14</v>
      </c>
      <c r="AY917" s="40">
        <f ca="1">IFERROR(__xludf.DUMMYFUNCTION("""COMPUTED_VALUE"""),14)</f>
        <v>14</v>
      </c>
      <c r="AZ917" s="40">
        <f ca="1">IFERROR(__xludf.DUMMYFUNCTION("""COMPUTED_VALUE"""),1)</f>
        <v>1</v>
      </c>
      <c r="BA917" s="40">
        <f ca="1">IFERROR(__xludf.DUMMYFUNCTION("""COMPUTED_VALUE"""),2)</f>
        <v>2</v>
      </c>
      <c r="BB917" s="40">
        <f ca="1">IFERROR(__xludf.DUMMYFUNCTION("""COMPUTED_VALUE"""),10)</f>
        <v>10</v>
      </c>
      <c r="BC917" s="40">
        <f ca="1">IFERROR(__xludf.DUMMYFUNCTION("""COMPUTED_VALUE"""),27)</f>
        <v>27</v>
      </c>
      <c r="BD917" s="141">
        <f ca="1">IFERROR(__xludf.DUMMYFUNCTION("""COMPUTED_VALUE"""),44585)</f>
        <v>44585</v>
      </c>
      <c r="BE917" s="141">
        <f ca="1">IFERROR(__xludf.DUMMYFUNCTION("""COMPUTED_VALUE"""),44857)</f>
        <v>44857</v>
      </c>
      <c r="BF917" s="141">
        <f ca="1">IFERROR(__xludf.DUMMYFUNCTION("""COMPUTED_VALUE"""),45039)</f>
        <v>45039</v>
      </c>
      <c r="BG917" s="141">
        <f ca="1">IFERROR(__xludf.DUMMYFUNCTION("""COMPUTED_VALUE"""),45588)</f>
        <v>45588</v>
      </c>
      <c r="BH917" s="40" t="str">
        <f ca="1">IFERROR(__xludf.DUMMYFUNCTION("""COMPUTED_VALUE"""),"FICHA EN TIEMPO-18 MESES")</f>
        <v>FICHA EN TIEMPO-18 MESES</v>
      </c>
      <c r="BI917" s="40" t="str">
        <f ca="1">IFERROR(__xludf.DUMMYFUNCTION("""COMPUTED_VALUE"""),"En ejecucion")</f>
        <v>En ejecucion</v>
      </c>
      <c r="BJ917" s="40" t="str">
        <f ca="1">IFERROR(__xludf.DUMMYFUNCTION("""COMPUTED_VALUE"""),"Yamboro")</f>
        <v>Yamboro</v>
      </c>
      <c r="BK917" s="40"/>
      <c r="BL917" s="40"/>
    </row>
    <row r="918" spans="1:64" ht="13">
      <c r="A918" s="40"/>
      <c r="B918" s="40" t="str">
        <f ca="1">IFERROR(__xludf.DUMMYFUNCTION("""COMPUTED_VALUE"""),"FORMACIÓN 18/10/2022")</f>
        <v>FORMACIÓN 18/10/2022</v>
      </c>
      <c r="C918" s="40" t="str">
        <f ca="1">IFERROR(__xludf.DUMMYFUNCTION("""COMPUTED_VALUE"""),"YURI NATALIA TORRES BOLAÑOS")</f>
        <v>YURI NATALIA TORRES BOLAÑOS</v>
      </c>
      <c r="D918" s="40" t="str">
        <f ca="1">IFERROR(__xludf.DUMMYFUNCTION("""COMPUTED_VALUE"""),"CC")</f>
        <v>CC</v>
      </c>
      <c r="E918" s="40">
        <f ca="1">IFERROR(__xludf.DUMMYFUNCTION("""COMPUTED_VALUE"""),1007587211)</f>
        <v>1007587211</v>
      </c>
      <c r="F918" s="40">
        <f ca="1">IFERROR(__xludf.DUMMYFUNCTION("""COMPUTED_VALUE"""),2451009)</f>
        <v>2451009</v>
      </c>
      <c r="G918" s="40" t="str">
        <f ca="1">IFERROR(__xludf.DUMMYFUNCTION("""COMPUTED_VALUE"""),"TÉCNICO")</f>
        <v>TÉCNICO</v>
      </c>
      <c r="H918" s="40" t="str">
        <f ca="1">IFERROR(__xludf.DUMMYFUNCTION("""COMPUTED_VALUE"""),"PROGRAMACION DE APLICACIONES PARA DISPOSITIVOS MOVILES")</f>
        <v>PROGRAMACION DE APLICACIONES PARA DISPOSITIVOS MOVILES</v>
      </c>
      <c r="I918" s="40">
        <f ca="1">IFERROR(__xludf.DUMMYFUNCTION("""COMPUTED_VALUE"""),3132036644)</f>
        <v>3132036644</v>
      </c>
      <c r="J918" s="40" t="str">
        <f ca="1">IFERROR(__xludf.DUMMYFUNCTION("""COMPUTED_VALUE"""),"Natalia.torrez75@gmail.com")</f>
        <v>Natalia.torrez75@gmail.com</v>
      </c>
      <c r="K918" s="40" t="str">
        <f ca="1">IFERROR(__xludf.DUMMYFUNCTION("""COMPUTED_VALUE"""),"pitalito")</f>
        <v>pitalito</v>
      </c>
      <c r="L918" s="40" t="str">
        <f ca="1">IFERROR(__xludf.DUMMYFUNCTION("""COMPUTED_VALUE"""),"CONTRATO DE APRENDIZAJE")</f>
        <v>CONTRATO DE APRENDIZAJE</v>
      </c>
      <c r="M918" s="40" t="str">
        <f ca="1">IFERROR(__xludf.DUMMYFUNCTION("""COMPUTED_VALUE"""),"APOYO INVISIBLE S.A.S.")</f>
        <v>APOYO INVISIBLE S.A.S.</v>
      </c>
      <c r="N918" s="40" t="str">
        <f ca="1">IFERROR(__xludf.DUMMYFUNCTION("""COMPUTED_VALUE"""),"Cra. 11B #99-25")</f>
        <v>Cra. 11B #99-25</v>
      </c>
      <c r="O918" s="40">
        <f ca="1">IFERROR(__xludf.DUMMYFUNCTION("""COMPUTED_VALUE"""),3115263031)</f>
        <v>3115263031</v>
      </c>
      <c r="P918" s="40" t="str">
        <f ca="1">IFERROR(__xludf.DUMMYFUNCTION("""COMPUTED_VALUE"""),"BOGOTA ")</f>
        <v xml:space="preserve">BOGOTA </v>
      </c>
      <c r="Q918" s="40" t="str">
        <f ca="1">IFERROR(__xludf.DUMMYFUNCTION("""COMPUTED_VALUE"""),"jennifer.suarez@elenas.la")</f>
        <v>jennifer.suarez@elenas.la</v>
      </c>
      <c r="R918" s="140">
        <f ca="1">IFERROR(__xludf.DUMMYFUNCTION("""COMPUTED_VALUE"""),44873)</f>
        <v>44873</v>
      </c>
      <c r="S918" s="140">
        <f ca="1">IFERROR(__xludf.DUMMYFUNCTION("""COMPUTED_VALUE"""),45053)</f>
        <v>45053</v>
      </c>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t="str">
        <f ca="1">IFERROR(__xludf.DUMMYFUNCTION("""COMPUTED_VALUE"""),"NO_CUMPLE")</f>
        <v>NO_CUMPLE</v>
      </c>
      <c r="AV918" s="40" t="str">
        <f ca="1">IFERROR(__xludf.DUMMYFUNCTION("""COMPUTED_VALUE"""),"EN FORMACION")</f>
        <v>EN FORMACION</v>
      </c>
      <c r="AW918" s="40" t="str">
        <f ca="1">IFERROR(__xludf.DUMMYFUNCTION("""COMPUTED_VALUE"""),"TIC")</f>
        <v>TIC</v>
      </c>
      <c r="AX918" s="141">
        <f ca="1">IFERROR(__xludf.DUMMYFUNCTION("""COMPUTED_VALUE"""),14)</f>
        <v>14</v>
      </c>
      <c r="AY918" s="40">
        <f ca="1">IFERROR(__xludf.DUMMYFUNCTION("""COMPUTED_VALUE"""),14)</f>
        <v>14</v>
      </c>
      <c r="AZ918" s="40">
        <f ca="1">IFERROR(__xludf.DUMMYFUNCTION("""COMPUTED_VALUE"""),1)</f>
        <v>1</v>
      </c>
      <c r="BA918" s="40">
        <f ca="1">IFERROR(__xludf.DUMMYFUNCTION("""COMPUTED_VALUE"""),2)</f>
        <v>2</v>
      </c>
      <c r="BB918" s="40">
        <f ca="1">IFERROR(__xludf.DUMMYFUNCTION("""COMPUTED_VALUE"""),10)</f>
        <v>10</v>
      </c>
      <c r="BC918" s="40">
        <f ca="1">IFERROR(__xludf.DUMMYFUNCTION("""COMPUTED_VALUE"""),27)</f>
        <v>27</v>
      </c>
      <c r="BD918" s="141">
        <f ca="1">IFERROR(__xludf.DUMMYFUNCTION("""COMPUTED_VALUE"""),44585)</f>
        <v>44585</v>
      </c>
      <c r="BE918" s="141">
        <f ca="1">IFERROR(__xludf.DUMMYFUNCTION("""COMPUTED_VALUE"""),44857)</f>
        <v>44857</v>
      </c>
      <c r="BF918" s="141">
        <f ca="1">IFERROR(__xludf.DUMMYFUNCTION("""COMPUTED_VALUE"""),45039)</f>
        <v>45039</v>
      </c>
      <c r="BG918" s="141">
        <f ca="1">IFERROR(__xludf.DUMMYFUNCTION("""COMPUTED_VALUE"""),45588)</f>
        <v>45588</v>
      </c>
      <c r="BH918" s="40" t="str">
        <f ca="1">IFERROR(__xludf.DUMMYFUNCTION("""COMPUTED_VALUE"""),"FICHA EN TIEMPO-18 MESES")</f>
        <v>FICHA EN TIEMPO-18 MESES</v>
      </c>
      <c r="BI918" s="40" t="str">
        <f ca="1">IFERROR(__xludf.DUMMYFUNCTION("""COMPUTED_VALUE"""),"En ejecucion")</f>
        <v>En ejecucion</v>
      </c>
      <c r="BJ918" s="40" t="str">
        <f ca="1">IFERROR(__xludf.DUMMYFUNCTION("""COMPUTED_VALUE"""),"Yamboro")</f>
        <v>Yamboro</v>
      </c>
      <c r="BK918" s="40"/>
      <c r="BL918" s="40"/>
    </row>
    <row r="919" spans="1:64" ht="13">
      <c r="A919" s="40"/>
      <c r="B919" s="40" t="str">
        <f ca="1">IFERROR(__xludf.DUMMYFUNCTION("""COMPUTED_VALUE"""),"FORMACIÓN 18/10/2022")</f>
        <v>FORMACIÓN 18/10/2022</v>
      </c>
      <c r="C919" s="40" t="str">
        <f ca="1">IFERROR(__xludf.DUMMYFUNCTION("""COMPUTED_VALUE"""),"JUAN DAVID GUTIERREZ VIDAL")</f>
        <v>JUAN DAVID GUTIERREZ VIDAL</v>
      </c>
      <c r="D919" s="40" t="str">
        <f ca="1">IFERROR(__xludf.DUMMYFUNCTION("""COMPUTED_VALUE"""),"TI")</f>
        <v>TI</v>
      </c>
      <c r="E919" s="40">
        <f ca="1">IFERROR(__xludf.DUMMYFUNCTION("""COMPUTED_VALUE"""),1012328451)</f>
        <v>1012328451</v>
      </c>
      <c r="F919" s="40">
        <f ca="1">IFERROR(__xludf.DUMMYFUNCTION("""COMPUTED_VALUE"""),2451009)</f>
        <v>2451009</v>
      </c>
      <c r="G919" s="40" t="str">
        <f ca="1">IFERROR(__xludf.DUMMYFUNCTION("""COMPUTED_VALUE"""),"TÉCNICO")</f>
        <v>TÉCNICO</v>
      </c>
      <c r="H919" s="40" t="str">
        <f ca="1">IFERROR(__xludf.DUMMYFUNCTION("""COMPUTED_VALUE"""),"PROGRAMACION DE APLICACIONES PARA DISPOSITIVOS MOVILES")</f>
        <v>PROGRAMACION DE APLICACIONES PARA DISPOSITIVOS MOVILES</v>
      </c>
      <c r="I919" s="40">
        <f ca="1">IFERROR(__xludf.DUMMYFUNCTION("""COMPUTED_VALUE"""),3209527912)</f>
        <v>3209527912</v>
      </c>
      <c r="J919" s="40" t="str">
        <f ca="1">IFERROR(__xludf.DUMMYFUNCTION("""COMPUTED_VALUE"""),"gutirrezvidalj@gmail.com")</f>
        <v>gutirrezvidalj@gmail.com</v>
      </c>
      <c r="K919" s="40" t="str">
        <f ca="1">IFERROR(__xludf.DUMMYFUNCTION("""COMPUTED_VALUE"""),"pitalito")</f>
        <v>pitalito</v>
      </c>
      <c r="L919" s="40" t="str">
        <f ca="1">IFERROR(__xludf.DUMMYFUNCTION("""COMPUTED_VALUE"""),"NO HA INICIADO ETAPA PRODUCTIVA")</f>
        <v>NO HA INICIADO ETAPA PRODUCTIVA</v>
      </c>
      <c r="M919" s="40"/>
      <c r="N919" s="40"/>
      <c r="O919" s="40"/>
      <c r="P919" s="40"/>
      <c r="Q919" s="40"/>
      <c r="R919" s="140"/>
      <c r="S919" s="1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t="str">
        <f ca="1">IFERROR(__xludf.DUMMYFUNCTION("""COMPUTED_VALUE"""),"NO_CUMPLE")</f>
        <v>NO_CUMPLE</v>
      </c>
      <c r="AV919" s="40" t="str">
        <f ca="1">IFERROR(__xludf.DUMMYFUNCTION("""COMPUTED_VALUE"""),"EN FORMACION")</f>
        <v>EN FORMACION</v>
      </c>
      <c r="AW919" s="40" t="str">
        <f ca="1">IFERROR(__xludf.DUMMYFUNCTION("""COMPUTED_VALUE"""),"TIC")</f>
        <v>TIC</v>
      </c>
      <c r="AX919" s="141">
        <f ca="1">IFERROR(__xludf.DUMMYFUNCTION("""COMPUTED_VALUE"""),14)</f>
        <v>14</v>
      </c>
      <c r="AY919" s="40">
        <f ca="1">IFERROR(__xludf.DUMMYFUNCTION("""COMPUTED_VALUE"""),14)</f>
        <v>14</v>
      </c>
      <c r="AZ919" s="40">
        <f ca="1">IFERROR(__xludf.DUMMYFUNCTION("""COMPUTED_VALUE"""),1)</f>
        <v>1</v>
      </c>
      <c r="BA919" s="40">
        <f ca="1">IFERROR(__xludf.DUMMYFUNCTION("""COMPUTED_VALUE"""),2)</f>
        <v>2</v>
      </c>
      <c r="BB919" s="40">
        <f ca="1">IFERROR(__xludf.DUMMYFUNCTION("""COMPUTED_VALUE"""),10)</f>
        <v>10</v>
      </c>
      <c r="BC919" s="40">
        <f ca="1">IFERROR(__xludf.DUMMYFUNCTION("""COMPUTED_VALUE"""),27)</f>
        <v>27</v>
      </c>
      <c r="BD919" s="141">
        <f ca="1">IFERROR(__xludf.DUMMYFUNCTION("""COMPUTED_VALUE"""),44585)</f>
        <v>44585</v>
      </c>
      <c r="BE919" s="141">
        <f ca="1">IFERROR(__xludf.DUMMYFUNCTION("""COMPUTED_VALUE"""),44857)</f>
        <v>44857</v>
      </c>
      <c r="BF919" s="141">
        <f ca="1">IFERROR(__xludf.DUMMYFUNCTION("""COMPUTED_VALUE"""),45039)</f>
        <v>45039</v>
      </c>
      <c r="BG919" s="141">
        <f ca="1">IFERROR(__xludf.DUMMYFUNCTION("""COMPUTED_VALUE"""),45588)</f>
        <v>45588</v>
      </c>
      <c r="BH919" s="40" t="str">
        <f ca="1">IFERROR(__xludf.DUMMYFUNCTION("""COMPUTED_VALUE"""),"FICHA EN TIEMPO-18 MESES")</f>
        <v>FICHA EN TIEMPO-18 MESES</v>
      </c>
      <c r="BI919" s="40" t="str">
        <f ca="1">IFERROR(__xludf.DUMMYFUNCTION("""COMPUTED_VALUE"""),"En ejecucion")</f>
        <v>En ejecucion</v>
      </c>
      <c r="BJ919" s="40" t="str">
        <f ca="1">IFERROR(__xludf.DUMMYFUNCTION("""COMPUTED_VALUE"""),"Yamboro")</f>
        <v>Yamboro</v>
      </c>
      <c r="BK919" s="40"/>
      <c r="BL919" s="40"/>
    </row>
    <row r="920" spans="1:64" ht="13">
      <c r="A920" s="40"/>
      <c r="B920" s="40" t="str">
        <f ca="1">IFERROR(__xludf.DUMMYFUNCTION("""COMPUTED_VALUE"""),"FORMACIÓN 18/10/2022")</f>
        <v>FORMACIÓN 18/10/2022</v>
      </c>
      <c r="C920" s="40" t="str">
        <f ca="1">IFERROR(__xludf.DUMMYFUNCTION("""COMPUTED_VALUE"""),"HANZ VARGAS DIAZ")</f>
        <v>HANZ VARGAS DIAZ</v>
      </c>
      <c r="D920" s="40" t="str">
        <f ca="1">IFERROR(__xludf.DUMMYFUNCTION("""COMPUTED_VALUE"""),"TI")</f>
        <v>TI</v>
      </c>
      <c r="E920" s="40">
        <f ca="1">IFERROR(__xludf.DUMMYFUNCTION("""COMPUTED_VALUE"""),1079534526)</f>
        <v>1079534526</v>
      </c>
      <c r="F920" s="40">
        <f ca="1">IFERROR(__xludf.DUMMYFUNCTION("""COMPUTED_VALUE"""),2451009)</f>
        <v>2451009</v>
      </c>
      <c r="G920" s="40" t="str">
        <f ca="1">IFERROR(__xludf.DUMMYFUNCTION("""COMPUTED_VALUE"""),"TÉCNICO")</f>
        <v>TÉCNICO</v>
      </c>
      <c r="H920" s="40" t="str">
        <f ca="1">IFERROR(__xludf.DUMMYFUNCTION("""COMPUTED_VALUE"""),"PROGRAMACION DE APLICACIONES PARA DISPOSITIVOS MOVILES")</f>
        <v>PROGRAMACION DE APLICACIONES PARA DISPOSITIVOS MOVILES</v>
      </c>
      <c r="I920" s="40">
        <f ca="1">IFERROR(__xludf.DUMMYFUNCTION("""COMPUTED_VALUE"""),3184008052)</f>
        <v>3184008052</v>
      </c>
      <c r="J920" s="40" t="str">
        <f ca="1">IFERROR(__xludf.DUMMYFUNCTION("""COMPUTED_VALUE"""),"hanz.vargas@gmail.com")</f>
        <v>hanz.vargas@gmail.com</v>
      </c>
      <c r="K920" s="40" t="str">
        <f ca="1">IFERROR(__xludf.DUMMYFUNCTION("""COMPUTED_VALUE"""),"pitalito")</f>
        <v>pitalito</v>
      </c>
      <c r="L920" s="40" t="str">
        <f ca="1">IFERROR(__xludf.DUMMYFUNCTION("""COMPUTED_VALUE"""),"NO HA INICIADO ETAPA PRODUCTIVA")</f>
        <v>NO HA INICIADO ETAPA PRODUCTIVA</v>
      </c>
      <c r="M920" s="40"/>
      <c r="N920" s="40"/>
      <c r="O920" s="40"/>
      <c r="P920" s="40"/>
      <c r="Q920" s="40"/>
      <c r="R920" s="140"/>
      <c r="S920" s="1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t="str">
        <f ca="1">IFERROR(__xludf.DUMMYFUNCTION("""COMPUTED_VALUE"""),"NO_CUMPLE")</f>
        <v>NO_CUMPLE</v>
      </c>
      <c r="AV920" s="40" t="str">
        <f ca="1">IFERROR(__xludf.DUMMYFUNCTION("""COMPUTED_VALUE"""),"EN FORMACION")</f>
        <v>EN FORMACION</v>
      </c>
      <c r="AW920" s="40" t="str">
        <f ca="1">IFERROR(__xludf.DUMMYFUNCTION("""COMPUTED_VALUE"""),"TIC")</f>
        <v>TIC</v>
      </c>
      <c r="AX920" s="141">
        <f ca="1">IFERROR(__xludf.DUMMYFUNCTION("""COMPUTED_VALUE"""),14)</f>
        <v>14</v>
      </c>
      <c r="AY920" s="40">
        <f ca="1">IFERROR(__xludf.DUMMYFUNCTION("""COMPUTED_VALUE"""),14)</f>
        <v>14</v>
      </c>
      <c r="AZ920" s="40">
        <f ca="1">IFERROR(__xludf.DUMMYFUNCTION("""COMPUTED_VALUE"""),1)</f>
        <v>1</v>
      </c>
      <c r="BA920" s="40">
        <f ca="1">IFERROR(__xludf.DUMMYFUNCTION("""COMPUTED_VALUE"""),2)</f>
        <v>2</v>
      </c>
      <c r="BB920" s="40">
        <f ca="1">IFERROR(__xludf.DUMMYFUNCTION("""COMPUTED_VALUE"""),10)</f>
        <v>10</v>
      </c>
      <c r="BC920" s="40">
        <f ca="1">IFERROR(__xludf.DUMMYFUNCTION("""COMPUTED_VALUE"""),27)</f>
        <v>27</v>
      </c>
      <c r="BD920" s="141">
        <f ca="1">IFERROR(__xludf.DUMMYFUNCTION("""COMPUTED_VALUE"""),44585)</f>
        <v>44585</v>
      </c>
      <c r="BE920" s="141">
        <f ca="1">IFERROR(__xludf.DUMMYFUNCTION("""COMPUTED_VALUE"""),44857)</f>
        <v>44857</v>
      </c>
      <c r="BF920" s="141">
        <f ca="1">IFERROR(__xludf.DUMMYFUNCTION("""COMPUTED_VALUE"""),45039)</f>
        <v>45039</v>
      </c>
      <c r="BG920" s="141">
        <f ca="1">IFERROR(__xludf.DUMMYFUNCTION("""COMPUTED_VALUE"""),45588)</f>
        <v>45588</v>
      </c>
      <c r="BH920" s="40" t="str">
        <f ca="1">IFERROR(__xludf.DUMMYFUNCTION("""COMPUTED_VALUE"""),"FICHA EN TIEMPO-18 MESES")</f>
        <v>FICHA EN TIEMPO-18 MESES</v>
      </c>
      <c r="BI920" s="40" t="str">
        <f ca="1">IFERROR(__xludf.DUMMYFUNCTION("""COMPUTED_VALUE"""),"En ejecucion")</f>
        <v>En ejecucion</v>
      </c>
      <c r="BJ920" s="40" t="str">
        <f ca="1">IFERROR(__xludf.DUMMYFUNCTION("""COMPUTED_VALUE"""),"Yamboro")</f>
        <v>Yamboro</v>
      </c>
      <c r="BK920" s="40"/>
      <c r="BL920" s="40"/>
    </row>
    <row r="921" spans="1:64" ht="13">
      <c r="A921" s="40"/>
      <c r="B921" s="40" t="str">
        <f ca="1">IFERROR(__xludf.DUMMYFUNCTION("""COMPUTED_VALUE"""),"FORMACIÓN 18/10/2022")</f>
        <v>FORMACIÓN 18/10/2022</v>
      </c>
      <c r="C921" s="40" t="str">
        <f ca="1">IFERROR(__xludf.DUMMYFUNCTION("""COMPUTED_VALUE"""),"DIEGO ALEJANDRO VILLARUEL GONZALEZ")</f>
        <v>DIEGO ALEJANDRO VILLARUEL GONZALEZ</v>
      </c>
      <c r="D921" s="40" t="str">
        <f ca="1">IFERROR(__xludf.DUMMYFUNCTION("""COMPUTED_VALUE"""),"TI")</f>
        <v>TI</v>
      </c>
      <c r="E921" s="40">
        <f ca="1">IFERROR(__xludf.DUMMYFUNCTION("""COMPUTED_VALUE"""),1083866437)</f>
        <v>1083866437</v>
      </c>
      <c r="F921" s="40">
        <f ca="1">IFERROR(__xludf.DUMMYFUNCTION("""COMPUTED_VALUE"""),2451009)</f>
        <v>2451009</v>
      </c>
      <c r="G921" s="40" t="str">
        <f ca="1">IFERROR(__xludf.DUMMYFUNCTION("""COMPUTED_VALUE"""),"TÉCNICO")</f>
        <v>TÉCNICO</v>
      </c>
      <c r="H921" s="40" t="str">
        <f ca="1">IFERROR(__xludf.DUMMYFUNCTION("""COMPUTED_VALUE"""),"PROGRAMACION DE APLICACIONES PARA DISPOSITIVOS MOVILES")</f>
        <v>PROGRAMACION DE APLICACIONES PARA DISPOSITIVOS MOVILES</v>
      </c>
      <c r="I921" s="40"/>
      <c r="J921" s="40" t="str">
        <f ca="1">IFERROR(__xludf.DUMMYFUNCTION("""COMPUTED_VALUE"""),"villitagonzalez2004@gmail.com")</f>
        <v>villitagonzalez2004@gmail.com</v>
      </c>
      <c r="K921" s="40" t="str">
        <f ca="1">IFERROR(__xludf.DUMMYFUNCTION("""COMPUTED_VALUE"""),"pitalito")</f>
        <v>pitalito</v>
      </c>
      <c r="L921" s="40" t="str">
        <f ca="1">IFERROR(__xludf.DUMMYFUNCTION("""COMPUTED_VALUE"""),"NO HA INICIADO ETAPA PRODUCTIVA")</f>
        <v>NO HA INICIADO ETAPA PRODUCTIVA</v>
      </c>
      <c r="M921" s="40"/>
      <c r="N921" s="40"/>
      <c r="O921" s="40"/>
      <c r="P921" s="40"/>
      <c r="Q921" s="40"/>
      <c r="R921" s="140"/>
      <c r="S921" s="1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t="str">
        <f ca="1">IFERROR(__xludf.DUMMYFUNCTION("""COMPUTED_VALUE"""),"NO_CUMPLE")</f>
        <v>NO_CUMPLE</v>
      </c>
      <c r="AV921" s="40" t="str">
        <f ca="1">IFERROR(__xludf.DUMMYFUNCTION("""COMPUTED_VALUE"""),"EN FORMACION")</f>
        <v>EN FORMACION</v>
      </c>
      <c r="AW921" s="40" t="str">
        <f ca="1">IFERROR(__xludf.DUMMYFUNCTION("""COMPUTED_VALUE"""),"TIC")</f>
        <v>TIC</v>
      </c>
      <c r="AX921" s="141">
        <f ca="1">IFERROR(__xludf.DUMMYFUNCTION("""COMPUTED_VALUE"""),14)</f>
        <v>14</v>
      </c>
      <c r="AY921" s="40">
        <f ca="1">IFERROR(__xludf.DUMMYFUNCTION("""COMPUTED_VALUE"""),14)</f>
        <v>14</v>
      </c>
      <c r="AZ921" s="40">
        <f ca="1">IFERROR(__xludf.DUMMYFUNCTION("""COMPUTED_VALUE"""),1)</f>
        <v>1</v>
      </c>
      <c r="BA921" s="40">
        <f ca="1">IFERROR(__xludf.DUMMYFUNCTION("""COMPUTED_VALUE"""),2)</f>
        <v>2</v>
      </c>
      <c r="BB921" s="40">
        <f ca="1">IFERROR(__xludf.DUMMYFUNCTION("""COMPUTED_VALUE"""),10)</f>
        <v>10</v>
      </c>
      <c r="BC921" s="40">
        <f ca="1">IFERROR(__xludf.DUMMYFUNCTION("""COMPUTED_VALUE"""),27)</f>
        <v>27</v>
      </c>
      <c r="BD921" s="141">
        <f ca="1">IFERROR(__xludf.DUMMYFUNCTION("""COMPUTED_VALUE"""),44585)</f>
        <v>44585</v>
      </c>
      <c r="BE921" s="141">
        <f ca="1">IFERROR(__xludf.DUMMYFUNCTION("""COMPUTED_VALUE"""),44857)</f>
        <v>44857</v>
      </c>
      <c r="BF921" s="141">
        <f ca="1">IFERROR(__xludf.DUMMYFUNCTION("""COMPUTED_VALUE"""),45039)</f>
        <v>45039</v>
      </c>
      <c r="BG921" s="141">
        <f ca="1">IFERROR(__xludf.DUMMYFUNCTION("""COMPUTED_VALUE"""),45588)</f>
        <v>45588</v>
      </c>
      <c r="BH921" s="40" t="str">
        <f ca="1">IFERROR(__xludf.DUMMYFUNCTION("""COMPUTED_VALUE"""),"FICHA EN TIEMPO-18 MESES")</f>
        <v>FICHA EN TIEMPO-18 MESES</v>
      </c>
      <c r="BI921" s="40" t="str">
        <f ca="1">IFERROR(__xludf.DUMMYFUNCTION("""COMPUTED_VALUE"""),"En ejecucion")</f>
        <v>En ejecucion</v>
      </c>
      <c r="BJ921" s="40" t="str">
        <f ca="1">IFERROR(__xludf.DUMMYFUNCTION("""COMPUTED_VALUE"""),"Yamboro")</f>
        <v>Yamboro</v>
      </c>
      <c r="BK921" s="40"/>
      <c r="BL921" s="40"/>
    </row>
    <row r="922" spans="1:64" ht="13">
      <c r="A922" s="40"/>
      <c r="B922" s="40" t="str">
        <f ca="1">IFERROR(__xludf.DUMMYFUNCTION("""COMPUTED_VALUE"""),"FORMACIÓN 18/10/2022")</f>
        <v>FORMACIÓN 18/10/2022</v>
      </c>
      <c r="C922" s="40" t="str">
        <f ca="1">IFERROR(__xludf.DUMMYFUNCTION("""COMPUTED_VALUE"""),"JHERSON ALEJANDRO ROJAS CHAMORRO")</f>
        <v>JHERSON ALEJANDRO ROJAS CHAMORRO</v>
      </c>
      <c r="D922" s="40" t="str">
        <f ca="1">IFERROR(__xludf.DUMMYFUNCTION("""COMPUTED_VALUE"""),"TI")</f>
        <v>TI</v>
      </c>
      <c r="E922" s="40">
        <f ca="1">IFERROR(__xludf.DUMMYFUNCTION("""COMPUTED_VALUE"""),1083868207)</f>
        <v>1083868207</v>
      </c>
      <c r="F922" s="40">
        <f ca="1">IFERROR(__xludf.DUMMYFUNCTION("""COMPUTED_VALUE"""),2451009)</f>
        <v>2451009</v>
      </c>
      <c r="G922" s="40" t="str">
        <f ca="1">IFERROR(__xludf.DUMMYFUNCTION("""COMPUTED_VALUE"""),"TÉCNICO")</f>
        <v>TÉCNICO</v>
      </c>
      <c r="H922" s="40" t="str">
        <f ca="1">IFERROR(__xludf.DUMMYFUNCTION("""COMPUTED_VALUE"""),"PROGRAMACION DE APLICACIONES PARA DISPOSITIVOS MOVILES")</f>
        <v>PROGRAMACION DE APLICACIONES PARA DISPOSITIVOS MOVILES</v>
      </c>
      <c r="I922" s="40">
        <f ca="1">IFERROR(__xludf.DUMMYFUNCTION("""COMPUTED_VALUE"""),3203805782)</f>
        <v>3203805782</v>
      </c>
      <c r="J922" s="40" t="str">
        <f ca="1">IFERROR(__xludf.DUMMYFUNCTION("""COMPUTED_VALUE"""),"jhersonalejandro04@gmail.com")</f>
        <v>jhersonalejandro04@gmail.com</v>
      </c>
      <c r="K922" s="40" t="str">
        <f ca="1">IFERROR(__xludf.DUMMYFUNCTION("""COMPUTED_VALUE"""),"pitalito")</f>
        <v>pitalito</v>
      </c>
      <c r="L922" s="40" t="str">
        <f ca="1">IFERROR(__xludf.DUMMYFUNCTION("""COMPUTED_VALUE"""),"PASANTÍAS")</f>
        <v>PASANTÍAS</v>
      </c>
      <c r="M922" s="40" t="str">
        <f ca="1">IFERROR(__xludf.DUMMYFUNCTION("""COMPUTED_VALUE"""),"SENA - SEDE YAMBORÓ")</f>
        <v>SENA - SEDE YAMBORÓ</v>
      </c>
      <c r="N922" s="40" t="str">
        <f ca="1">IFERROR(__xludf.DUMMYFUNCTION("""COMPUTED_VALUE"""),"PITALITO")</f>
        <v>PITALITO</v>
      </c>
      <c r="O922" s="40">
        <f ca="1">IFERROR(__xludf.DUMMYFUNCTION("""COMPUTED_VALUE"""),3203464628)</f>
        <v>3203464628</v>
      </c>
      <c r="P922" s="40" t="str">
        <f ca="1">IFERROR(__xludf.DUMMYFUNCTION("""COMPUTED_VALUE"""),"PITALITO")</f>
        <v>PITALITO</v>
      </c>
      <c r="Q922" s="40" t="str">
        <f ca="1">IFERROR(__xludf.DUMMYFUNCTION("""COMPUTED_VALUE"""),"apinzonp@sena.edu.co")</f>
        <v>apinzonp@sena.edu.co</v>
      </c>
      <c r="R922" s="140">
        <f ca="1">IFERROR(__xludf.DUMMYFUNCTION("""COMPUTED_VALUE"""),44896)</f>
        <v>44896</v>
      </c>
      <c r="S922" s="140">
        <f ca="1">IFERROR(__xludf.DUMMYFUNCTION("""COMPUTED_VALUE"""),44712)</f>
        <v>44712</v>
      </c>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t="str">
        <f ca="1">IFERROR(__xludf.DUMMYFUNCTION("""COMPUTED_VALUE"""),"carlos bravo ")</f>
        <v xml:space="preserve">carlos bravo </v>
      </c>
      <c r="AP922" s="40"/>
      <c r="AQ922" s="40"/>
      <c r="AR922" s="40"/>
      <c r="AS922" s="40"/>
      <c r="AT922" s="40"/>
      <c r="AU922" s="40" t="str">
        <f ca="1">IFERROR(__xludf.DUMMYFUNCTION("""COMPUTED_VALUE"""),"NO_CUMPLE")</f>
        <v>NO_CUMPLE</v>
      </c>
      <c r="AV922" s="40" t="str">
        <f ca="1">IFERROR(__xludf.DUMMYFUNCTION("""COMPUTED_VALUE"""),"EN FORMACION")</f>
        <v>EN FORMACION</v>
      </c>
      <c r="AW922" s="40" t="str">
        <f ca="1">IFERROR(__xludf.DUMMYFUNCTION("""COMPUTED_VALUE"""),"TIC")</f>
        <v>TIC</v>
      </c>
      <c r="AX922" s="141">
        <f ca="1">IFERROR(__xludf.DUMMYFUNCTION("""COMPUTED_VALUE"""),14)</f>
        <v>14</v>
      </c>
      <c r="AY922" s="40">
        <f ca="1">IFERROR(__xludf.DUMMYFUNCTION("""COMPUTED_VALUE"""),14)</f>
        <v>14</v>
      </c>
      <c r="AZ922" s="40">
        <f ca="1">IFERROR(__xludf.DUMMYFUNCTION("""COMPUTED_VALUE"""),1)</f>
        <v>1</v>
      </c>
      <c r="BA922" s="40">
        <f ca="1">IFERROR(__xludf.DUMMYFUNCTION("""COMPUTED_VALUE"""),2)</f>
        <v>2</v>
      </c>
      <c r="BB922" s="40">
        <f ca="1">IFERROR(__xludf.DUMMYFUNCTION("""COMPUTED_VALUE"""),10)</f>
        <v>10</v>
      </c>
      <c r="BC922" s="40">
        <f ca="1">IFERROR(__xludf.DUMMYFUNCTION("""COMPUTED_VALUE"""),27)</f>
        <v>27</v>
      </c>
      <c r="BD922" s="141">
        <f ca="1">IFERROR(__xludf.DUMMYFUNCTION("""COMPUTED_VALUE"""),44585)</f>
        <v>44585</v>
      </c>
      <c r="BE922" s="141">
        <f ca="1">IFERROR(__xludf.DUMMYFUNCTION("""COMPUTED_VALUE"""),44857)</f>
        <v>44857</v>
      </c>
      <c r="BF922" s="141">
        <f ca="1">IFERROR(__xludf.DUMMYFUNCTION("""COMPUTED_VALUE"""),45039)</f>
        <v>45039</v>
      </c>
      <c r="BG922" s="141">
        <f ca="1">IFERROR(__xludf.DUMMYFUNCTION("""COMPUTED_VALUE"""),45588)</f>
        <v>45588</v>
      </c>
      <c r="BH922" s="40" t="str">
        <f ca="1">IFERROR(__xludf.DUMMYFUNCTION("""COMPUTED_VALUE"""),"FICHA EN TIEMPO-18 MESES")</f>
        <v>FICHA EN TIEMPO-18 MESES</v>
      </c>
      <c r="BI922" s="40" t="str">
        <f ca="1">IFERROR(__xludf.DUMMYFUNCTION("""COMPUTED_VALUE"""),"En ejecucion")</f>
        <v>En ejecucion</v>
      </c>
      <c r="BJ922" s="40" t="str">
        <f ca="1">IFERROR(__xludf.DUMMYFUNCTION("""COMPUTED_VALUE"""),"Yamboro")</f>
        <v>Yamboro</v>
      </c>
      <c r="BK922" s="40"/>
      <c r="BL922" s="40"/>
    </row>
    <row r="923" spans="1:64" ht="13">
      <c r="A923" s="40"/>
      <c r="B923" s="40" t="str">
        <f ca="1">IFERROR(__xludf.DUMMYFUNCTION("""COMPUTED_VALUE"""),"FORMACIÓN 18/10/2022")</f>
        <v>FORMACIÓN 18/10/2022</v>
      </c>
      <c r="C923" s="40" t="str">
        <f ca="1">IFERROR(__xludf.DUMMYFUNCTION("""COMPUTED_VALUE"""),"NELCY JUDITH RAMIREZ PERDOMO")</f>
        <v>NELCY JUDITH RAMIREZ PERDOMO</v>
      </c>
      <c r="D923" s="40" t="str">
        <f ca="1">IFERROR(__xludf.DUMMYFUNCTION("""COMPUTED_VALUE"""),"CC")</f>
        <v>CC</v>
      </c>
      <c r="E923" s="40">
        <f ca="1">IFERROR(__xludf.DUMMYFUNCTION("""COMPUTED_VALUE"""),1083907806)</f>
        <v>1083907806</v>
      </c>
      <c r="F923" s="40">
        <f ca="1">IFERROR(__xludf.DUMMYFUNCTION("""COMPUTED_VALUE"""),2451009)</f>
        <v>2451009</v>
      </c>
      <c r="G923" s="40" t="str">
        <f ca="1">IFERROR(__xludf.DUMMYFUNCTION("""COMPUTED_VALUE"""),"TÉCNICO")</f>
        <v>TÉCNICO</v>
      </c>
      <c r="H923" s="40" t="str">
        <f ca="1">IFERROR(__xludf.DUMMYFUNCTION("""COMPUTED_VALUE"""),"PROGRAMACION DE APLICACIONES PARA DISPOSITIVOS MOVILES")</f>
        <v>PROGRAMACION DE APLICACIONES PARA DISPOSITIVOS MOVILES</v>
      </c>
      <c r="I923" s="40">
        <f ca="1">IFERROR(__xludf.DUMMYFUNCTION("""COMPUTED_VALUE"""),3153042063)</f>
        <v>3153042063</v>
      </c>
      <c r="J923" s="40" t="str">
        <f ca="1">IFERROR(__xludf.DUMMYFUNCTION("""COMPUTED_VALUE"""),"n_judith@hotmail.com")</f>
        <v>n_judith@hotmail.com</v>
      </c>
      <c r="K923" s="40" t="str">
        <f ca="1">IFERROR(__xludf.DUMMYFUNCTION("""COMPUTED_VALUE"""),"pitalito")</f>
        <v>pitalito</v>
      </c>
      <c r="L923" s="40" t="str">
        <f ca="1">IFERROR(__xludf.DUMMYFUNCTION("""COMPUTED_VALUE"""),"NO HA INICIADO ETAPA PRODUCTIVA")</f>
        <v>NO HA INICIADO ETAPA PRODUCTIVA</v>
      </c>
      <c r="M923" s="40"/>
      <c r="N923" s="40"/>
      <c r="O923" s="40"/>
      <c r="P923" s="40"/>
      <c r="Q923" s="40"/>
      <c r="R923" s="140"/>
      <c r="S923" s="1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t="str">
        <f ca="1">IFERROR(__xludf.DUMMYFUNCTION("""COMPUTED_VALUE"""),"NO_CUMPLE")</f>
        <v>NO_CUMPLE</v>
      </c>
      <c r="AV923" s="40" t="str">
        <f ca="1">IFERROR(__xludf.DUMMYFUNCTION("""COMPUTED_VALUE"""),"EN FORMACION")</f>
        <v>EN FORMACION</v>
      </c>
      <c r="AW923" s="40" t="str">
        <f ca="1">IFERROR(__xludf.DUMMYFUNCTION("""COMPUTED_VALUE"""),"TIC")</f>
        <v>TIC</v>
      </c>
      <c r="AX923" s="141">
        <f ca="1">IFERROR(__xludf.DUMMYFUNCTION("""COMPUTED_VALUE"""),14)</f>
        <v>14</v>
      </c>
      <c r="AY923" s="40">
        <f ca="1">IFERROR(__xludf.DUMMYFUNCTION("""COMPUTED_VALUE"""),14)</f>
        <v>14</v>
      </c>
      <c r="AZ923" s="40">
        <f ca="1">IFERROR(__xludf.DUMMYFUNCTION("""COMPUTED_VALUE"""),1)</f>
        <v>1</v>
      </c>
      <c r="BA923" s="40">
        <f ca="1">IFERROR(__xludf.DUMMYFUNCTION("""COMPUTED_VALUE"""),2)</f>
        <v>2</v>
      </c>
      <c r="BB923" s="40">
        <f ca="1">IFERROR(__xludf.DUMMYFUNCTION("""COMPUTED_VALUE"""),10)</f>
        <v>10</v>
      </c>
      <c r="BC923" s="40">
        <f ca="1">IFERROR(__xludf.DUMMYFUNCTION("""COMPUTED_VALUE"""),27)</f>
        <v>27</v>
      </c>
      <c r="BD923" s="141">
        <f ca="1">IFERROR(__xludf.DUMMYFUNCTION("""COMPUTED_VALUE"""),44585)</f>
        <v>44585</v>
      </c>
      <c r="BE923" s="141">
        <f ca="1">IFERROR(__xludf.DUMMYFUNCTION("""COMPUTED_VALUE"""),44857)</f>
        <v>44857</v>
      </c>
      <c r="BF923" s="141">
        <f ca="1">IFERROR(__xludf.DUMMYFUNCTION("""COMPUTED_VALUE"""),45039)</f>
        <v>45039</v>
      </c>
      <c r="BG923" s="141">
        <f ca="1">IFERROR(__xludf.DUMMYFUNCTION("""COMPUTED_VALUE"""),45588)</f>
        <v>45588</v>
      </c>
      <c r="BH923" s="40" t="str">
        <f ca="1">IFERROR(__xludf.DUMMYFUNCTION("""COMPUTED_VALUE"""),"FICHA EN TIEMPO-18 MESES")</f>
        <v>FICHA EN TIEMPO-18 MESES</v>
      </c>
      <c r="BI923" s="40" t="str">
        <f ca="1">IFERROR(__xludf.DUMMYFUNCTION("""COMPUTED_VALUE"""),"En ejecucion")</f>
        <v>En ejecucion</v>
      </c>
      <c r="BJ923" s="40" t="str">
        <f ca="1">IFERROR(__xludf.DUMMYFUNCTION("""COMPUTED_VALUE"""),"Yamboro")</f>
        <v>Yamboro</v>
      </c>
      <c r="BK923" s="40"/>
      <c r="BL923" s="40"/>
    </row>
    <row r="924" spans="1:64" ht="13">
      <c r="A924" s="40"/>
      <c r="B924" s="40" t="str">
        <f ca="1">IFERROR(__xludf.DUMMYFUNCTION("""COMPUTED_VALUE"""),"FORMACIÓN 18/10/2022")</f>
        <v>FORMACIÓN 18/10/2022</v>
      </c>
      <c r="C924" s="40" t="str">
        <f ca="1">IFERROR(__xludf.DUMMYFUNCTION("""COMPUTED_VALUE"""),"CRISTIAN FABIAN ROJAS ROJAS")</f>
        <v>CRISTIAN FABIAN ROJAS ROJAS</v>
      </c>
      <c r="D924" s="40" t="str">
        <f ca="1">IFERROR(__xludf.DUMMYFUNCTION("""COMPUTED_VALUE"""),"TI")</f>
        <v>TI</v>
      </c>
      <c r="E924" s="40">
        <f ca="1">IFERROR(__xludf.DUMMYFUNCTION("""COMPUTED_VALUE"""),1084251327)</f>
        <v>1084251327</v>
      </c>
      <c r="F924" s="40">
        <f ca="1">IFERROR(__xludf.DUMMYFUNCTION("""COMPUTED_VALUE"""),2451009)</f>
        <v>2451009</v>
      </c>
      <c r="G924" s="40" t="str">
        <f ca="1">IFERROR(__xludf.DUMMYFUNCTION("""COMPUTED_VALUE"""),"TÉCNICO")</f>
        <v>TÉCNICO</v>
      </c>
      <c r="H924" s="40" t="str">
        <f ca="1">IFERROR(__xludf.DUMMYFUNCTION("""COMPUTED_VALUE"""),"PROGRAMACION DE APLICACIONES PARA DISPOSITIVOS MOVILES")</f>
        <v>PROGRAMACION DE APLICACIONES PARA DISPOSITIVOS MOVILES</v>
      </c>
      <c r="I924" s="40">
        <f ca="1">IFERROR(__xludf.DUMMYFUNCTION("""COMPUTED_VALUE"""),3187469791)</f>
        <v>3187469791</v>
      </c>
      <c r="J924" s="40" t="str">
        <f ca="1">IFERROR(__xludf.DUMMYFUNCTION("""COMPUTED_VALUE"""),"Cristianfabianr328@gmail.com")</f>
        <v>Cristianfabianr328@gmail.com</v>
      </c>
      <c r="K924" s="40" t="str">
        <f ca="1">IFERROR(__xludf.DUMMYFUNCTION("""COMPUTED_VALUE"""),"pitalito")</f>
        <v>pitalito</v>
      </c>
      <c r="L924" s="40" t="str">
        <f ca="1">IFERROR(__xludf.DUMMYFUNCTION("""COMPUTED_VALUE"""),"NO HA INICIADO ETAPA PRODUCTIVA")</f>
        <v>NO HA INICIADO ETAPA PRODUCTIVA</v>
      </c>
      <c r="M924" s="40"/>
      <c r="N924" s="40"/>
      <c r="O924" s="40"/>
      <c r="P924" s="40"/>
      <c r="Q924" s="40"/>
      <c r="R924" s="140"/>
      <c r="S924" s="1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t="str">
        <f ca="1">IFERROR(__xludf.DUMMYFUNCTION("""COMPUTED_VALUE"""),"NO_CUMPLE")</f>
        <v>NO_CUMPLE</v>
      </c>
      <c r="AV924" s="40" t="str">
        <f ca="1">IFERROR(__xludf.DUMMYFUNCTION("""COMPUTED_VALUE"""),"EN FORMACION")</f>
        <v>EN FORMACION</v>
      </c>
      <c r="AW924" s="40" t="str">
        <f ca="1">IFERROR(__xludf.DUMMYFUNCTION("""COMPUTED_VALUE"""),"TIC")</f>
        <v>TIC</v>
      </c>
      <c r="AX924" s="141">
        <f ca="1">IFERROR(__xludf.DUMMYFUNCTION("""COMPUTED_VALUE"""),14)</f>
        <v>14</v>
      </c>
      <c r="AY924" s="40">
        <f ca="1">IFERROR(__xludf.DUMMYFUNCTION("""COMPUTED_VALUE"""),14)</f>
        <v>14</v>
      </c>
      <c r="AZ924" s="40">
        <f ca="1">IFERROR(__xludf.DUMMYFUNCTION("""COMPUTED_VALUE"""),1)</f>
        <v>1</v>
      </c>
      <c r="BA924" s="40">
        <f ca="1">IFERROR(__xludf.DUMMYFUNCTION("""COMPUTED_VALUE"""),2)</f>
        <v>2</v>
      </c>
      <c r="BB924" s="40">
        <f ca="1">IFERROR(__xludf.DUMMYFUNCTION("""COMPUTED_VALUE"""),10)</f>
        <v>10</v>
      </c>
      <c r="BC924" s="40">
        <f ca="1">IFERROR(__xludf.DUMMYFUNCTION("""COMPUTED_VALUE"""),27)</f>
        <v>27</v>
      </c>
      <c r="BD924" s="141">
        <f ca="1">IFERROR(__xludf.DUMMYFUNCTION("""COMPUTED_VALUE"""),44585)</f>
        <v>44585</v>
      </c>
      <c r="BE924" s="141">
        <f ca="1">IFERROR(__xludf.DUMMYFUNCTION("""COMPUTED_VALUE"""),44857)</f>
        <v>44857</v>
      </c>
      <c r="BF924" s="141">
        <f ca="1">IFERROR(__xludf.DUMMYFUNCTION("""COMPUTED_VALUE"""),45039)</f>
        <v>45039</v>
      </c>
      <c r="BG924" s="141">
        <f ca="1">IFERROR(__xludf.DUMMYFUNCTION("""COMPUTED_VALUE"""),45588)</f>
        <v>45588</v>
      </c>
      <c r="BH924" s="40" t="str">
        <f ca="1">IFERROR(__xludf.DUMMYFUNCTION("""COMPUTED_VALUE"""),"FICHA EN TIEMPO-18 MESES")</f>
        <v>FICHA EN TIEMPO-18 MESES</v>
      </c>
      <c r="BI924" s="40" t="str">
        <f ca="1">IFERROR(__xludf.DUMMYFUNCTION("""COMPUTED_VALUE"""),"En ejecucion")</f>
        <v>En ejecucion</v>
      </c>
      <c r="BJ924" s="40" t="str">
        <f ca="1">IFERROR(__xludf.DUMMYFUNCTION("""COMPUTED_VALUE"""),"Yamboro")</f>
        <v>Yamboro</v>
      </c>
      <c r="BK924" s="40"/>
      <c r="BL924" s="40"/>
    </row>
    <row r="925" spans="1:64" ht="13">
      <c r="A925" s="40"/>
      <c r="B925" s="40" t="str">
        <f ca="1">IFERROR(__xludf.DUMMYFUNCTION("""COMPUTED_VALUE"""),"FORMACIÓN 18/10/2022")</f>
        <v>FORMACIÓN 18/10/2022</v>
      </c>
      <c r="C925" s="40" t="str">
        <f ca="1">IFERROR(__xludf.DUMMYFUNCTION("""COMPUTED_VALUE"""),"JAROL ALBEIRO FAJARDO PERDOMO")</f>
        <v>JAROL ALBEIRO FAJARDO PERDOMO</v>
      </c>
      <c r="D925" s="40" t="str">
        <f ca="1">IFERROR(__xludf.DUMMYFUNCTION("""COMPUTED_VALUE"""),"CC")</f>
        <v>CC</v>
      </c>
      <c r="E925" s="40">
        <f ca="1">IFERROR(__xludf.DUMMYFUNCTION("""COMPUTED_VALUE"""),12265488)</f>
        <v>12265488</v>
      </c>
      <c r="F925" s="40">
        <f ca="1">IFERROR(__xludf.DUMMYFUNCTION("""COMPUTED_VALUE"""),2451009)</f>
        <v>2451009</v>
      </c>
      <c r="G925" s="40" t="str">
        <f ca="1">IFERROR(__xludf.DUMMYFUNCTION("""COMPUTED_VALUE"""),"TÉCNICO")</f>
        <v>TÉCNICO</v>
      </c>
      <c r="H925" s="40" t="str">
        <f ca="1">IFERROR(__xludf.DUMMYFUNCTION("""COMPUTED_VALUE"""),"PROGRAMACION DE APLICACIONES PARA DISPOSITIVOS MOVILES")</f>
        <v>PROGRAMACION DE APLICACIONES PARA DISPOSITIVOS MOVILES</v>
      </c>
      <c r="I925" s="40">
        <f ca="1">IFERROR(__xludf.DUMMYFUNCTION("""COMPUTED_VALUE"""),3108869831)</f>
        <v>3108869831</v>
      </c>
      <c r="J925" s="40" t="str">
        <f ca="1">IFERROR(__xludf.DUMMYFUNCTION("""COMPUTED_VALUE"""),"jafajardo8845@misena.edu.co")</f>
        <v>jafajardo8845@misena.edu.co</v>
      </c>
      <c r="K925" s="40" t="str">
        <f ca="1">IFERROR(__xludf.DUMMYFUNCTION("""COMPUTED_VALUE"""),"pitalito")</f>
        <v>pitalito</v>
      </c>
      <c r="L925" s="40" t="str">
        <f ca="1">IFERROR(__xludf.DUMMYFUNCTION("""COMPUTED_VALUE"""),"NO HA INICIADO ETAPA PRODUCTIVA")</f>
        <v>NO HA INICIADO ETAPA PRODUCTIVA</v>
      </c>
      <c r="M925" s="40"/>
      <c r="N925" s="40"/>
      <c r="O925" s="40"/>
      <c r="P925" s="40"/>
      <c r="Q925" s="40"/>
      <c r="R925" s="140"/>
      <c r="S925" s="1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t="str">
        <f ca="1">IFERROR(__xludf.DUMMYFUNCTION("""COMPUTED_VALUE"""),"NO_CUMPLE")</f>
        <v>NO_CUMPLE</v>
      </c>
      <c r="AV925" s="40" t="str">
        <f ca="1">IFERROR(__xludf.DUMMYFUNCTION("""COMPUTED_VALUE"""),"EN FORMACION")</f>
        <v>EN FORMACION</v>
      </c>
      <c r="AW925" s="40" t="str">
        <f ca="1">IFERROR(__xludf.DUMMYFUNCTION("""COMPUTED_VALUE"""),"TIC")</f>
        <v>TIC</v>
      </c>
      <c r="AX925" s="141">
        <f ca="1">IFERROR(__xludf.DUMMYFUNCTION("""COMPUTED_VALUE"""),14)</f>
        <v>14</v>
      </c>
      <c r="AY925" s="40">
        <f ca="1">IFERROR(__xludf.DUMMYFUNCTION("""COMPUTED_VALUE"""),14)</f>
        <v>14</v>
      </c>
      <c r="AZ925" s="40">
        <f ca="1">IFERROR(__xludf.DUMMYFUNCTION("""COMPUTED_VALUE"""),1)</f>
        <v>1</v>
      </c>
      <c r="BA925" s="40">
        <f ca="1">IFERROR(__xludf.DUMMYFUNCTION("""COMPUTED_VALUE"""),2)</f>
        <v>2</v>
      </c>
      <c r="BB925" s="40">
        <f ca="1">IFERROR(__xludf.DUMMYFUNCTION("""COMPUTED_VALUE"""),10)</f>
        <v>10</v>
      </c>
      <c r="BC925" s="40">
        <f ca="1">IFERROR(__xludf.DUMMYFUNCTION("""COMPUTED_VALUE"""),27)</f>
        <v>27</v>
      </c>
      <c r="BD925" s="141">
        <f ca="1">IFERROR(__xludf.DUMMYFUNCTION("""COMPUTED_VALUE"""),44585)</f>
        <v>44585</v>
      </c>
      <c r="BE925" s="141">
        <f ca="1">IFERROR(__xludf.DUMMYFUNCTION("""COMPUTED_VALUE"""),44857)</f>
        <v>44857</v>
      </c>
      <c r="BF925" s="141">
        <f ca="1">IFERROR(__xludf.DUMMYFUNCTION("""COMPUTED_VALUE"""),45039)</f>
        <v>45039</v>
      </c>
      <c r="BG925" s="141">
        <f ca="1">IFERROR(__xludf.DUMMYFUNCTION("""COMPUTED_VALUE"""),45588)</f>
        <v>45588</v>
      </c>
      <c r="BH925" s="40" t="str">
        <f ca="1">IFERROR(__xludf.DUMMYFUNCTION("""COMPUTED_VALUE"""),"FICHA EN TIEMPO-18 MESES")</f>
        <v>FICHA EN TIEMPO-18 MESES</v>
      </c>
      <c r="BI925" s="40" t="str">
        <f ca="1">IFERROR(__xludf.DUMMYFUNCTION("""COMPUTED_VALUE"""),"En ejecucion")</f>
        <v>En ejecucion</v>
      </c>
      <c r="BJ925" s="40" t="str">
        <f ca="1">IFERROR(__xludf.DUMMYFUNCTION("""COMPUTED_VALUE"""),"Yamboro")</f>
        <v>Yamboro</v>
      </c>
      <c r="BK925" s="40"/>
      <c r="BL925" s="40"/>
    </row>
    <row r="926" spans="1:64" ht="13">
      <c r="A926" s="40"/>
      <c r="B926" s="40" t="str">
        <f ca="1">IFERROR(__xludf.DUMMYFUNCTION("""COMPUTED_VALUE"""),"FORMACIÓN 18/10/2022")</f>
        <v>FORMACIÓN 18/10/2022</v>
      </c>
      <c r="C926" s="40" t="str">
        <f ca="1">IFERROR(__xludf.DUMMYFUNCTION("""COMPUTED_VALUE"""),"YOAN ESTIVEN BECERRA ZAMBRANO")</f>
        <v>YOAN ESTIVEN BECERRA ZAMBRANO</v>
      </c>
      <c r="D926" s="40" t="str">
        <f ca="1">IFERROR(__xludf.DUMMYFUNCTION("""COMPUTED_VALUE"""),"CC")</f>
        <v>CC</v>
      </c>
      <c r="E926" s="40">
        <f ca="1">IFERROR(__xludf.DUMMYFUNCTION("""COMPUTED_VALUE"""),1003808338)</f>
        <v>1003808338</v>
      </c>
      <c r="F926" s="40">
        <f ca="1">IFERROR(__xludf.DUMMYFUNCTION("""COMPUTED_VALUE"""),2280204)</f>
        <v>2280204</v>
      </c>
      <c r="G926" s="40" t="str">
        <f ca="1">IFERROR(__xludf.DUMMYFUNCTION("""COMPUTED_VALUE"""),"TECNÓLOGO")</f>
        <v>TECNÓLOGO</v>
      </c>
      <c r="H926" s="40" t="str">
        <f ca="1">IFERROR(__xludf.DUMMYFUNCTION("""COMPUTED_VALUE"""),"ANALISIS Y DESARROLLO DE SISTEMAS DE INFORMACION")</f>
        <v>ANALISIS Y DESARROLLO DE SISTEMAS DE INFORMACION</v>
      </c>
      <c r="I926" s="40">
        <f ca="1">IFERROR(__xludf.DUMMYFUNCTION("""COMPUTED_VALUE"""),3209682703)</f>
        <v>3209682703</v>
      </c>
      <c r="J926" s="40" t="str">
        <f ca="1">IFERROR(__xludf.DUMMYFUNCTION("""COMPUTED_VALUE"""),"nospicarnal@gmail.com")</f>
        <v>nospicarnal@gmail.com</v>
      </c>
      <c r="K926" s="40" t="str">
        <f ca="1">IFERROR(__xludf.DUMMYFUNCTION("""COMPUTED_VALUE"""),"Pitalito")</f>
        <v>Pitalito</v>
      </c>
      <c r="L926" s="40" t="str">
        <f ca="1">IFERROR(__xludf.DUMMYFUNCTION("""COMPUTED_VALUE"""),"CONTRATO DE APRENDIZAJE")</f>
        <v>CONTRATO DE APRENDIZAJE</v>
      </c>
      <c r="M926" s="40" t="str">
        <f ca="1">IFERROR(__xludf.DUMMYFUNCTION("""COMPUTED_VALUE"""),"INTERASEO S.A. E.S.P.")</f>
        <v>INTERASEO S.A. E.S.P.</v>
      </c>
      <c r="N926" s="40" t="str">
        <f ca="1">IFERROR(__xludf.DUMMYFUNCTION("""COMPUTED_VALUE"""),"kilometro 1 salida a santa marta")</f>
        <v>kilometro 1 salida a santa marta</v>
      </c>
      <c r="O926" s="40"/>
      <c r="P926" s="40" t="str">
        <f ca="1">IFERROR(__xludf.DUMMYFUNCTION("""COMPUTED_VALUE"""),"SANTA MARTA")</f>
        <v>SANTA MARTA</v>
      </c>
      <c r="Q926" s="40" t="str">
        <f ca="1">IFERROR(__xludf.DUMMYFUNCTION("""COMPUTED_VALUE"""),"jiguaran@interaseo.com.co; analista.ghinteraseo.com.co")</f>
        <v>jiguaran@interaseo.com.co; analista.ghinteraseo.com.co</v>
      </c>
      <c r="R926" s="140">
        <f ca="1">IFERROR(__xludf.DUMMYFUNCTION("""COMPUTED_VALUE"""),44868)</f>
        <v>44868</v>
      </c>
      <c r="S926" s="140">
        <f ca="1">IFERROR(__xludf.DUMMYFUNCTION("""COMPUTED_VALUE"""),45048)</f>
        <v>45048</v>
      </c>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t="str">
        <f ca="1">IFERROR(__xludf.DUMMYFUNCTION("""COMPUTED_VALUE"""),"NO_CUMPLE")</f>
        <v>NO_CUMPLE</v>
      </c>
      <c r="AV926" s="40" t="str">
        <f ca="1">IFERROR(__xludf.DUMMYFUNCTION("""COMPUTED_VALUE"""),"EN FORMACION")</f>
        <v>EN FORMACION</v>
      </c>
      <c r="AW926" s="40" t="str">
        <f ca="1">IFERROR(__xludf.DUMMYFUNCTION("""COMPUTED_VALUE"""),"TIC")</f>
        <v>TIC</v>
      </c>
      <c r="AX926" s="141">
        <f ca="1">IFERROR(__xludf.DUMMYFUNCTION("""COMPUTED_VALUE"""),0)</f>
        <v>0</v>
      </c>
      <c r="AY926" s="40">
        <f ca="1">IFERROR(__xludf.DUMMYFUNCTION("""COMPUTED_VALUE"""),0)</f>
        <v>0</v>
      </c>
      <c r="AZ926" s="40">
        <f ca="1">IFERROR(__xludf.DUMMYFUNCTION("""COMPUTED_VALUE"""),1)</f>
        <v>1</v>
      </c>
      <c r="BA926" s="40">
        <f ca="1">IFERROR(__xludf.DUMMYFUNCTION("""COMPUTED_VALUE"""),11)</f>
        <v>11</v>
      </c>
      <c r="BB926" s="40">
        <f ca="1">IFERROR(__xludf.DUMMYFUNCTION("""COMPUTED_VALUE"""),5)</f>
        <v>5</v>
      </c>
      <c r="BC926" s="40">
        <f ca="1">IFERROR(__xludf.DUMMYFUNCTION("""COMPUTED_VALUE"""),17)</f>
        <v>17</v>
      </c>
      <c r="BD926" s="141">
        <f ca="1">IFERROR(__xludf.DUMMYFUNCTION("""COMPUTED_VALUE"""),44301)</f>
        <v>44301</v>
      </c>
      <c r="BE926" s="141">
        <f ca="1">IFERROR(__xludf.DUMMYFUNCTION("""COMPUTED_VALUE"""),44848)</f>
        <v>44848</v>
      </c>
      <c r="BF926" s="141">
        <f ca="1">IFERROR(__xludf.DUMMYFUNCTION("""COMPUTED_VALUE"""),45030)</f>
        <v>45030</v>
      </c>
      <c r="BG926" s="141">
        <f ca="1">IFERROR(__xludf.DUMMYFUNCTION("""COMPUTED_VALUE"""),45579)</f>
        <v>45579</v>
      </c>
      <c r="BH926" s="40" t="str">
        <f ca="1">IFERROR(__xludf.DUMMYFUNCTION("""COMPUTED_VALUE"""),"FICHA EN TIEMPO-18 MESES")</f>
        <v>FICHA EN TIEMPO-18 MESES</v>
      </c>
      <c r="BI926" s="40" t="str">
        <f ca="1">IFERROR(__xludf.DUMMYFUNCTION("""COMPUTED_VALUE"""),"En ejecucion")</f>
        <v>En ejecucion</v>
      </c>
      <c r="BJ926" s="40" t="str">
        <f ca="1">IFERROR(__xludf.DUMMYFUNCTION("""COMPUTED_VALUE"""),"Yamboro")</f>
        <v>Yamboro</v>
      </c>
      <c r="BK926" s="40"/>
      <c r="BL926" s="40"/>
    </row>
    <row r="927" spans="1:64" ht="13">
      <c r="A927" s="40"/>
      <c r="B927" s="40" t="str">
        <f ca="1">IFERROR(__xludf.DUMMYFUNCTION("""COMPUTED_VALUE"""),"FORMACIÓN 18/10/2022")</f>
        <v>FORMACIÓN 18/10/2022</v>
      </c>
      <c r="C927" s="40" t="str">
        <f ca="1">IFERROR(__xludf.DUMMYFUNCTION("""COMPUTED_VALUE"""),"YURANI ALEJANDRA CARDOZO MONCAYO")</f>
        <v>YURANI ALEJANDRA CARDOZO MONCAYO</v>
      </c>
      <c r="D927" s="40" t="str">
        <f ca="1">IFERROR(__xludf.DUMMYFUNCTION("""COMPUTED_VALUE"""),"CC")</f>
        <v>CC</v>
      </c>
      <c r="E927" s="40">
        <f ca="1">IFERROR(__xludf.DUMMYFUNCTION("""COMPUTED_VALUE"""),1004033754)</f>
        <v>1004033754</v>
      </c>
      <c r="F927" s="40">
        <f ca="1">IFERROR(__xludf.DUMMYFUNCTION("""COMPUTED_VALUE"""),2280204)</f>
        <v>2280204</v>
      </c>
      <c r="G927" s="40" t="str">
        <f ca="1">IFERROR(__xludf.DUMMYFUNCTION("""COMPUTED_VALUE"""),"TECNÓLOGO")</f>
        <v>TECNÓLOGO</v>
      </c>
      <c r="H927" s="40" t="str">
        <f ca="1">IFERROR(__xludf.DUMMYFUNCTION("""COMPUTED_VALUE"""),"ANALISIS Y DESARROLLO DE SISTEMAS DE INFORMACION")</f>
        <v>ANALISIS Y DESARROLLO DE SISTEMAS DE INFORMACION</v>
      </c>
      <c r="I927" s="40">
        <f ca="1">IFERROR(__xludf.DUMMYFUNCTION("""COMPUTED_VALUE"""),3118064981)</f>
        <v>3118064981</v>
      </c>
      <c r="J927" s="40" t="str">
        <f ca="1">IFERROR(__xludf.DUMMYFUNCTION("""COMPUTED_VALUE"""),"cardozoalejandra0803@gmail.com")</f>
        <v>cardozoalejandra0803@gmail.com</v>
      </c>
      <c r="K927" s="40" t="str">
        <f ca="1">IFERROR(__xludf.DUMMYFUNCTION("""COMPUTED_VALUE"""),"Pitalito")</f>
        <v>Pitalito</v>
      </c>
      <c r="L927" s="40" t="str">
        <f ca="1">IFERROR(__xludf.DUMMYFUNCTION("""COMPUTED_VALUE"""),"CONTRATO DE APRENDIZAJE")</f>
        <v>CONTRATO DE APRENDIZAJE</v>
      </c>
      <c r="M927" s="40" t="str">
        <f ca="1">IFERROR(__xludf.DUMMYFUNCTION("""COMPUTED_VALUE"""),"CÓNDOR SPECIALTY COFFEE S.A.S. - COMPAÑÍA COLOMBIANA AGROINDUSTRIAL SAS")</f>
        <v>CÓNDOR SPECIALTY COFFEE S.A.S. - COMPAÑÍA COLOMBIANA AGROINDUSTRIAL SAS</v>
      </c>
      <c r="N927" s="40" t="str">
        <f ca="1">IFERROR(__xludf.DUMMYFUNCTION("""COMPUTED_VALUE"""),"Cl 78 # 8-32")</f>
        <v>Cl 78 # 8-32</v>
      </c>
      <c r="O927" s="40">
        <f ca="1">IFERROR(__xludf.DUMMYFUNCTION("""COMPUTED_VALUE"""),3232263198)</f>
        <v>3232263198</v>
      </c>
      <c r="P927" s="40" t="str">
        <f ca="1">IFERROR(__xludf.DUMMYFUNCTION("""COMPUTED_VALUE"""),"BOGOTA ")</f>
        <v xml:space="preserve">BOGOTA </v>
      </c>
      <c r="Q927" s="40" t="str">
        <f ca="1">IFERROR(__xludf.DUMMYFUNCTION("""COMPUTED_VALUE"""),"myriam.vargas@ecomtrading.com")</f>
        <v>myriam.vargas@ecomtrading.com</v>
      </c>
      <c r="R927" s="140">
        <f ca="1">IFERROR(__xludf.DUMMYFUNCTION("""COMPUTED_VALUE"""),44866)</f>
        <v>44866</v>
      </c>
      <c r="S927" s="140">
        <f ca="1">IFERROR(__xludf.DUMMYFUNCTION("""COMPUTED_VALUE"""),45046)</f>
        <v>45046</v>
      </c>
      <c r="T927" s="40"/>
      <c r="U927" s="40" t="str">
        <f ca="1">IFERROR(__xludf.DUMMYFUNCTION("""COMPUTED_VALUE"""),"Eduardo Triana Trujillo")</f>
        <v>Eduardo Triana Trujillo</v>
      </c>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t="str">
        <f ca="1">IFERROR(__xludf.DUMMYFUNCTION("""COMPUTED_VALUE"""),"NO_CUMPLE")</f>
        <v>NO_CUMPLE</v>
      </c>
      <c r="AV927" s="40" t="str">
        <f ca="1">IFERROR(__xludf.DUMMYFUNCTION("""COMPUTED_VALUE"""),"EN FORMACION")</f>
        <v>EN FORMACION</v>
      </c>
      <c r="AW927" s="40" t="str">
        <f ca="1">IFERROR(__xludf.DUMMYFUNCTION("""COMPUTED_VALUE"""),"TIC")</f>
        <v>TIC</v>
      </c>
      <c r="AX927" s="141">
        <f ca="1">IFERROR(__xludf.DUMMYFUNCTION("""COMPUTED_VALUE"""),0)</f>
        <v>0</v>
      </c>
      <c r="AY927" s="40">
        <f ca="1">IFERROR(__xludf.DUMMYFUNCTION("""COMPUTED_VALUE"""),0)</f>
        <v>0</v>
      </c>
      <c r="AZ927" s="40">
        <f ca="1">IFERROR(__xludf.DUMMYFUNCTION("""COMPUTED_VALUE"""),1)</f>
        <v>1</v>
      </c>
      <c r="BA927" s="40">
        <f ca="1">IFERROR(__xludf.DUMMYFUNCTION("""COMPUTED_VALUE"""),15)</f>
        <v>15</v>
      </c>
      <c r="BB927" s="40">
        <f ca="1">IFERROR(__xludf.DUMMYFUNCTION("""COMPUTED_VALUE"""),5)</f>
        <v>5</v>
      </c>
      <c r="BC927" s="40">
        <f ca="1">IFERROR(__xludf.DUMMYFUNCTION("""COMPUTED_VALUE"""),21)</f>
        <v>21</v>
      </c>
      <c r="BD927" s="141">
        <f ca="1">IFERROR(__xludf.DUMMYFUNCTION("""COMPUTED_VALUE"""),44301)</f>
        <v>44301</v>
      </c>
      <c r="BE927" s="141">
        <f ca="1">IFERROR(__xludf.DUMMYFUNCTION("""COMPUTED_VALUE"""),44848)</f>
        <v>44848</v>
      </c>
      <c r="BF927" s="141">
        <f ca="1">IFERROR(__xludf.DUMMYFUNCTION("""COMPUTED_VALUE"""),45030)</f>
        <v>45030</v>
      </c>
      <c r="BG927" s="141">
        <f ca="1">IFERROR(__xludf.DUMMYFUNCTION("""COMPUTED_VALUE"""),45579)</f>
        <v>45579</v>
      </c>
      <c r="BH927" s="40" t="str">
        <f ca="1">IFERROR(__xludf.DUMMYFUNCTION("""COMPUTED_VALUE"""),"FICHA EN TIEMPO-18 MESES")</f>
        <v>FICHA EN TIEMPO-18 MESES</v>
      </c>
      <c r="BI927" s="40" t="str">
        <f ca="1">IFERROR(__xludf.DUMMYFUNCTION("""COMPUTED_VALUE"""),"En ejecucion")</f>
        <v>En ejecucion</v>
      </c>
      <c r="BJ927" s="40" t="str">
        <f ca="1">IFERROR(__xludf.DUMMYFUNCTION("""COMPUTED_VALUE"""),"Yamboro")</f>
        <v>Yamboro</v>
      </c>
      <c r="BK927" s="40"/>
      <c r="BL927" s="40"/>
    </row>
    <row r="928" spans="1:64" ht="13">
      <c r="A928" s="40"/>
      <c r="B928" s="40" t="str">
        <f ca="1">IFERROR(__xludf.DUMMYFUNCTION("""COMPUTED_VALUE"""),"FORMACIÓN 18/10/2022")</f>
        <v>FORMACIÓN 18/10/2022</v>
      </c>
      <c r="C928" s="40" t="str">
        <f ca="1">IFERROR(__xludf.DUMMYFUNCTION("""COMPUTED_VALUE"""),"KAREN DAYANA GARCIA CASTRO")</f>
        <v>KAREN DAYANA GARCIA CASTRO</v>
      </c>
      <c r="D928" s="40" t="str">
        <f ca="1">IFERROR(__xludf.DUMMYFUNCTION("""COMPUTED_VALUE"""),"CC")</f>
        <v>CC</v>
      </c>
      <c r="E928" s="40">
        <f ca="1">IFERROR(__xludf.DUMMYFUNCTION("""COMPUTED_VALUE"""),1004492809)</f>
        <v>1004492809</v>
      </c>
      <c r="F928" s="40">
        <f ca="1">IFERROR(__xludf.DUMMYFUNCTION("""COMPUTED_VALUE"""),2280204)</f>
        <v>2280204</v>
      </c>
      <c r="G928" s="40" t="str">
        <f ca="1">IFERROR(__xludf.DUMMYFUNCTION("""COMPUTED_VALUE"""),"TECNÓLOGO")</f>
        <v>TECNÓLOGO</v>
      </c>
      <c r="H928" s="40" t="str">
        <f ca="1">IFERROR(__xludf.DUMMYFUNCTION("""COMPUTED_VALUE"""),"ANALISIS Y DESARROLLO DE SISTEMAS DE INFORMACION")</f>
        <v>ANALISIS Y DESARROLLO DE SISTEMAS DE INFORMACION</v>
      </c>
      <c r="I928" s="40">
        <f ca="1">IFERROR(__xludf.DUMMYFUNCTION("""COMPUTED_VALUE"""),3203460642)</f>
        <v>3203460642</v>
      </c>
      <c r="J928" s="40" t="str">
        <f ca="1">IFERROR(__xludf.DUMMYFUNCTION("""COMPUTED_VALUE"""),"karda.garciacastro@gmail.com")</f>
        <v>karda.garciacastro@gmail.com</v>
      </c>
      <c r="K928" s="40" t="str">
        <f ca="1">IFERROR(__xludf.DUMMYFUNCTION("""COMPUTED_VALUE"""),"Pitalito")</f>
        <v>Pitalito</v>
      </c>
      <c r="L928" s="40" t="str">
        <f ca="1">IFERROR(__xludf.DUMMYFUNCTION("""COMPUTED_VALUE"""),"CONTRATO DE APRENDIZAJE ")</f>
        <v xml:space="preserve">CONTRATO DE APRENDIZAJE </v>
      </c>
      <c r="M928" s="40" t="str">
        <f ca="1">IFERROR(__xludf.DUMMYFUNCTION("""COMPUTED_VALUE"""),"UNIVERSIDAD SANTO TOMAS")</f>
        <v>UNIVERSIDAD SANTO TOMAS</v>
      </c>
      <c r="N928" s="40" t="str">
        <f ca="1">IFERROR(__xludf.DUMMYFUNCTION("""COMPUTED_VALUE"""),"Carrera 22 Calle 1 Vía Puerto López")</f>
        <v>Carrera 22 Calle 1 Vía Puerto López</v>
      </c>
      <c r="O928" s="40"/>
      <c r="P928" s="40" t="str">
        <f ca="1">IFERROR(__xludf.DUMMYFUNCTION("""COMPUTED_VALUE"""),"Villavicencio ")</f>
        <v xml:space="preserve">Villavicencio </v>
      </c>
      <c r="Q928" s="40" t="str">
        <f ca="1">IFERROR(__xludf.DUMMYFUNCTION("""COMPUTED_VALUE"""),"aux.seleccion@usantotomas.edu.co")</f>
        <v>aux.seleccion@usantotomas.edu.co</v>
      </c>
      <c r="R928" s="140">
        <f ca="1">IFERROR(__xludf.DUMMYFUNCTION("""COMPUTED_VALUE"""),44823)</f>
        <v>44823</v>
      </c>
      <c r="S928" s="140">
        <f ca="1">IFERROR(__xludf.DUMMYFUNCTION("""COMPUTED_VALUE"""),45030)</f>
        <v>45030</v>
      </c>
      <c r="T928" s="40"/>
      <c r="U928" s="40" t="str">
        <f ca="1">IFERROR(__xludf.DUMMYFUNCTION("""COMPUTED_VALUE"""),"Eduardo Triana Trujillo")</f>
        <v>Eduardo Triana Trujillo</v>
      </c>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t="str">
        <f ca="1">IFERROR(__xludf.DUMMYFUNCTION("""COMPUTED_VALUE"""),"NO_CUMPLE")</f>
        <v>NO_CUMPLE</v>
      </c>
      <c r="AV928" s="40" t="str">
        <f ca="1">IFERROR(__xludf.DUMMYFUNCTION("""COMPUTED_VALUE"""),"EN FORMACION")</f>
        <v>EN FORMACION</v>
      </c>
      <c r="AW928" s="40" t="str">
        <f ca="1">IFERROR(__xludf.DUMMYFUNCTION("""COMPUTED_VALUE"""),"TIC")</f>
        <v>TIC</v>
      </c>
      <c r="AX928" s="141">
        <f ca="1">IFERROR(__xludf.DUMMYFUNCTION("""COMPUTED_VALUE"""),0)</f>
        <v>0</v>
      </c>
      <c r="AY928" s="40">
        <f ca="1">IFERROR(__xludf.DUMMYFUNCTION("""COMPUTED_VALUE"""),0)</f>
        <v>0</v>
      </c>
      <c r="AZ928" s="40">
        <f ca="1">IFERROR(__xludf.DUMMYFUNCTION("""COMPUTED_VALUE"""),1)</f>
        <v>1</v>
      </c>
      <c r="BA928" s="40">
        <f ca="1">IFERROR(__xludf.DUMMYFUNCTION("""COMPUTED_VALUE"""),7)</f>
        <v>7</v>
      </c>
      <c r="BB928" s="40">
        <f ca="1">IFERROR(__xludf.DUMMYFUNCTION("""COMPUTED_VALUE"""),5)</f>
        <v>5</v>
      </c>
      <c r="BC928" s="40">
        <f ca="1">IFERROR(__xludf.DUMMYFUNCTION("""COMPUTED_VALUE"""),13)</f>
        <v>13</v>
      </c>
      <c r="BD928" s="141">
        <f ca="1">IFERROR(__xludf.DUMMYFUNCTION("""COMPUTED_VALUE"""),44301)</f>
        <v>44301</v>
      </c>
      <c r="BE928" s="141">
        <f ca="1">IFERROR(__xludf.DUMMYFUNCTION("""COMPUTED_VALUE"""),44848)</f>
        <v>44848</v>
      </c>
      <c r="BF928" s="141">
        <f ca="1">IFERROR(__xludf.DUMMYFUNCTION("""COMPUTED_VALUE"""),45030)</f>
        <v>45030</v>
      </c>
      <c r="BG928" s="141">
        <f ca="1">IFERROR(__xludf.DUMMYFUNCTION("""COMPUTED_VALUE"""),45579)</f>
        <v>45579</v>
      </c>
      <c r="BH928" s="40" t="str">
        <f ca="1">IFERROR(__xludf.DUMMYFUNCTION("""COMPUTED_VALUE"""),"FICHA EN TIEMPO-18 MESES")</f>
        <v>FICHA EN TIEMPO-18 MESES</v>
      </c>
      <c r="BI928" s="40" t="str">
        <f ca="1">IFERROR(__xludf.DUMMYFUNCTION("""COMPUTED_VALUE"""),"En ejecucion")</f>
        <v>En ejecucion</v>
      </c>
      <c r="BJ928" s="40" t="str">
        <f ca="1">IFERROR(__xludf.DUMMYFUNCTION("""COMPUTED_VALUE"""),"Yamboro")</f>
        <v>Yamboro</v>
      </c>
      <c r="BK928" s="40"/>
      <c r="BL928" s="40"/>
    </row>
    <row r="929" spans="1:64" ht="13">
      <c r="A929" s="40"/>
      <c r="B929" s="40" t="str">
        <f ca="1">IFERROR(__xludf.DUMMYFUNCTION("""COMPUTED_VALUE"""),"FORMACIÓN 18/10/2022")</f>
        <v>FORMACIÓN 18/10/2022</v>
      </c>
      <c r="C929" s="40" t="str">
        <f ca="1">IFERROR(__xludf.DUMMYFUNCTION("""COMPUTED_VALUE"""),"VICTOR MANUEL MURCIA CUELLAR")</f>
        <v>VICTOR MANUEL MURCIA CUELLAR</v>
      </c>
      <c r="D929" s="40" t="str">
        <f ca="1">IFERROR(__xludf.DUMMYFUNCTION("""COMPUTED_VALUE"""),"CC")</f>
        <v>CC</v>
      </c>
      <c r="E929" s="40">
        <f ca="1">IFERROR(__xludf.DUMMYFUNCTION("""COMPUTED_VALUE"""),1004493117)</f>
        <v>1004493117</v>
      </c>
      <c r="F929" s="40">
        <f ca="1">IFERROR(__xludf.DUMMYFUNCTION("""COMPUTED_VALUE"""),2280204)</f>
        <v>2280204</v>
      </c>
      <c r="G929" s="40" t="str">
        <f ca="1">IFERROR(__xludf.DUMMYFUNCTION("""COMPUTED_VALUE"""),"TECNÓLOGO")</f>
        <v>TECNÓLOGO</v>
      </c>
      <c r="H929" s="40" t="str">
        <f ca="1">IFERROR(__xludf.DUMMYFUNCTION("""COMPUTED_VALUE"""),"ANALISIS Y DESARROLLO DE SISTEMAS DE INFORMACION")</f>
        <v>ANALISIS Y DESARROLLO DE SISTEMAS DE INFORMACION</v>
      </c>
      <c r="I929" s="40"/>
      <c r="J929" s="40"/>
      <c r="K929" s="40"/>
      <c r="L929" s="40" t="str">
        <f ca="1">IFERROR(__xludf.DUMMYFUNCTION("""COMPUTED_VALUE"""),"NO HA INICIADO ETAPA PRODUCTIVA")</f>
        <v>NO HA INICIADO ETAPA PRODUCTIVA</v>
      </c>
      <c r="M929" s="40"/>
      <c r="N929" s="40"/>
      <c r="O929" s="40"/>
      <c r="P929" s="40"/>
      <c r="Q929" s="40"/>
      <c r="R929" s="140"/>
      <c r="S929" s="1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t="str">
        <f ca="1">IFERROR(__xludf.DUMMYFUNCTION("""COMPUTED_VALUE"""),"NO_CUMPLE")</f>
        <v>NO_CUMPLE</v>
      </c>
      <c r="AV929" s="40" t="str">
        <f ca="1">IFERROR(__xludf.DUMMYFUNCTION("""COMPUTED_VALUE"""),"EN FORMACION")</f>
        <v>EN FORMACION</v>
      </c>
      <c r="AW929" s="40" t="str">
        <f ca="1">IFERROR(__xludf.DUMMYFUNCTION("""COMPUTED_VALUE"""),"TIC")</f>
        <v>TIC</v>
      </c>
      <c r="AX929" s="141">
        <f ca="1">IFERROR(__xludf.DUMMYFUNCTION("""COMPUTED_VALUE"""),0)</f>
        <v>0</v>
      </c>
      <c r="AY929" s="40">
        <f ca="1">IFERROR(__xludf.DUMMYFUNCTION("""COMPUTED_VALUE"""),0)</f>
        <v>0</v>
      </c>
      <c r="AZ929" s="40">
        <f ca="1">IFERROR(__xludf.DUMMYFUNCTION("""COMPUTED_VALUE"""),1)</f>
        <v>1</v>
      </c>
      <c r="BA929" s="40">
        <f ca="1">IFERROR(__xludf.DUMMYFUNCTION("""COMPUTED_VALUE"""),9)</f>
        <v>9</v>
      </c>
      <c r="BB929" s="40">
        <f ca="1">IFERROR(__xludf.DUMMYFUNCTION("""COMPUTED_VALUE"""),5)</f>
        <v>5</v>
      </c>
      <c r="BC929" s="40">
        <f ca="1">IFERROR(__xludf.DUMMYFUNCTION("""COMPUTED_VALUE"""),15)</f>
        <v>15</v>
      </c>
      <c r="BD929" s="141">
        <f ca="1">IFERROR(__xludf.DUMMYFUNCTION("""COMPUTED_VALUE"""),44301)</f>
        <v>44301</v>
      </c>
      <c r="BE929" s="141">
        <f ca="1">IFERROR(__xludf.DUMMYFUNCTION("""COMPUTED_VALUE"""),44848)</f>
        <v>44848</v>
      </c>
      <c r="BF929" s="141">
        <f ca="1">IFERROR(__xludf.DUMMYFUNCTION("""COMPUTED_VALUE"""),45030)</f>
        <v>45030</v>
      </c>
      <c r="BG929" s="141">
        <f ca="1">IFERROR(__xludf.DUMMYFUNCTION("""COMPUTED_VALUE"""),45579)</f>
        <v>45579</v>
      </c>
      <c r="BH929" s="40" t="str">
        <f ca="1">IFERROR(__xludf.DUMMYFUNCTION("""COMPUTED_VALUE"""),"FICHA EN TIEMPO-18 MESES")</f>
        <v>FICHA EN TIEMPO-18 MESES</v>
      </c>
      <c r="BI929" s="40" t="str">
        <f ca="1">IFERROR(__xludf.DUMMYFUNCTION("""COMPUTED_VALUE"""),"En ejecucion")</f>
        <v>En ejecucion</v>
      </c>
      <c r="BJ929" s="40" t="str">
        <f ca="1">IFERROR(__xludf.DUMMYFUNCTION("""COMPUTED_VALUE"""),"Yamboro")</f>
        <v>Yamboro</v>
      </c>
      <c r="BK929" s="40"/>
      <c r="BL929" s="40"/>
    </row>
    <row r="930" spans="1:64" ht="13">
      <c r="A930" s="40"/>
      <c r="B930" s="40" t="str">
        <f ca="1">IFERROR(__xludf.DUMMYFUNCTION("""COMPUTED_VALUE"""),"FORMACIÓN 18/10/2022")</f>
        <v>FORMACIÓN 18/10/2022</v>
      </c>
      <c r="C930" s="40" t="str">
        <f ca="1">IFERROR(__xludf.DUMMYFUNCTION("""COMPUTED_VALUE"""),"YEIMI KATHERINE PEÑA ARIZA")</f>
        <v>YEIMI KATHERINE PEÑA ARIZA</v>
      </c>
      <c r="D930" s="40" t="str">
        <f ca="1">IFERROR(__xludf.DUMMYFUNCTION("""COMPUTED_VALUE"""),"CC")</f>
        <v>CC</v>
      </c>
      <c r="E930" s="40">
        <f ca="1">IFERROR(__xludf.DUMMYFUNCTION("""COMPUTED_VALUE"""),1006956707)</f>
        <v>1006956707</v>
      </c>
      <c r="F930" s="40">
        <f ca="1">IFERROR(__xludf.DUMMYFUNCTION("""COMPUTED_VALUE"""),2280204)</f>
        <v>2280204</v>
      </c>
      <c r="G930" s="40" t="str">
        <f ca="1">IFERROR(__xludf.DUMMYFUNCTION("""COMPUTED_VALUE"""),"TECNÓLOGO")</f>
        <v>TECNÓLOGO</v>
      </c>
      <c r="H930" s="40" t="str">
        <f ca="1">IFERROR(__xludf.DUMMYFUNCTION("""COMPUTED_VALUE"""),"ANALISIS Y DESARROLLO DE SISTEMAS DE INFORMACION")</f>
        <v>ANALISIS Y DESARROLLO DE SISTEMAS DE INFORMACION</v>
      </c>
      <c r="I930" s="40">
        <f ca="1">IFERROR(__xludf.DUMMYFUNCTION("""COMPUTED_VALUE"""),3202512948)</f>
        <v>3202512948</v>
      </c>
      <c r="J930" s="40" t="str">
        <f ca="1">IFERROR(__xludf.DUMMYFUNCTION("""COMPUTED_VALUE"""),"arizayeimi28@gmail.com")</f>
        <v>arizayeimi28@gmail.com</v>
      </c>
      <c r="K930" s="40" t="str">
        <f ca="1">IFERROR(__xludf.DUMMYFUNCTION("""COMPUTED_VALUE"""),"PITALITO")</f>
        <v>PITALITO</v>
      </c>
      <c r="L930" s="40" t="str">
        <f ca="1">IFERROR(__xludf.DUMMYFUNCTION("""COMPUTED_VALUE"""),"CONTRATO DE APRENDIZAJE ")</f>
        <v xml:space="preserve">CONTRATO DE APRENDIZAJE </v>
      </c>
      <c r="M930" s="40" t="str">
        <f ca="1">IFERROR(__xludf.DUMMYFUNCTION("""COMPUTED_VALUE"""),"INTERASEO S.A. E.S.P.")</f>
        <v>INTERASEO S.A. E.S.P.</v>
      </c>
      <c r="N930" s="40" t="str">
        <f ca="1">IFERROR(__xludf.DUMMYFUNCTION("""COMPUTED_VALUE"""),"CLL 6 N° 7-23")</f>
        <v>CLL 6 N° 7-23</v>
      </c>
      <c r="O930" s="40"/>
      <c r="P930" s="40" t="str">
        <f ca="1">IFERROR(__xludf.DUMMYFUNCTION("""COMPUTED_VALUE"""),"PITALITO")</f>
        <v>PITALITO</v>
      </c>
      <c r="Q930" s="40" t="str">
        <f ca="1">IFERROR(__xludf.DUMMYFUNCTION("""COMPUTED_VALUE"""),"jiguaran@interaseo.com.co")</f>
        <v>jiguaran@interaseo.com.co</v>
      </c>
      <c r="R930" s="140">
        <f ca="1">IFERROR(__xludf.DUMMYFUNCTION("""COMPUTED_VALUE"""),44825)</f>
        <v>44825</v>
      </c>
      <c r="S930" s="140">
        <f ca="1">IFERROR(__xludf.DUMMYFUNCTION("""COMPUTED_VALUE"""),45030)</f>
        <v>45030</v>
      </c>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t="str">
        <f ca="1">IFERROR(__xludf.DUMMYFUNCTION("""COMPUTED_VALUE"""),"NO_CUMPLE")</f>
        <v>NO_CUMPLE</v>
      </c>
      <c r="AV930" s="40" t="str">
        <f ca="1">IFERROR(__xludf.DUMMYFUNCTION("""COMPUTED_VALUE"""),"EN FORMACION")</f>
        <v>EN FORMACION</v>
      </c>
      <c r="AW930" s="40" t="str">
        <f ca="1">IFERROR(__xludf.DUMMYFUNCTION("""COMPUTED_VALUE"""),"TIC")</f>
        <v>TIC</v>
      </c>
      <c r="AX930" s="141">
        <f ca="1">IFERROR(__xludf.DUMMYFUNCTION("""COMPUTED_VALUE"""),0)</f>
        <v>0</v>
      </c>
      <c r="AY930" s="40">
        <f ca="1">IFERROR(__xludf.DUMMYFUNCTION("""COMPUTED_VALUE"""),0)</f>
        <v>0</v>
      </c>
      <c r="AZ930" s="40">
        <f ca="1">IFERROR(__xludf.DUMMYFUNCTION("""COMPUTED_VALUE"""),1)</f>
        <v>1</v>
      </c>
      <c r="BA930" s="40">
        <f ca="1">IFERROR(__xludf.DUMMYFUNCTION("""COMPUTED_VALUE"""),0)</f>
        <v>0</v>
      </c>
      <c r="BB930" s="40">
        <f ca="1">IFERROR(__xludf.DUMMYFUNCTION("""COMPUTED_VALUE"""),5)</f>
        <v>5</v>
      </c>
      <c r="BC930" s="40">
        <f ca="1">IFERROR(__xludf.DUMMYFUNCTION("""COMPUTED_VALUE"""),6)</f>
        <v>6</v>
      </c>
      <c r="BD930" s="141">
        <f ca="1">IFERROR(__xludf.DUMMYFUNCTION("""COMPUTED_VALUE"""),44301)</f>
        <v>44301</v>
      </c>
      <c r="BE930" s="141">
        <f ca="1">IFERROR(__xludf.DUMMYFUNCTION("""COMPUTED_VALUE"""),44848)</f>
        <v>44848</v>
      </c>
      <c r="BF930" s="141">
        <f ca="1">IFERROR(__xludf.DUMMYFUNCTION("""COMPUTED_VALUE"""),45030)</f>
        <v>45030</v>
      </c>
      <c r="BG930" s="141">
        <f ca="1">IFERROR(__xludf.DUMMYFUNCTION("""COMPUTED_VALUE"""),45579)</f>
        <v>45579</v>
      </c>
      <c r="BH930" s="40" t="str">
        <f ca="1">IFERROR(__xludf.DUMMYFUNCTION("""COMPUTED_VALUE"""),"FICHA EN TIEMPO-18 MESES")</f>
        <v>FICHA EN TIEMPO-18 MESES</v>
      </c>
      <c r="BI930" s="40" t="str">
        <f ca="1">IFERROR(__xludf.DUMMYFUNCTION("""COMPUTED_VALUE"""),"En ejecucion")</f>
        <v>En ejecucion</v>
      </c>
      <c r="BJ930" s="40" t="str">
        <f ca="1">IFERROR(__xludf.DUMMYFUNCTION("""COMPUTED_VALUE"""),"Yamboro")</f>
        <v>Yamboro</v>
      </c>
      <c r="BK930" s="40"/>
      <c r="BL930" s="40"/>
    </row>
    <row r="931" spans="1:64" ht="13">
      <c r="A931" s="40"/>
      <c r="B931" s="40" t="str">
        <f ca="1">IFERROR(__xludf.DUMMYFUNCTION("""COMPUTED_VALUE"""),"FORMACIÓN 18/10/2022")</f>
        <v>FORMACIÓN 18/10/2022</v>
      </c>
      <c r="C931" s="40" t="str">
        <f ca="1">IFERROR(__xludf.DUMMYFUNCTION("""COMPUTED_VALUE"""),"ANDRES FELIPE MENDEZ JIMENEZ")</f>
        <v>ANDRES FELIPE MENDEZ JIMENEZ</v>
      </c>
      <c r="D931" s="40" t="str">
        <f ca="1">IFERROR(__xludf.DUMMYFUNCTION("""COMPUTED_VALUE"""),"CC")</f>
        <v>CC</v>
      </c>
      <c r="E931" s="40">
        <f ca="1">IFERROR(__xludf.DUMMYFUNCTION("""COMPUTED_VALUE"""),1007163437)</f>
        <v>1007163437</v>
      </c>
      <c r="F931" s="40">
        <f ca="1">IFERROR(__xludf.DUMMYFUNCTION("""COMPUTED_VALUE"""),2280204)</f>
        <v>2280204</v>
      </c>
      <c r="G931" s="40" t="str">
        <f ca="1">IFERROR(__xludf.DUMMYFUNCTION("""COMPUTED_VALUE"""),"TECNÓLOGO")</f>
        <v>TECNÓLOGO</v>
      </c>
      <c r="H931" s="40" t="str">
        <f ca="1">IFERROR(__xludf.DUMMYFUNCTION("""COMPUTED_VALUE"""),"ANALISIS Y DESARROLLO DE SISTEMAS DE INFORMACION")</f>
        <v>ANALISIS Y DESARROLLO DE SISTEMAS DE INFORMACION</v>
      </c>
      <c r="I931" s="40">
        <f ca="1">IFERROR(__xludf.DUMMYFUNCTION("""COMPUTED_VALUE"""),573224165449)</f>
        <v>573224165449</v>
      </c>
      <c r="J931" s="40" t="str">
        <f ca="1">IFERROR(__xludf.DUMMYFUNCTION("""COMPUTED_VALUE"""),"fmfelinator23@gmail.com")</f>
        <v>fmfelinator23@gmail.com</v>
      </c>
      <c r="K931" s="40" t="str">
        <f ca="1">IFERROR(__xludf.DUMMYFUNCTION("""COMPUTED_VALUE"""),"PITALITO")</f>
        <v>PITALITO</v>
      </c>
      <c r="L931" s="40" t="str">
        <f ca="1">IFERROR(__xludf.DUMMYFUNCTION("""COMPUTED_VALUE"""),"CONTRATO DE APRENDIZAJE ")</f>
        <v xml:space="preserve">CONTRATO DE APRENDIZAJE </v>
      </c>
      <c r="M931" s="40" t="str">
        <f ca="1">IFERROR(__xludf.DUMMYFUNCTION("""COMPUTED_VALUE"""),"NTERASEO S.A. E.S.P.")</f>
        <v>NTERASEO S.A. E.S.P.</v>
      </c>
      <c r="N931" s="40" t="str">
        <f ca="1">IFERROR(__xludf.DUMMYFUNCTION("""COMPUTED_VALUE"""),"CLL 7 C N° 70 B 71")</f>
        <v>CLL 7 C N° 70 B 71</v>
      </c>
      <c r="O931" s="40">
        <f ca="1">IFERROR(__xludf.DUMMYFUNCTION("""COMPUTED_VALUE"""),2737513)</f>
        <v>2737513</v>
      </c>
      <c r="P931" s="40"/>
      <c r="Q931" s="40" t="str">
        <f ca="1">IFERROR(__xludf.DUMMYFUNCTION("""COMPUTED_VALUE"""),"jiguaran@interaseo.com.co")</f>
        <v>jiguaran@interaseo.com.co</v>
      </c>
      <c r="R931" s="140">
        <f ca="1">IFERROR(__xludf.DUMMYFUNCTION("""COMPUTED_VALUE"""),44825)</f>
        <v>44825</v>
      </c>
      <c r="S931" s="140">
        <f ca="1">IFERROR(__xludf.DUMMYFUNCTION("""COMPUTED_VALUE"""),45030)</f>
        <v>45030</v>
      </c>
      <c r="T931" s="40"/>
      <c r="U931" s="40" t="str">
        <f ca="1">IFERROR(__xludf.DUMMYFUNCTION("""COMPUTED_VALUE"""),"Eduardo Triana Trujillo")</f>
        <v>Eduardo Triana Trujillo</v>
      </c>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t="str">
        <f ca="1">IFERROR(__xludf.DUMMYFUNCTION("""COMPUTED_VALUE"""),"NO_CUMPLE")</f>
        <v>NO_CUMPLE</v>
      </c>
      <c r="AV931" s="40" t="str">
        <f ca="1">IFERROR(__xludf.DUMMYFUNCTION("""COMPUTED_VALUE"""),"EN FORMACION")</f>
        <v>EN FORMACION</v>
      </c>
      <c r="AW931" s="40" t="str">
        <f ca="1">IFERROR(__xludf.DUMMYFUNCTION("""COMPUTED_VALUE"""),"TIC")</f>
        <v>TIC</v>
      </c>
      <c r="AX931" s="141">
        <f ca="1">IFERROR(__xludf.DUMMYFUNCTION("""COMPUTED_VALUE"""),0)</f>
        <v>0</v>
      </c>
      <c r="AY931" s="40">
        <f ca="1">IFERROR(__xludf.DUMMYFUNCTION("""COMPUTED_VALUE"""),0)</f>
        <v>0</v>
      </c>
      <c r="AZ931" s="40">
        <f ca="1">IFERROR(__xludf.DUMMYFUNCTION("""COMPUTED_VALUE"""),1)</f>
        <v>1</v>
      </c>
      <c r="BA931" s="40">
        <f ca="1">IFERROR(__xludf.DUMMYFUNCTION("""COMPUTED_VALUE"""),9)</f>
        <v>9</v>
      </c>
      <c r="BB931" s="40">
        <f ca="1">IFERROR(__xludf.DUMMYFUNCTION("""COMPUTED_VALUE"""),5)</f>
        <v>5</v>
      </c>
      <c r="BC931" s="40">
        <f ca="1">IFERROR(__xludf.DUMMYFUNCTION("""COMPUTED_VALUE"""),15)</f>
        <v>15</v>
      </c>
      <c r="BD931" s="141">
        <f ca="1">IFERROR(__xludf.DUMMYFUNCTION("""COMPUTED_VALUE"""),44301)</f>
        <v>44301</v>
      </c>
      <c r="BE931" s="141">
        <f ca="1">IFERROR(__xludf.DUMMYFUNCTION("""COMPUTED_VALUE"""),44848)</f>
        <v>44848</v>
      </c>
      <c r="BF931" s="141">
        <f ca="1">IFERROR(__xludf.DUMMYFUNCTION("""COMPUTED_VALUE"""),45030)</f>
        <v>45030</v>
      </c>
      <c r="BG931" s="141">
        <f ca="1">IFERROR(__xludf.DUMMYFUNCTION("""COMPUTED_VALUE"""),45579)</f>
        <v>45579</v>
      </c>
      <c r="BH931" s="40" t="str">
        <f ca="1">IFERROR(__xludf.DUMMYFUNCTION("""COMPUTED_VALUE"""),"FICHA EN TIEMPO-18 MESES")</f>
        <v>FICHA EN TIEMPO-18 MESES</v>
      </c>
      <c r="BI931" s="40" t="str">
        <f ca="1">IFERROR(__xludf.DUMMYFUNCTION("""COMPUTED_VALUE"""),"En ejecucion")</f>
        <v>En ejecucion</v>
      </c>
      <c r="BJ931" s="40" t="str">
        <f ca="1">IFERROR(__xludf.DUMMYFUNCTION("""COMPUTED_VALUE"""),"Yamboro")</f>
        <v>Yamboro</v>
      </c>
      <c r="BK931" s="40"/>
      <c r="BL931" s="40"/>
    </row>
    <row r="932" spans="1:64" ht="13">
      <c r="A932" s="40"/>
      <c r="B932" s="40" t="str">
        <f ca="1">IFERROR(__xludf.DUMMYFUNCTION("""COMPUTED_VALUE"""),"INDUCCIÓN 18/10/2022")</f>
        <v>INDUCCIÓN 18/10/2022</v>
      </c>
      <c r="C932" s="40" t="str">
        <f ca="1">IFERROR(__xludf.DUMMYFUNCTION("""COMPUTED_VALUE"""),"JUAN DAVID LOPEZ PARDO")</f>
        <v>JUAN DAVID LOPEZ PARDO</v>
      </c>
      <c r="D932" s="40" t="str">
        <f ca="1">IFERROR(__xludf.DUMMYFUNCTION("""COMPUTED_VALUE"""),"CC")</f>
        <v>CC</v>
      </c>
      <c r="E932" s="40">
        <f ca="1">IFERROR(__xludf.DUMMYFUNCTION("""COMPUTED_VALUE"""),1007361170)</f>
        <v>1007361170</v>
      </c>
      <c r="F932" s="40">
        <f ca="1">IFERROR(__xludf.DUMMYFUNCTION("""COMPUTED_VALUE"""),2280204)</f>
        <v>2280204</v>
      </c>
      <c r="G932" s="40" t="str">
        <f ca="1">IFERROR(__xludf.DUMMYFUNCTION("""COMPUTED_VALUE"""),"TECNÓLOGO")</f>
        <v>TECNÓLOGO</v>
      </c>
      <c r="H932" s="40" t="str">
        <f ca="1">IFERROR(__xludf.DUMMYFUNCTION("""COMPUTED_VALUE"""),"ANALISIS Y DESARROLLO DE SISTEMAS DE INFORMACION")</f>
        <v>ANALISIS Y DESARROLLO DE SISTEMAS DE INFORMACION</v>
      </c>
      <c r="I932" s="40"/>
      <c r="J932" s="40"/>
      <c r="K932" s="40"/>
      <c r="L932" s="40" t="str">
        <f ca="1">IFERROR(__xludf.DUMMYFUNCTION("""COMPUTED_VALUE"""),"NO HA INICIADO ETAPA PRODUCTIVA")</f>
        <v>NO HA INICIADO ETAPA PRODUCTIVA</v>
      </c>
      <c r="M932" s="40"/>
      <c r="N932" s="40"/>
      <c r="O932" s="40"/>
      <c r="P932" s="40"/>
      <c r="Q932" s="40"/>
      <c r="R932" s="140"/>
      <c r="S932" s="1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t="str">
        <f ca="1">IFERROR(__xludf.DUMMYFUNCTION("""COMPUTED_VALUE"""),"NO_CUMPLE")</f>
        <v>NO_CUMPLE</v>
      </c>
      <c r="AV932" s="40"/>
      <c r="AW932" s="40" t="str">
        <f ca="1">IFERROR(__xludf.DUMMYFUNCTION("""COMPUTED_VALUE"""),"TIC")</f>
        <v>TIC</v>
      </c>
      <c r="AX932" s="141"/>
      <c r="AY932" s="40"/>
      <c r="AZ932" s="40"/>
      <c r="BA932" s="40"/>
      <c r="BB932" s="40"/>
      <c r="BC932" s="40"/>
      <c r="BD932" s="141"/>
      <c r="BE932" s="141"/>
      <c r="BF932" s="141">
        <f ca="1">IFERROR(__xludf.DUMMYFUNCTION("""COMPUTED_VALUE"""),45030)</f>
        <v>45030</v>
      </c>
      <c r="BG932" s="141">
        <f ca="1">IFERROR(__xludf.DUMMYFUNCTION("""COMPUTED_VALUE"""),45579)</f>
        <v>45579</v>
      </c>
      <c r="BH932" s="40" t="str">
        <f ca="1">IFERROR(__xludf.DUMMYFUNCTION("""COMPUTED_VALUE"""),"FICHA EN TIEMPO-18 MESES")</f>
        <v>FICHA EN TIEMPO-18 MESES</v>
      </c>
      <c r="BI932" s="40" t="str">
        <f ca="1">IFERROR(__xludf.DUMMYFUNCTION("""COMPUTED_VALUE"""),"En ejecucion")</f>
        <v>En ejecucion</v>
      </c>
      <c r="BJ932" s="40" t="str">
        <f ca="1">IFERROR(__xludf.DUMMYFUNCTION("""COMPUTED_VALUE"""),"Yamboro")</f>
        <v>Yamboro</v>
      </c>
      <c r="BK932" s="40"/>
      <c r="BL932" s="40"/>
    </row>
    <row r="933" spans="1:64" ht="13">
      <c r="A933" s="40"/>
      <c r="B933" s="40" t="str">
        <f ca="1">IFERROR(__xludf.DUMMYFUNCTION("""COMPUTED_VALUE"""),"FORMACIÓN 18/10/2022")</f>
        <v>FORMACIÓN 18/10/2022</v>
      </c>
      <c r="C933" s="40" t="str">
        <f ca="1">IFERROR(__xludf.DUMMYFUNCTION("""COMPUTED_VALUE"""),"MILDRETH LORENA PAPAMIJA SAMBONY")</f>
        <v>MILDRETH LORENA PAPAMIJA SAMBONY</v>
      </c>
      <c r="D933" s="40" t="str">
        <f ca="1">IFERROR(__xludf.DUMMYFUNCTION("""COMPUTED_VALUE"""),"CC")</f>
        <v>CC</v>
      </c>
      <c r="E933" s="40">
        <f ca="1">IFERROR(__xludf.DUMMYFUNCTION("""COMPUTED_VALUE"""),1007361222)</f>
        <v>1007361222</v>
      </c>
      <c r="F933" s="40">
        <f ca="1">IFERROR(__xludf.DUMMYFUNCTION("""COMPUTED_VALUE"""),2280204)</f>
        <v>2280204</v>
      </c>
      <c r="G933" s="40" t="str">
        <f ca="1">IFERROR(__xludf.DUMMYFUNCTION("""COMPUTED_VALUE"""),"TECNÓLOGO")</f>
        <v>TECNÓLOGO</v>
      </c>
      <c r="H933" s="40" t="str">
        <f ca="1">IFERROR(__xludf.DUMMYFUNCTION("""COMPUTED_VALUE"""),"ANALISIS Y DESARROLLO DE SISTEMAS DE INFORMACION")</f>
        <v>ANALISIS Y DESARROLLO DE SISTEMAS DE INFORMACION</v>
      </c>
      <c r="I933" s="40">
        <f ca="1">IFERROR(__xludf.DUMMYFUNCTION("""COMPUTED_VALUE"""),3224165449)</f>
        <v>3224165449</v>
      </c>
      <c r="J933" s="40" t="str">
        <f ca="1">IFERROR(__xludf.DUMMYFUNCTION("""COMPUTED_VALUE"""),"fmfelinator23@gmail.com")</f>
        <v>fmfelinator23@gmail.com</v>
      </c>
      <c r="K933" s="40" t="str">
        <f ca="1">IFERROR(__xludf.DUMMYFUNCTION("""COMPUTED_VALUE"""),"Pitalito")</f>
        <v>Pitalito</v>
      </c>
      <c r="L933" s="40" t="str">
        <f ca="1">IFERROR(__xludf.DUMMYFUNCTION("""COMPUTED_VALUE"""),"CONTRATO DE APRENDIZAJE ")</f>
        <v xml:space="preserve">CONTRATO DE APRENDIZAJE </v>
      </c>
      <c r="M933" s="40" t="str">
        <f ca="1">IFERROR(__xludf.DUMMYFUNCTION("""COMPUTED_VALUE"""),"INDIGO TECHNOLOGIES S.A.S")</f>
        <v>INDIGO TECHNOLOGIES S.A.S</v>
      </c>
      <c r="N933" s="40" t="str">
        <f ca="1">IFERROR(__xludf.DUMMYFUNCTION("""COMPUTED_VALUE"""),"Carrera 7 # 155c - 20")</f>
        <v>Carrera 7 # 155c - 20</v>
      </c>
      <c r="O933" s="40">
        <f ca="1">IFERROR(__xludf.DUMMYFUNCTION("""COMPUTED_VALUE"""),3103048675)</f>
        <v>3103048675</v>
      </c>
      <c r="P933" s="40" t="str">
        <f ca="1">IFERROR(__xludf.DUMMYFUNCTION("""COMPUTED_VALUE"""),"BOGOTA ")</f>
        <v xml:space="preserve">BOGOTA </v>
      </c>
      <c r="Q933" s="40" t="str">
        <f ca="1">IFERROR(__xludf.DUMMYFUNCTION("""COMPUTED_VALUE"""),"avargas@indigo.tech")</f>
        <v>avargas@indigo.tech</v>
      </c>
      <c r="R933" s="140">
        <f ca="1">IFERROR(__xludf.DUMMYFUNCTION("""COMPUTED_VALUE"""),44850)</f>
        <v>44850</v>
      </c>
      <c r="S933" s="140">
        <f ca="1">IFERROR(__xludf.DUMMYFUNCTION("""COMPUTED_VALUE"""),45030)</f>
        <v>45030</v>
      </c>
      <c r="T933" s="40"/>
      <c r="U933" s="40" t="str">
        <f ca="1">IFERROR(__xludf.DUMMYFUNCTION("""COMPUTED_VALUE"""),"Eduardo Triana Trujillo")</f>
        <v>Eduardo Triana Trujillo</v>
      </c>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t="str">
        <f ca="1">IFERROR(__xludf.DUMMYFUNCTION("""COMPUTED_VALUE"""),"NO_CUMPLE")</f>
        <v>NO_CUMPLE</v>
      </c>
      <c r="AV933" s="40" t="str">
        <f ca="1">IFERROR(__xludf.DUMMYFUNCTION("""COMPUTED_VALUE"""),"EN FORMACION")</f>
        <v>EN FORMACION</v>
      </c>
      <c r="AW933" s="40" t="str">
        <f ca="1">IFERROR(__xludf.DUMMYFUNCTION("""COMPUTED_VALUE"""),"TIC")</f>
        <v>TIC</v>
      </c>
      <c r="AX933" s="141">
        <f ca="1">IFERROR(__xludf.DUMMYFUNCTION("""COMPUTED_VALUE"""),0)</f>
        <v>0</v>
      </c>
      <c r="AY933" s="40">
        <f ca="1">IFERROR(__xludf.DUMMYFUNCTION("""COMPUTED_VALUE"""),0)</f>
        <v>0</v>
      </c>
      <c r="AZ933" s="40">
        <f ca="1">IFERROR(__xludf.DUMMYFUNCTION("""COMPUTED_VALUE"""),1)</f>
        <v>1</v>
      </c>
      <c r="BA933" s="40">
        <f ca="1">IFERROR(__xludf.DUMMYFUNCTION("""COMPUTED_VALUE"""),2)</f>
        <v>2</v>
      </c>
      <c r="BB933" s="40">
        <f ca="1">IFERROR(__xludf.DUMMYFUNCTION("""COMPUTED_VALUE"""),5)</f>
        <v>5</v>
      </c>
      <c r="BC933" s="40">
        <f ca="1">IFERROR(__xludf.DUMMYFUNCTION("""COMPUTED_VALUE"""),8)</f>
        <v>8</v>
      </c>
      <c r="BD933" s="141">
        <f ca="1">IFERROR(__xludf.DUMMYFUNCTION("""COMPUTED_VALUE"""),44301)</f>
        <v>44301</v>
      </c>
      <c r="BE933" s="141">
        <f ca="1">IFERROR(__xludf.DUMMYFUNCTION("""COMPUTED_VALUE"""),44848)</f>
        <v>44848</v>
      </c>
      <c r="BF933" s="141">
        <f ca="1">IFERROR(__xludf.DUMMYFUNCTION("""COMPUTED_VALUE"""),45030)</f>
        <v>45030</v>
      </c>
      <c r="BG933" s="141">
        <f ca="1">IFERROR(__xludf.DUMMYFUNCTION("""COMPUTED_VALUE"""),45579)</f>
        <v>45579</v>
      </c>
      <c r="BH933" s="40" t="str">
        <f ca="1">IFERROR(__xludf.DUMMYFUNCTION("""COMPUTED_VALUE"""),"FICHA EN TIEMPO-18 MESES")</f>
        <v>FICHA EN TIEMPO-18 MESES</v>
      </c>
      <c r="BI933" s="40" t="str">
        <f ca="1">IFERROR(__xludf.DUMMYFUNCTION("""COMPUTED_VALUE"""),"En ejecucion")</f>
        <v>En ejecucion</v>
      </c>
      <c r="BJ933" s="40" t="str">
        <f ca="1">IFERROR(__xludf.DUMMYFUNCTION("""COMPUTED_VALUE"""),"Yamboro")</f>
        <v>Yamboro</v>
      </c>
      <c r="BK933" s="40"/>
      <c r="BL933" s="40"/>
    </row>
    <row r="934" spans="1:64" ht="13">
      <c r="A934" s="40"/>
      <c r="B934" s="40" t="str">
        <f ca="1">IFERROR(__xludf.DUMMYFUNCTION("""COMPUTED_VALUE"""),"FORMACIÓN 18/10/2022")</f>
        <v>FORMACIÓN 18/10/2022</v>
      </c>
      <c r="C934" s="40" t="str">
        <f ca="1">IFERROR(__xludf.DUMMYFUNCTION("""COMPUTED_VALUE"""),"HAMIR ORTIZ CRUZ")</f>
        <v>HAMIR ORTIZ CRUZ</v>
      </c>
      <c r="D934" s="40" t="str">
        <f ca="1">IFERROR(__xludf.DUMMYFUNCTION("""COMPUTED_VALUE"""),"CC")</f>
        <v>CC</v>
      </c>
      <c r="E934" s="40">
        <f ca="1">IFERROR(__xludf.DUMMYFUNCTION("""COMPUTED_VALUE"""),1007502651)</f>
        <v>1007502651</v>
      </c>
      <c r="F934" s="40">
        <f ca="1">IFERROR(__xludf.DUMMYFUNCTION("""COMPUTED_VALUE"""),2280204)</f>
        <v>2280204</v>
      </c>
      <c r="G934" s="40" t="str">
        <f ca="1">IFERROR(__xludf.DUMMYFUNCTION("""COMPUTED_VALUE"""),"TECNÓLOGO")</f>
        <v>TECNÓLOGO</v>
      </c>
      <c r="H934" s="40" t="str">
        <f ca="1">IFERROR(__xludf.DUMMYFUNCTION("""COMPUTED_VALUE"""),"ANALISIS Y DESARROLLO DE SISTEMAS DE INFORMACION")</f>
        <v>ANALISIS Y DESARROLLO DE SISTEMAS DE INFORMACION</v>
      </c>
      <c r="I934" s="40">
        <f ca="1">IFERROR(__xludf.DUMMYFUNCTION("""COMPUTED_VALUE"""),3202895066)</f>
        <v>3202895066</v>
      </c>
      <c r="J934" s="40" t="str">
        <f ca="1">IFERROR(__xludf.DUMMYFUNCTION("""COMPUTED_VALUE"""),"hamirc93@gamil.com")</f>
        <v>hamirc93@gamil.com</v>
      </c>
      <c r="K934" s="40" t="str">
        <f ca="1">IFERROR(__xludf.DUMMYFUNCTION("""COMPUTED_VALUE"""),"Pitalito")</f>
        <v>Pitalito</v>
      </c>
      <c r="L934" s="40" t="str">
        <f ca="1">IFERROR(__xludf.DUMMYFUNCTION("""COMPUTED_VALUE"""),"NO HA INICIADO ETAPA PRODUCTIVA")</f>
        <v>NO HA INICIADO ETAPA PRODUCTIVA</v>
      </c>
      <c r="M934" s="40"/>
      <c r="N934" s="40"/>
      <c r="O934" s="40"/>
      <c r="P934" s="40"/>
      <c r="Q934" s="40"/>
      <c r="R934" s="140"/>
      <c r="S934" s="1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t="str">
        <f ca="1">IFERROR(__xludf.DUMMYFUNCTION("""COMPUTED_VALUE"""),"NO_CUMPLE")</f>
        <v>NO_CUMPLE</v>
      </c>
      <c r="AV934" s="40" t="str">
        <f ca="1">IFERROR(__xludf.DUMMYFUNCTION("""COMPUTED_VALUE"""),"EN FORMACION")</f>
        <v>EN FORMACION</v>
      </c>
      <c r="AW934" s="40" t="str">
        <f ca="1">IFERROR(__xludf.DUMMYFUNCTION("""COMPUTED_VALUE"""),"TIC")</f>
        <v>TIC</v>
      </c>
      <c r="AX934" s="141">
        <f ca="1">IFERROR(__xludf.DUMMYFUNCTION("""COMPUTED_VALUE"""),2)</f>
        <v>2</v>
      </c>
      <c r="AY934" s="40">
        <f ca="1">IFERROR(__xludf.DUMMYFUNCTION("""COMPUTED_VALUE"""),2)</f>
        <v>2</v>
      </c>
      <c r="AZ934" s="40">
        <f ca="1">IFERROR(__xludf.DUMMYFUNCTION("""COMPUTED_VALUE"""),1)</f>
        <v>1</v>
      </c>
      <c r="BA934" s="40">
        <f ca="1">IFERROR(__xludf.DUMMYFUNCTION("""COMPUTED_VALUE"""),7)</f>
        <v>7</v>
      </c>
      <c r="BB934" s="40">
        <f ca="1">IFERROR(__xludf.DUMMYFUNCTION("""COMPUTED_VALUE"""),5)</f>
        <v>5</v>
      </c>
      <c r="BC934" s="40">
        <f ca="1">IFERROR(__xludf.DUMMYFUNCTION("""COMPUTED_VALUE"""),15)</f>
        <v>15</v>
      </c>
      <c r="BD934" s="141">
        <f ca="1">IFERROR(__xludf.DUMMYFUNCTION("""COMPUTED_VALUE"""),44301)</f>
        <v>44301</v>
      </c>
      <c r="BE934" s="141">
        <f ca="1">IFERROR(__xludf.DUMMYFUNCTION("""COMPUTED_VALUE"""),44848)</f>
        <v>44848</v>
      </c>
      <c r="BF934" s="141">
        <f ca="1">IFERROR(__xludf.DUMMYFUNCTION("""COMPUTED_VALUE"""),45030)</f>
        <v>45030</v>
      </c>
      <c r="BG934" s="141">
        <f ca="1">IFERROR(__xludf.DUMMYFUNCTION("""COMPUTED_VALUE"""),45579)</f>
        <v>45579</v>
      </c>
      <c r="BH934" s="40" t="str">
        <f ca="1">IFERROR(__xludf.DUMMYFUNCTION("""COMPUTED_VALUE"""),"FICHA EN TIEMPO-18 MESES")</f>
        <v>FICHA EN TIEMPO-18 MESES</v>
      </c>
      <c r="BI934" s="40" t="str">
        <f ca="1">IFERROR(__xludf.DUMMYFUNCTION("""COMPUTED_VALUE"""),"En ejecucion")</f>
        <v>En ejecucion</v>
      </c>
      <c r="BJ934" s="40" t="str">
        <f ca="1">IFERROR(__xludf.DUMMYFUNCTION("""COMPUTED_VALUE"""),"Yamboro")</f>
        <v>Yamboro</v>
      </c>
      <c r="BK934" s="40"/>
      <c r="BL934" s="40"/>
    </row>
    <row r="935" spans="1:64" ht="13">
      <c r="A935" s="40"/>
      <c r="B935" s="40" t="str">
        <f ca="1">IFERROR(__xludf.DUMMYFUNCTION("""COMPUTED_VALUE"""),"FORMACIÓN 18/10/2022")</f>
        <v>FORMACIÓN 18/10/2022</v>
      </c>
      <c r="C935" s="40" t="str">
        <f ca="1">IFERROR(__xludf.DUMMYFUNCTION("""COMPUTED_VALUE"""),"LUISA FERNANDA RAMIREZ MONTOYA")</f>
        <v>LUISA FERNANDA RAMIREZ MONTOYA</v>
      </c>
      <c r="D935" s="40" t="str">
        <f ca="1">IFERROR(__xludf.DUMMYFUNCTION("""COMPUTED_VALUE"""),"CC")</f>
        <v>CC</v>
      </c>
      <c r="E935" s="40">
        <f ca="1">IFERROR(__xludf.DUMMYFUNCTION("""COMPUTED_VALUE"""),1007531657)</f>
        <v>1007531657</v>
      </c>
      <c r="F935" s="40">
        <f ca="1">IFERROR(__xludf.DUMMYFUNCTION("""COMPUTED_VALUE"""),2280204)</f>
        <v>2280204</v>
      </c>
      <c r="G935" s="40" t="str">
        <f ca="1">IFERROR(__xludf.DUMMYFUNCTION("""COMPUTED_VALUE"""),"TECNÓLOGO")</f>
        <v>TECNÓLOGO</v>
      </c>
      <c r="H935" s="40" t="str">
        <f ca="1">IFERROR(__xludf.DUMMYFUNCTION("""COMPUTED_VALUE"""),"ANALISIS Y DESARROLLO DE SISTEMAS DE INFORMACION")</f>
        <v>ANALISIS Y DESARROLLO DE SISTEMAS DE INFORMACION</v>
      </c>
      <c r="I935" s="40">
        <f ca="1">IFERROR(__xludf.DUMMYFUNCTION("""COMPUTED_VALUE"""),3202576701)</f>
        <v>3202576701</v>
      </c>
      <c r="J935" s="40" t="str">
        <f ca="1">IFERROR(__xludf.DUMMYFUNCTION("""COMPUTED_VALUE"""),"luisafw123@gmail.com")</f>
        <v>luisafw123@gmail.com</v>
      </c>
      <c r="K935" s="40" t="str">
        <f ca="1">IFERROR(__xludf.DUMMYFUNCTION("""COMPUTED_VALUE"""),"Pitalito")</f>
        <v>Pitalito</v>
      </c>
      <c r="L935" s="40" t="str">
        <f ca="1">IFERROR(__xludf.DUMMYFUNCTION("""COMPUTED_VALUE"""),"NO HA INICIADO ETAPA PRODUCTIVA")</f>
        <v>NO HA INICIADO ETAPA PRODUCTIVA</v>
      </c>
      <c r="M935" s="40"/>
      <c r="N935" s="40"/>
      <c r="O935" s="40"/>
      <c r="P935" s="40"/>
      <c r="Q935" s="40"/>
      <c r="R935" s="140"/>
      <c r="S935" s="1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t="str">
        <f ca="1">IFERROR(__xludf.DUMMYFUNCTION("""COMPUTED_VALUE"""),"NO_CUMPLE")</f>
        <v>NO_CUMPLE</v>
      </c>
      <c r="AV935" s="40" t="str">
        <f ca="1">IFERROR(__xludf.DUMMYFUNCTION("""COMPUTED_VALUE"""),"EN FORMACION")</f>
        <v>EN FORMACION</v>
      </c>
      <c r="AW935" s="40" t="str">
        <f ca="1">IFERROR(__xludf.DUMMYFUNCTION("""COMPUTED_VALUE"""),"TIC")</f>
        <v>TIC</v>
      </c>
      <c r="AX935" s="141">
        <f ca="1">IFERROR(__xludf.DUMMYFUNCTION("""COMPUTED_VALUE"""),0)</f>
        <v>0</v>
      </c>
      <c r="AY935" s="40">
        <f ca="1">IFERROR(__xludf.DUMMYFUNCTION("""COMPUTED_VALUE"""),0)</f>
        <v>0</v>
      </c>
      <c r="AZ935" s="40">
        <f ca="1">IFERROR(__xludf.DUMMYFUNCTION("""COMPUTED_VALUE"""),1)</f>
        <v>1</v>
      </c>
      <c r="BA935" s="40">
        <f ca="1">IFERROR(__xludf.DUMMYFUNCTION("""COMPUTED_VALUE"""),7)</f>
        <v>7</v>
      </c>
      <c r="BB935" s="40">
        <f ca="1">IFERROR(__xludf.DUMMYFUNCTION("""COMPUTED_VALUE"""),5)</f>
        <v>5</v>
      </c>
      <c r="BC935" s="40">
        <f ca="1">IFERROR(__xludf.DUMMYFUNCTION("""COMPUTED_VALUE"""),13)</f>
        <v>13</v>
      </c>
      <c r="BD935" s="141">
        <f ca="1">IFERROR(__xludf.DUMMYFUNCTION("""COMPUTED_VALUE"""),44301)</f>
        <v>44301</v>
      </c>
      <c r="BE935" s="141">
        <f ca="1">IFERROR(__xludf.DUMMYFUNCTION("""COMPUTED_VALUE"""),44848)</f>
        <v>44848</v>
      </c>
      <c r="BF935" s="141">
        <f ca="1">IFERROR(__xludf.DUMMYFUNCTION("""COMPUTED_VALUE"""),45030)</f>
        <v>45030</v>
      </c>
      <c r="BG935" s="141">
        <f ca="1">IFERROR(__xludf.DUMMYFUNCTION("""COMPUTED_VALUE"""),45579)</f>
        <v>45579</v>
      </c>
      <c r="BH935" s="40" t="str">
        <f ca="1">IFERROR(__xludf.DUMMYFUNCTION("""COMPUTED_VALUE"""),"FICHA EN TIEMPO-18 MESES")</f>
        <v>FICHA EN TIEMPO-18 MESES</v>
      </c>
      <c r="BI935" s="40" t="str">
        <f ca="1">IFERROR(__xludf.DUMMYFUNCTION("""COMPUTED_VALUE"""),"En ejecucion")</f>
        <v>En ejecucion</v>
      </c>
      <c r="BJ935" s="40" t="str">
        <f ca="1">IFERROR(__xludf.DUMMYFUNCTION("""COMPUTED_VALUE"""),"Yamboro")</f>
        <v>Yamboro</v>
      </c>
      <c r="BK935" s="40"/>
      <c r="BL935" s="40"/>
    </row>
    <row r="936" spans="1:64" ht="13">
      <c r="A936" s="40"/>
      <c r="B936" s="40" t="str">
        <f ca="1">IFERROR(__xludf.DUMMYFUNCTION("""COMPUTED_VALUE"""),"FORMACIÓN 18/10/2022")</f>
        <v>FORMACIÓN 18/10/2022</v>
      </c>
      <c r="C936" s="40" t="str">
        <f ca="1">IFERROR(__xludf.DUMMYFUNCTION("""COMPUTED_VALUE"""),"SEBASTIAN RENDON VARGAS")</f>
        <v>SEBASTIAN RENDON VARGAS</v>
      </c>
      <c r="D936" s="40" t="str">
        <f ca="1">IFERROR(__xludf.DUMMYFUNCTION("""COMPUTED_VALUE"""),"CC")</f>
        <v>CC</v>
      </c>
      <c r="E936" s="40">
        <f ca="1">IFERROR(__xludf.DUMMYFUNCTION("""COMPUTED_VALUE"""),1007745216)</f>
        <v>1007745216</v>
      </c>
      <c r="F936" s="40">
        <f ca="1">IFERROR(__xludf.DUMMYFUNCTION("""COMPUTED_VALUE"""),2280204)</f>
        <v>2280204</v>
      </c>
      <c r="G936" s="40" t="str">
        <f ca="1">IFERROR(__xludf.DUMMYFUNCTION("""COMPUTED_VALUE"""),"TECNÓLOGO")</f>
        <v>TECNÓLOGO</v>
      </c>
      <c r="H936" s="40" t="str">
        <f ca="1">IFERROR(__xludf.DUMMYFUNCTION("""COMPUTED_VALUE"""),"ANALISIS Y DESARROLLO DE SISTEMAS DE INFORMACION")</f>
        <v>ANALISIS Y DESARROLLO DE SISTEMAS DE INFORMACION</v>
      </c>
      <c r="I936" s="40">
        <f ca="1">IFERROR(__xludf.DUMMYFUNCTION("""COMPUTED_VALUE"""),3133007933)</f>
        <v>3133007933</v>
      </c>
      <c r="J936" s="40" t="str">
        <f ca="1">IFERROR(__xludf.DUMMYFUNCTION("""COMPUTED_VALUE"""),"sereva8501@gmail.com")</f>
        <v>sereva8501@gmail.com</v>
      </c>
      <c r="K936" s="40" t="str">
        <f ca="1">IFERROR(__xludf.DUMMYFUNCTION("""COMPUTED_VALUE"""),"Pitalito")</f>
        <v>Pitalito</v>
      </c>
      <c r="L936" s="40" t="str">
        <f ca="1">IFERROR(__xludf.DUMMYFUNCTION("""COMPUTED_VALUE"""),"NO HA INICIADO ETAPA PRODUCTIVA")</f>
        <v>NO HA INICIADO ETAPA PRODUCTIVA</v>
      </c>
      <c r="M936" s="40"/>
      <c r="N936" s="40"/>
      <c r="O936" s="40"/>
      <c r="P936" s="40"/>
      <c r="Q936" s="40"/>
      <c r="R936" s="140"/>
      <c r="S936" s="1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t="str">
        <f ca="1">IFERROR(__xludf.DUMMYFUNCTION("""COMPUTED_VALUE"""),"NO_CUMPLE")</f>
        <v>NO_CUMPLE</v>
      </c>
      <c r="AV936" s="40" t="str">
        <f ca="1">IFERROR(__xludf.DUMMYFUNCTION("""COMPUTED_VALUE"""),"EN FORMACION")</f>
        <v>EN FORMACION</v>
      </c>
      <c r="AW936" s="40" t="str">
        <f ca="1">IFERROR(__xludf.DUMMYFUNCTION("""COMPUTED_VALUE"""),"TIC")</f>
        <v>TIC</v>
      </c>
      <c r="AX936" s="141">
        <f ca="1">IFERROR(__xludf.DUMMYFUNCTION("""COMPUTED_VALUE"""),0)</f>
        <v>0</v>
      </c>
      <c r="AY936" s="40">
        <f ca="1">IFERROR(__xludf.DUMMYFUNCTION("""COMPUTED_VALUE"""),0)</f>
        <v>0</v>
      </c>
      <c r="AZ936" s="40">
        <f ca="1">IFERROR(__xludf.DUMMYFUNCTION("""COMPUTED_VALUE"""),1)</f>
        <v>1</v>
      </c>
      <c r="BA936" s="40">
        <f ca="1">IFERROR(__xludf.DUMMYFUNCTION("""COMPUTED_VALUE"""),9)</f>
        <v>9</v>
      </c>
      <c r="BB936" s="40">
        <f ca="1">IFERROR(__xludf.DUMMYFUNCTION("""COMPUTED_VALUE"""),5)</f>
        <v>5</v>
      </c>
      <c r="BC936" s="40">
        <f ca="1">IFERROR(__xludf.DUMMYFUNCTION("""COMPUTED_VALUE"""),15)</f>
        <v>15</v>
      </c>
      <c r="BD936" s="141">
        <f ca="1">IFERROR(__xludf.DUMMYFUNCTION("""COMPUTED_VALUE"""),44301)</f>
        <v>44301</v>
      </c>
      <c r="BE936" s="141">
        <f ca="1">IFERROR(__xludf.DUMMYFUNCTION("""COMPUTED_VALUE"""),44848)</f>
        <v>44848</v>
      </c>
      <c r="BF936" s="141">
        <f ca="1">IFERROR(__xludf.DUMMYFUNCTION("""COMPUTED_VALUE"""),45030)</f>
        <v>45030</v>
      </c>
      <c r="BG936" s="141">
        <f ca="1">IFERROR(__xludf.DUMMYFUNCTION("""COMPUTED_VALUE"""),45579)</f>
        <v>45579</v>
      </c>
      <c r="BH936" s="40" t="str">
        <f ca="1">IFERROR(__xludf.DUMMYFUNCTION("""COMPUTED_VALUE"""),"FICHA EN TIEMPO-18 MESES")</f>
        <v>FICHA EN TIEMPO-18 MESES</v>
      </c>
      <c r="BI936" s="40" t="str">
        <f ca="1">IFERROR(__xludf.DUMMYFUNCTION("""COMPUTED_VALUE"""),"En ejecucion")</f>
        <v>En ejecucion</v>
      </c>
      <c r="BJ936" s="40" t="str">
        <f ca="1">IFERROR(__xludf.DUMMYFUNCTION("""COMPUTED_VALUE"""),"Yamboro")</f>
        <v>Yamboro</v>
      </c>
      <c r="BK936" s="40"/>
      <c r="BL936" s="40"/>
    </row>
    <row r="937" spans="1:64" ht="13">
      <c r="A937" s="40"/>
      <c r="B937" s="40" t="str">
        <f ca="1">IFERROR(__xludf.DUMMYFUNCTION("""COMPUTED_VALUE"""),"FORMACIÓN 18/10/2022")</f>
        <v>FORMACIÓN 18/10/2022</v>
      </c>
      <c r="C937" s="40" t="str">
        <f ca="1">IFERROR(__xludf.DUMMYFUNCTION("""COMPUTED_VALUE"""),"JESUS NICOLAS AYERBE GUARNIZO")</f>
        <v>JESUS NICOLAS AYERBE GUARNIZO</v>
      </c>
      <c r="D937" s="40" t="str">
        <f ca="1">IFERROR(__xludf.DUMMYFUNCTION("""COMPUTED_VALUE"""),"CC")</f>
        <v>CC</v>
      </c>
      <c r="E937" s="40">
        <f ca="1">IFERROR(__xludf.DUMMYFUNCTION("""COMPUTED_VALUE"""),1015994112)</f>
        <v>1015994112</v>
      </c>
      <c r="F937" s="40">
        <f ca="1">IFERROR(__xludf.DUMMYFUNCTION("""COMPUTED_VALUE"""),2280204)</f>
        <v>2280204</v>
      </c>
      <c r="G937" s="40" t="str">
        <f ca="1">IFERROR(__xludf.DUMMYFUNCTION("""COMPUTED_VALUE"""),"TECNÓLOGO")</f>
        <v>TECNÓLOGO</v>
      </c>
      <c r="H937" s="40" t="str">
        <f ca="1">IFERROR(__xludf.DUMMYFUNCTION("""COMPUTED_VALUE"""),"ANALISIS Y DESARROLLO DE SISTEMAS DE INFORMACION")</f>
        <v>ANALISIS Y DESARROLLO DE SISTEMAS DE INFORMACION</v>
      </c>
      <c r="I937" s="40">
        <f ca="1">IFERROR(__xludf.DUMMYFUNCTION("""COMPUTED_VALUE"""),3208646917)</f>
        <v>3208646917</v>
      </c>
      <c r="J937" s="40" t="str">
        <f ca="1">IFERROR(__xludf.DUMMYFUNCTION("""COMPUTED_VALUE""")," nicoayerbe.com@gmail.com")</f>
        <v xml:space="preserve"> nicoayerbe.com@gmail.com</v>
      </c>
      <c r="K937" s="40" t="str">
        <f ca="1">IFERROR(__xludf.DUMMYFUNCTION("""COMPUTED_VALUE"""),"PITALITO")</f>
        <v>PITALITO</v>
      </c>
      <c r="L937" s="40" t="str">
        <f ca="1">IFERROR(__xludf.DUMMYFUNCTION("""COMPUTED_VALUE"""),"CONTRATO DE APRENDIZAJE")</f>
        <v>CONTRATO DE APRENDIZAJE</v>
      </c>
      <c r="M937" s="40" t="str">
        <f ca="1">IFERROR(__xludf.DUMMYFUNCTION("""COMPUTED_VALUE"""),"COMERCIAL NUTRESA S.A.S.")</f>
        <v>COMERCIAL NUTRESA S.A.S.</v>
      </c>
      <c r="N937" s="40" t="str">
        <f ca="1">IFERROR(__xludf.DUMMYFUNCTION("""COMPUTED_VALUE"""),"Cr. 52 # 20-124")</f>
        <v>Cr. 52 # 20-124</v>
      </c>
      <c r="O937" s="40">
        <f ca="1">IFERROR(__xludf.DUMMYFUNCTION("""COMPUTED_VALUE"""),3242332756)</f>
        <v>3242332756</v>
      </c>
      <c r="P937" s="40" t="str">
        <f ca="1">IFERROR(__xludf.DUMMYFUNCTION("""COMPUTED_VALUE"""),"MEDELLIN")</f>
        <v>MEDELLIN</v>
      </c>
      <c r="Q937" s="40" t="str">
        <f ca="1">IFERROR(__xludf.DUMMYFUNCTION("""COMPUTED_VALUE"""),"practicanteatraccion@comercialnutresa.com.co")</f>
        <v>practicanteatraccion@comercialnutresa.com.co</v>
      </c>
      <c r="R937" s="140">
        <f ca="1">IFERROR(__xludf.DUMMYFUNCTION("""COMPUTED_VALUE"""),44875)</f>
        <v>44875</v>
      </c>
      <c r="S937" s="140">
        <f ca="1">IFERROR(__xludf.DUMMYFUNCTION("""COMPUTED_VALUE"""),45055)</f>
        <v>45055</v>
      </c>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t="str">
        <f ca="1">IFERROR(__xludf.DUMMYFUNCTION("""COMPUTED_VALUE"""),"NO_CUMPLE")</f>
        <v>NO_CUMPLE</v>
      </c>
      <c r="AV937" s="40" t="str">
        <f ca="1">IFERROR(__xludf.DUMMYFUNCTION("""COMPUTED_VALUE"""),"EN FORMACION")</f>
        <v>EN FORMACION</v>
      </c>
      <c r="AW937" s="40" t="str">
        <f ca="1">IFERROR(__xludf.DUMMYFUNCTION("""COMPUTED_VALUE"""),"TIC")</f>
        <v>TIC</v>
      </c>
      <c r="AX937" s="141">
        <f ca="1">IFERROR(__xludf.DUMMYFUNCTION("""COMPUTED_VALUE"""),0)</f>
        <v>0</v>
      </c>
      <c r="AY937" s="40">
        <f ca="1">IFERROR(__xludf.DUMMYFUNCTION("""COMPUTED_VALUE"""),0)</f>
        <v>0</v>
      </c>
      <c r="AZ937" s="40">
        <f ca="1">IFERROR(__xludf.DUMMYFUNCTION("""COMPUTED_VALUE"""),1)</f>
        <v>1</v>
      </c>
      <c r="BA937" s="40">
        <f ca="1">IFERROR(__xludf.DUMMYFUNCTION("""COMPUTED_VALUE"""),7)</f>
        <v>7</v>
      </c>
      <c r="BB937" s="40">
        <f ca="1">IFERROR(__xludf.DUMMYFUNCTION("""COMPUTED_VALUE"""),5)</f>
        <v>5</v>
      </c>
      <c r="BC937" s="40">
        <f ca="1">IFERROR(__xludf.DUMMYFUNCTION("""COMPUTED_VALUE"""),13)</f>
        <v>13</v>
      </c>
      <c r="BD937" s="141">
        <f ca="1">IFERROR(__xludf.DUMMYFUNCTION("""COMPUTED_VALUE"""),44301)</f>
        <v>44301</v>
      </c>
      <c r="BE937" s="141">
        <f ca="1">IFERROR(__xludf.DUMMYFUNCTION("""COMPUTED_VALUE"""),44848)</f>
        <v>44848</v>
      </c>
      <c r="BF937" s="141">
        <f ca="1">IFERROR(__xludf.DUMMYFUNCTION("""COMPUTED_VALUE"""),45030)</f>
        <v>45030</v>
      </c>
      <c r="BG937" s="141">
        <f ca="1">IFERROR(__xludf.DUMMYFUNCTION("""COMPUTED_VALUE"""),45579)</f>
        <v>45579</v>
      </c>
      <c r="BH937" s="40" t="str">
        <f ca="1">IFERROR(__xludf.DUMMYFUNCTION("""COMPUTED_VALUE"""),"FICHA EN TIEMPO-18 MESES")</f>
        <v>FICHA EN TIEMPO-18 MESES</v>
      </c>
      <c r="BI937" s="40" t="str">
        <f ca="1">IFERROR(__xludf.DUMMYFUNCTION("""COMPUTED_VALUE"""),"En ejecucion")</f>
        <v>En ejecucion</v>
      </c>
      <c r="BJ937" s="40" t="str">
        <f ca="1">IFERROR(__xludf.DUMMYFUNCTION("""COMPUTED_VALUE"""),"Yamboro")</f>
        <v>Yamboro</v>
      </c>
      <c r="BK937" s="40"/>
      <c r="BL937" s="40"/>
    </row>
    <row r="938" spans="1:64" ht="13">
      <c r="A938" s="40"/>
      <c r="B938" s="40" t="str">
        <f ca="1">IFERROR(__xludf.DUMMYFUNCTION("""COMPUTED_VALUE"""),"FORMACIÓN 18/10/2022")</f>
        <v>FORMACIÓN 18/10/2022</v>
      </c>
      <c r="C938" s="40" t="str">
        <f ca="1">IFERROR(__xludf.DUMMYFUNCTION("""COMPUTED_VALUE"""),"SEBASTIAN RIVERA RIVERA")</f>
        <v>SEBASTIAN RIVERA RIVERA</v>
      </c>
      <c r="D938" s="40" t="str">
        <f ca="1">IFERROR(__xludf.DUMMYFUNCTION("""COMPUTED_VALUE"""),"CC")</f>
        <v>CC</v>
      </c>
      <c r="E938" s="40">
        <f ca="1">IFERROR(__xludf.DUMMYFUNCTION("""COMPUTED_VALUE"""),1061821721)</f>
        <v>1061821721</v>
      </c>
      <c r="F938" s="40">
        <f ca="1">IFERROR(__xludf.DUMMYFUNCTION("""COMPUTED_VALUE"""),2280204)</f>
        <v>2280204</v>
      </c>
      <c r="G938" s="40" t="str">
        <f ca="1">IFERROR(__xludf.DUMMYFUNCTION("""COMPUTED_VALUE"""),"TECNÓLOGO")</f>
        <v>TECNÓLOGO</v>
      </c>
      <c r="H938" s="40" t="str">
        <f ca="1">IFERROR(__xludf.DUMMYFUNCTION("""COMPUTED_VALUE"""),"ANALISIS Y DESARROLLO DE SISTEMAS DE INFORMACION")</f>
        <v>ANALISIS Y DESARROLLO DE SISTEMAS DE INFORMACION</v>
      </c>
      <c r="I938" s="40">
        <f ca="1">IFERROR(__xludf.DUMMYFUNCTION("""COMPUTED_VALUE"""),3102511449)</f>
        <v>3102511449</v>
      </c>
      <c r="J938" s="40" t="str">
        <f ca="1">IFERROR(__xludf.DUMMYFUNCTION("""COMPUTED_VALUE"""),"sebascruzmusic@gmail.com")</f>
        <v>sebascruzmusic@gmail.com</v>
      </c>
      <c r="K938" s="40" t="str">
        <f ca="1">IFERROR(__xludf.DUMMYFUNCTION("""COMPUTED_VALUE"""),"Pitalito")</f>
        <v>Pitalito</v>
      </c>
      <c r="L938" s="40" t="str">
        <f ca="1">IFERROR(__xludf.DUMMYFUNCTION("""COMPUTED_VALUE"""),"CONTRATO DE APRENDIZAJE ")</f>
        <v xml:space="preserve">CONTRATO DE APRENDIZAJE </v>
      </c>
      <c r="M938" s="40" t="str">
        <f ca="1">IFERROR(__xludf.DUMMYFUNCTION("""COMPUTED_VALUE"""),"CLÌNICA MEDILASER S.A.S")</f>
        <v>CLÌNICA MEDILASER S.A.S</v>
      </c>
      <c r="N938" s="40" t="str">
        <f ca="1">IFERROR(__xludf.DUMMYFUNCTION("""COMPUTED_VALUE""")," Calle 12 N 6-49")</f>
        <v xml:space="preserve"> Calle 12 N 6-49</v>
      </c>
      <c r="O938" s="40">
        <f ca="1">IFERROR(__xludf.DUMMYFUNCTION("""COMPUTED_VALUE"""),3155614032)</f>
        <v>3155614032</v>
      </c>
      <c r="P938" s="40" t="str">
        <f ca="1">IFERROR(__xludf.DUMMYFUNCTION("""COMPUTED_VALUE"""),"NEIVA")</f>
        <v>NEIVA</v>
      </c>
      <c r="Q938" s="40" t="str">
        <f ca="1">IFERROR(__xludf.DUMMYFUNCTION("""COMPUTED_VALUE""")," miosorioc@medilaser.com.co")</f>
        <v xml:space="preserve"> miosorioc@medilaser.com.co</v>
      </c>
      <c r="R938" s="140">
        <f ca="1">IFERROR(__xludf.DUMMYFUNCTION("""COMPUTED_VALUE"""),44850)</f>
        <v>44850</v>
      </c>
      <c r="S938" s="140">
        <f ca="1">IFERROR(__xludf.DUMMYFUNCTION("""COMPUTED_VALUE"""),45030)</f>
        <v>45030</v>
      </c>
      <c r="T938" s="40"/>
      <c r="U938" s="40" t="str">
        <f ca="1">IFERROR(__xludf.DUMMYFUNCTION("""COMPUTED_VALUE"""),"POR ASIGNAR")</f>
        <v>POR ASIGNAR</v>
      </c>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t="str">
        <f ca="1">IFERROR(__xludf.DUMMYFUNCTION("""COMPUTED_VALUE"""),"NO_CUMPLE")</f>
        <v>NO_CUMPLE</v>
      </c>
      <c r="AV938" s="40" t="str">
        <f ca="1">IFERROR(__xludf.DUMMYFUNCTION("""COMPUTED_VALUE"""),"EN FORMACION")</f>
        <v>EN FORMACION</v>
      </c>
      <c r="AW938" s="40" t="str">
        <f ca="1">IFERROR(__xludf.DUMMYFUNCTION("""COMPUTED_VALUE"""),"TIC")</f>
        <v>TIC</v>
      </c>
      <c r="AX938" s="141">
        <f ca="1">IFERROR(__xludf.DUMMYFUNCTION("""COMPUTED_VALUE"""),0)</f>
        <v>0</v>
      </c>
      <c r="AY938" s="40">
        <f ca="1">IFERROR(__xludf.DUMMYFUNCTION("""COMPUTED_VALUE"""),0)</f>
        <v>0</v>
      </c>
      <c r="AZ938" s="40">
        <f ca="1">IFERROR(__xludf.DUMMYFUNCTION("""COMPUTED_VALUE"""),1)</f>
        <v>1</v>
      </c>
      <c r="BA938" s="40">
        <f ca="1">IFERROR(__xludf.DUMMYFUNCTION("""COMPUTED_VALUE"""),15)</f>
        <v>15</v>
      </c>
      <c r="BB938" s="40">
        <f ca="1">IFERROR(__xludf.DUMMYFUNCTION("""COMPUTED_VALUE"""),5)</f>
        <v>5</v>
      </c>
      <c r="BC938" s="40">
        <f ca="1">IFERROR(__xludf.DUMMYFUNCTION("""COMPUTED_VALUE"""),21)</f>
        <v>21</v>
      </c>
      <c r="BD938" s="141">
        <f ca="1">IFERROR(__xludf.DUMMYFUNCTION("""COMPUTED_VALUE"""),44301)</f>
        <v>44301</v>
      </c>
      <c r="BE938" s="141">
        <f ca="1">IFERROR(__xludf.DUMMYFUNCTION("""COMPUTED_VALUE"""),44848)</f>
        <v>44848</v>
      </c>
      <c r="BF938" s="141">
        <f ca="1">IFERROR(__xludf.DUMMYFUNCTION("""COMPUTED_VALUE"""),45030)</f>
        <v>45030</v>
      </c>
      <c r="BG938" s="141">
        <f ca="1">IFERROR(__xludf.DUMMYFUNCTION("""COMPUTED_VALUE"""),45579)</f>
        <v>45579</v>
      </c>
      <c r="BH938" s="40" t="str">
        <f ca="1">IFERROR(__xludf.DUMMYFUNCTION("""COMPUTED_VALUE"""),"FICHA EN TIEMPO-18 MESES")</f>
        <v>FICHA EN TIEMPO-18 MESES</v>
      </c>
      <c r="BI938" s="40" t="str">
        <f ca="1">IFERROR(__xludf.DUMMYFUNCTION("""COMPUTED_VALUE"""),"En ejecucion")</f>
        <v>En ejecucion</v>
      </c>
      <c r="BJ938" s="40" t="str">
        <f ca="1">IFERROR(__xludf.DUMMYFUNCTION("""COMPUTED_VALUE"""),"Yamboro")</f>
        <v>Yamboro</v>
      </c>
      <c r="BK938" s="40"/>
      <c r="BL938" s="40"/>
    </row>
    <row r="939" spans="1:64" ht="13">
      <c r="A939" s="40"/>
      <c r="B939" s="40" t="str">
        <f ca="1">IFERROR(__xludf.DUMMYFUNCTION("""COMPUTED_VALUE"""),"FORMACIÓN 18/10/2022")</f>
        <v>FORMACIÓN 18/10/2022</v>
      </c>
      <c r="C939" s="40" t="str">
        <f ca="1">IFERROR(__xludf.DUMMYFUNCTION("""COMPUTED_VALUE"""),"MANUEL FERNANDO MACIAS DELGADO")</f>
        <v>MANUEL FERNANDO MACIAS DELGADO</v>
      </c>
      <c r="D939" s="40" t="str">
        <f ca="1">IFERROR(__xludf.DUMMYFUNCTION("""COMPUTED_VALUE"""),"CC")</f>
        <v>CC</v>
      </c>
      <c r="E939" s="40">
        <f ca="1">IFERROR(__xludf.DUMMYFUNCTION("""COMPUTED_VALUE"""),1075317893)</f>
        <v>1075317893</v>
      </c>
      <c r="F939" s="40">
        <f ca="1">IFERROR(__xludf.DUMMYFUNCTION("""COMPUTED_VALUE"""),2280204)</f>
        <v>2280204</v>
      </c>
      <c r="G939" s="40" t="str">
        <f ca="1">IFERROR(__xludf.DUMMYFUNCTION("""COMPUTED_VALUE"""),"TECNÓLOGO")</f>
        <v>TECNÓLOGO</v>
      </c>
      <c r="H939" s="40" t="str">
        <f ca="1">IFERROR(__xludf.DUMMYFUNCTION("""COMPUTED_VALUE"""),"ANALISIS Y DESARROLLO DE SISTEMAS DE INFORMACION")</f>
        <v>ANALISIS Y DESARROLLO DE SISTEMAS DE INFORMACION</v>
      </c>
      <c r="I939" s="40">
        <f ca="1">IFERROR(__xludf.DUMMYFUNCTION("""COMPUTED_VALUE"""),3203460642)</f>
        <v>3203460642</v>
      </c>
      <c r="J939" s="40" t="str">
        <f ca="1">IFERROR(__xludf.DUMMYFUNCTION("""COMPUTED_VALUE"""),"manuel.macias11@misena.edu.co")</f>
        <v>manuel.macias11@misena.edu.co</v>
      </c>
      <c r="K939" s="40" t="str">
        <f ca="1">IFERROR(__xludf.DUMMYFUNCTION("""COMPUTED_VALUE"""),"Pitalito")</f>
        <v>Pitalito</v>
      </c>
      <c r="L939" s="40" t="str">
        <f ca="1">IFERROR(__xludf.DUMMYFUNCTION("""COMPUTED_VALUE"""),"CONTRATO DE APRENDIZAJE ")</f>
        <v xml:space="preserve">CONTRATO DE APRENDIZAJE </v>
      </c>
      <c r="M939" s="40" t="str">
        <f ca="1">IFERROR(__xludf.DUMMYFUNCTION("""COMPUTED_VALUE"""),"CLÌNICA MEDILASER S.A.S")</f>
        <v>CLÌNICA MEDILASER S.A.S</v>
      </c>
      <c r="N939" s="40" t="str">
        <f ca="1">IFERROR(__xludf.DUMMYFUNCTION("""COMPUTED_VALUE"""),"CLL 47 # 1 D - 84 (NEIVA)")</f>
        <v>CLL 47 # 1 D - 84 (NEIVA)</v>
      </c>
      <c r="O939" s="40">
        <f ca="1">IFERROR(__xludf.DUMMYFUNCTION("""COMPUTED_VALUE"""),8724100)</f>
        <v>8724100</v>
      </c>
      <c r="P939" s="40" t="str">
        <f ca="1">IFERROR(__xludf.DUMMYFUNCTION("""COMPUTED_VALUE"""),"NEIVA")</f>
        <v>NEIVA</v>
      </c>
      <c r="Q939" s="40" t="str">
        <f ca="1">IFERROR(__xludf.DUMMYFUNCTION("""COMPUTED_VALUE""")," miosorioc@medilaser.com.co")</f>
        <v xml:space="preserve"> miosorioc@medilaser.com.co</v>
      </c>
      <c r="R939" s="140">
        <f ca="1">IFERROR(__xludf.DUMMYFUNCTION("""COMPUTED_VALUE"""),44850)</f>
        <v>44850</v>
      </c>
      <c r="S939" s="140">
        <f ca="1">IFERROR(__xludf.DUMMYFUNCTION("""COMPUTED_VALUE"""),45030)</f>
        <v>45030</v>
      </c>
      <c r="T939" s="40"/>
      <c r="U939" s="40" t="str">
        <f ca="1">IFERROR(__xludf.DUMMYFUNCTION("""COMPUTED_VALUE"""),"Eduardo Triana Trujillo")</f>
        <v>Eduardo Triana Trujillo</v>
      </c>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t="str">
        <f ca="1">IFERROR(__xludf.DUMMYFUNCTION("""COMPUTED_VALUE"""),"NO_CUMPLE")</f>
        <v>NO_CUMPLE</v>
      </c>
      <c r="AV939" s="40" t="str">
        <f ca="1">IFERROR(__xludf.DUMMYFUNCTION("""COMPUTED_VALUE"""),"EN FORMACION")</f>
        <v>EN FORMACION</v>
      </c>
      <c r="AW939" s="40" t="str">
        <f ca="1">IFERROR(__xludf.DUMMYFUNCTION("""COMPUTED_VALUE"""),"TIC")</f>
        <v>TIC</v>
      </c>
      <c r="AX939" s="141">
        <f ca="1">IFERROR(__xludf.DUMMYFUNCTION("""COMPUTED_VALUE"""),3)</f>
        <v>3</v>
      </c>
      <c r="AY939" s="40">
        <f ca="1">IFERROR(__xludf.DUMMYFUNCTION("""COMPUTED_VALUE"""),3)</f>
        <v>3</v>
      </c>
      <c r="AZ939" s="40">
        <f ca="1">IFERROR(__xludf.DUMMYFUNCTION("""COMPUTED_VALUE"""),1)</f>
        <v>1</v>
      </c>
      <c r="BA939" s="40">
        <f ca="1">IFERROR(__xludf.DUMMYFUNCTION("""COMPUTED_VALUE"""),9)</f>
        <v>9</v>
      </c>
      <c r="BB939" s="40">
        <f ca="1">IFERROR(__xludf.DUMMYFUNCTION("""COMPUTED_VALUE"""),5)</f>
        <v>5</v>
      </c>
      <c r="BC939" s="40">
        <f ca="1">IFERROR(__xludf.DUMMYFUNCTION("""COMPUTED_VALUE"""),18)</f>
        <v>18</v>
      </c>
      <c r="BD939" s="141">
        <f ca="1">IFERROR(__xludf.DUMMYFUNCTION("""COMPUTED_VALUE"""),44301)</f>
        <v>44301</v>
      </c>
      <c r="BE939" s="141">
        <f ca="1">IFERROR(__xludf.DUMMYFUNCTION("""COMPUTED_VALUE"""),44848)</f>
        <v>44848</v>
      </c>
      <c r="BF939" s="141">
        <f ca="1">IFERROR(__xludf.DUMMYFUNCTION("""COMPUTED_VALUE"""),45030)</f>
        <v>45030</v>
      </c>
      <c r="BG939" s="141">
        <f ca="1">IFERROR(__xludf.DUMMYFUNCTION("""COMPUTED_VALUE"""),45579)</f>
        <v>45579</v>
      </c>
      <c r="BH939" s="40" t="str">
        <f ca="1">IFERROR(__xludf.DUMMYFUNCTION("""COMPUTED_VALUE"""),"FICHA EN TIEMPO-18 MESES")</f>
        <v>FICHA EN TIEMPO-18 MESES</v>
      </c>
      <c r="BI939" s="40" t="str">
        <f ca="1">IFERROR(__xludf.DUMMYFUNCTION("""COMPUTED_VALUE"""),"En ejecucion")</f>
        <v>En ejecucion</v>
      </c>
      <c r="BJ939" s="40" t="str">
        <f ca="1">IFERROR(__xludf.DUMMYFUNCTION("""COMPUTED_VALUE"""),"Yamboro")</f>
        <v>Yamboro</v>
      </c>
      <c r="BK939" s="40"/>
      <c r="BL939" s="40"/>
    </row>
    <row r="940" spans="1:64" ht="13">
      <c r="A940" s="40"/>
      <c r="B940" s="40" t="str">
        <f ca="1">IFERROR(__xludf.DUMMYFUNCTION("""COMPUTED_VALUE"""),"FORMACIÓN 18/10/2022")</f>
        <v>FORMACIÓN 18/10/2022</v>
      </c>
      <c r="C940" s="40" t="str">
        <f ca="1">IFERROR(__xludf.DUMMYFUNCTION("""COMPUTED_VALUE"""),"JAMES SANTIAGO ORDOÑEZ QUINAYAS")</f>
        <v>JAMES SANTIAGO ORDOÑEZ QUINAYAS</v>
      </c>
      <c r="D940" s="40" t="str">
        <f ca="1">IFERROR(__xludf.DUMMYFUNCTION("""COMPUTED_VALUE"""),"CC")</f>
        <v>CC</v>
      </c>
      <c r="E940" s="40">
        <f ca="1">IFERROR(__xludf.DUMMYFUNCTION("""COMPUTED_VALUE"""),1083865788)</f>
        <v>1083865788</v>
      </c>
      <c r="F940" s="40">
        <f ca="1">IFERROR(__xludf.DUMMYFUNCTION("""COMPUTED_VALUE"""),2280204)</f>
        <v>2280204</v>
      </c>
      <c r="G940" s="40" t="str">
        <f ca="1">IFERROR(__xludf.DUMMYFUNCTION("""COMPUTED_VALUE"""),"TECNÓLOGO")</f>
        <v>TECNÓLOGO</v>
      </c>
      <c r="H940" s="40" t="str">
        <f ca="1">IFERROR(__xludf.DUMMYFUNCTION("""COMPUTED_VALUE"""),"ANALISIS Y DESARROLLO DE SISTEMAS DE INFORMACION")</f>
        <v>ANALISIS Y DESARROLLO DE SISTEMAS DE INFORMACION</v>
      </c>
      <c r="I940" s="40">
        <f ca="1">IFERROR(__xludf.DUMMYFUNCTION("""COMPUTED_VALUE"""),3223562765)</f>
        <v>3223562765</v>
      </c>
      <c r="J940" s="40" t="str">
        <f ca="1">IFERROR(__xludf.DUMMYFUNCTION("""COMPUTED_VALUE"""),"sordonez287@gmail.com")</f>
        <v>sordonez287@gmail.com</v>
      </c>
      <c r="K940" s="40" t="str">
        <f ca="1">IFERROR(__xludf.DUMMYFUNCTION("""COMPUTED_VALUE"""),"San Agustin")</f>
        <v>San Agustin</v>
      </c>
      <c r="L940" s="40" t="str">
        <f ca="1">IFERROR(__xludf.DUMMYFUNCTION("""COMPUTED_VALUE"""),"CONTRATO DE APRENDIZAJE ")</f>
        <v xml:space="preserve">CONTRATO DE APRENDIZAJE </v>
      </c>
      <c r="M940" s="40" t="str">
        <f ca="1">IFERROR(__xludf.DUMMYFUNCTION("""COMPUTED_VALUE"""),"INGEAL S.A ")</f>
        <v xml:space="preserve">INGEAL S.A </v>
      </c>
      <c r="N940" s="40" t="str">
        <f ca="1">IFERROR(__xludf.DUMMYFUNCTION("""COMPUTED_VALUE"""),"CRRA 13 N° 96-38")</f>
        <v>CRRA 13 N° 96-38</v>
      </c>
      <c r="O940" s="40">
        <f ca="1">IFERROR(__xludf.DUMMYFUNCTION("""COMPUTED_VALUE"""),6558455)</f>
        <v>6558455</v>
      </c>
      <c r="P940" s="40"/>
      <c r="Q940" s="40"/>
      <c r="R940" s="140">
        <f ca="1">IFERROR(__xludf.DUMMYFUNCTION("""COMPUTED_VALUE"""),44873)</f>
        <v>44873</v>
      </c>
      <c r="S940" s="140">
        <f ca="1">IFERROR(__xludf.DUMMYFUNCTION("""COMPUTED_VALUE"""),45053)</f>
        <v>45053</v>
      </c>
      <c r="T940" s="40"/>
      <c r="U940" s="40" t="str">
        <f ca="1">IFERROR(__xludf.DUMMYFUNCTION("""COMPUTED_VALUE"""),"Eduardo Triana Trujillo")</f>
        <v>Eduardo Triana Trujillo</v>
      </c>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t="str">
        <f ca="1">IFERROR(__xludf.DUMMYFUNCTION("""COMPUTED_VALUE"""),"NO_CUMPLE")</f>
        <v>NO_CUMPLE</v>
      </c>
      <c r="AV940" s="40" t="str">
        <f ca="1">IFERROR(__xludf.DUMMYFUNCTION("""COMPUTED_VALUE"""),"EN FORMACION")</f>
        <v>EN FORMACION</v>
      </c>
      <c r="AW940" s="40" t="str">
        <f ca="1">IFERROR(__xludf.DUMMYFUNCTION("""COMPUTED_VALUE"""),"TIC")</f>
        <v>TIC</v>
      </c>
      <c r="AX940" s="141">
        <f ca="1">IFERROR(__xludf.DUMMYFUNCTION("""COMPUTED_VALUE"""),0)</f>
        <v>0</v>
      </c>
      <c r="AY940" s="40">
        <f ca="1">IFERROR(__xludf.DUMMYFUNCTION("""COMPUTED_VALUE"""),0)</f>
        <v>0</v>
      </c>
      <c r="AZ940" s="40">
        <f ca="1">IFERROR(__xludf.DUMMYFUNCTION("""COMPUTED_VALUE"""),1)</f>
        <v>1</v>
      </c>
      <c r="BA940" s="40">
        <f ca="1">IFERROR(__xludf.DUMMYFUNCTION("""COMPUTED_VALUE"""),9)</f>
        <v>9</v>
      </c>
      <c r="BB940" s="40">
        <f ca="1">IFERROR(__xludf.DUMMYFUNCTION("""COMPUTED_VALUE"""),5)</f>
        <v>5</v>
      </c>
      <c r="BC940" s="40">
        <f ca="1">IFERROR(__xludf.DUMMYFUNCTION("""COMPUTED_VALUE"""),15)</f>
        <v>15</v>
      </c>
      <c r="BD940" s="141">
        <f ca="1">IFERROR(__xludf.DUMMYFUNCTION("""COMPUTED_VALUE"""),44301)</f>
        <v>44301</v>
      </c>
      <c r="BE940" s="141">
        <f ca="1">IFERROR(__xludf.DUMMYFUNCTION("""COMPUTED_VALUE"""),44848)</f>
        <v>44848</v>
      </c>
      <c r="BF940" s="141">
        <f ca="1">IFERROR(__xludf.DUMMYFUNCTION("""COMPUTED_VALUE"""),45030)</f>
        <v>45030</v>
      </c>
      <c r="BG940" s="141">
        <f ca="1">IFERROR(__xludf.DUMMYFUNCTION("""COMPUTED_VALUE"""),45579)</f>
        <v>45579</v>
      </c>
      <c r="BH940" s="40" t="str">
        <f ca="1">IFERROR(__xludf.DUMMYFUNCTION("""COMPUTED_VALUE"""),"FICHA EN TIEMPO-18 MESES")</f>
        <v>FICHA EN TIEMPO-18 MESES</v>
      </c>
      <c r="BI940" s="40" t="str">
        <f ca="1">IFERROR(__xludf.DUMMYFUNCTION("""COMPUTED_VALUE"""),"En ejecucion")</f>
        <v>En ejecucion</v>
      </c>
      <c r="BJ940" s="40" t="str">
        <f ca="1">IFERROR(__xludf.DUMMYFUNCTION("""COMPUTED_VALUE"""),"Yamboro")</f>
        <v>Yamboro</v>
      </c>
      <c r="BK940" s="40"/>
      <c r="BL940" s="40"/>
    </row>
    <row r="941" spans="1:64" ht="13">
      <c r="A941" s="40"/>
      <c r="B941" s="40" t="str">
        <f ca="1">IFERROR(__xludf.DUMMYFUNCTION("""COMPUTED_VALUE"""),"FORMACIÓN 18/10/2022")</f>
        <v>FORMACIÓN 18/10/2022</v>
      </c>
      <c r="C941" s="40" t="str">
        <f ca="1">IFERROR(__xludf.DUMMYFUNCTION("""COMPUTED_VALUE"""),"YOLANDA BERMEO TRUJILLO")</f>
        <v>YOLANDA BERMEO TRUJILLO</v>
      </c>
      <c r="D941" s="40" t="str">
        <f ca="1">IFERROR(__xludf.DUMMYFUNCTION("""COMPUTED_VALUE"""),"CC")</f>
        <v>CC</v>
      </c>
      <c r="E941" s="40">
        <f ca="1">IFERROR(__xludf.DUMMYFUNCTION("""COMPUTED_VALUE"""),1193045173)</f>
        <v>1193045173</v>
      </c>
      <c r="F941" s="40">
        <f ca="1">IFERROR(__xludf.DUMMYFUNCTION("""COMPUTED_VALUE"""),2280204)</f>
        <v>2280204</v>
      </c>
      <c r="G941" s="40" t="str">
        <f ca="1">IFERROR(__xludf.DUMMYFUNCTION("""COMPUTED_VALUE"""),"TECNÓLOGO")</f>
        <v>TECNÓLOGO</v>
      </c>
      <c r="H941" s="40" t="str">
        <f ca="1">IFERROR(__xludf.DUMMYFUNCTION("""COMPUTED_VALUE"""),"ANALISIS Y DESARROLLO DE SISTEMAS DE INFORMACION")</f>
        <v>ANALISIS Y DESARROLLO DE SISTEMAS DE INFORMACION</v>
      </c>
      <c r="I941" s="40">
        <f ca="1">IFERROR(__xludf.DUMMYFUNCTION("""COMPUTED_VALUE"""),3133626985)</f>
        <v>3133626985</v>
      </c>
      <c r="J941" s="40" t="str">
        <f ca="1">IFERROR(__xludf.DUMMYFUNCTION("""COMPUTED_VALUE"""),"yolandabermeotrujillo@gmail.com")</f>
        <v>yolandabermeotrujillo@gmail.com</v>
      </c>
      <c r="K941" s="40" t="str">
        <f ca="1">IFERROR(__xludf.DUMMYFUNCTION("""COMPUTED_VALUE"""),"Pitalito")</f>
        <v>Pitalito</v>
      </c>
      <c r="L941" s="40" t="str">
        <f ca="1">IFERROR(__xludf.DUMMYFUNCTION("""COMPUTED_VALUE"""),"NO HA INICIADO ETAPA PRODUCTIVA")</f>
        <v>NO HA INICIADO ETAPA PRODUCTIVA</v>
      </c>
      <c r="M941" s="40"/>
      <c r="N941" s="40"/>
      <c r="O941" s="40"/>
      <c r="P941" s="40"/>
      <c r="Q941" s="40"/>
      <c r="R941" s="140"/>
      <c r="S941" s="1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t="str">
        <f ca="1">IFERROR(__xludf.DUMMYFUNCTION("""COMPUTED_VALUE"""),"NO_CUMPLE")</f>
        <v>NO_CUMPLE</v>
      </c>
      <c r="AV941" s="40" t="str">
        <f ca="1">IFERROR(__xludf.DUMMYFUNCTION("""COMPUTED_VALUE"""),"EN FORMACION")</f>
        <v>EN FORMACION</v>
      </c>
      <c r="AW941" s="40" t="str">
        <f ca="1">IFERROR(__xludf.DUMMYFUNCTION("""COMPUTED_VALUE"""),"TIC")</f>
        <v>TIC</v>
      </c>
      <c r="AX941" s="141">
        <f ca="1">IFERROR(__xludf.DUMMYFUNCTION("""COMPUTED_VALUE"""),3)</f>
        <v>3</v>
      </c>
      <c r="AY941" s="40">
        <f ca="1">IFERROR(__xludf.DUMMYFUNCTION("""COMPUTED_VALUE"""),3)</f>
        <v>3</v>
      </c>
      <c r="AZ941" s="40">
        <f ca="1">IFERROR(__xludf.DUMMYFUNCTION("""COMPUTED_VALUE"""),1)</f>
        <v>1</v>
      </c>
      <c r="BA941" s="40">
        <f ca="1">IFERROR(__xludf.DUMMYFUNCTION("""COMPUTED_VALUE"""),15)</f>
        <v>15</v>
      </c>
      <c r="BB941" s="40">
        <f ca="1">IFERROR(__xludf.DUMMYFUNCTION("""COMPUTED_VALUE"""),5)</f>
        <v>5</v>
      </c>
      <c r="BC941" s="40">
        <f ca="1">IFERROR(__xludf.DUMMYFUNCTION("""COMPUTED_VALUE"""),24)</f>
        <v>24</v>
      </c>
      <c r="BD941" s="141">
        <f ca="1">IFERROR(__xludf.DUMMYFUNCTION("""COMPUTED_VALUE"""),44301)</f>
        <v>44301</v>
      </c>
      <c r="BE941" s="141">
        <f ca="1">IFERROR(__xludf.DUMMYFUNCTION("""COMPUTED_VALUE"""),44848)</f>
        <v>44848</v>
      </c>
      <c r="BF941" s="141">
        <f ca="1">IFERROR(__xludf.DUMMYFUNCTION("""COMPUTED_VALUE"""),45030)</f>
        <v>45030</v>
      </c>
      <c r="BG941" s="141">
        <f ca="1">IFERROR(__xludf.DUMMYFUNCTION("""COMPUTED_VALUE"""),45579)</f>
        <v>45579</v>
      </c>
      <c r="BH941" s="40" t="str">
        <f ca="1">IFERROR(__xludf.DUMMYFUNCTION("""COMPUTED_VALUE"""),"FICHA EN TIEMPO-18 MESES")</f>
        <v>FICHA EN TIEMPO-18 MESES</v>
      </c>
      <c r="BI941" s="40" t="str">
        <f ca="1">IFERROR(__xludf.DUMMYFUNCTION("""COMPUTED_VALUE"""),"En ejecucion")</f>
        <v>En ejecucion</v>
      </c>
      <c r="BJ941" s="40" t="str">
        <f ca="1">IFERROR(__xludf.DUMMYFUNCTION("""COMPUTED_VALUE"""),"Yamboro")</f>
        <v>Yamboro</v>
      </c>
      <c r="BK941" s="40"/>
      <c r="BL941" s="40"/>
    </row>
    <row r="942" spans="1:64" ht="13">
      <c r="A942" s="40"/>
      <c r="B942" s="40" t="str">
        <f ca="1">IFERROR(__xludf.DUMMYFUNCTION("""COMPUTED_VALUE"""),"FORMACIÓN 18/10/2022")</f>
        <v>FORMACIÓN 18/10/2022</v>
      </c>
      <c r="C942" s="40" t="str">
        <f ca="1">IFERROR(__xludf.DUMMYFUNCTION("""COMPUTED_VALUE"""),"CRISTIAN CAMILO PICHICA SALAZAR")</f>
        <v>CRISTIAN CAMILO PICHICA SALAZAR</v>
      </c>
      <c r="D942" s="40" t="str">
        <f ca="1">IFERROR(__xludf.DUMMYFUNCTION("""COMPUTED_VALUE"""),"CC")</f>
        <v>CC</v>
      </c>
      <c r="E942" s="40">
        <f ca="1">IFERROR(__xludf.DUMMYFUNCTION("""COMPUTED_VALUE"""),1000163749)</f>
        <v>1000163749</v>
      </c>
      <c r="F942" s="40">
        <f ca="1">IFERROR(__xludf.DUMMYFUNCTION("""COMPUTED_VALUE"""),2322432)</f>
        <v>2322432</v>
      </c>
      <c r="G942" s="40" t="str">
        <f ca="1">IFERROR(__xludf.DUMMYFUNCTION("""COMPUTED_VALUE"""),"TECNÓLOGO")</f>
        <v>TECNÓLOGO</v>
      </c>
      <c r="H942" s="40" t="str">
        <f ca="1">IFERROR(__xludf.DUMMYFUNCTION("""COMPUTED_VALUE"""),"PRODUCCION DE MULTIMEDIA")</f>
        <v>PRODUCCION DE MULTIMEDIA</v>
      </c>
      <c r="I942" s="40"/>
      <c r="J942" s="40"/>
      <c r="K942" s="40"/>
      <c r="L942" s="40" t="str">
        <f ca="1">IFERROR(__xludf.DUMMYFUNCTION("""COMPUTED_VALUE"""),"NO HA INICIADO ETAPA PRODUCTIVA")</f>
        <v>NO HA INICIADO ETAPA PRODUCTIVA</v>
      </c>
      <c r="M942" s="40"/>
      <c r="N942" s="40"/>
      <c r="O942" s="40"/>
      <c r="P942" s="40"/>
      <c r="Q942" s="40"/>
      <c r="R942" s="140"/>
      <c r="S942" s="140"/>
      <c r="T942" s="40" t="str">
        <f ca="1">IFERROR(__xludf.DUMMYFUNCTION("""COMPUTED_VALUE"""),"debe 27 resultados... Revisado 15/11/2022")</f>
        <v>debe 27 resultados... Revisado 15/11/2022</v>
      </c>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t="str">
        <f ca="1">IFERROR(__xludf.DUMMYFUNCTION("""COMPUTED_VALUE"""),"NO_CUMPLE")</f>
        <v>NO_CUMPLE</v>
      </c>
      <c r="AV942" s="40" t="str">
        <f ca="1">IFERROR(__xludf.DUMMYFUNCTION("""COMPUTED_VALUE"""),"EN FORMACION")</f>
        <v>EN FORMACION</v>
      </c>
      <c r="AW942" s="40" t="str">
        <f ca="1">IFERROR(__xludf.DUMMYFUNCTION("""COMPUTED_VALUE"""),"TIC")</f>
        <v>TIC</v>
      </c>
      <c r="AX942" s="141">
        <f ca="1">IFERROR(__xludf.DUMMYFUNCTION("""COMPUTED_VALUE"""),6)</f>
        <v>6</v>
      </c>
      <c r="AY942" s="40">
        <f ca="1">IFERROR(__xludf.DUMMYFUNCTION("""COMPUTED_VALUE"""),6)</f>
        <v>6</v>
      </c>
      <c r="AZ942" s="40">
        <f ca="1">IFERROR(__xludf.DUMMYFUNCTION("""COMPUTED_VALUE"""),1)</f>
        <v>1</v>
      </c>
      <c r="BA942" s="40">
        <f ca="1">IFERROR(__xludf.DUMMYFUNCTION("""COMPUTED_VALUE"""),0)</f>
        <v>0</v>
      </c>
      <c r="BB942" s="40">
        <f ca="1">IFERROR(__xludf.DUMMYFUNCTION("""COMPUTED_VALUE"""),21)</f>
        <v>21</v>
      </c>
      <c r="BC942" s="40">
        <f ca="1">IFERROR(__xludf.DUMMYFUNCTION("""COMPUTED_VALUE"""),28)</f>
        <v>28</v>
      </c>
      <c r="BD942" s="141">
        <f ca="1">IFERROR(__xludf.DUMMYFUNCTION("""COMPUTED_VALUE"""),44348)</f>
        <v>44348</v>
      </c>
      <c r="BE942" s="141">
        <f ca="1">IFERROR(__xludf.DUMMYFUNCTION("""COMPUTED_VALUE"""),44895)</f>
        <v>44895</v>
      </c>
      <c r="BF942" s="141">
        <f ca="1">IFERROR(__xludf.DUMMYFUNCTION("""COMPUTED_VALUE"""),45077)</f>
        <v>45077</v>
      </c>
      <c r="BG942" s="141">
        <f ca="1">IFERROR(__xludf.DUMMYFUNCTION("""COMPUTED_VALUE"""),45626)</f>
        <v>45626</v>
      </c>
      <c r="BH942" s="40" t="str">
        <f ca="1">IFERROR(__xludf.DUMMYFUNCTION("""COMPUTED_VALUE"""),"FICHA EN TIEMPO-18 MESES")</f>
        <v>FICHA EN TIEMPO-18 MESES</v>
      </c>
      <c r="BI942" s="40" t="str">
        <f ca="1">IFERROR(__xludf.DUMMYFUNCTION("""COMPUTED_VALUE"""),"En ejecucion")</f>
        <v>En ejecucion</v>
      </c>
      <c r="BJ942" s="40" t="str">
        <f ca="1">IFERROR(__xludf.DUMMYFUNCTION("""COMPUTED_VALUE"""),"Yamboro")</f>
        <v>Yamboro</v>
      </c>
      <c r="BK942" s="40"/>
      <c r="BL942" s="40"/>
    </row>
    <row r="943" spans="1:64" ht="13">
      <c r="A943" s="40"/>
      <c r="B943" s="40" t="str">
        <f ca="1">IFERROR(__xludf.DUMMYFUNCTION("""COMPUTED_VALUE"""),"FORMACIÓN 18/10/2022")</f>
        <v>FORMACIÓN 18/10/2022</v>
      </c>
      <c r="C943" s="40" t="str">
        <f ca="1">IFERROR(__xludf.DUMMYFUNCTION("""COMPUTED_VALUE"""),"JOHAN SEBASTIAN PINZON AYALA")</f>
        <v>JOHAN SEBASTIAN PINZON AYALA</v>
      </c>
      <c r="D943" s="40" t="str">
        <f ca="1">IFERROR(__xludf.DUMMYFUNCTION("""COMPUTED_VALUE"""),"CC")</f>
        <v>CC</v>
      </c>
      <c r="E943" s="40">
        <f ca="1">IFERROR(__xludf.DUMMYFUNCTION("""COMPUTED_VALUE"""),1004083165)</f>
        <v>1004083165</v>
      </c>
      <c r="F943" s="40">
        <f ca="1">IFERROR(__xludf.DUMMYFUNCTION("""COMPUTED_VALUE"""),2322432)</f>
        <v>2322432</v>
      </c>
      <c r="G943" s="40" t="str">
        <f ca="1">IFERROR(__xludf.DUMMYFUNCTION("""COMPUTED_VALUE"""),"TECNÓLOGO")</f>
        <v>TECNÓLOGO</v>
      </c>
      <c r="H943" s="40" t="str">
        <f ca="1">IFERROR(__xludf.DUMMYFUNCTION("""COMPUTED_VALUE"""),"PRODUCCION DE MULTIMEDIA")</f>
        <v>PRODUCCION DE MULTIMEDIA</v>
      </c>
      <c r="I943" s="40"/>
      <c r="J943" s="40"/>
      <c r="K943" s="40"/>
      <c r="L943" s="40" t="str">
        <f ca="1">IFERROR(__xludf.DUMMYFUNCTION("""COMPUTED_VALUE"""),"NO HA INICIADO ETAPA PRODUCTIVA")</f>
        <v>NO HA INICIADO ETAPA PRODUCTIVA</v>
      </c>
      <c r="M943" s="40"/>
      <c r="N943" s="40"/>
      <c r="O943" s="40"/>
      <c r="P943" s="40"/>
      <c r="Q943" s="40"/>
      <c r="R943" s="140"/>
      <c r="S943" s="140"/>
      <c r="T943" s="40" t="str">
        <f ca="1">IFERROR(__xludf.DUMMYFUNCTION("""COMPUTED_VALUE"""),"debe 5 resultados... Revisado 15/11/2022")</f>
        <v>debe 5 resultados... Revisado 15/11/2022</v>
      </c>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t="str">
        <f ca="1">IFERROR(__xludf.DUMMYFUNCTION("""COMPUTED_VALUE"""),"NO_CUMPLE")</f>
        <v>NO_CUMPLE</v>
      </c>
      <c r="AV943" s="40" t="str">
        <f ca="1">IFERROR(__xludf.DUMMYFUNCTION("""COMPUTED_VALUE"""),"EN FORMACION")</f>
        <v>EN FORMACION</v>
      </c>
      <c r="AW943" s="40" t="str">
        <f ca="1">IFERROR(__xludf.DUMMYFUNCTION("""COMPUTED_VALUE"""),"TIC")</f>
        <v>TIC</v>
      </c>
      <c r="AX943" s="141">
        <f ca="1">IFERROR(__xludf.DUMMYFUNCTION("""COMPUTED_VALUE"""),0)</f>
        <v>0</v>
      </c>
      <c r="AY943" s="40">
        <f ca="1">IFERROR(__xludf.DUMMYFUNCTION("""COMPUTED_VALUE"""),0)</f>
        <v>0</v>
      </c>
      <c r="AZ943" s="40">
        <f ca="1">IFERROR(__xludf.DUMMYFUNCTION("""COMPUTED_VALUE"""),1)</f>
        <v>1</v>
      </c>
      <c r="BA943" s="40">
        <f ca="1">IFERROR(__xludf.DUMMYFUNCTION("""COMPUTED_VALUE"""),0)</f>
        <v>0</v>
      </c>
      <c r="BB943" s="40">
        <f ca="1">IFERROR(__xludf.DUMMYFUNCTION("""COMPUTED_VALUE"""),6)</f>
        <v>6</v>
      </c>
      <c r="BC943" s="40">
        <f ca="1">IFERROR(__xludf.DUMMYFUNCTION("""COMPUTED_VALUE"""),7)</f>
        <v>7</v>
      </c>
      <c r="BD943" s="141">
        <f ca="1">IFERROR(__xludf.DUMMYFUNCTION("""COMPUTED_VALUE"""),44348)</f>
        <v>44348</v>
      </c>
      <c r="BE943" s="141">
        <f ca="1">IFERROR(__xludf.DUMMYFUNCTION("""COMPUTED_VALUE"""),44895)</f>
        <v>44895</v>
      </c>
      <c r="BF943" s="141">
        <f ca="1">IFERROR(__xludf.DUMMYFUNCTION("""COMPUTED_VALUE"""),45077)</f>
        <v>45077</v>
      </c>
      <c r="BG943" s="141">
        <f ca="1">IFERROR(__xludf.DUMMYFUNCTION("""COMPUTED_VALUE"""),45626)</f>
        <v>45626</v>
      </c>
      <c r="BH943" s="40" t="str">
        <f ca="1">IFERROR(__xludf.DUMMYFUNCTION("""COMPUTED_VALUE"""),"FICHA EN TIEMPO-18 MESES")</f>
        <v>FICHA EN TIEMPO-18 MESES</v>
      </c>
      <c r="BI943" s="40" t="str">
        <f ca="1">IFERROR(__xludf.DUMMYFUNCTION("""COMPUTED_VALUE"""),"En ejecucion")</f>
        <v>En ejecucion</v>
      </c>
      <c r="BJ943" s="40" t="str">
        <f ca="1">IFERROR(__xludf.DUMMYFUNCTION("""COMPUTED_VALUE"""),"Yamboro")</f>
        <v>Yamboro</v>
      </c>
      <c r="BK943" s="40"/>
      <c r="BL943" s="40"/>
    </row>
    <row r="944" spans="1:64" ht="13">
      <c r="A944" s="40"/>
      <c r="B944" s="40" t="str">
        <f ca="1">IFERROR(__xludf.DUMMYFUNCTION("""COMPUTED_VALUE"""),"FORMACIÓN 18/10/2022")</f>
        <v>FORMACIÓN 18/10/2022</v>
      </c>
      <c r="C944" s="40" t="str">
        <f ca="1">IFERROR(__xludf.DUMMYFUNCTION("""COMPUTED_VALUE"""),"YERSON CERON CARVAJAL")</f>
        <v>YERSON CERON CARVAJAL</v>
      </c>
      <c r="D944" s="40" t="str">
        <f ca="1">IFERROR(__xludf.DUMMYFUNCTION("""COMPUTED_VALUE"""),"CC")</f>
        <v>CC</v>
      </c>
      <c r="E944" s="40">
        <f ca="1">IFERROR(__xludf.DUMMYFUNCTION("""COMPUTED_VALUE"""),1004442716)</f>
        <v>1004442716</v>
      </c>
      <c r="F944" s="40">
        <f ca="1">IFERROR(__xludf.DUMMYFUNCTION("""COMPUTED_VALUE"""),2322432)</f>
        <v>2322432</v>
      </c>
      <c r="G944" s="40" t="str">
        <f ca="1">IFERROR(__xludf.DUMMYFUNCTION("""COMPUTED_VALUE"""),"TECNÓLOGO")</f>
        <v>TECNÓLOGO</v>
      </c>
      <c r="H944" s="40" t="str">
        <f ca="1">IFERROR(__xludf.DUMMYFUNCTION("""COMPUTED_VALUE"""),"PRODUCCION DE MULTIMEDIA")</f>
        <v>PRODUCCION DE MULTIMEDIA</v>
      </c>
      <c r="I944" s="40"/>
      <c r="J944" s="40"/>
      <c r="K944" s="40"/>
      <c r="L944" s="40" t="str">
        <f ca="1">IFERROR(__xludf.DUMMYFUNCTION("""COMPUTED_VALUE"""),"NO HA INICIADO ETAPA PRODUCTIVA")</f>
        <v>NO HA INICIADO ETAPA PRODUCTIVA</v>
      </c>
      <c r="M944" s="40"/>
      <c r="N944" s="40"/>
      <c r="O944" s="40"/>
      <c r="P944" s="40"/>
      <c r="Q944" s="40"/>
      <c r="R944" s="140"/>
      <c r="S944" s="140"/>
      <c r="T944" s="40" t="str">
        <f ca="1">IFERROR(__xludf.DUMMYFUNCTION("""COMPUTED_VALUE"""),"debe 5 resultados... Revisado 15/11/2022")</f>
        <v>debe 5 resultados... Revisado 15/11/2022</v>
      </c>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t="str">
        <f ca="1">IFERROR(__xludf.DUMMYFUNCTION("""COMPUTED_VALUE"""),"NO_CUMPLE")</f>
        <v>NO_CUMPLE</v>
      </c>
      <c r="AV944" s="40" t="str">
        <f ca="1">IFERROR(__xludf.DUMMYFUNCTION("""COMPUTED_VALUE"""),"EN FORMACION")</f>
        <v>EN FORMACION</v>
      </c>
      <c r="AW944" s="40" t="str">
        <f ca="1">IFERROR(__xludf.DUMMYFUNCTION("""COMPUTED_VALUE"""),"TIC")</f>
        <v>TIC</v>
      </c>
      <c r="AX944" s="141">
        <f ca="1">IFERROR(__xludf.DUMMYFUNCTION("""COMPUTED_VALUE"""),0)</f>
        <v>0</v>
      </c>
      <c r="AY944" s="40">
        <f ca="1">IFERROR(__xludf.DUMMYFUNCTION("""COMPUTED_VALUE"""),0)</f>
        <v>0</v>
      </c>
      <c r="AZ944" s="40">
        <f ca="1">IFERROR(__xludf.DUMMYFUNCTION("""COMPUTED_VALUE"""),1)</f>
        <v>1</v>
      </c>
      <c r="BA944" s="40">
        <f ca="1">IFERROR(__xludf.DUMMYFUNCTION("""COMPUTED_VALUE"""),0)</f>
        <v>0</v>
      </c>
      <c r="BB944" s="40">
        <f ca="1">IFERROR(__xludf.DUMMYFUNCTION("""COMPUTED_VALUE"""),6)</f>
        <v>6</v>
      </c>
      <c r="BC944" s="40">
        <f ca="1">IFERROR(__xludf.DUMMYFUNCTION("""COMPUTED_VALUE"""),7)</f>
        <v>7</v>
      </c>
      <c r="BD944" s="141">
        <f ca="1">IFERROR(__xludf.DUMMYFUNCTION("""COMPUTED_VALUE"""),44348)</f>
        <v>44348</v>
      </c>
      <c r="BE944" s="141">
        <f ca="1">IFERROR(__xludf.DUMMYFUNCTION("""COMPUTED_VALUE"""),44895)</f>
        <v>44895</v>
      </c>
      <c r="BF944" s="141">
        <f ca="1">IFERROR(__xludf.DUMMYFUNCTION("""COMPUTED_VALUE"""),45077)</f>
        <v>45077</v>
      </c>
      <c r="BG944" s="141">
        <f ca="1">IFERROR(__xludf.DUMMYFUNCTION("""COMPUTED_VALUE"""),45626)</f>
        <v>45626</v>
      </c>
      <c r="BH944" s="40" t="str">
        <f ca="1">IFERROR(__xludf.DUMMYFUNCTION("""COMPUTED_VALUE"""),"FICHA EN TIEMPO-18 MESES")</f>
        <v>FICHA EN TIEMPO-18 MESES</v>
      </c>
      <c r="BI944" s="40" t="str">
        <f ca="1">IFERROR(__xludf.DUMMYFUNCTION("""COMPUTED_VALUE"""),"En ejecucion")</f>
        <v>En ejecucion</v>
      </c>
      <c r="BJ944" s="40" t="str">
        <f ca="1">IFERROR(__xludf.DUMMYFUNCTION("""COMPUTED_VALUE"""),"Yamboro")</f>
        <v>Yamboro</v>
      </c>
      <c r="BK944" s="40"/>
      <c r="BL944" s="40"/>
    </row>
    <row r="945" spans="1:64" ht="13">
      <c r="A945" s="40"/>
      <c r="B945" s="40" t="str">
        <f ca="1">IFERROR(__xludf.DUMMYFUNCTION("""COMPUTED_VALUE"""),"FORMACIÓN 18/10/2022")</f>
        <v>FORMACIÓN 18/10/2022</v>
      </c>
      <c r="C945" s="40" t="str">
        <f ca="1">IFERROR(__xludf.DUMMYFUNCTION("""COMPUTED_VALUE"""),"JUAN FELIPE IMBACHI BURBANO")</f>
        <v>JUAN FELIPE IMBACHI BURBANO</v>
      </c>
      <c r="D945" s="40" t="str">
        <f ca="1">IFERROR(__xludf.DUMMYFUNCTION("""COMPUTED_VALUE"""),"CC")</f>
        <v>CC</v>
      </c>
      <c r="E945" s="40">
        <f ca="1">IFERROR(__xludf.DUMMYFUNCTION("""COMPUTED_VALUE"""),1004871362)</f>
        <v>1004871362</v>
      </c>
      <c r="F945" s="40">
        <f ca="1">IFERROR(__xludf.DUMMYFUNCTION("""COMPUTED_VALUE"""),2322432)</f>
        <v>2322432</v>
      </c>
      <c r="G945" s="40" t="str">
        <f ca="1">IFERROR(__xludf.DUMMYFUNCTION("""COMPUTED_VALUE"""),"TECNÓLOGO")</f>
        <v>TECNÓLOGO</v>
      </c>
      <c r="H945" s="40" t="str">
        <f ca="1">IFERROR(__xludf.DUMMYFUNCTION("""COMPUTED_VALUE"""),"PRODUCCION DE MULTIMEDIA")</f>
        <v>PRODUCCION DE MULTIMEDIA</v>
      </c>
      <c r="I945" s="40"/>
      <c r="J945" s="40"/>
      <c r="K945" s="40"/>
      <c r="L945" s="40" t="str">
        <f ca="1">IFERROR(__xludf.DUMMYFUNCTION("""COMPUTED_VALUE"""),"NO HA INICIADO ETAPA PRODUCTIVA")</f>
        <v>NO HA INICIADO ETAPA PRODUCTIVA</v>
      </c>
      <c r="M945" s="40"/>
      <c r="N945" s="40"/>
      <c r="O945" s="40"/>
      <c r="P945" s="40"/>
      <c r="Q945" s="40"/>
      <c r="R945" s="140"/>
      <c r="S945" s="140"/>
      <c r="T945" s="40" t="str">
        <f ca="1">IFERROR(__xludf.DUMMYFUNCTION("""COMPUTED_VALUE"""),"debe 5 resultados... Revisado 15/11/2022")</f>
        <v>debe 5 resultados... Revisado 15/11/2022</v>
      </c>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t="str">
        <f ca="1">IFERROR(__xludf.DUMMYFUNCTION("""COMPUTED_VALUE"""),"NO_CUMPLE")</f>
        <v>NO_CUMPLE</v>
      </c>
      <c r="AV945" s="40" t="str">
        <f ca="1">IFERROR(__xludf.DUMMYFUNCTION("""COMPUTED_VALUE"""),"EN FORMACION")</f>
        <v>EN FORMACION</v>
      </c>
      <c r="AW945" s="40" t="str">
        <f ca="1">IFERROR(__xludf.DUMMYFUNCTION("""COMPUTED_VALUE"""),"TIC")</f>
        <v>TIC</v>
      </c>
      <c r="AX945" s="141">
        <f ca="1">IFERROR(__xludf.DUMMYFUNCTION("""COMPUTED_VALUE"""),0)</f>
        <v>0</v>
      </c>
      <c r="AY945" s="40">
        <f ca="1">IFERROR(__xludf.DUMMYFUNCTION("""COMPUTED_VALUE"""),0)</f>
        <v>0</v>
      </c>
      <c r="AZ945" s="40">
        <f ca="1">IFERROR(__xludf.DUMMYFUNCTION("""COMPUTED_VALUE"""),1)</f>
        <v>1</v>
      </c>
      <c r="BA945" s="40">
        <f ca="1">IFERROR(__xludf.DUMMYFUNCTION("""COMPUTED_VALUE"""),0)</f>
        <v>0</v>
      </c>
      <c r="BB945" s="40">
        <f ca="1">IFERROR(__xludf.DUMMYFUNCTION("""COMPUTED_VALUE"""),6)</f>
        <v>6</v>
      </c>
      <c r="BC945" s="40">
        <f ca="1">IFERROR(__xludf.DUMMYFUNCTION("""COMPUTED_VALUE"""),7)</f>
        <v>7</v>
      </c>
      <c r="BD945" s="141">
        <f ca="1">IFERROR(__xludf.DUMMYFUNCTION("""COMPUTED_VALUE"""),44348)</f>
        <v>44348</v>
      </c>
      <c r="BE945" s="141">
        <f ca="1">IFERROR(__xludf.DUMMYFUNCTION("""COMPUTED_VALUE"""),44895)</f>
        <v>44895</v>
      </c>
      <c r="BF945" s="141">
        <f ca="1">IFERROR(__xludf.DUMMYFUNCTION("""COMPUTED_VALUE"""),45077)</f>
        <v>45077</v>
      </c>
      <c r="BG945" s="141">
        <f ca="1">IFERROR(__xludf.DUMMYFUNCTION("""COMPUTED_VALUE"""),45626)</f>
        <v>45626</v>
      </c>
      <c r="BH945" s="40" t="str">
        <f ca="1">IFERROR(__xludf.DUMMYFUNCTION("""COMPUTED_VALUE"""),"FICHA EN TIEMPO-18 MESES")</f>
        <v>FICHA EN TIEMPO-18 MESES</v>
      </c>
      <c r="BI945" s="40" t="str">
        <f ca="1">IFERROR(__xludf.DUMMYFUNCTION("""COMPUTED_VALUE"""),"En ejecucion")</f>
        <v>En ejecucion</v>
      </c>
      <c r="BJ945" s="40" t="str">
        <f ca="1">IFERROR(__xludf.DUMMYFUNCTION("""COMPUTED_VALUE"""),"Yamboro")</f>
        <v>Yamboro</v>
      </c>
      <c r="BK945" s="40"/>
      <c r="BL945" s="40"/>
    </row>
    <row r="946" spans="1:64" ht="13">
      <c r="A946" s="40"/>
      <c r="B946" s="40" t="str">
        <f ca="1">IFERROR(__xludf.DUMMYFUNCTION("""COMPUTED_VALUE"""),"FORMACIÓN 18/10/2022")</f>
        <v>FORMACIÓN 18/10/2022</v>
      </c>
      <c r="C946" s="40" t="str">
        <f ca="1">IFERROR(__xludf.DUMMYFUNCTION("""COMPUTED_VALUE"""),"YASLEDY VARGAS CONDA")</f>
        <v>YASLEDY VARGAS CONDA</v>
      </c>
      <c r="D946" s="40" t="str">
        <f ca="1">IFERROR(__xludf.DUMMYFUNCTION("""COMPUTED_VALUE"""),"CC")</f>
        <v>CC</v>
      </c>
      <c r="E946" s="40">
        <f ca="1">IFERROR(__xludf.DUMMYFUNCTION("""COMPUTED_VALUE"""),1006957091)</f>
        <v>1006957091</v>
      </c>
      <c r="F946" s="40">
        <f ca="1">IFERROR(__xludf.DUMMYFUNCTION("""COMPUTED_VALUE"""),2322432)</f>
        <v>2322432</v>
      </c>
      <c r="G946" s="40" t="str">
        <f ca="1">IFERROR(__xludf.DUMMYFUNCTION("""COMPUTED_VALUE"""),"TECNÓLOGO")</f>
        <v>TECNÓLOGO</v>
      </c>
      <c r="H946" s="40" t="str">
        <f ca="1">IFERROR(__xludf.DUMMYFUNCTION("""COMPUTED_VALUE"""),"PRODUCCION DE MULTIMEDIA")</f>
        <v>PRODUCCION DE MULTIMEDIA</v>
      </c>
      <c r="I946" s="40"/>
      <c r="J946" s="40"/>
      <c r="K946" s="40"/>
      <c r="L946" s="40" t="str">
        <f ca="1">IFERROR(__xludf.DUMMYFUNCTION("""COMPUTED_VALUE"""),"NO HA INICIADO ETAPA PRODUCTIVA")</f>
        <v>NO HA INICIADO ETAPA PRODUCTIVA</v>
      </c>
      <c r="M946" s="40"/>
      <c r="N946" s="40"/>
      <c r="O946" s="40"/>
      <c r="P946" s="40"/>
      <c r="Q946" s="40"/>
      <c r="R946" s="140"/>
      <c r="S946" s="140"/>
      <c r="T946" s="40" t="str">
        <f ca="1">IFERROR(__xludf.DUMMYFUNCTION("""COMPUTED_VALUE"""),"debe 5 resultados... Revisado 15/11/2022")</f>
        <v>debe 5 resultados... Revisado 15/11/2022</v>
      </c>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t="str">
        <f ca="1">IFERROR(__xludf.DUMMYFUNCTION("""COMPUTED_VALUE"""),"NO_CUMPLE")</f>
        <v>NO_CUMPLE</v>
      </c>
      <c r="AV946" s="40" t="str">
        <f ca="1">IFERROR(__xludf.DUMMYFUNCTION("""COMPUTED_VALUE"""),"EN FORMACION")</f>
        <v>EN FORMACION</v>
      </c>
      <c r="AW946" s="40" t="str">
        <f ca="1">IFERROR(__xludf.DUMMYFUNCTION("""COMPUTED_VALUE"""),"TIC")</f>
        <v>TIC</v>
      </c>
      <c r="AX946" s="141">
        <f ca="1">IFERROR(__xludf.DUMMYFUNCTION("""COMPUTED_VALUE"""),1)</f>
        <v>1</v>
      </c>
      <c r="AY946" s="40">
        <f ca="1">IFERROR(__xludf.DUMMYFUNCTION("""COMPUTED_VALUE"""),1)</f>
        <v>1</v>
      </c>
      <c r="AZ946" s="40">
        <f ca="1">IFERROR(__xludf.DUMMYFUNCTION("""COMPUTED_VALUE"""),1)</f>
        <v>1</v>
      </c>
      <c r="BA946" s="40">
        <f ca="1">IFERROR(__xludf.DUMMYFUNCTION("""COMPUTED_VALUE"""),0)</f>
        <v>0</v>
      </c>
      <c r="BB946" s="40">
        <f ca="1">IFERROR(__xludf.DUMMYFUNCTION("""COMPUTED_VALUE"""),6)</f>
        <v>6</v>
      </c>
      <c r="BC946" s="40">
        <f ca="1">IFERROR(__xludf.DUMMYFUNCTION("""COMPUTED_VALUE"""),8)</f>
        <v>8</v>
      </c>
      <c r="BD946" s="141">
        <f ca="1">IFERROR(__xludf.DUMMYFUNCTION("""COMPUTED_VALUE"""),44348)</f>
        <v>44348</v>
      </c>
      <c r="BE946" s="141">
        <f ca="1">IFERROR(__xludf.DUMMYFUNCTION("""COMPUTED_VALUE"""),44895)</f>
        <v>44895</v>
      </c>
      <c r="BF946" s="141">
        <f ca="1">IFERROR(__xludf.DUMMYFUNCTION("""COMPUTED_VALUE"""),45077)</f>
        <v>45077</v>
      </c>
      <c r="BG946" s="141">
        <f ca="1">IFERROR(__xludf.DUMMYFUNCTION("""COMPUTED_VALUE"""),45626)</f>
        <v>45626</v>
      </c>
      <c r="BH946" s="40" t="str">
        <f ca="1">IFERROR(__xludf.DUMMYFUNCTION("""COMPUTED_VALUE"""),"FICHA EN TIEMPO-18 MESES")</f>
        <v>FICHA EN TIEMPO-18 MESES</v>
      </c>
      <c r="BI946" s="40" t="str">
        <f ca="1">IFERROR(__xludf.DUMMYFUNCTION("""COMPUTED_VALUE"""),"En ejecucion")</f>
        <v>En ejecucion</v>
      </c>
      <c r="BJ946" s="40" t="str">
        <f ca="1">IFERROR(__xludf.DUMMYFUNCTION("""COMPUTED_VALUE"""),"Yamboro")</f>
        <v>Yamboro</v>
      </c>
      <c r="BK946" s="40"/>
      <c r="BL946" s="40"/>
    </row>
    <row r="947" spans="1:64" ht="13">
      <c r="A947" s="40"/>
      <c r="B947" s="40" t="str">
        <f ca="1">IFERROR(__xludf.DUMMYFUNCTION("""COMPUTED_VALUE"""),"FORMACIÓN 18/10/2022")</f>
        <v>FORMACIÓN 18/10/2022</v>
      </c>
      <c r="C947" s="40" t="str">
        <f ca="1">IFERROR(__xludf.DUMMYFUNCTION("""COMPUTED_VALUE"""),"JHON ERIK BERMUDEZ BARRERA")</f>
        <v>JHON ERIK BERMUDEZ BARRERA</v>
      </c>
      <c r="D947" s="40" t="str">
        <f ca="1">IFERROR(__xludf.DUMMYFUNCTION("""COMPUTED_VALUE"""),"CC")</f>
        <v>CC</v>
      </c>
      <c r="E947" s="40">
        <f ca="1">IFERROR(__xludf.DUMMYFUNCTION("""COMPUTED_VALUE"""),1010008566)</f>
        <v>1010008566</v>
      </c>
      <c r="F947" s="40">
        <f ca="1">IFERROR(__xludf.DUMMYFUNCTION("""COMPUTED_VALUE"""),2322432)</f>
        <v>2322432</v>
      </c>
      <c r="G947" s="40" t="str">
        <f ca="1">IFERROR(__xludf.DUMMYFUNCTION("""COMPUTED_VALUE"""),"TECNÓLOGO")</f>
        <v>TECNÓLOGO</v>
      </c>
      <c r="H947" s="40" t="str">
        <f ca="1">IFERROR(__xludf.DUMMYFUNCTION("""COMPUTED_VALUE"""),"PRODUCCION DE MULTIMEDIA")</f>
        <v>PRODUCCION DE MULTIMEDIA</v>
      </c>
      <c r="I947" s="40"/>
      <c r="J947" s="40"/>
      <c r="K947" s="40"/>
      <c r="L947" s="40" t="str">
        <f ca="1">IFERROR(__xludf.DUMMYFUNCTION("""COMPUTED_VALUE"""),"NO HA INICIADO ETAPA PRODUCTIVA")</f>
        <v>NO HA INICIADO ETAPA PRODUCTIVA</v>
      </c>
      <c r="M947" s="40"/>
      <c r="N947" s="40"/>
      <c r="O947" s="40"/>
      <c r="P947" s="40"/>
      <c r="Q947" s="40"/>
      <c r="R947" s="140"/>
      <c r="S947" s="140"/>
      <c r="T947" s="40" t="str">
        <f ca="1">IFERROR(__xludf.DUMMYFUNCTION("""COMPUTED_VALUE"""),"debe 26 resultados... Revisado 15/11/2022")</f>
        <v>debe 26 resultados... Revisado 15/11/2022</v>
      </c>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t="str">
        <f ca="1">IFERROR(__xludf.DUMMYFUNCTION("""COMPUTED_VALUE"""),"NO_CUMPLE")</f>
        <v>NO_CUMPLE</v>
      </c>
      <c r="AV947" s="40" t="str">
        <f ca="1">IFERROR(__xludf.DUMMYFUNCTION("""COMPUTED_VALUE"""),"EN FORMACION")</f>
        <v>EN FORMACION</v>
      </c>
      <c r="AW947" s="40" t="str">
        <f ca="1">IFERROR(__xludf.DUMMYFUNCTION("""COMPUTED_VALUE"""),"TIC")</f>
        <v>TIC</v>
      </c>
      <c r="AX947" s="141">
        <f ca="1">IFERROR(__xludf.DUMMYFUNCTION("""COMPUTED_VALUE"""),6)</f>
        <v>6</v>
      </c>
      <c r="AY947" s="40">
        <f ca="1">IFERROR(__xludf.DUMMYFUNCTION("""COMPUTED_VALUE"""),6)</f>
        <v>6</v>
      </c>
      <c r="AZ947" s="40">
        <f ca="1">IFERROR(__xludf.DUMMYFUNCTION("""COMPUTED_VALUE"""),1)</f>
        <v>1</v>
      </c>
      <c r="BA947" s="40">
        <f ca="1">IFERROR(__xludf.DUMMYFUNCTION("""COMPUTED_VALUE"""),0)</f>
        <v>0</v>
      </c>
      <c r="BB947" s="40">
        <f ca="1">IFERROR(__xludf.DUMMYFUNCTION("""COMPUTED_VALUE"""),20)</f>
        <v>20</v>
      </c>
      <c r="BC947" s="40">
        <f ca="1">IFERROR(__xludf.DUMMYFUNCTION("""COMPUTED_VALUE"""),27)</f>
        <v>27</v>
      </c>
      <c r="BD947" s="141">
        <f ca="1">IFERROR(__xludf.DUMMYFUNCTION("""COMPUTED_VALUE"""),44348)</f>
        <v>44348</v>
      </c>
      <c r="BE947" s="141">
        <f ca="1">IFERROR(__xludf.DUMMYFUNCTION("""COMPUTED_VALUE"""),44895)</f>
        <v>44895</v>
      </c>
      <c r="BF947" s="141">
        <f ca="1">IFERROR(__xludf.DUMMYFUNCTION("""COMPUTED_VALUE"""),45077)</f>
        <v>45077</v>
      </c>
      <c r="BG947" s="141">
        <f ca="1">IFERROR(__xludf.DUMMYFUNCTION("""COMPUTED_VALUE"""),45626)</f>
        <v>45626</v>
      </c>
      <c r="BH947" s="40" t="str">
        <f ca="1">IFERROR(__xludf.DUMMYFUNCTION("""COMPUTED_VALUE"""),"FICHA EN TIEMPO-18 MESES")</f>
        <v>FICHA EN TIEMPO-18 MESES</v>
      </c>
      <c r="BI947" s="40" t="str">
        <f ca="1">IFERROR(__xludf.DUMMYFUNCTION("""COMPUTED_VALUE"""),"En ejecucion")</f>
        <v>En ejecucion</v>
      </c>
      <c r="BJ947" s="40" t="str">
        <f ca="1">IFERROR(__xludf.DUMMYFUNCTION("""COMPUTED_VALUE"""),"Yamboro")</f>
        <v>Yamboro</v>
      </c>
      <c r="BK947" s="40"/>
      <c r="BL947" s="40"/>
    </row>
    <row r="948" spans="1:64" ht="13">
      <c r="A948" s="40"/>
      <c r="B948" s="40" t="str">
        <f ca="1">IFERROR(__xludf.DUMMYFUNCTION("""COMPUTED_VALUE"""),"FORMACIÓN 18/10/2022")</f>
        <v>FORMACIÓN 18/10/2022</v>
      </c>
      <c r="C948" s="40" t="str">
        <f ca="1">IFERROR(__xludf.DUMMYFUNCTION("""COMPUTED_VALUE"""),"JOHAN SEBASTIAN TORRES FERNANDEZ")</f>
        <v>JOHAN SEBASTIAN TORRES FERNANDEZ</v>
      </c>
      <c r="D948" s="40" t="str">
        <f ca="1">IFERROR(__xludf.DUMMYFUNCTION("""COMPUTED_VALUE"""),"CC")</f>
        <v>CC</v>
      </c>
      <c r="E948" s="40">
        <f ca="1">IFERROR(__xludf.DUMMYFUNCTION("""COMPUTED_VALUE"""),1031642349)</f>
        <v>1031642349</v>
      </c>
      <c r="F948" s="40">
        <f ca="1">IFERROR(__xludf.DUMMYFUNCTION("""COMPUTED_VALUE"""),2322432)</f>
        <v>2322432</v>
      </c>
      <c r="G948" s="40" t="str">
        <f ca="1">IFERROR(__xludf.DUMMYFUNCTION("""COMPUTED_VALUE"""),"TECNÓLOGO")</f>
        <v>TECNÓLOGO</v>
      </c>
      <c r="H948" s="40" t="str">
        <f ca="1">IFERROR(__xludf.DUMMYFUNCTION("""COMPUTED_VALUE"""),"PRODUCCION DE MULTIMEDIA")</f>
        <v>PRODUCCION DE MULTIMEDIA</v>
      </c>
      <c r="I948" s="40"/>
      <c r="J948" s="40"/>
      <c r="K948" s="40"/>
      <c r="L948" s="40" t="str">
        <f ca="1">IFERROR(__xludf.DUMMYFUNCTION("""COMPUTED_VALUE"""),"NO HA INICIADO ETAPA PRODUCTIVA")</f>
        <v>NO HA INICIADO ETAPA PRODUCTIVA</v>
      </c>
      <c r="M948" s="40"/>
      <c r="N948" s="40"/>
      <c r="O948" s="40"/>
      <c r="P948" s="40"/>
      <c r="Q948" s="40"/>
      <c r="R948" s="140"/>
      <c r="S948" s="140"/>
      <c r="T948" s="40" t="str">
        <f ca="1">IFERROR(__xludf.DUMMYFUNCTION("""COMPUTED_VALUE"""),"debe 5 resultados... Revisado 15/11/2022")</f>
        <v>debe 5 resultados... Revisado 15/11/2022</v>
      </c>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t="str">
        <f ca="1">IFERROR(__xludf.DUMMYFUNCTION("""COMPUTED_VALUE"""),"NO_CUMPLE")</f>
        <v>NO_CUMPLE</v>
      </c>
      <c r="AV948" s="40" t="str">
        <f ca="1">IFERROR(__xludf.DUMMYFUNCTION("""COMPUTED_VALUE"""),"EN FORMACION")</f>
        <v>EN FORMACION</v>
      </c>
      <c r="AW948" s="40" t="str">
        <f ca="1">IFERROR(__xludf.DUMMYFUNCTION("""COMPUTED_VALUE"""),"TIC")</f>
        <v>TIC</v>
      </c>
      <c r="AX948" s="141">
        <f ca="1">IFERROR(__xludf.DUMMYFUNCTION("""COMPUTED_VALUE"""),0)</f>
        <v>0</v>
      </c>
      <c r="AY948" s="40">
        <f ca="1">IFERROR(__xludf.DUMMYFUNCTION("""COMPUTED_VALUE"""),0)</f>
        <v>0</v>
      </c>
      <c r="AZ948" s="40">
        <f ca="1">IFERROR(__xludf.DUMMYFUNCTION("""COMPUTED_VALUE"""),1)</f>
        <v>1</v>
      </c>
      <c r="BA948" s="40">
        <f ca="1">IFERROR(__xludf.DUMMYFUNCTION("""COMPUTED_VALUE"""),0)</f>
        <v>0</v>
      </c>
      <c r="BB948" s="40">
        <f ca="1">IFERROR(__xludf.DUMMYFUNCTION("""COMPUTED_VALUE"""),6)</f>
        <v>6</v>
      </c>
      <c r="BC948" s="40">
        <f ca="1">IFERROR(__xludf.DUMMYFUNCTION("""COMPUTED_VALUE"""),7)</f>
        <v>7</v>
      </c>
      <c r="BD948" s="141">
        <f ca="1">IFERROR(__xludf.DUMMYFUNCTION("""COMPUTED_VALUE"""),44348)</f>
        <v>44348</v>
      </c>
      <c r="BE948" s="141">
        <f ca="1">IFERROR(__xludf.DUMMYFUNCTION("""COMPUTED_VALUE"""),44895)</f>
        <v>44895</v>
      </c>
      <c r="BF948" s="141">
        <f ca="1">IFERROR(__xludf.DUMMYFUNCTION("""COMPUTED_VALUE"""),45077)</f>
        <v>45077</v>
      </c>
      <c r="BG948" s="141">
        <f ca="1">IFERROR(__xludf.DUMMYFUNCTION("""COMPUTED_VALUE"""),45626)</f>
        <v>45626</v>
      </c>
      <c r="BH948" s="40" t="str">
        <f ca="1">IFERROR(__xludf.DUMMYFUNCTION("""COMPUTED_VALUE"""),"FICHA EN TIEMPO-18 MESES")</f>
        <v>FICHA EN TIEMPO-18 MESES</v>
      </c>
      <c r="BI948" s="40" t="str">
        <f ca="1">IFERROR(__xludf.DUMMYFUNCTION("""COMPUTED_VALUE"""),"En ejecucion")</f>
        <v>En ejecucion</v>
      </c>
      <c r="BJ948" s="40" t="str">
        <f ca="1">IFERROR(__xludf.DUMMYFUNCTION("""COMPUTED_VALUE"""),"Yamboro")</f>
        <v>Yamboro</v>
      </c>
      <c r="BK948" s="40"/>
      <c r="BL948" s="40"/>
    </row>
    <row r="949" spans="1:64" ht="13">
      <c r="A949" s="40"/>
      <c r="B949" s="40" t="str">
        <f ca="1">IFERROR(__xludf.DUMMYFUNCTION("""COMPUTED_VALUE"""),"FORMACIÓN 18/10/2022")</f>
        <v>FORMACIÓN 18/10/2022</v>
      </c>
      <c r="C949" s="40" t="str">
        <f ca="1">IFERROR(__xludf.DUMMYFUNCTION("""COMPUTED_VALUE"""),"AUDONIAS PENAGOS SEMANATE")</f>
        <v>AUDONIAS PENAGOS SEMANATE</v>
      </c>
      <c r="D949" s="40" t="str">
        <f ca="1">IFERROR(__xludf.DUMMYFUNCTION("""COMPUTED_VALUE"""),"CC")</f>
        <v>CC</v>
      </c>
      <c r="E949" s="40">
        <f ca="1">IFERROR(__xludf.DUMMYFUNCTION("""COMPUTED_VALUE"""),1082124011)</f>
        <v>1082124011</v>
      </c>
      <c r="F949" s="40">
        <f ca="1">IFERROR(__xludf.DUMMYFUNCTION("""COMPUTED_VALUE"""),2322432)</f>
        <v>2322432</v>
      </c>
      <c r="G949" s="40" t="str">
        <f ca="1">IFERROR(__xludf.DUMMYFUNCTION("""COMPUTED_VALUE"""),"TECNÓLOGO")</f>
        <v>TECNÓLOGO</v>
      </c>
      <c r="H949" s="40" t="str">
        <f ca="1">IFERROR(__xludf.DUMMYFUNCTION("""COMPUTED_VALUE"""),"PRODUCCION DE MULTIMEDIA")</f>
        <v>PRODUCCION DE MULTIMEDIA</v>
      </c>
      <c r="I949" s="40">
        <f ca="1">IFERROR(__xludf.DUMMYFUNCTION("""COMPUTED_VALUE"""),3202619669)</f>
        <v>3202619669</v>
      </c>
      <c r="J949" s="40" t="str">
        <f ca="1">IFERROR(__xludf.DUMMYFUNCTION("""COMPUTED_VALUE"""),"audopenagos03@gmail.com")</f>
        <v>audopenagos03@gmail.com</v>
      </c>
      <c r="K949" s="40" t="str">
        <f ca="1">IFERROR(__xludf.DUMMYFUNCTION("""COMPUTED_VALUE"""),"BOGOTA ")</f>
        <v xml:space="preserve">BOGOTA </v>
      </c>
      <c r="L949" s="40" t="str">
        <f ca="1">IFERROR(__xludf.DUMMYFUNCTION("""COMPUTED_VALUE"""),"NO HA INICIADO ETAPA PRODUCTIVA")</f>
        <v>NO HA INICIADO ETAPA PRODUCTIVA</v>
      </c>
      <c r="M949" s="40"/>
      <c r="N949" s="40"/>
      <c r="O949" s="40"/>
      <c r="P949" s="40"/>
      <c r="Q949" s="40"/>
      <c r="R949" s="140"/>
      <c r="S949" s="140"/>
      <c r="T949" s="40" t="str">
        <f ca="1">IFERROR(__xludf.DUMMYFUNCTION("""COMPUTED_VALUE"""),"debe 5 resultados... Revisado 15/11/2022")</f>
        <v>debe 5 resultados... Revisado 15/11/2022</v>
      </c>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t="str">
        <f ca="1">IFERROR(__xludf.DUMMYFUNCTION("""COMPUTED_VALUE"""),"NO_CUMPLE")</f>
        <v>NO_CUMPLE</v>
      </c>
      <c r="AV949" s="40" t="str">
        <f ca="1">IFERROR(__xludf.DUMMYFUNCTION("""COMPUTED_VALUE"""),"EN FORMACION")</f>
        <v>EN FORMACION</v>
      </c>
      <c r="AW949" s="40" t="str">
        <f ca="1">IFERROR(__xludf.DUMMYFUNCTION("""COMPUTED_VALUE"""),"TIC")</f>
        <v>TIC</v>
      </c>
      <c r="AX949" s="141">
        <f ca="1">IFERROR(__xludf.DUMMYFUNCTION("""COMPUTED_VALUE"""),0)</f>
        <v>0</v>
      </c>
      <c r="AY949" s="40">
        <f ca="1">IFERROR(__xludf.DUMMYFUNCTION("""COMPUTED_VALUE"""),0)</f>
        <v>0</v>
      </c>
      <c r="AZ949" s="40">
        <f ca="1">IFERROR(__xludf.DUMMYFUNCTION("""COMPUTED_VALUE"""),1)</f>
        <v>1</v>
      </c>
      <c r="BA949" s="40">
        <f ca="1">IFERROR(__xludf.DUMMYFUNCTION("""COMPUTED_VALUE"""),0)</f>
        <v>0</v>
      </c>
      <c r="BB949" s="40">
        <f ca="1">IFERROR(__xludf.DUMMYFUNCTION("""COMPUTED_VALUE"""),6)</f>
        <v>6</v>
      </c>
      <c r="BC949" s="40">
        <f ca="1">IFERROR(__xludf.DUMMYFUNCTION("""COMPUTED_VALUE"""),7)</f>
        <v>7</v>
      </c>
      <c r="BD949" s="141">
        <f ca="1">IFERROR(__xludf.DUMMYFUNCTION("""COMPUTED_VALUE"""),44348)</f>
        <v>44348</v>
      </c>
      <c r="BE949" s="141">
        <f ca="1">IFERROR(__xludf.DUMMYFUNCTION("""COMPUTED_VALUE"""),44895)</f>
        <v>44895</v>
      </c>
      <c r="BF949" s="141">
        <f ca="1">IFERROR(__xludf.DUMMYFUNCTION("""COMPUTED_VALUE"""),45077)</f>
        <v>45077</v>
      </c>
      <c r="BG949" s="141">
        <f ca="1">IFERROR(__xludf.DUMMYFUNCTION("""COMPUTED_VALUE"""),45626)</f>
        <v>45626</v>
      </c>
      <c r="BH949" s="40" t="str">
        <f ca="1">IFERROR(__xludf.DUMMYFUNCTION("""COMPUTED_VALUE"""),"FICHA EN TIEMPO-18 MESES")</f>
        <v>FICHA EN TIEMPO-18 MESES</v>
      </c>
      <c r="BI949" s="40" t="str">
        <f ca="1">IFERROR(__xludf.DUMMYFUNCTION("""COMPUTED_VALUE"""),"En ejecucion")</f>
        <v>En ejecucion</v>
      </c>
      <c r="BJ949" s="40" t="str">
        <f ca="1">IFERROR(__xludf.DUMMYFUNCTION("""COMPUTED_VALUE"""),"Yamboro")</f>
        <v>Yamboro</v>
      </c>
      <c r="BK949" s="40"/>
      <c r="BL949" s="40"/>
    </row>
    <row r="950" spans="1:64" ht="13">
      <c r="A950" s="40"/>
      <c r="B950" s="40" t="str">
        <f ca="1">IFERROR(__xludf.DUMMYFUNCTION("""COMPUTED_VALUE"""),"FORMACIÓN 18/10/2022")</f>
        <v>FORMACIÓN 18/10/2022</v>
      </c>
      <c r="C950" s="40" t="str">
        <f ca="1">IFERROR(__xludf.DUMMYFUNCTION("""COMPUTED_VALUE"""),"RENZO DAVID BONETH NARANJO")</f>
        <v>RENZO DAVID BONETH NARANJO</v>
      </c>
      <c r="D950" s="40" t="str">
        <f ca="1">IFERROR(__xludf.DUMMYFUNCTION("""COMPUTED_VALUE"""),"CC")</f>
        <v>CC</v>
      </c>
      <c r="E950" s="40">
        <f ca="1">IFERROR(__xludf.DUMMYFUNCTION("""COMPUTED_VALUE"""),1004486092)</f>
        <v>1004486092</v>
      </c>
      <c r="F950" s="40">
        <f ca="1">IFERROR(__xludf.DUMMYFUNCTION("""COMPUTED_VALUE"""),2348239)</f>
        <v>2348239</v>
      </c>
      <c r="G950" s="40" t="str">
        <f ca="1">IFERROR(__xludf.DUMMYFUNCTION("""COMPUTED_VALUE"""),"TECNÓLOGO")</f>
        <v>TECNÓLOGO</v>
      </c>
      <c r="H950" s="40" t="str">
        <f ca="1">IFERROR(__xludf.DUMMYFUNCTION("""COMPUTED_VALUE"""),"ANALISIS Y DESARROLLO DE SISTEMAS DE INFORMACION")</f>
        <v>ANALISIS Y DESARROLLO DE SISTEMAS DE INFORMACION</v>
      </c>
      <c r="I950" s="40"/>
      <c r="J950" s="40"/>
      <c r="K950" s="40"/>
      <c r="L950" s="40" t="str">
        <f ca="1">IFERROR(__xludf.DUMMYFUNCTION("""COMPUTED_VALUE"""),"NO HA INICIADO ETAPA PRODUCTIVA")</f>
        <v>NO HA INICIADO ETAPA PRODUCTIVA</v>
      </c>
      <c r="M950" s="40"/>
      <c r="N950" s="40"/>
      <c r="O950" s="40"/>
      <c r="P950" s="40"/>
      <c r="Q950" s="40"/>
      <c r="R950" s="140"/>
      <c r="S950" s="140"/>
      <c r="T950" s="40" t="str">
        <f ca="1">IFERROR(__xludf.DUMMYFUNCTION("""COMPUTED_VALUE"""),"debe 11 resultados... Revisado 15/11/2022")</f>
        <v>debe 11 resultados... Revisado 15/11/2022</v>
      </c>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t="str">
        <f ca="1">IFERROR(__xludf.DUMMYFUNCTION("""COMPUTED_VALUE"""),"NO_CUMPLE")</f>
        <v>NO_CUMPLE</v>
      </c>
      <c r="AV950" s="40" t="str">
        <f ca="1">IFERROR(__xludf.DUMMYFUNCTION("""COMPUTED_VALUE"""),"EN FORMACION")</f>
        <v>EN FORMACION</v>
      </c>
      <c r="AW950" s="40" t="str">
        <f ca="1">IFERROR(__xludf.DUMMYFUNCTION("""COMPUTED_VALUE"""),"TIC")</f>
        <v>TIC</v>
      </c>
      <c r="AX950" s="141">
        <f ca="1">IFERROR(__xludf.DUMMYFUNCTION("""COMPUTED_VALUE"""),0)</f>
        <v>0</v>
      </c>
      <c r="AY950" s="40">
        <f ca="1">IFERROR(__xludf.DUMMYFUNCTION("""COMPUTED_VALUE"""),0)</f>
        <v>0</v>
      </c>
      <c r="AZ950" s="40">
        <f ca="1">IFERROR(__xludf.DUMMYFUNCTION("""COMPUTED_VALUE"""),1)</f>
        <v>1</v>
      </c>
      <c r="BA950" s="40">
        <f ca="1">IFERROR(__xludf.DUMMYFUNCTION("""COMPUTED_VALUE"""),3)</f>
        <v>3</v>
      </c>
      <c r="BB950" s="40">
        <f ca="1">IFERROR(__xludf.DUMMYFUNCTION("""COMPUTED_VALUE"""),8)</f>
        <v>8</v>
      </c>
      <c r="BC950" s="40">
        <f ca="1">IFERROR(__xludf.DUMMYFUNCTION("""COMPUTED_VALUE"""),12)</f>
        <v>12</v>
      </c>
      <c r="BD950" s="141">
        <f ca="1">IFERROR(__xludf.DUMMYFUNCTION("""COMPUTED_VALUE"""),44375)</f>
        <v>44375</v>
      </c>
      <c r="BE950" s="141">
        <f ca="1">IFERROR(__xludf.DUMMYFUNCTION("""COMPUTED_VALUE"""),44922)</f>
        <v>44922</v>
      </c>
      <c r="BF950" s="141">
        <f ca="1">IFERROR(__xludf.DUMMYFUNCTION("""COMPUTED_VALUE"""),45104)</f>
        <v>45104</v>
      </c>
      <c r="BG950" s="141">
        <f ca="1">IFERROR(__xludf.DUMMYFUNCTION("""COMPUTED_VALUE"""),45653)</f>
        <v>45653</v>
      </c>
      <c r="BH950" s="40" t="str">
        <f ca="1">IFERROR(__xludf.DUMMYFUNCTION("""COMPUTED_VALUE"""),"FICHA EN TIEMPO-18 MESES")</f>
        <v>FICHA EN TIEMPO-18 MESES</v>
      </c>
      <c r="BI950" s="40" t="str">
        <f ca="1">IFERROR(__xludf.DUMMYFUNCTION("""COMPUTED_VALUE"""),"En ejecucion")</f>
        <v>En ejecucion</v>
      </c>
      <c r="BJ950" s="40" t="str">
        <f ca="1">IFERROR(__xludf.DUMMYFUNCTION("""COMPUTED_VALUE"""),"Yamboro")</f>
        <v>Yamboro</v>
      </c>
      <c r="BK950" s="40"/>
      <c r="BL950" s="40"/>
    </row>
    <row r="951" spans="1:64" ht="13">
      <c r="A951" s="40"/>
      <c r="B951" s="40" t="str">
        <f ca="1">IFERROR(__xludf.DUMMYFUNCTION("""COMPUTED_VALUE"""),"FORMACIÓN 18/10/2022")</f>
        <v>FORMACIÓN 18/10/2022</v>
      </c>
      <c r="C951" s="40" t="str">
        <f ca="1">IFERROR(__xludf.DUMMYFUNCTION("""COMPUTED_VALUE"""),"STEPANY DAYANA MARIN MONROY")</f>
        <v>STEPANY DAYANA MARIN MONROY</v>
      </c>
      <c r="D951" s="40" t="str">
        <f ca="1">IFERROR(__xludf.DUMMYFUNCTION("""COMPUTED_VALUE"""),"CC")</f>
        <v>CC</v>
      </c>
      <c r="E951" s="40">
        <f ca="1">IFERROR(__xludf.DUMMYFUNCTION("""COMPUTED_VALUE"""),1012441405)</f>
        <v>1012441405</v>
      </c>
      <c r="F951" s="40">
        <f ca="1">IFERROR(__xludf.DUMMYFUNCTION("""COMPUTED_VALUE"""),2348239)</f>
        <v>2348239</v>
      </c>
      <c r="G951" s="40" t="str">
        <f ca="1">IFERROR(__xludf.DUMMYFUNCTION("""COMPUTED_VALUE"""),"TECNÓLOGO")</f>
        <v>TECNÓLOGO</v>
      </c>
      <c r="H951" s="40" t="str">
        <f ca="1">IFERROR(__xludf.DUMMYFUNCTION("""COMPUTED_VALUE"""),"ANALISIS Y DESARROLLO DE SISTEMAS DE INFORMACION")</f>
        <v>ANALISIS Y DESARROLLO DE SISTEMAS DE INFORMACION</v>
      </c>
      <c r="I951" s="40"/>
      <c r="J951" s="40"/>
      <c r="K951" s="40"/>
      <c r="L951" s="40" t="str">
        <f ca="1">IFERROR(__xludf.DUMMYFUNCTION("""COMPUTED_VALUE"""),"NO HA INICIADO ETAPA PRODUCTIVA")</f>
        <v>NO HA INICIADO ETAPA PRODUCTIVA</v>
      </c>
      <c r="M951" s="40"/>
      <c r="N951" s="40"/>
      <c r="O951" s="40"/>
      <c r="P951" s="40"/>
      <c r="Q951" s="40"/>
      <c r="R951" s="140"/>
      <c r="S951" s="140"/>
      <c r="T951" s="40" t="str">
        <f ca="1">IFERROR(__xludf.DUMMYFUNCTION("""COMPUTED_VALUE"""),"debe 17 resultados... Revisado 15/11/2022")</f>
        <v>debe 17 resultados... Revisado 15/11/2022</v>
      </c>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t="str">
        <f ca="1">IFERROR(__xludf.DUMMYFUNCTION("""COMPUTED_VALUE"""),"NO_CUMPLE")</f>
        <v>NO_CUMPLE</v>
      </c>
      <c r="AV951" s="40" t="str">
        <f ca="1">IFERROR(__xludf.DUMMYFUNCTION("""COMPUTED_VALUE"""),"EN FORMACION")</f>
        <v>EN FORMACION</v>
      </c>
      <c r="AW951" s="40" t="str">
        <f ca="1">IFERROR(__xludf.DUMMYFUNCTION("""COMPUTED_VALUE"""),"TIC")</f>
        <v>TIC</v>
      </c>
      <c r="AX951" s="141">
        <f ca="1">IFERROR(__xludf.DUMMYFUNCTION("""COMPUTED_VALUE"""),0)</f>
        <v>0</v>
      </c>
      <c r="AY951" s="40">
        <f ca="1">IFERROR(__xludf.DUMMYFUNCTION("""COMPUTED_VALUE"""),0)</f>
        <v>0</v>
      </c>
      <c r="AZ951" s="40">
        <f ca="1">IFERROR(__xludf.DUMMYFUNCTION("""COMPUTED_VALUE"""),1)</f>
        <v>1</v>
      </c>
      <c r="BA951" s="40">
        <f ca="1">IFERROR(__xludf.DUMMYFUNCTION("""COMPUTED_VALUE"""),5)</f>
        <v>5</v>
      </c>
      <c r="BB951" s="40">
        <f ca="1">IFERROR(__xludf.DUMMYFUNCTION("""COMPUTED_VALUE"""),12)</f>
        <v>12</v>
      </c>
      <c r="BC951" s="40">
        <f ca="1">IFERROR(__xludf.DUMMYFUNCTION("""COMPUTED_VALUE"""),18)</f>
        <v>18</v>
      </c>
      <c r="BD951" s="141">
        <f ca="1">IFERROR(__xludf.DUMMYFUNCTION("""COMPUTED_VALUE"""),44375)</f>
        <v>44375</v>
      </c>
      <c r="BE951" s="141">
        <f ca="1">IFERROR(__xludf.DUMMYFUNCTION("""COMPUTED_VALUE"""),44922)</f>
        <v>44922</v>
      </c>
      <c r="BF951" s="141">
        <f ca="1">IFERROR(__xludf.DUMMYFUNCTION("""COMPUTED_VALUE"""),45104)</f>
        <v>45104</v>
      </c>
      <c r="BG951" s="141">
        <f ca="1">IFERROR(__xludf.DUMMYFUNCTION("""COMPUTED_VALUE"""),45653)</f>
        <v>45653</v>
      </c>
      <c r="BH951" s="40" t="str">
        <f ca="1">IFERROR(__xludf.DUMMYFUNCTION("""COMPUTED_VALUE"""),"FICHA EN TIEMPO-18 MESES")</f>
        <v>FICHA EN TIEMPO-18 MESES</v>
      </c>
      <c r="BI951" s="40" t="str">
        <f ca="1">IFERROR(__xludf.DUMMYFUNCTION("""COMPUTED_VALUE"""),"En ejecucion")</f>
        <v>En ejecucion</v>
      </c>
      <c r="BJ951" s="40" t="str">
        <f ca="1">IFERROR(__xludf.DUMMYFUNCTION("""COMPUTED_VALUE"""),"Yamboro")</f>
        <v>Yamboro</v>
      </c>
      <c r="BK951" s="40"/>
      <c r="BL951" s="40"/>
    </row>
    <row r="952" spans="1:64" ht="13">
      <c r="A952" s="40"/>
      <c r="B952" s="40" t="str">
        <f ca="1">IFERROR(__xludf.DUMMYFUNCTION("""COMPUTED_VALUE"""),"CONDICIONADO 18/10/2022")</f>
        <v>CONDICIONADO 18/10/2022</v>
      </c>
      <c r="C952" s="40" t="str">
        <f ca="1">IFERROR(__xludf.DUMMYFUNCTION("""COMPUTED_VALUE"""),"ANGEL LEONEL ORTIZ RODRIGUEZ")</f>
        <v>ANGEL LEONEL ORTIZ RODRIGUEZ</v>
      </c>
      <c r="D952" s="40" t="str">
        <f ca="1">IFERROR(__xludf.DUMMYFUNCTION("""COMPUTED_VALUE"""),"CC")</f>
        <v>CC</v>
      </c>
      <c r="E952" s="40">
        <f ca="1">IFERROR(__xludf.DUMMYFUNCTION("""COMPUTED_VALUE"""),1016059346)</f>
        <v>1016059346</v>
      </c>
      <c r="F952" s="40">
        <f ca="1">IFERROR(__xludf.DUMMYFUNCTION("""COMPUTED_VALUE"""),2348239)</f>
        <v>2348239</v>
      </c>
      <c r="G952" s="40" t="str">
        <f ca="1">IFERROR(__xludf.DUMMYFUNCTION("""COMPUTED_VALUE"""),"TECNÓLOGO")</f>
        <v>TECNÓLOGO</v>
      </c>
      <c r="H952" s="40" t="str">
        <f ca="1">IFERROR(__xludf.DUMMYFUNCTION("""COMPUTED_VALUE"""),"ANALISIS Y DESARROLLO DE SISTEMAS DE INFORMACION")</f>
        <v>ANALISIS Y DESARROLLO DE SISTEMAS DE INFORMACION</v>
      </c>
      <c r="I952" s="40"/>
      <c r="J952" s="40"/>
      <c r="K952" s="40"/>
      <c r="L952" s="40" t="str">
        <f ca="1">IFERROR(__xludf.DUMMYFUNCTION("""COMPUTED_VALUE"""),"NO HA INICIADO ETAPA PRODUCTIVA")</f>
        <v>NO HA INICIADO ETAPA PRODUCTIVA</v>
      </c>
      <c r="M952" s="40"/>
      <c r="N952" s="40"/>
      <c r="O952" s="40"/>
      <c r="P952" s="40"/>
      <c r="Q952" s="40"/>
      <c r="R952" s="140"/>
      <c r="S952" s="140"/>
      <c r="T952" s="40" t="str">
        <f ca="1">IFERROR(__xludf.DUMMYFUNCTION("""COMPUTED_VALUE"""),"debe 43 resultados... Revisado 15/11/2022")</f>
        <v>debe 43 resultados... Revisado 15/11/2022</v>
      </c>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t="str">
        <f ca="1">IFERROR(__xludf.DUMMYFUNCTION("""COMPUTED_VALUE"""),"NO_CUMPLE")</f>
        <v>NO_CUMPLE</v>
      </c>
      <c r="AV952" s="40" t="str">
        <f ca="1">IFERROR(__xludf.DUMMYFUNCTION("""COMPUTED_VALUE"""),"CONDICIONADO")</f>
        <v>CONDICIONADO</v>
      </c>
      <c r="AW952" s="40" t="str">
        <f ca="1">IFERROR(__xludf.DUMMYFUNCTION("""COMPUTED_VALUE"""),"TIC")</f>
        <v>TIC</v>
      </c>
      <c r="AX952" s="141">
        <f ca="1">IFERROR(__xludf.DUMMYFUNCTION("""COMPUTED_VALUE"""),4)</f>
        <v>4</v>
      </c>
      <c r="AY952" s="40">
        <f ca="1">IFERROR(__xludf.DUMMYFUNCTION("""COMPUTED_VALUE"""),4)</f>
        <v>4</v>
      </c>
      <c r="AZ952" s="40">
        <f ca="1">IFERROR(__xludf.DUMMYFUNCTION("""COMPUTED_VALUE"""),1)</f>
        <v>1</v>
      </c>
      <c r="BA952" s="40">
        <f ca="1">IFERROR(__xludf.DUMMYFUNCTION("""COMPUTED_VALUE"""),11)</f>
        <v>11</v>
      </c>
      <c r="BB952" s="40">
        <f ca="1">IFERROR(__xludf.DUMMYFUNCTION("""COMPUTED_VALUE"""),28)</f>
        <v>28</v>
      </c>
      <c r="BC952" s="40">
        <f ca="1">IFERROR(__xludf.DUMMYFUNCTION("""COMPUTED_VALUE"""),44)</f>
        <v>44</v>
      </c>
      <c r="BD952" s="141">
        <f ca="1">IFERROR(__xludf.DUMMYFUNCTION("""COMPUTED_VALUE"""),44375)</f>
        <v>44375</v>
      </c>
      <c r="BE952" s="141">
        <f ca="1">IFERROR(__xludf.DUMMYFUNCTION("""COMPUTED_VALUE"""),44922)</f>
        <v>44922</v>
      </c>
      <c r="BF952" s="141">
        <f ca="1">IFERROR(__xludf.DUMMYFUNCTION("""COMPUTED_VALUE"""),45104)</f>
        <v>45104</v>
      </c>
      <c r="BG952" s="141">
        <f ca="1">IFERROR(__xludf.DUMMYFUNCTION("""COMPUTED_VALUE"""),45653)</f>
        <v>45653</v>
      </c>
      <c r="BH952" s="40" t="str">
        <f ca="1">IFERROR(__xludf.DUMMYFUNCTION("""COMPUTED_VALUE"""),"FICHA EN TIEMPO-18 MESES")</f>
        <v>FICHA EN TIEMPO-18 MESES</v>
      </c>
      <c r="BI952" s="40" t="str">
        <f ca="1">IFERROR(__xludf.DUMMYFUNCTION("""COMPUTED_VALUE"""),"En ejecucion")</f>
        <v>En ejecucion</v>
      </c>
      <c r="BJ952" s="40" t="str">
        <f ca="1">IFERROR(__xludf.DUMMYFUNCTION("""COMPUTED_VALUE"""),"Yamboro")</f>
        <v>Yamboro</v>
      </c>
      <c r="BK952" s="40"/>
      <c r="BL952" s="40"/>
    </row>
    <row r="953" spans="1:64" ht="13">
      <c r="A953" s="40"/>
      <c r="B953" s="40" t="str">
        <f ca="1">IFERROR(__xludf.DUMMYFUNCTION("""COMPUTED_VALUE"""),"FORMACIÓN 18/10/2022")</f>
        <v>FORMACIÓN 18/10/2022</v>
      </c>
      <c r="C953" s="40" t="str">
        <f ca="1">IFERROR(__xludf.DUMMYFUNCTION("""COMPUTED_VALUE"""),"OSCAR FERNANDO BETANCOURTH GARCIA")</f>
        <v>OSCAR FERNANDO BETANCOURTH GARCIA</v>
      </c>
      <c r="D953" s="40" t="str">
        <f ca="1">IFERROR(__xludf.DUMMYFUNCTION("""COMPUTED_VALUE"""),"CC")</f>
        <v>CC</v>
      </c>
      <c r="E953" s="40">
        <f ca="1">IFERROR(__xludf.DUMMYFUNCTION("""COMPUTED_VALUE"""),1016096297)</f>
        <v>1016096297</v>
      </c>
      <c r="F953" s="40">
        <f ca="1">IFERROR(__xludf.DUMMYFUNCTION("""COMPUTED_VALUE"""),2348239)</f>
        <v>2348239</v>
      </c>
      <c r="G953" s="40" t="str">
        <f ca="1">IFERROR(__xludf.DUMMYFUNCTION("""COMPUTED_VALUE"""),"TECNÓLOGO")</f>
        <v>TECNÓLOGO</v>
      </c>
      <c r="H953" s="40" t="str">
        <f ca="1">IFERROR(__xludf.DUMMYFUNCTION("""COMPUTED_VALUE"""),"ANALISIS Y DESARROLLO DE SISTEMAS DE INFORMACION")</f>
        <v>ANALISIS Y DESARROLLO DE SISTEMAS DE INFORMACION</v>
      </c>
      <c r="I953" s="40"/>
      <c r="J953" s="40"/>
      <c r="K953" s="40"/>
      <c r="L953" s="40" t="str">
        <f ca="1">IFERROR(__xludf.DUMMYFUNCTION("""COMPUTED_VALUE"""),"NO HA INICIADO ETAPA PRODUCTIVA")</f>
        <v>NO HA INICIADO ETAPA PRODUCTIVA</v>
      </c>
      <c r="M953" s="40"/>
      <c r="N953" s="40"/>
      <c r="O953" s="40"/>
      <c r="P953" s="40"/>
      <c r="Q953" s="40"/>
      <c r="R953" s="140"/>
      <c r="S953" s="140"/>
      <c r="T953" s="40" t="str">
        <f ca="1">IFERROR(__xludf.DUMMYFUNCTION("""COMPUTED_VALUE"""),"debe 12 resultados... Revisado 15/11/2022")</f>
        <v>debe 12 resultados... Revisado 15/11/2022</v>
      </c>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t="str">
        <f ca="1">IFERROR(__xludf.DUMMYFUNCTION("""COMPUTED_VALUE"""),"NO_CUMPLE")</f>
        <v>NO_CUMPLE</v>
      </c>
      <c r="AV953" s="40" t="str">
        <f ca="1">IFERROR(__xludf.DUMMYFUNCTION("""COMPUTED_VALUE"""),"EN FORMACION")</f>
        <v>EN FORMACION</v>
      </c>
      <c r="AW953" s="40" t="str">
        <f ca="1">IFERROR(__xludf.DUMMYFUNCTION("""COMPUTED_VALUE"""),"TIC")</f>
        <v>TIC</v>
      </c>
      <c r="AX953" s="141">
        <f ca="1">IFERROR(__xludf.DUMMYFUNCTION("""COMPUTED_VALUE"""),0)</f>
        <v>0</v>
      </c>
      <c r="AY953" s="40">
        <f ca="1">IFERROR(__xludf.DUMMYFUNCTION("""COMPUTED_VALUE"""),0)</f>
        <v>0</v>
      </c>
      <c r="AZ953" s="40">
        <f ca="1">IFERROR(__xludf.DUMMYFUNCTION("""COMPUTED_VALUE"""),1)</f>
        <v>1</v>
      </c>
      <c r="BA953" s="40">
        <f ca="1">IFERROR(__xludf.DUMMYFUNCTION("""COMPUTED_VALUE"""),3)</f>
        <v>3</v>
      </c>
      <c r="BB953" s="40">
        <f ca="1">IFERROR(__xludf.DUMMYFUNCTION("""COMPUTED_VALUE"""),10)</f>
        <v>10</v>
      </c>
      <c r="BC953" s="40">
        <f ca="1">IFERROR(__xludf.DUMMYFUNCTION("""COMPUTED_VALUE"""),14)</f>
        <v>14</v>
      </c>
      <c r="BD953" s="141">
        <f ca="1">IFERROR(__xludf.DUMMYFUNCTION("""COMPUTED_VALUE"""),44375)</f>
        <v>44375</v>
      </c>
      <c r="BE953" s="141">
        <f ca="1">IFERROR(__xludf.DUMMYFUNCTION("""COMPUTED_VALUE"""),44922)</f>
        <v>44922</v>
      </c>
      <c r="BF953" s="141">
        <f ca="1">IFERROR(__xludf.DUMMYFUNCTION("""COMPUTED_VALUE"""),45104)</f>
        <v>45104</v>
      </c>
      <c r="BG953" s="141">
        <f ca="1">IFERROR(__xludf.DUMMYFUNCTION("""COMPUTED_VALUE"""),45653)</f>
        <v>45653</v>
      </c>
      <c r="BH953" s="40" t="str">
        <f ca="1">IFERROR(__xludf.DUMMYFUNCTION("""COMPUTED_VALUE"""),"FICHA EN TIEMPO-18 MESES")</f>
        <v>FICHA EN TIEMPO-18 MESES</v>
      </c>
      <c r="BI953" s="40" t="str">
        <f ca="1">IFERROR(__xludf.DUMMYFUNCTION("""COMPUTED_VALUE"""),"En ejecucion")</f>
        <v>En ejecucion</v>
      </c>
      <c r="BJ953" s="40" t="str">
        <f ca="1">IFERROR(__xludf.DUMMYFUNCTION("""COMPUTED_VALUE"""),"Yamboro")</f>
        <v>Yamboro</v>
      </c>
      <c r="BK953" s="40"/>
      <c r="BL953" s="40"/>
    </row>
    <row r="954" spans="1:64" ht="13">
      <c r="A954" s="40"/>
      <c r="B954" s="40" t="str">
        <f ca="1">IFERROR(__xludf.DUMMYFUNCTION("""COMPUTED_VALUE"""),"FORMACIÓN 18/10/2022")</f>
        <v>FORMACIÓN 18/10/2022</v>
      </c>
      <c r="C954" s="40" t="str">
        <f ca="1">IFERROR(__xludf.DUMMYFUNCTION("""COMPUTED_VALUE"""),"MARCOS DAVID BUSTAMANTE GUERRA")</f>
        <v>MARCOS DAVID BUSTAMANTE GUERRA</v>
      </c>
      <c r="D954" s="40" t="str">
        <f ca="1">IFERROR(__xludf.DUMMYFUNCTION("""COMPUTED_VALUE"""),"CE")</f>
        <v>CE</v>
      </c>
      <c r="E954" s="40">
        <f ca="1">IFERROR(__xludf.DUMMYFUNCTION("""COMPUTED_VALUE"""),1023898)</f>
        <v>1023898</v>
      </c>
      <c r="F954" s="40">
        <f ca="1">IFERROR(__xludf.DUMMYFUNCTION("""COMPUTED_VALUE"""),2348239)</f>
        <v>2348239</v>
      </c>
      <c r="G954" s="40" t="str">
        <f ca="1">IFERROR(__xludf.DUMMYFUNCTION("""COMPUTED_VALUE"""),"TECNÓLOGO")</f>
        <v>TECNÓLOGO</v>
      </c>
      <c r="H954" s="40" t="str">
        <f ca="1">IFERROR(__xludf.DUMMYFUNCTION("""COMPUTED_VALUE"""),"ANALISIS Y DESARROLLO DE SISTEMAS DE INFORMACION")</f>
        <v>ANALISIS Y DESARROLLO DE SISTEMAS DE INFORMACION</v>
      </c>
      <c r="I954" s="40"/>
      <c r="J954" s="40"/>
      <c r="K954" s="40"/>
      <c r="L954" s="40" t="str">
        <f ca="1">IFERROR(__xludf.DUMMYFUNCTION("""COMPUTED_VALUE"""),"NO HA INICIADO ETAPA PRODUCTIVA")</f>
        <v>NO HA INICIADO ETAPA PRODUCTIVA</v>
      </c>
      <c r="M954" s="40"/>
      <c r="N954" s="40"/>
      <c r="O954" s="40"/>
      <c r="P954" s="40"/>
      <c r="Q954" s="40"/>
      <c r="R954" s="140"/>
      <c r="S954" s="140"/>
      <c r="T954" s="40" t="str">
        <f ca="1">IFERROR(__xludf.DUMMYFUNCTION("""COMPUTED_VALUE"""),"debe 10 resultados... Revisado 15/11/2022")</f>
        <v>debe 10 resultados... Revisado 15/11/2022</v>
      </c>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t="str">
        <f ca="1">IFERROR(__xludf.DUMMYFUNCTION("""COMPUTED_VALUE"""),"NO_CUMPLE")</f>
        <v>NO_CUMPLE</v>
      </c>
      <c r="AV954" s="40" t="str">
        <f ca="1">IFERROR(__xludf.DUMMYFUNCTION("""COMPUTED_VALUE"""),"EN FORMACION")</f>
        <v>EN FORMACION</v>
      </c>
      <c r="AW954" s="40" t="str">
        <f ca="1">IFERROR(__xludf.DUMMYFUNCTION("""COMPUTED_VALUE"""),"TIC")</f>
        <v>TIC</v>
      </c>
      <c r="AX954" s="141">
        <f ca="1">IFERROR(__xludf.DUMMYFUNCTION("""COMPUTED_VALUE"""),0)</f>
        <v>0</v>
      </c>
      <c r="AY954" s="40">
        <f ca="1">IFERROR(__xludf.DUMMYFUNCTION("""COMPUTED_VALUE"""),0)</f>
        <v>0</v>
      </c>
      <c r="AZ954" s="40">
        <f ca="1">IFERROR(__xludf.DUMMYFUNCTION("""COMPUTED_VALUE"""),1)</f>
        <v>1</v>
      </c>
      <c r="BA954" s="40">
        <f ca="1">IFERROR(__xludf.DUMMYFUNCTION("""COMPUTED_VALUE"""),2)</f>
        <v>2</v>
      </c>
      <c r="BB954" s="40">
        <f ca="1">IFERROR(__xludf.DUMMYFUNCTION("""COMPUTED_VALUE"""),8)</f>
        <v>8</v>
      </c>
      <c r="BC954" s="40">
        <f ca="1">IFERROR(__xludf.DUMMYFUNCTION("""COMPUTED_VALUE"""),11)</f>
        <v>11</v>
      </c>
      <c r="BD954" s="141">
        <f ca="1">IFERROR(__xludf.DUMMYFUNCTION("""COMPUTED_VALUE"""),44375)</f>
        <v>44375</v>
      </c>
      <c r="BE954" s="141">
        <f ca="1">IFERROR(__xludf.DUMMYFUNCTION("""COMPUTED_VALUE"""),44922)</f>
        <v>44922</v>
      </c>
      <c r="BF954" s="141">
        <f ca="1">IFERROR(__xludf.DUMMYFUNCTION("""COMPUTED_VALUE"""),45104)</f>
        <v>45104</v>
      </c>
      <c r="BG954" s="141">
        <f ca="1">IFERROR(__xludf.DUMMYFUNCTION("""COMPUTED_VALUE"""),45653)</f>
        <v>45653</v>
      </c>
      <c r="BH954" s="40" t="str">
        <f ca="1">IFERROR(__xludf.DUMMYFUNCTION("""COMPUTED_VALUE"""),"FICHA EN TIEMPO-18 MESES")</f>
        <v>FICHA EN TIEMPO-18 MESES</v>
      </c>
      <c r="BI954" s="40" t="str">
        <f ca="1">IFERROR(__xludf.DUMMYFUNCTION("""COMPUTED_VALUE"""),"En ejecucion")</f>
        <v>En ejecucion</v>
      </c>
      <c r="BJ954" s="40" t="str">
        <f ca="1">IFERROR(__xludf.DUMMYFUNCTION("""COMPUTED_VALUE"""),"Yamboro")</f>
        <v>Yamboro</v>
      </c>
      <c r="BK954" s="40"/>
      <c r="BL954" s="40"/>
    </row>
    <row r="955" spans="1:64" ht="13">
      <c r="A955" s="40"/>
      <c r="B955" s="40" t="str">
        <f ca="1">IFERROR(__xludf.DUMMYFUNCTION("""COMPUTED_VALUE"""),"CONDICIONADO 18/10/2022")</f>
        <v>CONDICIONADO 18/10/2022</v>
      </c>
      <c r="C955" s="40" t="str">
        <f ca="1">IFERROR(__xludf.DUMMYFUNCTION("""COMPUTED_VALUE"""),"LINA YISSEL CAPERA CULMA")</f>
        <v>LINA YISSEL CAPERA CULMA</v>
      </c>
      <c r="D955" s="40" t="str">
        <f ca="1">IFERROR(__xludf.DUMMYFUNCTION("""COMPUTED_VALUE"""),"CC")</f>
        <v>CC</v>
      </c>
      <c r="E955" s="40">
        <f ca="1">IFERROR(__xludf.DUMMYFUNCTION("""COMPUTED_VALUE"""),1024532132)</f>
        <v>1024532132</v>
      </c>
      <c r="F955" s="40">
        <f ca="1">IFERROR(__xludf.DUMMYFUNCTION("""COMPUTED_VALUE"""),2348239)</f>
        <v>2348239</v>
      </c>
      <c r="G955" s="40" t="str">
        <f ca="1">IFERROR(__xludf.DUMMYFUNCTION("""COMPUTED_VALUE"""),"TECNÓLOGO")</f>
        <v>TECNÓLOGO</v>
      </c>
      <c r="H955" s="40" t="str">
        <f ca="1">IFERROR(__xludf.DUMMYFUNCTION("""COMPUTED_VALUE"""),"ANALISIS Y DESARROLLO DE SISTEMAS DE INFORMACION")</f>
        <v>ANALISIS Y DESARROLLO DE SISTEMAS DE INFORMACION</v>
      </c>
      <c r="I955" s="40"/>
      <c r="J955" s="40"/>
      <c r="K955" s="40"/>
      <c r="L955" s="40" t="str">
        <f ca="1">IFERROR(__xludf.DUMMYFUNCTION("""COMPUTED_VALUE"""),"NO HA INICIADO ETAPA PRODUCTIVA")</f>
        <v>NO HA INICIADO ETAPA PRODUCTIVA</v>
      </c>
      <c r="M955" s="40"/>
      <c r="N955" s="40"/>
      <c r="O955" s="40"/>
      <c r="P955" s="40"/>
      <c r="Q955" s="40"/>
      <c r="R955" s="140"/>
      <c r="S955" s="140"/>
      <c r="T955" s="40" t="str">
        <f ca="1">IFERROR(__xludf.DUMMYFUNCTION("""COMPUTED_VALUE"""),"debe 28 resultados... Revisado 15/11/2022")</f>
        <v>debe 28 resultados... Revisado 15/11/2022</v>
      </c>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t="str">
        <f ca="1">IFERROR(__xludf.DUMMYFUNCTION("""COMPUTED_VALUE"""),"NO_CUMPLE")</f>
        <v>NO_CUMPLE</v>
      </c>
      <c r="AV955" s="40" t="str">
        <f ca="1">IFERROR(__xludf.DUMMYFUNCTION("""COMPUTED_VALUE"""),"EN FORMACION")</f>
        <v>EN FORMACION</v>
      </c>
      <c r="AW955" s="40" t="str">
        <f ca="1">IFERROR(__xludf.DUMMYFUNCTION("""COMPUTED_VALUE"""),"TIC")</f>
        <v>TIC</v>
      </c>
      <c r="AX955" s="141">
        <f ca="1">IFERROR(__xludf.DUMMYFUNCTION("""COMPUTED_VALUE"""),3)</f>
        <v>3</v>
      </c>
      <c r="AY955" s="40">
        <f ca="1">IFERROR(__xludf.DUMMYFUNCTION("""COMPUTED_VALUE"""),3)</f>
        <v>3</v>
      </c>
      <c r="AZ955" s="40">
        <f ca="1">IFERROR(__xludf.DUMMYFUNCTION("""COMPUTED_VALUE"""),1)</f>
        <v>1</v>
      </c>
      <c r="BA955" s="40">
        <f ca="1">IFERROR(__xludf.DUMMYFUNCTION("""COMPUTED_VALUE"""),7)</f>
        <v>7</v>
      </c>
      <c r="BB955" s="40">
        <f ca="1">IFERROR(__xludf.DUMMYFUNCTION("""COMPUTED_VALUE"""),18)</f>
        <v>18</v>
      </c>
      <c r="BC955" s="40">
        <f ca="1">IFERROR(__xludf.DUMMYFUNCTION("""COMPUTED_VALUE"""),29)</f>
        <v>29</v>
      </c>
      <c r="BD955" s="141">
        <f ca="1">IFERROR(__xludf.DUMMYFUNCTION("""COMPUTED_VALUE"""),44375)</f>
        <v>44375</v>
      </c>
      <c r="BE955" s="141">
        <f ca="1">IFERROR(__xludf.DUMMYFUNCTION("""COMPUTED_VALUE"""),44922)</f>
        <v>44922</v>
      </c>
      <c r="BF955" s="141">
        <f ca="1">IFERROR(__xludf.DUMMYFUNCTION("""COMPUTED_VALUE"""),45104)</f>
        <v>45104</v>
      </c>
      <c r="BG955" s="141">
        <f ca="1">IFERROR(__xludf.DUMMYFUNCTION("""COMPUTED_VALUE"""),45653)</f>
        <v>45653</v>
      </c>
      <c r="BH955" s="40" t="str">
        <f ca="1">IFERROR(__xludf.DUMMYFUNCTION("""COMPUTED_VALUE"""),"FICHA EN TIEMPO-18 MESES")</f>
        <v>FICHA EN TIEMPO-18 MESES</v>
      </c>
      <c r="BI955" s="40" t="str">
        <f ca="1">IFERROR(__xludf.DUMMYFUNCTION("""COMPUTED_VALUE"""),"En ejecucion")</f>
        <v>En ejecucion</v>
      </c>
      <c r="BJ955" s="40" t="str">
        <f ca="1">IFERROR(__xludf.DUMMYFUNCTION("""COMPUTED_VALUE"""),"Yamboro")</f>
        <v>Yamboro</v>
      </c>
      <c r="BK955" s="40"/>
      <c r="BL955" s="40"/>
    </row>
    <row r="956" spans="1:64" ht="13">
      <c r="A956" s="40"/>
      <c r="B956" s="40" t="str">
        <f ca="1">IFERROR(__xludf.DUMMYFUNCTION("""COMPUTED_VALUE"""),"CONDICIONADO 18/10/2022")</f>
        <v>CONDICIONADO 18/10/2022</v>
      </c>
      <c r="C956" s="40" t="str">
        <f ca="1">IFERROR(__xludf.DUMMYFUNCTION("""COMPUTED_VALUE"""),"CRISTHIAN GIOVANNI POLOCHE LAVERDE")</f>
        <v>CRISTHIAN GIOVANNI POLOCHE LAVERDE</v>
      </c>
      <c r="D956" s="40" t="str">
        <f ca="1">IFERROR(__xludf.DUMMYFUNCTION("""COMPUTED_VALUE"""),"CC")</f>
        <v>CC</v>
      </c>
      <c r="E956" s="40">
        <f ca="1">IFERROR(__xludf.DUMMYFUNCTION("""COMPUTED_VALUE"""),1030598857)</f>
        <v>1030598857</v>
      </c>
      <c r="F956" s="40">
        <f ca="1">IFERROR(__xludf.DUMMYFUNCTION("""COMPUTED_VALUE"""),2348239)</f>
        <v>2348239</v>
      </c>
      <c r="G956" s="40" t="str">
        <f ca="1">IFERROR(__xludf.DUMMYFUNCTION("""COMPUTED_VALUE"""),"TECNÓLOGO")</f>
        <v>TECNÓLOGO</v>
      </c>
      <c r="H956" s="40" t="str">
        <f ca="1">IFERROR(__xludf.DUMMYFUNCTION("""COMPUTED_VALUE"""),"ANALISIS Y DESARROLLO DE SISTEMAS DE INFORMACION")</f>
        <v>ANALISIS Y DESARROLLO DE SISTEMAS DE INFORMACION</v>
      </c>
      <c r="I956" s="40"/>
      <c r="J956" s="40"/>
      <c r="K956" s="40"/>
      <c r="L956" s="40" t="str">
        <f ca="1">IFERROR(__xludf.DUMMYFUNCTION("""COMPUTED_VALUE"""),"NO HA INICIADO ETAPA PRODUCTIVA")</f>
        <v>NO HA INICIADO ETAPA PRODUCTIVA</v>
      </c>
      <c r="M956" s="40"/>
      <c r="N956" s="40"/>
      <c r="O956" s="40"/>
      <c r="P956" s="40"/>
      <c r="Q956" s="40"/>
      <c r="R956" s="140"/>
      <c r="S956" s="140"/>
      <c r="T956" s="40" t="str">
        <f ca="1">IFERROR(__xludf.DUMMYFUNCTION("""COMPUTED_VALUE"""),"debe 58 resultados... Revisado 15/11/2022")</f>
        <v>debe 58 resultados... Revisado 15/11/2022</v>
      </c>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t="str">
        <f ca="1">IFERROR(__xludf.DUMMYFUNCTION("""COMPUTED_VALUE"""),"NO_CUMPLE")</f>
        <v>NO_CUMPLE</v>
      </c>
      <c r="AV956" s="40" t="str">
        <f ca="1">IFERROR(__xludf.DUMMYFUNCTION("""COMPUTED_VALUE"""),"CONDICIONADO")</f>
        <v>CONDICIONADO</v>
      </c>
      <c r="AW956" s="40" t="str">
        <f ca="1">IFERROR(__xludf.DUMMYFUNCTION("""COMPUTED_VALUE"""),"TIC")</f>
        <v>TIC</v>
      </c>
      <c r="AX956" s="141">
        <f ca="1">IFERROR(__xludf.DUMMYFUNCTION("""COMPUTED_VALUE"""),10)</f>
        <v>10</v>
      </c>
      <c r="AY956" s="40">
        <f ca="1">IFERROR(__xludf.DUMMYFUNCTION("""COMPUTED_VALUE"""),10)</f>
        <v>10</v>
      </c>
      <c r="AZ956" s="40">
        <f ca="1">IFERROR(__xludf.DUMMYFUNCTION("""COMPUTED_VALUE"""),1)</f>
        <v>1</v>
      </c>
      <c r="BA956" s="40">
        <f ca="1">IFERROR(__xludf.DUMMYFUNCTION("""COMPUTED_VALUE"""),15)</f>
        <v>15</v>
      </c>
      <c r="BB956" s="40">
        <f ca="1">IFERROR(__xludf.DUMMYFUNCTION("""COMPUTED_VALUE"""),33)</f>
        <v>33</v>
      </c>
      <c r="BC956" s="40">
        <f ca="1">IFERROR(__xludf.DUMMYFUNCTION("""COMPUTED_VALUE"""),59)</f>
        <v>59</v>
      </c>
      <c r="BD956" s="141">
        <f ca="1">IFERROR(__xludf.DUMMYFUNCTION("""COMPUTED_VALUE"""),44375)</f>
        <v>44375</v>
      </c>
      <c r="BE956" s="141">
        <f ca="1">IFERROR(__xludf.DUMMYFUNCTION("""COMPUTED_VALUE"""),44922)</f>
        <v>44922</v>
      </c>
      <c r="BF956" s="141">
        <f ca="1">IFERROR(__xludf.DUMMYFUNCTION("""COMPUTED_VALUE"""),45104)</f>
        <v>45104</v>
      </c>
      <c r="BG956" s="141">
        <f ca="1">IFERROR(__xludf.DUMMYFUNCTION("""COMPUTED_VALUE"""),45653)</f>
        <v>45653</v>
      </c>
      <c r="BH956" s="40" t="str">
        <f ca="1">IFERROR(__xludf.DUMMYFUNCTION("""COMPUTED_VALUE"""),"FICHA EN TIEMPO-18 MESES")</f>
        <v>FICHA EN TIEMPO-18 MESES</v>
      </c>
      <c r="BI956" s="40" t="str">
        <f ca="1">IFERROR(__xludf.DUMMYFUNCTION("""COMPUTED_VALUE"""),"En ejecucion")</f>
        <v>En ejecucion</v>
      </c>
      <c r="BJ956" s="40" t="str">
        <f ca="1">IFERROR(__xludf.DUMMYFUNCTION("""COMPUTED_VALUE"""),"Yamboro")</f>
        <v>Yamboro</v>
      </c>
      <c r="BK956" s="40"/>
      <c r="BL956" s="40"/>
    </row>
    <row r="957" spans="1:64" ht="13">
      <c r="A957" s="40"/>
      <c r="B957" s="40" t="str">
        <f ca="1">IFERROR(__xludf.DUMMYFUNCTION("""COMPUTED_VALUE"""),"FORMACIÓN 18/10/2022")</f>
        <v>FORMACIÓN 18/10/2022</v>
      </c>
      <c r="C957" s="40" t="str">
        <f ca="1">IFERROR(__xludf.DUMMYFUNCTION("""COMPUTED_VALUE"""),"BRIAN ALEXIS LOPEZ RODRIGUEZ")</f>
        <v>BRIAN ALEXIS LOPEZ RODRIGUEZ</v>
      </c>
      <c r="D957" s="40" t="str">
        <f ca="1">IFERROR(__xludf.DUMMYFUNCTION("""COMPUTED_VALUE"""),"CC")</f>
        <v>CC</v>
      </c>
      <c r="E957" s="40">
        <f ca="1">IFERROR(__xludf.DUMMYFUNCTION("""COMPUTED_VALUE"""),1033767882)</f>
        <v>1033767882</v>
      </c>
      <c r="F957" s="40">
        <f ca="1">IFERROR(__xludf.DUMMYFUNCTION("""COMPUTED_VALUE"""),2348239)</f>
        <v>2348239</v>
      </c>
      <c r="G957" s="40" t="str">
        <f ca="1">IFERROR(__xludf.DUMMYFUNCTION("""COMPUTED_VALUE"""),"TECNÓLOGO")</f>
        <v>TECNÓLOGO</v>
      </c>
      <c r="H957" s="40" t="str">
        <f ca="1">IFERROR(__xludf.DUMMYFUNCTION("""COMPUTED_VALUE"""),"ANALISIS Y DESARROLLO DE SISTEMAS DE INFORMACION")</f>
        <v>ANALISIS Y DESARROLLO DE SISTEMAS DE INFORMACION</v>
      </c>
      <c r="I957" s="40"/>
      <c r="J957" s="40"/>
      <c r="K957" s="40"/>
      <c r="L957" s="40" t="str">
        <f ca="1">IFERROR(__xludf.DUMMYFUNCTION("""COMPUTED_VALUE"""),"NO HA INICIADO ETAPA PRODUCTIVA")</f>
        <v>NO HA INICIADO ETAPA PRODUCTIVA</v>
      </c>
      <c r="M957" s="40"/>
      <c r="N957" s="40"/>
      <c r="O957" s="40"/>
      <c r="P957" s="40"/>
      <c r="Q957" s="40"/>
      <c r="R957" s="140"/>
      <c r="S957" s="140"/>
      <c r="T957" s="40" t="str">
        <f ca="1">IFERROR(__xludf.DUMMYFUNCTION("""COMPUTED_VALUE"""),"debe 11 resultados... Revisado 15/11/2022")</f>
        <v>debe 11 resultados... Revisado 15/11/2022</v>
      </c>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t="str">
        <f ca="1">IFERROR(__xludf.DUMMYFUNCTION("""COMPUTED_VALUE"""),"NO_CUMPLE")</f>
        <v>NO_CUMPLE</v>
      </c>
      <c r="AV957" s="40" t="str">
        <f ca="1">IFERROR(__xludf.DUMMYFUNCTION("""COMPUTED_VALUE"""),"EN FORMACION")</f>
        <v>EN FORMACION</v>
      </c>
      <c r="AW957" s="40" t="str">
        <f ca="1">IFERROR(__xludf.DUMMYFUNCTION("""COMPUTED_VALUE"""),"TIC")</f>
        <v>TIC</v>
      </c>
      <c r="AX957" s="141">
        <f ca="1">IFERROR(__xludf.DUMMYFUNCTION("""COMPUTED_VALUE"""),0)</f>
        <v>0</v>
      </c>
      <c r="AY957" s="40">
        <f ca="1">IFERROR(__xludf.DUMMYFUNCTION("""COMPUTED_VALUE"""),0)</f>
        <v>0</v>
      </c>
      <c r="AZ957" s="40">
        <f ca="1">IFERROR(__xludf.DUMMYFUNCTION("""COMPUTED_VALUE"""),1)</f>
        <v>1</v>
      </c>
      <c r="BA957" s="40">
        <f ca="1">IFERROR(__xludf.DUMMYFUNCTION("""COMPUTED_VALUE"""),2)</f>
        <v>2</v>
      </c>
      <c r="BB957" s="40">
        <f ca="1">IFERROR(__xludf.DUMMYFUNCTION("""COMPUTED_VALUE"""),9)</f>
        <v>9</v>
      </c>
      <c r="BC957" s="40">
        <f ca="1">IFERROR(__xludf.DUMMYFUNCTION("""COMPUTED_VALUE"""),12)</f>
        <v>12</v>
      </c>
      <c r="BD957" s="141">
        <f ca="1">IFERROR(__xludf.DUMMYFUNCTION("""COMPUTED_VALUE"""),44375)</f>
        <v>44375</v>
      </c>
      <c r="BE957" s="141">
        <f ca="1">IFERROR(__xludf.DUMMYFUNCTION("""COMPUTED_VALUE"""),44922)</f>
        <v>44922</v>
      </c>
      <c r="BF957" s="141">
        <f ca="1">IFERROR(__xludf.DUMMYFUNCTION("""COMPUTED_VALUE"""),45104)</f>
        <v>45104</v>
      </c>
      <c r="BG957" s="141">
        <f ca="1">IFERROR(__xludf.DUMMYFUNCTION("""COMPUTED_VALUE"""),45653)</f>
        <v>45653</v>
      </c>
      <c r="BH957" s="40" t="str">
        <f ca="1">IFERROR(__xludf.DUMMYFUNCTION("""COMPUTED_VALUE"""),"FICHA EN TIEMPO-18 MESES")</f>
        <v>FICHA EN TIEMPO-18 MESES</v>
      </c>
      <c r="BI957" s="40" t="str">
        <f ca="1">IFERROR(__xludf.DUMMYFUNCTION("""COMPUTED_VALUE"""),"En ejecucion")</f>
        <v>En ejecucion</v>
      </c>
      <c r="BJ957" s="40" t="str">
        <f ca="1">IFERROR(__xludf.DUMMYFUNCTION("""COMPUTED_VALUE"""),"Yamboro")</f>
        <v>Yamboro</v>
      </c>
      <c r="BK957" s="40"/>
      <c r="BL957" s="40"/>
    </row>
    <row r="958" spans="1:64" ht="13">
      <c r="A958" s="40"/>
      <c r="B958" s="40" t="str">
        <f ca="1">IFERROR(__xludf.DUMMYFUNCTION("""COMPUTED_VALUE"""),"CONDICIONADO 18/10/2022")</f>
        <v>CONDICIONADO 18/10/2022</v>
      </c>
      <c r="C958" s="40" t="str">
        <f ca="1">IFERROR(__xludf.DUMMYFUNCTION("""COMPUTED_VALUE"""),"VANESSA PRIETO ALVAREZ")</f>
        <v>VANESSA PRIETO ALVAREZ</v>
      </c>
      <c r="D958" s="40" t="str">
        <f ca="1">IFERROR(__xludf.DUMMYFUNCTION("""COMPUTED_VALUE"""),"CC")</f>
        <v>CC</v>
      </c>
      <c r="E958" s="40">
        <f ca="1">IFERROR(__xludf.DUMMYFUNCTION("""COMPUTED_VALUE"""),1035867169)</f>
        <v>1035867169</v>
      </c>
      <c r="F958" s="40">
        <f ca="1">IFERROR(__xludf.DUMMYFUNCTION("""COMPUTED_VALUE"""),2348239)</f>
        <v>2348239</v>
      </c>
      <c r="G958" s="40" t="str">
        <f ca="1">IFERROR(__xludf.DUMMYFUNCTION("""COMPUTED_VALUE"""),"TECNÓLOGO")</f>
        <v>TECNÓLOGO</v>
      </c>
      <c r="H958" s="40" t="str">
        <f ca="1">IFERROR(__xludf.DUMMYFUNCTION("""COMPUTED_VALUE"""),"ANALISIS Y DESARROLLO DE SISTEMAS DE INFORMACION")</f>
        <v>ANALISIS Y DESARROLLO DE SISTEMAS DE INFORMACION</v>
      </c>
      <c r="I958" s="40"/>
      <c r="J958" s="40"/>
      <c r="K958" s="40"/>
      <c r="L958" s="40" t="str">
        <f ca="1">IFERROR(__xludf.DUMMYFUNCTION("""COMPUTED_VALUE"""),"NO HA INICIADO ETAPA PRODUCTIVA")</f>
        <v>NO HA INICIADO ETAPA PRODUCTIVA</v>
      </c>
      <c r="M958" s="40"/>
      <c r="N958" s="40"/>
      <c r="O958" s="40"/>
      <c r="P958" s="40"/>
      <c r="Q958" s="40"/>
      <c r="R958" s="140"/>
      <c r="S958" s="140"/>
      <c r="T958" s="40" t="str">
        <f ca="1">IFERROR(__xludf.DUMMYFUNCTION("""COMPUTED_VALUE"""),"debe 35 resultados... Revisado 15/11/2022")</f>
        <v>debe 35 resultados... Revisado 15/11/2022</v>
      </c>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t="str">
        <f ca="1">IFERROR(__xludf.DUMMYFUNCTION("""COMPUTED_VALUE"""),"NO_CUMPLE")</f>
        <v>NO_CUMPLE</v>
      </c>
      <c r="AV958" s="40" t="str">
        <f ca="1">IFERROR(__xludf.DUMMYFUNCTION("""COMPUTED_VALUE"""),"CONDICIONADO")</f>
        <v>CONDICIONADO</v>
      </c>
      <c r="AW958" s="40" t="str">
        <f ca="1">IFERROR(__xludf.DUMMYFUNCTION("""COMPUTED_VALUE"""),"TIC")</f>
        <v>TIC</v>
      </c>
      <c r="AX958" s="141">
        <f ca="1">IFERROR(__xludf.DUMMYFUNCTION("""COMPUTED_VALUE"""),4)</f>
        <v>4</v>
      </c>
      <c r="AY958" s="40">
        <f ca="1">IFERROR(__xludf.DUMMYFUNCTION("""COMPUTED_VALUE"""),4)</f>
        <v>4</v>
      </c>
      <c r="AZ958" s="40">
        <f ca="1">IFERROR(__xludf.DUMMYFUNCTION("""COMPUTED_VALUE"""),1)</f>
        <v>1</v>
      </c>
      <c r="BA958" s="40">
        <f ca="1">IFERROR(__xludf.DUMMYFUNCTION("""COMPUTED_VALUE"""),9)</f>
        <v>9</v>
      </c>
      <c r="BB958" s="40">
        <f ca="1">IFERROR(__xludf.DUMMYFUNCTION("""COMPUTED_VALUE"""),22)</f>
        <v>22</v>
      </c>
      <c r="BC958" s="40">
        <f ca="1">IFERROR(__xludf.DUMMYFUNCTION("""COMPUTED_VALUE"""),36)</f>
        <v>36</v>
      </c>
      <c r="BD958" s="141">
        <f ca="1">IFERROR(__xludf.DUMMYFUNCTION("""COMPUTED_VALUE"""),44375)</f>
        <v>44375</v>
      </c>
      <c r="BE958" s="141">
        <f ca="1">IFERROR(__xludf.DUMMYFUNCTION("""COMPUTED_VALUE"""),44922)</f>
        <v>44922</v>
      </c>
      <c r="BF958" s="141">
        <f ca="1">IFERROR(__xludf.DUMMYFUNCTION("""COMPUTED_VALUE"""),45104)</f>
        <v>45104</v>
      </c>
      <c r="BG958" s="141">
        <f ca="1">IFERROR(__xludf.DUMMYFUNCTION("""COMPUTED_VALUE"""),45653)</f>
        <v>45653</v>
      </c>
      <c r="BH958" s="40" t="str">
        <f ca="1">IFERROR(__xludf.DUMMYFUNCTION("""COMPUTED_VALUE"""),"FICHA EN TIEMPO-18 MESES")</f>
        <v>FICHA EN TIEMPO-18 MESES</v>
      </c>
      <c r="BI958" s="40" t="str">
        <f ca="1">IFERROR(__xludf.DUMMYFUNCTION("""COMPUTED_VALUE"""),"En ejecucion")</f>
        <v>En ejecucion</v>
      </c>
      <c r="BJ958" s="40" t="str">
        <f ca="1">IFERROR(__xludf.DUMMYFUNCTION("""COMPUTED_VALUE"""),"Yamboro")</f>
        <v>Yamboro</v>
      </c>
      <c r="BK958" s="40"/>
      <c r="BL958" s="40"/>
    </row>
    <row r="959" spans="1:64" ht="13">
      <c r="A959" s="40"/>
      <c r="B959" s="40" t="str">
        <f ca="1">IFERROR(__xludf.DUMMYFUNCTION("""COMPUTED_VALUE"""),"FORMACIÓN 18/10/2022")</f>
        <v>FORMACIÓN 18/10/2022</v>
      </c>
      <c r="C959" s="40" t="str">
        <f ca="1">IFERROR(__xludf.DUMMYFUNCTION("""COMPUTED_VALUE"""),"JHON RICARDO CARDONA SANCHEZ")</f>
        <v>JHON RICARDO CARDONA SANCHEZ</v>
      </c>
      <c r="D959" s="40" t="str">
        <f ca="1">IFERROR(__xludf.DUMMYFUNCTION("""COMPUTED_VALUE"""),"CC")</f>
        <v>CC</v>
      </c>
      <c r="E959" s="40">
        <f ca="1">IFERROR(__xludf.DUMMYFUNCTION("""COMPUTED_VALUE"""),1038626540)</f>
        <v>1038626540</v>
      </c>
      <c r="F959" s="40">
        <f ca="1">IFERROR(__xludf.DUMMYFUNCTION("""COMPUTED_VALUE"""),2348239)</f>
        <v>2348239</v>
      </c>
      <c r="G959" s="40" t="str">
        <f ca="1">IFERROR(__xludf.DUMMYFUNCTION("""COMPUTED_VALUE"""),"TECNÓLOGO")</f>
        <v>TECNÓLOGO</v>
      </c>
      <c r="H959" s="40" t="str">
        <f ca="1">IFERROR(__xludf.DUMMYFUNCTION("""COMPUTED_VALUE"""),"ANALISIS Y DESARROLLO DE SISTEMAS DE INFORMACION")</f>
        <v>ANALISIS Y DESARROLLO DE SISTEMAS DE INFORMACION</v>
      </c>
      <c r="I959" s="40"/>
      <c r="J959" s="40"/>
      <c r="K959" s="40"/>
      <c r="L959" s="40" t="str">
        <f ca="1">IFERROR(__xludf.DUMMYFUNCTION("""COMPUTED_VALUE"""),"NO HA INICIADO ETAPA PRODUCTIVA")</f>
        <v>NO HA INICIADO ETAPA PRODUCTIVA</v>
      </c>
      <c r="M959" s="40"/>
      <c r="N959" s="40"/>
      <c r="O959" s="40"/>
      <c r="P959" s="40"/>
      <c r="Q959" s="40"/>
      <c r="R959" s="140"/>
      <c r="S959" s="140"/>
      <c r="T959" s="40" t="str">
        <f ca="1">IFERROR(__xludf.DUMMYFUNCTION("""COMPUTED_VALUE"""),"debe 27 resultados... Revisado 15/11/2022")</f>
        <v>debe 27 resultados... Revisado 15/11/2022</v>
      </c>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t="str">
        <f ca="1">IFERROR(__xludf.DUMMYFUNCTION("""COMPUTED_VALUE"""),"NO_CUMPLE")</f>
        <v>NO_CUMPLE</v>
      </c>
      <c r="AV959" s="40" t="str">
        <f ca="1">IFERROR(__xludf.DUMMYFUNCTION("""COMPUTED_VALUE"""),"EN FORMACION")</f>
        <v>EN FORMACION</v>
      </c>
      <c r="AW959" s="40" t="str">
        <f ca="1">IFERROR(__xludf.DUMMYFUNCTION("""COMPUTED_VALUE"""),"TIC")</f>
        <v>TIC</v>
      </c>
      <c r="AX959" s="141">
        <f ca="1">IFERROR(__xludf.DUMMYFUNCTION("""COMPUTED_VALUE"""),2)</f>
        <v>2</v>
      </c>
      <c r="AY959" s="40">
        <f ca="1">IFERROR(__xludf.DUMMYFUNCTION("""COMPUTED_VALUE"""),2)</f>
        <v>2</v>
      </c>
      <c r="AZ959" s="40">
        <f ca="1">IFERROR(__xludf.DUMMYFUNCTION("""COMPUTED_VALUE"""),1)</f>
        <v>1</v>
      </c>
      <c r="BA959" s="40">
        <f ca="1">IFERROR(__xludf.DUMMYFUNCTION("""COMPUTED_VALUE"""),6)</f>
        <v>6</v>
      </c>
      <c r="BB959" s="40">
        <f ca="1">IFERROR(__xludf.DUMMYFUNCTION("""COMPUTED_VALUE"""),19)</f>
        <v>19</v>
      </c>
      <c r="BC959" s="40">
        <f ca="1">IFERROR(__xludf.DUMMYFUNCTION("""COMPUTED_VALUE"""),28)</f>
        <v>28</v>
      </c>
      <c r="BD959" s="141">
        <f ca="1">IFERROR(__xludf.DUMMYFUNCTION("""COMPUTED_VALUE"""),44375)</f>
        <v>44375</v>
      </c>
      <c r="BE959" s="141">
        <f ca="1">IFERROR(__xludf.DUMMYFUNCTION("""COMPUTED_VALUE"""),44922)</f>
        <v>44922</v>
      </c>
      <c r="BF959" s="141">
        <f ca="1">IFERROR(__xludf.DUMMYFUNCTION("""COMPUTED_VALUE"""),45104)</f>
        <v>45104</v>
      </c>
      <c r="BG959" s="141">
        <f ca="1">IFERROR(__xludf.DUMMYFUNCTION("""COMPUTED_VALUE"""),45653)</f>
        <v>45653</v>
      </c>
      <c r="BH959" s="40" t="str">
        <f ca="1">IFERROR(__xludf.DUMMYFUNCTION("""COMPUTED_VALUE"""),"FICHA EN TIEMPO-18 MESES")</f>
        <v>FICHA EN TIEMPO-18 MESES</v>
      </c>
      <c r="BI959" s="40" t="str">
        <f ca="1">IFERROR(__xludf.DUMMYFUNCTION("""COMPUTED_VALUE"""),"En ejecucion")</f>
        <v>En ejecucion</v>
      </c>
      <c r="BJ959" s="40" t="str">
        <f ca="1">IFERROR(__xludf.DUMMYFUNCTION("""COMPUTED_VALUE"""),"Yamboro")</f>
        <v>Yamboro</v>
      </c>
      <c r="BK959" s="40"/>
      <c r="BL959" s="40"/>
    </row>
    <row r="960" spans="1:64" ht="13">
      <c r="A960" s="40"/>
      <c r="B960" s="40" t="str">
        <f ca="1">IFERROR(__xludf.DUMMYFUNCTION("""COMPUTED_VALUE"""),"FORMACIÓN 18/10/2022")</f>
        <v>FORMACIÓN 18/10/2022</v>
      </c>
      <c r="C960" s="40" t="str">
        <f ca="1">IFERROR(__xludf.DUMMYFUNCTION("""COMPUTED_VALUE"""),"JAZMIN ADRIANA SALGADO MONROY")</f>
        <v>JAZMIN ADRIANA SALGADO MONROY</v>
      </c>
      <c r="D960" s="40" t="str">
        <f ca="1">IFERROR(__xludf.DUMMYFUNCTION("""COMPUTED_VALUE"""),"CC")</f>
        <v>CC</v>
      </c>
      <c r="E960" s="40">
        <f ca="1">IFERROR(__xludf.DUMMYFUNCTION("""COMPUTED_VALUE"""),1050555520)</f>
        <v>1050555520</v>
      </c>
      <c r="F960" s="40">
        <f ca="1">IFERROR(__xludf.DUMMYFUNCTION("""COMPUTED_VALUE"""),2348239)</f>
        <v>2348239</v>
      </c>
      <c r="G960" s="40" t="str">
        <f ca="1">IFERROR(__xludf.DUMMYFUNCTION("""COMPUTED_VALUE"""),"TECNÓLOGO")</f>
        <v>TECNÓLOGO</v>
      </c>
      <c r="H960" s="40" t="str">
        <f ca="1">IFERROR(__xludf.DUMMYFUNCTION("""COMPUTED_VALUE"""),"ANALISIS Y DESARROLLO DE SISTEMAS DE INFORMACION")</f>
        <v>ANALISIS Y DESARROLLO DE SISTEMAS DE INFORMACION</v>
      </c>
      <c r="I960" s="40"/>
      <c r="J960" s="40"/>
      <c r="K960" s="40"/>
      <c r="L960" s="40" t="str">
        <f ca="1">IFERROR(__xludf.DUMMYFUNCTION("""COMPUTED_VALUE"""),"NO HA INICIADO ETAPA PRODUCTIVA")</f>
        <v>NO HA INICIADO ETAPA PRODUCTIVA</v>
      </c>
      <c r="M960" s="40"/>
      <c r="N960" s="40"/>
      <c r="O960" s="40"/>
      <c r="P960" s="40"/>
      <c r="Q960" s="40"/>
      <c r="R960" s="140"/>
      <c r="S960" s="140"/>
      <c r="T960" s="40" t="str">
        <f ca="1">IFERROR(__xludf.DUMMYFUNCTION("""COMPUTED_VALUE"""),"debe 17 resultados... Revisado 15/11/2022")</f>
        <v>debe 17 resultados... Revisado 15/11/2022</v>
      </c>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t="str">
        <f ca="1">IFERROR(__xludf.DUMMYFUNCTION("""COMPUTED_VALUE"""),"NO_CUMPLE")</f>
        <v>NO_CUMPLE</v>
      </c>
      <c r="AV960" s="40" t="str">
        <f ca="1">IFERROR(__xludf.DUMMYFUNCTION("""COMPUTED_VALUE"""),"EN FORMACION")</f>
        <v>EN FORMACION</v>
      </c>
      <c r="AW960" s="40" t="str">
        <f ca="1">IFERROR(__xludf.DUMMYFUNCTION("""COMPUTED_VALUE"""),"TIC")</f>
        <v>TIC</v>
      </c>
      <c r="AX960" s="141">
        <f ca="1">IFERROR(__xludf.DUMMYFUNCTION("""COMPUTED_VALUE"""),1)</f>
        <v>1</v>
      </c>
      <c r="AY960" s="40">
        <f ca="1">IFERROR(__xludf.DUMMYFUNCTION("""COMPUTED_VALUE"""),1)</f>
        <v>1</v>
      </c>
      <c r="AZ960" s="40">
        <f ca="1">IFERROR(__xludf.DUMMYFUNCTION("""COMPUTED_VALUE"""),1)</f>
        <v>1</v>
      </c>
      <c r="BA960" s="40">
        <f ca="1">IFERROR(__xludf.DUMMYFUNCTION("""COMPUTED_VALUE"""),3)</f>
        <v>3</v>
      </c>
      <c r="BB960" s="40">
        <f ca="1">IFERROR(__xludf.DUMMYFUNCTION("""COMPUTED_VALUE"""),13)</f>
        <v>13</v>
      </c>
      <c r="BC960" s="40">
        <f ca="1">IFERROR(__xludf.DUMMYFUNCTION("""COMPUTED_VALUE"""),18)</f>
        <v>18</v>
      </c>
      <c r="BD960" s="141">
        <f ca="1">IFERROR(__xludf.DUMMYFUNCTION("""COMPUTED_VALUE"""),44375)</f>
        <v>44375</v>
      </c>
      <c r="BE960" s="141">
        <f ca="1">IFERROR(__xludf.DUMMYFUNCTION("""COMPUTED_VALUE"""),44922)</f>
        <v>44922</v>
      </c>
      <c r="BF960" s="141">
        <f ca="1">IFERROR(__xludf.DUMMYFUNCTION("""COMPUTED_VALUE"""),45104)</f>
        <v>45104</v>
      </c>
      <c r="BG960" s="141">
        <f ca="1">IFERROR(__xludf.DUMMYFUNCTION("""COMPUTED_VALUE"""),45653)</f>
        <v>45653</v>
      </c>
      <c r="BH960" s="40" t="str">
        <f ca="1">IFERROR(__xludf.DUMMYFUNCTION("""COMPUTED_VALUE"""),"FICHA EN TIEMPO-18 MESES")</f>
        <v>FICHA EN TIEMPO-18 MESES</v>
      </c>
      <c r="BI960" s="40" t="str">
        <f ca="1">IFERROR(__xludf.DUMMYFUNCTION("""COMPUTED_VALUE"""),"En ejecucion")</f>
        <v>En ejecucion</v>
      </c>
      <c r="BJ960" s="40" t="str">
        <f ca="1">IFERROR(__xludf.DUMMYFUNCTION("""COMPUTED_VALUE"""),"Yamboro")</f>
        <v>Yamboro</v>
      </c>
      <c r="BK960" s="40"/>
      <c r="BL960" s="40"/>
    </row>
    <row r="961" spans="1:64" ht="13">
      <c r="A961" s="40"/>
      <c r="B961" s="40" t="str">
        <f ca="1">IFERROR(__xludf.DUMMYFUNCTION("""COMPUTED_VALUE"""),"FORMACIÓN 18/10/2022")</f>
        <v>FORMACIÓN 18/10/2022</v>
      </c>
      <c r="C961" s="40" t="str">
        <f ca="1">IFERROR(__xludf.DUMMYFUNCTION("""COMPUTED_VALUE"""),"LUIS HECTOR PALACIOS BENAVIDES")</f>
        <v>LUIS HECTOR PALACIOS BENAVIDES</v>
      </c>
      <c r="D961" s="40" t="str">
        <f ca="1">IFERROR(__xludf.DUMMYFUNCTION("""COMPUTED_VALUE"""),"CC")</f>
        <v>CC</v>
      </c>
      <c r="E961" s="40">
        <f ca="1">IFERROR(__xludf.DUMMYFUNCTION("""COMPUTED_VALUE"""),1054146062)</f>
        <v>1054146062</v>
      </c>
      <c r="F961" s="40">
        <f ca="1">IFERROR(__xludf.DUMMYFUNCTION("""COMPUTED_VALUE"""),2348239)</f>
        <v>2348239</v>
      </c>
      <c r="G961" s="40" t="str">
        <f ca="1">IFERROR(__xludf.DUMMYFUNCTION("""COMPUTED_VALUE"""),"TECNÓLOGO")</f>
        <v>TECNÓLOGO</v>
      </c>
      <c r="H961" s="40" t="str">
        <f ca="1">IFERROR(__xludf.DUMMYFUNCTION("""COMPUTED_VALUE"""),"ANALISIS Y DESARROLLO DE SISTEMAS DE INFORMACION")</f>
        <v>ANALISIS Y DESARROLLO DE SISTEMAS DE INFORMACION</v>
      </c>
      <c r="I961" s="40"/>
      <c r="J961" s="40"/>
      <c r="K961" s="40"/>
      <c r="L961" s="40" t="str">
        <f ca="1">IFERROR(__xludf.DUMMYFUNCTION("""COMPUTED_VALUE"""),"NO HA INICIADO ETAPA PRODUCTIVA")</f>
        <v>NO HA INICIADO ETAPA PRODUCTIVA</v>
      </c>
      <c r="M961" s="40"/>
      <c r="N961" s="40"/>
      <c r="O961" s="40"/>
      <c r="P961" s="40"/>
      <c r="Q961" s="40"/>
      <c r="R961" s="140"/>
      <c r="S961" s="140"/>
      <c r="T961" s="40" t="str">
        <f ca="1">IFERROR(__xludf.DUMMYFUNCTION("""COMPUTED_VALUE"""),"debe 11 resultados... Revisado 15/11/2022")</f>
        <v>debe 11 resultados... Revisado 15/11/2022</v>
      </c>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t="str">
        <f ca="1">IFERROR(__xludf.DUMMYFUNCTION("""COMPUTED_VALUE"""),"NO_CUMPLE")</f>
        <v>NO_CUMPLE</v>
      </c>
      <c r="AV961" s="40" t="str">
        <f ca="1">IFERROR(__xludf.DUMMYFUNCTION("""COMPUTED_VALUE"""),"EN FORMACION")</f>
        <v>EN FORMACION</v>
      </c>
      <c r="AW961" s="40" t="str">
        <f ca="1">IFERROR(__xludf.DUMMYFUNCTION("""COMPUTED_VALUE"""),"TIC")</f>
        <v>TIC</v>
      </c>
      <c r="AX961" s="141">
        <f ca="1">IFERROR(__xludf.DUMMYFUNCTION("""COMPUTED_VALUE"""),0)</f>
        <v>0</v>
      </c>
      <c r="AY961" s="40">
        <f ca="1">IFERROR(__xludf.DUMMYFUNCTION("""COMPUTED_VALUE"""),0)</f>
        <v>0</v>
      </c>
      <c r="AZ961" s="40">
        <f ca="1">IFERROR(__xludf.DUMMYFUNCTION("""COMPUTED_VALUE"""),1)</f>
        <v>1</v>
      </c>
      <c r="BA961" s="40">
        <f ca="1">IFERROR(__xludf.DUMMYFUNCTION("""COMPUTED_VALUE"""),2)</f>
        <v>2</v>
      </c>
      <c r="BB961" s="40">
        <f ca="1">IFERROR(__xludf.DUMMYFUNCTION("""COMPUTED_VALUE"""),9)</f>
        <v>9</v>
      </c>
      <c r="BC961" s="40">
        <f ca="1">IFERROR(__xludf.DUMMYFUNCTION("""COMPUTED_VALUE"""),12)</f>
        <v>12</v>
      </c>
      <c r="BD961" s="141">
        <f ca="1">IFERROR(__xludf.DUMMYFUNCTION("""COMPUTED_VALUE"""),44375)</f>
        <v>44375</v>
      </c>
      <c r="BE961" s="141">
        <f ca="1">IFERROR(__xludf.DUMMYFUNCTION("""COMPUTED_VALUE"""),44922)</f>
        <v>44922</v>
      </c>
      <c r="BF961" s="141">
        <f ca="1">IFERROR(__xludf.DUMMYFUNCTION("""COMPUTED_VALUE"""),45104)</f>
        <v>45104</v>
      </c>
      <c r="BG961" s="141">
        <f ca="1">IFERROR(__xludf.DUMMYFUNCTION("""COMPUTED_VALUE"""),45653)</f>
        <v>45653</v>
      </c>
      <c r="BH961" s="40" t="str">
        <f ca="1">IFERROR(__xludf.DUMMYFUNCTION("""COMPUTED_VALUE"""),"FICHA EN TIEMPO-18 MESES")</f>
        <v>FICHA EN TIEMPO-18 MESES</v>
      </c>
      <c r="BI961" s="40" t="str">
        <f ca="1">IFERROR(__xludf.DUMMYFUNCTION("""COMPUTED_VALUE"""),"En ejecucion")</f>
        <v>En ejecucion</v>
      </c>
      <c r="BJ961" s="40" t="str">
        <f ca="1">IFERROR(__xludf.DUMMYFUNCTION("""COMPUTED_VALUE"""),"Yamboro")</f>
        <v>Yamboro</v>
      </c>
      <c r="BK961" s="40"/>
      <c r="BL961" s="40"/>
    </row>
    <row r="962" spans="1:64" ht="13">
      <c r="A962" s="40"/>
      <c r="B962" s="40" t="str">
        <f ca="1">IFERROR(__xludf.DUMMYFUNCTION("""COMPUTED_VALUE"""),"FORMACIÓN 18/10/2022")</f>
        <v>FORMACIÓN 18/10/2022</v>
      </c>
      <c r="C962" s="40" t="str">
        <f ca="1">IFERROR(__xludf.DUMMYFUNCTION("""COMPUTED_VALUE"""),"NAYIBE PAOLA GUTIERREZ CAMACHO")</f>
        <v>NAYIBE PAOLA GUTIERREZ CAMACHO</v>
      </c>
      <c r="D962" s="40" t="str">
        <f ca="1">IFERROR(__xludf.DUMMYFUNCTION("""COMPUTED_VALUE"""),"CC")</f>
        <v>CC</v>
      </c>
      <c r="E962" s="40">
        <f ca="1">IFERROR(__xludf.DUMMYFUNCTION("""COMPUTED_VALUE"""),1061748957)</f>
        <v>1061748957</v>
      </c>
      <c r="F962" s="40">
        <f ca="1">IFERROR(__xludf.DUMMYFUNCTION("""COMPUTED_VALUE"""),2348239)</f>
        <v>2348239</v>
      </c>
      <c r="G962" s="40" t="str">
        <f ca="1">IFERROR(__xludf.DUMMYFUNCTION("""COMPUTED_VALUE"""),"TECNÓLOGO")</f>
        <v>TECNÓLOGO</v>
      </c>
      <c r="H962" s="40" t="str">
        <f ca="1">IFERROR(__xludf.DUMMYFUNCTION("""COMPUTED_VALUE"""),"ANALISIS Y DESARROLLO DE SISTEMAS DE INFORMACION")</f>
        <v>ANALISIS Y DESARROLLO DE SISTEMAS DE INFORMACION</v>
      </c>
      <c r="I962" s="40"/>
      <c r="J962" s="40"/>
      <c r="K962" s="40"/>
      <c r="L962" s="40" t="str">
        <f ca="1">IFERROR(__xludf.DUMMYFUNCTION("""COMPUTED_VALUE"""),"NO HA INICIADO ETAPA PRODUCTIVA")</f>
        <v>NO HA INICIADO ETAPA PRODUCTIVA</v>
      </c>
      <c r="M962" s="40"/>
      <c r="N962" s="40"/>
      <c r="O962" s="40"/>
      <c r="P962" s="40"/>
      <c r="Q962" s="40"/>
      <c r="R962" s="140"/>
      <c r="S962" s="140"/>
      <c r="T962" s="40" t="str">
        <f ca="1">IFERROR(__xludf.DUMMYFUNCTION("""COMPUTED_VALUE"""),"debe 13 resultados... Revisado 15/11/2022")</f>
        <v>debe 13 resultados... Revisado 15/11/2022</v>
      </c>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t="str">
        <f ca="1">IFERROR(__xludf.DUMMYFUNCTION("""COMPUTED_VALUE"""),"NO_CUMPLE")</f>
        <v>NO_CUMPLE</v>
      </c>
      <c r="AV962" s="40" t="str">
        <f ca="1">IFERROR(__xludf.DUMMYFUNCTION("""COMPUTED_VALUE"""),"EN FORMACION")</f>
        <v>EN FORMACION</v>
      </c>
      <c r="AW962" s="40" t="str">
        <f ca="1">IFERROR(__xludf.DUMMYFUNCTION("""COMPUTED_VALUE"""),"TIC")</f>
        <v>TIC</v>
      </c>
      <c r="AX962" s="141">
        <f ca="1">IFERROR(__xludf.DUMMYFUNCTION("""COMPUTED_VALUE"""),1)</f>
        <v>1</v>
      </c>
      <c r="AY962" s="40">
        <f ca="1">IFERROR(__xludf.DUMMYFUNCTION("""COMPUTED_VALUE"""),1)</f>
        <v>1</v>
      </c>
      <c r="AZ962" s="40">
        <f ca="1">IFERROR(__xludf.DUMMYFUNCTION("""COMPUTED_VALUE"""),1)</f>
        <v>1</v>
      </c>
      <c r="BA962" s="40">
        <f ca="1">IFERROR(__xludf.DUMMYFUNCTION("""COMPUTED_VALUE"""),3)</f>
        <v>3</v>
      </c>
      <c r="BB962" s="40">
        <f ca="1">IFERROR(__xludf.DUMMYFUNCTION("""COMPUTED_VALUE"""),9)</f>
        <v>9</v>
      </c>
      <c r="BC962" s="40">
        <f ca="1">IFERROR(__xludf.DUMMYFUNCTION("""COMPUTED_VALUE"""),14)</f>
        <v>14</v>
      </c>
      <c r="BD962" s="141">
        <f ca="1">IFERROR(__xludf.DUMMYFUNCTION("""COMPUTED_VALUE"""),44375)</f>
        <v>44375</v>
      </c>
      <c r="BE962" s="141">
        <f ca="1">IFERROR(__xludf.DUMMYFUNCTION("""COMPUTED_VALUE"""),44922)</f>
        <v>44922</v>
      </c>
      <c r="BF962" s="141">
        <f ca="1">IFERROR(__xludf.DUMMYFUNCTION("""COMPUTED_VALUE"""),45104)</f>
        <v>45104</v>
      </c>
      <c r="BG962" s="141">
        <f ca="1">IFERROR(__xludf.DUMMYFUNCTION("""COMPUTED_VALUE"""),45653)</f>
        <v>45653</v>
      </c>
      <c r="BH962" s="40" t="str">
        <f ca="1">IFERROR(__xludf.DUMMYFUNCTION("""COMPUTED_VALUE"""),"FICHA EN TIEMPO-18 MESES")</f>
        <v>FICHA EN TIEMPO-18 MESES</v>
      </c>
      <c r="BI962" s="40" t="str">
        <f ca="1">IFERROR(__xludf.DUMMYFUNCTION("""COMPUTED_VALUE"""),"En ejecucion")</f>
        <v>En ejecucion</v>
      </c>
      <c r="BJ962" s="40" t="str">
        <f ca="1">IFERROR(__xludf.DUMMYFUNCTION("""COMPUTED_VALUE"""),"Yamboro")</f>
        <v>Yamboro</v>
      </c>
      <c r="BK962" s="40"/>
      <c r="BL962" s="40"/>
    </row>
    <row r="963" spans="1:64" ht="13">
      <c r="A963" s="40"/>
      <c r="B963" s="40" t="str">
        <f ca="1">IFERROR(__xludf.DUMMYFUNCTION("""COMPUTED_VALUE"""),"FORMACIÓN 18/10/2022")</f>
        <v>FORMACIÓN 18/10/2022</v>
      </c>
      <c r="C963" s="40" t="str">
        <f ca="1">IFERROR(__xludf.DUMMYFUNCTION("""COMPUTED_VALUE"""),"JENNY PAOLA RAMIREZ CUELLAR")</f>
        <v>JENNY PAOLA RAMIREZ CUELLAR</v>
      </c>
      <c r="D963" s="40" t="str">
        <f ca="1">IFERROR(__xludf.DUMMYFUNCTION("""COMPUTED_VALUE"""),"CC")</f>
        <v>CC</v>
      </c>
      <c r="E963" s="40">
        <f ca="1">IFERROR(__xludf.DUMMYFUNCTION("""COMPUTED_VALUE"""),1094903804)</f>
        <v>1094903804</v>
      </c>
      <c r="F963" s="40">
        <f ca="1">IFERROR(__xludf.DUMMYFUNCTION("""COMPUTED_VALUE"""),2348239)</f>
        <v>2348239</v>
      </c>
      <c r="G963" s="40" t="str">
        <f ca="1">IFERROR(__xludf.DUMMYFUNCTION("""COMPUTED_VALUE"""),"TECNÓLOGO")</f>
        <v>TECNÓLOGO</v>
      </c>
      <c r="H963" s="40" t="str">
        <f ca="1">IFERROR(__xludf.DUMMYFUNCTION("""COMPUTED_VALUE"""),"ANALISIS Y DESARROLLO DE SISTEMAS DE INFORMACION")</f>
        <v>ANALISIS Y DESARROLLO DE SISTEMAS DE INFORMACION</v>
      </c>
      <c r="I963" s="40"/>
      <c r="J963" s="40"/>
      <c r="K963" s="40"/>
      <c r="L963" s="40" t="str">
        <f ca="1">IFERROR(__xludf.DUMMYFUNCTION("""COMPUTED_VALUE"""),"NO HA INICIADO ETAPA PRODUCTIVA")</f>
        <v>NO HA INICIADO ETAPA PRODUCTIVA</v>
      </c>
      <c r="M963" s="40"/>
      <c r="N963" s="40"/>
      <c r="O963" s="40"/>
      <c r="P963" s="40"/>
      <c r="Q963" s="40"/>
      <c r="R963" s="140"/>
      <c r="S963" s="140"/>
      <c r="T963" s="40" t="str">
        <f ca="1">IFERROR(__xludf.DUMMYFUNCTION("""COMPUTED_VALUE"""),"debe 13 resultados... Revisado 15/11/2022")</f>
        <v>debe 13 resultados... Revisado 15/11/2022</v>
      </c>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t="str">
        <f ca="1">IFERROR(__xludf.DUMMYFUNCTION("""COMPUTED_VALUE"""),"NO_CUMPLE")</f>
        <v>NO_CUMPLE</v>
      </c>
      <c r="AV963" s="40" t="str">
        <f ca="1">IFERROR(__xludf.DUMMYFUNCTION("""COMPUTED_VALUE"""),"EN FORMACION")</f>
        <v>EN FORMACION</v>
      </c>
      <c r="AW963" s="40" t="str">
        <f ca="1">IFERROR(__xludf.DUMMYFUNCTION("""COMPUTED_VALUE"""),"TIC")</f>
        <v>TIC</v>
      </c>
      <c r="AX963" s="141">
        <f ca="1">IFERROR(__xludf.DUMMYFUNCTION("""COMPUTED_VALUE"""),0)</f>
        <v>0</v>
      </c>
      <c r="AY963" s="40">
        <f ca="1">IFERROR(__xludf.DUMMYFUNCTION("""COMPUTED_VALUE"""),0)</f>
        <v>0</v>
      </c>
      <c r="AZ963" s="40">
        <f ca="1">IFERROR(__xludf.DUMMYFUNCTION("""COMPUTED_VALUE"""),1)</f>
        <v>1</v>
      </c>
      <c r="BA963" s="40">
        <f ca="1">IFERROR(__xludf.DUMMYFUNCTION("""COMPUTED_VALUE"""),3)</f>
        <v>3</v>
      </c>
      <c r="BB963" s="40">
        <f ca="1">IFERROR(__xludf.DUMMYFUNCTION("""COMPUTED_VALUE"""),10)</f>
        <v>10</v>
      </c>
      <c r="BC963" s="40">
        <f ca="1">IFERROR(__xludf.DUMMYFUNCTION("""COMPUTED_VALUE"""),14)</f>
        <v>14</v>
      </c>
      <c r="BD963" s="141">
        <f ca="1">IFERROR(__xludf.DUMMYFUNCTION("""COMPUTED_VALUE"""),44375)</f>
        <v>44375</v>
      </c>
      <c r="BE963" s="141">
        <f ca="1">IFERROR(__xludf.DUMMYFUNCTION("""COMPUTED_VALUE"""),44922)</f>
        <v>44922</v>
      </c>
      <c r="BF963" s="141">
        <f ca="1">IFERROR(__xludf.DUMMYFUNCTION("""COMPUTED_VALUE"""),45104)</f>
        <v>45104</v>
      </c>
      <c r="BG963" s="141">
        <f ca="1">IFERROR(__xludf.DUMMYFUNCTION("""COMPUTED_VALUE"""),45653)</f>
        <v>45653</v>
      </c>
      <c r="BH963" s="40" t="str">
        <f ca="1">IFERROR(__xludf.DUMMYFUNCTION("""COMPUTED_VALUE"""),"FICHA EN TIEMPO-18 MESES")</f>
        <v>FICHA EN TIEMPO-18 MESES</v>
      </c>
      <c r="BI963" s="40" t="str">
        <f ca="1">IFERROR(__xludf.DUMMYFUNCTION("""COMPUTED_VALUE"""),"En ejecucion")</f>
        <v>En ejecucion</v>
      </c>
      <c r="BJ963" s="40" t="str">
        <f ca="1">IFERROR(__xludf.DUMMYFUNCTION("""COMPUTED_VALUE"""),"Yamboro")</f>
        <v>Yamboro</v>
      </c>
      <c r="BK963" s="40"/>
      <c r="BL963" s="40"/>
    </row>
    <row r="964" spans="1:64" ht="13">
      <c r="A964" s="40"/>
      <c r="B964" s="40" t="str">
        <f ca="1">IFERROR(__xludf.DUMMYFUNCTION("""COMPUTED_VALUE"""),"FORMACIÓN 18/10/2022")</f>
        <v>FORMACIÓN 18/10/2022</v>
      </c>
      <c r="C964" s="40" t="str">
        <f ca="1">IFERROR(__xludf.DUMMYFUNCTION("""COMPUTED_VALUE"""),"ANYELO DIAZ GIRALDO")</f>
        <v>ANYELO DIAZ GIRALDO</v>
      </c>
      <c r="D964" s="40" t="str">
        <f ca="1">IFERROR(__xludf.DUMMYFUNCTION("""COMPUTED_VALUE"""),"CC")</f>
        <v>CC</v>
      </c>
      <c r="E964" s="40">
        <f ca="1">IFERROR(__xludf.DUMMYFUNCTION("""COMPUTED_VALUE"""),1111198271)</f>
        <v>1111198271</v>
      </c>
      <c r="F964" s="40">
        <f ca="1">IFERROR(__xludf.DUMMYFUNCTION("""COMPUTED_VALUE"""),2348239)</f>
        <v>2348239</v>
      </c>
      <c r="G964" s="40" t="str">
        <f ca="1">IFERROR(__xludf.DUMMYFUNCTION("""COMPUTED_VALUE"""),"TECNÓLOGO")</f>
        <v>TECNÓLOGO</v>
      </c>
      <c r="H964" s="40" t="str">
        <f ca="1">IFERROR(__xludf.DUMMYFUNCTION("""COMPUTED_VALUE"""),"ANALISIS Y DESARROLLO DE SISTEMAS DE INFORMACION")</f>
        <v>ANALISIS Y DESARROLLO DE SISTEMAS DE INFORMACION</v>
      </c>
      <c r="I964" s="40"/>
      <c r="J964" s="40"/>
      <c r="K964" s="40"/>
      <c r="L964" s="40" t="str">
        <f ca="1">IFERROR(__xludf.DUMMYFUNCTION("""COMPUTED_VALUE"""),"NO HA INICIADO ETAPA PRODUCTIVA")</f>
        <v>NO HA INICIADO ETAPA PRODUCTIVA</v>
      </c>
      <c r="M964" s="40"/>
      <c r="N964" s="40"/>
      <c r="O964" s="40"/>
      <c r="P964" s="40"/>
      <c r="Q964" s="40"/>
      <c r="R964" s="140"/>
      <c r="S964" s="140"/>
      <c r="T964" s="40" t="str">
        <f ca="1">IFERROR(__xludf.DUMMYFUNCTION("""COMPUTED_VALUE"""),"debe 11 resultados... Revisado 15/11/2022")</f>
        <v>debe 11 resultados... Revisado 15/11/2022</v>
      </c>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t="str">
        <f ca="1">IFERROR(__xludf.DUMMYFUNCTION("""COMPUTED_VALUE"""),"NO_CUMPLE")</f>
        <v>NO_CUMPLE</v>
      </c>
      <c r="AV964" s="40" t="str">
        <f ca="1">IFERROR(__xludf.DUMMYFUNCTION("""COMPUTED_VALUE"""),"EN FORMACION")</f>
        <v>EN FORMACION</v>
      </c>
      <c r="AW964" s="40" t="str">
        <f ca="1">IFERROR(__xludf.DUMMYFUNCTION("""COMPUTED_VALUE"""),"TIC")</f>
        <v>TIC</v>
      </c>
      <c r="AX964" s="141">
        <f ca="1">IFERROR(__xludf.DUMMYFUNCTION("""COMPUTED_VALUE"""),0)</f>
        <v>0</v>
      </c>
      <c r="AY964" s="40">
        <f ca="1">IFERROR(__xludf.DUMMYFUNCTION("""COMPUTED_VALUE"""),0)</f>
        <v>0</v>
      </c>
      <c r="AZ964" s="40">
        <f ca="1">IFERROR(__xludf.DUMMYFUNCTION("""COMPUTED_VALUE"""),1)</f>
        <v>1</v>
      </c>
      <c r="BA964" s="40">
        <f ca="1">IFERROR(__xludf.DUMMYFUNCTION("""COMPUTED_VALUE"""),2)</f>
        <v>2</v>
      </c>
      <c r="BB964" s="40">
        <f ca="1">IFERROR(__xludf.DUMMYFUNCTION("""COMPUTED_VALUE"""),9)</f>
        <v>9</v>
      </c>
      <c r="BC964" s="40">
        <f ca="1">IFERROR(__xludf.DUMMYFUNCTION("""COMPUTED_VALUE"""),12)</f>
        <v>12</v>
      </c>
      <c r="BD964" s="141">
        <f ca="1">IFERROR(__xludf.DUMMYFUNCTION("""COMPUTED_VALUE"""),44375)</f>
        <v>44375</v>
      </c>
      <c r="BE964" s="141">
        <f ca="1">IFERROR(__xludf.DUMMYFUNCTION("""COMPUTED_VALUE"""),44922)</f>
        <v>44922</v>
      </c>
      <c r="BF964" s="141">
        <f ca="1">IFERROR(__xludf.DUMMYFUNCTION("""COMPUTED_VALUE"""),45104)</f>
        <v>45104</v>
      </c>
      <c r="BG964" s="141">
        <f ca="1">IFERROR(__xludf.DUMMYFUNCTION("""COMPUTED_VALUE"""),45653)</f>
        <v>45653</v>
      </c>
      <c r="BH964" s="40" t="str">
        <f ca="1">IFERROR(__xludf.DUMMYFUNCTION("""COMPUTED_VALUE"""),"FICHA EN TIEMPO-18 MESES")</f>
        <v>FICHA EN TIEMPO-18 MESES</v>
      </c>
      <c r="BI964" s="40" t="str">
        <f ca="1">IFERROR(__xludf.DUMMYFUNCTION("""COMPUTED_VALUE"""),"En ejecucion")</f>
        <v>En ejecucion</v>
      </c>
      <c r="BJ964" s="40" t="str">
        <f ca="1">IFERROR(__xludf.DUMMYFUNCTION("""COMPUTED_VALUE"""),"Yamboro")</f>
        <v>Yamboro</v>
      </c>
      <c r="BK964" s="40"/>
      <c r="BL964" s="40"/>
    </row>
    <row r="965" spans="1:64" ht="13">
      <c r="A965" s="40"/>
      <c r="B965" s="40" t="str">
        <f ca="1">IFERROR(__xludf.DUMMYFUNCTION("""COMPUTED_VALUE"""),"FORMACIÓN 18/10/2022")</f>
        <v>FORMACIÓN 18/10/2022</v>
      </c>
      <c r="C965" s="40" t="str">
        <f ca="1">IFERROR(__xludf.DUMMYFUNCTION("""COMPUTED_VALUE"""),"ANGELA JANNETH MEDINA BERNATE")</f>
        <v>ANGELA JANNETH MEDINA BERNATE</v>
      </c>
      <c r="D965" s="40" t="str">
        <f ca="1">IFERROR(__xludf.DUMMYFUNCTION("""COMPUTED_VALUE"""),"CC")</f>
        <v>CC</v>
      </c>
      <c r="E965" s="40">
        <f ca="1">IFERROR(__xludf.DUMMYFUNCTION("""COMPUTED_VALUE"""),52827955)</f>
        <v>52827955</v>
      </c>
      <c r="F965" s="40">
        <f ca="1">IFERROR(__xludf.DUMMYFUNCTION("""COMPUTED_VALUE"""),2348239)</f>
        <v>2348239</v>
      </c>
      <c r="G965" s="40" t="str">
        <f ca="1">IFERROR(__xludf.DUMMYFUNCTION("""COMPUTED_VALUE"""),"TECNÓLOGO")</f>
        <v>TECNÓLOGO</v>
      </c>
      <c r="H965" s="40" t="str">
        <f ca="1">IFERROR(__xludf.DUMMYFUNCTION("""COMPUTED_VALUE"""),"ANALISIS Y DESARROLLO DE SISTEMAS DE INFORMACION")</f>
        <v>ANALISIS Y DESARROLLO DE SISTEMAS DE INFORMACION</v>
      </c>
      <c r="I965" s="40"/>
      <c r="J965" s="40"/>
      <c r="K965" s="40"/>
      <c r="L965" s="40" t="str">
        <f ca="1">IFERROR(__xludf.DUMMYFUNCTION("""COMPUTED_VALUE"""),"NO HA INICIADO ETAPA PRODUCTIVA")</f>
        <v>NO HA INICIADO ETAPA PRODUCTIVA</v>
      </c>
      <c r="M965" s="40"/>
      <c r="N965" s="40"/>
      <c r="O965" s="40"/>
      <c r="P965" s="40"/>
      <c r="Q965" s="40"/>
      <c r="R965" s="140"/>
      <c r="S965" s="140"/>
      <c r="T965" s="40" t="str">
        <f ca="1">IFERROR(__xludf.DUMMYFUNCTION("""COMPUTED_VALUE"""),"debe 11 resultados... Revisado 15/11/2022")</f>
        <v>debe 11 resultados... Revisado 15/11/2022</v>
      </c>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t="str">
        <f ca="1">IFERROR(__xludf.DUMMYFUNCTION("""COMPUTED_VALUE"""),"NO_CUMPLE")</f>
        <v>NO_CUMPLE</v>
      </c>
      <c r="AV965" s="40" t="str">
        <f ca="1">IFERROR(__xludf.DUMMYFUNCTION("""COMPUTED_VALUE"""),"EN FORMACION")</f>
        <v>EN FORMACION</v>
      </c>
      <c r="AW965" s="40" t="str">
        <f ca="1">IFERROR(__xludf.DUMMYFUNCTION("""COMPUTED_VALUE"""),"TIC")</f>
        <v>TIC</v>
      </c>
      <c r="AX965" s="141">
        <f ca="1">IFERROR(__xludf.DUMMYFUNCTION("""COMPUTED_VALUE"""),0)</f>
        <v>0</v>
      </c>
      <c r="AY965" s="40">
        <f ca="1">IFERROR(__xludf.DUMMYFUNCTION("""COMPUTED_VALUE"""),0)</f>
        <v>0</v>
      </c>
      <c r="AZ965" s="40">
        <f ca="1">IFERROR(__xludf.DUMMYFUNCTION("""COMPUTED_VALUE"""),1)</f>
        <v>1</v>
      </c>
      <c r="BA965" s="40">
        <f ca="1">IFERROR(__xludf.DUMMYFUNCTION("""COMPUTED_VALUE"""),2)</f>
        <v>2</v>
      </c>
      <c r="BB965" s="40">
        <f ca="1">IFERROR(__xludf.DUMMYFUNCTION("""COMPUTED_VALUE"""),9)</f>
        <v>9</v>
      </c>
      <c r="BC965" s="40">
        <f ca="1">IFERROR(__xludf.DUMMYFUNCTION("""COMPUTED_VALUE"""),12)</f>
        <v>12</v>
      </c>
      <c r="BD965" s="141">
        <f ca="1">IFERROR(__xludf.DUMMYFUNCTION("""COMPUTED_VALUE"""),44375)</f>
        <v>44375</v>
      </c>
      <c r="BE965" s="141">
        <f ca="1">IFERROR(__xludf.DUMMYFUNCTION("""COMPUTED_VALUE"""),44922)</f>
        <v>44922</v>
      </c>
      <c r="BF965" s="141">
        <f ca="1">IFERROR(__xludf.DUMMYFUNCTION("""COMPUTED_VALUE"""),45104)</f>
        <v>45104</v>
      </c>
      <c r="BG965" s="141">
        <f ca="1">IFERROR(__xludf.DUMMYFUNCTION("""COMPUTED_VALUE"""),45653)</f>
        <v>45653</v>
      </c>
      <c r="BH965" s="40" t="str">
        <f ca="1">IFERROR(__xludf.DUMMYFUNCTION("""COMPUTED_VALUE"""),"FICHA EN TIEMPO-18 MESES")</f>
        <v>FICHA EN TIEMPO-18 MESES</v>
      </c>
      <c r="BI965" s="40" t="str">
        <f ca="1">IFERROR(__xludf.DUMMYFUNCTION("""COMPUTED_VALUE"""),"En ejecucion")</f>
        <v>En ejecucion</v>
      </c>
      <c r="BJ965" s="40" t="str">
        <f ca="1">IFERROR(__xludf.DUMMYFUNCTION("""COMPUTED_VALUE"""),"Yamboro")</f>
        <v>Yamboro</v>
      </c>
      <c r="BK965" s="40"/>
      <c r="BL965" s="40"/>
    </row>
    <row r="966" spans="1:64" ht="13">
      <c r="A966" s="40"/>
      <c r="B966" s="40" t="str">
        <f ca="1">IFERROR(__xludf.DUMMYFUNCTION("""COMPUTED_VALUE"""),"CONDICIONADO 18/10/2022")</f>
        <v>CONDICIONADO 18/10/2022</v>
      </c>
      <c r="C966" s="40" t="str">
        <f ca="1">IFERROR(__xludf.DUMMYFUNCTION("""COMPUTED_VALUE"""),"JORGE ALEJANDRO ALVAREZ RESTREPO")</f>
        <v>JORGE ALEJANDRO ALVAREZ RESTREPO</v>
      </c>
      <c r="D966" s="40" t="str">
        <f ca="1">IFERROR(__xludf.DUMMYFUNCTION("""COMPUTED_VALUE"""),"CC")</f>
        <v>CC</v>
      </c>
      <c r="E966" s="40">
        <f ca="1">IFERROR(__xludf.DUMMYFUNCTION("""COMPUTED_VALUE"""),71336630)</f>
        <v>71336630</v>
      </c>
      <c r="F966" s="40">
        <f ca="1">IFERROR(__xludf.DUMMYFUNCTION("""COMPUTED_VALUE"""),2348239)</f>
        <v>2348239</v>
      </c>
      <c r="G966" s="40" t="str">
        <f ca="1">IFERROR(__xludf.DUMMYFUNCTION("""COMPUTED_VALUE"""),"TECNÓLOGO")</f>
        <v>TECNÓLOGO</v>
      </c>
      <c r="H966" s="40" t="str">
        <f ca="1">IFERROR(__xludf.DUMMYFUNCTION("""COMPUTED_VALUE"""),"ANALISIS Y DESARROLLO DE SISTEMAS DE INFORMACION")</f>
        <v>ANALISIS Y DESARROLLO DE SISTEMAS DE INFORMACION</v>
      </c>
      <c r="I966" s="40"/>
      <c r="J966" s="40"/>
      <c r="K966" s="40"/>
      <c r="L966" s="40" t="str">
        <f ca="1">IFERROR(__xludf.DUMMYFUNCTION("""COMPUTED_VALUE"""),"NO HA INICIADO ETAPA PRODUCTIVA")</f>
        <v>NO HA INICIADO ETAPA PRODUCTIVA</v>
      </c>
      <c r="M966" s="40"/>
      <c r="N966" s="40"/>
      <c r="O966" s="40"/>
      <c r="P966" s="40"/>
      <c r="Q966" s="40"/>
      <c r="R966" s="140"/>
      <c r="S966" s="140"/>
      <c r="T966" s="40" t="str">
        <f ca="1">IFERROR(__xludf.DUMMYFUNCTION("""COMPUTED_VALUE"""),"debe 22 resultados... Revisado 15/11/2022")</f>
        <v>debe 22 resultados... Revisado 15/11/2022</v>
      </c>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t="str">
        <f ca="1">IFERROR(__xludf.DUMMYFUNCTION("""COMPUTED_VALUE"""),"NO_CUMPLE")</f>
        <v>NO_CUMPLE</v>
      </c>
      <c r="AV966" s="40" t="str">
        <f ca="1">IFERROR(__xludf.DUMMYFUNCTION("""COMPUTED_VALUE"""),"EN FORMACION")</f>
        <v>EN FORMACION</v>
      </c>
      <c r="AW966" s="40" t="str">
        <f ca="1">IFERROR(__xludf.DUMMYFUNCTION("""COMPUTED_VALUE"""),"TIC")</f>
        <v>TIC</v>
      </c>
      <c r="AX966" s="141">
        <f ca="1">IFERROR(__xludf.DUMMYFUNCTION("""COMPUTED_VALUE"""),2)</f>
        <v>2</v>
      </c>
      <c r="AY966" s="40">
        <f ca="1">IFERROR(__xludf.DUMMYFUNCTION("""COMPUTED_VALUE"""),2)</f>
        <v>2</v>
      </c>
      <c r="AZ966" s="40">
        <f ca="1">IFERROR(__xludf.DUMMYFUNCTION("""COMPUTED_VALUE"""),1)</f>
        <v>1</v>
      </c>
      <c r="BA966" s="40">
        <f ca="1">IFERROR(__xludf.DUMMYFUNCTION("""COMPUTED_VALUE"""),6)</f>
        <v>6</v>
      </c>
      <c r="BB966" s="40">
        <f ca="1">IFERROR(__xludf.DUMMYFUNCTION("""COMPUTED_VALUE"""),14)</f>
        <v>14</v>
      </c>
      <c r="BC966" s="40">
        <f ca="1">IFERROR(__xludf.DUMMYFUNCTION("""COMPUTED_VALUE"""),23)</f>
        <v>23</v>
      </c>
      <c r="BD966" s="141">
        <f ca="1">IFERROR(__xludf.DUMMYFUNCTION("""COMPUTED_VALUE"""),44375)</f>
        <v>44375</v>
      </c>
      <c r="BE966" s="141">
        <f ca="1">IFERROR(__xludf.DUMMYFUNCTION("""COMPUTED_VALUE"""),44922)</f>
        <v>44922</v>
      </c>
      <c r="BF966" s="141">
        <f ca="1">IFERROR(__xludf.DUMMYFUNCTION("""COMPUTED_VALUE"""),45104)</f>
        <v>45104</v>
      </c>
      <c r="BG966" s="141">
        <f ca="1">IFERROR(__xludf.DUMMYFUNCTION("""COMPUTED_VALUE"""),45653)</f>
        <v>45653</v>
      </c>
      <c r="BH966" s="40" t="str">
        <f ca="1">IFERROR(__xludf.DUMMYFUNCTION("""COMPUTED_VALUE"""),"FICHA EN TIEMPO-18 MESES")</f>
        <v>FICHA EN TIEMPO-18 MESES</v>
      </c>
      <c r="BI966" s="40" t="str">
        <f ca="1">IFERROR(__xludf.DUMMYFUNCTION("""COMPUTED_VALUE"""),"En ejecucion")</f>
        <v>En ejecucion</v>
      </c>
      <c r="BJ966" s="40" t="str">
        <f ca="1">IFERROR(__xludf.DUMMYFUNCTION("""COMPUTED_VALUE"""),"Yamboro")</f>
        <v>Yamboro</v>
      </c>
      <c r="BK966" s="40"/>
      <c r="BL966" s="40"/>
    </row>
    <row r="967" spans="1:64" ht="13">
      <c r="A967" s="40"/>
      <c r="B967" s="40" t="str">
        <f ca="1">IFERROR(__xludf.DUMMYFUNCTION("""COMPUTED_VALUE"""),"CONDICIONADO 18/10/2022")</f>
        <v>CONDICIONADO 18/10/2022</v>
      </c>
      <c r="C967" s="40" t="str">
        <f ca="1">IFERROR(__xludf.DUMMYFUNCTION("""COMPUTED_VALUE"""),"VICTOR HUGO GOMEZ MORENO")</f>
        <v>VICTOR HUGO GOMEZ MORENO</v>
      </c>
      <c r="D967" s="40" t="str">
        <f ca="1">IFERROR(__xludf.DUMMYFUNCTION("""COMPUTED_VALUE"""),"CC")</f>
        <v>CC</v>
      </c>
      <c r="E967" s="40">
        <f ca="1">IFERROR(__xludf.DUMMYFUNCTION("""COMPUTED_VALUE"""),75104316)</f>
        <v>75104316</v>
      </c>
      <c r="F967" s="40">
        <f ca="1">IFERROR(__xludf.DUMMYFUNCTION("""COMPUTED_VALUE"""),2348239)</f>
        <v>2348239</v>
      </c>
      <c r="G967" s="40" t="str">
        <f ca="1">IFERROR(__xludf.DUMMYFUNCTION("""COMPUTED_VALUE"""),"TECNÓLOGO")</f>
        <v>TECNÓLOGO</v>
      </c>
      <c r="H967" s="40" t="str">
        <f ca="1">IFERROR(__xludf.DUMMYFUNCTION("""COMPUTED_VALUE"""),"ANALISIS Y DESARROLLO DE SISTEMAS DE INFORMACION")</f>
        <v>ANALISIS Y DESARROLLO DE SISTEMAS DE INFORMACION</v>
      </c>
      <c r="I967" s="40"/>
      <c r="J967" s="40"/>
      <c r="K967" s="40"/>
      <c r="L967" s="40" t="str">
        <f ca="1">IFERROR(__xludf.DUMMYFUNCTION("""COMPUTED_VALUE"""),"NO HA INICIADO ETAPA PRODUCTIVA")</f>
        <v>NO HA INICIADO ETAPA PRODUCTIVA</v>
      </c>
      <c r="M967" s="40"/>
      <c r="N967" s="40"/>
      <c r="O967" s="40"/>
      <c r="P967" s="40"/>
      <c r="Q967" s="40"/>
      <c r="R967" s="140"/>
      <c r="S967" s="140"/>
      <c r="T967" s="40" t="str">
        <f ca="1">IFERROR(__xludf.DUMMYFUNCTION("""COMPUTED_VALUE"""),"debe 25 resultados... Revisado 15/11/2022")</f>
        <v>debe 25 resultados... Revisado 15/11/2022</v>
      </c>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t="str">
        <f ca="1">IFERROR(__xludf.DUMMYFUNCTION("""COMPUTED_VALUE"""),"NO_CUMPLE")</f>
        <v>NO_CUMPLE</v>
      </c>
      <c r="AV967" s="40" t="str">
        <f ca="1">IFERROR(__xludf.DUMMYFUNCTION("""COMPUTED_VALUE"""),"EN FORMACION")</f>
        <v>EN FORMACION</v>
      </c>
      <c r="AW967" s="40" t="str">
        <f ca="1">IFERROR(__xludf.DUMMYFUNCTION("""COMPUTED_VALUE"""),"TIC")</f>
        <v>TIC</v>
      </c>
      <c r="AX967" s="141">
        <f ca="1">IFERROR(__xludf.DUMMYFUNCTION("""COMPUTED_VALUE"""),1)</f>
        <v>1</v>
      </c>
      <c r="AY967" s="40">
        <f ca="1">IFERROR(__xludf.DUMMYFUNCTION("""COMPUTED_VALUE"""),1)</f>
        <v>1</v>
      </c>
      <c r="AZ967" s="40">
        <f ca="1">IFERROR(__xludf.DUMMYFUNCTION("""COMPUTED_VALUE"""),1)</f>
        <v>1</v>
      </c>
      <c r="BA967" s="40">
        <f ca="1">IFERROR(__xludf.DUMMYFUNCTION("""COMPUTED_VALUE"""),7)</f>
        <v>7</v>
      </c>
      <c r="BB967" s="40">
        <f ca="1">IFERROR(__xludf.DUMMYFUNCTION("""COMPUTED_VALUE"""),17)</f>
        <v>17</v>
      </c>
      <c r="BC967" s="40">
        <f ca="1">IFERROR(__xludf.DUMMYFUNCTION("""COMPUTED_VALUE"""),26)</f>
        <v>26</v>
      </c>
      <c r="BD967" s="141">
        <f ca="1">IFERROR(__xludf.DUMMYFUNCTION("""COMPUTED_VALUE"""),44375)</f>
        <v>44375</v>
      </c>
      <c r="BE967" s="141">
        <f ca="1">IFERROR(__xludf.DUMMYFUNCTION("""COMPUTED_VALUE"""),44922)</f>
        <v>44922</v>
      </c>
      <c r="BF967" s="141">
        <f ca="1">IFERROR(__xludf.DUMMYFUNCTION("""COMPUTED_VALUE"""),45104)</f>
        <v>45104</v>
      </c>
      <c r="BG967" s="141">
        <f ca="1">IFERROR(__xludf.DUMMYFUNCTION("""COMPUTED_VALUE"""),45653)</f>
        <v>45653</v>
      </c>
      <c r="BH967" s="40" t="str">
        <f ca="1">IFERROR(__xludf.DUMMYFUNCTION("""COMPUTED_VALUE"""),"FICHA EN TIEMPO-18 MESES")</f>
        <v>FICHA EN TIEMPO-18 MESES</v>
      </c>
      <c r="BI967" s="40" t="str">
        <f ca="1">IFERROR(__xludf.DUMMYFUNCTION("""COMPUTED_VALUE"""),"En ejecucion")</f>
        <v>En ejecucion</v>
      </c>
      <c r="BJ967" s="40" t="str">
        <f ca="1">IFERROR(__xludf.DUMMYFUNCTION("""COMPUTED_VALUE"""),"Yamboro")</f>
        <v>Yamboro</v>
      </c>
      <c r="BK967" s="40"/>
      <c r="BL967" s="40"/>
    </row>
    <row r="968" spans="1:64" ht="13">
      <c r="A968" s="40"/>
      <c r="B968" s="40" t="str">
        <f ca="1">IFERROR(__xludf.DUMMYFUNCTION("""COMPUTED_VALUE"""),"FORMACIÓN 18/10/2022")</f>
        <v>FORMACIÓN 18/10/2022</v>
      </c>
      <c r="C968" s="40" t="str">
        <f ca="1">IFERROR(__xludf.DUMMYFUNCTION("""COMPUTED_VALUE"""),"ORLANDO GAMBA")</f>
        <v>ORLANDO GAMBA</v>
      </c>
      <c r="D968" s="40" t="str">
        <f ca="1">IFERROR(__xludf.DUMMYFUNCTION("""COMPUTED_VALUE"""),"CC")</f>
        <v>CC</v>
      </c>
      <c r="E968" s="40">
        <f ca="1">IFERROR(__xludf.DUMMYFUNCTION("""COMPUTED_VALUE"""),79644685)</f>
        <v>79644685</v>
      </c>
      <c r="F968" s="40">
        <f ca="1">IFERROR(__xludf.DUMMYFUNCTION("""COMPUTED_VALUE"""),2348239)</f>
        <v>2348239</v>
      </c>
      <c r="G968" s="40" t="str">
        <f ca="1">IFERROR(__xludf.DUMMYFUNCTION("""COMPUTED_VALUE"""),"TECNÓLOGO")</f>
        <v>TECNÓLOGO</v>
      </c>
      <c r="H968" s="40" t="str">
        <f ca="1">IFERROR(__xludf.DUMMYFUNCTION("""COMPUTED_VALUE"""),"ANALISIS Y DESARROLLO DE SISTEMAS DE INFORMACION")</f>
        <v>ANALISIS Y DESARROLLO DE SISTEMAS DE INFORMACION</v>
      </c>
      <c r="I968" s="40"/>
      <c r="J968" s="40"/>
      <c r="K968" s="40"/>
      <c r="L968" s="40" t="str">
        <f ca="1">IFERROR(__xludf.DUMMYFUNCTION("""COMPUTED_VALUE"""),"NO HA INICIADO ETAPA PRODUCTIVA")</f>
        <v>NO HA INICIADO ETAPA PRODUCTIVA</v>
      </c>
      <c r="M968" s="40"/>
      <c r="N968" s="40"/>
      <c r="O968" s="40"/>
      <c r="P968" s="40"/>
      <c r="Q968" s="40"/>
      <c r="R968" s="140"/>
      <c r="S968" s="140"/>
      <c r="T968" s="40" t="str">
        <f ca="1">IFERROR(__xludf.DUMMYFUNCTION("""COMPUTED_VALUE"""),"debe 10 resultados... Revisado 15/11/2022")</f>
        <v>debe 10 resultados... Revisado 15/11/2022</v>
      </c>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t="str">
        <f ca="1">IFERROR(__xludf.DUMMYFUNCTION("""COMPUTED_VALUE"""),"NO_CUMPLE")</f>
        <v>NO_CUMPLE</v>
      </c>
      <c r="AV968" s="40" t="str">
        <f ca="1">IFERROR(__xludf.DUMMYFUNCTION("""COMPUTED_VALUE"""),"EN FORMACION")</f>
        <v>EN FORMACION</v>
      </c>
      <c r="AW968" s="40" t="str">
        <f ca="1">IFERROR(__xludf.DUMMYFUNCTION("""COMPUTED_VALUE"""),"TIC")</f>
        <v>TIC</v>
      </c>
      <c r="AX968" s="141">
        <f ca="1">IFERROR(__xludf.DUMMYFUNCTION("""COMPUTED_VALUE"""),0)</f>
        <v>0</v>
      </c>
      <c r="AY968" s="40">
        <f ca="1">IFERROR(__xludf.DUMMYFUNCTION("""COMPUTED_VALUE"""),0)</f>
        <v>0</v>
      </c>
      <c r="AZ968" s="40">
        <f ca="1">IFERROR(__xludf.DUMMYFUNCTION("""COMPUTED_VALUE"""),1)</f>
        <v>1</v>
      </c>
      <c r="BA968" s="40">
        <f ca="1">IFERROR(__xludf.DUMMYFUNCTION("""COMPUTED_VALUE"""),2)</f>
        <v>2</v>
      </c>
      <c r="BB968" s="40">
        <f ca="1">IFERROR(__xludf.DUMMYFUNCTION("""COMPUTED_VALUE"""),8)</f>
        <v>8</v>
      </c>
      <c r="BC968" s="40">
        <f ca="1">IFERROR(__xludf.DUMMYFUNCTION("""COMPUTED_VALUE"""),11)</f>
        <v>11</v>
      </c>
      <c r="BD968" s="141">
        <f ca="1">IFERROR(__xludf.DUMMYFUNCTION("""COMPUTED_VALUE"""),44375)</f>
        <v>44375</v>
      </c>
      <c r="BE968" s="141">
        <f ca="1">IFERROR(__xludf.DUMMYFUNCTION("""COMPUTED_VALUE"""),44922)</f>
        <v>44922</v>
      </c>
      <c r="BF968" s="141">
        <f ca="1">IFERROR(__xludf.DUMMYFUNCTION("""COMPUTED_VALUE"""),45104)</f>
        <v>45104</v>
      </c>
      <c r="BG968" s="141">
        <f ca="1">IFERROR(__xludf.DUMMYFUNCTION("""COMPUTED_VALUE"""),45653)</f>
        <v>45653</v>
      </c>
      <c r="BH968" s="40" t="str">
        <f ca="1">IFERROR(__xludf.DUMMYFUNCTION("""COMPUTED_VALUE"""),"FICHA EN TIEMPO-18 MESES")</f>
        <v>FICHA EN TIEMPO-18 MESES</v>
      </c>
      <c r="BI968" s="40" t="str">
        <f ca="1">IFERROR(__xludf.DUMMYFUNCTION("""COMPUTED_VALUE"""),"En ejecucion")</f>
        <v>En ejecucion</v>
      </c>
      <c r="BJ968" s="40" t="str">
        <f ca="1">IFERROR(__xludf.DUMMYFUNCTION("""COMPUTED_VALUE"""),"Yamboro")</f>
        <v>Yamboro</v>
      </c>
      <c r="BK968" s="40"/>
      <c r="BL968" s="40"/>
    </row>
    <row r="969" spans="1:64" ht="13">
      <c r="A969" s="40"/>
      <c r="B969" s="40" t="str">
        <f ca="1">IFERROR(__xludf.DUMMYFUNCTION("""COMPUTED_VALUE"""),"FORMACIÓN 18/10/2022")</f>
        <v>FORMACIÓN 18/10/2022</v>
      </c>
      <c r="C969" s="40" t="str">
        <f ca="1">IFERROR(__xludf.DUMMYFUNCTION("""COMPUTED_VALUE"""),"ALEJANDRO SERNA CALLE")</f>
        <v>ALEJANDRO SERNA CALLE</v>
      </c>
      <c r="D969" s="40" t="str">
        <f ca="1">IFERROR(__xludf.DUMMYFUNCTION("""COMPUTED_VALUE"""),"CC")</f>
        <v>CC</v>
      </c>
      <c r="E969" s="40">
        <f ca="1">IFERROR(__xludf.DUMMYFUNCTION("""COMPUTED_VALUE"""),94463943)</f>
        <v>94463943</v>
      </c>
      <c r="F969" s="40">
        <f ca="1">IFERROR(__xludf.DUMMYFUNCTION("""COMPUTED_VALUE"""),2348239)</f>
        <v>2348239</v>
      </c>
      <c r="G969" s="40" t="str">
        <f ca="1">IFERROR(__xludf.DUMMYFUNCTION("""COMPUTED_VALUE"""),"TECNÓLOGO")</f>
        <v>TECNÓLOGO</v>
      </c>
      <c r="H969" s="40" t="str">
        <f ca="1">IFERROR(__xludf.DUMMYFUNCTION("""COMPUTED_VALUE"""),"ANALISIS Y DESARROLLO DE SISTEMAS DE INFORMACION")</f>
        <v>ANALISIS Y DESARROLLO DE SISTEMAS DE INFORMACION</v>
      </c>
      <c r="I969" s="40"/>
      <c r="J969" s="40"/>
      <c r="K969" s="40"/>
      <c r="L969" s="40" t="str">
        <f ca="1">IFERROR(__xludf.DUMMYFUNCTION("""COMPUTED_VALUE"""),"NO HA INICIADO ETAPA PRODUCTIVA")</f>
        <v>NO HA INICIADO ETAPA PRODUCTIVA</v>
      </c>
      <c r="M969" s="40"/>
      <c r="N969" s="40"/>
      <c r="O969" s="40"/>
      <c r="P969" s="40"/>
      <c r="Q969" s="40"/>
      <c r="R969" s="140"/>
      <c r="S969" s="140"/>
      <c r="T969" s="40" t="str">
        <f ca="1">IFERROR(__xludf.DUMMYFUNCTION("""COMPUTED_VALUE"""),"debe 11 resultados... Revisado 15/11/2022")</f>
        <v>debe 11 resultados... Revisado 15/11/2022</v>
      </c>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t="str">
        <f ca="1">IFERROR(__xludf.DUMMYFUNCTION("""COMPUTED_VALUE"""),"NO_CUMPLE")</f>
        <v>NO_CUMPLE</v>
      </c>
      <c r="AV969" s="40" t="str">
        <f ca="1">IFERROR(__xludf.DUMMYFUNCTION("""COMPUTED_VALUE"""),"EN FORMACION")</f>
        <v>EN FORMACION</v>
      </c>
      <c r="AW969" s="40" t="str">
        <f ca="1">IFERROR(__xludf.DUMMYFUNCTION("""COMPUTED_VALUE"""),"TIC")</f>
        <v>TIC</v>
      </c>
      <c r="AX969" s="141">
        <f ca="1">IFERROR(__xludf.DUMMYFUNCTION("""COMPUTED_VALUE"""),0)</f>
        <v>0</v>
      </c>
      <c r="AY969" s="40">
        <f ca="1">IFERROR(__xludf.DUMMYFUNCTION("""COMPUTED_VALUE"""),0)</f>
        <v>0</v>
      </c>
      <c r="AZ969" s="40">
        <f ca="1">IFERROR(__xludf.DUMMYFUNCTION("""COMPUTED_VALUE"""),1)</f>
        <v>1</v>
      </c>
      <c r="BA969" s="40">
        <f ca="1">IFERROR(__xludf.DUMMYFUNCTION("""COMPUTED_VALUE"""),2)</f>
        <v>2</v>
      </c>
      <c r="BB969" s="40">
        <f ca="1">IFERROR(__xludf.DUMMYFUNCTION("""COMPUTED_VALUE"""),9)</f>
        <v>9</v>
      </c>
      <c r="BC969" s="40">
        <f ca="1">IFERROR(__xludf.DUMMYFUNCTION("""COMPUTED_VALUE"""),12)</f>
        <v>12</v>
      </c>
      <c r="BD969" s="141">
        <f ca="1">IFERROR(__xludf.DUMMYFUNCTION("""COMPUTED_VALUE"""),44375)</f>
        <v>44375</v>
      </c>
      <c r="BE969" s="141">
        <f ca="1">IFERROR(__xludf.DUMMYFUNCTION("""COMPUTED_VALUE"""),44922)</f>
        <v>44922</v>
      </c>
      <c r="BF969" s="141">
        <f ca="1">IFERROR(__xludf.DUMMYFUNCTION("""COMPUTED_VALUE"""),45104)</f>
        <v>45104</v>
      </c>
      <c r="BG969" s="141">
        <f ca="1">IFERROR(__xludf.DUMMYFUNCTION("""COMPUTED_VALUE"""),45653)</f>
        <v>45653</v>
      </c>
      <c r="BH969" s="40" t="str">
        <f ca="1">IFERROR(__xludf.DUMMYFUNCTION("""COMPUTED_VALUE"""),"FICHA EN TIEMPO-18 MESES")</f>
        <v>FICHA EN TIEMPO-18 MESES</v>
      </c>
      <c r="BI969" s="40" t="str">
        <f ca="1">IFERROR(__xludf.DUMMYFUNCTION("""COMPUTED_VALUE"""),"En ejecucion")</f>
        <v>En ejecucion</v>
      </c>
      <c r="BJ969" s="40" t="str">
        <f ca="1">IFERROR(__xludf.DUMMYFUNCTION("""COMPUTED_VALUE"""),"Yamboro")</f>
        <v>Yamboro</v>
      </c>
      <c r="BK969" s="40"/>
      <c r="BL969" s="40"/>
    </row>
    <row r="970" spans="1:64" ht="13">
      <c r="A970" s="40"/>
      <c r="B970" s="40" t="str">
        <f ca="1">IFERROR(__xludf.DUMMYFUNCTION("""COMPUTED_VALUE"""),"FORMACIÓN 18/10/2022")</f>
        <v>FORMACIÓN 18/10/2022</v>
      </c>
      <c r="C970" s="40" t="str">
        <f ca="1">IFERROR(__xludf.DUMMYFUNCTION("""COMPUTED_VALUE"""),"JUAN ESTEBAN SARMIENTO ARDILA")</f>
        <v>JUAN ESTEBAN SARMIENTO ARDILA</v>
      </c>
      <c r="D970" s="40" t="str">
        <f ca="1">IFERROR(__xludf.DUMMYFUNCTION("""COMPUTED_VALUE"""),"DNI")</f>
        <v>DNI</v>
      </c>
      <c r="E970" s="40">
        <f ca="1">IFERROR(__xludf.DUMMYFUNCTION("""COMPUTED_VALUE"""),1000184896)</f>
        <v>1000184896</v>
      </c>
      <c r="F970" s="40">
        <f ca="1">IFERROR(__xludf.DUMMYFUNCTION("""COMPUTED_VALUE"""),2348486)</f>
        <v>2348486</v>
      </c>
      <c r="G970" s="40" t="str">
        <f ca="1">IFERROR(__xludf.DUMMYFUNCTION("""COMPUTED_VALUE"""),"TECNÓLOGO")</f>
        <v>TECNÓLOGO</v>
      </c>
      <c r="H970" s="40" t="str">
        <f ca="1">IFERROR(__xludf.DUMMYFUNCTION("""COMPUTED_VALUE"""),"ANALISIS Y DESARROLLO DE SISTEMAS DE INFORMACION")</f>
        <v>ANALISIS Y DESARROLLO DE SISTEMAS DE INFORMACION</v>
      </c>
      <c r="I970" s="40"/>
      <c r="J970" s="40"/>
      <c r="K970" s="40"/>
      <c r="L970" s="40" t="str">
        <f ca="1">IFERROR(__xludf.DUMMYFUNCTION("""COMPUTED_VALUE"""),"NO HA INICIADO ETAPA PRODUCTIVA")</f>
        <v>NO HA INICIADO ETAPA PRODUCTIVA</v>
      </c>
      <c r="M970" s="40"/>
      <c r="N970" s="40"/>
      <c r="O970" s="40"/>
      <c r="P970" s="40"/>
      <c r="Q970" s="40"/>
      <c r="R970" s="140"/>
      <c r="S970" s="140"/>
      <c r="T970" s="40" t="str">
        <f ca="1">IFERROR(__xludf.DUMMYFUNCTION("""COMPUTED_VALUE"""),"debe 50 resultados... Revisado 15/11/2022")</f>
        <v>debe 50 resultados... Revisado 15/11/2022</v>
      </c>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t="str">
        <f ca="1">IFERROR(__xludf.DUMMYFUNCTION("""COMPUTED_VALUE"""),"NO_CUMPLE")</f>
        <v>NO_CUMPLE</v>
      </c>
      <c r="AV970" s="40" t="str">
        <f ca="1">IFERROR(__xludf.DUMMYFUNCTION("""COMPUTED_VALUE"""),"EN FORMACION")</f>
        <v>EN FORMACION</v>
      </c>
      <c r="AW970" s="40" t="str">
        <f ca="1">IFERROR(__xludf.DUMMYFUNCTION("""COMPUTED_VALUE"""),"TIC")</f>
        <v>TIC</v>
      </c>
      <c r="AX970" s="141">
        <f ca="1">IFERROR(__xludf.DUMMYFUNCTION("""COMPUTED_VALUE"""),8)</f>
        <v>8</v>
      </c>
      <c r="AY970" s="40">
        <f ca="1">IFERROR(__xludf.DUMMYFUNCTION("""COMPUTED_VALUE"""),8)</f>
        <v>8</v>
      </c>
      <c r="AZ970" s="40">
        <f ca="1">IFERROR(__xludf.DUMMYFUNCTION("""COMPUTED_VALUE"""),1)</f>
        <v>1</v>
      </c>
      <c r="BA970" s="40">
        <f ca="1">IFERROR(__xludf.DUMMYFUNCTION("""COMPUTED_VALUE"""),14)</f>
        <v>14</v>
      </c>
      <c r="BB970" s="40">
        <f ca="1">IFERROR(__xludf.DUMMYFUNCTION("""COMPUTED_VALUE"""),28)</f>
        <v>28</v>
      </c>
      <c r="BC970" s="40">
        <f ca="1">IFERROR(__xludf.DUMMYFUNCTION("""COMPUTED_VALUE"""),51)</f>
        <v>51</v>
      </c>
      <c r="BD970" s="141">
        <f ca="1">IFERROR(__xludf.DUMMYFUNCTION("""COMPUTED_VALUE"""),44375)</f>
        <v>44375</v>
      </c>
      <c r="BE970" s="141">
        <f ca="1">IFERROR(__xludf.DUMMYFUNCTION("""COMPUTED_VALUE"""),44922)</f>
        <v>44922</v>
      </c>
      <c r="BF970" s="141">
        <f ca="1">IFERROR(__xludf.DUMMYFUNCTION("""COMPUTED_VALUE"""),45104)</f>
        <v>45104</v>
      </c>
      <c r="BG970" s="141">
        <f ca="1">IFERROR(__xludf.DUMMYFUNCTION("""COMPUTED_VALUE"""),45653)</f>
        <v>45653</v>
      </c>
      <c r="BH970" s="40" t="str">
        <f ca="1">IFERROR(__xludf.DUMMYFUNCTION("""COMPUTED_VALUE"""),"FICHA EN TIEMPO-18 MESES")</f>
        <v>FICHA EN TIEMPO-18 MESES</v>
      </c>
      <c r="BI970" s="40" t="str">
        <f ca="1">IFERROR(__xludf.DUMMYFUNCTION("""COMPUTED_VALUE"""),"En ejecucion")</f>
        <v>En ejecucion</v>
      </c>
      <c r="BJ970" s="40" t="str">
        <f ca="1">IFERROR(__xludf.DUMMYFUNCTION("""COMPUTED_VALUE"""),"Yamboro")</f>
        <v>Yamboro</v>
      </c>
      <c r="BK970" s="40"/>
      <c r="BL970" s="40"/>
    </row>
    <row r="971" spans="1:64" ht="13">
      <c r="A971" s="40"/>
      <c r="B971" s="40" t="str">
        <f ca="1">IFERROR(__xludf.DUMMYFUNCTION("""COMPUTED_VALUE"""),"FORMACIÓN 18/10/2022")</f>
        <v>FORMACIÓN 18/10/2022</v>
      </c>
      <c r="C971" s="40" t="str">
        <f ca="1">IFERROR(__xludf.DUMMYFUNCTION("""COMPUTED_VALUE"""),"BRAYAN STIVEN HERNANDEZ CUADROS")</f>
        <v>BRAYAN STIVEN HERNANDEZ CUADROS</v>
      </c>
      <c r="D971" s="40" t="str">
        <f ca="1">IFERROR(__xludf.DUMMYFUNCTION("""COMPUTED_VALUE"""),"CC")</f>
        <v>CC</v>
      </c>
      <c r="E971" s="40">
        <f ca="1">IFERROR(__xludf.DUMMYFUNCTION("""COMPUTED_VALUE"""),1000573999)</f>
        <v>1000573999</v>
      </c>
      <c r="F971" s="40">
        <f ca="1">IFERROR(__xludf.DUMMYFUNCTION("""COMPUTED_VALUE"""),2348486)</f>
        <v>2348486</v>
      </c>
      <c r="G971" s="40" t="str">
        <f ca="1">IFERROR(__xludf.DUMMYFUNCTION("""COMPUTED_VALUE"""),"TECNÓLOGO")</f>
        <v>TECNÓLOGO</v>
      </c>
      <c r="H971" s="40" t="str">
        <f ca="1">IFERROR(__xludf.DUMMYFUNCTION("""COMPUTED_VALUE"""),"ANALISIS Y DESARROLLO DE SISTEMAS DE INFORMACION")</f>
        <v>ANALISIS Y DESARROLLO DE SISTEMAS DE INFORMACION</v>
      </c>
      <c r="I971" s="40"/>
      <c r="J971" s="40"/>
      <c r="K971" s="40"/>
      <c r="L971" s="40" t="str">
        <f ca="1">IFERROR(__xludf.DUMMYFUNCTION("""COMPUTED_VALUE"""),"NO HA INICIADO ETAPA PRODUCTIVA")</f>
        <v>NO HA INICIADO ETAPA PRODUCTIVA</v>
      </c>
      <c r="M971" s="40"/>
      <c r="N971" s="40"/>
      <c r="O971" s="40"/>
      <c r="P971" s="40"/>
      <c r="Q971" s="40"/>
      <c r="R971" s="140"/>
      <c r="S971" s="140"/>
      <c r="T971" s="40" t="str">
        <f ca="1">IFERROR(__xludf.DUMMYFUNCTION("""COMPUTED_VALUE"""),"debe 54 resultados... Revisado 15/11/2022")</f>
        <v>debe 54 resultados... Revisado 15/11/2022</v>
      </c>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t="str">
        <f ca="1">IFERROR(__xludf.DUMMYFUNCTION("""COMPUTED_VALUE"""),"NO_CUMPLE")</f>
        <v>NO_CUMPLE</v>
      </c>
      <c r="AV971" s="40" t="str">
        <f ca="1">IFERROR(__xludf.DUMMYFUNCTION("""COMPUTED_VALUE"""),"EN FORMACION")</f>
        <v>EN FORMACION</v>
      </c>
      <c r="AW971" s="40" t="str">
        <f ca="1">IFERROR(__xludf.DUMMYFUNCTION("""COMPUTED_VALUE"""),"TIC")</f>
        <v>TIC</v>
      </c>
      <c r="AX971" s="141">
        <f ca="1">IFERROR(__xludf.DUMMYFUNCTION("""COMPUTED_VALUE"""),9)</f>
        <v>9</v>
      </c>
      <c r="AY971" s="40">
        <f ca="1">IFERROR(__xludf.DUMMYFUNCTION("""COMPUTED_VALUE"""),9)</f>
        <v>9</v>
      </c>
      <c r="AZ971" s="40">
        <f ca="1">IFERROR(__xludf.DUMMYFUNCTION("""COMPUTED_VALUE"""),1)</f>
        <v>1</v>
      </c>
      <c r="BA971" s="40">
        <f ca="1">IFERROR(__xludf.DUMMYFUNCTION("""COMPUTED_VALUE"""),15)</f>
        <v>15</v>
      </c>
      <c r="BB971" s="40">
        <f ca="1">IFERROR(__xludf.DUMMYFUNCTION("""COMPUTED_VALUE"""),32)</f>
        <v>32</v>
      </c>
      <c r="BC971" s="40">
        <f ca="1">IFERROR(__xludf.DUMMYFUNCTION("""COMPUTED_VALUE"""),57)</f>
        <v>57</v>
      </c>
      <c r="BD971" s="141">
        <f ca="1">IFERROR(__xludf.DUMMYFUNCTION("""COMPUTED_VALUE"""),44375)</f>
        <v>44375</v>
      </c>
      <c r="BE971" s="141">
        <f ca="1">IFERROR(__xludf.DUMMYFUNCTION("""COMPUTED_VALUE"""),44922)</f>
        <v>44922</v>
      </c>
      <c r="BF971" s="141">
        <f ca="1">IFERROR(__xludf.DUMMYFUNCTION("""COMPUTED_VALUE"""),45104)</f>
        <v>45104</v>
      </c>
      <c r="BG971" s="141">
        <f ca="1">IFERROR(__xludf.DUMMYFUNCTION("""COMPUTED_VALUE"""),45653)</f>
        <v>45653</v>
      </c>
      <c r="BH971" s="40" t="str">
        <f ca="1">IFERROR(__xludf.DUMMYFUNCTION("""COMPUTED_VALUE"""),"FICHA EN TIEMPO-18 MESES")</f>
        <v>FICHA EN TIEMPO-18 MESES</v>
      </c>
      <c r="BI971" s="40" t="str">
        <f ca="1">IFERROR(__xludf.DUMMYFUNCTION("""COMPUTED_VALUE"""),"En ejecucion")</f>
        <v>En ejecucion</v>
      </c>
      <c r="BJ971" s="40" t="str">
        <f ca="1">IFERROR(__xludf.DUMMYFUNCTION("""COMPUTED_VALUE"""),"Yamboro")</f>
        <v>Yamboro</v>
      </c>
      <c r="BK971" s="40"/>
      <c r="BL971" s="40"/>
    </row>
    <row r="972" spans="1:64" ht="13">
      <c r="A972" s="40"/>
      <c r="B972" s="40" t="str">
        <f ca="1">IFERROR(__xludf.DUMMYFUNCTION("""COMPUTED_VALUE"""),"FORMACIÓN 18/10/2022")</f>
        <v>FORMACIÓN 18/10/2022</v>
      </c>
      <c r="C972" s="40" t="str">
        <f ca="1">IFERROR(__xludf.DUMMYFUNCTION("""COMPUTED_VALUE"""),"ALEX MAURICIO SANCHEZ CERON")</f>
        <v>ALEX MAURICIO SANCHEZ CERON</v>
      </c>
      <c r="D972" s="40" t="str">
        <f ca="1">IFERROR(__xludf.DUMMYFUNCTION("""COMPUTED_VALUE"""),"CC")</f>
        <v>CC</v>
      </c>
      <c r="E972" s="40">
        <f ca="1">IFERROR(__xludf.DUMMYFUNCTION("""COMPUTED_VALUE"""),1002860599)</f>
        <v>1002860599</v>
      </c>
      <c r="F972" s="40">
        <f ca="1">IFERROR(__xludf.DUMMYFUNCTION("""COMPUTED_VALUE"""),2348486)</f>
        <v>2348486</v>
      </c>
      <c r="G972" s="40" t="str">
        <f ca="1">IFERROR(__xludf.DUMMYFUNCTION("""COMPUTED_VALUE"""),"TECNÓLOGO")</f>
        <v>TECNÓLOGO</v>
      </c>
      <c r="H972" s="40" t="str">
        <f ca="1">IFERROR(__xludf.DUMMYFUNCTION("""COMPUTED_VALUE"""),"ANALISIS Y DESARROLLO DE SISTEMAS DE INFORMACION")</f>
        <v>ANALISIS Y DESARROLLO DE SISTEMAS DE INFORMACION</v>
      </c>
      <c r="I972" s="40"/>
      <c r="J972" s="40"/>
      <c r="K972" s="40"/>
      <c r="L972" s="40" t="str">
        <f ca="1">IFERROR(__xludf.DUMMYFUNCTION("""COMPUTED_VALUE"""),"NO HA INICIADO ETAPA PRODUCTIVA")</f>
        <v>NO HA INICIADO ETAPA PRODUCTIVA</v>
      </c>
      <c r="M972" s="40"/>
      <c r="N972" s="40"/>
      <c r="O972" s="40"/>
      <c r="P972" s="40"/>
      <c r="Q972" s="40"/>
      <c r="R972" s="140"/>
      <c r="S972" s="140"/>
      <c r="T972" s="40" t="str">
        <f ca="1">IFERROR(__xludf.DUMMYFUNCTION("""COMPUTED_VALUE"""),"debe 33 resultados... Revisado 15/11/2022")</f>
        <v>debe 33 resultados... Revisado 15/11/2022</v>
      </c>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t="str">
        <f ca="1">IFERROR(__xludf.DUMMYFUNCTION("""COMPUTED_VALUE"""),"NO_CUMPLE")</f>
        <v>NO_CUMPLE</v>
      </c>
      <c r="AV972" s="40" t="str">
        <f ca="1">IFERROR(__xludf.DUMMYFUNCTION("""COMPUTED_VALUE"""),"EN FORMACION")</f>
        <v>EN FORMACION</v>
      </c>
      <c r="AW972" s="40" t="str">
        <f ca="1">IFERROR(__xludf.DUMMYFUNCTION("""COMPUTED_VALUE"""),"TIC")</f>
        <v>TIC</v>
      </c>
      <c r="AX972" s="141">
        <f ca="1">IFERROR(__xludf.DUMMYFUNCTION("""COMPUTED_VALUE"""),2)</f>
        <v>2</v>
      </c>
      <c r="AY972" s="40">
        <f ca="1">IFERROR(__xludf.DUMMYFUNCTION("""COMPUTED_VALUE"""),2)</f>
        <v>2</v>
      </c>
      <c r="AZ972" s="40">
        <f ca="1">IFERROR(__xludf.DUMMYFUNCTION("""COMPUTED_VALUE"""),1)</f>
        <v>1</v>
      </c>
      <c r="BA972" s="40">
        <f ca="1">IFERROR(__xludf.DUMMYFUNCTION("""COMPUTED_VALUE"""),8)</f>
        <v>8</v>
      </c>
      <c r="BB972" s="40">
        <f ca="1">IFERROR(__xludf.DUMMYFUNCTION("""COMPUTED_VALUE"""),23)</f>
        <v>23</v>
      </c>
      <c r="BC972" s="40">
        <f ca="1">IFERROR(__xludf.DUMMYFUNCTION("""COMPUTED_VALUE"""),34)</f>
        <v>34</v>
      </c>
      <c r="BD972" s="141">
        <f ca="1">IFERROR(__xludf.DUMMYFUNCTION("""COMPUTED_VALUE"""),44375)</f>
        <v>44375</v>
      </c>
      <c r="BE972" s="141">
        <f ca="1">IFERROR(__xludf.DUMMYFUNCTION("""COMPUTED_VALUE"""),44922)</f>
        <v>44922</v>
      </c>
      <c r="BF972" s="141">
        <f ca="1">IFERROR(__xludf.DUMMYFUNCTION("""COMPUTED_VALUE"""),45104)</f>
        <v>45104</v>
      </c>
      <c r="BG972" s="141">
        <f ca="1">IFERROR(__xludf.DUMMYFUNCTION("""COMPUTED_VALUE"""),45653)</f>
        <v>45653</v>
      </c>
      <c r="BH972" s="40" t="str">
        <f ca="1">IFERROR(__xludf.DUMMYFUNCTION("""COMPUTED_VALUE"""),"FICHA EN TIEMPO-18 MESES")</f>
        <v>FICHA EN TIEMPO-18 MESES</v>
      </c>
      <c r="BI972" s="40" t="str">
        <f ca="1">IFERROR(__xludf.DUMMYFUNCTION("""COMPUTED_VALUE"""),"En ejecucion")</f>
        <v>En ejecucion</v>
      </c>
      <c r="BJ972" s="40" t="str">
        <f ca="1">IFERROR(__xludf.DUMMYFUNCTION("""COMPUTED_VALUE"""),"Yamboro")</f>
        <v>Yamboro</v>
      </c>
      <c r="BK972" s="40"/>
      <c r="BL972" s="40"/>
    </row>
    <row r="973" spans="1:64" ht="13">
      <c r="A973" s="40"/>
      <c r="B973" s="40" t="str">
        <f ca="1">IFERROR(__xludf.DUMMYFUNCTION("""COMPUTED_VALUE"""),"FORMACIÓN 18/10/2022")</f>
        <v>FORMACIÓN 18/10/2022</v>
      </c>
      <c r="C973" s="40" t="str">
        <f ca="1">IFERROR(__xludf.DUMMYFUNCTION("""COMPUTED_VALUE"""),"IVAN DAVID DIAZ ROJANO")</f>
        <v>IVAN DAVID DIAZ ROJANO</v>
      </c>
      <c r="D973" s="40" t="str">
        <f ca="1">IFERROR(__xludf.DUMMYFUNCTION("""COMPUTED_VALUE"""),"CC")</f>
        <v>CC</v>
      </c>
      <c r="E973" s="40">
        <f ca="1">IFERROR(__xludf.DUMMYFUNCTION("""COMPUTED_VALUE"""),1003377385)</f>
        <v>1003377385</v>
      </c>
      <c r="F973" s="40">
        <f ca="1">IFERROR(__xludf.DUMMYFUNCTION("""COMPUTED_VALUE"""),2348486)</f>
        <v>2348486</v>
      </c>
      <c r="G973" s="40" t="str">
        <f ca="1">IFERROR(__xludf.DUMMYFUNCTION("""COMPUTED_VALUE"""),"TECNÓLOGO")</f>
        <v>TECNÓLOGO</v>
      </c>
      <c r="H973" s="40" t="str">
        <f ca="1">IFERROR(__xludf.DUMMYFUNCTION("""COMPUTED_VALUE"""),"ANALISIS Y DESARROLLO DE SISTEMAS DE INFORMACION")</f>
        <v>ANALISIS Y DESARROLLO DE SISTEMAS DE INFORMACION</v>
      </c>
      <c r="I973" s="40"/>
      <c r="J973" s="40"/>
      <c r="K973" s="40"/>
      <c r="L973" s="40" t="str">
        <f ca="1">IFERROR(__xludf.DUMMYFUNCTION("""COMPUTED_VALUE"""),"NO HA INICIADO ETAPA PRODUCTIVA")</f>
        <v>NO HA INICIADO ETAPA PRODUCTIVA</v>
      </c>
      <c r="M973" s="40"/>
      <c r="N973" s="40"/>
      <c r="O973" s="40"/>
      <c r="P973" s="40"/>
      <c r="Q973" s="40"/>
      <c r="R973" s="140"/>
      <c r="S973" s="140"/>
      <c r="T973" s="40" t="str">
        <f ca="1">IFERROR(__xludf.DUMMYFUNCTION("""COMPUTED_VALUE"""),"debe 55 resultados... Revisado 15/11/2022")</f>
        <v>debe 55 resultados... Revisado 15/11/2022</v>
      </c>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t="str">
        <f ca="1">IFERROR(__xludf.DUMMYFUNCTION("""COMPUTED_VALUE"""),"NO_CUMPLE")</f>
        <v>NO_CUMPLE</v>
      </c>
      <c r="AV973" s="40" t="str">
        <f ca="1">IFERROR(__xludf.DUMMYFUNCTION("""COMPUTED_VALUE"""),"EN FORMACION")</f>
        <v>EN FORMACION</v>
      </c>
      <c r="AW973" s="40" t="str">
        <f ca="1">IFERROR(__xludf.DUMMYFUNCTION("""COMPUTED_VALUE"""),"TIC")</f>
        <v>TIC</v>
      </c>
      <c r="AX973" s="141">
        <f ca="1">IFERROR(__xludf.DUMMYFUNCTION("""COMPUTED_VALUE"""),11)</f>
        <v>11</v>
      </c>
      <c r="AY973" s="40">
        <f ca="1">IFERROR(__xludf.DUMMYFUNCTION("""COMPUTED_VALUE"""),11)</f>
        <v>11</v>
      </c>
      <c r="AZ973" s="40">
        <f ca="1">IFERROR(__xludf.DUMMYFUNCTION("""COMPUTED_VALUE"""),1)</f>
        <v>1</v>
      </c>
      <c r="BA973" s="40">
        <f ca="1">IFERROR(__xludf.DUMMYFUNCTION("""COMPUTED_VALUE"""),14)</f>
        <v>14</v>
      </c>
      <c r="BB973" s="40">
        <f ca="1">IFERROR(__xludf.DUMMYFUNCTION("""COMPUTED_VALUE"""),35)</f>
        <v>35</v>
      </c>
      <c r="BC973" s="40">
        <f ca="1">IFERROR(__xludf.DUMMYFUNCTION("""COMPUTED_VALUE"""),61)</f>
        <v>61</v>
      </c>
      <c r="BD973" s="141">
        <f ca="1">IFERROR(__xludf.DUMMYFUNCTION("""COMPUTED_VALUE"""),44375)</f>
        <v>44375</v>
      </c>
      <c r="BE973" s="141">
        <f ca="1">IFERROR(__xludf.DUMMYFUNCTION("""COMPUTED_VALUE"""),44922)</f>
        <v>44922</v>
      </c>
      <c r="BF973" s="141">
        <f ca="1">IFERROR(__xludf.DUMMYFUNCTION("""COMPUTED_VALUE"""),45104)</f>
        <v>45104</v>
      </c>
      <c r="BG973" s="141">
        <f ca="1">IFERROR(__xludf.DUMMYFUNCTION("""COMPUTED_VALUE"""),45653)</f>
        <v>45653</v>
      </c>
      <c r="BH973" s="40" t="str">
        <f ca="1">IFERROR(__xludf.DUMMYFUNCTION("""COMPUTED_VALUE"""),"FICHA EN TIEMPO-18 MESES")</f>
        <v>FICHA EN TIEMPO-18 MESES</v>
      </c>
      <c r="BI973" s="40" t="str">
        <f ca="1">IFERROR(__xludf.DUMMYFUNCTION("""COMPUTED_VALUE"""),"En ejecucion")</f>
        <v>En ejecucion</v>
      </c>
      <c r="BJ973" s="40" t="str">
        <f ca="1">IFERROR(__xludf.DUMMYFUNCTION("""COMPUTED_VALUE"""),"Yamboro")</f>
        <v>Yamboro</v>
      </c>
      <c r="BK973" s="40"/>
      <c r="BL973" s="40"/>
    </row>
    <row r="974" spans="1:64" ht="13">
      <c r="A974" s="40"/>
      <c r="B974" s="40" t="str">
        <f ca="1">IFERROR(__xludf.DUMMYFUNCTION("""COMPUTED_VALUE"""),"FORMACIÓN 18/10/2022")</f>
        <v>FORMACIÓN 18/10/2022</v>
      </c>
      <c r="C974" s="40" t="str">
        <f ca="1">IFERROR(__xludf.DUMMYFUNCTION("""COMPUTED_VALUE"""),"EDGAR ANDRES OROZCO HENRIQUEZ")</f>
        <v>EDGAR ANDRES OROZCO HENRIQUEZ</v>
      </c>
      <c r="D974" s="40" t="str">
        <f ca="1">IFERROR(__xludf.DUMMYFUNCTION("""COMPUTED_VALUE"""),"CC")</f>
        <v>CC</v>
      </c>
      <c r="E974" s="40">
        <f ca="1">IFERROR(__xludf.DUMMYFUNCTION("""COMPUTED_VALUE"""),1004120346)</f>
        <v>1004120346</v>
      </c>
      <c r="F974" s="40">
        <f ca="1">IFERROR(__xludf.DUMMYFUNCTION("""COMPUTED_VALUE"""),2348486)</f>
        <v>2348486</v>
      </c>
      <c r="G974" s="40" t="str">
        <f ca="1">IFERROR(__xludf.DUMMYFUNCTION("""COMPUTED_VALUE"""),"TECNÓLOGO")</f>
        <v>TECNÓLOGO</v>
      </c>
      <c r="H974" s="40" t="str">
        <f ca="1">IFERROR(__xludf.DUMMYFUNCTION("""COMPUTED_VALUE"""),"ANALISIS Y DESARROLLO DE SISTEMAS DE INFORMACION")</f>
        <v>ANALISIS Y DESARROLLO DE SISTEMAS DE INFORMACION</v>
      </c>
      <c r="I974" s="40"/>
      <c r="J974" s="40"/>
      <c r="K974" s="40"/>
      <c r="L974" s="40" t="str">
        <f ca="1">IFERROR(__xludf.DUMMYFUNCTION("""COMPUTED_VALUE"""),"NO HA INICIADO ETAPA PRODUCTIVA")</f>
        <v>NO HA INICIADO ETAPA PRODUCTIVA</v>
      </c>
      <c r="M974" s="40"/>
      <c r="N974" s="40"/>
      <c r="O974" s="40"/>
      <c r="P974" s="40"/>
      <c r="Q974" s="40"/>
      <c r="R974" s="140"/>
      <c r="S974" s="140"/>
      <c r="T974" s="40" t="str">
        <f ca="1">IFERROR(__xludf.DUMMYFUNCTION("""COMPUTED_VALUE"""),"debe 55 resultados... Revisado 15/11/2022")</f>
        <v>debe 55 resultados... Revisado 15/11/2022</v>
      </c>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t="str">
        <f ca="1">IFERROR(__xludf.DUMMYFUNCTION("""COMPUTED_VALUE"""),"NO_CUMPLE")</f>
        <v>NO_CUMPLE</v>
      </c>
      <c r="AV974" s="40" t="str">
        <f ca="1">IFERROR(__xludf.DUMMYFUNCTION("""COMPUTED_VALUE"""),"EN FORMACION")</f>
        <v>EN FORMACION</v>
      </c>
      <c r="AW974" s="40" t="str">
        <f ca="1">IFERROR(__xludf.DUMMYFUNCTION("""COMPUTED_VALUE"""),"TIC")</f>
        <v>TIC</v>
      </c>
      <c r="AX974" s="141">
        <f ca="1">IFERROR(__xludf.DUMMYFUNCTION("""COMPUTED_VALUE"""),11)</f>
        <v>11</v>
      </c>
      <c r="AY974" s="40">
        <f ca="1">IFERROR(__xludf.DUMMYFUNCTION("""COMPUTED_VALUE"""),11)</f>
        <v>11</v>
      </c>
      <c r="AZ974" s="40">
        <f ca="1">IFERROR(__xludf.DUMMYFUNCTION("""COMPUTED_VALUE"""),1)</f>
        <v>1</v>
      </c>
      <c r="BA974" s="40">
        <f ca="1">IFERROR(__xludf.DUMMYFUNCTION("""COMPUTED_VALUE"""),14)</f>
        <v>14</v>
      </c>
      <c r="BB974" s="40">
        <f ca="1">IFERROR(__xludf.DUMMYFUNCTION("""COMPUTED_VALUE"""),33)</f>
        <v>33</v>
      </c>
      <c r="BC974" s="40">
        <f ca="1">IFERROR(__xludf.DUMMYFUNCTION("""COMPUTED_VALUE"""),59)</f>
        <v>59</v>
      </c>
      <c r="BD974" s="141">
        <f ca="1">IFERROR(__xludf.DUMMYFUNCTION("""COMPUTED_VALUE"""),44375)</f>
        <v>44375</v>
      </c>
      <c r="BE974" s="141">
        <f ca="1">IFERROR(__xludf.DUMMYFUNCTION("""COMPUTED_VALUE"""),44922)</f>
        <v>44922</v>
      </c>
      <c r="BF974" s="141">
        <f ca="1">IFERROR(__xludf.DUMMYFUNCTION("""COMPUTED_VALUE"""),45104)</f>
        <v>45104</v>
      </c>
      <c r="BG974" s="141">
        <f ca="1">IFERROR(__xludf.DUMMYFUNCTION("""COMPUTED_VALUE"""),45653)</f>
        <v>45653</v>
      </c>
      <c r="BH974" s="40" t="str">
        <f ca="1">IFERROR(__xludf.DUMMYFUNCTION("""COMPUTED_VALUE"""),"FICHA EN TIEMPO-18 MESES")</f>
        <v>FICHA EN TIEMPO-18 MESES</v>
      </c>
      <c r="BI974" s="40" t="str">
        <f ca="1">IFERROR(__xludf.DUMMYFUNCTION("""COMPUTED_VALUE"""),"En ejecucion")</f>
        <v>En ejecucion</v>
      </c>
      <c r="BJ974" s="40" t="str">
        <f ca="1">IFERROR(__xludf.DUMMYFUNCTION("""COMPUTED_VALUE"""),"Yamboro")</f>
        <v>Yamboro</v>
      </c>
      <c r="BK974" s="40"/>
      <c r="BL974" s="40"/>
    </row>
    <row r="975" spans="1:64" ht="13">
      <c r="A975" s="40"/>
      <c r="B975" s="40" t="str">
        <f ca="1">IFERROR(__xludf.DUMMYFUNCTION("""COMPUTED_VALUE"""),"FORMACIÓN 18/10/2022")</f>
        <v>FORMACIÓN 18/10/2022</v>
      </c>
      <c r="C975" s="40" t="str">
        <f ca="1">IFERROR(__xludf.DUMMYFUNCTION("""COMPUTED_VALUE"""),"LAURA SOFIA MANYOMA")</f>
        <v>LAURA SOFIA MANYOMA</v>
      </c>
      <c r="D975" s="40" t="str">
        <f ca="1">IFERROR(__xludf.DUMMYFUNCTION("""COMPUTED_VALUE"""),"CC")</f>
        <v>CC</v>
      </c>
      <c r="E975" s="40">
        <f ca="1">IFERROR(__xludf.DUMMYFUNCTION("""COMPUTED_VALUE"""),1004636246)</f>
        <v>1004636246</v>
      </c>
      <c r="F975" s="40">
        <f ca="1">IFERROR(__xludf.DUMMYFUNCTION("""COMPUTED_VALUE"""),2348486)</f>
        <v>2348486</v>
      </c>
      <c r="G975" s="40" t="str">
        <f ca="1">IFERROR(__xludf.DUMMYFUNCTION("""COMPUTED_VALUE"""),"TECNÓLOGO")</f>
        <v>TECNÓLOGO</v>
      </c>
      <c r="H975" s="40" t="str">
        <f ca="1">IFERROR(__xludf.DUMMYFUNCTION("""COMPUTED_VALUE"""),"ANALISIS Y DESARROLLO DE SISTEMAS DE INFORMACION")</f>
        <v>ANALISIS Y DESARROLLO DE SISTEMAS DE INFORMACION</v>
      </c>
      <c r="I975" s="40"/>
      <c r="J975" s="40"/>
      <c r="K975" s="40"/>
      <c r="L975" s="40" t="str">
        <f ca="1">IFERROR(__xludf.DUMMYFUNCTION("""COMPUTED_VALUE"""),"NO HA INICIADO ETAPA PRODUCTIVA")</f>
        <v>NO HA INICIADO ETAPA PRODUCTIVA</v>
      </c>
      <c r="M975" s="40"/>
      <c r="N975" s="40"/>
      <c r="O975" s="40"/>
      <c r="P975" s="40"/>
      <c r="Q975" s="40"/>
      <c r="R975" s="140"/>
      <c r="S975" s="140"/>
      <c r="T975" s="40" t="str">
        <f ca="1">IFERROR(__xludf.DUMMYFUNCTION("""COMPUTED_VALUE"""),"debe 51 resultados... Revisado 15/11/2022")</f>
        <v>debe 51 resultados... Revisado 15/11/2022</v>
      </c>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t="str">
        <f ca="1">IFERROR(__xludf.DUMMYFUNCTION("""COMPUTED_VALUE"""),"NO_CUMPLE")</f>
        <v>NO_CUMPLE</v>
      </c>
      <c r="AV975" s="40" t="str">
        <f ca="1">IFERROR(__xludf.DUMMYFUNCTION("""COMPUTED_VALUE"""),"EN FORMACION")</f>
        <v>EN FORMACION</v>
      </c>
      <c r="AW975" s="40" t="str">
        <f ca="1">IFERROR(__xludf.DUMMYFUNCTION("""COMPUTED_VALUE"""),"TIC")</f>
        <v>TIC</v>
      </c>
      <c r="AX975" s="141">
        <f ca="1">IFERROR(__xludf.DUMMYFUNCTION("""COMPUTED_VALUE"""),7)</f>
        <v>7</v>
      </c>
      <c r="AY975" s="40">
        <f ca="1">IFERROR(__xludf.DUMMYFUNCTION("""COMPUTED_VALUE"""),7)</f>
        <v>7</v>
      </c>
      <c r="AZ975" s="40">
        <f ca="1">IFERROR(__xludf.DUMMYFUNCTION("""COMPUTED_VALUE"""),1)</f>
        <v>1</v>
      </c>
      <c r="BA975" s="40">
        <f ca="1">IFERROR(__xludf.DUMMYFUNCTION("""COMPUTED_VALUE"""),14)</f>
        <v>14</v>
      </c>
      <c r="BB975" s="40">
        <f ca="1">IFERROR(__xludf.DUMMYFUNCTION("""COMPUTED_VALUE"""),31)</f>
        <v>31</v>
      </c>
      <c r="BC975" s="40">
        <f ca="1">IFERROR(__xludf.DUMMYFUNCTION("""COMPUTED_VALUE"""),53)</f>
        <v>53</v>
      </c>
      <c r="BD975" s="141">
        <f ca="1">IFERROR(__xludf.DUMMYFUNCTION("""COMPUTED_VALUE"""),44375)</f>
        <v>44375</v>
      </c>
      <c r="BE975" s="141">
        <f ca="1">IFERROR(__xludf.DUMMYFUNCTION("""COMPUTED_VALUE"""),44922)</f>
        <v>44922</v>
      </c>
      <c r="BF975" s="141">
        <f ca="1">IFERROR(__xludf.DUMMYFUNCTION("""COMPUTED_VALUE"""),45104)</f>
        <v>45104</v>
      </c>
      <c r="BG975" s="141">
        <f ca="1">IFERROR(__xludf.DUMMYFUNCTION("""COMPUTED_VALUE"""),45653)</f>
        <v>45653</v>
      </c>
      <c r="BH975" s="40" t="str">
        <f ca="1">IFERROR(__xludf.DUMMYFUNCTION("""COMPUTED_VALUE"""),"FICHA EN TIEMPO-18 MESES")</f>
        <v>FICHA EN TIEMPO-18 MESES</v>
      </c>
      <c r="BI975" s="40" t="str">
        <f ca="1">IFERROR(__xludf.DUMMYFUNCTION("""COMPUTED_VALUE"""),"En ejecucion")</f>
        <v>En ejecucion</v>
      </c>
      <c r="BJ975" s="40" t="str">
        <f ca="1">IFERROR(__xludf.DUMMYFUNCTION("""COMPUTED_VALUE"""),"Yamboro")</f>
        <v>Yamboro</v>
      </c>
      <c r="BK975" s="40"/>
      <c r="BL975" s="40"/>
    </row>
    <row r="976" spans="1:64" ht="13">
      <c r="A976" s="40"/>
      <c r="B976" s="40" t="str">
        <f ca="1">IFERROR(__xludf.DUMMYFUNCTION("""COMPUTED_VALUE"""),"FORMACIÓN 18/10/2022")</f>
        <v>FORMACIÓN 18/10/2022</v>
      </c>
      <c r="C976" s="40" t="str">
        <f ca="1">IFERROR(__xludf.DUMMYFUNCTION("""COMPUTED_VALUE"""),"JHON EDWAR IDARRAGA ECHAVARRIA")</f>
        <v>JHON EDWAR IDARRAGA ECHAVARRIA</v>
      </c>
      <c r="D976" s="40" t="str">
        <f ca="1">IFERROR(__xludf.DUMMYFUNCTION("""COMPUTED_VALUE"""),"CC")</f>
        <v>CC</v>
      </c>
      <c r="E976" s="40">
        <f ca="1">IFERROR(__xludf.DUMMYFUNCTION("""COMPUTED_VALUE"""),1005095968)</f>
        <v>1005095968</v>
      </c>
      <c r="F976" s="40">
        <f ca="1">IFERROR(__xludf.DUMMYFUNCTION("""COMPUTED_VALUE"""),2348486)</f>
        <v>2348486</v>
      </c>
      <c r="G976" s="40" t="str">
        <f ca="1">IFERROR(__xludf.DUMMYFUNCTION("""COMPUTED_VALUE"""),"TECNÓLOGO")</f>
        <v>TECNÓLOGO</v>
      </c>
      <c r="H976" s="40" t="str">
        <f ca="1">IFERROR(__xludf.DUMMYFUNCTION("""COMPUTED_VALUE"""),"ANALISIS Y DESARROLLO DE SISTEMAS DE INFORMACION")</f>
        <v>ANALISIS Y DESARROLLO DE SISTEMAS DE INFORMACION</v>
      </c>
      <c r="I976" s="40"/>
      <c r="J976" s="40"/>
      <c r="K976" s="40"/>
      <c r="L976" s="40" t="str">
        <f ca="1">IFERROR(__xludf.DUMMYFUNCTION("""COMPUTED_VALUE"""),"NO HA INICIADO ETAPA PRODUCTIVA")</f>
        <v>NO HA INICIADO ETAPA PRODUCTIVA</v>
      </c>
      <c r="M976" s="40"/>
      <c r="N976" s="40"/>
      <c r="O976" s="40"/>
      <c r="P976" s="40"/>
      <c r="Q976" s="40"/>
      <c r="R976" s="140"/>
      <c r="S976" s="140"/>
      <c r="T976" s="40" t="str">
        <f ca="1">IFERROR(__xludf.DUMMYFUNCTION("""COMPUTED_VALUE"""),"debe 47 resultados... Revisado 15/11/2022")</f>
        <v>debe 47 resultados... Revisado 15/11/2022</v>
      </c>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t="str">
        <f ca="1">IFERROR(__xludf.DUMMYFUNCTION("""COMPUTED_VALUE"""),"NO_CUMPLE")</f>
        <v>NO_CUMPLE</v>
      </c>
      <c r="AV976" s="40" t="str">
        <f ca="1">IFERROR(__xludf.DUMMYFUNCTION("""COMPUTED_VALUE"""),"EN FORMACION")</f>
        <v>EN FORMACION</v>
      </c>
      <c r="AW976" s="40" t="str">
        <f ca="1">IFERROR(__xludf.DUMMYFUNCTION("""COMPUTED_VALUE"""),"TIC")</f>
        <v>TIC</v>
      </c>
      <c r="AX976" s="141">
        <f ca="1">IFERROR(__xludf.DUMMYFUNCTION("""COMPUTED_VALUE"""),5)</f>
        <v>5</v>
      </c>
      <c r="AY976" s="40">
        <f ca="1">IFERROR(__xludf.DUMMYFUNCTION("""COMPUTED_VALUE"""),5)</f>
        <v>5</v>
      </c>
      <c r="AZ976" s="40">
        <f ca="1">IFERROR(__xludf.DUMMYFUNCTION("""COMPUTED_VALUE"""),1)</f>
        <v>1</v>
      </c>
      <c r="BA976" s="40">
        <f ca="1">IFERROR(__xludf.DUMMYFUNCTION("""COMPUTED_VALUE"""),13)</f>
        <v>13</v>
      </c>
      <c r="BB976" s="40">
        <f ca="1">IFERROR(__xludf.DUMMYFUNCTION("""COMPUTED_VALUE"""),30)</f>
        <v>30</v>
      </c>
      <c r="BC976" s="40">
        <f ca="1">IFERROR(__xludf.DUMMYFUNCTION("""COMPUTED_VALUE"""),49)</f>
        <v>49</v>
      </c>
      <c r="BD976" s="141">
        <f ca="1">IFERROR(__xludf.DUMMYFUNCTION("""COMPUTED_VALUE"""),44375)</f>
        <v>44375</v>
      </c>
      <c r="BE976" s="141">
        <f ca="1">IFERROR(__xludf.DUMMYFUNCTION("""COMPUTED_VALUE"""),44922)</f>
        <v>44922</v>
      </c>
      <c r="BF976" s="141">
        <f ca="1">IFERROR(__xludf.DUMMYFUNCTION("""COMPUTED_VALUE"""),45104)</f>
        <v>45104</v>
      </c>
      <c r="BG976" s="141">
        <f ca="1">IFERROR(__xludf.DUMMYFUNCTION("""COMPUTED_VALUE"""),45653)</f>
        <v>45653</v>
      </c>
      <c r="BH976" s="40" t="str">
        <f ca="1">IFERROR(__xludf.DUMMYFUNCTION("""COMPUTED_VALUE"""),"FICHA EN TIEMPO-18 MESES")</f>
        <v>FICHA EN TIEMPO-18 MESES</v>
      </c>
      <c r="BI976" s="40" t="str">
        <f ca="1">IFERROR(__xludf.DUMMYFUNCTION("""COMPUTED_VALUE"""),"En ejecucion")</f>
        <v>En ejecucion</v>
      </c>
      <c r="BJ976" s="40" t="str">
        <f ca="1">IFERROR(__xludf.DUMMYFUNCTION("""COMPUTED_VALUE"""),"Yamboro")</f>
        <v>Yamboro</v>
      </c>
      <c r="BK976" s="40"/>
      <c r="BL976" s="40"/>
    </row>
    <row r="977" spans="1:64" ht="13">
      <c r="A977" s="40"/>
      <c r="B977" s="40" t="str">
        <f ca="1">IFERROR(__xludf.DUMMYFUNCTION("""COMPUTED_VALUE"""),"FORMACIÓN 18/10/2022")</f>
        <v>FORMACIÓN 18/10/2022</v>
      </c>
      <c r="C977" s="40" t="str">
        <f ca="1">IFERROR(__xludf.DUMMYFUNCTION("""COMPUTED_VALUE"""),"PAULA ANDREA GIL VASCO")</f>
        <v>PAULA ANDREA GIL VASCO</v>
      </c>
      <c r="D977" s="40" t="str">
        <f ca="1">IFERROR(__xludf.DUMMYFUNCTION("""COMPUTED_VALUE"""),"CC")</f>
        <v>CC</v>
      </c>
      <c r="E977" s="40">
        <f ca="1">IFERROR(__xludf.DUMMYFUNCTION("""COMPUTED_VALUE"""),1007329854)</f>
        <v>1007329854</v>
      </c>
      <c r="F977" s="40">
        <f ca="1">IFERROR(__xludf.DUMMYFUNCTION("""COMPUTED_VALUE"""),2348486)</f>
        <v>2348486</v>
      </c>
      <c r="G977" s="40" t="str">
        <f ca="1">IFERROR(__xludf.DUMMYFUNCTION("""COMPUTED_VALUE"""),"TECNÓLOGO")</f>
        <v>TECNÓLOGO</v>
      </c>
      <c r="H977" s="40" t="str">
        <f ca="1">IFERROR(__xludf.DUMMYFUNCTION("""COMPUTED_VALUE"""),"ANALISIS Y DESARROLLO DE SISTEMAS DE INFORMACION")</f>
        <v>ANALISIS Y DESARROLLO DE SISTEMAS DE INFORMACION</v>
      </c>
      <c r="I977" s="40"/>
      <c r="J977" s="40"/>
      <c r="K977" s="40"/>
      <c r="L977" s="40" t="str">
        <f ca="1">IFERROR(__xludf.DUMMYFUNCTION("""COMPUTED_VALUE"""),"NO HA INICIADO ETAPA PRODUCTIVA")</f>
        <v>NO HA INICIADO ETAPA PRODUCTIVA</v>
      </c>
      <c r="M977" s="40"/>
      <c r="N977" s="40"/>
      <c r="O977" s="40"/>
      <c r="P977" s="40"/>
      <c r="Q977" s="40"/>
      <c r="R977" s="140"/>
      <c r="S977" s="140"/>
      <c r="T977" s="40" t="str">
        <f ca="1">IFERROR(__xludf.DUMMYFUNCTION("""COMPUTED_VALUE"""),"debe 28 resultados... Revisado 15/11/2022")</f>
        <v>debe 28 resultados... Revisado 15/11/2022</v>
      </c>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t="str">
        <f ca="1">IFERROR(__xludf.DUMMYFUNCTION("""COMPUTED_VALUE"""),"NO_CUMPLE")</f>
        <v>NO_CUMPLE</v>
      </c>
      <c r="AV977" s="40" t="str">
        <f ca="1">IFERROR(__xludf.DUMMYFUNCTION("""COMPUTED_VALUE"""),"EN FORMACION")</f>
        <v>EN FORMACION</v>
      </c>
      <c r="AW977" s="40" t="str">
        <f ca="1">IFERROR(__xludf.DUMMYFUNCTION("""COMPUTED_VALUE"""),"TIC")</f>
        <v>TIC</v>
      </c>
      <c r="AX977" s="141">
        <f ca="1">IFERROR(__xludf.DUMMYFUNCTION("""COMPUTED_VALUE"""),2)</f>
        <v>2</v>
      </c>
      <c r="AY977" s="40">
        <f ca="1">IFERROR(__xludf.DUMMYFUNCTION("""COMPUTED_VALUE"""),2)</f>
        <v>2</v>
      </c>
      <c r="AZ977" s="40">
        <f ca="1">IFERROR(__xludf.DUMMYFUNCTION("""COMPUTED_VALUE"""),1)</f>
        <v>1</v>
      </c>
      <c r="BA977" s="40">
        <f ca="1">IFERROR(__xludf.DUMMYFUNCTION("""COMPUTED_VALUE"""),7)</f>
        <v>7</v>
      </c>
      <c r="BB977" s="40">
        <f ca="1">IFERROR(__xludf.DUMMYFUNCTION("""COMPUTED_VALUE"""),19)</f>
        <v>19</v>
      </c>
      <c r="BC977" s="40">
        <f ca="1">IFERROR(__xludf.DUMMYFUNCTION("""COMPUTED_VALUE"""),29)</f>
        <v>29</v>
      </c>
      <c r="BD977" s="141">
        <f ca="1">IFERROR(__xludf.DUMMYFUNCTION("""COMPUTED_VALUE"""),44375)</f>
        <v>44375</v>
      </c>
      <c r="BE977" s="141">
        <f ca="1">IFERROR(__xludf.DUMMYFUNCTION("""COMPUTED_VALUE"""),44922)</f>
        <v>44922</v>
      </c>
      <c r="BF977" s="141">
        <f ca="1">IFERROR(__xludf.DUMMYFUNCTION("""COMPUTED_VALUE"""),45104)</f>
        <v>45104</v>
      </c>
      <c r="BG977" s="141">
        <f ca="1">IFERROR(__xludf.DUMMYFUNCTION("""COMPUTED_VALUE"""),45653)</f>
        <v>45653</v>
      </c>
      <c r="BH977" s="40" t="str">
        <f ca="1">IFERROR(__xludf.DUMMYFUNCTION("""COMPUTED_VALUE"""),"FICHA EN TIEMPO-18 MESES")</f>
        <v>FICHA EN TIEMPO-18 MESES</v>
      </c>
      <c r="BI977" s="40" t="str">
        <f ca="1">IFERROR(__xludf.DUMMYFUNCTION("""COMPUTED_VALUE"""),"En ejecucion")</f>
        <v>En ejecucion</v>
      </c>
      <c r="BJ977" s="40" t="str">
        <f ca="1">IFERROR(__xludf.DUMMYFUNCTION("""COMPUTED_VALUE"""),"Yamboro")</f>
        <v>Yamboro</v>
      </c>
      <c r="BK977" s="40"/>
      <c r="BL977" s="40"/>
    </row>
    <row r="978" spans="1:64" ht="13">
      <c r="A978" s="40"/>
      <c r="B978" s="40" t="str">
        <f ca="1">IFERROR(__xludf.DUMMYFUNCTION("""COMPUTED_VALUE"""),"FORMACIÓN 18/10/2022")</f>
        <v>FORMACIÓN 18/10/2022</v>
      </c>
      <c r="C978" s="40" t="str">
        <f ca="1">IFERROR(__xludf.DUMMYFUNCTION("""COMPUTED_VALUE"""),"SNEYDER SANTIAGO CABUYA ORJUELA")</f>
        <v>SNEYDER SANTIAGO CABUYA ORJUELA</v>
      </c>
      <c r="D978" s="40" t="str">
        <f ca="1">IFERROR(__xludf.DUMMYFUNCTION("""COMPUTED_VALUE"""),"CC")</f>
        <v>CC</v>
      </c>
      <c r="E978" s="40">
        <f ca="1">IFERROR(__xludf.DUMMYFUNCTION("""COMPUTED_VALUE"""),1007498248)</f>
        <v>1007498248</v>
      </c>
      <c r="F978" s="40">
        <f ca="1">IFERROR(__xludf.DUMMYFUNCTION("""COMPUTED_VALUE"""),2348486)</f>
        <v>2348486</v>
      </c>
      <c r="G978" s="40" t="str">
        <f ca="1">IFERROR(__xludf.DUMMYFUNCTION("""COMPUTED_VALUE"""),"TECNÓLOGO")</f>
        <v>TECNÓLOGO</v>
      </c>
      <c r="H978" s="40" t="str">
        <f ca="1">IFERROR(__xludf.DUMMYFUNCTION("""COMPUTED_VALUE"""),"ANALISIS Y DESARROLLO DE SISTEMAS DE INFORMACION")</f>
        <v>ANALISIS Y DESARROLLO DE SISTEMAS DE INFORMACION</v>
      </c>
      <c r="I978" s="40"/>
      <c r="J978" s="40"/>
      <c r="K978" s="40"/>
      <c r="L978" s="40" t="str">
        <f ca="1">IFERROR(__xludf.DUMMYFUNCTION("""COMPUTED_VALUE"""),"NO HA INICIADO ETAPA PRODUCTIVA")</f>
        <v>NO HA INICIADO ETAPA PRODUCTIVA</v>
      </c>
      <c r="M978" s="40"/>
      <c r="N978" s="40"/>
      <c r="O978" s="40"/>
      <c r="P978" s="40"/>
      <c r="Q978" s="40"/>
      <c r="R978" s="140"/>
      <c r="S978" s="140"/>
      <c r="T978" s="40" t="str">
        <f ca="1">IFERROR(__xludf.DUMMYFUNCTION("""COMPUTED_VALUE"""),"debe 29 resultados... Revisado 15/11/2022")</f>
        <v>debe 29 resultados... Revisado 15/11/2022</v>
      </c>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t="str">
        <f ca="1">IFERROR(__xludf.DUMMYFUNCTION("""COMPUTED_VALUE"""),"NO_CUMPLE")</f>
        <v>NO_CUMPLE</v>
      </c>
      <c r="AV978" s="40" t="str">
        <f ca="1">IFERROR(__xludf.DUMMYFUNCTION("""COMPUTED_VALUE"""),"EN FORMACION")</f>
        <v>EN FORMACION</v>
      </c>
      <c r="AW978" s="40" t="str">
        <f ca="1">IFERROR(__xludf.DUMMYFUNCTION("""COMPUTED_VALUE"""),"TIC")</f>
        <v>TIC</v>
      </c>
      <c r="AX978" s="141">
        <f ca="1">IFERROR(__xludf.DUMMYFUNCTION("""COMPUTED_VALUE"""),3)</f>
        <v>3</v>
      </c>
      <c r="AY978" s="40">
        <f ca="1">IFERROR(__xludf.DUMMYFUNCTION("""COMPUTED_VALUE"""),3)</f>
        <v>3</v>
      </c>
      <c r="AZ978" s="40">
        <f ca="1">IFERROR(__xludf.DUMMYFUNCTION("""COMPUTED_VALUE"""),1)</f>
        <v>1</v>
      </c>
      <c r="BA978" s="40">
        <f ca="1">IFERROR(__xludf.DUMMYFUNCTION("""COMPUTED_VALUE"""),6)</f>
        <v>6</v>
      </c>
      <c r="BB978" s="40">
        <f ca="1">IFERROR(__xludf.DUMMYFUNCTION("""COMPUTED_VALUE"""),21)</f>
        <v>21</v>
      </c>
      <c r="BC978" s="40">
        <f ca="1">IFERROR(__xludf.DUMMYFUNCTION("""COMPUTED_VALUE"""),31)</f>
        <v>31</v>
      </c>
      <c r="BD978" s="141">
        <f ca="1">IFERROR(__xludf.DUMMYFUNCTION("""COMPUTED_VALUE"""),44375)</f>
        <v>44375</v>
      </c>
      <c r="BE978" s="141">
        <f ca="1">IFERROR(__xludf.DUMMYFUNCTION("""COMPUTED_VALUE"""),44922)</f>
        <v>44922</v>
      </c>
      <c r="BF978" s="141">
        <f ca="1">IFERROR(__xludf.DUMMYFUNCTION("""COMPUTED_VALUE"""),45104)</f>
        <v>45104</v>
      </c>
      <c r="BG978" s="141">
        <f ca="1">IFERROR(__xludf.DUMMYFUNCTION("""COMPUTED_VALUE"""),45653)</f>
        <v>45653</v>
      </c>
      <c r="BH978" s="40" t="str">
        <f ca="1">IFERROR(__xludf.DUMMYFUNCTION("""COMPUTED_VALUE"""),"FICHA EN TIEMPO-18 MESES")</f>
        <v>FICHA EN TIEMPO-18 MESES</v>
      </c>
      <c r="BI978" s="40" t="str">
        <f ca="1">IFERROR(__xludf.DUMMYFUNCTION("""COMPUTED_VALUE"""),"En ejecucion")</f>
        <v>En ejecucion</v>
      </c>
      <c r="BJ978" s="40" t="str">
        <f ca="1">IFERROR(__xludf.DUMMYFUNCTION("""COMPUTED_VALUE"""),"Yamboro")</f>
        <v>Yamboro</v>
      </c>
      <c r="BK978" s="40"/>
      <c r="BL978" s="40"/>
    </row>
    <row r="979" spans="1:64" ht="13">
      <c r="A979" s="40"/>
      <c r="B979" s="40" t="str">
        <f ca="1">IFERROR(__xludf.DUMMYFUNCTION("""COMPUTED_VALUE"""),"FORMACIÓN 18/10/2022")</f>
        <v>FORMACIÓN 18/10/2022</v>
      </c>
      <c r="C979" s="40" t="str">
        <f ca="1">IFERROR(__xludf.DUMMYFUNCTION("""COMPUTED_VALUE"""),"FABIO ALEJANDRO RAMIREZ SAAVEDRA")</f>
        <v>FABIO ALEJANDRO RAMIREZ SAAVEDRA</v>
      </c>
      <c r="D979" s="40" t="str">
        <f ca="1">IFERROR(__xludf.DUMMYFUNCTION("""COMPUTED_VALUE"""),"CC")</f>
        <v>CC</v>
      </c>
      <c r="E979" s="40">
        <f ca="1">IFERROR(__xludf.DUMMYFUNCTION("""COMPUTED_VALUE"""),1010193284)</f>
        <v>1010193284</v>
      </c>
      <c r="F979" s="40">
        <f ca="1">IFERROR(__xludf.DUMMYFUNCTION("""COMPUTED_VALUE"""),2348486)</f>
        <v>2348486</v>
      </c>
      <c r="G979" s="40" t="str">
        <f ca="1">IFERROR(__xludf.DUMMYFUNCTION("""COMPUTED_VALUE"""),"TECNÓLOGO")</f>
        <v>TECNÓLOGO</v>
      </c>
      <c r="H979" s="40" t="str">
        <f ca="1">IFERROR(__xludf.DUMMYFUNCTION("""COMPUTED_VALUE"""),"ANALISIS Y DESARROLLO DE SISTEMAS DE INFORMACION")</f>
        <v>ANALISIS Y DESARROLLO DE SISTEMAS DE INFORMACION</v>
      </c>
      <c r="I979" s="40"/>
      <c r="J979" s="40"/>
      <c r="K979" s="40"/>
      <c r="L979" s="40" t="str">
        <f ca="1">IFERROR(__xludf.DUMMYFUNCTION("""COMPUTED_VALUE"""),"NO HA INICIADO ETAPA PRODUCTIVA")</f>
        <v>NO HA INICIADO ETAPA PRODUCTIVA</v>
      </c>
      <c r="M979" s="40"/>
      <c r="N979" s="40"/>
      <c r="O979" s="40"/>
      <c r="P979" s="40"/>
      <c r="Q979" s="40"/>
      <c r="R979" s="140"/>
      <c r="S979" s="140"/>
      <c r="T979" s="40" t="str">
        <f ca="1">IFERROR(__xludf.DUMMYFUNCTION("""COMPUTED_VALUE"""),"debe 26 resultados... Revisado 15/11/2022")</f>
        <v>debe 26 resultados... Revisado 15/11/2022</v>
      </c>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t="str">
        <f ca="1">IFERROR(__xludf.DUMMYFUNCTION("""COMPUTED_VALUE"""),"NO_CUMPLE")</f>
        <v>NO_CUMPLE</v>
      </c>
      <c r="AV979" s="40" t="str">
        <f ca="1">IFERROR(__xludf.DUMMYFUNCTION("""COMPUTED_VALUE"""),"EN FORMACION")</f>
        <v>EN FORMACION</v>
      </c>
      <c r="AW979" s="40" t="str">
        <f ca="1">IFERROR(__xludf.DUMMYFUNCTION("""COMPUTED_VALUE"""),"TIC")</f>
        <v>TIC</v>
      </c>
      <c r="AX979" s="141">
        <f ca="1">IFERROR(__xludf.DUMMYFUNCTION("""COMPUTED_VALUE"""),2)</f>
        <v>2</v>
      </c>
      <c r="AY979" s="40">
        <f ca="1">IFERROR(__xludf.DUMMYFUNCTION("""COMPUTED_VALUE"""),2)</f>
        <v>2</v>
      </c>
      <c r="AZ979" s="40">
        <f ca="1">IFERROR(__xludf.DUMMYFUNCTION("""COMPUTED_VALUE"""),1)</f>
        <v>1</v>
      </c>
      <c r="BA979" s="40">
        <f ca="1">IFERROR(__xludf.DUMMYFUNCTION("""COMPUTED_VALUE"""),6)</f>
        <v>6</v>
      </c>
      <c r="BB979" s="40">
        <f ca="1">IFERROR(__xludf.DUMMYFUNCTION("""COMPUTED_VALUE"""),19)</f>
        <v>19</v>
      </c>
      <c r="BC979" s="40">
        <f ca="1">IFERROR(__xludf.DUMMYFUNCTION("""COMPUTED_VALUE"""),28)</f>
        <v>28</v>
      </c>
      <c r="BD979" s="141">
        <f ca="1">IFERROR(__xludf.DUMMYFUNCTION("""COMPUTED_VALUE"""),44375)</f>
        <v>44375</v>
      </c>
      <c r="BE979" s="141">
        <f ca="1">IFERROR(__xludf.DUMMYFUNCTION("""COMPUTED_VALUE"""),44922)</f>
        <v>44922</v>
      </c>
      <c r="BF979" s="141">
        <f ca="1">IFERROR(__xludf.DUMMYFUNCTION("""COMPUTED_VALUE"""),45104)</f>
        <v>45104</v>
      </c>
      <c r="BG979" s="141">
        <f ca="1">IFERROR(__xludf.DUMMYFUNCTION("""COMPUTED_VALUE"""),45653)</f>
        <v>45653</v>
      </c>
      <c r="BH979" s="40" t="str">
        <f ca="1">IFERROR(__xludf.DUMMYFUNCTION("""COMPUTED_VALUE"""),"FICHA EN TIEMPO-18 MESES")</f>
        <v>FICHA EN TIEMPO-18 MESES</v>
      </c>
      <c r="BI979" s="40" t="str">
        <f ca="1">IFERROR(__xludf.DUMMYFUNCTION("""COMPUTED_VALUE"""),"En ejecucion")</f>
        <v>En ejecucion</v>
      </c>
      <c r="BJ979" s="40" t="str">
        <f ca="1">IFERROR(__xludf.DUMMYFUNCTION("""COMPUTED_VALUE"""),"Yamboro")</f>
        <v>Yamboro</v>
      </c>
      <c r="BK979" s="40"/>
      <c r="BL979" s="40"/>
    </row>
    <row r="980" spans="1:64" ht="13">
      <c r="A980" s="40"/>
      <c r="B980" s="40" t="str">
        <f ca="1">IFERROR(__xludf.DUMMYFUNCTION("""COMPUTED_VALUE"""),"FORMACIÓN 18/10/2022")</f>
        <v>FORMACIÓN 18/10/2022</v>
      </c>
      <c r="C980" s="40" t="str">
        <f ca="1">IFERROR(__xludf.DUMMYFUNCTION("""COMPUTED_VALUE"""),"JULIANA ANDREA CAICEDO AVILA")</f>
        <v>JULIANA ANDREA CAICEDO AVILA</v>
      </c>
      <c r="D980" s="40" t="str">
        <f ca="1">IFERROR(__xludf.DUMMYFUNCTION("""COMPUTED_VALUE"""),"TI")</f>
        <v>TI</v>
      </c>
      <c r="E980" s="40">
        <f ca="1">IFERROR(__xludf.DUMMYFUNCTION("""COMPUTED_VALUE"""),1013100917)</f>
        <v>1013100917</v>
      </c>
      <c r="F980" s="40">
        <f ca="1">IFERROR(__xludf.DUMMYFUNCTION("""COMPUTED_VALUE"""),2348486)</f>
        <v>2348486</v>
      </c>
      <c r="G980" s="40" t="str">
        <f ca="1">IFERROR(__xludf.DUMMYFUNCTION("""COMPUTED_VALUE"""),"TECNÓLOGO")</f>
        <v>TECNÓLOGO</v>
      </c>
      <c r="H980" s="40" t="str">
        <f ca="1">IFERROR(__xludf.DUMMYFUNCTION("""COMPUTED_VALUE"""),"ANALISIS Y DESARROLLO DE SISTEMAS DE INFORMACION")</f>
        <v>ANALISIS Y DESARROLLO DE SISTEMAS DE INFORMACION</v>
      </c>
      <c r="I980" s="40"/>
      <c r="J980" s="40"/>
      <c r="K980" s="40"/>
      <c r="L980" s="40" t="str">
        <f ca="1">IFERROR(__xludf.DUMMYFUNCTION("""COMPUTED_VALUE"""),"NO HA INICIADO ETAPA PRODUCTIVA")</f>
        <v>NO HA INICIADO ETAPA PRODUCTIVA</v>
      </c>
      <c r="M980" s="40"/>
      <c r="N980" s="40"/>
      <c r="O980" s="40"/>
      <c r="P980" s="40"/>
      <c r="Q980" s="40"/>
      <c r="R980" s="140"/>
      <c r="S980" s="140"/>
      <c r="T980" s="40" t="str">
        <f ca="1">IFERROR(__xludf.DUMMYFUNCTION("""COMPUTED_VALUE"""),"debe 52 resultados... Revisado 15/11/2022")</f>
        <v>debe 52 resultados... Revisado 15/11/2022</v>
      </c>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t="str">
        <f ca="1">IFERROR(__xludf.DUMMYFUNCTION("""COMPUTED_VALUE"""),"NO_CUMPLE")</f>
        <v>NO_CUMPLE</v>
      </c>
      <c r="AV980" s="40" t="str">
        <f ca="1">IFERROR(__xludf.DUMMYFUNCTION("""COMPUTED_VALUE"""),"EN FORMACION")</f>
        <v>EN FORMACION</v>
      </c>
      <c r="AW980" s="40" t="str">
        <f ca="1">IFERROR(__xludf.DUMMYFUNCTION("""COMPUTED_VALUE"""),"TIC")</f>
        <v>TIC</v>
      </c>
      <c r="AX980" s="141">
        <f ca="1">IFERROR(__xludf.DUMMYFUNCTION("""COMPUTED_VALUE"""),8)</f>
        <v>8</v>
      </c>
      <c r="AY980" s="40">
        <f ca="1">IFERROR(__xludf.DUMMYFUNCTION("""COMPUTED_VALUE"""),8)</f>
        <v>8</v>
      </c>
      <c r="AZ980" s="40">
        <f ca="1">IFERROR(__xludf.DUMMYFUNCTION("""COMPUTED_VALUE"""),1)</f>
        <v>1</v>
      </c>
      <c r="BA980" s="40">
        <f ca="1">IFERROR(__xludf.DUMMYFUNCTION("""COMPUTED_VALUE"""),14)</f>
        <v>14</v>
      </c>
      <c r="BB980" s="40">
        <f ca="1">IFERROR(__xludf.DUMMYFUNCTION("""COMPUTED_VALUE"""),30)</f>
        <v>30</v>
      </c>
      <c r="BC980" s="40">
        <f ca="1">IFERROR(__xludf.DUMMYFUNCTION("""COMPUTED_VALUE"""),53)</f>
        <v>53</v>
      </c>
      <c r="BD980" s="141">
        <f ca="1">IFERROR(__xludf.DUMMYFUNCTION("""COMPUTED_VALUE"""),44375)</f>
        <v>44375</v>
      </c>
      <c r="BE980" s="141">
        <f ca="1">IFERROR(__xludf.DUMMYFUNCTION("""COMPUTED_VALUE"""),44922)</f>
        <v>44922</v>
      </c>
      <c r="BF980" s="141">
        <f ca="1">IFERROR(__xludf.DUMMYFUNCTION("""COMPUTED_VALUE"""),45104)</f>
        <v>45104</v>
      </c>
      <c r="BG980" s="141">
        <f ca="1">IFERROR(__xludf.DUMMYFUNCTION("""COMPUTED_VALUE"""),45653)</f>
        <v>45653</v>
      </c>
      <c r="BH980" s="40" t="str">
        <f ca="1">IFERROR(__xludf.DUMMYFUNCTION("""COMPUTED_VALUE"""),"FICHA EN TIEMPO-18 MESES")</f>
        <v>FICHA EN TIEMPO-18 MESES</v>
      </c>
      <c r="BI980" s="40" t="str">
        <f ca="1">IFERROR(__xludf.DUMMYFUNCTION("""COMPUTED_VALUE"""),"En ejecucion")</f>
        <v>En ejecucion</v>
      </c>
      <c r="BJ980" s="40" t="str">
        <f ca="1">IFERROR(__xludf.DUMMYFUNCTION("""COMPUTED_VALUE"""),"Yamboro")</f>
        <v>Yamboro</v>
      </c>
      <c r="BK980" s="40"/>
      <c r="BL980" s="40"/>
    </row>
    <row r="981" spans="1:64" ht="13">
      <c r="A981" s="40"/>
      <c r="B981" s="40" t="str">
        <f ca="1">IFERROR(__xludf.DUMMYFUNCTION("""COMPUTED_VALUE"""),"FORMACIÓN 18/10/2022")</f>
        <v>FORMACIÓN 18/10/2022</v>
      </c>
      <c r="C981" s="40" t="str">
        <f ca="1">IFERROR(__xludf.DUMMYFUNCTION("""COMPUTED_VALUE"""),"FABIAN ORLANDO BEJARANO PARRA")</f>
        <v>FABIAN ORLANDO BEJARANO PARRA</v>
      </c>
      <c r="D981" s="40" t="str">
        <f ca="1">IFERROR(__xludf.DUMMYFUNCTION("""COMPUTED_VALUE"""),"CC")</f>
        <v>CC</v>
      </c>
      <c r="E981" s="40">
        <f ca="1">IFERROR(__xludf.DUMMYFUNCTION("""COMPUTED_VALUE"""),1013616884)</f>
        <v>1013616884</v>
      </c>
      <c r="F981" s="40">
        <f ca="1">IFERROR(__xludf.DUMMYFUNCTION("""COMPUTED_VALUE"""),2348486)</f>
        <v>2348486</v>
      </c>
      <c r="G981" s="40" t="str">
        <f ca="1">IFERROR(__xludf.DUMMYFUNCTION("""COMPUTED_VALUE"""),"TECNÓLOGO")</f>
        <v>TECNÓLOGO</v>
      </c>
      <c r="H981" s="40" t="str">
        <f ca="1">IFERROR(__xludf.DUMMYFUNCTION("""COMPUTED_VALUE"""),"ANALISIS Y DESARROLLO DE SISTEMAS DE INFORMACION")</f>
        <v>ANALISIS Y DESARROLLO DE SISTEMAS DE INFORMACION</v>
      </c>
      <c r="I981" s="40"/>
      <c r="J981" s="40"/>
      <c r="K981" s="40"/>
      <c r="L981" s="40" t="str">
        <f ca="1">IFERROR(__xludf.DUMMYFUNCTION("""COMPUTED_VALUE"""),"NO HA INICIADO ETAPA PRODUCTIVA")</f>
        <v>NO HA INICIADO ETAPA PRODUCTIVA</v>
      </c>
      <c r="M981" s="40"/>
      <c r="N981" s="40"/>
      <c r="O981" s="40"/>
      <c r="P981" s="40"/>
      <c r="Q981" s="40"/>
      <c r="R981" s="140"/>
      <c r="S981" s="140"/>
      <c r="T981" s="40" t="str">
        <f ca="1">IFERROR(__xludf.DUMMYFUNCTION("""COMPUTED_VALUE"""),"debe 55 resultados... Revisado 15/11/2022")</f>
        <v>debe 55 resultados... Revisado 15/11/2022</v>
      </c>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t="str">
        <f ca="1">IFERROR(__xludf.DUMMYFUNCTION("""COMPUTED_VALUE"""),"NO_CUMPLE")</f>
        <v>NO_CUMPLE</v>
      </c>
      <c r="AV981" s="40" t="str">
        <f ca="1">IFERROR(__xludf.DUMMYFUNCTION("""COMPUTED_VALUE"""),"EN FORMACION")</f>
        <v>EN FORMACION</v>
      </c>
      <c r="AW981" s="40" t="str">
        <f ca="1">IFERROR(__xludf.DUMMYFUNCTION("""COMPUTED_VALUE"""),"TIC")</f>
        <v>TIC</v>
      </c>
      <c r="AX981" s="141">
        <f ca="1">IFERROR(__xludf.DUMMYFUNCTION("""COMPUTED_VALUE"""),11)</f>
        <v>11</v>
      </c>
      <c r="AY981" s="40">
        <f ca="1">IFERROR(__xludf.DUMMYFUNCTION("""COMPUTED_VALUE"""),11)</f>
        <v>11</v>
      </c>
      <c r="AZ981" s="40">
        <f ca="1">IFERROR(__xludf.DUMMYFUNCTION("""COMPUTED_VALUE"""),1)</f>
        <v>1</v>
      </c>
      <c r="BA981" s="40">
        <f ca="1">IFERROR(__xludf.DUMMYFUNCTION("""COMPUTED_VALUE"""),14)</f>
        <v>14</v>
      </c>
      <c r="BB981" s="40">
        <f ca="1">IFERROR(__xludf.DUMMYFUNCTION("""COMPUTED_VALUE"""),34)</f>
        <v>34</v>
      </c>
      <c r="BC981" s="40">
        <f ca="1">IFERROR(__xludf.DUMMYFUNCTION("""COMPUTED_VALUE"""),60)</f>
        <v>60</v>
      </c>
      <c r="BD981" s="141">
        <f ca="1">IFERROR(__xludf.DUMMYFUNCTION("""COMPUTED_VALUE"""),44375)</f>
        <v>44375</v>
      </c>
      <c r="BE981" s="141">
        <f ca="1">IFERROR(__xludf.DUMMYFUNCTION("""COMPUTED_VALUE"""),44922)</f>
        <v>44922</v>
      </c>
      <c r="BF981" s="141">
        <f ca="1">IFERROR(__xludf.DUMMYFUNCTION("""COMPUTED_VALUE"""),45104)</f>
        <v>45104</v>
      </c>
      <c r="BG981" s="141">
        <f ca="1">IFERROR(__xludf.DUMMYFUNCTION("""COMPUTED_VALUE"""),45653)</f>
        <v>45653</v>
      </c>
      <c r="BH981" s="40" t="str">
        <f ca="1">IFERROR(__xludf.DUMMYFUNCTION("""COMPUTED_VALUE"""),"FICHA EN TIEMPO-18 MESES")</f>
        <v>FICHA EN TIEMPO-18 MESES</v>
      </c>
      <c r="BI981" s="40" t="str">
        <f ca="1">IFERROR(__xludf.DUMMYFUNCTION("""COMPUTED_VALUE"""),"En ejecucion")</f>
        <v>En ejecucion</v>
      </c>
      <c r="BJ981" s="40" t="str">
        <f ca="1">IFERROR(__xludf.DUMMYFUNCTION("""COMPUTED_VALUE"""),"Yamboro")</f>
        <v>Yamboro</v>
      </c>
      <c r="BK981" s="40"/>
      <c r="BL981" s="40"/>
    </row>
    <row r="982" spans="1:64" ht="13">
      <c r="A982" s="40"/>
      <c r="B982" s="40" t="str">
        <f ca="1">IFERROR(__xludf.DUMMYFUNCTION("""COMPUTED_VALUE"""),"FORMACIÓN 18/10/2022")</f>
        <v>FORMACIÓN 18/10/2022</v>
      </c>
      <c r="C982" s="40" t="str">
        <f ca="1">IFERROR(__xludf.DUMMYFUNCTION("""COMPUTED_VALUE"""),"JUAN DAVID SAAVEDRA BORRERO")</f>
        <v>JUAN DAVID SAAVEDRA BORRERO</v>
      </c>
      <c r="D982" s="40" t="str">
        <f ca="1">IFERROR(__xludf.DUMMYFUNCTION("""COMPUTED_VALUE"""),"CC")</f>
        <v>CC</v>
      </c>
      <c r="E982" s="40">
        <f ca="1">IFERROR(__xludf.DUMMYFUNCTION("""COMPUTED_VALUE"""),1014657123)</f>
        <v>1014657123</v>
      </c>
      <c r="F982" s="40">
        <f ca="1">IFERROR(__xludf.DUMMYFUNCTION("""COMPUTED_VALUE"""),2348486)</f>
        <v>2348486</v>
      </c>
      <c r="G982" s="40" t="str">
        <f ca="1">IFERROR(__xludf.DUMMYFUNCTION("""COMPUTED_VALUE"""),"TECNÓLOGO")</f>
        <v>TECNÓLOGO</v>
      </c>
      <c r="H982" s="40" t="str">
        <f ca="1">IFERROR(__xludf.DUMMYFUNCTION("""COMPUTED_VALUE"""),"ANALISIS Y DESARROLLO DE SISTEMAS DE INFORMACION")</f>
        <v>ANALISIS Y DESARROLLO DE SISTEMAS DE INFORMACION</v>
      </c>
      <c r="I982" s="40"/>
      <c r="J982" s="40"/>
      <c r="K982" s="40"/>
      <c r="L982" s="40" t="str">
        <f ca="1">IFERROR(__xludf.DUMMYFUNCTION("""COMPUTED_VALUE"""),"NO HA INICIADO ETAPA PRODUCTIVA")</f>
        <v>NO HA INICIADO ETAPA PRODUCTIVA</v>
      </c>
      <c r="M982" s="40"/>
      <c r="N982" s="40"/>
      <c r="O982" s="40"/>
      <c r="P982" s="40"/>
      <c r="Q982" s="40"/>
      <c r="R982" s="140"/>
      <c r="S982" s="140"/>
      <c r="T982" s="40" t="str">
        <f ca="1">IFERROR(__xludf.DUMMYFUNCTION("""COMPUTED_VALUE"""),"debe 41 resultados... Revisado 15/11/2022")</f>
        <v>debe 41 resultados... Revisado 15/11/2022</v>
      </c>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t="str">
        <f ca="1">IFERROR(__xludf.DUMMYFUNCTION("""COMPUTED_VALUE"""),"NO_CUMPLE")</f>
        <v>NO_CUMPLE</v>
      </c>
      <c r="AV982" s="40" t="str">
        <f ca="1">IFERROR(__xludf.DUMMYFUNCTION("""COMPUTED_VALUE"""),"EN FORMACION")</f>
        <v>EN FORMACION</v>
      </c>
      <c r="AW982" s="40" t="str">
        <f ca="1">IFERROR(__xludf.DUMMYFUNCTION("""COMPUTED_VALUE"""),"TIC")</f>
        <v>TIC</v>
      </c>
      <c r="AX982" s="141">
        <f ca="1">IFERROR(__xludf.DUMMYFUNCTION("""COMPUTED_VALUE"""),8)</f>
        <v>8</v>
      </c>
      <c r="AY982" s="40">
        <f ca="1">IFERROR(__xludf.DUMMYFUNCTION("""COMPUTED_VALUE"""),8)</f>
        <v>8</v>
      </c>
      <c r="AZ982" s="40">
        <f ca="1">IFERROR(__xludf.DUMMYFUNCTION("""COMPUTED_VALUE"""),1)</f>
        <v>1</v>
      </c>
      <c r="BA982" s="40">
        <f ca="1">IFERROR(__xludf.DUMMYFUNCTION("""COMPUTED_VALUE"""),8)</f>
        <v>8</v>
      </c>
      <c r="BB982" s="40">
        <f ca="1">IFERROR(__xludf.DUMMYFUNCTION("""COMPUTED_VALUE"""),27)</f>
        <v>27</v>
      </c>
      <c r="BC982" s="40">
        <f ca="1">IFERROR(__xludf.DUMMYFUNCTION("""COMPUTED_VALUE"""),44)</f>
        <v>44</v>
      </c>
      <c r="BD982" s="141">
        <f ca="1">IFERROR(__xludf.DUMMYFUNCTION("""COMPUTED_VALUE"""),44375)</f>
        <v>44375</v>
      </c>
      <c r="BE982" s="141">
        <f ca="1">IFERROR(__xludf.DUMMYFUNCTION("""COMPUTED_VALUE"""),44922)</f>
        <v>44922</v>
      </c>
      <c r="BF982" s="141">
        <f ca="1">IFERROR(__xludf.DUMMYFUNCTION("""COMPUTED_VALUE"""),45104)</f>
        <v>45104</v>
      </c>
      <c r="BG982" s="141">
        <f ca="1">IFERROR(__xludf.DUMMYFUNCTION("""COMPUTED_VALUE"""),45653)</f>
        <v>45653</v>
      </c>
      <c r="BH982" s="40" t="str">
        <f ca="1">IFERROR(__xludf.DUMMYFUNCTION("""COMPUTED_VALUE"""),"FICHA EN TIEMPO-18 MESES")</f>
        <v>FICHA EN TIEMPO-18 MESES</v>
      </c>
      <c r="BI982" s="40" t="str">
        <f ca="1">IFERROR(__xludf.DUMMYFUNCTION("""COMPUTED_VALUE"""),"En ejecucion")</f>
        <v>En ejecucion</v>
      </c>
      <c r="BJ982" s="40" t="str">
        <f ca="1">IFERROR(__xludf.DUMMYFUNCTION("""COMPUTED_VALUE"""),"Yamboro")</f>
        <v>Yamboro</v>
      </c>
      <c r="BK982" s="40"/>
      <c r="BL982" s="40"/>
    </row>
    <row r="983" spans="1:64" ht="13">
      <c r="A983" s="40"/>
      <c r="B983" s="40" t="str">
        <f ca="1">IFERROR(__xludf.DUMMYFUNCTION("""COMPUTED_VALUE"""),"FORMACIÓN 18/10/2022")</f>
        <v>FORMACIÓN 18/10/2022</v>
      </c>
      <c r="C983" s="40" t="str">
        <f ca="1">IFERROR(__xludf.DUMMYFUNCTION("""COMPUTED_VALUE"""),"EVELIN GISET CAÑOLA RESTREPO")</f>
        <v>EVELIN GISET CAÑOLA RESTREPO</v>
      </c>
      <c r="D983" s="40" t="str">
        <f ca="1">IFERROR(__xludf.DUMMYFUNCTION("""COMPUTED_VALUE"""),"CC")</f>
        <v>CC</v>
      </c>
      <c r="E983" s="40">
        <f ca="1">IFERROR(__xludf.DUMMYFUNCTION("""COMPUTED_VALUE"""),1017265605)</f>
        <v>1017265605</v>
      </c>
      <c r="F983" s="40">
        <f ca="1">IFERROR(__xludf.DUMMYFUNCTION("""COMPUTED_VALUE"""),2348486)</f>
        <v>2348486</v>
      </c>
      <c r="G983" s="40" t="str">
        <f ca="1">IFERROR(__xludf.DUMMYFUNCTION("""COMPUTED_VALUE"""),"TECNÓLOGO")</f>
        <v>TECNÓLOGO</v>
      </c>
      <c r="H983" s="40" t="str">
        <f ca="1">IFERROR(__xludf.DUMMYFUNCTION("""COMPUTED_VALUE"""),"ANALISIS Y DESARROLLO DE SISTEMAS DE INFORMACION")</f>
        <v>ANALISIS Y DESARROLLO DE SISTEMAS DE INFORMACION</v>
      </c>
      <c r="I983" s="40"/>
      <c r="J983" s="40"/>
      <c r="K983" s="40"/>
      <c r="L983" s="40" t="str">
        <f ca="1">IFERROR(__xludf.DUMMYFUNCTION("""COMPUTED_VALUE"""),"NO HA INICIADO ETAPA PRODUCTIVA")</f>
        <v>NO HA INICIADO ETAPA PRODUCTIVA</v>
      </c>
      <c r="M983" s="40"/>
      <c r="N983" s="40"/>
      <c r="O983" s="40"/>
      <c r="P983" s="40"/>
      <c r="Q983" s="40"/>
      <c r="R983" s="140"/>
      <c r="S983" s="140"/>
      <c r="T983" s="40" t="str">
        <f ca="1">IFERROR(__xludf.DUMMYFUNCTION("""COMPUTED_VALUE"""),"debe 58 resultados... Revisado 15/11/2022")</f>
        <v>debe 58 resultados... Revisado 15/11/2022</v>
      </c>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t="str">
        <f ca="1">IFERROR(__xludf.DUMMYFUNCTION("""COMPUTED_VALUE"""),"NO_CUMPLE")</f>
        <v>NO_CUMPLE</v>
      </c>
      <c r="AV983" s="40" t="str">
        <f ca="1">IFERROR(__xludf.DUMMYFUNCTION("""COMPUTED_VALUE"""),"EN FORMACION")</f>
        <v>EN FORMACION</v>
      </c>
      <c r="AW983" s="40" t="str">
        <f ca="1">IFERROR(__xludf.DUMMYFUNCTION("""COMPUTED_VALUE"""),"TIC")</f>
        <v>TIC</v>
      </c>
      <c r="AX983" s="141">
        <f ca="1">IFERROR(__xludf.DUMMYFUNCTION("""COMPUTED_VALUE"""),14)</f>
        <v>14</v>
      </c>
      <c r="AY983" s="40">
        <f ca="1">IFERROR(__xludf.DUMMYFUNCTION("""COMPUTED_VALUE"""),14)</f>
        <v>14</v>
      </c>
      <c r="AZ983" s="40">
        <f ca="1">IFERROR(__xludf.DUMMYFUNCTION("""COMPUTED_VALUE"""),1)</f>
        <v>1</v>
      </c>
      <c r="BA983" s="40">
        <f ca="1">IFERROR(__xludf.DUMMYFUNCTION("""COMPUTED_VALUE"""),15)</f>
        <v>15</v>
      </c>
      <c r="BB983" s="40">
        <f ca="1">IFERROR(__xludf.DUMMYFUNCTION("""COMPUTED_VALUE"""),36)</f>
        <v>36</v>
      </c>
      <c r="BC983" s="40">
        <f ca="1">IFERROR(__xludf.DUMMYFUNCTION("""COMPUTED_VALUE"""),66)</f>
        <v>66</v>
      </c>
      <c r="BD983" s="141">
        <f ca="1">IFERROR(__xludf.DUMMYFUNCTION("""COMPUTED_VALUE"""),44375)</f>
        <v>44375</v>
      </c>
      <c r="BE983" s="141">
        <f ca="1">IFERROR(__xludf.DUMMYFUNCTION("""COMPUTED_VALUE"""),44922)</f>
        <v>44922</v>
      </c>
      <c r="BF983" s="141">
        <f ca="1">IFERROR(__xludf.DUMMYFUNCTION("""COMPUTED_VALUE"""),45104)</f>
        <v>45104</v>
      </c>
      <c r="BG983" s="141">
        <f ca="1">IFERROR(__xludf.DUMMYFUNCTION("""COMPUTED_VALUE"""),45653)</f>
        <v>45653</v>
      </c>
      <c r="BH983" s="40" t="str">
        <f ca="1">IFERROR(__xludf.DUMMYFUNCTION("""COMPUTED_VALUE"""),"FICHA EN TIEMPO-18 MESES")</f>
        <v>FICHA EN TIEMPO-18 MESES</v>
      </c>
      <c r="BI983" s="40" t="str">
        <f ca="1">IFERROR(__xludf.DUMMYFUNCTION("""COMPUTED_VALUE"""),"En ejecucion")</f>
        <v>En ejecucion</v>
      </c>
      <c r="BJ983" s="40" t="str">
        <f ca="1">IFERROR(__xludf.DUMMYFUNCTION("""COMPUTED_VALUE"""),"Yamboro")</f>
        <v>Yamboro</v>
      </c>
      <c r="BK983" s="40"/>
      <c r="BL983" s="40"/>
    </row>
    <row r="984" spans="1:64" ht="13">
      <c r="A984" s="40"/>
      <c r="B984" s="40" t="str">
        <f ca="1">IFERROR(__xludf.DUMMYFUNCTION("""COMPUTED_VALUE"""),"FORMACIÓN 18/10/2022")</f>
        <v>FORMACIÓN 18/10/2022</v>
      </c>
      <c r="C984" s="40" t="str">
        <f ca="1">IFERROR(__xludf.DUMMYFUNCTION("""COMPUTED_VALUE"""),"KERLY VIVIANA PRADA HERRERA")</f>
        <v>KERLY VIVIANA PRADA HERRERA</v>
      </c>
      <c r="D984" s="40" t="str">
        <f ca="1">IFERROR(__xludf.DUMMYFUNCTION("""COMPUTED_VALUE"""),"CC")</f>
        <v>CC</v>
      </c>
      <c r="E984" s="40">
        <f ca="1">IFERROR(__xludf.DUMMYFUNCTION("""COMPUTED_VALUE"""),1018465980)</f>
        <v>1018465980</v>
      </c>
      <c r="F984" s="40">
        <f ca="1">IFERROR(__xludf.DUMMYFUNCTION("""COMPUTED_VALUE"""),2348486)</f>
        <v>2348486</v>
      </c>
      <c r="G984" s="40" t="str">
        <f ca="1">IFERROR(__xludf.DUMMYFUNCTION("""COMPUTED_VALUE"""),"TECNÓLOGO")</f>
        <v>TECNÓLOGO</v>
      </c>
      <c r="H984" s="40" t="str">
        <f ca="1">IFERROR(__xludf.DUMMYFUNCTION("""COMPUTED_VALUE"""),"ANALISIS Y DESARROLLO DE SISTEMAS DE INFORMACION")</f>
        <v>ANALISIS Y DESARROLLO DE SISTEMAS DE INFORMACION</v>
      </c>
      <c r="I984" s="40"/>
      <c r="J984" s="40"/>
      <c r="K984" s="40"/>
      <c r="L984" s="40" t="str">
        <f ca="1">IFERROR(__xludf.DUMMYFUNCTION("""COMPUTED_VALUE"""),"NO HA INICIADO ETAPA PRODUCTIVA")</f>
        <v>NO HA INICIADO ETAPA PRODUCTIVA</v>
      </c>
      <c r="M984" s="40"/>
      <c r="N984" s="40"/>
      <c r="O984" s="40"/>
      <c r="P984" s="40"/>
      <c r="Q984" s="40"/>
      <c r="R984" s="140"/>
      <c r="S984" s="140"/>
      <c r="T984" s="40" t="str">
        <f ca="1">IFERROR(__xludf.DUMMYFUNCTION("""COMPUTED_VALUE"""),"debe 27 resultados... Revisado 15/11/2022")</f>
        <v>debe 27 resultados... Revisado 15/11/2022</v>
      </c>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t="str">
        <f ca="1">IFERROR(__xludf.DUMMYFUNCTION("""COMPUTED_VALUE"""),"NO_CUMPLE")</f>
        <v>NO_CUMPLE</v>
      </c>
      <c r="AV984" s="40" t="str">
        <f ca="1">IFERROR(__xludf.DUMMYFUNCTION("""COMPUTED_VALUE"""),"EN FORMACION")</f>
        <v>EN FORMACION</v>
      </c>
      <c r="AW984" s="40" t="str">
        <f ca="1">IFERROR(__xludf.DUMMYFUNCTION("""COMPUTED_VALUE"""),"TIC")</f>
        <v>TIC</v>
      </c>
      <c r="AX984" s="141">
        <f ca="1">IFERROR(__xludf.DUMMYFUNCTION("""COMPUTED_VALUE"""),2)</f>
        <v>2</v>
      </c>
      <c r="AY984" s="40">
        <f ca="1">IFERROR(__xludf.DUMMYFUNCTION("""COMPUTED_VALUE"""),2)</f>
        <v>2</v>
      </c>
      <c r="AZ984" s="40">
        <f ca="1">IFERROR(__xludf.DUMMYFUNCTION("""COMPUTED_VALUE"""),1)</f>
        <v>1</v>
      </c>
      <c r="BA984" s="40">
        <f ca="1">IFERROR(__xludf.DUMMYFUNCTION("""COMPUTED_VALUE"""),7)</f>
        <v>7</v>
      </c>
      <c r="BB984" s="40">
        <f ca="1">IFERROR(__xludf.DUMMYFUNCTION("""COMPUTED_VALUE"""),20)</f>
        <v>20</v>
      </c>
      <c r="BC984" s="40">
        <f ca="1">IFERROR(__xludf.DUMMYFUNCTION("""COMPUTED_VALUE"""),30)</f>
        <v>30</v>
      </c>
      <c r="BD984" s="141">
        <f ca="1">IFERROR(__xludf.DUMMYFUNCTION("""COMPUTED_VALUE"""),44375)</f>
        <v>44375</v>
      </c>
      <c r="BE984" s="141">
        <f ca="1">IFERROR(__xludf.DUMMYFUNCTION("""COMPUTED_VALUE"""),44922)</f>
        <v>44922</v>
      </c>
      <c r="BF984" s="141">
        <f ca="1">IFERROR(__xludf.DUMMYFUNCTION("""COMPUTED_VALUE"""),45104)</f>
        <v>45104</v>
      </c>
      <c r="BG984" s="141">
        <f ca="1">IFERROR(__xludf.DUMMYFUNCTION("""COMPUTED_VALUE"""),45653)</f>
        <v>45653</v>
      </c>
      <c r="BH984" s="40" t="str">
        <f ca="1">IFERROR(__xludf.DUMMYFUNCTION("""COMPUTED_VALUE"""),"FICHA EN TIEMPO-18 MESES")</f>
        <v>FICHA EN TIEMPO-18 MESES</v>
      </c>
      <c r="BI984" s="40" t="str">
        <f ca="1">IFERROR(__xludf.DUMMYFUNCTION("""COMPUTED_VALUE"""),"En ejecucion")</f>
        <v>En ejecucion</v>
      </c>
      <c r="BJ984" s="40" t="str">
        <f ca="1">IFERROR(__xludf.DUMMYFUNCTION("""COMPUTED_VALUE"""),"Yamboro")</f>
        <v>Yamboro</v>
      </c>
      <c r="BK984" s="40"/>
      <c r="BL984" s="40"/>
    </row>
    <row r="985" spans="1:64" ht="13">
      <c r="A985" s="40"/>
      <c r="B985" s="40" t="str">
        <f ca="1">IFERROR(__xludf.DUMMYFUNCTION("""COMPUTED_VALUE"""),"FORMACIÓN 18/10/2022")</f>
        <v>FORMACIÓN 18/10/2022</v>
      </c>
      <c r="C985" s="40" t="str">
        <f ca="1">IFERROR(__xludf.DUMMYFUNCTION("""COMPUTED_VALUE"""),"DAVID LEONARDO GUERRA LEON")</f>
        <v>DAVID LEONARDO GUERRA LEON</v>
      </c>
      <c r="D985" s="40" t="str">
        <f ca="1">IFERROR(__xludf.DUMMYFUNCTION("""COMPUTED_VALUE"""),"CC")</f>
        <v>CC</v>
      </c>
      <c r="E985" s="40">
        <f ca="1">IFERROR(__xludf.DUMMYFUNCTION("""COMPUTED_VALUE"""),1025141206)</f>
        <v>1025141206</v>
      </c>
      <c r="F985" s="40">
        <f ca="1">IFERROR(__xludf.DUMMYFUNCTION("""COMPUTED_VALUE"""),2348486)</f>
        <v>2348486</v>
      </c>
      <c r="G985" s="40" t="str">
        <f ca="1">IFERROR(__xludf.DUMMYFUNCTION("""COMPUTED_VALUE"""),"TECNÓLOGO")</f>
        <v>TECNÓLOGO</v>
      </c>
      <c r="H985" s="40" t="str">
        <f ca="1">IFERROR(__xludf.DUMMYFUNCTION("""COMPUTED_VALUE"""),"ANALISIS Y DESARROLLO DE SISTEMAS DE INFORMACION")</f>
        <v>ANALISIS Y DESARROLLO DE SISTEMAS DE INFORMACION</v>
      </c>
      <c r="I985" s="40"/>
      <c r="J985" s="40"/>
      <c r="K985" s="40"/>
      <c r="L985" s="40" t="str">
        <f ca="1">IFERROR(__xludf.DUMMYFUNCTION("""COMPUTED_VALUE"""),"NO HA INICIADO ETAPA PRODUCTIVA")</f>
        <v>NO HA INICIADO ETAPA PRODUCTIVA</v>
      </c>
      <c r="M985" s="40"/>
      <c r="N985" s="40"/>
      <c r="O985" s="40"/>
      <c r="P985" s="40"/>
      <c r="Q985" s="40"/>
      <c r="R985" s="140"/>
      <c r="S985" s="140"/>
      <c r="T985" s="40" t="str">
        <f ca="1">IFERROR(__xludf.DUMMYFUNCTION("""COMPUTED_VALUE"""),"debe 28 resultados... Revisado 15/11/2022")</f>
        <v>debe 28 resultados... Revisado 15/11/2022</v>
      </c>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t="str">
        <f ca="1">IFERROR(__xludf.DUMMYFUNCTION("""COMPUTED_VALUE"""),"NO_CUMPLE")</f>
        <v>NO_CUMPLE</v>
      </c>
      <c r="AV985" s="40" t="str">
        <f ca="1">IFERROR(__xludf.DUMMYFUNCTION("""COMPUTED_VALUE"""),"EN FORMACION")</f>
        <v>EN FORMACION</v>
      </c>
      <c r="AW985" s="40" t="str">
        <f ca="1">IFERROR(__xludf.DUMMYFUNCTION("""COMPUTED_VALUE"""),"TIC")</f>
        <v>TIC</v>
      </c>
      <c r="AX985" s="141">
        <f ca="1">IFERROR(__xludf.DUMMYFUNCTION("""COMPUTED_VALUE"""),3)</f>
        <v>3</v>
      </c>
      <c r="AY985" s="40">
        <f ca="1">IFERROR(__xludf.DUMMYFUNCTION("""COMPUTED_VALUE"""),3)</f>
        <v>3</v>
      </c>
      <c r="AZ985" s="40">
        <f ca="1">IFERROR(__xludf.DUMMYFUNCTION("""COMPUTED_VALUE"""),1)</f>
        <v>1</v>
      </c>
      <c r="BA985" s="40">
        <f ca="1">IFERROR(__xludf.DUMMYFUNCTION("""COMPUTED_VALUE"""),6)</f>
        <v>6</v>
      </c>
      <c r="BB985" s="40">
        <f ca="1">IFERROR(__xludf.DUMMYFUNCTION("""COMPUTED_VALUE"""),19)</f>
        <v>19</v>
      </c>
      <c r="BC985" s="40">
        <f ca="1">IFERROR(__xludf.DUMMYFUNCTION("""COMPUTED_VALUE"""),29)</f>
        <v>29</v>
      </c>
      <c r="BD985" s="141">
        <f ca="1">IFERROR(__xludf.DUMMYFUNCTION("""COMPUTED_VALUE"""),44375)</f>
        <v>44375</v>
      </c>
      <c r="BE985" s="141">
        <f ca="1">IFERROR(__xludf.DUMMYFUNCTION("""COMPUTED_VALUE"""),44922)</f>
        <v>44922</v>
      </c>
      <c r="BF985" s="141">
        <f ca="1">IFERROR(__xludf.DUMMYFUNCTION("""COMPUTED_VALUE"""),45104)</f>
        <v>45104</v>
      </c>
      <c r="BG985" s="141">
        <f ca="1">IFERROR(__xludf.DUMMYFUNCTION("""COMPUTED_VALUE"""),45653)</f>
        <v>45653</v>
      </c>
      <c r="BH985" s="40" t="str">
        <f ca="1">IFERROR(__xludf.DUMMYFUNCTION("""COMPUTED_VALUE"""),"FICHA EN TIEMPO-18 MESES")</f>
        <v>FICHA EN TIEMPO-18 MESES</v>
      </c>
      <c r="BI985" s="40" t="str">
        <f ca="1">IFERROR(__xludf.DUMMYFUNCTION("""COMPUTED_VALUE"""),"En ejecucion")</f>
        <v>En ejecucion</v>
      </c>
      <c r="BJ985" s="40" t="str">
        <f ca="1">IFERROR(__xludf.DUMMYFUNCTION("""COMPUTED_VALUE"""),"Yamboro")</f>
        <v>Yamboro</v>
      </c>
      <c r="BK985" s="40"/>
      <c r="BL985" s="40"/>
    </row>
    <row r="986" spans="1:64" ht="13">
      <c r="A986" s="40"/>
      <c r="B986" s="40" t="str">
        <f ca="1">IFERROR(__xludf.DUMMYFUNCTION("""COMPUTED_VALUE"""),"FORMACIÓN 18/10/2022")</f>
        <v>FORMACIÓN 18/10/2022</v>
      </c>
      <c r="C986" s="40" t="str">
        <f ca="1">IFERROR(__xludf.DUMMYFUNCTION("""COMPUTED_VALUE"""),"YINEIDA GONZALEZ JIMENEZ")</f>
        <v>YINEIDA GONZALEZ JIMENEZ</v>
      </c>
      <c r="D986" s="40" t="str">
        <f ca="1">IFERROR(__xludf.DUMMYFUNCTION("""COMPUTED_VALUE"""),"CC")</f>
        <v>CC</v>
      </c>
      <c r="E986" s="40">
        <f ca="1">IFERROR(__xludf.DUMMYFUNCTION("""COMPUTED_VALUE"""),1026301606)</f>
        <v>1026301606</v>
      </c>
      <c r="F986" s="40">
        <f ca="1">IFERROR(__xludf.DUMMYFUNCTION("""COMPUTED_VALUE"""),2348486)</f>
        <v>2348486</v>
      </c>
      <c r="G986" s="40" t="str">
        <f ca="1">IFERROR(__xludf.DUMMYFUNCTION("""COMPUTED_VALUE"""),"TECNÓLOGO")</f>
        <v>TECNÓLOGO</v>
      </c>
      <c r="H986" s="40" t="str">
        <f ca="1">IFERROR(__xludf.DUMMYFUNCTION("""COMPUTED_VALUE"""),"ANALISIS Y DESARROLLO DE SISTEMAS DE INFORMACION")</f>
        <v>ANALISIS Y DESARROLLO DE SISTEMAS DE INFORMACION</v>
      </c>
      <c r="I986" s="40"/>
      <c r="J986" s="40"/>
      <c r="K986" s="40"/>
      <c r="L986" s="40" t="str">
        <f ca="1">IFERROR(__xludf.DUMMYFUNCTION("""COMPUTED_VALUE"""),"NO HA INICIADO ETAPA PRODUCTIVA")</f>
        <v>NO HA INICIADO ETAPA PRODUCTIVA</v>
      </c>
      <c r="M986" s="40"/>
      <c r="N986" s="40"/>
      <c r="O986" s="40"/>
      <c r="P986" s="40"/>
      <c r="Q986" s="40"/>
      <c r="R986" s="140"/>
      <c r="S986" s="140"/>
      <c r="T986" s="40" t="str">
        <f ca="1">IFERROR(__xludf.DUMMYFUNCTION("""COMPUTED_VALUE"""),"debe 54 resultados... Revisado 15/11/2022")</f>
        <v>debe 54 resultados... Revisado 15/11/2022</v>
      </c>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t="str">
        <f ca="1">IFERROR(__xludf.DUMMYFUNCTION("""COMPUTED_VALUE"""),"NO_CUMPLE")</f>
        <v>NO_CUMPLE</v>
      </c>
      <c r="AV986" s="40" t="str">
        <f ca="1">IFERROR(__xludf.DUMMYFUNCTION("""COMPUTED_VALUE"""),"EN FORMACION")</f>
        <v>EN FORMACION</v>
      </c>
      <c r="AW986" s="40" t="str">
        <f ca="1">IFERROR(__xludf.DUMMYFUNCTION("""COMPUTED_VALUE"""),"TIC")</f>
        <v>TIC</v>
      </c>
      <c r="AX986" s="141">
        <f ca="1">IFERROR(__xludf.DUMMYFUNCTION("""COMPUTED_VALUE"""),10)</f>
        <v>10</v>
      </c>
      <c r="AY986" s="40">
        <f ca="1">IFERROR(__xludf.DUMMYFUNCTION("""COMPUTED_VALUE"""),10)</f>
        <v>10</v>
      </c>
      <c r="AZ986" s="40">
        <f ca="1">IFERROR(__xludf.DUMMYFUNCTION("""COMPUTED_VALUE"""),1)</f>
        <v>1</v>
      </c>
      <c r="BA986" s="40">
        <f ca="1">IFERROR(__xludf.DUMMYFUNCTION("""COMPUTED_VALUE"""),14)</f>
        <v>14</v>
      </c>
      <c r="BB986" s="40">
        <f ca="1">IFERROR(__xludf.DUMMYFUNCTION("""COMPUTED_VALUE"""),30)</f>
        <v>30</v>
      </c>
      <c r="BC986" s="40">
        <f ca="1">IFERROR(__xludf.DUMMYFUNCTION("""COMPUTED_VALUE"""),55)</f>
        <v>55</v>
      </c>
      <c r="BD986" s="141">
        <f ca="1">IFERROR(__xludf.DUMMYFUNCTION("""COMPUTED_VALUE"""),44375)</f>
        <v>44375</v>
      </c>
      <c r="BE986" s="141">
        <f ca="1">IFERROR(__xludf.DUMMYFUNCTION("""COMPUTED_VALUE"""),44922)</f>
        <v>44922</v>
      </c>
      <c r="BF986" s="141">
        <f ca="1">IFERROR(__xludf.DUMMYFUNCTION("""COMPUTED_VALUE"""),45104)</f>
        <v>45104</v>
      </c>
      <c r="BG986" s="141">
        <f ca="1">IFERROR(__xludf.DUMMYFUNCTION("""COMPUTED_VALUE"""),45653)</f>
        <v>45653</v>
      </c>
      <c r="BH986" s="40" t="str">
        <f ca="1">IFERROR(__xludf.DUMMYFUNCTION("""COMPUTED_VALUE"""),"FICHA EN TIEMPO-18 MESES")</f>
        <v>FICHA EN TIEMPO-18 MESES</v>
      </c>
      <c r="BI986" s="40" t="str">
        <f ca="1">IFERROR(__xludf.DUMMYFUNCTION("""COMPUTED_VALUE"""),"En ejecucion")</f>
        <v>En ejecucion</v>
      </c>
      <c r="BJ986" s="40" t="str">
        <f ca="1">IFERROR(__xludf.DUMMYFUNCTION("""COMPUTED_VALUE"""),"Yamboro")</f>
        <v>Yamboro</v>
      </c>
      <c r="BK986" s="40"/>
      <c r="BL986" s="40"/>
    </row>
    <row r="987" spans="1:64" ht="13">
      <c r="A987" s="40"/>
      <c r="B987" s="40" t="str">
        <f ca="1">IFERROR(__xludf.DUMMYFUNCTION("""COMPUTED_VALUE"""),"FORMACIÓN 18/10/2022")</f>
        <v>FORMACIÓN 18/10/2022</v>
      </c>
      <c r="C987" s="40" t="str">
        <f ca="1">IFERROR(__xludf.DUMMYFUNCTION("""COMPUTED_VALUE"""),"EDWIN ELIECER CORREA CANO")</f>
        <v>EDWIN ELIECER CORREA CANO</v>
      </c>
      <c r="D987" s="40" t="str">
        <f ca="1">IFERROR(__xludf.DUMMYFUNCTION("""COMPUTED_VALUE"""),"CC")</f>
        <v>CC</v>
      </c>
      <c r="E987" s="40">
        <f ca="1">IFERROR(__xludf.DUMMYFUNCTION("""COMPUTED_VALUE"""),1026596516)</f>
        <v>1026596516</v>
      </c>
      <c r="F987" s="40">
        <f ca="1">IFERROR(__xludf.DUMMYFUNCTION("""COMPUTED_VALUE"""),2348486)</f>
        <v>2348486</v>
      </c>
      <c r="G987" s="40" t="str">
        <f ca="1">IFERROR(__xludf.DUMMYFUNCTION("""COMPUTED_VALUE"""),"TECNÓLOGO")</f>
        <v>TECNÓLOGO</v>
      </c>
      <c r="H987" s="40" t="str">
        <f ca="1">IFERROR(__xludf.DUMMYFUNCTION("""COMPUTED_VALUE"""),"ANALISIS Y DESARROLLO DE SISTEMAS DE INFORMACION")</f>
        <v>ANALISIS Y DESARROLLO DE SISTEMAS DE INFORMACION</v>
      </c>
      <c r="I987" s="40"/>
      <c r="J987" s="40"/>
      <c r="K987" s="40"/>
      <c r="L987" s="40" t="str">
        <f ca="1">IFERROR(__xludf.DUMMYFUNCTION("""COMPUTED_VALUE"""),"NO HA INICIADO ETAPA PRODUCTIVA")</f>
        <v>NO HA INICIADO ETAPA PRODUCTIVA</v>
      </c>
      <c r="M987" s="40"/>
      <c r="N987" s="40"/>
      <c r="O987" s="40"/>
      <c r="P987" s="40"/>
      <c r="Q987" s="40"/>
      <c r="R987" s="140"/>
      <c r="S987" s="140"/>
      <c r="T987" s="40" t="str">
        <f ca="1">IFERROR(__xludf.DUMMYFUNCTION("""COMPUTED_VALUE"""),"debe 52 resultados... Revisado 15/11/2022")</f>
        <v>debe 52 resultados... Revisado 15/11/2022</v>
      </c>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t="str">
        <f ca="1">IFERROR(__xludf.DUMMYFUNCTION("""COMPUTED_VALUE"""),"NO_CUMPLE")</f>
        <v>NO_CUMPLE</v>
      </c>
      <c r="AV987" s="40" t="str">
        <f ca="1">IFERROR(__xludf.DUMMYFUNCTION("""COMPUTED_VALUE"""),"EN FORMACION")</f>
        <v>EN FORMACION</v>
      </c>
      <c r="AW987" s="40" t="str">
        <f ca="1">IFERROR(__xludf.DUMMYFUNCTION("""COMPUTED_VALUE"""),"TIC")</f>
        <v>TIC</v>
      </c>
      <c r="AX987" s="141">
        <f ca="1">IFERROR(__xludf.DUMMYFUNCTION("""COMPUTED_VALUE"""),8)</f>
        <v>8</v>
      </c>
      <c r="AY987" s="40">
        <f ca="1">IFERROR(__xludf.DUMMYFUNCTION("""COMPUTED_VALUE"""),8)</f>
        <v>8</v>
      </c>
      <c r="AZ987" s="40">
        <f ca="1">IFERROR(__xludf.DUMMYFUNCTION("""COMPUTED_VALUE"""),1)</f>
        <v>1</v>
      </c>
      <c r="BA987" s="40">
        <f ca="1">IFERROR(__xludf.DUMMYFUNCTION("""COMPUTED_VALUE"""),14)</f>
        <v>14</v>
      </c>
      <c r="BB987" s="40">
        <f ca="1">IFERROR(__xludf.DUMMYFUNCTION("""COMPUTED_VALUE"""),30)</f>
        <v>30</v>
      </c>
      <c r="BC987" s="40">
        <f ca="1">IFERROR(__xludf.DUMMYFUNCTION("""COMPUTED_VALUE"""),53)</f>
        <v>53</v>
      </c>
      <c r="BD987" s="141">
        <f ca="1">IFERROR(__xludf.DUMMYFUNCTION("""COMPUTED_VALUE"""),44375)</f>
        <v>44375</v>
      </c>
      <c r="BE987" s="141">
        <f ca="1">IFERROR(__xludf.DUMMYFUNCTION("""COMPUTED_VALUE"""),44922)</f>
        <v>44922</v>
      </c>
      <c r="BF987" s="141">
        <f ca="1">IFERROR(__xludf.DUMMYFUNCTION("""COMPUTED_VALUE"""),45104)</f>
        <v>45104</v>
      </c>
      <c r="BG987" s="141">
        <f ca="1">IFERROR(__xludf.DUMMYFUNCTION("""COMPUTED_VALUE"""),45653)</f>
        <v>45653</v>
      </c>
      <c r="BH987" s="40" t="str">
        <f ca="1">IFERROR(__xludf.DUMMYFUNCTION("""COMPUTED_VALUE"""),"FICHA EN TIEMPO-18 MESES")</f>
        <v>FICHA EN TIEMPO-18 MESES</v>
      </c>
      <c r="BI987" s="40" t="str">
        <f ca="1">IFERROR(__xludf.DUMMYFUNCTION("""COMPUTED_VALUE"""),"En ejecucion")</f>
        <v>En ejecucion</v>
      </c>
      <c r="BJ987" s="40" t="str">
        <f ca="1">IFERROR(__xludf.DUMMYFUNCTION("""COMPUTED_VALUE"""),"Yamboro")</f>
        <v>Yamboro</v>
      </c>
      <c r="BK987" s="40"/>
      <c r="BL987" s="40"/>
    </row>
    <row r="988" spans="1:64" ht="13">
      <c r="A988" s="40"/>
      <c r="B988" s="40" t="str">
        <f ca="1">IFERROR(__xludf.DUMMYFUNCTION("""COMPUTED_VALUE"""),"FORMACIÓN 18/10/2022")</f>
        <v>FORMACIÓN 18/10/2022</v>
      </c>
      <c r="C988" s="40" t="str">
        <f ca="1">IFERROR(__xludf.DUMMYFUNCTION("""COMPUTED_VALUE"""),"JORGE ANDRES MICAHAN RODRIGUEZ")</f>
        <v>JORGE ANDRES MICAHAN RODRIGUEZ</v>
      </c>
      <c r="D988" s="40" t="str">
        <f ca="1">IFERROR(__xludf.DUMMYFUNCTION("""COMPUTED_VALUE"""),"CC")</f>
        <v>CC</v>
      </c>
      <c r="E988" s="40">
        <f ca="1">IFERROR(__xludf.DUMMYFUNCTION("""COMPUTED_VALUE"""),1030693554)</f>
        <v>1030693554</v>
      </c>
      <c r="F988" s="40">
        <f ca="1">IFERROR(__xludf.DUMMYFUNCTION("""COMPUTED_VALUE"""),2348486)</f>
        <v>2348486</v>
      </c>
      <c r="G988" s="40" t="str">
        <f ca="1">IFERROR(__xludf.DUMMYFUNCTION("""COMPUTED_VALUE"""),"TECNÓLOGO")</f>
        <v>TECNÓLOGO</v>
      </c>
      <c r="H988" s="40" t="str">
        <f ca="1">IFERROR(__xludf.DUMMYFUNCTION("""COMPUTED_VALUE"""),"ANALISIS Y DESARROLLO DE SISTEMAS DE INFORMACION")</f>
        <v>ANALISIS Y DESARROLLO DE SISTEMAS DE INFORMACION</v>
      </c>
      <c r="I988" s="40"/>
      <c r="J988" s="40"/>
      <c r="K988" s="40"/>
      <c r="L988" s="40" t="str">
        <f ca="1">IFERROR(__xludf.DUMMYFUNCTION("""COMPUTED_VALUE"""),"NO HA INICIADO ETAPA PRODUCTIVA")</f>
        <v>NO HA INICIADO ETAPA PRODUCTIVA</v>
      </c>
      <c r="M988" s="40"/>
      <c r="N988" s="40"/>
      <c r="O988" s="40"/>
      <c r="P988" s="40"/>
      <c r="Q988" s="40"/>
      <c r="R988" s="140"/>
      <c r="S988" s="140"/>
      <c r="T988" s="40" t="str">
        <f ca="1">IFERROR(__xludf.DUMMYFUNCTION("""COMPUTED_VALUE"""),"debe 45 resultados... Revisado 15/11/2022")</f>
        <v>debe 45 resultados... Revisado 15/11/2022</v>
      </c>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t="str">
        <f ca="1">IFERROR(__xludf.DUMMYFUNCTION("""COMPUTED_VALUE"""),"NO_CUMPLE")</f>
        <v>NO_CUMPLE</v>
      </c>
      <c r="AV988" s="40" t="str">
        <f ca="1">IFERROR(__xludf.DUMMYFUNCTION("""COMPUTED_VALUE"""),"EN FORMACION")</f>
        <v>EN FORMACION</v>
      </c>
      <c r="AW988" s="40" t="str">
        <f ca="1">IFERROR(__xludf.DUMMYFUNCTION("""COMPUTED_VALUE"""),"TIC")</f>
        <v>TIC</v>
      </c>
      <c r="AX988" s="141">
        <f ca="1">IFERROR(__xludf.DUMMYFUNCTION("""COMPUTED_VALUE"""),5)</f>
        <v>5</v>
      </c>
      <c r="AY988" s="40">
        <f ca="1">IFERROR(__xludf.DUMMYFUNCTION("""COMPUTED_VALUE"""),5)</f>
        <v>5</v>
      </c>
      <c r="AZ988" s="40">
        <f ca="1">IFERROR(__xludf.DUMMYFUNCTION("""COMPUTED_VALUE"""),1)</f>
        <v>1</v>
      </c>
      <c r="BA988" s="40">
        <f ca="1">IFERROR(__xludf.DUMMYFUNCTION("""COMPUTED_VALUE"""),13)</f>
        <v>13</v>
      </c>
      <c r="BB988" s="40">
        <f ca="1">IFERROR(__xludf.DUMMYFUNCTION("""COMPUTED_VALUE"""),28)</f>
        <v>28</v>
      </c>
      <c r="BC988" s="40">
        <f ca="1">IFERROR(__xludf.DUMMYFUNCTION("""COMPUTED_VALUE"""),47)</f>
        <v>47</v>
      </c>
      <c r="BD988" s="141">
        <f ca="1">IFERROR(__xludf.DUMMYFUNCTION("""COMPUTED_VALUE"""),44375)</f>
        <v>44375</v>
      </c>
      <c r="BE988" s="141">
        <f ca="1">IFERROR(__xludf.DUMMYFUNCTION("""COMPUTED_VALUE"""),44922)</f>
        <v>44922</v>
      </c>
      <c r="BF988" s="141">
        <f ca="1">IFERROR(__xludf.DUMMYFUNCTION("""COMPUTED_VALUE"""),45104)</f>
        <v>45104</v>
      </c>
      <c r="BG988" s="141">
        <f ca="1">IFERROR(__xludf.DUMMYFUNCTION("""COMPUTED_VALUE"""),45653)</f>
        <v>45653</v>
      </c>
      <c r="BH988" s="40" t="str">
        <f ca="1">IFERROR(__xludf.DUMMYFUNCTION("""COMPUTED_VALUE"""),"FICHA EN TIEMPO-18 MESES")</f>
        <v>FICHA EN TIEMPO-18 MESES</v>
      </c>
      <c r="BI988" s="40" t="str">
        <f ca="1">IFERROR(__xludf.DUMMYFUNCTION("""COMPUTED_VALUE"""),"En ejecucion")</f>
        <v>En ejecucion</v>
      </c>
      <c r="BJ988" s="40" t="str">
        <f ca="1">IFERROR(__xludf.DUMMYFUNCTION("""COMPUTED_VALUE"""),"Yamboro")</f>
        <v>Yamboro</v>
      </c>
      <c r="BK988" s="40"/>
      <c r="BL988" s="40"/>
    </row>
    <row r="989" spans="1:64" ht="13">
      <c r="A989" s="40"/>
      <c r="B989" s="40" t="str">
        <f ca="1">IFERROR(__xludf.DUMMYFUNCTION("""COMPUTED_VALUE"""),"FORMACIÓN 18/10/2022")</f>
        <v>FORMACIÓN 18/10/2022</v>
      </c>
      <c r="C989" s="40" t="str">
        <f ca="1">IFERROR(__xludf.DUMMYFUNCTION("""COMPUTED_VALUE"""),"SOL ANAIS CEDIEL RINCON")</f>
        <v>SOL ANAIS CEDIEL RINCON</v>
      </c>
      <c r="D989" s="40" t="str">
        <f ca="1">IFERROR(__xludf.DUMMYFUNCTION("""COMPUTED_VALUE"""),"CC")</f>
        <v>CC</v>
      </c>
      <c r="E989" s="40">
        <f ca="1">IFERROR(__xludf.DUMMYFUNCTION("""COMPUTED_VALUE"""),1031130919)</f>
        <v>1031130919</v>
      </c>
      <c r="F989" s="40">
        <f ca="1">IFERROR(__xludf.DUMMYFUNCTION("""COMPUTED_VALUE"""),2348486)</f>
        <v>2348486</v>
      </c>
      <c r="G989" s="40" t="str">
        <f ca="1">IFERROR(__xludf.DUMMYFUNCTION("""COMPUTED_VALUE"""),"TECNÓLOGO")</f>
        <v>TECNÓLOGO</v>
      </c>
      <c r="H989" s="40" t="str">
        <f ca="1">IFERROR(__xludf.DUMMYFUNCTION("""COMPUTED_VALUE"""),"ANALISIS Y DESARROLLO DE SISTEMAS DE INFORMACION")</f>
        <v>ANALISIS Y DESARROLLO DE SISTEMAS DE INFORMACION</v>
      </c>
      <c r="I989" s="40"/>
      <c r="J989" s="40"/>
      <c r="K989" s="40"/>
      <c r="L989" s="40" t="str">
        <f ca="1">IFERROR(__xludf.DUMMYFUNCTION("""COMPUTED_VALUE"""),"NO HA INICIADO ETAPA PRODUCTIVA")</f>
        <v>NO HA INICIADO ETAPA PRODUCTIVA</v>
      </c>
      <c r="M989" s="40"/>
      <c r="N989" s="40"/>
      <c r="O989" s="40"/>
      <c r="P989" s="40"/>
      <c r="Q989" s="40"/>
      <c r="R989" s="140"/>
      <c r="S989" s="140"/>
      <c r="T989" s="40" t="str">
        <f ca="1">IFERROR(__xludf.DUMMYFUNCTION("""COMPUTED_VALUE"""),"debe 54 resultados... Revisado 15/11/2022")</f>
        <v>debe 54 resultados... Revisado 15/11/2022</v>
      </c>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t="str">
        <f ca="1">IFERROR(__xludf.DUMMYFUNCTION("""COMPUTED_VALUE"""),"NO_CUMPLE")</f>
        <v>NO_CUMPLE</v>
      </c>
      <c r="AV989" s="40" t="str">
        <f ca="1">IFERROR(__xludf.DUMMYFUNCTION("""COMPUTED_VALUE"""),"EN FORMACION")</f>
        <v>EN FORMACION</v>
      </c>
      <c r="AW989" s="40" t="str">
        <f ca="1">IFERROR(__xludf.DUMMYFUNCTION("""COMPUTED_VALUE"""),"TIC")</f>
        <v>TIC</v>
      </c>
      <c r="AX989" s="141">
        <f ca="1">IFERROR(__xludf.DUMMYFUNCTION("""COMPUTED_VALUE"""),10)</f>
        <v>10</v>
      </c>
      <c r="AY989" s="40">
        <f ca="1">IFERROR(__xludf.DUMMYFUNCTION("""COMPUTED_VALUE"""),10)</f>
        <v>10</v>
      </c>
      <c r="AZ989" s="40">
        <f ca="1">IFERROR(__xludf.DUMMYFUNCTION("""COMPUTED_VALUE"""),1)</f>
        <v>1</v>
      </c>
      <c r="BA989" s="40">
        <f ca="1">IFERROR(__xludf.DUMMYFUNCTION("""COMPUTED_VALUE"""),14)</f>
        <v>14</v>
      </c>
      <c r="BB989" s="40">
        <f ca="1">IFERROR(__xludf.DUMMYFUNCTION("""COMPUTED_VALUE"""),36)</f>
        <v>36</v>
      </c>
      <c r="BC989" s="40">
        <f ca="1">IFERROR(__xludf.DUMMYFUNCTION("""COMPUTED_VALUE"""),61)</f>
        <v>61</v>
      </c>
      <c r="BD989" s="141">
        <f ca="1">IFERROR(__xludf.DUMMYFUNCTION("""COMPUTED_VALUE"""),44375)</f>
        <v>44375</v>
      </c>
      <c r="BE989" s="141">
        <f ca="1">IFERROR(__xludf.DUMMYFUNCTION("""COMPUTED_VALUE"""),44922)</f>
        <v>44922</v>
      </c>
      <c r="BF989" s="141">
        <f ca="1">IFERROR(__xludf.DUMMYFUNCTION("""COMPUTED_VALUE"""),45104)</f>
        <v>45104</v>
      </c>
      <c r="BG989" s="141">
        <f ca="1">IFERROR(__xludf.DUMMYFUNCTION("""COMPUTED_VALUE"""),45653)</f>
        <v>45653</v>
      </c>
      <c r="BH989" s="40" t="str">
        <f ca="1">IFERROR(__xludf.DUMMYFUNCTION("""COMPUTED_VALUE"""),"FICHA EN TIEMPO-18 MESES")</f>
        <v>FICHA EN TIEMPO-18 MESES</v>
      </c>
      <c r="BI989" s="40" t="str">
        <f ca="1">IFERROR(__xludf.DUMMYFUNCTION("""COMPUTED_VALUE"""),"En ejecucion")</f>
        <v>En ejecucion</v>
      </c>
      <c r="BJ989" s="40" t="str">
        <f ca="1">IFERROR(__xludf.DUMMYFUNCTION("""COMPUTED_VALUE"""),"Yamboro")</f>
        <v>Yamboro</v>
      </c>
      <c r="BK989" s="40"/>
      <c r="BL989" s="40"/>
    </row>
    <row r="990" spans="1:64" ht="13">
      <c r="A990" s="40"/>
      <c r="B990" s="40" t="str">
        <f ca="1">IFERROR(__xludf.DUMMYFUNCTION("""COMPUTED_VALUE"""),"FORMACIÓN 18/10/2022")</f>
        <v>FORMACIÓN 18/10/2022</v>
      </c>
      <c r="C990" s="40" t="str">
        <f ca="1">IFERROR(__xludf.DUMMYFUNCTION("""COMPUTED_VALUE"""),"JOSE MIGUEL BELTRAN CORDOBA")</f>
        <v>JOSE MIGUEL BELTRAN CORDOBA</v>
      </c>
      <c r="D990" s="40" t="str">
        <f ca="1">IFERROR(__xludf.DUMMYFUNCTION("""COMPUTED_VALUE"""),"CC")</f>
        <v>CC</v>
      </c>
      <c r="E990" s="40">
        <f ca="1">IFERROR(__xludf.DUMMYFUNCTION("""COMPUTED_VALUE"""),1031162067)</f>
        <v>1031162067</v>
      </c>
      <c r="F990" s="40">
        <f ca="1">IFERROR(__xludf.DUMMYFUNCTION("""COMPUTED_VALUE"""),2348486)</f>
        <v>2348486</v>
      </c>
      <c r="G990" s="40" t="str">
        <f ca="1">IFERROR(__xludf.DUMMYFUNCTION("""COMPUTED_VALUE"""),"TECNÓLOGO")</f>
        <v>TECNÓLOGO</v>
      </c>
      <c r="H990" s="40" t="str">
        <f ca="1">IFERROR(__xludf.DUMMYFUNCTION("""COMPUTED_VALUE"""),"ANALISIS Y DESARROLLO DE SISTEMAS DE INFORMACION")</f>
        <v>ANALISIS Y DESARROLLO DE SISTEMAS DE INFORMACION</v>
      </c>
      <c r="I990" s="40"/>
      <c r="J990" s="40"/>
      <c r="K990" s="40"/>
      <c r="L990" s="40" t="str">
        <f ca="1">IFERROR(__xludf.DUMMYFUNCTION("""COMPUTED_VALUE"""),"NO HA INICIADO ETAPA PRODUCTIVA")</f>
        <v>NO HA INICIADO ETAPA PRODUCTIVA</v>
      </c>
      <c r="M990" s="40"/>
      <c r="N990" s="40"/>
      <c r="O990" s="40"/>
      <c r="P990" s="40"/>
      <c r="Q990" s="40"/>
      <c r="R990" s="140"/>
      <c r="S990" s="140"/>
      <c r="T990" s="40" t="str">
        <f ca="1">IFERROR(__xludf.DUMMYFUNCTION("""COMPUTED_VALUE"""),"debe 54 resultados... Revisado 15/11/2022")</f>
        <v>debe 54 resultados... Revisado 15/11/2022</v>
      </c>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t="str">
        <f ca="1">IFERROR(__xludf.DUMMYFUNCTION("""COMPUTED_VALUE"""),"NO_CUMPLE")</f>
        <v>NO_CUMPLE</v>
      </c>
      <c r="AV990" s="40" t="str">
        <f ca="1">IFERROR(__xludf.DUMMYFUNCTION("""COMPUTED_VALUE"""),"EN FORMACION")</f>
        <v>EN FORMACION</v>
      </c>
      <c r="AW990" s="40" t="str">
        <f ca="1">IFERROR(__xludf.DUMMYFUNCTION("""COMPUTED_VALUE"""),"TIC")</f>
        <v>TIC</v>
      </c>
      <c r="AX990" s="141">
        <f ca="1">IFERROR(__xludf.DUMMYFUNCTION("""COMPUTED_VALUE"""),10)</f>
        <v>10</v>
      </c>
      <c r="AY990" s="40">
        <f ca="1">IFERROR(__xludf.DUMMYFUNCTION("""COMPUTED_VALUE"""),10)</f>
        <v>10</v>
      </c>
      <c r="AZ990" s="40">
        <f ca="1">IFERROR(__xludf.DUMMYFUNCTION("""COMPUTED_VALUE"""),1)</f>
        <v>1</v>
      </c>
      <c r="BA990" s="40">
        <f ca="1">IFERROR(__xludf.DUMMYFUNCTION("""COMPUTED_VALUE"""),14)</f>
        <v>14</v>
      </c>
      <c r="BB990" s="40">
        <f ca="1">IFERROR(__xludf.DUMMYFUNCTION("""COMPUTED_VALUE"""),34)</f>
        <v>34</v>
      </c>
      <c r="BC990" s="40">
        <f ca="1">IFERROR(__xludf.DUMMYFUNCTION("""COMPUTED_VALUE"""),59)</f>
        <v>59</v>
      </c>
      <c r="BD990" s="141">
        <f ca="1">IFERROR(__xludf.DUMMYFUNCTION("""COMPUTED_VALUE"""),44375)</f>
        <v>44375</v>
      </c>
      <c r="BE990" s="141">
        <f ca="1">IFERROR(__xludf.DUMMYFUNCTION("""COMPUTED_VALUE"""),44922)</f>
        <v>44922</v>
      </c>
      <c r="BF990" s="141">
        <f ca="1">IFERROR(__xludf.DUMMYFUNCTION("""COMPUTED_VALUE"""),45104)</f>
        <v>45104</v>
      </c>
      <c r="BG990" s="141">
        <f ca="1">IFERROR(__xludf.DUMMYFUNCTION("""COMPUTED_VALUE"""),45653)</f>
        <v>45653</v>
      </c>
      <c r="BH990" s="40" t="str">
        <f ca="1">IFERROR(__xludf.DUMMYFUNCTION("""COMPUTED_VALUE"""),"FICHA EN TIEMPO-18 MESES")</f>
        <v>FICHA EN TIEMPO-18 MESES</v>
      </c>
      <c r="BI990" s="40" t="str">
        <f ca="1">IFERROR(__xludf.DUMMYFUNCTION("""COMPUTED_VALUE"""),"En ejecucion")</f>
        <v>En ejecucion</v>
      </c>
      <c r="BJ990" s="40" t="str">
        <f ca="1">IFERROR(__xludf.DUMMYFUNCTION("""COMPUTED_VALUE"""),"Yamboro")</f>
        <v>Yamboro</v>
      </c>
      <c r="BK990" s="40"/>
      <c r="BL990" s="40"/>
    </row>
    <row r="991" spans="1:64" ht="13">
      <c r="A991" s="40"/>
      <c r="B991" s="40" t="str">
        <f ca="1">IFERROR(__xludf.DUMMYFUNCTION("""COMPUTED_VALUE"""),"FORMACIÓN 18/10/2022")</f>
        <v>FORMACIÓN 18/10/2022</v>
      </c>
      <c r="C991" s="40" t="str">
        <f ca="1">IFERROR(__xludf.DUMMYFUNCTION("""COMPUTED_VALUE"""),"DIANA CECILIA GAMBOA ALARCON")</f>
        <v>DIANA CECILIA GAMBOA ALARCON</v>
      </c>
      <c r="D991" s="40" t="str">
        <f ca="1">IFERROR(__xludf.DUMMYFUNCTION("""COMPUTED_VALUE"""),"CC")</f>
        <v>CC</v>
      </c>
      <c r="E991" s="40">
        <f ca="1">IFERROR(__xludf.DUMMYFUNCTION("""COMPUTED_VALUE"""),1033707615)</f>
        <v>1033707615</v>
      </c>
      <c r="F991" s="40">
        <f ca="1">IFERROR(__xludf.DUMMYFUNCTION("""COMPUTED_VALUE"""),2348486)</f>
        <v>2348486</v>
      </c>
      <c r="G991" s="40" t="str">
        <f ca="1">IFERROR(__xludf.DUMMYFUNCTION("""COMPUTED_VALUE"""),"TECNÓLOGO")</f>
        <v>TECNÓLOGO</v>
      </c>
      <c r="H991" s="40" t="str">
        <f ca="1">IFERROR(__xludf.DUMMYFUNCTION("""COMPUTED_VALUE"""),"ANALISIS Y DESARROLLO DE SISTEMAS DE INFORMACION")</f>
        <v>ANALISIS Y DESARROLLO DE SISTEMAS DE INFORMACION</v>
      </c>
      <c r="I991" s="40"/>
      <c r="J991" s="40"/>
      <c r="K991" s="40"/>
      <c r="L991" s="40" t="str">
        <f ca="1">IFERROR(__xludf.DUMMYFUNCTION("""COMPUTED_VALUE"""),"NO HA INICIADO ETAPA PRODUCTIVA")</f>
        <v>NO HA INICIADO ETAPA PRODUCTIVA</v>
      </c>
      <c r="M991" s="40"/>
      <c r="N991" s="40"/>
      <c r="O991" s="40"/>
      <c r="P991" s="40"/>
      <c r="Q991" s="40"/>
      <c r="R991" s="140"/>
      <c r="S991" s="140"/>
      <c r="T991" s="40" t="str">
        <f ca="1">IFERROR(__xludf.DUMMYFUNCTION("""COMPUTED_VALUE"""),"debe 56 resultados... Revisado 15/11/2022")</f>
        <v>debe 56 resultados... Revisado 15/11/2022</v>
      </c>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t="str">
        <f ca="1">IFERROR(__xludf.DUMMYFUNCTION("""COMPUTED_VALUE"""),"NO_CUMPLE")</f>
        <v>NO_CUMPLE</v>
      </c>
      <c r="AV991" s="40" t="str">
        <f ca="1">IFERROR(__xludf.DUMMYFUNCTION("""COMPUTED_VALUE"""),"EN FORMACION")</f>
        <v>EN FORMACION</v>
      </c>
      <c r="AW991" s="40" t="str">
        <f ca="1">IFERROR(__xludf.DUMMYFUNCTION("""COMPUTED_VALUE"""),"TIC")</f>
        <v>TIC</v>
      </c>
      <c r="AX991" s="141">
        <f ca="1">IFERROR(__xludf.DUMMYFUNCTION("""COMPUTED_VALUE"""),11)</f>
        <v>11</v>
      </c>
      <c r="AY991" s="40">
        <f ca="1">IFERROR(__xludf.DUMMYFUNCTION("""COMPUTED_VALUE"""),11)</f>
        <v>11</v>
      </c>
      <c r="AZ991" s="40">
        <f ca="1">IFERROR(__xludf.DUMMYFUNCTION("""COMPUTED_VALUE"""),1)</f>
        <v>1</v>
      </c>
      <c r="BA991" s="40">
        <f ca="1">IFERROR(__xludf.DUMMYFUNCTION("""COMPUTED_VALUE"""),15)</f>
        <v>15</v>
      </c>
      <c r="BB991" s="40">
        <f ca="1">IFERROR(__xludf.DUMMYFUNCTION("""COMPUTED_VALUE"""),34)</f>
        <v>34</v>
      </c>
      <c r="BC991" s="40">
        <f ca="1">IFERROR(__xludf.DUMMYFUNCTION("""COMPUTED_VALUE"""),61)</f>
        <v>61</v>
      </c>
      <c r="BD991" s="141">
        <f ca="1">IFERROR(__xludf.DUMMYFUNCTION("""COMPUTED_VALUE"""),44375)</f>
        <v>44375</v>
      </c>
      <c r="BE991" s="141">
        <f ca="1">IFERROR(__xludf.DUMMYFUNCTION("""COMPUTED_VALUE"""),44922)</f>
        <v>44922</v>
      </c>
      <c r="BF991" s="141">
        <f ca="1">IFERROR(__xludf.DUMMYFUNCTION("""COMPUTED_VALUE"""),45104)</f>
        <v>45104</v>
      </c>
      <c r="BG991" s="141">
        <f ca="1">IFERROR(__xludf.DUMMYFUNCTION("""COMPUTED_VALUE"""),45653)</f>
        <v>45653</v>
      </c>
      <c r="BH991" s="40" t="str">
        <f ca="1">IFERROR(__xludf.DUMMYFUNCTION("""COMPUTED_VALUE"""),"FICHA EN TIEMPO-18 MESES")</f>
        <v>FICHA EN TIEMPO-18 MESES</v>
      </c>
      <c r="BI991" s="40" t="str">
        <f ca="1">IFERROR(__xludf.DUMMYFUNCTION("""COMPUTED_VALUE"""),"En ejecucion")</f>
        <v>En ejecucion</v>
      </c>
      <c r="BJ991" s="40" t="str">
        <f ca="1">IFERROR(__xludf.DUMMYFUNCTION("""COMPUTED_VALUE"""),"Yamboro")</f>
        <v>Yamboro</v>
      </c>
      <c r="BK991" s="40"/>
      <c r="BL991" s="40"/>
    </row>
    <row r="992" spans="1:64" ht="13">
      <c r="A992" s="40"/>
      <c r="B992" s="40" t="str">
        <f ca="1">IFERROR(__xludf.DUMMYFUNCTION("""COMPUTED_VALUE"""),"FORMACIÓN 18/10/2022")</f>
        <v>FORMACIÓN 18/10/2022</v>
      </c>
      <c r="C992" s="40" t="str">
        <f ca="1">IFERROR(__xludf.DUMMYFUNCTION("""COMPUTED_VALUE"""),"FABIAN ALEJANDRO RODRIGUEZ QUINTERO")</f>
        <v>FABIAN ALEJANDRO RODRIGUEZ QUINTERO</v>
      </c>
      <c r="D992" s="40" t="str">
        <f ca="1">IFERROR(__xludf.DUMMYFUNCTION("""COMPUTED_VALUE"""),"CC")</f>
        <v>CC</v>
      </c>
      <c r="E992" s="40">
        <f ca="1">IFERROR(__xludf.DUMMYFUNCTION("""COMPUTED_VALUE"""),1033733887)</f>
        <v>1033733887</v>
      </c>
      <c r="F992" s="40">
        <f ca="1">IFERROR(__xludf.DUMMYFUNCTION("""COMPUTED_VALUE"""),2348486)</f>
        <v>2348486</v>
      </c>
      <c r="G992" s="40" t="str">
        <f ca="1">IFERROR(__xludf.DUMMYFUNCTION("""COMPUTED_VALUE"""),"TECNÓLOGO")</f>
        <v>TECNÓLOGO</v>
      </c>
      <c r="H992" s="40" t="str">
        <f ca="1">IFERROR(__xludf.DUMMYFUNCTION("""COMPUTED_VALUE"""),"ANALISIS Y DESARROLLO DE SISTEMAS DE INFORMACION")</f>
        <v>ANALISIS Y DESARROLLO DE SISTEMAS DE INFORMACION</v>
      </c>
      <c r="I992" s="40"/>
      <c r="J992" s="40"/>
      <c r="K992" s="40"/>
      <c r="L992" s="40" t="str">
        <f ca="1">IFERROR(__xludf.DUMMYFUNCTION("""COMPUTED_VALUE"""),"NO HA INICIADO ETAPA PRODUCTIVA")</f>
        <v>NO HA INICIADO ETAPA PRODUCTIVA</v>
      </c>
      <c r="M992" s="40"/>
      <c r="N992" s="40"/>
      <c r="O992" s="40"/>
      <c r="P992" s="40"/>
      <c r="Q992" s="40"/>
      <c r="R992" s="140"/>
      <c r="S992" s="140"/>
      <c r="T992" s="40" t="str">
        <f ca="1">IFERROR(__xludf.DUMMYFUNCTION("""COMPUTED_VALUE"""),"debe 54 resultados... Revisado 15/11/2022")</f>
        <v>debe 54 resultados... Revisado 15/11/2022</v>
      </c>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t="str">
        <f ca="1">IFERROR(__xludf.DUMMYFUNCTION("""COMPUTED_VALUE"""),"NO_CUMPLE")</f>
        <v>NO_CUMPLE</v>
      </c>
      <c r="AV992" s="40" t="str">
        <f ca="1">IFERROR(__xludf.DUMMYFUNCTION("""COMPUTED_VALUE"""),"EN FORMACION")</f>
        <v>EN FORMACION</v>
      </c>
      <c r="AW992" s="40" t="str">
        <f ca="1">IFERROR(__xludf.DUMMYFUNCTION("""COMPUTED_VALUE"""),"TIC")</f>
        <v>TIC</v>
      </c>
      <c r="AX992" s="141">
        <f ca="1">IFERROR(__xludf.DUMMYFUNCTION("""COMPUTED_VALUE"""),9)</f>
        <v>9</v>
      </c>
      <c r="AY992" s="40">
        <f ca="1">IFERROR(__xludf.DUMMYFUNCTION("""COMPUTED_VALUE"""),9)</f>
        <v>9</v>
      </c>
      <c r="AZ992" s="40">
        <f ca="1">IFERROR(__xludf.DUMMYFUNCTION("""COMPUTED_VALUE"""),1)</f>
        <v>1</v>
      </c>
      <c r="BA992" s="40">
        <f ca="1">IFERROR(__xludf.DUMMYFUNCTION("""COMPUTED_VALUE"""),14)</f>
        <v>14</v>
      </c>
      <c r="BB992" s="40">
        <f ca="1">IFERROR(__xludf.DUMMYFUNCTION("""COMPUTED_VALUE"""),31)</f>
        <v>31</v>
      </c>
      <c r="BC992" s="40">
        <f ca="1">IFERROR(__xludf.DUMMYFUNCTION("""COMPUTED_VALUE"""),55)</f>
        <v>55</v>
      </c>
      <c r="BD992" s="141">
        <f ca="1">IFERROR(__xludf.DUMMYFUNCTION("""COMPUTED_VALUE"""),44375)</f>
        <v>44375</v>
      </c>
      <c r="BE992" s="141">
        <f ca="1">IFERROR(__xludf.DUMMYFUNCTION("""COMPUTED_VALUE"""),44922)</f>
        <v>44922</v>
      </c>
      <c r="BF992" s="141">
        <f ca="1">IFERROR(__xludf.DUMMYFUNCTION("""COMPUTED_VALUE"""),45104)</f>
        <v>45104</v>
      </c>
      <c r="BG992" s="141">
        <f ca="1">IFERROR(__xludf.DUMMYFUNCTION("""COMPUTED_VALUE"""),45653)</f>
        <v>45653</v>
      </c>
      <c r="BH992" s="40" t="str">
        <f ca="1">IFERROR(__xludf.DUMMYFUNCTION("""COMPUTED_VALUE"""),"FICHA EN TIEMPO-18 MESES")</f>
        <v>FICHA EN TIEMPO-18 MESES</v>
      </c>
      <c r="BI992" s="40" t="str">
        <f ca="1">IFERROR(__xludf.DUMMYFUNCTION("""COMPUTED_VALUE"""),"En ejecucion")</f>
        <v>En ejecucion</v>
      </c>
      <c r="BJ992" s="40" t="str">
        <f ca="1">IFERROR(__xludf.DUMMYFUNCTION("""COMPUTED_VALUE"""),"Yamboro")</f>
        <v>Yamboro</v>
      </c>
      <c r="BK992" s="40"/>
      <c r="BL992" s="40"/>
    </row>
    <row r="993" spans="1:64" ht="13">
      <c r="A993" s="40"/>
      <c r="B993" s="40" t="str">
        <f ca="1">IFERROR(__xludf.DUMMYFUNCTION("""COMPUTED_VALUE"""),"FORMACIÓN 18/10/2022")</f>
        <v>FORMACIÓN 18/10/2022</v>
      </c>
      <c r="C993" s="40" t="str">
        <f ca="1">IFERROR(__xludf.DUMMYFUNCTION("""COMPUTED_VALUE"""),"DORIS JAHAIRA AVILA ABRIL")</f>
        <v>DORIS JAHAIRA AVILA ABRIL</v>
      </c>
      <c r="D993" s="40" t="str">
        <f ca="1">IFERROR(__xludf.DUMMYFUNCTION("""COMPUTED_VALUE"""),"CC")</f>
        <v>CC</v>
      </c>
      <c r="E993" s="40">
        <f ca="1">IFERROR(__xludf.DUMMYFUNCTION("""COMPUTED_VALUE"""),1053351175)</f>
        <v>1053351175</v>
      </c>
      <c r="F993" s="40">
        <f ca="1">IFERROR(__xludf.DUMMYFUNCTION("""COMPUTED_VALUE"""),2348486)</f>
        <v>2348486</v>
      </c>
      <c r="G993" s="40" t="str">
        <f ca="1">IFERROR(__xludf.DUMMYFUNCTION("""COMPUTED_VALUE"""),"TECNÓLOGO")</f>
        <v>TECNÓLOGO</v>
      </c>
      <c r="H993" s="40" t="str">
        <f ca="1">IFERROR(__xludf.DUMMYFUNCTION("""COMPUTED_VALUE"""),"ANALISIS Y DESARROLLO DE SISTEMAS DE INFORMACION")</f>
        <v>ANALISIS Y DESARROLLO DE SISTEMAS DE INFORMACION</v>
      </c>
      <c r="I993" s="40"/>
      <c r="J993" s="40"/>
      <c r="K993" s="40"/>
      <c r="L993" s="40" t="str">
        <f ca="1">IFERROR(__xludf.DUMMYFUNCTION("""COMPUTED_VALUE"""),"NO HA INICIADO ETAPA PRODUCTIVA")</f>
        <v>NO HA INICIADO ETAPA PRODUCTIVA</v>
      </c>
      <c r="M993" s="40"/>
      <c r="N993" s="40"/>
      <c r="O993" s="40"/>
      <c r="P993" s="40"/>
      <c r="Q993" s="40"/>
      <c r="R993" s="140"/>
      <c r="S993" s="140"/>
      <c r="T993" s="40" t="str">
        <f ca="1">IFERROR(__xludf.DUMMYFUNCTION("""COMPUTED_VALUE"""),"debe 50 resultados... Revisado 15/11/2022")</f>
        <v>debe 50 resultados... Revisado 15/11/2022</v>
      </c>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t="str">
        <f ca="1">IFERROR(__xludf.DUMMYFUNCTION("""COMPUTED_VALUE"""),"NO_CUMPLE")</f>
        <v>NO_CUMPLE</v>
      </c>
      <c r="AV993" s="40" t="str">
        <f ca="1">IFERROR(__xludf.DUMMYFUNCTION("""COMPUTED_VALUE"""),"EN FORMACION")</f>
        <v>EN FORMACION</v>
      </c>
      <c r="AW993" s="40" t="str">
        <f ca="1">IFERROR(__xludf.DUMMYFUNCTION("""COMPUTED_VALUE"""),"TIC")</f>
        <v>TIC</v>
      </c>
      <c r="AX993" s="141">
        <f ca="1">IFERROR(__xludf.DUMMYFUNCTION("""COMPUTED_VALUE"""),8)</f>
        <v>8</v>
      </c>
      <c r="AY993" s="40">
        <f ca="1">IFERROR(__xludf.DUMMYFUNCTION("""COMPUTED_VALUE"""),8)</f>
        <v>8</v>
      </c>
      <c r="AZ993" s="40">
        <f ca="1">IFERROR(__xludf.DUMMYFUNCTION("""COMPUTED_VALUE"""),1)</f>
        <v>1</v>
      </c>
      <c r="BA993" s="40">
        <f ca="1">IFERROR(__xludf.DUMMYFUNCTION("""COMPUTED_VALUE"""),14)</f>
        <v>14</v>
      </c>
      <c r="BB993" s="40">
        <f ca="1">IFERROR(__xludf.DUMMYFUNCTION("""COMPUTED_VALUE"""),30)</f>
        <v>30</v>
      </c>
      <c r="BC993" s="40">
        <f ca="1">IFERROR(__xludf.DUMMYFUNCTION("""COMPUTED_VALUE"""),53)</f>
        <v>53</v>
      </c>
      <c r="BD993" s="141">
        <f ca="1">IFERROR(__xludf.DUMMYFUNCTION("""COMPUTED_VALUE"""),44375)</f>
        <v>44375</v>
      </c>
      <c r="BE993" s="141">
        <f ca="1">IFERROR(__xludf.DUMMYFUNCTION("""COMPUTED_VALUE"""),44922)</f>
        <v>44922</v>
      </c>
      <c r="BF993" s="141">
        <f ca="1">IFERROR(__xludf.DUMMYFUNCTION("""COMPUTED_VALUE"""),45104)</f>
        <v>45104</v>
      </c>
      <c r="BG993" s="141">
        <f ca="1">IFERROR(__xludf.DUMMYFUNCTION("""COMPUTED_VALUE"""),45653)</f>
        <v>45653</v>
      </c>
      <c r="BH993" s="40" t="str">
        <f ca="1">IFERROR(__xludf.DUMMYFUNCTION("""COMPUTED_VALUE"""),"FICHA EN TIEMPO-18 MESES")</f>
        <v>FICHA EN TIEMPO-18 MESES</v>
      </c>
      <c r="BI993" s="40" t="str">
        <f ca="1">IFERROR(__xludf.DUMMYFUNCTION("""COMPUTED_VALUE"""),"En ejecucion")</f>
        <v>En ejecucion</v>
      </c>
      <c r="BJ993" s="40" t="str">
        <f ca="1">IFERROR(__xludf.DUMMYFUNCTION("""COMPUTED_VALUE"""),"Yamboro")</f>
        <v>Yamboro</v>
      </c>
      <c r="BK993" s="40"/>
      <c r="BL993" s="40"/>
    </row>
    <row r="994" spans="1:64" ht="13">
      <c r="A994" s="40"/>
      <c r="B994" s="40" t="str">
        <f ca="1">IFERROR(__xludf.DUMMYFUNCTION("""COMPUTED_VALUE"""),"FORMACIÓN 18/10/2022")</f>
        <v>FORMACIÓN 18/10/2022</v>
      </c>
      <c r="C994" s="40" t="str">
        <f ca="1">IFERROR(__xludf.DUMMYFUNCTION("""COMPUTED_VALUE"""),"DIANA LORENA GIRALDO ARIAS")</f>
        <v>DIANA LORENA GIRALDO ARIAS</v>
      </c>
      <c r="D994" s="40" t="str">
        <f ca="1">IFERROR(__xludf.DUMMYFUNCTION("""COMPUTED_VALUE"""),"CC")</f>
        <v>CC</v>
      </c>
      <c r="E994" s="40">
        <f ca="1">IFERROR(__xludf.DUMMYFUNCTION("""COMPUTED_VALUE"""),1053775871)</f>
        <v>1053775871</v>
      </c>
      <c r="F994" s="40">
        <f ca="1">IFERROR(__xludf.DUMMYFUNCTION("""COMPUTED_VALUE"""),2348486)</f>
        <v>2348486</v>
      </c>
      <c r="G994" s="40" t="str">
        <f ca="1">IFERROR(__xludf.DUMMYFUNCTION("""COMPUTED_VALUE"""),"TECNÓLOGO")</f>
        <v>TECNÓLOGO</v>
      </c>
      <c r="H994" s="40" t="str">
        <f ca="1">IFERROR(__xludf.DUMMYFUNCTION("""COMPUTED_VALUE"""),"ANALISIS Y DESARROLLO DE SISTEMAS DE INFORMACION")</f>
        <v>ANALISIS Y DESARROLLO DE SISTEMAS DE INFORMACION</v>
      </c>
      <c r="I994" s="40"/>
      <c r="J994" s="40"/>
      <c r="K994" s="40"/>
      <c r="L994" s="40" t="str">
        <f ca="1">IFERROR(__xludf.DUMMYFUNCTION("""COMPUTED_VALUE"""),"NO HA INICIADO ETAPA PRODUCTIVA")</f>
        <v>NO HA INICIADO ETAPA PRODUCTIVA</v>
      </c>
      <c r="M994" s="40"/>
      <c r="N994" s="40"/>
      <c r="O994" s="40"/>
      <c r="P994" s="40"/>
      <c r="Q994" s="40"/>
      <c r="R994" s="140"/>
      <c r="S994" s="140"/>
      <c r="T994" s="40" t="str">
        <f ca="1">IFERROR(__xludf.DUMMYFUNCTION("""COMPUTED_VALUE"""),"debe 56 resultados... Revisado 15/11/2022")</f>
        <v>debe 56 resultados... Revisado 15/11/2022</v>
      </c>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t="str">
        <f ca="1">IFERROR(__xludf.DUMMYFUNCTION("""COMPUTED_VALUE"""),"NO_CUMPLE")</f>
        <v>NO_CUMPLE</v>
      </c>
      <c r="AV994" s="40" t="str">
        <f ca="1">IFERROR(__xludf.DUMMYFUNCTION("""COMPUTED_VALUE"""),"EN FORMACION")</f>
        <v>EN FORMACION</v>
      </c>
      <c r="AW994" s="40" t="str">
        <f ca="1">IFERROR(__xludf.DUMMYFUNCTION("""COMPUTED_VALUE"""),"TIC")</f>
        <v>TIC</v>
      </c>
      <c r="AX994" s="141">
        <f ca="1">IFERROR(__xludf.DUMMYFUNCTION("""COMPUTED_VALUE"""),12)</f>
        <v>12</v>
      </c>
      <c r="AY994" s="40">
        <f ca="1">IFERROR(__xludf.DUMMYFUNCTION("""COMPUTED_VALUE"""),12)</f>
        <v>12</v>
      </c>
      <c r="AZ994" s="40">
        <f ca="1">IFERROR(__xludf.DUMMYFUNCTION("""COMPUTED_VALUE"""),1)</f>
        <v>1</v>
      </c>
      <c r="BA994" s="40">
        <f ca="1">IFERROR(__xludf.DUMMYFUNCTION("""COMPUTED_VALUE"""),14)</f>
        <v>14</v>
      </c>
      <c r="BB994" s="40">
        <f ca="1">IFERROR(__xludf.DUMMYFUNCTION("""COMPUTED_VALUE"""),35)</f>
        <v>35</v>
      </c>
      <c r="BC994" s="40">
        <f ca="1">IFERROR(__xludf.DUMMYFUNCTION("""COMPUTED_VALUE"""),62)</f>
        <v>62</v>
      </c>
      <c r="BD994" s="141">
        <f ca="1">IFERROR(__xludf.DUMMYFUNCTION("""COMPUTED_VALUE"""),44375)</f>
        <v>44375</v>
      </c>
      <c r="BE994" s="141">
        <f ca="1">IFERROR(__xludf.DUMMYFUNCTION("""COMPUTED_VALUE"""),44922)</f>
        <v>44922</v>
      </c>
      <c r="BF994" s="141">
        <f ca="1">IFERROR(__xludf.DUMMYFUNCTION("""COMPUTED_VALUE"""),45104)</f>
        <v>45104</v>
      </c>
      <c r="BG994" s="141">
        <f ca="1">IFERROR(__xludf.DUMMYFUNCTION("""COMPUTED_VALUE"""),45653)</f>
        <v>45653</v>
      </c>
      <c r="BH994" s="40" t="str">
        <f ca="1">IFERROR(__xludf.DUMMYFUNCTION("""COMPUTED_VALUE"""),"FICHA EN TIEMPO-18 MESES")</f>
        <v>FICHA EN TIEMPO-18 MESES</v>
      </c>
      <c r="BI994" s="40" t="str">
        <f ca="1">IFERROR(__xludf.DUMMYFUNCTION("""COMPUTED_VALUE"""),"En ejecucion")</f>
        <v>En ejecucion</v>
      </c>
      <c r="BJ994" s="40" t="str">
        <f ca="1">IFERROR(__xludf.DUMMYFUNCTION("""COMPUTED_VALUE"""),"Yamboro")</f>
        <v>Yamboro</v>
      </c>
      <c r="BK994" s="40"/>
      <c r="BL994" s="40"/>
    </row>
    <row r="995" spans="1:64" ht="13">
      <c r="A995" s="40"/>
      <c r="B995" s="40" t="str">
        <f ca="1">IFERROR(__xludf.DUMMYFUNCTION("""COMPUTED_VALUE"""),"FORMACIÓN 18/10/2022")</f>
        <v>FORMACIÓN 18/10/2022</v>
      </c>
      <c r="C995" s="40" t="str">
        <f ca="1">IFERROR(__xludf.DUMMYFUNCTION("""COMPUTED_VALUE"""),"PAOLA ANDREA DORADO PALECHOR")</f>
        <v>PAOLA ANDREA DORADO PALECHOR</v>
      </c>
      <c r="D995" s="40" t="str">
        <f ca="1">IFERROR(__xludf.DUMMYFUNCTION("""COMPUTED_VALUE"""),"CC")</f>
        <v>CC</v>
      </c>
      <c r="E995" s="40">
        <f ca="1">IFERROR(__xludf.DUMMYFUNCTION("""COMPUTED_VALUE"""),1063812388)</f>
        <v>1063812388</v>
      </c>
      <c r="F995" s="40">
        <f ca="1">IFERROR(__xludf.DUMMYFUNCTION("""COMPUTED_VALUE"""),2348486)</f>
        <v>2348486</v>
      </c>
      <c r="G995" s="40" t="str">
        <f ca="1">IFERROR(__xludf.DUMMYFUNCTION("""COMPUTED_VALUE"""),"TECNÓLOGO")</f>
        <v>TECNÓLOGO</v>
      </c>
      <c r="H995" s="40" t="str">
        <f ca="1">IFERROR(__xludf.DUMMYFUNCTION("""COMPUTED_VALUE"""),"ANALISIS Y DESARROLLO DE SISTEMAS DE INFORMACION")</f>
        <v>ANALISIS Y DESARROLLO DE SISTEMAS DE INFORMACION</v>
      </c>
      <c r="I995" s="40"/>
      <c r="J995" s="40"/>
      <c r="K995" s="40"/>
      <c r="L995" s="40" t="str">
        <f ca="1">IFERROR(__xludf.DUMMYFUNCTION("""COMPUTED_VALUE"""),"NO HA INICIADO ETAPA PRODUCTIVA")</f>
        <v>NO HA INICIADO ETAPA PRODUCTIVA</v>
      </c>
      <c r="M995" s="40"/>
      <c r="N995" s="40"/>
      <c r="O995" s="40"/>
      <c r="P995" s="40"/>
      <c r="Q995" s="40"/>
      <c r="R995" s="140"/>
      <c r="S995" s="140"/>
      <c r="T995" s="40" t="str">
        <f ca="1">IFERROR(__xludf.DUMMYFUNCTION("""COMPUTED_VALUE"""),"debe 55 resultados... Revisado 15/11/2022")</f>
        <v>debe 55 resultados... Revisado 15/11/2022</v>
      </c>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t="str">
        <f ca="1">IFERROR(__xludf.DUMMYFUNCTION("""COMPUTED_VALUE"""),"NO_CUMPLE")</f>
        <v>NO_CUMPLE</v>
      </c>
      <c r="AV995" s="40" t="str">
        <f ca="1">IFERROR(__xludf.DUMMYFUNCTION("""COMPUTED_VALUE"""),"EN FORMACION")</f>
        <v>EN FORMACION</v>
      </c>
      <c r="AW995" s="40" t="str">
        <f ca="1">IFERROR(__xludf.DUMMYFUNCTION("""COMPUTED_VALUE"""),"TIC")</f>
        <v>TIC</v>
      </c>
      <c r="AX995" s="141">
        <f ca="1">IFERROR(__xludf.DUMMYFUNCTION("""COMPUTED_VALUE"""),11)</f>
        <v>11</v>
      </c>
      <c r="AY995" s="40">
        <f ca="1">IFERROR(__xludf.DUMMYFUNCTION("""COMPUTED_VALUE"""),11)</f>
        <v>11</v>
      </c>
      <c r="AZ995" s="40">
        <f ca="1">IFERROR(__xludf.DUMMYFUNCTION("""COMPUTED_VALUE"""),1)</f>
        <v>1</v>
      </c>
      <c r="BA995" s="40">
        <f ca="1">IFERROR(__xludf.DUMMYFUNCTION("""COMPUTED_VALUE"""),14)</f>
        <v>14</v>
      </c>
      <c r="BB995" s="40">
        <f ca="1">IFERROR(__xludf.DUMMYFUNCTION("""COMPUTED_VALUE"""),36)</f>
        <v>36</v>
      </c>
      <c r="BC995" s="40">
        <f ca="1">IFERROR(__xludf.DUMMYFUNCTION("""COMPUTED_VALUE"""),62)</f>
        <v>62</v>
      </c>
      <c r="BD995" s="141">
        <f ca="1">IFERROR(__xludf.DUMMYFUNCTION("""COMPUTED_VALUE"""),44375)</f>
        <v>44375</v>
      </c>
      <c r="BE995" s="141">
        <f ca="1">IFERROR(__xludf.DUMMYFUNCTION("""COMPUTED_VALUE"""),44922)</f>
        <v>44922</v>
      </c>
      <c r="BF995" s="141">
        <f ca="1">IFERROR(__xludf.DUMMYFUNCTION("""COMPUTED_VALUE"""),45104)</f>
        <v>45104</v>
      </c>
      <c r="BG995" s="141">
        <f ca="1">IFERROR(__xludf.DUMMYFUNCTION("""COMPUTED_VALUE"""),45653)</f>
        <v>45653</v>
      </c>
      <c r="BH995" s="40" t="str">
        <f ca="1">IFERROR(__xludf.DUMMYFUNCTION("""COMPUTED_VALUE"""),"FICHA EN TIEMPO-18 MESES")</f>
        <v>FICHA EN TIEMPO-18 MESES</v>
      </c>
      <c r="BI995" s="40" t="str">
        <f ca="1">IFERROR(__xludf.DUMMYFUNCTION("""COMPUTED_VALUE"""),"En ejecucion")</f>
        <v>En ejecucion</v>
      </c>
      <c r="BJ995" s="40" t="str">
        <f ca="1">IFERROR(__xludf.DUMMYFUNCTION("""COMPUTED_VALUE"""),"Yamboro")</f>
        <v>Yamboro</v>
      </c>
      <c r="BK995" s="40"/>
      <c r="BL995" s="40"/>
    </row>
    <row r="996" spans="1:64" ht="13">
      <c r="A996" s="40"/>
      <c r="B996" s="40" t="str">
        <f ca="1">IFERROR(__xludf.DUMMYFUNCTION("""COMPUTED_VALUE"""),"FORMACIÓN 18/10/2022")</f>
        <v>FORMACIÓN 18/10/2022</v>
      </c>
      <c r="C996" s="40" t="str">
        <f ca="1">IFERROR(__xludf.DUMMYFUNCTION("""COMPUTED_VALUE"""),"JHORMAN JOSE AMARILES HERRERA")</f>
        <v>JHORMAN JOSE AMARILES HERRERA</v>
      </c>
      <c r="D996" s="40" t="str">
        <f ca="1">IFERROR(__xludf.DUMMYFUNCTION("""COMPUTED_VALUE"""),"CC")</f>
        <v>CC</v>
      </c>
      <c r="E996" s="40">
        <f ca="1">IFERROR(__xludf.DUMMYFUNCTION("""COMPUTED_VALUE"""),1065571466)</f>
        <v>1065571466</v>
      </c>
      <c r="F996" s="40">
        <f ca="1">IFERROR(__xludf.DUMMYFUNCTION("""COMPUTED_VALUE"""),2348486)</f>
        <v>2348486</v>
      </c>
      <c r="G996" s="40" t="str">
        <f ca="1">IFERROR(__xludf.DUMMYFUNCTION("""COMPUTED_VALUE"""),"TECNÓLOGO")</f>
        <v>TECNÓLOGO</v>
      </c>
      <c r="H996" s="40" t="str">
        <f ca="1">IFERROR(__xludf.DUMMYFUNCTION("""COMPUTED_VALUE"""),"ANALISIS Y DESARROLLO DE SISTEMAS DE INFORMACION")</f>
        <v>ANALISIS Y DESARROLLO DE SISTEMAS DE INFORMACION</v>
      </c>
      <c r="I996" s="40"/>
      <c r="J996" s="40"/>
      <c r="K996" s="40"/>
      <c r="L996" s="40" t="str">
        <f ca="1">IFERROR(__xludf.DUMMYFUNCTION("""COMPUTED_VALUE"""),"NO HA INICIADO ETAPA PRODUCTIVA")</f>
        <v>NO HA INICIADO ETAPA PRODUCTIVA</v>
      </c>
      <c r="M996" s="40"/>
      <c r="N996" s="40"/>
      <c r="O996" s="40"/>
      <c r="P996" s="40"/>
      <c r="Q996" s="40"/>
      <c r="R996" s="140"/>
      <c r="S996" s="140"/>
      <c r="T996" s="40" t="str">
        <f ca="1">IFERROR(__xludf.DUMMYFUNCTION("""COMPUTED_VALUE"""),"debe 55 resultados... Revisado 15/11/2022")</f>
        <v>debe 55 resultados... Revisado 15/11/2022</v>
      </c>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t="str">
        <f ca="1">IFERROR(__xludf.DUMMYFUNCTION("""COMPUTED_VALUE"""),"NO_CUMPLE")</f>
        <v>NO_CUMPLE</v>
      </c>
      <c r="AV996" s="40" t="str">
        <f ca="1">IFERROR(__xludf.DUMMYFUNCTION("""COMPUTED_VALUE"""),"EN FORMACION")</f>
        <v>EN FORMACION</v>
      </c>
      <c r="AW996" s="40" t="str">
        <f ca="1">IFERROR(__xludf.DUMMYFUNCTION("""COMPUTED_VALUE"""),"TIC")</f>
        <v>TIC</v>
      </c>
      <c r="AX996" s="141">
        <f ca="1">IFERROR(__xludf.DUMMYFUNCTION("""COMPUTED_VALUE"""),11)</f>
        <v>11</v>
      </c>
      <c r="AY996" s="40">
        <f ca="1">IFERROR(__xludf.DUMMYFUNCTION("""COMPUTED_VALUE"""),11)</f>
        <v>11</v>
      </c>
      <c r="AZ996" s="40">
        <f ca="1">IFERROR(__xludf.DUMMYFUNCTION("""COMPUTED_VALUE"""),1)</f>
        <v>1</v>
      </c>
      <c r="BA996" s="40">
        <f ca="1">IFERROR(__xludf.DUMMYFUNCTION("""COMPUTED_VALUE"""),14)</f>
        <v>14</v>
      </c>
      <c r="BB996" s="40">
        <f ca="1">IFERROR(__xludf.DUMMYFUNCTION("""COMPUTED_VALUE"""),33)</f>
        <v>33</v>
      </c>
      <c r="BC996" s="40">
        <f ca="1">IFERROR(__xludf.DUMMYFUNCTION("""COMPUTED_VALUE"""),59)</f>
        <v>59</v>
      </c>
      <c r="BD996" s="141">
        <f ca="1">IFERROR(__xludf.DUMMYFUNCTION("""COMPUTED_VALUE"""),44375)</f>
        <v>44375</v>
      </c>
      <c r="BE996" s="141">
        <f ca="1">IFERROR(__xludf.DUMMYFUNCTION("""COMPUTED_VALUE"""),44922)</f>
        <v>44922</v>
      </c>
      <c r="BF996" s="141">
        <f ca="1">IFERROR(__xludf.DUMMYFUNCTION("""COMPUTED_VALUE"""),45104)</f>
        <v>45104</v>
      </c>
      <c r="BG996" s="141">
        <f ca="1">IFERROR(__xludf.DUMMYFUNCTION("""COMPUTED_VALUE"""),45653)</f>
        <v>45653</v>
      </c>
      <c r="BH996" s="40" t="str">
        <f ca="1">IFERROR(__xludf.DUMMYFUNCTION("""COMPUTED_VALUE"""),"FICHA EN TIEMPO-18 MESES")</f>
        <v>FICHA EN TIEMPO-18 MESES</v>
      </c>
      <c r="BI996" s="40" t="str">
        <f ca="1">IFERROR(__xludf.DUMMYFUNCTION("""COMPUTED_VALUE"""),"En ejecucion")</f>
        <v>En ejecucion</v>
      </c>
      <c r="BJ996" s="40" t="str">
        <f ca="1">IFERROR(__xludf.DUMMYFUNCTION("""COMPUTED_VALUE"""),"Yamboro")</f>
        <v>Yamboro</v>
      </c>
      <c r="BK996" s="40"/>
      <c r="BL996" s="40"/>
    </row>
    <row r="997" spans="1:64" ht="13">
      <c r="A997" s="40"/>
      <c r="B997" s="40" t="str">
        <f ca="1">IFERROR(__xludf.DUMMYFUNCTION("""COMPUTED_VALUE"""),"FORMACIÓN 18/10/2022")</f>
        <v>FORMACIÓN 18/10/2022</v>
      </c>
      <c r="C997" s="40" t="str">
        <f ca="1">IFERROR(__xludf.DUMMYFUNCTION("""COMPUTED_VALUE"""),"JOSE CARLOS CARCAMO MEZA")</f>
        <v>JOSE CARLOS CARCAMO MEZA</v>
      </c>
      <c r="D997" s="40" t="str">
        <f ca="1">IFERROR(__xludf.DUMMYFUNCTION("""COMPUTED_VALUE"""),"CC")</f>
        <v>CC</v>
      </c>
      <c r="E997" s="40">
        <f ca="1">IFERROR(__xludf.DUMMYFUNCTION("""COMPUTED_VALUE"""),1065661319)</f>
        <v>1065661319</v>
      </c>
      <c r="F997" s="40">
        <f ca="1">IFERROR(__xludf.DUMMYFUNCTION("""COMPUTED_VALUE"""),2348486)</f>
        <v>2348486</v>
      </c>
      <c r="G997" s="40" t="str">
        <f ca="1">IFERROR(__xludf.DUMMYFUNCTION("""COMPUTED_VALUE"""),"TECNÓLOGO")</f>
        <v>TECNÓLOGO</v>
      </c>
      <c r="H997" s="40" t="str">
        <f ca="1">IFERROR(__xludf.DUMMYFUNCTION("""COMPUTED_VALUE"""),"ANALISIS Y DESARROLLO DE SISTEMAS DE INFORMACION")</f>
        <v>ANALISIS Y DESARROLLO DE SISTEMAS DE INFORMACION</v>
      </c>
      <c r="I997" s="40"/>
      <c r="J997" s="40"/>
      <c r="K997" s="40"/>
      <c r="L997" s="40" t="str">
        <f ca="1">IFERROR(__xludf.DUMMYFUNCTION("""COMPUTED_VALUE"""),"NO HA INICIADO ETAPA PRODUCTIVA")</f>
        <v>NO HA INICIADO ETAPA PRODUCTIVA</v>
      </c>
      <c r="M997" s="40"/>
      <c r="N997" s="40"/>
      <c r="O997" s="40"/>
      <c r="P997" s="40"/>
      <c r="Q997" s="40"/>
      <c r="R997" s="140"/>
      <c r="S997" s="140"/>
      <c r="T997" s="40" t="str">
        <f ca="1">IFERROR(__xludf.DUMMYFUNCTION("""COMPUTED_VALUE"""),"debe 58 resultados... Revisado 15/11/2022")</f>
        <v>debe 58 resultados... Revisado 15/11/2022</v>
      </c>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t="str">
        <f ca="1">IFERROR(__xludf.DUMMYFUNCTION("""COMPUTED_VALUE"""),"NO_CUMPLE")</f>
        <v>NO_CUMPLE</v>
      </c>
      <c r="AV997" s="40" t="str">
        <f ca="1">IFERROR(__xludf.DUMMYFUNCTION("""COMPUTED_VALUE"""),"EN FORMACION")</f>
        <v>EN FORMACION</v>
      </c>
      <c r="AW997" s="40" t="str">
        <f ca="1">IFERROR(__xludf.DUMMYFUNCTION("""COMPUTED_VALUE"""),"TIC")</f>
        <v>TIC</v>
      </c>
      <c r="AX997" s="141">
        <f ca="1">IFERROR(__xludf.DUMMYFUNCTION("""COMPUTED_VALUE"""),14)</f>
        <v>14</v>
      </c>
      <c r="AY997" s="40">
        <f ca="1">IFERROR(__xludf.DUMMYFUNCTION("""COMPUTED_VALUE"""),14)</f>
        <v>14</v>
      </c>
      <c r="AZ997" s="40">
        <f ca="1">IFERROR(__xludf.DUMMYFUNCTION("""COMPUTED_VALUE"""),1)</f>
        <v>1</v>
      </c>
      <c r="BA997" s="40">
        <f ca="1">IFERROR(__xludf.DUMMYFUNCTION("""COMPUTED_VALUE"""),15)</f>
        <v>15</v>
      </c>
      <c r="BB997" s="40">
        <f ca="1">IFERROR(__xludf.DUMMYFUNCTION("""COMPUTED_VALUE"""),36)</f>
        <v>36</v>
      </c>
      <c r="BC997" s="40">
        <f ca="1">IFERROR(__xludf.DUMMYFUNCTION("""COMPUTED_VALUE"""),66)</f>
        <v>66</v>
      </c>
      <c r="BD997" s="141">
        <f ca="1">IFERROR(__xludf.DUMMYFUNCTION("""COMPUTED_VALUE"""),44375)</f>
        <v>44375</v>
      </c>
      <c r="BE997" s="141">
        <f ca="1">IFERROR(__xludf.DUMMYFUNCTION("""COMPUTED_VALUE"""),44922)</f>
        <v>44922</v>
      </c>
      <c r="BF997" s="141">
        <f ca="1">IFERROR(__xludf.DUMMYFUNCTION("""COMPUTED_VALUE"""),45104)</f>
        <v>45104</v>
      </c>
      <c r="BG997" s="141">
        <f ca="1">IFERROR(__xludf.DUMMYFUNCTION("""COMPUTED_VALUE"""),45653)</f>
        <v>45653</v>
      </c>
      <c r="BH997" s="40" t="str">
        <f ca="1">IFERROR(__xludf.DUMMYFUNCTION("""COMPUTED_VALUE"""),"FICHA EN TIEMPO-18 MESES")</f>
        <v>FICHA EN TIEMPO-18 MESES</v>
      </c>
      <c r="BI997" s="40" t="str">
        <f ca="1">IFERROR(__xludf.DUMMYFUNCTION("""COMPUTED_VALUE"""),"En ejecucion")</f>
        <v>En ejecucion</v>
      </c>
      <c r="BJ997" s="40" t="str">
        <f ca="1">IFERROR(__xludf.DUMMYFUNCTION("""COMPUTED_VALUE"""),"Yamboro")</f>
        <v>Yamboro</v>
      </c>
      <c r="BK997" s="40"/>
      <c r="BL997" s="40"/>
    </row>
    <row r="998" spans="1:64" ht="13">
      <c r="A998" s="40"/>
      <c r="B998" s="40" t="str">
        <f ca="1">IFERROR(__xludf.DUMMYFUNCTION("""COMPUTED_VALUE"""),"FORMACIÓN 18/10/2022")</f>
        <v>FORMACIÓN 18/10/2022</v>
      </c>
      <c r="C998" s="40" t="str">
        <f ca="1">IFERROR(__xludf.DUMMYFUNCTION("""COMPUTED_VALUE"""),"ABEL ALFONSO MACEA MARTINEZ")</f>
        <v>ABEL ALFONSO MACEA MARTINEZ</v>
      </c>
      <c r="D998" s="40" t="str">
        <f ca="1">IFERROR(__xludf.DUMMYFUNCTION("""COMPUTED_VALUE"""),"CC")</f>
        <v>CC</v>
      </c>
      <c r="E998" s="40">
        <f ca="1">IFERROR(__xludf.DUMMYFUNCTION("""COMPUTED_VALUE"""),1069490905)</f>
        <v>1069490905</v>
      </c>
      <c r="F998" s="40">
        <f ca="1">IFERROR(__xludf.DUMMYFUNCTION("""COMPUTED_VALUE"""),2348486)</f>
        <v>2348486</v>
      </c>
      <c r="G998" s="40" t="str">
        <f ca="1">IFERROR(__xludf.DUMMYFUNCTION("""COMPUTED_VALUE"""),"TECNÓLOGO")</f>
        <v>TECNÓLOGO</v>
      </c>
      <c r="H998" s="40" t="str">
        <f ca="1">IFERROR(__xludf.DUMMYFUNCTION("""COMPUTED_VALUE"""),"ANALISIS Y DESARROLLO DE SISTEMAS DE INFORMACION")</f>
        <v>ANALISIS Y DESARROLLO DE SISTEMAS DE INFORMACION</v>
      </c>
      <c r="I998" s="40"/>
      <c r="J998" s="40"/>
      <c r="K998" s="40"/>
      <c r="L998" s="40" t="str">
        <f ca="1">IFERROR(__xludf.DUMMYFUNCTION("""COMPUTED_VALUE"""),"NO HA INICIADO ETAPA PRODUCTIVA")</f>
        <v>NO HA INICIADO ETAPA PRODUCTIVA</v>
      </c>
      <c r="M998" s="40"/>
      <c r="N998" s="40"/>
      <c r="O998" s="40"/>
      <c r="P998" s="40"/>
      <c r="Q998" s="40"/>
      <c r="R998" s="140"/>
      <c r="S998" s="140"/>
      <c r="T998" s="40" t="str">
        <f ca="1">IFERROR(__xludf.DUMMYFUNCTION("""COMPUTED_VALUE"""),"debe 30 resultados... Revisado 15/11/2022")</f>
        <v>debe 30 resultados... Revisado 15/11/2022</v>
      </c>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t="str">
        <f ca="1">IFERROR(__xludf.DUMMYFUNCTION("""COMPUTED_VALUE"""),"NO_CUMPLE")</f>
        <v>NO_CUMPLE</v>
      </c>
      <c r="AV998" s="40" t="str">
        <f ca="1">IFERROR(__xludf.DUMMYFUNCTION("""COMPUTED_VALUE"""),"EN FORMACION")</f>
        <v>EN FORMACION</v>
      </c>
      <c r="AW998" s="40" t="str">
        <f ca="1">IFERROR(__xludf.DUMMYFUNCTION("""COMPUTED_VALUE"""),"TIC")</f>
        <v>TIC</v>
      </c>
      <c r="AX998" s="141">
        <f ca="1">IFERROR(__xludf.DUMMYFUNCTION("""COMPUTED_VALUE"""),2)</f>
        <v>2</v>
      </c>
      <c r="AY998" s="40">
        <f ca="1">IFERROR(__xludf.DUMMYFUNCTION("""COMPUTED_VALUE"""),2)</f>
        <v>2</v>
      </c>
      <c r="AZ998" s="40">
        <f ca="1">IFERROR(__xludf.DUMMYFUNCTION("""COMPUTED_VALUE"""),1)</f>
        <v>1</v>
      </c>
      <c r="BA998" s="40">
        <f ca="1">IFERROR(__xludf.DUMMYFUNCTION("""COMPUTED_VALUE"""),6)</f>
        <v>6</v>
      </c>
      <c r="BB998" s="40">
        <f ca="1">IFERROR(__xludf.DUMMYFUNCTION("""COMPUTED_VALUE"""),22)</f>
        <v>22</v>
      </c>
      <c r="BC998" s="40">
        <f ca="1">IFERROR(__xludf.DUMMYFUNCTION("""COMPUTED_VALUE"""),31)</f>
        <v>31</v>
      </c>
      <c r="BD998" s="141">
        <f ca="1">IFERROR(__xludf.DUMMYFUNCTION("""COMPUTED_VALUE"""),44375)</f>
        <v>44375</v>
      </c>
      <c r="BE998" s="141">
        <f ca="1">IFERROR(__xludf.DUMMYFUNCTION("""COMPUTED_VALUE"""),44922)</f>
        <v>44922</v>
      </c>
      <c r="BF998" s="141">
        <f ca="1">IFERROR(__xludf.DUMMYFUNCTION("""COMPUTED_VALUE"""),45104)</f>
        <v>45104</v>
      </c>
      <c r="BG998" s="141">
        <f ca="1">IFERROR(__xludf.DUMMYFUNCTION("""COMPUTED_VALUE"""),45653)</f>
        <v>45653</v>
      </c>
      <c r="BH998" s="40" t="str">
        <f ca="1">IFERROR(__xludf.DUMMYFUNCTION("""COMPUTED_VALUE"""),"FICHA EN TIEMPO-18 MESES")</f>
        <v>FICHA EN TIEMPO-18 MESES</v>
      </c>
      <c r="BI998" s="40" t="str">
        <f ca="1">IFERROR(__xludf.DUMMYFUNCTION("""COMPUTED_VALUE"""),"En ejecucion")</f>
        <v>En ejecucion</v>
      </c>
      <c r="BJ998" s="40" t="str">
        <f ca="1">IFERROR(__xludf.DUMMYFUNCTION("""COMPUTED_VALUE"""),"Yamboro")</f>
        <v>Yamboro</v>
      </c>
      <c r="BK998" s="40"/>
      <c r="BL998" s="40"/>
    </row>
    <row r="999" spans="1:64" ht="13">
      <c r="A999" s="40"/>
      <c r="B999" s="40" t="str">
        <f ca="1">IFERROR(__xludf.DUMMYFUNCTION("""COMPUTED_VALUE"""),"FORMACIÓN 18/10/2022")</f>
        <v>FORMACIÓN 18/10/2022</v>
      </c>
      <c r="C999" s="40" t="str">
        <f ca="1">IFERROR(__xludf.DUMMYFUNCTION("""COMPUTED_VALUE"""),"EDNA ROCIO CASTIBLANCO GONZALEZ")</f>
        <v>EDNA ROCIO CASTIBLANCO GONZALEZ</v>
      </c>
      <c r="D999" s="40" t="str">
        <f ca="1">IFERROR(__xludf.DUMMYFUNCTION("""COMPUTED_VALUE"""),"CC")</f>
        <v>CC</v>
      </c>
      <c r="E999" s="40">
        <f ca="1">IFERROR(__xludf.DUMMYFUNCTION("""COMPUTED_VALUE"""),1069734746)</f>
        <v>1069734746</v>
      </c>
      <c r="F999" s="40">
        <f ca="1">IFERROR(__xludf.DUMMYFUNCTION("""COMPUTED_VALUE"""),2348486)</f>
        <v>2348486</v>
      </c>
      <c r="G999" s="40" t="str">
        <f ca="1">IFERROR(__xludf.DUMMYFUNCTION("""COMPUTED_VALUE"""),"TECNÓLOGO")</f>
        <v>TECNÓLOGO</v>
      </c>
      <c r="H999" s="40" t="str">
        <f ca="1">IFERROR(__xludf.DUMMYFUNCTION("""COMPUTED_VALUE"""),"ANALISIS Y DESARROLLO DE SISTEMAS DE INFORMACION")</f>
        <v>ANALISIS Y DESARROLLO DE SISTEMAS DE INFORMACION</v>
      </c>
      <c r="I999" s="40"/>
      <c r="J999" s="40"/>
      <c r="K999" s="40"/>
      <c r="L999" s="40" t="str">
        <f ca="1">IFERROR(__xludf.DUMMYFUNCTION("""COMPUTED_VALUE"""),"NO HA INICIADO ETAPA PRODUCTIVA")</f>
        <v>NO HA INICIADO ETAPA PRODUCTIVA</v>
      </c>
      <c r="M999" s="40"/>
      <c r="N999" s="40"/>
      <c r="O999" s="40"/>
      <c r="P999" s="40"/>
      <c r="Q999" s="40"/>
      <c r="R999" s="140"/>
      <c r="S999" s="140"/>
      <c r="T999" s="40" t="str">
        <f ca="1">IFERROR(__xludf.DUMMYFUNCTION("""COMPUTED_VALUE"""),"debe 52 resultados... Revisado 15/11/2022")</f>
        <v>debe 52 resultados... Revisado 15/11/2022</v>
      </c>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t="str">
        <f ca="1">IFERROR(__xludf.DUMMYFUNCTION("""COMPUTED_VALUE"""),"NO_CUMPLE")</f>
        <v>NO_CUMPLE</v>
      </c>
      <c r="AV999" s="40" t="str">
        <f ca="1">IFERROR(__xludf.DUMMYFUNCTION("""COMPUTED_VALUE"""),"EN FORMACION")</f>
        <v>EN FORMACION</v>
      </c>
      <c r="AW999" s="40" t="str">
        <f ca="1">IFERROR(__xludf.DUMMYFUNCTION("""COMPUTED_VALUE"""),"TIC")</f>
        <v>TIC</v>
      </c>
      <c r="AX999" s="141">
        <f ca="1">IFERROR(__xludf.DUMMYFUNCTION("""COMPUTED_VALUE"""),8)</f>
        <v>8</v>
      </c>
      <c r="AY999" s="40">
        <f ca="1">IFERROR(__xludf.DUMMYFUNCTION("""COMPUTED_VALUE"""),8)</f>
        <v>8</v>
      </c>
      <c r="AZ999" s="40">
        <f ca="1">IFERROR(__xludf.DUMMYFUNCTION("""COMPUTED_VALUE"""),1)</f>
        <v>1</v>
      </c>
      <c r="BA999" s="40">
        <f ca="1">IFERROR(__xludf.DUMMYFUNCTION("""COMPUTED_VALUE"""),14)</f>
        <v>14</v>
      </c>
      <c r="BB999" s="40">
        <f ca="1">IFERROR(__xludf.DUMMYFUNCTION("""COMPUTED_VALUE"""),30)</f>
        <v>30</v>
      </c>
      <c r="BC999" s="40">
        <f ca="1">IFERROR(__xludf.DUMMYFUNCTION("""COMPUTED_VALUE"""),53)</f>
        <v>53</v>
      </c>
      <c r="BD999" s="141">
        <f ca="1">IFERROR(__xludf.DUMMYFUNCTION("""COMPUTED_VALUE"""),44375)</f>
        <v>44375</v>
      </c>
      <c r="BE999" s="141">
        <f ca="1">IFERROR(__xludf.DUMMYFUNCTION("""COMPUTED_VALUE"""),44922)</f>
        <v>44922</v>
      </c>
      <c r="BF999" s="141">
        <f ca="1">IFERROR(__xludf.DUMMYFUNCTION("""COMPUTED_VALUE"""),45104)</f>
        <v>45104</v>
      </c>
      <c r="BG999" s="141">
        <f ca="1">IFERROR(__xludf.DUMMYFUNCTION("""COMPUTED_VALUE"""),45653)</f>
        <v>45653</v>
      </c>
      <c r="BH999" s="40" t="str">
        <f ca="1">IFERROR(__xludf.DUMMYFUNCTION("""COMPUTED_VALUE"""),"FICHA EN TIEMPO-18 MESES")</f>
        <v>FICHA EN TIEMPO-18 MESES</v>
      </c>
      <c r="BI999" s="40" t="str">
        <f ca="1">IFERROR(__xludf.DUMMYFUNCTION("""COMPUTED_VALUE"""),"En ejecucion")</f>
        <v>En ejecucion</v>
      </c>
      <c r="BJ999" s="40" t="str">
        <f ca="1">IFERROR(__xludf.DUMMYFUNCTION("""COMPUTED_VALUE"""),"Yamboro")</f>
        <v>Yamboro</v>
      </c>
      <c r="BK999" s="40"/>
      <c r="BL999" s="40"/>
    </row>
    <row r="1000" spans="1:64" ht="13">
      <c r="A1000" s="40"/>
      <c r="B1000" s="40" t="str">
        <f ca="1">IFERROR(__xludf.DUMMYFUNCTION("""COMPUTED_VALUE"""),"FORMACIÓN 18/10/2022")</f>
        <v>FORMACIÓN 18/10/2022</v>
      </c>
      <c r="C1000" s="40" t="str">
        <f ca="1">IFERROR(__xludf.DUMMYFUNCTION("""COMPUTED_VALUE"""),"JEIMMY LUCIA SUAREZ ARELLANO")</f>
        <v>JEIMMY LUCIA SUAREZ ARELLANO</v>
      </c>
      <c r="D1000" s="40" t="str">
        <f ca="1">IFERROR(__xludf.DUMMYFUNCTION("""COMPUTED_VALUE"""),"CC")</f>
        <v>CC</v>
      </c>
      <c r="E1000" s="40">
        <f ca="1">IFERROR(__xludf.DUMMYFUNCTION("""COMPUTED_VALUE"""),1073705930)</f>
        <v>1073705930</v>
      </c>
      <c r="F1000" s="40">
        <f ca="1">IFERROR(__xludf.DUMMYFUNCTION("""COMPUTED_VALUE"""),2348486)</f>
        <v>2348486</v>
      </c>
      <c r="G1000" s="40" t="str">
        <f ca="1">IFERROR(__xludf.DUMMYFUNCTION("""COMPUTED_VALUE"""),"TECNÓLOGO")</f>
        <v>TECNÓLOGO</v>
      </c>
      <c r="H1000" s="40" t="str">
        <f ca="1">IFERROR(__xludf.DUMMYFUNCTION("""COMPUTED_VALUE"""),"ANALISIS Y DESARROLLO DE SISTEMAS DE INFORMACION")</f>
        <v>ANALISIS Y DESARROLLO DE SISTEMAS DE INFORMACION</v>
      </c>
      <c r="I1000" s="40"/>
      <c r="J1000" s="40"/>
      <c r="K1000" s="40"/>
      <c r="L1000" s="40" t="str">
        <f ca="1">IFERROR(__xludf.DUMMYFUNCTION("""COMPUTED_VALUE"""),"NO HA INICIADO ETAPA PRODUCTIVA")</f>
        <v>NO HA INICIADO ETAPA PRODUCTIVA</v>
      </c>
      <c r="M1000" s="40"/>
      <c r="N1000" s="40"/>
      <c r="O1000" s="40"/>
      <c r="P1000" s="40"/>
      <c r="Q1000" s="40"/>
      <c r="R1000" s="140"/>
      <c r="S1000" s="140"/>
      <c r="T1000" s="40" t="str">
        <f ca="1">IFERROR(__xludf.DUMMYFUNCTION("""COMPUTED_VALUE"""),"debe 29 resultados... Revisado 15/11/2022")</f>
        <v>debe 29 resultados... Revisado 15/11/2022</v>
      </c>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t="str">
        <f ca="1">IFERROR(__xludf.DUMMYFUNCTION("""COMPUTED_VALUE"""),"NO_CUMPLE")</f>
        <v>NO_CUMPLE</v>
      </c>
      <c r="AV1000" s="40" t="str">
        <f ca="1">IFERROR(__xludf.DUMMYFUNCTION("""COMPUTED_VALUE"""),"EN FORMACION")</f>
        <v>EN FORMACION</v>
      </c>
      <c r="AW1000" s="40" t="str">
        <f ca="1">IFERROR(__xludf.DUMMYFUNCTION("""COMPUTED_VALUE"""),"TIC")</f>
        <v>TIC</v>
      </c>
      <c r="AX1000" s="141">
        <f ca="1">IFERROR(__xludf.DUMMYFUNCTION("""COMPUTED_VALUE"""),2)</f>
        <v>2</v>
      </c>
      <c r="AY1000" s="40">
        <f ca="1">IFERROR(__xludf.DUMMYFUNCTION("""COMPUTED_VALUE"""),2)</f>
        <v>2</v>
      </c>
      <c r="AZ1000" s="40">
        <f ca="1">IFERROR(__xludf.DUMMYFUNCTION("""COMPUTED_VALUE"""),1)</f>
        <v>1</v>
      </c>
      <c r="BA1000" s="40">
        <f ca="1">IFERROR(__xludf.DUMMYFUNCTION("""COMPUTED_VALUE"""),6)</f>
        <v>6</v>
      </c>
      <c r="BB1000" s="40">
        <f ca="1">IFERROR(__xludf.DUMMYFUNCTION("""COMPUTED_VALUE"""),22)</f>
        <v>22</v>
      </c>
      <c r="BC1000" s="40">
        <f ca="1">IFERROR(__xludf.DUMMYFUNCTION("""COMPUTED_VALUE"""),31)</f>
        <v>31</v>
      </c>
      <c r="BD1000" s="141">
        <f ca="1">IFERROR(__xludf.DUMMYFUNCTION("""COMPUTED_VALUE"""),44375)</f>
        <v>44375</v>
      </c>
      <c r="BE1000" s="141">
        <f ca="1">IFERROR(__xludf.DUMMYFUNCTION("""COMPUTED_VALUE"""),44922)</f>
        <v>44922</v>
      </c>
      <c r="BF1000" s="141">
        <f ca="1">IFERROR(__xludf.DUMMYFUNCTION("""COMPUTED_VALUE"""),45104)</f>
        <v>45104</v>
      </c>
      <c r="BG1000" s="141">
        <f ca="1">IFERROR(__xludf.DUMMYFUNCTION("""COMPUTED_VALUE"""),45653)</f>
        <v>45653</v>
      </c>
      <c r="BH1000" s="40" t="str">
        <f ca="1">IFERROR(__xludf.DUMMYFUNCTION("""COMPUTED_VALUE"""),"FICHA EN TIEMPO-18 MESES")</f>
        <v>FICHA EN TIEMPO-18 MESES</v>
      </c>
      <c r="BI1000" s="40" t="str">
        <f ca="1">IFERROR(__xludf.DUMMYFUNCTION("""COMPUTED_VALUE"""),"En ejecucion")</f>
        <v>En ejecucion</v>
      </c>
      <c r="BJ1000" s="40" t="str">
        <f ca="1">IFERROR(__xludf.DUMMYFUNCTION("""COMPUTED_VALUE"""),"Yamboro")</f>
        <v>Yamboro</v>
      </c>
      <c r="BK1000" s="40"/>
      <c r="BL1000" s="40"/>
    </row>
    <row r="1001" spans="1:64" ht="13">
      <c r="A1001" s="40"/>
      <c r="B1001" s="40" t="str">
        <f ca="1">IFERROR(__xludf.DUMMYFUNCTION("""COMPUTED_VALUE"""),"FORMACIÓN 18/10/2022")</f>
        <v>FORMACIÓN 18/10/2022</v>
      </c>
      <c r="C1001" s="40" t="str">
        <f ca="1">IFERROR(__xludf.DUMMYFUNCTION("""COMPUTED_VALUE"""),"SANDRA MILENA RAMIREZ RESTREPO")</f>
        <v>SANDRA MILENA RAMIREZ RESTREPO</v>
      </c>
      <c r="D1001" s="40" t="str">
        <f ca="1">IFERROR(__xludf.DUMMYFUNCTION("""COMPUTED_VALUE"""),"CC")</f>
        <v>CC</v>
      </c>
      <c r="E1001" s="40">
        <f ca="1">IFERROR(__xludf.DUMMYFUNCTION("""COMPUTED_VALUE"""),1073984604)</f>
        <v>1073984604</v>
      </c>
      <c r="F1001" s="40">
        <f ca="1">IFERROR(__xludf.DUMMYFUNCTION("""COMPUTED_VALUE"""),2348486)</f>
        <v>2348486</v>
      </c>
      <c r="G1001" s="40" t="str">
        <f ca="1">IFERROR(__xludf.DUMMYFUNCTION("""COMPUTED_VALUE"""),"TECNÓLOGO")</f>
        <v>TECNÓLOGO</v>
      </c>
      <c r="H1001" s="40" t="str">
        <f ca="1">IFERROR(__xludf.DUMMYFUNCTION("""COMPUTED_VALUE"""),"ANALISIS Y DESARROLLO DE SISTEMAS DE INFORMACION")</f>
        <v>ANALISIS Y DESARROLLO DE SISTEMAS DE INFORMACION</v>
      </c>
      <c r="I1001" s="40"/>
      <c r="J1001" s="40"/>
      <c r="K1001" s="40"/>
      <c r="L1001" s="40" t="str">
        <f ca="1">IFERROR(__xludf.DUMMYFUNCTION("""COMPUTED_VALUE"""),"NO HA INICIADO ETAPA PRODUCTIVA")</f>
        <v>NO HA INICIADO ETAPA PRODUCTIVA</v>
      </c>
      <c r="M1001" s="40"/>
      <c r="N1001" s="40"/>
      <c r="O1001" s="40"/>
      <c r="P1001" s="40"/>
      <c r="Q1001" s="40"/>
      <c r="R1001" s="140"/>
      <c r="S1001" s="140"/>
      <c r="T1001" s="40" t="str">
        <f ca="1">IFERROR(__xludf.DUMMYFUNCTION("""COMPUTED_VALUE"""),"debe 52 resultados... Revisado 15/11/2022")</f>
        <v>debe 52 resultados... Revisado 15/11/2022</v>
      </c>
      <c r="U1001" s="40"/>
      <c r="V1001" s="40"/>
      <c r="W1001" s="40"/>
      <c r="X1001" s="40"/>
      <c r="Y1001" s="40"/>
      <c r="Z1001" s="40"/>
      <c r="AA1001" s="40"/>
      <c r="AB1001" s="40"/>
      <c r="AC1001" s="40"/>
      <c r="AD1001" s="40"/>
      <c r="AE1001" s="40"/>
      <c r="AF1001" s="40"/>
      <c r="AG1001" s="40"/>
      <c r="AH1001" s="40"/>
      <c r="AI1001" s="40"/>
      <c r="AJ1001" s="40"/>
      <c r="AK1001" s="40"/>
      <c r="AL1001" s="40"/>
      <c r="AM1001" s="40"/>
      <c r="AN1001" s="40"/>
      <c r="AO1001" s="40"/>
      <c r="AP1001" s="40"/>
      <c r="AQ1001" s="40"/>
      <c r="AR1001" s="40"/>
      <c r="AS1001" s="40"/>
      <c r="AT1001" s="40"/>
      <c r="AU1001" s="40" t="str">
        <f ca="1">IFERROR(__xludf.DUMMYFUNCTION("""COMPUTED_VALUE"""),"NO_CUMPLE")</f>
        <v>NO_CUMPLE</v>
      </c>
      <c r="AV1001" s="40" t="str">
        <f ca="1">IFERROR(__xludf.DUMMYFUNCTION("""COMPUTED_VALUE"""),"EN FORMACION")</f>
        <v>EN FORMACION</v>
      </c>
      <c r="AW1001" s="40" t="str">
        <f ca="1">IFERROR(__xludf.DUMMYFUNCTION("""COMPUTED_VALUE"""),"TIC")</f>
        <v>TIC</v>
      </c>
      <c r="AX1001" s="141">
        <f ca="1">IFERROR(__xludf.DUMMYFUNCTION("""COMPUTED_VALUE"""),8)</f>
        <v>8</v>
      </c>
      <c r="AY1001" s="40">
        <f ca="1">IFERROR(__xludf.DUMMYFUNCTION("""COMPUTED_VALUE"""),8)</f>
        <v>8</v>
      </c>
      <c r="AZ1001" s="40">
        <f ca="1">IFERROR(__xludf.DUMMYFUNCTION("""COMPUTED_VALUE"""),1)</f>
        <v>1</v>
      </c>
      <c r="BA1001" s="40">
        <f ca="1">IFERROR(__xludf.DUMMYFUNCTION("""COMPUTED_VALUE"""),14)</f>
        <v>14</v>
      </c>
      <c r="BB1001" s="40">
        <f ca="1">IFERROR(__xludf.DUMMYFUNCTION("""COMPUTED_VALUE"""),30)</f>
        <v>30</v>
      </c>
      <c r="BC1001" s="40">
        <f ca="1">IFERROR(__xludf.DUMMYFUNCTION("""COMPUTED_VALUE"""),53)</f>
        <v>53</v>
      </c>
      <c r="BD1001" s="141">
        <f ca="1">IFERROR(__xludf.DUMMYFUNCTION("""COMPUTED_VALUE"""),44375)</f>
        <v>44375</v>
      </c>
      <c r="BE1001" s="141">
        <f ca="1">IFERROR(__xludf.DUMMYFUNCTION("""COMPUTED_VALUE"""),44922)</f>
        <v>44922</v>
      </c>
      <c r="BF1001" s="141">
        <f ca="1">IFERROR(__xludf.DUMMYFUNCTION("""COMPUTED_VALUE"""),45104)</f>
        <v>45104</v>
      </c>
      <c r="BG1001" s="141">
        <f ca="1">IFERROR(__xludf.DUMMYFUNCTION("""COMPUTED_VALUE"""),45653)</f>
        <v>45653</v>
      </c>
      <c r="BH1001" s="40" t="str">
        <f ca="1">IFERROR(__xludf.DUMMYFUNCTION("""COMPUTED_VALUE"""),"FICHA EN TIEMPO-18 MESES")</f>
        <v>FICHA EN TIEMPO-18 MESES</v>
      </c>
      <c r="BI1001" s="40" t="str">
        <f ca="1">IFERROR(__xludf.DUMMYFUNCTION("""COMPUTED_VALUE"""),"En ejecucion")</f>
        <v>En ejecucion</v>
      </c>
      <c r="BJ1001" s="40" t="str">
        <f ca="1">IFERROR(__xludf.DUMMYFUNCTION("""COMPUTED_VALUE"""),"Yamboro")</f>
        <v>Yamboro</v>
      </c>
      <c r="BK1001" s="40"/>
      <c r="BL1001" s="40"/>
    </row>
    <row r="1002" spans="1:64" ht="13">
      <c r="A1002" s="40"/>
      <c r="B1002" s="40" t="str">
        <f ca="1">IFERROR(__xludf.DUMMYFUNCTION("""COMPUTED_VALUE"""),"FORMACIÓN 18/10/2022")</f>
        <v>FORMACIÓN 18/10/2022</v>
      </c>
      <c r="C1002" s="40" t="str">
        <f ca="1">IFERROR(__xludf.DUMMYFUNCTION("""COMPUTED_VALUE"""),"JOSE ALEJANDRO CASTRO ARENAS")</f>
        <v>JOSE ALEJANDRO CASTRO ARENAS</v>
      </c>
      <c r="D1002" s="40" t="str">
        <f ca="1">IFERROR(__xludf.DUMMYFUNCTION("""COMPUTED_VALUE"""),"CC")</f>
        <v>CC</v>
      </c>
      <c r="E1002" s="40">
        <f ca="1">IFERROR(__xludf.DUMMYFUNCTION("""COMPUTED_VALUE"""),1091682930)</f>
        <v>1091682930</v>
      </c>
      <c r="F1002" s="40">
        <f ca="1">IFERROR(__xludf.DUMMYFUNCTION("""COMPUTED_VALUE"""),2348486)</f>
        <v>2348486</v>
      </c>
      <c r="G1002" s="40" t="str">
        <f ca="1">IFERROR(__xludf.DUMMYFUNCTION("""COMPUTED_VALUE"""),"TECNÓLOGO")</f>
        <v>TECNÓLOGO</v>
      </c>
      <c r="H1002" s="40" t="str">
        <f ca="1">IFERROR(__xludf.DUMMYFUNCTION("""COMPUTED_VALUE"""),"ANALISIS Y DESARROLLO DE SISTEMAS DE INFORMACION")</f>
        <v>ANALISIS Y DESARROLLO DE SISTEMAS DE INFORMACION</v>
      </c>
      <c r="I1002" s="40"/>
      <c r="J1002" s="40"/>
      <c r="K1002" s="40"/>
      <c r="L1002" s="40" t="str">
        <f ca="1">IFERROR(__xludf.DUMMYFUNCTION("""COMPUTED_VALUE"""),"NO HA INICIADO ETAPA PRODUCTIVA")</f>
        <v>NO HA INICIADO ETAPA PRODUCTIVA</v>
      </c>
      <c r="M1002" s="40"/>
      <c r="N1002" s="40"/>
      <c r="O1002" s="40"/>
      <c r="P1002" s="40"/>
      <c r="Q1002" s="40"/>
      <c r="R1002" s="140"/>
      <c r="S1002" s="140"/>
      <c r="T1002" s="40" t="str">
        <f ca="1">IFERROR(__xludf.DUMMYFUNCTION("""COMPUTED_VALUE"""),"debe 49 resultados... Revisado 15/11/2022")</f>
        <v>debe 49 resultados... Revisado 15/11/2022</v>
      </c>
      <c r="U1002" s="40"/>
      <c r="V1002" s="40"/>
      <c r="W1002" s="40"/>
      <c r="X1002" s="40"/>
      <c r="Y1002" s="40"/>
      <c r="Z1002" s="40"/>
      <c r="AA1002" s="40"/>
      <c r="AB1002" s="40"/>
      <c r="AC1002" s="40"/>
      <c r="AD1002" s="40"/>
      <c r="AE1002" s="40"/>
      <c r="AF1002" s="40"/>
      <c r="AG1002" s="40"/>
      <c r="AH1002" s="40"/>
      <c r="AI1002" s="40"/>
      <c r="AJ1002" s="40"/>
      <c r="AK1002" s="40"/>
      <c r="AL1002" s="40"/>
      <c r="AM1002" s="40"/>
      <c r="AN1002" s="40"/>
      <c r="AO1002" s="40"/>
      <c r="AP1002" s="40"/>
      <c r="AQ1002" s="40"/>
      <c r="AR1002" s="40"/>
      <c r="AS1002" s="40"/>
      <c r="AT1002" s="40"/>
      <c r="AU1002" s="40" t="str">
        <f ca="1">IFERROR(__xludf.DUMMYFUNCTION("""COMPUTED_VALUE"""),"NO_CUMPLE")</f>
        <v>NO_CUMPLE</v>
      </c>
      <c r="AV1002" s="40" t="str">
        <f ca="1">IFERROR(__xludf.DUMMYFUNCTION("""COMPUTED_VALUE"""),"EN FORMACION")</f>
        <v>EN FORMACION</v>
      </c>
      <c r="AW1002" s="40" t="str">
        <f ca="1">IFERROR(__xludf.DUMMYFUNCTION("""COMPUTED_VALUE"""),"TIC")</f>
        <v>TIC</v>
      </c>
      <c r="AX1002" s="141">
        <f ca="1">IFERROR(__xludf.DUMMYFUNCTION("""COMPUTED_VALUE"""),8)</f>
        <v>8</v>
      </c>
      <c r="AY1002" s="40">
        <f ca="1">IFERROR(__xludf.DUMMYFUNCTION("""COMPUTED_VALUE"""),8)</f>
        <v>8</v>
      </c>
      <c r="AZ1002" s="40">
        <f ca="1">IFERROR(__xludf.DUMMYFUNCTION("""COMPUTED_VALUE"""),1)</f>
        <v>1</v>
      </c>
      <c r="BA1002" s="40">
        <f ca="1">IFERROR(__xludf.DUMMYFUNCTION("""COMPUTED_VALUE"""),12)</f>
        <v>12</v>
      </c>
      <c r="BB1002" s="40">
        <f ca="1">IFERROR(__xludf.DUMMYFUNCTION("""COMPUTED_VALUE"""),29)</f>
        <v>29</v>
      </c>
      <c r="BC1002" s="40">
        <f ca="1">IFERROR(__xludf.DUMMYFUNCTION("""COMPUTED_VALUE"""),50)</f>
        <v>50</v>
      </c>
      <c r="BD1002" s="141">
        <f ca="1">IFERROR(__xludf.DUMMYFUNCTION("""COMPUTED_VALUE"""),44375)</f>
        <v>44375</v>
      </c>
      <c r="BE1002" s="141">
        <f ca="1">IFERROR(__xludf.DUMMYFUNCTION("""COMPUTED_VALUE"""),44922)</f>
        <v>44922</v>
      </c>
      <c r="BF1002" s="141">
        <f ca="1">IFERROR(__xludf.DUMMYFUNCTION("""COMPUTED_VALUE"""),45104)</f>
        <v>45104</v>
      </c>
      <c r="BG1002" s="141">
        <f ca="1">IFERROR(__xludf.DUMMYFUNCTION("""COMPUTED_VALUE"""),45653)</f>
        <v>45653</v>
      </c>
      <c r="BH1002" s="40" t="str">
        <f ca="1">IFERROR(__xludf.DUMMYFUNCTION("""COMPUTED_VALUE"""),"FICHA EN TIEMPO-18 MESES")</f>
        <v>FICHA EN TIEMPO-18 MESES</v>
      </c>
      <c r="BI1002" s="40" t="str">
        <f ca="1">IFERROR(__xludf.DUMMYFUNCTION("""COMPUTED_VALUE"""),"En ejecucion")</f>
        <v>En ejecucion</v>
      </c>
      <c r="BJ1002" s="40" t="str">
        <f ca="1">IFERROR(__xludf.DUMMYFUNCTION("""COMPUTED_VALUE"""),"Yamboro")</f>
        <v>Yamboro</v>
      </c>
      <c r="BK1002" s="40"/>
      <c r="BL1002" s="40"/>
    </row>
    <row r="1003" spans="1:64" ht="13">
      <c r="A1003" s="40"/>
      <c r="B1003" s="40" t="str">
        <f ca="1">IFERROR(__xludf.DUMMYFUNCTION("""COMPUTED_VALUE"""),"FORMACIÓN 18/10/2022")</f>
        <v>FORMACIÓN 18/10/2022</v>
      </c>
      <c r="C1003" s="40" t="str">
        <f ca="1">IFERROR(__xludf.DUMMYFUNCTION("""COMPUTED_VALUE"""),"CARLOS HERNAN BUENO GUEVARA")</f>
        <v>CARLOS HERNAN BUENO GUEVARA</v>
      </c>
      <c r="D1003" s="40" t="str">
        <f ca="1">IFERROR(__xludf.DUMMYFUNCTION("""COMPUTED_VALUE"""),"CC")</f>
        <v>CC</v>
      </c>
      <c r="E1003" s="40">
        <f ca="1">IFERROR(__xludf.DUMMYFUNCTION("""COMPUTED_VALUE"""),1094728579)</f>
        <v>1094728579</v>
      </c>
      <c r="F1003" s="40">
        <f ca="1">IFERROR(__xludf.DUMMYFUNCTION("""COMPUTED_VALUE"""),2348486)</f>
        <v>2348486</v>
      </c>
      <c r="G1003" s="40" t="str">
        <f ca="1">IFERROR(__xludf.DUMMYFUNCTION("""COMPUTED_VALUE"""),"TECNÓLOGO")</f>
        <v>TECNÓLOGO</v>
      </c>
      <c r="H1003" s="40" t="str">
        <f ca="1">IFERROR(__xludf.DUMMYFUNCTION("""COMPUTED_VALUE"""),"ANALISIS Y DESARROLLO DE SISTEMAS DE INFORMACION")</f>
        <v>ANALISIS Y DESARROLLO DE SISTEMAS DE INFORMACION</v>
      </c>
      <c r="I1003" s="40"/>
      <c r="J1003" s="40"/>
      <c r="K1003" s="40"/>
      <c r="L1003" s="40" t="str">
        <f ca="1">IFERROR(__xludf.DUMMYFUNCTION("""COMPUTED_VALUE"""),"NO HA INICIADO ETAPA PRODUCTIVA")</f>
        <v>NO HA INICIADO ETAPA PRODUCTIVA</v>
      </c>
      <c r="M1003" s="40"/>
      <c r="N1003" s="40"/>
      <c r="O1003" s="40"/>
      <c r="P1003" s="40"/>
      <c r="Q1003" s="40"/>
      <c r="R1003" s="140"/>
      <c r="S1003" s="140"/>
      <c r="T1003" s="40" t="str">
        <f ca="1">IFERROR(__xludf.DUMMYFUNCTION("""COMPUTED_VALUE"""),"debe 39 resultados... Revisado 15/11/2022")</f>
        <v>debe 39 resultados... Revisado 15/11/2022</v>
      </c>
      <c r="U1003" s="40"/>
      <c r="V1003" s="40"/>
      <c r="W1003" s="40"/>
      <c r="X1003" s="40"/>
      <c r="Y1003" s="40"/>
      <c r="Z1003" s="40"/>
      <c r="AA1003" s="40"/>
      <c r="AB1003" s="40"/>
      <c r="AC1003" s="40"/>
      <c r="AD1003" s="40"/>
      <c r="AE1003" s="40"/>
      <c r="AF1003" s="40"/>
      <c r="AG1003" s="40"/>
      <c r="AH1003" s="40"/>
      <c r="AI1003" s="40"/>
      <c r="AJ1003" s="40"/>
      <c r="AK1003" s="40"/>
      <c r="AL1003" s="40"/>
      <c r="AM1003" s="40"/>
      <c r="AN1003" s="40"/>
      <c r="AO1003" s="40"/>
      <c r="AP1003" s="40"/>
      <c r="AQ1003" s="40"/>
      <c r="AR1003" s="40"/>
      <c r="AS1003" s="40"/>
      <c r="AT1003" s="40"/>
      <c r="AU1003" s="40" t="str">
        <f ca="1">IFERROR(__xludf.DUMMYFUNCTION("""COMPUTED_VALUE"""),"NO_CUMPLE")</f>
        <v>NO_CUMPLE</v>
      </c>
      <c r="AV1003" s="40" t="str">
        <f ca="1">IFERROR(__xludf.DUMMYFUNCTION("""COMPUTED_VALUE"""),"EN FORMACION")</f>
        <v>EN FORMACION</v>
      </c>
      <c r="AW1003" s="40" t="str">
        <f ca="1">IFERROR(__xludf.DUMMYFUNCTION("""COMPUTED_VALUE"""),"TIC")</f>
        <v>TIC</v>
      </c>
      <c r="AX1003" s="141">
        <f ca="1">IFERROR(__xludf.DUMMYFUNCTION("""COMPUTED_VALUE"""),2)</f>
        <v>2</v>
      </c>
      <c r="AY1003" s="40">
        <f ca="1">IFERROR(__xludf.DUMMYFUNCTION("""COMPUTED_VALUE"""),2)</f>
        <v>2</v>
      </c>
      <c r="AZ1003" s="40">
        <f ca="1">IFERROR(__xludf.DUMMYFUNCTION("""COMPUTED_VALUE"""),1)</f>
        <v>1</v>
      </c>
      <c r="BA1003" s="40">
        <f ca="1">IFERROR(__xludf.DUMMYFUNCTION("""COMPUTED_VALUE"""),9)</f>
        <v>9</v>
      </c>
      <c r="BB1003" s="40">
        <f ca="1">IFERROR(__xludf.DUMMYFUNCTION("""COMPUTED_VALUE"""),28)</f>
        <v>28</v>
      </c>
      <c r="BC1003" s="40">
        <f ca="1">IFERROR(__xludf.DUMMYFUNCTION("""COMPUTED_VALUE"""),40)</f>
        <v>40</v>
      </c>
      <c r="BD1003" s="141">
        <f ca="1">IFERROR(__xludf.DUMMYFUNCTION("""COMPUTED_VALUE"""),44375)</f>
        <v>44375</v>
      </c>
      <c r="BE1003" s="141">
        <f ca="1">IFERROR(__xludf.DUMMYFUNCTION("""COMPUTED_VALUE"""),44922)</f>
        <v>44922</v>
      </c>
      <c r="BF1003" s="141">
        <f ca="1">IFERROR(__xludf.DUMMYFUNCTION("""COMPUTED_VALUE"""),45104)</f>
        <v>45104</v>
      </c>
      <c r="BG1003" s="141">
        <f ca="1">IFERROR(__xludf.DUMMYFUNCTION("""COMPUTED_VALUE"""),45653)</f>
        <v>45653</v>
      </c>
      <c r="BH1003" s="40" t="str">
        <f ca="1">IFERROR(__xludf.DUMMYFUNCTION("""COMPUTED_VALUE"""),"FICHA EN TIEMPO-18 MESES")</f>
        <v>FICHA EN TIEMPO-18 MESES</v>
      </c>
      <c r="BI1003" s="40" t="str">
        <f ca="1">IFERROR(__xludf.DUMMYFUNCTION("""COMPUTED_VALUE"""),"En ejecucion")</f>
        <v>En ejecucion</v>
      </c>
      <c r="BJ1003" s="40" t="str">
        <f ca="1">IFERROR(__xludf.DUMMYFUNCTION("""COMPUTED_VALUE"""),"Yamboro")</f>
        <v>Yamboro</v>
      </c>
      <c r="BK1003" s="40"/>
      <c r="BL1003" s="40"/>
    </row>
    <row r="1004" spans="1:64" ht="13">
      <c r="A1004" s="40"/>
      <c r="B1004" s="40" t="str">
        <f ca="1">IFERROR(__xludf.DUMMYFUNCTION("""COMPUTED_VALUE"""),"FORMACIÓN 18/10/2022")</f>
        <v>FORMACIÓN 18/10/2022</v>
      </c>
      <c r="C1004" s="40" t="str">
        <f ca="1">IFERROR(__xludf.DUMMYFUNCTION("""COMPUTED_VALUE"""),"ALBA YICETH CEBALLOS GARCIA")</f>
        <v>ALBA YICETH CEBALLOS GARCIA</v>
      </c>
      <c r="D1004" s="40" t="str">
        <f ca="1">IFERROR(__xludf.DUMMYFUNCTION("""COMPUTED_VALUE"""),"CC")</f>
        <v>CC</v>
      </c>
      <c r="E1004" s="40">
        <f ca="1">IFERROR(__xludf.DUMMYFUNCTION("""COMPUTED_VALUE"""),1107068023)</f>
        <v>1107068023</v>
      </c>
      <c r="F1004" s="40">
        <f ca="1">IFERROR(__xludf.DUMMYFUNCTION("""COMPUTED_VALUE"""),2348486)</f>
        <v>2348486</v>
      </c>
      <c r="G1004" s="40" t="str">
        <f ca="1">IFERROR(__xludf.DUMMYFUNCTION("""COMPUTED_VALUE"""),"TECNÓLOGO")</f>
        <v>TECNÓLOGO</v>
      </c>
      <c r="H1004" s="40" t="str">
        <f ca="1">IFERROR(__xludf.DUMMYFUNCTION("""COMPUTED_VALUE"""),"ANALISIS Y DESARROLLO DE SISTEMAS DE INFORMACION")</f>
        <v>ANALISIS Y DESARROLLO DE SISTEMAS DE INFORMACION</v>
      </c>
      <c r="I1004" s="40"/>
      <c r="J1004" s="40"/>
      <c r="K1004" s="40"/>
      <c r="L1004" s="40" t="str">
        <f ca="1">IFERROR(__xludf.DUMMYFUNCTION("""COMPUTED_VALUE"""),"NO HA INICIADO ETAPA PRODUCTIVA")</f>
        <v>NO HA INICIADO ETAPA PRODUCTIVA</v>
      </c>
      <c r="M1004" s="40"/>
      <c r="N1004" s="40"/>
      <c r="O1004" s="40"/>
      <c r="P1004" s="40"/>
      <c r="Q1004" s="40"/>
      <c r="R1004" s="140"/>
      <c r="S1004" s="140"/>
      <c r="T1004" s="40" t="str">
        <f ca="1">IFERROR(__xludf.DUMMYFUNCTION("""COMPUTED_VALUE"""),"debe 55 resultados... Revisado 15/11/2022")</f>
        <v>debe 55 resultados... Revisado 15/11/2022</v>
      </c>
      <c r="U1004" s="40"/>
      <c r="V1004" s="40"/>
      <c r="W1004" s="40"/>
      <c r="X1004" s="40"/>
      <c r="Y1004" s="40"/>
      <c r="Z1004" s="40"/>
      <c r="AA1004" s="40"/>
      <c r="AB1004" s="40"/>
      <c r="AC1004" s="40"/>
      <c r="AD1004" s="40"/>
      <c r="AE1004" s="40"/>
      <c r="AF1004" s="40"/>
      <c r="AG1004" s="40"/>
      <c r="AH1004" s="40"/>
      <c r="AI1004" s="40"/>
      <c r="AJ1004" s="40"/>
      <c r="AK1004" s="40"/>
      <c r="AL1004" s="40"/>
      <c r="AM1004" s="40"/>
      <c r="AN1004" s="40"/>
      <c r="AO1004" s="40"/>
      <c r="AP1004" s="40"/>
      <c r="AQ1004" s="40"/>
      <c r="AR1004" s="40"/>
      <c r="AS1004" s="40"/>
      <c r="AT1004" s="40"/>
      <c r="AU1004" s="40" t="str">
        <f ca="1">IFERROR(__xludf.DUMMYFUNCTION("""COMPUTED_VALUE"""),"NO_CUMPLE")</f>
        <v>NO_CUMPLE</v>
      </c>
      <c r="AV1004" s="40" t="str">
        <f ca="1">IFERROR(__xludf.DUMMYFUNCTION("""COMPUTED_VALUE"""),"EN FORMACION")</f>
        <v>EN FORMACION</v>
      </c>
      <c r="AW1004" s="40" t="str">
        <f ca="1">IFERROR(__xludf.DUMMYFUNCTION("""COMPUTED_VALUE"""),"TIC")</f>
        <v>TIC</v>
      </c>
      <c r="AX1004" s="141">
        <f ca="1">IFERROR(__xludf.DUMMYFUNCTION("""COMPUTED_VALUE"""),11)</f>
        <v>11</v>
      </c>
      <c r="AY1004" s="40">
        <f ca="1">IFERROR(__xludf.DUMMYFUNCTION("""COMPUTED_VALUE"""),11)</f>
        <v>11</v>
      </c>
      <c r="AZ1004" s="40">
        <f ca="1">IFERROR(__xludf.DUMMYFUNCTION("""COMPUTED_VALUE"""),1)</f>
        <v>1</v>
      </c>
      <c r="BA1004" s="40">
        <f ca="1">IFERROR(__xludf.DUMMYFUNCTION("""COMPUTED_VALUE"""),14)</f>
        <v>14</v>
      </c>
      <c r="BB1004" s="40">
        <f ca="1">IFERROR(__xludf.DUMMYFUNCTION("""COMPUTED_VALUE"""),36)</f>
        <v>36</v>
      </c>
      <c r="BC1004" s="40">
        <f ca="1">IFERROR(__xludf.DUMMYFUNCTION("""COMPUTED_VALUE"""),62)</f>
        <v>62</v>
      </c>
      <c r="BD1004" s="141">
        <f ca="1">IFERROR(__xludf.DUMMYFUNCTION("""COMPUTED_VALUE"""),44375)</f>
        <v>44375</v>
      </c>
      <c r="BE1004" s="141">
        <f ca="1">IFERROR(__xludf.DUMMYFUNCTION("""COMPUTED_VALUE"""),44922)</f>
        <v>44922</v>
      </c>
      <c r="BF1004" s="141">
        <f ca="1">IFERROR(__xludf.DUMMYFUNCTION("""COMPUTED_VALUE"""),45104)</f>
        <v>45104</v>
      </c>
      <c r="BG1004" s="141">
        <f ca="1">IFERROR(__xludf.DUMMYFUNCTION("""COMPUTED_VALUE"""),45653)</f>
        <v>45653</v>
      </c>
      <c r="BH1004" s="40" t="str">
        <f ca="1">IFERROR(__xludf.DUMMYFUNCTION("""COMPUTED_VALUE"""),"FICHA EN TIEMPO-18 MESES")</f>
        <v>FICHA EN TIEMPO-18 MESES</v>
      </c>
      <c r="BI1004" s="40" t="str">
        <f ca="1">IFERROR(__xludf.DUMMYFUNCTION("""COMPUTED_VALUE"""),"En ejecucion")</f>
        <v>En ejecucion</v>
      </c>
      <c r="BJ1004" s="40" t="str">
        <f ca="1">IFERROR(__xludf.DUMMYFUNCTION("""COMPUTED_VALUE"""),"Yamboro")</f>
        <v>Yamboro</v>
      </c>
      <c r="BK1004" s="40"/>
      <c r="BL1004" s="40"/>
    </row>
    <row r="1005" spans="1:64" ht="13">
      <c r="A1005" s="40"/>
      <c r="B1005" s="40" t="str">
        <f ca="1">IFERROR(__xludf.DUMMYFUNCTION("""COMPUTED_VALUE"""),"FORMACIÓN 18/10/2022")</f>
        <v>FORMACIÓN 18/10/2022</v>
      </c>
      <c r="C1005" s="40" t="str">
        <f ca="1">IFERROR(__xludf.DUMMYFUNCTION("""COMPUTED_VALUE"""),"MANUEL ESTEBAN RAMIREZ UMAÑA")</f>
        <v>MANUEL ESTEBAN RAMIREZ UMAÑA</v>
      </c>
      <c r="D1005" s="40" t="str">
        <f ca="1">IFERROR(__xludf.DUMMYFUNCTION("""COMPUTED_VALUE"""),"TI")</f>
        <v>TI</v>
      </c>
      <c r="E1005" s="40">
        <f ca="1">IFERROR(__xludf.DUMMYFUNCTION("""COMPUTED_VALUE"""),1113778676)</f>
        <v>1113778676</v>
      </c>
      <c r="F1005" s="40">
        <f ca="1">IFERROR(__xludf.DUMMYFUNCTION("""COMPUTED_VALUE"""),2348486)</f>
        <v>2348486</v>
      </c>
      <c r="G1005" s="40" t="str">
        <f ca="1">IFERROR(__xludf.DUMMYFUNCTION("""COMPUTED_VALUE"""),"TECNÓLOGO")</f>
        <v>TECNÓLOGO</v>
      </c>
      <c r="H1005" s="40" t="str">
        <f ca="1">IFERROR(__xludf.DUMMYFUNCTION("""COMPUTED_VALUE"""),"ANALISIS Y DESARROLLO DE SISTEMAS DE INFORMACION")</f>
        <v>ANALISIS Y DESARROLLO DE SISTEMAS DE INFORMACION</v>
      </c>
      <c r="I1005" s="40"/>
      <c r="J1005" s="40"/>
      <c r="K1005" s="40"/>
      <c r="L1005" s="40" t="str">
        <f ca="1">IFERROR(__xludf.DUMMYFUNCTION("""COMPUTED_VALUE"""),"NO HA INICIADO ETAPA PRODUCTIVA")</f>
        <v>NO HA INICIADO ETAPA PRODUCTIVA</v>
      </c>
      <c r="M1005" s="40"/>
      <c r="N1005" s="40"/>
      <c r="O1005" s="40"/>
      <c r="P1005" s="40"/>
      <c r="Q1005" s="40"/>
      <c r="R1005" s="140"/>
      <c r="S1005" s="140"/>
      <c r="T1005" s="40" t="str">
        <f ca="1">IFERROR(__xludf.DUMMYFUNCTION("""COMPUTED_VALUE"""),"debe 26 resultados... Revisado 15/11/2022")</f>
        <v>debe 26 resultados... Revisado 15/11/2022</v>
      </c>
      <c r="U1005" s="40"/>
      <c r="V1005" s="40"/>
      <c r="W1005" s="40"/>
      <c r="X1005" s="40"/>
      <c r="Y1005" s="40"/>
      <c r="Z1005" s="40"/>
      <c r="AA1005" s="40"/>
      <c r="AB1005" s="40"/>
      <c r="AC1005" s="40"/>
      <c r="AD1005" s="40"/>
      <c r="AE1005" s="40"/>
      <c r="AF1005" s="40"/>
      <c r="AG1005" s="40"/>
      <c r="AH1005" s="40"/>
      <c r="AI1005" s="40"/>
      <c r="AJ1005" s="40"/>
      <c r="AK1005" s="40"/>
      <c r="AL1005" s="40"/>
      <c r="AM1005" s="40"/>
      <c r="AN1005" s="40"/>
      <c r="AO1005" s="40"/>
      <c r="AP1005" s="40"/>
      <c r="AQ1005" s="40"/>
      <c r="AR1005" s="40"/>
      <c r="AS1005" s="40"/>
      <c r="AT1005" s="40"/>
      <c r="AU1005" s="40" t="str">
        <f ca="1">IFERROR(__xludf.DUMMYFUNCTION("""COMPUTED_VALUE"""),"NO_CUMPLE")</f>
        <v>NO_CUMPLE</v>
      </c>
      <c r="AV1005" s="40" t="str">
        <f ca="1">IFERROR(__xludf.DUMMYFUNCTION("""COMPUTED_VALUE"""),"EN FORMACION")</f>
        <v>EN FORMACION</v>
      </c>
      <c r="AW1005" s="40" t="str">
        <f ca="1">IFERROR(__xludf.DUMMYFUNCTION("""COMPUTED_VALUE"""),"TIC")</f>
        <v>TIC</v>
      </c>
      <c r="AX1005" s="141">
        <f ca="1">IFERROR(__xludf.DUMMYFUNCTION("""COMPUTED_VALUE"""),2)</f>
        <v>2</v>
      </c>
      <c r="AY1005" s="40">
        <f ca="1">IFERROR(__xludf.DUMMYFUNCTION("""COMPUTED_VALUE"""),2)</f>
        <v>2</v>
      </c>
      <c r="AZ1005" s="40">
        <f ca="1">IFERROR(__xludf.DUMMYFUNCTION("""COMPUTED_VALUE"""),1)</f>
        <v>1</v>
      </c>
      <c r="BA1005" s="40">
        <f ca="1">IFERROR(__xludf.DUMMYFUNCTION("""COMPUTED_VALUE"""),6)</f>
        <v>6</v>
      </c>
      <c r="BB1005" s="40">
        <f ca="1">IFERROR(__xludf.DUMMYFUNCTION("""COMPUTED_VALUE"""),19)</f>
        <v>19</v>
      </c>
      <c r="BC1005" s="40">
        <f ca="1">IFERROR(__xludf.DUMMYFUNCTION("""COMPUTED_VALUE"""),28)</f>
        <v>28</v>
      </c>
      <c r="BD1005" s="141">
        <f ca="1">IFERROR(__xludf.DUMMYFUNCTION("""COMPUTED_VALUE"""),44375)</f>
        <v>44375</v>
      </c>
      <c r="BE1005" s="141">
        <f ca="1">IFERROR(__xludf.DUMMYFUNCTION("""COMPUTED_VALUE"""),44922)</f>
        <v>44922</v>
      </c>
      <c r="BF1005" s="141">
        <f ca="1">IFERROR(__xludf.DUMMYFUNCTION("""COMPUTED_VALUE"""),45104)</f>
        <v>45104</v>
      </c>
      <c r="BG1005" s="141">
        <f ca="1">IFERROR(__xludf.DUMMYFUNCTION("""COMPUTED_VALUE"""),45653)</f>
        <v>45653</v>
      </c>
      <c r="BH1005" s="40" t="str">
        <f ca="1">IFERROR(__xludf.DUMMYFUNCTION("""COMPUTED_VALUE"""),"FICHA EN TIEMPO-18 MESES")</f>
        <v>FICHA EN TIEMPO-18 MESES</v>
      </c>
      <c r="BI1005" s="40" t="str">
        <f ca="1">IFERROR(__xludf.DUMMYFUNCTION("""COMPUTED_VALUE"""),"En ejecucion")</f>
        <v>En ejecucion</v>
      </c>
      <c r="BJ1005" s="40" t="str">
        <f ca="1">IFERROR(__xludf.DUMMYFUNCTION("""COMPUTED_VALUE"""),"Yamboro")</f>
        <v>Yamboro</v>
      </c>
      <c r="BK1005" s="40"/>
      <c r="BL1005" s="40"/>
    </row>
    <row r="1006" spans="1:64" ht="13">
      <c r="A1006" s="40"/>
      <c r="B1006" s="40" t="str">
        <f ca="1">IFERROR(__xludf.DUMMYFUNCTION("""COMPUTED_VALUE"""),"FORMACIÓN 18/10/2022")</f>
        <v>FORMACIÓN 18/10/2022</v>
      </c>
      <c r="C1006" s="40" t="str">
        <f ca="1">IFERROR(__xludf.DUMMYFUNCTION("""COMPUTED_VALUE"""),"JORGE HARMANDO VARGAS DIAZ")</f>
        <v>JORGE HARMANDO VARGAS DIAZ</v>
      </c>
      <c r="D1006" s="40" t="str">
        <f ca="1">IFERROR(__xludf.DUMMYFUNCTION("""COMPUTED_VALUE"""),"CC")</f>
        <v>CC</v>
      </c>
      <c r="E1006" s="40">
        <f ca="1">IFERROR(__xludf.DUMMYFUNCTION("""COMPUTED_VALUE"""),11205240)</f>
        <v>11205240</v>
      </c>
      <c r="F1006" s="40">
        <f ca="1">IFERROR(__xludf.DUMMYFUNCTION("""COMPUTED_VALUE"""),2348486)</f>
        <v>2348486</v>
      </c>
      <c r="G1006" s="40" t="str">
        <f ca="1">IFERROR(__xludf.DUMMYFUNCTION("""COMPUTED_VALUE"""),"TECNÓLOGO")</f>
        <v>TECNÓLOGO</v>
      </c>
      <c r="H1006" s="40" t="str">
        <f ca="1">IFERROR(__xludf.DUMMYFUNCTION("""COMPUTED_VALUE"""),"ANALISIS Y DESARROLLO DE SISTEMAS DE INFORMACION")</f>
        <v>ANALISIS Y DESARROLLO DE SISTEMAS DE INFORMACION</v>
      </c>
      <c r="I1006" s="40"/>
      <c r="J1006" s="40"/>
      <c r="K1006" s="40"/>
      <c r="L1006" s="40" t="str">
        <f ca="1">IFERROR(__xludf.DUMMYFUNCTION("""COMPUTED_VALUE"""),"NO HA INICIADO ETAPA PRODUCTIVA")</f>
        <v>NO HA INICIADO ETAPA PRODUCTIVA</v>
      </c>
      <c r="M1006" s="40"/>
      <c r="N1006" s="40"/>
      <c r="O1006" s="40"/>
      <c r="P1006" s="40"/>
      <c r="Q1006" s="40"/>
      <c r="R1006" s="140"/>
      <c r="S1006" s="140"/>
      <c r="T1006" s="40" t="str">
        <f ca="1">IFERROR(__xludf.DUMMYFUNCTION("""COMPUTED_VALUE"""),"debe 54 resultados... Revisado 15/11/2022")</f>
        <v>debe 54 resultados... Revisado 15/11/2022</v>
      </c>
      <c r="U1006" s="40"/>
      <c r="V1006" s="40"/>
      <c r="W1006" s="40"/>
      <c r="X1006" s="40"/>
      <c r="Y1006" s="40"/>
      <c r="Z1006" s="40"/>
      <c r="AA1006" s="40"/>
      <c r="AB1006" s="40"/>
      <c r="AC1006" s="40"/>
      <c r="AD1006" s="40"/>
      <c r="AE1006" s="40"/>
      <c r="AF1006" s="40"/>
      <c r="AG1006" s="40"/>
      <c r="AH1006" s="40"/>
      <c r="AI1006" s="40"/>
      <c r="AJ1006" s="40"/>
      <c r="AK1006" s="40"/>
      <c r="AL1006" s="40"/>
      <c r="AM1006" s="40"/>
      <c r="AN1006" s="40"/>
      <c r="AO1006" s="40"/>
      <c r="AP1006" s="40"/>
      <c r="AQ1006" s="40"/>
      <c r="AR1006" s="40"/>
      <c r="AS1006" s="40"/>
      <c r="AT1006" s="40"/>
      <c r="AU1006" s="40" t="str">
        <f ca="1">IFERROR(__xludf.DUMMYFUNCTION("""COMPUTED_VALUE"""),"NO_CUMPLE")</f>
        <v>NO_CUMPLE</v>
      </c>
      <c r="AV1006" s="40" t="str">
        <f ca="1">IFERROR(__xludf.DUMMYFUNCTION("""COMPUTED_VALUE"""),"EN FORMACION")</f>
        <v>EN FORMACION</v>
      </c>
      <c r="AW1006" s="40" t="str">
        <f ca="1">IFERROR(__xludf.DUMMYFUNCTION("""COMPUTED_VALUE"""),"TIC")</f>
        <v>TIC</v>
      </c>
      <c r="AX1006" s="141">
        <f ca="1">IFERROR(__xludf.DUMMYFUNCTION("""COMPUTED_VALUE"""),10)</f>
        <v>10</v>
      </c>
      <c r="AY1006" s="40">
        <f ca="1">IFERROR(__xludf.DUMMYFUNCTION("""COMPUTED_VALUE"""),10)</f>
        <v>10</v>
      </c>
      <c r="AZ1006" s="40">
        <f ca="1">IFERROR(__xludf.DUMMYFUNCTION("""COMPUTED_VALUE"""),1)</f>
        <v>1</v>
      </c>
      <c r="BA1006" s="40">
        <f ca="1">IFERROR(__xludf.DUMMYFUNCTION("""COMPUTED_VALUE"""),14)</f>
        <v>14</v>
      </c>
      <c r="BB1006" s="40">
        <f ca="1">IFERROR(__xludf.DUMMYFUNCTION("""COMPUTED_VALUE"""),34)</f>
        <v>34</v>
      </c>
      <c r="BC1006" s="40">
        <f ca="1">IFERROR(__xludf.DUMMYFUNCTION("""COMPUTED_VALUE"""),59)</f>
        <v>59</v>
      </c>
      <c r="BD1006" s="141">
        <f ca="1">IFERROR(__xludf.DUMMYFUNCTION("""COMPUTED_VALUE"""),44375)</f>
        <v>44375</v>
      </c>
      <c r="BE1006" s="141">
        <f ca="1">IFERROR(__xludf.DUMMYFUNCTION("""COMPUTED_VALUE"""),44922)</f>
        <v>44922</v>
      </c>
      <c r="BF1006" s="141">
        <f ca="1">IFERROR(__xludf.DUMMYFUNCTION("""COMPUTED_VALUE"""),45104)</f>
        <v>45104</v>
      </c>
      <c r="BG1006" s="141">
        <f ca="1">IFERROR(__xludf.DUMMYFUNCTION("""COMPUTED_VALUE"""),45653)</f>
        <v>45653</v>
      </c>
      <c r="BH1006" s="40" t="str">
        <f ca="1">IFERROR(__xludf.DUMMYFUNCTION("""COMPUTED_VALUE"""),"FICHA EN TIEMPO-18 MESES")</f>
        <v>FICHA EN TIEMPO-18 MESES</v>
      </c>
      <c r="BI1006" s="40" t="str">
        <f ca="1">IFERROR(__xludf.DUMMYFUNCTION("""COMPUTED_VALUE"""),"En ejecucion")</f>
        <v>En ejecucion</v>
      </c>
      <c r="BJ1006" s="40" t="str">
        <f ca="1">IFERROR(__xludf.DUMMYFUNCTION("""COMPUTED_VALUE"""),"Yamboro")</f>
        <v>Yamboro</v>
      </c>
      <c r="BK1006" s="40"/>
      <c r="BL1006" s="40"/>
    </row>
    <row r="1007" spans="1:64" ht="13">
      <c r="A1007" s="40"/>
      <c r="B1007" s="40" t="str">
        <f ca="1">IFERROR(__xludf.DUMMYFUNCTION("""COMPUTED_VALUE"""),"FORMACIÓN 18/10/2022")</f>
        <v>FORMACIÓN 18/10/2022</v>
      </c>
      <c r="C1007" s="40" t="str">
        <f ca="1">IFERROR(__xludf.DUMMYFUNCTION("""COMPUTED_VALUE"""),"CAMILY ALEJANDRA HERMOSILLA HERRERA")</f>
        <v>CAMILY ALEJANDRA HERMOSILLA HERRERA</v>
      </c>
      <c r="D1007" s="40" t="str">
        <f ca="1">IFERROR(__xludf.DUMMYFUNCTION("""COMPUTED_VALUE"""),"CC")</f>
        <v>CC</v>
      </c>
      <c r="E1007" s="40">
        <f ca="1">IFERROR(__xludf.DUMMYFUNCTION("""COMPUTED_VALUE"""),1140909804)</f>
        <v>1140909804</v>
      </c>
      <c r="F1007" s="40">
        <f ca="1">IFERROR(__xludf.DUMMYFUNCTION("""COMPUTED_VALUE"""),2348486)</f>
        <v>2348486</v>
      </c>
      <c r="G1007" s="40" t="str">
        <f ca="1">IFERROR(__xludf.DUMMYFUNCTION("""COMPUTED_VALUE"""),"TECNÓLOGO")</f>
        <v>TECNÓLOGO</v>
      </c>
      <c r="H1007" s="40" t="str">
        <f ca="1">IFERROR(__xludf.DUMMYFUNCTION("""COMPUTED_VALUE"""),"ANALISIS Y DESARROLLO DE SISTEMAS DE INFORMACION")</f>
        <v>ANALISIS Y DESARROLLO DE SISTEMAS DE INFORMACION</v>
      </c>
      <c r="I1007" s="40"/>
      <c r="J1007" s="40"/>
      <c r="K1007" s="40"/>
      <c r="L1007" s="40" t="str">
        <f ca="1">IFERROR(__xludf.DUMMYFUNCTION("""COMPUTED_VALUE"""),"NO HA INICIADO ETAPA PRODUCTIVA")</f>
        <v>NO HA INICIADO ETAPA PRODUCTIVA</v>
      </c>
      <c r="M1007" s="40"/>
      <c r="N1007" s="40"/>
      <c r="O1007" s="40"/>
      <c r="P1007" s="40"/>
      <c r="Q1007" s="40"/>
      <c r="R1007" s="140"/>
      <c r="S1007" s="140"/>
      <c r="T1007" s="40" t="str">
        <f ca="1">IFERROR(__xludf.DUMMYFUNCTION("""COMPUTED_VALUE"""),"debe 29 resultados... Revisado 15/11/2022")</f>
        <v>debe 29 resultados... Revisado 15/11/2022</v>
      </c>
      <c r="U1007" s="40"/>
      <c r="V1007" s="40"/>
      <c r="W1007" s="40"/>
      <c r="X1007" s="40"/>
      <c r="Y1007" s="40"/>
      <c r="Z1007" s="40"/>
      <c r="AA1007" s="40"/>
      <c r="AB1007" s="40"/>
      <c r="AC1007" s="40"/>
      <c r="AD1007" s="40"/>
      <c r="AE1007" s="40"/>
      <c r="AF1007" s="40"/>
      <c r="AG1007" s="40"/>
      <c r="AH1007" s="40"/>
      <c r="AI1007" s="40"/>
      <c r="AJ1007" s="40"/>
      <c r="AK1007" s="40"/>
      <c r="AL1007" s="40"/>
      <c r="AM1007" s="40"/>
      <c r="AN1007" s="40"/>
      <c r="AO1007" s="40"/>
      <c r="AP1007" s="40"/>
      <c r="AQ1007" s="40"/>
      <c r="AR1007" s="40"/>
      <c r="AS1007" s="40"/>
      <c r="AT1007" s="40"/>
      <c r="AU1007" s="40" t="str">
        <f ca="1">IFERROR(__xludf.DUMMYFUNCTION("""COMPUTED_VALUE"""),"NO_CUMPLE")</f>
        <v>NO_CUMPLE</v>
      </c>
      <c r="AV1007" s="40" t="str">
        <f ca="1">IFERROR(__xludf.DUMMYFUNCTION("""COMPUTED_VALUE"""),"EN FORMACION")</f>
        <v>EN FORMACION</v>
      </c>
      <c r="AW1007" s="40" t="str">
        <f ca="1">IFERROR(__xludf.DUMMYFUNCTION("""COMPUTED_VALUE"""),"TIC")</f>
        <v>TIC</v>
      </c>
      <c r="AX1007" s="141">
        <f ca="1">IFERROR(__xludf.DUMMYFUNCTION("""COMPUTED_VALUE"""),3)</f>
        <v>3</v>
      </c>
      <c r="AY1007" s="40">
        <f ca="1">IFERROR(__xludf.DUMMYFUNCTION("""COMPUTED_VALUE"""),3)</f>
        <v>3</v>
      </c>
      <c r="AZ1007" s="40">
        <f ca="1">IFERROR(__xludf.DUMMYFUNCTION("""COMPUTED_VALUE"""),1)</f>
        <v>1</v>
      </c>
      <c r="BA1007" s="40">
        <f ca="1">IFERROR(__xludf.DUMMYFUNCTION("""COMPUTED_VALUE"""),7)</f>
        <v>7</v>
      </c>
      <c r="BB1007" s="40">
        <f ca="1">IFERROR(__xludf.DUMMYFUNCTION("""COMPUTED_VALUE"""),20)</f>
        <v>20</v>
      </c>
      <c r="BC1007" s="40">
        <f ca="1">IFERROR(__xludf.DUMMYFUNCTION("""COMPUTED_VALUE"""),31)</f>
        <v>31</v>
      </c>
      <c r="BD1007" s="141">
        <f ca="1">IFERROR(__xludf.DUMMYFUNCTION("""COMPUTED_VALUE"""),44375)</f>
        <v>44375</v>
      </c>
      <c r="BE1007" s="141">
        <f ca="1">IFERROR(__xludf.DUMMYFUNCTION("""COMPUTED_VALUE"""),44922)</f>
        <v>44922</v>
      </c>
      <c r="BF1007" s="141">
        <f ca="1">IFERROR(__xludf.DUMMYFUNCTION("""COMPUTED_VALUE"""),45104)</f>
        <v>45104</v>
      </c>
      <c r="BG1007" s="141">
        <f ca="1">IFERROR(__xludf.DUMMYFUNCTION("""COMPUTED_VALUE"""),45653)</f>
        <v>45653</v>
      </c>
      <c r="BH1007" s="40" t="str">
        <f ca="1">IFERROR(__xludf.DUMMYFUNCTION("""COMPUTED_VALUE"""),"FICHA EN TIEMPO-18 MESES")</f>
        <v>FICHA EN TIEMPO-18 MESES</v>
      </c>
      <c r="BI1007" s="40" t="str">
        <f ca="1">IFERROR(__xludf.DUMMYFUNCTION("""COMPUTED_VALUE"""),"En ejecucion")</f>
        <v>En ejecucion</v>
      </c>
      <c r="BJ1007" s="40" t="str">
        <f ca="1">IFERROR(__xludf.DUMMYFUNCTION("""COMPUTED_VALUE"""),"Yamboro")</f>
        <v>Yamboro</v>
      </c>
      <c r="BK1007" s="40"/>
      <c r="BL1007" s="40"/>
    </row>
    <row r="1008" spans="1:64" ht="13">
      <c r="A1008" s="40"/>
      <c r="B1008" s="40" t="str">
        <f ca="1">IFERROR(__xludf.DUMMYFUNCTION("""COMPUTED_VALUE"""),"FORMACIÓN 18/10/2022")</f>
        <v>FORMACIÓN 18/10/2022</v>
      </c>
      <c r="C1008" s="40" t="str">
        <f ca="1">IFERROR(__xludf.DUMMYFUNCTION("""COMPUTED_VALUE"""),"CAMILO ANDRES HERNANDEZ CABARCAS")</f>
        <v>CAMILO ANDRES HERNANDEZ CABARCAS</v>
      </c>
      <c r="D1008" s="40" t="str">
        <f ca="1">IFERROR(__xludf.DUMMYFUNCTION("""COMPUTED_VALUE"""),"CC")</f>
        <v>CC</v>
      </c>
      <c r="E1008" s="40">
        <f ca="1">IFERROR(__xludf.DUMMYFUNCTION("""COMPUTED_VALUE"""),1235039009)</f>
        <v>1235039009</v>
      </c>
      <c r="F1008" s="40">
        <f ca="1">IFERROR(__xludf.DUMMYFUNCTION("""COMPUTED_VALUE"""),2348486)</f>
        <v>2348486</v>
      </c>
      <c r="G1008" s="40" t="str">
        <f ca="1">IFERROR(__xludf.DUMMYFUNCTION("""COMPUTED_VALUE"""),"TECNÓLOGO")</f>
        <v>TECNÓLOGO</v>
      </c>
      <c r="H1008" s="40" t="str">
        <f ca="1">IFERROR(__xludf.DUMMYFUNCTION("""COMPUTED_VALUE"""),"ANALISIS Y DESARROLLO DE SISTEMAS DE INFORMACION")</f>
        <v>ANALISIS Y DESARROLLO DE SISTEMAS DE INFORMACION</v>
      </c>
      <c r="I1008" s="40"/>
      <c r="J1008" s="40"/>
      <c r="K1008" s="40"/>
      <c r="L1008" s="40" t="str">
        <f ca="1">IFERROR(__xludf.DUMMYFUNCTION("""COMPUTED_VALUE"""),"NO HA INICIADO ETAPA PRODUCTIVA")</f>
        <v>NO HA INICIADO ETAPA PRODUCTIVA</v>
      </c>
      <c r="M1008" s="40"/>
      <c r="N1008" s="40"/>
      <c r="O1008" s="40"/>
      <c r="P1008" s="40"/>
      <c r="Q1008" s="40"/>
      <c r="R1008" s="140"/>
      <c r="S1008" s="140"/>
      <c r="T1008" s="40" t="str">
        <f ca="1">IFERROR(__xludf.DUMMYFUNCTION("""COMPUTED_VALUE"""),"debe 32 resultados... Revisado 15/11/2022")</f>
        <v>debe 32 resultados... Revisado 15/11/2022</v>
      </c>
      <c r="U1008" s="40"/>
      <c r="V1008" s="40"/>
      <c r="W1008" s="40"/>
      <c r="X1008" s="40"/>
      <c r="Y1008" s="40"/>
      <c r="Z1008" s="40"/>
      <c r="AA1008" s="40"/>
      <c r="AB1008" s="40"/>
      <c r="AC1008" s="40"/>
      <c r="AD1008" s="40"/>
      <c r="AE1008" s="40"/>
      <c r="AF1008" s="40"/>
      <c r="AG1008" s="40"/>
      <c r="AH1008" s="40"/>
      <c r="AI1008" s="40"/>
      <c r="AJ1008" s="40"/>
      <c r="AK1008" s="40"/>
      <c r="AL1008" s="40"/>
      <c r="AM1008" s="40"/>
      <c r="AN1008" s="40"/>
      <c r="AO1008" s="40"/>
      <c r="AP1008" s="40"/>
      <c r="AQ1008" s="40"/>
      <c r="AR1008" s="40"/>
      <c r="AS1008" s="40"/>
      <c r="AT1008" s="40"/>
      <c r="AU1008" s="40" t="str">
        <f ca="1">IFERROR(__xludf.DUMMYFUNCTION("""COMPUTED_VALUE"""),"NO_CUMPLE")</f>
        <v>NO_CUMPLE</v>
      </c>
      <c r="AV1008" s="40" t="str">
        <f ca="1">IFERROR(__xludf.DUMMYFUNCTION("""COMPUTED_VALUE"""),"EN FORMACION")</f>
        <v>EN FORMACION</v>
      </c>
      <c r="AW1008" s="40" t="str">
        <f ca="1">IFERROR(__xludf.DUMMYFUNCTION("""COMPUTED_VALUE"""),"TIC")</f>
        <v>TIC</v>
      </c>
      <c r="AX1008" s="141">
        <f ca="1">IFERROR(__xludf.DUMMYFUNCTION("""COMPUTED_VALUE"""),3)</f>
        <v>3</v>
      </c>
      <c r="AY1008" s="40">
        <f ca="1">IFERROR(__xludf.DUMMYFUNCTION("""COMPUTED_VALUE"""),3)</f>
        <v>3</v>
      </c>
      <c r="AZ1008" s="40">
        <f ca="1">IFERROR(__xludf.DUMMYFUNCTION("""COMPUTED_VALUE"""),1)</f>
        <v>1</v>
      </c>
      <c r="BA1008" s="40">
        <f ca="1">IFERROR(__xludf.DUMMYFUNCTION("""COMPUTED_VALUE"""),8)</f>
        <v>8</v>
      </c>
      <c r="BB1008" s="40">
        <f ca="1">IFERROR(__xludf.DUMMYFUNCTION("""COMPUTED_VALUE"""),21)</f>
        <v>21</v>
      </c>
      <c r="BC1008" s="40">
        <f ca="1">IFERROR(__xludf.DUMMYFUNCTION("""COMPUTED_VALUE"""),33)</f>
        <v>33</v>
      </c>
      <c r="BD1008" s="141">
        <f ca="1">IFERROR(__xludf.DUMMYFUNCTION("""COMPUTED_VALUE"""),44375)</f>
        <v>44375</v>
      </c>
      <c r="BE1008" s="141">
        <f ca="1">IFERROR(__xludf.DUMMYFUNCTION("""COMPUTED_VALUE"""),44922)</f>
        <v>44922</v>
      </c>
      <c r="BF1008" s="141">
        <f ca="1">IFERROR(__xludf.DUMMYFUNCTION("""COMPUTED_VALUE"""),45104)</f>
        <v>45104</v>
      </c>
      <c r="BG1008" s="141">
        <f ca="1">IFERROR(__xludf.DUMMYFUNCTION("""COMPUTED_VALUE"""),45653)</f>
        <v>45653</v>
      </c>
      <c r="BH1008" s="40" t="str">
        <f ca="1">IFERROR(__xludf.DUMMYFUNCTION("""COMPUTED_VALUE"""),"FICHA EN TIEMPO-18 MESES")</f>
        <v>FICHA EN TIEMPO-18 MESES</v>
      </c>
      <c r="BI1008" s="40" t="str">
        <f ca="1">IFERROR(__xludf.DUMMYFUNCTION("""COMPUTED_VALUE"""),"En ejecucion")</f>
        <v>En ejecucion</v>
      </c>
      <c r="BJ1008" s="40" t="str">
        <f ca="1">IFERROR(__xludf.DUMMYFUNCTION("""COMPUTED_VALUE"""),"Yamboro")</f>
        <v>Yamboro</v>
      </c>
      <c r="BK1008" s="40"/>
      <c r="BL1008" s="40"/>
    </row>
    <row r="1009" spans="1:64" ht="13">
      <c r="A1009" s="40"/>
      <c r="B1009" s="40" t="str">
        <f ca="1">IFERROR(__xludf.DUMMYFUNCTION("""COMPUTED_VALUE"""),"FORMACIÓN 18/10/2022")</f>
        <v>FORMACIÓN 18/10/2022</v>
      </c>
      <c r="C1009" s="40" t="str">
        <f ca="1">IFERROR(__xludf.DUMMYFUNCTION("""COMPUTED_VALUE"""),"ORLANDO DARIO RAMOS REGINO")</f>
        <v>ORLANDO DARIO RAMOS REGINO</v>
      </c>
      <c r="D1009" s="40" t="str">
        <f ca="1">IFERROR(__xludf.DUMMYFUNCTION("""COMPUTED_VALUE"""),"CC")</f>
        <v>CC</v>
      </c>
      <c r="E1009" s="40">
        <f ca="1">IFERROR(__xludf.DUMMYFUNCTION("""COMPUTED_VALUE"""),15647721)</f>
        <v>15647721</v>
      </c>
      <c r="F1009" s="40">
        <f ca="1">IFERROR(__xludf.DUMMYFUNCTION("""COMPUTED_VALUE"""),2348486)</f>
        <v>2348486</v>
      </c>
      <c r="G1009" s="40" t="str">
        <f ca="1">IFERROR(__xludf.DUMMYFUNCTION("""COMPUTED_VALUE"""),"TECNÓLOGO")</f>
        <v>TECNÓLOGO</v>
      </c>
      <c r="H1009" s="40" t="str">
        <f ca="1">IFERROR(__xludf.DUMMYFUNCTION("""COMPUTED_VALUE"""),"ANALISIS Y DESARROLLO DE SISTEMAS DE INFORMACION")</f>
        <v>ANALISIS Y DESARROLLO DE SISTEMAS DE INFORMACION</v>
      </c>
      <c r="I1009" s="40"/>
      <c r="J1009" s="40"/>
      <c r="K1009" s="40"/>
      <c r="L1009" s="40" t="str">
        <f ca="1">IFERROR(__xludf.DUMMYFUNCTION("""COMPUTED_VALUE"""),"NO HA INICIADO ETAPA PRODUCTIVA")</f>
        <v>NO HA INICIADO ETAPA PRODUCTIVA</v>
      </c>
      <c r="M1009" s="40"/>
      <c r="N1009" s="40"/>
      <c r="O1009" s="40"/>
      <c r="P1009" s="40"/>
      <c r="Q1009" s="40"/>
      <c r="R1009" s="140"/>
      <c r="S1009" s="140"/>
      <c r="T1009" s="40" t="str">
        <f ca="1">IFERROR(__xludf.DUMMYFUNCTION("""COMPUTED_VALUE"""),"debe 50 resultados... Revisado 15/11/2022")</f>
        <v>debe 50 resultados... Revisado 15/11/2022</v>
      </c>
      <c r="U1009" s="40"/>
      <c r="V1009" s="40"/>
      <c r="W1009" s="40"/>
      <c r="X1009" s="40"/>
      <c r="Y1009" s="40"/>
      <c r="Z1009" s="40"/>
      <c r="AA1009" s="40"/>
      <c r="AB1009" s="40"/>
      <c r="AC1009" s="40"/>
      <c r="AD1009" s="40"/>
      <c r="AE1009" s="40"/>
      <c r="AF1009" s="40"/>
      <c r="AG1009" s="40"/>
      <c r="AH1009" s="40"/>
      <c r="AI1009" s="40"/>
      <c r="AJ1009" s="40"/>
      <c r="AK1009" s="40"/>
      <c r="AL1009" s="40"/>
      <c r="AM1009" s="40"/>
      <c r="AN1009" s="40"/>
      <c r="AO1009" s="40"/>
      <c r="AP1009" s="40"/>
      <c r="AQ1009" s="40"/>
      <c r="AR1009" s="40"/>
      <c r="AS1009" s="40"/>
      <c r="AT1009" s="40"/>
      <c r="AU1009" s="40" t="str">
        <f ca="1">IFERROR(__xludf.DUMMYFUNCTION("""COMPUTED_VALUE"""),"NO_CUMPLE")</f>
        <v>NO_CUMPLE</v>
      </c>
      <c r="AV1009" s="40" t="str">
        <f ca="1">IFERROR(__xludf.DUMMYFUNCTION("""COMPUTED_VALUE"""),"EN FORMACION")</f>
        <v>EN FORMACION</v>
      </c>
      <c r="AW1009" s="40" t="str">
        <f ca="1">IFERROR(__xludf.DUMMYFUNCTION("""COMPUTED_VALUE"""),"TIC")</f>
        <v>TIC</v>
      </c>
      <c r="AX1009" s="141">
        <f ca="1">IFERROR(__xludf.DUMMYFUNCTION("""COMPUTED_VALUE"""),6)</f>
        <v>6</v>
      </c>
      <c r="AY1009" s="40">
        <f ca="1">IFERROR(__xludf.DUMMYFUNCTION("""COMPUTED_VALUE"""),6)</f>
        <v>6</v>
      </c>
      <c r="AZ1009" s="40">
        <f ca="1">IFERROR(__xludf.DUMMYFUNCTION("""COMPUTED_VALUE"""),1)</f>
        <v>1</v>
      </c>
      <c r="BA1009" s="40">
        <f ca="1">IFERROR(__xludf.DUMMYFUNCTION("""COMPUTED_VALUE"""),14)</f>
        <v>14</v>
      </c>
      <c r="BB1009" s="40">
        <f ca="1">IFERROR(__xludf.DUMMYFUNCTION("""COMPUTED_VALUE"""),30)</f>
        <v>30</v>
      </c>
      <c r="BC1009" s="40">
        <f ca="1">IFERROR(__xludf.DUMMYFUNCTION("""COMPUTED_VALUE"""),51)</f>
        <v>51</v>
      </c>
      <c r="BD1009" s="141">
        <f ca="1">IFERROR(__xludf.DUMMYFUNCTION("""COMPUTED_VALUE"""),44375)</f>
        <v>44375</v>
      </c>
      <c r="BE1009" s="141">
        <f ca="1">IFERROR(__xludf.DUMMYFUNCTION("""COMPUTED_VALUE"""),44922)</f>
        <v>44922</v>
      </c>
      <c r="BF1009" s="141">
        <f ca="1">IFERROR(__xludf.DUMMYFUNCTION("""COMPUTED_VALUE"""),45104)</f>
        <v>45104</v>
      </c>
      <c r="BG1009" s="141">
        <f ca="1">IFERROR(__xludf.DUMMYFUNCTION("""COMPUTED_VALUE"""),45653)</f>
        <v>45653</v>
      </c>
      <c r="BH1009" s="40" t="str">
        <f ca="1">IFERROR(__xludf.DUMMYFUNCTION("""COMPUTED_VALUE"""),"FICHA EN TIEMPO-18 MESES")</f>
        <v>FICHA EN TIEMPO-18 MESES</v>
      </c>
      <c r="BI1009" s="40" t="str">
        <f ca="1">IFERROR(__xludf.DUMMYFUNCTION("""COMPUTED_VALUE"""),"En ejecucion")</f>
        <v>En ejecucion</v>
      </c>
      <c r="BJ1009" s="40" t="str">
        <f ca="1">IFERROR(__xludf.DUMMYFUNCTION("""COMPUTED_VALUE"""),"Yamboro")</f>
        <v>Yamboro</v>
      </c>
      <c r="BK1009" s="40"/>
      <c r="BL1009" s="40"/>
    </row>
    <row r="1010" spans="1:64" ht="13">
      <c r="A1010" s="40"/>
      <c r="B1010" s="40" t="str">
        <f ca="1">IFERROR(__xludf.DUMMYFUNCTION("""COMPUTED_VALUE"""),"FORMACIÓN 18/10/2022")</f>
        <v>FORMACIÓN 18/10/2022</v>
      </c>
      <c r="C1010" s="40" t="str">
        <f ca="1">IFERROR(__xludf.DUMMYFUNCTION("""COMPUTED_VALUE"""),"SANDRA PATRICIA DIAZ")</f>
        <v>SANDRA PATRICIA DIAZ</v>
      </c>
      <c r="D1010" s="40" t="str">
        <f ca="1">IFERROR(__xludf.DUMMYFUNCTION("""COMPUTED_VALUE"""),"CC")</f>
        <v>CC</v>
      </c>
      <c r="E1010" s="40">
        <f ca="1">IFERROR(__xludf.DUMMYFUNCTION("""COMPUTED_VALUE"""),51932283)</f>
        <v>51932283</v>
      </c>
      <c r="F1010" s="40">
        <f ca="1">IFERROR(__xludf.DUMMYFUNCTION("""COMPUTED_VALUE"""),2348486)</f>
        <v>2348486</v>
      </c>
      <c r="G1010" s="40" t="str">
        <f ca="1">IFERROR(__xludf.DUMMYFUNCTION("""COMPUTED_VALUE"""),"TECNÓLOGO")</f>
        <v>TECNÓLOGO</v>
      </c>
      <c r="H1010" s="40" t="str">
        <f ca="1">IFERROR(__xludf.DUMMYFUNCTION("""COMPUTED_VALUE"""),"ANALISIS Y DESARROLLO DE SISTEMAS DE INFORMACION")</f>
        <v>ANALISIS Y DESARROLLO DE SISTEMAS DE INFORMACION</v>
      </c>
      <c r="I1010" s="40"/>
      <c r="J1010" s="40"/>
      <c r="K1010" s="40"/>
      <c r="L1010" s="40" t="str">
        <f ca="1">IFERROR(__xludf.DUMMYFUNCTION("""COMPUTED_VALUE"""),"NO HA INICIADO ETAPA PRODUCTIVA")</f>
        <v>NO HA INICIADO ETAPA PRODUCTIVA</v>
      </c>
      <c r="M1010" s="40"/>
      <c r="N1010" s="40"/>
      <c r="O1010" s="40"/>
      <c r="P1010" s="40"/>
      <c r="Q1010" s="40"/>
      <c r="R1010" s="140"/>
      <c r="S1010" s="140"/>
      <c r="T1010" s="40" t="str">
        <f ca="1">IFERROR(__xludf.DUMMYFUNCTION("""COMPUTED_VALUE"""),"debe 56 resultados... Revisado 15/11/2022")</f>
        <v>debe 56 resultados... Revisado 15/11/2022</v>
      </c>
      <c r="U1010" s="40"/>
      <c r="V1010" s="40"/>
      <c r="W1010" s="40"/>
      <c r="X1010" s="40"/>
      <c r="Y1010" s="40"/>
      <c r="Z1010" s="40"/>
      <c r="AA1010" s="40"/>
      <c r="AB1010" s="40"/>
      <c r="AC1010" s="40"/>
      <c r="AD1010" s="40"/>
      <c r="AE1010" s="40"/>
      <c r="AF1010" s="40"/>
      <c r="AG1010" s="40"/>
      <c r="AH1010" s="40"/>
      <c r="AI1010" s="40"/>
      <c r="AJ1010" s="40"/>
      <c r="AK1010" s="40"/>
      <c r="AL1010" s="40"/>
      <c r="AM1010" s="40"/>
      <c r="AN1010" s="40"/>
      <c r="AO1010" s="40"/>
      <c r="AP1010" s="40"/>
      <c r="AQ1010" s="40"/>
      <c r="AR1010" s="40"/>
      <c r="AS1010" s="40"/>
      <c r="AT1010" s="40"/>
      <c r="AU1010" s="40" t="str">
        <f ca="1">IFERROR(__xludf.DUMMYFUNCTION("""COMPUTED_VALUE"""),"NO_CUMPLE")</f>
        <v>NO_CUMPLE</v>
      </c>
      <c r="AV1010" s="40" t="str">
        <f ca="1">IFERROR(__xludf.DUMMYFUNCTION("""COMPUTED_VALUE"""),"EN FORMACION")</f>
        <v>EN FORMACION</v>
      </c>
      <c r="AW1010" s="40" t="str">
        <f ca="1">IFERROR(__xludf.DUMMYFUNCTION("""COMPUTED_VALUE"""),"TIC")</f>
        <v>TIC</v>
      </c>
      <c r="AX1010" s="141">
        <f ca="1">IFERROR(__xludf.DUMMYFUNCTION("""COMPUTED_VALUE"""),13)</f>
        <v>13</v>
      </c>
      <c r="AY1010" s="40">
        <f ca="1">IFERROR(__xludf.DUMMYFUNCTION("""COMPUTED_VALUE"""),13)</f>
        <v>13</v>
      </c>
      <c r="AZ1010" s="40">
        <f ca="1">IFERROR(__xludf.DUMMYFUNCTION("""COMPUTED_VALUE"""),1)</f>
        <v>1</v>
      </c>
      <c r="BA1010" s="40">
        <f ca="1">IFERROR(__xludf.DUMMYFUNCTION("""COMPUTED_VALUE"""),14)</f>
        <v>14</v>
      </c>
      <c r="BB1010" s="40">
        <f ca="1">IFERROR(__xludf.DUMMYFUNCTION("""COMPUTED_VALUE"""),36)</f>
        <v>36</v>
      </c>
      <c r="BC1010" s="40">
        <f ca="1">IFERROR(__xludf.DUMMYFUNCTION("""COMPUTED_VALUE"""),64)</f>
        <v>64</v>
      </c>
      <c r="BD1010" s="141">
        <f ca="1">IFERROR(__xludf.DUMMYFUNCTION("""COMPUTED_VALUE"""),44375)</f>
        <v>44375</v>
      </c>
      <c r="BE1010" s="141">
        <f ca="1">IFERROR(__xludf.DUMMYFUNCTION("""COMPUTED_VALUE"""),44922)</f>
        <v>44922</v>
      </c>
      <c r="BF1010" s="141">
        <f ca="1">IFERROR(__xludf.DUMMYFUNCTION("""COMPUTED_VALUE"""),45104)</f>
        <v>45104</v>
      </c>
      <c r="BG1010" s="141">
        <f ca="1">IFERROR(__xludf.DUMMYFUNCTION("""COMPUTED_VALUE"""),45653)</f>
        <v>45653</v>
      </c>
      <c r="BH1010" s="40" t="str">
        <f ca="1">IFERROR(__xludf.DUMMYFUNCTION("""COMPUTED_VALUE"""),"FICHA EN TIEMPO-18 MESES")</f>
        <v>FICHA EN TIEMPO-18 MESES</v>
      </c>
      <c r="BI1010" s="40" t="str">
        <f ca="1">IFERROR(__xludf.DUMMYFUNCTION("""COMPUTED_VALUE"""),"En ejecucion")</f>
        <v>En ejecucion</v>
      </c>
      <c r="BJ1010" s="40" t="str">
        <f ca="1">IFERROR(__xludf.DUMMYFUNCTION("""COMPUTED_VALUE"""),"Yamboro")</f>
        <v>Yamboro</v>
      </c>
      <c r="BK1010" s="40"/>
      <c r="BL1010" s="40"/>
    </row>
    <row r="1011" spans="1:64" ht="13">
      <c r="A1011" s="40"/>
      <c r="B1011" s="40" t="str">
        <f ca="1">IFERROR(__xludf.DUMMYFUNCTION("""COMPUTED_VALUE"""),"FORMACIÓN 18/10/2022")</f>
        <v>FORMACIÓN 18/10/2022</v>
      </c>
      <c r="C1011" s="40" t="str">
        <f ca="1">IFERROR(__xludf.DUMMYFUNCTION("""COMPUTED_VALUE"""),"JUAN FELIPE CARDONA CORREA")</f>
        <v>JUAN FELIPE CARDONA CORREA</v>
      </c>
      <c r="D1011" s="40" t="str">
        <f ca="1">IFERROR(__xludf.DUMMYFUNCTION("""COMPUTED_VALUE"""),"CC")</f>
        <v>CC</v>
      </c>
      <c r="E1011" s="40">
        <f ca="1">IFERROR(__xludf.DUMMYFUNCTION("""COMPUTED_VALUE"""),71375705)</f>
        <v>71375705</v>
      </c>
      <c r="F1011" s="40">
        <f ca="1">IFERROR(__xludf.DUMMYFUNCTION("""COMPUTED_VALUE"""),2348486)</f>
        <v>2348486</v>
      </c>
      <c r="G1011" s="40" t="str">
        <f ca="1">IFERROR(__xludf.DUMMYFUNCTION("""COMPUTED_VALUE"""),"TECNÓLOGO")</f>
        <v>TECNÓLOGO</v>
      </c>
      <c r="H1011" s="40" t="str">
        <f ca="1">IFERROR(__xludf.DUMMYFUNCTION("""COMPUTED_VALUE"""),"ANALISIS Y DESARROLLO DE SISTEMAS DE INFORMACION")</f>
        <v>ANALISIS Y DESARROLLO DE SISTEMAS DE INFORMACION</v>
      </c>
      <c r="I1011" s="40"/>
      <c r="J1011" s="40"/>
      <c r="K1011" s="40"/>
      <c r="L1011" s="40" t="str">
        <f ca="1">IFERROR(__xludf.DUMMYFUNCTION("""COMPUTED_VALUE"""),"NO HA INICIADO ETAPA PRODUCTIVA")</f>
        <v>NO HA INICIADO ETAPA PRODUCTIVA</v>
      </c>
      <c r="M1011" s="40"/>
      <c r="N1011" s="40"/>
      <c r="O1011" s="40"/>
      <c r="P1011" s="40"/>
      <c r="Q1011" s="40"/>
      <c r="R1011" s="140"/>
      <c r="S1011" s="140"/>
      <c r="T1011" s="40" t="str">
        <f ca="1">IFERROR(__xludf.DUMMYFUNCTION("""COMPUTED_VALUE"""),"debe 40 resultados... Revisado 15/11/2022")</f>
        <v>debe 40 resultados... Revisado 15/11/2022</v>
      </c>
      <c r="U1011" s="40"/>
      <c r="V1011" s="40"/>
      <c r="W1011" s="40"/>
      <c r="X1011" s="40"/>
      <c r="Y1011" s="40"/>
      <c r="Z1011" s="40"/>
      <c r="AA1011" s="40"/>
      <c r="AB1011" s="40"/>
      <c r="AC1011" s="40"/>
      <c r="AD1011" s="40"/>
      <c r="AE1011" s="40"/>
      <c r="AF1011" s="40"/>
      <c r="AG1011" s="40"/>
      <c r="AH1011" s="40"/>
      <c r="AI1011" s="40"/>
      <c r="AJ1011" s="40"/>
      <c r="AK1011" s="40"/>
      <c r="AL1011" s="40"/>
      <c r="AM1011" s="40"/>
      <c r="AN1011" s="40"/>
      <c r="AO1011" s="40"/>
      <c r="AP1011" s="40"/>
      <c r="AQ1011" s="40"/>
      <c r="AR1011" s="40"/>
      <c r="AS1011" s="40"/>
      <c r="AT1011" s="40"/>
      <c r="AU1011" s="40" t="str">
        <f ca="1">IFERROR(__xludf.DUMMYFUNCTION("""COMPUTED_VALUE"""),"NO_CUMPLE")</f>
        <v>NO_CUMPLE</v>
      </c>
      <c r="AV1011" s="40" t="str">
        <f ca="1">IFERROR(__xludf.DUMMYFUNCTION("""COMPUTED_VALUE"""),"EN FORMACION")</f>
        <v>EN FORMACION</v>
      </c>
      <c r="AW1011" s="40" t="str">
        <f ca="1">IFERROR(__xludf.DUMMYFUNCTION("""COMPUTED_VALUE"""),"TIC")</f>
        <v>TIC</v>
      </c>
      <c r="AX1011" s="141">
        <f ca="1">IFERROR(__xludf.DUMMYFUNCTION("""COMPUTED_VALUE"""),5)</f>
        <v>5</v>
      </c>
      <c r="AY1011" s="40">
        <f ca="1">IFERROR(__xludf.DUMMYFUNCTION("""COMPUTED_VALUE"""),5)</f>
        <v>5</v>
      </c>
      <c r="AZ1011" s="40">
        <f ca="1">IFERROR(__xludf.DUMMYFUNCTION("""COMPUTED_VALUE"""),1)</f>
        <v>1</v>
      </c>
      <c r="BA1011" s="40">
        <f ca="1">IFERROR(__xludf.DUMMYFUNCTION("""COMPUTED_VALUE"""),10)</f>
        <v>10</v>
      </c>
      <c r="BB1011" s="40">
        <f ca="1">IFERROR(__xludf.DUMMYFUNCTION("""COMPUTED_VALUE"""),25)</f>
        <v>25</v>
      </c>
      <c r="BC1011" s="40">
        <f ca="1">IFERROR(__xludf.DUMMYFUNCTION("""COMPUTED_VALUE"""),41)</f>
        <v>41</v>
      </c>
      <c r="BD1011" s="141">
        <f ca="1">IFERROR(__xludf.DUMMYFUNCTION("""COMPUTED_VALUE"""),44375)</f>
        <v>44375</v>
      </c>
      <c r="BE1011" s="141">
        <f ca="1">IFERROR(__xludf.DUMMYFUNCTION("""COMPUTED_VALUE"""),44922)</f>
        <v>44922</v>
      </c>
      <c r="BF1011" s="141">
        <f ca="1">IFERROR(__xludf.DUMMYFUNCTION("""COMPUTED_VALUE"""),45104)</f>
        <v>45104</v>
      </c>
      <c r="BG1011" s="141">
        <f ca="1">IFERROR(__xludf.DUMMYFUNCTION("""COMPUTED_VALUE"""),45653)</f>
        <v>45653</v>
      </c>
      <c r="BH1011" s="40" t="str">
        <f ca="1">IFERROR(__xludf.DUMMYFUNCTION("""COMPUTED_VALUE"""),"FICHA EN TIEMPO-18 MESES")</f>
        <v>FICHA EN TIEMPO-18 MESES</v>
      </c>
      <c r="BI1011" s="40" t="str">
        <f ca="1">IFERROR(__xludf.DUMMYFUNCTION("""COMPUTED_VALUE"""),"En ejecucion")</f>
        <v>En ejecucion</v>
      </c>
      <c r="BJ1011" s="40" t="str">
        <f ca="1">IFERROR(__xludf.DUMMYFUNCTION("""COMPUTED_VALUE"""),"Yamboro")</f>
        <v>Yamboro</v>
      </c>
      <c r="BK1011" s="40"/>
      <c r="BL1011" s="40"/>
    </row>
    <row r="1012" spans="1:64" ht="13">
      <c r="A1012" s="40"/>
      <c r="B1012" s="40" t="str">
        <f ca="1">IFERROR(__xludf.DUMMYFUNCTION("""COMPUTED_VALUE"""),"FORMACIÓN 18/10/2022")</f>
        <v>FORMACIÓN 18/10/2022</v>
      </c>
      <c r="C1012" s="40" t="str">
        <f ca="1">IFERROR(__xludf.DUMMYFUNCTION("""COMPUTED_VALUE"""),"CARLOS ARTURO BARROS BORRAS")</f>
        <v>CARLOS ARTURO BARROS BORRAS</v>
      </c>
      <c r="D1012" s="40" t="str">
        <f ca="1">IFERROR(__xludf.DUMMYFUNCTION("""COMPUTED_VALUE"""),"CC")</f>
        <v>CC</v>
      </c>
      <c r="E1012" s="40">
        <f ca="1">IFERROR(__xludf.DUMMYFUNCTION("""COMPUTED_VALUE"""),72284927)</f>
        <v>72284927</v>
      </c>
      <c r="F1012" s="40">
        <f ca="1">IFERROR(__xludf.DUMMYFUNCTION("""COMPUTED_VALUE"""),2348486)</f>
        <v>2348486</v>
      </c>
      <c r="G1012" s="40" t="str">
        <f ca="1">IFERROR(__xludf.DUMMYFUNCTION("""COMPUTED_VALUE"""),"TECNÓLOGO")</f>
        <v>TECNÓLOGO</v>
      </c>
      <c r="H1012" s="40" t="str">
        <f ca="1">IFERROR(__xludf.DUMMYFUNCTION("""COMPUTED_VALUE"""),"ANALISIS Y DESARROLLO DE SISTEMAS DE INFORMACION")</f>
        <v>ANALISIS Y DESARROLLO DE SISTEMAS DE INFORMACION</v>
      </c>
      <c r="I1012" s="40"/>
      <c r="J1012" s="40"/>
      <c r="K1012" s="40"/>
      <c r="L1012" s="40" t="str">
        <f ca="1">IFERROR(__xludf.DUMMYFUNCTION("""COMPUTED_VALUE"""),"NO HA INICIADO ETAPA PRODUCTIVA")</f>
        <v>NO HA INICIADO ETAPA PRODUCTIVA</v>
      </c>
      <c r="M1012" s="40"/>
      <c r="N1012" s="40"/>
      <c r="O1012" s="40"/>
      <c r="P1012" s="40"/>
      <c r="Q1012" s="40"/>
      <c r="R1012" s="140"/>
      <c r="S1012" s="140"/>
      <c r="T1012" s="40" t="str">
        <f ca="1">IFERROR(__xludf.DUMMYFUNCTION("""COMPUTED_VALUE"""),"debe 55 resultados... Revisado 15/11/2022")</f>
        <v>debe 55 resultados... Revisado 15/11/2022</v>
      </c>
      <c r="U1012" s="40"/>
      <c r="V1012" s="40"/>
      <c r="W1012" s="40"/>
      <c r="X1012" s="40"/>
      <c r="Y1012" s="40"/>
      <c r="Z1012" s="40"/>
      <c r="AA1012" s="40"/>
      <c r="AB1012" s="40"/>
      <c r="AC1012" s="40"/>
      <c r="AD1012" s="40"/>
      <c r="AE1012" s="40"/>
      <c r="AF1012" s="40"/>
      <c r="AG1012" s="40"/>
      <c r="AH1012" s="40"/>
      <c r="AI1012" s="40"/>
      <c r="AJ1012" s="40"/>
      <c r="AK1012" s="40"/>
      <c r="AL1012" s="40"/>
      <c r="AM1012" s="40"/>
      <c r="AN1012" s="40"/>
      <c r="AO1012" s="40"/>
      <c r="AP1012" s="40"/>
      <c r="AQ1012" s="40"/>
      <c r="AR1012" s="40"/>
      <c r="AS1012" s="40"/>
      <c r="AT1012" s="40"/>
      <c r="AU1012" s="40" t="str">
        <f ca="1">IFERROR(__xludf.DUMMYFUNCTION("""COMPUTED_VALUE"""),"NO_CUMPLE")</f>
        <v>NO_CUMPLE</v>
      </c>
      <c r="AV1012" s="40" t="str">
        <f ca="1">IFERROR(__xludf.DUMMYFUNCTION("""COMPUTED_VALUE"""),"EN FORMACION")</f>
        <v>EN FORMACION</v>
      </c>
      <c r="AW1012" s="40" t="str">
        <f ca="1">IFERROR(__xludf.DUMMYFUNCTION("""COMPUTED_VALUE"""),"TIC")</f>
        <v>TIC</v>
      </c>
      <c r="AX1012" s="141">
        <f ca="1">IFERROR(__xludf.DUMMYFUNCTION("""COMPUTED_VALUE"""),11)</f>
        <v>11</v>
      </c>
      <c r="AY1012" s="40">
        <f ca="1">IFERROR(__xludf.DUMMYFUNCTION("""COMPUTED_VALUE"""),11)</f>
        <v>11</v>
      </c>
      <c r="AZ1012" s="40">
        <f ca="1">IFERROR(__xludf.DUMMYFUNCTION("""COMPUTED_VALUE"""),1)</f>
        <v>1</v>
      </c>
      <c r="BA1012" s="40">
        <f ca="1">IFERROR(__xludf.DUMMYFUNCTION("""COMPUTED_VALUE"""),14)</f>
        <v>14</v>
      </c>
      <c r="BB1012" s="40">
        <f ca="1">IFERROR(__xludf.DUMMYFUNCTION("""COMPUTED_VALUE"""),34)</f>
        <v>34</v>
      </c>
      <c r="BC1012" s="40">
        <f ca="1">IFERROR(__xludf.DUMMYFUNCTION("""COMPUTED_VALUE"""),60)</f>
        <v>60</v>
      </c>
      <c r="BD1012" s="141">
        <f ca="1">IFERROR(__xludf.DUMMYFUNCTION("""COMPUTED_VALUE"""),44375)</f>
        <v>44375</v>
      </c>
      <c r="BE1012" s="141">
        <f ca="1">IFERROR(__xludf.DUMMYFUNCTION("""COMPUTED_VALUE"""),44922)</f>
        <v>44922</v>
      </c>
      <c r="BF1012" s="141">
        <f ca="1">IFERROR(__xludf.DUMMYFUNCTION("""COMPUTED_VALUE"""),45104)</f>
        <v>45104</v>
      </c>
      <c r="BG1012" s="141">
        <f ca="1">IFERROR(__xludf.DUMMYFUNCTION("""COMPUTED_VALUE"""),45653)</f>
        <v>45653</v>
      </c>
      <c r="BH1012" s="40" t="str">
        <f ca="1">IFERROR(__xludf.DUMMYFUNCTION("""COMPUTED_VALUE"""),"FICHA EN TIEMPO-18 MESES")</f>
        <v>FICHA EN TIEMPO-18 MESES</v>
      </c>
      <c r="BI1012" s="40" t="str">
        <f ca="1">IFERROR(__xludf.DUMMYFUNCTION("""COMPUTED_VALUE"""),"En ejecucion")</f>
        <v>En ejecucion</v>
      </c>
      <c r="BJ1012" s="40" t="str">
        <f ca="1">IFERROR(__xludf.DUMMYFUNCTION("""COMPUTED_VALUE"""),"Yamboro")</f>
        <v>Yamboro</v>
      </c>
      <c r="BK1012" s="40"/>
      <c r="BL1012" s="40"/>
    </row>
    <row r="1013" spans="1:64" ht="13">
      <c r="A1013" s="40"/>
      <c r="B1013" s="40" t="str">
        <f ca="1">IFERROR(__xludf.DUMMYFUNCTION("""COMPUTED_VALUE"""),"FORMACIÓN 18/10/2022")</f>
        <v>FORMACIÓN 18/10/2022</v>
      </c>
      <c r="C1013" s="40" t="str">
        <f ca="1">IFERROR(__xludf.DUMMYFUNCTION("""COMPUTED_VALUE"""),"JORGE LUIS BERNAL DONADO")</f>
        <v>JORGE LUIS BERNAL DONADO</v>
      </c>
      <c r="D1013" s="40" t="str">
        <f ca="1">IFERROR(__xludf.DUMMYFUNCTION("""COMPUTED_VALUE"""),"CC")</f>
        <v>CC</v>
      </c>
      <c r="E1013" s="40">
        <f ca="1">IFERROR(__xludf.DUMMYFUNCTION("""COMPUTED_VALUE"""),78108505)</f>
        <v>78108505</v>
      </c>
      <c r="F1013" s="40">
        <f ca="1">IFERROR(__xludf.DUMMYFUNCTION("""COMPUTED_VALUE"""),2348486)</f>
        <v>2348486</v>
      </c>
      <c r="G1013" s="40" t="str">
        <f ca="1">IFERROR(__xludf.DUMMYFUNCTION("""COMPUTED_VALUE"""),"TECNÓLOGO")</f>
        <v>TECNÓLOGO</v>
      </c>
      <c r="H1013" s="40" t="str">
        <f ca="1">IFERROR(__xludf.DUMMYFUNCTION("""COMPUTED_VALUE"""),"ANALISIS Y DESARROLLO DE SISTEMAS DE INFORMACION")</f>
        <v>ANALISIS Y DESARROLLO DE SISTEMAS DE INFORMACION</v>
      </c>
      <c r="I1013" s="40"/>
      <c r="J1013" s="40"/>
      <c r="K1013" s="40"/>
      <c r="L1013" s="40" t="str">
        <f ca="1">IFERROR(__xludf.DUMMYFUNCTION("""COMPUTED_VALUE"""),"NO HA INICIADO ETAPA PRODUCTIVA")</f>
        <v>NO HA INICIADO ETAPA PRODUCTIVA</v>
      </c>
      <c r="M1013" s="40"/>
      <c r="N1013" s="40"/>
      <c r="O1013" s="40"/>
      <c r="P1013" s="40"/>
      <c r="Q1013" s="40"/>
      <c r="R1013" s="140"/>
      <c r="S1013" s="140"/>
      <c r="T1013" s="40" t="str">
        <f ca="1">IFERROR(__xludf.DUMMYFUNCTION("""COMPUTED_VALUE"""),"debe 30 resultados... Revisado 15/11/2022")</f>
        <v>debe 30 resultados... Revisado 15/11/2022</v>
      </c>
      <c r="U1013" s="40"/>
      <c r="V1013" s="40"/>
      <c r="W1013" s="40"/>
      <c r="X1013" s="40"/>
      <c r="Y1013" s="40"/>
      <c r="Z1013" s="40"/>
      <c r="AA1013" s="40"/>
      <c r="AB1013" s="40"/>
      <c r="AC1013" s="40"/>
      <c r="AD1013" s="40"/>
      <c r="AE1013" s="40"/>
      <c r="AF1013" s="40"/>
      <c r="AG1013" s="40"/>
      <c r="AH1013" s="40"/>
      <c r="AI1013" s="40"/>
      <c r="AJ1013" s="40"/>
      <c r="AK1013" s="40"/>
      <c r="AL1013" s="40"/>
      <c r="AM1013" s="40"/>
      <c r="AN1013" s="40"/>
      <c r="AO1013" s="40"/>
      <c r="AP1013" s="40"/>
      <c r="AQ1013" s="40"/>
      <c r="AR1013" s="40"/>
      <c r="AS1013" s="40"/>
      <c r="AT1013" s="40"/>
      <c r="AU1013" s="40" t="str">
        <f ca="1">IFERROR(__xludf.DUMMYFUNCTION("""COMPUTED_VALUE"""),"NO_CUMPLE")</f>
        <v>NO_CUMPLE</v>
      </c>
      <c r="AV1013" s="40" t="str">
        <f ca="1">IFERROR(__xludf.DUMMYFUNCTION("""COMPUTED_VALUE"""),"EN FORMACION")</f>
        <v>EN FORMACION</v>
      </c>
      <c r="AW1013" s="40" t="str">
        <f ca="1">IFERROR(__xludf.DUMMYFUNCTION("""COMPUTED_VALUE"""),"TIC")</f>
        <v>TIC</v>
      </c>
      <c r="AX1013" s="141">
        <f ca="1">IFERROR(__xludf.DUMMYFUNCTION("""COMPUTED_VALUE"""),2)</f>
        <v>2</v>
      </c>
      <c r="AY1013" s="40">
        <f ca="1">IFERROR(__xludf.DUMMYFUNCTION("""COMPUTED_VALUE"""),2)</f>
        <v>2</v>
      </c>
      <c r="AZ1013" s="40">
        <f ca="1">IFERROR(__xludf.DUMMYFUNCTION("""COMPUTED_VALUE"""),1)</f>
        <v>1</v>
      </c>
      <c r="BA1013" s="40">
        <f ca="1">IFERROR(__xludf.DUMMYFUNCTION("""COMPUTED_VALUE"""),8)</f>
        <v>8</v>
      </c>
      <c r="BB1013" s="40">
        <f ca="1">IFERROR(__xludf.DUMMYFUNCTION("""COMPUTED_VALUE"""),21)</f>
        <v>21</v>
      </c>
      <c r="BC1013" s="40">
        <f ca="1">IFERROR(__xludf.DUMMYFUNCTION("""COMPUTED_VALUE"""),32)</f>
        <v>32</v>
      </c>
      <c r="BD1013" s="141">
        <f ca="1">IFERROR(__xludf.DUMMYFUNCTION("""COMPUTED_VALUE"""),44375)</f>
        <v>44375</v>
      </c>
      <c r="BE1013" s="141">
        <f ca="1">IFERROR(__xludf.DUMMYFUNCTION("""COMPUTED_VALUE"""),44922)</f>
        <v>44922</v>
      </c>
      <c r="BF1013" s="141">
        <f ca="1">IFERROR(__xludf.DUMMYFUNCTION("""COMPUTED_VALUE"""),45104)</f>
        <v>45104</v>
      </c>
      <c r="BG1013" s="141">
        <f ca="1">IFERROR(__xludf.DUMMYFUNCTION("""COMPUTED_VALUE"""),45653)</f>
        <v>45653</v>
      </c>
      <c r="BH1013" s="40" t="str">
        <f ca="1">IFERROR(__xludf.DUMMYFUNCTION("""COMPUTED_VALUE"""),"FICHA EN TIEMPO-18 MESES")</f>
        <v>FICHA EN TIEMPO-18 MESES</v>
      </c>
      <c r="BI1013" s="40" t="str">
        <f ca="1">IFERROR(__xludf.DUMMYFUNCTION("""COMPUTED_VALUE"""),"En ejecucion")</f>
        <v>En ejecucion</v>
      </c>
      <c r="BJ1013" s="40" t="str">
        <f ca="1">IFERROR(__xludf.DUMMYFUNCTION("""COMPUTED_VALUE"""),"Yamboro")</f>
        <v>Yamboro</v>
      </c>
      <c r="BK1013" s="40"/>
      <c r="BL1013" s="40"/>
    </row>
    <row r="1014" spans="1:64" ht="13">
      <c r="A1014" s="40"/>
      <c r="B1014" s="40" t="str">
        <f ca="1">IFERROR(__xludf.DUMMYFUNCTION("""COMPUTED_VALUE"""),"FORMACIÓN 18/10/2022")</f>
        <v>FORMACIÓN 18/10/2022</v>
      </c>
      <c r="C1014" s="40" t="str">
        <f ca="1">IFERROR(__xludf.DUMMYFUNCTION("""COMPUTED_VALUE"""),"CARLOS ALBERTO CERON")</f>
        <v>CARLOS ALBERTO CERON</v>
      </c>
      <c r="D1014" s="40" t="str">
        <f ca="1">IFERROR(__xludf.DUMMYFUNCTION("""COMPUTED_VALUE"""),"CC")</f>
        <v>CC</v>
      </c>
      <c r="E1014" s="40">
        <f ca="1">IFERROR(__xludf.DUMMYFUNCTION("""COMPUTED_VALUE"""),79137159)</f>
        <v>79137159</v>
      </c>
      <c r="F1014" s="40">
        <f ca="1">IFERROR(__xludf.DUMMYFUNCTION("""COMPUTED_VALUE"""),2348486)</f>
        <v>2348486</v>
      </c>
      <c r="G1014" s="40" t="str">
        <f ca="1">IFERROR(__xludf.DUMMYFUNCTION("""COMPUTED_VALUE"""),"TECNÓLOGO")</f>
        <v>TECNÓLOGO</v>
      </c>
      <c r="H1014" s="40" t="str">
        <f ca="1">IFERROR(__xludf.DUMMYFUNCTION("""COMPUTED_VALUE"""),"ANALISIS Y DESARROLLO DE SISTEMAS DE INFORMACION")</f>
        <v>ANALISIS Y DESARROLLO DE SISTEMAS DE INFORMACION</v>
      </c>
      <c r="I1014" s="40"/>
      <c r="J1014" s="40"/>
      <c r="K1014" s="40"/>
      <c r="L1014" s="40" t="str">
        <f ca="1">IFERROR(__xludf.DUMMYFUNCTION("""COMPUTED_VALUE"""),"NO HA INICIADO ETAPA PRODUCTIVA")</f>
        <v>NO HA INICIADO ETAPA PRODUCTIVA</v>
      </c>
      <c r="M1014" s="40"/>
      <c r="N1014" s="40"/>
      <c r="O1014" s="40"/>
      <c r="P1014" s="40"/>
      <c r="Q1014" s="40"/>
      <c r="R1014" s="140"/>
      <c r="S1014" s="140"/>
      <c r="T1014" s="40" t="str">
        <f ca="1">IFERROR(__xludf.DUMMYFUNCTION("""COMPUTED_VALUE"""),"debe 32 resultados... Revisado 15/11/2022")</f>
        <v>debe 32 resultados... Revisado 15/11/2022</v>
      </c>
      <c r="U1014" s="40"/>
      <c r="V1014" s="40"/>
      <c r="W1014" s="40"/>
      <c r="X1014" s="40"/>
      <c r="Y1014" s="40"/>
      <c r="Z1014" s="40"/>
      <c r="AA1014" s="40"/>
      <c r="AB1014" s="40"/>
      <c r="AC1014" s="40"/>
      <c r="AD1014" s="40"/>
      <c r="AE1014" s="40"/>
      <c r="AF1014" s="40"/>
      <c r="AG1014" s="40"/>
      <c r="AH1014" s="40"/>
      <c r="AI1014" s="40"/>
      <c r="AJ1014" s="40"/>
      <c r="AK1014" s="40"/>
      <c r="AL1014" s="40"/>
      <c r="AM1014" s="40"/>
      <c r="AN1014" s="40"/>
      <c r="AO1014" s="40"/>
      <c r="AP1014" s="40"/>
      <c r="AQ1014" s="40"/>
      <c r="AR1014" s="40"/>
      <c r="AS1014" s="40"/>
      <c r="AT1014" s="40"/>
      <c r="AU1014" s="40" t="str">
        <f ca="1">IFERROR(__xludf.DUMMYFUNCTION("""COMPUTED_VALUE"""),"NO_CUMPLE")</f>
        <v>NO_CUMPLE</v>
      </c>
      <c r="AV1014" s="40" t="str">
        <f ca="1">IFERROR(__xludf.DUMMYFUNCTION("""COMPUTED_VALUE"""),"EN FORMACION")</f>
        <v>EN FORMACION</v>
      </c>
      <c r="AW1014" s="40" t="str">
        <f ca="1">IFERROR(__xludf.DUMMYFUNCTION("""COMPUTED_VALUE"""),"TIC")</f>
        <v>TIC</v>
      </c>
      <c r="AX1014" s="141">
        <f ca="1">IFERROR(__xludf.DUMMYFUNCTION("""COMPUTED_VALUE"""),3)</f>
        <v>3</v>
      </c>
      <c r="AY1014" s="40">
        <f ca="1">IFERROR(__xludf.DUMMYFUNCTION("""COMPUTED_VALUE"""),3)</f>
        <v>3</v>
      </c>
      <c r="AZ1014" s="40">
        <f ca="1">IFERROR(__xludf.DUMMYFUNCTION("""COMPUTED_VALUE"""),1)</f>
        <v>1</v>
      </c>
      <c r="BA1014" s="40">
        <f ca="1">IFERROR(__xludf.DUMMYFUNCTION("""COMPUTED_VALUE"""),8)</f>
        <v>8</v>
      </c>
      <c r="BB1014" s="40">
        <f ca="1">IFERROR(__xludf.DUMMYFUNCTION("""COMPUTED_VALUE"""),21)</f>
        <v>21</v>
      </c>
      <c r="BC1014" s="40">
        <f ca="1">IFERROR(__xludf.DUMMYFUNCTION("""COMPUTED_VALUE"""),33)</f>
        <v>33</v>
      </c>
      <c r="BD1014" s="141">
        <f ca="1">IFERROR(__xludf.DUMMYFUNCTION("""COMPUTED_VALUE"""),44375)</f>
        <v>44375</v>
      </c>
      <c r="BE1014" s="141">
        <f ca="1">IFERROR(__xludf.DUMMYFUNCTION("""COMPUTED_VALUE"""),44922)</f>
        <v>44922</v>
      </c>
      <c r="BF1014" s="141">
        <f ca="1">IFERROR(__xludf.DUMMYFUNCTION("""COMPUTED_VALUE"""),45104)</f>
        <v>45104</v>
      </c>
      <c r="BG1014" s="141">
        <f ca="1">IFERROR(__xludf.DUMMYFUNCTION("""COMPUTED_VALUE"""),45653)</f>
        <v>45653</v>
      </c>
      <c r="BH1014" s="40" t="str">
        <f ca="1">IFERROR(__xludf.DUMMYFUNCTION("""COMPUTED_VALUE"""),"FICHA EN TIEMPO-18 MESES")</f>
        <v>FICHA EN TIEMPO-18 MESES</v>
      </c>
      <c r="BI1014" s="40" t="str">
        <f ca="1">IFERROR(__xludf.DUMMYFUNCTION("""COMPUTED_VALUE"""),"En ejecucion")</f>
        <v>En ejecucion</v>
      </c>
      <c r="BJ1014" s="40" t="str">
        <f ca="1">IFERROR(__xludf.DUMMYFUNCTION("""COMPUTED_VALUE"""),"Yamboro")</f>
        <v>Yamboro</v>
      </c>
      <c r="BK1014" s="40"/>
      <c r="BL1014" s="40"/>
    </row>
    <row r="1015" spans="1:64" ht="13">
      <c r="A1015" s="40"/>
      <c r="B1015" s="40" t="str">
        <f ca="1">IFERROR(__xludf.DUMMYFUNCTION("""COMPUTED_VALUE"""),"FORMACIÓN 18/10/2022")</f>
        <v>FORMACIÓN 18/10/2022</v>
      </c>
      <c r="C1015" s="40" t="str">
        <f ca="1">IFERROR(__xludf.DUMMYFUNCTION("""COMPUTED_VALUE"""),"MAURICIO ANDRES LOPEZ LOPEZ")</f>
        <v>MAURICIO ANDRES LOPEZ LOPEZ</v>
      </c>
      <c r="D1015" s="40" t="str">
        <f ca="1">IFERROR(__xludf.DUMMYFUNCTION("""COMPUTED_VALUE"""),"CC")</f>
        <v>CC</v>
      </c>
      <c r="E1015" s="40">
        <f ca="1">IFERROR(__xludf.DUMMYFUNCTION("""COMPUTED_VALUE"""),80728738)</f>
        <v>80728738</v>
      </c>
      <c r="F1015" s="40">
        <f ca="1">IFERROR(__xludf.DUMMYFUNCTION("""COMPUTED_VALUE"""),2348486)</f>
        <v>2348486</v>
      </c>
      <c r="G1015" s="40" t="str">
        <f ca="1">IFERROR(__xludf.DUMMYFUNCTION("""COMPUTED_VALUE"""),"TECNÓLOGO")</f>
        <v>TECNÓLOGO</v>
      </c>
      <c r="H1015" s="40" t="str">
        <f ca="1">IFERROR(__xludf.DUMMYFUNCTION("""COMPUTED_VALUE"""),"ANALISIS Y DESARROLLO DE SISTEMAS DE INFORMACION")</f>
        <v>ANALISIS Y DESARROLLO DE SISTEMAS DE INFORMACION</v>
      </c>
      <c r="I1015" s="40"/>
      <c r="J1015" s="40"/>
      <c r="K1015" s="40"/>
      <c r="L1015" s="40" t="str">
        <f ca="1">IFERROR(__xludf.DUMMYFUNCTION("""COMPUTED_VALUE"""),"NO HA INICIADO ETAPA PRODUCTIVA")</f>
        <v>NO HA INICIADO ETAPA PRODUCTIVA</v>
      </c>
      <c r="M1015" s="40"/>
      <c r="N1015" s="40"/>
      <c r="O1015" s="40"/>
      <c r="P1015" s="40"/>
      <c r="Q1015" s="40"/>
      <c r="R1015" s="140"/>
      <c r="S1015" s="140"/>
      <c r="T1015" s="40" t="str">
        <f ca="1">IFERROR(__xludf.DUMMYFUNCTION("""COMPUTED_VALUE"""),"debe 27 resultados... Revisado 15/11/2022")</f>
        <v>debe 27 resultados... Revisado 15/11/2022</v>
      </c>
      <c r="U1015" s="40"/>
      <c r="V1015" s="40"/>
      <c r="W1015" s="40"/>
      <c r="X1015" s="40"/>
      <c r="Y1015" s="40"/>
      <c r="Z1015" s="40"/>
      <c r="AA1015" s="40"/>
      <c r="AB1015" s="40"/>
      <c r="AC1015" s="40"/>
      <c r="AD1015" s="40"/>
      <c r="AE1015" s="40"/>
      <c r="AF1015" s="40"/>
      <c r="AG1015" s="40"/>
      <c r="AH1015" s="40"/>
      <c r="AI1015" s="40"/>
      <c r="AJ1015" s="40"/>
      <c r="AK1015" s="40"/>
      <c r="AL1015" s="40"/>
      <c r="AM1015" s="40"/>
      <c r="AN1015" s="40"/>
      <c r="AO1015" s="40"/>
      <c r="AP1015" s="40"/>
      <c r="AQ1015" s="40"/>
      <c r="AR1015" s="40"/>
      <c r="AS1015" s="40"/>
      <c r="AT1015" s="40"/>
      <c r="AU1015" s="40" t="str">
        <f ca="1">IFERROR(__xludf.DUMMYFUNCTION("""COMPUTED_VALUE"""),"NO_CUMPLE")</f>
        <v>NO_CUMPLE</v>
      </c>
      <c r="AV1015" s="40" t="str">
        <f ca="1">IFERROR(__xludf.DUMMYFUNCTION("""COMPUTED_VALUE"""),"EN FORMACION")</f>
        <v>EN FORMACION</v>
      </c>
      <c r="AW1015" s="40" t="str">
        <f ca="1">IFERROR(__xludf.DUMMYFUNCTION("""COMPUTED_VALUE"""),"TIC")</f>
        <v>TIC</v>
      </c>
      <c r="AX1015" s="141">
        <f ca="1">IFERROR(__xludf.DUMMYFUNCTION("""COMPUTED_VALUE"""),3)</f>
        <v>3</v>
      </c>
      <c r="AY1015" s="40">
        <f ca="1">IFERROR(__xludf.DUMMYFUNCTION("""COMPUTED_VALUE"""),3)</f>
        <v>3</v>
      </c>
      <c r="AZ1015" s="40">
        <f ca="1">IFERROR(__xludf.DUMMYFUNCTION("""COMPUTED_VALUE"""),1)</f>
        <v>1</v>
      </c>
      <c r="BA1015" s="40">
        <f ca="1">IFERROR(__xludf.DUMMYFUNCTION("""COMPUTED_VALUE"""),6)</f>
        <v>6</v>
      </c>
      <c r="BB1015" s="40">
        <f ca="1">IFERROR(__xludf.DUMMYFUNCTION("""COMPUTED_VALUE"""),19)</f>
        <v>19</v>
      </c>
      <c r="BC1015" s="40">
        <f ca="1">IFERROR(__xludf.DUMMYFUNCTION("""COMPUTED_VALUE"""),29)</f>
        <v>29</v>
      </c>
      <c r="BD1015" s="141">
        <f ca="1">IFERROR(__xludf.DUMMYFUNCTION("""COMPUTED_VALUE"""),44375)</f>
        <v>44375</v>
      </c>
      <c r="BE1015" s="141">
        <f ca="1">IFERROR(__xludf.DUMMYFUNCTION("""COMPUTED_VALUE"""),44922)</f>
        <v>44922</v>
      </c>
      <c r="BF1015" s="141">
        <f ca="1">IFERROR(__xludf.DUMMYFUNCTION("""COMPUTED_VALUE"""),45104)</f>
        <v>45104</v>
      </c>
      <c r="BG1015" s="141">
        <f ca="1">IFERROR(__xludf.DUMMYFUNCTION("""COMPUTED_VALUE"""),45653)</f>
        <v>45653</v>
      </c>
      <c r="BH1015" s="40" t="str">
        <f ca="1">IFERROR(__xludf.DUMMYFUNCTION("""COMPUTED_VALUE"""),"FICHA EN TIEMPO-18 MESES")</f>
        <v>FICHA EN TIEMPO-18 MESES</v>
      </c>
      <c r="BI1015" s="40" t="str">
        <f ca="1">IFERROR(__xludf.DUMMYFUNCTION("""COMPUTED_VALUE"""),"En ejecucion")</f>
        <v>En ejecucion</v>
      </c>
      <c r="BJ1015" s="40" t="str">
        <f ca="1">IFERROR(__xludf.DUMMYFUNCTION("""COMPUTED_VALUE"""),"Yamboro")</f>
        <v>Yamboro</v>
      </c>
      <c r="BK1015" s="40"/>
      <c r="BL1015" s="40"/>
    </row>
    <row r="1016" spans="1:64" ht="13">
      <c r="A1016" s="40"/>
      <c r="B1016" s="40" t="str">
        <f ca="1">IFERROR(__xludf.DUMMYFUNCTION("""COMPUTED_VALUE"""),"FORMACIÓN 18/10/2022")</f>
        <v>FORMACIÓN 18/10/2022</v>
      </c>
      <c r="C1016" s="40" t="str">
        <f ca="1">IFERROR(__xludf.DUMMYFUNCTION("""COMPUTED_VALUE"""),"PABLO ENRIQUE SUAREZ HERNANDEZ")</f>
        <v>PABLO ENRIQUE SUAREZ HERNANDEZ</v>
      </c>
      <c r="D1016" s="40" t="str">
        <f ca="1">IFERROR(__xludf.DUMMYFUNCTION("""COMPUTED_VALUE"""),"CC")</f>
        <v>CC</v>
      </c>
      <c r="E1016" s="40">
        <f ca="1">IFERROR(__xludf.DUMMYFUNCTION("""COMPUTED_VALUE"""),86051461)</f>
        <v>86051461</v>
      </c>
      <c r="F1016" s="40">
        <f ca="1">IFERROR(__xludf.DUMMYFUNCTION("""COMPUTED_VALUE"""),2348486)</f>
        <v>2348486</v>
      </c>
      <c r="G1016" s="40" t="str">
        <f ca="1">IFERROR(__xludf.DUMMYFUNCTION("""COMPUTED_VALUE"""),"TECNÓLOGO")</f>
        <v>TECNÓLOGO</v>
      </c>
      <c r="H1016" s="40" t="str">
        <f ca="1">IFERROR(__xludf.DUMMYFUNCTION("""COMPUTED_VALUE"""),"ANALISIS Y DESARROLLO DE SISTEMAS DE INFORMACION")</f>
        <v>ANALISIS Y DESARROLLO DE SISTEMAS DE INFORMACION</v>
      </c>
      <c r="I1016" s="40"/>
      <c r="J1016" s="40"/>
      <c r="K1016" s="40"/>
      <c r="L1016" s="40" t="str">
        <f ca="1">IFERROR(__xludf.DUMMYFUNCTION("""COMPUTED_VALUE"""),"NO HA INICIADO ETAPA PRODUCTIVA")</f>
        <v>NO HA INICIADO ETAPA PRODUCTIVA</v>
      </c>
      <c r="M1016" s="40"/>
      <c r="N1016" s="40"/>
      <c r="O1016" s="40"/>
      <c r="P1016" s="40"/>
      <c r="Q1016" s="40"/>
      <c r="R1016" s="140"/>
      <c r="S1016" s="140"/>
      <c r="T1016" s="40" t="str">
        <f ca="1">IFERROR(__xludf.DUMMYFUNCTION("""COMPUTED_VALUE"""),"debe 58 resultados... Revisado 15/11/2022")</f>
        <v>debe 58 resultados... Revisado 15/11/2022</v>
      </c>
      <c r="U1016" s="40"/>
      <c r="V1016" s="40"/>
      <c r="W1016" s="40"/>
      <c r="X1016" s="40"/>
      <c r="Y1016" s="40"/>
      <c r="Z1016" s="40"/>
      <c r="AA1016" s="40"/>
      <c r="AB1016" s="40"/>
      <c r="AC1016" s="40"/>
      <c r="AD1016" s="40"/>
      <c r="AE1016" s="40"/>
      <c r="AF1016" s="40"/>
      <c r="AG1016" s="40"/>
      <c r="AH1016" s="40"/>
      <c r="AI1016" s="40"/>
      <c r="AJ1016" s="40"/>
      <c r="AK1016" s="40"/>
      <c r="AL1016" s="40"/>
      <c r="AM1016" s="40"/>
      <c r="AN1016" s="40"/>
      <c r="AO1016" s="40"/>
      <c r="AP1016" s="40"/>
      <c r="AQ1016" s="40"/>
      <c r="AR1016" s="40"/>
      <c r="AS1016" s="40"/>
      <c r="AT1016" s="40"/>
      <c r="AU1016" s="40" t="str">
        <f ca="1">IFERROR(__xludf.DUMMYFUNCTION("""COMPUTED_VALUE"""),"NO_CUMPLE")</f>
        <v>NO_CUMPLE</v>
      </c>
      <c r="AV1016" s="40" t="str">
        <f ca="1">IFERROR(__xludf.DUMMYFUNCTION("""COMPUTED_VALUE"""),"EN FORMACION")</f>
        <v>EN FORMACION</v>
      </c>
      <c r="AW1016" s="40" t="str">
        <f ca="1">IFERROR(__xludf.DUMMYFUNCTION("""COMPUTED_VALUE"""),"TIC")</f>
        <v>TIC</v>
      </c>
      <c r="AX1016" s="141">
        <f ca="1">IFERROR(__xludf.DUMMYFUNCTION("""COMPUTED_VALUE"""),14)</f>
        <v>14</v>
      </c>
      <c r="AY1016" s="40">
        <f ca="1">IFERROR(__xludf.DUMMYFUNCTION("""COMPUTED_VALUE"""),14)</f>
        <v>14</v>
      </c>
      <c r="AZ1016" s="40">
        <f ca="1">IFERROR(__xludf.DUMMYFUNCTION("""COMPUTED_VALUE"""),1)</f>
        <v>1</v>
      </c>
      <c r="BA1016" s="40">
        <f ca="1">IFERROR(__xludf.DUMMYFUNCTION("""COMPUTED_VALUE"""),15)</f>
        <v>15</v>
      </c>
      <c r="BB1016" s="40">
        <f ca="1">IFERROR(__xludf.DUMMYFUNCTION("""COMPUTED_VALUE"""),36)</f>
        <v>36</v>
      </c>
      <c r="BC1016" s="40">
        <f ca="1">IFERROR(__xludf.DUMMYFUNCTION("""COMPUTED_VALUE"""),66)</f>
        <v>66</v>
      </c>
      <c r="BD1016" s="141">
        <f ca="1">IFERROR(__xludf.DUMMYFUNCTION("""COMPUTED_VALUE"""),44375)</f>
        <v>44375</v>
      </c>
      <c r="BE1016" s="141">
        <f ca="1">IFERROR(__xludf.DUMMYFUNCTION("""COMPUTED_VALUE"""),44922)</f>
        <v>44922</v>
      </c>
      <c r="BF1016" s="141">
        <f ca="1">IFERROR(__xludf.DUMMYFUNCTION("""COMPUTED_VALUE"""),45104)</f>
        <v>45104</v>
      </c>
      <c r="BG1016" s="141">
        <f ca="1">IFERROR(__xludf.DUMMYFUNCTION("""COMPUTED_VALUE"""),45653)</f>
        <v>45653</v>
      </c>
      <c r="BH1016" s="40" t="str">
        <f ca="1">IFERROR(__xludf.DUMMYFUNCTION("""COMPUTED_VALUE"""),"FICHA EN TIEMPO-18 MESES")</f>
        <v>FICHA EN TIEMPO-18 MESES</v>
      </c>
      <c r="BI1016" s="40" t="str">
        <f ca="1">IFERROR(__xludf.DUMMYFUNCTION("""COMPUTED_VALUE"""),"En ejecucion")</f>
        <v>En ejecucion</v>
      </c>
      <c r="BJ1016" s="40" t="str">
        <f ca="1">IFERROR(__xludf.DUMMYFUNCTION("""COMPUTED_VALUE"""),"Yamboro")</f>
        <v>Yamboro</v>
      </c>
      <c r="BK1016" s="40"/>
      <c r="BL1016" s="40"/>
    </row>
    <row r="1017" spans="1:64" ht="13">
      <c r="A1017" s="40"/>
      <c r="B1017" s="40" t="str">
        <f ca="1">IFERROR(__xludf.DUMMYFUNCTION("""COMPUTED_VALUE"""),"FORMACIÓN 18/10/2022")</f>
        <v>FORMACIÓN 18/10/2022</v>
      </c>
      <c r="C1017" s="40" t="str">
        <f ca="1">IFERROR(__xludf.DUMMYFUNCTION("""COMPUTED_VALUE"""),"DANIEL FELIPE VARELA GOMEZ")</f>
        <v>DANIEL FELIPE VARELA GOMEZ</v>
      </c>
      <c r="D1017" s="40" t="str">
        <f ca="1">IFERROR(__xludf.DUMMYFUNCTION("""COMPUTED_VALUE"""),"CC")</f>
        <v>CC</v>
      </c>
      <c r="E1017" s="40">
        <f ca="1">IFERROR(__xludf.DUMMYFUNCTION("""COMPUTED_VALUE"""),1000182406)</f>
        <v>1000182406</v>
      </c>
      <c r="F1017" s="40">
        <f ca="1">IFERROR(__xludf.DUMMYFUNCTION("""COMPUTED_VALUE"""),2348408)</f>
        <v>2348408</v>
      </c>
      <c r="G1017" s="40" t="str">
        <f ca="1">IFERROR(__xludf.DUMMYFUNCTION("""COMPUTED_VALUE"""),"TECNÓLOGO")</f>
        <v>TECNÓLOGO</v>
      </c>
      <c r="H1017" s="40" t="str">
        <f ca="1">IFERROR(__xludf.DUMMYFUNCTION("""COMPUTED_VALUE"""),"PRODUCCION DE MULTIMEDIA")</f>
        <v>PRODUCCION DE MULTIMEDIA</v>
      </c>
      <c r="I1017" s="40"/>
      <c r="J1017" s="40"/>
      <c r="K1017" s="40"/>
      <c r="L1017" s="40" t="str">
        <f ca="1">IFERROR(__xludf.DUMMYFUNCTION("""COMPUTED_VALUE"""),"NO HA INICIADO ETAPA PRODUCTIVA")</f>
        <v>NO HA INICIADO ETAPA PRODUCTIVA</v>
      </c>
      <c r="M1017" s="40"/>
      <c r="N1017" s="40"/>
      <c r="O1017" s="40"/>
      <c r="P1017" s="40"/>
      <c r="Q1017" s="40"/>
      <c r="R1017" s="140"/>
      <c r="S1017" s="140"/>
      <c r="T1017" s="40" t="str">
        <f ca="1">IFERROR(__xludf.DUMMYFUNCTION("""COMPUTED_VALUE"""),"debe 8 resultados... Revisado 15/11/2022")</f>
        <v>debe 8 resultados... Revisado 15/11/2022</v>
      </c>
      <c r="U1017" s="40"/>
      <c r="V1017" s="40"/>
      <c r="W1017" s="40"/>
      <c r="X1017" s="40"/>
      <c r="Y1017" s="40"/>
      <c r="Z1017" s="40"/>
      <c r="AA1017" s="40"/>
      <c r="AB1017" s="40"/>
      <c r="AC1017" s="40"/>
      <c r="AD1017" s="40"/>
      <c r="AE1017" s="40"/>
      <c r="AF1017" s="40"/>
      <c r="AG1017" s="40"/>
      <c r="AH1017" s="40"/>
      <c r="AI1017" s="40"/>
      <c r="AJ1017" s="40"/>
      <c r="AK1017" s="40"/>
      <c r="AL1017" s="40"/>
      <c r="AM1017" s="40"/>
      <c r="AN1017" s="40"/>
      <c r="AO1017" s="40"/>
      <c r="AP1017" s="40"/>
      <c r="AQ1017" s="40"/>
      <c r="AR1017" s="40"/>
      <c r="AS1017" s="40"/>
      <c r="AT1017" s="40"/>
      <c r="AU1017" s="40" t="str">
        <f ca="1">IFERROR(__xludf.DUMMYFUNCTION("""COMPUTED_VALUE"""),"NO_CUMPLE")</f>
        <v>NO_CUMPLE</v>
      </c>
      <c r="AV1017" s="40" t="str">
        <f ca="1">IFERROR(__xludf.DUMMYFUNCTION("""COMPUTED_VALUE"""),"EN FORMACION")</f>
        <v>EN FORMACION</v>
      </c>
      <c r="AW1017" s="40" t="str">
        <f ca="1">IFERROR(__xludf.DUMMYFUNCTION("""COMPUTED_VALUE"""),"TIC")</f>
        <v>TIC</v>
      </c>
      <c r="AX1017" s="141">
        <f ca="1">IFERROR(__xludf.DUMMYFUNCTION("""COMPUTED_VALUE"""),2)</f>
        <v>2</v>
      </c>
      <c r="AY1017" s="40">
        <f ca="1">IFERROR(__xludf.DUMMYFUNCTION("""COMPUTED_VALUE"""),2)</f>
        <v>2</v>
      </c>
      <c r="AZ1017" s="40">
        <f ca="1">IFERROR(__xludf.DUMMYFUNCTION("""COMPUTED_VALUE"""),1)</f>
        <v>1</v>
      </c>
      <c r="BA1017" s="40">
        <f ca="1">IFERROR(__xludf.DUMMYFUNCTION("""COMPUTED_VALUE"""),3)</f>
        <v>3</v>
      </c>
      <c r="BB1017" s="40">
        <f ca="1">IFERROR(__xludf.DUMMYFUNCTION("""COMPUTED_VALUE"""),4)</f>
        <v>4</v>
      </c>
      <c r="BC1017" s="40">
        <f ca="1">IFERROR(__xludf.DUMMYFUNCTION("""COMPUTED_VALUE"""),10)</f>
        <v>10</v>
      </c>
      <c r="BD1017" s="141">
        <f ca="1">IFERROR(__xludf.DUMMYFUNCTION("""COMPUTED_VALUE"""),44375)</f>
        <v>44375</v>
      </c>
      <c r="BE1017" s="141">
        <f ca="1">IFERROR(__xludf.DUMMYFUNCTION("""COMPUTED_VALUE"""),44922)</f>
        <v>44922</v>
      </c>
      <c r="BF1017" s="141">
        <f ca="1">IFERROR(__xludf.DUMMYFUNCTION("""COMPUTED_VALUE"""),45104)</f>
        <v>45104</v>
      </c>
      <c r="BG1017" s="141">
        <f ca="1">IFERROR(__xludf.DUMMYFUNCTION("""COMPUTED_VALUE"""),45653)</f>
        <v>45653</v>
      </c>
      <c r="BH1017" s="40" t="str">
        <f ca="1">IFERROR(__xludf.DUMMYFUNCTION("""COMPUTED_VALUE"""),"FICHA EN TIEMPO-18 MESES")</f>
        <v>FICHA EN TIEMPO-18 MESES</v>
      </c>
      <c r="BI1017" s="40" t="str">
        <f ca="1">IFERROR(__xludf.DUMMYFUNCTION("""COMPUTED_VALUE"""),"En ejecucion")</f>
        <v>En ejecucion</v>
      </c>
      <c r="BJ1017" s="40" t="str">
        <f ca="1">IFERROR(__xludf.DUMMYFUNCTION("""COMPUTED_VALUE"""),"Yamboro")</f>
        <v>Yamboro</v>
      </c>
      <c r="BK1017" s="40"/>
      <c r="BL1017" s="40"/>
    </row>
    <row r="1018" spans="1:64" ht="13">
      <c r="A1018" s="40"/>
      <c r="B1018" s="40" t="str">
        <f ca="1">IFERROR(__xludf.DUMMYFUNCTION("""COMPUTED_VALUE"""),"FORMACIÓN 18/10/2022")</f>
        <v>FORMACIÓN 18/10/2022</v>
      </c>
      <c r="C1018" s="40" t="str">
        <f ca="1">IFERROR(__xludf.DUMMYFUNCTION("""COMPUTED_VALUE"""),"LADY STEPHANY LOZANO ARIAS")</f>
        <v>LADY STEPHANY LOZANO ARIAS</v>
      </c>
      <c r="D1018" s="40" t="str">
        <f ca="1">IFERROR(__xludf.DUMMYFUNCTION("""COMPUTED_VALUE"""),"CC")</f>
        <v>CC</v>
      </c>
      <c r="E1018" s="40">
        <f ca="1">IFERROR(__xludf.DUMMYFUNCTION("""COMPUTED_VALUE"""),1000285885)</f>
        <v>1000285885</v>
      </c>
      <c r="F1018" s="40">
        <f ca="1">IFERROR(__xludf.DUMMYFUNCTION("""COMPUTED_VALUE"""),2348408)</f>
        <v>2348408</v>
      </c>
      <c r="G1018" s="40" t="str">
        <f ca="1">IFERROR(__xludf.DUMMYFUNCTION("""COMPUTED_VALUE"""),"TECNÓLOGO")</f>
        <v>TECNÓLOGO</v>
      </c>
      <c r="H1018" s="40" t="str">
        <f ca="1">IFERROR(__xludf.DUMMYFUNCTION("""COMPUTED_VALUE"""),"PRODUCCION DE MULTIMEDIA")</f>
        <v>PRODUCCION DE MULTIMEDIA</v>
      </c>
      <c r="I1018" s="40"/>
      <c r="J1018" s="40"/>
      <c r="K1018" s="40"/>
      <c r="L1018" s="40" t="str">
        <f ca="1">IFERROR(__xludf.DUMMYFUNCTION("""COMPUTED_VALUE"""),"NO HA INICIADO ETAPA PRODUCTIVA")</f>
        <v>NO HA INICIADO ETAPA PRODUCTIVA</v>
      </c>
      <c r="M1018" s="40"/>
      <c r="N1018" s="40"/>
      <c r="O1018" s="40"/>
      <c r="P1018" s="40"/>
      <c r="Q1018" s="40"/>
      <c r="R1018" s="140"/>
      <c r="S1018" s="140"/>
      <c r="T1018" s="40" t="str">
        <f ca="1">IFERROR(__xludf.DUMMYFUNCTION("""COMPUTED_VALUE"""),"debe 7 resultados... Revisado 15/11/2022")</f>
        <v>debe 7 resultados... Revisado 15/11/2022</v>
      </c>
      <c r="U1018" s="40"/>
      <c r="V1018" s="40"/>
      <c r="W1018" s="40"/>
      <c r="X1018" s="40"/>
      <c r="Y1018" s="40"/>
      <c r="Z1018" s="40"/>
      <c r="AA1018" s="40"/>
      <c r="AB1018" s="40"/>
      <c r="AC1018" s="40"/>
      <c r="AD1018" s="40"/>
      <c r="AE1018" s="40"/>
      <c r="AF1018" s="40"/>
      <c r="AG1018" s="40"/>
      <c r="AH1018" s="40"/>
      <c r="AI1018" s="40"/>
      <c r="AJ1018" s="40"/>
      <c r="AK1018" s="40"/>
      <c r="AL1018" s="40"/>
      <c r="AM1018" s="40"/>
      <c r="AN1018" s="40"/>
      <c r="AO1018" s="40"/>
      <c r="AP1018" s="40"/>
      <c r="AQ1018" s="40"/>
      <c r="AR1018" s="40"/>
      <c r="AS1018" s="40"/>
      <c r="AT1018" s="40"/>
      <c r="AU1018" s="40" t="str">
        <f ca="1">IFERROR(__xludf.DUMMYFUNCTION("""COMPUTED_VALUE"""),"NO_CUMPLE")</f>
        <v>NO_CUMPLE</v>
      </c>
      <c r="AV1018" s="40" t="str">
        <f ca="1">IFERROR(__xludf.DUMMYFUNCTION("""COMPUTED_VALUE"""),"EN FORMACION")</f>
        <v>EN FORMACION</v>
      </c>
      <c r="AW1018" s="40" t="str">
        <f ca="1">IFERROR(__xludf.DUMMYFUNCTION("""COMPUTED_VALUE"""),"TIC")</f>
        <v>TIC</v>
      </c>
      <c r="AX1018" s="141">
        <f ca="1">IFERROR(__xludf.DUMMYFUNCTION("""COMPUTED_VALUE"""),2)</f>
        <v>2</v>
      </c>
      <c r="AY1018" s="40">
        <f ca="1">IFERROR(__xludf.DUMMYFUNCTION("""COMPUTED_VALUE"""),2)</f>
        <v>2</v>
      </c>
      <c r="AZ1018" s="40">
        <f ca="1">IFERROR(__xludf.DUMMYFUNCTION("""COMPUTED_VALUE"""),1)</f>
        <v>1</v>
      </c>
      <c r="BA1018" s="40">
        <f ca="1">IFERROR(__xludf.DUMMYFUNCTION("""COMPUTED_VALUE"""),3)</f>
        <v>3</v>
      </c>
      <c r="BB1018" s="40">
        <f ca="1">IFERROR(__xludf.DUMMYFUNCTION("""COMPUTED_VALUE"""),4)</f>
        <v>4</v>
      </c>
      <c r="BC1018" s="40">
        <f ca="1">IFERROR(__xludf.DUMMYFUNCTION("""COMPUTED_VALUE"""),10)</f>
        <v>10</v>
      </c>
      <c r="BD1018" s="141">
        <f ca="1">IFERROR(__xludf.DUMMYFUNCTION("""COMPUTED_VALUE"""),44375)</f>
        <v>44375</v>
      </c>
      <c r="BE1018" s="141">
        <f ca="1">IFERROR(__xludf.DUMMYFUNCTION("""COMPUTED_VALUE"""),44922)</f>
        <v>44922</v>
      </c>
      <c r="BF1018" s="141">
        <f ca="1">IFERROR(__xludf.DUMMYFUNCTION("""COMPUTED_VALUE"""),45104)</f>
        <v>45104</v>
      </c>
      <c r="BG1018" s="141">
        <f ca="1">IFERROR(__xludf.DUMMYFUNCTION("""COMPUTED_VALUE"""),45653)</f>
        <v>45653</v>
      </c>
      <c r="BH1018" s="40" t="str">
        <f ca="1">IFERROR(__xludf.DUMMYFUNCTION("""COMPUTED_VALUE"""),"FICHA EN TIEMPO-18 MESES")</f>
        <v>FICHA EN TIEMPO-18 MESES</v>
      </c>
      <c r="BI1018" s="40" t="str">
        <f ca="1">IFERROR(__xludf.DUMMYFUNCTION("""COMPUTED_VALUE"""),"En ejecucion")</f>
        <v>En ejecucion</v>
      </c>
      <c r="BJ1018" s="40" t="str">
        <f ca="1">IFERROR(__xludf.DUMMYFUNCTION("""COMPUTED_VALUE"""),"Yamboro")</f>
        <v>Yamboro</v>
      </c>
      <c r="BK1018" s="40"/>
      <c r="BL1018" s="40"/>
    </row>
    <row r="1019" spans="1:64" ht="13">
      <c r="A1019" s="40"/>
      <c r="B1019" s="40" t="str">
        <f ca="1">IFERROR(__xludf.DUMMYFUNCTION("""COMPUTED_VALUE"""),"FORMACIÓN 18/10/2022")</f>
        <v>FORMACIÓN 18/10/2022</v>
      </c>
      <c r="C1019" s="40" t="str">
        <f ca="1">IFERROR(__xludf.DUMMYFUNCTION("""COMPUTED_VALUE"""),"KAREN DANIELA VASQUEZ PIAMBA")</f>
        <v>KAREN DANIELA VASQUEZ PIAMBA</v>
      </c>
      <c r="D1019" s="40" t="str">
        <f ca="1">IFERROR(__xludf.DUMMYFUNCTION("""COMPUTED_VALUE"""),"CC")</f>
        <v>CC</v>
      </c>
      <c r="E1019" s="40">
        <f ca="1">IFERROR(__xludf.DUMMYFUNCTION("""COMPUTED_VALUE"""),1000855846)</f>
        <v>1000855846</v>
      </c>
      <c r="F1019" s="40">
        <f ca="1">IFERROR(__xludf.DUMMYFUNCTION("""COMPUTED_VALUE"""),2348408)</f>
        <v>2348408</v>
      </c>
      <c r="G1019" s="40" t="str">
        <f ca="1">IFERROR(__xludf.DUMMYFUNCTION("""COMPUTED_VALUE"""),"TECNÓLOGO")</f>
        <v>TECNÓLOGO</v>
      </c>
      <c r="H1019" s="40" t="str">
        <f ca="1">IFERROR(__xludf.DUMMYFUNCTION("""COMPUTED_VALUE"""),"PRODUCCION DE MULTIMEDIA")</f>
        <v>PRODUCCION DE MULTIMEDIA</v>
      </c>
      <c r="I1019" s="40"/>
      <c r="J1019" s="40"/>
      <c r="K1019" s="40"/>
      <c r="L1019" s="40" t="str">
        <f ca="1">IFERROR(__xludf.DUMMYFUNCTION("""COMPUTED_VALUE"""),"NO HA INICIADO ETAPA PRODUCTIVA")</f>
        <v>NO HA INICIADO ETAPA PRODUCTIVA</v>
      </c>
      <c r="M1019" s="40"/>
      <c r="N1019" s="40"/>
      <c r="O1019" s="40"/>
      <c r="P1019" s="40"/>
      <c r="Q1019" s="40"/>
      <c r="R1019" s="140"/>
      <c r="S1019" s="140"/>
      <c r="T1019" s="40" t="str">
        <f ca="1">IFERROR(__xludf.DUMMYFUNCTION("""COMPUTED_VALUE"""),"debe 14 resultados... Revisado 15/11/2022")</f>
        <v>debe 14 resultados... Revisado 15/11/2022</v>
      </c>
      <c r="U1019" s="40"/>
      <c r="V1019" s="40"/>
      <c r="W1019" s="40"/>
      <c r="X1019" s="40"/>
      <c r="Y1019" s="40"/>
      <c r="Z1019" s="40"/>
      <c r="AA1019" s="40"/>
      <c r="AB1019" s="40"/>
      <c r="AC1019" s="40"/>
      <c r="AD1019" s="40"/>
      <c r="AE1019" s="40"/>
      <c r="AF1019" s="40"/>
      <c r="AG1019" s="40"/>
      <c r="AH1019" s="40"/>
      <c r="AI1019" s="40"/>
      <c r="AJ1019" s="40"/>
      <c r="AK1019" s="40"/>
      <c r="AL1019" s="40"/>
      <c r="AM1019" s="40"/>
      <c r="AN1019" s="40"/>
      <c r="AO1019" s="40"/>
      <c r="AP1019" s="40"/>
      <c r="AQ1019" s="40"/>
      <c r="AR1019" s="40"/>
      <c r="AS1019" s="40"/>
      <c r="AT1019" s="40"/>
      <c r="AU1019" s="40" t="str">
        <f ca="1">IFERROR(__xludf.DUMMYFUNCTION("""COMPUTED_VALUE"""),"NO_CUMPLE")</f>
        <v>NO_CUMPLE</v>
      </c>
      <c r="AV1019" s="40" t="str">
        <f ca="1">IFERROR(__xludf.DUMMYFUNCTION("""COMPUTED_VALUE"""),"EN FORMACION")</f>
        <v>EN FORMACION</v>
      </c>
      <c r="AW1019" s="40" t="str">
        <f ca="1">IFERROR(__xludf.DUMMYFUNCTION("""COMPUTED_VALUE"""),"TIC")</f>
        <v>TIC</v>
      </c>
      <c r="AX1019" s="141">
        <f ca="1">IFERROR(__xludf.DUMMYFUNCTION("""COMPUTED_VALUE"""),5)</f>
        <v>5</v>
      </c>
      <c r="AY1019" s="40">
        <f ca="1">IFERROR(__xludf.DUMMYFUNCTION("""COMPUTED_VALUE"""),5)</f>
        <v>5</v>
      </c>
      <c r="AZ1019" s="40">
        <f ca="1">IFERROR(__xludf.DUMMYFUNCTION("""COMPUTED_VALUE"""),1)</f>
        <v>1</v>
      </c>
      <c r="BA1019" s="40">
        <f ca="1">IFERROR(__xludf.DUMMYFUNCTION("""COMPUTED_VALUE"""),6)</f>
        <v>6</v>
      </c>
      <c r="BB1019" s="40">
        <f ca="1">IFERROR(__xludf.DUMMYFUNCTION("""COMPUTED_VALUE"""),4)</f>
        <v>4</v>
      </c>
      <c r="BC1019" s="40">
        <f ca="1">IFERROR(__xludf.DUMMYFUNCTION("""COMPUTED_VALUE"""),16)</f>
        <v>16</v>
      </c>
      <c r="BD1019" s="141">
        <f ca="1">IFERROR(__xludf.DUMMYFUNCTION("""COMPUTED_VALUE"""),44375)</f>
        <v>44375</v>
      </c>
      <c r="BE1019" s="141">
        <f ca="1">IFERROR(__xludf.DUMMYFUNCTION("""COMPUTED_VALUE"""),44922)</f>
        <v>44922</v>
      </c>
      <c r="BF1019" s="141">
        <f ca="1">IFERROR(__xludf.DUMMYFUNCTION("""COMPUTED_VALUE"""),45104)</f>
        <v>45104</v>
      </c>
      <c r="BG1019" s="141">
        <f ca="1">IFERROR(__xludf.DUMMYFUNCTION("""COMPUTED_VALUE"""),45653)</f>
        <v>45653</v>
      </c>
      <c r="BH1019" s="40" t="str">
        <f ca="1">IFERROR(__xludf.DUMMYFUNCTION("""COMPUTED_VALUE"""),"FICHA EN TIEMPO-18 MESES")</f>
        <v>FICHA EN TIEMPO-18 MESES</v>
      </c>
      <c r="BI1019" s="40" t="str">
        <f ca="1">IFERROR(__xludf.DUMMYFUNCTION("""COMPUTED_VALUE"""),"En ejecucion")</f>
        <v>En ejecucion</v>
      </c>
      <c r="BJ1019" s="40" t="str">
        <f ca="1">IFERROR(__xludf.DUMMYFUNCTION("""COMPUTED_VALUE"""),"Yamboro")</f>
        <v>Yamboro</v>
      </c>
      <c r="BK1019" s="40"/>
      <c r="BL1019" s="40"/>
    </row>
    <row r="1020" spans="1:64" ht="13">
      <c r="A1020" s="40"/>
      <c r="B1020" s="40" t="str">
        <f ca="1">IFERROR(__xludf.DUMMYFUNCTION("""COMPUTED_VALUE"""),"FORMACIÓN 18/10/2022")</f>
        <v>FORMACIÓN 18/10/2022</v>
      </c>
      <c r="C1020" s="40" t="str">
        <f ca="1">IFERROR(__xludf.DUMMYFUNCTION("""COMPUTED_VALUE"""),"VALERIA MEDINA MONTIEL")</f>
        <v>VALERIA MEDINA MONTIEL</v>
      </c>
      <c r="D1020" s="40" t="str">
        <f ca="1">IFERROR(__xludf.DUMMYFUNCTION("""COMPUTED_VALUE"""),"CC")</f>
        <v>CC</v>
      </c>
      <c r="E1020" s="40">
        <f ca="1">IFERROR(__xludf.DUMMYFUNCTION("""COMPUTED_VALUE"""),1000951403)</f>
        <v>1000951403</v>
      </c>
      <c r="F1020" s="40">
        <f ca="1">IFERROR(__xludf.DUMMYFUNCTION("""COMPUTED_VALUE"""),2348408)</f>
        <v>2348408</v>
      </c>
      <c r="G1020" s="40" t="str">
        <f ca="1">IFERROR(__xludf.DUMMYFUNCTION("""COMPUTED_VALUE"""),"TECNÓLOGO")</f>
        <v>TECNÓLOGO</v>
      </c>
      <c r="H1020" s="40" t="str">
        <f ca="1">IFERROR(__xludf.DUMMYFUNCTION("""COMPUTED_VALUE"""),"PRODUCCION DE MULTIMEDIA")</f>
        <v>PRODUCCION DE MULTIMEDIA</v>
      </c>
      <c r="I1020" s="40"/>
      <c r="J1020" s="40"/>
      <c r="K1020" s="40"/>
      <c r="L1020" s="40" t="str">
        <f ca="1">IFERROR(__xludf.DUMMYFUNCTION("""COMPUTED_VALUE"""),"NO HA INICIADO ETAPA PRODUCTIVA")</f>
        <v>NO HA INICIADO ETAPA PRODUCTIVA</v>
      </c>
      <c r="M1020" s="40"/>
      <c r="N1020" s="40"/>
      <c r="O1020" s="40"/>
      <c r="P1020" s="40"/>
      <c r="Q1020" s="40"/>
      <c r="R1020" s="140"/>
      <c r="S1020" s="140"/>
      <c r="T1020" s="40" t="str">
        <f ca="1">IFERROR(__xludf.DUMMYFUNCTION("""COMPUTED_VALUE"""),"debe 21 resultados... Revisado 15/11/2022")</f>
        <v>debe 21 resultados... Revisado 15/11/2022</v>
      </c>
      <c r="U1020" s="40"/>
      <c r="V1020" s="40"/>
      <c r="W1020" s="40"/>
      <c r="X1020" s="40"/>
      <c r="Y1020" s="40"/>
      <c r="Z1020" s="40"/>
      <c r="AA1020" s="40"/>
      <c r="AB1020" s="40"/>
      <c r="AC1020" s="40"/>
      <c r="AD1020" s="40"/>
      <c r="AE1020" s="40"/>
      <c r="AF1020" s="40"/>
      <c r="AG1020" s="40"/>
      <c r="AH1020" s="40"/>
      <c r="AI1020" s="40"/>
      <c r="AJ1020" s="40"/>
      <c r="AK1020" s="40"/>
      <c r="AL1020" s="40"/>
      <c r="AM1020" s="40"/>
      <c r="AN1020" s="40"/>
      <c r="AO1020" s="40"/>
      <c r="AP1020" s="40"/>
      <c r="AQ1020" s="40"/>
      <c r="AR1020" s="40"/>
      <c r="AS1020" s="40"/>
      <c r="AT1020" s="40"/>
      <c r="AU1020" s="40" t="str">
        <f ca="1">IFERROR(__xludf.DUMMYFUNCTION("""COMPUTED_VALUE"""),"NO_CUMPLE")</f>
        <v>NO_CUMPLE</v>
      </c>
      <c r="AV1020" s="40" t="str">
        <f ca="1">IFERROR(__xludf.DUMMYFUNCTION("""COMPUTED_VALUE"""),"EN FORMACION")</f>
        <v>EN FORMACION</v>
      </c>
      <c r="AW1020" s="40" t="str">
        <f ca="1">IFERROR(__xludf.DUMMYFUNCTION("""COMPUTED_VALUE"""),"TIC")</f>
        <v>TIC</v>
      </c>
      <c r="AX1020" s="141">
        <f ca="1">IFERROR(__xludf.DUMMYFUNCTION("""COMPUTED_VALUE"""),5)</f>
        <v>5</v>
      </c>
      <c r="AY1020" s="40">
        <f ca="1">IFERROR(__xludf.DUMMYFUNCTION("""COMPUTED_VALUE"""),5)</f>
        <v>5</v>
      </c>
      <c r="AZ1020" s="40">
        <f ca="1">IFERROR(__xludf.DUMMYFUNCTION("""COMPUTED_VALUE"""),1)</f>
        <v>1</v>
      </c>
      <c r="BA1020" s="40">
        <f ca="1">IFERROR(__xludf.DUMMYFUNCTION("""COMPUTED_VALUE"""),6)</f>
        <v>6</v>
      </c>
      <c r="BB1020" s="40">
        <f ca="1">IFERROR(__xludf.DUMMYFUNCTION("""COMPUTED_VALUE"""),10)</f>
        <v>10</v>
      </c>
      <c r="BC1020" s="40">
        <f ca="1">IFERROR(__xludf.DUMMYFUNCTION("""COMPUTED_VALUE"""),22)</f>
        <v>22</v>
      </c>
      <c r="BD1020" s="141">
        <f ca="1">IFERROR(__xludf.DUMMYFUNCTION("""COMPUTED_VALUE"""),44375)</f>
        <v>44375</v>
      </c>
      <c r="BE1020" s="141">
        <f ca="1">IFERROR(__xludf.DUMMYFUNCTION("""COMPUTED_VALUE"""),44922)</f>
        <v>44922</v>
      </c>
      <c r="BF1020" s="141">
        <f ca="1">IFERROR(__xludf.DUMMYFUNCTION("""COMPUTED_VALUE"""),45104)</f>
        <v>45104</v>
      </c>
      <c r="BG1020" s="141">
        <f ca="1">IFERROR(__xludf.DUMMYFUNCTION("""COMPUTED_VALUE"""),45653)</f>
        <v>45653</v>
      </c>
      <c r="BH1020" s="40" t="str">
        <f ca="1">IFERROR(__xludf.DUMMYFUNCTION("""COMPUTED_VALUE"""),"FICHA EN TIEMPO-18 MESES")</f>
        <v>FICHA EN TIEMPO-18 MESES</v>
      </c>
      <c r="BI1020" s="40" t="str">
        <f ca="1">IFERROR(__xludf.DUMMYFUNCTION("""COMPUTED_VALUE"""),"En ejecucion")</f>
        <v>En ejecucion</v>
      </c>
      <c r="BJ1020" s="40" t="str">
        <f ca="1">IFERROR(__xludf.DUMMYFUNCTION("""COMPUTED_VALUE"""),"Yamboro")</f>
        <v>Yamboro</v>
      </c>
      <c r="BK1020" s="40"/>
      <c r="BL1020" s="40"/>
    </row>
    <row r="1021" spans="1:64" ht="13">
      <c r="A1021" s="40"/>
      <c r="B1021" s="40" t="str">
        <f ca="1">IFERROR(__xludf.DUMMYFUNCTION("""COMPUTED_VALUE"""),"FORMACIÓN 18/10/2022")</f>
        <v>FORMACIÓN 18/10/2022</v>
      </c>
      <c r="C1021" s="40" t="str">
        <f ca="1">IFERROR(__xludf.DUMMYFUNCTION("""COMPUTED_VALUE"""),"AMANDA SOFIA RECUERO GARCIA")</f>
        <v>AMANDA SOFIA RECUERO GARCIA</v>
      </c>
      <c r="D1021" s="40" t="str">
        <f ca="1">IFERROR(__xludf.DUMMYFUNCTION("""COMPUTED_VALUE"""),"CC")</f>
        <v>CC</v>
      </c>
      <c r="E1021" s="40">
        <f ca="1">IFERROR(__xludf.DUMMYFUNCTION("""COMPUTED_VALUE"""),1001823893)</f>
        <v>1001823893</v>
      </c>
      <c r="F1021" s="40">
        <f ca="1">IFERROR(__xludf.DUMMYFUNCTION("""COMPUTED_VALUE"""),2348408)</f>
        <v>2348408</v>
      </c>
      <c r="G1021" s="40" t="str">
        <f ca="1">IFERROR(__xludf.DUMMYFUNCTION("""COMPUTED_VALUE"""),"TECNÓLOGO")</f>
        <v>TECNÓLOGO</v>
      </c>
      <c r="H1021" s="40" t="str">
        <f ca="1">IFERROR(__xludf.DUMMYFUNCTION("""COMPUTED_VALUE"""),"PRODUCCION DE MULTIMEDIA")</f>
        <v>PRODUCCION DE MULTIMEDIA</v>
      </c>
      <c r="I1021" s="40"/>
      <c r="J1021" s="40"/>
      <c r="K1021" s="40"/>
      <c r="L1021" s="40" t="str">
        <f ca="1">IFERROR(__xludf.DUMMYFUNCTION("""COMPUTED_VALUE"""),"NO HA INICIADO ETAPA PRODUCTIVA")</f>
        <v>NO HA INICIADO ETAPA PRODUCTIVA</v>
      </c>
      <c r="M1021" s="40"/>
      <c r="N1021" s="40"/>
      <c r="O1021" s="40"/>
      <c r="P1021" s="40"/>
      <c r="Q1021" s="40"/>
      <c r="R1021" s="140"/>
      <c r="S1021" s="140"/>
      <c r="T1021" s="40" t="str">
        <f ca="1">IFERROR(__xludf.DUMMYFUNCTION("""COMPUTED_VALUE"""),"debe 8 resultados... Revisado 15/11/2022")</f>
        <v>debe 8 resultados... Revisado 15/11/2022</v>
      </c>
      <c r="U1021" s="40"/>
      <c r="V1021" s="40"/>
      <c r="W1021" s="40"/>
      <c r="X1021" s="40"/>
      <c r="Y1021" s="40"/>
      <c r="Z1021" s="40"/>
      <c r="AA1021" s="40"/>
      <c r="AB1021" s="40"/>
      <c r="AC1021" s="40"/>
      <c r="AD1021" s="40"/>
      <c r="AE1021" s="40"/>
      <c r="AF1021" s="40"/>
      <c r="AG1021" s="40"/>
      <c r="AH1021" s="40"/>
      <c r="AI1021" s="40"/>
      <c r="AJ1021" s="40"/>
      <c r="AK1021" s="40"/>
      <c r="AL1021" s="40"/>
      <c r="AM1021" s="40"/>
      <c r="AN1021" s="40"/>
      <c r="AO1021" s="40"/>
      <c r="AP1021" s="40"/>
      <c r="AQ1021" s="40"/>
      <c r="AR1021" s="40"/>
      <c r="AS1021" s="40"/>
      <c r="AT1021" s="40"/>
      <c r="AU1021" s="40" t="str">
        <f ca="1">IFERROR(__xludf.DUMMYFUNCTION("""COMPUTED_VALUE"""),"NO_CUMPLE")</f>
        <v>NO_CUMPLE</v>
      </c>
      <c r="AV1021" s="40" t="str">
        <f ca="1">IFERROR(__xludf.DUMMYFUNCTION("""COMPUTED_VALUE"""),"EN FORMACION")</f>
        <v>EN FORMACION</v>
      </c>
      <c r="AW1021" s="40" t="str">
        <f ca="1">IFERROR(__xludf.DUMMYFUNCTION("""COMPUTED_VALUE"""),"TIC")</f>
        <v>TIC</v>
      </c>
      <c r="AX1021" s="141">
        <f ca="1">IFERROR(__xludf.DUMMYFUNCTION("""COMPUTED_VALUE"""),2)</f>
        <v>2</v>
      </c>
      <c r="AY1021" s="40">
        <f ca="1">IFERROR(__xludf.DUMMYFUNCTION("""COMPUTED_VALUE"""),2)</f>
        <v>2</v>
      </c>
      <c r="AZ1021" s="40">
        <f ca="1">IFERROR(__xludf.DUMMYFUNCTION("""COMPUTED_VALUE"""),1)</f>
        <v>1</v>
      </c>
      <c r="BA1021" s="40">
        <f ca="1">IFERROR(__xludf.DUMMYFUNCTION("""COMPUTED_VALUE"""),3)</f>
        <v>3</v>
      </c>
      <c r="BB1021" s="40">
        <f ca="1">IFERROR(__xludf.DUMMYFUNCTION("""COMPUTED_VALUE"""),4)</f>
        <v>4</v>
      </c>
      <c r="BC1021" s="40">
        <f ca="1">IFERROR(__xludf.DUMMYFUNCTION("""COMPUTED_VALUE"""),10)</f>
        <v>10</v>
      </c>
      <c r="BD1021" s="141">
        <f ca="1">IFERROR(__xludf.DUMMYFUNCTION("""COMPUTED_VALUE"""),44375)</f>
        <v>44375</v>
      </c>
      <c r="BE1021" s="141">
        <f ca="1">IFERROR(__xludf.DUMMYFUNCTION("""COMPUTED_VALUE"""),44922)</f>
        <v>44922</v>
      </c>
      <c r="BF1021" s="141">
        <f ca="1">IFERROR(__xludf.DUMMYFUNCTION("""COMPUTED_VALUE"""),45104)</f>
        <v>45104</v>
      </c>
      <c r="BG1021" s="141">
        <f ca="1">IFERROR(__xludf.DUMMYFUNCTION("""COMPUTED_VALUE"""),45653)</f>
        <v>45653</v>
      </c>
      <c r="BH1021" s="40" t="str">
        <f ca="1">IFERROR(__xludf.DUMMYFUNCTION("""COMPUTED_VALUE"""),"FICHA EN TIEMPO-18 MESES")</f>
        <v>FICHA EN TIEMPO-18 MESES</v>
      </c>
      <c r="BI1021" s="40" t="str">
        <f ca="1">IFERROR(__xludf.DUMMYFUNCTION("""COMPUTED_VALUE"""),"En ejecucion")</f>
        <v>En ejecucion</v>
      </c>
      <c r="BJ1021" s="40" t="str">
        <f ca="1">IFERROR(__xludf.DUMMYFUNCTION("""COMPUTED_VALUE"""),"Yamboro")</f>
        <v>Yamboro</v>
      </c>
      <c r="BK1021" s="40"/>
      <c r="BL1021" s="40"/>
    </row>
    <row r="1022" spans="1:64" ht="13">
      <c r="A1022" s="40"/>
      <c r="B1022" s="40" t="str">
        <f ca="1">IFERROR(__xludf.DUMMYFUNCTION("""COMPUTED_VALUE"""),"FORMACIÓN 18/10/2022")</f>
        <v>FORMACIÓN 18/10/2022</v>
      </c>
      <c r="C1022" s="40" t="str">
        <f ca="1">IFERROR(__xludf.DUMMYFUNCTION("""COMPUTED_VALUE"""),"SHADIA MICHELLE RESTREPO GARCIA")</f>
        <v>SHADIA MICHELLE RESTREPO GARCIA</v>
      </c>
      <c r="D1022" s="40" t="str">
        <f ca="1">IFERROR(__xludf.DUMMYFUNCTION("""COMPUTED_VALUE"""),"TI")</f>
        <v>TI</v>
      </c>
      <c r="E1022" s="40">
        <f ca="1">IFERROR(__xludf.DUMMYFUNCTION("""COMPUTED_VALUE"""),1001825100)</f>
        <v>1001825100</v>
      </c>
      <c r="F1022" s="40">
        <f ca="1">IFERROR(__xludf.DUMMYFUNCTION("""COMPUTED_VALUE"""),2348408)</f>
        <v>2348408</v>
      </c>
      <c r="G1022" s="40" t="str">
        <f ca="1">IFERROR(__xludf.DUMMYFUNCTION("""COMPUTED_VALUE"""),"TECNÓLOGO")</f>
        <v>TECNÓLOGO</v>
      </c>
      <c r="H1022" s="40" t="str">
        <f ca="1">IFERROR(__xludf.DUMMYFUNCTION("""COMPUTED_VALUE"""),"PRODUCCION DE MULTIMEDIA")</f>
        <v>PRODUCCION DE MULTIMEDIA</v>
      </c>
      <c r="I1022" s="40"/>
      <c r="J1022" s="40"/>
      <c r="K1022" s="40"/>
      <c r="L1022" s="40" t="str">
        <f ca="1">IFERROR(__xludf.DUMMYFUNCTION("""COMPUTED_VALUE"""),"NO HA INICIADO ETAPA PRODUCTIVA")</f>
        <v>NO HA INICIADO ETAPA PRODUCTIVA</v>
      </c>
      <c r="M1022" s="40"/>
      <c r="N1022" s="40"/>
      <c r="O1022" s="40"/>
      <c r="P1022" s="40"/>
      <c r="Q1022" s="40"/>
      <c r="R1022" s="140"/>
      <c r="S1022" s="140"/>
      <c r="T1022" s="40" t="str">
        <f ca="1">IFERROR(__xludf.DUMMYFUNCTION("""COMPUTED_VALUE"""),"debe 11 resultados... Revisado 15/11/2022")</f>
        <v>debe 11 resultados... Revisado 15/11/2022</v>
      </c>
      <c r="U1022" s="40"/>
      <c r="V1022" s="40"/>
      <c r="W1022" s="40"/>
      <c r="X1022" s="40"/>
      <c r="Y1022" s="40"/>
      <c r="Z1022" s="40"/>
      <c r="AA1022" s="40"/>
      <c r="AB1022" s="40"/>
      <c r="AC1022" s="40"/>
      <c r="AD1022" s="40"/>
      <c r="AE1022" s="40"/>
      <c r="AF1022" s="40"/>
      <c r="AG1022" s="40"/>
      <c r="AH1022" s="40"/>
      <c r="AI1022" s="40"/>
      <c r="AJ1022" s="40"/>
      <c r="AK1022" s="40"/>
      <c r="AL1022" s="40"/>
      <c r="AM1022" s="40"/>
      <c r="AN1022" s="40"/>
      <c r="AO1022" s="40"/>
      <c r="AP1022" s="40"/>
      <c r="AQ1022" s="40"/>
      <c r="AR1022" s="40"/>
      <c r="AS1022" s="40"/>
      <c r="AT1022" s="40"/>
      <c r="AU1022" s="40" t="str">
        <f ca="1">IFERROR(__xludf.DUMMYFUNCTION("""COMPUTED_VALUE"""),"NO_CUMPLE")</f>
        <v>NO_CUMPLE</v>
      </c>
      <c r="AV1022" s="40" t="str">
        <f ca="1">IFERROR(__xludf.DUMMYFUNCTION("""COMPUTED_VALUE"""),"EN FORMACION")</f>
        <v>EN FORMACION</v>
      </c>
      <c r="AW1022" s="40" t="str">
        <f ca="1">IFERROR(__xludf.DUMMYFUNCTION("""COMPUTED_VALUE"""),"TIC")</f>
        <v>TIC</v>
      </c>
      <c r="AX1022" s="141">
        <f ca="1">IFERROR(__xludf.DUMMYFUNCTION("""COMPUTED_VALUE"""),3)</f>
        <v>3</v>
      </c>
      <c r="AY1022" s="40">
        <f ca="1">IFERROR(__xludf.DUMMYFUNCTION("""COMPUTED_VALUE"""),3)</f>
        <v>3</v>
      </c>
      <c r="AZ1022" s="40">
        <f ca="1">IFERROR(__xludf.DUMMYFUNCTION("""COMPUTED_VALUE"""),1)</f>
        <v>1</v>
      </c>
      <c r="BA1022" s="40">
        <f ca="1">IFERROR(__xludf.DUMMYFUNCTION("""COMPUTED_VALUE"""),4)</f>
        <v>4</v>
      </c>
      <c r="BB1022" s="40">
        <f ca="1">IFERROR(__xludf.DUMMYFUNCTION("""COMPUTED_VALUE"""),6)</f>
        <v>6</v>
      </c>
      <c r="BC1022" s="40">
        <f ca="1">IFERROR(__xludf.DUMMYFUNCTION("""COMPUTED_VALUE"""),14)</f>
        <v>14</v>
      </c>
      <c r="BD1022" s="141">
        <f ca="1">IFERROR(__xludf.DUMMYFUNCTION("""COMPUTED_VALUE"""),44375)</f>
        <v>44375</v>
      </c>
      <c r="BE1022" s="141">
        <f ca="1">IFERROR(__xludf.DUMMYFUNCTION("""COMPUTED_VALUE"""),44922)</f>
        <v>44922</v>
      </c>
      <c r="BF1022" s="141">
        <f ca="1">IFERROR(__xludf.DUMMYFUNCTION("""COMPUTED_VALUE"""),45104)</f>
        <v>45104</v>
      </c>
      <c r="BG1022" s="141">
        <f ca="1">IFERROR(__xludf.DUMMYFUNCTION("""COMPUTED_VALUE"""),45653)</f>
        <v>45653</v>
      </c>
      <c r="BH1022" s="40" t="str">
        <f ca="1">IFERROR(__xludf.DUMMYFUNCTION("""COMPUTED_VALUE"""),"FICHA EN TIEMPO-18 MESES")</f>
        <v>FICHA EN TIEMPO-18 MESES</v>
      </c>
      <c r="BI1022" s="40" t="str">
        <f ca="1">IFERROR(__xludf.DUMMYFUNCTION("""COMPUTED_VALUE"""),"En ejecucion")</f>
        <v>En ejecucion</v>
      </c>
      <c r="BJ1022" s="40" t="str">
        <f ca="1">IFERROR(__xludf.DUMMYFUNCTION("""COMPUTED_VALUE"""),"Yamboro")</f>
        <v>Yamboro</v>
      </c>
      <c r="BK1022" s="40"/>
      <c r="BL1022" s="40"/>
    </row>
    <row r="1023" spans="1:64" ht="13">
      <c r="A1023" s="40"/>
      <c r="B1023" s="40" t="str">
        <f ca="1">IFERROR(__xludf.DUMMYFUNCTION("""COMPUTED_VALUE"""),"FORMACIÓN 18/10/2022")</f>
        <v>FORMACIÓN 18/10/2022</v>
      </c>
      <c r="C1023" s="40" t="str">
        <f ca="1">IFERROR(__xludf.DUMMYFUNCTION("""COMPUTED_VALUE"""),"DIKSON ARLEY CASTIBLANCO SUAREZ")</f>
        <v>DIKSON ARLEY CASTIBLANCO SUAREZ</v>
      </c>
      <c r="D1023" s="40" t="str">
        <f ca="1">IFERROR(__xludf.DUMMYFUNCTION("""COMPUTED_VALUE"""),"CC")</f>
        <v>CC</v>
      </c>
      <c r="E1023" s="40">
        <f ca="1">IFERROR(__xludf.DUMMYFUNCTION("""COMPUTED_VALUE"""),1002290862)</f>
        <v>1002290862</v>
      </c>
      <c r="F1023" s="40">
        <f ca="1">IFERROR(__xludf.DUMMYFUNCTION("""COMPUTED_VALUE"""),2348408)</f>
        <v>2348408</v>
      </c>
      <c r="G1023" s="40" t="str">
        <f ca="1">IFERROR(__xludf.DUMMYFUNCTION("""COMPUTED_VALUE"""),"TECNÓLOGO")</f>
        <v>TECNÓLOGO</v>
      </c>
      <c r="H1023" s="40" t="str">
        <f ca="1">IFERROR(__xludf.DUMMYFUNCTION("""COMPUTED_VALUE"""),"PRODUCCION DE MULTIMEDIA")</f>
        <v>PRODUCCION DE MULTIMEDIA</v>
      </c>
      <c r="I1023" s="40"/>
      <c r="J1023" s="40"/>
      <c r="K1023" s="40"/>
      <c r="L1023" s="40" t="str">
        <f ca="1">IFERROR(__xludf.DUMMYFUNCTION("""COMPUTED_VALUE"""),"NO HA INICIADO ETAPA PRODUCTIVA")</f>
        <v>NO HA INICIADO ETAPA PRODUCTIVA</v>
      </c>
      <c r="M1023" s="40"/>
      <c r="N1023" s="40"/>
      <c r="O1023" s="40"/>
      <c r="P1023" s="40"/>
      <c r="Q1023" s="40"/>
      <c r="R1023" s="140"/>
      <c r="S1023" s="140"/>
      <c r="T1023" s="40" t="str">
        <f ca="1">IFERROR(__xludf.DUMMYFUNCTION("""COMPUTED_VALUE"""),"debe 8 resultados... Revisado 15/11/2022")</f>
        <v>debe 8 resultados... Revisado 15/11/2022</v>
      </c>
      <c r="U1023" s="40"/>
      <c r="V1023" s="40"/>
      <c r="W1023" s="40"/>
      <c r="X1023" s="40"/>
      <c r="Y1023" s="40"/>
      <c r="Z1023" s="40"/>
      <c r="AA1023" s="40"/>
      <c r="AB1023" s="40"/>
      <c r="AC1023" s="40"/>
      <c r="AD1023" s="40"/>
      <c r="AE1023" s="40"/>
      <c r="AF1023" s="40"/>
      <c r="AG1023" s="40"/>
      <c r="AH1023" s="40"/>
      <c r="AI1023" s="40"/>
      <c r="AJ1023" s="40"/>
      <c r="AK1023" s="40"/>
      <c r="AL1023" s="40"/>
      <c r="AM1023" s="40"/>
      <c r="AN1023" s="40"/>
      <c r="AO1023" s="40"/>
      <c r="AP1023" s="40"/>
      <c r="AQ1023" s="40"/>
      <c r="AR1023" s="40"/>
      <c r="AS1023" s="40"/>
      <c r="AT1023" s="40"/>
      <c r="AU1023" s="40" t="str">
        <f ca="1">IFERROR(__xludf.DUMMYFUNCTION("""COMPUTED_VALUE"""),"NO_CUMPLE")</f>
        <v>NO_CUMPLE</v>
      </c>
      <c r="AV1023" s="40" t="str">
        <f ca="1">IFERROR(__xludf.DUMMYFUNCTION("""COMPUTED_VALUE"""),"EN FORMACION")</f>
        <v>EN FORMACION</v>
      </c>
      <c r="AW1023" s="40" t="str">
        <f ca="1">IFERROR(__xludf.DUMMYFUNCTION("""COMPUTED_VALUE"""),"TIC")</f>
        <v>TIC</v>
      </c>
      <c r="AX1023" s="141">
        <f ca="1">IFERROR(__xludf.DUMMYFUNCTION("""COMPUTED_VALUE"""),3)</f>
        <v>3</v>
      </c>
      <c r="AY1023" s="40">
        <f ca="1">IFERROR(__xludf.DUMMYFUNCTION("""COMPUTED_VALUE"""),3)</f>
        <v>3</v>
      </c>
      <c r="AZ1023" s="40">
        <f ca="1">IFERROR(__xludf.DUMMYFUNCTION("""COMPUTED_VALUE"""),1)</f>
        <v>1</v>
      </c>
      <c r="BA1023" s="40">
        <f ca="1">IFERROR(__xludf.DUMMYFUNCTION("""COMPUTED_VALUE"""),3)</f>
        <v>3</v>
      </c>
      <c r="BB1023" s="40">
        <f ca="1">IFERROR(__xludf.DUMMYFUNCTION("""COMPUTED_VALUE"""),4)</f>
        <v>4</v>
      </c>
      <c r="BC1023" s="40">
        <f ca="1">IFERROR(__xludf.DUMMYFUNCTION("""COMPUTED_VALUE"""),11)</f>
        <v>11</v>
      </c>
      <c r="BD1023" s="141">
        <f ca="1">IFERROR(__xludf.DUMMYFUNCTION("""COMPUTED_VALUE"""),44375)</f>
        <v>44375</v>
      </c>
      <c r="BE1023" s="141">
        <f ca="1">IFERROR(__xludf.DUMMYFUNCTION("""COMPUTED_VALUE"""),44922)</f>
        <v>44922</v>
      </c>
      <c r="BF1023" s="141">
        <f ca="1">IFERROR(__xludf.DUMMYFUNCTION("""COMPUTED_VALUE"""),45104)</f>
        <v>45104</v>
      </c>
      <c r="BG1023" s="141">
        <f ca="1">IFERROR(__xludf.DUMMYFUNCTION("""COMPUTED_VALUE"""),45653)</f>
        <v>45653</v>
      </c>
      <c r="BH1023" s="40" t="str">
        <f ca="1">IFERROR(__xludf.DUMMYFUNCTION("""COMPUTED_VALUE"""),"FICHA EN TIEMPO-18 MESES")</f>
        <v>FICHA EN TIEMPO-18 MESES</v>
      </c>
      <c r="BI1023" s="40" t="str">
        <f ca="1">IFERROR(__xludf.DUMMYFUNCTION("""COMPUTED_VALUE"""),"En ejecucion")</f>
        <v>En ejecucion</v>
      </c>
      <c r="BJ1023" s="40" t="str">
        <f ca="1">IFERROR(__xludf.DUMMYFUNCTION("""COMPUTED_VALUE"""),"Yamboro")</f>
        <v>Yamboro</v>
      </c>
      <c r="BK1023" s="40"/>
      <c r="BL1023" s="40"/>
    </row>
    <row r="1024" spans="1:64" ht="13">
      <c r="A1024" s="40"/>
      <c r="B1024" s="40" t="str">
        <f ca="1">IFERROR(__xludf.DUMMYFUNCTION("""COMPUTED_VALUE"""),"FORMACIÓN 18/10/2022")</f>
        <v>FORMACIÓN 18/10/2022</v>
      </c>
      <c r="C1024" s="40" t="str">
        <f ca="1">IFERROR(__xludf.DUMMYFUNCTION("""COMPUTED_VALUE"""),"EDWIN ESTIVEN VARGAS AYALA")</f>
        <v>EDWIN ESTIVEN VARGAS AYALA</v>
      </c>
      <c r="D1024" s="40" t="str">
        <f ca="1">IFERROR(__xludf.DUMMYFUNCTION("""COMPUTED_VALUE"""),"CC")</f>
        <v>CC</v>
      </c>
      <c r="E1024" s="40">
        <f ca="1">IFERROR(__xludf.DUMMYFUNCTION("""COMPUTED_VALUE"""),1004006162)</f>
        <v>1004006162</v>
      </c>
      <c r="F1024" s="40">
        <f ca="1">IFERROR(__xludf.DUMMYFUNCTION("""COMPUTED_VALUE"""),2348408)</f>
        <v>2348408</v>
      </c>
      <c r="G1024" s="40" t="str">
        <f ca="1">IFERROR(__xludf.DUMMYFUNCTION("""COMPUTED_VALUE"""),"TECNÓLOGO")</f>
        <v>TECNÓLOGO</v>
      </c>
      <c r="H1024" s="40" t="str">
        <f ca="1">IFERROR(__xludf.DUMMYFUNCTION("""COMPUTED_VALUE"""),"PRODUCCION DE MULTIMEDIA")</f>
        <v>PRODUCCION DE MULTIMEDIA</v>
      </c>
      <c r="I1024" s="40"/>
      <c r="J1024" s="40"/>
      <c r="K1024" s="40"/>
      <c r="L1024" s="40" t="str">
        <f ca="1">IFERROR(__xludf.DUMMYFUNCTION("""COMPUTED_VALUE"""),"NO HA INICIADO ETAPA PRODUCTIVA")</f>
        <v>NO HA INICIADO ETAPA PRODUCTIVA</v>
      </c>
      <c r="M1024" s="40"/>
      <c r="N1024" s="40"/>
      <c r="O1024" s="40"/>
      <c r="P1024" s="40"/>
      <c r="Q1024" s="40"/>
      <c r="R1024" s="140"/>
      <c r="S1024" s="140"/>
      <c r="T1024" s="40" t="str">
        <f ca="1">IFERROR(__xludf.DUMMYFUNCTION("""COMPUTED_VALUE"""),"debe 8 resultados... Revisado 15/11/2022")</f>
        <v>debe 8 resultados... Revisado 15/11/2022</v>
      </c>
      <c r="U1024" s="40"/>
      <c r="V1024" s="40"/>
      <c r="W1024" s="40"/>
      <c r="X1024" s="40"/>
      <c r="Y1024" s="40"/>
      <c r="Z1024" s="40"/>
      <c r="AA1024" s="40"/>
      <c r="AB1024" s="40"/>
      <c r="AC1024" s="40"/>
      <c r="AD1024" s="40"/>
      <c r="AE1024" s="40"/>
      <c r="AF1024" s="40"/>
      <c r="AG1024" s="40"/>
      <c r="AH1024" s="40"/>
      <c r="AI1024" s="40"/>
      <c r="AJ1024" s="40"/>
      <c r="AK1024" s="40"/>
      <c r="AL1024" s="40"/>
      <c r="AM1024" s="40"/>
      <c r="AN1024" s="40"/>
      <c r="AO1024" s="40"/>
      <c r="AP1024" s="40"/>
      <c r="AQ1024" s="40"/>
      <c r="AR1024" s="40"/>
      <c r="AS1024" s="40"/>
      <c r="AT1024" s="40"/>
      <c r="AU1024" s="40" t="str">
        <f ca="1">IFERROR(__xludf.DUMMYFUNCTION("""COMPUTED_VALUE"""),"NO_CUMPLE")</f>
        <v>NO_CUMPLE</v>
      </c>
      <c r="AV1024" s="40" t="str">
        <f ca="1">IFERROR(__xludf.DUMMYFUNCTION("""COMPUTED_VALUE"""),"EN FORMACION")</f>
        <v>EN FORMACION</v>
      </c>
      <c r="AW1024" s="40" t="str">
        <f ca="1">IFERROR(__xludf.DUMMYFUNCTION("""COMPUTED_VALUE"""),"TIC")</f>
        <v>TIC</v>
      </c>
      <c r="AX1024" s="141">
        <f ca="1">IFERROR(__xludf.DUMMYFUNCTION("""COMPUTED_VALUE"""),2)</f>
        <v>2</v>
      </c>
      <c r="AY1024" s="40">
        <f ca="1">IFERROR(__xludf.DUMMYFUNCTION("""COMPUTED_VALUE"""),2)</f>
        <v>2</v>
      </c>
      <c r="AZ1024" s="40">
        <f ca="1">IFERROR(__xludf.DUMMYFUNCTION("""COMPUTED_VALUE"""),1)</f>
        <v>1</v>
      </c>
      <c r="BA1024" s="40">
        <f ca="1">IFERROR(__xludf.DUMMYFUNCTION("""COMPUTED_VALUE"""),3)</f>
        <v>3</v>
      </c>
      <c r="BB1024" s="40">
        <f ca="1">IFERROR(__xludf.DUMMYFUNCTION("""COMPUTED_VALUE"""),5)</f>
        <v>5</v>
      </c>
      <c r="BC1024" s="40">
        <f ca="1">IFERROR(__xludf.DUMMYFUNCTION("""COMPUTED_VALUE"""),11)</f>
        <v>11</v>
      </c>
      <c r="BD1024" s="141">
        <f ca="1">IFERROR(__xludf.DUMMYFUNCTION("""COMPUTED_VALUE"""),44375)</f>
        <v>44375</v>
      </c>
      <c r="BE1024" s="141">
        <f ca="1">IFERROR(__xludf.DUMMYFUNCTION("""COMPUTED_VALUE"""),44922)</f>
        <v>44922</v>
      </c>
      <c r="BF1024" s="141">
        <f ca="1">IFERROR(__xludf.DUMMYFUNCTION("""COMPUTED_VALUE"""),45104)</f>
        <v>45104</v>
      </c>
      <c r="BG1024" s="141">
        <f ca="1">IFERROR(__xludf.DUMMYFUNCTION("""COMPUTED_VALUE"""),45653)</f>
        <v>45653</v>
      </c>
      <c r="BH1024" s="40" t="str">
        <f ca="1">IFERROR(__xludf.DUMMYFUNCTION("""COMPUTED_VALUE"""),"FICHA EN TIEMPO-18 MESES")</f>
        <v>FICHA EN TIEMPO-18 MESES</v>
      </c>
      <c r="BI1024" s="40" t="str">
        <f ca="1">IFERROR(__xludf.DUMMYFUNCTION("""COMPUTED_VALUE"""),"En ejecucion")</f>
        <v>En ejecucion</v>
      </c>
      <c r="BJ1024" s="40" t="str">
        <f ca="1">IFERROR(__xludf.DUMMYFUNCTION("""COMPUTED_VALUE"""),"Yamboro")</f>
        <v>Yamboro</v>
      </c>
      <c r="BK1024" s="40"/>
      <c r="BL1024" s="40"/>
    </row>
    <row r="1025" spans="1:64" ht="13">
      <c r="A1025" s="40"/>
      <c r="B1025" s="40" t="str">
        <f ca="1">IFERROR(__xludf.DUMMYFUNCTION("""COMPUTED_VALUE"""),"FORMACIÓN 18/10/2022")</f>
        <v>FORMACIÓN 18/10/2022</v>
      </c>
      <c r="C1025" s="40" t="str">
        <f ca="1">IFERROR(__xludf.DUMMYFUNCTION("""COMPUTED_VALUE"""),"MIGUEL ANGEL SUBIETA ECHANDIA")</f>
        <v>MIGUEL ANGEL SUBIETA ECHANDIA</v>
      </c>
      <c r="D1025" s="40" t="str">
        <f ca="1">IFERROR(__xludf.DUMMYFUNCTION("""COMPUTED_VALUE"""),"CC")</f>
        <v>CC</v>
      </c>
      <c r="E1025" s="40">
        <f ca="1">IFERROR(__xludf.DUMMYFUNCTION("""COMPUTED_VALUE"""),1007023411)</f>
        <v>1007023411</v>
      </c>
      <c r="F1025" s="40">
        <f ca="1">IFERROR(__xludf.DUMMYFUNCTION("""COMPUTED_VALUE"""),2348408)</f>
        <v>2348408</v>
      </c>
      <c r="G1025" s="40" t="str">
        <f ca="1">IFERROR(__xludf.DUMMYFUNCTION("""COMPUTED_VALUE"""),"TECNÓLOGO")</f>
        <v>TECNÓLOGO</v>
      </c>
      <c r="H1025" s="40" t="str">
        <f ca="1">IFERROR(__xludf.DUMMYFUNCTION("""COMPUTED_VALUE"""),"PRODUCCION DE MULTIMEDIA")</f>
        <v>PRODUCCION DE MULTIMEDIA</v>
      </c>
      <c r="I1025" s="40"/>
      <c r="J1025" s="40"/>
      <c r="K1025" s="40"/>
      <c r="L1025" s="40" t="str">
        <f ca="1">IFERROR(__xludf.DUMMYFUNCTION("""COMPUTED_VALUE"""),"NO HA INICIADO ETAPA PRODUCTIVA")</f>
        <v>NO HA INICIADO ETAPA PRODUCTIVA</v>
      </c>
      <c r="M1025" s="40"/>
      <c r="N1025" s="40"/>
      <c r="O1025" s="40"/>
      <c r="P1025" s="40"/>
      <c r="Q1025" s="40"/>
      <c r="R1025" s="140"/>
      <c r="S1025" s="140"/>
      <c r="T1025" s="40" t="str">
        <f ca="1">IFERROR(__xludf.DUMMYFUNCTION("""COMPUTED_VALUE"""),"debe 28 resultados... Revisado 15/11/2022")</f>
        <v>debe 28 resultados... Revisado 15/11/2022</v>
      </c>
      <c r="U1025" s="40"/>
      <c r="V1025" s="40"/>
      <c r="W1025" s="40"/>
      <c r="X1025" s="40"/>
      <c r="Y1025" s="40"/>
      <c r="Z1025" s="40"/>
      <c r="AA1025" s="40"/>
      <c r="AB1025" s="40"/>
      <c r="AC1025" s="40"/>
      <c r="AD1025" s="40"/>
      <c r="AE1025" s="40"/>
      <c r="AF1025" s="40"/>
      <c r="AG1025" s="40"/>
      <c r="AH1025" s="40"/>
      <c r="AI1025" s="40"/>
      <c r="AJ1025" s="40"/>
      <c r="AK1025" s="40"/>
      <c r="AL1025" s="40"/>
      <c r="AM1025" s="40"/>
      <c r="AN1025" s="40"/>
      <c r="AO1025" s="40"/>
      <c r="AP1025" s="40"/>
      <c r="AQ1025" s="40"/>
      <c r="AR1025" s="40"/>
      <c r="AS1025" s="40"/>
      <c r="AT1025" s="40"/>
      <c r="AU1025" s="40" t="str">
        <f ca="1">IFERROR(__xludf.DUMMYFUNCTION("""COMPUTED_VALUE"""),"NO_CUMPLE")</f>
        <v>NO_CUMPLE</v>
      </c>
      <c r="AV1025" s="40" t="str">
        <f ca="1">IFERROR(__xludf.DUMMYFUNCTION("""COMPUTED_VALUE"""),"EN FORMACION")</f>
        <v>EN FORMACION</v>
      </c>
      <c r="AW1025" s="40" t="str">
        <f ca="1">IFERROR(__xludf.DUMMYFUNCTION("""COMPUTED_VALUE"""),"TIC")</f>
        <v>TIC</v>
      </c>
      <c r="AX1025" s="141">
        <f ca="1">IFERROR(__xludf.DUMMYFUNCTION("""COMPUTED_VALUE"""),2)</f>
        <v>2</v>
      </c>
      <c r="AY1025" s="40">
        <f ca="1">IFERROR(__xludf.DUMMYFUNCTION("""COMPUTED_VALUE"""),2)</f>
        <v>2</v>
      </c>
      <c r="AZ1025" s="40">
        <f ca="1">IFERROR(__xludf.DUMMYFUNCTION("""COMPUTED_VALUE"""),1)</f>
        <v>1</v>
      </c>
      <c r="BA1025" s="40">
        <f ca="1">IFERROR(__xludf.DUMMYFUNCTION("""COMPUTED_VALUE"""),5)</f>
        <v>5</v>
      </c>
      <c r="BB1025" s="40">
        <f ca="1">IFERROR(__xludf.DUMMYFUNCTION("""COMPUTED_VALUE"""),12)</f>
        <v>12</v>
      </c>
      <c r="BC1025" s="40">
        <f ca="1">IFERROR(__xludf.DUMMYFUNCTION("""COMPUTED_VALUE"""),20)</f>
        <v>20</v>
      </c>
      <c r="BD1025" s="141">
        <f ca="1">IFERROR(__xludf.DUMMYFUNCTION("""COMPUTED_VALUE"""),44375)</f>
        <v>44375</v>
      </c>
      <c r="BE1025" s="141">
        <f ca="1">IFERROR(__xludf.DUMMYFUNCTION("""COMPUTED_VALUE"""),44922)</f>
        <v>44922</v>
      </c>
      <c r="BF1025" s="141">
        <f ca="1">IFERROR(__xludf.DUMMYFUNCTION("""COMPUTED_VALUE"""),45104)</f>
        <v>45104</v>
      </c>
      <c r="BG1025" s="141">
        <f ca="1">IFERROR(__xludf.DUMMYFUNCTION("""COMPUTED_VALUE"""),45653)</f>
        <v>45653</v>
      </c>
      <c r="BH1025" s="40" t="str">
        <f ca="1">IFERROR(__xludf.DUMMYFUNCTION("""COMPUTED_VALUE"""),"FICHA EN TIEMPO-18 MESES")</f>
        <v>FICHA EN TIEMPO-18 MESES</v>
      </c>
      <c r="BI1025" s="40" t="str">
        <f ca="1">IFERROR(__xludf.DUMMYFUNCTION("""COMPUTED_VALUE"""),"En ejecucion")</f>
        <v>En ejecucion</v>
      </c>
      <c r="BJ1025" s="40" t="str">
        <f ca="1">IFERROR(__xludf.DUMMYFUNCTION("""COMPUTED_VALUE"""),"Yamboro")</f>
        <v>Yamboro</v>
      </c>
      <c r="BK1025" s="40"/>
      <c r="BL1025" s="40"/>
    </row>
    <row r="1026" spans="1:64" ht="13">
      <c r="A1026" s="40"/>
      <c r="B1026" s="40" t="str">
        <f ca="1">IFERROR(__xludf.DUMMYFUNCTION("""COMPUTED_VALUE"""),"FORMACIÓN 18/10/2022")</f>
        <v>FORMACIÓN 18/10/2022</v>
      </c>
      <c r="C1026" s="40" t="str">
        <f ca="1">IFERROR(__xludf.DUMMYFUNCTION("""COMPUTED_VALUE"""),"CRISTHIAN DAVID RODRIGUEZ HERRERA")</f>
        <v>CRISTHIAN DAVID RODRIGUEZ HERRERA</v>
      </c>
      <c r="D1026" s="40" t="str">
        <f ca="1">IFERROR(__xludf.DUMMYFUNCTION("""COMPUTED_VALUE"""),"CC")</f>
        <v>CC</v>
      </c>
      <c r="E1026" s="40">
        <f ca="1">IFERROR(__xludf.DUMMYFUNCTION("""COMPUTED_VALUE"""),1007569337)</f>
        <v>1007569337</v>
      </c>
      <c r="F1026" s="40">
        <f ca="1">IFERROR(__xludf.DUMMYFUNCTION("""COMPUTED_VALUE"""),2348408)</f>
        <v>2348408</v>
      </c>
      <c r="G1026" s="40" t="str">
        <f ca="1">IFERROR(__xludf.DUMMYFUNCTION("""COMPUTED_VALUE"""),"TECNÓLOGO")</f>
        <v>TECNÓLOGO</v>
      </c>
      <c r="H1026" s="40" t="str">
        <f ca="1">IFERROR(__xludf.DUMMYFUNCTION("""COMPUTED_VALUE"""),"PRODUCCION DE MULTIMEDIA")</f>
        <v>PRODUCCION DE MULTIMEDIA</v>
      </c>
      <c r="I1026" s="40"/>
      <c r="J1026" s="40"/>
      <c r="K1026" s="40"/>
      <c r="L1026" s="40" t="str">
        <f ca="1">IFERROR(__xludf.DUMMYFUNCTION("""COMPUTED_VALUE"""),"NO HA INICIADO ETAPA PRODUCTIVA")</f>
        <v>NO HA INICIADO ETAPA PRODUCTIVA</v>
      </c>
      <c r="M1026" s="40"/>
      <c r="N1026" s="40"/>
      <c r="O1026" s="40"/>
      <c r="P1026" s="40"/>
      <c r="Q1026" s="40"/>
      <c r="R1026" s="140"/>
      <c r="S1026" s="140"/>
      <c r="T1026" s="40" t="str">
        <f ca="1">IFERROR(__xludf.DUMMYFUNCTION("""COMPUTED_VALUE"""),"debe 30 resultados... Revisado 15/11/2022")</f>
        <v>debe 30 resultados... Revisado 15/11/2022</v>
      </c>
      <c r="U1026" s="40"/>
      <c r="V1026" s="40"/>
      <c r="W1026" s="40"/>
      <c r="X1026" s="40"/>
      <c r="Y1026" s="40"/>
      <c r="Z1026" s="40"/>
      <c r="AA1026" s="40"/>
      <c r="AB1026" s="40"/>
      <c r="AC1026" s="40"/>
      <c r="AD1026" s="40"/>
      <c r="AE1026" s="40"/>
      <c r="AF1026" s="40"/>
      <c r="AG1026" s="40"/>
      <c r="AH1026" s="40"/>
      <c r="AI1026" s="40"/>
      <c r="AJ1026" s="40"/>
      <c r="AK1026" s="40"/>
      <c r="AL1026" s="40"/>
      <c r="AM1026" s="40"/>
      <c r="AN1026" s="40"/>
      <c r="AO1026" s="40"/>
      <c r="AP1026" s="40"/>
      <c r="AQ1026" s="40"/>
      <c r="AR1026" s="40"/>
      <c r="AS1026" s="40"/>
      <c r="AT1026" s="40"/>
      <c r="AU1026" s="40" t="str">
        <f ca="1">IFERROR(__xludf.DUMMYFUNCTION("""COMPUTED_VALUE"""),"NO_CUMPLE")</f>
        <v>NO_CUMPLE</v>
      </c>
      <c r="AV1026" s="40" t="str">
        <f ca="1">IFERROR(__xludf.DUMMYFUNCTION("""COMPUTED_VALUE"""),"EN FORMACION")</f>
        <v>EN FORMACION</v>
      </c>
      <c r="AW1026" s="40" t="str">
        <f ca="1">IFERROR(__xludf.DUMMYFUNCTION("""COMPUTED_VALUE"""),"TIC")</f>
        <v>TIC</v>
      </c>
      <c r="AX1026" s="141">
        <f ca="1">IFERROR(__xludf.DUMMYFUNCTION("""COMPUTED_VALUE"""),6)</f>
        <v>6</v>
      </c>
      <c r="AY1026" s="40">
        <f ca="1">IFERROR(__xludf.DUMMYFUNCTION("""COMPUTED_VALUE"""),6)</f>
        <v>6</v>
      </c>
      <c r="AZ1026" s="40">
        <f ca="1">IFERROR(__xludf.DUMMYFUNCTION("""COMPUTED_VALUE"""),1)</f>
        <v>1</v>
      </c>
      <c r="BA1026" s="40">
        <f ca="1">IFERROR(__xludf.DUMMYFUNCTION("""COMPUTED_VALUE"""),9)</f>
        <v>9</v>
      </c>
      <c r="BB1026" s="40">
        <f ca="1">IFERROR(__xludf.DUMMYFUNCTION("""COMPUTED_VALUE"""),15)</f>
        <v>15</v>
      </c>
      <c r="BC1026" s="40">
        <f ca="1">IFERROR(__xludf.DUMMYFUNCTION("""COMPUTED_VALUE"""),31)</f>
        <v>31</v>
      </c>
      <c r="BD1026" s="141">
        <f ca="1">IFERROR(__xludf.DUMMYFUNCTION("""COMPUTED_VALUE"""),44375)</f>
        <v>44375</v>
      </c>
      <c r="BE1026" s="141">
        <f ca="1">IFERROR(__xludf.DUMMYFUNCTION("""COMPUTED_VALUE"""),44922)</f>
        <v>44922</v>
      </c>
      <c r="BF1026" s="141">
        <f ca="1">IFERROR(__xludf.DUMMYFUNCTION("""COMPUTED_VALUE"""),45104)</f>
        <v>45104</v>
      </c>
      <c r="BG1026" s="141">
        <f ca="1">IFERROR(__xludf.DUMMYFUNCTION("""COMPUTED_VALUE"""),45653)</f>
        <v>45653</v>
      </c>
      <c r="BH1026" s="40" t="str">
        <f ca="1">IFERROR(__xludf.DUMMYFUNCTION("""COMPUTED_VALUE"""),"FICHA EN TIEMPO-18 MESES")</f>
        <v>FICHA EN TIEMPO-18 MESES</v>
      </c>
      <c r="BI1026" s="40" t="str">
        <f ca="1">IFERROR(__xludf.DUMMYFUNCTION("""COMPUTED_VALUE"""),"En ejecucion")</f>
        <v>En ejecucion</v>
      </c>
      <c r="BJ1026" s="40" t="str">
        <f ca="1">IFERROR(__xludf.DUMMYFUNCTION("""COMPUTED_VALUE"""),"Yamboro")</f>
        <v>Yamboro</v>
      </c>
      <c r="BK1026" s="40"/>
      <c r="BL1026" s="40"/>
    </row>
    <row r="1027" spans="1:64" ht="13">
      <c r="A1027" s="40"/>
      <c r="B1027" s="40" t="str">
        <f ca="1">IFERROR(__xludf.DUMMYFUNCTION("""COMPUTED_VALUE"""),"FORMACIÓN 18/10/2022")</f>
        <v>FORMACIÓN 18/10/2022</v>
      </c>
      <c r="C1027" s="40" t="str">
        <f ca="1">IFERROR(__xludf.DUMMYFUNCTION("""COMPUTED_VALUE"""),"DAVID FERNANDEZ PAEZ")</f>
        <v>DAVID FERNANDEZ PAEZ</v>
      </c>
      <c r="D1027" s="40" t="str">
        <f ca="1">IFERROR(__xludf.DUMMYFUNCTION("""COMPUTED_VALUE"""),"CC")</f>
        <v>CC</v>
      </c>
      <c r="E1027" s="40">
        <f ca="1">IFERROR(__xludf.DUMMYFUNCTION("""COMPUTED_VALUE"""),1010019758)</f>
        <v>1010019758</v>
      </c>
      <c r="F1027" s="40">
        <f ca="1">IFERROR(__xludf.DUMMYFUNCTION("""COMPUTED_VALUE"""),2348408)</f>
        <v>2348408</v>
      </c>
      <c r="G1027" s="40" t="str">
        <f ca="1">IFERROR(__xludf.DUMMYFUNCTION("""COMPUTED_VALUE"""),"TECNÓLOGO")</f>
        <v>TECNÓLOGO</v>
      </c>
      <c r="H1027" s="40" t="str">
        <f ca="1">IFERROR(__xludf.DUMMYFUNCTION("""COMPUTED_VALUE"""),"PRODUCCION DE MULTIMEDIA")</f>
        <v>PRODUCCION DE MULTIMEDIA</v>
      </c>
      <c r="I1027" s="40"/>
      <c r="J1027" s="40"/>
      <c r="K1027" s="40"/>
      <c r="L1027" s="40" t="str">
        <f ca="1">IFERROR(__xludf.DUMMYFUNCTION("""COMPUTED_VALUE"""),"NO HA INICIADO ETAPA PRODUCTIVA")</f>
        <v>NO HA INICIADO ETAPA PRODUCTIVA</v>
      </c>
      <c r="M1027" s="40"/>
      <c r="N1027" s="40"/>
      <c r="O1027" s="40"/>
      <c r="P1027" s="40"/>
      <c r="Q1027" s="40"/>
      <c r="R1027" s="140"/>
      <c r="S1027" s="140"/>
      <c r="T1027" s="40" t="str">
        <f ca="1">IFERROR(__xludf.DUMMYFUNCTION("""COMPUTED_VALUE"""),"debe 36 resultados... Revisado 15/11/2022")</f>
        <v>debe 36 resultados... Revisado 15/11/2022</v>
      </c>
      <c r="U1027" s="40"/>
      <c r="V1027" s="40"/>
      <c r="W1027" s="40"/>
      <c r="X1027" s="40"/>
      <c r="Y1027" s="40"/>
      <c r="Z1027" s="40"/>
      <c r="AA1027" s="40"/>
      <c r="AB1027" s="40"/>
      <c r="AC1027" s="40"/>
      <c r="AD1027" s="40"/>
      <c r="AE1027" s="40"/>
      <c r="AF1027" s="40"/>
      <c r="AG1027" s="40"/>
      <c r="AH1027" s="40"/>
      <c r="AI1027" s="40"/>
      <c r="AJ1027" s="40"/>
      <c r="AK1027" s="40"/>
      <c r="AL1027" s="40"/>
      <c r="AM1027" s="40"/>
      <c r="AN1027" s="40"/>
      <c r="AO1027" s="40"/>
      <c r="AP1027" s="40"/>
      <c r="AQ1027" s="40"/>
      <c r="AR1027" s="40"/>
      <c r="AS1027" s="40"/>
      <c r="AT1027" s="40"/>
      <c r="AU1027" s="40" t="str">
        <f ca="1">IFERROR(__xludf.DUMMYFUNCTION("""COMPUTED_VALUE"""),"NO_CUMPLE")</f>
        <v>NO_CUMPLE</v>
      </c>
      <c r="AV1027" s="40" t="str">
        <f ca="1">IFERROR(__xludf.DUMMYFUNCTION("""COMPUTED_VALUE"""),"EN FORMACION")</f>
        <v>EN FORMACION</v>
      </c>
      <c r="AW1027" s="40" t="str">
        <f ca="1">IFERROR(__xludf.DUMMYFUNCTION("""COMPUTED_VALUE"""),"TIC")</f>
        <v>TIC</v>
      </c>
      <c r="AX1027" s="141">
        <f ca="1">IFERROR(__xludf.DUMMYFUNCTION("""COMPUTED_VALUE"""),6)</f>
        <v>6</v>
      </c>
      <c r="AY1027" s="40">
        <f ca="1">IFERROR(__xludf.DUMMYFUNCTION("""COMPUTED_VALUE"""),6)</f>
        <v>6</v>
      </c>
      <c r="AZ1027" s="40">
        <f ca="1">IFERROR(__xludf.DUMMYFUNCTION("""COMPUTED_VALUE"""),1)</f>
        <v>1</v>
      </c>
      <c r="BA1027" s="40">
        <f ca="1">IFERROR(__xludf.DUMMYFUNCTION("""COMPUTED_VALUE"""),11)</f>
        <v>11</v>
      </c>
      <c r="BB1027" s="40">
        <f ca="1">IFERROR(__xludf.DUMMYFUNCTION("""COMPUTED_VALUE"""),19)</f>
        <v>19</v>
      </c>
      <c r="BC1027" s="40">
        <f ca="1">IFERROR(__xludf.DUMMYFUNCTION("""COMPUTED_VALUE"""),37)</f>
        <v>37</v>
      </c>
      <c r="BD1027" s="141">
        <f ca="1">IFERROR(__xludf.DUMMYFUNCTION("""COMPUTED_VALUE"""),44375)</f>
        <v>44375</v>
      </c>
      <c r="BE1027" s="141">
        <f ca="1">IFERROR(__xludf.DUMMYFUNCTION("""COMPUTED_VALUE"""),44922)</f>
        <v>44922</v>
      </c>
      <c r="BF1027" s="141">
        <f ca="1">IFERROR(__xludf.DUMMYFUNCTION("""COMPUTED_VALUE"""),45104)</f>
        <v>45104</v>
      </c>
      <c r="BG1027" s="141">
        <f ca="1">IFERROR(__xludf.DUMMYFUNCTION("""COMPUTED_VALUE"""),45653)</f>
        <v>45653</v>
      </c>
      <c r="BH1027" s="40" t="str">
        <f ca="1">IFERROR(__xludf.DUMMYFUNCTION("""COMPUTED_VALUE"""),"FICHA EN TIEMPO-18 MESES")</f>
        <v>FICHA EN TIEMPO-18 MESES</v>
      </c>
      <c r="BI1027" s="40" t="str">
        <f ca="1">IFERROR(__xludf.DUMMYFUNCTION("""COMPUTED_VALUE"""),"En ejecucion")</f>
        <v>En ejecucion</v>
      </c>
      <c r="BJ1027" s="40" t="str">
        <f ca="1">IFERROR(__xludf.DUMMYFUNCTION("""COMPUTED_VALUE"""),"Yamboro")</f>
        <v>Yamboro</v>
      </c>
      <c r="BK1027" s="40"/>
      <c r="BL1027" s="40"/>
    </row>
    <row r="1028" spans="1:64" ht="13">
      <c r="A1028" s="40"/>
      <c r="B1028" s="40" t="str">
        <f ca="1">IFERROR(__xludf.DUMMYFUNCTION("""COMPUTED_VALUE"""),"FORMACIÓN 18/10/2022")</f>
        <v>FORMACIÓN 18/10/2022</v>
      </c>
      <c r="C1028" s="40" t="str">
        <f ca="1">IFERROR(__xludf.DUMMYFUNCTION("""COMPUTED_VALUE"""),"ALISON GERALDINE RODRIGUEZ ANDRADE")</f>
        <v>ALISON GERALDINE RODRIGUEZ ANDRADE</v>
      </c>
      <c r="D1028" s="40" t="str">
        <f ca="1">IFERROR(__xludf.DUMMYFUNCTION("""COMPUTED_VALUE"""),"CC")</f>
        <v>CC</v>
      </c>
      <c r="E1028" s="40">
        <f ca="1">IFERROR(__xludf.DUMMYFUNCTION("""COMPUTED_VALUE"""),1018513714)</f>
        <v>1018513714</v>
      </c>
      <c r="F1028" s="40">
        <f ca="1">IFERROR(__xludf.DUMMYFUNCTION("""COMPUTED_VALUE"""),2348408)</f>
        <v>2348408</v>
      </c>
      <c r="G1028" s="40" t="str">
        <f ca="1">IFERROR(__xludf.DUMMYFUNCTION("""COMPUTED_VALUE"""),"TECNÓLOGO")</f>
        <v>TECNÓLOGO</v>
      </c>
      <c r="H1028" s="40" t="str">
        <f ca="1">IFERROR(__xludf.DUMMYFUNCTION("""COMPUTED_VALUE"""),"PRODUCCION DE MULTIMEDIA")</f>
        <v>PRODUCCION DE MULTIMEDIA</v>
      </c>
      <c r="I1028" s="40"/>
      <c r="J1028" s="40"/>
      <c r="K1028" s="40"/>
      <c r="L1028" s="40" t="str">
        <f ca="1">IFERROR(__xludf.DUMMYFUNCTION("""COMPUTED_VALUE"""),"NO HA INICIADO ETAPA PRODUCTIVA")</f>
        <v>NO HA INICIADO ETAPA PRODUCTIVA</v>
      </c>
      <c r="M1028" s="40"/>
      <c r="N1028" s="40"/>
      <c r="O1028" s="40"/>
      <c r="P1028" s="40"/>
      <c r="Q1028" s="40"/>
      <c r="R1028" s="140"/>
      <c r="S1028" s="140"/>
      <c r="T1028" s="40" t="str">
        <f ca="1">IFERROR(__xludf.DUMMYFUNCTION("""COMPUTED_VALUE"""),"debe 9 resultados... Revisado 15/11/2022")</f>
        <v>debe 9 resultados... Revisado 15/11/2022</v>
      </c>
      <c r="U1028" s="40"/>
      <c r="V1028" s="40"/>
      <c r="W1028" s="40"/>
      <c r="X1028" s="40"/>
      <c r="Y1028" s="40"/>
      <c r="Z1028" s="40"/>
      <c r="AA1028" s="40"/>
      <c r="AB1028" s="40"/>
      <c r="AC1028" s="40"/>
      <c r="AD1028" s="40"/>
      <c r="AE1028" s="40"/>
      <c r="AF1028" s="40"/>
      <c r="AG1028" s="40"/>
      <c r="AH1028" s="40"/>
      <c r="AI1028" s="40"/>
      <c r="AJ1028" s="40"/>
      <c r="AK1028" s="40"/>
      <c r="AL1028" s="40"/>
      <c r="AM1028" s="40"/>
      <c r="AN1028" s="40"/>
      <c r="AO1028" s="40"/>
      <c r="AP1028" s="40"/>
      <c r="AQ1028" s="40"/>
      <c r="AR1028" s="40"/>
      <c r="AS1028" s="40"/>
      <c r="AT1028" s="40"/>
      <c r="AU1028" s="40" t="str">
        <f ca="1">IFERROR(__xludf.DUMMYFUNCTION("""COMPUTED_VALUE"""),"NO_CUMPLE")</f>
        <v>NO_CUMPLE</v>
      </c>
      <c r="AV1028" s="40" t="str">
        <f ca="1">IFERROR(__xludf.DUMMYFUNCTION("""COMPUTED_VALUE"""),"EN FORMACION")</f>
        <v>EN FORMACION</v>
      </c>
      <c r="AW1028" s="40" t="str">
        <f ca="1">IFERROR(__xludf.DUMMYFUNCTION("""COMPUTED_VALUE"""),"TIC")</f>
        <v>TIC</v>
      </c>
      <c r="AX1028" s="141">
        <f ca="1">IFERROR(__xludf.DUMMYFUNCTION("""COMPUTED_VALUE"""),2)</f>
        <v>2</v>
      </c>
      <c r="AY1028" s="40">
        <f ca="1">IFERROR(__xludf.DUMMYFUNCTION("""COMPUTED_VALUE"""),2)</f>
        <v>2</v>
      </c>
      <c r="AZ1028" s="40">
        <f ca="1">IFERROR(__xludf.DUMMYFUNCTION("""COMPUTED_VALUE"""),1)</f>
        <v>1</v>
      </c>
      <c r="BA1028" s="40">
        <f ca="1">IFERROR(__xludf.DUMMYFUNCTION("""COMPUTED_VALUE"""),4)</f>
        <v>4</v>
      </c>
      <c r="BB1028" s="40">
        <f ca="1">IFERROR(__xludf.DUMMYFUNCTION("""COMPUTED_VALUE"""),4)</f>
        <v>4</v>
      </c>
      <c r="BC1028" s="40">
        <f ca="1">IFERROR(__xludf.DUMMYFUNCTION("""COMPUTED_VALUE"""),11)</f>
        <v>11</v>
      </c>
      <c r="BD1028" s="141">
        <f ca="1">IFERROR(__xludf.DUMMYFUNCTION("""COMPUTED_VALUE"""),44375)</f>
        <v>44375</v>
      </c>
      <c r="BE1028" s="141">
        <f ca="1">IFERROR(__xludf.DUMMYFUNCTION("""COMPUTED_VALUE"""),44922)</f>
        <v>44922</v>
      </c>
      <c r="BF1028" s="141">
        <f ca="1">IFERROR(__xludf.DUMMYFUNCTION("""COMPUTED_VALUE"""),45104)</f>
        <v>45104</v>
      </c>
      <c r="BG1028" s="141">
        <f ca="1">IFERROR(__xludf.DUMMYFUNCTION("""COMPUTED_VALUE"""),45653)</f>
        <v>45653</v>
      </c>
      <c r="BH1028" s="40" t="str">
        <f ca="1">IFERROR(__xludf.DUMMYFUNCTION("""COMPUTED_VALUE"""),"FICHA EN TIEMPO-18 MESES")</f>
        <v>FICHA EN TIEMPO-18 MESES</v>
      </c>
      <c r="BI1028" s="40" t="str">
        <f ca="1">IFERROR(__xludf.DUMMYFUNCTION("""COMPUTED_VALUE"""),"En ejecucion")</f>
        <v>En ejecucion</v>
      </c>
      <c r="BJ1028" s="40" t="str">
        <f ca="1">IFERROR(__xludf.DUMMYFUNCTION("""COMPUTED_VALUE"""),"Yamboro")</f>
        <v>Yamboro</v>
      </c>
      <c r="BK1028" s="40"/>
      <c r="BL1028" s="40"/>
    </row>
    <row r="1029" spans="1:64" ht="13">
      <c r="A1029" s="40"/>
      <c r="B1029" s="40" t="str">
        <f ca="1">IFERROR(__xludf.DUMMYFUNCTION("""COMPUTED_VALUE"""),"FORMACIÓN 18/10/2022")</f>
        <v>FORMACIÓN 18/10/2022</v>
      </c>
      <c r="C1029" s="40" t="str">
        <f ca="1">IFERROR(__xludf.DUMMYFUNCTION("""COMPUTED_VALUE"""),"ANDRES FELIPE DIAZ RINCON")</f>
        <v>ANDRES FELIPE DIAZ RINCON</v>
      </c>
      <c r="D1029" s="40" t="str">
        <f ca="1">IFERROR(__xludf.DUMMYFUNCTION("""COMPUTED_VALUE"""),"CC")</f>
        <v>CC</v>
      </c>
      <c r="E1029" s="40">
        <f ca="1">IFERROR(__xludf.DUMMYFUNCTION("""COMPUTED_VALUE"""),1022969198)</f>
        <v>1022969198</v>
      </c>
      <c r="F1029" s="40">
        <f ca="1">IFERROR(__xludf.DUMMYFUNCTION("""COMPUTED_VALUE"""),2348408)</f>
        <v>2348408</v>
      </c>
      <c r="G1029" s="40" t="str">
        <f ca="1">IFERROR(__xludf.DUMMYFUNCTION("""COMPUTED_VALUE"""),"TECNÓLOGO")</f>
        <v>TECNÓLOGO</v>
      </c>
      <c r="H1029" s="40" t="str">
        <f ca="1">IFERROR(__xludf.DUMMYFUNCTION("""COMPUTED_VALUE"""),"PRODUCCION DE MULTIMEDIA")</f>
        <v>PRODUCCION DE MULTIMEDIA</v>
      </c>
      <c r="I1029" s="40"/>
      <c r="J1029" s="40"/>
      <c r="K1029" s="40"/>
      <c r="L1029" s="40" t="str">
        <f ca="1">IFERROR(__xludf.DUMMYFUNCTION("""COMPUTED_VALUE"""),"NO HA INICIADO ETAPA PRODUCTIVA")</f>
        <v>NO HA INICIADO ETAPA PRODUCTIVA</v>
      </c>
      <c r="M1029" s="40"/>
      <c r="N1029" s="40"/>
      <c r="O1029" s="40"/>
      <c r="P1029" s="40"/>
      <c r="Q1029" s="40"/>
      <c r="R1029" s="140"/>
      <c r="S1029" s="140"/>
      <c r="T1029" s="40" t="str">
        <f ca="1">IFERROR(__xludf.DUMMYFUNCTION("""COMPUTED_VALUE"""),"debe 11 resultados... Revisado 15/11/2022")</f>
        <v>debe 11 resultados... Revisado 15/11/2022</v>
      </c>
      <c r="U1029" s="40"/>
      <c r="V1029" s="40"/>
      <c r="W1029" s="40"/>
      <c r="X1029" s="40"/>
      <c r="Y1029" s="40"/>
      <c r="Z1029" s="40"/>
      <c r="AA1029" s="40"/>
      <c r="AB1029" s="40"/>
      <c r="AC1029" s="40"/>
      <c r="AD1029" s="40"/>
      <c r="AE1029" s="40"/>
      <c r="AF1029" s="40"/>
      <c r="AG1029" s="40"/>
      <c r="AH1029" s="40"/>
      <c r="AI1029" s="40"/>
      <c r="AJ1029" s="40"/>
      <c r="AK1029" s="40"/>
      <c r="AL1029" s="40"/>
      <c r="AM1029" s="40"/>
      <c r="AN1029" s="40"/>
      <c r="AO1029" s="40"/>
      <c r="AP1029" s="40"/>
      <c r="AQ1029" s="40"/>
      <c r="AR1029" s="40"/>
      <c r="AS1029" s="40"/>
      <c r="AT1029" s="40"/>
      <c r="AU1029" s="40" t="str">
        <f ca="1">IFERROR(__xludf.DUMMYFUNCTION("""COMPUTED_VALUE"""),"NO_CUMPLE")</f>
        <v>NO_CUMPLE</v>
      </c>
      <c r="AV1029" s="40" t="str">
        <f ca="1">IFERROR(__xludf.DUMMYFUNCTION("""COMPUTED_VALUE"""),"EN FORMACION")</f>
        <v>EN FORMACION</v>
      </c>
      <c r="AW1029" s="40" t="str">
        <f ca="1">IFERROR(__xludf.DUMMYFUNCTION("""COMPUTED_VALUE"""),"TIC")</f>
        <v>TIC</v>
      </c>
      <c r="AX1029" s="141">
        <f ca="1">IFERROR(__xludf.DUMMYFUNCTION("""COMPUTED_VALUE"""),2)</f>
        <v>2</v>
      </c>
      <c r="AY1029" s="40">
        <f ca="1">IFERROR(__xludf.DUMMYFUNCTION("""COMPUTED_VALUE"""),2)</f>
        <v>2</v>
      </c>
      <c r="AZ1029" s="40">
        <f ca="1">IFERROR(__xludf.DUMMYFUNCTION("""COMPUTED_VALUE"""),1)</f>
        <v>1</v>
      </c>
      <c r="BA1029" s="40">
        <f ca="1">IFERROR(__xludf.DUMMYFUNCTION("""COMPUTED_VALUE"""),7)</f>
        <v>7</v>
      </c>
      <c r="BB1029" s="40">
        <f ca="1">IFERROR(__xludf.DUMMYFUNCTION("""COMPUTED_VALUE"""),4)</f>
        <v>4</v>
      </c>
      <c r="BC1029" s="40">
        <f ca="1">IFERROR(__xludf.DUMMYFUNCTION("""COMPUTED_VALUE"""),14)</f>
        <v>14</v>
      </c>
      <c r="BD1029" s="141">
        <f ca="1">IFERROR(__xludf.DUMMYFUNCTION("""COMPUTED_VALUE"""),44375)</f>
        <v>44375</v>
      </c>
      <c r="BE1029" s="141">
        <f ca="1">IFERROR(__xludf.DUMMYFUNCTION("""COMPUTED_VALUE"""),44922)</f>
        <v>44922</v>
      </c>
      <c r="BF1029" s="141">
        <f ca="1">IFERROR(__xludf.DUMMYFUNCTION("""COMPUTED_VALUE"""),45104)</f>
        <v>45104</v>
      </c>
      <c r="BG1029" s="141">
        <f ca="1">IFERROR(__xludf.DUMMYFUNCTION("""COMPUTED_VALUE"""),45653)</f>
        <v>45653</v>
      </c>
      <c r="BH1029" s="40" t="str">
        <f ca="1">IFERROR(__xludf.DUMMYFUNCTION("""COMPUTED_VALUE"""),"FICHA EN TIEMPO-18 MESES")</f>
        <v>FICHA EN TIEMPO-18 MESES</v>
      </c>
      <c r="BI1029" s="40" t="str">
        <f ca="1">IFERROR(__xludf.DUMMYFUNCTION("""COMPUTED_VALUE"""),"En ejecucion")</f>
        <v>En ejecucion</v>
      </c>
      <c r="BJ1029" s="40" t="str">
        <f ca="1">IFERROR(__xludf.DUMMYFUNCTION("""COMPUTED_VALUE"""),"Yamboro")</f>
        <v>Yamboro</v>
      </c>
      <c r="BK1029" s="40"/>
      <c r="BL1029" s="40"/>
    </row>
    <row r="1030" spans="1:64" ht="13">
      <c r="A1030" s="40"/>
      <c r="B1030" s="40" t="str">
        <f ca="1">IFERROR(__xludf.DUMMYFUNCTION("""COMPUTED_VALUE"""),"FORMACIÓN 18/10/2022")</f>
        <v>FORMACIÓN 18/10/2022</v>
      </c>
      <c r="C1030" s="40" t="str">
        <f ca="1">IFERROR(__xludf.DUMMYFUNCTION("""COMPUTED_VALUE"""),"LILIANA BRAVO CAMACHO")</f>
        <v>LILIANA BRAVO CAMACHO</v>
      </c>
      <c r="D1030" s="40" t="str">
        <f ca="1">IFERROR(__xludf.DUMMYFUNCTION("""COMPUTED_VALUE"""),"CC")</f>
        <v>CC</v>
      </c>
      <c r="E1030" s="40">
        <f ca="1">IFERROR(__xludf.DUMMYFUNCTION("""COMPUTED_VALUE"""),1030602822)</f>
        <v>1030602822</v>
      </c>
      <c r="F1030" s="40">
        <f ca="1">IFERROR(__xludf.DUMMYFUNCTION("""COMPUTED_VALUE"""),2348408)</f>
        <v>2348408</v>
      </c>
      <c r="G1030" s="40" t="str">
        <f ca="1">IFERROR(__xludf.DUMMYFUNCTION("""COMPUTED_VALUE"""),"TECNÓLOGO")</f>
        <v>TECNÓLOGO</v>
      </c>
      <c r="H1030" s="40" t="str">
        <f ca="1">IFERROR(__xludf.DUMMYFUNCTION("""COMPUTED_VALUE"""),"PRODUCCION DE MULTIMEDIA")</f>
        <v>PRODUCCION DE MULTIMEDIA</v>
      </c>
      <c r="I1030" s="40"/>
      <c r="J1030" s="40"/>
      <c r="K1030" s="40"/>
      <c r="L1030" s="40" t="str">
        <f ca="1">IFERROR(__xludf.DUMMYFUNCTION("""COMPUTED_VALUE"""),"NO HA INICIADO ETAPA PRODUCTIVA")</f>
        <v>NO HA INICIADO ETAPA PRODUCTIVA</v>
      </c>
      <c r="M1030" s="40"/>
      <c r="N1030" s="40"/>
      <c r="O1030" s="40"/>
      <c r="P1030" s="40"/>
      <c r="Q1030" s="40"/>
      <c r="R1030" s="140"/>
      <c r="S1030" s="140"/>
      <c r="T1030" s="40" t="str">
        <f ca="1">IFERROR(__xludf.DUMMYFUNCTION("""COMPUTED_VALUE"""),"debe 9 resultados... Revisado 15/11/2022")</f>
        <v>debe 9 resultados... Revisado 15/11/2022</v>
      </c>
      <c r="U1030" s="40"/>
      <c r="V1030" s="40"/>
      <c r="W1030" s="40"/>
      <c r="X1030" s="40"/>
      <c r="Y1030" s="40"/>
      <c r="Z1030" s="40"/>
      <c r="AA1030" s="40"/>
      <c r="AB1030" s="40"/>
      <c r="AC1030" s="40"/>
      <c r="AD1030" s="40"/>
      <c r="AE1030" s="40"/>
      <c r="AF1030" s="40"/>
      <c r="AG1030" s="40"/>
      <c r="AH1030" s="40"/>
      <c r="AI1030" s="40"/>
      <c r="AJ1030" s="40"/>
      <c r="AK1030" s="40"/>
      <c r="AL1030" s="40"/>
      <c r="AM1030" s="40"/>
      <c r="AN1030" s="40"/>
      <c r="AO1030" s="40"/>
      <c r="AP1030" s="40"/>
      <c r="AQ1030" s="40"/>
      <c r="AR1030" s="40"/>
      <c r="AS1030" s="40"/>
      <c r="AT1030" s="40"/>
      <c r="AU1030" s="40" t="str">
        <f ca="1">IFERROR(__xludf.DUMMYFUNCTION("""COMPUTED_VALUE"""),"NO_CUMPLE")</f>
        <v>NO_CUMPLE</v>
      </c>
      <c r="AV1030" s="40" t="str">
        <f ca="1">IFERROR(__xludf.DUMMYFUNCTION("""COMPUTED_VALUE"""),"EN FORMACION")</f>
        <v>EN FORMACION</v>
      </c>
      <c r="AW1030" s="40" t="str">
        <f ca="1">IFERROR(__xludf.DUMMYFUNCTION("""COMPUTED_VALUE"""),"TIC")</f>
        <v>TIC</v>
      </c>
      <c r="AX1030" s="141">
        <f ca="1">IFERROR(__xludf.DUMMYFUNCTION("""COMPUTED_VALUE"""),2)</f>
        <v>2</v>
      </c>
      <c r="AY1030" s="40">
        <f ca="1">IFERROR(__xludf.DUMMYFUNCTION("""COMPUTED_VALUE"""),2)</f>
        <v>2</v>
      </c>
      <c r="AZ1030" s="40">
        <f ca="1">IFERROR(__xludf.DUMMYFUNCTION("""COMPUTED_VALUE"""),1)</f>
        <v>1</v>
      </c>
      <c r="BA1030" s="40">
        <f ca="1">IFERROR(__xludf.DUMMYFUNCTION("""COMPUTED_VALUE"""),3)</f>
        <v>3</v>
      </c>
      <c r="BB1030" s="40">
        <f ca="1">IFERROR(__xludf.DUMMYFUNCTION("""COMPUTED_VALUE"""),5)</f>
        <v>5</v>
      </c>
      <c r="BC1030" s="40">
        <f ca="1">IFERROR(__xludf.DUMMYFUNCTION("""COMPUTED_VALUE"""),11)</f>
        <v>11</v>
      </c>
      <c r="BD1030" s="141">
        <f ca="1">IFERROR(__xludf.DUMMYFUNCTION("""COMPUTED_VALUE"""),44375)</f>
        <v>44375</v>
      </c>
      <c r="BE1030" s="141">
        <f ca="1">IFERROR(__xludf.DUMMYFUNCTION("""COMPUTED_VALUE"""),44922)</f>
        <v>44922</v>
      </c>
      <c r="BF1030" s="141">
        <f ca="1">IFERROR(__xludf.DUMMYFUNCTION("""COMPUTED_VALUE"""),45104)</f>
        <v>45104</v>
      </c>
      <c r="BG1030" s="141">
        <f ca="1">IFERROR(__xludf.DUMMYFUNCTION("""COMPUTED_VALUE"""),45653)</f>
        <v>45653</v>
      </c>
      <c r="BH1030" s="40" t="str">
        <f ca="1">IFERROR(__xludf.DUMMYFUNCTION("""COMPUTED_VALUE"""),"FICHA EN TIEMPO-18 MESES")</f>
        <v>FICHA EN TIEMPO-18 MESES</v>
      </c>
      <c r="BI1030" s="40" t="str">
        <f ca="1">IFERROR(__xludf.DUMMYFUNCTION("""COMPUTED_VALUE"""),"En ejecucion")</f>
        <v>En ejecucion</v>
      </c>
      <c r="BJ1030" s="40" t="str">
        <f ca="1">IFERROR(__xludf.DUMMYFUNCTION("""COMPUTED_VALUE"""),"Yamboro")</f>
        <v>Yamboro</v>
      </c>
      <c r="BK1030" s="40"/>
      <c r="BL1030" s="40"/>
    </row>
    <row r="1031" spans="1:64" ht="13">
      <c r="A1031" s="40"/>
      <c r="B1031" s="40" t="str">
        <f ca="1">IFERROR(__xludf.DUMMYFUNCTION("""COMPUTED_VALUE"""),"FORMACIÓN 18/10/2022")</f>
        <v>FORMACIÓN 18/10/2022</v>
      </c>
      <c r="C1031" s="40" t="str">
        <f ca="1">IFERROR(__xludf.DUMMYFUNCTION("""COMPUTED_VALUE"""),"JUAN FELIPE GOMEZ CARO")</f>
        <v>JUAN FELIPE GOMEZ CARO</v>
      </c>
      <c r="D1031" s="40" t="str">
        <f ca="1">IFERROR(__xludf.DUMMYFUNCTION("""COMPUTED_VALUE"""),"CC")</f>
        <v>CC</v>
      </c>
      <c r="E1031" s="40">
        <f ca="1">IFERROR(__xludf.DUMMYFUNCTION("""COMPUTED_VALUE"""),1031420523)</f>
        <v>1031420523</v>
      </c>
      <c r="F1031" s="40">
        <f ca="1">IFERROR(__xludf.DUMMYFUNCTION("""COMPUTED_VALUE"""),2348408)</f>
        <v>2348408</v>
      </c>
      <c r="G1031" s="40" t="str">
        <f ca="1">IFERROR(__xludf.DUMMYFUNCTION("""COMPUTED_VALUE"""),"TECNÓLOGO")</f>
        <v>TECNÓLOGO</v>
      </c>
      <c r="H1031" s="40" t="str">
        <f ca="1">IFERROR(__xludf.DUMMYFUNCTION("""COMPUTED_VALUE"""),"PRODUCCION DE MULTIMEDIA")</f>
        <v>PRODUCCION DE MULTIMEDIA</v>
      </c>
      <c r="I1031" s="40"/>
      <c r="J1031" s="40"/>
      <c r="K1031" s="40"/>
      <c r="L1031" s="40" t="str">
        <f ca="1">IFERROR(__xludf.DUMMYFUNCTION("""COMPUTED_VALUE"""),"NO HA INICIADO ETAPA PRODUCTIVA")</f>
        <v>NO HA INICIADO ETAPA PRODUCTIVA</v>
      </c>
      <c r="M1031" s="40"/>
      <c r="N1031" s="40"/>
      <c r="O1031" s="40"/>
      <c r="P1031" s="40"/>
      <c r="Q1031" s="40"/>
      <c r="R1031" s="140"/>
      <c r="S1031" s="140"/>
      <c r="T1031" s="40" t="str">
        <f ca="1">IFERROR(__xludf.DUMMYFUNCTION("""COMPUTED_VALUE"""),"debe 13 resultados... Revisado 15/11/2022")</f>
        <v>debe 13 resultados... Revisado 15/11/2022</v>
      </c>
      <c r="U1031" s="40"/>
      <c r="V1031" s="40"/>
      <c r="W1031" s="40"/>
      <c r="X1031" s="40"/>
      <c r="Y1031" s="40"/>
      <c r="Z1031" s="40"/>
      <c r="AA1031" s="40"/>
      <c r="AB1031" s="40"/>
      <c r="AC1031" s="40"/>
      <c r="AD1031" s="40"/>
      <c r="AE1031" s="40"/>
      <c r="AF1031" s="40"/>
      <c r="AG1031" s="40"/>
      <c r="AH1031" s="40"/>
      <c r="AI1031" s="40"/>
      <c r="AJ1031" s="40"/>
      <c r="AK1031" s="40"/>
      <c r="AL1031" s="40"/>
      <c r="AM1031" s="40"/>
      <c r="AN1031" s="40"/>
      <c r="AO1031" s="40"/>
      <c r="AP1031" s="40"/>
      <c r="AQ1031" s="40"/>
      <c r="AR1031" s="40"/>
      <c r="AS1031" s="40"/>
      <c r="AT1031" s="40"/>
      <c r="AU1031" s="40" t="str">
        <f ca="1">IFERROR(__xludf.DUMMYFUNCTION("""COMPUTED_VALUE"""),"NO_CUMPLE")</f>
        <v>NO_CUMPLE</v>
      </c>
      <c r="AV1031" s="40" t="str">
        <f ca="1">IFERROR(__xludf.DUMMYFUNCTION("""COMPUTED_VALUE"""),"EN FORMACION")</f>
        <v>EN FORMACION</v>
      </c>
      <c r="AW1031" s="40" t="str">
        <f ca="1">IFERROR(__xludf.DUMMYFUNCTION("""COMPUTED_VALUE"""),"TIC")</f>
        <v>TIC</v>
      </c>
      <c r="AX1031" s="141">
        <f ca="1">IFERROR(__xludf.DUMMYFUNCTION("""COMPUTED_VALUE"""),3)</f>
        <v>3</v>
      </c>
      <c r="AY1031" s="40">
        <f ca="1">IFERROR(__xludf.DUMMYFUNCTION("""COMPUTED_VALUE"""),3)</f>
        <v>3</v>
      </c>
      <c r="AZ1031" s="40">
        <f ca="1">IFERROR(__xludf.DUMMYFUNCTION("""COMPUTED_VALUE"""),1)</f>
        <v>1</v>
      </c>
      <c r="BA1031" s="40">
        <f ca="1">IFERROR(__xludf.DUMMYFUNCTION("""COMPUTED_VALUE"""),8)</f>
        <v>8</v>
      </c>
      <c r="BB1031" s="40">
        <f ca="1">IFERROR(__xludf.DUMMYFUNCTION("""COMPUTED_VALUE"""),5)</f>
        <v>5</v>
      </c>
      <c r="BC1031" s="40">
        <f ca="1">IFERROR(__xludf.DUMMYFUNCTION("""COMPUTED_VALUE"""),17)</f>
        <v>17</v>
      </c>
      <c r="BD1031" s="141">
        <f ca="1">IFERROR(__xludf.DUMMYFUNCTION("""COMPUTED_VALUE"""),44375)</f>
        <v>44375</v>
      </c>
      <c r="BE1031" s="141">
        <f ca="1">IFERROR(__xludf.DUMMYFUNCTION("""COMPUTED_VALUE"""),44922)</f>
        <v>44922</v>
      </c>
      <c r="BF1031" s="141">
        <f ca="1">IFERROR(__xludf.DUMMYFUNCTION("""COMPUTED_VALUE"""),45104)</f>
        <v>45104</v>
      </c>
      <c r="BG1031" s="141">
        <f ca="1">IFERROR(__xludf.DUMMYFUNCTION("""COMPUTED_VALUE"""),45653)</f>
        <v>45653</v>
      </c>
      <c r="BH1031" s="40" t="str">
        <f ca="1">IFERROR(__xludf.DUMMYFUNCTION("""COMPUTED_VALUE"""),"FICHA EN TIEMPO-18 MESES")</f>
        <v>FICHA EN TIEMPO-18 MESES</v>
      </c>
      <c r="BI1031" s="40" t="str">
        <f ca="1">IFERROR(__xludf.DUMMYFUNCTION("""COMPUTED_VALUE"""),"En ejecucion")</f>
        <v>En ejecucion</v>
      </c>
      <c r="BJ1031" s="40" t="str">
        <f ca="1">IFERROR(__xludf.DUMMYFUNCTION("""COMPUTED_VALUE"""),"Yamboro")</f>
        <v>Yamboro</v>
      </c>
      <c r="BK1031" s="40"/>
      <c r="BL1031" s="40"/>
    </row>
    <row r="1032" spans="1:64" ht="13">
      <c r="A1032" s="40"/>
      <c r="B1032" s="40" t="str">
        <f ca="1">IFERROR(__xludf.DUMMYFUNCTION("""COMPUTED_VALUE"""),"FORMACIÓN 18/10/2022")</f>
        <v>FORMACIÓN 18/10/2022</v>
      </c>
      <c r="C1032" s="40" t="str">
        <f ca="1">IFERROR(__xludf.DUMMYFUNCTION("""COMPUTED_VALUE"""),"DIEGO ADOLFO LEON GOMEZ")</f>
        <v>DIEGO ADOLFO LEON GOMEZ</v>
      </c>
      <c r="D1032" s="40" t="str">
        <f ca="1">IFERROR(__xludf.DUMMYFUNCTION("""COMPUTED_VALUE"""),"CC")</f>
        <v>CC</v>
      </c>
      <c r="E1032" s="40">
        <f ca="1">IFERROR(__xludf.DUMMYFUNCTION("""COMPUTED_VALUE"""),1032372604)</f>
        <v>1032372604</v>
      </c>
      <c r="F1032" s="40">
        <f ca="1">IFERROR(__xludf.DUMMYFUNCTION("""COMPUTED_VALUE"""),2348408)</f>
        <v>2348408</v>
      </c>
      <c r="G1032" s="40" t="str">
        <f ca="1">IFERROR(__xludf.DUMMYFUNCTION("""COMPUTED_VALUE"""),"TECNÓLOGO")</f>
        <v>TECNÓLOGO</v>
      </c>
      <c r="H1032" s="40" t="str">
        <f ca="1">IFERROR(__xludf.DUMMYFUNCTION("""COMPUTED_VALUE"""),"PRODUCCION DE MULTIMEDIA")</f>
        <v>PRODUCCION DE MULTIMEDIA</v>
      </c>
      <c r="I1032" s="40"/>
      <c r="J1032" s="40"/>
      <c r="K1032" s="40"/>
      <c r="L1032" s="40" t="str">
        <f ca="1">IFERROR(__xludf.DUMMYFUNCTION("""COMPUTED_VALUE"""),"NO HA INICIADO ETAPA PRODUCTIVA")</f>
        <v>NO HA INICIADO ETAPA PRODUCTIVA</v>
      </c>
      <c r="M1032" s="40"/>
      <c r="N1032" s="40"/>
      <c r="O1032" s="40"/>
      <c r="P1032" s="40"/>
      <c r="Q1032" s="40"/>
      <c r="R1032" s="140"/>
      <c r="S1032" s="140"/>
      <c r="T1032" s="40" t="str">
        <f ca="1">IFERROR(__xludf.DUMMYFUNCTION("""COMPUTED_VALUE"""),"debe 50 resultados... Revisado 15/11/2022")</f>
        <v>debe 50 resultados... Revisado 15/11/2022</v>
      </c>
      <c r="U1032" s="40"/>
      <c r="V1032" s="40"/>
      <c r="W1032" s="40"/>
      <c r="X1032" s="40"/>
      <c r="Y1032" s="40"/>
      <c r="Z1032" s="40"/>
      <c r="AA1032" s="40"/>
      <c r="AB1032" s="40"/>
      <c r="AC1032" s="40"/>
      <c r="AD1032" s="40"/>
      <c r="AE1032" s="40"/>
      <c r="AF1032" s="40"/>
      <c r="AG1032" s="40"/>
      <c r="AH1032" s="40"/>
      <c r="AI1032" s="40"/>
      <c r="AJ1032" s="40"/>
      <c r="AK1032" s="40"/>
      <c r="AL1032" s="40"/>
      <c r="AM1032" s="40"/>
      <c r="AN1032" s="40"/>
      <c r="AO1032" s="40"/>
      <c r="AP1032" s="40"/>
      <c r="AQ1032" s="40"/>
      <c r="AR1032" s="40"/>
      <c r="AS1032" s="40"/>
      <c r="AT1032" s="40"/>
      <c r="AU1032" s="40" t="str">
        <f ca="1">IFERROR(__xludf.DUMMYFUNCTION("""COMPUTED_VALUE"""),"NO_CUMPLE")</f>
        <v>NO_CUMPLE</v>
      </c>
      <c r="AV1032" s="40" t="str">
        <f ca="1">IFERROR(__xludf.DUMMYFUNCTION("""COMPUTED_VALUE"""),"EN FORMACION")</f>
        <v>EN FORMACION</v>
      </c>
      <c r="AW1032" s="40" t="str">
        <f ca="1">IFERROR(__xludf.DUMMYFUNCTION("""COMPUTED_VALUE"""),"TIC")</f>
        <v>TIC</v>
      </c>
      <c r="AX1032" s="141">
        <f ca="1">IFERROR(__xludf.DUMMYFUNCTION("""COMPUTED_VALUE"""),8)</f>
        <v>8</v>
      </c>
      <c r="AY1032" s="40">
        <f ca="1">IFERROR(__xludf.DUMMYFUNCTION("""COMPUTED_VALUE"""),8)</f>
        <v>8</v>
      </c>
      <c r="AZ1032" s="40">
        <f ca="1">IFERROR(__xludf.DUMMYFUNCTION("""COMPUTED_VALUE"""),1)</f>
        <v>1</v>
      </c>
      <c r="BA1032" s="40">
        <f ca="1">IFERROR(__xludf.DUMMYFUNCTION("""COMPUTED_VALUE"""),15)</f>
        <v>15</v>
      </c>
      <c r="BB1032" s="40">
        <f ca="1">IFERROR(__xludf.DUMMYFUNCTION("""COMPUTED_VALUE"""),27)</f>
        <v>27</v>
      </c>
      <c r="BC1032" s="40">
        <f ca="1">IFERROR(__xludf.DUMMYFUNCTION("""COMPUTED_VALUE"""),51)</f>
        <v>51</v>
      </c>
      <c r="BD1032" s="141">
        <f ca="1">IFERROR(__xludf.DUMMYFUNCTION("""COMPUTED_VALUE"""),44375)</f>
        <v>44375</v>
      </c>
      <c r="BE1032" s="141">
        <f ca="1">IFERROR(__xludf.DUMMYFUNCTION("""COMPUTED_VALUE"""),44922)</f>
        <v>44922</v>
      </c>
      <c r="BF1032" s="141">
        <f ca="1">IFERROR(__xludf.DUMMYFUNCTION("""COMPUTED_VALUE"""),45104)</f>
        <v>45104</v>
      </c>
      <c r="BG1032" s="141">
        <f ca="1">IFERROR(__xludf.DUMMYFUNCTION("""COMPUTED_VALUE"""),45653)</f>
        <v>45653</v>
      </c>
      <c r="BH1032" s="40" t="str">
        <f ca="1">IFERROR(__xludf.DUMMYFUNCTION("""COMPUTED_VALUE"""),"FICHA EN TIEMPO-18 MESES")</f>
        <v>FICHA EN TIEMPO-18 MESES</v>
      </c>
      <c r="BI1032" s="40" t="str">
        <f ca="1">IFERROR(__xludf.DUMMYFUNCTION("""COMPUTED_VALUE"""),"En ejecucion")</f>
        <v>En ejecucion</v>
      </c>
      <c r="BJ1032" s="40" t="str">
        <f ca="1">IFERROR(__xludf.DUMMYFUNCTION("""COMPUTED_VALUE"""),"Yamboro")</f>
        <v>Yamboro</v>
      </c>
      <c r="BK1032" s="40"/>
      <c r="BL1032" s="40"/>
    </row>
    <row r="1033" spans="1:64" ht="13">
      <c r="A1033" s="40"/>
      <c r="B1033" s="40" t="str">
        <f ca="1">IFERROR(__xludf.DUMMYFUNCTION("""COMPUTED_VALUE"""),"FORMACIÓN 18/10/2022")</f>
        <v>FORMACIÓN 18/10/2022</v>
      </c>
      <c r="C1033" s="40" t="str">
        <f ca="1">IFERROR(__xludf.DUMMYFUNCTION("""COMPUTED_VALUE"""),"ANDERSON CUBIDES RAMIREZ")</f>
        <v>ANDERSON CUBIDES RAMIREZ</v>
      </c>
      <c r="D1033" s="40" t="str">
        <f ca="1">IFERROR(__xludf.DUMMYFUNCTION("""COMPUTED_VALUE"""),"CC")</f>
        <v>CC</v>
      </c>
      <c r="E1033" s="40">
        <f ca="1">IFERROR(__xludf.DUMMYFUNCTION("""COMPUTED_VALUE"""),1033734085)</f>
        <v>1033734085</v>
      </c>
      <c r="F1033" s="40">
        <f ca="1">IFERROR(__xludf.DUMMYFUNCTION("""COMPUTED_VALUE"""),2348408)</f>
        <v>2348408</v>
      </c>
      <c r="G1033" s="40" t="str">
        <f ca="1">IFERROR(__xludf.DUMMYFUNCTION("""COMPUTED_VALUE"""),"TECNÓLOGO")</f>
        <v>TECNÓLOGO</v>
      </c>
      <c r="H1033" s="40" t="str">
        <f ca="1">IFERROR(__xludf.DUMMYFUNCTION("""COMPUTED_VALUE"""),"PRODUCCION DE MULTIMEDIA")</f>
        <v>PRODUCCION DE MULTIMEDIA</v>
      </c>
      <c r="I1033" s="40"/>
      <c r="J1033" s="40"/>
      <c r="K1033" s="40"/>
      <c r="L1033" s="40" t="str">
        <f ca="1">IFERROR(__xludf.DUMMYFUNCTION("""COMPUTED_VALUE"""),"NO HA INICIADO ETAPA PRODUCTIVA")</f>
        <v>NO HA INICIADO ETAPA PRODUCTIVA</v>
      </c>
      <c r="M1033" s="40"/>
      <c r="N1033" s="40"/>
      <c r="O1033" s="40"/>
      <c r="P1033" s="40"/>
      <c r="Q1033" s="40"/>
      <c r="R1033" s="140"/>
      <c r="S1033" s="140"/>
      <c r="T1033" s="40" t="str">
        <f ca="1">IFERROR(__xludf.DUMMYFUNCTION("""COMPUTED_VALUE"""),"debe 18 resultados... Revisado 15/11/2022")</f>
        <v>debe 18 resultados... Revisado 15/11/2022</v>
      </c>
      <c r="U1033" s="40"/>
      <c r="V1033" s="40"/>
      <c r="W1033" s="40"/>
      <c r="X1033" s="40"/>
      <c r="Y1033" s="40"/>
      <c r="Z1033" s="40"/>
      <c r="AA1033" s="40"/>
      <c r="AB1033" s="40"/>
      <c r="AC1033" s="40"/>
      <c r="AD1033" s="40"/>
      <c r="AE1033" s="40"/>
      <c r="AF1033" s="40"/>
      <c r="AG1033" s="40"/>
      <c r="AH1033" s="40"/>
      <c r="AI1033" s="40"/>
      <c r="AJ1033" s="40"/>
      <c r="AK1033" s="40"/>
      <c r="AL1033" s="40"/>
      <c r="AM1033" s="40"/>
      <c r="AN1033" s="40"/>
      <c r="AO1033" s="40"/>
      <c r="AP1033" s="40"/>
      <c r="AQ1033" s="40"/>
      <c r="AR1033" s="40"/>
      <c r="AS1033" s="40"/>
      <c r="AT1033" s="40"/>
      <c r="AU1033" s="40" t="str">
        <f ca="1">IFERROR(__xludf.DUMMYFUNCTION("""COMPUTED_VALUE"""),"NO_CUMPLE")</f>
        <v>NO_CUMPLE</v>
      </c>
      <c r="AV1033" s="40" t="str">
        <f ca="1">IFERROR(__xludf.DUMMYFUNCTION("""COMPUTED_VALUE"""),"EN FORMACION")</f>
        <v>EN FORMACION</v>
      </c>
      <c r="AW1033" s="40" t="str">
        <f ca="1">IFERROR(__xludf.DUMMYFUNCTION("""COMPUTED_VALUE"""),"TIC")</f>
        <v>TIC</v>
      </c>
      <c r="AX1033" s="141">
        <f ca="1">IFERROR(__xludf.DUMMYFUNCTION("""COMPUTED_VALUE"""),3)</f>
        <v>3</v>
      </c>
      <c r="AY1033" s="40">
        <f ca="1">IFERROR(__xludf.DUMMYFUNCTION("""COMPUTED_VALUE"""),3)</f>
        <v>3</v>
      </c>
      <c r="AZ1033" s="40">
        <f ca="1">IFERROR(__xludf.DUMMYFUNCTION("""COMPUTED_VALUE"""),1)</f>
        <v>1</v>
      </c>
      <c r="BA1033" s="40">
        <f ca="1">IFERROR(__xludf.DUMMYFUNCTION("""COMPUTED_VALUE"""),11)</f>
        <v>11</v>
      </c>
      <c r="BB1033" s="40">
        <f ca="1">IFERROR(__xludf.DUMMYFUNCTION("""COMPUTED_VALUE"""),5)</f>
        <v>5</v>
      </c>
      <c r="BC1033" s="40">
        <f ca="1">IFERROR(__xludf.DUMMYFUNCTION("""COMPUTED_VALUE"""),20)</f>
        <v>20</v>
      </c>
      <c r="BD1033" s="141">
        <f ca="1">IFERROR(__xludf.DUMMYFUNCTION("""COMPUTED_VALUE"""),44375)</f>
        <v>44375</v>
      </c>
      <c r="BE1033" s="141">
        <f ca="1">IFERROR(__xludf.DUMMYFUNCTION("""COMPUTED_VALUE"""),44922)</f>
        <v>44922</v>
      </c>
      <c r="BF1033" s="141">
        <f ca="1">IFERROR(__xludf.DUMMYFUNCTION("""COMPUTED_VALUE"""),45104)</f>
        <v>45104</v>
      </c>
      <c r="BG1033" s="141">
        <f ca="1">IFERROR(__xludf.DUMMYFUNCTION("""COMPUTED_VALUE"""),45653)</f>
        <v>45653</v>
      </c>
      <c r="BH1033" s="40" t="str">
        <f ca="1">IFERROR(__xludf.DUMMYFUNCTION("""COMPUTED_VALUE"""),"FICHA EN TIEMPO-18 MESES")</f>
        <v>FICHA EN TIEMPO-18 MESES</v>
      </c>
      <c r="BI1033" s="40" t="str">
        <f ca="1">IFERROR(__xludf.DUMMYFUNCTION("""COMPUTED_VALUE"""),"En ejecucion")</f>
        <v>En ejecucion</v>
      </c>
      <c r="BJ1033" s="40" t="str">
        <f ca="1">IFERROR(__xludf.DUMMYFUNCTION("""COMPUTED_VALUE"""),"Yamboro")</f>
        <v>Yamboro</v>
      </c>
      <c r="BK1033" s="40"/>
      <c r="BL1033" s="40"/>
    </row>
    <row r="1034" spans="1:64" ht="13">
      <c r="A1034" s="40"/>
      <c r="B1034" s="40" t="str">
        <f ca="1">IFERROR(__xludf.DUMMYFUNCTION("""COMPUTED_VALUE"""),"FORMACIÓN 18/10/2022")</f>
        <v>FORMACIÓN 18/10/2022</v>
      </c>
      <c r="C1034" s="40" t="str">
        <f ca="1">IFERROR(__xludf.DUMMYFUNCTION("""COMPUTED_VALUE"""),"GEORGE MICHAEL DONOSO QUIROGA")</f>
        <v>GEORGE MICHAEL DONOSO QUIROGA</v>
      </c>
      <c r="D1034" s="40" t="str">
        <f ca="1">IFERROR(__xludf.DUMMYFUNCTION("""COMPUTED_VALUE"""),"DNI")</f>
        <v>DNI</v>
      </c>
      <c r="E1034" s="40">
        <f ca="1">IFERROR(__xludf.DUMMYFUNCTION("""COMPUTED_VALUE"""),1034776417)</f>
        <v>1034776417</v>
      </c>
      <c r="F1034" s="40">
        <f ca="1">IFERROR(__xludf.DUMMYFUNCTION("""COMPUTED_VALUE"""),2348408)</f>
        <v>2348408</v>
      </c>
      <c r="G1034" s="40" t="str">
        <f ca="1">IFERROR(__xludf.DUMMYFUNCTION("""COMPUTED_VALUE"""),"TECNÓLOGO")</f>
        <v>TECNÓLOGO</v>
      </c>
      <c r="H1034" s="40" t="str">
        <f ca="1">IFERROR(__xludf.DUMMYFUNCTION("""COMPUTED_VALUE"""),"PRODUCCION DE MULTIMEDIA")</f>
        <v>PRODUCCION DE MULTIMEDIA</v>
      </c>
      <c r="I1034" s="40"/>
      <c r="J1034" s="40"/>
      <c r="K1034" s="40"/>
      <c r="L1034" s="40" t="str">
        <f ca="1">IFERROR(__xludf.DUMMYFUNCTION("""COMPUTED_VALUE"""),"NO HA INICIADO ETAPA PRODUCTIVA")</f>
        <v>NO HA INICIADO ETAPA PRODUCTIVA</v>
      </c>
      <c r="M1034" s="40"/>
      <c r="N1034" s="40"/>
      <c r="O1034" s="40"/>
      <c r="P1034" s="40"/>
      <c r="Q1034" s="40"/>
      <c r="R1034" s="140"/>
      <c r="S1034" s="140"/>
      <c r="T1034" s="40" t="str">
        <f ca="1">IFERROR(__xludf.DUMMYFUNCTION("""COMPUTED_VALUE"""),"debe 38 resultados... Revisado 15/11/2022")</f>
        <v>debe 38 resultados... Revisado 15/11/2022</v>
      </c>
      <c r="U1034" s="40"/>
      <c r="V1034" s="40"/>
      <c r="W1034" s="40"/>
      <c r="X1034" s="40"/>
      <c r="Y1034" s="40"/>
      <c r="Z1034" s="40"/>
      <c r="AA1034" s="40"/>
      <c r="AB1034" s="40"/>
      <c r="AC1034" s="40"/>
      <c r="AD1034" s="40"/>
      <c r="AE1034" s="40"/>
      <c r="AF1034" s="40"/>
      <c r="AG1034" s="40"/>
      <c r="AH1034" s="40"/>
      <c r="AI1034" s="40"/>
      <c r="AJ1034" s="40"/>
      <c r="AK1034" s="40"/>
      <c r="AL1034" s="40"/>
      <c r="AM1034" s="40"/>
      <c r="AN1034" s="40"/>
      <c r="AO1034" s="40"/>
      <c r="AP1034" s="40"/>
      <c r="AQ1034" s="40"/>
      <c r="AR1034" s="40"/>
      <c r="AS1034" s="40"/>
      <c r="AT1034" s="40"/>
      <c r="AU1034" s="40" t="str">
        <f ca="1">IFERROR(__xludf.DUMMYFUNCTION("""COMPUTED_VALUE"""),"NO_CUMPLE")</f>
        <v>NO_CUMPLE</v>
      </c>
      <c r="AV1034" s="40" t="str">
        <f ca="1">IFERROR(__xludf.DUMMYFUNCTION("""COMPUTED_VALUE"""),"EN FORMACION")</f>
        <v>EN FORMACION</v>
      </c>
      <c r="AW1034" s="40" t="str">
        <f ca="1">IFERROR(__xludf.DUMMYFUNCTION("""COMPUTED_VALUE"""),"TIC")</f>
        <v>TIC</v>
      </c>
      <c r="AX1034" s="141">
        <f ca="1">IFERROR(__xludf.DUMMYFUNCTION("""COMPUTED_VALUE"""),8)</f>
        <v>8</v>
      </c>
      <c r="AY1034" s="40">
        <f ca="1">IFERROR(__xludf.DUMMYFUNCTION("""COMPUTED_VALUE"""),8)</f>
        <v>8</v>
      </c>
      <c r="AZ1034" s="40">
        <f ca="1">IFERROR(__xludf.DUMMYFUNCTION("""COMPUTED_VALUE"""),1)</f>
        <v>1</v>
      </c>
      <c r="BA1034" s="40">
        <f ca="1">IFERROR(__xludf.DUMMYFUNCTION("""COMPUTED_VALUE"""),13)</f>
        <v>13</v>
      </c>
      <c r="BB1034" s="40">
        <f ca="1">IFERROR(__xludf.DUMMYFUNCTION("""COMPUTED_VALUE"""),17)</f>
        <v>17</v>
      </c>
      <c r="BC1034" s="40">
        <f ca="1">IFERROR(__xludf.DUMMYFUNCTION("""COMPUTED_VALUE"""),39)</f>
        <v>39</v>
      </c>
      <c r="BD1034" s="141">
        <f ca="1">IFERROR(__xludf.DUMMYFUNCTION("""COMPUTED_VALUE"""),44375)</f>
        <v>44375</v>
      </c>
      <c r="BE1034" s="141">
        <f ca="1">IFERROR(__xludf.DUMMYFUNCTION("""COMPUTED_VALUE"""),44922)</f>
        <v>44922</v>
      </c>
      <c r="BF1034" s="141">
        <f ca="1">IFERROR(__xludf.DUMMYFUNCTION("""COMPUTED_VALUE"""),45104)</f>
        <v>45104</v>
      </c>
      <c r="BG1034" s="141">
        <f ca="1">IFERROR(__xludf.DUMMYFUNCTION("""COMPUTED_VALUE"""),45653)</f>
        <v>45653</v>
      </c>
      <c r="BH1034" s="40" t="str">
        <f ca="1">IFERROR(__xludf.DUMMYFUNCTION("""COMPUTED_VALUE"""),"FICHA EN TIEMPO-18 MESES")</f>
        <v>FICHA EN TIEMPO-18 MESES</v>
      </c>
      <c r="BI1034" s="40" t="str">
        <f ca="1">IFERROR(__xludf.DUMMYFUNCTION("""COMPUTED_VALUE"""),"En ejecucion")</f>
        <v>En ejecucion</v>
      </c>
      <c r="BJ1034" s="40" t="str">
        <f ca="1">IFERROR(__xludf.DUMMYFUNCTION("""COMPUTED_VALUE"""),"Yamboro")</f>
        <v>Yamboro</v>
      </c>
      <c r="BK1034" s="40"/>
      <c r="BL1034" s="40"/>
    </row>
    <row r="1035" spans="1:64" ht="13">
      <c r="A1035" s="40"/>
      <c r="B1035" s="40" t="str">
        <f ca="1">IFERROR(__xludf.DUMMYFUNCTION("""COMPUTED_VALUE"""),"FORMACIÓN 18/10/2022")</f>
        <v>FORMACIÓN 18/10/2022</v>
      </c>
      <c r="C1035" s="40" t="str">
        <f ca="1">IFERROR(__xludf.DUMMYFUNCTION("""COMPUTED_VALUE"""),"BLANCA LIGIA OSPINA FLOREZ")</f>
        <v>BLANCA LIGIA OSPINA FLOREZ</v>
      </c>
      <c r="D1035" s="40" t="str">
        <f ca="1">IFERROR(__xludf.DUMMYFUNCTION("""COMPUTED_VALUE"""),"CC")</f>
        <v>CC</v>
      </c>
      <c r="E1035" s="40">
        <f ca="1">IFERROR(__xludf.DUMMYFUNCTION("""COMPUTED_VALUE"""),1042765552)</f>
        <v>1042765552</v>
      </c>
      <c r="F1035" s="40">
        <f ca="1">IFERROR(__xludf.DUMMYFUNCTION("""COMPUTED_VALUE"""),2348408)</f>
        <v>2348408</v>
      </c>
      <c r="G1035" s="40" t="str">
        <f ca="1">IFERROR(__xludf.DUMMYFUNCTION("""COMPUTED_VALUE"""),"TECNÓLOGO")</f>
        <v>TECNÓLOGO</v>
      </c>
      <c r="H1035" s="40" t="str">
        <f ca="1">IFERROR(__xludf.DUMMYFUNCTION("""COMPUTED_VALUE"""),"PRODUCCION DE MULTIMEDIA")</f>
        <v>PRODUCCION DE MULTIMEDIA</v>
      </c>
      <c r="I1035" s="40"/>
      <c r="J1035" s="40"/>
      <c r="K1035" s="40"/>
      <c r="L1035" s="40" t="str">
        <f ca="1">IFERROR(__xludf.DUMMYFUNCTION("""COMPUTED_VALUE"""),"NO HA INICIADO ETAPA PRODUCTIVA")</f>
        <v>NO HA INICIADO ETAPA PRODUCTIVA</v>
      </c>
      <c r="M1035" s="40"/>
      <c r="N1035" s="40"/>
      <c r="O1035" s="40"/>
      <c r="P1035" s="40"/>
      <c r="Q1035" s="40"/>
      <c r="R1035" s="140"/>
      <c r="S1035" s="140"/>
      <c r="T1035" s="40" t="str">
        <f ca="1">IFERROR(__xludf.DUMMYFUNCTION("""COMPUTED_VALUE"""),"debe 11 resultados... Revisado 15/11/2022")</f>
        <v>debe 11 resultados... Revisado 15/11/2022</v>
      </c>
      <c r="U1035" s="40"/>
      <c r="V1035" s="40"/>
      <c r="W1035" s="40"/>
      <c r="X1035" s="40"/>
      <c r="Y1035" s="40"/>
      <c r="Z1035" s="40"/>
      <c r="AA1035" s="40"/>
      <c r="AB1035" s="40"/>
      <c r="AC1035" s="40"/>
      <c r="AD1035" s="40"/>
      <c r="AE1035" s="40"/>
      <c r="AF1035" s="40"/>
      <c r="AG1035" s="40"/>
      <c r="AH1035" s="40"/>
      <c r="AI1035" s="40"/>
      <c r="AJ1035" s="40"/>
      <c r="AK1035" s="40"/>
      <c r="AL1035" s="40"/>
      <c r="AM1035" s="40"/>
      <c r="AN1035" s="40"/>
      <c r="AO1035" s="40"/>
      <c r="AP1035" s="40"/>
      <c r="AQ1035" s="40"/>
      <c r="AR1035" s="40"/>
      <c r="AS1035" s="40"/>
      <c r="AT1035" s="40"/>
      <c r="AU1035" s="40" t="str">
        <f ca="1">IFERROR(__xludf.DUMMYFUNCTION("""COMPUTED_VALUE"""),"NO_CUMPLE")</f>
        <v>NO_CUMPLE</v>
      </c>
      <c r="AV1035" s="40" t="str">
        <f ca="1">IFERROR(__xludf.DUMMYFUNCTION("""COMPUTED_VALUE"""),"EN FORMACION")</f>
        <v>EN FORMACION</v>
      </c>
      <c r="AW1035" s="40" t="str">
        <f ca="1">IFERROR(__xludf.DUMMYFUNCTION("""COMPUTED_VALUE"""),"TIC")</f>
        <v>TIC</v>
      </c>
      <c r="AX1035" s="141">
        <f ca="1">IFERROR(__xludf.DUMMYFUNCTION("""COMPUTED_VALUE"""),3)</f>
        <v>3</v>
      </c>
      <c r="AY1035" s="40">
        <f ca="1">IFERROR(__xludf.DUMMYFUNCTION("""COMPUTED_VALUE"""),3)</f>
        <v>3</v>
      </c>
      <c r="AZ1035" s="40">
        <f ca="1">IFERROR(__xludf.DUMMYFUNCTION("""COMPUTED_VALUE"""),1)</f>
        <v>1</v>
      </c>
      <c r="BA1035" s="40">
        <f ca="1">IFERROR(__xludf.DUMMYFUNCTION("""COMPUTED_VALUE"""),4)</f>
        <v>4</v>
      </c>
      <c r="BB1035" s="40">
        <f ca="1">IFERROR(__xludf.DUMMYFUNCTION("""COMPUTED_VALUE"""),5)</f>
        <v>5</v>
      </c>
      <c r="BC1035" s="40">
        <f ca="1">IFERROR(__xludf.DUMMYFUNCTION("""COMPUTED_VALUE"""),13)</f>
        <v>13</v>
      </c>
      <c r="BD1035" s="141">
        <f ca="1">IFERROR(__xludf.DUMMYFUNCTION("""COMPUTED_VALUE"""),44375)</f>
        <v>44375</v>
      </c>
      <c r="BE1035" s="141">
        <f ca="1">IFERROR(__xludf.DUMMYFUNCTION("""COMPUTED_VALUE"""),44922)</f>
        <v>44922</v>
      </c>
      <c r="BF1035" s="141">
        <f ca="1">IFERROR(__xludf.DUMMYFUNCTION("""COMPUTED_VALUE"""),45104)</f>
        <v>45104</v>
      </c>
      <c r="BG1035" s="141">
        <f ca="1">IFERROR(__xludf.DUMMYFUNCTION("""COMPUTED_VALUE"""),45653)</f>
        <v>45653</v>
      </c>
      <c r="BH1035" s="40" t="str">
        <f ca="1">IFERROR(__xludf.DUMMYFUNCTION("""COMPUTED_VALUE"""),"FICHA EN TIEMPO-18 MESES")</f>
        <v>FICHA EN TIEMPO-18 MESES</v>
      </c>
      <c r="BI1035" s="40" t="str">
        <f ca="1">IFERROR(__xludf.DUMMYFUNCTION("""COMPUTED_VALUE"""),"En ejecucion")</f>
        <v>En ejecucion</v>
      </c>
      <c r="BJ1035" s="40" t="str">
        <f ca="1">IFERROR(__xludf.DUMMYFUNCTION("""COMPUTED_VALUE"""),"Yamboro")</f>
        <v>Yamboro</v>
      </c>
      <c r="BK1035" s="40"/>
      <c r="BL1035" s="40"/>
    </row>
    <row r="1036" spans="1:64" ht="13">
      <c r="A1036" s="40"/>
      <c r="B1036" s="40" t="str">
        <f ca="1">IFERROR(__xludf.DUMMYFUNCTION("""COMPUTED_VALUE"""),"FORMACIÓN 18/10/2022")</f>
        <v>FORMACIÓN 18/10/2022</v>
      </c>
      <c r="C1036" s="40" t="str">
        <f ca="1">IFERROR(__xludf.DUMMYFUNCTION("""COMPUTED_VALUE"""),"MIGUEL ANGEL YALANDA CALAMBAS")</f>
        <v>MIGUEL ANGEL YALANDA CALAMBAS</v>
      </c>
      <c r="D1036" s="40" t="str">
        <f ca="1">IFERROR(__xludf.DUMMYFUNCTION("""COMPUTED_VALUE"""),"CC")</f>
        <v>CC</v>
      </c>
      <c r="E1036" s="40">
        <f ca="1">IFERROR(__xludf.DUMMYFUNCTION("""COMPUTED_VALUE"""),1064440208)</f>
        <v>1064440208</v>
      </c>
      <c r="F1036" s="40">
        <f ca="1">IFERROR(__xludf.DUMMYFUNCTION("""COMPUTED_VALUE"""),2348408)</f>
        <v>2348408</v>
      </c>
      <c r="G1036" s="40" t="str">
        <f ca="1">IFERROR(__xludf.DUMMYFUNCTION("""COMPUTED_VALUE"""),"TECNÓLOGO")</f>
        <v>TECNÓLOGO</v>
      </c>
      <c r="H1036" s="40" t="str">
        <f ca="1">IFERROR(__xludf.DUMMYFUNCTION("""COMPUTED_VALUE"""),"PRODUCCION DE MULTIMEDIA")</f>
        <v>PRODUCCION DE MULTIMEDIA</v>
      </c>
      <c r="I1036" s="40"/>
      <c r="J1036" s="40"/>
      <c r="K1036" s="40"/>
      <c r="L1036" s="40" t="str">
        <f ca="1">IFERROR(__xludf.DUMMYFUNCTION("""COMPUTED_VALUE"""),"NO HA INICIADO ETAPA PRODUCTIVA")</f>
        <v>NO HA INICIADO ETAPA PRODUCTIVA</v>
      </c>
      <c r="M1036" s="40"/>
      <c r="N1036" s="40"/>
      <c r="O1036" s="40"/>
      <c r="P1036" s="40"/>
      <c r="Q1036" s="40"/>
      <c r="R1036" s="140"/>
      <c r="S1036" s="140"/>
      <c r="T1036" s="40" t="str">
        <f ca="1">IFERROR(__xludf.DUMMYFUNCTION("""COMPUTED_VALUE"""),"debe 28 resultados... Revisado 15/11/2022")</f>
        <v>debe 28 resultados... Revisado 15/11/2022</v>
      </c>
      <c r="U1036" s="40"/>
      <c r="V1036" s="40"/>
      <c r="W1036" s="40"/>
      <c r="X1036" s="40"/>
      <c r="Y1036" s="40"/>
      <c r="Z1036" s="40"/>
      <c r="AA1036" s="40"/>
      <c r="AB1036" s="40"/>
      <c r="AC1036" s="40"/>
      <c r="AD1036" s="40"/>
      <c r="AE1036" s="40"/>
      <c r="AF1036" s="40"/>
      <c r="AG1036" s="40"/>
      <c r="AH1036" s="40"/>
      <c r="AI1036" s="40"/>
      <c r="AJ1036" s="40"/>
      <c r="AK1036" s="40"/>
      <c r="AL1036" s="40"/>
      <c r="AM1036" s="40"/>
      <c r="AN1036" s="40"/>
      <c r="AO1036" s="40"/>
      <c r="AP1036" s="40"/>
      <c r="AQ1036" s="40"/>
      <c r="AR1036" s="40"/>
      <c r="AS1036" s="40"/>
      <c r="AT1036" s="40"/>
      <c r="AU1036" s="40" t="str">
        <f ca="1">IFERROR(__xludf.DUMMYFUNCTION("""COMPUTED_VALUE"""),"NO_CUMPLE")</f>
        <v>NO_CUMPLE</v>
      </c>
      <c r="AV1036" s="40" t="str">
        <f ca="1">IFERROR(__xludf.DUMMYFUNCTION("""COMPUTED_VALUE"""),"EN FORMACION")</f>
        <v>EN FORMACION</v>
      </c>
      <c r="AW1036" s="40" t="str">
        <f ca="1">IFERROR(__xludf.DUMMYFUNCTION("""COMPUTED_VALUE"""),"TIC")</f>
        <v>TIC</v>
      </c>
      <c r="AX1036" s="141">
        <f ca="1">IFERROR(__xludf.DUMMYFUNCTION("""COMPUTED_VALUE"""),3)</f>
        <v>3</v>
      </c>
      <c r="AY1036" s="40">
        <f ca="1">IFERROR(__xludf.DUMMYFUNCTION("""COMPUTED_VALUE"""),3)</f>
        <v>3</v>
      </c>
      <c r="AZ1036" s="40">
        <f ca="1">IFERROR(__xludf.DUMMYFUNCTION("""COMPUTED_VALUE"""),1)</f>
        <v>1</v>
      </c>
      <c r="BA1036" s="40">
        <f ca="1">IFERROR(__xludf.DUMMYFUNCTION("""COMPUTED_VALUE"""),8)</f>
        <v>8</v>
      </c>
      <c r="BB1036" s="40">
        <f ca="1">IFERROR(__xludf.DUMMYFUNCTION("""COMPUTED_VALUE"""),9)</f>
        <v>9</v>
      </c>
      <c r="BC1036" s="40">
        <f ca="1">IFERROR(__xludf.DUMMYFUNCTION("""COMPUTED_VALUE"""),21)</f>
        <v>21</v>
      </c>
      <c r="BD1036" s="141">
        <f ca="1">IFERROR(__xludf.DUMMYFUNCTION("""COMPUTED_VALUE"""),44375)</f>
        <v>44375</v>
      </c>
      <c r="BE1036" s="141">
        <f ca="1">IFERROR(__xludf.DUMMYFUNCTION("""COMPUTED_VALUE"""),44922)</f>
        <v>44922</v>
      </c>
      <c r="BF1036" s="141">
        <f ca="1">IFERROR(__xludf.DUMMYFUNCTION("""COMPUTED_VALUE"""),45104)</f>
        <v>45104</v>
      </c>
      <c r="BG1036" s="141">
        <f ca="1">IFERROR(__xludf.DUMMYFUNCTION("""COMPUTED_VALUE"""),45653)</f>
        <v>45653</v>
      </c>
      <c r="BH1036" s="40" t="str">
        <f ca="1">IFERROR(__xludf.DUMMYFUNCTION("""COMPUTED_VALUE"""),"FICHA EN TIEMPO-18 MESES")</f>
        <v>FICHA EN TIEMPO-18 MESES</v>
      </c>
      <c r="BI1036" s="40" t="str">
        <f ca="1">IFERROR(__xludf.DUMMYFUNCTION("""COMPUTED_VALUE"""),"En ejecucion")</f>
        <v>En ejecucion</v>
      </c>
      <c r="BJ1036" s="40" t="str">
        <f ca="1">IFERROR(__xludf.DUMMYFUNCTION("""COMPUTED_VALUE"""),"Yamboro")</f>
        <v>Yamboro</v>
      </c>
      <c r="BK1036" s="40"/>
      <c r="BL1036" s="40"/>
    </row>
    <row r="1037" spans="1:64" ht="13">
      <c r="A1037" s="40"/>
      <c r="B1037" s="40" t="str">
        <f ca="1">IFERROR(__xludf.DUMMYFUNCTION("""COMPUTED_VALUE"""),"FORMACIÓN 18/10/2022")</f>
        <v>FORMACIÓN 18/10/2022</v>
      </c>
      <c r="C1037" s="40" t="str">
        <f ca="1">IFERROR(__xludf.DUMMYFUNCTION("""COMPUTED_VALUE"""),"LUIS ENRIQUE ARIAS LOPEZ")</f>
        <v>LUIS ENRIQUE ARIAS LOPEZ</v>
      </c>
      <c r="D1037" s="40" t="str">
        <f ca="1">IFERROR(__xludf.DUMMYFUNCTION("""COMPUTED_VALUE"""),"CC")</f>
        <v>CC</v>
      </c>
      <c r="E1037" s="40">
        <f ca="1">IFERROR(__xludf.DUMMYFUNCTION("""COMPUTED_VALUE"""),1067926425)</f>
        <v>1067926425</v>
      </c>
      <c r="F1037" s="40">
        <f ca="1">IFERROR(__xludf.DUMMYFUNCTION("""COMPUTED_VALUE"""),2348408)</f>
        <v>2348408</v>
      </c>
      <c r="G1037" s="40" t="str">
        <f ca="1">IFERROR(__xludf.DUMMYFUNCTION("""COMPUTED_VALUE"""),"TECNÓLOGO")</f>
        <v>TECNÓLOGO</v>
      </c>
      <c r="H1037" s="40" t="str">
        <f ca="1">IFERROR(__xludf.DUMMYFUNCTION("""COMPUTED_VALUE"""),"PRODUCCION DE MULTIMEDIA")</f>
        <v>PRODUCCION DE MULTIMEDIA</v>
      </c>
      <c r="I1037" s="40"/>
      <c r="J1037" s="40"/>
      <c r="K1037" s="40"/>
      <c r="L1037" s="40" t="str">
        <f ca="1">IFERROR(__xludf.DUMMYFUNCTION("""COMPUTED_VALUE"""),"NO HA INICIADO ETAPA PRODUCTIVA")</f>
        <v>NO HA INICIADO ETAPA PRODUCTIVA</v>
      </c>
      <c r="M1037" s="40"/>
      <c r="N1037" s="40"/>
      <c r="O1037" s="40"/>
      <c r="P1037" s="40"/>
      <c r="Q1037" s="40"/>
      <c r="R1037" s="140"/>
      <c r="S1037" s="140"/>
      <c r="T1037" s="40" t="str">
        <f ca="1">IFERROR(__xludf.DUMMYFUNCTION("""COMPUTED_VALUE"""),"debe 9 resultados... Revisado 15/11/2022")</f>
        <v>debe 9 resultados... Revisado 15/11/2022</v>
      </c>
      <c r="U1037" s="40"/>
      <c r="V1037" s="40"/>
      <c r="W1037" s="40"/>
      <c r="X1037" s="40"/>
      <c r="Y1037" s="40"/>
      <c r="Z1037" s="40"/>
      <c r="AA1037" s="40"/>
      <c r="AB1037" s="40"/>
      <c r="AC1037" s="40"/>
      <c r="AD1037" s="40"/>
      <c r="AE1037" s="40"/>
      <c r="AF1037" s="40"/>
      <c r="AG1037" s="40"/>
      <c r="AH1037" s="40"/>
      <c r="AI1037" s="40"/>
      <c r="AJ1037" s="40"/>
      <c r="AK1037" s="40"/>
      <c r="AL1037" s="40"/>
      <c r="AM1037" s="40"/>
      <c r="AN1037" s="40"/>
      <c r="AO1037" s="40"/>
      <c r="AP1037" s="40"/>
      <c r="AQ1037" s="40"/>
      <c r="AR1037" s="40"/>
      <c r="AS1037" s="40"/>
      <c r="AT1037" s="40"/>
      <c r="AU1037" s="40" t="str">
        <f ca="1">IFERROR(__xludf.DUMMYFUNCTION("""COMPUTED_VALUE"""),"NO_CUMPLE")</f>
        <v>NO_CUMPLE</v>
      </c>
      <c r="AV1037" s="40" t="str">
        <f ca="1">IFERROR(__xludf.DUMMYFUNCTION("""COMPUTED_VALUE"""),"EN FORMACION")</f>
        <v>EN FORMACION</v>
      </c>
      <c r="AW1037" s="40" t="str">
        <f ca="1">IFERROR(__xludf.DUMMYFUNCTION("""COMPUTED_VALUE"""),"TIC")</f>
        <v>TIC</v>
      </c>
      <c r="AX1037" s="141">
        <f ca="1">IFERROR(__xludf.DUMMYFUNCTION("""COMPUTED_VALUE"""),2)</f>
        <v>2</v>
      </c>
      <c r="AY1037" s="40">
        <f ca="1">IFERROR(__xludf.DUMMYFUNCTION("""COMPUTED_VALUE"""),2)</f>
        <v>2</v>
      </c>
      <c r="AZ1037" s="40">
        <f ca="1">IFERROR(__xludf.DUMMYFUNCTION("""COMPUTED_VALUE"""),1)</f>
        <v>1</v>
      </c>
      <c r="BA1037" s="40">
        <f ca="1">IFERROR(__xludf.DUMMYFUNCTION("""COMPUTED_VALUE"""),4)</f>
        <v>4</v>
      </c>
      <c r="BB1037" s="40">
        <f ca="1">IFERROR(__xludf.DUMMYFUNCTION("""COMPUTED_VALUE"""),4)</f>
        <v>4</v>
      </c>
      <c r="BC1037" s="40">
        <f ca="1">IFERROR(__xludf.DUMMYFUNCTION("""COMPUTED_VALUE"""),11)</f>
        <v>11</v>
      </c>
      <c r="BD1037" s="141">
        <f ca="1">IFERROR(__xludf.DUMMYFUNCTION("""COMPUTED_VALUE"""),44375)</f>
        <v>44375</v>
      </c>
      <c r="BE1037" s="141">
        <f ca="1">IFERROR(__xludf.DUMMYFUNCTION("""COMPUTED_VALUE"""),44922)</f>
        <v>44922</v>
      </c>
      <c r="BF1037" s="141">
        <f ca="1">IFERROR(__xludf.DUMMYFUNCTION("""COMPUTED_VALUE"""),45104)</f>
        <v>45104</v>
      </c>
      <c r="BG1037" s="141">
        <f ca="1">IFERROR(__xludf.DUMMYFUNCTION("""COMPUTED_VALUE"""),45653)</f>
        <v>45653</v>
      </c>
      <c r="BH1037" s="40" t="str">
        <f ca="1">IFERROR(__xludf.DUMMYFUNCTION("""COMPUTED_VALUE"""),"FICHA EN TIEMPO-18 MESES")</f>
        <v>FICHA EN TIEMPO-18 MESES</v>
      </c>
      <c r="BI1037" s="40" t="str">
        <f ca="1">IFERROR(__xludf.DUMMYFUNCTION("""COMPUTED_VALUE"""),"En ejecucion")</f>
        <v>En ejecucion</v>
      </c>
      <c r="BJ1037" s="40" t="str">
        <f ca="1">IFERROR(__xludf.DUMMYFUNCTION("""COMPUTED_VALUE"""),"Yamboro")</f>
        <v>Yamboro</v>
      </c>
      <c r="BK1037" s="40"/>
      <c r="BL1037" s="40"/>
    </row>
    <row r="1038" spans="1:64" ht="13">
      <c r="A1038" s="40"/>
      <c r="B1038" s="40" t="str">
        <f ca="1">IFERROR(__xludf.DUMMYFUNCTION("""COMPUTED_VALUE"""),"FORMACIÓN 18/10/2022")</f>
        <v>FORMACIÓN 18/10/2022</v>
      </c>
      <c r="C1038" s="40" t="str">
        <f ca="1">IFERROR(__xludf.DUMMYFUNCTION("""COMPUTED_VALUE"""),"CRISTIAN DAVID SERRANO ESCOBAR")</f>
        <v>CRISTIAN DAVID SERRANO ESCOBAR</v>
      </c>
      <c r="D1038" s="40" t="str">
        <f ca="1">IFERROR(__xludf.DUMMYFUNCTION("""COMPUTED_VALUE"""),"CC")</f>
        <v>CC</v>
      </c>
      <c r="E1038" s="40">
        <f ca="1">IFERROR(__xludf.DUMMYFUNCTION("""COMPUTED_VALUE"""),1071170959)</f>
        <v>1071170959</v>
      </c>
      <c r="F1038" s="40">
        <f ca="1">IFERROR(__xludf.DUMMYFUNCTION("""COMPUTED_VALUE"""),2348408)</f>
        <v>2348408</v>
      </c>
      <c r="G1038" s="40" t="str">
        <f ca="1">IFERROR(__xludf.DUMMYFUNCTION("""COMPUTED_VALUE"""),"TECNÓLOGO")</f>
        <v>TECNÓLOGO</v>
      </c>
      <c r="H1038" s="40" t="str">
        <f ca="1">IFERROR(__xludf.DUMMYFUNCTION("""COMPUTED_VALUE"""),"PRODUCCION DE MULTIMEDIA")</f>
        <v>PRODUCCION DE MULTIMEDIA</v>
      </c>
      <c r="I1038" s="40"/>
      <c r="J1038" s="40"/>
      <c r="K1038" s="40"/>
      <c r="L1038" s="40" t="str">
        <f ca="1">IFERROR(__xludf.DUMMYFUNCTION("""COMPUTED_VALUE"""),"NO HA INICIADO ETAPA PRODUCTIVA")</f>
        <v>NO HA INICIADO ETAPA PRODUCTIVA</v>
      </c>
      <c r="M1038" s="40"/>
      <c r="N1038" s="40"/>
      <c r="O1038" s="40"/>
      <c r="P1038" s="40"/>
      <c r="Q1038" s="40"/>
      <c r="R1038" s="140"/>
      <c r="S1038" s="140"/>
      <c r="T1038" s="40" t="str">
        <f ca="1">IFERROR(__xludf.DUMMYFUNCTION("""COMPUTED_VALUE"""),"debe 10 resultados... Revisado 15/11/2022")</f>
        <v>debe 10 resultados... Revisado 15/11/2022</v>
      </c>
      <c r="U1038" s="40"/>
      <c r="V1038" s="40"/>
      <c r="W1038" s="40"/>
      <c r="X1038" s="40"/>
      <c r="Y1038" s="40"/>
      <c r="Z1038" s="40"/>
      <c r="AA1038" s="40"/>
      <c r="AB1038" s="40"/>
      <c r="AC1038" s="40"/>
      <c r="AD1038" s="40"/>
      <c r="AE1038" s="40"/>
      <c r="AF1038" s="40"/>
      <c r="AG1038" s="40"/>
      <c r="AH1038" s="40"/>
      <c r="AI1038" s="40"/>
      <c r="AJ1038" s="40"/>
      <c r="AK1038" s="40"/>
      <c r="AL1038" s="40"/>
      <c r="AM1038" s="40"/>
      <c r="AN1038" s="40"/>
      <c r="AO1038" s="40"/>
      <c r="AP1038" s="40"/>
      <c r="AQ1038" s="40"/>
      <c r="AR1038" s="40"/>
      <c r="AS1038" s="40"/>
      <c r="AT1038" s="40"/>
      <c r="AU1038" s="40" t="str">
        <f ca="1">IFERROR(__xludf.DUMMYFUNCTION("""COMPUTED_VALUE"""),"NO_CUMPLE")</f>
        <v>NO_CUMPLE</v>
      </c>
      <c r="AV1038" s="40" t="str">
        <f ca="1">IFERROR(__xludf.DUMMYFUNCTION("""COMPUTED_VALUE"""),"EN FORMACION")</f>
        <v>EN FORMACION</v>
      </c>
      <c r="AW1038" s="40" t="str">
        <f ca="1">IFERROR(__xludf.DUMMYFUNCTION("""COMPUTED_VALUE"""),"TIC")</f>
        <v>TIC</v>
      </c>
      <c r="AX1038" s="141">
        <f ca="1">IFERROR(__xludf.DUMMYFUNCTION("""COMPUTED_VALUE"""),2)</f>
        <v>2</v>
      </c>
      <c r="AY1038" s="40">
        <f ca="1">IFERROR(__xludf.DUMMYFUNCTION("""COMPUTED_VALUE"""),2)</f>
        <v>2</v>
      </c>
      <c r="AZ1038" s="40">
        <f ca="1">IFERROR(__xludf.DUMMYFUNCTION("""COMPUTED_VALUE"""),1)</f>
        <v>1</v>
      </c>
      <c r="BA1038" s="40">
        <f ca="1">IFERROR(__xludf.DUMMYFUNCTION("""COMPUTED_VALUE"""),5)</f>
        <v>5</v>
      </c>
      <c r="BB1038" s="40">
        <f ca="1">IFERROR(__xludf.DUMMYFUNCTION("""COMPUTED_VALUE"""),6)</f>
        <v>6</v>
      </c>
      <c r="BC1038" s="40">
        <f ca="1">IFERROR(__xludf.DUMMYFUNCTION("""COMPUTED_VALUE"""),14)</f>
        <v>14</v>
      </c>
      <c r="BD1038" s="141">
        <f ca="1">IFERROR(__xludf.DUMMYFUNCTION("""COMPUTED_VALUE"""),44375)</f>
        <v>44375</v>
      </c>
      <c r="BE1038" s="141">
        <f ca="1">IFERROR(__xludf.DUMMYFUNCTION("""COMPUTED_VALUE"""),44922)</f>
        <v>44922</v>
      </c>
      <c r="BF1038" s="141">
        <f ca="1">IFERROR(__xludf.DUMMYFUNCTION("""COMPUTED_VALUE"""),45104)</f>
        <v>45104</v>
      </c>
      <c r="BG1038" s="141">
        <f ca="1">IFERROR(__xludf.DUMMYFUNCTION("""COMPUTED_VALUE"""),45653)</f>
        <v>45653</v>
      </c>
      <c r="BH1038" s="40" t="str">
        <f ca="1">IFERROR(__xludf.DUMMYFUNCTION("""COMPUTED_VALUE"""),"FICHA EN TIEMPO-18 MESES")</f>
        <v>FICHA EN TIEMPO-18 MESES</v>
      </c>
      <c r="BI1038" s="40" t="str">
        <f ca="1">IFERROR(__xludf.DUMMYFUNCTION("""COMPUTED_VALUE"""),"En ejecucion")</f>
        <v>En ejecucion</v>
      </c>
      <c r="BJ1038" s="40" t="str">
        <f ca="1">IFERROR(__xludf.DUMMYFUNCTION("""COMPUTED_VALUE"""),"Yamboro")</f>
        <v>Yamboro</v>
      </c>
      <c r="BK1038" s="40"/>
      <c r="BL1038" s="40"/>
    </row>
    <row r="1039" spans="1:64" ht="13">
      <c r="A1039" s="40"/>
      <c r="B1039" s="40" t="str">
        <f ca="1">IFERROR(__xludf.DUMMYFUNCTION("""COMPUTED_VALUE"""),"FORMACIÓN 18/10/2022")</f>
        <v>FORMACIÓN 18/10/2022</v>
      </c>
      <c r="C1039" s="40" t="str">
        <f ca="1">IFERROR(__xludf.DUMMYFUNCTION("""COMPUTED_VALUE"""),"JAROL ALBERTO BERNAL ROJAS")</f>
        <v>JAROL ALBERTO BERNAL ROJAS</v>
      </c>
      <c r="D1039" s="40" t="str">
        <f ca="1">IFERROR(__xludf.DUMMYFUNCTION("""COMPUTED_VALUE"""),"CC")</f>
        <v>CC</v>
      </c>
      <c r="E1039" s="40">
        <f ca="1">IFERROR(__xludf.DUMMYFUNCTION("""COMPUTED_VALUE"""),1073131300)</f>
        <v>1073131300</v>
      </c>
      <c r="F1039" s="40">
        <f ca="1">IFERROR(__xludf.DUMMYFUNCTION("""COMPUTED_VALUE"""),2348408)</f>
        <v>2348408</v>
      </c>
      <c r="G1039" s="40" t="str">
        <f ca="1">IFERROR(__xludf.DUMMYFUNCTION("""COMPUTED_VALUE"""),"TECNÓLOGO")</f>
        <v>TECNÓLOGO</v>
      </c>
      <c r="H1039" s="40" t="str">
        <f ca="1">IFERROR(__xludf.DUMMYFUNCTION("""COMPUTED_VALUE"""),"PRODUCCION DE MULTIMEDIA")</f>
        <v>PRODUCCION DE MULTIMEDIA</v>
      </c>
      <c r="I1039" s="40"/>
      <c r="J1039" s="40"/>
      <c r="K1039" s="40"/>
      <c r="L1039" s="40" t="str">
        <f ca="1">IFERROR(__xludf.DUMMYFUNCTION("""COMPUTED_VALUE"""),"NO HA INICIADO ETAPA PRODUCTIVA")</f>
        <v>NO HA INICIADO ETAPA PRODUCTIVA</v>
      </c>
      <c r="M1039" s="40"/>
      <c r="N1039" s="40"/>
      <c r="O1039" s="40"/>
      <c r="P1039" s="40"/>
      <c r="Q1039" s="40"/>
      <c r="R1039" s="140"/>
      <c r="S1039" s="140"/>
      <c r="T1039" s="40" t="str">
        <f ca="1">IFERROR(__xludf.DUMMYFUNCTION("""COMPUTED_VALUE"""),"debe 8 resultados... Revisado 15/11/2022")</f>
        <v>debe 8 resultados... Revisado 15/11/2022</v>
      </c>
      <c r="U1039" s="40"/>
      <c r="V1039" s="40"/>
      <c r="W1039" s="40"/>
      <c r="X1039" s="40"/>
      <c r="Y1039" s="40"/>
      <c r="Z1039" s="40"/>
      <c r="AA1039" s="40"/>
      <c r="AB1039" s="40"/>
      <c r="AC1039" s="40"/>
      <c r="AD1039" s="40"/>
      <c r="AE1039" s="40"/>
      <c r="AF1039" s="40"/>
      <c r="AG1039" s="40"/>
      <c r="AH1039" s="40"/>
      <c r="AI1039" s="40"/>
      <c r="AJ1039" s="40"/>
      <c r="AK1039" s="40"/>
      <c r="AL1039" s="40"/>
      <c r="AM1039" s="40"/>
      <c r="AN1039" s="40"/>
      <c r="AO1039" s="40"/>
      <c r="AP1039" s="40"/>
      <c r="AQ1039" s="40"/>
      <c r="AR1039" s="40"/>
      <c r="AS1039" s="40"/>
      <c r="AT1039" s="40"/>
      <c r="AU1039" s="40" t="str">
        <f ca="1">IFERROR(__xludf.DUMMYFUNCTION("""COMPUTED_VALUE"""),"NO_CUMPLE")</f>
        <v>NO_CUMPLE</v>
      </c>
      <c r="AV1039" s="40" t="str">
        <f ca="1">IFERROR(__xludf.DUMMYFUNCTION("""COMPUTED_VALUE"""),"EN FORMACION")</f>
        <v>EN FORMACION</v>
      </c>
      <c r="AW1039" s="40" t="str">
        <f ca="1">IFERROR(__xludf.DUMMYFUNCTION("""COMPUTED_VALUE"""),"TIC")</f>
        <v>TIC</v>
      </c>
      <c r="AX1039" s="141">
        <f ca="1">IFERROR(__xludf.DUMMYFUNCTION("""COMPUTED_VALUE"""),2)</f>
        <v>2</v>
      </c>
      <c r="AY1039" s="40">
        <f ca="1">IFERROR(__xludf.DUMMYFUNCTION("""COMPUTED_VALUE"""),2)</f>
        <v>2</v>
      </c>
      <c r="AZ1039" s="40">
        <f ca="1">IFERROR(__xludf.DUMMYFUNCTION("""COMPUTED_VALUE"""),1)</f>
        <v>1</v>
      </c>
      <c r="BA1039" s="40">
        <f ca="1">IFERROR(__xludf.DUMMYFUNCTION("""COMPUTED_VALUE"""),3)</f>
        <v>3</v>
      </c>
      <c r="BB1039" s="40">
        <f ca="1">IFERROR(__xludf.DUMMYFUNCTION("""COMPUTED_VALUE"""),4)</f>
        <v>4</v>
      </c>
      <c r="BC1039" s="40">
        <f ca="1">IFERROR(__xludf.DUMMYFUNCTION("""COMPUTED_VALUE"""),10)</f>
        <v>10</v>
      </c>
      <c r="BD1039" s="141">
        <f ca="1">IFERROR(__xludf.DUMMYFUNCTION("""COMPUTED_VALUE"""),44375)</f>
        <v>44375</v>
      </c>
      <c r="BE1039" s="141">
        <f ca="1">IFERROR(__xludf.DUMMYFUNCTION("""COMPUTED_VALUE"""),44922)</f>
        <v>44922</v>
      </c>
      <c r="BF1039" s="141">
        <f ca="1">IFERROR(__xludf.DUMMYFUNCTION("""COMPUTED_VALUE"""),45104)</f>
        <v>45104</v>
      </c>
      <c r="BG1039" s="141">
        <f ca="1">IFERROR(__xludf.DUMMYFUNCTION("""COMPUTED_VALUE"""),45653)</f>
        <v>45653</v>
      </c>
      <c r="BH1039" s="40" t="str">
        <f ca="1">IFERROR(__xludf.DUMMYFUNCTION("""COMPUTED_VALUE"""),"FICHA EN TIEMPO-18 MESES")</f>
        <v>FICHA EN TIEMPO-18 MESES</v>
      </c>
      <c r="BI1039" s="40" t="str">
        <f ca="1">IFERROR(__xludf.DUMMYFUNCTION("""COMPUTED_VALUE"""),"En ejecucion")</f>
        <v>En ejecucion</v>
      </c>
      <c r="BJ1039" s="40" t="str">
        <f ca="1">IFERROR(__xludf.DUMMYFUNCTION("""COMPUTED_VALUE"""),"Yamboro")</f>
        <v>Yamboro</v>
      </c>
      <c r="BK1039" s="40"/>
      <c r="BL1039" s="40"/>
    </row>
    <row r="1040" spans="1:64" ht="13">
      <c r="A1040" s="40"/>
      <c r="B1040" s="40" t="str">
        <f ca="1">IFERROR(__xludf.DUMMYFUNCTION("""COMPUTED_VALUE"""),"FORMACIÓN 18/10/2022")</f>
        <v>FORMACIÓN 18/10/2022</v>
      </c>
      <c r="C1040" s="40" t="str">
        <f ca="1">IFERROR(__xludf.DUMMYFUNCTION("""COMPUTED_VALUE"""),"OSCAR JAVIER GONZALEZ ROMERO")</f>
        <v>OSCAR JAVIER GONZALEZ ROMERO</v>
      </c>
      <c r="D1040" s="40" t="str">
        <f ca="1">IFERROR(__xludf.DUMMYFUNCTION("""COMPUTED_VALUE"""),"CC")</f>
        <v>CC</v>
      </c>
      <c r="E1040" s="40">
        <f ca="1">IFERROR(__xludf.DUMMYFUNCTION("""COMPUTED_VALUE"""),1121867897)</f>
        <v>1121867897</v>
      </c>
      <c r="F1040" s="40">
        <f ca="1">IFERROR(__xludf.DUMMYFUNCTION("""COMPUTED_VALUE"""),2348408)</f>
        <v>2348408</v>
      </c>
      <c r="G1040" s="40" t="str">
        <f ca="1">IFERROR(__xludf.DUMMYFUNCTION("""COMPUTED_VALUE"""),"TECNÓLOGO")</f>
        <v>TECNÓLOGO</v>
      </c>
      <c r="H1040" s="40" t="str">
        <f ca="1">IFERROR(__xludf.DUMMYFUNCTION("""COMPUTED_VALUE"""),"PRODUCCION DE MULTIMEDIA")</f>
        <v>PRODUCCION DE MULTIMEDIA</v>
      </c>
      <c r="I1040" s="40"/>
      <c r="J1040" s="40"/>
      <c r="K1040" s="40"/>
      <c r="L1040" s="40" t="str">
        <f ca="1">IFERROR(__xludf.DUMMYFUNCTION("""COMPUTED_VALUE"""),"NO HA INICIADO ETAPA PRODUCTIVA")</f>
        <v>NO HA INICIADO ETAPA PRODUCTIVA</v>
      </c>
      <c r="M1040" s="40"/>
      <c r="N1040" s="40"/>
      <c r="O1040" s="40"/>
      <c r="P1040" s="40"/>
      <c r="Q1040" s="40"/>
      <c r="R1040" s="140"/>
      <c r="S1040" s="140"/>
      <c r="T1040" s="40" t="str">
        <f ca="1">IFERROR(__xludf.DUMMYFUNCTION("""COMPUTED_VALUE"""),"debe 8 resultados... Revisado 15/11/2022")</f>
        <v>debe 8 resultados... Revisado 15/11/2022</v>
      </c>
      <c r="U1040" s="40"/>
      <c r="V1040" s="40"/>
      <c r="W1040" s="40"/>
      <c r="X1040" s="40"/>
      <c r="Y1040" s="40"/>
      <c r="Z1040" s="40"/>
      <c r="AA1040" s="40"/>
      <c r="AB1040" s="40"/>
      <c r="AC1040" s="40"/>
      <c r="AD1040" s="40"/>
      <c r="AE1040" s="40"/>
      <c r="AF1040" s="40"/>
      <c r="AG1040" s="40"/>
      <c r="AH1040" s="40"/>
      <c r="AI1040" s="40"/>
      <c r="AJ1040" s="40"/>
      <c r="AK1040" s="40"/>
      <c r="AL1040" s="40"/>
      <c r="AM1040" s="40"/>
      <c r="AN1040" s="40"/>
      <c r="AO1040" s="40"/>
      <c r="AP1040" s="40"/>
      <c r="AQ1040" s="40"/>
      <c r="AR1040" s="40"/>
      <c r="AS1040" s="40"/>
      <c r="AT1040" s="40"/>
      <c r="AU1040" s="40" t="str">
        <f ca="1">IFERROR(__xludf.DUMMYFUNCTION("""COMPUTED_VALUE"""),"NO_CUMPLE")</f>
        <v>NO_CUMPLE</v>
      </c>
      <c r="AV1040" s="40" t="str">
        <f ca="1">IFERROR(__xludf.DUMMYFUNCTION("""COMPUTED_VALUE"""),"EN FORMACION")</f>
        <v>EN FORMACION</v>
      </c>
      <c r="AW1040" s="40" t="str">
        <f ca="1">IFERROR(__xludf.DUMMYFUNCTION("""COMPUTED_VALUE"""),"TIC")</f>
        <v>TIC</v>
      </c>
      <c r="AX1040" s="141">
        <f ca="1">IFERROR(__xludf.DUMMYFUNCTION("""COMPUTED_VALUE"""),2)</f>
        <v>2</v>
      </c>
      <c r="AY1040" s="40">
        <f ca="1">IFERROR(__xludf.DUMMYFUNCTION("""COMPUTED_VALUE"""),2)</f>
        <v>2</v>
      </c>
      <c r="AZ1040" s="40">
        <f ca="1">IFERROR(__xludf.DUMMYFUNCTION("""COMPUTED_VALUE"""),1)</f>
        <v>1</v>
      </c>
      <c r="BA1040" s="40">
        <f ca="1">IFERROR(__xludf.DUMMYFUNCTION("""COMPUTED_VALUE"""),4)</f>
        <v>4</v>
      </c>
      <c r="BB1040" s="40">
        <f ca="1">IFERROR(__xludf.DUMMYFUNCTION("""COMPUTED_VALUE"""),4)</f>
        <v>4</v>
      </c>
      <c r="BC1040" s="40">
        <f ca="1">IFERROR(__xludf.DUMMYFUNCTION("""COMPUTED_VALUE"""),11)</f>
        <v>11</v>
      </c>
      <c r="BD1040" s="141">
        <f ca="1">IFERROR(__xludf.DUMMYFUNCTION("""COMPUTED_VALUE"""),44375)</f>
        <v>44375</v>
      </c>
      <c r="BE1040" s="141">
        <f ca="1">IFERROR(__xludf.DUMMYFUNCTION("""COMPUTED_VALUE"""),44922)</f>
        <v>44922</v>
      </c>
      <c r="BF1040" s="141">
        <f ca="1">IFERROR(__xludf.DUMMYFUNCTION("""COMPUTED_VALUE"""),45104)</f>
        <v>45104</v>
      </c>
      <c r="BG1040" s="141">
        <f ca="1">IFERROR(__xludf.DUMMYFUNCTION("""COMPUTED_VALUE"""),45653)</f>
        <v>45653</v>
      </c>
      <c r="BH1040" s="40" t="str">
        <f ca="1">IFERROR(__xludf.DUMMYFUNCTION("""COMPUTED_VALUE"""),"FICHA EN TIEMPO-18 MESES")</f>
        <v>FICHA EN TIEMPO-18 MESES</v>
      </c>
      <c r="BI1040" s="40" t="str">
        <f ca="1">IFERROR(__xludf.DUMMYFUNCTION("""COMPUTED_VALUE"""),"En ejecucion")</f>
        <v>En ejecucion</v>
      </c>
      <c r="BJ1040" s="40" t="str">
        <f ca="1">IFERROR(__xludf.DUMMYFUNCTION("""COMPUTED_VALUE"""),"Yamboro")</f>
        <v>Yamboro</v>
      </c>
      <c r="BK1040" s="40"/>
      <c r="BL1040" s="40"/>
    </row>
    <row r="1041" spans="1:64" ht="13">
      <c r="A1041" s="40"/>
      <c r="B1041" s="40" t="str">
        <f ca="1">IFERROR(__xludf.DUMMYFUNCTION("""COMPUTED_VALUE"""),"FORMACIÓN 18/10/2022")</f>
        <v>FORMACIÓN 18/10/2022</v>
      </c>
      <c r="C1041" s="40" t="str">
        <f ca="1">IFERROR(__xludf.DUMMYFUNCTION("""COMPUTED_VALUE"""),"HENRY JEISON LIZCANO SALGUEDO")</f>
        <v>HENRY JEISON LIZCANO SALGUEDO</v>
      </c>
      <c r="D1041" s="40" t="str">
        <f ca="1">IFERROR(__xludf.DUMMYFUNCTION("""COMPUTED_VALUE"""),"CC")</f>
        <v>CC</v>
      </c>
      <c r="E1041" s="40">
        <f ca="1">IFERROR(__xludf.DUMMYFUNCTION("""COMPUTED_VALUE"""),1143133008)</f>
        <v>1143133008</v>
      </c>
      <c r="F1041" s="40">
        <f ca="1">IFERROR(__xludf.DUMMYFUNCTION("""COMPUTED_VALUE"""),2348408)</f>
        <v>2348408</v>
      </c>
      <c r="G1041" s="40" t="str">
        <f ca="1">IFERROR(__xludf.DUMMYFUNCTION("""COMPUTED_VALUE"""),"TECNÓLOGO")</f>
        <v>TECNÓLOGO</v>
      </c>
      <c r="H1041" s="40" t="str">
        <f ca="1">IFERROR(__xludf.DUMMYFUNCTION("""COMPUTED_VALUE"""),"PRODUCCION DE MULTIMEDIA")</f>
        <v>PRODUCCION DE MULTIMEDIA</v>
      </c>
      <c r="I1041" s="40"/>
      <c r="J1041" s="40"/>
      <c r="K1041" s="40"/>
      <c r="L1041" s="40" t="str">
        <f ca="1">IFERROR(__xludf.DUMMYFUNCTION("""COMPUTED_VALUE"""),"NO HA INICIADO ETAPA PRODUCTIVA")</f>
        <v>NO HA INICIADO ETAPA PRODUCTIVA</v>
      </c>
      <c r="M1041" s="40"/>
      <c r="N1041" s="40"/>
      <c r="O1041" s="40"/>
      <c r="P1041" s="40"/>
      <c r="Q1041" s="40"/>
      <c r="R1041" s="140"/>
      <c r="S1041" s="140"/>
      <c r="T1041" s="40" t="str">
        <f ca="1">IFERROR(__xludf.DUMMYFUNCTION("""COMPUTED_VALUE"""),"debe 9 resultados... Revisado 15/11/2022")</f>
        <v>debe 9 resultados... Revisado 15/11/2022</v>
      </c>
      <c r="U1041" s="40"/>
      <c r="V1041" s="40"/>
      <c r="W1041" s="40"/>
      <c r="X1041" s="40"/>
      <c r="Y1041" s="40"/>
      <c r="Z1041" s="40"/>
      <c r="AA1041" s="40"/>
      <c r="AB1041" s="40"/>
      <c r="AC1041" s="40"/>
      <c r="AD1041" s="40"/>
      <c r="AE1041" s="40"/>
      <c r="AF1041" s="40"/>
      <c r="AG1041" s="40"/>
      <c r="AH1041" s="40"/>
      <c r="AI1041" s="40"/>
      <c r="AJ1041" s="40"/>
      <c r="AK1041" s="40"/>
      <c r="AL1041" s="40"/>
      <c r="AM1041" s="40"/>
      <c r="AN1041" s="40"/>
      <c r="AO1041" s="40"/>
      <c r="AP1041" s="40"/>
      <c r="AQ1041" s="40"/>
      <c r="AR1041" s="40"/>
      <c r="AS1041" s="40"/>
      <c r="AT1041" s="40"/>
      <c r="AU1041" s="40" t="str">
        <f ca="1">IFERROR(__xludf.DUMMYFUNCTION("""COMPUTED_VALUE"""),"NO_CUMPLE")</f>
        <v>NO_CUMPLE</v>
      </c>
      <c r="AV1041" s="40" t="str">
        <f ca="1">IFERROR(__xludf.DUMMYFUNCTION("""COMPUTED_VALUE"""),"EN FORMACION")</f>
        <v>EN FORMACION</v>
      </c>
      <c r="AW1041" s="40" t="str">
        <f ca="1">IFERROR(__xludf.DUMMYFUNCTION("""COMPUTED_VALUE"""),"TIC")</f>
        <v>TIC</v>
      </c>
      <c r="AX1041" s="141">
        <f ca="1">IFERROR(__xludf.DUMMYFUNCTION("""COMPUTED_VALUE"""),2)</f>
        <v>2</v>
      </c>
      <c r="AY1041" s="40">
        <f ca="1">IFERROR(__xludf.DUMMYFUNCTION("""COMPUTED_VALUE"""),2)</f>
        <v>2</v>
      </c>
      <c r="AZ1041" s="40">
        <f ca="1">IFERROR(__xludf.DUMMYFUNCTION("""COMPUTED_VALUE"""),1)</f>
        <v>1</v>
      </c>
      <c r="BA1041" s="40">
        <f ca="1">IFERROR(__xludf.DUMMYFUNCTION("""COMPUTED_VALUE"""),4)</f>
        <v>4</v>
      </c>
      <c r="BB1041" s="40">
        <f ca="1">IFERROR(__xludf.DUMMYFUNCTION("""COMPUTED_VALUE"""),7)</f>
        <v>7</v>
      </c>
      <c r="BC1041" s="40">
        <f ca="1">IFERROR(__xludf.DUMMYFUNCTION("""COMPUTED_VALUE"""),14)</f>
        <v>14</v>
      </c>
      <c r="BD1041" s="141">
        <f ca="1">IFERROR(__xludf.DUMMYFUNCTION("""COMPUTED_VALUE"""),44375)</f>
        <v>44375</v>
      </c>
      <c r="BE1041" s="141">
        <f ca="1">IFERROR(__xludf.DUMMYFUNCTION("""COMPUTED_VALUE"""),44922)</f>
        <v>44922</v>
      </c>
      <c r="BF1041" s="141">
        <f ca="1">IFERROR(__xludf.DUMMYFUNCTION("""COMPUTED_VALUE"""),45104)</f>
        <v>45104</v>
      </c>
      <c r="BG1041" s="141">
        <f ca="1">IFERROR(__xludf.DUMMYFUNCTION("""COMPUTED_VALUE"""),45653)</f>
        <v>45653</v>
      </c>
      <c r="BH1041" s="40" t="str">
        <f ca="1">IFERROR(__xludf.DUMMYFUNCTION("""COMPUTED_VALUE"""),"FICHA EN TIEMPO-18 MESES")</f>
        <v>FICHA EN TIEMPO-18 MESES</v>
      </c>
      <c r="BI1041" s="40" t="str">
        <f ca="1">IFERROR(__xludf.DUMMYFUNCTION("""COMPUTED_VALUE"""),"En ejecucion")</f>
        <v>En ejecucion</v>
      </c>
      <c r="BJ1041" s="40" t="str">
        <f ca="1">IFERROR(__xludf.DUMMYFUNCTION("""COMPUTED_VALUE"""),"Yamboro")</f>
        <v>Yamboro</v>
      </c>
      <c r="BK1041" s="40"/>
      <c r="BL1041" s="40"/>
    </row>
    <row r="1042" spans="1:64" ht="13">
      <c r="A1042" s="40"/>
      <c r="B1042" s="40" t="str">
        <f ca="1">IFERROR(__xludf.DUMMYFUNCTION("""COMPUTED_VALUE"""),"FORMACIÓN 18/10/2022")</f>
        <v>FORMACIÓN 18/10/2022</v>
      </c>
      <c r="C1042" s="40" t="str">
        <f ca="1">IFERROR(__xludf.DUMMYFUNCTION("""COMPUTED_VALUE"""),"GLORIA MERCEDES RODRIGUEZ HOYOS")</f>
        <v>GLORIA MERCEDES RODRIGUEZ HOYOS</v>
      </c>
      <c r="D1042" s="40" t="str">
        <f ca="1">IFERROR(__xludf.DUMMYFUNCTION("""COMPUTED_VALUE"""),"CC")</f>
        <v>CC</v>
      </c>
      <c r="E1042" s="40">
        <f ca="1">IFERROR(__xludf.DUMMYFUNCTION("""COMPUTED_VALUE"""),1143153817)</f>
        <v>1143153817</v>
      </c>
      <c r="F1042" s="40">
        <f ca="1">IFERROR(__xludf.DUMMYFUNCTION("""COMPUTED_VALUE"""),2348408)</f>
        <v>2348408</v>
      </c>
      <c r="G1042" s="40" t="str">
        <f ca="1">IFERROR(__xludf.DUMMYFUNCTION("""COMPUTED_VALUE"""),"TECNÓLOGO")</f>
        <v>TECNÓLOGO</v>
      </c>
      <c r="H1042" s="40" t="str">
        <f ca="1">IFERROR(__xludf.DUMMYFUNCTION("""COMPUTED_VALUE"""),"PRODUCCION DE MULTIMEDIA")</f>
        <v>PRODUCCION DE MULTIMEDIA</v>
      </c>
      <c r="I1042" s="40"/>
      <c r="J1042" s="40"/>
      <c r="K1042" s="40"/>
      <c r="L1042" s="40" t="str">
        <f ca="1">IFERROR(__xludf.DUMMYFUNCTION("""COMPUTED_VALUE"""),"NO HA INICIADO ETAPA PRODUCTIVA")</f>
        <v>NO HA INICIADO ETAPA PRODUCTIVA</v>
      </c>
      <c r="M1042" s="40"/>
      <c r="N1042" s="40"/>
      <c r="O1042" s="40"/>
      <c r="P1042" s="40"/>
      <c r="Q1042" s="40"/>
      <c r="R1042" s="140"/>
      <c r="S1042" s="140"/>
      <c r="T1042" s="40" t="str">
        <f ca="1">IFERROR(__xludf.DUMMYFUNCTION("""COMPUTED_VALUE"""),"debe 11 resultados... Revisado 15/11/2022")</f>
        <v>debe 11 resultados... Revisado 15/11/2022</v>
      </c>
      <c r="U1042" s="40"/>
      <c r="V1042" s="40"/>
      <c r="W1042" s="40"/>
      <c r="X1042" s="40"/>
      <c r="Y1042" s="40"/>
      <c r="Z1042" s="40"/>
      <c r="AA1042" s="40"/>
      <c r="AB1042" s="40"/>
      <c r="AC1042" s="40"/>
      <c r="AD1042" s="40"/>
      <c r="AE1042" s="40"/>
      <c r="AF1042" s="40"/>
      <c r="AG1042" s="40"/>
      <c r="AH1042" s="40"/>
      <c r="AI1042" s="40"/>
      <c r="AJ1042" s="40"/>
      <c r="AK1042" s="40"/>
      <c r="AL1042" s="40"/>
      <c r="AM1042" s="40"/>
      <c r="AN1042" s="40"/>
      <c r="AO1042" s="40"/>
      <c r="AP1042" s="40"/>
      <c r="AQ1042" s="40"/>
      <c r="AR1042" s="40"/>
      <c r="AS1042" s="40"/>
      <c r="AT1042" s="40"/>
      <c r="AU1042" s="40" t="str">
        <f ca="1">IFERROR(__xludf.DUMMYFUNCTION("""COMPUTED_VALUE"""),"NO_CUMPLE")</f>
        <v>NO_CUMPLE</v>
      </c>
      <c r="AV1042" s="40" t="str">
        <f ca="1">IFERROR(__xludf.DUMMYFUNCTION("""COMPUTED_VALUE"""),"EN FORMACION")</f>
        <v>EN FORMACION</v>
      </c>
      <c r="AW1042" s="40" t="str">
        <f ca="1">IFERROR(__xludf.DUMMYFUNCTION("""COMPUTED_VALUE"""),"TIC")</f>
        <v>TIC</v>
      </c>
      <c r="AX1042" s="141">
        <f ca="1">IFERROR(__xludf.DUMMYFUNCTION("""COMPUTED_VALUE"""),2)</f>
        <v>2</v>
      </c>
      <c r="AY1042" s="40">
        <f ca="1">IFERROR(__xludf.DUMMYFUNCTION("""COMPUTED_VALUE"""),2)</f>
        <v>2</v>
      </c>
      <c r="AZ1042" s="40">
        <f ca="1">IFERROR(__xludf.DUMMYFUNCTION("""COMPUTED_VALUE"""),1)</f>
        <v>1</v>
      </c>
      <c r="BA1042" s="40">
        <f ca="1">IFERROR(__xludf.DUMMYFUNCTION("""COMPUTED_VALUE"""),6)</f>
        <v>6</v>
      </c>
      <c r="BB1042" s="40">
        <f ca="1">IFERROR(__xludf.DUMMYFUNCTION("""COMPUTED_VALUE"""),4)</f>
        <v>4</v>
      </c>
      <c r="BC1042" s="40">
        <f ca="1">IFERROR(__xludf.DUMMYFUNCTION("""COMPUTED_VALUE"""),13)</f>
        <v>13</v>
      </c>
      <c r="BD1042" s="141">
        <f ca="1">IFERROR(__xludf.DUMMYFUNCTION("""COMPUTED_VALUE"""),44375)</f>
        <v>44375</v>
      </c>
      <c r="BE1042" s="141">
        <f ca="1">IFERROR(__xludf.DUMMYFUNCTION("""COMPUTED_VALUE"""),44922)</f>
        <v>44922</v>
      </c>
      <c r="BF1042" s="141">
        <f ca="1">IFERROR(__xludf.DUMMYFUNCTION("""COMPUTED_VALUE"""),45104)</f>
        <v>45104</v>
      </c>
      <c r="BG1042" s="141">
        <f ca="1">IFERROR(__xludf.DUMMYFUNCTION("""COMPUTED_VALUE"""),45653)</f>
        <v>45653</v>
      </c>
      <c r="BH1042" s="40" t="str">
        <f ca="1">IFERROR(__xludf.DUMMYFUNCTION("""COMPUTED_VALUE"""),"FICHA EN TIEMPO-18 MESES")</f>
        <v>FICHA EN TIEMPO-18 MESES</v>
      </c>
      <c r="BI1042" s="40" t="str">
        <f ca="1">IFERROR(__xludf.DUMMYFUNCTION("""COMPUTED_VALUE"""),"En ejecucion")</f>
        <v>En ejecucion</v>
      </c>
      <c r="BJ1042" s="40" t="str">
        <f ca="1">IFERROR(__xludf.DUMMYFUNCTION("""COMPUTED_VALUE"""),"Yamboro")</f>
        <v>Yamboro</v>
      </c>
      <c r="BK1042" s="40"/>
      <c r="BL1042" s="40"/>
    </row>
    <row r="1043" spans="1:64" ht="13">
      <c r="A1043" s="40"/>
      <c r="B1043" s="40" t="str">
        <f ca="1">IFERROR(__xludf.DUMMYFUNCTION("""COMPUTED_VALUE"""),"FORMACIÓN 18/10/2022")</f>
        <v>FORMACIÓN 18/10/2022</v>
      </c>
      <c r="C1043" s="40" t="str">
        <f ca="1">IFERROR(__xludf.DUMMYFUNCTION("""COMPUTED_VALUE"""),"STEFFANY PAOLA SIERRA LOPEZ")</f>
        <v>STEFFANY PAOLA SIERRA LOPEZ</v>
      </c>
      <c r="D1043" s="40" t="str">
        <f ca="1">IFERROR(__xludf.DUMMYFUNCTION("""COMPUTED_VALUE"""),"CC")</f>
        <v>CC</v>
      </c>
      <c r="E1043" s="40">
        <f ca="1">IFERROR(__xludf.DUMMYFUNCTION("""COMPUTED_VALUE"""),1143155770)</f>
        <v>1143155770</v>
      </c>
      <c r="F1043" s="40">
        <f ca="1">IFERROR(__xludf.DUMMYFUNCTION("""COMPUTED_VALUE"""),2348408)</f>
        <v>2348408</v>
      </c>
      <c r="G1043" s="40" t="str">
        <f ca="1">IFERROR(__xludf.DUMMYFUNCTION("""COMPUTED_VALUE"""),"TECNÓLOGO")</f>
        <v>TECNÓLOGO</v>
      </c>
      <c r="H1043" s="40" t="str">
        <f ca="1">IFERROR(__xludf.DUMMYFUNCTION("""COMPUTED_VALUE"""),"PRODUCCION DE MULTIMEDIA")</f>
        <v>PRODUCCION DE MULTIMEDIA</v>
      </c>
      <c r="I1043" s="40"/>
      <c r="J1043" s="40"/>
      <c r="K1043" s="40"/>
      <c r="L1043" s="40" t="str">
        <f ca="1">IFERROR(__xludf.DUMMYFUNCTION("""COMPUTED_VALUE"""),"NO HA INICIADO ETAPA PRODUCTIVA")</f>
        <v>NO HA INICIADO ETAPA PRODUCTIVA</v>
      </c>
      <c r="M1043" s="40"/>
      <c r="N1043" s="40"/>
      <c r="O1043" s="40"/>
      <c r="P1043" s="40"/>
      <c r="Q1043" s="40"/>
      <c r="R1043" s="140"/>
      <c r="S1043" s="140"/>
      <c r="T1043" s="40" t="str">
        <f ca="1">IFERROR(__xludf.DUMMYFUNCTION("""COMPUTED_VALUE"""),"debe 9 resultados... Revisado 15/11/2022")</f>
        <v>debe 9 resultados... Revisado 15/11/2022</v>
      </c>
      <c r="U1043" s="40"/>
      <c r="V1043" s="40"/>
      <c r="W1043" s="40"/>
      <c r="X1043" s="40"/>
      <c r="Y1043" s="40"/>
      <c r="Z1043" s="40"/>
      <c r="AA1043" s="40"/>
      <c r="AB1043" s="40"/>
      <c r="AC1043" s="40"/>
      <c r="AD1043" s="40"/>
      <c r="AE1043" s="40"/>
      <c r="AF1043" s="40"/>
      <c r="AG1043" s="40"/>
      <c r="AH1043" s="40"/>
      <c r="AI1043" s="40"/>
      <c r="AJ1043" s="40"/>
      <c r="AK1043" s="40"/>
      <c r="AL1043" s="40"/>
      <c r="AM1043" s="40"/>
      <c r="AN1043" s="40"/>
      <c r="AO1043" s="40"/>
      <c r="AP1043" s="40"/>
      <c r="AQ1043" s="40"/>
      <c r="AR1043" s="40"/>
      <c r="AS1043" s="40"/>
      <c r="AT1043" s="40"/>
      <c r="AU1043" s="40" t="str">
        <f ca="1">IFERROR(__xludf.DUMMYFUNCTION("""COMPUTED_VALUE"""),"NO_CUMPLE")</f>
        <v>NO_CUMPLE</v>
      </c>
      <c r="AV1043" s="40" t="str">
        <f ca="1">IFERROR(__xludf.DUMMYFUNCTION("""COMPUTED_VALUE"""),"EN FORMACION")</f>
        <v>EN FORMACION</v>
      </c>
      <c r="AW1043" s="40" t="str">
        <f ca="1">IFERROR(__xludf.DUMMYFUNCTION("""COMPUTED_VALUE"""),"TIC")</f>
        <v>TIC</v>
      </c>
      <c r="AX1043" s="141">
        <f ca="1">IFERROR(__xludf.DUMMYFUNCTION("""COMPUTED_VALUE"""),2)</f>
        <v>2</v>
      </c>
      <c r="AY1043" s="40">
        <f ca="1">IFERROR(__xludf.DUMMYFUNCTION("""COMPUTED_VALUE"""),2)</f>
        <v>2</v>
      </c>
      <c r="AZ1043" s="40">
        <f ca="1">IFERROR(__xludf.DUMMYFUNCTION("""COMPUTED_VALUE"""),1)</f>
        <v>1</v>
      </c>
      <c r="BA1043" s="40">
        <f ca="1">IFERROR(__xludf.DUMMYFUNCTION("""COMPUTED_VALUE"""),4)</f>
        <v>4</v>
      </c>
      <c r="BB1043" s="40">
        <f ca="1">IFERROR(__xludf.DUMMYFUNCTION("""COMPUTED_VALUE"""),4)</f>
        <v>4</v>
      </c>
      <c r="BC1043" s="40">
        <f ca="1">IFERROR(__xludf.DUMMYFUNCTION("""COMPUTED_VALUE"""),11)</f>
        <v>11</v>
      </c>
      <c r="BD1043" s="141">
        <f ca="1">IFERROR(__xludf.DUMMYFUNCTION("""COMPUTED_VALUE"""),44375)</f>
        <v>44375</v>
      </c>
      <c r="BE1043" s="141">
        <f ca="1">IFERROR(__xludf.DUMMYFUNCTION("""COMPUTED_VALUE"""),44922)</f>
        <v>44922</v>
      </c>
      <c r="BF1043" s="141">
        <f ca="1">IFERROR(__xludf.DUMMYFUNCTION("""COMPUTED_VALUE"""),45104)</f>
        <v>45104</v>
      </c>
      <c r="BG1043" s="141">
        <f ca="1">IFERROR(__xludf.DUMMYFUNCTION("""COMPUTED_VALUE"""),45653)</f>
        <v>45653</v>
      </c>
      <c r="BH1043" s="40" t="str">
        <f ca="1">IFERROR(__xludf.DUMMYFUNCTION("""COMPUTED_VALUE"""),"FICHA EN TIEMPO-18 MESES")</f>
        <v>FICHA EN TIEMPO-18 MESES</v>
      </c>
      <c r="BI1043" s="40" t="str">
        <f ca="1">IFERROR(__xludf.DUMMYFUNCTION("""COMPUTED_VALUE"""),"En ejecucion")</f>
        <v>En ejecucion</v>
      </c>
      <c r="BJ1043" s="40" t="str">
        <f ca="1">IFERROR(__xludf.DUMMYFUNCTION("""COMPUTED_VALUE"""),"Yamboro")</f>
        <v>Yamboro</v>
      </c>
      <c r="BK1043" s="40"/>
      <c r="BL1043" s="40"/>
    </row>
    <row r="1044" spans="1:64" ht="13">
      <c r="A1044" s="40"/>
      <c r="B1044" s="40" t="str">
        <f ca="1">IFERROR(__xludf.DUMMYFUNCTION("""COMPUTED_VALUE"""),"FORMACIÓN 18/10/2022")</f>
        <v>FORMACIÓN 18/10/2022</v>
      </c>
      <c r="C1044" s="40" t="str">
        <f ca="1">IFERROR(__xludf.DUMMYFUNCTION("""COMPUTED_VALUE"""),"MARIANA DIAZ VIERA")</f>
        <v>MARIANA DIAZ VIERA</v>
      </c>
      <c r="D1044" s="40" t="str">
        <f ca="1">IFERROR(__xludf.DUMMYFUNCTION("""COMPUTED_VALUE"""),"CC")</f>
        <v>CC</v>
      </c>
      <c r="E1044" s="40">
        <f ca="1">IFERROR(__xludf.DUMMYFUNCTION("""COMPUTED_VALUE"""),1143875280)</f>
        <v>1143875280</v>
      </c>
      <c r="F1044" s="40">
        <f ca="1">IFERROR(__xludf.DUMMYFUNCTION("""COMPUTED_VALUE"""),2348408)</f>
        <v>2348408</v>
      </c>
      <c r="G1044" s="40" t="str">
        <f ca="1">IFERROR(__xludf.DUMMYFUNCTION("""COMPUTED_VALUE"""),"TECNÓLOGO")</f>
        <v>TECNÓLOGO</v>
      </c>
      <c r="H1044" s="40" t="str">
        <f ca="1">IFERROR(__xludf.DUMMYFUNCTION("""COMPUTED_VALUE"""),"PRODUCCION DE MULTIMEDIA")</f>
        <v>PRODUCCION DE MULTIMEDIA</v>
      </c>
      <c r="I1044" s="40"/>
      <c r="J1044" s="40"/>
      <c r="K1044" s="40"/>
      <c r="L1044" s="40" t="str">
        <f ca="1">IFERROR(__xludf.DUMMYFUNCTION("""COMPUTED_VALUE"""),"NO HA INICIADO ETAPA PRODUCTIVA")</f>
        <v>NO HA INICIADO ETAPA PRODUCTIVA</v>
      </c>
      <c r="M1044" s="40"/>
      <c r="N1044" s="40"/>
      <c r="O1044" s="40"/>
      <c r="P1044" s="40"/>
      <c r="Q1044" s="40"/>
      <c r="R1044" s="140"/>
      <c r="S1044" s="140"/>
      <c r="T1044" s="40" t="str">
        <f ca="1">IFERROR(__xludf.DUMMYFUNCTION("""COMPUTED_VALUE"""),"debe 9 resultados... Revisado 15/11/2022")</f>
        <v>debe 9 resultados... Revisado 15/11/2022</v>
      </c>
      <c r="U1044" s="40"/>
      <c r="V1044" s="40"/>
      <c r="W1044" s="40"/>
      <c r="X1044" s="40"/>
      <c r="Y1044" s="40"/>
      <c r="Z1044" s="40"/>
      <c r="AA1044" s="40"/>
      <c r="AB1044" s="40"/>
      <c r="AC1044" s="40"/>
      <c r="AD1044" s="40"/>
      <c r="AE1044" s="40"/>
      <c r="AF1044" s="40"/>
      <c r="AG1044" s="40"/>
      <c r="AH1044" s="40"/>
      <c r="AI1044" s="40"/>
      <c r="AJ1044" s="40"/>
      <c r="AK1044" s="40"/>
      <c r="AL1044" s="40"/>
      <c r="AM1044" s="40"/>
      <c r="AN1044" s="40"/>
      <c r="AO1044" s="40"/>
      <c r="AP1044" s="40"/>
      <c r="AQ1044" s="40"/>
      <c r="AR1044" s="40"/>
      <c r="AS1044" s="40"/>
      <c r="AT1044" s="40"/>
      <c r="AU1044" s="40" t="str">
        <f ca="1">IFERROR(__xludf.DUMMYFUNCTION("""COMPUTED_VALUE"""),"NO_CUMPLE")</f>
        <v>NO_CUMPLE</v>
      </c>
      <c r="AV1044" s="40" t="str">
        <f ca="1">IFERROR(__xludf.DUMMYFUNCTION("""COMPUTED_VALUE"""),"EN FORMACION")</f>
        <v>EN FORMACION</v>
      </c>
      <c r="AW1044" s="40" t="str">
        <f ca="1">IFERROR(__xludf.DUMMYFUNCTION("""COMPUTED_VALUE"""),"TIC")</f>
        <v>TIC</v>
      </c>
      <c r="AX1044" s="141">
        <f ca="1">IFERROR(__xludf.DUMMYFUNCTION("""COMPUTED_VALUE"""),2)</f>
        <v>2</v>
      </c>
      <c r="AY1044" s="40">
        <f ca="1">IFERROR(__xludf.DUMMYFUNCTION("""COMPUTED_VALUE"""),2)</f>
        <v>2</v>
      </c>
      <c r="AZ1044" s="40">
        <f ca="1">IFERROR(__xludf.DUMMYFUNCTION("""COMPUTED_VALUE"""),1)</f>
        <v>1</v>
      </c>
      <c r="BA1044" s="40">
        <f ca="1">IFERROR(__xludf.DUMMYFUNCTION("""COMPUTED_VALUE"""),4)</f>
        <v>4</v>
      </c>
      <c r="BB1044" s="40">
        <f ca="1">IFERROR(__xludf.DUMMYFUNCTION("""COMPUTED_VALUE"""),4)</f>
        <v>4</v>
      </c>
      <c r="BC1044" s="40">
        <f ca="1">IFERROR(__xludf.DUMMYFUNCTION("""COMPUTED_VALUE"""),11)</f>
        <v>11</v>
      </c>
      <c r="BD1044" s="141">
        <f ca="1">IFERROR(__xludf.DUMMYFUNCTION("""COMPUTED_VALUE"""),44375)</f>
        <v>44375</v>
      </c>
      <c r="BE1044" s="141">
        <f ca="1">IFERROR(__xludf.DUMMYFUNCTION("""COMPUTED_VALUE"""),44922)</f>
        <v>44922</v>
      </c>
      <c r="BF1044" s="141">
        <f ca="1">IFERROR(__xludf.DUMMYFUNCTION("""COMPUTED_VALUE"""),45104)</f>
        <v>45104</v>
      </c>
      <c r="BG1044" s="141">
        <f ca="1">IFERROR(__xludf.DUMMYFUNCTION("""COMPUTED_VALUE"""),45653)</f>
        <v>45653</v>
      </c>
      <c r="BH1044" s="40" t="str">
        <f ca="1">IFERROR(__xludf.DUMMYFUNCTION("""COMPUTED_VALUE"""),"FICHA EN TIEMPO-18 MESES")</f>
        <v>FICHA EN TIEMPO-18 MESES</v>
      </c>
      <c r="BI1044" s="40" t="str">
        <f ca="1">IFERROR(__xludf.DUMMYFUNCTION("""COMPUTED_VALUE"""),"En ejecucion")</f>
        <v>En ejecucion</v>
      </c>
      <c r="BJ1044" s="40" t="str">
        <f ca="1">IFERROR(__xludf.DUMMYFUNCTION("""COMPUTED_VALUE"""),"Yamboro")</f>
        <v>Yamboro</v>
      </c>
      <c r="BK1044" s="40"/>
      <c r="BL1044" s="40"/>
    </row>
    <row r="1045" spans="1:64" ht="13">
      <c r="A1045" s="40"/>
      <c r="B1045" s="40" t="str">
        <f ca="1">IFERROR(__xludf.DUMMYFUNCTION("""COMPUTED_VALUE"""),"FORMACIÓN 18/10/2022")</f>
        <v>FORMACIÓN 18/10/2022</v>
      </c>
      <c r="C1045" s="40" t="str">
        <f ca="1">IFERROR(__xludf.DUMMYFUNCTION("""COMPUTED_VALUE"""),"GINA MARCELA CASTAÑO GONZALEZ")</f>
        <v>GINA MARCELA CASTAÑO GONZALEZ</v>
      </c>
      <c r="D1045" s="40" t="str">
        <f ca="1">IFERROR(__xludf.DUMMYFUNCTION("""COMPUTED_VALUE"""),"CC")</f>
        <v>CC</v>
      </c>
      <c r="E1045" s="40">
        <f ca="1">IFERROR(__xludf.DUMMYFUNCTION("""COMPUTED_VALUE"""),31711441)</f>
        <v>31711441</v>
      </c>
      <c r="F1045" s="40">
        <f ca="1">IFERROR(__xludf.DUMMYFUNCTION("""COMPUTED_VALUE"""),2348408)</f>
        <v>2348408</v>
      </c>
      <c r="G1045" s="40" t="str">
        <f ca="1">IFERROR(__xludf.DUMMYFUNCTION("""COMPUTED_VALUE"""),"TECNÓLOGO")</f>
        <v>TECNÓLOGO</v>
      </c>
      <c r="H1045" s="40" t="str">
        <f ca="1">IFERROR(__xludf.DUMMYFUNCTION("""COMPUTED_VALUE"""),"PRODUCCION DE MULTIMEDIA")</f>
        <v>PRODUCCION DE MULTIMEDIA</v>
      </c>
      <c r="I1045" s="40"/>
      <c r="J1045" s="40"/>
      <c r="K1045" s="40"/>
      <c r="L1045" s="40" t="str">
        <f ca="1">IFERROR(__xludf.DUMMYFUNCTION("""COMPUTED_VALUE"""),"NO HA INICIADO ETAPA PRODUCTIVA")</f>
        <v>NO HA INICIADO ETAPA PRODUCTIVA</v>
      </c>
      <c r="M1045" s="40"/>
      <c r="N1045" s="40"/>
      <c r="O1045" s="40"/>
      <c r="P1045" s="40"/>
      <c r="Q1045" s="40"/>
      <c r="R1045" s="140"/>
      <c r="S1045" s="140"/>
      <c r="T1045" s="40" t="str">
        <f ca="1">IFERROR(__xludf.DUMMYFUNCTION("""COMPUTED_VALUE"""),"debe 33 resultados... Revisado 15/11/2022")</f>
        <v>debe 33 resultados... Revisado 15/11/2022</v>
      </c>
      <c r="U1045" s="40"/>
      <c r="V1045" s="40"/>
      <c r="W1045" s="40"/>
      <c r="X1045" s="40"/>
      <c r="Y1045" s="40"/>
      <c r="Z1045" s="40"/>
      <c r="AA1045" s="40"/>
      <c r="AB1045" s="40"/>
      <c r="AC1045" s="40"/>
      <c r="AD1045" s="40"/>
      <c r="AE1045" s="40"/>
      <c r="AF1045" s="40"/>
      <c r="AG1045" s="40"/>
      <c r="AH1045" s="40"/>
      <c r="AI1045" s="40"/>
      <c r="AJ1045" s="40"/>
      <c r="AK1045" s="40"/>
      <c r="AL1045" s="40"/>
      <c r="AM1045" s="40"/>
      <c r="AN1045" s="40"/>
      <c r="AO1045" s="40"/>
      <c r="AP1045" s="40"/>
      <c r="AQ1045" s="40"/>
      <c r="AR1045" s="40"/>
      <c r="AS1045" s="40"/>
      <c r="AT1045" s="40"/>
      <c r="AU1045" s="40" t="str">
        <f ca="1">IFERROR(__xludf.DUMMYFUNCTION("""COMPUTED_VALUE"""),"NO_CUMPLE")</f>
        <v>NO_CUMPLE</v>
      </c>
      <c r="AV1045" s="40" t="str">
        <f ca="1">IFERROR(__xludf.DUMMYFUNCTION("""COMPUTED_VALUE"""),"EN FORMACION")</f>
        <v>EN FORMACION</v>
      </c>
      <c r="AW1045" s="40" t="str">
        <f ca="1">IFERROR(__xludf.DUMMYFUNCTION("""COMPUTED_VALUE"""),"TIC")</f>
        <v>TIC</v>
      </c>
      <c r="AX1045" s="141">
        <f ca="1">IFERROR(__xludf.DUMMYFUNCTION("""COMPUTED_VALUE"""),6)</f>
        <v>6</v>
      </c>
      <c r="AY1045" s="40">
        <f ca="1">IFERROR(__xludf.DUMMYFUNCTION("""COMPUTED_VALUE"""),6)</f>
        <v>6</v>
      </c>
      <c r="AZ1045" s="40">
        <f ca="1">IFERROR(__xludf.DUMMYFUNCTION("""COMPUTED_VALUE"""),1)</f>
        <v>1</v>
      </c>
      <c r="BA1045" s="40">
        <f ca="1">IFERROR(__xludf.DUMMYFUNCTION("""COMPUTED_VALUE"""),9)</f>
        <v>9</v>
      </c>
      <c r="BB1045" s="40">
        <f ca="1">IFERROR(__xludf.DUMMYFUNCTION("""COMPUTED_VALUE"""),18)</f>
        <v>18</v>
      </c>
      <c r="BC1045" s="40">
        <f ca="1">IFERROR(__xludf.DUMMYFUNCTION("""COMPUTED_VALUE"""),34)</f>
        <v>34</v>
      </c>
      <c r="BD1045" s="141">
        <f ca="1">IFERROR(__xludf.DUMMYFUNCTION("""COMPUTED_VALUE"""),44375)</f>
        <v>44375</v>
      </c>
      <c r="BE1045" s="141">
        <f ca="1">IFERROR(__xludf.DUMMYFUNCTION("""COMPUTED_VALUE"""),44922)</f>
        <v>44922</v>
      </c>
      <c r="BF1045" s="141">
        <f ca="1">IFERROR(__xludf.DUMMYFUNCTION("""COMPUTED_VALUE"""),45104)</f>
        <v>45104</v>
      </c>
      <c r="BG1045" s="141">
        <f ca="1">IFERROR(__xludf.DUMMYFUNCTION("""COMPUTED_VALUE"""),45653)</f>
        <v>45653</v>
      </c>
      <c r="BH1045" s="40" t="str">
        <f ca="1">IFERROR(__xludf.DUMMYFUNCTION("""COMPUTED_VALUE"""),"FICHA EN TIEMPO-18 MESES")</f>
        <v>FICHA EN TIEMPO-18 MESES</v>
      </c>
      <c r="BI1045" s="40" t="str">
        <f ca="1">IFERROR(__xludf.DUMMYFUNCTION("""COMPUTED_VALUE"""),"En ejecucion")</f>
        <v>En ejecucion</v>
      </c>
      <c r="BJ1045" s="40" t="str">
        <f ca="1">IFERROR(__xludf.DUMMYFUNCTION("""COMPUTED_VALUE"""),"Yamboro")</f>
        <v>Yamboro</v>
      </c>
      <c r="BK1045" s="40"/>
      <c r="BL1045" s="40"/>
    </row>
    <row r="1046" spans="1:64" ht="13">
      <c r="A1046" s="40"/>
      <c r="B1046" s="40" t="str">
        <f ca="1">IFERROR(__xludf.DUMMYFUNCTION("""COMPUTED_VALUE"""),"FORMACIÓN 18/10/2022")</f>
        <v>FORMACIÓN 18/10/2022</v>
      </c>
      <c r="C1046" s="40" t="str">
        <f ca="1">IFERROR(__xludf.DUMMYFUNCTION("""COMPUTED_VALUE"""),"ANDREA SALAZAR PERDOMO")</f>
        <v>ANDREA SALAZAR PERDOMO</v>
      </c>
      <c r="D1046" s="40" t="str">
        <f ca="1">IFERROR(__xludf.DUMMYFUNCTION("""COMPUTED_VALUE"""),"CC")</f>
        <v>CC</v>
      </c>
      <c r="E1046" s="40">
        <f ca="1">IFERROR(__xludf.DUMMYFUNCTION("""COMPUTED_VALUE"""),36347591)</f>
        <v>36347591</v>
      </c>
      <c r="F1046" s="40">
        <f ca="1">IFERROR(__xludf.DUMMYFUNCTION("""COMPUTED_VALUE"""),2348408)</f>
        <v>2348408</v>
      </c>
      <c r="G1046" s="40" t="str">
        <f ca="1">IFERROR(__xludf.DUMMYFUNCTION("""COMPUTED_VALUE"""),"TECNÓLOGO")</f>
        <v>TECNÓLOGO</v>
      </c>
      <c r="H1046" s="40" t="str">
        <f ca="1">IFERROR(__xludf.DUMMYFUNCTION("""COMPUTED_VALUE"""),"PRODUCCION DE MULTIMEDIA")</f>
        <v>PRODUCCION DE MULTIMEDIA</v>
      </c>
      <c r="I1046" s="40"/>
      <c r="J1046" s="40"/>
      <c r="K1046" s="40"/>
      <c r="L1046" s="40" t="str">
        <f ca="1">IFERROR(__xludf.DUMMYFUNCTION("""COMPUTED_VALUE"""),"NO HA INICIADO ETAPA PRODUCTIVA")</f>
        <v>NO HA INICIADO ETAPA PRODUCTIVA</v>
      </c>
      <c r="M1046" s="40"/>
      <c r="N1046" s="40"/>
      <c r="O1046" s="40"/>
      <c r="P1046" s="40"/>
      <c r="Q1046" s="40"/>
      <c r="R1046" s="140"/>
      <c r="S1046" s="140"/>
      <c r="T1046" s="40" t="str">
        <f ca="1">IFERROR(__xludf.DUMMYFUNCTION("""COMPUTED_VALUE"""),"debe 11 resultados... Revisado 15/11/2022")</f>
        <v>debe 11 resultados... Revisado 15/11/2022</v>
      </c>
      <c r="U1046" s="40"/>
      <c r="V1046" s="40"/>
      <c r="W1046" s="40"/>
      <c r="X1046" s="40"/>
      <c r="Y1046" s="40"/>
      <c r="Z1046" s="40"/>
      <c r="AA1046" s="40"/>
      <c r="AB1046" s="40"/>
      <c r="AC1046" s="40"/>
      <c r="AD1046" s="40"/>
      <c r="AE1046" s="40"/>
      <c r="AF1046" s="40"/>
      <c r="AG1046" s="40"/>
      <c r="AH1046" s="40"/>
      <c r="AI1046" s="40"/>
      <c r="AJ1046" s="40"/>
      <c r="AK1046" s="40"/>
      <c r="AL1046" s="40"/>
      <c r="AM1046" s="40"/>
      <c r="AN1046" s="40"/>
      <c r="AO1046" s="40"/>
      <c r="AP1046" s="40"/>
      <c r="AQ1046" s="40"/>
      <c r="AR1046" s="40"/>
      <c r="AS1046" s="40"/>
      <c r="AT1046" s="40"/>
      <c r="AU1046" s="40" t="str">
        <f ca="1">IFERROR(__xludf.DUMMYFUNCTION("""COMPUTED_VALUE"""),"NO_CUMPLE")</f>
        <v>NO_CUMPLE</v>
      </c>
      <c r="AV1046" s="40" t="str">
        <f ca="1">IFERROR(__xludf.DUMMYFUNCTION("""COMPUTED_VALUE"""),"EN FORMACION")</f>
        <v>EN FORMACION</v>
      </c>
      <c r="AW1046" s="40" t="str">
        <f ca="1">IFERROR(__xludf.DUMMYFUNCTION("""COMPUTED_VALUE"""),"TIC")</f>
        <v>TIC</v>
      </c>
      <c r="AX1046" s="141">
        <f ca="1">IFERROR(__xludf.DUMMYFUNCTION("""COMPUTED_VALUE"""),2)</f>
        <v>2</v>
      </c>
      <c r="AY1046" s="40">
        <f ca="1">IFERROR(__xludf.DUMMYFUNCTION("""COMPUTED_VALUE"""),2)</f>
        <v>2</v>
      </c>
      <c r="AZ1046" s="40">
        <f ca="1">IFERROR(__xludf.DUMMYFUNCTION("""COMPUTED_VALUE"""),1)</f>
        <v>1</v>
      </c>
      <c r="BA1046" s="40">
        <f ca="1">IFERROR(__xludf.DUMMYFUNCTION("""COMPUTED_VALUE"""),7)</f>
        <v>7</v>
      </c>
      <c r="BB1046" s="40">
        <f ca="1">IFERROR(__xludf.DUMMYFUNCTION("""COMPUTED_VALUE"""),4)</f>
        <v>4</v>
      </c>
      <c r="BC1046" s="40">
        <f ca="1">IFERROR(__xludf.DUMMYFUNCTION("""COMPUTED_VALUE"""),14)</f>
        <v>14</v>
      </c>
      <c r="BD1046" s="141">
        <f ca="1">IFERROR(__xludf.DUMMYFUNCTION("""COMPUTED_VALUE"""),44375)</f>
        <v>44375</v>
      </c>
      <c r="BE1046" s="141">
        <f ca="1">IFERROR(__xludf.DUMMYFUNCTION("""COMPUTED_VALUE"""),44922)</f>
        <v>44922</v>
      </c>
      <c r="BF1046" s="141">
        <f ca="1">IFERROR(__xludf.DUMMYFUNCTION("""COMPUTED_VALUE"""),45104)</f>
        <v>45104</v>
      </c>
      <c r="BG1046" s="141">
        <f ca="1">IFERROR(__xludf.DUMMYFUNCTION("""COMPUTED_VALUE"""),45653)</f>
        <v>45653</v>
      </c>
      <c r="BH1046" s="40" t="str">
        <f ca="1">IFERROR(__xludf.DUMMYFUNCTION("""COMPUTED_VALUE"""),"FICHA EN TIEMPO-18 MESES")</f>
        <v>FICHA EN TIEMPO-18 MESES</v>
      </c>
      <c r="BI1046" s="40" t="str">
        <f ca="1">IFERROR(__xludf.DUMMYFUNCTION("""COMPUTED_VALUE"""),"En ejecucion")</f>
        <v>En ejecucion</v>
      </c>
      <c r="BJ1046" s="40" t="str">
        <f ca="1">IFERROR(__xludf.DUMMYFUNCTION("""COMPUTED_VALUE"""),"Yamboro")</f>
        <v>Yamboro</v>
      </c>
      <c r="BK1046" s="40"/>
      <c r="BL1046" s="40"/>
    </row>
    <row r="1047" spans="1:64" ht="13">
      <c r="A1047" s="40"/>
      <c r="B1047" s="40" t="str">
        <f ca="1">IFERROR(__xludf.DUMMYFUNCTION("""COMPUTED_VALUE"""),"FORMACIÓN 18/10/2022")</f>
        <v>FORMACIÓN 18/10/2022</v>
      </c>
      <c r="C1047" s="40" t="str">
        <f ca="1">IFERROR(__xludf.DUMMYFUNCTION("""COMPUTED_VALUE"""),"CLAUDIA MILENA TAPASCO LEON")</f>
        <v>CLAUDIA MILENA TAPASCO LEON</v>
      </c>
      <c r="D1047" s="40" t="str">
        <f ca="1">IFERROR(__xludf.DUMMYFUNCTION("""COMPUTED_VALUE"""),"CC")</f>
        <v>CC</v>
      </c>
      <c r="E1047" s="40">
        <f ca="1">IFERROR(__xludf.DUMMYFUNCTION("""COMPUTED_VALUE"""),42134359)</f>
        <v>42134359</v>
      </c>
      <c r="F1047" s="40">
        <f ca="1">IFERROR(__xludf.DUMMYFUNCTION("""COMPUTED_VALUE"""),2348408)</f>
        <v>2348408</v>
      </c>
      <c r="G1047" s="40" t="str">
        <f ca="1">IFERROR(__xludf.DUMMYFUNCTION("""COMPUTED_VALUE"""),"TECNÓLOGO")</f>
        <v>TECNÓLOGO</v>
      </c>
      <c r="H1047" s="40" t="str">
        <f ca="1">IFERROR(__xludf.DUMMYFUNCTION("""COMPUTED_VALUE"""),"PRODUCCION DE MULTIMEDIA")</f>
        <v>PRODUCCION DE MULTIMEDIA</v>
      </c>
      <c r="I1047" s="40"/>
      <c r="J1047" s="40"/>
      <c r="K1047" s="40"/>
      <c r="L1047" s="40" t="str">
        <f ca="1">IFERROR(__xludf.DUMMYFUNCTION("""COMPUTED_VALUE"""),"NO HA INICIADO ETAPA PRODUCTIVA")</f>
        <v>NO HA INICIADO ETAPA PRODUCTIVA</v>
      </c>
      <c r="M1047" s="40"/>
      <c r="N1047" s="40"/>
      <c r="O1047" s="40"/>
      <c r="P1047" s="40"/>
      <c r="Q1047" s="40"/>
      <c r="R1047" s="140"/>
      <c r="S1047" s="140"/>
      <c r="T1047" s="40" t="str">
        <f ca="1">IFERROR(__xludf.DUMMYFUNCTION("""COMPUTED_VALUE"""),"debe 18 resultados... Revisado 15/11/2022")</f>
        <v>debe 18 resultados... Revisado 15/11/2022</v>
      </c>
      <c r="U1047" s="40"/>
      <c r="V1047" s="40"/>
      <c r="W1047" s="40"/>
      <c r="X1047" s="40"/>
      <c r="Y1047" s="40"/>
      <c r="Z1047" s="40"/>
      <c r="AA1047" s="40"/>
      <c r="AB1047" s="40"/>
      <c r="AC1047" s="40"/>
      <c r="AD1047" s="40"/>
      <c r="AE1047" s="40"/>
      <c r="AF1047" s="40"/>
      <c r="AG1047" s="40"/>
      <c r="AH1047" s="40"/>
      <c r="AI1047" s="40"/>
      <c r="AJ1047" s="40"/>
      <c r="AK1047" s="40"/>
      <c r="AL1047" s="40"/>
      <c r="AM1047" s="40"/>
      <c r="AN1047" s="40"/>
      <c r="AO1047" s="40"/>
      <c r="AP1047" s="40"/>
      <c r="AQ1047" s="40"/>
      <c r="AR1047" s="40"/>
      <c r="AS1047" s="40"/>
      <c r="AT1047" s="40"/>
      <c r="AU1047" s="40" t="str">
        <f ca="1">IFERROR(__xludf.DUMMYFUNCTION("""COMPUTED_VALUE"""),"NO_CUMPLE")</f>
        <v>NO_CUMPLE</v>
      </c>
      <c r="AV1047" s="40" t="str">
        <f ca="1">IFERROR(__xludf.DUMMYFUNCTION("""COMPUTED_VALUE"""),"EN FORMACION")</f>
        <v>EN FORMACION</v>
      </c>
      <c r="AW1047" s="40" t="str">
        <f ca="1">IFERROR(__xludf.DUMMYFUNCTION("""COMPUTED_VALUE"""),"TIC")</f>
        <v>TIC</v>
      </c>
      <c r="AX1047" s="141">
        <f ca="1">IFERROR(__xludf.DUMMYFUNCTION("""COMPUTED_VALUE"""),4)</f>
        <v>4</v>
      </c>
      <c r="AY1047" s="40">
        <f ca="1">IFERROR(__xludf.DUMMYFUNCTION("""COMPUTED_VALUE"""),4)</f>
        <v>4</v>
      </c>
      <c r="AZ1047" s="40">
        <f ca="1">IFERROR(__xludf.DUMMYFUNCTION("""COMPUTED_VALUE"""),1)</f>
        <v>1</v>
      </c>
      <c r="BA1047" s="40">
        <f ca="1">IFERROR(__xludf.DUMMYFUNCTION("""COMPUTED_VALUE"""),5)</f>
        <v>5</v>
      </c>
      <c r="BB1047" s="40">
        <f ca="1">IFERROR(__xludf.DUMMYFUNCTION("""COMPUTED_VALUE"""),10)</f>
        <v>10</v>
      </c>
      <c r="BC1047" s="40">
        <f ca="1">IFERROR(__xludf.DUMMYFUNCTION("""COMPUTED_VALUE"""),20)</f>
        <v>20</v>
      </c>
      <c r="BD1047" s="141">
        <f ca="1">IFERROR(__xludf.DUMMYFUNCTION("""COMPUTED_VALUE"""),44375)</f>
        <v>44375</v>
      </c>
      <c r="BE1047" s="141">
        <f ca="1">IFERROR(__xludf.DUMMYFUNCTION("""COMPUTED_VALUE"""),44922)</f>
        <v>44922</v>
      </c>
      <c r="BF1047" s="141">
        <f ca="1">IFERROR(__xludf.DUMMYFUNCTION("""COMPUTED_VALUE"""),45104)</f>
        <v>45104</v>
      </c>
      <c r="BG1047" s="141">
        <f ca="1">IFERROR(__xludf.DUMMYFUNCTION("""COMPUTED_VALUE"""),45653)</f>
        <v>45653</v>
      </c>
      <c r="BH1047" s="40" t="str">
        <f ca="1">IFERROR(__xludf.DUMMYFUNCTION("""COMPUTED_VALUE"""),"FICHA EN TIEMPO-18 MESES")</f>
        <v>FICHA EN TIEMPO-18 MESES</v>
      </c>
      <c r="BI1047" s="40" t="str">
        <f ca="1">IFERROR(__xludf.DUMMYFUNCTION("""COMPUTED_VALUE"""),"En ejecucion")</f>
        <v>En ejecucion</v>
      </c>
      <c r="BJ1047" s="40" t="str">
        <f ca="1">IFERROR(__xludf.DUMMYFUNCTION("""COMPUTED_VALUE"""),"Yamboro")</f>
        <v>Yamboro</v>
      </c>
      <c r="BK1047" s="40"/>
      <c r="BL1047" s="40"/>
    </row>
    <row r="1048" spans="1:64" ht="13">
      <c r="A1048" s="40"/>
      <c r="B1048" s="40" t="str">
        <f ca="1">IFERROR(__xludf.DUMMYFUNCTION("""COMPUTED_VALUE"""),"FORMACIÓN 18/10/2022")</f>
        <v>FORMACIÓN 18/10/2022</v>
      </c>
      <c r="C1048" s="40" t="str">
        <f ca="1">IFERROR(__xludf.DUMMYFUNCTION("""COMPUTED_VALUE"""),"ALEJANDRO ZAPATA ECHEVERRI")</f>
        <v>ALEJANDRO ZAPATA ECHEVERRI</v>
      </c>
      <c r="D1048" s="40" t="str">
        <f ca="1">IFERROR(__xludf.DUMMYFUNCTION("""COMPUTED_VALUE"""),"CC")</f>
        <v>CC</v>
      </c>
      <c r="E1048" s="40">
        <f ca="1">IFERROR(__xludf.DUMMYFUNCTION("""COMPUTED_VALUE"""),71295631)</f>
        <v>71295631</v>
      </c>
      <c r="F1048" s="40">
        <f ca="1">IFERROR(__xludf.DUMMYFUNCTION("""COMPUTED_VALUE"""),2348408)</f>
        <v>2348408</v>
      </c>
      <c r="G1048" s="40" t="str">
        <f ca="1">IFERROR(__xludf.DUMMYFUNCTION("""COMPUTED_VALUE"""),"TECNÓLOGO")</f>
        <v>TECNÓLOGO</v>
      </c>
      <c r="H1048" s="40" t="str">
        <f ca="1">IFERROR(__xludf.DUMMYFUNCTION("""COMPUTED_VALUE"""),"PRODUCCION DE MULTIMEDIA")</f>
        <v>PRODUCCION DE MULTIMEDIA</v>
      </c>
      <c r="I1048" s="40"/>
      <c r="J1048" s="40"/>
      <c r="K1048" s="40"/>
      <c r="L1048" s="40" t="str">
        <f ca="1">IFERROR(__xludf.DUMMYFUNCTION("""COMPUTED_VALUE"""),"NO HA INICIADO ETAPA PRODUCTIVA")</f>
        <v>NO HA INICIADO ETAPA PRODUCTIVA</v>
      </c>
      <c r="M1048" s="40"/>
      <c r="N1048" s="40"/>
      <c r="O1048" s="40"/>
      <c r="P1048" s="40"/>
      <c r="Q1048" s="40"/>
      <c r="R1048" s="140"/>
      <c r="S1048" s="140"/>
      <c r="T1048" s="40" t="str">
        <f ca="1">IFERROR(__xludf.DUMMYFUNCTION("""COMPUTED_VALUE"""),"debe 9 resultados... Revisado 15/11/2022")</f>
        <v>debe 9 resultados... Revisado 15/11/2022</v>
      </c>
      <c r="U1048" s="40"/>
      <c r="V1048" s="40"/>
      <c r="W1048" s="40"/>
      <c r="X1048" s="40"/>
      <c r="Y1048" s="40"/>
      <c r="Z1048" s="40"/>
      <c r="AA1048" s="40"/>
      <c r="AB1048" s="40"/>
      <c r="AC1048" s="40"/>
      <c r="AD1048" s="40"/>
      <c r="AE1048" s="40"/>
      <c r="AF1048" s="40"/>
      <c r="AG1048" s="40"/>
      <c r="AH1048" s="40"/>
      <c r="AI1048" s="40"/>
      <c r="AJ1048" s="40"/>
      <c r="AK1048" s="40"/>
      <c r="AL1048" s="40"/>
      <c r="AM1048" s="40"/>
      <c r="AN1048" s="40"/>
      <c r="AO1048" s="40"/>
      <c r="AP1048" s="40"/>
      <c r="AQ1048" s="40"/>
      <c r="AR1048" s="40"/>
      <c r="AS1048" s="40"/>
      <c r="AT1048" s="40"/>
      <c r="AU1048" s="40" t="str">
        <f ca="1">IFERROR(__xludf.DUMMYFUNCTION("""COMPUTED_VALUE"""),"NO_CUMPLE")</f>
        <v>NO_CUMPLE</v>
      </c>
      <c r="AV1048" s="40" t="str">
        <f ca="1">IFERROR(__xludf.DUMMYFUNCTION("""COMPUTED_VALUE"""),"EN FORMACION")</f>
        <v>EN FORMACION</v>
      </c>
      <c r="AW1048" s="40" t="str">
        <f ca="1">IFERROR(__xludf.DUMMYFUNCTION("""COMPUTED_VALUE"""),"TIC")</f>
        <v>TIC</v>
      </c>
      <c r="AX1048" s="141">
        <f ca="1">IFERROR(__xludf.DUMMYFUNCTION("""COMPUTED_VALUE"""),2)</f>
        <v>2</v>
      </c>
      <c r="AY1048" s="40">
        <f ca="1">IFERROR(__xludf.DUMMYFUNCTION("""COMPUTED_VALUE"""),2)</f>
        <v>2</v>
      </c>
      <c r="AZ1048" s="40">
        <f ca="1">IFERROR(__xludf.DUMMYFUNCTION("""COMPUTED_VALUE"""),1)</f>
        <v>1</v>
      </c>
      <c r="BA1048" s="40">
        <f ca="1">IFERROR(__xludf.DUMMYFUNCTION("""COMPUTED_VALUE"""),4)</f>
        <v>4</v>
      </c>
      <c r="BB1048" s="40">
        <f ca="1">IFERROR(__xludf.DUMMYFUNCTION("""COMPUTED_VALUE"""),6)</f>
        <v>6</v>
      </c>
      <c r="BC1048" s="40">
        <f ca="1">IFERROR(__xludf.DUMMYFUNCTION("""COMPUTED_VALUE"""),13)</f>
        <v>13</v>
      </c>
      <c r="BD1048" s="141">
        <f ca="1">IFERROR(__xludf.DUMMYFUNCTION("""COMPUTED_VALUE"""),44375)</f>
        <v>44375</v>
      </c>
      <c r="BE1048" s="141">
        <f ca="1">IFERROR(__xludf.DUMMYFUNCTION("""COMPUTED_VALUE"""),44922)</f>
        <v>44922</v>
      </c>
      <c r="BF1048" s="141">
        <f ca="1">IFERROR(__xludf.DUMMYFUNCTION("""COMPUTED_VALUE"""),45104)</f>
        <v>45104</v>
      </c>
      <c r="BG1048" s="141">
        <f ca="1">IFERROR(__xludf.DUMMYFUNCTION("""COMPUTED_VALUE"""),45653)</f>
        <v>45653</v>
      </c>
      <c r="BH1048" s="40" t="str">
        <f ca="1">IFERROR(__xludf.DUMMYFUNCTION("""COMPUTED_VALUE"""),"FICHA EN TIEMPO-18 MESES")</f>
        <v>FICHA EN TIEMPO-18 MESES</v>
      </c>
      <c r="BI1048" s="40" t="str">
        <f ca="1">IFERROR(__xludf.DUMMYFUNCTION("""COMPUTED_VALUE"""),"En ejecucion")</f>
        <v>En ejecucion</v>
      </c>
      <c r="BJ1048" s="40" t="str">
        <f ca="1">IFERROR(__xludf.DUMMYFUNCTION("""COMPUTED_VALUE"""),"Yamboro")</f>
        <v>Yamboro</v>
      </c>
      <c r="BK1048" s="40"/>
      <c r="BL1048" s="40"/>
    </row>
    <row r="1049" spans="1:64" ht="13">
      <c r="A1049" s="40"/>
      <c r="B1049" s="40" t="str">
        <f ca="1">IFERROR(__xludf.DUMMYFUNCTION("""COMPUTED_VALUE"""),"FORMACIÓN 18/10/2022")</f>
        <v>FORMACIÓN 18/10/2022</v>
      </c>
      <c r="C1049" s="40" t="str">
        <f ca="1">IFERROR(__xludf.DUMMYFUNCTION("""COMPUTED_VALUE"""),"FABIO RODRIGUEZ GOMEZ")</f>
        <v>FABIO RODRIGUEZ GOMEZ</v>
      </c>
      <c r="D1049" s="40" t="str">
        <f ca="1">IFERROR(__xludf.DUMMYFUNCTION("""COMPUTED_VALUE"""),"CC")</f>
        <v>CC</v>
      </c>
      <c r="E1049" s="40">
        <f ca="1">IFERROR(__xludf.DUMMYFUNCTION("""COMPUTED_VALUE"""),79222283)</f>
        <v>79222283</v>
      </c>
      <c r="F1049" s="40">
        <f ca="1">IFERROR(__xludf.DUMMYFUNCTION("""COMPUTED_VALUE"""),2348408)</f>
        <v>2348408</v>
      </c>
      <c r="G1049" s="40" t="str">
        <f ca="1">IFERROR(__xludf.DUMMYFUNCTION("""COMPUTED_VALUE"""),"TECNÓLOGO")</f>
        <v>TECNÓLOGO</v>
      </c>
      <c r="H1049" s="40" t="str">
        <f ca="1">IFERROR(__xludf.DUMMYFUNCTION("""COMPUTED_VALUE"""),"PRODUCCION DE MULTIMEDIA")</f>
        <v>PRODUCCION DE MULTIMEDIA</v>
      </c>
      <c r="I1049" s="40"/>
      <c r="J1049" s="40"/>
      <c r="K1049" s="40"/>
      <c r="L1049" s="40" t="str">
        <f ca="1">IFERROR(__xludf.DUMMYFUNCTION("""COMPUTED_VALUE"""),"NO HA INICIADO ETAPA PRODUCTIVA")</f>
        <v>NO HA INICIADO ETAPA PRODUCTIVA</v>
      </c>
      <c r="M1049" s="40"/>
      <c r="N1049" s="40"/>
      <c r="O1049" s="40"/>
      <c r="P1049" s="40"/>
      <c r="Q1049" s="40"/>
      <c r="R1049" s="140"/>
      <c r="S1049" s="140"/>
      <c r="T1049" s="40" t="str">
        <f ca="1">IFERROR(__xludf.DUMMYFUNCTION("""COMPUTED_VALUE"""),"debe 8 resultados... Revisado 15/11/2022")</f>
        <v>debe 8 resultados... Revisado 15/11/2022</v>
      </c>
      <c r="U1049" s="40"/>
      <c r="V1049" s="40"/>
      <c r="W1049" s="40"/>
      <c r="X1049" s="40"/>
      <c r="Y1049" s="40"/>
      <c r="Z1049" s="40"/>
      <c r="AA1049" s="40"/>
      <c r="AB1049" s="40"/>
      <c r="AC1049" s="40"/>
      <c r="AD1049" s="40"/>
      <c r="AE1049" s="40"/>
      <c r="AF1049" s="40"/>
      <c r="AG1049" s="40"/>
      <c r="AH1049" s="40"/>
      <c r="AI1049" s="40"/>
      <c r="AJ1049" s="40"/>
      <c r="AK1049" s="40"/>
      <c r="AL1049" s="40"/>
      <c r="AM1049" s="40"/>
      <c r="AN1049" s="40"/>
      <c r="AO1049" s="40"/>
      <c r="AP1049" s="40"/>
      <c r="AQ1049" s="40"/>
      <c r="AR1049" s="40"/>
      <c r="AS1049" s="40"/>
      <c r="AT1049" s="40"/>
      <c r="AU1049" s="40" t="str">
        <f ca="1">IFERROR(__xludf.DUMMYFUNCTION("""COMPUTED_VALUE"""),"NO_CUMPLE")</f>
        <v>NO_CUMPLE</v>
      </c>
      <c r="AV1049" s="40" t="str">
        <f ca="1">IFERROR(__xludf.DUMMYFUNCTION("""COMPUTED_VALUE"""),"EN FORMACION")</f>
        <v>EN FORMACION</v>
      </c>
      <c r="AW1049" s="40" t="str">
        <f ca="1">IFERROR(__xludf.DUMMYFUNCTION("""COMPUTED_VALUE"""),"TIC")</f>
        <v>TIC</v>
      </c>
      <c r="AX1049" s="141">
        <f ca="1">IFERROR(__xludf.DUMMYFUNCTION("""COMPUTED_VALUE"""),2)</f>
        <v>2</v>
      </c>
      <c r="AY1049" s="40">
        <f ca="1">IFERROR(__xludf.DUMMYFUNCTION("""COMPUTED_VALUE"""),2)</f>
        <v>2</v>
      </c>
      <c r="AZ1049" s="40">
        <f ca="1">IFERROR(__xludf.DUMMYFUNCTION("""COMPUTED_VALUE"""),1)</f>
        <v>1</v>
      </c>
      <c r="BA1049" s="40">
        <f ca="1">IFERROR(__xludf.DUMMYFUNCTION("""COMPUTED_VALUE"""),3)</f>
        <v>3</v>
      </c>
      <c r="BB1049" s="40">
        <f ca="1">IFERROR(__xludf.DUMMYFUNCTION("""COMPUTED_VALUE"""),4)</f>
        <v>4</v>
      </c>
      <c r="BC1049" s="40">
        <f ca="1">IFERROR(__xludf.DUMMYFUNCTION("""COMPUTED_VALUE"""),10)</f>
        <v>10</v>
      </c>
      <c r="BD1049" s="141">
        <f ca="1">IFERROR(__xludf.DUMMYFUNCTION("""COMPUTED_VALUE"""),44375)</f>
        <v>44375</v>
      </c>
      <c r="BE1049" s="141">
        <f ca="1">IFERROR(__xludf.DUMMYFUNCTION("""COMPUTED_VALUE"""),44922)</f>
        <v>44922</v>
      </c>
      <c r="BF1049" s="141">
        <f ca="1">IFERROR(__xludf.DUMMYFUNCTION("""COMPUTED_VALUE"""),45104)</f>
        <v>45104</v>
      </c>
      <c r="BG1049" s="141">
        <f ca="1">IFERROR(__xludf.DUMMYFUNCTION("""COMPUTED_VALUE"""),45653)</f>
        <v>45653</v>
      </c>
      <c r="BH1049" s="40" t="str">
        <f ca="1">IFERROR(__xludf.DUMMYFUNCTION("""COMPUTED_VALUE"""),"FICHA EN TIEMPO-18 MESES")</f>
        <v>FICHA EN TIEMPO-18 MESES</v>
      </c>
      <c r="BI1049" s="40" t="str">
        <f ca="1">IFERROR(__xludf.DUMMYFUNCTION("""COMPUTED_VALUE"""),"En ejecucion")</f>
        <v>En ejecucion</v>
      </c>
      <c r="BJ1049" s="40" t="str">
        <f ca="1">IFERROR(__xludf.DUMMYFUNCTION("""COMPUTED_VALUE"""),"Yamboro")</f>
        <v>Yamboro</v>
      </c>
      <c r="BK1049" s="40"/>
      <c r="BL1049" s="40"/>
    </row>
    <row r="1050" spans="1:64" ht="13">
      <c r="A1050" s="40"/>
      <c r="B1050" s="40" t="str">
        <f ca="1">IFERROR(__xludf.DUMMYFUNCTION("""COMPUTED_VALUE"""),"FORMACIÓN 18/10/2022")</f>
        <v>FORMACIÓN 18/10/2022</v>
      </c>
      <c r="C1050" s="40" t="str">
        <f ca="1">IFERROR(__xludf.DUMMYFUNCTION("""COMPUTED_VALUE"""),"DENNIS MAURICIO RIAÑOS LOPEZ")</f>
        <v>DENNIS MAURICIO RIAÑOS LOPEZ</v>
      </c>
      <c r="D1050" s="40" t="str">
        <f ca="1">IFERROR(__xludf.DUMMYFUNCTION("""COMPUTED_VALUE"""),"CC")</f>
        <v>CC</v>
      </c>
      <c r="E1050" s="40">
        <f ca="1">IFERROR(__xludf.DUMMYFUNCTION("""COMPUTED_VALUE"""),80218784)</f>
        <v>80218784</v>
      </c>
      <c r="F1050" s="40">
        <f ca="1">IFERROR(__xludf.DUMMYFUNCTION("""COMPUTED_VALUE"""),2348408)</f>
        <v>2348408</v>
      </c>
      <c r="G1050" s="40" t="str">
        <f ca="1">IFERROR(__xludf.DUMMYFUNCTION("""COMPUTED_VALUE"""),"TECNÓLOGO")</f>
        <v>TECNÓLOGO</v>
      </c>
      <c r="H1050" s="40" t="str">
        <f ca="1">IFERROR(__xludf.DUMMYFUNCTION("""COMPUTED_VALUE"""),"PRODUCCION DE MULTIMEDIA")</f>
        <v>PRODUCCION DE MULTIMEDIA</v>
      </c>
      <c r="I1050" s="40"/>
      <c r="J1050" s="40"/>
      <c r="K1050" s="40"/>
      <c r="L1050" s="40" t="str">
        <f ca="1">IFERROR(__xludf.DUMMYFUNCTION("""COMPUTED_VALUE"""),"NO HA INICIADO ETAPA PRODUCTIVA")</f>
        <v>NO HA INICIADO ETAPA PRODUCTIVA</v>
      </c>
      <c r="M1050" s="40"/>
      <c r="N1050" s="40"/>
      <c r="O1050" s="40"/>
      <c r="P1050" s="40"/>
      <c r="Q1050" s="40"/>
      <c r="R1050" s="140"/>
      <c r="S1050" s="140"/>
      <c r="T1050" s="40" t="str">
        <f ca="1">IFERROR(__xludf.DUMMYFUNCTION("""COMPUTED_VALUE"""),"debe 12 resultados... Revisado 15/11/2022")</f>
        <v>debe 12 resultados... Revisado 15/11/2022</v>
      </c>
      <c r="U1050" s="40"/>
      <c r="V1050" s="40"/>
      <c r="W1050" s="40"/>
      <c r="X1050" s="40"/>
      <c r="Y1050" s="40"/>
      <c r="Z1050" s="40"/>
      <c r="AA1050" s="40"/>
      <c r="AB1050" s="40"/>
      <c r="AC1050" s="40"/>
      <c r="AD1050" s="40"/>
      <c r="AE1050" s="40"/>
      <c r="AF1050" s="40"/>
      <c r="AG1050" s="40"/>
      <c r="AH1050" s="40"/>
      <c r="AI1050" s="40"/>
      <c r="AJ1050" s="40"/>
      <c r="AK1050" s="40"/>
      <c r="AL1050" s="40"/>
      <c r="AM1050" s="40"/>
      <c r="AN1050" s="40"/>
      <c r="AO1050" s="40"/>
      <c r="AP1050" s="40"/>
      <c r="AQ1050" s="40"/>
      <c r="AR1050" s="40"/>
      <c r="AS1050" s="40"/>
      <c r="AT1050" s="40"/>
      <c r="AU1050" s="40" t="str">
        <f ca="1">IFERROR(__xludf.DUMMYFUNCTION("""COMPUTED_VALUE"""),"NO_CUMPLE")</f>
        <v>NO_CUMPLE</v>
      </c>
      <c r="AV1050" s="40" t="str">
        <f ca="1">IFERROR(__xludf.DUMMYFUNCTION("""COMPUTED_VALUE"""),"EN FORMACION")</f>
        <v>EN FORMACION</v>
      </c>
      <c r="AW1050" s="40" t="str">
        <f ca="1">IFERROR(__xludf.DUMMYFUNCTION("""COMPUTED_VALUE"""),"TIC")</f>
        <v>TIC</v>
      </c>
      <c r="AX1050" s="141">
        <f ca="1">IFERROR(__xludf.DUMMYFUNCTION("""COMPUTED_VALUE"""),2)</f>
        <v>2</v>
      </c>
      <c r="AY1050" s="40">
        <f ca="1">IFERROR(__xludf.DUMMYFUNCTION("""COMPUTED_VALUE"""),2)</f>
        <v>2</v>
      </c>
      <c r="AZ1050" s="40">
        <f ca="1">IFERROR(__xludf.DUMMYFUNCTION("""COMPUTED_VALUE"""),1)</f>
        <v>1</v>
      </c>
      <c r="BA1050" s="40">
        <f ca="1">IFERROR(__xludf.DUMMYFUNCTION("""COMPUTED_VALUE"""),9)</f>
        <v>9</v>
      </c>
      <c r="BB1050" s="40">
        <f ca="1">IFERROR(__xludf.DUMMYFUNCTION("""COMPUTED_VALUE"""),5)</f>
        <v>5</v>
      </c>
      <c r="BC1050" s="40">
        <f ca="1">IFERROR(__xludf.DUMMYFUNCTION("""COMPUTED_VALUE"""),17)</f>
        <v>17</v>
      </c>
      <c r="BD1050" s="141">
        <f ca="1">IFERROR(__xludf.DUMMYFUNCTION("""COMPUTED_VALUE"""),44375)</f>
        <v>44375</v>
      </c>
      <c r="BE1050" s="141">
        <f ca="1">IFERROR(__xludf.DUMMYFUNCTION("""COMPUTED_VALUE"""),44922)</f>
        <v>44922</v>
      </c>
      <c r="BF1050" s="141">
        <f ca="1">IFERROR(__xludf.DUMMYFUNCTION("""COMPUTED_VALUE"""),45104)</f>
        <v>45104</v>
      </c>
      <c r="BG1050" s="141">
        <f ca="1">IFERROR(__xludf.DUMMYFUNCTION("""COMPUTED_VALUE"""),45653)</f>
        <v>45653</v>
      </c>
      <c r="BH1050" s="40" t="str">
        <f ca="1">IFERROR(__xludf.DUMMYFUNCTION("""COMPUTED_VALUE"""),"FICHA EN TIEMPO-18 MESES")</f>
        <v>FICHA EN TIEMPO-18 MESES</v>
      </c>
      <c r="BI1050" s="40" t="str">
        <f ca="1">IFERROR(__xludf.DUMMYFUNCTION("""COMPUTED_VALUE"""),"En ejecucion")</f>
        <v>En ejecucion</v>
      </c>
      <c r="BJ1050" s="40" t="str">
        <f ca="1">IFERROR(__xludf.DUMMYFUNCTION("""COMPUTED_VALUE"""),"Yamboro")</f>
        <v>Yamboro</v>
      </c>
      <c r="BK1050" s="40"/>
      <c r="BL1050" s="40"/>
    </row>
  </sheetData>
  <autoFilter ref="A2:BI1079" xr:uid="{00000000-0009-0000-0000-000007000000}"/>
  <mergeCells count="4">
    <mergeCell ref="C1:L1"/>
    <mergeCell ref="M1:Q1"/>
    <mergeCell ref="R1:S1"/>
    <mergeCell ref="T1:Z1"/>
  </mergeCells>
  <conditionalFormatting sqref="A3:BL1591">
    <cfRule type="expression" dxfId="0" priority="1">
      <formula>SI</formula>
    </cfRule>
  </conditionalFormatting>
  <hyperlinks>
    <hyperlink ref="J619" r:id="rId1" display="http://chavarroadrigmail.com/" xr:uid="{00000000-0004-0000-0700-000000000000}"/>
  </hyperlinks>
  <pageMargins left="0" right="0" top="0" bottom="0" header="0" footer="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D83A7-57C7-4D64-AC3B-B2155E77CCA3}">
  <dimension ref="A1:H100"/>
  <sheetViews>
    <sheetView topLeftCell="A40" workbookViewId="0">
      <selection activeCell="G34" sqref="G34"/>
    </sheetView>
  </sheetViews>
  <sheetFormatPr baseColWidth="10" defaultColWidth="8.83203125" defaultRowHeight="13"/>
  <cols>
    <col min="1" max="1" width="45.83203125" customWidth="1"/>
    <col min="2" max="2" width="7" customWidth="1"/>
    <col min="3" max="3" width="15.6640625" customWidth="1"/>
    <col min="4" max="4" width="11.1640625" customWidth="1"/>
    <col min="5" max="5" width="12.1640625" customWidth="1"/>
    <col min="6" max="6" width="51.83203125" customWidth="1"/>
    <col min="7" max="7" width="58.6640625" customWidth="1"/>
    <col min="8" max="8" width="25.6640625" customWidth="1"/>
  </cols>
  <sheetData>
    <row r="1" spans="1:8" ht="15" customHeight="1">
      <c r="A1" s="642" t="s">
        <v>0</v>
      </c>
      <c r="B1" s="643"/>
      <c r="C1" s="643"/>
      <c r="D1" s="643"/>
      <c r="E1" s="643"/>
      <c r="F1" s="643"/>
      <c r="G1" s="644"/>
      <c r="H1" s="644"/>
    </row>
    <row r="2" spans="1:8" ht="47.25" customHeight="1">
      <c r="A2" s="390" t="s">
        <v>5</v>
      </c>
      <c r="B2" s="390" t="s">
        <v>6</v>
      </c>
      <c r="C2" s="390" t="s">
        <v>1741</v>
      </c>
      <c r="D2" s="390" t="s">
        <v>8</v>
      </c>
      <c r="E2" s="390" t="s">
        <v>9</v>
      </c>
      <c r="F2" s="390" t="s">
        <v>10</v>
      </c>
      <c r="G2" s="391" t="s">
        <v>22</v>
      </c>
      <c r="H2" s="391" t="s">
        <v>23</v>
      </c>
    </row>
    <row r="3" spans="1:8" ht="14.25" customHeight="1">
      <c r="A3" s="420" t="s">
        <v>1742</v>
      </c>
      <c r="B3" s="639">
        <v>2557397</v>
      </c>
      <c r="C3" s="641"/>
      <c r="D3" s="645"/>
      <c r="E3" s="420" t="s">
        <v>1743</v>
      </c>
      <c r="F3" s="420" t="s">
        <v>509</v>
      </c>
      <c r="G3" s="405" t="s">
        <v>1744</v>
      </c>
      <c r="H3" s="394"/>
    </row>
    <row r="4" spans="1:8" ht="14.25" customHeight="1">
      <c r="A4" s="416" t="s">
        <v>1745</v>
      </c>
      <c r="B4" s="416"/>
      <c r="C4" s="416">
        <v>1000594075</v>
      </c>
      <c r="D4" s="416">
        <v>2066212</v>
      </c>
      <c r="E4" s="416" t="s">
        <v>1743</v>
      </c>
      <c r="F4" s="416" t="s">
        <v>509</v>
      </c>
      <c r="G4" s="406" t="s">
        <v>1746</v>
      </c>
      <c r="H4" s="281"/>
    </row>
    <row r="5" spans="1:8" ht="14.25" customHeight="1">
      <c r="A5" s="417" t="s">
        <v>236</v>
      </c>
      <c r="B5" s="417"/>
      <c r="C5" s="417">
        <v>1001978446</v>
      </c>
      <c r="D5" s="417">
        <v>2066212</v>
      </c>
      <c r="E5" s="417" t="s">
        <v>1743</v>
      </c>
      <c r="F5" s="417" t="s">
        <v>509</v>
      </c>
      <c r="G5" s="407" t="s">
        <v>1747</v>
      </c>
      <c r="H5" s="392" t="s">
        <v>1748</v>
      </c>
    </row>
    <row r="6" spans="1:8" ht="14.25" customHeight="1">
      <c r="A6" s="416" t="s">
        <v>470</v>
      </c>
      <c r="B6" s="416" t="s">
        <v>67</v>
      </c>
      <c r="C6" s="416">
        <v>1079534328</v>
      </c>
      <c r="D6" s="416">
        <v>2500267</v>
      </c>
      <c r="E6" s="416" t="s">
        <v>1743</v>
      </c>
      <c r="F6" s="416" t="s">
        <v>509</v>
      </c>
      <c r="G6" s="406" t="s">
        <v>1749</v>
      </c>
      <c r="H6" s="392" t="s">
        <v>1750</v>
      </c>
    </row>
    <row r="7" spans="1:8" ht="14.25" customHeight="1">
      <c r="A7" s="416" t="s">
        <v>211</v>
      </c>
      <c r="B7" s="416" t="s">
        <v>27</v>
      </c>
      <c r="C7" s="416">
        <v>1007310927</v>
      </c>
      <c r="D7" s="416">
        <v>2066212</v>
      </c>
      <c r="E7" s="416" t="s">
        <v>1743</v>
      </c>
      <c r="F7" s="416" t="s">
        <v>509</v>
      </c>
      <c r="G7" s="406" t="s">
        <v>1751</v>
      </c>
      <c r="H7" s="392"/>
    </row>
    <row r="8" spans="1:8">
      <c r="A8" s="416" t="s">
        <v>1752</v>
      </c>
      <c r="B8" s="416" t="s">
        <v>27</v>
      </c>
      <c r="C8" s="416">
        <v>1004083428</v>
      </c>
      <c r="D8" s="416">
        <v>2500267</v>
      </c>
      <c r="E8" s="416" t="s">
        <v>1743</v>
      </c>
      <c r="F8" s="416" t="s">
        <v>509</v>
      </c>
      <c r="G8" s="406" t="s">
        <v>1753</v>
      </c>
      <c r="H8" s="392"/>
    </row>
    <row r="9" spans="1:8">
      <c r="A9" s="416" t="s">
        <v>484</v>
      </c>
      <c r="B9" s="416" t="s">
        <v>27</v>
      </c>
      <c r="C9" s="416">
        <v>1193031688</v>
      </c>
      <c r="D9" s="416">
        <v>2500267</v>
      </c>
      <c r="E9" s="416" t="s">
        <v>1743</v>
      </c>
      <c r="F9" s="416" t="s">
        <v>509</v>
      </c>
      <c r="G9" s="406" t="s">
        <v>1753</v>
      </c>
      <c r="H9" s="392"/>
    </row>
    <row r="10" spans="1:8">
      <c r="A10" s="416" t="s">
        <v>1754</v>
      </c>
      <c r="B10" s="416" t="s">
        <v>27</v>
      </c>
      <c r="C10" s="416">
        <v>1007520938</v>
      </c>
      <c r="D10" s="416">
        <v>2066212</v>
      </c>
      <c r="E10" s="416" t="s">
        <v>1743</v>
      </c>
      <c r="F10" s="416" t="s">
        <v>509</v>
      </c>
      <c r="G10" s="406" t="s">
        <v>1755</v>
      </c>
      <c r="H10" s="392"/>
    </row>
    <row r="11" spans="1:8">
      <c r="A11" s="416" t="s">
        <v>1756</v>
      </c>
      <c r="B11" s="416" t="s">
        <v>27</v>
      </c>
      <c r="C11" s="416">
        <v>1083931277</v>
      </c>
      <c r="D11" s="417">
        <v>2066212</v>
      </c>
      <c r="E11" s="416" t="s">
        <v>1743</v>
      </c>
      <c r="F11" s="416" t="s">
        <v>509</v>
      </c>
      <c r="G11" s="406" t="s">
        <v>1757</v>
      </c>
      <c r="H11" s="392"/>
    </row>
    <row r="12" spans="1:8">
      <c r="A12" s="417" t="s">
        <v>283</v>
      </c>
      <c r="B12" s="416" t="s">
        <v>27</v>
      </c>
      <c r="C12" s="417">
        <v>1083896931</v>
      </c>
      <c r="D12" s="417">
        <v>2166552</v>
      </c>
      <c r="E12" s="416" t="s">
        <v>1743</v>
      </c>
      <c r="F12" s="416" t="s">
        <v>509</v>
      </c>
      <c r="G12" s="407" t="s">
        <v>1758</v>
      </c>
      <c r="H12" s="392"/>
    </row>
    <row r="13" spans="1:8" ht="15">
      <c r="A13" s="416" t="s">
        <v>482</v>
      </c>
      <c r="B13" s="421" t="s">
        <v>27</v>
      </c>
      <c r="C13" s="72">
        <v>1089478152</v>
      </c>
      <c r="D13" s="72">
        <v>2500267</v>
      </c>
      <c r="E13" s="416" t="s">
        <v>1743</v>
      </c>
      <c r="F13" s="416" t="s">
        <v>509</v>
      </c>
      <c r="G13" s="406" t="s">
        <v>1753</v>
      </c>
      <c r="H13" s="392"/>
    </row>
    <row r="14" spans="1:8" ht="15">
      <c r="A14" s="417" t="s">
        <v>1759</v>
      </c>
      <c r="B14" s="422" t="s">
        <v>67</v>
      </c>
      <c r="C14" s="417">
        <v>1084330630</v>
      </c>
      <c r="D14" s="415">
        <v>2500267</v>
      </c>
      <c r="E14" s="417" t="s">
        <v>1743</v>
      </c>
      <c r="F14" s="417" t="s">
        <v>509</v>
      </c>
      <c r="G14" s="407" t="s">
        <v>1753</v>
      </c>
      <c r="H14" s="392"/>
    </row>
    <row r="15" spans="1:8" ht="15">
      <c r="A15" s="416" t="s">
        <v>1760</v>
      </c>
      <c r="B15" s="416" t="s">
        <v>27</v>
      </c>
      <c r="C15" s="416">
        <v>1083897794</v>
      </c>
      <c r="D15" s="415">
        <v>2500267</v>
      </c>
      <c r="E15" s="417" t="s">
        <v>1743</v>
      </c>
      <c r="F15" s="417" t="s">
        <v>509</v>
      </c>
      <c r="G15" s="407" t="s">
        <v>1753</v>
      </c>
      <c r="H15" s="392"/>
    </row>
    <row r="16" spans="1:8">
      <c r="A16" s="420" t="s">
        <v>1742</v>
      </c>
      <c r="B16" s="639">
        <v>2166552</v>
      </c>
      <c r="C16" s="641"/>
      <c r="D16" s="645"/>
      <c r="E16" s="420"/>
      <c r="F16" s="420"/>
      <c r="G16" s="405" t="s">
        <v>1761</v>
      </c>
      <c r="H16" s="393"/>
    </row>
    <row r="17" spans="1:8" ht="14.25" customHeight="1">
      <c r="A17" s="72" t="s">
        <v>485</v>
      </c>
      <c r="B17" s="72" t="s">
        <v>27</v>
      </c>
      <c r="C17" s="72">
        <v>1193572095</v>
      </c>
      <c r="D17" s="416">
        <v>2500267</v>
      </c>
      <c r="E17" s="417" t="s">
        <v>1743</v>
      </c>
      <c r="F17" s="417" t="s">
        <v>509</v>
      </c>
      <c r="G17" s="407" t="s">
        <v>1753</v>
      </c>
      <c r="H17" s="392"/>
    </row>
    <row r="18" spans="1:8" ht="14.25" customHeight="1">
      <c r="A18" s="72" t="s">
        <v>460</v>
      </c>
      <c r="B18" s="72" t="s">
        <v>27</v>
      </c>
      <c r="C18" s="72">
        <v>1004083241</v>
      </c>
      <c r="D18" s="72">
        <v>2500267</v>
      </c>
      <c r="E18" s="417" t="s">
        <v>1743</v>
      </c>
      <c r="F18" s="417" t="s">
        <v>509</v>
      </c>
      <c r="G18" s="407" t="s">
        <v>1753</v>
      </c>
      <c r="H18" s="392"/>
    </row>
    <row r="19" spans="1:8" ht="14.25" customHeight="1">
      <c r="A19" s="420" t="s">
        <v>1742</v>
      </c>
      <c r="B19" s="639">
        <v>2206479</v>
      </c>
      <c r="C19" s="641"/>
      <c r="D19" s="645"/>
      <c r="E19" s="420"/>
      <c r="F19" s="423"/>
      <c r="G19" s="405" t="s">
        <v>1762</v>
      </c>
      <c r="H19" s="393"/>
    </row>
    <row r="20" spans="1:8" ht="14.25" customHeight="1">
      <c r="A20" s="72" t="s">
        <v>480</v>
      </c>
      <c r="B20" s="72" t="s">
        <v>67</v>
      </c>
      <c r="C20" s="72">
        <v>1084251450</v>
      </c>
      <c r="D20" s="72">
        <v>2500267</v>
      </c>
      <c r="E20" s="424" t="s">
        <v>1743</v>
      </c>
      <c r="F20" s="425" t="s">
        <v>509</v>
      </c>
      <c r="G20" s="408" t="s">
        <v>1763</v>
      </c>
      <c r="H20" s="392"/>
    </row>
    <row r="21" spans="1:8" ht="14.25" customHeight="1">
      <c r="A21" s="72" t="s">
        <v>456</v>
      </c>
      <c r="B21" s="72" t="s">
        <v>27</v>
      </c>
      <c r="C21" s="72">
        <v>1003587606</v>
      </c>
      <c r="D21" s="426">
        <v>2500267</v>
      </c>
      <c r="E21" s="427" t="s">
        <v>1743</v>
      </c>
      <c r="F21" s="425" t="s">
        <v>509</v>
      </c>
      <c r="G21" s="408" t="s">
        <v>1763</v>
      </c>
      <c r="H21" s="392"/>
    </row>
    <row r="22" spans="1:8" ht="14.25" customHeight="1">
      <c r="A22" s="418" t="s">
        <v>265</v>
      </c>
      <c r="B22" s="418" t="s">
        <v>27</v>
      </c>
      <c r="C22" s="418">
        <v>1083872747</v>
      </c>
      <c r="D22" s="418">
        <v>2500267</v>
      </c>
      <c r="E22" s="427" t="s">
        <v>1743</v>
      </c>
      <c r="F22" s="425" t="s">
        <v>509</v>
      </c>
      <c r="G22" s="408" t="s">
        <v>1763</v>
      </c>
      <c r="H22" s="392"/>
    </row>
    <row r="23" spans="1:8" ht="14.25" customHeight="1">
      <c r="A23" s="72" t="s">
        <v>475</v>
      </c>
      <c r="B23" s="72" t="s">
        <v>27</v>
      </c>
      <c r="C23" s="72">
        <v>1083864269</v>
      </c>
      <c r="D23" s="72">
        <v>2500267</v>
      </c>
      <c r="E23" s="427" t="s">
        <v>1743</v>
      </c>
      <c r="F23" s="425" t="s">
        <v>509</v>
      </c>
      <c r="G23" s="408" t="s">
        <v>1763</v>
      </c>
      <c r="H23" s="392"/>
    </row>
    <row r="24" spans="1:8" ht="14.25" customHeight="1">
      <c r="A24" s="72" t="s">
        <v>476</v>
      </c>
      <c r="B24" s="72" t="s">
        <v>67</v>
      </c>
      <c r="C24" s="72">
        <v>1083870541</v>
      </c>
      <c r="D24" s="72">
        <v>2500267</v>
      </c>
      <c r="E24" s="424" t="s">
        <v>1743</v>
      </c>
      <c r="F24" s="428" t="s">
        <v>509</v>
      </c>
      <c r="G24" s="408" t="s">
        <v>1763</v>
      </c>
      <c r="H24" s="392"/>
    </row>
    <row r="25" spans="1:8" ht="14.25" customHeight="1">
      <c r="A25" s="420" t="s">
        <v>1742</v>
      </c>
      <c r="B25" s="639">
        <v>2468752</v>
      </c>
      <c r="C25" s="640"/>
      <c r="D25" s="640"/>
      <c r="E25" s="404" t="s">
        <v>1743</v>
      </c>
      <c r="F25" s="411" t="s">
        <v>1764</v>
      </c>
      <c r="G25" s="409" t="s">
        <v>1765</v>
      </c>
      <c r="H25" s="393"/>
    </row>
    <row r="26" spans="1:8" ht="14.25" customHeight="1">
      <c r="A26" s="72" t="s">
        <v>405</v>
      </c>
      <c r="B26" s="426" t="s">
        <v>27</v>
      </c>
      <c r="C26" s="419">
        <v>19245621</v>
      </c>
      <c r="D26" s="72">
        <v>2464124</v>
      </c>
      <c r="E26" s="429" t="s">
        <v>1743</v>
      </c>
      <c r="F26" s="410" t="s">
        <v>1764</v>
      </c>
      <c r="G26" s="408" t="s">
        <v>1763</v>
      </c>
      <c r="H26" s="392"/>
    </row>
    <row r="27" spans="1:8" ht="14.25" customHeight="1">
      <c r="A27" s="416" t="s">
        <v>403</v>
      </c>
      <c r="B27" s="426" t="s">
        <v>27</v>
      </c>
      <c r="C27" s="419">
        <v>12197764</v>
      </c>
      <c r="D27" s="72">
        <v>2464124</v>
      </c>
      <c r="E27" s="429" t="s">
        <v>1743</v>
      </c>
      <c r="F27" s="410" t="s">
        <v>1764</v>
      </c>
      <c r="G27" s="408" t="s">
        <v>1763</v>
      </c>
      <c r="H27" s="392"/>
    </row>
    <row r="28" spans="1:8" ht="14.25" customHeight="1">
      <c r="A28" s="416" t="s">
        <v>401</v>
      </c>
      <c r="B28" s="426" t="s">
        <v>27</v>
      </c>
      <c r="C28" s="419">
        <v>12169668</v>
      </c>
      <c r="D28" s="72">
        <v>2464124</v>
      </c>
      <c r="E28" s="429" t="s">
        <v>1743</v>
      </c>
      <c r="F28" s="410" t="s">
        <v>1764</v>
      </c>
      <c r="G28" s="408" t="s">
        <v>1763</v>
      </c>
      <c r="H28" s="392"/>
    </row>
    <row r="29" spans="1:8" ht="14.25" customHeight="1">
      <c r="A29" s="416" t="s">
        <v>399</v>
      </c>
      <c r="B29" s="426" t="s">
        <v>27</v>
      </c>
      <c r="C29" s="419">
        <v>12168629</v>
      </c>
      <c r="D29" s="72">
        <v>2464124</v>
      </c>
      <c r="E29" s="429" t="s">
        <v>1743</v>
      </c>
      <c r="F29" s="410" t="s">
        <v>1764</v>
      </c>
      <c r="G29" s="408" t="s">
        <v>1763</v>
      </c>
      <c r="H29" s="392"/>
    </row>
    <row r="30" spans="1:8" ht="15">
      <c r="A30" s="416" t="s">
        <v>397</v>
      </c>
      <c r="B30" s="426" t="s">
        <v>27</v>
      </c>
      <c r="C30" s="419">
        <v>1084256890</v>
      </c>
      <c r="D30" s="72">
        <v>2464124</v>
      </c>
      <c r="E30" s="429" t="s">
        <v>1743</v>
      </c>
      <c r="F30" s="410" t="s">
        <v>1764</v>
      </c>
      <c r="G30" s="408" t="s">
        <v>1763</v>
      </c>
      <c r="H30" s="392"/>
    </row>
    <row r="31" spans="1:8" ht="15">
      <c r="A31" s="417" t="s">
        <v>395</v>
      </c>
      <c r="B31" s="426" t="s">
        <v>27</v>
      </c>
      <c r="C31" s="419">
        <v>1084254480</v>
      </c>
      <c r="D31" s="72">
        <v>2464124</v>
      </c>
      <c r="E31" s="430" t="s">
        <v>1743</v>
      </c>
      <c r="F31" s="410" t="s">
        <v>1764</v>
      </c>
      <c r="G31" s="408" t="s">
        <v>1763</v>
      </c>
      <c r="H31" s="392"/>
    </row>
    <row r="32" spans="1:8" ht="15">
      <c r="A32" s="416" t="s">
        <v>393</v>
      </c>
      <c r="B32" s="426" t="s">
        <v>27</v>
      </c>
      <c r="C32" s="419">
        <v>1084254443</v>
      </c>
      <c r="D32" s="426">
        <v>2464124</v>
      </c>
      <c r="E32" s="417" t="s">
        <v>1743</v>
      </c>
      <c r="F32" s="412" t="s">
        <v>1764</v>
      </c>
      <c r="G32" s="408" t="s">
        <v>1763</v>
      </c>
      <c r="H32" s="281"/>
    </row>
    <row r="33" spans="1:8" ht="15">
      <c r="A33" s="420" t="s">
        <v>1742</v>
      </c>
      <c r="B33" s="639">
        <v>2451001</v>
      </c>
      <c r="C33" s="641"/>
      <c r="D33" s="641"/>
      <c r="E33" s="420" t="s">
        <v>1743</v>
      </c>
      <c r="F33" s="436" t="s">
        <v>509</v>
      </c>
      <c r="G33" s="409" t="s">
        <v>1766</v>
      </c>
      <c r="H33" s="393"/>
    </row>
    <row r="34" spans="1:8" ht="15">
      <c r="A34" s="72" t="s">
        <v>352</v>
      </c>
      <c r="B34" s="72" t="s">
        <v>27</v>
      </c>
      <c r="C34" s="72">
        <v>1003804280</v>
      </c>
      <c r="D34" s="426">
        <v>2451001</v>
      </c>
      <c r="E34" s="434" t="s">
        <v>1743</v>
      </c>
      <c r="F34" s="437" t="s">
        <v>509</v>
      </c>
      <c r="G34" s="406" t="s">
        <v>355</v>
      </c>
      <c r="H34" s="281" t="s">
        <v>1767</v>
      </c>
    </row>
    <row r="35" spans="1:8" ht="15">
      <c r="A35" s="72" t="s">
        <v>356</v>
      </c>
      <c r="B35" s="72" t="s">
        <v>27</v>
      </c>
      <c r="C35" s="72">
        <v>1004418281</v>
      </c>
      <c r="D35" s="426">
        <v>2451001</v>
      </c>
      <c r="E35" s="434" t="s">
        <v>1743</v>
      </c>
      <c r="F35" s="437" t="s">
        <v>509</v>
      </c>
      <c r="G35" s="406" t="s">
        <v>355</v>
      </c>
      <c r="H35" s="281" t="s">
        <v>1767</v>
      </c>
    </row>
    <row r="36" spans="1:8" ht="15">
      <c r="A36" s="72" t="s">
        <v>358</v>
      </c>
      <c r="B36" s="72" t="s">
        <v>27</v>
      </c>
      <c r="C36" s="72">
        <v>1004418425</v>
      </c>
      <c r="D36" s="426">
        <v>2451001</v>
      </c>
      <c r="E36" s="434" t="s">
        <v>1743</v>
      </c>
      <c r="F36" s="437" t="s">
        <v>509</v>
      </c>
      <c r="G36" s="406" t="s">
        <v>355</v>
      </c>
      <c r="H36" s="281" t="s">
        <v>1767</v>
      </c>
    </row>
    <row r="37" spans="1:8" ht="15">
      <c r="A37" s="72" t="s">
        <v>360</v>
      </c>
      <c r="B37" s="72" t="s">
        <v>27</v>
      </c>
      <c r="C37" s="72">
        <v>1004442136</v>
      </c>
      <c r="D37" s="426">
        <v>2451001</v>
      </c>
      <c r="E37" s="434" t="s">
        <v>1743</v>
      </c>
      <c r="F37" s="437" t="s">
        <v>509</v>
      </c>
      <c r="G37" s="406" t="s">
        <v>355</v>
      </c>
      <c r="H37" s="281" t="s">
        <v>1767</v>
      </c>
    </row>
    <row r="38" spans="1:8" ht="15">
      <c r="A38" s="72" t="s">
        <v>362</v>
      </c>
      <c r="B38" s="72" t="s">
        <v>27</v>
      </c>
      <c r="C38" s="72">
        <v>1004446438</v>
      </c>
      <c r="D38" s="426">
        <v>2451001</v>
      </c>
      <c r="E38" s="434" t="s">
        <v>1743</v>
      </c>
      <c r="F38" s="437" t="s">
        <v>509</v>
      </c>
      <c r="G38" s="406" t="s">
        <v>355</v>
      </c>
      <c r="H38" s="281" t="s">
        <v>1767</v>
      </c>
    </row>
    <row r="39" spans="1:8" ht="15">
      <c r="A39" s="72" t="s">
        <v>365</v>
      </c>
      <c r="B39" s="72" t="s">
        <v>67</v>
      </c>
      <c r="C39" s="72">
        <v>1031644105</v>
      </c>
      <c r="D39" s="426">
        <v>2451001</v>
      </c>
      <c r="E39" s="434" t="s">
        <v>1743</v>
      </c>
      <c r="F39" s="437" t="s">
        <v>509</v>
      </c>
      <c r="G39" s="406" t="s">
        <v>355</v>
      </c>
      <c r="H39" s="281" t="s">
        <v>1767</v>
      </c>
    </row>
    <row r="40" spans="1:8" ht="15">
      <c r="A40" s="72" t="s">
        <v>367</v>
      </c>
      <c r="B40" s="72" t="s">
        <v>67</v>
      </c>
      <c r="C40" s="72">
        <v>1058962010</v>
      </c>
      <c r="D40" s="426">
        <v>2451001</v>
      </c>
      <c r="E40" s="434" t="s">
        <v>1743</v>
      </c>
      <c r="F40" s="437" t="s">
        <v>509</v>
      </c>
      <c r="G40" s="406" t="s">
        <v>355</v>
      </c>
      <c r="H40" s="281" t="s">
        <v>1767</v>
      </c>
    </row>
    <row r="41" spans="1:8" ht="15">
      <c r="A41" s="72" t="s">
        <v>369</v>
      </c>
      <c r="B41" s="72" t="s">
        <v>67</v>
      </c>
      <c r="C41" s="72">
        <v>1077226632</v>
      </c>
      <c r="D41" s="426">
        <v>2451001</v>
      </c>
      <c r="E41" s="434" t="s">
        <v>1743</v>
      </c>
      <c r="F41" s="437" t="s">
        <v>509</v>
      </c>
      <c r="G41" s="406" t="s">
        <v>355</v>
      </c>
      <c r="H41" s="281" t="s">
        <v>1767</v>
      </c>
    </row>
    <row r="42" spans="1:8" ht="15">
      <c r="A42" s="72" t="s">
        <v>372</v>
      </c>
      <c r="B42" s="72" t="s">
        <v>27</v>
      </c>
      <c r="C42" s="72">
        <v>1080930325</v>
      </c>
      <c r="D42" s="426">
        <v>2451001</v>
      </c>
      <c r="E42" s="434" t="s">
        <v>1743</v>
      </c>
      <c r="F42" s="437" t="s">
        <v>509</v>
      </c>
      <c r="G42" s="406" t="s">
        <v>355</v>
      </c>
      <c r="H42" s="281" t="s">
        <v>1767</v>
      </c>
    </row>
    <row r="43" spans="1:8" ht="15">
      <c r="A43" s="72" t="s">
        <v>375</v>
      </c>
      <c r="B43" s="72" t="s">
        <v>67</v>
      </c>
      <c r="C43" s="72">
        <v>1080931418</v>
      </c>
      <c r="D43" s="426">
        <v>2451001</v>
      </c>
      <c r="E43" s="434" t="s">
        <v>1743</v>
      </c>
      <c r="F43" s="437" t="s">
        <v>509</v>
      </c>
      <c r="G43" s="406" t="s">
        <v>355</v>
      </c>
      <c r="H43" s="281" t="s">
        <v>1767</v>
      </c>
    </row>
    <row r="44" spans="1:8" ht="15">
      <c r="A44" s="72" t="s">
        <v>377</v>
      </c>
      <c r="B44" s="72" t="s">
        <v>67</v>
      </c>
      <c r="C44" s="72">
        <v>1081699614</v>
      </c>
      <c r="D44" s="426">
        <v>2451001</v>
      </c>
      <c r="E44" s="434" t="s">
        <v>1743</v>
      </c>
      <c r="F44" s="437" t="s">
        <v>509</v>
      </c>
      <c r="G44" s="406" t="s">
        <v>355</v>
      </c>
      <c r="H44" s="281" t="s">
        <v>1767</v>
      </c>
    </row>
    <row r="45" spans="1:8" ht="15">
      <c r="A45" s="72" t="s">
        <v>379</v>
      </c>
      <c r="B45" s="72" t="s">
        <v>67</v>
      </c>
      <c r="C45" s="72">
        <v>1083864335</v>
      </c>
      <c r="D45" s="426">
        <v>2451001</v>
      </c>
      <c r="E45" s="434" t="s">
        <v>1743</v>
      </c>
      <c r="F45" s="437" t="s">
        <v>509</v>
      </c>
      <c r="G45" s="406" t="s">
        <v>355</v>
      </c>
      <c r="H45" s="281" t="s">
        <v>1767</v>
      </c>
    </row>
    <row r="46" spans="1:8" ht="15">
      <c r="A46" s="72" t="s">
        <v>381</v>
      </c>
      <c r="B46" s="72" t="s">
        <v>67</v>
      </c>
      <c r="C46" s="72">
        <v>1083866960</v>
      </c>
      <c r="D46" s="426">
        <v>2451001</v>
      </c>
      <c r="E46" s="434" t="s">
        <v>1743</v>
      </c>
      <c r="F46" s="437" t="s">
        <v>509</v>
      </c>
      <c r="G46" s="406" t="s">
        <v>1768</v>
      </c>
      <c r="H46" s="281" t="s">
        <v>1767</v>
      </c>
    </row>
    <row r="47" spans="1:8" ht="15">
      <c r="A47" s="72" t="s">
        <v>383</v>
      </c>
      <c r="B47" s="72" t="s">
        <v>27</v>
      </c>
      <c r="C47" s="72">
        <v>1083917926</v>
      </c>
      <c r="D47" s="426">
        <v>2451001</v>
      </c>
      <c r="E47" s="434" t="s">
        <v>1743</v>
      </c>
      <c r="F47" s="437" t="s">
        <v>509</v>
      </c>
      <c r="G47" s="406" t="s">
        <v>355</v>
      </c>
      <c r="H47" s="281" t="s">
        <v>1767</v>
      </c>
    </row>
    <row r="48" spans="1:8" ht="15">
      <c r="A48" s="72" t="s">
        <v>386</v>
      </c>
      <c r="B48" s="72" t="s">
        <v>67</v>
      </c>
      <c r="C48" s="72">
        <v>1084330239</v>
      </c>
      <c r="D48" s="426">
        <v>2451001</v>
      </c>
      <c r="E48" s="434" t="s">
        <v>1743</v>
      </c>
      <c r="F48" s="437" t="s">
        <v>509</v>
      </c>
      <c r="G48" s="406" t="s">
        <v>355</v>
      </c>
      <c r="H48" s="281" t="s">
        <v>1767</v>
      </c>
    </row>
    <row r="49" spans="1:8" ht="15">
      <c r="A49" s="72" t="s">
        <v>388</v>
      </c>
      <c r="B49" s="72" t="s">
        <v>67</v>
      </c>
      <c r="C49" s="72">
        <v>1084330977</v>
      </c>
      <c r="D49" s="426">
        <v>2451001</v>
      </c>
      <c r="E49" s="434" t="s">
        <v>1743</v>
      </c>
      <c r="F49" s="437" t="s">
        <v>509</v>
      </c>
      <c r="G49" s="406" t="s">
        <v>355</v>
      </c>
      <c r="H49" s="281" t="s">
        <v>1767</v>
      </c>
    </row>
    <row r="50" spans="1:8" ht="15">
      <c r="A50" s="72" t="s">
        <v>390</v>
      </c>
      <c r="B50" s="72" t="s">
        <v>67</v>
      </c>
      <c r="C50" s="72">
        <v>1125179600</v>
      </c>
      <c r="D50" s="426">
        <v>2451001</v>
      </c>
      <c r="E50" s="439" t="s">
        <v>1743</v>
      </c>
      <c r="F50" s="437" t="s">
        <v>509</v>
      </c>
      <c r="G50" s="406" t="s">
        <v>355</v>
      </c>
      <c r="H50" s="281" t="s">
        <v>1767</v>
      </c>
    </row>
    <row r="51" spans="1:8" ht="15">
      <c r="A51" s="413" t="s">
        <v>260</v>
      </c>
      <c r="B51" s="413" t="s">
        <v>27</v>
      </c>
      <c r="C51" s="413">
        <v>1003809696</v>
      </c>
      <c r="D51" s="435">
        <v>2426308</v>
      </c>
      <c r="E51" s="420" t="s">
        <v>1743</v>
      </c>
      <c r="F51" s="438" t="s">
        <v>509</v>
      </c>
      <c r="G51" s="405" t="s">
        <v>1769</v>
      </c>
      <c r="H51" s="394" t="s">
        <v>1767</v>
      </c>
    </row>
    <row r="52" spans="1:8" ht="15">
      <c r="A52" s="72" t="s">
        <v>325</v>
      </c>
      <c r="B52" s="72" t="s">
        <v>27</v>
      </c>
      <c r="C52" s="72">
        <v>1001201149</v>
      </c>
      <c r="D52" s="426">
        <v>2426308</v>
      </c>
      <c r="E52" s="434" t="s">
        <v>1743</v>
      </c>
      <c r="F52" s="437" t="s">
        <v>509</v>
      </c>
      <c r="G52" s="406" t="s">
        <v>270</v>
      </c>
      <c r="H52" s="281" t="s">
        <v>1767</v>
      </c>
    </row>
    <row r="53" spans="1:8" ht="15">
      <c r="A53" s="72" t="s">
        <v>328</v>
      </c>
      <c r="B53" s="72" t="s">
        <v>27</v>
      </c>
      <c r="C53" s="72">
        <v>1004083443</v>
      </c>
      <c r="D53" s="426">
        <v>2426308</v>
      </c>
      <c r="E53" s="434" t="s">
        <v>1743</v>
      </c>
      <c r="F53" s="437" t="s">
        <v>509</v>
      </c>
      <c r="G53" s="406" t="s">
        <v>270</v>
      </c>
      <c r="H53" s="281" t="s">
        <v>1767</v>
      </c>
    </row>
    <row r="54" spans="1:8" ht="15">
      <c r="A54" s="72" t="s">
        <v>329</v>
      </c>
      <c r="B54" s="72" t="s">
        <v>27</v>
      </c>
      <c r="C54" s="72">
        <v>1004209154</v>
      </c>
      <c r="D54" s="426">
        <v>2426308</v>
      </c>
      <c r="E54" s="434" t="s">
        <v>1743</v>
      </c>
      <c r="F54" s="437" t="s">
        <v>509</v>
      </c>
      <c r="G54" s="406" t="s">
        <v>276</v>
      </c>
      <c r="H54" s="281" t="s">
        <v>1767</v>
      </c>
    </row>
    <row r="55" spans="1:8" ht="15">
      <c r="A55" s="72" t="s">
        <v>330</v>
      </c>
      <c r="B55" s="72" t="s">
        <v>27</v>
      </c>
      <c r="C55" s="72">
        <v>1007563060</v>
      </c>
      <c r="D55" s="426">
        <v>2426308</v>
      </c>
      <c r="E55" s="434" t="s">
        <v>1743</v>
      </c>
      <c r="F55" s="437" t="s">
        <v>509</v>
      </c>
      <c r="G55" s="432" t="s">
        <v>279</v>
      </c>
      <c r="H55" s="281" t="s">
        <v>1767</v>
      </c>
    </row>
    <row r="56" spans="1:8" ht="15">
      <c r="A56" s="72" t="s">
        <v>332</v>
      </c>
      <c r="B56" s="72" t="s">
        <v>27</v>
      </c>
      <c r="C56" s="72">
        <v>1007705577</v>
      </c>
      <c r="D56" s="426">
        <v>2426308</v>
      </c>
      <c r="E56" s="434" t="s">
        <v>1743</v>
      </c>
      <c r="F56" s="437" t="s">
        <v>509</v>
      </c>
      <c r="G56" s="406" t="s">
        <v>282</v>
      </c>
      <c r="H56" s="281" t="s">
        <v>1767</v>
      </c>
    </row>
    <row r="57" spans="1:8" ht="15">
      <c r="A57" s="72" t="s">
        <v>333</v>
      </c>
      <c r="B57" s="72" t="s">
        <v>27</v>
      </c>
      <c r="C57" s="72">
        <v>1083864126</v>
      </c>
      <c r="D57" s="426">
        <v>2426308</v>
      </c>
      <c r="E57" s="434" t="s">
        <v>1743</v>
      </c>
      <c r="F57" s="437" t="s">
        <v>509</v>
      </c>
      <c r="G57" s="432" t="s">
        <v>279</v>
      </c>
      <c r="H57" s="281" t="s">
        <v>1767</v>
      </c>
    </row>
    <row r="58" spans="1:8" ht="15">
      <c r="A58" s="72" t="s">
        <v>334</v>
      </c>
      <c r="B58" s="72" t="s">
        <v>67</v>
      </c>
      <c r="C58" s="72">
        <v>1083867897</v>
      </c>
      <c r="D58" s="426">
        <v>2426308</v>
      </c>
      <c r="E58" s="434" t="s">
        <v>1743</v>
      </c>
      <c r="F58" s="437" t="s">
        <v>509</v>
      </c>
      <c r="G58" s="406" t="s">
        <v>282</v>
      </c>
      <c r="H58" s="281" t="s">
        <v>1767</v>
      </c>
    </row>
    <row r="59" spans="1:8" ht="15">
      <c r="A59" s="72" t="s">
        <v>336</v>
      </c>
      <c r="B59" s="72" t="s">
        <v>27</v>
      </c>
      <c r="C59" s="72">
        <v>1083929900</v>
      </c>
      <c r="D59" s="426">
        <v>2426308</v>
      </c>
      <c r="E59" s="434" t="s">
        <v>1743</v>
      </c>
      <c r="F59" s="437" t="s">
        <v>509</v>
      </c>
      <c r="G59" s="406" t="s">
        <v>282</v>
      </c>
      <c r="H59" s="281" t="s">
        <v>1767</v>
      </c>
    </row>
    <row r="60" spans="1:8" ht="15">
      <c r="A60" s="72" t="s">
        <v>338</v>
      </c>
      <c r="B60" s="72" t="s">
        <v>67</v>
      </c>
      <c r="C60" s="72">
        <v>1124242185</v>
      </c>
      <c r="D60" s="426">
        <v>2426308</v>
      </c>
      <c r="E60" s="434" t="s">
        <v>1743</v>
      </c>
      <c r="F60" s="437" t="s">
        <v>509</v>
      </c>
      <c r="G60" s="406" t="s">
        <v>282</v>
      </c>
      <c r="H60" s="281" t="s">
        <v>1767</v>
      </c>
    </row>
    <row r="61" spans="1:8" ht="15">
      <c r="A61" s="413" t="s">
        <v>489</v>
      </c>
      <c r="B61" s="413" t="s">
        <v>27</v>
      </c>
      <c r="C61" s="413">
        <v>1083864152</v>
      </c>
      <c r="D61" s="413">
        <v>2383072</v>
      </c>
      <c r="E61" s="420" t="s">
        <v>1770</v>
      </c>
      <c r="F61" s="413" t="str">
        <f ca="1">IFERROR(__xludf.DUMMYFUNCTION("IFERROR(VLOOKUP(F201,IMPORTRANGE(""https://docs.google.com/spreadsheets/d/1Kvs4KS76FHFqLFIZfrDMff4kP08nblUkihrxltoGBjg/edit#gid=934712705"",""ESENCIAL!A6:BG""),8,FALSE))"),"INSTALACIONES ELECTRICAS PARA VIVIENDAS")</f>
        <v>INSTALACIONES ELECTRICAS PARA VIVIENDAS</v>
      </c>
      <c r="G61" s="405" t="s">
        <v>1771</v>
      </c>
      <c r="H61" s="394"/>
    </row>
    <row r="62" spans="1:8" ht="15">
      <c r="A62" s="72" t="s">
        <v>490</v>
      </c>
      <c r="B62" s="72" t="s">
        <v>27</v>
      </c>
      <c r="C62" s="72">
        <v>1083911398</v>
      </c>
      <c r="D62" s="72">
        <v>2383072</v>
      </c>
      <c r="E62" s="434" t="s">
        <v>1770</v>
      </c>
      <c r="F62" s="418" t="str">
        <f ca="1">IFERROR(__xludf.DUMMYFUNCTION("IFERROR(VLOOKUP(F202,IMPORTRANGE(""https://docs.google.com/spreadsheets/d/1Kvs4KS76FHFqLFIZfrDMff4kP08nblUkihrxltoGBjg/edit#gid=934712705"",""ESENCIAL!A6:BG""),8,FALSE))"),"INSTALACIONES ELECTRICAS PARA VIVIENDAS")</f>
        <v>INSTALACIONES ELECTRICAS PARA VIVIENDAS</v>
      </c>
      <c r="G62" s="406" t="s">
        <v>1771</v>
      </c>
      <c r="H62" s="281"/>
    </row>
    <row r="63" spans="1:8" ht="15">
      <c r="A63" s="72" t="s">
        <v>491</v>
      </c>
      <c r="B63" s="72" t="s">
        <v>27</v>
      </c>
      <c r="C63" s="72">
        <v>12170923</v>
      </c>
      <c r="D63" s="72">
        <v>2383072</v>
      </c>
      <c r="E63" s="434" t="s">
        <v>1770</v>
      </c>
      <c r="F63" s="418" t="str">
        <f ca="1">IFERROR(__xludf.DUMMYFUNCTION("IFERROR(VLOOKUP(F203,IMPORTRANGE(""https://docs.google.com/spreadsheets/d/1Kvs4KS76FHFqLFIZfrDMff4kP08nblUkihrxltoGBjg/edit#gid=934712705"",""ESENCIAL!A6:BG""),8,FALSE))"),"INSTALACIONES ELECTRICAS PARA VIVIENDAS")</f>
        <v>INSTALACIONES ELECTRICAS PARA VIVIENDAS</v>
      </c>
      <c r="G63" s="406" t="s">
        <v>1771</v>
      </c>
      <c r="H63" s="281"/>
    </row>
    <row r="64" spans="1:8" ht="15">
      <c r="A64" s="72" t="s">
        <v>492</v>
      </c>
      <c r="B64" s="72" t="s">
        <v>27</v>
      </c>
      <c r="C64" s="72">
        <v>12258730</v>
      </c>
      <c r="D64" s="72">
        <v>2383072</v>
      </c>
      <c r="E64" s="434" t="s">
        <v>1770</v>
      </c>
      <c r="F64" s="418" t="str">
        <f ca="1">IFERROR(__xludf.DUMMYFUNCTION("IFERROR(VLOOKUP(F204,IMPORTRANGE(""https://docs.google.com/spreadsheets/d/1Kvs4KS76FHFqLFIZfrDMff4kP08nblUkihrxltoGBjg/edit#gid=934712705"",""ESENCIAL!A6:BG""),8,FALSE))"),"INSTALACIONES ELECTRICAS PARA VIVIENDAS")</f>
        <v>INSTALACIONES ELECTRICAS PARA VIVIENDAS</v>
      </c>
      <c r="G64" s="406" t="s">
        <v>1771</v>
      </c>
      <c r="H64" s="281"/>
    </row>
    <row r="65" spans="1:8" ht="15">
      <c r="A65" s="72" t="s">
        <v>493</v>
      </c>
      <c r="B65" s="72" t="s">
        <v>27</v>
      </c>
      <c r="C65" s="72">
        <v>2957075</v>
      </c>
      <c r="D65" s="72">
        <v>2383072</v>
      </c>
      <c r="E65" s="434" t="s">
        <v>1770</v>
      </c>
      <c r="F65" s="418" t="str">
        <f ca="1">IFERROR(__xludf.DUMMYFUNCTION("IFERROR(VLOOKUP(F205,IMPORTRANGE(""https://docs.google.com/spreadsheets/d/1Kvs4KS76FHFqLFIZfrDMff4kP08nblUkihrxltoGBjg/edit#gid=934712705"",""ESENCIAL!A6:BG""),8,FALSE))"),"INSTALACIONES ELECTRICAS PARA VIVIENDAS")</f>
        <v>INSTALACIONES ELECTRICAS PARA VIVIENDAS</v>
      </c>
      <c r="G65" s="406" t="s">
        <v>1771</v>
      </c>
      <c r="H65" s="281"/>
    </row>
    <row r="66" spans="1:8" ht="15">
      <c r="A66" s="72" t="s">
        <v>494</v>
      </c>
      <c r="B66" s="72" t="s">
        <v>27</v>
      </c>
      <c r="C66" s="72">
        <v>4929237</v>
      </c>
      <c r="D66" s="72">
        <v>2383072</v>
      </c>
      <c r="E66" s="434" t="s">
        <v>1770</v>
      </c>
      <c r="F66" s="418" t="str">
        <f ca="1">IFERROR(__xludf.DUMMYFUNCTION("IFERROR(VLOOKUP(F206,IMPORTRANGE(""https://docs.google.com/spreadsheets/d/1Kvs4KS76FHFqLFIZfrDMff4kP08nblUkihrxltoGBjg/edit#gid=934712705"",""ESENCIAL!A6:BG""),8,FALSE))"),"INSTALACIONES ELECTRICAS PARA VIVIENDAS")</f>
        <v>INSTALACIONES ELECTRICAS PARA VIVIENDAS</v>
      </c>
      <c r="G66" s="406" t="s">
        <v>1771</v>
      </c>
      <c r="H66" s="281"/>
    </row>
    <row r="67" spans="1:8" ht="15">
      <c r="A67" s="72" t="s">
        <v>495</v>
      </c>
      <c r="B67" s="72" t="s">
        <v>27</v>
      </c>
      <c r="C67" s="72">
        <v>5820699</v>
      </c>
      <c r="D67" s="72">
        <v>2383072</v>
      </c>
      <c r="E67" s="434" t="s">
        <v>1770</v>
      </c>
      <c r="F67" s="418" t="str">
        <f ca="1">IFERROR(__xludf.DUMMYFUNCTION("IFERROR(VLOOKUP(F207,IMPORTRANGE(""https://docs.google.com/spreadsheets/d/1Kvs4KS76FHFqLFIZfrDMff4kP08nblUkihrxltoGBjg/edit#gid=934712705"",""ESENCIAL!A6:BG""),8,FALSE))"),"INSTALACIONES ELECTRICAS PARA VIVIENDAS")</f>
        <v>INSTALACIONES ELECTRICAS PARA VIVIENDAS</v>
      </c>
      <c r="G67" s="406" t="s">
        <v>1771</v>
      </c>
      <c r="H67" s="281"/>
    </row>
    <row r="68" spans="1:8" ht="15">
      <c r="A68" s="72" t="s">
        <v>496</v>
      </c>
      <c r="B68" s="72" t="s">
        <v>27</v>
      </c>
      <c r="C68" s="72">
        <v>7720226</v>
      </c>
      <c r="D68" s="72">
        <v>2383072</v>
      </c>
      <c r="E68" s="434" t="s">
        <v>1770</v>
      </c>
      <c r="F68" s="418" t="str">
        <f ca="1">IFERROR(__xludf.DUMMYFUNCTION("IFERROR(VLOOKUP(F208,IMPORTRANGE(""https://docs.google.com/spreadsheets/d/1Kvs4KS76FHFqLFIZfrDMff4kP08nblUkihrxltoGBjg/edit#gid=934712705"",""ESENCIAL!A6:BG""),8,FALSE))"),"INSTALACIONES ELECTRICAS PARA VIVIENDAS")</f>
        <v>INSTALACIONES ELECTRICAS PARA VIVIENDAS</v>
      </c>
      <c r="G68" s="406" t="s">
        <v>1771</v>
      </c>
      <c r="H68" s="281"/>
    </row>
    <row r="69" spans="1:8" ht="15">
      <c r="A69" s="72" t="s">
        <v>497</v>
      </c>
      <c r="B69" s="72" t="s">
        <v>27</v>
      </c>
      <c r="C69" s="72">
        <v>7723305</v>
      </c>
      <c r="D69" s="72">
        <v>2383072</v>
      </c>
      <c r="E69" s="434" t="s">
        <v>1770</v>
      </c>
      <c r="F69" s="418" t="str">
        <f ca="1">IFERROR(__xludf.DUMMYFUNCTION("IFERROR(VLOOKUP(F209,IMPORTRANGE(""https://docs.google.com/spreadsheets/d/1Kvs4KS76FHFqLFIZfrDMff4kP08nblUkihrxltoGBjg/edit#gid=934712705"",""ESENCIAL!A6:BG""),8,FALSE))"),"INSTALACIONES ELECTRICAS PARA VIVIENDAS")</f>
        <v>INSTALACIONES ELECTRICAS PARA VIVIENDAS</v>
      </c>
      <c r="G69" s="406" t="s">
        <v>1771</v>
      </c>
      <c r="H69" s="281"/>
    </row>
    <row r="70" spans="1:8" ht="15">
      <c r="A70" s="72" t="s">
        <v>498</v>
      </c>
      <c r="B70" s="72" t="s">
        <v>27</v>
      </c>
      <c r="C70" s="72">
        <v>83041379</v>
      </c>
      <c r="D70" s="72">
        <v>2383072</v>
      </c>
      <c r="E70" s="434" t="s">
        <v>1770</v>
      </c>
      <c r="F70" s="418" t="str">
        <f ca="1">IFERROR(__xludf.DUMMYFUNCTION("IFERROR(VLOOKUP(F210,IMPORTRANGE(""https://docs.google.com/spreadsheets/d/1Kvs4KS76FHFqLFIZfrDMff4kP08nblUkihrxltoGBjg/edit#gid=934712705"",""ESENCIAL!A6:BG""),8,FALSE))"),"INSTALACIONES ELECTRICAS PARA VIVIENDAS")</f>
        <v>INSTALACIONES ELECTRICAS PARA VIVIENDAS</v>
      </c>
      <c r="G70" s="406" t="s">
        <v>1771</v>
      </c>
      <c r="H70" s="281"/>
    </row>
    <row r="71" spans="1:8" ht="15">
      <c r="A71" s="72" t="s">
        <v>499</v>
      </c>
      <c r="B71" s="72" t="s">
        <v>27</v>
      </c>
      <c r="C71" s="72">
        <v>83041559</v>
      </c>
      <c r="D71" s="72">
        <v>2383072</v>
      </c>
      <c r="E71" s="434" t="s">
        <v>1770</v>
      </c>
      <c r="F71" s="418" t="str">
        <f ca="1">IFERROR(__xludf.DUMMYFUNCTION("IFERROR(VLOOKUP(F211,IMPORTRANGE(""https://docs.google.com/spreadsheets/d/1Kvs4KS76FHFqLFIZfrDMff4kP08nblUkihrxltoGBjg/edit#gid=934712705"",""ESENCIAL!A6:BG""),8,FALSE))"),"INSTALACIONES ELECTRICAS PARA VIVIENDAS")</f>
        <v>INSTALACIONES ELECTRICAS PARA VIVIENDAS</v>
      </c>
      <c r="G71" s="406" t="s">
        <v>1771</v>
      </c>
      <c r="H71" s="281"/>
    </row>
    <row r="72" spans="1:8" ht="15">
      <c r="A72" s="72" t="s">
        <v>500</v>
      </c>
      <c r="B72" s="72" t="s">
        <v>27</v>
      </c>
      <c r="C72" s="72">
        <v>83041720</v>
      </c>
      <c r="D72" s="72">
        <v>2383072</v>
      </c>
      <c r="E72" s="434" t="s">
        <v>1770</v>
      </c>
      <c r="F72" s="418" t="str">
        <f ca="1">IFERROR(__xludf.DUMMYFUNCTION("IFERROR(VLOOKUP(F212,IMPORTRANGE(""https://docs.google.com/spreadsheets/d/1Kvs4KS76FHFqLFIZfrDMff4kP08nblUkihrxltoGBjg/edit#gid=934712705"",""ESENCIAL!A6:BG""),8,FALSE))"),"INSTALACIONES ELECTRICAS PARA VIVIENDAS")</f>
        <v>INSTALACIONES ELECTRICAS PARA VIVIENDAS</v>
      </c>
      <c r="G72" s="406" t="s">
        <v>1771</v>
      </c>
      <c r="H72" s="281"/>
    </row>
    <row r="73" spans="1:8" ht="15">
      <c r="A73" s="72" t="s">
        <v>501</v>
      </c>
      <c r="B73" s="72" t="s">
        <v>27</v>
      </c>
      <c r="C73" s="72">
        <v>83041951</v>
      </c>
      <c r="D73" s="72">
        <v>2383072</v>
      </c>
      <c r="E73" s="434" t="s">
        <v>1770</v>
      </c>
      <c r="F73" s="418" t="str">
        <f ca="1">IFERROR(__xludf.DUMMYFUNCTION("IFERROR(VLOOKUP(F213,IMPORTRANGE(""https://docs.google.com/spreadsheets/d/1Kvs4KS76FHFqLFIZfrDMff4kP08nblUkihrxltoGBjg/edit#gid=934712705"",""ESENCIAL!A6:BG""),8,FALSE))"),"INSTALACIONES ELECTRICAS PARA VIVIENDAS")</f>
        <v>INSTALACIONES ELECTRICAS PARA VIVIENDAS</v>
      </c>
      <c r="G73" s="406" t="s">
        <v>1771</v>
      </c>
      <c r="H73" s="281"/>
    </row>
    <row r="74" spans="1:8" ht="15">
      <c r="A74" s="72" t="s">
        <v>502</v>
      </c>
      <c r="B74" s="72" t="s">
        <v>27</v>
      </c>
      <c r="C74" s="72">
        <v>83166558</v>
      </c>
      <c r="D74" s="72">
        <v>2383072</v>
      </c>
      <c r="E74" s="434" t="s">
        <v>1770</v>
      </c>
      <c r="F74" s="418" t="str">
        <f ca="1">IFERROR(__xludf.DUMMYFUNCTION("IFERROR(VLOOKUP(F214,IMPORTRANGE(""https://docs.google.com/spreadsheets/d/1Kvs4KS76FHFqLFIZfrDMff4kP08nblUkihrxltoGBjg/edit#gid=934712705"",""ESENCIAL!A6:BG""),8,FALSE))"),"INSTALACIONES ELECTRICAS PARA VIVIENDAS")</f>
        <v>INSTALACIONES ELECTRICAS PARA VIVIENDAS</v>
      </c>
      <c r="G74" s="406" t="s">
        <v>1771</v>
      </c>
      <c r="H74" s="281"/>
    </row>
    <row r="75" spans="1:8" ht="15">
      <c r="A75" s="72" t="s">
        <v>503</v>
      </c>
      <c r="B75" s="72" t="s">
        <v>27</v>
      </c>
      <c r="C75" s="72">
        <v>83232976</v>
      </c>
      <c r="D75" s="72">
        <v>2383072</v>
      </c>
      <c r="E75" s="434" t="s">
        <v>1770</v>
      </c>
      <c r="F75" s="418" t="str">
        <f ca="1">IFERROR(__xludf.DUMMYFUNCTION("IFERROR(VLOOKUP(F215,IMPORTRANGE(""https://docs.google.com/spreadsheets/d/1Kvs4KS76FHFqLFIZfrDMff4kP08nblUkihrxltoGBjg/edit#gid=934712705"",""ESENCIAL!A6:BG""),8,FALSE))"),"INSTALACIONES ELECTRICAS PARA VIVIENDAS")</f>
        <v>INSTALACIONES ELECTRICAS PARA VIVIENDAS</v>
      </c>
      <c r="G75" s="406" t="s">
        <v>1771</v>
      </c>
      <c r="H75" s="281"/>
    </row>
    <row r="76" spans="1:8" ht="15">
      <c r="A76" s="72" t="s">
        <v>504</v>
      </c>
      <c r="B76" s="72" t="s">
        <v>67</v>
      </c>
      <c r="C76" s="72">
        <v>1076500238</v>
      </c>
      <c r="D76" s="72">
        <v>2383072</v>
      </c>
      <c r="E76" s="434" t="s">
        <v>1770</v>
      </c>
      <c r="F76" s="418" t="str">
        <f ca="1">IFERROR(__xludf.DUMMYFUNCTION("IFERROR(VLOOKUP(F216,IMPORTRANGE(""https://docs.google.com/spreadsheets/d/1Kvs4KS76FHFqLFIZfrDMff4kP08nblUkihrxltoGBjg/edit#gid=934712705"",""ESENCIAL!A6:BG""),8,FALSE))"),"INSTALACIONES ELECTRICAS PARA VIVIENDAS")</f>
        <v>INSTALACIONES ELECTRICAS PARA VIVIENDAS</v>
      </c>
      <c r="G76" s="406" t="s">
        <v>1771</v>
      </c>
      <c r="H76" s="281"/>
    </row>
    <row r="77" spans="1:8" ht="15">
      <c r="A77" s="72" t="s">
        <v>505</v>
      </c>
      <c r="B77" s="72" t="s">
        <v>67</v>
      </c>
      <c r="C77" s="72">
        <v>1076500283</v>
      </c>
      <c r="D77" s="72">
        <v>2383072</v>
      </c>
      <c r="E77" s="434" t="s">
        <v>1770</v>
      </c>
      <c r="F77" s="418" t="str">
        <f ca="1">IFERROR(__xludf.DUMMYFUNCTION("IFERROR(VLOOKUP(F217,IMPORTRANGE(""https://docs.google.com/spreadsheets/d/1Kvs4KS76FHFqLFIZfrDMff4kP08nblUkihrxltoGBjg/edit#gid=934712705"",""ESENCIAL!A6:BG""),8,FALSE))"),"INSTALACIONES ELECTRICAS PARA VIVIENDAS")</f>
        <v>INSTALACIONES ELECTRICAS PARA VIVIENDAS</v>
      </c>
      <c r="G77" s="406" t="s">
        <v>1771</v>
      </c>
      <c r="H77" s="281"/>
    </row>
    <row r="78" spans="1:8" ht="15">
      <c r="A78" s="72" t="s">
        <v>506</v>
      </c>
      <c r="B78" s="72" t="s">
        <v>67</v>
      </c>
      <c r="C78" s="72">
        <v>1084331935</v>
      </c>
      <c r="D78" s="72">
        <v>2383072</v>
      </c>
      <c r="E78" s="434" t="s">
        <v>1770</v>
      </c>
      <c r="F78" s="418" t="str">
        <f ca="1">IFERROR(__xludf.DUMMYFUNCTION("IFERROR(VLOOKUP(F218,IMPORTRANGE(""https://docs.google.com/spreadsheets/d/1Kvs4KS76FHFqLFIZfrDMff4kP08nblUkihrxltoGBjg/edit#gid=934712705"",""ESENCIAL!A6:BG""),8,FALSE))"),"INSTALACIONES ELECTRICAS PARA VIVIENDAS")</f>
        <v>INSTALACIONES ELECTRICAS PARA VIVIENDAS</v>
      </c>
      <c r="G78" s="406" t="s">
        <v>1771</v>
      </c>
      <c r="H78" s="281"/>
    </row>
    <row r="79" spans="1:8" ht="15">
      <c r="A79" s="190" t="s">
        <v>226</v>
      </c>
      <c r="B79" s="190" t="s">
        <v>67</v>
      </c>
      <c r="C79" s="190">
        <v>1079534178</v>
      </c>
      <c r="D79" s="440">
        <v>2322426</v>
      </c>
      <c r="E79" s="445" t="s">
        <v>1743</v>
      </c>
      <c r="F79" s="441" t="s">
        <v>509</v>
      </c>
      <c r="G79" s="433" t="s">
        <v>231</v>
      </c>
      <c r="H79" s="281"/>
    </row>
    <row r="80" spans="1:8" ht="15">
      <c r="A80" s="190" t="s">
        <v>232</v>
      </c>
      <c r="B80" s="190" t="s">
        <v>27</v>
      </c>
      <c r="C80" s="190">
        <v>1083925140</v>
      </c>
      <c r="D80" s="440">
        <v>2322426</v>
      </c>
      <c r="E80" s="445" t="s">
        <v>1743</v>
      </c>
      <c r="F80" s="441" t="s">
        <v>509</v>
      </c>
      <c r="G80" s="433" t="s">
        <v>235</v>
      </c>
      <c r="H80" s="281"/>
    </row>
    <row r="81" spans="1:8" ht="15">
      <c r="A81" s="190" t="s">
        <v>241</v>
      </c>
      <c r="B81" s="190" t="s">
        <v>27</v>
      </c>
      <c r="C81" s="190">
        <v>1004265974</v>
      </c>
      <c r="D81" s="440">
        <v>2322426</v>
      </c>
      <c r="E81" s="445" t="s">
        <v>1743</v>
      </c>
      <c r="F81" s="441" t="s">
        <v>509</v>
      </c>
      <c r="G81" s="432" t="s">
        <v>1772</v>
      </c>
      <c r="H81" s="282"/>
    </row>
    <row r="82" spans="1:8" ht="15">
      <c r="A82" s="72" t="s">
        <v>291</v>
      </c>
      <c r="B82" s="72" t="s">
        <v>27</v>
      </c>
      <c r="C82" s="72">
        <v>1007502936</v>
      </c>
      <c r="D82" s="426">
        <v>2322426</v>
      </c>
      <c r="E82" s="444" t="s">
        <v>1743</v>
      </c>
      <c r="F82" s="442" t="s">
        <v>509</v>
      </c>
      <c r="G82" s="395" t="s">
        <v>1773</v>
      </c>
      <c r="H82" s="281"/>
    </row>
    <row r="83" spans="1:8" ht="15">
      <c r="A83" s="414" t="s">
        <v>302</v>
      </c>
      <c r="B83" s="414" t="s">
        <v>67</v>
      </c>
      <c r="C83" s="414">
        <v>1081699610</v>
      </c>
      <c r="D83" s="431">
        <v>2322426</v>
      </c>
      <c r="E83" s="446" t="s">
        <v>1743</v>
      </c>
      <c r="F83" s="443" t="s">
        <v>509</v>
      </c>
      <c r="G83" s="395" t="s">
        <v>1774</v>
      </c>
      <c r="H83" s="281" t="s">
        <v>1767</v>
      </c>
    </row>
    <row r="84" spans="1:8" ht="15">
      <c r="A84" s="415" t="s">
        <v>1516</v>
      </c>
      <c r="B84" s="448" t="s">
        <v>27</v>
      </c>
      <c r="C84" s="448">
        <v>1004034024</v>
      </c>
      <c r="D84" s="448">
        <v>2590833</v>
      </c>
      <c r="E84" s="449" t="s">
        <v>1743</v>
      </c>
      <c r="F84" s="448" t="s">
        <v>1517</v>
      </c>
      <c r="G84" s="396" t="s">
        <v>1775</v>
      </c>
      <c r="H84" s="282"/>
    </row>
    <row r="85" spans="1:8">
      <c r="A85" s="450" t="s">
        <v>1587</v>
      </c>
      <c r="B85" s="452" t="s">
        <v>27</v>
      </c>
      <c r="C85" s="452">
        <v>52901295</v>
      </c>
      <c r="D85" s="451">
        <v>2590833</v>
      </c>
      <c r="E85" s="449" t="s">
        <v>1743</v>
      </c>
      <c r="F85" s="448" t="s">
        <v>1517</v>
      </c>
      <c r="G85" s="396" t="s">
        <v>1775</v>
      </c>
      <c r="H85" s="281"/>
    </row>
    <row r="86" spans="1:8">
      <c r="A86" s="450" t="s">
        <v>1526</v>
      </c>
      <c r="B86" s="452" t="s">
        <v>27</v>
      </c>
      <c r="C86" s="452">
        <v>1007411886</v>
      </c>
      <c r="D86" s="451">
        <v>2590833</v>
      </c>
      <c r="E86" s="449" t="s">
        <v>1743</v>
      </c>
      <c r="F86" s="448" t="s">
        <v>1517</v>
      </c>
      <c r="G86" s="396" t="s">
        <v>1776</v>
      </c>
      <c r="H86" s="281"/>
    </row>
    <row r="87" spans="1:8">
      <c r="A87" s="447" t="s">
        <v>1565</v>
      </c>
      <c r="B87" s="447" t="s">
        <v>27</v>
      </c>
      <c r="C87" s="447">
        <v>1083927234</v>
      </c>
      <c r="D87" s="447">
        <v>2590833</v>
      </c>
      <c r="E87" s="447" t="s">
        <v>508</v>
      </c>
      <c r="F87" s="447" t="s">
        <v>1517</v>
      </c>
      <c r="G87" s="396" t="s">
        <v>1777</v>
      </c>
      <c r="H87" s="281"/>
    </row>
    <row r="88" spans="1:8">
      <c r="A88" s="454" t="s">
        <v>1516</v>
      </c>
      <c r="B88" s="455" t="s">
        <v>27</v>
      </c>
      <c r="C88" s="457">
        <v>1004034024</v>
      </c>
      <c r="D88" s="444">
        <v>2590833</v>
      </c>
      <c r="E88" s="444" t="s">
        <v>508</v>
      </c>
      <c r="F88" s="456" t="s">
        <v>1517</v>
      </c>
      <c r="G88" s="458" t="s">
        <v>1775</v>
      </c>
      <c r="H88" s="453"/>
    </row>
    <row r="89" spans="1:8">
      <c r="A89" s="454" t="s">
        <v>1556</v>
      </c>
      <c r="B89" s="455" t="s">
        <v>27</v>
      </c>
      <c r="C89" s="457">
        <v>1080360188</v>
      </c>
      <c r="D89" s="444">
        <v>2590833</v>
      </c>
      <c r="E89" s="444" t="s">
        <v>508</v>
      </c>
      <c r="F89" s="444" t="s">
        <v>1517</v>
      </c>
      <c r="G89" s="458" t="s">
        <v>1775</v>
      </c>
      <c r="H89" s="281"/>
    </row>
    <row r="90" spans="1:8">
      <c r="A90" s="416" t="s">
        <v>1519</v>
      </c>
      <c r="B90" s="447" t="s">
        <v>27</v>
      </c>
      <c r="C90" s="447">
        <v>1004269827</v>
      </c>
      <c r="D90" s="447">
        <v>2590833</v>
      </c>
      <c r="E90" s="447" t="s">
        <v>1743</v>
      </c>
      <c r="F90" s="447" t="s">
        <v>1517</v>
      </c>
      <c r="G90" s="396" t="s">
        <v>1776</v>
      </c>
      <c r="H90" s="281"/>
    </row>
    <row r="91" spans="1:8">
      <c r="A91" s="416"/>
      <c r="B91" s="416"/>
      <c r="C91" s="416"/>
      <c r="D91" s="416"/>
      <c r="E91" s="416"/>
      <c r="F91" s="416"/>
      <c r="G91" s="395"/>
      <c r="H91" s="281"/>
    </row>
    <row r="92" spans="1:8">
      <c r="A92" s="416"/>
      <c r="B92" s="416"/>
      <c r="C92" s="416"/>
      <c r="D92" s="416"/>
      <c r="E92" s="416"/>
      <c r="F92" s="416"/>
      <c r="G92" s="395"/>
      <c r="H92" s="281"/>
    </row>
    <row r="93" spans="1:8">
      <c r="A93" s="416"/>
      <c r="B93" s="416"/>
      <c r="C93" s="416"/>
      <c r="D93" s="416"/>
      <c r="E93" s="416"/>
      <c r="F93" s="416"/>
      <c r="G93" s="395"/>
      <c r="H93" s="281"/>
    </row>
    <row r="94" spans="1:8">
      <c r="A94" s="416"/>
      <c r="B94" s="416"/>
      <c r="C94" s="416"/>
      <c r="D94" s="416"/>
      <c r="E94" s="416"/>
      <c r="F94" s="416"/>
      <c r="G94" s="395"/>
      <c r="H94" s="281"/>
    </row>
    <row r="95" spans="1:8">
      <c r="A95" s="416"/>
      <c r="B95" s="416"/>
      <c r="C95" s="416"/>
      <c r="D95" s="416"/>
      <c r="E95" s="416"/>
      <c r="F95" s="416"/>
      <c r="G95" s="395"/>
      <c r="H95" s="281"/>
    </row>
    <row r="96" spans="1:8">
      <c r="A96" s="416"/>
      <c r="B96" s="416"/>
      <c r="C96" s="416"/>
      <c r="D96" s="416"/>
      <c r="E96" s="416"/>
      <c r="F96" s="416"/>
      <c r="G96" s="395"/>
      <c r="H96" s="281"/>
    </row>
    <row r="97" spans="1:8">
      <c r="A97" s="416"/>
      <c r="B97" s="416"/>
      <c r="C97" s="416"/>
      <c r="D97" s="416"/>
      <c r="E97" s="416"/>
      <c r="F97" s="416"/>
      <c r="G97" s="395"/>
      <c r="H97" s="281"/>
    </row>
    <row r="98" spans="1:8">
      <c r="A98" s="416"/>
      <c r="B98" s="416"/>
      <c r="C98" s="416"/>
      <c r="D98" s="416"/>
      <c r="E98" s="416"/>
      <c r="F98" s="416"/>
      <c r="G98" s="395"/>
      <c r="H98" s="281"/>
    </row>
    <row r="99" spans="1:8">
      <c r="A99" s="416"/>
      <c r="B99" s="416"/>
      <c r="C99" s="416"/>
      <c r="D99" s="416"/>
      <c r="E99" s="416"/>
      <c r="F99" s="416"/>
      <c r="G99" s="395"/>
      <c r="H99" s="281"/>
    </row>
    <row r="100" spans="1:8">
      <c r="A100" s="416"/>
      <c r="B100" s="416"/>
      <c r="C100" s="416"/>
      <c r="D100" s="416"/>
      <c r="E100" s="416"/>
      <c r="F100" s="416"/>
      <c r="G100" s="395"/>
      <c r="H100" s="281"/>
    </row>
  </sheetData>
  <autoFilter ref="A2:H2" xr:uid="{6D6D83A7-57C7-4D64-AC3B-B2155E77CCA3}"/>
  <mergeCells count="7">
    <mergeCell ref="B25:D25"/>
    <mergeCell ref="B33:D33"/>
    <mergeCell ref="A1:F1"/>
    <mergeCell ref="G1:H1"/>
    <mergeCell ref="B3:D3"/>
    <mergeCell ref="B16:D16"/>
    <mergeCell ref="B19:D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8</vt:i4>
      </vt:variant>
    </vt:vector>
  </HeadingPairs>
  <TitlesOfParts>
    <vt:vector size="8" baseType="lpstr">
      <vt:lpstr>1.CONSTRUCCION</vt:lpstr>
      <vt:lpstr>2. AMBIENTAL</vt:lpstr>
      <vt:lpstr>3.TICS</vt:lpstr>
      <vt:lpstr>4. COCINA</vt:lpstr>
      <vt:lpstr>5.AGROPECUARIA</vt:lpstr>
      <vt:lpstr>6.DEPORTES</vt:lpstr>
      <vt:lpstr>ACUMULADO</vt:lpstr>
      <vt:lpstr>Pendientes de evidencias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cp:revision/>
  <dcterms:created xsi:type="dcterms:W3CDTF">2022-11-25T16:44:08Z</dcterms:created>
  <dcterms:modified xsi:type="dcterms:W3CDTF">2023-04-12T19:27:49Z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2022-11-25T16:22:54Z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c8f92869-21e6-43ec-83b3-ec888147edcd</vt:lpwstr>
  </property>
  <property fmtid="{D5CDD505-2E9C-101B-9397-08002B2CF9AE}" pid="8" name="MSIP_Label_1299739c-ad3d-4908-806e-4d91151a6e13_ContentBits">
    <vt:lpwstr>0</vt:lpwstr>
  </property>
</Properties>
</file>